
<file path=[Content_Types].xml><?xml version="1.0" encoding="utf-8"?>
<Types xmlns="http://schemas.openxmlformats.org/package/2006/content-types">
  <Default Extension="bin" ContentType="application/vnd.openxmlformats-officedocument.spreadsheetml.printerSettings"/>
  <Default Extension="emf" ContentType="image/x-emf"/>
  <Default Extension="gif" ContentType="image/gi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3.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1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5.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166925"/>
  <mc:AlternateContent xmlns:mc="http://schemas.openxmlformats.org/markup-compatibility/2006">
    <mc:Choice Requires="x15">
      <x15ac:absPath xmlns:x15ac="http://schemas.microsoft.com/office/spreadsheetml/2010/11/ac" url="/Users/jenniferhawkin/Documents/GitHub/Chemical-Industry-Circularity/output/"/>
    </mc:Choice>
  </mc:AlternateContent>
  <xr:revisionPtr revIDLastSave="0" documentId="13_ncr:1_{BA372B64-B430-0B44-9A76-88DAE69B4EDF}" xr6:coauthVersionLast="47" xr6:coauthVersionMax="47" xr10:uidLastSave="{00000000-0000-0000-0000-000000000000}"/>
  <bookViews>
    <workbookView xWindow="0" yWindow="600" windowWidth="38400" windowHeight="21000" tabRatio="709" activeTab="5" xr2:uid="{00000000-000D-0000-FFFF-FFFF00000000}"/>
  </bookViews>
  <sheets>
    <sheet name="COVER SHEET" sheetId="64" r:id="rId1"/>
    <sheet name="Sankey" sheetId="63" r:id="rId2"/>
    <sheet name="Final Exhibits" sheetId="60" r:id="rId3"/>
    <sheet name="Job + CO2 Analysis" sheetId="59" r:id="rId4"/>
    <sheet name="Side calc." sheetId="61" r:id="rId5"/>
    <sheet name="Yearly Summary" sheetId="58" r:id="rId6"/>
    <sheet name="Yearly BTX" sheetId="45" r:id="rId7"/>
    <sheet name="Yearly Butadiene" sheetId="51" r:id="rId8"/>
    <sheet name="Yearly Methanol" sheetId="36" r:id="rId9"/>
    <sheet name="Yearly HC Ethylene" sheetId="12" r:id="rId10"/>
    <sheet name="Yearly LC Ethylene" sheetId="14" r:id="rId11"/>
    <sheet name="Yearly HC Propylene" sheetId="15" r:id="rId12"/>
    <sheet name="Yearly LC Propylene" sheetId="16" r:id="rId13"/>
    <sheet name="Scope 3 summary" sheetId="57" r:id="rId14"/>
    <sheet name="Scope 3 Yearly" sheetId="55" r:id="rId15"/>
    <sheet name="Per Capita Plastic" sheetId="52" r:id="rId16"/>
    <sheet name="Yearly Demand - Eth&amp;Prop" sheetId="6" r:id="rId17"/>
    <sheet name="Yearly Demand - Methanol" sheetId="39" r:id="rId18"/>
    <sheet name="Propylene" sheetId="2" state="hidden" r:id="rId19"/>
    <sheet name="Ethylene" sheetId="1" state="hidden" r:id="rId20"/>
    <sheet name="Yearly Demand - BTX" sheetId="43" r:id="rId21"/>
    <sheet name="Yearly Demand - C4" sheetId="50" r:id="rId22"/>
    <sheet name="Demand Breakdown - Ethylene" sheetId="7" r:id="rId23"/>
    <sheet name="Demand Breakdown - Propylene" sheetId="25" r:id="rId24"/>
    <sheet name="Demand Breakdown - Methanol" sheetId="40" r:id="rId25"/>
    <sheet name="Demand Breakdown - C4" sheetId="49" r:id="rId26"/>
    <sheet name="Demand Breakdown - BTX" sheetId="44" r:id="rId27"/>
    <sheet name="Demand - Solar" sheetId="13" r:id="rId28"/>
    <sheet name="Demand - Wind" sheetId="11" r:id="rId29"/>
    <sheet name="Demand - Industry shares" sheetId="24" r:id="rId30"/>
    <sheet name="R&amp;S - Packaging and hh goods" sheetId="8" r:id="rId31"/>
    <sheet name="R&amp;S - Transportation" sheetId="3" r:id="rId32"/>
    <sheet name="R&amp;S - Buildings" sheetId="4" r:id="rId33"/>
    <sheet name="R&amp;S - Apparel" sheetId="9" r:id="rId34"/>
    <sheet name="R&amp;S - Others" sheetId="26" r:id="rId35"/>
    <sheet name="Ethylene Recycling LC" sheetId="19" r:id="rId36"/>
    <sheet name="Ethylene Recycling HC" sheetId="20" r:id="rId37"/>
    <sheet name="Propylene Recycling LC" sheetId="29" r:id="rId38"/>
    <sheet name="Propylene Recycling HC" sheetId="28" r:id="rId39"/>
    <sheet name="Methanol Recycling LC" sheetId="42" r:id="rId40"/>
    <sheet name="Methanol Recycling HC" sheetId="38" r:id="rId41"/>
    <sheet name="BTX Recycling LC" sheetId="48" r:id="rId42"/>
    <sheet name="BTX Recycling HC" sheetId="46" r:id="rId43"/>
    <sheet name="Butadiene Recycling LC" sheetId="54" r:id="rId44"/>
    <sheet name="Butadiene Recycling HC" sheetId="53" r:id="rId45"/>
    <sheet name="Overall recycling rates" sheetId="33" r:id="rId46"/>
    <sheet name="BTX recycling rates" sheetId="47" r:id="rId47"/>
    <sheet name="Methanol recycling rates" sheetId="41" r:id="rId48"/>
    <sheet name="Ethylene recycling rates" sheetId="34" r:id="rId49"/>
    <sheet name="Waste gen. - Industry shares" sheetId="27" r:id="rId50"/>
    <sheet name="Sankey Ethylene" sheetId="30" r:id="rId51"/>
    <sheet name="Sankey Methanol_detailed" sheetId="37" r:id="rId52"/>
    <sheet name="Sankey recycling" sheetId="31" r:id="rId53"/>
  </sheets>
  <calcPr calcId="191028"/>
  <pivotCaches>
    <pivotCache cacheId="38" r:id="rId54"/>
    <pivotCache cacheId="39" r:id="rId5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E10" i="9" l="1"/>
  <c r="E9" i="9"/>
  <c r="J11" i="9"/>
  <c r="L16" i="9"/>
  <c r="AH46" i="45"/>
  <c r="AH39" i="45"/>
  <c r="AH40" i="45"/>
  <c r="AH28" i="45"/>
  <c r="EF147" i="59"/>
  <c r="B149" i="59"/>
  <c r="AA10" i="63" l="1"/>
  <c r="E10" i="60" l="1"/>
  <c r="E22" i="60" s="1"/>
  <c r="E49" i="60" l="1"/>
  <c r="C4" i="58" l="1"/>
  <c r="DZ118" i="59" l="1"/>
  <c r="DY118" i="59"/>
  <c r="DX118" i="59"/>
  <c r="DW118" i="59"/>
  <c r="DV118" i="59"/>
  <c r="DU118" i="59"/>
  <c r="DT118" i="59"/>
  <c r="DS118" i="59"/>
  <c r="DR118" i="59"/>
  <c r="DQ118" i="59"/>
  <c r="DP118" i="59"/>
  <c r="DO118" i="59"/>
  <c r="DN118" i="59"/>
  <c r="DM118" i="59"/>
  <c r="DL118" i="59"/>
  <c r="DK118" i="59"/>
  <c r="DJ118" i="59"/>
  <c r="DI118" i="59"/>
  <c r="DH118" i="59"/>
  <c r="DG118" i="59"/>
  <c r="DF118" i="59"/>
  <c r="DE118" i="59"/>
  <c r="DD118" i="59"/>
  <c r="DC118" i="59"/>
  <c r="DB118" i="59"/>
  <c r="DA118" i="59"/>
  <c r="CZ118" i="59"/>
  <c r="CY118" i="59"/>
  <c r="CX118" i="59"/>
  <c r="CW118" i="59"/>
  <c r="CV118" i="59"/>
  <c r="DZ117" i="59"/>
  <c r="DY117" i="59"/>
  <c r="DX117" i="59"/>
  <c r="DW117" i="59"/>
  <c r="DV117" i="59"/>
  <c r="DU117" i="59"/>
  <c r="DT117" i="59"/>
  <c r="DS117" i="59"/>
  <c r="DR117" i="59"/>
  <c r="DQ117" i="59"/>
  <c r="DP117" i="59"/>
  <c r="DO117" i="59"/>
  <c r="DN117" i="59"/>
  <c r="DM117" i="59"/>
  <c r="DL117" i="59"/>
  <c r="DK117" i="59"/>
  <c r="DJ117" i="59"/>
  <c r="DI117" i="59"/>
  <c r="DH117" i="59"/>
  <c r="DG117" i="59"/>
  <c r="DF117" i="59"/>
  <c r="DE117" i="59"/>
  <c r="DD117" i="59"/>
  <c r="DC117" i="59"/>
  <c r="DB117" i="59"/>
  <c r="DA117" i="59"/>
  <c r="CZ117" i="59"/>
  <c r="CY117" i="59"/>
  <c r="CX117" i="59"/>
  <c r="CW117" i="59"/>
  <c r="CV117" i="59"/>
  <c r="DZ116" i="59"/>
  <c r="DY116" i="59"/>
  <c r="DX116" i="59"/>
  <c r="DW116" i="59"/>
  <c r="DV116" i="59"/>
  <c r="DU116" i="59"/>
  <c r="DT116" i="59"/>
  <c r="DS116" i="59"/>
  <c r="DR116" i="59"/>
  <c r="DQ116" i="59"/>
  <c r="DP116" i="59"/>
  <c r="DO116" i="59"/>
  <c r="DN116" i="59"/>
  <c r="DM116" i="59"/>
  <c r="DL116" i="59"/>
  <c r="DK116" i="59"/>
  <c r="DJ116" i="59"/>
  <c r="DI116" i="59"/>
  <c r="DH116" i="59"/>
  <c r="DG116" i="59"/>
  <c r="DF116" i="59"/>
  <c r="DE116" i="59"/>
  <c r="DD116" i="59"/>
  <c r="DC116" i="59"/>
  <c r="DB116" i="59"/>
  <c r="DA116" i="59"/>
  <c r="CZ116" i="59"/>
  <c r="CY116" i="59"/>
  <c r="CX116" i="59"/>
  <c r="CW116" i="59"/>
  <c r="CV116" i="59"/>
  <c r="DZ115" i="59"/>
  <c r="DY115" i="59"/>
  <c r="DX115" i="59"/>
  <c r="DW115" i="59"/>
  <c r="DV115" i="59"/>
  <c r="DU115" i="59"/>
  <c r="DT115" i="59"/>
  <c r="DS115" i="59"/>
  <c r="DR115" i="59"/>
  <c r="DQ115" i="59"/>
  <c r="DP115" i="59"/>
  <c r="DO115" i="59"/>
  <c r="DN115" i="59"/>
  <c r="DM115" i="59"/>
  <c r="DL115" i="59"/>
  <c r="DK115" i="59"/>
  <c r="DJ115" i="59"/>
  <c r="DI115" i="59"/>
  <c r="DH115" i="59"/>
  <c r="DG115" i="59"/>
  <c r="DF115" i="59"/>
  <c r="DE115" i="59"/>
  <c r="DD115" i="59"/>
  <c r="DC115" i="59"/>
  <c r="DB115" i="59"/>
  <c r="DA115" i="59"/>
  <c r="CZ115" i="59"/>
  <c r="CY115" i="59"/>
  <c r="CX115" i="59"/>
  <c r="CW115" i="59"/>
  <c r="CV115" i="59"/>
  <c r="DZ114" i="59"/>
  <c r="DY114" i="59"/>
  <c r="DX114" i="59"/>
  <c r="DW114" i="59"/>
  <c r="DV114" i="59"/>
  <c r="DU114" i="59"/>
  <c r="DT114" i="59"/>
  <c r="DS114" i="59"/>
  <c r="DR114" i="59"/>
  <c r="DQ114" i="59"/>
  <c r="DP114" i="59"/>
  <c r="DO114" i="59"/>
  <c r="DN114" i="59"/>
  <c r="DM114" i="59"/>
  <c r="DL114" i="59"/>
  <c r="DK114" i="59"/>
  <c r="DJ114" i="59"/>
  <c r="DI114" i="59"/>
  <c r="DH114" i="59"/>
  <c r="DG114" i="59"/>
  <c r="DF114" i="59"/>
  <c r="DE114" i="59"/>
  <c r="DD114" i="59"/>
  <c r="DC114" i="59"/>
  <c r="DB114" i="59"/>
  <c r="DA114" i="59"/>
  <c r="CZ114" i="59"/>
  <c r="CY114" i="59"/>
  <c r="CX114" i="59"/>
  <c r="CW114" i="59"/>
  <c r="CV114" i="59"/>
  <c r="DZ113" i="59"/>
  <c r="DY113" i="59"/>
  <c r="DX113" i="59"/>
  <c r="DW113" i="59"/>
  <c r="DV113" i="59"/>
  <c r="DU113" i="59"/>
  <c r="DT113" i="59"/>
  <c r="DS113" i="59"/>
  <c r="DR113" i="59"/>
  <c r="DQ113" i="59"/>
  <c r="DP113" i="59"/>
  <c r="DO113" i="59"/>
  <c r="DN113" i="59"/>
  <c r="DM113" i="59"/>
  <c r="DL113" i="59"/>
  <c r="DK113" i="59"/>
  <c r="DJ113" i="59"/>
  <c r="DI113" i="59"/>
  <c r="DH113" i="59"/>
  <c r="DG113" i="59"/>
  <c r="DF113" i="59"/>
  <c r="DE113" i="59"/>
  <c r="DD113" i="59"/>
  <c r="DC113" i="59"/>
  <c r="DB113" i="59"/>
  <c r="DA113" i="59"/>
  <c r="CZ113" i="59"/>
  <c r="CY113" i="59"/>
  <c r="CX113" i="59"/>
  <c r="CW113" i="59"/>
  <c r="CV113" i="59"/>
  <c r="DZ112" i="59"/>
  <c r="DY112" i="59"/>
  <c r="DX112" i="59"/>
  <c r="DW112" i="59"/>
  <c r="DV112" i="59"/>
  <c r="DU112" i="59"/>
  <c r="DT112" i="59"/>
  <c r="DS112" i="59"/>
  <c r="DR112" i="59"/>
  <c r="DQ112" i="59"/>
  <c r="DP112" i="59"/>
  <c r="DO112" i="59"/>
  <c r="DN112" i="59"/>
  <c r="DM112" i="59"/>
  <c r="DL112" i="59"/>
  <c r="DK112" i="59"/>
  <c r="DJ112" i="59"/>
  <c r="DI112" i="59"/>
  <c r="DH112" i="59"/>
  <c r="DG112" i="59"/>
  <c r="DF112" i="59"/>
  <c r="DE112" i="59"/>
  <c r="DD112" i="59"/>
  <c r="DC112" i="59"/>
  <c r="DB112" i="59"/>
  <c r="DA112" i="59"/>
  <c r="CZ112" i="59"/>
  <c r="CY112" i="59"/>
  <c r="CX112" i="59"/>
  <c r="CW112" i="59"/>
  <c r="CV112" i="59"/>
  <c r="DZ111" i="59"/>
  <c r="DY111" i="59"/>
  <c r="DX111" i="59"/>
  <c r="DW111" i="59"/>
  <c r="DV111" i="59"/>
  <c r="DU111" i="59"/>
  <c r="DT111" i="59"/>
  <c r="DS111" i="59"/>
  <c r="DR111" i="59"/>
  <c r="DQ111" i="59"/>
  <c r="DP111" i="59"/>
  <c r="DO111" i="59"/>
  <c r="DN111" i="59"/>
  <c r="DM111" i="59"/>
  <c r="DL111" i="59"/>
  <c r="DK111" i="59"/>
  <c r="DJ111" i="59"/>
  <c r="DI111" i="59"/>
  <c r="DH111" i="59"/>
  <c r="DG111" i="59"/>
  <c r="DF111" i="59"/>
  <c r="DE111" i="59"/>
  <c r="DD111" i="59"/>
  <c r="DC111" i="59"/>
  <c r="DB111" i="59"/>
  <c r="DA111" i="59"/>
  <c r="CZ111" i="59"/>
  <c r="CY111" i="59"/>
  <c r="CX111" i="59"/>
  <c r="CW111" i="59"/>
  <c r="CV111" i="59"/>
  <c r="DZ110" i="59"/>
  <c r="DY110" i="59"/>
  <c r="DX110" i="59"/>
  <c r="DW110" i="59"/>
  <c r="DV110" i="59"/>
  <c r="DU110" i="59"/>
  <c r="DT110" i="59"/>
  <c r="DS110" i="59"/>
  <c r="DR110" i="59"/>
  <c r="DQ110" i="59"/>
  <c r="DP110" i="59"/>
  <c r="DO110" i="59"/>
  <c r="DN110" i="59"/>
  <c r="DM110" i="59"/>
  <c r="DL110" i="59"/>
  <c r="DK110" i="59"/>
  <c r="DJ110" i="59"/>
  <c r="DI110" i="59"/>
  <c r="DH110" i="59"/>
  <c r="DG110" i="59"/>
  <c r="DF110" i="59"/>
  <c r="DE110" i="59"/>
  <c r="DD110" i="59"/>
  <c r="DC110" i="59"/>
  <c r="DB110" i="59"/>
  <c r="DA110" i="59"/>
  <c r="CZ110" i="59"/>
  <c r="CY110" i="59"/>
  <c r="CX110" i="59"/>
  <c r="CW110" i="59"/>
  <c r="CV110" i="59"/>
  <c r="DZ109" i="59"/>
  <c r="DY109" i="59"/>
  <c r="DX109" i="59"/>
  <c r="DW109" i="59"/>
  <c r="DV109" i="59"/>
  <c r="DU109" i="59"/>
  <c r="DT109" i="59"/>
  <c r="DS109" i="59"/>
  <c r="DR109" i="59"/>
  <c r="DQ109" i="59"/>
  <c r="DP109" i="59"/>
  <c r="DO109" i="59"/>
  <c r="DN109" i="59"/>
  <c r="DM109" i="59"/>
  <c r="DL109" i="59"/>
  <c r="DK109" i="59"/>
  <c r="DJ109" i="59"/>
  <c r="DI109" i="59"/>
  <c r="DH109" i="59"/>
  <c r="DG109" i="59"/>
  <c r="DF109" i="59"/>
  <c r="DE109" i="59"/>
  <c r="DD109" i="59"/>
  <c r="DC109" i="59"/>
  <c r="DB109" i="59"/>
  <c r="DA109" i="59"/>
  <c r="CZ109" i="59"/>
  <c r="CY109" i="59"/>
  <c r="CX109" i="59"/>
  <c r="CW109" i="59"/>
  <c r="CV109" i="59"/>
  <c r="DZ108" i="59"/>
  <c r="DY108" i="59"/>
  <c r="DX108" i="59"/>
  <c r="DW108" i="59"/>
  <c r="DV108" i="59"/>
  <c r="DU108" i="59"/>
  <c r="DT108" i="59"/>
  <c r="DS108" i="59"/>
  <c r="DR108" i="59"/>
  <c r="DQ108" i="59"/>
  <c r="DP108" i="59"/>
  <c r="DO108" i="59"/>
  <c r="DN108" i="59"/>
  <c r="DM108" i="59"/>
  <c r="DL108" i="59"/>
  <c r="DK108" i="59"/>
  <c r="DJ108" i="59"/>
  <c r="DI108" i="59"/>
  <c r="DH108" i="59"/>
  <c r="DG108" i="59"/>
  <c r="DF108" i="59"/>
  <c r="DE108" i="59"/>
  <c r="DD108" i="59"/>
  <c r="DC108" i="59"/>
  <c r="DB108" i="59"/>
  <c r="DA108" i="59"/>
  <c r="CZ108" i="59"/>
  <c r="CY108" i="59"/>
  <c r="CX108" i="59"/>
  <c r="CW108" i="59"/>
  <c r="CV108" i="59"/>
  <c r="DZ106" i="59"/>
  <c r="DY106" i="59"/>
  <c r="DX106" i="59"/>
  <c r="DW106" i="59"/>
  <c r="DV106" i="59"/>
  <c r="DU106" i="59"/>
  <c r="DT106" i="59"/>
  <c r="DS106" i="59"/>
  <c r="DR106" i="59"/>
  <c r="DQ106" i="59"/>
  <c r="DP106" i="59"/>
  <c r="DO106" i="59"/>
  <c r="DN106" i="59"/>
  <c r="DM106" i="59"/>
  <c r="DL106" i="59"/>
  <c r="DK106" i="59"/>
  <c r="DJ106" i="59"/>
  <c r="DI106" i="59"/>
  <c r="DH106" i="59"/>
  <c r="DG106" i="59"/>
  <c r="DF106" i="59"/>
  <c r="DE106" i="59"/>
  <c r="DD106" i="59"/>
  <c r="DC106" i="59"/>
  <c r="DB106" i="59"/>
  <c r="DA106" i="59"/>
  <c r="CZ106" i="59"/>
  <c r="CY106" i="59"/>
  <c r="CX106" i="59"/>
  <c r="CW106" i="59"/>
  <c r="CV106" i="59"/>
  <c r="DZ105" i="59"/>
  <c r="DY105" i="59"/>
  <c r="DX105" i="59"/>
  <c r="DW105" i="59"/>
  <c r="DV105" i="59"/>
  <c r="DU105" i="59"/>
  <c r="DT105" i="59"/>
  <c r="DS105" i="59"/>
  <c r="DR105" i="59"/>
  <c r="DQ105" i="59"/>
  <c r="DP105" i="59"/>
  <c r="DO105" i="59"/>
  <c r="DN105" i="59"/>
  <c r="DM105" i="59"/>
  <c r="DL105" i="59"/>
  <c r="DK105" i="59"/>
  <c r="DJ105" i="59"/>
  <c r="DI105" i="59"/>
  <c r="DH105" i="59"/>
  <c r="DG105" i="59"/>
  <c r="DF105" i="59"/>
  <c r="DE105" i="59"/>
  <c r="DD105" i="59"/>
  <c r="DC105" i="59"/>
  <c r="DB105" i="59"/>
  <c r="DA105" i="59"/>
  <c r="CZ105" i="59"/>
  <c r="CY105" i="59"/>
  <c r="CX105" i="59"/>
  <c r="CW105" i="59"/>
  <c r="CV105" i="59"/>
  <c r="DZ91" i="59"/>
  <c r="DY91" i="59"/>
  <c r="DX91" i="59"/>
  <c r="DW91" i="59"/>
  <c r="DV91" i="59"/>
  <c r="DU91" i="59"/>
  <c r="DT91" i="59"/>
  <c r="DS91" i="59"/>
  <c r="DR91" i="59"/>
  <c r="DQ91" i="59"/>
  <c r="DP91" i="59"/>
  <c r="DO91" i="59"/>
  <c r="DN91" i="59"/>
  <c r="DM91" i="59"/>
  <c r="DL91" i="59"/>
  <c r="DK91" i="59"/>
  <c r="DJ91" i="59"/>
  <c r="DI91" i="59"/>
  <c r="DH91" i="59"/>
  <c r="DG91" i="59"/>
  <c r="DF91" i="59"/>
  <c r="DE91" i="59"/>
  <c r="DD91" i="59"/>
  <c r="DC91" i="59"/>
  <c r="DB91" i="59"/>
  <c r="DA91" i="59"/>
  <c r="CZ91" i="59"/>
  <c r="CY91" i="59"/>
  <c r="CX91" i="59"/>
  <c r="CW91" i="59"/>
  <c r="CV91" i="59"/>
  <c r="DZ90" i="59"/>
  <c r="DY90" i="59"/>
  <c r="DX90" i="59"/>
  <c r="DW90" i="59"/>
  <c r="DV90" i="59"/>
  <c r="DU90" i="59"/>
  <c r="DT90" i="59"/>
  <c r="DS90" i="59"/>
  <c r="DR90" i="59"/>
  <c r="DQ90" i="59"/>
  <c r="DP90" i="59"/>
  <c r="DO90" i="59"/>
  <c r="DN90" i="59"/>
  <c r="DM90" i="59"/>
  <c r="DL90" i="59"/>
  <c r="DK90" i="59"/>
  <c r="DJ90" i="59"/>
  <c r="DI90" i="59"/>
  <c r="DH90" i="59"/>
  <c r="DG90" i="59"/>
  <c r="DF90" i="59"/>
  <c r="DE90" i="59"/>
  <c r="DD90" i="59"/>
  <c r="DC90" i="59"/>
  <c r="DB90" i="59"/>
  <c r="DA90" i="59"/>
  <c r="CZ90" i="59"/>
  <c r="CY90" i="59"/>
  <c r="CX90" i="59"/>
  <c r="CW90" i="59"/>
  <c r="CV90" i="59"/>
  <c r="DZ89" i="59"/>
  <c r="DY89" i="59"/>
  <c r="DX89" i="59"/>
  <c r="DW89" i="59"/>
  <c r="DV89" i="59"/>
  <c r="DU89" i="59"/>
  <c r="DT89" i="59"/>
  <c r="DS89" i="59"/>
  <c r="DR89" i="59"/>
  <c r="DQ89" i="59"/>
  <c r="DP89" i="59"/>
  <c r="DO89" i="59"/>
  <c r="DN89" i="59"/>
  <c r="DM89" i="59"/>
  <c r="DL89" i="59"/>
  <c r="DK89" i="59"/>
  <c r="DJ89" i="59"/>
  <c r="DI89" i="59"/>
  <c r="DH89" i="59"/>
  <c r="DG89" i="59"/>
  <c r="DF89" i="59"/>
  <c r="DE89" i="59"/>
  <c r="DD89" i="59"/>
  <c r="DC89" i="59"/>
  <c r="DB89" i="59"/>
  <c r="DA89" i="59"/>
  <c r="CZ89" i="59"/>
  <c r="CY89" i="59"/>
  <c r="CX89" i="59"/>
  <c r="CW89" i="59"/>
  <c r="CV89" i="59"/>
  <c r="DZ88" i="59"/>
  <c r="DY88" i="59"/>
  <c r="DX88" i="59"/>
  <c r="DW88" i="59"/>
  <c r="DV88" i="59"/>
  <c r="DU88" i="59"/>
  <c r="DT88" i="59"/>
  <c r="DS88" i="59"/>
  <c r="DR88" i="59"/>
  <c r="DQ88" i="59"/>
  <c r="DP88" i="59"/>
  <c r="DO88" i="59"/>
  <c r="DN88" i="59"/>
  <c r="DM88" i="59"/>
  <c r="DL88" i="59"/>
  <c r="DK88" i="59"/>
  <c r="DJ88" i="59"/>
  <c r="DI88" i="59"/>
  <c r="DH88" i="59"/>
  <c r="DG88" i="59"/>
  <c r="DF88" i="59"/>
  <c r="DE88" i="59"/>
  <c r="DD88" i="59"/>
  <c r="DC88" i="59"/>
  <c r="DB88" i="59"/>
  <c r="DA88" i="59"/>
  <c r="CZ88" i="59"/>
  <c r="CY88" i="59"/>
  <c r="CX88" i="59"/>
  <c r="CW88" i="59"/>
  <c r="CV88" i="59"/>
  <c r="DZ87" i="59"/>
  <c r="DY87" i="59"/>
  <c r="DX87" i="59"/>
  <c r="DW87" i="59"/>
  <c r="DV87" i="59"/>
  <c r="DU87" i="59"/>
  <c r="DT87" i="59"/>
  <c r="DS87" i="59"/>
  <c r="DR87" i="59"/>
  <c r="DQ87" i="59"/>
  <c r="DP87" i="59"/>
  <c r="DO87" i="59"/>
  <c r="DN87" i="59"/>
  <c r="DM87" i="59"/>
  <c r="DL87" i="59"/>
  <c r="DK87" i="59"/>
  <c r="DJ87" i="59"/>
  <c r="DI87" i="59"/>
  <c r="DH87" i="59"/>
  <c r="DG87" i="59"/>
  <c r="DF87" i="59"/>
  <c r="DE87" i="59"/>
  <c r="DD87" i="59"/>
  <c r="DC87" i="59"/>
  <c r="DB87" i="59"/>
  <c r="DA87" i="59"/>
  <c r="CZ87" i="59"/>
  <c r="CY87" i="59"/>
  <c r="CX87" i="59"/>
  <c r="CW87" i="59"/>
  <c r="CV87" i="59"/>
  <c r="DZ86" i="59"/>
  <c r="DY86" i="59"/>
  <c r="DX86" i="59"/>
  <c r="DW86" i="59"/>
  <c r="DV86" i="59"/>
  <c r="DU86" i="59"/>
  <c r="DT86" i="59"/>
  <c r="DS86" i="59"/>
  <c r="DR86" i="59"/>
  <c r="DQ86" i="59"/>
  <c r="DP86" i="59"/>
  <c r="DO86" i="59"/>
  <c r="DN86" i="59"/>
  <c r="DM86" i="59"/>
  <c r="DL86" i="59"/>
  <c r="DK86" i="59"/>
  <c r="DJ86" i="59"/>
  <c r="DI86" i="59"/>
  <c r="DH86" i="59"/>
  <c r="DG86" i="59"/>
  <c r="DF86" i="59"/>
  <c r="DE86" i="59"/>
  <c r="DD86" i="59"/>
  <c r="DC86" i="59"/>
  <c r="DB86" i="59"/>
  <c r="DA86" i="59"/>
  <c r="CZ86" i="59"/>
  <c r="CY86" i="59"/>
  <c r="CX86" i="59"/>
  <c r="CW86" i="59"/>
  <c r="CV86" i="59"/>
  <c r="DZ85" i="59"/>
  <c r="DY85" i="59"/>
  <c r="DX85" i="59"/>
  <c r="DW85" i="59"/>
  <c r="DV85" i="59"/>
  <c r="DU85" i="59"/>
  <c r="DT85" i="59"/>
  <c r="DS85" i="59"/>
  <c r="DR85" i="59"/>
  <c r="DQ85" i="59"/>
  <c r="DP85" i="59"/>
  <c r="DO85" i="59"/>
  <c r="DN85" i="59"/>
  <c r="DM85" i="59"/>
  <c r="DL85" i="59"/>
  <c r="DK85" i="59"/>
  <c r="DJ85" i="59"/>
  <c r="DI85" i="59"/>
  <c r="DH85" i="59"/>
  <c r="DG85" i="59"/>
  <c r="DF85" i="59"/>
  <c r="DE85" i="59"/>
  <c r="DD85" i="59"/>
  <c r="DC85" i="59"/>
  <c r="DB85" i="59"/>
  <c r="DA85" i="59"/>
  <c r="CZ85" i="59"/>
  <c r="CY85" i="59"/>
  <c r="CX85" i="59"/>
  <c r="CW85" i="59"/>
  <c r="CV85" i="59"/>
  <c r="DZ84" i="59"/>
  <c r="DY84" i="59"/>
  <c r="DX84" i="59"/>
  <c r="DW84" i="59"/>
  <c r="DV84" i="59"/>
  <c r="DU84" i="59"/>
  <c r="DT84" i="59"/>
  <c r="DS84" i="59"/>
  <c r="DR84" i="59"/>
  <c r="DQ84" i="59"/>
  <c r="DP84" i="59"/>
  <c r="DO84" i="59"/>
  <c r="DN84" i="59"/>
  <c r="DM84" i="59"/>
  <c r="DL84" i="59"/>
  <c r="DK84" i="59"/>
  <c r="DJ84" i="59"/>
  <c r="DI84" i="59"/>
  <c r="DH84" i="59"/>
  <c r="DG84" i="59"/>
  <c r="DF84" i="59"/>
  <c r="DE84" i="59"/>
  <c r="DD84" i="59"/>
  <c r="DC84" i="59"/>
  <c r="DB84" i="59"/>
  <c r="DA84" i="59"/>
  <c r="CZ84" i="59"/>
  <c r="CY84" i="59"/>
  <c r="CX84" i="59"/>
  <c r="CW84" i="59"/>
  <c r="CV84" i="59"/>
  <c r="DZ83" i="59"/>
  <c r="DY83" i="59"/>
  <c r="DX83" i="59"/>
  <c r="DW83" i="59"/>
  <c r="DV83" i="59"/>
  <c r="DU83" i="59"/>
  <c r="DT83" i="59"/>
  <c r="DS83" i="59"/>
  <c r="DR83" i="59"/>
  <c r="DQ83" i="59"/>
  <c r="DP83" i="59"/>
  <c r="DO83" i="59"/>
  <c r="DN83" i="59"/>
  <c r="DM83" i="59"/>
  <c r="DL83" i="59"/>
  <c r="DK83" i="59"/>
  <c r="DJ83" i="59"/>
  <c r="DI83" i="59"/>
  <c r="DH83" i="59"/>
  <c r="DG83" i="59"/>
  <c r="DF83" i="59"/>
  <c r="DE83" i="59"/>
  <c r="DD83" i="59"/>
  <c r="DC83" i="59"/>
  <c r="DB83" i="59"/>
  <c r="DA83" i="59"/>
  <c r="CZ83" i="59"/>
  <c r="CY83" i="59"/>
  <c r="CX83" i="59"/>
  <c r="CW83" i="59"/>
  <c r="CV83" i="59"/>
  <c r="DZ82" i="59"/>
  <c r="DY82" i="59"/>
  <c r="DX82" i="59"/>
  <c r="DW82" i="59"/>
  <c r="DV82" i="59"/>
  <c r="DU82" i="59"/>
  <c r="DT82" i="59"/>
  <c r="DS82" i="59"/>
  <c r="DR82" i="59"/>
  <c r="DQ82" i="59"/>
  <c r="DP82" i="59"/>
  <c r="DO82" i="59"/>
  <c r="DN82" i="59"/>
  <c r="DM82" i="59"/>
  <c r="DL82" i="59"/>
  <c r="DK82" i="59"/>
  <c r="DJ82" i="59"/>
  <c r="DI82" i="59"/>
  <c r="DH82" i="59"/>
  <c r="DG82" i="59"/>
  <c r="DF82" i="59"/>
  <c r="DE82" i="59"/>
  <c r="DD82" i="59"/>
  <c r="DC82" i="59"/>
  <c r="DB82" i="59"/>
  <c r="DA82" i="59"/>
  <c r="CZ82" i="59"/>
  <c r="CY82" i="59"/>
  <c r="CX82" i="59"/>
  <c r="CW82" i="59"/>
  <c r="CV82" i="59"/>
  <c r="DZ81" i="59"/>
  <c r="DY81" i="59"/>
  <c r="DX81" i="59"/>
  <c r="DW81" i="59"/>
  <c r="DV81" i="59"/>
  <c r="DU81" i="59"/>
  <c r="DT81" i="59"/>
  <c r="DS81" i="59"/>
  <c r="DR81" i="59"/>
  <c r="DQ81" i="59"/>
  <c r="DP81" i="59"/>
  <c r="DO81" i="59"/>
  <c r="DN81" i="59"/>
  <c r="DM81" i="59"/>
  <c r="DL81" i="59"/>
  <c r="DK81" i="59"/>
  <c r="DJ81" i="59"/>
  <c r="DI81" i="59"/>
  <c r="DH81" i="59"/>
  <c r="DG81" i="59"/>
  <c r="DF81" i="59"/>
  <c r="DE81" i="59"/>
  <c r="DD81" i="59"/>
  <c r="DC81" i="59"/>
  <c r="DB81" i="59"/>
  <c r="DA81" i="59"/>
  <c r="CZ81" i="59"/>
  <c r="CY81" i="59"/>
  <c r="CX81" i="59"/>
  <c r="CW81" i="59"/>
  <c r="CV81" i="59"/>
  <c r="DZ79" i="59"/>
  <c r="DY79" i="59"/>
  <c r="DX79" i="59"/>
  <c r="DW79" i="59"/>
  <c r="DV79" i="59"/>
  <c r="DU79" i="59"/>
  <c r="DT79" i="59"/>
  <c r="DS79" i="59"/>
  <c r="DR79" i="59"/>
  <c r="DQ79" i="59"/>
  <c r="DP79" i="59"/>
  <c r="DO79" i="59"/>
  <c r="DN79" i="59"/>
  <c r="DM79" i="59"/>
  <c r="DL79" i="59"/>
  <c r="DK79" i="59"/>
  <c r="DJ79" i="59"/>
  <c r="DI79" i="59"/>
  <c r="DH79" i="59"/>
  <c r="DG79" i="59"/>
  <c r="DF79" i="59"/>
  <c r="DE79" i="59"/>
  <c r="DD79" i="59"/>
  <c r="DC79" i="59"/>
  <c r="DB79" i="59"/>
  <c r="DA79" i="59"/>
  <c r="CZ79" i="59"/>
  <c r="CY79" i="59"/>
  <c r="CX79" i="59"/>
  <c r="CW79" i="59"/>
  <c r="CV79" i="59"/>
  <c r="DZ78" i="59"/>
  <c r="DY78" i="59"/>
  <c r="DX78" i="59"/>
  <c r="DW78" i="59"/>
  <c r="DV78" i="59"/>
  <c r="DU78" i="59"/>
  <c r="DT78" i="59"/>
  <c r="DS78" i="59"/>
  <c r="DR78" i="59"/>
  <c r="DQ78" i="59"/>
  <c r="DP78" i="59"/>
  <c r="DO78" i="59"/>
  <c r="DN78" i="59"/>
  <c r="DM78" i="59"/>
  <c r="DL78" i="59"/>
  <c r="DK78" i="59"/>
  <c r="DJ78" i="59"/>
  <c r="DI78" i="59"/>
  <c r="DH78" i="59"/>
  <c r="DG78" i="59"/>
  <c r="DF78" i="59"/>
  <c r="DE78" i="59"/>
  <c r="DD78" i="59"/>
  <c r="DC78" i="59"/>
  <c r="DB78" i="59"/>
  <c r="DA78" i="59"/>
  <c r="CZ78" i="59"/>
  <c r="CY78" i="59"/>
  <c r="CX78" i="59"/>
  <c r="CW78" i="59"/>
  <c r="CV78" i="59"/>
  <c r="CV73" i="59"/>
  <c r="CV70" i="59"/>
  <c r="CV69" i="59"/>
  <c r="CV68" i="59"/>
  <c r="CV67" i="59"/>
  <c r="CV66" i="59"/>
  <c r="CV65" i="59"/>
  <c r="CV64" i="59"/>
  <c r="CV62" i="59"/>
  <c r="CV61" i="59"/>
  <c r="DZ48" i="59"/>
  <c r="DY48" i="59"/>
  <c r="DX48" i="59"/>
  <c r="DW48" i="59"/>
  <c r="DV48" i="59"/>
  <c r="DU48" i="59"/>
  <c r="DT48" i="59"/>
  <c r="DS48" i="59"/>
  <c r="DR48" i="59"/>
  <c r="DQ48" i="59"/>
  <c r="DP48" i="59"/>
  <c r="DO48" i="59"/>
  <c r="DN48" i="59"/>
  <c r="DM48" i="59"/>
  <c r="DL48" i="59"/>
  <c r="DK48" i="59"/>
  <c r="DJ48" i="59"/>
  <c r="DI48" i="59"/>
  <c r="DH48" i="59"/>
  <c r="DG48" i="59"/>
  <c r="DF48" i="59"/>
  <c r="DE48" i="59"/>
  <c r="DD48" i="59"/>
  <c r="DC48" i="59"/>
  <c r="DB48" i="59"/>
  <c r="DA48" i="59"/>
  <c r="CZ48" i="59"/>
  <c r="CY48" i="59"/>
  <c r="CX48" i="59"/>
  <c r="CW48" i="59"/>
  <c r="CV48" i="59"/>
  <c r="DZ47" i="59"/>
  <c r="DY47" i="59"/>
  <c r="DX47" i="59"/>
  <c r="DW47" i="59"/>
  <c r="DV47" i="59"/>
  <c r="DU47" i="59"/>
  <c r="DT47" i="59"/>
  <c r="DS47" i="59"/>
  <c r="DR47" i="59"/>
  <c r="DQ47" i="59"/>
  <c r="DP47" i="59"/>
  <c r="DO47" i="59"/>
  <c r="DN47" i="59"/>
  <c r="DM47" i="59"/>
  <c r="DL47" i="59"/>
  <c r="DK47" i="59"/>
  <c r="DJ47" i="59"/>
  <c r="DI47" i="59"/>
  <c r="DH47" i="59"/>
  <c r="DG47" i="59"/>
  <c r="DF47" i="59"/>
  <c r="DE47" i="59"/>
  <c r="DD47" i="59"/>
  <c r="DC47" i="59"/>
  <c r="DB47" i="59"/>
  <c r="DA47" i="59"/>
  <c r="CZ47" i="59"/>
  <c r="CY47" i="59"/>
  <c r="CX47" i="59"/>
  <c r="CW47" i="59"/>
  <c r="CV47" i="59"/>
  <c r="DZ46" i="59"/>
  <c r="DY46" i="59"/>
  <c r="DX46" i="59"/>
  <c r="DW46" i="59"/>
  <c r="DV46" i="59"/>
  <c r="DU46" i="59"/>
  <c r="DT46" i="59"/>
  <c r="DS46" i="59"/>
  <c r="DR46" i="59"/>
  <c r="DQ46" i="59"/>
  <c r="DP46" i="59"/>
  <c r="DO46" i="59"/>
  <c r="DN46" i="59"/>
  <c r="DM46" i="59"/>
  <c r="DL46" i="59"/>
  <c r="DK46" i="59"/>
  <c r="DJ46" i="59"/>
  <c r="DI46" i="59"/>
  <c r="DH46" i="59"/>
  <c r="DG46" i="59"/>
  <c r="DF46" i="59"/>
  <c r="DE46" i="59"/>
  <c r="DD46" i="59"/>
  <c r="DC46" i="59"/>
  <c r="DB46" i="59"/>
  <c r="DA46" i="59"/>
  <c r="CZ46" i="59"/>
  <c r="CY46" i="59"/>
  <c r="CX46" i="59"/>
  <c r="CW46" i="59"/>
  <c r="CV46" i="59"/>
  <c r="DZ44" i="59"/>
  <c r="DY44" i="59"/>
  <c r="DX44" i="59"/>
  <c r="DW44" i="59"/>
  <c r="DV44" i="59"/>
  <c r="DU44" i="59"/>
  <c r="DT44" i="59"/>
  <c r="DS44" i="59"/>
  <c r="DR44" i="59"/>
  <c r="DQ44" i="59"/>
  <c r="DP44" i="59"/>
  <c r="DO44" i="59"/>
  <c r="DN44" i="59"/>
  <c r="DM44" i="59"/>
  <c r="DL44" i="59"/>
  <c r="DK44" i="59"/>
  <c r="DJ44" i="59"/>
  <c r="DI44" i="59"/>
  <c r="DH44" i="59"/>
  <c r="DG44" i="59"/>
  <c r="DF44" i="59"/>
  <c r="DE44" i="59"/>
  <c r="DD44" i="59"/>
  <c r="DC44" i="59"/>
  <c r="DB44" i="59"/>
  <c r="DA44" i="59"/>
  <c r="CZ44" i="59"/>
  <c r="CY44" i="59"/>
  <c r="CX44" i="59"/>
  <c r="CW44" i="59"/>
  <c r="CV44" i="59"/>
  <c r="DZ43" i="59"/>
  <c r="DY43" i="59"/>
  <c r="DX43" i="59"/>
  <c r="DW43" i="59"/>
  <c r="DV43" i="59"/>
  <c r="DU43" i="59"/>
  <c r="DT43" i="59"/>
  <c r="DS43" i="59"/>
  <c r="DR43" i="59"/>
  <c r="DQ43" i="59"/>
  <c r="DP43" i="59"/>
  <c r="DO43" i="59"/>
  <c r="DN43" i="59"/>
  <c r="DM43" i="59"/>
  <c r="DL43" i="59"/>
  <c r="DK43" i="59"/>
  <c r="DJ43" i="59"/>
  <c r="DI43" i="59"/>
  <c r="DH43" i="59"/>
  <c r="DG43" i="59"/>
  <c r="DF43" i="59"/>
  <c r="DE43" i="59"/>
  <c r="DD43" i="59"/>
  <c r="DC43" i="59"/>
  <c r="DB43" i="59"/>
  <c r="DA43" i="59"/>
  <c r="CZ43" i="59"/>
  <c r="CY43" i="59"/>
  <c r="CX43" i="59"/>
  <c r="CW43" i="59"/>
  <c r="CV43" i="59"/>
  <c r="DZ42" i="59"/>
  <c r="DY42" i="59"/>
  <c r="DX42" i="59"/>
  <c r="DW42" i="59"/>
  <c r="DV42" i="59"/>
  <c r="DU42" i="59"/>
  <c r="DT42" i="59"/>
  <c r="DS42" i="59"/>
  <c r="DR42" i="59"/>
  <c r="DQ42" i="59"/>
  <c r="DP42" i="59"/>
  <c r="DO42" i="59"/>
  <c r="DN42" i="59"/>
  <c r="DM42" i="59"/>
  <c r="DL42" i="59"/>
  <c r="DK42" i="59"/>
  <c r="DJ42" i="59"/>
  <c r="DI42" i="59"/>
  <c r="DH42" i="59"/>
  <c r="DG42" i="59"/>
  <c r="DF42" i="59"/>
  <c r="DE42" i="59"/>
  <c r="DD42" i="59"/>
  <c r="DC42" i="59"/>
  <c r="DB42" i="59"/>
  <c r="DA42" i="59"/>
  <c r="CZ42" i="59"/>
  <c r="CY42" i="59"/>
  <c r="CX42" i="59"/>
  <c r="CW42" i="59"/>
  <c r="CV42" i="59"/>
  <c r="DZ41" i="59"/>
  <c r="DY41" i="59"/>
  <c r="DX41" i="59"/>
  <c r="DW41" i="59"/>
  <c r="DV41" i="59"/>
  <c r="DU41" i="59"/>
  <c r="DT41" i="59"/>
  <c r="DS41" i="59"/>
  <c r="DR41" i="59"/>
  <c r="DQ41" i="59"/>
  <c r="DP41" i="59"/>
  <c r="DO41" i="59"/>
  <c r="DN41" i="59"/>
  <c r="DM41" i="59"/>
  <c r="DL41" i="59"/>
  <c r="DK41" i="59"/>
  <c r="DJ41" i="59"/>
  <c r="DI41" i="59"/>
  <c r="DH41" i="59"/>
  <c r="DG41" i="59"/>
  <c r="DF41" i="59"/>
  <c r="DE41" i="59"/>
  <c r="DD41" i="59"/>
  <c r="DC41" i="59"/>
  <c r="DB41" i="59"/>
  <c r="DA41" i="59"/>
  <c r="CZ41" i="59"/>
  <c r="CY41" i="59"/>
  <c r="CX41" i="59"/>
  <c r="CW41" i="59"/>
  <c r="CV41" i="59"/>
  <c r="DZ40" i="59"/>
  <c r="DY40" i="59"/>
  <c r="DX40" i="59"/>
  <c r="DW40" i="59"/>
  <c r="DV40" i="59"/>
  <c r="DU40" i="59"/>
  <c r="DT40" i="59"/>
  <c r="DS40" i="59"/>
  <c r="DR40" i="59"/>
  <c r="DQ40" i="59"/>
  <c r="DP40" i="59"/>
  <c r="DO40" i="59"/>
  <c r="DN40" i="59"/>
  <c r="DM40" i="59"/>
  <c r="DL40" i="59"/>
  <c r="DK40" i="59"/>
  <c r="DJ40" i="59"/>
  <c r="DI40" i="59"/>
  <c r="DH40" i="59"/>
  <c r="DG40" i="59"/>
  <c r="DF40" i="59"/>
  <c r="DE40" i="59"/>
  <c r="DD40" i="59"/>
  <c r="DC40" i="59"/>
  <c r="DB40" i="59"/>
  <c r="DA40" i="59"/>
  <c r="CZ40" i="59"/>
  <c r="CY40" i="59"/>
  <c r="CX40" i="59"/>
  <c r="CW40" i="59"/>
  <c r="CV40" i="59"/>
  <c r="DZ39" i="59"/>
  <c r="DY39" i="59"/>
  <c r="DX39" i="59"/>
  <c r="DW39" i="59"/>
  <c r="DV39" i="59"/>
  <c r="DU39" i="59"/>
  <c r="DT39" i="59"/>
  <c r="DS39" i="59"/>
  <c r="DR39" i="59"/>
  <c r="DQ39" i="59"/>
  <c r="DP39" i="59"/>
  <c r="DO39" i="59"/>
  <c r="DN39" i="59"/>
  <c r="DM39" i="59"/>
  <c r="DL39" i="59"/>
  <c r="DK39" i="59"/>
  <c r="DJ39" i="59"/>
  <c r="DI39" i="59"/>
  <c r="DH39" i="59"/>
  <c r="DG39" i="59"/>
  <c r="DF39" i="59"/>
  <c r="DE39" i="59"/>
  <c r="DD39" i="59"/>
  <c r="DC39" i="59"/>
  <c r="DB39" i="59"/>
  <c r="DA39" i="59"/>
  <c r="CZ39" i="59"/>
  <c r="CY39" i="59"/>
  <c r="CX39" i="59"/>
  <c r="CW39" i="59"/>
  <c r="CV39" i="59"/>
  <c r="DZ38" i="59"/>
  <c r="DY38" i="59"/>
  <c r="DX38" i="59"/>
  <c r="DW38" i="59"/>
  <c r="DV38" i="59"/>
  <c r="DU38" i="59"/>
  <c r="DT38" i="59"/>
  <c r="DS38" i="59"/>
  <c r="DR38" i="59"/>
  <c r="DQ38" i="59"/>
  <c r="DP38" i="59"/>
  <c r="DO38" i="59"/>
  <c r="DN38" i="59"/>
  <c r="DM38" i="59"/>
  <c r="DL38" i="59"/>
  <c r="DK38" i="59"/>
  <c r="DJ38" i="59"/>
  <c r="DI38" i="59"/>
  <c r="DH38" i="59"/>
  <c r="DG38" i="59"/>
  <c r="DF38" i="59"/>
  <c r="DE38" i="59"/>
  <c r="DD38" i="59"/>
  <c r="DC38" i="59"/>
  <c r="DB38" i="59"/>
  <c r="DA38" i="59"/>
  <c r="CZ38" i="59"/>
  <c r="CY38" i="59"/>
  <c r="CX38" i="59"/>
  <c r="CW38" i="59"/>
  <c r="CV38" i="59"/>
  <c r="DZ37" i="59"/>
  <c r="DY37" i="59"/>
  <c r="DX37" i="59"/>
  <c r="DW37" i="59"/>
  <c r="DV37" i="59"/>
  <c r="DU37" i="59"/>
  <c r="DT37" i="59"/>
  <c r="DS37" i="59"/>
  <c r="DR37" i="59"/>
  <c r="DQ37" i="59"/>
  <c r="DP37" i="59"/>
  <c r="DO37" i="59"/>
  <c r="DN37" i="59"/>
  <c r="DM37" i="59"/>
  <c r="DL37" i="59"/>
  <c r="DK37" i="59"/>
  <c r="DJ37" i="59"/>
  <c r="DI37" i="59"/>
  <c r="DH37" i="59"/>
  <c r="DG37" i="59"/>
  <c r="DF37" i="59"/>
  <c r="DE37" i="59"/>
  <c r="DD37" i="59"/>
  <c r="DC37" i="59"/>
  <c r="DB37" i="59"/>
  <c r="DA37" i="59"/>
  <c r="CZ37" i="59"/>
  <c r="CY37" i="59"/>
  <c r="CX37" i="59"/>
  <c r="CW37" i="59"/>
  <c r="CV37" i="59"/>
  <c r="DZ36" i="59"/>
  <c r="DY36" i="59"/>
  <c r="DX36" i="59"/>
  <c r="DW36" i="59"/>
  <c r="DV36" i="59"/>
  <c r="DU36" i="59"/>
  <c r="DT36" i="59"/>
  <c r="DS36" i="59"/>
  <c r="DR36" i="59"/>
  <c r="DQ36" i="59"/>
  <c r="DP36" i="59"/>
  <c r="DO36" i="59"/>
  <c r="DN36" i="59"/>
  <c r="DM36" i="59"/>
  <c r="DL36" i="59"/>
  <c r="DK36" i="59"/>
  <c r="DJ36" i="59"/>
  <c r="DI36" i="59"/>
  <c r="DH36" i="59"/>
  <c r="DG36" i="59"/>
  <c r="DF36" i="59"/>
  <c r="DE36" i="59"/>
  <c r="DD36" i="59"/>
  <c r="DC36" i="59"/>
  <c r="DB36" i="59"/>
  <c r="DA36" i="59"/>
  <c r="CZ36" i="59"/>
  <c r="CY36" i="59"/>
  <c r="CX36" i="59"/>
  <c r="CW36" i="59"/>
  <c r="CV36" i="59"/>
  <c r="DZ35" i="59"/>
  <c r="DY35" i="59"/>
  <c r="DX35" i="59"/>
  <c r="DW35" i="59"/>
  <c r="DV35" i="59"/>
  <c r="DU35" i="59"/>
  <c r="DT35" i="59"/>
  <c r="DS35" i="59"/>
  <c r="DR35" i="59"/>
  <c r="DQ35" i="59"/>
  <c r="DP35" i="59"/>
  <c r="DO35" i="59"/>
  <c r="DN35" i="59"/>
  <c r="DM35" i="59"/>
  <c r="DL35" i="59"/>
  <c r="DK35" i="59"/>
  <c r="DJ35" i="59"/>
  <c r="DI35" i="59"/>
  <c r="DH35" i="59"/>
  <c r="DG35" i="59"/>
  <c r="DF35" i="59"/>
  <c r="DE35" i="59"/>
  <c r="DD35" i="59"/>
  <c r="DC35" i="59"/>
  <c r="DB35" i="59"/>
  <c r="DA35" i="59"/>
  <c r="CZ35" i="59"/>
  <c r="CY35" i="59"/>
  <c r="CX35" i="59"/>
  <c r="CW35" i="59"/>
  <c r="CV35" i="59"/>
  <c r="CW2" i="59"/>
  <c r="CW65" i="59" s="1"/>
  <c r="CW69" i="59" l="1"/>
  <c r="CW73" i="59"/>
  <c r="CW67" i="59"/>
  <c r="CW62" i="59"/>
  <c r="CW64" i="59"/>
  <c r="CW68" i="59"/>
  <c r="CW66" i="59"/>
  <c r="CW70" i="59"/>
  <c r="CW61" i="59"/>
  <c r="CX2" i="59"/>
  <c r="CX70" i="59" l="1"/>
  <c r="CX73" i="59"/>
  <c r="CX66" i="59"/>
  <c r="CX69" i="59"/>
  <c r="CX65" i="59"/>
  <c r="CX62" i="59"/>
  <c r="CX64" i="59"/>
  <c r="CX68" i="59"/>
  <c r="CY2" i="59"/>
  <c r="CX61" i="59"/>
  <c r="CX67" i="59"/>
  <c r="CY66" i="59" l="1"/>
  <c r="CY67" i="59"/>
  <c r="CY64" i="59"/>
  <c r="CY73" i="59"/>
  <c r="CY68" i="59"/>
  <c r="CY70" i="59"/>
  <c r="CY62" i="59"/>
  <c r="CZ2" i="59"/>
  <c r="CY69" i="59"/>
  <c r="CY61" i="59"/>
  <c r="CY65" i="59"/>
  <c r="CZ67" i="59" l="1"/>
  <c r="CZ68" i="59"/>
  <c r="CZ65" i="59"/>
  <c r="CZ73" i="59"/>
  <c r="CZ61" i="59"/>
  <c r="CZ64" i="59"/>
  <c r="DA2" i="59"/>
  <c r="CZ69" i="59"/>
  <c r="CZ66" i="59"/>
  <c r="CZ62" i="59"/>
  <c r="CZ70" i="59"/>
  <c r="DA73" i="59" l="1"/>
  <c r="DA68" i="59"/>
  <c r="DA69" i="59"/>
  <c r="DA70" i="59"/>
  <c r="DA66" i="59"/>
  <c r="DA62" i="59"/>
  <c r="DA64" i="59"/>
  <c r="DB2" i="59"/>
  <c r="DA61" i="59"/>
  <c r="DA65" i="59"/>
  <c r="DA67" i="59"/>
  <c r="DB69" i="59" l="1"/>
  <c r="DB70" i="59"/>
  <c r="DB73" i="59"/>
  <c r="DB68" i="59"/>
  <c r="DB61" i="59"/>
  <c r="DB66" i="59"/>
  <c r="DB65" i="59"/>
  <c r="DB67" i="59"/>
  <c r="DB62" i="59"/>
  <c r="DB64" i="59"/>
  <c r="DC2" i="59"/>
  <c r="DC67" i="59" l="1"/>
  <c r="DC70" i="59"/>
  <c r="DC68" i="59"/>
  <c r="DC66" i="59"/>
  <c r="DC62" i="59"/>
  <c r="DC64" i="59"/>
  <c r="DC69" i="59"/>
  <c r="DC61" i="59"/>
  <c r="DD2" i="59"/>
  <c r="DC73" i="59"/>
  <c r="DC65" i="59"/>
  <c r="DD68" i="59" l="1"/>
  <c r="DD61" i="59"/>
  <c r="DD70" i="59"/>
  <c r="DD69" i="59"/>
  <c r="DD67" i="59"/>
  <c r="DD65" i="59"/>
  <c r="DD66" i="59"/>
  <c r="DD64" i="59"/>
  <c r="DD73" i="59"/>
  <c r="DE2" i="59"/>
  <c r="DD62" i="59"/>
  <c r="DE69" i="59" l="1"/>
  <c r="DE73" i="59"/>
  <c r="DE70" i="59"/>
  <c r="DE62" i="59"/>
  <c r="DE64" i="59"/>
  <c r="DE61" i="59"/>
  <c r="DE65" i="59"/>
  <c r="DE68" i="59"/>
  <c r="DE67" i="59"/>
  <c r="DF2" i="59"/>
  <c r="DE66" i="59"/>
  <c r="DF70" i="59" l="1"/>
  <c r="DF73" i="59"/>
  <c r="DF66" i="59"/>
  <c r="DF67" i="59"/>
  <c r="DF65" i="59"/>
  <c r="DF69" i="59"/>
  <c r="DF68" i="59"/>
  <c r="DG2" i="59"/>
  <c r="DF61" i="59"/>
  <c r="DF62" i="59"/>
  <c r="DF64" i="59"/>
  <c r="DG66" i="59" l="1"/>
  <c r="DG67" i="59"/>
  <c r="DG64" i="59"/>
  <c r="DG69" i="59"/>
  <c r="DG73" i="59"/>
  <c r="DG68" i="59"/>
  <c r="DG65" i="59"/>
  <c r="DG70" i="59"/>
  <c r="DH2" i="59"/>
  <c r="DG61" i="59"/>
  <c r="DG62" i="59"/>
  <c r="DH67" i="59" l="1"/>
  <c r="DH68" i="59"/>
  <c r="DH65" i="59"/>
  <c r="DH69" i="59"/>
  <c r="DH73" i="59"/>
  <c r="DH61" i="59"/>
  <c r="DH70" i="59"/>
  <c r="DI2" i="59"/>
  <c r="DH62" i="59"/>
  <c r="DH64" i="59"/>
  <c r="DH66" i="59"/>
  <c r="DI73" i="59" l="1"/>
  <c r="DI68" i="59"/>
  <c r="DI69" i="59"/>
  <c r="DI67" i="59"/>
  <c r="DI66" i="59"/>
  <c r="DI62" i="59"/>
  <c r="DI70" i="59"/>
  <c r="DJ2" i="59"/>
  <c r="DI65" i="59"/>
  <c r="DI64" i="59"/>
  <c r="DI61" i="59"/>
  <c r="DJ66" i="59" l="1"/>
  <c r="DJ69" i="59"/>
  <c r="DJ70" i="59"/>
  <c r="DJ67" i="59"/>
  <c r="DJ61" i="59"/>
  <c r="DJ73" i="59"/>
  <c r="DJ68" i="59"/>
  <c r="DJ62" i="59"/>
  <c r="DJ65" i="59"/>
  <c r="DJ64" i="59"/>
  <c r="DK2" i="59"/>
  <c r="DK67" i="59" l="1"/>
  <c r="DK70" i="59"/>
  <c r="DK69" i="59"/>
  <c r="DK73" i="59"/>
  <c r="DK62" i="59"/>
  <c r="DK64" i="59"/>
  <c r="DK68" i="59"/>
  <c r="DK61" i="59"/>
  <c r="DK66" i="59"/>
  <c r="DK65" i="59"/>
  <c r="DL2" i="59"/>
  <c r="DL68" i="59" l="1"/>
  <c r="DL61" i="59"/>
  <c r="DL73" i="59"/>
  <c r="DL66" i="59"/>
  <c r="DL70" i="59"/>
  <c r="DL65" i="59"/>
  <c r="DL69" i="59"/>
  <c r="DL62" i="59"/>
  <c r="DL64" i="59"/>
  <c r="DL67" i="59"/>
  <c r="DM2" i="59"/>
  <c r="DM69" i="59" l="1"/>
  <c r="DM73" i="59"/>
  <c r="DM62" i="59"/>
  <c r="DM68" i="59"/>
  <c r="DM64" i="59"/>
  <c r="DM70" i="59"/>
  <c r="DM67" i="59"/>
  <c r="DM61" i="59"/>
  <c r="DM66" i="59"/>
  <c r="DM65" i="59"/>
  <c r="DN2" i="59"/>
  <c r="DN70" i="59" l="1"/>
  <c r="DN73" i="59"/>
  <c r="DN66" i="59"/>
  <c r="DN68" i="59"/>
  <c r="DN65" i="59"/>
  <c r="DN67" i="59"/>
  <c r="DN64" i="59"/>
  <c r="DN69" i="59"/>
  <c r="DN62" i="59"/>
  <c r="DN61" i="59"/>
  <c r="DO2" i="59"/>
  <c r="DO66" i="59" l="1"/>
  <c r="DO67" i="59"/>
  <c r="DO73" i="59"/>
  <c r="DO68" i="59"/>
  <c r="DO64" i="59"/>
  <c r="DO70" i="59"/>
  <c r="DO69" i="59"/>
  <c r="DO61" i="59"/>
  <c r="DO62" i="59"/>
  <c r="DP2" i="59"/>
  <c r="DO65" i="59"/>
  <c r="DP67" i="59" l="1"/>
  <c r="DP68" i="59"/>
  <c r="DP66" i="59"/>
  <c r="DP65" i="59"/>
  <c r="DP70" i="59"/>
  <c r="DP69" i="59"/>
  <c r="DP61" i="59"/>
  <c r="DP73" i="59"/>
  <c r="DQ2" i="59"/>
  <c r="DP64" i="59"/>
  <c r="DP62" i="59"/>
  <c r="DQ73" i="59" l="1"/>
  <c r="DQ68" i="59"/>
  <c r="DQ69" i="59"/>
  <c r="DQ70" i="59"/>
  <c r="DQ67" i="59"/>
  <c r="DQ62" i="59"/>
  <c r="DQ61" i="59"/>
  <c r="DR2" i="59"/>
  <c r="DQ65" i="59"/>
  <c r="DQ66" i="59"/>
  <c r="DQ64" i="59"/>
  <c r="DR66" i="59" l="1"/>
  <c r="DR69" i="59"/>
  <c r="DR70" i="59"/>
  <c r="DR61" i="59"/>
  <c r="DR65" i="59"/>
  <c r="DR73" i="59"/>
  <c r="DR67" i="59"/>
  <c r="DR62" i="59"/>
  <c r="DR64" i="59"/>
  <c r="DR68" i="59"/>
  <c r="DS2" i="59"/>
  <c r="DS67" i="59" l="1"/>
  <c r="DS70" i="59"/>
  <c r="DS62" i="59"/>
  <c r="DS64" i="59"/>
  <c r="DS73" i="59"/>
  <c r="DS65" i="59"/>
  <c r="DS68" i="59"/>
  <c r="DS66" i="59"/>
  <c r="DS69" i="59"/>
  <c r="DT2" i="59"/>
  <c r="DS61" i="59"/>
  <c r="DT68" i="59" l="1"/>
  <c r="DT61" i="59"/>
  <c r="DT69" i="59"/>
  <c r="DT67" i="59"/>
  <c r="DT73" i="59"/>
  <c r="DT65" i="59"/>
  <c r="DT66" i="59"/>
  <c r="DU2" i="59"/>
  <c r="DT70" i="59"/>
  <c r="DT62" i="59"/>
  <c r="DT64" i="59"/>
  <c r="DU69" i="59" l="1"/>
  <c r="DU73" i="59"/>
  <c r="DU62" i="59"/>
  <c r="DU67" i="59"/>
  <c r="DU64" i="59"/>
  <c r="DU66" i="59"/>
  <c r="DU68" i="59"/>
  <c r="DU61" i="59"/>
  <c r="DU65" i="59"/>
  <c r="DU70" i="59"/>
  <c r="DV2" i="59"/>
  <c r="DV70" i="59" l="1"/>
  <c r="DV73" i="59"/>
  <c r="DV66" i="59"/>
  <c r="DV67" i="59"/>
  <c r="DV69" i="59"/>
  <c r="DV65" i="59"/>
  <c r="DV68" i="59"/>
  <c r="DV62" i="59"/>
  <c r="DV64" i="59"/>
  <c r="DW2" i="59"/>
  <c r="DV61" i="59"/>
  <c r="DW66" i="59" l="1"/>
  <c r="DW67" i="59"/>
  <c r="DW69" i="59"/>
  <c r="DW64" i="59"/>
  <c r="DW73" i="59"/>
  <c r="DW70" i="59"/>
  <c r="DW62" i="59"/>
  <c r="DX2" i="59"/>
  <c r="DW65" i="59"/>
  <c r="DW61" i="59"/>
  <c r="DW68" i="59"/>
  <c r="DX67" i="59" l="1"/>
  <c r="DX68" i="59"/>
  <c r="DX65" i="59"/>
  <c r="DX73" i="59"/>
  <c r="DX70" i="59"/>
  <c r="DX61" i="59"/>
  <c r="DX66" i="59"/>
  <c r="DX62" i="59"/>
  <c r="DY2" i="59"/>
  <c r="DX64" i="59"/>
  <c r="DX69" i="59"/>
  <c r="DY73" i="59" l="1"/>
  <c r="DY68" i="59"/>
  <c r="DY69" i="59"/>
  <c r="DY66" i="59"/>
  <c r="DY70" i="59"/>
  <c r="DY62" i="59"/>
  <c r="DZ2" i="59"/>
  <c r="DY67" i="59"/>
  <c r="DY64" i="59"/>
  <c r="DY61" i="59"/>
  <c r="DY65" i="59"/>
  <c r="DZ66" i="59" l="1"/>
  <c r="DZ69" i="59"/>
  <c r="DZ70" i="59"/>
  <c r="DZ73" i="59"/>
  <c r="DZ68" i="59"/>
  <c r="DZ61" i="59"/>
  <c r="DZ64" i="59"/>
  <c r="DZ65" i="59"/>
  <c r="DZ67" i="59"/>
  <c r="DZ62" i="59"/>
  <c r="D76" i="60" l="1"/>
  <c r="F76" i="60" s="1"/>
  <c r="H76" i="60" l="1"/>
  <c r="R10" i="63" l="1"/>
  <c r="J20" i="63"/>
  <c r="R6" i="63"/>
  <c r="N5" i="63"/>
  <c r="J19" i="63" l="1"/>
  <c r="N20" i="63"/>
  <c r="F5" i="63"/>
  <c r="N19" i="63" l="1"/>
  <c r="EH15" i="59"/>
  <c r="EH9" i="59"/>
  <c r="EG8" i="59"/>
  <c r="EE15" i="59"/>
  <c r="EM6" i="59" l="1"/>
  <c r="EN6" i="59"/>
  <c r="EN15" i="59"/>
  <c r="EM15" i="59"/>
  <c r="BN14" i="58" l="1"/>
  <c r="AT14" i="58"/>
  <c r="N17" i="58"/>
  <c r="N14" i="58"/>
  <c r="BD14" i="58"/>
  <c r="X17" i="58"/>
  <c r="X14" i="58"/>
  <c r="AH17" i="58"/>
  <c r="AH14" i="58"/>
  <c r="CT14" i="58" l="1"/>
  <c r="J17" i="58"/>
  <c r="J14" i="58"/>
  <c r="AP14" i="58"/>
  <c r="D14" i="58"/>
  <c r="D17" i="58"/>
  <c r="AJ14" i="58"/>
  <c r="AU14" i="58"/>
  <c r="O14" i="58"/>
  <c r="O17" i="58"/>
  <c r="E17" i="58"/>
  <c r="E14" i="58"/>
  <c r="AK14" i="58"/>
  <c r="T17" i="58"/>
  <c r="T14" i="58"/>
  <c r="AZ14" i="58"/>
  <c r="I17" i="58"/>
  <c r="I14" i="58"/>
  <c r="AO14" i="58"/>
  <c r="S14" i="58"/>
  <c r="S17" i="58"/>
  <c r="AY14" i="58"/>
  <c r="AV14" i="58" l="1"/>
  <c r="P17" i="58"/>
  <c r="P14" i="58"/>
  <c r="K17" i="58"/>
  <c r="K14" i="58"/>
  <c r="AQ14" i="58"/>
  <c r="U17" i="58"/>
  <c r="U14" i="58"/>
  <c r="BA14" i="58"/>
  <c r="F17" i="58"/>
  <c r="F14" i="58"/>
  <c r="AL14" i="58"/>
  <c r="Q14" i="58" l="1"/>
  <c r="AW14" i="58"/>
  <c r="Q17" i="58"/>
  <c r="L17" i="58"/>
  <c r="L14" i="58"/>
  <c r="AR14" i="58"/>
  <c r="V17" i="58"/>
  <c r="BB14" i="58"/>
  <c r="V14" i="58"/>
  <c r="G14" i="58"/>
  <c r="G17" i="58"/>
  <c r="AM14" i="58"/>
  <c r="M17" i="58" l="1"/>
  <c r="M14" i="58"/>
  <c r="AS14" i="58"/>
  <c r="BC14" i="58"/>
  <c r="W17" i="58"/>
  <c r="W14" i="58"/>
  <c r="R17" i="58"/>
  <c r="AX14" i="58"/>
  <c r="R14" i="58"/>
  <c r="AN14" i="58"/>
  <c r="H14" i="58"/>
  <c r="H17" i="58"/>
  <c r="AB17" i="58" l="1"/>
  <c r="AB14" i="58"/>
  <c r="BH14" i="58"/>
  <c r="AD17" i="58"/>
  <c r="AD14" i="58"/>
  <c r="BJ14" i="58"/>
  <c r="AC17" i="58"/>
  <c r="AC14" i="58"/>
  <c r="BI14" i="58"/>
  <c r="AG14" i="58"/>
  <c r="BM14" i="58"/>
  <c r="AG17" i="58"/>
  <c r="BL14" i="58"/>
  <c r="AF17" i="58"/>
  <c r="AF14" i="58"/>
  <c r="BK14" i="58"/>
  <c r="AE14" i="58"/>
  <c r="AE17" i="58"/>
  <c r="Z17" i="58"/>
  <c r="Z14" i="58"/>
  <c r="BF14" i="58"/>
  <c r="Y14" i="58"/>
  <c r="BE14" i="58"/>
  <c r="Y17" i="58"/>
  <c r="AA17" i="58"/>
  <c r="AA14" i="58"/>
  <c r="BG14" i="58"/>
  <c r="CT59" i="58"/>
  <c r="CS59" i="58"/>
  <c r="CR59" i="58"/>
  <c r="CQ59" i="58"/>
  <c r="CP59" i="58"/>
  <c r="CO59" i="58"/>
  <c r="CN59" i="58"/>
  <c r="CM59" i="58"/>
  <c r="CL59" i="58"/>
  <c r="CK59" i="58"/>
  <c r="CJ59" i="58"/>
  <c r="CI59" i="58"/>
  <c r="CH59" i="58"/>
  <c r="CG59" i="58"/>
  <c r="CF59" i="58"/>
  <c r="CE59" i="58"/>
  <c r="CD59" i="58"/>
  <c r="CC59" i="58"/>
  <c r="CB59" i="58"/>
  <c r="CA59" i="58"/>
  <c r="BZ59" i="58"/>
  <c r="BY59" i="58"/>
  <c r="BX59" i="58"/>
  <c r="BW59" i="58"/>
  <c r="BV59" i="58"/>
  <c r="BU59" i="58"/>
  <c r="BT59" i="58"/>
  <c r="BS59" i="58"/>
  <c r="BR59" i="58"/>
  <c r="BQ59" i="58"/>
  <c r="BP59" i="58"/>
  <c r="BY58" i="58"/>
  <c r="BX58" i="58"/>
  <c r="BW58" i="58"/>
  <c r="BV58" i="58"/>
  <c r="BU58" i="58"/>
  <c r="BT58" i="58"/>
  <c r="BS58" i="58"/>
  <c r="BR58" i="58"/>
  <c r="BQ58" i="58"/>
  <c r="BP58" i="58"/>
  <c r="BY57" i="58"/>
  <c r="BX57" i="58"/>
  <c r="BW57" i="58"/>
  <c r="BV57" i="58"/>
  <c r="BU57" i="58"/>
  <c r="BT57" i="58"/>
  <c r="BS57" i="58"/>
  <c r="BR57" i="58"/>
  <c r="BQ57" i="58"/>
  <c r="BP57" i="58"/>
  <c r="CT39" i="58"/>
  <c r="CS39" i="58"/>
  <c r="CR39" i="58"/>
  <c r="CQ39" i="58"/>
  <c r="CP39" i="58"/>
  <c r="CO39" i="58"/>
  <c r="CN39" i="58"/>
  <c r="CM39" i="58"/>
  <c r="CL39" i="58"/>
  <c r="CK39" i="58"/>
  <c r="CJ39" i="58"/>
  <c r="CI39" i="58"/>
  <c r="CH39" i="58"/>
  <c r="CG39" i="58"/>
  <c r="CF39" i="58"/>
  <c r="CE39" i="58"/>
  <c r="CD39" i="58"/>
  <c r="CC39" i="58"/>
  <c r="CB39" i="58"/>
  <c r="CA39" i="58"/>
  <c r="BZ39" i="58"/>
  <c r="BY39" i="58"/>
  <c r="BX39" i="58"/>
  <c r="BW39" i="58"/>
  <c r="BV39" i="58"/>
  <c r="BU39" i="58"/>
  <c r="BT39" i="58"/>
  <c r="BS39" i="58"/>
  <c r="BR39" i="58"/>
  <c r="BQ39" i="58"/>
  <c r="BP39" i="58"/>
  <c r="CT34" i="58"/>
  <c r="CS34" i="58"/>
  <c r="CR34" i="58"/>
  <c r="CQ34" i="58"/>
  <c r="CP34" i="58"/>
  <c r="CO34" i="58"/>
  <c r="CN34" i="58"/>
  <c r="CM34" i="58"/>
  <c r="CL34" i="58"/>
  <c r="CK34" i="58"/>
  <c r="CJ34" i="58"/>
  <c r="CI34" i="58"/>
  <c r="CH34" i="58"/>
  <c r="CG34" i="58"/>
  <c r="CF34" i="58"/>
  <c r="CE34" i="58"/>
  <c r="CD34" i="58"/>
  <c r="CC34" i="58"/>
  <c r="CB34" i="58"/>
  <c r="CA34" i="58"/>
  <c r="BZ34" i="58"/>
  <c r="BY34" i="58"/>
  <c r="BX34" i="58"/>
  <c r="BW34" i="58"/>
  <c r="BV34" i="58"/>
  <c r="BU34" i="58"/>
  <c r="BT34" i="58"/>
  <c r="BS34" i="58"/>
  <c r="BR34" i="58"/>
  <c r="BQ34" i="58"/>
  <c r="BP34" i="58"/>
  <c r="CT29" i="58"/>
  <c r="CS29" i="58"/>
  <c r="CR29" i="58"/>
  <c r="CQ29" i="58"/>
  <c r="CP29" i="58"/>
  <c r="CO29" i="58"/>
  <c r="CN29" i="58"/>
  <c r="CM29" i="58"/>
  <c r="CL29" i="58"/>
  <c r="CK29" i="58"/>
  <c r="CJ29" i="58"/>
  <c r="CI29" i="58"/>
  <c r="CH29" i="58"/>
  <c r="CG29" i="58"/>
  <c r="CF29" i="58"/>
  <c r="CE29" i="58"/>
  <c r="CD29" i="58"/>
  <c r="CC29" i="58"/>
  <c r="CB29" i="58"/>
  <c r="CA29" i="58"/>
  <c r="BZ29" i="58"/>
  <c r="BY29" i="58"/>
  <c r="BX29" i="58"/>
  <c r="BW29" i="58"/>
  <c r="BV29" i="58"/>
  <c r="BU29" i="58"/>
  <c r="BT29" i="58"/>
  <c r="BS29" i="58"/>
  <c r="BR29" i="58"/>
  <c r="BQ29" i="58"/>
  <c r="BP29" i="58"/>
  <c r="BQ2" i="58"/>
  <c r="BR2" i="58" s="1"/>
  <c r="BS2" i="58" s="1"/>
  <c r="BT2" i="58" s="1"/>
  <c r="BU2" i="58" s="1"/>
  <c r="BV2" i="58" s="1"/>
  <c r="BW2" i="58" s="1"/>
  <c r="BX2" i="58" s="1"/>
  <c r="BY2" i="58" s="1"/>
  <c r="BZ2" i="58" s="1"/>
  <c r="CA2" i="58" s="1"/>
  <c r="CB2" i="58" s="1"/>
  <c r="CC2" i="58" s="1"/>
  <c r="CD2" i="58" s="1"/>
  <c r="CE2" i="58" s="1"/>
  <c r="CF2" i="58" s="1"/>
  <c r="CG2" i="58" s="1"/>
  <c r="CH2" i="58" s="1"/>
  <c r="CI2" i="58" s="1"/>
  <c r="CJ2" i="58" s="1"/>
  <c r="CK2" i="58" s="1"/>
  <c r="CL2" i="58" s="1"/>
  <c r="CM2" i="58" s="1"/>
  <c r="CN2" i="58" s="1"/>
  <c r="CO2" i="58" s="1"/>
  <c r="CP2" i="58" s="1"/>
  <c r="CQ2" i="58" s="1"/>
  <c r="CR2" i="58" s="1"/>
  <c r="CS2" i="58" s="1"/>
  <c r="CT2" i="58" s="1"/>
  <c r="CW3" i="55"/>
  <c r="CX3" i="55" s="1"/>
  <c r="CY3" i="55" s="1"/>
  <c r="CZ3" i="55" s="1"/>
  <c r="DA3" i="55" s="1"/>
  <c r="DB3" i="55" s="1"/>
  <c r="DC3" i="55" s="1"/>
  <c r="DD3" i="55" s="1"/>
  <c r="DE3" i="55" s="1"/>
  <c r="DF3" i="55" s="1"/>
  <c r="DG3" i="55" s="1"/>
  <c r="DH3" i="55" s="1"/>
  <c r="DI3" i="55" s="1"/>
  <c r="DJ3" i="55" s="1"/>
  <c r="DK3" i="55" s="1"/>
  <c r="DL3" i="55" s="1"/>
  <c r="DM3" i="55" s="1"/>
  <c r="DN3" i="55" s="1"/>
  <c r="DO3" i="55" s="1"/>
  <c r="DP3" i="55" s="1"/>
  <c r="DQ3" i="55" s="1"/>
  <c r="DR3" i="55" s="1"/>
  <c r="DS3" i="55" s="1"/>
  <c r="DT3" i="55" s="1"/>
  <c r="DU3" i="55" s="1"/>
  <c r="DV3" i="55" s="1"/>
  <c r="DW3" i="55" s="1"/>
  <c r="DX3" i="55" s="1"/>
  <c r="DY3" i="55" s="1"/>
  <c r="DZ3" i="55" s="1"/>
  <c r="D21" i="61" l="1"/>
  <c r="D22" i="61"/>
  <c r="D23" i="61"/>
  <c r="D24" i="61"/>
  <c r="D25" i="61"/>
  <c r="D26" i="61"/>
  <c r="D20" i="61"/>
  <c r="C23" i="27" l="1"/>
  <c r="E23" i="60" l="1"/>
  <c r="C6" i="58" l="1"/>
  <c r="C5" i="58"/>
  <c r="BG17" i="58" l="1"/>
  <c r="AJ17" i="58"/>
  <c r="BM17" i="58"/>
  <c r="AN17" i="58"/>
  <c r="BH17" i="58"/>
  <c r="AQ17" i="58"/>
  <c r="AP17" i="58"/>
  <c r="AW17" i="58"/>
  <c r="BD17" i="58"/>
  <c r="BK17" i="58"/>
  <c r="BC17" i="58"/>
  <c r="AU17" i="58"/>
  <c r="AM17" i="58"/>
  <c r="AZ17" i="58"/>
  <c r="AY17" i="58"/>
  <c r="BF17" i="58"/>
  <c r="AO17" i="58"/>
  <c r="BL17" i="58"/>
  <c r="BJ17" i="58"/>
  <c r="BB17" i="58"/>
  <c r="AT17" i="58"/>
  <c r="AL17" i="58"/>
  <c r="AR17" i="58"/>
  <c r="BN17" i="58"/>
  <c r="AX17" i="58"/>
  <c r="BE17" i="58"/>
  <c r="AV17" i="58"/>
  <c r="BI17" i="58"/>
  <c r="BA17" i="58"/>
  <c r="AS17" i="58"/>
  <c r="AK17" i="58"/>
  <c r="CC17" i="58" l="1"/>
  <c r="BV17" i="58"/>
  <c r="BW17" i="58"/>
  <c r="CT17" i="58"/>
  <c r="BR17" i="58"/>
  <c r="BS17" i="58"/>
  <c r="CN17" i="58"/>
  <c r="BQ17" i="58"/>
  <c r="BX17" i="58"/>
  <c r="CH17" i="58"/>
  <c r="CA17" i="58"/>
  <c r="BT17" i="58"/>
  <c r="CE17" i="58"/>
  <c r="CG17" i="58"/>
  <c r="CB17" i="58"/>
  <c r="CP17" i="58"/>
  <c r="CI17" i="58"/>
  <c r="CS17" i="58"/>
  <c r="CF17" i="58"/>
  <c r="CO17" i="58"/>
  <c r="CK17" i="58"/>
  <c r="CR17" i="58"/>
  <c r="CQ17" i="58"/>
  <c r="CL17" i="58"/>
  <c r="BY17" i="58"/>
  <c r="BZ17" i="58"/>
  <c r="CD17" i="58"/>
  <c r="BU17" i="58"/>
  <c r="CJ17" i="58"/>
  <c r="CM17" i="58"/>
  <c r="BP17" i="58"/>
  <c r="D20" i="58"/>
  <c r="D23" i="58" l="1"/>
  <c r="BP20" i="58"/>
  <c r="BP21" i="58" s="1"/>
  <c r="T23" i="58" l="1"/>
  <c r="AD23" i="58"/>
  <c r="BP23" i="58"/>
  <c r="BP24" i="58" s="1"/>
  <c r="O23" i="58"/>
  <c r="U23" i="58" l="1"/>
  <c r="J23" i="58"/>
  <c r="Y23" i="58"/>
  <c r="CP23" i="58"/>
  <c r="CP24" i="58" s="1"/>
  <c r="P23" i="58"/>
  <c r="Z23" i="58"/>
  <c r="AD20" i="58"/>
  <c r="E20" i="58"/>
  <c r="AE23" i="58"/>
  <c r="J20" i="58"/>
  <c r="E23" i="58"/>
  <c r="CF23" i="58"/>
  <c r="CF24" i="58" s="1"/>
  <c r="Y20" i="58"/>
  <c r="T20" i="58"/>
  <c r="K23" i="58"/>
  <c r="F23" i="58"/>
  <c r="O20" i="58"/>
  <c r="CA23" i="58"/>
  <c r="CA24" i="58" s="1"/>
  <c r="Q23" i="58" l="1"/>
  <c r="AE20" i="58"/>
  <c r="BV20" i="58"/>
  <c r="BV21" i="58" s="1"/>
  <c r="CL23" i="58"/>
  <c r="CL24" i="58" s="1"/>
  <c r="CK23" i="58"/>
  <c r="CK24" i="58" s="1"/>
  <c r="P20" i="58"/>
  <c r="F20" i="58"/>
  <c r="CA20" i="58"/>
  <c r="CA21" i="58" s="1"/>
  <c r="CK20" i="58"/>
  <c r="CK21" i="58" s="1"/>
  <c r="CQ23" i="58"/>
  <c r="CQ24" i="58" s="1"/>
  <c r="CB23" i="58"/>
  <c r="CB24" i="58" s="1"/>
  <c r="BV23" i="58"/>
  <c r="BV24" i="58" s="1"/>
  <c r="Z20" i="58"/>
  <c r="BR23" i="58"/>
  <c r="BR24" i="58" s="1"/>
  <c r="CF20" i="58"/>
  <c r="CF21" i="58" s="1"/>
  <c r="U20" i="58"/>
  <c r="AF23" i="58"/>
  <c r="L23" i="58"/>
  <c r="K20" i="58"/>
  <c r="BQ20" i="58"/>
  <c r="BQ21" i="58" s="1"/>
  <c r="CG23" i="58"/>
  <c r="CG24" i="58" s="1"/>
  <c r="BW23" i="58"/>
  <c r="BW24" i="58" s="1"/>
  <c r="AA23" i="58"/>
  <c r="BQ23" i="58"/>
  <c r="BQ24" i="58" s="1"/>
  <c r="CP20" i="58"/>
  <c r="CP21" i="58" s="1"/>
  <c r="W23" i="58" l="1"/>
  <c r="L20" i="58"/>
  <c r="G20" i="58"/>
  <c r="AG23" i="58"/>
  <c r="CM23" i="58"/>
  <c r="CM24" i="58" s="1"/>
  <c r="BR20" i="58"/>
  <c r="BR21" i="58" s="1"/>
  <c r="V20" i="58"/>
  <c r="CG20" i="58"/>
  <c r="CG21" i="58" s="1"/>
  <c r="Q20" i="58"/>
  <c r="G23" i="58"/>
  <c r="V23" i="58"/>
  <c r="BX23" i="58"/>
  <c r="BX24" i="58" s="1"/>
  <c r="CB20" i="58"/>
  <c r="CB21" i="58" s="1"/>
  <c r="CQ20" i="58"/>
  <c r="CQ21" i="58" s="1"/>
  <c r="R23" i="58"/>
  <c r="H23" i="58"/>
  <c r="AA20" i="58"/>
  <c r="BW20" i="58"/>
  <c r="BW21" i="58" s="1"/>
  <c r="AF20" i="58"/>
  <c r="CR23" i="58"/>
  <c r="CR24" i="58" s="1"/>
  <c r="CL20" i="58"/>
  <c r="CL21" i="58" s="1"/>
  <c r="CC23" i="58"/>
  <c r="CC24" i="58" s="1"/>
  <c r="X20" i="58" l="1"/>
  <c r="CH23" i="58"/>
  <c r="CH24" i="58" s="1"/>
  <c r="AC20" i="58"/>
  <c r="H20" i="58"/>
  <c r="BS23" i="58"/>
  <c r="BS24" i="58" s="1"/>
  <c r="BS20" i="58"/>
  <c r="BS21" i="58" s="1"/>
  <c r="I23" i="58"/>
  <c r="AH20" i="58"/>
  <c r="AC23" i="58"/>
  <c r="CD23" i="58"/>
  <c r="CD24" i="58" s="1"/>
  <c r="CS23" i="58"/>
  <c r="CS24" i="58" s="1"/>
  <c r="W20" i="58"/>
  <c r="AH23" i="58"/>
  <c r="BX20" i="58"/>
  <c r="BX21" i="58" s="1"/>
  <c r="AB20" i="58"/>
  <c r="N23" i="58"/>
  <c r="S23" i="58"/>
  <c r="R20" i="58"/>
  <c r="CR20" i="58"/>
  <c r="CR21" i="58" s="1"/>
  <c r="CH20" i="58"/>
  <c r="CH21" i="58" s="1"/>
  <c r="AG20" i="58"/>
  <c r="N20" i="58"/>
  <c r="S20" i="58"/>
  <c r="BT23" i="58"/>
  <c r="BT24" i="58" s="1"/>
  <c r="CI23" i="58"/>
  <c r="CI24" i="58" s="1"/>
  <c r="I20" i="58"/>
  <c r="AB23" i="58"/>
  <c r="CM20" i="58"/>
  <c r="CM21" i="58" s="1"/>
  <c r="CC20" i="58"/>
  <c r="CC21" i="58" s="1"/>
  <c r="M20" i="58"/>
  <c r="M23" i="58"/>
  <c r="X23" i="58"/>
  <c r="CJ23" i="58" l="1"/>
  <c r="CJ24" i="58" s="1"/>
  <c r="BZ23" i="58"/>
  <c r="BZ24" i="58" s="1"/>
  <c r="CI20" i="58"/>
  <c r="CI21" i="58" s="1"/>
  <c r="CT20" i="58"/>
  <c r="BT20" i="58"/>
  <c r="BT21" i="58" s="1"/>
  <c r="BY23" i="58"/>
  <c r="BY24" i="58" s="1"/>
  <c r="CN23" i="58"/>
  <c r="CN24" i="58" s="1"/>
  <c r="CE20" i="58"/>
  <c r="CE21" i="58" s="1"/>
  <c r="CN20" i="58"/>
  <c r="CN21" i="58" s="1"/>
  <c r="BU23" i="58"/>
  <c r="BU24" i="58" s="1"/>
  <c r="CO20" i="58"/>
  <c r="CO21" i="58" s="1"/>
  <c r="BU20" i="58"/>
  <c r="BU21" i="58" s="1"/>
  <c r="BZ20" i="58"/>
  <c r="BZ21" i="58" s="1"/>
  <c r="CD20" i="58"/>
  <c r="CD21" i="58" s="1"/>
  <c r="BY20" i="58"/>
  <c r="BY21" i="58" s="1"/>
  <c r="CS20" i="58"/>
  <c r="CS21" i="58" s="1"/>
  <c r="CE23" i="58"/>
  <c r="CE24" i="58" s="1"/>
  <c r="CT23" i="58"/>
  <c r="CT24" i="58" s="1"/>
  <c r="CO23" i="58"/>
  <c r="CO24" i="58" s="1"/>
  <c r="CJ20" i="58"/>
  <c r="CJ21" i="58" s="1"/>
  <c r="CT21" i="58" l="1"/>
  <c r="C14" i="60" l="1"/>
  <c r="D14" i="60"/>
  <c r="E14" i="60"/>
  <c r="F14" i="60"/>
  <c r="B14" i="60"/>
  <c r="CY19" i="58"/>
  <c r="EF15" i="59" l="1"/>
  <c r="EK15" i="59" s="1"/>
  <c r="EG15" i="59"/>
  <c r="EL15" i="59" s="1"/>
  <c r="EF6" i="59"/>
  <c r="EG6" i="59"/>
  <c r="EL6" i="59" s="1"/>
  <c r="CY18" i="58"/>
  <c r="BP33" i="57"/>
  <c r="B11" i="60"/>
  <c r="CJ33" i="57"/>
  <c r="BT33" i="57"/>
  <c r="CR33" i="57"/>
  <c r="CB33" i="57"/>
  <c r="CQ33" i="57"/>
  <c r="CA33" i="57"/>
  <c r="CI33" i="57"/>
  <c r="BS33" i="57"/>
  <c r="CN33" i="57"/>
  <c r="CF33" i="57"/>
  <c r="BX33" i="57"/>
  <c r="CM33" i="57"/>
  <c r="CE33" i="57"/>
  <c r="BW33" i="57"/>
  <c r="CT33" i="57"/>
  <c r="CL33" i="57"/>
  <c r="CD33" i="57"/>
  <c r="BV33" i="57"/>
  <c r="CS33" i="57"/>
  <c r="CK33" i="57"/>
  <c r="CC33" i="57"/>
  <c r="BU33" i="57"/>
  <c r="CP33" i="57"/>
  <c r="CH33" i="57"/>
  <c r="BZ33" i="57"/>
  <c r="BR33" i="57"/>
  <c r="CO33" i="57"/>
  <c r="CG33" i="57"/>
  <c r="BY33" i="57"/>
  <c r="BQ33" i="57"/>
  <c r="EK6" i="59" l="1"/>
  <c r="C11" i="60"/>
  <c r="C23" i="60" s="1"/>
  <c r="EJ15" i="59"/>
  <c r="EO15" i="59" s="1"/>
  <c r="EJ6" i="59"/>
  <c r="EO6" i="59" s="1"/>
  <c r="D23" i="60"/>
  <c r="F23" i="60" s="1"/>
  <c r="L6" i="60"/>
  <c r="B23" i="60"/>
  <c r="L5" i="60"/>
  <c r="F11" i="60"/>
  <c r="AG33" i="57"/>
  <c r="S23" i="60" l="1"/>
  <c r="Z33" i="57"/>
  <c r="AB33" i="57"/>
  <c r="AA33" i="57"/>
  <c r="AC33" i="57"/>
  <c r="U33" i="57"/>
  <c r="P33" i="57"/>
  <c r="D33" i="57"/>
  <c r="AF33" i="57"/>
  <c r="N33" i="57"/>
  <c r="X33" i="57"/>
  <c r="W33" i="57"/>
  <c r="O33" i="57"/>
  <c r="AD33" i="57"/>
  <c r="V33" i="57"/>
  <c r="Q33" i="57"/>
  <c r="M33" i="57"/>
  <c r="L33" i="57"/>
  <c r="S33" i="57"/>
  <c r="R33" i="57"/>
  <c r="K33" i="57"/>
  <c r="AE33" i="57"/>
  <c r="I33" i="57"/>
  <c r="Y33" i="57"/>
  <c r="J33" i="57"/>
  <c r="T33" i="57"/>
  <c r="E33" i="57" l="1"/>
  <c r="F33" i="57"/>
  <c r="G33" i="57"/>
  <c r="H33" i="57"/>
  <c r="CS14" i="58"/>
  <c r="CR14" i="58"/>
  <c r="CQ14" i="58"/>
  <c r="CP14" i="58"/>
  <c r="CO14" i="58"/>
  <c r="CN14" i="58"/>
  <c r="CM14" i="58"/>
  <c r="CL14" i="58"/>
  <c r="CK14" i="58"/>
  <c r="CJ14" i="58"/>
  <c r="CI14" i="58"/>
  <c r="CH14" i="58"/>
  <c r="CG14" i="58"/>
  <c r="CF14" i="58"/>
  <c r="CE14" i="58"/>
  <c r="CD14" i="58"/>
  <c r="CC14" i="58"/>
  <c r="CB14" i="58"/>
  <c r="CA14" i="58"/>
  <c r="BZ14" i="58"/>
  <c r="BY14" i="58"/>
  <c r="BX14" i="58"/>
  <c r="BW14" i="58"/>
  <c r="BV14" i="58"/>
  <c r="BU14" i="58"/>
  <c r="BT14" i="58"/>
  <c r="BS14" i="58"/>
  <c r="BR14" i="58"/>
  <c r="BQ14" i="58"/>
  <c r="BP14" i="58"/>
  <c r="EF94" i="59"/>
  <c r="EF92" i="59"/>
  <c r="EF107" i="59"/>
  <c r="BP105" i="59"/>
  <c r="BQ105" i="59"/>
  <c r="BR105" i="59"/>
  <c r="BS105" i="59"/>
  <c r="BT105" i="59"/>
  <c r="BU105" i="59"/>
  <c r="BV105" i="59"/>
  <c r="BW105" i="59"/>
  <c r="BX105" i="59"/>
  <c r="BY105" i="59"/>
  <c r="BZ105" i="59"/>
  <c r="CA105" i="59"/>
  <c r="CB105" i="59"/>
  <c r="CC105" i="59"/>
  <c r="CD105" i="59"/>
  <c r="CE105" i="59"/>
  <c r="CF105" i="59"/>
  <c r="CG105" i="59"/>
  <c r="CH105" i="59"/>
  <c r="CI105" i="59"/>
  <c r="CJ105" i="59"/>
  <c r="CK105" i="59"/>
  <c r="CL105" i="59"/>
  <c r="CM105" i="59"/>
  <c r="CN105" i="59"/>
  <c r="CO105" i="59"/>
  <c r="CP105" i="59"/>
  <c r="CQ105" i="59"/>
  <c r="CR105" i="59"/>
  <c r="CS105" i="59"/>
  <c r="CT105" i="59"/>
  <c r="BP106" i="59"/>
  <c r="BQ106" i="59"/>
  <c r="BR106" i="59"/>
  <c r="BS106" i="59"/>
  <c r="BT106" i="59"/>
  <c r="BU106" i="59"/>
  <c r="BV106" i="59"/>
  <c r="BW106" i="59"/>
  <c r="BX106" i="59"/>
  <c r="BY106" i="59"/>
  <c r="BZ106" i="59"/>
  <c r="CA106" i="59"/>
  <c r="CB106" i="59"/>
  <c r="CC106" i="59"/>
  <c r="CD106" i="59"/>
  <c r="CE106" i="59"/>
  <c r="CF106" i="59"/>
  <c r="CG106" i="59"/>
  <c r="CH106" i="59"/>
  <c r="CI106" i="59"/>
  <c r="CJ106" i="59"/>
  <c r="CK106" i="59"/>
  <c r="CL106" i="59"/>
  <c r="CM106" i="59"/>
  <c r="CN106" i="59"/>
  <c r="CO106" i="59"/>
  <c r="CP106" i="59"/>
  <c r="CQ106" i="59"/>
  <c r="CR106" i="59"/>
  <c r="CS106" i="59"/>
  <c r="CT106" i="59"/>
  <c r="BP108" i="59"/>
  <c r="BQ108" i="59"/>
  <c r="BR108" i="59"/>
  <c r="BS108" i="59"/>
  <c r="BT108" i="59"/>
  <c r="BU108" i="59"/>
  <c r="BV108" i="59"/>
  <c r="BW108" i="59"/>
  <c r="BX108" i="59"/>
  <c r="BY108" i="59"/>
  <c r="BZ108" i="59"/>
  <c r="CA108" i="59"/>
  <c r="CB108" i="59"/>
  <c r="CC108" i="59"/>
  <c r="CD108" i="59"/>
  <c r="CE108" i="59"/>
  <c r="CF108" i="59"/>
  <c r="CG108" i="59"/>
  <c r="CH108" i="59"/>
  <c r="CI108" i="59"/>
  <c r="CJ108" i="59"/>
  <c r="CK108" i="59"/>
  <c r="CL108" i="59"/>
  <c r="CM108" i="59"/>
  <c r="CN108" i="59"/>
  <c r="CO108" i="59"/>
  <c r="CP108" i="59"/>
  <c r="CQ108" i="59"/>
  <c r="CR108" i="59"/>
  <c r="CS108" i="59"/>
  <c r="CT108" i="59"/>
  <c r="BP109" i="59"/>
  <c r="BQ109" i="59"/>
  <c r="BR109" i="59"/>
  <c r="BS109" i="59"/>
  <c r="BT109" i="59"/>
  <c r="BU109" i="59"/>
  <c r="BV109" i="59"/>
  <c r="BW109" i="59"/>
  <c r="BX109" i="59"/>
  <c r="BY109" i="59"/>
  <c r="BZ109" i="59"/>
  <c r="CA109" i="59"/>
  <c r="CB109" i="59"/>
  <c r="CC109" i="59"/>
  <c r="CD109" i="59"/>
  <c r="CE109" i="59"/>
  <c r="CF109" i="59"/>
  <c r="CG109" i="59"/>
  <c r="CH109" i="59"/>
  <c r="CI109" i="59"/>
  <c r="CJ109" i="59"/>
  <c r="CK109" i="59"/>
  <c r="CL109" i="59"/>
  <c r="CM109" i="59"/>
  <c r="CN109" i="59"/>
  <c r="CO109" i="59"/>
  <c r="CP109" i="59"/>
  <c r="CQ109" i="59"/>
  <c r="CR109" i="59"/>
  <c r="CS109" i="59"/>
  <c r="CT109" i="59"/>
  <c r="BP110" i="59"/>
  <c r="BQ110" i="59"/>
  <c r="BR110" i="59"/>
  <c r="BS110" i="59"/>
  <c r="BT110" i="59"/>
  <c r="BU110" i="59"/>
  <c r="BV110" i="59"/>
  <c r="BW110" i="59"/>
  <c r="BX110" i="59"/>
  <c r="BY110" i="59"/>
  <c r="BZ110" i="59"/>
  <c r="CA110" i="59"/>
  <c r="CB110" i="59"/>
  <c r="CC110" i="59"/>
  <c r="CD110" i="59"/>
  <c r="CE110" i="59"/>
  <c r="CF110" i="59"/>
  <c r="CG110" i="59"/>
  <c r="CH110" i="59"/>
  <c r="CI110" i="59"/>
  <c r="CJ110" i="59"/>
  <c r="CK110" i="59"/>
  <c r="CL110" i="59"/>
  <c r="CM110" i="59"/>
  <c r="CN110" i="59"/>
  <c r="CO110" i="59"/>
  <c r="CP110" i="59"/>
  <c r="CQ110" i="59"/>
  <c r="CR110" i="59"/>
  <c r="CS110" i="59"/>
  <c r="CT110" i="59"/>
  <c r="BP111" i="59"/>
  <c r="BQ111" i="59"/>
  <c r="BR111" i="59"/>
  <c r="BS111" i="59"/>
  <c r="BT111" i="59"/>
  <c r="BU111" i="59"/>
  <c r="BV111" i="59"/>
  <c r="BW111" i="59"/>
  <c r="BX111" i="59"/>
  <c r="BY111" i="59"/>
  <c r="BZ111" i="59"/>
  <c r="CA111" i="59"/>
  <c r="CB111" i="59"/>
  <c r="CC111" i="59"/>
  <c r="CD111" i="59"/>
  <c r="CE111" i="59"/>
  <c r="CF111" i="59"/>
  <c r="CG111" i="59"/>
  <c r="CH111" i="59"/>
  <c r="CI111" i="59"/>
  <c r="CJ111" i="59"/>
  <c r="CK111" i="59"/>
  <c r="CL111" i="59"/>
  <c r="CM111" i="59"/>
  <c r="CN111" i="59"/>
  <c r="CO111" i="59"/>
  <c r="CP111" i="59"/>
  <c r="CQ111" i="59"/>
  <c r="CR111" i="59"/>
  <c r="CS111" i="59"/>
  <c r="CT111" i="59"/>
  <c r="BP112" i="59"/>
  <c r="BQ112" i="59"/>
  <c r="BR112" i="59"/>
  <c r="BS112" i="59"/>
  <c r="BT112" i="59"/>
  <c r="BU112" i="59"/>
  <c r="BV112" i="59"/>
  <c r="BW112" i="59"/>
  <c r="BX112" i="59"/>
  <c r="BY112" i="59"/>
  <c r="BZ112" i="59"/>
  <c r="CA112" i="59"/>
  <c r="CB112" i="59"/>
  <c r="CC112" i="59"/>
  <c r="CD112" i="59"/>
  <c r="CE112" i="59"/>
  <c r="CF112" i="59"/>
  <c r="CG112" i="59"/>
  <c r="CH112" i="59"/>
  <c r="CI112" i="59"/>
  <c r="CJ112" i="59"/>
  <c r="CK112" i="59"/>
  <c r="CL112" i="59"/>
  <c r="CM112" i="59"/>
  <c r="CN112" i="59"/>
  <c r="CO112" i="59"/>
  <c r="CP112" i="59"/>
  <c r="CQ112" i="59"/>
  <c r="CR112" i="59"/>
  <c r="CS112" i="59"/>
  <c r="CT112" i="59"/>
  <c r="BP113" i="59"/>
  <c r="BQ113" i="59"/>
  <c r="BR113" i="59"/>
  <c r="BS113" i="59"/>
  <c r="BT113" i="59"/>
  <c r="BU113" i="59"/>
  <c r="BV113" i="59"/>
  <c r="BW113" i="59"/>
  <c r="BX113" i="59"/>
  <c r="BY113" i="59"/>
  <c r="BZ113" i="59"/>
  <c r="CA113" i="59"/>
  <c r="CB113" i="59"/>
  <c r="CC113" i="59"/>
  <c r="CD113" i="59"/>
  <c r="CE113" i="59"/>
  <c r="CF113" i="59"/>
  <c r="CG113" i="59"/>
  <c r="CH113" i="59"/>
  <c r="CI113" i="59"/>
  <c r="CJ113" i="59"/>
  <c r="CK113" i="59"/>
  <c r="CL113" i="59"/>
  <c r="CM113" i="59"/>
  <c r="CN113" i="59"/>
  <c r="CO113" i="59"/>
  <c r="CP113" i="59"/>
  <c r="CQ113" i="59"/>
  <c r="CR113" i="59"/>
  <c r="CS113" i="59"/>
  <c r="CT113" i="59"/>
  <c r="BP114" i="59"/>
  <c r="BQ114" i="59"/>
  <c r="BR114" i="59"/>
  <c r="BS114" i="59"/>
  <c r="BT114" i="59"/>
  <c r="BU114" i="59"/>
  <c r="BV114" i="59"/>
  <c r="BW114" i="59"/>
  <c r="BX114" i="59"/>
  <c r="BY114" i="59"/>
  <c r="BZ114" i="59"/>
  <c r="CA114" i="59"/>
  <c r="CB114" i="59"/>
  <c r="CC114" i="59"/>
  <c r="CD114" i="59"/>
  <c r="CE114" i="59"/>
  <c r="CF114" i="59"/>
  <c r="CG114" i="59"/>
  <c r="CH114" i="59"/>
  <c r="CI114" i="59"/>
  <c r="CJ114" i="59"/>
  <c r="CK114" i="59"/>
  <c r="CL114" i="59"/>
  <c r="CM114" i="59"/>
  <c r="CN114" i="59"/>
  <c r="CO114" i="59"/>
  <c r="CP114" i="59"/>
  <c r="CQ114" i="59"/>
  <c r="CR114" i="59"/>
  <c r="CS114" i="59"/>
  <c r="CT114" i="59"/>
  <c r="BP115" i="59"/>
  <c r="BQ115" i="59"/>
  <c r="BR115" i="59"/>
  <c r="BS115" i="59"/>
  <c r="BT115" i="59"/>
  <c r="BU115" i="59"/>
  <c r="BV115" i="59"/>
  <c r="BW115" i="59"/>
  <c r="BX115" i="59"/>
  <c r="BY115" i="59"/>
  <c r="BZ115" i="59"/>
  <c r="CA115" i="59"/>
  <c r="CB115" i="59"/>
  <c r="CC115" i="59"/>
  <c r="CD115" i="59"/>
  <c r="CE115" i="59"/>
  <c r="CF115" i="59"/>
  <c r="CG115" i="59"/>
  <c r="CH115" i="59"/>
  <c r="CI115" i="59"/>
  <c r="CJ115" i="59"/>
  <c r="CK115" i="59"/>
  <c r="CL115" i="59"/>
  <c r="CM115" i="59"/>
  <c r="CN115" i="59"/>
  <c r="CO115" i="59"/>
  <c r="CP115" i="59"/>
  <c r="CQ115" i="59"/>
  <c r="CR115" i="59"/>
  <c r="CS115" i="59"/>
  <c r="CT115" i="59"/>
  <c r="BP116" i="59"/>
  <c r="BQ116" i="59"/>
  <c r="BR116" i="59"/>
  <c r="BS116" i="59"/>
  <c r="BT116" i="59"/>
  <c r="BU116" i="59"/>
  <c r="BV116" i="59"/>
  <c r="BW116" i="59"/>
  <c r="BX116" i="59"/>
  <c r="BY116" i="59"/>
  <c r="BZ116" i="59"/>
  <c r="CA116" i="59"/>
  <c r="CB116" i="59"/>
  <c r="CC116" i="59"/>
  <c r="CD116" i="59"/>
  <c r="CE116" i="59"/>
  <c r="CF116" i="59"/>
  <c r="CG116" i="59"/>
  <c r="CH116" i="59"/>
  <c r="CI116" i="59"/>
  <c r="CJ116" i="59"/>
  <c r="CK116" i="59"/>
  <c r="CL116" i="59"/>
  <c r="CM116" i="59"/>
  <c r="CN116" i="59"/>
  <c r="CO116" i="59"/>
  <c r="CP116" i="59"/>
  <c r="CQ116" i="59"/>
  <c r="CR116" i="59"/>
  <c r="CS116" i="59"/>
  <c r="CT116" i="59"/>
  <c r="BP117" i="59"/>
  <c r="BQ117" i="59"/>
  <c r="BR117" i="59"/>
  <c r="BS117" i="59"/>
  <c r="BT117" i="59"/>
  <c r="BU117" i="59"/>
  <c r="BV117" i="59"/>
  <c r="BW117" i="59"/>
  <c r="BX117" i="59"/>
  <c r="BY117" i="59"/>
  <c r="BZ117" i="59"/>
  <c r="CA117" i="59"/>
  <c r="CB117" i="59"/>
  <c r="CC117" i="59"/>
  <c r="CD117" i="59"/>
  <c r="CE117" i="59"/>
  <c r="CF117" i="59"/>
  <c r="CG117" i="59"/>
  <c r="CH117" i="59"/>
  <c r="CI117" i="59"/>
  <c r="CJ117" i="59"/>
  <c r="CK117" i="59"/>
  <c r="CL117" i="59"/>
  <c r="CM117" i="59"/>
  <c r="CN117" i="59"/>
  <c r="CO117" i="59"/>
  <c r="CP117" i="59"/>
  <c r="CQ117" i="59"/>
  <c r="CR117" i="59"/>
  <c r="CS117" i="59"/>
  <c r="CT117" i="59"/>
  <c r="BP118" i="59"/>
  <c r="BQ118" i="59"/>
  <c r="BR118" i="59"/>
  <c r="BS118" i="59"/>
  <c r="BT118" i="59"/>
  <c r="BU118" i="59"/>
  <c r="BV118" i="59"/>
  <c r="BW118" i="59"/>
  <c r="BX118" i="59"/>
  <c r="BY118" i="59"/>
  <c r="BZ118" i="59"/>
  <c r="CA118" i="59"/>
  <c r="CB118" i="59"/>
  <c r="CC118" i="59"/>
  <c r="CD118" i="59"/>
  <c r="CE118" i="59"/>
  <c r="CF118" i="59"/>
  <c r="CG118" i="59"/>
  <c r="CH118" i="59"/>
  <c r="CI118" i="59"/>
  <c r="CJ118" i="59"/>
  <c r="CK118" i="59"/>
  <c r="CL118" i="59"/>
  <c r="CM118" i="59"/>
  <c r="CN118" i="59"/>
  <c r="CO118" i="59"/>
  <c r="CP118" i="59"/>
  <c r="CQ118" i="59"/>
  <c r="CR118" i="59"/>
  <c r="CS118" i="59"/>
  <c r="CT118" i="59"/>
  <c r="EF121" i="59"/>
  <c r="EF120" i="59"/>
  <c r="EF119" i="59"/>
  <c r="BP78" i="59"/>
  <c r="BQ78" i="59"/>
  <c r="BR78" i="59"/>
  <c r="BS78" i="59"/>
  <c r="BT78" i="59"/>
  <c r="BU78" i="59"/>
  <c r="BV78" i="59"/>
  <c r="BW78" i="59"/>
  <c r="BX78" i="59"/>
  <c r="BY78" i="59"/>
  <c r="BZ78" i="59"/>
  <c r="CA78" i="59"/>
  <c r="CB78" i="59"/>
  <c r="CC78" i="59"/>
  <c r="CD78" i="59"/>
  <c r="CE78" i="59"/>
  <c r="CF78" i="59"/>
  <c r="CG78" i="59"/>
  <c r="CH78" i="59"/>
  <c r="CI78" i="59"/>
  <c r="CJ78" i="59"/>
  <c r="CK78" i="59"/>
  <c r="CL78" i="59"/>
  <c r="CM78" i="59"/>
  <c r="CN78" i="59"/>
  <c r="CO78" i="59"/>
  <c r="CP78" i="59"/>
  <c r="CQ78" i="59"/>
  <c r="CR78" i="59"/>
  <c r="CS78" i="59"/>
  <c r="CT78" i="59"/>
  <c r="BP79" i="59"/>
  <c r="BQ79" i="59"/>
  <c r="BR79" i="59"/>
  <c r="BS79" i="59"/>
  <c r="BT79" i="59"/>
  <c r="BU79" i="59"/>
  <c r="BV79" i="59"/>
  <c r="BW79" i="59"/>
  <c r="BX79" i="59"/>
  <c r="BY79" i="59"/>
  <c r="BZ79" i="59"/>
  <c r="CA79" i="59"/>
  <c r="CB79" i="59"/>
  <c r="CC79" i="59"/>
  <c r="CD79" i="59"/>
  <c r="CE79" i="59"/>
  <c r="CF79" i="59"/>
  <c r="CG79" i="59"/>
  <c r="CH79" i="59"/>
  <c r="CI79" i="59"/>
  <c r="CJ79" i="59"/>
  <c r="CK79" i="59"/>
  <c r="CL79" i="59"/>
  <c r="CM79" i="59"/>
  <c r="CN79" i="59"/>
  <c r="CO79" i="59"/>
  <c r="CP79" i="59"/>
  <c r="CQ79" i="59"/>
  <c r="CR79" i="59"/>
  <c r="CS79" i="59"/>
  <c r="CT79" i="59"/>
  <c r="BP81" i="59"/>
  <c r="BQ81" i="59"/>
  <c r="BR81" i="59"/>
  <c r="BS81" i="59"/>
  <c r="BT81" i="59"/>
  <c r="BU81" i="59"/>
  <c r="BV81" i="59"/>
  <c r="BW81" i="59"/>
  <c r="BX81" i="59"/>
  <c r="BY81" i="59"/>
  <c r="BZ81" i="59"/>
  <c r="CA81" i="59"/>
  <c r="CB81" i="59"/>
  <c r="CC81" i="59"/>
  <c r="CD81" i="59"/>
  <c r="CE81" i="59"/>
  <c r="CF81" i="59"/>
  <c r="CG81" i="59"/>
  <c r="CH81" i="59"/>
  <c r="CI81" i="59"/>
  <c r="CJ81" i="59"/>
  <c r="CK81" i="59"/>
  <c r="CL81" i="59"/>
  <c r="CM81" i="59"/>
  <c r="CN81" i="59"/>
  <c r="CO81" i="59"/>
  <c r="CP81" i="59"/>
  <c r="CQ81" i="59"/>
  <c r="CR81" i="59"/>
  <c r="CS81" i="59"/>
  <c r="CT81" i="59"/>
  <c r="BP82" i="59"/>
  <c r="BQ82" i="59"/>
  <c r="BR82" i="59"/>
  <c r="BS82" i="59"/>
  <c r="BT82" i="59"/>
  <c r="BU82" i="59"/>
  <c r="BV82" i="59"/>
  <c r="BW82" i="59"/>
  <c r="BX82" i="59"/>
  <c r="BY82" i="59"/>
  <c r="BZ82" i="59"/>
  <c r="CA82" i="59"/>
  <c r="CB82" i="59"/>
  <c r="CC82" i="59"/>
  <c r="CD82" i="59"/>
  <c r="CE82" i="59"/>
  <c r="CF82" i="59"/>
  <c r="CG82" i="59"/>
  <c r="CH82" i="59"/>
  <c r="CI82" i="59"/>
  <c r="CJ82" i="59"/>
  <c r="CK82" i="59"/>
  <c r="CL82" i="59"/>
  <c r="CM82" i="59"/>
  <c r="CN82" i="59"/>
  <c r="CO82" i="59"/>
  <c r="CP82" i="59"/>
  <c r="CQ82" i="59"/>
  <c r="CR82" i="59"/>
  <c r="CS82" i="59"/>
  <c r="CT82" i="59"/>
  <c r="BP83" i="59"/>
  <c r="BQ83" i="59"/>
  <c r="BR83" i="59"/>
  <c r="BS83" i="59"/>
  <c r="BT83" i="59"/>
  <c r="BU83" i="59"/>
  <c r="BV83" i="59"/>
  <c r="BW83" i="59"/>
  <c r="BX83" i="59"/>
  <c r="BY83" i="59"/>
  <c r="BZ83" i="59"/>
  <c r="CA83" i="59"/>
  <c r="CB83" i="59"/>
  <c r="CC83" i="59"/>
  <c r="CD83" i="59"/>
  <c r="CE83" i="59"/>
  <c r="CF83" i="59"/>
  <c r="CG83" i="59"/>
  <c r="CH83" i="59"/>
  <c r="CI83" i="59"/>
  <c r="CJ83" i="59"/>
  <c r="CK83" i="59"/>
  <c r="CL83" i="59"/>
  <c r="CM83" i="59"/>
  <c r="CN83" i="59"/>
  <c r="CO83" i="59"/>
  <c r="CP83" i="59"/>
  <c r="CQ83" i="59"/>
  <c r="CR83" i="59"/>
  <c r="CS83" i="59"/>
  <c r="CT83" i="59"/>
  <c r="BP84" i="59"/>
  <c r="BQ84" i="59"/>
  <c r="BR84" i="59"/>
  <c r="BS84" i="59"/>
  <c r="BT84" i="59"/>
  <c r="BU84" i="59"/>
  <c r="BV84" i="59"/>
  <c r="BW84" i="59"/>
  <c r="BX84" i="59"/>
  <c r="BY84" i="59"/>
  <c r="BZ84" i="59"/>
  <c r="CA84" i="59"/>
  <c r="CB84" i="59"/>
  <c r="CC84" i="59"/>
  <c r="CD84" i="59"/>
  <c r="CE84" i="59"/>
  <c r="CF84" i="59"/>
  <c r="CG84" i="59"/>
  <c r="CH84" i="59"/>
  <c r="CI84" i="59"/>
  <c r="CJ84" i="59"/>
  <c r="CK84" i="59"/>
  <c r="CL84" i="59"/>
  <c r="CM84" i="59"/>
  <c r="CN84" i="59"/>
  <c r="CO84" i="59"/>
  <c r="CP84" i="59"/>
  <c r="CQ84" i="59"/>
  <c r="CR84" i="59"/>
  <c r="CS84" i="59"/>
  <c r="CT84" i="59"/>
  <c r="BP85" i="59"/>
  <c r="BQ85" i="59"/>
  <c r="BR85" i="59"/>
  <c r="BS85" i="59"/>
  <c r="BT85" i="59"/>
  <c r="BU85" i="59"/>
  <c r="BV85" i="59"/>
  <c r="BW85" i="59"/>
  <c r="BX85" i="59"/>
  <c r="BY85" i="59"/>
  <c r="BZ85" i="59"/>
  <c r="CA85" i="59"/>
  <c r="CB85" i="59"/>
  <c r="CC85" i="59"/>
  <c r="CD85" i="59"/>
  <c r="CE85" i="59"/>
  <c r="CF85" i="59"/>
  <c r="CG85" i="59"/>
  <c r="CH85" i="59"/>
  <c r="CI85" i="59"/>
  <c r="CJ85" i="59"/>
  <c r="CK85" i="59"/>
  <c r="CL85" i="59"/>
  <c r="CM85" i="59"/>
  <c r="CN85" i="59"/>
  <c r="CO85" i="59"/>
  <c r="CP85" i="59"/>
  <c r="CQ85" i="59"/>
  <c r="CR85" i="59"/>
  <c r="CS85" i="59"/>
  <c r="CT85" i="59"/>
  <c r="BP86" i="59"/>
  <c r="BQ86" i="59"/>
  <c r="BR86" i="59"/>
  <c r="BS86" i="59"/>
  <c r="BT86" i="59"/>
  <c r="BU86" i="59"/>
  <c r="BV86" i="59"/>
  <c r="BW86" i="59"/>
  <c r="BX86" i="59"/>
  <c r="BY86" i="59"/>
  <c r="BZ86" i="59"/>
  <c r="CA86" i="59"/>
  <c r="CB86" i="59"/>
  <c r="CC86" i="59"/>
  <c r="CD86" i="59"/>
  <c r="CE86" i="59"/>
  <c r="CF86" i="59"/>
  <c r="CG86" i="59"/>
  <c r="CH86" i="59"/>
  <c r="CI86" i="59"/>
  <c r="CJ86" i="59"/>
  <c r="CK86" i="59"/>
  <c r="CL86" i="59"/>
  <c r="CM86" i="59"/>
  <c r="CN86" i="59"/>
  <c r="CO86" i="59"/>
  <c r="CP86" i="59"/>
  <c r="CQ86" i="59"/>
  <c r="CR86" i="59"/>
  <c r="CS86" i="59"/>
  <c r="CT86" i="59"/>
  <c r="BP87" i="59"/>
  <c r="BQ87" i="59"/>
  <c r="BR87" i="59"/>
  <c r="BS87" i="59"/>
  <c r="BT87" i="59"/>
  <c r="BU87" i="59"/>
  <c r="BV87" i="59"/>
  <c r="BW87" i="59"/>
  <c r="BX87" i="59"/>
  <c r="BY87" i="59"/>
  <c r="BZ87" i="59"/>
  <c r="CA87" i="59"/>
  <c r="CB87" i="59"/>
  <c r="CC87" i="59"/>
  <c r="CD87" i="59"/>
  <c r="CE87" i="59"/>
  <c r="CF87" i="59"/>
  <c r="CG87" i="59"/>
  <c r="CH87" i="59"/>
  <c r="CI87" i="59"/>
  <c r="CJ87" i="59"/>
  <c r="CK87" i="59"/>
  <c r="CL87" i="59"/>
  <c r="CM87" i="59"/>
  <c r="CN87" i="59"/>
  <c r="CO87" i="59"/>
  <c r="CP87" i="59"/>
  <c r="CQ87" i="59"/>
  <c r="CR87" i="59"/>
  <c r="CS87" i="59"/>
  <c r="CT87" i="59"/>
  <c r="BP88" i="59"/>
  <c r="BQ88" i="59"/>
  <c r="BR88" i="59"/>
  <c r="BS88" i="59"/>
  <c r="BT88" i="59"/>
  <c r="BU88" i="59"/>
  <c r="BV88" i="59"/>
  <c r="BW88" i="59"/>
  <c r="BX88" i="59"/>
  <c r="BY88" i="59"/>
  <c r="BZ88" i="59"/>
  <c r="CA88" i="59"/>
  <c r="CB88" i="59"/>
  <c r="CC88" i="59"/>
  <c r="CD88" i="59"/>
  <c r="CE88" i="59"/>
  <c r="CF88" i="59"/>
  <c r="CG88" i="59"/>
  <c r="CH88" i="59"/>
  <c r="CI88" i="59"/>
  <c r="CJ88" i="59"/>
  <c r="CK88" i="59"/>
  <c r="CL88" i="59"/>
  <c r="CM88" i="59"/>
  <c r="CN88" i="59"/>
  <c r="CO88" i="59"/>
  <c r="CP88" i="59"/>
  <c r="CQ88" i="59"/>
  <c r="CR88" i="59"/>
  <c r="CS88" i="59"/>
  <c r="CT88" i="59"/>
  <c r="BP89" i="59"/>
  <c r="BQ89" i="59"/>
  <c r="BR89" i="59"/>
  <c r="BS89" i="59"/>
  <c r="BT89" i="59"/>
  <c r="BU89" i="59"/>
  <c r="BV89" i="59"/>
  <c r="BW89" i="59"/>
  <c r="BX89" i="59"/>
  <c r="BY89" i="59"/>
  <c r="BZ89" i="59"/>
  <c r="CA89" i="59"/>
  <c r="CB89" i="59"/>
  <c r="CC89" i="59"/>
  <c r="CD89" i="59"/>
  <c r="CE89" i="59"/>
  <c r="CF89" i="59"/>
  <c r="CG89" i="59"/>
  <c r="CH89" i="59"/>
  <c r="CI89" i="59"/>
  <c r="CJ89" i="59"/>
  <c r="CK89" i="59"/>
  <c r="CL89" i="59"/>
  <c r="CM89" i="59"/>
  <c r="CN89" i="59"/>
  <c r="CO89" i="59"/>
  <c r="CP89" i="59"/>
  <c r="CQ89" i="59"/>
  <c r="CR89" i="59"/>
  <c r="CS89" i="59"/>
  <c r="CT89" i="59"/>
  <c r="BP90" i="59"/>
  <c r="BQ90" i="59"/>
  <c r="BR90" i="59"/>
  <c r="BS90" i="59"/>
  <c r="BT90" i="59"/>
  <c r="BU90" i="59"/>
  <c r="BV90" i="59"/>
  <c r="BW90" i="59"/>
  <c r="BX90" i="59"/>
  <c r="BY90" i="59"/>
  <c r="BZ90" i="59"/>
  <c r="CA90" i="59"/>
  <c r="CB90" i="59"/>
  <c r="CC90" i="59"/>
  <c r="CD90" i="59"/>
  <c r="CE90" i="59"/>
  <c r="CF90" i="59"/>
  <c r="CG90" i="59"/>
  <c r="CH90" i="59"/>
  <c r="CI90" i="59"/>
  <c r="CJ90" i="59"/>
  <c r="CK90" i="59"/>
  <c r="CL90" i="59"/>
  <c r="CM90" i="59"/>
  <c r="CN90" i="59"/>
  <c r="CO90" i="59"/>
  <c r="CP90" i="59"/>
  <c r="CQ90" i="59"/>
  <c r="CR90" i="59"/>
  <c r="CS90" i="59"/>
  <c r="CT90" i="59"/>
  <c r="BP91" i="59"/>
  <c r="BQ91" i="59"/>
  <c r="BR91" i="59"/>
  <c r="BS91" i="59"/>
  <c r="BT91" i="59"/>
  <c r="BU91" i="59"/>
  <c r="BV91" i="59"/>
  <c r="BW91" i="59"/>
  <c r="BX91" i="59"/>
  <c r="BY91" i="59"/>
  <c r="BZ91" i="59"/>
  <c r="CA91" i="59"/>
  <c r="CB91" i="59"/>
  <c r="CC91" i="59"/>
  <c r="CD91" i="59"/>
  <c r="CE91" i="59"/>
  <c r="CF91" i="59"/>
  <c r="CG91" i="59"/>
  <c r="CH91" i="59"/>
  <c r="CI91" i="59"/>
  <c r="CJ91" i="59"/>
  <c r="CK91" i="59"/>
  <c r="CL91" i="59"/>
  <c r="CM91" i="59"/>
  <c r="CN91" i="59"/>
  <c r="CO91" i="59"/>
  <c r="CP91" i="59"/>
  <c r="CQ91" i="59"/>
  <c r="CR91" i="59"/>
  <c r="CS91" i="59"/>
  <c r="CT91" i="59"/>
  <c r="B97" i="59"/>
  <c r="B79" i="59"/>
  <c r="B80" i="59"/>
  <c r="B81" i="59"/>
  <c r="B82" i="59"/>
  <c r="B83" i="59"/>
  <c r="B84" i="59"/>
  <c r="B85" i="59"/>
  <c r="B86" i="59"/>
  <c r="B87" i="59"/>
  <c r="B88" i="59"/>
  <c r="B89" i="59"/>
  <c r="B90" i="59"/>
  <c r="B91" i="59"/>
  <c r="B92" i="59"/>
  <c r="B93" i="59"/>
  <c r="B94" i="59"/>
  <c r="B95" i="59"/>
  <c r="B78" i="59"/>
  <c r="BP36" i="59"/>
  <c r="BQ36" i="59"/>
  <c r="BR36" i="59"/>
  <c r="BS36" i="59"/>
  <c r="BT36" i="59"/>
  <c r="BU36" i="59"/>
  <c r="BV36" i="59"/>
  <c r="BW36" i="59"/>
  <c r="BX36" i="59"/>
  <c r="BY36" i="59"/>
  <c r="BZ36" i="59"/>
  <c r="CA36" i="59"/>
  <c r="CB36" i="59"/>
  <c r="CC36" i="59"/>
  <c r="CD36" i="59"/>
  <c r="CE36" i="59"/>
  <c r="CF36" i="59"/>
  <c r="CG36" i="59"/>
  <c r="CH36" i="59"/>
  <c r="CI36" i="59"/>
  <c r="CJ36" i="59"/>
  <c r="CK36" i="59"/>
  <c r="CL36" i="59"/>
  <c r="CM36" i="59"/>
  <c r="CN36" i="59"/>
  <c r="CO36" i="59"/>
  <c r="CP36" i="59"/>
  <c r="CQ36" i="59"/>
  <c r="CR36" i="59"/>
  <c r="CS36" i="59"/>
  <c r="CT36" i="59"/>
  <c r="BP37" i="59"/>
  <c r="BQ37" i="59"/>
  <c r="BR37" i="59"/>
  <c r="BS37" i="59"/>
  <c r="BT37" i="59"/>
  <c r="BU37" i="59"/>
  <c r="BV37" i="59"/>
  <c r="BW37" i="59"/>
  <c r="BX37" i="59"/>
  <c r="BY37" i="59"/>
  <c r="BZ37" i="59"/>
  <c r="CA37" i="59"/>
  <c r="CB37" i="59"/>
  <c r="CC37" i="59"/>
  <c r="CD37" i="59"/>
  <c r="CE37" i="59"/>
  <c r="CF37" i="59"/>
  <c r="CG37" i="59"/>
  <c r="CH37" i="59"/>
  <c r="CI37" i="59"/>
  <c r="CJ37" i="59"/>
  <c r="CK37" i="59"/>
  <c r="CL37" i="59"/>
  <c r="CM37" i="59"/>
  <c r="CN37" i="59"/>
  <c r="CO37" i="59"/>
  <c r="CP37" i="59"/>
  <c r="CQ37" i="59"/>
  <c r="CR37" i="59"/>
  <c r="CS37" i="59"/>
  <c r="CT37" i="59"/>
  <c r="BP38" i="59"/>
  <c r="BQ38" i="59"/>
  <c r="BR38" i="59"/>
  <c r="BS38" i="59"/>
  <c r="BT38" i="59"/>
  <c r="BU38" i="59"/>
  <c r="BV38" i="59"/>
  <c r="BW38" i="59"/>
  <c r="BX38" i="59"/>
  <c r="BY38" i="59"/>
  <c r="BZ38" i="59"/>
  <c r="CA38" i="59"/>
  <c r="CB38" i="59"/>
  <c r="CC38" i="59"/>
  <c r="CD38" i="59"/>
  <c r="CE38" i="59"/>
  <c r="CF38" i="59"/>
  <c r="CG38" i="59"/>
  <c r="CH38" i="59"/>
  <c r="CI38" i="59"/>
  <c r="CJ38" i="59"/>
  <c r="CK38" i="59"/>
  <c r="CL38" i="59"/>
  <c r="CM38" i="59"/>
  <c r="CN38" i="59"/>
  <c r="CO38" i="59"/>
  <c r="CP38" i="59"/>
  <c r="CQ38" i="59"/>
  <c r="CR38" i="59"/>
  <c r="CS38" i="59"/>
  <c r="CT38" i="59"/>
  <c r="BP39" i="59"/>
  <c r="BQ39" i="59"/>
  <c r="BR39" i="59"/>
  <c r="BS39" i="59"/>
  <c r="BT39" i="59"/>
  <c r="BU39" i="59"/>
  <c r="BV39" i="59"/>
  <c r="BW39" i="59"/>
  <c r="BX39" i="59"/>
  <c r="BY39" i="59"/>
  <c r="BZ39" i="59"/>
  <c r="CA39" i="59"/>
  <c r="CB39" i="59"/>
  <c r="CC39" i="59"/>
  <c r="CD39" i="59"/>
  <c r="CE39" i="59"/>
  <c r="CF39" i="59"/>
  <c r="CG39" i="59"/>
  <c r="CH39" i="59"/>
  <c r="CI39" i="59"/>
  <c r="CJ39" i="59"/>
  <c r="CK39" i="59"/>
  <c r="CL39" i="59"/>
  <c r="CM39" i="59"/>
  <c r="CN39" i="59"/>
  <c r="CO39" i="59"/>
  <c r="CP39" i="59"/>
  <c r="CQ39" i="59"/>
  <c r="CR39" i="59"/>
  <c r="CS39" i="59"/>
  <c r="CT39" i="59"/>
  <c r="BP40" i="59"/>
  <c r="BQ40" i="59"/>
  <c r="BR40" i="59"/>
  <c r="BS40" i="59"/>
  <c r="BT40" i="59"/>
  <c r="BU40" i="59"/>
  <c r="BV40" i="59"/>
  <c r="BW40" i="59"/>
  <c r="BX40" i="59"/>
  <c r="BY40" i="59"/>
  <c r="BZ40" i="59"/>
  <c r="CA40" i="59"/>
  <c r="CB40" i="59"/>
  <c r="CC40" i="59"/>
  <c r="CD40" i="59"/>
  <c r="CE40" i="59"/>
  <c r="CF40" i="59"/>
  <c r="CG40" i="59"/>
  <c r="CH40" i="59"/>
  <c r="CI40" i="59"/>
  <c r="CJ40" i="59"/>
  <c r="CK40" i="59"/>
  <c r="CL40" i="59"/>
  <c r="CM40" i="59"/>
  <c r="CN40" i="59"/>
  <c r="CO40" i="59"/>
  <c r="CP40" i="59"/>
  <c r="CQ40" i="59"/>
  <c r="CR40" i="59"/>
  <c r="CS40" i="59"/>
  <c r="CT40" i="59"/>
  <c r="BP41" i="59"/>
  <c r="BQ41" i="59"/>
  <c r="BR41" i="59"/>
  <c r="BS41" i="59"/>
  <c r="BT41" i="59"/>
  <c r="BU41" i="59"/>
  <c r="BV41" i="59"/>
  <c r="BW41" i="59"/>
  <c r="BX41" i="59"/>
  <c r="BY41" i="59"/>
  <c r="BZ41" i="59"/>
  <c r="CA41" i="59"/>
  <c r="CB41" i="59"/>
  <c r="CC41" i="59"/>
  <c r="CD41" i="59"/>
  <c r="CE41" i="59"/>
  <c r="CF41" i="59"/>
  <c r="CG41" i="59"/>
  <c r="CH41" i="59"/>
  <c r="CI41" i="59"/>
  <c r="CJ41" i="59"/>
  <c r="CK41" i="59"/>
  <c r="CL41" i="59"/>
  <c r="CM41" i="59"/>
  <c r="CN41" i="59"/>
  <c r="CO41" i="59"/>
  <c r="CP41" i="59"/>
  <c r="CQ41" i="59"/>
  <c r="CR41" i="59"/>
  <c r="CS41" i="59"/>
  <c r="CT41" i="59"/>
  <c r="BP42" i="59"/>
  <c r="BQ42" i="59"/>
  <c r="BR42" i="59"/>
  <c r="BS42" i="59"/>
  <c r="BT42" i="59"/>
  <c r="BU42" i="59"/>
  <c r="BV42" i="59"/>
  <c r="BW42" i="59"/>
  <c r="BX42" i="59"/>
  <c r="BY42" i="59"/>
  <c r="BZ42" i="59"/>
  <c r="CA42" i="59"/>
  <c r="CB42" i="59"/>
  <c r="CC42" i="59"/>
  <c r="CD42" i="59"/>
  <c r="CE42" i="59"/>
  <c r="CF42" i="59"/>
  <c r="CG42" i="59"/>
  <c r="CH42" i="59"/>
  <c r="CI42" i="59"/>
  <c r="CJ42" i="59"/>
  <c r="CK42" i="59"/>
  <c r="CL42" i="59"/>
  <c r="CM42" i="59"/>
  <c r="CN42" i="59"/>
  <c r="CO42" i="59"/>
  <c r="CP42" i="59"/>
  <c r="CQ42" i="59"/>
  <c r="CR42" i="59"/>
  <c r="CS42" i="59"/>
  <c r="CT42" i="59"/>
  <c r="BP43" i="59"/>
  <c r="BQ43" i="59"/>
  <c r="BR43" i="59"/>
  <c r="BS43" i="59"/>
  <c r="BT43" i="59"/>
  <c r="BU43" i="59"/>
  <c r="BV43" i="59"/>
  <c r="BW43" i="59"/>
  <c r="BX43" i="59"/>
  <c r="BY43" i="59"/>
  <c r="BZ43" i="59"/>
  <c r="CA43" i="59"/>
  <c r="CB43" i="59"/>
  <c r="CC43" i="59"/>
  <c r="CD43" i="59"/>
  <c r="CE43" i="59"/>
  <c r="CF43" i="59"/>
  <c r="CG43" i="59"/>
  <c r="CH43" i="59"/>
  <c r="CI43" i="59"/>
  <c r="CJ43" i="59"/>
  <c r="CK43" i="59"/>
  <c r="CL43" i="59"/>
  <c r="CM43" i="59"/>
  <c r="CN43" i="59"/>
  <c r="CO43" i="59"/>
  <c r="CP43" i="59"/>
  <c r="CQ43" i="59"/>
  <c r="CR43" i="59"/>
  <c r="CS43" i="59"/>
  <c r="CT43" i="59"/>
  <c r="BP44" i="59"/>
  <c r="BQ44" i="59"/>
  <c r="BR44" i="59"/>
  <c r="BS44" i="59"/>
  <c r="BT44" i="59"/>
  <c r="BU44" i="59"/>
  <c r="BV44" i="59"/>
  <c r="BW44" i="59"/>
  <c r="BX44" i="59"/>
  <c r="BY44" i="59"/>
  <c r="BZ44" i="59"/>
  <c r="CA44" i="59"/>
  <c r="CB44" i="59"/>
  <c r="CC44" i="59"/>
  <c r="CD44" i="59"/>
  <c r="CE44" i="59"/>
  <c r="CF44" i="59"/>
  <c r="CG44" i="59"/>
  <c r="CH44" i="59"/>
  <c r="CI44" i="59"/>
  <c r="CJ44" i="59"/>
  <c r="CK44" i="59"/>
  <c r="CL44" i="59"/>
  <c r="CM44" i="59"/>
  <c r="CN44" i="59"/>
  <c r="CO44" i="59"/>
  <c r="CP44" i="59"/>
  <c r="CQ44" i="59"/>
  <c r="CR44" i="59"/>
  <c r="CS44" i="59"/>
  <c r="CT44" i="59"/>
  <c r="BP46" i="59"/>
  <c r="BQ46" i="59"/>
  <c r="BR46" i="59"/>
  <c r="BS46" i="59"/>
  <c r="BT46" i="59"/>
  <c r="BU46" i="59"/>
  <c r="BV46" i="59"/>
  <c r="BW46" i="59"/>
  <c r="BX46" i="59"/>
  <c r="BY46" i="59"/>
  <c r="BZ46" i="59"/>
  <c r="CA46" i="59"/>
  <c r="CB46" i="59"/>
  <c r="CC46" i="59"/>
  <c r="CD46" i="59"/>
  <c r="CE46" i="59"/>
  <c r="CF46" i="59"/>
  <c r="CG46" i="59"/>
  <c r="CH46" i="59"/>
  <c r="CI46" i="59"/>
  <c r="CJ46" i="59"/>
  <c r="CK46" i="59"/>
  <c r="CL46" i="59"/>
  <c r="CM46" i="59"/>
  <c r="CN46" i="59"/>
  <c r="CO46" i="59"/>
  <c r="CP46" i="59"/>
  <c r="CQ46" i="59"/>
  <c r="CR46" i="59"/>
  <c r="CS46" i="59"/>
  <c r="CT46" i="59"/>
  <c r="BP47" i="59"/>
  <c r="BQ47" i="59"/>
  <c r="BR47" i="59"/>
  <c r="BS47" i="59"/>
  <c r="BT47" i="59"/>
  <c r="BU47" i="59"/>
  <c r="BV47" i="59"/>
  <c r="BW47" i="59"/>
  <c r="BX47" i="59"/>
  <c r="BY47" i="59"/>
  <c r="BZ47" i="59"/>
  <c r="CA47" i="59"/>
  <c r="CB47" i="59"/>
  <c r="CC47" i="59"/>
  <c r="CD47" i="59"/>
  <c r="CE47" i="59"/>
  <c r="CF47" i="59"/>
  <c r="CG47" i="59"/>
  <c r="CH47" i="59"/>
  <c r="CI47" i="59"/>
  <c r="CJ47" i="59"/>
  <c r="CK47" i="59"/>
  <c r="CL47" i="59"/>
  <c r="CM47" i="59"/>
  <c r="CN47" i="59"/>
  <c r="CO47" i="59"/>
  <c r="CP47" i="59"/>
  <c r="CQ47" i="59"/>
  <c r="CR47" i="59"/>
  <c r="CS47" i="59"/>
  <c r="CT47" i="59"/>
  <c r="BP48" i="59"/>
  <c r="BQ48" i="59"/>
  <c r="BR48" i="59"/>
  <c r="BS48" i="59"/>
  <c r="BT48" i="59"/>
  <c r="BU48" i="59"/>
  <c r="BV48" i="59"/>
  <c r="BW48" i="59"/>
  <c r="BX48" i="59"/>
  <c r="BY48" i="59"/>
  <c r="BZ48" i="59"/>
  <c r="CA48" i="59"/>
  <c r="CB48" i="59"/>
  <c r="CC48" i="59"/>
  <c r="CD48" i="59"/>
  <c r="CE48" i="59"/>
  <c r="CF48" i="59"/>
  <c r="CG48" i="59"/>
  <c r="CH48" i="59"/>
  <c r="CI48" i="59"/>
  <c r="CJ48" i="59"/>
  <c r="CK48" i="59"/>
  <c r="CL48" i="59"/>
  <c r="CM48" i="59"/>
  <c r="CN48" i="59"/>
  <c r="CO48" i="59"/>
  <c r="CP48" i="59"/>
  <c r="CQ48" i="59"/>
  <c r="CR48" i="59"/>
  <c r="CS48" i="59"/>
  <c r="CT48" i="59"/>
  <c r="BP35" i="59"/>
  <c r="BQ35" i="59"/>
  <c r="BR35" i="59"/>
  <c r="BS35" i="59"/>
  <c r="BT35" i="59"/>
  <c r="BU35" i="59"/>
  <c r="BV35" i="59"/>
  <c r="BW35" i="59"/>
  <c r="BX35" i="59"/>
  <c r="BY35" i="59"/>
  <c r="BZ35" i="59"/>
  <c r="CA35" i="59"/>
  <c r="CB35" i="59"/>
  <c r="CC35" i="59"/>
  <c r="CD35" i="59"/>
  <c r="CE35" i="59"/>
  <c r="CF35" i="59"/>
  <c r="CG35" i="59"/>
  <c r="CH35" i="59"/>
  <c r="CI35" i="59"/>
  <c r="CJ35" i="59"/>
  <c r="CK35" i="59"/>
  <c r="CL35" i="59"/>
  <c r="CM35" i="59"/>
  <c r="CN35" i="59"/>
  <c r="CO35" i="59"/>
  <c r="CP35" i="59"/>
  <c r="CQ35" i="59"/>
  <c r="CR35" i="59"/>
  <c r="CS35" i="59"/>
  <c r="CT35" i="59"/>
  <c r="EF80" i="59"/>
  <c r="EE192" i="55"/>
  <c r="EE190" i="55"/>
  <c r="EE187" i="55"/>
  <c r="B122" i="59" l="1"/>
  <c r="B148" i="59"/>
  <c r="B114" i="59"/>
  <c r="B140" i="59"/>
  <c r="B106" i="59"/>
  <c r="B132" i="59"/>
  <c r="B121" i="59"/>
  <c r="B147" i="59"/>
  <c r="B113" i="59"/>
  <c r="B139" i="59"/>
  <c r="B123" i="59"/>
  <c r="B150" i="59"/>
  <c r="B120" i="59"/>
  <c r="B146" i="59"/>
  <c r="B112" i="59"/>
  <c r="B138" i="59"/>
  <c r="B119" i="59"/>
  <c r="B145" i="59"/>
  <c r="B111" i="59"/>
  <c r="B137" i="59"/>
  <c r="B118" i="59"/>
  <c r="B144" i="59"/>
  <c r="B110" i="59"/>
  <c r="B136" i="59"/>
  <c r="B117" i="59"/>
  <c r="B143" i="59"/>
  <c r="B109" i="59"/>
  <c r="B135" i="59"/>
  <c r="B116" i="59"/>
  <c r="B142" i="59"/>
  <c r="B108" i="59"/>
  <c r="B134" i="59"/>
  <c r="B105" i="59"/>
  <c r="B131" i="59"/>
  <c r="B115" i="59"/>
  <c r="B141" i="59"/>
  <c r="B107" i="59"/>
  <c r="B133" i="59"/>
  <c r="BR107" i="59"/>
  <c r="DT107" i="59"/>
  <c r="DL107" i="59"/>
  <c r="DD107" i="59"/>
  <c r="CV107" i="59"/>
  <c r="DS107" i="59"/>
  <c r="DK107" i="59"/>
  <c r="DC107" i="59"/>
  <c r="DY107" i="59"/>
  <c r="DQ107" i="59"/>
  <c r="DI107" i="59"/>
  <c r="DA107" i="59"/>
  <c r="DX107" i="59"/>
  <c r="DP107" i="59"/>
  <c r="DH107" i="59"/>
  <c r="CZ107" i="59"/>
  <c r="DW107" i="59"/>
  <c r="DO107" i="59"/>
  <c r="DG107" i="59"/>
  <c r="CY107" i="59"/>
  <c r="DF107" i="59"/>
  <c r="DZ107" i="59"/>
  <c r="DE107" i="59"/>
  <c r="DV107" i="59"/>
  <c r="DB107" i="59"/>
  <c r="DU107" i="59"/>
  <c r="CX107" i="59"/>
  <c r="DR107" i="59"/>
  <c r="CW107" i="59"/>
  <c r="DN107" i="59"/>
  <c r="DM107" i="59"/>
  <c r="DJ107" i="59"/>
  <c r="BS80" i="59"/>
  <c r="DV80" i="59"/>
  <c r="DN80" i="59"/>
  <c r="DF80" i="59"/>
  <c r="CX80" i="59"/>
  <c r="DT80" i="59"/>
  <c r="DL80" i="59"/>
  <c r="DD80" i="59"/>
  <c r="CV80" i="59"/>
  <c r="DS80" i="59"/>
  <c r="DK80" i="59"/>
  <c r="DC80" i="59"/>
  <c r="DZ80" i="59"/>
  <c r="DR80" i="59"/>
  <c r="DJ80" i="59"/>
  <c r="DB80" i="59"/>
  <c r="DQ80" i="59"/>
  <c r="DA80" i="59"/>
  <c r="DP80" i="59"/>
  <c r="CZ80" i="59"/>
  <c r="DO80" i="59"/>
  <c r="CY80" i="59"/>
  <c r="DM80" i="59"/>
  <c r="CW80" i="59"/>
  <c r="DY80" i="59"/>
  <c r="DI80" i="59"/>
  <c r="DX80" i="59"/>
  <c r="DH80" i="59"/>
  <c r="DE80" i="59"/>
  <c r="DW80" i="59"/>
  <c r="DU80" i="59"/>
  <c r="DG80" i="59"/>
  <c r="BZ119" i="59"/>
  <c r="DX119" i="59"/>
  <c r="DP119" i="59"/>
  <c r="DH119" i="59"/>
  <c r="CZ119" i="59"/>
  <c r="DW119" i="59"/>
  <c r="DO119" i="59"/>
  <c r="DG119" i="59"/>
  <c r="CY119" i="59"/>
  <c r="DU119" i="59"/>
  <c r="DM119" i="59"/>
  <c r="DE119" i="59"/>
  <c r="CW119" i="59"/>
  <c r="DT119" i="59"/>
  <c r="DL119" i="59"/>
  <c r="DD119" i="59"/>
  <c r="CV119" i="59"/>
  <c r="DS119" i="59"/>
  <c r="DK119" i="59"/>
  <c r="DC119" i="59"/>
  <c r="DZ119" i="59"/>
  <c r="DF119" i="59"/>
  <c r="DY119" i="59"/>
  <c r="DB119" i="59"/>
  <c r="DV119" i="59"/>
  <c r="DA119" i="59"/>
  <c r="DR119" i="59"/>
  <c r="CX119" i="59"/>
  <c r="DQ119" i="59"/>
  <c r="DN119" i="59"/>
  <c r="DJ119" i="59"/>
  <c r="DI119" i="59"/>
  <c r="CC107" i="59"/>
  <c r="CT107" i="59"/>
  <c r="BQ107" i="59"/>
  <c r="CS107" i="59"/>
  <c r="CL107" i="59"/>
  <c r="CK107" i="59"/>
  <c r="CD107" i="59"/>
  <c r="CR107" i="59"/>
  <c r="CJ107" i="59"/>
  <c r="CB107" i="59"/>
  <c r="CQ107" i="59"/>
  <c r="CI107" i="59"/>
  <c r="CA107" i="59"/>
  <c r="CP107" i="59"/>
  <c r="CH107" i="59"/>
  <c r="BZ107" i="59"/>
  <c r="CO107" i="59"/>
  <c r="CG107" i="59"/>
  <c r="BY107" i="59"/>
  <c r="CN107" i="59"/>
  <c r="CF107" i="59"/>
  <c r="BX107" i="59"/>
  <c r="CM107" i="59"/>
  <c r="CE107" i="59"/>
  <c r="BW107" i="59"/>
  <c r="BP107" i="59"/>
  <c r="CX14" i="58"/>
  <c r="BV107" i="59"/>
  <c r="BU107" i="59"/>
  <c r="CS119" i="59"/>
  <c r="BT107" i="59"/>
  <c r="BS107" i="59"/>
  <c r="CP119" i="59"/>
  <c r="CC119" i="59"/>
  <c r="BS119" i="59"/>
  <c r="CA119" i="59"/>
  <c r="CI119" i="59"/>
  <c r="CQ119" i="59"/>
  <c r="BV119" i="59"/>
  <c r="CD119" i="59"/>
  <c r="CL119" i="59"/>
  <c r="CT119" i="59"/>
  <c r="BW119" i="59"/>
  <c r="CE119" i="59"/>
  <c r="CM119" i="59"/>
  <c r="BP119" i="59"/>
  <c r="BX119" i="59"/>
  <c r="CF119" i="59"/>
  <c r="CN119" i="59"/>
  <c r="BR119" i="59"/>
  <c r="CG119" i="59"/>
  <c r="BQ119" i="59"/>
  <c r="CH119" i="59"/>
  <c r="BT119" i="59"/>
  <c r="CJ119" i="59"/>
  <c r="BU119" i="59"/>
  <c r="CK119" i="59"/>
  <c r="BY119" i="59"/>
  <c r="CO119" i="59"/>
  <c r="CB119" i="59"/>
  <c r="CR119" i="59"/>
  <c r="CO80" i="59"/>
  <c r="BT80" i="59"/>
  <c r="CB80" i="59"/>
  <c r="CJ80" i="59"/>
  <c r="CR80" i="59"/>
  <c r="BW80" i="59"/>
  <c r="CE80" i="59"/>
  <c r="CM80" i="59"/>
  <c r="BP80" i="59"/>
  <c r="BX80" i="59"/>
  <c r="CF80" i="59"/>
  <c r="CN80" i="59"/>
  <c r="BR80" i="59"/>
  <c r="BZ80" i="59"/>
  <c r="CH80" i="59"/>
  <c r="CP80" i="59"/>
  <c r="CD80" i="59"/>
  <c r="CT80" i="59"/>
  <c r="BU80" i="59"/>
  <c r="CK80" i="59"/>
  <c r="BV80" i="59"/>
  <c r="CL80" i="59"/>
  <c r="CI80" i="59"/>
  <c r="BQ80" i="59"/>
  <c r="CQ80" i="59"/>
  <c r="BY80" i="59"/>
  <c r="CA80" i="59"/>
  <c r="CG80" i="59"/>
  <c r="CS80" i="59"/>
  <c r="CC80" i="59"/>
  <c r="BP73" i="59" l="1"/>
  <c r="BP70" i="59"/>
  <c r="BP69" i="59"/>
  <c r="BP68" i="59"/>
  <c r="BP67" i="59"/>
  <c r="BP66" i="59"/>
  <c r="BP65" i="59"/>
  <c r="BP64" i="59"/>
  <c r="BP62" i="59"/>
  <c r="BP61" i="59"/>
  <c r="K5" i="44"/>
  <c r="EF74" i="59" l="1"/>
  <c r="EF72" i="59"/>
  <c r="EF45" i="59"/>
  <c r="EF63" i="59"/>
  <c r="DX45" i="59" l="1"/>
  <c r="DP45" i="59"/>
  <c r="DH45" i="59"/>
  <c r="CZ45" i="59"/>
  <c r="DW45" i="59"/>
  <c r="DO45" i="59"/>
  <c r="DG45" i="59"/>
  <c r="CY45" i="59"/>
  <c r="DB45" i="59"/>
  <c r="DV45" i="59"/>
  <c r="DN45" i="59"/>
  <c r="DF45" i="59"/>
  <c r="CX45" i="59"/>
  <c r="DR45" i="59"/>
  <c r="DU45" i="59"/>
  <c r="DM45" i="59"/>
  <c r="DE45" i="59"/>
  <c r="CW45" i="59"/>
  <c r="DJ45" i="59"/>
  <c r="DT45" i="59"/>
  <c r="DL45" i="59"/>
  <c r="DD45" i="59"/>
  <c r="CV45" i="59"/>
  <c r="DZ45" i="59"/>
  <c r="DS45" i="59"/>
  <c r="DK45" i="59"/>
  <c r="DC45" i="59"/>
  <c r="DY45" i="59"/>
  <c r="DQ45" i="59"/>
  <c r="DI45" i="59"/>
  <c r="DA45" i="59"/>
  <c r="DZ74" i="59"/>
  <c r="DR74" i="59"/>
  <c r="DJ74" i="59"/>
  <c r="DB74" i="59"/>
  <c r="DW74" i="59"/>
  <c r="DO74" i="59"/>
  <c r="DG74" i="59"/>
  <c r="CY74" i="59"/>
  <c r="DV74" i="59"/>
  <c r="DN74" i="59"/>
  <c r="DF74" i="59"/>
  <c r="CX74" i="59"/>
  <c r="DU74" i="59"/>
  <c r="DI74" i="59"/>
  <c r="CV74" i="59"/>
  <c r="DT74" i="59"/>
  <c r="DH74" i="59"/>
  <c r="DS74" i="59"/>
  <c r="DE74" i="59"/>
  <c r="DQ74" i="59"/>
  <c r="DD74" i="59"/>
  <c r="DP74" i="59"/>
  <c r="DC74" i="59"/>
  <c r="DM74" i="59"/>
  <c r="DA74" i="59"/>
  <c r="DY74" i="59"/>
  <c r="DX74" i="59"/>
  <c r="DL74" i="59"/>
  <c r="DK74" i="59"/>
  <c r="CZ74" i="59"/>
  <c r="CW74" i="59"/>
  <c r="DV63" i="59"/>
  <c r="DN63" i="59"/>
  <c r="DF63" i="59"/>
  <c r="CX63" i="59"/>
  <c r="DT63" i="59"/>
  <c r="DL63" i="59"/>
  <c r="DD63" i="59"/>
  <c r="CV63" i="59"/>
  <c r="DZ63" i="59"/>
  <c r="DR63" i="59"/>
  <c r="DJ63" i="59"/>
  <c r="DB63" i="59"/>
  <c r="DS63" i="59"/>
  <c r="DG63" i="59"/>
  <c r="DQ63" i="59"/>
  <c r="DE63" i="59"/>
  <c r="DH63" i="59"/>
  <c r="DP63" i="59"/>
  <c r="DC63" i="59"/>
  <c r="CW63" i="59"/>
  <c r="DO63" i="59"/>
  <c r="DA63" i="59"/>
  <c r="DU63" i="59"/>
  <c r="DY63" i="59"/>
  <c r="DM63" i="59"/>
  <c r="CZ63" i="59"/>
  <c r="DW63" i="59"/>
  <c r="DX63" i="59"/>
  <c r="DK63" i="59"/>
  <c r="CY63" i="59"/>
  <c r="DI63" i="59"/>
  <c r="DX72" i="59"/>
  <c r="DP72" i="59"/>
  <c r="DH72" i="59"/>
  <c r="CZ72" i="59"/>
  <c r="DU72" i="59"/>
  <c r="DM72" i="59"/>
  <c r="DE72" i="59"/>
  <c r="CW72" i="59"/>
  <c r="DT72" i="59"/>
  <c r="DL72" i="59"/>
  <c r="DD72" i="59"/>
  <c r="CV72" i="59"/>
  <c r="DS72" i="59"/>
  <c r="DG72" i="59"/>
  <c r="DR72" i="59"/>
  <c r="DF72" i="59"/>
  <c r="DQ72" i="59"/>
  <c r="DC72" i="59"/>
  <c r="DO72" i="59"/>
  <c r="DB72" i="59"/>
  <c r="DZ72" i="59"/>
  <c r="DN72" i="59"/>
  <c r="DA72" i="59"/>
  <c r="DY72" i="59"/>
  <c r="DK72" i="59"/>
  <c r="CY72" i="59"/>
  <c r="CX72" i="59"/>
  <c r="DI72" i="59"/>
  <c r="DW72" i="59"/>
  <c r="DV72" i="59"/>
  <c r="DJ72" i="59"/>
  <c r="EF71" i="59"/>
  <c r="BP63" i="59"/>
  <c r="BQ45" i="59"/>
  <c r="BY45" i="59"/>
  <c r="CG45" i="59"/>
  <c r="CO45" i="59"/>
  <c r="BV45" i="59"/>
  <c r="CD45" i="59"/>
  <c r="CL45" i="59"/>
  <c r="CT45" i="59"/>
  <c r="CU47" i="59" s="1"/>
  <c r="EI47" i="59" s="1"/>
  <c r="EI50" i="59" s="1"/>
  <c r="BW45" i="59"/>
  <c r="CE45" i="59"/>
  <c r="CM45" i="59"/>
  <c r="BS45" i="59"/>
  <c r="CF45" i="59"/>
  <c r="CR45" i="59"/>
  <c r="BT45" i="59"/>
  <c r="CH45" i="59"/>
  <c r="CS45" i="59"/>
  <c r="BP45" i="59"/>
  <c r="CB45" i="59"/>
  <c r="CP45" i="59"/>
  <c r="BU45" i="59"/>
  <c r="CN45" i="59"/>
  <c r="BX45" i="59"/>
  <c r="CQ45" i="59"/>
  <c r="BZ45" i="59"/>
  <c r="CC45" i="59"/>
  <c r="CI45" i="59"/>
  <c r="BR45" i="59"/>
  <c r="CA45" i="59"/>
  <c r="CK45" i="59"/>
  <c r="CJ45" i="59"/>
  <c r="BP72" i="59"/>
  <c r="BP74" i="59"/>
  <c r="B36" i="59"/>
  <c r="B62" i="59" s="1"/>
  <c r="B37" i="59"/>
  <c r="B63" i="59" s="1"/>
  <c r="B38" i="59"/>
  <c r="B64" i="59" s="1"/>
  <c r="B39" i="59"/>
  <c r="B65" i="59" s="1"/>
  <c r="B40" i="59"/>
  <c r="B66" i="59" s="1"/>
  <c r="B41" i="59"/>
  <c r="B67" i="59" s="1"/>
  <c r="B42" i="59"/>
  <c r="B68" i="59" s="1"/>
  <c r="B43" i="59"/>
  <c r="B69" i="59" s="1"/>
  <c r="B44" i="59"/>
  <c r="B70" i="59" s="1"/>
  <c r="B45" i="59"/>
  <c r="B71" i="59" s="1"/>
  <c r="B46" i="59"/>
  <c r="B72" i="59" s="1"/>
  <c r="B47" i="59"/>
  <c r="B73" i="59" s="1"/>
  <c r="B48" i="59"/>
  <c r="B74" i="59" s="1"/>
  <c r="B49" i="59"/>
  <c r="B50" i="59"/>
  <c r="B51" i="59"/>
  <c r="B52" i="59"/>
  <c r="B53" i="59"/>
  <c r="B35" i="59"/>
  <c r="B61" i="59" s="1"/>
  <c r="C32" i="59"/>
  <c r="BP23" i="59"/>
  <c r="BP146" i="59" s="1"/>
  <c r="BQ23" i="59"/>
  <c r="BQ146" i="59" s="1"/>
  <c r="BR23" i="59"/>
  <c r="BR146" i="59" s="1"/>
  <c r="BS23" i="59"/>
  <c r="BT23" i="59"/>
  <c r="BT146" i="59" s="1"/>
  <c r="BU23" i="59"/>
  <c r="BV23" i="59"/>
  <c r="BW23" i="59"/>
  <c r="BX23" i="59"/>
  <c r="BY23" i="59"/>
  <c r="BZ23" i="59"/>
  <c r="CA23" i="59"/>
  <c r="CB23" i="59"/>
  <c r="CC23" i="59"/>
  <c r="CD23" i="59"/>
  <c r="CE23" i="59"/>
  <c r="CF23" i="59"/>
  <c r="CG23" i="59"/>
  <c r="CH23" i="59"/>
  <c r="CI23" i="59"/>
  <c r="CJ23" i="59"/>
  <c r="CK23" i="59"/>
  <c r="CL23" i="59"/>
  <c r="CM23" i="59"/>
  <c r="CN23" i="59"/>
  <c r="CO23" i="59"/>
  <c r="CP23" i="59"/>
  <c r="CQ23" i="59"/>
  <c r="CR23" i="59"/>
  <c r="CR146" i="59" s="1"/>
  <c r="CS23" i="59"/>
  <c r="CT23" i="59"/>
  <c r="BQ2" i="59"/>
  <c r="BQ72" i="59" s="1"/>
  <c r="B28" i="59"/>
  <c r="B99" i="59" s="1"/>
  <c r="B29" i="59"/>
  <c r="B100" i="59" s="1"/>
  <c r="B30" i="59"/>
  <c r="B27" i="59"/>
  <c r="B98" i="59" s="1"/>
  <c r="AJ20" i="59"/>
  <c r="AJ19" i="59"/>
  <c r="D20" i="59"/>
  <c r="D48" i="59" s="1"/>
  <c r="D19" i="59"/>
  <c r="D47" i="59" s="1"/>
  <c r="AJ15" i="59"/>
  <c r="AJ14" i="59"/>
  <c r="D15" i="59"/>
  <c r="D43" i="59" s="1"/>
  <c r="D14" i="59"/>
  <c r="D42" i="59" s="1"/>
  <c r="AJ13" i="59"/>
  <c r="AJ12" i="59"/>
  <c r="D13" i="59"/>
  <c r="D41" i="59" s="1"/>
  <c r="D12" i="59"/>
  <c r="D40" i="59" s="1"/>
  <c r="AJ9" i="59"/>
  <c r="AJ10" i="59"/>
  <c r="AJ11" i="59"/>
  <c r="AJ8" i="59"/>
  <c r="D10" i="59"/>
  <c r="D38" i="59" s="1"/>
  <c r="D11" i="59"/>
  <c r="D39" i="59" s="1"/>
  <c r="D9" i="59"/>
  <c r="D37" i="59" s="1"/>
  <c r="D8" i="59"/>
  <c r="D36" i="59" s="1"/>
  <c r="BS146" i="59" l="1"/>
  <c r="CP146" i="59"/>
  <c r="CH146" i="59"/>
  <c r="BZ146" i="59"/>
  <c r="CO146" i="59"/>
  <c r="CG146" i="59"/>
  <c r="BY146" i="59"/>
  <c r="CN146" i="59"/>
  <c r="CF146" i="59"/>
  <c r="BX146" i="59"/>
  <c r="CM146" i="59"/>
  <c r="CT146" i="59"/>
  <c r="CL146" i="59"/>
  <c r="CE146" i="59"/>
  <c r="BW146" i="59"/>
  <c r="CD146" i="59"/>
  <c r="BV146" i="59"/>
  <c r="BU146" i="59"/>
  <c r="CJ146" i="59"/>
  <c r="CQ146" i="59"/>
  <c r="CS146" i="59"/>
  <c r="CI146" i="59"/>
  <c r="CK146" i="59"/>
  <c r="CB146" i="59"/>
  <c r="CA146" i="59"/>
  <c r="CC146" i="59"/>
  <c r="B124" i="59"/>
  <c r="B151" i="59"/>
  <c r="B126" i="59"/>
  <c r="B153" i="59"/>
  <c r="B125" i="59"/>
  <c r="B152" i="59"/>
  <c r="CM121" i="59"/>
  <c r="CM50" i="59"/>
  <c r="CE121" i="59"/>
  <c r="CE50" i="59"/>
  <c r="BW121" i="59"/>
  <c r="BW50" i="59"/>
  <c r="BX121" i="59"/>
  <c r="BX50" i="59"/>
  <c r="CT121" i="59"/>
  <c r="CT50" i="59"/>
  <c r="CL121" i="59"/>
  <c r="CL50" i="59"/>
  <c r="CD121" i="59"/>
  <c r="CD50" i="59"/>
  <c r="BV121" i="59"/>
  <c r="BV50" i="59"/>
  <c r="CS121" i="59"/>
  <c r="CS50" i="59"/>
  <c r="CK121" i="59"/>
  <c r="CK50" i="59"/>
  <c r="CC121" i="59"/>
  <c r="CC50" i="59"/>
  <c r="BU121" i="59"/>
  <c r="BU50" i="59"/>
  <c r="CR121" i="59"/>
  <c r="CR50" i="59"/>
  <c r="CJ121" i="59"/>
  <c r="CJ50" i="59"/>
  <c r="CB121" i="59"/>
  <c r="CB50" i="59"/>
  <c r="BT121" i="59"/>
  <c r="BT50" i="59"/>
  <c r="CN121" i="59"/>
  <c r="CN50" i="59"/>
  <c r="CQ121" i="59"/>
  <c r="CQ50" i="59"/>
  <c r="CI121" i="59"/>
  <c r="CI50" i="59"/>
  <c r="CA121" i="59"/>
  <c r="CA50" i="59"/>
  <c r="BS121" i="59"/>
  <c r="BS50" i="59"/>
  <c r="CF121" i="59"/>
  <c r="CF50" i="59"/>
  <c r="CP121" i="59"/>
  <c r="CP50" i="59"/>
  <c r="CH121" i="59"/>
  <c r="CH50" i="59"/>
  <c r="BZ121" i="59"/>
  <c r="BZ50" i="59"/>
  <c r="BR121" i="59"/>
  <c r="BR50" i="59"/>
  <c r="BP121" i="59"/>
  <c r="BP50" i="59"/>
  <c r="CO121" i="59"/>
  <c r="CO50" i="59"/>
  <c r="CG121" i="59"/>
  <c r="CG50" i="59"/>
  <c r="BY121" i="59"/>
  <c r="BY50" i="59"/>
  <c r="BQ121" i="59"/>
  <c r="BQ50" i="59"/>
  <c r="DW71" i="59"/>
  <c r="DW75" i="59" s="1"/>
  <c r="DO71" i="59"/>
  <c r="DO75" i="59" s="1"/>
  <c r="DG71" i="59"/>
  <c r="DG75" i="59" s="1"/>
  <c r="CY71" i="59"/>
  <c r="CY75" i="59" s="1"/>
  <c r="DT71" i="59"/>
  <c r="DT75" i="59" s="1"/>
  <c r="DL71" i="59"/>
  <c r="DL75" i="59" s="1"/>
  <c r="DD71" i="59"/>
  <c r="DD75" i="59" s="1"/>
  <c r="CV71" i="59"/>
  <c r="CV75" i="59" s="1"/>
  <c r="DS71" i="59"/>
  <c r="DS75" i="59" s="1"/>
  <c r="DK71" i="59"/>
  <c r="DK75" i="59" s="1"/>
  <c r="DC71" i="59"/>
  <c r="DC75" i="59" s="1"/>
  <c r="DY71" i="59"/>
  <c r="DY75" i="59" s="1"/>
  <c r="DM71" i="59"/>
  <c r="DM75" i="59" s="1"/>
  <c r="CZ71" i="59"/>
  <c r="CZ75" i="59" s="1"/>
  <c r="DX71" i="59"/>
  <c r="DX75" i="59" s="1"/>
  <c r="DJ71" i="59"/>
  <c r="CX71" i="59"/>
  <c r="CX75" i="59" s="1"/>
  <c r="DV71" i="59"/>
  <c r="DV75" i="59" s="1"/>
  <c r="DI71" i="59"/>
  <c r="DI75" i="59" s="1"/>
  <c r="CW71" i="59"/>
  <c r="CW75" i="59" s="1"/>
  <c r="DU71" i="59"/>
  <c r="DU75" i="59" s="1"/>
  <c r="DH71" i="59"/>
  <c r="DH75" i="59" s="1"/>
  <c r="DR71" i="59"/>
  <c r="DR75" i="59" s="1"/>
  <c r="DF71" i="59"/>
  <c r="DF75" i="59" s="1"/>
  <c r="DQ71" i="59"/>
  <c r="DQ75" i="59" s="1"/>
  <c r="DE71" i="59"/>
  <c r="DE75" i="59" s="1"/>
  <c r="DZ71" i="59"/>
  <c r="DZ75" i="59" s="1"/>
  <c r="DP71" i="59"/>
  <c r="DP75" i="59" s="1"/>
  <c r="DN71" i="59"/>
  <c r="DN75" i="59" s="1"/>
  <c r="DB71" i="59"/>
  <c r="DB75" i="59" s="1"/>
  <c r="DA71" i="59"/>
  <c r="DA75" i="59" s="1"/>
  <c r="DJ75" i="59"/>
  <c r="D81" i="59"/>
  <c r="D108" i="59"/>
  <c r="AJ84" i="59"/>
  <c r="AJ111" i="59"/>
  <c r="D82" i="59"/>
  <c r="D109" i="59"/>
  <c r="AJ79" i="59"/>
  <c r="AJ106" i="59"/>
  <c r="D85" i="59"/>
  <c r="D112" i="59"/>
  <c r="AJ85" i="59"/>
  <c r="AJ112" i="59"/>
  <c r="D80" i="59"/>
  <c r="D107" i="59"/>
  <c r="D84" i="59"/>
  <c r="D111" i="59"/>
  <c r="AJ91" i="59"/>
  <c r="AJ118" i="59"/>
  <c r="AJ83" i="59"/>
  <c r="AJ110" i="59"/>
  <c r="AJ80" i="59"/>
  <c r="AJ107" i="59"/>
  <c r="AJ86" i="59"/>
  <c r="AJ113" i="59"/>
  <c r="D91" i="59"/>
  <c r="D118" i="59"/>
  <c r="D90" i="59"/>
  <c r="D117" i="59"/>
  <c r="D79" i="59"/>
  <c r="D106" i="59"/>
  <c r="AJ81" i="59"/>
  <c r="AJ108" i="59"/>
  <c r="D83" i="59"/>
  <c r="D110" i="59"/>
  <c r="AJ90" i="59"/>
  <c r="AJ117" i="59"/>
  <c r="AJ82" i="59"/>
  <c r="AJ109" i="59"/>
  <c r="D86" i="59"/>
  <c r="D113" i="59"/>
  <c r="BQ93" i="59"/>
  <c r="CN93" i="59"/>
  <c r="CF93" i="59"/>
  <c r="BX93" i="59"/>
  <c r="BP93" i="59"/>
  <c r="CG93" i="59"/>
  <c r="CM93" i="59"/>
  <c r="CE93" i="59"/>
  <c r="BW93" i="59"/>
  <c r="B57" i="59"/>
  <c r="B101" i="59"/>
  <c r="CT93" i="59"/>
  <c r="CL93" i="59"/>
  <c r="CD93" i="59"/>
  <c r="BV93" i="59"/>
  <c r="CO93" i="59"/>
  <c r="CS93" i="59"/>
  <c r="CK93" i="59"/>
  <c r="CC93" i="59"/>
  <c r="BU93" i="59"/>
  <c r="CR93" i="59"/>
  <c r="CJ93" i="59"/>
  <c r="CB93" i="59"/>
  <c r="BT93" i="59"/>
  <c r="CQ93" i="59"/>
  <c r="CI93" i="59"/>
  <c r="CA93" i="59"/>
  <c r="BS93" i="59"/>
  <c r="BY93" i="59"/>
  <c r="CP93" i="59"/>
  <c r="CH93" i="59"/>
  <c r="BZ93" i="59"/>
  <c r="BR93" i="59"/>
  <c r="B56" i="59"/>
  <c r="B55" i="59"/>
  <c r="B54" i="59"/>
  <c r="BQ74" i="59"/>
  <c r="BQ63" i="59"/>
  <c r="BQ71" i="59"/>
  <c r="BP71" i="59"/>
  <c r="BP75" i="59" s="1"/>
  <c r="D65" i="59"/>
  <c r="D63" i="59"/>
  <c r="D67" i="59"/>
  <c r="AJ48" i="59"/>
  <c r="AJ74" i="59"/>
  <c r="D68" i="59"/>
  <c r="AJ40" i="59"/>
  <c r="AJ66" i="59"/>
  <c r="AJ37" i="59"/>
  <c r="AJ63" i="59"/>
  <c r="AJ43" i="59"/>
  <c r="AJ69" i="59"/>
  <c r="D74" i="59"/>
  <c r="AJ41" i="59"/>
  <c r="AJ67" i="59"/>
  <c r="D62" i="59"/>
  <c r="AJ47" i="59"/>
  <c r="AJ73" i="59"/>
  <c r="D64" i="59"/>
  <c r="AJ36" i="59"/>
  <c r="AJ62" i="59"/>
  <c r="AJ38" i="59"/>
  <c r="AJ64" i="59"/>
  <c r="D66" i="59"/>
  <c r="AJ39" i="59"/>
  <c r="AJ65" i="59"/>
  <c r="D69" i="59"/>
  <c r="AJ42" i="59"/>
  <c r="AJ68" i="59"/>
  <c r="D73" i="59"/>
  <c r="BR2" i="59"/>
  <c r="BQ68" i="59"/>
  <c r="BQ69" i="59"/>
  <c r="BQ61" i="59"/>
  <c r="BQ70" i="59"/>
  <c r="BQ62" i="59"/>
  <c r="BQ64" i="59"/>
  <c r="BQ73" i="59"/>
  <c r="BQ65" i="59"/>
  <c r="BQ66" i="59"/>
  <c r="BQ67" i="59"/>
  <c r="C31" i="59"/>
  <c r="AK2" i="59"/>
  <c r="AL2" i="59" s="1"/>
  <c r="AM2" i="59" s="1"/>
  <c r="AN2" i="59" s="1"/>
  <c r="AO2" i="59" s="1"/>
  <c r="AP2" i="59" s="1"/>
  <c r="AQ2" i="59" s="1"/>
  <c r="AR2" i="59" s="1"/>
  <c r="AS2" i="59" s="1"/>
  <c r="AT2" i="59" s="1"/>
  <c r="AU2" i="59" s="1"/>
  <c r="AV2" i="59" s="1"/>
  <c r="AW2" i="59" s="1"/>
  <c r="AX2" i="59" s="1"/>
  <c r="AY2" i="59" s="1"/>
  <c r="AZ2" i="59" s="1"/>
  <c r="BA2" i="59" s="1"/>
  <c r="BB2" i="59" s="1"/>
  <c r="BC2" i="59" s="1"/>
  <c r="BD2" i="59" s="1"/>
  <c r="BE2" i="59" s="1"/>
  <c r="BF2" i="59" s="1"/>
  <c r="BG2" i="59" s="1"/>
  <c r="BH2" i="59" s="1"/>
  <c r="BI2" i="59" s="1"/>
  <c r="BJ2" i="59" s="1"/>
  <c r="BK2" i="59" s="1"/>
  <c r="BL2" i="59" s="1"/>
  <c r="BM2" i="59" s="1"/>
  <c r="BN2" i="59" s="1"/>
  <c r="E2" i="59"/>
  <c r="F2" i="59" s="1"/>
  <c r="G2" i="59" s="1"/>
  <c r="H2" i="59" s="1"/>
  <c r="I2" i="59" s="1"/>
  <c r="J2" i="59" s="1"/>
  <c r="K2" i="59" s="1"/>
  <c r="L2" i="59" s="1"/>
  <c r="M2" i="59" s="1"/>
  <c r="N2" i="59" s="1"/>
  <c r="O2" i="59" s="1"/>
  <c r="P2" i="59" s="1"/>
  <c r="Q2" i="59" s="1"/>
  <c r="R2" i="59" s="1"/>
  <c r="S2" i="59" s="1"/>
  <c r="T2" i="59" s="1"/>
  <c r="U2" i="59" s="1"/>
  <c r="V2" i="59" s="1"/>
  <c r="W2" i="59" s="1"/>
  <c r="X2" i="59" s="1"/>
  <c r="Y2" i="59" s="1"/>
  <c r="Z2" i="59" s="1"/>
  <c r="AA2" i="59" s="1"/>
  <c r="AB2" i="59" s="1"/>
  <c r="AC2" i="59" s="1"/>
  <c r="AD2" i="59" s="1"/>
  <c r="AE2" i="59" s="1"/>
  <c r="AF2" i="59" s="1"/>
  <c r="AG2" i="59" s="1"/>
  <c r="AH2" i="59" s="1"/>
  <c r="C11" i="58"/>
  <c r="C10" i="58"/>
  <c r="B187" i="55"/>
  <c r="C27" i="58"/>
  <c r="C9" i="58" s="1"/>
  <c r="C59" i="58"/>
  <c r="C58" i="58"/>
  <c r="B127" i="59" l="1"/>
  <c r="B154" i="59"/>
  <c r="BQ75" i="59"/>
  <c r="BS2" i="59"/>
  <c r="BR69" i="59"/>
  <c r="BR61" i="59"/>
  <c r="BR70" i="59"/>
  <c r="BR62" i="59"/>
  <c r="BR64" i="59"/>
  <c r="BR73" i="59"/>
  <c r="BR65" i="59"/>
  <c r="BR66" i="59"/>
  <c r="BR67" i="59"/>
  <c r="BR68" i="59"/>
  <c r="BR63" i="59"/>
  <c r="BR74" i="59"/>
  <c r="BR72" i="59"/>
  <c r="BR71" i="59"/>
  <c r="C48" i="58"/>
  <c r="C54" i="58"/>
  <c r="C49" i="58"/>
  <c r="C44" i="58"/>
  <c r="C52" i="58"/>
  <c r="C53" i="58"/>
  <c r="C43" i="58"/>
  <c r="C47" i="58"/>
  <c r="C42" i="58"/>
  <c r="C39" i="58"/>
  <c r="C37" i="58"/>
  <c r="C38" i="58"/>
  <c r="C57" i="58"/>
  <c r="C34" i="58"/>
  <c r="C32" i="58"/>
  <c r="C33" i="58"/>
  <c r="C29" i="58"/>
  <c r="C28" i="58"/>
  <c r="AK2" i="58"/>
  <c r="AL2" i="58" s="1"/>
  <c r="AM2" i="58" s="1"/>
  <c r="AN2" i="58" s="1"/>
  <c r="AO2" i="58" s="1"/>
  <c r="AP2" i="58" s="1"/>
  <c r="AQ2" i="58" s="1"/>
  <c r="AR2" i="58" s="1"/>
  <c r="AS2" i="58" s="1"/>
  <c r="AT2" i="58" s="1"/>
  <c r="AU2" i="58" s="1"/>
  <c r="AV2" i="58" s="1"/>
  <c r="AW2" i="58" s="1"/>
  <c r="AX2" i="58" s="1"/>
  <c r="AY2" i="58" s="1"/>
  <c r="AZ2" i="58" s="1"/>
  <c r="BA2" i="58" s="1"/>
  <c r="BB2" i="58" s="1"/>
  <c r="BC2" i="58" s="1"/>
  <c r="BD2" i="58" s="1"/>
  <c r="BE2" i="58" s="1"/>
  <c r="BF2" i="58" s="1"/>
  <c r="BG2" i="58" s="1"/>
  <c r="BH2" i="58" s="1"/>
  <c r="BI2" i="58" s="1"/>
  <c r="BJ2" i="58" s="1"/>
  <c r="BK2" i="58" s="1"/>
  <c r="BL2" i="58" s="1"/>
  <c r="BM2" i="58" s="1"/>
  <c r="BN2" i="58" s="1"/>
  <c r="E2" i="58"/>
  <c r="F2" i="58" s="1"/>
  <c r="G2" i="58" s="1"/>
  <c r="H2" i="58" s="1"/>
  <c r="I2" i="58" s="1"/>
  <c r="J2" i="58" s="1"/>
  <c r="K2" i="58" s="1"/>
  <c r="L2" i="58" s="1"/>
  <c r="M2" i="58" s="1"/>
  <c r="N2" i="58" s="1"/>
  <c r="O2" i="58" s="1"/>
  <c r="P2" i="58" s="1"/>
  <c r="Q2" i="58" s="1"/>
  <c r="R2" i="58" s="1"/>
  <c r="S2" i="58" s="1"/>
  <c r="T2" i="58" s="1"/>
  <c r="U2" i="58" s="1"/>
  <c r="V2" i="58" s="1"/>
  <c r="W2" i="58" s="1"/>
  <c r="X2" i="58" s="1"/>
  <c r="Y2" i="58" s="1"/>
  <c r="Z2" i="58" s="1"/>
  <c r="AA2" i="58" s="1"/>
  <c r="AB2" i="58" s="1"/>
  <c r="AC2" i="58" s="1"/>
  <c r="AD2" i="58" s="1"/>
  <c r="AE2" i="58" s="1"/>
  <c r="AF2" i="58" s="1"/>
  <c r="AG2" i="58" s="1"/>
  <c r="AH2" i="58" s="1"/>
  <c r="AH164" i="55"/>
  <c r="AH72" i="55"/>
  <c r="AH49" i="55"/>
  <c r="AH26" i="55"/>
  <c r="EB189" i="55"/>
  <c r="AH95" i="55" s="1"/>
  <c r="C5" i="50"/>
  <c r="BQ3" i="55"/>
  <c r="BR3" i="55" s="1"/>
  <c r="BS3" i="55" s="1"/>
  <c r="BT3" i="55" s="1"/>
  <c r="BU3" i="55" s="1"/>
  <c r="BV3" i="55" s="1"/>
  <c r="BW3" i="55" s="1"/>
  <c r="BX3" i="55" s="1"/>
  <c r="BY3" i="55" s="1"/>
  <c r="BZ3" i="55" s="1"/>
  <c r="CA3" i="55" s="1"/>
  <c r="CB3" i="55" s="1"/>
  <c r="CC3" i="55" s="1"/>
  <c r="CD3" i="55" s="1"/>
  <c r="CE3" i="55" s="1"/>
  <c r="CF3" i="55" s="1"/>
  <c r="CG3" i="55" s="1"/>
  <c r="CH3" i="55" s="1"/>
  <c r="CI3" i="55" s="1"/>
  <c r="BQ173" i="55"/>
  <c r="CW173" i="55" s="1"/>
  <c r="BR173" i="55"/>
  <c r="CX173" i="55" s="1"/>
  <c r="BS173" i="55"/>
  <c r="CY173" i="55" s="1"/>
  <c r="BT173" i="55"/>
  <c r="CZ173" i="55" s="1"/>
  <c r="BU173" i="55"/>
  <c r="DA173" i="55" s="1"/>
  <c r="BV173" i="55"/>
  <c r="DB173" i="55" s="1"/>
  <c r="BW173" i="55"/>
  <c r="DC173" i="55" s="1"/>
  <c r="BX173" i="55"/>
  <c r="DD173" i="55" s="1"/>
  <c r="BY173" i="55"/>
  <c r="DE173" i="55" s="1"/>
  <c r="BZ173" i="55"/>
  <c r="DF173" i="55" s="1"/>
  <c r="CA173" i="55"/>
  <c r="DG173" i="55" s="1"/>
  <c r="CB173" i="55"/>
  <c r="DH173" i="55" s="1"/>
  <c r="CC173" i="55"/>
  <c r="DI173" i="55" s="1"/>
  <c r="CD173" i="55"/>
  <c r="DJ173" i="55" s="1"/>
  <c r="CE173" i="55"/>
  <c r="DK173" i="55" s="1"/>
  <c r="CF173" i="55"/>
  <c r="DL173" i="55" s="1"/>
  <c r="CG173" i="55"/>
  <c r="DM173" i="55" s="1"/>
  <c r="CH173" i="55"/>
  <c r="DN173" i="55" s="1"/>
  <c r="CI173" i="55"/>
  <c r="DO173" i="55" s="1"/>
  <c r="CJ173" i="55"/>
  <c r="DP173" i="55" s="1"/>
  <c r="CK173" i="55"/>
  <c r="DQ173" i="55" s="1"/>
  <c r="CL173" i="55"/>
  <c r="DR173" i="55" s="1"/>
  <c r="CM173" i="55"/>
  <c r="DS173" i="55" s="1"/>
  <c r="CN173" i="55"/>
  <c r="DT173" i="55" s="1"/>
  <c r="CO173" i="55"/>
  <c r="DU173" i="55" s="1"/>
  <c r="CP173" i="55"/>
  <c r="DV173" i="55" s="1"/>
  <c r="CQ173" i="55"/>
  <c r="DW173" i="55" s="1"/>
  <c r="CR173" i="55"/>
  <c r="DX173" i="55" s="1"/>
  <c r="CS173" i="55"/>
  <c r="DY173" i="55" s="1"/>
  <c r="CT173" i="55"/>
  <c r="DZ173" i="55" s="1"/>
  <c r="E173" i="55"/>
  <c r="F173" i="55"/>
  <c r="G173" i="55"/>
  <c r="H173" i="55"/>
  <c r="I173" i="55"/>
  <c r="J173" i="55"/>
  <c r="K173" i="55"/>
  <c r="L173" i="55"/>
  <c r="M173" i="55"/>
  <c r="N173" i="55"/>
  <c r="O173" i="55"/>
  <c r="P173" i="55"/>
  <c r="Q173" i="55"/>
  <c r="R173" i="55"/>
  <c r="S173" i="55"/>
  <c r="T173" i="55"/>
  <c r="U173" i="55"/>
  <c r="V173" i="55"/>
  <c r="W173" i="55"/>
  <c r="X173" i="55"/>
  <c r="Y173" i="55"/>
  <c r="Z173" i="55"/>
  <c r="AA173" i="55"/>
  <c r="AB173" i="55"/>
  <c r="AC173" i="55"/>
  <c r="AD173" i="55"/>
  <c r="AE173" i="55"/>
  <c r="AF173" i="55"/>
  <c r="AG173" i="55"/>
  <c r="AH173" i="55"/>
  <c r="D173" i="55"/>
  <c r="D140" i="55"/>
  <c r="AJ140" i="55" s="1"/>
  <c r="CV140" i="55" s="1"/>
  <c r="AH143" i="55"/>
  <c r="AH144" i="55"/>
  <c r="BN144" i="55" s="1"/>
  <c r="D146" i="55"/>
  <c r="AH146" i="55"/>
  <c r="BN146" i="55" s="1"/>
  <c r="D147" i="55"/>
  <c r="BP147" i="55" s="1"/>
  <c r="AH147" i="55"/>
  <c r="BQ104" i="55"/>
  <c r="BQ127" i="55" s="1"/>
  <c r="BQ150" i="55" s="1"/>
  <c r="BR104" i="55"/>
  <c r="BR127" i="55" s="1"/>
  <c r="BR150" i="55" s="1"/>
  <c r="BS104" i="55"/>
  <c r="BS127" i="55" s="1"/>
  <c r="BS150" i="55" s="1"/>
  <c r="BT104" i="55"/>
  <c r="BT127" i="55" s="1"/>
  <c r="BT150" i="55" s="1"/>
  <c r="BU104" i="55"/>
  <c r="BU127" i="55" s="1"/>
  <c r="BU150" i="55" s="1"/>
  <c r="BV104" i="55"/>
  <c r="BV127" i="55" s="1"/>
  <c r="BV150" i="55" s="1"/>
  <c r="BW104" i="55"/>
  <c r="BW127" i="55" s="1"/>
  <c r="BW150" i="55" s="1"/>
  <c r="BX104" i="55"/>
  <c r="BX127" i="55" s="1"/>
  <c r="BX150" i="55" s="1"/>
  <c r="BY104" i="55"/>
  <c r="BY127" i="55" s="1"/>
  <c r="BY150" i="55" s="1"/>
  <c r="BZ104" i="55"/>
  <c r="BZ127" i="55" s="1"/>
  <c r="BZ150" i="55" s="1"/>
  <c r="CA104" i="55"/>
  <c r="CA127" i="55" s="1"/>
  <c r="CA150" i="55" s="1"/>
  <c r="CB104" i="55"/>
  <c r="CB127" i="55" s="1"/>
  <c r="CB150" i="55" s="1"/>
  <c r="CC104" i="55"/>
  <c r="CC127" i="55" s="1"/>
  <c r="CC150" i="55" s="1"/>
  <c r="CD104" i="55"/>
  <c r="CD127" i="55" s="1"/>
  <c r="CD150" i="55" s="1"/>
  <c r="CE104" i="55"/>
  <c r="CE127" i="55" s="1"/>
  <c r="CE150" i="55" s="1"/>
  <c r="CF104" i="55"/>
  <c r="CF127" i="55" s="1"/>
  <c r="CF150" i="55" s="1"/>
  <c r="CG104" i="55"/>
  <c r="CG127" i="55" s="1"/>
  <c r="CG150" i="55" s="1"/>
  <c r="CH104" i="55"/>
  <c r="CH127" i="55" s="1"/>
  <c r="CH150" i="55" s="1"/>
  <c r="CI104" i="55"/>
  <c r="CI127" i="55" s="1"/>
  <c r="CI150" i="55" s="1"/>
  <c r="CJ104" i="55"/>
  <c r="CJ127" i="55" s="1"/>
  <c r="CJ150" i="55" s="1"/>
  <c r="CK104" i="55"/>
  <c r="CK127" i="55" s="1"/>
  <c r="CK150" i="55" s="1"/>
  <c r="CL104" i="55"/>
  <c r="CL127" i="55" s="1"/>
  <c r="CL150" i="55" s="1"/>
  <c r="CM104" i="55"/>
  <c r="CM127" i="55" s="1"/>
  <c r="CM150" i="55" s="1"/>
  <c r="CN104" i="55"/>
  <c r="CN127" i="55" s="1"/>
  <c r="CN150" i="55" s="1"/>
  <c r="CO104" i="55"/>
  <c r="CO127" i="55" s="1"/>
  <c r="CO150" i="55" s="1"/>
  <c r="CP104" i="55"/>
  <c r="CP127" i="55" s="1"/>
  <c r="CP150" i="55" s="1"/>
  <c r="CQ104" i="55"/>
  <c r="CQ127" i="55" s="1"/>
  <c r="CQ150" i="55" s="1"/>
  <c r="CR104" i="55"/>
  <c r="CR127" i="55" s="1"/>
  <c r="CR150" i="55" s="1"/>
  <c r="CS104" i="55"/>
  <c r="CS127" i="55" s="1"/>
  <c r="CS150" i="55" s="1"/>
  <c r="CT104" i="55"/>
  <c r="CT127" i="55" s="1"/>
  <c r="CT150" i="55" s="1"/>
  <c r="BQ81" i="55"/>
  <c r="BR81" i="55"/>
  <c r="BS81" i="55"/>
  <c r="BT81" i="55"/>
  <c r="BU81" i="55"/>
  <c r="BV81" i="55"/>
  <c r="BW81" i="55"/>
  <c r="BX81" i="55"/>
  <c r="BY81" i="55"/>
  <c r="BZ81" i="55"/>
  <c r="CA81" i="55"/>
  <c r="CB81" i="55"/>
  <c r="CC81" i="55"/>
  <c r="CD81" i="55"/>
  <c r="CE81" i="55"/>
  <c r="CF81" i="55"/>
  <c r="CG81" i="55"/>
  <c r="CH81" i="55"/>
  <c r="CI81" i="55"/>
  <c r="CJ81" i="55"/>
  <c r="CK81" i="55"/>
  <c r="CL81" i="55"/>
  <c r="CM81" i="55"/>
  <c r="CN81" i="55"/>
  <c r="CO81" i="55"/>
  <c r="CP81" i="55"/>
  <c r="CQ81" i="55"/>
  <c r="CR81" i="55"/>
  <c r="CS81" i="55"/>
  <c r="CT81" i="55"/>
  <c r="BP173" i="55"/>
  <c r="CV173" i="55" s="1"/>
  <c r="AH170" i="55"/>
  <c r="BN170" i="55" s="1"/>
  <c r="D170" i="55"/>
  <c r="BP170" i="55" s="1"/>
  <c r="AH169" i="55"/>
  <c r="BN169" i="55" s="1"/>
  <c r="D169" i="55"/>
  <c r="BP169" i="55" s="1"/>
  <c r="CT169" i="55" s="1"/>
  <c r="AH167" i="55"/>
  <c r="BN167" i="55" s="1"/>
  <c r="AH166" i="55"/>
  <c r="BN166" i="55" s="1"/>
  <c r="DZ166" i="55" s="1"/>
  <c r="D163" i="55"/>
  <c r="AJ163" i="55" s="1"/>
  <c r="CV163" i="55" s="1"/>
  <c r="AH124" i="55"/>
  <c r="BN124" i="55" s="1"/>
  <c r="D124" i="55"/>
  <c r="BP124" i="55" s="1"/>
  <c r="CT124" i="55" s="1"/>
  <c r="BQ124" i="55" s="1"/>
  <c r="BR124" i="55" s="1"/>
  <c r="BS124" i="55" s="1"/>
  <c r="BT124" i="55" s="1"/>
  <c r="BU124" i="55" s="1"/>
  <c r="BV124" i="55" s="1"/>
  <c r="BW124" i="55" s="1"/>
  <c r="BX124" i="55" s="1"/>
  <c r="BY124" i="55" s="1"/>
  <c r="BZ124" i="55" s="1"/>
  <c r="CA124" i="55" s="1"/>
  <c r="CB124" i="55" s="1"/>
  <c r="CC124" i="55" s="1"/>
  <c r="CD124" i="55" s="1"/>
  <c r="CE124" i="55" s="1"/>
  <c r="CF124" i="55" s="1"/>
  <c r="CG124" i="55" s="1"/>
  <c r="CH124" i="55" s="1"/>
  <c r="CI124" i="55" s="1"/>
  <c r="CJ124" i="55" s="1"/>
  <c r="CK124" i="55" s="1"/>
  <c r="CL124" i="55" s="1"/>
  <c r="CM124" i="55" s="1"/>
  <c r="CN124" i="55" s="1"/>
  <c r="CO124" i="55" s="1"/>
  <c r="CP124" i="55" s="1"/>
  <c r="CQ124" i="55" s="1"/>
  <c r="CR124" i="55" s="1"/>
  <c r="CS124" i="55" s="1"/>
  <c r="AH123" i="55"/>
  <c r="BN123" i="55" s="1"/>
  <c r="D123" i="55"/>
  <c r="AJ123" i="55" s="1"/>
  <c r="CV123" i="55" s="1"/>
  <c r="AH121" i="55"/>
  <c r="BN121" i="55" s="1"/>
  <c r="AH120" i="55"/>
  <c r="BN120" i="55" s="1"/>
  <c r="DZ120" i="55" s="1"/>
  <c r="D117" i="55"/>
  <c r="AJ117" i="55" s="1"/>
  <c r="CV117" i="55" s="1"/>
  <c r="BP104" i="55"/>
  <c r="BP127" i="55" s="1"/>
  <c r="BP150" i="55" s="1"/>
  <c r="AH101" i="55"/>
  <c r="BN101" i="55" s="1"/>
  <c r="D101" i="55"/>
  <c r="BP101" i="55" s="1"/>
  <c r="CT101" i="55" s="1"/>
  <c r="AH100" i="55"/>
  <c r="BN100" i="55" s="1"/>
  <c r="D100" i="55"/>
  <c r="AH98" i="55"/>
  <c r="BN98" i="55" s="1"/>
  <c r="AH97" i="55"/>
  <c r="BN97" i="55" s="1"/>
  <c r="DZ97" i="55" s="1"/>
  <c r="D94" i="55"/>
  <c r="BP81" i="55"/>
  <c r="AH78" i="55"/>
  <c r="BN78" i="55" s="1"/>
  <c r="D78" i="55"/>
  <c r="BP78" i="55" s="1"/>
  <c r="CT78" i="55" s="1"/>
  <c r="AH77" i="55"/>
  <c r="BN77" i="55" s="1"/>
  <c r="D77" i="55"/>
  <c r="AH75" i="55"/>
  <c r="BN75" i="55" s="1"/>
  <c r="AH74" i="55"/>
  <c r="BN74" i="55" s="1"/>
  <c r="DZ74" i="55" s="1"/>
  <c r="D71" i="55"/>
  <c r="BP71" i="55" s="1"/>
  <c r="BQ58" i="55"/>
  <c r="BR58" i="55"/>
  <c r="BS58" i="55"/>
  <c r="BT58" i="55"/>
  <c r="BU58" i="55"/>
  <c r="BV58" i="55"/>
  <c r="BW58" i="55"/>
  <c r="BX58" i="55"/>
  <c r="BY58" i="55"/>
  <c r="BZ58" i="55"/>
  <c r="CA58" i="55"/>
  <c r="CB58" i="55"/>
  <c r="CC58" i="55"/>
  <c r="CD58" i="55"/>
  <c r="CE58" i="55"/>
  <c r="CF58" i="55"/>
  <c r="CG58" i="55"/>
  <c r="CH58" i="55"/>
  <c r="CI58" i="55"/>
  <c r="CJ58" i="55"/>
  <c r="CK58" i="55"/>
  <c r="CL58" i="55"/>
  <c r="CM58" i="55"/>
  <c r="CN58" i="55"/>
  <c r="CO58" i="55"/>
  <c r="CP58" i="55"/>
  <c r="CQ58" i="55"/>
  <c r="CR58" i="55"/>
  <c r="CS58" i="55"/>
  <c r="CT58" i="55"/>
  <c r="AH55" i="55"/>
  <c r="BN55" i="55" s="1"/>
  <c r="D55" i="55"/>
  <c r="AJ55" i="55" s="1"/>
  <c r="CV55" i="55" s="1"/>
  <c r="AH54" i="55"/>
  <c r="BN54" i="55" s="1"/>
  <c r="D54" i="55"/>
  <c r="AH52" i="55"/>
  <c r="BN52" i="55" s="1"/>
  <c r="AH51" i="55"/>
  <c r="BN51" i="55" s="1"/>
  <c r="DZ51" i="55" s="1"/>
  <c r="D48" i="55"/>
  <c r="BP48" i="55" s="1"/>
  <c r="AH32" i="55"/>
  <c r="AH31" i="55"/>
  <c r="AH29" i="55"/>
  <c r="AH28" i="55"/>
  <c r="D32" i="55"/>
  <c r="D31" i="55"/>
  <c r="D25" i="55"/>
  <c r="BP58" i="55"/>
  <c r="BQ35" i="55"/>
  <c r="BR35" i="55"/>
  <c r="BS35" i="55"/>
  <c r="BT35" i="55"/>
  <c r="BU35" i="55"/>
  <c r="BV35" i="55"/>
  <c r="BW35" i="55"/>
  <c r="BX35" i="55"/>
  <c r="BY35" i="55"/>
  <c r="BZ35" i="55"/>
  <c r="CA35" i="55"/>
  <c r="CB35" i="55"/>
  <c r="CC35" i="55"/>
  <c r="CD35" i="55"/>
  <c r="CE35" i="55"/>
  <c r="CF35" i="55"/>
  <c r="CG35" i="55"/>
  <c r="CH35" i="55"/>
  <c r="CI35" i="55"/>
  <c r="CJ35" i="55"/>
  <c r="CK35" i="55"/>
  <c r="CL35" i="55"/>
  <c r="CM35" i="55"/>
  <c r="CN35" i="55"/>
  <c r="CO35" i="55"/>
  <c r="CP35" i="55"/>
  <c r="CQ35" i="55"/>
  <c r="CR35" i="55"/>
  <c r="CS35" i="55"/>
  <c r="CT35" i="55"/>
  <c r="BP35" i="55"/>
  <c r="AJ147" i="55" l="1"/>
  <c r="CV147" i="55" s="1"/>
  <c r="E147" i="55"/>
  <c r="AK147" i="55" s="1"/>
  <c r="DZ123" i="55"/>
  <c r="BN147" i="55"/>
  <c r="DZ147" i="55"/>
  <c r="DZ55" i="55"/>
  <c r="BP163" i="55"/>
  <c r="CT163" i="55" s="1"/>
  <c r="BQ163" i="55" s="1"/>
  <c r="BR163" i="55" s="1"/>
  <c r="BS163" i="55" s="1"/>
  <c r="BT163" i="55" s="1"/>
  <c r="BU163" i="55" s="1"/>
  <c r="BV163" i="55" s="1"/>
  <c r="BW163" i="55" s="1"/>
  <c r="BX163" i="55" s="1"/>
  <c r="BY163" i="55" s="1"/>
  <c r="BZ163" i="55" s="1"/>
  <c r="CA163" i="55" s="1"/>
  <c r="CB163" i="55" s="1"/>
  <c r="CC163" i="55" s="1"/>
  <c r="CD163" i="55" s="1"/>
  <c r="CE163" i="55" s="1"/>
  <c r="CF163" i="55" s="1"/>
  <c r="CG163" i="55" s="1"/>
  <c r="CH163" i="55" s="1"/>
  <c r="CI163" i="55" s="1"/>
  <c r="CJ163" i="55" s="1"/>
  <c r="CK163" i="55" s="1"/>
  <c r="CL163" i="55" s="1"/>
  <c r="CM163" i="55" s="1"/>
  <c r="CN163" i="55" s="1"/>
  <c r="CO163" i="55" s="1"/>
  <c r="CP163" i="55" s="1"/>
  <c r="CQ163" i="55" s="1"/>
  <c r="CR163" i="55" s="1"/>
  <c r="CS163" i="55" s="1"/>
  <c r="EB190" i="55"/>
  <c r="BR75" i="59"/>
  <c r="BT2" i="59"/>
  <c r="BS70" i="59"/>
  <c r="BS62" i="59"/>
  <c r="BS64" i="59"/>
  <c r="BS73" i="59"/>
  <c r="BS65" i="59"/>
  <c r="BS66" i="59"/>
  <c r="BS67" i="59"/>
  <c r="BS68" i="59"/>
  <c r="BS61" i="59"/>
  <c r="BS69" i="59"/>
  <c r="BS72" i="59"/>
  <c r="BS63" i="59"/>
  <c r="BS74" i="59"/>
  <c r="BS71" i="59"/>
  <c r="CT170" i="55"/>
  <c r="BQ170" i="55" s="1"/>
  <c r="BR170" i="55" s="1"/>
  <c r="BS170" i="55" s="1"/>
  <c r="BT170" i="55" s="1"/>
  <c r="BU170" i="55" s="1"/>
  <c r="BV170" i="55" s="1"/>
  <c r="BW170" i="55" s="1"/>
  <c r="BX170" i="55" s="1"/>
  <c r="BY170" i="55" s="1"/>
  <c r="BZ170" i="55" s="1"/>
  <c r="CA170" i="55" s="1"/>
  <c r="CB170" i="55" s="1"/>
  <c r="CC170" i="55" s="1"/>
  <c r="CD170" i="55" s="1"/>
  <c r="CE170" i="55" s="1"/>
  <c r="CF170" i="55" s="1"/>
  <c r="CG170" i="55" s="1"/>
  <c r="CH170" i="55" s="1"/>
  <c r="CI170" i="55" s="1"/>
  <c r="CJ170" i="55" s="1"/>
  <c r="CK170" i="55" s="1"/>
  <c r="CL170" i="55" s="1"/>
  <c r="CM170" i="55" s="1"/>
  <c r="CN170" i="55" s="1"/>
  <c r="CO170" i="55" s="1"/>
  <c r="CP170" i="55" s="1"/>
  <c r="CQ170" i="55" s="1"/>
  <c r="CR170" i="55" s="1"/>
  <c r="CS170" i="55" s="1"/>
  <c r="E170" i="55"/>
  <c r="F170" i="55" s="1"/>
  <c r="G170" i="55" s="1"/>
  <c r="AJ170" i="55"/>
  <c r="CV170" i="55" s="1"/>
  <c r="CT147" i="55"/>
  <c r="CW147" i="55" s="1"/>
  <c r="CX147" i="55" s="1"/>
  <c r="CY147" i="55" s="1"/>
  <c r="CZ147" i="55" s="1"/>
  <c r="DA147" i="55" s="1"/>
  <c r="DB147" i="55" s="1"/>
  <c r="DC147" i="55" s="1"/>
  <c r="DD147" i="55" s="1"/>
  <c r="DE147" i="55" s="1"/>
  <c r="DF147" i="55" s="1"/>
  <c r="DG147" i="55" s="1"/>
  <c r="DH147" i="55" s="1"/>
  <c r="DI147" i="55" s="1"/>
  <c r="DJ147" i="55" s="1"/>
  <c r="DK147" i="55" s="1"/>
  <c r="DL147" i="55" s="1"/>
  <c r="DM147" i="55" s="1"/>
  <c r="DN147" i="55" s="1"/>
  <c r="DO147" i="55" s="1"/>
  <c r="DP147" i="55" s="1"/>
  <c r="DQ147" i="55" s="1"/>
  <c r="DR147" i="55" s="1"/>
  <c r="DS147" i="55" s="1"/>
  <c r="DT147" i="55" s="1"/>
  <c r="DU147" i="55" s="1"/>
  <c r="DV147" i="55" s="1"/>
  <c r="DW147" i="55" s="1"/>
  <c r="DX147" i="55" s="1"/>
  <c r="DY147" i="55" s="1"/>
  <c r="AJ169" i="55"/>
  <c r="CV169" i="55" s="1"/>
  <c r="BN143" i="55"/>
  <c r="DZ143" i="55" s="1"/>
  <c r="E146" i="55"/>
  <c r="F146" i="55" s="1"/>
  <c r="AL146" i="55" s="1"/>
  <c r="BP146" i="55"/>
  <c r="AJ146" i="55"/>
  <c r="CV146" i="55" s="1"/>
  <c r="BP140" i="55"/>
  <c r="F147" i="55"/>
  <c r="E169" i="55"/>
  <c r="AJ124" i="55"/>
  <c r="CV124" i="55" s="1"/>
  <c r="E100" i="55"/>
  <c r="F100" i="55" s="1"/>
  <c r="BQ169" i="55"/>
  <c r="BR169" i="55" s="1"/>
  <c r="BS169" i="55" s="1"/>
  <c r="BT169" i="55" s="1"/>
  <c r="BU169" i="55" s="1"/>
  <c r="BV169" i="55" s="1"/>
  <c r="BW169" i="55" s="1"/>
  <c r="BX169" i="55" s="1"/>
  <c r="BY169" i="55" s="1"/>
  <c r="BZ169" i="55" s="1"/>
  <c r="CA169" i="55" s="1"/>
  <c r="CB169" i="55" s="1"/>
  <c r="CC169" i="55" s="1"/>
  <c r="CD169" i="55" s="1"/>
  <c r="CE169" i="55" s="1"/>
  <c r="CF169" i="55" s="1"/>
  <c r="CG169" i="55" s="1"/>
  <c r="CH169" i="55" s="1"/>
  <c r="CI169" i="55" s="1"/>
  <c r="CJ169" i="55" s="1"/>
  <c r="CK169" i="55" s="1"/>
  <c r="CL169" i="55" s="1"/>
  <c r="CM169" i="55" s="1"/>
  <c r="CN169" i="55" s="1"/>
  <c r="CO169" i="55" s="1"/>
  <c r="CP169" i="55" s="1"/>
  <c r="CQ169" i="55" s="1"/>
  <c r="CR169" i="55" s="1"/>
  <c r="CS169" i="55" s="1"/>
  <c r="E124" i="55"/>
  <c r="AK124" i="55" s="1"/>
  <c r="BP117" i="55"/>
  <c r="CT117" i="55" s="1"/>
  <c r="AJ71" i="55"/>
  <c r="CV71" i="55" s="1"/>
  <c r="BP55" i="55"/>
  <c r="CT55" i="55" s="1"/>
  <c r="BQ55" i="55" s="1"/>
  <c r="BR55" i="55" s="1"/>
  <c r="BS55" i="55" s="1"/>
  <c r="BT55" i="55" s="1"/>
  <c r="BU55" i="55" s="1"/>
  <c r="BV55" i="55" s="1"/>
  <c r="BW55" i="55" s="1"/>
  <c r="BX55" i="55" s="1"/>
  <c r="BY55" i="55" s="1"/>
  <c r="BZ55" i="55" s="1"/>
  <c r="CA55" i="55" s="1"/>
  <c r="CB55" i="55" s="1"/>
  <c r="CC55" i="55" s="1"/>
  <c r="CD55" i="55" s="1"/>
  <c r="CE55" i="55" s="1"/>
  <c r="CF55" i="55" s="1"/>
  <c r="CG55" i="55" s="1"/>
  <c r="CH55" i="55" s="1"/>
  <c r="CI55" i="55" s="1"/>
  <c r="CJ55" i="55" s="1"/>
  <c r="CK55" i="55" s="1"/>
  <c r="CL55" i="55" s="1"/>
  <c r="CM55" i="55" s="1"/>
  <c r="CN55" i="55" s="1"/>
  <c r="CO55" i="55" s="1"/>
  <c r="CP55" i="55" s="1"/>
  <c r="CQ55" i="55" s="1"/>
  <c r="CR55" i="55" s="1"/>
  <c r="CS55" i="55" s="1"/>
  <c r="E77" i="55"/>
  <c r="F77" i="55" s="1"/>
  <c r="AJ78" i="55"/>
  <c r="CV78" i="55" s="1"/>
  <c r="AJ101" i="55"/>
  <c r="CV101" i="55" s="1"/>
  <c r="AJ94" i="55"/>
  <c r="CV94" i="55" s="1"/>
  <c r="BP94" i="55"/>
  <c r="CT94" i="55" s="1"/>
  <c r="BQ94" i="55" s="1"/>
  <c r="BR94" i="55" s="1"/>
  <c r="BS94" i="55" s="1"/>
  <c r="BT94" i="55" s="1"/>
  <c r="BU94" i="55" s="1"/>
  <c r="BV94" i="55" s="1"/>
  <c r="BW94" i="55" s="1"/>
  <c r="BX94" i="55" s="1"/>
  <c r="BY94" i="55" s="1"/>
  <c r="BZ94" i="55" s="1"/>
  <c r="CA94" i="55" s="1"/>
  <c r="CB94" i="55" s="1"/>
  <c r="CC94" i="55" s="1"/>
  <c r="CD94" i="55" s="1"/>
  <c r="CE94" i="55" s="1"/>
  <c r="CF94" i="55" s="1"/>
  <c r="CG94" i="55" s="1"/>
  <c r="CH94" i="55" s="1"/>
  <c r="CI94" i="55" s="1"/>
  <c r="CJ94" i="55" s="1"/>
  <c r="CK94" i="55" s="1"/>
  <c r="CL94" i="55" s="1"/>
  <c r="CM94" i="55" s="1"/>
  <c r="CN94" i="55" s="1"/>
  <c r="CO94" i="55" s="1"/>
  <c r="CP94" i="55" s="1"/>
  <c r="CQ94" i="55" s="1"/>
  <c r="CR94" i="55" s="1"/>
  <c r="CS94" i="55" s="1"/>
  <c r="E123" i="55"/>
  <c r="BP123" i="55"/>
  <c r="BQ101" i="55"/>
  <c r="BR101" i="55" s="1"/>
  <c r="BS101" i="55" s="1"/>
  <c r="BT101" i="55" s="1"/>
  <c r="BU101" i="55" s="1"/>
  <c r="BV101" i="55" s="1"/>
  <c r="BW101" i="55" s="1"/>
  <c r="BX101" i="55" s="1"/>
  <c r="BY101" i="55" s="1"/>
  <c r="BZ101" i="55" s="1"/>
  <c r="CA101" i="55" s="1"/>
  <c r="CB101" i="55" s="1"/>
  <c r="CC101" i="55" s="1"/>
  <c r="CD101" i="55" s="1"/>
  <c r="CE101" i="55" s="1"/>
  <c r="CF101" i="55" s="1"/>
  <c r="CG101" i="55" s="1"/>
  <c r="CH101" i="55" s="1"/>
  <c r="CI101" i="55" s="1"/>
  <c r="CJ101" i="55" s="1"/>
  <c r="CK101" i="55" s="1"/>
  <c r="CL101" i="55" s="1"/>
  <c r="CM101" i="55" s="1"/>
  <c r="CN101" i="55" s="1"/>
  <c r="CO101" i="55" s="1"/>
  <c r="CP101" i="55" s="1"/>
  <c r="CQ101" i="55" s="1"/>
  <c r="CR101" i="55" s="1"/>
  <c r="CS101" i="55" s="1"/>
  <c r="BP100" i="55"/>
  <c r="E101" i="55"/>
  <c r="AJ100" i="55"/>
  <c r="CV100" i="55" s="1"/>
  <c r="CT71" i="55"/>
  <c r="BQ71" i="55" s="1"/>
  <c r="BR71" i="55" s="1"/>
  <c r="BS71" i="55" s="1"/>
  <c r="BT71" i="55" s="1"/>
  <c r="BU71" i="55" s="1"/>
  <c r="BV71" i="55" s="1"/>
  <c r="BW71" i="55" s="1"/>
  <c r="BX71" i="55" s="1"/>
  <c r="BY71" i="55" s="1"/>
  <c r="BZ71" i="55" s="1"/>
  <c r="CA71" i="55" s="1"/>
  <c r="CB71" i="55" s="1"/>
  <c r="CC71" i="55" s="1"/>
  <c r="CD71" i="55" s="1"/>
  <c r="CE71" i="55" s="1"/>
  <c r="CF71" i="55" s="1"/>
  <c r="CG71" i="55" s="1"/>
  <c r="CH71" i="55" s="1"/>
  <c r="CI71" i="55" s="1"/>
  <c r="CJ71" i="55" s="1"/>
  <c r="CK71" i="55" s="1"/>
  <c r="CL71" i="55" s="1"/>
  <c r="CM71" i="55" s="1"/>
  <c r="CN71" i="55" s="1"/>
  <c r="CO71" i="55" s="1"/>
  <c r="CP71" i="55" s="1"/>
  <c r="CQ71" i="55" s="1"/>
  <c r="CR71" i="55" s="1"/>
  <c r="CS71" i="55" s="1"/>
  <c r="BQ78" i="55"/>
  <c r="BR78" i="55" s="1"/>
  <c r="BS78" i="55" s="1"/>
  <c r="BT78" i="55" s="1"/>
  <c r="BU78" i="55" s="1"/>
  <c r="BV78" i="55" s="1"/>
  <c r="BW78" i="55" s="1"/>
  <c r="BX78" i="55" s="1"/>
  <c r="BY78" i="55" s="1"/>
  <c r="BZ78" i="55" s="1"/>
  <c r="CA78" i="55" s="1"/>
  <c r="CB78" i="55" s="1"/>
  <c r="CC78" i="55" s="1"/>
  <c r="CD78" i="55" s="1"/>
  <c r="CE78" i="55" s="1"/>
  <c r="CF78" i="55" s="1"/>
  <c r="CG78" i="55" s="1"/>
  <c r="CH78" i="55" s="1"/>
  <c r="CI78" i="55" s="1"/>
  <c r="CJ78" i="55" s="1"/>
  <c r="CK78" i="55" s="1"/>
  <c r="CL78" i="55" s="1"/>
  <c r="CM78" i="55" s="1"/>
  <c r="CN78" i="55" s="1"/>
  <c r="CO78" i="55" s="1"/>
  <c r="CP78" i="55" s="1"/>
  <c r="CQ78" i="55" s="1"/>
  <c r="CR78" i="55" s="1"/>
  <c r="CS78" i="55" s="1"/>
  <c r="BP77" i="55"/>
  <c r="E78" i="55"/>
  <c r="AJ77" i="55"/>
  <c r="CV77" i="55" s="1"/>
  <c r="E54" i="55"/>
  <c r="AK54" i="55" s="1"/>
  <c r="E55" i="55"/>
  <c r="F55" i="55" s="1"/>
  <c r="AJ48" i="55"/>
  <c r="CV48" i="55" s="1"/>
  <c r="CT48" i="55"/>
  <c r="BQ48" i="55" s="1"/>
  <c r="BR48" i="55" s="1"/>
  <c r="BS48" i="55" s="1"/>
  <c r="BT48" i="55" s="1"/>
  <c r="BU48" i="55" s="1"/>
  <c r="BV48" i="55" s="1"/>
  <c r="BW48" i="55" s="1"/>
  <c r="BX48" i="55" s="1"/>
  <c r="BY48" i="55" s="1"/>
  <c r="BZ48" i="55" s="1"/>
  <c r="CA48" i="55" s="1"/>
  <c r="CB48" i="55" s="1"/>
  <c r="CC48" i="55" s="1"/>
  <c r="CD48" i="55" s="1"/>
  <c r="CE48" i="55" s="1"/>
  <c r="CF48" i="55" s="1"/>
  <c r="CG48" i="55" s="1"/>
  <c r="CH48" i="55" s="1"/>
  <c r="CI48" i="55" s="1"/>
  <c r="CJ48" i="55" s="1"/>
  <c r="CK48" i="55" s="1"/>
  <c r="CL48" i="55" s="1"/>
  <c r="CM48" i="55" s="1"/>
  <c r="CN48" i="55" s="1"/>
  <c r="CO48" i="55" s="1"/>
  <c r="CP48" i="55" s="1"/>
  <c r="CQ48" i="55" s="1"/>
  <c r="CR48" i="55" s="1"/>
  <c r="CS48" i="55" s="1"/>
  <c r="BP54" i="55"/>
  <c r="AJ54" i="55"/>
  <c r="CV54" i="55" s="1"/>
  <c r="BN28" i="55"/>
  <c r="DZ28" i="55" s="1"/>
  <c r="BN29" i="55"/>
  <c r="BN31" i="55"/>
  <c r="BN32" i="55"/>
  <c r="C187" i="55"/>
  <c r="AH140" i="55" s="1"/>
  <c r="BN140" i="55" s="1"/>
  <c r="DZ140" i="55" s="1"/>
  <c r="C186" i="55"/>
  <c r="AH139" i="55" s="1"/>
  <c r="BN139" i="55" s="1"/>
  <c r="DZ139" i="55" s="1"/>
  <c r="AL170" i="55" l="1"/>
  <c r="BQ147" i="55"/>
  <c r="BR147" i="55" s="1"/>
  <c r="BS147" i="55" s="1"/>
  <c r="BT147" i="55" s="1"/>
  <c r="BU147" i="55" s="1"/>
  <c r="BV147" i="55" s="1"/>
  <c r="BW147" i="55" s="1"/>
  <c r="BX147" i="55" s="1"/>
  <c r="BY147" i="55" s="1"/>
  <c r="BZ147" i="55" s="1"/>
  <c r="CA147" i="55" s="1"/>
  <c r="CB147" i="55" s="1"/>
  <c r="CC147" i="55" s="1"/>
  <c r="CD147" i="55" s="1"/>
  <c r="CE147" i="55" s="1"/>
  <c r="CF147" i="55" s="1"/>
  <c r="CG147" i="55" s="1"/>
  <c r="CH147" i="55" s="1"/>
  <c r="CI147" i="55" s="1"/>
  <c r="CJ147" i="55" s="1"/>
  <c r="CK147" i="55" s="1"/>
  <c r="CL147" i="55" s="1"/>
  <c r="CM147" i="55" s="1"/>
  <c r="CN147" i="55" s="1"/>
  <c r="CO147" i="55" s="1"/>
  <c r="CP147" i="55" s="1"/>
  <c r="CQ147" i="55" s="1"/>
  <c r="CR147" i="55" s="1"/>
  <c r="CS147" i="55" s="1"/>
  <c r="DZ100" i="55"/>
  <c r="CW101" i="55"/>
  <c r="CX101" i="55" s="1"/>
  <c r="CY101" i="55" s="1"/>
  <c r="CZ101" i="55" s="1"/>
  <c r="DA101" i="55" s="1"/>
  <c r="DB101" i="55" s="1"/>
  <c r="DC101" i="55" s="1"/>
  <c r="DD101" i="55" s="1"/>
  <c r="DE101" i="55" s="1"/>
  <c r="DF101" i="55" s="1"/>
  <c r="DG101" i="55" s="1"/>
  <c r="DH101" i="55" s="1"/>
  <c r="DI101" i="55" s="1"/>
  <c r="DJ101" i="55" s="1"/>
  <c r="DK101" i="55" s="1"/>
  <c r="DL101" i="55" s="1"/>
  <c r="DM101" i="55" s="1"/>
  <c r="DN101" i="55" s="1"/>
  <c r="DO101" i="55" s="1"/>
  <c r="DP101" i="55" s="1"/>
  <c r="DQ101" i="55" s="1"/>
  <c r="DR101" i="55" s="1"/>
  <c r="DS101" i="55" s="1"/>
  <c r="DT101" i="55" s="1"/>
  <c r="DU101" i="55" s="1"/>
  <c r="DV101" i="55" s="1"/>
  <c r="DW101" i="55" s="1"/>
  <c r="DX101" i="55" s="1"/>
  <c r="DY101" i="55" s="1"/>
  <c r="DZ101" i="55"/>
  <c r="DZ146" i="55"/>
  <c r="CW78" i="55"/>
  <c r="CX78" i="55" s="1"/>
  <c r="CY78" i="55" s="1"/>
  <c r="CZ78" i="55" s="1"/>
  <c r="DA78" i="55" s="1"/>
  <c r="DB78" i="55" s="1"/>
  <c r="DC78" i="55" s="1"/>
  <c r="DD78" i="55" s="1"/>
  <c r="DE78" i="55" s="1"/>
  <c r="DF78" i="55" s="1"/>
  <c r="DG78" i="55" s="1"/>
  <c r="DH78" i="55" s="1"/>
  <c r="DI78" i="55" s="1"/>
  <c r="DJ78" i="55" s="1"/>
  <c r="DK78" i="55" s="1"/>
  <c r="DL78" i="55" s="1"/>
  <c r="DM78" i="55" s="1"/>
  <c r="DN78" i="55" s="1"/>
  <c r="DO78" i="55" s="1"/>
  <c r="DP78" i="55" s="1"/>
  <c r="DQ78" i="55" s="1"/>
  <c r="DR78" i="55" s="1"/>
  <c r="DS78" i="55" s="1"/>
  <c r="DT78" i="55" s="1"/>
  <c r="DU78" i="55" s="1"/>
  <c r="DV78" i="55" s="1"/>
  <c r="DW78" i="55" s="1"/>
  <c r="DX78" i="55" s="1"/>
  <c r="DY78" i="55" s="1"/>
  <c r="DZ78" i="55"/>
  <c r="DZ124" i="55"/>
  <c r="CW124" i="55"/>
  <c r="CX124" i="55" s="1"/>
  <c r="CY124" i="55" s="1"/>
  <c r="CZ124" i="55" s="1"/>
  <c r="DA124" i="55" s="1"/>
  <c r="DB124" i="55" s="1"/>
  <c r="DC124" i="55" s="1"/>
  <c r="DD124" i="55" s="1"/>
  <c r="DE124" i="55" s="1"/>
  <c r="DF124" i="55" s="1"/>
  <c r="DG124" i="55" s="1"/>
  <c r="DH124" i="55" s="1"/>
  <c r="DI124" i="55" s="1"/>
  <c r="DJ124" i="55" s="1"/>
  <c r="DK124" i="55" s="1"/>
  <c r="DL124" i="55" s="1"/>
  <c r="DM124" i="55" s="1"/>
  <c r="DN124" i="55" s="1"/>
  <c r="DO124" i="55" s="1"/>
  <c r="DP124" i="55" s="1"/>
  <c r="DQ124" i="55" s="1"/>
  <c r="DR124" i="55" s="1"/>
  <c r="DS124" i="55" s="1"/>
  <c r="DT124" i="55" s="1"/>
  <c r="DU124" i="55" s="1"/>
  <c r="DV124" i="55" s="1"/>
  <c r="DW124" i="55" s="1"/>
  <c r="DX124" i="55" s="1"/>
  <c r="DY124" i="55" s="1"/>
  <c r="CW169" i="55"/>
  <c r="CX169" i="55" s="1"/>
  <c r="CY169" i="55" s="1"/>
  <c r="CZ169" i="55" s="1"/>
  <c r="DA169" i="55" s="1"/>
  <c r="DB169" i="55" s="1"/>
  <c r="DC169" i="55" s="1"/>
  <c r="DD169" i="55" s="1"/>
  <c r="DE169" i="55" s="1"/>
  <c r="DF169" i="55" s="1"/>
  <c r="DG169" i="55" s="1"/>
  <c r="DH169" i="55" s="1"/>
  <c r="DI169" i="55" s="1"/>
  <c r="DJ169" i="55" s="1"/>
  <c r="DK169" i="55" s="1"/>
  <c r="DL169" i="55" s="1"/>
  <c r="DM169" i="55" s="1"/>
  <c r="DN169" i="55" s="1"/>
  <c r="DO169" i="55" s="1"/>
  <c r="DP169" i="55" s="1"/>
  <c r="DQ169" i="55" s="1"/>
  <c r="DR169" i="55" s="1"/>
  <c r="DS169" i="55" s="1"/>
  <c r="DT169" i="55" s="1"/>
  <c r="DU169" i="55" s="1"/>
  <c r="DV169" i="55" s="1"/>
  <c r="DW169" i="55" s="1"/>
  <c r="DX169" i="55" s="1"/>
  <c r="DY169" i="55" s="1"/>
  <c r="DZ169" i="55"/>
  <c r="DZ77" i="55"/>
  <c r="DZ54" i="55"/>
  <c r="CW170" i="55"/>
  <c r="CX170" i="55" s="1"/>
  <c r="CY170" i="55" s="1"/>
  <c r="CZ170" i="55" s="1"/>
  <c r="DA170" i="55" s="1"/>
  <c r="DB170" i="55" s="1"/>
  <c r="DC170" i="55" s="1"/>
  <c r="DD170" i="55" s="1"/>
  <c r="DE170" i="55" s="1"/>
  <c r="DF170" i="55" s="1"/>
  <c r="DG170" i="55" s="1"/>
  <c r="DH170" i="55" s="1"/>
  <c r="DI170" i="55" s="1"/>
  <c r="DJ170" i="55" s="1"/>
  <c r="DK170" i="55" s="1"/>
  <c r="DL170" i="55" s="1"/>
  <c r="DM170" i="55" s="1"/>
  <c r="DN170" i="55" s="1"/>
  <c r="DO170" i="55" s="1"/>
  <c r="DP170" i="55" s="1"/>
  <c r="DQ170" i="55" s="1"/>
  <c r="DR170" i="55" s="1"/>
  <c r="DS170" i="55" s="1"/>
  <c r="DT170" i="55" s="1"/>
  <c r="DU170" i="55" s="1"/>
  <c r="DV170" i="55" s="1"/>
  <c r="DW170" i="55" s="1"/>
  <c r="DX170" i="55" s="1"/>
  <c r="DY170" i="55" s="1"/>
  <c r="DZ170" i="55"/>
  <c r="CW55" i="55"/>
  <c r="CX55" i="55" s="1"/>
  <c r="CY55" i="55" s="1"/>
  <c r="CZ55" i="55" s="1"/>
  <c r="DA55" i="55" s="1"/>
  <c r="DB55" i="55" s="1"/>
  <c r="DC55" i="55" s="1"/>
  <c r="DD55" i="55" s="1"/>
  <c r="DE55" i="55" s="1"/>
  <c r="DF55" i="55" s="1"/>
  <c r="DG55" i="55" s="1"/>
  <c r="DH55" i="55" s="1"/>
  <c r="DI55" i="55" s="1"/>
  <c r="DJ55" i="55" s="1"/>
  <c r="DK55" i="55" s="1"/>
  <c r="DL55" i="55" s="1"/>
  <c r="DM55" i="55" s="1"/>
  <c r="DN55" i="55" s="1"/>
  <c r="DO55" i="55" s="1"/>
  <c r="DP55" i="55" s="1"/>
  <c r="DQ55" i="55" s="1"/>
  <c r="DR55" i="55" s="1"/>
  <c r="DS55" i="55" s="1"/>
  <c r="DT55" i="55" s="1"/>
  <c r="DU55" i="55" s="1"/>
  <c r="DV55" i="55" s="1"/>
  <c r="DW55" i="55" s="1"/>
  <c r="DX55" i="55" s="1"/>
  <c r="DY55" i="55" s="1"/>
  <c r="G146" i="55"/>
  <c r="AM146" i="55" s="1"/>
  <c r="AH118" i="55"/>
  <c r="EB191" i="55"/>
  <c r="AH141" i="55" s="1"/>
  <c r="BU2" i="59"/>
  <c r="BT64" i="59"/>
  <c r="BT73" i="59"/>
  <c r="BT65" i="59"/>
  <c r="BT66" i="59"/>
  <c r="BT67" i="59"/>
  <c r="BT68" i="59"/>
  <c r="BT69" i="59"/>
  <c r="BT61" i="59"/>
  <c r="BT70" i="59"/>
  <c r="BT62" i="59"/>
  <c r="BT63" i="59"/>
  <c r="BT74" i="59"/>
  <c r="BT72" i="59"/>
  <c r="BT71" i="59"/>
  <c r="BS75" i="59"/>
  <c r="CT140" i="55"/>
  <c r="BQ140" i="55" s="1"/>
  <c r="BR140" i="55" s="1"/>
  <c r="BS140" i="55" s="1"/>
  <c r="BT140" i="55" s="1"/>
  <c r="BU140" i="55" s="1"/>
  <c r="BV140" i="55" s="1"/>
  <c r="BW140" i="55" s="1"/>
  <c r="BX140" i="55" s="1"/>
  <c r="BY140" i="55" s="1"/>
  <c r="BZ140" i="55" s="1"/>
  <c r="CA140" i="55" s="1"/>
  <c r="CB140" i="55" s="1"/>
  <c r="CC140" i="55" s="1"/>
  <c r="CD140" i="55" s="1"/>
  <c r="CE140" i="55" s="1"/>
  <c r="CF140" i="55" s="1"/>
  <c r="CG140" i="55" s="1"/>
  <c r="CH140" i="55" s="1"/>
  <c r="CI140" i="55" s="1"/>
  <c r="CJ140" i="55" s="1"/>
  <c r="CK140" i="55" s="1"/>
  <c r="CL140" i="55" s="1"/>
  <c r="CM140" i="55" s="1"/>
  <c r="CN140" i="55" s="1"/>
  <c r="CO140" i="55" s="1"/>
  <c r="CP140" i="55" s="1"/>
  <c r="CQ140" i="55" s="1"/>
  <c r="CR140" i="55" s="1"/>
  <c r="CS140" i="55" s="1"/>
  <c r="E140" i="55"/>
  <c r="CT146" i="55"/>
  <c r="CW146" i="55" s="1"/>
  <c r="CX146" i="55" s="1"/>
  <c r="CY146" i="55" s="1"/>
  <c r="CZ146" i="55" s="1"/>
  <c r="DA146" i="55" s="1"/>
  <c r="DB146" i="55" s="1"/>
  <c r="DC146" i="55" s="1"/>
  <c r="DD146" i="55" s="1"/>
  <c r="DE146" i="55" s="1"/>
  <c r="DF146" i="55" s="1"/>
  <c r="DG146" i="55" s="1"/>
  <c r="DH146" i="55" s="1"/>
  <c r="DI146" i="55" s="1"/>
  <c r="DJ146" i="55" s="1"/>
  <c r="DK146" i="55" s="1"/>
  <c r="DL146" i="55" s="1"/>
  <c r="DM146" i="55" s="1"/>
  <c r="DN146" i="55" s="1"/>
  <c r="DO146" i="55" s="1"/>
  <c r="DP146" i="55" s="1"/>
  <c r="DQ146" i="55" s="1"/>
  <c r="DR146" i="55" s="1"/>
  <c r="DS146" i="55" s="1"/>
  <c r="DT146" i="55" s="1"/>
  <c r="DU146" i="55" s="1"/>
  <c r="DV146" i="55" s="1"/>
  <c r="DW146" i="55" s="1"/>
  <c r="DX146" i="55" s="1"/>
  <c r="DY146" i="55" s="1"/>
  <c r="AK170" i="55"/>
  <c r="AK146" i="55"/>
  <c r="H146" i="55"/>
  <c r="AL147" i="55"/>
  <c r="G147" i="55"/>
  <c r="AK169" i="55"/>
  <c r="F169" i="55"/>
  <c r="H170" i="55"/>
  <c r="AM170" i="55"/>
  <c r="AK100" i="55"/>
  <c r="AH162" i="55"/>
  <c r="AH163" i="55"/>
  <c r="F54" i="55"/>
  <c r="F124" i="55"/>
  <c r="BQ117" i="55"/>
  <c r="BR117" i="55" s="1"/>
  <c r="BS117" i="55" s="1"/>
  <c r="BT117" i="55" s="1"/>
  <c r="BU117" i="55" s="1"/>
  <c r="BV117" i="55" s="1"/>
  <c r="BW117" i="55" s="1"/>
  <c r="BX117" i="55" s="1"/>
  <c r="BY117" i="55" s="1"/>
  <c r="BZ117" i="55" s="1"/>
  <c r="CA117" i="55" s="1"/>
  <c r="CB117" i="55" s="1"/>
  <c r="CC117" i="55" s="1"/>
  <c r="CD117" i="55" s="1"/>
  <c r="CE117" i="55" s="1"/>
  <c r="CF117" i="55" s="1"/>
  <c r="CG117" i="55" s="1"/>
  <c r="CH117" i="55" s="1"/>
  <c r="CI117" i="55" s="1"/>
  <c r="CJ117" i="55" s="1"/>
  <c r="CK117" i="55" s="1"/>
  <c r="CL117" i="55" s="1"/>
  <c r="CM117" i="55" s="1"/>
  <c r="CN117" i="55" s="1"/>
  <c r="CO117" i="55" s="1"/>
  <c r="CP117" i="55" s="1"/>
  <c r="CQ117" i="55" s="1"/>
  <c r="CR117" i="55" s="1"/>
  <c r="CS117" i="55" s="1"/>
  <c r="AK77" i="55"/>
  <c r="AH116" i="55"/>
  <c r="AH93" i="55"/>
  <c r="AH70" i="55"/>
  <c r="AH94" i="55"/>
  <c r="AH117" i="55"/>
  <c r="AH71" i="55"/>
  <c r="CT123" i="55"/>
  <c r="BQ123" i="55" s="1"/>
  <c r="BR123" i="55" s="1"/>
  <c r="BS123" i="55" s="1"/>
  <c r="BT123" i="55" s="1"/>
  <c r="BU123" i="55" s="1"/>
  <c r="BV123" i="55" s="1"/>
  <c r="BW123" i="55" s="1"/>
  <c r="BX123" i="55" s="1"/>
  <c r="BY123" i="55" s="1"/>
  <c r="BZ123" i="55" s="1"/>
  <c r="CA123" i="55" s="1"/>
  <c r="CB123" i="55" s="1"/>
  <c r="CC123" i="55" s="1"/>
  <c r="CD123" i="55" s="1"/>
  <c r="CE123" i="55" s="1"/>
  <c r="CF123" i="55" s="1"/>
  <c r="CG123" i="55" s="1"/>
  <c r="CH123" i="55" s="1"/>
  <c r="CI123" i="55" s="1"/>
  <c r="CJ123" i="55" s="1"/>
  <c r="CK123" i="55" s="1"/>
  <c r="CL123" i="55" s="1"/>
  <c r="CM123" i="55" s="1"/>
  <c r="CN123" i="55" s="1"/>
  <c r="CO123" i="55" s="1"/>
  <c r="CP123" i="55" s="1"/>
  <c r="CQ123" i="55" s="1"/>
  <c r="CR123" i="55" s="1"/>
  <c r="CS123" i="55" s="1"/>
  <c r="AK123" i="55"/>
  <c r="F123" i="55"/>
  <c r="CT100" i="55"/>
  <c r="BQ100" i="55" s="1"/>
  <c r="BR100" i="55" s="1"/>
  <c r="BS100" i="55" s="1"/>
  <c r="BT100" i="55" s="1"/>
  <c r="BU100" i="55" s="1"/>
  <c r="BV100" i="55" s="1"/>
  <c r="BW100" i="55" s="1"/>
  <c r="BX100" i="55" s="1"/>
  <c r="BY100" i="55" s="1"/>
  <c r="BZ100" i="55" s="1"/>
  <c r="CA100" i="55" s="1"/>
  <c r="CB100" i="55" s="1"/>
  <c r="CC100" i="55" s="1"/>
  <c r="CD100" i="55" s="1"/>
  <c r="CE100" i="55" s="1"/>
  <c r="CF100" i="55" s="1"/>
  <c r="CG100" i="55" s="1"/>
  <c r="CH100" i="55" s="1"/>
  <c r="CI100" i="55" s="1"/>
  <c r="CJ100" i="55" s="1"/>
  <c r="CK100" i="55" s="1"/>
  <c r="CL100" i="55" s="1"/>
  <c r="CM100" i="55" s="1"/>
  <c r="CN100" i="55" s="1"/>
  <c r="CO100" i="55" s="1"/>
  <c r="CP100" i="55" s="1"/>
  <c r="CQ100" i="55" s="1"/>
  <c r="CR100" i="55" s="1"/>
  <c r="CS100" i="55" s="1"/>
  <c r="G100" i="55"/>
  <c r="AL100" i="55"/>
  <c r="F101" i="55"/>
  <c r="AK101" i="55"/>
  <c r="CT77" i="55"/>
  <c r="CW77" i="55" s="1"/>
  <c r="CX77" i="55" s="1"/>
  <c r="CY77" i="55" s="1"/>
  <c r="CZ77" i="55" s="1"/>
  <c r="DA77" i="55" s="1"/>
  <c r="DB77" i="55" s="1"/>
  <c r="DC77" i="55" s="1"/>
  <c r="DD77" i="55" s="1"/>
  <c r="DE77" i="55" s="1"/>
  <c r="DF77" i="55" s="1"/>
  <c r="DG77" i="55" s="1"/>
  <c r="DH77" i="55" s="1"/>
  <c r="DI77" i="55" s="1"/>
  <c r="DJ77" i="55" s="1"/>
  <c r="DK77" i="55" s="1"/>
  <c r="DL77" i="55" s="1"/>
  <c r="DM77" i="55" s="1"/>
  <c r="DN77" i="55" s="1"/>
  <c r="DO77" i="55" s="1"/>
  <c r="DP77" i="55" s="1"/>
  <c r="DQ77" i="55" s="1"/>
  <c r="DR77" i="55" s="1"/>
  <c r="DS77" i="55" s="1"/>
  <c r="DT77" i="55" s="1"/>
  <c r="DU77" i="55" s="1"/>
  <c r="DV77" i="55" s="1"/>
  <c r="DW77" i="55" s="1"/>
  <c r="DX77" i="55" s="1"/>
  <c r="DY77" i="55" s="1"/>
  <c r="G77" i="55"/>
  <c r="AL77" i="55"/>
  <c r="F78" i="55"/>
  <c r="AK78" i="55"/>
  <c r="AH47" i="55"/>
  <c r="BN47" i="55" s="1"/>
  <c r="DZ47" i="55" s="1"/>
  <c r="AH24" i="55"/>
  <c r="BN24" i="55" s="1"/>
  <c r="DZ24" i="55" s="1"/>
  <c r="AH48" i="55"/>
  <c r="AH25" i="55"/>
  <c r="BN25" i="55" s="1"/>
  <c r="DZ25" i="55" s="1"/>
  <c r="AK55" i="55"/>
  <c r="G55" i="55"/>
  <c r="AL55" i="55"/>
  <c r="AL54" i="55"/>
  <c r="G54" i="55"/>
  <c r="CT54" i="55"/>
  <c r="BQ54" i="55" s="1"/>
  <c r="BR54" i="55" s="1"/>
  <c r="BS54" i="55" s="1"/>
  <c r="BT54" i="55" s="1"/>
  <c r="BU54" i="55" s="1"/>
  <c r="BV54" i="55" s="1"/>
  <c r="BW54" i="55" s="1"/>
  <c r="BX54" i="55" s="1"/>
  <c r="BY54" i="55" s="1"/>
  <c r="BZ54" i="55" s="1"/>
  <c r="CA54" i="55" s="1"/>
  <c r="CB54" i="55" s="1"/>
  <c r="CC54" i="55" s="1"/>
  <c r="CD54" i="55" s="1"/>
  <c r="CE54" i="55" s="1"/>
  <c r="CF54" i="55" s="1"/>
  <c r="CG54" i="55" s="1"/>
  <c r="CH54" i="55" s="1"/>
  <c r="CI54" i="55" s="1"/>
  <c r="CJ54" i="55" s="1"/>
  <c r="CK54" i="55" s="1"/>
  <c r="CL54" i="55" s="1"/>
  <c r="CM54" i="55" s="1"/>
  <c r="CN54" i="55" s="1"/>
  <c r="CO54" i="55" s="1"/>
  <c r="CP54" i="55" s="1"/>
  <c r="CQ54" i="55" s="1"/>
  <c r="CR54" i="55" s="1"/>
  <c r="CS54" i="55" s="1"/>
  <c r="BP25" i="55"/>
  <c r="AJ25" i="55"/>
  <c r="CV25" i="55" s="1"/>
  <c r="E32" i="55"/>
  <c r="AJ32" i="55"/>
  <c r="CV32" i="55" s="1"/>
  <c r="BP32" i="55"/>
  <c r="BP31" i="55"/>
  <c r="AJ31" i="55"/>
  <c r="CV31" i="55" s="1"/>
  <c r="E31" i="55"/>
  <c r="AT193" i="55"/>
  <c r="AT187" i="55"/>
  <c r="AT188" i="55"/>
  <c r="AT189" i="55"/>
  <c r="AT190" i="55"/>
  <c r="AT191" i="55"/>
  <c r="AT192" i="55"/>
  <c r="AT186" i="55"/>
  <c r="B192" i="55"/>
  <c r="D145" i="55" s="1"/>
  <c r="B191" i="55"/>
  <c r="D144" i="55" s="1"/>
  <c r="B190" i="55"/>
  <c r="D143" i="55" s="1"/>
  <c r="B188" i="55"/>
  <c r="B186" i="55"/>
  <c r="CW100" i="55" l="1"/>
  <c r="CX100" i="55" s="1"/>
  <c r="CY100" i="55" s="1"/>
  <c r="CZ100" i="55" s="1"/>
  <c r="DA100" i="55" s="1"/>
  <c r="DB100" i="55" s="1"/>
  <c r="DC100" i="55" s="1"/>
  <c r="DD100" i="55" s="1"/>
  <c r="DE100" i="55" s="1"/>
  <c r="DF100" i="55" s="1"/>
  <c r="DG100" i="55" s="1"/>
  <c r="DH100" i="55" s="1"/>
  <c r="DI100" i="55" s="1"/>
  <c r="DJ100" i="55" s="1"/>
  <c r="DK100" i="55" s="1"/>
  <c r="DL100" i="55" s="1"/>
  <c r="DM100" i="55" s="1"/>
  <c r="DN100" i="55" s="1"/>
  <c r="DO100" i="55" s="1"/>
  <c r="DP100" i="55" s="1"/>
  <c r="DQ100" i="55" s="1"/>
  <c r="DR100" i="55" s="1"/>
  <c r="DS100" i="55" s="1"/>
  <c r="DT100" i="55" s="1"/>
  <c r="DU100" i="55" s="1"/>
  <c r="DV100" i="55" s="1"/>
  <c r="DW100" i="55" s="1"/>
  <c r="DX100" i="55" s="1"/>
  <c r="DY100" i="55" s="1"/>
  <c r="D139" i="55"/>
  <c r="D24" i="55"/>
  <c r="CW54" i="55"/>
  <c r="CX54" i="55" s="1"/>
  <c r="CY54" i="55" s="1"/>
  <c r="CZ54" i="55" s="1"/>
  <c r="DA54" i="55" s="1"/>
  <c r="DB54" i="55" s="1"/>
  <c r="DC54" i="55" s="1"/>
  <c r="DD54" i="55" s="1"/>
  <c r="DE54" i="55" s="1"/>
  <c r="DF54" i="55" s="1"/>
  <c r="DG54" i="55" s="1"/>
  <c r="DH54" i="55" s="1"/>
  <c r="DI54" i="55" s="1"/>
  <c r="DJ54" i="55" s="1"/>
  <c r="DK54" i="55" s="1"/>
  <c r="DL54" i="55" s="1"/>
  <c r="DM54" i="55" s="1"/>
  <c r="DN54" i="55" s="1"/>
  <c r="DO54" i="55" s="1"/>
  <c r="DP54" i="55" s="1"/>
  <c r="DQ54" i="55" s="1"/>
  <c r="DR54" i="55" s="1"/>
  <c r="DS54" i="55" s="1"/>
  <c r="DT54" i="55" s="1"/>
  <c r="DU54" i="55" s="1"/>
  <c r="DV54" i="55" s="1"/>
  <c r="DW54" i="55" s="1"/>
  <c r="DX54" i="55" s="1"/>
  <c r="DY54" i="55" s="1"/>
  <c r="CW123" i="55"/>
  <c r="CX123" i="55" s="1"/>
  <c r="CY123" i="55" s="1"/>
  <c r="CZ123" i="55" s="1"/>
  <c r="DA123" i="55" s="1"/>
  <c r="DB123" i="55" s="1"/>
  <c r="DC123" i="55" s="1"/>
  <c r="DD123" i="55" s="1"/>
  <c r="DE123" i="55" s="1"/>
  <c r="DF123" i="55" s="1"/>
  <c r="DG123" i="55" s="1"/>
  <c r="DH123" i="55" s="1"/>
  <c r="DI123" i="55" s="1"/>
  <c r="DJ123" i="55" s="1"/>
  <c r="DK123" i="55" s="1"/>
  <c r="DL123" i="55" s="1"/>
  <c r="DM123" i="55" s="1"/>
  <c r="DN123" i="55" s="1"/>
  <c r="DO123" i="55" s="1"/>
  <c r="DP123" i="55" s="1"/>
  <c r="DQ123" i="55" s="1"/>
  <c r="DR123" i="55" s="1"/>
  <c r="DS123" i="55" s="1"/>
  <c r="DT123" i="55" s="1"/>
  <c r="DU123" i="55" s="1"/>
  <c r="DV123" i="55" s="1"/>
  <c r="DW123" i="55" s="1"/>
  <c r="DX123" i="55" s="1"/>
  <c r="DY123" i="55" s="1"/>
  <c r="BP187" i="55"/>
  <c r="EA187" i="55" s="1"/>
  <c r="BP190" i="55"/>
  <c r="D118" i="55" s="1"/>
  <c r="BQ146" i="55"/>
  <c r="BR146" i="55" s="1"/>
  <c r="BS146" i="55" s="1"/>
  <c r="BT146" i="55" s="1"/>
  <c r="BU146" i="55" s="1"/>
  <c r="BV146" i="55" s="1"/>
  <c r="BW146" i="55" s="1"/>
  <c r="BX146" i="55" s="1"/>
  <c r="BY146" i="55" s="1"/>
  <c r="BZ146" i="55" s="1"/>
  <c r="CA146" i="55" s="1"/>
  <c r="CB146" i="55" s="1"/>
  <c r="CC146" i="55" s="1"/>
  <c r="CD146" i="55" s="1"/>
  <c r="CE146" i="55" s="1"/>
  <c r="CF146" i="55" s="1"/>
  <c r="CG146" i="55" s="1"/>
  <c r="CH146" i="55" s="1"/>
  <c r="CI146" i="55" s="1"/>
  <c r="CJ146" i="55" s="1"/>
  <c r="CK146" i="55" s="1"/>
  <c r="CL146" i="55" s="1"/>
  <c r="CM146" i="55" s="1"/>
  <c r="CN146" i="55" s="1"/>
  <c r="CO146" i="55" s="1"/>
  <c r="CP146" i="55" s="1"/>
  <c r="CQ146" i="55" s="1"/>
  <c r="CR146" i="55" s="1"/>
  <c r="CS146" i="55" s="1"/>
  <c r="BP192" i="55"/>
  <c r="DZ32" i="55"/>
  <c r="DZ31" i="55"/>
  <c r="BT75" i="59"/>
  <c r="BV2" i="59"/>
  <c r="BU64" i="59"/>
  <c r="BU73" i="59"/>
  <c r="BU65" i="59"/>
  <c r="BU66" i="59"/>
  <c r="BU67" i="59"/>
  <c r="BU68" i="59"/>
  <c r="BU69" i="59"/>
  <c r="BU61" i="59"/>
  <c r="BU70" i="59"/>
  <c r="BU62" i="59"/>
  <c r="BU72" i="59"/>
  <c r="BU63" i="59"/>
  <c r="BU74" i="59"/>
  <c r="BU71" i="59"/>
  <c r="AK140" i="55"/>
  <c r="CW140" i="55" s="1"/>
  <c r="F140" i="55"/>
  <c r="AJ143" i="55"/>
  <c r="CV143" i="55" s="1"/>
  <c r="BP143" i="55"/>
  <c r="E143" i="55"/>
  <c r="E139" i="55"/>
  <c r="AJ139" i="55"/>
  <c r="CV139" i="55" s="1"/>
  <c r="BP139" i="55"/>
  <c r="CT139" i="55" s="1"/>
  <c r="BQ139" i="55" s="1"/>
  <c r="BR139" i="55" s="1"/>
  <c r="BS139" i="55" s="1"/>
  <c r="BT139" i="55" s="1"/>
  <c r="BU139" i="55" s="1"/>
  <c r="BV139" i="55" s="1"/>
  <c r="BW139" i="55" s="1"/>
  <c r="BX139" i="55" s="1"/>
  <c r="BY139" i="55" s="1"/>
  <c r="BZ139" i="55" s="1"/>
  <c r="CA139" i="55" s="1"/>
  <c r="CB139" i="55" s="1"/>
  <c r="CC139" i="55" s="1"/>
  <c r="CD139" i="55" s="1"/>
  <c r="CE139" i="55" s="1"/>
  <c r="CF139" i="55" s="1"/>
  <c r="CG139" i="55" s="1"/>
  <c r="CH139" i="55" s="1"/>
  <c r="CI139" i="55" s="1"/>
  <c r="CJ139" i="55" s="1"/>
  <c r="CK139" i="55" s="1"/>
  <c r="CL139" i="55" s="1"/>
  <c r="CM139" i="55" s="1"/>
  <c r="CN139" i="55" s="1"/>
  <c r="CO139" i="55" s="1"/>
  <c r="CP139" i="55" s="1"/>
  <c r="CQ139" i="55" s="1"/>
  <c r="CR139" i="55" s="1"/>
  <c r="CS139" i="55" s="1"/>
  <c r="BP144" i="55"/>
  <c r="CT144" i="55" s="1"/>
  <c r="BQ144" i="55" s="1"/>
  <c r="BR144" i="55" s="1"/>
  <c r="BS144" i="55" s="1"/>
  <c r="BT144" i="55" s="1"/>
  <c r="BU144" i="55" s="1"/>
  <c r="BV144" i="55" s="1"/>
  <c r="BW144" i="55" s="1"/>
  <c r="BX144" i="55" s="1"/>
  <c r="BY144" i="55" s="1"/>
  <c r="BZ144" i="55" s="1"/>
  <c r="CA144" i="55" s="1"/>
  <c r="CB144" i="55" s="1"/>
  <c r="CC144" i="55" s="1"/>
  <c r="CD144" i="55" s="1"/>
  <c r="CE144" i="55" s="1"/>
  <c r="CF144" i="55" s="1"/>
  <c r="CG144" i="55" s="1"/>
  <c r="CH144" i="55" s="1"/>
  <c r="CI144" i="55" s="1"/>
  <c r="CJ144" i="55" s="1"/>
  <c r="CK144" i="55" s="1"/>
  <c r="CL144" i="55" s="1"/>
  <c r="CM144" i="55" s="1"/>
  <c r="CN144" i="55" s="1"/>
  <c r="CO144" i="55" s="1"/>
  <c r="CP144" i="55" s="1"/>
  <c r="CQ144" i="55" s="1"/>
  <c r="CR144" i="55" s="1"/>
  <c r="CS144" i="55" s="1"/>
  <c r="AJ144" i="55"/>
  <c r="CV144" i="55" s="1"/>
  <c r="E144" i="55"/>
  <c r="AJ145" i="55"/>
  <c r="CV145" i="55" s="1"/>
  <c r="BP145" i="55"/>
  <c r="AM147" i="55"/>
  <c r="H147" i="55"/>
  <c r="I146" i="55"/>
  <c r="AN146" i="55"/>
  <c r="I170" i="55"/>
  <c r="AN170" i="55"/>
  <c r="D167" i="55"/>
  <c r="BN162" i="55"/>
  <c r="DZ162" i="55" s="1"/>
  <c r="E25" i="55"/>
  <c r="AK25" i="55" s="1"/>
  <c r="CW25" i="55" s="1"/>
  <c r="AL169" i="55"/>
  <c r="G169" i="55"/>
  <c r="D168" i="55"/>
  <c r="D162" i="55"/>
  <c r="D166" i="55"/>
  <c r="E163" i="55"/>
  <c r="BN163" i="55"/>
  <c r="DZ163" i="55" s="1"/>
  <c r="AL124" i="55"/>
  <c r="G124" i="55"/>
  <c r="D97" i="55"/>
  <c r="D120" i="55"/>
  <c r="D74" i="55"/>
  <c r="D121" i="55"/>
  <c r="D75" i="55"/>
  <c r="D98" i="55"/>
  <c r="D122" i="55"/>
  <c r="D99" i="55"/>
  <c r="D76" i="55"/>
  <c r="BN71" i="55"/>
  <c r="DZ71" i="55" s="1"/>
  <c r="E71" i="55"/>
  <c r="BN116" i="55"/>
  <c r="DZ116" i="55" s="1"/>
  <c r="BN94" i="55"/>
  <c r="DZ94" i="55" s="1"/>
  <c r="E94" i="55"/>
  <c r="BN70" i="55"/>
  <c r="DZ70" i="55" s="1"/>
  <c r="BN117" i="55"/>
  <c r="DZ117" i="55" s="1"/>
  <c r="E117" i="55"/>
  <c r="D116" i="55"/>
  <c r="D70" i="55"/>
  <c r="D93" i="55"/>
  <c r="BN118" i="55"/>
  <c r="DZ118" i="55" s="1"/>
  <c r="BN95" i="55"/>
  <c r="DZ95" i="55" s="1"/>
  <c r="G123" i="55"/>
  <c r="AL123" i="55"/>
  <c r="BN93" i="55"/>
  <c r="DZ93" i="55" s="1"/>
  <c r="AM100" i="55"/>
  <c r="H100" i="55"/>
  <c r="G101" i="55"/>
  <c r="AL101" i="55"/>
  <c r="BQ77" i="55"/>
  <c r="BR77" i="55" s="1"/>
  <c r="BS77" i="55" s="1"/>
  <c r="BT77" i="55" s="1"/>
  <c r="BU77" i="55" s="1"/>
  <c r="BV77" i="55" s="1"/>
  <c r="BW77" i="55" s="1"/>
  <c r="BX77" i="55" s="1"/>
  <c r="BY77" i="55" s="1"/>
  <c r="BZ77" i="55" s="1"/>
  <c r="CA77" i="55" s="1"/>
  <c r="CB77" i="55" s="1"/>
  <c r="CC77" i="55" s="1"/>
  <c r="CD77" i="55" s="1"/>
  <c r="CE77" i="55" s="1"/>
  <c r="CF77" i="55" s="1"/>
  <c r="CG77" i="55" s="1"/>
  <c r="CH77" i="55" s="1"/>
  <c r="CI77" i="55" s="1"/>
  <c r="CJ77" i="55" s="1"/>
  <c r="CK77" i="55" s="1"/>
  <c r="CL77" i="55" s="1"/>
  <c r="CM77" i="55" s="1"/>
  <c r="CN77" i="55" s="1"/>
  <c r="CO77" i="55" s="1"/>
  <c r="CP77" i="55" s="1"/>
  <c r="CQ77" i="55" s="1"/>
  <c r="CR77" i="55" s="1"/>
  <c r="CS77" i="55" s="1"/>
  <c r="AM77" i="55"/>
  <c r="H77" i="55"/>
  <c r="G78" i="55"/>
  <c r="AL78" i="55"/>
  <c r="D28" i="55"/>
  <c r="E28" i="55" s="1"/>
  <c r="D51" i="55"/>
  <c r="BN48" i="55"/>
  <c r="DZ48" i="55" s="1"/>
  <c r="E48" i="55"/>
  <c r="D29" i="55"/>
  <c r="AJ29" i="55" s="1"/>
  <c r="CV29" i="55" s="1"/>
  <c r="D52" i="55"/>
  <c r="D53" i="55"/>
  <c r="D30" i="55"/>
  <c r="BP30" i="55" s="1"/>
  <c r="BP24" i="55"/>
  <c r="D47" i="55"/>
  <c r="BZ187" i="55"/>
  <c r="BN49" i="55"/>
  <c r="DZ49" i="55" s="1"/>
  <c r="D49" i="55"/>
  <c r="H55" i="55"/>
  <c r="AM55" i="55"/>
  <c r="AM54" i="55"/>
  <c r="H54" i="55"/>
  <c r="CT31" i="55"/>
  <c r="BQ31" i="55" s="1"/>
  <c r="BR31" i="55" s="1"/>
  <c r="BS31" i="55" s="1"/>
  <c r="BT31" i="55" s="1"/>
  <c r="BU31" i="55" s="1"/>
  <c r="BV31" i="55" s="1"/>
  <c r="BW31" i="55" s="1"/>
  <c r="BX31" i="55" s="1"/>
  <c r="BY31" i="55" s="1"/>
  <c r="BZ31" i="55" s="1"/>
  <c r="CA31" i="55" s="1"/>
  <c r="CB31" i="55" s="1"/>
  <c r="CC31" i="55" s="1"/>
  <c r="CD31" i="55" s="1"/>
  <c r="CE31" i="55" s="1"/>
  <c r="CF31" i="55" s="1"/>
  <c r="CG31" i="55" s="1"/>
  <c r="CH31" i="55" s="1"/>
  <c r="CI31" i="55" s="1"/>
  <c r="CJ31" i="55" s="1"/>
  <c r="CK31" i="55" s="1"/>
  <c r="CL31" i="55" s="1"/>
  <c r="CM31" i="55" s="1"/>
  <c r="CN31" i="55" s="1"/>
  <c r="CO31" i="55" s="1"/>
  <c r="CP31" i="55" s="1"/>
  <c r="CQ31" i="55" s="1"/>
  <c r="CR31" i="55" s="1"/>
  <c r="CS31" i="55" s="1"/>
  <c r="F31" i="55"/>
  <c r="AK31" i="55"/>
  <c r="CT32" i="55"/>
  <c r="BQ32" i="55" s="1"/>
  <c r="BR32" i="55" s="1"/>
  <c r="BS32" i="55" s="1"/>
  <c r="BT32" i="55" s="1"/>
  <c r="BU32" i="55" s="1"/>
  <c r="BV32" i="55" s="1"/>
  <c r="BW32" i="55" s="1"/>
  <c r="BX32" i="55" s="1"/>
  <c r="BY32" i="55" s="1"/>
  <c r="BZ32" i="55" s="1"/>
  <c r="CA32" i="55" s="1"/>
  <c r="CB32" i="55" s="1"/>
  <c r="CC32" i="55" s="1"/>
  <c r="CD32" i="55" s="1"/>
  <c r="CE32" i="55" s="1"/>
  <c r="CF32" i="55" s="1"/>
  <c r="CG32" i="55" s="1"/>
  <c r="CH32" i="55" s="1"/>
  <c r="CI32" i="55" s="1"/>
  <c r="CJ32" i="55" s="1"/>
  <c r="CK32" i="55" s="1"/>
  <c r="CL32" i="55" s="1"/>
  <c r="CM32" i="55" s="1"/>
  <c r="CN32" i="55" s="1"/>
  <c r="CO32" i="55" s="1"/>
  <c r="CP32" i="55" s="1"/>
  <c r="CQ32" i="55" s="1"/>
  <c r="CR32" i="55" s="1"/>
  <c r="CS32" i="55" s="1"/>
  <c r="CT25" i="55"/>
  <c r="BQ25" i="55" s="1"/>
  <c r="BR25" i="55" s="1"/>
  <c r="BS25" i="55" s="1"/>
  <c r="BT25" i="55" s="1"/>
  <c r="BU25" i="55" s="1"/>
  <c r="BV25" i="55" s="1"/>
  <c r="BW25" i="55" s="1"/>
  <c r="BX25" i="55" s="1"/>
  <c r="BY25" i="55" s="1"/>
  <c r="BZ25" i="55" s="1"/>
  <c r="CA25" i="55" s="1"/>
  <c r="CB25" i="55" s="1"/>
  <c r="CC25" i="55" s="1"/>
  <c r="CD25" i="55" s="1"/>
  <c r="CE25" i="55" s="1"/>
  <c r="CF25" i="55" s="1"/>
  <c r="CG25" i="55" s="1"/>
  <c r="CH25" i="55" s="1"/>
  <c r="CI25" i="55" s="1"/>
  <c r="CJ25" i="55" s="1"/>
  <c r="CK25" i="55" s="1"/>
  <c r="CL25" i="55" s="1"/>
  <c r="CM25" i="55" s="1"/>
  <c r="CN25" i="55" s="1"/>
  <c r="CO25" i="55" s="1"/>
  <c r="CP25" i="55" s="1"/>
  <c r="CQ25" i="55" s="1"/>
  <c r="CR25" i="55" s="1"/>
  <c r="CS25" i="55" s="1"/>
  <c r="F32" i="55"/>
  <c r="AK32" i="55"/>
  <c r="B189" i="55"/>
  <c r="C192" i="55"/>
  <c r="AH145" i="55" s="1"/>
  <c r="BN145" i="55" s="1"/>
  <c r="EA192" i="55"/>
  <c r="EA190" i="55" l="1"/>
  <c r="CW144" i="55"/>
  <c r="CX144" i="55" s="1"/>
  <c r="CY144" i="55" s="1"/>
  <c r="CZ144" i="55" s="1"/>
  <c r="DA144" i="55" s="1"/>
  <c r="DB144" i="55" s="1"/>
  <c r="DC144" i="55" s="1"/>
  <c r="DD144" i="55" s="1"/>
  <c r="DE144" i="55" s="1"/>
  <c r="DF144" i="55" s="1"/>
  <c r="DG144" i="55" s="1"/>
  <c r="DH144" i="55" s="1"/>
  <c r="DI144" i="55" s="1"/>
  <c r="DJ144" i="55" s="1"/>
  <c r="DK144" i="55" s="1"/>
  <c r="DL144" i="55" s="1"/>
  <c r="DM144" i="55" s="1"/>
  <c r="DN144" i="55" s="1"/>
  <c r="DO144" i="55" s="1"/>
  <c r="DP144" i="55" s="1"/>
  <c r="DQ144" i="55" s="1"/>
  <c r="DR144" i="55" s="1"/>
  <c r="DS144" i="55" s="1"/>
  <c r="DT144" i="55" s="1"/>
  <c r="DU144" i="55" s="1"/>
  <c r="DV144" i="55" s="1"/>
  <c r="DW144" i="55" s="1"/>
  <c r="DX144" i="55" s="1"/>
  <c r="DY144" i="55" s="1"/>
  <c r="D119" i="55"/>
  <c r="BZ190" i="55"/>
  <c r="F25" i="55"/>
  <c r="D50" i="55"/>
  <c r="AH50" i="55"/>
  <c r="DZ145" i="55"/>
  <c r="CW32" i="55"/>
  <c r="CX32" i="55" s="1"/>
  <c r="CY32" i="55" s="1"/>
  <c r="CZ32" i="55" s="1"/>
  <c r="DA32" i="55" s="1"/>
  <c r="DB32" i="55" s="1"/>
  <c r="DC32" i="55" s="1"/>
  <c r="DD32" i="55" s="1"/>
  <c r="DE32" i="55" s="1"/>
  <c r="DF32" i="55" s="1"/>
  <c r="DG32" i="55" s="1"/>
  <c r="DH32" i="55" s="1"/>
  <c r="DI32" i="55" s="1"/>
  <c r="DJ32" i="55" s="1"/>
  <c r="DK32" i="55" s="1"/>
  <c r="DL32" i="55" s="1"/>
  <c r="DM32" i="55" s="1"/>
  <c r="DN32" i="55" s="1"/>
  <c r="DO32" i="55" s="1"/>
  <c r="DP32" i="55" s="1"/>
  <c r="DQ32" i="55" s="1"/>
  <c r="DR32" i="55" s="1"/>
  <c r="DS32" i="55" s="1"/>
  <c r="DT32" i="55" s="1"/>
  <c r="DU32" i="55" s="1"/>
  <c r="DV32" i="55" s="1"/>
  <c r="DW32" i="55" s="1"/>
  <c r="DX32" i="55" s="1"/>
  <c r="DY32" i="55" s="1"/>
  <c r="CW31" i="55"/>
  <c r="CX31" i="55" s="1"/>
  <c r="CY31" i="55" s="1"/>
  <c r="CZ31" i="55" s="1"/>
  <c r="DA31" i="55" s="1"/>
  <c r="DB31" i="55" s="1"/>
  <c r="DC31" i="55" s="1"/>
  <c r="DD31" i="55" s="1"/>
  <c r="DE31" i="55" s="1"/>
  <c r="DF31" i="55" s="1"/>
  <c r="DG31" i="55" s="1"/>
  <c r="DH31" i="55" s="1"/>
  <c r="DI31" i="55" s="1"/>
  <c r="DJ31" i="55" s="1"/>
  <c r="DK31" i="55" s="1"/>
  <c r="DL31" i="55" s="1"/>
  <c r="DM31" i="55" s="1"/>
  <c r="DN31" i="55" s="1"/>
  <c r="DO31" i="55" s="1"/>
  <c r="DP31" i="55" s="1"/>
  <c r="DQ31" i="55" s="1"/>
  <c r="DR31" i="55" s="1"/>
  <c r="DS31" i="55" s="1"/>
  <c r="DT31" i="55" s="1"/>
  <c r="DU31" i="55" s="1"/>
  <c r="DV31" i="55" s="1"/>
  <c r="DW31" i="55" s="1"/>
  <c r="DX31" i="55" s="1"/>
  <c r="DY31" i="55" s="1"/>
  <c r="BU75" i="59"/>
  <c r="BW2" i="59"/>
  <c r="BV73" i="59"/>
  <c r="BV65" i="59"/>
  <c r="BV66" i="59"/>
  <c r="BV67" i="59"/>
  <c r="BV68" i="59"/>
  <c r="BV69" i="59"/>
  <c r="BV61" i="59"/>
  <c r="BV70" i="59"/>
  <c r="BV62" i="59"/>
  <c r="BV64" i="59"/>
  <c r="BV74" i="59"/>
  <c r="BV63" i="59"/>
  <c r="BV72" i="59"/>
  <c r="BV71" i="59"/>
  <c r="F144" i="55"/>
  <c r="AK144" i="55"/>
  <c r="AH119" i="55"/>
  <c r="BZ192" i="55"/>
  <c r="AH165" i="55" s="1"/>
  <c r="BN164" i="55"/>
  <c r="DZ164" i="55" s="1"/>
  <c r="D165" i="55"/>
  <c r="AJ165" i="55" s="1"/>
  <c r="CV165" i="55" s="1"/>
  <c r="D164" i="55"/>
  <c r="E164" i="55" s="1"/>
  <c r="AK143" i="55"/>
  <c r="CW143" i="55" s="1"/>
  <c r="F143" i="55"/>
  <c r="BN141" i="55"/>
  <c r="DZ141" i="55" s="1"/>
  <c r="CT143" i="55"/>
  <c r="BQ143" i="55" s="1"/>
  <c r="BR143" i="55" s="1"/>
  <c r="BS143" i="55" s="1"/>
  <c r="BT143" i="55" s="1"/>
  <c r="BU143" i="55" s="1"/>
  <c r="BV143" i="55" s="1"/>
  <c r="BW143" i="55" s="1"/>
  <c r="BX143" i="55" s="1"/>
  <c r="BY143" i="55" s="1"/>
  <c r="BZ143" i="55" s="1"/>
  <c r="CA143" i="55" s="1"/>
  <c r="CB143" i="55" s="1"/>
  <c r="CC143" i="55" s="1"/>
  <c r="CD143" i="55" s="1"/>
  <c r="CE143" i="55" s="1"/>
  <c r="CF143" i="55" s="1"/>
  <c r="CG143" i="55" s="1"/>
  <c r="CH143" i="55" s="1"/>
  <c r="CI143" i="55" s="1"/>
  <c r="CJ143" i="55" s="1"/>
  <c r="CK143" i="55" s="1"/>
  <c r="CL143" i="55" s="1"/>
  <c r="CM143" i="55" s="1"/>
  <c r="CN143" i="55" s="1"/>
  <c r="CO143" i="55" s="1"/>
  <c r="CP143" i="55" s="1"/>
  <c r="CQ143" i="55" s="1"/>
  <c r="CR143" i="55" s="1"/>
  <c r="CS143" i="55" s="1"/>
  <c r="BN72" i="55"/>
  <c r="DZ72" i="55" s="1"/>
  <c r="E145" i="55"/>
  <c r="AK139" i="55"/>
  <c r="CW139" i="55" s="1"/>
  <c r="F139" i="55"/>
  <c r="G140" i="55"/>
  <c r="AL140" i="55"/>
  <c r="CX140" i="55" s="1"/>
  <c r="CT145" i="55"/>
  <c r="BQ145" i="55" s="1"/>
  <c r="BR145" i="55" s="1"/>
  <c r="BS145" i="55" s="1"/>
  <c r="BT145" i="55" s="1"/>
  <c r="BU145" i="55" s="1"/>
  <c r="BV145" i="55" s="1"/>
  <c r="BW145" i="55" s="1"/>
  <c r="BX145" i="55" s="1"/>
  <c r="BY145" i="55" s="1"/>
  <c r="BZ145" i="55" s="1"/>
  <c r="CA145" i="55" s="1"/>
  <c r="CB145" i="55" s="1"/>
  <c r="CC145" i="55" s="1"/>
  <c r="CD145" i="55" s="1"/>
  <c r="CE145" i="55" s="1"/>
  <c r="CF145" i="55" s="1"/>
  <c r="CG145" i="55" s="1"/>
  <c r="CH145" i="55" s="1"/>
  <c r="CI145" i="55" s="1"/>
  <c r="CJ145" i="55" s="1"/>
  <c r="CK145" i="55" s="1"/>
  <c r="CL145" i="55" s="1"/>
  <c r="CM145" i="55" s="1"/>
  <c r="CN145" i="55" s="1"/>
  <c r="CO145" i="55" s="1"/>
  <c r="CP145" i="55" s="1"/>
  <c r="CQ145" i="55" s="1"/>
  <c r="CR145" i="55" s="1"/>
  <c r="CS145" i="55" s="1"/>
  <c r="AN147" i="55"/>
  <c r="I147" i="55"/>
  <c r="AO146" i="55"/>
  <c r="J146" i="55"/>
  <c r="AJ162" i="55"/>
  <c r="CV162" i="55" s="1"/>
  <c r="BP162" i="55"/>
  <c r="E162" i="55"/>
  <c r="AH168" i="55"/>
  <c r="BN168" i="55" s="1"/>
  <c r="F163" i="55"/>
  <c r="AK163" i="55"/>
  <c r="CW163" i="55" s="1"/>
  <c r="BP168" i="55"/>
  <c r="AJ168" i="55"/>
  <c r="CV168" i="55" s="1"/>
  <c r="E166" i="55"/>
  <c r="AJ166" i="55"/>
  <c r="CV166" i="55" s="1"/>
  <c r="BP166" i="55"/>
  <c r="AJ167" i="55"/>
  <c r="CV167" i="55" s="1"/>
  <c r="E167" i="55"/>
  <c r="BP167" i="55"/>
  <c r="AM169" i="55"/>
  <c r="H169" i="55"/>
  <c r="J170" i="55"/>
  <c r="AO170" i="55"/>
  <c r="E29" i="55"/>
  <c r="H124" i="55"/>
  <c r="AM124" i="55"/>
  <c r="BP29" i="55"/>
  <c r="CT29" i="55" s="1"/>
  <c r="BQ29" i="55" s="1"/>
  <c r="BR29" i="55" s="1"/>
  <c r="BS29" i="55" s="1"/>
  <c r="BT29" i="55" s="1"/>
  <c r="BU29" i="55" s="1"/>
  <c r="BV29" i="55" s="1"/>
  <c r="BW29" i="55" s="1"/>
  <c r="BX29" i="55" s="1"/>
  <c r="BY29" i="55" s="1"/>
  <c r="BZ29" i="55" s="1"/>
  <c r="CA29" i="55" s="1"/>
  <c r="CB29" i="55" s="1"/>
  <c r="CC29" i="55" s="1"/>
  <c r="CD29" i="55" s="1"/>
  <c r="CE29" i="55" s="1"/>
  <c r="CF29" i="55" s="1"/>
  <c r="CG29" i="55" s="1"/>
  <c r="CH29" i="55" s="1"/>
  <c r="CI29" i="55" s="1"/>
  <c r="CJ29" i="55" s="1"/>
  <c r="CK29" i="55" s="1"/>
  <c r="CL29" i="55" s="1"/>
  <c r="CM29" i="55" s="1"/>
  <c r="CN29" i="55" s="1"/>
  <c r="CO29" i="55" s="1"/>
  <c r="CP29" i="55" s="1"/>
  <c r="CQ29" i="55" s="1"/>
  <c r="CR29" i="55" s="1"/>
  <c r="CS29" i="55" s="1"/>
  <c r="AJ24" i="55"/>
  <c r="CV24" i="55" s="1"/>
  <c r="AJ70" i="55"/>
  <c r="CV70" i="55" s="1"/>
  <c r="BP70" i="55"/>
  <c r="E70" i="55"/>
  <c r="AJ99" i="55"/>
  <c r="CV99" i="55" s="1"/>
  <c r="BP99" i="55"/>
  <c r="CT99" i="55" s="1"/>
  <c r="BQ99" i="55" s="1"/>
  <c r="BR99" i="55" s="1"/>
  <c r="BS99" i="55" s="1"/>
  <c r="BT99" i="55" s="1"/>
  <c r="BU99" i="55" s="1"/>
  <c r="BV99" i="55" s="1"/>
  <c r="BW99" i="55" s="1"/>
  <c r="BX99" i="55" s="1"/>
  <c r="BY99" i="55" s="1"/>
  <c r="BZ99" i="55" s="1"/>
  <c r="CA99" i="55" s="1"/>
  <c r="CB99" i="55" s="1"/>
  <c r="CC99" i="55" s="1"/>
  <c r="CD99" i="55" s="1"/>
  <c r="CE99" i="55" s="1"/>
  <c r="CF99" i="55" s="1"/>
  <c r="CG99" i="55" s="1"/>
  <c r="CH99" i="55" s="1"/>
  <c r="CI99" i="55" s="1"/>
  <c r="CJ99" i="55" s="1"/>
  <c r="CK99" i="55" s="1"/>
  <c r="CL99" i="55" s="1"/>
  <c r="CM99" i="55" s="1"/>
  <c r="CN99" i="55" s="1"/>
  <c r="CO99" i="55" s="1"/>
  <c r="CP99" i="55" s="1"/>
  <c r="CQ99" i="55" s="1"/>
  <c r="CR99" i="55" s="1"/>
  <c r="CS99" i="55" s="1"/>
  <c r="AJ28" i="55"/>
  <c r="CV28" i="55" s="1"/>
  <c r="AJ119" i="55"/>
  <c r="CV119" i="55" s="1"/>
  <c r="BP119" i="55"/>
  <c r="BP116" i="55"/>
  <c r="AJ116" i="55"/>
  <c r="CV116" i="55" s="1"/>
  <c r="E116" i="55"/>
  <c r="F94" i="55"/>
  <c r="AK94" i="55"/>
  <c r="CW94" i="55" s="1"/>
  <c r="BP122" i="55"/>
  <c r="AJ122" i="55"/>
  <c r="CV122" i="55" s="1"/>
  <c r="AH122" i="55"/>
  <c r="BN122" i="55" s="1"/>
  <c r="AH99" i="55"/>
  <c r="BN99" i="55" s="1"/>
  <c r="AH76" i="55"/>
  <c r="BN76" i="55" s="1"/>
  <c r="BP28" i="55"/>
  <c r="CT28" i="55" s="1"/>
  <c r="BQ28" i="55" s="1"/>
  <c r="BR28" i="55" s="1"/>
  <c r="BS28" i="55" s="1"/>
  <c r="BT28" i="55" s="1"/>
  <c r="BU28" i="55" s="1"/>
  <c r="BV28" i="55" s="1"/>
  <c r="BW28" i="55" s="1"/>
  <c r="BX28" i="55" s="1"/>
  <c r="BY28" i="55" s="1"/>
  <c r="BZ28" i="55" s="1"/>
  <c r="CA28" i="55" s="1"/>
  <c r="CB28" i="55" s="1"/>
  <c r="CC28" i="55" s="1"/>
  <c r="CD28" i="55" s="1"/>
  <c r="CE28" i="55" s="1"/>
  <c r="CF28" i="55" s="1"/>
  <c r="CG28" i="55" s="1"/>
  <c r="CH28" i="55" s="1"/>
  <c r="CI28" i="55" s="1"/>
  <c r="CJ28" i="55" s="1"/>
  <c r="CK28" i="55" s="1"/>
  <c r="CL28" i="55" s="1"/>
  <c r="CM28" i="55" s="1"/>
  <c r="CN28" i="55" s="1"/>
  <c r="CO28" i="55" s="1"/>
  <c r="CP28" i="55" s="1"/>
  <c r="CQ28" i="55" s="1"/>
  <c r="CR28" i="55" s="1"/>
  <c r="CS28" i="55" s="1"/>
  <c r="BN119" i="55"/>
  <c r="AK117" i="55"/>
  <c r="CW117" i="55" s="1"/>
  <c r="F117" i="55"/>
  <c r="E98" i="55"/>
  <c r="BP98" i="55"/>
  <c r="CT98" i="55" s="1"/>
  <c r="BQ98" i="55" s="1"/>
  <c r="BR98" i="55" s="1"/>
  <c r="BS98" i="55" s="1"/>
  <c r="BT98" i="55" s="1"/>
  <c r="BU98" i="55" s="1"/>
  <c r="BV98" i="55" s="1"/>
  <c r="BW98" i="55" s="1"/>
  <c r="BX98" i="55" s="1"/>
  <c r="BY98" i="55" s="1"/>
  <c r="BZ98" i="55" s="1"/>
  <c r="CA98" i="55" s="1"/>
  <c r="CB98" i="55" s="1"/>
  <c r="CC98" i="55" s="1"/>
  <c r="CD98" i="55" s="1"/>
  <c r="CE98" i="55" s="1"/>
  <c r="CF98" i="55" s="1"/>
  <c r="CG98" i="55" s="1"/>
  <c r="CH98" i="55" s="1"/>
  <c r="CI98" i="55" s="1"/>
  <c r="CJ98" i="55" s="1"/>
  <c r="CK98" i="55" s="1"/>
  <c r="CL98" i="55" s="1"/>
  <c r="CM98" i="55" s="1"/>
  <c r="CN98" i="55" s="1"/>
  <c r="CO98" i="55" s="1"/>
  <c r="CP98" i="55" s="1"/>
  <c r="CQ98" i="55" s="1"/>
  <c r="CR98" i="55" s="1"/>
  <c r="CS98" i="55" s="1"/>
  <c r="AJ98" i="55"/>
  <c r="CV98" i="55" s="1"/>
  <c r="CW98" i="55" s="1"/>
  <c r="CX98" i="55" s="1"/>
  <c r="CY98" i="55" s="1"/>
  <c r="CZ98" i="55" s="1"/>
  <c r="DA98" i="55" s="1"/>
  <c r="DB98" i="55" s="1"/>
  <c r="DC98" i="55" s="1"/>
  <c r="DD98" i="55" s="1"/>
  <c r="DE98" i="55" s="1"/>
  <c r="DF98" i="55" s="1"/>
  <c r="DG98" i="55" s="1"/>
  <c r="DH98" i="55" s="1"/>
  <c r="DI98" i="55" s="1"/>
  <c r="DJ98" i="55" s="1"/>
  <c r="DK98" i="55" s="1"/>
  <c r="DL98" i="55" s="1"/>
  <c r="DM98" i="55" s="1"/>
  <c r="DN98" i="55" s="1"/>
  <c r="DO98" i="55" s="1"/>
  <c r="DP98" i="55" s="1"/>
  <c r="DQ98" i="55" s="1"/>
  <c r="DR98" i="55" s="1"/>
  <c r="DS98" i="55" s="1"/>
  <c r="DT98" i="55" s="1"/>
  <c r="DU98" i="55" s="1"/>
  <c r="DV98" i="55" s="1"/>
  <c r="DW98" i="55" s="1"/>
  <c r="DX98" i="55" s="1"/>
  <c r="DY98" i="55" s="1"/>
  <c r="E75" i="55"/>
  <c r="BP75" i="55"/>
  <c r="CT75" i="55" s="1"/>
  <c r="BQ75" i="55" s="1"/>
  <c r="BR75" i="55" s="1"/>
  <c r="BS75" i="55" s="1"/>
  <c r="BT75" i="55" s="1"/>
  <c r="BU75" i="55" s="1"/>
  <c r="BV75" i="55" s="1"/>
  <c r="BW75" i="55" s="1"/>
  <c r="BX75" i="55" s="1"/>
  <c r="BY75" i="55" s="1"/>
  <c r="BZ75" i="55" s="1"/>
  <c r="CA75" i="55" s="1"/>
  <c r="CB75" i="55" s="1"/>
  <c r="CC75" i="55" s="1"/>
  <c r="CD75" i="55" s="1"/>
  <c r="CE75" i="55" s="1"/>
  <c r="CF75" i="55" s="1"/>
  <c r="CG75" i="55" s="1"/>
  <c r="CH75" i="55" s="1"/>
  <c r="CI75" i="55" s="1"/>
  <c r="CJ75" i="55" s="1"/>
  <c r="CK75" i="55" s="1"/>
  <c r="CL75" i="55" s="1"/>
  <c r="CM75" i="55" s="1"/>
  <c r="CN75" i="55" s="1"/>
  <c r="CO75" i="55" s="1"/>
  <c r="CP75" i="55" s="1"/>
  <c r="CQ75" i="55" s="1"/>
  <c r="CR75" i="55" s="1"/>
  <c r="CS75" i="55" s="1"/>
  <c r="AJ75" i="55"/>
  <c r="CV75" i="55" s="1"/>
  <c r="AJ121" i="55"/>
  <c r="CV121" i="55" s="1"/>
  <c r="BP121" i="55"/>
  <c r="E121" i="55"/>
  <c r="AM123" i="55"/>
  <c r="H123" i="55"/>
  <c r="BP118" i="55"/>
  <c r="AJ118" i="55"/>
  <c r="CV118" i="55" s="1"/>
  <c r="E118" i="55"/>
  <c r="F71" i="55"/>
  <c r="AK71" i="55"/>
  <c r="CW71" i="55" s="1"/>
  <c r="BP74" i="55"/>
  <c r="CT74" i="55" s="1"/>
  <c r="BQ74" i="55" s="1"/>
  <c r="BR74" i="55" s="1"/>
  <c r="BS74" i="55" s="1"/>
  <c r="BT74" i="55" s="1"/>
  <c r="BU74" i="55" s="1"/>
  <c r="BV74" i="55" s="1"/>
  <c r="BW74" i="55" s="1"/>
  <c r="BX74" i="55" s="1"/>
  <c r="BY74" i="55" s="1"/>
  <c r="BZ74" i="55" s="1"/>
  <c r="CA74" i="55" s="1"/>
  <c r="CB74" i="55" s="1"/>
  <c r="CC74" i="55" s="1"/>
  <c r="CD74" i="55" s="1"/>
  <c r="CE74" i="55" s="1"/>
  <c r="CF74" i="55" s="1"/>
  <c r="CG74" i="55" s="1"/>
  <c r="CH74" i="55" s="1"/>
  <c r="CI74" i="55" s="1"/>
  <c r="CJ74" i="55" s="1"/>
  <c r="CK74" i="55" s="1"/>
  <c r="CL74" i="55" s="1"/>
  <c r="CM74" i="55" s="1"/>
  <c r="CN74" i="55" s="1"/>
  <c r="CO74" i="55" s="1"/>
  <c r="CP74" i="55" s="1"/>
  <c r="CQ74" i="55" s="1"/>
  <c r="CR74" i="55" s="1"/>
  <c r="CS74" i="55" s="1"/>
  <c r="E74" i="55"/>
  <c r="AJ74" i="55"/>
  <c r="CV74" i="55" s="1"/>
  <c r="E120" i="55"/>
  <c r="BP120" i="55"/>
  <c r="AJ120" i="55"/>
  <c r="CV120" i="55" s="1"/>
  <c r="BP93" i="55"/>
  <c r="AJ93" i="55"/>
  <c r="CV93" i="55" s="1"/>
  <c r="E93" i="55"/>
  <c r="BP76" i="55"/>
  <c r="AJ76" i="55"/>
  <c r="CV76" i="55" s="1"/>
  <c r="E97" i="55"/>
  <c r="AJ97" i="55"/>
  <c r="CV97" i="55" s="1"/>
  <c r="BP97" i="55"/>
  <c r="H101" i="55"/>
  <c r="AM101" i="55"/>
  <c r="AN100" i="55"/>
  <c r="I100" i="55"/>
  <c r="H78" i="55"/>
  <c r="AM78" i="55"/>
  <c r="AN77" i="55"/>
  <c r="I77" i="55"/>
  <c r="E52" i="55"/>
  <c r="BP52" i="55"/>
  <c r="AJ52" i="55"/>
  <c r="CV52" i="55" s="1"/>
  <c r="AJ30" i="55"/>
  <c r="CV30" i="55" s="1"/>
  <c r="E24" i="55"/>
  <c r="AK24" i="55" s="1"/>
  <c r="CW24" i="55" s="1"/>
  <c r="BN50" i="55"/>
  <c r="E47" i="55"/>
  <c r="BP47" i="55"/>
  <c r="CT47" i="55" s="1"/>
  <c r="BQ47" i="55" s="1"/>
  <c r="BR47" i="55" s="1"/>
  <c r="BS47" i="55" s="1"/>
  <c r="BT47" i="55" s="1"/>
  <c r="BU47" i="55" s="1"/>
  <c r="BV47" i="55" s="1"/>
  <c r="BW47" i="55" s="1"/>
  <c r="BX47" i="55" s="1"/>
  <c r="BY47" i="55" s="1"/>
  <c r="BZ47" i="55" s="1"/>
  <c r="CA47" i="55" s="1"/>
  <c r="CB47" i="55" s="1"/>
  <c r="CC47" i="55" s="1"/>
  <c r="CD47" i="55" s="1"/>
  <c r="CE47" i="55" s="1"/>
  <c r="CF47" i="55" s="1"/>
  <c r="CG47" i="55" s="1"/>
  <c r="CH47" i="55" s="1"/>
  <c r="CI47" i="55" s="1"/>
  <c r="CJ47" i="55" s="1"/>
  <c r="CK47" i="55" s="1"/>
  <c r="CL47" i="55" s="1"/>
  <c r="CM47" i="55" s="1"/>
  <c r="CN47" i="55" s="1"/>
  <c r="CO47" i="55" s="1"/>
  <c r="CP47" i="55" s="1"/>
  <c r="CQ47" i="55" s="1"/>
  <c r="CR47" i="55" s="1"/>
  <c r="CS47" i="55" s="1"/>
  <c r="AJ47" i="55"/>
  <c r="CV47" i="55" s="1"/>
  <c r="E49" i="55"/>
  <c r="BP49" i="55"/>
  <c r="CT49" i="55" s="1"/>
  <c r="BQ49" i="55" s="1"/>
  <c r="BR49" i="55" s="1"/>
  <c r="BS49" i="55" s="1"/>
  <c r="BT49" i="55" s="1"/>
  <c r="BU49" i="55" s="1"/>
  <c r="BV49" i="55" s="1"/>
  <c r="BW49" i="55" s="1"/>
  <c r="BX49" i="55" s="1"/>
  <c r="BY49" i="55" s="1"/>
  <c r="BZ49" i="55" s="1"/>
  <c r="CA49" i="55" s="1"/>
  <c r="CB49" i="55" s="1"/>
  <c r="CC49" i="55" s="1"/>
  <c r="CD49" i="55" s="1"/>
  <c r="CE49" i="55" s="1"/>
  <c r="CF49" i="55" s="1"/>
  <c r="CG49" i="55" s="1"/>
  <c r="CH49" i="55" s="1"/>
  <c r="CI49" i="55" s="1"/>
  <c r="CJ49" i="55" s="1"/>
  <c r="CK49" i="55" s="1"/>
  <c r="CL49" i="55" s="1"/>
  <c r="CM49" i="55" s="1"/>
  <c r="CN49" i="55" s="1"/>
  <c r="CO49" i="55" s="1"/>
  <c r="CP49" i="55" s="1"/>
  <c r="CQ49" i="55" s="1"/>
  <c r="CR49" i="55" s="1"/>
  <c r="CS49" i="55" s="1"/>
  <c r="AJ49" i="55"/>
  <c r="CV49" i="55" s="1"/>
  <c r="BN26" i="55"/>
  <c r="DZ26" i="55" s="1"/>
  <c r="BP50" i="55"/>
  <c r="AJ50" i="55"/>
  <c r="CV50" i="55" s="1"/>
  <c r="AK48" i="55"/>
  <c r="CW48" i="55" s="1"/>
  <c r="F48" i="55"/>
  <c r="AJ51" i="55"/>
  <c r="CV51" i="55" s="1"/>
  <c r="E51" i="55"/>
  <c r="BP51" i="55"/>
  <c r="CT51" i="55" s="1"/>
  <c r="BQ51" i="55" s="1"/>
  <c r="BR51" i="55" s="1"/>
  <c r="BS51" i="55" s="1"/>
  <c r="BT51" i="55" s="1"/>
  <c r="BU51" i="55" s="1"/>
  <c r="BV51" i="55" s="1"/>
  <c r="BW51" i="55" s="1"/>
  <c r="BX51" i="55" s="1"/>
  <c r="BY51" i="55" s="1"/>
  <c r="BZ51" i="55" s="1"/>
  <c r="CA51" i="55" s="1"/>
  <c r="CB51" i="55" s="1"/>
  <c r="CC51" i="55" s="1"/>
  <c r="CD51" i="55" s="1"/>
  <c r="CE51" i="55" s="1"/>
  <c r="CF51" i="55" s="1"/>
  <c r="CG51" i="55" s="1"/>
  <c r="CH51" i="55" s="1"/>
  <c r="CI51" i="55" s="1"/>
  <c r="CJ51" i="55" s="1"/>
  <c r="CK51" i="55" s="1"/>
  <c r="CL51" i="55" s="1"/>
  <c r="CM51" i="55" s="1"/>
  <c r="CN51" i="55" s="1"/>
  <c r="CO51" i="55" s="1"/>
  <c r="CP51" i="55" s="1"/>
  <c r="CQ51" i="55" s="1"/>
  <c r="CR51" i="55" s="1"/>
  <c r="CS51" i="55" s="1"/>
  <c r="AH30" i="55"/>
  <c r="BN30" i="55" s="1"/>
  <c r="AH53" i="55"/>
  <c r="BN53" i="55" s="1"/>
  <c r="BP53" i="55"/>
  <c r="AJ53" i="55"/>
  <c r="CV53" i="55" s="1"/>
  <c r="AN55" i="55"/>
  <c r="I55" i="55"/>
  <c r="I54" i="55"/>
  <c r="AN54" i="55"/>
  <c r="F29" i="55"/>
  <c r="AK29" i="55"/>
  <c r="G25" i="55"/>
  <c r="AL25" i="55"/>
  <c r="CX25" i="55" s="1"/>
  <c r="CT24" i="55"/>
  <c r="BQ24" i="55" s="1"/>
  <c r="G31" i="55"/>
  <c r="AL31" i="55"/>
  <c r="G32" i="55"/>
  <c r="AL32" i="55"/>
  <c r="CT30" i="55"/>
  <c r="BQ30" i="55" s="1"/>
  <c r="BR30" i="55" s="1"/>
  <c r="BS30" i="55" s="1"/>
  <c r="BT30" i="55" s="1"/>
  <c r="BU30" i="55" s="1"/>
  <c r="BV30" i="55" s="1"/>
  <c r="BW30" i="55" s="1"/>
  <c r="BX30" i="55" s="1"/>
  <c r="BY30" i="55" s="1"/>
  <c r="BZ30" i="55" s="1"/>
  <c r="CA30" i="55" s="1"/>
  <c r="CB30" i="55" s="1"/>
  <c r="CC30" i="55" s="1"/>
  <c r="CD30" i="55" s="1"/>
  <c r="CE30" i="55" s="1"/>
  <c r="CF30" i="55" s="1"/>
  <c r="CG30" i="55" s="1"/>
  <c r="CH30" i="55" s="1"/>
  <c r="CI30" i="55" s="1"/>
  <c r="CJ30" i="55" s="1"/>
  <c r="CK30" i="55" s="1"/>
  <c r="CL30" i="55" s="1"/>
  <c r="CM30" i="55" s="1"/>
  <c r="CN30" i="55" s="1"/>
  <c r="CO30" i="55" s="1"/>
  <c r="CP30" i="55" s="1"/>
  <c r="CQ30" i="55" s="1"/>
  <c r="CR30" i="55" s="1"/>
  <c r="CS30" i="55" s="1"/>
  <c r="F28" i="55"/>
  <c r="AK28" i="55"/>
  <c r="CW28" i="55" s="1"/>
  <c r="C189" i="55"/>
  <c r="N35" i="52"/>
  <c r="P35" i="52"/>
  <c r="Q35" i="52"/>
  <c r="R35" i="52"/>
  <c r="S35" i="52"/>
  <c r="T35" i="52"/>
  <c r="U35" i="52"/>
  <c r="V35" i="52"/>
  <c r="D32" i="52"/>
  <c r="C25" i="52"/>
  <c r="DZ53" i="55" l="1"/>
  <c r="DZ168" i="55"/>
  <c r="CW145" i="55"/>
  <c r="CX145" i="55" s="1"/>
  <c r="CY145" i="55" s="1"/>
  <c r="CZ145" i="55" s="1"/>
  <c r="DA145" i="55" s="1"/>
  <c r="DB145" i="55" s="1"/>
  <c r="DC145" i="55" s="1"/>
  <c r="DD145" i="55" s="1"/>
  <c r="DE145" i="55" s="1"/>
  <c r="DF145" i="55" s="1"/>
  <c r="DG145" i="55" s="1"/>
  <c r="DH145" i="55" s="1"/>
  <c r="DI145" i="55" s="1"/>
  <c r="DJ145" i="55" s="1"/>
  <c r="DK145" i="55" s="1"/>
  <c r="DL145" i="55" s="1"/>
  <c r="DM145" i="55" s="1"/>
  <c r="DN145" i="55" s="1"/>
  <c r="DO145" i="55" s="1"/>
  <c r="DP145" i="55" s="1"/>
  <c r="DQ145" i="55" s="1"/>
  <c r="DR145" i="55" s="1"/>
  <c r="DS145" i="55" s="1"/>
  <c r="DT145" i="55" s="1"/>
  <c r="DU145" i="55" s="1"/>
  <c r="DV145" i="55" s="1"/>
  <c r="DW145" i="55" s="1"/>
  <c r="DX145" i="55" s="1"/>
  <c r="DY145" i="55" s="1"/>
  <c r="CT50" i="55"/>
  <c r="DZ50" i="55"/>
  <c r="DZ122" i="55"/>
  <c r="DZ76" i="55"/>
  <c r="CW75" i="55"/>
  <c r="CX75" i="55" s="1"/>
  <c r="CY75" i="55" s="1"/>
  <c r="CZ75" i="55" s="1"/>
  <c r="DA75" i="55" s="1"/>
  <c r="DB75" i="55" s="1"/>
  <c r="DC75" i="55" s="1"/>
  <c r="DD75" i="55" s="1"/>
  <c r="DE75" i="55" s="1"/>
  <c r="DF75" i="55" s="1"/>
  <c r="DG75" i="55" s="1"/>
  <c r="DH75" i="55" s="1"/>
  <c r="DI75" i="55" s="1"/>
  <c r="DJ75" i="55" s="1"/>
  <c r="DK75" i="55" s="1"/>
  <c r="DL75" i="55" s="1"/>
  <c r="DM75" i="55" s="1"/>
  <c r="DN75" i="55" s="1"/>
  <c r="DO75" i="55" s="1"/>
  <c r="DP75" i="55" s="1"/>
  <c r="DQ75" i="55" s="1"/>
  <c r="DR75" i="55" s="1"/>
  <c r="DS75" i="55" s="1"/>
  <c r="DT75" i="55" s="1"/>
  <c r="DU75" i="55" s="1"/>
  <c r="DV75" i="55" s="1"/>
  <c r="DW75" i="55" s="1"/>
  <c r="DX75" i="55" s="1"/>
  <c r="DY75" i="55" s="1"/>
  <c r="CT119" i="55"/>
  <c r="DZ119" i="55"/>
  <c r="DZ99" i="55"/>
  <c r="CW99" i="55"/>
  <c r="CX99" i="55" s="1"/>
  <c r="CY99" i="55" s="1"/>
  <c r="CZ99" i="55" s="1"/>
  <c r="DA99" i="55" s="1"/>
  <c r="DB99" i="55" s="1"/>
  <c r="DC99" i="55" s="1"/>
  <c r="DD99" i="55" s="1"/>
  <c r="DE99" i="55" s="1"/>
  <c r="DF99" i="55" s="1"/>
  <c r="DG99" i="55" s="1"/>
  <c r="DH99" i="55" s="1"/>
  <c r="DI99" i="55" s="1"/>
  <c r="DJ99" i="55" s="1"/>
  <c r="DK99" i="55" s="1"/>
  <c r="DL99" i="55" s="1"/>
  <c r="DM99" i="55" s="1"/>
  <c r="DN99" i="55" s="1"/>
  <c r="DO99" i="55" s="1"/>
  <c r="DP99" i="55" s="1"/>
  <c r="DQ99" i="55" s="1"/>
  <c r="DR99" i="55" s="1"/>
  <c r="DS99" i="55" s="1"/>
  <c r="DT99" i="55" s="1"/>
  <c r="DU99" i="55" s="1"/>
  <c r="DV99" i="55" s="1"/>
  <c r="DW99" i="55" s="1"/>
  <c r="DX99" i="55" s="1"/>
  <c r="DY99" i="55" s="1"/>
  <c r="CW29" i="55"/>
  <c r="CX29" i="55" s="1"/>
  <c r="CY29" i="55" s="1"/>
  <c r="CZ29" i="55" s="1"/>
  <c r="DA29" i="55" s="1"/>
  <c r="DB29" i="55" s="1"/>
  <c r="DC29" i="55" s="1"/>
  <c r="DD29" i="55" s="1"/>
  <c r="DE29" i="55" s="1"/>
  <c r="DF29" i="55" s="1"/>
  <c r="DG29" i="55" s="1"/>
  <c r="DH29" i="55" s="1"/>
  <c r="DI29" i="55" s="1"/>
  <c r="DJ29" i="55" s="1"/>
  <c r="DK29" i="55" s="1"/>
  <c r="DL29" i="55" s="1"/>
  <c r="DM29" i="55" s="1"/>
  <c r="DN29" i="55" s="1"/>
  <c r="DO29" i="55" s="1"/>
  <c r="DP29" i="55" s="1"/>
  <c r="DQ29" i="55" s="1"/>
  <c r="DR29" i="55" s="1"/>
  <c r="DS29" i="55" s="1"/>
  <c r="DT29" i="55" s="1"/>
  <c r="DU29" i="55" s="1"/>
  <c r="DV29" i="55" s="1"/>
  <c r="DW29" i="55" s="1"/>
  <c r="DX29" i="55" s="1"/>
  <c r="DY29" i="55" s="1"/>
  <c r="CW30" i="55"/>
  <c r="CX30" i="55" s="1"/>
  <c r="CY30" i="55" s="1"/>
  <c r="CZ30" i="55" s="1"/>
  <c r="DA30" i="55" s="1"/>
  <c r="DB30" i="55" s="1"/>
  <c r="DC30" i="55" s="1"/>
  <c r="DD30" i="55" s="1"/>
  <c r="DE30" i="55" s="1"/>
  <c r="DF30" i="55" s="1"/>
  <c r="DG30" i="55" s="1"/>
  <c r="DH30" i="55" s="1"/>
  <c r="DI30" i="55" s="1"/>
  <c r="DJ30" i="55" s="1"/>
  <c r="DK30" i="55" s="1"/>
  <c r="DL30" i="55" s="1"/>
  <c r="DM30" i="55" s="1"/>
  <c r="DN30" i="55" s="1"/>
  <c r="DO30" i="55" s="1"/>
  <c r="DP30" i="55" s="1"/>
  <c r="DQ30" i="55" s="1"/>
  <c r="DR30" i="55" s="1"/>
  <c r="DS30" i="55" s="1"/>
  <c r="DT30" i="55" s="1"/>
  <c r="DU30" i="55" s="1"/>
  <c r="DV30" i="55" s="1"/>
  <c r="DW30" i="55" s="1"/>
  <c r="DX30" i="55" s="1"/>
  <c r="DY30" i="55" s="1"/>
  <c r="DZ30" i="55"/>
  <c r="BV75" i="59"/>
  <c r="BX2" i="59"/>
  <c r="BW66" i="59"/>
  <c r="BW67" i="59"/>
  <c r="BW68" i="59"/>
  <c r="BW69" i="59"/>
  <c r="BW61" i="59"/>
  <c r="BW70" i="59"/>
  <c r="BW62" i="59"/>
  <c r="BW65" i="59"/>
  <c r="BW73" i="59"/>
  <c r="BW64" i="59"/>
  <c r="BW72" i="59"/>
  <c r="BW74" i="59"/>
  <c r="BW63" i="59"/>
  <c r="BW71" i="59"/>
  <c r="BP164" i="55"/>
  <c r="CT164" i="55" s="1"/>
  <c r="BQ164" i="55" s="1"/>
  <c r="BR164" i="55" s="1"/>
  <c r="BS164" i="55" s="1"/>
  <c r="BT164" i="55" s="1"/>
  <c r="BU164" i="55" s="1"/>
  <c r="BV164" i="55" s="1"/>
  <c r="BW164" i="55" s="1"/>
  <c r="BX164" i="55" s="1"/>
  <c r="BY164" i="55" s="1"/>
  <c r="BZ164" i="55" s="1"/>
  <c r="CA164" i="55" s="1"/>
  <c r="CB164" i="55" s="1"/>
  <c r="CC164" i="55" s="1"/>
  <c r="CD164" i="55" s="1"/>
  <c r="CE164" i="55" s="1"/>
  <c r="CF164" i="55" s="1"/>
  <c r="CG164" i="55" s="1"/>
  <c r="CH164" i="55" s="1"/>
  <c r="CI164" i="55" s="1"/>
  <c r="CJ164" i="55" s="1"/>
  <c r="CK164" i="55" s="1"/>
  <c r="CL164" i="55" s="1"/>
  <c r="CM164" i="55" s="1"/>
  <c r="CN164" i="55" s="1"/>
  <c r="CO164" i="55" s="1"/>
  <c r="CP164" i="55" s="1"/>
  <c r="CQ164" i="55" s="1"/>
  <c r="CR164" i="55" s="1"/>
  <c r="CS164" i="55" s="1"/>
  <c r="AJ164" i="55"/>
  <c r="CV164" i="55" s="1"/>
  <c r="AK145" i="55"/>
  <c r="F145" i="55"/>
  <c r="E165" i="55"/>
  <c r="BP165" i="55"/>
  <c r="AL143" i="55"/>
  <c r="CX143" i="55" s="1"/>
  <c r="G143" i="55"/>
  <c r="E30" i="55"/>
  <c r="F30" i="55" s="1"/>
  <c r="H140" i="55"/>
  <c r="AM140" i="55"/>
  <c r="CY140" i="55" s="1"/>
  <c r="AL144" i="55"/>
  <c r="G144" i="55"/>
  <c r="G139" i="55"/>
  <c r="AL139" i="55"/>
  <c r="CX139" i="55" s="1"/>
  <c r="J147" i="55"/>
  <c r="AO147" i="55"/>
  <c r="AP146" i="55"/>
  <c r="K146" i="55"/>
  <c r="I169" i="55"/>
  <c r="AN169" i="55"/>
  <c r="E168" i="55"/>
  <c r="BN165" i="55"/>
  <c r="DZ165" i="55" s="1"/>
  <c r="F162" i="55"/>
  <c r="AK162" i="55"/>
  <c r="CW162" i="55" s="1"/>
  <c r="CT167" i="55"/>
  <c r="BQ167" i="55" s="1"/>
  <c r="BR167" i="55" s="1"/>
  <c r="BS167" i="55" s="1"/>
  <c r="BT167" i="55" s="1"/>
  <c r="BU167" i="55" s="1"/>
  <c r="BV167" i="55" s="1"/>
  <c r="BW167" i="55" s="1"/>
  <c r="BX167" i="55" s="1"/>
  <c r="BY167" i="55" s="1"/>
  <c r="BZ167" i="55" s="1"/>
  <c r="CA167" i="55" s="1"/>
  <c r="CB167" i="55" s="1"/>
  <c r="CC167" i="55" s="1"/>
  <c r="CD167" i="55" s="1"/>
  <c r="CE167" i="55" s="1"/>
  <c r="CF167" i="55" s="1"/>
  <c r="CG167" i="55" s="1"/>
  <c r="CH167" i="55" s="1"/>
  <c r="CI167" i="55" s="1"/>
  <c r="CJ167" i="55" s="1"/>
  <c r="CK167" i="55" s="1"/>
  <c r="CL167" i="55" s="1"/>
  <c r="CM167" i="55" s="1"/>
  <c r="CN167" i="55" s="1"/>
  <c r="CO167" i="55" s="1"/>
  <c r="CP167" i="55" s="1"/>
  <c r="CQ167" i="55" s="1"/>
  <c r="CR167" i="55" s="1"/>
  <c r="CS167" i="55" s="1"/>
  <c r="CT168" i="55"/>
  <c r="BQ168" i="55" s="1"/>
  <c r="BR168" i="55" s="1"/>
  <c r="BS168" i="55" s="1"/>
  <c r="BT168" i="55" s="1"/>
  <c r="BU168" i="55" s="1"/>
  <c r="BV168" i="55" s="1"/>
  <c r="BW168" i="55" s="1"/>
  <c r="BX168" i="55" s="1"/>
  <c r="BY168" i="55" s="1"/>
  <c r="BZ168" i="55" s="1"/>
  <c r="CA168" i="55" s="1"/>
  <c r="CB168" i="55" s="1"/>
  <c r="CC168" i="55" s="1"/>
  <c r="CD168" i="55" s="1"/>
  <c r="CE168" i="55" s="1"/>
  <c r="CF168" i="55" s="1"/>
  <c r="CG168" i="55" s="1"/>
  <c r="CH168" i="55" s="1"/>
  <c r="CI168" i="55" s="1"/>
  <c r="CJ168" i="55" s="1"/>
  <c r="CK168" i="55" s="1"/>
  <c r="CL168" i="55" s="1"/>
  <c r="CM168" i="55" s="1"/>
  <c r="CN168" i="55" s="1"/>
  <c r="CO168" i="55" s="1"/>
  <c r="CP168" i="55" s="1"/>
  <c r="CQ168" i="55" s="1"/>
  <c r="CR168" i="55" s="1"/>
  <c r="CS168" i="55" s="1"/>
  <c r="CT162" i="55"/>
  <c r="BQ162" i="55" s="1"/>
  <c r="F167" i="55"/>
  <c r="AK167" i="55"/>
  <c r="AL163" i="55"/>
  <c r="CX163" i="55" s="1"/>
  <c r="G163" i="55"/>
  <c r="AK165" i="55"/>
  <c r="CW165" i="55" s="1"/>
  <c r="F165" i="55"/>
  <c r="CT166" i="55"/>
  <c r="BQ166" i="55" s="1"/>
  <c r="BR166" i="55" s="1"/>
  <c r="BS166" i="55" s="1"/>
  <c r="BT166" i="55" s="1"/>
  <c r="BU166" i="55" s="1"/>
  <c r="BV166" i="55" s="1"/>
  <c r="BW166" i="55" s="1"/>
  <c r="BX166" i="55" s="1"/>
  <c r="BY166" i="55" s="1"/>
  <c r="BZ166" i="55" s="1"/>
  <c r="CA166" i="55" s="1"/>
  <c r="CB166" i="55" s="1"/>
  <c r="CC166" i="55" s="1"/>
  <c r="CD166" i="55" s="1"/>
  <c r="CE166" i="55" s="1"/>
  <c r="CF166" i="55" s="1"/>
  <c r="CG166" i="55" s="1"/>
  <c r="CH166" i="55" s="1"/>
  <c r="CI166" i="55" s="1"/>
  <c r="CJ166" i="55" s="1"/>
  <c r="CK166" i="55" s="1"/>
  <c r="CL166" i="55" s="1"/>
  <c r="CM166" i="55" s="1"/>
  <c r="CN166" i="55" s="1"/>
  <c r="CO166" i="55" s="1"/>
  <c r="CP166" i="55" s="1"/>
  <c r="CQ166" i="55" s="1"/>
  <c r="CR166" i="55" s="1"/>
  <c r="CS166" i="55" s="1"/>
  <c r="AP170" i="55"/>
  <c r="K170" i="55"/>
  <c r="F166" i="55"/>
  <c r="AK166" i="55"/>
  <c r="CW166" i="55" s="1"/>
  <c r="F164" i="55"/>
  <c r="AK164" i="55"/>
  <c r="CW164" i="55" s="1"/>
  <c r="I124" i="55"/>
  <c r="AN124" i="55"/>
  <c r="F24" i="55"/>
  <c r="AL24" i="55" s="1"/>
  <c r="CX24" i="55" s="1"/>
  <c r="E122" i="55"/>
  <c r="F122" i="55" s="1"/>
  <c r="BQ119" i="55"/>
  <c r="BR119" i="55" s="1"/>
  <c r="BS119" i="55" s="1"/>
  <c r="BT119" i="55" s="1"/>
  <c r="BU119" i="55" s="1"/>
  <c r="BV119" i="55" s="1"/>
  <c r="BW119" i="55" s="1"/>
  <c r="BX119" i="55" s="1"/>
  <c r="BY119" i="55" s="1"/>
  <c r="BZ119" i="55" s="1"/>
  <c r="CA119" i="55" s="1"/>
  <c r="CB119" i="55" s="1"/>
  <c r="CC119" i="55" s="1"/>
  <c r="CD119" i="55" s="1"/>
  <c r="CE119" i="55" s="1"/>
  <c r="CF119" i="55" s="1"/>
  <c r="CG119" i="55" s="1"/>
  <c r="CH119" i="55" s="1"/>
  <c r="CI119" i="55" s="1"/>
  <c r="CJ119" i="55" s="1"/>
  <c r="CK119" i="55" s="1"/>
  <c r="CL119" i="55" s="1"/>
  <c r="CM119" i="55" s="1"/>
  <c r="CN119" i="55" s="1"/>
  <c r="CO119" i="55" s="1"/>
  <c r="CP119" i="55" s="1"/>
  <c r="CQ119" i="55" s="1"/>
  <c r="CR119" i="55" s="1"/>
  <c r="CS119" i="55" s="1"/>
  <c r="F93" i="55"/>
  <c r="AK93" i="55"/>
  <c r="CW93" i="55" s="1"/>
  <c r="CT120" i="55"/>
  <c r="BQ120" i="55" s="1"/>
  <c r="BR120" i="55" s="1"/>
  <c r="BS120" i="55" s="1"/>
  <c r="BT120" i="55" s="1"/>
  <c r="BU120" i="55" s="1"/>
  <c r="BV120" i="55" s="1"/>
  <c r="BW120" i="55" s="1"/>
  <c r="BX120" i="55" s="1"/>
  <c r="BY120" i="55" s="1"/>
  <c r="BZ120" i="55" s="1"/>
  <c r="CA120" i="55" s="1"/>
  <c r="CB120" i="55" s="1"/>
  <c r="CC120" i="55" s="1"/>
  <c r="CD120" i="55" s="1"/>
  <c r="CE120" i="55" s="1"/>
  <c r="CF120" i="55" s="1"/>
  <c r="CG120" i="55" s="1"/>
  <c r="CH120" i="55" s="1"/>
  <c r="CI120" i="55" s="1"/>
  <c r="CJ120" i="55" s="1"/>
  <c r="CK120" i="55" s="1"/>
  <c r="CL120" i="55" s="1"/>
  <c r="CM120" i="55" s="1"/>
  <c r="CN120" i="55" s="1"/>
  <c r="CO120" i="55" s="1"/>
  <c r="CP120" i="55" s="1"/>
  <c r="CQ120" i="55" s="1"/>
  <c r="CR120" i="55" s="1"/>
  <c r="CS120" i="55" s="1"/>
  <c r="AK118" i="55"/>
  <c r="CW118" i="55" s="1"/>
  <c r="F118" i="55"/>
  <c r="F121" i="55"/>
  <c r="AK121" i="55"/>
  <c r="CT116" i="55"/>
  <c r="F97" i="55"/>
  <c r="AK97" i="55"/>
  <c r="CW97" i="55" s="1"/>
  <c r="F120" i="55"/>
  <c r="AK120" i="55"/>
  <c r="CW120" i="55" s="1"/>
  <c r="CT121" i="55"/>
  <c r="BQ121" i="55" s="1"/>
  <c r="BR121" i="55" s="1"/>
  <c r="BS121" i="55" s="1"/>
  <c r="BT121" i="55" s="1"/>
  <c r="BU121" i="55" s="1"/>
  <c r="BV121" i="55" s="1"/>
  <c r="BW121" i="55" s="1"/>
  <c r="BX121" i="55" s="1"/>
  <c r="BY121" i="55" s="1"/>
  <c r="BZ121" i="55" s="1"/>
  <c r="CA121" i="55" s="1"/>
  <c r="CB121" i="55" s="1"/>
  <c r="CC121" i="55" s="1"/>
  <c r="CD121" i="55" s="1"/>
  <c r="CE121" i="55" s="1"/>
  <c r="CF121" i="55" s="1"/>
  <c r="CG121" i="55" s="1"/>
  <c r="CH121" i="55" s="1"/>
  <c r="CI121" i="55" s="1"/>
  <c r="CJ121" i="55" s="1"/>
  <c r="CK121" i="55" s="1"/>
  <c r="CL121" i="55" s="1"/>
  <c r="CM121" i="55" s="1"/>
  <c r="CN121" i="55" s="1"/>
  <c r="CO121" i="55" s="1"/>
  <c r="CP121" i="55" s="1"/>
  <c r="CQ121" i="55" s="1"/>
  <c r="CR121" i="55" s="1"/>
  <c r="CS121" i="55" s="1"/>
  <c r="F70" i="55"/>
  <c r="AK70" i="55"/>
  <c r="CW70" i="55" s="1"/>
  <c r="G71" i="55"/>
  <c r="AL71" i="55"/>
  <c r="CX71" i="55" s="1"/>
  <c r="E76" i="55"/>
  <c r="AK74" i="55"/>
  <c r="CW74" i="55" s="1"/>
  <c r="F74" i="55"/>
  <c r="AN123" i="55"/>
  <c r="I123" i="55"/>
  <c r="AK98" i="55"/>
  <c r="F98" i="55"/>
  <c r="CT122" i="55"/>
  <c r="BQ122" i="55" s="1"/>
  <c r="BR122" i="55" s="1"/>
  <c r="BS122" i="55" s="1"/>
  <c r="BT122" i="55" s="1"/>
  <c r="BU122" i="55" s="1"/>
  <c r="BV122" i="55" s="1"/>
  <c r="BW122" i="55" s="1"/>
  <c r="BX122" i="55" s="1"/>
  <c r="BY122" i="55" s="1"/>
  <c r="BZ122" i="55" s="1"/>
  <c r="CA122" i="55" s="1"/>
  <c r="CB122" i="55" s="1"/>
  <c r="CC122" i="55" s="1"/>
  <c r="CD122" i="55" s="1"/>
  <c r="CE122" i="55" s="1"/>
  <c r="CF122" i="55" s="1"/>
  <c r="CG122" i="55" s="1"/>
  <c r="CH122" i="55" s="1"/>
  <c r="CI122" i="55" s="1"/>
  <c r="CJ122" i="55" s="1"/>
  <c r="CK122" i="55" s="1"/>
  <c r="CL122" i="55" s="1"/>
  <c r="CM122" i="55" s="1"/>
  <c r="CN122" i="55" s="1"/>
  <c r="CO122" i="55" s="1"/>
  <c r="CP122" i="55" s="1"/>
  <c r="CQ122" i="55" s="1"/>
  <c r="CR122" i="55" s="1"/>
  <c r="CS122" i="55" s="1"/>
  <c r="CT70" i="55"/>
  <c r="BQ70" i="55" s="1"/>
  <c r="CT93" i="55"/>
  <c r="BQ93" i="55" s="1"/>
  <c r="CT118" i="55"/>
  <c r="BQ118" i="55" s="1"/>
  <c r="BR118" i="55" s="1"/>
  <c r="BS118" i="55" s="1"/>
  <c r="BT118" i="55" s="1"/>
  <c r="BU118" i="55" s="1"/>
  <c r="BV118" i="55" s="1"/>
  <c r="BW118" i="55" s="1"/>
  <c r="BX118" i="55" s="1"/>
  <c r="BY118" i="55" s="1"/>
  <c r="BZ118" i="55" s="1"/>
  <c r="CA118" i="55" s="1"/>
  <c r="CB118" i="55" s="1"/>
  <c r="CC118" i="55" s="1"/>
  <c r="CD118" i="55" s="1"/>
  <c r="CE118" i="55" s="1"/>
  <c r="CF118" i="55" s="1"/>
  <c r="CG118" i="55" s="1"/>
  <c r="CH118" i="55" s="1"/>
  <c r="CI118" i="55" s="1"/>
  <c r="CJ118" i="55" s="1"/>
  <c r="CK118" i="55" s="1"/>
  <c r="CL118" i="55" s="1"/>
  <c r="CM118" i="55" s="1"/>
  <c r="CN118" i="55" s="1"/>
  <c r="CO118" i="55" s="1"/>
  <c r="CP118" i="55" s="1"/>
  <c r="CQ118" i="55" s="1"/>
  <c r="CR118" i="55" s="1"/>
  <c r="CS118" i="55" s="1"/>
  <c r="G117" i="55"/>
  <c r="AL117" i="55"/>
  <c r="CX117" i="55" s="1"/>
  <c r="E119" i="55"/>
  <c r="CT76" i="55"/>
  <c r="BQ76" i="55" s="1"/>
  <c r="BR76" i="55" s="1"/>
  <c r="BS76" i="55" s="1"/>
  <c r="BT76" i="55" s="1"/>
  <c r="BU76" i="55" s="1"/>
  <c r="BV76" i="55" s="1"/>
  <c r="BW76" i="55" s="1"/>
  <c r="BX76" i="55" s="1"/>
  <c r="BY76" i="55" s="1"/>
  <c r="BZ76" i="55" s="1"/>
  <c r="CA76" i="55" s="1"/>
  <c r="CB76" i="55" s="1"/>
  <c r="CC76" i="55" s="1"/>
  <c r="CD76" i="55" s="1"/>
  <c r="CE76" i="55" s="1"/>
  <c r="CF76" i="55" s="1"/>
  <c r="CG76" i="55" s="1"/>
  <c r="CH76" i="55" s="1"/>
  <c r="CI76" i="55" s="1"/>
  <c r="CJ76" i="55" s="1"/>
  <c r="CK76" i="55" s="1"/>
  <c r="CL76" i="55" s="1"/>
  <c r="CM76" i="55" s="1"/>
  <c r="CN76" i="55" s="1"/>
  <c r="CO76" i="55" s="1"/>
  <c r="CP76" i="55" s="1"/>
  <c r="CQ76" i="55" s="1"/>
  <c r="CR76" i="55" s="1"/>
  <c r="CS76" i="55" s="1"/>
  <c r="G94" i="55"/>
  <c r="AL94" i="55"/>
  <c r="CX94" i="55" s="1"/>
  <c r="AK116" i="55"/>
  <c r="CW116" i="55" s="1"/>
  <c r="F116" i="55"/>
  <c r="E53" i="55"/>
  <c r="F53" i="55" s="1"/>
  <c r="CT97" i="55"/>
  <c r="F75" i="55"/>
  <c r="AK75" i="55"/>
  <c r="E99" i="55"/>
  <c r="I101" i="55"/>
  <c r="AN101" i="55"/>
  <c r="J100" i="55"/>
  <c r="AO100" i="55"/>
  <c r="I78" i="55"/>
  <c r="AN78" i="55"/>
  <c r="J77" i="55"/>
  <c r="AO77" i="55"/>
  <c r="BQ50" i="55"/>
  <c r="BR50" i="55" s="1"/>
  <c r="BS50" i="55" s="1"/>
  <c r="BT50" i="55" s="1"/>
  <c r="BU50" i="55" s="1"/>
  <c r="BV50" i="55" s="1"/>
  <c r="BW50" i="55" s="1"/>
  <c r="BX50" i="55" s="1"/>
  <c r="BY50" i="55" s="1"/>
  <c r="BZ50" i="55" s="1"/>
  <c r="CA50" i="55" s="1"/>
  <c r="CB50" i="55" s="1"/>
  <c r="CC50" i="55" s="1"/>
  <c r="CD50" i="55" s="1"/>
  <c r="CE50" i="55" s="1"/>
  <c r="CF50" i="55" s="1"/>
  <c r="CG50" i="55" s="1"/>
  <c r="CH50" i="55" s="1"/>
  <c r="CI50" i="55" s="1"/>
  <c r="CJ50" i="55" s="1"/>
  <c r="CK50" i="55" s="1"/>
  <c r="CL50" i="55" s="1"/>
  <c r="CM50" i="55" s="1"/>
  <c r="CN50" i="55" s="1"/>
  <c r="CO50" i="55" s="1"/>
  <c r="CP50" i="55" s="1"/>
  <c r="CQ50" i="55" s="1"/>
  <c r="CR50" i="55" s="1"/>
  <c r="CS50" i="55" s="1"/>
  <c r="F49" i="55"/>
  <c r="AK49" i="55"/>
  <c r="CW49" i="55" s="1"/>
  <c r="F47" i="55"/>
  <c r="AK47" i="55"/>
  <c r="CW47" i="55" s="1"/>
  <c r="G48" i="55"/>
  <c r="AL48" i="55"/>
  <c r="CX48" i="55" s="1"/>
  <c r="CT53" i="55"/>
  <c r="BQ53" i="55" s="1"/>
  <c r="BR53" i="55" s="1"/>
  <c r="BS53" i="55" s="1"/>
  <c r="BT53" i="55" s="1"/>
  <c r="BU53" i="55" s="1"/>
  <c r="BV53" i="55" s="1"/>
  <c r="BW53" i="55" s="1"/>
  <c r="BX53" i="55" s="1"/>
  <c r="BY53" i="55" s="1"/>
  <c r="BZ53" i="55" s="1"/>
  <c r="CA53" i="55" s="1"/>
  <c r="CB53" i="55" s="1"/>
  <c r="CC53" i="55" s="1"/>
  <c r="CD53" i="55" s="1"/>
  <c r="CE53" i="55" s="1"/>
  <c r="CF53" i="55" s="1"/>
  <c r="CG53" i="55" s="1"/>
  <c r="CH53" i="55" s="1"/>
  <c r="CI53" i="55" s="1"/>
  <c r="CJ53" i="55" s="1"/>
  <c r="CK53" i="55" s="1"/>
  <c r="CL53" i="55" s="1"/>
  <c r="CM53" i="55" s="1"/>
  <c r="CN53" i="55" s="1"/>
  <c r="CO53" i="55" s="1"/>
  <c r="CP53" i="55" s="1"/>
  <c r="CQ53" i="55" s="1"/>
  <c r="CR53" i="55" s="1"/>
  <c r="CS53" i="55" s="1"/>
  <c r="AK51" i="55"/>
  <c r="CW51" i="55" s="1"/>
  <c r="F51" i="55"/>
  <c r="E50" i="55"/>
  <c r="CT52" i="55"/>
  <c r="BQ52" i="55" s="1"/>
  <c r="BR52" i="55" s="1"/>
  <c r="BS52" i="55" s="1"/>
  <c r="BT52" i="55" s="1"/>
  <c r="BU52" i="55" s="1"/>
  <c r="BV52" i="55" s="1"/>
  <c r="BW52" i="55" s="1"/>
  <c r="BX52" i="55" s="1"/>
  <c r="BY52" i="55" s="1"/>
  <c r="BZ52" i="55" s="1"/>
  <c r="CA52" i="55" s="1"/>
  <c r="CB52" i="55" s="1"/>
  <c r="CC52" i="55" s="1"/>
  <c r="CD52" i="55" s="1"/>
  <c r="CE52" i="55" s="1"/>
  <c r="CF52" i="55" s="1"/>
  <c r="CG52" i="55" s="1"/>
  <c r="CH52" i="55" s="1"/>
  <c r="CI52" i="55" s="1"/>
  <c r="CJ52" i="55" s="1"/>
  <c r="CK52" i="55" s="1"/>
  <c r="CL52" i="55" s="1"/>
  <c r="CM52" i="55" s="1"/>
  <c r="CN52" i="55" s="1"/>
  <c r="CO52" i="55" s="1"/>
  <c r="CP52" i="55" s="1"/>
  <c r="CQ52" i="55" s="1"/>
  <c r="CR52" i="55" s="1"/>
  <c r="CS52" i="55" s="1"/>
  <c r="F52" i="55"/>
  <c r="AK52" i="55"/>
  <c r="J54" i="55"/>
  <c r="AO54" i="55"/>
  <c r="AO55" i="55"/>
  <c r="J55" i="55"/>
  <c r="BR24" i="55"/>
  <c r="G29" i="55"/>
  <c r="AL29" i="55"/>
  <c r="G28" i="55"/>
  <c r="AL28" i="55"/>
  <c r="CX28" i="55" s="1"/>
  <c r="H31" i="55"/>
  <c r="AM31" i="55"/>
  <c r="H25" i="55"/>
  <c r="AM25" i="55"/>
  <c r="CY25" i="55" s="1"/>
  <c r="H32" i="55"/>
  <c r="AM32" i="55"/>
  <c r="D205" i="55"/>
  <c r="C307" i="20"/>
  <c r="E204" i="55"/>
  <c r="F204" i="55" s="1"/>
  <c r="F205" i="55" s="1"/>
  <c r="CJ3" i="55"/>
  <c r="CK3" i="55" s="1"/>
  <c r="CL3" i="55" s="1"/>
  <c r="CM3" i="55" s="1"/>
  <c r="CN3" i="55" s="1"/>
  <c r="CO3" i="55" s="1"/>
  <c r="CP3" i="55" s="1"/>
  <c r="CQ3" i="55" s="1"/>
  <c r="CR3" i="55" s="1"/>
  <c r="CS3" i="55" s="1"/>
  <c r="CT3" i="55" s="1"/>
  <c r="AK3" i="55"/>
  <c r="AL3" i="55" s="1"/>
  <c r="AM3" i="55" s="1"/>
  <c r="E3" i="55"/>
  <c r="N251" i="54"/>
  <c r="O251" i="54" s="1"/>
  <c r="P251" i="54" s="1"/>
  <c r="D251" i="54"/>
  <c r="E251" i="54" s="1"/>
  <c r="F251" i="54" s="1"/>
  <c r="G251" i="54" s="1"/>
  <c r="D247" i="54"/>
  <c r="E247" i="54" s="1"/>
  <c r="F247" i="54" s="1"/>
  <c r="G247" i="54" s="1"/>
  <c r="H247" i="54" s="1"/>
  <c r="I247" i="54" s="1"/>
  <c r="J247" i="54" s="1"/>
  <c r="D242" i="54"/>
  <c r="E242" i="54" s="1"/>
  <c r="F242" i="54" s="1"/>
  <c r="G242" i="54" s="1"/>
  <c r="H242" i="54" s="1"/>
  <c r="I242" i="54" s="1"/>
  <c r="J242" i="54" s="1"/>
  <c r="K242" i="54" s="1"/>
  <c r="L242" i="54" s="1"/>
  <c r="M242" i="54" s="1"/>
  <c r="N242" i="54" s="1"/>
  <c r="O242" i="54" s="1"/>
  <c r="P242" i="54" s="1"/>
  <c r="Q242" i="54" s="1"/>
  <c r="R242" i="54" s="1"/>
  <c r="S242" i="54" s="1"/>
  <c r="T242" i="54" s="1"/>
  <c r="U242" i="54" s="1"/>
  <c r="V242" i="54" s="1"/>
  <c r="W242" i="54" s="1"/>
  <c r="X242" i="54" s="1"/>
  <c r="Y242" i="54" s="1"/>
  <c r="Z242" i="54" s="1"/>
  <c r="AA242" i="54" s="1"/>
  <c r="AB242" i="54" s="1"/>
  <c r="AC242" i="54" s="1"/>
  <c r="AD242" i="54" s="1"/>
  <c r="AE242" i="54" s="1"/>
  <c r="AF242" i="54" s="1"/>
  <c r="AG242" i="54" s="1"/>
  <c r="D196" i="54"/>
  <c r="E196" i="54" s="1"/>
  <c r="D195" i="54"/>
  <c r="D194" i="54"/>
  <c r="D193" i="54"/>
  <c r="D192" i="54"/>
  <c r="E192" i="54" s="1"/>
  <c r="F192" i="54" s="1"/>
  <c r="G192" i="54" s="1"/>
  <c r="D191" i="54"/>
  <c r="D190" i="54"/>
  <c r="E190" i="54" s="1"/>
  <c r="F190" i="54" s="1"/>
  <c r="G190" i="54" s="1"/>
  <c r="H190" i="54" s="1"/>
  <c r="I190" i="54" s="1"/>
  <c r="J190" i="54" s="1"/>
  <c r="K190" i="54" s="1"/>
  <c r="L190" i="54" s="1"/>
  <c r="M190" i="54" s="1"/>
  <c r="N190" i="54" s="1"/>
  <c r="O190" i="54" s="1"/>
  <c r="P190" i="54" s="1"/>
  <c r="Q190" i="54" s="1"/>
  <c r="R190" i="54" s="1"/>
  <c r="S190" i="54" s="1"/>
  <c r="T190" i="54" s="1"/>
  <c r="U190" i="54" s="1"/>
  <c r="V190" i="54" s="1"/>
  <c r="W190" i="54" s="1"/>
  <c r="X190" i="54" s="1"/>
  <c r="Y190" i="54" s="1"/>
  <c r="Z190" i="54" s="1"/>
  <c r="AA190" i="54" s="1"/>
  <c r="AB190" i="54" s="1"/>
  <c r="AC190" i="54" s="1"/>
  <c r="AD190" i="54" s="1"/>
  <c r="AE190" i="54" s="1"/>
  <c r="AF190" i="54" s="1"/>
  <c r="D189" i="54"/>
  <c r="E189" i="54" s="1"/>
  <c r="F189" i="54" s="1"/>
  <c r="G189" i="54" s="1"/>
  <c r="H189" i="54" s="1"/>
  <c r="I189" i="54" s="1"/>
  <c r="J189" i="54" s="1"/>
  <c r="K189" i="54" s="1"/>
  <c r="L189" i="54" s="1"/>
  <c r="M189" i="54" s="1"/>
  <c r="N189" i="54" s="1"/>
  <c r="O189" i="54" s="1"/>
  <c r="P189" i="54" s="1"/>
  <c r="Q189" i="54" s="1"/>
  <c r="R189" i="54" s="1"/>
  <c r="S189" i="54" s="1"/>
  <c r="T189" i="54" s="1"/>
  <c r="U189" i="54" s="1"/>
  <c r="V189" i="54" s="1"/>
  <c r="W189" i="54" s="1"/>
  <c r="X189" i="54" s="1"/>
  <c r="Y189" i="54" s="1"/>
  <c r="Z189" i="54" s="1"/>
  <c r="AA189" i="54" s="1"/>
  <c r="AB189" i="54" s="1"/>
  <c r="AC189" i="54" s="1"/>
  <c r="AD189" i="54" s="1"/>
  <c r="AE189" i="54" s="1"/>
  <c r="AF189" i="54" s="1"/>
  <c r="D188" i="54"/>
  <c r="E188" i="54" s="1"/>
  <c r="F188" i="54" s="1"/>
  <c r="G188" i="54" s="1"/>
  <c r="H188" i="54" s="1"/>
  <c r="I188" i="54" s="1"/>
  <c r="J188" i="54" s="1"/>
  <c r="K188" i="54" s="1"/>
  <c r="L188" i="54" s="1"/>
  <c r="M188" i="54" s="1"/>
  <c r="N188" i="54" s="1"/>
  <c r="O188" i="54" s="1"/>
  <c r="P188" i="54" s="1"/>
  <c r="Q188" i="54" s="1"/>
  <c r="R188" i="54" s="1"/>
  <c r="S188" i="54" s="1"/>
  <c r="T188" i="54" s="1"/>
  <c r="U188" i="54" s="1"/>
  <c r="V188" i="54" s="1"/>
  <c r="W188" i="54" s="1"/>
  <c r="X188" i="54" s="1"/>
  <c r="Y188" i="54" s="1"/>
  <c r="Z188" i="54" s="1"/>
  <c r="AA188" i="54" s="1"/>
  <c r="AB188" i="54" s="1"/>
  <c r="AC188" i="54" s="1"/>
  <c r="AD188" i="54" s="1"/>
  <c r="AE188" i="54" s="1"/>
  <c r="AF188" i="54" s="1"/>
  <c r="D187" i="54"/>
  <c r="D186" i="54"/>
  <c r="E186" i="54" s="1"/>
  <c r="D185" i="54"/>
  <c r="E185" i="54" s="1"/>
  <c r="D184" i="54"/>
  <c r="D183" i="54"/>
  <c r="E183" i="54" s="1"/>
  <c r="F183" i="54" s="1"/>
  <c r="G183" i="54" s="1"/>
  <c r="H183" i="54" s="1"/>
  <c r="I183" i="54" s="1"/>
  <c r="J183" i="54" s="1"/>
  <c r="K183" i="54" s="1"/>
  <c r="L183" i="54" s="1"/>
  <c r="M183" i="54" s="1"/>
  <c r="N183" i="54" s="1"/>
  <c r="O183" i="54" s="1"/>
  <c r="P183" i="54" s="1"/>
  <c r="Q183" i="54" s="1"/>
  <c r="R183" i="54" s="1"/>
  <c r="S183" i="54" s="1"/>
  <c r="T183" i="54" s="1"/>
  <c r="U183" i="54" s="1"/>
  <c r="V183" i="54" s="1"/>
  <c r="W183" i="54" s="1"/>
  <c r="X183" i="54" s="1"/>
  <c r="Y183" i="54" s="1"/>
  <c r="Z183" i="54" s="1"/>
  <c r="AA183" i="54" s="1"/>
  <c r="AB183" i="54" s="1"/>
  <c r="AC183" i="54" s="1"/>
  <c r="AD183" i="54" s="1"/>
  <c r="AE183" i="54" s="1"/>
  <c r="AF183" i="54" s="1"/>
  <c r="D182" i="54"/>
  <c r="E182" i="54" s="1"/>
  <c r="F182" i="54" s="1"/>
  <c r="G182" i="54" s="1"/>
  <c r="H182" i="54" s="1"/>
  <c r="I182" i="54" s="1"/>
  <c r="J182" i="54" s="1"/>
  <c r="K182" i="54" s="1"/>
  <c r="L182" i="54" s="1"/>
  <c r="M182" i="54" s="1"/>
  <c r="N182" i="54" s="1"/>
  <c r="O182" i="54" s="1"/>
  <c r="P182" i="54" s="1"/>
  <c r="Q182" i="54" s="1"/>
  <c r="R182" i="54" s="1"/>
  <c r="S182" i="54" s="1"/>
  <c r="T182" i="54" s="1"/>
  <c r="U182" i="54" s="1"/>
  <c r="V182" i="54" s="1"/>
  <c r="W182" i="54" s="1"/>
  <c r="X182" i="54" s="1"/>
  <c r="Y182" i="54" s="1"/>
  <c r="Z182" i="54" s="1"/>
  <c r="AA182" i="54" s="1"/>
  <c r="AB182" i="54" s="1"/>
  <c r="AC182" i="54" s="1"/>
  <c r="AD182" i="54" s="1"/>
  <c r="AE182" i="54" s="1"/>
  <c r="AF182" i="54" s="1"/>
  <c r="D181" i="54"/>
  <c r="E181" i="54" s="1"/>
  <c r="F181" i="54" s="1"/>
  <c r="D180" i="54"/>
  <c r="AG179" i="54"/>
  <c r="C179" i="54"/>
  <c r="D178" i="54"/>
  <c r="D177" i="54"/>
  <c r="E177" i="54" s="1"/>
  <c r="F177" i="54" s="1"/>
  <c r="G177" i="54" s="1"/>
  <c r="H177" i="54" s="1"/>
  <c r="I177" i="54" s="1"/>
  <c r="J177" i="54" s="1"/>
  <c r="K177" i="54" s="1"/>
  <c r="L177" i="54" s="1"/>
  <c r="M177" i="54" s="1"/>
  <c r="N177" i="54" s="1"/>
  <c r="O177" i="54" s="1"/>
  <c r="P177" i="54" s="1"/>
  <c r="Q177" i="54" s="1"/>
  <c r="R177" i="54" s="1"/>
  <c r="S177" i="54" s="1"/>
  <c r="T177" i="54" s="1"/>
  <c r="U177" i="54" s="1"/>
  <c r="V177" i="54" s="1"/>
  <c r="W177" i="54" s="1"/>
  <c r="X177" i="54" s="1"/>
  <c r="Y177" i="54" s="1"/>
  <c r="Z177" i="54" s="1"/>
  <c r="AA177" i="54" s="1"/>
  <c r="AB177" i="54" s="1"/>
  <c r="AC177" i="54" s="1"/>
  <c r="AD177" i="54" s="1"/>
  <c r="AE177" i="54" s="1"/>
  <c r="AF177" i="54" s="1"/>
  <c r="D175" i="54"/>
  <c r="D174" i="54"/>
  <c r="E174" i="54" s="1"/>
  <c r="D173" i="54"/>
  <c r="D172" i="54"/>
  <c r="E172" i="54" s="1"/>
  <c r="D171" i="54"/>
  <c r="E171" i="54" s="1"/>
  <c r="D170" i="54"/>
  <c r="E170" i="54" s="1"/>
  <c r="D169" i="54"/>
  <c r="E169" i="54" s="1"/>
  <c r="F169" i="54" s="1"/>
  <c r="G169" i="54" s="1"/>
  <c r="H169" i="54" s="1"/>
  <c r="I169" i="54" s="1"/>
  <c r="J169" i="54" s="1"/>
  <c r="K169" i="54" s="1"/>
  <c r="L169" i="54" s="1"/>
  <c r="M169" i="54" s="1"/>
  <c r="N169" i="54" s="1"/>
  <c r="O169" i="54" s="1"/>
  <c r="P169" i="54" s="1"/>
  <c r="Q169" i="54" s="1"/>
  <c r="R169" i="54" s="1"/>
  <c r="S169" i="54" s="1"/>
  <c r="T169" i="54" s="1"/>
  <c r="U169" i="54" s="1"/>
  <c r="V169" i="54" s="1"/>
  <c r="W169" i="54" s="1"/>
  <c r="X169" i="54" s="1"/>
  <c r="Y169" i="54" s="1"/>
  <c r="Z169" i="54" s="1"/>
  <c r="AA169" i="54" s="1"/>
  <c r="AB169" i="54" s="1"/>
  <c r="AC169" i="54" s="1"/>
  <c r="AD169" i="54" s="1"/>
  <c r="AE169" i="54" s="1"/>
  <c r="AF169" i="54" s="1"/>
  <c r="AG153" i="54"/>
  <c r="W153" i="54"/>
  <c r="M153" i="54"/>
  <c r="C153" i="54"/>
  <c r="AG148" i="54"/>
  <c r="C148" i="54"/>
  <c r="D147" i="54"/>
  <c r="E147" i="54" s="1"/>
  <c r="F147" i="54" s="1"/>
  <c r="G147" i="54" s="1"/>
  <c r="H147" i="54" s="1"/>
  <c r="I147" i="54" s="1"/>
  <c r="J147" i="54" s="1"/>
  <c r="K147" i="54" s="1"/>
  <c r="L147" i="54" s="1"/>
  <c r="M147" i="54" s="1"/>
  <c r="W145" i="54"/>
  <c r="W144" i="54" s="1"/>
  <c r="M145" i="54"/>
  <c r="AG144" i="54"/>
  <c r="C144" i="54"/>
  <c r="AG132" i="54"/>
  <c r="W132" i="54"/>
  <c r="W135" i="54" s="1"/>
  <c r="M132" i="54"/>
  <c r="M135" i="54" s="1"/>
  <c r="C124" i="54"/>
  <c r="D124" i="54" s="1"/>
  <c r="E124" i="54" s="1"/>
  <c r="F124" i="54" s="1"/>
  <c r="G124" i="54" s="1"/>
  <c r="H124" i="54" s="1"/>
  <c r="I124" i="54" s="1"/>
  <c r="J124" i="54" s="1"/>
  <c r="K124" i="54" s="1"/>
  <c r="L124" i="54" s="1"/>
  <c r="M124" i="54" s="1"/>
  <c r="D123" i="54"/>
  <c r="E123" i="54" s="1"/>
  <c r="F123" i="54" s="1"/>
  <c r="AG121" i="54"/>
  <c r="W121" i="54"/>
  <c r="M121" i="54"/>
  <c r="C121" i="54"/>
  <c r="AG120" i="54"/>
  <c r="AG131" i="54" s="1"/>
  <c r="W120" i="54"/>
  <c r="W131" i="54" s="1"/>
  <c r="M120" i="54"/>
  <c r="M131" i="54" s="1"/>
  <c r="C120" i="54"/>
  <c r="X118" i="54"/>
  <c r="X119" i="54" s="1"/>
  <c r="N118" i="54"/>
  <c r="N119" i="54" s="1"/>
  <c r="D118" i="54"/>
  <c r="D119" i="54" s="1"/>
  <c r="AG116" i="54"/>
  <c r="W116" i="54"/>
  <c r="M116" i="54"/>
  <c r="C116" i="54"/>
  <c r="C92" i="54"/>
  <c r="D92" i="54" s="1"/>
  <c r="E92" i="54" s="1"/>
  <c r="D91" i="54"/>
  <c r="E91" i="54" s="1"/>
  <c r="D90" i="54"/>
  <c r="AG87" i="54"/>
  <c r="AG100" i="54" s="1"/>
  <c r="C87" i="54"/>
  <c r="C100" i="54" s="1"/>
  <c r="AG86" i="54"/>
  <c r="AG88" i="54" s="1"/>
  <c r="AG101" i="54" s="1"/>
  <c r="C86" i="54"/>
  <c r="C88" i="54" s="1"/>
  <c r="D85" i="54"/>
  <c r="D86" i="54" s="1"/>
  <c r="W84" i="54"/>
  <c r="W83" i="54" s="1"/>
  <c r="M84" i="54"/>
  <c r="M83" i="54" s="1"/>
  <c r="AG83" i="54"/>
  <c r="C83" i="54"/>
  <c r="AG54" i="54"/>
  <c r="AF54" i="54"/>
  <c r="AE54" i="54"/>
  <c r="AD54" i="54"/>
  <c r="AC54" i="54"/>
  <c r="AB54" i="54"/>
  <c r="AA54" i="54"/>
  <c r="Z54" i="54"/>
  <c r="Y54" i="54"/>
  <c r="X54" i="54"/>
  <c r="W54" i="54"/>
  <c r="V54" i="54"/>
  <c r="U54" i="54"/>
  <c r="T54" i="54"/>
  <c r="S54" i="54"/>
  <c r="R54" i="54"/>
  <c r="Q54" i="54"/>
  <c r="P54" i="54"/>
  <c r="O54" i="54"/>
  <c r="N54" i="54"/>
  <c r="M54" i="54"/>
  <c r="L54" i="54"/>
  <c r="K54" i="54"/>
  <c r="J54" i="54"/>
  <c r="I54" i="54"/>
  <c r="H54" i="54"/>
  <c r="G54" i="54"/>
  <c r="F54" i="54"/>
  <c r="E54" i="54"/>
  <c r="D54" i="54"/>
  <c r="C54" i="54"/>
  <c r="AG52" i="54"/>
  <c r="AG49" i="54" s="1"/>
  <c r="W52" i="54"/>
  <c r="W49" i="54" s="1"/>
  <c r="M52" i="54"/>
  <c r="M49" i="54" s="1"/>
  <c r="C52" i="54"/>
  <c r="C49" i="54" s="1"/>
  <c r="C10" i="54"/>
  <c r="D10" i="54" s="1"/>
  <c r="E10" i="54" s="1"/>
  <c r="F10" i="54" s="1"/>
  <c r="G10" i="54" s="1"/>
  <c r="H10" i="54" s="1"/>
  <c r="I10" i="54" s="1"/>
  <c r="J10" i="54" s="1"/>
  <c r="K10" i="54" s="1"/>
  <c r="L10" i="54" s="1"/>
  <c r="M10" i="54" s="1"/>
  <c r="N10" i="54" s="1"/>
  <c r="O10" i="54" s="1"/>
  <c r="P10" i="54" s="1"/>
  <c r="Q10" i="54" s="1"/>
  <c r="R10" i="54" s="1"/>
  <c r="S10" i="54" s="1"/>
  <c r="T10" i="54" s="1"/>
  <c r="U10" i="54" s="1"/>
  <c r="V10" i="54" s="1"/>
  <c r="W10" i="54" s="1"/>
  <c r="X10" i="54" s="1"/>
  <c r="Y10" i="54" s="1"/>
  <c r="Z10" i="54" s="1"/>
  <c r="AA10" i="54" s="1"/>
  <c r="AB10" i="54" s="1"/>
  <c r="AC10" i="54" s="1"/>
  <c r="AD10" i="54" s="1"/>
  <c r="AE10" i="54" s="1"/>
  <c r="AF10" i="54" s="1"/>
  <c r="AG10" i="54" s="1"/>
  <c r="X1" i="54"/>
  <c r="N1" i="54"/>
  <c r="O1" i="54" s="1"/>
  <c r="O51" i="54" s="1"/>
  <c r="D1" i="54"/>
  <c r="W145" i="53"/>
  <c r="M145" i="53"/>
  <c r="W84" i="53"/>
  <c r="M84" i="53"/>
  <c r="D54" i="53"/>
  <c r="E54" i="53"/>
  <c r="F54" i="53"/>
  <c r="G54" i="53"/>
  <c r="H54" i="53"/>
  <c r="I54" i="53"/>
  <c r="J54" i="53"/>
  <c r="K54" i="53"/>
  <c r="L54" i="53"/>
  <c r="M54" i="53"/>
  <c r="N54" i="53"/>
  <c r="O54" i="53"/>
  <c r="P54" i="53"/>
  <c r="Q54" i="53"/>
  <c r="R54" i="53"/>
  <c r="S54" i="53"/>
  <c r="T54" i="53"/>
  <c r="U54" i="53"/>
  <c r="V54" i="53"/>
  <c r="W54" i="53"/>
  <c r="X54" i="53"/>
  <c r="Y54" i="53"/>
  <c r="Z54" i="53"/>
  <c r="AA54" i="53"/>
  <c r="AB54" i="53"/>
  <c r="AC54" i="53"/>
  <c r="AD54" i="53"/>
  <c r="AE54" i="53"/>
  <c r="AF54" i="53"/>
  <c r="AG54" i="53"/>
  <c r="C54" i="53"/>
  <c r="F21" i="49"/>
  <c r="F19" i="49"/>
  <c r="K64" i="33"/>
  <c r="J64" i="33"/>
  <c r="I57" i="33"/>
  <c r="I59" i="33"/>
  <c r="I60" i="33"/>
  <c r="I61" i="33"/>
  <c r="I62" i="33"/>
  <c r="I6" i="24"/>
  <c r="H6" i="24"/>
  <c r="D247" i="53"/>
  <c r="E247" i="53" s="1"/>
  <c r="D242" i="53"/>
  <c r="E242" i="53" s="1"/>
  <c r="F242" i="53" s="1"/>
  <c r="G242" i="53" s="1"/>
  <c r="H242" i="53" s="1"/>
  <c r="I242" i="53" s="1"/>
  <c r="J242" i="53" s="1"/>
  <c r="K242" i="53" s="1"/>
  <c r="L242" i="53" s="1"/>
  <c r="M242" i="53" s="1"/>
  <c r="N242" i="53" s="1"/>
  <c r="O242" i="53" s="1"/>
  <c r="P242" i="53" s="1"/>
  <c r="Q242" i="53" s="1"/>
  <c r="R242" i="53" s="1"/>
  <c r="S242" i="53" s="1"/>
  <c r="T242" i="53" s="1"/>
  <c r="U242" i="53" s="1"/>
  <c r="V242" i="53" s="1"/>
  <c r="W242" i="53" s="1"/>
  <c r="X242" i="53" s="1"/>
  <c r="Y242" i="53" s="1"/>
  <c r="Z242" i="53" s="1"/>
  <c r="AA242" i="53" s="1"/>
  <c r="AB242" i="53" s="1"/>
  <c r="AC242" i="53" s="1"/>
  <c r="AD242" i="53" s="1"/>
  <c r="AE242" i="53" s="1"/>
  <c r="AF242" i="53" s="1"/>
  <c r="AG242" i="53" s="1"/>
  <c r="D196" i="53"/>
  <c r="D195" i="53"/>
  <c r="E195" i="53" s="1"/>
  <c r="D194" i="53"/>
  <c r="E194" i="53" s="1"/>
  <c r="F194" i="53" s="1"/>
  <c r="D193" i="53"/>
  <c r="D192" i="53"/>
  <c r="D191" i="53"/>
  <c r="E191" i="53" s="1"/>
  <c r="F191" i="53" s="1"/>
  <c r="D190" i="53"/>
  <c r="E190" i="53" s="1"/>
  <c r="F190" i="53" s="1"/>
  <c r="G190" i="53" s="1"/>
  <c r="H190" i="53" s="1"/>
  <c r="I190" i="53" s="1"/>
  <c r="J190" i="53" s="1"/>
  <c r="K190" i="53" s="1"/>
  <c r="L190" i="53" s="1"/>
  <c r="M190" i="53" s="1"/>
  <c r="N190" i="53" s="1"/>
  <c r="O190" i="53" s="1"/>
  <c r="P190" i="53" s="1"/>
  <c r="Q190" i="53" s="1"/>
  <c r="R190" i="53" s="1"/>
  <c r="S190" i="53" s="1"/>
  <c r="T190" i="53" s="1"/>
  <c r="U190" i="53" s="1"/>
  <c r="V190" i="53" s="1"/>
  <c r="W190" i="53" s="1"/>
  <c r="X190" i="53" s="1"/>
  <c r="Y190" i="53" s="1"/>
  <c r="Z190" i="53" s="1"/>
  <c r="AA190" i="53" s="1"/>
  <c r="AB190" i="53" s="1"/>
  <c r="AC190" i="53" s="1"/>
  <c r="AD190" i="53" s="1"/>
  <c r="AE190" i="53" s="1"/>
  <c r="AF190" i="53" s="1"/>
  <c r="D189" i="53"/>
  <c r="E189" i="53" s="1"/>
  <c r="F189" i="53" s="1"/>
  <c r="G189" i="53" s="1"/>
  <c r="H189" i="53" s="1"/>
  <c r="I189" i="53" s="1"/>
  <c r="J189" i="53" s="1"/>
  <c r="K189" i="53" s="1"/>
  <c r="L189" i="53" s="1"/>
  <c r="M189" i="53" s="1"/>
  <c r="N189" i="53" s="1"/>
  <c r="O189" i="53" s="1"/>
  <c r="P189" i="53" s="1"/>
  <c r="Q189" i="53" s="1"/>
  <c r="R189" i="53" s="1"/>
  <c r="S189" i="53" s="1"/>
  <c r="T189" i="53" s="1"/>
  <c r="U189" i="53" s="1"/>
  <c r="V189" i="53" s="1"/>
  <c r="W189" i="53" s="1"/>
  <c r="X189" i="53" s="1"/>
  <c r="Y189" i="53" s="1"/>
  <c r="Z189" i="53" s="1"/>
  <c r="AA189" i="53" s="1"/>
  <c r="AB189" i="53" s="1"/>
  <c r="AC189" i="53" s="1"/>
  <c r="AD189" i="53" s="1"/>
  <c r="AE189" i="53" s="1"/>
  <c r="AF189" i="53" s="1"/>
  <c r="D188" i="53"/>
  <c r="E188" i="53" s="1"/>
  <c r="F188" i="53" s="1"/>
  <c r="G188" i="53" s="1"/>
  <c r="H188" i="53" s="1"/>
  <c r="I188" i="53" s="1"/>
  <c r="J188" i="53" s="1"/>
  <c r="K188" i="53" s="1"/>
  <c r="L188" i="53" s="1"/>
  <c r="M188" i="53" s="1"/>
  <c r="N188" i="53" s="1"/>
  <c r="O188" i="53" s="1"/>
  <c r="P188" i="53" s="1"/>
  <c r="Q188" i="53" s="1"/>
  <c r="R188" i="53" s="1"/>
  <c r="S188" i="53" s="1"/>
  <c r="T188" i="53" s="1"/>
  <c r="U188" i="53" s="1"/>
  <c r="V188" i="53" s="1"/>
  <c r="W188" i="53" s="1"/>
  <c r="X188" i="53" s="1"/>
  <c r="Y188" i="53" s="1"/>
  <c r="Z188" i="53" s="1"/>
  <c r="AA188" i="53" s="1"/>
  <c r="AB188" i="53" s="1"/>
  <c r="AC188" i="53" s="1"/>
  <c r="AD188" i="53" s="1"/>
  <c r="AE188" i="53" s="1"/>
  <c r="AF188" i="53" s="1"/>
  <c r="D187" i="53"/>
  <c r="E187" i="53" s="1"/>
  <c r="D186" i="53"/>
  <c r="E186" i="53" s="1"/>
  <c r="D185" i="53"/>
  <c r="D184" i="53"/>
  <c r="D183" i="53"/>
  <c r="E183" i="53" s="1"/>
  <c r="F183" i="53" s="1"/>
  <c r="G183" i="53" s="1"/>
  <c r="H183" i="53" s="1"/>
  <c r="I183" i="53" s="1"/>
  <c r="J183" i="53" s="1"/>
  <c r="K183" i="53" s="1"/>
  <c r="L183" i="53" s="1"/>
  <c r="M183" i="53" s="1"/>
  <c r="N183" i="53" s="1"/>
  <c r="O183" i="53" s="1"/>
  <c r="P183" i="53" s="1"/>
  <c r="Q183" i="53" s="1"/>
  <c r="R183" i="53" s="1"/>
  <c r="S183" i="53" s="1"/>
  <c r="T183" i="53" s="1"/>
  <c r="U183" i="53" s="1"/>
  <c r="V183" i="53" s="1"/>
  <c r="W183" i="53" s="1"/>
  <c r="X183" i="53" s="1"/>
  <c r="Y183" i="53" s="1"/>
  <c r="Z183" i="53" s="1"/>
  <c r="AA183" i="53" s="1"/>
  <c r="AB183" i="53" s="1"/>
  <c r="AC183" i="53" s="1"/>
  <c r="AD183" i="53" s="1"/>
  <c r="AE183" i="53" s="1"/>
  <c r="AF183" i="53" s="1"/>
  <c r="D182" i="53"/>
  <c r="E182" i="53" s="1"/>
  <c r="F182" i="53" s="1"/>
  <c r="G182" i="53" s="1"/>
  <c r="H182" i="53" s="1"/>
  <c r="I182" i="53" s="1"/>
  <c r="J182" i="53" s="1"/>
  <c r="K182" i="53" s="1"/>
  <c r="L182" i="53" s="1"/>
  <c r="M182" i="53" s="1"/>
  <c r="N182" i="53" s="1"/>
  <c r="O182" i="53" s="1"/>
  <c r="P182" i="53" s="1"/>
  <c r="Q182" i="53" s="1"/>
  <c r="R182" i="53" s="1"/>
  <c r="S182" i="53" s="1"/>
  <c r="T182" i="53" s="1"/>
  <c r="U182" i="53" s="1"/>
  <c r="V182" i="53" s="1"/>
  <c r="W182" i="53" s="1"/>
  <c r="X182" i="53" s="1"/>
  <c r="Y182" i="53" s="1"/>
  <c r="Z182" i="53" s="1"/>
  <c r="AA182" i="53" s="1"/>
  <c r="AB182" i="53" s="1"/>
  <c r="AC182" i="53" s="1"/>
  <c r="AD182" i="53" s="1"/>
  <c r="AE182" i="53" s="1"/>
  <c r="AF182" i="53" s="1"/>
  <c r="D181" i="53"/>
  <c r="E181" i="53" s="1"/>
  <c r="F181" i="53" s="1"/>
  <c r="D180" i="53"/>
  <c r="AG179" i="53"/>
  <c r="C179" i="53"/>
  <c r="D178" i="53"/>
  <c r="D177" i="53"/>
  <c r="E177" i="53" s="1"/>
  <c r="F177" i="53" s="1"/>
  <c r="G177" i="53" s="1"/>
  <c r="H177" i="53" s="1"/>
  <c r="I177" i="53" s="1"/>
  <c r="J177" i="53" s="1"/>
  <c r="K177" i="53" s="1"/>
  <c r="L177" i="53" s="1"/>
  <c r="M177" i="53" s="1"/>
  <c r="N177" i="53" s="1"/>
  <c r="O177" i="53" s="1"/>
  <c r="P177" i="53" s="1"/>
  <c r="Q177" i="53" s="1"/>
  <c r="R177" i="53" s="1"/>
  <c r="S177" i="53" s="1"/>
  <c r="T177" i="53" s="1"/>
  <c r="U177" i="53" s="1"/>
  <c r="V177" i="53" s="1"/>
  <c r="W177" i="53" s="1"/>
  <c r="X177" i="53" s="1"/>
  <c r="Y177" i="53" s="1"/>
  <c r="Z177" i="53" s="1"/>
  <c r="AA177" i="53" s="1"/>
  <c r="AB177" i="53" s="1"/>
  <c r="AC177" i="53" s="1"/>
  <c r="AD177" i="53" s="1"/>
  <c r="AE177" i="53" s="1"/>
  <c r="AF177" i="53" s="1"/>
  <c r="D175" i="53"/>
  <c r="D174" i="53"/>
  <c r="E174" i="53" s="1"/>
  <c r="F174" i="53" s="1"/>
  <c r="D173" i="53"/>
  <c r="E173" i="53" s="1"/>
  <c r="F173" i="53" s="1"/>
  <c r="D172" i="53"/>
  <c r="E172" i="53" s="1"/>
  <c r="D171" i="53"/>
  <c r="E171" i="53" s="1"/>
  <c r="D170" i="53"/>
  <c r="D169" i="53"/>
  <c r="E169" i="53" s="1"/>
  <c r="F169" i="53" s="1"/>
  <c r="G169" i="53" s="1"/>
  <c r="H169" i="53" s="1"/>
  <c r="I169" i="53" s="1"/>
  <c r="J169" i="53" s="1"/>
  <c r="K169" i="53" s="1"/>
  <c r="L169" i="53" s="1"/>
  <c r="M169" i="53" s="1"/>
  <c r="N169" i="53" s="1"/>
  <c r="O169" i="53" s="1"/>
  <c r="P169" i="53" s="1"/>
  <c r="Q169" i="53" s="1"/>
  <c r="R169" i="53" s="1"/>
  <c r="S169" i="53" s="1"/>
  <c r="T169" i="53" s="1"/>
  <c r="U169" i="53" s="1"/>
  <c r="V169" i="53" s="1"/>
  <c r="W169" i="53" s="1"/>
  <c r="X169" i="53" s="1"/>
  <c r="Y169" i="53" s="1"/>
  <c r="Z169" i="53" s="1"/>
  <c r="AA169" i="53" s="1"/>
  <c r="AB169" i="53" s="1"/>
  <c r="AC169" i="53" s="1"/>
  <c r="AD169" i="53" s="1"/>
  <c r="AE169" i="53" s="1"/>
  <c r="AF169" i="53" s="1"/>
  <c r="AG153" i="53"/>
  <c r="C153" i="53"/>
  <c r="AG144" i="53"/>
  <c r="C144" i="53"/>
  <c r="C124" i="53"/>
  <c r="C125" i="53" s="1"/>
  <c r="D123" i="53"/>
  <c r="E123" i="53" s="1"/>
  <c r="AG120" i="53"/>
  <c r="C120" i="53"/>
  <c r="AG121" i="53"/>
  <c r="C121" i="53"/>
  <c r="D118" i="53"/>
  <c r="D119" i="53" s="1"/>
  <c r="AG116" i="53"/>
  <c r="C116" i="53"/>
  <c r="C92" i="53"/>
  <c r="C93" i="53" s="1"/>
  <c r="D91" i="53"/>
  <c r="E91" i="53" s="1"/>
  <c r="F91" i="53" s="1"/>
  <c r="D90" i="53"/>
  <c r="AG87" i="53"/>
  <c r="C87" i="53"/>
  <c r="AG86" i="53"/>
  <c r="AG88" i="53" s="1"/>
  <c r="C86" i="53"/>
  <c r="C88" i="53" s="1"/>
  <c r="C96" i="53" s="1"/>
  <c r="D85" i="53"/>
  <c r="D86" i="53" s="1"/>
  <c r="AG83" i="53"/>
  <c r="C83" i="53"/>
  <c r="W52" i="53"/>
  <c r="W49" i="53" s="1"/>
  <c r="M52" i="53"/>
  <c r="M49" i="53" s="1"/>
  <c r="C52" i="53"/>
  <c r="C49" i="53" s="1"/>
  <c r="C10" i="53"/>
  <c r="D10" i="53" s="1"/>
  <c r="E10" i="53" s="1"/>
  <c r="F10" i="53" s="1"/>
  <c r="G10" i="53" s="1"/>
  <c r="H10" i="53" s="1"/>
  <c r="I10" i="53" s="1"/>
  <c r="J10" i="53" s="1"/>
  <c r="K10" i="53" s="1"/>
  <c r="L10" i="53" s="1"/>
  <c r="M10" i="53" s="1"/>
  <c r="N10" i="53" s="1"/>
  <c r="O10" i="53" s="1"/>
  <c r="P10" i="53" s="1"/>
  <c r="Q10" i="53" s="1"/>
  <c r="R10" i="53" s="1"/>
  <c r="S10" i="53" s="1"/>
  <c r="T10" i="53" s="1"/>
  <c r="U10" i="53" s="1"/>
  <c r="V10" i="53" s="1"/>
  <c r="W10" i="53" s="1"/>
  <c r="X10" i="53" s="1"/>
  <c r="Y10" i="53" s="1"/>
  <c r="Z10" i="53" s="1"/>
  <c r="AA10" i="53" s="1"/>
  <c r="AB10" i="53" s="1"/>
  <c r="AC10" i="53" s="1"/>
  <c r="AD10" i="53" s="1"/>
  <c r="AE10" i="53" s="1"/>
  <c r="AF10" i="53" s="1"/>
  <c r="AG10" i="53" s="1"/>
  <c r="X1" i="53"/>
  <c r="Y1" i="53" s="1"/>
  <c r="N1" i="53"/>
  <c r="N51" i="53" s="1"/>
  <c r="D1" i="53"/>
  <c r="D51" i="53" s="1"/>
  <c r="M28" i="52"/>
  <c r="M24" i="52"/>
  <c r="C1" i="52"/>
  <c r="AJ24" i="51"/>
  <c r="AJ21" i="51"/>
  <c r="D24" i="51"/>
  <c r="D21" i="51"/>
  <c r="BN41" i="51"/>
  <c r="BM41" i="51"/>
  <c r="BL41" i="51"/>
  <c r="BK41" i="51"/>
  <c r="BJ41" i="51"/>
  <c r="BI41" i="51"/>
  <c r="BH41" i="51"/>
  <c r="BG41" i="51"/>
  <c r="BF41" i="51"/>
  <c r="BE41" i="51"/>
  <c r="BD41" i="51"/>
  <c r="BC41" i="51"/>
  <c r="BB41" i="51"/>
  <c r="BA41" i="51"/>
  <c r="AZ41" i="51"/>
  <c r="AY41" i="51"/>
  <c r="AX41" i="51"/>
  <c r="AW41" i="51"/>
  <c r="AV41" i="51"/>
  <c r="AU41" i="51"/>
  <c r="AT41" i="51"/>
  <c r="AS41" i="51"/>
  <c r="AR41" i="51"/>
  <c r="AQ41" i="51"/>
  <c r="AP41" i="51"/>
  <c r="AO41" i="51"/>
  <c r="AN41" i="51"/>
  <c r="AM41" i="51"/>
  <c r="AL41" i="51"/>
  <c r="AK41" i="51"/>
  <c r="AJ41" i="51"/>
  <c r="AH42" i="51"/>
  <c r="AF42" i="51"/>
  <c r="AE42" i="51"/>
  <c r="AD42" i="51"/>
  <c r="AB42" i="51"/>
  <c r="AA42" i="51"/>
  <c r="Z42" i="51"/>
  <c r="X42" i="51"/>
  <c r="W42" i="51"/>
  <c r="V42" i="51"/>
  <c r="BA40" i="51"/>
  <c r="T42" i="51"/>
  <c r="S42" i="51"/>
  <c r="R42" i="51"/>
  <c r="AV40" i="51"/>
  <c r="O42" i="51"/>
  <c r="N42" i="51"/>
  <c r="AR40" i="51"/>
  <c r="K42" i="51"/>
  <c r="J42" i="51"/>
  <c r="AN40" i="51"/>
  <c r="G42" i="51"/>
  <c r="F42" i="51"/>
  <c r="AJ40" i="51"/>
  <c r="BS23" i="51"/>
  <c r="BS22" i="51"/>
  <c r="BS20" i="51"/>
  <c r="BS24" i="51" s="1"/>
  <c r="BS18" i="51"/>
  <c r="BR18" i="51"/>
  <c r="BS17" i="51"/>
  <c r="BR17" i="51"/>
  <c r="AJ15" i="51"/>
  <c r="D15" i="51"/>
  <c r="BS12" i="51"/>
  <c r="BS11" i="51"/>
  <c r="BS9" i="51"/>
  <c r="BS13" i="51" s="1"/>
  <c r="CC7" i="51"/>
  <c r="CA7" i="51"/>
  <c r="BR7" i="51"/>
  <c r="AK3" i="51"/>
  <c r="AL3" i="51" s="1"/>
  <c r="AM3" i="51" s="1"/>
  <c r="AN3" i="51" s="1"/>
  <c r="AO3" i="51" s="1"/>
  <c r="AP3" i="51" s="1"/>
  <c r="AQ3" i="51" s="1"/>
  <c r="AR3" i="51" s="1"/>
  <c r="AS3" i="51" s="1"/>
  <c r="AT3" i="51" s="1"/>
  <c r="AU3" i="51" s="1"/>
  <c r="AV3" i="51" s="1"/>
  <c r="AW3" i="51" s="1"/>
  <c r="AX3" i="51" s="1"/>
  <c r="AY3" i="51" s="1"/>
  <c r="AZ3" i="51" s="1"/>
  <c r="BA3" i="51" s="1"/>
  <c r="BB3" i="51" s="1"/>
  <c r="BC3" i="51" s="1"/>
  <c r="BD3" i="51" s="1"/>
  <c r="BE3" i="51" s="1"/>
  <c r="BF3" i="51" s="1"/>
  <c r="BG3" i="51" s="1"/>
  <c r="BH3" i="51" s="1"/>
  <c r="BI3" i="51" s="1"/>
  <c r="BJ3" i="51" s="1"/>
  <c r="BK3" i="51" s="1"/>
  <c r="BL3" i="51" s="1"/>
  <c r="BM3" i="51" s="1"/>
  <c r="BN3" i="51" s="1"/>
  <c r="E3" i="51"/>
  <c r="H8" i="8"/>
  <c r="H9" i="8"/>
  <c r="H10" i="8"/>
  <c r="H7" i="8"/>
  <c r="F30" i="49"/>
  <c r="G30" i="49"/>
  <c r="C30" i="49"/>
  <c r="C31" i="49" s="1"/>
  <c r="B27" i="49"/>
  <c r="B28" i="49"/>
  <c r="B29" i="49"/>
  <c r="B30" i="49"/>
  <c r="B31" i="49"/>
  <c r="B26" i="49"/>
  <c r="B14" i="50"/>
  <c r="C14" i="50" s="1"/>
  <c r="B13" i="50"/>
  <c r="C13" i="50" s="1"/>
  <c r="B12" i="50"/>
  <c r="C12" i="50" s="1"/>
  <c r="B8" i="50"/>
  <c r="B18" i="50"/>
  <c r="B7" i="50" s="1"/>
  <c r="B17" i="50"/>
  <c r="B6" i="50" s="1"/>
  <c r="C11" i="50"/>
  <c r="P2" i="50"/>
  <c r="Q2" i="50" s="1"/>
  <c r="R2" i="50" s="1"/>
  <c r="S2" i="50" s="1"/>
  <c r="T2" i="50" s="1"/>
  <c r="U2" i="50" s="1"/>
  <c r="V2" i="50" s="1"/>
  <c r="W2" i="50" s="1"/>
  <c r="X2" i="50" s="1"/>
  <c r="Y2" i="50" s="1"/>
  <c r="Z2" i="50" s="1"/>
  <c r="AA2" i="50" s="1"/>
  <c r="AB2" i="50" s="1"/>
  <c r="AC2" i="50" s="1"/>
  <c r="AD2" i="50" s="1"/>
  <c r="AE2" i="50" s="1"/>
  <c r="AF2" i="50" s="1"/>
  <c r="AG2" i="50" s="1"/>
  <c r="AH2" i="50" s="1"/>
  <c r="AI2" i="50" s="1"/>
  <c r="AJ2" i="50" s="1"/>
  <c r="AK2" i="50" s="1"/>
  <c r="AL2" i="50" s="1"/>
  <c r="AM2" i="50" s="1"/>
  <c r="AN2" i="50" s="1"/>
  <c r="AO2" i="50" s="1"/>
  <c r="AP2" i="50" s="1"/>
  <c r="AQ2" i="50" s="1"/>
  <c r="AR2" i="50" s="1"/>
  <c r="AS2" i="50" s="1"/>
  <c r="G4" i="43"/>
  <c r="F3" i="50" s="1"/>
  <c r="H4" i="43"/>
  <c r="G3" i="50" s="1"/>
  <c r="I4" i="43"/>
  <c r="H3" i="50" s="1"/>
  <c r="J4" i="43"/>
  <c r="I3" i="50" s="1"/>
  <c r="F4" i="43"/>
  <c r="E3" i="50" s="1"/>
  <c r="D4" i="43"/>
  <c r="C3" i="50" s="1"/>
  <c r="B5" i="50" s="1"/>
  <c r="E4" i="43"/>
  <c r="D3" i="50" s="1"/>
  <c r="O4" i="49"/>
  <c r="O5" i="49" s="1"/>
  <c r="I7" i="49"/>
  <c r="I6" i="49"/>
  <c r="I5" i="49"/>
  <c r="I4" i="49"/>
  <c r="B4" i="50" l="1"/>
  <c r="CW121" i="55"/>
  <c r="CX121" i="55" s="1"/>
  <c r="CY121" i="55" s="1"/>
  <c r="CZ121" i="55" s="1"/>
  <c r="DA121" i="55" s="1"/>
  <c r="DB121" i="55" s="1"/>
  <c r="DC121" i="55" s="1"/>
  <c r="DD121" i="55" s="1"/>
  <c r="DE121" i="55" s="1"/>
  <c r="DF121" i="55" s="1"/>
  <c r="DG121" i="55" s="1"/>
  <c r="DH121" i="55" s="1"/>
  <c r="DI121" i="55" s="1"/>
  <c r="DJ121" i="55" s="1"/>
  <c r="DK121" i="55" s="1"/>
  <c r="DL121" i="55" s="1"/>
  <c r="DM121" i="55" s="1"/>
  <c r="DN121" i="55" s="1"/>
  <c r="DO121" i="55" s="1"/>
  <c r="DP121" i="55" s="1"/>
  <c r="DQ121" i="55" s="1"/>
  <c r="DR121" i="55" s="1"/>
  <c r="DS121" i="55" s="1"/>
  <c r="DT121" i="55" s="1"/>
  <c r="DU121" i="55" s="1"/>
  <c r="DV121" i="55" s="1"/>
  <c r="DW121" i="55" s="1"/>
  <c r="DX121" i="55" s="1"/>
  <c r="DY121" i="55" s="1"/>
  <c r="CW52" i="55"/>
  <c r="CX52" i="55" s="1"/>
  <c r="CY52" i="55" s="1"/>
  <c r="CZ52" i="55" s="1"/>
  <c r="DA52" i="55" s="1"/>
  <c r="DB52" i="55" s="1"/>
  <c r="DC52" i="55" s="1"/>
  <c r="DD52" i="55" s="1"/>
  <c r="DE52" i="55" s="1"/>
  <c r="DF52" i="55" s="1"/>
  <c r="DG52" i="55" s="1"/>
  <c r="DH52" i="55" s="1"/>
  <c r="DI52" i="55" s="1"/>
  <c r="DJ52" i="55" s="1"/>
  <c r="DK52" i="55" s="1"/>
  <c r="DL52" i="55" s="1"/>
  <c r="DM52" i="55" s="1"/>
  <c r="DN52" i="55" s="1"/>
  <c r="DO52" i="55" s="1"/>
  <c r="DP52" i="55" s="1"/>
  <c r="DQ52" i="55" s="1"/>
  <c r="DR52" i="55" s="1"/>
  <c r="DS52" i="55" s="1"/>
  <c r="DT52" i="55" s="1"/>
  <c r="DU52" i="55" s="1"/>
  <c r="DV52" i="55" s="1"/>
  <c r="DW52" i="55" s="1"/>
  <c r="DX52" i="55" s="1"/>
  <c r="DY52" i="55" s="1"/>
  <c r="CW167" i="55"/>
  <c r="CX167" i="55" s="1"/>
  <c r="CY167" i="55" s="1"/>
  <c r="CZ167" i="55" s="1"/>
  <c r="DA167" i="55" s="1"/>
  <c r="DB167" i="55" s="1"/>
  <c r="DC167" i="55" s="1"/>
  <c r="DD167" i="55" s="1"/>
  <c r="DE167" i="55" s="1"/>
  <c r="DF167" i="55" s="1"/>
  <c r="DG167" i="55" s="1"/>
  <c r="DH167" i="55" s="1"/>
  <c r="DI167" i="55" s="1"/>
  <c r="DJ167" i="55" s="1"/>
  <c r="DK167" i="55" s="1"/>
  <c r="DL167" i="55" s="1"/>
  <c r="DM167" i="55" s="1"/>
  <c r="DN167" i="55" s="1"/>
  <c r="DO167" i="55" s="1"/>
  <c r="DP167" i="55" s="1"/>
  <c r="DQ167" i="55" s="1"/>
  <c r="DR167" i="55" s="1"/>
  <c r="DS167" i="55" s="1"/>
  <c r="DT167" i="55" s="1"/>
  <c r="DU167" i="55" s="1"/>
  <c r="DV167" i="55" s="1"/>
  <c r="DW167" i="55" s="1"/>
  <c r="DX167" i="55" s="1"/>
  <c r="DY167" i="55" s="1"/>
  <c r="CW76" i="55"/>
  <c r="CX76" i="55" s="1"/>
  <c r="CY76" i="55" s="1"/>
  <c r="CZ76" i="55" s="1"/>
  <c r="DA76" i="55" s="1"/>
  <c r="DB76" i="55" s="1"/>
  <c r="DC76" i="55" s="1"/>
  <c r="DD76" i="55" s="1"/>
  <c r="DE76" i="55" s="1"/>
  <c r="DF76" i="55" s="1"/>
  <c r="DG76" i="55" s="1"/>
  <c r="DH76" i="55" s="1"/>
  <c r="DI76" i="55" s="1"/>
  <c r="DJ76" i="55" s="1"/>
  <c r="DK76" i="55" s="1"/>
  <c r="DL76" i="55" s="1"/>
  <c r="DM76" i="55" s="1"/>
  <c r="DN76" i="55" s="1"/>
  <c r="DO76" i="55" s="1"/>
  <c r="DP76" i="55" s="1"/>
  <c r="DQ76" i="55" s="1"/>
  <c r="DR76" i="55" s="1"/>
  <c r="DS76" i="55" s="1"/>
  <c r="DT76" i="55" s="1"/>
  <c r="DU76" i="55" s="1"/>
  <c r="DV76" i="55" s="1"/>
  <c r="DW76" i="55" s="1"/>
  <c r="DX76" i="55" s="1"/>
  <c r="DY76" i="55" s="1"/>
  <c r="CW168" i="55"/>
  <c r="CX168" i="55" s="1"/>
  <c r="CY168" i="55" s="1"/>
  <c r="CZ168" i="55" s="1"/>
  <c r="DA168" i="55" s="1"/>
  <c r="DB168" i="55" s="1"/>
  <c r="DC168" i="55" s="1"/>
  <c r="DD168" i="55" s="1"/>
  <c r="DE168" i="55" s="1"/>
  <c r="DF168" i="55" s="1"/>
  <c r="DG168" i="55" s="1"/>
  <c r="DH168" i="55" s="1"/>
  <c r="DI168" i="55" s="1"/>
  <c r="DJ168" i="55" s="1"/>
  <c r="DK168" i="55" s="1"/>
  <c r="DL168" i="55" s="1"/>
  <c r="DM168" i="55" s="1"/>
  <c r="DN168" i="55" s="1"/>
  <c r="DO168" i="55" s="1"/>
  <c r="DP168" i="55" s="1"/>
  <c r="DQ168" i="55" s="1"/>
  <c r="DR168" i="55" s="1"/>
  <c r="DS168" i="55" s="1"/>
  <c r="DT168" i="55" s="1"/>
  <c r="DU168" i="55" s="1"/>
  <c r="DV168" i="55" s="1"/>
  <c r="DW168" i="55" s="1"/>
  <c r="DX168" i="55" s="1"/>
  <c r="DY168" i="55" s="1"/>
  <c r="CW122" i="55"/>
  <c r="CX122" i="55" s="1"/>
  <c r="CY122" i="55" s="1"/>
  <c r="CZ122" i="55" s="1"/>
  <c r="DA122" i="55" s="1"/>
  <c r="DB122" i="55" s="1"/>
  <c r="DC122" i="55" s="1"/>
  <c r="DD122" i="55" s="1"/>
  <c r="DE122" i="55" s="1"/>
  <c r="DF122" i="55" s="1"/>
  <c r="DG122" i="55" s="1"/>
  <c r="DH122" i="55" s="1"/>
  <c r="DI122" i="55" s="1"/>
  <c r="DJ122" i="55" s="1"/>
  <c r="DK122" i="55" s="1"/>
  <c r="DL122" i="55" s="1"/>
  <c r="DM122" i="55" s="1"/>
  <c r="DN122" i="55" s="1"/>
  <c r="DO122" i="55" s="1"/>
  <c r="DP122" i="55" s="1"/>
  <c r="DQ122" i="55" s="1"/>
  <c r="DR122" i="55" s="1"/>
  <c r="DS122" i="55" s="1"/>
  <c r="DT122" i="55" s="1"/>
  <c r="DU122" i="55" s="1"/>
  <c r="DV122" i="55" s="1"/>
  <c r="DW122" i="55" s="1"/>
  <c r="DX122" i="55" s="1"/>
  <c r="DY122" i="55" s="1"/>
  <c r="CI7" i="51"/>
  <c r="E4" i="60"/>
  <c r="CW53" i="55"/>
  <c r="CX53" i="55" s="1"/>
  <c r="CY53" i="55" s="1"/>
  <c r="CZ53" i="55" s="1"/>
  <c r="DA53" i="55" s="1"/>
  <c r="DB53" i="55" s="1"/>
  <c r="DC53" i="55" s="1"/>
  <c r="DD53" i="55" s="1"/>
  <c r="DE53" i="55" s="1"/>
  <c r="DF53" i="55" s="1"/>
  <c r="DG53" i="55" s="1"/>
  <c r="DH53" i="55" s="1"/>
  <c r="DI53" i="55" s="1"/>
  <c r="DJ53" i="55" s="1"/>
  <c r="DK53" i="55" s="1"/>
  <c r="DL53" i="55" s="1"/>
  <c r="DM53" i="55" s="1"/>
  <c r="DN53" i="55" s="1"/>
  <c r="DO53" i="55" s="1"/>
  <c r="DP53" i="55" s="1"/>
  <c r="DQ53" i="55" s="1"/>
  <c r="DR53" i="55" s="1"/>
  <c r="DS53" i="55" s="1"/>
  <c r="DT53" i="55" s="1"/>
  <c r="DU53" i="55" s="1"/>
  <c r="DV53" i="55" s="1"/>
  <c r="DW53" i="55" s="1"/>
  <c r="DX53" i="55" s="1"/>
  <c r="DY53" i="55" s="1"/>
  <c r="AN3" i="55"/>
  <c r="AO3" i="55" s="1"/>
  <c r="AP3" i="55" s="1"/>
  <c r="AQ3" i="55" s="1"/>
  <c r="AR3" i="55" s="1"/>
  <c r="AS3" i="55" s="1"/>
  <c r="AT3" i="55" s="1"/>
  <c r="AU3" i="55" s="1"/>
  <c r="AV3" i="55" s="1"/>
  <c r="AW3" i="55" s="1"/>
  <c r="AX3" i="55" s="1"/>
  <c r="AY3" i="55" s="1"/>
  <c r="AZ3" i="55" s="1"/>
  <c r="BA3" i="55" s="1"/>
  <c r="BB3" i="55" s="1"/>
  <c r="BC3" i="55" s="1"/>
  <c r="BD3" i="55" s="1"/>
  <c r="BE3" i="55" s="1"/>
  <c r="BF3" i="55" s="1"/>
  <c r="BG3" i="55" s="1"/>
  <c r="BH3" i="55" s="1"/>
  <c r="BI3" i="55" s="1"/>
  <c r="BJ3" i="55" s="1"/>
  <c r="BK3" i="55" s="1"/>
  <c r="BL3" i="55" s="1"/>
  <c r="BM3" i="55" s="1"/>
  <c r="BN3" i="55" s="1"/>
  <c r="BY2" i="59"/>
  <c r="BX67" i="59"/>
  <c r="BX68" i="59"/>
  <c r="BX69" i="59"/>
  <c r="BX61" i="59"/>
  <c r="BX70" i="59"/>
  <c r="BX62" i="59"/>
  <c r="BX64" i="59"/>
  <c r="BX73" i="59"/>
  <c r="BX65" i="59"/>
  <c r="BX66" i="59"/>
  <c r="BX74" i="59"/>
  <c r="BX63" i="59"/>
  <c r="BX72" i="59"/>
  <c r="BX71" i="59"/>
  <c r="BW75" i="59"/>
  <c r="H139" i="55"/>
  <c r="AM139" i="55"/>
  <c r="CY139" i="55" s="1"/>
  <c r="AM143" i="55"/>
  <c r="CY143" i="55" s="1"/>
  <c r="H143" i="55"/>
  <c r="AK30" i="55"/>
  <c r="AM144" i="55"/>
  <c r="H144" i="55"/>
  <c r="AL145" i="55"/>
  <c r="G145" i="55"/>
  <c r="G24" i="55"/>
  <c r="AM24" i="55" s="1"/>
  <c r="CY24" i="55" s="1"/>
  <c r="AN140" i="55"/>
  <c r="CZ140" i="55" s="1"/>
  <c r="I140" i="55"/>
  <c r="M30" i="52"/>
  <c r="K147" i="55"/>
  <c r="AP147" i="55"/>
  <c r="L146" i="55"/>
  <c r="AQ146" i="55"/>
  <c r="G164" i="55"/>
  <c r="AL164" i="55"/>
  <c r="CX164" i="55" s="1"/>
  <c r="G167" i="55"/>
  <c r="AL167" i="55"/>
  <c r="CT165" i="55"/>
  <c r="G166" i="55"/>
  <c r="AL166" i="55"/>
  <c r="CX166" i="55" s="1"/>
  <c r="AQ170" i="55"/>
  <c r="L170" i="55"/>
  <c r="G165" i="55"/>
  <c r="AL165" i="55"/>
  <c r="CX165" i="55" s="1"/>
  <c r="F168" i="55"/>
  <c r="AK168" i="55"/>
  <c r="AM163" i="55"/>
  <c r="CY163" i="55" s="1"/>
  <c r="H163" i="55"/>
  <c r="BR162" i="55"/>
  <c r="G162" i="55"/>
  <c r="AL162" i="55"/>
  <c r="CX162" i="55" s="1"/>
  <c r="J169" i="55"/>
  <c r="AO169" i="55"/>
  <c r="J124" i="55"/>
  <c r="AO124" i="55"/>
  <c r="AK122" i="55"/>
  <c r="AK53" i="55"/>
  <c r="H94" i="55"/>
  <c r="AM94" i="55"/>
  <c r="CY94" i="55" s="1"/>
  <c r="G121" i="55"/>
  <c r="AL121" i="55"/>
  <c r="G75" i="55"/>
  <c r="AL75" i="55"/>
  <c r="AL97" i="55"/>
  <c r="CX97" i="55" s="1"/>
  <c r="G97" i="55"/>
  <c r="G118" i="55"/>
  <c r="AL118" i="55"/>
  <c r="CX118" i="55" s="1"/>
  <c r="G98" i="55"/>
  <c r="AL98" i="55"/>
  <c r="G70" i="55"/>
  <c r="AL70" i="55"/>
  <c r="CX70" i="55" s="1"/>
  <c r="BQ116" i="55"/>
  <c r="F76" i="55"/>
  <c r="AK76" i="55"/>
  <c r="BQ97" i="55"/>
  <c r="BR97" i="55" s="1"/>
  <c r="BS97" i="55" s="1"/>
  <c r="BT97" i="55" s="1"/>
  <c r="BR93" i="55"/>
  <c r="F119" i="55"/>
  <c r="AK119" i="55"/>
  <c r="CW119" i="55" s="1"/>
  <c r="AO123" i="55"/>
  <c r="J123" i="55"/>
  <c r="AL122" i="55"/>
  <c r="G122" i="55"/>
  <c r="AK99" i="55"/>
  <c r="F99" i="55"/>
  <c r="BR70" i="55"/>
  <c r="AL93" i="55"/>
  <c r="CX93" i="55" s="1"/>
  <c r="G93" i="55"/>
  <c r="G116" i="55"/>
  <c r="AL116" i="55"/>
  <c r="CX116" i="55" s="1"/>
  <c r="AM117" i="55"/>
  <c r="CY117" i="55" s="1"/>
  <c r="H117" i="55"/>
  <c r="AL74" i="55"/>
  <c r="CX74" i="55" s="1"/>
  <c r="G74" i="55"/>
  <c r="AM71" i="55"/>
  <c r="CY71" i="55" s="1"/>
  <c r="H71" i="55"/>
  <c r="AL120" i="55"/>
  <c r="CX120" i="55" s="1"/>
  <c r="G120" i="55"/>
  <c r="J101" i="55"/>
  <c r="AO101" i="55"/>
  <c r="K100" i="55"/>
  <c r="AP100" i="55"/>
  <c r="K77" i="55"/>
  <c r="AP77" i="55"/>
  <c r="J78" i="55"/>
  <c r="AO78" i="55"/>
  <c r="AL52" i="55"/>
  <c r="G52" i="55"/>
  <c r="G51" i="55"/>
  <c r="AL51" i="55"/>
  <c r="CX51" i="55" s="1"/>
  <c r="H48" i="55"/>
  <c r="AM48" i="55"/>
  <c r="CY48" i="55" s="1"/>
  <c r="G53" i="55"/>
  <c r="AL53" i="55"/>
  <c r="G47" i="55"/>
  <c r="AL47" i="55"/>
  <c r="CX47" i="55" s="1"/>
  <c r="AK50" i="55"/>
  <c r="CW50" i="55" s="1"/>
  <c r="F50" i="55"/>
  <c r="G49" i="55"/>
  <c r="AL49" i="55"/>
  <c r="CX49" i="55" s="1"/>
  <c r="AP55" i="55"/>
  <c r="K55" i="55"/>
  <c r="K54" i="55"/>
  <c r="AP54" i="55"/>
  <c r="I25" i="55"/>
  <c r="AN25" i="55"/>
  <c r="CZ25" i="55" s="1"/>
  <c r="H29" i="55"/>
  <c r="AM29" i="55"/>
  <c r="BS24" i="55"/>
  <c r="G30" i="55"/>
  <c r="AL30" i="55"/>
  <c r="I32" i="55"/>
  <c r="AN32" i="55"/>
  <c r="I31" i="55"/>
  <c r="AN31" i="55"/>
  <c r="H28" i="55"/>
  <c r="AM28" i="55"/>
  <c r="CY28" i="55" s="1"/>
  <c r="H24" i="55"/>
  <c r="AN24" i="55" s="1"/>
  <c r="CZ24" i="55" s="1"/>
  <c r="E205" i="55"/>
  <c r="G204" i="55"/>
  <c r="G205" i="55" s="1"/>
  <c r="F3" i="55"/>
  <c r="G3" i="55" s="1"/>
  <c r="H3" i="55" s="1"/>
  <c r="C93" i="54"/>
  <c r="M134" i="54"/>
  <c r="W133" i="54"/>
  <c r="AG133" i="54"/>
  <c r="D93" i="54"/>
  <c r="AG134" i="54"/>
  <c r="O118" i="54"/>
  <c r="O119" i="54" s="1"/>
  <c r="C125" i="54"/>
  <c r="AG102" i="54"/>
  <c r="E90" i="54"/>
  <c r="F90" i="54" s="1"/>
  <c r="E118" i="53"/>
  <c r="E119" i="53" s="1"/>
  <c r="E1" i="53"/>
  <c r="F1" i="53" s="1"/>
  <c r="G1" i="53" s="1"/>
  <c r="C128" i="53"/>
  <c r="C258" i="53" s="1"/>
  <c r="D124" i="53"/>
  <c r="E124" i="53" s="1"/>
  <c r="F124" i="53" s="1"/>
  <c r="G124" i="53" s="1"/>
  <c r="H124" i="53" s="1"/>
  <c r="I124" i="53" s="1"/>
  <c r="J124" i="53" s="1"/>
  <c r="K124" i="53" s="1"/>
  <c r="L124" i="53" s="1"/>
  <c r="M124" i="53" s="1"/>
  <c r="N124" i="53" s="1"/>
  <c r="O124" i="53" s="1"/>
  <c r="P124" i="53" s="1"/>
  <c r="Q124" i="53" s="1"/>
  <c r="R124" i="53" s="1"/>
  <c r="S124" i="53" s="1"/>
  <c r="T124" i="53" s="1"/>
  <c r="U124" i="53" s="1"/>
  <c r="V124" i="53" s="1"/>
  <c r="W124" i="53" s="1"/>
  <c r="X124" i="53" s="1"/>
  <c r="Y124" i="53" s="1"/>
  <c r="Z124" i="53" s="1"/>
  <c r="AA124" i="53" s="1"/>
  <c r="AB124" i="53" s="1"/>
  <c r="AC124" i="53" s="1"/>
  <c r="AD124" i="53" s="1"/>
  <c r="AE124" i="53" s="1"/>
  <c r="AF124" i="53" s="1"/>
  <c r="AG124" i="53" s="1"/>
  <c r="AG128" i="53" s="1"/>
  <c r="AG258" i="53" s="1"/>
  <c r="F247" i="53"/>
  <c r="G247" i="53" s="1"/>
  <c r="O1" i="53"/>
  <c r="O50" i="53" s="1"/>
  <c r="D154" i="54"/>
  <c r="D117" i="54"/>
  <c r="D84" i="54"/>
  <c r="D51" i="54"/>
  <c r="D50" i="54"/>
  <c r="E1" i="54"/>
  <c r="N154" i="54"/>
  <c r="N117" i="54"/>
  <c r="N84" i="54"/>
  <c r="N50" i="54"/>
  <c r="N51" i="54"/>
  <c r="O154" i="54"/>
  <c r="O117" i="54"/>
  <c r="O84" i="54"/>
  <c r="O50" i="54"/>
  <c r="X154" i="54"/>
  <c r="X145" i="54"/>
  <c r="X117" i="54"/>
  <c r="X84" i="54"/>
  <c r="X50" i="54"/>
  <c r="P1" i="54"/>
  <c r="Y1" i="54"/>
  <c r="X51" i="54"/>
  <c r="C95" i="54"/>
  <c r="C96" i="54"/>
  <c r="C97" i="54"/>
  <c r="C101" i="54"/>
  <c r="C102" i="54" s="1"/>
  <c r="F91" i="54"/>
  <c r="F92" i="54"/>
  <c r="E85" i="54"/>
  <c r="M128" i="54"/>
  <c r="N124" i="54"/>
  <c r="O124" i="54" s="1"/>
  <c r="P124" i="54" s="1"/>
  <c r="Q124" i="54" s="1"/>
  <c r="R124" i="54" s="1"/>
  <c r="S124" i="54" s="1"/>
  <c r="T124" i="54" s="1"/>
  <c r="U124" i="54" s="1"/>
  <c r="V124" i="54" s="1"/>
  <c r="W124" i="54" s="1"/>
  <c r="Y118" i="54"/>
  <c r="C127" i="54"/>
  <c r="D132" i="54"/>
  <c r="D135" i="54" s="1"/>
  <c r="N132" i="54"/>
  <c r="N135" i="54" s="1"/>
  <c r="X132" i="54"/>
  <c r="X135" i="54" s="1"/>
  <c r="E118" i="54"/>
  <c r="W134" i="54"/>
  <c r="D125" i="54"/>
  <c r="E125" i="54"/>
  <c r="F125" i="54"/>
  <c r="AG135" i="54"/>
  <c r="M148" i="54"/>
  <c r="N147" i="54"/>
  <c r="O147" i="54" s="1"/>
  <c r="P147" i="54" s="1"/>
  <c r="Q147" i="54" s="1"/>
  <c r="R147" i="54" s="1"/>
  <c r="S147" i="54" s="1"/>
  <c r="T147" i="54" s="1"/>
  <c r="U147" i="54" s="1"/>
  <c r="V147" i="54" s="1"/>
  <c r="W147" i="54" s="1"/>
  <c r="G123" i="54"/>
  <c r="C128" i="54"/>
  <c r="C258" i="54" s="1"/>
  <c r="M133" i="54"/>
  <c r="O145" i="54"/>
  <c r="M144" i="54"/>
  <c r="N145" i="54"/>
  <c r="D145" i="54"/>
  <c r="H192" i="54"/>
  <c r="E178" i="54"/>
  <c r="D179" i="54"/>
  <c r="F186" i="54"/>
  <c r="F171" i="54"/>
  <c r="E194" i="54"/>
  <c r="F174" i="54"/>
  <c r="E184" i="54"/>
  <c r="E175" i="54"/>
  <c r="G181" i="54"/>
  <c r="F172" i="54"/>
  <c r="E173" i="54"/>
  <c r="F185" i="54"/>
  <c r="E191" i="54"/>
  <c r="E195" i="54"/>
  <c r="E187" i="54"/>
  <c r="F170" i="54"/>
  <c r="E180" i="54"/>
  <c r="E193" i="54"/>
  <c r="F196" i="54"/>
  <c r="H251" i="54"/>
  <c r="K247" i="54"/>
  <c r="L247" i="54" s="1"/>
  <c r="M247" i="54" s="1"/>
  <c r="N247" i="54" s="1"/>
  <c r="O247" i="54" s="1"/>
  <c r="P247" i="54" s="1"/>
  <c r="Q247" i="54" s="1"/>
  <c r="R247" i="54" s="1"/>
  <c r="Q251" i="54"/>
  <c r="N145" i="53"/>
  <c r="D92" i="53"/>
  <c r="D93" i="53" s="1"/>
  <c r="E90" i="53"/>
  <c r="F90" i="53" s="1"/>
  <c r="E85" i="53"/>
  <c r="E86" i="53" s="1"/>
  <c r="I64" i="33"/>
  <c r="Z1" i="53"/>
  <c r="Z50" i="53" s="1"/>
  <c r="Y51" i="53"/>
  <c r="N50" i="53"/>
  <c r="Y50" i="53"/>
  <c r="X50" i="53"/>
  <c r="AG52" i="53"/>
  <c r="D50" i="53"/>
  <c r="X51" i="53"/>
  <c r="G91" i="53"/>
  <c r="C97" i="53"/>
  <c r="C95" i="53"/>
  <c r="C127" i="53"/>
  <c r="F123" i="53"/>
  <c r="G174" i="53"/>
  <c r="E175" i="53"/>
  <c r="E178" i="53"/>
  <c r="E170" i="53"/>
  <c r="F172" i="53"/>
  <c r="D179" i="53"/>
  <c r="E185" i="53"/>
  <c r="F171" i="53"/>
  <c r="F186" i="53"/>
  <c r="G173" i="53"/>
  <c r="G191" i="53"/>
  <c r="F187" i="53"/>
  <c r="E180" i="53"/>
  <c r="E192" i="53"/>
  <c r="E193" i="53"/>
  <c r="F195" i="53"/>
  <c r="E196" i="53"/>
  <c r="G181" i="53"/>
  <c r="E184" i="53"/>
  <c r="G194" i="53"/>
  <c r="AJ42" i="51"/>
  <c r="AJ45" i="51" s="1"/>
  <c r="AN42" i="51"/>
  <c r="AR42" i="51"/>
  <c r="AV42" i="51"/>
  <c r="BA42" i="51"/>
  <c r="D42" i="51"/>
  <c r="D45" i="51" s="1"/>
  <c r="AX40" i="51"/>
  <c r="AX42" i="51" s="1"/>
  <c r="AL40" i="51"/>
  <c r="AL42" i="51" s="1"/>
  <c r="BB40" i="51"/>
  <c r="BB42" i="51" s="1"/>
  <c r="H42" i="51"/>
  <c r="BN40" i="51"/>
  <c r="BN42" i="51" s="1"/>
  <c r="AP40" i="51"/>
  <c r="AP42" i="51" s="1"/>
  <c r="BF40" i="51"/>
  <c r="BF42" i="51" s="1"/>
  <c r="L42" i="51"/>
  <c r="AT40" i="51"/>
  <c r="AT42" i="51" s="1"/>
  <c r="BJ40" i="51"/>
  <c r="BJ42" i="51" s="1"/>
  <c r="P42" i="51"/>
  <c r="F3" i="51"/>
  <c r="G3" i="51" s="1"/>
  <c r="AK40" i="51"/>
  <c r="AK42" i="51" s="1"/>
  <c r="E42" i="51"/>
  <c r="AO40" i="51"/>
  <c r="AO42" i="51" s="1"/>
  <c r="I42" i="51"/>
  <c r="AS40" i="51"/>
  <c r="AS42" i="51" s="1"/>
  <c r="M42" i="51"/>
  <c r="AW40" i="51"/>
  <c r="AW42" i="51" s="1"/>
  <c r="Q42" i="51"/>
  <c r="Y42" i="51"/>
  <c r="BE40" i="51"/>
  <c r="BE42" i="51" s="1"/>
  <c r="AC42" i="51"/>
  <c r="BI40" i="51"/>
  <c r="BI42" i="51" s="1"/>
  <c r="AG42" i="51"/>
  <c r="BM40" i="51"/>
  <c r="BM42" i="51" s="1"/>
  <c r="U42" i="51"/>
  <c r="AM40" i="51"/>
  <c r="AM42" i="51" s="1"/>
  <c r="AQ40" i="51"/>
  <c r="AQ42" i="51" s="1"/>
  <c r="AU40" i="51"/>
  <c r="AU42" i="51" s="1"/>
  <c r="AY40" i="51"/>
  <c r="AY42" i="51" s="1"/>
  <c r="BC40" i="51"/>
  <c r="BC42" i="51" s="1"/>
  <c r="BG40" i="51"/>
  <c r="BG42" i="51" s="1"/>
  <c r="BK40" i="51"/>
  <c r="BK42" i="51" s="1"/>
  <c r="AZ40" i="51"/>
  <c r="AZ42" i="51" s="1"/>
  <c r="BD40" i="51"/>
  <c r="BD42" i="51" s="1"/>
  <c r="BH40" i="51"/>
  <c r="BH42" i="51" s="1"/>
  <c r="BL40" i="51"/>
  <c r="BL42" i="51" s="1"/>
  <c r="I8" i="49"/>
  <c r="I9" i="49" s="1"/>
  <c r="E16" i="60" l="1"/>
  <c r="BQ165" i="55"/>
  <c r="BR165" i="55" s="1"/>
  <c r="BS165" i="55" s="1"/>
  <c r="BT165" i="55" s="1"/>
  <c r="BU165" i="55" s="1"/>
  <c r="BV165" i="55" s="1"/>
  <c r="BW165" i="55" s="1"/>
  <c r="BX165" i="55" s="1"/>
  <c r="BY165" i="55" s="1"/>
  <c r="BZ165" i="55" s="1"/>
  <c r="CA165" i="55" s="1"/>
  <c r="CB165" i="55" s="1"/>
  <c r="CC165" i="55" s="1"/>
  <c r="CD165" i="55" s="1"/>
  <c r="CE165" i="55" s="1"/>
  <c r="CF165" i="55" s="1"/>
  <c r="CG165" i="55" s="1"/>
  <c r="CH165" i="55" s="1"/>
  <c r="CI165" i="55" s="1"/>
  <c r="CJ165" i="55" s="1"/>
  <c r="CK165" i="55" s="1"/>
  <c r="CL165" i="55" s="1"/>
  <c r="CM165" i="55" s="1"/>
  <c r="CN165" i="55" s="1"/>
  <c r="CO165" i="55" s="1"/>
  <c r="CP165" i="55" s="1"/>
  <c r="CQ165" i="55" s="1"/>
  <c r="CR165" i="55" s="1"/>
  <c r="CS165" i="55" s="1"/>
  <c r="BX75" i="59"/>
  <c r="BZ2" i="59"/>
  <c r="BY68" i="59"/>
  <c r="BY69" i="59"/>
  <c r="BY61" i="59"/>
  <c r="BY70" i="59"/>
  <c r="BY62" i="59"/>
  <c r="BY64" i="59"/>
  <c r="BY73" i="59"/>
  <c r="BY65" i="59"/>
  <c r="BY66" i="59"/>
  <c r="BY67" i="59"/>
  <c r="BY72" i="59"/>
  <c r="BY63" i="59"/>
  <c r="BY74" i="59"/>
  <c r="BY71" i="59"/>
  <c r="AO140" i="55"/>
  <c r="DA140" i="55" s="1"/>
  <c r="J140" i="55"/>
  <c r="AN143" i="55"/>
  <c r="CZ143" i="55" s="1"/>
  <c r="I143" i="55"/>
  <c r="H145" i="55"/>
  <c r="AM145" i="55"/>
  <c r="AN144" i="55"/>
  <c r="I144" i="55"/>
  <c r="AN139" i="55"/>
  <c r="CZ139" i="55" s="1"/>
  <c r="I139" i="55"/>
  <c r="M146" i="55"/>
  <c r="AR146" i="55"/>
  <c r="AQ147" i="55"/>
  <c r="L147" i="55"/>
  <c r="M170" i="55"/>
  <c r="AR170" i="55"/>
  <c r="AM166" i="55"/>
  <c r="CY166" i="55" s="1"/>
  <c r="H166" i="55"/>
  <c r="I163" i="55"/>
  <c r="AN163" i="55"/>
  <c r="CZ163" i="55" s="1"/>
  <c r="BS162" i="55"/>
  <c r="K169" i="55"/>
  <c r="AP169" i="55"/>
  <c r="H162" i="55"/>
  <c r="AM162" i="55"/>
  <c r="CY162" i="55" s="1"/>
  <c r="AL168" i="55"/>
  <c r="G168" i="55"/>
  <c r="H167" i="55"/>
  <c r="AM167" i="55"/>
  <c r="H164" i="55"/>
  <c r="AM164" i="55"/>
  <c r="CY164" i="55" s="1"/>
  <c r="H165" i="55"/>
  <c r="AM165" i="55"/>
  <c r="CY165" i="55" s="1"/>
  <c r="K124" i="55"/>
  <c r="AP124" i="55"/>
  <c r="AM97" i="55"/>
  <c r="CY97" i="55" s="1"/>
  <c r="H97" i="55"/>
  <c r="H116" i="55"/>
  <c r="AM116" i="55"/>
  <c r="CY116" i="55" s="1"/>
  <c r="G99" i="55"/>
  <c r="AL99" i="55"/>
  <c r="AL119" i="55"/>
  <c r="CX119" i="55" s="1"/>
  <c r="G119" i="55"/>
  <c r="AM74" i="55"/>
  <c r="CY74" i="55" s="1"/>
  <c r="H74" i="55"/>
  <c r="H93" i="55"/>
  <c r="AM93" i="55"/>
  <c r="CY93" i="55" s="1"/>
  <c r="H98" i="55"/>
  <c r="AM98" i="55"/>
  <c r="AM75" i="55"/>
  <c r="H75" i="55"/>
  <c r="BR116" i="55"/>
  <c r="AM121" i="55"/>
  <c r="H121" i="55"/>
  <c r="AM122" i="55"/>
  <c r="H122" i="55"/>
  <c r="AN117" i="55"/>
  <c r="CZ117" i="55" s="1"/>
  <c r="I117" i="55"/>
  <c r="BS93" i="55"/>
  <c r="H120" i="55"/>
  <c r="AM120" i="55"/>
  <c r="CY120" i="55" s="1"/>
  <c r="BS70" i="55"/>
  <c r="AP123" i="55"/>
  <c r="K123" i="55"/>
  <c r="H70" i="55"/>
  <c r="AM70" i="55"/>
  <c r="CY70" i="55" s="1"/>
  <c r="H118" i="55"/>
  <c r="AM118" i="55"/>
  <c r="CY118" i="55" s="1"/>
  <c r="I94" i="55"/>
  <c r="AN94" i="55"/>
  <c r="CZ94" i="55" s="1"/>
  <c r="AN71" i="55"/>
  <c r="CZ71" i="55" s="1"/>
  <c r="I71" i="55"/>
  <c r="G76" i="55"/>
  <c r="AL76" i="55"/>
  <c r="AP101" i="55"/>
  <c r="K101" i="55"/>
  <c r="L100" i="55"/>
  <c r="AQ100" i="55"/>
  <c r="BU97" i="55"/>
  <c r="L77" i="55"/>
  <c r="AQ77" i="55"/>
  <c r="AP78" i="55"/>
  <c r="K78" i="55"/>
  <c r="AL50" i="55"/>
  <c r="CX50" i="55" s="1"/>
  <c r="G50" i="55"/>
  <c r="I48" i="55"/>
  <c r="AN48" i="55"/>
  <c r="CZ48" i="55" s="1"/>
  <c r="AM49" i="55"/>
  <c r="CY49" i="55" s="1"/>
  <c r="H49" i="55"/>
  <c r="AM47" i="55"/>
  <c r="CY47" i="55" s="1"/>
  <c r="H47" i="55"/>
  <c r="H51" i="55"/>
  <c r="AM51" i="55"/>
  <c r="CY51" i="55" s="1"/>
  <c r="AM53" i="55"/>
  <c r="H53" i="55"/>
  <c r="AM52" i="55"/>
  <c r="H52" i="55"/>
  <c r="L55" i="55"/>
  <c r="AQ55" i="55"/>
  <c r="L54" i="55"/>
  <c r="AQ54" i="55"/>
  <c r="I28" i="55"/>
  <c r="AN28" i="55"/>
  <c r="CZ28" i="55" s="1"/>
  <c r="H30" i="55"/>
  <c r="AM30" i="55"/>
  <c r="I29" i="55"/>
  <c r="AN29" i="55"/>
  <c r="J31" i="55"/>
  <c r="AO31" i="55"/>
  <c r="BT24" i="55"/>
  <c r="J25" i="55"/>
  <c r="AO25" i="55"/>
  <c r="DA25" i="55" s="1"/>
  <c r="J32" i="55"/>
  <c r="AO32" i="55"/>
  <c r="I24" i="55"/>
  <c r="AO24" i="55" s="1"/>
  <c r="DA24" i="55" s="1"/>
  <c r="H204" i="55"/>
  <c r="H205" i="55" s="1"/>
  <c r="I3" i="55"/>
  <c r="P118" i="54"/>
  <c r="P132" i="54" s="1"/>
  <c r="P135" i="54" s="1"/>
  <c r="O132" i="54"/>
  <c r="O135" i="54" s="1"/>
  <c r="E93" i="54"/>
  <c r="C259" i="53"/>
  <c r="O51" i="53"/>
  <c r="O52" i="53" s="1"/>
  <c r="O49" i="53" s="1"/>
  <c r="F50" i="53"/>
  <c r="E50" i="53"/>
  <c r="F51" i="53"/>
  <c r="F52" i="53" s="1"/>
  <c r="F49" i="53" s="1"/>
  <c r="O145" i="53"/>
  <c r="P1" i="53"/>
  <c r="P145" i="53" s="1"/>
  <c r="E51" i="53"/>
  <c r="E92" i="53"/>
  <c r="E93" i="53" s="1"/>
  <c r="H247" i="53"/>
  <c r="I247" i="53" s="1"/>
  <c r="F118" i="53"/>
  <c r="F119" i="53" s="1"/>
  <c r="D125" i="53"/>
  <c r="E125" i="53"/>
  <c r="F85" i="53"/>
  <c r="F86" i="53" s="1"/>
  <c r="N148" i="54"/>
  <c r="N144" i="54"/>
  <c r="I251" i="54"/>
  <c r="F191" i="54"/>
  <c r="H181" i="54"/>
  <c r="G174" i="54"/>
  <c r="C105" i="54"/>
  <c r="Y145" i="54"/>
  <c r="Y154" i="54"/>
  <c r="Y117" i="54"/>
  <c r="Y84" i="54"/>
  <c r="Y51" i="54"/>
  <c r="Y50" i="54"/>
  <c r="Z1" i="54"/>
  <c r="O83" i="54"/>
  <c r="F184" i="54"/>
  <c r="F193" i="54"/>
  <c r="G186" i="54"/>
  <c r="O52" i="54"/>
  <c r="O49" i="54" s="1"/>
  <c r="D52" i="54"/>
  <c r="D49" i="54" s="1"/>
  <c r="O144" i="54"/>
  <c r="O148" i="54"/>
  <c r="W128" i="54"/>
  <c r="X124" i="54"/>
  <c r="Y124" i="54" s="1"/>
  <c r="Z124" i="54" s="1"/>
  <c r="AA124" i="54" s="1"/>
  <c r="AB124" i="54" s="1"/>
  <c r="AC124" i="54" s="1"/>
  <c r="AD124" i="54" s="1"/>
  <c r="AE124" i="54" s="1"/>
  <c r="AF124" i="54" s="1"/>
  <c r="AG124" i="54" s="1"/>
  <c r="AG128" i="54" s="1"/>
  <c r="P154" i="54"/>
  <c r="P145" i="54"/>
  <c r="P117" i="54"/>
  <c r="P84" i="54"/>
  <c r="P51" i="54"/>
  <c r="P50" i="54"/>
  <c r="Q1" i="54"/>
  <c r="O116" i="54"/>
  <c r="O121" i="54"/>
  <c r="O128" i="54" s="1"/>
  <c r="O120" i="54"/>
  <c r="D88" i="54"/>
  <c r="D83" i="54"/>
  <c r="D87" i="54"/>
  <c r="D100" i="54" s="1"/>
  <c r="F187" i="54"/>
  <c r="R251" i="54"/>
  <c r="C259" i="54"/>
  <c r="G170" i="54"/>
  <c r="G185" i="54"/>
  <c r="F175" i="54"/>
  <c r="F194" i="54"/>
  <c r="E179" i="54"/>
  <c r="F178" i="54"/>
  <c r="H123" i="54"/>
  <c r="G125" i="54"/>
  <c r="G92" i="54"/>
  <c r="G90" i="54"/>
  <c r="F93" i="54"/>
  <c r="X52" i="54"/>
  <c r="X49" i="54" s="1"/>
  <c r="O153" i="54"/>
  <c r="D121" i="54"/>
  <c r="D116" i="54"/>
  <c r="D120" i="54"/>
  <c r="G171" i="54"/>
  <c r="G172" i="54"/>
  <c r="D148" i="54"/>
  <c r="D144" i="54"/>
  <c r="X147" i="54"/>
  <c r="Y147" i="54" s="1"/>
  <c r="Z147" i="54" s="1"/>
  <c r="AA147" i="54" s="1"/>
  <c r="AB147" i="54" s="1"/>
  <c r="AC147" i="54" s="1"/>
  <c r="AD147" i="54" s="1"/>
  <c r="AE147" i="54" s="1"/>
  <c r="AF147" i="54" s="1"/>
  <c r="W148" i="54"/>
  <c r="Q118" i="54"/>
  <c r="F85" i="54"/>
  <c r="E86" i="54"/>
  <c r="G91" i="54"/>
  <c r="X83" i="54"/>
  <c r="N52" i="54"/>
  <c r="N49" i="54" s="1"/>
  <c r="D153" i="54"/>
  <c r="E132" i="54"/>
  <c r="E135" i="54" s="1"/>
  <c r="E119" i="54"/>
  <c r="F118" i="54"/>
  <c r="X116" i="54"/>
  <c r="X121" i="54"/>
  <c r="X120" i="54"/>
  <c r="N83" i="54"/>
  <c r="F180" i="54"/>
  <c r="X144" i="54"/>
  <c r="F173" i="54"/>
  <c r="I192" i="54"/>
  <c r="Y119" i="54"/>
  <c r="Z118" i="54"/>
  <c r="Y132" i="54"/>
  <c r="Y135" i="54" s="1"/>
  <c r="C103" i="54"/>
  <c r="C104" i="54"/>
  <c r="N116" i="54"/>
  <c r="N121" i="54"/>
  <c r="N128" i="54" s="1"/>
  <c r="N120" i="54"/>
  <c r="S247" i="54"/>
  <c r="G196" i="54"/>
  <c r="F195" i="54"/>
  <c r="X153" i="54"/>
  <c r="N153" i="54"/>
  <c r="E154" i="54"/>
  <c r="E145" i="54"/>
  <c r="E117" i="54"/>
  <c r="E84" i="54"/>
  <c r="E50" i="54"/>
  <c r="E51" i="54"/>
  <c r="F1" i="54"/>
  <c r="AG259" i="53"/>
  <c r="G85" i="53"/>
  <c r="H85" i="53" s="1"/>
  <c r="M116" i="53"/>
  <c r="G145" i="53"/>
  <c r="X117" i="53"/>
  <c r="W83" i="53"/>
  <c r="F185" i="53"/>
  <c r="F193" i="53"/>
  <c r="D52" i="53"/>
  <c r="D49" i="53" s="1"/>
  <c r="AG49" i="53"/>
  <c r="G187" i="53"/>
  <c r="F175" i="53"/>
  <c r="G90" i="53"/>
  <c r="F196" i="53"/>
  <c r="H194" i="53"/>
  <c r="F125" i="53"/>
  <c r="G123" i="53"/>
  <c r="X52" i="53"/>
  <c r="X49" i="53" s="1"/>
  <c r="Y52" i="53"/>
  <c r="Y49" i="53" s="1"/>
  <c r="H191" i="53"/>
  <c r="H174" i="53"/>
  <c r="F184" i="53"/>
  <c r="F170" i="53"/>
  <c r="Y154" i="53"/>
  <c r="W153" i="53"/>
  <c r="Z154" i="53"/>
  <c r="X154" i="53"/>
  <c r="G50" i="53"/>
  <c r="H1" i="53"/>
  <c r="G51" i="53"/>
  <c r="G172" i="53"/>
  <c r="F192" i="53"/>
  <c r="G171" i="53"/>
  <c r="N52" i="53"/>
  <c r="N49" i="53" s="1"/>
  <c r="G195" i="53"/>
  <c r="G186" i="53"/>
  <c r="H181" i="53"/>
  <c r="F180" i="53"/>
  <c r="H173" i="53"/>
  <c r="E179" i="53"/>
  <c r="F178" i="53"/>
  <c r="H91" i="53"/>
  <c r="Z51" i="53"/>
  <c r="Z52" i="53" s="1"/>
  <c r="Z49" i="53" s="1"/>
  <c r="AA1" i="53"/>
  <c r="AA154" i="53" s="1"/>
  <c r="E45" i="51"/>
  <c r="H3" i="51"/>
  <c r="P119" i="54" l="1"/>
  <c r="BY75" i="59"/>
  <c r="CA2" i="59"/>
  <c r="BZ69" i="59"/>
  <c r="BZ61" i="59"/>
  <c r="BZ70" i="59"/>
  <c r="BZ62" i="59"/>
  <c r="BZ64" i="59"/>
  <c r="BZ73" i="59"/>
  <c r="BZ65" i="59"/>
  <c r="BZ66" i="59"/>
  <c r="BZ67" i="59"/>
  <c r="BZ68" i="59"/>
  <c r="BZ63" i="59"/>
  <c r="BZ74" i="59"/>
  <c r="BZ72" i="59"/>
  <c r="BZ71" i="59"/>
  <c r="AN145" i="55"/>
  <c r="I145" i="55"/>
  <c r="AO143" i="55"/>
  <c r="DA143" i="55" s="1"/>
  <c r="J143" i="55"/>
  <c r="AO139" i="55"/>
  <c r="DA139" i="55" s="1"/>
  <c r="J139" i="55"/>
  <c r="AP140" i="55"/>
  <c r="DB140" i="55" s="1"/>
  <c r="K140" i="55"/>
  <c r="AO144" i="55"/>
  <c r="J144" i="55"/>
  <c r="AR147" i="55"/>
  <c r="M147" i="55"/>
  <c r="N146" i="55"/>
  <c r="AS146" i="55"/>
  <c r="I164" i="55"/>
  <c r="AN164" i="55"/>
  <c r="CZ164" i="55" s="1"/>
  <c r="BT162" i="55"/>
  <c r="I162" i="55"/>
  <c r="AN162" i="55"/>
  <c r="CZ162" i="55" s="1"/>
  <c r="J163" i="55"/>
  <c r="AO163" i="55"/>
  <c r="DA163" i="55" s="1"/>
  <c r="AN166" i="55"/>
  <c r="CZ166" i="55" s="1"/>
  <c r="I166" i="55"/>
  <c r="AN167" i="55"/>
  <c r="I167" i="55"/>
  <c r="I165" i="55"/>
  <c r="AN165" i="55"/>
  <c r="CZ165" i="55" s="1"/>
  <c r="AM168" i="55"/>
  <c r="H168" i="55"/>
  <c r="L169" i="55"/>
  <c r="AQ169" i="55"/>
  <c r="N170" i="55"/>
  <c r="AS170" i="55"/>
  <c r="AQ124" i="55"/>
  <c r="L124" i="55"/>
  <c r="H99" i="55"/>
  <c r="AM99" i="55"/>
  <c r="I70" i="55"/>
  <c r="AN70" i="55"/>
  <c r="CZ70" i="55" s="1"/>
  <c r="AQ123" i="55"/>
  <c r="L123" i="55"/>
  <c r="J117" i="55"/>
  <c r="AO117" i="55"/>
  <c r="DA117" i="55" s="1"/>
  <c r="AN121" i="55"/>
  <c r="I121" i="55"/>
  <c r="AN98" i="55"/>
  <c r="I98" i="55"/>
  <c r="I74" i="55"/>
  <c r="AN74" i="55"/>
  <c r="CZ74" i="55" s="1"/>
  <c r="I97" i="55"/>
  <c r="AN97" i="55"/>
  <c r="CZ97" i="55" s="1"/>
  <c r="AO94" i="55"/>
  <c r="DA94" i="55" s="1"/>
  <c r="J94" i="55"/>
  <c r="BT70" i="55"/>
  <c r="H119" i="55"/>
  <c r="AM119" i="55"/>
  <c r="CY119" i="55" s="1"/>
  <c r="AN120" i="55"/>
  <c r="CZ120" i="55" s="1"/>
  <c r="I120" i="55"/>
  <c r="BS116" i="55"/>
  <c r="AM76" i="55"/>
  <c r="H76" i="55"/>
  <c r="I118" i="55"/>
  <c r="AN118" i="55"/>
  <c r="CZ118" i="55" s="1"/>
  <c r="I122" i="55"/>
  <c r="AN122" i="55"/>
  <c r="I75" i="55"/>
  <c r="AN75" i="55"/>
  <c r="I93" i="55"/>
  <c r="AN93" i="55"/>
  <c r="CZ93" i="55" s="1"/>
  <c r="AO71" i="55"/>
  <c r="DA71" i="55" s="1"/>
  <c r="J71" i="55"/>
  <c r="BT93" i="55"/>
  <c r="AN116" i="55"/>
  <c r="CZ116" i="55" s="1"/>
  <c r="I116" i="55"/>
  <c r="BV97" i="55"/>
  <c r="M100" i="55"/>
  <c r="AR100" i="55"/>
  <c r="AQ101" i="55"/>
  <c r="L101" i="55"/>
  <c r="AQ78" i="55"/>
  <c r="L78" i="55"/>
  <c r="M77" i="55"/>
  <c r="AR77" i="55"/>
  <c r="I47" i="55"/>
  <c r="AN47" i="55"/>
  <c r="CZ47" i="55" s="1"/>
  <c r="H50" i="55"/>
  <c r="AM50" i="55"/>
  <c r="CY50" i="55" s="1"/>
  <c r="I51" i="55"/>
  <c r="AN51" i="55"/>
  <c r="CZ51" i="55" s="1"/>
  <c r="J48" i="55"/>
  <c r="AO48" i="55"/>
  <c r="DA48" i="55" s="1"/>
  <c r="AN52" i="55"/>
  <c r="I52" i="55"/>
  <c r="I49" i="55"/>
  <c r="AN49" i="55"/>
  <c r="CZ49" i="55" s="1"/>
  <c r="I53" i="55"/>
  <c r="AN53" i="55"/>
  <c r="M55" i="55"/>
  <c r="AR55" i="55"/>
  <c r="M54" i="55"/>
  <c r="AR54" i="55"/>
  <c r="BU24" i="55"/>
  <c r="I30" i="55"/>
  <c r="AN30" i="55"/>
  <c r="J28" i="55"/>
  <c r="AO28" i="55"/>
  <c r="DA28" i="55" s="1"/>
  <c r="K31" i="55"/>
  <c r="AP31" i="55"/>
  <c r="K25" i="55"/>
  <c r="AP25" i="55"/>
  <c r="DB25" i="55" s="1"/>
  <c r="J29" i="55"/>
  <c r="AO29" i="55"/>
  <c r="K32" i="55"/>
  <c r="AP32" i="55"/>
  <c r="J24" i="55"/>
  <c r="AP24" i="55" s="1"/>
  <c r="DB24" i="55" s="1"/>
  <c r="I204" i="55"/>
  <c r="I205" i="55" s="1"/>
  <c r="J3" i="55"/>
  <c r="X128" i="54"/>
  <c r="F92" i="53"/>
  <c r="G92" i="53" s="1"/>
  <c r="G93" i="53" s="1"/>
  <c r="G118" i="53"/>
  <c r="H118" i="53" s="1"/>
  <c r="P154" i="53"/>
  <c r="P153" i="53" s="1"/>
  <c r="E52" i="53"/>
  <c r="E49" i="53" s="1"/>
  <c r="Q1" i="53"/>
  <c r="Q145" i="53" s="1"/>
  <c r="Q144" i="53" s="1"/>
  <c r="P50" i="53"/>
  <c r="P51" i="53"/>
  <c r="J247" i="53"/>
  <c r="G175" i="54"/>
  <c r="Z154" i="54"/>
  <c r="Z145" i="54"/>
  <c r="Z117" i="54"/>
  <c r="Z84" i="54"/>
  <c r="Z51" i="54"/>
  <c r="Z50" i="54"/>
  <c r="AA1" i="54"/>
  <c r="F154" i="54"/>
  <c r="F117" i="54"/>
  <c r="F84" i="54"/>
  <c r="F51" i="54"/>
  <c r="F50" i="54"/>
  <c r="G1" i="54"/>
  <c r="F145" i="54"/>
  <c r="G195" i="54"/>
  <c r="G173" i="54"/>
  <c r="Y52" i="54"/>
  <c r="Y49" i="54" s="1"/>
  <c r="D131" i="54"/>
  <c r="D134" i="54"/>
  <c r="X134" i="54"/>
  <c r="X131" i="54"/>
  <c r="H91" i="54"/>
  <c r="H172" i="54"/>
  <c r="D127" i="54"/>
  <c r="D128" i="54"/>
  <c r="F179" i="54"/>
  <c r="G178" i="54"/>
  <c r="H185" i="54"/>
  <c r="G187" i="54"/>
  <c r="Q154" i="54"/>
  <c r="Q117" i="54"/>
  <c r="Q84" i="54"/>
  <c r="Q51" i="54"/>
  <c r="R1" i="54"/>
  <c r="Q50" i="54"/>
  <c r="Q145" i="54"/>
  <c r="G184" i="54"/>
  <c r="E153" i="54"/>
  <c r="H125" i="54"/>
  <c r="I123" i="54"/>
  <c r="G193" i="54"/>
  <c r="P52" i="54"/>
  <c r="P49" i="54" s="1"/>
  <c r="AG258" i="54"/>
  <c r="AG259" i="54"/>
  <c r="Y83" i="54"/>
  <c r="J251" i="54"/>
  <c r="O134" i="54"/>
  <c r="O131" i="54"/>
  <c r="G191" i="54"/>
  <c r="E87" i="54"/>
  <c r="E100" i="54" s="1"/>
  <c r="E83" i="54"/>
  <c r="E88" i="54"/>
  <c r="Q119" i="54"/>
  <c r="Q132" i="54"/>
  <c r="Q135" i="54" s="1"/>
  <c r="R118" i="54"/>
  <c r="H171" i="54"/>
  <c r="H170" i="54"/>
  <c r="Y120" i="54"/>
  <c r="Y116" i="54"/>
  <c r="Y121" i="54"/>
  <c r="Y128" i="54" s="1"/>
  <c r="H174" i="54"/>
  <c r="N134" i="54"/>
  <c r="N131" i="54"/>
  <c r="P148" i="54"/>
  <c r="P144" i="54"/>
  <c r="H92" i="54"/>
  <c r="S251" i="54"/>
  <c r="P153" i="54"/>
  <c r="E52" i="54"/>
  <c r="E49" i="54" s="1"/>
  <c r="H196" i="54"/>
  <c r="E116" i="54"/>
  <c r="E121" i="54"/>
  <c r="E120" i="54"/>
  <c r="Z119" i="54"/>
  <c r="Z132" i="54"/>
  <c r="Z135" i="54" s="1"/>
  <c r="AA118" i="54"/>
  <c r="X148" i="54"/>
  <c r="G180" i="54"/>
  <c r="F119" i="54"/>
  <c r="G118" i="54"/>
  <c r="F132" i="54"/>
  <c r="F135" i="54" s="1"/>
  <c r="F86" i="54"/>
  <c r="G85" i="54"/>
  <c r="P83" i="54"/>
  <c r="Y153" i="54"/>
  <c r="J192" i="54"/>
  <c r="E144" i="54"/>
  <c r="E148" i="54"/>
  <c r="T247" i="54"/>
  <c r="H90" i="54"/>
  <c r="G93" i="54"/>
  <c r="G194" i="54"/>
  <c r="D96" i="54"/>
  <c r="D95" i="54"/>
  <c r="D97" i="54"/>
  <c r="D101" i="54"/>
  <c r="D102" i="54" s="1"/>
  <c r="P116" i="54"/>
  <c r="P121" i="54"/>
  <c r="P128" i="54" s="1"/>
  <c r="P120" i="54"/>
  <c r="H186" i="54"/>
  <c r="Y148" i="54"/>
  <c r="Y144" i="54"/>
  <c r="I181" i="54"/>
  <c r="E145" i="53"/>
  <c r="E144" i="53" s="1"/>
  <c r="Y117" i="53"/>
  <c r="Y116" i="53" s="1"/>
  <c r="G86" i="53"/>
  <c r="D145" i="53"/>
  <c r="D144" i="53" s="1"/>
  <c r="M144" i="53"/>
  <c r="G117" i="53"/>
  <c r="G120" i="53" s="1"/>
  <c r="F117" i="53"/>
  <c r="F116" i="53" s="1"/>
  <c r="E117" i="53"/>
  <c r="E121" i="53" s="1"/>
  <c r="D117" i="53"/>
  <c r="D120" i="53" s="1"/>
  <c r="N117" i="53"/>
  <c r="N116" i="53" s="1"/>
  <c r="P117" i="53"/>
  <c r="P116" i="53" s="1"/>
  <c r="Z117" i="53"/>
  <c r="Z116" i="53" s="1"/>
  <c r="O117" i="53"/>
  <c r="O116" i="53" s="1"/>
  <c r="W116" i="53"/>
  <c r="F145" i="53"/>
  <c r="F144" i="53" s="1"/>
  <c r="P144" i="53"/>
  <c r="N144" i="53"/>
  <c r="X145" i="53"/>
  <c r="X144" i="53" s="1"/>
  <c r="Z145" i="53"/>
  <c r="Z144" i="53" s="1"/>
  <c r="W144" i="53"/>
  <c r="O144" i="53"/>
  <c r="Y145" i="53"/>
  <c r="Y144" i="53" s="1"/>
  <c r="Y84" i="53"/>
  <c r="Y83" i="53" s="1"/>
  <c r="F154" i="53"/>
  <c r="F153" i="53" s="1"/>
  <c r="M153" i="53"/>
  <c r="G154" i="53"/>
  <c r="G153" i="53" s="1"/>
  <c r="O154" i="53"/>
  <c r="O153" i="53" s="1"/>
  <c r="D154" i="53"/>
  <c r="D153" i="53" s="1"/>
  <c r="N154" i="53"/>
  <c r="N153" i="53" s="1"/>
  <c r="Z84" i="53"/>
  <c r="Z83" i="53" s="1"/>
  <c r="E154" i="53"/>
  <c r="E153" i="53" s="1"/>
  <c r="X84" i="53"/>
  <c r="X83" i="53" s="1"/>
  <c r="AA153" i="53"/>
  <c r="H171" i="53"/>
  <c r="Z153" i="53"/>
  <c r="I194" i="53"/>
  <c r="G144" i="53"/>
  <c r="I173" i="53"/>
  <c r="H50" i="53"/>
  <c r="H51" i="53"/>
  <c r="I1" i="53"/>
  <c r="I84" i="53" s="1"/>
  <c r="I191" i="53"/>
  <c r="G175" i="53"/>
  <c r="H186" i="53"/>
  <c r="G192" i="53"/>
  <c r="G52" i="53"/>
  <c r="G49" i="53" s="1"/>
  <c r="G184" i="53"/>
  <c r="X116" i="53"/>
  <c r="G196" i="53"/>
  <c r="H154" i="53"/>
  <c r="O84" i="53"/>
  <c r="G84" i="53"/>
  <c r="M83" i="53"/>
  <c r="F84" i="53"/>
  <c r="N84" i="53"/>
  <c r="H84" i="53"/>
  <c r="E84" i="53"/>
  <c r="P84" i="53"/>
  <c r="D84" i="53"/>
  <c r="G193" i="53"/>
  <c r="G180" i="53"/>
  <c r="H187" i="53"/>
  <c r="G119" i="53"/>
  <c r="AB1" i="53"/>
  <c r="AA51" i="53"/>
  <c r="AA50" i="53"/>
  <c r="H195" i="53"/>
  <c r="H123" i="53"/>
  <c r="G125" i="53"/>
  <c r="H90" i="53"/>
  <c r="G185" i="53"/>
  <c r="F179" i="53"/>
  <c r="G178" i="53"/>
  <c r="I181" i="53"/>
  <c r="AA145" i="53"/>
  <c r="Y153" i="53"/>
  <c r="H145" i="53"/>
  <c r="I91" i="53"/>
  <c r="AA117" i="53"/>
  <c r="AA84" i="53"/>
  <c r="H172" i="53"/>
  <c r="X153" i="53"/>
  <c r="G170" i="53"/>
  <c r="I174" i="53"/>
  <c r="H86" i="53"/>
  <c r="I85" i="53"/>
  <c r="H117" i="53"/>
  <c r="AK45" i="51"/>
  <c r="I3" i="51"/>
  <c r="F45" i="51"/>
  <c r="T6" i="49"/>
  <c r="T5" i="49"/>
  <c r="T4" i="49"/>
  <c r="D12" i="49"/>
  <c r="CB2" i="59" l="1"/>
  <c r="CA70" i="59"/>
  <c r="CA62" i="59"/>
  <c r="CA64" i="59"/>
  <c r="CA73" i="59"/>
  <c r="CA65" i="59"/>
  <c r="CA66" i="59"/>
  <c r="CA67" i="59"/>
  <c r="CA68" i="59"/>
  <c r="CA61" i="59"/>
  <c r="CA69" i="59"/>
  <c r="CA72" i="59"/>
  <c r="CA63" i="59"/>
  <c r="CA74" i="59"/>
  <c r="CA71" i="59"/>
  <c r="BZ75" i="59"/>
  <c r="AQ140" i="55"/>
  <c r="DC140" i="55" s="1"/>
  <c r="L140" i="55"/>
  <c r="K139" i="55"/>
  <c r="AP139" i="55"/>
  <c r="DB139" i="55" s="1"/>
  <c r="K143" i="55"/>
  <c r="AP143" i="55"/>
  <c r="DB143" i="55" s="1"/>
  <c r="K144" i="55"/>
  <c r="AP144" i="55"/>
  <c r="AO145" i="55"/>
  <c r="J145" i="55"/>
  <c r="AS147" i="55"/>
  <c r="N147" i="55"/>
  <c r="AT146" i="55"/>
  <c r="O146" i="55"/>
  <c r="M169" i="55"/>
  <c r="AR169" i="55"/>
  <c r="AO164" i="55"/>
  <c r="DA164" i="55" s="1"/>
  <c r="J164" i="55"/>
  <c r="I168" i="55"/>
  <c r="AN168" i="55"/>
  <c r="AO166" i="55"/>
  <c r="DA166" i="55" s="1"/>
  <c r="J166" i="55"/>
  <c r="J162" i="55"/>
  <c r="AO162" i="55"/>
  <c r="DA162" i="55" s="1"/>
  <c r="J167" i="55"/>
  <c r="AO167" i="55"/>
  <c r="BU162" i="55"/>
  <c r="J165" i="55"/>
  <c r="AO165" i="55"/>
  <c r="DA165" i="55" s="1"/>
  <c r="O170" i="55"/>
  <c r="AT170" i="55"/>
  <c r="K163" i="55"/>
  <c r="AP163" i="55"/>
  <c r="DB163" i="55" s="1"/>
  <c r="AR124" i="55"/>
  <c r="M124" i="55"/>
  <c r="I99" i="55"/>
  <c r="AN99" i="55"/>
  <c r="J118" i="55"/>
  <c r="AO118" i="55"/>
  <c r="DA118" i="55" s="1"/>
  <c r="J98" i="55"/>
  <c r="AO98" i="55"/>
  <c r="K71" i="55"/>
  <c r="AP71" i="55"/>
  <c r="DB71" i="55" s="1"/>
  <c r="I76" i="55"/>
  <c r="AN76" i="55"/>
  <c r="J116" i="55"/>
  <c r="AO116" i="55"/>
  <c r="DA116" i="55" s="1"/>
  <c r="AN119" i="55"/>
  <c r="CZ119" i="55" s="1"/>
  <c r="I119" i="55"/>
  <c r="J97" i="55"/>
  <c r="AO97" i="55"/>
  <c r="DA97" i="55" s="1"/>
  <c r="AO121" i="55"/>
  <c r="J121" i="55"/>
  <c r="AO70" i="55"/>
  <c r="DA70" i="55" s="1"/>
  <c r="J70" i="55"/>
  <c r="J122" i="55"/>
  <c r="AO122" i="55"/>
  <c r="BT116" i="55"/>
  <c r="AO93" i="55"/>
  <c r="DA93" i="55" s="1"/>
  <c r="J93" i="55"/>
  <c r="AP117" i="55"/>
  <c r="DB117" i="55" s="1"/>
  <c r="K117" i="55"/>
  <c r="BU70" i="55"/>
  <c r="M123" i="55"/>
  <c r="AR123" i="55"/>
  <c r="BU93" i="55"/>
  <c r="AO75" i="55"/>
  <c r="J75" i="55"/>
  <c r="AO120" i="55"/>
  <c r="DA120" i="55" s="1"/>
  <c r="J120" i="55"/>
  <c r="K94" i="55"/>
  <c r="AP94" i="55"/>
  <c r="DB94" i="55" s="1"/>
  <c r="J74" i="55"/>
  <c r="AO74" i="55"/>
  <c r="DA74" i="55" s="1"/>
  <c r="N100" i="55"/>
  <c r="AS100" i="55"/>
  <c r="M101" i="55"/>
  <c r="AR101" i="55"/>
  <c r="BW97" i="55"/>
  <c r="N77" i="55"/>
  <c r="AS77" i="55"/>
  <c r="M78" i="55"/>
  <c r="AR78" i="55"/>
  <c r="I50" i="55"/>
  <c r="AN50" i="55"/>
  <c r="CZ50" i="55" s="1"/>
  <c r="J51" i="55"/>
  <c r="AO51" i="55"/>
  <c r="DA51" i="55" s="1"/>
  <c r="J47" i="55"/>
  <c r="AO47" i="55"/>
  <c r="DA47" i="55" s="1"/>
  <c r="J49" i="55"/>
  <c r="AO49" i="55"/>
  <c r="DA49" i="55" s="1"/>
  <c r="J53" i="55"/>
  <c r="AO53" i="55"/>
  <c r="J52" i="55"/>
  <c r="AO52" i="55"/>
  <c r="AP48" i="55"/>
  <c r="DB48" i="55" s="1"/>
  <c r="K48" i="55"/>
  <c r="AS54" i="55"/>
  <c r="N54" i="55"/>
  <c r="N55" i="55"/>
  <c r="AS55" i="55"/>
  <c r="L32" i="55"/>
  <c r="AQ32" i="55"/>
  <c r="L25" i="55"/>
  <c r="AQ25" i="55"/>
  <c r="DC25" i="55" s="1"/>
  <c r="L31" i="55"/>
  <c r="AQ31" i="55"/>
  <c r="J30" i="55"/>
  <c r="AO30" i="55"/>
  <c r="K28" i="55"/>
  <c r="AP28" i="55"/>
  <c r="DB28" i="55" s="1"/>
  <c r="BV24" i="55"/>
  <c r="K29" i="55"/>
  <c r="AP29" i="55"/>
  <c r="K24" i="55"/>
  <c r="AQ24" i="55" s="1"/>
  <c r="DC24" i="55" s="1"/>
  <c r="J204" i="55"/>
  <c r="J205" i="55" s="1"/>
  <c r="K3" i="55"/>
  <c r="P52" i="53"/>
  <c r="P49" i="53" s="1"/>
  <c r="F93" i="53"/>
  <c r="Q51" i="53"/>
  <c r="Q50" i="53"/>
  <c r="Q117" i="53"/>
  <c r="Q116" i="53" s="1"/>
  <c r="Q84" i="53"/>
  <c r="Q83" i="53" s="1"/>
  <c r="R1" i="53"/>
  <c r="R50" i="53" s="1"/>
  <c r="Q154" i="53"/>
  <c r="Q153" i="53" s="1"/>
  <c r="K247" i="53"/>
  <c r="G119" i="54"/>
  <c r="H118" i="54"/>
  <c r="G132" i="54"/>
  <c r="G135" i="54" s="1"/>
  <c r="E134" i="54"/>
  <c r="E131" i="54"/>
  <c r="H184" i="54"/>
  <c r="H187" i="54"/>
  <c r="D258" i="54"/>
  <c r="D259" i="54"/>
  <c r="F88" i="54"/>
  <c r="F83" i="54"/>
  <c r="F87" i="54"/>
  <c r="F100" i="54" s="1"/>
  <c r="Z144" i="54"/>
  <c r="Z148" i="54"/>
  <c r="H194" i="54"/>
  <c r="U247" i="54"/>
  <c r="K192" i="54"/>
  <c r="H180" i="54"/>
  <c r="E97" i="54"/>
  <c r="E96" i="54"/>
  <c r="E101" i="54"/>
  <c r="E102" i="54" s="1"/>
  <c r="E95" i="54"/>
  <c r="I125" i="54"/>
  <c r="J123" i="54"/>
  <c r="Q52" i="54"/>
  <c r="Q49" i="54" s="1"/>
  <c r="I185" i="54"/>
  <c r="I172" i="54"/>
  <c r="F153" i="54"/>
  <c r="H175" i="54"/>
  <c r="E128" i="54"/>
  <c r="E127" i="54"/>
  <c r="F116" i="54"/>
  <c r="F121" i="54"/>
  <c r="F120" i="54"/>
  <c r="P131" i="54"/>
  <c r="P134" i="54"/>
  <c r="Y134" i="54"/>
  <c r="Y131" i="54"/>
  <c r="I170" i="54"/>
  <c r="R154" i="54"/>
  <c r="R117" i="54"/>
  <c r="R84" i="54"/>
  <c r="S1" i="54"/>
  <c r="R51" i="54"/>
  <c r="R50" i="54"/>
  <c r="R145" i="54"/>
  <c r="AA154" i="54"/>
  <c r="AA145" i="54"/>
  <c r="AA117" i="54"/>
  <c r="AA84" i="54"/>
  <c r="AA51" i="54"/>
  <c r="AB1" i="54"/>
  <c r="AA50" i="54"/>
  <c r="Q144" i="54"/>
  <c r="Q148" i="54"/>
  <c r="H195" i="54"/>
  <c r="T251" i="54"/>
  <c r="N133" i="54"/>
  <c r="H178" i="54"/>
  <c r="G179" i="54"/>
  <c r="F148" i="54"/>
  <c r="F144" i="54"/>
  <c r="Z52" i="54"/>
  <c r="Z49" i="54" s="1"/>
  <c r="J181" i="54"/>
  <c r="H85" i="54"/>
  <c r="G86" i="54"/>
  <c r="AB118" i="54"/>
  <c r="AA132" i="54"/>
  <c r="AA135" i="54" s="1"/>
  <c r="AA119" i="54"/>
  <c r="I196" i="54"/>
  <c r="I171" i="54"/>
  <c r="H191" i="54"/>
  <c r="O133" i="54"/>
  <c r="Q83" i="54"/>
  <c r="I91" i="54"/>
  <c r="G154" i="54"/>
  <c r="G117" i="54"/>
  <c r="G84" i="54"/>
  <c r="G51" i="54"/>
  <c r="G50" i="54"/>
  <c r="H1" i="54"/>
  <c r="G145" i="54"/>
  <c r="I186" i="54"/>
  <c r="Z153" i="54"/>
  <c r="D105" i="54"/>
  <c r="D104" i="54"/>
  <c r="D103" i="54"/>
  <c r="Q120" i="54"/>
  <c r="Q116" i="54"/>
  <c r="Q121" i="54"/>
  <c r="Q128" i="54" s="1"/>
  <c r="X133" i="54"/>
  <c r="F52" i="54"/>
  <c r="F49" i="54" s="1"/>
  <c r="Z83" i="54"/>
  <c r="D133" i="54"/>
  <c r="I90" i="54"/>
  <c r="H93" i="54"/>
  <c r="I92" i="54"/>
  <c r="I174" i="54"/>
  <c r="S118" i="54"/>
  <c r="R119" i="54"/>
  <c r="R132" i="54"/>
  <c r="R135" i="54" s="1"/>
  <c r="K251" i="54"/>
  <c r="H193" i="54"/>
  <c r="Q153" i="54"/>
  <c r="H173" i="54"/>
  <c r="Z121" i="54"/>
  <c r="Z128" i="54" s="1"/>
  <c r="Z116" i="54"/>
  <c r="Z120" i="54"/>
  <c r="D121" i="53"/>
  <c r="D127" i="53" s="1"/>
  <c r="D116" i="53"/>
  <c r="E120" i="53"/>
  <c r="E116" i="53"/>
  <c r="F120" i="53"/>
  <c r="F121" i="53"/>
  <c r="F128" i="53" s="1"/>
  <c r="F258" i="53" s="1"/>
  <c r="G121" i="53"/>
  <c r="G127" i="53" s="1"/>
  <c r="G116" i="53"/>
  <c r="I123" i="53"/>
  <c r="H125" i="53"/>
  <c r="H193" i="53"/>
  <c r="F88" i="53"/>
  <c r="F87" i="53"/>
  <c r="F83" i="53"/>
  <c r="I83" i="53"/>
  <c r="I87" i="53"/>
  <c r="J191" i="53"/>
  <c r="H144" i="53"/>
  <c r="AC1" i="53"/>
  <c r="AB50" i="53"/>
  <c r="AB51" i="53"/>
  <c r="AB117" i="53"/>
  <c r="AB154" i="53"/>
  <c r="AB84" i="53"/>
  <c r="AB145" i="53"/>
  <c r="J174" i="53"/>
  <c r="H119" i="53"/>
  <c r="H121" i="53" s="1"/>
  <c r="H128" i="53" s="1"/>
  <c r="I118" i="53"/>
  <c r="E87" i="53"/>
  <c r="E83" i="53"/>
  <c r="E88" i="53"/>
  <c r="H184" i="53"/>
  <c r="I186" i="53"/>
  <c r="I51" i="53"/>
  <c r="J1" i="53"/>
  <c r="I50" i="53"/>
  <c r="I117" i="53"/>
  <c r="I145" i="53"/>
  <c r="I154" i="53"/>
  <c r="AA116" i="53"/>
  <c r="H170" i="53"/>
  <c r="H185" i="53"/>
  <c r="I90" i="53"/>
  <c r="AA144" i="53"/>
  <c r="H88" i="53"/>
  <c r="H95" i="53" s="1"/>
  <c r="H83" i="53"/>
  <c r="H87" i="53"/>
  <c r="H153" i="53"/>
  <c r="H52" i="53"/>
  <c r="H49" i="53" s="1"/>
  <c r="I171" i="53"/>
  <c r="H92" i="53"/>
  <c r="E128" i="53"/>
  <c r="E127" i="53"/>
  <c r="J181" i="53"/>
  <c r="I195" i="53"/>
  <c r="D88" i="53"/>
  <c r="D83" i="53"/>
  <c r="D87" i="53"/>
  <c r="G87" i="53"/>
  <c r="G83" i="53"/>
  <c r="G88" i="53"/>
  <c r="H196" i="53"/>
  <c r="J194" i="53"/>
  <c r="H120" i="53"/>
  <c r="H116" i="53"/>
  <c r="AA83" i="53"/>
  <c r="O83" i="53"/>
  <c r="J85" i="53"/>
  <c r="I86" i="53"/>
  <c r="I88" i="53" s="1"/>
  <c r="I172" i="53"/>
  <c r="J91" i="53"/>
  <c r="G179" i="53"/>
  <c r="H178" i="53"/>
  <c r="AA52" i="53"/>
  <c r="AA49" i="53" s="1"/>
  <c r="I187" i="53"/>
  <c r="H180" i="53"/>
  <c r="P83" i="53"/>
  <c r="N83" i="53"/>
  <c r="H192" i="53"/>
  <c r="H175" i="53"/>
  <c r="J173" i="53"/>
  <c r="J3" i="51"/>
  <c r="AL45" i="51"/>
  <c r="G45" i="51"/>
  <c r="D13" i="49"/>
  <c r="T7" i="49"/>
  <c r="Q52" i="53" l="1"/>
  <c r="Q49" i="53" s="1"/>
  <c r="CA75" i="59"/>
  <c r="CC2" i="59"/>
  <c r="CB64" i="59"/>
  <c r="CB73" i="59"/>
  <c r="CB65" i="59"/>
  <c r="CB66" i="59"/>
  <c r="CB67" i="59"/>
  <c r="CB68" i="59"/>
  <c r="CB69" i="59"/>
  <c r="CB70" i="59"/>
  <c r="CB61" i="59"/>
  <c r="CB62" i="59"/>
  <c r="CB63" i="59"/>
  <c r="CB74" i="59"/>
  <c r="CB72" i="59"/>
  <c r="CB71" i="59"/>
  <c r="AQ143" i="55"/>
  <c r="DC143" i="55" s="1"/>
  <c r="L143" i="55"/>
  <c r="AP145" i="55"/>
  <c r="K145" i="55"/>
  <c r="L139" i="55"/>
  <c r="AQ139" i="55"/>
  <c r="DC139" i="55" s="1"/>
  <c r="AR140" i="55"/>
  <c r="DD140" i="55" s="1"/>
  <c r="M140" i="55"/>
  <c r="AQ144" i="55"/>
  <c r="L144" i="55"/>
  <c r="AT147" i="55"/>
  <c r="O147" i="55"/>
  <c r="AU146" i="55"/>
  <c r="P146" i="55"/>
  <c r="J168" i="55"/>
  <c r="AO168" i="55"/>
  <c r="L163" i="55"/>
  <c r="AQ163" i="55"/>
  <c r="DC163" i="55" s="1"/>
  <c r="K167" i="55"/>
  <c r="AP167" i="55"/>
  <c r="P170" i="55"/>
  <c r="AU170" i="55"/>
  <c r="K162" i="55"/>
  <c r="AP162" i="55"/>
  <c r="DB162" i="55" s="1"/>
  <c r="AP164" i="55"/>
  <c r="DB164" i="55" s="1"/>
  <c r="K164" i="55"/>
  <c r="K165" i="55"/>
  <c r="AP165" i="55"/>
  <c r="DB165" i="55" s="1"/>
  <c r="K166" i="55"/>
  <c r="AP166" i="55"/>
  <c r="DB166" i="55" s="1"/>
  <c r="BV162" i="55"/>
  <c r="AS169" i="55"/>
  <c r="N169" i="55"/>
  <c r="N124" i="55"/>
  <c r="AS124" i="55"/>
  <c r="AS123" i="55"/>
  <c r="N123" i="55"/>
  <c r="AP75" i="55"/>
  <c r="K75" i="55"/>
  <c r="K97" i="55"/>
  <c r="AP97" i="55"/>
  <c r="DB97" i="55" s="1"/>
  <c r="AO76" i="55"/>
  <c r="J76" i="55"/>
  <c r="J119" i="55"/>
  <c r="AO119" i="55"/>
  <c r="DA119" i="55" s="1"/>
  <c r="L117" i="55"/>
  <c r="AQ117" i="55"/>
  <c r="DC117" i="55" s="1"/>
  <c r="K70" i="55"/>
  <c r="AP70" i="55"/>
  <c r="DB70" i="55" s="1"/>
  <c r="L71" i="55"/>
  <c r="AQ71" i="55"/>
  <c r="DC71" i="55" s="1"/>
  <c r="J99" i="55"/>
  <c r="AO99" i="55"/>
  <c r="K74" i="55"/>
  <c r="AP74" i="55"/>
  <c r="DB74" i="55" s="1"/>
  <c r="BV93" i="55"/>
  <c r="AP93" i="55"/>
  <c r="DB93" i="55" s="1"/>
  <c r="K93" i="55"/>
  <c r="BU116" i="55"/>
  <c r="AP116" i="55"/>
  <c r="DB116" i="55" s="1"/>
  <c r="K116" i="55"/>
  <c r="AP98" i="55"/>
  <c r="K98" i="55"/>
  <c r="AQ94" i="55"/>
  <c r="DC94" i="55" s="1"/>
  <c r="L94" i="55"/>
  <c r="AP121" i="55"/>
  <c r="K121" i="55"/>
  <c r="AP120" i="55"/>
  <c r="DB120" i="55" s="1"/>
  <c r="K120" i="55"/>
  <c r="AP118" i="55"/>
  <c r="DB118" i="55" s="1"/>
  <c r="K118" i="55"/>
  <c r="BV70" i="55"/>
  <c r="K122" i="55"/>
  <c r="AP122" i="55"/>
  <c r="BX97" i="55"/>
  <c r="N101" i="55"/>
  <c r="AS101" i="55"/>
  <c r="O100" i="55"/>
  <c r="AT100" i="55"/>
  <c r="O77" i="55"/>
  <c r="AT77" i="55"/>
  <c r="N78" i="55"/>
  <c r="AS78" i="55"/>
  <c r="AP51" i="55"/>
  <c r="DB51" i="55" s="1"/>
  <c r="K51" i="55"/>
  <c r="L48" i="55"/>
  <c r="AQ48" i="55"/>
  <c r="DC48" i="55" s="1"/>
  <c r="AP53" i="55"/>
  <c r="K53" i="55"/>
  <c r="AO50" i="55"/>
  <c r="DA50" i="55" s="1"/>
  <c r="J50" i="55"/>
  <c r="K52" i="55"/>
  <c r="AP52" i="55"/>
  <c r="K49" i="55"/>
  <c r="AP49" i="55"/>
  <c r="DB49" i="55" s="1"/>
  <c r="AP47" i="55"/>
  <c r="DB47" i="55" s="1"/>
  <c r="K47" i="55"/>
  <c r="AT54" i="55"/>
  <c r="O54" i="55"/>
  <c r="O55" i="55"/>
  <c r="AT55" i="55"/>
  <c r="K30" i="55"/>
  <c r="AP30" i="55"/>
  <c r="L28" i="55"/>
  <c r="AQ28" i="55"/>
  <c r="DC28" i="55" s="1"/>
  <c r="L29" i="55"/>
  <c r="AQ29" i="55"/>
  <c r="M31" i="55"/>
  <c r="AR31" i="55"/>
  <c r="M25" i="55"/>
  <c r="AR25" i="55"/>
  <c r="DD25" i="55" s="1"/>
  <c r="BW24" i="55"/>
  <c r="M32" i="55"/>
  <c r="AR32" i="55"/>
  <c r="L24" i="55"/>
  <c r="AR24" i="55" s="1"/>
  <c r="DD24" i="55" s="1"/>
  <c r="K204" i="55"/>
  <c r="K205" i="55" s="1"/>
  <c r="L3" i="55"/>
  <c r="R154" i="53"/>
  <c r="R145" i="53"/>
  <c r="R144" i="53" s="1"/>
  <c r="R117" i="53"/>
  <c r="R84" i="53"/>
  <c r="R83" i="53" s="1"/>
  <c r="R51" i="53"/>
  <c r="S1" i="53"/>
  <c r="S145" i="53" s="1"/>
  <c r="D128" i="53"/>
  <c r="D259" i="53" s="1"/>
  <c r="L247" i="53"/>
  <c r="J185" i="54"/>
  <c r="J92" i="54"/>
  <c r="J186" i="54"/>
  <c r="G121" i="54"/>
  <c r="G120" i="54"/>
  <c r="G116" i="54"/>
  <c r="H86" i="54"/>
  <c r="I85" i="54"/>
  <c r="K181" i="54"/>
  <c r="AA52" i="54"/>
  <c r="AA49" i="54" s="1"/>
  <c r="R52" i="54"/>
  <c r="R49" i="54" s="1"/>
  <c r="Y133" i="54"/>
  <c r="V247" i="54"/>
  <c r="AB154" i="54"/>
  <c r="AB145" i="54"/>
  <c r="AB117" i="54"/>
  <c r="AB84" i="54"/>
  <c r="AB51" i="54"/>
  <c r="AB50" i="54"/>
  <c r="AC1" i="54"/>
  <c r="Q131" i="54"/>
  <c r="Q134" i="54"/>
  <c r="J196" i="54"/>
  <c r="S154" i="54"/>
  <c r="S145" i="54"/>
  <c r="S117" i="54"/>
  <c r="S84" i="54"/>
  <c r="S51" i="54"/>
  <c r="S50" i="54"/>
  <c r="T1" i="54"/>
  <c r="E258" i="54"/>
  <c r="E259" i="54"/>
  <c r="I187" i="54"/>
  <c r="I193" i="54"/>
  <c r="J91" i="54"/>
  <c r="Z131" i="54"/>
  <c r="Z134" i="54"/>
  <c r="J90" i="54"/>
  <c r="I93" i="54"/>
  <c r="G144" i="54"/>
  <c r="G148" i="54"/>
  <c r="I178" i="54"/>
  <c r="H179" i="54"/>
  <c r="AA83" i="54"/>
  <c r="R83" i="54"/>
  <c r="I175" i="54"/>
  <c r="I180" i="54"/>
  <c r="L251" i="54"/>
  <c r="S132" i="54"/>
  <c r="S135" i="54" s="1"/>
  <c r="T118" i="54"/>
  <c r="S119" i="54"/>
  <c r="H154" i="54"/>
  <c r="H145" i="54"/>
  <c r="H117" i="54"/>
  <c r="H84" i="54"/>
  <c r="H51" i="54"/>
  <c r="H50" i="54"/>
  <c r="I1" i="54"/>
  <c r="AA120" i="54"/>
  <c r="AA116" i="54"/>
  <c r="AA121" i="54"/>
  <c r="AA128" i="54" s="1"/>
  <c r="R121" i="54"/>
  <c r="R128" i="54" s="1"/>
  <c r="R120" i="54"/>
  <c r="R116" i="54"/>
  <c r="P133" i="54"/>
  <c r="I184" i="54"/>
  <c r="G52" i="54"/>
  <c r="G49" i="54" s="1"/>
  <c r="U251" i="54"/>
  <c r="AA148" i="54"/>
  <c r="AA144" i="54"/>
  <c r="R153" i="54"/>
  <c r="F131" i="54"/>
  <c r="F134" i="54"/>
  <c r="L192" i="54"/>
  <c r="J171" i="54"/>
  <c r="I118" i="54"/>
  <c r="H132" i="54"/>
  <c r="H135" i="54" s="1"/>
  <c r="H119" i="54"/>
  <c r="J174" i="54"/>
  <c r="I173" i="54"/>
  <c r="I191" i="54"/>
  <c r="AB119" i="54"/>
  <c r="AB132" i="54"/>
  <c r="AB135" i="54" s="1"/>
  <c r="AC118" i="54"/>
  <c r="I195" i="54"/>
  <c r="AA153" i="54"/>
  <c r="J170" i="54"/>
  <c r="F128" i="54"/>
  <c r="F127" i="54"/>
  <c r="J125" i="54"/>
  <c r="K123" i="54"/>
  <c r="E103" i="54"/>
  <c r="E105" i="54"/>
  <c r="E104" i="54"/>
  <c r="E133" i="54"/>
  <c r="G153" i="54"/>
  <c r="I194" i="54"/>
  <c r="G87" i="54"/>
  <c r="G100" i="54" s="1"/>
  <c r="G88" i="54"/>
  <c r="G83" i="54"/>
  <c r="R144" i="54"/>
  <c r="R148" i="54"/>
  <c r="J172" i="54"/>
  <c r="F96" i="54"/>
  <c r="F97" i="54"/>
  <c r="F101" i="54"/>
  <c r="F102" i="54" s="1"/>
  <c r="F95" i="54"/>
  <c r="F127" i="53"/>
  <c r="G128" i="53"/>
  <c r="G258" i="53" s="1"/>
  <c r="I96" i="53"/>
  <c r="J187" i="53"/>
  <c r="H258" i="53"/>
  <c r="I178" i="53"/>
  <c r="H179" i="53"/>
  <c r="H259" i="53" s="1"/>
  <c r="R153" i="53"/>
  <c r="I119" i="53"/>
  <c r="I121" i="53" s="1"/>
  <c r="I128" i="53" s="1"/>
  <c r="J118" i="53"/>
  <c r="AB153" i="53"/>
  <c r="H127" i="53"/>
  <c r="E258" i="53"/>
  <c r="E259" i="53"/>
  <c r="R116" i="53"/>
  <c r="I153" i="53"/>
  <c r="I184" i="53"/>
  <c r="AB116" i="53"/>
  <c r="F259" i="53"/>
  <c r="I95" i="53"/>
  <c r="J90" i="53"/>
  <c r="I170" i="53"/>
  <c r="I144" i="53"/>
  <c r="F97" i="53"/>
  <c r="F96" i="53"/>
  <c r="F95" i="53"/>
  <c r="K181" i="53"/>
  <c r="I92" i="53"/>
  <c r="H93" i="53"/>
  <c r="I120" i="53"/>
  <c r="I116" i="53"/>
  <c r="AB52" i="53"/>
  <c r="AB49" i="53" s="1"/>
  <c r="K191" i="53"/>
  <c r="I193" i="53"/>
  <c r="I175" i="53"/>
  <c r="K194" i="53"/>
  <c r="D96" i="53"/>
  <c r="D97" i="53"/>
  <c r="D95" i="53"/>
  <c r="R52" i="53"/>
  <c r="R49" i="53" s="1"/>
  <c r="I52" i="53"/>
  <c r="I49" i="53" s="1"/>
  <c r="E97" i="53"/>
  <c r="E96" i="53"/>
  <c r="E95" i="53"/>
  <c r="AD1" i="53"/>
  <c r="AC51" i="53"/>
  <c r="AC50" i="53"/>
  <c r="AC117" i="53"/>
  <c r="AC145" i="53"/>
  <c r="AC154" i="53"/>
  <c r="AC84" i="53"/>
  <c r="K85" i="53"/>
  <c r="J86" i="53"/>
  <c r="J171" i="53"/>
  <c r="H96" i="53"/>
  <c r="H97" i="53"/>
  <c r="I185" i="53"/>
  <c r="J51" i="53"/>
  <c r="J50" i="53"/>
  <c r="K1" i="53"/>
  <c r="J117" i="53"/>
  <c r="J145" i="53"/>
  <c r="J154" i="53"/>
  <c r="J84" i="53"/>
  <c r="K173" i="53"/>
  <c r="I192" i="53"/>
  <c r="I180" i="53"/>
  <c r="K91" i="53"/>
  <c r="J172" i="53"/>
  <c r="I196" i="53"/>
  <c r="J195" i="53"/>
  <c r="K174" i="53"/>
  <c r="AB144" i="53"/>
  <c r="G97" i="53"/>
  <c r="G96" i="53"/>
  <c r="G95" i="53"/>
  <c r="J186" i="53"/>
  <c r="AB83" i="53"/>
  <c r="J123" i="53"/>
  <c r="I125" i="53"/>
  <c r="H45" i="51"/>
  <c r="AM45" i="51"/>
  <c r="K3" i="51"/>
  <c r="T8" i="49"/>
  <c r="CB75" i="59" l="1"/>
  <c r="CD2" i="59"/>
  <c r="CC64" i="59"/>
  <c r="CC73" i="59"/>
  <c r="CC65" i="59"/>
  <c r="CC66" i="59"/>
  <c r="CC67" i="59"/>
  <c r="CC68" i="59"/>
  <c r="CC69" i="59"/>
  <c r="CC61" i="59"/>
  <c r="CC70" i="59"/>
  <c r="CC62" i="59"/>
  <c r="CC72" i="59"/>
  <c r="CC63" i="59"/>
  <c r="CC74" i="59"/>
  <c r="CC71" i="59"/>
  <c r="AR139" i="55"/>
  <c r="DD139" i="55" s="1"/>
  <c r="M139" i="55"/>
  <c r="AQ145" i="55"/>
  <c r="L145" i="55"/>
  <c r="AR144" i="55"/>
  <c r="M144" i="55"/>
  <c r="AS140" i="55"/>
  <c r="DE140" i="55" s="1"/>
  <c r="N140" i="55"/>
  <c r="AR143" i="55"/>
  <c r="DD143" i="55" s="1"/>
  <c r="M143" i="55"/>
  <c r="Q146" i="55"/>
  <c r="AV146" i="55"/>
  <c r="AU147" i="55"/>
  <c r="P147" i="55"/>
  <c r="AQ167" i="55"/>
  <c r="L167" i="55"/>
  <c r="L166" i="55"/>
  <c r="AQ166" i="55"/>
  <c r="DC166" i="55" s="1"/>
  <c r="AQ162" i="55"/>
  <c r="DC162" i="55" s="1"/>
  <c r="L162" i="55"/>
  <c r="M163" i="55"/>
  <c r="AR163" i="55"/>
  <c r="DD163" i="55" s="1"/>
  <c r="L165" i="55"/>
  <c r="AQ165" i="55"/>
  <c r="DC165" i="55" s="1"/>
  <c r="AT169" i="55"/>
  <c r="O169" i="55"/>
  <c r="K168" i="55"/>
  <c r="AP168" i="55"/>
  <c r="Q170" i="55"/>
  <c r="AV170" i="55"/>
  <c r="BW162" i="55"/>
  <c r="AQ164" i="55"/>
  <c r="DC164" i="55" s="1"/>
  <c r="L164" i="55"/>
  <c r="O124" i="55"/>
  <c r="AT124" i="55"/>
  <c r="L121" i="55"/>
  <c r="AQ121" i="55"/>
  <c r="M117" i="55"/>
  <c r="AR117" i="55"/>
  <c r="DD117" i="55" s="1"/>
  <c r="M94" i="55"/>
  <c r="AR94" i="55"/>
  <c r="DD94" i="55" s="1"/>
  <c r="BV116" i="55"/>
  <c r="K119" i="55"/>
  <c r="AP119" i="55"/>
  <c r="DB119" i="55" s="1"/>
  <c r="L97" i="55"/>
  <c r="AQ97" i="55"/>
  <c r="DC97" i="55" s="1"/>
  <c r="AQ118" i="55"/>
  <c r="DC118" i="55" s="1"/>
  <c r="L118" i="55"/>
  <c r="AR71" i="55"/>
  <c r="DD71" i="55" s="1"/>
  <c r="M71" i="55"/>
  <c r="L75" i="55"/>
  <c r="AQ75" i="55"/>
  <c r="BW70" i="55"/>
  <c r="K99" i="55"/>
  <c r="AP99" i="55"/>
  <c r="L98" i="55"/>
  <c r="AQ98" i="55"/>
  <c r="L93" i="55"/>
  <c r="AQ93" i="55"/>
  <c r="DC93" i="55" s="1"/>
  <c r="AQ122" i="55"/>
  <c r="L122" i="55"/>
  <c r="AQ120" i="55"/>
  <c r="DC120" i="55" s="1"/>
  <c r="L120" i="55"/>
  <c r="AQ116" i="55"/>
  <c r="DC116" i="55" s="1"/>
  <c r="L116" i="55"/>
  <c r="L70" i="55"/>
  <c r="AQ70" i="55"/>
  <c r="DC70" i="55" s="1"/>
  <c r="BW93" i="55"/>
  <c r="O123" i="55"/>
  <c r="AT123" i="55"/>
  <c r="L74" i="55"/>
  <c r="AQ74" i="55"/>
  <c r="DC74" i="55" s="1"/>
  <c r="K76" i="55"/>
  <c r="AP76" i="55"/>
  <c r="O101" i="55"/>
  <c r="AT101" i="55"/>
  <c r="AU100" i="55"/>
  <c r="P100" i="55"/>
  <c r="BY97" i="55"/>
  <c r="O78" i="55"/>
  <c r="AT78" i="55"/>
  <c r="AU77" i="55"/>
  <c r="P77" i="55"/>
  <c r="L49" i="55"/>
  <c r="AQ49" i="55"/>
  <c r="DC49" i="55" s="1"/>
  <c r="L52" i="55"/>
  <c r="AQ52" i="55"/>
  <c r="AQ53" i="55"/>
  <c r="L53" i="55"/>
  <c r="L47" i="55"/>
  <c r="AQ47" i="55"/>
  <c r="DC47" i="55" s="1"/>
  <c r="AP50" i="55"/>
  <c r="DB50" i="55" s="1"/>
  <c r="K50" i="55"/>
  <c r="AR48" i="55"/>
  <c r="DD48" i="55" s="1"/>
  <c r="M48" i="55"/>
  <c r="L51" i="55"/>
  <c r="AQ51" i="55"/>
  <c r="DC51" i="55" s="1"/>
  <c r="AU54" i="55"/>
  <c r="P54" i="55"/>
  <c r="P55" i="55"/>
  <c r="AU55" i="55"/>
  <c r="N25" i="55"/>
  <c r="AS25" i="55"/>
  <c r="DE25" i="55" s="1"/>
  <c r="N31" i="55"/>
  <c r="AS31" i="55"/>
  <c r="M28" i="55"/>
  <c r="AR28" i="55"/>
  <c r="DD28" i="55" s="1"/>
  <c r="L30" i="55"/>
  <c r="AQ30" i="55"/>
  <c r="N32" i="55"/>
  <c r="AS32" i="55"/>
  <c r="BX24" i="55"/>
  <c r="M29" i="55"/>
  <c r="AR29" i="55"/>
  <c r="M24" i="55"/>
  <c r="AS24" i="55" s="1"/>
  <c r="DE24" i="55" s="1"/>
  <c r="L204" i="55"/>
  <c r="L205" i="55" s="1"/>
  <c r="M3" i="55"/>
  <c r="D258" i="53"/>
  <c r="S117" i="53"/>
  <c r="S116" i="53" s="1"/>
  <c r="S50" i="53"/>
  <c r="S84" i="53"/>
  <c r="S154" i="53"/>
  <c r="S153" i="53" s="1"/>
  <c r="T1" i="53"/>
  <c r="T145" i="53" s="1"/>
  <c r="S51" i="53"/>
  <c r="M247" i="53"/>
  <c r="H153" i="54"/>
  <c r="S83" i="54"/>
  <c r="AC154" i="54"/>
  <c r="AC145" i="54"/>
  <c r="AC117" i="54"/>
  <c r="AC50" i="54"/>
  <c r="AC51" i="54"/>
  <c r="AD1" i="54"/>
  <c r="AC84" i="54"/>
  <c r="J194" i="54"/>
  <c r="J173" i="54"/>
  <c r="V251" i="54"/>
  <c r="Z133" i="54"/>
  <c r="S120" i="54"/>
  <c r="S116" i="54"/>
  <c r="S121" i="54"/>
  <c r="S128" i="54" s="1"/>
  <c r="AB52" i="54"/>
  <c r="AB49" i="54" s="1"/>
  <c r="G134" i="54"/>
  <c r="G131" i="54"/>
  <c r="AC132" i="54"/>
  <c r="AC135" i="54" s="1"/>
  <c r="AC119" i="54"/>
  <c r="AD118" i="54"/>
  <c r="K172" i="54"/>
  <c r="F258" i="54"/>
  <c r="F259" i="54"/>
  <c r="J191" i="54"/>
  <c r="R131" i="54"/>
  <c r="R134" i="54"/>
  <c r="I154" i="54"/>
  <c r="I117" i="54"/>
  <c r="I84" i="54"/>
  <c r="I51" i="54"/>
  <c r="I50" i="54"/>
  <c r="J1" i="54"/>
  <c r="I145" i="54"/>
  <c r="T132" i="54"/>
  <c r="T135" i="54" s="1"/>
  <c r="U118" i="54"/>
  <c r="T119" i="54"/>
  <c r="S148" i="54"/>
  <c r="S144" i="54"/>
  <c r="G128" i="54"/>
  <c r="G127" i="54"/>
  <c r="K92" i="54"/>
  <c r="K185" i="54"/>
  <c r="K174" i="54"/>
  <c r="F133" i="54"/>
  <c r="J184" i="54"/>
  <c r="H52" i="54"/>
  <c r="H49" i="54" s="1"/>
  <c r="J175" i="54"/>
  <c r="K91" i="54"/>
  <c r="S153" i="54"/>
  <c r="AB83" i="54"/>
  <c r="K186" i="54"/>
  <c r="J180" i="54"/>
  <c r="J187" i="54"/>
  <c r="Q133" i="54"/>
  <c r="J193" i="54"/>
  <c r="K196" i="54"/>
  <c r="AB121" i="54"/>
  <c r="AB128" i="54" s="1"/>
  <c r="AB116" i="54"/>
  <c r="AB120" i="54"/>
  <c r="L181" i="54"/>
  <c r="H144" i="54"/>
  <c r="H148" i="54"/>
  <c r="M192" i="54"/>
  <c r="F104" i="54"/>
  <c r="F105" i="54"/>
  <c r="F103" i="54"/>
  <c r="G97" i="54"/>
  <c r="G101" i="54"/>
  <c r="G102" i="54" s="1"/>
  <c r="G96" i="54"/>
  <c r="G95" i="54"/>
  <c r="L123" i="54"/>
  <c r="K125" i="54"/>
  <c r="J195" i="54"/>
  <c r="K171" i="54"/>
  <c r="H87" i="54"/>
  <c r="H100" i="54" s="1"/>
  <c r="H88" i="54"/>
  <c r="H83" i="54"/>
  <c r="I179" i="54"/>
  <c r="J178" i="54"/>
  <c r="T154" i="54"/>
  <c r="T145" i="54"/>
  <c r="T117" i="54"/>
  <c r="T84" i="54"/>
  <c r="T50" i="54"/>
  <c r="T51" i="54"/>
  <c r="U1" i="54"/>
  <c r="AB148" i="54"/>
  <c r="AB144" i="54"/>
  <c r="W247" i="54"/>
  <c r="J118" i="54"/>
  <c r="I132" i="54"/>
  <c r="I135" i="54" s="1"/>
  <c r="I119" i="54"/>
  <c r="K170" i="54"/>
  <c r="AA131" i="54"/>
  <c r="AA134" i="54"/>
  <c r="H121" i="54"/>
  <c r="H120" i="54"/>
  <c r="H116" i="54"/>
  <c r="J93" i="54"/>
  <c r="K90" i="54"/>
  <c r="S52" i="54"/>
  <c r="S49" i="54" s="1"/>
  <c r="AB153" i="54"/>
  <c r="J85" i="54"/>
  <c r="I86" i="54"/>
  <c r="G259" i="53"/>
  <c r="I127" i="53"/>
  <c r="AC144" i="53"/>
  <c r="J88" i="53"/>
  <c r="J95" i="53" s="1"/>
  <c r="J83" i="53"/>
  <c r="J87" i="53"/>
  <c r="AC83" i="53"/>
  <c r="S144" i="53"/>
  <c r="L181" i="53"/>
  <c r="K187" i="53"/>
  <c r="L91" i="53"/>
  <c r="K171" i="53"/>
  <c r="S83" i="53"/>
  <c r="J196" i="53"/>
  <c r="J192" i="53"/>
  <c r="J153" i="53"/>
  <c r="AC153" i="53"/>
  <c r="L194" i="53"/>
  <c r="T50" i="53"/>
  <c r="J170" i="53"/>
  <c r="K186" i="53"/>
  <c r="K172" i="53"/>
  <c r="L173" i="53"/>
  <c r="J120" i="53"/>
  <c r="J116" i="53"/>
  <c r="AC116" i="53"/>
  <c r="J175" i="53"/>
  <c r="J193" i="53"/>
  <c r="J184" i="53"/>
  <c r="J144" i="53"/>
  <c r="K50" i="53"/>
  <c r="K51" i="53"/>
  <c r="L1" i="53"/>
  <c r="K154" i="53"/>
  <c r="K145" i="53"/>
  <c r="K117" i="53"/>
  <c r="K84" i="53"/>
  <c r="AC52" i="53"/>
  <c r="AC49" i="53" s="1"/>
  <c r="AE1" i="53"/>
  <c r="AD51" i="53"/>
  <c r="AD50" i="53"/>
  <c r="AD84" i="53"/>
  <c r="AD117" i="53"/>
  <c r="AD154" i="53"/>
  <c r="AD145" i="53"/>
  <c r="L191" i="53"/>
  <c r="J92" i="53"/>
  <c r="J93" i="53" s="1"/>
  <c r="K90" i="53"/>
  <c r="I97" i="53"/>
  <c r="J52" i="53"/>
  <c r="J49" i="53" s="1"/>
  <c r="I258" i="53"/>
  <c r="J178" i="53"/>
  <c r="I179" i="53"/>
  <c r="I259" i="53" s="1"/>
  <c r="J125" i="53"/>
  <c r="K123" i="53"/>
  <c r="L174" i="53"/>
  <c r="K195" i="53"/>
  <c r="J180" i="53"/>
  <c r="J185" i="53"/>
  <c r="L85" i="53"/>
  <c r="K86" i="53"/>
  <c r="I93" i="53"/>
  <c r="K118" i="53"/>
  <c r="J119" i="53"/>
  <c r="J121" i="53" s="1"/>
  <c r="AN45" i="51"/>
  <c r="I45" i="51"/>
  <c r="L3" i="51"/>
  <c r="AM10" i="12"/>
  <c r="S52" i="53" l="1"/>
  <c r="S49" i="53" s="1"/>
  <c r="CC75" i="59"/>
  <c r="CE2" i="59"/>
  <c r="CD73" i="59"/>
  <c r="CD65" i="59"/>
  <c r="CD66" i="59"/>
  <c r="CD67" i="59"/>
  <c r="CD68" i="59"/>
  <c r="CD69" i="59"/>
  <c r="CD61" i="59"/>
  <c r="CD70" i="59"/>
  <c r="CD62" i="59"/>
  <c r="CD64" i="59"/>
  <c r="CD72" i="59"/>
  <c r="CD74" i="59"/>
  <c r="CD63" i="59"/>
  <c r="CD71" i="59"/>
  <c r="AS144" i="55"/>
  <c r="N144" i="55"/>
  <c r="AS143" i="55"/>
  <c r="DE143" i="55" s="1"/>
  <c r="N143" i="55"/>
  <c r="M145" i="55"/>
  <c r="AR145" i="55"/>
  <c r="O140" i="55"/>
  <c r="AT140" i="55"/>
  <c r="DF140" i="55" s="1"/>
  <c r="N139" i="55"/>
  <c r="AS139" i="55"/>
  <c r="DE139" i="55" s="1"/>
  <c r="AW146" i="55"/>
  <c r="R146" i="55"/>
  <c r="AV147" i="55"/>
  <c r="Q147" i="55"/>
  <c r="M164" i="55"/>
  <c r="AR164" i="55"/>
  <c r="DD164" i="55" s="1"/>
  <c r="AR162" i="55"/>
  <c r="DD162" i="55" s="1"/>
  <c r="M162" i="55"/>
  <c r="BX162" i="55"/>
  <c r="AU169" i="55"/>
  <c r="P169" i="55"/>
  <c r="M166" i="55"/>
  <c r="AR166" i="55"/>
  <c r="DD166" i="55" s="1"/>
  <c r="R170" i="55"/>
  <c r="AW170" i="55"/>
  <c r="AR165" i="55"/>
  <c r="DD165" i="55" s="1"/>
  <c r="M165" i="55"/>
  <c r="AR167" i="55"/>
  <c r="M167" i="55"/>
  <c r="AQ168" i="55"/>
  <c r="L168" i="55"/>
  <c r="N163" i="55"/>
  <c r="AS163" i="55"/>
  <c r="DE163" i="55" s="1"/>
  <c r="P124" i="55"/>
  <c r="AU124" i="55"/>
  <c r="N71" i="55"/>
  <c r="AS71" i="55"/>
  <c r="DE71" i="55" s="1"/>
  <c r="P123" i="55"/>
  <c r="AU123" i="55"/>
  <c r="AR116" i="55"/>
  <c r="DD116" i="55" s="1"/>
  <c r="M116" i="55"/>
  <c r="BW116" i="55"/>
  <c r="AQ119" i="55"/>
  <c r="DC119" i="55" s="1"/>
  <c r="L119" i="55"/>
  <c r="AQ99" i="55"/>
  <c r="L99" i="55"/>
  <c r="AR121" i="55"/>
  <c r="M121" i="55"/>
  <c r="AR98" i="55"/>
  <c r="M98" i="55"/>
  <c r="BX70" i="55"/>
  <c r="AR118" i="55"/>
  <c r="DD118" i="55" s="1"/>
  <c r="M118" i="55"/>
  <c r="L76" i="55"/>
  <c r="AQ76" i="55"/>
  <c r="BX93" i="55"/>
  <c r="M120" i="55"/>
  <c r="AR120" i="55"/>
  <c r="DD120" i="55" s="1"/>
  <c r="N94" i="55"/>
  <c r="AS94" i="55"/>
  <c r="DE94" i="55" s="1"/>
  <c r="M93" i="55"/>
  <c r="AR93" i="55"/>
  <c r="DD93" i="55" s="1"/>
  <c r="M74" i="55"/>
  <c r="AR74" i="55"/>
  <c r="DD74" i="55" s="1"/>
  <c r="M70" i="55"/>
  <c r="AR70" i="55"/>
  <c r="DD70" i="55" s="1"/>
  <c r="AR122" i="55"/>
  <c r="M122" i="55"/>
  <c r="AR75" i="55"/>
  <c r="M75" i="55"/>
  <c r="AR97" i="55"/>
  <c r="DD97" i="55" s="1"/>
  <c r="M97" i="55"/>
  <c r="N117" i="55"/>
  <c r="AS117" i="55"/>
  <c r="DE117" i="55" s="1"/>
  <c r="BZ97" i="55"/>
  <c r="AV100" i="55"/>
  <c r="Q100" i="55"/>
  <c r="P101" i="55"/>
  <c r="AU101" i="55"/>
  <c r="P78" i="55"/>
  <c r="AU78" i="55"/>
  <c r="AV77" i="55"/>
  <c r="Q77" i="55"/>
  <c r="AS48" i="55"/>
  <c r="DE48" i="55" s="1"/>
  <c r="N48" i="55"/>
  <c r="M47" i="55"/>
  <c r="AR47" i="55"/>
  <c r="DD47" i="55" s="1"/>
  <c r="AR53" i="55"/>
  <c r="M53" i="55"/>
  <c r="M51" i="55"/>
  <c r="AR51" i="55"/>
  <c r="DD51" i="55" s="1"/>
  <c r="AQ50" i="55"/>
  <c r="DC50" i="55" s="1"/>
  <c r="L50" i="55"/>
  <c r="M52" i="55"/>
  <c r="AR52" i="55"/>
  <c r="M49" i="55"/>
  <c r="AR49" i="55"/>
  <c r="DD49" i="55" s="1"/>
  <c r="AV55" i="55"/>
  <c r="Q55" i="55"/>
  <c r="Q54" i="55"/>
  <c r="AV54" i="55"/>
  <c r="M30" i="55"/>
  <c r="AR30" i="55"/>
  <c r="BY24" i="55"/>
  <c r="O25" i="55"/>
  <c r="AT25" i="55"/>
  <c r="DF25" i="55" s="1"/>
  <c r="O31" i="55"/>
  <c r="AT31" i="55"/>
  <c r="N29" i="55"/>
  <c r="AS29" i="55"/>
  <c r="O32" i="55"/>
  <c r="AT32" i="55"/>
  <c r="N28" i="55"/>
  <c r="AS28" i="55"/>
  <c r="DE28" i="55" s="1"/>
  <c r="N24" i="55"/>
  <c r="AT24" i="55" s="1"/>
  <c r="DF24" i="55" s="1"/>
  <c r="M204" i="55"/>
  <c r="M205" i="55" s="1"/>
  <c r="N3" i="55"/>
  <c r="T84" i="53"/>
  <c r="T83" i="53" s="1"/>
  <c r="T154" i="53"/>
  <c r="T153" i="53" s="1"/>
  <c r="T117" i="53"/>
  <c r="T51" i="53"/>
  <c r="T52" i="53" s="1"/>
  <c r="T49" i="53" s="1"/>
  <c r="U1" i="53"/>
  <c r="U145" i="53" s="1"/>
  <c r="N247" i="53"/>
  <c r="M181" i="54"/>
  <c r="L174" i="54"/>
  <c r="G258" i="54"/>
  <c r="G259" i="54"/>
  <c r="AC144" i="54"/>
  <c r="AC148" i="54"/>
  <c r="J86" i="54"/>
  <c r="K85" i="54"/>
  <c r="L170" i="54"/>
  <c r="X247" i="54"/>
  <c r="T148" i="54"/>
  <c r="T144" i="54"/>
  <c r="M123" i="54"/>
  <c r="L125" i="54"/>
  <c r="K180" i="54"/>
  <c r="J154" i="54"/>
  <c r="J145" i="54"/>
  <c r="J117" i="54"/>
  <c r="J84" i="54"/>
  <c r="J51" i="54"/>
  <c r="J50" i="54"/>
  <c r="K1" i="54"/>
  <c r="K191" i="54"/>
  <c r="W251" i="54"/>
  <c r="K194" i="54"/>
  <c r="AC153" i="54"/>
  <c r="T121" i="54"/>
  <c r="T128" i="54" s="1"/>
  <c r="T120" i="54"/>
  <c r="T116" i="54"/>
  <c r="K184" i="54"/>
  <c r="I52" i="54"/>
  <c r="I49" i="54" s="1"/>
  <c r="K173" i="54"/>
  <c r="K178" i="54"/>
  <c r="J179" i="54"/>
  <c r="L171" i="54"/>
  <c r="L186" i="54"/>
  <c r="L185" i="54"/>
  <c r="AC83" i="54"/>
  <c r="H101" i="54"/>
  <c r="H102" i="54" s="1"/>
  <c r="H96" i="54"/>
  <c r="H97" i="54"/>
  <c r="H95" i="54"/>
  <c r="I148" i="54"/>
  <c r="I144" i="54"/>
  <c r="T153" i="54"/>
  <c r="AB131" i="54"/>
  <c r="AB134" i="54"/>
  <c r="G105" i="54"/>
  <c r="G103" i="54"/>
  <c r="G104" i="54"/>
  <c r="I88" i="54"/>
  <c r="I83" i="54"/>
  <c r="I87" i="54"/>
  <c r="I100" i="54" s="1"/>
  <c r="AD132" i="54"/>
  <c r="AD135" i="54" s="1"/>
  <c r="AE118" i="54"/>
  <c r="AD119" i="54"/>
  <c r="AD154" i="54"/>
  <c r="AD145" i="54"/>
  <c r="AD117" i="54"/>
  <c r="AD84" i="54"/>
  <c r="AD51" i="54"/>
  <c r="AD50" i="54"/>
  <c r="AE1" i="54"/>
  <c r="K118" i="54"/>
  <c r="J132" i="54"/>
  <c r="J135" i="54" s="1"/>
  <c r="J119" i="54"/>
  <c r="U154" i="54"/>
  <c r="U145" i="54"/>
  <c r="U117" i="54"/>
  <c r="U51" i="54"/>
  <c r="U50" i="54"/>
  <c r="V1" i="54"/>
  <c r="U84" i="54"/>
  <c r="H128" i="54"/>
  <c r="H127" i="54"/>
  <c r="K195" i="54"/>
  <c r="L196" i="54"/>
  <c r="K175" i="54"/>
  <c r="I120" i="54"/>
  <c r="I116" i="54"/>
  <c r="I121" i="54"/>
  <c r="K93" i="54"/>
  <c r="L90" i="54"/>
  <c r="H131" i="54"/>
  <c r="H134" i="54"/>
  <c r="T52" i="54"/>
  <c r="T49" i="54" s="1"/>
  <c r="N192" i="54"/>
  <c r="L91" i="54"/>
  <c r="L92" i="54"/>
  <c r="U132" i="54"/>
  <c r="U135" i="54" s="1"/>
  <c r="V118" i="54"/>
  <c r="U119" i="54"/>
  <c r="I153" i="54"/>
  <c r="S131" i="54"/>
  <c r="S134" i="54"/>
  <c r="AC52" i="54"/>
  <c r="AC49" i="54" s="1"/>
  <c r="R133" i="54"/>
  <c r="L172" i="54"/>
  <c r="AA133" i="54"/>
  <c r="T83" i="54"/>
  <c r="K193" i="54"/>
  <c r="K187" i="54"/>
  <c r="G133" i="54"/>
  <c r="AC121" i="54"/>
  <c r="AC128" i="54" s="1"/>
  <c r="AC120" i="54"/>
  <c r="AC116" i="54"/>
  <c r="J128" i="53"/>
  <c r="J258" i="53" s="1"/>
  <c r="J127" i="53"/>
  <c r="L86" i="53"/>
  <c r="M85" i="53"/>
  <c r="M191" i="53"/>
  <c r="AD153" i="53"/>
  <c r="K193" i="53"/>
  <c r="U51" i="53"/>
  <c r="U84" i="53"/>
  <c r="L171" i="53"/>
  <c r="M174" i="53"/>
  <c r="AD116" i="53"/>
  <c r="K52" i="53"/>
  <c r="K49" i="53" s="1"/>
  <c r="K184" i="53"/>
  <c r="K192" i="53"/>
  <c r="L187" i="53"/>
  <c r="AD83" i="53"/>
  <c r="K175" i="53"/>
  <c r="L186" i="53"/>
  <c r="J96" i="53"/>
  <c r="J97" i="53"/>
  <c r="K185" i="53"/>
  <c r="L123" i="53"/>
  <c r="K125" i="53"/>
  <c r="K178" i="53"/>
  <c r="J179" i="53"/>
  <c r="K92" i="53"/>
  <c r="K93" i="53" s="1"/>
  <c r="AD52" i="53"/>
  <c r="AD49" i="53" s="1"/>
  <c r="K87" i="53"/>
  <c r="K88" i="53"/>
  <c r="K95" i="53" s="1"/>
  <c r="K83" i="53"/>
  <c r="K196" i="53"/>
  <c r="M91" i="53"/>
  <c r="M181" i="53"/>
  <c r="K116" i="53"/>
  <c r="K120" i="53"/>
  <c r="T116" i="53"/>
  <c r="AF1" i="53"/>
  <c r="AE51" i="53"/>
  <c r="AE50" i="53"/>
  <c r="AE117" i="53"/>
  <c r="AE145" i="53"/>
  <c r="AE84" i="53"/>
  <c r="AE154" i="53"/>
  <c r="K144" i="53"/>
  <c r="M173" i="53"/>
  <c r="T144" i="53"/>
  <c r="L118" i="53"/>
  <c r="K119" i="53"/>
  <c r="K121" i="53" s="1"/>
  <c r="K128" i="53" s="1"/>
  <c r="K180" i="53"/>
  <c r="K153" i="53"/>
  <c r="L172" i="53"/>
  <c r="M194" i="53"/>
  <c r="L195" i="53"/>
  <c r="L90" i="53"/>
  <c r="AD144" i="53"/>
  <c r="L51" i="53"/>
  <c r="L50" i="53"/>
  <c r="L154" i="53"/>
  <c r="L145" i="53"/>
  <c r="L117" i="53"/>
  <c r="L84" i="53"/>
  <c r="K170" i="53"/>
  <c r="AO45" i="51"/>
  <c r="M3" i="51"/>
  <c r="J45" i="51"/>
  <c r="AP261" i="12"/>
  <c r="D359" i="48"/>
  <c r="E359" i="48" s="1"/>
  <c r="D354" i="48"/>
  <c r="E354" i="48" s="1"/>
  <c r="F354" i="48" s="1"/>
  <c r="G354" i="48" s="1"/>
  <c r="H354" i="48" s="1"/>
  <c r="I354" i="48" s="1"/>
  <c r="J354" i="48" s="1"/>
  <c r="K354" i="48" s="1"/>
  <c r="L354" i="48" s="1"/>
  <c r="M354" i="48" s="1"/>
  <c r="N354" i="48" s="1"/>
  <c r="O354" i="48" s="1"/>
  <c r="P354" i="48" s="1"/>
  <c r="Q354" i="48" s="1"/>
  <c r="R354" i="48" s="1"/>
  <c r="S354" i="48" s="1"/>
  <c r="T354" i="48" s="1"/>
  <c r="U354" i="48" s="1"/>
  <c r="V354" i="48" s="1"/>
  <c r="W354" i="48" s="1"/>
  <c r="X354" i="48" s="1"/>
  <c r="Y354" i="48" s="1"/>
  <c r="Z354" i="48" s="1"/>
  <c r="AA354" i="48" s="1"/>
  <c r="AB354" i="48" s="1"/>
  <c r="AC354" i="48" s="1"/>
  <c r="AD354" i="48" s="1"/>
  <c r="AE354" i="48" s="1"/>
  <c r="AF354" i="48" s="1"/>
  <c r="AG354" i="48" s="1"/>
  <c r="D308" i="48"/>
  <c r="E308" i="48" s="1"/>
  <c r="D307" i="48"/>
  <c r="D306" i="48"/>
  <c r="E306" i="48" s="1"/>
  <c r="D305" i="48"/>
  <c r="D304" i="48"/>
  <c r="E304" i="48" s="1"/>
  <c r="D303" i="48"/>
  <c r="D302" i="48"/>
  <c r="E302" i="48" s="1"/>
  <c r="F302" i="48" s="1"/>
  <c r="G302" i="48" s="1"/>
  <c r="H302" i="48" s="1"/>
  <c r="I302" i="48" s="1"/>
  <c r="J302" i="48" s="1"/>
  <c r="K302" i="48" s="1"/>
  <c r="L302" i="48" s="1"/>
  <c r="M302" i="48" s="1"/>
  <c r="N302" i="48" s="1"/>
  <c r="O302" i="48" s="1"/>
  <c r="P302" i="48" s="1"/>
  <c r="Q302" i="48" s="1"/>
  <c r="R302" i="48" s="1"/>
  <c r="S302" i="48" s="1"/>
  <c r="T302" i="48" s="1"/>
  <c r="U302" i="48" s="1"/>
  <c r="V302" i="48" s="1"/>
  <c r="W302" i="48" s="1"/>
  <c r="X302" i="48" s="1"/>
  <c r="Y302" i="48" s="1"/>
  <c r="Z302" i="48" s="1"/>
  <c r="AA302" i="48" s="1"/>
  <c r="AB302" i="48" s="1"/>
  <c r="AC302" i="48" s="1"/>
  <c r="AD302" i="48" s="1"/>
  <c r="AE302" i="48" s="1"/>
  <c r="AF302" i="48" s="1"/>
  <c r="D301" i="48"/>
  <c r="E301" i="48" s="1"/>
  <c r="F301" i="48" s="1"/>
  <c r="G301" i="48" s="1"/>
  <c r="H301" i="48" s="1"/>
  <c r="I301" i="48" s="1"/>
  <c r="J301" i="48" s="1"/>
  <c r="K301" i="48" s="1"/>
  <c r="L301" i="48" s="1"/>
  <c r="M301" i="48" s="1"/>
  <c r="N301" i="48" s="1"/>
  <c r="O301" i="48" s="1"/>
  <c r="P301" i="48" s="1"/>
  <c r="Q301" i="48" s="1"/>
  <c r="R301" i="48" s="1"/>
  <c r="S301" i="48" s="1"/>
  <c r="T301" i="48" s="1"/>
  <c r="U301" i="48" s="1"/>
  <c r="V301" i="48" s="1"/>
  <c r="W301" i="48" s="1"/>
  <c r="X301" i="48" s="1"/>
  <c r="Y301" i="48" s="1"/>
  <c r="Z301" i="48" s="1"/>
  <c r="AA301" i="48" s="1"/>
  <c r="AB301" i="48" s="1"/>
  <c r="AC301" i="48" s="1"/>
  <c r="AD301" i="48" s="1"/>
  <c r="AE301" i="48" s="1"/>
  <c r="AF301" i="48" s="1"/>
  <c r="D300" i="48"/>
  <c r="E300" i="48" s="1"/>
  <c r="F300" i="48" s="1"/>
  <c r="G300" i="48" s="1"/>
  <c r="H300" i="48" s="1"/>
  <c r="I300" i="48" s="1"/>
  <c r="J300" i="48" s="1"/>
  <c r="K300" i="48" s="1"/>
  <c r="L300" i="48" s="1"/>
  <c r="M300" i="48" s="1"/>
  <c r="N300" i="48" s="1"/>
  <c r="O300" i="48" s="1"/>
  <c r="P300" i="48" s="1"/>
  <c r="Q300" i="48" s="1"/>
  <c r="R300" i="48" s="1"/>
  <c r="S300" i="48" s="1"/>
  <c r="T300" i="48" s="1"/>
  <c r="U300" i="48" s="1"/>
  <c r="V300" i="48" s="1"/>
  <c r="W300" i="48" s="1"/>
  <c r="X300" i="48" s="1"/>
  <c r="Y300" i="48" s="1"/>
  <c r="Z300" i="48" s="1"/>
  <c r="AA300" i="48" s="1"/>
  <c r="AB300" i="48" s="1"/>
  <c r="AC300" i="48" s="1"/>
  <c r="AD300" i="48" s="1"/>
  <c r="AE300" i="48" s="1"/>
  <c r="AF300" i="48" s="1"/>
  <c r="D299" i="48"/>
  <c r="D298" i="48"/>
  <c r="D297" i="48"/>
  <c r="E297" i="48" s="1"/>
  <c r="D296" i="48"/>
  <c r="E296" i="48" s="1"/>
  <c r="F296" i="48" s="1"/>
  <c r="G296" i="48" s="1"/>
  <c r="D295" i="48"/>
  <c r="E295" i="48" s="1"/>
  <c r="F295" i="48" s="1"/>
  <c r="G295" i="48" s="1"/>
  <c r="H295" i="48" s="1"/>
  <c r="I295" i="48" s="1"/>
  <c r="J295" i="48" s="1"/>
  <c r="K295" i="48" s="1"/>
  <c r="L295" i="48" s="1"/>
  <c r="M295" i="48" s="1"/>
  <c r="N295" i="48" s="1"/>
  <c r="O295" i="48" s="1"/>
  <c r="P295" i="48" s="1"/>
  <c r="Q295" i="48" s="1"/>
  <c r="R295" i="48" s="1"/>
  <c r="S295" i="48" s="1"/>
  <c r="T295" i="48" s="1"/>
  <c r="U295" i="48" s="1"/>
  <c r="V295" i="48" s="1"/>
  <c r="W295" i="48" s="1"/>
  <c r="X295" i="48" s="1"/>
  <c r="Y295" i="48" s="1"/>
  <c r="Z295" i="48" s="1"/>
  <c r="AA295" i="48" s="1"/>
  <c r="AB295" i="48" s="1"/>
  <c r="AC295" i="48" s="1"/>
  <c r="AD295" i="48" s="1"/>
  <c r="AE295" i="48" s="1"/>
  <c r="AF295" i="48" s="1"/>
  <c r="D294" i="48"/>
  <c r="E294" i="48" s="1"/>
  <c r="F294" i="48" s="1"/>
  <c r="G294" i="48" s="1"/>
  <c r="H294" i="48" s="1"/>
  <c r="I294" i="48" s="1"/>
  <c r="J294" i="48" s="1"/>
  <c r="K294" i="48" s="1"/>
  <c r="L294" i="48" s="1"/>
  <c r="M294" i="48" s="1"/>
  <c r="N294" i="48" s="1"/>
  <c r="O294" i="48" s="1"/>
  <c r="P294" i="48" s="1"/>
  <c r="Q294" i="48" s="1"/>
  <c r="R294" i="48" s="1"/>
  <c r="S294" i="48" s="1"/>
  <c r="T294" i="48" s="1"/>
  <c r="U294" i="48" s="1"/>
  <c r="V294" i="48" s="1"/>
  <c r="W294" i="48" s="1"/>
  <c r="X294" i="48" s="1"/>
  <c r="Y294" i="48" s="1"/>
  <c r="Z294" i="48" s="1"/>
  <c r="AA294" i="48" s="1"/>
  <c r="AB294" i="48" s="1"/>
  <c r="AC294" i="48" s="1"/>
  <c r="AD294" i="48" s="1"/>
  <c r="AE294" i="48" s="1"/>
  <c r="AF294" i="48" s="1"/>
  <c r="D293" i="48"/>
  <c r="E293" i="48" s="1"/>
  <c r="D292" i="48"/>
  <c r="E292" i="48" s="1"/>
  <c r="F292" i="48" s="1"/>
  <c r="AG291" i="48"/>
  <c r="C291" i="48"/>
  <c r="D290" i="48"/>
  <c r="D291" i="48" s="1"/>
  <c r="D289" i="48"/>
  <c r="E289" i="48" s="1"/>
  <c r="F289" i="48" s="1"/>
  <c r="G289" i="48" s="1"/>
  <c r="H289" i="48" s="1"/>
  <c r="I289" i="48" s="1"/>
  <c r="J289" i="48" s="1"/>
  <c r="K289" i="48" s="1"/>
  <c r="L289" i="48" s="1"/>
  <c r="M289" i="48" s="1"/>
  <c r="N289" i="48" s="1"/>
  <c r="O289" i="48" s="1"/>
  <c r="P289" i="48" s="1"/>
  <c r="Q289" i="48" s="1"/>
  <c r="R289" i="48" s="1"/>
  <c r="S289" i="48" s="1"/>
  <c r="T289" i="48" s="1"/>
  <c r="U289" i="48" s="1"/>
  <c r="V289" i="48" s="1"/>
  <c r="W289" i="48" s="1"/>
  <c r="X289" i="48" s="1"/>
  <c r="Y289" i="48" s="1"/>
  <c r="Z289" i="48" s="1"/>
  <c r="AA289" i="48" s="1"/>
  <c r="AB289" i="48" s="1"/>
  <c r="AC289" i="48" s="1"/>
  <c r="AD289" i="48" s="1"/>
  <c r="AE289" i="48" s="1"/>
  <c r="AF289" i="48" s="1"/>
  <c r="D287" i="48"/>
  <c r="E287" i="48" s="1"/>
  <c r="D286" i="48"/>
  <c r="D285" i="48"/>
  <c r="E285" i="48" s="1"/>
  <c r="D284" i="48"/>
  <c r="D283" i="48"/>
  <c r="E283" i="48" s="1"/>
  <c r="D282" i="48"/>
  <c r="D281" i="48"/>
  <c r="E281" i="48" s="1"/>
  <c r="F281" i="48" s="1"/>
  <c r="G281" i="48" s="1"/>
  <c r="H281" i="48" s="1"/>
  <c r="I281" i="48" s="1"/>
  <c r="J281" i="48" s="1"/>
  <c r="K281" i="48" s="1"/>
  <c r="L281" i="48" s="1"/>
  <c r="M281" i="48" s="1"/>
  <c r="N281" i="48" s="1"/>
  <c r="O281" i="48" s="1"/>
  <c r="P281" i="48" s="1"/>
  <c r="Q281" i="48" s="1"/>
  <c r="R281" i="48" s="1"/>
  <c r="S281" i="48" s="1"/>
  <c r="T281" i="48" s="1"/>
  <c r="U281" i="48" s="1"/>
  <c r="V281" i="48" s="1"/>
  <c r="W281" i="48" s="1"/>
  <c r="X281" i="48" s="1"/>
  <c r="Y281" i="48" s="1"/>
  <c r="Z281" i="48" s="1"/>
  <c r="AA281" i="48" s="1"/>
  <c r="AB281" i="48" s="1"/>
  <c r="AC281" i="48" s="1"/>
  <c r="AD281" i="48" s="1"/>
  <c r="AE281" i="48" s="1"/>
  <c r="AF281" i="48" s="1"/>
  <c r="AG257" i="48"/>
  <c r="C257" i="48"/>
  <c r="AG240" i="48"/>
  <c r="C240" i="48"/>
  <c r="C196" i="48"/>
  <c r="D196" i="48" s="1"/>
  <c r="E196" i="48" s="1"/>
  <c r="F196" i="48" s="1"/>
  <c r="G196" i="48" s="1"/>
  <c r="H196" i="48" s="1"/>
  <c r="I196" i="48" s="1"/>
  <c r="J196" i="48" s="1"/>
  <c r="K196" i="48" s="1"/>
  <c r="L196" i="48" s="1"/>
  <c r="M196" i="48" s="1"/>
  <c r="N196" i="48" s="1"/>
  <c r="O196" i="48" s="1"/>
  <c r="P196" i="48" s="1"/>
  <c r="Q196" i="48" s="1"/>
  <c r="R196" i="48" s="1"/>
  <c r="S196" i="48" s="1"/>
  <c r="T196" i="48" s="1"/>
  <c r="U196" i="48" s="1"/>
  <c r="V196" i="48" s="1"/>
  <c r="W196" i="48" s="1"/>
  <c r="X196" i="48" s="1"/>
  <c r="Y196" i="48" s="1"/>
  <c r="Z196" i="48" s="1"/>
  <c r="AA196" i="48" s="1"/>
  <c r="AB196" i="48" s="1"/>
  <c r="AC196" i="48" s="1"/>
  <c r="AD196" i="48" s="1"/>
  <c r="AE196" i="48" s="1"/>
  <c r="AF196" i="48" s="1"/>
  <c r="AG196" i="48" s="1"/>
  <c r="D195" i="48"/>
  <c r="AG192" i="48"/>
  <c r="C192" i="48"/>
  <c r="AG191" i="48"/>
  <c r="AG193" i="48" s="1"/>
  <c r="C191" i="48"/>
  <c r="C193" i="48" s="1"/>
  <c r="D190" i="48"/>
  <c r="D191" i="48" s="1"/>
  <c r="AG188" i="48"/>
  <c r="C188" i="48"/>
  <c r="C132" i="48"/>
  <c r="D132" i="48" s="1"/>
  <c r="E132" i="48" s="1"/>
  <c r="D131" i="48"/>
  <c r="E131" i="48" s="1"/>
  <c r="D130" i="48"/>
  <c r="E130" i="48" s="1"/>
  <c r="F130" i="48" s="1"/>
  <c r="AG127" i="48"/>
  <c r="C127" i="48"/>
  <c r="AG126" i="48"/>
  <c r="AG128" i="48" s="1"/>
  <c r="C126" i="48"/>
  <c r="C128" i="48" s="1"/>
  <c r="D125" i="48"/>
  <c r="D126" i="48" s="1"/>
  <c r="AG123" i="48"/>
  <c r="C123" i="48"/>
  <c r="AG54" i="48"/>
  <c r="W52" i="48"/>
  <c r="M52" i="48"/>
  <c r="M49" i="48" s="1"/>
  <c r="C52" i="48"/>
  <c r="C49" i="48" s="1"/>
  <c r="AG51" i="48"/>
  <c r="AG50" i="48"/>
  <c r="C10" i="48"/>
  <c r="D10" i="48" s="1"/>
  <c r="E10" i="48" s="1"/>
  <c r="F10" i="48" s="1"/>
  <c r="G10" i="48" s="1"/>
  <c r="H10" i="48" s="1"/>
  <c r="I10" i="48" s="1"/>
  <c r="J10" i="48" s="1"/>
  <c r="K10" i="48" s="1"/>
  <c r="L10" i="48" s="1"/>
  <c r="M10" i="48" s="1"/>
  <c r="N10" i="48" s="1"/>
  <c r="O10" i="48" s="1"/>
  <c r="P10" i="48" s="1"/>
  <c r="Q10" i="48" s="1"/>
  <c r="R10" i="48" s="1"/>
  <c r="S10" i="48" s="1"/>
  <c r="T10" i="48" s="1"/>
  <c r="U10" i="48" s="1"/>
  <c r="V10" i="48" s="1"/>
  <c r="W10" i="48" s="1"/>
  <c r="X10" i="48" s="1"/>
  <c r="Y10" i="48" s="1"/>
  <c r="Z10" i="48" s="1"/>
  <c r="AA10" i="48" s="1"/>
  <c r="AB10" i="48" s="1"/>
  <c r="AC10" i="48" s="1"/>
  <c r="AD10" i="48" s="1"/>
  <c r="AE10" i="48" s="1"/>
  <c r="AF10" i="48" s="1"/>
  <c r="AG10" i="48" s="1"/>
  <c r="X1" i="48"/>
  <c r="Y1" i="48" s="1"/>
  <c r="N1" i="48"/>
  <c r="N51" i="48" s="1"/>
  <c r="D1" i="48"/>
  <c r="E1" i="48" s="1"/>
  <c r="AI51" i="47"/>
  <c r="AI47" i="47"/>
  <c r="AI53" i="47"/>
  <c r="AI52" i="47"/>
  <c r="AI50" i="47"/>
  <c r="AI49" i="47"/>
  <c r="AI48" i="47"/>
  <c r="AI46" i="47"/>
  <c r="F37" i="47"/>
  <c r="G37" i="47" s="1"/>
  <c r="H37" i="47" s="1"/>
  <c r="I37" i="47" s="1"/>
  <c r="J37" i="47" s="1"/>
  <c r="K37" i="47" s="1"/>
  <c r="L37" i="47" s="1"/>
  <c r="M37" i="47" s="1"/>
  <c r="N37" i="47" s="1"/>
  <c r="O37" i="47" s="1"/>
  <c r="P37" i="47" s="1"/>
  <c r="Q37" i="47" s="1"/>
  <c r="R37" i="47" s="1"/>
  <c r="S37" i="47" s="1"/>
  <c r="T37" i="47" s="1"/>
  <c r="U37" i="47" s="1"/>
  <c r="V37" i="47" s="1"/>
  <c r="W37" i="47" s="1"/>
  <c r="X37" i="47" s="1"/>
  <c r="Y37" i="47" s="1"/>
  <c r="Z37" i="47" s="1"/>
  <c r="AA37" i="47" s="1"/>
  <c r="AB37" i="47" s="1"/>
  <c r="AC37" i="47" s="1"/>
  <c r="AD37" i="47" s="1"/>
  <c r="AE37" i="47" s="1"/>
  <c r="AF37" i="47" s="1"/>
  <c r="AG37" i="47" s="1"/>
  <c r="AH37" i="47" s="1"/>
  <c r="AI37" i="47" s="1"/>
  <c r="Q7" i="47"/>
  <c r="P7" i="47"/>
  <c r="D359" i="46"/>
  <c r="E359" i="46" s="1"/>
  <c r="F359" i="46" s="1"/>
  <c r="G359" i="46" s="1"/>
  <c r="H359" i="46" s="1"/>
  <c r="I359" i="46" s="1"/>
  <c r="J359" i="46" s="1"/>
  <c r="K359" i="46" s="1"/>
  <c r="L359" i="46" s="1"/>
  <c r="M359" i="46" s="1"/>
  <c r="N359" i="46" s="1"/>
  <c r="O359" i="46" s="1"/>
  <c r="P359" i="46" s="1"/>
  <c r="Q359" i="46" s="1"/>
  <c r="R359" i="46" s="1"/>
  <c r="S359" i="46" s="1"/>
  <c r="T359" i="46" s="1"/>
  <c r="U359" i="46" s="1"/>
  <c r="V359" i="46" s="1"/>
  <c r="W359" i="46" s="1"/>
  <c r="X359" i="46" s="1"/>
  <c r="Y359" i="46" s="1"/>
  <c r="Z359" i="46" s="1"/>
  <c r="AA359" i="46" s="1"/>
  <c r="AB359" i="46" s="1"/>
  <c r="AC359" i="46" s="1"/>
  <c r="AD359" i="46" s="1"/>
  <c r="AE359" i="46" s="1"/>
  <c r="AF359" i="46" s="1"/>
  <c r="AG359" i="46" s="1"/>
  <c r="D354" i="46"/>
  <c r="E354" i="46" s="1"/>
  <c r="F354" i="46" s="1"/>
  <c r="G354" i="46" s="1"/>
  <c r="H354" i="46" s="1"/>
  <c r="I354" i="46" s="1"/>
  <c r="J354" i="46" s="1"/>
  <c r="K354" i="46" s="1"/>
  <c r="L354" i="46" s="1"/>
  <c r="M354" i="46" s="1"/>
  <c r="N354" i="46" s="1"/>
  <c r="O354" i="46" s="1"/>
  <c r="P354" i="46" s="1"/>
  <c r="Q354" i="46" s="1"/>
  <c r="R354" i="46" s="1"/>
  <c r="S354" i="46" s="1"/>
  <c r="T354" i="46" s="1"/>
  <c r="U354" i="46" s="1"/>
  <c r="V354" i="46" s="1"/>
  <c r="W354" i="46" s="1"/>
  <c r="X354" i="46" s="1"/>
  <c r="Y354" i="46" s="1"/>
  <c r="Z354" i="46" s="1"/>
  <c r="AA354" i="46" s="1"/>
  <c r="AB354" i="46" s="1"/>
  <c r="AC354" i="46" s="1"/>
  <c r="AD354" i="46" s="1"/>
  <c r="AE354" i="46" s="1"/>
  <c r="AF354" i="46" s="1"/>
  <c r="AG354" i="46" s="1"/>
  <c r="D308" i="46"/>
  <c r="E308" i="46" s="1"/>
  <c r="D307" i="46"/>
  <c r="E307" i="46" s="1"/>
  <c r="D306" i="46"/>
  <c r="E306" i="46" s="1"/>
  <c r="D305" i="46"/>
  <c r="D304" i="46"/>
  <c r="D303" i="46"/>
  <c r="E303" i="46" s="1"/>
  <c r="D302" i="46"/>
  <c r="E302" i="46" s="1"/>
  <c r="F302" i="46" s="1"/>
  <c r="G302" i="46" s="1"/>
  <c r="H302" i="46" s="1"/>
  <c r="I302" i="46" s="1"/>
  <c r="J302" i="46" s="1"/>
  <c r="K302" i="46" s="1"/>
  <c r="L302" i="46" s="1"/>
  <c r="M302" i="46" s="1"/>
  <c r="N302" i="46" s="1"/>
  <c r="O302" i="46" s="1"/>
  <c r="P302" i="46" s="1"/>
  <c r="Q302" i="46" s="1"/>
  <c r="R302" i="46" s="1"/>
  <c r="S302" i="46" s="1"/>
  <c r="T302" i="46" s="1"/>
  <c r="U302" i="46" s="1"/>
  <c r="V302" i="46" s="1"/>
  <c r="W302" i="46" s="1"/>
  <c r="X302" i="46" s="1"/>
  <c r="Y302" i="46" s="1"/>
  <c r="Z302" i="46" s="1"/>
  <c r="AA302" i="46" s="1"/>
  <c r="AB302" i="46" s="1"/>
  <c r="AC302" i="46" s="1"/>
  <c r="AD302" i="46" s="1"/>
  <c r="AE302" i="46" s="1"/>
  <c r="AF302" i="46" s="1"/>
  <c r="D301" i="46"/>
  <c r="E301" i="46" s="1"/>
  <c r="F301" i="46" s="1"/>
  <c r="G301" i="46" s="1"/>
  <c r="H301" i="46" s="1"/>
  <c r="I301" i="46" s="1"/>
  <c r="J301" i="46" s="1"/>
  <c r="K301" i="46" s="1"/>
  <c r="L301" i="46" s="1"/>
  <c r="M301" i="46" s="1"/>
  <c r="N301" i="46" s="1"/>
  <c r="O301" i="46" s="1"/>
  <c r="P301" i="46" s="1"/>
  <c r="Q301" i="46" s="1"/>
  <c r="R301" i="46" s="1"/>
  <c r="S301" i="46" s="1"/>
  <c r="T301" i="46" s="1"/>
  <c r="U301" i="46" s="1"/>
  <c r="V301" i="46" s="1"/>
  <c r="W301" i="46" s="1"/>
  <c r="X301" i="46" s="1"/>
  <c r="Y301" i="46" s="1"/>
  <c r="Z301" i="46" s="1"/>
  <c r="AA301" i="46" s="1"/>
  <c r="AB301" i="46" s="1"/>
  <c r="AC301" i="46" s="1"/>
  <c r="AD301" i="46" s="1"/>
  <c r="AE301" i="46" s="1"/>
  <c r="AF301" i="46" s="1"/>
  <c r="D300" i="46"/>
  <c r="E300" i="46" s="1"/>
  <c r="F300" i="46" s="1"/>
  <c r="G300" i="46" s="1"/>
  <c r="H300" i="46" s="1"/>
  <c r="I300" i="46" s="1"/>
  <c r="J300" i="46" s="1"/>
  <c r="K300" i="46" s="1"/>
  <c r="L300" i="46" s="1"/>
  <c r="M300" i="46" s="1"/>
  <c r="N300" i="46" s="1"/>
  <c r="O300" i="46" s="1"/>
  <c r="P300" i="46" s="1"/>
  <c r="Q300" i="46" s="1"/>
  <c r="R300" i="46" s="1"/>
  <c r="S300" i="46" s="1"/>
  <c r="T300" i="46" s="1"/>
  <c r="U300" i="46" s="1"/>
  <c r="V300" i="46" s="1"/>
  <c r="W300" i="46" s="1"/>
  <c r="X300" i="46" s="1"/>
  <c r="Y300" i="46" s="1"/>
  <c r="Z300" i="46" s="1"/>
  <c r="AA300" i="46" s="1"/>
  <c r="AB300" i="46" s="1"/>
  <c r="AC300" i="46" s="1"/>
  <c r="AD300" i="46" s="1"/>
  <c r="AE300" i="46" s="1"/>
  <c r="AF300" i="46" s="1"/>
  <c r="D299" i="46"/>
  <c r="E299" i="46" s="1"/>
  <c r="D298" i="46"/>
  <c r="E298" i="46" s="1"/>
  <c r="F298" i="46" s="1"/>
  <c r="D297" i="46"/>
  <c r="D296" i="46"/>
  <c r="D295" i="46"/>
  <c r="E295" i="46" s="1"/>
  <c r="F295" i="46" s="1"/>
  <c r="G295" i="46" s="1"/>
  <c r="H295" i="46" s="1"/>
  <c r="I295" i="46" s="1"/>
  <c r="J295" i="46" s="1"/>
  <c r="K295" i="46" s="1"/>
  <c r="L295" i="46" s="1"/>
  <c r="M295" i="46" s="1"/>
  <c r="N295" i="46" s="1"/>
  <c r="O295" i="46" s="1"/>
  <c r="P295" i="46" s="1"/>
  <c r="Q295" i="46" s="1"/>
  <c r="R295" i="46" s="1"/>
  <c r="S295" i="46" s="1"/>
  <c r="T295" i="46" s="1"/>
  <c r="U295" i="46" s="1"/>
  <c r="V295" i="46" s="1"/>
  <c r="W295" i="46" s="1"/>
  <c r="X295" i="46" s="1"/>
  <c r="Y295" i="46" s="1"/>
  <c r="Z295" i="46" s="1"/>
  <c r="AA295" i="46" s="1"/>
  <c r="AB295" i="46" s="1"/>
  <c r="AC295" i="46" s="1"/>
  <c r="AD295" i="46" s="1"/>
  <c r="AE295" i="46" s="1"/>
  <c r="AF295" i="46" s="1"/>
  <c r="D294" i="46"/>
  <c r="E294" i="46" s="1"/>
  <c r="F294" i="46" s="1"/>
  <c r="G294" i="46" s="1"/>
  <c r="H294" i="46" s="1"/>
  <c r="I294" i="46" s="1"/>
  <c r="J294" i="46" s="1"/>
  <c r="K294" i="46" s="1"/>
  <c r="L294" i="46" s="1"/>
  <c r="M294" i="46" s="1"/>
  <c r="N294" i="46" s="1"/>
  <c r="O294" i="46" s="1"/>
  <c r="P294" i="46" s="1"/>
  <c r="Q294" i="46" s="1"/>
  <c r="R294" i="46" s="1"/>
  <c r="S294" i="46" s="1"/>
  <c r="T294" i="46" s="1"/>
  <c r="U294" i="46" s="1"/>
  <c r="V294" i="46" s="1"/>
  <c r="W294" i="46" s="1"/>
  <c r="X294" i="46" s="1"/>
  <c r="Y294" i="46" s="1"/>
  <c r="Z294" i="46" s="1"/>
  <c r="AA294" i="46" s="1"/>
  <c r="AB294" i="46" s="1"/>
  <c r="AC294" i="46" s="1"/>
  <c r="AD294" i="46" s="1"/>
  <c r="AE294" i="46" s="1"/>
  <c r="AF294" i="46" s="1"/>
  <c r="D293" i="46"/>
  <c r="D292" i="46"/>
  <c r="AG291" i="46"/>
  <c r="C291" i="46"/>
  <c r="D290" i="46"/>
  <c r="E290" i="46" s="1"/>
  <c r="D289" i="46"/>
  <c r="E289" i="46" s="1"/>
  <c r="F289" i="46" s="1"/>
  <c r="G289" i="46" s="1"/>
  <c r="H289" i="46" s="1"/>
  <c r="I289" i="46" s="1"/>
  <c r="J289" i="46" s="1"/>
  <c r="K289" i="46" s="1"/>
  <c r="L289" i="46" s="1"/>
  <c r="M289" i="46" s="1"/>
  <c r="N289" i="46" s="1"/>
  <c r="O289" i="46" s="1"/>
  <c r="P289" i="46" s="1"/>
  <c r="Q289" i="46" s="1"/>
  <c r="R289" i="46" s="1"/>
  <c r="S289" i="46" s="1"/>
  <c r="T289" i="46" s="1"/>
  <c r="U289" i="46" s="1"/>
  <c r="V289" i="46" s="1"/>
  <c r="W289" i="46" s="1"/>
  <c r="X289" i="46" s="1"/>
  <c r="Y289" i="46" s="1"/>
  <c r="Z289" i="46" s="1"/>
  <c r="AA289" i="46" s="1"/>
  <c r="AB289" i="46" s="1"/>
  <c r="AC289" i="46" s="1"/>
  <c r="AD289" i="46" s="1"/>
  <c r="AE289" i="46" s="1"/>
  <c r="AF289" i="46" s="1"/>
  <c r="D287" i="46"/>
  <c r="E287" i="46" s="1"/>
  <c r="F287" i="46" s="1"/>
  <c r="G287" i="46" s="1"/>
  <c r="D286" i="46"/>
  <c r="D285" i="46"/>
  <c r="E285" i="46" s="1"/>
  <c r="D284" i="46"/>
  <c r="E284" i="46" s="1"/>
  <c r="D283" i="46"/>
  <c r="E283" i="46" s="1"/>
  <c r="F283" i="46" s="1"/>
  <c r="D282" i="46"/>
  <c r="E282" i="46" s="1"/>
  <c r="D281" i="46"/>
  <c r="E281" i="46" s="1"/>
  <c r="F281" i="46" s="1"/>
  <c r="G281" i="46" s="1"/>
  <c r="H281" i="46" s="1"/>
  <c r="I281" i="46" s="1"/>
  <c r="J281" i="46" s="1"/>
  <c r="K281" i="46" s="1"/>
  <c r="L281" i="46" s="1"/>
  <c r="M281" i="46" s="1"/>
  <c r="N281" i="46" s="1"/>
  <c r="O281" i="46" s="1"/>
  <c r="P281" i="46" s="1"/>
  <c r="Q281" i="46" s="1"/>
  <c r="R281" i="46" s="1"/>
  <c r="S281" i="46" s="1"/>
  <c r="T281" i="46" s="1"/>
  <c r="U281" i="46" s="1"/>
  <c r="V281" i="46" s="1"/>
  <c r="W281" i="46" s="1"/>
  <c r="X281" i="46" s="1"/>
  <c r="Y281" i="46" s="1"/>
  <c r="Z281" i="46" s="1"/>
  <c r="AA281" i="46" s="1"/>
  <c r="AB281" i="46" s="1"/>
  <c r="AC281" i="46" s="1"/>
  <c r="AD281" i="46" s="1"/>
  <c r="AE281" i="46" s="1"/>
  <c r="AF281" i="46" s="1"/>
  <c r="AG257" i="46"/>
  <c r="C257" i="46"/>
  <c r="AG240" i="46"/>
  <c r="C240" i="46"/>
  <c r="C196" i="46"/>
  <c r="D196" i="46" s="1"/>
  <c r="E196" i="46" s="1"/>
  <c r="F196" i="46" s="1"/>
  <c r="G196" i="46" s="1"/>
  <c r="H196" i="46" s="1"/>
  <c r="I196" i="46" s="1"/>
  <c r="J196" i="46" s="1"/>
  <c r="K196" i="46" s="1"/>
  <c r="L196" i="46" s="1"/>
  <c r="M196" i="46" s="1"/>
  <c r="N196" i="46" s="1"/>
  <c r="O196" i="46" s="1"/>
  <c r="P196" i="46" s="1"/>
  <c r="Q196" i="46" s="1"/>
  <c r="R196" i="46" s="1"/>
  <c r="S196" i="46" s="1"/>
  <c r="T196" i="46" s="1"/>
  <c r="U196" i="46" s="1"/>
  <c r="V196" i="46" s="1"/>
  <c r="W196" i="46" s="1"/>
  <c r="X196" i="46" s="1"/>
  <c r="Y196" i="46" s="1"/>
  <c r="Z196" i="46" s="1"/>
  <c r="AA196" i="46" s="1"/>
  <c r="AB196" i="46" s="1"/>
  <c r="AC196" i="46" s="1"/>
  <c r="AD196" i="46" s="1"/>
  <c r="AE196" i="46" s="1"/>
  <c r="AF196" i="46" s="1"/>
  <c r="AG196" i="46" s="1"/>
  <c r="D195" i="46"/>
  <c r="AG192" i="46"/>
  <c r="C192" i="46"/>
  <c r="AG191" i="46"/>
  <c r="AG193" i="46" s="1"/>
  <c r="C191" i="46"/>
  <c r="C193" i="46" s="1"/>
  <c r="D190" i="46"/>
  <c r="E190" i="46" s="1"/>
  <c r="E191" i="46" s="1"/>
  <c r="AG188" i="46"/>
  <c r="C188" i="46"/>
  <c r="C132" i="46"/>
  <c r="C133" i="46" s="1"/>
  <c r="D131" i="46"/>
  <c r="E131" i="46" s="1"/>
  <c r="F131" i="46" s="1"/>
  <c r="G131" i="46" s="1"/>
  <c r="D130" i="46"/>
  <c r="E130" i="46" s="1"/>
  <c r="AG127" i="46"/>
  <c r="C127" i="46"/>
  <c r="AG126" i="46"/>
  <c r="AG128" i="46" s="1"/>
  <c r="C126" i="46"/>
  <c r="C128" i="46" s="1"/>
  <c r="C136" i="46" s="1"/>
  <c r="D125" i="46"/>
  <c r="E125" i="46" s="1"/>
  <c r="E126" i="46" s="1"/>
  <c r="AG123" i="46"/>
  <c r="C123" i="46"/>
  <c r="AG54" i="46"/>
  <c r="W52" i="46"/>
  <c r="W49" i="46" s="1"/>
  <c r="M52" i="46"/>
  <c r="M49" i="46" s="1"/>
  <c r="C52" i="46"/>
  <c r="C49" i="46" s="1"/>
  <c r="AG51" i="46"/>
  <c r="AG50" i="46"/>
  <c r="C10" i="46"/>
  <c r="D10" i="46" s="1"/>
  <c r="E10" i="46" s="1"/>
  <c r="F10" i="46" s="1"/>
  <c r="G10" i="46" s="1"/>
  <c r="H10" i="46" s="1"/>
  <c r="I10" i="46" s="1"/>
  <c r="J10" i="46" s="1"/>
  <c r="K10" i="46" s="1"/>
  <c r="L10" i="46" s="1"/>
  <c r="M10" i="46" s="1"/>
  <c r="N10" i="46" s="1"/>
  <c r="O10" i="46" s="1"/>
  <c r="P10" i="46" s="1"/>
  <c r="Q10" i="46" s="1"/>
  <c r="R10" i="46" s="1"/>
  <c r="S10" i="46" s="1"/>
  <c r="T10" i="46" s="1"/>
  <c r="U10" i="46" s="1"/>
  <c r="V10" i="46" s="1"/>
  <c r="W10" i="46" s="1"/>
  <c r="X10" i="46" s="1"/>
  <c r="Y10" i="46" s="1"/>
  <c r="Z10" i="46" s="1"/>
  <c r="AA10" i="46" s="1"/>
  <c r="AB10" i="46" s="1"/>
  <c r="AC10" i="46" s="1"/>
  <c r="AD10" i="46" s="1"/>
  <c r="AE10" i="46" s="1"/>
  <c r="AF10" i="46" s="1"/>
  <c r="AG10" i="46" s="1"/>
  <c r="X1" i="46"/>
  <c r="Y1" i="46" s="1"/>
  <c r="N1" i="46"/>
  <c r="N51" i="46" s="1"/>
  <c r="D1" i="46"/>
  <c r="AK65" i="45"/>
  <c r="AL65" i="45"/>
  <c r="AM65" i="45"/>
  <c r="AN65" i="45"/>
  <c r="AO65" i="45"/>
  <c r="AP65" i="45"/>
  <c r="AQ65" i="45"/>
  <c r="AR65" i="45"/>
  <c r="AS65" i="45"/>
  <c r="AT65" i="45"/>
  <c r="AU65" i="45"/>
  <c r="AV65" i="45"/>
  <c r="AW65" i="45"/>
  <c r="AX65" i="45"/>
  <c r="AY65" i="45"/>
  <c r="AZ65" i="45"/>
  <c r="BA65" i="45"/>
  <c r="BB65" i="45"/>
  <c r="BC65" i="45"/>
  <c r="BD65" i="45"/>
  <c r="BE65" i="45"/>
  <c r="BF65" i="45"/>
  <c r="BG65" i="45"/>
  <c r="BH65" i="45"/>
  <c r="BI65" i="45"/>
  <c r="BJ65" i="45"/>
  <c r="BK65" i="45"/>
  <c r="BL65" i="45"/>
  <c r="BM65" i="45"/>
  <c r="BN65" i="45"/>
  <c r="AJ65" i="45"/>
  <c r="AK62" i="45"/>
  <c r="AL62" i="45"/>
  <c r="AM62" i="45"/>
  <c r="AN62" i="45"/>
  <c r="AO62" i="45"/>
  <c r="AP62" i="45"/>
  <c r="AQ62" i="45"/>
  <c r="AR62" i="45"/>
  <c r="AS62" i="45"/>
  <c r="AT62" i="45"/>
  <c r="AU62" i="45"/>
  <c r="AV62" i="45"/>
  <c r="AW62" i="45"/>
  <c r="AX62" i="45"/>
  <c r="AY62" i="45"/>
  <c r="AZ62" i="45"/>
  <c r="BA62" i="45"/>
  <c r="BB62" i="45"/>
  <c r="BC62" i="45"/>
  <c r="BD62" i="45"/>
  <c r="BE62" i="45"/>
  <c r="BF62" i="45"/>
  <c r="BG62" i="45"/>
  <c r="BH62" i="45"/>
  <c r="BI62" i="45"/>
  <c r="BJ62" i="45"/>
  <c r="BK62" i="45"/>
  <c r="BL62" i="45"/>
  <c r="BM62" i="45"/>
  <c r="BN62" i="45"/>
  <c r="AJ62" i="45"/>
  <c r="AJ33" i="45"/>
  <c r="AJ30" i="45"/>
  <c r="AJ21" i="45"/>
  <c r="D66" i="45"/>
  <c r="AJ66" i="45" s="1"/>
  <c r="D64" i="45"/>
  <c r="AJ64" i="45" s="1"/>
  <c r="D61" i="45"/>
  <c r="AJ61" i="45" s="1"/>
  <c r="AJ63" i="45" l="1"/>
  <c r="AJ69" i="45" s="1"/>
  <c r="AG52" i="48"/>
  <c r="AG49" i="48" s="1"/>
  <c r="Y51" i="48"/>
  <c r="E125" i="48"/>
  <c r="C133" i="48"/>
  <c r="E290" i="48"/>
  <c r="F290" i="48" s="1"/>
  <c r="E190" i="48"/>
  <c r="F190" i="48" s="1"/>
  <c r="E291" i="48"/>
  <c r="D197" i="48"/>
  <c r="Z1" i="48"/>
  <c r="AA1" i="48" s="1"/>
  <c r="AB1" i="48" s="1"/>
  <c r="AC1" i="48" s="1"/>
  <c r="AD1" i="48" s="1"/>
  <c r="AG200" i="48"/>
  <c r="AG370" i="48" s="1"/>
  <c r="CF2" i="59"/>
  <c r="CE66" i="59"/>
  <c r="CE67" i="59"/>
  <c r="CE68" i="59"/>
  <c r="CE69" i="59"/>
  <c r="CE61" i="59"/>
  <c r="CE70" i="59"/>
  <c r="CE62" i="59"/>
  <c r="CE73" i="59"/>
  <c r="CE65" i="59"/>
  <c r="CE64" i="59"/>
  <c r="CE63" i="59"/>
  <c r="CE74" i="59"/>
  <c r="CE72" i="59"/>
  <c r="CE71" i="59"/>
  <c r="CD75" i="59"/>
  <c r="N145" i="55"/>
  <c r="AS145" i="55"/>
  <c r="O143" i="55"/>
  <c r="AT143" i="55"/>
  <c r="DF143" i="55" s="1"/>
  <c r="AT144" i="55"/>
  <c r="O144" i="55"/>
  <c r="AT139" i="55"/>
  <c r="DF139" i="55" s="1"/>
  <c r="O139" i="55"/>
  <c r="P140" i="55"/>
  <c r="AU140" i="55"/>
  <c r="DG140" i="55" s="1"/>
  <c r="R147" i="55"/>
  <c r="AW147" i="55"/>
  <c r="AX146" i="55"/>
  <c r="S146" i="55"/>
  <c r="AX170" i="55"/>
  <c r="S170" i="55"/>
  <c r="N166" i="55"/>
  <c r="AS166" i="55"/>
  <c r="DE166" i="55" s="1"/>
  <c r="N167" i="55"/>
  <c r="AS167" i="55"/>
  <c r="AS162" i="55"/>
  <c r="DE162" i="55" s="1"/>
  <c r="N162" i="55"/>
  <c r="Q169" i="55"/>
  <c r="AV169" i="55"/>
  <c r="AS165" i="55"/>
  <c r="DE165" i="55" s="1"/>
  <c r="N165" i="55"/>
  <c r="AT163" i="55"/>
  <c r="DF163" i="55" s="1"/>
  <c r="O163" i="55"/>
  <c r="M168" i="55"/>
  <c r="AR168" i="55"/>
  <c r="BY162" i="55"/>
  <c r="N164" i="55"/>
  <c r="AS164" i="55"/>
  <c r="DE164" i="55" s="1"/>
  <c r="AV124" i="55"/>
  <c r="Q124" i="55"/>
  <c r="N122" i="55"/>
  <c r="AS122" i="55"/>
  <c r="BX116" i="55"/>
  <c r="AV123" i="55"/>
  <c r="Q123" i="55"/>
  <c r="AS75" i="55"/>
  <c r="N75" i="55"/>
  <c r="O94" i="55"/>
  <c r="AT94" i="55"/>
  <c r="DF94" i="55" s="1"/>
  <c r="N98" i="55"/>
  <c r="AS98" i="55"/>
  <c r="BY93" i="55"/>
  <c r="BY70" i="55"/>
  <c r="N97" i="55"/>
  <c r="AS97" i="55"/>
  <c r="DE97" i="55" s="1"/>
  <c r="M76" i="55"/>
  <c r="AR76" i="55"/>
  <c r="AR99" i="55"/>
  <c r="M99" i="55"/>
  <c r="O117" i="55"/>
  <c r="AT117" i="55"/>
  <c r="DF117" i="55" s="1"/>
  <c r="N93" i="55"/>
  <c r="AS93" i="55"/>
  <c r="DE93" i="55" s="1"/>
  <c r="AS70" i="55"/>
  <c r="DE70" i="55" s="1"/>
  <c r="N70" i="55"/>
  <c r="AS116" i="55"/>
  <c r="DE116" i="55" s="1"/>
  <c r="N116" i="55"/>
  <c r="O71" i="55"/>
  <c r="AT71" i="55"/>
  <c r="DF71" i="55" s="1"/>
  <c r="AS74" i="55"/>
  <c r="DE74" i="55" s="1"/>
  <c r="N74" i="55"/>
  <c r="AS118" i="55"/>
  <c r="DE118" i="55" s="1"/>
  <c r="N118" i="55"/>
  <c r="M119" i="55"/>
  <c r="AR119" i="55"/>
  <c r="DD119" i="55" s="1"/>
  <c r="N120" i="55"/>
  <c r="AS120" i="55"/>
  <c r="DE120" i="55" s="1"/>
  <c r="AS121" i="55"/>
  <c r="N121" i="55"/>
  <c r="CA97" i="55"/>
  <c r="Q101" i="55"/>
  <c r="AV101" i="55"/>
  <c r="R100" i="55"/>
  <c r="AW100" i="55"/>
  <c r="R77" i="55"/>
  <c r="AW77" i="55"/>
  <c r="Q78" i="55"/>
  <c r="AV78" i="55"/>
  <c r="N49" i="55"/>
  <c r="AS49" i="55"/>
  <c r="DE49" i="55" s="1"/>
  <c r="N47" i="55"/>
  <c r="AS47" i="55"/>
  <c r="DE47" i="55" s="1"/>
  <c r="AS51" i="55"/>
  <c r="DE51" i="55" s="1"/>
  <c r="N51" i="55"/>
  <c r="N52" i="55"/>
  <c r="AS52" i="55"/>
  <c r="N53" i="55"/>
  <c r="AS53" i="55"/>
  <c r="M50" i="55"/>
  <c r="AR50" i="55"/>
  <c r="DD50" i="55" s="1"/>
  <c r="O48" i="55"/>
  <c r="AT48" i="55"/>
  <c r="DF48" i="55" s="1"/>
  <c r="R54" i="55"/>
  <c r="AW54" i="55"/>
  <c r="AW55" i="55"/>
  <c r="R55" i="55"/>
  <c r="P31" i="55"/>
  <c r="AU31" i="55"/>
  <c r="BZ24" i="55"/>
  <c r="P32" i="55"/>
  <c r="AU32" i="55"/>
  <c r="O29" i="55"/>
  <c r="AT29" i="55"/>
  <c r="O28" i="55"/>
  <c r="AT28" i="55"/>
  <c r="DF28" i="55" s="1"/>
  <c r="P25" i="55"/>
  <c r="AU25" i="55"/>
  <c r="DG25" i="55" s="1"/>
  <c r="N30" i="55"/>
  <c r="AS30" i="55"/>
  <c r="O24" i="55"/>
  <c r="AU24" i="55" s="1"/>
  <c r="DG24" i="55" s="1"/>
  <c r="N204" i="55"/>
  <c r="N205" i="55" s="1"/>
  <c r="O3" i="55"/>
  <c r="U117" i="53"/>
  <c r="U116" i="53" s="1"/>
  <c r="U50" i="53"/>
  <c r="V1" i="53"/>
  <c r="V145" i="53" s="1"/>
  <c r="U154" i="53"/>
  <c r="O247" i="53"/>
  <c r="U52" i="54"/>
  <c r="U49" i="54" s="1"/>
  <c r="AE154" i="54"/>
  <c r="AE117" i="54"/>
  <c r="AE50" i="54"/>
  <c r="AE51" i="54"/>
  <c r="AF1" i="54"/>
  <c r="AE84" i="54"/>
  <c r="AE145" i="54"/>
  <c r="AE119" i="54"/>
  <c r="AE132" i="54"/>
  <c r="AE135" i="54" s="1"/>
  <c r="AF118" i="54"/>
  <c r="L173" i="54"/>
  <c r="L191" i="54"/>
  <c r="J153" i="54"/>
  <c r="M170" i="54"/>
  <c r="AC134" i="54"/>
  <c r="AC131" i="54"/>
  <c r="L193" i="54"/>
  <c r="V119" i="54"/>
  <c r="V132" i="54"/>
  <c r="V135" i="54" s="1"/>
  <c r="O192" i="54"/>
  <c r="L195" i="54"/>
  <c r="AD52" i="54"/>
  <c r="AD49" i="54" s="1"/>
  <c r="M171" i="54"/>
  <c r="N123" i="54"/>
  <c r="M125" i="54"/>
  <c r="M127" i="54"/>
  <c r="N181" i="54"/>
  <c r="M196" i="54"/>
  <c r="M92" i="54"/>
  <c r="U144" i="54"/>
  <c r="U148" i="54"/>
  <c r="AD83" i="54"/>
  <c r="J52" i="54"/>
  <c r="J49" i="54" s="1"/>
  <c r="M172" i="54"/>
  <c r="M91" i="54"/>
  <c r="I131" i="54"/>
  <c r="I134" i="54"/>
  <c r="U153" i="54"/>
  <c r="AD121" i="54"/>
  <c r="AD128" i="54" s="1"/>
  <c r="AD120" i="54"/>
  <c r="AD116" i="54"/>
  <c r="I101" i="54"/>
  <c r="I102" i="54" s="1"/>
  <c r="I96" i="54"/>
  <c r="I97" i="54"/>
  <c r="I95" i="54"/>
  <c r="AB133" i="54"/>
  <c r="K179" i="54"/>
  <c r="L178" i="54"/>
  <c r="L194" i="54"/>
  <c r="L180" i="54"/>
  <c r="S133" i="54"/>
  <c r="L175" i="54"/>
  <c r="H258" i="54"/>
  <c r="H259" i="54"/>
  <c r="AD148" i="54"/>
  <c r="AD144" i="54"/>
  <c r="M185" i="54"/>
  <c r="L184" i="54"/>
  <c r="J87" i="54"/>
  <c r="J100" i="54" s="1"/>
  <c r="J88" i="54"/>
  <c r="J83" i="54"/>
  <c r="H133" i="54"/>
  <c r="I128" i="54"/>
  <c r="I127" i="54"/>
  <c r="U116" i="54"/>
  <c r="U121" i="54"/>
  <c r="U128" i="54" s="1"/>
  <c r="U120" i="54"/>
  <c r="H105" i="54"/>
  <c r="H103" i="54"/>
  <c r="H104" i="54"/>
  <c r="T131" i="54"/>
  <c r="T134" i="54"/>
  <c r="K154" i="54"/>
  <c r="K117" i="54"/>
  <c r="K50" i="54"/>
  <c r="K84" i="54"/>
  <c r="K51" i="54"/>
  <c r="L1" i="54"/>
  <c r="K145" i="54"/>
  <c r="L93" i="54"/>
  <c r="M90" i="54"/>
  <c r="U83" i="54"/>
  <c r="AD153" i="54"/>
  <c r="J121" i="54"/>
  <c r="J116" i="54"/>
  <c r="J120" i="54"/>
  <c r="K86" i="54"/>
  <c r="L85" i="54"/>
  <c r="L187" i="54"/>
  <c r="V154" i="54"/>
  <c r="V145" i="54"/>
  <c r="V117" i="54"/>
  <c r="V84" i="54"/>
  <c r="V50" i="54"/>
  <c r="V51" i="54"/>
  <c r="K132" i="54"/>
  <c r="K135" i="54" s="1"/>
  <c r="L118" i="54"/>
  <c r="K119" i="54"/>
  <c r="M186" i="54"/>
  <c r="X251" i="54"/>
  <c r="J144" i="54"/>
  <c r="J148" i="54"/>
  <c r="Y247" i="54"/>
  <c r="M174" i="54"/>
  <c r="J259" i="53"/>
  <c r="L116" i="53"/>
  <c r="L120" i="53"/>
  <c r="M172" i="53"/>
  <c r="L125" i="53"/>
  <c r="M123" i="53"/>
  <c r="M187" i="53"/>
  <c r="L144" i="53"/>
  <c r="M90" i="53"/>
  <c r="AE153" i="53"/>
  <c r="N181" i="53"/>
  <c r="L185" i="53"/>
  <c r="M186" i="53"/>
  <c r="L193" i="53"/>
  <c r="N191" i="53"/>
  <c r="L153" i="53"/>
  <c r="L180" i="53"/>
  <c r="L119" i="53"/>
  <c r="L121" i="53" s="1"/>
  <c r="AE83" i="53"/>
  <c r="L192" i="53"/>
  <c r="U83" i="53"/>
  <c r="L52" i="53"/>
  <c r="L49" i="53" s="1"/>
  <c r="AE144" i="53"/>
  <c r="N91" i="53"/>
  <c r="K258" i="53"/>
  <c r="L178" i="53"/>
  <c r="K179" i="53"/>
  <c r="K259" i="53" s="1"/>
  <c r="L184" i="53"/>
  <c r="U144" i="53"/>
  <c r="M86" i="53"/>
  <c r="M88" i="53" s="1"/>
  <c r="N85" i="53"/>
  <c r="M87" i="53"/>
  <c r="N173" i="53"/>
  <c r="AE116" i="53"/>
  <c r="L92" i="53"/>
  <c r="U153" i="53"/>
  <c r="L170" i="53"/>
  <c r="M195" i="53"/>
  <c r="AE52" i="53"/>
  <c r="AE49" i="53" s="1"/>
  <c r="L196" i="53"/>
  <c r="L175" i="53"/>
  <c r="N194" i="53"/>
  <c r="N174" i="53"/>
  <c r="U52" i="53"/>
  <c r="U49" i="53" s="1"/>
  <c r="L88" i="53"/>
  <c r="L87" i="53"/>
  <c r="L83" i="53"/>
  <c r="AF50" i="53"/>
  <c r="AF51" i="53"/>
  <c r="AF154" i="53"/>
  <c r="AF84" i="53"/>
  <c r="AF145" i="53"/>
  <c r="AF117" i="53"/>
  <c r="K97" i="53"/>
  <c r="K96" i="53"/>
  <c r="K127" i="53"/>
  <c r="M171" i="53"/>
  <c r="V117" i="53"/>
  <c r="AP45" i="51"/>
  <c r="N3" i="51"/>
  <c r="K45" i="51"/>
  <c r="E51" i="48"/>
  <c r="E50" i="48"/>
  <c r="F1" i="48"/>
  <c r="Z50" i="48"/>
  <c r="D51" i="48"/>
  <c r="W241" i="48"/>
  <c r="W258" i="48"/>
  <c r="W189" i="48"/>
  <c r="W124" i="48"/>
  <c r="O1" i="48"/>
  <c r="X50" i="48"/>
  <c r="AB50" i="48"/>
  <c r="X51" i="48"/>
  <c r="M258" i="48"/>
  <c r="M241" i="48"/>
  <c r="M189" i="48"/>
  <c r="M124" i="48"/>
  <c r="Y50" i="48"/>
  <c r="D50" i="48"/>
  <c r="W49" i="48"/>
  <c r="N50" i="48"/>
  <c r="E126" i="48"/>
  <c r="F125" i="48"/>
  <c r="F131" i="48"/>
  <c r="C136" i="48"/>
  <c r="C137" i="48"/>
  <c r="C135" i="48"/>
  <c r="G130" i="48"/>
  <c r="F132" i="48"/>
  <c r="D133" i="48"/>
  <c r="E133" i="48"/>
  <c r="C199" i="48"/>
  <c r="C200" i="48"/>
  <c r="C370" i="48" s="1"/>
  <c r="E195" i="48"/>
  <c r="C197" i="48"/>
  <c r="E286" i="48"/>
  <c r="F293" i="48"/>
  <c r="H296" i="48"/>
  <c r="E282" i="48"/>
  <c r="F287" i="48"/>
  <c r="F283" i="48"/>
  <c r="F291" i="48"/>
  <c r="G290" i="48"/>
  <c r="F297" i="48"/>
  <c r="E284" i="48"/>
  <c r="F285" i="48"/>
  <c r="C371" i="48"/>
  <c r="G292" i="48"/>
  <c r="AG371" i="48"/>
  <c r="E305" i="48"/>
  <c r="E298" i="48"/>
  <c r="F304" i="48"/>
  <c r="E299" i="48"/>
  <c r="F308" i="48"/>
  <c r="E303" i="48"/>
  <c r="F306" i="48"/>
  <c r="E307" i="48"/>
  <c r="F359" i="48"/>
  <c r="D132" i="46"/>
  <c r="E132" i="46" s="1"/>
  <c r="O1" i="46"/>
  <c r="O51" i="46" s="1"/>
  <c r="Y50" i="46"/>
  <c r="X51" i="46"/>
  <c r="AG52" i="46"/>
  <c r="W189" i="46" s="1"/>
  <c r="X50" i="46"/>
  <c r="D51" i="46"/>
  <c r="D50" i="46"/>
  <c r="E1" i="46"/>
  <c r="Z1" i="46"/>
  <c r="AA1" i="46" s="1"/>
  <c r="AB1" i="46" s="1"/>
  <c r="AC1" i="46" s="1"/>
  <c r="Y51" i="46"/>
  <c r="N50" i="46"/>
  <c r="C137" i="46"/>
  <c r="C135" i="46"/>
  <c r="H131" i="46"/>
  <c r="D126" i="46"/>
  <c r="F130" i="46"/>
  <c r="F125" i="46"/>
  <c r="C199" i="46"/>
  <c r="C200" i="46"/>
  <c r="C370" i="46" s="1"/>
  <c r="AG200" i="46"/>
  <c r="AG370" i="46" s="1"/>
  <c r="D197" i="46"/>
  <c r="F190" i="46"/>
  <c r="D191" i="46"/>
  <c r="E195" i="46"/>
  <c r="C197" i="46"/>
  <c r="G283" i="46"/>
  <c r="F290" i="46"/>
  <c r="E291" i="46"/>
  <c r="F282" i="46"/>
  <c r="E286" i="46"/>
  <c r="F284" i="46"/>
  <c r="F285" i="46"/>
  <c r="H287" i="46"/>
  <c r="D291" i="46"/>
  <c r="F306" i="46"/>
  <c r="E292" i="46"/>
  <c r="E296" i="46"/>
  <c r="G298" i="46"/>
  <c r="F299" i="46"/>
  <c r="F303" i="46"/>
  <c r="E304" i="46"/>
  <c r="F308" i="46"/>
  <c r="E293" i="46"/>
  <c r="E297" i="46"/>
  <c r="E305" i="46"/>
  <c r="F307" i="46"/>
  <c r="G9" i="9"/>
  <c r="G6" i="9"/>
  <c r="L14" i="8"/>
  <c r="J14" i="8"/>
  <c r="H14" i="8"/>
  <c r="E191" i="48" l="1"/>
  <c r="AC50" i="48"/>
  <c r="AC51" i="48"/>
  <c r="AA50" i="48"/>
  <c r="AA51" i="48"/>
  <c r="AB51" i="48"/>
  <c r="Z51" i="48"/>
  <c r="G11" i="9"/>
  <c r="CE75" i="59"/>
  <c r="CG2" i="59"/>
  <c r="CF67" i="59"/>
  <c r="CF68" i="59"/>
  <c r="CF69" i="59"/>
  <c r="CF61" i="59"/>
  <c r="CF70" i="59"/>
  <c r="CF62" i="59"/>
  <c r="CF64" i="59"/>
  <c r="CF73" i="59"/>
  <c r="CF65" i="59"/>
  <c r="CF66" i="59"/>
  <c r="CF63" i="59"/>
  <c r="CF74" i="59"/>
  <c r="CF72" i="59"/>
  <c r="CF71" i="59"/>
  <c r="P139" i="55"/>
  <c r="AU139" i="55"/>
  <c r="DG139" i="55" s="1"/>
  <c r="AU144" i="55"/>
  <c r="P144" i="55"/>
  <c r="AV140" i="55"/>
  <c r="DH140" i="55" s="1"/>
  <c r="Q140" i="55"/>
  <c r="P143" i="55"/>
  <c r="AU143" i="55"/>
  <c r="DG143" i="55" s="1"/>
  <c r="O145" i="55"/>
  <c r="AT145" i="55"/>
  <c r="T146" i="55"/>
  <c r="AY146" i="55"/>
  <c r="S147" i="55"/>
  <c r="AX147" i="55"/>
  <c r="AU163" i="55"/>
  <c r="DG163" i="55" s="1"/>
  <c r="P163" i="55"/>
  <c r="O162" i="55"/>
  <c r="AT162" i="55"/>
  <c r="DF162" i="55" s="1"/>
  <c r="O166" i="55"/>
  <c r="AT166" i="55"/>
  <c r="DF166" i="55" s="1"/>
  <c r="N168" i="55"/>
  <c r="AS168" i="55"/>
  <c r="AW169" i="55"/>
  <c r="R169" i="55"/>
  <c r="O164" i="55"/>
  <c r="AT164" i="55"/>
  <c r="DF164" i="55" s="1"/>
  <c r="AY170" i="55"/>
  <c r="T170" i="55"/>
  <c r="BZ162" i="55"/>
  <c r="O167" i="55"/>
  <c r="AT167" i="55"/>
  <c r="AT165" i="55"/>
  <c r="DF165" i="55" s="1"/>
  <c r="O165" i="55"/>
  <c r="R124" i="55"/>
  <c r="AW124" i="55"/>
  <c r="N119" i="55"/>
  <c r="AS119" i="55"/>
  <c r="DE119" i="55" s="1"/>
  <c r="AS99" i="55"/>
  <c r="N99" i="55"/>
  <c r="AT98" i="55"/>
  <c r="O98" i="55"/>
  <c r="O121" i="55"/>
  <c r="AT121" i="55"/>
  <c r="AT118" i="55"/>
  <c r="DF118" i="55" s="1"/>
  <c r="O118" i="55"/>
  <c r="P94" i="55"/>
  <c r="AU94" i="55"/>
  <c r="DG94" i="55" s="1"/>
  <c r="AT74" i="55"/>
  <c r="DF74" i="55" s="1"/>
  <c r="O74" i="55"/>
  <c r="AS76" i="55"/>
  <c r="N76" i="55"/>
  <c r="AT75" i="55"/>
  <c r="O75" i="55"/>
  <c r="O122" i="55"/>
  <c r="AT122" i="55"/>
  <c r="AT120" i="55"/>
  <c r="DF120" i="55" s="1"/>
  <c r="O120" i="55"/>
  <c r="AT70" i="55"/>
  <c r="DF70" i="55" s="1"/>
  <c r="O70" i="55"/>
  <c r="BZ70" i="55"/>
  <c r="AT93" i="55"/>
  <c r="DF93" i="55" s="1"/>
  <c r="O93" i="55"/>
  <c r="O97" i="55"/>
  <c r="AT97" i="55"/>
  <c r="DF97" i="55" s="1"/>
  <c r="R123" i="55"/>
  <c r="AW123" i="55"/>
  <c r="P71" i="55"/>
  <c r="AU71" i="55"/>
  <c r="DG71" i="55" s="1"/>
  <c r="BZ93" i="55"/>
  <c r="AT116" i="55"/>
  <c r="DF116" i="55" s="1"/>
  <c r="O116" i="55"/>
  <c r="P117" i="55"/>
  <c r="AU117" i="55"/>
  <c r="DG117" i="55" s="1"/>
  <c r="BY116" i="55"/>
  <c r="S100" i="55"/>
  <c r="AX100" i="55"/>
  <c r="R101" i="55"/>
  <c r="AW101" i="55"/>
  <c r="CB97" i="55"/>
  <c r="R78" i="55"/>
  <c r="AW78" i="55"/>
  <c r="S77" i="55"/>
  <c r="AX77" i="55"/>
  <c r="O53" i="55"/>
  <c r="AT53" i="55"/>
  <c r="AT49" i="55"/>
  <c r="DF49" i="55" s="1"/>
  <c r="O49" i="55"/>
  <c r="P48" i="55"/>
  <c r="AU48" i="55"/>
  <c r="DG48" i="55" s="1"/>
  <c r="O52" i="55"/>
  <c r="AT52" i="55"/>
  <c r="N50" i="55"/>
  <c r="AS50" i="55"/>
  <c r="DE50" i="55" s="1"/>
  <c r="AT47" i="55"/>
  <c r="DF47" i="55" s="1"/>
  <c r="O47" i="55"/>
  <c r="AT51" i="55"/>
  <c r="DF51" i="55" s="1"/>
  <c r="O51" i="55"/>
  <c r="AX55" i="55"/>
  <c r="S55" i="55"/>
  <c r="S54" i="55"/>
  <c r="AX54" i="55"/>
  <c r="P28" i="55"/>
  <c r="AU28" i="55"/>
  <c r="DG28" i="55" s="1"/>
  <c r="Q32" i="55"/>
  <c r="AV32" i="55"/>
  <c r="O30" i="55"/>
  <c r="AT30" i="55"/>
  <c r="Q25" i="55"/>
  <c r="AV25" i="55"/>
  <c r="DH25" i="55" s="1"/>
  <c r="CA24" i="55"/>
  <c r="P29" i="55"/>
  <c r="AU29" i="55"/>
  <c r="Q31" i="55"/>
  <c r="AV31" i="55"/>
  <c r="P24" i="55"/>
  <c r="AV24" i="55" s="1"/>
  <c r="DH24" i="55" s="1"/>
  <c r="O204" i="55"/>
  <c r="O205" i="55" s="1"/>
  <c r="P3" i="55"/>
  <c r="V84" i="53"/>
  <c r="V154" i="53"/>
  <c r="V153" i="53" s="1"/>
  <c r="V51" i="53"/>
  <c r="V50" i="53"/>
  <c r="P247" i="53"/>
  <c r="V52" i="54"/>
  <c r="V49" i="54" s="1"/>
  <c r="M184" i="54"/>
  <c r="AE83" i="54"/>
  <c r="N91" i="54"/>
  <c r="V116" i="54"/>
  <c r="V121" i="54"/>
  <c r="V128" i="54" s="1"/>
  <c r="V120" i="54"/>
  <c r="J131" i="54"/>
  <c r="J134" i="54"/>
  <c r="K153" i="54"/>
  <c r="N185" i="54"/>
  <c r="M178" i="54"/>
  <c r="L179" i="54"/>
  <c r="N92" i="54"/>
  <c r="N196" i="54"/>
  <c r="N125" i="54"/>
  <c r="O123" i="54"/>
  <c r="N127" i="54"/>
  <c r="M173" i="54"/>
  <c r="V148" i="54"/>
  <c r="V144" i="54"/>
  <c r="AE52" i="54"/>
  <c r="AE49" i="54" s="1"/>
  <c r="U134" i="54"/>
  <c r="U131" i="54"/>
  <c r="N170" i="54"/>
  <c r="V153" i="54"/>
  <c r="J128" i="54"/>
  <c r="J127" i="54"/>
  <c r="K144" i="54"/>
  <c r="K148" i="54"/>
  <c r="T133" i="54"/>
  <c r="I258" i="54"/>
  <c r="I259" i="54"/>
  <c r="N172" i="54"/>
  <c r="O181" i="54"/>
  <c r="M193" i="54"/>
  <c r="M191" i="54"/>
  <c r="AF132" i="54"/>
  <c r="AF135" i="54" s="1"/>
  <c r="AF119" i="54"/>
  <c r="AE116" i="54"/>
  <c r="AE121" i="54"/>
  <c r="AE128" i="54" s="1"/>
  <c r="AE120" i="54"/>
  <c r="M194" i="54"/>
  <c r="AF154" i="54"/>
  <c r="AF145" i="54"/>
  <c r="AF117" i="54"/>
  <c r="AF84" i="54"/>
  <c r="AF50" i="54"/>
  <c r="AF51" i="54"/>
  <c r="N174" i="54"/>
  <c r="Y251" i="54"/>
  <c r="L132" i="54"/>
  <c r="L135" i="54" s="1"/>
  <c r="L119" i="54"/>
  <c r="L154" i="54"/>
  <c r="L145" i="54"/>
  <c r="L117" i="54"/>
  <c r="L84" i="54"/>
  <c r="L51" i="54"/>
  <c r="L50" i="54"/>
  <c r="M175" i="54"/>
  <c r="I103" i="54"/>
  <c r="I105" i="54"/>
  <c r="I104" i="54"/>
  <c r="AE153" i="54"/>
  <c r="N186" i="54"/>
  <c r="L86" i="54"/>
  <c r="M85" i="54"/>
  <c r="N90" i="54"/>
  <c r="M93" i="54"/>
  <c r="M180" i="54"/>
  <c r="I133" i="54"/>
  <c r="N171" i="54"/>
  <c r="M195" i="54"/>
  <c r="AC133" i="54"/>
  <c r="Z247" i="54"/>
  <c r="K52" i="54"/>
  <c r="K49" i="54" s="1"/>
  <c r="P192" i="54"/>
  <c r="V83" i="54"/>
  <c r="K120" i="54"/>
  <c r="K116" i="54"/>
  <c r="K121" i="54"/>
  <c r="J97" i="54"/>
  <c r="J101" i="54"/>
  <c r="J102" i="54" s="1"/>
  <c r="J96" i="54"/>
  <c r="J95" i="54"/>
  <c r="M187" i="54"/>
  <c r="K87" i="54"/>
  <c r="K100" i="54" s="1"/>
  <c r="K83" i="54"/>
  <c r="K88" i="54"/>
  <c r="AD131" i="54"/>
  <c r="AD134" i="54"/>
  <c r="AE144" i="54"/>
  <c r="AE148" i="54"/>
  <c r="L128" i="53"/>
  <c r="L258" i="53" s="1"/>
  <c r="L127" i="53"/>
  <c r="V83" i="53"/>
  <c r="AF52" i="53"/>
  <c r="AF49" i="53" s="1"/>
  <c r="M96" i="53"/>
  <c r="V144" i="53"/>
  <c r="M184" i="53"/>
  <c r="M180" i="53"/>
  <c r="M193" i="53"/>
  <c r="V116" i="53"/>
  <c r="L96" i="53"/>
  <c r="L97" i="53"/>
  <c r="M175" i="53"/>
  <c r="M192" i="53"/>
  <c r="N187" i="53"/>
  <c r="AF116" i="53"/>
  <c r="N195" i="53"/>
  <c r="O173" i="53"/>
  <c r="N186" i="53"/>
  <c r="N172" i="53"/>
  <c r="AF144" i="53"/>
  <c r="O174" i="53"/>
  <c r="O194" i="53"/>
  <c r="M178" i="53"/>
  <c r="L179" i="53"/>
  <c r="O181" i="53"/>
  <c r="M125" i="53"/>
  <c r="N123" i="53"/>
  <c r="AF83" i="53"/>
  <c r="M170" i="53"/>
  <c r="M92" i="53"/>
  <c r="M97" i="53" s="1"/>
  <c r="M185" i="53"/>
  <c r="M95" i="53"/>
  <c r="N90" i="53"/>
  <c r="N171" i="53"/>
  <c r="AF153" i="53"/>
  <c r="M196" i="53"/>
  <c r="L93" i="53"/>
  <c r="N86" i="53"/>
  <c r="N88" i="53" s="1"/>
  <c r="O85" i="53"/>
  <c r="N87" i="53"/>
  <c r="O91" i="53"/>
  <c r="N118" i="53"/>
  <c r="M121" i="53"/>
  <c r="M128" i="53" s="1"/>
  <c r="M120" i="53"/>
  <c r="O191" i="53"/>
  <c r="L95" i="53"/>
  <c r="O3" i="51"/>
  <c r="AQ45" i="51"/>
  <c r="L45" i="51"/>
  <c r="G308" i="48"/>
  <c r="G304" i="48"/>
  <c r="F305" i="48"/>
  <c r="F284" i="48"/>
  <c r="G293" i="48"/>
  <c r="F195" i="48"/>
  <c r="E197" i="48"/>
  <c r="F307" i="48"/>
  <c r="F282" i="48"/>
  <c r="G306" i="48"/>
  <c r="F298" i="48"/>
  <c r="G285" i="48"/>
  <c r="G297" i="48"/>
  <c r="I296" i="48"/>
  <c r="F286" i="48"/>
  <c r="G131" i="48"/>
  <c r="G133" i="48" s="1"/>
  <c r="AA52" i="48"/>
  <c r="AA49" i="48" s="1"/>
  <c r="D241" i="48"/>
  <c r="O241" i="48"/>
  <c r="M240" i="48"/>
  <c r="N241" i="48"/>
  <c r="F241" i="48"/>
  <c r="E241" i="48"/>
  <c r="P1" i="48"/>
  <c r="P258" i="48" s="1"/>
  <c r="O51" i="48"/>
  <c r="O50" i="48"/>
  <c r="AB241" i="48"/>
  <c r="X241" i="48"/>
  <c r="AA241" i="48"/>
  <c r="AD241" i="48"/>
  <c r="Z241" i="48"/>
  <c r="AC241" i="48"/>
  <c r="Y241" i="48"/>
  <c r="W240" i="48"/>
  <c r="H290" i="48"/>
  <c r="G291" i="48"/>
  <c r="G283" i="48"/>
  <c r="G359" i="48"/>
  <c r="F299" i="48"/>
  <c r="H292" i="48"/>
  <c r="G287" i="48"/>
  <c r="F191" i="48"/>
  <c r="G190" i="48"/>
  <c r="G132" i="48"/>
  <c r="F133" i="48"/>
  <c r="N52" i="48"/>
  <c r="N49" i="48" s="1"/>
  <c r="D52" i="48"/>
  <c r="D49" i="48" s="1"/>
  <c r="N258" i="48"/>
  <c r="F258" i="48"/>
  <c r="D258" i="48"/>
  <c r="E258" i="48"/>
  <c r="O258" i="48"/>
  <c r="M257" i="48"/>
  <c r="AB124" i="48"/>
  <c r="X124" i="48"/>
  <c r="AA124" i="48"/>
  <c r="AD124" i="48"/>
  <c r="W123" i="48"/>
  <c r="AC124" i="48"/>
  <c r="Z124" i="48"/>
  <c r="Y124" i="48"/>
  <c r="AE1" i="48"/>
  <c r="AE189" i="48" s="1"/>
  <c r="AD50" i="48"/>
  <c r="AD51" i="48"/>
  <c r="F303" i="48"/>
  <c r="H130" i="48"/>
  <c r="D124" i="48"/>
  <c r="O124" i="48"/>
  <c r="M123" i="48"/>
  <c r="N124" i="48"/>
  <c r="F124" i="48"/>
  <c r="E124" i="48"/>
  <c r="AB52" i="48"/>
  <c r="AB49" i="48" s="1"/>
  <c r="AC189" i="48"/>
  <c r="Y189" i="48"/>
  <c r="W188" i="48"/>
  <c r="AB189" i="48"/>
  <c r="X189" i="48"/>
  <c r="AA189" i="48"/>
  <c r="AD189" i="48"/>
  <c r="Z189" i="48"/>
  <c r="Z52" i="48"/>
  <c r="Z49" i="48" s="1"/>
  <c r="G1" i="48"/>
  <c r="G241" i="48" s="1"/>
  <c r="F51" i="48"/>
  <c r="F50" i="48"/>
  <c r="G125" i="48"/>
  <c r="F126" i="48"/>
  <c r="Y52" i="48"/>
  <c r="Y49" i="48" s="1"/>
  <c r="E189" i="48"/>
  <c r="D189" i="48"/>
  <c r="O189" i="48"/>
  <c r="M188" i="48"/>
  <c r="N189" i="48"/>
  <c r="F189" i="48"/>
  <c r="X52" i="48"/>
  <c r="X49" i="48" s="1"/>
  <c r="AD258" i="48"/>
  <c r="Z258" i="48"/>
  <c r="AB258" i="48"/>
  <c r="X258" i="48"/>
  <c r="AC258" i="48"/>
  <c r="AA258" i="48"/>
  <c r="Y258" i="48"/>
  <c r="W257" i="48"/>
  <c r="AC52" i="48"/>
  <c r="AC49" i="48" s="1"/>
  <c r="E52" i="48"/>
  <c r="E49" i="48" s="1"/>
  <c r="M189" i="46"/>
  <c r="W241" i="46"/>
  <c r="AB241" i="46" s="1"/>
  <c r="W258" i="46"/>
  <c r="Y258" i="46" s="1"/>
  <c r="AG371" i="46"/>
  <c r="M241" i="46"/>
  <c r="M258" i="46"/>
  <c r="E258" i="46" s="1"/>
  <c r="C371" i="46"/>
  <c r="D133" i="46"/>
  <c r="M124" i="46"/>
  <c r="E124" i="46" s="1"/>
  <c r="O50" i="46"/>
  <c r="O52" i="46" s="1"/>
  <c r="O49" i="46" s="1"/>
  <c r="P1" i="46"/>
  <c r="P51" i="46" s="1"/>
  <c r="F297" i="46"/>
  <c r="G308" i="46"/>
  <c r="F304" i="46"/>
  <c r="H283" i="46"/>
  <c r="N52" i="46"/>
  <c r="N49" i="46" s="1"/>
  <c r="D52" i="46"/>
  <c r="D49" i="46" s="1"/>
  <c r="X52" i="46"/>
  <c r="X49" i="46" s="1"/>
  <c r="AB51" i="46"/>
  <c r="F293" i="46"/>
  <c r="G303" i="46"/>
  <c r="F296" i="46"/>
  <c r="G306" i="46"/>
  <c r="I287" i="46"/>
  <c r="G284" i="46"/>
  <c r="G290" i="46"/>
  <c r="F291" i="46"/>
  <c r="E197" i="46"/>
  <c r="F195" i="46"/>
  <c r="F126" i="46"/>
  <c r="G125" i="46"/>
  <c r="I131" i="46"/>
  <c r="AB189" i="46"/>
  <c r="X189" i="46"/>
  <c r="AA189" i="46"/>
  <c r="Z189" i="46"/>
  <c r="AC189" i="46"/>
  <c r="Y189" i="46"/>
  <c r="W188" i="46"/>
  <c r="AC51" i="46"/>
  <c r="AD1" i="46"/>
  <c r="AC50" i="46"/>
  <c r="AB50" i="46"/>
  <c r="AA51" i="46"/>
  <c r="F305" i="46"/>
  <c r="G299" i="46"/>
  <c r="F286" i="46"/>
  <c r="G282" i="46"/>
  <c r="Y241" i="46"/>
  <c r="W240" i="46"/>
  <c r="Z50" i="46"/>
  <c r="AA50" i="46"/>
  <c r="G307" i="46"/>
  <c r="H298" i="46"/>
  <c r="F292" i="46"/>
  <c r="G285" i="46"/>
  <c r="G190" i="46"/>
  <c r="F191" i="46"/>
  <c r="G130" i="46"/>
  <c r="F132" i="46"/>
  <c r="F133" i="46" s="1"/>
  <c r="E133" i="46"/>
  <c r="E51" i="46"/>
  <c r="E50" i="46"/>
  <c r="F1" i="46"/>
  <c r="W124" i="46"/>
  <c r="AG49" i="46"/>
  <c r="Z51" i="46"/>
  <c r="Y52" i="46"/>
  <c r="Y49" i="46" s="1"/>
  <c r="H118" i="24"/>
  <c r="K102" i="24"/>
  <c r="D77" i="44"/>
  <c r="C37" i="44"/>
  <c r="C33" i="44"/>
  <c r="R18" i="44"/>
  <c r="Z137" i="24"/>
  <c r="Z118" i="24"/>
  <c r="Z117" i="24"/>
  <c r="Z113" i="24"/>
  <c r="Z102" i="24"/>
  <c r="Z95" i="24"/>
  <c r="Z93" i="24"/>
  <c r="Z74" i="24"/>
  <c r="Z141" i="24" s="1"/>
  <c r="P189" i="48" l="1"/>
  <c r="P124" i="48"/>
  <c r="V52" i="53"/>
  <c r="V49" i="53" s="1"/>
  <c r="AE258" i="48"/>
  <c r="G189" i="48"/>
  <c r="Z119" i="24"/>
  <c r="Z122" i="24" s="1"/>
  <c r="O241" i="46"/>
  <c r="CF75" i="59"/>
  <c r="CH2" i="59"/>
  <c r="CG68" i="59"/>
  <c r="CG69" i="59"/>
  <c r="CG61" i="59"/>
  <c r="CG70" i="59"/>
  <c r="CG62" i="59"/>
  <c r="CG64" i="59"/>
  <c r="CG73" i="59"/>
  <c r="CG65" i="59"/>
  <c r="CG66" i="59"/>
  <c r="CG67" i="59"/>
  <c r="CG72" i="59"/>
  <c r="CG63" i="59"/>
  <c r="CG74" i="59"/>
  <c r="CG71" i="59"/>
  <c r="Q143" i="55"/>
  <c r="AV143" i="55"/>
  <c r="DH143" i="55" s="1"/>
  <c r="R140" i="55"/>
  <c r="AW140" i="55"/>
  <c r="DI140" i="55" s="1"/>
  <c r="AV144" i="55"/>
  <c r="Q144" i="55"/>
  <c r="AU145" i="55"/>
  <c r="P145" i="55"/>
  <c r="AV139" i="55"/>
  <c r="DH139" i="55" s="1"/>
  <c r="Q139" i="55"/>
  <c r="U146" i="55"/>
  <c r="AZ146" i="55"/>
  <c r="AY147" i="55"/>
  <c r="T147" i="55"/>
  <c r="P164" i="55"/>
  <c r="AU164" i="55"/>
  <c r="DG164" i="55" s="1"/>
  <c r="CA162" i="55"/>
  <c r="P162" i="55"/>
  <c r="AU162" i="55"/>
  <c r="DG162" i="55" s="1"/>
  <c r="S169" i="55"/>
  <c r="AX169" i="55"/>
  <c r="U170" i="55"/>
  <c r="AZ170" i="55"/>
  <c r="AV163" i="55"/>
  <c r="DH163" i="55" s="1"/>
  <c r="Q163" i="55"/>
  <c r="P165" i="55"/>
  <c r="AU165" i="55"/>
  <c r="DG165" i="55" s="1"/>
  <c r="AT168" i="55"/>
  <c r="O168" i="55"/>
  <c r="P167" i="55"/>
  <c r="AU167" i="55"/>
  <c r="AU166" i="55"/>
  <c r="DG166" i="55" s="1"/>
  <c r="P166" i="55"/>
  <c r="AX124" i="55"/>
  <c r="S124" i="55"/>
  <c r="P116" i="55"/>
  <c r="AU116" i="55"/>
  <c r="DG116" i="55" s="1"/>
  <c r="AU74" i="55"/>
  <c r="DG74" i="55" s="1"/>
  <c r="P74" i="55"/>
  <c r="AV71" i="55"/>
  <c r="DH71" i="55" s="1"/>
  <c r="Q71" i="55"/>
  <c r="P118" i="55"/>
  <c r="AU118" i="55"/>
  <c r="DG118" i="55" s="1"/>
  <c r="AT99" i="55"/>
  <c r="O99" i="55"/>
  <c r="BZ116" i="55"/>
  <c r="CA70" i="55"/>
  <c r="AU122" i="55"/>
  <c r="P122" i="55"/>
  <c r="AX123" i="55"/>
  <c r="S123" i="55"/>
  <c r="P75" i="55"/>
  <c r="AU75" i="55"/>
  <c r="AV94" i="55"/>
  <c r="DH94" i="55" s="1"/>
  <c r="Q94" i="55"/>
  <c r="CA93" i="55"/>
  <c r="P121" i="55"/>
  <c r="AU121" i="55"/>
  <c r="AV117" i="55"/>
  <c r="DH117" i="55" s="1"/>
  <c r="Q117" i="55"/>
  <c r="AU97" i="55"/>
  <c r="DG97" i="55" s="1"/>
  <c r="P97" i="55"/>
  <c r="P70" i="55"/>
  <c r="AU70" i="55"/>
  <c r="DG70" i="55" s="1"/>
  <c r="O76" i="55"/>
  <c r="AT76" i="55"/>
  <c r="AU98" i="55"/>
  <c r="P98" i="55"/>
  <c r="AT119" i="55"/>
  <c r="DF119" i="55" s="1"/>
  <c r="O119" i="55"/>
  <c r="P93" i="55"/>
  <c r="AU93" i="55"/>
  <c r="DG93" i="55" s="1"/>
  <c r="P120" i="55"/>
  <c r="AU120" i="55"/>
  <c r="DG120" i="55" s="1"/>
  <c r="CC97" i="55"/>
  <c r="T100" i="55"/>
  <c r="AY100" i="55"/>
  <c r="AX101" i="55"/>
  <c r="S101" i="55"/>
  <c r="AX78" i="55"/>
  <c r="S78" i="55"/>
  <c r="T77" i="55"/>
  <c r="AY77" i="55"/>
  <c r="AV48" i="55"/>
  <c r="DH48" i="55" s="1"/>
  <c r="Q48" i="55"/>
  <c r="P51" i="55"/>
  <c r="AU51" i="55"/>
  <c r="DG51" i="55" s="1"/>
  <c r="P47" i="55"/>
  <c r="AU47" i="55"/>
  <c r="DG47" i="55" s="1"/>
  <c r="P49" i="55"/>
  <c r="AU49" i="55"/>
  <c r="DG49" i="55" s="1"/>
  <c r="P53" i="55"/>
  <c r="AU53" i="55"/>
  <c r="O50" i="55"/>
  <c r="AT50" i="55"/>
  <c r="DF50" i="55" s="1"/>
  <c r="AU52" i="55"/>
  <c r="P52" i="55"/>
  <c r="T55" i="55"/>
  <c r="AY55" i="55"/>
  <c r="T54" i="55"/>
  <c r="AY54" i="55"/>
  <c r="R25" i="55"/>
  <c r="AW25" i="55"/>
  <c r="DI25" i="55" s="1"/>
  <c r="P30" i="55"/>
  <c r="AU30" i="55"/>
  <c r="Q28" i="55"/>
  <c r="AV28" i="55"/>
  <c r="DH28" i="55" s="1"/>
  <c r="R31" i="55"/>
  <c r="AW31" i="55"/>
  <c r="Q29" i="55"/>
  <c r="AV29" i="55"/>
  <c r="R32" i="55"/>
  <c r="AW32" i="55"/>
  <c r="CB24" i="55"/>
  <c r="Q24" i="55"/>
  <c r="AW24" i="55" s="1"/>
  <c r="DI24" i="55" s="1"/>
  <c r="P204" i="55"/>
  <c r="P205" i="55" s="1"/>
  <c r="Q3" i="55"/>
  <c r="Q247" i="53"/>
  <c r="K128" i="54"/>
  <c r="K127" i="54"/>
  <c r="N175" i="54"/>
  <c r="AF148" i="54"/>
  <c r="AF144" i="54"/>
  <c r="N191" i="54"/>
  <c r="O185" i="54"/>
  <c r="K96" i="54"/>
  <c r="K101" i="54"/>
  <c r="K97" i="54"/>
  <c r="K95" i="54"/>
  <c r="N195" i="54"/>
  <c r="N85" i="54"/>
  <c r="M86" i="54"/>
  <c r="M88" i="54" s="1"/>
  <c r="M87" i="54"/>
  <c r="M100" i="54" s="1"/>
  <c r="L88" i="54"/>
  <c r="L83" i="54"/>
  <c r="L87" i="54"/>
  <c r="L100" i="54" s="1"/>
  <c r="Z251" i="54"/>
  <c r="AF153" i="54"/>
  <c r="O92" i="54"/>
  <c r="O91" i="54"/>
  <c r="AD133" i="54"/>
  <c r="L148" i="54"/>
  <c r="L144" i="54"/>
  <c r="AE134" i="54"/>
  <c r="AE131" i="54"/>
  <c r="O172" i="54"/>
  <c r="P181" i="54"/>
  <c r="J133" i="54"/>
  <c r="N184" i="54"/>
  <c r="L121" i="54"/>
  <c r="L116" i="54"/>
  <c r="L120" i="54"/>
  <c r="N173" i="54"/>
  <c r="N187" i="54"/>
  <c r="L153" i="54"/>
  <c r="N194" i="54"/>
  <c r="O186" i="54"/>
  <c r="AF52" i="54"/>
  <c r="AF49" i="54" s="1"/>
  <c r="O127" i="54"/>
  <c r="P123" i="54"/>
  <c r="O125" i="54"/>
  <c r="M258" i="54"/>
  <c r="M179" i="54"/>
  <c r="M259" i="54" s="1"/>
  <c r="N178" i="54"/>
  <c r="V131" i="54"/>
  <c r="V134" i="54"/>
  <c r="K131" i="54"/>
  <c r="K134" i="54"/>
  <c r="O171" i="54"/>
  <c r="O174" i="54"/>
  <c r="N193" i="54"/>
  <c r="N180" i="54"/>
  <c r="J104" i="54"/>
  <c r="J105" i="54"/>
  <c r="J103" i="54"/>
  <c r="AF83" i="54"/>
  <c r="U133" i="54"/>
  <c r="Q192" i="54"/>
  <c r="AA247" i="54"/>
  <c r="N93" i="54"/>
  <c r="O90" i="54"/>
  <c r="L52" i="54"/>
  <c r="L49" i="54" s="1"/>
  <c r="AF116" i="54"/>
  <c r="AF121" i="54"/>
  <c r="AF128" i="54" s="1"/>
  <c r="AF120" i="54"/>
  <c r="J258" i="54"/>
  <c r="J259" i="54"/>
  <c r="O170" i="54"/>
  <c r="O196" i="54"/>
  <c r="M93" i="53"/>
  <c r="L259" i="53"/>
  <c r="N96" i="53"/>
  <c r="N95" i="53"/>
  <c r="O90" i="53"/>
  <c r="P194" i="53"/>
  <c r="O186" i="53"/>
  <c r="O195" i="53"/>
  <c r="N184" i="53"/>
  <c r="N119" i="53"/>
  <c r="N121" i="53" s="1"/>
  <c r="N128" i="53" s="1"/>
  <c r="O118" i="53"/>
  <c r="N120" i="53"/>
  <c r="P174" i="53"/>
  <c r="N175" i="53"/>
  <c r="N193" i="53"/>
  <c r="N196" i="53"/>
  <c r="O171" i="53"/>
  <c r="N185" i="53"/>
  <c r="N125" i="53"/>
  <c r="O123" i="53"/>
  <c r="P173" i="53"/>
  <c r="O187" i="53"/>
  <c r="P91" i="53"/>
  <c r="O172" i="53"/>
  <c r="N180" i="53"/>
  <c r="M127" i="53"/>
  <c r="P191" i="53"/>
  <c r="N92" i="53"/>
  <c r="P181" i="53"/>
  <c r="N192" i="53"/>
  <c r="P85" i="53"/>
  <c r="O86" i="53"/>
  <c r="O88" i="53" s="1"/>
  <c r="O87" i="53"/>
  <c r="N170" i="53"/>
  <c r="M258" i="53"/>
  <c r="M179" i="53"/>
  <c r="M259" i="53" s="1"/>
  <c r="N178" i="53"/>
  <c r="M45" i="51"/>
  <c r="AR45" i="51"/>
  <c r="P3" i="51"/>
  <c r="G240" i="48"/>
  <c r="AE257" i="48"/>
  <c r="AC257" i="48"/>
  <c r="F192" i="48"/>
  <c r="F188" i="48"/>
  <c r="F193" i="48"/>
  <c r="F200" i="48" s="1"/>
  <c r="D193" i="48"/>
  <c r="D192" i="48"/>
  <c r="D188" i="48"/>
  <c r="AD188" i="48"/>
  <c r="AB188" i="48"/>
  <c r="Y188" i="48"/>
  <c r="E127" i="48"/>
  <c r="E123" i="48"/>
  <c r="E128" i="48"/>
  <c r="O123" i="48"/>
  <c r="AF1" i="48"/>
  <c r="AE50" i="48"/>
  <c r="AE51" i="48"/>
  <c r="AC123" i="48"/>
  <c r="AE124" i="48"/>
  <c r="O257" i="48"/>
  <c r="F257" i="48"/>
  <c r="H132" i="48"/>
  <c r="H190" i="48"/>
  <c r="G191" i="48"/>
  <c r="G193" i="48" s="1"/>
  <c r="G200" i="48" s="1"/>
  <c r="G370" i="48" s="1"/>
  <c r="Y240" i="48"/>
  <c r="AA240" i="48"/>
  <c r="Q1" i="48"/>
  <c r="P51" i="48"/>
  <c r="P50" i="48"/>
  <c r="O240" i="48"/>
  <c r="J296" i="48"/>
  <c r="H293" i="48"/>
  <c r="G305" i="48"/>
  <c r="H308" i="48"/>
  <c r="X257" i="48"/>
  <c r="Z257" i="48"/>
  <c r="O188" i="48"/>
  <c r="E192" i="48"/>
  <c r="E188" i="48"/>
  <c r="E193" i="48"/>
  <c r="H125" i="48"/>
  <c r="G126" i="48"/>
  <c r="F52" i="48"/>
  <c r="F49" i="48" s="1"/>
  <c r="AA188" i="48"/>
  <c r="AC188" i="48"/>
  <c r="I130" i="48"/>
  <c r="Y123" i="48"/>
  <c r="X123" i="48"/>
  <c r="E257" i="48"/>
  <c r="I292" i="48"/>
  <c r="AC240" i="48"/>
  <c r="AE241" i="48"/>
  <c r="N240" i="48"/>
  <c r="P241" i="48"/>
  <c r="H131" i="48"/>
  <c r="H285" i="48"/>
  <c r="H306" i="48"/>
  <c r="G282" i="48"/>
  <c r="Y257" i="48"/>
  <c r="AB257" i="48"/>
  <c r="AD257" i="48"/>
  <c r="N188" i="48"/>
  <c r="AE188" i="48"/>
  <c r="F127" i="48"/>
  <c r="F123" i="48"/>
  <c r="F128" i="48"/>
  <c r="G124" i="48"/>
  <c r="P123" i="48"/>
  <c r="Z123" i="48"/>
  <c r="AD123" i="48"/>
  <c r="AB123" i="48"/>
  <c r="P257" i="48"/>
  <c r="N257" i="48"/>
  <c r="H359" i="48"/>
  <c r="H291" i="48"/>
  <c r="I290" i="48"/>
  <c r="Z240" i="48"/>
  <c r="X240" i="48"/>
  <c r="O52" i="48"/>
  <c r="O49" i="48" s="1"/>
  <c r="D240" i="48"/>
  <c r="G286" i="48"/>
  <c r="F197" i="48"/>
  <c r="F199" i="48"/>
  <c r="G195" i="48"/>
  <c r="G284" i="48"/>
  <c r="H304" i="48"/>
  <c r="AA257" i="48"/>
  <c r="G192" i="48"/>
  <c r="G188" i="48"/>
  <c r="P188" i="48"/>
  <c r="H1" i="48"/>
  <c r="G51" i="48"/>
  <c r="G50" i="48"/>
  <c r="Z188" i="48"/>
  <c r="X188" i="48"/>
  <c r="N123" i="48"/>
  <c r="D123" i="48"/>
  <c r="D128" i="48"/>
  <c r="D127" i="48"/>
  <c r="G303" i="48"/>
  <c r="AD52" i="48"/>
  <c r="AD49" i="48" s="1"/>
  <c r="AA123" i="48"/>
  <c r="G258" i="48"/>
  <c r="D257" i="48"/>
  <c r="H287" i="48"/>
  <c r="G299" i="48"/>
  <c r="H283" i="48"/>
  <c r="AD240" i="48"/>
  <c r="AB240" i="48"/>
  <c r="E240" i="48"/>
  <c r="F240" i="48"/>
  <c r="H297" i="48"/>
  <c r="G298" i="48"/>
  <c r="G307" i="48"/>
  <c r="AA241" i="46"/>
  <c r="AA240" i="46" s="1"/>
  <c r="AA258" i="46"/>
  <c r="AA257" i="46" s="1"/>
  <c r="AB258" i="46"/>
  <c r="AB257" i="46" s="1"/>
  <c r="M257" i="46"/>
  <c r="P189" i="46"/>
  <c r="P188" i="46" s="1"/>
  <c r="Q1" i="46"/>
  <c r="Q51" i="46" s="1"/>
  <c r="O189" i="46"/>
  <c r="O188" i="46" s="1"/>
  <c r="Z241" i="46"/>
  <c r="Z240" i="46" s="1"/>
  <c r="W257" i="46"/>
  <c r="E189" i="46"/>
  <c r="E193" i="46" s="1"/>
  <c r="N258" i="46"/>
  <c r="N257" i="46" s="1"/>
  <c r="D189" i="46"/>
  <c r="D192" i="46" s="1"/>
  <c r="M188" i="46"/>
  <c r="P50" i="46"/>
  <c r="P52" i="46" s="1"/>
  <c r="P49" i="46" s="1"/>
  <c r="D258" i="46"/>
  <c r="D257" i="46" s="1"/>
  <c r="X241" i="46"/>
  <c r="X240" i="46" s="1"/>
  <c r="AC241" i="46"/>
  <c r="AC240" i="46" s="1"/>
  <c r="P258" i="46"/>
  <c r="P257" i="46" s="1"/>
  <c r="N189" i="46"/>
  <c r="N188" i="46" s="1"/>
  <c r="AD241" i="46"/>
  <c r="AD240" i="46" s="1"/>
  <c r="D241" i="46"/>
  <c r="D240" i="46" s="1"/>
  <c r="O258" i="46"/>
  <c r="O257" i="46" s="1"/>
  <c r="X258" i="46"/>
  <c r="X257" i="46" s="1"/>
  <c r="AC258" i="46"/>
  <c r="AC257" i="46" s="1"/>
  <c r="D124" i="46"/>
  <c r="D123" i="46" s="1"/>
  <c r="M123" i="46"/>
  <c r="Z258" i="46"/>
  <c r="Z257" i="46" s="1"/>
  <c r="AD258" i="46"/>
  <c r="AD257" i="46" s="1"/>
  <c r="N241" i="46"/>
  <c r="N240" i="46" s="1"/>
  <c r="P241" i="46"/>
  <c r="P240" i="46" s="1"/>
  <c r="M240" i="46"/>
  <c r="E241" i="46"/>
  <c r="E240" i="46" s="1"/>
  <c r="F51" i="46"/>
  <c r="F50" i="46"/>
  <c r="G1" i="46"/>
  <c r="G292" i="46"/>
  <c r="H307" i="46"/>
  <c r="AA52" i="46"/>
  <c r="AA49" i="46" s="1"/>
  <c r="AB240" i="46"/>
  <c r="Y240" i="46"/>
  <c r="H299" i="46"/>
  <c r="AB52" i="46"/>
  <c r="AB49" i="46" s="1"/>
  <c r="AE1" i="46"/>
  <c r="AE124" i="46" s="1"/>
  <c r="AD50" i="46"/>
  <c r="AD51" i="46"/>
  <c r="F258" i="46"/>
  <c r="J287" i="46"/>
  <c r="G296" i="46"/>
  <c r="G293" i="46"/>
  <c r="G304" i="46"/>
  <c r="G297" i="46"/>
  <c r="E52" i="46"/>
  <c r="E49" i="46" s="1"/>
  <c r="Y257" i="46"/>
  <c r="G132" i="46"/>
  <c r="G191" i="46"/>
  <c r="H190" i="46"/>
  <c r="Z52" i="46"/>
  <c r="Z49" i="46" s="1"/>
  <c r="O124" i="46"/>
  <c r="N124" i="46"/>
  <c r="G286" i="46"/>
  <c r="Z188" i="46"/>
  <c r="X188" i="46"/>
  <c r="G126" i="46"/>
  <c r="H125" i="46"/>
  <c r="F241" i="46"/>
  <c r="I283" i="46"/>
  <c r="H130" i="46"/>
  <c r="H285" i="46"/>
  <c r="I298" i="46"/>
  <c r="P124" i="46"/>
  <c r="G305" i="46"/>
  <c r="Y188" i="46"/>
  <c r="AD189" i="46"/>
  <c r="AB188" i="46"/>
  <c r="H284" i="46"/>
  <c r="H306" i="46"/>
  <c r="H303" i="46"/>
  <c r="O240" i="46"/>
  <c r="H308" i="46"/>
  <c r="AD124" i="46"/>
  <c r="Z124" i="46"/>
  <c r="AC124" i="46"/>
  <c r="Y124" i="46"/>
  <c r="W123" i="46"/>
  <c r="AB124" i="46"/>
  <c r="AA124" i="46"/>
  <c r="X124" i="46"/>
  <c r="F189" i="46"/>
  <c r="E128" i="46"/>
  <c r="E127" i="46"/>
  <c r="E123" i="46"/>
  <c r="F124" i="46"/>
  <c r="H282" i="46"/>
  <c r="AC52" i="46"/>
  <c r="AC49" i="46" s="1"/>
  <c r="AC188" i="46"/>
  <c r="AA188" i="46"/>
  <c r="E257" i="46"/>
  <c r="J131" i="46"/>
  <c r="F197" i="46"/>
  <c r="G195" i="46"/>
  <c r="G291" i="46"/>
  <c r="H290" i="46"/>
  <c r="Z101" i="24"/>
  <c r="Z104" i="24" s="1"/>
  <c r="Z142" i="24"/>
  <c r="Z143" i="24" s="1"/>
  <c r="Z125" i="24"/>
  <c r="Z127" i="24" s="1"/>
  <c r="Z135" i="24"/>
  <c r="Z138" i="24" s="1"/>
  <c r="Z92" i="24"/>
  <c r="Z96" i="24" s="1"/>
  <c r="Z112" i="24"/>
  <c r="Z114" i="24" s="1"/>
  <c r="Z107" i="24"/>
  <c r="Z109" i="24" s="1"/>
  <c r="Z129" i="24" l="1"/>
  <c r="J81" i="24" s="1"/>
  <c r="CG75" i="59"/>
  <c r="CI2" i="59"/>
  <c r="CH69" i="59"/>
  <c r="CH61" i="59"/>
  <c r="CH70" i="59"/>
  <c r="CH62" i="59"/>
  <c r="CH64" i="59"/>
  <c r="CH73" i="59"/>
  <c r="CH65" i="59"/>
  <c r="CH66" i="59"/>
  <c r="CH67" i="59"/>
  <c r="CH68" i="59"/>
  <c r="CH63" i="59"/>
  <c r="CH74" i="59"/>
  <c r="CH72" i="59"/>
  <c r="CH71" i="59"/>
  <c r="Q145" i="55"/>
  <c r="AV145" i="55"/>
  <c r="AW144" i="55"/>
  <c r="R144" i="55"/>
  <c r="AW139" i="55"/>
  <c r="DI139" i="55" s="1"/>
  <c r="R139" i="55"/>
  <c r="AX140" i="55"/>
  <c r="DJ140" i="55" s="1"/>
  <c r="S140" i="55"/>
  <c r="R143" i="55"/>
  <c r="AW143" i="55"/>
  <c r="DI143" i="55" s="1"/>
  <c r="AZ147" i="55"/>
  <c r="U147" i="55"/>
  <c r="V146" i="55"/>
  <c r="BA146" i="55"/>
  <c r="Q162" i="55"/>
  <c r="AV162" i="55"/>
  <c r="DH162" i="55" s="1"/>
  <c r="CB162" i="55"/>
  <c r="R163" i="55"/>
  <c r="AW163" i="55"/>
  <c r="DI163" i="55" s="1"/>
  <c r="AV166" i="55"/>
  <c r="DH166" i="55" s="1"/>
  <c r="Q166" i="55"/>
  <c r="AU168" i="55"/>
  <c r="P168" i="55"/>
  <c r="V170" i="55"/>
  <c r="BA170" i="55"/>
  <c r="T169" i="55"/>
  <c r="AY169" i="55"/>
  <c r="Q164" i="55"/>
  <c r="AV164" i="55"/>
  <c r="DH164" i="55" s="1"/>
  <c r="AV167" i="55"/>
  <c r="Q167" i="55"/>
  <c r="Q165" i="55"/>
  <c r="AV165" i="55"/>
  <c r="DH165" i="55" s="1"/>
  <c r="AY124" i="55"/>
  <c r="T124" i="55"/>
  <c r="AV120" i="55"/>
  <c r="DH120" i="55" s="1"/>
  <c r="Q120" i="55"/>
  <c r="AU119" i="55"/>
  <c r="DG119" i="55" s="1"/>
  <c r="P119" i="55"/>
  <c r="Q75" i="55"/>
  <c r="AV75" i="55"/>
  <c r="AV74" i="55"/>
  <c r="DH74" i="55" s="1"/>
  <c r="Q74" i="55"/>
  <c r="Q93" i="55"/>
  <c r="AV93" i="55"/>
  <c r="DH93" i="55" s="1"/>
  <c r="AW94" i="55"/>
  <c r="DI94" i="55" s="1"/>
  <c r="R94" i="55"/>
  <c r="Q70" i="55"/>
  <c r="AV70" i="55"/>
  <c r="DH70" i="55" s="1"/>
  <c r="AY123" i="55"/>
  <c r="T123" i="55"/>
  <c r="AU99" i="55"/>
  <c r="P99" i="55"/>
  <c r="AV97" i="55"/>
  <c r="DH97" i="55" s="1"/>
  <c r="Q97" i="55"/>
  <c r="AV122" i="55"/>
  <c r="Q122" i="55"/>
  <c r="Q116" i="55"/>
  <c r="AV116" i="55"/>
  <c r="DH116" i="55" s="1"/>
  <c r="Q98" i="55"/>
  <c r="AV98" i="55"/>
  <c r="AV121" i="55"/>
  <c r="Q121" i="55"/>
  <c r="CB93" i="55"/>
  <c r="AV118" i="55"/>
  <c r="DH118" i="55" s="1"/>
  <c r="Q118" i="55"/>
  <c r="R71" i="55"/>
  <c r="AW71" i="55"/>
  <c r="DI71" i="55" s="1"/>
  <c r="CB70" i="55"/>
  <c r="P76" i="55"/>
  <c r="AU76" i="55"/>
  <c r="AW117" i="55"/>
  <c r="DI117" i="55" s="1"/>
  <c r="R117" i="55"/>
  <c r="CA116" i="55"/>
  <c r="AY101" i="55"/>
  <c r="T101" i="55"/>
  <c r="U100" i="55"/>
  <c r="AZ100" i="55"/>
  <c r="CD97" i="55"/>
  <c r="U77" i="55"/>
  <c r="AZ77" i="55"/>
  <c r="AY78" i="55"/>
  <c r="T78" i="55"/>
  <c r="Q47" i="55"/>
  <c r="AV47" i="55"/>
  <c r="DH47" i="55" s="1"/>
  <c r="AV52" i="55"/>
  <c r="Q52" i="55"/>
  <c r="Q51" i="55"/>
  <c r="AV51" i="55"/>
  <c r="DH51" i="55" s="1"/>
  <c r="Q53" i="55"/>
  <c r="AV53" i="55"/>
  <c r="AW48" i="55"/>
  <c r="DI48" i="55" s="1"/>
  <c r="R48" i="55"/>
  <c r="AV49" i="55"/>
  <c r="DH49" i="55" s="1"/>
  <c r="Q49" i="55"/>
  <c r="AU50" i="55"/>
  <c r="DG50" i="55" s="1"/>
  <c r="P50" i="55"/>
  <c r="U55" i="55"/>
  <c r="AZ55" i="55"/>
  <c r="U54" i="55"/>
  <c r="AZ54" i="55"/>
  <c r="CC24" i="55"/>
  <c r="R29" i="55"/>
  <c r="AW29" i="55"/>
  <c r="Q30" i="55"/>
  <c r="AV30" i="55"/>
  <c r="R28" i="55"/>
  <c r="AW28" i="55"/>
  <c r="DI28" i="55" s="1"/>
  <c r="S25" i="55"/>
  <c r="AX25" i="55"/>
  <c r="DJ25" i="55" s="1"/>
  <c r="S32" i="55"/>
  <c r="AX32" i="55"/>
  <c r="S31" i="55"/>
  <c r="AX31" i="55"/>
  <c r="R24" i="55"/>
  <c r="AX24" i="55" s="1"/>
  <c r="DJ24" i="55" s="1"/>
  <c r="Q204" i="55"/>
  <c r="Q205" i="55" s="1"/>
  <c r="R3" i="55"/>
  <c r="R247" i="53"/>
  <c r="P196" i="54"/>
  <c r="K104" i="54"/>
  <c r="K105" i="54"/>
  <c r="K103" i="54"/>
  <c r="AB247" i="54"/>
  <c r="O180" i="54"/>
  <c r="K133" i="54"/>
  <c r="P125" i="54"/>
  <c r="Q123" i="54"/>
  <c r="P127" i="54"/>
  <c r="O187" i="54"/>
  <c r="L131" i="54"/>
  <c r="L134" i="54"/>
  <c r="AE133" i="54"/>
  <c r="P92" i="54"/>
  <c r="P186" i="54"/>
  <c r="R192" i="54"/>
  <c r="AA251" i="54"/>
  <c r="AF131" i="54"/>
  <c r="AF134" i="54"/>
  <c r="V133" i="54"/>
  <c r="L128" i="54"/>
  <c r="L127" i="54"/>
  <c r="O175" i="54"/>
  <c r="P170" i="54"/>
  <c r="P90" i="54"/>
  <c r="O93" i="54"/>
  <c r="P174" i="54"/>
  <c r="N258" i="54"/>
  <c r="O178" i="54"/>
  <c r="N179" i="54"/>
  <c r="N259" i="54" s="1"/>
  <c r="K102" i="54"/>
  <c r="O184" i="54"/>
  <c r="Q181" i="54"/>
  <c r="O195" i="54"/>
  <c r="O193" i="54"/>
  <c r="O194" i="54"/>
  <c r="O173" i="54"/>
  <c r="L96" i="54"/>
  <c r="L97" i="54"/>
  <c r="L101" i="54"/>
  <c r="L102" i="54" s="1"/>
  <c r="L95" i="54"/>
  <c r="M97" i="54"/>
  <c r="M96" i="54"/>
  <c r="M101" i="54"/>
  <c r="M102" i="54" s="1"/>
  <c r="M95" i="54"/>
  <c r="K258" i="54"/>
  <c r="K259" i="54"/>
  <c r="P171" i="54"/>
  <c r="P91" i="54"/>
  <c r="O85" i="54"/>
  <c r="N86" i="54"/>
  <c r="N88" i="54" s="1"/>
  <c r="N87" i="54"/>
  <c r="N100" i="54" s="1"/>
  <c r="P172" i="54"/>
  <c r="P185" i="54"/>
  <c r="O191" i="54"/>
  <c r="N127" i="53"/>
  <c r="O170" i="53"/>
  <c r="P123" i="53"/>
  <c r="O125" i="53"/>
  <c r="O185" i="53"/>
  <c r="Q174" i="53"/>
  <c r="P172" i="53"/>
  <c r="P118" i="53"/>
  <c r="O119" i="53"/>
  <c r="O121" i="53" s="1"/>
  <c r="O128" i="53" s="1"/>
  <c r="O120" i="53"/>
  <c r="O184" i="53"/>
  <c r="P90" i="53"/>
  <c r="O95" i="53"/>
  <c r="O96" i="53"/>
  <c r="O92" i="53"/>
  <c r="P187" i="53"/>
  <c r="P171" i="53"/>
  <c r="P195" i="53"/>
  <c r="N93" i="53"/>
  <c r="Q85" i="53"/>
  <c r="P86" i="53"/>
  <c r="P88" i="53" s="1"/>
  <c r="P87" i="53"/>
  <c r="Q191" i="53"/>
  <c r="P186" i="53"/>
  <c r="N97" i="53"/>
  <c r="O192" i="53"/>
  <c r="Q181" i="53"/>
  <c r="Q173" i="53"/>
  <c r="O196" i="53"/>
  <c r="O193" i="53"/>
  <c r="O180" i="53"/>
  <c r="Q91" i="53"/>
  <c r="Q194" i="53"/>
  <c r="O175" i="53"/>
  <c r="N258" i="53"/>
  <c r="N179" i="53"/>
  <c r="N259" i="53" s="1"/>
  <c r="O178" i="53"/>
  <c r="AS45" i="51"/>
  <c r="N45" i="51"/>
  <c r="Q3" i="51"/>
  <c r="I304" i="48"/>
  <c r="P240" i="48"/>
  <c r="J292" i="48"/>
  <c r="G197" i="48"/>
  <c r="G199" i="48"/>
  <c r="H195" i="48"/>
  <c r="I285" i="48"/>
  <c r="J130" i="48"/>
  <c r="E200" i="48"/>
  <c r="E199" i="48"/>
  <c r="P52" i="48"/>
  <c r="P49" i="48" s="1"/>
  <c r="AE123" i="48"/>
  <c r="E136" i="48"/>
  <c r="E137" i="48"/>
  <c r="E135" i="48"/>
  <c r="H299" i="48"/>
  <c r="D137" i="48"/>
  <c r="D135" i="48"/>
  <c r="D136" i="48"/>
  <c r="I308" i="48"/>
  <c r="I293" i="48"/>
  <c r="H191" i="48"/>
  <c r="I190" i="48"/>
  <c r="AE52" i="48"/>
  <c r="AE49" i="48" s="1"/>
  <c r="G52" i="48"/>
  <c r="G49" i="48" s="1"/>
  <c r="H282" i="48"/>
  <c r="I297" i="48"/>
  <c r="H284" i="48"/>
  <c r="I291" i="48"/>
  <c r="J290" i="48"/>
  <c r="I306" i="48"/>
  <c r="I131" i="48"/>
  <c r="AE240" i="48"/>
  <c r="H133" i="48"/>
  <c r="R1" i="48"/>
  <c r="Q51" i="48"/>
  <c r="Q50" i="48"/>
  <c r="Q189" i="48"/>
  <c r="Q258" i="48"/>
  <c r="Q241" i="48"/>
  <c r="Q124" i="48"/>
  <c r="I132" i="48"/>
  <c r="AF51" i="48"/>
  <c r="AF50" i="48"/>
  <c r="AF124" i="48"/>
  <c r="AF258" i="48"/>
  <c r="AF189" i="48"/>
  <c r="AF241" i="48"/>
  <c r="D200" i="48"/>
  <c r="D199" i="48"/>
  <c r="H298" i="48"/>
  <c r="F136" i="48"/>
  <c r="F137" i="48"/>
  <c r="F135" i="48"/>
  <c r="H307" i="48"/>
  <c r="H303" i="48"/>
  <c r="I1" i="48"/>
  <c r="H51" i="48"/>
  <c r="H50" i="48"/>
  <c r="H241" i="48"/>
  <c r="H189" i="48"/>
  <c r="H258" i="48"/>
  <c r="H124" i="48"/>
  <c r="I283" i="48"/>
  <c r="I287" i="48"/>
  <c r="G257" i="48"/>
  <c r="H286" i="48"/>
  <c r="I359" i="48"/>
  <c r="G128" i="48"/>
  <c r="G123" i="48"/>
  <c r="G127" i="48"/>
  <c r="G371" i="48"/>
  <c r="H126" i="48"/>
  <c r="I125" i="48"/>
  <c r="H305" i="48"/>
  <c r="K296" i="48"/>
  <c r="F370" i="48"/>
  <c r="F371" i="48"/>
  <c r="D188" i="46"/>
  <c r="R1" i="46"/>
  <c r="R51" i="46" s="1"/>
  <c r="Q241" i="46"/>
  <c r="Q240" i="46" s="1"/>
  <c r="Q189" i="46"/>
  <c r="Q188" i="46" s="1"/>
  <c r="Q124" i="46"/>
  <c r="Q123" i="46" s="1"/>
  <c r="Q50" i="46"/>
  <c r="Q52" i="46" s="1"/>
  <c r="Q49" i="46" s="1"/>
  <c r="Q258" i="46"/>
  <c r="Q257" i="46" s="1"/>
  <c r="E188" i="46"/>
  <c r="D127" i="46"/>
  <c r="E192" i="46"/>
  <c r="D193" i="46"/>
  <c r="D200" i="46" s="1"/>
  <c r="D128" i="46"/>
  <c r="D137" i="46" s="1"/>
  <c r="I308" i="46"/>
  <c r="I282" i="46"/>
  <c r="AE123" i="46"/>
  <c r="I303" i="46"/>
  <c r="N123" i="46"/>
  <c r="F240" i="46"/>
  <c r="F257" i="46"/>
  <c r="AD52" i="46"/>
  <c r="AD49" i="46" s="1"/>
  <c r="E200" i="46"/>
  <c r="E199" i="46"/>
  <c r="F52" i="46"/>
  <c r="F49" i="46" s="1"/>
  <c r="AD123" i="46"/>
  <c r="I285" i="46"/>
  <c r="H296" i="46"/>
  <c r="I299" i="46"/>
  <c r="G50" i="46"/>
  <c r="H1" i="46"/>
  <c r="G51" i="46"/>
  <c r="G189" i="46"/>
  <c r="G258" i="46"/>
  <c r="G241" i="46"/>
  <c r="G124" i="46"/>
  <c r="AA123" i="46"/>
  <c r="I130" i="46"/>
  <c r="J283" i="46"/>
  <c r="H297" i="46"/>
  <c r="K131" i="46"/>
  <c r="E136" i="46"/>
  <c r="E137" i="46"/>
  <c r="E135" i="46"/>
  <c r="X123" i="46"/>
  <c r="AB123" i="46"/>
  <c r="I306" i="46"/>
  <c r="AD188" i="46"/>
  <c r="H305" i="46"/>
  <c r="P123" i="46"/>
  <c r="J298" i="46"/>
  <c r="H286" i="46"/>
  <c r="O123" i="46"/>
  <c r="H191" i="46"/>
  <c r="I190" i="46"/>
  <c r="H293" i="46"/>
  <c r="K287" i="46"/>
  <c r="AF1" i="46"/>
  <c r="AE50" i="46"/>
  <c r="AE51" i="46"/>
  <c r="AE241" i="46"/>
  <c r="AE258" i="46"/>
  <c r="AE189" i="46"/>
  <c r="I307" i="46"/>
  <c r="Y123" i="46"/>
  <c r="I284" i="46"/>
  <c r="H292" i="46"/>
  <c r="AC123" i="46"/>
  <c r="H132" i="46"/>
  <c r="H133" i="46" s="1"/>
  <c r="H291" i="46"/>
  <c r="I290" i="46"/>
  <c r="G197" i="46"/>
  <c r="H195" i="46"/>
  <c r="F128" i="46"/>
  <c r="F127" i="46"/>
  <c r="F123" i="46"/>
  <c r="F192" i="46"/>
  <c r="F188" i="46"/>
  <c r="F193" i="46"/>
  <c r="Z123" i="46"/>
  <c r="G133" i="46"/>
  <c r="I125" i="46"/>
  <c r="H126" i="46"/>
  <c r="H304" i="46"/>
  <c r="T10" i="44"/>
  <c r="S1" i="46" l="1"/>
  <c r="CH75" i="59"/>
  <c r="CJ2" i="59"/>
  <c r="CI70" i="59"/>
  <c r="CI62" i="59"/>
  <c r="CI64" i="59"/>
  <c r="CI73" i="59"/>
  <c r="CI65" i="59"/>
  <c r="CI66" i="59"/>
  <c r="CI67" i="59"/>
  <c r="CI68" i="59"/>
  <c r="CI69" i="59"/>
  <c r="CI61" i="59"/>
  <c r="CI63" i="59"/>
  <c r="CI74" i="59"/>
  <c r="CI72" i="59"/>
  <c r="CI71" i="59"/>
  <c r="T140" i="55"/>
  <c r="AY140" i="55"/>
  <c r="DK140" i="55" s="1"/>
  <c r="AX139" i="55"/>
  <c r="DJ139" i="55" s="1"/>
  <c r="S139" i="55"/>
  <c r="AX144" i="55"/>
  <c r="S144" i="55"/>
  <c r="AX143" i="55"/>
  <c r="DJ143" i="55" s="1"/>
  <c r="S143" i="55"/>
  <c r="AW145" i="55"/>
  <c r="R145" i="55"/>
  <c r="BA147" i="55"/>
  <c r="V147" i="55"/>
  <c r="BB146" i="55"/>
  <c r="W146" i="55"/>
  <c r="R167" i="55"/>
  <c r="AW167" i="55"/>
  <c r="Q168" i="55"/>
  <c r="AV168" i="55"/>
  <c r="AW166" i="55"/>
  <c r="DI166" i="55" s="1"/>
  <c r="R166" i="55"/>
  <c r="AW164" i="55"/>
  <c r="DI164" i="55" s="1"/>
  <c r="R164" i="55"/>
  <c r="R162" i="55"/>
  <c r="AW162" i="55"/>
  <c r="DI162" i="55" s="1"/>
  <c r="U169" i="55"/>
  <c r="AZ169" i="55"/>
  <c r="S163" i="55"/>
  <c r="AX163" i="55"/>
  <c r="DJ163" i="55" s="1"/>
  <c r="CC162" i="55"/>
  <c r="R165" i="55"/>
  <c r="AW165" i="55"/>
  <c r="DI165" i="55" s="1"/>
  <c r="W170" i="55"/>
  <c r="BB170" i="55"/>
  <c r="U124" i="55"/>
  <c r="AZ124" i="55"/>
  <c r="Q76" i="55"/>
  <c r="AV76" i="55"/>
  <c r="R98" i="55"/>
  <c r="AW98" i="55"/>
  <c r="S94" i="55"/>
  <c r="AX94" i="55"/>
  <c r="DJ94" i="55" s="1"/>
  <c r="AW75" i="55"/>
  <c r="R75" i="55"/>
  <c r="Q99" i="55"/>
  <c r="AV99" i="55"/>
  <c r="S71" i="55"/>
  <c r="AX71" i="55"/>
  <c r="DJ71" i="55" s="1"/>
  <c r="R116" i="55"/>
  <c r="AW116" i="55"/>
  <c r="DI116" i="55" s="1"/>
  <c r="AV119" i="55"/>
  <c r="DH119" i="55" s="1"/>
  <c r="Q119" i="55"/>
  <c r="CB116" i="55"/>
  <c r="CC70" i="55"/>
  <c r="U123" i="55"/>
  <c r="AZ123" i="55"/>
  <c r="R93" i="55"/>
  <c r="AW93" i="55"/>
  <c r="DI93" i="55" s="1"/>
  <c r="R118" i="55"/>
  <c r="AW118" i="55"/>
  <c r="DI118" i="55" s="1"/>
  <c r="R122" i="55"/>
  <c r="AW122" i="55"/>
  <c r="AW120" i="55"/>
  <c r="DI120" i="55" s="1"/>
  <c r="R120" i="55"/>
  <c r="AX117" i="55"/>
  <c r="DJ117" i="55" s="1"/>
  <c r="S117" i="55"/>
  <c r="AW121" i="55"/>
  <c r="R121" i="55"/>
  <c r="R74" i="55"/>
  <c r="AW74" i="55"/>
  <c r="DI74" i="55" s="1"/>
  <c r="R97" i="55"/>
  <c r="AW97" i="55"/>
  <c r="DI97" i="55" s="1"/>
  <c r="CC93" i="55"/>
  <c r="R70" i="55"/>
  <c r="AW70" i="55"/>
  <c r="DI70" i="55" s="1"/>
  <c r="CE97" i="55"/>
  <c r="V100" i="55"/>
  <c r="BA100" i="55"/>
  <c r="U101" i="55"/>
  <c r="AZ101" i="55"/>
  <c r="V77" i="55"/>
  <c r="BA77" i="55"/>
  <c r="U78" i="55"/>
  <c r="AZ78" i="55"/>
  <c r="R49" i="55"/>
  <c r="AW49" i="55"/>
  <c r="DI49" i="55" s="1"/>
  <c r="Q50" i="55"/>
  <c r="AV50" i="55"/>
  <c r="DH50" i="55" s="1"/>
  <c r="AX48" i="55"/>
  <c r="DJ48" i="55" s="1"/>
  <c r="S48" i="55"/>
  <c r="R52" i="55"/>
  <c r="AW52" i="55"/>
  <c r="R53" i="55"/>
  <c r="AW53" i="55"/>
  <c r="R51" i="55"/>
  <c r="AW51" i="55"/>
  <c r="DI51" i="55" s="1"/>
  <c r="R47" i="55"/>
  <c r="AW47" i="55"/>
  <c r="DI47" i="55" s="1"/>
  <c r="BA54" i="55"/>
  <c r="V54" i="55"/>
  <c r="V55" i="55"/>
  <c r="BA55" i="55"/>
  <c r="T25" i="55"/>
  <c r="AY25" i="55"/>
  <c r="DK25" i="55" s="1"/>
  <c r="S29" i="55"/>
  <c r="AX29" i="55"/>
  <c r="T31" i="55"/>
  <c r="AY31" i="55"/>
  <c r="CD24" i="55"/>
  <c r="T32" i="55"/>
  <c r="AY32" i="55"/>
  <c r="S28" i="55"/>
  <c r="AX28" i="55"/>
  <c r="DJ28" i="55" s="1"/>
  <c r="R30" i="55"/>
  <c r="AW30" i="55"/>
  <c r="S24" i="55"/>
  <c r="AY24" i="55" s="1"/>
  <c r="DK24" i="55" s="1"/>
  <c r="R204" i="55"/>
  <c r="R205" i="55" s="1"/>
  <c r="S3" i="55"/>
  <c r="S247" i="53"/>
  <c r="P173" i="54"/>
  <c r="P93" i="54"/>
  <c r="Q90" i="54"/>
  <c r="AB251" i="54"/>
  <c r="P194" i="54"/>
  <c r="Q170" i="54"/>
  <c r="Q127" i="54"/>
  <c r="R123" i="54"/>
  <c r="Q125" i="54"/>
  <c r="P191" i="54"/>
  <c r="Q91" i="54"/>
  <c r="R181" i="54"/>
  <c r="O258" i="54"/>
  <c r="O179" i="54"/>
  <c r="O259" i="54" s="1"/>
  <c r="P178" i="54"/>
  <c r="Q92" i="54"/>
  <c r="P193" i="54"/>
  <c r="L258" i="54"/>
  <c r="L259" i="54"/>
  <c r="S192" i="54"/>
  <c r="L103" i="54"/>
  <c r="L105" i="54"/>
  <c r="L104" i="54"/>
  <c r="P184" i="54"/>
  <c r="AC247" i="54"/>
  <c r="M103" i="54"/>
  <c r="M105" i="54"/>
  <c r="M104" i="54"/>
  <c r="N96" i="54"/>
  <c r="N97" i="54"/>
  <c r="N101" i="54"/>
  <c r="N102" i="54" s="1"/>
  <c r="N95" i="54"/>
  <c r="Q171" i="54"/>
  <c r="Q174" i="54"/>
  <c r="Q186" i="54"/>
  <c r="L133" i="54"/>
  <c r="Q172" i="54"/>
  <c r="P85" i="54"/>
  <c r="O86" i="54"/>
  <c r="O88" i="54" s="1"/>
  <c r="O87" i="54"/>
  <c r="O100" i="54" s="1"/>
  <c r="P195" i="54"/>
  <c r="P175" i="54"/>
  <c r="AF133" i="54"/>
  <c r="P187" i="54"/>
  <c r="Q185" i="54"/>
  <c r="P180" i="54"/>
  <c r="Q196" i="54"/>
  <c r="P180" i="53"/>
  <c r="Q171" i="53"/>
  <c r="Q172" i="53"/>
  <c r="P125" i="53"/>
  <c r="Q123" i="53"/>
  <c r="R194" i="53"/>
  <c r="P92" i="53"/>
  <c r="P93" i="53" s="1"/>
  <c r="O127" i="53"/>
  <c r="R181" i="53"/>
  <c r="R191" i="53"/>
  <c r="Q187" i="53"/>
  <c r="R174" i="53"/>
  <c r="P193" i="53"/>
  <c r="P96" i="53"/>
  <c r="Q195" i="53"/>
  <c r="P95" i="53"/>
  <c r="Q90" i="53"/>
  <c r="O258" i="53"/>
  <c r="O179" i="53"/>
  <c r="O259" i="53" s="1"/>
  <c r="P178" i="53"/>
  <c r="R91" i="53"/>
  <c r="P192" i="53"/>
  <c r="R85" i="53"/>
  <c r="Q86" i="53"/>
  <c r="Q88" i="53" s="1"/>
  <c r="Q87" i="53"/>
  <c r="O93" i="53"/>
  <c r="P119" i="53"/>
  <c r="P121" i="53" s="1"/>
  <c r="P128" i="53" s="1"/>
  <c r="Q118" i="53"/>
  <c r="P120" i="53"/>
  <c r="Q186" i="53"/>
  <c r="P185" i="53"/>
  <c r="P170" i="53"/>
  <c r="P175" i="53"/>
  <c r="O97" i="53"/>
  <c r="P184" i="53"/>
  <c r="P196" i="53"/>
  <c r="R173" i="53"/>
  <c r="AT45" i="51"/>
  <c r="R3" i="51"/>
  <c r="O45" i="51"/>
  <c r="G136" i="48"/>
  <c r="G137" i="48"/>
  <c r="G135" i="48"/>
  <c r="I286" i="48"/>
  <c r="J287" i="48"/>
  <c r="H128" i="48"/>
  <c r="H127" i="48"/>
  <c r="H123" i="48"/>
  <c r="H52" i="48"/>
  <c r="H49" i="48" s="1"/>
  <c r="AF123" i="48"/>
  <c r="Q188" i="48"/>
  <c r="J291" i="48"/>
  <c r="K290" i="48"/>
  <c r="I282" i="48"/>
  <c r="K130" i="48"/>
  <c r="J285" i="48"/>
  <c r="K292" i="48"/>
  <c r="J304" i="48"/>
  <c r="L296" i="48"/>
  <c r="J359" i="48"/>
  <c r="H257" i="48"/>
  <c r="I307" i="48"/>
  <c r="AF240" i="48"/>
  <c r="AF52" i="48"/>
  <c r="AF49" i="48" s="1"/>
  <c r="Q123" i="48"/>
  <c r="Q52" i="48"/>
  <c r="Q49" i="48" s="1"/>
  <c r="J131" i="48"/>
  <c r="I284" i="48"/>
  <c r="J308" i="48"/>
  <c r="H197" i="48"/>
  <c r="I195" i="48"/>
  <c r="J283" i="48"/>
  <c r="H193" i="48"/>
  <c r="H200" i="48" s="1"/>
  <c r="H192" i="48"/>
  <c r="H188" i="48"/>
  <c r="I51" i="48"/>
  <c r="I50" i="48"/>
  <c r="J1" i="48"/>
  <c r="I124" i="48"/>
  <c r="I189" i="48"/>
  <c r="I258" i="48"/>
  <c r="I241" i="48"/>
  <c r="AF188" i="48"/>
  <c r="Q240" i="48"/>
  <c r="J297" i="48"/>
  <c r="I191" i="48"/>
  <c r="J190" i="48"/>
  <c r="I299" i="48"/>
  <c r="I133" i="48"/>
  <c r="I305" i="48"/>
  <c r="I126" i="48"/>
  <c r="J125" i="48"/>
  <c r="H240" i="48"/>
  <c r="I303" i="48"/>
  <c r="I298" i="48"/>
  <c r="D371" i="48"/>
  <c r="D370" i="48"/>
  <c r="AF257" i="48"/>
  <c r="J132" i="48"/>
  <c r="Q257" i="48"/>
  <c r="R51" i="48"/>
  <c r="R50" i="48"/>
  <c r="S1" i="48"/>
  <c r="R258" i="48"/>
  <c r="R189" i="48"/>
  <c r="R241" i="48"/>
  <c r="R124" i="48"/>
  <c r="J306" i="48"/>
  <c r="J293" i="48"/>
  <c r="E370" i="48"/>
  <c r="E371" i="48"/>
  <c r="R124" i="46"/>
  <c r="R258" i="46"/>
  <c r="R257" i="46" s="1"/>
  <c r="R241" i="46"/>
  <c r="R240" i="46" s="1"/>
  <c r="R50" i="46"/>
  <c r="R52" i="46" s="1"/>
  <c r="R49" i="46" s="1"/>
  <c r="D199" i="46"/>
  <c r="R189" i="46"/>
  <c r="R188" i="46" s="1"/>
  <c r="D136" i="46"/>
  <c r="D135" i="46"/>
  <c r="F200" i="46"/>
  <c r="F199" i="46"/>
  <c r="I195" i="46"/>
  <c r="H197" i="46"/>
  <c r="I292" i="46"/>
  <c r="I286" i="46"/>
  <c r="I305" i="46"/>
  <c r="J130" i="46"/>
  <c r="G127" i="46"/>
  <c r="G128" i="46"/>
  <c r="G123" i="46"/>
  <c r="J299" i="46"/>
  <c r="E370" i="46"/>
  <c r="E371" i="46"/>
  <c r="D370" i="46"/>
  <c r="D371" i="46"/>
  <c r="J284" i="46"/>
  <c r="AE188" i="46"/>
  <c r="AE52" i="46"/>
  <c r="AE49" i="46" s="1"/>
  <c r="I293" i="46"/>
  <c r="J306" i="46"/>
  <c r="I297" i="46"/>
  <c r="G240" i="46"/>
  <c r="H51" i="46"/>
  <c r="H50" i="46"/>
  <c r="I1" i="46"/>
  <c r="H241" i="46"/>
  <c r="H124" i="46"/>
  <c r="H258" i="46"/>
  <c r="H189" i="46"/>
  <c r="J303" i="46"/>
  <c r="AE257" i="46"/>
  <c r="AF50" i="46"/>
  <c r="AF51" i="46"/>
  <c r="AF189" i="46"/>
  <c r="AF258" i="46"/>
  <c r="AF241" i="46"/>
  <c r="AF124" i="46"/>
  <c r="I191" i="46"/>
  <c r="J190" i="46"/>
  <c r="L131" i="46"/>
  <c r="K283" i="46"/>
  <c r="G257" i="46"/>
  <c r="G52" i="46"/>
  <c r="G49" i="46" s="1"/>
  <c r="I296" i="46"/>
  <c r="J285" i="46"/>
  <c r="J282" i="46"/>
  <c r="J308" i="46"/>
  <c r="R123" i="46"/>
  <c r="I304" i="46"/>
  <c r="I126" i="46"/>
  <c r="J125" i="46"/>
  <c r="F136" i="46"/>
  <c r="F137" i="46"/>
  <c r="F135" i="46"/>
  <c r="J290" i="46"/>
  <c r="I291" i="46"/>
  <c r="I132" i="46"/>
  <c r="I133" i="46" s="1"/>
  <c r="J307" i="46"/>
  <c r="AE240" i="46"/>
  <c r="L287" i="46"/>
  <c r="S51" i="46"/>
  <c r="S50" i="46"/>
  <c r="T1" i="46"/>
  <c r="S241" i="46"/>
  <c r="S258" i="46"/>
  <c r="S189" i="46"/>
  <c r="S124" i="46"/>
  <c r="K298" i="46"/>
  <c r="G193" i="46"/>
  <c r="G192" i="46"/>
  <c r="G188" i="46"/>
  <c r="D26" i="11"/>
  <c r="D24" i="11"/>
  <c r="J133" i="48" l="1"/>
  <c r="CI75" i="59"/>
  <c r="CK2" i="59"/>
  <c r="CJ64" i="59"/>
  <c r="CJ73" i="59"/>
  <c r="CJ65" i="59"/>
  <c r="CJ66" i="59"/>
  <c r="CJ67" i="59"/>
  <c r="CJ68" i="59"/>
  <c r="CJ69" i="59"/>
  <c r="CJ62" i="59"/>
  <c r="CJ70" i="59"/>
  <c r="CJ61" i="59"/>
  <c r="CJ63" i="59"/>
  <c r="CJ74" i="59"/>
  <c r="CJ72" i="59"/>
  <c r="CJ71" i="59"/>
  <c r="AY143" i="55"/>
  <c r="DK143" i="55" s="1"/>
  <c r="T143" i="55"/>
  <c r="AY144" i="55"/>
  <c r="T144" i="55"/>
  <c r="AX145" i="55"/>
  <c r="S145" i="55"/>
  <c r="T139" i="55"/>
  <c r="AY139" i="55"/>
  <c r="DK139" i="55" s="1"/>
  <c r="AZ140" i="55"/>
  <c r="DL140" i="55" s="1"/>
  <c r="U140" i="55"/>
  <c r="X146" i="55"/>
  <c r="BC146" i="55"/>
  <c r="BB147" i="55"/>
  <c r="W147" i="55"/>
  <c r="S162" i="55"/>
  <c r="AX162" i="55"/>
  <c r="DJ162" i="55" s="1"/>
  <c r="CD162" i="55"/>
  <c r="AX164" i="55"/>
  <c r="DJ164" i="55" s="1"/>
  <c r="S164" i="55"/>
  <c r="R168" i="55"/>
  <c r="AW168" i="55"/>
  <c r="X170" i="55"/>
  <c r="BC170" i="55"/>
  <c r="T163" i="55"/>
  <c r="AY163" i="55"/>
  <c r="DK163" i="55" s="1"/>
  <c r="S167" i="55"/>
  <c r="AX167" i="55"/>
  <c r="S165" i="55"/>
  <c r="AX165" i="55"/>
  <c r="DJ165" i="55" s="1"/>
  <c r="V169" i="55"/>
  <c r="BA169" i="55"/>
  <c r="S166" i="55"/>
  <c r="AX166" i="55"/>
  <c r="DJ166" i="55" s="1"/>
  <c r="BA124" i="55"/>
  <c r="V124" i="55"/>
  <c r="T94" i="55"/>
  <c r="AY94" i="55"/>
  <c r="DK94" i="55" s="1"/>
  <c r="S97" i="55"/>
  <c r="AX97" i="55"/>
  <c r="DJ97" i="55" s="1"/>
  <c r="AY117" i="55"/>
  <c r="DK117" i="55" s="1"/>
  <c r="T117" i="55"/>
  <c r="S118" i="55"/>
  <c r="AX118" i="55"/>
  <c r="DJ118" i="55" s="1"/>
  <c r="CD70" i="55"/>
  <c r="AX116" i="55"/>
  <c r="DJ116" i="55" s="1"/>
  <c r="S116" i="55"/>
  <c r="AX98" i="55"/>
  <c r="S98" i="55"/>
  <c r="AX70" i="55"/>
  <c r="DJ70" i="55" s="1"/>
  <c r="S70" i="55"/>
  <c r="AX74" i="55"/>
  <c r="DJ74" i="55" s="1"/>
  <c r="S74" i="55"/>
  <c r="AX120" i="55"/>
  <c r="DJ120" i="55" s="1"/>
  <c r="S120" i="55"/>
  <c r="S93" i="55"/>
  <c r="AX93" i="55"/>
  <c r="DJ93" i="55" s="1"/>
  <c r="CC116" i="55"/>
  <c r="S121" i="55"/>
  <c r="AX121" i="55"/>
  <c r="T71" i="55"/>
  <c r="AY71" i="55"/>
  <c r="DK71" i="55" s="1"/>
  <c r="AX75" i="55"/>
  <c r="S75" i="55"/>
  <c r="CD93" i="55"/>
  <c r="BA123" i="55"/>
  <c r="V123" i="55"/>
  <c r="R119" i="55"/>
  <c r="AW119" i="55"/>
  <c r="DI119" i="55" s="1"/>
  <c r="R76" i="55"/>
  <c r="AW76" i="55"/>
  <c r="S122" i="55"/>
  <c r="AX122" i="55"/>
  <c r="R99" i="55"/>
  <c r="AW99" i="55"/>
  <c r="V101" i="55"/>
  <c r="BA101" i="55"/>
  <c r="W100" i="55"/>
  <c r="BB100" i="55"/>
  <c r="CF97" i="55"/>
  <c r="V78" i="55"/>
  <c r="BA78" i="55"/>
  <c r="W77" i="55"/>
  <c r="BB77" i="55"/>
  <c r="S51" i="55"/>
  <c r="AX51" i="55"/>
  <c r="DJ51" i="55" s="1"/>
  <c r="S53" i="55"/>
  <c r="AX53" i="55"/>
  <c r="S49" i="55"/>
  <c r="AX49" i="55"/>
  <c r="DJ49" i="55" s="1"/>
  <c r="AX47" i="55"/>
  <c r="DJ47" i="55" s="1"/>
  <c r="S47" i="55"/>
  <c r="S52" i="55"/>
  <c r="AX52" i="55"/>
  <c r="AW50" i="55"/>
  <c r="DI50" i="55" s="1"/>
  <c r="R50" i="55"/>
  <c r="T48" i="55"/>
  <c r="AY48" i="55"/>
  <c r="DK48" i="55" s="1"/>
  <c r="W55" i="55"/>
  <c r="BB55" i="55"/>
  <c r="BB54" i="55"/>
  <c r="W54" i="55"/>
  <c r="CE24" i="55"/>
  <c r="U32" i="55"/>
  <c r="AZ32" i="55"/>
  <c r="U31" i="55"/>
  <c r="AZ31" i="55"/>
  <c r="U25" i="55"/>
  <c r="AZ25" i="55"/>
  <c r="DL25" i="55" s="1"/>
  <c r="S30" i="55"/>
  <c r="AX30" i="55"/>
  <c r="T28" i="55"/>
  <c r="AY28" i="55"/>
  <c r="DK28" i="55" s="1"/>
  <c r="T29" i="55"/>
  <c r="AY29" i="55"/>
  <c r="T24" i="55"/>
  <c r="AZ24" i="55" s="1"/>
  <c r="DL24" i="55" s="1"/>
  <c r="S204" i="55"/>
  <c r="S205" i="55" s="1"/>
  <c r="T3" i="55"/>
  <c r="T247" i="53"/>
  <c r="R171" i="54"/>
  <c r="R196" i="54"/>
  <c r="Q175" i="54"/>
  <c r="Q184" i="54"/>
  <c r="R92" i="54"/>
  <c r="R91" i="54"/>
  <c r="Q194" i="54"/>
  <c r="R174" i="54"/>
  <c r="R90" i="54"/>
  <c r="Q93" i="54"/>
  <c r="AD247" i="54"/>
  <c r="Q193" i="54"/>
  <c r="Q180" i="54"/>
  <c r="Q187" i="54"/>
  <c r="Q195" i="54"/>
  <c r="R172" i="54"/>
  <c r="P258" i="54"/>
  <c r="Q178" i="54"/>
  <c r="P179" i="54"/>
  <c r="P259" i="54" s="1"/>
  <c r="Q191" i="54"/>
  <c r="R186" i="54"/>
  <c r="S123" i="54"/>
  <c r="R125" i="54"/>
  <c r="R127" i="54"/>
  <c r="Q173" i="54"/>
  <c r="O97" i="54"/>
  <c r="O101" i="54"/>
  <c r="O102" i="54" s="1"/>
  <c r="O96" i="54"/>
  <c r="O95" i="54"/>
  <c r="R185" i="54"/>
  <c r="N104" i="54"/>
  <c r="N103" i="54"/>
  <c r="N105" i="54"/>
  <c r="AC251" i="54"/>
  <c r="Q85" i="54"/>
  <c r="P86" i="54"/>
  <c r="P88" i="54" s="1"/>
  <c r="P87" i="54"/>
  <c r="P100" i="54" s="1"/>
  <c r="T192" i="54"/>
  <c r="S181" i="54"/>
  <c r="R170" i="54"/>
  <c r="P97" i="53"/>
  <c r="Q196" i="53"/>
  <c r="Q175" i="53"/>
  <c r="Q119" i="53"/>
  <c r="Q121" i="53" s="1"/>
  <c r="Q128" i="53" s="1"/>
  <c r="R118" i="53"/>
  <c r="Q120" i="53"/>
  <c r="S194" i="53"/>
  <c r="P127" i="53"/>
  <c r="Q170" i="53"/>
  <c r="Q92" i="53"/>
  <c r="Q97" i="53" s="1"/>
  <c r="R195" i="53"/>
  <c r="R172" i="53"/>
  <c r="S173" i="53"/>
  <c r="Q185" i="53"/>
  <c r="R186" i="53"/>
  <c r="Q96" i="53"/>
  <c r="S174" i="53"/>
  <c r="S191" i="53"/>
  <c r="S85" i="53"/>
  <c r="R86" i="53"/>
  <c r="R88" i="53" s="1"/>
  <c r="R87" i="53"/>
  <c r="Q95" i="53"/>
  <c r="R90" i="53"/>
  <c r="R171" i="53"/>
  <c r="Q192" i="53"/>
  <c r="P258" i="53"/>
  <c r="P179" i="53"/>
  <c r="P259" i="53" s="1"/>
  <c r="Q178" i="53"/>
  <c r="Q193" i="53"/>
  <c r="S181" i="53"/>
  <c r="Q184" i="53"/>
  <c r="Q180" i="53"/>
  <c r="S91" i="53"/>
  <c r="R187" i="53"/>
  <c r="R123" i="53"/>
  <c r="Q125" i="53"/>
  <c r="AU45" i="51"/>
  <c r="P45" i="51"/>
  <c r="S3" i="51"/>
  <c r="K306" i="48"/>
  <c r="R188" i="48"/>
  <c r="K125" i="48"/>
  <c r="J126" i="48"/>
  <c r="I127" i="48"/>
  <c r="I123" i="48"/>
  <c r="I128" i="48"/>
  <c r="J195" i="48"/>
  <c r="I197" i="48"/>
  <c r="J284" i="48"/>
  <c r="J307" i="48"/>
  <c r="M296" i="48"/>
  <c r="L292" i="48"/>
  <c r="L130" i="48"/>
  <c r="J282" i="48"/>
  <c r="L290" i="48"/>
  <c r="K291" i="48"/>
  <c r="H137" i="48"/>
  <c r="H136" i="48"/>
  <c r="H135" i="48"/>
  <c r="K132" i="48"/>
  <c r="R257" i="48"/>
  <c r="J298" i="48"/>
  <c r="J191" i="48"/>
  <c r="K190" i="48"/>
  <c r="I240" i="48"/>
  <c r="K1" i="48"/>
  <c r="J51" i="48"/>
  <c r="J50" i="48"/>
  <c r="J258" i="48"/>
  <c r="J124" i="48"/>
  <c r="J189" i="48"/>
  <c r="J241" i="48"/>
  <c r="K283" i="48"/>
  <c r="H199" i="48"/>
  <c r="K359" i="48"/>
  <c r="K287" i="48"/>
  <c r="R240" i="48"/>
  <c r="K293" i="48"/>
  <c r="R123" i="48"/>
  <c r="T1" i="48"/>
  <c r="S51" i="48"/>
  <c r="S50" i="48"/>
  <c r="S189" i="48"/>
  <c r="S241" i="48"/>
  <c r="S124" i="48"/>
  <c r="S258" i="48"/>
  <c r="J305" i="48"/>
  <c r="K297" i="48"/>
  <c r="I257" i="48"/>
  <c r="I52" i="48"/>
  <c r="I49" i="48" s="1"/>
  <c r="H370" i="48"/>
  <c r="H371" i="48"/>
  <c r="K308" i="48"/>
  <c r="K304" i="48"/>
  <c r="K285" i="48"/>
  <c r="R52" i="48"/>
  <c r="R49" i="48" s="1"/>
  <c r="J303" i="48"/>
  <c r="J299" i="48"/>
  <c r="I192" i="48"/>
  <c r="I188" i="48"/>
  <c r="I193" i="48"/>
  <c r="I200" i="48" s="1"/>
  <c r="K131" i="48"/>
  <c r="J286" i="48"/>
  <c r="S123" i="46"/>
  <c r="T50" i="46"/>
  <c r="U1" i="46"/>
  <c r="T51" i="46"/>
  <c r="T258" i="46"/>
  <c r="T189" i="46"/>
  <c r="T241" i="46"/>
  <c r="T124" i="46"/>
  <c r="K290" i="46"/>
  <c r="J291" i="46"/>
  <c r="M131" i="46"/>
  <c r="AF257" i="46"/>
  <c r="H257" i="46"/>
  <c r="H52" i="46"/>
  <c r="H49" i="46" s="1"/>
  <c r="J297" i="46"/>
  <c r="J293" i="46"/>
  <c r="K284" i="46"/>
  <c r="J305" i="46"/>
  <c r="J292" i="46"/>
  <c r="S188" i="46"/>
  <c r="S52" i="46"/>
  <c r="S49" i="46" s="1"/>
  <c r="K282" i="46"/>
  <c r="K285" i="46"/>
  <c r="AF188" i="46"/>
  <c r="K303" i="46"/>
  <c r="H127" i="46"/>
  <c r="H128" i="46"/>
  <c r="H123" i="46"/>
  <c r="G200" i="46"/>
  <c r="G199" i="46"/>
  <c r="L298" i="46"/>
  <c r="S257" i="46"/>
  <c r="J304" i="46"/>
  <c r="L283" i="46"/>
  <c r="K190" i="46"/>
  <c r="J191" i="46"/>
  <c r="AF123" i="46"/>
  <c r="H240" i="46"/>
  <c r="K306" i="46"/>
  <c r="J286" i="46"/>
  <c r="I197" i="46"/>
  <c r="J195" i="46"/>
  <c r="F370" i="46"/>
  <c r="F371" i="46"/>
  <c r="S240" i="46"/>
  <c r="M287" i="46"/>
  <c r="K307" i="46"/>
  <c r="J132" i="46"/>
  <c r="J133" i="46" s="1"/>
  <c r="J126" i="46"/>
  <c r="K125" i="46"/>
  <c r="K308" i="46"/>
  <c r="J296" i="46"/>
  <c r="AF240" i="46"/>
  <c r="AF52" i="46"/>
  <c r="AF49" i="46" s="1"/>
  <c r="H192" i="46"/>
  <c r="H193" i="46"/>
  <c r="H188" i="46"/>
  <c r="I51" i="46"/>
  <c r="I50" i="46"/>
  <c r="J1" i="46"/>
  <c r="I241" i="46"/>
  <c r="I189" i="46"/>
  <c r="I258" i="46"/>
  <c r="I124" i="46"/>
  <c r="K299" i="46"/>
  <c r="G137" i="46"/>
  <c r="G136" i="46"/>
  <c r="G135" i="46"/>
  <c r="K130" i="46"/>
  <c r="F19" i="43"/>
  <c r="F18" i="43"/>
  <c r="F17" i="43"/>
  <c r="B26" i="43" s="1"/>
  <c r="F26" i="43" s="1"/>
  <c r="F16" i="43"/>
  <c r="B27" i="43" s="1"/>
  <c r="N3" i="43"/>
  <c r="D63" i="45"/>
  <c r="D69" i="45" s="1"/>
  <c r="D33" i="45"/>
  <c r="BS32" i="45"/>
  <c r="BS31" i="45"/>
  <c r="D30" i="45"/>
  <c r="BS29" i="45"/>
  <c r="BS33" i="45" s="1"/>
  <c r="BS27" i="45"/>
  <c r="BR27" i="45"/>
  <c r="BS23" i="45"/>
  <c r="BR23" i="45"/>
  <c r="D21" i="45"/>
  <c r="BS18" i="45"/>
  <c r="BS17" i="45"/>
  <c r="BS12" i="45"/>
  <c r="BS19" i="45" s="1"/>
  <c r="CC10" i="45"/>
  <c r="CA10" i="45"/>
  <c r="BR10" i="45"/>
  <c r="BZ7" i="45"/>
  <c r="AK3" i="45"/>
  <c r="AL3" i="45" s="1"/>
  <c r="AM3" i="45" s="1"/>
  <c r="AN3" i="45" s="1"/>
  <c r="AO3" i="45" s="1"/>
  <c r="AP3" i="45" s="1"/>
  <c r="AQ3" i="45" s="1"/>
  <c r="AR3" i="45" s="1"/>
  <c r="AS3" i="45" s="1"/>
  <c r="AT3" i="45" s="1"/>
  <c r="AU3" i="45" s="1"/>
  <c r="AV3" i="45" s="1"/>
  <c r="AW3" i="45" s="1"/>
  <c r="AX3" i="45" s="1"/>
  <c r="AY3" i="45" s="1"/>
  <c r="AZ3" i="45" s="1"/>
  <c r="BA3" i="45" s="1"/>
  <c r="BB3" i="45" s="1"/>
  <c r="BC3" i="45" s="1"/>
  <c r="BD3" i="45" s="1"/>
  <c r="BE3" i="45" s="1"/>
  <c r="BF3" i="45" s="1"/>
  <c r="BG3" i="45" s="1"/>
  <c r="BH3" i="45" s="1"/>
  <c r="BI3" i="45" s="1"/>
  <c r="BJ3" i="45" s="1"/>
  <c r="BK3" i="45" s="1"/>
  <c r="BL3" i="45" s="1"/>
  <c r="BM3" i="45" s="1"/>
  <c r="BN3" i="45" s="1"/>
  <c r="E3" i="45"/>
  <c r="O3" i="43" l="1"/>
  <c r="I199" i="48"/>
  <c r="F27" i="43"/>
  <c r="B28" i="43"/>
  <c r="F28" i="43" s="1"/>
  <c r="CJ75" i="59"/>
  <c r="CL2" i="59"/>
  <c r="CK64" i="59"/>
  <c r="CK73" i="59"/>
  <c r="CK65" i="59"/>
  <c r="CK66" i="59"/>
  <c r="CK67" i="59"/>
  <c r="CK68" i="59"/>
  <c r="CK69" i="59"/>
  <c r="CK61" i="59"/>
  <c r="CK70" i="59"/>
  <c r="CK62" i="59"/>
  <c r="CK63" i="59"/>
  <c r="CK74" i="59"/>
  <c r="CK72" i="59"/>
  <c r="CK71" i="59"/>
  <c r="AZ139" i="55"/>
  <c r="DL139" i="55" s="1"/>
  <c r="U139" i="55"/>
  <c r="AY145" i="55"/>
  <c r="T145" i="55"/>
  <c r="BA140" i="55"/>
  <c r="DM140" i="55" s="1"/>
  <c r="V140" i="55"/>
  <c r="AZ144" i="55"/>
  <c r="U144" i="55"/>
  <c r="AZ143" i="55"/>
  <c r="DL143" i="55" s="1"/>
  <c r="U143" i="55"/>
  <c r="BC147" i="55"/>
  <c r="X147" i="55"/>
  <c r="Y146" i="55"/>
  <c r="BD146" i="55"/>
  <c r="T165" i="55"/>
  <c r="AY165" i="55"/>
  <c r="DK165" i="55" s="1"/>
  <c r="S168" i="55"/>
  <c r="AX168" i="55"/>
  <c r="T167" i="55"/>
  <c r="AY167" i="55"/>
  <c r="AY164" i="55"/>
  <c r="DK164" i="55" s="1"/>
  <c r="T164" i="55"/>
  <c r="AY162" i="55"/>
  <c r="DK162" i="55" s="1"/>
  <c r="T162" i="55"/>
  <c r="T166" i="55"/>
  <c r="AY166" i="55"/>
  <c r="DK166" i="55" s="1"/>
  <c r="CE162" i="55"/>
  <c r="U163" i="55"/>
  <c r="AZ163" i="55"/>
  <c r="DL163" i="55" s="1"/>
  <c r="BB169" i="55"/>
  <c r="W169" i="55"/>
  <c r="Y170" i="55"/>
  <c r="BD170" i="55"/>
  <c r="W124" i="55"/>
  <c r="BB124" i="55"/>
  <c r="AY75" i="55"/>
  <c r="T75" i="55"/>
  <c r="AY120" i="55"/>
  <c r="DK120" i="55" s="1"/>
  <c r="T120" i="55"/>
  <c r="S76" i="55"/>
  <c r="AX76" i="55"/>
  <c r="AY116" i="55"/>
  <c r="DK116" i="55" s="1"/>
  <c r="T116" i="55"/>
  <c r="CD116" i="55"/>
  <c r="T74" i="55"/>
  <c r="AY74" i="55"/>
  <c r="DK74" i="55" s="1"/>
  <c r="T97" i="55"/>
  <c r="AY97" i="55"/>
  <c r="DK97" i="55" s="1"/>
  <c r="S119" i="55"/>
  <c r="AX119" i="55"/>
  <c r="DJ119" i="55" s="1"/>
  <c r="U71" i="55"/>
  <c r="AZ71" i="55"/>
  <c r="DL71" i="55" s="1"/>
  <c r="W123" i="55"/>
  <c r="BB123" i="55"/>
  <c r="T70" i="55"/>
  <c r="AY70" i="55"/>
  <c r="DK70" i="55" s="1"/>
  <c r="AZ94" i="55"/>
  <c r="DL94" i="55" s="1"/>
  <c r="U94" i="55"/>
  <c r="S99" i="55"/>
  <c r="AX99" i="55"/>
  <c r="AY121" i="55"/>
  <c r="T121" i="55"/>
  <c r="CE70" i="55"/>
  <c r="AY118" i="55"/>
  <c r="DK118" i="55" s="1"/>
  <c r="T118" i="55"/>
  <c r="AY122" i="55"/>
  <c r="T122" i="55"/>
  <c r="CE93" i="55"/>
  <c r="T93" i="55"/>
  <c r="AY93" i="55"/>
  <c r="DK93" i="55" s="1"/>
  <c r="T98" i="55"/>
  <c r="AY98" i="55"/>
  <c r="U117" i="55"/>
  <c r="AZ117" i="55"/>
  <c r="DL117" i="55" s="1"/>
  <c r="W101" i="55"/>
  <c r="BB101" i="55"/>
  <c r="BC100" i="55"/>
  <c r="X100" i="55"/>
  <c r="CG97" i="55"/>
  <c r="BC77" i="55"/>
  <c r="X77" i="55"/>
  <c r="W78" i="55"/>
  <c r="BB78" i="55"/>
  <c r="AY47" i="55"/>
  <c r="DK47" i="55" s="1"/>
  <c r="T47" i="55"/>
  <c r="U48" i="55"/>
  <c r="AZ48" i="55"/>
  <c r="DL48" i="55" s="1"/>
  <c r="AX50" i="55"/>
  <c r="DJ50" i="55" s="1"/>
  <c r="S50" i="55"/>
  <c r="T53" i="55"/>
  <c r="AY53" i="55"/>
  <c r="T51" i="55"/>
  <c r="AY51" i="55"/>
  <c r="DK51" i="55" s="1"/>
  <c r="T52" i="55"/>
  <c r="AY52" i="55"/>
  <c r="T49" i="55"/>
  <c r="AY49" i="55"/>
  <c r="DK49" i="55" s="1"/>
  <c r="X55" i="55"/>
  <c r="BC55" i="55"/>
  <c r="BC54" i="55"/>
  <c r="X54" i="55"/>
  <c r="V25" i="55"/>
  <c r="BA25" i="55"/>
  <c r="DM25" i="55" s="1"/>
  <c r="U28" i="55"/>
  <c r="AZ28" i="55"/>
  <c r="DL28" i="55" s="1"/>
  <c r="CF24" i="55"/>
  <c r="U29" i="55"/>
  <c r="AZ29" i="55"/>
  <c r="T30" i="55"/>
  <c r="AY30" i="55"/>
  <c r="V31" i="55"/>
  <c r="BA31" i="55"/>
  <c r="V32" i="55"/>
  <c r="BA32" i="55"/>
  <c r="U24" i="55"/>
  <c r="BA24" i="55" s="1"/>
  <c r="DM24" i="55" s="1"/>
  <c r="T204" i="55"/>
  <c r="T205" i="55" s="1"/>
  <c r="U3" i="55"/>
  <c r="U247" i="53"/>
  <c r="U192" i="54"/>
  <c r="S172" i="54"/>
  <c r="R180" i="54"/>
  <c r="S174" i="54"/>
  <c r="S92" i="54"/>
  <c r="R175" i="54"/>
  <c r="R191" i="54"/>
  <c r="Q258" i="54"/>
  <c r="R178" i="54"/>
  <c r="Q179" i="54"/>
  <c r="Q259" i="54" s="1"/>
  <c r="R193" i="54"/>
  <c r="S196" i="54"/>
  <c r="S171" i="54"/>
  <c r="R194" i="54"/>
  <c r="R195" i="54"/>
  <c r="AE247" i="54"/>
  <c r="R184" i="54"/>
  <c r="S170" i="54"/>
  <c r="P96" i="54"/>
  <c r="P97" i="54"/>
  <c r="P101" i="54"/>
  <c r="P95" i="54"/>
  <c r="O103" i="54"/>
  <c r="O105" i="54"/>
  <c r="O104" i="54"/>
  <c r="R85" i="54"/>
  <c r="Q86" i="54"/>
  <c r="Q88" i="54" s="1"/>
  <c r="Q87" i="54"/>
  <c r="Q100" i="54" s="1"/>
  <c r="AD251" i="54"/>
  <c r="S185" i="54"/>
  <c r="R187" i="54"/>
  <c r="R93" i="54"/>
  <c r="S90" i="54"/>
  <c r="T181" i="54"/>
  <c r="R173" i="54"/>
  <c r="T123" i="54"/>
  <c r="S125" i="54"/>
  <c r="S127" i="54"/>
  <c r="S186" i="54"/>
  <c r="S91" i="54"/>
  <c r="Q93" i="53"/>
  <c r="Q127" i="53"/>
  <c r="T91" i="53"/>
  <c r="T174" i="53"/>
  <c r="R180" i="53"/>
  <c r="R95" i="53"/>
  <c r="S90" i="53"/>
  <c r="R196" i="53"/>
  <c r="R192" i="53"/>
  <c r="T173" i="53"/>
  <c r="T194" i="53"/>
  <c r="S123" i="53"/>
  <c r="R125" i="53"/>
  <c r="R193" i="53"/>
  <c r="R96" i="53"/>
  <c r="S186" i="53"/>
  <c r="S187" i="53"/>
  <c r="T85" i="53"/>
  <c r="S86" i="53"/>
  <c r="S88" i="53" s="1"/>
  <c r="S87" i="53"/>
  <c r="S195" i="53"/>
  <c r="R119" i="53"/>
  <c r="R121" i="53" s="1"/>
  <c r="R128" i="53" s="1"/>
  <c r="S118" i="53"/>
  <c r="R120" i="53"/>
  <c r="T181" i="53"/>
  <c r="Q258" i="53"/>
  <c r="Q179" i="53"/>
  <c r="Q259" i="53" s="1"/>
  <c r="R178" i="53"/>
  <c r="T191" i="53"/>
  <c r="R185" i="53"/>
  <c r="S172" i="53"/>
  <c r="R92" i="53"/>
  <c r="R184" i="53"/>
  <c r="S171" i="53"/>
  <c r="R170" i="53"/>
  <c r="R175" i="53"/>
  <c r="Q45" i="51"/>
  <c r="T3" i="51"/>
  <c r="AV45" i="51"/>
  <c r="L285" i="48"/>
  <c r="L297" i="48"/>
  <c r="J192" i="48"/>
  <c r="J188" i="48"/>
  <c r="J193" i="48"/>
  <c r="J200" i="48" s="1"/>
  <c r="S188" i="48"/>
  <c r="L132" i="48"/>
  <c r="L133" i="48" s="1"/>
  <c r="I136" i="48"/>
  <c r="I137" i="48"/>
  <c r="I135" i="48"/>
  <c r="K286" i="48"/>
  <c r="L131" i="48"/>
  <c r="I370" i="48"/>
  <c r="I371" i="48"/>
  <c r="K303" i="48"/>
  <c r="S257" i="48"/>
  <c r="S52" i="48"/>
  <c r="S49" i="48" s="1"/>
  <c r="L293" i="48"/>
  <c r="J127" i="48"/>
  <c r="J123" i="48"/>
  <c r="J128" i="48"/>
  <c r="K51" i="48"/>
  <c r="K50" i="48"/>
  <c r="L1" i="48"/>
  <c r="K241" i="48"/>
  <c r="K258" i="48"/>
  <c r="K124" i="48"/>
  <c r="K189" i="48"/>
  <c r="K298" i="48"/>
  <c r="M292" i="48"/>
  <c r="K307" i="48"/>
  <c r="K126" i="48"/>
  <c r="L125" i="48"/>
  <c r="M290" i="48"/>
  <c r="L291" i="48"/>
  <c r="M130" i="48"/>
  <c r="K299" i="48"/>
  <c r="L304" i="48"/>
  <c r="L308" i="48"/>
  <c r="K305" i="48"/>
  <c r="S123" i="48"/>
  <c r="L287" i="48"/>
  <c r="L359" i="48"/>
  <c r="J257" i="48"/>
  <c r="L190" i="48"/>
  <c r="K191" i="48"/>
  <c r="K133" i="48"/>
  <c r="L306" i="48"/>
  <c r="S240" i="48"/>
  <c r="U1" i="48"/>
  <c r="T51" i="48"/>
  <c r="T50" i="48"/>
  <c r="T258" i="48"/>
  <c r="T124" i="48"/>
  <c r="T241" i="48"/>
  <c r="T189" i="48"/>
  <c r="L283" i="48"/>
  <c r="J240" i="48"/>
  <c r="J52" i="48"/>
  <c r="J49" i="48" s="1"/>
  <c r="K282" i="48"/>
  <c r="N296" i="48"/>
  <c r="K284" i="48"/>
  <c r="J197" i="48"/>
  <c r="J199" i="48"/>
  <c r="K195" i="48"/>
  <c r="L307" i="46"/>
  <c r="J197" i="46"/>
  <c r="K195" i="46"/>
  <c r="G370" i="46"/>
  <c r="G371" i="46"/>
  <c r="L285" i="46"/>
  <c r="I240" i="46"/>
  <c r="M283" i="46"/>
  <c r="H136" i="46"/>
  <c r="H137" i="46"/>
  <c r="H135" i="46"/>
  <c r="L284" i="46"/>
  <c r="K297" i="46"/>
  <c r="K291" i="46"/>
  <c r="L290" i="46"/>
  <c r="T240" i="46"/>
  <c r="U51" i="46"/>
  <c r="U50" i="46"/>
  <c r="V1" i="46"/>
  <c r="U189" i="46"/>
  <c r="U258" i="46"/>
  <c r="U241" i="46"/>
  <c r="U124" i="46"/>
  <c r="L299" i="46"/>
  <c r="I192" i="46"/>
  <c r="I188" i="46"/>
  <c r="I193" i="46"/>
  <c r="K191" i="46"/>
  <c r="L190" i="46"/>
  <c r="K292" i="46"/>
  <c r="T123" i="46"/>
  <c r="L308" i="46"/>
  <c r="I128" i="46"/>
  <c r="I123" i="46"/>
  <c r="I127" i="46"/>
  <c r="J51" i="46"/>
  <c r="J50" i="46"/>
  <c r="K1" i="46"/>
  <c r="J241" i="46"/>
  <c r="J258" i="46"/>
  <c r="J124" i="46"/>
  <c r="J189" i="46"/>
  <c r="H200" i="46"/>
  <c r="H199" i="46"/>
  <c r="K132" i="46"/>
  <c r="K133" i="46" s="1"/>
  <c r="N287" i="46"/>
  <c r="L282" i="46"/>
  <c r="K305" i="46"/>
  <c r="N131" i="46"/>
  <c r="T188" i="46"/>
  <c r="T52" i="46"/>
  <c r="T49" i="46" s="1"/>
  <c r="K286" i="46"/>
  <c r="L130" i="46"/>
  <c r="I257" i="46"/>
  <c r="I52" i="46"/>
  <c r="I49" i="46" s="1"/>
  <c r="K296" i="46"/>
  <c r="K126" i="46"/>
  <c r="L125" i="46"/>
  <c r="L306" i="46"/>
  <c r="K304" i="46"/>
  <c r="M298" i="46"/>
  <c r="L303" i="46"/>
  <c r="K293" i="46"/>
  <c r="T257" i="46"/>
  <c r="F21" i="43"/>
  <c r="D4" i="45"/>
  <c r="F3" i="45"/>
  <c r="CK75" i="59" l="1"/>
  <c r="CM2" i="59"/>
  <c r="CL73" i="59"/>
  <c r="CL65" i="59"/>
  <c r="CL66" i="59"/>
  <c r="CL67" i="59"/>
  <c r="CL68" i="59"/>
  <c r="CL69" i="59"/>
  <c r="CL61" i="59"/>
  <c r="CL70" i="59"/>
  <c r="CL62" i="59"/>
  <c r="CL64" i="59"/>
  <c r="CL63" i="59"/>
  <c r="CL74" i="59"/>
  <c r="CL72" i="59"/>
  <c r="CL71" i="59"/>
  <c r="V144" i="55"/>
  <c r="BA144" i="55"/>
  <c r="BB140" i="55"/>
  <c r="DN140" i="55" s="1"/>
  <c r="W140" i="55"/>
  <c r="AZ145" i="55"/>
  <c r="U145" i="55"/>
  <c r="BA143" i="55"/>
  <c r="DM143" i="55" s="1"/>
  <c r="V143" i="55"/>
  <c r="BA139" i="55"/>
  <c r="DM139" i="55" s="1"/>
  <c r="V139" i="55"/>
  <c r="BD147" i="55"/>
  <c r="Y147" i="55"/>
  <c r="Z146" i="55"/>
  <c r="BE146" i="55"/>
  <c r="U166" i="55"/>
  <c r="AZ166" i="55"/>
  <c r="DL166" i="55" s="1"/>
  <c r="AZ167" i="55"/>
  <c r="U167" i="55"/>
  <c r="V163" i="55"/>
  <c r="BA163" i="55"/>
  <c r="DM163" i="55" s="1"/>
  <c r="AZ162" i="55"/>
  <c r="DL162" i="55" s="1"/>
  <c r="U162" i="55"/>
  <c r="AY168" i="55"/>
  <c r="T168" i="55"/>
  <c r="CF162" i="55"/>
  <c r="U164" i="55"/>
  <c r="AZ164" i="55"/>
  <c r="DL164" i="55" s="1"/>
  <c r="Z170" i="55"/>
  <c r="BE170" i="55"/>
  <c r="BC169" i="55"/>
  <c r="X169" i="55"/>
  <c r="AZ165" i="55"/>
  <c r="DL165" i="55" s="1"/>
  <c r="U165" i="55"/>
  <c r="X124" i="55"/>
  <c r="BC124" i="55"/>
  <c r="U118" i="55"/>
  <c r="AZ118" i="55"/>
  <c r="DL118" i="55" s="1"/>
  <c r="AZ121" i="55"/>
  <c r="U121" i="55"/>
  <c r="U70" i="55"/>
  <c r="AZ70" i="55"/>
  <c r="DL70" i="55" s="1"/>
  <c r="AY119" i="55"/>
  <c r="DK119" i="55" s="1"/>
  <c r="T119" i="55"/>
  <c r="T76" i="55"/>
  <c r="AY76" i="55"/>
  <c r="V117" i="55"/>
  <c r="BA117" i="55"/>
  <c r="DM117" i="55" s="1"/>
  <c r="U120" i="55"/>
  <c r="AZ120" i="55"/>
  <c r="DL120" i="55" s="1"/>
  <c r="CF93" i="55"/>
  <c r="T99" i="55"/>
  <c r="AY99" i="55"/>
  <c r="U97" i="55"/>
  <c r="AZ97" i="55"/>
  <c r="DL97" i="55" s="1"/>
  <c r="AZ116" i="55"/>
  <c r="DL116" i="55" s="1"/>
  <c r="U116" i="55"/>
  <c r="U98" i="55"/>
  <c r="AZ98" i="55"/>
  <c r="AZ122" i="55"/>
  <c r="U122" i="55"/>
  <c r="CF70" i="55"/>
  <c r="V94" i="55"/>
  <c r="BA94" i="55"/>
  <c r="DM94" i="55" s="1"/>
  <c r="BC123" i="55"/>
  <c r="X123" i="55"/>
  <c r="U75" i="55"/>
  <c r="AZ75" i="55"/>
  <c r="AZ74" i="55"/>
  <c r="DL74" i="55" s="1"/>
  <c r="U74" i="55"/>
  <c r="U93" i="55"/>
  <c r="AZ93" i="55"/>
  <c r="DL93" i="55" s="1"/>
  <c r="V71" i="55"/>
  <c r="BA71" i="55"/>
  <c r="DM71" i="55" s="1"/>
  <c r="CE116" i="55"/>
  <c r="CH97" i="55"/>
  <c r="X101" i="55"/>
  <c r="BC101" i="55"/>
  <c r="BD100" i="55"/>
  <c r="Y100" i="55"/>
  <c r="BD77" i="55"/>
  <c r="Y77" i="55"/>
  <c r="X78" i="55"/>
  <c r="BC78" i="55"/>
  <c r="T50" i="55"/>
  <c r="AY50" i="55"/>
  <c r="DK50" i="55" s="1"/>
  <c r="AZ47" i="55"/>
  <c r="DL47" i="55" s="1"/>
  <c r="U47" i="55"/>
  <c r="U49" i="55"/>
  <c r="AZ49" i="55"/>
  <c r="DL49" i="55" s="1"/>
  <c r="AZ53" i="55"/>
  <c r="U53" i="55"/>
  <c r="AZ52" i="55"/>
  <c r="U52" i="55"/>
  <c r="AZ51" i="55"/>
  <c r="DL51" i="55" s="1"/>
  <c r="U51" i="55"/>
  <c r="V48" i="55"/>
  <c r="BA48" i="55"/>
  <c r="DM48" i="55" s="1"/>
  <c r="Y54" i="55"/>
  <c r="BD54" i="55"/>
  <c r="BD55" i="55"/>
  <c r="Y55" i="55"/>
  <c r="CG24" i="55"/>
  <c r="V28" i="55"/>
  <c r="BA28" i="55"/>
  <c r="DM28" i="55" s="1"/>
  <c r="W31" i="55"/>
  <c r="BB31" i="55"/>
  <c r="U30" i="55"/>
  <c r="AZ30" i="55"/>
  <c r="W32" i="55"/>
  <c r="BB32" i="55"/>
  <c r="V29" i="55"/>
  <c r="BA29" i="55"/>
  <c r="W25" i="55"/>
  <c r="BB25" i="55"/>
  <c r="DN25" i="55" s="1"/>
  <c r="V24" i="55"/>
  <c r="BB24" i="55" s="1"/>
  <c r="DN24" i="55" s="1"/>
  <c r="U204" i="55"/>
  <c r="U205" i="55" s="1"/>
  <c r="V3" i="55"/>
  <c r="BZ16" i="45"/>
  <c r="C5" i="52"/>
  <c r="V247" i="53"/>
  <c r="S173" i="54"/>
  <c r="AE251" i="54"/>
  <c r="T92" i="54"/>
  <c r="P103" i="54"/>
  <c r="P104" i="54"/>
  <c r="P105" i="54"/>
  <c r="AF247" i="54"/>
  <c r="T174" i="54"/>
  <c r="V192" i="54"/>
  <c r="Q101" i="54"/>
  <c r="Q102" i="54" s="1"/>
  <c r="Q97" i="54"/>
  <c r="Q96" i="54"/>
  <c r="Q95" i="54"/>
  <c r="S175" i="54"/>
  <c r="T172" i="54"/>
  <c r="T125" i="54"/>
  <c r="T127" i="54"/>
  <c r="U123" i="54"/>
  <c r="T196" i="54"/>
  <c r="T186" i="54"/>
  <c r="T90" i="54"/>
  <c r="S93" i="54"/>
  <c r="R86" i="54"/>
  <c r="R88" i="54" s="1"/>
  <c r="S85" i="54"/>
  <c r="R87" i="54"/>
  <c r="R100" i="54" s="1"/>
  <c r="S195" i="54"/>
  <c r="S180" i="54"/>
  <c r="R258" i="54"/>
  <c r="S178" i="54"/>
  <c r="R179" i="54"/>
  <c r="R259" i="54" s="1"/>
  <c r="T91" i="54"/>
  <c r="U181" i="54"/>
  <c r="T170" i="54"/>
  <c r="S184" i="54"/>
  <c r="P102" i="54"/>
  <c r="T185" i="54"/>
  <c r="T171" i="54"/>
  <c r="S193" i="54"/>
  <c r="S191" i="54"/>
  <c r="S187" i="54"/>
  <c r="S194" i="54"/>
  <c r="S185" i="53"/>
  <c r="U181" i="53"/>
  <c r="T186" i="53"/>
  <c r="S196" i="53"/>
  <c r="U174" i="53"/>
  <c r="S96" i="53"/>
  <c r="T187" i="53"/>
  <c r="U191" i="53"/>
  <c r="T86" i="53"/>
  <c r="T88" i="53" s="1"/>
  <c r="U85" i="53"/>
  <c r="T87" i="53"/>
  <c r="S193" i="53"/>
  <c r="S92" i="53"/>
  <c r="S97" i="53" s="1"/>
  <c r="R97" i="53"/>
  <c r="U194" i="53"/>
  <c r="U173" i="53"/>
  <c r="S180" i="53"/>
  <c r="S175" i="53"/>
  <c r="R258" i="53"/>
  <c r="S178" i="53"/>
  <c r="R179" i="53"/>
  <c r="R259" i="53" s="1"/>
  <c r="R127" i="53"/>
  <c r="S192" i="53"/>
  <c r="S170" i="53"/>
  <c r="S184" i="53"/>
  <c r="T123" i="53"/>
  <c r="S125" i="53"/>
  <c r="S95" i="53"/>
  <c r="T90" i="53"/>
  <c r="T171" i="53"/>
  <c r="T172" i="53"/>
  <c r="T118" i="53"/>
  <c r="S119" i="53"/>
  <c r="S121" i="53" s="1"/>
  <c r="S128" i="53" s="1"/>
  <c r="S120" i="53"/>
  <c r="T195" i="53"/>
  <c r="R93" i="53"/>
  <c r="U91" i="53"/>
  <c r="U3" i="51"/>
  <c r="AW45" i="51"/>
  <c r="R45" i="51"/>
  <c r="G20" i="43"/>
  <c r="N21" i="43" s="1"/>
  <c r="G18" i="43"/>
  <c r="N19" i="43" s="1"/>
  <c r="G16" i="43"/>
  <c r="O16" i="43" s="1"/>
  <c r="E5" i="45" s="1"/>
  <c r="G17" i="43"/>
  <c r="N17" i="43" s="1"/>
  <c r="D6" i="45" s="1"/>
  <c r="G19" i="43"/>
  <c r="N20" i="43" s="1"/>
  <c r="L284" i="48"/>
  <c r="L282" i="48"/>
  <c r="T188" i="48"/>
  <c r="T52" i="48"/>
  <c r="T49" i="48" s="1"/>
  <c r="M308" i="48"/>
  <c r="L299" i="48"/>
  <c r="L298" i="48"/>
  <c r="K240" i="48"/>
  <c r="J136" i="48"/>
  <c r="J137" i="48"/>
  <c r="J135" i="48"/>
  <c r="L303" i="48"/>
  <c r="L286" i="48"/>
  <c r="K197" i="48"/>
  <c r="L195" i="48"/>
  <c r="M283" i="48"/>
  <c r="T240" i="48"/>
  <c r="L305" i="48"/>
  <c r="N130" i="48"/>
  <c r="L307" i="48"/>
  <c r="K192" i="48"/>
  <c r="K188" i="48"/>
  <c r="K193" i="48"/>
  <c r="K200" i="48" s="1"/>
  <c r="L50" i="48"/>
  <c r="L51" i="48"/>
  <c r="L189" i="48"/>
  <c r="L258" i="48"/>
  <c r="L124" i="48"/>
  <c r="L241" i="48"/>
  <c r="M297" i="48"/>
  <c r="O296" i="48"/>
  <c r="T123" i="48"/>
  <c r="V1" i="48"/>
  <c r="U50" i="48"/>
  <c r="U51" i="48"/>
  <c r="U241" i="48"/>
  <c r="U258" i="48"/>
  <c r="U124" i="48"/>
  <c r="U189" i="48"/>
  <c r="M306" i="48"/>
  <c r="L191" i="48"/>
  <c r="M190" i="48"/>
  <c r="M359" i="48"/>
  <c r="M304" i="48"/>
  <c r="K128" i="48"/>
  <c r="K127" i="48"/>
  <c r="K123" i="48"/>
  <c r="K52" i="48"/>
  <c r="K49" i="48" s="1"/>
  <c r="M131" i="48"/>
  <c r="J370" i="48"/>
  <c r="J371" i="48"/>
  <c r="T257" i="48"/>
  <c r="M287" i="48"/>
  <c r="M291" i="48"/>
  <c r="N290" i="48"/>
  <c r="L126" i="48"/>
  <c r="M125" i="48"/>
  <c r="N292" i="48"/>
  <c r="K257" i="48"/>
  <c r="M293" i="48"/>
  <c r="M132" i="48"/>
  <c r="M285" i="48"/>
  <c r="J240" i="46"/>
  <c r="L292" i="46"/>
  <c r="U257" i="46"/>
  <c r="L297" i="46"/>
  <c r="N283" i="46"/>
  <c r="M285" i="46"/>
  <c r="M307" i="46"/>
  <c r="L296" i="46"/>
  <c r="M130" i="46"/>
  <c r="L305" i="46"/>
  <c r="M303" i="46"/>
  <c r="L304" i="46"/>
  <c r="M125" i="46"/>
  <c r="L126" i="46"/>
  <c r="J192" i="46"/>
  <c r="J188" i="46"/>
  <c r="J193" i="46"/>
  <c r="K51" i="46"/>
  <c r="L1" i="46"/>
  <c r="K50" i="46"/>
  <c r="K189" i="46"/>
  <c r="K124" i="46"/>
  <c r="K241" i="46"/>
  <c r="K258" i="46"/>
  <c r="M308" i="46"/>
  <c r="M299" i="46"/>
  <c r="U188" i="46"/>
  <c r="K197" i="46"/>
  <c r="L195" i="46"/>
  <c r="M306" i="46"/>
  <c r="L132" i="46"/>
  <c r="H370" i="46"/>
  <c r="H371" i="46"/>
  <c r="L293" i="46"/>
  <c r="L286" i="46"/>
  <c r="O131" i="46"/>
  <c r="M282" i="46"/>
  <c r="O287" i="46"/>
  <c r="J128" i="46"/>
  <c r="J127" i="46"/>
  <c r="J123" i="46"/>
  <c r="J52" i="46"/>
  <c r="J49" i="46" s="1"/>
  <c r="I136" i="46"/>
  <c r="I137" i="46"/>
  <c r="I135" i="46"/>
  <c r="L191" i="46"/>
  <c r="M190" i="46"/>
  <c r="I200" i="46"/>
  <c r="I199" i="46"/>
  <c r="U123" i="46"/>
  <c r="V51" i="46"/>
  <c r="V50" i="46"/>
  <c r="V258" i="46"/>
  <c r="V189" i="46"/>
  <c r="V241" i="46"/>
  <c r="V124" i="46"/>
  <c r="M284" i="46"/>
  <c r="N298" i="46"/>
  <c r="J257" i="46"/>
  <c r="U240" i="46"/>
  <c r="U52" i="46"/>
  <c r="U49" i="46" s="1"/>
  <c r="L291" i="46"/>
  <c r="M290" i="46"/>
  <c r="P3" i="43"/>
  <c r="E4" i="45"/>
  <c r="BS34" i="45"/>
  <c r="AJ4" i="45"/>
  <c r="G3" i="45"/>
  <c r="CC12" i="36"/>
  <c r="J7" i="37"/>
  <c r="H6" i="37"/>
  <c r="H5" i="37"/>
  <c r="G6" i="37"/>
  <c r="G5" i="37"/>
  <c r="O20" i="43" l="1"/>
  <c r="O21" i="43"/>
  <c r="O19" i="43"/>
  <c r="O18" i="43" s="1"/>
  <c r="E7" i="45" s="1"/>
  <c r="H45" i="37"/>
  <c r="CL75" i="59"/>
  <c r="CN2" i="59"/>
  <c r="CM66" i="59"/>
  <c r="CM67" i="59"/>
  <c r="CM68" i="59"/>
  <c r="CM69" i="59"/>
  <c r="CM61" i="59"/>
  <c r="CM70" i="59"/>
  <c r="CM62" i="59"/>
  <c r="CM73" i="59"/>
  <c r="CM65" i="59"/>
  <c r="CM64" i="59"/>
  <c r="CM63" i="59"/>
  <c r="CM74" i="59"/>
  <c r="CM72" i="59"/>
  <c r="CM71" i="59"/>
  <c r="V145" i="55"/>
  <c r="BA145" i="55"/>
  <c r="BB139" i="55"/>
  <c r="DN139" i="55" s="1"/>
  <c r="W139" i="55"/>
  <c r="X140" i="55"/>
  <c r="BC140" i="55"/>
  <c r="DO140" i="55" s="1"/>
  <c r="BB143" i="55"/>
  <c r="DN143" i="55" s="1"/>
  <c r="W143" i="55"/>
  <c r="BB144" i="55"/>
  <c r="W144" i="55"/>
  <c r="Z147" i="55"/>
  <c r="BE147" i="55"/>
  <c r="AA146" i="55"/>
  <c r="BF146" i="55"/>
  <c r="BF170" i="55"/>
  <c r="AA170" i="55"/>
  <c r="BB163" i="55"/>
  <c r="DN163" i="55" s="1"/>
  <c r="W163" i="55"/>
  <c r="V164" i="55"/>
  <c r="BA164" i="55"/>
  <c r="DM164" i="55" s="1"/>
  <c r="U168" i="55"/>
  <c r="AZ168" i="55"/>
  <c r="BA167" i="55"/>
  <c r="V167" i="55"/>
  <c r="BA165" i="55"/>
  <c r="DM165" i="55" s="1"/>
  <c r="V165" i="55"/>
  <c r="CG162" i="55"/>
  <c r="Y169" i="55"/>
  <c r="BD169" i="55"/>
  <c r="V162" i="55"/>
  <c r="BA162" i="55"/>
  <c r="DM162" i="55" s="1"/>
  <c r="V166" i="55"/>
  <c r="BA166" i="55"/>
  <c r="DM166" i="55" s="1"/>
  <c r="Y124" i="55"/>
  <c r="BD124" i="55"/>
  <c r="V74" i="55"/>
  <c r="BA74" i="55"/>
  <c r="DM74" i="55" s="1"/>
  <c r="BD123" i="55"/>
  <c r="Y123" i="55"/>
  <c r="U99" i="55"/>
  <c r="AZ99" i="55"/>
  <c r="AZ76" i="55"/>
  <c r="U76" i="55"/>
  <c r="V98" i="55"/>
  <c r="BA98" i="55"/>
  <c r="V121" i="55"/>
  <c r="BA121" i="55"/>
  <c r="W71" i="55"/>
  <c r="BB71" i="55"/>
  <c r="DN71" i="55" s="1"/>
  <c r="BA116" i="55"/>
  <c r="DM116" i="55" s="1"/>
  <c r="V116" i="55"/>
  <c r="CG93" i="55"/>
  <c r="W94" i="55"/>
  <c r="BB94" i="55"/>
  <c r="DN94" i="55" s="1"/>
  <c r="U119" i="55"/>
  <c r="AZ119" i="55"/>
  <c r="DL119" i="55" s="1"/>
  <c r="CG70" i="55"/>
  <c r="V120" i="55"/>
  <c r="BA120" i="55"/>
  <c r="DM120" i="55" s="1"/>
  <c r="BA118" i="55"/>
  <c r="DM118" i="55" s="1"/>
  <c r="V118" i="55"/>
  <c r="V93" i="55"/>
  <c r="BA93" i="55"/>
  <c r="DM93" i="55" s="1"/>
  <c r="V75" i="55"/>
  <c r="BA75" i="55"/>
  <c r="V122" i="55"/>
  <c r="BA122" i="55"/>
  <c r="V97" i="55"/>
  <c r="BA97" i="55"/>
  <c r="DM97" i="55" s="1"/>
  <c r="W117" i="55"/>
  <c r="BB117" i="55"/>
  <c r="DN117" i="55" s="1"/>
  <c r="BA70" i="55"/>
  <c r="DM70" i="55" s="1"/>
  <c r="V70" i="55"/>
  <c r="CF116" i="55"/>
  <c r="Z100" i="55"/>
  <c r="BE100" i="55"/>
  <c r="Y101" i="55"/>
  <c r="BD101" i="55"/>
  <c r="CI97" i="55"/>
  <c r="Z77" i="55"/>
  <c r="BE77" i="55"/>
  <c r="Y78" i="55"/>
  <c r="BD78" i="55"/>
  <c r="AZ50" i="55"/>
  <c r="DL50" i="55" s="1"/>
  <c r="U50" i="55"/>
  <c r="V49" i="55"/>
  <c r="BA49" i="55"/>
  <c r="DM49" i="55" s="1"/>
  <c r="W48" i="55"/>
  <c r="BB48" i="55"/>
  <c r="DN48" i="55" s="1"/>
  <c r="V47" i="55"/>
  <c r="BA47" i="55"/>
  <c r="DM47" i="55" s="1"/>
  <c r="BA51" i="55"/>
  <c r="DM51" i="55" s="1"/>
  <c r="V51" i="55"/>
  <c r="V53" i="55"/>
  <c r="BA53" i="55"/>
  <c r="V52" i="55"/>
  <c r="BA52" i="55"/>
  <c r="BE55" i="55"/>
  <c r="Z55" i="55"/>
  <c r="Z54" i="55"/>
  <c r="BE54" i="55"/>
  <c r="X32" i="55"/>
  <c r="BC32" i="55"/>
  <c r="W28" i="55"/>
  <c r="BB28" i="55"/>
  <c r="DN28" i="55" s="1"/>
  <c r="W29" i="55"/>
  <c r="BB29" i="55"/>
  <c r="X25" i="55"/>
  <c r="BC25" i="55"/>
  <c r="DO25" i="55" s="1"/>
  <c r="CH24" i="55"/>
  <c r="V30" i="55"/>
  <c r="BA30" i="55"/>
  <c r="X31" i="55"/>
  <c r="BC31" i="55"/>
  <c r="W24" i="55"/>
  <c r="BC24" i="55" s="1"/>
  <c r="DO24" i="55" s="1"/>
  <c r="V204" i="55"/>
  <c r="V205" i="55" s="1"/>
  <c r="W3" i="55"/>
  <c r="AK4" i="45"/>
  <c r="D5" i="52"/>
  <c r="S93" i="53"/>
  <c r="W247" i="53"/>
  <c r="T194" i="54"/>
  <c r="U185" i="54"/>
  <c r="U91" i="54"/>
  <c r="U186" i="54"/>
  <c r="AF251" i="54"/>
  <c r="T180" i="54"/>
  <c r="T173" i="54"/>
  <c r="T184" i="54"/>
  <c r="S86" i="54"/>
  <c r="S88" i="54" s="1"/>
  <c r="T85" i="54"/>
  <c r="S87" i="54"/>
  <c r="S100" i="54" s="1"/>
  <c r="U172" i="54"/>
  <c r="T193" i="54"/>
  <c r="R101" i="54"/>
  <c r="R102" i="54" s="1"/>
  <c r="R96" i="54"/>
  <c r="R97" i="54"/>
  <c r="R95" i="54"/>
  <c r="U174" i="54"/>
  <c r="AG247" i="54"/>
  <c r="T187" i="54"/>
  <c r="U170" i="54"/>
  <c r="U196" i="54"/>
  <c r="T175" i="54"/>
  <c r="W192" i="54"/>
  <c r="U92" i="54"/>
  <c r="T191" i="54"/>
  <c r="U171" i="54"/>
  <c r="S258" i="54"/>
  <c r="S179" i="54"/>
  <c r="S259" i="54" s="1"/>
  <c r="T178" i="54"/>
  <c r="T93" i="54"/>
  <c r="U90" i="54"/>
  <c r="Q103" i="54"/>
  <c r="Q104" i="54"/>
  <c r="Q105" i="54"/>
  <c r="V181" i="54"/>
  <c r="T195" i="54"/>
  <c r="V123" i="54"/>
  <c r="U125" i="54"/>
  <c r="U127" i="54"/>
  <c r="T125" i="53"/>
  <c r="U123" i="53"/>
  <c r="T193" i="53"/>
  <c r="T192" i="53"/>
  <c r="V173" i="53"/>
  <c r="V174" i="53"/>
  <c r="V181" i="53"/>
  <c r="U172" i="53"/>
  <c r="T175" i="53"/>
  <c r="T180" i="53"/>
  <c r="V191" i="53"/>
  <c r="U187" i="53"/>
  <c r="T196" i="53"/>
  <c r="T185" i="53"/>
  <c r="U195" i="53"/>
  <c r="U171" i="53"/>
  <c r="V194" i="53"/>
  <c r="V85" i="53"/>
  <c r="U86" i="53"/>
  <c r="U88" i="53" s="1"/>
  <c r="U87" i="53"/>
  <c r="T95" i="53"/>
  <c r="U90" i="53"/>
  <c r="T184" i="53"/>
  <c r="T96" i="53"/>
  <c r="S127" i="53"/>
  <c r="T170" i="53"/>
  <c r="U186" i="53"/>
  <c r="V91" i="53"/>
  <c r="U118" i="53"/>
  <c r="T119" i="53"/>
  <c r="T121" i="53" s="1"/>
  <c r="T128" i="53" s="1"/>
  <c r="T120" i="53"/>
  <c r="S258" i="53"/>
  <c r="T178" i="53"/>
  <c r="S179" i="53"/>
  <c r="S259" i="53" s="1"/>
  <c r="T92" i="53"/>
  <c r="T93" i="53" s="1"/>
  <c r="AX45" i="51"/>
  <c r="S45" i="51"/>
  <c r="V3" i="51"/>
  <c r="P16" i="43"/>
  <c r="F5" i="45" s="1"/>
  <c r="P21" i="43"/>
  <c r="P20" i="43"/>
  <c r="P17" i="43"/>
  <c r="F6" i="45" s="1"/>
  <c r="P19" i="43"/>
  <c r="E13" i="45"/>
  <c r="AK13" i="45" s="1"/>
  <c r="AK5" i="45"/>
  <c r="M8" i="44"/>
  <c r="AJ6" i="45"/>
  <c r="BO6" i="45" s="1"/>
  <c r="G21" i="43"/>
  <c r="N16" i="43"/>
  <c r="D5" i="45" s="1"/>
  <c r="O17" i="43"/>
  <c r="N18" i="43"/>
  <c r="D7" i="45" s="1"/>
  <c r="N291" i="48"/>
  <c r="O290" i="48"/>
  <c r="N287" i="48"/>
  <c r="N304" i="48"/>
  <c r="U240" i="48"/>
  <c r="L240" i="48"/>
  <c r="N283" i="48"/>
  <c r="L197" i="48"/>
  <c r="M195" i="48"/>
  <c r="M299" i="48"/>
  <c r="N293" i="48"/>
  <c r="N285" i="48"/>
  <c r="U188" i="48"/>
  <c r="L123" i="48"/>
  <c r="L128" i="48"/>
  <c r="L127" i="48"/>
  <c r="L52" i="48"/>
  <c r="L49" i="48" s="1"/>
  <c r="M307" i="48"/>
  <c r="O130" i="48"/>
  <c r="K199" i="48"/>
  <c r="M286" i="48"/>
  <c r="M298" i="48"/>
  <c r="M284" i="48"/>
  <c r="O292" i="48"/>
  <c r="M126" i="48"/>
  <c r="M128" i="48" s="1"/>
  <c r="N125" i="48"/>
  <c r="M127" i="48"/>
  <c r="N131" i="48"/>
  <c r="K136" i="48"/>
  <c r="K137" i="48"/>
  <c r="K135" i="48"/>
  <c r="M191" i="48"/>
  <c r="M193" i="48" s="1"/>
  <c r="M200" i="48" s="1"/>
  <c r="M370" i="48" s="1"/>
  <c r="N190" i="48"/>
  <c r="M192" i="48"/>
  <c r="U123" i="48"/>
  <c r="U52" i="48"/>
  <c r="U49" i="48" s="1"/>
  <c r="N297" i="48"/>
  <c r="L257" i="48"/>
  <c r="K370" i="48"/>
  <c r="K371" i="48"/>
  <c r="N308" i="48"/>
  <c r="N132" i="48"/>
  <c r="N359" i="48"/>
  <c r="N306" i="48"/>
  <c r="U257" i="48"/>
  <c r="V51" i="48"/>
  <c r="V50" i="48"/>
  <c r="V241" i="48"/>
  <c r="V258" i="48"/>
  <c r="V124" i="48"/>
  <c r="V189" i="48"/>
  <c r="P296" i="48"/>
  <c r="L193" i="48"/>
  <c r="L200" i="48" s="1"/>
  <c r="L192" i="48"/>
  <c r="L188" i="48"/>
  <c r="M133" i="48"/>
  <c r="M305" i="48"/>
  <c r="M303" i="48"/>
  <c r="M282" i="48"/>
  <c r="V52" i="46"/>
  <c r="V49" i="46" s="1"/>
  <c r="J136" i="46"/>
  <c r="J137" i="46"/>
  <c r="J135" i="46"/>
  <c r="O298" i="46"/>
  <c r="V240" i="46"/>
  <c r="P287" i="46"/>
  <c r="M286" i="46"/>
  <c r="N299" i="46"/>
  <c r="V188" i="46"/>
  <c r="I370" i="46"/>
  <c r="I371" i="46"/>
  <c r="P131" i="46"/>
  <c r="M293" i="46"/>
  <c r="K193" i="46"/>
  <c r="K192" i="46"/>
  <c r="K188" i="46"/>
  <c r="J200" i="46"/>
  <c r="J199" i="46"/>
  <c r="M126" i="46"/>
  <c r="M128" i="46" s="1"/>
  <c r="N125" i="46"/>
  <c r="M127" i="46"/>
  <c r="N130" i="46"/>
  <c r="M296" i="46"/>
  <c r="O283" i="46"/>
  <c r="N290" i="46"/>
  <c r="M291" i="46"/>
  <c r="V123" i="46"/>
  <c r="N284" i="46"/>
  <c r="K127" i="46"/>
  <c r="K128" i="46"/>
  <c r="K123" i="46"/>
  <c r="N303" i="46"/>
  <c r="V257" i="46"/>
  <c r="M191" i="46"/>
  <c r="M193" i="46" s="1"/>
  <c r="M200" i="46" s="1"/>
  <c r="M370" i="46" s="1"/>
  <c r="N190" i="46"/>
  <c r="M192" i="46"/>
  <c r="N282" i="46"/>
  <c r="M132" i="46"/>
  <c r="M133" i="46" s="1"/>
  <c r="N306" i="46"/>
  <c r="M195" i="46"/>
  <c r="L197" i="46"/>
  <c r="N308" i="46"/>
  <c r="K257" i="46"/>
  <c r="K52" i="46"/>
  <c r="K49" i="46" s="1"/>
  <c r="M304" i="46"/>
  <c r="M305" i="46"/>
  <c r="K240" i="46"/>
  <c r="L51" i="46"/>
  <c r="L50" i="46"/>
  <c r="L241" i="46"/>
  <c r="L258" i="46"/>
  <c r="L124" i="46"/>
  <c r="L189" i="46"/>
  <c r="L133" i="46"/>
  <c r="N307" i="46"/>
  <c r="N285" i="46"/>
  <c r="M297" i="46"/>
  <c r="M292" i="46"/>
  <c r="F4" i="45"/>
  <c r="H3" i="45"/>
  <c r="D9" i="43"/>
  <c r="N133" i="48" l="1"/>
  <c r="P18" i="43"/>
  <c r="F7" i="45" s="1"/>
  <c r="E6" i="45"/>
  <c r="AK6" i="45" s="1"/>
  <c r="CM75" i="59"/>
  <c r="CO2" i="59"/>
  <c r="CN67" i="59"/>
  <c r="CN68" i="59"/>
  <c r="CN69" i="59"/>
  <c r="CN61" i="59"/>
  <c r="CN70" i="59"/>
  <c r="CN62" i="59"/>
  <c r="CN64" i="59"/>
  <c r="CN73" i="59"/>
  <c r="CN65" i="59"/>
  <c r="CN66" i="59"/>
  <c r="CN63" i="59"/>
  <c r="CN72" i="59"/>
  <c r="CN74" i="59"/>
  <c r="CN71" i="59"/>
  <c r="Y140" i="55"/>
  <c r="BD140" i="55"/>
  <c r="DP140" i="55" s="1"/>
  <c r="BC139" i="55"/>
  <c r="DO139" i="55" s="1"/>
  <c r="X139" i="55"/>
  <c r="X144" i="55"/>
  <c r="BC144" i="55"/>
  <c r="W145" i="55"/>
  <c r="BB145" i="55"/>
  <c r="X143" i="55"/>
  <c r="BC143" i="55"/>
  <c r="DO143" i="55" s="1"/>
  <c r="AB146" i="55"/>
  <c r="BG146" i="55"/>
  <c r="AA147" i="55"/>
  <c r="BF147" i="55"/>
  <c r="W162" i="55"/>
  <c r="BB162" i="55"/>
  <c r="DN162" i="55" s="1"/>
  <c r="W167" i="55"/>
  <c r="BB167" i="55"/>
  <c r="Z169" i="55"/>
  <c r="BE169" i="55"/>
  <c r="V168" i="55"/>
  <c r="BA168" i="55"/>
  <c r="BG170" i="55"/>
  <c r="AB170" i="55"/>
  <c r="CH162" i="55"/>
  <c r="W164" i="55"/>
  <c r="BB164" i="55"/>
  <c r="DN164" i="55" s="1"/>
  <c r="W166" i="55"/>
  <c r="BB166" i="55"/>
  <c r="DN166" i="55" s="1"/>
  <c r="BB165" i="55"/>
  <c r="DN165" i="55" s="1"/>
  <c r="W165" i="55"/>
  <c r="BC163" i="55"/>
  <c r="DO163" i="55" s="1"/>
  <c r="X163" i="55"/>
  <c r="BE124" i="55"/>
  <c r="Z124" i="55"/>
  <c r="W75" i="55"/>
  <c r="BB75" i="55"/>
  <c r="V119" i="55"/>
  <c r="BA119" i="55"/>
  <c r="DM119" i="55" s="1"/>
  <c r="W121" i="55"/>
  <c r="BB121" i="55"/>
  <c r="BA99" i="55"/>
  <c r="V99" i="55"/>
  <c r="X117" i="55"/>
  <c r="BC117" i="55"/>
  <c r="DO117" i="55" s="1"/>
  <c r="W93" i="55"/>
  <c r="BB93" i="55"/>
  <c r="DN93" i="55" s="1"/>
  <c r="BB118" i="55"/>
  <c r="DN118" i="55" s="1"/>
  <c r="W118" i="55"/>
  <c r="CH93" i="55"/>
  <c r="BE123" i="55"/>
  <c r="Z123" i="55"/>
  <c r="BB116" i="55"/>
  <c r="DN116" i="55" s="1"/>
  <c r="W116" i="55"/>
  <c r="CG116" i="55"/>
  <c r="BB97" i="55"/>
  <c r="DN97" i="55" s="1"/>
  <c r="W97" i="55"/>
  <c r="X94" i="55"/>
  <c r="BC94" i="55"/>
  <c r="DO94" i="55" s="1"/>
  <c r="BB120" i="55"/>
  <c r="DN120" i="55" s="1"/>
  <c r="W120" i="55"/>
  <c r="BB98" i="55"/>
  <c r="W98" i="55"/>
  <c r="BB74" i="55"/>
  <c r="DN74" i="55" s="1"/>
  <c r="W74" i="55"/>
  <c r="BB70" i="55"/>
  <c r="DN70" i="55" s="1"/>
  <c r="W70" i="55"/>
  <c r="BB122" i="55"/>
  <c r="W122" i="55"/>
  <c r="CH70" i="55"/>
  <c r="BA76" i="55"/>
  <c r="V76" i="55"/>
  <c r="BC71" i="55"/>
  <c r="DO71" i="55" s="1"/>
  <c r="X71" i="55"/>
  <c r="Z101" i="55"/>
  <c r="BE101" i="55"/>
  <c r="CJ97" i="55"/>
  <c r="AA100" i="55"/>
  <c r="BF100" i="55"/>
  <c r="AA77" i="55"/>
  <c r="BF77" i="55"/>
  <c r="Z78" i="55"/>
  <c r="BE78" i="55"/>
  <c r="V50" i="55"/>
  <c r="BA50" i="55"/>
  <c r="DM50" i="55" s="1"/>
  <c r="X48" i="55"/>
  <c r="BC48" i="55"/>
  <c r="DO48" i="55" s="1"/>
  <c r="BB52" i="55"/>
  <c r="W52" i="55"/>
  <c r="BB49" i="55"/>
  <c r="DN49" i="55" s="1"/>
  <c r="W49" i="55"/>
  <c r="BB51" i="55"/>
  <c r="DN51" i="55" s="1"/>
  <c r="W51" i="55"/>
  <c r="BB53" i="55"/>
  <c r="W53" i="55"/>
  <c r="BB47" i="55"/>
  <c r="DN47" i="55" s="1"/>
  <c r="W47" i="55"/>
  <c r="BF55" i="55"/>
  <c r="AA55" i="55"/>
  <c r="AA54" i="55"/>
  <c r="BF54" i="55"/>
  <c r="CI24" i="55"/>
  <c r="Y25" i="55"/>
  <c r="BD25" i="55"/>
  <c r="DP25" i="55" s="1"/>
  <c r="Y32" i="55"/>
  <c r="BD32" i="55"/>
  <c r="Y31" i="55"/>
  <c r="BD31" i="55"/>
  <c r="X29" i="55"/>
  <c r="BC29" i="55"/>
  <c r="W30" i="55"/>
  <c r="BB30" i="55"/>
  <c r="X28" i="55"/>
  <c r="BC28" i="55"/>
  <c r="DO28" i="55" s="1"/>
  <c r="X24" i="55"/>
  <c r="BD24" i="55" s="1"/>
  <c r="DP24" i="55" s="1"/>
  <c r="W204" i="55"/>
  <c r="W205" i="55" s="1"/>
  <c r="X3" i="55"/>
  <c r="AL4" i="45"/>
  <c r="E5" i="52"/>
  <c r="X247" i="53"/>
  <c r="V174" i="54"/>
  <c r="S101" i="54"/>
  <c r="S102" i="54" s="1"/>
  <c r="S96" i="54"/>
  <c r="S97" i="54"/>
  <c r="S95" i="54"/>
  <c r="U173" i="54"/>
  <c r="AG251" i="54"/>
  <c r="V186" i="54"/>
  <c r="T86" i="54"/>
  <c r="T88" i="54" s="1"/>
  <c r="U85" i="54"/>
  <c r="T87" i="54"/>
  <c r="T100" i="54" s="1"/>
  <c r="U193" i="54"/>
  <c r="U184" i="54"/>
  <c r="W181" i="54"/>
  <c r="U191" i="54"/>
  <c r="U187" i="54"/>
  <c r="V125" i="54"/>
  <c r="V127" i="54"/>
  <c r="W123" i="54"/>
  <c r="V90" i="54"/>
  <c r="U93" i="54"/>
  <c r="V92" i="54"/>
  <c r="V170" i="54"/>
  <c r="V185" i="54"/>
  <c r="U194" i="54"/>
  <c r="V196" i="54"/>
  <c r="T258" i="54"/>
  <c r="U178" i="54"/>
  <c r="T179" i="54"/>
  <c r="T259" i="54" s="1"/>
  <c r="X192" i="54"/>
  <c r="V172" i="54"/>
  <c r="V91" i="54"/>
  <c r="U195" i="54"/>
  <c r="V171" i="54"/>
  <c r="R105" i="54"/>
  <c r="R104" i="54"/>
  <c r="R103" i="54"/>
  <c r="U180" i="54"/>
  <c r="U175" i="54"/>
  <c r="W174" i="53"/>
  <c r="U192" i="53"/>
  <c r="T258" i="53"/>
  <c r="U178" i="53"/>
  <c r="T179" i="53"/>
  <c r="T259" i="53" s="1"/>
  <c r="V195" i="53"/>
  <c r="U196" i="53"/>
  <c r="W191" i="53"/>
  <c r="U180" i="53"/>
  <c r="V118" i="53"/>
  <c r="U119" i="53"/>
  <c r="U121" i="53" s="1"/>
  <c r="U128" i="53" s="1"/>
  <c r="U120" i="53"/>
  <c r="V187" i="53"/>
  <c r="V172" i="53"/>
  <c r="W181" i="53"/>
  <c r="V123" i="53"/>
  <c r="U125" i="53"/>
  <c r="U193" i="53"/>
  <c r="T127" i="53"/>
  <c r="U92" i="53"/>
  <c r="U93" i="53" s="1"/>
  <c r="T97" i="53"/>
  <c r="U184" i="53"/>
  <c r="U96" i="53"/>
  <c r="W194" i="53"/>
  <c r="U175" i="53"/>
  <c r="W91" i="53"/>
  <c r="U170" i="53"/>
  <c r="V86" i="53"/>
  <c r="V88" i="53" s="1"/>
  <c r="W85" i="53"/>
  <c r="V87" i="53"/>
  <c r="V186" i="53"/>
  <c r="U95" i="53"/>
  <c r="V90" i="53"/>
  <c r="V171" i="53"/>
  <c r="U185" i="53"/>
  <c r="W173" i="53"/>
  <c r="AY45" i="51"/>
  <c r="W3" i="51"/>
  <c r="T45" i="51"/>
  <c r="L132" i="24"/>
  <c r="AL7" i="45"/>
  <c r="F15" i="45"/>
  <c r="AL15" i="45" s="1"/>
  <c r="P22" i="43"/>
  <c r="AL6" i="45"/>
  <c r="L104" i="24"/>
  <c r="N22" i="43"/>
  <c r="AL5" i="45"/>
  <c r="F13" i="45"/>
  <c r="AL13" i="45" s="1"/>
  <c r="M4" i="44"/>
  <c r="M5" i="44"/>
  <c r="M6" i="44"/>
  <c r="M3" i="44"/>
  <c r="H23" i="44" s="1"/>
  <c r="I23" i="44" s="1"/>
  <c r="E15" i="45"/>
  <c r="AK15" i="45" s="1"/>
  <c r="AK7" i="45"/>
  <c r="O22" i="43"/>
  <c r="N282" i="48"/>
  <c r="N305" i="48"/>
  <c r="V123" i="48"/>
  <c r="O306" i="48"/>
  <c r="O359" i="48"/>
  <c r="M136" i="48"/>
  <c r="M137" i="48"/>
  <c r="M135" i="48"/>
  <c r="O293" i="48"/>
  <c r="L199" i="48"/>
  <c r="O287" i="48"/>
  <c r="O308" i="48"/>
  <c r="V257" i="48"/>
  <c r="P292" i="48"/>
  <c r="N284" i="48"/>
  <c r="N298" i="48"/>
  <c r="L137" i="48"/>
  <c r="L136" i="48"/>
  <c r="L135" i="48"/>
  <c r="M371" i="48"/>
  <c r="O285" i="48"/>
  <c r="O304" i="48"/>
  <c r="V240" i="48"/>
  <c r="O132" i="48"/>
  <c r="O297" i="48"/>
  <c r="N191" i="48"/>
  <c r="N193" i="48" s="1"/>
  <c r="N200" i="48" s="1"/>
  <c r="N370" i="48" s="1"/>
  <c r="O190" i="48"/>
  <c r="N192" i="48"/>
  <c r="O131" i="48"/>
  <c r="N299" i="48"/>
  <c r="O283" i="48"/>
  <c r="P290" i="48"/>
  <c r="O291" i="48"/>
  <c r="Q296" i="48"/>
  <c r="N303" i="48"/>
  <c r="L370" i="48"/>
  <c r="L371" i="48"/>
  <c r="V188" i="48"/>
  <c r="V52" i="48"/>
  <c r="V49" i="48" s="1"/>
  <c r="O125" i="48"/>
  <c r="N126" i="48"/>
  <c r="N128" i="48" s="1"/>
  <c r="N127" i="48"/>
  <c r="N286" i="48"/>
  <c r="P130" i="48"/>
  <c r="N307" i="48"/>
  <c r="M199" i="48"/>
  <c r="N195" i="48"/>
  <c r="M197" i="48"/>
  <c r="N292" i="46"/>
  <c r="O285" i="46"/>
  <c r="L127" i="46"/>
  <c r="L128" i="46"/>
  <c r="L123" i="46"/>
  <c r="M197" i="46"/>
  <c r="M199" i="46"/>
  <c r="N195" i="46"/>
  <c r="J370" i="46"/>
  <c r="J371" i="46"/>
  <c r="N286" i="46"/>
  <c r="L257" i="46"/>
  <c r="N305" i="46"/>
  <c r="O308" i="46"/>
  <c r="M371" i="46"/>
  <c r="N126" i="46"/>
  <c r="N128" i="46" s="1"/>
  <c r="N135" i="46" s="1"/>
  <c r="O125" i="46"/>
  <c r="N127" i="46"/>
  <c r="N293" i="46"/>
  <c r="O299" i="46"/>
  <c r="N297" i="46"/>
  <c r="O307" i="46"/>
  <c r="L240" i="46"/>
  <c r="N304" i="46"/>
  <c r="O306" i="46"/>
  <c r="N132" i="46"/>
  <c r="N133" i="46" s="1"/>
  <c r="O282" i="46"/>
  <c r="K137" i="46"/>
  <c r="K136" i="46"/>
  <c r="K135" i="46"/>
  <c r="O284" i="46"/>
  <c r="O290" i="46"/>
  <c r="N291" i="46"/>
  <c r="P283" i="46"/>
  <c r="N296" i="46"/>
  <c r="O130" i="46"/>
  <c r="M136" i="46"/>
  <c r="M137" i="46"/>
  <c r="Q287" i="46"/>
  <c r="P298" i="46"/>
  <c r="L192" i="46"/>
  <c r="L193" i="46"/>
  <c r="L188" i="46"/>
  <c r="L52" i="46"/>
  <c r="L49" i="46" s="1"/>
  <c r="O190" i="46"/>
  <c r="N191" i="46"/>
  <c r="N193" i="46" s="1"/>
  <c r="N200" i="46" s="1"/>
  <c r="N370" i="46" s="1"/>
  <c r="N192" i="46"/>
  <c r="O303" i="46"/>
  <c r="M135" i="46"/>
  <c r="K200" i="46"/>
  <c r="K199" i="46"/>
  <c r="Q131" i="46"/>
  <c r="I3" i="45"/>
  <c r="B22" i="27"/>
  <c r="B21" i="27"/>
  <c r="B20" i="27"/>
  <c r="B19" i="27"/>
  <c r="B18" i="27"/>
  <c r="N371" i="48" l="1"/>
  <c r="CN75" i="59"/>
  <c r="CP2" i="59"/>
  <c r="CO68" i="59"/>
  <c r="CO69" i="59"/>
  <c r="CO61" i="59"/>
  <c r="CO70" i="59"/>
  <c r="CO62" i="59"/>
  <c r="CO64" i="59"/>
  <c r="CO73" i="59"/>
  <c r="CO65" i="59"/>
  <c r="CO66" i="59"/>
  <c r="CO67" i="59"/>
  <c r="CO63" i="59"/>
  <c r="CO74" i="59"/>
  <c r="CO72" i="59"/>
  <c r="CO71" i="59"/>
  <c r="BC145" i="55"/>
  <c r="X145" i="55"/>
  <c r="BD144" i="55"/>
  <c r="Y144" i="55"/>
  <c r="BD139" i="55"/>
  <c r="DP139" i="55" s="1"/>
  <c r="Y139" i="55"/>
  <c r="BD143" i="55"/>
  <c r="DP143" i="55" s="1"/>
  <c r="Y143" i="55"/>
  <c r="BE140" i="55"/>
  <c r="DQ140" i="55" s="1"/>
  <c r="Z140" i="55"/>
  <c r="AC146" i="55"/>
  <c r="BH146" i="55"/>
  <c r="BG147" i="55"/>
  <c r="AB147" i="55"/>
  <c r="BC166" i="55"/>
  <c r="DO166" i="55" s="1"/>
  <c r="X166" i="55"/>
  <c r="AC170" i="55"/>
  <c r="BH170" i="55"/>
  <c r="BC167" i="55"/>
  <c r="X167" i="55"/>
  <c r="Y163" i="55"/>
  <c r="BD163" i="55"/>
  <c r="DP163" i="55" s="1"/>
  <c r="W168" i="55"/>
  <c r="BB168" i="55"/>
  <c r="X162" i="55"/>
  <c r="BC162" i="55"/>
  <c r="DO162" i="55" s="1"/>
  <c r="X165" i="55"/>
  <c r="BC165" i="55"/>
  <c r="DO165" i="55" s="1"/>
  <c r="X164" i="55"/>
  <c r="BC164" i="55"/>
  <c r="DO164" i="55" s="1"/>
  <c r="AA169" i="55"/>
  <c r="BF169" i="55"/>
  <c r="CI162" i="55"/>
  <c r="AA124" i="55"/>
  <c r="BF124" i="55"/>
  <c r="BC122" i="55"/>
  <c r="X122" i="55"/>
  <c r="X121" i="55"/>
  <c r="BC121" i="55"/>
  <c r="X97" i="55"/>
  <c r="BC97" i="55"/>
  <c r="DO97" i="55" s="1"/>
  <c r="BC93" i="55"/>
  <c r="DO93" i="55" s="1"/>
  <c r="X93" i="55"/>
  <c r="W76" i="55"/>
  <c r="BB76" i="55"/>
  <c r="BC70" i="55"/>
  <c r="DO70" i="55" s="1"/>
  <c r="X70" i="55"/>
  <c r="X120" i="55"/>
  <c r="BC120" i="55"/>
  <c r="DO120" i="55" s="1"/>
  <c r="BF123" i="55"/>
  <c r="AA123" i="55"/>
  <c r="BB119" i="55"/>
  <c r="DN119" i="55" s="1"/>
  <c r="W119" i="55"/>
  <c r="BD71" i="55"/>
  <c r="DP71" i="55" s="1"/>
  <c r="Y71" i="55"/>
  <c r="CH116" i="55"/>
  <c r="BD117" i="55"/>
  <c r="DP117" i="55" s="1"/>
  <c r="Y117" i="55"/>
  <c r="BC74" i="55"/>
  <c r="DO74" i="55" s="1"/>
  <c r="X74" i="55"/>
  <c r="CI93" i="55"/>
  <c r="W99" i="55"/>
  <c r="BB99" i="55"/>
  <c r="X75" i="55"/>
  <c r="BC75" i="55"/>
  <c r="CI70" i="55"/>
  <c r="Y94" i="55"/>
  <c r="BD94" i="55"/>
  <c r="DP94" i="55" s="1"/>
  <c r="X118" i="55"/>
  <c r="BC118" i="55"/>
  <c r="DO118" i="55" s="1"/>
  <c r="BC98" i="55"/>
  <c r="X98" i="55"/>
  <c r="BC116" i="55"/>
  <c r="DO116" i="55" s="1"/>
  <c r="X116" i="55"/>
  <c r="AB100" i="55"/>
  <c r="BG100" i="55"/>
  <c r="CK97" i="55"/>
  <c r="BF101" i="55"/>
  <c r="AA101" i="55"/>
  <c r="AB77" i="55"/>
  <c r="BG77" i="55"/>
  <c r="BF78" i="55"/>
  <c r="AA78" i="55"/>
  <c r="BC47" i="55"/>
  <c r="DO47" i="55" s="1"/>
  <c r="X47" i="55"/>
  <c r="BC53" i="55"/>
  <c r="X53" i="55"/>
  <c r="BC49" i="55"/>
  <c r="DO49" i="55" s="1"/>
  <c r="X49" i="55"/>
  <c r="BD48" i="55"/>
  <c r="DP48" i="55" s="1"/>
  <c r="Y48" i="55"/>
  <c r="X51" i="55"/>
  <c r="BC51" i="55"/>
  <c r="DO51" i="55" s="1"/>
  <c r="BC52" i="55"/>
  <c r="X52" i="55"/>
  <c r="W50" i="55"/>
  <c r="BB50" i="55"/>
  <c r="DN50" i="55" s="1"/>
  <c r="AB54" i="55"/>
  <c r="BG54" i="55"/>
  <c r="AB55" i="55"/>
  <c r="BG55" i="55"/>
  <c r="Y28" i="55"/>
  <c r="BD28" i="55"/>
  <c r="DP28" i="55" s="1"/>
  <c r="Y29" i="55"/>
  <c r="BD29" i="55"/>
  <c r="Z32" i="55"/>
  <c r="BE32" i="55"/>
  <c r="X30" i="55"/>
  <c r="BC30" i="55"/>
  <c r="Z31" i="55"/>
  <c r="BE31" i="55"/>
  <c r="Z25" i="55"/>
  <c r="BE25" i="55"/>
  <c r="DQ25" i="55" s="1"/>
  <c r="CJ24" i="55"/>
  <c r="Y24" i="55"/>
  <c r="BE24" i="55" s="1"/>
  <c r="DQ24" i="55" s="1"/>
  <c r="X204" i="55"/>
  <c r="X205" i="55" s="1"/>
  <c r="Y3" i="55"/>
  <c r="Y247" i="53"/>
  <c r="V195" i="54"/>
  <c r="Y192" i="54"/>
  <c r="W170" i="54"/>
  <c r="V187" i="54"/>
  <c r="V173" i="54"/>
  <c r="V194" i="54"/>
  <c r="V93" i="54"/>
  <c r="W90" i="54"/>
  <c r="W92" i="54"/>
  <c r="V180" i="54"/>
  <c r="W91" i="54"/>
  <c r="V191" i="54"/>
  <c r="V184" i="54"/>
  <c r="U86" i="54"/>
  <c r="U88" i="54" s="1"/>
  <c r="V85" i="54"/>
  <c r="U87" i="54"/>
  <c r="U100" i="54" s="1"/>
  <c r="W171" i="54"/>
  <c r="U258" i="54"/>
  <c r="U179" i="54"/>
  <c r="U259" i="54" s="1"/>
  <c r="V178" i="54"/>
  <c r="W185" i="54"/>
  <c r="T96" i="54"/>
  <c r="T97" i="54"/>
  <c r="T101" i="54"/>
  <c r="T102" i="54" s="1"/>
  <c r="T95" i="54"/>
  <c r="X181" i="54"/>
  <c r="V193" i="54"/>
  <c r="W186" i="54"/>
  <c r="W174" i="54"/>
  <c r="S105" i="54"/>
  <c r="S104" i="54"/>
  <c r="S103" i="54"/>
  <c r="V175" i="54"/>
  <c r="W127" i="54"/>
  <c r="X123" i="54"/>
  <c r="W125" i="54"/>
  <c r="W196" i="54"/>
  <c r="W172" i="54"/>
  <c r="U97" i="53"/>
  <c r="U127" i="53"/>
  <c r="V185" i="53"/>
  <c r="W186" i="53"/>
  <c r="V193" i="53"/>
  <c r="V119" i="53"/>
  <c r="V121" i="53" s="1"/>
  <c r="V128" i="53" s="1"/>
  <c r="V120" i="53"/>
  <c r="X91" i="53"/>
  <c r="X194" i="53"/>
  <c r="W171" i="53"/>
  <c r="V175" i="53"/>
  <c r="X181" i="53"/>
  <c r="X191" i="53"/>
  <c r="U258" i="53"/>
  <c r="U179" i="53"/>
  <c r="U259" i="53" s="1"/>
  <c r="V178" i="53"/>
  <c r="X173" i="53"/>
  <c r="W90" i="53"/>
  <c r="V95" i="53"/>
  <c r="W86" i="53"/>
  <c r="W88" i="53" s="1"/>
  <c r="X85" i="53"/>
  <c r="W87" i="53"/>
  <c r="V96" i="53"/>
  <c r="V196" i="53"/>
  <c r="V192" i="53"/>
  <c r="V92" i="53"/>
  <c r="V97" i="53" s="1"/>
  <c r="W172" i="53"/>
  <c r="W187" i="53"/>
  <c r="X174" i="53"/>
  <c r="V170" i="53"/>
  <c r="V184" i="53"/>
  <c r="V125" i="53"/>
  <c r="W123" i="53"/>
  <c r="V180" i="53"/>
  <c r="W195" i="53"/>
  <c r="AZ45" i="51"/>
  <c r="U45" i="51"/>
  <c r="X3" i="51"/>
  <c r="D13" i="45"/>
  <c r="AJ13" i="45" s="1"/>
  <c r="AJ5" i="45"/>
  <c r="BO5" i="45" s="1"/>
  <c r="D15" i="45"/>
  <c r="AJ15" i="45" s="1"/>
  <c r="AJ7" i="45"/>
  <c r="BO7" i="45" s="1"/>
  <c r="P293" i="48"/>
  <c r="P306" i="48"/>
  <c r="O286" i="48"/>
  <c r="O303" i="48"/>
  <c r="P297" i="48"/>
  <c r="P285" i="48"/>
  <c r="O298" i="48"/>
  <c r="Q292" i="48"/>
  <c r="P308" i="48"/>
  <c r="O305" i="48"/>
  <c r="P132" i="48"/>
  <c r="N136" i="48"/>
  <c r="N137" i="48"/>
  <c r="N135" i="48"/>
  <c r="Q290" i="48"/>
  <c r="P291" i="48"/>
  <c r="P304" i="48"/>
  <c r="P287" i="48"/>
  <c r="N197" i="48"/>
  <c r="N199" i="48"/>
  <c r="O195" i="48"/>
  <c r="Q130" i="48"/>
  <c r="O133" i="48"/>
  <c r="O307" i="48"/>
  <c r="P125" i="48"/>
  <c r="O126" i="48"/>
  <c r="O128" i="48" s="1"/>
  <c r="O127" i="48"/>
  <c r="R296" i="48"/>
  <c r="P283" i="48"/>
  <c r="O299" i="48"/>
  <c r="P131" i="48"/>
  <c r="P133" i="48" s="1"/>
  <c r="P190" i="48"/>
  <c r="O191" i="48"/>
  <c r="O193" i="48" s="1"/>
  <c r="O200" i="48" s="1"/>
  <c r="O370" i="48" s="1"/>
  <c r="O192" i="48"/>
  <c r="O284" i="48"/>
  <c r="P359" i="48"/>
  <c r="O282" i="48"/>
  <c r="P303" i="46"/>
  <c r="R287" i="46"/>
  <c r="O296" i="46"/>
  <c r="N371" i="46"/>
  <c r="N136" i="46"/>
  <c r="N137" i="46"/>
  <c r="N197" i="46"/>
  <c r="N199" i="46"/>
  <c r="O195" i="46"/>
  <c r="P285" i="46"/>
  <c r="R131" i="46"/>
  <c r="K370" i="46"/>
  <c r="K371" i="46"/>
  <c r="O191" i="46"/>
  <c r="O193" i="46" s="1"/>
  <c r="O200" i="46" s="1"/>
  <c r="O370" i="46" s="1"/>
  <c r="P190" i="46"/>
  <c r="O192" i="46"/>
  <c r="O291" i="46"/>
  <c r="P290" i="46"/>
  <c r="P282" i="46"/>
  <c r="P306" i="46"/>
  <c r="O304" i="46"/>
  <c r="P307" i="46"/>
  <c r="P299" i="46"/>
  <c r="P308" i="46"/>
  <c r="L200" i="46"/>
  <c r="L199" i="46"/>
  <c r="Q298" i="46"/>
  <c r="Q283" i="46"/>
  <c r="P284" i="46"/>
  <c r="L136" i="46"/>
  <c r="L137" i="46"/>
  <c r="L135" i="46"/>
  <c r="O292" i="46"/>
  <c r="P130" i="46"/>
  <c r="O132" i="46"/>
  <c r="O133" i="46" s="1"/>
  <c r="O297" i="46"/>
  <c r="O293" i="46"/>
  <c r="O126" i="46"/>
  <c r="O128" i="46" s="1"/>
  <c r="P125" i="46"/>
  <c r="O127" i="46"/>
  <c r="O305" i="46"/>
  <c r="O286" i="46"/>
  <c r="J3" i="45"/>
  <c r="G61" i="44"/>
  <c r="F61" i="44"/>
  <c r="E61" i="44"/>
  <c r="D61" i="44"/>
  <c r="C61" i="44"/>
  <c r="D59" i="44"/>
  <c r="R20" i="7"/>
  <c r="E58" i="44"/>
  <c r="E57" i="44"/>
  <c r="D58" i="44"/>
  <c r="D56" i="44"/>
  <c r="C56" i="44"/>
  <c r="C36" i="7"/>
  <c r="CO75" i="59" l="1"/>
  <c r="CQ2" i="59"/>
  <c r="CP69" i="59"/>
  <c r="CP61" i="59"/>
  <c r="CP70" i="59"/>
  <c r="CP62" i="59"/>
  <c r="CP64" i="59"/>
  <c r="CP73" i="59"/>
  <c r="CP65" i="59"/>
  <c r="CP66" i="59"/>
  <c r="CP67" i="59"/>
  <c r="CP68" i="59"/>
  <c r="CP63" i="59"/>
  <c r="CP74" i="59"/>
  <c r="CP72" i="59"/>
  <c r="CP71" i="59"/>
  <c r="BE139" i="55"/>
  <c r="DQ139" i="55" s="1"/>
  <c r="Z139" i="55"/>
  <c r="BF140" i="55"/>
  <c r="DR140" i="55" s="1"/>
  <c r="AA140" i="55"/>
  <c r="BE144" i="55"/>
  <c r="Z144" i="55"/>
  <c r="BE143" i="55"/>
  <c r="DQ143" i="55" s="1"/>
  <c r="Z143" i="55"/>
  <c r="Y145" i="55"/>
  <c r="BD145" i="55"/>
  <c r="BH147" i="55"/>
  <c r="AC147" i="55"/>
  <c r="AD146" i="55"/>
  <c r="BI146" i="55"/>
  <c r="Y164" i="55"/>
  <c r="BD164" i="55"/>
  <c r="DP164" i="55" s="1"/>
  <c r="BC168" i="55"/>
  <c r="X168" i="55"/>
  <c r="AD170" i="55"/>
  <c r="BI170" i="55"/>
  <c r="Y165" i="55"/>
  <c r="BD165" i="55"/>
  <c r="DP165" i="55" s="1"/>
  <c r="Z163" i="55"/>
  <c r="BE163" i="55"/>
  <c r="DQ163" i="55" s="1"/>
  <c r="BD166" i="55"/>
  <c r="DP166" i="55" s="1"/>
  <c r="Y166" i="55"/>
  <c r="CJ162" i="55"/>
  <c r="Y162" i="55"/>
  <c r="BD162" i="55"/>
  <c r="DP162" i="55" s="1"/>
  <c r="AB169" i="55"/>
  <c r="BG169" i="55"/>
  <c r="BD167" i="55"/>
  <c r="Y167" i="55"/>
  <c r="BG124" i="55"/>
  <c r="AB124" i="55"/>
  <c r="Y74" i="55"/>
  <c r="BD74" i="55"/>
  <c r="DP74" i="55" s="1"/>
  <c r="BD118" i="55"/>
  <c r="DP118" i="55" s="1"/>
  <c r="Y118" i="55"/>
  <c r="Y75" i="55"/>
  <c r="BD75" i="55"/>
  <c r="BD120" i="55"/>
  <c r="DP120" i="55" s="1"/>
  <c r="Y120" i="55"/>
  <c r="Z117" i="55"/>
  <c r="BE117" i="55"/>
  <c r="DQ117" i="55" s="1"/>
  <c r="BE71" i="55"/>
  <c r="DQ71" i="55" s="1"/>
  <c r="Z71" i="55"/>
  <c r="Y70" i="55"/>
  <c r="BD70" i="55"/>
  <c r="DP70" i="55" s="1"/>
  <c r="Y122" i="55"/>
  <c r="BD122" i="55"/>
  <c r="BD116" i="55"/>
  <c r="DP116" i="55" s="1"/>
  <c r="Y116" i="55"/>
  <c r="Z94" i="55"/>
  <c r="BE94" i="55"/>
  <c r="DQ94" i="55" s="1"/>
  <c r="X99" i="55"/>
  <c r="BC99" i="55"/>
  <c r="Y97" i="55"/>
  <c r="BD97" i="55"/>
  <c r="DP97" i="55" s="1"/>
  <c r="X119" i="55"/>
  <c r="BC119" i="55"/>
  <c r="DO119" i="55" s="1"/>
  <c r="CJ70" i="55"/>
  <c r="CJ93" i="55"/>
  <c r="BD121" i="55"/>
  <c r="Y121" i="55"/>
  <c r="Y98" i="55"/>
  <c r="BD98" i="55"/>
  <c r="BG123" i="55"/>
  <c r="AB123" i="55"/>
  <c r="X76" i="55"/>
  <c r="BC76" i="55"/>
  <c r="CI116" i="55"/>
  <c r="BD93" i="55"/>
  <c r="DP93" i="55" s="1"/>
  <c r="Y93" i="55"/>
  <c r="BG101" i="55"/>
  <c r="AB101" i="55"/>
  <c r="CL97" i="55"/>
  <c r="AC100" i="55"/>
  <c r="BH100" i="55"/>
  <c r="AC77" i="55"/>
  <c r="BH77" i="55"/>
  <c r="BG78" i="55"/>
  <c r="AB78" i="55"/>
  <c r="Y53" i="55"/>
  <c r="BD53" i="55"/>
  <c r="BD52" i="55"/>
  <c r="Y52" i="55"/>
  <c r="BC50" i="55"/>
  <c r="DO50" i="55" s="1"/>
  <c r="X50" i="55"/>
  <c r="Z48" i="55"/>
  <c r="BE48" i="55"/>
  <c r="DQ48" i="55" s="1"/>
  <c r="Y51" i="55"/>
  <c r="BD51" i="55"/>
  <c r="DP51" i="55" s="1"/>
  <c r="BD47" i="55"/>
  <c r="DP47" i="55" s="1"/>
  <c r="Y47" i="55"/>
  <c r="BD49" i="55"/>
  <c r="DP49" i="55" s="1"/>
  <c r="Y49" i="55"/>
  <c r="AC54" i="55"/>
  <c r="BH54" i="55"/>
  <c r="AC55" i="55"/>
  <c r="BH55" i="55"/>
  <c r="AA25" i="55"/>
  <c r="BF25" i="55"/>
  <c r="DR25" i="55" s="1"/>
  <c r="AA31" i="55"/>
  <c r="BF31" i="55"/>
  <c r="Z29" i="55"/>
  <c r="BE29" i="55"/>
  <c r="Y30" i="55"/>
  <c r="BD30" i="55"/>
  <c r="Z28" i="55"/>
  <c r="BE28" i="55"/>
  <c r="DQ28" i="55" s="1"/>
  <c r="CK24" i="55"/>
  <c r="AA32" i="55"/>
  <c r="BF32" i="55"/>
  <c r="Z24" i="55"/>
  <c r="BF24" i="55" s="1"/>
  <c r="DR24" i="55" s="1"/>
  <c r="Y204" i="55"/>
  <c r="Z3" i="55"/>
  <c r="Z247" i="53"/>
  <c r="W191" i="54"/>
  <c r="X90" i="54"/>
  <c r="W93" i="54"/>
  <c r="X185" i="54"/>
  <c r="W195" i="54"/>
  <c r="Y181" i="54"/>
  <c r="X91" i="54"/>
  <c r="X172" i="54"/>
  <c r="W193" i="54"/>
  <c r="X171" i="54"/>
  <c r="V258" i="54"/>
  <c r="W178" i="54"/>
  <c r="V179" i="54"/>
  <c r="V259" i="54" s="1"/>
  <c r="W175" i="54"/>
  <c r="X174" i="54"/>
  <c r="W180" i="54"/>
  <c r="W173" i="54"/>
  <c r="Z192" i="54"/>
  <c r="W187" i="54"/>
  <c r="W194" i="54"/>
  <c r="X170" i="54"/>
  <c r="W184" i="54"/>
  <c r="X186" i="54"/>
  <c r="W85" i="54"/>
  <c r="V86" i="54"/>
  <c r="V88" i="54" s="1"/>
  <c r="V87" i="54"/>
  <c r="V100" i="54" s="1"/>
  <c r="X196" i="54"/>
  <c r="X125" i="54"/>
  <c r="Y123" i="54"/>
  <c r="X127" i="54"/>
  <c r="T104" i="54"/>
  <c r="T105" i="54"/>
  <c r="T103" i="54"/>
  <c r="U97" i="54"/>
  <c r="U101" i="54"/>
  <c r="U96" i="54"/>
  <c r="U95" i="54"/>
  <c r="X92" i="54"/>
  <c r="V127" i="53"/>
  <c r="X195" i="53"/>
  <c r="W196" i="53"/>
  <c r="W184" i="53"/>
  <c r="W192" i="53"/>
  <c r="W95" i="53"/>
  <c r="X90" i="53"/>
  <c r="W180" i="53"/>
  <c r="V258" i="53"/>
  <c r="W178" i="53"/>
  <c r="V179" i="53"/>
  <c r="V259" i="53" s="1"/>
  <c r="W185" i="53"/>
  <c r="X187" i="53"/>
  <c r="Y173" i="53"/>
  <c r="X171" i="53"/>
  <c r="Y194" i="53"/>
  <c r="X118" i="53"/>
  <c r="W121" i="53"/>
  <c r="W128" i="53" s="1"/>
  <c r="W120" i="53"/>
  <c r="W175" i="53"/>
  <c r="X186" i="53"/>
  <c r="W125" i="53"/>
  <c r="X123" i="53"/>
  <c r="W170" i="53"/>
  <c r="Y174" i="53"/>
  <c r="X86" i="53"/>
  <c r="X88" i="53" s="1"/>
  <c r="Y85" i="53"/>
  <c r="X87" i="53"/>
  <c r="Y181" i="53"/>
  <c r="Y91" i="53"/>
  <c r="W92" i="53"/>
  <c r="W96" i="53"/>
  <c r="Y191" i="53"/>
  <c r="X172" i="53"/>
  <c r="V93" i="53"/>
  <c r="W193" i="53"/>
  <c r="V45" i="51"/>
  <c r="Y3" i="51"/>
  <c r="BA45" i="51"/>
  <c r="P284" i="48"/>
  <c r="S296" i="48"/>
  <c r="P307" i="48"/>
  <c r="Q306" i="48"/>
  <c r="P282" i="48"/>
  <c r="P191" i="48"/>
  <c r="P193" i="48" s="1"/>
  <c r="P200" i="48" s="1"/>
  <c r="P370" i="48" s="1"/>
  <c r="Q190" i="48"/>
  <c r="P192" i="48"/>
  <c r="Q359" i="48"/>
  <c r="P299" i="48"/>
  <c r="P298" i="48"/>
  <c r="P303" i="48"/>
  <c r="Q283" i="48"/>
  <c r="R130" i="48"/>
  <c r="R290" i="48"/>
  <c r="Q291" i="48"/>
  <c r="Q132" i="48"/>
  <c r="P305" i="48"/>
  <c r="Q308" i="48"/>
  <c r="R292" i="48"/>
  <c r="Q285" i="48"/>
  <c r="O371" i="48"/>
  <c r="Q293" i="48"/>
  <c r="Q131" i="48"/>
  <c r="O136" i="48"/>
  <c r="O137" i="48"/>
  <c r="O135" i="48"/>
  <c r="P126" i="48"/>
  <c r="P128" i="48" s="1"/>
  <c r="Q125" i="48"/>
  <c r="P127" i="48"/>
  <c r="O197" i="48"/>
  <c r="O199" i="48"/>
  <c r="P195" i="48"/>
  <c r="Q287" i="48"/>
  <c r="Q304" i="48"/>
  <c r="Q297" i="48"/>
  <c r="P286" i="48"/>
  <c r="O371" i="46"/>
  <c r="Q284" i="46"/>
  <c r="R298" i="46"/>
  <c r="Q308" i="46"/>
  <c r="Q307" i="46"/>
  <c r="Q306" i="46"/>
  <c r="P191" i="46"/>
  <c r="P193" i="46" s="1"/>
  <c r="P200" i="46" s="1"/>
  <c r="P370" i="46" s="1"/>
  <c r="Q190" i="46"/>
  <c r="P192" i="46"/>
  <c r="P305" i="46"/>
  <c r="Q125" i="46"/>
  <c r="P126" i="46"/>
  <c r="P128" i="46" s="1"/>
  <c r="P135" i="46" s="1"/>
  <c r="P127" i="46"/>
  <c r="P297" i="46"/>
  <c r="P132" i="46"/>
  <c r="P133" i="46" s="1"/>
  <c r="Q130" i="46"/>
  <c r="P292" i="46"/>
  <c r="S131" i="46"/>
  <c r="O197" i="46"/>
  <c r="O199" i="46"/>
  <c r="P195" i="46"/>
  <c r="S287" i="46"/>
  <c r="P293" i="46"/>
  <c r="L370" i="46"/>
  <c r="L371" i="46"/>
  <c r="P286" i="46"/>
  <c r="O137" i="46"/>
  <c r="O136" i="46"/>
  <c r="O135" i="46"/>
  <c r="R283" i="46"/>
  <c r="Q299" i="46"/>
  <c r="P304" i="46"/>
  <c r="Q282" i="46"/>
  <c r="P291" i="46"/>
  <c r="Q290" i="46"/>
  <c r="Q285" i="46"/>
  <c r="P296" i="46"/>
  <c r="Q303" i="46"/>
  <c r="K3" i="45"/>
  <c r="CP75" i="59" l="1"/>
  <c r="CR2" i="59"/>
  <c r="CQ70" i="59"/>
  <c r="CQ62" i="59"/>
  <c r="CQ64" i="59"/>
  <c r="CQ73" i="59"/>
  <c r="CQ65" i="59"/>
  <c r="CQ66" i="59"/>
  <c r="CQ67" i="59"/>
  <c r="CQ68" i="59"/>
  <c r="CQ61" i="59"/>
  <c r="CQ69" i="59"/>
  <c r="CQ63" i="59"/>
  <c r="CQ74" i="59"/>
  <c r="CQ72" i="59"/>
  <c r="CQ71" i="59"/>
  <c r="BF144" i="55"/>
  <c r="AA144" i="55"/>
  <c r="BG140" i="55"/>
  <c r="DS140" i="55" s="1"/>
  <c r="AB140" i="55"/>
  <c r="BE145" i="55"/>
  <c r="Z145" i="55"/>
  <c r="AA143" i="55"/>
  <c r="BF143" i="55"/>
  <c r="DR143" i="55" s="1"/>
  <c r="BF139" i="55"/>
  <c r="DR139" i="55" s="1"/>
  <c r="AA139" i="55"/>
  <c r="BJ146" i="55"/>
  <c r="AE146" i="55"/>
  <c r="BI147" i="55"/>
  <c r="AD147" i="55"/>
  <c r="AC169" i="55"/>
  <c r="BH169" i="55"/>
  <c r="Z165" i="55"/>
  <c r="BE165" i="55"/>
  <c r="DQ165" i="55" s="1"/>
  <c r="CK162" i="55"/>
  <c r="AE170" i="55"/>
  <c r="BJ170" i="55"/>
  <c r="Z167" i="55"/>
  <c r="BE167" i="55"/>
  <c r="BE166" i="55"/>
  <c r="DQ166" i="55" s="1"/>
  <c r="Z166" i="55"/>
  <c r="BD168" i="55"/>
  <c r="Y168" i="55"/>
  <c r="Z162" i="55"/>
  <c r="BE162" i="55"/>
  <c r="DQ162" i="55" s="1"/>
  <c r="AA163" i="55"/>
  <c r="BF163" i="55"/>
  <c r="DR163" i="55" s="1"/>
  <c r="BE164" i="55"/>
  <c r="DQ164" i="55" s="1"/>
  <c r="Z164" i="55"/>
  <c r="AC124" i="55"/>
  <c r="BH124" i="55"/>
  <c r="Z118" i="55"/>
  <c r="BE118" i="55"/>
  <c r="DQ118" i="55" s="1"/>
  <c r="CK70" i="55"/>
  <c r="Z97" i="55"/>
  <c r="BE97" i="55"/>
  <c r="DQ97" i="55" s="1"/>
  <c r="BF117" i="55"/>
  <c r="DR117" i="55" s="1"/>
  <c r="AA117" i="55"/>
  <c r="BE93" i="55"/>
  <c r="DQ93" i="55" s="1"/>
  <c r="Z93" i="55"/>
  <c r="BE98" i="55"/>
  <c r="Z98" i="55"/>
  <c r="Z122" i="55"/>
  <c r="BE122" i="55"/>
  <c r="Z121" i="55"/>
  <c r="BE121" i="55"/>
  <c r="Y99" i="55"/>
  <c r="BD99" i="55"/>
  <c r="BE120" i="55"/>
  <c r="DQ120" i="55" s="1"/>
  <c r="Z120" i="55"/>
  <c r="Y76" i="55"/>
  <c r="BD76" i="55"/>
  <c r="Z74" i="55"/>
  <c r="BE74" i="55"/>
  <c r="DQ74" i="55" s="1"/>
  <c r="CJ116" i="55"/>
  <c r="AC123" i="55"/>
  <c r="BH123" i="55"/>
  <c r="BD119" i="55"/>
  <c r="DP119" i="55" s="1"/>
  <c r="Y119" i="55"/>
  <c r="AA94" i="55"/>
  <c r="BF94" i="55"/>
  <c r="DR94" i="55" s="1"/>
  <c r="Z70" i="55"/>
  <c r="BE70" i="55"/>
  <c r="DQ70" i="55" s="1"/>
  <c r="CK93" i="55"/>
  <c r="Z116" i="55"/>
  <c r="BE116" i="55"/>
  <c r="DQ116" i="55" s="1"/>
  <c r="AA71" i="55"/>
  <c r="BF71" i="55"/>
  <c r="DR71" i="55" s="1"/>
  <c r="BE75" i="55"/>
  <c r="Z75" i="55"/>
  <c r="CM97" i="55"/>
  <c r="AC101" i="55"/>
  <c r="BH101" i="55"/>
  <c r="AD100" i="55"/>
  <c r="BI100" i="55"/>
  <c r="AD77" i="55"/>
  <c r="BI77" i="55"/>
  <c r="AC78" i="55"/>
  <c r="BH78" i="55"/>
  <c r="Z52" i="55"/>
  <c r="BE52" i="55"/>
  <c r="BE53" i="55"/>
  <c r="Z53" i="55"/>
  <c r="Z51" i="55"/>
  <c r="BE51" i="55"/>
  <c r="DQ51" i="55" s="1"/>
  <c r="Z49" i="55"/>
  <c r="BE49" i="55"/>
  <c r="DQ49" i="55" s="1"/>
  <c r="Z47" i="55"/>
  <c r="BE47" i="55"/>
  <c r="DQ47" i="55" s="1"/>
  <c r="BF48" i="55"/>
  <c r="DR48" i="55" s="1"/>
  <c r="AA48" i="55"/>
  <c r="Y50" i="55"/>
  <c r="BD50" i="55"/>
  <c r="DP50" i="55" s="1"/>
  <c r="AD55" i="55"/>
  <c r="BI55" i="55"/>
  <c r="BI54" i="55"/>
  <c r="AD54" i="55"/>
  <c r="AB31" i="55"/>
  <c r="BG31" i="55"/>
  <c r="Z30" i="55"/>
  <c r="BE30" i="55"/>
  <c r="AB25" i="55"/>
  <c r="BG25" i="55"/>
  <c r="DS25" i="55" s="1"/>
  <c r="AB32" i="55"/>
  <c r="BG32" i="55"/>
  <c r="CL24" i="55"/>
  <c r="AA29" i="55"/>
  <c r="BF29" i="55"/>
  <c r="AA28" i="55"/>
  <c r="BF28" i="55"/>
  <c r="DR28" i="55" s="1"/>
  <c r="AA24" i="55"/>
  <c r="BG24" i="55" s="1"/>
  <c r="DS24" i="55" s="1"/>
  <c r="Z204" i="55"/>
  <c r="Z205" i="55" s="1"/>
  <c r="Y205" i="55"/>
  <c r="AA3" i="55"/>
  <c r="AA247" i="53"/>
  <c r="U104" i="54"/>
  <c r="U103" i="54"/>
  <c r="U105" i="54"/>
  <c r="Y196" i="54"/>
  <c r="X85" i="54"/>
  <c r="W87" i="54"/>
  <c r="W100" i="54" s="1"/>
  <c r="W86" i="54"/>
  <c r="W88" i="54" s="1"/>
  <c r="AA192" i="54"/>
  <c r="Y174" i="54"/>
  <c r="Y172" i="54"/>
  <c r="X195" i="54"/>
  <c r="Y186" i="54"/>
  <c r="X180" i="54"/>
  <c r="Y91" i="54"/>
  <c r="V96" i="54"/>
  <c r="V101" i="54"/>
  <c r="V102" i="54" s="1"/>
  <c r="V97" i="54"/>
  <c r="V95" i="54"/>
  <c r="X184" i="54"/>
  <c r="U102" i="54"/>
  <c r="X173" i="54"/>
  <c r="X175" i="54"/>
  <c r="W258" i="54"/>
  <c r="W179" i="54"/>
  <c r="W259" i="54" s="1"/>
  <c r="X178" i="54"/>
  <c r="Z181" i="54"/>
  <c r="Y92" i="54"/>
  <c r="X194" i="54"/>
  <c r="Y127" i="54"/>
  <c r="Z123" i="54"/>
  <c r="Y125" i="54"/>
  <c r="Y171" i="54"/>
  <c r="X93" i="54"/>
  <c r="Y90" i="54"/>
  <c r="Y170" i="54"/>
  <c r="X191" i="54"/>
  <c r="X193" i="54"/>
  <c r="X187" i="54"/>
  <c r="Y185" i="54"/>
  <c r="W127" i="53"/>
  <c r="X170" i="53"/>
  <c r="W258" i="53"/>
  <c r="W179" i="53"/>
  <c r="W259" i="53" s="1"/>
  <c r="X178" i="53"/>
  <c r="X95" i="53"/>
  <c r="Y90" i="53"/>
  <c r="Z181" i="53"/>
  <c r="Y172" i="53"/>
  <c r="X92" i="53"/>
  <c r="X93" i="53" s="1"/>
  <c r="X125" i="53"/>
  <c r="Y123" i="53"/>
  <c r="Z191" i="53"/>
  <c r="Z85" i="53"/>
  <c r="Y86" i="53"/>
  <c r="Y88" i="53" s="1"/>
  <c r="Y87" i="53"/>
  <c r="X185" i="53"/>
  <c r="X192" i="53"/>
  <c r="X196" i="53"/>
  <c r="Z91" i="53"/>
  <c r="X96" i="53"/>
  <c r="X119" i="53"/>
  <c r="X121" i="53" s="1"/>
  <c r="X128" i="53" s="1"/>
  <c r="Y118" i="53"/>
  <c r="X120" i="53"/>
  <c r="Z194" i="53"/>
  <c r="Y186" i="53"/>
  <c r="X175" i="53"/>
  <c r="Y171" i="53"/>
  <c r="X180" i="53"/>
  <c r="X193" i="53"/>
  <c r="W97" i="53"/>
  <c r="Z174" i="53"/>
  <c r="Y195" i="53"/>
  <c r="Z173" i="53"/>
  <c r="Y187" i="53"/>
  <c r="W93" i="53"/>
  <c r="X184" i="53"/>
  <c r="W45" i="51"/>
  <c r="Z3" i="51"/>
  <c r="BB45" i="51"/>
  <c r="R287" i="48"/>
  <c r="R285" i="48"/>
  <c r="R308" i="48"/>
  <c r="R132" i="48"/>
  <c r="S130" i="48"/>
  <c r="R359" i="48"/>
  <c r="Q282" i="48"/>
  <c r="R297" i="48"/>
  <c r="R291" i="48"/>
  <c r="S290" i="48"/>
  <c r="Q191" i="48"/>
  <c r="Q193" i="48" s="1"/>
  <c r="Q200" i="48" s="1"/>
  <c r="Q370" i="48" s="1"/>
  <c r="R190" i="48"/>
  <c r="Q192" i="48"/>
  <c r="T296" i="48"/>
  <c r="Q286" i="48"/>
  <c r="R304" i="48"/>
  <c r="Q126" i="48"/>
  <c r="Q128" i="48" s="1"/>
  <c r="R125" i="48"/>
  <c r="Q127" i="48"/>
  <c r="R283" i="48"/>
  <c r="Q303" i="48"/>
  <c r="Q298" i="48"/>
  <c r="Q299" i="48"/>
  <c r="P371" i="48"/>
  <c r="Q307" i="48"/>
  <c r="P197" i="48"/>
  <c r="P199" i="48"/>
  <c r="Q195" i="48"/>
  <c r="R293" i="48"/>
  <c r="P137" i="48"/>
  <c r="P136" i="48"/>
  <c r="P135" i="48"/>
  <c r="R131" i="48"/>
  <c r="R133" i="48" s="1"/>
  <c r="S292" i="48"/>
  <c r="Q305" i="48"/>
  <c r="Q371" i="48"/>
  <c r="Q133" i="48"/>
  <c r="R306" i="48"/>
  <c r="Q284" i="48"/>
  <c r="P371" i="46"/>
  <c r="R307" i="46"/>
  <c r="R290" i="46"/>
  <c r="Q291" i="46"/>
  <c r="R299" i="46"/>
  <c r="Q286" i="46"/>
  <c r="R303" i="46"/>
  <c r="R285" i="46"/>
  <c r="Q304" i="46"/>
  <c r="S283" i="46"/>
  <c r="T131" i="46"/>
  <c r="R130" i="46"/>
  <c r="Q132" i="46"/>
  <c r="Q133" i="46" s="1"/>
  <c r="R308" i="46"/>
  <c r="Q296" i="46"/>
  <c r="R282" i="46"/>
  <c r="Q293" i="46"/>
  <c r="P199" i="46"/>
  <c r="Q195" i="46"/>
  <c r="P197" i="46"/>
  <c r="T287" i="46"/>
  <c r="P136" i="46"/>
  <c r="P137" i="46"/>
  <c r="R306" i="46"/>
  <c r="Q292" i="46"/>
  <c r="Q297" i="46"/>
  <c r="Q126" i="46"/>
  <c r="Q128" i="46" s="1"/>
  <c r="Q135" i="46" s="1"/>
  <c r="R125" i="46"/>
  <c r="Q127" i="46"/>
  <c r="Q305" i="46"/>
  <c r="Q191" i="46"/>
  <c r="Q193" i="46" s="1"/>
  <c r="Q200" i="46" s="1"/>
  <c r="Q370" i="46" s="1"/>
  <c r="R190" i="46"/>
  <c r="Q192" i="46"/>
  <c r="S298" i="46"/>
  <c r="R284" i="46"/>
  <c r="L3" i="45"/>
  <c r="C28" i="44"/>
  <c r="C29" i="44" s="1"/>
  <c r="G38" i="44"/>
  <c r="G37" i="44"/>
  <c r="C39" i="44"/>
  <c r="C38" i="44"/>
  <c r="AD74" i="24"/>
  <c r="K33" i="44"/>
  <c r="K32" i="44"/>
  <c r="C24" i="44"/>
  <c r="Z13" i="44"/>
  <c r="Z12" i="44"/>
  <c r="AF7" i="44"/>
  <c r="AF8" i="44" s="1"/>
  <c r="AF17" i="44"/>
  <c r="AF18" i="44" s="1"/>
  <c r="Z7" i="44"/>
  <c r="R20" i="44"/>
  <c r="S5" i="44"/>
  <c r="K14" i="44"/>
  <c r="C18" i="44"/>
  <c r="C17" i="44"/>
  <c r="C13" i="44"/>
  <c r="C12" i="44"/>
  <c r="E34" i="44"/>
  <c r="C34" i="44"/>
  <c r="E33" i="44"/>
  <c r="AR3" i="43"/>
  <c r="AM3" i="43"/>
  <c r="AH3" i="43"/>
  <c r="AC3" i="43"/>
  <c r="X3" i="43"/>
  <c r="S3" i="43"/>
  <c r="O2" i="43"/>
  <c r="P2" i="43" s="1"/>
  <c r="Q2" i="43" s="1"/>
  <c r="R2" i="43" s="1"/>
  <c r="S2" i="43" s="1"/>
  <c r="T2" i="43" s="1"/>
  <c r="U2" i="43" s="1"/>
  <c r="V2" i="43" s="1"/>
  <c r="W2" i="43" s="1"/>
  <c r="X2" i="43" s="1"/>
  <c r="Y2" i="43" s="1"/>
  <c r="Z2" i="43" s="1"/>
  <c r="AA2" i="43" s="1"/>
  <c r="AB2" i="43" s="1"/>
  <c r="AC2" i="43" s="1"/>
  <c r="AD2" i="43" s="1"/>
  <c r="AE2" i="43" s="1"/>
  <c r="AF2" i="43" s="1"/>
  <c r="AG2" i="43" s="1"/>
  <c r="AH2" i="43" s="1"/>
  <c r="AI2" i="43" s="1"/>
  <c r="AJ2" i="43" s="1"/>
  <c r="AK2" i="43" s="1"/>
  <c r="AL2" i="43" s="1"/>
  <c r="AM2" i="43" s="1"/>
  <c r="AN2" i="43" s="1"/>
  <c r="AO2" i="43" s="1"/>
  <c r="AP2" i="43" s="1"/>
  <c r="AQ2" i="43" s="1"/>
  <c r="AR2" i="43" s="1"/>
  <c r="B21" i="43"/>
  <c r="E104" i="36"/>
  <c r="F104" i="36"/>
  <c r="G104" i="36"/>
  <c r="H104" i="36"/>
  <c r="I104" i="36"/>
  <c r="J104" i="36"/>
  <c r="K104" i="36"/>
  <c r="L104" i="36"/>
  <c r="M104" i="36"/>
  <c r="N104" i="36"/>
  <c r="O104" i="36"/>
  <c r="P104" i="36"/>
  <c r="Q104" i="36"/>
  <c r="R104" i="36"/>
  <c r="S104" i="36"/>
  <c r="T104" i="36"/>
  <c r="U104" i="36"/>
  <c r="V104" i="36"/>
  <c r="W104" i="36"/>
  <c r="X104" i="36"/>
  <c r="Y104" i="36"/>
  <c r="Z104" i="36"/>
  <c r="AA104" i="36"/>
  <c r="AB104" i="36"/>
  <c r="AC104" i="36"/>
  <c r="AD104" i="36"/>
  <c r="AE104" i="36"/>
  <c r="AF104" i="36"/>
  <c r="AG104" i="36"/>
  <c r="AH104" i="36"/>
  <c r="BN104" i="36"/>
  <c r="BM104" i="36"/>
  <c r="BL104" i="36"/>
  <c r="BK104" i="36"/>
  <c r="BJ104" i="36"/>
  <c r="BI104" i="36"/>
  <c r="BH104" i="36"/>
  <c r="BG104" i="36"/>
  <c r="BF104" i="36"/>
  <c r="BE104" i="36"/>
  <c r="BD104" i="36"/>
  <c r="BC104" i="36"/>
  <c r="BB104" i="36"/>
  <c r="BA104" i="36"/>
  <c r="AZ104" i="36"/>
  <c r="AY104" i="36"/>
  <c r="AX104" i="36"/>
  <c r="AW104" i="36"/>
  <c r="AV104" i="36"/>
  <c r="AU104" i="36"/>
  <c r="AT104" i="36"/>
  <c r="AS104" i="36"/>
  <c r="AR104" i="36"/>
  <c r="AQ104" i="36"/>
  <c r="AP104" i="36"/>
  <c r="AO104" i="36"/>
  <c r="AN104" i="36"/>
  <c r="AM104" i="36"/>
  <c r="AL104" i="36"/>
  <c r="AK104" i="36"/>
  <c r="AJ104" i="36"/>
  <c r="D104" i="36"/>
  <c r="BN95" i="36"/>
  <c r="BM95" i="36"/>
  <c r="BL95" i="36"/>
  <c r="BK95" i="36"/>
  <c r="BJ95" i="36"/>
  <c r="BI95" i="36"/>
  <c r="BH95" i="36"/>
  <c r="BG95" i="36"/>
  <c r="BF95" i="36"/>
  <c r="BE95" i="36"/>
  <c r="BD95" i="36"/>
  <c r="BC95" i="36"/>
  <c r="BB95" i="36"/>
  <c r="BA95" i="36"/>
  <c r="AZ95" i="36"/>
  <c r="AY95" i="36"/>
  <c r="AX95" i="36"/>
  <c r="AW95" i="36"/>
  <c r="AV95" i="36"/>
  <c r="AU95" i="36"/>
  <c r="AT95" i="36"/>
  <c r="AS95" i="36"/>
  <c r="AR95" i="36"/>
  <c r="AQ95" i="36"/>
  <c r="AP95" i="36"/>
  <c r="AO95" i="36"/>
  <c r="AN95" i="36"/>
  <c r="AM95" i="36"/>
  <c r="AL95" i="36"/>
  <c r="AK95" i="36"/>
  <c r="AJ95" i="36"/>
  <c r="E95" i="36"/>
  <c r="F95" i="36"/>
  <c r="G95" i="36"/>
  <c r="H95" i="36"/>
  <c r="I95" i="36"/>
  <c r="J95" i="36"/>
  <c r="K95" i="36"/>
  <c r="L95" i="36"/>
  <c r="M95" i="36"/>
  <c r="N95" i="36"/>
  <c r="O95" i="36"/>
  <c r="P95" i="36"/>
  <c r="Q95" i="36"/>
  <c r="R95" i="36"/>
  <c r="S95" i="36"/>
  <c r="T95" i="36"/>
  <c r="U95" i="36"/>
  <c r="V95" i="36"/>
  <c r="W95" i="36"/>
  <c r="X95" i="36"/>
  <c r="Y95" i="36"/>
  <c r="Z95" i="36"/>
  <c r="AA95" i="36"/>
  <c r="AB95" i="36"/>
  <c r="AC95" i="36"/>
  <c r="AD95" i="36"/>
  <c r="AE95" i="36"/>
  <c r="AF95" i="36"/>
  <c r="AG95" i="36"/>
  <c r="AH95" i="36"/>
  <c r="D95" i="36"/>
  <c r="AJ88" i="36"/>
  <c r="D88" i="36"/>
  <c r="BN82" i="36"/>
  <c r="BM82" i="36"/>
  <c r="BL82" i="36"/>
  <c r="BK82" i="36"/>
  <c r="BJ82" i="36"/>
  <c r="BI82" i="36"/>
  <c r="BH82" i="36"/>
  <c r="BG82" i="36"/>
  <c r="BF82" i="36"/>
  <c r="BE82" i="36"/>
  <c r="BD82" i="36"/>
  <c r="BC82" i="36"/>
  <c r="BB82" i="36"/>
  <c r="BA82" i="36"/>
  <c r="AZ82" i="36"/>
  <c r="AY82" i="36"/>
  <c r="AX82" i="36"/>
  <c r="AW82" i="36"/>
  <c r="AV82" i="36"/>
  <c r="AU82" i="36"/>
  <c r="AT82" i="36"/>
  <c r="AS82" i="36"/>
  <c r="AR82" i="36"/>
  <c r="AQ82" i="36"/>
  <c r="AP82" i="36"/>
  <c r="AO82" i="36"/>
  <c r="AN82" i="36"/>
  <c r="AM82" i="36"/>
  <c r="AL82" i="36"/>
  <c r="AK82" i="36"/>
  <c r="AJ82" i="36"/>
  <c r="E82" i="36"/>
  <c r="F82" i="36"/>
  <c r="G82" i="36"/>
  <c r="H82" i="36"/>
  <c r="I82" i="36"/>
  <c r="J82" i="36"/>
  <c r="K82" i="36"/>
  <c r="L82" i="36"/>
  <c r="M82" i="36"/>
  <c r="N82" i="36"/>
  <c r="O82" i="36"/>
  <c r="P82" i="36"/>
  <c r="Q82" i="36"/>
  <c r="R82" i="36"/>
  <c r="S82" i="36"/>
  <c r="T82" i="36"/>
  <c r="U82" i="36"/>
  <c r="V82" i="36"/>
  <c r="W82" i="36"/>
  <c r="X82" i="36"/>
  <c r="Y82" i="36"/>
  <c r="Z82" i="36"/>
  <c r="AA82" i="36"/>
  <c r="AB82" i="36"/>
  <c r="AC82" i="36"/>
  <c r="AD82" i="36"/>
  <c r="AE82" i="36"/>
  <c r="AF82" i="36"/>
  <c r="AG82" i="36"/>
  <c r="AH82" i="36"/>
  <c r="D82" i="36"/>
  <c r="C20" i="43" l="1"/>
  <c r="X12" i="43" s="1"/>
  <c r="C16" i="43"/>
  <c r="N7" i="43" s="1"/>
  <c r="D42" i="58" s="1"/>
  <c r="T3" i="43"/>
  <c r="CQ75" i="59"/>
  <c r="CS2" i="59"/>
  <c r="CR64" i="59"/>
  <c r="CR73" i="59"/>
  <c r="CR65" i="59"/>
  <c r="CR66" i="59"/>
  <c r="CR67" i="59"/>
  <c r="CR68" i="59"/>
  <c r="CR69" i="59"/>
  <c r="CR70" i="59"/>
  <c r="CR61" i="59"/>
  <c r="CR62" i="59"/>
  <c r="CR63" i="59"/>
  <c r="CR74" i="59"/>
  <c r="CR72" i="59"/>
  <c r="CR71" i="59"/>
  <c r="AA145" i="55"/>
  <c r="BF145" i="55"/>
  <c r="BG139" i="55"/>
  <c r="DS139" i="55" s="1"/>
  <c r="AB139" i="55"/>
  <c r="BH140" i="55"/>
  <c r="DT140" i="55" s="1"/>
  <c r="AC140" i="55"/>
  <c r="BG144" i="55"/>
  <c r="AB144" i="55"/>
  <c r="BG143" i="55"/>
  <c r="DS143" i="55" s="1"/>
  <c r="AB143" i="55"/>
  <c r="BJ147" i="55"/>
  <c r="AE147" i="55"/>
  <c r="BK146" i="55"/>
  <c r="AF146" i="55"/>
  <c r="AA162" i="55"/>
  <c r="BF162" i="55"/>
  <c r="DR162" i="55" s="1"/>
  <c r="AA167" i="55"/>
  <c r="BF167" i="55"/>
  <c r="AF170" i="55"/>
  <c r="BK170" i="55"/>
  <c r="BF164" i="55"/>
  <c r="DR164" i="55" s="1"/>
  <c r="AA164" i="55"/>
  <c r="Z168" i="55"/>
  <c r="BE168" i="55"/>
  <c r="AA165" i="55"/>
  <c r="BF165" i="55"/>
  <c r="DR165" i="55" s="1"/>
  <c r="AA166" i="55"/>
  <c r="BF166" i="55"/>
  <c r="DR166" i="55" s="1"/>
  <c r="AD169" i="55"/>
  <c r="BI169" i="55"/>
  <c r="AB163" i="55"/>
  <c r="BG163" i="55"/>
  <c r="DS163" i="55" s="1"/>
  <c r="CL162" i="55"/>
  <c r="BI124" i="55"/>
  <c r="AD124" i="55"/>
  <c r="Z119" i="55"/>
  <c r="BE119" i="55"/>
  <c r="DQ119" i="55" s="1"/>
  <c r="Z99" i="55"/>
  <c r="BE99" i="55"/>
  <c r="AA98" i="55"/>
  <c r="BF98" i="55"/>
  <c r="BG117" i="55"/>
  <c r="DS117" i="55" s="1"/>
  <c r="AB117" i="55"/>
  <c r="BF75" i="55"/>
  <c r="AA75" i="55"/>
  <c r="CL93" i="55"/>
  <c r="Z76" i="55"/>
  <c r="BE76" i="55"/>
  <c r="AA121" i="55"/>
  <c r="BF121" i="55"/>
  <c r="BF118" i="55"/>
  <c r="DR118" i="55" s="1"/>
  <c r="AA118" i="55"/>
  <c r="BI123" i="55"/>
  <c r="AD123" i="55"/>
  <c r="AA70" i="55"/>
  <c r="BF70" i="55"/>
  <c r="DR70" i="55" s="1"/>
  <c r="CK116" i="55"/>
  <c r="BF120" i="55"/>
  <c r="DR120" i="55" s="1"/>
  <c r="AA120" i="55"/>
  <c r="AA93" i="55"/>
  <c r="BF93" i="55"/>
  <c r="DR93" i="55" s="1"/>
  <c r="AA97" i="55"/>
  <c r="BF97" i="55"/>
  <c r="DR97" i="55" s="1"/>
  <c r="AB71" i="55"/>
  <c r="BG71" i="55"/>
  <c r="DS71" i="55" s="1"/>
  <c r="AA122" i="55"/>
  <c r="BF122" i="55"/>
  <c r="CL70" i="55"/>
  <c r="AA116" i="55"/>
  <c r="BF116" i="55"/>
  <c r="DR116" i="55" s="1"/>
  <c r="BG94" i="55"/>
  <c r="DS94" i="55" s="1"/>
  <c r="AB94" i="55"/>
  <c r="BF74" i="55"/>
  <c r="DR74" i="55" s="1"/>
  <c r="AA74" i="55"/>
  <c r="AE100" i="55"/>
  <c r="BJ100" i="55"/>
  <c r="AD101" i="55"/>
  <c r="BI101" i="55"/>
  <c r="CN97" i="55"/>
  <c r="AD78" i="55"/>
  <c r="BI78" i="55"/>
  <c r="AE77" i="55"/>
  <c r="BJ77" i="55"/>
  <c r="AA49" i="55"/>
  <c r="BF49" i="55"/>
  <c r="DR49" i="55" s="1"/>
  <c r="BE50" i="55"/>
  <c r="DQ50" i="55" s="1"/>
  <c r="Z50" i="55"/>
  <c r="AB48" i="55"/>
  <c r="BG48" i="55"/>
  <c r="DS48" i="55" s="1"/>
  <c r="AA51" i="55"/>
  <c r="BF51" i="55"/>
  <c r="DR51" i="55" s="1"/>
  <c r="AA52" i="55"/>
  <c r="BF52" i="55"/>
  <c r="BF53" i="55"/>
  <c r="AA53" i="55"/>
  <c r="AA47" i="55"/>
  <c r="BF47" i="55"/>
  <c r="DR47" i="55" s="1"/>
  <c r="BJ54" i="55"/>
  <c r="AE54" i="55"/>
  <c r="AE55" i="55"/>
  <c r="BJ55" i="55"/>
  <c r="AC25" i="55"/>
  <c r="BH25" i="55"/>
  <c r="DT25" i="55" s="1"/>
  <c r="AB28" i="55"/>
  <c r="BG28" i="55"/>
  <c r="DS28" i="55" s="1"/>
  <c r="AB29" i="55"/>
  <c r="BG29" i="55"/>
  <c r="AC31" i="55"/>
  <c r="BH31" i="55"/>
  <c r="CM24" i="55"/>
  <c r="AA30" i="55"/>
  <c r="BF30" i="55"/>
  <c r="AC32" i="55"/>
  <c r="BH32" i="55"/>
  <c r="AB24" i="55"/>
  <c r="BH24" i="55" s="1"/>
  <c r="DT24" i="55" s="1"/>
  <c r="AA204" i="55"/>
  <c r="AA205" i="55" s="1"/>
  <c r="AB3" i="55"/>
  <c r="AB247" i="53"/>
  <c r="X97" i="53"/>
  <c r="Z171" i="54"/>
  <c r="Y184" i="54"/>
  <c r="AA181" i="54"/>
  <c r="W97" i="54"/>
  <c r="W101" i="54"/>
  <c r="W102" i="54" s="1"/>
  <c r="W96" i="54"/>
  <c r="W95" i="54"/>
  <c r="Y193" i="54"/>
  <c r="Y85" i="54"/>
  <c r="X86" i="54"/>
  <c r="X88" i="54" s="1"/>
  <c r="X87" i="54"/>
  <c r="X100" i="54" s="1"/>
  <c r="Y187" i="54"/>
  <c r="Z90" i="54"/>
  <c r="Y93" i="54"/>
  <c r="Y194" i="54"/>
  <c r="X258" i="54"/>
  <c r="Y178" i="54"/>
  <c r="X179" i="54"/>
  <c r="X259" i="54" s="1"/>
  <c r="Y180" i="54"/>
  <c r="Y175" i="54"/>
  <c r="Z174" i="54"/>
  <c r="Z196" i="54"/>
  <c r="Z186" i="54"/>
  <c r="Z92" i="54"/>
  <c r="Y191" i="54"/>
  <c r="Y173" i="54"/>
  <c r="Z172" i="54"/>
  <c r="AB192" i="54"/>
  <c r="Z185" i="54"/>
  <c r="Z170" i="54"/>
  <c r="AA123" i="54"/>
  <c r="Z125" i="54"/>
  <c r="Z127" i="54"/>
  <c r="V105" i="54"/>
  <c r="V104" i="54"/>
  <c r="V103" i="54"/>
  <c r="Z91" i="54"/>
  <c r="Y195" i="54"/>
  <c r="AA191" i="53"/>
  <c r="AA181" i="53"/>
  <c r="Z171" i="53"/>
  <c r="Y95" i="53"/>
  <c r="Z90" i="53"/>
  <c r="X258" i="53"/>
  <c r="Y178" i="53"/>
  <c r="X179" i="53"/>
  <c r="X259" i="53" s="1"/>
  <c r="Z187" i="53"/>
  <c r="Y170" i="53"/>
  <c r="AA174" i="53"/>
  <c r="Y175" i="53"/>
  <c r="AA194" i="53"/>
  <c r="AA173" i="53"/>
  <c r="Y193" i="53"/>
  <c r="AA91" i="53"/>
  <c r="Z195" i="53"/>
  <c r="Z186" i="53"/>
  <c r="Y185" i="53"/>
  <c r="Y96" i="53"/>
  <c r="Z172" i="53"/>
  <c r="Y184" i="53"/>
  <c r="Y180" i="53"/>
  <c r="Z118" i="53"/>
  <c r="Y119" i="53"/>
  <c r="Y121" i="53" s="1"/>
  <c r="Y128" i="53" s="1"/>
  <c r="Y120" i="53"/>
  <c r="Y196" i="53"/>
  <c r="Z86" i="53"/>
  <c r="Z88" i="53" s="1"/>
  <c r="AA85" i="53"/>
  <c r="Z87" i="53"/>
  <c r="X127" i="53"/>
  <c r="Y192" i="53"/>
  <c r="Z123" i="53"/>
  <c r="Y125" i="53"/>
  <c r="Y92" i="53"/>
  <c r="AA3" i="51"/>
  <c r="X45" i="51"/>
  <c r="BC45" i="51"/>
  <c r="T19" i="43"/>
  <c r="T17" i="43"/>
  <c r="J6" i="45" s="1"/>
  <c r="T16" i="43"/>
  <c r="J5" i="45" s="1"/>
  <c r="T21" i="43"/>
  <c r="T20" i="43"/>
  <c r="AH17" i="43"/>
  <c r="AH19" i="43"/>
  <c r="AH16" i="43"/>
  <c r="X5" i="45" s="1"/>
  <c r="AH21" i="43"/>
  <c r="AH20" i="43"/>
  <c r="AM16" i="43"/>
  <c r="AC5" i="45" s="1"/>
  <c r="AM21" i="43"/>
  <c r="AM20" i="43"/>
  <c r="AM19" i="43"/>
  <c r="AM17" i="43"/>
  <c r="AT3" i="43"/>
  <c r="L77" i="44" s="1"/>
  <c r="AR19" i="43"/>
  <c r="AR21" i="43"/>
  <c r="AR20" i="43"/>
  <c r="AR17" i="43"/>
  <c r="AH6" i="45" s="1"/>
  <c r="AR16" i="43"/>
  <c r="AH5" i="45" s="1"/>
  <c r="S19" i="43"/>
  <c r="S17" i="43"/>
  <c r="S16" i="43"/>
  <c r="I5" i="45" s="1"/>
  <c r="S21" i="43"/>
  <c r="S20" i="43"/>
  <c r="X16" i="43"/>
  <c r="N5" i="45" s="1"/>
  <c r="X21" i="43"/>
  <c r="X20" i="43"/>
  <c r="X19" i="43"/>
  <c r="X17" i="43"/>
  <c r="N6" i="45" s="1"/>
  <c r="Y3" i="43"/>
  <c r="AC20" i="43"/>
  <c r="AC19" i="43"/>
  <c r="AC17" i="43"/>
  <c r="AC16" i="43"/>
  <c r="S5" i="45" s="1"/>
  <c r="AC21" i="43"/>
  <c r="R298" i="48"/>
  <c r="Q136" i="48"/>
  <c r="Q137" i="48"/>
  <c r="Q135" i="48"/>
  <c r="T290" i="48"/>
  <c r="S291" i="48"/>
  <c r="S308" i="48"/>
  <c r="S283" i="48"/>
  <c r="S125" i="48"/>
  <c r="R126" i="48"/>
  <c r="R128" i="48" s="1"/>
  <c r="R127" i="48"/>
  <c r="R286" i="48"/>
  <c r="R282" i="48"/>
  <c r="S306" i="48"/>
  <c r="R307" i="48"/>
  <c r="R299" i="48"/>
  <c r="R303" i="48"/>
  <c r="S297" i="48"/>
  <c r="S304" i="48"/>
  <c r="R191" i="48"/>
  <c r="R193" i="48" s="1"/>
  <c r="R200" i="48" s="1"/>
  <c r="R370" i="48" s="1"/>
  <c r="S190" i="48"/>
  <c r="R192" i="48"/>
  <c r="S287" i="48"/>
  <c r="R305" i="48"/>
  <c r="S131" i="48"/>
  <c r="S293" i="48"/>
  <c r="R284" i="48"/>
  <c r="T292" i="48"/>
  <c r="Q199" i="48"/>
  <c r="R195" i="48"/>
  <c r="Q197" i="48"/>
  <c r="U296" i="48"/>
  <c r="S359" i="48"/>
  <c r="T130" i="48"/>
  <c r="S132" i="48"/>
  <c r="S285" i="48"/>
  <c r="S190" i="46"/>
  <c r="R191" i="46"/>
  <c r="R193" i="46" s="1"/>
  <c r="R200" i="46" s="1"/>
  <c r="R370" i="46" s="1"/>
  <c r="R192" i="46"/>
  <c r="S308" i="46"/>
  <c r="T283" i="46"/>
  <c r="S290" i="46"/>
  <c r="R291" i="46"/>
  <c r="S307" i="46"/>
  <c r="S282" i="46"/>
  <c r="S303" i="46"/>
  <c r="R286" i="46"/>
  <c r="S299" i="46"/>
  <c r="R292" i="46"/>
  <c r="S306" i="46"/>
  <c r="U287" i="46"/>
  <c r="S284" i="46"/>
  <c r="R305" i="46"/>
  <c r="Q136" i="46"/>
  <c r="Q137" i="46"/>
  <c r="Q197" i="46"/>
  <c r="Q199" i="46"/>
  <c r="R195" i="46"/>
  <c r="U131" i="46"/>
  <c r="R304" i="46"/>
  <c r="T298" i="46"/>
  <c r="R293" i="46"/>
  <c r="R126" i="46"/>
  <c r="R128" i="46" s="1"/>
  <c r="R135" i="46" s="1"/>
  <c r="S125" i="46"/>
  <c r="R127" i="46"/>
  <c r="R297" i="46"/>
  <c r="R296" i="46"/>
  <c r="R132" i="46"/>
  <c r="S130" i="46"/>
  <c r="S285" i="46"/>
  <c r="Q371" i="46"/>
  <c r="K7" i="44"/>
  <c r="AH4" i="45"/>
  <c r="J4" i="45"/>
  <c r="I4" i="45"/>
  <c r="X4" i="45"/>
  <c r="S4" i="45"/>
  <c r="N4" i="45"/>
  <c r="AC4" i="45"/>
  <c r="M3" i="45"/>
  <c r="N12" i="43"/>
  <c r="AG7" i="44" s="1"/>
  <c r="AG6" i="44" s="1"/>
  <c r="AD3" i="43"/>
  <c r="Y12" i="43"/>
  <c r="T12" i="43"/>
  <c r="AH12" i="43"/>
  <c r="AC12" i="43"/>
  <c r="AN3" i="43"/>
  <c r="AM12" i="43"/>
  <c r="AR12" i="43"/>
  <c r="U3" i="43"/>
  <c r="AI3" i="43"/>
  <c r="S12" i="43"/>
  <c r="G39" i="44"/>
  <c r="H37" i="44" s="1"/>
  <c r="C30" i="44"/>
  <c r="C19" i="44"/>
  <c r="C40" i="44"/>
  <c r="D39" i="44" s="1"/>
  <c r="R19" i="44"/>
  <c r="Z15" i="44"/>
  <c r="Z16" i="44" s="1"/>
  <c r="C14" i="44"/>
  <c r="K8" i="44"/>
  <c r="D60" i="44"/>
  <c r="C19" i="43"/>
  <c r="AR11" i="43" s="1"/>
  <c r="C17" i="43"/>
  <c r="N8" i="43" s="1"/>
  <c r="D47" i="58" s="1"/>
  <c r="C18" i="43"/>
  <c r="AR10" i="43" s="1"/>
  <c r="I12" i="43"/>
  <c r="E12" i="43"/>
  <c r="H12" i="43"/>
  <c r="C12" i="43"/>
  <c r="G12" i="43"/>
  <c r="B12" i="43"/>
  <c r="J12" i="43"/>
  <c r="F12" i="43"/>
  <c r="AR7" i="43" l="1"/>
  <c r="AH42" i="58" s="1"/>
  <c r="S133" i="48"/>
  <c r="D6" i="61"/>
  <c r="AJ47" i="58"/>
  <c r="B6" i="60"/>
  <c r="O6" i="44"/>
  <c r="M7" i="44"/>
  <c r="S6" i="45"/>
  <c r="AY6" i="45" s="1"/>
  <c r="AG4" i="44"/>
  <c r="I6" i="45"/>
  <c r="AO6" i="45" s="1"/>
  <c r="AC6" i="45"/>
  <c r="BI6" i="45" s="1"/>
  <c r="E5" i="61"/>
  <c r="BN42" i="58"/>
  <c r="X18" i="43"/>
  <c r="N7" i="45" s="1"/>
  <c r="X6" i="45"/>
  <c r="BD6" i="45" s="1"/>
  <c r="D5" i="61"/>
  <c r="B7" i="60"/>
  <c r="AJ42" i="58"/>
  <c r="H38" i="44"/>
  <c r="CT2" i="59"/>
  <c r="CS64" i="59"/>
  <c r="CS73" i="59"/>
  <c r="CS65" i="59"/>
  <c r="CS66" i="59"/>
  <c r="CS67" i="59"/>
  <c r="CS68" i="59"/>
  <c r="CS69" i="59"/>
  <c r="CS61" i="59"/>
  <c r="CS70" i="59"/>
  <c r="CS62" i="59"/>
  <c r="CS63" i="59"/>
  <c r="CS74" i="59"/>
  <c r="CS72" i="59"/>
  <c r="CS71" i="59"/>
  <c r="CR75" i="59"/>
  <c r="BI140" i="55"/>
  <c r="DU140" i="55" s="1"/>
  <c r="AD140" i="55"/>
  <c r="AC139" i="55"/>
  <c r="BH139" i="55"/>
  <c r="DT139" i="55" s="1"/>
  <c r="AC143" i="55"/>
  <c r="BH143" i="55"/>
  <c r="DT143" i="55" s="1"/>
  <c r="BH144" i="55"/>
  <c r="AC144" i="55"/>
  <c r="BG145" i="55"/>
  <c r="AB145" i="55"/>
  <c r="BK147" i="55"/>
  <c r="AF147" i="55"/>
  <c r="AG146" i="55"/>
  <c r="BM146" i="55" s="1"/>
  <c r="BL146" i="55"/>
  <c r="AC163" i="55"/>
  <c r="BH163" i="55"/>
  <c r="DT163" i="55" s="1"/>
  <c r="AB165" i="55"/>
  <c r="BG165" i="55"/>
  <c r="DS165" i="55" s="1"/>
  <c r="BJ169" i="55"/>
  <c r="AE169" i="55"/>
  <c r="BF168" i="55"/>
  <c r="AA168" i="55"/>
  <c r="AB167" i="55"/>
  <c r="BG167" i="55"/>
  <c r="BG164" i="55"/>
  <c r="DS164" i="55" s="1"/>
  <c r="AB164" i="55"/>
  <c r="AB166" i="55"/>
  <c r="BG166" i="55"/>
  <c r="DS166" i="55" s="1"/>
  <c r="BG162" i="55"/>
  <c r="DS162" i="55" s="1"/>
  <c r="AB162" i="55"/>
  <c r="CM162" i="55"/>
  <c r="AG170" i="55"/>
  <c r="BM170" i="55" s="1"/>
  <c r="BL170" i="55"/>
  <c r="AE124" i="55"/>
  <c r="BJ124" i="55"/>
  <c r="BH71" i="55"/>
  <c r="DT71" i="55" s="1"/>
  <c r="AC71" i="55"/>
  <c r="CL116" i="55"/>
  <c r="BH94" i="55"/>
  <c r="DT94" i="55" s="1"/>
  <c r="AC94" i="55"/>
  <c r="CM93" i="55"/>
  <c r="CM70" i="55"/>
  <c r="AB97" i="55"/>
  <c r="BG97" i="55"/>
  <c r="DS97" i="55" s="1"/>
  <c r="BG118" i="55"/>
  <c r="DS118" i="55" s="1"/>
  <c r="AB118" i="55"/>
  <c r="AB75" i="55"/>
  <c r="BG75" i="55"/>
  <c r="AB70" i="55"/>
  <c r="BG70" i="55"/>
  <c r="DS70" i="55" s="1"/>
  <c r="AB98" i="55"/>
  <c r="BG98" i="55"/>
  <c r="BG116" i="55"/>
  <c r="DS116" i="55" s="1"/>
  <c r="AB116" i="55"/>
  <c r="AC117" i="55"/>
  <c r="BH117" i="55"/>
  <c r="DT117" i="55" s="1"/>
  <c r="AB93" i="55"/>
  <c r="BG93" i="55"/>
  <c r="DS93" i="55" s="1"/>
  <c r="BG121" i="55"/>
  <c r="AB121" i="55"/>
  <c r="AA99" i="55"/>
  <c r="BF99" i="55"/>
  <c r="BG122" i="55"/>
  <c r="AB122" i="55"/>
  <c r="BG120" i="55"/>
  <c r="DS120" i="55" s="1"/>
  <c r="AB120" i="55"/>
  <c r="AB74" i="55"/>
  <c r="BG74" i="55"/>
  <c r="DS74" i="55" s="1"/>
  <c r="AE123" i="55"/>
  <c r="BJ123" i="55"/>
  <c r="AA76" i="55"/>
  <c r="BF76" i="55"/>
  <c r="AA119" i="55"/>
  <c r="BF119" i="55"/>
  <c r="DR119" i="55" s="1"/>
  <c r="AE101" i="55"/>
  <c r="BJ101" i="55"/>
  <c r="BK100" i="55"/>
  <c r="AF100" i="55"/>
  <c r="CO97" i="55"/>
  <c r="BK77" i="55"/>
  <c r="AF77" i="55"/>
  <c r="AE78" i="55"/>
  <c r="BJ78" i="55"/>
  <c r="BG47" i="55"/>
  <c r="DS47" i="55" s="1"/>
  <c r="AB47" i="55"/>
  <c r="BF50" i="55"/>
  <c r="DR50" i="55" s="1"/>
  <c r="AA50" i="55"/>
  <c r="AB51" i="55"/>
  <c r="BG51" i="55"/>
  <c r="DS51" i="55" s="1"/>
  <c r="AB49" i="55"/>
  <c r="BG49" i="55"/>
  <c r="DS49" i="55" s="1"/>
  <c r="BG53" i="55"/>
  <c r="AB53" i="55"/>
  <c r="BH48" i="55"/>
  <c r="DT48" i="55" s="1"/>
  <c r="AC48" i="55"/>
  <c r="AB52" i="55"/>
  <c r="BG52" i="55"/>
  <c r="AF55" i="55"/>
  <c r="BK55" i="55"/>
  <c r="BK54" i="55"/>
  <c r="AF54" i="55"/>
  <c r="AC28" i="55"/>
  <c r="BH28" i="55"/>
  <c r="DT28" i="55" s="1"/>
  <c r="AD32" i="55"/>
  <c r="BI32" i="55"/>
  <c r="AB30" i="55"/>
  <c r="BG30" i="55"/>
  <c r="CN24" i="55"/>
  <c r="AD25" i="55"/>
  <c r="BI25" i="55"/>
  <c r="DU25" i="55" s="1"/>
  <c r="AD31" i="55"/>
  <c r="BI31" i="55"/>
  <c r="AC29" i="55"/>
  <c r="BH29" i="55"/>
  <c r="AC24" i="55"/>
  <c r="BI24" i="55" s="1"/>
  <c r="DU24" i="55" s="1"/>
  <c r="AB204" i="55"/>
  <c r="AB205" i="55" s="1"/>
  <c r="AC3" i="55"/>
  <c r="BD4" i="45"/>
  <c r="W5" i="52"/>
  <c r="AO4" i="45"/>
  <c r="H5" i="52"/>
  <c r="AP4" i="45"/>
  <c r="I5" i="52"/>
  <c r="CA21" i="45"/>
  <c r="AG5" i="52"/>
  <c r="BI4" i="45"/>
  <c r="AB5" i="52"/>
  <c r="AT4" i="45"/>
  <c r="M5" i="52"/>
  <c r="AY4" i="45"/>
  <c r="R5" i="52"/>
  <c r="AC247" i="53"/>
  <c r="Z180" i="54"/>
  <c r="AA91" i="54"/>
  <c r="AA196" i="54"/>
  <c r="Z193" i="54"/>
  <c r="AB181" i="54"/>
  <c r="Z184" i="54"/>
  <c r="AB123" i="54"/>
  <c r="AA125" i="54"/>
  <c r="AA127" i="54"/>
  <c r="AC192" i="54"/>
  <c r="Z173" i="54"/>
  <c r="AA170" i="54"/>
  <c r="AA174" i="54"/>
  <c r="Y258" i="54"/>
  <c r="Z178" i="54"/>
  <c r="Y179" i="54"/>
  <c r="Y259" i="54" s="1"/>
  <c r="Z175" i="54"/>
  <c r="Z93" i="54"/>
  <c r="AA90" i="54"/>
  <c r="AA171" i="54"/>
  <c r="W105" i="54"/>
  <c r="W103" i="54"/>
  <c r="W104" i="54"/>
  <c r="AA185" i="54"/>
  <c r="Z191" i="54"/>
  <c r="Z187" i="54"/>
  <c r="X96" i="54"/>
  <c r="X97" i="54"/>
  <c r="X101" i="54"/>
  <c r="X95" i="54"/>
  <c r="Z195" i="54"/>
  <c r="AA172" i="54"/>
  <c r="AA92" i="54"/>
  <c r="AA186" i="54"/>
  <c r="Z194" i="54"/>
  <c r="Z85" i="54"/>
  <c r="Y86" i="54"/>
  <c r="Y88" i="54" s="1"/>
  <c r="Y87" i="54"/>
  <c r="Y100" i="54" s="1"/>
  <c r="Y127" i="53"/>
  <c r="Z180" i="53"/>
  <c r="AB91" i="53"/>
  <c r="AB194" i="53"/>
  <c r="AB181" i="53"/>
  <c r="AB191" i="53"/>
  <c r="Z119" i="53"/>
  <c r="Z121" i="53" s="1"/>
  <c r="Z128" i="53" s="1"/>
  <c r="AA118" i="53"/>
  <c r="Z120" i="53"/>
  <c r="Z185" i="53"/>
  <c r="Z170" i="53"/>
  <c r="Z92" i="53"/>
  <c r="Z97" i="53" s="1"/>
  <c r="AA186" i="53"/>
  <c r="Z175" i="53"/>
  <c r="Y93" i="53"/>
  <c r="AA171" i="53"/>
  <c r="AB85" i="53"/>
  <c r="AA86" i="53"/>
  <c r="AA88" i="53" s="1"/>
  <c r="AA87" i="53"/>
  <c r="AA172" i="53"/>
  <c r="AB173" i="53"/>
  <c r="AA187" i="53"/>
  <c r="Z95" i="53"/>
  <c r="AA90" i="53"/>
  <c r="Z192" i="53"/>
  <c r="Z96" i="53"/>
  <c r="Z184" i="53"/>
  <c r="AB174" i="53"/>
  <c r="Z196" i="53"/>
  <c r="AA123" i="53"/>
  <c r="Z125" i="53"/>
  <c r="Y258" i="53"/>
  <c r="Y179" i="53"/>
  <c r="Y259" i="53" s="1"/>
  <c r="Z178" i="53"/>
  <c r="Y97" i="53"/>
  <c r="AA195" i="53"/>
  <c r="Z193" i="53"/>
  <c r="BD45" i="51"/>
  <c r="AB3" i="51"/>
  <c r="Y45" i="51"/>
  <c r="Y17" i="43"/>
  <c r="Y16" i="43"/>
  <c r="O5" i="45" s="1"/>
  <c r="Y21" i="43"/>
  <c r="Y20" i="43"/>
  <c r="Y19" i="43"/>
  <c r="I13" i="45"/>
  <c r="AO13" i="45" s="1"/>
  <c r="AO5" i="45"/>
  <c r="L96" i="44"/>
  <c r="L85" i="44"/>
  <c r="L73" i="44"/>
  <c r="L95" i="44"/>
  <c r="L84" i="44"/>
  <c r="L74" i="44"/>
  <c r="L94" i="44"/>
  <c r="L83" i="44"/>
  <c r="L75" i="44"/>
  <c r="L93" i="44"/>
  <c r="L82" i="44"/>
  <c r="L76" i="44"/>
  <c r="L92" i="44"/>
  <c r="L81" i="44"/>
  <c r="F5" i="4" s="1"/>
  <c r="L70" i="44"/>
  <c r="L91" i="44"/>
  <c r="G5" i="4" s="1"/>
  <c r="L80" i="44"/>
  <c r="L90" i="44"/>
  <c r="L71" i="44"/>
  <c r="E5" i="4" s="1"/>
  <c r="L87" i="44"/>
  <c r="L97" i="44" s="1"/>
  <c r="L86" i="44"/>
  <c r="L72" i="44"/>
  <c r="BD5" i="45"/>
  <c r="X13" i="45"/>
  <c r="BD13" i="45" s="1"/>
  <c r="AI19" i="43"/>
  <c r="AI17" i="43"/>
  <c r="AI16" i="43"/>
  <c r="Y5" i="45" s="1"/>
  <c r="AI21" i="43"/>
  <c r="AI20" i="43"/>
  <c r="X22" i="43"/>
  <c r="AT6" i="45"/>
  <c r="U20" i="43"/>
  <c r="U19" i="43"/>
  <c r="U17" i="43"/>
  <c r="U16" i="43"/>
  <c r="K5" i="45" s="1"/>
  <c r="U21" i="43"/>
  <c r="AD20" i="43"/>
  <c r="AD16" i="43"/>
  <c r="T5" i="45" s="1"/>
  <c r="AD19" i="43"/>
  <c r="AD21" i="43"/>
  <c r="AD17" i="43"/>
  <c r="AT7" i="45"/>
  <c r="N15" i="45"/>
  <c r="AT15" i="45" s="1"/>
  <c r="BN5" i="45"/>
  <c r="AH13" i="45"/>
  <c r="BN13" i="45" s="1"/>
  <c r="AM18" i="43"/>
  <c r="AC7" i="45" s="1"/>
  <c r="Z3" i="43"/>
  <c r="BN6" i="45"/>
  <c r="AN16" i="43"/>
  <c r="AD5" i="45" s="1"/>
  <c r="AN21" i="43"/>
  <c r="AN17" i="43"/>
  <c r="AD6" i="45" s="1"/>
  <c r="AN20" i="43"/>
  <c r="AN19" i="43"/>
  <c r="O4" i="45"/>
  <c r="AT5" i="45"/>
  <c r="N13" i="45"/>
  <c r="AT13" i="45" s="1"/>
  <c r="AC13" i="45"/>
  <c r="BI13" i="45" s="1"/>
  <c r="BI5" i="45"/>
  <c r="AP5" i="45"/>
  <c r="J13" i="45"/>
  <c r="AP13" i="45" s="1"/>
  <c r="AC18" i="43"/>
  <c r="S7" i="45" s="1"/>
  <c r="S18" i="43"/>
  <c r="I7" i="45" s="1"/>
  <c r="AH18" i="43"/>
  <c r="X7" i="45" s="1"/>
  <c r="AP6" i="45"/>
  <c r="AR18" i="43"/>
  <c r="AH7" i="45" s="1"/>
  <c r="T18" i="43"/>
  <c r="J7" i="45" s="1"/>
  <c r="T132" i="48"/>
  <c r="U292" i="48"/>
  <c r="T293" i="48"/>
  <c r="S305" i="48"/>
  <c r="T190" i="48"/>
  <c r="S191" i="48"/>
  <c r="S193" i="48" s="1"/>
  <c r="S200" i="48" s="1"/>
  <c r="S370" i="48" s="1"/>
  <c r="S192" i="48"/>
  <c r="T297" i="48"/>
  <c r="S303" i="48"/>
  <c r="S307" i="48"/>
  <c r="T306" i="48"/>
  <c r="R136" i="48"/>
  <c r="R137" i="48"/>
  <c r="R135" i="48"/>
  <c r="U130" i="48"/>
  <c r="S286" i="48"/>
  <c r="S126" i="48"/>
  <c r="S128" i="48" s="1"/>
  <c r="T125" i="48"/>
  <c r="S127" i="48"/>
  <c r="T285" i="48"/>
  <c r="V296" i="48"/>
  <c r="R197" i="48"/>
  <c r="R199" i="48"/>
  <c r="S195" i="48"/>
  <c r="S284" i="48"/>
  <c r="T131" i="48"/>
  <c r="T133" i="48" s="1"/>
  <c r="T287" i="48"/>
  <c r="T304" i="48"/>
  <c r="S299" i="48"/>
  <c r="T283" i="48"/>
  <c r="T359" i="48"/>
  <c r="R371" i="48"/>
  <c r="S282" i="48"/>
  <c r="T308" i="48"/>
  <c r="T291" i="48"/>
  <c r="U290" i="48"/>
  <c r="S298" i="48"/>
  <c r="R371" i="46"/>
  <c r="T130" i="46"/>
  <c r="R136" i="46"/>
  <c r="R137" i="46"/>
  <c r="S304" i="46"/>
  <c r="T307" i="46"/>
  <c r="T308" i="46"/>
  <c r="S191" i="46"/>
  <c r="S193" i="46" s="1"/>
  <c r="S200" i="46" s="1"/>
  <c r="T190" i="46"/>
  <c r="S192" i="46"/>
  <c r="S132" i="46"/>
  <c r="S293" i="46"/>
  <c r="S305" i="46"/>
  <c r="T284" i="46"/>
  <c r="T306" i="46"/>
  <c r="T299" i="46"/>
  <c r="S286" i="46"/>
  <c r="R133" i="46"/>
  <c r="V131" i="46"/>
  <c r="R197" i="46"/>
  <c r="R199" i="46"/>
  <c r="S195" i="46"/>
  <c r="T282" i="46"/>
  <c r="U283" i="46"/>
  <c r="T285" i="46"/>
  <c r="S296" i="46"/>
  <c r="S297" i="46"/>
  <c r="S126" i="46"/>
  <c r="S128" i="46" s="1"/>
  <c r="T125" i="46"/>
  <c r="S127" i="46"/>
  <c r="U298" i="46"/>
  <c r="V287" i="46"/>
  <c r="S292" i="46"/>
  <c r="T303" i="46"/>
  <c r="S370" i="46"/>
  <c r="S291" i="46"/>
  <c r="T290" i="46"/>
  <c r="K34" i="44"/>
  <c r="K35" i="44" s="1"/>
  <c r="D22" i="44" s="1"/>
  <c r="D28" i="44" s="1"/>
  <c r="H8" i="43"/>
  <c r="AM7" i="43"/>
  <c r="AC42" i="58" s="1"/>
  <c r="BI42" i="58" s="1"/>
  <c r="CO42" i="58" s="1"/>
  <c r="CO43" i="58" s="1"/>
  <c r="AM10" i="43"/>
  <c r="S10" i="43"/>
  <c r="AR9" i="43"/>
  <c r="AH52" i="58" s="1"/>
  <c r="Y4" i="45"/>
  <c r="AI10" i="43"/>
  <c r="Y11" i="43"/>
  <c r="AH10" i="43"/>
  <c r="Y10" i="43"/>
  <c r="C11" i="43"/>
  <c r="AD4" i="45"/>
  <c r="AN10" i="43"/>
  <c r="C21" i="43"/>
  <c r="F8" i="43"/>
  <c r="Y7" i="43"/>
  <c r="O42" i="58" s="1"/>
  <c r="AU42" i="58" s="1"/>
  <c r="CA42" i="58" s="1"/>
  <c r="CA43" i="58" s="1"/>
  <c r="AR8" i="43"/>
  <c r="AH47" i="58" s="1"/>
  <c r="T4" i="45"/>
  <c r="AD10" i="43"/>
  <c r="P4" i="45"/>
  <c r="Z10" i="43"/>
  <c r="AC10" i="43"/>
  <c r="BS20" i="45"/>
  <c r="BN4" i="45"/>
  <c r="J11" i="43"/>
  <c r="K4" i="45"/>
  <c r="U10" i="43"/>
  <c r="N10" i="43"/>
  <c r="T5" i="44" s="1"/>
  <c r="O10" i="43"/>
  <c r="P10" i="43"/>
  <c r="X10" i="43"/>
  <c r="T10" i="43"/>
  <c r="N3" i="45"/>
  <c r="AJ3" i="43"/>
  <c r="AI7" i="43"/>
  <c r="Y42" i="58" s="1"/>
  <c r="BE42" i="58" s="1"/>
  <c r="CK42" i="58" s="1"/>
  <c r="CK43" i="58" s="1"/>
  <c r="AI12" i="43"/>
  <c r="AI8" i="43"/>
  <c r="Y47" i="58" s="1"/>
  <c r="BE47" i="58" s="1"/>
  <c r="CK47" i="58" s="1"/>
  <c r="CK48" i="58" s="1"/>
  <c r="AI11" i="43"/>
  <c r="AE3" i="43"/>
  <c r="AD8" i="43"/>
  <c r="T47" i="58" s="1"/>
  <c r="AZ47" i="58" s="1"/>
  <c r="CF47" i="58" s="1"/>
  <c r="CF48" i="58" s="1"/>
  <c r="AD11" i="43"/>
  <c r="AD7" i="43"/>
  <c r="T42" i="58" s="1"/>
  <c r="AZ42" i="58" s="1"/>
  <c r="CF42" i="58" s="1"/>
  <c r="CF43" i="58" s="1"/>
  <c r="AD12" i="43"/>
  <c r="AH7" i="43"/>
  <c r="X42" i="58" s="1"/>
  <c r="BD42" i="58" s="1"/>
  <c r="CJ42" i="58" s="1"/>
  <c r="CJ43" i="58" s="1"/>
  <c r="AC7" i="43"/>
  <c r="S42" i="58" s="1"/>
  <c r="AY42" i="58" s="1"/>
  <c r="CE42" i="58" s="1"/>
  <c r="CE43" i="58" s="1"/>
  <c r="I8" i="43"/>
  <c r="AH8" i="43"/>
  <c r="X47" i="58" s="1"/>
  <c r="BD47" i="58" s="1"/>
  <c r="CJ47" i="58" s="1"/>
  <c r="CJ48" i="58" s="1"/>
  <c r="S8" i="43"/>
  <c r="I47" i="58" s="1"/>
  <c r="AO47" i="58" s="1"/>
  <c r="BU47" i="58" s="1"/>
  <c r="BU48" i="58" s="1"/>
  <c r="AM8" i="43"/>
  <c r="AC47" i="58" s="1"/>
  <c r="BI47" i="58" s="1"/>
  <c r="CO47" i="58" s="1"/>
  <c r="CO48" i="58" s="1"/>
  <c r="S7" i="43"/>
  <c r="I42" i="58" s="1"/>
  <c r="AO42" i="58" s="1"/>
  <c r="BU42" i="58" s="1"/>
  <c r="BU43" i="58" s="1"/>
  <c r="V3" i="43"/>
  <c r="U8" i="43"/>
  <c r="K47" i="58" s="1"/>
  <c r="AQ47" i="58" s="1"/>
  <c r="BW47" i="58" s="1"/>
  <c r="BW48" i="58" s="1"/>
  <c r="U11" i="43"/>
  <c r="U7" i="43"/>
  <c r="K42" i="58" s="1"/>
  <c r="AQ42" i="58" s="1"/>
  <c r="BW42" i="58" s="1"/>
  <c r="BW43" i="58" s="1"/>
  <c r="U12" i="43"/>
  <c r="AO3" i="43"/>
  <c r="AN7" i="43"/>
  <c r="AD42" i="58" s="1"/>
  <c r="BJ42" i="58" s="1"/>
  <c r="CP42" i="58" s="1"/>
  <c r="CP43" i="58" s="1"/>
  <c r="AN8" i="43"/>
  <c r="AD47" i="58" s="1"/>
  <c r="BJ47" i="58" s="1"/>
  <c r="CP47" i="58" s="1"/>
  <c r="CP48" i="58" s="1"/>
  <c r="AN12" i="43"/>
  <c r="AN11" i="43"/>
  <c r="O7" i="43"/>
  <c r="E42" i="58" s="1"/>
  <c r="AK42" i="58" s="1"/>
  <c r="BQ42" i="58" s="1"/>
  <c r="BQ43" i="58" s="1"/>
  <c r="O12" i="43"/>
  <c r="O11" i="43"/>
  <c r="O8" i="43"/>
  <c r="E47" i="58" s="1"/>
  <c r="AK47" i="58" s="1"/>
  <c r="BQ47" i="58" s="1"/>
  <c r="BQ48" i="58" s="1"/>
  <c r="T7" i="43"/>
  <c r="J42" i="58" s="1"/>
  <c r="AP42" i="58" s="1"/>
  <c r="BV42" i="58" s="1"/>
  <c r="BV43" i="58" s="1"/>
  <c r="G8" i="43"/>
  <c r="I11" i="43"/>
  <c r="AH11" i="43"/>
  <c r="X11" i="43"/>
  <c r="AM11" i="43"/>
  <c r="AM9" i="43" s="1"/>
  <c r="AC52" i="58" s="1"/>
  <c r="BI52" i="58" s="1"/>
  <c r="CO52" i="58" s="1"/>
  <c r="CO53" i="58" s="1"/>
  <c r="S11" i="43"/>
  <c r="G47" i="44"/>
  <c r="X8" i="43"/>
  <c r="N47" i="58" s="1"/>
  <c r="AT47" i="58" s="1"/>
  <c r="BZ47" i="58" s="1"/>
  <c r="BZ48" i="58" s="1"/>
  <c r="N11" i="43"/>
  <c r="AA7" i="44" s="1"/>
  <c r="AC11" i="43"/>
  <c r="Y8" i="43"/>
  <c r="O47" i="58" s="1"/>
  <c r="AU47" i="58" s="1"/>
  <c r="CA47" i="58" s="1"/>
  <c r="CA48" i="58" s="1"/>
  <c r="B8" i="43"/>
  <c r="E8" i="43"/>
  <c r="AG3" i="44"/>
  <c r="AG5" i="44"/>
  <c r="T11" i="43"/>
  <c r="X7" i="43"/>
  <c r="N42" i="58" s="1"/>
  <c r="AT42" i="58" s="1"/>
  <c r="BZ42" i="58" s="1"/>
  <c r="BZ43" i="58" s="1"/>
  <c r="T8" i="43"/>
  <c r="J47" i="58" s="1"/>
  <c r="AP47" i="58" s="1"/>
  <c r="BV47" i="58" s="1"/>
  <c r="BV48" i="58" s="1"/>
  <c r="AC8" i="43"/>
  <c r="S47" i="58" s="1"/>
  <c r="AY47" i="58" s="1"/>
  <c r="CE47" i="58" s="1"/>
  <c r="CE48" i="58" s="1"/>
  <c r="AA3" i="43"/>
  <c r="Z8" i="43"/>
  <c r="P47" i="58" s="1"/>
  <c r="AV47" i="58" s="1"/>
  <c r="CB47" i="58" s="1"/>
  <c r="CB48" i="58" s="1"/>
  <c r="Z11" i="43"/>
  <c r="Z7" i="43"/>
  <c r="P42" i="58" s="1"/>
  <c r="AV42" i="58" s="1"/>
  <c r="CB42" i="58" s="1"/>
  <c r="CB43" i="58" s="1"/>
  <c r="Z12" i="43"/>
  <c r="D38" i="44"/>
  <c r="D37" i="44"/>
  <c r="G46" i="44"/>
  <c r="D23" i="44"/>
  <c r="L8" i="44"/>
  <c r="D9" i="45"/>
  <c r="G11" i="43"/>
  <c r="E11" i="43"/>
  <c r="H11" i="43"/>
  <c r="B11" i="43"/>
  <c r="F11" i="43"/>
  <c r="J8" i="43"/>
  <c r="C8" i="43"/>
  <c r="B10" i="43"/>
  <c r="G10" i="43"/>
  <c r="G9" i="43" s="1"/>
  <c r="J10" i="43"/>
  <c r="J9" i="43" s="1"/>
  <c r="E10" i="43"/>
  <c r="I10" i="43"/>
  <c r="I9" i="43" s="1"/>
  <c r="C10" i="43"/>
  <c r="C9" i="43" s="1"/>
  <c r="F10" i="43"/>
  <c r="H10" i="43"/>
  <c r="I7" i="43"/>
  <c r="E7" i="43"/>
  <c r="H7" i="43"/>
  <c r="C7" i="43"/>
  <c r="G7" i="43"/>
  <c r="B7" i="43"/>
  <c r="J7" i="43"/>
  <c r="F7" i="43"/>
  <c r="AJ35" i="36"/>
  <c r="AJ32" i="36"/>
  <c r="AJ23" i="36"/>
  <c r="AK3" i="36"/>
  <c r="D63" i="36"/>
  <c r="D5" i="26"/>
  <c r="D5" i="4"/>
  <c r="D5" i="8"/>
  <c r="S371" i="48" l="1"/>
  <c r="AR13" i="43"/>
  <c r="CO54" i="58"/>
  <c r="B9" i="43"/>
  <c r="AG8" i="44"/>
  <c r="CO49" i="58"/>
  <c r="CO44" i="58"/>
  <c r="AN18" i="43"/>
  <c r="AD7" i="45" s="1"/>
  <c r="AD15" i="45" s="1"/>
  <c r="BJ15" i="45" s="1"/>
  <c r="E6" i="61"/>
  <c r="BN47" i="58"/>
  <c r="CT42" i="58"/>
  <c r="CT43" i="58" s="1"/>
  <c r="DC19" i="58"/>
  <c r="H9" i="43"/>
  <c r="K6" i="45"/>
  <c r="AQ6" i="45" s="1"/>
  <c r="Y6" i="45"/>
  <c r="BE6" i="45" s="1"/>
  <c r="O6" i="45"/>
  <c r="AU6" i="45" s="1"/>
  <c r="T6" i="45"/>
  <c r="AZ6" i="45" s="1"/>
  <c r="BP42" i="58"/>
  <c r="BP43" i="58" s="1"/>
  <c r="DC18" i="58"/>
  <c r="H60" i="44"/>
  <c r="H57" i="44"/>
  <c r="H61" i="44"/>
  <c r="H58" i="44"/>
  <c r="E7" i="61"/>
  <c r="BN52" i="58"/>
  <c r="P5" i="60"/>
  <c r="B19" i="60"/>
  <c r="B18" i="60"/>
  <c r="Q5" i="60"/>
  <c r="BP47" i="58"/>
  <c r="BP48" i="58" s="1"/>
  <c r="DD18" i="58"/>
  <c r="Y18" i="43"/>
  <c r="O7" i="45" s="1"/>
  <c r="O15" i="45" s="1"/>
  <c r="AU15" i="45" s="1"/>
  <c r="CS75" i="59"/>
  <c r="CT73" i="59"/>
  <c r="CT65" i="59"/>
  <c r="CT66" i="59"/>
  <c r="CT67" i="59"/>
  <c r="CT68" i="59"/>
  <c r="CT69" i="59"/>
  <c r="CT61" i="59"/>
  <c r="CT70" i="59"/>
  <c r="CT62" i="59"/>
  <c r="CT64" i="59"/>
  <c r="CT63" i="59"/>
  <c r="CT74" i="59"/>
  <c r="CT72" i="59"/>
  <c r="CT71" i="59"/>
  <c r="BI143" i="55"/>
  <c r="DU143" i="55" s="1"/>
  <c r="AD143" i="55"/>
  <c r="BH145" i="55"/>
  <c r="AC145" i="55"/>
  <c r="BI139" i="55"/>
  <c r="DU139" i="55" s="1"/>
  <c r="AD139" i="55"/>
  <c r="AD144" i="55"/>
  <c r="BI144" i="55"/>
  <c r="BJ140" i="55"/>
  <c r="DV140" i="55" s="1"/>
  <c r="AE140" i="55"/>
  <c r="BL147" i="55"/>
  <c r="AG147" i="55"/>
  <c r="BM147" i="55" s="1"/>
  <c r="BG168" i="55"/>
  <c r="AB168" i="55"/>
  <c r="AC166" i="55"/>
  <c r="BH166" i="55"/>
  <c r="DT166" i="55" s="1"/>
  <c r="BK169" i="55"/>
  <c r="AF169" i="55"/>
  <c r="CN162" i="55"/>
  <c r="AC164" i="55"/>
  <c r="BH164" i="55"/>
  <c r="DT164" i="55" s="1"/>
  <c r="BH165" i="55"/>
  <c r="DT165" i="55" s="1"/>
  <c r="AC165" i="55"/>
  <c r="BH162" i="55"/>
  <c r="DT162" i="55" s="1"/>
  <c r="AC162" i="55"/>
  <c r="BH167" i="55"/>
  <c r="AC167" i="55"/>
  <c r="AD163" i="55"/>
  <c r="BI163" i="55"/>
  <c r="DU163" i="55" s="1"/>
  <c r="AF124" i="55"/>
  <c r="BK124" i="55"/>
  <c r="BH121" i="55"/>
  <c r="AC121" i="55"/>
  <c r="BI117" i="55"/>
  <c r="DU117" i="55" s="1"/>
  <c r="AD117" i="55"/>
  <c r="AC70" i="55"/>
  <c r="BH70" i="55"/>
  <c r="DT70" i="55" s="1"/>
  <c r="AD94" i="55"/>
  <c r="BI94" i="55"/>
  <c r="DU94" i="55" s="1"/>
  <c r="AC97" i="55"/>
  <c r="BH97" i="55"/>
  <c r="DT97" i="55" s="1"/>
  <c r="AC120" i="55"/>
  <c r="BH120" i="55"/>
  <c r="DT120" i="55" s="1"/>
  <c r="BH116" i="55"/>
  <c r="DT116" i="55" s="1"/>
  <c r="AC116" i="55"/>
  <c r="CN70" i="55"/>
  <c r="AB76" i="55"/>
  <c r="BG76" i="55"/>
  <c r="AC122" i="55"/>
  <c r="BH122" i="55"/>
  <c r="AC93" i="55"/>
  <c r="BH93" i="55"/>
  <c r="DT93" i="55" s="1"/>
  <c r="AC75" i="55"/>
  <c r="BH75" i="55"/>
  <c r="CM116" i="55"/>
  <c r="AF123" i="55"/>
  <c r="BK123" i="55"/>
  <c r="BH118" i="55"/>
  <c r="DT118" i="55" s="1"/>
  <c r="AC118" i="55"/>
  <c r="CN93" i="55"/>
  <c r="BH98" i="55"/>
  <c r="AC98" i="55"/>
  <c r="BI71" i="55"/>
  <c r="DU71" i="55" s="1"/>
  <c r="AD71" i="55"/>
  <c r="BG119" i="55"/>
  <c r="DS119" i="55" s="1"/>
  <c r="AB119" i="55"/>
  <c r="AC74" i="55"/>
  <c r="BH74" i="55"/>
  <c r="DT74" i="55" s="1"/>
  <c r="AB99" i="55"/>
  <c r="BG99" i="55"/>
  <c r="BL100" i="55"/>
  <c r="AG100" i="55"/>
  <c r="BM100" i="55" s="1"/>
  <c r="AF101" i="55"/>
  <c r="BK101" i="55"/>
  <c r="CP97" i="55"/>
  <c r="BL77" i="55"/>
  <c r="AG77" i="55"/>
  <c r="BM77" i="55" s="1"/>
  <c r="AF78" i="55"/>
  <c r="BK78" i="55"/>
  <c r="BG50" i="55"/>
  <c r="DS50" i="55" s="1"/>
  <c r="AB50" i="55"/>
  <c r="AC52" i="55"/>
  <c r="BH52" i="55"/>
  <c r="AC49" i="55"/>
  <c r="BH49" i="55"/>
  <c r="DT49" i="55" s="1"/>
  <c r="AC53" i="55"/>
  <c r="BH53" i="55"/>
  <c r="BI48" i="55"/>
  <c r="DU48" i="55" s="1"/>
  <c r="AD48" i="55"/>
  <c r="AC47" i="55"/>
  <c r="BH47" i="55"/>
  <c r="DT47" i="55" s="1"/>
  <c r="BH51" i="55"/>
  <c r="DT51" i="55" s="1"/>
  <c r="AC51" i="55"/>
  <c r="AG54" i="55"/>
  <c r="BM54" i="55" s="1"/>
  <c r="BL54" i="55"/>
  <c r="BL55" i="55"/>
  <c r="AG55" i="55"/>
  <c r="BM55" i="55" s="1"/>
  <c r="AD29" i="55"/>
  <c r="BI29" i="55"/>
  <c r="AE25" i="55"/>
  <c r="BJ25" i="55"/>
  <c r="DV25" i="55" s="1"/>
  <c r="AE32" i="55"/>
  <c r="BJ32" i="55"/>
  <c r="AD28" i="55"/>
  <c r="BI28" i="55"/>
  <c r="DU28" i="55" s="1"/>
  <c r="AE31" i="55"/>
  <c r="BJ31" i="55"/>
  <c r="CO24" i="55"/>
  <c r="AC30" i="55"/>
  <c r="BH30" i="55"/>
  <c r="AD24" i="55"/>
  <c r="BJ24" i="55" s="1"/>
  <c r="DV24" i="55" s="1"/>
  <c r="AC204" i="55"/>
  <c r="AC205" i="55" s="1"/>
  <c r="AD3" i="55"/>
  <c r="AZ4" i="45"/>
  <c r="S5" i="52"/>
  <c r="AU4" i="45"/>
  <c r="N5" i="52"/>
  <c r="BE4" i="45"/>
  <c r="X5" i="52"/>
  <c r="AV4" i="45"/>
  <c r="O5" i="52"/>
  <c r="AQ4" i="45"/>
  <c r="J5" i="52"/>
  <c r="BJ4" i="45"/>
  <c r="AC5" i="52"/>
  <c r="AD247" i="53"/>
  <c r="Y101" i="54"/>
  <c r="Y102" i="54" s="1"/>
  <c r="Y96" i="54"/>
  <c r="Y97" i="54"/>
  <c r="Y95" i="54"/>
  <c r="AC123" i="54"/>
  <c r="AB125" i="54"/>
  <c r="AB127" i="54"/>
  <c r="AA193" i="54"/>
  <c r="Z86" i="54"/>
  <c r="Z88" i="54" s="1"/>
  <c r="AA85" i="54"/>
  <c r="Z87" i="54"/>
  <c r="Z100" i="54" s="1"/>
  <c r="AA195" i="54"/>
  <c r="X105" i="54"/>
  <c r="X104" i="54"/>
  <c r="X103" i="54"/>
  <c r="AB91" i="54"/>
  <c r="AA194" i="54"/>
  <c r="AB186" i="54"/>
  <c r="AB171" i="54"/>
  <c r="X102" i="54"/>
  <c r="AB185" i="54"/>
  <c r="AA175" i="54"/>
  <c r="AB196" i="54"/>
  <c r="AA187" i="54"/>
  <c r="AA191" i="54"/>
  <c r="Z258" i="54"/>
  <c r="AA178" i="54"/>
  <c r="Z179" i="54"/>
  <c r="Z259" i="54" s="1"/>
  <c r="AA184" i="54"/>
  <c r="AB92" i="54"/>
  <c r="AB174" i="54"/>
  <c r="AB170" i="54"/>
  <c r="AA173" i="54"/>
  <c r="AD192" i="54"/>
  <c r="AB172" i="54"/>
  <c r="AB90" i="54"/>
  <c r="AA93" i="54"/>
  <c r="AC181" i="54"/>
  <c r="AA180" i="54"/>
  <c r="Z93" i="53"/>
  <c r="Z127" i="53"/>
  <c r="AA193" i="53"/>
  <c r="Z258" i="53"/>
  <c r="AA178" i="53"/>
  <c r="Z179" i="53"/>
  <c r="Z259" i="53" s="1"/>
  <c r="AB86" i="53"/>
  <c r="AB88" i="53" s="1"/>
  <c r="AC85" i="53"/>
  <c r="AB87" i="53"/>
  <c r="AB171" i="53"/>
  <c r="AB186" i="53"/>
  <c r="AC174" i="53"/>
  <c r="AB187" i="53"/>
  <c r="AA175" i="53"/>
  <c r="AA170" i="53"/>
  <c r="AA185" i="53"/>
  <c r="AC191" i="53"/>
  <c r="AB123" i="53"/>
  <c r="AA125" i="53"/>
  <c r="AA196" i="53"/>
  <c r="AA184" i="53"/>
  <c r="AC173" i="53"/>
  <c r="AA92" i="53"/>
  <c r="AA93" i="53" s="1"/>
  <c r="AC181" i="53"/>
  <c r="AA192" i="53"/>
  <c r="AB172" i="53"/>
  <c r="AB118" i="53"/>
  <c r="AA119" i="53"/>
  <c r="AA121" i="53" s="1"/>
  <c r="AA128" i="53" s="1"/>
  <c r="AA120" i="53"/>
  <c r="AB195" i="53"/>
  <c r="AB90" i="53"/>
  <c r="AA95" i="53"/>
  <c r="AC194" i="53"/>
  <c r="AC91" i="53"/>
  <c r="AA180" i="53"/>
  <c r="AA96" i="53"/>
  <c r="BE45" i="51"/>
  <c r="Z45" i="51"/>
  <c r="AC3" i="51"/>
  <c r="S22" i="43"/>
  <c r="AC22" i="43"/>
  <c r="U18" i="43"/>
  <c r="K7" i="45" s="1"/>
  <c r="AO17" i="43"/>
  <c r="AO16" i="43"/>
  <c r="AE5" i="45" s="1"/>
  <c r="AO21" i="43"/>
  <c r="AO20" i="43"/>
  <c r="AO19" i="43"/>
  <c r="S15" i="45"/>
  <c r="AY15" i="45" s="1"/>
  <c r="AY7" i="45"/>
  <c r="AY5" i="45"/>
  <c r="S13" i="45"/>
  <c r="AY13" i="45" s="1"/>
  <c r="AE16" i="43"/>
  <c r="U5" i="45" s="1"/>
  <c r="AE21" i="43"/>
  <c r="AE20" i="43"/>
  <c r="AE19" i="43"/>
  <c r="AE17" i="43"/>
  <c r="Z17" i="43"/>
  <c r="Z16" i="43"/>
  <c r="P5" i="45" s="1"/>
  <c r="Z21" i="43"/>
  <c r="Z20" i="43"/>
  <c r="Z19" i="43"/>
  <c r="AP7" i="45"/>
  <c r="J15" i="45"/>
  <c r="AP15" i="45" s="1"/>
  <c r="BJ6" i="45"/>
  <c r="AM22" i="43"/>
  <c r="AZ5" i="45"/>
  <c r="T13" i="45"/>
  <c r="AZ13" i="45" s="1"/>
  <c r="BJ5" i="45"/>
  <c r="AD13" i="45"/>
  <c r="BJ13" i="45" s="1"/>
  <c r="E9" i="43"/>
  <c r="AA19" i="43"/>
  <c r="AA17" i="43"/>
  <c r="AA16" i="43"/>
  <c r="Q5" i="45" s="1"/>
  <c r="AA21" i="43"/>
  <c r="AA20" i="43"/>
  <c r="BN7" i="45"/>
  <c r="AH15" i="45"/>
  <c r="BN15" i="45" s="1"/>
  <c r="AD18" i="43"/>
  <c r="T7" i="45" s="1"/>
  <c r="AI18" i="43"/>
  <c r="Y7" i="45" s="1"/>
  <c r="V20" i="43"/>
  <c r="V19" i="43"/>
  <c r="V17" i="43"/>
  <c r="V16" i="43"/>
  <c r="L5" i="45" s="1"/>
  <c r="V21" i="43"/>
  <c r="T22" i="43"/>
  <c r="Y13" i="45"/>
  <c r="BE13" i="45" s="1"/>
  <c r="BE5" i="45"/>
  <c r="AJ19" i="43"/>
  <c r="AJ20" i="43"/>
  <c r="AJ17" i="43"/>
  <c r="Z6" i="45" s="1"/>
  <c r="AJ16" i="43"/>
  <c r="Z5" i="45" s="1"/>
  <c r="AJ21" i="43"/>
  <c r="S9" i="43"/>
  <c r="I52" i="58" s="1"/>
  <c r="AO52" i="58" s="1"/>
  <c r="BU52" i="58" s="1"/>
  <c r="BU53" i="58" s="1"/>
  <c r="BU54" i="58" s="1"/>
  <c r="AH22" i="43"/>
  <c r="AR22" i="43"/>
  <c r="S136" i="48"/>
  <c r="S137" i="48"/>
  <c r="S135" i="48"/>
  <c r="T303" i="48"/>
  <c r="T305" i="48"/>
  <c r="V292" i="48"/>
  <c r="U297" i="48"/>
  <c r="U132" i="48"/>
  <c r="U308" i="48"/>
  <c r="T299" i="48"/>
  <c r="U131" i="48"/>
  <c r="T286" i="48"/>
  <c r="T298" i="48"/>
  <c r="W296" i="48"/>
  <c r="U285" i="48"/>
  <c r="V130" i="48"/>
  <c r="U306" i="48"/>
  <c r="T307" i="48"/>
  <c r="T191" i="48"/>
  <c r="T193" i="48" s="1"/>
  <c r="T200" i="48" s="1"/>
  <c r="T370" i="48" s="1"/>
  <c r="U190" i="48"/>
  <c r="T192" i="48"/>
  <c r="U293" i="48"/>
  <c r="T282" i="48"/>
  <c r="U291" i="48"/>
  <c r="V290" i="48"/>
  <c r="U359" i="48"/>
  <c r="U283" i="48"/>
  <c r="U304" i="48"/>
  <c r="U287" i="48"/>
  <c r="T284" i="48"/>
  <c r="S197" i="48"/>
  <c r="S199" i="48"/>
  <c r="T195" i="48"/>
  <c r="T126" i="48"/>
  <c r="T128" i="48" s="1"/>
  <c r="U125" i="48"/>
  <c r="T127" i="48"/>
  <c r="S371" i="46"/>
  <c r="W287" i="46"/>
  <c r="V298" i="46"/>
  <c r="S137" i="46"/>
  <c r="S136" i="46"/>
  <c r="V283" i="46"/>
  <c r="W131" i="46"/>
  <c r="U299" i="46"/>
  <c r="T305" i="46"/>
  <c r="T191" i="46"/>
  <c r="T193" i="46" s="1"/>
  <c r="T200" i="46" s="1"/>
  <c r="T370" i="46" s="1"/>
  <c r="U190" i="46"/>
  <c r="T192" i="46"/>
  <c r="T304" i="46"/>
  <c r="U130" i="46"/>
  <c r="T291" i="46"/>
  <c r="U290" i="46"/>
  <c r="T297" i="46"/>
  <c r="T296" i="46"/>
  <c r="S197" i="46"/>
  <c r="S199" i="46"/>
  <c r="T195" i="46"/>
  <c r="T132" i="46"/>
  <c r="U308" i="46"/>
  <c r="S135" i="46"/>
  <c r="U303" i="46"/>
  <c r="T292" i="46"/>
  <c r="T286" i="46"/>
  <c r="U306" i="46"/>
  <c r="U284" i="46"/>
  <c r="S133" i="46"/>
  <c r="U125" i="46"/>
  <c r="T126" i="46"/>
  <c r="T128" i="46" s="1"/>
  <c r="T135" i="46" s="1"/>
  <c r="T127" i="46"/>
  <c r="U285" i="46"/>
  <c r="U282" i="46"/>
  <c r="T293" i="46"/>
  <c r="U307" i="46"/>
  <c r="L118" i="24"/>
  <c r="F9" i="45"/>
  <c r="AL9" i="45" s="1"/>
  <c r="J9" i="45"/>
  <c r="AP9" i="45" s="1"/>
  <c r="N9" i="45"/>
  <c r="AT9" i="45" s="1"/>
  <c r="AJ9" i="45"/>
  <c r="G9" i="45"/>
  <c r="AM9" i="45" s="1"/>
  <c r="K9" i="45"/>
  <c r="AQ9" i="45" s="1"/>
  <c r="E9" i="45"/>
  <c r="AK9" i="45" s="1"/>
  <c r="H9" i="45"/>
  <c r="AN9" i="45" s="1"/>
  <c r="L9" i="45"/>
  <c r="AR9" i="45" s="1"/>
  <c r="D10" i="45"/>
  <c r="I9" i="45"/>
  <c r="AO9" i="45" s="1"/>
  <c r="M9" i="45"/>
  <c r="AS9" i="45" s="1"/>
  <c r="D29" i="44"/>
  <c r="D30" i="44" s="1"/>
  <c r="G48" i="44"/>
  <c r="U9" i="43"/>
  <c r="K52" i="58" s="1"/>
  <c r="AQ52" i="58" s="1"/>
  <c r="BW52" i="58" s="1"/>
  <c r="BW53" i="58" s="1"/>
  <c r="BW54" i="58" s="1"/>
  <c r="AD9" i="43"/>
  <c r="T52" i="58" s="1"/>
  <c r="AZ52" i="58" s="1"/>
  <c r="CF52" i="58" s="1"/>
  <c r="CF53" i="58" s="1"/>
  <c r="CF54" i="58" s="1"/>
  <c r="AM13" i="43"/>
  <c r="L4" i="45"/>
  <c r="V10" i="43"/>
  <c r="U4" i="45"/>
  <c r="AE10" i="43"/>
  <c r="T9" i="43"/>
  <c r="Z9" i="43"/>
  <c r="P52" i="58" s="1"/>
  <c r="AV52" i="58" s="1"/>
  <c r="CB52" i="58" s="1"/>
  <c r="CB53" i="58" s="1"/>
  <c r="CB49" i="58" s="1"/>
  <c r="AN9" i="43"/>
  <c r="AD52" i="58" s="1"/>
  <c r="BJ52" i="58" s="1"/>
  <c r="CP52" i="58" s="1"/>
  <c r="CP53" i="58" s="1"/>
  <c r="CP54" i="58" s="1"/>
  <c r="AI9" i="43"/>
  <c r="L12" i="44"/>
  <c r="Q4" i="45"/>
  <c r="AA10" i="43"/>
  <c r="U13" i="43"/>
  <c r="Z4" i="45"/>
  <c r="AJ10" i="43"/>
  <c r="O9" i="43"/>
  <c r="AC9" i="43"/>
  <c r="AE4" i="45"/>
  <c r="AO10" i="43"/>
  <c r="F9" i="43"/>
  <c r="L13" i="44"/>
  <c r="M13" i="44" s="1"/>
  <c r="Z13" i="43"/>
  <c r="AN13" i="43"/>
  <c r="X9" i="43"/>
  <c r="N9" i="43"/>
  <c r="D52" i="58" s="1"/>
  <c r="Y9" i="43"/>
  <c r="AH9" i="43"/>
  <c r="O3" i="45"/>
  <c r="O9" i="45" s="1"/>
  <c r="AU9" i="45" s="1"/>
  <c r="AB3" i="43"/>
  <c r="AA7" i="43"/>
  <c r="Q42" i="58" s="1"/>
  <c r="AW42" i="58" s="1"/>
  <c r="CC42" i="58" s="1"/>
  <c r="CC43" i="58" s="1"/>
  <c r="AA12" i="43"/>
  <c r="AA8" i="43"/>
  <c r="Q47" i="58" s="1"/>
  <c r="AW47" i="58" s="1"/>
  <c r="CC47" i="58" s="1"/>
  <c r="CC48" i="58" s="1"/>
  <c r="AA11" i="43"/>
  <c r="Q3" i="43"/>
  <c r="P7" i="43"/>
  <c r="F42" i="58" s="1"/>
  <c r="AL42" i="58" s="1"/>
  <c r="BR42" i="58" s="1"/>
  <c r="BR43" i="58" s="1"/>
  <c r="P8" i="43"/>
  <c r="F47" i="58" s="1"/>
  <c r="AL47" i="58" s="1"/>
  <c r="BR47" i="58" s="1"/>
  <c r="BR48" i="58" s="1"/>
  <c r="P11" i="43"/>
  <c r="P12" i="43"/>
  <c r="E8" i="44"/>
  <c r="AF3" i="43"/>
  <c r="AE7" i="43"/>
  <c r="U42" i="58" s="1"/>
  <c r="BA42" i="58" s="1"/>
  <c r="CG42" i="58" s="1"/>
  <c r="CG43" i="58" s="1"/>
  <c r="AE12" i="43"/>
  <c r="AE11" i="43"/>
  <c r="AE8" i="43"/>
  <c r="U47" i="58" s="1"/>
  <c r="BA47" i="58" s="1"/>
  <c r="CG47" i="58" s="1"/>
  <c r="CG48" i="58" s="1"/>
  <c r="AK3" i="43"/>
  <c r="AJ7" i="43"/>
  <c r="Z42" i="58" s="1"/>
  <c r="BF42" i="58" s="1"/>
  <c r="CL42" i="58" s="1"/>
  <c r="CL43" i="58" s="1"/>
  <c r="AJ11" i="43"/>
  <c r="AJ8" i="43"/>
  <c r="Z47" i="58" s="1"/>
  <c r="BF47" i="58" s="1"/>
  <c r="CL47" i="58" s="1"/>
  <c r="CL48" i="58" s="1"/>
  <c r="AJ12" i="43"/>
  <c r="AA5" i="44"/>
  <c r="AA4" i="44"/>
  <c r="AA3" i="44"/>
  <c r="AA6" i="44"/>
  <c r="W3" i="43"/>
  <c r="V8" i="43"/>
  <c r="L47" i="58" s="1"/>
  <c r="AR47" i="58" s="1"/>
  <c r="BX47" i="58" s="1"/>
  <c r="BX48" i="58" s="1"/>
  <c r="V11" i="43"/>
  <c r="V7" i="43"/>
  <c r="L42" i="58" s="1"/>
  <c r="AR42" i="58" s="1"/>
  <c r="BX42" i="58" s="1"/>
  <c r="BX43" i="58" s="1"/>
  <c r="V12" i="43"/>
  <c r="AP3" i="43"/>
  <c r="AO8" i="43"/>
  <c r="AE47" i="58" s="1"/>
  <c r="BK47" i="58" s="1"/>
  <c r="CQ47" i="58" s="1"/>
  <c r="CQ48" i="58" s="1"/>
  <c r="AO11" i="43"/>
  <c r="AO7" i="43"/>
  <c r="AE42" i="58" s="1"/>
  <c r="BK42" i="58" s="1"/>
  <c r="CQ42" i="58" s="1"/>
  <c r="CQ43" i="58" s="1"/>
  <c r="AO12" i="43"/>
  <c r="D24" i="44"/>
  <c r="E6" i="44" s="1"/>
  <c r="AJ63" i="36"/>
  <c r="AJ68" i="36" s="1"/>
  <c r="D68" i="36"/>
  <c r="AL3" i="36"/>
  <c r="AM3" i="36" s="1"/>
  <c r="AN3" i="36" s="1"/>
  <c r="AO3" i="36" s="1"/>
  <c r="AP3" i="36" s="1"/>
  <c r="AQ3" i="36" s="1"/>
  <c r="AR3" i="36" s="1"/>
  <c r="AS3" i="36" s="1"/>
  <c r="AT3" i="36" s="1"/>
  <c r="AU3" i="36" s="1"/>
  <c r="AV3" i="36" s="1"/>
  <c r="AW3" i="36" s="1"/>
  <c r="AX3" i="36" s="1"/>
  <c r="AY3" i="36" s="1"/>
  <c r="AZ3" i="36" s="1"/>
  <c r="BA3" i="36" s="1"/>
  <c r="BB3" i="36" s="1"/>
  <c r="BC3" i="36" s="1"/>
  <c r="BD3" i="36" s="1"/>
  <c r="BE3" i="36" s="1"/>
  <c r="BF3" i="36" s="1"/>
  <c r="BG3" i="36" s="1"/>
  <c r="BH3" i="36" s="1"/>
  <c r="BI3" i="36" s="1"/>
  <c r="BJ3" i="36" s="1"/>
  <c r="BK3" i="36" s="1"/>
  <c r="BL3" i="36" s="1"/>
  <c r="BM3" i="36" s="1"/>
  <c r="BN3" i="36" s="1"/>
  <c r="AA7" i="8"/>
  <c r="AA10" i="8"/>
  <c r="AA9" i="8"/>
  <c r="AA8" i="8"/>
  <c r="AN22" i="43" l="1"/>
  <c r="BJ7" i="45"/>
  <c r="AU7" i="45"/>
  <c r="S13" i="43"/>
  <c r="Y22" i="43"/>
  <c r="U133" i="48"/>
  <c r="Z18" i="43"/>
  <c r="P7" i="45" s="1"/>
  <c r="T13" i="43"/>
  <c r="J52" i="58"/>
  <c r="AP52" i="58" s="1"/>
  <c r="BV52" i="58" s="1"/>
  <c r="BV53" i="58" s="1"/>
  <c r="BU44" i="58"/>
  <c r="CB44" i="58"/>
  <c r="AH13" i="43"/>
  <c r="X52" i="58"/>
  <c r="BD52" i="58" s="1"/>
  <c r="CJ52" i="58" s="1"/>
  <c r="CJ53" i="58" s="1"/>
  <c r="U22" i="43"/>
  <c r="P6" i="45"/>
  <c r="AV6" i="45" s="1"/>
  <c r="AE6" i="45"/>
  <c r="BK6" i="45" s="1"/>
  <c r="CP49" i="58"/>
  <c r="CB54" i="58"/>
  <c r="AI13" i="43"/>
  <c r="Y52" i="58"/>
  <c r="BE52" i="58" s="1"/>
  <c r="CK52" i="58" s="1"/>
  <c r="CK53" i="58" s="1"/>
  <c r="Y13" i="43"/>
  <c r="O52" i="58"/>
  <c r="AU52" i="58" s="1"/>
  <c r="CA52" i="58" s="1"/>
  <c r="CA53" i="58" s="1"/>
  <c r="U6" i="45"/>
  <c r="BA6" i="45" s="1"/>
  <c r="CT47" i="58"/>
  <c r="CT48" i="58" s="1"/>
  <c r="CT44" i="58" s="1"/>
  <c r="DD19" i="58"/>
  <c r="BW44" i="58"/>
  <c r="CO6" i="58"/>
  <c r="CO11" i="58"/>
  <c r="D7" i="61"/>
  <c r="AJ52" i="58"/>
  <c r="B5" i="60"/>
  <c r="AC13" i="43"/>
  <c r="S52" i="58"/>
  <c r="AY52" i="58" s="1"/>
  <c r="CE52" i="58" s="1"/>
  <c r="CE53" i="58" s="1"/>
  <c r="X13" i="43"/>
  <c r="N52" i="58"/>
  <c r="AT52" i="58" s="1"/>
  <c r="BZ52" i="58" s="1"/>
  <c r="BZ53" i="58" s="1"/>
  <c r="O13" i="43"/>
  <c r="E52" i="58"/>
  <c r="AK52" i="58" s="1"/>
  <c r="BQ52" i="58" s="1"/>
  <c r="BQ53" i="58" s="1"/>
  <c r="H22" i="44"/>
  <c r="I22" i="44" s="1"/>
  <c r="B6" i="61"/>
  <c r="AE18" i="43"/>
  <c r="U7" i="45" s="1"/>
  <c r="DE19" i="58"/>
  <c r="CT52" i="58"/>
  <c r="CT53" i="58" s="1"/>
  <c r="BW49" i="58"/>
  <c r="CF49" i="58"/>
  <c r="L6" i="45"/>
  <c r="AR6" i="45" s="1"/>
  <c r="BU49" i="58"/>
  <c r="CP44" i="58"/>
  <c r="CP6" i="58" s="1"/>
  <c r="P9" i="43"/>
  <c r="F52" i="58" s="1"/>
  <c r="AL52" i="58" s="1"/>
  <c r="BR52" i="58" s="1"/>
  <c r="BR53" i="58" s="1"/>
  <c r="BR54" i="58" s="1"/>
  <c r="AD13" i="43"/>
  <c r="V18" i="43"/>
  <c r="L7" i="45" s="1"/>
  <c r="Q6" i="45"/>
  <c r="AW6" i="45" s="1"/>
  <c r="CF44" i="58"/>
  <c r="CT75" i="59"/>
  <c r="AE139" i="55"/>
  <c r="BJ139" i="55"/>
  <c r="DV139" i="55" s="1"/>
  <c r="AD145" i="55"/>
  <c r="BI145" i="55"/>
  <c r="AF140" i="55"/>
  <c r="BK140" i="55"/>
  <c r="DW140" i="55" s="1"/>
  <c r="BJ143" i="55"/>
  <c r="DV143" i="55" s="1"/>
  <c r="AE143" i="55"/>
  <c r="BJ144" i="55"/>
  <c r="AE144" i="55"/>
  <c r="AD167" i="55"/>
  <c r="BI167" i="55"/>
  <c r="AD164" i="55"/>
  <c r="BI164" i="55"/>
  <c r="DU164" i="55" s="1"/>
  <c r="AD166" i="55"/>
  <c r="BI166" i="55"/>
  <c r="DU166" i="55" s="1"/>
  <c r="BI162" i="55"/>
  <c r="DU162" i="55" s="1"/>
  <c r="AD162" i="55"/>
  <c r="CO162" i="55"/>
  <c r="AC168" i="55"/>
  <c r="BH168" i="55"/>
  <c r="BI165" i="55"/>
  <c r="DU165" i="55" s="1"/>
  <c r="AD165" i="55"/>
  <c r="BJ163" i="55"/>
  <c r="DV163" i="55" s="1"/>
  <c r="AE163" i="55"/>
  <c r="AG169" i="55"/>
  <c r="BM169" i="55" s="1"/>
  <c r="BL169" i="55"/>
  <c r="BL124" i="55"/>
  <c r="AG124" i="55"/>
  <c r="BM124" i="55" s="1"/>
  <c r="CN116" i="55"/>
  <c r="AD122" i="55"/>
  <c r="BI122" i="55"/>
  <c r="CO70" i="55"/>
  <c r="AD97" i="55"/>
  <c r="BI97" i="55"/>
  <c r="DU97" i="55" s="1"/>
  <c r="AE117" i="55"/>
  <c r="BJ117" i="55"/>
  <c r="DV117" i="55" s="1"/>
  <c r="AD74" i="55"/>
  <c r="BI74" i="55"/>
  <c r="DU74" i="55" s="1"/>
  <c r="CO93" i="55"/>
  <c r="BI116" i="55"/>
  <c r="DU116" i="55" s="1"/>
  <c r="AD116" i="55"/>
  <c r="AC119" i="55"/>
  <c r="BH119" i="55"/>
  <c r="DT119" i="55" s="1"/>
  <c r="BI118" i="55"/>
  <c r="DU118" i="55" s="1"/>
  <c r="AD118" i="55"/>
  <c r="BI121" i="55"/>
  <c r="AD121" i="55"/>
  <c r="AD75" i="55"/>
  <c r="BI75" i="55"/>
  <c r="AE71" i="55"/>
  <c r="BJ71" i="55"/>
  <c r="DV71" i="55" s="1"/>
  <c r="BH76" i="55"/>
  <c r="AC76" i="55"/>
  <c r="AE94" i="55"/>
  <c r="BJ94" i="55"/>
  <c r="DV94" i="55" s="1"/>
  <c r="AD93" i="55"/>
  <c r="BI93" i="55"/>
  <c r="DU93" i="55" s="1"/>
  <c r="AD98" i="55"/>
  <c r="BI98" i="55"/>
  <c r="AD120" i="55"/>
  <c r="BI120" i="55"/>
  <c r="DU120" i="55" s="1"/>
  <c r="BI70" i="55"/>
  <c r="DU70" i="55" s="1"/>
  <c r="AD70" i="55"/>
  <c r="BH99" i="55"/>
  <c r="AC99" i="55"/>
  <c r="BL123" i="55"/>
  <c r="AG123" i="55"/>
  <c r="BM123" i="55" s="1"/>
  <c r="AG101" i="55"/>
  <c r="BM101" i="55" s="1"/>
  <c r="BL101" i="55"/>
  <c r="CQ97" i="55"/>
  <c r="AG78" i="55"/>
  <c r="BM78" i="55" s="1"/>
  <c r="BL78" i="55"/>
  <c r="BJ48" i="55"/>
  <c r="DV48" i="55" s="1"/>
  <c r="AE48" i="55"/>
  <c r="AD52" i="55"/>
  <c r="BI52" i="55"/>
  <c r="BI51" i="55"/>
  <c r="DU51" i="55" s="1"/>
  <c r="AD51" i="55"/>
  <c r="AD53" i="55"/>
  <c r="BI53" i="55"/>
  <c r="AD47" i="55"/>
  <c r="BI47" i="55"/>
  <c r="DU47" i="55" s="1"/>
  <c r="AC50" i="55"/>
  <c r="BH50" i="55"/>
  <c r="DT50" i="55" s="1"/>
  <c r="AD49" i="55"/>
  <c r="BI49" i="55"/>
  <c r="DU49" i="55" s="1"/>
  <c r="AE28" i="55"/>
  <c r="BJ28" i="55"/>
  <c r="DV28" i="55" s="1"/>
  <c r="AD30" i="55"/>
  <c r="BI30" i="55"/>
  <c r="CP24" i="55"/>
  <c r="AF25" i="55"/>
  <c r="BK25" i="55"/>
  <c r="DW25" i="55" s="1"/>
  <c r="AF31" i="55"/>
  <c r="BK31" i="55"/>
  <c r="AF32" i="55"/>
  <c r="BK32" i="55"/>
  <c r="AE29" i="55"/>
  <c r="BJ29" i="55"/>
  <c r="AE24" i="55"/>
  <c r="BK24" i="55" s="1"/>
  <c r="DW24" i="55" s="1"/>
  <c r="AD204" i="55"/>
  <c r="AD205" i="55" s="1"/>
  <c r="AE3" i="55"/>
  <c r="BK4" i="45"/>
  <c r="AD5" i="52"/>
  <c r="BA4" i="45"/>
  <c r="T5" i="52"/>
  <c r="AW4" i="45"/>
  <c r="P5" i="52"/>
  <c r="AR4" i="45"/>
  <c r="K5" i="52"/>
  <c r="BF4" i="45"/>
  <c r="Y5" i="52"/>
  <c r="AA97" i="53"/>
  <c r="AE247" i="53"/>
  <c r="AC92" i="54"/>
  <c r="AB187" i="54"/>
  <c r="AC171" i="54"/>
  <c r="AB173" i="54"/>
  <c r="AC170" i="54"/>
  <c r="AB184" i="54"/>
  <c r="AA258" i="54"/>
  <c r="AA179" i="54"/>
  <c r="AA259" i="54" s="1"/>
  <c r="AB178" i="54"/>
  <c r="AC196" i="54"/>
  <c r="AC185" i="54"/>
  <c r="AC186" i="54"/>
  <c r="AB195" i="54"/>
  <c r="AC91" i="54"/>
  <c r="AB180" i="54"/>
  <c r="AC172" i="54"/>
  <c r="AC174" i="54"/>
  <c r="AB175" i="54"/>
  <c r="AD123" i="54"/>
  <c r="AC125" i="54"/>
  <c r="AC127" i="54"/>
  <c r="AB194" i="54"/>
  <c r="AB193" i="54"/>
  <c r="AB93" i="54"/>
  <c r="AC90" i="54"/>
  <c r="AE192" i="54"/>
  <c r="AB85" i="54"/>
  <c r="AA86" i="54"/>
  <c r="AA88" i="54" s="1"/>
  <c r="AA87" i="54"/>
  <c r="AA100" i="54" s="1"/>
  <c r="Y103" i="54"/>
  <c r="Y105" i="54"/>
  <c r="Y104" i="54"/>
  <c r="AD181" i="54"/>
  <c r="AB191" i="54"/>
  <c r="Z96" i="54"/>
  <c r="Z97" i="54"/>
  <c r="Z101" i="54"/>
  <c r="Z102" i="54" s="1"/>
  <c r="Z95" i="54"/>
  <c r="AD194" i="53"/>
  <c r="AC195" i="53"/>
  <c r="AB192" i="53"/>
  <c r="AB184" i="53"/>
  <c r="AB185" i="53"/>
  <c r="AB92" i="53"/>
  <c r="AB93" i="53" s="1"/>
  <c r="AB196" i="53"/>
  <c r="AC187" i="53"/>
  <c r="AB170" i="53"/>
  <c r="AD174" i="53"/>
  <c r="AD85" i="53"/>
  <c r="AC86" i="53"/>
  <c r="AC88" i="53" s="1"/>
  <c r="AC87" i="53"/>
  <c r="AB193" i="53"/>
  <c r="AA127" i="53"/>
  <c r="AB96" i="53"/>
  <c r="AB180" i="53"/>
  <c r="AB175" i="53"/>
  <c r="AC186" i="53"/>
  <c r="AC171" i="53"/>
  <c r="AC172" i="53"/>
  <c r="AD181" i="53"/>
  <c r="AD173" i="53"/>
  <c r="AB125" i="53"/>
  <c r="AC123" i="53"/>
  <c r="AD91" i="53"/>
  <c r="AB95" i="53"/>
  <c r="AC90" i="53"/>
  <c r="AB119" i="53"/>
  <c r="AB121" i="53" s="1"/>
  <c r="AB128" i="53" s="1"/>
  <c r="AC118" i="53"/>
  <c r="AB120" i="53"/>
  <c r="AD191" i="53"/>
  <c r="AA258" i="53"/>
  <c r="AA179" i="53"/>
  <c r="AA259" i="53" s="1"/>
  <c r="AB178" i="53"/>
  <c r="AD3" i="51"/>
  <c r="BF45" i="51"/>
  <c r="AA45" i="51"/>
  <c r="Q17" i="43"/>
  <c r="Q16" i="43"/>
  <c r="G5" i="45" s="1"/>
  <c r="Q21" i="43"/>
  <c r="Q20" i="43"/>
  <c r="Q19" i="43"/>
  <c r="BF5" i="45"/>
  <c r="Z13" i="45"/>
  <c r="BF13" i="45" s="1"/>
  <c r="AI22" i="43"/>
  <c r="AC15" i="45"/>
  <c r="BI15" i="45" s="1"/>
  <c r="BI7" i="45"/>
  <c r="V22" i="43"/>
  <c r="U13" i="45"/>
  <c r="BA13" i="45" s="1"/>
  <c r="BA5" i="45"/>
  <c r="BF6" i="45"/>
  <c r="AQ5" i="45"/>
  <c r="K13" i="45"/>
  <c r="AQ13" i="45" s="1"/>
  <c r="AD22" i="43"/>
  <c r="AV5" i="45"/>
  <c r="P13" i="45"/>
  <c r="AV13" i="45" s="1"/>
  <c r="AF16" i="43"/>
  <c r="V5" i="45" s="1"/>
  <c r="AF21" i="43"/>
  <c r="AF20" i="43"/>
  <c r="AF17" i="43"/>
  <c r="V6" i="45" s="1"/>
  <c r="AF19" i="43"/>
  <c r="W16" i="43"/>
  <c r="M5" i="45" s="1"/>
  <c r="W21" i="43"/>
  <c r="W20" i="43"/>
  <c r="W19" i="43"/>
  <c r="W17" i="43"/>
  <c r="AJ18" i="43"/>
  <c r="Z7" i="45" s="1"/>
  <c r="K15" i="45"/>
  <c r="AQ15" i="45" s="1"/>
  <c r="AQ7" i="45"/>
  <c r="X15" i="45"/>
  <c r="BD15" i="45" s="1"/>
  <c r="BD7" i="45"/>
  <c r="AR5" i="45"/>
  <c r="L13" i="45"/>
  <c r="AR13" i="45" s="1"/>
  <c r="AA18" i="43"/>
  <c r="Q7" i="45" s="1"/>
  <c r="AK20" i="43"/>
  <c r="AK19" i="43"/>
  <c r="AK17" i="43"/>
  <c r="AK16" i="43"/>
  <c r="AA5" i="45" s="1"/>
  <c r="AK21" i="43"/>
  <c r="AB19" i="43"/>
  <c r="AB21" i="43"/>
  <c r="AB17" i="43"/>
  <c r="R6" i="45" s="1"/>
  <c r="AB16" i="43"/>
  <c r="R5" i="45" s="1"/>
  <c r="AB20" i="43"/>
  <c r="AU5" i="45"/>
  <c r="O13" i="45"/>
  <c r="AU13" i="45" s="1"/>
  <c r="AE22" i="43"/>
  <c r="I15" i="45"/>
  <c r="AO15" i="45" s="1"/>
  <c r="AO7" i="45"/>
  <c r="AP17" i="43"/>
  <c r="AP20" i="43"/>
  <c r="AP19" i="43"/>
  <c r="AP16" i="43"/>
  <c r="AF5" i="45" s="1"/>
  <c r="AP21" i="43"/>
  <c r="Q13" i="45"/>
  <c r="AW13" i="45" s="1"/>
  <c r="AW5" i="45"/>
  <c r="AO18" i="43"/>
  <c r="AE7" i="45" s="1"/>
  <c r="U284" i="48"/>
  <c r="V304" i="48"/>
  <c r="V359" i="48"/>
  <c r="V293" i="48"/>
  <c r="U307" i="48"/>
  <c r="U298" i="48"/>
  <c r="U126" i="48"/>
  <c r="U128" i="48" s="1"/>
  <c r="V125" i="48"/>
  <c r="U127" i="48"/>
  <c r="T197" i="48"/>
  <c r="T199" i="48"/>
  <c r="U195" i="48"/>
  <c r="V283" i="48"/>
  <c r="V291" i="48"/>
  <c r="W290" i="48"/>
  <c r="U282" i="48"/>
  <c r="V285" i="48"/>
  <c r="V131" i="48"/>
  <c r="V308" i="48"/>
  <c r="V297" i="48"/>
  <c r="U305" i="48"/>
  <c r="T137" i="48"/>
  <c r="T136" i="48"/>
  <c r="T135" i="48"/>
  <c r="V287" i="48"/>
  <c r="V306" i="48"/>
  <c r="W130" i="48"/>
  <c r="U286" i="48"/>
  <c r="U191" i="48"/>
  <c r="U193" i="48" s="1"/>
  <c r="U200" i="48" s="1"/>
  <c r="U370" i="48" s="1"/>
  <c r="V190" i="48"/>
  <c r="U192" i="48"/>
  <c r="X296" i="48"/>
  <c r="T371" i="48"/>
  <c r="U299" i="48"/>
  <c r="V132" i="48"/>
  <c r="W292" i="48"/>
  <c r="U303" i="48"/>
  <c r="U293" i="46"/>
  <c r="V290" i="46"/>
  <c r="U291" i="46"/>
  <c r="V130" i="46"/>
  <c r="V307" i="46"/>
  <c r="V282" i="46"/>
  <c r="U126" i="46"/>
  <c r="U128" i="46" s="1"/>
  <c r="V125" i="46"/>
  <c r="U127" i="46"/>
  <c r="V306" i="46"/>
  <c r="U132" i="46"/>
  <c r="U133" i="46" s="1"/>
  <c r="T371" i="46"/>
  <c r="W298" i="46"/>
  <c r="T136" i="46"/>
  <c r="T137" i="46"/>
  <c r="V303" i="46"/>
  <c r="U297" i="46"/>
  <c r="X131" i="46"/>
  <c r="U292" i="46"/>
  <c r="U296" i="46"/>
  <c r="T133" i="46"/>
  <c r="U304" i="46"/>
  <c r="V285" i="46"/>
  <c r="V284" i="46"/>
  <c r="U286" i="46"/>
  <c r="V308" i="46"/>
  <c r="T199" i="46"/>
  <c r="U195" i="46"/>
  <c r="T197" i="46"/>
  <c r="U191" i="46"/>
  <c r="U193" i="46" s="1"/>
  <c r="U200" i="46" s="1"/>
  <c r="U370" i="46" s="1"/>
  <c r="V190" i="46"/>
  <c r="U192" i="46"/>
  <c r="U305" i="46"/>
  <c r="V299" i="46"/>
  <c r="W283" i="46"/>
  <c r="X287" i="46"/>
  <c r="AJ10" i="45"/>
  <c r="D14" i="45"/>
  <c r="AJ14" i="45" s="1"/>
  <c r="D12" i="45"/>
  <c r="AJ12" i="45" s="1"/>
  <c r="M12" i="44"/>
  <c r="D57" i="44" s="1"/>
  <c r="E29" i="44"/>
  <c r="E75" i="44"/>
  <c r="E77" i="44" s="1"/>
  <c r="AJ9" i="43"/>
  <c r="Z52" i="58" s="1"/>
  <c r="BF52" i="58" s="1"/>
  <c r="CL52" i="58" s="1"/>
  <c r="CL53" i="58" s="1"/>
  <c r="CL54" i="58" s="1"/>
  <c r="G4" i="45"/>
  <c r="Q10" i="43"/>
  <c r="AO9" i="43"/>
  <c r="M4" i="45"/>
  <c r="W10" i="43"/>
  <c r="AA4" i="45"/>
  <c r="AK10" i="43"/>
  <c r="R4" i="45"/>
  <c r="AB10" i="43"/>
  <c r="AA9" i="43"/>
  <c r="V9" i="43"/>
  <c r="E28" i="44"/>
  <c r="C57" i="44" s="1"/>
  <c r="E23" i="44"/>
  <c r="AF4" i="45"/>
  <c r="AP10" i="43"/>
  <c r="V4" i="45"/>
  <c r="AF10" i="43"/>
  <c r="N13" i="43"/>
  <c r="AE9" i="43"/>
  <c r="P3" i="45"/>
  <c r="P9" i="45" s="1"/>
  <c r="AV9" i="45" s="1"/>
  <c r="AQ3" i="43"/>
  <c r="AP8" i="43"/>
  <c r="AF47" i="58" s="1"/>
  <c r="BL47" i="58" s="1"/>
  <c r="CR47" i="58" s="1"/>
  <c r="CR48" i="58" s="1"/>
  <c r="AP11" i="43"/>
  <c r="AP7" i="43"/>
  <c r="AF42" i="58" s="1"/>
  <c r="BL42" i="58" s="1"/>
  <c r="CR42" i="58" s="1"/>
  <c r="CR43" i="58" s="1"/>
  <c r="AP12" i="43"/>
  <c r="W7" i="43"/>
  <c r="M42" i="58" s="1"/>
  <c r="AS42" i="58" s="1"/>
  <c r="BY42" i="58" s="1"/>
  <c r="BY43" i="58" s="1"/>
  <c r="W12" i="43"/>
  <c r="W11" i="43"/>
  <c r="W8" i="43"/>
  <c r="M47" i="58" s="1"/>
  <c r="AS47" i="58" s="1"/>
  <c r="BY47" i="58" s="1"/>
  <c r="BY48" i="58" s="1"/>
  <c r="AL3" i="43"/>
  <c r="AK8" i="43"/>
  <c r="AA47" i="58" s="1"/>
  <c r="BG47" i="58" s="1"/>
  <c r="CM47" i="58" s="1"/>
  <c r="CM48" i="58" s="1"/>
  <c r="AK11" i="43"/>
  <c r="AK7" i="43"/>
  <c r="AA42" i="58" s="1"/>
  <c r="BG42" i="58" s="1"/>
  <c r="CM42" i="58" s="1"/>
  <c r="CM43" i="58" s="1"/>
  <c r="AK12" i="43"/>
  <c r="AG3" i="43"/>
  <c r="AF7" i="43"/>
  <c r="V42" i="58" s="1"/>
  <c r="BB42" i="58" s="1"/>
  <c r="CH42" i="58" s="1"/>
  <c r="CH43" i="58" s="1"/>
  <c r="AF8" i="43"/>
  <c r="V47" i="58" s="1"/>
  <c r="BB47" i="58" s="1"/>
  <c r="CH47" i="58" s="1"/>
  <c r="CH48" i="58" s="1"/>
  <c r="AF11" i="43"/>
  <c r="AF12" i="43"/>
  <c r="R3" i="43"/>
  <c r="Q8" i="43"/>
  <c r="G47" i="58" s="1"/>
  <c r="AM47" i="58" s="1"/>
  <c r="BS47" i="58" s="1"/>
  <c r="BS48" i="58" s="1"/>
  <c r="Q11" i="43"/>
  <c r="Q12" i="43"/>
  <c r="Q7" i="43"/>
  <c r="G42" i="58" s="1"/>
  <c r="AM42" i="58" s="1"/>
  <c r="BS42" i="58" s="1"/>
  <c r="BS43" i="58" s="1"/>
  <c r="AG17" i="44"/>
  <c r="AH17" i="44" s="1"/>
  <c r="AG12" i="44"/>
  <c r="AH12" i="44" s="1"/>
  <c r="AG14" i="44"/>
  <c r="AH14" i="44" s="1"/>
  <c r="AG16" i="44"/>
  <c r="AH16" i="44" s="1"/>
  <c r="AA14" i="44"/>
  <c r="AB14" i="44" s="1"/>
  <c r="AA12" i="44"/>
  <c r="AB12" i="44" s="1"/>
  <c r="AA15" i="44"/>
  <c r="AB15" i="44" s="1"/>
  <c r="AG13" i="44"/>
  <c r="AH13" i="44" s="1"/>
  <c r="AG15" i="44"/>
  <c r="AH15" i="44" s="1"/>
  <c r="AG18" i="44"/>
  <c r="AA13" i="44"/>
  <c r="AB13" i="44" s="1"/>
  <c r="AA11" i="44"/>
  <c r="E5" i="44"/>
  <c r="E22" i="44"/>
  <c r="D6" i="44"/>
  <c r="AB7" i="43"/>
  <c r="R42" i="58" s="1"/>
  <c r="AX42" i="58" s="1"/>
  <c r="CD42" i="58" s="1"/>
  <c r="CD43" i="58" s="1"/>
  <c r="AB11" i="43"/>
  <c r="AB12" i="43"/>
  <c r="AB8" i="43"/>
  <c r="R47" i="58" s="1"/>
  <c r="AX47" i="58" s="1"/>
  <c r="CD47" i="58" s="1"/>
  <c r="CD48" i="58" s="1"/>
  <c r="F14" i="8"/>
  <c r="P13" i="43" l="1"/>
  <c r="CT54" i="58"/>
  <c r="Z22" i="43"/>
  <c r="AB18" i="43"/>
  <c r="R7" i="45" s="1"/>
  <c r="R15" i="45" s="1"/>
  <c r="AX15" i="45" s="1"/>
  <c r="AJ13" i="43"/>
  <c r="W18" i="43"/>
  <c r="M7" i="45" s="1"/>
  <c r="AF18" i="43"/>
  <c r="V7" i="45" s="1"/>
  <c r="BB7" i="45" s="1"/>
  <c r="AA6" i="45"/>
  <c r="BG6" i="45" s="1"/>
  <c r="CJ54" i="58"/>
  <c r="CJ44" i="58"/>
  <c r="CJ49" i="58"/>
  <c r="CL49" i="58"/>
  <c r="CK54" i="58"/>
  <c r="CK44" i="58"/>
  <c r="CK49" i="58"/>
  <c r="BU6" i="58"/>
  <c r="BU11" i="58"/>
  <c r="G6" i="45"/>
  <c r="AM6" i="45" s="1"/>
  <c r="BW6" i="58"/>
  <c r="BW11" i="58"/>
  <c r="BV54" i="58"/>
  <c r="BV49" i="58"/>
  <c r="BV44" i="58"/>
  <c r="CE54" i="58"/>
  <c r="CE49" i="58"/>
  <c r="CE44" i="58"/>
  <c r="BQ54" i="58"/>
  <c r="BQ44" i="58"/>
  <c r="BQ49" i="58"/>
  <c r="CT49" i="58"/>
  <c r="CT11" i="58" s="1"/>
  <c r="BR49" i="58"/>
  <c r="AE13" i="43"/>
  <c r="U52" i="58"/>
  <c r="BA52" i="58" s="1"/>
  <c r="CG52" i="58" s="1"/>
  <c r="CG53" i="58" s="1"/>
  <c r="V13" i="43"/>
  <c r="L52" i="58"/>
  <c r="AR52" i="58" s="1"/>
  <c r="BX52" i="58" s="1"/>
  <c r="BX53" i="58" s="1"/>
  <c r="CL44" i="58"/>
  <c r="CL6" i="58" s="1"/>
  <c r="B68" i="60"/>
  <c r="R5" i="60"/>
  <c r="B17" i="60"/>
  <c r="CP11" i="58"/>
  <c r="BR44" i="58"/>
  <c r="AA13" i="43"/>
  <c r="Q52" i="58"/>
  <c r="AW52" i="58" s="1"/>
  <c r="CC52" i="58" s="1"/>
  <c r="CC53" i="58" s="1"/>
  <c r="AO13" i="43"/>
  <c r="AE52" i="58"/>
  <c r="BK52" i="58" s="1"/>
  <c r="CQ52" i="58" s="1"/>
  <c r="CQ53" i="58" s="1"/>
  <c r="AF6" i="45"/>
  <c r="BL6" i="45" s="1"/>
  <c r="M6" i="45"/>
  <c r="AS6" i="45" s="1"/>
  <c r="CT6" i="58"/>
  <c r="BZ54" i="58"/>
  <c r="BZ49" i="58"/>
  <c r="BZ44" i="58"/>
  <c r="BP52" i="58"/>
  <c r="BP53" i="58" s="1"/>
  <c r="DE18" i="58"/>
  <c r="CF6" i="58"/>
  <c r="CF11" i="58"/>
  <c r="CA54" i="58"/>
  <c r="CA49" i="58"/>
  <c r="CA44" i="58"/>
  <c r="CB6" i="58"/>
  <c r="CB11" i="58"/>
  <c r="AF143" i="55"/>
  <c r="BK143" i="55"/>
  <c r="DW143" i="55" s="1"/>
  <c r="BL140" i="55"/>
  <c r="DX140" i="55" s="1"/>
  <c r="AG140" i="55"/>
  <c r="BM140" i="55" s="1"/>
  <c r="DY140" i="55" s="1"/>
  <c r="BK144" i="55"/>
  <c r="AF144" i="55"/>
  <c r="AE145" i="55"/>
  <c r="BJ145" i="55"/>
  <c r="AF139" i="55"/>
  <c r="BK139" i="55"/>
  <c r="DW139" i="55" s="1"/>
  <c r="BK163" i="55"/>
  <c r="DW163" i="55" s="1"/>
  <c r="AF163" i="55"/>
  <c r="AE166" i="55"/>
  <c r="BJ166" i="55"/>
  <c r="DV166" i="55" s="1"/>
  <c r="AD168" i="55"/>
  <c r="BI168" i="55"/>
  <c r="CP162" i="55"/>
  <c r="AE164" i="55"/>
  <c r="BJ164" i="55"/>
  <c r="DV164" i="55" s="1"/>
  <c r="AE165" i="55"/>
  <c r="BJ165" i="55"/>
  <c r="DV165" i="55" s="1"/>
  <c r="AE162" i="55"/>
  <c r="BJ162" i="55"/>
  <c r="DV162" i="55" s="1"/>
  <c r="AE167" i="55"/>
  <c r="BJ167" i="55"/>
  <c r="AE98" i="55"/>
  <c r="BJ98" i="55"/>
  <c r="BJ118" i="55"/>
  <c r="DV118" i="55" s="1"/>
  <c r="AE118" i="55"/>
  <c r="BJ97" i="55"/>
  <c r="DV97" i="55" s="1"/>
  <c r="AE97" i="55"/>
  <c r="BJ70" i="55"/>
  <c r="DV70" i="55" s="1"/>
  <c r="AE70" i="55"/>
  <c r="AF71" i="55"/>
  <c r="BK71" i="55"/>
  <c r="DW71" i="55" s="1"/>
  <c r="CP70" i="55"/>
  <c r="AF94" i="55"/>
  <c r="BK94" i="55"/>
  <c r="DW94" i="55" s="1"/>
  <c r="CP93" i="55"/>
  <c r="BI76" i="55"/>
  <c r="AD76" i="55"/>
  <c r="AD119" i="55"/>
  <c r="BI119" i="55"/>
  <c r="DU119" i="55" s="1"/>
  <c r="AE75" i="55"/>
  <c r="BJ75" i="55"/>
  <c r="AE74" i="55"/>
  <c r="BJ74" i="55"/>
  <c r="DV74" i="55" s="1"/>
  <c r="BJ122" i="55"/>
  <c r="AE122" i="55"/>
  <c r="BJ120" i="55"/>
  <c r="DV120" i="55" s="1"/>
  <c r="AE120" i="55"/>
  <c r="BJ93" i="55"/>
  <c r="DV93" i="55" s="1"/>
  <c r="AE93" i="55"/>
  <c r="AE121" i="55"/>
  <c r="BJ121" i="55"/>
  <c r="CO116" i="55"/>
  <c r="BJ116" i="55"/>
  <c r="DV116" i="55" s="1"/>
  <c r="AE116" i="55"/>
  <c r="BK117" i="55"/>
  <c r="DW117" i="55" s="1"/>
  <c r="AF117" i="55"/>
  <c r="BI99" i="55"/>
  <c r="AD99" i="55"/>
  <c r="CR97" i="55"/>
  <c r="BJ51" i="55"/>
  <c r="DV51" i="55" s="1"/>
  <c r="AE51" i="55"/>
  <c r="BJ49" i="55"/>
  <c r="DV49" i="55" s="1"/>
  <c r="AE49" i="55"/>
  <c r="AD50" i="55"/>
  <c r="BI50" i="55"/>
  <c r="DU50" i="55" s="1"/>
  <c r="AE47" i="55"/>
  <c r="BJ47" i="55"/>
  <c r="DV47" i="55" s="1"/>
  <c r="AE53" i="55"/>
  <c r="BJ53" i="55"/>
  <c r="AE52" i="55"/>
  <c r="BJ52" i="55"/>
  <c r="AF48" i="55"/>
  <c r="BK48" i="55"/>
  <c r="DW48" i="55" s="1"/>
  <c r="AG32" i="55"/>
  <c r="BM32" i="55" s="1"/>
  <c r="BL32" i="55"/>
  <c r="AG31" i="55"/>
  <c r="BM31" i="55" s="1"/>
  <c r="BL31" i="55"/>
  <c r="CQ24" i="55"/>
  <c r="AF28" i="55"/>
  <c r="BK28" i="55"/>
  <c r="DW28" i="55" s="1"/>
  <c r="AF29" i="55"/>
  <c r="BK29" i="55"/>
  <c r="AG25" i="55"/>
  <c r="BM25" i="55" s="1"/>
  <c r="DY25" i="55" s="1"/>
  <c r="BL25" i="55"/>
  <c r="DX25" i="55" s="1"/>
  <c r="AE30" i="55"/>
  <c r="BJ30" i="55"/>
  <c r="AF24" i="55"/>
  <c r="BL24" i="55" s="1"/>
  <c r="DX24" i="55" s="1"/>
  <c r="AE204" i="55"/>
  <c r="AE205" i="55" s="1"/>
  <c r="AF3" i="55"/>
  <c r="AS4" i="45"/>
  <c r="L5" i="52"/>
  <c r="AX4" i="45"/>
  <c r="Q5" i="52"/>
  <c r="AM4" i="45"/>
  <c r="F5" i="52"/>
  <c r="BB4" i="45"/>
  <c r="U5" i="52"/>
  <c r="BL4" i="45"/>
  <c r="AE5" i="52"/>
  <c r="BG4" i="45"/>
  <c r="Z5" i="52"/>
  <c r="AF247" i="53"/>
  <c r="AD170" i="54"/>
  <c r="AC175" i="54"/>
  <c r="AD90" i="54"/>
  <c r="AC93" i="54"/>
  <c r="AD92" i="54"/>
  <c r="Z105" i="54"/>
  <c r="Z104" i="54"/>
  <c r="Z103" i="54"/>
  <c r="AB258" i="54"/>
  <c r="AB179" i="54"/>
  <c r="AB259" i="54" s="1"/>
  <c r="AC178" i="54"/>
  <c r="AC173" i="54"/>
  <c r="AD91" i="54"/>
  <c r="AD174" i="54"/>
  <c r="AD172" i="54"/>
  <c r="AC195" i="54"/>
  <c r="AD186" i="54"/>
  <c r="AA97" i="54"/>
  <c r="AA101" i="54"/>
  <c r="AA96" i="54"/>
  <c r="AA95" i="54"/>
  <c r="AD171" i="54"/>
  <c r="AE181" i="54"/>
  <c r="AB86" i="54"/>
  <c r="AB88" i="54" s="1"/>
  <c r="AC85" i="54"/>
  <c r="AB87" i="54"/>
  <c r="AB100" i="54" s="1"/>
  <c r="AF192" i="54"/>
  <c r="AC193" i="54"/>
  <c r="AC194" i="54"/>
  <c r="AC180" i="54"/>
  <c r="AD185" i="54"/>
  <c r="AD196" i="54"/>
  <c r="AC191" i="54"/>
  <c r="AD125" i="54"/>
  <c r="AE123" i="54"/>
  <c r="AD127" i="54"/>
  <c r="AC184" i="54"/>
  <c r="AC187" i="54"/>
  <c r="AB97" i="53"/>
  <c r="AE91" i="53"/>
  <c r="AC193" i="53"/>
  <c r="AC184" i="53"/>
  <c r="AC192" i="53"/>
  <c r="AC95" i="53"/>
  <c r="AD90" i="53"/>
  <c r="AE173" i="53"/>
  <c r="AD171" i="53"/>
  <c r="AE174" i="53"/>
  <c r="AE181" i="53"/>
  <c r="AD195" i="53"/>
  <c r="AD123" i="53"/>
  <c r="AC125" i="53"/>
  <c r="AC96" i="53"/>
  <c r="AC170" i="53"/>
  <c r="AB258" i="53"/>
  <c r="AC178" i="53"/>
  <c r="AB179" i="53"/>
  <c r="AB259" i="53" s="1"/>
  <c r="AB127" i="53"/>
  <c r="AD172" i="53"/>
  <c r="AD86" i="53"/>
  <c r="AD88" i="53" s="1"/>
  <c r="AE85" i="53"/>
  <c r="AD87" i="53"/>
  <c r="AE194" i="53"/>
  <c r="AD186" i="53"/>
  <c r="AD187" i="53"/>
  <c r="AC92" i="53"/>
  <c r="AD118" i="53"/>
  <c r="AC119" i="53"/>
  <c r="AC121" i="53" s="1"/>
  <c r="AC128" i="53" s="1"/>
  <c r="AC120" i="53"/>
  <c r="AC185" i="53"/>
  <c r="AE191" i="53"/>
  <c r="AC175" i="53"/>
  <c r="AC180" i="53"/>
  <c r="AC196" i="53"/>
  <c r="BG45" i="51"/>
  <c r="AE3" i="51"/>
  <c r="AB45" i="51"/>
  <c r="AB11" i="44"/>
  <c r="F59" i="44" s="1"/>
  <c r="R17" i="43"/>
  <c r="R19" i="43"/>
  <c r="R16" i="43"/>
  <c r="H5" i="45" s="1"/>
  <c r="R21" i="43"/>
  <c r="R20" i="43"/>
  <c r="AP18" i="43"/>
  <c r="AF7" i="45" s="1"/>
  <c r="AK18" i="43"/>
  <c r="AA7" i="45" s="1"/>
  <c r="AF22" i="43"/>
  <c r="BB6" i="45"/>
  <c r="T15" i="45"/>
  <c r="AZ15" i="45" s="1"/>
  <c r="AZ7" i="45"/>
  <c r="L15" i="45"/>
  <c r="AR15" i="45" s="1"/>
  <c r="AR7" i="45"/>
  <c r="Q18" i="43"/>
  <c r="G7" i="45" s="1"/>
  <c r="AL20" i="43"/>
  <c r="AL16" i="43"/>
  <c r="AB5" i="45" s="1"/>
  <c r="AL21" i="43"/>
  <c r="AL19" i="43"/>
  <c r="AL17" i="43"/>
  <c r="AE15" i="45"/>
  <c r="BK15" i="45" s="1"/>
  <c r="BK7" i="45"/>
  <c r="AX6" i="45"/>
  <c r="AA22" i="43"/>
  <c r="BF7" i="45"/>
  <c r="Z15" i="45"/>
  <c r="BF15" i="45" s="1"/>
  <c r="AQ19" i="43"/>
  <c r="AQ17" i="43"/>
  <c r="AQ16" i="43"/>
  <c r="AG5" i="45" s="1"/>
  <c r="AQ21" i="43"/>
  <c r="AQ20" i="43"/>
  <c r="BB5" i="45"/>
  <c r="V13" i="45"/>
  <c r="BB13" i="45" s="1"/>
  <c r="U15" i="45"/>
  <c r="BA15" i="45" s="1"/>
  <c r="BA7" i="45"/>
  <c r="AX7" i="45"/>
  <c r="W22" i="43"/>
  <c r="AO22" i="43"/>
  <c r="Y15" i="45"/>
  <c r="BE15" i="45" s="1"/>
  <c r="BE7" i="45"/>
  <c r="AX5" i="45"/>
  <c r="R13" i="45"/>
  <c r="AX13" i="45" s="1"/>
  <c r="AG17" i="43"/>
  <c r="AG16" i="43"/>
  <c r="W5" i="45" s="1"/>
  <c r="AG21" i="43"/>
  <c r="AG20" i="43"/>
  <c r="AG19" i="43"/>
  <c r="BK5" i="45"/>
  <c r="AE13" i="45"/>
  <c r="BK13" i="45" s="1"/>
  <c r="AJ22" i="43"/>
  <c r="P15" i="45"/>
  <c r="AV15" i="45" s="1"/>
  <c r="AV7" i="45"/>
  <c r="BL5" i="45"/>
  <c r="AF13" i="45"/>
  <c r="BL13" i="45" s="1"/>
  <c r="AK22" i="43"/>
  <c r="M13" i="45"/>
  <c r="AS13" i="45" s="1"/>
  <c r="AS5" i="45"/>
  <c r="V303" i="48"/>
  <c r="Y296" i="48"/>
  <c r="U371" i="48"/>
  <c r="W131" i="48"/>
  <c r="X290" i="48"/>
  <c r="W291" i="48"/>
  <c r="U136" i="48"/>
  <c r="U137" i="48"/>
  <c r="U135" i="48"/>
  <c r="V298" i="48"/>
  <c r="W293" i="48"/>
  <c r="V284" i="48"/>
  <c r="W132" i="48"/>
  <c r="W287" i="48"/>
  <c r="W297" i="48"/>
  <c r="W283" i="48"/>
  <c r="X292" i="48"/>
  <c r="V286" i="48"/>
  <c r="X130" i="48"/>
  <c r="W306" i="48"/>
  <c r="V305" i="48"/>
  <c r="W308" i="48"/>
  <c r="W285" i="48"/>
  <c r="V282" i="48"/>
  <c r="V307" i="48"/>
  <c r="W304" i="48"/>
  <c r="V299" i="48"/>
  <c r="V191" i="48"/>
  <c r="V193" i="48" s="1"/>
  <c r="V200" i="48" s="1"/>
  <c r="V370" i="48" s="1"/>
  <c r="W190" i="48"/>
  <c r="V192" i="48"/>
  <c r="V133" i="48"/>
  <c r="U199" i="48"/>
  <c r="V195" i="48"/>
  <c r="U197" i="48"/>
  <c r="W125" i="48"/>
  <c r="V126" i="48"/>
  <c r="V128" i="48" s="1"/>
  <c r="V127" i="48"/>
  <c r="W359" i="48"/>
  <c r="W299" i="46"/>
  <c r="Y287" i="46"/>
  <c r="X283" i="46"/>
  <c r="U197" i="46"/>
  <c r="U199" i="46"/>
  <c r="V195" i="46"/>
  <c r="W308" i="46"/>
  <c r="W284" i="46"/>
  <c r="V292" i="46"/>
  <c r="X298" i="46"/>
  <c r="U136" i="46"/>
  <c r="U137" i="46"/>
  <c r="U135" i="46"/>
  <c r="V293" i="46"/>
  <c r="W285" i="46"/>
  <c r="V304" i="46"/>
  <c r="W303" i="46"/>
  <c r="W307" i="46"/>
  <c r="U371" i="46"/>
  <c r="V286" i="46"/>
  <c r="V296" i="46"/>
  <c r="W282" i="46"/>
  <c r="W290" i="46"/>
  <c r="V291" i="46"/>
  <c r="V305" i="46"/>
  <c r="W190" i="46"/>
  <c r="V191" i="46"/>
  <c r="V193" i="46" s="1"/>
  <c r="V200" i="46" s="1"/>
  <c r="V370" i="46" s="1"/>
  <c r="V192" i="46"/>
  <c r="Y131" i="46"/>
  <c r="V297" i="46"/>
  <c r="V132" i="46"/>
  <c r="V133" i="46" s="1"/>
  <c r="W306" i="46"/>
  <c r="V126" i="46"/>
  <c r="V128" i="46" s="1"/>
  <c r="V135" i="46" s="1"/>
  <c r="W125" i="46"/>
  <c r="V127" i="46"/>
  <c r="W130" i="46"/>
  <c r="I110" i="24"/>
  <c r="H61" i="33" s="1"/>
  <c r="I96" i="24"/>
  <c r="H60" i="33" s="1"/>
  <c r="D62" i="44"/>
  <c r="D63" i="44" s="1"/>
  <c r="G59" i="44"/>
  <c r="G62" i="44" s="1"/>
  <c r="AP9" i="43"/>
  <c r="AF52" i="58" s="1"/>
  <c r="BL52" i="58" s="1"/>
  <c r="CR52" i="58" s="1"/>
  <c r="CR53" i="58" s="1"/>
  <c r="CR54" i="58" s="1"/>
  <c r="AB4" i="45"/>
  <c r="AL10" i="43"/>
  <c r="AG4" i="45"/>
  <c r="AQ10" i="43"/>
  <c r="W9" i="43"/>
  <c r="AF9" i="43"/>
  <c r="H4" i="45"/>
  <c r="R10" i="43"/>
  <c r="AB9" i="43"/>
  <c r="AK9" i="43"/>
  <c r="W4" i="45"/>
  <c r="AG10" i="43"/>
  <c r="T3" i="44"/>
  <c r="T4" i="44"/>
  <c r="Q9" i="43"/>
  <c r="Q3" i="45"/>
  <c r="Q9" i="45" s="1"/>
  <c r="AW9" i="45" s="1"/>
  <c r="R8" i="43"/>
  <c r="H47" i="58" s="1"/>
  <c r="AN47" i="58" s="1"/>
  <c r="BT47" i="58" s="1"/>
  <c r="BT48" i="58" s="1"/>
  <c r="R11" i="43"/>
  <c r="R12" i="43"/>
  <c r="R7" i="43"/>
  <c r="H42" i="58" s="1"/>
  <c r="AN42" i="58" s="1"/>
  <c r="BT42" i="58" s="1"/>
  <c r="BT43" i="58" s="1"/>
  <c r="AL8" i="43"/>
  <c r="AB47" i="58" s="1"/>
  <c r="BH47" i="58" s="1"/>
  <c r="CN47" i="58" s="1"/>
  <c r="CN48" i="58" s="1"/>
  <c r="AL7" i="43"/>
  <c r="AB42" i="58" s="1"/>
  <c r="BH42" i="58" s="1"/>
  <c r="CN42" i="58" s="1"/>
  <c r="CN43" i="58" s="1"/>
  <c r="AL12" i="43"/>
  <c r="AL11" i="43"/>
  <c r="AG8" i="43"/>
  <c r="W47" i="58" s="1"/>
  <c r="BC47" i="58" s="1"/>
  <c r="CI47" i="58" s="1"/>
  <c r="CI48" i="58" s="1"/>
  <c r="AG11" i="43"/>
  <c r="AG12" i="43"/>
  <c r="AG7" i="43"/>
  <c r="W42" i="58" s="1"/>
  <c r="BC42" i="58" s="1"/>
  <c r="CI42" i="58" s="1"/>
  <c r="CI43" i="58" s="1"/>
  <c r="AQ7" i="43"/>
  <c r="AG42" i="58" s="1"/>
  <c r="BM42" i="58" s="1"/>
  <c r="CS42" i="58" s="1"/>
  <c r="CS43" i="58" s="1"/>
  <c r="AQ12" i="43"/>
  <c r="AQ8" i="43"/>
  <c r="AG47" i="58" s="1"/>
  <c r="BM47" i="58" s="1"/>
  <c r="CS47" i="58" s="1"/>
  <c r="CS48" i="58" s="1"/>
  <c r="AQ11" i="43"/>
  <c r="D32" i="36"/>
  <c r="D64" i="36"/>
  <c r="B6" i="3"/>
  <c r="D7" i="36"/>
  <c r="AN10" i="12" s="1"/>
  <c r="AO10" i="12" s="1"/>
  <c r="V15" i="45" l="1"/>
  <c r="BB15" i="45" s="1"/>
  <c r="AB22" i="43"/>
  <c r="BQ11" i="58"/>
  <c r="Q22" i="43"/>
  <c r="AP13" i="43"/>
  <c r="W133" i="48"/>
  <c r="CK11" i="58"/>
  <c r="AB13" i="43"/>
  <c r="R52" i="58"/>
  <c r="AX52" i="58" s="1"/>
  <c r="CD52" i="58" s="1"/>
  <c r="CD53" i="58" s="1"/>
  <c r="AG6" i="45"/>
  <c r="BM6" i="45" s="1"/>
  <c r="CA11" i="58"/>
  <c r="CA6" i="58"/>
  <c r="BR11" i="58"/>
  <c r="BR6" i="58"/>
  <c r="CG54" i="58"/>
  <c r="CG44" i="58"/>
  <c r="CG49" i="58"/>
  <c r="CR49" i="58"/>
  <c r="AK13" i="43"/>
  <c r="AA52" i="58"/>
  <c r="BG52" i="58" s="1"/>
  <c r="CM52" i="58" s="1"/>
  <c r="CM53" i="58" s="1"/>
  <c r="AB6" i="45"/>
  <c r="BH6" i="45" s="1"/>
  <c r="BV6" i="58"/>
  <c r="BV11" i="58"/>
  <c r="AG18" i="43"/>
  <c r="W7" i="45" s="1"/>
  <c r="W15" i="45" s="1"/>
  <c r="BC15" i="45" s="1"/>
  <c r="H6" i="45"/>
  <c r="AN6" i="45" s="1"/>
  <c r="BZ6" i="58"/>
  <c r="BZ11" i="58"/>
  <c r="Q13" i="43"/>
  <c r="G52" i="58"/>
  <c r="AM52" i="58" s="1"/>
  <c r="BS52" i="58" s="1"/>
  <c r="BS53" i="58" s="1"/>
  <c r="CR44" i="58"/>
  <c r="CQ54" i="58"/>
  <c r="CQ44" i="58"/>
  <c r="CQ49" i="58"/>
  <c r="CE6" i="58"/>
  <c r="CE11" i="58"/>
  <c r="CJ6" i="58"/>
  <c r="CJ11" i="58"/>
  <c r="BP54" i="58"/>
  <c r="BP44" i="58"/>
  <c r="BP49" i="58"/>
  <c r="CK6" i="58"/>
  <c r="AF13" i="43"/>
  <c r="V52" i="58"/>
  <c r="BB52" i="58" s="1"/>
  <c r="CH52" i="58" s="1"/>
  <c r="CH53" i="58" s="1"/>
  <c r="CC54" i="58"/>
  <c r="CC49" i="58"/>
  <c r="CC44" i="58"/>
  <c r="BX54" i="58"/>
  <c r="BX44" i="58"/>
  <c r="BX49" i="58"/>
  <c r="W13" i="43"/>
  <c r="M52" i="58"/>
  <c r="AS52" i="58" s="1"/>
  <c r="BY52" i="58" s="1"/>
  <c r="BY53" i="58" s="1"/>
  <c r="W6" i="45"/>
  <c r="BC6" i="45" s="1"/>
  <c r="BQ6" i="58"/>
  <c r="CL11" i="58"/>
  <c r="BK145" i="55"/>
  <c r="AF145" i="55"/>
  <c r="BL144" i="55"/>
  <c r="AG144" i="55"/>
  <c r="BM144" i="55" s="1"/>
  <c r="AG139" i="55"/>
  <c r="BM139" i="55" s="1"/>
  <c r="DY139" i="55" s="1"/>
  <c r="BL139" i="55"/>
  <c r="DX139" i="55" s="1"/>
  <c r="BL143" i="55"/>
  <c r="DX143" i="55" s="1"/>
  <c r="AG143" i="55"/>
  <c r="BM143" i="55" s="1"/>
  <c r="DY143" i="55" s="1"/>
  <c r="AE168" i="55"/>
  <c r="BJ168" i="55"/>
  <c r="AF165" i="55"/>
  <c r="BK165" i="55"/>
  <c r="DW165" i="55" s="1"/>
  <c r="AF164" i="55"/>
  <c r="BK164" i="55"/>
  <c r="DW164" i="55" s="1"/>
  <c r="AF167" i="55"/>
  <c r="BK167" i="55"/>
  <c r="CQ162" i="55"/>
  <c r="BK166" i="55"/>
  <c r="DW166" i="55" s="1"/>
  <c r="AF166" i="55"/>
  <c r="AF162" i="55"/>
  <c r="BK162" i="55"/>
  <c r="DW162" i="55" s="1"/>
  <c r="BL163" i="55"/>
  <c r="DX163" i="55" s="1"/>
  <c r="AG163" i="55"/>
  <c r="BM163" i="55" s="1"/>
  <c r="DY163" i="55" s="1"/>
  <c r="AF118" i="55"/>
  <c r="BK118" i="55"/>
  <c r="DW118" i="55" s="1"/>
  <c r="AF120" i="55"/>
  <c r="BK120" i="55"/>
  <c r="DW120" i="55" s="1"/>
  <c r="CP116" i="55"/>
  <c r="AF75" i="55"/>
  <c r="BK75" i="55"/>
  <c r="BL71" i="55"/>
  <c r="DX71" i="55" s="1"/>
  <c r="AG71" i="55"/>
  <c r="BM71" i="55" s="1"/>
  <c r="DY71" i="55" s="1"/>
  <c r="AE99" i="55"/>
  <c r="BJ99" i="55"/>
  <c r="BK122" i="55"/>
  <c r="AF122" i="55"/>
  <c r="CQ93" i="55"/>
  <c r="AF70" i="55"/>
  <c r="BK70" i="55"/>
  <c r="DW70" i="55" s="1"/>
  <c r="BL117" i="55"/>
  <c r="DX117" i="55" s="1"/>
  <c r="AG117" i="55"/>
  <c r="BM117" i="55" s="1"/>
  <c r="DY117" i="55" s="1"/>
  <c r="BK121" i="55"/>
  <c r="AF121" i="55"/>
  <c r="BJ119" i="55"/>
  <c r="DV119" i="55" s="1"/>
  <c r="AE119" i="55"/>
  <c r="AG94" i="55"/>
  <c r="BM94" i="55" s="1"/>
  <c r="DY94" i="55" s="1"/>
  <c r="BL94" i="55"/>
  <c r="DX94" i="55" s="1"/>
  <c r="BK98" i="55"/>
  <c r="AF98" i="55"/>
  <c r="AF93" i="55"/>
  <c r="BK93" i="55"/>
  <c r="DW93" i="55" s="1"/>
  <c r="BK74" i="55"/>
  <c r="DW74" i="55" s="1"/>
  <c r="AF74" i="55"/>
  <c r="AE76" i="55"/>
  <c r="BJ76" i="55"/>
  <c r="BK97" i="55"/>
  <c r="DW97" i="55" s="1"/>
  <c r="AF97" i="55"/>
  <c r="BK116" i="55"/>
  <c r="DW116" i="55" s="1"/>
  <c r="AF116" i="55"/>
  <c r="CQ70" i="55"/>
  <c r="CS97" i="55"/>
  <c r="BK52" i="55"/>
  <c r="AF52" i="55"/>
  <c r="BK47" i="55"/>
  <c r="DW47" i="55" s="1"/>
  <c r="AF47" i="55"/>
  <c r="AF51" i="55"/>
  <c r="BK51" i="55"/>
  <c r="DW51" i="55" s="1"/>
  <c r="BL48" i="55"/>
  <c r="DX48" i="55" s="1"/>
  <c r="AG48" i="55"/>
  <c r="BM48" i="55" s="1"/>
  <c r="DY48" i="55" s="1"/>
  <c r="AF53" i="55"/>
  <c r="BK53" i="55"/>
  <c r="AE50" i="55"/>
  <c r="BJ50" i="55"/>
  <c r="DV50" i="55" s="1"/>
  <c r="AF49" i="55"/>
  <c r="BK49" i="55"/>
  <c r="DW49" i="55" s="1"/>
  <c r="AF30" i="55"/>
  <c r="BK30" i="55"/>
  <c r="AG28" i="55"/>
  <c r="BM28" i="55" s="1"/>
  <c r="DY28" i="55" s="1"/>
  <c r="BL28" i="55"/>
  <c r="DX28" i="55" s="1"/>
  <c r="CR24" i="55"/>
  <c r="AG29" i="55"/>
  <c r="BM29" i="55" s="1"/>
  <c r="BL29" i="55"/>
  <c r="AF204" i="55"/>
  <c r="AF205" i="55" s="1"/>
  <c r="AG24" i="55"/>
  <c r="BM24" i="55" s="1"/>
  <c r="DY24" i="55" s="1"/>
  <c r="AG3" i="55"/>
  <c r="BC4" i="45"/>
  <c r="V5" i="52"/>
  <c r="BM4" i="45"/>
  <c r="AF5" i="52"/>
  <c r="BH4" i="45"/>
  <c r="AA5" i="52"/>
  <c r="AN4" i="45"/>
  <c r="G5" i="52"/>
  <c r="AG247" i="53"/>
  <c r="AE185" i="54"/>
  <c r="AB96" i="54"/>
  <c r="AB101" i="54"/>
  <c r="AB102" i="54" s="1"/>
  <c r="AB97" i="54"/>
  <c r="AB95" i="54"/>
  <c r="AD191" i="54"/>
  <c r="AD180" i="54"/>
  <c r="AF181" i="54"/>
  <c r="AA104" i="54"/>
  <c r="AA103" i="54"/>
  <c r="AA105" i="54"/>
  <c r="AE174" i="54"/>
  <c r="AE92" i="54"/>
  <c r="AE170" i="54"/>
  <c r="AD187" i="54"/>
  <c r="AE90" i="54"/>
  <c r="AD93" i="54"/>
  <c r="AE196" i="54"/>
  <c r="AE186" i="54"/>
  <c r="AD173" i="54"/>
  <c r="AE127" i="54"/>
  <c r="AE125" i="54"/>
  <c r="AF123" i="54"/>
  <c r="AE171" i="54"/>
  <c r="AD184" i="54"/>
  <c r="AC258" i="54"/>
  <c r="AC179" i="54"/>
  <c r="AC259" i="54" s="1"/>
  <c r="AD178" i="54"/>
  <c r="AD195" i="54"/>
  <c r="AA102" i="54"/>
  <c r="AD175" i="54"/>
  <c r="AD194" i="54"/>
  <c r="AD193" i="54"/>
  <c r="AC86" i="54"/>
  <c r="AC88" i="54" s="1"/>
  <c r="AD85" i="54"/>
  <c r="AC87" i="54"/>
  <c r="AC100" i="54" s="1"/>
  <c r="AE172" i="54"/>
  <c r="AE91" i="54"/>
  <c r="AD196" i="53"/>
  <c r="AD175" i="53"/>
  <c r="AF85" i="53"/>
  <c r="AE86" i="53"/>
  <c r="AE88" i="53" s="1"/>
  <c r="AE87" i="53"/>
  <c r="AF91" i="53"/>
  <c r="AD96" i="53"/>
  <c r="AE195" i="53"/>
  <c r="AD92" i="53"/>
  <c r="AD93" i="53" s="1"/>
  <c r="AE186" i="53"/>
  <c r="AC258" i="53"/>
  <c r="AC179" i="53"/>
  <c r="AC259" i="53" s="1"/>
  <c r="AD178" i="53"/>
  <c r="AE171" i="53"/>
  <c r="AD192" i="53"/>
  <c r="AD170" i="53"/>
  <c r="AF181" i="53"/>
  <c r="AD95" i="53"/>
  <c r="AE90" i="53"/>
  <c r="AD193" i="53"/>
  <c r="AF191" i="53"/>
  <c r="AE187" i="53"/>
  <c r="AE172" i="53"/>
  <c r="AD125" i="53"/>
  <c r="AE123" i="53"/>
  <c r="AF174" i="53"/>
  <c r="AD184" i="53"/>
  <c r="AC127" i="53"/>
  <c r="AF173" i="53"/>
  <c r="AD180" i="53"/>
  <c r="AD185" i="53"/>
  <c r="AC97" i="53"/>
  <c r="AC93" i="53"/>
  <c r="AD119" i="53"/>
  <c r="AD121" i="53" s="1"/>
  <c r="AD128" i="53" s="1"/>
  <c r="AE118" i="53"/>
  <c r="AD120" i="53"/>
  <c r="AF194" i="53"/>
  <c r="BH45" i="51"/>
  <c r="AF3" i="51"/>
  <c r="AC45" i="51"/>
  <c r="AM5" i="45"/>
  <c r="G13" i="45"/>
  <c r="AM13" i="45" s="1"/>
  <c r="AN5" i="45"/>
  <c r="H13" i="45"/>
  <c r="AN13" i="45" s="1"/>
  <c r="M15" i="45"/>
  <c r="AS15" i="45" s="1"/>
  <c r="AS7" i="45"/>
  <c r="Q15" i="45"/>
  <c r="AW15" i="45" s="1"/>
  <c r="AW7" i="45"/>
  <c r="AQ18" i="43"/>
  <c r="AG7" i="45" s="1"/>
  <c r="BH5" i="45"/>
  <c r="AB13" i="45"/>
  <c r="BH13" i="45" s="1"/>
  <c r="AL18" i="43"/>
  <c r="AB7" i="45" s="1"/>
  <c r="AA15" i="45"/>
  <c r="BG15" i="45" s="1"/>
  <c r="BG7" i="45"/>
  <c r="BG5" i="45"/>
  <c r="AA13" i="45"/>
  <c r="BG13" i="45" s="1"/>
  <c r="AG13" i="45"/>
  <c r="BM13" i="45" s="1"/>
  <c r="BM5" i="45"/>
  <c r="G15" i="45"/>
  <c r="AM15" i="45" s="1"/>
  <c r="AM7" i="45"/>
  <c r="AP22" i="43"/>
  <c r="T9" i="44"/>
  <c r="H21" i="44" s="1"/>
  <c r="AN12" i="12"/>
  <c r="AO12" i="12" s="1"/>
  <c r="R18" i="43"/>
  <c r="H7" i="45" s="1"/>
  <c r="X293" i="48"/>
  <c r="X359" i="48"/>
  <c r="X125" i="48"/>
  <c r="W126" i="48"/>
  <c r="W128" i="48" s="1"/>
  <c r="W127" i="48"/>
  <c r="X304" i="48"/>
  <c r="X285" i="48"/>
  <c r="W305" i="48"/>
  <c r="X306" i="48"/>
  <c r="X283" i="48"/>
  <c r="V371" i="48"/>
  <c r="X131" i="48"/>
  <c r="W299" i="48"/>
  <c r="X190" i="48"/>
  <c r="W191" i="48"/>
  <c r="W193" i="48" s="1"/>
  <c r="W200" i="48" s="1"/>
  <c r="W370" i="48" s="1"/>
  <c r="W192" i="48"/>
  <c r="Y130" i="48"/>
  <c r="Y292" i="48"/>
  <c r="X297" i="48"/>
  <c r="X132" i="48"/>
  <c r="W284" i="48"/>
  <c r="W298" i="48"/>
  <c r="X291" i="48"/>
  <c r="Y290" i="48"/>
  <c r="Z296" i="48"/>
  <c r="W303" i="48"/>
  <c r="V136" i="48"/>
  <c r="V137" i="48"/>
  <c r="V135" i="48"/>
  <c r="V197" i="48"/>
  <c r="V199" i="48"/>
  <c r="W195" i="48"/>
  <c r="W307" i="48"/>
  <c r="W282" i="48"/>
  <c r="X308" i="48"/>
  <c r="W286" i="48"/>
  <c r="X287" i="48"/>
  <c r="W305" i="46"/>
  <c r="V371" i="46"/>
  <c r="W286" i="46"/>
  <c r="X307" i="46"/>
  <c r="X284" i="46"/>
  <c r="V197" i="46"/>
  <c r="V199" i="46"/>
  <c r="W195" i="46"/>
  <c r="W126" i="46"/>
  <c r="W128" i="46" s="1"/>
  <c r="W135" i="46" s="1"/>
  <c r="X125" i="46"/>
  <c r="W127" i="46"/>
  <c r="Z131" i="46"/>
  <c r="W291" i="46"/>
  <c r="X290" i="46"/>
  <c r="X282" i="46"/>
  <c r="X285" i="46"/>
  <c r="Z287" i="46"/>
  <c r="V136" i="46"/>
  <c r="V137" i="46"/>
  <c r="W296" i="46"/>
  <c r="X308" i="46"/>
  <c r="W132" i="46"/>
  <c r="W133" i="46" s="1"/>
  <c r="X130" i="46"/>
  <c r="X306" i="46"/>
  <c r="W297" i="46"/>
  <c r="W191" i="46"/>
  <c r="W193" i="46" s="1"/>
  <c r="W200" i="46" s="1"/>
  <c r="W370" i="46" s="1"/>
  <c r="X190" i="46"/>
  <c r="W192" i="46"/>
  <c r="X303" i="46"/>
  <c r="W304" i="46"/>
  <c r="W293" i="46"/>
  <c r="Y298" i="46"/>
  <c r="W292" i="46"/>
  <c r="Y283" i="46"/>
  <c r="X299" i="46"/>
  <c r="G63" i="44"/>
  <c r="AQ9" i="43"/>
  <c r="AG52" i="58" s="1"/>
  <c r="BM52" i="58" s="1"/>
  <c r="CS52" i="58" s="1"/>
  <c r="CS53" i="58" s="1"/>
  <c r="CS54" i="58" s="1"/>
  <c r="T13" i="44"/>
  <c r="S10" i="44" s="1"/>
  <c r="AG9" i="43"/>
  <c r="AL9" i="43"/>
  <c r="AB52" i="58" s="1"/>
  <c r="BH52" i="58" s="1"/>
  <c r="CN52" i="58" s="1"/>
  <c r="CN53" i="58" s="1"/>
  <c r="CN54" i="58" s="1"/>
  <c r="R9" i="43"/>
  <c r="H52" i="58" s="1"/>
  <c r="AN52" i="58" s="1"/>
  <c r="BT52" i="58" s="1"/>
  <c r="BT53" i="58" s="1"/>
  <c r="BT54" i="58" s="1"/>
  <c r="R3" i="45"/>
  <c r="R9" i="45" s="1"/>
  <c r="AX9" i="45" s="1"/>
  <c r="F62" i="44"/>
  <c r="AJ64" i="36"/>
  <c r="D66" i="36"/>
  <c r="AJ7" i="36"/>
  <c r="D15" i="36"/>
  <c r="AJ15" i="36" s="1"/>
  <c r="D331" i="42"/>
  <c r="D326" i="42"/>
  <c r="E326" i="42" s="1"/>
  <c r="F326" i="42" s="1"/>
  <c r="G326" i="42" s="1"/>
  <c r="H326" i="42" s="1"/>
  <c r="I326" i="42" s="1"/>
  <c r="J326" i="42" s="1"/>
  <c r="K326" i="42" s="1"/>
  <c r="L326" i="42" s="1"/>
  <c r="M326" i="42" s="1"/>
  <c r="N326" i="42" s="1"/>
  <c r="O326" i="42" s="1"/>
  <c r="P326" i="42" s="1"/>
  <c r="Q326" i="42" s="1"/>
  <c r="R326" i="42" s="1"/>
  <c r="S326" i="42" s="1"/>
  <c r="T326" i="42" s="1"/>
  <c r="U326" i="42" s="1"/>
  <c r="V326" i="42" s="1"/>
  <c r="W326" i="42" s="1"/>
  <c r="X326" i="42" s="1"/>
  <c r="Y326" i="42" s="1"/>
  <c r="Z326" i="42" s="1"/>
  <c r="AA326" i="42" s="1"/>
  <c r="AB326" i="42" s="1"/>
  <c r="AC326" i="42" s="1"/>
  <c r="AD326" i="42" s="1"/>
  <c r="AE326" i="42" s="1"/>
  <c r="AF326" i="42" s="1"/>
  <c r="AG326" i="42" s="1"/>
  <c r="D280" i="42"/>
  <c r="D279" i="42"/>
  <c r="D278" i="42"/>
  <c r="E278" i="42" s="1"/>
  <c r="D277" i="42"/>
  <c r="E277" i="42" s="1"/>
  <c r="F277" i="42" s="1"/>
  <c r="G277" i="42" s="1"/>
  <c r="D276" i="42"/>
  <c r="D275" i="42"/>
  <c r="D274" i="42"/>
  <c r="E274" i="42" s="1"/>
  <c r="F274" i="42" s="1"/>
  <c r="G274" i="42" s="1"/>
  <c r="H274" i="42" s="1"/>
  <c r="I274" i="42" s="1"/>
  <c r="J274" i="42" s="1"/>
  <c r="K274" i="42" s="1"/>
  <c r="L274" i="42" s="1"/>
  <c r="M274" i="42" s="1"/>
  <c r="N274" i="42" s="1"/>
  <c r="O274" i="42" s="1"/>
  <c r="P274" i="42" s="1"/>
  <c r="Q274" i="42" s="1"/>
  <c r="R274" i="42" s="1"/>
  <c r="S274" i="42" s="1"/>
  <c r="T274" i="42" s="1"/>
  <c r="U274" i="42" s="1"/>
  <c r="V274" i="42" s="1"/>
  <c r="W274" i="42" s="1"/>
  <c r="X274" i="42" s="1"/>
  <c r="Y274" i="42" s="1"/>
  <c r="Z274" i="42" s="1"/>
  <c r="AA274" i="42" s="1"/>
  <c r="AB274" i="42" s="1"/>
  <c r="AC274" i="42" s="1"/>
  <c r="AD274" i="42" s="1"/>
  <c r="AE274" i="42" s="1"/>
  <c r="AF274" i="42" s="1"/>
  <c r="D273" i="42"/>
  <c r="E273" i="42" s="1"/>
  <c r="F273" i="42" s="1"/>
  <c r="G273" i="42" s="1"/>
  <c r="H273" i="42" s="1"/>
  <c r="I273" i="42" s="1"/>
  <c r="J273" i="42" s="1"/>
  <c r="K273" i="42" s="1"/>
  <c r="L273" i="42" s="1"/>
  <c r="M273" i="42" s="1"/>
  <c r="N273" i="42" s="1"/>
  <c r="O273" i="42" s="1"/>
  <c r="P273" i="42" s="1"/>
  <c r="Q273" i="42" s="1"/>
  <c r="R273" i="42" s="1"/>
  <c r="S273" i="42" s="1"/>
  <c r="T273" i="42" s="1"/>
  <c r="U273" i="42" s="1"/>
  <c r="V273" i="42" s="1"/>
  <c r="W273" i="42" s="1"/>
  <c r="X273" i="42" s="1"/>
  <c r="Y273" i="42" s="1"/>
  <c r="Z273" i="42" s="1"/>
  <c r="AA273" i="42" s="1"/>
  <c r="AB273" i="42" s="1"/>
  <c r="AC273" i="42" s="1"/>
  <c r="AD273" i="42" s="1"/>
  <c r="AE273" i="42" s="1"/>
  <c r="AF273" i="42" s="1"/>
  <c r="D272" i="42"/>
  <c r="E272" i="42" s="1"/>
  <c r="F272" i="42" s="1"/>
  <c r="G272" i="42" s="1"/>
  <c r="H272" i="42" s="1"/>
  <c r="I272" i="42" s="1"/>
  <c r="J272" i="42" s="1"/>
  <c r="K272" i="42" s="1"/>
  <c r="L272" i="42" s="1"/>
  <c r="M272" i="42" s="1"/>
  <c r="N272" i="42" s="1"/>
  <c r="O272" i="42" s="1"/>
  <c r="P272" i="42" s="1"/>
  <c r="Q272" i="42" s="1"/>
  <c r="R272" i="42" s="1"/>
  <c r="S272" i="42" s="1"/>
  <c r="T272" i="42" s="1"/>
  <c r="U272" i="42" s="1"/>
  <c r="V272" i="42" s="1"/>
  <c r="W272" i="42" s="1"/>
  <c r="X272" i="42" s="1"/>
  <c r="Y272" i="42" s="1"/>
  <c r="Z272" i="42" s="1"/>
  <c r="AA272" i="42" s="1"/>
  <c r="AB272" i="42" s="1"/>
  <c r="AC272" i="42" s="1"/>
  <c r="AD272" i="42" s="1"/>
  <c r="AE272" i="42" s="1"/>
  <c r="AF272" i="42" s="1"/>
  <c r="D271" i="42"/>
  <c r="D270" i="42"/>
  <c r="E270" i="42" s="1"/>
  <c r="F270" i="42" s="1"/>
  <c r="D269" i="42"/>
  <c r="D268" i="42"/>
  <c r="D267" i="42"/>
  <c r="E267" i="42" s="1"/>
  <c r="F267" i="42" s="1"/>
  <c r="G267" i="42" s="1"/>
  <c r="H267" i="42" s="1"/>
  <c r="I267" i="42" s="1"/>
  <c r="J267" i="42" s="1"/>
  <c r="K267" i="42" s="1"/>
  <c r="L267" i="42" s="1"/>
  <c r="M267" i="42" s="1"/>
  <c r="N267" i="42" s="1"/>
  <c r="O267" i="42" s="1"/>
  <c r="P267" i="42" s="1"/>
  <c r="Q267" i="42" s="1"/>
  <c r="R267" i="42" s="1"/>
  <c r="S267" i="42" s="1"/>
  <c r="T267" i="42" s="1"/>
  <c r="U267" i="42" s="1"/>
  <c r="V267" i="42" s="1"/>
  <c r="W267" i="42" s="1"/>
  <c r="X267" i="42" s="1"/>
  <c r="Y267" i="42" s="1"/>
  <c r="Z267" i="42" s="1"/>
  <c r="AA267" i="42" s="1"/>
  <c r="AB267" i="42" s="1"/>
  <c r="AC267" i="42" s="1"/>
  <c r="AD267" i="42" s="1"/>
  <c r="AE267" i="42" s="1"/>
  <c r="AF267" i="42" s="1"/>
  <c r="D266" i="42"/>
  <c r="E266" i="42" s="1"/>
  <c r="F266" i="42" s="1"/>
  <c r="G266" i="42" s="1"/>
  <c r="H266" i="42" s="1"/>
  <c r="I266" i="42" s="1"/>
  <c r="J266" i="42" s="1"/>
  <c r="K266" i="42" s="1"/>
  <c r="L266" i="42" s="1"/>
  <c r="M266" i="42" s="1"/>
  <c r="N266" i="42" s="1"/>
  <c r="O266" i="42" s="1"/>
  <c r="P266" i="42" s="1"/>
  <c r="Q266" i="42" s="1"/>
  <c r="R266" i="42" s="1"/>
  <c r="S266" i="42" s="1"/>
  <c r="T266" i="42" s="1"/>
  <c r="U266" i="42" s="1"/>
  <c r="V266" i="42" s="1"/>
  <c r="W266" i="42" s="1"/>
  <c r="X266" i="42" s="1"/>
  <c r="Y266" i="42" s="1"/>
  <c r="Z266" i="42" s="1"/>
  <c r="AA266" i="42" s="1"/>
  <c r="AB266" i="42" s="1"/>
  <c r="AC266" i="42" s="1"/>
  <c r="AD266" i="42" s="1"/>
  <c r="AE266" i="42" s="1"/>
  <c r="AF266" i="42" s="1"/>
  <c r="D265" i="42"/>
  <c r="E265" i="42" s="1"/>
  <c r="F265" i="42" s="1"/>
  <c r="D264" i="42"/>
  <c r="AG263" i="42"/>
  <c r="C263" i="42"/>
  <c r="D262" i="42"/>
  <c r="D261" i="42"/>
  <c r="E261" i="42" s="1"/>
  <c r="F261" i="42" s="1"/>
  <c r="G261" i="42" s="1"/>
  <c r="H261" i="42" s="1"/>
  <c r="I261" i="42" s="1"/>
  <c r="J261" i="42" s="1"/>
  <c r="K261" i="42" s="1"/>
  <c r="L261" i="42" s="1"/>
  <c r="M261" i="42" s="1"/>
  <c r="N261" i="42" s="1"/>
  <c r="O261" i="42" s="1"/>
  <c r="P261" i="42" s="1"/>
  <c r="Q261" i="42" s="1"/>
  <c r="R261" i="42" s="1"/>
  <c r="S261" i="42" s="1"/>
  <c r="T261" i="42" s="1"/>
  <c r="U261" i="42" s="1"/>
  <c r="V261" i="42" s="1"/>
  <c r="W261" i="42" s="1"/>
  <c r="X261" i="42" s="1"/>
  <c r="Y261" i="42" s="1"/>
  <c r="Z261" i="42" s="1"/>
  <c r="AA261" i="42" s="1"/>
  <c r="AB261" i="42" s="1"/>
  <c r="AC261" i="42" s="1"/>
  <c r="AD261" i="42" s="1"/>
  <c r="AE261" i="42" s="1"/>
  <c r="AF261" i="42" s="1"/>
  <c r="D259" i="42"/>
  <c r="E259" i="42" s="1"/>
  <c r="D258" i="42"/>
  <c r="E258" i="42" s="1"/>
  <c r="D257" i="42"/>
  <c r="D256" i="42"/>
  <c r="E256" i="42" s="1"/>
  <c r="D255" i="42"/>
  <c r="E255" i="42" s="1"/>
  <c r="D254" i="42"/>
  <c r="E254" i="42" s="1"/>
  <c r="F254" i="42" s="1"/>
  <c r="D253" i="42"/>
  <c r="E253" i="42" s="1"/>
  <c r="F253" i="42" s="1"/>
  <c r="G253" i="42" s="1"/>
  <c r="H253" i="42" s="1"/>
  <c r="I253" i="42" s="1"/>
  <c r="J253" i="42" s="1"/>
  <c r="K253" i="42" s="1"/>
  <c r="L253" i="42" s="1"/>
  <c r="M253" i="42" s="1"/>
  <c r="N253" i="42" s="1"/>
  <c r="O253" i="42" s="1"/>
  <c r="P253" i="42" s="1"/>
  <c r="Q253" i="42" s="1"/>
  <c r="R253" i="42" s="1"/>
  <c r="S253" i="42" s="1"/>
  <c r="T253" i="42" s="1"/>
  <c r="U253" i="42" s="1"/>
  <c r="V253" i="42" s="1"/>
  <c r="W253" i="42" s="1"/>
  <c r="X253" i="42" s="1"/>
  <c r="Y253" i="42" s="1"/>
  <c r="Z253" i="42" s="1"/>
  <c r="AA253" i="42" s="1"/>
  <c r="AB253" i="42" s="1"/>
  <c r="AC253" i="42" s="1"/>
  <c r="AD253" i="42" s="1"/>
  <c r="AE253" i="42" s="1"/>
  <c r="AF253" i="42" s="1"/>
  <c r="AG231" i="42"/>
  <c r="C231" i="42"/>
  <c r="AG216" i="42"/>
  <c r="C216" i="42"/>
  <c r="C178" i="42"/>
  <c r="C179" i="42" s="1"/>
  <c r="D177" i="42"/>
  <c r="AG174" i="42"/>
  <c r="C174" i="42"/>
  <c r="AG173" i="42"/>
  <c r="AG175" i="42" s="1"/>
  <c r="C173" i="42"/>
  <c r="C175" i="42" s="1"/>
  <c r="D172" i="42"/>
  <c r="E172" i="42" s="1"/>
  <c r="F172" i="42" s="1"/>
  <c r="AG170" i="42"/>
  <c r="C170" i="42"/>
  <c r="C122" i="42"/>
  <c r="D121" i="42"/>
  <c r="E121" i="42" s="1"/>
  <c r="F121" i="42" s="1"/>
  <c r="D120" i="42"/>
  <c r="AG117" i="42"/>
  <c r="C117" i="42"/>
  <c r="AG116" i="42"/>
  <c r="AG118" i="42" s="1"/>
  <c r="C116" i="42"/>
  <c r="C118" i="42" s="1"/>
  <c r="D115" i="42"/>
  <c r="E115" i="42" s="1"/>
  <c r="AG113" i="42"/>
  <c r="C113" i="42"/>
  <c r="AG54" i="42"/>
  <c r="W52" i="42"/>
  <c r="W49" i="42" s="1"/>
  <c r="M52" i="42"/>
  <c r="M49" i="42" s="1"/>
  <c r="C52" i="42"/>
  <c r="C49" i="42" s="1"/>
  <c r="AG51" i="42"/>
  <c r="AG50" i="42"/>
  <c r="C10" i="42"/>
  <c r="D10" i="42" s="1"/>
  <c r="E10" i="42" s="1"/>
  <c r="F10" i="42" s="1"/>
  <c r="G10" i="42" s="1"/>
  <c r="H10" i="42" s="1"/>
  <c r="I10" i="42" s="1"/>
  <c r="J10" i="42" s="1"/>
  <c r="K10" i="42" s="1"/>
  <c r="L10" i="42" s="1"/>
  <c r="M10" i="42" s="1"/>
  <c r="N10" i="42" s="1"/>
  <c r="O10" i="42" s="1"/>
  <c r="P10" i="42" s="1"/>
  <c r="Q10" i="42" s="1"/>
  <c r="R10" i="42" s="1"/>
  <c r="S10" i="42" s="1"/>
  <c r="T10" i="42" s="1"/>
  <c r="U10" i="42" s="1"/>
  <c r="V10" i="42" s="1"/>
  <c r="W10" i="42" s="1"/>
  <c r="X10" i="42" s="1"/>
  <c r="Y10" i="42" s="1"/>
  <c r="Z10" i="42" s="1"/>
  <c r="AA10" i="42" s="1"/>
  <c r="AB10" i="42" s="1"/>
  <c r="AC10" i="42" s="1"/>
  <c r="AD10" i="42" s="1"/>
  <c r="AE10" i="42" s="1"/>
  <c r="AF10" i="42" s="1"/>
  <c r="AG10" i="42" s="1"/>
  <c r="X1" i="42"/>
  <c r="N1" i="42"/>
  <c r="N51" i="42" s="1"/>
  <c r="D1" i="42"/>
  <c r="E1" i="42" s="1"/>
  <c r="C10" i="38"/>
  <c r="D10" i="38" s="1"/>
  <c r="E10" i="38" s="1"/>
  <c r="F10" i="38" s="1"/>
  <c r="G10" i="38" s="1"/>
  <c r="H10" i="38" s="1"/>
  <c r="I10" i="38" s="1"/>
  <c r="J10" i="38" s="1"/>
  <c r="K10" i="38" s="1"/>
  <c r="L10" i="38" s="1"/>
  <c r="M10" i="38" s="1"/>
  <c r="N10" i="38" s="1"/>
  <c r="O10" i="38" s="1"/>
  <c r="P10" i="38" s="1"/>
  <c r="Q10" i="38" s="1"/>
  <c r="R10" i="38" s="1"/>
  <c r="S10" i="38" s="1"/>
  <c r="T10" i="38" s="1"/>
  <c r="U10" i="38" s="1"/>
  <c r="V10" i="38" s="1"/>
  <c r="W10" i="38" s="1"/>
  <c r="X10" i="38" s="1"/>
  <c r="Y10" i="38" s="1"/>
  <c r="Z10" i="38" s="1"/>
  <c r="AA10" i="38" s="1"/>
  <c r="AB10" i="38" s="1"/>
  <c r="AC10" i="38" s="1"/>
  <c r="AD10" i="38" s="1"/>
  <c r="AE10" i="38" s="1"/>
  <c r="AF10" i="38" s="1"/>
  <c r="AG10" i="38" s="1"/>
  <c r="D331" i="38"/>
  <c r="E331" i="38" s="1"/>
  <c r="D326" i="38"/>
  <c r="E326" i="38" s="1"/>
  <c r="F326" i="38" s="1"/>
  <c r="G326" i="38" s="1"/>
  <c r="H326" i="38" s="1"/>
  <c r="I326" i="38" s="1"/>
  <c r="J326" i="38" s="1"/>
  <c r="K326" i="38" s="1"/>
  <c r="L326" i="38" s="1"/>
  <c r="D280" i="38"/>
  <c r="E280" i="38" s="1"/>
  <c r="F280" i="38" s="1"/>
  <c r="D279" i="38"/>
  <c r="D278" i="38"/>
  <c r="D277" i="38"/>
  <c r="D276" i="38"/>
  <c r="E276" i="38" s="1"/>
  <c r="F276" i="38" s="1"/>
  <c r="D275" i="38"/>
  <c r="D274" i="38"/>
  <c r="D273" i="38"/>
  <c r="E273" i="38" s="1"/>
  <c r="F273" i="38" s="1"/>
  <c r="G273" i="38" s="1"/>
  <c r="H273" i="38" s="1"/>
  <c r="I273" i="38" s="1"/>
  <c r="J273" i="38" s="1"/>
  <c r="K273" i="38" s="1"/>
  <c r="L273" i="38" s="1"/>
  <c r="M273" i="38" s="1"/>
  <c r="N273" i="38" s="1"/>
  <c r="O273" i="38" s="1"/>
  <c r="P273" i="38" s="1"/>
  <c r="Q273" i="38" s="1"/>
  <c r="R273" i="38" s="1"/>
  <c r="S273" i="38" s="1"/>
  <c r="T273" i="38" s="1"/>
  <c r="U273" i="38" s="1"/>
  <c r="V273" i="38" s="1"/>
  <c r="W273" i="38" s="1"/>
  <c r="X273" i="38" s="1"/>
  <c r="Y273" i="38" s="1"/>
  <c r="Z273" i="38" s="1"/>
  <c r="AA273" i="38" s="1"/>
  <c r="AB273" i="38" s="1"/>
  <c r="AC273" i="38" s="1"/>
  <c r="AD273" i="38" s="1"/>
  <c r="AE273" i="38" s="1"/>
  <c r="AF273" i="38" s="1"/>
  <c r="D272" i="38"/>
  <c r="E272" i="38" s="1"/>
  <c r="F272" i="38" s="1"/>
  <c r="G272" i="38" s="1"/>
  <c r="H272" i="38" s="1"/>
  <c r="I272" i="38" s="1"/>
  <c r="J272" i="38" s="1"/>
  <c r="K272" i="38" s="1"/>
  <c r="L272" i="38" s="1"/>
  <c r="M272" i="38" s="1"/>
  <c r="N272" i="38" s="1"/>
  <c r="O272" i="38" s="1"/>
  <c r="P272" i="38" s="1"/>
  <c r="Q272" i="38" s="1"/>
  <c r="R272" i="38" s="1"/>
  <c r="S272" i="38" s="1"/>
  <c r="T272" i="38" s="1"/>
  <c r="U272" i="38" s="1"/>
  <c r="V272" i="38" s="1"/>
  <c r="W272" i="38" s="1"/>
  <c r="X272" i="38" s="1"/>
  <c r="Y272" i="38" s="1"/>
  <c r="Z272" i="38" s="1"/>
  <c r="AA272" i="38" s="1"/>
  <c r="AB272" i="38" s="1"/>
  <c r="AC272" i="38" s="1"/>
  <c r="AD272" i="38" s="1"/>
  <c r="AE272" i="38" s="1"/>
  <c r="AF272" i="38" s="1"/>
  <c r="D271" i="38"/>
  <c r="D270" i="38"/>
  <c r="D269" i="38"/>
  <c r="D268" i="38"/>
  <c r="E268" i="38" s="1"/>
  <c r="F268" i="38" s="1"/>
  <c r="D267" i="38"/>
  <c r="E267" i="38" s="1"/>
  <c r="F267" i="38" s="1"/>
  <c r="G267" i="38" s="1"/>
  <c r="H267" i="38" s="1"/>
  <c r="I267" i="38" s="1"/>
  <c r="J267" i="38" s="1"/>
  <c r="K267" i="38" s="1"/>
  <c r="L267" i="38" s="1"/>
  <c r="M267" i="38" s="1"/>
  <c r="N267" i="38" s="1"/>
  <c r="O267" i="38" s="1"/>
  <c r="P267" i="38" s="1"/>
  <c r="Q267" i="38" s="1"/>
  <c r="R267" i="38" s="1"/>
  <c r="S267" i="38" s="1"/>
  <c r="T267" i="38" s="1"/>
  <c r="U267" i="38" s="1"/>
  <c r="V267" i="38" s="1"/>
  <c r="W267" i="38" s="1"/>
  <c r="X267" i="38" s="1"/>
  <c r="Y267" i="38" s="1"/>
  <c r="Z267" i="38" s="1"/>
  <c r="AA267" i="38" s="1"/>
  <c r="AB267" i="38" s="1"/>
  <c r="AC267" i="38" s="1"/>
  <c r="AD267" i="38" s="1"/>
  <c r="AE267" i="38" s="1"/>
  <c r="AF267" i="38" s="1"/>
  <c r="D266" i="38"/>
  <c r="E266" i="38" s="1"/>
  <c r="F266" i="38" s="1"/>
  <c r="G266" i="38" s="1"/>
  <c r="H266" i="38" s="1"/>
  <c r="I266" i="38" s="1"/>
  <c r="J266" i="38" s="1"/>
  <c r="K266" i="38" s="1"/>
  <c r="L266" i="38" s="1"/>
  <c r="M266" i="38" s="1"/>
  <c r="N266" i="38" s="1"/>
  <c r="O266" i="38" s="1"/>
  <c r="P266" i="38" s="1"/>
  <c r="Q266" i="38" s="1"/>
  <c r="R266" i="38" s="1"/>
  <c r="S266" i="38" s="1"/>
  <c r="T266" i="38" s="1"/>
  <c r="U266" i="38" s="1"/>
  <c r="V266" i="38" s="1"/>
  <c r="W266" i="38" s="1"/>
  <c r="X266" i="38" s="1"/>
  <c r="Y266" i="38" s="1"/>
  <c r="Z266" i="38" s="1"/>
  <c r="AA266" i="38" s="1"/>
  <c r="AB266" i="38" s="1"/>
  <c r="AC266" i="38" s="1"/>
  <c r="AD266" i="38" s="1"/>
  <c r="AE266" i="38" s="1"/>
  <c r="AF266" i="38" s="1"/>
  <c r="D265" i="38"/>
  <c r="D264" i="38"/>
  <c r="E264" i="38" s="1"/>
  <c r="F264" i="38" s="1"/>
  <c r="AG263" i="38"/>
  <c r="C263" i="38"/>
  <c r="D262" i="38"/>
  <c r="D263" i="38" s="1"/>
  <c r="D261" i="38"/>
  <c r="E261" i="38" s="1"/>
  <c r="F261" i="38" s="1"/>
  <c r="G261" i="38" s="1"/>
  <c r="H261" i="38" s="1"/>
  <c r="I261" i="38" s="1"/>
  <c r="J261" i="38" s="1"/>
  <c r="K261" i="38" s="1"/>
  <c r="L261" i="38" s="1"/>
  <c r="M261" i="38" s="1"/>
  <c r="N261" i="38" s="1"/>
  <c r="O261" i="38" s="1"/>
  <c r="P261" i="38" s="1"/>
  <c r="Q261" i="38" s="1"/>
  <c r="D259" i="38"/>
  <c r="E259" i="38" s="1"/>
  <c r="D258" i="38"/>
  <c r="D257" i="38"/>
  <c r="E257" i="38" s="1"/>
  <c r="F257" i="38" s="1"/>
  <c r="G257" i="38" s="1"/>
  <c r="D256" i="38"/>
  <c r="E256" i="38" s="1"/>
  <c r="F256" i="38" s="1"/>
  <c r="D255" i="38"/>
  <c r="E255" i="38" s="1"/>
  <c r="F255" i="38" s="1"/>
  <c r="G255" i="38" s="1"/>
  <c r="D254" i="38"/>
  <c r="E254" i="38" s="1"/>
  <c r="D253" i="38"/>
  <c r="E253" i="38" s="1"/>
  <c r="F253" i="38" s="1"/>
  <c r="G253" i="38" s="1"/>
  <c r="H253" i="38" s="1"/>
  <c r="I253" i="38" s="1"/>
  <c r="J253" i="38" s="1"/>
  <c r="K253" i="38" s="1"/>
  <c r="L253" i="38" s="1"/>
  <c r="M253" i="38" s="1"/>
  <c r="N253" i="38" s="1"/>
  <c r="O253" i="38" s="1"/>
  <c r="P253" i="38" s="1"/>
  <c r="Q253" i="38" s="1"/>
  <c r="R253" i="38" s="1"/>
  <c r="S253" i="38" s="1"/>
  <c r="T253" i="38" s="1"/>
  <c r="U253" i="38" s="1"/>
  <c r="V253" i="38" s="1"/>
  <c r="W253" i="38" s="1"/>
  <c r="X253" i="38" s="1"/>
  <c r="Y253" i="38" s="1"/>
  <c r="Z253" i="38" s="1"/>
  <c r="AA253" i="38" s="1"/>
  <c r="AB253" i="38" s="1"/>
  <c r="AC253" i="38" s="1"/>
  <c r="AD253" i="38" s="1"/>
  <c r="AE253" i="38" s="1"/>
  <c r="AF253" i="38" s="1"/>
  <c r="H39" i="40"/>
  <c r="BC7" i="45" l="1"/>
  <c r="AG22" i="43"/>
  <c r="AG52" i="42"/>
  <c r="AG49" i="42" s="1"/>
  <c r="C182" i="42"/>
  <c r="C342" i="42" s="1"/>
  <c r="X51" i="42"/>
  <c r="AL13" i="43"/>
  <c r="CN44" i="58"/>
  <c r="E262" i="38"/>
  <c r="F262" i="38" s="1"/>
  <c r="F263" i="38" s="1"/>
  <c r="E116" i="42"/>
  <c r="F115" i="42"/>
  <c r="F116" i="42" s="1"/>
  <c r="O1" i="42"/>
  <c r="D173" i="42"/>
  <c r="CS49" i="58"/>
  <c r="M326" i="38"/>
  <c r="N326" i="38" s="1"/>
  <c r="O326" i="38" s="1"/>
  <c r="P326" i="38" s="1"/>
  <c r="Q326" i="38" s="1"/>
  <c r="R326" i="38" s="1"/>
  <c r="S326" i="38" s="1"/>
  <c r="T326" i="38" s="1"/>
  <c r="U326" i="38" s="1"/>
  <c r="V326" i="38" s="1"/>
  <c r="W326" i="38" s="1"/>
  <c r="X326" i="38" s="1"/>
  <c r="Y326" i="38" s="1"/>
  <c r="Z326" i="38" s="1"/>
  <c r="AA326" i="38" s="1"/>
  <c r="AB326" i="38" s="1"/>
  <c r="AC326" i="38" s="1"/>
  <c r="AD326" i="38" s="1"/>
  <c r="AE326" i="38" s="1"/>
  <c r="AF326" i="38" s="1"/>
  <c r="AG326" i="38" s="1"/>
  <c r="D116" i="42"/>
  <c r="R13" i="43"/>
  <c r="CC6" i="58"/>
  <c r="CC11" i="58"/>
  <c r="Y1" i="42"/>
  <c r="Z1" i="42" s="1"/>
  <c r="AQ13" i="43"/>
  <c r="CS44" i="58"/>
  <c r="BT44" i="58"/>
  <c r="CQ11" i="58"/>
  <c r="CQ6" i="58"/>
  <c r="BY54" i="58"/>
  <c r="BY49" i="58"/>
  <c r="BY44" i="58"/>
  <c r="AG13" i="43"/>
  <c r="W52" i="58"/>
  <c r="BC52" i="58" s="1"/>
  <c r="CI52" i="58" s="1"/>
  <c r="CI53" i="58" s="1"/>
  <c r="BT49" i="58"/>
  <c r="CH54" i="58"/>
  <c r="CH44" i="58"/>
  <c r="CH49" i="58"/>
  <c r="BP6" i="58"/>
  <c r="BP11" i="58"/>
  <c r="CG11" i="58"/>
  <c r="CG6" i="58"/>
  <c r="CR11" i="58"/>
  <c r="CR6" i="58"/>
  <c r="CD54" i="58"/>
  <c r="CD44" i="58"/>
  <c r="CD49" i="58"/>
  <c r="C181" i="42"/>
  <c r="BX6" i="58"/>
  <c r="BX11" i="58"/>
  <c r="CN49" i="58"/>
  <c r="CN6" i="58" s="1"/>
  <c r="BS54" i="58"/>
  <c r="BS49" i="58"/>
  <c r="BS44" i="58"/>
  <c r="CM54" i="58"/>
  <c r="CM44" i="58"/>
  <c r="CM49" i="58"/>
  <c r="AG145" i="55"/>
  <c r="BM145" i="55" s="1"/>
  <c r="BL145" i="55"/>
  <c r="AG164" i="55"/>
  <c r="BM164" i="55" s="1"/>
  <c r="DY164" i="55" s="1"/>
  <c r="BL164" i="55"/>
  <c r="DX164" i="55" s="1"/>
  <c r="BL166" i="55"/>
  <c r="DX166" i="55" s="1"/>
  <c r="AG166" i="55"/>
  <c r="BM166" i="55" s="1"/>
  <c r="DY166" i="55" s="1"/>
  <c r="CR162" i="55"/>
  <c r="AG165" i="55"/>
  <c r="BM165" i="55" s="1"/>
  <c r="DY165" i="55" s="1"/>
  <c r="BL165" i="55"/>
  <c r="DX165" i="55" s="1"/>
  <c r="AG162" i="55"/>
  <c r="BL162" i="55"/>
  <c r="DX162" i="55" s="1"/>
  <c r="BL167" i="55"/>
  <c r="AG167" i="55"/>
  <c r="BM167" i="55" s="1"/>
  <c r="BK168" i="55"/>
  <c r="AF168" i="55"/>
  <c r="AG74" i="55"/>
  <c r="BM74" i="55" s="1"/>
  <c r="DY74" i="55" s="1"/>
  <c r="BL74" i="55"/>
  <c r="DX74" i="55" s="1"/>
  <c r="CQ116" i="55"/>
  <c r="BL116" i="55"/>
  <c r="DX116" i="55" s="1"/>
  <c r="AG116" i="55"/>
  <c r="AF99" i="55"/>
  <c r="BK99" i="55"/>
  <c r="AG118" i="55"/>
  <c r="BM118" i="55" s="1"/>
  <c r="DY118" i="55" s="1"/>
  <c r="BL118" i="55"/>
  <c r="DX118" i="55" s="1"/>
  <c r="BK119" i="55"/>
  <c r="DW119" i="55" s="1"/>
  <c r="AF119" i="55"/>
  <c r="AG70" i="55"/>
  <c r="BL70" i="55"/>
  <c r="DX70" i="55" s="1"/>
  <c r="BL93" i="55"/>
  <c r="DX93" i="55" s="1"/>
  <c r="AG93" i="55"/>
  <c r="AG97" i="55"/>
  <c r="BM97" i="55" s="1"/>
  <c r="DY97" i="55" s="1"/>
  <c r="BL97" i="55"/>
  <c r="DX97" i="55" s="1"/>
  <c r="BL121" i="55"/>
  <c r="AG121" i="55"/>
  <c r="BM121" i="55" s="1"/>
  <c r="AG98" i="55"/>
  <c r="BM98" i="55" s="1"/>
  <c r="BL98" i="55"/>
  <c r="CR93" i="55"/>
  <c r="CR70" i="55"/>
  <c r="AG122" i="55"/>
  <c r="BM122" i="55" s="1"/>
  <c r="BL122" i="55"/>
  <c r="AF76" i="55"/>
  <c r="BK76" i="55"/>
  <c r="AG75" i="55"/>
  <c r="BM75" i="55" s="1"/>
  <c r="BL75" i="55"/>
  <c r="BL120" i="55"/>
  <c r="DX120" i="55" s="1"/>
  <c r="AG120" i="55"/>
  <c r="BM120" i="55" s="1"/>
  <c r="DY120" i="55" s="1"/>
  <c r="AG47" i="55"/>
  <c r="BL47" i="55"/>
  <c r="DX47" i="55" s="1"/>
  <c r="AG51" i="55"/>
  <c r="BM51" i="55" s="1"/>
  <c r="DY51" i="55" s="1"/>
  <c r="BL51" i="55"/>
  <c r="DX51" i="55" s="1"/>
  <c r="BL52" i="55"/>
  <c r="AG52" i="55"/>
  <c r="BM52" i="55" s="1"/>
  <c r="BK50" i="55"/>
  <c r="DW50" i="55" s="1"/>
  <c r="AF50" i="55"/>
  <c r="AG53" i="55"/>
  <c r="BM53" i="55" s="1"/>
  <c r="BL53" i="55"/>
  <c r="BL49" i="55"/>
  <c r="DX49" i="55" s="1"/>
  <c r="AG49" i="55"/>
  <c r="BM49" i="55" s="1"/>
  <c r="DY49" i="55" s="1"/>
  <c r="CS24" i="55"/>
  <c r="AG204" i="55"/>
  <c r="AG205" i="55" s="1"/>
  <c r="AG30" i="55"/>
  <c r="BM30" i="55" s="1"/>
  <c r="BL30" i="55"/>
  <c r="AH3" i="55"/>
  <c r="AE194" i="54"/>
  <c r="AE173" i="54"/>
  <c r="AE187" i="54"/>
  <c r="AF92" i="54"/>
  <c r="AE195" i="54"/>
  <c r="AF125" i="54"/>
  <c r="AF127" i="54"/>
  <c r="AG123" i="54"/>
  <c r="AF196" i="54"/>
  <c r="AE191" i="54"/>
  <c r="AE184" i="54"/>
  <c r="AF170" i="54"/>
  <c r="AF186" i="54"/>
  <c r="AD86" i="54"/>
  <c r="AD88" i="54" s="1"/>
  <c r="AE85" i="54"/>
  <c r="AD87" i="54"/>
  <c r="AD100" i="54" s="1"/>
  <c r="AB105" i="54"/>
  <c r="AB104" i="54"/>
  <c r="AB103" i="54"/>
  <c r="AF91" i="54"/>
  <c r="AC97" i="54"/>
  <c r="AC101" i="54"/>
  <c r="AC102" i="54" s="1"/>
  <c r="AC96" i="54"/>
  <c r="AC95" i="54"/>
  <c r="AE175" i="54"/>
  <c r="AF90" i="54"/>
  <c r="AE93" i="54"/>
  <c r="AF174" i="54"/>
  <c r="AE193" i="54"/>
  <c r="AD258" i="54"/>
  <c r="AD179" i="54"/>
  <c r="AD259" i="54" s="1"/>
  <c r="AE178" i="54"/>
  <c r="AF185" i="54"/>
  <c r="AF172" i="54"/>
  <c r="AF171" i="54"/>
  <c r="AE180" i="54"/>
  <c r="AE170" i="53"/>
  <c r="AE192" i="53"/>
  <c r="AE96" i="53"/>
  <c r="AE185" i="53"/>
  <c r="AE184" i="53"/>
  <c r="AF172" i="53"/>
  <c r="AF86" i="53"/>
  <c r="AF88" i="53" s="1"/>
  <c r="AF87" i="53"/>
  <c r="AF187" i="53"/>
  <c r="AE92" i="53"/>
  <c r="AE97" i="53" s="1"/>
  <c r="AF195" i="53"/>
  <c r="AE180" i="53"/>
  <c r="AF171" i="53"/>
  <c r="AD258" i="53"/>
  <c r="AE178" i="53"/>
  <c r="AD179" i="53"/>
  <c r="AD259" i="53" s="1"/>
  <c r="AG91" i="53"/>
  <c r="AE175" i="53"/>
  <c r="AD127" i="53"/>
  <c r="AE125" i="53"/>
  <c r="AF123" i="53"/>
  <c r="AE193" i="53"/>
  <c r="AE196" i="53"/>
  <c r="AE119" i="53"/>
  <c r="AE121" i="53" s="1"/>
  <c r="AE128" i="53" s="1"/>
  <c r="AF118" i="53"/>
  <c r="AE120" i="53"/>
  <c r="AF90" i="53"/>
  <c r="AE95" i="53"/>
  <c r="AF186" i="53"/>
  <c r="AD97" i="53"/>
  <c r="BI45" i="51"/>
  <c r="AD45" i="51"/>
  <c r="AG3" i="51"/>
  <c r="I21" i="44"/>
  <c r="AQ22" i="43"/>
  <c r="AL22" i="43"/>
  <c r="AF15" i="45"/>
  <c r="BL15" i="45" s="1"/>
  <c r="BL7" i="45"/>
  <c r="R22" i="43"/>
  <c r="BC5" i="45"/>
  <c r="W13" i="45"/>
  <c r="BC13" i="45" s="1"/>
  <c r="X298" i="48"/>
  <c r="W197" i="48"/>
  <c r="W199" i="48"/>
  <c r="X195" i="48"/>
  <c r="AA296" i="48"/>
  <c r="Y297" i="48"/>
  <c r="Z130" i="48"/>
  <c r="X191" i="48"/>
  <c r="X193" i="48" s="1"/>
  <c r="X200" i="48" s="1"/>
  <c r="X370" i="48" s="1"/>
  <c r="Y190" i="48"/>
  <c r="X192" i="48"/>
  <c r="Y131" i="48"/>
  <c r="X305" i="48"/>
  <c r="Y304" i="48"/>
  <c r="W136" i="48"/>
  <c r="W137" i="48"/>
  <c r="W135" i="48"/>
  <c r="X286" i="48"/>
  <c r="Y132" i="48"/>
  <c r="X126" i="48"/>
  <c r="X128" i="48" s="1"/>
  <c r="Y125" i="48"/>
  <c r="X127" i="48"/>
  <c r="X282" i="48"/>
  <c r="X303" i="48"/>
  <c r="Y291" i="48"/>
  <c r="Z290" i="48"/>
  <c r="X133" i="48"/>
  <c r="W371" i="48"/>
  <c r="Y283" i="48"/>
  <c r="Y306" i="48"/>
  <c r="Y285" i="48"/>
  <c r="Y287" i="48"/>
  <c r="Y308" i="48"/>
  <c r="X307" i="48"/>
  <c r="X284" i="48"/>
  <c r="Z292" i="48"/>
  <c r="X299" i="48"/>
  <c r="Y359" i="48"/>
  <c r="Y293" i="48"/>
  <c r="Z283" i="46"/>
  <c r="Z298" i="46"/>
  <c r="X293" i="46"/>
  <c r="Y303" i="46"/>
  <c r="X297" i="46"/>
  <c r="X132" i="46"/>
  <c r="X133" i="46" s="1"/>
  <c r="AA287" i="46"/>
  <c r="Y285" i="46"/>
  <c r="Y282" i="46"/>
  <c r="X291" i="46"/>
  <c r="Y290" i="46"/>
  <c r="W371" i="46"/>
  <c r="Y125" i="46"/>
  <c r="X126" i="46"/>
  <c r="X128" i="46" s="1"/>
  <c r="X135" i="46" s="1"/>
  <c r="X127" i="46"/>
  <c r="Y307" i="46"/>
  <c r="X305" i="46"/>
  <c r="Y299" i="46"/>
  <c r="X292" i="46"/>
  <c r="X304" i="46"/>
  <c r="X191" i="46"/>
  <c r="X193" i="46" s="1"/>
  <c r="X200" i="46" s="1"/>
  <c r="X370" i="46" s="1"/>
  <c r="Y190" i="46"/>
  <c r="X192" i="46"/>
  <c r="Y306" i="46"/>
  <c r="AA131" i="46"/>
  <c r="W137" i="46"/>
  <c r="W136" i="46"/>
  <c r="Y284" i="46"/>
  <c r="Y130" i="46"/>
  <c r="Y308" i="46"/>
  <c r="X296" i="46"/>
  <c r="W197" i="46"/>
  <c r="W199" i="46"/>
  <c r="X195" i="46"/>
  <c r="X286" i="46"/>
  <c r="T11" i="44"/>
  <c r="S11" i="44" s="1"/>
  <c r="S12" i="44" s="1"/>
  <c r="S13" i="44" s="1"/>
  <c r="T12" i="44"/>
  <c r="F63" i="44"/>
  <c r="U9" i="44"/>
  <c r="S3" i="45"/>
  <c r="S9" i="45" s="1"/>
  <c r="AY9" i="45" s="1"/>
  <c r="AJ66" i="36"/>
  <c r="AJ65" i="36"/>
  <c r="AJ71" i="36" s="1"/>
  <c r="AA1" i="42"/>
  <c r="AB1" i="42" s="1"/>
  <c r="AC1" i="42" s="1"/>
  <c r="Z51" i="42"/>
  <c r="E51" i="42"/>
  <c r="E50" i="42"/>
  <c r="F1" i="42"/>
  <c r="O50" i="42"/>
  <c r="X50" i="42"/>
  <c r="AB51" i="42"/>
  <c r="M217" i="42"/>
  <c r="M171" i="42"/>
  <c r="M232" i="42"/>
  <c r="M114" i="42"/>
  <c r="Y50" i="42"/>
  <c r="Y51" i="42"/>
  <c r="D50" i="42"/>
  <c r="Z50" i="42"/>
  <c r="D51" i="42"/>
  <c r="W217" i="42"/>
  <c r="W232" i="42"/>
  <c r="W171" i="42"/>
  <c r="W114" i="42"/>
  <c r="N50" i="42"/>
  <c r="AA50" i="42"/>
  <c r="AA51" i="42"/>
  <c r="G115" i="42"/>
  <c r="G121" i="42"/>
  <c r="C125" i="42"/>
  <c r="C126" i="42"/>
  <c r="C127" i="42"/>
  <c r="C123" i="42"/>
  <c r="D122" i="42"/>
  <c r="E120" i="42"/>
  <c r="F173" i="42"/>
  <c r="G172" i="42"/>
  <c r="E177" i="42"/>
  <c r="E173" i="42"/>
  <c r="E279" i="42"/>
  <c r="D178" i="42"/>
  <c r="E178" i="42" s="1"/>
  <c r="F178" i="42" s="1"/>
  <c r="G178" i="42" s="1"/>
  <c r="H178" i="42" s="1"/>
  <c r="I178" i="42" s="1"/>
  <c r="J178" i="42" s="1"/>
  <c r="K178" i="42" s="1"/>
  <c r="L178" i="42" s="1"/>
  <c r="M178" i="42" s="1"/>
  <c r="N178" i="42" s="1"/>
  <c r="O178" i="42" s="1"/>
  <c r="P178" i="42" s="1"/>
  <c r="Q178" i="42" s="1"/>
  <c r="R178" i="42" s="1"/>
  <c r="S178" i="42" s="1"/>
  <c r="T178" i="42" s="1"/>
  <c r="U178" i="42" s="1"/>
  <c r="V178" i="42" s="1"/>
  <c r="W178" i="42" s="1"/>
  <c r="X178" i="42" s="1"/>
  <c r="Y178" i="42" s="1"/>
  <c r="Z178" i="42" s="1"/>
  <c r="AA178" i="42" s="1"/>
  <c r="AB178" i="42" s="1"/>
  <c r="AC178" i="42" s="1"/>
  <c r="AD178" i="42" s="1"/>
  <c r="AE178" i="42" s="1"/>
  <c r="AF178" i="42" s="1"/>
  <c r="AG178" i="42" s="1"/>
  <c r="AG182" i="42" s="1"/>
  <c r="E268" i="42"/>
  <c r="F258" i="42"/>
  <c r="E264" i="42"/>
  <c r="F259" i="42"/>
  <c r="G265" i="42"/>
  <c r="F255" i="42"/>
  <c r="G270" i="42"/>
  <c r="E257" i="42"/>
  <c r="D263" i="42"/>
  <c r="E262" i="42"/>
  <c r="H277" i="42"/>
  <c r="G254" i="42"/>
  <c r="E271" i="42"/>
  <c r="F256" i="42"/>
  <c r="C343" i="42"/>
  <c r="E276" i="42"/>
  <c r="E269" i="42"/>
  <c r="E275" i="42"/>
  <c r="F278" i="42"/>
  <c r="E280" i="42"/>
  <c r="E331" i="42"/>
  <c r="G256" i="38"/>
  <c r="R261" i="38"/>
  <c r="S261" i="38" s="1"/>
  <c r="T261" i="38" s="1"/>
  <c r="U261" i="38" s="1"/>
  <c r="V261" i="38" s="1"/>
  <c r="W261" i="38" s="1"/>
  <c r="X261" i="38" s="1"/>
  <c r="Y261" i="38" s="1"/>
  <c r="Z261" i="38" s="1"/>
  <c r="AA261" i="38" s="1"/>
  <c r="AB261" i="38" s="1"/>
  <c r="AC261" i="38" s="1"/>
  <c r="AD261" i="38" s="1"/>
  <c r="AE261" i="38" s="1"/>
  <c r="AF261" i="38" s="1"/>
  <c r="F254" i="38"/>
  <c r="H255" i="38"/>
  <c r="H257" i="38"/>
  <c r="E258" i="38"/>
  <c r="E265" i="38"/>
  <c r="E269" i="38"/>
  <c r="E277" i="38"/>
  <c r="F259" i="38"/>
  <c r="G262" i="38"/>
  <c r="G264" i="38"/>
  <c r="G268" i="38"/>
  <c r="E270" i="38"/>
  <c r="E274" i="38"/>
  <c r="F274" i="38" s="1"/>
  <c r="G276" i="38"/>
  <c r="E278" i="38"/>
  <c r="G280" i="38"/>
  <c r="E271" i="38"/>
  <c r="E275" i="38"/>
  <c r="E279" i="38"/>
  <c r="F331" i="38"/>
  <c r="E263" i="38" l="1"/>
  <c r="CD11" i="58"/>
  <c r="AB50" i="42"/>
  <c r="X371" i="48"/>
  <c r="BY11" i="58"/>
  <c r="CS11" i="58"/>
  <c r="CD6" i="58"/>
  <c r="CN11" i="58"/>
  <c r="Y133" i="48"/>
  <c r="CH6" i="58"/>
  <c r="CH11" i="58"/>
  <c r="BS6" i="58"/>
  <c r="BS11" i="58"/>
  <c r="BT6" i="58"/>
  <c r="BT11" i="58"/>
  <c r="O51" i="42"/>
  <c r="O52" i="42" s="1"/>
  <c r="O49" i="42" s="1"/>
  <c r="P1" i="42"/>
  <c r="CI54" i="58"/>
  <c r="CI49" i="58"/>
  <c r="CI44" i="58"/>
  <c r="CS6" i="58"/>
  <c r="CM6" i="58"/>
  <c r="CM11" i="58"/>
  <c r="BY6" i="58"/>
  <c r="BM162" i="55"/>
  <c r="DY162" i="55" s="1"/>
  <c r="AG168" i="55"/>
  <c r="BM168" i="55" s="1"/>
  <c r="BL168" i="55"/>
  <c r="CS162" i="55"/>
  <c r="BM116" i="55"/>
  <c r="DY116" i="55" s="1"/>
  <c r="AG76" i="55"/>
  <c r="BM76" i="55" s="1"/>
  <c r="BL76" i="55"/>
  <c r="CS93" i="55"/>
  <c r="CR116" i="55"/>
  <c r="BM70" i="55"/>
  <c r="DY70" i="55" s="1"/>
  <c r="CS70" i="55"/>
  <c r="AG99" i="55"/>
  <c r="BM99" i="55" s="1"/>
  <c r="BL99" i="55"/>
  <c r="BM93" i="55"/>
  <c r="DY93" i="55" s="1"/>
  <c r="BL119" i="55"/>
  <c r="DX119" i="55" s="1"/>
  <c r="AG119" i="55"/>
  <c r="BM119" i="55" s="1"/>
  <c r="DY119" i="55" s="1"/>
  <c r="AH204" i="55"/>
  <c r="AH205" i="55" s="1"/>
  <c r="BM47" i="55"/>
  <c r="DY47" i="55" s="1"/>
  <c r="AG50" i="55"/>
  <c r="BM50" i="55" s="1"/>
  <c r="DY50" i="55" s="1"/>
  <c r="BL50" i="55"/>
  <c r="DX50" i="55" s="1"/>
  <c r="AG91" i="54"/>
  <c r="AF191" i="54"/>
  <c r="AG127" i="54"/>
  <c r="AG125" i="54"/>
  <c r="AF180" i="54"/>
  <c r="AE258" i="54"/>
  <c r="AF178" i="54"/>
  <c r="AE179" i="54"/>
  <c r="AE259" i="54" s="1"/>
  <c r="AF184" i="54"/>
  <c r="AF173" i="54"/>
  <c r="AG92" i="54"/>
  <c r="AF195" i="54"/>
  <c r="AF187" i="54"/>
  <c r="AC105" i="54"/>
  <c r="AC103" i="54"/>
  <c r="AC104" i="54"/>
  <c r="AF194" i="54"/>
  <c r="AF193" i="54"/>
  <c r="AG90" i="54"/>
  <c r="AF93" i="54"/>
  <c r="AF85" i="54"/>
  <c r="AE86" i="54"/>
  <c r="AE88" i="54" s="1"/>
  <c r="AE87" i="54"/>
  <c r="AE100" i="54" s="1"/>
  <c r="AF175" i="54"/>
  <c r="AD96" i="54"/>
  <c r="AD97" i="54"/>
  <c r="AD101" i="54"/>
  <c r="AD95" i="54"/>
  <c r="AE93" i="53"/>
  <c r="AE127" i="53"/>
  <c r="AF175" i="53"/>
  <c r="AF185" i="53"/>
  <c r="AF119" i="53"/>
  <c r="AF121" i="53" s="1"/>
  <c r="AF128" i="53" s="1"/>
  <c r="AF120" i="53"/>
  <c r="AF196" i="53"/>
  <c r="AG96" i="53"/>
  <c r="AE258" i="53"/>
  <c r="AE179" i="53"/>
  <c r="AE259" i="53" s="1"/>
  <c r="AF178" i="53"/>
  <c r="AF95" i="53"/>
  <c r="AG90" i="53"/>
  <c r="AF193" i="53"/>
  <c r="AF180" i="53"/>
  <c r="AF92" i="53"/>
  <c r="AF93" i="53" s="1"/>
  <c r="AF184" i="53"/>
  <c r="AF192" i="53"/>
  <c r="AF125" i="53"/>
  <c r="AG123" i="53"/>
  <c r="AF96" i="53"/>
  <c r="AF170" i="53"/>
  <c r="AH3" i="51"/>
  <c r="AE45" i="51"/>
  <c r="BJ45" i="51"/>
  <c r="AB15" i="45"/>
  <c r="BH15" i="45" s="1"/>
  <c r="BH7" i="45"/>
  <c r="H15" i="45"/>
  <c r="AN15" i="45" s="1"/>
  <c r="AN7" i="45"/>
  <c r="AG15" i="45"/>
  <c r="BM15" i="45" s="1"/>
  <c r="BM7" i="45"/>
  <c r="Z359" i="48"/>
  <c r="Y284" i="48"/>
  <c r="Y282" i="48"/>
  <c r="Y126" i="48"/>
  <c r="Y128" i="48" s="1"/>
  <c r="Z125" i="48"/>
  <c r="Y127" i="48"/>
  <c r="Y286" i="48"/>
  <c r="Z304" i="48"/>
  <c r="AB296" i="48"/>
  <c r="Z293" i="48"/>
  <c r="Y307" i="48"/>
  <c r="Z285" i="48"/>
  <c r="Z283" i="48"/>
  <c r="X137" i="48"/>
  <c r="X136" i="48"/>
  <c r="X135" i="48"/>
  <c r="X197" i="48"/>
  <c r="X199" i="48"/>
  <c r="Y195" i="48"/>
  <c r="AA292" i="48"/>
  <c r="Z287" i="48"/>
  <c r="Z132" i="48"/>
  <c r="Y305" i="48"/>
  <c r="Z131" i="48"/>
  <c r="Y191" i="48"/>
  <c r="Y193" i="48" s="1"/>
  <c r="Y200" i="48" s="1"/>
  <c r="Y370" i="48" s="1"/>
  <c r="Z190" i="48"/>
  <c r="Y192" i="48"/>
  <c r="AA130" i="48"/>
  <c r="Z297" i="48"/>
  <c r="Y298" i="48"/>
  <c r="Y299" i="48"/>
  <c r="Z308" i="48"/>
  <c r="Z306" i="48"/>
  <c r="Z291" i="48"/>
  <c r="AA290" i="48"/>
  <c r="Y303" i="48"/>
  <c r="Y304" i="46"/>
  <c r="Z299" i="46"/>
  <c r="Z290" i="46"/>
  <c r="Y291" i="46"/>
  <c r="Z282" i="46"/>
  <c r="Y293" i="46"/>
  <c r="AA283" i="46"/>
  <c r="Z130" i="46"/>
  <c r="Y286" i="46"/>
  <c r="X199" i="46"/>
  <c r="Y195" i="46"/>
  <c r="X197" i="46"/>
  <c r="Z284" i="46"/>
  <c r="Y191" i="46"/>
  <c r="Y193" i="46" s="1"/>
  <c r="Y200" i="46" s="1"/>
  <c r="Y370" i="46" s="1"/>
  <c r="Z190" i="46"/>
  <c r="Y192" i="46"/>
  <c r="X136" i="46"/>
  <c r="X137" i="46"/>
  <c r="X371" i="46"/>
  <c r="AB287" i="46"/>
  <c r="Y132" i="46"/>
  <c r="Z308" i="46"/>
  <c r="Y292" i="46"/>
  <c r="Y305" i="46"/>
  <c r="Z307" i="46"/>
  <c r="Y126" i="46"/>
  <c r="Y128" i="46" s="1"/>
  <c r="Y135" i="46" s="1"/>
  <c r="Z125" i="46"/>
  <c r="Y127" i="46"/>
  <c r="Y297" i="46"/>
  <c r="Z303" i="46"/>
  <c r="AA298" i="46"/>
  <c r="Y296" i="46"/>
  <c r="AB131" i="46"/>
  <c r="Z306" i="46"/>
  <c r="Z285" i="46"/>
  <c r="U10" i="44"/>
  <c r="E56" i="44" s="1"/>
  <c r="H56" i="44" s="1"/>
  <c r="T3" i="45"/>
  <c r="T9" i="45" s="1"/>
  <c r="AZ9" i="45" s="1"/>
  <c r="AG342" i="42"/>
  <c r="AG343" i="42"/>
  <c r="F280" i="42"/>
  <c r="G278" i="42"/>
  <c r="F269" i="42"/>
  <c r="F271" i="42"/>
  <c r="G259" i="42"/>
  <c r="G258" i="42"/>
  <c r="D179" i="42"/>
  <c r="H121" i="42"/>
  <c r="N52" i="42"/>
  <c r="N49" i="42" s="1"/>
  <c r="AB232" i="42"/>
  <c r="X232" i="42"/>
  <c r="AA232" i="42"/>
  <c r="Z232" i="42"/>
  <c r="Y232" i="42"/>
  <c r="W231" i="42"/>
  <c r="AC232" i="42"/>
  <c r="P232" i="42"/>
  <c r="D232" i="42"/>
  <c r="F232" i="42"/>
  <c r="O232" i="42"/>
  <c r="E232" i="42"/>
  <c r="M231" i="42"/>
  <c r="N232" i="42"/>
  <c r="F275" i="42"/>
  <c r="H270" i="42"/>
  <c r="E122" i="42"/>
  <c r="D123" i="42"/>
  <c r="AA217" i="42"/>
  <c r="Z217" i="42"/>
  <c r="AC217" i="42"/>
  <c r="Y217" i="42"/>
  <c r="W216" i="42"/>
  <c r="AB217" i="42"/>
  <c r="X217" i="42"/>
  <c r="Z52" i="42"/>
  <c r="Z49" i="42" s="1"/>
  <c r="Y52" i="42"/>
  <c r="Y49" i="42" s="1"/>
  <c r="N171" i="42"/>
  <c r="F171" i="42"/>
  <c r="E171" i="42"/>
  <c r="P171" i="42"/>
  <c r="D171" i="42"/>
  <c r="O171" i="42"/>
  <c r="M170" i="42"/>
  <c r="F331" i="42"/>
  <c r="F276" i="42"/>
  <c r="G256" i="42"/>
  <c r="H254" i="42"/>
  <c r="F262" i="42"/>
  <c r="E263" i="42"/>
  <c r="F257" i="42"/>
  <c r="H265" i="42"/>
  <c r="F264" i="42"/>
  <c r="F279" i="42"/>
  <c r="E179" i="42"/>
  <c r="F177" i="42"/>
  <c r="G116" i="42"/>
  <c r="H115" i="42"/>
  <c r="Z114" i="42"/>
  <c r="AC114" i="42"/>
  <c r="Y114" i="42"/>
  <c r="W113" i="42"/>
  <c r="AB114" i="42"/>
  <c r="X114" i="42"/>
  <c r="AA114" i="42"/>
  <c r="D52" i="42"/>
  <c r="D49" i="42" s="1"/>
  <c r="O217" i="42"/>
  <c r="M216" i="42"/>
  <c r="N217" i="42"/>
  <c r="F217" i="42"/>
  <c r="E217" i="42"/>
  <c r="P217" i="42"/>
  <c r="D217" i="42"/>
  <c r="AB52" i="42"/>
  <c r="AB49" i="42" s="1"/>
  <c r="G1" i="42"/>
  <c r="G114" i="42" s="1"/>
  <c r="F51" i="42"/>
  <c r="F50" i="42"/>
  <c r="AD1" i="42"/>
  <c r="AD171" i="42" s="1"/>
  <c r="AC51" i="42"/>
  <c r="AC50" i="42"/>
  <c r="I277" i="42"/>
  <c r="G255" i="42"/>
  <c r="F268" i="42"/>
  <c r="G173" i="42"/>
  <c r="H172" i="42"/>
  <c r="F120" i="42"/>
  <c r="E123" i="42"/>
  <c r="AA52" i="42"/>
  <c r="AA49" i="42" s="1"/>
  <c r="Z171" i="42"/>
  <c r="AC171" i="42"/>
  <c r="Y171" i="42"/>
  <c r="W170" i="42"/>
  <c r="AB171" i="42"/>
  <c r="X171" i="42"/>
  <c r="AA171" i="42"/>
  <c r="N114" i="42"/>
  <c r="F114" i="42"/>
  <c r="E114" i="42"/>
  <c r="P114" i="42"/>
  <c r="D114" i="42"/>
  <c r="O114" i="42"/>
  <c r="M113" i="42"/>
  <c r="X52" i="42"/>
  <c r="X49" i="42" s="1"/>
  <c r="E52" i="42"/>
  <c r="E49" i="42" s="1"/>
  <c r="F275" i="38"/>
  <c r="I255" i="38"/>
  <c r="G331" i="38"/>
  <c r="F271" i="38"/>
  <c r="F278" i="38"/>
  <c r="G274" i="38"/>
  <c r="H268" i="38"/>
  <c r="H262" i="38"/>
  <c r="G263" i="38"/>
  <c r="F265" i="38"/>
  <c r="G254" i="38"/>
  <c r="H256" i="38"/>
  <c r="G259" i="38"/>
  <c r="F277" i="38"/>
  <c r="F258" i="38"/>
  <c r="F279" i="38"/>
  <c r="H280" i="38"/>
  <c r="H276" i="38"/>
  <c r="F270" i="38"/>
  <c r="H264" i="38"/>
  <c r="F269" i="38"/>
  <c r="I257" i="38"/>
  <c r="Z133" i="48" l="1"/>
  <c r="EE191" i="55"/>
  <c r="BP191" i="55"/>
  <c r="CI6" i="58"/>
  <c r="CI11" i="58"/>
  <c r="Q1" i="42"/>
  <c r="P50" i="42"/>
  <c r="P51" i="42"/>
  <c r="R24" i="44"/>
  <c r="CS116" i="55"/>
  <c r="AF97" i="53"/>
  <c r="AG104" i="54"/>
  <c r="AG96" i="54"/>
  <c r="AG105" i="54"/>
  <c r="AG97" i="54"/>
  <c r="AF86" i="54"/>
  <c r="AF88" i="54" s="1"/>
  <c r="AF87" i="54"/>
  <c r="AF100" i="54" s="1"/>
  <c r="AD105" i="54"/>
  <c r="AD103" i="54"/>
  <c r="AD104" i="54"/>
  <c r="AD102" i="54"/>
  <c r="AF258" i="54"/>
  <c r="AF179" i="54"/>
  <c r="AF259" i="54" s="1"/>
  <c r="AG103" i="54"/>
  <c r="AG93" i="54"/>
  <c r="AG95" i="54"/>
  <c r="AE97" i="54"/>
  <c r="AE101" i="54"/>
  <c r="AE96" i="54"/>
  <c r="AE95" i="54"/>
  <c r="AF127" i="53"/>
  <c r="AG92" i="53"/>
  <c r="AG95" i="53"/>
  <c r="AF258" i="53"/>
  <c r="AF179" i="53"/>
  <c r="AF259" i="53" s="1"/>
  <c r="AG127" i="53"/>
  <c r="AG125" i="53"/>
  <c r="AF45" i="51"/>
  <c r="BK45" i="51"/>
  <c r="AB290" i="48"/>
  <c r="AA291" i="48"/>
  <c r="AA306" i="48"/>
  <c r="AA297" i="48"/>
  <c r="Z307" i="48"/>
  <c r="Z282" i="48"/>
  <c r="Z284" i="48"/>
  <c r="AA285" i="48"/>
  <c r="AA359" i="48"/>
  <c r="AA287" i="48"/>
  <c r="Z303" i="48"/>
  <c r="Z299" i="48"/>
  <c r="Z298" i="48"/>
  <c r="AB130" i="48"/>
  <c r="AA132" i="48"/>
  <c r="AB292" i="48"/>
  <c r="Y199" i="48"/>
  <c r="Z195" i="48"/>
  <c r="Y197" i="48"/>
  <c r="AA293" i="48"/>
  <c r="AC296" i="48"/>
  <c r="Z286" i="48"/>
  <c r="AA125" i="48"/>
  <c r="Z126" i="48"/>
  <c r="Z128" i="48" s="1"/>
  <c r="Z127" i="48"/>
  <c r="Y371" i="48"/>
  <c r="AA304" i="48"/>
  <c r="Z305" i="48"/>
  <c r="AA308" i="48"/>
  <c r="Z191" i="48"/>
  <c r="Z193" i="48" s="1"/>
  <c r="Z200" i="48" s="1"/>
  <c r="Z370" i="48" s="1"/>
  <c r="AA190" i="48"/>
  <c r="Z192" i="48"/>
  <c r="AA131" i="48"/>
  <c r="AA283" i="48"/>
  <c r="Y136" i="48"/>
  <c r="Y137" i="48"/>
  <c r="Y135" i="48"/>
  <c r="AA285" i="46"/>
  <c r="AA307" i="46"/>
  <c r="Z292" i="46"/>
  <c r="Z286" i="46"/>
  <c r="AA130" i="46"/>
  <c r="Z293" i="46"/>
  <c r="AA282" i="46"/>
  <c r="AA299" i="46"/>
  <c r="Z296" i="46"/>
  <c r="AA303" i="46"/>
  <c r="AA308" i="46"/>
  <c r="AC287" i="46"/>
  <c r="AA190" i="46"/>
  <c r="Z191" i="46"/>
  <c r="Z193" i="46" s="1"/>
  <c r="Z200" i="46" s="1"/>
  <c r="Z370" i="46" s="1"/>
  <c r="Z192" i="46"/>
  <c r="AA284" i="46"/>
  <c r="AA306" i="46"/>
  <c r="AC131" i="46"/>
  <c r="Z126" i="46"/>
  <c r="Z128" i="46" s="1"/>
  <c r="AA125" i="46"/>
  <c r="Z127" i="46"/>
  <c r="Z305" i="46"/>
  <c r="Y197" i="46"/>
  <c r="Y199" i="46"/>
  <c r="Z195" i="46"/>
  <c r="AB283" i="46"/>
  <c r="Y371" i="46"/>
  <c r="Z304" i="46"/>
  <c r="AB298" i="46"/>
  <c r="Z297" i="46"/>
  <c r="Y136" i="46"/>
  <c r="Y137" i="46"/>
  <c r="Z132" i="46"/>
  <c r="Y133" i="46"/>
  <c r="AA290" i="46"/>
  <c r="Z291" i="46"/>
  <c r="G110" i="24"/>
  <c r="G61" i="33" s="1"/>
  <c r="H110" i="24"/>
  <c r="U12" i="44"/>
  <c r="U3" i="45"/>
  <c r="U9" i="45" s="1"/>
  <c r="BA9" i="45" s="1"/>
  <c r="D117" i="42"/>
  <c r="D113" i="42"/>
  <c r="D118" i="42"/>
  <c r="AA170" i="42"/>
  <c r="Y170" i="42"/>
  <c r="AD170" i="42"/>
  <c r="J277" i="42"/>
  <c r="AE1" i="42"/>
  <c r="AD51" i="42"/>
  <c r="AD50" i="42"/>
  <c r="O216" i="42"/>
  <c r="X113" i="42"/>
  <c r="Z113" i="42"/>
  <c r="G264" i="42"/>
  <c r="G257" i="42"/>
  <c r="O170" i="42"/>
  <c r="Z216" i="42"/>
  <c r="O231" i="42"/>
  <c r="AD232" i="42"/>
  <c r="X231" i="42"/>
  <c r="H259" i="42"/>
  <c r="G269" i="42"/>
  <c r="G280" i="42"/>
  <c r="E118" i="42"/>
  <c r="E113" i="42"/>
  <c r="E117" i="42"/>
  <c r="F117" i="42"/>
  <c r="F113" i="42"/>
  <c r="F118" i="42"/>
  <c r="F125" i="42" s="1"/>
  <c r="AC170" i="42"/>
  <c r="I172" i="42"/>
  <c r="H173" i="42"/>
  <c r="H1" i="42"/>
  <c r="G51" i="42"/>
  <c r="G50" i="42"/>
  <c r="N216" i="42"/>
  <c r="AB113" i="42"/>
  <c r="Y113" i="42"/>
  <c r="AD114" i="42"/>
  <c r="H256" i="42"/>
  <c r="G331" i="42"/>
  <c r="G171" i="42"/>
  <c r="P170" i="42"/>
  <c r="N170" i="42"/>
  <c r="X216" i="42"/>
  <c r="AD217" i="42"/>
  <c r="I270" i="42"/>
  <c r="G232" i="42"/>
  <c r="P231" i="42"/>
  <c r="AC231" i="42"/>
  <c r="Z231" i="42"/>
  <c r="AB231" i="42"/>
  <c r="X170" i="42"/>
  <c r="H255" i="42"/>
  <c r="AC52" i="42"/>
  <c r="AC49" i="42" s="1"/>
  <c r="D216" i="42"/>
  <c r="P216" i="42"/>
  <c r="G217" i="42"/>
  <c r="AA113" i="42"/>
  <c r="AC113" i="42"/>
  <c r="I115" i="42"/>
  <c r="H116" i="42"/>
  <c r="G279" i="42"/>
  <c r="I265" i="42"/>
  <c r="I254" i="42"/>
  <c r="G276" i="42"/>
  <c r="D174" i="42"/>
  <c r="D170" i="42"/>
  <c r="D175" i="42"/>
  <c r="AB216" i="42"/>
  <c r="Y216" i="42"/>
  <c r="AA216" i="42"/>
  <c r="E231" i="42"/>
  <c r="F231" i="42"/>
  <c r="D231" i="42"/>
  <c r="H258" i="42"/>
  <c r="G271" i="42"/>
  <c r="H278" i="42"/>
  <c r="G117" i="42"/>
  <c r="G113" i="42"/>
  <c r="G118" i="42"/>
  <c r="O113" i="42"/>
  <c r="P113" i="42"/>
  <c r="N113" i="42"/>
  <c r="AB170" i="42"/>
  <c r="Z170" i="42"/>
  <c r="G120" i="42"/>
  <c r="G268" i="42"/>
  <c r="F52" i="42"/>
  <c r="F49" i="42" s="1"/>
  <c r="E216" i="42"/>
  <c r="F216" i="42"/>
  <c r="G177" i="42"/>
  <c r="F179" i="42"/>
  <c r="F263" i="42"/>
  <c r="G262" i="42"/>
  <c r="E175" i="42"/>
  <c r="E174" i="42"/>
  <c r="E170" i="42"/>
  <c r="F174" i="42"/>
  <c r="F170" i="42"/>
  <c r="F175" i="42"/>
  <c r="F182" i="42" s="1"/>
  <c r="F342" i="42" s="1"/>
  <c r="AC216" i="42"/>
  <c r="F122" i="42"/>
  <c r="F123" i="42" s="1"/>
  <c r="G275" i="42"/>
  <c r="N231" i="42"/>
  <c r="Y231" i="42"/>
  <c r="AA231" i="42"/>
  <c r="I121" i="42"/>
  <c r="H254" i="38"/>
  <c r="G271" i="38"/>
  <c r="G275" i="38"/>
  <c r="J257" i="38"/>
  <c r="I264" i="38"/>
  <c r="G277" i="38"/>
  <c r="H259" i="38"/>
  <c r="H274" i="38"/>
  <c r="J255" i="38"/>
  <c r="I276" i="38"/>
  <c r="I280" i="38"/>
  <c r="I256" i="38"/>
  <c r="G278" i="38"/>
  <c r="H331" i="38"/>
  <c r="G269" i="38"/>
  <c r="G270" i="38"/>
  <c r="G279" i="38"/>
  <c r="G258" i="38"/>
  <c r="G265" i="38"/>
  <c r="H263" i="38"/>
  <c r="I262" i="38"/>
  <c r="I268" i="38"/>
  <c r="AA133" i="48" l="1"/>
  <c r="EA191" i="55"/>
  <c r="D142" i="55"/>
  <c r="BZ191" i="55"/>
  <c r="AH142" i="55" s="1"/>
  <c r="BN142" i="55" s="1"/>
  <c r="D141" i="55"/>
  <c r="P52" i="42"/>
  <c r="P49" i="42" s="1"/>
  <c r="R1" i="42"/>
  <c r="Q51" i="42"/>
  <c r="Q50" i="42"/>
  <c r="Q114" i="42"/>
  <c r="Q113" i="42" s="1"/>
  <c r="Q217" i="42"/>
  <c r="Q216" i="42" s="1"/>
  <c r="Q232" i="42"/>
  <c r="Q231" i="42" s="1"/>
  <c r="Q171" i="42"/>
  <c r="Q170" i="42" s="1"/>
  <c r="AE104" i="54"/>
  <c r="AE103" i="54"/>
  <c r="AE105" i="54"/>
  <c r="AE102" i="54"/>
  <c r="AF97" i="54"/>
  <c r="AF101" i="54"/>
  <c r="AF102" i="54" s="1"/>
  <c r="AF96" i="54"/>
  <c r="AF95" i="54"/>
  <c r="AG97" i="53"/>
  <c r="AG93" i="53"/>
  <c r="BL45" i="51"/>
  <c r="AG45" i="51"/>
  <c r="AB304" i="48"/>
  <c r="AA126" i="48"/>
  <c r="AA128" i="48" s="1"/>
  <c r="AB125" i="48"/>
  <c r="AA127" i="48"/>
  <c r="AA286" i="48"/>
  <c r="AB293" i="48"/>
  <c r="Z197" i="48"/>
  <c r="Z199" i="48"/>
  <c r="AA195" i="48"/>
  <c r="AA303" i="48"/>
  <c r="AA282" i="48"/>
  <c r="AB297" i="48"/>
  <c r="AB283" i="48"/>
  <c r="AB131" i="48"/>
  <c r="AB190" i="48"/>
  <c r="AA191" i="48"/>
  <c r="AA193" i="48" s="1"/>
  <c r="AA200" i="48" s="1"/>
  <c r="AA370" i="48" s="1"/>
  <c r="AA192" i="48"/>
  <c r="AA299" i="48"/>
  <c r="Z371" i="48"/>
  <c r="AA284" i="48"/>
  <c r="AC290" i="48"/>
  <c r="AB291" i="48"/>
  <c r="AD296" i="48"/>
  <c r="AC292" i="48"/>
  <c r="AC130" i="48"/>
  <c r="AB287" i="48"/>
  <c r="AB306" i="48"/>
  <c r="AB308" i="48"/>
  <c r="AA305" i="48"/>
  <c r="Z136" i="48"/>
  <c r="Z137" i="48"/>
  <c r="Z135" i="48"/>
  <c r="AB132" i="48"/>
  <c r="AA298" i="48"/>
  <c r="AB359" i="48"/>
  <c r="AB285" i="48"/>
  <c r="AA307" i="48"/>
  <c r="Z371" i="46"/>
  <c r="AC298" i="46"/>
  <c r="AA126" i="46"/>
  <c r="AA128" i="46" s="1"/>
  <c r="AA135" i="46" s="1"/>
  <c r="AB125" i="46"/>
  <c r="AA127" i="46"/>
  <c r="AA191" i="46"/>
  <c r="AA193" i="46" s="1"/>
  <c r="AA200" i="46" s="1"/>
  <c r="AA370" i="46" s="1"/>
  <c r="AB190" i="46"/>
  <c r="AA192" i="46"/>
  <c r="AA296" i="46"/>
  <c r="AB299" i="46"/>
  <c r="AA293" i="46"/>
  <c r="AA132" i="46"/>
  <c r="AA133" i="46" s="1"/>
  <c r="AA304" i="46"/>
  <c r="AA305" i="46"/>
  <c r="Z136" i="46"/>
  <c r="Z137" i="46"/>
  <c r="AD131" i="46"/>
  <c r="AB308" i="46"/>
  <c r="AB130" i="46"/>
  <c r="AA286" i="46"/>
  <c r="AA292" i="46"/>
  <c r="AA291" i="46"/>
  <c r="AB290" i="46"/>
  <c r="AA297" i="46"/>
  <c r="AB303" i="46"/>
  <c r="AB282" i="46"/>
  <c r="Z135" i="46"/>
  <c r="AC283" i="46"/>
  <c r="Z197" i="46"/>
  <c r="Z199" i="46"/>
  <c r="AA195" i="46"/>
  <c r="AB306" i="46"/>
  <c r="AB284" i="46"/>
  <c r="AD287" i="46"/>
  <c r="Z133" i="46"/>
  <c r="AB307" i="46"/>
  <c r="AB285" i="46"/>
  <c r="G124" i="24"/>
  <c r="G62" i="33" s="1"/>
  <c r="H124" i="24"/>
  <c r="V3" i="45"/>
  <c r="V9" i="45" s="1"/>
  <c r="BB9" i="45" s="1"/>
  <c r="G263" i="42"/>
  <c r="H262" i="42"/>
  <c r="G125" i="42"/>
  <c r="H120" i="42"/>
  <c r="J265" i="42"/>
  <c r="G216" i="42"/>
  <c r="G174" i="42"/>
  <c r="G170" i="42"/>
  <c r="G175" i="42"/>
  <c r="G182" i="42" s="1"/>
  <c r="G342" i="42" s="1"/>
  <c r="E126" i="42"/>
  <c r="E127" i="42"/>
  <c r="E125" i="42"/>
  <c r="AF1" i="42"/>
  <c r="AE50" i="42"/>
  <c r="AE51" i="42"/>
  <c r="AE217" i="42"/>
  <c r="AE114" i="42"/>
  <c r="AE232" i="42"/>
  <c r="AE171" i="42"/>
  <c r="F343" i="42"/>
  <c r="G179" i="42"/>
  <c r="H177" i="42"/>
  <c r="G126" i="42"/>
  <c r="I278" i="42"/>
  <c r="I258" i="42"/>
  <c r="D182" i="42"/>
  <c r="D181" i="42"/>
  <c r="I116" i="42"/>
  <c r="J115" i="42"/>
  <c r="AD216" i="42"/>
  <c r="AD113" i="42"/>
  <c r="G52" i="42"/>
  <c r="G49" i="42" s="1"/>
  <c r="H269" i="42"/>
  <c r="H264" i="42"/>
  <c r="K277" i="42"/>
  <c r="H275" i="42"/>
  <c r="E182" i="42"/>
  <c r="E181" i="42"/>
  <c r="F181" i="42"/>
  <c r="J254" i="42"/>
  <c r="H279" i="42"/>
  <c r="I255" i="42"/>
  <c r="G231" i="42"/>
  <c r="H331" i="42"/>
  <c r="I173" i="42"/>
  <c r="J172" i="42"/>
  <c r="AD52" i="42"/>
  <c r="AD49" i="42" s="1"/>
  <c r="D126" i="42"/>
  <c r="D127" i="42"/>
  <c r="D125" i="42"/>
  <c r="J121" i="42"/>
  <c r="G122" i="42"/>
  <c r="G123" i="42" s="1"/>
  <c r="H268" i="42"/>
  <c r="H271" i="42"/>
  <c r="H276" i="42"/>
  <c r="J270" i="42"/>
  <c r="I256" i="42"/>
  <c r="I1" i="42"/>
  <c r="H51" i="42"/>
  <c r="H50" i="42"/>
  <c r="H232" i="42"/>
  <c r="H171" i="42"/>
  <c r="H114" i="42"/>
  <c r="H217" i="42"/>
  <c r="F127" i="42"/>
  <c r="F126" i="42"/>
  <c r="H280" i="42"/>
  <c r="I259" i="42"/>
  <c r="AD231" i="42"/>
  <c r="H257" i="42"/>
  <c r="I259" i="38"/>
  <c r="H270" i="38"/>
  <c r="J256" i="38"/>
  <c r="H275" i="38"/>
  <c r="H271" i="38"/>
  <c r="H278" i="38"/>
  <c r="I254" i="38"/>
  <c r="J268" i="38"/>
  <c r="H258" i="38"/>
  <c r="I331" i="38"/>
  <c r="J280" i="38"/>
  <c r="J276" i="38"/>
  <c r="K255" i="38"/>
  <c r="I274" i="38"/>
  <c r="J264" i="38"/>
  <c r="I263" i="38"/>
  <c r="J262" i="38"/>
  <c r="H265" i="38"/>
  <c r="H279" i="38"/>
  <c r="H269" i="38"/>
  <c r="H277" i="38"/>
  <c r="K257" i="38"/>
  <c r="AG54" i="38"/>
  <c r="AI39" i="41"/>
  <c r="AI44" i="41"/>
  <c r="AI43" i="41"/>
  <c r="AI42" i="41"/>
  <c r="AI41" i="41"/>
  <c r="AI40" i="41"/>
  <c r="F32" i="41"/>
  <c r="G32" i="41" s="1"/>
  <c r="H32" i="41" s="1"/>
  <c r="I32" i="41" s="1"/>
  <c r="J32" i="41" s="1"/>
  <c r="K32" i="41" s="1"/>
  <c r="L32" i="41" s="1"/>
  <c r="M32" i="41" s="1"/>
  <c r="N32" i="41" s="1"/>
  <c r="O32" i="41" s="1"/>
  <c r="P32" i="41" s="1"/>
  <c r="Q32" i="41" s="1"/>
  <c r="R32" i="41" s="1"/>
  <c r="S32" i="41" s="1"/>
  <c r="T32" i="41" s="1"/>
  <c r="U32" i="41" s="1"/>
  <c r="V32" i="41" s="1"/>
  <c r="W32" i="41" s="1"/>
  <c r="X32" i="41" s="1"/>
  <c r="Y32" i="41" s="1"/>
  <c r="Z32" i="41" s="1"/>
  <c r="AA32" i="41" s="1"/>
  <c r="AB32" i="41" s="1"/>
  <c r="AC32" i="41" s="1"/>
  <c r="AD32" i="41" s="1"/>
  <c r="AE32" i="41" s="1"/>
  <c r="AF32" i="41" s="1"/>
  <c r="AG32" i="41" s="1"/>
  <c r="AH32" i="41" s="1"/>
  <c r="AI32" i="41" s="1"/>
  <c r="Q6" i="41"/>
  <c r="D59" i="33"/>
  <c r="E59" i="33"/>
  <c r="F59" i="33"/>
  <c r="C59" i="33"/>
  <c r="AB133" i="48" l="1"/>
  <c r="Q52" i="42"/>
  <c r="Q49" i="42" s="1"/>
  <c r="R217" i="42"/>
  <c r="R216" i="42" s="1"/>
  <c r="R232" i="42"/>
  <c r="R231" i="42" s="1"/>
  <c r="R51" i="42"/>
  <c r="R171" i="42"/>
  <c r="R170" i="42" s="1"/>
  <c r="R50" i="42"/>
  <c r="R52" i="42" s="1"/>
  <c r="R49" i="42" s="1"/>
  <c r="R114" i="42"/>
  <c r="R113" i="42" s="1"/>
  <c r="S1" i="42"/>
  <c r="G181" i="42"/>
  <c r="BP141" i="55"/>
  <c r="CT141" i="55" s="1"/>
  <c r="BQ141" i="55" s="1"/>
  <c r="BR141" i="55" s="1"/>
  <c r="BS141" i="55" s="1"/>
  <c r="BT141" i="55" s="1"/>
  <c r="BU141" i="55" s="1"/>
  <c r="BV141" i="55" s="1"/>
  <c r="BW141" i="55" s="1"/>
  <c r="BX141" i="55" s="1"/>
  <c r="BY141" i="55" s="1"/>
  <c r="BZ141" i="55" s="1"/>
  <c r="CA141" i="55" s="1"/>
  <c r="CB141" i="55" s="1"/>
  <c r="CC141" i="55" s="1"/>
  <c r="CD141" i="55" s="1"/>
  <c r="CE141" i="55" s="1"/>
  <c r="CF141" i="55" s="1"/>
  <c r="CG141" i="55" s="1"/>
  <c r="CH141" i="55" s="1"/>
  <c r="CI141" i="55" s="1"/>
  <c r="CJ141" i="55" s="1"/>
  <c r="CK141" i="55" s="1"/>
  <c r="CL141" i="55" s="1"/>
  <c r="CM141" i="55" s="1"/>
  <c r="CN141" i="55" s="1"/>
  <c r="CO141" i="55" s="1"/>
  <c r="CP141" i="55" s="1"/>
  <c r="CQ141" i="55" s="1"/>
  <c r="CR141" i="55" s="1"/>
  <c r="CS141" i="55" s="1"/>
  <c r="AJ141" i="55"/>
  <c r="CV141" i="55" s="1"/>
  <c r="E141" i="55"/>
  <c r="CT142" i="55"/>
  <c r="DZ142" i="55"/>
  <c r="BP142" i="55"/>
  <c r="BQ142" i="55" s="1"/>
  <c r="BR142" i="55" s="1"/>
  <c r="BS142" i="55" s="1"/>
  <c r="BT142" i="55" s="1"/>
  <c r="BU142" i="55" s="1"/>
  <c r="BV142" i="55" s="1"/>
  <c r="BW142" i="55" s="1"/>
  <c r="BX142" i="55" s="1"/>
  <c r="BY142" i="55" s="1"/>
  <c r="BZ142" i="55" s="1"/>
  <c r="CA142" i="55" s="1"/>
  <c r="CB142" i="55" s="1"/>
  <c r="CC142" i="55" s="1"/>
  <c r="CD142" i="55" s="1"/>
  <c r="CE142" i="55" s="1"/>
  <c r="CF142" i="55" s="1"/>
  <c r="CG142" i="55" s="1"/>
  <c r="CH142" i="55" s="1"/>
  <c r="CI142" i="55" s="1"/>
  <c r="CJ142" i="55" s="1"/>
  <c r="CK142" i="55" s="1"/>
  <c r="CL142" i="55" s="1"/>
  <c r="CM142" i="55" s="1"/>
  <c r="CN142" i="55" s="1"/>
  <c r="CO142" i="55" s="1"/>
  <c r="CP142" i="55" s="1"/>
  <c r="CQ142" i="55" s="1"/>
  <c r="CR142" i="55" s="1"/>
  <c r="CS142" i="55" s="1"/>
  <c r="E142" i="55"/>
  <c r="AJ142" i="55"/>
  <c r="CV142" i="55" s="1"/>
  <c r="AF104" i="54"/>
  <c r="AF103" i="54"/>
  <c r="AF105" i="54"/>
  <c r="BM45" i="51"/>
  <c r="AB307" i="48"/>
  <c r="AC359" i="48"/>
  <c r="AC287" i="48"/>
  <c r="AC283" i="48"/>
  <c r="AC297" i="48"/>
  <c r="AB282" i="48"/>
  <c r="AB126" i="48"/>
  <c r="AB128" i="48" s="1"/>
  <c r="AC125" i="48"/>
  <c r="AB127" i="48"/>
  <c r="AE296" i="48"/>
  <c r="AB191" i="48"/>
  <c r="AB193" i="48" s="1"/>
  <c r="AB200" i="48" s="1"/>
  <c r="AB370" i="48" s="1"/>
  <c r="AC190" i="48"/>
  <c r="AB192" i="48"/>
  <c r="AB286" i="48"/>
  <c r="AA136" i="48"/>
  <c r="AA137" i="48"/>
  <c r="AA135" i="48"/>
  <c r="AC285" i="48"/>
  <c r="AB305" i="48"/>
  <c r="AC306" i="48"/>
  <c r="AD130" i="48"/>
  <c r="AC291" i="48"/>
  <c r="AD290" i="48"/>
  <c r="AC131" i="48"/>
  <c r="AB303" i="48"/>
  <c r="AC132" i="48"/>
  <c r="AB298" i="48"/>
  <c r="AC308" i="48"/>
  <c r="AD292" i="48"/>
  <c r="AB284" i="48"/>
  <c r="AB299" i="48"/>
  <c r="AA371" i="48"/>
  <c r="AA197" i="48"/>
  <c r="AA199" i="48"/>
  <c r="AB195" i="48"/>
  <c r="AC293" i="48"/>
  <c r="AC304" i="48"/>
  <c r="AA371" i="46"/>
  <c r="AC285" i="46"/>
  <c r="AC307" i="46"/>
  <c r="AA197" i="46"/>
  <c r="AA199" i="46"/>
  <c r="AB195" i="46"/>
  <c r="AC282" i="46"/>
  <c r="AB297" i="46"/>
  <c r="AC299" i="46"/>
  <c r="AC284" i="46"/>
  <c r="AB291" i="46"/>
  <c r="AC290" i="46"/>
  <c r="AE131" i="46"/>
  <c r="AC303" i="46"/>
  <c r="AB286" i="46"/>
  <c r="AB305" i="46"/>
  <c r="AB293" i="46"/>
  <c r="AB296" i="46"/>
  <c r="AC125" i="46"/>
  <c r="AB126" i="46"/>
  <c r="AB128" i="46" s="1"/>
  <c r="AB135" i="46" s="1"/>
  <c r="AB127" i="46"/>
  <c r="AD298" i="46"/>
  <c r="AB292" i="46"/>
  <c r="AB191" i="46"/>
  <c r="AB193" i="46" s="1"/>
  <c r="AB200" i="46" s="1"/>
  <c r="AB370" i="46" s="1"/>
  <c r="AC190" i="46"/>
  <c r="AB192" i="46"/>
  <c r="AE287" i="46"/>
  <c r="AC306" i="46"/>
  <c r="AD283" i="46"/>
  <c r="AC130" i="46"/>
  <c r="AC308" i="46"/>
  <c r="AB304" i="46"/>
  <c r="AB132" i="46"/>
  <c r="AB133" i="46" s="1"/>
  <c r="AA137" i="46"/>
  <c r="AA136" i="46"/>
  <c r="W3" i="45"/>
  <c r="W9" i="45" s="1"/>
  <c r="BC9" i="45" s="1"/>
  <c r="H174" i="42"/>
  <c r="H170" i="42"/>
  <c r="H175" i="42"/>
  <c r="H182" i="42" s="1"/>
  <c r="H342" i="42" s="1"/>
  <c r="I51" i="42"/>
  <c r="I50" i="42"/>
  <c r="J1" i="42"/>
  <c r="I232" i="42"/>
  <c r="I114" i="42"/>
  <c r="I171" i="42"/>
  <c r="I217" i="42"/>
  <c r="K270" i="42"/>
  <c r="I275" i="42"/>
  <c r="D342" i="42"/>
  <c r="D343" i="42"/>
  <c r="J278" i="42"/>
  <c r="AE231" i="42"/>
  <c r="AE52" i="42"/>
  <c r="AE49" i="42" s="1"/>
  <c r="I280" i="42"/>
  <c r="H231" i="42"/>
  <c r="I268" i="42"/>
  <c r="J173" i="42"/>
  <c r="K172" i="42"/>
  <c r="I279" i="42"/>
  <c r="L277" i="42"/>
  <c r="J116" i="42"/>
  <c r="K115" i="42"/>
  <c r="H179" i="42"/>
  <c r="I177" i="42"/>
  <c r="AE113" i="42"/>
  <c r="AF51" i="42"/>
  <c r="AF50" i="42"/>
  <c r="AF232" i="42"/>
  <c r="AF114" i="42"/>
  <c r="AF217" i="42"/>
  <c r="AF171" i="42"/>
  <c r="K265" i="42"/>
  <c r="H263" i="42"/>
  <c r="H343" i="42" s="1"/>
  <c r="I262" i="42"/>
  <c r="H216" i="42"/>
  <c r="H52" i="42"/>
  <c r="H49" i="42" s="1"/>
  <c r="J256" i="42"/>
  <c r="I276" i="42"/>
  <c r="I271" i="42"/>
  <c r="H122" i="42"/>
  <c r="H123" i="42" s="1"/>
  <c r="K121" i="42"/>
  <c r="J255" i="42"/>
  <c r="E342" i="42"/>
  <c r="E343" i="42"/>
  <c r="G127" i="42"/>
  <c r="AE216" i="42"/>
  <c r="G343" i="42"/>
  <c r="I257" i="42"/>
  <c r="J259" i="42"/>
  <c r="H117" i="42"/>
  <c r="H113" i="42"/>
  <c r="H118" i="42"/>
  <c r="H125" i="42" s="1"/>
  <c r="I331" i="42"/>
  <c r="K254" i="42"/>
  <c r="I264" i="42"/>
  <c r="I269" i="42"/>
  <c r="J258" i="42"/>
  <c r="AE170" i="42"/>
  <c r="I120" i="42"/>
  <c r="I279" i="38"/>
  <c r="J263" i="38"/>
  <c r="K262" i="38"/>
  <c r="I277" i="38"/>
  <c r="I269" i="38"/>
  <c r="I265" i="38"/>
  <c r="K264" i="38"/>
  <c r="L255" i="38"/>
  <c r="K280" i="38"/>
  <c r="I278" i="38"/>
  <c r="I270" i="38"/>
  <c r="I258" i="38"/>
  <c r="I271" i="38"/>
  <c r="L257" i="38"/>
  <c r="J274" i="38"/>
  <c r="K276" i="38"/>
  <c r="J331" i="38"/>
  <c r="K268" i="38"/>
  <c r="J254" i="38"/>
  <c r="J259" i="38"/>
  <c r="I275" i="38"/>
  <c r="K256" i="38"/>
  <c r="P6" i="41"/>
  <c r="C78" i="40"/>
  <c r="C74" i="40"/>
  <c r="I23" i="40"/>
  <c r="I33" i="40" s="1"/>
  <c r="H23" i="40"/>
  <c r="H33" i="40" s="1"/>
  <c r="G23" i="40"/>
  <c r="F23" i="40"/>
  <c r="F32" i="40" s="1"/>
  <c r="E23" i="40"/>
  <c r="E33" i="40" s="1"/>
  <c r="D23" i="40"/>
  <c r="D33" i="40" s="1"/>
  <c r="C23" i="40"/>
  <c r="B23" i="40"/>
  <c r="J22" i="40"/>
  <c r="J21" i="40"/>
  <c r="J20" i="40"/>
  <c r="J19" i="40"/>
  <c r="J18" i="40"/>
  <c r="J17" i="40"/>
  <c r="AC133" i="48" l="1"/>
  <c r="AK142" i="55"/>
  <c r="CW142" i="55" s="1"/>
  <c r="F142" i="55"/>
  <c r="S171" i="42"/>
  <c r="S170" i="42" s="1"/>
  <c r="S114" i="42"/>
  <c r="S113" i="42" s="1"/>
  <c r="T1" i="42"/>
  <c r="S51" i="42"/>
  <c r="S50" i="42"/>
  <c r="S217" i="42"/>
  <c r="S216" i="42" s="1"/>
  <c r="S232" i="42"/>
  <c r="S231" i="42" s="1"/>
  <c r="AK141" i="55"/>
  <c r="CW141" i="55" s="1"/>
  <c r="F141" i="55"/>
  <c r="BN45" i="51"/>
  <c r="AH45" i="51"/>
  <c r="CC15" i="51" s="1"/>
  <c r="AD304" i="48"/>
  <c r="AE292" i="48"/>
  <c r="AD308" i="48"/>
  <c r="AD291" i="48"/>
  <c r="AE290" i="48"/>
  <c r="AC282" i="48"/>
  <c r="AD283" i="48"/>
  <c r="AD287" i="48"/>
  <c r="AD293" i="48"/>
  <c r="AC299" i="48"/>
  <c r="AC284" i="48"/>
  <c r="AD132" i="48"/>
  <c r="AC305" i="48"/>
  <c r="AC191" i="48"/>
  <c r="AC193" i="48" s="1"/>
  <c r="AC200" i="48" s="1"/>
  <c r="AC370" i="48" s="1"/>
  <c r="AD190" i="48"/>
  <c r="AC192" i="48"/>
  <c r="AF296" i="48"/>
  <c r="AC126" i="48"/>
  <c r="AC128" i="48" s="1"/>
  <c r="AD125" i="48"/>
  <c r="AC127" i="48"/>
  <c r="AC298" i="48"/>
  <c r="AC303" i="48"/>
  <c r="AD131" i="48"/>
  <c r="AD133" i="48" s="1"/>
  <c r="AE130" i="48"/>
  <c r="AD306" i="48"/>
  <c r="AC286" i="48"/>
  <c r="AB137" i="48"/>
  <c r="AB136" i="48"/>
  <c r="AB135" i="48"/>
  <c r="AD297" i="48"/>
  <c r="AB197" i="48"/>
  <c r="AB199" i="48"/>
  <c r="AC195" i="48"/>
  <c r="AD285" i="48"/>
  <c r="AB371" i="48"/>
  <c r="AD359" i="48"/>
  <c r="AC307" i="48"/>
  <c r="AD306" i="46"/>
  <c r="AC305" i="46"/>
  <c r="AC286" i="46"/>
  <c r="AB371" i="46"/>
  <c r="AD284" i="46"/>
  <c r="AB199" i="46"/>
  <c r="AC195" i="46"/>
  <c r="AB197" i="46"/>
  <c r="AC296" i="46"/>
  <c r="AD290" i="46"/>
  <c r="AC291" i="46"/>
  <c r="AD299" i="46"/>
  <c r="AD308" i="46"/>
  <c r="AF287" i="46"/>
  <c r="AC191" i="46"/>
  <c r="AC193" i="46" s="1"/>
  <c r="AC200" i="46" s="1"/>
  <c r="AC370" i="46" s="1"/>
  <c r="AD190" i="46"/>
  <c r="AC192" i="46"/>
  <c r="AB136" i="46"/>
  <c r="AB137" i="46"/>
  <c r="AC293" i="46"/>
  <c r="AD307" i="46"/>
  <c r="AC304" i="46"/>
  <c r="AD130" i="46"/>
  <c r="AC292" i="46"/>
  <c r="AD303" i="46"/>
  <c r="AF131" i="46"/>
  <c r="AD285" i="46"/>
  <c r="AE283" i="46"/>
  <c r="AC132" i="46"/>
  <c r="AC133" i="46" s="1"/>
  <c r="AE298" i="46"/>
  <c r="AC126" i="46"/>
  <c r="AC128" i="46" s="1"/>
  <c r="AD125" i="46"/>
  <c r="AC127" i="46"/>
  <c r="AC297" i="46"/>
  <c r="AD282" i="46"/>
  <c r="X3" i="45"/>
  <c r="X9" i="45" s="1"/>
  <c r="BD9" i="45" s="1"/>
  <c r="J23" i="40"/>
  <c r="B79" i="40"/>
  <c r="B29" i="40"/>
  <c r="B33" i="40"/>
  <c r="F27" i="40"/>
  <c r="F33" i="40"/>
  <c r="B28" i="40"/>
  <c r="B30" i="40"/>
  <c r="B32" i="40"/>
  <c r="B27" i="40"/>
  <c r="B31" i="40"/>
  <c r="F29" i="40"/>
  <c r="F31" i="40"/>
  <c r="F28" i="40"/>
  <c r="F30" i="40"/>
  <c r="J280" i="42"/>
  <c r="J269" i="42"/>
  <c r="K255" i="42"/>
  <c r="I122" i="42"/>
  <c r="I123" i="42" s="1"/>
  <c r="J276" i="42"/>
  <c r="AF113" i="42"/>
  <c r="H181" i="42"/>
  <c r="J279" i="42"/>
  <c r="I216" i="42"/>
  <c r="K1" i="42"/>
  <c r="J51" i="42"/>
  <c r="J50" i="42"/>
  <c r="J232" i="42"/>
  <c r="J114" i="42"/>
  <c r="J171" i="42"/>
  <c r="J217" i="42"/>
  <c r="I179" i="42"/>
  <c r="J177" i="42"/>
  <c r="J120" i="42"/>
  <c r="J264" i="42"/>
  <c r="H126" i="42"/>
  <c r="H127" i="42"/>
  <c r="J257" i="42"/>
  <c r="AF231" i="42"/>
  <c r="K278" i="42"/>
  <c r="J275" i="42"/>
  <c r="I175" i="42"/>
  <c r="I182" i="42" s="1"/>
  <c r="I342" i="42" s="1"/>
  <c r="I174" i="42"/>
  <c r="I170" i="42"/>
  <c r="I52" i="42"/>
  <c r="I49" i="42" s="1"/>
  <c r="L254" i="42"/>
  <c r="AF216" i="42"/>
  <c r="J268" i="42"/>
  <c r="K258" i="42"/>
  <c r="J331" i="42"/>
  <c r="K259" i="42"/>
  <c r="L121" i="42"/>
  <c r="J271" i="42"/>
  <c r="K256" i="42"/>
  <c r="J262" i="42"/>
  <c r="I263" i="42"/>
  <c r="I343" i="42" s="1"/>
  <c r="L265" i="42"/>
  <c r="AF170" i="42"/>
  <c r="AF52" i="42"/>
  <c r="AF49" i="42" s="1"/>
  <c r="K116" i="42"/>
  <c r="L115" i="42"/>
  <c r="M277" i="42"/>
  <c r="K173" i="42"/>
  <c r="L172" i="42"/>
  <c r="L270" i="42"/>
  <c r="I118" i="42"/>
  <c r="I125" i="42" s="1"/>
  <c r="I117" i="42"/>
  <c r="I113" i="42"/>
  <c r="I231" i="42"/>
  <c r="K331" i="38"/>
  <c r="L264" i="38"/>
  <c r="J279" i="38"/>
  <c r="J265" i="38"/>
  <c r="L262" i="38"/>
  <c r="K263" i="38"/>
  <c r="J270" i="38"/>
  <c r="J278" i="38"/>
  <c r="J269" i="38"/>
  <c r="K259" i="38"/>
  <c r="K254" i="38"/>
  <c r="J271" i="38"/>
  <c r="L280" i="38"/>
  <c r="J277" i="38"/>
  <c r="L256" i="38"/>
  <c r="K274" i="38"/>
  <c r="J275" i="38"/>
  <c r="L268" i="38"/>
  <c r="L276" i="38"/>
  <c r="M257" i="38"/>
  <c r="J258" i="38"/>
  <c r="M255" i="38"/>
  <c r="C29" i="40"/>
  <c r="C33" i="40"/>
  <c r="C32" i="40"/>
  <c r="C31" i="40"/>
  <c r="C30" i="40"/>
  <c r="C28" i="40"/>
  <c r="C27" i="40"/>
  <c r="G30" i="40"/>
  <c r="G27" i="40"/>
  <c r="G33" i="40"/>
  <c r="G32" i="40"/>
  <c r="G31" i="40"/>
  <c r="G29" i="40"/>
  <c r="G28" i="40"/>
  <c r="D27" i="40"/>
  <c r="H27" i="40"/>
  <c r="D28" i="40"/>
  <c r="H28" i="40"/>
  <c r="D29" i="40"/>
  <c r="H29" i="40"/>
  <c r="D30" i="40"/>
  <c r="H30" i="40"/>
  <c r="D31" i="40"/>
  <c r="H31" i="40"/>
  <c r="D32" i="40"/>
  <c r="H32" i="40"/>
  <c r="E27" i="40"/>
  <c r="I27" i="40"/>
  <c r="E28" i="40"/>
  <c r="I28" i="40"/>
  <c r="E29" i="40"/>
  <c r="I29" i="40"/>
  <c r="E30" i="40"/>
  <c r="I30" i="40"/>
  <c r="E31" i="40"/>
  <c r="I31" i="40"/>
  <c r="E32" i="40"/>
  <c r="I32" i="40"/>
  <c r="S52" i="42" l="1"/>
  <c r="S49" i="42" s="1"/>
  <c r="T217" i="42"/>
  <c r="T216" i="42" s="1"/>
  <c r="T232" i="42"/>
  <c r="T231" i="42" s="1"/>
  <c r="T171" i="42"/>
  <c r="T170" i="42" s="1"/>
  <c r="T114" i="42"/>
  <c r="T113" i="42" s="1"/>
  <c r="U1" i="42"/>
  <c r="T51" i="42"/>
  <c r="T50" i="42"/>
  <c r="T52" i="42" s="1"/>
  <c r="T49" i="42" s="1"/>
  <c r="AL141" i="55"/>
  <c r="CX141" i="55" s="1"/>
  <c r="G141" i="55"/>
  <c r="AL142" i="55"/>
  <c r="CX142" i="55" s="1"/>
  <c r="G142" i="55"/>
  <c r="AE359" i="48"/>
  <c r="AE131" i="48"/>
  <c r="AC136" i="48"/>
  <c r="AC137" i="48"/>
  <c r="AC135" i="48"/>
  <c r="AC371" i="48"/>
  <c r="AE283" i="48"/>
  <c r="AD307" i="48"/>
  <c r="AE306" i="48"/>
  <c r="AD298" i="48"/>
  <c r="AE132" i="48"/>
  <c r="AD299" i="48"/>
  <c r="AE293" i="48"/>
  <c r="AE308" i="48"/>
  <c r="AE297" i="48"/>
  <c r="AD303" i="48"/>
  <c r="AD305" i="48"/>
  <c r="AD282" i="48"/>
  <c r="AF290" i="48"/>
  <c r="AE291" i="48"/>
  <c r="AE304" i="48"/>
  <c r="AE285" i="48"/>
  <c r="AC199" i="48"/>
  <c r="AD195" i="48"/>
  <c r="AC197" i="48"/>
  <c r="AD286" i="48"/>
  <c r="AF130" i="48"/>
  <c r="AE133" i="48"/>
  <c r="AE125" i="48"/>
  <c r="AD126" i="48"/>
  <c r="AD128" i="48" s="1"/>
  <c r="AD127" i="48"/>
  <c r="AD191" i="48"/>
  <c r="AD193" i="48" s="1"/>
  <c r="AD200" i="48" s="1"/>
  <c r="AD370" i="48" s="1"/>
  <c r="AE190" i="48"/>
  <c r="AD192" i="48"/>
  <c r="AD284" i="48"/>
  <c r="AE287" i="48"/>
  <c r="AF292" i="48"/>
  <c r="AE282" i="46"/>
  <c r="AG131" i="46"/>
  <c r="AE299" i="46"/>
  <c r="AE284" i="46"/>
  <c r="AD305" i="46"/>
  <c r="AD126" i="46"/>
  <c r="AD128" i="46" s="1"/>
  <c r="AD135" i="46" s="1"/>
  <c r="AE125" i="46"/>
  <c r="AD127" i="46"/>
  <c r="AD132" i="46"/>
  <c r="AD133" i="46" s="1"/>
  <c r="AE130" i="46"/>
  <c r="AD297" i="46"/>
  <c r="AC136" i="46"/>
  <c r="AC137" i="46"/>
  <c r="AF283" i="46"/>
  <c r="AE285" i="46"/>
  <c r="AE303" i="46"/>
  <c r="AC135" i="46"/>
  <c r="AE307" i="46"/>
  <c r="AC371" i="46"/>
  <c r="AD296" i="46"/>
  <c r="AD286" i="46"/>
  <c r="AF298" i="46"/>
  <c r="AD292" i="46"/>
  <c r="AD304" i="46"/>
  <c r="AD293" i="46"/>
  <c r="AE190" i="46"/>
  <c r="AD191" i="46"/>
  <c r="AD193" i="46" s="1"/>
  <c r="AD200" i="46" s="1"/>
  <c r="AD370" i="46" s="1"/>
  <c r="AD192" i="46"/>
  <c r="AE308" i="46"/>
  <c r="AE290" i="46"/>
  <c r="AD291" i="46"/>
  <c r="AC197" i="46"/>
  <c r="AC199" i="46"/>
  <c r="AD195" i="46"/>
  <c r="AE306" i="46"/>
  <c r="Y3" i="45"/>
  <c r="Y9" i="45" s="1"/>
  <c r="BE9" i="45" s="1"/>
  <c r="N277" i="42"/>
  <c r="L258" i="42"/>
  <c r="K275" i="42"/>
  <c r="J216" i="42"/>
  <c r="J52" i="42"/>
  <c r="J49" i="42" s="1"/>
  <c r="K279" i="42"/>
  <c r="K276" i="42"/>
  <c r="I126" i="42"/>
  <c r="I127" i="42"/>
  <c r="M121" i="42"/>
  <c r="J174" i="42"/>
  <c r="J170" i="42"/>
  <c r="J175" i="42"/>
  <c r="J182" i="42" s="1"/>
  <c r="J342" i="42" s="1"/>
  <c r="J122" i="42"/>
  <c r="M270" i="42"/>
  <c r="M172" i="42"/>
  <c r="L173" i="42"/>
  <c r="M115" i="42"/>
  <c r="L116" i="42"/>
  <c r="J263" i="42"/>
  <c r="K262" i="42"/>
  <c r="L256" i="42"/>
  <c r="K331" i="42"/>
  <c r="K268" i="42"/>
  <c r="L278" i="42"/>
  <c r="K264" i="42"/>
  <c r="K177" i="42"/>
  <c r="J179" i="42"/>
  <c r="J117" i="42"/>
  <c r="J113" i="42"/>
  <c r="J118" i="42"/>
  <c r="J125" i="42" s="1"/>
  <c r="L1" i="42"/>
  <c r="K51" i="42"/>
  <c r="K50" i="42"/>
  <c r="K232" i="42"/>
  <c r="K217" i="42"/>
  <c r="K171" i="42"/>
  <c r="K114" i="42"/>
  <c r="K280" i="42"/>
  <c r="M265" i="42"/>
  <c r="K271" i="42"/>
  <c r="L259" i="42"/>
  <c r="M254" i="42"/>
  <c r="K257" i="42"/>
  <c r="K120" i="42"/>
  <c r="J123" i="42"/>
  <c r="I181" i="42"/>
  <c r="J231" i="42"/>
  <c r="L255" i="42"/>
  <c r="K269" i="42"/>
  <c r="K279" i="38"/>
  <c r="K275" i="38"/>
  <c r="L274" i="38"/>
  <c r="M280" i="38"/>
  <c r="K270" i="38"/>
  <c r="M276" i="38"/>
  <c r="L259" i="38"/>
  <c r="N257" i="38"/>
  <c r="M256" i="38"/>
  <c r="L254" i="38"/>
  <c r="K269" i="38"/>
  <c r="K265" i="38"/>
  <c r="L331" i="38"/>
  <c r="K258" i="38"/>
  <c r="N255" i="38"/>
  <c r="M268" i="38"/>
  <c r="K277" i="38"/>
  <c r="K271" i="38"/>
  <c r="K278" i="38"/>
  <c r="M262" i="38"/>
  <c r="L263" i="38"/>
  <c r="M264" i="38"/>
  <c r="J343" i="42" l="1"/>
  <c r="U114" i="42"/>
  <c r="U113" i="42" s="1"/>
  <c r="U50" i="42"/>
  <c r="V1" i="42"/>
  <c r="U51" i="42"/>
  <c r="U171" i="42"/>
  <c r="U170" i="42" s="1"/>
  <c r="U232" i="42"/>
  <c r="U231" i="42" s="1"/>
  <c r="U217" i="42"/>
  <c r="U216" i="42" s="1"/>
  <c r="J181" i="42"/>
  <c r="H142" i="55"/>
  <c r="AM142" i="55"/>
  <c r="CY142" i="55" s="1"/>
  <c r="AM141" i="55"/>
  <c r="CY141" i="55" s="1"/>
  <c r="H141" i="55"/>
  <c r="AF359" i="48"/>
  <c r="AE282" i="48"/>
  <c r="AE303" i="48"/>
  <c r="AE307" i="48"/>
  <c r="AF131" i="48"/>
  <c r="AF190" i="48"/>
  <c r="AE191" i="48"/>
  <c r="AE193" i="48" s="1"/>
  <c r="AE200" i="48" s="1"/>
  <c r="AE370" i="48" s="1"/>
  <c r="AE192" i="48"/>
  <c r="AG130" i="48"/>
  <c r="AF308" i="48"/>
  <c r="AE284" i="48"/>
  <c r="AD136" i="48"/>
  <c r="AD137" i="48"/>
  <c r="AD135" i="48"/>
  <c r="AF304" i="48"/>
  <c r="AF297" i="48"/>
  <c r="AD371" i="48"/>
  <c r="AF125" i="48"/>
  <c r="AE126" i="48"/>
  <c r="AE128" i="48" s="1"/>
  <c r="AE127" i="48"/>
  <c r="AE286" i="48"/>
  <c r="AE305" i="48"/>
  <c r="AD197" i="48"/>
  <c r="AD199" i="48"/>
  <c r="AE195" i="48"/>
  <c r="AF291" i="48"/>
  <c r="AE299" i="48"/>
  <c r="AF306" i="48"/>
  <c r="AF287" i="48"/>
  <c r="AF285" i="48"/>
  <c r="AF293" i="48"/>
  <c r="AF132" i="48"/>
  <c r="AE298" i="48"/>
  <c r="AF283" i="48"/>
  <c r="AD371" i="46"/>
  <c r="AD197" i="46"/>
  <c r="AD199" i="46"/>
  <c r="AE195" i="46"/>
  <c r="AE191" i="46"/>
  <c r="AE193" i="46" s="1"/>
  <c r="AE200" i="46" s="1"/>
  <c r="AE370" i="46" s="1"/>
  <c r="AF190" i="46"/>
  <c r="AE192" i="46"/>
  <c r="AF285" i="46"/>
  <c r="AE297" i="46"/>
  <c r="AE132" i="46"/>
  <c r="AE126" i="46"/>
  <c r="AE128" i="46" s="1"/>
  <c r="AE135" i="46" s="1"/>
  <c r="AF125" i="46"/>
  <c r="AE127" i="46"/>
  <c r="AE304" i="46"/>
  <c r="AE286" i="46"/>
  <c r="AF307" i="46"/>
  <c r="AD136" i="46"/>
  <c r="AD137" i="46"/>
  <c r="AF299" i="46"/>
  <c r="AF303" i="46"/>
  <c r="AE305" i="46"/>
  <c r="AG136" i="46"/>
  <c r="AF306" i="46"/>
  <c r="AE291" i="46"/>
  <c r="AF290" i="46"/>
  <c r="AF308" i="46"/>
  <c r="AE293" i="46"/>
  <c r="AE292" i="46"/>
  <c r="AE296" i="46"/>
  <c r="AF130" i="46"/>
  <c r="AF284" i="46"/>
  <c r="AF282" i="46"/>
  <c r="Z3" i="45"/>
  <c r="Z9" i="45" s="1"/>
  <c r="BF9" i="45" s="1"/>
  <c r="L280" i="42"/>
  <c r="K117" i="42"/>
  <c r="K113" i="42"/>
  <c r="K118" i="42"/>
  <c r="K125" i="42" s="1"/>
  <c r="K52" i="42"/>
  <c r="K49" i="42" s="1"/>
  <c r="K179" i="42"/>
  <c r="L177" i="42"/>
  <c r="L331" i="42"/>
  <c r="M116" i="42"/>
  <c r="M118" i="42" s="1"/>
  <c r="N115" i="42"/>
  <c r="M117" i="42"/>
  <c r="N270" i="42"/>
  <c r="K122" i="42"/>
  <c r="L279" i="42"/>
  <c r="L275" i="42"/>
  <c r="M255" i="42"/>
  <c r="N254" i="42"/>
  <c r="L271" i="42"/>
  <c r="K174" i="42"/>
  <c r="K170" i="42"/>
  <c r="K175" i="42"/>
  <c r="K182" i="42" s="1"/>
  <c r="L268" i="42"/>
  <c r="M256" i="42"/>
  <c r="O277" i="42"/>
  <c r="L257" i="42"/>
  <c r="M259" i="42"/>
  <c r="N265" i="42"/>
  <c r="K216" i="42"/>
  <c r="L51" i="42"/>
  <c r="L50" i="42"/>
  <c r="L114" i="42"/>
  <c r="L217" i="42"/>
  <c r="L232" i="42"/>
  <c r="L171" i="42"/>
  <c r="L264" i="42"/>
  <c r="M278" i="42"/>
  <c r="N121" i="42"/>
  <c r="L276" i="42"/>
  <c r="L269" i="42"/>
  <c r="K123" i="42"/>
  <c r="L120" i="42"/>
  <c r="K231" i="42"/>
  <c r="J127" i="42"/>
  <c r="J126" i="42"/>
  <c r="K342" i="42"/>
  <c r="K263" i="42"/>
  <c r="K343" i="42" s="1"/>
  <c r="L262" i="42"/>
  <c r="M173" i="42"/>
  <c r="M175" i="42" s="1"/>
  <c r="M182" i="42" s="1"/>
  <c r="N172" i="42"/>
  <c r="M174" i="42"/>
  <c r="M258" i="42"/>
  <c r="M263" i="38"/>
  <c r="N262" i="38"/>
  <c r="O255" i="38"/>
  <c r="N276" i="38"/>
  <c r="N280" i="38"/>
  <c r="L271" i="38"/>
  <c r="L258" i="38"/>
  <c r="M254" i="38"/>
  <c r="O257" i="38"/>
  <c r="L270" i="38"/>
  <c r="L275" i="38"/>
  <c r="L279" i="38"/>
  <c r="N264" i="38"/>
  <c r="N268" i="38"/>
  <c r="N256" i="38"/>
  <c r="M259" i="38"/>
  <c r="L278" i="38"/>
  <c r="L277" i="38"/>
  <c r="M331" i="38"/>
  <c r="L265" i="38"/>
  <c r="L269" i="38"/>
  <c r="M274" i="38"/>
  <c r="AE371" i="48" l="1"/>
  <c r="AN141" i="55"/>
  <c r="CZ141" i="55" s="1"/>
  <c r="I141" i="55"/>
  <c r="V114" i="42"/>
  <c r="V113" i="42" s="1"/>
  <c r="V51" i="42"/>
  <c r="V50" i="42"/>
  <c r="V52" i="42" s="1"/>
  <c r="V49" i="42" s="1"/>
  <c r="V217" i="42"/>
  <c r="V216" i="42" s="1"/>
  <c r="V171" i="42"/>
  <c r="V170" i="42" s="1"/>
  <c r="V232" i="42"/>
  <c r="V231" i="42" s="1"/>
  <c r="U52" i="42"/>
  <c r="U49" i="42" s="1"/>
  <c r="AN142" i="55"/>
  <c r="CZ142" i="55" s="1"/>
  <c r="I142" i="55"/>
  <c r="AE197" i="48"/>
  <c r="AE199" i="48"/>
  <c r="AF195" i="48"/>
  <c r="AF282" i="48"/>
  <c r="AG132" i="48"/>
  <c r="AE136" i="48"/>
  <c r="AE137" i="48"/>
  <c r="AE135" i="48"/>
  <c r="AF284" i="48"/>
  <c r="AF133" i="48"/>
  <c r="AF307" i="48"/>
  <c r="AF298" i="48"/>
  <c r="AF299" i="48"/>
  <c r="AF286" i="48"/>
  <c r="AF126" i="48"/>
  <c r="AF128" i="48" s="1"/>
  <c r="AF127" i="48"/>
  <c r="AG131" i="48"/>
  <c r="AG133" i="48" s="1"/>
  <c r="AF303" i="48"/>
  <c r="AF305" i="48"/>
  <c r="AG135" i="48"/>
  <c r="AF191" i="48"/>
  <c r="AF193" i="48" s="1"/>
  <c r="AF200" i="48" s="1"/>
  <c r="AF370" i="48" s="1"/>
  <c r="AF192" i="48"/>
  <c r="AG359" i="48"/>
  <c r="AF305" i="46"/>
  <c r="AF132" i="46"/>
  <c r="AF133" i="46" s="1"/>
  <c r="AE133" i="46"/>
  <c r="AF293" i="46"/>
  <c r="AE371" i="46"/>
  <c r="AF304" i="46"/>
  <c r="AF297" i="46"/>
  <c r="AF286" i="46"/>
  <c r="AF126" i="46"/>
  <c r="AF128" i="46" s="1"/>
  <c r="AF135" i="46" s="1"/>
  <c r="AF127" i="46"/>
  <c r="AE197" i="46"/>
  <c r="AE199" i="46"/>
  <c r="AF195" i="46"/>
  <c r="AF296" i="46"/>
  <c r="AF291" i="46"/>
  <c r="AG130" i="46"/>
  <c r="AF292" i="46"/>
  <c r="AE137" i="46"/>
  <c r="AE136" i="46"/>
  <c r="AF191" i="46"/>
  <c r="AF193" i="46" s="1"/>
  <c r="AF200" i="46" s="1"/>
  <c r="AF370" i="46" s="1"/>
  <c r="AF192" i="46"/>
  <c r="AA3" i="45"/>
  <c r="AA9" i="45" s="1"/>
  <c r="BG9" i="45" s="1"/>
  <c r="N173" i="42"/>
  <c r="N175" i="42" s="1"/>
  <c r="N182" i="42" s="1"/>
  <c r="O172" i="42"/>
  <c r="N174" i="42"/>
  <c r="M120" i="42"/>
  <c r="M269" i="42"/>
  <c r="L117" i="42"/>
  <c r="L113" i="42"/>
  <c r="L118" i="42"/>
  <c r="N256" i="42"/>
  <c r="O254" i="42"/>
  <c r="M279" i="42"/>
  <c r="M331" i="42"/>
  <c r="K181" i="42"/>
  <c r="M280" i="42"/>
  <c r="N258" i="42"/>
  <c r="L174" i="42"/>
  <c r="L170" i="42"/>
  <c r="L175" i="42"/>
  <c r="L182" i="42" s="1"/>
  <c r="L52" i="42"/>
  <c r="L49" i="42" s="1"/>
  <c r="O265" i="42"/>
  <c r="M257" i="42"/>
  <c r="P277" i="42"/>
  <c r="L122" i="42"/>
  <c r="N116" i="42"/>
  <c r="N118" i="42" s="1"/>
  <c r="O115" i="42"/>
  <c r="N117" i="42"/>
  <c r="K126" i="42"/>
  <c r="K127" i="42"/>
  <c r="L342" i="42"/>
  <c r="L263" i="42"/>
  <c r="L343" i="42" s="1"/>
  <c r="M262" i="42"/>
  <c r="L231" i="42"/>
  <c r="M268" i="42"/>
  <c r="M271" i="42"/>
  <c r="M275" i="42"/>
  <c r="O270" i="42"/>
  <c r="M126" i="42"/>
  <c r="M276" i="42"/>
  <c r="O121" i="42"/>
  <c r="N278" i="42"/>
  <c r="M264" i="42"/>
  <c r="L216" i="42"/>
  <c r="N259" i="42"/>
  <c r="N255" i="42"/>
  <c r="L179" i="42"/>
  <c r="L181" i="42"/>
  <c r="M177" i="42"/>
  <c r="M278" i="38"/>
  <c r="O256" i="38"/>
  <c r="M270" i="38"/>
  <c r="O276" i="38"/>
  <c r="N263" i="38"/>
  <c r="O262" i="38"/>
  <c r="N331" i="38"/>
  <c r="M277" i="38"/>
  <c r="O264" i="38"/>
  <c r="P255" i="38"/>
  <c r="M265" i="38"/>
  <c r="M275" i="38"/>
  <c r="P257" i="38"/>
  <c r="M271" i="38"/>
  <c r="O280" i="38"/>
  <c r="N259" i="38"/>
  <c r="M279" i="38"/>
  <c r="M258" i="38"/>
  <c r="N274" i="38"/>
  <c r="O268" i="38"/>
  <c r="N254" i="38"/>
  <c r="M269" i="38"/>
  <c r="AO142" i="55" l="1"/>
  <c r="DA142" i="55" s="1"/>
  <c r="J142" i="55"/>
  <c r="J141" i="55"/>
  <c r="AO141" i="55"/>
  <c r="DA141" i="55" s="1"/>
  <c r="AF371" i="48"/>
  <c r="AF137" i="48"/>
  <c r="AF136" i="48"/>
  <c r="AF135" i="48"/>
  <c r="AG137" i="48"/>
  <c r="AF197" i="48"/>
  <c r="AF199" i="48"/>
  <c r="AG195" i="48"/>
  <c r="AG136" i="48"/>
  <c r="AF371" i="46"/>
  <c r="AF199" i="46"/>
  <c r="AG195" i="46"/>
  <c r="AF197" i="46"/>
  <c r="AG132" i="46"/>
  <c r="AG133" i="46" s="1"/>
  <c r="AG135" i="46"/>
  <c r="AF136" i="46"/>
  <c r="AF137" i="46"/>
  <c r="AB3" i="45"/>
  <c r="AB9" i="45" s="1"/>
  <c r="BH9" i="45" s="1"/>
  <c r="P270" i="42"/>
  <c r="O258" i="42"/>
  <c r="O278" i="42"/>
  <c r="N276" i="42"/>
  <c r="O116" i="42"/>
  <c r="O118" i="42" s="1"/>
  <c r="P115" i="42"/>
  <c r="O117" i="42"/>
  <c r="Q277" i="42"/>
  <c r="P265" i="42"/>
  <c r="N279" i="42"/>
  <c r="N269" i="42"/>
  <c r="N120" i="42"/>
  <c r="M125" i="42"/>
  <c r="O173" i="42"/>
  <c r="O175" i="42" s="1"/>
  <c r="O182" i="42" s="1"/>
  <c r="P172" i="42"/>
  <c r="O174" i="42"/>
  <c r="O255" i="42"/>
  <c r="O259" i="42"/>
  <c r="N275" i="42"/>
  <c r="N271" i="42"/>
  <c r="N126" i="42"/>
  <c r="N280" i="42"/>
  <c r="N331" i="42"/>
  <c r="O256" i="42"/>
  <c r="L126" i="42"/>
  <c r="L127" i="42"/>
  <c r="L125" i="42"/>
  <c r="M179" i="42"/>
  <c r="M181" i="42"/>
  <c r="N177" i="42"/>
  <c r="N264" i="42"/>
  <c r="P121" i="42"/>
  <c r="N268" i="42"/>
  <c r="M342" i="42"/>
  <c r="N262" i="42"/>
  <c r="M263" i="42"/>
  <c r="M343" i="42" s="1"/>
  <c r="M122" i="42"/>
  <c r="M123" i="42" s="1"/>
  <c r="N257" i="42"/>
  <c r="P254" i="42"/>
  <c r="L123" i="42"/>
  <c r="N275" i="38"/>
  <c r="P264" i="38"/>
  <c r="P256" i="38"/>
  <c r="O254" i="38"/>
  <c r="N258" i="38"/>
  <c r="N271" i="38"/>
  <c r="O331" i="38"/>
  <c r="N279" i="38"/>
  <c r="N265" i="38"/>
  <c r="P276" i="38"/>
  <c r="O259" i="38"/>
  <c r="P280" i="38"/>
  <c r="Q257" i="38"/>
  <c r="N277" i="38"/>
  <c r="P262" i="38"/>
  <c r="O263" i="38"/>
  <c r="N270" i="38"/>
  <c r="N278" i="38"/>
  <c r="O274" i="38"/>
  <c r="N269" i="38"/>
  <c r="P268" i="38"/>
  <c r="Q255" i="38"/>
  <c r="M26" i="39"/>
  <c r="L26" i="39"/>
  <c r="K26" i="39"/>
  <c r="I26" i="39"/>
  <c r="H26" i="39"/>
  <c r="G26" i="39"/>
  <c r="F26" i="39"/>
  <c r="E26" i="39"/>
  <c r="B22" i="39"/>
  <c r="D25" i="39" s="1"/>
  <c r="G8" i="39"/>
  <c r="F8" i="39"/>
  <c r="E8" i="39"/>
  <c r="D8" i="39"/>
  <c r="N10" i="39"/>
  <c r="M10" i="39"/>
  <c r="L10" i="39"/>
  <c r="X4" i="36" s="1"/>
  <c r="K10" i="39"/>
  <c r="J10" i="39"/>
  <c r="I10" i="39"/>
  <c r="D3" i="37"/>
  <c r="E5" i="39"/>
  <c r="D5" i="39"/>
  <c r="D7" i="39" s="1"/>
  <c r="B10" i="39"/>
  <c r="C11" i="39" s="1"/>
  <c r="N8" i="39"/>
  <c r="AH5" i="36" s="1"/>
  <c r="BN5" i="36" s="1"/>
  <c r="C8" i="39"/>
  <c r="N2" i="39"/>
  <c r="M2" i="39"/>
  <c r="M3" i="39" s="1"/>
  <c r="L2" i="39"/>
  <c r="L3" i="39" s="1"/>
  <c r="K2" i="39"/>
  <c r="K3" i="39" s="1"/>
  <c r="J2" i="39"/>
  <c r="J3" i="39" s="1"/>
  <c r="I2" i="39"/>
  <c r="I3" i="39" s="1"/>
  <c r="D2" i="39"/>
  <c r="D3" i="39" s="1"/>
  <c r="B2" i="39"/>
  <c r="B3" i="39" s="1"/>
  <c r="B4" i="39" s="1"/>
  <c r="AG231" i="38"/>
  <c r="C231" i="38"/>
  <c r="AG216" i="38"/>
  <c r="C216" i="38"/>
  <c r="C178" i="38"/>
  <c r="D177" i="38"/>
  <c r="AG174" i="38"/>
  <c r="C174" i="38"/>
  <c r="AG173" i="38"/>
  <c r="AG175" i="38" s="1"/>
  <c r="C173" i="38"/>
  <c r="C175" i="38" s="1"/>
  <c r="D172" i="38"/>
  <c r="AG170" i="38"/>
  <c r="C170" i="38"/>
  <c r="C122" i="38"/>
  <c r="D121" i="38"/>
  <c r="D120" i="38"/>
  <c r="AG117" i="38"/>
  <c r="C117" i="38"/>
  <c r="AG116" i="38"/>
  <c r="AG118" i="38" s="1"/>
  <c r="C116" i="38"/>
  <c r="C118" i="38" s="1"/>
  <c r="D115" i="38"/>
  <c r="AG113" i="38"/>
  <c r="C113" i="38"/>
  <c r="W52" i="38"/>
  <c r="M52" i="38"/>
  <c r="M49" i="38" s="1"/>
  <c r="C52" i="38"/>
  <c r="AG51" i="38"/>
  <c r="AG50" i="38"/>
  <c r="X1" i="38"/>
  <c r="N1" i="38"/>
  <c r="D1" i="38"/>
  <c r="E1" i="38" s="1"/>
  <c r="I4" i="39" l="1"/>
  <c r="J25" i="39"/>
  <c r="BD4" i="36"/>
  <c r="W7" i="52"/>
  <c r="M11" i="39"/>
  <c r="AC4" i="36"/>
  <c r="N3" i="39"/>
  <c r="O46" i="40"/>
  <c r="L11" i="39"/>
  <c r="C3" i="39"/>
  <c r="K141" i="55"/>
  <c r="AP141" i="55"/>
  <c r="DB141" i="55" s="1"/>
  <c r="AP142" i="55"/>
  <c r="DB142" i="55" s="1"/>
  <c r="K142" i="55"/>
  <c r="J11" i="39"/>
  <c r="N4" i="36"/>
  <c r="N11" i="39"/>
  <c r="AH4" i="36"/>
  <c r="K11" i="39"/>
  <c r="S4" i="36"/>
  <c r="AG199" i="48"/>
  <c r="AG197" i="48"/>
  <c r="AG197" i="46"/>
  <c r="AG199" i="46"/>
  <c r="AG137" i="46"/>
  <c r="AC3" i="45"/>
  <c r="AC9" i="45" s="1"/>
  <c r="BI9" i="45" s="1"/>
  <c r="D4" i="36"/>
  <c r="B13" i="40"/>
  <c r="I8" i="39"/>
  <c r="D5" i="36"/>
  <c r="AJ5" i="36" s="1"/>
  <c r="G5" i="39"/>
  <c r="G6" i="39" s="1"/>
  <c r="C5" i="39"/>
  <c r="C7" i="39" s="1"/>
  <c r="C9" i="39" s="1"/>
  <c r="O331" i="42"/>
  <c r="O275" i="42"/>
  <c r="P259" i="42"/>
  <c r="O269" i="42"/>
  <c r="O276" i="42"/>
  <c r="N342" i="42"/>
  <c r="N263" i="42"/>
  <c r="N343" i="42" s="1"/>
  <c r="O262" i="42"/>
  <c r="O268" i="42"/>
  <c r="Q121" i="42"/>
  <c r="N181" i="42"/>
  <c r="O177" i="42"/>
  <c r="N179" i="42"/>
  <c r="Q265" i="42"/>
  <c r="Q254" i="42"/>
  <c r="N122" i="42"/>
  <c r="N123" i="42" s="1"/>
  <c r="M127" i="42"/>
  <c r="P256" i="42"/>
  <c r="O280" i="42"/>
  <c r="O271" i="42"/>
  <c r="Q172" i="42"/>
  <c r="P173" i="42"/>
  <c r="P175" i="42" s="1"/>
  <c r="P182" i="42" s="1"/>
  <c r="P174" i="42"/>
  <c r="Q115" i="42"/>
  <c r="P116" i="42"/>
  <c r="P118" i="42" s="1"/>
  <c r="P117" i="42"/>
  <c r="P278" i="42"/>
  <c r="P258" i="42"/>
  <c r="Q270" i="42"/>
  <c r="O257" i="42"/>
  <c r="O264" i="42"/>
  <c r="P255" i="42"/>
  <c r="O120" i="42"/>
  <c r="N125" i="42"/>
  <c r="O279" i="42"/>
  <c r="R277" i="42"/>
  <c r="O126" i="42"/>
  <c r="O269" i="38"/>
  <c r="O278" i="38"/>
  <c r="O277" i="38"/>
  <c r="Q280" i="38"/>
  <c r="O271" i="38"/>
  <c r="R255" i="38"/>
  <c r="O270" i="38"/>
  <c r="P263" i="38"/>
  <c r="Q262" i="38"/>
  <c r="O265" i="38"/>
  <c r="P331" i="38"/>
  <c r="P254" i="38"/>
  <c r="Q264" i="38"/>
  <c r="Q268" i="38"/>
  <c r="P274" i="38"/>
  <c r="R257" i="38"/>
  <c r="P259" i="38"/>
  <c r="Q276" i="38"/>
  <c r="O279" i="38"/>
  <c r="O258" i="38"/>
  <c r="Q256" i="38"/>
  <c r="O275" i="38"/>
  <c r="C179" i="38"/>
  <c r="E121" i="38"/>
  <c r="D173" i="38"/>
  <c r="C125" i="38"/>
  <c r="C123" i="38"/>
  <c r="E172" i="38"/>
  <c r="H11" i="39"/>
  <c r="H5" i="39"/>
  <c r="H6" i="39" s="1"/>
  <c r="F11" i="39"/>
  <c r="D122" i="38"/>
  <c r="D178" i="38"/>
  <c r="E178" i="38" s="1"/>
  <c r="F178" i="38" s="1"/>
  <c r="G178" i="38" s="1"/>
  <c r="H178" i="38" s="1"/>
  <c r="I178" i="38" s="1"/>
  <c r="J178" i="38" s="1"/>
  <c r="K178" i="38" s="1"/>
  <c r="L178" i="38" s="1"/>
  <c r="M178" i="38" s="1"/>
  <c r="N178" i="38" s="1"/>
  <c r="O178" i="38" s="1"/>
  <c r="P178" i="38" s="1"/>
  <c r="Q178" i="38" s="1"/>
  <c r="R178" i="38" s="1"/>
  <c r="S178" i="38" s="1"/>
  <c r="T178" i="38" s="1"/>
  <c r="U178" i="38" s="1"/>
  <c r="V178" i="38" s="1"/>
  <c r="W178" i="38" s="1"/>
  <c r="X178" i="38" s="1"/>
  <c r="Y178" i="38" s="1"/>
  <c r="Z178" i="38" s="1"/>
  <c r="AA178" i="38" s="1"/>
  <c r="AB178" i="38" s="1"/>
  <c r="AC178" i="38" s="1"/>
  <c r="AD178" i="38" s="1"/>
  <c r="AE178" i="38" s="1"/>
  <c r="AF178" i="38" s="1"/>
  <c r="AG178" i="38" s="1"/>
  <c r="AG182" i="38" s="1"/>
  <c r="Y1" i="38"/>
  <c r="Y50" i="38" s="1"/>
  <c r="D50" i="38"/>
  <c r="G11" i="39"/>
  <c r="D11" i="39"/>
  <c r="D9" i="39"/>
  <c r="D6" i="39"/>
  <c r="F5" i="39"/>
  <c r="F6" i="39" s="1"/>
  <c r="I11" i="39"/>
  <c r="C4" i="39"/>
  <c r="F3" i="39"/>
  <c r="D14" i="39"/>
  <c r="D4" i="39"/>
  <c r="E3" i="39"/>
  <c r="H3" i="39"/>
  <c r="G3" i="39"/>
  <c r="E7" i="39"/>
  <c r="E9" i="39" s="1"/>
  <c r="E6" i="39"/>
  <c r="M7" i="39"/>
  <c r="M4" i="39"/>
  <c r="K7" i="39"/>
  <c r="K4" i="39"/>
  <c r="L7" i="39"/>
  <c r="L4" i="39"/>
  <c r="J7" i="39"/>
  <c r="J4" i="39"/>
  <c r="N7" i="39"/>
  <c r="N9" i="39" s="1"/>
  <c r="N4" i="39"/>
  <c r="G7" i="39"/>
  <c r="E11" i="39"/>
  <c r="N25" i="39"/>
  <c r="H8" i="39"/>
  <c r="O10" i="39"/>
  <c r="B25" i="39"/>
  <c r="E51" i="38"/>
  <c r="E50" i="38"/>
  <c r="F1" i="38"/>
  <c r="N51" i="38"/>
  <c r="N50" i="38"/>
  <c r="O1" i="38"/>
  <c r="C49" i="38"/>
  <c r="D51" i="38"/>
  <c r="AG52" i="38"/>
  <c r="X50" i="38"/>
  <c r="X51" i="38"/>
  <c r="W49" i="38"/>
  <c r="D116" i="38"/>
  <c r="E115" i="38"/>
  <c r="C126" i="38"/>
  <c r="C127" i="38"/>
  <c r="C182" i="38"/>
  <c r="C181" i="38"/>
  <c r="E120" i="38"/>
  <c r="E177" i="38"/>
  <c r="C14" i="39" l="1"/>
  <c r="F7" i="39"/>
  <c r="F9" i="39" s="1"/>
  <c r="BN4" i="36"/>
  <c r="AH6" i="36"/>
  <c r="AG7" i="52"/>
  <c r="C342" i="38"/>
  <c r="C343" i="38"/>
  <c r="AT4" i="36"/>
  <c r="M7" i="52"/>
  <c r="AQ142" i="55"/>
  <c r="DC142" i="55" s="1"/>
  <c r="L142" i="55"/>
  <c r="BI4" i="36"/>
  <c r="AB7" i="52"/>
  <c r="AG342" i="38"/>
  <c r="AG343" i="38"/>
  <c r="AJ4" i="36"/>
  <c r="C7" i="52"/>
  <c r="AY4" i="36"/>
  <c r="R7" i="52"/>
  <c r="AQ141" i="55"/>
  <c r="DC141" i="55" s="1"/>
  <c r="L141" i="55"/>
  <c r="AD3" i="45"/>
  <c r="AD9" i="45" s="1"/>
  <c r="BJ9" i="45" s="1"/>
  <c r="C6" i="39"/>
  <c r="Q255" i="42"/>
  <c r="P264" i="42"/>
  <c r="Q278" i="42"/>
  <c r="P126" i="42"/>
  <c r="P271" i="42"/>
  <c r="P280" i="42"/>
  <c r="P276" i="42"/>
  <c r="P331" i="42"/>
  <c r="P279" i="42"/>
  <c r="Q116" i="42"/>
  <c r="Q118" i="42" s="1"/>
  <c r="R115" i="42"/>
  <c r="Q117" i="42"/>
  <c r="Q173" i="42"/>
  <c r="Q175" i="42" s="1"/>
  <c r="Q182" i="42" s="1"/>
  <c r="R172" i="42"/>
  <c r="Q174" i="42"/>
  <c r="O122" i="42"/>
  <c r="O123" i="42" s="1"/>
  <c r="N127" i="42"/>
  <c r="R254" i="42"/>
  <c r="R265" i="42"/>
  <c r="O179" i="42"/>
  <c r="O181" i="42"/>
  <c r="P177" i="42"/>
  <c r="P269" i="42"/>
  <c r="P275" i="42"/>
  <c r="O125" i="42"/>
  <c r="P120" i="42"/>
  <c r="Q258" i="42"/>
  <c r="Q256" i="42"/>
  <c r="S277" i="42"/>
  <c r="P257" i="42"/>
  <c r="R270" i="42"/>
  <c r="R121" i="42"/>
  <c r="P268" i="42"/>
  <c r="O342" i="42"/>
  <c r="O263" i="42"/>
  <c r="O343" i="42" s="1"/>
  <c r="P262" i="42"/>
  <c r="Q259" i="42"/>
  <c r="P279" i="38"/>
  <c r="Q331" i="38"/>
  <c r="P270" i="38"/>
  <c r="P277" i="38"/>
  <c r="P275" i="38"/>
  <c r="P258" i="38"/>
  <c r="R276" i="38"/>
  <c r="S257" i="38"/>
  <c r="R264" i="38"/>
  <c r="P265" i="38"/>
  <c r="S255" i="38"/>
  <c r="P271" i="38"/>
  <c r="R280" i="38"/>
  <c r="Q259" i="38"/>
  <c r="Q254" i="38"/>
  <c r="Q274" i="38"/>
  <c r="Q263" i="38"/>
  <c r="R262" i="38"/>
  <c r="P269" i="38"/>
  <c r="R268" i="38"/>
  <c r="P278" i="38"/>
  <c r="R256" i="38"/>
  <c r="W217" i="38"/>
  <c r="X217" i="38" s="1"/>
  <c r="M171" i="38"/>
  <c r="Y51" i="38"/>
  <c r="E173" i="38"/>
  <c r="F121" i="38"/>
  <c r="D179" i="38"/>
  <c r="F172" i="38"/>
  <c r="E122" i="38"/>
  <c r="M217" i="38"/>
  <c r="O217" i="38" s="1"/>
  <c r="M114" i="38"/>
  <c r="E114" i="38" s="1"/>
  <c r="W232" i="38"/>
  <c r="D123" i="38"/>
  <c r="W171" i="38"/>
  <c r="C13" i="39"/>
  <c r="D13" i="39"/>
  <c r="Z1" i="38"/>
  <c r="H14" i="39"/>
  <c r="H4" i="39"/>
  <c r="H13" i="39" s="1"/>
  <c r="F14" i="39"/>
  <c r="F4" i="39"/>
  <c r="F13" i="39" s="1"/>
  <c r="G14" i="39"/>
  <c r="G4" i="39"/>
  <c r="G13" i="39" s="1"/>
  <c r="M8" i="39"/>
  <c r="M9" i="39" s="1"/>
  <c r="L8" i="39"/>
  <c r="L9" i="39" s="1"/>
  <c r="K8" i="39"/>
  <c r="K9" i="39" s="1"/>
  <c r="J8" i="39"/>
  <c r="J9" i="39" s="1"/>
  <c r="E14" i="39"/>
  <c r="E4" i="39"/>
  <c r="E13" i="39" s="1"/>
  <c r="I7" i="39"/>
  <c r="I9" i="39" s="1"/>
  <c r="H7" i="39"/>
  <c r="H9" i="39" s="1"/>
  <c r="G9" i="39"/>
  <c r="O51" i="38"/>
  <c r="O50" i="38"/>
  <c r="P1" i="38"/>
  <c r="E52" i="38"/>
  <c r="AG49" i="38"/>
  <c r="N52" i="38"/>
  <c r="F120" i="38"/>
  <c r="F177" i="38"/>
  <c r="E179" i="38"/>
  <c r="E116" i="38"/>
  <c r="F115" i="38"/>
  <c r="M232" i="38"/>
  <c r="W114" i="38"/>
  <c r="X52" i="38"/>
  <c r="D52" i="38"/>
  <c r="F51" i="38"/>
  <c r="F50" i="38"/>
  <c r="G1" i="38"/>
  <c r="Z217" i="38" l="1"/>
  <c r="AR141" i="55"/>
  <c r="DD141" i="55" s="1"/>
  <c r="M141" i="55"/>
  <c r="M142" i="55"/>
  <c r="AR142" i="55"/>
  <c r="DD142" i="55" s="1"/>
  <c r="AE3" i="45"/>
  <c r="AE9" i="45" s="1"/>
  <c r="BK9" i="45" s="1"/>
  <c r="P342" i="42"/>
  <c r="P263" i="42"/>
  <c r="P343" i="42" s="1"/>
  <c r="Q262" i="42"/>
  <c r="Q268" i="42"/>
  <c r="R258" i="42"/>
  <c r="R173" i="42"/>
  <c r="R175" i="42" s="1"/>
  <c r="R182" i="42" s="1"/>
  <c r="S172" i="42"/>
  <c r="R174" i="42"/>
  <c r="R116" i="42"/>
  <c r="R118" i="42" s="1"/>
  <c r="S115" i="42"/>
  <c r="R117" i="42"/>
  <c r="Q331" i="42"/>
  <c r="Q276" i="42"/>
  <c r="R278" i="42"/>
  <c r="R255" i="42"/>
  <c r="Q257" i="42"/>
  <c r="P125" i="42"/>
  <c r="Q120" i="42"/>
  <c r="S265" i="42"/>
  <c r="P122" i="42"/>
  <c r="P123" i="42" s="1"/>
  <c r="O127" i="42"/>
  <c r="Q126" i="42"/>
  <c r="Q279" i="42"/>
  <c r="Q271" i="42"/>
  <c r="R259" i="42"/>
  <c r="S121" i="42"/>
  <c r="S270" i="42"/>
  <c r="R256" i="42"/>
  <c r="Q275" i="42"/>
  <c r="Q269" i="42"/>
  <c r="P179" i="42"/>
  <c r="P181" i="42"/>
  <c r="Q177" i="42"/>
  <c r="S254" i="42"/>
  <c r="Q264" i="42"/>
  <c r="T277" i="42"/>
  <c r="Q280" i="42"/>
  <c r="Q278" i="38"/>
  <c r="Q269" i="38"/>
  <c r="T255" i="38"/>
  <c r="Q265" i="38"/>
  <c r="T257" i="38"/>
  <c r="R331" i="38"/>
  <c r="S256" i="38"/>
  <c r="S268" i="38"/>
  <c r="R274" i="38"/>
  <c r="S264" i="38"/>
  <c r="S276" i="38"/>
  <c r="Q275" i="38"/>
  <c r="Q279" i="38"/>
  <c r="Q270" i="38"/>
  <c r="R259" i="38"/>
  <c r="S280" i="38"/>
  <c r="Q271" i="38"/>
  <c r="R263" i="38"/>
  <c r="S262" i="38"/>
  <c r="R254" i="38"/>
  <c r="Q258" i="38"/>
  <c r="Q277" i="38"/>
  <c r="W216" i="38"/>
  <c r="Y217" i="38"/>
  <c r="Y216" i="38" s="1"/>
  <c r="Y52" i="38"/>
  <c r="Y49" i="38" s="1"/>
  <c r="E171" i="38"/>
  <c r="F171" i="38"/>
  <c r="M216" i="38"/>
  <c r="M170" i="38"/>
  <c r="D171" i="38"/>
  <c r="W231" i="38"/>
  <c r="N171" i="38"/>
  <c r="G172" i="38"/>
  <c r="E123" i="38"/>
  <c r="F217" i="38"/>
  <c r="G121" i="38"/>
  <c r="N217" i="38"/>
  <c r="N216" i="38" s="1"/>
  <c r="X232" i="38"/>
  <c r="F173" i="38"/>
  <c r="W170" i="38"/>
  <c r="G217" i="38"/>
  <c r="G216" i="38" s="1"/>
  <c r="D217" i="38"/>
  <c r="D216" i="38" s="1"/>
  <c r="P217" i="38"/>
  <c r="P216" i="38" s="1"/>
  <c r="E217" i="38"/>
  <c r="E216" i="38" s="1"/>
  <c r="X171" i="38"/>
  <c r="N114" i="38"/>
  <c r="N113" i="38" s="1"/>
  <c r="O171" i="38"/>
  <c r="F122" i="38"/>
  <c r="P171" i="38"/>
  <c r="M113" i="38"/>
  <c r="Y171" i="38"/>
  <c r="F114" i="38"/>
  <c r="F113" i="38" s="1"/>
  <c r="D114" i="38"/>
  <c r="D118" i="38" s="1"/>
  <c r="Z232" i="38"/>
  <c r="Y232" i="38"/>
  <c r="AA1" i="38"/>
  <c r="AA114" i="38" s="1"/>
  <c r="Z50" i="38"/>
  <c r="Z51" i="38"/>
  <c r="Z171" i="38"/>
  <c r="N49" i="38"/>
  <c r="X114" i="38"/>
  <c r="Z114" i="38"/>
  <c r="Y114" i="38"/>
  <c r="W113" i="38"/>
  <c r="O114" i="38"/>
  <c r="P51" i="38"/>
  <c r="P50" i="38"/>
  <c r="Q1" i="38"/>
  <c r="Q114" i="38" s="1"/>
  <c r="G51" i="38"/>
  <c r="G50" i="38"/>
  <c r="H1" i="38"/>
  <c r="H232" i="38" s="1"/>
  <c r="E232" i="38"/>
  <c r="P232" i="38"/>
  <c r="D232" i="38"/>
  <c r="O232" i="38"/>
  <c r="G232" i="38"/>
  <c r="M231" i="38"/>
  <c r="F232" i="38"/>
  <c r="N232" i="38"/>
  <c r="O216" i="38"/>
  <c r="O52" i="38"/>
  <c r="Z216" i="38"/>
  <c r="F179" i="38"/>
  <c r="G177" i="38"/>
  <c r="D49" i="38"/>
  <c r="X49" i="38"/>
  <c r="E117" i="38"/>
  <c r="E113" i="38"/>
  <c r="E118" i="38"/>
  <c r="F52" i="38"/>
  <c r="G115" i="38"/>
  <c r="F116" i="38"/>
  <c r="E174" i="38"/>
  <c r="G171" i="38"/>
  <c r="G120" i="38"/>
  <c r="G114" i="38"/>
  <c r="P114" i="38"/>
  <c r="E49" i="38"/>
  <c r="X216" i="38"/>
  <c r="N142" i="55" l="1"/>
  <c r="AS142" i="55"/>
  <c r="DE142" i="55" s="1"/>
  <c r="AS141" i="55"/>
  <c r="DE141" i="55" s="1"/>
  <c r="N141" i="55"/>
  <c r="AF3" i="45"/>
  <c r="AF9" i="45" s="1"/>
  <c r="BL9" i="45" s="1"/>
  <c r="R269" i="42"/>
  <c r="R279" i="42"/>
  <c r="R120" i="42"/>
  <c r="Q125" i="42"/>
  <c r="R257" i="42"/>
  <c r="R331" i="42"/>
  <c r="R126" i="42"/>
  <c r="S258" i="42"/>
  <c r="R280" i="42"/>
  <c r="U277" i="42"/>
  <c r="R264" i="42"/>
  <c r="Q179" i="42"/>
  <c r="Q181" i="42"/>
  <c r="R177" i="42"/>
  <c r="T270" i="42"/>
  <c r="T265" i="42"/>
  <c r="S255" i="42"/>
  <c r="R276" i="42"/>
  <c r="Q342" i="42"/>
  <c r="R262" i="42"/>
  <c r="Q263" i="42"/>
  <c r="Q343" i="42" s="1"/>
  <c r="R275" i="42"/>
  <c r="S256" i="42"/>
  <c r="S259" i="42"/>
  <c r="S173" i="42"/>
  <c r="S175" i="42" s="1"/>
  <c r="S182" i="42" s="1"/>
  <c r="T172" i="42"/>
  <c r="S174" i="42"/>
  <c r="T254" i="42"/>
  <c r="T121" i="42"/>
  <c r="R271" i="42"/>
  <c r="Q122" i="42"/>
  <c r="Q123" i="42" s="1"/>
  <c r="P127" i="42"/>
  <c r="S278" i="42"/>
  <c r="S116" i="42"/>
  <c r="S118" i="42" s="1"/>
  <c r="T115" i="42"/>
  <c r="S117" i="42"/>
  <c r="R268" i="42"/>
  <c r="T280" i="38"/>
  <c r="R275" i="38"/>
  <c r="S274" i="38"/>
  <c r="U257" i="38"/>
  <c r="R258" i="38"/>
  <c r="R279" i="38"/>
  <c r="T276" i="38"/>
  <c r="R269" i="38"/>
  <c r="T268" i="38"/>
  <c r="U255" i="38"/>
  <c r="R278" i="38"/>
  <c r="R270" i="38"/>
  <c r="T256" i="38"/>
  <c r="T262" i="38"/>
  <c r="S263" i="38"/>
  <c r="R277" i="38"/>
  <c r="S254" i="38"/>
  <c r="R271" i="38"/>
  <c r="S259" i="38"/>
  <c r="T264" i="38"/>
  <c r="S331" i="38"/>
  <c r="R265" i="38"/>
  <c r="F117" i="38"/>
  <c r="E175" i="38"/>
  <c r="E182" i="38" s="1"/>
  <c r="E170" i="38"/>
  <c r="D174" i="38"/>
  <c r="F170" i="38"/>
  <c r="F174" i="38"/>
  <c r="F175" i="38"/>
  <c r="F182" i="38" s="1"/>
  <c r="D175" i="38"/>
  <c r="D182" i="38" s="1"/>
  <c r="D170" i="38"/>
  <c r="O231" i="38"/>
  <c r="H231" i="38"/>
  <c r="P231" i="38"/>
  <c r="N231" i="38"/>
  <c r="Z231" i="38"/>
  <c r="F231" i="38"/>
  <c r="D231" i="38"/>
  <c r="G231" i="38"/>
  <c r="E231" i="38"/>
  <c r="Y231" i="38"/>
  <c r="X231" i="38"/>
  <c r="N170" i="38"/>
  <c r="F216" i="38"/>
  <c r="P170" i="38"/>
  <c r="G173" i="38"/>
  <c r="G175" i="38" s="1"/>
  <c r="H172" i="38"/>
  <c r="D113" i="38"/>
  <c r="Z170" i="38"/>
  <c r="Y170" i="38"/>
  <c r="F123" i="38"/>
  <c r="X170" i="38"/>
  <c r="O170" i="38"/>
  <c r="H121" i="38"/>
  <c r="Q232" i="38"/>
  <c r="D117" i="38"/>
  <c r="G122" i="38"/>
  <c r="Z52" i="38"/>
  <c r="F118" i="38"/>
  <c r="AB1" i="38"/>
  <c r="AA51" i="38"/>
  <c r="AA50" i="38"/>
  <c r="AA217" i="38"/>
  <c r="AA232" i="38"/>
  <c r="AA171" i="38"/>
  <c r="G52" i="38"/>
  <c r="Z113" i="38"/>
  <c r="P113" i="38"/>
  <c r="H120" i="38"/>
  <c r="E126" i="38"/>
  <c r="E127" i="38"/>
  <c r="E125" i="38"/>
  <c r="Y113" i="38"/>
  <c r="Q113" i="38"/>
  <c r="G116" i="38"/>
  <c r="G118" i="38" s="1"/>
  <c r="H115" i="38"/>
  <c r="P52" i="38"/>
  <c r="D127" i="38"/>
  <c r="D126" i="38"/>
  <c r="D125" i="38"/>
  <c r="AA113" i="38"/>
  <c r="G174" i="38"/>
  <c r="G170" i="38"/>
  <c r="O113" i="38"/>
  <c r="X113" i="38"/>
  <c r="G117" i="38"/>
  <c r="G113" i="38"/>
  <c r="G179" i="38"/>
  <c r="H177" i="38"/>
  <c r="F49" i="38"/>
  <c r="O49" i="38"/>
  <c r="H50" i="38"/>
  <c r="I1" i="38"/>
  <c r="H51" i="38"/>
  <c r="H217" i="38"/>
  <c r="H114" i="38"/>
  <c r="H171" i="38"/>
  <c r="Q50" i="38"/>
  <c r="R1" i="38"/>
  <c r="Q51" i="38"/>
  <c r="Q217" i="38"/>
  <c r="Q171" i="38"/>
  <c r="D342" i="38" l="1"/>
  <c r="D343" i="38"/>
  <c r="AT141" i="55"/>
  <c r="DF141" i="55" s="1"/>
  <c r="O141" i="55"/>
  <c r="F342" i="38"/>
  <c r="F343" i="38"/>
  <c r="E342" i="38"/>
  <c r="E343" i="38"/>
  <c r="O142" i="55"/>
  <c r="AT142" i="55"/>
  <c r="DF142" i="55" s="1"/>
  <c r="AG3" i="45"/>
  <c r="AG9" i="45" s="1"/>
  <c r="BM9" i="45" s="1"/>
  <c r="T278" i="42"/>
  <c r="S275" i="42"/>
  <c r="R181" i="42"/>
  <c r="S177" i="42"/>
  <c r="R179" i="42"/>
  <c r="T258" i="42"/>
  <c r="S268" i="42"/>
  <c r="U115" i="42"/>
  <c r="T116" i="42"/>
  <c r="T118" i="42" s="1"/>
  <c r="T117" i="42"/>
  <c r="R122" i="42"/>
  <c r="R123" i="42" s="1"/>
  <c r="Q127" i="42"/>
  <c r="U121" i="42"/>
  <c r="U254" i="42"/>
  <c r="U172" i="42"/>
  <c r="T173" i="42"/>
  <c r="T175" i="42" s="1"/>
  <c r="T182" i="42" s="1"/>
  <c r="T174" i="42"/>
  <c r="T259" i="42"/>
  <c r="T255" i="42"/>
  <c r="U265" i="42"/>
  <c r="V277" i="42"/>
  <c r="S331" i="42"/>
  <c r="S126" i="42"/>
  <c r="R342" i="42"/>
  <c r="R263" i="42"/>
  <c r="R343" i="42" s="1"/>
  <c r="S262" i="42"/>
  <c r="U270" i="42"/>
  <c r="S280" i="42"/>
  <c r="S257" i="42"/>
  <c r="S120" i="42"/>
  <c r="R125" i="42"/>
  <c r="S271" i="42"/>
  <c r="T256" i="42"/>
  <c r="S276" i="42"/>
  <c r="S264" i="42"/>
  <c r="S279" i="42"/>
  <c r="S269" i="42"/>
  <c r="T254" i="38"/>
  <c r="V255" i="38"/>
  <c r="S269" i="38"/>
  <c r="T331" i="38"/>
  <c r="T259" i="38"/>
  <c r="S277" i="38"/>
  <c r="U262" i="38"/>
  <c r="T263" i="38"/>
  <c r="S278" i="38"/>
  <c r="U276" i="38"/>
  <c r="U280" i="38"/>
  <c r="U256" i="38"/>
  <c r="S270" i="38"/>
  <c r="U268" i="38"/>
  <c r="S258" i="38"/>
  <c r="T274" i="38"/>
  <c r="S265" i="38"/>
  <c r="U264" i="38"/>
  <c r="S271" i="38"/>
  <c r="S279" i="38"/>
  <c r="V257" i="38"/>
  <c r="S275" i="38"/>
  <c r="D181" i="38"/>
  <c r="E181" i="38"/>
  <c r="F181" i="38"/>
  <c r="Q231" i="38"/>
  <c r="AA231" i="38"/>
  <c r="G123" i="38"/>
  <c r="H173" i="38"/>
  <c r="H175" i="38" s="1"/>
  <c r="I172" i="38"/>
  <c r="G182" i="38"/>
  <c r="I121" i="38"/>
  <c r="AA170" i="38"/>
  <c r="F126" i="38"/>
  <c r="F125" i="38"/>
  <c r="H122" i="38"/>
  <c r="F127" i="38"/>
  <c r="Z49" i="38"/>
  <c r="AA52" i="38"/>
  <c r="AB50" i="38"/>
  <c r="AB51" i="38"/>
  <c r="AC1" i="38"/>
  <c r="AB232" i="38"/>
  <c r="AB217" i="38"/>
  <c r="AB171" i="38"/>
  <c r="AB114" i="38"/>
  <c r="AB113" i="38" s="1"/>
  <c r="AA216" i="38"/>
  <c r="Q170" i="38"/>
  <c r="R51" i="38"/>
  <c r="R50" i="38"/>
  <c r="S1" i="38"/>
  <c r="R217" i="38"/>
  <c r="R171" i="38"/>
  <c r="R232" i="38"/>
  <c r="R114" i="38"/>
  <c r="H117" i="38"/>
  <c r="H113" i="38"/>
  <c r="I51" i="38"/>
  <c r="I50" i="38"/>
  <c r="J1" i="38"/>
  <c r="I217" i="38"/>
  <c r="I114" i="38"/>
  <c r="I171" i="38"/>
  <c r="I232" i="38"/>
  <c r="G126" i="38"/>
  <c r="G127" i="38"/>
  <c r="H116" i="38"/>
  <c r="H118" i="38" s="1"/>
  <c r="I115" i="38"/>
  <c r="G125" i="38"/>
  <c r="H216" i="38"/>
  <c r="H179" i="38"/>
  <c r="I177" i="38"/>
  <c r="I120" i="38"/>
  <c r="H170" i="38"/>
  <c r="H174" i="38"/>
  <c r="P49" i="38"/>
  <c r="Q216" i="38"/>
  <c r="Q52" i="38"/>
  <c r="H52" i="38"/>
  <c r="G181" i="38"/>
  <c r="G49" i="38"/>
  <c r="AU141" i="55" l="1"/>
  <c r="DG141" i="55" s="1"/>
  <c r="P141" i="55"/>
  <c r="G342" i="38"/>
  <c r="G343" i="38"/>
  <c r="AU142" i="55"/>
  <c r="DG142" i="55" s="1"/>
  <c r="P142" i="55"/>
  <c r="AH3" i="45"/>
  <c r="AH9" i="45" s="1"/>
  <c r="BN9" i="45" s="1"/>
  <c r="T257" i="42"/>
  <c r="V270" i="42"/>
  <c r="V254" i="42"/>
  <c r="S122" i="42"/>
  <c r="R127" i="42"/>
  <c r="U116" i="42"/>
  <c r="U118" i="42" s="1"/>
  <c r="V115" i="42"/>
  <c r="U117" i="42"/>
  <c r="U278" i="42"/>
  <c r="T269" i="42"/>
  <c r="T276" i="42"/>
  <c r="W277" i="42"/>
  <c r="V121" i="42"/>
  <c r="T268" i="42"/>
  <c r="T280" i="42"/>
  <c r="S342" i="42"/>
  <c r="S263" i="42"/>
  <c r="S343" i="42" s="1"/>
  <c r="T262" i="42"/>
  <c r="V265" i="42"/>
  <c r="U173" i="42"/>
  <c r="U175" i="42" s="1"/>
  <c r="U182" i="42" s="1"/>
  <c r="V172" i="42"/>
  <c r="U174" i="42"/>
  <c r="S179" i="42"/>
  <c r="S181" i="42"/>
  <c r="T177" i="42"/>
  <c r="T275" i="42"/>
  <c r="T279" i="42"/>
  <c r="T264" i="42"/>
  <c r="U256" i="42"/>
  <c r="T271" i="42"/>
  <c r="S123" i="42"/>
  <c r="S125" i="42"/>
  <c r="T120" i="42"/>
  <c r="T331" i="42"/>
  <c r="U255" i="42"/>
  <c r="U259" i="42"/>
  <c r="T126" i="42"/>
  <c r="U258" i="42"/>
  <c r="T265" i="38"/>
  <c r="T270" i="38"/>
  <c r="U259" i="38"/>
  <c r="W255" i="38"/>
  <c r="W257" i="38"/>
  <c r="T271" i="38"/>
  <c r="T258" i="38"/>
  <c r="U274" i="38"/>
  <c r="V264" i="38"/>
  <c r="V268" i="38"/>
  <c r="V256" i="38"/>
  <c r="V280" i="38"/>
  <c r="T278" i="38"/>
  <c r="T277" i="38"/>
  <c r="U331" i="38"/>
  <c r="T269" i="38"/>
  <c r="U254" i="38"/>
  <c r="T279" i="38"/>
  <c r="V276" i="38"/>
  <c r="U263" i="38"/>
  <c r="V262" i="38"/>
  <c r="T275" i="38"/>
  <c r="I231" i="38"/>
  <c r="AB231" i="38"/>
  <c r="R231" i="38"/>
  <c r="H182" i="38"/>
  <c r="AB170" i="38"/>
  <c r="H123" i="38"/>
  <c r="J121" i="38"/>
  <c r="I173" i="38"/>
  <c r="I175" i="38" s="1"/>
  <c r="J172" i="38"/>
  <c r="I122" i="38"/>
  <c r="AB52" i="38"/>
  <c r="AB216" i="38"/>
  <c r="AC217" i="38"/>
  <c r="AC51" i="38"/>
  <c r="AC171" i="38"/>
  <c r="AD1" i="38"/>
  <c r="AC232" i="38"/>
  <c r="AC50" i="38"/>
  <c r="AC114" i="38"/>
  <c r="AC113" i="38" s="1"/>
  <c r="AA49" i="38"/>
  <c r="H127" i="38"/>
  <c r="H126" i="38"/>
  <c r="H125" i="38"/>
  <c r="R113" i="38"/>
  <c r="J177" i="38"/>
  <c r="I179" i="38"/>
  <c r="I170" i="38"/>
  <c r="I174" i="38"/>
  <c r="J51" i="38"/>
  <c r="J50" i="38"/>
  <c r="K1" i="38"/>
  <c r="J217" i="38"/>
  <c r="J171" i="38"/>
  <c r="J114" i="38"/>
  <c r="J232" i="38"/>
  <c r="S51" i="38"/>
  <c r="S50" i="38"/>
  <c r="T1" i="38"/>
  <c r="S217" i="38"/>
  <c r="S114" i="38"/>
  <c r="S171" i="38"/>
  <c r="S232" i="38"/>
  <c r="J120" i="38"/>
  <c r="H181" i="38"/>
  <c r="I117" i="38"/>
  <c r="I113" i="38"/>
  <c r="I52" i="38"/>
  <c r="R170" i="38"/>
  <c r="R52" i="38"/>
  <c r="H49" i="38"/>
  <c r="Q49" i="38"/>
  <c r="I116" i="38"/>
  <c r="I118" i="38" s="1"/>
  <c r="J115" i="38"/>
  <c r="I216" i="38"/>
  <c r="R216" i="38"/>
  <c r="AV142" i="55" l="1"/>
  <c r="DH142" i="55" s="1"/>
  <c r="Q142" i="55"/>
  <c r="H342" i="38"/>
  <c r="H343" i="38"/>
  <c r="AV141" i="55"/>
  <c r="DH141" i="55" s="1"/>
  <c r="Q141" i="55"/>
  <c r="V255" i="42"/>
  <c r="T179" i="42"/>
  <c r="T181" i="42"/>
  <c r="U177" i="42"/>
  <c r="W265" i="42"/>
  <c r="U268" i="42"/>
  <c r="X277" i="42"/>
  <c r="W254" i="42"/>
  <c r="V258" i="42"/>
  <c r="T125" i="42"/>
  <c r="U120" i="42"/>
  <c r="U271" i="42"/>
  <c r="U279" i="42"/>
  <c r="T342" i="42"/>
  <c r="T263" i="42"/>
  <c r="T343" i="42" s="1"/>
  <c r="U262" i="42"/>
  <c r="U280" i="42"/>
  <c r="U276" i="42"/>
  <c r="T122" i="42"/>
  <c r="S127" i="42"/>
  <c r="W270" i="42"/>
  <c r="V259" i="42"/>
  <c r="W121" i="42"/>
  <c r="V278" i="42"/>
  <c r="V116" i="42"/>
  <c r="V118" i="42" s="1"/>
  <c r="W115" i="42"/>
  <c r="V117" i="42"/>
  <c r="U331" i="42"/>
  <c r="V256" i="42"/>
  <c r="U264" i="42"/>
  <c r="U275" i="42"/>
  <c r="V173" i="42"/>
  <c r="V175" i="42" s="1"/>
  <c r="V182" i="42" s="1"/>
  <c r="W172" i="42"/>
  <c r="V174" i="42"/>
  <c r="U269" i="42"/>
  <c r="U126" i="42"/>
  <c r="U257" i="42"/>
  <c r="U278" i="38"/>
  <c r="X257" i="38"/>
  <c r="V259" i="38"/>
  <c r="V263" i="38"/>
  <c r="W262" i="38"/>
  <c r="U279" i="38"/>
  <c r="U258" i="38"/>
  <c r="U271" i="38"/>
  <c r="X255" i="38"/>
  <c r="U265" i="38"/>
  <c r="U277" i="38"/>
  <c r="W276" i="38"/>
  <c r="W280" i="38"/>
  <c r="W268" i="38"/>
  <c r="U275" i="38"/>
  <c r="U269" i="38"/>
  <c r="W256" i="38"/>
  <c r="V254" i="38"/>
  <c r="V331" i="38"/>
  <c r="W264" i="38"/>
  <c r="V274" i="38"/>
  <c r="U270" i="38"/>
  <c r="S231" i="38"/>
  <c r="AC231" i="38"/>
  <c r="J231" i="38"/>
  <c r="I182" i="38"/>
  <c r="J173" i="38"/>
  <c r="J175" i="38" s="1"/>
  <c r="K172" i="38"/>
  <c r="K121" i="38"/>
  <c r="I123" i="38"/>
  <c r="AC170" i="38"/>
  <c r="J122" i="38"/>
  <c r="AD232" i="38"/>
  <c r="AD50" i="38"/>
  <c r="AD217" i="38"/>
  <c r="AD114" i="38"/>
  <c r="AD113" i="38" s="1"/>
  <c r="AD51" i="38"/>
  <c r="AE1" i="38"/>
  <c r="AD171" i="38"/>
  <c r="AC52" i="38"/>
  <c r="AC216" i="38"/>
  <c r="AB49" i="38"/>
  <c r="I126" i="38"/>
  <c r="I127" i="38"/>
  <c r="I125" i="38"/>
  <c r="J216" i="38"/>
  <c r="S170" i="38"/>
  <c r="I49" i="38"/>
  <c r="S113" i="38"/>
  <c r="T50" i="38"/>
  <c r="T51" i="38"/>
  <c r="U1" i="38"/>
  <c r="T217" i="38"/>
  <c r="T171" i="38"/>
  <c r="T114" i="38"/>
  <c r="T232" i="38"/>
  <c r="J117" i="38"/>
  <c r="J113" i="38"/>
  <c r="K50" i="38"/>
  <c r="K51" i="38"/>
  <c r="L1" i="38"/>
  <c r="K217" i="38"/>
  <c r="K114" i="38"/>
  <c r="K171" i="38"/>
  <c r="K232" i="38"/>
  <c r="J179" i="38"/>
  <c r="K177" i="38"/>
  <c r="R49" i="38"/>
  <c r="K115" i="38"/>
  <c r="J116" i="38"/>
  <c r="J118" i="38" s="1"/>
  <c r="K120" i="38"/>
  <c r="S216" i="38"/>
  <c r="S52" i="38"/>
  <c r="J174" i="38"/>
  <c r="J170" i="38"/>
  <c r="J52" i="38"/>
  <c r="I181" i="38"/>
  <c r="I342" i="38" l="1"/>
  <c r="I343" i="38"/>
  <c r="R141" i="55"/>
  <c r="AW141" i="55"/>
  <c r="DI141" i="55" s="1"/>
  <c r="AW142" i="55"/>
  <c r="DI142" i="55" s="1"/>
  <c r="R142" i="55"/>
  <c r="W173" i="42"/>
  <c r="W175" i="42" s="1"/>
  <c r="W182" i="42" s="1"/>
  <c r="X172" i="42"/>
  <c r="W174" i="42"/>
  <c r="V275" i="42"/>
  <c r="W278" i="42"/>
  <c r="U122" i="42"/>
  <c r="T127" i="42"/>
  <c r="Y277" i="42"/>
  <c r="V264" i="42"/>
  <c r="V331" i="42"/>
  <c r="X121" i="42"/>
  <c r="X270" i="42"/>
  <c r="V276" i="42"/>
  <c r="V280" i="42"/>
  <c r="V271" i="42"/>
  <c r="V120" i="42"/>
  <c r="U123" i="42"/>
  <c r="U125" i="42"/>
  <c r="W258" i="42"/>
  <c r="V269" i="42"/>
  <c r="W116" i="42"/>
  <c r="W118" i="42" s="1"/>
  <c r="X115" i="42"/>
  <c r="W117" i="42"/>
  <c r="X254" i="42"/>
  <c r="V268" i="42"/>
  <c r="V257" i="42"/>
  <c r="W256" i="42"/>
  <c r="V126" i="42"/>
  <c r="W259" i="42"/>
  <c r="U342" i="42"/>
  <c r="V262" i="42"/>
  <c r="U263" i="42"/>
  <c r="U343" i="42" s="1"/>
  <c r="V279" i="42"/>
  <c r="T123" i="42"/>
  <c r="X265" i="42"/>
  <c r="U179" i="42"/>
  <c r="U181" i="42"/>
  <c r="V177" i="42"/>
  <c r="W255" i="42"/>
  <c r="X264" i="38"/>
  <c r="W254" i="38"/>
  <c r="X268" i="38"/>
  <c r="X276" i="38"/>
  <c r="V265" i="38"/>
  <c r="V271" i="38"/>
  <c r="Y257" i="38"/>
  <c r="V270" i="38"/>
  <c r="X256" i="38"/>
  <c r="V275" i="38"/>
  <c r="X262" i="38"/>
  <c r="W263" i="38"/>
  <c r="V278" i="38"/>
  <c r="X280" i="38"/>
  <c r="V277" i="38"/>
  <c r="Y255" i="38"/>
  <c r="V258" i="38"/>
  <c r="V279" i="38"/>
  <c r="W274" i="38"/>
  <c r="W331" i="38"/>
  <c r="V269" i="38"/>
  <c r="W259" i="38"/>
  <c r="AD231" i="38"/>
  <c r="K231" i="38"/>
  <c r="T231" i="38"/>
  <c r="J182" i="38"/>
  <c r="J123" i="38"/>
  <c r="AD170" i="38"/>
  <c r="L121" i="38"/>
  <c r="K173" i="38"/>
  <c r="K175" i="38" s="1"/>
  <c r="L172" i="38"/>
  <c r="K122" i="38"/>
  <c r="K123" i="38" s="1"/>
  <c r="AD216" i="38"/>
  <c r="AD52" i="38"/>
  <c r="AE50" i="38"/>
  <c r="AE217" i="38"/>
  <c r="AE114" i="38"/>
  <c r="AE113" i="38" s="1"/>
  <c r="AE171" i="38"/>
  <c r="AF1" i="38"/>
  <c r="AE51" i="38"/>
  <c r="AE232" i="38"/>
  <c r="AC49" i="38"/>
  <c r="J126" i="38"/>
  <c r="J127" i="38"/>
  <c r="J125" i="38"/>
  <c r="L120" i="38"/>
  <c r="L51" i="38"/>
  <c r="L50" i="38"/>
  <c r="L217" i="38"/>
  <c r="L114" i="38"/>
  <c r="L171" i="38"/>
  <c r="L232" i="38"/>
  <c r="T170" i="38"/>
  <c r="K179" i="38"/>
  <c r="L177" i="38"/>
  <c r="K216" i="38"/>
  <c r="T216" i="38"/>
  <c r="J49" i="38"/>
  <c r="J181" i="38"/>
  <c r="K52" i="38"/>
  <c r="T52" i="38"/>
  <c r="K116" i="38"/>
  <c r="K118" i="38" s="1"/>
  <c r="L115" i="38"/>
  <c r="K117" i="38"/>
  <c r="K113" i="38"/>
  <c r="S49" i="38"/>
  <c r="K174" i="38"/>
  <c r="K170" i="38"/>
  <c r="T113" i="38"/>
  <c r="U51" i="38"/>
  <c r="U50" i="38"/>
  <c r="V1" i="38"/>
  <c r="U171" i="38"/>
  <c r="U217" i="38"/>
  <c r="U232" i="38"/>
  <c r="U114" i="38"/>
  <c r="AX142" i="55" l="1"/>
  <c r="DJ142" i="55" s="1"/>
  <c r="S142" i="55"/>
  <c r="S141" i="55"/>
  <c r="AX141" i="55"/>
  <c r="DJ141" i="55" s="1"/>
  <c r="J342" i="38"/>
  <c r="J343" i="38"/>
  <c r="W279" i="42"/>
  <c r="X259" i="42"/>
  <c r="W126" i="42"/>
  <c r="Y121" i="42"/>
  <c r="W331" i="42"/>
  <c r="X278" i="42"/>
  <c r="W257" i="42"/>
  <c r="W268" i="42"/>
  <c r="X258" i="42"/>
  <c r="W280" i="42"/>
  <c r="Y270" i="42"/>
  <c r="W264" i="42"/>
  <c r="V122" i="42"/>
  <c r="V123" i="42" s="1"/>
  <c r="U127" i="42"/>
  <c r="X255" i="42"/>
  <c r="Y265" i="42"/>
  <c r="W120" i="42"/>
  <c r="V125" i="42"/>
  <c r="Z277" i="42"/>
  <c r="W275" i="42"/>
  <c r="Y172" i="42"/>
  <c r="X173" i="42"/>
  <c r="X175" i="42" s="1"/>
  <c r="X182" i="42" s="1"/>
  <c r="X174" i="42"/>
  <c r="V181" i="42"/>
  <c r="W177" i="42"/>
  <c r="V179" i="42"/>
  <c r="V342" i="42"/>
  <c r="V263" i="42"/>
  <c r="V343" i="42" s="1"/>
  <c r="W262" i="42"/>
  <c r="X256" i="42"/>
  <c r="Y254" i="42"/>
  <c r="Y115" i="42"/>
  <c r="X116" i="42"/>
  <c r="X118" i="42" s="1"/>
  <c r="X117" i="42"/>
  <c r="W269" i="42"/>
  <c r="W271" i="42"/>
  <c r="W276" i="42"/>
  <c r="W279" i="38"/>
  <c r="Y280" i="38"/>
  <c r="W275" i="38"/>
  <c r="Z257" i="38"/>
  <c r="W271" i="38"/>
  <c r="Y276" i="38"/>
  <c r="X259" i="38"/>
  <c r="W269" i="38"/>
  <c r="Z255" i="38"/>
  <c r="X263" i="38"/>
  <c r="Y262" i="38"/>
  <c r="X274" i="38"/>
  <c r="W258" i="38"/>
  <c r="W277" i="38"/>
  <c r="W278" i="38"/>
  <c r="Y256" i="38"/>
  <c r="W270" i="38"/>
  <c r="Y264" i="38"/>
  <c r="X331" i="38"/>
  <c r="W265" i="38"/>
  <c r="Y268" i="38"/>
  <c r="X254" i="38"/>
  <c r="L231" i="38"/>
  <c r="AE231" i="38"/>
  <c r="U231" i="38"/>
  <c r="AE170" i="38"/>
  <c r="K182" i="38"/>
  <c r="M172" i="38"/>
  <c r="L173" i="38"/>
  <c r="L175" i="38" s="1"/>
  <c r="M121" i="38"/>
  <c r="L122" i="38"/>
  <c r="L123" i="38" s="1"/>
  <c r="AE52" i="38"/>
  <c r="AD49" i="38"/>
  <c r="AF217" i="38"/>
  <c r="AF50" i="38"/>
  <c r="AF232" i="38"/>
  <c r="AF51" i="38"/>
  <c r="AF171" i="38"/>
  <c r="AF114" i="38"/>
  <c r="AF113" i="38" s="1"/>
  <c r="AE216" i="38"/>
  <c r="L52" i="38"/>
  <c r="L117" i="38"/>
  <c r="L113" i="38"/>
  <c r="L179" i="38"/>
  <c r="M177" i="38"/>
  <c r="L216" i="38"/>
  <c r="M120" i="38"/>
  <c r="U170" i="38"/>
  <c r="K49" i="38"/>
  <c r="L174" i="38"/>
  <c r="L170" i="38"/>
  <c r="U113" i="38"/>
  <c r="K126" i="38"/>
  <c r="K127" i="38"/>
  <c r="V51" i="38"/>
  <c r="V50" i="38"/>
  <c r="V171" i="38"/>
  <c r="V114" i="38"/>
  <c r="V217" i="38"/>
  <c r="V232" i="38"/>
  <c r="L116" i="38"/>
  <c r="L118" i="38" s="1"/>
  <c r="M115" i="38"/>
  <c r="T49" i="38"/>
  <c r="U216" i="38"/>
  <c r="U52" i="38"/>
  <c r="K181" i="38"/>
  <c r="K125" i="38"/>
  <c r="T141" i="55" l="1"/>
  <c r="AY141" i="55"/>
  <c r="DK141" i="55" s="1"/>
  <c r="K342" i="38"/>
  <c r="K343" i="38"/>
  <c r="AY142" i="55"/>
  <c r="DK142" i="55" s="1"/>
  <c r="T142" i="55"/>
  <c r="X271" i="42"/>
  <c r="X269" i="42"/>
  <c r="Y116" i="42"/>
  <c r="Y118" i="42" s="1"/>
  <c r="Z115" i="42"/>
  <c r="Y117" i="42"/>
  <c r="X257" i="42"/>
  <c r="Y278" i="42"/>
  <c r="W342" i="42"/>
  <c r="W263" i="42"/>
  <c r="W343" i="42" s="1"/>
  <c r="X262" i="42"/>
  <c r="AA277" i="42"/>
  <c r="W125" i="42"/>
  <c r="X120" i="42"/>
  <c r="Z265" i="42"/>
  <c r="W122" i="42"/>
  <c r="V127" i="42"/>
  <c r="Z270" i="42"/>
  <c r="Y258" i="42"/>
  <c r="Y259" i="42"/>
  <c r="X276" i="42"/>
  <c r="Z254" i="42"/>
  <c r="Y256" i="42"/>
  <c r="W179" i="42"/>
  <c r="W181" i="42"/>
  <c r="X177" i="42"/>
  <c r="Y173" i="42"/>
  <c r="Y175" i="42" s="1"/>
  <c r="Y182" i="42" s="1"/>
  <c r="Z172" i="42"/>
  <c r="Y174" i="42"/>
  <c r="Y255" i="42"/>
  <c r="X264" i="42"/>
  <c r="X268" i="42"/>
  <c r="X331" i="42"/>
  <c r="X126" i="42"/>
  <c r="X275" i="42"/>
  <c r="X280" i="42"/>
  <c r="Z121" i="42"/>
  <c r="X279" i="42"/>
  <c r="Y254" i="38"/>
  <c r="Z256" i="38"/>
  <c r="X258" i="38"/>
  <c r="Y263" i="38"/>
  <c r="Z262" i="38"/>
  <c r="X275" i="38"/>
  <c r="Z268" i="38"/>
  <c r="Y331" i="38"/>
  <c r="Z264" i="38"/>
  <c r="X270" i="38"/>
  <c r="AA255" i="38"/>
  <c r="Z276" i="38"/>
  <c r="X265" i="38"/>
  <c r="X278" i="38"/>
  <c r="Y259" i="38"/>
  <c r="Z280" i="38"/>
  <c r="X277" i="38"/>
  <c r="Y274" i="38"/>
  <c r="X269" i="38"/>
  <c r="AA257" i="38"/>
  <c r="X279" i="38"/>
  <c r="X271" i="38"/>
  <c r="V231" i="38"/>
  <c r="AF231" i="38"/>
  <c r="AF170" i="38"/>
  <c r="N121" i="38"/>
  <c r="N172" i="38"/>
  <c r="M173" i="38"/>
  <c r="M175" i="38" s="1"/>
  <c r="M174" i="38"/>
  <c r="L182" i="38"/>
  <c r="M122" i="38"/>
  <c r="M123" i="38" s="1"/>
  <c r="AF52" i="38"/>
  <c r="AF216" i="38"/>
  <c r="AE49" i="38"/>
  <c r="L181" i="38"/>
  <c r="L127" i="38"/>
  <c r="L126" i="38"/>
  <c r="V52" i="38"/>
  <c r="U49" i="38"/>
  <c r="V216" i="38"/>
  <c r="M116" i="38"/>
  <c r="M118" i="38" s="1"/>
  <c r="N115" i="38"/>
  <c r="M117" i="38"/>
  <c r="V113" i="38"/>
  <c r="N120" i="38"/>
  <c r="L49" i="38"/>
  <c r="V170" i="38"/>
  <c r="L125" i="38"/>
  <c r="N177" i="38"/>
  <c r="M179" i="38"/>
  <c r="U142" i="55" l="1"/>
  <c r="AZ142" i="55"/>
  <c r="DL142" i="55" s="1"/>
  <c r="L342" i="38"/>
  <c r="L343" i="38"/>
  <c r="U141" i="55"/>
  <c r="AZ141" i="55"/>
  <c r="DL141" i="55" s="1"/>
  <c r="Y279" i="42"/>
  <c r="Y264" i="42"/>
  <c r="Z255" i="42"/>
  <c r="Y276" i="42"/>
  <c r="Z278" i="42"/>
  <c r="Z116" i="42"/>
  <c r="Z118" i="42" s="1"/>
  <c r="AA115" i="42"/>
  <c r="Z117" i="42"/>
  <c r="Y271" i="42"/>
  <c r="Y280" i="42"/>
  <c r="Y275" i="42"/>
  <c r="Y331" i="42"/>
  <c r="Z256" i="42"/>
  <c r="Z258" i="42"/>
  <c r="X122" i="42"/>
  <c r="X123" i="42" s="1"/>
  <c r="W127" i="42"/>
  <c r="X125" i="42"/>
  <c r="Y120" i="42"/>
  <c r="X342" i="42"/>
  <c r="X263" i="42"/>
  <c r="X343" i="42" s="1"/>
  <c r="Y262" i="42"/>
  <c r="Y126" i="42"/>
  <c r="AA121" i="42"/>
  <c r="X179" i="42"/>
  <c r="X181" i="42"/>
  <c r="Y177" i="42"/>
  <c r="Z259" i="42"/>
  <c r="AB277" i="42"/>
  <c r="Y257" i="42"/>
  <c r="Y269" i="42"/>
  <c r="Y268" i="42"/>
  <c r="Z173" i="42"/>
  <c r="Z175" i="42" s="1"/>
  <c r="Z182" i="42" s="1"/>
  <c r="AA172" i="42"/>
  <c r="Z174" i="42"/>
  <c r="AA254" i="42"/>
  <c r="AA270" i="42"/>
  <c r="AA265" i="42"/>
  <c r="W123" i="42"/>
  <c r="Y278" i="38"/>
  <c r="Y271" i="38"/>
  <c r="AB257" i="38"/>
  <c r="AA280" i="38"/>
  <c r="AB255" i="38"/>
  <c r="Z331" i="38"/>
  <c r="Y269" i="38"/>
  <c r="Y277" i="38"/>
  <c r="Y265" i="38"/>
  <c r="AA276" i="38"/>
  <c r="AA264" i="38"/>
  <c r="AA268" i="38"/>
  <c r="Y275" i="38"/>
  <c r="Z263" i="38"/>
  <c r="AA262" i="38"/>
  <c r="Z254" i="38"/>
  <c r="Z274" i="38"/>
  <c r="Y270" i="38"/>
  <c r="AA256" i="38"/>
  <c r="Y279" i="38"/>
  <c r="Z259" i="38"/>
  <c r="Y258" i="38"/>
  <c r="M182" i="38"/>
  <c r="O121" i="38"/>
  <c r="N173" i="38"/>
  <c r="N175" i="38" s="1"/>
  <c r="N181" i="38" s="1"/>
  <c r="N174" i="38"/>
  <c r="O172" i="38"/>
  <c r="M181" i="38"/>
  <c r="N122" i="38"/>
  <c r="N123" i="38" s="1"/>
  <c r="AF49" i="38"/>
  <c r="M126" i="38"/>
  <c r="M127" i="38"/>
  <c r="N179" i="38"/>
  <c r="O177" i="38"/>
  <c r="O120" i="38"/>
  <c r="V49" i="38"/>
  <c r="O115" i="38"/>
  <c r="N116" i="38"/>
  <c r="N118" i="38" s="1"/>
  <c r="N117" i="38"/>
  <c r="M125" i="38"/>
  <c r="BA141" i="55" l="1"/>
  <c r="DM141" i="55" s="1"/>
  <c r="V141" i="55"/>
  <c r="M342" i="38"/>
  <c r="M343" i="38"/>
  <c r="V142" i="55"/>
  <c r="BA142" i="55"/>
  <c r="DM142" i="55" s="1"/>
  <c r="AB265" i="42"/>
  <c r="Z268" i="42"/>
  <c r="Z120" i="42"/>
  <c r="Y125" i="42"/>
  <c r="AA256" i="42"/>
  <c r="Z275" i="42"/>
  <c r="Z280" i="42"/>
  <c r="Z276" i="42"/>
  <c r="Z264" i="42"/>
  <c r="AA173" i="42"/>
  <c r="AA175" i="42" s="1"/>
  <c r="AA182" i="42" s="1"/>
  <c r="AB172" i="42"/>
  <c r="AA174" i="42"/>
  <c r="Z269" i="42"/>
  <c r="AA259" i="42"/>
  <c r="Y179" i="42"/>
  <c r="Y181" i="42"/>
  <c r="Z177" i="42"/>
  <c r="Z331" i="42"/>
  <c r="AA116" i="42"/>
  <c r="AA118" i="42" s="1"/>
  <c r="AB115" i="42"/>
  <c r="AA117" i="42"/>
  <c r="AB254" i="42"/>
  <c r="AC277" i="42"/>
  <c r="AB121" i="42"/>
  <c r="Y342" i="42"/>
  <c r="Z262" i="42"/>
  <c r="Y263" i="42"/>
  <c r="Y343" i="42" s="1"/>
  <c r="AA258" i="42"/>
  <c r="Z271" i="42"/>
  <c r="Z126" i="42"/>
  <c r="AA255" i="42"/>
  <c r="AB270" i="42"/>
  <c r="Z257" i="42"/>
  <c r="Y122" i="42"/>
  <c r="Y123" i="42" s="1"/>
  <c r="X127" i="42"/>
  <c r="AA278" i="42"/>
  <c r="Z279" i="42"/>
  <c r="Z258" i="38"/>
  <c r="AB256" i="38"/>
  <c r="Z265" i="38"/>
  <c r="AC257" i="38"/>
  <c r="AC255" i="38"/>
  <c r="Z271" i="38"/>
  <c r="AB262" i="38"/>
  <c r="AA263" i="38"/>
  <c r="AB264" i="38"/>
  <c r="Z279" i="38"/>
  <c r="AA259" i="38"/>
  <c r="Z270" i="38"/>
  <c r="AB276" i="38"/>
  <c r="Z277" i="38"/>
  <c r="AB280" i="38"/>
  <c r="Z269" i="38"/>
  <c r="AA274" i="38"/>
  <c r="Z275" i="38"/>
  <c r="AA254" i="38"/>
  <c r="AB268" i="38"/>
  <c r="AA331" i="38"/>
  <c r="Z278" i="38"/>
  <c r="P121" i="38"/>
  <c r="O173" i="38"/>
  <c r="O175" i="38" s="1"/>
  <c r="O181" i="38" s="1"/>
  <c r="O174" i="38"/>
  <c r="P172" i="38"/>
  <c r="N182" i="38"/>
  <c r="O122" i="38"/>
  <c r="O123" i="38" s="1"/>
  <c r="N126" i="38"/>
  <c r="N127" i="38"/>
  <c r="N125" i="38"/>
  <c r="O116" i="38"/>
  <c r="O118" i="38" s="1"/>
  <c r="P115" i="38"/>
  <c r="O117" i="38"/>
  <c r="P120" i="38"/>
  <c r="O179" i="38"/>
  <c r="P177" i="38"/>
  <c r="BB142" i="55" l="1"/>
  <c r="DN142" i="55" s="1"/>
  <c r="W142" i="55"/>
  <c r="W141" i="55"/>
  <c r="BB141" i="55"/>
  <c r="DN141" i="55" s="1"/>
  <c r="N342" i="38"/>
  <c r="N343" i="38"/>
  <c r="AA331" i="42"/>
  <c r="AA269" i="42"/>
  <c r="AA276" i="42"/>
  <c r="AA268" i="42"/>
  <c r="AB278" i="42"/>
  <c r="Z122" i="42"/>
  <c r="Y127" i="42"/>
  <c r="AC121" i="42"/>
  <c r="AC115" i="42"/>
  <c r="AB116" i="42"/>
  <c r="AB118" i="42" s="1"/>
  <c r="AB117" i="42"/>
  <c r="AC172" i="42"/>
  <c r="AB173" i="42"/>
  <c r="AB175" i="42" s="1"/>
  <c r="AB182" i="42" s="1"/>
  <c r="AB174" i="42"/>
  <c r="AA280" i="42"/>
  <c r="AA279" i="42"/>
  <c r="AB255" i="42"/>
  <c r="Z342" i="42"/>
  <c r="Z263" i="42"/>
  <c r="Z343" i="42" s="1"/>
  <c r="AA262" i="42"/>
  <c r="AD277" i="42"/>
  <c r="AA126" i="42"/>
  <c r="AA264" i="42"/>
  <c r="AB256" i="42"/>
  <c r="AA120" i="42"/>
  <c r="Z123" i="42"/>
  <c r="Z125" i="42"/>
  <c r="AA257" i="42"/>
  <c r="AC270" i="42"/>
  <c r="AA271" i="42"/>
  <c r="AB258" i="42"/>
  <c r="AC254" i="42"/>
  <c r="Z181" i="42"/>
  <c r="AA177" i="42"/>
  <c r="Z179" i="42"/>
  <c r="AB259" i="42"/>
  <c r="AA275" i="42"/>
  <c r="AC265" i="42"/>
  <c r="AB331" i="38"/>
  <c r="AB254" i="38"/>
  <c r="AA269" i="38"/>
  <c r="AC262" i="38"/>
  <c r="AB263" i="38"/>
  <c r="AB274" i="38"/>
  <c r="AC280" i="38"/>
  <c r="AA277" i="38"/>
  <c r="AA270" i="38"/>
  <c r="AC264" i="38"/>
  <c r="AD255" i="38"/>
  <c r="AA265" i="38"/>
  <c r="AA258" i="38"/>
  <c r="AA275" i="38"/>
  <c r="AA271" i="38"/>
  <c r="AA278" i="38"/>
  <c r="AC268" i="38"/>
  <c r="AC276" i="38"/>
  <c r="AB259" i="38"/>
  <c r="AA279" i="38"/>
  <c r="AD257" i="38"/>
  <c r="AC256" i="38"/>
  <c r="Q121" i="38"/>
  <c r="Q172" i="38"/>
  <c r="P174" i="38"/>
  <c r="P173" i="38"/>
  <c r="P175" i="38" s="1"/>
  <c r="P181" i="38" s="1"/>
  <c r="O182" i="38"/>
  <c r="O125" i="38"/>
  <c r="P122" i="38"/>
  <c r="O126" i="38"/>
  <c r="O127" i="38"/>
  <c r="P179" i="38"/>
  <c r="Q177" i="38"/>
  <c r="Q120" i="38"/>
  <c r="P116" i="38"/>
  <c r="P118" i="38" s="1"/>
  <c r="Q115" i="38"/>
  <c r="P117" i="38"/>
  <c r="BC141" i="55" l="1"/>
  <c r="DO141" i="55" s="1"/>
  <c r="X141" i="55"/>
  <c r="O342" i="38"/>
  <c r="O343" i="38"/>
  <c r="X142" i="55"/>
  <c r="BC142" i="55"/>
  <c r="DO142" i="55" s="1"/>
  <c r="AD265" i="42"/>
  <c r="AD270" i="42"/>
  <c r="AA125" i="42"/>
  <c r="AB120" i="42"/>
  <c r="AA342" i="42"/>
  <c r="AA263" i="42"/>
  <c r="AA343" i="42" s="1"/>
  <c r="AB262" i="42"/>
  <c r="AD121" i="42"/>
  <c r="AA122" i="42"/>
  <c r="Z127" i="42"/>
  <c r="AB275" i="42"/>
  <c r="AA179" i="42"/>
  <c r="AA181" i="42"/>
  <c r="AB177" i="42"/>
  <c r="AB271" i="42"/>
  <c r="AC256" i="42"/>
  <c r="AB126" i="42"/>
  <c r="AB276" i="42"/>
  <c r="AB269" i="42"/>
  <c r="AB331" i="42"/>
  <c r="AC259" i="42"/>
  <c r="AD254" i="42"/>
  <c r="AC258" i="42"/>
  <c r="AB257" i="42"/>
  <c r="AE277" i="42"/>
  <c r="AB280" i="42"/>
  <c r="AC116" i="42"/>
  <c r="AC118" i="42" s="1"/>
  <c r="AD115" i="42"/>
  <c r="AC117" i="42"/>
  <c r="AB268" i="42"/>
  <c r="AB264" i="42"/>
  <c r="AC255" i="42"/>
  <c r="AB279" i="42"/>
  <c r="AC173" i="42"/>
  <c r="AC175" i="42" s="1"/>
  <c r="AC182" i="42" s="1"/>
  <c r="AD172" i="42"/>
  <c r="AC174" i="42"/>
  <c r="AC278" i="42"/>
  <c r="AB265" i="38"/>
  <c r="AD264" i="38"/>
  <c r="AB269" i="38"/>
  <c r="AB279" i="38"/>
  <c r="AD276" i="38"/>
  <c r="AD268" i="38"/>
  <c r="AB270" i="38"/>
  <c r="AD280" i="38"/>
  <c r="AE257" i="38"/>
  <c r="AB275" i="38"/>
  <c r="AE255" i="38"/>
  <c r="AC274" i="38"/>
  <c r="AC263" i="38"/>
  <c r="AD262" i="38"/>
  <c r="AC254" i="38"/>
  <c r="AD256" i="38"/>
  <c r="AC259" i="38"/>
  <c r="AB278" i="38"/>
  <c r="AB271" i="38"/>
  <c r="AB258" i="38"/>
  <c r="AB277" i="38"/>
  <c r="AC331" i="38"/>
  <c r="R121" i="38"/>
  <c r="P123" i="38"/>
  <c r="R172" i="38"/>
  <c r="Q173" i="38"/>
  <c r="Q175" i="38" s="1"/>
  <c r="Q181" i="38" s="1"/>
  <c r="Q174" i="38"/>
  <c r="P182" i="38"/>
  <c r="P125" i="38"/>
  <c r="Q122" i="38"/>
  <c r="R120" i="38"/>
  <c r="P127" i="38"/>
  <c r="P126" i="38"/>
  <c r="Q116" i="38"/>
  <c r="Q118" i="38" s="1"/>
  <c r="R115" i="38"/>
  <c r="Q117" i="38"/>
  <c r="R177" i="38"/>
  <c r="Q179" i="38"/>
  <c r="Y142" i="55" l="1"/>
  <c r="BD142" i="55"/>
  <c r="DP142" i="55" s="1"/>
  <c r="P342" i="38"/>
  <c r="P343" i="38"/>
  <c r="Y141" i="55"/>
  <c r="BD141" i="55"/>
  <c r="DP141" i="55" s="1"/>
  <c r="AD278" i="42"/>
  <c r="AC279" i="42"/>
  <c r="AD116" i="42"/>
  <c r="AD118" i="42" s="1"/>
  <c r="AE115" i="42"/>
  <c r="AD117" i="42"/>
  <c r="AC280" i="42"/>
  <c r="AC257" i="42"/>
  <c r="AE254" i="42"/>
  <c r="AC276" i="42"/>
  <c r="AD173" i="42"/>
  <c r="AD175" i="42" s="1"/>
  <c r="AD182" i="42" s="1"/>
  <c r="AE172" i="42"/>
  <c r="AD174" i="42"/>
  <c r="AC264" i="42"/>
  <c r="AC268" i="42"/>
  <c r="AC126" i="42"/>
  <c r="AC331" i="42"/>
  <c r="AC271" i="42"/>
  <c r="AB125" i="42"/>
  <c r="AC120" i="42"/>
  <c r="AE270" i="42"/>
  <c r="AE265" i="42"/>
  <c r="AD255" i="42"/>
  <c r="AF277" i="42"/>
  <c r="AD259" i="42"/>
  <c r="AC269" i="42"/>
  <c r="AC275" i="42"/>
  <c r="AE121" i="42"/>
  <c r="AD258" i="42"/>
  <c r="AD256" i="42"/>
  <c r="AB179" i="42"/>
  <c r="AB181" i="42"/>
  <c r="AC177" i="42"/>
  <c r="AB122" i="42"/>
  <c r="AB123" i="42" s="1"/>
  <c r="AA127" i="42"/>
  <c r="AB342" i="42"/>
  <c r="AB263" i="42"/>
  <c r="AB343" i="42" s="1"/>
  <c r="AC262" i="42"/>
  <c r="AA123" i="42"/>
  <c r="AD254" i="38"/>
  <c r="AD263" i="38"/>
  <c r="AE262" i="38"/>
  <c r="AD274" i="38"/>
  <c r="AF255" i="38"/>
  <c r="AC271" i="38"/>
  <c r="AC258" i="38"/>
  <c r="AD259" i="38"/>
  <c r="AE256" i="38"/>
  <c r="AC270" i="38"/>
  <c r="AE268" i="38"/>
  <c r="AC279" i="38"/>
  <c r="AC269" i="38"/>
  <c r="AC265" i="38"/>
  <c r="AC277" i="38"/>
  <c r="AC278" i="38"/>
  <c r="AD331" i="38"/>
  <c r="AC275" i="38"/>
  <c r="AF257" i="38"/>
  <c r="AE280" i="38"/>
  <c r="AE276" i="38"/>
  <c r="AE264" i="38"/>
  <c r="Q182" i="38"/>
  <c r="Q123" i="38"/>
  <c r="S172" i="38"/>
  <c r="R174" i="38"/>
  <c r="R173" i="38"/>
  <c r="R175" i="38" s="1"/>
  <c r="R181" i="38" s="1"/>
  <c r="S121" i="38"/>
  <c r="R122" i="38"/>
  <c r="S115" i="38"/>
  <c r="R116" i="38"/>
  <c r="R118" i="38" s="1"/>
  <c r="R117" i="38"/>
  <c r="R179" i="38"/>
  <c r="S177" i="38"/>
  <c r="S120" i="38"/>
  <c r="Q126" i="38"/>
  <c r="Q127" i="38"/>
  <c r="Q125" i="38"/>
  <c r="Q342" i="38" l="1"/>
  <c r="Q343" i="38"/>
  <c r="Z141" i="55"/>
  <c r="BE141" i="55"/>
  <c r="DQ141" i="55" s="1"/>
  <c r="BE142" i="55"/>
  <c r="DQ142" i="55" s="1"/>
  <c r="Z142" i="55"/>
  <c r="AE258" i="42"/>
  <c r="AF265" i="42"/>
  <c r="AD264" i="42"/>
  <c r="AE173" i="42"/>
  <c r="AE175" i="42" s="1"/>
  <c r="AE182" i="42" s="1"/>
  <c r="AF172" i="42"/>
  <c r="AE174" i="42"/>
  <c r="AF121" i="42"/>
  <c r="AD268" i="42"/>
  <c r="AD280" i="42"/>
  <c r="AD126" i="42"/>
  <c r="AE278" i="42"/>
  <c r="AC342" i="42"/>
  <c r="AD262" i="42"/>
  <c r="AC263" i="42"/>
  <c r="AC343" i="42" s="1"/>
  <c r="AD269" i="42"/>
  <c r="AF270" i="42"/>
  <c r="AD120" i="42"/>
  <c r="AC125" i="42"/>
  <c r="AD276" i="42"/>
  <c r="AD257" i="42"/>
  <c r="AD279" i="42"/>
  <c r="AC179" i="42"/>
  <c r="AC181" i="42"/>
  <c r="AD177" i="42"/>
  <c r="AE255" i="42"/>
  <c r="AD331" i="42"/>
  <c r="AF254" i="42"/>
  <c r="AE116" i="42"/>
  <c r="AE118" i="42" s="1"/>
  <c r="AF115" i="42"/>
  <c r="AE117" i="42"/>
  <c r="AC122" i="42"/>
  <c r="AB127" i="42"/>
  <c r="AE256" i="42"/>
  <c r="AD275" i="42"/>
  <c r="AE259" i="42"/>
  <c r="AD271" i="42"/>
  <c r="AD275" i="38"/>
  <c r="AD278" i="38"/>
  <c r="AD265" i="38"/>
  <c r="AD270" i="38"/>
  <c r="AF262" i="38"/>
  <c r="AE263" i="38"/>
  <c r="AE254" i="38"/>
  <c r="AF256" i="38"/>
  <c r="AF264" i="38"/>
  <c r="AE331" i="38"/>
  <c r="AD279" i="38"/>
  <c r="AD271" i="38"/>
  <c r="AD258" i="38"/>
  <c r="AF280" i="38"/>
  <c r="AF276" i="38"/>
  <c r="AD277" i="38"/>
  <c r="AD269" i="38"/>
  <c r="AF268" i="38"/>
  <c r="AE259" i="38"/>
  <c r="AE274" i="38"/>
  <c r="S173" i="38"/>
  <c r="S175" i="38" s="1"/>
  <c r="S181" i="38" s="1"/>
  <c r="S174" i="38"/>
  <c r="T172" i="38"/>
  <c r="T121" i="38"/>
  <c r="R182" i="38"/>
  <c r="R123" i="38"/>
  <c r="S122" i="38"/>
  <c r="T120" i="38"/>
  <c r="S179" i="38"/>
  <c r="T177" i="38"/>
  <c r="R126" i="38"/>
  <c r="R127" i="38"/>
  <c r="R125" i="38"/>
  <c r="S116" i="38"/>
  <c r="S118" i="38" s="1"/>
  <c r="T115" i="38"/>
  <c r="S117" i="38"/>
  <c r="BF142" i="55" l="1"/>
  <c r="DR142" i="55" s="1"/>
  <c r="AA142" i="55"/>
  <c r="AA141" i="55"/>
  <c r="BF141" i="55"/>
  <c r="DR141" i="55" s="1"/>
  <c r="R342" i="38"/>
  <c r="R343" i="38"/>
  <c r="AD122" i="42"/>
  <c r="AD123" i="42" s="1"/>
  <c r="AC127" i="42"/>
  <c r="AE269" i="42"/>
  <c r="AE279" i="42"/>
  <c r="AE276" i="42"/>
  <c r="AD342" i="42"/>
  <c r="AD263" i="42"/>
  <c r="AD343" i="42" s="1"/>
  <c r="AE262" i="42"/>
  <c r="AG121" i="42"/>
  <c r="AF173" i="42"/>
  <c r="AF175" i="42" s="1"/>
  <c r="AF182" i="42" s="1"/>
  <c r="AF174" i="42"/>
  <c r="AF259" i="42"/>
  <c r="AE126" i="42"/>
  <c r="AC123" i="42"/>
  <c r="AF258" i="42"/>
  <c r="AE271" i="42"/>
  <c r="AE275" i="42"/>
  <c r="AF256" i="42"/>
  <c r="AF255" i="42"/>
  <c r="AE120" i="42"/>
  <c r="AD125" i="42"/>
  <c r="AE280" i="42"/>
  <c r="AE264" i="42"/>
  <c r="AE331" i="42"/>
  <c r="AF116" i="42"/>
  <c r="AF118" i="42" s="1"/>
  <c r="AF117" i="42"/>
  <c r="AD181" i="42"/>
  <c r="AE177" i="42"/>
  <c r="AD179" i="42"/>
  <c r="AE257" i="42"/>
  <c r="AF278" i="42"/>
  <c r="AE268" i="42"/>
  <c r="AF259" i="38"/>
  <c r="AE269" i="38"/>
  <c r="AF331" i="38"/>
  <c r="AF254" i="38"/>
  <c r="AF263" i="38"/>
  <c r="AE271" i="38"/>
  <c r="AE265" i="38"/>
  <c r="AF274" i="38"/>
  <c r="AE270" i="38"/>
  <c r="AE278" i="38"/>
  <c r="AE275" i="38"/>
  <c r="AE277" i="38"/>
  <c r="AE258" i="38"/>
  <c r="AE279" i="38"/>
  <c r="U172" i="38"/>
  <c r="T174" i="38"/>
  <c r="T173" i="38"/>
  <c r="T175" i="38" s="1"/>
  <c r="S182" i="38"/>
  <c r="S123" i="38"/>
  <c r="U121" i="38"/>
  <c r="S125" i="38"/>
  <c r="T122" i="38"/>
  <c r="T116" i="38"/>
  <c r="T118" i="38" s="1"/>
  <c r="U115" i="38"/>
  <c r="T117" i="38"/>
  <c r="T179" i="38"/>
  <c r="U177" i="38"/>
  <c r="U120" i="38"/>
  <c r="S126" i="38"/>
  <c r="S127" i="38"/>
  <c r="BG141" i="55" l="1"/>
  <c r="DS141" i="55" s="1"/>
  <c r="AB141" i="55"/>
  <c r="S342" i="38"/>
  <c r="S343" i="38"/>
  <c r="BG142" i="55"/>
  <c r="DS142" i="55" s="1"/>
  <c r="AB142" i="55"/>
  <c r="AF276" i="42"/>
  <c r="AF271" i="42"/>
  <c r="AE122" i="42"/>
  <c r="AD127" i="42"/>
  <c r="AF268" i="42"/>
  <c r="AF257" i="42"/>
  <c r="AF126" i="42"/>
  <c r="AE123" i="42"/>
  <c r="AE125" i="42"/>
  <c r="AF120" i="42"/>
  <c r="AF275" i="42"/>
  <c r="AE342" i="42"/>
  <c r="AE263" i="42"/>
  <c r="AE343" i="42" s="1"/>
  <c r="AF262" i="42"/>
  <c r="AF269" i="42"/>
  <c r="AG126" i="42"/>
  <c r="AE179" i="42"/>
  <c r="AE181" i="42"/>
  <c r="AF177" i="42"/>
  <c r="AF331" i="42"/>
  <c r="AF264" i="42"/>
  <c r="AF280" i="42"/>
  <c r="AF279" i="42"/>
  <c r="AF275" i="38"/>
  <c r="AF270" i="38"/>
  <c r="AG331" i="38"/>
  <c r="AF269" i="38"/>
  <c r="AF277" i="38"/>
  <c r="AF278" i="38"/>
  <c r="AF265" i="38"/>
  <c r="AF279" i="38"/>
  <c r="AF271" i="38"/>
  <c r="AF258" i="38"/>
  <c r="T182" i="38"/>
  <c r="T181" i="38"/>
  <c r="V121" i="38"/>
  <c r="U174" i="38"/>
  <c r="U173" i="38"/>
  <c r="U175" i="38" s="1"/>
  <c r="V172" i="38"/>
  <c r="T123" i="38"/>
  <c r="U122" i="38"/>
  <c r="V120" i="38"/>
  <c r="T127" i="38"/>
  <c r="T126" i="38"/>
  <c r="U116" i="38"/>
  <c r="U118" i="38" s="1"/>
  <c r="V115" i="38"/>
  <c r="U117" i="38"/>
  <c r="T125" i="38"/>
  <c r="V177" i="38"/>
  <c r="U179" i="38"/>
  <c r="T342" i="38" l="1"/>
  <c r="T343" i="38"/>
  <c r="AC141" i="55"/>
  <c r="BH141" i="55"/>
  <c r="DT141" i="55" s="1"/>
  <c r="AC142" i="55"/>
  <c r="BH142" i="55"/>
  <c r="DT142" i="55" s="1"/>
  <c r="AF342" i="42"/>
  <c r="AF263" i="42"/>
  <c r="AF343" i="42" s="1"/>
  <c r="AF179" i="42"/>
  <c r="AF181" i="42"/>
  <c r="AG177" i="42"/>
  <c r="AF122" i="42"/>
  <c r="AF123" i="42" s="1"/>
  <c r="AE127" i="42"/>
  <c r="AG331" i="42"/>
  <c r="AF125" i="42"/>
  <c r="AG120" i="42"/>
  <c r="U182" i="38"/>
  <c r="U181" i="38"/>
  <c r="W121" i="38"/>
  <c r="U123" i="38"/>
  <c r="V173" i="38"/>
  <c r="V175" i="38" s="1"/>
  <c r="V174" i="38"/>
  <c r="W172" i="38"/>
  <c r="V122" i="38"/>
  <c r="V123" i="38" s="1"/>
  <c r="W120" i="38"/>
  <c r="U126" i="38"/>
  <c r="U127" i="38"/>
  <c r="U125" i="38"/>
  <c r="W115" i="38"/>
  <c r="V116" i="38"/>
  <c r="V118" i="38" s="1"/>
  <c r="V117" i="38"/>
  <c r="V179" i="38"/>
  <c r="W177" i="38"/>
  <c r="AD142" i="55" l="1"/>
  <c r="BI142" i="55"/>
  <c r="DU142" i="55" s="1"/>
  <c r="U342" i="38"/>
  <c r="U343" i="38"/>
  <c r="BI141" i="55"/>
  <c r="DU141" i="55" s="1"/>
  <c r="AD141" i="55"/>
  <c r="AG123" i="42"/>
  <c r="AG125" i="42"/>
  <c r="AG122" i="42"/>
  <c r="AF127" i="42"/>
  <c r="AG179" i="42"/>
  <c r="AG181" i="42"/>
  <c r="X121" i="38"/>
  <c r="V182" i="38"/>
  <c r="X172" i="38"/>
  <c r="W173" i="38"/>
  <c r="W175" i="38" s="1"/>
  <c r="W181" i="38" s="1"/>
  <c r="W174" i="38"/>
  <c r="V181" i="38"/>
  <c r="W122" i="38"/>
  <c r="V126" i="38"/>
  <c r="V127" i="38"/>
  <c r="X120" i="38"/>
  <c r="W116" i="38"/>
  <c r="W118" i="38" s="1"/>
  <c r="X115" i="38"/>
  <c r="W117" i="38"/>
  <c r="V125" i="38"/>
  <c r="W179" i="38"/>
  <c r="X177" i="38"/>
  <c r="V342" i="38" l="1"/>
  <c r="V343" i="38"/>
  <c r="AE141" i="55"/>
  <c r="BJ141" i="55"/>
  <c r="DV141" i="55" s="1"/>
  <c r="BJ142" i="55"/>
  <c r="DV142" i="55" s="1"/>
  <c r="AE142" i="55"/>
  <c r="AG127" i="42"/>
  <c r="W182" i="38"/>
  <c r="Y172" i="38"/>
  <c r="X174" i="38"/>
  <c r="X173" i="38"/>
  <c r="X175" i="38" s="1"/>
  <c r="X181" i="38" s="1"/>
  <c r="Y121" i="38"/>
  <c r="W123" i="38"/>
  <c r="X122" i="38"/>
  <c r="X179" i="38"/>
  <c r="Y177" i="38"/>
  <c r="X116" i="38"/>
  <c r="X118" i="38" s="1"/>
  <c r="Y115" i="38"/>
  <c r="X117" i="38"/>
  <c r="Y120" i="38"/>
  <c r="W126" i="38"/>
  <c r="W127" i="38"/>
  <c r="W125" i="38"/>
  <c r="W342" i="38" l="1"/>
  <c r="W343" i="38"/>
  <c r="AF141" i="55"/>
  <c r="BK141" i="55"/>
  <c r="DW141" i="55" s="1"/>
  <c r="BK142" i="55"/>
  <c r="DW142" i="55" s="1"/>
  <c r="AF142" i="55"/>
  <c r="Z121" i="38"/>
  <c r="X123" i="38"/>
  <c r="X182" i="38"/>
  <c r="Y174" i="38"/>
  <c r="Z172" i="38"/>
  <c r="Y173" i="38"/>
  <c r="Y175" i="38" s="1"/>
  <c r="Y181" i="38" s="1"/>
  <c r="X125" i="38"/>
  <c r="Y122" i="38"/>
  <c r="Y123" i="38" s="1"/>
  <c r="Z120" i="38"/>
  <c r="Y116" i="38"/>
  <c r="Y118" i="38" s="1"/>
  <c r="Z115" i="38"/>
  <c r="Y117" i="38"/>
  <c r="X127" i="38"/>
  <c r="X126" i="38"/>
  <c r="Z177" i="38"/>
  <c r="Y179" i="38"/>
  <c r="BL142" i="55" l="1"/>
  <c r="DX142" i="55" s="1"/>
  <c r="AG142" i="55"/>
  <c r="BM142" i="55" s="1"/>
  <c r="DY142" i="55" s="1"/>
  <c r="AG141" i="55"/>
  <c r="BM141" i="55" s="1"/>
  <c r="DY141" i="55" s="1"/>
  <c r="BL141" i="55"/>
  <c r="DX141" i="55" s="1"/>
  <c r="X342" i="38"/>
  <c r="X343" i="38"/>
  <c r="Y182" i="38"/>
  <c r="AA121" i="38"/>
  <c r="AA172" i="38"/>
  <c r="Z174" i="38"/>
  <c r="Z173" i="38"/>
  <c r="Z175" i="38" s="1"/>
  <c r="Z181" i="38" s="1"/>
  <c r="Z122" i="38"/>
  <c r="Y126" i="38"/>
  <c r="Y127" i="38"/>
  <c r="AA115" i="38"/>
  <c r="Z116" i="38"/>
  <c r="Z118" i="38" s="1"/>
  <c r="Z117" i="38"/>
  <c r="AA120" i="38"/>
  <c r="Z179" i="38"/>
  <c r="AA177" i="38"/>
  <c r="Y125" i="38"/>
  <c r="Y342" i="38" l="1"/>
  <c r="Y343" i="38"/>
  <c r="AB172" i="38"/>
  <c r="AA173" i="38"/>
  <c r="AA175" i="38" s="1"/>
  <c r="AA174" i="38"/>
  <c r="AB121" i="38"/>
  <c r="Z123" i="38"/>
  <c r="Z182" i="38"/>
  <c r="Z125" i="38"/>
  <c r="AA122" i="38"/>
  <c r="AB120" i="38"/>
  <c r="AA179" i="38"/>
  <c r="AB177" i="38"/>
  <c r="AA116" i="38"/>
  <c r="AA118" i="38" s="1"/>
  <c r="AB115" i="38"/>
  <c r="AA117" i="38"/>
  <c r="Z126" i="38"/>
  <c r="Z127" i="38"/>
  <c r="Z342" i="38" l="1"/>
  <c r="Z343" i="38"/>
  <c r="AB174" i="38"/>
  <c r="AB173" i="38"/>
  <c r="AB175" i="38" s="1"/>
  <c r="AB181" i="38" s="1"/>
  <c r="AC172" i="38"/>
  <c r="AA182" i="38"/>
  <c r="AC121" i="38"/>
  <c r="AA123" i="38"/>
  <c r="AA181" i="38"/>
  <c r="AB122" i="38"/>
  <c r="AB116" i="38"/>
  <c r="AB118" i="38" s="1"/>
  <c r="AC115" i="38"/>
  <c r="AB117" i="38"/>
  <c r="AA126" i="38"/>
  <c r="AA127" i="38"/>
  <c r="AA125" i="38"/>
  <c r="AC120" i="38"/>
  <c r="AB179" i="38"/>
  <c r="AC177" i="38"/>
  <c r="AA342" i="38" l="1"/>
  <c r="AA343" i="38"/>
  <c r="AB182" i="38"/>
  <c r="AD121" i="38"/>
  <c r="AB123" i="38"/>
  <c r="AC174" i="38"/>
  <c r="AC173" i="38"/>
  <c r="AC175" i="38" s="1"/>
  <c r="AD172" i="38"/>
  <c r="AB125" i="38"/>
  <c r="AC122" i="38"/>
  <c r="AD120" i="38"/>
  <c r="AC116" i="38"/>
  <c r="AC118" i="38" s="1"/>
  <c r="AD115" i="38"/>
  <c r="AC117" i="38"/>
  <c r="AD177" i="38"/>
  <c r="AC179" i="38"/>
  <c r="AB127" i="38"/>
  <c r="AB126" i="38"/>
  <c r="AB342" i="38" l="1"/>
  <c r="AB343" i="38"/>
  <c r="AC182" i="38"/>
  <c r="AC181" i="38"/>
  <c r="AC123" i="38"/>
  <c r="AE172" i="38"/>
  <c r="AD174" i="38"/>
  <c r="AD173" i="38"/>
  <c r="AD175" i="38" s="1"/>
  <c r="AD181" i="38" s="1"/>
  <c r="AE121" i="38"/>
  <c r="AC125" i="38"/>
  <c r="AD122" i="38"/>
  <c r="AD179" i="38"/>
  <c r="AE177" i="38"/>
  <c r="AC126" i="38"/>
  <c r="AC127" i="38"/>
  <c r="AE120" i="38"/>
  <c r="AE115" i="38"/>
  <c r="AD116" i="38"/>
  <c r="AD118" i="38" s="1"/>
  <c r="AD117" i="38"/>
  <c r="AC342" i="38" l="1"/>
  <c r="AC343" i="38"/>
  <c r="AF121" i="38"/>
  <c r="AE173" i="38"/>
  <c r="AE175" i="38" s="1"/>
  <c r="AE181" i="38" s="1"/>
  <c r="AF172" i="38"/>
  <c r="AE174" i="38"/>
  <c r="AD123" i="38"/>
  <c r="AD182" i="38"/>
  <c r="AE122" i="38"/>
  <c r="AE116" i="38"/>
  <c r="AE118" i="38" s="1"/>
  <c r="AF115" i="38"/>
  <c r="AE117" i="38"/>
  <c r="AF120" i="38"/>
  <c r="AD126" i="38"/>
  <c r="AD127" i="38"/>
  <c r="AD125" i="38"/>
  <c r="AE179" i="38"/>
  <c r="AF177" i="38"/>
  <c r="AD342" i="38" l="1"/>
  <c r="AD343" i="38"/>
  <c r="AF174" i="38"/>
  <c r="AF173" i="38"/>
  <c r="AF175" i="38" s="1"/>
  <c r="AF181" i="38" s="1"/>
  <c r="AE123" i="38"/>
  <c r="AE182" i="38"/>
  <c r="AG121" i="38"/>
  <c r="AE125" i="38"/>
  <c r="AF122" i="38"/>
  <c r="AF116" i="38"/>
  <c r="AF118" i="38" s="1"/>
  <c r="AF117" i="38"/>
  <c r="AE126" i="38"/>
  <c r="AE127" i="38"/>
  <c r="AG120" i="38"/>
  <c r="AF179" i="38"/>
  <c r="AG177" i="38"/>
  <c r="AE342" i="38" l="1"/>
  <c r="AE343" i="38"/>
  <c r="AG126" i="38"/>
  <c r="AF182" i="38"/>
  <c r="AF123" i="38"/>
  <c r="AF125" i="38"/>
  <c r="AG122" i="38"/>
  <c r="AG181" i="38"/>
  <c r="AG179" i="38"/>
  <c r="AG125" i="38"/>
  <c r="AF127" i="38"/>
  <c r="AF126" i="38"/>
  <c r="AF342" i="38" l="1"/>
  <c r="AF343" i="38"/>
  <c r="AG123" i="38"/>
  <c r="AG127" i="38"/>
  <c r="J118" i="37" l="1"/>
  <c r="H117" i="37"/>
  <c r="H119" i="37" s="1"/>
  <c r="J119" i="37" s="1"/>
  <c r="J116" i="37"/>
  <c r="J115" i="37"/>
  <c r="J114" i="37"/>
  <c r="J113" i="37"/>
  <c r="J112" i="37"/>
  <c r="J111" i="37"/>
  <c r="J110" i="37"/>
  <c r="J109" i="37"/>
  <c r="J108" i="37"/>
  <c r="J107" i="37"/>
  <c r="J106" i="37"/>
  <c r="J105" i="37"/>
  <c r="J104" i="37"/>
  <c r="J103" i="37"/>
  <c r="J102" i="37"/>
  <c r="J101" i="37"/>
  <c r="J100" i="37"/>
  <c r="J99" i="37"/>
  <c r="J98" i="37"/>
  <c r="J97" i="37"/>
  <c r="G96" i="37"/>
  <c r="G95" i="37"/>
  <c r="J94" i="37"/>
  <c r="M93" i="37"/>
  <c r="M92" i="37"/>
  <c r="J91" i="37"/>
  <c r="J90" i="37"/>
  <c r="J89" i="37"/>
  <c r="M88" i="37"/>
  <c r="M87" i="37"/>
  <c r="M86" i="37"/>
  <c r="H86" i="37"/>
  <c r="J86" i="37" s="1"/>
  <c r="L86" i="37" s="1"/>
  <c r="M85" i="37"/>
  <c r="H85" i="37"/>
  <c r="M84" i="37"/>
  <c r="H84" i="37"/>
  <c r="J84" i="37" s="1"/>
  <c r="M83" i="37"/>
  <c r="H83" i="37"/>
  <c r="M82" i="37"/>
  <c r="N82" i="37" s="1"/>
  <c r="J82" i="37"/>
  <c r="M81" i="37"/>
  <c r="N81" i="37" s="1"/>
  <c r="J81" i="37"/>
  <c r="L81" i="37" s="1"/>
  <c r="M80" i="37"/>
  <c r="G80" i="37"/>
  <c r="H80" i="37" s="1"/>
  <c r="M79" i="37"/>
  <c r="H79" i="37"/>
  <c r="T86" i="24" s="1"/>
  <c r="L89" i="24" s="1"/>
  <c r="M78" i="37"/>
  <c r="G78" i="37"/>
  <c r="H78" i="37" s="1"/>
  <c r="M77" i="37"/>
  <c r="H77" i="37"/>
  <c r="T87" i="24" s="1"/>
  <c r="M76" i="37"/>
  <c r="N76" i="37" s="1"/>
  <c r="J76" i="37"/>
  <c r="L76" i="37" s="1"/>
  <c r="M75" i="37"/>
  <c r="N75" i="37" s="1"/>
  <c r="J75" i="37"/>
  <c r="M74" i="37"/>
  <c r="N74" i="37" s="1"/>
  <c r="J74" i="37"/>
  <c r="M73" i="37"/>
  <c r="N73" i="37" s="1"/>
  <c r="J73" i="37"/>
  <c r="M72" i="37"/>
  <c r="N72" i="37" s="1"/>
  <c r="J72" i="37"/>
  <c r="M71" i="37"/>
  <c r="N71" i="37" s="1"/>
  <c r="J71" i="37"/>
  <c r="M70" i="37"/>
  <c r="N70" i="37" s="1"/>
  <c r="J70" i="37"/>
  <c r="M69" i="37"/>
  <c r="N69" i="37" s="1"/>
  <c r="J69" i="37"/>
  <c r="M68" i="37"/>
  <c r="N68" i="37" s="1"/>
  <c r="J68" i="37"/>
  <c r="M67" i="37"/>
  <c r="N67" i="37" s="1"/>
  <c r="J67" i="37"/>
  <c r="M66" i="37"/>
  <c r="M65" i="37"/>
  <c r="M64" i="37"/>
  <c r="M63" i="37"/>
  <c r="M62" i="37"/>
  <c r="M61" i="37"/>
  <c r="M60" i="37"/>
  <c r="M59" i="37"/>
  <c r="M58" i="37"/>
  <c r="M57" i="37"/>
  <c r="M56" i="37"/>
  <c r="M55" i="37"/>
  <c r="M54" i="37"/>
  <c r="M53" i="37"/>
  <c r="M52" i="37"/>
  <c r="M51" i="37"/>
  <c r="M50" i="37"/>
  <c r="M49" i="37"/>
  <c r="M48" i="37"/>
  <c r="M47" i="37"/>
  <c r="M46" i="37"/>
  <c r="M45" i="37"/>
  <c r="M44" i="37"/>
  <c r="M43" i="37"/>
  <c r="G43" i="37"/>
  <c r="G44" i="37" s="1"/>
  <c r="M42" i="37"/>
  <c r="M41" i="37"/>
  <c r="M40" i="37"/>
  <c r="M39" i="37"/>
  <c r="M38" i="37"/>
  <c r="M37" i="37"/>
  <c r="M36" i="37"/>
  <c r="M35" i="37"/>
  <c r="M34" i="37"/>
  <c r="M33" i="37"/>
  <c r="M32" i="37"/>
  <c r="M31" i="37"/>
  <c r="G31" i="37"/>
  <c r="M30" i="37"/>
  <c r="M29" i="37"/>
  <c r="M28" i="37"/>
  <c r="M27" i="37"/>
  <c r="M26" i="37"/>
  <c r="N26" i="37" s="1"/>
  <c r="J26" i="37"/>
  <c r="M25" i="37"/>
  <c r="N25" i="37" s="1"/>
  <c r="J25" i="37"/>
  <c r="M24" i="37"/>
  <c r="N24" i="37" s="1"/>
  <c r="J24" i="37"/>
  <c r="M23" i="37"/>
  <c r="N23" i="37" s="1"/>
  <c r="J23" i="37"/>
  <c r="M22" i="37"/>
  <c r="N22" i="37" s="1"/>
  <c r="J22" i="37"/>
  <c r="M21" i="37"/>
  <c r="N21" i="37" s="1"/>
  <c r="J21" i="37"/>
  <c r="M20" i="37"/>
  <c r="N20" i="37" s="1"/>
  <c r="J20" i="37"/>
  <c r="M19" i="37"/>
  <c r="H19" i="37"/>
  <c r="M18" i="37"/>
  <c r="H18" i="37"/>
  <c r="T88" i="24" s="1"/>
  <c r="M17" i="37"/>
  <c r="N17" i="37" s="1"/>
  <c r="J17" i="37"/>
  <c r="M16" i="37"/>
  <c r="N16" i="37" s="1"/>
  <c r="J16" i="37"/>
  <c r="M15" i="37"/>
  <c r="N15" i="37" s="1"/>
  <c r="J15" i="37"/>
  <c r="M14" i="37"/>
  <c r="N14" i="37" s="1"/>
  <c r="J14" i="37"/>
  <c r="M13" i="37"/>
  <c r="N13" i="37" s="1"/>
  <c r="J13" i="37"/>
  <c r="M12" i="37"/>
  <c r="N12" i="37" s="1"/>
  <c r="J12" i="37"/>
  <c r="M11" i="37"/>
  <c r="N11" i="37" s="1"/>
  <c r="J11" i="37"/>
  <c r="M10" i="37"/>
  <c r="N10" i="37" s="1"/>
  <c r="J10" i="37"/>
  <c r="M9" i="37"/>
  <c r="N9" i="37" s="1"/>
  <c r="J9" i="37"/>
  <c r="M8" i="37"/>
  <c r="N8" i="37" s="1"/>
  <c r="J8" i="37"/>
  <c r="M7" i="37"/>
  <c r="N7" i="37" s="1"/>
  <c r="M6" i="37"/>
  <c r="N6" i="37" s="1"/>
  <c r="H51" i="37"/>
  <c r="M5" i="37"/>
  <c r="N5" i="37" s="1"/>
  <c r="D35" i="36"/>
  <c r="D23" i="36"/>
  <c r="BS34" i="36"/>
  <c r="BS14" i="36"/>
  <c r="E3" i="36"/>
  <c r="G45" i="13"/>
  <c r="G43" i="13"/>
  <c r="G41" i="13"/>
  <c r="G40" i="13"/>
  <c r="G39" i="13"/>
  <c r="G38" i="13"/>
  <c r="P22" i="3"/>
  <c r="O22" i="3"/>
  <c r="P21" i="3"/>
  <c r="O21" i="3"/>
  <c r="P20" i="3"/>
  <c r="O20" i="3"/>
  <c r="C15" i="3"/>
  <c r="B15" i="3"/>
  <c r="P17" i="3" s="1"/>
  <c r="AE2" i="3"/>
  <c r="C46" i="4"/>
  <c r="I45" i="4"/>
  <c r="J45" i="4" s="1"/>
  <c r="I44" i="4"/>
  <c r="J44" i="4" s="1"/>
  <c r="I43" i="4"/>
  <c r="J43" i="4" s="1"/>
  <c r="I42" i="4"/>
  <c r="J42" i="4" s="1"/>
  <c r="I41" i="4"/>
  <c r="J41" i="4" s="1"/>
  <c r="I40" i="4"/>
  <c r="J40" i="4" s="1"/>
  <c r="I39" i="4"/>
  <c r="J39" i="4" s="1"/>
  <c r="D166" i="14"/>
  <c r="E166" i="14"/>
  <c r="F166" i="14"/>
  <c r="G166" i="14"/>
  <c r="H166" i="14"/>
  <c r="I166" i="14"/>
  <c r="J166" i="14"/>
  <c r="K166" i="14"/>
  <c r="L166" i="14"/>
  <c r="M166" i="14"/>
  <c r="N166" i="14"/>
  <c r="O166" i="14"/>
  <c r="P166" i="14"/>
  <c r="Q166" i="14"/>
  <c r="R166" i="14"/>
  <c r="S166" i="14"/>
  <c r="T166" i="14"/>
  <c r="U166" i="14"/>
  <c r="V166" i="14"/>
  <c r="W166" i="14"/>
  <c r="X166" i="14"/>
  <c r="Y166" i="14"/>
  <c r="Z166" i="14"/>
  <c r="AA166" i="14"/>
  <c r="AB166" i="14"/>
  <c r="AC166" i="14"/>
  <c r="AD166" i="14"/>
  <c r="AE166" i="14"/>
  <c r="AF166" i="14"/>
  <c r="AG166" i="14"/>
  <c r="AH166" i="14"/>
  <c r="D167" i="14"/>
  <c r="E167" i="14"/>
  <c r="F167" i="14"/>
  <c r="G167" i="14"/>
  <c r="H167" i="14"/>
  <c r="I167" i="14"/>
  <c r="J167" i="14"/>
  <c r="K167" i="14"/>
  <c r="L167" i="14"/>
  <c r="M167" i="14"/>
  <c r="N167" i="14"/>
  <c r="O167" i="14"/>
  <c r="P167" i="14"/>
  <c r="Q167" i="14"/>
  <c r="R167" i="14"/>
  <c r="S167" i="14"/>
  <c r="T167" i="14"/>
  <c r="U167" i="14"/>
  <c r="V167" i="14"/>
  <c r="W167" i="14"/>
  <c r="X167" i="14"/>
  <c r="Y167" i="14"/>
  <c r="Z167" i="14"/>
  <c r="AA167" i="14"/>
  <c r="AB167" i="14"/>
  <c r="AC167" i="14"/>
  <c r="AD167" i="14"/>
  <c r="AE167" i="14"/>
  <c r="AF167" i="14"/>
  <c r="AG167" i="14"/>
  <c r="AH167" i="14"/>
  <c r="E168" i="14"/>
  <c r="F168" i="14"/>
  <c r="G168" i="14"/>
  <c r="H168" i="14"/>
  <c r="I168" i="14"/>
  <c r="J168" i="14"/>
  <c r="K168" i="14"/>
  <c r="L168" i="14"/>
  <c r="M168" i="14"/>
  <c r="O168" i="14"/>
  <c r="P168" i="14"/>
  <c r="Q168" i="14"/>
  <c r="R168" i="14"/>
  <c r="S168" i="14"/>
  <c r="T168" i="14"/>
  <c r="U168" i="14"/>
  <c r="V168" i="14"/>
  <c r="W168" i="14"/>
  <c r="X168" i="14"/>
  <c r="Y168" i="14"/>
  <c r="Z168" i="14"/>
  <c r="AA168" i="14"/>
  <c r="AB168" i="14"/>
  <c r="AC168" i="14"/>
  <c r="AD168" i="14"/>
  <c r="AE168" i="14"/>
  <c r="AF168" i="14"/>
  <c r="AG168" i="14"/>
  <c r="AH168" i="14"/>
  <c r="E169" i="14"/>
  <c r="F169" i="14"/>
  <c r="G169" i="14"/>
  <c r="H169" i="14"/>
  <c r="I169" i="14"/>
  <c r="J169" i="14"/>
  <c r="K169" i="14"/>
  <c r="L169" i="14"/>
  <c r="M169" i="14"/>
  <c r="O169" i="14"/>
  <c r="P169" i="14"/>
  <c r="Q169" i="14"/>
  <c r="R169" i="14"/>
  <c r="S169" i="14"/>
  <c r="T169" i="14"/>
  <c r="U169" i="14"/>
  <c r="V169" i="14"/>
  <c r="W169" i="14"/>
  <c r="X169" i="14"/>
  <c r="Y169" i="14"/>
  <c r="Z169" i="14"/>
  <c r="AA169" i="14"/>
  <c r="AB169" i="14"/>
  <c r="AC169" i="14"/>
  <c r="AD169" i="14"/>
  <c r="AE169" i="14"/>
  <c r="AF169" i="14"/>
  <c r="AG169" i="14"/>
  <c r="AH169" i="14"/>
  <c r="AK200" i="28"/>
  <c r="AK201" i="28"/>
  <c r="AK202" i="28"/>
  <c r="AK199" i="28"/>
  <c r="R23" i="37"/>
  <c r="R21" i="37"/>
  <c r="G46" i="13" l="1"/>
  <c r="G44" i="13"/>
  <c r="AK247" i="53"/>
  <c r="AK247" i="54"/>
  <c r="AK359" i="48"/>
  <c r="AK359" i="46"/>
  <c r="AK331" i="42"/>
  <c r="AK331" i="38"/>
  <c r="AK249" i="54"/>
  <c r="AK249" i="53"/>
  <c r="AK361" i="48"/>
  <c r="AK361" i="46"/>
  <c r="AK333" i="38"/>
  <c r="AK333" i="42"/>
  <c r="AK248" i="53"/>
  <c r="AK248" i="54"/>
  <c r="AK360" i="48"/>
  <c r="AK360" i="46"/>
  <c r="AK332" i="38"/>
  <c r="AK332" i="42"/>
  <c r="T90" i="24"/>
  <c r="AK250" i="54"/>
  <c r="AK250" i="53"/>
  <c r="AK362" i="48"/>
  <c r="AK362" i="46"/>
  <c r="AK334" i="38"/>
  <c r="AK334" i="42"/>
  <c r="G42" i="13"/>
  <c r="D24" i="13" s="1"/>
  <c r="O16" i="3"/>
  <c r="O18" i="3"/>
  <c r="D23" i="11"/>
  <c r="L98" i="37"/>
  <c r="J77" i="37"/>
  <c r="L77" i="37" s="1"/>
  <c r="N85" i="37"/>
  <c r="H30" i="37"/>
  <c r="H44" i="37" s="1"/>
  <c r="L68" i="37"/>
  <c r="L69" i="37"/>
  <c r="J85" i="37"/>
  <c r="L85" i="37" s="1"/>
  <c r="L102" i="37"/>
  <c r="L106" i="37"/>
  <c r="L110" i="37"/>
  <c r="L114" i="37"/>
  <c r="N18" i="37"/>
  <c r="L24" i="37"/>
  <c r="L72" i="37"/>
  <c r="L73" i="37"/>
  <c r="N78" i="37"/>
  <c r="L82" i="37"/>
  <c r="N83" i="37"/>
  <c r="L91" i="37"/>
  <c r="L97" i="37"/>
  <c r="L90" i="37"/>
  <c r="J83" i="37"/>
  <c r="L83" i="37" s="1"/>
  <c r="N84" i="37"/>
  <c r="L94" i="37"/>
  <c r="N19" i="37"/>
  <c r="L12" i="37"/>
  <c r="L13" i="37"/>
  <c r="L26" i="37"/>
  <c r="N77" i="37"/>
  <c r="N79" i="37"/>
  <c r="T80" i="24"/>
  <c r="N86" i="37"/>
  <c r="J6" i="37"/>
  <c r="L6" i="37" s="1"/>
  <c r="L8" i="37"/>
  <c r="L9" i="37"/>
  <c r="L16" i="37"/>
  <c r="L17" i="37"/>
  <c r="L23" i="37"/>
  <c r="H31" i="37"/>
  <c r="N31" i="37" s="1"/>
  <c r="L101" i="37"/>
  <c r="L105" i="37"/>
  <c r="L109" i="37"/>
  <c r="L113" i="37"/>
  <c r="J117" i="37"/>
  <c r="L117" i="37" s="1"/>
  <c r="L67" i="37"/>
  <c r="L107" i="37"/>
  <c r="L118" i="37"/>
  <c r="L7" i="37"/>
  <c r="L20" i="37"/>
  <c r="L21" i="37"/>
  <c r="L116" i="37"/>
  <c r="L10" i="37"/>
  <c r="L11" i="37"/>
  <c r="L104" i="37"/>
  <c r="L111" i="37"/>
  <c r="L100" i="37"/>
  <c r="L74" i="37"/>
  <c r="L75" i="37"/>
  <c r="L84" i="37"/>
  <c r="L99" i="37"/>
  <c r="L108" i="37"/>
  <c r="L115" i="37"/>
  <c r="D65" i="36"/>
  <c r="L14" i="37"/>
  <c r="L15" i="37"/>
  <c r="L22" i="37"/>
  <c r="L25" i="37"/>
  <c r="L70" i="37"/>
  <c r="L71" i="37"/>
  <c r="L89" i="37"/>
  <c r="L103" i="37"/>
  <c r="L112" i="37"/>
  <c r="L119" i="37"/>
  <c r="Y5" i="3"/>
  <c r="Y7" i="3" s="1"/>
  <c r="N80" i="37"/>
  <c r="J80" i="37"/>
  <c r="L80" i="37" s="1"/>
  <c r="N30" i="37"/>
  <c r="J30" i="37"/>
  <c r="L30" i="37" s="1"/>
  <c r="N51" i="37"/>
  <c r="J51" i="37"/>
  <c r="L51" i="37" s="1"/>
  <c r="H29" i="37"/>
  <c r="H27" i="37"/>
  <c r="J5" i="37"/>
  <c r="L5" i="37" s="1"/>
  <c r="J18" i="37"/>
  <c r="L18" i="37" s="1"/>
  <c r="H46" i="37"/>
  <c r="H48" i="37"/>
  <c r="H50" i="37"/>
  <c r="J78" i="37"/>
  <c r="L78" i="37" s="1"/>
  <c r="H28" i="37"/>
  <c r="J19" i="37"/>
  <c r="L19" i="37" s="1"/>
  <c r="B5" i="40"/>
  <c r="C5" i="40" s="1"/>
  <c r="H47" i="37"/>
  <c r="H49" i="37"/>
  <c r="J79" i="37"/>
  <c r="L79" i="37" s="1"/>
  <c r="I81" i="24"/>
  <c r="F3" i="36"/>
  <c r="BS22" i="36"/>
  <c r="D6" i="36"/>
  <c r="BS36" i="36"/>
  <c r="BS31" i="36"/>
  <c r="G48" i="13"/>
  <c r="P16" i="3"/>
  <c r="P18" i="3"/>
  <c r="O17" i="3"/>
  <c r="H43" i="37" l="1"/>
  <c r="B9" i="40" s="1"/>
  <c r="C9" i="40" s="1"/>
  <c r="E248" i="54"/>
  <c r="T249" i="54" s="1"/>
  <c r="G248" i="54"/>
  <c r="V249" i="54" s="1"/>
  <c r="F248" i="54"/>
  <c r="U249" i="54" s="1"/>
  <c r="D248" i="54"/>
  <c r="S249" i="54" s="1"/>
  <c r="J248" i="54"/>
  <c r="Y249" i="54" s="1"/>
  <c r="C248" i="54"/>
  <c r="H248" i="54"/>
  <c r="W249" i="54" s="1"/>
  <c r="I248" i="54"/>
  <c r="X249" i="54" s="1"/>
  <c r="R248" i="54"/>
  <c r="AG249" i="54" s="1"/>
  <c r="P248" i="54"/>
  <c r="AE249" i="54" s="1"/>
  <c r="N248" i="54"/>
  <c r="AC249" i="54" s="1"/>
  <c r="K248" i="54"/>
  <c r="Z249" i="54" s="1"/>
  <c r="Q248" i="54"/>
  <c r="AF249" i="54" s="1"/>
  <c r="M248" i="54"/>
  <c r="AB249" i="54" s="1"/>
  <c r="L248" i="54"/>
  <c r="AA249" i="54" s="1"/>
  <c r="O248" i="54"/>
  <c r="AD249" i="54" s="1"/>
  <c r="S248" i="54"/>
  <c r="T248" i="54"/>
  <c r="U248" i="54"/>
  <c r="V248" i="54"/>
  <c r="W248" i="54"/>
  <c r="X248" i="54"/>
  <c r="Y248" i="54"/>
  <c r="Z248" i="54"/>
  <c r="AA248" i="54"/>
  <c r="AB248" i="54"/>
  <c r="AC248" i="54"/>
  <c r="AD248" i="54"/>
  <c r="AE248" i="54"/>
  <c r="AF248" i="54"/>
  <c r="AG248" i="54"/>
  <c r="C332" i="42"/>
  <c r="D332" i="42"/>
  <c r="S333" i="42" s="1"/>
  <c r="E332" i="42"/>
  <c r="T333" i="42" s="1"/>
  <c r="F332" i="42"/>
  <c r="U333" i="42" s="1"/>
  <c r="G332" i="42"/>
  <c r="V333" i="42" s="1"/>
  <c r="H332" i="42"/>
  <c r="W333" i="42" s="1"/>
  <c r="I332" i="42"/>
  <c r="X333" i="42" s="1"/>
  <c r="J332" i="42"/>
  <c r="Y333" i="42" s="1"/>
  <c r="K332" i="42"/>
  <c r="Z333" i="42" s="1"/>
  <c r="L332" i="42"/>
  <c r="AA333" i="42" s="1"/>
  <c r="M332" i="42"/>
  <c r="AB333" i="42" s="1"/>
  <c r="N332" i="42"/>
  <c r="AC333" i="42" s="1"/>
  <c r="O332" i="42"/>
  <c r="AD333" i="42" s="1"/>
  <c r="P332" i="42"/>
  <c r="AE333" i="42" s="1"/>
  <c r="Q332" i="42"/>
  <c r="AF333" i="42" s="1"/>
  <c r="R332" i="42"/>
  <c r="AG333" i="42" s="1"/>
  <c r="S332" i="42"/>
  <c r="T332" i="42"/>
  <c r="U332" i="42"/>
  <c r="V332" i="42"/>
  <c r="W332" i="42"/>
  <c r="X332" i="42"/>
  <c r="Y332" i="42"/>
  <c r="Z332" i="42"/>
  <c r="AA332" i="42"/>
  <c r="AB332" i="42"/>
  <c r="AC332" i="42"/>
  <c r="AD332" i="42"/>
  <c r="AE332" i="42"/>
  <c r="AF332" i="42"/>
  <c r="AG332" i="42"/>
  <c r="J332" i="38"/>
  <c r="Y333" i="38" s="1"/>
  <c r="R332" i="38"/>
  <c r="AG333" i="38" s="1"/>
  <c r="Z332" i="38"/>
  <c r="C332" i="38"/>
  <c r="O332" i="38"/>
  <c r="AD333" i="38" s="1"/>
  <c r="K332" i="38"/>
  <c r="Z333" i="38" s="1"/>
  <c r="S332" i="38"/>
  <c r="AA332" i="38"/>
  <c r="AE332" i="38"/>
  <c r="D332" i="38"/>
  <c r="S333" i="38" s="1"/>
  <c r="L332" i="38"/>
  <c r="AA333" i="38" s="1"/>
  <c r="T332" i="38"/>
  <c r="AB332" i="38"/>
  <c r="E332" i="38"/>
  <c r="T333" i="38" s="1"/>
  <c r="M332" i="38"/>
  <c r="AB333" i="38" s="1"/>
  <c r="U332" i="38"/>
  <c r="AC332" i="38"/>
  <c r="F332" i="38"/>
  <c r="U333" i="38" s="1"/>
  <c r="N332" i="38"/>
  <c r="AC333" i="38" s="1"/>
  <c r="V332" i="38"/>
  <c r="AD332" i="38"/>
  <c r="G332" i="38"/>
  <c r="V333" i="38" s="1"/>
  <c r="H332" i="38"/>
  <c r="W333" i="38" s="1"/>
  <c r="P332" i="38"/>
  <c r="AE333" i="38" s="1"/>
  <c r="X332" i="38"/>
  <c r="AF332" i="38"/>
  <c r="W332" i="38"/>
  <c r="I332" i="38"/>
  <c r="X333" i="38" s="1"/>
  <c r="Q332" i="38"/>
  <c r="AF333" i="38" s="1"/>
  <c r="Y332" i="38"/>
  <c r="AG332" i="38"/>
  <c r="AF360" i="46"/>
  <c r="AD360" i="46"/>
  <c r="V360" i="46"/>
  <c r="R360" i="46"/>
  <c r="AG361" i="46" s="1"/>
  <c r="S360" i="46"/>
  <c r="Z360" i="46"/>
  <c r="T360" i="46"/>
  <c r="C360" i="46"/>
  <c r="AB360" i="46"/>
  <c r="Y360" i="46"/>
  <c r="Q360" i="46"/>
  <c r="AF361" i="46" s="1"/>
  <c r="G360" i="46"/>
  <c r="V361" i="46" s="1"/>
  <c r="K360" i="46"/>
  <c r="Z361" i="46" s="1"/>
  <c r="N360" i="46"/>
  <c r="AC361" i="46" s="1"/>
  <c r="P360" i="46"/>
  <c r="AE361" i="46" s="1"/>
  <c r="E360" i="46"/>
  <c r="T361" i="46" s="1"/>
  <c r="U360" i="46"/>
  <c r="X360" i="46"/>
  <c r="O360" i="46"/>
  <c r="AD361" i="46" s="1"/>
  <c r="I360" i="46"/>
  <c r="X361" i="46" s="1"/>
  <c r="M360" i="46"/>
  <c r="AB361" i="46" s="1"/>
  <c r="F360" i="46"/>
  <c r="U361" i="46" s="1"/>
  <c r="L360" i="46"/>
  <c r="AA361" i="46" s="1"/>
  <c r="H360" i="46"/>
  <c r="W361" i="46" s="1"/>
  <c r="AG360" i="46"/>
  <c r="J360" i="46"/>
  <c r="Y361" i="46" s="1"/>
  <c r="W360" i="46"/>
  <c r="AE360" i="46"/>
  <c r="D360" i="46"/>
  <c r="S361" i="46" s="1"/>
  <c r="AA360" i="46"/>
  <c r="AC360" i="46"/>
  <c r="E360" i="48"/>
  <c r="T361" i="48" s="1"/>
  <c r="D360" i="48"/>
  <c r="S361" i="48" s="1"/>
  <c r="C360" i="48"/>
  <c r="F360" i="48"/>
  <c r="U361" i="48" s="1"/>
  <c r="G360" i="48"/>
  <c r="V361" i="48" s="1"/>
  <c r="H360" i="48"/>
  <c r="W361" i="48" s="1"/>
  <c r="I360" i="48"/>
  <c r="X361" i="48" s="1"/>
  <c r="J360" i="48"/>
  <c r="Y361" i="48" s="1"/>
  <c r="K360" i="48"/>
  <c r="Z361" i="48" s="1"/>
  <c r="L360" i="48"/>
  <c r="AA361" i="48" s="1"/>
  <c r="M360" i="48"/>
  <c r="AB361" i="48" s="1"/>
  <c r="N360" i="48"/>
  <c r="AC361" i="48" s="1"/>
  <c r="O360" i="48"/>
  <c r="AD361" i="48" s="1"/>
  <c r="P360" i="48"/>
  <c r="AE361" i="48" s="1"/>
  <c r="Q360" i="48"/>
  <c r="AF361" i="48" s="1"/>
  <c r="R360" i="48"/>
  <c r="AG361" i="48" s="1"/>
  <c r="S360" i="48"/>
  <c r="T360" i="48"/>
  <c r="U360" i="48"/>
  <c r="V360" i="48"/>
  <c r="W360" i="48"/>
  <c r="X360" i="48"/>
  <c r="Y360" i="48"/>
  <c r="Z360" i="48"/>
  <c r="AA360" i="48"/>
  <c r="AB360" i="48"/>
  <c r="AC360" i="48"/>
  <c r="AD360" i="48"/>
  <c r="AE360" i="48"/>
  <c r="AF360" i="48"/>
  <c r="AG360" i="48"/>
  <c r="CA12" i="36"/>
  <c r="E248" i="53"/>
  <c r="T249" i="53" s="1"/>
  <c r="D248" i="53"/>
  <c r="S249" i="53" s="1"/>
  <c r="C248" i="53"/>
  <c r="G248" i="53"/>
  <c r="V249" i="53" s="1"/>
  <c r="F248" i="53"/>
  <c r="U249" i="53" s="1"/>
  <c r="H248" i="53"/>
  <c r="W249" i="53" s="1"/>
  <c r="I248" i="53"/>
  <c r="X249" i="53" s="1"/>
  <c r="J248" i="53"/>
  <c r="Y249" i="53" s="1"/>
  <c r="K248" i="53"/>
  <c r="Z249" i="53" s="1"/>
  <c r="L248" i="53"/>
  <c r="AA249" i="53" s="1"/>
  <c r="M248" i="53"/>
  <c r="AB249" i="53" s="1"/>
  <c r="N248" i="53"/>
  <c r="AC249" i="53" s="1"/>
  <c r="O248" i="53"/>
  <c r="AD249" i="53" s="1"/>
  <c r="P248" i="53"/>
  <c r="AE249" i="53" s="1"/>
  <c r="Q248" i="53"/>
  <c r="AF249" i="53" s="1"/>
  <c r="R248" i="53"/>
  <c r="AG249" i="53" s="1"/>
  <c r="S248" i="53"/>
  <c r="T248" i="53"/>
  <c r="U248" i="53"/>
  <c r="V248" i="53"/>
  <c r="W248" i="53"/>
  <c r="X248" i="53"/>
  <c r="Y248" i="53"/>
  <c r="Z248" i="53"/>
  <c r="AA248" i="53"/>
  <c r="AB248" i="53"/>
  <c r="AC248" i="53"/>
  <c r="AD248" i="53"/>
  <c r="AE248" i="53"/>
  <c r="AF248" i="53"/>
  <c r="AG248" i="53"/>
  <c r="H59" i="33"/>
  <c r="E39" i="40"/>
  <c r="E43" i="40"/>
  <c r="E41" i="40"/>
  <c r="E38" i="40"/>
  <c r="E40" i="40"/>
  <c r="E37" i="40"/>
  <c r="D41" i="40"/>
  <c r="D37" i="40"/>
  <c r="D38" i="40"/>
  <c r="D43" i="40"/>
  <c r="D39" i="40"/>
  <c r="D40" i="40"/>
  <c r="J31" i="37"/>
  <c r="L31" i="37" s="1"/>
  <c r="AJ6" i="36"/>
  <c r="BZ9" i="36" s="1"/>
  <c r="BN6" i="36"/>
  <c r="D71" i="36"/>
  <c r="BP38" i="58" s="1"/>
  <c r="D37" i="58" s="1"/>
  <c r="AH7" i="36"/>
  <c r="N43" i="37"/>
  <c r="J43" i="37"/>
  <c r="L43" i="37" s="1"/>
  <c r="N50" i="37"/>
  <c r="J50" i="37"/>
  <c r="L50" i="37" s="1"/>
  <c r="H66" i="37"/>
  <c r="H65" i="37"/>
  <c r="H63" i="37"/>
  <c r="H64" i="37"/>
  <c r="H62" i="37"/>
  <c r="N49" i="37"/>
  <c r="J49" i="37"/>
  <c r="L49" i="37" s="1"/>
  <c r="H40" i="37"/>
  <c r="H38" i="37"/>
  <c r="H36" i="37"/>
  <c r="H34" i="37"/>
  <c r="N28" i="37"/>
  <c r="J28" i="37"/>
  <c r="L28" i="37" s="1"/>
  <c r="H39" i="37"/>
  <c r="B10" i="40" s="1"/>
  <c r="C10" i="40" s="1"/>
  <c r="H37" i="37"/>
  <c r="H35" i="37"/>
  <c r="H61" i="37"/>
  <c r="N48" i="37"/>
  <c r="J48" i="37"/>
  <c r="L48" i="37" s="1"/>
  <c r="H60" i="37"/>
  <c r="N44" i="37"/>
  <c r="J44" i="37"/>
  <c r="L44" i="37" s="1"/>
  <c r="H59" i="37"/>
  <c r="H57" i="37"/>
  <c r="H58" i="37"/>
  <c r="H56" i="37"/>
  <c r="N47" i="37"/>
  <c r="J47" i="37"/>
  <c r="L47" i="37" s="1"/>
  <c r="H55" i="37"/>
  <c r="H53" i="37"/>
  <c r="N46" i="37"/>
  <c r="J46" i="37"/>
  <c r="L46" i="37" s="1"/>
  <c r="H54" i="37"/>
  <c r="H52" i="37"/>
  <c r="H32" i="37"/>
  <c r="B4" i="40" s="1"/>
  <c r="C4" i="40" s="1"/>
  <c r="H33" i="37"/>
  <c r="B3" i="40" s="1"/>
  <c r="C3" i="40" s="1"/>
  <c r="N27" i="37"/>
  <c r="J27" i="37"/>
  <c r="L27" i="37" s="1"/>
  <c r="H93" i="37"/>
  <c r="H92" i="37"/>
  <c r="N45" i="37"/>
  <c r="J45" i="37"/>
  <c r="L45" i="37" s="1"/>
  <c r="H42" i="37"/>
  <c r="H41" i="37"/>
  <c r="B6" i="40" s="1"/>
  <c r="C6" i="40" s="1"/>
  <c r="N29" i="37"/>
  <c r="J29" i="37"/>
  <c r="L29" i="37" s="1"/>
  <c r="BR12" i="36"/>
  <c r="G3" i="36"/>
  <c r="Y13" i="3"/>
  <c r="Y12" i="3"/>
  <c r="Y8" i="3"/>
  <c r="R22" i="37"/>
  <c r="B10" i="60" l="1"/>
  <c r="AJ37" i="58"/>
  <c r="D4" i="61"/>
  <c r="R249" i="53"/>
  <c r="M249" i="53"/>
  <c r="R333" i="42"/>
  <c r="M333" i="42"/>
  <c r="R361" i="48"/>
  <c r="M361" i="48"/>
  <c r="R361" i="46"/>
  <c r="M361" i="46"/>
  <c r="R333" i="38"/>
  <c r="M333" i="38"/>
  <c r="R249" i="54"/>
  <c r="M249" i="54"/>
  <c r="I39" i="40"/>
  <c r="I43" i="40"/>
  <c r="I38" i="40"/>
  <c r="I37" i="40"/>
  <c r="I41" i="40"/>
  <c r="I40" i="40"/>
  <c r="E46" i="40"/>
  <c r="F43" i="40"/>
  <c r="F40" i="40"/>
  <c r="F37" i="40"/>
  <c r="F41" i="40"/>
  <c r="F38" i="40"/>
  <c r="F39" i="40"/>
  <c r="B37" i="40"/>
  <c r="B39" i="40"/>
  <c r="B41" i="40"/>
  <c r="B38" i="40"/>
  <c r="B40" i="40"/>
  <c r="B43" i="40"/>
  <c r="C37" i="40"/>
  <c r="C43" i="40"/>
  <c r="C40" i="40"/>
  <c r="C38" i="40"/>
  <c r="C39" i="40"/>
  <c r="C41" i="40"/>
  <c r="D46" i="40"/>
  <c r="AH15" i="36"/>
  <c r="BN15" i="36" s="1"/>
  <c r="BN7" i="36"/>
  <c r="Y14" i="3"/>
  <c r="Y15" i="3" s="1"/>
  <c r="R25" i="37"/>
  <c r="N42" i="37"/>
  <c r="J42" i="37"/>
  <c r="L42" i="37" s="1"/>
  <c r="N93" i="37"/>
  <c r="J93" i="37"/>
  <c r="L93" i="37" s="1"/>
  <c r="N33" i="37"/>
  <c r="J33" i="37"/>
  <c r="L33" i="37" s="1"/>
  <c r="N57" i="37"/>
  <c r="J57" i="37"/>
  <c r="L57" i="37" s="1"/>
  <c r="N60" i="37"/>
  <c r="J60" i="37"/>
  <c r="L60" i="37" s="1"/>
  <c r="N35" i="37"/>
  <c r="J35" i="37"/>
  <c r="L35" i="37" s="1"/>
  <c r="N40" i="37"/>
  <c r="J40" i="37"/>
  <c r="L40" i="37" s="1"/>
  <c r="N64" i="37"/>
  <c r="J64" i="37"/>
  <c r="L64" i="37" s="1"/>
  <c r="N32" i="37"/>
  <c r="J32" i="37"/>
  <c r="L32" i="37" s="1"/>
  <c r="N59" i="37"/>
  <c r="J59" i="37"/>
  <c r="L59" i="37" s="1"/>
  <c r="N37" i="37"/>
  <c r="J37" i="37"/>
  <c r="L37" i="37" s="1"/>
  <c r="H87" i="37"/>
  <c r="N34" i="37"/>
  <c r="J34" i="37"/>
  <c r="L34" i="37" s="1"/>
  <c r="H88" i="37"/>
  <c r="N63" i="37"/>
  <c r="J63" i="37"/>
  <c r="L63" i="37" s="1"/>
  <c r="N52" i="37"/>
  <c r="J52" i="37"/>
  <c r="L52" i="37" s="1"/>
  <c r="N53" i="37"/>
  <c r="J53" i="37"/>
  <c r="L53" i="37" s="1"/>
  <c r="N56" i="37"/>
  <c r="J56" i="37"/>
  <c r="L56" i="37" s="1"/>
  <c r="N39" i="37"/>
  <c r="J39" i="37"/>
  <c r="L39" i="37" s="1"/>
  <c r="N36" i="37"/>
  <c r="J36" i="37"/>
  <c r="L36" i="37" s="1"/>
  <c r="N65" i="37"/>
  <c r="J65" i="37"/>
  <c r="L65" i="37" s="1"/>
  <c r="N41" i="37"/>
  <c r="J41" i="37"/>
  <c r="L41" i="37" s="1"/>
  <c r="N92" i="37"/>
  <c r="J92" i="37"/>
  <c r="L92" i="37" s="1"/>
  <c r="N54" i="37"/>
  <c r="J54" i="37"/>
  <c r="L54" i="37" s="1"/>
  <c r="N55" i="37"/>
  <c r="J55" i="37"/>
  <c r="L55" i="37" s="1"/>
  <c r="N58" i="37"/>
  <c r="J58" i="37"/>
  <c r="L58" i="37" s="1"/>
  <c r="N61" i="37"/>
  <c r="J61" i="37"/>
  <c r="L61" i="37" s="1"/>
  <c r="N38" i="37"/>
  <c r="J38" i="37"/>
  <c r="L38" i="37" s="1"/>
  <c r="N62" i="37"/>
  <c r="J62" i="37"/>
  <c r="L62" i="37" s="1"/>
  <c r="N66" i="37"/>
  <c r="J66" i="37"/>
  <c r="L66" i="37" s="1"/>
  <c r="H3" i="36"/>
  <c r="BP37" i="58" l="1"/>
  <c r="DB18" i="58"/>
  <c r="B48" i="60"/>
  <c r="O5" i="60"/>
  <c r="B22" i="60"/>
  <c r="I46" i="40"/>
  <c r="T92" i="24"/>
  <c r="D2" i="37"/>
  <c r="M8" i="40" s="1"/>
  <c r="T89" i="24"/>
  <c r="T91" i="24" s="1"/>
  <c r="C46" i="40"/>
  <c r="B46" i="40"/>
  <c r="F46" i="40"/>
  <c r="S23" i="37"/>
  <c r="S21" i="37"/>
  <c r="N87" i="37"/>
  <c r="J87" i="37"/>
  <c r="L87" i="37" s="1"/>
  <c r="H96" i="37"/>
  <c r="H95" i="37"/>
  <c r="S24" i="37"/>
  <c r="N88" i="37"/>
  <c r="J88" i="37"/>
  <c r="L88" i="37" s="1"/>
  <c r="S22" i="37"/>
  <c r="I3" i="36"/>
  <c r="G15" i="52" l="1"/>
  <c r="O15" i="52"/>
  <c r="W15" i="52"/>
  <c r="AE15" i="52"/>
  <c r="AA15" i="52"/>
  <c r="H15" i="52"/>
  <c r="P15" i="52"/>
  <c r="X15" i="52"/>
  <c r="AF15" i="52"/>
  <c r="I15" i="52"/>
  <c r="Q15" i="52"/>
  <c r="Y15" i="52"/>
  <c r="AG15" i="52"/>
  <c r="S15" i="52"/>
  <c r="J15" i="52"/>
  <c r="R15" i="52"/>
  <c r="Z15" i="52"/>
  <c r="C15" i="52"/>
  <c r="D15" i="52"/>
  <c r="L15" i="52"/>
  <c r="T15" i="52"/>
  <c r="AB15" i="52"/>
  <c r="K15" i="52"/>
  <c r="E15" i="52"/>
  <c r="M15" i="52"/>
  <c r="U15" i="52"/>
  <c r="AC15" i="52"/>
  <c r="F15" i="52"/>
  <c r="N15" i="52"/>
  <c r="V15" i="52"/>
  <c r="AD15" i="52"/>
  <c r="BU20" i="51" a="1"/>
  <c r="BU29" i="45" a="1"/>
  <c r="M9" i="40"/>
  <c r="T83" i="24" s="1"/>
  <c r="M10" i="40"/>
  <c r="BU31" i="36" a="1"/>
  <c r="K2" i="40" a="1"/>
  <c r="J95" i="37"/>
  <c r="L95" i="37" s="1"/>
  <c r="B8" i="40"/>
  <c r="C8" i="40" s="1"/>
  <c r="J96" i="37"/>
  <c r="L96" i="37" s="1"/>
  <c r="B7" i="40"/>
  <c r="J3" i="36"/>
  <c r="M11" i="40" l="1"/>
  <c r="M12" i="40" s="1"/>
  <c r="L45" i="40"/>
  <c r="M45" i="40" s="1"/>
  <c r="C7" i="40"/>
  <c r="H38" i="40"/>
  <c r="H43" i="40"/>
  <c r="H42" i="40"/>
  <c r="L44" i="40"/>
  <c r="M44" i="40" s="1"/>
  <c r="F4" i="3" s="1"/>
  <c r="B11" i="40"/>
  <c r="K3" i="36"/>
  <c r="EE188" i="55" l="1"/>
  <c r="BP188" i="55"/>
  <c r="C11" i="40"/>
  <c r="B4" i="61"/>
  <c r="BS30" i="45"/>
  <c r="D11" i="45"/>
  <c r="AJ11" i="45" s="1"/>
  <c r="D11" i="36"/>
  <c r="K11" i="36" s="1"/>
  <c r="F6" i="3"/>
  <c r="F7" i="3" s="1"/>
  <c r="F9" i="3" s="1"/>
  <c r="F13" i="3" s="1"/>
  <c r="O44" i="40"/>
  <c r="T82" i="24"/>
  <c r="O45" i="40"/>
  <c r="T81" i="24"/>
  <c r="B12" i="40"/>
  <c r="B14" i="40" s="1"/>
  <c r="H46" i="40"/>
  <c r="J43" i="40"/>
  <c r="J37" i="40"/>
  <c r="J40" i="40"/>
  <c r="J41" i="40"/>
  <c r="J39" i="40"/>
  <c r="J38" i="40"/>
  <c r="K42" i="40"/>
  <c r="L42" i="40"/>
  <c r="M42" i="40" s="1"/>
  <c r="O42" i="40" s="1"/>
  <c r="G43" i="40"/>
  <c r="G40" i="40"/>
  <c r="G37" i="40"/>
  <c r="G41" i="40"/>
  <c r="G38" i="40"/>
  <c r="G39" i="40"/>
  <c r="L3" i="36"/>
  <c r="D72" i="55" l="1"/>
  <c r="EA188" i="55"/>
  <c r="BZ188" i="55"/>
  <c r="AF10" i="45"/>
  <c r="X10" i="45"/>
  <c r="L10" i="45"/>
  <c r="H10" i="45"/>
  <c r="AE10" i="45"/>
  <c r="W10" i="45"/>
  <c r="O10" i="45"/>
  <c r="G10" i="45"/>
  <c r="BS16" i="45"/>
  <c r="AH10" i="45"/>
  <c r="Z10" i="45"/>
  <c r="V10" i="45"/>
  <c r="R10" i="45"/>
  <c r="N10" i="45"/>
  <c r="J10" i="45"/>
  <c r="F10" i="45"/>
  <c r="AB10" i="45"/>
  <c r="T10" i="45"/>
  <c r="P10" i="45"/>
  <c r="E10" i="45"/>
  <c r="AA10" i="45"/>
  <c r="S10" i="45"/>
  <c r="K10" i="45"/>
  <c r="AD10" i="45"/>
  <c r="AG10" i="45"/>
  <c r="AC10" i="45"/>
  <c r="Y10" i="45"/>
  <c r="U10" i="45"/>
  <c r="Q10" i="45"/>
  <c r="M10" i="45"/>
  <c r="I10" i="45"/>
  <c r="AJ11" i="36"/>
  <c r="D8" i="36"/>
  <c r="E11" i="36"/>
  <c r="BS32" i="36"/>
  <c r="D12" i="36"/>
  <c r="F11" i="36"/>
  <c r="G11" i="36"/>
  <c r="H11" i="36"/>
  <c r="I11" i="36"/>
  <c r="J11" i="36"/>
  <c r="T84" i="24"/>
  <c r="K8" i="36"/>
  <c r="AQ8" i="36" s="1"/>
  <c r="AQ11" i="36"/>
  <c r="K12" i="36"/>
  <c r="L11" i="36"/>
  <c r="K40" i="40"/>
  <c r="L40" i="40"/>
  <c r="L38" i="40"/>
  <c r="M38" i="40" s="1"/>
  <c r="O38" i="40" s="1"/>
  <c r="K38" i="40"/>
  <c r="L43" i="40"/>
  <c r="M43" i="40" s="1"/>
  <c r="K43" i="40"/>
  <c r="G46" i="40"/>
  <c r="K37" i="40"/>
  <c r="L37" i="40"/>
  <c r="L39" i="40"/>
  <c r="M39" i="40" s="1"/>
  <c r="O39" i="40" s="1"/>
  <c r="K39" i="40"/>
  <c r="B64" i="40" s="1"/>
  <c r="J46" i="40"/>
  <c r="K41" i="40"/>
  <c r="L41" i="40"/>
  <c r="M41" i="40" s="1"/>
  <c r="O41" i="40" s="1"/>
  <c r="M3" i="36"/>
  <c r="D73" i="55" l="1"/>
  <c r="AH73" i="55"/>
  <c r="BN73" i="55" s="1"/>
  <c r="BP72" i="55"/>
  <c r="CT72" i="55" s="1"/>
  <c r="BQ72" i="55" s="1"/>
  <c r="BR72" i="55" s="1"/>
  <c r="BS72" i="55" s="1"/>
  <c r="BT72" i="55" s="1"/>
  <c r="BU72" i="55" s="1"/>
  <c r="BV72" i="55" s="1"/>
  <c r="BW72" i="55" s="1"/>
  <c r="BX72" i="55" s="1"/>
  <c r="BY72" i="55" s="1"/>
  <c r="BZ72" i="55" s="1"/>
  <c r="CA72" i="55" s="1"/>
  <c r="CB72" i="55" s="1"/>
  <c r="CC72" i="55" s="1"/>
  <c r="CD72" i="55" s="1"/>
  <c r="CE72" i="55" s="1"/>
  <c r="CF72" i="55" s="1"/>
  <c r="CG72" i="55" s="1"/>
  <c r="CH72" i="55" s="1"/>
  <c r="CI72" i="55" s="1"/>
  <c r="CJ72" i="55" s="1"/>
  <c r="CK72" i="55" s="1"/>
  <c r="CL72" i="55" s="1"/>
  <c r="CM72" i="55" s="1"/>
  <c r="CN72" i="55" s="1"/>
  <c r="CO72" i="55" s="1"/>
  <c r="CP72" i="55" s="1"/>
  <c r="CQ72" i="55" s="1"/>
  <c r="CR72" i="55" s="1"/>
  <c r="CS72" i="55" s="1"/>
  <c r="AJ72" i="55"/>
  <c r="CV72" i="55" s="1"/>
  <c r="E72" i="55"/>
  <c r="AQ12" i="36"/>
  <c r="K7" i="59"/>
  <c r="D13" i="36"/>
  <c r="AJ13" i="36" s="1"/>
  <c r="D7" i="59"/>
  <c r="Y12" i="45"/>
  <c r="BE12" i="45" s="1"/>
  <c r="Y14" i="45"/>
  <c r="BE14" i="45" s="1"/>
  <c r="BE10" i="45"/>
  <c r="AC12" i="45"/>
  <c r="BI12" i="45" s="1"/>
  <c r="AC14" i="45"/>
  <c r="BI14" i="45" s="1"/>
  <c r="BI10" i="45"/>
  <c r="U12" i="45"/>
  <c r="BA12" i="45" s="1"/>
  <c r="U14" i="45"/>
  <c r="BA14" i="45" s="1"/>
  <c r="BA10" i="45"/>
  <c r="BJ10" i="45"/>
  <c r="AD12" i="45"/>
  <c r="BJ12" i="45" s="1"/>
  <c r="AD14" i="45"/>
  <c r="BJ14" i="45" s="1"/>
  <c r="E12" i="45"/>
  <c r="AK12" i="45" s="1"/>
  <c r="E14" i="45"/>
  <c r="AK14" i="45" s="1"/>
  <c r="AK10" i="45"/>
  <c r="AL10" i="45"/>
  <c r="F12" i="45"/>
  <c r="AL12" i="45" s="1"/>
  <c r="F14" i="45"/>
  <c r="AL14" i="45" s="1"/>
  <c r="V11" i="45"/>
  <c r="BB11" i="45" s="1"/>
  <c r="BB10" i="45"/>
  <c r="V12" i="45"/>
  <c r="BB12" i="45" s="1"/>
  <c r="V14" i="45"/>
  <c r="BB14" i="45" s="1"/>
  <c r="AM10" i="45"/>
  <c r="G12" i="45"/>
  <c r="AM12" i="45" s="1"/>
  <c r="G14" i="45"/>
  <c r="AM14" i="45" s="1"/>
  <c r="H11" i="45"/>
  <c r="AN11" i="45" s="1"/>
  <c r="H14" i="45"/>
  <c r="AN14" i="45" s="1"/>
  <c r="AN10" i="45"/>
  <c r="H12" i="45"/>
  <c r="AN12" i="45" s="1"/>
  <c r="AQ10" i="45"/>
  <c r="K12" i="45"/>
  <c r="AQ12" i="45" s="1"/>
  <c r="K14" i="45"/>
  <c r="AQ14" i="45" s="1"/>
  <c r="P14" i="45"/>
  <c r="AV14" i="45" s="1"/>
  <c r="AV10" i="45"/>
  <c r="P12" i="45"/>
  <c r="AV12" i="45" s="1"/>
  <c r="J11" i="45"/>
  <c r="AP11" i="45" s="1"/>
  <c r="AP10" i="45"/>
  <c r="J12" i="45"/>
  <c r="AP12" i="45" s="1"/>
  <c r="J14" i="45"/>
  <c r="AP14" i="45" s="1"/>
  <c r="Z11" i="45"/>
  <c r="BF11" i="45" s="1"/>
  <c r="BF10" i="45"/>
  <c r="Z12" i="45"/>
  <c r="BF12" i="45" s="1"/>
  <c r="Z14" i="45"/>
  <c r="BF14" i="45" s="1"/>
  <c r="O11" i="45"/>
  <c r="AU11" i="45" s="1"/>
  <c r="AU10" i="45"/>
  <c r="O12" i="45"/>
  <c r="AU12" i="45" s="1"/>
  <c r="O14" i="45"/>
  <c r="AU14" i="45" s="1"/>
  <c r="L11" i="45"/>
  <c r="AR11" i="45" s="1"/>
  <c r="L14" i="45"/>
  <c r="AR14" i="45" s="1"/>
  <c r="AR10" i="45"/>
  <c r="L12" i="45"/>
  <c r="AR12" i="45" s="1"/>
  <c r="M11" i="45"/>
  <c r="AS11" i="45" s="1"/>
  <c r="M12" i="45"/>
  <c r="AS12" i="45" s="1"/>
  <c r="M14" i="45"/>
  <c r="AS14" i="45" s="1"/>
  <c r="AS10" i="45"/>
  <c r="T14" i="45"/>
  <c r="AZ14" i="45" s="1"/>
  <c r="AZ10" i="45"/>
  <c r="T12" i="45"/>
  <c r="AZ12" i="45" s="1"/>
  <c r="N11" i="45"/>
  <c r="AT11" i="45" s="1"/>
  <c r="AT10" i="45"/>
  <c r="N12" i="45"/>
  <c r="AT12" i="45" s="1"/>
  <c r="N14" i="45"/>
  <c r="AT14" i="45" s="1"/>
  <c r="AH11" i="45"/>
  <c r="BN11" i="45" s="1"/>
  <c r="BN10" i="45"/>
  <c r="AH12" i="45"/>
  <c r="BN12" i="45" s="1"/>
  <c r="AH14" i="45"/>
  <c r="BN14" i="45" s="1"/>
  <c r="BC10" i="45"/>
  <c r="W12" i="45"/>
  <c r="BC12" i="45" s="1"/>
  <c r="W14" i="45"/>
  <c r="BC14" i="45" s="1"/>
  <c r="X11" i="45"/>
  <c r="BD11" i="45" s="1"/>
  <c r="X14" i="45"/>
  <c r="BD14" i="45" s="1"/>
  <c r="BD10" i="45"/>
  <c r="X12" i="45"/>
  <c r="BD12" i="45" s="1"/>
  <c r="I12" i="45"/>
  <c r="AO12" i="45" s="1"/>
  <c r="I14" i="45"/>
  <c r="AO14" i="45" s="1"/>
  <c r="AO10" i="45"/>
  <c r="AY10" i="45"/>
  <c r="S12" i="45"/>
  <c r="AY12" i="45" s="1"/>
  <c r="S14" i="45"/>
  <c r="AY14" i="45" s="1"/>
  <c r="Q12" i="45"/>
  <c r="AW12" i="45" s="1"/>
  <c r="Q14" i="45"/>
  <c r="AW14" i="45" s="1"/>
  <c r="AW10" i="45"/>
  <c r="AG12" i="45"/>
  <c r="BM12" i="45" s="1"/>
  <c r="AG14" i="45"/>
  <c r="BM14" i="45" s="1"/>
  <c r="BM10" i="45"/>
  <c r="AA11" i="45"/>
  <c r="BG11" i="45" s="1"/>
  <c r="BG10" i="45"/>
  <c r="AA12" i="45"/>
  <c r="BG12" i="45" s="1"/>
  <c r="AA14" i="45"/>
  <c r="BG14" i="45" s="1"/>
  <c r="AB14" i="45"/>
  <c r="BH14" i="45" s="1"/>
  <c r="BH10" i="45"/>
  <c r="AB12" i="45"/>
  <c r="BH12" i="45" s="1"/>
  <c r="AX10" i="45"/>
  <c r="R12" i="45"/>
  <c r="AX12" i="45" s="1"/>
  <c r="R14" i="45"/>
  <c r="AX14" i="45" s="1"/>
  <c r="AE11" i="45"/>
  <c r="BK11" i="45" s="1"/>
  <c r="BK10" i="45"/>
  <c r="AE12" i="45"/>
  <c r="BK12" i="45" s="1"/>
  <c r="AE14" i="45"/>
  <c r="BK14" i="45" s="1"/>
  <c r="AF11" i="45"/>
  <c r="BL11" i="45" s="1"/>
  <c r="AF14" i="45"/>
  <c r="BL14" i="45" s="1"/>
  <c r="BL10" i="45"/>
  <c r="AF12" i="45"/>
  <c r="BL12" i="45" s="1"/>
  <c r="U11" i="45"/>
  <c r="BA11" i="45" s="1"/>
  <c r="K11" i="45"/>
  <c r="AQ11" i="45" s="1"/>
  <c r="E11" i="45"/>
  <c r="AK11" i="45" s="1"/>
  <c r="T11" i="45"/>
  <c r="AZ11" i="45" s="1"/>
  <c r="G11" i="45"/>
  <c r="AM11" i="45" s="1"/>
  <c r="S11" i="45"/>
  <c r="AY11" i="45" s="1"/>
  <c r="W11" i="45"/>
  <c r="BC11" i="45" s="1"/>
  <c r="AD11" i="45"/>
  <c r="BJ11" i="45" s="1"/>
  <c r="I11" i="45"/>
  <c r="AO11" i="45" s="1"/>
  <c r="Q11" i="45"/>
  <c r="AW11" i="45" s="1"/>
  <c r="AC11" i="45"/>
  <c r="BI11" i="45" s="1"/>
  <c r="Y11" i="45"/>
  <c r="BE11" i="45" s="1"/>
  <c r="AG11" i="45"/>
  <c r="BM11" i="45" s="1"/>
  <c r="P11" i="45"/>
  <c r="AV11" i="45" s="1"/>
  <c r="AB11" i="45"/>
  <c r="BH11" i="45" s="1"/>
  <c r="F11" i="45"/>
  <c r="AL11" i="45" s="1"/>
  <c r="R11" i="45"/>
  <c r="AX11" i="45" s="1"/>
  <c r="G8" i="36"/>
  <c r="G12" i="36"/>
  <c r="AM11" i="36"/>
  <c r="J12" i="36"/>
  <c r="J7" i="59" s="1"/>
  <c r="J8" i="36"/>
  <c r="AP11" i="36"/>
  <c r="E8" i="36"/>
  <c r="AK11" i="36"/>
  <c r="E12" i="36"/>
  <c r="AO11" i="36"/>
  <c r="I8" i="36"/>
  <c r="I12" i="36"/>
  <c r="F12" i="36"/>
  <c r="F8" i="36"/>
  <c r="AL11" i="36"/>
  <c r="AJ8" i="36"/>
  <c r="AJ9" i="36" s="1"/>
  <c r="D16" i="36"/>
  <c r="D9" i="36"/>
  <c r="D17" i="36" s="1"/>
  <c r="AJ17" i="36" s="1"/>
  <c r="H8" i="36"/>
  <c r="H12" i="36"/>
  <c r="AN11" i="36"/>
  <c r="AJ12" i="36"/>
  <c r="AJ7" i="59" s="1"/>
  <c r="D14" i="36"/>
  <c r="AJ14" i="36" s="1"/>
  <c r="K13" i="36"/>
  <c r="AQ13" i="36" s="1"/>
  <c r="L12" i="36"/>
  <c r="AR11" i="36"/>
  <c r="L8" i="36"/>
  <c r="K16" i="36"/>
  <c r="K118" i="36" s="1"/>
  <c r="K124" i="36" s="1"/>
  <c r="M11" i="36"/>
  <c r="E64" i="40"/>
  <c r="F64" i="40"/>
  <c r="C64" i="40"/>
  <c r="M40" i="40"/>
  <c r="M37" i="40"/>
  <c r="L46" i="40"/>
  <c r="D64" i="40"/>
  <c r="N3" i="36"/>
  <c r="AQ7" i="59" l="1"/>
  <c r="AK72" i="55"/>
  <c r="CW72" i="55" s="1"/>
  <c r="F72" i="55"/>
  <c r="CT73" i="55"/>
  <c r="DZ73" i="55"/>
  <c r="AJ73" i="55"/>
  <c r="CV73" i="55" s="1"/>
  <c r="BP73" i="55"/>
  <c r="BQ73" i="55" s="1"/>
  <c r="BR73" i="55" s="1"/>
  <c r="BS73" i="55" s="1"/>
  <c r="BT73" i="55" s="1"/>
  <c r="BU73" i="55" s="1"/>
  <c r="BV73" i="55" s="1"/>
  <c r="BW73" i="55" s="1"/>
  <c r="BX73" i="55" s="1"/>
  <c r="BY73" i="55" s="1"/>
  <c r="BZ73" i="55" s="1"/>
  <c r="CA73" i="55" s="1"/>
  <c r="CB73" i="55" s="1"/>
  <c r="CC73" i="55" s="1"/>
  <c r="CD73" i="55" s="1"/>
  <c r="CE73" i="55" s="1"/>
  <c r="CF73" i="55" s="1"/>
  <c r="CG73" i="55" s="1"/>
  <c r="CH73" i="55" s="1"/>
  <c r="CI73" i="55" s="1"/>
  <c r="CJ73" i="55" s="1"/>
  <c r="CK73" i="55" s="1"/>
  <c r="CL73" i="55" s="1"/>
  <c r="CM73" i="55" s="1"/>
  <c r="CN73" i="55" s="1"/>
  <c r="CO73" i="55" s="1"/>
  <c r="CP73" i="55" s="1"/>
  <c r="CQ73" i="55" s="1"/>
  <c r="CR73" i="55" s="1"/>
  <c r="CS73" i="55" s="1"/>
  <c r="E73" i="55"/>
  <c r="D35" i="59"/>
  <c r="AO12" i="36"/>
  <c r="AO7" i="59" s="1"/>
  <c r="I7" i="59"/>
  <c r="J35" i="59"/>
  <c r="J78" i="59"/>
  <c r="J105" i="59"/>
  <c r="J61" i="59"/>
  <c r="AN12" i="36"/>
  <c r="AN7" i="59" s="1"/>
  <c r="H7" i="59"/>
  <c r="AR12" i="36"/>
  <c r="AR7" i="59" s="1"/>
  <c r="L7" i="59"/>
  <c r="AK12" i="36"/>
  <c r="AK7" i="59" s="1"/>
  <c r="E7" i="59"/>
  <c r="D78" i="59"/>
  <c r="D105" i="59"/>
  <c r="D61" i="59"/>
  <c r="AJ61" i="59"/>
  <c r="AJ35" i="59"/>
  <c r="AJ78" i="59"/>
  <c r="AJ105" i="59"/>
  <c r="K35" i="59"/>
  <c r="K78" i="59"/>
  <c r="K105" i="59"/>
  <c r="K61" i="59"/>
  <c r="AM12" i="36"/>
  <c r="AM7" i="59" s="1"/>
  <c r="G7" i="59"/>
  <c r="AL12" i="36"/>
  <c r="AL7" i="59" s="1"/>
  <c r="F7" i="59"/>
  <c r="AQ35" i="59"/>
  <c r="AQ78" i="59"/>
  <c r="AQ105" i="59"/>
  <c r="AQ61" i="59"/>
  <c r="H13" i="36"/>
  <c r="AN13" i="36" s="1"/>
  <c r="L13" i="36"/>
  <c r="AR13" i="36" s="1"/>
  <c r="AK8" i="36"/>
  <c r="E16" i="36"/>
  <c r="G13" i="36"/>
  <c r="AM13" i="36" s="1"/>
  <c r="H16" i="36"/>
  <c r="AN8" i="36"/>
  <c r="F13" i="36"/>
  <c r="AL13" i="36" s="1"/>
  <c r="I13" i="36"/>
  <c r="AO13" i="36" s="1"/>
  <c r="E13" i="36"/>
  <c r="AK13" i="36" s="1"/>
  <c r="J16" i="36"/>
  <c r="AP8" i="36"/>
  <c r="D118" i="36"/>
  <c r="D124" i="36" s="1"/>
  <c r="AJ16" i="36"/>
  <c r="D74" i="36"/>
  <c r="F16" i="36"/>
  <c r="AL8" i="36"/>
  <c r="AO8" i="36"/>
  <c r="I16" i="36"/>
  <c r="AP12" i="36"/>
  <c r="AP7" i="59" s="1"/>
  <c r="J13" i="36"/>
  <c r="AP13" i="36" s="1"/>
  <c r="AM8" i="36"/>
  <c r="G16" i="36"/>
  <c r="AQ16" i="36"/>
  <c r="K74" i="36"/>
  <c r="L16" i="36"/>
  <c r="L118" i="36" s="1"/>
  <c r="L124" i="36" s="1"/>
  <c r="AR8" i="36"/>
  <c r="M12" i="36"/>
  <c r="AS11" i="36"/>
  <c r="N11" i="36"/>
  <c r="M8" i="36"/>
  <c r="G64" i="40"/>
  <c r="O37" i="40"/>
  <c r="M46" i="40"/>
  <c r="O3" i="36"/>
  <c r="F4" i="36"/>
  <c r="M4" i="36"/>
  <c r="K4" i="36"/>
  <c r="G4" i="36"/>
  <c r="J4" i="36"/>
  <c r="H4" i="36"/>
  <c r="L4" i="36"/>
  <c r="E4" i="36"/>
  <c r="I4" i="36"/>
  <c r="AK73" i="55" l="1"/>
  <c r="CW73" i="55" s="1"/>
  <c r="F73" i="55"/>
  <c r="AQ4" i="36"/>
  <c r="J7" i="52"/>
  <c r="AS4" i="36"/>
  <c r="L7" i="52"/>
  <c r="AP4" i="36"/>
  <c r="I7" i="52"/>
  <c r="AL4" i="36"/>
  <c r="E7" i="52"/>
  <c r="AM4" i="36"/>
  <c r="F7" i="52"/>
  <c r="AO4" i="36"/>
  <c r="H7" i="52"/>
  <c r="AK4" i="36"/>
  <c r="D7" i="52"/>
  <c r="G72" i="55"/>
  <c r="AL72" i="55"/>
  <c r="CX72" i="55" s="1"/>
  <c r="AR4" i="36"/>
  <c r="K7" i="52"/>
  <c r="AN4" i="36"/>
  <c r="G7" i="52"/>
  <c r="AL78" i="59"/>
  <c r="AL35" i="59"/>
  <c r="AL105" i="59"/>
  <c r="AL61" i="59"/>
  <c r="G35" i="59"/>
  <c r="G105" i="59"/>
  <c r="G78" i="59"/>
  <c r="G61" i="59"/>
  <c r="AM78" i="59"/>
  <c r="AM35" i="59"/>
  <c r="AM105" i="59"/>
  <c r="AM61" i="59"/>
  <c r="E78" i="59"/>
  <c r="E105" i="59"/>
  <c r="E35" i="59"/>
  <c r="E61" i="59"/>
  <c r="AK105" i="59"/>
  <c r="AK35" i="59"/>
  <c r="AK78" i="59"/>
  <c r="AK61" i="59"/>
  <c r="L35" i="59"/>
  <c r="L78" i="59"/>
  <c r="L105" i="59"/>
  <c r="L61" i="59"/>
  <c r="AN35" i="59"/>
  <c r="AN78" i="59"/>
  <c r="AN105" i="59"/>
  <c r="AN61" i="59"/>
  <c r="AR78" i="59"/>
  <c r="AR105" i="59"/>
  <c r="AR35" i="59"/>
  <c r="AR61" i="59"/>
  <c r="I78" i="59"/>
  <c r="I105" i="59"/>
  <c r="I35" i="59"/>
  <c r="I61" i="59"/>
  <c r="F78" i="59"/>
  <c r="F105" i="59"/>
  <c r="F35" i="59"/>
  <c r="F61" i="59"/>
  <c r="AS12" i="36"/>
  <c r="AS7" i="59" s="1"/>
  <c r="M7" i="59"/>
  <c r="AP35" i="59"/>
  <c r="AP78" i="59"/>
  <c r="AP105" i="59"/>
  <c r="AP61" i="59"/>
  <c r="H105" i="59"/>
  <c r="H78" i="59"/>
  <c r="H35" i="59"/>
  <c r="H61" i="59"/>
  <c r="AO35" i="59"/>
  <c r="AO78" i="59"/>
  <c r="AO105" i="59"/>
  <c r="AO61" i="59"/>
  <c r="AJ118" i="36"/>
  <c r="AJ124" i="36" s="1"/>
  <c r="AJ74" i="36"/>
  <c r="H118" i="36"/>
  <c r="H124" i="36" s="1"/>
  <c r="AN16" i="36"/>
  <c r="H74" i="36"/>
  <c r="F118" i="36"/>
  <c r="F124" i="36" s="1"/>
  <c r="AL16" i="36"/>
  <c r="F74" i="36"/>
  <c r="E118" i="36"/>
  <c r="E124" i="36" s="1"/>
  <c r="AK16" i="36"/>
  <c r="E74" i="36"/>
  <c r="G118" i="36"/>
  <c r="G124" i="36" s="1"/>
  <c r="AM16" i="36"/>
  <c r="G74" i="36"/>
  <c r="I118" i="36"/>
  <c r="I124" i="36" s="1"/>
  <c r="AO16" i="36"/>
  <c r="I74" i="36"/>
  <c r="J118" i="36"/>
  <c r="J124" i="36" s="1"/>
  <c r="AP16" i="36"/>
  <c r="J74" i="36"/>
  <c r="AQ74" i="36"/>
  <c r="AQ118" i="36"/>
  <c r="AQ124" i="36" s="1"/>
  <c r="M13" i="36"/>
  <c r="AS13" i="36" s="1"/>
  <c r="AR16" i="36"/>
  <c r="L74" i="36"/>
  <c r="M16" i="36"/>
  <c r="M118" i="36" s="1"/>
  <c r="M124" i="36" s="1"/>
  <c r="AS8" i="36"/>
  <c r="N12" i="36"/>
  <c r="AT11" i="36"/>
  <c r="O40" i="40"/>
  <c r="N40" i="40" s="1"/>
  <c r="O43" i="40"/>
  <c r="N8" i="36"/>
  <c r="O11" i="36"/>
  <c r="P3" i="36"/>
  <c r="G73" i="55" l="1"/>
  <c r="AL73" i="55"/>
  <c r="CX73" i="55" s="1"/>
  <c r="AM72" i="55"/>
  <c r="CY72" i="55" s="1"/>
  <c r="H72" i="55"/>
  <c r="M35" i="59"/>
  <c r="M105" i="59"/>
  <c r="M78" i="59"/>
  <c r="M61" i="59"/>
  <c r="AS78" i="59"/>
  <c r="AS105" i="59"/>
  <c r="AS35" i="59"/>
  <c r="AS61" i="59"/>
  <c r="AT12" i="36"/>
  <c r="AT7" i="59" s="1"/>
  <c r="N7" i="59"/>
  <c r="AO74" i="36"/>
  <c r="AO118" i="36"/>
  <c r="AO124" i="36" s="1"/>
  <c r="AN118" i="36"/>
  <c r="AN124" i="36" s="1"/>
  <c r="AN74" i="36"/>
  <c r="AP118" i="36"/>
  <c r="AP124" i="36" s="1"/>
  <c r="AP74" i="36"/>
  <c r="AL74" i="36"/>
  <c r="AL118" i="36"/>
  <c r="AL124" i="36" s="1"/>
  <c r="AK74" i="36"/>
  <c r="AK118" i="36"/>
  <c r="AK124" i="36" s="1"/>
  <c r="AM74" i="36"/>
  <c r="AM118" i="36"/>
  <c r="AM124" i="36" s="1"/>
  <c r="AR74" i="36"/>
  <c r="AR118" i="36"/>
  <c r="AR124" i="36" s="1"/>
  <c r="AS16" i="36"/>
  <c r="M74" i="36"/>
  <c r="N13" i="36"/>
  <c r="AT13" i="36" s="1"/>
  <c r="N16" i="36"/>
  <c r="N118" i="36" s="1"/>
  <c r="N124" i="36" s="1"/>
  <c r="AT8" i="36"/>
  <c r="O12" i="36"/>
  <c r="AU11" i="36"/>
  <c r="O48" i="40"/>
  <c r="N43" i="40"/>
  <c r="O8" i="36"/>
  <c r="P11" i="36"/>
  <c r="N46" i="40"/>
  <c r="P45" i="40"/>
  <c r="P44" i="40"/>
  <c r="P42" i="40"/>
  <c r="P39" i="40"/>
  <c r="P41" i="40"/>
  <c r="P43" i="40"/>
  <c r="P38" i="40"/>
  <c r="P40" i="40"/>
  <c r="P37" i="40"/>
  <c r="Q3" i="36"/>
  <c r="I72" i="55" l="1"/>
  <c r="AN72" i="55"/>
  <c r="CZ72" i="55" s="1"/>
  <c r="AM73" i="55"/>
  <c r="CY73" i="55" s="1"/>
  <c r="H73" i="55"/>
  <c r="N78" i="59"/>
  <c r="N105" i="59"/>
  <c r="N35" i="59"/>
  <c r="N61" i="59"/>
  <c r="AT35" i="59"/>
  <c r="AT78" i="59"/>
  <c r="AT105" i="59"/>
  <c r="AT61" i="59"/>
  <c r="AU12" i="36"/>
  <c r="AU7" i="59" s="1"/>
  <c r="O7" i="59"/>
  <c r="AS74" i="36"/>
  <c r="AS118" i="36"/>
  <c r="AS124" i="36" s="1"/>
  <c r="AT16" i="36"/>
  <c r="N74" i="36"/>
  <c r="O13" i="36"/>
  <c r="AU13" i="36" s="1"/>
  <c r="P8" i="36"/>
  <c r="AV8" i="36" s="1"/>
  <c r="AV11" i="36"/>
  <c r="O16" i="36"/>
  <c r="O118" i="36" s="1"/>
  <c r="O124" i="36" s="1"/>
  <c r="AU8" i="36"/>
  <c r="P12" i="36"/>
  <c r="Q11" i="36"/>
  <c r="Q8" i="36" s="1"/>
  <c r="AW8" i="36" s="1"/>
  <c r="P46" i="40"/>
  <c r="R3" i="36"/>
  <c r="I73" i="55" l="1"/>
  <c r="AN73" i="55"/>
  <c r="CZ73" i="55" s="1"/>
  <c r="AO72" i="55"/>
  <c r="DA72" i="55" s="1"/>
  <c r="J72" i="55"/>
  <c r="AU78" i="59"/>
  <c r="AU105" i="59"/>
  <c r="AU35" i="59"/>
  <c r="AU61" i="59"/>
  <c r="AV12" i="36"/>
  <c r="AV7" i="59" s="1"/>
  <c r="P7" i="59"/>
  <c r="O105" i="59"/>
  <c r="O78" i="59"/>
  <c r="O35" i="59"/>
  <c r="O61" i="59"/>
  <c r="AT74" i="36"/>
  <c r="AT118" i="36"/>
  <c r="AT124" i="36" s="1"/>
  <c r="AU16" i="36"/>
  <c r="O74" i="36"/>
  <c r="Q12" i="36"/>
  <c r="AW11" i="36"/>
  <c r="P13" i="36"/>
  <c r="AV13" i="36" s="1"/>
  <c r="P16" i="36"/>
  <c r="P118" i="36" s="1"/>
  <c r="P124" i="36" s="1"/>
  <c r="R11" i="36"/>
  <c r="S3" i="36"/>
  <c r="K72" i="55" l="1"/>
  <c r="AP72" i="55"/>
  <c r="DB72" i="55" s="1"/>
  <c r="J73" i="55"/>
  <c r="AO73" i="55"/>
  <c r="DA73" i="55" s="1"/>
  <c r="AW12" i="36"/>
  <c r="AW7" i="59" s="1"/>
  <c r="Q7" i="59"/>
  <c r="AV78" i="59"/>
  <c r="AV105" i="59"/>
  <c r="AV35" i="59"/>
  <c r="AV61" i="59"/>
  <c r="P78" i="59"/>
  <c r="P35" i="59"/>
  <c r="P105" i="59"/>
  <c r="P61" i="59"/>
  <c r="AU74" i="36"/>
  <c r="AU118" i="36"/>
  <c r="AU124" i="36" s="1"/>
  <c r="AV16" i="36"/>
  <c r="P74" i="36"/>
  <c r="Q13" i="36"/>
  <c r="AW13" i="36" s="1"/>
  <c r="Q16" i="36"/>
  <c r="Q118" i="36" s="1"/>
  <c r="Q124" i="36" s="1"/>
  <c r="R12" i="36"/>
  <c r="AX11" i="36"/>
  <c r="R8" i="36"/>
  <c r="S11" i="36"/>
  <c r="T3" i="36"/>
  <c r="Q4" i="36"/>
  <c r="O4" i="36"/>
  <c r="R4" i="36"/>
  <c r="P4" i="36"/>
  <c r="AX4" i="36" l="1"/>
  <c r="Q7" i="52"/>
  <c r="AV4" i="36"/>
  <c r="O7" i="52"/>
  <c r="K73" i="55"/>
  <c r="AP73" i="55"/>
  <c r="DB73" i="55" s="1"/>
  <c r="AU4" i="36"/>
  <c r="N7" i="52"/>
  <c r="AW4" i="36"/>
  <c r="P7" i="52"/>
  <c r="L72" i="55"/>
  <c r="AQ72" i="55"/>
  <c r="DC72" i="55" s="1"/>
  <c r="AX12" i="36"/>
  <c r="AX7" i="59" s="1"/>
  <c r="R7" i="59"/>
  <c r="Q78" i="59"/>
  <c r="Q105" i="59"/>
  <c r="Q35" i="59"/>
  <c r="Q61" i="59"/>
  <c r="AW35" i="59"/>
  <c r="AW78" i="59"/>
  <c r="AW105" i="59"/>
  <c r="AW61" i="59"/>
  <c r="AV74" i="36"/>
  <c r="AV118" i="36"/>
  <c r="AV124" i="36" s="1"/>
  <c r="AW16" i="36"/>
  <c r="Q74" i="36"/>
  <c r="R13" i="36"/>
  <c r="AX13" i="36" s="1"/>
  <c r="S8" i="36"/>
  <c r="AY8" i="36" s="1"/>
  <c r="AY11" i="36"/>
  <c r="R16" i="36"/>
  <c r="R118" i="36" s="1"/>
  <c r="R124" i="36" s="1"/>
  <c r="AX8" i="36"/>
  <c r="S12" i="36"/>
  <c r="T11" i="36"/>
  <c r="U3" i="36"/>
  <c r="AQ73" i="55" l="1"/>
  <c r="DC73" i="55" s="1"/>
  <c r="L73" i="55"/>
  <c r="M72" i="55"/>
  <c r="AR72" i="55"/>
  <c r="DD72" i="55" s="1"/>
  <c r="AY12" i="36"/>
  <c r="AY7" i="59" s="1"/>
  <c r="S7" i="59"/>
  <c r="R78" i="59"/>
  <c r="R105" i="59"/>
  <c r="R35" i="59"/>
  <c r="R61" i="59"/>
  <c r="AX105" i="59"/>
  <c r="AX35" i="59"/>
  <c r="AX78" i="59"/>
  <c r="AX61" i="59"/>
  <c r="AW74" i="36"/>
  <c r="AW118" i="36"/>
  <c r="AW124" i="36" s="1"/>
  <c r="AX16" i="36"/>
  <c r="R74" i="36"/>
  <c r="S13" i="36"/>
  <c r="AY13" i="36" s="1"/>
  <c r="T12" i="36"/>
  <c r="AZ11" i="36"/>
  <c r="S16" i="36"/>
  <c r="S118" i="36" s="1"/>
  <c r="S124" i="36" s="1"/>
  <c r="T8" i="36"/>
  <c r="U11" i="36"/>
  <c r="V3" i="36"/>
  <c r="AS72" i="55" l="1"/>
  <c r="DE72" i="55" s="1"/>
  <c r="N72" i="55"/>
  <c r="AR73" i="55"/>
  <c r="DD73" i="55" s="1"/>
  <c r="M73" i="55"/>
  <c r="S35" i="59"/>
  <c r="S105" i="59"/>
  <c r="S78" i="59"/>
  <c r="S61" i="59"/>
  <c r="AZ12" i="36"/>
  <c r="AZ7" i="59" s="1"/>
  <c r="T7" i="59"/>
  <c r="AY35" i="59"/>
  <c r="AY78" i="59"/>
  <c r="AY105" i="59"/>
  <c r="AY61" i="59"/>
  <c r="AX74" i="36"/>
  <c r="AX118" i="36"/>
  <c r="AX124" i="36" s="1"/>
  <c r="AY16" i="36"/>
  <c r="S74" i="36"/>
  <c r="T13" i="36"/>
  <c r="AZ13" i="36" s="1"/>
  <c r="U12" i="36"/>
  <c r="BA11" i="36"/>
  <c r="T16" i="36"/>
  <c r="T118" i="36" s="1"/>
  <c r="T124" i="36" s="1"/>
  <c r="AZ8" i="36"/>
  <c r="U8" i="36"/>
  <c r="V11" i="36"/>
  <c r="W3" i="36"/>
  <c r="AS73" i="55" l="1"/>
  <c r="DE73" i="55" s="1"/>
  <c r="N73" i="55"/>
  <c r="O72" i="55"/>
  <c r="AT72" i="55"/>
  <c r="DF72" i="55" s="1"/>
  <c r="AZ105" i="59"/>
  <c r="AZ35" i="59"/>
  <c r="AZ78" i="59"/>
  <c r="AZ61" i="59"/>
  <c r="BA12" i="36"/>
  <c r="BA7" i="59" s="1"/>
  <c r="U7" i="59"/>
  <c r="T35" i="59"/>
  <c r="T105" i="59"/>
  <c r="T78" i="59"/>
  <c r="T61" i="59"/>
  <c r="AY74" i="36"/>
  <c r="AY118" i="36"/>
  <c r="AY124" i="36" s="1"/>
  <c r="AZ16" i="36"/>
  <c r="T74" i="36"/>
  <c r="U13" i="36"/>
  <c r="BA13" i="36" s="1"/>
  <c r="U16" i="36"/>
  <c r="U118" i="36" s="1"/>
  <c r="U124" i="36" s="1"/>
  <c r="BA8" i="36"/>
  <c r="V8" i="36"/>
  <c r="BB8" i="36" s="1"/>
  <c r="BB11" i="36"/>
  <c r="V12" i="36"/>
  <c r="W11" i="36"/>
  <c r="X3" i="36"/>
  <c r="P72" i="55" l="1"/>
  <c r="AU72" i="55"/>
  <c r="DG72" i="55" s="1"/>
  <c r="O73" i="55"/>
  <c r="AT73" i="55"/>
  <c r="DF73" i="55" s="1"/>
  <c r="BA78" i="59"/>
  <c r="BA35" i="59"/>
  <c r="BA105" i="59"/>
  <c r="BA61" i="59"/>
  <c r="BB12" i="36"/>
  <c r="BB7" i="59" s="1"/>
  <c r="V7" i="59"/>
  <c r="U105" i="59"/>
  <c r="U78" i="59"/>
  <c r="U35" i="59"/>
  <c r="U61" i="59"/>
  <c r="AZ74" i="36"/>
  <c r="AZ118" i="36"/>
  <c r="AZ124" i="36" s="1"/>
  <c r="BA16" i="36"/>
  <c r="U74" i="36"/>
  <c r="W8" i="36"/>
  <c r="BC8" i="36" s="1"/>
  <c r="BC11" i="36"/>
  <c r="V13" i="36"/>
  <c r="BB13" i="36" s="1"/>
  <c r="V16" i="36"/>
  <c r="V118" i="36" s="1"/>
  <c r="V124" i="36" s="1"/>
  <c r="W12" i="36"/>
  <c r="X11" i="36"/>
  <c r="U4" i="36"/>
  <c r="T4" i="36"/>
  <c r="Y3" i="36"/>
  <c r="V4" i="36"/>
  <c r="W4" i="36"/>
  <c r="BC4" i="36" l="1"/>
  <c r="V7" i="52"/>
  <c r="P73" i="55"/>
  <c r="AU73" i="55"/>
  <c r="DG73" i="55" s="1"/>
  <c r="AZ4" i="36"/>
  <c r="S7" i="52"/>
  <c r="BB4" i="36"/>
  <c r="U7" i="52"/>
  <c r="BA4" i="36"/>
  <c r="T7" i="52"/>
  <c r="Q72" i="55"/>
  <c r="AV72" i="55"/>
  <c r="DH72" i="55" s="1"/>
  <c r="BB78" i="59"/>
  <c r="BB35" i="59"/>
  <c r="BB105" i="59"/>
  <c r="BB61" i="59"/>
  <c r="BC12" i="36"/>
  <c r="BC7" i="59" s="1"/>
  <c r="W7" i="59"/>
  <c r="V105" i="59"/>
  <c r="V35" i="59"/>
  <c r="V78" i="59"/>
  <c r="V61" i="59"/>
  <c r="BA74" i="36"/>
  <c r="BA118" i="36"/>
  <c r="BA124" i="36" s="1"/>
  <c r="BB16" i="36"/>
  <c r="V74" i="36"/>
  <c r="W16" i="36"/>
  <c r="W118" i="36" s="1"/>
  <c r="W124" i="36" s="1"/>
  <c r="X12" i="36"/>
  <c r="BD11" i="36"/>
  <c r="W13" i="36"/>
  <c r="BC13" i="36" s="1"/>
  <c r="X8" i="36"/>
  <c r="Y11" i="36"/>
  <c r="Z3" i="36"/>
  <c r="Q73" i="55" l="1"/>
  <c r="AV73" i="55"/>
  <c r="DH73" i="55" s="1"/>
  <c r="R72" i="55"/>
  <c r="AW72" i="55"/>
  <c r="DI72" i="55" s="1"/>
  <c r="W78" i="59"/>
  <c r="W105" i="59"/>
  <c r="W35" i="59"/>
  <c r="W61" i="59"/>
  <c r="BC35" i="59"/>
  <c r="BC105" i="59"/>
  <c r="BC78" i="59"/>
  <c r="BC61" i="59"/>
  <c r="BD12" i="36"/>
  <c r="BD7" i="59" s="1"/>
  <c r="X7" i="59"/>
  <c r="BB74" i="36"/>
  <c r="BB118" i="36"/>
  <c r="BB124" i="36" s="1"/>
  <c r="X13" i="36"/>
  <c r="BD13" i="36" s="1"/>
  <c r="BC16" i="36"/>
  <c r="W74" i="36"/>
  <c r="Y12" i="36"/>
  <c r="BE11" i="36"/>
  <c r="X16" i="36"/>
  <c r="X118" i="36" s="1"/>
  <c r="X124" i="36" s="1"/>
  <c r="BD8" i="36"/>
  <c r="Y8" i="36"/>
  <c r="BE8" i="36" s="1"/>
  <c r="Z11" i="36"/>
  <c r="AA3" i="36"/>
  <c r="S72" i="55" l="1"/>
  <c r="AX72" i="55"/>
  <c r="DJ72" i="55" s="1"/>
  <c r="R73" i="55"/>
  <c r="AW73" i="55"/>
  <c r="DI73" i="55" s="1"/>
  <c r="BD105" i="59"/>
  <c r="BD78" i="59"/>
  <c r="BD35" i="59"/>
  <c r="BD61" i="59"/>
  <c r="BE12" i="36"/>
  <c r="BE7" i="59" s="1"/>
  <c r="Y7" i="59"/>
  <c r="X78" i="59"/>
  <c r="X105" i="59"/>
  <c r="X35" i="59"/>
  <c r="X61" i="59"/>
  <c r="BC74" i="36"/>
  <c r="BC118" i="36"/>
  <c r="BC124" i="36" s="1"/>
  <c r="Y13" i="36"/>
  <c r="BE13" i="36" s="1"/>
  <c r="BD16" i="36"/>
  <c r="X74" i="36"/>
  <c r="Y16" i="36"/>
  <c r="Y118" i="36" s="1"/>
  <c r="Y124" i="36" s="1"/>
  <c r="Z12" i="36"/>
  <c r="BF11" i="36"/>
  <c r="Z8" i="36"/>
  <c r="AA11" i="36"/>
  <c r="AB3" i="36"/>
  <c r="S73" i="55" l="1"/>
  <c r="AX73" i="55"/>
  <c r="DJ73" i="55" s="1"/>
  <c r="AY72" i="55"/>
  <c r="DK72" i="55" s="1"/>
  <c r="T72" i="55"/>
  <c r="BE78" i="59"/>
  <c r="BE105" i="59"/>
  <c r="BE35" i="59"/>
  <c r="BE61" i="59"/>
  <c r="Y35" i="59"/>
  <c r="Y105" i="59"/>
  <c r="Y78" i="59"/>
  <c r="Y61" i="59"/>
  <c r="BF12" i="36"/>
  <c r="BF7" i="59" s="1"/>
  <c r="Z7" i="59"/>
  <c r="BD74" i="36"/>
  <c r="BD118" i="36"/>
  <c r="BD124" i="36" s="1"/>
  <c r="BE16" i="36"/>
  <c r="Y74" i="36"/>
  <c r="Z13" i="36"/>
  <c r="BF13" i="36" s="1"/>
  <c r="AA12" i="36"/>
  <c r="BG11" i="36"/>
  <c r="Z16" i="36"/>
  <c r="Z118" i="36" s="1"/>
  <c r="Z124" i="36" s="1"/>
  <c r="BF8" i="36"/>
  <c r="AA8" i="36"/>
  <c r="BG8" i="36" s="1"/>
  <c r="AB11" i="36"/>
  <c r="AC3" i="36"/>
  <c r="U72" i="55" l="1"/>
  <c r="AZ72" i="55"/>
  <c r="DL72" i="55" s="1"/>
  <c r="T73" i="55"/>
  <c r="AY73" i="55"/>
  <c r="DK73" i="55" s="1"/>
  <c r="Z105" i="59"/>
  <c r="Z35" i="59"/>
  <c r="Z78" i="59"/>
  <c r="Z61" i="59"/>
  <c r="BG12" i="36"/>
  <c r="BG7" i="59" s="1"/>
  <c r="AA7" i="59"/>
  <c r="BF35" i="59"/>
  <c r="BF78" i="59"/>
  <c r="BF105" i="59"/>
  <c r="BF61" i="59"/>
  <c r="BE74" i="36"/>
  <c r="BE118" i="36"/>
  <c r="BE124" i="36" s="1"/>
  <c r="BF16" i="36"/>
  <c r="Z74" i="36"/>
  <c r="AA13" i="36"/>
  <c r="BG13" i="36" s="1"/>
  <c r="AA16" i="36"/>
  <c r="AA118" i="36" s="1"/>
  <c r="AA124" i="36" s="1"/>
  <c r="AB12" i="36"/>
  <c r="BH11" i="36"/>
  <c r="AB8" i="36"/>
  <c r="BH8" i="36" s="1"/>
  <c r="AC11" i="36"/>
  <c r="Y4" i="36"/>
  <c r="Z4" i="36"/>
  <c r="AD3" i="36"/>
  <c r="AA4" i="36"/>
  <c r="AB4" i="36"/>
  <c r="BH4" i="36" l="1"/>
  <c r="AA7" i="52"/>
  <c r="AZ73" i="55"/>
  <c r="DL73" i="55" s="1"/>
  <c r="U73" i="55"/>
  <c r="BF4" i="36"/>
  <c r="Y7" i="52"/>
  <c r="BG4" i="36"/>
  <c r="Z7" i="52"/>
  <c r="BE4" i="36"/>
  <c r="X7" i="52"/>
  <c r="V72" i="55"/>
  <c r="BA72" i="55"/>
  <c r="DM72" i="55" s="1"/>
  <c r="BG35" i="59"/>
  <c r="BG105" i="59"/>
  <c r="BG78" i="59"/>
  <c r="BG61" i="59"/>
  <c r="AA78" i="59"/>
  <c r="AA35" i="59"/>
  <c r="AA105" i="59"/>
  <c r="AA61" i="59"/>
  <c r="BH12" i="36"/>
  <c r="BH7" i="59" s="1"/>
  <c r="AB7" i="59"/>
  <c r="AB13" i="36"/>
  <c r="BH13" i="36" s="1"/>
  <c r="BF74" i="36"/>
  <c r="BF118" i="36"/>
  <c r="BF124" i="36" s="1"/>
  <c r="BG16" i="36"/>
  <c r="AA74" i="36"/>
  <c r="AC8" i="36"/>
  <c r="BI8" i="36" s="1"/>
  <c r="BI11" i="36"/>
  <c r="AB16" i="36"/>
  <c r="AB118" i="36" s="1"/>
  <c r="AB124" i="36" s="1"/>
  <c r="AC12" i="36"/>
  <c r="AD11" i="36"/>
  <c r="AE3" i="36"/>
  <c r="V73" i="55" l="1"/>
  <c r="BA73" i="55"/>
  <c r="DM73" i="55" s="1"/>
  <c r="W72" i="55"/>
  <c r="BB72" i="55"/>
  <c r="DN72" i="55" s="1"/>
  <c r="AB35" i="59"/>
  <c r="AB78" i="59"/>
  <c r="AB105" i="59"/>
  <c r="AB61" i="59"/>
  <c r="BH78" i="59"/>
  <c r="BH35" i="59"/>
  <c r="BH105" i="59"/>
  <c r="BH61" i="59"/>
  <c r="BI12" i="36"/>
  <c r="BI7" i="59" s="1"/>
  <c r="AC7" i="59"/>
  <c r="BG74" i="36"/>
  <c r="BG118" i="36"/>
  <c r="BG124" i="36" s="1"/>
  <c r="BH16" i="36"/>
  <c r="AB74" i="36"/>
  <c r="AD12" i="36"/>
  <c r="BJ11" i="36"/>
  <c r="AD8" i="36"/>
  <c r="BJ8" i="36" s="1"/>
  <c r="AC16" i="36"/>
  <c r="AC118" i="36" s="1"/>
  <c r="AC124" i="36" s="1"/>
  <c r="AC13" i="36"/>
  <c r="BI13" i="36" s="1"/>
  <c r="AE11" i="36"/>
  <c r="AF3" i="36"/>
  <c r="BC72" i="55" l="1"/>
  <c r="DO72" i="55" s="1"/>
  <c r="X72" i="55"/>
  <c r="W73" i="55"/>
  <c r="BB73" i="55"/>
  <c r="DN73" i="55" s="1"/>
  <c r="BI78" i="59"/>
  <c r="BI105" i="59"/>
  <c r="BI35" i="59"/>
  <c r="BI61" i="59"/>
  <c r="BJ12" i="36"/>
  <c r="BJ7" i="59" s="1"/>
  <c r="AD7" i="59"/>
  <c r="AC78" i="59"/>
  <c r="AC105" i="59"/>
  <c r="AC35" i="59"/>
  <c r="AC61" i="59"/>
  <c r="BH74" i="36"/>
  <c r="BH118" i="36"/>
  <c r="BH124" i="36" s="1"/>
  <c r="BI16" i="36"/>
  <c r="AC74" i="36"/>
  <c r="AD13" i="36"/>
  <c r="BJ13" i="36" s="1"/>
  <c r="AD16" i="36"/>
  <c r="AD118" i="36" s="1"/>
  <c r="AD124" i="36" s="1"/>
  <c r="AE8" i="36"/>
  <c r="BK8" i="36" s="1"/>
  <c r="BK11" i="36"/>
  <c r="AE12" i="36"/>
  <c r="AF11" i="36"/>
  <c r="AG3" i="36"/>
  <c r="BC73" i="55" l="1"/>
  <c r="DO73" i="55" s="1"/>
  <c r="X73" i="55"/>
  <c r="Y72" i="55"/>
  <c r="BD72" i="55"/>
  <c r="DP72" i="55" s="1"/>
  <c r="BK12" i="36"/>
  <c r="BK7" i="59" s="1"/>
  <c r="AE7" i="59"/>
  <c r="AD35" i="59"/>
  <c r="AD78" i="59"/>
  <c r="AD105" i="59"/>
  <c r="AD61" i="59"/>
  <c r="BJ35" i="59"/>
  <c r="BJ105" i="59"/>
  <c r="BJ78" i="59"/>
  <c r="BJ61" i="59"/>
  <c r="BI74" i="36"/>
  <c r="BI118" i="36"/>
  <c r="BI124" i="36" s="1"/>
  <c r="BJ16" i="36"/>
  <c r="AD74" i="36"/>
  <c r="AF12" i="36"/>
  <c r="BL11" i="36"/>
  <c r="AF8" i="36"/>
  <c r="AE16" i="36"/>
  <c r="AE118" i="36" s="1"/>
  <c r="AE124" i="36" s="1"/>
  <c r="AE13" i="36"/>
  <c r="BK13" i="36" s="1"/>
  <c r="AG11" i="36"/>
  <c r="AH3" i="36"/>
  <c r="Z72" i="55" l="1"/>
  <c r="BE72" i="55"/>
  <c r="DQ72" i="55" s="1"/>
  <c r="Y73" i="55"/>
  <c r="BD73" i="55"/>
  <c r="DP73" i="55" s="1"/>
  <c r="BL12" i="36"/>
  <c r="BL7" i="59" s="1"/>
  <c r="AF7" i="59"/>
  <c r="AE78" i="59"/>
  <c r="AE105" i="59"/>
  <c r="AE35" i="59"/>
  <c r="AE61" i="59"/>
  <c r="BK78" i="59"/>
  <c r="BK105" i="59"/>
  <c r="BK35" i="59"/>
  <c r="BK61" i="59"/>
  <c r="BJ74" i="36"/>
  <c r="BJ118" i="36"/>
  <c r="BJ124" i="36" s="1"/>
  <c r="BK16" i="36"/>
  <c r="AE74" i="36"/>
  <c r="AF13" i="36"/>
  <c r="BL13" i="36" s="1"/>
  <c r="AG8" i="36"/>
  <c r="BM8" i="36" s="1"/>
  <c r="BM11" i="36"/>
  <c r="AF16" i="36"/>
  <c r="AF118" i="36" s="1"/>
  <c r="AF124" i="36" s="1"/>
  <c r="BL8" i="36"/>
  <c r="AG12" i="36"/>
  <c r="AH11" i="36"/>
  <c r="Z5" i="36"/>
  <c r="R5" i="36"/>
  <c r="J5" i="36"/>
  <c r="U5" i="36"/>
  <c r="BS20" i="36"/>
  <c r="M5" i="36"/>
  <c r="AC5" i="36"/>
  <c r="E5" i="36"/>
  <c r="AD4" i="36"/>
  <c r="F5" i="36"/>
  <c r="I5" i="36"/>
  <c r="AF5" i="36"/>
  <c r="BL5" i="36" s="1"/>
  <c r="O5" i="36"/>
  <c r="AE5" i="36"/>
  <c r="BK5" i="36" s="1"/>
  <c r="L5" i="36"/>
  <c r="AB5" i="36"/>
  <c r="N5" i="36"/>
  <c r="Q5" i="36"/>
  <c r="S5" i="36"/>
  <c r="P5" i="36"/>
  <c r="T5" i="36"/>
  <c r="AF4" i="36"/>
  <c r="AE4" i="36"/>
  <c r="AG5" i="36"/>
  <c r="BM5" i="36" s="1"/>
  <c r="AG4" i="36"/>
  <c r="AA5" i="36"/>
  <c r="H5" i="36"/>
  <c r="X5" i="36"/>
  <c r="V5" i="36"/>
  <c r="Y5" i="36"/>
  <c r="G5" i="36"/>
  <c r="W5" i="36"/>
  <c r="AD5" i="36"/>
  <c r="BJ5" i="36" s="1"/>
  <c r="K5" i="36"/>
  <c r="BK4" i="36" l="1"/>
  <c r="AD7" i="52"/>
  <c r="BL4" i="36"/>
  <c r="AE7" i="52"/>
  <c r="BE73" i="55"/>
  <c r="DQ73" i="55" s="1"/>
  <c r="Z73" i="55"/>
  <c r="BM4" i="36"/>
  <c r="AF7" i="52"/>
  <c r="BJ4" i="36"/>
  <c r="AC7" i="52"/>
  <c r="BF72" i="55"/>
  <c r="DR72" i="55" s="1"/>
  <c r="AA72" i="55"/>
  <c r="BM12" i="36"/>
  <c r="BM7" i="59" s="1"/>
  <c r="AG7" i="59"/>
  <c r="AF105" i="59"/>
  <c r="AF35" i="59"/>
  <c r="AF78" i="59"/>
  <c r="AF61" i="59"/>
  <c r="BL78" i="59"/>
  <c r="BL35" i="59"/>
  <c r="BL105" i="59"/>
  <c r="BL61" i="59"/>
  <c r="BK74" i="36"/>
  <c r="BK118" i="36"/>
  <c r="BK124" i="36" s="1"/>
  <c r="BL16" i="36"/>
  <c r="AF74" i="36"/>
  <c r="AG13" i="36"/>
  <c r="BM13" i="36" s="1"/>
  <c r="Y6" i="36"/>
  <c r="BE5" i="36"/>
  <c r="AA6" i="36"/>
  <c r="BG5" i="36"/>
  <c r="Q6" i="36"/>
  <c r="AW5" i="36"/>
  <c r="F6" i="36"/>
  <c r="AL5" i="36"/>
  <c r="M6" i="36"/>
  <c r="AS5" i="36"/>
  <c r="R6" i="36"/>
  <c r="AX5" i="36"/>
  <c r="K6" i="36"/>
  <c r="AQ5" i="36"/>
  <c r="V6" i="36"/>
  <c r="BB5" i="36"/>
  <c r="T6" i="36"/>
  <c r="AZ5" i="36"/>
  <c r="N6" i="36"/>
  <c r="AT5" i="36"/>
  <c r="O6" i="36"/>
  <c r="AU5" i="36"/>
  <c r="Z6" i="36"/>
  <c r="BF5" i="36"/>
  <c r="W6" i="36"/>
  <c r="BC5" i="36"/>
  <c r="X6" i="36"/>
  <c r="BD5" i="36"/>
  <c r="P6" i="36"/>
  <c r="AV5" i="36"/>
  <c r="AB6" i="36"/>
  <c r="BH5" i="36"/>
  <c r="E6" i="36"/>
  <c r="AK5" i="36"/>
  <c r="U6" i="36"/>
  <c r="BA5" i="36"/>
  <c r="AG16" i="36"/>
  <c r="AG118" i="36" s="1"/>
  <c r="AG124" i="36" s="1"/>
  <c r="G6" i="36"/>
  <c r="AM5" i="36"/>
  <c r="H6" i="36"/>
  <c r="AN5" i="36"/>
  <c r="S6" i="36"/>
  <c r="AY5" i="36"/>
  <c r="L6" i="36"/>
  <c r="AR5" i="36"/>
  <c r="I6" i="36"/>
  <c r="AO5" i="36"/>
  <c r="AC6" i="36"/>
  <c r="BI5" i="36"/>
  <c r="J6" i="36"/>
  <c r="J7" i="36" s="1"/>
  <c r="AP5" i="36"/>
  <c r="AH12" i="36"/>
  <c r="AH7" i="59" s="1"/>
  <c r="BN11" i="36"/>
  <c r="AH8" i="36"/>
  <c r="AH9" i="36" s="1"/>
  <c r="AE6" i="36"/>
  <c r="AG6" i="36"/>
  <c r="AF6" i="36"/>
  <c r="BS18" i="36"/>
  <c r="AD6" i="36"/>
  <c r="AA73" i="55" l="1"/>
  <c r="BF73" i="55"/>
  <c r="DR73" i="55" s="1"/>
  <c r="BG72" i="55"/>
  <c r="DS72" i="55" s="1"/>
  <c r="AB72" i="55"/>
  <c r="AC7" i="36"/>
  <c r="G7" i="36"/>
  <c r="EF11" i="59"/>
  <c r="AH35" i="59"/>
  <c r="AH78" i="59"/>
  <c r="AH105" i="59"/>
  <c r="AH61" i="59"/>
  <c r="AG78" i="59"/>
  <c r="AG105" i="59"/>
  <c r="AG35" i="59"/>
  <c r="AG61" i="59"/>
  <c r="BM78" i="59"/>
  <c r="BM105" i="59"/>
  <c r="BM35" i="59"/>
  <c r="BM61" i="59"/>
  <c r="BL74" i="36"/>
  <c r="BL118" i="36"/>
  <c r="BL124" i="36" s="1"/>
  <c r="E7" i="36"/>
  <c r="E15" i="36" s="1"/>
  <c r="AK15" i="36" s="1"/>
  <c r="O7" i="36"/>
  <c r="K7" i="36"/>
  <c r="Q7" i="36"/>
  <c r="H7" i="36"/>
  <c r="AB7" i="36"/>
  <c r="X7" i="36"/>
  <c r="BD7" i="36" s="1"/>
  <c r="N7" i="36"/>
  <c r="R7" i="36"/>
  <c r="R15" i="36" s="1"/>
  <c r="AX15" i="36" s="1"/>
  <c r="P7" i="36"/>
  <c r="W7" i="36"/>
  <c r="T7" i="36"/>
  <c r="M7" i="36"/>
  <c r="Y7" i="36"/>
  <c r="L7" i="36"/>
  <c r="L9" i="36" s="1"/>
  <c r="I7" i="36"/>
  <c r="S7" i="36"/>
  <c r="BM16" i="36"/>
  <c r="AG74" i="36"/>
  <c r="AH17" i="36"/>
  <c r="AA7" i="36"/>
  <c r="V7" i="36"/>
  <c r="J9" i="36"/>
  <c r="G9" i="36"/>
  <c r="U7" i="36"/>
  <c r="F7" i="36"/>
  <c r="Z7" i="36"/>
  <c r="AC9" i="36"/>
  <c r="H9" i="36"/>
  <c r="AE14" i="36"/>
  <c r="BK14" i="36" s="1"/>
  <c r="BK6" i="36"/>
  <c r="AC15" i="36"/>
  <c r="BI15" i="36" s="1"/>
  <c r="BI7" i="36"/>
  <c r="AH14" i="36"/>
  <c r="BN12" i="36"/>
  <c r="BN7" i="59" s="1"/>
  <c r="EF20" i="59" s="1"/>
  <c r="AC14" i="36"/>
  <c r="BI14" i="36" s="1"/>
  <c r="BI6" i="36"/>
  <c r="L14" i="36"/>
  <c r="AR14" i="36" s="1"/>
  <c r="AR6" i="36"/>
  <c r="H14" i="36"/>
  <c r="AN14" i="36" s="1"/>
  <c r="AN6" i="36"/>
  <c r="AF14" i="36"/>
  <c r="BL14" i="36" s="1"/>
  <c r="BL6" i="36"/>
  <c r="U14" i="36"/>
  <c r="BA14" i="36" s="1"/>
  <c r="BA6" i="36"/>
  <c r="AB14" i="36"/>
  <c r="BH14" i="36" s="1"/>
  <c r="BH6" i="36"/>
  <c r="X14" i="36"/>
  <c r="BD14" i="36" s="1"/>
  <c r="BD6" i="36"/>
  <c r="Z14" i="36"/>
  <c r="BF14" i="36" s="1"/>
  <c r="BF6" i="36"/>
  <c r="N14" i="36"/>
  <c r="AT14" i="36" s="1"/>
  <c r="AT6" i="36"/>
  <c r="V14" i="36"/>
  <c r="BB14" i="36" s="1"/>
  <c r="BB6" i="36"/>
  <c r="R14" i="36"/>
  <c r="AX14" i="36" s="1"/>
  <c r="AX6" i="36"/>
  <c r="F14" i="36"/>
  <c r="AL14" i="36" s="1"/>
  <c r="AL6" i="36"/>
  <c r="AA14" i="36"/>
  <c r="BG14" i="36" s="1"/>
  <c r="BG6" i="36"/>
  <c r="AD14" i="36"/>
  <c r="BJ14" i="36" s="1"/>
  <c r="BJ6" i="36"/>
  <c r="H15" i="36"/>
  <c r="AN15" i="36" s="1"/>
  <c r="AG14" i="36"/>
  <c r="BM14" i="36" s="1"/>
  <c r="BM6" i="36"/>
  <c r="M15" i="36"/>
  <c r="AS15" i="36" s="1"/>
  <c r="AH16" i="36"/>
  <c r="AH118" i="36" s="1"/>
  <c r="AH124" i="36" s="1"/>
  <c r="BN8" i="36"/>
  <c r="BN9" i="36" s="1"/>
  <c r="J14" i="36"/>
  <c r="AP14" i="36" s="1"/>
  <c r="AP6" i="36"/>
  <c r="I14" i="36"/>
  <c r="AO14" i="36" s="1"/>
  <c r="AO6" i="36"/>
  <c r="S14" i="36"/>
  <c r="AY14" i="36" s="1"/>
  <c r="AY6" i="36"/>
  <c r="G14" i="36"/>
  <c r="AM14" i="36" s="1"/>
  <c r="AM6" i="36"/>
  <c r="J15" i="36"/>
  <c r="AP15" i="36" s="1"/>
  <c r="AP7" i="36"/>
  <c r="AY7" i="36"/>
  <c r="G15" i="36"/>
  <c r="AM15" i="36" s="1"/>
  <c r="AM7" i="36"/>
  <c r="E14" i="36"/>
  <c r="AK14" i="36" s="1"/>
  <c r="AK6" i="36"/>
  <c r="P14" i="36"/>
  <c r="AV14" i="36" s="1"/>
  <c r="AV6" i="36"/>
  <c r="W14" i="36"/>
  <c r="BC14" i="36" s="1"/>
  <c r="BC6" i="36"/>
  <c r="O14" i="36"/>
  <c r="AU14" i="36" s="1"/>
  <c r="AU6" i="36"/>
  <c r="T14" i="36"/>
  <c r="AZ14" i="36" s="1"/>
  <c r="AZ6" i="36"/>
  <c r="K14" i="36"/>
  <c r="AQ14" i="36" s="1"/>
  <c r="AQ6" i="36"/>
  <c r="M14" i="36"/>
  <c r="AS14" i="36" s="1"/>
  <c r="AS6" i="36"/>
  <c r="Q14" i="36"/>
  <c r="AW14" i="36" s="1"/>
  <c r="AW6" i="36"/>
  <c r="Y14" i="36"/>
  <c r="BE14" i="36" s="1"/>
  <c r="BE6" i="36"/>
  <c r="AF7" i="36"/>
  <c r="AD7" i="36"/>
  <c r="AG7" i="36"/>
  <c r="AE7" i="36"/>
  <c r="AH13" i="36"/>
  <c r="BN13" i="36" s="1"/>
  <c r="BH72" i="55" l="1"/>
  <c r="DT72" i="55" s="1"/>
  <c r="AC72" i="55"/>
  <c r="BG73" i="55"/>
  <c r="DS73" i="55" s="1"/>
  <c r="AB73" i="55"/>
  <c r="BN78" i="59"/>
  <c r="BN35" i="59"/>
  <c r="BN105" i="59"/>
  <c r="BN61" i="59"/>
  <c r="O9" i="36"/>
  <c r="BA7" i="36"/>
  <c r="T15" i="36"/>
  <c r="AZ15" i="36" s="1"/>
  <c r="AN7" i="36"/>
  <c r="AN9" i="36" s="1"/>
  <c r="R9" i="36"/>
  <c r="R17" i="36" s="1"/>
  <c r="AX17" i="36" s="1"/>
  <c r="BM74" i="36"/>
  <c r="BM118" i="36"/>
  <c r="BM124" i="36" s="1"/>
  <c r="W15" i="36"/>
  <c r="BC15" i="36" s="1"/>
  <c r="Q15" i="36"/>
  <c r="AW15" i="36" s="1"/>
  <c r="K9" i="36"/>
  <c r="K17" i="36" s="1"/>
  <c r="AQ17" i="36" s="1"/>
  <c r="I9" i="36"/>
  <c r="I17" i="36" s="1"/>
  <c r="AO17" i="36" s="1"/>
  <c r="AX7" i="36"/>
  <c r="AX9" i="36" s="1"/>
  <c r="AT7" i="36"/>
  <c r="AT9" i="36" s="1"/>
  <c r="AK7" i="36"/>
  <c r="P9" i="36"/>
  <c r="F15" i="36"/>
  <c r="AL15" i="36" s="1"/>
  <c r="AA15" i="36"/>
  <c r="BG15" i="36" s="1"/>
  <c r="L15" i="36"/>
  <c r="AR15" i="36" s="1"/>
  <c r="X9" i="36"/>
  <c r="S15" i="36"/>
  <c r="AY15" i="36" s="1"/>
  <c r="W9" i="36"/>
  <c r="W17" i="36" s="1"/>
  <c r="BC17" i="36" s="1"/>
  <c r="Y15" i="36"/>
  <c r="BE15" i="36" s="1"/>
  <c r="AB9" i="36"/>
  <c r="AB17" i="36" s="1"/>
  <c r="BH17" i="36" s="1"/>
  <c r="AU7" i="36"/>
  <c r="AU9" i="36" s="1"/>
  <c r="E9" i="36"/>
  <c r="E17" i="36" s="1"/>
  <c r="AK17" i="36" s="1"/>
  <c r="M9" i="36"/>
  <c r="AS7" i="36"/>
  <c r="O15" i="36"/>
  <c r="AU15" i="36" s="1"/>
  <c r="N9" i="36"/>
  <c r="N17" i="36" s="1"/>
  <c r="AT17" i="36" s="1"/>
  <c r="X15" i="36"/>
  <c r="BD15" i="36" s="1"/>
  <c r="T9" i="36"/>
  <c r="N15" i="36"/>
  <c r="AT15" i="36" s="1"/>
  <c r="AZ7" i="36"/>
  <c r="AQ7" i="36"/>
  <c r="K15" i="36"/>
  <c r="AQ15" i="36" s="1"/>
  <c r="Y9" i="36"/>
  <c r="AO7" i="36"/>
  <c r="S9" i="36"/>
  <c r="AV7" i="36"/>
  <c r="BH7" i="36"/>
  <c r="BH9" i="36" s="1"/>
  <c r="I15" i="36"/>
  <c r="AO15" i="36" s="1"/>
  <c r="P15" i="36"/>
  <c r="AV15" i="36" s="1"/>
  <c r="Q9" i="36"/>
  <c r="AB15" i="36"/>
  <c r="BH15" i="36" s="1"/>
  <c r="BE7" i="36"/>
  <c r="AW7" i="36"/>
  <c r="BN14" i="36"/>
  <c r="BC7" i="36"/>
  <c r="AR7" i="36"/>
  <c r="BN16" i="36"/>
  <c r="AH74" i="36"/>
  <c r="BI9" i="36"/>
  <c r="U15" i="36"/>
  <c r="BA15" i="36" s="1"/>
  <c r="BG7" i="36"/>
  <c r="V9" i="36"/>
  <c r="AG9" i="36"/>
  <c r="H17" i="36"/>
  <c r="AN17" i="36" s="1"/>
  <c r="AL7" i="36"/>
  <c r="U9" i="36"/>
  <c r="AA9" i="36"/>
  <c r="AF9" i="36"/>
  <c r="AC17" i="36"/>
  <c r="BI17" i="36" s="1"/>
  <c r="J17" i="36"/>
  <c r="AP17" i="36" s="1"/>
  <c r="AE9" i="36"/>
  <c r="Z9" i="36"/>
  <c r="G17" i="36"/>
  <c r="AM17" i="36" s="1"/>
  <c r="AD9" i="36"/>
  <c r="L17" i="36"/>
  <c r="AR17" i="36" s="1"/>
  <c r="BB7" i="36"/>
  <c r="V15" i="36"/>
  <c r="BB15" i="36" s="1"/>
  <c r="AK9" i="36"/>
  <c r="F9" i="36"/>
  <c r="BF7" i="36"/>
  <c r="Z15" i="36"/>
  <c r="BF15" i="36" s="1"/>
  <c r="AM9" i="36"/>
  <c r="AR9" i="36"/>
  <c r="AY9" i="36"/>
  <c r="AP9" i="36"/>
  <c r="BD9" i="36"/>
  <c r="BA9" i="36"/>
  <c r="AF15" i="36"/>
  <c r="BL15" i="36" s="1"/>
  <c r="BL7" i="36"/>
  <c r="AG15" i="36"/>
  <c r="BM15" i="36" s="1"/>
  <c r="BM7" i="36"/>
  <c r="AD15" i="36"/>
  <c r="BJ15" i="36" s="1"/>
  <c r="BJ7" i="36"/>
  <c r="AE15" i="36"/>
  <c r="BK15" i="36" s="1"/>
  <c r="BK7" i="36"/>
  <c r="BN17" i="36"/>
  <c r="AC73" i="55" l="1"/>
  <c r="BH73" i="55"/>
  <c r="DT73" i="55" s="1"/>
  <c r="AD72" i="55"/>
  <c r="BI72" i="55"/>
  <c r="DU72" i="55" s="1"/>
  <c r="O17" i="36"/>
  <c r="AU17" i="36" s="1"/>
  <c r="M17" i="36"/>
  <c r="AS17" i="36" s="1"/>
  <c r="P17" i="36"/>
  <c r="AV17" i="36" s="1"/>
  <c r="X17" i="36"/>
  <c r="BD17" i="36" s="1"/>
  <c r="T17" i="36"/>
  <c r="AZ17" i="36" s="1"/>
  <c r="AS9" i="36"/>
  <c r="AQ9" i="36"/>
  <c r="Q17" i="36"/>
  <c r="AW17" i="36" s="1"/>
  <c r="BC9" i="36"/>
  <c r="AZ9" i="36"/>
  <c r="BN74" i="36"/>
  <c r="BN118" i="36"/>
  <c r="BN124" i="36" s="1"/>
  <c r="AL9" i="36"/>
  <c r="BG9" i="36"/>
  <c r="AV9" i="36"/>
  <c r="AW9" i="36"/>
  <c r="S17" i="36"/>
  <c r="AY17" i="36" s="1"/>
  <c r="Y17" i="36"/>
  <c r="BE17" i="36" s="1"/>
  <c r="BE9" i="36"/>
  <c r="AO9" i="36"/>
  <c r="BF9" i="36"/>
  <c r="AA17" i="36"/>
  <c r="BG17" i="36" s="1"/>
  <c r="AF17" i="36"/>
  <c r="BL17" i="36" s="1"/>
  <c r="U17" i="36"/>
  <c r="BA17" i="36" s="1"/>
  <c r="BK9" i="36"/>
  <c r="BM9" i="36"/>
  <c r="F17" i="36"/>
  <c r="AL17" i="36" s="1"/>
  <c r="AD17" i="36"/>
  <c r="BJ17" i="36" s="1"/>
  <c r="Z17" i="36"/>
  <c r="BF17" i="36" s="1"/>
  <c r="AE17" i="36"/>
  <c r="BK17" i="36" s="1"/>
  <c r="V17" i="36"/>
  <c r="BB17" i="36" s="1"/>
  <c r="BJ9" i="36"/>
  <c r="BL9" i="36"/>
  <c r="BB9" i="36"/>
  <c r="AG17" i="36"/>
  <c r="BM17" i="36" s="1"/>
  <c r="BJ72" i="55" l="1"/>
  <c r="DV72" i="55" s="1"/>
  <c r="AE72" i="55"/>
  <c r="AD73" i="55"/>
  <c r="BI73" i="55"/>
  <c r="DU73" i="55" s="1"/>
  <c r="BR25" i="36"/>
  <c r="BJ73" i="55" l="1"/>
  <c r="DV73" i="55" s="1"/>
  <c r="AE73" i="55"/>
  <c r="AF72" i="55"/>
  <c r="BK72" i="55"/>
  <c r="DW72" i="55" s="1"/>
  <c r="BS33" i="36"/>
  <c r="BS35" i="36" s="1"/>
  <c r="BR29" i="36"/>
  <c r="AG72" i="55" l="1"/>
  <c r="BM72" i="55" s="1"/>
  <c r="DY72" i="55" s="1"/>
  <c r="BL72" i="55"/>
  <c r="DX72" i="55" s="1"/>
  <c r="BK73" i="55"/>
  <c r="DW73" i="55" s="1"/>
  <c r="AF73" i="55"/>
  <c r="BS29" i="36"/>
  <c r="BS19" i="36"/>
  <c r="BS21" i="36" s="1"/>
  <c r="BL73" i="55" l="1"/>
  <c r="DX73" i="55" s="1"/>
  <c r="AG73" i="55"/>
  <c r="BM73" i="55" s="1"/>
  <c r="DY73" i="55" s="1"/>
  <c r="BS25" i="36"/>
  <c r="AK188" i="29" l="1"/>
  <c r="AK186" i="29"/>
  <c r="AK187" i="29"/>
  <c r="AK185" i="29"/>
  <c r="D189" i="29"/>
  <c r="E189" i="29" s="1"/>
  <c r="D185" i="29"/>
  <c r="E185" i="29" s="1"/>
  <c r="D180" i="29"/>
  <c r="E180" i="29" s="1"/>
  <c r="F180" i="29" s="1"/>
  <c r="G180" i="29" s="1"/>
  <c r="H180" i="29" s="1"/>
  <c r="I180" i="29" s="1"/>
  <c r="J180" i="29" s="1"/>
  <c r="K180" i="29" s="1"/>
  <c r="L180" i="29" s="1"/>
  <c r="M180" i="29" s="1"/>
  <c r="N180" i="29" s="1"/>
  <c r="O180" i="29" s="1"/>
  <c r="P180" i="29" s="1"/>
  <c r="Q180" i="29" s="1"/>
  <c r="R180" i="29" s="1"/>
  <c r="S180" i="29" s="1"/>
  <c r="T180" i="29" s="1"/>
  <c r="U180" i="29" s="1"/>
  <c r="V180" i="29" s="1"/>
  <c r="W180" i="29" s="1"/>
  <c r="X180" i="29" s="1"/>
  <c r="Y180" i="29" s="1"/>
  <c r="Z180" i="29" s="1"/>
  <c r="AA180" i="29" s="1"/>
  <c r="AB180" i="29" s="1"/>
  <c r="AC180" i="29" s="1"/>
  <c r="AD180" i="29" s="1"/>
  <c r="AE180" i="29" s="1"/>
  <c r="AF180" i="29" s="1"/>
  <c r="AG180" i="29" s="1"/>
  <c r="D134" i="29"/>
  <c r="D133" i="29"/>
  <c r="D132" i="29"/>
  <c r="E132" i="29" s="1"/>
  <c r="D131" i="29"/>
  <c r="E131" i="29" s="1"/>
  <c r="F131" i="29" s="1"/>
  <c r="D130" i="29"/>
  <c r="D129" i="29"/>
  <c r="D128" i="29"/>
  <c r="E128" i="29" s="1"/>
  <c r="F128" i="29" s="1"/>
  <c r="G128" i="29" s="1"/>
  <c r="D127" i="29"/>
  <c r="E127" i="29" s="1"/>
  <c r="F127" i="29" s="1"/>
  <c r="G127" i="29" s="1"/>
  <c r="H127" i="29" s="1"/>
  <c r="I127" i="29" s="1"/>
  <c r="J127" i="29" s="1"/>
  <c r="K127" i="29" s="1"/>
  <c r="L127" i="29" s="1"/>
  <c r="M127" i="29" s="1"/>
  <c r="N127" i="29" s="1"/>
  <c r="O127" i="29" s="1"/>
  <c r="P127" i="29" s="1"/>
  <c r="Q127" i="29" s="1"/>
  <c r="R127" i="29" s="1"/>
  <c r="S127" i="29" s="1"/>
  <c r="T127" i="29" s="1"/>
  <c r="U127" i="29" s="1"/>
  <c r="V127" i="29" s="1"/>
  <c r="W127" i="29" s="1"/>
  <c r="X127" i="29" s="1"/>
  <c r="Y127" i="29" s="1"/>
  <c r="Z127" i="29" s="1"/>
  <c r="AA127" i="29" s="1"/>
  <c r="AB127" i="29" s="1"/>
  <c r="AC127" i="29" s="1"/>
  <c r="AD127" i="29" s="1"/>
  <c r="AE127" i="29" s="1"/>
  <c r="AF127" i="29" s="1"/>
  <c r="D126" i="29"/>
  <c r="E126" i="29" s="1"/>
  <c r="F126" i="29" s="1"/>
  <c r="G126" i="29" s="1"/>
  <c r="H126" i="29" s="1"/>
  <c r="I126" i="29" s="1"/>
  <c r="J126" i="29" s="1"/>
  <c r="K126" i="29" s="1"/>
  <c r="L126" i="29" s="1"/>
  <c r="M126" i="29" s="1"/>
  <c r="N126" i="29" s="1"/>
  <c r="O126" i="29" s="1"/>
  <c r="P126" i="29" s="1"/>
  <c r="Q126" i="29" s="1"/>
  <c r="R126" i="29" s="1"/>
  <c r="S126" i="29" s="1"/>
  <c r="T126" i="29" s="1"/>
  <c r="U126" i="29" s="1"/>
  <c r="V126" i="29" s="1"/>
  <c r="W126" i="29" s="1"/>
  <c r="X126" i="29" s="1"/>
  <c r="Y126" i="29" s="1"/>
  <c r="Z126" i="29" s="1"/>
  <c r="AA126" i="29" s="1"/>
  <c r="AB126" i="29" s="1"/>
  <c r="AC126" i="29" s="1"/>
  <c r="AD126" i="29" s="1"/>
  <c r="AE126" i="29" s="1"/>
  <c r="AF126" i="29" s="1"/>
  <c r="D125" i="29"/>
  <c r="D124" i="29"/>
  <c r="D123" i="29"/>
  <c r="E123" i="29" s="1"/>
  <c r="D122" i="29"/>
  <c r="E122" i="29" s="1"/>
  <c r="D121" i="29"/>
  <c r="E121" i="29" s="1"/>
  <c r="F121" i="29" s="1"/>
  <c r="G121" i="29" s="1"/>
  <c r="H121" i="29" s="1"/>
  <c r="I121" i="29" s="1"/>
  <c r="J121" i="29" s="1"/>
  <c r="K121" i="29" s="1"/>
  <c r="L121" i="29" s="1"/>
  <c r="M121" i="29" s="1"/>
  <c r="N121" i="29" s="1"/>
  <c r="O121" i="29" s="1"/>
  <c r="P121" i="29" s="1"/>
  <c r="Q121" i="29" s="1"/>
  <c r="R121" i="29" s="1"/>
  <c r="S121" i="29" s="1"/>
  <c r="T121" i="29" s="1"/>
  <c r="U121" i="29" s="1"/>
  <c r="V121" i="29" s="1"/>
  <c r="W121" i="29" s="1"/>
  <c r="X121" i="29" s="1"/>
  <c r="Y121" i="29" s="1"/>
  <c r="Z121" i="29" s="1"/>
  <c r="AA121" i="29" s="1"/>
  <c r="AB121" i="29" s="1"/>
  <c r="AC121" i="29" s="1"/>
  <c r="AD121" i="29" s="1"/>
  <c r="AE121" i="29" s="1"/>
  <c r="AF121" i="29" s="1"/>
  <c r="D120" i="29"/>
  <c r="E120" i="29" s="1"/>
  <c r="F120" i="29" s="1"/>
  <c r="G120" i="29" s="1"/>
  <c r="H120" i="29" s="1"/>
  <c r="I120" i="29" s="1"/>
  <c r="J120" i="29" s="1"/>
  <c r="K120" i="29" s="1"/>
  <c r="L120" i="29" s="1"/>
  <c r="M120" i="29" s="1"/>
  <c r="N120" i="29" s="1"/>
  <c r="O120" i="29" s="1"/>
  <c r="P120" i="29" s="1"/>
  <c r="Q120" i="29" s="1"/>
  <c r="R120" i="29" s="1"/>
  <c r="S120" i="29" s="1"/>
  <c r="T120" i="29" s="1"/>
  <c r="U120" i="29" s="1"/>
  <c r="V120" i="29" s="1"/>
  <c r="W120" i="29" s="1"/>
  <c r="X120" i="29" s="1"/>
  <c r="Y120" i="29" s="1"/>
  <c r="Z120" i="29" s="1"/>
  <c r="AA120" i="29" s="1"/>
  <c r="AB120" i="29" s="1"/>
  <c r="AC120" i="29" s="1"/>
  <c r="AD120" i="29" s="1"/>
  <c r="AE120" i="29" s="1"/>
  <c r="AF120" i="29" s="1"/>
  <c r="D119" i="29"/>
  <c r="E119" i="29" s="1"/>
  <c r="D118" i="29"/>
  <c r="E118" i="29" s="1"/>
  <c r="F118" i="29" s="1"/>
  <c r="G118" i="29" s="1"/>
  <c r="AG117" i="29"/>
  <c r="C117" i="29"/>
  <c r="D116" i="29"/>
  <c r="D117" i="29" s="1"/>
  <c r="D115" i="29"/>
  <c r="D113" i="29"/>
  <c r="D112" i="29"/>
  <c r="E112" i="29" s="1"/>
  <c r="D111" i="29"/>
  <c r="E111" i="29" s="1"/>
  <c r="F111" i="29" s="1"/>
  <c r="D110" i="29"/>
  <c r="D109" i="29"/>
  <c r="D108" i="29"/>
  <c r="E108" i="29" s="1"/>
  <c r="D107" i="29"/>
  <c r="E107" i="29" s="1"/>
  <c r="F107" i="29" s="1"/>
  <c r="G107" i="29" s="1"/>
  <c r="H107" i="29" s="1"/>
  <c r="I107" i="29" s="1"/>
  <c r="J107" i="29" s="1"/>
  <c r="K107" i="29" s="1"/>
  <c r="L107" i="29" s="1"/>
  <c r="M107" i="29" s="1"/>
  <c r="N107" i="29" s="1"/>
  <c r="O107" i="29" s="1"/>
  <c r="P107" i="29" s="1"/>
  <c r="Q107" i="29" s="1"/>
  <c r="R107" i="29" s="1"/>
  <c r="S107" i="29" s="1"/>
  <c r="T107" i="29" s="1"/>
  <c r="U107" i="29" s="1"/>
  <c r="V107" i="29" s="1"/>
  <c r="W107" i="29" s="1"/>
  <c r="X107" i="29" s="1"/>
  <c r="Y107" i="29" s="1"/>
  <c r="Z107" i="29" s="1"/>
  <c r="AA107" i="29" s="1"/>
  <c r="AB107" i="29" s="1"/>
  <c r="AC107" i="29" s="1"/>
  <c r="AD107" i="29" s="1"/>
  <c r="AE107" i="29" s="1"/>
  <c r="AF107" i="29" s="1"/>
  <c r="D199" i="28"/>
  <c r="E199" i="28" s="1"/>
  <c r="F199" i="28" s="1"/>
  <c r="F200" i="28" s="1"/>
  <c r="D194" i="28"/>
  <c r="E194" i="28" s="1"/>
  <c r="F194" i="28" s="1"/>
  <c r="G194" i="28" s="1"/>
  <c r="H194" i="28" s="1"/>
  <c r="I194" i="28" s="1"/>
  <c r="J194" i="28" s="1"/>
  <c r="K194" i="28" s="1"/>
  <c r="L194" i="28" s="1"/>
  <c r="M194" i="28" s="1"/>
  <c r="N194" i="28" s="1"/>
  <c r="O194" i="28" s="1"/>
  <c r="P194" i="28" s="1"/>
  <c r="Q194" i="28" s="1"/>
  <c r="R194" i="28" s="1"/>
  <c r="S194" i="28" s="1"/>
  <c r="T194" i="28" s="1"/>
  <c r="U194" i="28" s="1"/>
  <c r="V194" i="28" s="1"/>
  <c r="W194" i="28" s="1"/>
  <c r="X194" i="28" s="1"/>
  <c r="Y194" i="28" s="1"/>
  <c r="Z194" i="28" s="1"/>
  <c r="AA194" i="28" s="1"/>
  <c r="AB194" i="28" s="1"/>
  <c r="AC194" i="28" s="1"/>
  <c r="AD194" i="28" s="1"/>
  <c r="AE194" i="28" s="1"/>
  <c r="AF194" i="28" s="1"/>
  <c r="AG194" i="28" s="1"/>
  <c r="D148" i="28"/>
  <c r="E148" i="28" s="1"/>
  <c r="D147" i="28"/>
  <c r="D146" i="28"/>
  <c r="D145" i="28"/>
  <c r="D144" i="28"/>
  <c r="D143" i="28"/>
  <c r="D142" i="28"/>
  <c r="E142" i="28" s="1"/>
  <c r="F142" i="28" s="1"/>
  <c r="G142" i="28" s="1"/>
  <c r="H142" i="28" s="1"/>
  <c r="I142" i="28" s="1"/>
  <c r="J142" i="28" s="1"/>
  <c r="K142" i="28" s="1"/>
  <c r="L142" i="28" s="1"/>
  <c r="M142" i="28" s="1"/>
  <c r="N142" i="28" s="1"/>
  <c r="O142" i="28" s="1"/>
  <c r="P142" i="28" s="1"/>
  <c r="Q142" i="28" s="1"/>
  <c r="R142" i="28" s="1"/>
  <c r="S142" i="28" s="1"/>
  <c r="T142" i="28" s="1"/>
  <c r="U142" i="28" s="1"/>
  <c r="V142" i="28" s="1"/>
  <c r="W142" i="28" s="1"/>
  <c r="X142" i="28" s="1"/>
  <c r="Y142" i="28" s="1"/>
  <c r="Z142" i="28" s="1"/>
  <c r="AA142" i="28" s="1"/>
  <c r="AB142" i="28" s="1"/>
  <c r="AC142" i="28" s="1"/>
  <c r="AD142" i="28" s="1"/>
  <c r="AE142" i="28" s="1"/>
  <c r="AF142" i="28" s="1"/>
  <c r="D141" i="28"/>
  <c r="E141" i="28" s="1"/>
  <c r="F141" i="28" s="1"/>
  <c r="G141" i="28" s="1"/>
  <c r="H141" i="28" s="1"/>
  <c r="I141" i="28" s="1"/>
  <c r="J141" i="28" s="1"/>
  <c r="K141" i="28" s="1"/>
  <c r="L141" i="28" s="1"/>
  <c r="M141" i="28" s="1"/>
  <c r="N141" i="28" s="1"/>
  <c r="O141" i="28" s="1"/>
  <c r="P141" i="28" s="1"/>
  <c r="Q141" i="28" s="1"/>
  <c r="R141" i="28" s="1"/>
  <c r="S141" i="28" s="1"/>
  <c r="T141" i="28" s="1"/>
  <c r="U141" i="28" s="1"/>
  <c r="V141" i="28" s="1"/>
  <c r="W141" i="28" s="1"/>
  <c r="X141" i="28" s="1"/>
  <c r="Y141" i="28" s="1"/>
  <c r="Z141" i="28" s="1"/>
  <c r="AA141" i="28" s="1"/>
  <c r="AB141" i="28" s="1"/>
  <c r="AC141" i="28" s="1"/>
  <c r="AD141" i="28" s="1"/>
  <c r="AE141" i="28" s="1"/>
  <c r="AF141" i="28" s="1"/>
  <c r="D140" i="28"/>
  <c r="E140" i="28" s="1"/>
  <c r="F140" i="28" s="1"/>
  <c r="G140" i="28" s="1"/>
  <c r="H140" i="28" s="1"/>
  <c r="I140" i="28" s="1"/>
  <c r="J140" i="28" s="1"/>
  <c r="K140" i="28" s="1"/>
  <c r="L140" i="28" s="1"/>
  <c r="M140" i="28" s="1"/>
  <c r="N140" i="28" s="1"/>
  <c r="O140" i="28" s="1"/>
  <c r="P140" i="28" s="1"/>
  <c r="Q140" i="28" s="1"/>
  <c r="R140" i="28" s="1"/>
  <c r="S140" i="28" s="1"/>
  <c r="T140" i="28" s="1"/>
  <c r="U140" i="28" s="1"/>
  <c r="V140" i="28" s="1"/>
  <c r="W140" i="28" s="1"/>
  <c r="X140" i="28" s="1"/>
  <c r="Y140" i="28" s="1"/>
  <c r="Z140" i="28" s="1"/>
  <c r="AA140" i="28" s="1"/>
  <c r="AB140" i="28" s="1"/>
  <c r="AC140" i="28" s="1"/>
  <c r="AD140" i="28" s="1"/>
  <c r="AE140" i="28" s="1"/>
  <c r="AF140" i="28" s="1"/>
  <c r="D139" i="28"/>
  <c r="D138" i="28"/>
  <c r="E138" i="28" s="1"/>
  <c r="D137" i="28"/>
  <c r="E137" i="28" s="1"/>
  <c r="D136" i="28"/>
  <c r="E136" i="28" s="1"/>
  <c r="D135" i="28"/>
  <c r="E135" i="28" s="1"/>
  <c r="F135" i="28" s="1"/>
  <c r="G135" i="28" s="1"/>
  <c r="H135" i="28" s="1"/>
  <c r="I135" i="28" s="1"/>
  <c r="J135" i="28" s="1"/>
  <c r="K135" i="28" s="1"/>
  <c r="L135" i="28" s="1"/>
  <c r="M135" i="28" s="1"/>
  <c r="N135" i="28" s="1"/>
  <c r="O135" i="28" s="1"/>
  <c r="P135" i="28" s="1"/>
  <c r="Q135" i="28" s="1"/>
  <c r="R135" i="28" s="1"/>
  <c r="S135" i="28" s="1"/>
  <c r="T135" i="28" s="1"/>
  <c r="U135" i="28" s="1"/>
  <c r="V135" i="28" s="1"/>
  <c r="W135" i="28" s="1"/>
  <c r="X135" i="28" s="1"/>
  <c r="Y135" i="28" s="1"/>
  <c r="Z135" i="28" s="1"/>
  <c r="AA135" i="28" s="1"/>
  <c r="AB135" i="28" s="1"/>
  <c r="AC135" i="28" s="1"/>
  <c r="AD135" i="28" s="1"/>
  <c r="AE135" i="28" s="1"/>
  <c r="AF135" i="28" s="1"/>
  <c r="D134" i="28"/>
  <c r="E134" i="28" s="1"/>
  <c r="F134" i="28" s="1"/>
  <c r="G134" i="28" s="1"/>
  <c r="H134" i="28" s="1"/>
  <c r="I134" i="28" s="1"/>
  <c r="J134" i="28" s="1"/>
  <c r="K134" i="28" s="1"/>
  <c r="L134" i="28" s="1"/>
  <c r="M134" i="28" s="1"/>
  <c r="N134" i="28" s="1"/>
  <c r="O134" i="28" s="1"/>
  <c r="P134" i="28" s="1"/>
  <c r="Q134" i="28" s="1"/>
  <c r="R134" i="28" s="1"/>
  <c r="S134" i="28" s="1"/>
  <c r="T134" i="28" s="1"/>
  <c r="U134" i="28" s="1"/>
  <c r="V134" i="28" s="1"/>
  <c r="W134" i="28" s="1"/>
  <c r="X134" i="28" s="1"/>
  <c r="Y134" i="28" s="1"/>
  <c r="Z134" i="28" s="1"/>
  <c r="AA134" i="28" s="1"/>
  <c r="AB134" i="28" s="1"/>
  <c r="AC134" i="28" s="1"/>
  <c r="AD134" i="28" s="1"/>
  <c r="AE134" i="28" s="1"/>
  <c r="AF134" i="28" s="1"/>
  <c r="D133" i="28"/>
  <c r="E133" i="28" s="1"/>
  <c r="F133" i="28" s="1"/>
  <c r="D132" i="28"/>
  <c r="E132" i="28" s="1"/>
  <c r="AG131" i="28"/>
  <c r="C131" i="28"/>
  <c r="D130" i="28"/>
  <c r="D131" i="28" s="1"/>
  <c r="D129" i="28"/>
  <c r="E129" i="28" s="1"/>
  <c r="D127" i="28"/>
  <c r="D126" i="28"/>
  <c r="E126" i="28" s="1"/>
  <c r="D125" i="28"/>
  <c r="D124" i="28"/>
  <c r="D123" i="28"/>
  <c r="D122" i="28"/>
  <c r="D121" i="28"/>
  <c r="E121" i="28" s="1"/>
  <c r="F121" i="28" s="1"/>
  <c r="G121" i="28" s="1"/>
  <c r="H121" i="28" s="1"/>
  <c r="I121" i="28" s="1"/>
  <c r="J121" i="28" s="1"/>
  <c r="K121" i="28" s="1"/>
  <c r="L121" i="28" s="1"/>
  <c r="M121" i="28" s="1"/>
  <c r="N121" i="28" s="1"/>
  <c r="O121" i="28" s="1"/>
  <c r="P121" i="28" s="1"/>
  <c r="Q121" i="28" s="1"/>
  <c r="R121" i="28" s="1"/>
  <c r="S121" i="28" s="1"/>
  <c r="T121" i="28" s="1"/>
  <c r="U121" i="28" s="1"/>
  <c r="V121" i="28" s="1"/>
  <c r="W121" i="28" s="1"/>
  <c r="X121" i="28" s="1"/>
  <c r="Y121" i="28" s="1"/>
  <c r="Z121" i="28" s="1"/>
  <c r="AA121" i="28" s="1"/>
  <c r="AB121" i="28" s="1"/>
  <c r="AC121" i="28" s="1"/>
  <c r="AD121" i="28" s="1"/>
  <c r="AE121" i="28" s="1"/>
  <c r="AF121" i="28" s="1"/>
  <c r="A165" i="12"/>
  <c r="A164" i="12"/>
  <c r="D301" i="20"/>
  <c r="E301" i="20" s="1"/>
  <c r="F301" i="20" s="1"/>
  <c r="G301" i="20" s="1"/>
  <c r="H301" i="20" s="1"/>
  <c r="I301" i="20" s="1"/>
  <c r="J301" i="20" s="1"/>
  <c r="K301" i="20" s="1"/>
  <c r="L301" i="20" s="1"/>
  <c r="M301" i="20" s="1"/>
  <c r="N301" i="20" s="1"/>
  <c r="O301" i="20" s="1"/>
  <c r="P301" i="20" s="1"/>
  <c r="Q301" i="20" s="1"/>
  <c r="R301" i="20" s="1"/>
  <c r="S301" i="20" s="1"/>
  <c r="T301" i="20" s="1"/>
  <c r="U301" i="20" s="1"/>
  <c r="V301" i="20" s="1"/>
  <c r="W301" i="20" s="1"/>
  <c r="X301" i="20" s="1"/>
  <c r="Y301" i="20" s="1"/>
  <c r="Z301" i="20" s="1"/>
  <c r="AA301" i="20" s="1"/>
  <c r="AB301" i="20" s="1"/>
  <c r="AC301" i="20" s="1"/>
  <c r="AD301" i="20" s="1"/>
  <c r="AE301" i="20" s="1"/>
  <c r="AF301" i="20" s="1"/>
  <c r="AG301" i="20" s="1"/>
  <c r="AK265" i="19"/>
  <c r="AK266" i="19"/>
  <c r="AK267" i="19"/>
  <c r="AK264" i="19"/>
  <c r="D264" i="19"/>
  <c r="E264" i="19" s="1"/>
  <c r="D259" i="19"/>
  <c r="E259" i="19" s="1"/>
  <c r="F259" i="19" s="1"/>
  <c r="G259" i="19" s="1"/>
  <c r="H259" i="19" s="1"/>
  <c r="I259" i="19" s="1"/>
  <c r="J259" i="19" s="1"/>
  <c r="K259" i="19" s="1"/>
  <c r="L259" i="19" s="1"/>
  <c r="M259" i="19" s="1"/>
  <c r="N259" i="19" s="1"/>
  <c r="O259" i="19" s="1"/>
  <c r="P259" i="19" s="1"/>
  <c r="Q259" i="19" s="1"/>
  <c r="R259" i="19" s="1"/>
  <c r="S259" i="19" s="1"/>
  <c r="T259" i="19" s="1"/>
  <c r="U259" i="19" s="1"/>
  <c r="V259" i="19" s="1"/>
  <c r="W259" i="19" s="1"/>
  <c r="X259" i="19" s="1"/>
  <c r="Y259" i="19" s="1"/>
  <c r="Z259" i="19" s="1"/>
  <c r="AA259" i="19" s="1"/>
  <c r="AB259" i="19" s="1"/>
  <c r="AC259" i="19" s="1"/>
  <c r="AD259" i="19" s="1"/>
  <c r="AE259" i="19" s="1"/>
  <c r="AF259" i="19" s="1"/>
  <c r="AG259" i="19" s="1"/>
  <c r="D213" i="19"/>
  <c r="D212" i="19"/>
  <c r="D211" i="19"/>
  <c r="D210" i="19"/>
  <c r="D209" i="19"/>
  <c r="D208" i="19"/>
  <c r="D207" i="19"/>
  <c r="E207" i="19" s="1"/>
  <c r="F207" i="19" s="1"/>
  <c r="G207" i="19" s="1"/>
  <c r="D206" i="19"/>
  <c r="E206" i="19" s="1"/>
  <c r="F206" i="19" s="1"/>
  <c r="G206" i="19" s="1"/>
  <c r="H206" i="19" s="1"/>
  <c r="I206" i="19" s="1"/>
  <c r="J206" i="19" s="1"/>
  <c r="K206" i="19" s="1"/>
  <c r="L206" i="19" s="1"/>
  <c r="M206" i="19" s="1"/>
  <c r="N206" i="19" s="1"/>
  <c r="O206" i="19" s="1"/>
  <c r="P206" i="19" s="1"/>
  <c r="Q206" i="19" s="1"/>
  <c r="R206" i="19" s="1"/>
  <c r="S206" i="19" s="1"/>
  <c r="T206" i="19" s="1"/>
  <c r="U206" i="19" s="1"/>
  <c r="V206" i="19" s="1"/>
  <c r="W206" i="19" s="1"/>
  <c r="X206" i="19" s="1"/>
  <c r="Y206" i="19" s="1"/>
  <c r="Z206" i="19" s="1"/>
  <c r="AA206" i="19" s="1"/>
  <c r="AB206" i="19" s="1"/>
  <c r="AC206" i="19" s="1"/>
  <c r="AD206" i="19" s="1"/>
  <c r="AE206" i="19" s="1"/>
  <c r="AF206" i="19" s="1"/>
  <c r="D205" i="19"/>
  <c r="E205" i="19" s="1"/>
  <c r="F205" i="19" s="1"/>
  <c r="G205" i="19" s="1"/>
  <c r="H205" i="19" s="1"/>
  <c r="I205" i="19" s="1"/>
  <c r="J205" i="19" s="1"/>
  <c r="K205" i="19" s="1"/>
  <c r="L205" i="19" s="1"/>
  <c r="M205" i="19" s="1"/>
  <c r="N205" i="19" s="1"/>
  <c r="O205" i="19" s="1"/>
  <c r="P205" i="19" s="1"/>
  <c r="Q205" i="19" s="1"/>
  <c r="R205" i="19" s="1"/>
  <c r="S205" i="19" s="1"/>
  <c r="T205" i="19" s="1"/>
  <c r="U205" i="19" s="1"/>
  <c r="V205" i="19" s="1"/>
  <c r="W205" i="19" s="1"/>
  <c r="X205" i="19" s="1"/>
  <c r="Y205" i="19" s="1"/>
  <c r="Z205" i="19" s="1"/>
  <c r="AA205" i="19" s="1"/>
  <c r="AB205" i="19" s="1"/>
  <c r="AC205" i="19" s="1"/>
  <c r="AD205" i="19" s="1"/>
  <c r="AE205" i="19" s="1"/>
  <c r="AF205" i="19" s="1"/>
  <c r="D204" i="19"/>
  <c r="E204" i="19" s="1"/>
  <c r="D203" i="19"/>
  <c r="E203" i="19" s="1"/>
  <c r="F203" i="19" s="1"/>
  <c r="D202" i="19"/>
  <c r="D201" i="19"/>
  <c r="D200" i="19"/>
  <c r="E200" i="19" s="1"/>
  <c r="F200" i="19" s="1"/>
  <c r="G200" i="19" s="1"/>
  <c r="H200" i="19" s="1"/>
  <c r="I200" i="19" s="1"/>
  <c r="J200" i="19" s="1"/>
  <c r="K200" i="19" s="1"/>
  <c r="L200" i="19" s="1"/>
  <c r="M200" i="19" s="1"/>
  <c r="N200" i="19" s="1"/>
  <c r="O200" i="19" s="1"/>
  <c r="P200" i="19" s="1"/>
  <c r="Q200" i="19" s="1"/>
  <c r="R200" i="19" s="1"/>
  <c r="S200" i="19" s="1"/>
  <c r="T200" i="19" s="1"/>
  <c r="U200" i="19" s="1"/>
  <c r="V200" i="19" s="1"/>
  <c r="W200" i="19" s="1"/>
  <c r="X200" i="19" s="1"/>
  <c r="Y200" i="19" s="1"/>
  <c r="Z200" i="19" s="1"/>
  <c r="AA200" i="19" s="1"/>
  <c r="AB200" i="19" s="1"/>
  <c r="AC200" i="19" s="1"/>
  <c r="AD200" i="19" s="1"/>
  <c r="AE200" i="19" s="1"/>
  <c r="AF200" i="19" s="1"/>
  <c r="D199" i="19"/>
  <c r="E199" i="19" s="1"/>
  <c r="F199" i="19" s="1"/>
  <c r="G199" i="19" s="1"/>
  <c r="H199" i="19" s="1"/>
  <c r="I199" i="19" s="1"/>
  <c r="J199" i="19" s="1"/>
  <c r="K199" i="19" s="1"/>
  <c r="L199" i="19" s="1"/>
  <c r="M199" i="19" s="1"/>
  <c r="N199" i="19" s="1"/>
  <c r="O199" i="19" s="1"/>
  <c r="P199" i="19" s="1"/>
  <c r="Q199" i="19" s="1"/>
  <c r="R199" i="19" s="1"/>
  <c r="S199" i="19" s="1"/>
  <c r="T199" i="19" s="1"/>
  <c r="U199" i="19" s="1"/>
  <c r="V199" i="19" s="1"/>
  <c r="W199" i="19" s="1"/>
  <c r="X199" i="19" s="1"/>
  <c r="Y199" i="19" s="1"/>
  <c r="Z199" i="19" s="1"/>
  <c r="AA199" i="19" s="1"/>
  <c r="AB199" i="19" s="1"/>
  <c r="AC199" i="19" s="1"/>
  <c r="AD199" i="19" s="1"/>
  <c r="AE199" i="19" s="1"/>
  <c r="AF199" i="19" s="1"/>
  <c r="D198" i="19"/>
  <c r="D197" i="19"/>
  <c r="AG196" i="19"/>
  <c r="C196" i="19"/>
  <c r="D195" i="19"/>
  <c r="D194" i="19"/>
  <c r="E194" i="19" s="1"/>
  <c r="F194" i="19" s="1"/>
  <c r="G194" i="19" s="1"/>
  <c r="H194" i="19" s="1"/>
  <c r="I194" i="19" s="1"/>
  <c r="J194" i="19" s="1"/>
  <c r="K194" i="19" s="1"/>
  <c r="L194" i="19" s="1"/>
  <c r="M194" i="19" s="1"/>
  <c r="N194" i="19" s="1"/>
  <c r="O194" i="19" s="1"/>
  <c r="P194" i="19" s="1"/>
  <c r="Q194" i="19" s="1"/>
  <c r="R194" i="19" s="1"/>
  <c r="S194" i="19" s="1"/>
  <c r="T194" i="19" s="1"/>
  <c r="U194" i="19" s="1"/>
  <c r="V194" i="19" s="1"/>
  <c r="W194" i="19" s="1"/>
  <c r="X194" i="19" s="1"/>
  <c r="Y194" i="19" s="1"/>
  <c r="Z194" i="19" s="1"/>
  <c r="AA194" i="19" s="1"/>
  <c r="AB194" i="19" s="1"/>
  <c r="AC194" i="19" s="1"/>
  <c r="AD194" i="19" s="1"/>
  <c r="AE194" i="19" s="1"/>
  <c r="AF194" i="19" s="1"/>
  <c r="D192" i="19"/>
  <c r="D191" i="19"/>
  <c r="D190" i="19"/>
  <c r="E190" i="19" s="1"/>
  <c r="D189" i="19"/>
  <c r="D188" i="19"/>
  <c r="D187" i="19"/>
  <c r="D186" i="19"/>
  <c r="E186" i="19" s="1"/>
  <c r="F186" i="19" s="1"/>
  <c r="G186" i="19" s="1"/>
  <c r="H186" i="19" s="1"/>
  <c r="I186" i="19" s="1"/>
  <c r="J186" i="19" s="1"/>
  <c r="K186" i="19" s="1"/>
  <c r="L186" i="19" s="1"/>
  <c r="M186" i="19" s="1"/>
  <c r="N186" i="19" s="1"/>
  <c r="O186" i="19" s="1"/>
  <c r="P186" i="19" s="1"/>
  <c r="Q186" i="19" s="1"/>
  <c r="R186" i="19" s="1"/>
  <c r="S186" i="19" s="1"/>
  <c r="T186" i="19" s="1"/>
  <c r="U186" i="19" s="1"/>
  <c r="V186" i="19" s="1"/>
  <c r="W186" i="19" s="1"/>
  <c r="X186" i="19" s="1"/>
  <c r="Y186" i="19" s="1"/>
  <c r="Z186" i="19" s="1"/>
  <c r="AA186" i="19" s="1"/>
  <c r="AB186" i="19" s="1"/>
  <c r="AC186" i="19" s="1"/>
  <c r="AD186" i="19" s="1"/>
  <c r="AE186" i="19" s="1"/>
  <c r="AF186" i="19" s="1"/>
  <c r="AI54" i="34"/>
  <c r="AI55" i="34"/>
  <c r="AI56" i="34"/>
  <c r="AI57" i="34"/>
  <c r="AI49" i="34"/>
  <c r="AI50" i="34"/>
  <c r="AI51" i="34"/>
  <c r="E99" i="34"/>
  <c r="E100" i="34"/>
  <c r="E94" i="34"/>
  <c r="E95" i="34"/>
  <c r="E89" i="34"/>
  <c r="E90" i="34"/>
  <c r="E65" i="34"/>
  <c r="E67" i="34"/>
  <c r="E60" i="34"/>
  <c r="E62" i="34"/>
  <c r="E55" i="34"/>
  <c r="F55" i="34" s="1"/>
  <c r="G55" i="34" s="1"/>
  <c r="H55" i="34" s="1"/>
  <c r="I55" i="34" s="1"/>
  <c r="J55" i="34" s="1"/>
  <c r="K55" i="34" s="1"/>
  <c r="L55" i="34" s="1"/>
  <c r="M55" i="34" s="1"/>
  <c r="N55" i="34" s="1"/>
  <c r="O55" i="34" s="1"/>
  <c r="P55" i="34" s="1"/>
  <c r="Q55" i="34" s="1"/>
  <c r="R55" i="34" s="1"/>
  <c r="S55" i="34" s="1"/>
  <c r="T55" i="34" s="1"/>
  <c r="U55" i="34" s="1"/>
  <c r="V55" i="34" s="1"/>
  <c r="W55" i="34" s="1"/>
  <c r="X55" i="34" s="1"/>
  <c r="Y55" i="34" s="1"/>
  <c r="Z55" i="34" s="1"/>
  <c r="AA55" i="34" s="1"/>
  <c r="AB55" i="34" s="1"/>
  <c r="AC55" i="34" s="1"/>
  <c r="AD55" i="34" s="1"/>
  <c r="AE55" i="34" s="1"/>
  <c r="AF55" i="34" s="1"/>
  <c r="AG55" i="34" s="1"/>
  <c r="AH55" i="34" s="1"/>
  <c r="E57" i="34"/>
  <c r="E50" i="34"/>
  <c r="E52" i="34"/>
  <c r="AI53" i="34"/>
  <c r="AI48" i="34"/>
  <c r="E98" i="34"/>
  <c r="E93" i="34"/>
  <c r="E88" i="34"/>
  <c r="E45" i="34"/>
  <c r="E47" i="34"/>
  <c r="F42" i="34"/>
  <c r="G42" i="34" s="1"/>
  <c r="H42" i="34" s="1"/>
  <c r="I42" i="34" s="1"/>
  <c r="J42" i="34" s="1"/>
  <c r="K42" i="34" s="1"/>
  <c r="L42" i="34" s="1"/>
  <c r="M42" i="34" s="1"/>
  <c r="N42" i="34" s="1"/>
  <c r="O42" i="34" s="1"/>
  <c r="P42" i="34" s="1"/>
  <c r="Q42" i="34" s="1"/>
  <c r="R42" i="34" s="1"/>
  <c r="S42" i="34" s="1"/>
  <c r="T42" i="34" s="1"/>
  <c r="U42" i="34" s="1"/>
  <c r="V42" i="34" s="1"/>
  <c r="W42" i="34" s="1"/>
  <c r="X42" i="34" s="1"/>
  <c r="Y42" i="34" s="1"/>
  <c r="Z42" i="34" s="1"/>
  <c r="AA42" i="34" s="1"/>
  <c r="AB42" i="34" s="1"/>
  <c r="AC42" i="34" s="1"/>
  <c r="AD42" i="34" s="1"/>
  <c r="AE42" i="34" s="1"/>
  <c r="AF42" i="34" s="1"/>
  <c r="AG42" i="34" s="1"/>
  <c r="AH42" i="34" s="1"/>
  <c r="AI42" i="34" s="1"/>
  <c r="O8" i="34"/>
  <c r="AB19" i="34"/>
  <c r="AA15" i="34"/>
  <c r="Z15" i="34"/>
  <c r="Y15" i="34"/>
  <c r="X15" i="34"/>
  <c r="W15" i="34"/>
  <c r="V15" i="34"/>
  <c r="AA14" i="34"/>
  <c r="Z21" i="34" s="1"/>
  <c r="Z14" i="34"/>
  <c r="Y14" i="34"/>
  <c r="X14" i="34"/>
  <c r="W14" i="34"/>
  <c r="V14" i="34"/>
  <c r="AA13" i="34"/>
  <c r="Z13" i="34"/>
  <c r="Y13" i="34"/>
  <c r="X13" i="34"/>
  <c r="W13" i="34"/>
  <c r="V13" i="34"/>
  <c r="AA12" i="34"/>
  <c r="Z12" i="34"/>
  <c r="Y12" i="34"/>
  <c r="X12" i="34"/>
  <c r="W12" i="34"/>
  <c r="V12" i="34"/>
  <c r="T15" i="33"/>
  <c r="T14" i="33"/>
  <c r="T13" i="33"/>
  <c r="T12" i="33"/>
  <c r="S15" i="33"/>
  <c r="S14" i="33"/>
  <c r="S13" i="33"/>
  <c r="S12" i="33"/>
  <c r="R15" i="33"/>
  <c r="R14" i="33"/>
  <c r="R13" i="33"/>
  <c r="R12" i="33"/>
  <c r="Q15" i="33"/>
  <c r="Q14" i="33"/>
  <c r="Q13" i="33"/>
  <c r="Q12" i="33"/>
  <c r="P15" i="33"/>
  <c r="P14" i="33"/>
  <c r="P13" i="33"/>
  <c r="P12" i="33"/>
  <c r="O15" i="33"/>
  <c r="O14" i="33"/>
  <c r="O13" i="33"/>
  <c r="O12" i="33"/>
  <c r="K106" i="33"/>
  <c r="K103" i="33"/>
  <c r="K105" i="33"/>
  <c r="K104" i="33"/>
  <c r="D64" i="33"/>
  <c r="R61" i="33"/>
  <c r="R60" i="33"/>
  <c r="N62" i="33"/>
  <c r="P61" i="33"/>
  <c r="P60" i="33"/>
  <c r="S61" i="33"/>
  <c r="S60" i="33"/>
  <c r="C57" i="33"/>
  <c r="C64" i="33" s="1"/>
  <c r="J30" i="33"/>
  <c r="J21" i="33"/>
  <c r="J23" i="33"/>
  <c r="Z5" i="33"/>
  <c r="Z6" i="33"/>
  <c r="Z7" i="33"/>
  <c r="Z8" i="33"/>
  <c r="Z4" i="33"/>
  <c r="L25" i="33"/>
  <c r="J34" i="33" s="1"/>
  <c r="D49" i="24"/>
  <c r="E49" i="24"/>
  <c r="G49" i="24"/>
  <c r="B49" i="24"/>
  <c r="J32" i="33"/>
  <c r="J33" i="33"/>
  <c r="J31" i="33"/>
  <c r="C22" i="33"/>
  <c r="D22" i="33"/>
  <c r="E22" i="33"/>
  <c r="F22" i="33"/>
  <c r="F50" i="34" l="1"/>
  <c r="G50" i="34" s="1"/>
  <c r="H50" i="34" s="1"/>
  <c r="I50" i="34" s="1"/>
  <c r="J50" i="34" s="1"/>
  <c r="K50" i="34" s="1"/>
  <c r="L50" i="34" s="1"/>
  <c r="M50" i="34" s="1"/>
  <c r="N50" i="34" s="1"/>
  <c r="O50" i="34" s="1"/>
  <c r="P50" i="34" s="1"/>
  <c r="Q50" i="34" s="1"/>
  <c r="R50" i="34" s="1"/>
  <c r="S50" i="34" s="1"/>
  <c r="T50" i="34" s="1"/>
  <c r="U50" i="34" s="1"/>
  <c r="V50" i="34" s="1"/>
  <c r="W50" i="34" s="1"/>
  <c r="X50" i="34" s="1"/>
  <c r="Y50" i="34" s="1"/>
  <c r="Z50" i="34" s="1"/>
  <c r="AA50" i="34" s="1"/>
  <c r="AB50" i="34" s="1"/>
  <c r="AC50" i="34" s="1"/>
  <c r="AD50" i="34" s="1"/>
  <c r="AE50" i="34" s="1"/>
  <c r="AF50" i="34" s="1"/>
  <c r="AG50" i="34" s="1"/>
  <c r="AH50" i="34" s="1"/>
  <c r="F57" i="34"/>
  <c r="G57" i="34" s="1"/>
  <c r="D265" i="19"/>
  <c r="E116" i="29"/>
  <c r="E265" i="19"/>
  <c r="T266" i="19" s="1"/>
  <c r="C265" i="19"/>
  <c r="R266" i="19" s="1"/>
  <c r="C200" i="28"/>
  <c r="R201" i="28" s="1"/>
  <c r="E200" i="28"/>
  <c r="T201" i="28" s="1"/>
  <c r="E186" i="29"/>
  <c r="T187" i="29" s="1"/>
  <c r="C186" i="29"/>
  <c r="R187" i="29" s="1"/>
  <c r="D186" i="29"/>
  <c r="S187" i="29" s="1"/>
  <c r="D200" i="28"/>
  <c r="S201" i="28" s="1"/>
  <c r="F108" i="29"/>
  <c r="G111" i="29"/>
  <c r="F112" i="29"/>
  <c r="F122" i="29"/>
  <c r="E109" i="29"/>
  <c r="H118" i="29"/>
  <c r="G131" i="29"/>
  <c r="E113" i="29"/>
  <c r="F119" i="29"/>
  <c r="F123" i="29"/>
  <c r="E124" i="29"/>
  <c r="F132" i="29"/>
  <c r="E110" i="29"/>
  <c r="E115" i="29"/>
  <c r="E129" i="29"/>
  <c r="E125" i="29"/>
  <c r="H128" i="29"/>
  <c r="E133" i="29"/>
  <c r="E130" i="29"/>
  <c r="E134" i="29"/>
  <c r="F185" i="29"/>
  <c r="F186" i="29" s="1"/>
  <c r="F189" i="29"/>
  <c r="U201" i="28"/>
  <c r="E146" i="28"/>
  <c r="F146" i="28" s="1"/>
  <c r="F129" i="28"/>
  <c r="G129" i="28" s="1"/>
  <c r="E124" i="28"/>
  <c r="E130" i="28"/>
  <c r="E131" i="28" s="1"/>
  <c r="E144" i="28"/>
  <c r="G199" i="28"/>
  <c r="H199" i="28" s="1"/>
  <c r="H200" i="28" s="1"/>
  <c r="W201" i="28" s="1"/>
  <c r="E122" i="28"/>
  <c r="F138" i="28"/>
  <c r="E125" i="28"/>
  <c r="F126" i="28"/>
  <c r="F132" i="28"/>
  <c r="F137" i="28"/>
  <c r="F148" i="28"/>
  <c r="G133" i="28"/>
  <c r="F136" i="28"/>
  <c r="E139" i="28"/>
  <c r="E127" i="28"/>
  <c r="E145" i="28"/>
  <c r="E143" i="28"/>
  <c r="E147" i="28"/>
  <c r="E123" i="28"/>
  <c r="I199" i="28"/>
  <c r="I200" i="28" s="1"/>
  <c r="D203" i="28"/>
  <c r="E189" i="19"/>
  <c r="E188" i="19"/>
  <c r="E192" i="19"/>
  <c r="E212" i="19"/>
  <c r="F212" i="19" s="1"/>
  <c r="E208" i="19"/>
  <c r="F208" i="19" s="1"/>
  <c r="E211" i="19"/>
  <c r="S266" i="19"/>
  <c r="F190" i="19"/>
  <c r="E202" i="19"/>
  <c r="H207" i="19"/>
  <c r="I207" i="19" s="1"/>
  <c r="J207" i="19" s="1"/>
  <c r="K207" i="19" s="1"/>
  <c r="E213" i="19"/>
  <c r="E191" i="19"/>
  <c r="G203" i="19"/>
  <c r="E209" i="19"/>
  <c r="D196" i="19"/>
  <c r="E197" i="19"/>
  <c r="E198" i="19"/>
  <c r="F204" i="19"/>
  <c r="E187" i="19"/>
  <c r="E195" i="19"/>
  <c r="E201" i="19"/>
  <c r="E210" i="19"/>
  <c r="F264" i="19"/>
  <c r="F265" i="19" s="1"/>
  <c r="H57" i="34"/>
  <c r="I57" i="34" s="1"/>
  <c r="J57" i="34" s="1"/>
  <c r="K57" i="34" s="1"/>
  <c r="L57" i="34" s="1"/>
  <c r="M57" i="34" s="1"/>
  <c r="N57" i="34" s="1"/>
  <c r="O57" i="34" s="1"/>
  <c r="P57" i="34" s="1"/>
  <c r="Q57" i="34" s="1"/>
  <c r="R57" i="34" s="1"/>
  <c r="S57" i="34" s="1"/>
  <c r="T57" i="34" s="1"/>
  <c r="U57" i="34" s="1"/>
  <c r="V57" i="34" s="1"/>
  <c r="W57" i="34" s="1"/>
  <c r="X57" i="34" s="1"/>
  <c r="Y57" i="34" s="1"/>
  <c r="Z57" i="34" s="1"/>
  <c r="AA57" i="34" s="1"/>
  <c r="AB57" i="34" s="1"/>
  <c r="AC57" i="34" s="1"/>
  <c r="AD57" i="34" s="1"/>
  <c r="AE57" i="34" s="1"/>
  <c r="AF57" i="34" s="1"/>
  <c r="AG57" i="34" s="1"/>
  <c r="AH57" i="34" s="1"/>
  <c r="X19" i="34"/>
  <c r="X25" i="34" s="1"/>
  <c r="Y20" i="34"/>
  <c r="X22" i="34"/>
  <c r="Z19" i="34"/>
  <c r="Z25" i="34" s="1"/>
  <c r="W19" i="34"/>
  <c r="W25" i="34" s="1"/>
  <c r="V22" i="34"/>
  <c r="V20" i="34"/>
  <c r="Z20" i="34"/>
  <c r="Z22" i="34"/>
  <c r="Y19" i="34"/>
  <c r="Y25" i="34" s="1"/>
  <c r="W20" i="34"/>
  <c r="W22" i="34"/>
  <c r="Y22" i="34"/>
  <c r="V19" i="34"/>
  <c r="V25" i="34" s="1"/>
  <c r="X20" i="34"/>
  <c r="T61" i="33"/>
  <c r="T60" i="33"/>
  <c r="R62" i="33"/>
  <c r="U61" i="33" s="1"/>
  <c r="Z9" i="33"/>
  <c r="AA6" i="33" s="1"/>
  <c r="P62" i="33"/>
  <c r="S62" i="33"/>
  <c r="M201" i="28" l="1"/>
  <c r="F130" i="28"/>
  <c r="G200" i="28"/>
  <c r="V201" i="28" s="1"/>
  <c r="U60" i="33"/>
  <c r="E117" i="29"/>
  <c r="F116" i="29"/>
  <c r="M266" i="19"/>
  <c r="M187" i="29"/>
  <c r="F113" i="29"/>
  <c r="F109" i="29"/>
  <c r="G189" i="29"/>
  <c r="F134" i="29"/>
  <c r="I128" i="29"/>
  <c r="F110" i="29"/>
  <c r="F124" i="29"/>
  <c r="I118" i="29"/>
  <c r="H111" i="29"/>
  <c r="U187" i="29"/>
  <c r="G185" i="29"/>
  <c r="G186" i="29" s="1"/>
  <c r="G123" i="29"/>
  <c r="F133" i="29"/>
  <c r="F125" i="29"/>
  <c r="F129" i="29"/>
  <c r="G132" i="29"/>
  <c r="H131" i="29"/>
  <c r="F130" i="29"/>
  <c r="F115" i="29"/>
  <c r="G119" i="29"/>
  <c r="G122" i="29"/>
  <c r="G112" i="29"/>
  <c r="G108" i="29"/>
  <c r="F144" i="28"/>
  <c r="F124" i="28"/>
  <c r="F127" i="28"/>
  <c r="H129" i="28"/>
  <c r="G136" i="28"/>
  <c r="F143" i="28"/>
  <c r="F145" i="28"/>
  <c r="G146" i="28"/>
  <c r="J199" i="28"/>
  <c r="J200" i="28" s="1"/>
  <c r="X201" i="28"/>
  <c r="F131" i="28"/>
  <c r="G130" i="28"/>
  <c r="H133" i="28"/>
  <c r="G132" i="28"/>
  <c r="F122" i="28"/>
  <c r="F139" i="28"/>
  <c r="G148" i="28"/>
  <c r="F125" i="28"/>
  <c r="E203" i="28"/>
  <c r="F123" i="28"/>
  <c r="F147" i="28"/>
  <c r="G137" i="28"/>
  <c r="G126" i="28"/>
  <c r="G138" i="28"/>
  <c r="F211" i="19"/>
  <c r="F192" i="19"/>
  <c r="F188" i="19"/>
  <c r="F189" i="19"/>
  <c r="F187" i="19"/>
  <c r="G212" i="19"/>
  <c r="F202" i="19"/>
  <c r="F198" i="19"/>
  <c r="F197" i="19"/>
  <c r="F209" i="19"/>
  <c r="F213" i="19"/>
  <c r="U266" i="19"/>
  <c r="G264" i="19"/>
  <c r="G265" i="19" s="1"/>
  <c r="F201" i="19"/>
  <c r="G204" i="19"/>
  <c r="F191" i="19"/>
  <c r="G190" i="19"/>
  <c r="L207" i="19"/>
  <c r="F210" i="19"/>
  <c r="E196" i="19"/>
  <c r="F195" i="19"/>
  <c r="H203" i="19"/>
  <c r="G208" i="19"/>
  <c r="AA5" i="33"/>
  <c r="AA8" i="33"/>
  <c r="U62" i="33"/>
  <c r="AA7" i="33"/>
  <c r="T62" i="33"/>
  <c r="V62" i="33" s="1"/>
  <c r="AA4" i="33"/>
  <c r="F117" i="29" l="1"/>
  <c r="G116" i="29"/>
  <c r="H108" i="29"/>
  <c r="H122" i="29"/>
  <c r="G130" i="29"/>
  <c r="V187" i="29"/>
  <c r="H185" i="29"/>
  <c r="H186" i="29" s="1"/>
  <c r="J118" i="29"/>
  <c r="G110" i="29"/>
  <c r="G115" i="29"/>
  <c r="I131" i="29"/>
  <c r="G129" i="29"/>
  <c r="G133" i="29"/>
  <c r="G134" i="29"/>
  <c r="G109" i="29"/>
  <c r="H123" i="29"/>
  <c r="G124" i="29"/>
  <c r="J128" i="29"/>
  <c r="H189" i="29"/>
  <c r="G113" i="29"/>
  <c r="H112" i="29"/>
  <c r="H119" i="29"/>
  <c r="H132" i="29"/>
  <c r="G125" i="29"/>
  <c r="I111" i="29"/>
  <c r="G144" i="28"/>
  <c r="H144" i="28" s="1"/>
  <c r="G124" i="28"/>
  <c r="F203" i="28"/>
  <c r="H132" i="28"/>
  <c r="H146" i="28"/>
  <c r="I129" i="28"/>
  <c r="H126" i="28"/>
  <c r="G123" i="28"/>
  <c r="G125" i="28"/>
  <c r="G139" i="28"/>
  <c r="H130" i="28"/>
  <c r="G131" i="28"/>
  <c r="G145" i="28"/>
  <c r="H138" i="28"/>
  <c r="H137" i="28"/>
  <c r="G122" i="28"/>
  <c r="I133" i="28"/>
  <c r="Y201" i="28"/>
  <c r="K199" i="28"/>
  <c r="K200" i="28" s="1"/>
  <c r="G147" i="28"/>
  <c r="H148" i="28"/>
  <c r="G143" i="28"/>
  <c r="H136" i="28"/>
  <c r="G127" i="28"/>
  <c r="G192" i="19"/>
  <c r="G211" i="19"/>
  <c r="G189" i="19"/>
  <c r="G188" i="19"/>
  <c r="I203" i="19"/>
  <c r="V266" i="19"/>
  <c r="H264" i="19"/>
  <c r="H265" i="19" s="1"/>
  <c r="H208" i="19"/>
  <c r="G195" i="19"/>
  <c r="F196" i="19"/>
  <c r="H190" i="19"/>
  <c r="H204" i="19"/>
  <c r="G202" i="19"/>
  <c r="G187" i="19"/>
  <c r="M207" i="19"/>
  <c r="G191" i="19"/>
  <c r="G198" i="19"/>
  <c r="G213" i="19"/>
  <c r="G197" i="19"/>
  <c r="G210" i="19"/>
  <c r="G201" i="19"/>
  <c r="G209" i="19"/>
  <c r="H212" i="19"/>
  <c r="AA9" i="33"/>
  <c r="G117" i="29" l="1"/>
  <c r="H116" i="29"/>
  <c r="H125" i="29"/>
  <c r="I119" i="29"/>
  <c r="H124" i="29"/>
  <c r="H134" i="29"/>
  <c r="H129" i="29"/>
  <c r="H113" i="29"/>
  <c r="I123" i="29"/>
  <c r="H110" i="29"/>
  <c r="W187" i="29"/>
  <c r="I185" i="29"/>
  <c r="I186" i="29" s="1"/>
  <c r="I122" i="29"/>
  <c r="I112" i="29"/>
  <c r="H133" i="29"/>
  <c r="J111" i="29"/>
  <c r="I132" i="29"/>
  <c r="K128" i="29"/>
  <c r="H109" i="29"/>
  <c r="J131" i="29"/>
  <c r="H115" i="29"/>
  <c r="I189" i="29"/>
  <c r="K118" i="29"/>
  <c r="H130" i="29"/>
  <c r="I108" i="29"/>
  <c r="H124" i="28"/>
  <c r="I148" i="28"/>
  <c r="J129" i="28"/>
  <c r="I136" i="28"/>
  <c r="H147" i="28"/>
  <c r="J133" i="28"/>
  <c r="H131" i="28"/>
  <c r="I130" i="28"/>
  <c r="H125" i="28"/>
  <c r="I137" i="28"/>
  <c r="I138" i="28"/>
  <c r="H145" i="28"/>
  <c r="I146" i="28"/>
  <c r="G203" i="28"/>
  <c r="H127" i="28"/>
  <c r="H143" i="28"/>
  <c r="Z201" i="28"/>
  <c r="L199" i="28"/>
  <c r="L200" i="28" s="1"/>
  <c r="H122" i="28"/>
  <c r="H139" i="28"/>
  <c r="H123" i="28"/>
  <c r="I126" i="28"/>
  <c r="I144" i="28"/>
  <c r="I132" i="28"/>
  <c r="H211" i="19"/>
  <c r="H188" i="19"/>
  <c r="H192" i="19"/>
  <c r="H189" i="19"/>
  <c r="G196" i="19"/>
  <c r="H195" i="19"/>
  <c r="H213" i="19"/>
  <c r="H198" i="19"/>
  <c r="H187" i="19"/>
  <c r="I190" i="19"/>
  <c r="I264" i="19"/>
  <c r="I265" i="19" s="1"/>
  <c r="W266" i="19"/>
  <c r="J203" i="19"/>
  <c r="H209" i="19"/>
  <c r="N207" i="19"/>
  <c r="I204" i="19"/>
  <c r="I212" i="19"/>
  <c r="H201" i="19"/>
  <c r="H210" i="19"/>
  <c r="H197" i="19"/>
  <c r="H191" i="19"/>
  <c r="H202" i="19"/>
  <c r="I208" i="19"/>
  <c r="I116" i="29" l="1"/>
  <c r="H117" i="29"/>
  <c r="L118" i="29"/>
  <c r="L128" i="29"/>
  <c r="I129" i="29"/>
  <c r="J119" i="29"/>
  <c r="I115" i="29"/>
  <c r="I109" i="29"/>
  <c r="J132" i="29"/>
  <c r="I133" i="29"/>
  <c r="J122" i="29"/>
  <c r="I110" i="29"/>
  <c r="J123" i="29"/>
  <c r="J108" i="29"/>
  <c r="J189" i="29"/>
  <c r="I130" i="29"/>
  <c r="I134" i="29"/>
  <c r="I124" i="29"/>
  <c r="K131" i="29"/>
  <c r="K111" i="29"/>
  <c r="J112" i="29"/>
  <c r="J185" i="29"/>
  <c r="J186" i="29" s="1"/>
  <c r="X187" i="29"/>
  <c r="I113" i="29"/>
  <c r="I125" i="29"/>
  <c r="I124" i="28"/>
  <c r="M199" i="28"/>
  <c r="M200" i="28" s="1"/>
  <c r="AA201" i="28"/>
  <c r="I143" i="28"/>
  <c r="J146" i="28"/>
  <c r="I139" i="28"/>
  <c r="I147" i="28"/>
  <c r="J126" i="28"/>
  <c r="I127" i="28"/>
  <c r="H203" i="28"/>
  <c r="J137" i="28"/>
  <c r="J148" i="28"/>
  <c r="I123" i="28"/>
  <c r="I145" i="28"/>
  <c r="I125" i="28"/>
  <c r="K129" i="28"/>
  <c r="J132" i="28"/>
  <c r="I122" i="28"/>
  <c r="J144" i="28"/>
  <c r="J138" i="28"/>
  <c r="J130" i="28"/>
  <c r="I131" i="28"/>
  <c r="K133" i="28"/>
  <c r="J136" i="28"/>
  <c r="I188" i="19"/>
  <c r="I192" i="19"/>
  <c r="I211" i="19"/>
  <c r="I189" i="19"/>
  <c r="J212" i="19"/>
  <c r="X266" i="19"/>
  <c r="J264" i="19"/>
  <c r="J265" i="19" s="1"/>
  <c r="I198" i="19"/>
  <c r="I210" i="19"/>
  <c r="J208" i="19"/>
  <c r="K203" i="19"/>
  <c r="J190" i="19"/>
  <c r="H196" i="19"/>
  <c r="I195" i="19"/>
  <c r="J204" i="19"/>
  <c r="I209" i="19"/>
  <c r="I187" i="19"/>
  <c r="I202" i="19"/>
  <c r="I191" i="19"/>
  <c r="I197" i="19"/>
  <c r="I201" i="19"/>
  <c r="O207" i="19"/>
  <c r="I213" i="19"/>
  <c r="I117" i="29" l="1"/>
  <c r="J116" i="29"/>
  <c r="J113" i="29"/>
  <c r="K112" i="29"/>
  <c r="J134" i="29"/>
  <c r="K189" i="29"/>
  <c r="K123" i="29"/>
  <c r="K122" i="29"/>
  <c r="K132" i="29"/>
  <c r="J125" i="29"/>
  <c r="J130" i="29"/>
  <c r="K108" i="29"/>
  <c r="J115" i="29"/>
  <c r="K119" i="29"/>
  <c r="M118" i="29"/>
  <c r="L111" i="29"/>
  <c r="J124" i="29"/>
  <c r="J110" i="29"/>
  <c r="J133" i="29"/>
  <c r="J109" i="29"/>
  <c r="M128" i="29"/>
  <c r="Y187" i="29"/>
  <c r="K185" i="29"/>
  <c r="K186" i="29" s="1"/>
  <c r="L131" i="29"/>
  <c r="J129" i="29"/>
  <c r="J124" i="28"/>
  <c r="J139" i="28"/>
  <c r="K136" i="28"/>
  <c r="K148" i="28"/>
  <c r="J127" i="28"/>
  <c r="J143" i="28"/>
  <c r="K144" i="28"/>
  <c r="K132" i="28"/>
  <c r="J125" i="28"/>
  <c r="J131" i="28"/>
  <c r="K130" i="28"/>
  <c r="J123" i="28"/>
  <c r="K137" i="28"/>
  <c r="I203" i="28"/>
  <c r="K126" i="28"/>
  <c r="J147" i="28"/>
  <c r="K146" i="28"/>
  <c r="L133" i="28"/>
  <c r="K138" i="28"/>
  <c r="J122" i="28"/>
  <c r="L129" i="28"/>
  <c r="J145" i="28"/>
  <c r="N199" i="28"/>
  <c r="N200" i="28" s="1"/>
  <c r="AB201" i="28"/>
  <c r="J192" i="19"/>
  <c r="J189" i="19"/>
  <c r="J211" i="19"/>
  <c r="J188" i="19"/>
  <c r="J210" i="19"/>
  <c r="J198" i="19"/>
  <c r="K212" i="19"/>
  <c r="J209" i="19"/>
  <c r="K208" i="19"/>
  <c r="Y266" i="19"/>
  <c r="K264" i="19"/>
  <c r="K265" i="19" s="1"/>
  <c r="J197" i="19"/>
  <c r="J202" i="19"/>
  <c r="L203" i="19"/>
  <c r="P207" i="19"/>
  <c r="J213" i="19"/>
  <c r="J201" i="19"/>
  <c r="J191" i="19"/>
  <c r="J187" i="19"/>
  <c r="K204" i="19"/>
  <c r="I196" i="19"/>
  <c r="J195" i="19"/>
  <c r="K190" i="19"/>
  <c r="J117" i="29" l="1"/>
  <c r="K116" i="29"/>
  <c r="L119" i="29"/>
  <c r="K125" i="29"/>
  <c r="L122" i="29"/>
  <c r="L189" i="29"/>
  <c r="M131" i="29"/>
  <c r="K109" i="29"/>
  <c r="K110" i="29"/>
  <c r="K124" i="29"/>
  <c r="N118" i="29"/>
  <c r="L108" i="29"/>
  <c r="L112" i="29"/>
  <c r="L132" i="29"/>
  <c r="L123" i="29"/>
  <c r="K134" i="29"/>
  <c r="K129" i="29"/>
  <c r="L185" i="29"/>
  <c r="L186" i="29" s="1"/>
  <c r="Z187" i="29"/>
  <c r="N128" i="29"/>
  <c r="K133" i="29"/>
  <c r="M111" i="29"/>
  <c r="K115" i="29"/>
  <c r="K130" i="29"/>
  <c r="K113" i="29"/>
  <c r="K124" i="28"/>
  <c r="L137" i="28"/>
  <c r="L130" i="28"/>
  <c r="K131" i="28"/>
  <c r="L132" i="28"/>
  <c r="K143" i="28"/>
  <c r="AC201" i="28"/>
  <c r="O199" i="28"/>
  <c r="O200" i="28" s="1"/>
  <c r="K145" i="28"/>
  <c r="K122" i="28"/>
  <c r="M133" i="28"/>
  <c r="L126" i="28"/>
  <c r="L136" i="28"/>
  <c r="K147" i="28"/>
  <c r="K123" i="28"/>
  <c r="K125" i="28"/>
  <c r="L144" i="28"/>
  <c r="L148" i="28"/>
  <c r="M129" i="28"/>
  <c r="L138" i="28"/>
  <c r="L146" i="28"/>
  <c r="J203" i="28"/>
  <c r="K127" i="28"/>
  <c r="K139" i="28"/>
  <c r="K189" i="19"/>
  <c r="K211" i="19"/>
  <c r="K188" i="19"/>
  <c r="K192" i="19"/>
  <c r="L204" i="19"/>
  <c r="Z266" i="19"/>
  <c r="L264" i="19"/>
  <c r="L265" i="19" s="1"/>
  <c r="L190" i="19"/>
  <c r="K191" i="19"/>
  <c r="K213" i="19"/>
  <c r="M203" i="19"/>
  <c r="K202" i="19"/>
  <c r="L208" i="19"/>
  <c r="K198" i="19"/>
  <c r="K201" i="19"/>
  <c r="Q207" i="19"/>
  <c r="K195" i="19"/>
  <c r="J196" i="19"/>
  <c r="K187" i="19"/>
  <c r="K197" i="19"/>
  <c r="K209" i="19"/>
  <c r="L212" i="19"/>
  <c r="K210" i="19"/>
  <c r="K117" i="29" l="1"/>
  <c r="L116" i="29"/>
  <c r="L130" i="29"/>
  <c r="L133" i="29"/>
  <c r="L134" i="29"/>
  <c r="O118" i="29"/>
  <c r="L110" i="29"/>
  <c r="N131" i="29"/>
  <c r="M122" i="29"/>
  <c r="L125" i="29"/>
  <c r="N111" i="29"/>
  <c r="AA187" i="29"/>
  <c r="M185" i="29"/>
  <c r="M186" i="29" s="1"/>
  <c r="M123" i="29"/>
  <c r="L113" i="29"/>
  <c r="L129" i="29"/>
  <c r="M112" i="29"/>
  <c r="M108" i="29"/>
  <c r="L109" i="29"/>
  <c r="M189" i="29"/>
  <c r="M119" i="29"/>
  <c r="L115" i="29"/>
  <c r="O128" i="29"/>
  <c r="M132" i="29"/>
  <c r="L124" i="29"/>
  <c r="L124" i="28"/>
  <c r="L127" i="28"/>
  <c r="L125" i="28"/>
  <c r="M126" i="28"/>
  <c r="AD201" i="28"/>
  <c r="P199" i="28"/>
  <c r="P200" i="28" s="1"/>
  <c r="L131" i="28"/>
  <c r="M130" i="28"/>
  <c r="M137" i="28"/>
  <c r="N129" i="28"/>
  <c r="L147" i="28"/>
  <c r="N133" i="28"/>
  <c r="L145" i="28"/>
  <c r="L143" i="28"/>
  <c r="K203" i="28"/>
  <c r="M148" i="28"/>
  <c r="L123" i="28"/>
  <c r="L122" i="28"/>
  <c r="M146" i="28"/>
  <c r="M132" i="28"/>
  <c r="L139" i="28"/>
  <c r="M138" i="28"/>
  <c r="M144" i="28"/>
  <c r="M136" i="28"/>
  <c r="L192" i="19"/>
  <c r="L211" i="19"/>
  <c r="L188" i="19"/>
  <c r="L189" i="19"/>
  <c r="R207" i="19"/>
  <c r="L191" i="19"/>
  <c r="M204" i="19"/>
  <c r="M212" i="19"/>
  <c r="L197" i="19"/>
  <c r="L201" i="19"/>
  <c r="L198" i="19"/>
  <c r="N203" i="19"/>
  <c r="M264" i="19"/>
  <c r="M265" i="19" s="1"/>
  <c r="AA266" i="19"/>
  <c r="L210" i="19"/>
  <c r="L209" i="19"/>
  <c r="L195" i="19"/>
  <c r="K196" i="19"/>
  <c r="M208" i="19"/>
  <c r="L187" i="19"/>
  <c r="L202" i="19"/>
  <c r="L213" i="19"/>
  <c r="M190" i="19"/>
  <c r="L117" i="29" l="1"/>
  <c r="M116" i="29"/>
  <c r="M113" i="29"/>
  <c r="M134" i="29"/>
  <c r="M115" i="29"/>
  <c r="N108" i="29"/>
  <c r="N123" i="29"/>
  <c r="O111" i="29"/>
  <c r="N119" i="29"/>
  <c r="P118" i="29"/>
  <c r="M130" i="29"/>
  <c r="M124" i="29"/>
  <c r="N132" i="29"/>
  <c r="N189" i="29"/>
  <c r="M109" i="29"/>
  <c r="N185" i="29"/>
  <c r="N186" i="29" s="1"/>
  <c r="AB187" i="29"/>
  <c r="P128" i="29"/>
  <c r="N122" i="29"/>
  <c r="N112" i="29"/>
  <c r="M129" i="29"/>
  <c r="M125" i="29"/>
  <c r="O131" i="29"/>
  <c r="M110" i="29"/>
  <c r="M133" i="29"/>
  <c r="M124" i="28"/>
  <c r="N138" i="28"/>
  <c r="M143" i="28"/>
  <c r="M147" i="28"/>
  <c r="O129" i="28"/>
  <c r="M125" i="28"/>
  <c r="N144" i="28"/>
  <c r="M139" i="28"/>
  <c r="N146" i="28"/>
  <c r="N148" i="28"/>
  <c r="N137" i="28"/>
  <c r="Q199" i="28"/>
  <c r="Q200" i="28" s="1"/>
  <c r="AE201" i="28"/>
  <c r="M127" i="28"/>
  <c r="N132" i="28"/>
  <c r="O133" i="28"/>
  <c r="M123" i="28"/>
  <c r="L203" i="28"/>
  <c r="N126" i="28"/>
  <c r="N136" i="28"/>
  <c r="M122" i="28"/>
  <c r="M145" i="28"/>
  <c r="M131" i="28"/>
  <c r="N130" i="28"/>
  <c r="M211" i="19"/>
  <c r="M189" i="19"/>
  <c r="M192" i="19"/>
  <c r="M188" i="19"/>
  <c r="O203" i="19"/>
  <c r="M197" i="19"/>
  <c r="N190" i="19"/>
  <c r="N204" i="19"/>
  <c r="M191" i="19"/>
  <c r="M213" i="19"/>
  <c r="L196" i="19"/>
  <c r="M195" i="19"/>
  <c r="AB266" i="19"/>
  <c r="N264" i="19"/>
  <c r="N265" i="19" s="1"/>
  <c r="N208" i="19"/>
  <c r="M210" i="19"/>
  <c r="M201" i="19"/>
  <c r="M202" i="19"/>
  <c r="M187" i="19"/>
  <c r="M209" i="19"/>
  <c r="M198" i="19"/>
  <c r="N212" i="19"/>
  <c r="S207" i="19"/>
  <c r="M117" i="29" l="1"/>
  <c r="N116" i="29"/>
  <c r="N133" i="29"/>
  <c r="P131" i="29"/>
  <c r="O112" i="29"/>
  <c r="N109" i="29"/>
  <c r="O132" i="29"/>
  <c r="N130" i="29"/>
  <c r="Q118" i="29"/>
  <c r="P111" i="29"/>
  <c r="O108" i="29"/>
  <c r="N115" i="29"/>
  <c r="O122" i="29"/>
  <c r="N110" i="29"/>
  <c r="N129" i="29"/>
  <c r="Q128" i="29"/>
  <c r="AC187" i="29"/>
  <c r="O185" i="29"/>
  <c r="O186" i="29" s="1"/>
  <c r="N124" i="29"/>
  <c r="O119" i="29"/>
  <c r="O123" i="29"/>
  <c r="N125" i="29"/>
  <c r="O189" i="29"/>
  <c r="N134" i="29"/>
  <c r="N113" i="29"/>
  <c r="N124" i="28"/>
  <c r="N145" i="28"/>
  <c r="P133" i="28"/>
  <c r="O137" i="28"/>
  <c r="O144" i="28"/>
  <c r="N147" i="28"/>
  <c r="O146" i="28"/>
  <c r="O126" i="28"/>
  <c r="O148" i="28"/>
  <c r="N139" i="28"/>
  <c r="N125" i="28"/>
  <c r="P129" i="28"/>
  <c r="N143" i="28"/>
  <c r="O138" i="28"/>
  <c r="O136" i="28"/>
  <c r="N123" i="28"/>
  <c r="N127" i="28"/>
  <c r="M203" i="28"/>
  <c r="N122" i="28"/>
  <c r="N131" i="28"/>
  <c r="O130" i="28"/>
  <c r="O132" i="28"/>
  <c r="R199" i="28"/>
  <c r="R200" i="28" s="1"/>
  <c r="AF201" i="28"/>
  <c r="N188" i="19"/>
  <c r="N192" i="19"/>
  <c r="N189" i="19"/>
  <c r="N211" i="19"/>
  <c r="N187" i="19"/>
  <c r="N201" i="19"/>
  <c r="T207" i="19"/>
  <c r="N209" i="19"/>
  <c r="AC266" i="19"/>
  <c r="O264" i="19"/>
  <c r="O265" i="19" s="1"/>
  <c r="P203" i="19"/>
  <c r="N210" i="19"/>
  <c r="N191" i="19"/>
  <c r="N197" i="19"/>
  <c r="O212" i="19"/>
  <c r="N198" i="19"/>
  <c r="N202" i="19"/>
  <c r="O208" i="19"/>
  <c r="M196" i="19"/>
  <c r="N195" i="19"/>
  <c r="N213" i="19"/>
  <c r="O204" i="19"/>
  <c r="O190" i="19"/>
  <c r="N117" i="29" l="1"/>
  <c r="O116" i="29"/>
  <c r="O125" i="29"/>
  <c r="P119" i="29"/>
  <c r="O129" i="29"/>
  <c r="O134" i="29"/>
  <c r="P108" i="29"/>
  <c r="P132" i="29"/>
  <c r="O133" i="29"/>
  <c r="P189" i="29"/>
  <c r="P123" i="29"/>
  <c r="R128" i="29"/>
  <c r="O110" i="29"/>
  <c r="R118" i="29"/>
  <c r="P112" i="29"/>
  <c r="P185" i="29"/>
  <c r="P186" i="29" s="1"/>
  <c r="AD187" i="29"/>
  <c r="P122" i="29"/>
  <c r="O124" i="29"/>
  <c r="O113" i="29"/>
  <c r="O115" i="29"/>
  <c r="Q111" i="29"/>
  <c r="O130" i="29"/>
  <c r="O109" i="29"/>
  <c r="Q131" i="29"/>
  <c r="O124" i="28"/>
  <c r="AG201" i="28"/>
  <c r="S199" i="28"/>
  <c r="S200" i="28" s="1"/>
  <c r="N203" i="28"/>
  <c r="O123" i="28"/>
  <c r="P138" i="28"/>
  <c r="Q129" i="28"/>
  <c r="O139" i="28"/>
  <c r="P126" i="28"/>
  <c r="Q133" i="28"/>
  <c r="O145" i="28"/>
  <c r="P136" i="28"/>
  <c r="O143" i="28"/>
  <c r="O125" i="28"/>
  <c r="P148" i="28"/>
  <c r="P146" i="28"/>
  <c r="O147" i="28"/>
  <c r="P137" i="28"/>
  <c r="O127" i="28"/>
  <c r="P132" i="28"/>
  <c r="P130" i="28"/>
  <c r="O131" i="28"/>
  <c r="O122" i="28"/>
  <c r="P144" i="28"/>
  <c r="O211" i="19"/>
  <c r="O192" i="19"/>
  <c r="O188" i="19"/>
  <c r="O189" i="19"/>
  <c r="P204" i="19"/>
  <c r="P208" i="19"/>
  <c r="AD266" i="19"/>
  <c r="P264" i="19"/>
  <c r="P265" i="19" s="1"/>
  <c r="P212" i="19"/>
  <c r="O191" i="19"/>
  <c r="O209" i="19"/>
  <c r="O187" i="19"/>
  <c r="O195" i="19"/>
  <c r="N196" i="19"/>
  <c r="O198" i="19"/>
  <c r="O210" i="19"/>
  <c r="U207" i="19"/>
  <c r="P190" i="19"/>
  <c r="O213" i="19"/>
  <c r="O202" i="19"/>
  <c r="O197" i="19"/>
  <c r="Q203" i="19"/>
  <c r="O201" i="19"/>
  <c r="P116" i="29" l="1"/>
  <c r="O117" i="29"/>
  <c r="P109" i="29"/>
  <c r="R111" i="29"/>
  <c r="P115" i="29"/>
  <c r="P124" i="29"/>
  <c r="Q123" i="29"/>
  <c r="AE187" i="29"/>
  <c r="Q185" i="29"/>
  <c r="Q186" i="29" s="1"/>
  <c r="Q112" i="29"/>
  <c r="Q132" i="29"/>
  <c r="P110" i="29"/>
  <c r="Q119" i="29"/>
  <c r="R131" i="29"/>
  <c r="P130" i="29"/>
  <c r="P113" i="29"/>
  <c r="Q122" i="29"/>
  <c r="Q189" i="29"/>
  <c r="P134" i="29"/>
  <c r="P129" i="29"/>
  <c r="S118" i="29"/>
  <c r="S128" i="29"/>
  <c r="P133" i="29"/>
  <c r="Q108" i="29"/>
  <c r="P125" i="29"/>
  <c r="P124" i="28"/>
  <c r="P122" i="28"/>
  <c r="Q146" i="28"/>
  <c r="P145" i="28"/>
  <c r="Q126" i="28"/>
  <c r="Q136" i="28"/>
  <c r="P127" i="28"/>
  <c r="Q148" i="28"/>
  <c r="P143" i="28"/>
  <c r="R133" i="28"/>
  <c r="R129" i="28"/>
  <c r="O203" i="28"/>
  <c r="Q137" i="28"/>
  <c r="P125" i="28"/>
  <c r="P123" i="28"/>
  <c r="Q144" i="28"/>
  <c r="Q130" i="28"/>
  <c r="P131" i="28"/>
  <c r="Q132" i="28"/>
  <c r="P147" i="28"/>
  <c r="P139" i="28"/>
  <c r="Q138" i="28"/>
  <c r="T199" i="28"/>
  <c r="T200" i="28" s="1"/>
  <c r="P189" i="19"/>
  <c r="P188" i="19"/>
  <c r="P192" i="19"/>
  <c r="P211" i="19"/>
  <c r="P202" i="19"/>
  <c r="V207" i="19"/>
  <c r="O196" i="19"/>
  <c r="P195" i="19"/>
  <c r="P209" i="19"/>
  <c r="R203" i="19"/>
  <c r="P210" i="19"/>
  <c r="P187" i="19"/>
  <c r="P191" i="19"/>
  <c r="Q264" i="19"/>
  <c r="Q265" i="19" s="1"/>
  <c r="AE266" i="19"/>
  <c r="P201" i="19"/>
  <c r="P213" i="19"/>
  <c r="Q190" i="19"/>
  <c r="P198" i="19"/>
  <c r="Q212" i="19"/>
  <c r="P197" i="19"/>
  <c r="Q208" i="19"/>
  <c r="Q204" i="19"/>
  <c r="Q116" i="29" l="1"/>
  <c r="P117" i="29"/>
  <c r="R189" i="29"/>
  <c r="S131" i="29"/>
  <c r="Q115" i="29"/>
  <c r="Q109" i="29"/>
  <c r="Q113" i="29"/>
  <c r="R185" i="29"/>
  <c r="R186" i="29" s="1"/>
  <c r="AF187" i="29"/>
  <c r="R123" i="29"/>
  <c r="Q134" i="29"/>
  <c r="Q110" i="29"/>
  <c r="Q125" i="29"/>
  <c r="T128" i="29"/>
  <c r="R122" i="29"/>
  <c r="R112" i="29"/>
  <c r="Q124" i="29"/>
  <c r="R108" i="29"/>
  <c r="T118" i="29"/>
  <c r="Q133" i="29"/>
  <c r="Q129" i="29"/>
  <c r="Q130" i="29"/>
  <c r="R119" i="29"/>
  <c r="R132" i="29"/>
  <c r="S111" i="29"/>
  <c r="Q124" i="28"/>
  <c r="R138" i="28"/>
  <c r="R146" i="28"/>
  <c r="Q123" i="28"/>
  <c r="S133" i="28"/>
  <c r="R136" i="28"/>
  <c r="Q139" i="28"/>
  <c r="R132" i="28"/>
  <c r="P203" i="28"/>
  <c r="Q145" i="28"/>
  <c r="Q122" i="28"/>
  <c r="R126" i="28"/>
  <c r="U199" i="28"/>
  <c r="U200" i="28" s="1"/>
  <c r="Q131" i="28"/>
  <c r="R130" i="28"/>
  <c r="Q125" i="28"/>
  <c r="Q143" i="28"/>
  <c r="Q127" i="28"/>
  <c r="R137" i="28"/>
  <c r="Q147" i="28"/>
  <c r="R144" i="28"/>
  <c r="S129" i="28"/>
  <c r="R148" i="28"/>
  <c r="Q188" i="19"/>
  <c r="Q192" i="19"/>
  <c r="Q189" i="19"/>
  <c r="Q211" i="19"/>
  <c r="S203" i="19"/>
  <c r="AF266" i="19"/>
  <c r="R264" i="19"/>
  <c r="R265" i="19" s="1"/>
  <c r="W207" i="19"/>
  <c r="Q202" i="19"/>
  <c r="R208" i="19"/>
  <c r="Q197" i="19"/>
  <c r="Q198" i="19"/>
  <c r="Q213" i="19"/>
  <c r="Q187" i="19"/>
  <c r="Q209" i="19"/>
  <c r="P196" i="19"/>
  <c r="Q195" i="19"/>
  <c r="R204" i="19"/>
  <c r="R212" i="19"/>
  <c r="R190" i="19"/>
  <c r="Q201" i="19"/>
  <c r="Q191" i="19"/>
  <c r="Q210" i="19"/>
  <c r="R116" i="29" l="1"/>
  <c r="Q117" i="29"/>
  <c r="R125" i="29"/>
  <c r="R134" i="29"/>
  <c r="S119" i="29"/>
  <c r="R129" i="29"/>
  <c r="U118" i="29"/>
  <c r="S112" i="29"/>
  <c r="S122" i="29"/>
  <c r="U128" i="29"/>
  <c r="AG187" i="29"/>
  <c r="S185" i="29"/>
  <c r="S186" i="29" s="1"/>
  <c r="R109" i="29"/>
  <c r="S108" i="29"/>
  <c r="R115" i="29"/>
  <c r="R124" i="29"/>
  <c r="R110" i="29"/>
  <c r="S123" i="29"/>
  <c r="R113" i="29"/>
  <c r="S189" i="29"/>
  <c r="T131" i="29"/>
  <c r="T111" i="29"/>
  <c r="S132" i="29"/>
  <c r="R130" i="29"/>
  <c r="R133" i="29"/>
  <c r="R124" i="28"/>
  <c r="T129" i="28"/>
  <c r="R127" i="28"/>
  <c r="R125" i="28"/>
  <c r="S126" i="28"/>
  <c r="R145" i="28"/>
  <c r="R147" i="28"/>
  <c r="S132" i="28"/>
  <c r="S148" i="28"/>
  <c r="S137" i="28"/>
  <c r="R143" i="28"/>
  <c r="R131" i="28"/>
  <c r="S130" i="28"/>
  <c r="R123" i="28"/>
  <c r="S146" i="28"/>
  <c r="S136" i="28"/>
  <c r="S144" i="28"/>
  <c r="V199" i="28"/>
  <c r="V200" i="28" s="1"/>
  <c r="R122" i="28"/>
  <c r="Q203" i="28"/>
  <c r="R139" i="28"/>
  <c r="T133" i="28"/>
  <c r="S138" i="28"/>
  <c r="R192" i="19"/>
  <c r="R189" i="19"/>
  <c r="R211" i="19"/>
  <c r="R188" i="19"/>
  <c r="R210" i="19"/>
  <c r="S204" i="19"/>
  <c r="R187" i="19"/>
  <c r="R198" i="19"/>
  <c r="X207" i="19"/>
  <c r="AG266" i="19"/>
  <c r="S264" i="19"/>
  <c r="S265" i="19" s="1"/>
  <c r="R201" i="19"/>
  <c r="S212" i="19"/>
  <c r="S208" i="19"/>
  <c r="T203" i="19"/>
  <c r="R191" i="19"/>
  <c r="S190" i="19"/>
  <c r="Q196" i="19"/>
  <c r="R195" i="19"/>
  <c r="R209" i="19"/>
  <c r="R213" i="19"/>
  <c r="R197" i="19"/>
  <c r="R202" i="19"/>
  <c r="R117" i="29" l="1"/>
  <c r="S116" i="29"/>
  <c r="S133" i="29"/>
  <c r="T123" i="29"/>
  <c r="S115" i="29"/>
  <c r="V128" i="29"/>
  <c r="T112" i="29"/>
  <c r="T119" i="29"/>
  <c r="S130" i="29"/>
  <c r="U111" i="29"/>
  <c r="T189" i="29"/>
  <c r="S109" i="29"/>
  <c r="S125" i="29"/>
  <c r="T132" i="29"/>
  <c r="S113" i="29"/>
  <c r="S110" i="29"/>
  <c r="T108" i="29"/>
  <c r="T185" i="29"/>
  <c r="T186" i="29" s="1"/>
  <c r="T122" i="29"/>
  <c r="S129" i="29"/>
  <c r="S134" i="29"/>
  <c r="U131" i="29"/>
  <c r="S124" i="29"/>
  <c r="V118" i="29"/>
  <c r="S124" i="28"/>
  <c r="S139" i="28"/>
  <c r="S122" i="28"/>
  <c r="T136" i="28"/>
  <c r="T146" i="28"/>
  <c r="T137" i="28"/>
  <c r="T132" i="28"/>
  <c r="T126" i="28"/>
  <c r="S127" i="28"/>
  <c r="R203" i="28"/>
  <c r="W199" i="28"/>
  <c r="W200" i="28" s="1"/>
  <c r="S123" i="28"/>
  <c r="T130" i="28"/>
  <c r="S131" i="28"/>
  <c r="S143" i="28"/>
  <c r="T148" i="28"/>
  <c r="S147" i="28"/>
  <c r="S145" i="28"/>
  <c r="U129" i="28"/>
  <c r="T138" i="28"/>
  <c r="U133" i="28"/>
  <c r="T144" i="28"/>
  <c r="S125" i="28"/>
  <c r="S188" i="19"/>
  <c r="S189" i="19"/>
  <c r="S211" i="19"/>
  <c r="S192" i="19"/>
  <c r="S197" i="19"/>
  <c r="S187" i="19"/>
  <c r="T212" i="19"/>
  <c r="S202" i="19"/>
  <c r="S195" i="19"/>
  <c r="R196" i="19"/>
  <c r="Y207" i="19"/>
  <c r="S198" i="19"/>
  <c r="T204" i="19"/>
  <c r="S209" i="19"/>
  <c r="T190" i="19"/>
  <c r="S210" i="19"/>
  <c r="S213" i="19"/>
  <c r="U203" i="19"/>
  <c r="S191" i="19"/>
  <c r="T208" i="19"/>
  <c r="S201" i="19"/>
  <c r="T264" i="19"/>
  <c r="T265" i="19" s="1"/>
  <c r="S117" i="29" l="1"/>
  <c r="T116" i="29"/>
  <c r="V131" i="29"/>
  <c r="U185" i="29"/>
  <c r="U186" i="29" s="1"/>
  <c r="W128" i="29"/>
  <c r="T115" i="29"/>
  <c r="W118" i="29"/>
  <c r="T134" i="29"/>
  <c r="U122" i="29"/>
  <c r="U108" i="29"/>
  <c r="T110" i="29"/>
  <c r="T130" i="29"/>
  <c r="U112" i="29"/>
  <c r="T133" i="29"/>
  <c r="U132" i="29"/>
  <c r="T125" i="29"/>
  <c r="U123" i="29"/>
  <c r="T124" i="29"/>
  <c r="T129" i="29"/>
  <c r="T113" i="29"/>
  <c r="T109" i="29"/>
  <c r="U189" i="29"/>
  <c r="V111" i="29"/>
  <c r="U119" i="29"/>
  <c r="T124" i="28"/>
  <c r="V133" i="28"/>
  <c r="U137" i="28"/>
  <c r="T122" i="28"/>
  <c r="V129" i="28"/>
  <c r="T143" i="28"/>
  <c r="S203" i="28"/>
  <c r="U138" i="28"/>
  <c r="T145" i="28"/>
  <c r="T123" i="28"/>
  <c r="X199" i="28"/>
  <c r="X200" i="28" s="1"/>
  <c r="U136" i="28"/>
  <c r="T125" i="28"/>
  <c r="T147" i="28"/>
  <c r="T127" i="28"/>
  <c r="U146" i="28"/>
  <c r="U144" i="28"/>
  <c r="U148" i="28"/>
  <c r="U130" i="28"/>
  <c r="T131" i="28"/>
  <c r="U126" i="28"/>
  <c r="U132" i="28"/>
  <c r="T139" i="28"/>
  <c r="T189" i="19"/>
  <c r="T211" i="19"/>
  <c r="T188" i="19"/>
  <c r="T192" i="19"/>
  <c r="U190" i="19"/>
  <c r="Z207" i="19"/>
  <c r="U264" i="19"/>
  <c r="U265" i="19" s="1"/>
  <c r="T187" i="19"/>
  <c r="V203" i="19"/>
  <c r="T209" i="19"/>
  <c r="T197" i="19"/>
  <c r="U212" i="19"/>
  <c r="T198" i="19"/>
  <c r="T202" i="19"/>
  <c r="U208" i="19"/>
  <c r="T213" i="19"/>
  <c r="T210" i="19"/>
  <c r="T195" i="19"/>
  <c r="S196" i="19"/>
  <c r="T201" i="19"/>
  <c r="T191" i="19"/>
  <c r="U204" i="19"/>
  <c r="U116" i="29" l="1"/>
  <c r="T117" i="29"/>
  <c r="U113" i="29"/>
  <c r="U125" i="29"/>
  <c r="U134" i="29"/>
  <c r="V108" i="29"/>
  <c r="X128" i="29"/>
  <c r="V119" i="29"/>
  <c r="U109" i="29"/>
  <c r="U115" i="29"/>
  <c r="W131" i="29"/>
  <c r="V189" i="29"/>
  <c r="U110" i="29"/>
  <c r="X118" i="29"/>
  <c r="U129" i="29"/>
  <c r="U124" i="29"/>
  <c r="V132" i="29"/>
  <c r="W111" i="29"/>
  <c r="V123" i="29"/>
  <c r="U133" i="29"/>
  <c r="V112" i="29"/>
  <c r="U130" i="29"/>
  <c r="V122" i="29"/>
  <c r="V185" i="29"/>
  <c r="V186" i="29" s="1"/>
  <c r="U124" i="28"/>
  <c r="U147" i="28"/>
  <c r="U125" i="28"/>
  <c r="W129" i="28"/>
  <c r="V137" i="28"/>
  <c r="U139" i="28"/>
  <c r="V130" i="28"/>
  <c r="U131" i="28"/>
  <c r="Y199" i="28"/>
  <c r="Y200" i="28" s="1"/>
  <c r="U145" i="28"/>
  <c r="W133" i="28"/>
  <c r="V132" i="28"/>
  <c r="V148" i="28"/>
  <c r="T203" i="28"/>
  <c r="V126" i="28"/>
  <c r="V144" i="28"/>
  <c r="V146" i="28"/>
  <c r="U127" i="28"/>
  <c r="V136" i="28"/>
  <c r="U123" i="28"/>
  <c r="V138" i="28"/>
  <c r="U143" i="28"/>
  <c r="U122" i="28"/>
  <c r="U211" i="19"/>
  <c r="U188" i="19"/>
  <c r="U189" i="19"/>
  <c r="U192" i="19"/>
  <c r="T196" i="19"/>
  <c r="U195" i="19"/>
  <c r="U197" i="19"/>
  <c r="U201" i="19"/>
  <c r="U202" i="19"/>
  <c r="U187" i="19"/>
  <c r="V264" i="19"/>
  <c r="V265" i="19" s="1"/>
  <c r="AA207" i="19"/>
  <c r="W203" i="19"/>
  <c r="V204" i="19"/>
  <c r="U213" i="19"/>
  <c r="V212" i="19"/>
  <c r="U191" i="19"/>
  <c r="U210" i="19"/>
  <c r="V208" i="19"/>
  <c r="U198" i="19"/>
  <c r="U209" i="19"/>
  <c r="V190" i="19"/>
  <c r="U117" i="29" l="1"/>
  <c r="V116" i="29"/>
  <c r="V129" i="29"/>
  <c r="V115" i="29"/>
  <c r="W185" i="29"/>
  <c r="W186" i="29" s="1"/>
  <c r="W122" i="29"/>
  <c r="W112" i="29"/>
  <c r="W123" i="29"/>
  <c r="V124" i="29"/>
  <c r="V110" i="29"/>
  <c r="X131" i="29"/>
  <c r="W119" i="29"/>
  <c r="W108" i="29"/>
  <c r="W189" i="29"/>
  <c r="V113" i="29"/>
  <c r="V130" i="29"/>
  <c r="V133" i="29"/>
  <c r="X111" i="29"/>
  <c r="W132" i="29"/>
  <c r="Y118" i="29"/>
  <c r="V109" i="29"/>
  <c r="Y128" i="29"/>
  <c r="V134" i="29"/>
  <c r="V125" i="29"/>
  <c r="V124" i="28"/>
  <c r="Z199" i="28"/>
  <c r="Z200" i="28" s="1"/>
  <c r="V122" i="28"/>
  <c r="W138" i="28"/>
  <c r="W132" i="28"/>
  <c r="X133" i="28"/>
  <c r="V145" i="28"/>
  <c r="V139" i="28"/>
  <c r="X129" i="28"/>
  <c r="V147" i="28"/>
  <c r="W144" i="28"/>
  <c r="W146" i="28"/>
  <c r="W126" i="28"/>
  <c r="U203" i="28"/>
  <c r="V127" i="28"/>
  <c r="W148" i="28"/>
  <c r="V131" i="28"/>
  <c r="W130" i="28"/>
  <c r="V143" i="28"/>
  <c r="V123" i="28"/>
  <c r="W136" i="28"/>
  <c r="W137" i="28"/>
  <c r="V125" i="28"/>
  <c r="V192" i="19"/>
  <c r="V188" i="19"/>
  <c r="V189" i="19"/>
  <c r="V211" i="19"/>
  <c r="V209" i="19"/>
  <c r="X203" i="19"/>
  <c r="U196" i="19"/>
  <c r="V195" i="19"/>
  <c r="AB207" i="19"/>
  <c r="V202" i="19"/>
  <c r="W190" i="19"/>
  <c r="V210" i="19"/>
  <c r="V201" i="19"/>
  <c r="V197" i="19"/>
  <c r="W208" i="19"/>
  <c r="V187" i="19"/>
  <c r="V198" i="19"/>
  <c r="V191" i="19"/>
  <c r="W204" i="19"/>
  <c r="W212" i="19"/>
  <c r="V213" i="19"/>
  <c r="W264" i="19"/>
  <c r="W265" i="19" s="1"/>
  <c r="AI14" i="20"/>
  <c r="AI17" i="20"/>
  <c r="AI15" i="20"/>
  <c r="AI16" i="20"/>
  <c r="L14" i="24"/>
  <c r="N22" i="24"/>
  <c r="C31" i="27"/>
  <c r="B31" i="27"/>
  <c r="B39" i="27" s="1"/>
  <c r="B30" i="27"/>
  <c r="B38" i="27" s="1"/>
  <c r="B29" i="27"/>
  <c r="B37" i="27" s="1"/>
  <c r="B28" i="27"/>
  <c r="D243" i="20"/>
  <c r="E243" i="20" s="1"/>
  <c r="D244" i="20"/>
  <c r="D245" i="20"/>
  <c r="D246" i="20"/>
  <c r="D247" i="20"/>
  <c r="E247" i="20" s="1"/>
  <c r="F247" i="20" s="1"/>
  <c r="G247" i="20" s="1"/>
  <c r="H247" i="20" s="1"/>
  <c r="I247" i="20" s="1"/>
  <c r="J247" i="20" s="1"/>
  <c r="K247" i="20" s="1"/>
  <c r="L247" i="20" s="1"/>
  <c r="M247" i="20" s="1"/>
  <c r="N247" i="20" s="1"/>
  <c r="O247" i="20" s="1"/>
  <c r="P247" i="20" s="1"/>
  <c r="Q247" i="20" s="1"/>
  <c r="R247" i="20" s="1"/>
  <c r="S247" i="20" s="1"/>
  <c r="T247" i="20" s="1"/>
  <c r="U247" i="20" s="1"/>
  <c r="V247" i="20" s="1"/>
  <c r="W247" i="20" s="1"/>
  <c r="X247" i="20" s="1"/>
  <c r="Y247" i="20" s="1"/>
  <c r="Z247" i="20" s="1"/>
  <c r="AA247" i="20" s="1"/>
  <c r="AB247" i="20" s="1"/>
  <c r="AC247" i="20" s="1"/>
  <c r="AD247" i="20" s="1"/>
  <c r="AE247" i="20" s="1"/>
  <c r="AF247" i="20" s="1"/>
  <c r="D248" i="20"/>
  <c r="E248" i="20" s="1"/>
  <c r="F248" i="20" s="1"/>
  <c r="G248" i="20" s="1"/>
  <c r="H248" i="20" s="1"/>
  <c r="I248" i="20" s="1"/>
  <c r="J248" i="20" s="1"/>
  <c r="K248" i="20" s="1"/>
  <c r="L248" i="20" s="1"/>
  <c r="M248" i="20" s="1"/>
  <c r="N248" i="20" s="1"/>
  <c r="O248" i="20" s="1"/>
  <c r="P248" i="20" s="1"/>
  <c r="Q248" i="20" s="1"/>
  <c r="R248" i="20" s="1"/>
  <c r="S248" i="20" s="1"/>
  <c r="T248" i="20" s="1"/>
  <c r="U248" i="20" s="1"/>
  <c r="V248" i="20" s="1"/>
  <c r="W248" i="20" s="1"/>
  <c r="X248" i="20" s="1"/>
  <c r="Y248" i="20" s="1"/>
  <c r="Z248" i="20" s="1"/>
  <c r="AA248" i="20" s="1"/>
  <c r="AB248" i="20" s="1"/>
  <c r="AC248" i="20" s="1"/>
  <c r="AD248" i="20" s="1"/>
  <c r="AE248" i="20" s="1"/>
  <c r="AF248" i="20" s="1"/>
  <c r="D250" i="20"/>
  <c r="E250" i="20" s="1"/>
  <c r="F250" i="20" s="1"/>
  <c r="G250" i="20" s="1"/>
  <c r="H250" i="20" s="1"/>
  <c r="I250" i="20" s="1"/>
  <c r="J250" i="20" s="1"/>
  <c r="K250" i="20" s="1"/>
  <c r="L250" i="20" s="1"/>
  <c r="M250" i="20" s="1"/>
  <c r="N250" i="20" s="1"/>
  <c r="O250" i="20" s="1"/>
  <c r="P250" i="20" s="1"/>
  <c r="Q250" i="20" s="1"/>
  <c r="R250" i="20" s="1"/>
  <c r="S250" i="20" s="1"/>
  <c r="T250" i="20" s="1"/>
  <c r="U250" i="20" s="1"/>
  <c r="V250" i="20" s="1"/>
  <c r="W250" i="20" s="1"/>
  <c r="X250" i="20" s="1"/>
  <c r="Y250" i="20" s="1"/>
  <c r="Z250" i="20" s="1"/>
  <c r="AA250" i="20" s="1"/>
  <c r="AB250" i="20" s="1"/>
  <c r="AC250" i="20" s="1"/>
  <c r="AD250" i="20" s="1"/>
  <c r="AE250" i="20" s="1"/>
  <c r="AF250" i="20" s="1"/>
  <c r="D239" i="20"/>
  <c r="E239" i="20" s="1"/>
  <c r="D242" i="20"/>
  <c r="E242" i="20" s="1"/>
  <c r="F242" i="20" s="1"/>
  <c r="G242" i="20" s="1"/>
  <c r="H242" i="20" s="1"/>
  <c r="I242" i="20" s="1"/>
  <c r="J242" i="20" s="1"/>
  <c r="K242" i="20" s="1"/>
  <c r="L242" i="20" s="1"/>
  <c r="M242" i="20" s="1"/>
  <c r="N242" i="20" s="1"/>
  <c r="O242" i="20" s="1"/>
  <c r="P242" i="20" s="1"/>
  <c r="Q242" i="20" s="1"/>
  <c r="R242" i="20" s="1"/>
  <c r="S242" i="20" s="1"/>
  <c r="T242" i="20" s="1"/>
  <c r="U242" i="20" s="1"/>
  <c r="V242" i="20" s="1"/>
  <c r="W242" i="20" s="1"/>
  <c r="X242" i="20" s="1"/>
  <c r="Y242" i="20" s="1"/>
  <c r="Z242" i="20" s="1"/>
  <c r="AA242" i="20" s="1"/>
  <c r="AB242" i="20" s="1"/>
  <c r="AC242" i="20" s="1"/>
  <c r="AD242" i="20" s="1"/>
  <c r="AE242" i="20" s="1"/>
  <c r="AF242" i="20" s="1"/>
  <c r="D241" i="20"/>
  <c r="E241" i="20" s="1"/>
  <c r="F241" i="20" s="1"/>
  <c r="G241" i="20" s="1"/>
  <c r="H241" i="20" s="1"/>
  <c r="I241" i="20" s="1"/>
  <c r="J241" i="20" s="1"/>
  <c r="K241" i="20" s="1"/>
  <c r="L241" i="20" s="1"/>
  <c r="M241" i="20" s="1"/>
  <c r="N241" i="20" s="1"/>
  <c r="O241" i="20" s="1"/>
  <c r="P241" i="20" s="1"/>
  <c r="Q241" i="20" s="1"/>
  <c r="R241" i="20" s="1"/>
  <c r="S241" i="20" s="1"/>
  <c r="T241" i="20" s="1"/>
  <c r="U241" i="20" s="1"/>
  <c r="V241" i="20" s="1"/>
  <c r="W241" i="20" s="1"/>
  <c r="X241" i="20" s="1"/>
  <c r="Y241" i="20" s="1"/>
  <c r="Z241" i="20" s="1"/>
  <c r="AA241" i="20" s="1"/>
  <c r="AB241" i="20" s="1"/>
  <c r="AC241" i="20" s="1"/>
  <c r="AD241" i="20" s="1"/>
  <c r="AE241" i="20" s="1"/>
  <c r="AF241" i="20" s="1"/>
  <c r="D240" i="20"/>
  <c r="AG238" i="20"/>
  <c r="C238" i="20"/>
  <c r="D237" i="20"/>
  <c r="D238" i="20" s="1"/>
  <c r="R308" i="20"/>
  <c r="D306" i="20"/>
  <c r="D307" i="20" s="1"/>
  <c r="S308" i="20" s="1"/>
  <c r="D249" i="20"/>
  <c r="E249" i="20" s="1"/>
  <c r="F249" i="20" s="1"/>
  <c r="G249" i="20" s="1"/>
  <c r="H249" i="20" s="1"/>
  <c r="I249" i="20" s="1"/>
  <c r="J249" i="20" s="1"/>
  <c r="K249" i="20" s="1"/>
  <c r="L249" i="20" s="1"/>
  <c r="M249" i="20" s="1"/>
  <c r="N249" i="20" s="1"/>
  <c r="O249" i="20" s="1"/>
  <c r="P249" i="20" s="1"/>
  <c r="Q249" i="20" s="1"/>
  <c r="R249" i="20" s="1"/>
  <c r="S249" i="20" s="1"/>
  <c r="T249" i="20" s="1"/>
  <c r="U249" i="20" s="1"/>
  <c r="V249" i="20" s="1"/>
  <c r="W249" i="20" s="1"/>
  <c r="X249" i="20" s="1"/>
  <c r="Y249" i="20" s="1"/>
  <c r="Z249" i="20" s="1"/>
  <c r="AA249" i="20" s="1"/>
  <c r="AB249" i="20" s="1"/>
  <c r="AC249" i="20" s="1"/>
  <c r="AD249" i="20" s="1"/>
  <c r="AE249" i="20" s="1"/>
  <c r="AF249" i="20" s="1"/>
  <c r="B36" i="27" l="1"/>
  <c r="V117" i="29"/>
  <c r="W116" i="29"/>
  <c r="X108" i="29"/>
  <c r="X112" i="29"/>
  <c r="X185" i="29"/>
  <c r="X186" i="29" s="1"/>
  <c r="W130" i="29"/>
  <c r="W110" i="29"/>
  <c r="W129" i="29"/>
  <c r="X189" i="29"/>
  <c r="W134" i="29"/>
  <c r="W109" i="29"/>
  <c r="Y111" i="29"/>
  <c r="X119" i="29"/>
  <c r="X123" i="29"/>
  <c r="X122" i="29"/>
  <c r="W115" i="29"/>
  <c r="Z118" i="29"/>
  <c r="W125" i="29"/>
  <c r="Z128" i="29"/>
  <c r="X132" i="29"/>
  <c r="W133" i="29"/>
  <c r="W113" i="29"/>
  <c r="Y131" i="29"/>
  <c r="W124" i="29"/>
  <c r="W124" i="28"/>
  <c r="X144" i="28"/>
  <c r="X137" i="28"/>
  <c r="X136" i="28"/>
  <c r="W143" i="28"/>
  <c r="X130" i="28"/>
  <c r="W131" i="28"/>
  <c r="V203" i="28"/>
  <c r="Y129" i="28"/>
  <c r="W122" i="28"/>
  <c r="Y133" i="28"/>
  <c r="X138" i="28"/>
  <c r="X146" i="28"/>
  <c r="W125" i="28"/>
  <c r="W123" i="28"/>
  <c r="X148" i="28"/>
  <c r="W127" i="28"/>
  <c r="X126" i="28"/>
  <c r="W147" i="28"/>
  <c r="W139" i="28"/>
  <c r="W145" i="28"/>
  <c r="X132" i="28"/>
  <c r="AA199" i="28"/>
  <c r="AA200" i="28" s="1"/>
  <c r="W188" i="19"/>
  <c r="W192" i="19"/>
  <c r="W211" i="19"/>
  <c r="W189" i="19"/>
  <c r="X264" i="19"/>
  <c r="X265" i="19" s="1"/>
  <c r="X212" i="19"/>
  <c r="X208" i="19"/>
  <c r="W201" i="19"/>
  <c r="X190" i="19"/>
  <c r="Y203" i="19"/>
  <c r="W191" i="19"/>
  <c r="W202" i="19"/>
  <c r="W213" i="19"/>
  <c r="W198" i="19"/>
  <c r="W187" i="19"/>
  <c r="W197" i="19"/>
  <c r="W210" i="19"/>
  <c r="AC207" i="19"/>
  <c r="W209" i="19"/>
  <c r="W195" i="19"/>
  <c r="V196" i="19"/>
  <c r="X204" i="19"/>
  <c r="M308" i="20"/>
  <c r="F243" i="20"/>
  <c r="E244" i="20"/>
  <c r="F239" i="20"/>
  <c r="E246" i="20"/>
  <c r="E240" i="20"/>
  <c r="E245" i="20"/>
  <c r="E237" i="20"/>
  <c r="E306" i="20"/>
  <c r="E307" i="20" s="1"/>
  <c r="T308" i="20" s="1"/>
  <c r="W117" i="29" l="1"/>
  <c r="X116" i="29"/>
  <c r="X109" i="29"/>
  <c r="Y189" i="29"/>
  <c r="Y112" i="29"/>
  <c r="Y108" i="29"/>
  <c r="X113" i="29"/>
  <c r="Y132" i="29"/>
  <c r="X125" i="29"/>
  <c r="Y122" i="29"/>
  <c r="Z111" i="29"/>
  <c r="X110" i="29"/>
  <c r="X124" i="29"/>
  <c r="X134" i="29"/>
  <c r="X129" i="29"/>
  <c r="Z131" i="29"/>
  <c r="X133" i="29"/>
  <c r="AA128" i="29"/>
  <c r="AA118" i="29"/>
  <c r="X115" i="29"/>
  <c r="Y123" i="29"/>
  <c r="Y119" i="29"/>
  <c r="X130" i="29"/>
  <c r="Y185" i="29"/>
  <c r="Y186" i="29" s="1"/>
  <c r="X124" i="28"/>
  <c r="X147" i="28"/>
  <c r="Y148" i="28"/>
  <c r="Y137" i="28"/>
  <c r="Y138" i="28"/>
  <c r="Z129" i="28"/>
  <c r="X131" i="28"/>
  <c r="Y130" i="28"/>
  <c r="Y144" i="28"/>
  <c r="X145" i="28"/>
  <c r="Y126" i="28"/>
  <c r="X143" i="28"/>
  <c r="X139" i="28"/>
  <c r="X127" i="28"/>
  <c r="X123" i="28"/>
  <c r="X125" i="28"/>
  <c r="X122" i="28"/>
  <c r="AB199" i="28"/>
  <c r="AB200" i="28" s="1"/>
  <c r="Y132" i="28"/>
  <c r="Y146" i="28"/>
  <c r="Z133" i="28"/>
  <c r="W203" i="28"/>
  <c r="Y136" i="28"/>
  <c r="X192" i="19"/>
  <c r="X189" i="19"/>
  <c r="X211" i="19"/>
  <c r="X188" i="19"/>
  <c r="X201" i="19"/>
  <c r="W196" i="19"/>
  <c r="X195" i="19"/>
  <c r="Z203" i="19"/>
  <c r="Y208" i="19"/>
  <c r="Y264" i="19"/>
  <c r="Y265" i="19" s="1"/>
  <c r="AD207" i="19"/>
  <c r="X191" i="19"/>
  <c r="Y190" i="19"/>
  <c r="Y212" i="19"/>
  <c r="X209" i="19"/>
  <c r="X187" i="19"/>
  <c r="X213" i="19"/>
  <c r="X202" i="19"/>
  <c r="Y204" i="19"/>
  <c r="X210" i="19"/>
  <c r="X197" i="19"/>
  <c r="X198" i="19"/>
  <c r="F244" i="20"/>
  <c r="F240" i="20"/>
  <c r="G239" i="20"/>
  <c r="F246" i="20"/>
  <c r="F245" i="20"/>
  <c r="G243" i="20"/>
  <c r="E238" i="20"/>
  <c r="F237" i="20"/>
  <c r="F306" i="20"/>
  <c r="F307" i="20" s="1"/>
  <c r="U308" i="20" s="1"/>
  <c r="X117" i="29" l="1"/>
  <c r="Y116" i="29"/>
  <c r="Z122" i="29"/>
  <c r="Z189" i="29"/>
  <c r="Z185" i="29"/>
  <c r="Z186" i="29" s="1"/>
  <c r="AB118" i="29"/>
  <c r="AA131" i="29"/>
  <c r="Y129" i="29"/>
  <c r="Y124" i="29"/>
  <c r="Z132" i="29"/>
  <c r="Z112" i="29"/>
  <c r="Y109" i="29"/>
  <c r="Z119" i="29"/>
  <c r="Y110" i="29"/>
  <c r="Z123" i="29"/>
  <c r="AB128" i="29"/>
  <c r="AA111" i="29"/>
  <c r="Y130" i="29"/>
  <c r="Y115" i="29"/>
  <c r="Y133" i="29"/>
  <c r="Y134" i="29"/>
  <c r="Y125" i="29"/>
  <c r="Y113" i="29"/>
  <c r="Z108" i="29"/>
  <c r="Y124" i="28"/>
  <c r="Y127" i="28"/>
  <c r="Z126" i="28"/>
  <c r="Z148" i="28"/>
  <c r="Y125" i="28"/>
  <c r="Z144" i="28"/>
  <c r="Z137" i="28"/>
  <c r="Z136" i="28"/>
  <c r="AA133" i="28"/>
  <c r="Y122" i="28"/>
  <c r="Y139" i="28"/>
  <c r="Y143" i="28"/>
  <c r="Y145" i="28"/>
  <c r="Y147" i="28"/>
  <c r="Z146" i="28"/>
  <c r="AC199" i="28"/>
  <c r="AC200" i="28" s="1"/>
  <c r="X203" i="28"/>
  <c r="Z132" i="28"/>
  <c r="Y123" i="28"/>
  <c r="Z130" i="28"/>
  <c r="Y131" i="28"/>
  <c r="AA129" i="28"/>
  <c r="Z138" i="28"/>
  <c r="Y188" i="19"/>
  <c r="Y192" i="19"/>
  <c r="Y189" i="19"/>
  <c r="Y211" i="19"/>
  <c r="Y210" i="19"/>
  <c r="Y187" i="19"/>
  <c r="Z212" i="19"/>
  <c r="Y191" i="19"/>
  <c r="X196" i="19"/>
  <c r="Y195" i="19"/>
  <c r="Y201" i="19"/>
  <c r="Y197" i="19"/>
  <c r="Z204" i="19"/>
  <c r="Y213" i="19"/>
  <c r="Y209" i="19"/>
  <c r="Z264" i="19"/>
  <c r="Z265" i="19" s="1"/>
  <c r="Y198" i="19"/>
  <c r="Y202" i="19"/>
  <c r="AE207" i="19"/>
  <c r="Z190" i="19"/>
  <c r="Z208" i="19"/>
  <c r="AA203" i="19"/>
  <c r="H243" i="20"/>
  <c r="G246" i="20"/>
  <c r="G240" i="20"/>
  <c r="G245" i="20"/>
  <c r="H239" i="20"/>
  <c r="G244" i="20"/>
  <c r="G237" i="20"/>
  <c r="F238" i="20"/>
  <c r="G306" i="20"/>
  <c r="G307" i="20" s="1"/>
  <c r="V308" i="20" s="1"/>
  <c r="Z116" i="29" l="1"/>
  <c r="Y117" i="29"/>
  <c r="Z125" i="29"/>
  <c r="AA108" i="29"/>
  <c r="Z134" i="29"/>
  <c r="AC118" i="29"/>
  <c r="Z115" i="29"/>
  <c r="AC128" i="29"/>
  <c r="AA112" i="29"/>
  <c r="Z124" i="29"/>
  <c r="AA189" i="29"/>
  <c r="AB131" i="29"/>
  <c r="AA122" i="29"/>
  <c r="Z113" i="29"/>
  <c r="Z133" i="29"/>
  <c r="Z130" i="29"/>
  <c r="AB111" i="29"/>
  <c r="AA123" i="29"/>
  <c r="Z110" i="29"/>
  <c r="AA119" i="29"/>
  <c r="Z109" i="29"/>
  <c r="AA132" i="29"/>
  <c r="Z129" i="29"/>
  <c r="AA185" i="29"/>
  <c r="AA186" i="29" s="1"/>
  <c r="Z124" i="28"/>
  <c r="Z123" i="28"/>
  <c r="AA146" i="28"/>
  <c r="AA136" i="28"/>
  <c r="AA144" i="28"/>
  <c r="AA148" i="28"/>
  <c r="AB129" i="28"/>
  <c r="Z145" i="28"/>
  <c r="Y203" i="28"/>
  <c r="Z143" i="28"/>
  <c r="Z122" i="28"/>
  <c r="Z139" i="28"/>
  <c r="AA138" i="28"/>
  <c r="Z131" i="28"/>
  <c r="AA130" i="28"/>
  <c r="AA132" i="28"/>
  <c r="AD199" i="28"/>
  <c r="AD200" i="28" s="1"/>
  <c r="Z147" i="28"/>
  <c r="AB133" i="28"/>
  <c r="AA137" i="28"/>
  <c r="Z125" i="28"/>
  <c r="AA126" i="28"/>
  <c r="Z127" i="28"/>
  <c r="Z211" i="19"/>
  <c r="Z189" i="19"/>
  <c r="Z192" i="19"/>
  <c r="Z188" i="19"/>
  <c r="Z201" i="19"/>
  <c r="Z191" i="19"/>
  <c r="Z202" i="19"/>
  <c r="AB203" i="19"/>
  <c r="AF207" i="19"/>
  <c r="AA264" i="19"/>
  <c r="AA265" i="19" s="1"/>
  <c r="Z213" i="19"/>
  <c r="Y196" i="19"/>
  <c r="Z195" i="19"/>
  <c r="AA212" i="19"/>
  <c r="Z210" i="19"/>
  <c r="AA208" i="19"/>
  <c r="Z209" i="19"/>
  <c r="AA190" i="19"/>
  <c r="AA204" i="19"/>
  <c r="Z187" i="19"/>
  <c r="Z198" i="19"/>
  <c r="Z197" i="19"/>
  <c r="H244" i="20"/>
  <c r="H245" i="20"/>
  <c r="H246" i="20"/>
  <c r="I239" i="20"/>
  <c r="H240" i="20"/>
  <c r="I243" i="20"/>
  <c r="H237" i="20"/>
  <c r="G238" i="20"/>
  <c r="H306" i="20"/>
  <c r="H307" i="20" s="1"/>
  <c r="W308" i="20" s="1"/>
  <c r="AA116" i="29" l="1"/>
  <c r="Z117" i="29"/>
  <c r="AB112" i="29"/>
  <c r="AB185" i="29"/>
  <c r="AB186" i="29" s="1"/>
  <c r="AB132" i="29"/>
  <c r="AB119" i="29"/>
  <c r="AB123" i="29"/>
  <c r="AA130" i="29"/>
  <c r="AB122" i="29"/>
  <c r="AA134" i="29"/>
  <c r="AA124" i="29"/>
  <c r="AA115" i="29"/>
  <c r="AA125" i="29"/>
  <c r="AA129" i="29"/>
  <c r="AA109" i="29"/>
  <c r="AA110" i="29"/>
  <c r="AC111" i="29"/>
  <c r="AA133" i="29"/>
  <c r="AA113" i="29"/>
  <c r="AC131" i="29"/>
  <c r="AB189" i="29"/>
  <c r="AD128" i="29"/>
  <c r="AD118" i="29"/>
  <c r="AB108" i="29"/>
  <c r="AA124" i="28"/>
  <c r="AA139" i="28"/>
  <c r="AB136" i="28"/>
  <c r="AA127" i="28"/>
  <c r="AC133" i="28"/>
  <c r="AB130" i="28"/>
  <c r="AA131" i="28"/>
  <c r="AB138" i="28"/>
  <c r="Z203" i="28"/>
  <c r="AB144" i="28"/>
  <c r="AE199" i="28"/>
  <c r="AE200" i="28" s="1"/>
  <c r="AA143" i="28"/>
  <c r="AA145" i="28"/>
  <c r="AB146" i="28"/>
  <c r="AA123" i="28"/>
  <c r="AA125" i="28"/>
  <c r="AA122" i="28"/>
  <c r="AC129" i="28"/>
  <c r="AB137" i="28"/>
  <c r="AB126" i="28"/>
  <c r="AA147" i="28"/>
  <c r="AB132" i="28"/>
  <c r="AB148" i="28"/>
  <c r="AA188" i="19"/>
  <c r="AA189" i="19"/>
  <c r="AA192" i="19"/>
  <c r="AA211" i="19"/>
  <c r="AB204" i="19"/>
  <c r="AA209" i="19"/>
  <c r="AA210" i="19"/>
  <c r="AB264" i="19"/>
  <c r="AB265" i="19" s="1"/>
  <c r="AC203" i="19"/>
  <c r="AA202" i="19"/>
  <c r="AA201" i="19"/>
  <c r="AB208" i="19"/>
  <c r="AA191" i="19"/>
  <c r="AA198" i="19"/>
  <c r="AA197" i="19"/>
  <c r="AA187" i="19"/>
  <c r="AB190" i="19"/>
  <c r="AB212" i="19"/>
  <c r="AA195" i="19"/>
  <c r="Z196" i="19"/>
  <c r="AA213" i="19"/>
  <c r="J243" i="20"/>
  <c r="J239" i="20"/>
  <c r="I245" i="20"/>
  <c r="I240" i="20"/>
  <c r="I246" i="20"/>
  <c r="I244" i="20"/>
  <c r="H238" i="20"/>
  <c r="I237" i="20"/>
  <c r="I306" i="20"/>
  <c r="I307" i="20" s="1"/>
  <c r="X308" i="20" s="1"/>
  <c r="AB116" i="29" l="1"/>
  <c r="AA117" i="29"/>
  <c r="AC189" i="29"/>
  <c r="AE118" i="29"/>
  <c r="AD131" i="29"/>
  <c r="AB133" i="29"/>
  <c r="AB110" i="29"/>
  <c r="AB129" i="29"/>
  <c r="AB134" i="29"/>
  <c r="AC122" i="29"/>
  <c r="AC123" i="29"/>
  <c r="AC132" i="29"/>
  <c r="AC112" i="29"/>
  <c r="AC108" i="29"/>
  <c r="AB113" i="29"/>
  <c r="AB109" i="29"/>
  <c r="AB115" i="29"/>
  <c r="AB130" i="29"/>
  <c r="AC119" i="29"/>
  <c r="AD111" i="29"/>
  <c r="AE128" i="29"/>
  <c r="AB125" i="29"/>
  <c r="AB124" i="29"/>
  <c r="AC185" i="29"/>
  <c r="AC186" i="29" s="1"/>
  <c r="AB124" i="28"/>
  <c r="AD133" i="28"/>
  <c r="AC126" i="28"/>
  <c r="AC137" i="28"/>
  <c r="AD129" i="28"/>
  <c r="AC146" i="28"/>
  <c r="AB143" i="28"/>
  <c r="AC144" i="28"/>
  <c r="AA203" i="28"/>
  <c r="AC148" i="28"/>
  <c r="AB125" i="28"/>
  <c r="AB139" i="28"/>
  <c r="AC132" i="28"/>
  <c r="AB123" i="28"/>
  <c r="AC138" i="28"/>
  <c r="AB131" i="28"/>
  <c r="AC130" i="28"/>
  <c r="AB127" i="28"/>
  <c r="AC136" i="28"/>
  <c r="AB122" i="28"/>
  <c r="AB147" i="28"/>
  <c r="AB145" i="28"/>
  <c r="AF199" i="28"/>
  <c r="AF200" i="28" s="1"/>
  <c r="AB211" i="19"/>
  <c r="AB189" i="19"/>
  <c r="AB188" i="19"/>
  <c r="AB192" i="19"/>
  <c r="AB202" i="19"/>
  <c r="AC264" i="19"/>
  <c r="AC265" i="19" s="1"/>
  <c r="AB210" i="19"/>
  <c r="AC212" i="19"/>
  <c r="AB187" i="19"/>
  <c r="AB213" i="19"/>
  <c r="AB191" i="19"/>
  <c r="AC204" i="19"/>
  <c r="AB198" i="19"/>
  <c r="AC208" i="19"/>
  <c r="AB195" i="19"/>
  <c r="AA196" i="19"/>
  <c r="AC190" i="19"/>
  <c r="AB197" i="19"/>
  <c r="AB201" i="19"/>
  <c r="AD203" i="19"/>
  <c r="AB209" i="19"/>
  <c r="J244" i="20"/>
  <c r="J240" i="20"/>
  <c r="K239" i="20"/>
  <c r="J246" i="20"/>
  <c r="J245" i="20"/>
  <c r="K243" i="20"/>
  <c r="I238" i="20"/>
  <c r="J237" i="20"/>
  <c r="J306" i="20"/>
  <c r="J307" i="20" s="1"/>
  <c r="Y308" i="20" s="1"/>
  <c r="AC116" i="29" l="1"/>
  <c r="AB117" i="29"/>
  <c r="AF128" i="29"/>
  <c r="AD112" i="29"/>
  <c r="AC129" i="29"/>
  <c r="AC133" i="29"/>
  <c r="AD185" i="29"/>
  <c r="AD186" i="29" s="1"/>
  <c r="AC125" i="29"/>
  <c r="AC130" i="29"/>
  <c r="AC115" i="29"/>
  <c r="AC113" i="29"/>
  <c r="AD123" i="29"/>
  <c r="AC134" i="29"/>
  <c r="AC124" i="29"/>
  <c r="AD108" i="29"/>
  <c r="AC110" i="29"/>
  <c r="AE131" i="29"/>
  <c r="AD189" i="29"/>
  <c r="AE111" i="29"/>
  <c r="AD119" i="29"/>
  <c r="AC109" i="29"/>
  <c r="AD132" i="29"/>
  <c r="AD122" i="29"/>
  <c r="AF118" i="29"/>
  <c r="AC124" i="28"/>
  <c r="AC125" i="28"/>
  <c r="AD146" i="28"/>
  <c r="AD137" i="28"/>
  <c r="AE133" i="28"/>
  <c r="AG199" i="28"/>
  <c r="AG200" i="28" s="1"/>
  <c r="AC147" i="28"/>
  <c r="AD136" i="28"/>
  <c r="AC131" i="28"/>
  <c r="AD130" i="28"/>
  <c r="AD132" i="28"/>
  <c r="AC139" i="28"/>
  <c r="AD148" i="28"/>
  <c r="AB203" i="28"/>
  <c r="AD138" i="28"/>
  <c r="AD144" i="28"/>
  <c r="AC143" i="28"/>
  <c r="AE129" i="28"/>
  <c r="AC145" i="28"/>
  <c r="AC123" i="28"/>
  <c r="AC122" i="28"/>
  <c r="AC127" i="28"/>
  <c r="AD126" i="28"/>
  <c r="AC192" i="19"/>
  <c r="AC189" i="19"/>
  <c r="AC188" i="19"/>
  <c r="AC211" i="19"/>
  <c r="AC198" i="19"/>
  <c r="AD212" i="19"/>
  <c r="AB196" i="19"/>
  <c r="AC195" i="19"/>
  <c r="AD204" i="19"/>
  <c r="AC209" i="19"/>
  <c r="AE203" i="19"/>
  <c r="AD264" i="19"/>
  <c r="AD265" i="19" s="1"/>
  <c r="AC201" i="19"/>
  <c r="AD190" i="19"/>
  <c r="AC213" i="19"/>
  <c r="AC197" i="19"/>
  <c r="AD208" i="19"/>
  <c r="AC191" i="19"/>
  <c r="AC187" i="19"/>
  <c r="AC210" i="19"/>
  <c r="AC202" i="19"/>
  <c r="K246" i="20"/>
  <c r="K240" i="20"/>
  <c r="L243" i="20"/>
  <c r="K245" i="20"/>
  <c r="L239" i="20"/>
  <c r="K244" i="20"/>
  <c r="K237" i="20"/>
  <c r="J238" i="20"/>
  <c r="K306" i="20"/>
  <c r="K307" i="20" s="1"/>
  <c r="Z308" i="20" s="1"/>
  <c r="AD116" i="29" l="1"/>
  <c r="AC117" i="29"/>
  <c r="AE108" i="29"/>
  <c r="AD134" i="29"/>
  <c r="AD113" i="29"/>
  <c r="AD129" i="29"/>
  <c r="AE112" i="29"/>
  <c r="AE122" i="29"/>
  <c r="AD109" i="29"/>
  <c r="AF111" i="29"/>
  <c r="AD110" i="29"/>
  <c r="AD124" i="29"/>
  <c r="AE189" i="29"/>
  <c r="AE123" i="29"/>
  <c r="AD125" i="29"/>
  <c r="AD133" i="29"/>
  <c r="AE132" i="29"/>
  <c r="AE119" i="29"/>
  <c r="AF131" i="29"/>
  <c r="AD115" i="29"/>
  <c r="AD130" i="29"/>
  <c r="AE185" i="29"/>
  <c r="AE186" i="29" s="1"/>
  <c r="AD124" i="28"/>
  <c r="AD127" i="28"/>
  <c r="AF133" i="28"/>
  <c r="AD125" i="28"/>
  <c r="AD122" i="28"/>
  <c r="AE132" i="28"/>
  <c r="AD147" i="28"/>
  <c r="AE146" i="28"/>
  <c r="AE126" i="28"/>
  <c r="AD145" i="28"/>
  <c r="AD143" i="28"/>
  <c r="AE148" i="28"/>
  <c r="AD123" i="28"/>
  <c r="AF129" i="28"/>
  <c r="AE144" i="28"/>
  <c r="AE138" i="28"/>
  <c r="AC203" i="28"/>
  <c r="AD139" i="28"/>
  <c r="AD131" i="28"/>
  <c r="AE130" i="28"/>
  <c r="AE136" i="28"/>
  <c r="AE137" i="28"/>
  <c r="AD211" i="19"/>
  <c r="AD188" i="19"/>
  <c r="AD192" i="19"/>
  <c r="AD189" i="19"/>
  <c r="AD191" i="19"/>
  <c r="AD197" i="19"/>
  <c r="AE190" i="19"/>
  <c r="AE204" i="19"/>
  <c r="AD202" i="19"/>
  <c r="AD187" i="19"/>
  <c r="AE208" i="19"/>
  <c r="AD201" i="19"/>
  <c r="AF203" i="19"/>
  <c r="AC196" i="19"/>
  <c r="AD195" i="19"/>
  <c r="AE212" i="19"/>
  <c r="AD210" i="19"/>
  <c r="AD198" i="19"/>
  <c r="AD213" i="19"/>
  <c r="AE264" i="19"/>
  <c r="AE265" i="19" s="1"/>
  <c r="AD209" i="19"/>
  <c r="L244" i="20"/>
  <c r="L245" i="20"/>
  <c r="L240" i="20"/>
  <c r="M239" i="20"/>
  <c r="M243" i="20"/>
  <c r="L246" i="20"/>
  <c r="L237" i="20"/>
  <c r="K238" i="20"/>
  <c r="L306" i="20"/>
  <c r="L307" i="20" s="1"/>
  <c r="AA308" i="20" s="1"/>
  <c r="AD117" i="29" l="1"/>
  <c r="AE116" i="29"/>
  <c r="AF119" i="29"/>
  <c r="AF123" i="29"/>
  <c r="AE129" i="29"/>
  <c r="AF185" i="29"/>
  <c r="AF186" i="29" s="1"/>
  <c r="AE115" i="29"/>
  <c r="AE110" i="29"/>
  <c r="AE109" i="29"/>
  <c r="AE113" i="29"/>
  <c r="AF108" i="29"/>
  <c r="AF132" i="29"/>
  <c r="AE125" i="29"/>
  <c r="AF189" i="29"/>
  <c r="AF112" i="29"/>
  <c r="AE130" i="29"/>
  <c r="AE133" i="29"/>
  <c r="AE124" i="29"/>
  <c r="AF122" i="29"/>
  <c r="AE134" i="29"/>
  <c r="AE124" i="28"/>
  <c r="AE122" i="28"/>
  <c r="AF132" i="28"/>
  <c r="AF136" i="28"/>
  <c r="AD203" i="28"/>
  <c r="AF144" i="28"/>
  <c r="AE123" i="28"/>
  <c r="AF148" i="28"/>
  <c r="AE145" i="28"/>
  <c r="AF126" i="28"/>
  <c r="AE147" i="28"/>
  <c r="AE125" i="28"/>
  <c r="AE139" i="28"/>
  <c r="AE143" i="28"/>
  <c r="AF137" i="28"/>
  <c r="AF130" i="28"/>
  <c r="AE131" i="28"/>
  <c r="AF138" i="28"/>
  <c r="AF146" i="28"/>
  <c r="AE127" i="28"/>
  <c r="AE188" i="19"/>
  <c r="AE192" i="19"/>
  <c r="AE211" i="19"/>
  <c r="AE189" i="19"/>
  <c r="AE209" i="19"/>
  <c r="AE213" i="19"/>
  <c r="AE202" i="19"/>
  <c r="AF204" i="19"/>
  <c r="AF190" i="19"/>
  <c r="AE198" i="19"/>
  <c r="AE195" i="19"/>
  <c r="AD196" i="19"/>
  <c r="AF208" i="19"/>
  <c r="AE210" i="19"/>
  <c r="AE201" i="19"/>
  <c r="AE191" i="19"/>
  <c r="AF212" i="19"/>
  <c r="AF264" i="19"/>
  <c r="AF265" i="19" s="1"/>
  <c r="AE187" i="19"/>
  <c r="AE197" i="19"/>
  <c r="M246" i="20"/>
  <c r="N239" i="20"/>
  <c r="M245" i="20"/>
  <c r="N243" i="20"/>
  <c r="M240" i="20"/>
  <c r="M244" i="20"/>
  <c r="L238" i="20"/>
  <c r="M237" i="20"/>
  <c r="M306" i="20"/>
  <c r="M307" i="20" s="1"/>
  <c r="AB308" i="20" s="1"/>
  <c r="AE117" i="29" l="1"/>
  <c r="AF116" i="29"/>
  <c r="AF117" i="29" s="1"/>
  <c r="AF113" i="29"/>
  <c r="AF109" i="29"/>
  <c r="AG185" i="29"/>
  <c r="AG186" i="29" s="1"/>
  <c r="AF124" i="29"/>
  <c r="AF130" i="29"/>
  <c r="AF125" i="29"/>
  <c r="AF115" i="29"/>
  <c r="AF129" i="29"/>
  <c r="AF110" i="29"/>
  <c r="AF134" i="29"/>
  <c r="AF133" i="29"/>
  <c r="AG189" i="29"/>
  <c r="AF124" i="28"/>
  <c r="AF139" i="28"/>
  <c r="AF122" i="28"/>
  <c r="AF143" i="28"/>
  <c r="AF147" i="28"/>
  <c r="AF145" i="28"/>
  <c r="AF123" i="28"/>
  <c r="AF127" i="28"/>
  <c r="AF131" i="28"/>
  <c r="AF125" i="28"/>
  <c r="AE203" i="28"/>
  <c r="AF189" i="19"/>
  <c r="AF192" i="19"/>
  <c r="AF211" i="19"/>
  <c r="AF188" i="19"/>
  <c r="AF191" i="19"/>
  <c r="AF210" i="19"/>
  <c r="AF198" i="19"/>
  <c r="AG264" i="19"/>
  <c r="AG265" i="19" s="1"/>
  <c r="AF213" i="19"/>
  <c r="AF187" i="19"/>
  <c r="AE196" i="19"/>
  <c r="AF195" i="19"/>
  <c r="AF209" i="19"/>
  <c r="AF197" i="19"/>
  <c r="AF202" i="19"/>
  <c r="AF201" i="19"/>
  <c r="N244" i="20"/>
  <c r="O243" i="20"/>
  <c r="O239" i="20"/>
  <c r="N240" i="20"/>
  <c r="N245" i="20"/>
  <c r="N246" i="20"/>
  <c r="M238" i="20"/>
  <c r="N237" i="20"/>
  <c r="N306" i="20"/>
  <c r="N307" i="20" s="1"/>
  <c r="AC308" i="20" s="1"/>
  <c r="AF203" i="28" l="1"/>
  <c r="AF196" i="19"/>
  <c r="O240" i="20"/>
  <c r="O246" i="20"/>
  <c r="P243" i="20"/>
  <c r="O245" i="20"/>
  <c r="P239" i="20"/>
  <c r="O244" i="20"/>
  <c r="O237" i="20"/>
  <c r="N238" i="20"/>
  <c r="O306" i="20"/>
  <c r="O307" i="20" s="1"/>
  <c r="AD308" i="20" s="1"/>
  <c r="AG203" i="28" l="1"/>
  <c r="P245" i="20"/>
  <c r="P246" i="20"/>
  <c r="P244" i="20"/>
  <c r="Q239" i="20"/>
  <c r="Q243" i="20"/>
  <c r="P240" i="20"/>
  <c r="P237" i="20"/>
  <c r="O238" i="20"/>
  <c r="P306" i="20"/>
  <c r="P307" i="20" s="1"/>
  <c r="AE308" i="20" s="1"/>
  <c r="Q246" i="20" l="1"/>
  <c r="R239" i="20"/>
  <c r="Q240" i="20"/>
  <c r="R243" i="20"/>
  <c r="Q244" i="20"/>
  <c r="Q245" i="20"/>
  <c r="P238" i="20"/>
  <c r="Q237" i="20"/>
  <c r="Q306" i="20"/>
  <c r="Q307" i="20" s="1"/>
  <c r="AF308" i="20" s="1"/>
  <c r="R245" i="20" l="1"/>
  <c r="S243" i="20"/>
  <c r="S239" i="20"/>
  <c r="R244" i="20"/>
  <c r="R240" i="20"/>
  <c r="R246" i="20"/>
  <c r="Q238" i="20"/>
  <c r="R237" i="20"/>
  <c r="R306" i="20"/>
  <c r="R307" i="20" s="1"/>
  <c r="AG308" i="20" s="1"/>
  <c r="S246" i="20" l="1"/>
  <c r="S244" i="20"/>
  <c r="T243" i="20"/>
  <c r="S240" i="20"/>
  <c r="T239" i="20"/>
  <c r="S245" i="20"/>
  <c r="S237" i="20"/>
  <c r="R238" i="20"/>
  <c r="S306" i="20"/>
  <c r="S307" i="20" s="1"/>
  <c r="T244" i="20" l="1"/>
  <c r="T240" i="20"/>
  <c r="T245" i="20"/>
  <c r="U239" i="20"/>
  <c r="U243" i="20"/>
  <c r="T246" i="20"/>
  <c r="T237" i="20"/>
  <c r="S238" i="20"/>
  <c r="T306" i="20"/>
  <c r="T307" i="20" s="1"/>
  <c r="U246" i="20" l="1"/>
  <c r="U240" i="20"/>
  <c r="V239" i="20"/>
  <c r="V243" i="20"/>
  <c r="U245" i="20"/>
  <c r="U244" i="20"/>
  <c r="T238" i="20"/>
  <c r="U237" i="20"/>
  <c r="U306" i="20"/>
  <c r="U307" i="20" s="1"/>
  <c r="V244" i="20" l="1"/>
  <c r="W243" i="20"/>
  <c r="V240" i="20"/>
  <c r="V245" i="20"/>
  <c r="W239" i="20"/>
  <c r="V246" i="20"/>
  <c r="U238" i="20"/>
  <c r="V237" i="20"/>
  <c r="V306" i="20"/>
  <c r="V307" i="20" s="1"/>
  <c r="W246" i="20" l="1"/>
  <c r="W245" i="20"/>
  <c r="X243" i="20"/>
  <c r="X239" i="20"/>
  <c r="W240" i="20"/>
  <c r="W244" i="20"/>
  <c r="W237" i="20"/>
  <c r="V238" i="20"/>
  <c r="W306" i="20"/>
  <c r="W307" i="20" s="1"/>
  <c r="X244" i="20" l="1"/>
  <c r="Y239" i="20"/>
  <c r="X245" i="20"/>
  <c r="X240" i="20"/>
  <c r="Y243" i="20"/>
  <c r="X246" i="20"/>
  <c r="X237" i="20"/>
  <c r="W238" i="20"/>
  <c r="X306" i="20"/>
  <c r="X307" i="20" s="1"/>
  <c r="Y246" i="20" l="1"/>
  <c r="Z239" i="20"/>
  <c r="Y240" i="20"/>
  <c r="Z243" i="20"/>
  <c r="Y245" i="20"/>
  <c r="Y244" i="20"/>
  <c r="X238" i="20"/>
  <c r="Y237" i="20"/>
  <c r="Y306" i="20"/>
  <c r="Y307" i="20" s="1"/>
  <c r="Z244" i="20" l="1"/>
  <c r="AA243" i="20"/>
  <c r="AA239" i="20"/>
  <c r="Z245" i="20"/>
  <c r="Z240" i="20"/>
  <c r="Z246" i="20"/>
  <c r="Y238" i="20"/>
  <c r="Z237" i="20"/>
  <c r="Z306" i="20"/>
  <c r="Z307" i="20" s="1"/>
  <c r="AA246" i="20" l="1"/>
  <c r="AA245" i="20"/>
  <c r="AB243" i="20"/>
  <c r="AA240" i="20"/>
  <c r="AB239" i="20"/>
  <c r="AA244" i="20"/>
  <c r="AA237" i="20"/>
  <c r="Z238" i="20"/>
  <c r="AA306" i="20"/>
  <c r="AA307" i="20" s="1"/>
  <c r="AB240" i="20" l="1"/>
  <c r="AB244" i="20"/>
  <c r="AB245" i="20"/>
  <c r="AC239" i="20"/>
  <c r="AC243" i="20"/>
  <c r="AB246" i="20"/>
  <c r="AB237" i="20"/>
  <c r="AA238" i="20"/>
  <c r="AB306" i="20"/>
  <c r="AB307" i="20" s="1"/>
  <c r="AD239" i="20" l="1"/>
  <c r="AC246" i="20"/>
  <c r="AC244" i="20"/>
  <c r="AD243" i="20"/>
  <c r="AC245" i="20"/>
  <c r="AC240" i="20"/>
  <c r="AB238" i="20"/>
  <c r="AC237" i="20"/>
  <c r="AC306" i="20"/>
  <c r="AC307" i="20" s="1"/>
  <c r="AD240" i="20" l="1"/>
  <c r="AD246" i="20"/>
  <c r="AE243" i="20"/>
  <c r="AD245" i="20"/>
  <c r="AD244" i="20"/>
  <c r="AE239" i="20"/>
  <c r="AC238" i="20"/>
  <c r="AD237" i="20"/>
  <c r="AD306" i="20"/>
  <c r="AD307" i="20" s="1"/>
  <c r="AE245" i="20" l="1"/>
  <c r="AF239" i="20"/>
  <c r="AE246" i="20"/>
  <c r="AE244" i="20"/>
  <c r="AF243" i="20"/>
  <c r="AE240" i="20"/>
  <c r="AE237" i="20"/>
  <c r="AD238" i="20"/>
  <c r="AE306" i="20"/>
  <c r="AE307" i="20" s="1"/>
  <c r="AF240" i="20" l="1"/>
  <c r="AF244" i="20"/>
  <c r="AF246" i="20"/>
  <c r="AF245" i="20"/>
  <c r="AF237" i="20"/>
  <c r="AE238" i="20"/>
  <c r="AF306" i="20"/>
  <c r="AF307" i="20" s="1"/>
  <c r="AF238" i="20" l="1"/>
  <c r="AG306" i="20"/>
  <c r="AG307" i="20" s="1"/>
  <c r="D255" i="20" l="1"/>
  <c r="D254" i="20"/>
  <c r="D253" i="20"/>
  <c r="D252" i="20"/>
  <c r="D251" i="20"/>
  <c r="D236" i="20"/>
  <c r="D229" i="20"/>
  <c r="E229" i="20" s="1"/>
  <c r="F229" i="20" s="1"/>
  <c r="G229" i="20" s="1"/>
  <c r="H229" i="20" s="1"/>
  <c r="I229" i="20" s="1"/>
  <c r="J229" i="20" s="1"/>
  <c r="K229" i="20" s="1"/>
  <c r="L229" i="20" s="1"/>
  <c r="M229" i="20" s="1"/>
  <c r="N229" i="20" s="1"/>
  <c r="O229" i="20" s="1"/>
  <c r="P229" i="20" s="1"/>
  <c r="Q229" i="20" s="1"/>
  <c r="R229" i="20" s="1"/>
  <c r="S229" i="20" s="1"/>
  <c r="T229" i="20" s="1"/>
  <c r="U229" i="20" s="1"/>
  <c r="V229" i="20" s="1"/>
  <c r="W229" i="20" s="1"/>
  <c r="X229" i="20" s="1"/>
  <c r="Y229" i="20" s="1"/>
  <c r="Z229" i="20" s="1"/>
  <c r="AA229" i="20" s="1"/>
  <c r="AB229" i="20" s="1"/>
  <c r="AC229" i="20" s="1"/>
  <c r="AD229" i="20" s="1"/>
  <c r="AE229" i="20" s="1"/>
  <c r="AF229" i="20" s="1"/>
  <c r="D230" i="20"/>
  <c r="E230" i="20" s="1"/>
  <c r="F230" i="20" s="1"/>
  <c r="G230" i="20" s="1"/>
  <c r="H230" i="20" s="1"/>
  <c r="I230" i="20" s="1"/>
  <c r="J230" i="20" s="1"/>
  <c r="K230" i="20" s="1"/>
  <c r="L230" i="20" s="1"/>
  <c r="M230" i="20" s="1"/>
  <c r="N230" i="20" s="1"/>
  <c r="O230" i="20" s="1"/>
  <c r="P230" i="20" s="1"/>
  <c r="Q230" i="20" s="1"/>
  <c r="R230" i="20" s="1"/>
  <c r="S230" i="20" s="1"/>
  <c r="T230" i="20" s="1"/>
  <c r="U230" i="20" s="1"/>
  <c r="V230" i="20" s="1"/>
  <c r="W230" i="20" s="1"/>
  <c r="X230" i="20" s="1"/>
  <c r="Y230" i="20" s="1"/>
  <c r="Z230" i="20" s="1"/>
  <c r="AA230" i="20" s="1"/>
  <c r="AB230" i="20" s="1"/>
  <c r="AC230" i="20" s="1"/>
  <c r="AD230" i="20" s="1"/>
  <c r="AE230" i="20" s="1"/>
  <c r="AF230" i="20" s="1"/>
  <c r="D231" i="20"/>
  <c r="E231" i="20" s="1"/>
  <c r="F231" i="20" s="1"/>
  <c r="G231" i="20" s="1"/>
  <c r="H231" i="20" s="1"/>
  <c r="I231" i="20" s="1"/>
  <c r="J231" i="20" s="1"/>
  <c r="K231" i="20" s="1"/>
  <c r="L231" i="20" s="1"/>
  <c r="M231" i="20" s="1"/>
  <c r="N231" i="20" s="1"/>
  <c r="O231" i="20" s="1"/>
  <c r="P231" i="20" s="1"/>
  <c r="Q231" i="20" s="1"/>
  <c r="R231" i="20" s="1"/>
  <c r="S231" i="20" s="1"/>
  <c r="T231" i="20" s="1"/>
  <c r="U231" i="20" s="1"/>
  <c r="V231" i="20" s="1"/>
  <c r="W231" i="20" s="1"/>
  <c r="X231" i="20" s="1"/>
  <c r="Y231" i="20" s="1"/>
  <c r="Z231" i="20" s="1"/>
  <c r="AA231" i="20" s="1"/>
  <c r="AB231" i="20" s="1"/>
  <c r="AC231" i="20" s="1"/>
  <c r="AD231" i="20" s="1"/>
  <c r="AE231" i="20" s="1"/>
  <c r="AF231" i="20" s="1"/>
  <c r="D232" i="20"/>
  <c r="E232" i="20" s="1"/>
  <c r="F232" i="20" s="1"/>
  <c r="G232" i="20" s="1"/>
  <c r="H232" i="20" s="1"/>
  <c r="I232" i="20" s="1"/>
  <c r="J232" i="20" s="1"/>
  <c r="K232" i="20" s="1"/>
  <c r="L232" i="20" s="1"/>
  <c r="M232" i="20" s="1"/>
  <c r="N232" i="20" s="1"/>
  <c r="O232" i="20" s="1"/>
  <c r="P232" i="20" s="1"/>
  <c r="Q232" i="20" s="1"/>
  <c r="R232" i="20" s="1"/>
  <c r="S232" i="20" s="1"/>
  <c r="T232" i="20" s="1"/>
  <c r="U232" i="20" s="1"/>
  <c r="V232" i="20" s="1"/>
  <c r="W232" i="20" s="1"/>
  <c r="X232" i="20" s="1"/>
  <c r="Y232" i="20" s="1"/>
  <c r="Z232" i="20" s="1"/>
  <c r="AA232" i="20" s="1"/>
  <c r="AB232" i="20" s="1"/>
  <c r="AC232" i="20" s="1"/>
  <c r="AD232" i="20" s="1"/>
  <c r="AE232" i="20" s="1"/>
  <c r="AF232" i="20" s="1"/>
  <c r="D233" i="20"/>
  <c r="E233" i="20" s="1"/>
  <c r="F233" i="20" s="1"/>
  <c r="G233" i="20" s="1"/>
  <c r="H233" i="20" s="1"/>
  <c r="I233" i="20" s="1"/>
  <c r="J233" i="20" s="1"/>
  <c r="K233" i="20" s="1"/>
  <c r="L233" i="20" s="1"/>
  <c r="M233" i="20" s="1"/>
  <c r="N233" i="20" s="1"/>
  <c r="O233" i="20" s="1"/>
  <c r="P233" i="20" s="1"/>
  <c r="Q233" i="20" s="1"/>
  <c r="R233" i="20" s="1"/>
  <c r="S233" i="20" s="1"/>
  <c r="T233" i="20" s="1"/>
  <c r="U233" i="20" s="1"/>
  <c r="V233" i="20" s="1"/>
  <c r="W233" i="20" s="1"/>
  <c r="X233" i="20" s="1"/>
  <c r="Y233" i="20" s="1"/>
  <c r="Z233" i="20" s="1"/>
  <c r="AA233" i="20" s="1"/>
  <c r="AB233" i="20" s="1"/>
  <c r="AC233" i="20" s="1"/>
  <c r="AD233" i="20" s="1"/>
  <c r="AE233" i="20" s="1"/>
  <c r="AF233" i="20" s="1"/>
  <c r="D234" i="20"/>
  <c r="E234" i="20" s="1"/>
  <c r="F234" i="20" s="1"/>
  <c r="G234" i="20" s="1"/>
  <c r="H234" i="20" s="1"/>
  <c r="I234" i="20" s="1"/>
  <c r="J234" i="20" s="1"/>
  <c r="K234" i="20" s="1"/>
  <c r="L234" i="20" s="1"/>
  <c r="M234" i="20" s="1"/>
  <c r="N234" i="20" s="1"/>
  <c r="O234" i="20" s="1"/>
  <c r="P234" i="20" s="1"/>
  <c r="Q234" i="20" s="1"/>
  <c r="R234" i="20" s="1"/>
  <c r="S234" i="20" s="1"/>
  <c r="T234" i="20" s="1"/>
  <c r="U234" i="20" s="1"/>
  <c r="V234" i="20" s="1"/>
  <c r="W234" i="20" s="1"/>
  <c r="X234" i="20" s="1"/>
  <c r="Y234" i="20" s="1"/>
  <c r="Z234" i="20" s="1"/>
  <c r="AA234" i="20" s="1"/>
  <c r="AB234" i="20" s="1"/>
  <c r="AC234" i="20" s="1"/>
  <c r="AD234" i="20" s="1"/>
  <c r="AE234" i="20" s="1"/>
  <c r="AF234" i="20" s="1"/>
  <c r="D228" i="20"/>
  <c r="E228" i="20" s="1"/>
  <c r="F228" i="20" s="1"/>
  <c r="G228" i="20" s="1"/>
  <c r="H228" i="20" s="1"/>
  <c r="I228" i="20" s="1"/>
  <c r="J228" i="20" s="1"/>
  <c r="K228" i="20" s="1"/>
  <c r="L228" i="20" s="1"/>
  <c r="M228" i="20" s="1"/>
  <c r="N228" i="20" s="1"/>
  <c r="O228" i="20" s="1"/>
  <c r="P228" i="20" s="1"/>
  <c r="Q228" i="20" s="1"/>
  <c r="R228" i="20" s="1"/>
  <c r="S228" i="20" s="1"/>
  <c r="T228" i="20" s="1"/>
  <c r="U228" i="20" s="1"/>
  <c r="V228" i="20" s="1"/>
  <c r="W228" i="20" s="1"/>
  <c r="X228" i="20" s="1"/>
  <c r="Y228" i="20" s="1"/>
  <c r="Z228" i="20" s="1"/>
  <c r="AA228" i="20" s="1"/>
  <c r="AB228" i="20" s="1"/>
  <c r="AC228" i="20" s="1"/>
  <c r="AD228" i="20" s="1"/>
  <c r="AE228" i="20" s="1"/>
  <c r="AF228" i="20" s="1"/>
  <c r="E236" i="20" l="1"/>
  <c r="E251" i="20"/>
  <c r="E255" i="20"/>
  <c r="E254" i="20"/>
  <c r="E252" i="20"/>
  <c r="E253" i="20"/>
  <c r="F236" i="20" l="1"/>
  <c r="F253" i="20"/>
  <c r="F254" i="20"/>
  <c r="F255" i="20"/>
  <c r="F252" i="20"/>
  <c r="F251" i="20"/>
  <c r="G236" i="20" l="1"/>
  <c r="G251" i="20"/>
  <c r="G255" i="20"/>
  <c r="G253" i="20"/>
  <c r="G252" i="20"/>
  <c r="G254" i="20"/>
  <c r="H236" i="20" l="1"/>
  <c r="H252" i="20"/>
  <c r="H255" i="20"/>
  <c r="H254" i="20"/>
  <c r="H253" i="20"/>
  <c r="H251" i="20"/>
  <c r="I236" i="20" l="1"/>
  <c r="I254" i="20"/>
  <c r="I251" i="20"/>
  <c r="I252" i="20"/>
  <c r="I253" i="20"/>
  <c r="I255" i="20"/>
  <c r="J236" i="20" l="1"/>
  <c r="J253" i="20"/>
  <c r="J251" i="20"/>
  <c r="J255" i="20"/>
  <c r="J252" i="20"/>
  <c r="J254" i="20"/>
  <c r="K236" i="20" l="1"/>
  <c r="K255" i="20"/>
  <c r="K254" i="20"/>
  <c r="K253" i="20"/>
  <c r="K252" i="20"/>
  <c r="K251" i="20"/>
  <c r="L236" i="20" l="1"/>
  <c r="L252" i="20"/>
  <c r="L254" i="20"/>
  <c r="L251" i="20"/>
  <c r="L253" i="20"/>
  <c r="L255" i="20"/>
  <c r="M236" i="20" l="1"/>
  <c r="M255" i="20"/>
  <c r="M251" i="20"/>
  <c r="M252" i="20"/>
  <c r="M253" i="20"/>
  <c r="M254" i="20"/>
  <c r="N236" i="20" l="1"/>
  <c r="N251" i="20"/>
  <c r="N253" i="20"/>
  <c r="N254" i="20"/>
  <c r="N252" i="20"/>
  <c r="N255" i="20"/>
  <c r="O236" i="20" l="1"/>
  <c r="O255" i="20"/>
  <c r="O254" i="20"/>
  <c r="O253" i="20"/>
  <c r="O252" i="20"/>
  <c r="O251" i="20"/>
  <c r="P236" i="20" l="1"/>
  <c r="P251" i="20"/>
  <c r="P252" i="20"/>
  <c r="P254" i="20"/>
  <c r="P253" i="20"/>
  <c r="P255" i="20"/>
  <c r="Q236" i="20" l="1"/>
  <c r="Q255" i="20"/>
  <c r="Q252" i="20"/>
  <c r="Q253" i="20"/>
  <c r="Q254" i="20"/>
  <c r="Q251" i="20"/>
  <c r="R236" i="20" l="1"/>
  <c r="R251" i="20"/>
  <c r="R253" i="20"/>
  <c r="R254" i="20"/>
  <c r="R252" i="20"/>
  <c r="R255" i="20"/>
  <c r="S236" i="20" l="1"/>
  <c r="S255" i="20"/>
  <c r="S251" i="20"/>
  <c r="S254" i="20"/>
  <c r="S252" i="20"/>
  <c r="S253" i="20"/>
  <c r="T236" i="20" l="1"/>
  <c r="T252" i="20"/>
  <c r="T251" i="20"/>
  <c r="T253" i="20"/>
  <c r="T254" i="20"/>
  <c r="T255" i="20"/>
  <c r="U236" i="20" l="1"/>
  <c r="U255" i="20"/>
  <c r="U253" i="20"/>
  <c r="U254" i="20"/>
  <c r="U251" i="20"/>
  <c r="U252" i="20"/>
  <c r="V236" i="20" l="1"/>
  <c r="V252" i="20"/>
  <c r="V254" i="20"/>
  <c r="V253" i="20"/>
  <c r="V251" i="20"/>
  <c r="V255" i="20"/>
  <c r="W236" i="20" l="1"/>
  <c r="W255" i="20"/>
  <c r="W251" i="20"/>
  <c r="W254" i="20"/>
  <c r="W253" i="20"/>
  <c r="W252" i="20"/>
  <c r="X236" i="20" l="1"/>
  <c r="X253" i="20"/>
  <c r="X252" i="20"/>
  <c r="X251" i="20"/>
  <c r="X254" i="20"/>
  <c r="X255" i="20"/>
  <c r="Y236" i="20" l="1"/>
  <c r="Y254" i="20"/>
  <c r="Y255" i="20"/>
  <c r="Y252" i="20"/>
  <c r="Y251" i="20"/>
  <c r="Y253" i="20"/>
  <c r="Z236" i="20" l="1"/>
  <c r="Z255" i="20"/>
  <c r="Z252" i="20"/>
  <c r="Z253" i="20"/>
  <c r="Z251" i="20"/>
  <c r="Z254" i="20"/>
  <c r="AA236" i="20" l="1"/>
  <c r="AA254" i="20"/>
  <c r="AA251" i="20"/>
  <c r="AA252" i="20"/>
  <c r="AA253" i="20"/>
  <c r="AA255" i="20"/>
  <c r="AB236" i="20" l="1"/>
  <c r="AB255" i="20"/>
  <c r="AB251" i="20"/>
  <c r="AB253" i="20"/>
  <c r="AB252" i="20"/>
  <c r="AB254" i="20"/>
  <c r="AC236" i="20" l="1"/>
  <c r="AC254" i="20"/>
  <c r="AC253" i="20"/>
  <c r="AC252" i="20"/>
  <c r="AC251" i="20"/>
  <c r="AC255" i="20"/>
  <c r="AD236" i="20" l="1"/>
  <c r="AD255" i="20"/>
  <c r="AD252" i="20"/>
  <c r="AD253" i="20"/>
  <c r="AD251" i="20"/>
  <c r="AD254" i="20"/>
  <c r="AE236" i="20" l="1"/>
  <c r="AE254" i="20"/>
  <c r="AE251" i="20"/>
  <c r="AE252" i="20"/>
  <c r="AE253" i="20"/>
  <c r="AE255" i="20"/>
  <c r="AF236" i="20" l="1"/>
  <c r="AF255" i="20"/>
  <c r="AF251" i="20"/>
  <c r="AF253" i="20"/>
  <c r="AF252" i="20"/>
  <c r="AF254" i="20"/>
  <c r="W8" i="8" l="1"/>
  <c r="W9" i="8"/>
  <c r="W10" i="8"/>
  <c r="W7" i="8"/>
  <c r="C37" i="7" l="1"/>
  <c r="H69" i="7" l="1"/>
  <c r="K55" i="60"/>
  <c r="H64" i="7"/>
  <c r="C39" i="7"/>
  <c r="K54" i="60" s="1"/>
  <c r="O6" i="31" l="1"/>
  <c r="P6" i="31"/>
  <c r="O11" i="31"/>
  <c r="P11" i="31"/>
  <c r="O15" i="31"/>
  <c r="P15" i="31"/>
  <c r="O17" i="31"/>
  <c r="P17" i="31"/>
  <c r="F20" i="26"/>
  <c r="G20" i="26"/>
  <c r="F21" i="26"/>
  <c r="G21" i="26"/>
  <c r="G19" i="26"/>
  <c r="F19" i="26"/>
  <c r="L21" i="9"/>
  <c r="M21" i="9"/>
  <c r="N21" i="9"/>
  <c r="L22" i="9"/>
  <c r="M22" i="9"/>
  <c r="N22" i="9"/>
  <c r="N20" i="9"/>
  <c r="M20" i="9"/>
  <c r="L20" i="9"/>
  <c r="K26" i="7"/>
  <c r="K25" i="7"/>
  <c r="K24" i="7"/>
  <c r="J32" i="4" l="1"/>
  <c r="K32" i="4" s="1"/>
  <c r="Q32" i="4" s="1"/>
  <c r="J33" i="4"/>
  <c r="K33" i="4" s="1"/>
  <c r="Q33" i="4" s="1"/>
  <c r="J34" i="4"/>
  <c r="J35" i="4"/>
  <c r="K35" i="4" s="1"/>
  <c r="J31" i="4"/>
  <c r="K31" i="4" s="1"/>
  <c r="P31" i="4"/>
  <c r="P22" i="4"/>
  <c r="J23" i="4"/>
  <c r="J24" i="4"/>
  <c r="J25" i="4"/>
  <c r="K25" i="4" s="1"/>
  <c r="Q25" i="4" s="1"/>
  <c r="J26" i="4"/>
  <c r="K26" i="4" s="1"/>
  <c r="Q26" i="4" s="1"/>
  <c r="J22" i="4"/>
  <c r="K22" i="4" s="1"/>
  <c r="B12" i="4"/>
  <c r="Q11" i="9"/>
  <c r="Q12" i="9" s="1"/>
  <c r="C10" i="7"/>
  <c r="AP82" i="16"/>
  <c r="E120" i="16"/>
  <c r="F120" i="16" s="1"/>
  <c r="G120" i="16" s="1"/>
  <c r="H120" i="16" s="1"/>
  <c r="I120" i="16" s="1"/>
  <c r="J120" i="16" s="1"/>
  <c r="K120" i="16" s="1"/>
  <c r="L120" i="16" s="1"/>
  <c r="M120" i="16" s="1"/>
  <c r="N120" i="16" s="1"/>
  <c r="O120" i="16" s="1"/>
  <c r="P120" i="16" s="1"/>
  <c r="Q120" i="16" s="1"/>
  <c r="R120" i="16" s="1"/>
  <c r="S120" i="16" s="1"/>
  <c r="T120" i="16" s="1"/>
  <c r="U120" i="16" s="1"/>
  <c r="V120" i="16" s="1"/>
  <c r="W120" i="16" s="1"/>
  <c r="X120" i="16" s="1"/>
  <c r="Y120" i="16" s="1"/>
  <c r="Z120" i="16" s="1"/>
  <c r="AA120" i="16" s="1"/>
  <c r="AB120" i="16" s="1"/>
  <c r="AC120" i="16" s="1"/>
  <c r="AD120" i="16" s="1"/>
  <c r="AE120" i="16" s="1"/>
  <c r="AF120" i="16" s="1"/>
  <c r="AG120" i="16" s="1"/>
  <c r="AH120" i="16" s="1"/>
  <c r="E120" i="15"/>
  <c r="F120" i="15" s="1"/>
  <c r="G120" i="15" s="1"/>
  <c r="H120" i="15" s="1"/>
  <c r="I120" i="15" s="1"/>
  <c r="J120" i="15" s="1"/>
  <c r="K120" i="15" s="1"/>
  <c r="L120" i="15" s="1"/>
  <c r="M120" i="15" s="1"/>
  <c r="N120" i="15" s="1"/>
  <c r="O120" i="15" s="1"/>
  <c r="P120" i="15" s="1"/>
  <c r="Q120" i="15" s="1"/>
  <c r="R120" i="15" s="1"/>
  <c r="S120" i="15" s="1"/>
  <c r="T120" i="15" s="1"/>
  <c r="U120" i="15" s="1"/>
  <c r="V120" i="15" s="1"/>
  <c r="W120" i="15" s="1"/>
  <c r="X120" i="15" s="1"/>
  <c r="Y120" i="15" s="1"/>
  <c r="Z120" i="15" s="1"/>
  <c r="AA120" i="15" s="1"/>
  <c r="AB120" i="15" s="1"/>
  <c r="AC120" i="15" s="1"/>
  <c r="AD120" i="15" s="1"/>
  <c r="AE120" i="15" s="1"/>
  <c r="AF120" i="15" s="1"/>
  <c r="AG120" i="15" s="1"/>
  <c r="AH120" i="15" s="1"/>
  <c r="E212" i="14"/>
  <c r="F212" i="14" s="1"/>
  <c r="G212" i="14" s="1"/>
  <c r="H212" i="14" s="1"/>
  <c r="I212" i="14" s="1"/>
  <c r="J212" i="14" s="1"/>
  <c r="K212" i="14" s="1"/>
  <c r="L212" i="14" s="1"/>
  <c r="M212" i="14" s="1"/>
  <c r="N212" i="14" s="1"/>
  <c r="O212" i="14" s="1"/>
  <c r="P212" i="14" s="1"/>
  <c r="Q212" i="14" s="1"/>
  <c r="R212" i="14" s="1"/>
  <c r="S212" i="14" s="1"/>
  <c r="T212" i="14" s="1"/>
  <c r="U212" i="14" s="1"/>
  <c r="V212" i="14" s="1"/>
  <c r="W212" i="14" s="1"/>
  <c r="X212" i="14" s="1"/>
  <c r="Y212" i="14" s="1"/>
  <c r="Z212" i="14" s="1"/>
  <c r="AA212" i="14" s="1"/>
  <c r="AB212" i="14" s="1"/>
  <c r="AC212" i="14" s="1"/>
  <c r="AD212" i="14" s="1"/>
  <c r="AE212" i="14" s="1"/>
  <c r="AF212" i="14" s="1"/>
  <c r="AG212" i="14" s="1"/>
  <c r="AH212" i="14" s="1"/>
  <c r="AP174" i="14"/>
  <c r="AQ98" i="15"/>
  <c r="AO98" i="15"/>
  <c r="AN98" i="15"/>
  <c r="AR94" i="15"/>
  <c r="AR95" i="15" s="1"/>
  <c r="C101" i="16"/>
  <c r="B96" i="16"/>
  <c r="B101" i="16" s="1"/>
  <c r="D64" i="16"/>
  <c r="D62" i="16"/>
  <c r="D61" i="16"/>
  <c r="D58" i="16"/>
  <c r="D56" i="16"/>
  <c r="D55" i="16"/>
  <c r="D48" i="16"/>
  <c r="D45" i="16"/>
  <c r="D44" i="16"/>
  <c r="D64" i="15"/>
  <c r="D63" i="15"/>
  <c r="D62" i="15"/>
  <c r="D61" i="15"/>
  <c r="D58" i="15"/>
  <c r="D57" i="15"/>
  <c r="D56" i="15"/>
  <c r="D55" i="15"/>
  <c r="F52" i="15"/>
  <c r="G52" i="15"/>
  <c r="H52" i="15"/>
  <c r="I52" i="15"/>
  <c r="J52" i="15"/>
  <c r="K52" i="15"/>
  <c r="L52" i="15"/>
  <c r="M52" i="15"/>
  <c r="N52" i="15"/>
  <c r="O52" i="15"/>
  <c r="P52" i="15"/>
  <c r="Q52" i="15"/>
  <c r="R52" i="15"/>
  <c r="S52" i="15"/>
  <c r="T52" i="15"/>
  <c r="U52" i="15"/>
  <c r="V52" i="15"/>
  <c r="W52" i="15"/>
  <c r="X52" i="15"/>
  <c r="Y52" i="15"/>
  <c r="Z52" i="15"/>
  <c r="AA52" i="15"/>
  <c r="AB52" i="15"/>
  <c r="AC52" i="15"/>
  <c r="AD52" i="15"/>
  <c r="AE52" i="15"/>
  <c r="AF52" i="15"/>
  <c r="AG52" i="15"/>
  <c r="AH52" i="15"/>
  <c r="AQ120" i="15" s="1"/>
  <c r="D51" i="15"/>
  <c r="D48" i="15"/>
  <c r="D45" i="15"/>
  <c r="D44" i="15"/>
  <c r="AL120" i="15"/>
  <c r="AK120" i="15"/>
  <c r="C101" i="15"/>
  <c r="AM98" i="15"/>
  <c r="AL98" i="15"/>
  <c r="AK98" i="15"/>
  <c r="B96" i="15"/>
  <c r="B101" i="15" s="1"/>
  <c r="AP82" i="15"/>
  <c r="Q17" i="4" l="1"/>
  <c r="Q16" i="4"/>
  <c r="Q18" i="4"/>
  <c r="K34" i="4"/>
  <c r="Q34" i="4" s="1"/>
  <c r="Q31" i="4"/>
  <c r="Q22" i="4"/>
  <c r="D126" i="12" l="1"/>
  <c r="D125" i="12"/>
  <c r="D124" i="12"/>
  <c r="D123" i="12"/>
  <c r="D94" i="12"/>
  <c r="D93" i="12"/>
  <c r="E212" i="12"/>
  <c r="F212" i="12" s="1"/>
  <c r="G212" i="12" s="1"/>
  <c r="H212" i="12" s="1"/>
  <c r="I212" i="12" s="1"/>
  <c r="J212" i="12" s="1"/>
  <c r="K212" i="12" s="1"/>
  <c r="L212" i="12" s="1"/>
  <c r="M212" i="12" s="1"/>
  <c r="N212" i="12" s="1"/>
  <c r="O212" i="12" s="1"/>
  <c r="P212" i="12" s="1"/>
  <c r="Q212" i="12" s="1"/>
  <c r="R212" i="12" s="1"/>
  <c r="S212" i="12" s="1"/>
  <c r="T212" i="12" s="1"/>
  <c r="U212" i="12" s="1"/>
  <c r="V212" i="12" s="1"/>
  <c r="W212" i="12" s="1"/>
  <c r="X212" i="12" s="1"/>
  <c r="Y212" i="12" s="1"/>
  <c r="Z212" i="12" s="1"/>
  <c r="AA212" i="12" s="1"/>
  <c r="AB212" i="12" s="1"/>
  <c r="AC212" i="12" s="1"/>
  <c r="AD212" i="12" s="1"/>
  <c r="AE212" i="12" s="1"/>
  <c r="AF212" i="12" s="1"/>
  <c r="AG212" i="12" s="1"/>
  <c r="AH212" i="12" s="1"/>
  <c r="AR186" i="12" l="1"/>
  <c r="AR187" i="12" s="1"/>
  <c r="K31" i="8"/>
  <c r="K32" i="8"/>
  <c r="K30" i="8"/>
  <c r="J31" i="8"/>
  <c r="J32" i="8"/>
  <c r="J30" i="8"/>
  <c r="C31" i="8"/>
  <c r="C32" i="8"/>
  <c r="C30" i="8"/>
  <c r="B31" i="8"/>
  <c r="B32" i="8"/>
  <c r="B30" i="8"/>
  <c r="K27" i="8"/>
  <c r="K28" i="8"/>
  <c r="K26" i="8"/>
  <c r="J27" i="8"/>
  <c r="J28" i="8"/>
  <c r="J26" i="8"/>
  <c r="C193" i="14"/>
  <c r="B189" i="14"/>
  <c r="B193" i="14" s="1"/>
  <c r="AP174" i="12"/>
  <c r="N22" i="7"/>
  <c r="E39" i="7"/>
  <c r="E36" i="7"/>
  <c r="E38" i="7"/>
  <c r="F57" i="33" s="1"/>
  <c r="F64" i="33" s="1"/>
  <c r="B186" i="14"/>
  <c r="B196" i="14" s="1"/>
  <c r="R21" i="7"/>
  <c r="H27" i="7"/>
  <c r="H21" i="7"/>
  <c r="C193" i="12"/>
  <c r="B189" i="12"/>
  <c r="B193" i="12" s="1"/>
  <c r="AB21" i="34" l="1"/>
  <c r="E57" i="33"/>
  <c r="E37" i="7"/>
  <c r="AB22" i="34"/>
  <c r="G57" i="33"/>
  <c r="H55" i="24"/>
  <c r="E51" i="16"/>
  <c r="F51" i="16"/>
  <c r="G51" i="16"/>
  <c r="H51" i="16"/>
  <c r="I51" i="16"/>
  <c r="J51" i="16"/>
  <c r="K51" i="16"/>
  <c r="L51" i="16"/>
  <c r="M51" i="16"/>
  <c r="N51" i="16"/>
  <c r="O51" i="16"/>
  <c r="P51" i="16"/>
  <c r="Q51" i="16"/>
  <c r="R51" i="16"/>
  <c r="S51" i="16"/>
  <c r="T51" i="16"/>
  <c r="U51" i="16"/>
  <c r="V51" i="16"/>
  <c r="W51" i="16"/>
  <c r="X51" i="16"/>
  <c r="Y51" i="16"/>
  <c r="Z51" i="16"/>
  <c r="AA51" i="16"/>
  <c r="AB51" i="16"/>
  <c r="AC51" i="16"/>
  <c r="AD51" i="16"/>
  <c r="AE51" i="16"/>
  <c r="AF51" i="16"/>
  <c r="AG51" i="16"/>
  <c r="AH51" i="16"/>
  <c r="D51" i="16"/>
  <c r="E52" i="15"/>
  <c r="D52" i="15"/>
  <c r="E3" i="14"/>
  <c r="F3" i="14" s="1"/>
  <c r="G3" i="14" s="1"/>
  <c r="H3" i="14" s="1"/>
  <c r="I3" i="14" s="1"/>
  <c r="J3" i="14" s="1"/>
  <c r="K3" i="14" s="1"/>
  <c r="L3" i="14" s="1"/>
  <c r="M3" i="14" s="1"/>
  <c r="N3" i="14" s="1"/>
  <c r="O3" i="14" s="1"/>
  <c r="P3" i="14" s="1"/>
  <c r="Q3" i="14" s="1"/>
  <c r="R3" i="14" s="1"/>
  <c r="S3" i="14" s="1"/>
  <c r="T3" i="14" s="1"/>
  <c r="U3" i="14" s="1"/>
  <c r="V3" i="14" s="1"/>
  <c r="W3" i="14" s="1"/>
  <c r="X3" i="14" s="1"/>
  <c r="Y3" i="14" s="1"/>
  <c r="Z3" i="14" s="1"/>
  <c r="AA3" i="14" s="1"/>
  <c r="AB3" i="14" s="1"/>
  <c r="AC3" i="14" s="1"/>
  <c r="AD3" i="14" s="1"/>
  <c r="AE3" i="14" s="1"/>
  <c r="AF3" i="14" s="1"/>
  <c r="AG3" i="14" s="1"/>
  <c r="AH3" i="14" s="1"/>
  <c r="D17" i="14"/>
  <c r="D29" i="14"/>
  <c r="D32" i="14"/>
  <c r="D82" i="14" s="1"/>
  <c r="D214" i="14" s="1"/>
  <c r="D224" i="14" s="1"/>
  <c r="D53" i="14"/>
  <c r="D72" i="14"/>
  <c r="D73" i="14"/>
  <c r="C10" i="29"/>
  <c r="D10" i="29" s="1"/>
  <c r="E10" i="29" s="1"/>
  <c r="F10" i="29" s="1"/>
  <c r="G10" i="29" s="1"/>
  <c r="H10" i="29" s="1"/>
  <c r="I10" i="29" s="1"/>
  <c r="J10" i="29" s="1"/>
  <c r="K10" i="29" s="1"/>
  <c r="L10" i="29" s="1"/>
  <c r="M10" i="29" s="1"/>
  <c r="N10" i="29" s="1"/>
  <c r="O10" i="29" s="1"/>
  <c r="P10" i="29" s="1"/>
  <c r="Q10" i="29" s="1"/>
  <c r="R10" i="29" s="1"/>
  <c r="S10" i="29" s="1"/>
  <c r="T10" i="29" s="1"/>
  <c r="U10" i="29" s="1"/>
  <c r="V10" i="29" s="1"/>
  <c r="W10" i="29" s="1"/>
  <c r="X10" i="29" s="1"/>
  <c r="Y10" i="29" s="1"/>
  <c r="Z10" i="29" s="1"/>
  <c r="AA10" i="29" s="1"/>
  <c r="AB10" i="29" s="1"/>
  <c r="AC10" i="29" s="1"/>
  <c r="AD10" i="29" s="1"/>
  <c r="AE10" i="29" s="1"/>
  <c r="AF10" i="29" s="1"/>
  <c r="AG10" i="29" s="1"/>
  <c r="X1" i="29"/>
  <c r="Y1" i="29" s="1"/>
  <c r="Z1" i="29" s="1"/>
  <c r="AA1" i="29" s="1"/>
  <c r="AB1" i="29" s="1"/>
  <c r="AC1" i="29" s="1"/>
  <c r="AD1" i="29" s="1"/>
  <c r="AE1" i="29" s="1"/>
  <c r="AF1" i="29" s="1"/>
  <c r="N1" i="29"/>
  <c r="O1" i="29" s="1"/>
  <c r="P1" i="29" s="1"/>
  <c r="Q1" i="29" s="1"/>
  <c r="R1" i="29" s="1"/>
  <c r="S1" i="29" s="1"/>
  <c r="T1" i="29" s="1"/>
  <c r="U1" i="29" s="1"/>
  <c r="V1" i="29" s="1"/>
  <c r="D1" i="29"/>
  <c r="E1" i="29" s="1"/>
  <c r="F1" i="29" s="1"/>
  <c r="G1" i="29" s="1"/>
  <c r="H1" i="29" s="1"/>
  <c r="I1" i="29" s="1"/>
  <c r="J1" i="29" s="1"/>
  <c r="K1" i="29" s="1"/>
  <c r="L1" i="29" s="1"/>
  <c r="C93" i="28"/>
  <c r="C80" i="29" s="1"/>
  <c r="AG93" i="28"/>
  <c r="AG80" i="29" s="1"/>
  <c r="D95" i="28"/>
  <c r="E95" i="28" s="1"/>
  <c r="C96" i="28"/>
  <c r="C98" i="28" s="1"/>
  <c r="AG96" i="28"/>
  <c r="AG98" i="28" s="1"/>
  <c r="C97" i="28"/>
  <c r="AG97" i="28"/>
  <c r="D100" i="28"/>
  <c r="C101" i="28"/>
  <c r="C102" i="28" s="1"/>
  <c r="C59" i="28"/>
  <c r="D57" i="28"/>
  <c r="D58" i="28" s="1"/>
  <c r="C58" i="28"/>
  <c r="C60" i="28" s="1"/>
  <c r="H68" i="24"/>
  <c r="AG113" i="28"/>
  <c r="C113" i="28"/>
  <c r="AG107" i="28"/>
  <c r="C107" i="28"/>
  <c r="C78" i="28"/>
  <c r="D78" i="28" s="1"/>
  <c r="E78" i="28" s="1"/>
  <c r="F78" i="28" s="1"/>
  <c r="G78" i="28" s="1"/>
  <c r="H78" i="28" s="1"/>
  <c r="I78" i="28" s="1"/>
  <c r="J78" i="28" s="1"/>
  <c r="K78" i="28" s="1"/>
  <c r="L78" i="28" s="1"/>
  <c r="M78" i="28" s="1"/>
  <c r="N78" i="28" s="1"/>
  <c r="O78" i="28" s="1"/>
  <c r="P78" i="28" s="1"/>
  <c r="Q78" i="28" s="1"/>
  <c r="R78" i="28" s="1"/>
  <c r="S78" i="28" s="1"/>
  <c r="T78" i="28" s="1"/>
  <c r="U78" i="28" s="1"/>
  <c r="V78" i="28" s="1"/>
  <c r="W78" i="28" s="1"/>
  <c r="X78" i="28" s="1"/>
  <c r="Y78" i="28" s="1"/>
  <c r="Z78" i="28" s="1"/>
  <c r="AA78" i="28" s="1"/>
  <c r="AB78" i="28" s="1"/>
  <c r="AC78" i="28" s="1"/>
  <c r="AD78" i="28" s="1"/>
  <c r="AE78" i="28" s="1"/>
  <c r="AF78" i="28" s="1"/>
  <c r="AG78" i="28" s="1"/>
  <c r="D77" i="28"/>
  <c r="E77" i="28" s="1"/>
  <c r="F77" i="28" s="1"/>
  <c r="G77" i="28" s="1"/>
  <c r="H77" i="28" s="1"/>
  <c r="I77" i="28" s="1"/>
  <c r="J77" i="28" s="1"/>
  <c r="K77" i="28" s="1"/>
  <c r="L77" i="28" s="1"/>
  <c r="M77" i="28" s="1"/>
  <c r="N77" i="28" s="1"/>
  <c r="O77" i="28" s="1"/>
  <c r="P77" i="28" s="1"/>
  <c r="Q77" i="28" s="1"/>
  <c r="R77" i="28" s="1"/>
  <c r="S77" i="28" s="1"/>
  <c r="T77" i="28" s="1"/>
  <c r="U77" i="28" s="1"/>
  <c r="V77" i="28" s="1"/>
  <c r="W77" i="28" s="1"/>
  <c r="X77" i="28" s="1"/>
  <c r="Y77" i="28" s="1"/>
  <c r="Z77" i="28" s="1"/>
  <c r="AA77" i="28" s="1"/>
  <c r="AB77" i="28" s="1"/>
  <c r="AC77" i="28" s="1"/>
  <c r="AD77" i="28" s="1"/>
  <c r="AE77" i="28" s="1"/>
  <c r="AF77" i="28" s="1"/>
  <c r="AG77" i="28" s="1"/>
  <c r="D76" i="28"/>
  <c r="E76" i="28" s="1"/>
  <c r="F76" i="28" s="1"/>
  <c r="AG73" i="28"/>
  <c r="C73" i="28"/>
  <c r="AG72" i="28"/>
  <c r="AG74" i="28" s="1"/>
  <c r="C72" i="28"/>
  <c r="C74" i="28" s="1"/>
  <c r="D71" i="28"/>
  <c r="D72" i="28" s="1"/>
  <c r="AG69" i="28"/>
  <c r="C69" i="28"/>
  <c r="W55" i="28"/>
  <c r="M55" i="28"/>
  <c r="M52" i="28" s="1"/>
  <c r="C55" i="28"/>
  <c r="C52" i="28" s="1"/>
  <c r="AG54" i="28"/>
  <c r="AG53" i="28"/>
  <c r="C10" i="28"/>
  <c r="D10" i="28" s="1"/>
  <c r="E10" i="28" s="1"/>
  <c r="F10" i="28" s="1"/>
  <c r="G10" i="28" s="1"/>
  <c r="H10" i="28" s="1"/>
  <c r="I10" i="28" s="1"/>
  <c r="J10" i="28" s="1"/>
  <c r="K10" i="28" s="1"/>
  <c r="L10" i="28" s="1"/>
  <c r="M10" i="28" s="1"/>
  <c r="N10" i="28" s="1"/>
  <c r="O10" i="28" s="1"/>
  <c r="P10" i="28" s="1"/>
  <c r="Q10" i="28" s="1"/>
  <c r="R10" i="28" s="1"/>
  <c r="S10" i="28" s="1"/>
  <c r="T10" i="28" s="1"/>
  <c r="U10" i="28" s="1"/>
  <c r="V10" i="28" s="1"/>
  <c r="W10" i="28" s="1"/>
  <c r="X10" i="28" s="1"/>
  <c r="Y10" i="28" s="1"/>
  <c r="Z10" i="28" s="1"/>
  <c r="AA10" i="28" s="1"/>
  <c r="AB10" i="28" s="1"/>
  <c r="AC10" i="28" s="1"/>
  <c r="AD10" i="28" s="1"/>
  <c r="AE10" i="28" s="1"/>
  <c r="AF10" i="28" s="1"/>
  <c r="AG10" i="28" s="1"/>
  <c r="X1" i="28"/>
  <c r="Y1" i="28" s="1"/>
  <c r="N1" i="28"/>
  <c r="N54" i="28" s="1"/>
  <c r="D1" i="28"/>
  <c r="D54" i="28" s="1"/>
  <c r="AG54" i="20"/>
  <c r="AG61" i="20" s="1"/>
  <c r="AG53" i="20"/>
  <c r="AG58" i="48" l="1"/>
  <c r="AG58" i="46"/>
  <c r="AG58" i="42"/>
  <c r="AG58" i="38"/>
  <c r="Z27" i="34"/>
  <c r="Z33" i="34" s="1"/>
  <c r="G6" i="34" s="1"/>
  <c r="E66" i="34" s="1"/>
  <c r="Y27" i="34"/>
  <c r="X27" i="34"/>
  <c r="X33" i="34" s="1"/>
  <c r="E6" i="34" s="1"/>
  <c r="E56" i="34" s="1"/>
  <c r="F56" i="34" s="1"/>
  <c r="G56" i="34" s="1"/>
  <c r="H56" i="34" s="1"/>
  <c r="I56" i="34" s="1"/>
  <c r="J56" i="34" s="1"/>
  <c r="K56" i="34" s="1"/>
  <c r="L56" i="34" s="1"/>
  <c r="M56" i="34" s="1"/>
  <c r="N56" i="34" s="1"/>
  <c r="O56" i="34" s="1"/>
  <c r="P56" i="34" s="1"/>
  <c r="Q56" i="34" s="1"/>
  <c r="R56" i="34" s="1"/>
  <c r="S56" i="34" s="1"/>
  <c r="T56" i="34" s="1"/>
  <c r="U56" i="34" s="1"/>
  <c r="V56" i="34" s="1"/>
  <c r="W56" i="34" s="1"/>
  <c r="X56" i="34" s="1"/>
  <c r="Y56" i="34" s="1"/>
  <c r="Z56" i="34" s="1"/>
  <c r="AA56" i="34" s="1"/>
  <c r="AB56" i="34" s="1"/>
  <c r="AC56" i="34" s="1"/>
  <c r="AD56" i="34" s="1"/>
  <c r="AE56" i="34" s="1"/>
  <c r="AF56" i="34" s="1"/>
  <c r="AG56" i="34" s="1"/>
  <c r="AH56" i="34" s="1"/>
  <c r="W27" i="34"/>
  <c r="V27" i="34"/>
  <c r="X26" i="34"/>
  <c r="V26" i="34"/>
  <c r="Z26" i="34"/>
  <c r="W26" i="34"/>
  <c r="Y26" i="34"/>
  <c r="AH51" i="15"/>
  <c r="AP120" i="15" s="1"/>
  <c r="AR120" i="15" s="1"/>
  <c r="AG55" i="20"/>
  <c r="K102" i="33" s="1"/>
  <c r="D74" i="14"/>
  <c r="D219" i="14" s="1"/>
  <c r="D230" i="14" s="1"/>
  <c r="D81" i="14"/>
  <c r="D213" i="14" s="1"/>
  <c r="D223" i="14" s="1"/>
  <c r="C81" i="28"/>
  <c r="D101" i="28"/>
  <c r="E101" i="28" s="1"/>
  <c r="F101" i="28" s="1"/>
  <c r="G101" i="28" s="1"/>
  <c r="H101" i="28" s="1"/>
  <c r="I101" i="28" s="1"/>
  <c r="J101" i="28" s="1"/>
  <c r="K101" i="28" s="1"/>
  <c r="L101" i="28" s="1"/>
  <c r="M101" i="28" s="1"/>
  <c r="N101" i="28" s="1"/>
  <c r="O101" i="28" s="1"/>
  <c r="P101" i="28" s="1"/>
  <c r="Q101" i="28" s="1"/>
  <c r="R101" i="28" s="1"/>
  <c r="S101" i="28" s="1"/>
  <c r="T101" i="28" s="1"/>
  <c r="U101" i="28" s="1"/>
  <c r="V101" i="28" s="1"/>
  <c r="W101" i="28" s="1"/>
  <c r="X101" i="28" s="1"/>
  <c r="Y101" i="28" s="1"/>
  <c r="Z101" i="28" s="1"/>
  <c r="AA101" i="28" s="1"/>
  <c r="AB101" i="28" s="1"/>
  <c r="AC101" i="28" s="1"/>
  <c r="AD101" i="28" s="1"/>
  <c r="AE101" i="28" s="1"/>
  <c r="AF101" i="28" s="1"/>
  <c r="AG101" i="28" s="1"/>
  <c r="AG105" i="28" s="1"/>
  <c r="C105" i="28"/>
  <c r="E96" i="28"/>
  <c r="F95" i="28"/>
  <c r="G95" i="28" s="1"/>
  <c r="H95" i="28" s="1"/>
  <c r="C104" i="28"/>
  <c r="D96" i="28"/>
  <c r="E100" i="28"/>
  <c r="D60" i="28"/>
  <c r="D59" i="28"/>
  <c r="C79" i="28"/>
  <c r="E57" i="28"/>
  <c r="Y53" i="28"/>
  <c r="AG82" i="28"/>
  <c r="X54" i="28"/>
  <c r="Y54" i="28"/>
  <c r="D53" i="28"/>
  <c r="E1" i="28"/>
  <c r="Z1" i="28"/>
  <c r="Z54" i="28" s="1"/>
  <c r="N53" i="28"/>
  <c r="AG83" i="28"/>
  <c r="O1" i="28"/>
  <c r="W52" i="28"/>
  <c r="AG55" i="28"/>
  <c r="X53" i="28"/>
  <c r="F79" i="28"/>
  <c r="G76" i="28"/>
  <c r="C82" i="28"/>
  <c r="C83" i="28"/>
  <c r="E71" i="28"/>
  <c r="E79" i="28"/>
  <c r="D79" i="28"/>
  <c r="C208" i="20"/>
  <c r="C10" i="19"/>
  <c r="D10" i="19" s="1"/>
  <c r="E10" i="19" s="1"/>
  <c r="F10" i="19" s="1"/>
  <c r="G10" i="19" s="1"/>
  <c r="H10" i="19" s="1"/>
  <c r="I10" i="19" s="1"/>
  <c r="J10" i="19" s="1"/>
  <c r="K10" i="19" s="1"/>
  <c r="L10" i="19" s="1"/>
  <c r="M10" i="19" s="1"/>
  <c r="N10" i="19" s="1"/>
  <c r="O10" i="19" s="1"/>
  <c r="P10" i="19" s="1"/>
  <c r="Q10" i="19" s="1"/>
  <c r="R10" i="19" s="1"/>
  <c r="S10" i="19" s="1"/>
  <c r="T10" i="19" s="1"/>
  <c r="U10" i="19" s="1"/>
  <c r="V10" i="19" s="1"/>
  <c r="W10" i="19" s="1"/>
  <c r="X10" i="19" s="1"/>
  <c r="Y10" i="19" s="1"/>
  <c r="Z10" i="19" s="1"/>
  <c r="AA10" i="19" s="1"/>
  <c r="AB10" i="19" s="1"/>
  <c r="AC10" i="19" s="1"/>
  <c r="AD10" i="19" s="1"/>
  <c r="AE10" i="19" s="1"/>
  <c r="AF10" i="19" s="1"/>
  <c r="AG10" i="19" s="1"/>
  <c r="X1" i="19"/>
  <c r="N1" i="19"/>
  <c r="D1" i="19"/>
  <c r="AG208" i="20"/>
  <c r="AG195" i="20"/>
  <c r="C195" i="20"/>
  <c r="C115" i="20"/>
  <c r="C163" i="20"/>
  <c r="C159" i="20"/>
  <c r="AG159" i="20"/>
  <c r="W28" i="34" l="1"/>
  <c r="C57" i="20" s="1"/>
  <c r="W32" i="34"/>
  <c r="D4" i="34" s="1"/>
  <c r="E49" i="34" s="1"/>
  <c r="F49" i="34" s="1"/>
  <c r="G49" i="34" s="1"/>
  <c r="H49" i="34" s="1"/>
  <c r="I49" i="34" s="1"/>
  <c r="J49" i="34" s="1"/>
  <c r="K49" i="34" s="1"/>
  <c r="L49" i="34" s="1"/>
  <c r="M49" i="34" s="1"/>
  <c r="N49" i="34" s="1"/>
  <c r="O49" i="34" s="1"/>
  <c r="P49" i="34" s="1"/>
  <c r="Q49" i="34" s="1"/>
  <c r="R49" i="34" s="1"/>
  <c r="S49" i="34" s="1"/>
  <c r="T49" i="34" s="1"/>
  <c r="U49" i="34" s="1"/>
  <c r="V49" i="34" s="1"/>
  <c r="W49" i="34" s="1"/>
  <c r="X49" i="34" s="1"/>
  <c r="Y49" i="34" s="1"/>
  <c r="Z49" i="34" s="1"/>
  <c r="AA49" i="34" s="1"/>
  <c r="AB49" i="34" s="1"/>
  <c r="AC49" i="34" s="1"/>
  <c r="AD49" i="34" s="1"/>
  <c r="AE49" i="34" s="1"/>
  <c r="AF49" i="34" s="1"/>
  <c r="AG49" i="34" s="1"/>
  <c r="AH49" i="34" s="1"/>
  <c r="W31" i="34"/>
  <c r="D3" i="34" s="1"/>
  <c r="V33" i="34"/>
  <c r="C6" i="34" s="1"/>
  <c r="E46" i="34" s="1"/>
  <c r="V32" i="34"/>
  <c r="C4" i="34" s="1"/>
  <c r="E44" i="34" s="1"/>
  <c r="V31" i="34"/>
  <c r="C3" i="34" s="1"/>
  <c r="Y32" i="34"/>
  <c r="F4" i="34" s="1"/>
  <c r="E59" i="34" s="1"/>
  <c r="Y31" i="34"/>
  <c r="F3" i="34" s="1"/>
  <c r="Y28" i="34"/>
  <c r="X32" i="34"/>
  <c r="E4" i="34" s="1"/>
  <c r="E54" i="34" s="1"/>
  <c r="F54" i="34" s="1"/>
  <c r="G54" i="34" s="1"/>
  <c r="H54" i="34" s="1"/>
  <c r="I54" i="34" s="1"/>
  <c r="J54" i="34" s="1"/>
  <c r="K54" i="34" s="1"/>
  <c r="L54" i="34" s="1"/>
  <c r="M54" i="34" s="1"/>
  <c r="N54" i="34" s="1"/>
  <c r="O54" i="34" s="1"/>
  <c r="P54" i="34" s="1"/>
  <c r="Q54" i="34" s="1"/>
  <c r="R54" i="34" s="1"/>
  <c r="S54" i="34" s="1"/>
  <c r="T54" i="34" s="1"/>
  <c r="U54" i="34" s="1"/>
  <c r="V54" i="34" s="1"/>
  <c r="W54" i="34" s="1"/>
  <c r="X54" i="34" s="1"/>
  <c r="Y54" i="34" s="1"/>
  <c r="Z54" i="34" s="1"/>
  <c r="AA54" i="34" s="1"/>
  <c r="AB54" i="34" s="1"/>
  <c r="AC54" i="34" s="1"/>
  <c r="AD54" i="34" s="1"/>
  <c r="AE54" i="34" s="1"/>
  <c r="AF54" i="34" s="1"/>
  <c r="AG54" i="34" s="1"/>
  <c r="AH54" i="34" s="1"/>
  <c r="X28" i="34"/>
  <c r="C59" i="20" s="1"/>
  <c r="X31" i="34"/>
  <c r="E3" i="34" s="1"/>
  <c r="Y33" i="34"/>
  <c r="Z32" i="34"/>
  <c r="G4" i="34" s="1"/>
  <c r="E64" i="34" s="1"/>
  <c r="Z28" i="34"/>
  <c r="C58" i="20" s="1"/>
  <c r="Z31" i="34"/>
  <c r="G3" i="34" s="1"/>
  <c r="W33" i="34"/>
  <c r="D6" i="34" s="1"/>
  <c r="E51" i="34" s="1"/>
  <c r="F51" i="34" s="1"/>
  <c r="G51" i="34" s="1"/>
  <c r="H51" i="34" s="1"/>
  <c r="I51" i="34" s="1"/>
  <c r="J51" i="34" s="1"/>
  <c r="K51" i="34" s="1"/>
  <c r="L51" i="34" s="1"/>
  <c r="M51" i="34" s="1"/>
  <c r="N51" i="34" s="1"/>
  <c r="O51" i="34" s="1"/>
  <c r="P51" i="34" s="1"/>
  <c r="Q51" i="34" s="1"/>
  <c r="R51" i="34" s="1"/>
  <c r="S51" i="34" s="1"/>
  <c r="T51" i="34" s="1"/>
  <c r="U51" i="34" s="1"/>
  <c r="V51" i="34" s="1"/>
  <c r="W51" i="34" s="1"/>
  <c r="X51" i="34" s="1"/>
  <c r="Y51" i="34" s="1"/>
  <c r="Z51" i="34" s="1"/>
  <c r="AA51" i="34" s="1"/>
  <c r="AB51" i="34" s="1"/>
  <c r="AC51" i="34" s="1"/>
  <c r="AD51" i="34" s="1"/>
  <c r="AE51" i="34" s="1"/>
  <c r="AF51" i="34" s="1"/>
  <c r="AG51" i="34" s="1"/>
  <c r="AH51" i="34" s="1"/>
  <c r="AH63" i="15"/>
  <c r="D83" i="14"/>
  <c r="D102" i="28"/>
  <c r="Y55" i="28"/>
  <c r="Y52" i="28" s="1"/>
  <c r="F96" i="28"/>
  <c r="G96" i="28"/>
  <c r="I95" i="28"/>
  <c r="H96" i="28"/>
  <c r="M114" i="28"/>
  <c r="M113" i="28" s="1"/>
  <c r="W94" i="28"/>
  <c r="W93" i="28" s="1"/>
  <c r="W80" i="29" s="1"/>
  <c r="M94" i="28"/>
  <c r="M93" i="28" s="1"/>
  <c r="M80" i="29" s="1"/>
  <c r="F100" i="28"/>
  <c r="E102" i="28"/>
  <c r="M108" i="28"/>
  <c r="E58" i="28"/>
  <c r="F57" i="28"/>
  <c r="W70" i="28"/>
  <c r="X70" i="28" s="1"/>
  <c r="D55" i="28"/>
  <c r="AG52" i="28"/>
  <c r="W114" i="28"/>
  <c r="M70" i="28"/>
  <c r="W108" i="28"/>
  <c r="E72" i="28"/>
  <c r="F71" i="28"/>
  <c r="H76" i="28"/>
  <c r="G79" i="28"/>
  <c r="X55" i="28"/>
  <c r="AA1" i="28"/>
  <c r="Z53" i="28"/>
  <c r="O54" i="28"/>
  <c r="O53" i="28"/>
  <c r="P1" i="28"/>
  <c r="N55" i="28"/>
  <c r="F1" i="28"/>
  <c r="E54" i="28"/>
  <c r="E59" i="28" s="1"/>
  <c r="E53" i="28"/>
  <c r="Y1" i="19"/>
  <c r="O1" i="19"/>
  <c r="E1" i="19"/>
  <c r="C164" i="20"/>
  <c r="D163" i="20"/>
  <c r="E163" i="20" s="1"/>
  <c r="F163" i="20" s="1"/>
  <c r="G163" i="20" s="1"/>
  <c r="H163" i="20" s="1"/>
  <c r="I163" i="20" s="1"/>
  <c r="J163" i="20" s="1"/>
  <c r="K163" i="20" s="1"/>
  <c r="L163" i="20" s="1"/>
  <c r="M163" i="20" s="1"/>
  <c r="N163" i="20" s="1"/>
  <c r="O163" i="20" s="1"/>
  <c r="P163" i="20" s="1"/>
  <c r="Q163" i="20" s="1"/>
  <c r="R163" i="20" s="1"/>
  <c r="S163" i="20" s="1"/>
  <c r="T163" i="20" s="1"/>
  <c r="U163" i="20" s="1"/>
  <c r="V163" i="20" s="1"/>
  <c r="W163" i="20" s="1"/>
  <c r="X163" i="20" s="1"/>
  <c r="Y163" i="20" s="1"/>
  <c r="Z163" i="20" s="1"/>
  <c r="AA163" i="20" s="1"/>
  <c r="AB163" i="20" s="1"/>
  <c r="AC163" i="20" s="1"/>
  <c r="AD163" i="20" s="1"/>
  <c r="AE163" i="20" s="1"/>
  <c r="AF163" i="20" s="1"/>
  <c r="AG163" i="20" s="1"/>
  <c r="D162" i="20"/>
  <c r="D157" i="20"/>
  <c r="AG158" i="20"/>
  <c r="C158" i="20"/>
  <c r="E63" i="34" l="1"/>
  <c r="G8" i="34"/>
  <c r="C55" i="48"/>
  <c r="C55" i="46"/>
  <c r="C55" i="42"/>
  <c r="C55" i="38"/>
  <c r="D58" i="20"/>
  <c r="C62" i="20"/>
  <c r="E43" i="34"/>
  <c r="C8" i="34"/>
  <c r="E53" i="34"/>
  <c r="E8" i="34"/>
  <c r="E58" i="34"/>
  <c r="C56" i="48"/>
  <c r="C56" i="46"/>
  <c r="C56" i="42"/>
  <c r="C56" i="38"/>
  <c r="C63" i="20"/>
  <c r="D59" i="20"/>
  <c r="C60" i="20"/>
  <c r="E48" i="34"/>
  <c r="F48" i="34" s="1"/>
  <c r="G48" i="34" s="1"/>
  <c r="H48" i="34" s="1"/>
  <c r="I48" i="34" s="1"/>
  <c r="J48" i="34" s="1"/>
  <c r="K48" i="34" s="1"/>
  <c r="L48" i="34" s="1"/>
  <c r="M48" i="34" s="1"/>
  <c r="N48" i="34" s="1"/>
  <c r="O48" i="34" s="1"/>
  <c r="P48" i="34" s="1"/>
  <c r="Q48" i="34" s="1"/>
  <c r="R48" i="34" s="1"/>
  <c r="S48" i="34" s="1"/>
  <c r="T48" i="34" s="1"/>
  <c r="U48" i="34" s="1"/>
  <c r="V48" i="34" s="1"/>
  <c r="W48" i="34" s="1"/>
  <c r="X48" i="34" s="1"/>
  <c r="Y48" i="34" s="1"/>
  <c r="Z48" i="34" s="1"/>
  <c r="AA48" i="34" s="1"/>
  <c r="AB48" i="34" s="1"/>
  <c r="AC48" i="34" s="1"/>
  <c r="AD48" i="34" s="1"/>
  <c r="AE48" i="34" s="1"/>
  <c r="AF48" i="34" s="1"/>
  <c r="AG48" i="34" s="1"/>
  <c r="AH48" i="34" s="1"/>
  <c r="D8" i="34"/>
  <c r="F6" i="34"/>
  <c r="E61" i="34" s="1"/>
  <c r="C54" i="48"/>
  <c r="C54" i="46"/>
  <c r="C54" i="42"/>
  <c r="C54" i="38"/>
  <c r="D57" i="20"/>
  <c r="C61" i="20"/>
  <c r="AG160" i="20"/>
  <c r="AG167" i="20" s="1"/>
  <c r="D114" i="28"/>
  <c r="D113" i="28" s="1"/>
  <c r="E114" i="28"/>
  <c r="E113" i="28" s="1"/>
  <c r="D94" i="28"/>
  <c r="D93" i="28" s="1"/>
  <c r="D80" i="29" s="1"/>
  <c r="P94" i="28"/>
  <c r="P93" i="28" s="1"/>
  <c r="P80" i="29" s="1"/>
  <c r="E94" i="28"/>
  <c r="E93" i="28" s="1"/>
  <c r="E80" i="29" s="1"/>
  <c r="F94" i="28"/>
  <c r="F93" i="28" s="1"/>
  <c r="F80" i="29" s="1"/>
  <c r="N94" i="28"/>
  <c r="N93" i="28" s="1"/>
  <c r="N80" i="29" s="1"/>
  <c r="O94" i="28"/>
  <c r="O93" i="28" s="1"/>
  <c r="O80" i="29" s="1"/>
  <c r="I96" i="28"/>
  <c r="J95" i="28"/>
  <c r="X94" i="28"/>
  <c r="X93" i="28" s="1"/>
  <c r="X80" i="29" s="1"/>
  <c r="AA94" i="28"/>
  <c r="AA93" i="28" s="1"/>
  <c r="AA80" i="29" s="1"/>
  <c r="Y94" i="28"/>
  <c r="Y93" i="28" s="1"/>
  <c r="Y80" i="29" s="1"/>
  <c r="Z94" i="28"/>
  <c r="Z93" i="28" s="1"/>
  <c r="Z80" i="29" s="1"/>
  <c r="G100" i="28"/>
  <c r="F102" i="28"/>
  <c r="AA70" i="28"/>
  <c r="AA69" i="28" s="1"/>
  <c r="E60" i="28"/>
  <c r="E108" i="28"/>
  <c r="M107" i="28"/>
  <c r="N108" i="28"/>
  <c r="D108" i="28"/>
  <c r="Y70" i="28"/>
  <c r="Y69" i="28" s="1"/>
  <c r="Z70" i="28"/>
  <c r="Z69" i="28" s="1"/>
  <c r="W69" i="28"/>
  <c r="G57" i="28"/>
  <c r="F58" i="28"/>
  <c r="O108" i="28"/>
  <c r="O107" i="28" s="1"/>
  <c r="P53" i="28"/>
  <c r="P54" i="28"/>
  <c r="Q1" i="28"/>
  <c r="Q114" i="28" s="1"/>
  <c r="Q113" i="28" s="1"/>
  <c r="D52" i="28"/>
  <c r="F54" i="28"/>
  <c r="F59" i="28" s="1"/>
  <c r="F53" i="28"/>
  <c r="G1" i="28"/>
  <c r="G70" i="28" s="1"/>
  <c r="G71" i="28"/>
  <c r="F72" i="28"/>
  <c r="Y114" i="28"/>
  <c r="Y113" i="28" s="1"/>
  <c r="W113" i="28"/>
  <c r="Z114" i="28"/>
  <c r="Z113" i="28" s="1"/>
  <c r="X114" i="28"/>
  <c r="X113" i="28" s="1"/>
  <c r="AA114" i="28"/>
  <c r="AA113" i="28" s="1"/>
  <c r="O114" i="28"/>
  <c r="O113" i="28" s="1"/>
  <c r="E55" i="28"/>
  <c r="O55" i="28"/>
  <c r="Z55" i="28"/>
  <c r="X52" i="28"/>
  <c r="I76" i="28"/>
  <c r="H79" i="28"/>
  <c r="Z108" i="28"/>
  <c r="Y108" i="28"/>
  <c r="W107" i="28"/>
  <c r="X108" i="28"/>
  <c r="AA108" i="28"/>
  <c r="F114" i="28"/>
  <c r="F113" i="28" s="1"/>
  <c r="P108" i="28"/>
  <c r="X69" i="28"/>
  <c r="N52" i="28"/>
  <c r="AA53" i="28"/>
  <c r="AB1" i="28"/>
  <c r="AB94" i="28" s="1"/>
  <c r="AB93" i="28" s="1"/>
  <c r="AB80" i="29" s="1"/>
  <c r="AA54" i="28"/>
  <c r="P70" i="28"/>
  <c r="D70" i="28"/>
  <c r="O70" i="28"/>
  <c r="M69" i="28"/>
  <c r="N70" i="28"/>
  <c r="F70" i="28"/>
  <c r="E70" i="28"/>
  <c r="P114" i="28"/>
  <c r="P113" i="28" s="1"/>
  <c r="N114" i="28"/>
  <c r="N113" i="28" s="1"/>
  <c r="F108" i="28"/>
  <c r="F1" i="19"/>
  <c r="Z1" i="19"/>
  <c r="P1" i="19"/>
  <c r="E162" i="20"/>
  <c r="F162" i="20" s="1"/>
  <c r="C160" i="20"/>
  <c r="D164" i="20"/>
  <c r="E157" i="20"/>
  <c r="D158" i="20"/>
  <c r="F8" i="34" l="1"/>
  <c r="E59" i="20"/>
  <c r="D56" i="48"/>
  <c r="D56" i="46"/>
  <c r="D56" i="42"/>
  <c r="D56" i="38"/>
  <c r="D60" i="20"/>
  <c r="C59" i="48"/>
  <c r="C59" i="46"/>
  <c r="C59" i="42"/>
  <c r="C59" i="38"/>
  <c r="C58" i="48"/>
  <c r="C58" i="46"/>
  <c r="C58" i="42"/>
  <c r="C58" i="38"/>
  <c r="C60" i="48"/>
  <c r="C60" i="46"/>
  <c r="C60" i="42"/>
  <c r="C60" i="38"/>
  <c r="F53" i="34"/>
  <c r="G53" i="34" s="1"/>
  <c r="H53" i="34" s="1"/>
  <c r="I53" i="34" s="1"/>
  <c r="J53" i="34" s="1"/>
  <c r="K53" i="34" s="1"/>
  <c r="L53" i="34" s="1"/>
  <c r="M53" i="34" s="1"/>
  <c r="N53" i="34" s="1"/>
  <c r="O53" i="34" s="1"/>
  <c r="P53" i="34" s="1"/>
  <c r="Q53" i="34" s="1"/>
  <c r="R53" i="34" s="1"/>
  <c r="S53" i="34" s="1"/>
  <c r="T53" i="34" s="1"/>
  <c r="U53" i="34" s="1"/>
  <c r="V53" i="34" s="1"/>
  <c r="W53" i="34" s="1"/>
  <c r="X53" i="34" s="1"/>
  <c r="Y53" i="34" s="1"/>
  <c r="Z53" i="34" s="1"/>
  <c r="AA53" i="34" s="1"/>
  <c r="AB53" i="34" s="1"/>
  <c r="AC53" i="34" s="1"/>
  <c r="AD53" i="34" s="1"/>
  <c r="AE53" i="34" s="1"/>
  <c r="AF53" i="34" s="1"/>
  <c r="AG53" i="34" s="1"/>
  <c r="AH53" i="34" s="1"/>
  <c r="E58" i="20"/>
  <c r="D55" i="48"/>
  <c r="D55" i="46"/>
  <c r="D55" i="42"/>
  <c r="D55" i="38"/>
  <c r="D54" i="48"/>
  <c r="D54" i="46"/>
  <c r="D54" i="42"/>
  <c r="D54" i="38"/>
  <c r="E57" i="20"/>
  <c r="C64" i="20"/>
  <c r="C57" i="48"/>
  <c r="C57" i="46"/>
  <c r="C57" i="42"/>
  <c r="C57" i="38"/>
  <c r="F157" i="20"/>
  <c r="G94" i="28"/>
  <c r="G93" i="28" s="1"/>
  <c r="G80" i="29" s="1"/>
  <c r="E97" i="28"/>
  <c r="F51" i="15" s="1"/>
  <c r="E98" i="28"/>
  <c r="D98" i="28"/>
  <c r="D97" i="28"/>
  <c r="E51" i="15" s="1"/>
  <c r="D107" i="28"/>
  <c r="Q94" i="28"/>
  <c r="Q93" i="28" s="1"/>
  <c r="Q80" i="29" s="1"/>
  <c r="G102" i="28"/>
  <c r="H100" i="28"/>
  <c r="K95" i="28"/>
  <c r="J96" i="28"/>
  <c r="F97" i="28"/>
  <c r="G51" i="15" s="1"/>
  <c r="F98" i="28"/>
  <c r="E107" i="28"/>
  <c r="N107" i="28"/>
  <c r="F60" i="28"/>
  <c r="Q70" i="28"/>
  <c r="Q69" i="28" s="1"/>
  <c r="H57" i="28"/>
  <c r="G58" i="28"/>
  <c r="F107" i="28"/>
  <c r="E73" i="28"/>
  <c r="E69" i="28"/>
  <c r="E74" i="28"/>
  <c r="N69" i="28"/>
  <c r="AC1" i="28"/>
  <c r="AC94" i="28" s="1"/>
  <c r="AC93" i="28" s="1"/>
  <c r="AC80" i="29" s="1"/>
  <c r="AB53" i="28"/>
  <c r="AB54" i="28"/>
  <c r="AB70" i="28"/>
  <c r="AA107" i="28"/>
  <c r="E52" i="28"/>
  <c r="P55" i="28"/>
  <c r="O69" i="28"/>
  <c r="AA55" i="28"/>
  <c r="AB108" i="28"/>
  <c r="Z107" i="28"/>
  <c r="AB114" i="28"/>
  <c r="AB113" i="28" s="1"/>
  <c r="G72" i="28"/>
  <c r="G74" i="28" s="1"/>
  <c r="H71" i="28"/>
  <c r="P69" i="28"/>
  <c r="P107" i="28"/>
  <c r="O52" i="28"/>
  <c r="G54" i="28"/>
  <c r="G59" i="28" s="1"/>
  <c r="G53" i="28"/>
  <c r="H1" i="28"/>
  <c r="H94" i="28" s="1"/>
  <c r="H93" i="28" s="1"/>
  <c r="H80" i="29" s="1"/>
  <c r="G108" i="28"/>
  <c r="G114" i="28"/>
  <c r="G113" i="28" s="1"/>
  <c r="R1" i="28"/>
  <c r="R94" i="28" s="1"/>
  <c r="R93" i="28" s="1"/>
  <c r="R80" i="29" s="1"/>
  <c r="Q54" i="28"/>
  <c r="Q53" i="28"/>
  <c r="Q108" i="28"/>
  <c r="F73" i="28"/>
  <c r="F74" i="28"/>
  <c r="F69" i="28"/>
  <c r="G73" i="28"/>
  <c r="G69" i="28"/>
  <c r="D74" i="28"/>
  <c r="D73" i="28"/>
  <c r="D69" i="28"/>
  <c r="X107" i="28"/>
  <c r="Y107" i="28"/>
  <c r="I79" i="28"/>
  <c r="J76" i="28"/>
  <c r="Z52" i="28"/>
  <c r="F55" i="28"/>
  <c r="AA1" i="19"/>
  <c r="Q1" i="19"/>
  <c r="G1" i="19"/>
  <c r="C166" i="20"/>
  <c r="C167" i="20"/>
  <c r="E158" i="20"/>
  <c r="F164" i="20"/>
  <c r="G162" i="20"/>
  <c r="E164" i="20"/>
  <c r="F158" i="20"/>
  <c r="D57" i="48" l="1"/>
  <c r="D57" i="46"/>
  <c r="D57" i="42"/>
  <c r="D57" i="38"/>
  <c r="C61" i="48"/>
  <c r="C61" i="46"/>
  <c r="C61" i="42"/>
  <c r="C61" i="38"/>
  <c r="F57" i="20"/>
  <c r="E54" i="48"/>
  <c r="E54" i="46"/>
  <c r="E54" i="42"/>
  <c r="E54" i="38"/>
  <c r="F58" i="20"/>
  <c r="E55" i="48"/>
  <c r="E55" i="46"/>
  <c r="E55" i="42"/>
  <c r="E55" i="38"/>
  <c r="E56" i="48"/>
  <c r="E56" i="46"/>
  <c r="E56" i="42"/>
  <c r="E56" i="38"/>
  <c r="F59" i="20"/>
  <c r="E60" i="20"/>
  <c r="G157" i="20"/>
  <c r="H98" i="28"/>
  <c r="H105" i="28" s="1"/>
  <c r="I63" i="15" s="1"/>
  <c r="H97" i="28"/>
  <c r="I51" i="15" s="1"/>
  <c r="F105" i="28"/>
  <c r="G63" i="15" s="1"/>
  <c r="F104" i="28"/>
  <c r="G57" i="15" s="1"/>
  <c r="I100" i="28"/>
  <c r="H102" i="28"/>
  <c r="G98" i="28"/>
  <c r="G97" i="28"/>
  <c r="H51" i="15" s="1"/>
  <c r="D105" i="28"/>
  <c r="E63" i="15" s="1"/>
  <c r="D104" i="28"/>
  <c r="E57" i="15" s="1"/>
  <c r="L95" i="28"/>
  <c r="K96" i="28"/>
  <c r="E105" i="28"/>
  <c r="F63" i="15" s="1"/>
  <c r="E104" i="28"/>
  <c r="F57" i="15" s="1"/>
  <c r="G60" i="28"/>
  <c r="I57" i="28"/>
  <c r="H58" i="28"/>
  <c r="P52" i="28"/>
  <c r="AB55" i="28"/>
  <c r="F82" i="28"/>
  <c r="F83" i="28"/>
  <c r="F81" i="28"/>
  <c r="G55" i="28"/>
  <c r="AC53" i="28"/>
  <c r="AD1" i="28"/>
  <c r="AD94" i="28" s="1"/>
  <c r="AD93" i="28" s="1"/>
  <c r="AD80" i="29" s="1"/>
  <c r="AC54" i="28"/>
  <c r="AC70" i="28"/>
  <c r="AC114" i="28"/>
  <c r="AC113" i="28" s="1"/>
  <c r="AC108" i="28"/>
  <c r="H54" i="28"/>
  <c r="H59" i="28" s="1"/>
  <c r="I1" i="28"/>
  <c r="I94" i="28" s="1"/>
  <c r="I93" i="28" s="1"/>
  <c r="I80" i="29" s="1"/>
  <c r="H53" i="28"/>
  <c r="H108" i="28"/>
  <c r="H114" i="28"/>
  <c r="H113" i="28" s="1"/>
  <c r="H70" i="28"/>
  <c r="K76" i="28"/>
  <c r="J79" i="28"/>
  <c r="Q107" i="28"/>
  <c r="H72" i="28"/>
  <c r="I71" i="28"/>
  <c r="AB107" i="28"/>
  <c r="AA52" i="28"/>
  <c r="AB69" i="28"/>
  <c r="S1" i="28"/>
  <c r="S94" i="28" s="1"/>
  <c r="S93" i="28" s="1"/>
  <c r="S80" i="29" s="1"/>
  <c r="R53" i="28"/>
  <c r="R54" i="28"/>
  <c r="R70" i="28"/>
  <c r="R108" i="28"/>
  <c r="R114" i="28"/>
  <c r="R113" i="28" s="1"/>
  <c r="G82" i="28"/>
  <c r="G83" i="28"/>
  <c r="G81" i="28"/>
  <c r="F52" i="28"/>
  <c r="D83" i="28"/>
  <c r="D81" i="28"/>
  <c r="D82" i="28"/>
  <c r="Q55" i="28"/>
  <c r="G107" i="28"/>
  <c r="E82" i="28"/>
  <c r="E83" i="28"/>
  <c r="E81" i="28"/>
  <c r="H1" i="19"/>
  <c r="AB1" i="19"/>
  <c r="R1" i="19"/>
  <c r="H162" i="20"/>
  <c r="G164" i="20"/>
  <c r="E57" i="48" l="1"/>
  <c r="E57" i="46"/>
  <c r="E57" i="42"/>
  <c r="E57" i="38"/>
  <c r="F56" i="48"/>
  <c r="F56" i="46"/>
  <c r="F56" i="42"/>
  <c r="F56" i="38"/>
  <c r="G59" i="20"/>
  <c r="F60" i="20"/>
  <c r="G58" i="20"/>
  <c r="F55" i="48"/>
  <c r="F55" i="46"/>
  <c r="F55" i="42"/>
  <c r="F55" i="38"/>
  <c r="G57" i="20"/>
  <c r="F54" i="48"/>
  <c r="F54" i="46"/>
  <c r="F54" i="42"/>
  <c r="F54" i="38"/>
  <c r="H157" i="20"/>
  <c r="G158" i="20"/>
  <c r="H104" i="28"/>
  <c r="I57" i="15" s="1"/>
  <c r="J100" i="28"/>
  <c r="I102" i="28"/>
  <c r="G105" i="28"/>
  <c r="H63" i="15" s="1"/>
  <c r="G104" i="28"/>
  <c r="H57" i="15" s="1"/>
  <c r="I98" i="28"/>
  <c r="I105" i="28" s="1"/>
  <c r="J63" i="15" s="1"/>
  <c r="I97" i="28"/>
  <c r="J51" i="15" s="1"/>
  <c r="L96" i="28"/>
  <c r="M95" i="28"/>
  <c r="H60" i="28"/>
  <c r="J57" i="28"/>
  <c r="I58" i="28"/>
  <c r="R55" i="28"/>
  <c r="L76" i="28"/>
  <c r="K79" i="28"/>
  <c r="H107" i="28"/>
  <c r="AC107" i="28"/>
  <c r="AB52" i="28"/>
  <c r="R107" i="28"/>
  <c r="S54" i="28"/>
  <c r="S53" i="28"/>
  <c r="T1" i="28"/>
  <c r="T94" i="28" s="1"/>
  <c r="T93" i="28" s="1"/>
  <c r="T80" i="29" s="1"/>
  <c r="S108" i="28"/>
  <c r="S114" i="28"/>
  <c r="S113" i="28" s="1"/>
  <c r="S70" i="28"/>
  <c r="I72" i="28"/>
  <c r="J71" i="28"/>
  <c r="H74" i="28"/>
  <c r="H69" i="28"/>
  <c r="H73" i="28"/>
  <c r="H55" i="28"/>
  <c r="AE1" i="28"/>
  <c r="AE94" i="28" s="1"/>
  <c r="AE93" i="28" s="1"/>
  <c r="AE80" i="29" s="1"/>
  <c r="AD53" i="28"/>
  <c r="AD54" i="28"/>
  <c r="AD70" i="28"/>
  <c r="AD114" i="28"/>
  <c r="AD113" i="28" s="1"/>
  <c r="AD108" i="28"/>
  <c r="G52" i="28"/>
  <c r="I53" i="28"/>
  <c r="J1" i="28"/>
  <c r="J94" i="28" s="1"/>
  <c r="J93" i="28" s="1"/>
  <c r="J80" i="29" s="1"/>
  <c r="I54" i="28"/>
  <c r="I59" i="28" s="1"/>
  <c r="I108" i="28"/>
  <c r="I114" i="28"/>
  <c r="I113" i="28" s="1"/>
  <c r="I70" i="28"/>
  <c r="AC55" i="28"/>
  <c r="R69" i="28"/>
  <c r="Q52" i="28"/>
  <c r="AC69" i="28"/>
  <c r="S1" i="19"/>
  <c r="AC1" i="19"/>
  <c r="I1" i="19"/>
  <c r="I162" i="20"/>
  <c r="H164" i="20"/>
  <c r="H158" i="20"/>
  <c r="H57" i="20" l="1"/>
  <c r="G54" i="48"/>
  <c r="G54" i="46"/>
  <c r="G54" i="42"/>
  <c r="G54" i="38"/>
  <c r="H58" i="20"/>
  <c r="G55" i="48"/>
  <c r="G55" i="46"/>
  <c r="G55" i="42"/>
  <c r="G55" i="38"/>
  <c r="F57" i="48"/>
  <c r="F57" i="46"/>
  <c r="F57" i="42"/>
  <c r="F57" i="38"/>
  <c r="G56" i="48"/>
  <c r="G56" i="46"/>
  <c r="G56" i="42"/>
  <c r="G56" i="38"/>
  <c r="H59" i="20"/>
  <c r="G60" i="20"/>
  <c r="I157" i="20"/>
  <c r="J97" i="28"/>
  <c r="K51" i="15" s="1"/>
  <c r="J98" i="28"/>
  <c r="J105" i="28" s="1"/>
  <c r="K63" i="15" s="1"/>
  <c r="I104" i="28"/>
  <c r="J57" i="15" s="1"/>
  <c r="M96" i="28"/>
  <c r="M98" i="28" s="1"/>
  <c r="M105" i="28" s="1"/>
  <c r="N63" i="15" s="1"/>
  <c r="N95" i="28"/>
  <c r="M97" i="28"/>
  <c r="N51" i="15" s="1"/>
  <c r="K100" i="28"/>
  <c r="J102" i="28"/>
  <c r="I60" i="28"/>
  <c r="K57" i="28"/>
  <c r="J58" i="28"/>
  <c r="I55" i="28"/>
  <c r="AD107" i="28"/>
  <c r="K71" i="28"/>
  <c r="J72" i="28"/>
  <c r="AC52" i="28"/>
  <c r="I73" i="28"/>
  <c r="I74" i="28"/>
  <c r="I69" i="28"/>
  <c r="J54" i="28"/>
  <c r="J59" i="28" s="1"/>
  <c r="J53" i="28"/>
  <c r="K1" i="28"/>
  <c r="K94" i="28" s="1"/>
  <c r="K93" i="28" s="1"/>
  <c r="K80" i="29" s="1"/>
  <c r="J114" i="28"/>
  <c r="J113" i="28" s="1"/>
  <c r="J108" i="28"/>
  <c r="J70" i="28"/>
  <c r="AD69" i="28"/>
  <c r="H52" i="28"/>
  <c r="H83" i="28"/>
  <c r="H82" i="28"/>
  <c r="H81" i="28"/>
  <c r="S55" i="28"/>
  <c r="I107" i="28"/>
  <c r="AD55" i="28"/>
  <c r="S107" i="28"/>
  <c r="M76" i="28"/>
  <c r="L79" i="28"/>
  <c r="R52" i="28"/>
  <c r="AF1" i="28"/>
  <c r="AF94" i="28" s="1"/>
  <c r="AF93" i="28" s="1"/>
  <c r="AF80" i="29" s="1"/>
  <c r="AE53" i="28"/>
  <c r="AE54" i="28"/>
  <c r="AE70" i="28"/>
  <c r="AE114" i="28"/>
  <c r="AE113" i="28" s="1"/>
  <c r="AE108" i="28"/>
  <c r="S69" i="28"/>
  <c r="T54" i="28"/>
  <c r="T53" i="28"/>
  <c r="U1" i="28"/>
  <c r="U94" i="28" s="1"/>
  <c r="U93" i="28" s="1"/>
  <c r="U80" i="29" s="1"/>
  <c r="T108" i="28"/>
  <c r="T70" i="28"/>
  <c r="T114" i="28"/>
  <c r="T113" i="28" s="1"/>
  <c r="J1" i="19"/>
  <c r="AD1" i="19"/>
  <c r="T1" i="19"/>
  <c r="I164" i="20"/>
  <c r="J162" i="20"/>
  <c r="G57" i="48" l="1"/>
  <c r="G57" i="46"/>
  <c r="G57" i="42"/>
  <c r="G57" i="38"/>
  <c r="H56" i="48"/>
  <c r="H56" i="46"/>
  <c r="H56" i="42"/>
  <c r="H56" i="38"/>
  <c r="I59" i="20"/>
  <c r="H60" i="20"/>
  <c r="I58" i="20"/>
  <c r="H55" i="48"/>
  <c r="H55" i="46"/>
  <c r="H55" i="42"/>
  <c r="H55" i="38"/>
  <c r="I57" i="20"/>
  <c r="H54" i="48"/>
  <c r="H54" i="46"/>
  <c r="H54" i="42"/>
  <c r="H54" i="38"/>
  <c r="I158" i="20"/>
  <c r="J157" i="20"/>
  <c r="J158" i="20" s="1"/>
  <c r="J104" i="28"/>
  <c r="K57" i="15" s="1"/>
  <c r="K98" i="28"/>
  <c r="K105" i="28" s="1"/>
  <c r="L63" i="15" s="1"/>
  <c r="K97" i="28"/>
  <c r="L51" i="15" s="1"/>
  <c r="K102" i="28"/>
  <c r="L100" i="28"/>
  <c r="O95" i="28"/>
  <c r="N96" i="28"/>
  <c r="N98" i="28" s="1"/>
  <c r="N105" i="28" s="1"/>
  <c r="O63" i="15" s="1"/>
  <c r="N97" i="28"/>
  <c r="O51" i="15" s="1"/>
  <c r="J60" i="28"/>
  <c r="L57" i="28"/>
  <c r="K58" i="28"/>
  <c r="U53" i="28"/>
  <c r="V1" i="28"/>
  <c r="V94" i="28" s="1"/>
  <c r="V93" i="28" s="1"/>
  <c r="V80" i="29" s="1"/>
  <c r="U54" i="28"/>
  <c r="U114" i="28"/>
  <c r="U113" i="28" s="1"/>
  <c r="U108" i="28"/>
  <c r="U70" i="28"/>
  <c r="AE107" i="28"/>
  <c r="J73" i="28"/>
  <c r="J74" i="28"/>
  <c r="J69" i="28"/>
  <c r="K54" i="28"/>
  <c r="K59" i="28" s="1"/>
  <c r="L1" i="28"/>
  <c r="L94" i="28" s="1"/>
  <c r="L93" i="28" s="1"/>
  <c r="L80" i="29" s="1"/>
  <c r="K53" i="28"/>
  <c r="K114" i="28"/>
  <c r="K113" i="28" s="1"/>
  <c r="K108" i="28"/>
  <c r="K70" i="28"/>
  <c r="I52" i="28"/>
  <c r="AF54" i="28"/>
  <c r="AF53" i="28"/>
  <c r="AF70" i="28"/>
  <c r="AF114" i="28"/>
  <c r="AF113" i="28" s="1"/>
  <c r="AF108" i="28"/>
  <c r="I83" i="28"/>
  <c r="I82" i="28"/>
  <c r="I81" i="28"/>
  <c r="T107" i="28"/>
  <c r="AE69" i="28"/>
  <c r="M79" i="28"/>
  <c r="N76" i="28"/>
  <c r="AD52" i="28"/>
  <c r="S52" i="28"/>
  <c r="T69" i="28"/>
  <c r="T55" i="28"/>
  <c r="AE55" i="28"/>
  <c r="J107" i="28"/>
  <c r="J55" i="28"/>
  <c r="L71" i="28"/>
  <c r="K72" i="28"/>
  <c r="K1" i="19"/>
  <c r="U1" i="19"/>
  <c r="AE1" i="19"/>
  <c r="J164" i="20"/>
  <c r="K162" i="20"/>
  <c r="K104" i="28" l="1"/>
  <c r="L57" i="15" s="1"/>
  <c r="J57" i="20"/>
  <c r="I54" i="48"/>
  <c r="I54" i="46"/>
  <c r="I54" i="42"/>
  <c r="I54" i="38"/>
  <c r="J58" i="20"/>
  <c r="I55" i="46"/>
  <c r="I55" i="48"/>
  <c r="I55" i="42"/>
  <c r="I55" i="38"/>
  <c r="H57" i="48"/>
  <c r="H57" i="46"/>
  <c r="H57" i="42"/>
  <c r="H57" i="38"/>
  <c r="I56" i="48"/>
  <c r="I56" i="46"/>
  <c r="I56" i="42"/>
  <c r="I56" i="38"/>
  <c r="J59" i="20"/>
  <c r="I60" i="20"/>
  <c r="K157" i="20"/>
  <c r="P95" i="28"/>
  <c r="O96" i="28"/>
  <c r="O98" i="28" s="1"/>
  <c r="O105" i="28" s="1"/>
  <c r="P63" i="15" s="1"/>
  <c r="O97" i="28"/>
  <c r="P51" i="15" s="1"/>
  <c r="L98" i="28"/>
  <c r="L105" i="28" s="1"/>
  <c r="M63" i="15" s="1"/>
  <c r="L97" i="28"/>
  <c r="M51" i="15" s="1"/>
  <c r="M100" i="28"/>
  <c r="L102" i="28"/>
  <c r="K60" i="28"/>
  <c r="M57" i="28"/>
  <c r="M59" i="28" s="1"/>
  <c r="L58" i="28"/>
  <c r="AE52" i="28"/>
  <c r="L54" i="28"/>
  <c r="L59" i="28" s="1"/>
  <c r="L53" i="28"/>
  <c r="L108" i="28"/>
  <c r="L114" i="28"/>
  <c r="L113" i="28" s="1"/>
  <c r="L70" i="28"/>
  <c r="U69" i="28"/>
  <c r="AF107" i="28"/>
  <c r="AF55" i="28"/>
  <c r="U107" i="28"/>
  <c r="V54" i="28"/>
  <c r="V53" i="28"/>
  <c r="V114" i="28"/>
  <c r="V113" i="28" s="1"/>
  <c r="V108" i="28"/>
  <c r="V70" i="28"/>
  <c r="J52" i="28"/>
  <c r="T52" i="28"/>
  <c r="K74" i="28"/>
  <c r="K73" i="28"/>
  <c r="K69" i="28"/>
  <c r="K55" i="28"/>
  <c r="J82" i="28"/>
  <c r="J83" i="28"/>
  <c r="J81" i="28"/>
  <c r="AF69" i="28"/>
  <c r="K107" i="28"/>
  <c r="L72" i="28"/>
  <c r="M71" i="28"/>
  <c r="N79" i="28"/>
  <c r="O76" i="28"/>
  <c r="U55" i="28"/>
  <c r="L1" i="19"/>
  <c r="AF1" i="19"/>
  <c r="V1" i="19"/>
  <c r="L162" i="20"/>
  <c r="K164" i="20"/>
  <c r="I57" i="48" l="1"/>
  <c r="I57" i="46"/>
  <c r="I57" i="42"/>
  <c r="I57" i="38"/>
  <c r="J56" i="46"/>
  <c r="J56" i="48"/>
  <c r="J56" i="42"/>
  <c r="J56" i="38"/>
  <c r="K59" i="20"/>
  <c r="J60" i="20"/>
  <c r="K58" i="20"/>
  <c r="J55" i="48"/>
  <c r="J55" i="46"/>
  <c r="J55" i="42"/>
  <c r="J55" i="38"/>
  <c r="K57" i="20"/>
  <c r="J54" i="48"/>
  <c r="J54" i="46"/>
  <c r="J54" i="42"/>
  <c r="J54" i="38"/>
  <c r="K158" i="20"/>
  <c r="L157" i="20"/>
  <c r="L104" i="28"/>
  <c r="M57" i="15" s="1"/>
  <c r="N100" i="28"/>
  <c r="M104" i="28"/>
  <c r="N57" i="15" s="1"/>
  <c r="M102" i="28"/>
  <c r="P96" i="28"/>
  <c r="P98" i="28" s="1"/>
  <c r="P105" i="28" s="1"/>
  <c r="Q63" i="15" s="1"/>
  <c r="Q95" i="28"/>
  <c r="P97" i="28"/>
  <c r="Q51" i="15" s="1"/>
  <c r="L60" i="28"/>
  <c r="N57" i="28"/>
  <c r="N59" i="28" s="1"/>
  <c r="M58" i="28"/>
  <c r="M60" i="28" s="1"/>
  <c r="M72" i="28"/>
  <c r="M74" i="28" s="1"/>
  <c r="N71" i="28"/>
  <c r="M73" i="28"/>
  <c r="V55" i="28"/>
  <c r="L107" i="28"/>
  <c r="K52" i="28"/>
  <c r="K82" i="28"/>
  <c r="K83" i="28"/>
  <c r="K81" i="28"/>
  <c r="V69" i="28"/>
  <c r="AF52" i="28"/>
  <c r="U52" i="28"/>
  <c r="P76" i="28"/>
  <c r="O79" i="28"/>
  <c r="V107" i="28"/>
  <c r="L74" i="28"/>
  <c r="L73" i="28"/>
  <c r="L69" i="28"/>
  <c r="L55" i="28"/>
  <c r="M162" i="20"/>
  <c r="L164" i="20"/>
  <c r="L57" i="20" l="1"/>
  <c r="K54" i="48"/>
  <c r="K54" i="46"/>
  <c r="K54" i="42"/>
  <c r="K54" i="38"/>
  <c r="L58" i="20"/>
  <c r="K55" i="48"/>
  <c r="K55" i="46"/>
  <c r="K55" i="42"/>
  <c r="K55" i="38"/>
  <c r="J57" i="48"/>
  <c r="J57" i="46"/>
  <c r="J57" i="42"/>
  <c r="J57" i="38"/>
  <c r="K56" i="48"/>
  <c r="K56" i="46"/>
  <c r="K56" i="42"/>
  <c r="K56" i="38"/>
  <c r="L59" i="20"/>
  <c r="K60" i="20"/>
  <c r="L158" i="20"/>
  <c r="M157" i="20"/>
  <c r="Q96" i="28"/>
  <c r="Q98" i="28" s="1"/>
  <c r="Q105" i="28" s="1"/>
  <c r="R63" i="15" s="1"/>
  <c r="R95" i="28"/>
  <c r="Q97" i="28"/>
  <c r="R51" i="15" s="1"/>
  <c r="O100" i="28"/>
  <c r="N104" i="28"/>
  <c r="O57" i="15" s="1"/>
  <c r="N102" i="28"/>
  <c r="O57" i="28"/>
  <c r="O59" i="28" s="1"/>
  <c r="N58" i="28"/>
  <c r="N60" i="28" s="1"/>
  <c r="M82" i="28"/>
  <c r="M83" i="28"/>
  <c r="M81" i="28"/>
  <c r="L83" i="28"/>
  <c r="L82" i="28"/>
  <c r="L81" i="28"/>
  <c r="L52" i="28"/>
  <c r="V52" i="28"/>
  <c r="Q76" i="28"/>
  <c r="P79" i="28"/>
  <c r="O71" i="28"/>
  <c r="N72" i="28"/>
  <c r="N74" i="28" s="1"/>
  <c r="N73" i="28"/>
  <c r="M164" i="20"/>
  <c r="N162" i="20"/>
  <c r="K57" i="46" l="1"/>
  <c r="K57" i="48"/>
  <c r="K57" i="42"/>
  <c r="K57" i="38"/>
  <c r="L56" i="48"/>
  <c r="L56" i="46"/>
  <c r="L56" i="42"/>
  <c r="L56" i="38"/>
  <c r="M59" i="20"/>
  <c r="L60" i="20"/>
  <c r="M58" i="20"/>
  <c r="L55" i="48"/>
  <c r="L55" i="46"/>
  <c r="L55" i="42"/>
  <c r="L55" i="38"/>
  <c r="M57" i="20"/>
  <c r="L54" i="46"/>
  <c r="L54" i="48"/>
  <c r="L54" i="42"/>
  <c r="L54" i="38"/>
  <c r="M158" i="20"/>
  <c r="N157" i="20"/>
  <c r="O102" i="28"/>
  <c r="P100" i="28"/>
  <c r="O104" i="28"/>
  <c r="P57" i="15" s="1"/>
  <c r="S95" i="28"/>
  <c r="R96" i="28"/>
  <c r="R98" i="28" s="1"/>
  <c r="R105" i="28" s="1"/>
  <c r="S63" i="15" s="1"/>
  <c r="R97" i="28"/>
  <c r="S51" i="15" s="1"/>
  <c r="P57" i="28"/>
  <c r="P59" i="28" s="1"/>
  <c r="O58" i="28"/>
  <c r="O60" i="28" s="1"/>
  <c r="N82" i="28"/>
  <c r="N83" i="28"/>
  <c r="N81" i="28"/>
  <c r="P71" i="28"/>
  <c r="O72" i="28"/>
  <c r="O74" i="28" s="1"/>
  <c r="O73" i="28"/>
  <c r="Q79" i="28"/>
  <c r="R76" i="28"/>
  <c r="N164" i="20"/>
  <c r="O162" i="20"/>
  <c r="N57" i="20" l="1"/>
  <c r="M54" i="48"/>
  <c r="M54" i="46"/>
  <c r="M54" i="42"/>
  <c r="M54" i="38"/>
  <c r="M61" i="20"/>
  <c r="N58" i="20"/>
  <c r="M55" i="46"/>
  <c r="M55" i="48"/>
  <c r="M55" i="42"/>
  <c r="M55" i="38"/>
  <c r="M62" i="20"/>
  <c r="L57" i="48"/>
  <c r="L57" i="46"/>
  <c r="L57" i="42"/>
  <c r="L57" i="38"/>
  <c r="M56" i="48"/>
  <c r="M56" i="46"/>
  <c r="M56" i="42"/>
  <c r="M56" i="38"/>
  <c r="M60" i="20"/>
  <c r="M63" i="20"/>
  <c r="N59" i="20"/>
  <c r="N158" i="20"/>
  <c r="O157" i="20"/>
  <c r="Q100" i="28"/>
  <c r="P104" i="28"/>
  <c r="Q57" i="15" s="1"/>
  <c r="P102" i="28"/>
  <c r="T95" i="28"/>
  <c r="S96" i="28"/>
  <c r="S98" i="28" s="1"/>
  <c r="S105" i="28" s="1"/>
  <c r="T63" i="15" s="1"/>
  <c r="S97" i="28"/>
  <c r="T51" i="15" s="1"/>
  <c r="Q57" i="28"/>
  <c r="Q59" i="28" s="1"/>
  <c r="P58" i="28"/>
  <c r="P60" i="28" s="1"/>
  <c r="O82" i="28"/>
  <c r="O83" i="28"/>
  <c r="O81" i="28"/>
  <c r="P72" i="28"/>
  <c r="P74" i="28" s="1"/>
  <c r="Q71" i="28"/>
  <c r="P73" i="28"/>
  <c r="S76" i="28"/>
  <c r="R79" i="28"/>
  <c r="P162" i="20"/>
  <c r="O164" i="20"/>
  <c r="M59" i="46" l="1"/>
  <c r="M59" i="48"/>
  <c r="M59" i="42"/>
  <c r="M59" i="38"/>
  <c r="N56" i="46"/>
  <c r="N56" i="48"/>
  <c r="N56" i="42"/>
  <c r="N56" i="38"/>
  <c r="O59" i="20"/>
  <c r="N60" i="20"/>
  <c r="O58" i="20"/>
  <c r="N55" i="48"/>
  <c r="N55" i="46"/>
  <c r="N55" i="42"/>
  <c r="N55" i="38"/>
  <c r="M60" i="48"/>
  <c r="M60" i="46"/>
  <c r="M60" i="42"/>
  <c r="M60" i="38"/>
  <c r="M58" i="48"/>
  <c r="M58" i="46"/>
  <c r="M58" i="42"/>
  <c r="M58" i="38"/>
  <c r="M64" i="20"/>
  <c r="M57" i="48"/>
  <c r="M57" i="46"/>
  <c r="M57" i="42"/>
  <c r="M57" i="38"/>
  <c r="O57" i="20"/>
  <c r="N54" i="48"/>
  <c r="N54" i="46"/>
  <c r="N54" i="42"/>
  <c r="N54" i="38"/>
  <c r="O158" i="20"/>
  <c r="P157" i="20"/>
  <c r="U95" i="28"/>
  <c r="T96" i="28"/>
  <c r="T98" i="28" s="1"/>
  <c r="T105" i="28" s="1"/>
  <c r="U63" i="15" s="1"/>
  <c r="T97" i="28"/>
  <c r="U51" i="15" s="1"/>
  <c r="R100" i="28"/>
  <c r="Q104" i="28"/>
  <c r="R57" i="15" s="1"/>
  <c r="Q102" i="28"/>
  <c r="R57" i="28"/>
  <c r="R59" i="28" s="1"/>
  <c r="Q58" i="28"/>
  <c r="Q60" i="28" s="1"/>
  <c r="Q72" i="28"/>
  <c r="Q74" i="28" s="1"/>
  <c r="R71" i="28"/>
  <c r="Q73" i="28"/>
  <c r="P83" i="28"/>
  <c r="P82" i="28"/>
  <c r="P81" i="28"/>
  <c r="T76" i="28"/>
  <c r="S79" i="28"/>
  <c r="Q162" i="20"/>
  <c r="P164" i="20"/>
  <c r="P58" i="20" l="1"/>
  <c r="O55" i="48"/>
  <c r="O55" i="46"/>
  <c r="O55" i="42"/>
  <c r="O55" i="38"/>
  <c r="N57" i="48"/>
  <c r="N57" i="46"/>
  <c r="N57" i="42"/>
  <c r="N57" i="38"/>
  <c r="M61" i="48"/>
  <c r="M61" i="46"/>
  <c r="M61" i="42"/>
  <c r="M61" i="38"/>
  <c r="P57" i="20"/>
  <c r="O54" i="48"/>
  <c r="O54" i="46"/>
  <c r="O54" i="42"/>
  <c r="O54" i="38"/>
  <c r="O56" i="48"/>
  <c r="O56" i="46"/>
  <c r="O56" i="42"/>
  <c r="O56" i="38"/>
  <c r="P59" i="20"/>
  <c r="O60" i="20"/>
  <c r="P158" i="20"/>
  <c r="Q157" i="20"/>
  <c r="U96" i="28"/>
  <c r="U98" i="28" s="1"/>
  <c r="U105" i="28" s="1"/>
  <c r="V63" i="15" s="1"/>
  <c r="V95" i="28"/>
  <c r="U97" i="28"/>
  <c r="V51" i="15" s="1"/>
  <c r="S100" i="28"/>
  <c r="R104" i="28"/>
  <c r="S57" i="15" s="1"/>
  <c r="R102" i="28"/>
  <c r="S57" i="28"/>
  <c r="S59" i="28" s="1"/>
  <c r="R58" i="28"/>
  <c r="R60" i="28" s="1"/>
  <c r="U76" i="28"/>
  <c r="T79" i="28"/>
  <c r="S71" i="28"/>
  <c r="R72" i="28"/>
  <c r="R74" i="28" s="1"/>
  <c r="R73" i="28"/>
  <c r="Q83" i="28"/>
  <c r="Q82" i="28"/>
  <c r="Q81" i="28"/>
  <c r="Q164" i="20"/>
  <c r="R162" i="20"/>
  <c r="O57" i="46" l="1"/>
  <c r="O57" i="48"/>
  <c r="O57" i="42"/>
  <c r="O57" i="38"/>
  <c r="P56" i="48"/>
  <c r="P56" i="46"/>
  <c r="P56" i="42"/>
  <c r="P56" i="38"/>
  <c r="Q59" i="20"/>
  <c r="P60" i="20"/>
  <c r="Q57" i="20"/>
  <c r="P54" i="46"/>
  <c r="P54" i="48"/>
  <c r="P54" i="42"/>
  <c r="P54" i="38"/>
  <c r="Q58" i="20"/>
  <c r="P55" i="48"/>
  <c r="P55" i="46"/>
  <c r="P55" i="42"/>
  <c r="P55" i="38"/>
  <c r="Q158" i="20"/>
  <c r="R157" i="20"/>
  <c r="W95" i="28"/>
  <c r="V96" i="28"/>
  <c r="V98" i="28" s="1"/>
  <c r="V105" i="28" s="1"/>
  <c r="W63" i="15" s="1"/>
  <c r="V97" i="28"/>
  <c r="W51" i="15" s="1"/>
  <c r="S102" i="28"/>
  <c r="S104" i="28"/>
  <c r="T57" i="15" s="1"/>
  <c r="T100" i="28"/>
  <c r="T57" i="28"/>
  <c r="T59" i="28" s="1"/>
  <c r="S58" i="28"/>
  <c r="S60" i="28" s="1"/>
  <c r="R82" i="28"/>
  <c r="R83" i="28"/>
  <c r="R81" i="28"/>
  <c r="U79" i="28"/>
  <c r="V76" i="28"/>
  <c r="T71" i="28"/>
  <c r="S72" i="28"/>
  <c r="S74" i="28" s="1"/>
  <c r="S73" i="28"/>
  <c r="R164" i="20"/>
  <c r="S162" i="20"/>
  <c r="R58" i="20" l="1"/>
  <c r="Q55" i="48"/>
  <c r="Q55" i="46"/>
  <c r="Q55" i="42"/>
  <c r="Q55" i="38"/>
  <c r="R57" i="20"/>
  <c r="Q54" i="48"/>
  <c r="Q54" i="46"/>
  <c r="Q54" i="42"/>
  <c r="Q54" i="38"/>
  <c r="P57" i="48"/>
  <c r="P57" i="46"/>
  <c r="P57" i="42"/>
  <c r="P57" i="38"/>
  <c r="Q56" i="48"/>
  <c r="Q56" i="46"/>
  <c r="Q56" i="42"/>
  <c r="Q56" i="38"/>
  <c r="R59" i="20"/>
  <c r="Q60" i="20"/>
  <c r="R158" i="20"/>
  <c r="S157" i="20"/>
  <c r="U100" i="28"/>
  <c r="T104" i="28"/>
  <c r="U57" i="15" s="1"/>
  <c r="T102" i="28"/>
  <c r="X95" i="28"/>
  <c r="W96" i="28"/>
  <c r="W98" i="28" s="1"/>
  <c r="W105" i="28" s="1"/>
  <c r="X63" i="15" s="1"/>
  <c r="W97" i="28"/>
  <c r="X51" i="15" s="1"/>
  <c r="U57" i="28"/>
  <c r="U59" i="28" s="1"/>
  <c r="T58" i="28"/>
  <c r="T60" i="28" s="1"/>
  <c r="T72" i="28"/>
  <c r="T74" i="28" s="1"/>
  <c r="U71" i="28"/>
  <c r="T73" i="28"/>
  <c r="V79" i="28"/>
  <c r="W76" i="28"/>
  <c r="S82" i="28"/>
  <c r="S83" i="28"/>
  <c r="S81" i="28"/>
  <c r="T162" i="20"/>
  <c r="S164" i="20"/>
  <c r="Q57" i="48" l="1"/>
  <c r="Q57" i="46"/>
  <c r="Q57" i="42"/>
  <c r="Q57" i="38"/>
  <c r="R56" i="48"/>
  <c r="R56" i="46"/>
  <c r="R56" i="42"/>
  <c r="R56" i="38"/>
  <c r="S59" i="20"/>
  <c r="R60" i="20"/>
  <c r="S57" i="20"/>
  <c r="R54" i="48"/>
  <c r="R54" i="46"/>
  <c r="R54" i="42"/>
  <c r="R54" i="38"/>
  <c r="S58" i="20"/>
  <c r="R55" i="48"/>
  <c r="R55" i="46"/>
  <c r="R55" i="42"/>
  <c r="R55" i="38"/>
  <c r="S158" i="20"/>
  <c r="T157" i="20"/>
  <c r="X96" i="28"/>
  <c r="X98" i="28" s="1"/>
  <c r="X105" i="28" s="1"/>
  <c r="Y63" i="15" s="1"/>
  <c r="Y95" i="28"/>
  <c r="X97" i="28"/>
  <c r="Y51" i="15" s="1"/>
  <c r="V100" i="28"/>
  <c r="U104" i="28"/>
  <c r="V57" i="15" s="1"/>
  <c r="U102" i="28"/>
  <c r="V57" i="28"/>
  <c r="V59" i="28" s="1"/>
  <c r="U58" i="28"/>
  <c r="U60" i="28" s="1"/>
  <c r="U72" i="28"/>
  <c r="U74" i="28" s="1"/>
  <c r="V71" i="28"/>
  <c r="U73" i="28"/>
  <c r="T83" i="28"/>
  <c r="T82" i="28"/>
  <c r="T81" i="28"/>
  <c r="X76" i="28"/>
  <c r="W79" i="28"/>
  <c r="U162" i="20"/>
  <c r="T164" i="20"/>
  <c r="T57" i="20" l="1"/>
  <c r="S54" i="48"/>
  <c r="S54" i="46"/>
  <c r="S54" i="42"/>
  <c r="S54" i="38"/>
  <c r="T58" i="20"/>
  <c r="S55" i="48"/>
  <c r="S55" i="46"/>
  <c r="S55" i="42"/>
  <c r="S55" i="38"/>
  <c r="R57" i="48"/>
  <c r="R57" i="46"/>
  <c r="R57" i="42"/>
  <c r="R57" i="38"/>
  <c r="S56" i="48"/>
  <c r="S56" i="46"/>
  <c r="S56" i="42"/>
  <c r="S56" i="38"/>
  <c r="S60" i="20"/>
  <c r="T59" i="20"/>
  <c r="T158" i="20"/>
  <c r="U157" i="20"/>
  <c r="W100" i="28"/>
  <c r="V104" i="28"/>
  <c r="W57" i="15" s="1"/>
  <c r="V102" i="28"/>
  <c r="Y96" i="28"/>
  <c r="Y98" i="28" s="1"/>
  <c r="Y105" i="28" s="1"/>
  <c r="Z63" i="15" s="1"/>
  <c r="Z95" i="28"/>
  <c r="Y97" i="28"/>
  <c r="Z51" i="15" s="1"/>
  <c r="W57" i="28"/>
  <c r="W59" i="28" s="1"/>
  <c r="V58" i="28"/>
  <c r="V60" i="28" s="1"/>
  <c r="U82" i="28"/>
  <c r="U83" i="28"/>
  <c r="U81" i="28"/>
  <c r="Y76" i="28"/>
  <c r="X79" i="28"/>
  <c r="W71" i="28"/>
  <c r="V72" i="28"/>
  <c r="V74" i="28" s="1"/>
  <c r="V73" i="28"/>
  <c r="U164" i="20"/>
  <c r="V162" i="20"/>
  <c r="S57" i="48" l="1"/>
  <c r="S57" i="46"/>
  <c r="S57" i="42"/>
  <c r="S57" i="38"/>
  <c r="U58" i="20"/>
  <c r="T55" i="48"/>
  <c r="T55" i="46"/>
  <c r="T55" i="42"/>
  <c r="T55" i="38"/>
  <c r="T56" i="48"/>
  <c r="T56" i="46"/>
  <c r="T56" i="42"/>
  <c r="T56" i="38"/>
  <c r="U59" i="20"/>
  <c r="T60" i="20"/>
  <c r="U57" i="20"/>
  <c r="T54" i="48"/>
  <c r="T54" i="46"/>
  <c r="T54" i="42"/>
  <c r="T54" i="38"/>
  <c r="U158" i="20"/>
  <c r="V157" i="20"/>
  <c r="AA95" i="28"/>
  <c r="Z96" i="28"/>
  <c r="Z98" i="28" s="1"/>
  <c r="Z105" i="28" s="1"/>
  <c r="AA63" i="15" s="1"/>
  <c r="Z97" i="28"/>
  <c r="AA51" i="15" s="1"/>
  <c r="W102" i="28"/>
  <c r="X100" i="28"/>
  <c r="W104" i="28"/>
  <c r="X57" i="15" s="1"/>
  <c r="X57" i="28"/>
  <c r="X59" i="28" s="1"/>
  <c r="W58" i="28"/>
  <c r="W60" i="28" s="1"/>
  <c r="V82" i="28"/>
  <c r="V83" i="28"/>
  <c r="V81" i="28"/>
  <c r="W72" i="28"/>
  <c r="W74" i="28" s="1"/>
  <c r="X71" i="28"/>
  <c r="W73" i="28"/>
  <c r="Y79" i="28"/>
  <c r="Z76" i="28"/>
  <c r="V164" i="20"/>
  <c r="W162" i="20"/>
  <c r="V57" i="20" l="1"/>
  <c r="U54" i="48"/>
  <c r="U54" i="46"/>
  <c r="U54" i="42"/>
  <c r="U54" i="38"/>
  <c r="T57" i="48"/>
  <c r="T57" i="46"/>
  <c r="T57" i="42"/>
  <c r="T57" i="38"/>
  <c r="U56" i="48"/>
  <c r="U56" i="46"/>
  <c r="U56" i="42"/>
  <c r="U56" i="38"/>
  <c r="V59" i="20"/>
  <c r="U60" i="20"/>
  <c r="V58" i="20"/>
  <c r="U55" i="48"/>
  <c r="U55" i="46"/>
  <c r="U55" i="42"/>
  <c r="U55" i="38"/>
  <c r="V158" i="20"/>
  <c r="W157" i="20"/>
  <c r="Y100" i="28"/>
  <c r="X104" i="28"/>
  <c r="Y57" i="15" s="1"/>
  <c r="X102" i="28"/>
  <c r="AB95" i="28"/>
  <c r="AA96" i="28"/>
  <c r="AA98" i="28" s="1"/>
  <c r="AA105" i="28" s="1"/>
  <c r="AB63" i="15" s="1"/>
  <c r="AA97" i="28"/>
  <c r="AB51" i="15" s="1"/>
  <c r="Y57" i="28"/>
  <c r="Y59" i="28" s="1"/>
  <c r="X58" i="28"/>
  <c r="X60" i="28" s="1"/>
  <c r="AA76" i="28"/>
  <c r="Z79" i="28"/>
  <c r="X72" i="28"/>
  <c r="X74" i="28" s="1"/>
  <c r="Y71" i="28"/>
  <c r="X73" i="28"/>
  <c r="W82" i="28"/>
  <c r="W83" i="28"/>
  <c r="W81" i="28"/>
  <c r="X162" i="20"/>
  <c r="W164" i="20"/>
  <c r="W58" i="20" l="1"/>
  <c r="V55" i="48"/>
  <c r="V55" i="46"/>
  <c r="V55" i="42"/>
  <c r="V55" i="38"/>
  <c r="U57" i="48"/>
  <c r="U57" i="46"/>
  <c r="U57" i="42"/>
  <c r="U57" i="38"/>
  <c r="V56" i="48"/>
  <c r="V56" i="46"/>
  <c r="V56" i="42"/>
  <c r="V56" i="38"/>
  <c r="W59" i="20"/>
  <c r="V60" i="20"/>
  <c r="W57" i="20"/>
  <c r="V54" i="48"/>
  <c r="V54" i="46"/>
  <c r="V54" i="42"/>
  <c r="V54" i="38"/>
  <c r="W158" i="20"/>
  <c r="X157" i="20"/>
  <c r="AB96" i="28"/>
  <c r="AB98" i="28" s="1"/>
  <c r="AB105" i="28" s="1"/>
  <c r="AC63" i="15" s="1"/>
  <c r="AC95" i="28"/>
  <c r="AB97" i="28"/>
  <c r="AC51" i="15" s="1"/>
  <c r="Z100" i="28"/>
  <c r="Y104" i="28"/>
  <c r="Z57" i="15" s="1"/>
  <c r="Y102" i="28"/>
  <c r="Z57" i="28"/>
  <c r="Z59" i="28" s="1"/>
  <c r="Y58" i="28"/>
  <c r="Y60" i="28" s="1"/>
  <c r="X83" i="28"/>
  <c r="X82" i="28"/>
  <c r="X81" i="28"/>
  <c r="Y72" i="28"/>
  <c r="Y74" i="28" s="1"/>
  <c r="Z71" i="28"/>
  <c r="Y73" i="28"/>
  <c r="AB76" i="28"/>
  <c r="AA79" i="28"/>
  <c r="Y162" i="20"/>
  <c r="X164" i="20"/>
  <c r="X57" i="20" l="1"/>
  <c r="W54" i="48"/>
  <c r="W54" i="46"/>
  <c r="W54" i="42"/>
  <c r="W54" i="38"/>
  <c r="W61" i="20"/>
  <c r="V57" i="48"/>
  <c r="V57" i="46"/>
  <c r="V57" i="42"/>
  <c r="V57" i="38"/>
  <c r="W56" i="48"/>
  <c r="W56" i="46"/>
  <c r="W56" i="42"/>
  <c r="W56" i="38"/>
  <c r="W60" i="20"/>
  <c r="X59" i="20"/>
  <c r="W63" i="20"/>
  <c r="X58" i="20"/>
  <c r="W55" i="48"/>
  <c r="W55" i="46"/>
  <c r="W55" i="42"/>
  <c r="W55" i="38"/>
  <c r="W62" i="20"/>
  <c r="X158" i="20"/>
  <c r="Y157" i="20"/>
  <c r="AC96" i="28"/>
  <c r="AC98" i="28" s="1"/>
  <c r="AC105" i="28" s="1"/>
  <c r="AD63" i="15" s="1"/>
  <c r="AD95" i="28"/>
  <c r="AC97" i="28"/>
  <c r="AD51" i="15" s="1"/>
  <c r="AA100" i="28"/>
  <c r="Z104" i="28"/>
  <c r="AA57" i="15" s="1"/>
  <c r="Z102" i="28"/>
  <c r="AA57" i="28"/>
  <c r="AA59" i="28" s="1"/>
  <c r="Z58" i="28"/>
  <c r="Z60" i="28" s="1"/>
  <c r="AA71" i="28"/>
  <c r="Z72" i="28"/>
  <c r="Z74" i="28" s="1"/>
  <c r="Z73" i="28"/>
  <c r="Y83" i="28"/>
  <c r="Y82" i="28"/>
  <c r="Y81" i="28"/>
  <c r="AC76" i="28"/>
  <c r="AB79" i="28"/>
  <c r="Y164" i="20"/>
  <c r="Z162" i="20"/>
  <c r="AG155" i="20"/>
  <c r="C155" i="20"/>
  <c r="C116" i="20"/>
  <c r="D114" i="20"/>
  <c r="E114" i="20" s="1"/>
  <c r="F114" i="20" s="1"/>
  <c r="G114" i="20" s="1"/>
  <c r="H114" i="20" s="1"/>
  <c r="I114" i="20" s="1"/>
  <c r="J114" i="20" s="1"/>
  <c r="K114" i="20" s="1"/>
  <c r="L114" i="20" s="1"/>
  <c r="M114" i="20" s="1"/>
  <c r="N114" i="20" s="1"/>
  <c r="O114" i="20" s="1"/>
  <c r="P114" i="20" s="1"/>
  <c r="Q114" i="20" s="1"/>
  <c r="R114" i="20" s="1"/>
  <c r="S114" i="20" s="1"/>
  <c r="T114" i="20" s="1"/>
  <c r="U114" i="20" s="1"/>
  <c r="V114" i="20" s="1"/>
  <c r="W114" i="20" s="1"/>
  <c r="X114" i="20" s="1"/>
  <c r="Y114" i="20" s="1"/>
  <c r="Z114" i="20" s="1"/>
  <c r="AA114" i="20" s="1"/>
  <c r="AB114" i="20" s="1"/>
  <c r="AC114" i="20" s="1"/>
  <c r="AD114" i="20" s="1"/>
  <c r="AE114" i="20" s="1"/>
  <c r="AF114" i="20" s="1"/>
  <c r="AG114" i="20" s="1"/>
  <c r="D115" i="20"/>
  <c r="E115" i="20" s="1"/>
  <c r="F115" i="20" s="1"/>
  <c r="G115" i="20" s="1"/>
  <c r="H115" i="20" s="1"/>
  <c r="I115" i="20" s="1"/>
  <c r="J115" i="20" s="1"/>
  <c r="K115" i="20" s="1"/>
  <c r="L115" i="20" s="1"/>
  <c r="M115" i="20" s="1"/>
  <c r="N115" i="20" s="1"/>
  <c r="O115" i="20" s="1"/>
  <c r="P115" i="20" s="1"/>
  <c r="Q115" i="20" s="1"/>
  <c r="R115" i="20" s="1"/>
  <c r="S115" i="20" s="1"/>
  <c r="T115" i="20" s="1"/>
  <c r="U115" i="20" s="1"/>
  <c r="V115" i="20" s="1"/>
  <c r="W115" i="20" s="1"/>
  <c r="X115" i="20" s="1"/>
  <c r="Y115" i="20" s="1"/>
  <c r="Z115" i="20" s="1"/>
  <c r="AA115" i="20" s="1"/>
  <c r="AB115" i="20" s="1"/>
  <c r="AC115" i="20" s="1"/>
  <c r="AD115" i="20" s="1"/>
  <c r="AE115" i="20" s="1"/>
  <c r="AF115" i="20" s="1"/>
  <c r="AG115" i="20" s="1"/>
  <c r="D113" i="20"/>
  <c r="AG106" i="20"/>
  <c r="C106" i="20"/>
  <c r="AG110" i="20"/>
  <c r="C110" i="20"/>
  <c r="D108" i="20"/>
  <c r="D109" i="20" s="1"/>
  <c r="AG109" i="20"/>
  <c r="AG111" i="20" s="1"/>
  <c r="C109" i="20"/>
  <c r="C111" i="20" s="1"/>
  <c r="M55" i="20"/>
  <c r="W55" i="20"/>
  <c r="C55" i="20"/>
  <c r="M107" i="20" l="1"/>
  <c r="W64" i="20"/>
  <c r="W57" i="48"/>
  <c r="W57" i="46"/>
  <c r="W57" i="42"/>
  <c r="W57" i="38"/>
  <c r="Y58" i="20"/>
  <c r="X55" i="48"/>
  <c r="X55" i="46"/>
  <c r="X55" i="42"/>
  <c r="X55" i="38"/>
  <c r="W58" i="48"/>
  <c r="W58" i="46"/>
  <c r="W58" i="42"/>
  <c r="W58" i="38"/>
  <c r="X56" i="48"/>
  <c r="X56" i="46"/>
  <c r="X56" i="42"/>
  <c r="X56" i="38"/>
  <c r="Y59" i="20"/>
  <c r="X60" i="20"/>
  <c r="W59" i="48"/>
  <c r="W59" i="46"/>
  <c r="W59" i="42"/>
  <c r="W59" i="38"/>
  <c r="W60" i="48"/>
  <c r="W60" i="46"/>
  <c r="W60" i="42"/>
  <c r="W60" i="38"/>
  <c r="Y57" i="20"/>
  <c r="X54" i="48"/>
  <c r="X54" i="46"/>
  <c r="X54" i="42"/>
  <c r="X54" i="38"/>
  <c r="Y158" i="20"/>
  <c r="C118" i="20"/>
  <c r="Z157" i="20"/>
  <c r="AA102" i="28"/>
  <c r="AB100" i="28"/>
  <c r="AA104" i="28"/>
  <c r="AB57" i="15" s="1"/>
  <c r="AE95" i="28"/>
  <c r="AD96" i="28"/>
  <c r="AD98" i="28" s="1"/>
  <c r="AD105" i="28" s="1"/>
  <c r="AE63" i="15" s="1"/>
  <c r="AD97" i="28"/>
  <c r="AE51" i="15" s="1"/>
  <c r="AB57" i="28"/>
  <c r="AB59" i="28" s="1"/>
  <c r="AA58" i="28"/>
  <c r="AA60" i="28" s="1"/>
  <c r="AC79" i="28"/>
  <c r="AD76" i="28"/>
  <c r="Z82" i="28"/>
  <c r="Z83" i="28"/>
  <c r="Z81" i="28"/>
  <c r="AB71" i="28"/>
  <c r="AA72" i="28"/>
  <c r="AA74" i="28" s="1"/>
  <c r="AA73" i="28"/>
  <c r="W196" i="20"/>
  <c r="W209" i="20"/>
  <c r="M196" i="20"/>
  <c r="M209" i="20"/>
  <c r="W52" i="20"/>
  <c r="W107" i="20"/>
  <c r="W156" i="20"/>
  <c r="M52" i="20"/>
  <c r="M156" i="20"/>
  <c r="M155" i="20" s="1"/>
  <c r="Z164" i="20"/>
  <c r="AA162" i="20"/>
  <c r="AG120" i="20"/>
  <c r="D116" i="20"/>
  <c r="AG119" i="20"/>
  <c r="C119" i="20"/>
  <c r="C120" i="20"/>
  <c r="E113" i="20"/>
  <c r="C52" i="20"/>
  <c r="AG52" i="20"/>
  <c r="E108" i="20"/>
  <c r="E109" i="20" s="1"/>
  <c r="X57" i="48" l="1"/>
  <c r="X57" i="46"/>
  <c r="X57" i="42"/>
  <c r="X57" i="38"/>
  <c r="Z58" i="20"/>
  <c r="Y55" i="46"/>
  <c r="Y55" i="48"/>
  <c r="Y55" i="42"/>
  <c r="Y55" i="38"/>
  <c r="Y56" i="48"/>
  <c r="Y56" i="46"/>
  <c r="Y56" i="42"/>
  <c r="Y56" i="38"/>
  <c r="Z59" i="20"/>
  <c r="Y60" i="20"/>
  <c r="Z57" i="20"/>
  <c r="Y54" i="48"/>
  <c r="Y54" i="46"/>
  <c r="Y54" i="42"/>
  <c r="Y54" i="38"/>
  <c r="W61" i="48"/>
  <c r="W61" i="46"/>
  <c r="W61" i="42"/>
  <c r="W61" i="38"/>
  <c r="W208" i="20"/>
  <c r="M208" i="20"/>
  <c r="Z158" i="20"/>
  <c r="W106" i="20"/>
  <c r="M106" i="20"/>
  <c r="AA157" i="20"/>
  <c r="E116" i="20"/>
  <c r="AF95" i="28"/>
  <c r="AE96" i="28"/>
  <c r="AE98" i="28" s="1"/>
  <c r="AE105" i="28" s="1"/>
  <c r="AF63" i="15" s="1"/>
  <c r="AE97" i="28"/>
  <c r="AF51" i="15" s="1"/>
  <c r="AC100" i="28"/>
  <c r="AB104" i="28"/>
  <c r="AC57" i="15" s="1"/>
  <c r="AB102" i="28"/>
  <c r="AC57" i="28"/>
  <c r="AC59" i="28" s="1"/>
  <c r="AB58" i="28"/>
  <c r="AB60" i="28" s="1"/>
  <c r="AB72" i="28"/>
  <c r="AB74" i="28" s="1"/>
  <c r="AC71" i="28"/>
  <c r="AB73" i="28"/>
  <c r="AD79" i="28"/>
  <c r="AE76" i="28"/>
  <c r="AA82" i="28"/>
  <c r="AA83" i="28"/>
  <c r="AA81" i="28"/>
  <c r="W159" i="20"/>
  <c r="W160" i="20"/>
  <c r="M160" i="20"/>
  <c r="M159" i="20"/>
  <c r="AB162" i="20"/>
  <c r="AA164" i="20"/>
  <c r="W155" i="20"/>
  <c r="F113" i="20"/>
  <c r="F108" i="20"/>
  <c r="F109" i="20" s="1"/>
  <c r="AA57" i="20" l="1"/>
  <c r="Z54" i="48"/>
  <c r="Z54" i="46"/>
  <c r="Z54" i="42"/>
  <c r="Z54" i="38"/>
  <c r="Z56" i="48"/>
  <c r="Z56" i="46"/>
  <c r="Z56" i="42"/>
  <c r="Z56" i="38"/>
  <c r="AA59" i="20"/>
  <c r="Z60" i="20"/>
  <c r="Y57" i="48"/>
  <c r="Y57" i="46"/>
  <c r="Y57" i="42"/>
  <c r="Y57" i="38"/>
  <c r="AA58" i="20"/>
  <c r="Z55" i="48"/>
  <c r="Z55" i="46"/>
  <c r="Z55" i="42"/>
  <c r="Z55" i="38"/>
  <c r="AA158" i="20"/>
  <c r="AB157" i="20"/>
  <c r="F116" i="20"/>
  <c r="AF96" i="28"/>
  <c r="AF98" i="28" s="1"/>
  <c r="AF105" i="28" s="1"/>
  <c r="AG63" i="15" s="1"/>
  <c r="AF97" i="28"/>
  <c r="AG51" i="15" s="1"/>
  <c r="AD100" i="28"/>
  <c r="AC104" i="28"/>
  <c r="AD57" i="15" s="1"/>
  <c r="AC102" i="28"/>
  <c r="AD57" i="28"/>
  <c r="AD59" i="28" s="1"/>
  <c r="AC58" i="28"/>
  <c r="AC60" i="28" s="1"/>
  <c r="AB83" i="28"/>
  <c r="AB82" i="28"/>
  <c r="AB81" i="28"/>
  <c r="AF76" i="28"/>
  <c r="AE79" i="28"/>
  <c r="AC72" i="28"/>
  <c r="AC74" i="28" s="1"/>
  <c r="AD71" i="28"/>
  <c r="AC73" i="28"/>
  <c r="M167" i="20"/>
  <c r="M166" i="20"/>
  <c r="W167" i="20"/>
  <c r="W166" i="20"/>
  <c r="AC162" i="20"/>
  <c r="AB164" i="20"/>
  <c r="G113" i="20"/>
  <c r="G108" i="20"/>
  <c r="H108" i="20" s="1"/>
  <c r="AB58" i="20" l="1"/>
  <c r="AA55" i="48"/>
  <c r="AA55" i="46"/>
  <c r="AA55" i="42"/>
  <c r="AA55" i="38"/>
  <c r="Z57" i="48"/>
  <c r="Z57" i="46"/>
  <c r="Z57" i="42"/>
  <c r="Z57" i="38"/>
  <c r="AA56" i="48"/>
  <c r="AA56" i="46"/>
  <c r="AA56" i="42"/>
  <c r="AA56" i="38"/>
  <c r="AA60" i="20"/>
  <c r="AB59" i="20"/>
  <c r="AB57" i="20"/>
  <c r="AA54" i="48"/>
  <c r="AA54" i="46"/>
  <c r="AA54" i="42"/>
  <c r="AA54" i="38"/>
  <c r="AB158" i="20"/>
  <c r="AC157" i="20"/>
  <c r="G116" i="20"/>
  <c r="AE100" i="28"/>
  <c r="AD104" i="28"/>
  <c r="AE57" i="15" s="1"/>
  <c r="AD102" i="28"/>
  <c r="AE57" i="28"/>
  <c r="AE59" i="28" s="1"/>
  <c r="AD58" i="28"/>
  <c r="AD60" i="28" s="1"/>
  <c r="AG76" i="28"/>
  <c r="AF79" i="28"/>
  <c r="AE71" i="28"/>
  <c r="AD72" i="28"/>
  <c r="AD74" i="28" s="1"/>
  <c r="AD73" i="28"/>
  <c r="AC82" i="28"/>
  <c r="AC83" i="28"/>
  <c r="AC81" i="28"/>
  <c r="AC164" i="20"/>
  <c r="AD162" i="20"/>
  <c r="H113" i="20"/>
  <c r="G109" i="20"/>
  <c r="I108" i="20"/>
  <c r="H109" i="20"/>
  <c r="AC57" i="20" l="1"/>
  <c r="AB54" i="46"/>
  <c r="AB54" i="48"/>
  <c r="AB54" i="42"/>
  <c r="AB54" i="38"/>
  <c r="AB56" i="48"/>
  <c r="AB56" i="46"/>
  <c r="AB56" i="42"/>
  <c r="AB56" i="38"/>
  <c r="AC59" i="20"/>
  <c r="AB60" i="20"/>
  <c r="AA57" i="48"/>
  <c r="AA57" i="46"/>
  <c r="AA57" i="42"/>
  <c r="AA57" i="38"/>
  <c r="AC58" i="20"/>
  <c r="AB55" i="48"/>
  <c r="AB55" i="46"/>
  <c r="AB55" i="42"/>
  <c r="AB55" i="38"/>
  <c r="AC158" i="20"/>
  <c r="AD157" i="20"/>
  <c r="H116" i="20"/>
  <c r="AE102" i="28"/>
  <c r="AE104" i="28"/>
  <c r="AF57" i="15" s="1"/>
  <c r="AF100" i="28"/>
  <c r="AF57" i="28"/>
  <c r="AF59" i="28" s="1"/>
  <c r="AE58" i="28"/>
  <c r="AE60" i="28" s="1"/>
  <c r="AD82" i="28"/>
  <c r="AD83" i="28"/>
  <c r="AD81" i="28"/>
  <c r="AG79" i="28"/>
  <c r="AG81" i="28"/>
  <c r="AE72" i="28"/>
  <c r="AE74" i="28" s="1"/>
  <c r="AF71" i="28"/>
  <c r="AE73" i="28"/>
  <c r="AD164" i="20"/>
  <c r="AE162" i="20"/>
  <c r="I113" i="20"/>
  <c r="J108" i="20"/>
  <c r="I109" i="20"/>
  <c r="AB57" i="48" l="1"/>
  <c r="AB57" i="46"/>
  <c r="AB57" i="42"/>
  <c r="AB57" i="38"/>
  <c r="AC56" i="48"/>
  <c r="AC56" i="46"/>
  <c r="AC56" i="42"/>
  <c r="AC56" i="38"/>
  <c r="AD59" i="20"/>
  <c r="AC60" i="20"/>
  <c r="AD58" i="20"/>
  <c r="AC55" i="46"/>
  <c r="AC55" i="48"/>
  <c r="AC55" i="42"/>
  <c r="AC55" i="38"/>
  <c r="AD57" i="20"/>
  <c r="AC54" i="48"/>
  <c r="AC54" i="46"/>
  <c r="AC54" i="42"/>
  <c r="AC54" i="38"/>
  <c r="AD158" i="20"/>
  <c r="AE157" i="20"/>
  <c r="I116" i="20"/>
  <c r="AG100" i="28"/>
  <c r="AF104" i="28"/>
  <c r="AG57" i="15" s="1"/>
  <c r="AF102" i="28"/>
  <c r="AG57" i="28"/>
  <c r="AF58" i="28"/>
  <c r="AF60" i="28" s="1"/>
  <c r="AF72" i="28"/>
  <c r="AF74" i="28" s="1"/>
  <c r="AF73" i="28"/>
  <c r="AE82" i="28"/>
  <c r="AE83" i="28"/>
  <c r="AE81" i="28"/>
  <c r="AF162" i="20"/>
  <c r="AE164" i="20"/>
  <c r="J113" i="20"/>
  <c r="K108" i="20"/>
  <c r="J109" i="20"/>
  <c r="AC57" i="48" l="1"/>
  <c r="AC57" i="46"/>
  <c r="AC57" i="42"/>
  <c r="AC57" i="38"/>
  <c r="AE57" i="20"/>
  <c r="AD54" i="48"/>
  <c r="AD54" i="46"/>
  <c r="AD54" i="42"/>
  <c r="AD54" i="38"/>
  <c r="AE58" i="20"/>
  <c r="AD55" i="48"/>
  <c r="AD55" i="46"/>
  <c r="AD55" i="42"/>
  <c r="AD55" i="38"/>
  <c r="AD56" i="46"/>
  <c r="AD56" i="48"/>
  <c r="AD56" i="42"/>
  <c r="AD56" i="38"/>
  <c r="AE59" i="20"/>
  <c r="AD60" i="20"/>
  <c r="AE158" i="20"/>
  <c r="AF157" i="20"/>
  <c r="J116" i="20"/>
  <c r="AG104" i="28"/>
  <c r="AH57" i="15" s="1"/>
  <c r="AG102" i="28"/>
  <c r="AG58" i="28"/>
  <c r="AG60" i="28" s="1"/>
  <c r="AG59" i="28"/>
  <c r="AF83" i="28"/>
  <c r="AF82" i="28"/>
  <c r="AF81" i="28"/>
  <c r="AG162" i="20"/>
  <c r="AG166" i="20" s="1"/>
  <c r="AF164" i="20"/>
  <c r="K113" i="20"/>
  <c r="L108" i="20"/>
  <c r="K109" i="20"/>
  <c r="AD57" i="48" l="1"/>
  <c r="AD57" i="46"/>
  <c r="AD57" i="42"/>
  <c r="AD57" i="38"/>
  <c r="AE56" i="48"/>
  <c r="AE56" i="46"/>
  <c r="AE56" i="42"/>
  <c r="AE56" i="38"/>
  <c r="AF59" i="20"/>
  <c r="AE60" i="20"/>
  <c r="AF58" i="20"/>
  <c r="AE55" i="48"/>
  <c r="AE55" i="46"/>
  <c r="AE55" i="42"/>
  <c r="AE55" i="38"/>
  <c r="AF57" i="20"/>
  <c r="AE54" i="48"/>
  <c r="AE54" i="46"/>
  <c r="AE54" i="42"/>
  <c r="AE54" i="38"/>
  <c r="AF158" i="20"/>
  <c r="K116" i="20"/>
  <c r="AG164" i="20"/>
  <c r="L113" i="20"/>
  <c r="M108" i="20"/>
  <c r="L109" i="20"/>
  <c r="AF54" i="46" l="1"/>
  <c r="AF54" i="48"/>
  <c r="AF54" i="42"/>
  <c r="AF54" i="38"/>
  <c r="AG58" i="20"/>
  <c r="AF55" i="48"/>
  <c r="AF55" i="46"/>
  <c r="AF55" i="42"/>
  <c r="AF55" i="38"/>
  <c r="AE57" i="46"/>
  <c r="AE57" i="48"/>
  <c r="AE57" i="42"/>
  <c r="AE57" i="38"/>
  <c r="AF56" i="48"/>
  <c r="AF56" i="46"/>
  <c r="AF56" i="42"/>
  <c r="AF56" i="38"/>
  <c r="AG59" i="20"/>
  <c r="AF60" i="20"/>
  <c r="L116" i="20"/>
  <c r="M113" i="20"/>
  <c r="N108" i="20"/>
  <c r="M110" i="20"/>
  <c r="M109" i="20"/>
  <c r="AF57" i="48" l="1"/>
  <c r="AF57" i="46"/>
  <c r="AF57" i="42"/>
  <c r="AF57" i="38"/>
  <c r="AG60" i="20"/>
  <c r="AG56" i="48"/>
  <c r="AG56" i="46"/>
  <c r="AG56" i="42"/>
  <c r="AG56" i="38"/>
  <c r="AG63" i="20"/>
  <c r="AG55" i="48"/>
  <c r="AG55" i="46"/>
  <c r="AG55" i="42"/>
  <c r="AG55" i="38"/>
  <c r="AG62" i="20"/>
  <c r="M116" i="20"/>
  <c r="N113" i="20"/>
  <c r="M111" i="20"/>
  <c r="O108" i="20"/>
  <c r="N109" i="20"/>
  <c r="AG60" i="48" l="1"/>
  <c r="AG60" i="46"/>
  <c r="AG60" i="42"/>
  <c r="AG60" i="38"/>
  <c r="AG59" i="48"/>
  <c r="AG59" i="46"/>
  <c r="AG59" i="42"/>
  <c r="AG59" i="38"/>
  <c r="AG57" i="48"/>
  <c r="AG57" i="46"/>
  <c r="AG57" i="42"/>
  <c r="AG57" i="38"/>
  <c r="AG64" i="20"/>
  <c r="N116" i="20"/>
  <c r="M120" i="20"/>
  <c r="M119" i="20"/>
  <c r="M118" i="20"/>
  <c r="O113" i="20"/>
  <c r="P108" i="20"/>
  <c r="O109" i="20"/>
  <c r="AG61" i="48" l="1"/>
  <c r="AG61" i="46"/>
  <c r="AG61" i="42"/>
  <c r="AG61" i="38"/>
  <c r="O116" i="20"/>
  <c r="P113" i="20"/>
  <c r="Q108" i="20"/>
  <c r="P109" i="20"/>
  <c r="P116" i="20" l="1"/>
  <c r="Q113" i="20"/>
  <c r="R108" i="20"/>
  <c r="Q109" i="20"/>
  <c r="Q116" i="20" l="1"/>
  <c r="R113" i="20"/>
  <c r="S108" i="20"/>
  <c r="R109" i="20"/>
  <c r="R116" i="20" l="1"/>
  <c r="S113" i="20"/>
  <c r="T108" i="20"/>
  <c r="S109" i="20"/>
  <c r="S116" i="20" l="1"/>
  <c r="T113" i="20"/>
  <c r="U108" i="20"/>
  <c r="T109" i="20"/>
  <c r="T116" i="20" l="1"/>
  <c r="U113" i="20"/>
  <c r="U109" i="20"/>
  <c r="V108" i="20"/>
  <c r="U116" i="20" l="1"/>
  <c r="V113" i="20"/>
  <c r="W108" i="20"/>
  <c r="V109" i="20"/>
  <c r="V116" i="20" l="1"/>
  <c r="W113" i="20"/>
  <c r="W109" i="20"/>
  <c r="X108" i="20"/>
  <c r="W110" i="20"/>
  <c r="W116" i="20" l="1"/>
  <c r="X113" i="20"/>
  <c r="Y108" i="20"/>
  <c r="W111" i="20"/>
  <c r="X116" i="20" l="1"/>
  <c r="W119" i="20"/>
  <c r="W120" i="20"/>
  <c r="W118" i="20"/>
  <c r="Y113" i="20"/>
  <c r="Z108" i="20"/>
  <c r="Y116" i="20" l="1"/>
  <c r="Z113" i="20"/>
  <c r="AA108" i="20"/>
  <c r="Z116" i="20" l="1"/>
  <c r="AA113" i="20"/>
  <c r="AB108" i="20"/>
  <c r="AA116" i="20" l="1"/>
  <c r="AB113" i="20"/>
  <c r="AC108" i="20"/>
  <c r="AB116" i="20" l="1"/>
  <c r="AC113" i="20"/>
  <c r="AD108" i="20"/>
  <c r="AC116" i="20" l="1"/>
  <c r="AD113" i="20"/>
  <c r="AE108" i="20"/>
  <c r="AD116" i="20" l="1"/>
  <c r="AE113" i="20"/>
  <c r="AF108" i="20"/>
  <c r="G55" i="24"/>
  <c r="F55" i="24"/>
  <c r="E55" i="24"/>
  <c r="C55" i="24"/>
  <c r="B55" i="24"/>
  <c r="C10" i="20"/>
  <c r="C19" i="27"/>
  <c r="C9" i="20" s="1"/>
  <c r="C20" i="27"/>
  <c r="C21" i="27"/>
  <c r="C22" i="27"/>
  <c r="C18" i="27"/>
  <c r="B24" i="27"/>
  <c r="B32" i="27" s="1"/>
  <c r="B15" i="27"/>
  <c r="C14" i="27"/>
  <c r="C13" i="27"/>
  <c r="C12" i="27"/>
  <c r="C11" i="27"/>
  <c r="C10" i="27"/>
  <c r="C9" i="27"/>
  <c r="C8" i="27"/>
  <c r="C7" i="27"/>
  <c r="B5" i="4"/>
  <c r="H65" i="7"/>
  <c r="B11" i="26"/>
  <c r="C7" i="20" l="1"/>
  <c r="C7" i="53"/>
  <c r="C7" i="54"/>
  <c r="C7" i="48"/>
  <c r="C7" i="46"/>
  <c r="C24" i="27"/>
  <c r="C11" i="20" s="1"/>
  <c r="B40" i="27"/>
  <c r="B33" i="27"/>
  <c r="C8" i="53"/>
  <c r="D8" i="53" s="1"/>
  <c r="E8" i="53" s="1"/>
  <c r="F8" i="53" s="1"/>
  <c r="G8" i="53" s="1"/>
  <c r="H8" i="53" s="1"/>
  <c r="I8" i="53" s="1"/>
  <c r="J8" i="53" s="1"/>
  <c r="K8" i="53" s="1"/>
  <c r="L8" i="53" s="1"/>
  <c r="M8" i="53" s="1"/>
  <c r="N8" i="53" s="1"/>
  <c r="O8" i="53" s="1"/>
  <c r="P8" i="53" s="1"/>
  <c r="Q8" i="53" s="1"/>
  <c r="R8" i="53" s="1"/>
  <c r="S8" i="53" s="1"/>
  <c r="T8" i="53" s="1"/>
  <c r="U8" i="53" s="1"/>
  <c r="V8" i="53" s="1"/>
  <c r="W8" i="53" s="1"/>
  <c r="X8" i="53" s="1"/>
  <c r="Y8" i="53" s="1"/>
  <c r="Z8" i="53" s="1"/>
  <c r="AA8" i="53" s="1"/>
  <c r="AB8" i="53" s="1"/>
  <c r="AC8" i="53" s="1"/>
  <c r="AD8" i="53" s="1"/>
  <c r="AE8" i="53" s="1"/>
  <c r="AF8" i="53" s="1"/>
  <c r="AG8" i="53" s="1"/>
  <c r="C8" i="54"/>
  <c r="D8" i="54" s="1"/>
  <c r="E8" i="54" s="1"/>
  <c r="F8" i="54" s="1"/>
  <c r="G8" i="54" s="1"/>
  <c r="H8" i="54" s="1"/>
  <c r="I8" i="54" s="1"/>
  <c r="J8" i="54" s="1"/>
  <c r="K8" i="54" s="1"/>
  <c r="L8" i="54" s="1"/>
  <c r="M8" i="54" s="1"/>
  <c r="N8" i="54" s="1"/>
  <c r="O8" i="54" s="1"/>
  <c r="P8" i="54" s="1"/>
  <c r="Q8" i="54" s="1"/>
  <c r="R8" i="54" s="1"/>
  <c r="S8" i="54" s="1"/>
  <c r="T8" i="54" s="1"/>
  <c r="U8" i="54" s="1"/>
  <c r="V8" i="54" s="1"/>
  <c r="W8" i="54" s="1"/>
  <c r="X8" i="54" s="1"/>
  <c r="Y8" i="54" s="1"/>
  <c r="Z8" i="54" s="1"/>
  <c r="AA8" i="54" s="1"/>
  <c r="AB8" i="54" s="1"/>
  <c r="AC8" i="54" s="1"/>
  <c r="AD8" i="54" s="1"/>
  <c r="AE8" i="54" s="1"/>
  <c r="AF8" i="54" s="1"/>
  <c r="AG8" i="54" s="1"/>
  <c r="C8" i="48"/>
  <c r="D8" i="48" s="1"/>
  <c r="E8" i="48" s="1"/>
  <c r="F8" i="48" s="1"/>
  <c r="G8" i="48" s="1"/>
  <c r="H8" i="48" s="1"/>
  <c r="I8" i="48" s="1"/>
  <c r="J8" i="48" s="1"/>
  <c r="K8" i="48" s="1"/>
  <c r="L8" i="48" s="1"/>
  <c r="M8" i="48" s="1"/>
  <c r="N8" i="48" s="1"/>
  <c r="O8" i="48" s="1"/>
  <c r="P8" i="48" s="1"/>
  <c r="Q8" i="48" s="1"/>
  <c r="R8" i="48" s="1"/>
  <c r="S8" i="48" s="1"/>
  <c r="T8" i="48" s="1"/>
  <c r="U8" i="48" s="1"/>
  <c r="V8" i="48" s="1"/>
  <c r="W8" i="48" s="1"/>
  <c r="X8" i="48" s="1"/>
  <c r="Y8" i="48" s="1"/>
  <c r="Z8" i="48" s="1"/>
  <c r="AA8" i="48" s="1"/>
  <c r="AB8" i="48" s="1"/>
  <c r="AC8" i="48" s="1"/>
  <c r="AD8" i="48" s="1"/>
  <c r="AE8" i="48" s="1"/>
  <c r="AF8" i="48" s="1"/>
  <c r="AG8" i="48" s="1"/>
  <c r="C8" i="46"/>
  <c r="D8" i="46" s="1"/>
  <c r="E8" i="46" s="1"/>
  <c r="F8" i="46" s="1"/>
  <c r="G8" i="46" s="1"/>
  <c r="H8" i="46" s="1"/>
  <c r="I8" i="46" s="1"/>
  <c r="J8" i="46" s="1"/>
  <c r="K8" i="46" s="1"/>
  <c r="L8" i="46" s="1"/>
  <c r="M8" i="46" s="1"/>
  <c r="N8" i="46" s="1"/>
  <c r="O8" i="46" s="1"/>
  <c r="P8" i="46" s="1"/>
  <c r="Q8" i="46" s="1"/>
  <c r="R8" i="46" s="1"/>
  <c r="S8" i="46" s="1"/>
  <c r="T8" i="46" s="1"/>
  <c r="U8" i="46" s="1"/>
  <c r="V8" i="46" s="1"/>
  <c r="W8" i="46" s="1"/>
  <c r="X8" i="46" s="1"/>
  <c r="Y8" i="46" s="1"/>
  <c r="Z8" i="46" s="1"/>
  <c r="AA8" i="46" s="1"/>
  <c r="AB8" i="46" s="1"/>
  <c r="AC8" i="46" s="1"/>
  <c r="AD8" i="46" s="1"/>
  <c r="AE8" i="46" s="1"/>
  <c r="AF8" i="46" s="1"/>
  <c r="AG8" i="46" s="1"/>
  <c r="C8" i="38"/>
  <c r="D8" i="38" s="1"/>
  <c r="E8" i="38" s="1"/>
  <c r="F8" i="38" s="1"/>
  <c r="G8" i="38" s="1"/>
  <c r="H8" i="38" s="1"/>
  <c r="I8" i="38" s="1"/>
  <c r="J8" i="38" s="1"/>
  <c r="K8" i="38" s="1"/>
  <c r="L8" i="38" s="1"/>
  <c r="M8" i="38" s="1"/>
  <c r="N8" i="38" s="1"/>
  <c r="O8" i="38" s="1"/>
  <c r="P8" i="38" s="1"/>
  <c r="Q8" i="38" s="1"/>
  <c r="R8" i="38" s="1"/>
  <c r="S8" i="38" s="1"/>
  <c r="T8" i="38" s="1"/>
  <c r="U8" i="38" s="1"/>
  <c r="V8" i="38" s="1"/>
  <c r="W8" i="38" s="1"/>
  <c r="X8" i="38" s="1"/>
  <c r="Y8" i="38" s="1"/>
  <c r="Z8" i="38" s="1"/>
  <c r="AA8" i="38" s="1"/>
  <c r="AB8" i="38" s="1"/>
  <c r="AC8" i="38" s="1"/>
  <c r="AD8" i="38" s="1"/>
  <c r="AE8" i="38" s="1"/>
  <c r="AF8" i="38" s="1"/>
  <c r="AG8" i="38" s="1"/>
  <c r="C8" i="42"/>
  <c r="D8" i="42" s="1"/>
  <c r="E8" i="42" s="1"/>
  <c r="F8" i="42" s="1"/>
  <c r="G8" i="42" s="1"/>
  <c r="H8" i="42" s="1"/>
  <c r="I8" i="42" s="1"/>
  <c r="J8" i="42" s="1"/>
  <c r="K8" i="42" s="1"/>
  <c r="L8" i="42" s="1"/>
  <c r="M8" i="42" s="1"/>
  <c r="N8" i="42" s="1"/>
  <c r="O8" i="42" s="1"/>
  <c r="P8" i="42" s="1"/>
  <c r="Q8" i="42" s="1"/>
  <c r="R8" i="42" s="1"/>
  <c r="S8" i="42" s="1"/>
  <c r="T8" i="42" s="1"/>
  <c r="U8" i="42" s="1"/>
  <c r="V8" i="42" s="1"/>
  <c r="W8" i="42" s="1"/>
  <c r="X8" i="42" s="1"/>
  <c r="Y8" i="42" s="1"/>
  <c r="Z8" i="42" s="1"/>
  <c r="AA8" i="42" s="1"/>
  <c r="AB8" i="42" s="1"/>
  <c r="AC8" i="42" s="1"/>
  <c r="AD8" i="42" s="1"/>
  <c r="AE8" i="42" s="1"/>
  <c r="AF8" i="42" s="1"/>
  <c r="AG8" i="42" s="1"/>
  <c r="C8" i="29"/>
  <c r="D8" i="29" s="1"/>
  <c r="E8" i="29" s="1"/>
  <c r="F8" i="29" s="1"/>
  <c r="G8" i="29" s="1"/>
  <c r="H8" i="29" s="1"/>
  <c r="I8" i="29" s="1"/>
  <c r="J8" i="29" s="1"/>
  <c r="K8" i="29" s="1"/>
  <c r="L8" i="29" s="1"/>
  <c r="M8" i="29" s="1"/>
  <c r="N8" i="29" s="1"/>
  <c r="O8" i="29" s="1"/>
  <c r="P8" i="29" s="1"/>
  <c r="Q8" i="29" s="1"/>
  <c r="R8" i="29" s="1"/>
  <c r="S8" i="29" s="1"/>
  <c r="T8" i="29" s="1"/>
  <c r="U8" i="29" s="1"/>
  <c r="V8" i="29" s="1"/>
  <c r="W8" i="29" s="1"/>
  <c r="X8" i="29" s="1"/>
  <c r="Y8" i="29" s="1"/>
  <c r="Z8" i="29" s="1"/>
  <c r="AA8" i="29" s="1"/>
  <c r="AB8" i="29" s="1"/>
  <c r="AC8" i="29" s="1"/>
  <c r="AD8" i="29" s="1"/>
  <c r="AE8" i="29" s="1"/>
  <c r="AF8" i="29" s="1"/>
  <c r="AG8" i="29" s="1"/>
  <c r="C30" i="27"/>
  <c r="C8" i="28"/>
  <c r="D8" i="28" s="1"/>
  <c r="E8" i="28" s="1"/>
  <c r="F8" i="28" s="1"/>
  <c r="G8" i="28" s="1"/>
  <c r="H8" i="28" s="1"/>
  <c r="I8" i="28" s="1"/>
  <c r="J8" i="28" s="1"/>
  <c r="K8" i="28" s="1"/>
  <c r="L8" i="28" s="1"/>
  <c r="M8" i="28" s="1"/>
  <c r="N8" i="28" s="1"/>
  <c r="O8" i="28" s="1"/>
  <c r="P8" i="28" s="1"/>
  <c r="Q8" i="28" s="1"/>
  <c r="R8" i="28" s="1"/>
  <c r="S8" i="28" s="1"/>
  <c r="T8" i="28" s="1"/>
  <c r="U8" i="28" s="1"/>
  <c r="V8" i="28" s="1"/>
  <c r="W8" i="28" s="1"/>
  <c r="X8" i="28" s="1"/>
  <c r="Y8" i="28" s="1"/>
  <c r="Z8" i="28" s="1"/>
  <c r="AA8" i="28" s="1"/>
  <c r="AB8" i="28" s="1"/>
  <c r="AC8" i="28" s="1"/>
  <c r="AD8" i="28" s="1"/>
  <c r="AE8" i="28" s="1"/>
  <c r="AF8" i="28" s="1"/>
  <c r="AG8" i="28" s="1"/>
  <c r="C8" i="19"/>
  <c r="D8" i="19" s="1"/>
  <c r="E8" i="19" s="1"/>
  <c r="F8" i="19" s="1"/>
  <c r="G8" i="19" s="1"/>
  <c r="H8" i="19" s="1"/>
  <c r="I8" i="19" s="1"/>
  <c r="J8" i="19" s="1"/>
  <c r="K8" i="19" s="1"/>
  <c r="L8" i="19" s="1"/>
  <c r="M8" i="19" s="1"/>
  <c r="N8" i="19" s="1"/>
  <c r="O8" i="19" s="1"/>
  <c r="P8" i="19" s="1"/>
  <c r="Q8" i="19" s="1"/>
  <c r="R8" i="19" s="1"/>
  <c r="S8" i="19" s="1"/>
  <c r="T8" i="19" s="1"/>
  <c r="U8" i="19" s="1"/>
  <c r="V8" i="19" s="1"/>
  <c r="W8" i="19" s="1"/>
  <c r="X8" i="19" s="1"/>
  <c r="Y8" i="19" s="1"/>
  <c r="Z8" i="19" s="1"/>
  <c r="AA8" i="19" s="1"/>
  <c r="AB8" i="19" s="1"/>
  <c r="AC8" i="19" s="1"/>
  <c r="AD8" i="19" s="1"/>
  <c r="AE8" i="19" s="1"/>
  <c r="AF8" i="19" s="1"/>
  <c r="AG8" i="19" s="1"/>
  <c r="C9" i="54"/>
  <c r="D9" i="54" s="1"/>
  <c r="E9" i="54" s="1"/>
  <c r="F9" i="54" s="1"/>
  <c r="G9" i="54" s="1"/>
  <c r="H9" i="54" s="1"/>
  <c r="I9" i="54" s="1"/>
  <c r="J9" i="54" s="1"/>
  <c r="K9" i="54" s="1"/>
  <c r="L9" i="54" s="1"/>
  <c r="M9" i="54" s="1"/>
  <c r="N9" i="54" s="1"/>
  <c r="O9" i="54" s="1"/>
  <c r="P9" i="54" s="1"/>
  <c r="Q9" i="54" s="1"/>
  <c r="R9" i="54" s="1"/>
  <c r="S9" i="54" s="1"/>
  <c r="T9" i="54" s="1"/>
  <c r="U9" i="54" s="1"/>
  <c r="V9" i="54" s="1"/>
  <c r="W9" i="54" s="1"/>
  <c r="X9" i="54" s="1"/>
  <c r="Y9" i="54" s="1"/>
  <c r="Z9" i="54" s="1"/>
  <c r="AA9" i="54" s="1"/>
  <c r="AB9" i="54" s="1"/>
  <c r="AC9" i="54" s="1"/>
  <c r="AD9" i="54" s="1"/>
  <c r="AE9" i="54" s="1"/>
  <c r="AF9" i="54" s="1"/>
  <c r="AG9" i="54" s="1"/>
  <c r="C9" i="53"/>
  <c r="D9" i="53" s="1"/>
  <c r="E9" i="53" s="1"/>
  <c r="F9" i="53" s="1"/>
  <c r="G9" i="53" s="1"/>
  <c r="H9" i="53" s="1"/>
  <c r="I9" i="53" s="1"/>
  <c r="J9" i="53" s="1"/>
  <c r="K9" i="53" s="1"/>
  <c r="L9" i="53" s="1"/>
  <c r="M9" i="53" s="1"/>
  <c r="N9" i="53" s="1"/>
  <c r="O9" i="53" s="1"/>
  <c r="P9" i="53" s="1"/>
  <c r="Q9" i="53" s="1"/>
  <c r="R9" i="53" s="1"/>
  <c r="S9" i="53" s="1"/>
  <c r="T9" i="53" s="1"/>
  <c r="U9" i="53" s="1"/>
  <c r="V9" i="53" s="1"/>
  <c r="W9" i="53" s="1"/>
  <c r="X9" i="53" s="1"/>
  <c r="Y9" i="53" s="1"/>
  <c r="Z9" i="53" s="1"/>
  <c r="AA9" i="53" s="1"/>
  <c r="AB9" i="53" s="1"/>
  <c r="AC9" i="53" s="1"/>
  <c r="AD9" i="53" s="1"/>
  <c r="AE9" i="53" s="1"/>
  <c r="AF9" i="53" s="1"/>
  <c r="AG9" i="53" s="1"/>
  <c r="C9" i="48"/>
  <c r="D9" i="48" s="1"/>
  <c r="E9" i="48" s="1"/>
  <c r="F9" i="48" s="1"/>
  <c r="G9" i="48" s="1"/>
  <c r="H9" i="48" s="1"/>
  <c r="I9" i="48" s="1"/>
  <c r="J9" i="48" s="1"/>
  <c r="K9" i="48" s="1"/>
  <c r="L9" i="48" s="1"/>
  <c r="M9" i="48" s="1"/>
  <c r="N9" i="48" s="1"/>
  <c r="O9" i="48" s="1"/>
  <c r="P9" i="48" s="1"/>
  <c r="Q9" i="48" s="1"/>
  <c r="R9" i="48" s="1"/>
  <c r="S9" i="48" s="1"/>
  <c r="T9" i="48" s="1"/>
  <c r="U9" i="48" s="1"/>
  <c r="V9" i="48" s="1"/>
  <c r="W9" i="48" s="1"/>
  <c r="X9" i="48" s="1"/>
  <c r="Y9" i="48" s="1"/>
  <c r="Z9" i="48" s="1"/>
  <c r="AA9" i="48" s="1"/>
  <c r="AB9" i="48" s="1"/>
  <c r="AC9" i="48" s="1"/>
  <c r="AD9" i="48" s="1"/>
  <c r="AE9" i="48" s="1"/>
  <c r="AF9" i="48" s="1"/>
  <c r="AG9" i="48" s="1"/>
  <c r="C9" i="46"/>
  <c r="D9" i="46" s="1"/>
  <c r="E9" i="46" s="1"/>
  <c r="F9" i="46" s="1"/>
  <c r="G9" i="46" s="1"/>
  <c r="H9" i="46" s="1"/>
  <c r="I9" i="46" s="1"/>
  <c r="J9" i="46" s="1"/>
  <c r="K9" i="46" s="1"/>
  <c r="L9" i="46" s="1"/>
  <c r="M9" i="46" s="1"/>
  <c r="N9" i="46" s="1"/>
  <c r="O9" i="46" s="1"/>
  <c r="P9" i="46" s="1"/>
  <c r="Q9" i="46" s="1"/>
  <c r="R9" i="46" s="1"/>
  <c r="S9" i="46" s="1"/>
  <c r="T9" i="46" s="1"/>
  <c r="U9" i="46" s="1"/>
  <c r="V9" i="46" s="1"/>
  <c r="W9" i="46" s="1"/>
  <c r="X9" i="46" s="1"/>
  <c r="Y9" i="46" s="1"/>
  <c r="Z9" i="46" s="1"/>
  <c r="AA9" i="46" s="1"/>
  <c r="AB9" i="46" s="1"/>
  <c r="AC9" i="46" s="1"/>
  <c r="AD9" i="46" s="1"/>
  <c r="AE9" i="46" s="1"/>
  <c r="AF9" i="46" s="1"/>
  <c r="AG9" i="46" s="1"/>
  <c r="C9" i="42"/>
  <c r="D9" i="42" s="1"/>
  <c r="E9" i="42" s="1"/>
  <c r="F9" i="42" s="1"/>
  <c r="G9" i="42" s="1"/>
  <c r="H9" i="42" s="1"/>
  <c r="I9" i="42" s="1"/>
  <c r="J9" i="42" s="1"/>
  <c r="K9" i="42" s="1"/>
  <c r="L9" i="42" s="1"/>
  <c r="M9" i="42" s="1"/>
  <c r="N9" i="42" s="1"/>
  <c r="O9" i="42" s="1"/>
  <c r="P9" i="42" s="1"/>
  <c r="Q9" i="42" s="1"/>
  <c r="R9" i="42" s="1"/>
  <c r="S9" i="42" s="1"/>
  <c r="T9" i="42" s="1"/>
  <c r="U9" i="42" s="1"/>
  <c r="V9" i="42" s="1"/>
  <c r="W9" i="42" s="1"/>
  <c r="X9" i="42" s="1"/>
  <c r="Y9" i="42" s="1"/>
  <c r="Z9" i="42" s="1"/>
  <c r="AA9" i="42" s="1"/>
  <c r="AB9" i="42" s="1"/>
  <c r="AC9" i="42" s="1"/>
  <c r="AD9" i="42" s="1"/>
  <c r="AE9" i="42" s="1"/>
  <c r="AF9" i="42" s="1"/>
  <c r="AG9" i="42" s="1"/>
  <c r="C9" i="38"/>
  <c r="D9" i="38" s="1"/>
  <c r="E9" i="38" s="1"/>
  <c r="F9" i="38" s="1"/>
  <c r="G9" i="38" s="1"/>
  <c r="H9" i="38" s="1"/>
  <c r="I9" i="38" s="1"/>
  <c r="J9" i="38" s="1"/>
  <c r="K9" i="38" s="1"/>
  <c r="L9" i="38" s="1"/>
  <c r="M9" i="38" s="1"/>
  <c r="N9" i="38" s="1"/>
  <c r="O9" i="38" s="1"/>
  <c r="P9" i="38" s="1"/>
  <c r="Q9" i="38" s="1"/>
  <c r="R9" i="38" s="1"/>
  <c r="S9" i="38" s="1"/>
  <c r="T9" i="38" s="1"/>
  <c r="U9" i="38" s="1"/>
  <c r="V9" i="38" s="1"/>
  <c r="W9" i="38" s="1"/>
  <c r="X9" i="38" s="1"/>
  <c r="Y9" i="38" s="1"/>
  <c r="Z9" i="38" s="1"/>
  <c r="AA9" i="38" s="1"/>
  <c r="AB9" i="38" s="1"/>
  <c r="AC9" i="38" s="1"/>
  <c r="AD9" i="38" s="1"/>
  <c r="AE9" i="38" s="1"/>
  <c r="AF9" i="38" s="1"/>
  <c r="AG9" i="38" s="1"/>
  <c r="C29" i="27"/>
  <c r="C9" i="29"/>
  <c r="D9" i="29" s="1"/>
  <c r="E9" i="29" s="1"/>
  <c r="F9" i="29" s="1"/>
  <c r="G9" i="29" s="1"/>
  <c r="H9" i="29" s="1"/>
  <c r="I9" i="29" s="1"/>
  <c r="J9" i="29" s="1"/>
  <c r="K9" i="29" s="1"/>
  <c r="L9" i="29" s="1"/>
  <c r="M9" i="29" s="1"/>
  <c r="N9" i="29" s="1"/>
  <c r="O9" i="29" s="1"/>
  <c r="P9" i="29" s="1"/>
  <c r="Q9" i="29" s="1"/>
  <c r="R9" i="29" s="1"/>
  <c r="S9" i="29" s="1"/>
  <c r="T9" i="29" s="1"/>
  <c r="U9" i="29" s="1"/>
  <c r="V9" i="29" s="1"/>
  <c r="W9" i="29" s="1"/>
  <c r="X9" i="29" s="1"/>
  <c r="Y9" i="29" s="1"/>
  <c r="Z9" i="29" s="1"/>
  <c r="AA9" i="29" s="1"/>
  <c r="AB9" i="29" s="1"/>
  <c r="AC9" i="29" s="1"/>
  <c r="AD9" i="29" s="1"/>
  <c r="AE9" i="29" s="1"/>
  <c r="AF9" i="29" s="1"/>
  <c r="AG9" i="29" s="1"/>
  <c r="C9" i="28"/>
  <c r="D9" i="28" s="1"/>
  <c r="E9" i="28" s="1"/>
  <c r="F9" i="28" s="1"/>
  <c r="G9" i="28" s="1"/>
  <c r="H9" i="28" s="1"/>
  <c r="I9" i="28" s="1"/>
  <c r="J9" i="28" s="1"/>
  <c r="K9" i="28" s="1"/>
  <c r="L9" i="28" s="1"/>
  <c r="M9" i="28" s="1"/>
  <c r="N9" i="28" s="1"/>
  <c r="O9" i="28" s="1"/>
  <c r="P9" i="28" s="1"/>
  <c r="Q9" i="28" s="1"/>
  <c r="R9" i="28" s="1"/>
  <c r="S9" i="28" s="1"/>
  <c r="T9" i="28" s="1"/>
  <c r="U9" i="28" s="1"/>
  <c r="V9" i="28" s="1"/>
  <c r="W9" i="28" s="1"/>
  <c r="X9" i="28" s="1"/>
  <c r="Y9" i="28" s="1"/>
  <c r="Z9" i="28" s="1"/>
  <c r="AA9" i="28" s="1"/>
  <c r="AB9" i="28" s="1"/>
  <c r="AC9" i="28" s="1"/>
  <c r="AD9" i="28" s="1"/>
  <c r="AE9" i="28" s="1"/>
  <c r="AF9" i="28" s="1"/>
  <c r="AG9" i="28" s="1"/>
  <c r="C9" i="19"/>
  <c r="D9" i="19" s="1"/>
  <c r="E9" i="19" s="1"/>
  <c r="F9" i="19" s="1"/>
  <c r="G9" i="19" s="1"/>
  <c r="H9" i="19" s="1"/>
  <c r="I9" i="19" s="1"/>
  <c r="J9" i="19" s="1"/>
  <c r="K9" i="19" s="1"/>
  <c r="L9" i="19" s="1"/>
  <c r="M9" i="19" s="1"/>
  <c r="N9" i="19" s="1"/>
  <c r="O9" i="19" s="1"/>
  <c r="P9" i="19" s="1"/>
  <c r="Q9" i="19" s="1"/>
  <c r="R9" i="19" s="1"/>
  <c r="S9" i="19" s="1"/>
  <c r="T9" i="19" s="1"/>
  <c r="U9" i="19" s="1"/>
  <c r="V9" i="19" s="1"/>
  <c r="W9" i="19" s="1"/>
  <c r="X9" i="19" s="1"/>
  <c r="Y9" i="19" s="1"/>
  <c r="Z9" i="19" s="1"/>
  <c r="AA9" i="19" s="1"/>
  <c r="AB9" i="19" s="1"/>
  <c r="AC9" i="19" s="1"/>
  <c r="AD9" i="19" s="1"/>
  <c r="AE9" i="19" s="1"/>
  <c r="AF9" i="19" s="1"/>
  <c r="AG9" i="19" s="1"/>
  <c r="C15" i="27"/>
  <c r="B25" i="27"/>
  <c r="C8" i="20"/>
  <c r="C7" i="38"/>
  <c r="C7" i="42"/>
  <c r="C7" i="29"/>
  <c r="C28" i="27"/>
  <c r="C7" i="28"/>
  <c r="C7" i="19"/>
  <c r="C25" i="27"/>
  <c r="F17" i="26"/>
  <c r="F16" i="26"/>
  <c r="G15" i="26"/>
  <c r="G16" i="26"/>
  <c r="G17" i="26"/>
  <c r="F15" i="26"/>
  <c r="AE116" i="20"/>
  <c r="AF113" i="20"/>
  <c r="B41" i="27" l="1"/>
  <c r="C11" i="53"/>
  <c r="D11" i="53" s="1"/>
  <c r="E11" i="53" s="1"/>
  <c r="F11" i="53" s="1"/>
  <c r="G11" i="53" s="1"/>
  <c r="H11" i="53" s="1"/>
  <c r="I11" i="53" s="1"/>
  <c r="J11" i="53" s="1"/>
  <c r="K11" i="53" s="1"/>
  <c r="L11" i="53" s="1"/>
  <c r="M11" i="53" s="1"/>
  <c r="N11" i="53" s="1"/>
  <c r="O11" i="53" s="1"/>
  <c r="P11" i="53" s="1"/>
  <c r="Q11" i="53" s="1"/>
  <c r="R11" i="53" s="1"/>
  <c r="S11" i="53" s="1"/>
  <c r="T11" i="53" s="1"/>
  <c r="U11" i="53" s="1"/>
  <c r="V11" i="53" s="1"/>
  <c r="W11" i="53" s="1"/>
  <c r="X11" i="53" s="1"/>
  <c r="Y11" i="53" s="1"/>
  <c r="Z11" i="53" s="1"/>
  <c r="AA11" i="53" s="1"/>
  <c r="AB11" i="53" s="1"/>
  <c r="AC11" i="53" s="1"/>
  <c r="AD11" i="53" s="1"/>
  <c r="AE11" i="53" s="1"/>
  <c r="AF11" i="53" s="1"/>
  <c r="AG11" i="53" s="1"/>
  <c r="C11" i="54"/>
  <c r="D11" i="54" s="1"/>
  <c r="E11" i="54" s="1"/>
  <c r="F11" i="54" s="1"/>
  <c r="G11" i="54" s="1"/>
  <c r="H11" i="54" s="1"/>
  <c r="I11" i="54" s="1"/>
  <c r="J11" i="54" s="1"/>
  <c r="K11" i="54" s="1"/>
  <c r="L11" i="54" s="1"/>
  <c r="M11" i="54" s="1"/>
  <c r="N11" i="54" s="1"/>
  <c r="O11" i="54" s="1"/>
  <c r="P11" i="54" s="1"/>
  <c r="Q11" i="54" s="1"/>
  <c r="R11" i="54" s="1"/>
  <c r="S11" i="54" s="1"/>
  <c r="T11" i="54" s="1"/>
  <c r="U11" i="54" s="1"/>
  <c r="V11" i="54" s="1"/>
  <c r="W11" i="54" s="1"/>
  <c r="X11" i="54" s="1"/>
  <c r="Y11" i="54" s="1"/>
  <c r="Z11" i="54" s="1"/>
  <c r="AA11" i="54" s="1"/>
  <c r="AB11" i="54" s="1"/>
  <c r="AC11" i="54" s="1"/>
  <c r="AD11" i="54" s="1"/>
  <c r="AE11" i="54" s="1"/>
  <c r="AF11" i="54" s="1"/>
  <c r="AG11" i="54" s="1"/>
  <c r="C11" i="48"/>
  <c r="D11" i="48" s="1"/>
  <c r="E11" i="48" s="1"/>
  <c r="F11" i="48" s="1"/>
  <c r="G11" i="48" s="1"/>
  <c r="H11" i="48" s="1"/>
  <c r="I11" i="48" s="1"/>
  <c r="J11" i="48" s="1"/>
  <c r="K11" i="48" s="1"/>
  <c r="L11" i="48" s="1"/>
  <c r="M11" i="48" s="1"/>
  <c r="N11" i="48" s="1"/>
  <c r="O11" i="48" s="1"/>
  <c r="P11" i="48" s="1"/>
  <c r="Q11" i="48" s="1"/>
  <c r="R11" i="48" s="1"/>
  <c r="S11" i="48" s="1"/>
  <c r="T11" i="48" s="1"/>
  <c r="U11" i="48" s="1"/>
  <c r="V11" i="48" s="1"/>
  <c r="W11" i="48" s="1"/>
  <c r="X11" i="48" s="1"/>
  <c r="Y11" i="48" s="1"/>
  <c r="Z11" i="48" s="1"/>
  <c r="AA11" i="48" s="1"/>
  <c r="AB11" i="48" s="1"/>
  <c r="AC11" i="48" s="1"/>
  <c r="AD11" i="48" s="1"/>
  <c r="AE11" i="48" s="1"/>
  <c r="AF11" i="48" s="1"/>
  <c r="AG11" i="48" s="1"/>
  <c r="C11" i="46"/>
  <c r="D11" i="46" s="1"/>
  <c r="E11" i="46" s="1"/>
  <c r="F11" i="46" s="1"/>
  <c r="G11" i="46" s="1"/>
  <c r="H11" i="46" s="1"/>
  <c r="I11" i="46" s="1"/>
  <c r="J11" i="46" s="1"/>
  <c r="K11" i="46" s="1"/>
  <c r="L11" i="46" s="1"/>
  <c r="M11" i="46" s="1"/>
  <c r="N11" i="46" s="1"/>
  <c r="O11" i="46" s="1"/>
  <c r="P11" i="46" s="1"/>
  <c r="Q11" i="46" s="1"/>
  <c r="R11" i="46" s="1"/>
  <c r="S11" i="46" s="1"/>
  <c r="T11" i="46" s="1"/>
  <c r="U11" i="46" s="1"/>
  <c r="V11" i="46" s="1"/>
  <c r="W11" i="46" s="1"/>
  <c r="X11" i="46" s="1"/>
  <c r="Y11" i="46" s="1"/>
  <c r="Z11" i="46" s="1"/>
  <c r="AA11" i="46" s="1"/>
  <c r="AB11" i="46" s="1"/>
  <c r="AC11" i="46" s="1"/>
  <c r="AD11" i="46" s="1"/>
  <c r="AE11" i="46" s="1"/>
  <c r="AF11" i="46" s="1"/>
  <c r="AG11" i="46" s="1"/>
  <c r="C11" i="38"/>
  <c r="D11" i="38" s="1"/>
  <c r="E11" i="38" s="1"/>
  <c r="F11" i="38" s="1"/>
  <c r="G11" i="38" s="1"/>
  <c r="H11" i="38" s="1"/>
  <c r="I11" i="38" s="1"/>
  <c r="J11" i="38" s="1"/>
  <c r="K11" i="38" s="1"/>
  <c r="L11" i="38" s="1"/>
  <c r="M11" i="38" s="1"/>
  <c r="N11" i="38" s="1"/>
  <c r="O11" i="38" s="1"/>
  <c r="P11" i="38" s="1"/>
  <c r="Q11" i="38" s="1"/>
  <c r="R11" i="38" s="1"/>
  <c r="S11" i="38" s="1"/>
  <c r="T11" i="38" s="1"/>
  <c r="U11" i="38" s="1"/>
  <c r="V11" i="38" s="1"/>
  <c r="W11" i="38" s="1"/>
  <c r="X11" i="38" s="1"/>
  <c r="Y11" i="38" s="1"/>
  <c r="Z11" i="38" s="1"/>
  <c r="AA11" i="38" s="1"/>
  <c r="AB11" i="38" s="1"/>
  <c r="AC11" i="38" s="1"/>
  <c r="AD11" i="38" s="1"/>
  <c r="AE11" i="38" s="1"/>
  <c r="AF11" i="38" s="1"/>
  <c r="AG11" i="38" s="1"/>
  <c r="C11" i="42"/>
  <c r="D11" i="42" s="1"/>
  <c r="E11" i="42" s="1"/>
  <c r="F11" i="42" s="1"/>
  <c r="G11" i="42" s="1"/>
  <c r="H11" i="42" s="1"/>
  <c r="I11" i="42" s="1"/>
  <c r="J11" i="42" s="1"/>
  <c r="K11" i="42" s="1"/>
  <c r="L11" i="42" s="1"/>
  <c r="M11" i="42" s="1"/>
  <c r="N11" i="42" s="1"/>
  <c r="O11" i="42" s="1"/>
  <c r="P11" i="42" s="1"/>
  <c r="Q11" i="42" s="1"/>
  <c r="R11" i="42" s="1"/>
  <c r="S11" i="42" s="1"/>
  <c r="T11" i="42" s="1"/>
  <c r="U11" i="42" s="1"/>
  <c r="V11" i="42" s="1"/>
  <c r="W11" i="42" s="1"/>
  <c r="X11" i="42" s="1"/>
  <c r="Y11" i="42" s="1"/>
  <c r="Z11" i="42" s="1"/>
  <c r="AA11" i="42" s="1"/>
  <c r="AB11" i="42" s="1"/>
  <c r="AC11" i="42" s="1"/>
  <c r="AD11" i="42" s="1"/>
  <c r="AE11" i="42" s="1"/>
  <c r="AF11" i="42" s="1"/>
  <c r="AG11" i="42" s="1"/>
  <c r="C32" i="27"/>
  <c r="C11" i="28"/>
  <c r="D11" i="28" s="1"/>
  <c r="E11" i="28" s="1"/>
  <c r="F11" i="28" s="1"/>
  <c r="G11" i="28" s="1"/>
  <c r="H11" i="28" s="1"/>
  <c r="I11" i="28" s="1"/>
  <c r="J11" i="28" s="1"/>
  <c r="K11" i="28" s="1"/>
  <c r="L11" i="28" s="1"/>
  <c r="M11" i="28" s="1"/>
  <c r="N11" i="28" s="1"/>
  <c r="O11" i="28" s="1"/>
  <c r="P11" i="28" s="1"/>
  <c r="Q11" i="28" s="1"/>
  <c r="R11" i="28" s="1"/>
  <c r="S11" i="28" s="1"/>
  <c r="T11" i="28" s="1"/>
  <c r="U11" i="28" s="1"/>
  <c r="V11" i="28" s="1"/>
  <c r="W11" i="28" s="1"/>
  <c r="X11" i="28" s="1"/>
  <c r="Y11" i="28" s="1"/>
  <c r="Z11" i="28" s="1"/>
  <c r="AA11" i="28" s="1"/>
  <c r="AB11" i="28" s="1"/>
  <c r="AC11" i="28" s="1"/>
  <c r="AD11" i="28" s="1"/>
  <c r="AE11" i="28" s="1"/>
  <c r="AF11" i="28" s="1"/>
  <c r="AG11" i="28" s="1"/>
  <c r="C11" i="29"/>
  <c r="D11" i="29" s="1"/>
  <c r="E11" i="29" s="1"/>
  <c r="F11" i="29" s="1"/>
  <c r="G11" i="29" s="1"/>
  <c r="H11" i="29" s="1"/>
  <c r="I11" i="29" s="1"/>
  <c r="J11" i="29" s="1"/>
  <c r="K11" i="29" s="1"/>
  <c r="L11" i="29" s="1"/>
  <c r="M11" i="29" s="1"/>
  <c r="N11" i="29" s="1"/>
  <c r="O11" i="29" s="1"/>
  <c r="P11" i="29" s="1"/>
  <c r="Q11" i="29" s="1"/>
  <c r="R11" i="29" s="1"/>
  <c r="S11" i="29" s="1"/>
  <c r="T11" i="29" s="1"/>
  <c r="U11" i="29" s="1"/>
  <c r="V11" i="29" s="1"/>
  <c r="W11" i="29" s="1"/>
  <c r="X11" i="29" s="1"/>
  <c r="Y11" i="29" s="1"/>
  <c r="Z11" i="29" s="1"/>
  <c r="AA11" i="29" s="1"/>
  <c r="AB11" i="29" s="1"/>
  <c r="AC11" i="29" s="1"/>
  <c r="AD11" i="29" s="1"/>
  <c r="AE11" i="29" s="1"/>
  <c r="AF11" i="29" s="1"/>
  <c r="AG11" i="29" s="1"/>
  <c r="C11" i="19"/>
  <c r="D11" i="19" s="1"/>
  <c r="E11" i="19" s="1"/>
  <c r="F11" i="19" s="1"/>
  <c r="G11" i="19" s="1"/>
  <c r="H11" i="19" s="1"/>
  <c r="I11" i="19" s="1"/>
  <c r="J11" i="19" s="1"/>
  <c r="K11" i="19" s="1"/>
  <c r="L11" i="19" s="1"/>
  <c r="M11" i="19" s="1"/>
  <c r="N11" i="19" s="1"/>
  <c r="O11" i="19" s="1"/>
  <c r="P11" i="19" s="1"/>
  <c r="Q11" i="19" s="1"/>
  <c r="R11" i="19" s="1"/>
  <c r="S11" i="19" s="1"/>
  <c r="T11" i="19" s="1"/>
  <c r="U11" i="19" s="1"/>
  <c r="V11" i="19" s="1"/>
  <c r="W11" i="19" s="1"/>
  <c r="X11" i="19" s="1"/>
  <c r="Y11" i="19" s="1"/>
  <c r="Z11" i="19" s="1"/>
  <c r="AA11" i="19" s="1"/>
  <c r="AB11" i="19" s="1"/>
  <c r="AC11" i="19" s="1"/>
  <c r="AD11" i="19" s="1"/>
  <c r="AE11" i="19" s="1"/>
  <c r="AF11" i="19" s="1"/>
  <c r="AG11" i="19" s="1"/>
  <c r="C12" i="46"/>
  <c r="D7" i="46"/>
  <c r="D7" i="48"/>
  <c r="C12" i="48"/>
  <c r="C33" i="27"/>
  <c r="D7" i="54"/>
  <c r="C12" i="54"/>
  <c r="D7" i="53"/>
  <c r="C12" i="53"/>
  <c r="D7" i="42"/>
  <c r="C12" i="42"/>
  <c r="D7" i="29"/>
  <c r="D7" i="19"/>
  <c r="D7" i="28"/>
  <c r="C12" i="28"/>
  <c r="D7" i="38"/>
  <c r="C12" i="38"/>
  <c r="AF116" i="20"/>
  <c r="C12" i="20"/>
  <c r="AG113" i="20"/>
  <c r="C23" i="4"/>
  <c r="K23" i="4" s="1"/>
  <c r="Q23" i="4" s="1"/>
  <c r="C24" i="4"/>
  <c r="C36" i="4"/>
  <c r="P54" i="4"/>
  <c r="P55" i="4"/>
  <c r="P56" i="4"/>
  <c r="P57" i="4"/>
  <c r="P58" i="4"/>
  <c r="P59" i="4"/>
  <c r="P60" i="4"/>
  <c r="P61" i="4"/>
  <c r="P62" i="4"/>
  <c r="J65" i="4"/>
  <c r="R65" i="4"/>
  <c r="R76" i="4" s="1"/>
  <c r="J66" i="4"/>
  <c r="J77" i="4" s="1"/>
  <c r="R66" i="4"/>
  <c r="R77" i="4" s="1"/>
  <c r="AC69" i="4"/>
  <c r="AC70" i="4"/>
  <c r="Z71" i="4"/>
  <c r="AA71" i="4"/>
  <c r="L54" i="25"/>
  <c r="J56" i="25"/>
  <c r="C26" i="25"/>
  <c r="C25" i="25"/>
  <c r="C18" i="25"/>
  <c r="W20" i="25"/>
  <c r="M20" i="25"/>
  <c r="AG17" i="25"/>
  <c r="AB17" i="25"/>
  <c r="H20" i="25"/>
  <c r="C13" i="25"/>
  <c r="K2" i="25"/>
  <c r="D2" i="25"/>
  <c r="G2" i="25"/>
  <c r="C2" i="25"/>
  <c r="R18" i="25"/>
  <c r="C18" i="24"/>
  <c r="D18" i="24"/>
  <c r="E18" i="24"/>
  <c r="F18" i="24"/>
  <c r="G18" i="24"/>
  <c r="H18" i="24"/>
  <c r="I18" i="24"/>
  <c r="C19" i="24"/>
  <c r="D19" i="24"/>
  <c r="E19" i="24"/>
  <c r="F19" i="24"/>
  <c r="G19" i="24"/>
  <c r="H19" i="24"/>
  <c r="I19" i="24"/>
  <c r="C20" i="24"/>
  <c r="D20" i="24"/>
  <c r="E20" i="24"/>
  <c r="F20" i="24"/>
  <c r="G20" i="24"/>
  <c r="H20" i="24"/>
  <c r="I20" i="24"/>
  <c r="H30" i="24" s="1"/>
  <c r="C21" i="24"/>
  <c r="C100" i="24" s="1"/>
  <c r="D21" i="24"/>
  <c r="D100" i="24" s="1"/>
  <c r="E21" i="24"/>
  <c r="F21" i="24"/>
  <c r="F100" i="24" s="1"/>
  <c r="G21" i="24"/>
  <c r="G100" i="24" s="1"/>
  <c r="H21" i="24"/>
  <c r="I100" i="24" s="1"/>
  <c r="I21" i="24"/>
  <c r="J100" i="24" s="1"/>
  <c r="C22" i="24"/>
  <c r="C101" i="24" s="1"/>
  <c r="D22" i="24"/>
  <c r="D101" i="24" s="1"/>
  <c r="E22" i="24"/>
  <c r="F22" i="24"/>
  <c r="F101" i="24" s="1"/>
  <c r="G22" i="24"/>
  <c r="G101" i="24" s="1"/>
  <c r="H22" i="24"/>
  <c r="I101" i="24" s="1"/>
  <c r="I22" i="24"/>
  <c r="J101" i="24" s="1"/>
  <c r="C23" i="24"/>
  <c r="D23" i="24"/>
  <c r="E23" i="24"/>
  <c r="F23" i="24"/>
  <c r="G23" i="24"/>
  <c r="H23" i="24"/>
  <c r="I23" i="24"/>
  <c r="B23" i="24"/>
  <c r="B61" i="24" s="1"/>
  <c r="B22" i="24"/>
  <c r="B21" i="24"/>
  <c r="B100" i="24" s="1"/>
  <c r="B20" i="24"/>
  <c r="B19" i="24"/>
  <c r="B18" i="24"/>
  <c r="C13" i="24"/>
  <c r="D13" i="24"/>
  <c r="E13" i="24"/>
  <c r="F13" i="24"/>
  <c r="G13" i="24"/>
  <c r="H13" i="24"/>
  <c r="I13" i="24"/>
  <c r="B13" i="24"/>
  <c r="J7" i="24"/>
  <c r="J18" i="24" s="1"/>
  <c r="J8" i="24"/>
  <c r="J9" i="24"/>
  <c r="J21" i="24" s="1"/>
  <c r="J10" i="24"/>
  <c r="J22" i="24" s="1"/>
  <c r="J11" i="24"/>
  <c r="J12" i="24"/>
  <c r="J6" i="24"/>
  <c r="J20" i="24" s="1"/>
  <c r="C12" i="19" l="1"/>
  <c r="D12" i="48"/>
  <c r="E7" i="48"/>
  <c r="D12" i="46"/>
  <c r="E7" i="46"/>
  <c r="L56" i="60"/>
  <c r="E7" i="53"/>
  <c r="D12" i="53"/>
  <c r="B101" i="24"/>
  <c r="B60" i="24"/>
  <c r="E7" i="54"/>
  <c r="D12" i="54"/>
  <c r="C37" i="27"/>
  <c r="C38" i="27"/>
  <c r="C39" i="27"/>
  <c r="C36" i="27"/>
  <c r="C12" i="29"/>
  <c r="C40" i="27"/>
  <c r="E27" i="49"/>
  <c r="E26" i="49"/>
  <c r="E28" i="49"/>
  <c r="Z147" i="24"/>
  <c r="Z148" i="24"/>
  <c r="B128" i="24"/>
  <c r="B114" i="24"/>
  <c r="I131" i="24"/>
  <c r="I103" i="24"/>
  <c r="I117" i="24"/>
  <c r="D131" i="24"/>
  <c r="D117" i="24"/>
  <c r="D103" i="24"/>
  <c r="G115" i="24"/>
  <c r="G129" i="24"/>
  <c r="C86" i="24"/>
  <c r="C115" i="24"/>
  <c r="C129" i="24"/>
  <c r="F85" i="24"/>
  <c r="F114" i="24"/>
  <c r="F128" i="24"/>
  <c r="J99" i="24"/>
  <c r="J127" i="24"/>
  <c r="J113" i="24"/>
  <c r="E127" i="24"/>
  <c r="I126" i="24"/>
  <c r="I98" i="24"/>
  <c r="I112" i="24"/>
  <c r="D112" i="24"/>
  <c r="D98" i="24"/>
  <c r="D126" i="24"/>
  <c r="G97" i="24"/>
  <c r="G111" i="24"/>
  <c r="G125" i="24"/>
  <c r="C82" i="24"/>
  <c r="C111" i="24"/>
  <c r="C97" i="24"/>
  <c r="C125" i="24"/>
  <c r="B111" i="24"/>
  <c r="B82" i="24"/>
  <c r="B125" i="24"/>
  <c r="B86" i="24"/>
  <c r="B115" i="24"/>
  <c r="B129" i="24"/>
  <c r="G103" i="24"/>
  <c r="G117" i="24"/>
  <c r="G131" i="24"/>
  <c r="C117" i="24"/>
  <c r="C103" i="24"/>
  <c r="C131" i="24"/>
  <c r="F86" i="24"/>
  <c r="F129" i="24"/>
  <c r="F115" i="24"/>
  <c r="J85" i="24"/>
  <c r="J114" i="24"/>
  <c r="J128" i="24"/>
  <c r="E85" i="24"/>
  <c r="E128" i="24"/>
  <c r="I127" i="24"/>
  <c r="I99" i="24"/>
  <c r="I113" i="24"/>
  <c r="D113" i="24"/>
  <c r="D127" i="24"/>
  <c r="D99" i="24"/>
  <c r="G98" i="24"/>
  <c r="G112" i="24"/>
  <c r="G126" i="24"/>
  <c r="C83" i="24"/>
  <c r="C112" i="24"/>
  <c r="C98" i="24"/>
  <c r="C126" i="24"/>
  <c r="F82" i="24"/>
  <c r="F111" i="24"/>
  <c r="F97" i="24"/>
  <c r="F125" i="24"/>
  <c r="D65" i="44"/>
  <c r="G65" i="44"/>
  <c r="F65" i="44"/>
  <c r="B112" i="24"/>
  <c r="B126" i="24"/>
  <c r="B98" i="24"/>
  <c r="B88" i="24"/>
  <c r="B103" i="24"/>
  <c r="B117" i="24"/>
  <c r="B131" i="24"/>
  <c r="F131" i="24"/>
  <c r="F103" i="24"/>
  <c r="F117" i="24"/>
  <c r="J86" i="24"/>
  <c r="J129" i="24"/>
  <c r="J115" i="24"/>
  <c r="E86" i="24"/>
  <c r="E129" i="24"/>
  <c r="I85" i="24"/>
  <c r="I128" i="24"/>
  <c r="I114" i="24"/>
  <c r="D85" i="24"/>
  <c r="D114" i="24"/>
  <c r="D128" i="24"/>
  <c r="G99" i="24"/>
  <c r="G113" i="24"/>
  <c r="G127" i="24"/>
  <c r="C84" i="24"/>
  <c r="C99" i="24"/>
  <c r="C113" i="24"/>
  <c r="C127" i="24"/>
  <c r="F126" i="24"/>
  <c r="F98" i="24"/>
  <c r="F112" i="24"/>
  <c r="J82" i="24"/>
  <c r="J125" i="24"/>
  <c r="J111" i="24"/>
  <c r="J97" i="24"/>
  <c r="E82" i="24"/>
  <c r="E125" i="24"/>
  <c r="B127" i="24"/>
  <c r="B99" i="24"/>
  <c r="B113" i="24"/>
  <c r="B71" i="24"/>
  <c r="J88" i="24"/>
  <c r="J131" i="24"/>
  <c r="J103" i="24"/>
  <c r="J117" i="24"/>
  <c r="E131" i="24"/>
  <c r="I86" i="24"/>
  <c r="I129" i="24"/>
  <c r="I115" i="24"/>
  <c r="D86" i="24"/>
  <c r="D115" i="24"/>
  <c r="D129" i="24"/>
  <c r="G114" i="24"/>
  <c r="G128" i="24"/>
  <c r="C128" i="24"/>
  <c r="C114" i="24"/>
  <c r="F99" i="24"/>
  <c r="F127" i="24"/>
  <c r="F113" i="24"/>
  <c r="J126" i="24"/>
  <c r="J112" i="24"/>
  <c r="J98" i="24"/>
  <c r="E126" i="24"/>
  <c r="I82" i="24"/>
  <c r="I125" i="24"/>
  <c r="I97" i="24"/>
  <c r="I111" i="24"/>
  <c r="D82" i="24"/>
  <c r="D125" i="24"/>
  <c r="D111" i="24"/>
  <c r="D97" i="24"/>
  <c r="D12" i="19"/>
  <c r="E7" i="19"/>
  <c r="E7" i="29"/>
  <c r="D12" i="29"/>
  <c r="E7" i="38"/>
  <c r="D12" i="38"/>
  <c r="D12" i="28"/>
  <c r="E7" i="28"/>
  <c r="E7" i="42"/>
  <c r="D12" i="42"/>
  <c r="F30" i="24"/>
  <c r="B30" i="24"/>
  <c r="B84" i="24"/>
  <c r="E74" i="24"/>
  <c r="E88" i="24"/>
  <c r="C72" i="24"/>
  <c r="C85" i="24"/>
  <c r="E30" i="24"/>
  <c r="F84" i="24"/>
  <c r="H29" i="24"/>
  <c r="J83" i="24"/>
  <c r="D29" i="24"/>
  <c r="E83" i="24"/>
  <c r="B29" i="24"/>
  <c r="B83" i="24"/>
  <c r="F74" i="24"/>
  <c r="F88" i="24"/>
  <c r="E29" i="24"/>
  <c r="F83" i="24"/>
  <c r="B72" i="24"/>
  <c r="B85" i="24"/>
  <c r="H74" i="24"/>
  <c r="I88" i="24"/>
  <c r="D74" i="24"/>
  <c r="D88" i="24"/>
  <c r="G49" i="7"/>
  <c r="J84" i="24"/>
  <c r="D30" i="24"/>
  <c r="E84" i="24"/>
  <c r="G29" i="24"/>
  <c r="I83" i="24"/>
  <c r="C29" i="24"/>
  <c r="D83" i="24"/>
  <c r="B28" i="24"/>
  <c r="G74" i="24"/>
  <c r="C74" i="24"/>
  <c r="C88" i="24"/>
  <c r="G30" i="24"/>
  <c r="I84" i="24"/>
  <c r="C30" i="24"/>
  <c r="D84" i="24"/>
  <c r="F29" i="24"/>
  <c r="AI59" i="34"/>
  <c r="F31" i="24"/>
  <c r="G28" i="24"/>
  <c r="C28" i="24"/>
  <c r="F72" i="24"/>
  <c r="E31" i="24"/>
  <c r="F28" i="24"/>
  <c r="D35" i="25"/>
  <c r="H31" i="24"/>
  <c r="E72" i="24"/>
  <c r="D31" i="24"/>
  <c r="E28" i="24"/>
  <c r="B74" i="24"/>
  <c r="B31" i="24"/>
  <c r="H72" i="24"/>
  <c r="G31" i="24"/>
  <c r="D72" i="24"/>
  <c r="C31" i="24"/>
  <c r="H28" i="24"/>
  <c r="D28" i="24"/>
  <c r="C45" i="7"/>
  <c r="B69" i="24"/>
  <c r="B73" i="24"/>
  <c r="F73" i="24"/>
  <c r="H58" i="24"/>
  <c r="H71" i="24"/>
  <c r="G57" i="24"/>
  <c r="G70" i="24"/>
  <c r="C14" i="7"/>
  <c r="G60" i="24"/>
  <c r="G73" i="24"/>
  <c r="C73" i="24"/>
  <c r="E71" i="24"/>
  <c r="H70" i="24"/>
  <c r="D70" i="24"/>
  <c r="G69" i="24"/>
  <c r="C69" i="24"/>
  <c r="E73" i="24"/>
  <c r="D47" i="7"/>
  <c r="C71" i="24"/>
  <c r="E69" i="24"/>
  <c r="D71" i="24"/>
  <c r="C70" i="24"/>
  <c r="F56" i="24"/>
  <c r="F69" i="24"/>
  <c r="B57" i="24"/>
  <c r="B70" i="24"/>
  <c r="G58" i="24"/>
  <c r="G71" i="24"/>
  <c r="F70" i="24"/>
  <c r="J23" i="24"/>
  <c r="J19" i="24"/>
  <c r="B58" i="24"/>
  <c r="H60" i="24"/>
  <c r="H73" i="24"/>
  <c r="D60" i="24"/>
  <c r="D73" i="24"/>
  <c r="G59" i="24"/>
  <c r="G72" i="24"/>
  <c r="F71" i="24"/>
  <c r="E70" i="24"/>
  <c r="H69" i="24"/>
  <c r="H56" i="24"/>
  <c r="C32" i="25"/>
  <c r="D69" i="24"/>
  <c r="Q35" i="4"/>
  <c r="K24" i="4"/>
  <c r="Q24" i="4" s="1"/>
  <c r="C27" i="4"/>
  <c r="P65" i="4"/>
  <c r="P76" i="4" s="1"/>
  <c r="Q76" i="4" s="1"/>
  <c r="B86" i="15"/>
  <c r="B86" i="16"/>
  <c r="H68" i="7"/>
  <c r="AG118" i="20"/>
  <c r="AG116" i="20"/>
  <c r="H61" i="24"/>
  <c r="H59" i="24"/>
  <c r="H57" i="24"/>
  <c r="B56" i="24"/>
  <c r="E50" i="7"/>
  <c r="E61" i="24"/>
  <c r="F47" i="7"/>
  <c r="F58" i="24"/>
  <c r="C50" i="7"/>
  <c r="H50" i="7"/>
  <c r="C37" i="25"/>
  <c r="D61" i="24"/>
  <c r="D49" i="7"/>
  <c r="C60" i="24"/>
  <c r="F48" i="7"/>
  <c r="F59" i="24"/>
  <c r="E47" i="7"/>
  <c r="E58" i="24"/>
  <c r="H46" i="7"/>
  <c r="C33" i="25"/>
  <c r="D57" i="24"/>
  <c r="G45" i="7"/>
  <c r="G56" i="24"/>
  <c r="D45" i="7"/>
  <c r="C56" i="24"/>
  <c r="G48" i="7"/>
  <c r="C36" i="25"/>
  <c r="D48" i="7"/>
  <c r="C59" i="24"/>
  <c r="H24" i="24"/>
  <c r="G24" i="24"/>
  <c r="G51" i="7" s="1"/>
  <c r="G50" i="7"/>
  <c r="G61" i="24"/>
  <c r="D50" i="7"/>
  <c r="C61" i="24"/>
  <c r="F49" i="7"/>
  <c r="F60" i="24"/>
  <c r="E48" i="7"/>
  <c r="E59" i="24"/>
  <c r="H47" i="7"/>
  <c r="C34" i="25"/>
  <c r="D58" i="24"/>
  <c r="D46" i="7"/>
  <c r="C57" i="24"/>
  <c r="C47" i="7"/>
  <c r="G47" i="7"/>
  <c r="C49" i="7"/>
  <c r="D36" i="25"/>
  <c r="E46" i="7"/>
  <c r="E57" i="24"/>
  <c r="D24" i="24"/>
  <c r="C38" i="25" s="1"/>
  <c r="D56" i="24"/>
  <c r="C48" i="7"/>
  <c r="B59" i="24"/>
  <c r="C24" i="24"/>
  <c r="D51" i="7" s="1"/>
  <c r="F50" i="7"/>
  <c r="F61" i="24"/>
  <c r="E49" i="7"/>
  <c r="E60" i="24"/>
  <c r="H48" i="7"/>
  <c r="C35" i="25"/>
  <c r="D59" i="24"/>
  <c r="C58" i="24"/>
  <c r="F46" i="7"/>
  <c r="F57" i="24"/>
  <c r="E45" i="7"/>
  <c r="E56" i="24"/>
  <c r="F45" i="7"/>
  <c r="G46" i="7"/>
  <c r="D32" i="25"/>
  <c r="B24" i="24"/>
  <c r="C51" i="7" s="1"/>
  <c r="F24" i="24"/>
  <c r="F51" i="7" s="1"/>
  <c r="D34" i="25"/>
  <c r="I24" i="24"/>
  <c r="E24" i="24"/>
  <c r="E51" i="7" s="1"/>
  <c r="C46" i="7"/>
  <c r="H45" i="7"/>
  <c r="D37" i="25"/>
  <c r="D33" i="25"/>
  <c r="H49" i="7"/>
  <c r="R67" i="4"/>
  <c r="J67" i="4"/>
  <c r="I67" i="4" s="1"/>
  <c r="J76" i="4"/>
  <c r="AC71" i="4"/>
  <c r="P66" i="4"/>
  <c r="J13" i="24"/>
  <c r="K13" i="24"/>
  <c r="D104" i="24" l="1"/>
  <c r="E30" i="49"/>
  <c r="F7" i="53"/>
  <c r="E12" i="53"/>
  <c r="C41" i="27"/>
  <c r="E12" i="46"/>
  <c r="F7" i="46"/>
  <c r="E12" i="54"/>
  <c r="F7" i="54"/>
  <c r="E12" i="48"/>
  <c r="F7" i="48"/>
  <c r="K41" i="4"/>
  <c r="P41" i="4" s="1"/>
  <c r="K40" i="4"/>
  <c r="P40" i="4" s="1"/>
  <c r="K42" i="4"/>
  <c r="P42" i="4" s="1"/>
  <c r="Q79" i="4"/>
  <c r="Q36" i="4"/>
  <c r="B8" i="4" s="1"/>
  <c r="K39" i="4"/>
  <c r="P39" i="4" s="1"/>
  <c r="K45" i="4"/>
  <c r="P45" i="4" s="1"/>
  <c r="K43" i="4"/>
  <c r="P43" i="4" s="1"/>
  <c r="K44" i="4"/>
  <c r="P44" i="4" s="1"/>
  <c r="C89" i="24"/>
  <c r="I29" i="24"/>
  <c r="E89" i="24"/>
  <c r="F89" i="24"/>
  <c r="I74" i="24"/>
  <c r="K74" i="24" s="1"/>
  <c r="G104" i="24"/>
  <c r="I118" i="24"/>
  <c r="J118" i="24"/>
  <c r="K131" i="24"/>
  <c r="F104" i="24"/>
  <c r="B118" i="24"/>
  <c r="K128" i="24"/>
  <c r="I30" i="24"/>
  <c r="F132" i="24"/>
  <c r="K129" i="24"/>
  <c r="D118" i="24"/>
  <c r="I104" i="24"/>
  <c r="E132" i="24"/>
  <c r="J132" i="24"/>
  <c r="K126" i="24"/>
  <c r="F118" i="24"/>
  <c r="C132" i="24"/>
  <c r="G132" i="24"/>
  <c r="J104" i="24"/>
  <c r="C118" i="24"/>
  <c r="I89" i="24"/>
  <c r="D89" i="24"/>
  <c r="D132" i="24"/>
  <c r="I132" i="24"/>
  <c r="K127" i="24"/>
  <c r="B132" i="24"/>
  <c r="K125" i="24"/>
  <c r="C104" i="24"/>
  <c r="G118" i="24"/>
  <c r="R17" i="44"/>
  <c r="R16" i="44" s="1"/>
  <c r="R21" i="44" s="1"/>
  <c r="G81" i="24"/>
  <c r="F7" i="28"/>
  <c r="E12" i="28"/>
  <c r="F7" i="29"/>
  <c r="E12" i="29"/>
  <c r="F7" i="19"/>
  <c r="E12" i="19"/>
  <c r="E12" i="42"/>
  <c r="F7" i="42"/>
  <c r="F7" i="38"/>
  <c r="E12" i="38"/>
  <c r="J89" i="24"/>
  <c r="H51" i="7"/>
  <c r="D75" i="24"/>
  <c r="F75" i="24"/>
  <c r="I72" i="24"/>
  <c r="K72" i="24" s="1"/>
  <c r="B89" i="24"/>
  <c r="C54" i="7"/>
  <c r="AI61" i="34"/>
  <c r="F61" i="34" s="1"/>
  <c r="G61" i="34" s="1"/>
  <c r="H61" i="34" s="1"/>
  <c r="I61" i="34" s="1"/>
  <c r="J61" i="34" s="1"/>
  <c r="K61" i="34" s="1"/>
  <c r="L61" i="34" s="1"/>
  <c r="M61" i="34" s="1"/>
  <c r="N61" i="34" s="1"/>
  <c r="O61" i="34" s="1"/>
  <c r="P61" i="34" s="1"/>
  <c r="Q61" i="34" s="1"/>
  <c r="R61" i="34" s="1"/>
  <c r="S61" i="34" s="1"/>
  <c r="T61" i="34" s="1"/>
  <c r="U61" i="34" s="1"/>
  <c r="V61" i="34" s="1"/>
  <c r="W61" i="34" s="1"/>
  <c r="X61" i="34" s="1"/>
  <c r="Y61" i="34" s="1"/>
  <c r="Z61" i="34" s="1"/>
  <c r="AA61" i="34" s="1"/>
  <c r="AB61" i="34" s="1"/>
  <c r="AC61" i="34" s="1"/>
  <c r="AD61" i="34" s="1"/>
  <c r="AE61" i="34" s="1"/>
  <c r="AF61" i="34" s="1"/>
  <c r="AG61" i="34" s="1"/>
  <c r="AH61" i="34" s="1"/>
  <c r="AI60" i="34"/>
  <c r="F60" i="34" s="1"/>
  <c r="G60" i="34" s="1"/>
  <c r="H60" i="34" s="1"/>
  <c r="I60" i="34" s="1"/>
  <c r="J60" i="34" s="1"/>
  <c r="K60" i="34" s="1"/>
  <c r="L60" i="34" s="1"/>
  <c r="M60" i="34" s="1"/>
  <c r="N60" i="34" s="1"/>
  <c r="O60" i="34" s="1"/>
  <c r="P60" i="34" s="1"/>
  <c r="Q60" i="34" s="1"/>
  <c r="R60" i="34" s="1"/>
  <c r="S60" i="34" s="1"/>
  <c r="T60" i="34" s="1"/>
  <c r="U60" i="34" s="1"/>
  <c r="V60" i="34" s="1"/>
  <c r="W60" i="34" s="1"/>
  <c r="X60" i="34" s="1"/>
  <c r="Y60" i="34" s="1"/>
  <c r="Z60" i="34" s="1"/>
  <c r="AA60" i="34" s="1"/>
  <c r="AB60" i="34" s="1"/>
  <c r="AC60" i="34" s="1"/>
  <c r="AD60" i="34" s="1"/>
  <c r="AE60" i="34" s="1"/>
  <c r="AF60" i="34" s="1"/>
  <c r="AG60" i="34" s="1"/>
  <c r="AH60" i="34" s="1"/>
  <c r="AI62" i="34"/>
  <c r="F62" i="34" s="1"/>
  <c r="G62" i="34" s="1"/>
  <c r="H62" i="34" s="1"/>
  <c r="I62" i="34" s="1"/>
  <c r="J62" i="34" s="1"/>
  <c r="K62" i="34" s="1"/>
  <c r="L62" i="34" s="1"/>
  <c r="M62" i="34" s="1"/>
  <c r="N62" i="34" s="1"/>
  <c r="O62" i="34" s="1"/>
  <c r="P62" i="34" s="1"/>
  <c r="Q62" i="34" s="1"/>
  <c r="R62" i="34" s="1"/>
  <c r="S62" i="34" s="1"/>
  <c r="T62" i="34" s="1"/>
  <c r="U62" i="34" s="1"/>
  <c r="V62" i="34" s="1"/>
  <c r="W62" i="34" s="1"/>
  <c r="X62" i="34" s="1"/>
  <c r="Y62" i="34" s="1"/>
  <c r="Z62" i="34" s="1"/>
  <c r="AA62" i="34" s="1"/>
  <c r="AB62" i="34" s="1"/>
  <c r="AC62" i="34" s="1"/>
  <c r="AD62" i="34" s="1"/>
  <c r="AE62" i="34" s="1"/>
  <c r="AF62" i="34" s="1"/>
  <c r="AG62" i="34" s="1"/>
  <c r="AH62" i="34" s="1"/>
  <c r="F59" i="34"/>
  <c r="G59" i="34" s="1"/>
  <c r="H59" i="34" s="1"/>
  <c r="I59" i="34" s="1"/>
  <c r="J59" i="34" s="1"/>
  <c r="K59" i="34" s="1"/>
  <c r="L59" i="34" s="1"/>
  <c r="M59" i="34" s="1"/>
  <c r="N59" i="34" s="1"/>
  <c r="O59" i="34" s="1"/>
  <c r="P59" i="34" s="1"/>
  <c r="Q59" i="34" s="1"/>
  <c r="R59" i="34" s="1"/>
  <c r="S59" i="34" s="1"/>
  <c r="T59" i="34" s="1"/>
  <c r="U59" i="34" s="1"/>
  <c r="V59" i="34" s="1"/>
  <c r="W59" i="34" s="1"/>
  <c r="X59" i="34" s="1"/>
  <c r="Y59" i="34" s="1"/>
  <c r="Z59" i="34" s="1"/>
  <c r="AA59" i="34" s="1"/>
  <c r="AB59" i="34" s="1"/>
  <c r="AC59" i="34" s="1"/>
  <c r="AD59" i="34" s="1"/>
  <c r="AE59" i="34" s="1"/>
  <c r="AF59" i="34" s="1"/>
  <c r="AG59" i="34" s="1"/>
  <c r="AH59" i="34" s="1"/>
  <c r="B32" i="24"/>
  <c r="E32" i="24"/>
  <c r="C32" i="24"/>
  <c r="F32" i="24"/>
  <c r="I28" i="24"/>
  <c r="G32" i="24"/>
  <c r="D32" i="24"/>
  <c r="I31" i="24"/>
  <c r="H32" i="24"/>
  <c r="E75" i="24"/>
  <c r="J24" i="24"/>
  <c r="K78" i="24"/>
  <c r="I73" i="24"/>
  <c r="K73" i="24" s="1"/>
  <c r="F54" i="7"/>
  <c r="I69" i="24"/>
  <c r="H75" i="24"/>
  <c r="C75" i="24"/>
  <c r="C15" i="7"/>
  <c r="C35" i="7" s="1"/>
  <c r="C34" i="7"/>
  <c r="B75" i="24"/>
  <c r="I71" i="24"/>
  <c r="K71" i="24" s="1"/>
  <c r="I70" i="24"/>
  <c r="K70" i="24" s="1"/>
  <c r="G75" i="24"/>
  <c r="P67" i="4"/>
  <c r="Q27" i="4"/>
  <c r="C8" i="4" s="1"/>
  <c r="C43" i="25"/>
  <c r="C52" i="25" s="1"/>
  <c r="C46" i="25"/>
  <c r="C55" i="25" s="1"/>
  <c r="C42" i="25"/>
  <c r="C51" i="25" s="1"/>
  <c r="C41" i="25"/>
  <c r="C50" i="25" s="1"/>
  <c r="B186" i="12"/>
  <c r="B196" i="12" s="1"/>
  <c r="I56" i="24"/>
  <c r="K56" i="24" s="1"/>
  <c r="H62" i="24"/>
  <c r="I57" i="24"/>
  <c r="K57" i="24" s="1"/>
  <c r="F62" i="24"/>
  <c r="C45" i="25"/>
  <c r="C54" i="25" s="1"/>
  <c r="G62" i="24"/>
  <c r="I58" i="24"/>
  <c r="K58" i="24" s="1"/>
  <c r="G54" i="7"/>
  <c r="G63" i="7" s="1"/>
  <c r="B62" i="24"/>
  <c r="E62" i="24"/>
  <c r="D62" i="24"/>
  <c r="C62" i="24"/>
  <c r="I61" i="24"/>
  <c r="K61" i="24" s="1"/>
  <c r="I59" i="24"/>
  <c r="I60" i="24"/>
  <c r="C44" i="25"/>
  <c r="C53" i="25" s="1"/>
  <c r="E54" i="7"/>
  <c r="D38" i="25"/>
  <c r="D45" i="25" s="1"/>
  <c r="P77" i="4"/>
  <c r="K77" i="4" s="1"/>
  <c r="K80" i="4" s="1"/>
  <c r="K76" i="4"/>
  <c r="K79" i="4" s="1"/>
  <c r="F12" i="54" l="1"/>
  <c r="G7" i="54"/>
  <c r="G7" i="46"/>
  <c r="F12" i="46"/>
  <c r="K53" i="60"/>
  <c r="G7" i="48"/>
  <c r="F12" i="48"/>
  <c r="F12" i="53"/>
  <c r="G7" i="53"/>
  <c r="K60" i="24"/>
  <c r="H55" i="7"/>
  <c r="H54" i="7"/>
  <c r="H56" i="7"/>
  <c r="K132" i="24"/>
  <c r="D90" i="44" s="1"/>
  <c r="P46" i="4"/>
  <c r="G59" i="33"/>
  <c r="H81" i="24"/>
  <c r="L87" i="24" s="1"/>
  <c r="G86" i="24"/>
  <c r="K86" i="24" s="1"/>
  <c r="N86" i="24" s="1"/>
  <c r="G88" i="24"/>
  <c r="K88" i="24" s="1"/>
  <c r="N88" i="24" s="1"/>
  <c r="G83" i="24"/>
  <c r="K83" i="24" s="1"/>
  <c r="N83" i="24" s="1"/>
  <c r="G85" i="24"/>
  <c r="K85" i="24" s="1"/>
  <c r="N85" i="24" s="1"/>
  <c r="G82" i="24"/>
  <c r="G84" i="24"/>
  <c r="K84" i="24" s="1"/>
  <c r="N84" i="24" s="1"/>
  <c r="G7" i="29"/>
  <c r="F12" i="29"/>
  <c r="G7" i="38"/>
  <c r="F12" i="38"/>
  <c r="G7" i="42"/>
  <c r="F12" i="42"/>
  <c r="G7" i="19"/>
  <c r="F12" i="19"/>
  <c r="F12" i="28"/>
  <c r="G7" i="28"/>
  <c r="H59" i="7"/>
  <c r="H57" i="7"/>
  <c r="H58" i="7"/>
  <c r="C63" i="7"/>
  <c r="R16" i="4"/>
  <c r="R12" i="4"/>
  <c r="R13" i="4"/>
  <c r="R18" i="4"/>
  <c r="R17" i="4"/>
  <c r="R14" i="4"/>
  <c r="P8" i="34"/>
  <c r="AI58" i="34"/>
  <c r="I32" i="24"/>
  <c r="K69" i="24"/>
  <c r="I75" i="24"/>
  <c r="K77" i="24"/>
  <c r="C57" i="25"/>
  <c r="Q77" i="4"/>
  <c r="Q80" i="4" s="1"/>
  <c r="F38" i="25"/>
  <c r="D41" i="25"/>
  <c r="K64" i="24"/>
  <c r="K65" i="24"/>
  <c r="K59" i="24"/>
  <c r="D46" i="25"/>
  <c r="D42" i="25"/>
  <c r="D44" i="25"/>
  <c r="C47" i="25"/>
  <c r="I62" i="24"/>
  <c r="L60" i="24" s="1"/>
  <c r="D43" i="25"/>
  <c r="G12" i="53" l="1"/>
  <c r="H7" i="53"/>
  <c r="G12" i="46"/>
  <c r="H7" i="46"/>
  <c r="G12" i="48"/>
  <c r="H7" i="48"/>
  <c r="G12" i="54"/>
  <c r="H7" i="54"/>
  <c r="L57" i="24"/>
  <c r="L58" i="24"/>
  <c r="L59" i="24"/>
  <c r="L61" i="24"/>
  <c r="L56" i="24"/>
  <c r="G8" i="4"/>
  <c r="D8" i="4"/>
  <c r="F8" i="4"/>
  <c r="E8" i="4"/>
  <c r="D92" i="44"/>
  <c r="D96" i="44"/>
  <c r="D95" i="44"/>
  <c r="D91" i="44"/>
  <c r="G91" i="44"/>
  <c r="G95" i="44"/>
  <c r="G96" i="44"/>
  <c r="G90" i="44"/>
  <c r="G92" i="44"/>
  <c r="G94" i="44"/>
  <c r="G93" i="44"/>
  <c r="D94" i="44"/>
  <c r="D93" i="44"/>
  <c r="D47" i="36"/>
  <c r="F4" i="9"/>
  <c r="G64" i="33"/>
  <c r="N91" i="24"/>
  <c r="K82" i="24"/>
  <c r="G89" i="24"/>
  <c r="H7" i="29"/>
  <c r="G12" i="29"/>
  <c r="G12" i="28"/>
  <c r="H7" i="28"/>
  <c r="G12" i="42"/>
  <c r="H7" i="42"/>
  <c r="H7" i="19"/>
  <c r="G12" i="19"/>
  <c r="H7" i="38"/>
  <c r="G12" i="38"/>
  <c r="H60" i="7"/>
  <c r="F58" i="34"/>
  <c r="G58" i="34" s="1"/>
  <c r="H58" i="34" s="1"/>
  <c r="I58" i="34" s="1"/>
  <c r="J58" i="34" s="1"/>
  <c r="K58" i="34" s="1"/>
  <c r="L58" i="34" s="1"/>
  <c r="M58" i="34" s="1"/>
  <c r="N58" i="34" s="1"/>
  <c r="O58" i="34" s="1"/>
  <c r="P58" i="34" s="1"/>
  <c r="Q58" i="34" s="1"/>
  <c r="R58" i="34" s="1"/>
  <c r="S58" i="34" s="1"/>
  <c r="T58" i="34" s="1"/>
  <c r="U58" i="34" s="1"/>
  <c r="V58" i="34" s="1"/>
  <c r="W58" i="34" s="1"/>
  <c r="X58" i="34" s="1"/>
  <c r="Y58" i="34" s="1"/>
  <c r="Z58" i="34" s="1"/>
  <c r="AA58" i="34" s="1"/>
  <c r="AB58" i="34" s="1"/>
  <c r="AC58" i="34" s="1"/>
  <c r="AD58" i="34" s="1"/>
  <c r="AE58" i="34" s="1"/>
  <c r="AF58" i="34" s="1"/>
  <c r="AG58" i="34" s="1"/>
  <c r="AH58" i="34" s="1"/>
  <c r="D47" i="25"/>
  <c r="O13" i="1"/>
  <c r="W15" i="7"/>
  <c r="R16" i="7"/>
  <c r="I7" i="53" l="1"/>
  <c r="H12" i="53"/>
  <c r="I7" i="54"/>
  <c r="H12" i="54"/>
  <c r="H12" i="48"/>
  <c r="I7" i="48"/>
  <c r="I7" i="46"/>
  <c r="H12" i="46"/>
  <c r="D97" i="44"/>
  <c r="AJ47" i="36"/>
  <c r="E47" i="36"/>
  <c r="K89" i="24"/>
  <c r="N82" i="24"/>
  <c r="N90" i="24"/>
  <c r="I7" i="28"/>
  <c r="H12" i="28"/>
  <c r="I7" i="19"/>
  <c r="H12" i="19"/>
  <c r="I7" i="38"/>
  <c r="H12" i="38"/>
  <c r="I7" i="42"/>
  <c r="H12" i="42"/>
  <c r="I7" i="29"/>
  <c r="H12" i="29"/>
  <c r="N92" i="24"/>
  <c r="J7" i="46" l="1"/>
  <c r="I12" i="46"/>
  <c r="I12" i="48"/>
  <c r="J7" i="48"/>
  <c r="I12" i="54"/>
  <c r="J7" i="54"/>
  <c r="J7" i="53"/>
  <c r="I12" i="53"/>
  <c r="AJ51" i="36"/>
  <c r="AJ70" i="36" s="1"/>
  <c r="AJ48" i="36"/>
  <c r="AK47" i="36"/>
  <c r="AJ49" i="36"/>
  <c r="L88" i="24"/>
  <c r="L86" i="24"/>
  <c r="L85" i="24"/>
  <c r="L84" i="24"/>
  <c r="L83" i="24"/>
  <c r="L82" i="24"/>
  <c r="F47" i="36"/>
  <c r="J7" i="29"/>
  <c r="I12" i="29"/>
  <c r="J7" i="19"/>
  <c r="I12" i="19"/>
  <c r="I12" i="42"/>
  <c r="J7" i="42"/>
  <c r="J7" i="38"/>
  <c r="I12" i="38"/>
  <c r="J7" i="28"/>
  <c r="I12" i="28"/>
  <c r="J12" i="53" l="1"/>
  <c r="K7" i="53"/>
  <c r="K7" i="54"/>
  <c r="J12" i="54"/>
  <c r="J12" i="48"/>
  <c r="K7" i="48"/>
  <c r="K7" i="46"/>
  <c r="J12" i="46"/>
  <c r="G47" i="36"/>
  <c r="AK48" i="36"/>
  <c r="AK51" i="36"/>
  <c r="AK49" i="36"/>
  <c r="AL47" i="36"/>
  <c r="K4" i="4"/>
  <c r="K5" i="4" s="1"/>
  <c r="D40" i="36"/>
  <c r="G4" i="26"/>
  <c r="G5" i="26" s="1"/>
  <c r="G6" i="26" s="1"/>
  <c r="G7" i="26" s="1"/>
  <c r="L90" i="24"/>
  <c r="K4" i="8"/>
  <c r="K5" i="8" s="1"/>
  <c r="K6" i="8" s="1"/>
  <c r="D29" i="36"/>
  <c r="D18" i="36"/>
  <c r="E4" i="3"/>
  <c r="E5" i="3" s="1"/>
  <c r="E7" i="3" s="1"/>
  <c r="E8" i="3" s="1"/>
  <c r="E10" i="3" s="1"/>
  <c r="E11" i="3" s="1"/>
  <c r="E13" i="3" s="1"/>
  <c r="AJ50" i="36"/>
  <c r="J12" i="19"/>
  <c r="K7" i="19"/>
  <c r="K7" i="38"/>
  <c r="J12" i="38"/>
  <c r="J12" i="42"/>
  <c r="K7" i="42"/>
  <c r="J12" i="28"/>
  <c r="K7" i="28"/>
  <c r="K7" i="29"/>
  <c r="J12" i="29"/>
  <c r="D72" i="12"/>
  <c r="D73" i="12"/>
  <c r="D9" i="20"/>
  <c r="D8" i="20"/>
  <c r="X1" i="20"/>
  <c r="N1" i="20"/>
  <c r="D1" i="20"/>
  <c r="D107" i="20" s="1"/>
  <c r="K12" i="46" l="1"/>
  <c r="L7" i="46"/>
  <c r="L7" i="48"/>
  <c r="K12" i="48"/>
  <c r="K12" i="54"/>
  <c r="L7" i="54"/>
  <c r="L7" i="53"/>
  <c r="K12" i="53"/>
  <c r="K6" i="4"/>
  <c r="K7" i="4" s="1"/>
  <c r="AK50" i="36"/>
  <c r="AK52" i="36" s="1"/>
  <c r="AJ52" i="36"/>
  <c r="C39" i="42" s="1"/>
  <c r="AJ69" i="36"/>
  <c r="AJ72" i="36" s="1"/>
  <c r="D36" i="36"/>
  <c r="C36" i="38" s="1"/>
  <c r="AJ29" i="36"/>
  <c r="E29" i="36"/>
  <c r="G8" i="26"/>
  <c r="G9" i="26" s="1"/>
  <c r="AL48" i="36"/>
  <c r="AL51" i="36"/>
  <c r="AL49" i="36"/>
  <c r="AM47" i="36"/>
  <c r="H47" i="36"/>
  <c r="D20" i="36"/>
  <c r="D25" i="36" s="1"/>
  <c r="C37" i="38" s="1"/>
  <c r="E18" i="36"/>
  <c r="AJ18" i="36"/>
  <c r="D56" i="36"/>
  <c r="D59" i="36" s="1"/>
  <c r="K8" i="8"/>
  <c r="K10" i="8"/>
  <c r="K9" i="8"/>
  <c r="K7" i="8"/>
  <c r="E40" i="36"/>
  <c r="D43" i="36"/>
  <c r="C38" i="38" s="1"/>
  <c r="AJ40" i="36"/>
  <c r="L7" i="42"/>
  <c r="K12" i="42"/>
  <c r="L7" i="38"/>
  <c r="K12" i="38"/>
  <c r="L7" i="29"/>
  <c r="K12" i="29"/>
  <c r="K12" i="28"/>
  <c r="L7" i="28"/>
  <c r="K12" i="19"/>
  <c r="L7" i="19"/>
  <c r="E9" i="20"/>
  <c r="E8" i="20"/>
  <c r="D209" i="20"/>
  <c r="X209" i="20"/>
  <c r="N196" i="20"/>
  <c r="N209" i="20"/>
  <c r="D156" i="20"/>
  <c r="D196" i="20"/>
  <c r="N53" i="20"/>
  <c r="N156" i="20"/>
  <c r="X53" i="20"/>
  <c r="X156" i="20"/>
  <c r="D53" i="20"/>
  <c r="X54" i="20"/>
  <c r="X107" i="20"/>
  <c r="N54" i="20"/>
  <c r="N107" i="20"/>
  <c r="D54" i="20"/>
  <c r="O1" i="20"/>
  <c r="Y1" i="20"/>
  <c r="D74" i="12"/>
  <c r="D83" i="12" s="1"/>
  <c r="D7" i="20"/>
  <c r="E1" i="20"/>
  <c r="K8" i="4" l="1"/>
  <c r="M7" i="53"/>
  <c r="L12" i="53"/>
  <c r="L12" i="54"/>
  <c r="M7" i="54"/>
  <c r="L12" i="48"/>
  <c r="M7" i="48"/>
  <c r="M7" i="46"/>
  <c r="L12" i="46"/>
  <c r="AK53" i="36"/>
  <c r="AK94" i="36" s="1"/>
  <c r="D39" i="42"/>
  <c r="D106" i="36"/>
  <c r="C40" i="38"/>
  <c r="AK55" i="36"/>
  <c r="AK90" i="36"/>
  <c r="D62" i="36"/>
  <c r="D60" i="36"/>
  <c r="K11" i="8"/>
  <c r="K9" i="4"/>
  <c r="F40" i="36"/>
  <c r="E42" i="36"/>
  <c r="D28" i="36"/>
  <c r="D84" i="36"/>
  <c r="D26" i="36"/>
  <c r="D87" i="36" s="1"/>
  <c r="I47" i="36"/>
  <c r="AL50" i="36"/>
  <c r="AL52" i="36" s="1"/>
  <c r="E39" i="42" s="1"/>
  <c r="D37" i="36"/>
  <c r="D81" i="36" s="1"/>
  <c r="D77" i="36"/>
  <c r="D39" i="36"/>
  <c r="AJ55" i="36"/>
  <c r="AJ53" i="36"/>
  <c r="AJ94" i="36" s="1"/>
  <c r="AJ90" i="36"/>
  <c r="AM51" i="36"/>
  <c r="AM48" i="36"/>
  <c r="AM49" i="36"/>
  <c r="AN47" i="36"/>
  <c r="AK40" i="36"/>
  <c r="AJ43" i="36"/>
  <c r="C38" i="42" s="1"/>
  <c r="AJ20" i="36"/>
  <c r="AJ25" i="36" s="1"/>
  <c r="C37" i="42" s="1"/>
  <c r="AJ56" i="36"/>
  <c r="AJ59" i="36" s="1"/>
  <c r="E33" i="36"/>
  <c r="E31" i="36"/>
  <c r="E34" i="36"/>
  <c r="E30" i="36"/>
  <c r="F29" i="36"/>
  <c r="D44" i="36"/>
  <c r="D97" i="36"/>
  <c r="D46" i="36"/>
  <c r="AK18" i="36"/>
  <c r="E19" i="36"/>
  <c r="E20" i="36" s="1"/>
  <c r="F18" i="36"/>
  <c r="E56" i="36"/>
  <c r="AJ36" i="36"/>
  <c r="C36" i="42" s="1"/>
  <c r="AK29" i="36"/>
  <c r="M7" i="29"/>
  <c r="L12" i="29"/>
  <c r="M7" i="38"/>
  <c r="L12" i="38"/>
  <c r="M7" i="28"/>
  <c r="L12" i="28"/>
  <c r="L12" i="19"/>
  <c r="M7" i="19"/>
  <c r="L12" i="42"/>
  <c r="M7" i="42"/>
  <c r="X208" i="20"/>
  <c r="D155" i="20"/>
  <c r="D208" i="20"/>
  <c r="N208" i="20"/>
  <c r="D106" i="20"/>
  <c r="X106" i="20"/>
  <c r="N106" i="20"/>
  <c r="N62" i="20"/>
  <c r="N64" i="20"/>
  <c r="N61" i="20"/>
  <c r="N63" i="20"/>
  <c r="D61" i="20"/>
  <c r="D63" i="20"/>
  <c r="D62" i="20"/>
  <c r="D64" i="20"/>
  <c r="X61" i="20"/>
  <c r="X63" i="20"/>
  <c r="X62" i="20"/>
  <c r="X64" i="20"/>
  <c r="F8" i="20"/>
  <c r="F9" i="20"/>
  <c r="D219" i="12"/>
  <c r="D230" i="12" s="1"/>
  <c r="D160" i="20"/>
  <c r="O196" i="20"/>
  <c r="O209" i="20"/>
  <c r="D159" i="20"/>
  <c r="Y156" i="20"/>
  <c r="Y155" i="20" s="1"/>
  <c r="Y209" i="20"/>
  <c r="E196" i="20"/>
  <c r="E209" i="20"/>
  <c r="X155" i="20"/>
  <c r="X159" i="20"/>
  <c r="X160" i="20"/>
  <c r="N155" i="20"/>
  <c r="N160" i="20"/>
  <c r="N159" i="20"/>
  <c r="O53" i="20"/>
  <c r="O156" i="20"/>
  <c r="E53" i="20"/>
  <c r="E156" i="20"/>
  <c r="D111" i="20"/>
  <c r="D110" i="20"/>
  <c r="Y107" i="20"/>
  <c r="Y53" i="20"/>
  <c r="X55" i="20"/>
  <c r="N111" i="20"/>
  <c r="N110" i="20"/>
  <c r="X110" i="20"/>
  <c r="D55" i="20"/>
  <c r="N55" i="20"/>
  <c r="E54" i="20"/>
  <c r="E107" i="20"/>
  <c r="O54" i="20"/>
  <c r="O107" i="20"/>
  <c r="Y54" i="20"/>
  <c r="Z1" i="20"/>
  <c r="P1" i="20"/>
  <c r="E7" i="20"/>
  <c r="F1" i="20"/>
  <c r="N7" i="46" l="1"/>
  <c r="M12" i="46"/>
  <c r="M12" i="48"/>
  <c r="N7" i="48"/>
  <c r="M12" i="54"/>
  <c r="N7" i="54"/>
  <c r="N7" i="53"/>
  <c r="M12" i="53"/>
  <c r="N58" i="48"/>
  <c r="N58" i="46"/>
  <c r="N58" i="42"/>
  <c r="N58" i="38"/>
  <c r="X60" i="48"/>
  <c r="X60" i="46"/>
  <c r="X60" i="42"/>
  <c r="X60" i="38"/>
  <c r="D60" i="48"/>
  <c r="D60" i="46"/>
  <c r="D60" i="42"/>
  <c r="D60" i="38"/>
  <c r="N61" i="48"/>
  <c r="N61" i="46"/>
  <c r="N61" i="42"/>
  <c r="N61" i="38"/>
  <c r="X59" i="48"/>
  <c r="X59" i="46"/>
  <c r="X59" i="42"/>
  <c r="X59" i="38"/>
  <c r="X58" i="48"/>
  <c r="X58" i="46"/>
  <c r="X58" i="42"/>
  <c r="X58" i="38"/>
  <c r="D58" i="48"/>
  <c r="D58" i="46"/>
  <c r="D58" i="42"/>
  <c r="D58" i="38"/>
  <c r="N59" i="48"/>
  <c r="N59" i="46"/>
  <c r="N59" i="42"/>
  <c r="N59" i="38"/>
  <c r="D59" i="48"/>
  <c r="D59" i="46"/>
  <c r="D59" i="42"/>
  <c r="D59" i="38"/>
  <c r="X61" i="48"/>
  <c r="X61" i="46"/>
  <c r="X61" i="42"/>
  <c r="X61" i="38"/>
  <c r="D61" i="48"/>
  <c r="D61" i="46"/>
  <c r="D61" i="42"/>
  <c r="D61" i="38"/>
  <c r="N60" i="46"/>
  <c r="N60" i="48"/>
  <c r="N60" i="42"/>
  <c r="N60" i="38"/>
  <c r="AJ106" i="36"/>
  <c r="C40" i="42"/>
  <c r="AJ60" i="36"/>
  <c r="AJ62" i="36"/>
  <c r="E35" i="36"/>
  <c r="AJ37" i="36"/>
  <c r="AJ81" i="36" s="1"/>
  <c r="AJ39" i="36"/>
  <c r="AJ77" i="36"/>
  <c r="AK19" i="36"/>
  <c r="AK20" i="36" s="1"/>
  <c r="AK56" i="36"/>
  <c r="G29" i="36"/>
  <c r="F30" i="36"/>
  <c r="F33" i="36"/>
  <c r="F31" i="36"/>
  <c r="F34" i="36"/>
  <c r="AJ44" i="36"/>
  <c r="AJ46" i="36"/>
  <c r="AJ97" i="36"/>
  <c r="AN48" i="36"/>
  <c r="AN49" i="36"/>
  <c r="AN51" i="36"/>
  <c r="AO47" i="36"/>
  <c r="E57" i="36"/>
  <c r="E58" i="36"/>
  <c r="AK42" i="36"/>
  <c r="AL40" i="36"/>
  <c r="AK41" i="36"/>
  <c r="AL90" i="36"/>
  <c r="AL55" i="36"/>
  <c r="AL53" i="36"/>
  <c r="AL94" i="36" s="1"/>
  <c r="AL18" i="36"/>
  <c r="G18" i="36"/>
  <c r="F19" i="36"/>
  <c r="F20" i="36" s="1"/>
  <c r="F56" i="36"/>
  <c r="AM50" i="36"/>
  <c r="AM52" i="36" s="1"/>
  <c r="F39" i="42" s="1"/>
  <c r="J47" i="36"/>
  <c r="AK34" i="36"/>
  <c r="AL29" i="36"/>
  <c r="AK31" i="36"/>
  <c r="AK33" i="36"/>
  <c r="AK30" i="36"/>
  <c r="E21" i="36"/>
  <c r="E22" i="36"/>
  <c r="AJ28" i="36"/>
  <c r="AJ84" i="36"/>
  <c r="AJ26" i="36"/>
  <c r="AJ87" i="36" s="1"/>
  <c r="G40" i="36"/>
  <c r="F42" i="36"/>
  <c r="M12" i="28"/>
  <c r="N7" i="28"/>
  <c r="M12" i="42"/>
  <c r="N7" i="42"/>
  <c r="N7" i="19"/>
  <c r="M12" i="19"/>
  <c r="N7" i="38"/>
  <c r="M12" i="38"/>
  <c r="N7" i="29"/>
  <c r="M12" i="29"/>
  <c r="E208" i="20"/>
  <c r="Y208" i="20"/>
  <c r="O208" i="20"/>
  <c r="D166" i="20"/>
  <c r="Y106" i="20"/>
  <c r="O106" i="20"/>
  <c r="E106" i="20"/>
  <c r="O61" i="20"/>
  <c r="O63" i="20"/>
  <c r="O62" i="20"/>
  <c r="O64" i="20"/>
  <c r="Y62" i="20"/>
  <c r="Y64" i="20"/>
  <c r="Y61" i="20"/>
  <c r="Y63" i="20"/>
  <c r="E62" i="20"/>
  <c r="E64" i="20"/>
  <c r="E61" i="20"/>
  <c r="E63" i="20"/>
  <c r="D167" i="20"/>
  <c r="G9" i="20"/>
  <c r="G8" i="20"/>
  <c r="F209" i="20"/>
  <c r="Y159" i="20"/>
  <c r="P196" i="20"/>
  <c r="P209" i="20"/>
  <c r="Y160" i="20"/>
  <c r="Y166" i="20" s="1"/>
  <c r="Z156" i="20"/>
  <c r="Z159" i="20" s="1"/>
  <c r="Z209" i="20"/>
  <c r="F156" i="20"/>
  <c r="F155" i="20" s="1"/>
  <c r="F196" i="20"/>
  <c r="X167" i="20"/>
  <c r="X166" i="20"/>
  <c r="N167" i="20"/>
  <c r="N166" i="20"/>
  <c r="O155" i="20"/>
  <c r="O159" i="20"/>
  <c r="O160" i="20"/>
  <c r="E155" i="20"/>
  <c r="E160" i="20"/>
  <c r="E159" i="20"/>
  <c r="P53" i="20"/>
  <c r="P156" i="20"/>
  <c r="N119" i="20"/>
  <c r="N120" i="20"/>
  <c r="N118" i="20"/>
  <c r="D120" i="20"/>
  <c r="D119" i="20"/>
  <c r="D118" i="20"/>
  <c r="E55" i="20"/>
  <c r="E52" i="20" s="1"/>
  <c r="O55" i="20"/>
  <c r="Y110" i="20"/>
  <c r="N52" i="20"/>
  <c r="X52" i="20"/>
  <c r="D52" i="20"/>
  <c r="Z107" i="20"/>
  <c r="Z53" i="20"/>
  <c r="F107" i="20"/>
  <c r="F53" i="20"/>
  <c r="E111" i="20"/>
  <c r="E110" i="20"/>
  <c r="O111" i="20"/>
  <c r="O110" i="20"/>
  <c r="P54" i="20"/>
  <c r="P107" i="20"/>
  <c r="Y55" i="20"/>
  <c r="Z54" i="20"/>
  <c r="F54" i="20"/>
  <c r="AA1" i="20"/>
  <c r="Q1" i="20"/>
  <c r="F7" i="20"/>
  <c r="G1" i="20"/>
  <c r="O18" i="2"/>
  <c r="D7" i="13"/>
  <c r="E7" i="13"/>
  <c r="O7" i="53" l="1"/>
  <c r="N12" i="53"/>
  <c r="N12" i="54"/>
  <c r="O7" i="54"/>
  <c r="O7" i="48"/>
  <c r="N12" i="48"/>
  <c r="N12" i="46"/>
  <c r="O7" i="46"/>
  <c r="E61" i="48"/>
  <c r="E61" i="46"/>
  <c r="E61" i="42"/>
  <c r="E61" i="38"/>
  <c r="O58" i="48"/>
  <c r="O58" i="46"/>
  <c r="O58" i="42"/>
  <c r="O58" i="38"/>
  <c r="Y61" i="48"/>
  <c r="Y61" i="46"/>
  <c r="Y61" i="42"/>
  <c r="Y61" i="38"/>
  <c r="E59" i="48"/>
  <c r="E59" i="46"/>
  <c r="E59" i="42"/>
  <c r="E59" i="38"/>
  <c r="E60" i="48"/>
  <c r="E60" i="46"/>
  <c r="E60" i="42"/>
  <c r="E60" i="38"/>
  <c r="Y60" i="48"/>
  <c r="Y60" i="46"/>
  <c r="Y60" i="42"/>
  <c r="Y60" i="38"/>
  <c r="O61" i="46"/>
  <c r="O61" i="48"/>
  <c r="O61" i="42"/>
  <c r="O61" i="38"/>
  <c r="O60" i="48"/>
  <c r="O60" i="46"/>
  <c r="O60" i="42"/>
  <c r="O60" i="38"/>
  <c r="Y59" i="48"/>
  <c r="Y59" i="46"/>
  <c r="Y59" i="42"/>
  <c r="Y59" i="38"/>
  <c r="E58" i="48"/>
  <c r="E58" i="46"/>
  <c r="E58" i="42"/>
  <c r="E58" i="38"/>
  <c r="Y58" i="48"/>
  <c r="Y58" i="46"/>
  <c r="Y58" i="42"/>
  <c r="Y58" i="38"/>
  <c r="O59" i="48"/>
  <c r="O59" i="46"/>
  <c r="O59" i="42"/>
  <c r="O59" i="38"/>
  <c r="F35" i="36"/>
  <c r="AJ73" i="36"/>
  <c r="AJ75" i="36"/>
  <c r="AK35" i="36"/>
  <c r="E23" i="36"/>
  <c r="E25" i="36" s="1"/>
  <c r="E26" i="36" s="1"/>
  <c r="E87" i="36" s="1"/>
  <c r="AK32" i="36"/>
  <c r="F58" i="36"/>
  <c r="F57" i="36"/>
  <c r="AK43" i="36"/>
  <c r="D38" i="42" s="1"/>
  <c r="AO49" i="36"/>
  <c r="AP47" i="36"/>
  <c r="AO48" i="36"/>
  <c r="AO51" i="36"/>
  <c r="H40" i="36"/>
  <c r="G42" i="36"/>
  <c r="AM29" i="36"/>
  <c r="AL33" i="36"/>
  <c r="AL34" i="36"/>
  <c r="AL30" i="36"/>
  <c r="AL31" i="36"/>
  <c r="AL41" i="36"/>
  <c r="AM40" i="36"/>
  <c r="AL42" i="36"/>
  <c r="AK58" i="36"/>
  <c r="AK57" i="36"/>
  <c r="K47" i="36"/>
  <c r="G19" i="36"/>
  <c r="G20" i="36" s="1"/>
  <c r="H18" i="36"/>
  <c r="AM18" i="36"/>
  <c r="G56" i="36"/>
  <c r="E59" i="36"/>
  <c r="D40" i="38" s="1"/>
  <c r="AK21" i="36"/>
  <c r="AK22" i="36"/>
  <c r="AM90" i="36"/>
  <c r="AM53" i="36"/>
  <c r="AM94" i="36" s="1"/>
  <c r="AM55" i="36"/>
  <c r="F21" i="36"/>
  <c r="F22" i="36"/>
  <c r="AL19" i="36"/>
  <c r="AL20" i="36" s="1"/>
  <c r="AL56" i="36"/>
  <c r="AN50" i="36"/>
  <c r="AN52" i="36" s="1"/>
  <c r="G39" i="42" s="1"/>
  <c r="H29" i="36"/>
  <c r="G30" i="36"/>
  <c r="G33" i="36"/>
  <c r="G34" i="36"/>
  <c r="G31" i="36"/>
  <c r="O7" i="19"/>
  <c r="N12" i="19"/>
  <c r="O7" i="38"/>
  <c r="N12" i="38"/>
  <c r="O7" i="42"/>
  <c r="N12" i="42"/>
  <c r="N12" i="28"/>
  <c r="O7" i="28"/>
  <c r="O7" i="29"/>
  <c r="N12" i="29"/>
  <c r="P208" i="20"/>
  <c r="Z208" i="20"/>
  <c r="F208" i="20"/>
  <c r="P106" i="20"/>
  <c r="Z106" i="20"/>
  <c r="F111" i="20"/>
  <c r="F119" i="20" s="1"/>
  <c r="F62" i="20"/>
  <c r="F64" i="20"/>
  <c r="F61" i="20"/>
  <c r="F63" i="20"/>
  <c r="P61" i="20"/>
  <c r="P63" i="20"/>
  <c r="P62" i="20"/>
  <c r="P64" i="20"/>
  <c r="Z62" i="20"/>
  <c r="Z64" i="20"/>
  <c r="Z61" i="20"/>
  <c r="Z63" i="20"/>
  <c r="H8" i="20"/>
  <c r="H9" i="20"/>
  <c r="G209" i="20"/>
  <c r="F160" i="20"/>
  <c r="F167" i="20" s="1"/>
  <c r="Y167" i="20"/>
  <c r="Z155" i="20"/>
  <c r="F159" i="20"/>
  <c r="Z160" i="20"/>
  <c r="Z167" i="20" s="1"/>
  <c r="Q196" i="20"/>
  <c r="Q209" i="20"/>
  <c r="AA156" i="20"/>
  <c r="AA159" i="20" s="1"/>
  <c r="AA209" i="20"/>
  <c r="G156" i="20"/>
  <c r="G155" i="20" s="1"/>
  <c r="G196" i="20"/>
  <c r="E167" i="20"/>
  <c r="E166" i="20"/>
  <c r="O167" i="20"/>
  <c r="O166" i="20"/>
  <c r="P155" i="20"/>
  <c r="P159" i="20"/>
  <c r="P160" i="20"/>
  <c r="Q53" i="20"/>
  <c r="Q156" i="20"/>
  <c r="P55" i="20"/>
  <c r="Z110" i="20"/>
  <c r="O52" i="20"/>
  <c r="O119" i="20"/>
  <c r="O120" i="20"/>
  <c r="O118" i="20"/>
  <c r="E120" i="20"/>
  <c r="E119" i="20"/>
  <c r="E118" i="20"/>
  <c r="Y52" i="20"/>
  <c r="F110" i="20"/>
  <c r="F106" i="20"/>
  <c r="G107" i="20"/>
  <c r="G53" i="20"/>
  <c r="AA107" i="20"/>
  <c r="AA53" i="20"/>
  <c r="P110" i="20"/>
  <c r="P111" i="20"/>
  <c r="Q54" i="20"/>
  <c r="Q107" i="20"/>
  <c r="F55" i="20"/>
  <c r="Z55" i="20"/>
  <c r="AA54" i="20"/>
  <c r="G54" i="20"/>
  <c r="AB1" i="20"/>
  <c r="R1" i="20"/>
  <c r="H1" i="20"/>
  <c r="G7" i="20"/>
  <c r="O12" i="46" l="1"/>
  <c r="P7" i="46"/>
  <c r="O12" i="48"/>
  <c r="P7" i="48"/>
  <c r="O12" i="54"/>
  <c r="P7" i="54"/>
  <c r="O12" i="53"/>
  <c r="P7" i="53"/>
  <c r="Z59" i="48"/>
  <c r="Z59" i="46"/>
  <c r="Z59" i="42"/>
  <c r="Z59" i="38"/>
  <c r="F59" i="48"/>
  <c r="F59" i="46"/>
  <c r="F59" i="42"/>
  <c r="F59" i="38"/>
  <c r="P61" i="48"/>
  <c r="P61" i="46"/>
  <c r="P61" i="42"/>
  <c r="P61" i="38"/>
  <c r="Z58" i="48"/>
  <c r="Z58" i="46"/>
  <c r="Z58" i="42"/>
  <c r="Z58" i="38"/>
  <c r="P59" i="48"/>
  <c r="P59" i="46"/>
  <c r="P59" i="42"/>
  <c r="P59" i="38"/>
  <c r="F58" i="48"/>
  <c r="F58" i="46"/>
  <c r="F58" i="42"/>
  <c r="F58" i="38"/>
  <c r="P58" i="46"/>
  <c r="P58" i="48"/>
  <c r="P58" i="42"/>
  <c r="P58" i="38"/>
  <c r="Z60" i="48"/>
  <c r="Z60" i="46"/>
  <c r="Z60" i="42"/>
  <c r="Z60" i="38"/>
  <c r="F60" i="48"/>
  <c r="F60" i="46"/>
  <c r="F60" i="42"/>
  <c r="F60" i="38"/>
  <c r="Z61" i="48"/>
  <c r="Z61" i="46"/>
  <c r="Z61" i="42"/>
  <c r="Z61" i="38"/>
  <c r="P60" i="48"/>
  <c r="P60" i="46"/>
  <c r="P60" i="42"/>
  <c r="P60" i="38"/>
  <c r="F61" i="48"/>
  <c r="F61" i="46"/>
  <c r="F61" i="42"/>
  <c r="F61" i="38"/>
  <c r="E84" i="36"/>
  <c r="D37" i="38"/>
  <c r="E28" i="36"/>
  <c r="F23" i="36"/>
  <c r="F25" i="36" s="1"/>
  <c r="G35" i="36"/>
  <c r="AK70" i="36"/>
  <c r="AL32" i="36"/>
  <c r="AK36" i="36"/>
  <c r="D36" i="42" s="1"/>
  <c r="AK23" i="36"/>
  <c r="AK69" i="36" s="1"/>
  <c r="AL43" i="36"/>
  <c r="E38" i="42" s="1"/>
  <c r="AL35" i="36"/>
  <c r="G58" i="36"/>
  <c r="G57" i="36"/>
  <c r="AM42" i="36"/>
  <c r="AM41" i="36"/>
  <c r="AN40" i="36"/>
  <c r="AP48" i="36"/>
  <c r="AQ47" i="36"/>
  <c r="AP49" i="36"/>
  <c r="AP51" i="36"/>
  <c r="F59" i="36"/>
  <c r="E40" i="38" s="1"/>
  <c r="H33" i="36"/>
  <c r="H34" i="36"/>
  <c r="H31" i="36"/>
  <c r="I29" i="36"/>
  <c r="H30" i="36"/>
  <c r="AL21" i="36"/>
  <c r="AL22" i="36"/>
  <c r="E62" i="36"/>
  <c r="E60" i="36"/>
  <c r="AM19" i="36"/>
  <c r="AM20" i="36" s="1"/>
  <c r="AM56" i="36"/>
  <c r="AN90" i="36"/>
  <c r="AN53" i="36"/>
  <c r="AN94" i="36" s="1"/>
  <c r="AN55" i="36"/>
  <c r="AL57" i="36"/>
  <c r="AL58" i="36"/>
  <c r="I18" i="36"/>
  <c r="H19" i="36"/>
  <c r="H20" i="36" s="1"/>
  <c r="AN18" i="36"/>
  <c r="H56" i="36"/>
  <c r="AK59" i="36"/>
  <c r="D40" i="42" s="1"/>
  <c r="AM30" i="36"/>
  <c r="AM31" i="36"/>
  <c r="AM33" i="36"/>
  <c r="AN29" i="36"/>
  <c r="AM34" i="36"/>
  <c r="I40" i="36"/>
  <c r="H42" i="36"/>
  <c r="G22" i="36"/>
  <c r="G21" i="36"/>
  <c r="L47" i="36"/>
  <c r="AO50" i="36"/>
  <c r="AO52" i="36" s="1"/>
  <c r="H39" i="42" s="1"/>
  <c r="AK97" i="36"/>
  <c r="AK46" i="36"/>
  <c r="AK44" i="36"/>
  <c r="P7" i="29"/>
  <c r="O12" i="29"/>
  <c r="P7" i="38"/>
  <c r="O12" i="38"/>
  <c r="O12" i="28"/>
  <c r="P7" i="28"/>
  <c r="P7" i="42"/>
  <c r="O12" i="42"/>
  <c r="O12" i="19"/>
  <c r="P7" i="19"/>
  <c r="AA208" i="20"/>
  <c r="G208" i="20"/>
  <c r="Q208" i="20"/>
  <c r="F120" i="20"/>
  <c r="F118" i="20"/>
  <c r="Q106" i="20"/>
  <c r="G62" i="20"/>
  <c r="G64" i="20"/>
  <c r="G63" i="20"/>
  <c r="G61" i="20"/>
  <c r="AA63" i="20"/>
  <c r="AA62" i="20"/>
  <c r="AA64" i="20"/>
  <c r="AA61" i="20"/>
  <c r="Q62" i="20"/>
  <c r="Q61" i="20"/>
  <c r="Q63" i="20"/>
  <c r="Q64" i="20"/>
  <c r="I9" i="20"/>
  <c r="I8" i="20"/>
  <c r="AB209" i="20"/>
  <c r="H209" i="20"/>
  <c r="F166" i="20"/>
  <c r="AA155" i="20"/>
  <c r="Z166" i="20"/>
  <c r="G160" i="20"/>
  <c r="G166" i="20" s="1"/>
  <c r="G159" i="20"/>
  <c r="R196" i="20"/>
  <c r="R209" i="20"/>
  <c r="AA160" i="20"/>
  <c r="AA167" i="20" s="1"/>
  <c r="H156" i="20"/>
  <c r="H159" i="20" s="1"/>
  <c r="H196" i="20"/>
  <c r="P167" i="20"/>
  <c r="P166" i="20"/>
  <c r="Q155" i="20"/>
  <c r="Q160" i="20"/>
  <c r="Q159" i="20"/>
  <c r="P52" i="20"/>
  <c r="AB53" i="20"/>
  <c r="AB156" i="20"/>
  <c r="R53" i="20"/>
  <c r="R156" i="20"/>
  <c r="P120" i="20"/>
  <c r="P119" i="20"/>
  <c r="P118" i="20"/>
  <c r="F52" i="20"/>
  <c r="G111" i="20"/>
  <c r="G106" i="20"/>
  <c r="Z52" i="20"/>
  <c r="G110" i="20"/>
  <c r="AA110" i="20"/>
  <c r="AA106" i="20"/>
  <c r="H107" i="20"/>
  <c r="H53" i="20"/>
  <c r="Q55" i="20"/>
  <c r="Q110" i="20"/>
  <c r="Q111" i="20"/>
  <c r="AC1" i="20"/>
  <c r="G55" i="20"/>
  <c r="R54" i="20"/>
  <c r="R107" i="20"/>
  <c r="AB107" i="20"/>
  <c r="AA55" i="20"/>
  <c r="AB54" i="20"/>
  <c r="H54" i="20"/>
  <c r="S1" i="20"/>
  <c r="D10" i="20"/>
  <c r="D11" i="20"/>
  <c r="H7" i="20"/>
  <c r="I1" i="20"/>
  <c r="P12" i="53" l="1"/>
  <c r="Q7" i="53"/>
  <c r="Q7" i="54"/>
  <c r="P12" i="54"/>
  <c r="P12" i="48"/>
  <c r="Q7" i="48"/>
  <c r="P12" i="46"/>
  <c r="Q7" i="46"/>
  <c r="G58" i="48"/>
  <c r="G58" i="46"/>
  <c r="G58" i="42"/>
  <c r="G58" i="38"/>
  <c r="G60" i="48"/>
  <c r="G60" i="46"/>
  <c r="G60" i="42"/>
  <c r="G60" i="38"/>
  <c r="Q61" i="48"/>
  <c r="Q61" i="46"/>
  <c r="Q61" i="42"/>
  <c r="Q61" i="38"/>
  <c r="AA58" i="48"/>
  <c r="AA58" i="46"/>
  <c r="AA58" i="42"/>
  <c r="AA58" i="38"/>
  <c r="Q60" i="48"/>
  <c r="Q60" i="46"/>
  <c r="Q60" i="42"/>
  <c r="Q60" i="38"/>
  <c r="AA61" i="48"/>
  <c r="AA61" i="46"/>
  <c r="AA61" i="42"/>
  <c r="AA61" i="38"/>
  <c r="Q58" i="48"/>
  <c r="Q58" i="46"/>
  <c r="Q58" i="42"/>
  <c r="Q58" i="38"/>
  <c r="AA59" i="48"/>
  <c r="AA59" i="46"/>
  <c r="AA59" i="42"/>
  <c r="AA59" i="38"/>
  <c r="G61" i="48"/>
  <c r="G61" i="46"/>
  <c r="G61" i="42"/>
  <c r="G61" i="38"/>
  <c r="Q59" i="48"/>
  <c r="Q59" i="46"/>
  <c r="Q59" i="42"/>
  <c r="Q59" i="38"/>
  <c r="AA60" i="48"/>
  <c r="AA60" i="46"/>
  <c r="AA60" i="42"/>
  <c r="AA60" i="38"/>
  <c r="G59" i="48"/>
  <c r="G59" i="46"/>
  <c r="G59" i="42"/>
  <c r="G59" i="38"/>
  <c r="F28" i="36"/>
  <c r="E37" i="38"/>
  <c r="F84" i="36"/>
  <c r="AL70" i="36"/>
  <c r="AP50" i="36"/>
  <c r="AP52" i="36" s="1"/>
  <c r="I39" i="42" s="1"/>
  <c r="AL23" i="36"/>
  <c r="AL25" i="36" s="1"/>
  <c r="E37" i="42" s="1"/>
  <c r="F26" i="36"/>
  <c r="F87" i="36" s="1"/>
  <c r="AK25" i="36"/>
  <c r="D37" i="42" s="1"/>
  <c r="AL59" i="36"/>
  <c r="E40" i="42" s="1"/>
  <c r="H35" i="36"/>
  <c r="AL36" i="36"/>
  <c r="E36" i="42" s="1"/>
  <c r="AM35" i="36"/>
  <c r="AK37" i="36"/>
  <c r="AK81" i="36" s="1"/>
  <c r="AK39" i="36"/>
  <c r="AK77" i="36"/>
  <c r="AL97" i="36"/>
  <c r="AL44" i="36"/>
  <c r="AL46" i="36"/>
  <c r="AM32" i="36"/>
  <c r="G23" i="36"/>
  <c r="G25" i="36" s="1"/>
  <c r="AO40" i="36"/>
  <c r="AN42" i="36"/>
  <c r="AN41" i="36"/>
  <c r="AO90" i="36"/>
  <c r="AO53" i="36"/>
  <c r="AO94" i="36" s="1"/>
  <c r="AO55" i="36"/>
  <c r="M47" i="36"/>
  <c r="H21" i="36"/>
  <c r="H22" i="36"/>
  <c r="AO18" i="36"/>
  <c r="J18" i="36"/>
  <c r="I19" i="36"/>
  <c r="I20" i="36" s="1"/>
  <c r="I56" i="36"/>
  <c r="J29" i="36"/>
  <c r="I33" i="36"/>
  <c r="I31" i="36"/>
  <c r="I30" i="36"/>
  <c r="I34" i="36"/>
  <c r="AM43" i="36"/>
  <c r="F38" i="42" s="1"/>
  <c r="H58" i="36"/>
  <c r="H57" i="36"/>
  <c r="AM21" i="36"/>
  <c r="AM22" i="36"/>
  <c r="AQ49" i="36"/>
  <c r="AR47" i="36"/>
  <c r="AQ51" i="36"/>
  <c r="AQ48" i="36"/>
  <c r="J40" i="36"/>
  <c r="I42" i="36"/>
  <c r="AN30" i="36"/>
  <c r="AN31" i="36"/>
  <c r="AO29" i="36"/>
  <c r="AN34" i="36"/>
  <c r="AN33" i="36"/>
  <c r="AK60" i="36"/>
  <c r="AK62" i="36"/>
  <c r="AN19" i="36"/>
  <c r="AN20" i="36" s="1"/>
  <c r="AN56" i="36"/>
  <c r="AM57" i="36"/>
  <c r="AM58" i="36"/>
  <c r="F62" i="36"/>
  <c r="F60" i="36"/>
  <c r="G59" i="36"/>
  <c r="F40" i="38" s="1"/>
  <c r="P12" i="42"/>
  <c r="Q7" i="42"/>
  <c r="P12" i="28"/>
  <c r="Q7" i="28"/>
  <c r="Q7" i="38"/>
  <c r="P12" i="38"/>
  <c r="P12" i="19"/>
  <c r="Q7" i="19"/>
  <c r="Q7" i="29"/>
  <c r="P12" i="29"/>
  <c r="AL84" i="36"/>
  <c r="H208" i="20"/>
  <c r="R208" i="20"/>
  <c r="AB208" i="20"/>
  <c r="R106" i="20"/>
  <c r="AB106" i="20"/>
  <c r="H61" i="20"/>
  <c r="H63" i="20"/>
  <c r="H62" i="20"/>
  <c r="H64" i="20"/>
  <c r="AB61" i="20"/>
  <c r="AB63" i="20"/>
  <c r="AB62" i="20"/>
  <c r="AB64" i="20"/>
  <c r="R62" i="20"/>
  <c r="R64" i="20"/>
  <c r="R61" i="20"/>
  <c r="R63" i="20"/>
  <c r="J8" i="20"/>
  <c r="J9" i="20"/>
  <c r="I209" i="20"/>
  <c r="G167" i="20"/>
  <c r="H155" i="20"/>
  <c r="AA166" i="20"/>
  <c r="S196" i="20"/>
  <c r="S209" i="20"/>
  <c r="H160" i="20"/>
  <c r="H167" i="20" s="1"/>
  <c r="AC156" i="20"/>
  <c r="AC155" i="20" s="1"/>
  <c r="AC209" i="20"/>
  <c r="I156" i="20"/>
  <c r="I159" i="20" s="1"/>
  <c r="I196" i="20"/>
  <c r="Q167" i="20"/>
  <c r="Q166" i="20"/>
  <c r="R155" i="20"/>
  <c r="R159" i="20"/>
  <c r="R160" i="20"/>
  <c r="AB155" i="20"/>
  <c r="AB159" i="20"/>
  <c r="AB160" i="20"/>
  <c r="S53" i="20"/>
  <c r="S156" i="20"/>
  <c r="G119" i="20"/>
  <c r="G120" i="20"/>
  <c r="G118" i="20"/>
  <c r="Q120" i="20"/>
  <c r="Q119" i="20"/>
  <c r="Q118" i="20"/>
  <c r="H110" i="20"/>
  <c r="H106" i="20"/>
  <c r="Q52" i="20"/>
  <c r="G52" i="20"/>
  <c r="AA52" i="20"/>
  <c r="H55" i="20"/>
  <c r="H111" i="20"/>
  <c r="I107" i="20"/>
  <c r="I53" i="20"/>
  <c r="AC107" i="20"/>
  <c r="AC53" i="20"/>
  <c r="AB110" i="20"/>
  <c r="R111" i="20"/>
  <c r="R110" i="20"/>
  <c r="AD1" i="20"/>
  <c r="AC54" i="20"/>
  <c r="R55" i="20"/>
  <c r="S54" i="20"/>
  <c r="S107" i="20"/>
  <c r="AB55" i="20"/>
  <c r="I54" i="20"/>
  <c r="T1" i="20"/>
  <c r="E11" i="20"/>
  <c r="E10" i="20"/>
  <c r="D12" i="20"/>
  <c r="J1" i="20"/>
  <c r="I7" i="20"/>
  <c r="AM36" i="36" l="1"/>
  <c r="AM77" i="36" s="1"/>
  <c r="R7" i="46"/>
  <c r="Q12" i="46"/>
  <c r="Q12" i="48"/>
  <c r="R7" i="48"/>
  <c r="R7" i="54"/>
  <c r="Q12" i="54"/>
  <c r="Q12" i="53"/>
  <c r="R7" i="53"/>
  <c r="AM70" i="36"/>
  <c r="AL69" i="36"/>
  <c r="AB59" i="48"/>
  <c r="AB59" i="46"/>
  <c r="AB59" i="42"/>
  <c r="AB59" i="38"/>
  <c r="R61" i="48"/>
  <c r="R61" i="46"/>
  <c r="R61" i="42"/>
  <c r="R61" i="38"/>
  <c r="AB60" i="48"/>
  <c r="AB60" i="46"/>
  <c r="AB60" i="42"/>
  <c r="AB60" i="38"/>
  <c r="H60" i="48"/>
  <c r="H60" i="46"/>
  <c r="H60" i="42"/>
  <c r="H60" i="38"/>
  <c r="R58" i="48"/>
  <c r="R58" i="46"/>
  <c r="R58" i="42"/>
  <c r="R58" i="38"/>
  <c r="H59" i="48"/>
  <c r="H59" i="46"/>
  <c r="H59" i="42"/>
  <c r="H59" i="38"/>
  <c r="R59" i="48"/>
  <c r="R59" i="46"/>
  <c r="R59" i="42"/>
  <c r="R59" i="38"/>
  <c r="AB58" i="48"/>
  <c r="AB58" i="46"/>
  <c r="AB58" i="42"/>
  <c r="AB58" i="38"/>
  <c r="H58" i="48"/>
  <c r="H58" i="46"/>
  <c r="H58" i="42"/>
  <c r="H58" i="38"/>
  <c r="R60" i="48"/>
  <c r="R60" i="46"/>
  <c r="R60" i="42"/>
  <c r="R60" i="38"/>
  <c r="AB61" i="48"/>
  <c r="AB61" i="46"/>
  <c r="AB61" i="42"/>
  <c r="AB61" i="38"/>
  <c r="H61" i="48"/>
  <c r="H61" i="46"/>
  <c r="H61" i="42"/>
  <c r="H61" i="38"/>
  <c r="AM39" i="36"/>
  <c r="F36" i="42"/>
  <c r="AK84" i="36"/>
  <c r="AK26" i="36"/>
  <c r="AK87" i="36" s="1"/>
  <c r="AM37" i="36"/>
  <c r="AM81" i="36" s="1"/>
  <c r="AK28" i="36"/>
  <c r="G26" i="36"/>
  <c r="G87" i="36" s="1"/>
  <c r="F37" i="38"/>
  <c r="AQ50" i="36"/>
  <c r="AQ52" i="36" s="1"/>
  <c r="H59" i="36"/>
  <c r="AL28" i="36"/>
  <c r="AL26" i="36"/>
  <c r="AL87" i="36" s="1"/>
  <c r="G84" i="36"/>
  <c r="AL60" i="36"/>
  <c r="AL62" i="36"/>
  <c r="G28" i="36"/>
  <c r="H23" i="36"/>
  <c r="H25" i="36" s="1"/>
  <c r="AM23" i="36"/>
  <c r="AM25" i="36" s="1"/>
  <c r="AN43" i="36"/>
  <c r="I35" i="36"/>
  <c r="AN32" i="36"/>
  <c r="AL37" i="36"/>
  <c r="AL81" i="36" s="1"/>
  <c r="AL39" i="36"/>
  <c r="AL77" i="36"/>
  <c r="AN35" i="36"/>
  <c r="AN58" i="36"/>
  <c r="AN57" i="36"/>
  <c r="AP90" i="36"/>
  <c r="AP53" i="36"/>
  <c r="AP94" i="36" s="1"/>
  <c r="AP55" i="36"/>
  <c r="AM59" i="36"/>
  <c r="F40" i="42" s="1"/>
  <c r="K40" i="36"/>
  <c r="J42" i="36"/>
  <c r="J34" i="36"/>
  <c r="J31" i="36"/>
  <c r="J33" i="36"/>
  <c r="J30" i="36"/>
  <c r="K29" i="36"/>
  <c r="AP18" i="36"/>
  <c r="J19" i="36"/>
  <c r="J20" i="36" s="1"/>
  <c r="K18" i="36"/>
  <c r="J56" i="36"/>
  <c r="AM46" i="36"/>
  <c r="AM44" i="36"/>
  <c r="AM97" i="36"/>
  <c r="I22" i="36"/>
  <c r="I21" i="36"/>
  <c r="AO19" i="36"/>
  <c r="AO20" i="36" s="1"/>
  <c r="AO56" i="36"/>
  <c r="AN22" i="36"/>
  <c r="AN21" i="36"/>
  <c r="I58" i="36"/>
  <c r="I57" i="36"/>
  <c r="N47" i="36"/>
  <c r="G60" i="36"/>
  <c r="G62" i="36"/>
  <c r="AO33" i="36"/>
  <c r="AO31" i="36"/>
  <c r="AP29" i="36"/>
  <c r="AO34" i="36"/>
  <c r="AO30" i="36"/>
  <c r="AR49" i="36"/>
  <c r="AR51" i="36"/>
  <c r="AS47" i="36"/>
  <c r="AR48" i="36"/>
  <c r="H60" i="36"/>
  <c r="AO41" i="36"/>
  <c r="AO42" i="36"/>
  <c r="AP40" i="36"/>
  <c r="R7" i="29"/>
  <c r="Q12" i="29"/>
  <c r="Q12" i="19"/>
  <c r="R7" i="19"/>
  <c r="R7" i="38"/>
  <c r="Q12" i="38"/>
  <c r="Q12" i="42"/>
  <c r="R7" i="42"/>
  <c r="Q12" i="28"/>
  <c r="R7" i="28"/>
  <c r="S208" i="20"/>
  <c r="AC208" i="20"/>
  <c r="I208" i="20"/>
  <c r="AC106" i="20"/>
  <c r="I106" i="20"/>
  <c r="S106" i="20"/>
  <c r="S62" i="20"/>
  <c r="S64" i="20"/>
  <c r="S63" i="20"/>
  <c r="S61" i="20"/>
  <c r="I61" i="20"/>
  <c r="I63" i="20"/>
  <c r="I62" i="20"/>
  <c r="I64" i="20"/>
  <c r="AC61" i="20"/>
  <c r="AC63" i="20"/>
  <c r="AC62" i="20"/>
  <c r="AC64" i="20"/>
  <c r="K9" i="20"/>
  <c r="K8" i="20"/>
  <c r="AD209" i="20"/>
  <c r="J209" i="20"/>
  <c r="AC159" i="20"/>
  <c r="I155" i="20"/>
  <c r="H166" i="20"/>
  <c r="I160" i="20"/>
  <c r="I167" i="20" s="1"/>
  <c r="T196" i="20"/>
  <c r="T209" i="20"/>
  <c r="AC160" i="20"/>
  <c r="AC166" i="20" s="1"/>
  <c r="J156" i="20"/>
  <c r="J155" i="20" s="1"/>
  <c r="J196" i="20"/>
  <c r="R167" i="20"/>
  <c r="R166" i="20"/>
  <c r="AB167" i="20"/>
  <c r="AB166" i="20"/>
  <c r="S155" i="20"/>
  <c r="S159" i="20"/>
  <c r="S160" i="20"/>
  <c r="AE1" i="20"/>
  <c r="AE54" i="20" s="1"/>
  <c r="AD156" i="20"/>
  <c r="T53" i="20"/>
  <c r="T156" i="20"/>
  <c r="I110" i="20"/>
  <c r="H120" i="20"/>
  <c r="H119" i="20"/>
  <c r="H118" i="20"/>
  <c r="R119" i="20"/>
  <c r="R120" i="20"/>
  <c r="R118" i="20"/>
  <c r="I111" i="20"/>
  <c r="AC110" i="20"/>
  <c r="AB52" i="20"/>
  <c r="R52" i="20"/>
  <c r="H52" i="20"/>
  <c r="AC55" i="20"/>
  <c r="AD107" i="20"/>
  <c r="AD53" i="20"/>
  <c r="J107" i="20"/>
  <c r="J53" i="20"/>
  <c r="S111" i="20"/>
  <c r="S110" i="20"/>
  <c r="I55" i="20"/>
  <c r="S55" i="20"/>
  <c r="AD54" i="20"/>
  <c r="T54" i="20"/>
  <c r="T107" i="20"/>
  <c r="J54" i="20"/>
  <c r="U1" i="20"/>
  <c r="F11" i="20"/>
  <c r="F10" i="20"/>
  <c r="E12" i="20"/>
  <c r="J7" i="20"/>
  <c r="K1" i="20"/>
  <c r="S7" i="53" l="1"/>
  <c r="R12" i="53"/>
  <c r="R12" i="54"/>
  <c r="S7" i="54"/>
  <c r="R12" i="48"/>
  <c r="S7" i="48"/>
  <c r="S7" i="46"/>
  <c r="R12" i="46"/>
  <c r="AN36" i="36"/>
  <c r="G36" i="42" s="1"/>
  <c r="AC59" i="46"/>
  <c r="AC59" i="48"/>
  <c r="AC59" i="42"/>
  <c r="AC59" i="38"/>
  <c r="S60" i="48"/>
  <c r="S60" i="46"/>
  <c r="S60" i="42"/>
  <c r="S60" i="38"/>
  <c r="AC60" i="48"/>
  <c r="AC60" i="46"/>
  <c r="AC60" i="42"/>
  <c r="AC60" i="38"/>
  <c r="S61" i="48"/>
  <c r="S61" i="46"/>
  <c r="S61" i="42"/>
  <c r="S61" i="38"/>
  <c r="AC58" i="48"/>
  <c r="AC58" i="46"/>
  <c r="AC58" i="42"/>
  <c r="AC58" i="38"/>
  <c r="I58" i="48"/>
  <c r="I58" i="46"/>
  <c r="I58" i="42"/>
  <c r="I58" i="38"/>
  <c r="S59" i="48"/>
  <c r="S59" i="46"/>
  <c r="S59" i="42"/>
  <c r="S59" i="38"/>
  <c r="I59" i="46"/>
  <c r="I59" i="48"/>
  <c r="I59" i="42"/>
  <c r="I59" i="38"/>
  <c r="I60" i="48"/>
  <c r="I60" i="46"/>
  <c r="I60" i="42"/>
  <c r="I60" i="38"/>
  <c r="AC61" i="48"/>
  <c r="AC61" i="46"/>
  <c r="AC61" i="42"/>
  <c r="AC61" i="38"/>
  <c r="I61" i="48"/>
  <c r="I61" i="46"/>
  <c r="I61" i="42"/>
  <c r="I61" i="38"/>
  <c r="S58" i="48"/>
  <c r="S58" i="46"/>
  <c r="S58" i="42"/>
  <c r="S58" i="38"/>
  <c r="AN97" i="36"/>
  <c r="G38" i="42"/>
  <c r="AQ90" i="36"/>
  <c r="J39" i="42"/>
  <c r="AM28" i="36"/>
  <c r="F37" i="42"/>
  <c r="H62" i="36"/>
  <c r="G40" i="38"/>
  <c r="H28" i="36"/>
  <c r="G37" i="38"/>
  <c r="AQ55" i="36"/>
  <c r="AQ53" i="36"/>
  <c r="AQ94" i="36" s="1"/>
  <c r="AR50" i="36"/>
  <c r="AR52" i="36" s="1"/>
  <c r="H84" i="36"/>
  <c r="I23" i="36"/>
  <c r="I25" i="36" s="1"/>
  <c r="H37" i="38" s="1"/>
  <c r="H26" i="36"/>
  <c r="H87" i="36" s="1"/>
  <c r="AM26" i="36"/>
  <c r="AM87" i="36" s="1"/>
  <c r="AM84" i="36"/>
  <c r="AM69" i="36"/>
  <c r="AN59" i="36"/>
  <c r="AN60" i="36" s="1"/>
  <c r="AN44" i="36"/>
  <c r="AN46" i="36"/>
  <c r="AO32" i="36"/>
  <c r="AN39" i="36"/>
  <c r="AN37" i="36"/>
  <c r="AN81" i="36" s="1"/>
  <c r="AN77" i="36"/>
  <c r="AO35" i="36"/>
  <c r="J35" i="36"/>
  <c r="I59" i="36"/>
  <c r="AN23" i="36"/>
  <c r="AN69" i="36" s="1"/>
  <c r="AQ18" i="36"/>
  <c r="L18" i="36"/>
  <c r="K19" i="36"/>
  <c r="K20" i="36" s="1"/>
  <c r="K56" i="36"/>
  <c r="K42" i="36"/>
  <c r="L40" i="36"/>
  <c r="AO43" i="36"/>
  <c r="H38" i="42" s="1"/>
  <c r="AN25" i="36"/>
  <c r="G37" i="42" s="1"/>
  <c r="J22" i="36"/>
  <c r="J21" i="36"/>
  <c r="AM60" i="36"/>
  <c r="AM62" i="36"/>
  <c r="AN70" i="36"/>
  <c r="AO57" i="36"/>
  <c r="AO58" i="36"/>
  <c r="AP19" i="36"/>
  <c r="AP20" i="36" s="1"/>
  <c r="AP56" i="36"/>
  <c r="L29" i="36"/>
  <c r="K30" i="36"/>
  <c r="K31" i="36"/>
  <c r="K34" i="36"/>
  <c r="K33" i="36"/>
  <c r="AP31" i="36"/>
  <c r="AP34" i="36"/>
  <c r="AP30" i="36"/>
  <c r="AQ29" i="36"/>
  <c r="AP33" i="36"/>
  <c r="AQ40" i="36"/>
  <c r="AP41" i="36"/>
  <c r="AP42" i="36"/>
  <c r="AS51" i="36"/>
  <c r="AS49" i="36"/>
  <c r="AT47" i="36"/>
  <c r="AS48" i="36"/>
  <c r="O47" i="36"/>
  <c r="AO21" i="36"/>
  <c r="AO22" i="36"/>
  <c r="J57" i="36"/>
  <c r="J58" i="36"/>
  <c r="R12" i="28"/>
  <c r="S7" i="28"/>
  <c r="S7" i="19"/>
  <c r="R12" i="19"/>
  <c r="S7" i="42"/>
  <c r="R12" i="42"/>
  <c r="S7" i="38"/>
  <c r="R12" i="38"/>
  <c r="S7" i="29"/>
  <c r="R12" i="29"/>
  <c r="J208" i="20"/>
  <c r="AD208" i="20"/>
  <c r="T208" i="20"/>
  <c r="T106" i="20"/>
  <c r="AD106" i="20"/>
  <c r="T61" i="20"/>
  <c r="T63" i="20"/>
  <c r="T62" i="20"/>
  <c r="T64" i="20"/>
  <c r="AE62" i="20"/>
  <c r="AE64" i="20"/>
  <c r="AE61" i="20"/>
  <c r="AE63" i="20"/>
  <c r="AD62" i="20"/>
  <c r="AD64" i="20"/>
  <c r="AD61" i="20"/>
  <c r="AD63" i="20"/>
  <c r="J62" i="20"/>
  <c r="J64" i="20"/>
  <c r="J61" i="20"/>
  <c r="J63" i="20"/>
  <c r="L8" i="20"/>
  <c r="L9" i="20"/>
  <c r="K209" i="20"/>
  <c r="J160" i="20"/>
  <c r="J166" i="20" s="1"/>
  <c r="I166" i="20"/>
  <c r="AC167" i="20"/>
  <c r="AE156" i="20"/>
  <c r="AE160" i="20" s="1"/>
  <c r="AE209" i="20"/>
  <c r="J159" i="20"/>
  <c r="U196" i="20"/>
  <c r="U209" i="20"/>
  <c r="AE107" i="20"/>
  <c r="K156" i="20"/>
  <c r="K155" i="20" s="1"/>
  <c r="K196" i="20"/>
  <c r="S167" i="20"/>
  <c r="S166" i="20"/>
  <c r="AF1" i="20"/>
  <c r="T155" i="20"/>
  <c r="T159" i="20"/>
  <c r="T160" i="20"/>
  <c r="AD155" i="20"/>
  <c r="AD160" i="20"/>
  <c r="AD159" i="20"/>
  <c r="AE53" i="20"/>
  <c r="U53" i="20"/>
  <c r="U156" i="20"/>
  <c r="I120" i="20"/>
  <c r="I119" i="20"/>
  <c r="I118" i="20"/>
  <c r="S119" i="20"/>
  <c r="S120" i="20"/>
  <c r="S118" i="20"/>
  <c r="T55" i="20"/>
  <c r="AD55" i="20"/>
  <c r="I52" i="20"/>
  <c r="S52" i="20"/>
  <c r="AD110" i="20"/>
  <c r="AC52" i="20"/>
  <c r="J111" i="20"/>
  <c r="J106" i="20"/>
  <c r="J110" i="20"/>
  <c r="K107" i="20"/>
  <c r="K53" i="20"/>
  <c r="T110" i="20"/>
  <c r="T111" i="20"/>
  <c r="U54" i="20"/>
  <c r="U107" i="20"/>
  <c r="J55" i="20"/>
  <c r="K54" i="20"/>
  <c r="V1" i="20"/>
  <c r="G11" i="20"/>
  <c r="G10" i="20"/>
  <c r="F12" i="20"/>
  <c r="L1" i="20"/>
  <c r="K7" i="20"/>
  <c r="S12" i="46" l="1"/>
  <c r="T7" i="46"/>
  <c r="S12" i="48"/>
  <c r="T7" i="48"/>
  <c r="T7" i="54"/>
  <c r="S12" i="54"/>
  <c r="S12" i="53"/>
  <c r="T7" i="53"/>
  <c r="I84" i="36"/>
  <c r="AE60" i="48"/>
  <c r="AE60" i="46"/>
  <c r="AE60" i="42"/>
  <c r="AE60" i="38"/>
  <c r="AD58" i="48"/>
  <c r="AD58" i="46"/>
  <c r="AD58" i="42"/>
  <c r="AD58" i="38"/>
  <c r="AD60" i="46"/>
  <c r="AD60" i="48"/>
  <c r="AD60" i="42"/>
  <c r="AD60" i="38"/>
  <c r="J58" i="48"/>
  <c r="J58" i="46"/>
  <c r="J58" i="42"/>
  <c r="J58" i="38"/>
  <c r="T59" i="48"/>
  <c r="T59" i="46"/>
  <c r="T59" i="42"/>
  <c r="T59" i="38"/>
  <c r="J61" i="48"/>
  <c r="J61" i="46"/>
  <c r="J61" i="42"/>
  <c r="J61" i="38"/>
  <c r="AD61" i="48"/>
  <c r="AD61" i="46"/>
  <c r="AD61" i="42"/>
  <c r="AD61" i="38"/>
  <c r="AE61" i="46"/>
  <c r="AE61" i="48"/>
  <c r="AE61" i="42"/>
  <c r="AE61" i="38"/>
  <c r="T60" i="48"/>
  <c r="T60" i="46"/>
  <c r="T60" i="42"/>
  <c r="T60" i="38"/>
  <c r="J60" i="46"/>
  <c r="J60" i="48"/>
  <c r="J60" i="42"/>
  <c r="J60" i="38"/>
  <c r="T61" i="48"/>
  <c r="T61" i="46"/>
  <c r="T61" i="42"/>
  <c r="T61" i="38"/>
  <c r="AE58" i="48"/>
  <c r="AE58" i="46"/>
  <c r="AE58" i="42"/>
  <c r="AE58" i="38"/>
  <c r="J59" i="48"/>
  <c r="J59" i="46"/>
  <c r="J59" i="42"/>
  <c r="J59" i="38"/>
  <c r="AD59" i="48"/>
  <c r="AD59" i="46"/>
  <c r="AD59" i="42"/>
  <c r="AD59" i="38"/>
  <c r="AE59" i="48"/>
  <c r="AE59" i="46"/>
  <c r="AE59" i="42"/>
  <c r="AE59" i="38"/>
  <c r="T58" i="48"/>
  <c r="T58" i="46"/>
  <c r="T58" i="42"/>
  <c r="T58" i="38"/>
  <c r="AO70" i="36"/>
  <c r="AN62" i="36"/>
  <c r="G40" i="42"/>
  <c r="AR55" i="36"/>
  <c r="K39" i="42"/>
  <c r="I60" i="36"/>
  <c r="H40" i="38"/>
  <c r="AP35" i="36"/>
  <c r="AO36" i="36"/>
  <c r="H36" i="42" s="1"/>
  <c r="AR90" i="36"/>
  <c r="AR53" i="36"/>
  <c r="AR94" i="36" s="1"/>
  <c r="I62" i="36"/>
  <c r="I26" i="36"/>
  <c r="I87" i="36" s="1"/>
  <c r="I28" i="36"/>
  <c r="J59" i="36"/>
  <c r="AO23" i="36"/>
  <c r="AO69" i="36" s="1"/>
  <c r="K35" i="36"/>
  <c r="AP32" i="36"/>
  <c r="J23" i="36"/>
  <c r="J25" i="36" s="1"/>
  <c r="AN28" i="36"/>
  <c r="AN84" i="36"/>
  <c r="AN26" i="36"/>
  <c r="AN87" i="36" s="1"/>
  <c r="AS50" i="36"/>
  <c r="AS52" i="36" s="1"/>
  <c r="L39" i="42" s="1"/>
  <c r="AQ33" i="36"/>
  <c r="AQ30" i="36"/>
  <c r="AQ31" i="36"/>
  <c r="AQ34" i="36"/>
  <c r="AR29" i="36"/>
  <c r="L33" i="36"/>
  <c r="L34" i="36"/>
  <c r="L30" i="36"/>
  <c r="L31" i="36"/>
  <c r="M29" i="36"/>
  <c r="M40" i="36"/>
  <c r="L42" i="36"/>
  <c r="K22" i="36"/>
  <c r="K21" i="36"/>
  <c r="K58" i="36"/>
  <c r="K57" i="36"/>
  <c r="P47" i="36"/>
  <c r="AT51" i="36"/>
  <c r="AT48" i="36"/>
  <c r="AU47" i="36"/>
  <c r="AT49" i="36"/>
  <c r="AP43" i="36"/>
  <c r="I38" i="42" s="1"/>
  <c r="AP21" i="36"/>
  <c r="AP22" i="36"/>
  <c r="AO59" i="36"/>
  <c r="H40" i="42" s="1"/>
  <c r="AO97" i="36"/>
  <c r="AO44" i="36"/>
  <c r="AO46" i="36"/>
  <c r="AR18" i="36"/>
  <c r="M18" i="36"/>
  <c r="L19" i="36"/>
  <c r="L20" i="36" s="1"/>
  <c r="L56" i="36"/>
  <c r="AQ42" i="36"/>
  <c r="AR40" i="36"/>
  <c r="AQ41" i="36"/>
  <c r="AP57" i="36"/>
  <c r="AP58" i="36"/>
  <c r="AQ19" i="36"/>
  <c r="AQ20" i="36" s="1"/>
  <c r="AQ56" i="36"/>
  <c r="S12" i="42"/>
  <c r="T7" i="42"/>
  <c r="S12" i="19"/>
  <c r="T7" i="19"/>
  <c r="T7" i="38"/>
  <c r="S12" i="38"/>
  <c r="S12" i="28"/>
  <c r="T7" i="28"/>
  <c r="T7" i="29"/>
  <c r="S12" i="29"/>
  <c r="AE208" i="20"/>
  <c r="U208" i="20"/>
  <c r="K208" i="20"/>
  <c r="AE106" i="20"/>
  <c r="U106" i="20"/>
  <c r="K110" i="20"/>
  <c r="U61" i="20"/>
  <c r="U63" i="20"/>
  <c r="U62" i="20"/>
  <c r="U64" i="20"/>
  <c r="K62" i="20"/>
  <c r="K64" i="20"/>
  <c r="K61" i="20"/>
  <c r="K63" i="20"/>
  <c r="M9" i="20"/>
  <c r="M8" i="20"/>
  <c r="J167" i="20"/>
  <c r="AE55" i="20"/>
  <c r="AE52" i="20" s="1"/>
  <c r="L209" i="20"/>
  <c r="AF53" i="20"/>
  <c r="AE159" i="20"/>
  <c r="AF54" i="20"/>
  <c r="AE155" i="20"/>
  <c r="AE110" i="20"/>
  <c r="K160" i="20"/>
  <c r="K167" i="20" s="1"/>
  <c r="K159" i="20"/>
  <c r="V196" i="20"/>
  <c r="V209" i="20"/>
  <c r="AF156" i="20"/>
  <c r="AF155" i="20" s="1"/>
  <c r="AF209" i="20"/>
  <c r="AF107" i="20"/>
  <c r="L156" i="20"/>
  <c r="L155" i="20" s="1"/>
  <c r="L196" i="20"/>
  <c r="T167" i="20"/>
  <c r="T166" i="20"/>
  <c r="AD167" i="20"/>
  <c r="AD166" i="20"/>
  <c r="AE167" i="20"/>
  <c r="AE166" i="20"/>
  <c r="U155" i="20"/>
  <c r="U160" i="20"/>
  <c r="U159" i="20"/>
  <c r="V53" i="20"/>
  <c r="V156" i="20"/>
  <c r="T120" i="20"/>
  <c r="T119" i="20"/>
  <c r="T118" i="20"/>
  <c r="J119" i="20"/>
  <c r="J120" i="20"/>
  <c r="J118" i="20"/>
  <c r="T52" i="20"/>
  <c r="U55" i="20"/>
  <c r="AD52" i="20"/>
  <c r="J52" i="20"/>
  <c r="K111" i="20"/>
  <c r="K106" i="20"/>
  <c r="L107" i="20"/>
  <c r="L53" i="20"/>
  <c r="U111" i="20"/>
  <c r="U110" i="20"/>
  <c r="V54" i="20"/>
  <c r="V107" i="20"/>
  <c r="K55" i="20"/>
  <c r="L54" i="20"/>
  <c r="H11" i="20"/>
  <c r="H10" i="20"/>
  <c r="G12" i="20"/>
  <c r="L7" i="20"/>
  <c r="U7" i="53" l="1"/>
  <c r="T12" i="53"/>
  <c r="T12" i="54"/>
  <c r="U7" i="54"/>
  <c r="T12" i="48"/>
  <c r="U7" i="48"/>
  <c r="U7" i="46"/>
  <c r="T12" i="46"/>
  <c r="AP70" i="36"/>
  <c r="K61" i="46"/>
  <c r="K61" i="48"/>
  <c r="K61" i="42"/>
  <c r="K61" i="38"/>
  <c r="K59" i="48"/>
  <c r="K59" i="46"/>
  <c r="K59" i="42"/>
  <c r="K59" i="38"/>
  <c r="U58" i="48"/>
  <c r="U58" i="46"/>
  <c r="U58" i="42"/>
  <c r="U58" i="38"/>
  <c r="K58" i="48"/>
  <c r="K58" i="46"/>
  <c r="K58" i="42"/>
  <c r="K58" i="38"/>
  <c r="U59" i="48"/>
  <c r="U59" i="46"/>
  <c r="U59" i="42"/>
  <c r="U59" i="38"/>
  <c r="U60" i="48"/>
  <c r="U60" i="46"/>
  <c r="U60" i="42"/>
  <c r="U60" i="38"/>
  <c r="K60" i="48"/>
  <c r="K60" i="46"/>
  <c r="K60" i="42"/>
  <c r="K60" i="38"/>
  <c r="U61" i="48"/>
  <c r="U61" i="46"/>
  <c r="U61" i="42"/>
  <c r="U61" i="38"/>
  <c r="J84" i="36"/>
  <c r="I37" i="38"/>
  <c r="J62" i="36"/>
  <c r="I40" i="38"/>
  <c r="AP36" i="36"/>
  <c r="AP77" i="36" s="1"/>
  <c r="AQ35" i="36"/>
  <c r="AO77" i="36"/>
  <c r="AO37" i="36"/>
  <c r="AO81" i="36" s="1"/>
  <c r="AO39" i="36"/>
  <c r="J60" i="36"/>
  <c r="AO25" i="36"/>
  <c r="AO84" i="36" s="1"/>
  <c r="K23" i="36"/>
  <c r="K25" i="36" s="1"/>
  <c r="AP23" i="36"/>
  <c r="AP25" i="36" s="1"/>
  <c r="I37" i="42" s="1"/>
  <c r="J28" i="36"/>
  <c r="AP59" i="36"/>
  <c r="I40" i="42" s="1"/>
  <c r="J26" i="36"/>
  <c r="J87" i="36" s="1"/>
  <c r="AQ43" i="36"/>
  <c r="J38" i="42" s="1"/>
  <c r="L35" i="36"/>
  <c r="AQ32" i="36"/>
  <c r="L21" i="36"/>
  <c r="L22" i="36"/>
  <c r="AR19" i="36"/>
  <c r="AR20" i="36" s="1"/>
  <c r="AR56" i="36"/>
  <c r="AT50" i="36"/>
  <c r="AT52" i="36" s="1"/>
  <c r="M39" i="42" s="1"/>
  <c r="AS90" i="36"/>
  <c r="AS55" i="36"/>
  <c r="AS53" i="36"/>
  <c r="AS94" i="36" s="1"/>
  <c r="L57" i="36"/>
  <c r="L58" i="36"/>
  <c r="AP44" i="36"/>
  <c r="AP97" i="36"/>
  <c r="AP46" i="36"/>
  <c r="K59" i="36"/>
  <c r="J40" i="38" s="1"/>
  <c r="N29" i="36"/>
  <c r="M31" i="36"/>
  <c r="M34" i="36"/>
  <c r="M33" i="36"/>
  <c r="M30" i="36"/>
  <c r="AQ58" i="36"/>
  <c r="AQ57" i="36"/>
  <c r="AS40" i="36"/>
  <c r="AR41" i="36"/>
  <c r="AR42" i="36"/>
  <c r="AO60" i="36"/>
  <c r="AO62" i="36"/>
  <c r="Q47" i="36"/>
  <c r="K26" i="36"/>
  <c r="K87" i="36" s="1"/>
  <c r="M42" i="36"/>
  <c r="N40" i="36"/>
  <c r="AQ22" i="36"/>
  <c r="AQ21" i="36"/>
  <c r="N18" i="36"/>
  <c r="M19" i="36"/>
  <c r="M20" i="36" s="1"/>
  <c r="AS18" i="36"/>
  <c r="M56" i="36"/>
  <c r="AV47" i="36"/>
  <c r="AU48" i="36"/>
  <c r="AU49" i="36"/>
  <c r="AU51" i="36"/>
  <c r="AS29" i="36"/>
  <c r="AR31" i="36"/>
  <c r="AR33" i="36"/>
  <c r="AR30" i="36"/>
  <c r="AR34" i="36"/>
  <c r="U7" i="29"/>
  <c r="T12" i="29"/>
  <c r="T12" i="28"/>
  <c r="U7" i="28"/>
  <c r="U7" i="38"/>
  <c r="T12" i="38"/>
  <c r="U7" i="42"/>
  <c r="T12" i="42"/>
  <c r="T12" i="19"/>
  <c r="U7" i="19"/>
  <c r="AF208" i="20"/>
  <c r="V208" i="20"/>
  <c r="L208" i="20"/>
  <c r="V106" i="20"/>
  <c r="L106" i="20"/>
  <c r="AF106" i="20"/>
  <c r="V62" i="20"/>
  <c r="V64" i="20"/>
  <c r="V61" i="20"/>
  <c r="V63" i="20"/>
  <c r="L61" i="20"/>
  <c r="L63" i="20"/>
  <c r="L62" i="20"/>
  <c r="L64" i="20"/>
  <c r="AF61" i="20"/>
  <c r="AF63" i="20"/>
  <c r="AF62" i="20"/>
  <c r="AF64" i="20"/>
  <c r="N8" i="20"/>
  <c r="N9" i="20"/>
  <c r="AF55" i="20"/>
  <c r="AF52" i="20" s="1"/>
  <c r="K166" i="20"/>
  <c r="AF110" i="20"/>
  <c r="L160" i="20"/>
  <c r="L167" i="20" s="1"/>
  <c r="AF159" i="20"/>
  <c r="L159" i="20"/>
  <c r="AF160" i="20"/>
  <c r="U167" i="20"/>
  <c r="U166" i="20"/>
  <c r="V155" i="20"/>
  <c r="V160" i="20"/>
  <c r="V159" i="20"/>
  <c r="U120" i="20"/>
  <c r="U119" i="20"/>
  <c r="U118" i="20"/>
  <c r="K119" i="20"/>
  <c r="K120" i="20"/>
  <c r="K118" i="20"/>
  <c r="U52" i="20"/>
  <c r="K52" i="20"/>
  <c r="L111" i="20"/>
  <c r="L110" i="20"/>
  <c r="V111" i="20"/>
  <c r="V110" i="20"/>
  <c r="V55" i="20"/>
  <c r="L55" i="20"/>
  <c r="W195" i="20"/>
  <c r="M195" i="20"/>
  <c r="I10" i="20"/>
  <c r="H12" i="20"/>
  <c r="I11" i="20"/>
  <c r="M7" i="20"/>
  <c r="AQ36" i="36" l="1"/>
  <c r="U12" i="46"/>
  <c r="V7" i="46"/>
  <c r="V7" i="48"/>
  <c r="U12" i="48"/>
  <c r="U12" i="54"/>
  <c r="V7" i="54"/>
  <c r="V7" i="53"/>
  <c r="U12" i="53"/>
  <c r="AQ70" i="36"/>
  <c r="AF59" i="48"/>
  <c r="AF59" i="46"/>
  <c r="AF59" i="42"/>
  <c r="AF59" i="38"/>
  <c r="V58" i="48"/>
  <c r="V58" i="46"/>
  <c r="V58" i="42"/>
  <c r="V58" i="38"/>
  <c r="AF60" i="48"/>
  <c r="AF60" i="46"/>
  <c r="AF60" i="42"/>
  <c r="AF60" i="38"/>
  <c r="V61" i="48"/>
  <c r="V61" i="46"/>
  <c r="V61" i="42"/>
  <c r="V61" i="38"/>
  <c r="AF58" i="46"/>
  <c r="AF58" i="48"/>
  <c r="AF58" i="42"/>
  <c r="AF58" i="38"/>
  <c r="L58" i="46"/>
  <c r="L58" i="48"/>
  <c r="L58" i="42"/>
  <c r="L58" i="38"/>
  <c r="V59" i="48"/>
  <c r="V59" i="46"/>
  <c r="V59" i="42"/>
  <c r="V59" i="38"/>
  <c r="L59" i="48"/>
  <c r="L59" i="46"/>
  <c r="L59" i="42"/>
  <c r="L59" i="38"/>
  <c r="L60" i="48"/>
  <c r="L60" i="46"/>
  <c r="L60" i="42"/>
  <c r="L60" i="38"/>
  <c r="AF61" i="48"/>
  <c r="AF61" i="46"/>
  <c r="AF61" i="42"/>
  <c r="AF61" i="38"/>
  <c r="L61" i="48"/>
  <c r="L61" i="46"/>
  <c r="L61" i="42"/>
  <c r="L61" i="38"/>
  <c r="V60" i="48"/>
  <c r="V60" i="46"/>
  <c r="V60" i="42"/>
  <c r="V60" i="38"/>
  <c r="AP84" i="36"/>
  <c r="AQ37" i="36"/>
  <c r="AQ81" i="36" s="1"/>
  <c r="J36" i="42"/>
  <c r="K84" i="36"/>
  <c r="J37" i="38"/>
  <c r="AO26" i="36"/>
  <c r="AO87" i="36" s="1"/>
  <c r="H37" i="42"/>
  <c r="K28" i="36"/>
  <c r="AP37" i="36"/>
  <c r="AP81" i="36" s="1"/>
  <c r="I36" i="42"/>
  <c r="AP39" i="36"/>
  <c r="AQ77" i="36"/>
  <c r="AO28" i="36"/>
  <c r="AQ39" i="36"/>
  <c r="AP69" i="36"/>
  <c r="AP62" i="36"/>
  <c r="AP60" i="36"/>
  <c r="AP28" i="36"/>
  <c r="AP26" i="36"/>
  <c r="AP87" i="36" s="1"/>
  <c r="AQ97" i="36"/>
  <c r="AQ44" i="36"/>
  <c r="AQ46" i="36"/>
  <c r="M35" i="36"/>
  <c r="AR32" i="36"/>
  <c r="AR35" i="36"/>
  <c r="AQ23" i="36"/>
  <c r="AQ69" i="36" s="1"/>
  <c r="L23" i="36"/>
  <c r="L25" i="36" s="1"/>
  <c r="AU50" i="36"/>
  <c r="AU52" i="36" s="1"/>
  <c r="N39" i="42" s="1"/>
  <c r="M21" i="36"/>
  <c r="M22" i="36"/>
  <c r="N19" i="36"/>
  <c r="N20" i="36" s="1"/>
  <c r="AT18" i="36"/>
  <c r="O18" i="36"/>
  <c r="N56" i="36"/>
  <c r="R47" i="36"/>
  <c r="AT40" i="36"/>
  <c r="AS41" i="36"/>
  <c r="AS42" i="36"/>
  <c r="N33" i="36"/>
  <c r="N31" i="36"/>
  <c r="N30" i="36"/>
  <c r="O29" i="36"/>
  <c r="N34" i="36"/>
  <c r="M57" i="36"/>
  <c r="M58" i="36"/>
  <c r="O40" i="36"/>
  <c r="N42" i="36"/>
  <c r="AS30" i="36"/>
  <c r="AT29" i="36"/>
  <c r="AS31" i="36"/>
  <c r="AS34" i="36"/>
  <c r="AS33" i="36"/>
  <c r="AS19" i="36"/>
  <c r="AS20" i="36" s="1"/>
  <c r="AS56" i="36"/>
  <c r="AT90" i="36"/>
  <c r="AT53" i="36"/>
  <c r="AT94" i="36" s="1"/>
  <c r="AT55" i="36"/>
  <c r="AR58" i="36"/>
  <c r="AR57" i="36"/>
  <c r="AV48" i="36"/>
  <c r="AV49" i="36"/>
  <c r="AV51" i="36"/>
  <c r="AW47" i="36"/>
  <c r="AR43" i="36"/>
  <c r="K38" i="42" s="1"/>
  <c r="AQ59" i="36"/>
  <c r="J40" i="42" s="1"/>
  <c r="K62" i="36"/>
  <c r="K60" i="36"/>
  <c r="L59" i="36"/>
  <c r="K40" i="38" s="1"/>
  <c r="AR22" i="36"/>
  <c r="AR21" i="36"/>
  <c r="V7" i="42"/>
  <c r="U12" i="42"/>
  <c r="U12" i="19"/>
  <c r="V7" i="19"/>
  <c r="U12" i="28"/>
  <c r="V7" i="28"/>
  <c r="V7" i="38"/>
  <c r="U12" i="38"/>
  <c r="V7" i="29"/>
  <c r="U12" i="29"/>
  <c r="O9" i="20"/>
  <c r="O8" i="20"/>
  <c r="L166" i="20"/>
  <c r="AF166" i="20"/>
  <c r="AF167" i="20"/>
  <c r="V167" i="20"/>
  <c r="V166" i="20"/>
  <c r="L120" i="20"/>
  <c r="L119" i="20"/>
  <c r="L118" i="20"/>
  <c r="V119" i="20"/>
  <c r="V120" i="20"/>
  <c r="V118" i="20"/>
  <c r="L52" i="20"/>
  <c r="V52" i="20"/>
  <c r="J10" i="20"/>
  <c r="I12" i="20"/>
  <c r="AD109" i="20"/>
  <c r="X109" i="20"/>
  <c r="AB109" i="20"/>
  <c r="AA109" i="20"/>
  <c r="AC109" i="20"/>
  <c r="Z109" i="20"/>
  <c r="AE109" i="20"/>
  <c r="Y109" i="20"/>
  <c r="AF109" i="20"/>
  <c r="J11" i="20"/>
  <c r="AC196" i="20"/>
  <c r="AA196" i="20"/>
  <c r="Z196" i="20"/>
  <c r="Y196" i="20"/>
  <c r="AB196" i="20"/>
  <c r="AD196" i="20"/>
  <c r="X196" i="20"/>
  <c r="AE196" i="20"/>
  <c r="AF196" i="20"/>
  <c r="N7" i="20"/>
  <c r="V12" i="53" l="1"/>
  <c r="W7" i="53"/>
  <c r="V12" i="54"/>
  <c r="W7" i="54"/>
  <c r="W7" i="48"/>
  <c r="V12" i="48"/>
  <c r="V12" i="46"/>
  <c r="W7" i="46"/>
  <c r="AU90" i="36"/>
  <c r="AU55" i="36"/>
  <c r="L84" i="36"/>
  <c r="K37" i="38"/>
  <c r="AU53" i="36"/>
  <c r="AU94" i="36" s="1"/>
  <c r="AS35" i="36"/>
  <c r="AR59" i="36"/>
  <c r="AR60" i="36" s="1"/>
  <c r="AV50" i="36"/>
  <c r="AV52" i="36" s="1"/>
  <c r="L28" i="36"/>
  <c r="L26" i="36"/>
  <c r="L87" i="36" s="1"/>
  <c r="AR23" i="36"/>
  <c r="AR25" i="36" s="1"/>
  <c r="K37" i="42" s="1"/>
  <c r="AQ25" i="36"/>
  <c r="M23" i="36"/>
  <c r="M25" i="36" s="1"/>
  <c r="M59" i="36"/>
  <c r="L40" i="38" s="1"/>
  <c r="AR70" i="36"/>
  <c r="AS32" i="36"/>
  <c r="AS43" i="36"/>
  <c r="L38" i="42" s="1"/>
  <c r="N35" i="36"/>
  <c r="AR36" i="36"/>
  <c r="K36" i="42" s="1"/>
  <c r="O42" i="36"/>
  <c r="P40" i="36"/>
  <c r="O34" i="36"/>
  <c r="O33" i="36"/>
  <c r="P29" i="36"/>
  <c r="O31" i="36"/>
  <c r="O30" i="36"/>
  <c r="AT19" i="36"/>
  <c r="AT20" i="36" s="1"/>
  <c r="AT56" i="36"/>
  <c r="AQ60" i="36"/>
  <c r="AQ62" i="36"/>
  <c r="AS58" i="36"/>
  <c r="AS57" i="36"/>
  <c r="AU29" i="36"/>
  <c r="AT34" i="36"/>
  <c r="AT30" i="36"/>
  <c r="AT31" i="36"/>
  <c r="AT33" i="36"/>
  <c r="N22" i="36"/>
  <c r="N21" i="36"/>
  <c r="L60" i="36"/>
  <c r="L62" i="36"/>
  <c r="AR97" i="36"/>
  <c r="AR44" i="36"/>
  <c r="AR46" i="36"/>
  <c r="AS21" i="36"/>
  <c r="AS22" i="36"/>
  <c r="AQ28" i="36"/>
  <c r="AT42" i="36"/>
  <c r="AT41" i="36"/>
  <c r="AU40" i="36"/>
  <c r="N57" i="36"/>
  <c r="N58" i="36"/>
  <c r="AW49" i="36"/>
  <c r="AX47" i="36"/>
  <c r="AW48" i="36"/>
  <c r="AW51" i="36"/>
  <c r="S47" i="36"/>
  <c r="AU18" i="36"/>
  <c r="O19" i="36"/>
  <c r="O20" i="36" s="1"/>
  <c r="P18" i="36"/>
  <c r="O56" i="36"/>
  <c r="W7" i="38"/>
  <c r="V12" i="38"/>
  <c r="W7" i="29"/>
  <c r="V12" i="29"/>
  <c r="W7" i="28"/>
  <c r="V12" i="28"/>
  <c r="W7" i="19"/>
  <c r="V12" i="19"/>
  <c r="V12" i="42"/>
  <c r="W7" i="42"/>
  <c r="M26" i="36"/>
  <c r="P8" i="20"/>
  <c r="P9" i="20"/>
  <c r="AB195" i="20"/>
  <c r="AC195" i="20"/>
  <c r="V195" i="20"/>
  <c r="R195" i="20"/>
  <c r="T195" i="20"/>
  <c r="AA195" i="20"/>
  <c r="AE195" i="20"/>
  <c r="X195" i="20"/>
  <c r="O195" i="20"/>
  <c r="P195" i="20"/>
  <c r="U195" i="20"/>
  <c r="AF195" i="20"/>
  <c r="N195" i="20"/>
  <c r="Y195" i="20"/>
  <c r="AD195" i="20"/>
  <c r="Z195" i="20"/>
  <c r="Q195" i="20"/>
  <c r="S195" i="20"/>
  <c r="J195" i="20"/>
  <c r="G195" i="20"/>
  <c r="E195" i="20"/>
  <c r="L195" i="20"/>
  <c r="F195" i="20"/>
  <c r="I195" i="20"/>
  <c r="K195" i="20"/>
  <c r="D195" i="20"/>
  <c r="H195" i="20"/>
  <c r="Z111" i="20"/>
  <c r="X111" i="20"/>
  <c r="AB111" i="20"/>
  <c r="AF111" i="20"/>
  <c r="AC111" i="20"/>
  <c r="AD111" i="20"/>
  <c r="AE111" i="20"/>
  <c r="Y111" i="20"/>
  <c r="AA111" i="20"/>
  <c r="K11" i="20"/>
  <c r="K10" i="20"/>
  <c r="J12" i="20"/>
  <c r="O7" i="20"/>
  <c r="X7" i="46" l="1"/>
  <c r="W12" i="46"/>
  <c r="X7" i="48"/>
  <c r="W12" i="48"/>
  <c r="W12" i="54"/>
  <c r="X7" i="54"/>
  <c r="X7" i="53"/>
  <c r="W12" i="53"/>
  <c r="AS36" i="36"/>
  <c r="AS37" i="36" s="1"/>
  <c r="AS81" i="36" s="1"/>
  <c r="AS70" i="36"/>
  <c r="AR84" i="36"/>
  <c r="AR28" i="36"/>
  <c r="AR69" i="36"/>
  <c r="AQ26" i="36"/>
  <c r="AQ87" i="36" s="1"/>
  <c r="J37" i="42"/>
  <c r="AV90" i="36"/>
  <c r="O39" i="42"/>
  <c r="AR62" i="36"/>
  <c r="K40" i="42"/>
  <c r="AR26" i="36"/>
  <c r="AR87" i="36" s="1"/>
  <c r="AQ84" i="36"/>
  <c r="AS39" i="36"/>
  <c r="M28" i="36"/>
  <c r="L37" i="38"/>
  <c r="N23" i="36"/>
  <c r="N25" i="36" s="1"/>
  <c r="N28" i="36" s="1"/>
  <c r="AV53" i="36"/>
  <c r="AV94" i="36" s="1"/>
  <c r="AV55" i="36"/>
  <c r="M84" i="36"/>
  <c r="M60" i="36"/>
  <c r="M62" i="36"/>
  <c r="AS23" i="36"/>
  <c r="AS25" i="36" s="1"/>
  <c r="L37" i="42" s="1"/>
  <c r="AS59" i="36"/>
  <c r="L40" i="42" s="1"/>
  <c r="O35" i="36"/>
  <c r="AS77" i="36"/>
  <c r="AT35" i="36"/>
  <c r="AT32" i="36"/>
  <c r="AR39" i="36"/>
  <c r="AR77" i="36"/>
  <c r="AR37" i="36"/>
  <c r="AR81" i="36" s="1"/>
  <c r="AW50" i="36"/>
  <c r="AW52" i="36" s="1"/>
  <c r="AW55" i="36" s="1"/>
  <c r="AS46" i="36"/>
  <c r="AS97" i="36"/>
  <c r="AS44" i="36"/>
  <c r="AV18" i="36"/>
  <c r="P19" i="36"/>
  <c r="P20" i="36" s="1"/>
  <c r="Q18" i="36"/>
  <c r="P56" i="36"/>
  <c r="T47" i="36"/>
  <c r="AT43" i="36"/>
  <c r="M38" i="42" s="1"/>
  <c r="AU31" i="36"/>
  <c r="AU33" i="36"/>
  <c r="AV29" i="36"/>
  <c r="AU30" i="36"/>
  <c r="AU34" i="36"/>
  <c r="P34" i="36"/>
  <c r="Q29" i="36"/>
  <c r="P30" i="36"/>
  <c r="P33" i="36"/>
  <c r="P31" i="36"/>
  <c r="N59" i="36"/>
  <c r="M40" i="38" s="1"/>
  <c r="O21" i="36"/>
  <c r="O22" i="36"/>
  <c r="AU19" i="36"/>
  <c r="AU20" i="36" s="1"/>
  <c r="AU56" i="36"/>
  <c r="AT22" i="36"/>
  <c r="AT21" i="36"/>
  <c r="Q40" i="36"/>
  <c r="P42" i="36"/>
  <c r="O58" i="36"/>
  <c r="O57" i="36"/>
  <c r="AY47" i="36"/>
  <c r="AX49" i="36"/>
  <c r="AX51" i="36"/>
  <c r="AX48" i="36"/>
  <c r="AU41" i="36"/>
  <c r="AV40" i="36"/>
  <c r="AU42" i="36"/>
  <c r="AT58" i="36"/>
  <c r="AT57" i="36"/>
  <c r="X7" i="19"/>
  <c r="W12" i="19"/>
  <c r="X7" i="29"/>
  <c r="W12" i="29"/>
  <c r="W12" i="28"/>
  <c r="X7" i="28"/>
  <c r="X7" i="38"/>
  <c r="W12" i="38"/>
  <c r="W12" i="42"/>
  <c r="X7" i="42"/>
  <c r="M87" i="36"/>
  <c r="Q9" i="20"/>
  <c r="Q8" i="20"/>
  <c r="AE119" i="20"/>
  <c r="AE120" i="20"/>
  <c r="AE118" i="20"/>
  <c r="X120" i="20"/>
  <c r="X119" i="20"/>
  <c r="X118" i="20"/>
  <c r="AA119" i="20"/>
  <c r="AA120" i="20"/>
  <c r="AA118" i="20"/>
  <c r="AC120" i="20"/>
  <c r="AC119" i="20"/>
  <c r="AC118" i="20"/>
  <c r="Z119" i="20"/>
  <c r="Z120" i="20"/>
  <c r="Z118" i="20"/>
  <c r="AB120" i="20"/>
  <c r="AB119" i="20"/>
  <c r="AB118" i="20"/>
  <c r="AD119" i="20"/>
  <c r="AD120" i="20"/>
  <c r="AD118" i="20"/>
  <c r="Y120" i="20"/>
  <c r="Y119" i="20"/>
  <c r="Y118" i="20"/>
  <c r="AF120" i="20"/>
  <c r="AF119" i="20"/>
  <c r="AF118" i="20"/>
  <c r="L10" i="20"/>
  <c r="K12" i="20"/>
  <c r="L11" i="20"/>
  <c r="P7" i="20"/>
  <c r="D45" i="2"/>
  <c r="D46" i="2"/>
  <c r="D44" i="2"/>
  <c r="D49" i="2" s="1"/>
  <c r="X12" i="53" l="1"/>
  <c r="Y7" i="53"/>
  <c r="Y7" i="54"/>
  <c r="X12" i="54"/>
  <c r="X12" i="48"/>
  <c r="Y7" i="48"/>
  <c r="Y7" i="46"/>
  <c r="X12" i="46"/>
  <c r="L36" i="42"/>
  <c r="O59" i="36"/>
  <c r="N40" i="38" s="1"/>
  <c r="N26" i="36"/>
  <c r="N87" i="36" s="1"/>
  <c r="AS69" i="36"/>
  <c r="O60" i="36"/>
  <c r="AW90" i="36"/>
  <c r="P39" i="42"/>
  <c r="AW53" i="36"/>
  <c r="AW94" i="36" s="1"/>
  <c r="N84" i="36"/>
  <c r="M37" i="38"/>
  <c r="AT23" i="36"/>
  <c r="AT25" i="36" s="1"/>
  <c r="M37" i="42" s="1"/>
  <c r="AT59" i="36"/>
  <c r="AT60" i="36" s="1"/>
  <c r="AS60" i="36"/>
  <c r="AS62" i="36"/>
  <c r="AT70" i="36"/>
  <c r="P32" i="36"/>
  <c r="AT36" i="36"/>
  <c r="M36" i="42" s="1"/>
  <c r="AU43" i="36"/>
  <c r="N38" i="42" s="1"/>
  <c r="O23" i="36"/>
  <c r="O25" i="36" s="1"/>
  <c r="N37" i="38" s="1"/>
  <c r="AU32" i="36"/>
  <c r="AX50" i="36"/>
  <c r="AX52" i="36" s="1"/>
  <c r="AX55" i="36" s="1"/>
  <c r="P35" i="36"/>
  <c r="AU35" i="36"/>
  <c r="P57" i="36"/>
  <c r="P58" i="36"/>
  <c r="AW40" i="36"/>
  <c r="AV41" i="36"/>
  <c r="AV42" i="36"/>
  <c r="R40" i="36"/>
  <c r="Q42" i="36"/>
  <c r="AS26" i="36"/>
  <c r="AS87" i="36" s="1"/>
  <c r="AS28" i="36"/>
  <c r="AS84" i="36"/>
  <c r="Q34" i="36"/>
  <c r="R29" i="36"/>
  <c r="Q33" i="36"/>
  <c r="Q31" i="36"/>
  <c r="Q30" i="36"/>
  <c r="U47" i="36"/>
  <c r="R18" i="36"/>
  <c r="Q19" i="36"/>
  <c r="Q20" i="36" s="1"/>
  <c r="AW18" i="36"/>
  <c r="Q56" i="36"/>
  <c r="AX53" i="36"/>
  <c r="AX94" i="36" s="1"/>
  <c r="AY48" i="36"/>
  <c r="AZ47" i="36"/>
  <c r="AY51" i="36"/>
  <c r="AY49" i="36"/>
  <c r="AU58" i="36"/>
  <c r="AU57" i="36"/>
  <c r="AT97" i="36"/>
  <c r="AT46" i="36"/>
  <c r="AT44" i="36"/>
  <c r="P21" i="36"/>
  <c r="P22" i="36"/>
  <c r="AU21" i="36"/>
  <c r="AU22" i="36"/>
  <c r="N60" i="36"/>
  <c r="N62" i="36"/>
  <c r="AV33" i="36"/>
  <c r="AV34" i="36"/>
  <c r="AV30" i="36"/>
  <c r="AV31" i="36"/>
  <c r="AW29" i="36"/>
  <c r="AV19" i="36"/>
  <c r="AV20" i="36" s="1"/>
  <c r="AV56" i="36"/>
  <c r="X12" i="19"/>
  <c r="Y7" i="19"/>
  <c r="X12" i="28"/>
  <c r="Y7" i="28"/>
  <c r="Y7" i="42"/>
  <c r="X12" i="42"/>
  <c r="Y7" i="38"/>
  <c r="X12" i="38"/>
  <c r="Y7" i="29"/>
  <c r="X12" i="29"/>
  <c r="R8" i="20"/>
  <c r="R9" i="20"/>
  <c r="M11" i="20"/>
  <c r="M10" i="20"/>
  <c r="L12" i="20"/>
  <c r="Q7" i="20"/>
  <c r="Z7" i="46" l="1"/>
  <c r="Y12" i="46"/>
  <c r="Z7" i="48"/>
  <c r="Y12" i="48"/>
  <c r="Y12" i="54"/>
  <c r="Z7" i="54"/>
  <c r="Y12" i="53"/>
  <c r="Z7" i="53"/>
  <c r="O62" i="36"/>
  <c r="AT28" i="36"/>
  <c r="AT84" i="36"/>
  <c r="AT62" i="36"/>
  <c r="M40" i="42"/>
  <c r="AT26" i="36"/>
  <c r="AT87" i="36" s="1"/>
  <c r="AX90" i="36"/>
  <c r="Q39" i="42"/>
  <c r="AT69" i="36"/>
  <c r="P23" i="36"/>
  <c r="P25" i="36" s="1"/>
  <c r="O37" i="38" s="1"/>
  <c r="AU23" i="36"/>
  <c r="Q32" i="36"/>
  <c r="AT37" i="36"/>
  <c r="AT81" i="36" s="1"/>
  <c r="AT39" i="36"/>
  <c r="AT77" i="36"/>
  <c r="AU70" i="36"/>
  <c r="AU59" i="36"/>
  <c r="O26" i="36"/>
  <c r="O87" i="36" s="1"/>
  <c r="O28" i="36"/>
  <c r="O84" i="36"/>
  <c r="AV35" i="36"/>
  <c r="Q35" i="36"/>
  <c r="AU36" i="36"/>
  <c r="N36" i="42" s="1"/>
  <c r="AU44" i="36"/>
  <c r="AU46" i="36"/>
  <c r="AU97" i="36"/>
  <c r="AV32" i="36"/>
  <c r="AV22" i="36"/>
  <c r="AV21" i="36"/>
  <c r="AY50" i="36"/>
  <c r="AY52" i="36" s="1"/>
  <c r="R39" i="42" s="1"/>
  <c r="Q57" i="36"/>
  <c r="Q58" i="36"/>
  <c r="AW42" i="36"/>
  <c r="AX40" i="36"/>
  <c r="AW41" i="36"/>
  <c r="AV57" i="36"/>
  <c r="AV58" i="36"/>
  <c r="AW19" i="36"/>
  <c r="AW20" i="36" s="1"/>
  <c r="AW56" i="36"/>
  <c r="V47" i="36"/>
  <c r="R42" i="36"/>
  <c r="S40" i="36"/>
  <c r="Q22" i="36"/>
  <c r="Q21" i="36"/>
  <c r="R33" i="36"/>
  <c r="S29" i="36"/>
  <c r="R30" i="36"/>
  <c r="R31" i="36"/>
  <c r="R34" i="36"/>
  <c r="P59" i="36"/>
  <c r="O40" i="38" s="1"/>
  <c r="AW31" i="36"/>
  <c r="AW30" i="36"/>
  <c r="AW33" i="36"/>
  <c r="AX29" i="36"/>
  <c r="AW34" i="36"/>
  <c r="AZ49" i="36"/>
  <c r="BA47" i="36"/>
  <c r="AZ51" i="36"/>
  <c r="AZ48" i="36"/>
  <c r="S18" i="36"/>
  <c r="AX18" i="36"/>
  <c r="R19" i="36"/>
  <c r="R20" i="36" s="1"/>
  <c r="R56" i="36"/>
  <c r="AV43" i="36"/>
  <c r="O38" i="42" s="1"/>
  <c r="Z7" i="38"/>
  <c r="Y12" i="38"/>
  <c r="Z7" i="29"/>
  <c r="Y12" i="29"/>
  <c r="Y12" i="28"/>
  <c r="Z7" i="28"/>
  <c r="Y12" i="19"/>
  <c r="Z7" i="19"/>
  <c r="Y12" i="42"/>
  <c r="Z7" i="42"/>
  <c r="S9" i="20"/>
  <c r="S8" i="20"/>
  <c r="N10" i="20"/>
  <c r="M12" i="20"/>
  <c r="N11" i="20"/>
  <c r="R7" i="20"/>
  <c r="L67" i="7"/>
  <c r="C5" i="9"/>
  <c r="F5" i="9" s="1"/>
  <c r="F6" i="9" s="1"/>
  <c r="F7" i="9" s="1"/>
  <c r="C5" i="8"/>
  <c r="C5" i="4"/>
  <c r="D2" i="7"/>
  <c r="G2" i="7"/>
  <c r="K2" i="7"/>
  <c r="C2" i="7"/>
  <c r="G4" i="6"/>
  <c r="H4" i="6"/>
  <c r="I4" i="6"/>
  <c r="G5" i="6"/>
  <c r="H2" i="25" s="1"/>
  <c r="H3" i="25" s="1"/>
  <c r="H5" i="6"/>
  <c r="I2" i="25" s="1"/>
  <c r="I5" i="6"/>
  <c r="J2" i="25" s="1"/>
  <c r="G6" i="6"/>
  <c r="H6" i="6"/>
  <c r="I6" i="6"/>
  <c r="D4" i="6"/>
  <c r="E4" i="6"/>
  <c r="D5" i="6"/>
  <c r="E2" i="25" s="1"/>
  <c r="E5" i="6"/>
  <c r="F2" i="25" s="1"/>
  <c r="D6" i="6"/>
  <c r="E6" i="6"/>
  <c r="I3" i="6"/>
  <c r="J2" i="7" s="1"/>
  <c r="H3" i="6"/>
  <c r="I2" i="7" s="1"/>
  <c r="G3" i="6"/>
  <c r="H2" i="7" s="1"/>
  <c r="D3" i="6"/>
  <c r="E2" i="7" s="1"/>
  <c r="E3" i="6"/>
  <c r="F2" i="7" s="1"/>
  <c r="I3" i="25" l="1"/>
  <c r="AA7" i="53"/>
  <c r="Z12" i="53"/>
  <c r="K3" i="25"/>
  <c r="J3" i="25"/>
  <c r="W3" i="53"/>
  <c r="S3" i="53" s="1"/>
  <c r="T3" i="53" s="1"/>
  <c r="U3" i="53" s="1"/>
  <c r="V3" i="53" s="1"/>
  <c r="W3" i="54"/>
  <c r="S3" i="54" s="1"/>
  <c r="T3" i="54" s="1"/>
  <c r="U3" i="54" s="1"/>
  <c r="V3" i="54" s="1"/>
  <c r="W3" i="20"/>
  <c r="W3" i="46"/>
  <c r="W3" i="48"/>
  <c r="W3" i="28"/>
  <c r="W3" i="42"/>
  <c r="W3" i="38"/>
  <c r="W3" i="29"/>
  <c r="W3" i="19"/>
  <c r="AA7" i="54"/>
  <c r="Z12" i="54"/>
  <c r="R3" i="53"/>
  <c r="R3" i="54"/>
  <c r="R3" i="46"/>
  <c r="R3" i="28"/>
  <c r="R3" i="19"/>
  <c r="R3" i="42"/>
  <c r="R3" i="20"/>
  <c r="R3" i="38"/>
  <c r="R3" i="29"/>
  <c r="R3" i="48"/>
  <c r="AA7" i="48"/>
  <c r="Z12" i="48"/>
  <c r="D8" i="25"/>
  <c r="D12" i="25"/>
  <c r="AH16" i="25" s="1"/>
  <c r="AI16" i="25" s="1"/>
  <c r="C87" i="7"/>
  <c r="G87" i="7" s="1"/>
  <c r="D9" i="25"/>
  <c r="K56" i="25"/>
  <c r="M56" i="25" s="1"/>
  <c r="D10" i="25"/>
  <c r="L2" i="25"/>
  <c r="D3" i="25"/>
  <c r="D7" i="25"/>
  <c r="AN9" i="12"/>
  <c r="AO9" i="12" s="1"/>
  <c r="D11" i="25"/>
  <c r="AC16" i="25" s="1"/>
  <c r="AD16" i="25" s="1"/>
  <c r="D6" i="25"/>
  <c r="F3" i="25"/>
  <c r="G3" i="25"/>
  <c r="E3" i="25"/>
  <c r="AA7" i="46"/>
  <c r="Z12" i="46"/>
  <c r="AV70" i="36"/>
  <c r="D3" i="7"/>
  <c r="C2" i="20" s="1"/>
  <c r="AU62" i="36"/>
  <c r="N40" i="42"/>
  <c r="AU60" i="36"/>
  <c r="Q59" i="36"/>
  <c r="P40" i="38" s="1"/>
  <c r="AV23" i="36"/>
  <c r="AU69" i="36"/>
  <c r="AU25" i="36"/>
  <c r="N37" i="42" s="1"/>
  <c r="AW35" i="36"/>
  <c r="AV36" i="36"/>
  <c r="O36" i="42" s="1"/>
  <c r="R32" i="36"/>
  <c r="Q23" i="36"/>
  <c r="Q25" i="36" s="1"/>
  <c r="P37" i="38" s="1"/>
  <c r="AU37" i="36"/>
  <c r="AU81" i="36" s="1"/>
  <c r="AU39" i="36"/>
  <c r="AU77" i="36"/>
  <c r="AZ50" i="36"/>
  <c r="AZ52" i="36" s="1"/>
  <c r="AW32" i="36"/>
  <c r="R35" i="36"/>
  <c r="AV97" i="36"/>
  <c r="AV44" i="36"/>
  <c r="AV46" i="36"/>
  <c r="R58" i="36"/>
  <c r="R57" i="36"/>
  <c r="AX30" i="36"/>
  <c r="AY29" i="36"/>
  <c r="AX31" i="36"/>
  <c r="AX34" i="36"/>
  <c r="AX33" i="36"/>
  <c r="P60" i="36"/>
  <c r="P62" i="36"/>
  <c r="AW57" i="36"/>
  <c r="AW58" i="36"/>
  <c r="P28" i="36"/>
  <c r="P84" i="36"/>
  <c r="P26" i="36"/>
  <c r="P87" i="36" s="1"/>
  <c r="S31" i="36"/>
  <c r="S33" i="36"/>
  <c r="S30" i="36"/>
  <c r="S34" i="36"/>
  <c r="T29" i="36"/>
  <c r="T40" i="36"/>
  <c r="S42" i="36"/>
  <c r="W47" i="36"/>
  <c r="AW22" i="36"/>
  <c r="AW21" i="36"/>
  <c r="AV59" i="36"/>
  <c r="O40" i="42" s="1"/>
  <c r="AX19" i="36"/>
  <c r="AX20" i="36" s="1"/>
  <c r="AX56" i="36"/>
  <c r="AW43" i="36"/>
  <c r="P38" i="42" s="1"/>
  <c r="R22" i="36"/>
  <c r="R21" i="36"/>
  <c r="AY18" i="36"/>
  <c r="T18" i="36"/>
  <c r="S19" i="36"/>
  <c r="S20" i="36" s="1"/>
  <c r="S56" i="36"/>
  <c r="BA48" i="36"/>
  <c r="BA49" i="36"/>
  <c r="BA51" i="36"/>
  <c r="BB47" i="36"/>
  <c r="AX41" i="36"/>
  <c r="AY40" i="36"/>
  <c r="AX42" i="36"/>
  <c r="AY90" i="36"/>
  <c r="AY55" i="36"/>
  <c r="AY53" i="36"/>
  <c r="AY94" i="36" s="1"/>
  <c r="AA7" i="29"/>
  <c r="Z12" i="29"/>
  <c r="Z12" i="19"/>
  <c r="AA7" i="19"/>
  <c r="Z12" i="42"/>
  <c r="AA7" i="42"/>
  <c r="AA7" i="28"/>
  <c r="Z12" i="28"/>
  <c r="AA7" i="38"/>
  <c r="Z12" i="38"/>
  <c r="F10" i="9"/>
  <c r="F8" i="9"/>
  <c r="E3" i="7"/>
  <c r="D2" i="50" s="1"/>
  <c r="D5" i="50" s="1"/>
  <c r="F3" i="7"/>
  <c r="T8" i="20"/>
  <c r="T9" i="20"/>
  <c r="D6" i="7"/>
  <c r="C85" i="7"/>
  <c r="G85" i="7" s="1"/>
  <c r="C83" i="7"/>
  <c r="D8" i="7"/>
  <c r="D9" i="7"/>
  <c r="E3" i="44" s="1"/>
  <c r="D10" i="7"/>
  <c r="D7" i="7"/>
  <c r="O11" i="20"/>
  <c r="O10" i="20"/>
  <c r="N12" i="20"/>
  <c r="S7" i="20"/>
  <c r="AH38" i="16"/>
  <c r="AG38" i="16"/>
  <c r="AG127" i="16" s="1"/>
  <c r="AG138" i="16" s="1"/>
  <c r="AF38" i="16"/>
  <c r="AF127" i="16" s="1"/>
  <c r="AF138" i="16" s="1"/>
  <c r="AE38" i="16"/>
  <c r="AE127" i="16" s="1"/>
  <c r="AE138" i="16" s="1"/>
  <c r="AD38" i="16"/>
  <c r="AD127" i="16" s="1"/>
  <c r="AD138" i="16" s="1"/>
  <c r="AC38" i="16"/>
  <c r="AC127" i="16" s="1"/>
  <c r="AC138" i="16" s="1"/>
  <c r="AB38" i="16"/>
  <c r="AB127" i="16" s="1"/>
  <c r="AB138" i="16" s="1"/>
  <c r="AA38" i="16"/>
  <c r="AA127" i="16" s="1"/>
  <c r="AA138" i="16" s="1"/>
  <c r="Z38" i="16"/>
  <c r="Z127" i="16" s="1"/>
  <c r="Z138" i="16" s="1"/>
  <c r="Y38" i="16"/>
  <c r="Y127" i="16" s="1"/>
  <c r="Y138" i="16" s="1"/>
  <c r="X38" i="16"/>
  <c r="X127" i="16" s="1"/>
  <c r="X138" i="16" s="1"/>
  <c r="W38" i="16"/>
  <c r="W127" i="16" s="1"/>
  <c r="W138" i="16" s="1"/>
  <c r="V38" i="16"/>
  <c r="V127" i="16" s="1"/>
  <c r="V138" i="16" s="1"/>
  <c r="U38" i="16"/>
  <c r="U127" i="16" s="1"/>
  <c r="U138" i="16" s="1"/>
  <c r="T38" i="16"/>
  <c r="T127" i="16" s="1"/>
  <c r="T138" i="16" s="1"/>
  <c r="S38" i="16"/>
  <c r="S127" i="16" s="1"/>
  <c r="S138" i="16" s="1"/>
  <c r="R38" i="16"/>
  <c r="R127" i="16" s="1"/>
  <c r="R138" i="16" s="1"/>
  <c r="Q38" i="16"/>
  <c r="Q127" i="16" s="1"/>
  <c r="Q138" i="16" s="1"/>
  <c r="P38" i="16"/>
  <c r="P127" i="16" s="1"/>
  <c r="P138" i="16" s="1"/>
  <c r="O38" i="16"/>
  <c r="O127" i="16" s="1"/>
  <c r="O138" i="16" s="1"/>
  <c r="N38" i="16"/>
  <c r="N127" i="16" s="1"/>
  <c r="N138" i="16" s="1"/>
  <c r="M38" i="16"/>
  <c r="M127" i="16" s="1"/>
  <c r="M138" i="16" s="1"/>
  <c r="L38" i="16"/>
  <c r="L127" i="16" s="1"/>
  <c r="L138" i="16" s="1"/>
  <c r="K38" i="16"/>
  <c r="K127" i="16" s="1"/>
  <c r="K138" i="16" s="1"/>
  <c r="J38" i="16"/>
  <c r="J127" i="16" s="1"/>
  <c r="J138" i="16" s="1"/>
  <c r="I38" i="16"/>
  <c r="I127" i="16" s="1"/>
  <c r="I138" i="16" s="1"/>
  <c r="H38" i="16"/>
  <c r="H127" i="16" s="1"/>
  <c r="H138" i="16" s="1"/>
  <c r="G38" i="16"/>
  <c r="G127" i="16" s="1"/>
  <c r="G138" i="16" s="1"/>
  <c r="F38" i="16"/>
  <c r="F127" i="16" s="1"/>
  <c r="F138" i="16" s="1"/>
  <c r="E38" i="16"/>
  <c r="E127" i="16" s="1"/>
  <c r="E138" i="16" s="1"/>
  <c r="D38" i="16"/>
  <c r="AH31" i="16"/>
  <c r="AG31" i="16"/>
  <c r="AF31" i="16"/>
  <c r="AE31" i="16"/>
  <c r="AD31" i="16"/>
  <c r="AC31" i="16"/>
  <c r="AB31" i="16"/>
  <c r="AA31" i="16"/>
  <c r="Z31" i="16"/>
  <c r="Y31" i="16"/>
  <c r="X31" i="16"/>
  <c r="W31" i="16"/>
  <c r="V31" i="16"/>
  <c r="U31" i="16"/>
  <c r="T31" i="16"/>
  <c r="S31" i="16"/>
  <c r="R31" i="16"/>
  <c r="Q31" i="16"/>
  <c r="P31" i="16"/>
  <c r="O31" i="16"/>
  <c r="N31" i="16"/>
  <c r="M31" i="16"/>
  <c r="L31" i="16"/>
  <c r="K31" i="16"/>
  <c r="J31" i="16"/>
  <c r="I31" i="16"/>
  <c r="H31" i="16"/>
  <c r="G31" i="16"/>
  <c r="F31" i="16"/>
  <c r="E31" i="16"/>
  <c r="D31" i="16"/>
  <c r="D20" i="16"/>
  <c r="D40" i="16" s="1"/>
  <c r="D17" i="16"/>
  <c r="D11" i="16"/>
  <c r="E3" i="16"/>
  <c r="F3" i="16" s="1"/>
  <c r="G3" i="16" s="1"/>
  <c r="H3" i="16" s="1"/>
  <c r="I3" i="16" s="1"/>
  <c r="J3" i="16" s="1"/>
  <c r="K3" i="16" s="1"/>
  <c r="L3" i="16" s="1"/>
  <c r="M3" i="16" s="1"/>
  <c r="N3" i="16" s="1"/>
  <c r="O3" i="16" s="1"/>
  <c r="P3" i="16" s="1"/>
  <c r="Q3" i="16" s="1"/>
  <c r="R3" i="16" s="1"/>
  <c r="S3" i="16" s="1"/>
  <c r="T3" i="16" s="1"/>
  <c r="U3" i="16" s="1"/>
  <c r="V3" i="16" s="1"/>
  <c r="W3" i="16" s="1"/>
  <c r="X3" i="16" s="1"/>
  <c r="Y3" i="16" s="1"/>
  <c r="Z3" i="16" s="1"/>
  <c r="AA3" i="16" s="1"/>
  <c r="AB3" i="16" s="1"/>
  <c r="AC3" i="16" s="1"/>
  <c r="AD3" i="16" s="1"/>
  <c r="AE3" i="16" s="1"/>
  <c r="AF3" i="16" s="1"/>
  <c r="AG3" i="16" s="1"/>
  <c r="AH3" i="16" s="1"/>
  <c r="K38" i="15"/>
  <c r="K127" i="15" s="1"/>
  <c r="K138" i="15" s="1"/>
  <c r="S38" i="15"/>
  <c r="S127" i="15" s="1"/>
  <c r="S138" i="15" s="1"/>
  <c r="AA38" i="15"/>
  <c r="AA127" i="15" s="1"/>
  <c r="AA138" i="15" s="1"/>
  <c r="AF38" i="15"/>
  <c r="AF127" i="15" s="1"/>
  <c r="AF138" i="15" s="1"/>
  <c r="AE38" i="15"/>
  <c r="AE127" i="15" s="1"/>
  <c r="AE138" i="15" s="1"/>
  <c r="AB38" i="15"/>
  <c r="AB127" i="15" s="1"/>
  <c r="AB138" i="15" s="1"/>
  <c r="X38" i="15"/>
  <c r="X127" i="15" s="1"/>
  <c r="X138" i="15" s="1"/>
  <c r="W38" i="15"/>
  <c r="W127" i="15" s="1"/>
  <c r="W138" i="15" s="1"/>
  <c r="T38" i="15"/>
  <c r="T127" i="15" s="1"/>
  <c r="T138" i="15" s="1"/>
  <c r="P38" i="15"/>
  <c r="P127" i="15" s="1"/>
  <c r="P138" i="15" s="1"/>
  <c r="O38" i="15"/>
  <c r="O127" i="15" s="1"/>
  <c r="O138" i="15" s="1"/>
  <c r="L38" i="15"/>
  <c r="L127" i="15" s="1"/>
  <c r="L138" i="15" s="1"/>
  <c r="H38" i="15"/>
  <c r="H127" i="15" s="1"/>
  <c r="H138" i="15" s="1"/>
  <c r="G38" i="15"/>
  <c r="G127" i="15" s="1"/>
  <c r="G138" i="15" s="1"/>
  <c r="D38" i="15"/>
  <c r="D127" i="15" s="1"/>
  <c r="D138" i="15" s="1"/>
  <c r="AG38" i="15"/>
  <c r="AG127" i="15" s="1"/>
  <c r="AG138" i="15" s="1"/>
  <c r="AC38" i="15"/>
  <c r="AC127" i="15" s="1"/>
  <c r="AC138" i="15" s="1"/>
  <c r="Y38" i="15"/>
  <c r="Y127" i="15" s="1"/>
  <c r="Y138" i="15" s="1"/>
  <c r="U38" i="15"/>
  <c r="U127" i="15" s="1"/>
  <c r="U138" i="15" s="1"/>
  <c r="Q38" i="15"/>
  <c r="Q127" i="15" s="1"/>
  <c r="Q138" i="15" s="1"/>
  <c r="M38" i="15"/>
  <c r="M127" i="15" s="1"/>
  <c r="M138" i="15" s="1"/>
  <c r="I38" i="15"/>
  <c r="I127" i="15" s="1"/>
  <c r="I138" i="15" s="1"/>
  <c r="E38" i="15"/>
  <c r="E127" i="15" s="1"/>
  <c r="E138" i="15" s="1"/>
  <c r="D31" i="15"/>
  <c r="D20" i="15"/>
  <c r="D40" i="15" s="1"/>
  <c r="D122" i="15" s="1"/>
  <c r="D132" i="15" s="1"/>
  <c r="D17" i="15"/>
  <c r="D11" i="15"/>
  <c r="E3" i="15"/>
  <c r="F3" i="15" s="1"/>
  <c r="G3" i="15" s="1"/>
  <c r="H3" i="15" s="1"/>
  <c r="I3" i="15" s="1"/>
  <c r="J3" i="15" s="1"/>
  <c r="K3" i="15" s="1"/>
  <c r="L3" i="15" s="1"/>
  <c r="M3" i="15" s="1"/>
  <c r="N3" i="15" s="1"/>
  <c r="O3" i="15" s="1"/>
  <c r="P3" i="15" s="1"/>
  <c r="Q3" i="15" s="1"/>
  <c r="R3" i="15" s="1"/>
  <c r="S3" i="15" s="1"/>
  <c r="T3" i="15" s="1"/>
  <c r="U3" i="15" s="1"/>
  <c r="V3" i="15" s="1"/>
  <c r="W3" i="15" s="1"/>
  <c r="X3" i="15" s="1"/>
  <c r="Y3" i="15" s="1"/>
  <c r="Z3" i="15" s="1"/>
  <c r="AA3" i="15" s="1"/>
  <c r="AB3" i="15" s="1"/>
  <c r="AC3" i="15" s="1"/>
  <c r="AD3" i="15" s="1"/>
  <c r="AE3" i="15" s="1"/>
  <c r="AF3" i="15" s="1"/>
  <c r="AG3" i="15" s="1"/>
  <c r="AH3" i="15" s="1"/>
  <c r="D28" i="13"/>
  <c r="D29" i="13"/>
  <c r="E27" i="13"/>
  <c r="F27" i="13" s="1"/>
  <c r="G27" i="13" s="1"/>
  <c r="H27" i="13" s="1"/>
  <c r="I27" i="13" s="1"/>
  <c r="J27" i="13" s="1"/>
  <c r="K27" i="13" s="1"/>
  <c r="L27" i="13" s="1"/>
  <c r="M27" i="13" s="1"/>
  <c r="N27" i="13" s="1"/>
  <c r="O27" i="13" s="1"/>
  <c r="P27" i="13" s="1"/>
  <c r="Q27" i="13" s="1"/>
  <c r="R27" i="13" s="1"/>
  <c r="S27" i="13" s="1"/>
  <c r="T27" i="13" s="1"/>
  <c r="U27" i="13" s="1"/>
  <c r="V27" i="13" s="1"/>
  <c r="W27" i="13" s="1"/>
  <c r="X27" i="13" s="1"/>
  <c r="Y27" i="13" s="1"/>
  <c r="Z27" i="13" s="1"/>
  <c r="AA27" i="13" s="1"/>
  <c r="AB27" i="13" s="1"/>
  <c r="AC27" i="13" s="1"/>
  <c r="AD27" i="13" s="1"/>
  <c r="AE27" i="13" s="1"/>
  <c r="AF27" i="13" s="1"/>
  <c r="AG27" i="13" s="1"/>
  <c r="AH27" i="13" s="1"/>
  <c r="D34" i="11"/>
  <c r="D33" i="11"/>
  <c r="F16" i="13"/>
  <c r="E16" i="13"/>
  <c r="E11" i="13"/>
  <c r="D11" i="13"/>
  <c r="F10" i="13"/>
  <c r="F9" i="13"/>
  <c r="F8" i="13"/>
  <c r="F7" i="13"/>
  <c r="D17" i="13" s="1"/>
  <c r="F6" i="13"/>
  <c r="E32" i="11"/>
  <c r="F32" i="11" s="1"/>
  <c r="G32" i="11" s="1"/>
  <c r="H32" i="11" s="1"/>
  <c r="I32" i="11" s="1"/>
  <c r="J32" i="11" s="1"/>
  <c r="K32" i="11" s="1"/>
  <c r="L32" i="11" s="1"/>
  <c r="M32" i="11" s="1"/>
  <c r="N32" i="11" s="1"/>
  <c r="O32" i="11" s="1"/>
  <c r="P32" i="11" s="1"/>
  <c r="Q32" i="11" s="1"/>
  <c r="R32" i="11" s="1"/>
  <c r="S32" i="11" s="1"/>
  <c r="T32" i="11" s="1"/>
  <c r="U32" i="11" s="1"/>
  <c r="V32" i="11" s="1"/>
  <c r="W32" i="11" s="1"/>
  <c r="X32" i="11" s="1"/>
  <c r="Y32" i="11" s="1"/>
  <c r="Z32" i="11" s="1"/>
  <c r="AA32" i="11" s="1"/>
  <c r="AB32" i="11" s="1"/>
  <c r="AC32" i="11" s="1"/>
  <c r="AD32" i="11" s="1"/>
  <c r="AE32" i="11" s="1"/>
  <c r="AF32" i="11" s="1"/>
  <c r="AG32" i="11" s="1"/>
  <c r="AH32" i="11" s="1"/>
  <c r="G16" i="11"/>
  <c r="F16" i="11"/>
  <c r="E10" i="11"/>
  <c r="E11" i="11" s="1"/>
  <c r="D10" i="11"/>
  <c r="D11" i="11" s="1"/>
  <c r="F9" i="11"/>
  <c r="F8" i="11"/>
  <c r="F7" i="11"/>
  <c r="D17" i="11" s="1"/>
  <c r="D16" i="25" l="1"/>
  <c r="D17" i="25"/>
  <c r="D13" i="25"/>
  <c r="E4" i="44"/>
  <c r="D4" i="44" s="1"/>
  <c r="S16" i="25"/>
  <c r="S17" i="25"/>
  <c r="T17" i="25" s="1"/>
  <c r="S3" i="46"/>
  <c r="T3" i="46" s="1"/>
  <c r="U3" i="46" s="1"/>
  <c r="V3" i="46" s="1"/>
  <c r="C2" i="19"/>
  <c r="C2" i="53"/>
  <c r="C2" i="54"/>
  <c r="AB7" i="54"/>
  <c r="AA12" i="54"/>
  <c r="S3" i="20"/>
  <c r="T3" i="20" s="1"/>
  <c r="U3" i="20" s="1"/>
  <c r="V3" i="20" s="1"/>
  <c r="H2" i="53"/>
  <c r="H2" i="54"/>
  <c r="S3" i="19"/>
  <c r="T3" i="19" s="1"/>
  <c r="U3" i="19" s="1"/>
  <c r="V3" i="19" s="1"/>
  <c r="I18" i="25"/>
  <c r="J18" i="25" s="1"/>
  <c r="I19" i="25"/>
  <c r="J19" i="25" s="1"/>
  <c r="I16" i="25"/>
  <c r="I17" i="25"/>
  <c r="J17" i="25" s="1"/>
  <c r="N19" i="25"/>
  <c r="O19" i="25" s="1"/>
  <c r="N17" i="25"/>
  <c r="O17" i="25" s="1"/>
  <c r="N16" i="25"/>
  <c r="N18" i="25"/>
  <c r="O18" i="25" s="1"/>
  <c r="S3" i="29"/>
  <c r="T3" i="29" s="1"/>
  <c r="U3" i="29" s="1"/>
  <c r="V3" i="29" s="1"/>
  <c r="AA12" i="46"/>
  <c r="AB7" i="46"/>
  <c r="C3" i="19"/>
  <c r="C3" i="53"/>
  <c r="C3" i="54"/>
  <c r="C3" i="20"/>
  <c r="C3" i="46"/>
  <c r="C3" i="48"/>
  <c r="C3" i="28"/>
  <c r="C3" i="42"/>
  <c r="C3" i="38"/>
  <c r="C3" i="29"/>
  <c r="S3" i="38"/>
  <c r="T3" i="38" s="1"/>
  <c r="U3" i="38" s="1"/>
  <c r="V3" i="38" s="1"/>
  <c r="AB3" i="53"/>
  <c r="X3" i="53" s="1"/>
  <c r="Y3" i="53" s="1"/>
  <c r="Z3" i="53" s="1"/>
  <c r="AA3" i="53" s="1"/>
  <c r="AB3" i="54"/>
  <c r="X3" i="54" s="1"/>
  <c r="Y3" i="54" s="1"/>
  <c r="Z3" i="54" s="1"/>
  <c r="AA3" i="54" s="1"/>
  <c r="AB3" i="48"/>
  <c r="AB3" i="28"/>
  <c r="X3" i="28" s="1"/>
  <c r="Y3" i="28" s="1"/>
  <c r="Z3" i="28" s="1"/>
  <c r="AA3" i="28" s="1"/>
  <c r="AB3" i="42"/>
  <c r="AB3" i="29"/>
  <c r="AB3" i="19"/>
  <c r="X3" i="19" s="1"/>
  <c r="Y3" i="19" s="1"/>
  <c r="Z3" i="19" s="1"/>
  <c r="AA3" i="19" s="1"/>
  <c r="AB3" i="38"/>
  <c r="AB3" i="20"/>
  <c r="X3" i="20" s="1"/>
  <c r="Y3" i="20" s="1"/>
  <c r="Z3" i="20" s="1"/>
  <c r="AA3" i="20" s="1"/>
  <c r="AB3" i="46"/>
  <c r="AI5" i="54"/>
  <c r="AI5" i="53"/>
  <c r="AI5" i="38"/>
  <c r="L57" i="25"/>
  <c r="AI5" i="29"/>
  <c r="AI5" i="46"/>
  <c r="AI5" i="48"/>
  <c r="AI5" i="42"/>
  <c r="AB7" i="48"/>
  <c r="AA12" i="48"/>
  <c r="S3" i="42"/>
  <c r="T3" i="42" s="1"/>
  <c r="U3" i="42" s="1"/>
  <c r="V3" i="42" s="1"/>
  <c r="AG3" i="53"/>
  <c r="AG3" i="54"/>
  <c r="AG3" i="38"/>
  <c r="AG3" i="19"/>
  <c r="AC3" i="19" s="1"/>
  <c r="AD3" i="19" s="1"/>
  <c r="AE3" i="19" s="1"/>
  <c r="AF3" i="19" s="1"/>
  <c r="AG3" i="20"/>
  <c r="AG3" i="48"/>
  <c r="AG3" i="46"/>
  <c r="AG3" i="28"/>
  <c r="AC3" i="28" s="1"/>
  <c r="AD3" i="28" s="1"/>
  <c r="AE3" i="28" s="1"/>
  <c r="AF3" i="28" s="1"/>
  <c r="AG3" i="42"/>
  <c r="AG3" i="29"/>
  <c r="F11" i="13"/>
  <c r="M3" i="53"/>
  <c r="N3" i="53" s="1"/>
  <c r="O3" i="53" s="1"/>
  <c r="P3" i="53" s="1"/>
  <c r="Q3" i="53" s="1"/>
  <c r="M3" i="54"/>
  <c r="M3" i="42"/>
  <c r="M3" i="38"/>
  <c r="M3" i="29"/>
  <c r="M3" i="48"/>
  <c r="M3" i="19"/>
  <c r="N3" i="19" s="1"/>
  <c r="O3" i="19" s="1"/>
  <c r="P3" i="19" s="1"/>
  <c r="Q3" i="19" s="1"/>
  <c r="M3" i="46"/>
  <c r="M3" i="20"/>
  <c r="M3" i="28"/>
  <c r="X16" i="25"/>
  <c r="X17" i="25"/>
  <c r="Y17" i="25" s="1"/>
  <c r="X19" i="25"/>
  <c r="Y19" i="25" s="1"/>
  <c r="X18" i="25"/>
  <c r="Y18" i="25" s="1"/>
  <c r="N3" i="48"/>
  <c r="O3" i="48" s="1"/>
  <c r="P3" i="48" s="1"/>
  <c r="Q3" i="48" s="1"/>
  <c r="S3" i="28"/>
  <c r="T3" i="28" s="1"/>
  <c r="U3" i="28" s="1"/>
  <c r="V3" i="28" s="1"/>
  <c r="H3" i="53"/>
  <c r="D3" i="53" s="1"/>
  <c r="E3" i="53" s="1"/>
  <c r="F3" i="53" s="1"/>
  <c r="G3" i="53" s="1"/>
  <c r="H3" i="54"/>
  <c r="D3" i="54" s="1"/>
  <c r="E3" i="54" s="1"/>
  <c r="F3" i="54" s="1"/>
  <c r="G3" i="54" s="1"/>
  <c r="H3" i="48"/>
  <c r="H3" i="46"/>
  <c r="H3" i="28"/>
  <c r="H3" i="42"/>
  <c r="H3" i="38"/>
  <c r="H3" i="19"/>
  <c r="D3" i="19" s="1"/>
  <c r="E3" i="19" s="1"/>
  <c r="F3" i="19" s="1"/>
  <c r="G3" i="19" s="1"/>
  <c r="H3" i="29"/>
  <c r="H3" i="20"/>
  <c r="N3" i="29"/>
  <c r="O3" i="29" s="1"/>
  <c r="P3" i="29" s="1"/>
  <c r="Q3" i="29" s="1"/>
  <c r="S3" i="48"/>
  <c r="T3" i="48" s="1"/>
  <c r="U3" i="48" s="1"/>
  <c r="V3" i="48" s="1"/>
  <c r="AA12" i="53"/>
  <c r="AB7" i="53"/>
  <c r="D13" i="44"/>
  <c r="E13" i="44" s="1"/>
  <c r="AN11" i="12"/>
  <c r="AO11" i="12" s="1"/>
  <c r="D14" i="44"/>
  <c r="D12" i="44"/>
  <c r="L14" i="44"/>
  <c r="E2" i="50"/>
  <c r="H2" i="48"/>
  <c r="H2" i="46"/>
  <c r="H2" i="28"/>
  <c r="H2" i="42"/>
  <c r="H2" i="38"/>
  <c r="H2" i="29"/>
  <c r="C2" i="50"/>
  <c r="C2" i="48"/>
  <c r="C2" i="46"/>
  <c r="C2" i="28"/>
  <c r="C2" i="42"/>
  <c r="C2" i="38"/>
  <c r="C2" i="29"/>
  <c r="Q62" i="36"/>
  <c r="AZ53" i="36"/>
  <c r="AZ94" i="36" s="1"/>
  <c r="S39" i="42"/>
  <c r="Q60" i="36"/>
  <c r="AZ55" i="36"/>
  <c r="AZ90" i="36"/>
  <c r="BA50" i="36"/>
  <c r="BA52" i="36" s="1"/>
  <c r="T39" i="42" s="1"/>
  <c r="AV25" i="36"/>
  <c r="O37" i="42" s="1"/>
  <c r="AV69" i="36"/>
  <c r="AW59" i="36"/>
  <c r="P40" i="42" s="1"/>
  <c r="R23" i="36"/>
  <c r="R25" i="36" s="1"/>
  <c r="Q37" i="38" s="1"/>
  <c r="AU26" i="36"/>
  <c r="AU87" i="36" s="1"/>
  <c r="AU28" i="36"/>
  <c r="AU84" i="36"/>
  <c r="AW23" i="36"/>
  <c r="AW70" i="36"/>
  <c r="AW36" i="36"/>
  <c r="P36" i="42" s="1"/>
  <c r="AX35" i="36"/>
  <c r="AV77" i="36"/>
  <c r="AV39" i="36"/>
  <c r="AV37" i="36"/>
  <c r="AV81" i="36" s="1"/>
  <c r="AX43" i="36"/>
  <c r="Q38" i="42" s="1"/>
  <c r="S32" i="36"/>
  <c r="S35" i="36"/>
  <c r="AX32" i="36"/>
  <c r="R59" i="36"/>
  <c r="Q40" i="38" s="1"/>
  <c r="AZ40" i="36"/>
  <c r="AY42" i="36"/>
  <c r="AY41" i="36"/>
  <c r="AX22" i="36"/>
  <c r="AX21" i="36"/>
  <c r="T42" i="36"/>
  <c r="U40" i="36"/>
  <c r="T31" i="36"/>
  <c r="T30" i="36"/>
  <c r="T34" i="36"/>
  <c r="T33" i="36"/>
  <c r="U29" i="36"/>
  <c r="AY31" i="36"/>
  <c r="AY30" i="36"/>
  <c r="AY34" i="36"/>
  <c r="AY33" i="36"/>
  <c r="AZ29" i="36"/>
  <c r="AZ18" i="36"/>
  <c r="T19" i="36"/>
  <c r="T20" i="36" s="1"/>
  <c r="U18" i="36"/>
  <c r="T56" i="36"/>
  <c r="AW44" i="36"/>
  <c r="AW97" i="36"/>
  <c r="AW46" i="36"/>
  <c r="AX58" i="36"/>
  <c r="AX57" i="36"/>
  <c r="AV62" i="36"/>
  <c r="AV60" i="36"/>
  <c r="BB48" i="36"/>
  <c r="BC47" i="36"/>
  <c r="BB51" i="36"/>
  <c r="BB49" i="36"/>
  <c r="S22" i="36"/>
  <c r="S21" i="36"/>
  <c r="AY19" i="36"/>
  <c r="AY20" i="36" s="1"/>
  <c r="AY56" i="36"/>
  <c r="X47" i="36"/>
  <c r="Q84" i="36"/>
  <c r="Q28" i="36"/>
  <c r="Q26" i="36"/>
  <c r="Q87" i="36" s="1"/>
  <c r="S57" i="36"/>
  <c r="S58" i="36"/>
  <c r="E33" i="11"/>
  <c r="AA12" i="19"/>
  <c r="AB7" i="19"/>
  <c r="AB7" i="38"/>
  <c r="AA12" i="38"/>
  <c r="AA12" i="42"/>
  <c r="AB7" i="42"/>
  <c r="AA12" i="28"/>
  <c r="AB7" i="28"/>
  <c r="AB7" i="29"/>
  <c r="AA12" i="29"/>
  <c r="R28" i="36"/>
  <c r="R26" i="36"/>
  <c r="H2" i="19"/>
  <c r="H2" i="20"/>
  <c r="D39" i="15"/>
  <c r="D121" i="15" s="1"/>
  <c r="D131" i="15" s="1"/>
  <c r="D39" i="16"/>
  <c r="D121" i="16" s="1"/>
  <c r="D131" i="16" s="1"/>
  <c r="F9" i="9"/>
  <c r="F11" i="9" s="1"/>
  <c r="D18" i="13"/>
  <c r="L25" i="13"/>
  <c r="K25" i="13"/>
  <c r="D25" i="13"/>
  <c r="M25" i="13"/>
  <c r="J25" i="13"/>
  <c r="L126" i="16"/>
  <c r="L50" i="16"/>
  <c r="L53" i="16" s="1"/>
  <c r="L137" i="16" s="1"/>
  <c r="X126" i="16"/>
  <c r="X50" i="16"/>
  <c r="X53" i="16" s="1"/>
  <c r="X137" i="16" s="1"/>
  <c r="I126" i="16"/>
  <c r="I50" i="16"/>
  <c r="I53" i="16" s="1"/>
  <c r="I137" i="16" s="1"/>
  <c r="U126" i="16"/>
  <c r="U50" i="16"/>
  <c r="U53" i="16" s="1"/>
  <c r="U137" i="16" s="1"/>
  <c r="Y126" i="16"/>
  <c r="Y50" i="16"/>
  <c r="Y53" i="16" s="1"/>
  <c r="Y137" i="16" s="1"/>
  <c r="AC126" i="16"/>
  <c r="AC50" i="16"/>
  <c r="AC53" i="16" s="1"/>
  <c r="AC137" i="16" s="1"/>
  <c r="AG126" i="16"/>
  <c r="AG50" i="16"/>
  <c r="AG53" i="16" s="1"/>
  <c r="AG137" i="16" s="1"/>
  <c r="AH127" i="16"/>
  <c r="AH138" i="16" s="1"/>
  <c r="D87" i="16"/>
  <c r="D126" i="16"/>
  <c r="D50" i="16"/>
  <c r="D53" i="16" s="1"/>
  <c r="D137" i="16" s="1"/>
  <c r="P126" i="16"/>
  <c r="P50" i="16"/>
  <c r="P53" i="16" s="1"/>
  <c r="P137" i="16" s="1"/>
  <c r="AB126" i="16"/>
  <c r="AB50" i="16"/>
  <c r="AB53" i="16" s="1"/>
  <c r="AB137" i="16" s="1"/>
  <c r="E126" i="16"/>
  <c r="E50" i="16"/>
  <c r="E53" i="16" s="1"/>
  <c r="E137" i="16" s="1"/>
  <c r="M126" i="16"/>
  <c r="M50" i="16"/>
  <c r="M53" i="16" s="1"/>
  <c r="M137" i="16" s="1"/>
  <c r="F126" i="16"/>
  <c r="F50" i="16"/>
  <c r="F53" i="16" s="1"/>
  <c r="F137" i="16" s="1"/>
  <c r="J126" i="16"/>
  <c r="J50" i="16"/>
  <c r="J53" i="16" s="1"/>
  <c r="J137" i="16" s="1"/>
  <c r="N126" i="16"/>
  <c r="N50" i="16"/>
  <c r="N53" i="16" s="1"/>
  <c r="N137" i="16" s="1"/>
  <c r="R126" i="16"/>
  <c r="R50" i="16"/>
  <c r="R53" i="16" s="1"/>
  <c r="R137" i="16" s="1"/>
  <c r="V126" i="16"/>
  <c r="V50" i="16"/>
  <c r="V53" i="16" s="1"/>
  <c r="V137" i="16" s="1"/>
  <c r="Z126" i="16"/>
  <c r="Z50" i="16"/>
  <c r="Z53" i="16" s="1"/>
  <c r="Z137" i="16" s="1"/>
  <c r="AD126" i="16"/>
  <c r="AD50" i="16"/>
  <c r="AD53" i="16" s="1"/>
  <c r="AD137" i="16" s="1"/>
  <c r="D86" i="16"/>
  <c r="AH126" i="16"/>
  <c r="AH50" i="16"/>
  <c r="AH53" i="16" s="1"/>
  <c r="H126" i="16"/>
  <c r="H50" i="16"/>
  <c r="H53" i="16" s="1"/>
  <c r="H137" i="16" s="1"/>
  <c r="T126" i="16"/>
  <c r="T50" i="16"/>
  <c r="T53" i="16" s="1"/>
  <c r="T137" i="16" s="1"/>
  <c r="AF126" i="16"/>
  <c r="AF50" i="16"/>
  <c r="AF53" i="16" s="1"/>
  <c r="AF137" i="16" s="1"/>
  <c r="Q126" i="16"/>
  <c r="Q50" i="16"/>
  <c r="Q53" i="16" s="1"/>
  <c r="Q137" i="16" s="1"/>
  <c r="D122" i="16"/>
  <c r="D132" i="16" s="1"/>
  <c r="G126" i="16"/>
  <c r="G50" i="16"/>
  <c r="G53" i="16" s="1"/>
  <c r="G137" i="16" s="1"/>
  <c r="K126" i="16"/>
  <c r="K50" i="16"/>
  <c r="K53" i="16" s="1"/>
  <c r="K137" i="16" s="1"/>
  <c r="O126" i="16"/>
  <c r="O50" i="16"/>
  <c r="O53" i="16" s="1"/>
  <c r="O137" i="16" s="1"/>
  <c r="S126" i="16"/>
  <c r="S50" i="16"/>
  <c r="S53" i="16" s="1"/>
  <c r="S137" i="16" s="1"/>
  <c r="W126" i="16"/>
  <c r="W50" i="16"/>
  <c r="W53" i="16" s="1"/>
  <c r="W137" i="16" s="1"/>
  <c r="AA126" i="16"/>
  <c r="AA50" i="16"/>
  <c r="AA53" i="16" s="1"/>
  <c r="AA137" i="16" s="1"/>
  <c r="AE126" i="16"/>
  <c r="AE50" i="16"/>
  <c r="AE53" i="16" s="1"/>
  <c r="AE137" i="16" s="1"/>
  <c r="D127" i="16"/>
  <c r="D138" i="16" s="1"/>
  <c r="D41" i="16"/>
  <c r="AJ119" i="59" s="1"/>
  <c r="D50" i="15"/>
  <c r="D53" i="15" s="1"/>
  <c r="D137" i="15" s="1"/>
  <c r="D126" i="15"/>
  <c r="U9" i="20"/>
  <c r="U8" i="20"/>
  <c r="E17" i="13"/>
  <c r="E19" i="13" s="1"/>
  <c r="I20" i="7"/>
  <c r="I19" i="7"/>
  <c r="C47" i="44" s="1"/>
  <c r="I18" i="7"/>
  <c r="X14" i="7"/>
  <c r="X15" i="7"/>
  <c r="I14" i="7"/>
  <c r="I15" i="7"/>
  <c r="S15" i="7"/>
  <c r="S14" i="7"/>
  <c r="S16" i="7"/>
  <c r="D41" i="15"/>
  <c r="D119" i="59" s="1"/>
  <c r="P10" i="20"/>
  <c r="O12" i="20"/>
  <c r="P11" i="20"/>
  <c r="J8" i="13"/>
  <c r="G16" i="13"/>
  <c r="E28" i="13" s="1"/>
  <c r="E29" i="13" s="1"/>
  <c r="E30" i="13" s="1"/>
  <c r="E32" i="13" s="1"/>
  <c r="T7" i="20"/>
  <c r="F38" i="15"/>
  <c r="F127" i="15" s="1"/>
  <c r="F138" i="15" s="1"/>
  <c r="J38" i="15"/>
  <c r="J127" i="15" s="1"/>
  <c r="J138" i="15" s="1"/>
  <c r="N38" i="15"/>
  <c r="N127" i="15" s="1"/>
  <c r="N138" i="15" s="1"/>
  <c r="R38" i="15"/>
  <c r="R127" i="15" s="1"/>
  <c r="R138" i="15" s="1"/>
  <c r="V38" i="15"/>
  <c r="V127" i="15" s="1"/>
  <c r="V138" i="15" s="1"/>
  <c r="Z38" i="15"/>
  <c r="Z127" i="15" s="1"/>
  <c r="Z138" i="15" s="1"/>
  <c r="AD38" i="15"/>
  <c r="AD127" i="15" s="1"/>
  <c r="AD138" i="15" s="1"/>
  <c r="AH38" i="15"/>
  <c r="E34" i="11"/>
  <c r="E35" i="11" s="1"/>
  <c r="E36" i="11" s="1"/>
  <c r="F33" i="11"/>
  <c r="F10" i="11"/>
  <c r="F17" i="11"/>
  <c r="F18" i="11" s="1"/>
  <c r="F19" i="11" s="1"/>
  <c r="F11" i="11"/>
  <c r="E18" i="13"/>
  <c r="G7" i="13"/>
  <c r="G9" i="13" s="1"/>
  <c r="F17" i="13"/>
  <c r="D19" i="13"/>
  <c r="J9" i="13"/>
  <c r="D18" i="11"/>
  <c r="D19" i="11" s="1"/>
  <c r="G7" i="11"/>
  <c r="G8" i="11" s="1"/>
  <c r="J8" i="11"/>
  <c r="E17" i="11"/>
  <c r="E18" i="11" s="1"/>
  <c r="E19" i="11" s="1"/>
  <c r="J9" i="11"/>
  <c r="D3" i="20" l="1"/>
  <c r="E3" i="20" s="1"/>
  <c r="F3" i="20" s="1"/>
  <c r="G3" i="20" s="1"/>
  <c r="AC3" i="20"/>
  <c r="AD3" i="20" s="1"/>
  <c r="AE3" i="20" s="1"/>
  <c r="AF3" i="20" s="1"/>
  <c r="I3" i="54"/>
  <c r="J3" i="54" s="1"/>
  <c r="K3" i="54" s="1"/>
  <c r="L3" i="54" s="1"/>
  <c r="I3" i="38"/>
  <c r="J3" i="38"/>
  <c r="K3" i="38" s="1"/>
  <c r="L3" i="38" s="1"/>
  <c r="AC3" i="46"/>
  <c r="AD3" i="46" s="1"/>
  <c r="AE3" i="46" s="1"/>
  <c r="AF3" i="46" s="1"/>
  <c r="AC7" i="48"/>
  <c r="AB12" i="48"/>
  <c r="X3" i="48"/>
  <c r="Y3" i="48" s="1"/>
  <c r="Z3" i="48" s="1"/>
  <c r="AA3" i="48" s="1"/>
  <c r="D2" i="54"/>
  <c r="D3" i="38"/>
  <c r="E3" i="38" s="1"/>
  <c r="F3" i="38" s="1"/>
  <c r="G3" i="38" s="1"/>
  <c r="N3" i="54"/>
  <c r="O3" i="54" s="1"/>
  <c r="P3" i="54" s="1"/>
  <c r="Q3" i="54" s="1"/>
  <c r="C46" i="44"/>
  <c r="C48" i="44" s="1"/>
  <c r="D51" i="44" s="1"/>
  <c r="Y16" i="25"/>
  <c r="X20" i="25"/>
  <c r="I3" i="42"/>
  <c r="J3" i="42" s="1"/>
  <c r="K3" i="42" s="1"/>
  <c r="L3" i="42" s="1"/>
  <c r="AC3" i="48"/>
  <c r="AD3" i="48" s="1"/>
  <c r="AE3" i="48" s="1"/>
  <c r="AF3" i="48" s="1"/>
  <c r="X3" i="46"/>
  <c r="Y3" i="46"/>
  <c r="Z3" i="46" s="1"/>
  <c r="AA3" i="46" s="1"/>
  <c r="D2" i="53"/>
  <c r="N3" i="38"/>
  <c r="O3" i="38" s="1"/>
  <c r="P3" i="38" s="1"/>
  <c r="Q3" i="38" s="1"/>
  <c r="AB12" i="53"/>
  <c r="AC7" i="53"/>
  <c r="D3" i="42"/>
  <c r="E3" i="42" s="1"/>
  <c r="F3" i="42" s="1"/>
  <c r="G3" i="42" s="1"/>
  <c r="I3" i="28"/>
  <c r="J3" i="28" s="1"/>
  <c r="K3" i="28" s="1"/>
  <c r="L3" i="28" s="1"/>
  <c r="AC7" i="46"/>
  <c r="AB12" i="46"/>
  <c r="E39" i="11"/>
  <c r="E40" i="11"/>
  <c r="E66" i="45" s="1"/>
  <c r="AK66" i="45" s="1"/>
  <c r="I3" i="20"/>
  <c r="J3" i="20" s="1"/>
  <c r="K3" i="20" s="1"/>
  <c r="L3" i="20" s="1"/>
  <c r="I3" i="53"/>
  <c r="J3" i="53" s="1"/>
  <c r="K3" i="53" s="1"/>
  <c r="L3" i="53" s="1"/>
  <c r="X3" i="38"/>
  <c r="Y3" i="38" s="1"/>
  <c r="Z3" i="38" s="1"/>
  <c r="AA3" i="38" s="1"/>
  <c r="D3" i="28"/>
  <c r="E3" i="28" s="1"/>
  <c r="F3" i="28" s="1"/>
  <c r="G3" i="28" s="1"/>
  <c r="O16" i="25"/>
  <c r="N20" i="25"/>
  <c r="S18" i="25"/>
  <c r="T16" i="25"/>
  <c r="D3" i="46"/>
  <c r="E3" i="46" s="1"/>
  <c r="F3" i="46" s="1"/>
  <c r="G3" i="46" s="1"/>
  <c r="I3" i="46"/>
  <c r="J3" i="46" s="1"/>
  <c r="K3" i="46" s="1"/>
  <c r="L3" i="46" s="1"/>
  <c r="AC3" i="38"/>
  <c r="AD3" i="38" s="1"/>
  <c r="AE3" i="38" s="1"/>
  <c r="AF3" i="38" s="1"/>
  <c r="AB12" i="54"/>
  <c r="AC7" i="54"/>
  <c r="D3" i="48"/>
  <c r="E3" i="48" s="1"/>
  <c r="F3" i="48" s="1"/>
  <c r="G3" i="48" s="1"/>
  <c r="I3" i="19"/>
  <c r="J3" i="19" s="1"/>
  <c r="K3" i="19" s="1"/>
  <c r="L3" i="19" s="1"/>
  <c r="AC3" i="29"/>
  <c r="AD3" i="29" s="1"/>
  <c r="AE3" i="29" s="1"/>
  <c r="AF3" i="29" s="1"/>
  <c r="AC3" i="54"/>
  <c r="AD3" i="54" s="1"/>
  <c r="AE3" i="54" s="1"/>
  <c r="AF3" i="54" s="1"/>
  <c r="X3" i="29"/>
  <c r="Y3" i="29" s="1"/>
  <c r="Z3" i="29" s="1"/>
  <c r="AA3" i="29" s="1"/>
  <c r="N3" i="42"/>
  <c r="I3" i="48"/>
  <c r="J3" i="48" s="1"/>
  <c r="K3" i="48" s="1"/>
  <c r="L3" i="48" s="1"/>
  <c r="AC3" i="42"/>
  <c r="AD3" i="42"/>
  <c r="AE3" i="42" s="1"/>
  <c r="AF3" i="42" s="1"/>
  <c r="AC3" i="53"/>
  <c r="AD3" i="53" s="1"/>
  <c r="AE3" i="53" s="1"/>
  <c r="AF3" i="53" s="1"/>
  <c r="N3" i="46"/>
  <c r="O3" i="46" s="1"/>
  <c r="P3" i="46" s="1"/>
  <c r="Q3" i="46" s="1"/>
  <c r="X3" i="42"/>
  <c r="Y3" i="42" s="1"/>
  <c r="Z3" i="42" s="1"/>
  <c r="AA3" i="42" s="1"/>
  <c r="N3" i="20"/>
  <c r="O3" i="20" s="1"/>
  <c r="P3" i="20" s="1"/>
  <c r="Q3" i="20" s="1"/>
  <c r="E17" i="25"/>
  <c r="O22" i="24"/>
  <c r="D3" i="29"/>
  <c r="E3" i="29" s="1"/>
  <c r="F3" i="29" s="1"/>
  <c r="G3" i="29" s="1"/>
  <c r="I3" i="29"/>
  <c r="J3" i="29" s="1"/>
  <c r="K3" i="29" s="1"/>
  <c r="L3" i="29" s="1"/>
  <c r="N3" i="28"/>
  <c r="O3" i="28" s="1"/>
  <c r="P3" i="28" s="1"/>
  <c r="Q3" i="28" s="1"/>
  <c r="J16" i="25"/>
  <c r="I20" i="25"/>
  <c r="O3" i="42"/>
  <c r="P3" i="42" s="1"/>
  <c r="Q3" i="42" s="1"/>
  <c r="E16" i="25"/>
  <c r="D18" i="25"/>
  <c r="D2" i="38"/>
  <c r="E2" i="38"/>
  <c r="D2" i="48"/>
  <c r="E2" i="48" s="1"/>
  <c r="D2" i="29"/>
  <c r="D2" i="46"/>
  <c r="E2" i="46" s="1"/>
  <c r="F2" i="46" s="1"/>
  <c r="D2" i="42"/>
  <c r="D2" i="28"/>
  <c r="E12" i="44"/>
  <c r="D18" i="44"/>
  <c r="E18" i="44" s="1"/>
  <c r="C59" i="44" s="1"/>
  <c r="C65" i="44" s="1"/>
  <c r="D17" i="44"/>
  <c r="D19" i="44"/>
  <c r="C8" i="50"/>
  <c r="C7" i="50"/>
  <c r="D7" i="50" s="1"/>
  <c r="C6" i="50"/>
  <c r="R84" i="36"/>
  <c r="BA55" i="36"/>
  <c r="BA53" i="36"/>
  <c r="BA94" i="36" s="1"/>
  <c r="BA90" i="36"/>
  <c r="S59" i="36"/>
  <c r="R40" i="38" s="1"/>
  <c r="AX59" i="36"/>
  <c r="Q40" i="42" s="1"/>
  <c r="AV84" i="36"/>
  <c r="AV26" i="36"/>
  <c r="AV87" i="36" s="1"/>
  <c r="AV28" i="36"/>
  <c r="AX70" i="36"/>
  <c r="AW25" i="36"/>
  <c r="P37" i="42" s="1"/>
  <c r="AW69" i="36"/>
  <c r="S23" i="36"/>
  <c r="S25" i="36" s="1"/>
  <c r="AW60" i="36"/>
  <c r="AW62" i="36"/>
  <c r="AX36" i="36"/>
  <c r="Q36" i="42" s="1"/>
  <c r="AY35" i="36"/>
  <c r="T35" i="36"/>
  <c r="AY32" i="36"/>
  <c r="T32" i="36"/>
  <c r="AW77" i="36"/>
  <c r="AW39" i="36"/>
  <c r="AW37" i="36"/>
  <c r="AW81" i="36" s="1"/>
  <c r="AX46" i="36"/>
  <c r="AX44" i="36"/>
  <c r="AX97" i="36"/>
  <c r="R62" i="36"/>
  <c r="R60" i="36"/>
  <c r="AX23" i="36"/>
  <c r="BA18" i="36"/>
  <c r="V18" i="36"/>
  <c r="U19" i="36"/>
  <c r="U20" i="36" s="1"/>
  <c r="U56" i="36"/>
  <c r="AZ30" i="36"/>
  <c r="AZ31" i="36"/>
  <c r="AZ34" i="36"/>
  <c r="BA29" i="36"/>
  <c r="AZ33" i="36"/>
  <c r="V29" i="36"/>
  <c r="U33" i="36"/>
  <c r="U30" i="36"/>
  <c r="U31" i="36"/>
  <c r="U34" i="36"/>
  <c r="AY58" i="36"/>
  <c r="AY57" i="36"/>
  <c r="BC49" i="36"/>
  <c r="BD47" i="36"/>
  <c r="BC51" i="36"/>
  <c r="BC48" i="36"/>
  <c r="T21" i="36"/>
  <c r="T22" i="36"/>
  <c r="AZ41" i="36"/>
  <c r="AZ42" i="36"/>
  <c r="BA40" i="36"/>
  <c r="Y47" i="36"/>
  <c r="AY22" i="36"/>
  <c r="AY21" i="36"/>
  <c r="BB50" i="36"/>
  <c r="BB52" i="36" s="1"/>
  <c r="U39" i="42" s="1"/>
  <c r="AZ19" i="36"/>
  <c r="AZ20" i="36" s="1"/>
  <c r="AZ56" i="36"/>
  <c r="V40" i="36"/>
  <c r="U42" i="36"/>
  <c r="T58" i="36"/>
  <c r="T57" i="36"/>
  <c r="AY43" i="36"/>
  <c r="R38" i="42" s="1"/>
  <c r="G19" i="11"/>
  <c r="E37" i="11"/>
  <c r="E72" i="14" s="1"/>
  <c r="E38" i="11"/>
  <c r="AC7" i="42"/>
  <c r="AB12" i="42"/>
  <c r="AC7" i="38"/>
  <c r="AB12" i="38"/>
  <c r="AB12" i="28"/>
  <c r="AC7" i="28"/>
  <c r="AB12" i="19"/>
  <c r="AC7" i="19"/>
  <c r="AC7" i="29"/>
  <c r="AB12" i="29"/>
  <c r="G19" i="13"/>
  <c r="R87" i="36"/>
  <c r="D2" i="19"/>
  <c r="D2" i="20"/>
  <c r="D76" i="14"/>
  <c r="D80" i="14"/>
  <c r="D80" i="12"/>
  <c r="D76" i="12"/>
  <c r="N25" i="13"/>
  <c r="D75" i="14"/>
  <c r="D75" i="12"/>
  <c r="D79" i="14"/>
  <c r="D77" i="14"/>
  <c r="D77" i="12"/>
  <c r="D79" i="12"/>
  <c r="D78" i="14"/>
  <c r="D78" i="12"/>
  <c r="X86" i="16"/>
  <c r="AH137" i="16"/>
  <c r="AH127" i="15"/>
  <c r="AH138" i="15" s="1"/>
  <c r="D87" i="15"/>
  <c r="V8" i="20"/>
  <c r="V9" i="20"/>
  <c r="G8" i="13"/>
  <c r="I24" i="7"/>
  <c r="I25" i="7"/>
  <c r="J25" i="7" s="1"/>
  <c r="I26" i="7"/>
  <c r="J26" i="7" s="1"/>
  <c r="I27" i="7"/>
  <c r="S19" i="7"/>
  <c r="U19" i="7" s="1"/>
  <c r="S20" i="7"/>
  <c r="S21" i="7"/>
  <c r="Q11" i="20"/>
  <c r="Q10" i="20"/>
  <c r="P12" i="20"/>
  <c r="G33" i="11"/>
  <c r="F34" i="11"/>
  <c r="F35" i="11" s="1"/>
  <c r="F36" i="11" s="1"/>
  <c r="F28" i="13"/>
  <c r="G11" i="13"/>
  <c r="U7" i="20"/>
  <c r="E31" i="15"/>
  <c r="G11" i="11"/>
  <c r="F18" i="13"/>
  <c r="F19" i="13"/>
  <c r="G10" i="13"/>
  <c r="G10" i="11"/>
  <c r="G9" i="11"/>
  <c r="C27" i="25" l="1"/>
  <c r="G51" i="44"/>
  <c r="G50" i="44"/>
  <c r="L59" i="60"/>
  <c r="AA12" i="52"/>
  <c r="U12" i="52"/>
  <c r="H12" i="52"/>
  <c r="AG12" i="52"/>
  <c r="D12" i="52"/>
  <c r="AC12" i="52"/>
  <c r="P12" i="52"/>
  <c r="O12" i="52"/>
  <c r="L12" i="52"/>
  <c r="AE12" i="52"/>
  <c r="X12" i="52"/>
  <c r="J12" i="52"/>
  <c r="T12" i="52"/>
  <c r="F12" i="52"/>
  <c r="AF12" i="52"/>
  <c r="R12" i="52"/>
  <c r="AB12" i="52"/>
  <c r="N12" i="52"/>
  <c r="C12" i="52"/>
  <c r="Z12" i="52"/>
  <c r="B3" i="61"/>
  <c r="W12" i="52"/>
  <c r="V12" i="52"/>
  <c r="I12" i="52"/>
  <c r="G12" i="52"/>
  <c r="K12" i="52"/>
  <c r="E12" i="52"/>
  <c r="AD12" i="52"/>
  <c r="Q12" i="52"/>
  <c r="S12" i="52"/>
  <c r="M12" i="52"/>
  <c r="C28" i="25"/>
  <c r="L60" i="60" s="1"/>
  <c r="Y12" i="52"/>
  <c r="E2" i="42"/>
  <c r="AC12" i="54"/>
  <c r="AD7" i="54"/>
  <c r="F37" i="11"/>
  <c r="F40" i="11"/>
  <c r="F66" i="45" s="1"/>
  <c r="AL66" i="45" s="1"/>
  <c r="F39" i="11"/>
  <c r="F38" i="11"/>
  <c r="E61" i="45"/>
  <c r="AK61" i="45" s="1"/>
  <c r="AK63" i="45" s="1"/>
  <c r="E64" i="45"/>
  <c r="AK64" i="45" s="1"/>
  <c r="E2" i="53"/>
  <c r="AC12" i="48"/>
  <c r="AD7" i="48"/>
  <c r="AC12" i="53"/>
  <c r="AD7" i="53"/>
  <c r="E2" i="54"/>
  <c r="AD7" i="46"/>
  <c r="AC12" i="46"/>
  <c r="D6" i="50"/>
  <c r="E6" i="50" s="1"/>
  <c r="J9" i="49"/>
  <c r="U8" i="49"/>
  <c r="D8" i="50"/>
  <c r="E8" i="50" s="1"/>
  <c r="P5" i="49"/>
  <c r="E7" i="50"/>
  <c r="F2" i="42"/>
  <c r="E2" i="29"/>
  <c r="F2" i="48"/>
  <c r="E2" i="19"/>
  <c r="E13" i="49"/>
  <c r="C4" i="50"/>
  <c r="H20" i="44"/>
  <c r="E17" i="44"/>
  <c r="E2" i="28"/>
  <c r="G2" i="46"/>
  <c r="F2" i="38"/>
  <c r="AX60" i="36"/>
  <c r="AX62" i="36"/>
  <c r="S28" i="36"/>
  <c r="R37" i="38"/>
  <c r="AY70" i="36"/>
  <c r="S26" i="36"/>
  <c r="S87" i="36" s="1"/>
  <c r="AY36" i="36"/>
  <c r="AY77" i="36" s="1"/>
  <c r="BC50" i="36"/>
  <c r="BC52" i="36" s="1"/>
  <c r="V39" i="42" s="1"/>
  <c r="T59" i="36"/>
  <c r="S62" i="36"/>
  <c r="S60" i="36"/>
  <c r="S84" i="36"/>
  <c r="AW84" i="36"/>
  <c r="AW26" i="36"/>
  <c r="AW87" i="36" s="1"/>
  <c r="AW28" i="36"/>
  <c r="AX77" i="36"/>
  <c r="AX37" i="36"/>
  <c r="AX81" i="36" s="1"/>
  <c r="AX39" i="36"/>
  <c r="U35" i="36"/>
  <c r="U32" i="36"/>
  <c r="AY23" i="36"/>
  <c r="T23" i="36"/>
  <c r="T25" i="36" s="1"/>
  <c r="S37" i="38" s="1"/>
  <c r="AZ35" i="36"/>
  <c r="AZ32" i="36"/>
  <c r="AX25" i="36"/>
  <c r="Q37" i="42" s="1"/>
  <c r="AX69" i="36"/>
  <c r="U22" i="36"/>
  <c r="U21" i="36"/>
  <c r="BA41" i="36"/>
  <c r="BA42" i="36"/>
  <c r="BB40" i="36"/>
  <c r="BD49" i="36"/>
  <c r="BD51" i="36"/>
  <c r="BE47" i="36"/>
  <c r="BD48" i="36"/>
  <c r="V56" i="36"/>
  <c r="V30" i="36"/>
  <c r="V34" i="36"/>
  <c r="W29" i="36"/>
  <c r="V33" i="36"/>
  <c r="V31" i="36"/>
  <c r="BB18" i="36"/>
  <c r="V19" i="36"/>
  <c r="V20" i="36" s="1"/>
  <c r="W18" i="36"/>
  <c r="V42" i="36"/>
  <c r="W40" i="36"/>
  <c r="AZ22" i="36"/>
  <c r="AZ21" i="36"/>
  <c r="BB90" i="36"/>
  <c r="BB53" i="36"/>
  <c r="BB94" i="36" s="1"/>
  <c r="BB55" i="36"/>
  <c r="BA19" i="36"/>
  <c r="BA20" i="36" s="1"/>
  <c r="BA56" i="36"/>
  <c r="AY97" i="36"/>
  <c r="AY46" i="36"/>
  <c r="AY44" i="36"/>
  <c r="AZ57" i="36"/>
  <c r="AZ58" i="36"/>
  <c r="Z47" i="36"/>
  <c r="AZ43" i="36"/>
  <c r="S38" i="42" s="1"/>
  <c r="AY59" i="36"/>
  <c r="R40" i="42" s="1"/>
  <c r="BA33" i="36"/>
  <c r="BA34" i="36"/>
  <c r="BB29" i="36"/>
  <c r="BA30" i="36"/>
  <c r="BA31" i="36"/>
  <c r="U57" i="36"/>
  <c r="U58" i="36"/>
  <c r="E63" i="36"/>
  <c r="E72" i="12"/>
  <c r="F72" i="14"/>
  <c r="AD7" i="38"/>
  <c r="AC12" i="38"/>
  <c r="AD7" i="28"/>
  <c r="AC12" i="28"/>
  <c r="AC12" i="19"/>
  <c r="AD7" i="19"/>
  <c r="AD7" i="29"/>
  <c r="AC12" i="29"/>
  <c r="AC12" i="42"/>
  <c r="AD7" i="42"/>
  <c r="J24" i="7"/>
  <c r="M22" i="24"/>
  <c r="L116" i="24" s="1"/>
  <c r="K85" i="44" s="1"/>
  <c r="E2" i="20"/>
  <c r="E50" i="15"/>
  <c r="E53" i="15" s="1"/>
  <c r="E137" i="15" s="1"/>
  <c r="E126" i="15"/>
  <c r="W9" i="20"/>
  <c r="W8" i="20"/>
  <c r="R11" i="20"/>
  <c r="R10" i="20"/>
  <c r="Q12" i="20"/>
  <c r="F72" i="12"/>
  <c r="H33" i="11"/>
  <c r="G34" i="11"/>
  <c r="G35" i="11" s="1"/>
  <c r="G36" i="11" s="1"/>
  <c r="E73" i="14"/>
  <c r="E31" i="13"/>
  <c r="E33" i="13" s="1"/>
  <c r="E64" i="36" s="1"/>
  <c r="F29" i="13"/>
  <c r="F30" i="13" s="1"/>
  <c r="G28" i="13"/>
  <c r="V7" i="20"/>
  <c r="F31" i="15"/>
  <c r="AD12" i="46" l="1"/>
  <c r="AE7" i="46"/>
  <c r="F61" i="45"/>
  <c r="AL61" i="45" s="1"/>
  <c r="AL63" i="45" s="1"/>
  <c r="F64" i="45"/>
  <c r="AL64" i="45" s="1"/>
  <c r="D55" i="25"/>
  <c r="J55" i="25" s="1"/>
  <c r="D54" i="25"/>
  <c r="J54" i="25" s="1"/>
  <c r="F2" i="53"/>
  <c r="AD12" i="54"/>
  <c r="AE7" i="54"/>
  <c r="C29" i="25"/>
  <c r="F2" i="54"/>
  <c r="D53" i="25"/>
  <c r="J53" i="25" s="1"/>
  <c r="AD12" i="53"/>
  <c r="AE7" i="53"/>
  <c r="D50" i="25"/>
  <c r="G39" i="11"/>
  <c r="G37" i="11"/>
  <c r="G40" i="11"/>
  <c r="G66" i="45" s="1"/>
  <c r="AM66" i="45" s="1"/>
  <c r="G38" i="11"/>
  <c r="D52" i="25"/>
  <c r="J52" i="25" s="1"/>
  <c r="AD12" i="48"/>
  <c r="AE7" i="48"/>
  <c r="D51" i="25"/>
  <c r="J51" i="25" s="1"/>
  <c r="O3" i="50"/>
  <c r="O6" i="50" s="1"/>
  <c r="P6" i="50" s="1"/>
  <c r="Q6" i="50" s="1"/>
  <c r="R6" i="50" s="1"/>
  <c r="S6" i="50" s="1"/>
  <c r="T6" i="50" s="1"/>
  <c r="U6" i="50" s="1"/>
  <c r="V6" i="50" s="1"/>
  <c r="W6" i="50" s="1"/>
  <c r="X6" i="50" s="1"/>
  <c r="Y6" i="50" s="1"/>
  <c r="G2" i="48"/>
  <c r="G2" i="42"/>
  <c r="U3" i="49"/>
  <c r="U6" i="49"/>
  <c r="U4" i="49"/>
  <c r="U5" i="49"/>
  <c r="U7" i="49"/>
  <c r="I20" i="44"/>
  <c r="H24" i="44"/>
  <c r="I24" i="44" s="1"/>
  <c r="P3" i="49"/>
  <c r="P4" i="49"/>
  <c r="F2" i="28"/>
  <c r="E7" i="49"/>
  <c r="E4" i="49"/>
  <c r="E11" i="49"/>
  <c r="E8" i="49"/>
  <c r="E6" i="49"/>
  <c r="E5" i="49"/>
  <c r="E10" i="49"/>
  <c r="E9" i="49"/>
  <c r="E12" i="49"/>
  <c r="F2" i="29"/>
  <c r="J5" i="49"/>
  <c r="J4" i="49"/>
  <c r="C19" i="49" s="1"/>
  <c r="J8" i="49"/>
  <c r="J6" i="49"/>
  <c r="J3" i="49"/>
  <c r="C21" i="49" s="1"/>
  <c r="J7" i="49"/>
  <c r="F2" i="19"/>
  <c r="G2" i="38"/>
  <c r="C58" i="44"/>
  <c r="E110" i="24"/>
  <c r="E5" i="50"/>
  <c r="D4" i="50"/>
  <c r="T62" i="36"/>
  <c r="S40" i="38"/>
  <c r="T60" i="36"/>
  <c r="AY37" i="36"/>
  <c r="AY81" i="36" s="1"/>
  <c r="R36" i="42"/>
  <c r="AY39" i="36"/>
  <c r="BD50" i="36"/>
  <c r="BD52" i="36" s="1"/>
  <c r="BD53" i="36" s="1"/>
  <c r="BD94" i="36" s="1"/>
  <c r="U23" i="36"/>
  <c r="AZ70" i="36"/>
  <c r="BA32" i="36"/>
  <c r="V35" i="36"/>
  <c r="AZ36" i="36"/>
  <c r="S36" i="42" s="1"/>
  <c r="U59" i="36"/>
  <c r="T40" i="38" s="1"/>
  <c r="AZ59" i="36"/>
  <c r="AZ60" i="36" s="1"/>
  <c r="BA35" i="36"/>
  <c r="V32" i="36"/>
  <c r="AZ23" i="36"/>
  <c r="AX28" i="36"/>
  <c r="AX26" i="36"/>
  <c r="AX87" i="36" s="1"/>
  <c r="AX84" i="36"/>
  <c r="AY25" i="36"/>
  <c r="R37" i="42" s="1"/>
  <c r="AY69" i="36"/>
  <c r="BD55" i="36"/>
  <c r="AY60" i="36"/>
  <c r="AY62" i="36"/>
  <c r="X40" i="36"/>
  <c r="W42" i="36"/>
  <c r="BB19" i="36"/>
  <c r="BB20" i="36" s="1"/>
  <c r="BB56" i="36"/>
  <c r="BB30" i="36"/>
  <c r="BC29" i="36"/>
  <c r="BB34" i="36"/>
  <c r="BB33" i="36"/>
  <c r="BB31" i="36"/>
  <c r="BC90" i="36"/>
  <c r="BC53" i="36"/>
  <c r="BC94" i="36" s="1"/>
  <c r="BC55" i="36"/>
  <c r="AA47" i="36"/>
  <c r="BA57" i="36"/>
  <c r="BA58" i="36"/>
  <c r="V21" i="36"/>
  <c r="V22" i="36"/>
  <c r="BF47" i="36"/>
  <c r="BE48" i="36"/>
  <c r="BE49" i="36"/>
  <c r="BE51" i="36"/>
  <c r="T28" i="36"/>
  <c r="T26" i="36"/>
  <c r="T87" i="36" s="1"/>
  <c r="T84" i="36"/>
  <c r="BA43" i="36"/>
  <c r="T38" i="42" s="1"/>
  <c r="U25" i="36"/>
  <c r="T37" i="38" s="1"/>
  <c r="AZ46" i="36"/>
  <c r="AZ97" i="36"/>
  <c r="AZ44" i="36"/>
  <c r="BA21" i="36"/>
  <c r="BA22" i="36"/>
  <c r="BC18" i="36"/>
  <c r="W19" i="36"/>
  <c r="W20" i="36" s="1"/>
  <c r="X18" i="36"/>
  <c r="W56" i="36"/>
  <c r="V58" i="36"/>
  <c r="V57" i="36"/>
  <c r="H4" i="9"/>
  <c r="L130" i="24"/>
  <c r="K95" i="44" s="1"/>
  <c r="M25" i="24"/>
  <c r="W31" i="36"/>
  <c r="X29" i="36"/>
  <c r="W33" i="36"/>
  <c r="W34" i="36"/>
  <c r="W30" i="36"/>
  <c r="BB42" i="36"/>
  <c r="BB41" i="36"/>
  <c r="BC40" i="36"/>
  <c r="G72" i="14"/>
  <c r="F63" i="36"/>
  <c r="E63" i="45"/>
  <c r="AK63" i="36"/>
  <c r="AK68" i="36" s="1"/>
  <c r="AK75" i="36" s="1"/>
  <c r="E68" i="36"/>
  <c r="AE7" i="38"/>
  <c r="AD12" i="38"/>
  <c r="AE7" i="29"/>
  <c r="AD12" i="29"/>
  <c r="AD12" i="28"/>
  <c r="AE7" i="28"/>
  <c r="AD12" i="42"/>
  <c r="AE7" i="42"/>
  <c r="AD12" i="19"/>
  <c r="AE7" i="19"/>
  <c r="AK64" i="36"/>
  <c r="E66" i="36"/>
  <c r="E65" i="36"/>
  <c r="F2" i="20"/>
  <c r="P22" i="24"/>
  <c r="F50" i="15"/>
  <c r="F53" i="15" s="1"/>
  <c r="F137" i="15" s="1"/>
  <c r="F126" i="15"/>
  <c r="X8" i="20"/>
  <c r="X9" i="20"/>
  <c r="E74" i="14"/>
  <c r="E219" i="14" s="1"/>
  <c r="E230" i="14" s="1"/>
  <c r="E79" i="14"/>
  <c r="E77" i="14"/>
  <c r="E75" i="14"/>
  <c r="E78" i="14"/>
  <c r="E76" i="14"/>
  <c r="E80" i="14"/>
  <c r="S10" i="20"/>
  <c r="R12" i="20"/>
  <c r="S11" i="20"/>
  <c r="G72" i="12"/>
  <c r="I33" i="11"/>
  <c r="H34" i="11"/>
  <c r="H35" i="11" s="1"/>
  <c r="H36" i="11" s="1"/>
  <c r="G29" i="13"/>
  <c r="G30" i="13" s="1"/>
  <c r="H28" i="13"/>
  <c r="F31" i="13"/>
  <c r="F33" i="13" s="1"/>
  <c r="F64" i="36" s="1"/>
  <c r="F32" i="13"/>
  <c r="F73" i="14" s="1"/>
  <c r="E73" i="12"/>
  <c r="W7" i="20"/>
  <c r="G31" i="15"/>
  <c r="D53" i="12"/>
  <c r="B13" i="9"/>
  <c r="Z48" i="36" s="1"/>
  <c r="G2" i="53" l="1"/>
  <c r="EE189" i="55"/>
  <c r="BP189" i="55"/>
  <c r="AF13" i="52"/>
  <c r="J13" i="52"/>
  <c r="Q13" i="52"/>
  <c r="P13" i="52"/>
  <c r="D13" i="52"/>
  <c r="T13" i="52"/>
  <c r="Z13" i="52"/>
  <c r="S13" i="52"/>
  <c r="U13" i="52"/>
  <c r="F13" i="52"/>
  <c r="I13" i="52"/>
  <c r="E13" i="52"/>
  <c r="AB13" i="52"/>
  <c r="O13" i="52"/>
  <c r="AE13" i="52"/>
  <c r="V13" i="52"/>
  <c r="C13" i="52"/>
  <c r="Y13" i="52"/>
  <c r="R13" i="52"/>
  <c r="H13" i="52"/>
  <c r="X13" i="52"/>
  <c r="M13" i="52"/>
  <c r="AC13" i="52"/>
  <c r="B5" i="61"/>
  <c r="AG13" i="52"/>
  <c r="L13" i="52"/>
  <c r="AA13" i="52"/>
  <c r="G13" i="52"/>
  <c r="W13" i="52"/>
  <c r="N13" i="52"/>
  <c r="AD13" i="52"/>
  <c r="K13" i="52"/>
  <c r="B82" i="15"/>
  <c r="B92" i="15" s="1"/>
  <c r="B105" i="15" s="1"/>
  <c r="K52" i="25"/>
  <c r="B82" i="16"/>
  <c r="B92" i="16" s="1"/>
  <c r="B105" i="16" s="1"/>
  <c r="K53" i="25"/>
  <c r="B83" i="16"/>
  <c r="B94" i="16" s="1"/>
  <c r="B103" i="16" s="1"/>
  <c r="B83" i="15"/>
  <c r="B94" i="15" s="1"/>
  <c r="B103" i="15" s="1"/>
  <c r="B84" i="16"/>
  <c r="B84" i="15"/>
  <c r="K54" i="25"/>
  <c r="M54" i="25" s="1"/>
  <c r="G2" i="54"/>
  <c r="K55" i="25"/>
  <c r="B85" i="15"/>
  <c r="B95" i="15" s="1"/>
  <c r="B102" i="15" s="1"/>
  <c r="B85" i="16"/>
  <c r="B95" i="16" s="1"/>
  <c r="B102" i="16" s="1"/>
  <c r="M28" i="24"/>
  <c r="L16" i="24"/>
  <c r="EC10" i="59" s="1"/>
  <c r="K51" i="25"/>
  <c r="B81" i="15"/>
  <c r="B93" i="15" s="1"/>
  <c r="B104" i="15" s="1"/>
  <c r="B81" i="16"/>
  <c r="B93" i="16" s="1"/>
  <c r="B104" i="16" s="1"/>
  <c r="G61" i="45"/>
  <c r="AM61" i="45" s="1"/>
  <c r="AM63" i="45" s="1"/>
  <c r="G64" i="45"/>
  <c r="AM64" i="45" s="1"/>
  <c r="H39" i="11"/>
  <c r="H37" i="11"/>
  <c r="H40" i="11"/>
  <c r="H66" i="45" s="1"/>
  <c r="AN66" i="45" s="1"/>
  <c r="H38" i="11"/>
  <c r="J50" i="25"/>
  <c r="D57" i="25"/>
  <c r="J57" i="25" s="1"/>
  <c r="AE12" i="54"/>
  <c r="AF7" i="54"/>
  <c r="AE12" i="46"/>
  <c r="AF7" i="46"/>
  <c r="AE12" i="48"/>
  <c r="AF7" i="48"/>
  <c r="AF7" i="53"/>
  <c r="AE12" i="53"/>
  <c r="F22" i="49"/>
  <c r="O5" i="50"/>
  <c r="O8" i="50"/>
  <c r="P8" i="50" s="1"/>
  <c r="Q8" i="50" s="1"/>
  <c r="R8" i="50" s="1"/>
  <c r="S8" i="50" s="1"/>
  <c r="T8" i="50" s="1"/>
  <c r="U8" i="50" s="1"/>
  <c r="V8" i="50" s="1"/>
  <c r="W8" i="50" s="1"/>
  <c r="X8" i="50" s="1"/>
  <c r="Y8" i="50" s="1"/>
  <c r="O7" i="50"/>
  <c r="P7" i="50" s="1"/>
  <c r="Q7" i="50" s="1"/>
  <c r="R7" i="50" s="1"/>
  <c r="S7" i="50" s="1"/>
  <c r="T7" i="50" s="1"/>
  <c r="U7" i="50" s="1"/>
  <c r="V7" i="50" s="1"/>
  <c r="W7" i="50" s="1"/>
  <c r="X7" i="50" s="1"/>
  <c r="Y7" i="50" s="1"/>
  <c r="F20" i="49"/>
  <c r="C20" i="49"/>
  <c r="P3" i="50"/>
  <c r="D6" i="52" s="1"/>
  <c r="C6" i="52"/>
  <c r="W32" i="36"/>
  <c r="E4" i="50"/>
  <c r="G2" i="19"/>
  <c r="C62" i="44"/>
  <c r="C63" i="44" s="1"/>
  <c r="G2" i="29"/>
  <c r="G2" i="28"/>
  <c r="K4" i="3"/>
  <c r="E61" i="33"/>
  <c r="E96" i="24"/>
  <c r="E113" i="24"/>
  <c r="E115" i="24"/>
  <c r="E114" i="24"/>
  <c r="E112" i="24"/>
  <c r="E111" i="24"/>
  <c r="E117" i="24"/>
  <c r="BD90" i="36"/>
  <c r="W39" i="42"/>
  <c r="AZ62" i="36"/>
  <c r="S40" i="42"/>
  <c r="I4" i="9"/>
  <c r="D45" i="45" s="1"/>
  <c r="AJ45" i="45" s="1"/>
  <c r="E95" i="44"/>
  <c r="H5" i="9"/>
  <c r="H6" i="9" s="1"/>
  <c r="Z51" i="36"/>
  <c r="L18" i="9"/>
  <c r="M16" i="9"/>
  <c r="M17" i="9"/>
  <c r="N17" i="9"/>
  <c r="L17" i="9"/>
  <c r="M18" i="9"/>
  <c r="N18" i="9"/>
  <c r="N16" i="9"/>
  <c r="D49" i="36"/>
  <c r="D51" i="36"/>
  <c r="D70" i="36" s="1"/>
  <c r="D48" i="36"/>
  <c r="E48" i="36"/>
  <c r="E51" i="36"/>
  <c r="E70" i="36" s="1"/>
  <c r="E49" i="36"/>
  <c r="F51" i="36"/>
  <c r="F70" i="36" s="1"/>
  <c r="F49" i="36"/>
  <c r="F48" i="36"/>
  <c r="G48" i="36"/>
  <c r="G51" i="36"/>
  <c r="G70" i="36" s="1"/>
  <c r="G49" i="36"/>
  <c r="H49" i="36"/>
  <c r="H48" i="36"/>
  <c r="H51" i="36"/>
  <c r="H70" i="36" s="1"/>
  <c r="I51" i="36"/>
  <c r="I70" i="36" s="1"/>
  <c r="I48" i="36"/>
  <c r="I49" i="36"/>
  <c r="J51" i="36"/>
  <c r="J70" i="36" s="1"/>
  <c r="J48" i="36"/>
  <c r="J49" i="36"/>
  <c r="K48" i="36"/>
  <c r="K49" i="36"/>
  <c r="K51" i="36"/>
  <c r="K70" i="36" s="1"/>
  <c r="L51" i="36"/>
  <c r="L70" i="36" s="1"/>
  <c r="L49" i="36"/>
  <c r="L48" i="36"/>
  <c r="M51" i="36"/>
  <c r="M70" i="36" s="1"/>
  <c r="M48" i="36"/>
  <c r="M49" i="36"/>
  <c r="N49" i="36"/>
  <c r="N51" i="36"/>
  <c r="N70" i="36" s="1"/>
  <c r="N48" i="36"/>
  <c r="O48" i="36"/>
  <c r="O51" i="36"/>
  <c r="O70" i="36" s="1"/>
  <c r="O49" i="36"/>
  <c r="P49" i="36"/>
  <c r="P51" i="36"/>
  <c r="P70" i="36" s="1"/>
  <c r="P48" i="36"/>
  <c r="Q49" i="36"/>
  <c r="Q48" i="36"/>
  <c r="Q51" i="36"/>
  <c r="Q70" i="36" s="1"/>
  <c r="R51" i="36"/>
  <c r="R70" i="36" s="1"/>
  <c r="R48" i="36"/>
  <c r="R49" i="36"/>
  <c r="S49" i="36"/>
  <c r="S51" i="36"/>
  <c r="S70" i="36" s="1"/>
  <c r="S48" i="36"/>
  <c r="T48" i="36"/>
  <c r="T49" i="36"/>
  <c r="T51" i="36"/>
  <c r="T70" i="36" s="1"/>
  <c r="U49" i="36"/>
  <c r="U51" i="36"/>
  <c r="U70" i="36" s="1"/>
  <c r="U48" i="36"/>
  <c r="V48" i="36"/>
  <c r="V49" i="36"/>
  <c r="V51" i="36"/>
  <c r="V70" i="36" s="1"/>
  <c r="W49" i="36"/>
  <c r="W51" i="36"/>
  <c r="W48" i="36"/>
  <c r="X49" i="36"/>
  <c r="X48" i="36"/>
  <c r="X51" i="36"/>
  <c r="Y49" i="36"/>
  <c r="Y51" i="36"/>
  <c r="Y48" i="36"/>
  <c r="Z49" i="36"/>
  <c r="Z50" i="36" s="1"/>
  <c r="Z52" i="36" s="1"/>
  <c r="Y39" i="38" s="1"/>
  <c r="BA36" i="36"/>
  <c r="BA70" i="36"/>
  <c r="W35" i="36"/>
  <c r="BA23" i="36"/>
  <c r="BA69" i="36" s="1"/>
  <c r="BA59" i="36"/>
  <c r="BB32" i="36"/>
  <c r="BB35" i="36"/>
  <c r="AY28" i="36"/>
  <c r="AY84" i="36"/>
  <c r="AY26" i="36"/>
  <c r="AY87" i="36" s="1"/>
  <c r="AZ69" i="36"/>
  <c r="AZ25" i="36"/>
  <c r="S37" i="42" s="1"/>
  <c r="U60" i="36"/>
  <c r="U62" i="36"/>
  <c r="V23" i="36"/>
  <c r="V25" i="36" s="1"/>
  <c r="U37" i="38" s="1"/>
  <c r="AZ77" i="36"/>
  <c r="AZ37" i="36"/>
  <c r="AZ81" i="36" s="1"/>
  <c r="AZ39" i="36"/>
  <c r="BF49" i="36"/>
  <c r="BF51" i="36"/>
  <c r="BF48" i="36"/>
  <c r="BG47" i="36"/>
  <c r="BB58" i="36"/>
  <c r="BB57" i="36"/>
  <c r="V59" i="36"/>
  <c r="U40" i="38" s="1"/>
  <c r="W58" i="36"/>
  <c r="W57" i="36"/>
  <c r="U28" i="36"/>
  <c r="U26" i="36"/>
  <c r="U87" i="36" s="1"/>
  <c r="U84" i="36"/>
  <c r="BE50" i="36"/>
  <c r="BE52" i="36" s="1"/>
  <c r="X39" i="42" s="1"/>
  <c r="BC31" i="36"/>
  <c r="BD29" i="36"/>
  <c r="BC33" i="36"/>
  <c r="BC30" i="36"/>
  <c r="BC34" i="36"/>
  <c r="L17" i="24"/>
  <c r="H38" i="24" s="1"/>
  <c r="H48" i="24" s="1"/>
  <c r="N28" i="24"/>
  <c r="N24" i="24"/>
  <c r="O28" i="24"/>
  <c r="O24" i="24"/>
  <c r="BA46" i="36"/>
  <c r="BA97" i="36"/>
  <c r="BA44" i="36"/>
  <c r="BB43" i="36"/>
  <c r="U38" i="42" s="1"/>
  <c r="W21" i="36"/>
  <c r="W22" i="36"/>
  <c r="AA51" i="36"/>
  <c r="AA48" i="36"/>
  <c r="AB47" i="36"/>
  <c r="AA49" i="36"/>
  <c r="BB21" i="36"/>
  <c r="BB22" i="36"/>
  <c r="X42" i="36"/>
  <c r="Y40" i="36"/>
  <c r="BC42" i="36"/>
  <c r="BC41" i="36"/>
  <c r="BD40" i="36"/>
  <c r="M116" i="24"/>
  <c r="E85" i="44"/>
  <c r="BD18" i="36"/>
  <c r="Y18" i="36"/>
  <c r="X19" i="36"/>
  <c r="X20" i="36" s="1"/>
  <c r="X56" i="36"/>
  <c r="Y29" i="36"/>
  <c r="X33" i="36"/>
  <c r="X30" i="36"/>
  <c r="X34" i="36"/>
  <c r="X31" i="36"/>
  <c r="M24" i="24"/>
  <c r="BC19" i="36"/>
  <c r="BC20" i="36" s="1"/>
  <c r="BC56" i="36"/>
  <c r="H72" i="14"/>
  <c r="F63" i="45"/>
  <c r="AL63" i="36"/>
  <c r="AL68" i="36" s="1"/>
  <c r="AL75" i="36" s="1"/>
  <c r="F68" i="36"/>
  <c r="G63" i="36"/>
  <c r="AF7" i="28"/>
  <c r="AE12" i="28"/>
  <c r="AF7" i="29"/>
  <c r="AE12" i="29"/>
  <c r="AF7" i="19"/>
  <c r="AE12" i="19"/>
  <c r="AF7" i="42"/>
  <c r="AE12" i="42"/>
  <c r="AF7" i="38"/>
  <c r="AE12" i="38"/>
  <c r="AL64" i="36"/>
  <c r="F66" i="36"/>
  <c r="F65" i="36"/>
  <c r="E71" i="36"/>
  <c r="BQ38" i="58" s="1"/>
  <c r="E37" i="58" s="1"/>
  <c r="AK37" i="58" s="1"/>
  <c r="BQ37" i="58" s="1"/>
  <c r="E106" i="36"/>
  <c r="AK65" i="36"/>
  <c r="AK66" i="36"/>
  <c r="AK73" i="36" s="1"/>
  <c r="V84" i="36"/>
  <c r="D77" i="7"/>
  <c r="J69" i="7"/>
  <c r="D29" i="49" s="1"/>
  <c r="E77" i="7"/>
  <c r="C77" i="7"/>
  <c r="G2" i="20"/>
  <c r="G50" i="15"/>
  <c r="G53" i="15" s="1"/>
  <c r="G137" i="15" s="1"/>
  <c r="G126" i="15"/>
  <c r="E74" i="12"/>
  <c r="E219" i="12" s="1"/>
  <c r="E230" i="12" s="1"/>
  <c r="E76" i="12"/>
  <c r="E77" i="12"/>
  <c r="E78" i="12"/>
  <c r="E79" i="12"/>
  <c r="E75" i="12"/>
  <c r="E80" i="12"/>
  <c r="Y9" i="20"/>
  <c r="Y8" i="20"/>
  <c r="F74" i="14"/>
  <c r="F219" i="14" s="1"/>
  <c r="F230" i="14" s="1"/>
  <c r="F80" i="14"/>
  <c r="F78" i="14"/>
  <c r="F76" i="14"/>
  <c r="F75" i="14"/>
  <c r="F77" i="14"/>
  <c r="F79" i="14"/>
  <c r="T11" i="20"/>
  <c r="T10" i="20"/>
  <c r="S12" i="20"/>
  <c r="H72" i="12"/>
  <c r="J33" i="11"/>
  <c r="I34" i="11"/>
  <c r="I35" i="11" s="1"/>
  <c r="I36" i="11" s="1"/>
  <c r="F73" i="12"/>
  <c r="H29" i="13"/>
  <c r="H30" i="13" s="1"/>
  <c r="I28" i="13"/>
  <c r="G31" i="13"/>
  <c r="G33" i="13" s="1"/>
  <c r="G64" i="36" s="1"/>
  <c r="G32" i="13"/>
  <c r="G73" i="14" s="1"/>
  <c r="X7" i="20"/>
  <c r="H31" i="15"/>
  <c r="M51" i="25" l="1"/>
  <c r="I4" i="4"/>
  <c r="I39" i="11"/>
  <c r="I37" i="11"/>
  <c r="I40" i="11"/>
  <c r="I66" i="45" s="1"/>
  <c r="AO66" i="45" s="1"/>
  <c r="I38" i="11"/>
  <c r="AF12" i="46"/>
  <c r="AG7" i="46"/>
  <c r="AG12" i="46" s="1"/>
  <c r="M52" i="25"/>
  <c r="C4" i="3"/>
  <c r="C5" i="3" s="1"/>
  <c r="C7" i="3" s="1"/>
  <c r="H64" i="45"/>
  <c r="AN64" i="45" s="1"/>
  <c r="H61" i="45"/>
  <c r="AN61" i="45" s="1"/>
  <c r="AN63" i="45" s="1"/>
  <c r="AF12" i="54"/>
  <c r="AG7" i="54"/>
  <c r="AG12" i="54" s="1"/>
  <c r="D96" i="55"/>
  <c r="D95" i="55"/>
  <c r="BZ189" i="55"/>
  <c r="AH96" i="55" s="1"/>
  <c r="BN96" i="55" s="1"/>
  <c r="EA189" i="55"/>
  <c r="AF12" i="53"/>
  <c r="AG7" i="53"/>
  <c r="AG12" i="53" s="1"/>
  <c r="AF12" i="48"/>
  <c r="AG7" i="48"/>
  <c r="AG12" i="48" s="1"/>
  <c r="K50" i="25"/>
  <c r="B80" i="15"/>
  <c r="B80" i="16"/>
  <c r="E4" i="26"/>
  <c r="Q3" i="50"/>
  <c r="E6" i="52" s="1"/>
  <c r="D4" i="51"/>
  <c r="D57" i="58" s="1"/>
  <c r="P5" i="50"/>
  <c r="K114" i="24"/>
  <c r="BS21" i="51"/>
  <c r="D7" i="51"/>
  <c r="AJ6" i="51"/>
  <c r="K111" i="24"/>
  <c r="E118" i="24"/>
  <c r="K113" i="24"/>
  <c r="K117" i="24"/>
  <c r="K115" i="24"/>
  <c r="K112" i="24"/>
  <c r="E60" i="33"/>
  <c r="E101" i="24"/>
  <c r="K101" i="24" s="1"/>
  <c r="E97" i="24"/>
  <c r="E103" i="24"/>
  <c r="K103" i="24" s="1"/>
  <c r="E100" i="24"/>
  <c r="K100" i="24" s="1"/>
  <c r="E99" i="24"/>
  <c r="K99" i="24" s="1"/>
  <c r="E98" i="24"/>
  <c r="K98" i="24" s="1"/>
  <c r="X50" i="36"/>
  <c r="Y50" i="36"/>
  <c r="Y52" i="36" s="1"/>
  <c r="Y55" i="36" s="1"/>
  <c r="U50" i="36"/>
  <c r="U52" i="36" s="1"/>
  <c r="T39" i="38" s="1"/>
  <c r="BA62" i="36"/>
  <c r="T40" i="42"/>
  <c r="BA37" i="36"/>
  <c r="BA81" i="36" s="1"/>
  <c r="T36" i="42"/>
  <c r="W50" i="36"/>
  <c r="W52" i="36" s="1"/>
  <c r="V39" i="38" s="1"/>
  <c r="AJ46" i="45"/>
  <c r="AK45" i="45"/>
  <c r="AJ47" i="45"/>
  <c r="AJ49" i="45"/>
  <c r="AJ68" i="45" s="1"/>
  <c r="D46" i="45"/>
  <c r="E45" i="45"/>
  <c r="D47" i="45"/>
  <c r="D49" i="45"/>
  <c r="D68" i="45" s="1"/>
  <c r="H7" i="9"/>
  <c r="H8" i="9"/>
  <c r="H10" i="9"/>
  <c r="E87" i="44"/>
  <c r="E97" i="44"/>
  <c r="I5" i="9"/>
  <c r="I6" i="9" s="1"/>
  <c r="Z53" i="36"/>
  <c r="Z94" i="36" s="1"/>
  <c r="Z55" i="36"/>
  <c r="Z90" i="36"/>
  <c r="P50" i="36"/>
  <c r="P52" i="36" s="1"/>
  <c r="O39" i="38" s="1"/>
  <c r="D50" i="36"/>
  <c r="D69" i="36" s="1"/>
  <c r="D72" i="36" s="1"/>
  <c r="X52" i="36"/>
  <c r="O50" i="36"/>
  <c r="O52" i="36" s="1"/>
  <c r="M50" i="36"/>
  <c r="M52" i="36" s="1"/>
  <c r="L39" i="38" s="1"/>
  <c r="T50" i="36"/>
  <c r="T52" i="36" s="1"/>
  <c r="S39" i="38" s="1"/>
  <c r="N50" i="36"/>
  <c r="N52" i="36" s="1"/>
  <c r="L50" i="36"/>
  <c r="L52" i="36" s="1"/>
  <c r="K39" i="38" s="1"/>
  <c r="I50" i="36"/>
  <c r="I52" i="36" s="1"/>
  <c r="H39" i="38" s="1"/>
  <c r="H50" i="36"/>
  <c r="H52" i="36" s="1"/>
  <c r="H55" i="36" s="1"/>
  <c r="F50" i="36"/>
  <c r="F52" i="36" s="1"/>
  <c r="V50" i="36"/>
  <c r="V52" i="36" s="1"/>
  <c r="U39" i="38" s="1"/>
  <c r="Q50" i="36"/>
  <c r="Q52" i="36" s="1"/>
  <c r="P39" i="38" s="1"/>
  <c r="S50" i="36"/>
  <c r="S52" i="36" s="1"/>
  <c r="R39" i="38" s="1"/>
  <c r="R50" i="36"/>
  <c r="R52" i="36" s="1"/>
  <c r="Q39" i="38" s="1"/>
  <c r="K50" i="36"/>
  <c r="K52" i="36" s="1"/>
  <c r="J39" i="38" s="1"/>
  <c r="J50" i="36"/>
  <c r="J52" i="36" s="1"/>
  <c r="I39" i="38" s="1"/>
  <c r="G50" i="36"/>
  <c r="G52" i="36" s="1"/>
  <c r="F39" i="38" s="1"/>
  <c r="E50" i="36"/>
  <c r="E52" i="36" s="1"/>
  <c r="D39" i="38" s="1"/>
  <c r="BA25" i="36"/>
  <c r="T37" i="42" s="1"/>
  <c r="BA60" i="36"/>
  <c r="BB59" i="36"/>
  <c r="BB23" i="36"/>
  <c r="W23" i="36"/>
  <c r="W25" i="36" s="1"/>
  <c r="V37" i="38" s="1"/>
  <c r="BC43" i="36"/>
  <c r="W70" i="36"/>
  <c r="BA39" i="36"/>
  <c r="BA77" i="36"/>
  <c r="X32" i="36"/>
  <c r="BB70" i="36"/>
  <c r="X35" i="36"/>
  <c r="BC32" i="36"/>
  <c r="BB36" i="36"/>
  <c r="U36" i="42" s="1"/>
  <c r="AA50" i="36"/>
  <c r="AA52" i="36" s="1"/>
  <c r="BC35" i="36"/>
  <c r="AZ84" i="36"/>
  <c r="AZ26" i="36"/>
  <c r="AZ87" i="36" s="1"/>
  <c r="AZ28" i="36"/>
  <c r="V26" i="36"/>
  <c r="V87" i="36" s="1"/>
  <c r="V28" i="36"/>
  <c r="H39" i="24"/>
  <c r="H49" i="24" s="1"/>
  <c r="C38" i="24"/>
  <c r="C91" i="7"/>
  <c r="F38" i="24"/>
  <c r="F48" i="24" s="1"/>
  <c r="D87" i="7"/>
  <c r="G38" i="24"/>
  <c r="G48" i="24" s="1"/>
  <c r="F36" i="24"/>
  <c r="F46" i="24" s="1"/>
  <c r="G40" i="24"/>
  <c r="G50" i="24" s="1"/>
  <c r="H36" i="24"/>
  <c r="H46" i="24" s="1"/>
  <c r="C39" i="24"/>
  <c r="G37" i="24"/>
  <c r="G47" i="24" s="1"/>
  <c r="B38" i="24"/>
  <c r="D40" i="24"/>
  <c r="D50" i="24" s="1"/>
  <c r="D83" i="7"/>
  <c r="D36" i="24"/>
  <c r="D46" i="24" s="1"/>
  <c r="C88" i="7"/>
  <c r="B37" i="24"/>
  <c r="B47" i="24" s="1"/>
  <c r="D38" i="24"/>
  <c r="D48" i="24" s="1"/>
  <c r="H37" i="24"/>
  <c r="H47" i="24" s="1"/>
  <c r="E37" i="24"/>
  <c r="E47" i="24" s="1"/>
  <c r="D86" i="7"/>
  <c r="C40" i="24"/>
  <c r="C36" i="24"/>
  <c r="H40" i="24"/>
  <c r="H50" i="24" s="1"/>
  <c r="F39" i="24"/>
  <c r="F49" i="24" s="1"/>
  <c r="D84" i="7"/>
  <c r="D37" i="24"/>
  <c r="D47" i="24" s="1"/>
  <c r="G36" i="24"/>
  <c r="G46" i="24" s="1"/>
  <c r="B36" i="24"/>
  <c r="B46" i="24" s="1"/>
  <c r="E40" i="24"/>
  <c r="E50" i="24" s="1"/>
  <c r="E38" i="24"/>
  <c r="E48" i="24" s="1"/>
  <c r="F40" i="24"/>
  <c r="F50" i="24" s="1"/>
  <c r="D85" i="7"/>
  <c r="C37" i="24"/>
  <c r="E36" i="24"/>
  <c r="F37" i="24"/>
  <c r="F47" i="24" s="1"/>
  <c r="B40" i="24"/>
  <c r="B50" i="24" s="1"/>
  <c r="BC21" i="36"/>
  <c r="BC22" i="36"/>
  <c r="X57" i="36"/>
  <c r="X58" i="36"/>
  <c r="BE40" i="36"/>
  <c r="BD41" i="36"/>
  <c r="BD42" i="36"/>
  <c r="BD34" i="36"/>
  <c r="BE29" i="36"/>
  <c r="BD33" i="36"/>
  <c r="BD30" i="36"/>
  <c r="BD31" i="36"/>
  <c r="X21" i="36"/>
  <c r="X22" i="36"/>
  <c r="BE90" i="36"/>
  <c r="BE53" i="36"/>
  <c r="BE94" i="36" s="1"/>
  <c r="BE55" i="36"/>
  <c r="V60" i="36"/>
  <c r="V62" i="36"/>
  <c r="BG51" i="36"/>
  <c r="BG48" i="36"/>
  <c r="BG49" i="36"/>
  <c r="BH47" i="36"/>
  <c r="BE18" i="36"/>
  <c r="Y19" i="36"/>
  <c r="Y20" i="36" s="1"/>
  <c r="Z18" i="36"/>
  <c r="Y56" i="36"/>
  <c r="Y42" i="36"/>
  <c r="Z40" i="36"/>
  <c r="BB97" i="36"/>
  <c r="BB44" i="36"/>
  <c r="BB46" i="36"/>
  <c r="BF50" i="36"/>
  <c r="BF52" i="36" s="1"/>
  <c r="Y39" i="42" s="1"/>
  <c r="BC58" i="36"/>
  <c r="BC57" i="36"/>
  <c r="Y30" i="36"/>
  <c r="Y33" i="36"/>
  <c r="Z29" i="36"/>
  <c r="Y31" i="36"/>
  <c r="Y34" i="36"/>
  <c r="BD19" i="36"/>
  <c r="BD20" i="36" s="1"/>
  <c r="BD56" i="36"/>
  <c r="AC47" i="36"/>
  <c r="AB49" i="36"/>
  <c r="AB48" i="36"/>
  <c r="AB51" i="36"/>
  <c r="W59" i="36"/>
  <c r="V40" i="38" s="1"/>
  <c r="I72" i="14"/>
  <c r="G63" i="45"/>
  <c r="H63" i="36"/>
  <c r="AM63" i="36"/>
  <c r="AM68" i="36" s="1"/>
  <c r="AM75" i="36" s="1"/>
  <c r="G68" i="36"/>
  <c r="AF12" i="42"/>
  <c r="AG7" i="42"/>
  <c r="AG7" i="29"/>
  <c r="AG12" i="29" s="1"/>
  <c r="AF12" i="29"/>
  <c r="AG7" i="38"/>
  <c r="AF12" i="38"/>
  <c r="AF12" i="19"/>
  <c r="AG7" i="19"/>
  <c r="AG12" i="19" s="1"/>
  <c r="AG7" i="28"/>
  <c r="AG12" i="28" s="1"/>
  <c r="AF12" i="28"/>
  <c r="AK71" i="36"/>
  <c r="AK72" i="36" s="1"/>
  <c r="AK106" i="36"/>
  <c r="F71" i="36"/>
  <c r="BR38" i="58" s="1"/>
  <c r="F37" i="58" s="1"/>
  <c r="AL37" i="58" s="1"/>
  <c r="BR37" i="58" s="1"/>
  <c r="F106" i="36"/>
  <c r="AM64" i="36"/>
  <c r="G66" i="36"/>
  <c r="G65" i="36"/>
  <c r="AL65" i="36"/>
  <c r="AL66" i="36"/>
  <c r="AL73" i="36" s="1"/>
  <c r="E46" i="24"/>
  <c r="F77" i="7"/>
  <c r="G77" i="7" s="1"/>
  <c r="H50" i="15"/>
  <c r="H53" i="15" s="1"/>
  <c r="H137" i="15" s="1"/>
  <c r="H126" i="15"/>
  <c r="F74" i="12"/>
  <c r="F219" i="12" s="1"/>
  <c r="F230" i="12" s="1"/>
  <c r="F75" i="12"/>
  <c r="F78" i="12"/>
  <c r="F77" i="12"/>
  <c r="F80" i="12"/>
  <c r="F79" i="12"/>
  <c r="F76" i="12"/>
  <c r="Z8" i="20"/>
  <c r="Z9" i="20"/>
  <c r="G74" i="14"/>
  <c r="G219" i="14" s="1"/>
  <c r="G230" i="14" s="1"/>
  <c r="G77" i="14"/>
  <c r="G79" i="14"/>
  <c r="G78" i="14"/>
  <c r="G75" i="14"/>
  <c r="G76" i="14"/>
  <c r="G80" i="14"/>
  <c r="U11" i="20"/>
  <c r="U10" i="20"/>
  <c r="T12" i="20"/>
  <c r="I72" i="12"/>
  <c r="K33" i="11"/>
  <c r="J34" i="11"/>
  <c r="J35" i="11" s="1"/>
  <c r="J36" i="11" s="1"/>
  <c r="I29" i="13"/>
  <c r="I30" i="13" s="1"/>
  <c r="J28" i="13"/>
  <c r="H31" i="13"/>
  <c r="H33" i="13" s="1"/>
  <c r="H64" i="36" s="1"/>
  <c r="H32" i="13"/>
  <c r="H73" i="14" s="1"/>
  <c r="G73" i="12"/>
  <c r="Y7" i="20"/>
  <c r="I31" i="15"/>
  <c r="E41" i="24" l="1"/>
  <c r="Y90" i="36"/>
  <c r="Y53" i="36"/>
  <c r="Y94" i="36" s="1"/>
  <c r="C41" i="24"/>
  <c r="BP95" i="55"/>
  <c r="CT95" i="55" s="1"/>
  <c r="BQ95" i="55" s="1"/>
  <c r="BR95" i="55" s="1"/>
  <c r="BS95" i="55" s="1"/>
  <c r="BT95" i="55" s="1"/>
  <c r="BU95" i="55" s="1"/>
  <c r="BV95" i="55" s="1"/>
  <c r="BW95" i="55" s="1"/>
  <c r="BX95" i="55" s="1"/>
  <c r="BY95" i="55" s="1"/>
  <c r="BZ95" i="55" s="1"/>
  <c r="CA95" i="55" s="1"/>
  <c r="CB95" i="55" s="1"/>
  <c r="CC95" i="55" s="1"/>
  <c r="CD95" i="55" s="1"/>
  <c r="CE95" i="55" s="1"/>
  <c r="CF95" i="55" s="1"/>
  <c r="CG95" i="55" s="1"/>
  <c r="CH95" i="55" s="1"/>
  <c r="CI95" i="55" s="1"/>
  <c r="CJ95" i="55" s="1"/>
  <c r="CK95" i="55" s="1"/>
  <c r="CL95" i="55" s="1"/>
  <c r="CM95" i="55" s="1"/>
  <c r="CN95" i="55" s="1"/>
  <c r="CO95" i="55" s="1"/>
  <c r="CP95" i="55" s="1"/>
  <c r="CQ95" i="55" s="1"/>
  <c r="CR95" i="55" s="1"/>
  <c r="CS95" i="55" s="1"/>
  <c r="AJ95" i="55"/>
  <c r="CV95" i="55" s="1"/>
  <c r="E95" i="55"/>
  <c r="X39" i="38"/>
  <c r="BP96" i="55"/>
  <c r="AJ96" i="55"/>
  <c r="CV96" i="55" s="1"/>
  <c r="E96" i="55"/>
  <c r="B88" i="16"/>
  <c r="B91" i="16"/>
  <c r="B88" i="15"/>
  <c r="B91" i="15"/>
  <c r="I64" i="45"/>
  <c r="AO64" i="45" s="1"/>
  <c r="I61" i="45"/>
  <c r="AO61" i="45" s="1"/>
  <c r="AO63" i="45" s="1"/>
  <c r="B4" i="60"/>
  <c r="D8" i="61"/>
  <c r="I4" i="8"/>
  <c r="K57" i="25"/>
  <c r="M57" i="25" s="1"/>
  <c r="N52" i="25" s="1"/>
  <c r="M50" i="25"/>
  <c r="B41" i="24"/>
  <c r="K59" i="25"/>
  <c r="J40" i="11"/>
  <c r="J66" i="45" s="1"/>
  <c r="AP66" i="45" s="1"/>
  <c r="J39" i="11"/>
  <c r="J37" i="11"/>
  <c r="J38" i="11"/>
  <c r="C48" i="24"/>
  <c r="CT96" i="55"/>
  <c r="DZ96" i="55"/>
  <c r="C8" i="3"/>
  <c r="C10" i="3" s="1"/>
  <c r="I49" i="24"/>
  <c r="G15" i="33" s="1"/>
  <c r="I37" i="24"/>
  <c r="B48" i="24"/>
  <c r="C46" i="24"/>
  <c r="I46" i="24" s="1"/>
  <c r="C50" i="24"/>
  <c r="B97" i="24"/>
  <c r="B104" i="24" s="1"/>
  <c r="E4" i="51"/>
  <c r="Q5" i="50"/>
  <c r="BZ10" i="51"/>
  <c r="AJ4" i="51"/>
  <c r="AJ57" i="58" s="1"/>
  <c r="BS25" i="51"/>
  <c r="R3" i="50"/>
  <c r="F6" i="52" s="1"/>
  <c r="E64" i="33"/>
  <c r="I38" i="24"/>
  <c r="K118" i="24"/>
  <c r="C82" i="44" s="1"/>
  <c r="D51" i="24"/>
  <c r="C47" i="24"/>
  <c r="D41" i="24"/>
  <c r="E104" i="24"/>
  <c r="D9" i="51"/>
  <c r="AJ9" i="51" s="1"/>
  <c r="AJ7" i="51"/>
  <c r="G41" i="24"/>
  <c r="D8" i="51"/>
  <c r="AJ8" i="51" s="1"/>
  <c r="I36" i="24"/>
  <c r="H41" i="24"/>
  <c r="I40" i="24"/>
  <c r="F41" i="24"/>
  <c r="D52" i="36"/>
  <c r="C39" i="38" s="1"/>
  <c r="BA28" i="36"/>
  <c r="M90" i="36"/>
  <c r="BA84" i="36"/>
  <c r="BA26" i="36"/>
  <c r="BA87" i="36" s="1"/>
  <c r="I90" i="36"/>
  <c r="AA55" i="36"/>
  <c r="Z39" i="38"/>
  <c r="BB62" i="36"/>
  <c r="U40" i="42"/>
  <c r="M55" i="36"/>
  <c r="I55" i="36"/>
  <c r="O53" i="36"/>
  <c r="O94" i="36" s="1"/>
  <c r="N39" i="38"/>
  <c r="BC70" i="36"/>
  <c r="BC97" i="36"/>
  <c r="V38" i="42"/>
  <c r="M53" i="36"/>
  <c r="M94" i="36" s="1"/>
  <c r="I53" i="36"/>
  <c r="I94" i="36" s="1"/>
  <c r="F53" i="36"/>
  <c r="F94" i="36" s="1"/>
  <c r="E39" i="38"/>
  <c r="N90" i="36"/>
  <c r="M39" i="38"/>
  <c r="X55" i="36"/>
  <c r="W39" i="38"/>
  <c r="D48" i="45"/>
  <c r="D50" i="45" s="1"/>
  <c r="H90" i="36"/>
  <c r="G39" i="38"/>
  <c r="AK47" i="45"/>
  <c r="AK49" i="45"/>
  <c r="AK46" i="45"/>
  <c r="AL45" i="45"/>
  <c r="AJ48" i="45"/>
  <c r="F45" i="45"/>
  <c r="E49" i="45"/>
  <c r="E46" i="45"/>
  <c r="E47" i="45"/>
  <c r="I8" i="9"/>
  <c r="I10" i="9"/>
  <c r="I7" i="9"/>
  <c r="H9" i="9"/>
  <c r="H11" i="9" s="1"/>
  <c r="BB60" i="36"/>
  <c r="AA90" i="36"/>
  <c r="O55" i="36"/>
  <c r="F90" i="36"/>
  <c r="N53" i="36"/>
  <c r="N94" i="36" s="1"/>
  <c r="X53" i="36"/>
  <c r="X94" i="36" s="1"/>
  <c r="O90" i="36"/>
  <c r="F55" i="36"/>
  <c r="N55" i="36"/>
  <c r="X90" i="36"/>
  <c r="H53" i="36"/>
  <c r="H94" i="36" s="1"/>
  <c r="AA53" i="36"/>
  <c r="AA94" i="36" s="1"/>
  <c r="R55" i="36"/>
  <c r="R90" i="36"/>
  <c r="R53" i="36"/>
  <c r="R94" i="36" s="1"/>
  <c r="W90" i="36"/>
  <c r="W55" i="36"/>
  <c r="W53" i="36"/>
  <c r="W94" i="36" s="1"/>
  <c r="T55" i="36"/>
  <c r="T90" i="36"/>
  <c r="T53" i="36"/>
  <c r="T94" i="36" s="1"/>
  <c r="D53" i="36"/>
  <c r="G55" i="36"/>
  <c r="G90" i="36"/>
  <c r="G53" i="36"/>
  <c r="G94" i="36" s="1"/>
  <c r="Q90" i="36"/>
  <c r="Q53" i="36"/>
  <c r="Q94" i="36" s="1"/>
  <c r="Q55" i="36"/>
  <c r="J53" i="36"/>
  <c r="J94" i="36" s="1"/>
  <c r="J90" i="36"/>
  <c r="J55" i="36"/>
  <c r="P90" i="36"/>
  <c r="P55" i="36"/>
  <c r="P53" i="36"/>
  <c r="P94" i="36" s="1"/>
  <c r="S90" i="36"/>
  <c r="S55" i="36"/>
  <c r="S53" i="36"/>
  <c r="S94" i="36" s="1"/>
  <c r="V90" i="36"/>
  <c r="V53" i="36"/>
  <c r="V94" i="36" s="1"/>
  <c r="V55" i="36"/>
  <c r="E90" i="36"/>
  <c r="E55" i="36"/>
  <c r="E53" i="36"/>
  <c r="E94" i="36" s="1"/>
  <c r="K55" i="36"/>
  <c r="K53" i="36"/>
  <c r="K94" i="36" s="1"/>
  <c r="K90" i="36"/>
  <c r="U90" i="36"/>
  <c r="U53" i="36"/>
  <c r="U94" i="36" s="1"/>
  <c r="U55" i="36"/>
  <c r="L53" i="36"/>
  <c r="L94" i="36" s="1"/>
  <c r="L90" i="36"/>
  <c r="L55" i="36"/>
  <c r="BC59" i="36"/>
  <c r="BB25" i="36"/>
  <c r="U37" i="42" s="1"/>
  <c r="BB69" i="36"/>
  <c r="BD43" i="36"/>
  <c r="W38" i="42" s="1"/>
  <c r="BC44" i="36"/>
  <c r="BC46" i="36"/>
  <c r="BC36" i="36"/>
  <c r="V36" i="42" s="1"/>
  <c r="BD35" i="36"/>
  <c r="BB39" i="36"/>
  <c r="BB77" i="36"/>
  <c r="BB37" i="36"/>
  <c r="BB81" i="36" s="1"/>
  <c r="Y35" i="36"/>
  <c r="X23" i="36"/>
  <c r="X25" i="36" s="1"/>
  <c r="W37" i="38" s="1"/>
  <c r="BD32" i="36"/>
  <c r="BC23" i="36"/>
  <c r="BC25" i="36" s="1"/>
  <c r="V37" i="42" s="1"/>
  <c r="W60" i="36"/>
  <c r="W62" i="36"/>
  <c r="L131" i="24"/>
  <c r="L128" i="24"/>
  <c r="K93" i="44" s="1"/>
  <c r="L125" i="24"/>
  <c r="K90" i="44" s="1"/>
  <c r="L126" i="24"/>
  <c r="L129" i="24"/>
  <c r="K94" i="44" s="1"/>
  <c r="L127" i="24"/>
  <c r="AB50" i="36"/>
  <c r="AB52" i="36" s="1"/>
  <c r="AA39" i="38" s="1"/>
  <c r="BF90" i="36"/>
  <c r="BF53" i="36"/>
  <c r="BF94" i="36" s="1"/>
  <c r="BF55" i="36"/>
  <c r="AA40" i="36"/>
  <c r="Z42" i="36"/>
  <c r="Y57" i="36"/>
  <c r="Y58" i="36"/>
  <c r="BE19" i="36"/>
  <c r="BE20" i="36" s="1"/>
  <c r="BE56" i="36"/>
  <c r="BG50" i="36"/>
  <c r="BG52" i="36" s="1"/>
  <c r="Z39" i="42" s="1"/>
  <c r="BE42" i="36"/>
  <c r="BF40" i="36"/>
  <c r="BE41" i="36"/>
  <c r="BD22" i="36"/>
  <c r="BD21" i="36"/>
  <c r="Y22" i="36"/>
  <c r="Y21" i="36"/>
  <c r="X59" i="36"/>
  <c r="W40" i="38" s="1"/>
  <c r="X70" i="36"/>
  <c r="I39" i="24"/>
  <c r="AD47" i="36"/>
  <c r="AC49" i="36"/>
  <c r="AC51" i="36"/>
  <c r="AC48" i="36"/>
  <c r="BD58" i="36"/>
  <c r="BD57" i="36"/>
  <c r="AA29" i="36"/>
  <c r="Z34" i="36"/>
  <c r="Z33" i="36"/>
  <c r="Z30" i="36"/>
  <c r="Z31" i="36"/>
  <c r="AA18" i="36"/>
  <c r="BF18" i="36"/>
  <c r="Z19" i="36"/>
  <c r="Z20" i="36" s="1"/>
  <c r="Z56" i="36"/>
  <c r="BH48" i="36"/>
  <c r="BH49" i="36"/>
  <c r="BH51" i="36"/>
  <c r="BI47" i="36"/>
  <c r="W26" i="36"/>
  <c r="W87" i="36" s="1"/>
  <c r="W28" i="36"/>
  <c r="W84" i="36"/>
  <c r="BE30" i="36"/>
  <c r="BF29" i="36"/>
  <c r="BE33" i="36"/>
  <c r="BE31" i="36"/>
  <c r="BE34" i="36"/>
  <c r="AN63" i="36"/>
  <c r="AN68" i="36" s="1"/>
  <c r="AN75" i="36" s="1"/>
  <c r="H68" i="36"/>
  <c r="J72" i="14"/>
  <c r="I63" i="36"/>
  <c r="H63" i="45"/>
  <c r="AG12" i="38"/>
  <c r="AG12" i="42"/>
  <c r="G71" i="36"/>
  <c r="BS38" i="58" s="1"/>
  <c r="G37" i="58" s="1"/>
  <c r="AM37" i="58" s="1"/>
  <c r="BS37" i="58" s="1"/>
  <c r="G106" i="36"/>
  <c r="AN64" i="36"/>
  <c r="H65" i="36"/>
  <c r="H66" i="36"/>
  <c r="AL71" i="36"/>
  <c r="AL72" i="36" s="1"/>
  <c r="AL106" i="36"/>
  <c r="AM65" i="36"/>
  <c r="AM66" i="36"/>
  <c r="AM73" i="36" s="1"/>
  <c r="G6" i="33"/>
  <c r="F51" i="24"/>
  <c r="B51" i="24"/>
  <c r="I48" i="24"/>
  <c r="D14" i="33" s="1"/>
  <c r="G51" i="24"/>
  <c r="I50" i="24"/>
  <c r="D7" i="33" s="1"/>
  <c r="I41" i="24"/>
  <c r="H51" i="24"/>
  <c r="E51" i="24"/>
  <c r="E6" i="33"/>
  <c r="H6" i="33"/>
  <c r="F6" i="33"/>
  <c r="C6" i="33"/>
  <c r="D6" i="33"/>
  <c r="I50" i="15"/>
  <c r="I53" i="15" s="1"/>
  <c r="I137" i="15" s="1"/>
  <c r="I126" i="15"/>
  <c r="G74" i="12"/>
  <c r="G219" i="12" s="1"/>
  <c r="G230" i="12" s="1"/>
  <c r="G77" i="12"/>
  <c r="G80" i="12"/>
  <c r="G76" i="12"/>
  <c r="G75" i="12"/>
  <c r="G78" i="12"/>
  <c r="G79" i="12"/>
  <c r="AA9" i="20"/>
  <c r="AA8" i="20"/>
  <c r="H74" i="14"/>
  <c r="H219" i="14" s="1"/>
  <c r="H230" i="14" s="1"/>
  <c r="H78" i="14"/>
  <c r="H80" i="14"/>
  <c r="H79" i="14"/>
  <c r="H76" i="14"/>
  <c r="H75" i="14"/>
  <c r="H77" i="14"/>
  <c r="V11" i="20"/>
  <c r="V10" i="20"/>
  <c r="U12" i="20"/>
  <c r="L33" i="11"/>
  <c r="K34" i="11"/>
  <c r="K35" i="11" s="1"/>
  <c r="K36" i="11" s="1"/>
  <c r="H73" i="12"/>
  <c r="J29" i="13"/>
  <c r="J30" i="13" s="1"/>
  <c r="K28" i="13"/>
  <c r="I31" i="13"/>
  <c r="I33" i="13" s="1"/>
  <c r="I64" i="36" s="1"/>
  <c r="I32" i="13"/>
  <c r="I73" i="14" s="1"/>
  <c r="Z7" i="20"/>
  <c r="K31" i="15"/>
  <c r="J31" i="15"/>
  <c r="D90" i="36" l="1"/>
  <c r="N51" i="25"/>
  <c r="N50" i="25"/>
  <c r="D55" i="36"/>
  <c r="D75" i="36" s="1"/>
  <c r="H12" i="33"/>
  <c r="I12" i="33"/>
  <c r="F12" i="33"/>
  <c r="C12" i="33"/>
  <c r="C105" i="16"/>
  <c r="C105" i="15"/>
  <c r="AK4" i="51"/>
  <c r="AK57" i="58" s="1"/>
  <c r="CA57" i="58" s="1"/>
  <c r="CA58" i="58" s="1"/>
  <c r="E57" i="58"/>
  <c r="C104" i="15"/>
  <c r="C104" i="16"/>
  <c r="E16" i="33"/>
  <c r="G14" i="33"/>
  <c r="M10" i="47" s="1"/>
  <c r="BQ96" i="55"/>
  <c r="BR96" i="55" s="1"/>
  <c r="BS96" i="55" s="1"/>
  <c r="BT96" i="55" s="1"/>
  <c r="BU96" i="55" s="1"/>
  <c r="BV96" i="55" s="1"/>
  <c r="BW96" i="55" s="1"/>
  <c r="BX96" i="55" s="1"/>
  <c r="BY96" i="55" s="1"/>
  <c r="BZ96" i="55" s="1"/>
  <c r="CA96" i="55" s="1"/>
  <c r="CB96" i="55" s="1"/>
  <c r="CC96" i="55" s="1"/>
  <c r="CD96" i="55" s="1"/>
  <c r="CE96" i="55" s="1"/>
  <c r="CF96" i="55" s="1"/>
  <c r="CG96" i="55" s="1"/>
  <c r="CH96" i="55" s="1"/>
  <c r="CI96" i="55" s="1"/>
  <c r="CJ96" i="55" s="1"/>
  <c r="CK96" i="55" s="1"/>
  <c r="CL96" i="55" s="1"/>
  <c r="CM96" i="55" s="1"/>
  <c r="CN96" i="55" s="1"/>
  <c r="CO96" i="55" s="1"/>
  <c r="CP96" i="55" s="1"/>
  <c r="CQ96" i="55" s="1"/>
  <c r="CR96" i="55" s="1"/>
  <c r="CS96" i="55" s="1"/>
  <c r="K39" i="11"/>
  <c r="K40" i="11"/>
  <c r="K66" i="45" s="1"/>
  <c r="AQ66" i="45" s="1"/>
  <c r="K37" i="11"/>
  <c r="K38" i="11"/>
  <c r="H16" i="33"/>
  <c r="I16" i="33"/>
  <c r="B106" i="15"/>
  <c r="B107" i="15" s="1"/>
  <c r="B97" i="15"/>
  <c r="I6" i="33"/>
  <c r="M55" i="25"/>
  <c r="M53" i="25"/>
  <c r="N56" i="25"/>
  <c r="N54" i="25"/>
  <c r="C106" i="15" s="1"/>
  <c r="F95" i="55"/>
  <c r="AK95" i="55"/>
  <c r="CW95" i="55" s="1"/>
  <c r="DF18" i="58"/>
  <c r="BZ57" i="58"/>
  <c r="BZ58" i="58" s="1"/>
  <c r="B97" i="16"/>
  <c r="B106" i="16"/>
  <c r="B107" i="16" s="1"/>
  <c r="J64" i="45"/>
  <c r="AP64" i="45" s="1"/>
  <c r="J61" i="45"/>
  <c r="AP61" i="45" s="1"/>
  <c r="AP63" i="45" s="1"/>
  <c r="C11" i="3"/>
  <c r="C13" i="3" s="1"/>
  <c r="S5" i="60"/>
  <c r="M61" i="60"/>
  <c r="B16" i="60"/>
  <c r="F96" i="55"/>
  <c r="AK96" i="55"/>
  <c r="CW96" i="55" s="1"/>
  <c r="C16" i="33"/>
  <c r="E12" i="33"/>
  <c r="G16" i="33"/>
  <c r="I47" i="24"/>
  <c r="H4" i="33" s="1"/>
  <c r="H14" i="33"/>
  <c r="D12" i="33"/>
  <c r="E14" i="33"/>
  <c r="E15" i="33"/>
  <c r="M18" i="47" s="1"/>
  <c r="H15" i="33"/>
  <c r="C15" i="33"/>
  <c r="D15" i="33"/>
  <c r="F15" i="33"/>
  <c r="E24" i="33" s="1"/>
  <c r="G12" i="33"/>
  <c r="M3" i="41" s="1"/>
  <c r="K97" i="24"/>
  <c r="K104" i="24" s="1"/>
  <c r="D16" i="33"/>
  <c r="F14" i="33"/>
  <c r="C51" i="24"/>
  <c r="F16" i="33"/>
  <c r="C14" i="33"/>
  <c r="I5" i="33"/>
  <c r="I14" i="33"/>
  <c r="M13" i="47" s="1"/>
  <c r="I15" i="33"/>
  <c r="S3" i="50"/>
  <c r="G6" i="52" s="1"/>
  <c r="R5" i="50"/>
  <c r="F4" i="51"/>
  <c r="L115" i="24"/>
  <c r="L112" i="24"/>
  <c r="M4" i="4" s="1"/>
  <c r="M5" i="4" s="1"/>
  <c r="M6" i="4" s="1"/>
  <c r="C80" i="44"/>
  <c r="L114" i="24"/>
  <c r="K83" i="44" s="1"/>
  <c r="C83" i="44"/>
  <c r="C85" i="44"/>
  <c r="L113" i="24"/>
  <c r="K82" i="44" s="1"/>
  <c r="L117" i="24"/>
  <c r="K86" i="44" s="1"/>
  <c r="L111" i="24"/>
  <c r="M111" i="24" s="1"/>
  <c r="C84" i="44"/>
  <c r="C86" i="44"/>
  <c r="C81" i="44"/>
  <c r="D81" i="44"/>
  <c r="G81" i="44"/>
  <c r="F81" i="44"/>
  <c r="G82" i="44"/>
  <c r="D86" i="44"/>
  <c r="D84" i="44"/>
  <c r="F84" i="44"/>
  <c r="D80" i="44"/>
  <c r="G85" i="44"/>
  <c r="G80" i="44"/>
  <c r="F85" i="44"/>
  <c r="G86" i="44"/>
  <c r="D83" i="44"/>
  <c r="D82" i="44"/>
  <c r="F82" i="44"/>
  <c r="F83" i="44"/>
  <c r="G83" i="44"/>
  <c r="F86" i="44"/>
  <c r="G84" i="44"/>
  <c r="F80" i="44"/>
  <c r="D85" i="44"/>
  <c r="K84" i="44"/>
  <c r="M115" i="24"/>
  <c r="K80" i="44"/>
  <c r="C3" i="33"/>
  <c r="I3" i="33"/>
  <c r="E3" i="33"/>
  <c r="L4" i="34"/>
  <c r="M16" i="41"/>
  <c r="M19" i="47"/>
  <c r="M15" i="41"/>
  <c r="M17" i="47"/>
  <c r="Y70" i="36"/>
  <c r="C39" i="46"/>
  <c r="D51" i="45"/>
  <c r="D92" i="45" s="1"/>
  <c r="J4" i="26"/>
  <c r="J5" i="26" s="1"/>
  <c r="J6" i="26" s="1"/>
  <c r="K96" i="44"/>
  <c r="N4" i="4"/>
  <c r="N5" i="4" s="1"/>
  <c r="N6" i="4" s="1"/>
  <c r="N8" i="4" s="1"/>
  <c r="K91" i="44"/>
  <c r="BC60" i="36"/>
  <c r="V40" i="42"/>
  <c r="D67" i="45"/>
  <c r="D70" i="45" s="1"/>
  <c r="E48" i="45"/>
  <c r="E50" i="45" s="1"/>
  <c r="D39" i="46" s="1"/>
  <c r="I4" i="3"/>
  <c r="I5" i="3" s="1"/>
  <c r="I7" i="3" s="1"/>
  <c r="K92" i="44"/>
  <c r="AK48" i="45"/>
  <c r="AK50" i="45" s="1"/>
  <c r="D39" i="48" s="1"/>
  <c r="AL47" i="45"/>
  <c r="AL49" i="45"/>
  <c r="AL46" i="45"/>
  <c r="AM45" i="45"/>
  <c r="AJ67" i="45"/>
  <c r="AJ70" i="45" s="1"/>
  <c r="AJ50" i="45"/>
  <c r="D53" i="45"/>
  <c r="D52" i="45"/>
  <c r="I9" i="9"/>
  <c r="I11" i="9" s="1"/>
  <c r="G45" i="45"/>
  <c r="F47" i="45"/>
  <c r="F49" i="45"/>
  <c r="F46" i="45"/>
  <c r="BC62" i="36"/>
  <c r="D94" i="36"/>
  <c r="D73" i="36"/>
  <c r="BH50" i="36"/>
  <c r="BH52" i="36" s="1"/>
  <c r="AA39" i="42" s="1"/>
  <c r="AC50" i="36"/>
  <c r="AC52" i="36" s="1"/>
  <c r="AB39" i="38" s="1"/>
  <c r="D88" i="45"/>
  <c r="Y59" i="36"/>
  <c r="X40" i="38" s="1"/>
  <c r="BC69" i="36"/>
  <c r="BB26" i="36"/>
  <c r="BB87" i="36" s="1"/>
  <c r="BB28" i="36"/>
  <c r="BB84" i="36"/>
  <c r="BE43" i="36"/>
  <c r="X38" i="42" s="1"/>
  <c r="BD97" i="36"/>
  <c r="BD44" i="36"/>
  <c r="BD46" i="36"/>
  <c r="BD70" i="36"/>
  <c r="BD36" i="36"/>
  <c r="Z32" i="36"/>
  <c r="BC77" i="36"/>
  <c r="BC39" i="36"/>
  <c r="BC37" i="36"/>
  <c r="BC81" i="36" s="1"/>
  <c r="BE32" i="36"/>
  <c r="Z35" i="36"/>
  <c r="Y23" i="36"/>
  <c r="Y25" i="36" s="1"/>
  <c r="X37" i="38" s="1"/>
  <c r="BE35" i="36"/>
  <c r="BD23" i="36"/>
  <c r="F3" i="33"/>
  <c r="M5" i="41"/>
  <c r="D3" i="33"/>
  <c r="BF19" i="36"/>
  <c r="BF20" i="36" s="1"/>
  <c r="BF56" i="36"/>
  <c r="BD59" i="36"/>
  <c r="W40" i="42" s="1"/>
  <c r="BC84" i="36"/>
  <c r="BC26" i="36"/>
  <c r="BC87" i="36" s="1"/>
  <c r="BC28" i="36"/>
  <c r="AB90" i="36"/>
  <c r="AB55" i="36"/>
  <c r="AB53" i="36"/>
  <c r="AB94" i="36" s="1"/>
  <c r="C7" i="33"/>
  <c r="H3" i="33"/>
  <c r="BG18" i="36"/>
  <c r="AB18" i="36"/>
  <c r="AA19" i="36"/>
  <c r="AA20" i="36" s="1"/>
  <c r="AD48" i="36"/>
  <c r="AE47" i="36"/>
  <c r="AD51" i="36"/>
  <c r="AD49" i="36"/>
  <c r="BG90" i="36"/>
  <c r="BG53" i="36"/>
  <c r="BG94" i="36" s="1"/>
  <c r="BG55" i="36"/>
  <c r="BE57" i="36"/>
  <c r="BE58" i="36"/>
  <c r="BF34" i="36"/>
  <c r="BF31" i="36"/>
  <c r="BG29" i="36"/>
  <c r="BF33" i="36"/>
  <c r="BF30" i="36"/>
  <c r="BI51" i="36"/>
  <c r="BI48" i="36"/>
  <c r="BI49" i="36"/>
  <c r="BJ47" i="36"/>
  <c r="Z58" i="36"/>
  <c r="Z57" i="36"/>
  <c r="BG40" i="36"/>
  <c r="BF42" i="36"/>
  <c r="BF41" i="36"/>
  <c r="BE21" i="36"/>
  <c r="BE22" i="36"/>
  <c r="Z21" i="36"/>
  <c r="Z22" i="36"/>
  <c r="AA56" i="36"/>
  <c r="AA34" i="36"/>
  <c r="AA30" i="36"/>
  <c r="AB29" i="36"/>
  <c r="AA33" i="36"/>
  <c r="AA31" i="36"/>
  <c r="X60" i="36"/>
  <c r="X62" i="36"/>
  <c r="X26" i="36"/>
  <c r="X87" i="36" s="1"/>
  <c r="X28" i="36"/>
  <c r="X84" i="36"/>
  <c r="AB40" i="36"/>
  <c r="AA42" i="36"/>
  <c r="L133" i="24"/>
  <c r="J72" i="12"/>
  <c r="I63" i="45"/>
  <c r="AO63" i="36"/>
  <c r="AO68" i="36" s="1"/>
  <c r="AO75" i="36" s="1"/>
  <c r="I68" i="36"/>
  <c r="J63" i="36"/>
  <c r="K72" i="14"/>
  <c r="AM71" i="36"/>
  <c r="AM72" i="36" s="1"/>
  <c r="AM106" i="36"/>
  <c r="AN65" i="36"/>
  <c r="AN66" i="36"/>
  <c r="AN73" i="36" s="1"/>
  <c r="H71" i="36"/>
  <c r="BT38" i="58" s="1"/>
  <c r="H37" i="58" s="1"/>
  <c r="AN37" i="58" s="1"/>
  <c r="BT37" i="58" s="1"/>
  <c r="H106" i="36"/>
  <c r="AO64" i="36"/>
  <c r="I66" i="36"/>
  <c r="I65" i="36"/>
  <c r="C5" i="33"/>
  <c r="D5" i="33"/>
  <c r="M4" i="41"/>
  <c r="L19" i="34"/>
  <c r="L11" i="34"/>
  <c r="G3" i="33"/>
  <c r="L20" i="34"/>
  <c r="E7" i="33"/>
  <c r="G7" i="33"/>
  <c r="M32" i="47"/>
  <c r="H7" i="33"/>
  <c r="F7" i="33"/>
  <c r="I7" i="33"/>
  <c r="F5" i="33"/>
  <c r="G5" i="33"/>
  <c r="H5" i="33"/>
  <c r="L13" i="34"/>
  <c r="M12" i="47"/>
  <c r="E5" i="33"/>
  <c r="I51" i="24"/>
  <c r="J6" i="33"/>
  <c r="L5" i="34"/>
  <c r="L22" i="34"/>
  <c r="K50" i="15"/>
  <c r="K53" i="15" s="1"/>
  <c r="K137" i="15" s="1"/>
  <c r="K126" i="15"/>
  <c r="J50" i="15"/>
  <c r="J53" i="15" s="1"/>
  <c r="J137" i="15" s="1"/>
  <c r="J126" i="15"/>
  <c r="H74" i="12"/>
  <c r="H219" i="12" s="1"/>
  <c r="H230" i="12" s="1"/>
  <c r="H78" i="12"/>
  <c r="H79" i="12"/>
  <c r="H76" i="12"/>
  <c r="H80" i="12"/>
  <c r="H75" i="12"/>
  <c r="H77" i="12"/>
  <c r="AB8" i="20"/>
  <c r="AB9" i="20"/>
  <c r="I74" i="14"/>
  <c r="I219" i="14" s="1"/>
  <c r="I230" i="14" s="1"/>
  <c r="I80" i="14"/>
  <c r="I76" i="14"/>
  <c r="I75" i="14"/>
  <c r="I79" i="14"/>
  <c r="I78" i="14"/>
  <c r="I77" i="14"/>
  <c r="W10" i="20"/>
  <c r="V12" i="20"/>
  <c r="W11" i="20"/>
  <c r="K72" i="12"/>
  <c r="M33" i="11"/>
  <c r="L34" i="11"/>
  <c r="L35" i="11" s="1"/>
  <c r="L36" i="11" s="1"/>
  <c r="J31" i="13"/>
  <c r="J33" i="13" s="1"/>
  <c r="J64" i="36" s="1"/>
  <c r="J32" i="13"/>
  <c r="J73" i="14" s="1"/>
  <c r="I73" i="12"/>
  <c r="K29" i="13"/>
  <c r="K30" i="13" s="1"/>
  <c r="L28" i="13"/>
  <c r="AA7" i="20"/>
  <c r="L31" i="15"/>
  <c r="C4" i="33" l="1"/>
  <c r="H24" i="33"/>
  <c r="G4" i="33"/>
  <c r="L21" i="34"/>
  <c r="M112" i="24"/>
  <c r="M113" i="24"/>
  <c r="K81" i="44"/>
  <c r="H4" i="3"/>
  <c r="H5" i="3" s="1"/>
  <c r="H7" i="3" s="1"/>
  <c r="H8" i="3" s="1"/>
  <c r="H10" i="3" s="1"/>
  <c r="I68" i="33"/>
  <c r="M7" i="4"/>
  <c r="M8" i="4"/>
  <c r="L37" i="11"/>
  <c r="L40" i="11"/>
  <c r="L66" i="45" s="1"/>
  <c r="AR66" i="45" s="1"/>
  <c r="L39" i="11"/>
  <c r="L38" i="11"/>
  <c r="AL4" i="51"/>
  <c r="AL57" i="58" s="1"/>
  <c r="CB57" i="58" s="1"/>
  <c r="CB58" i="58" s="1"/>
  <c r="F57" i="58"/>
  <c r="M114" i="24"/>
  <c r="G95" i="55"/>
  <c r="AL95" i="55"/>
  <c r="CX95" i="55" s="1"/>
  <c r="K61" i="45"/>
  <c r="AQ61" i="45" s="1"/>
  <c r="AQ63" i="45" s="1"/>
  <c r="K64" i="45"/>
  <c r="AQ64" i="45" s="1"/>
  <c r="G96" i="55"/>
  <c r="AL96" i="55"/>
  <c r="CX96" i="55" s="1"/>
  <c r="C106" i="16"/>
  <c r="T3" i="50"/>
  <c r="L53" i="25"/>
  <c r="B5" i="26" s="1"/>
  <c r="E5" i="26" s="1"/>
  <c r="E6" i="26" s="1"/>
  <c r="N53" i="25"/>
  <c r="D24" i="33"/>
  <c r="N55" i="25"/>
  <c r="L55" i="25"/>
  <c r="L23" i="34"/>
  <c r="L24" i="34" s="1"/>
  <c r="O19" i="34" s="1"/>
  <c r="M17" i="41"/>
  <c r="M20" i="47"/>
  <c r="D70" i="33"/>
  <c r="I70" i="33"/>
  <c r="E70" i="33"/>
  <c r="H70" i="33"/>
  <c r="G70" i="33"/>
  <c r="F70" i="33"/>
  <c r="E4" i="33"/>
  <c r="D71" i="33"/>
  <c r="I71" i="33"/>
  <c r="I79" i="33" s="1"/>
  <c r="E71" i="33"/>
  <c r="E79" i="33" s="1"/>
  <c r="C24" i="42" s="1"/>
  <c r="D24" i="42" s="1"/>
  <c r="E24" i="42" s="1"/>
  <c r="F24" i="42" s="1"/>
  <c r="G24" i="42" s="1"/>
  <c r="H24" i="42" s="1"/>
  <c r="I24" i="42" s="1"/>
  <c r="J24" i="42" s="1"/>
  <c r="K24" i="42" s="1"/>
  <c r="L24" i="42" s="1"/>
  <c r="M24" i="42" s="1"/>
  <c r="N24" i="42" s="1"/>
  <c r="O24" i="42" s="1"/>
  <c r="P24" i="42" s="1"/>
  <c r="Q24" i="42" s="1"/>
  <c r="R24" i="42" s="1"/>
  <c r="S24" i="42" s="1"/>
  <c r="T24" i="42" s="1"/>
  <c r="U24" i="42" s="1"/>
  <c r="V24" i="42" s="1"/>
  <c r="W24" i="42" s="1"/>
  <c r="X24" i="42" s="1"/>
  <c r="Y24" i="42" s="1"/>
  <c r="Z24" i="42" s="1"/>
  <c r="AA24" i="42" s="1"/>
  <c r="AB24" i="42" s="1"/>
  <c r="AC24" i="42" s="1"/>
  <c r="AD24" i="42" s="1"/>
  <c r="AE24" i="42" s="1"/>
  <c r="AF24" i="42" s="1"/>
  <c r="AG24" i="42" s="1"/>
  <c r="H71" i="33"/>
  <c r="G71" i="33"/>
  <c r="F71" i="33"/>
  <c r="I4" i="33"/>
  <c r="J4" i="33" s="1"/>
  <c r="F4" i="33"/>
  <c r="J15" i="33"/>
  <c r="G24" i="33"/>
  <c r="I24" i="33"/>
  <c r="C24" i="33"/>
  <c r="I72" i="33"/>
  <c r="D4" i="33"/>
  <c r="D8" i="33" s="1"/>
  <c r="E13" i="33"/>
  <c r="L28" i="34" s="1"/>
  <c r="I13" i="33"/>
  <c r="L31" i="34" s="1"/>
  <c r="F13" i="33"/>
  <c r="L29" i="34" s="1"/>
  <c r="H13" i="33"/>
  <c r="H17" i="33" s="1"/>
  <c r="C13" i="33"/>
  <c r="C17" i="33" s="1"/>
  <c r="G13" i="33"/>
  <c r="L30" i="34" s="1"/>
  <c r="F24" i="33"/>
  <c r="M18" i="41"/>
  <c r="D13" i="33"/>
  <c r="D17" i="33" s="1"/>
  <c r="Z70" i="36"/>
  <c r="BE70" i="36"/>
  <c r="S5" i="50"/>
  <c r="G4" i="51"/>
  <c r="H6" i="52"/>
  <c r="U3" i="50"/>
  <c r="I6" i="52" s="1"/>
  <c r="F87" i="44"/>
  <c r="L119" i="24"/>
  <c r="M21" i="41"/>
  <c r="L3" i="34"/>
  <c r="C87" i="44"/>
  <c r="I4" i="26"/>
  <c r="I5" i="26" s="1"/>
  <c r="I6" i="26" s="1"/>
  <c r="M117" i="24"/>
  <c r="D87" i="44"/>
  <c r="G87" i="44"/>
  <c r="L6" i="34"/>
  <c r="AK52" i="45"/>
  <c r="M23" i="41"/>
  <c r="M6" i="47"/>
  <c r="M27" i="47"/>
  <c r="D68" i="33"/>
  <c r="M28" i="41"/>
  <c r="M33" i="47"/>
  <c r="M27" i="41"/>
  <c r="M31" i="47"/>
  <c r="M21" i="47"/>
  <c r="N17" i="47" s="1"/>
  <c r="M4" i="47"/>
  <c r="M25" i="47"/>
  <c r="E68" i="33"/>
  <c r="L12" i="34"/>
  <c r="M11" i="47"/>
  <c r="M5" i="47"/>
  <c r="M26" i="47"/>
  <c r="M29" i="41"/>
  <c r="M34" i="47"/>
  <c r="M22" i="41"/>
  <c r="M3" i="47"/>
  <c r="M24" i="47"/>
  <c r="E51" i="45"/>
  <c r="E92" i="45" s="1"/>
  <c r="N7" i="4"/>
  <c r="N9" i="4" s="1"/>
  <c r="F48" i="45"/>
  <c r="F50" i="45" s="1"/>
  <c r="E39" i="46" s="1"/>
  <c r="AL48" i="45"/>
  <c r="AL50" i="45" s="1"/>
  <c r="AL53" i="45" s="1"/>
  <c r="BD39" i="36"/>
  <c r="W36" i="42"/>
  <c r="AK51" i="45"/>
  <c r="AK92" i="45" s="1"/>
  <c r="E52" i="45"/>
  <c r="AK53" i="45"/>
  <c r="E53" i="45"/>
  <c r="E88" i="45"/>
  <c r="C39" i="48"/>
  <c r="AJ53" i="45"/>
  <c r="AJ51" i="45"/>
  <c r="AJ52" i="45"/>
  <c r="AM49" i="45"/>
  <c r="AM46" i="45"/>
  <c r="AM47" i="45"/>
  <c r="AN45" i="45"/>
  <c r="J12" i="33"/>
  <c r="J39" i="33" s="1"/>
  <c r="H68" i="33"/>
  <c r="L7" i="34"/>
  <c r="C8" i="33"/>
  <c r="F68" i="33"/>
  <c r="F76" i="33" s="1"/>
  <c r="G68" i="33"/>
  <c r="AK88" i="45"/>
  <c r="H45" i="45"/>
  <c r="G46" i="45"/>
  <c r="G49" i="45"/>
  <c r="G47" i="45"/>
  <c r="I8" i="3"/>
  <c r="I11" i="3" s="1"/>
  <c r="J8" i="26"/>
  <c r="J7" i="26"/>
  <c r="BH53" i="36"/>
  <c r="BH94" i="36" s="1"/>
  <c r="BH90" i="36"/>
  <c r="BH55" i="36"/>
  <c r="BE23" i="36"/>
  <c r="BE69" i="36" s="1"/>
  <c r="Y62" i="36"/>
  <c r="Y60" i="36"/>
  <c r="BE97" i="36"/>
  <c r="BE44" i="36"/>
  <c r="BE46" i="36"/>
  <c r="BD77" i="36"/>
  <c r="BD37" i="36"/>
  <c r="BD81" i="36" s="1"/>
  <c r="BF32" i="36"/>
  <c r="BF35" i="36"/>
  <c r="BE36" i="36"/>
  <c r="X36" i="42" s="1"/>
  <c r="L97" i="24"/>
  <c r="L100" i="24"/>
  <c r="L101" i="24"/>
  <c r="AA32" i="36"/>
  <c r="Z23" i="36"/>
  <c r="Z25" i="36" s="1"/>
  <c r="Y37" i="38" s="1"/>
  <c r="BF43" i="36"/>
  <c r="Y38" i="42" s="1"/>
  <c r="BD25" i="36"/>
  <c r="W37" i="42" s="1"/>
  <c r="BD69" i="36"/>
  <c r="Y28" i="36"/>
  <c r="Y26" i="36"/>
  <c r="Y87" i="36" s="1"/>
  <c r="Y84" i="36"/>
  <c r="AA35" i="36"/>
  <c r="Z59" i="36"/>
  <c r="Y40" i="38" s="1"/>
  <c r="BE59" i="36"/>
  <c r="X40" i="42" s="1"/>
  <c r="AC40" i="36"/>
  <c r="AB42" i="36"/>
  <c r="BI50" i="36"/>
  <c r="BI52" i="36" s="1"/>
  <c r="AB39" i="42" s="1"/>
  <c r="BG31" i="36"/>
  <c r="BG34" i="36"/>
  <c r="BH29" i="36"/>
  <c r="BG33" i="36"/>
  <c r="BG30" i="36"/>
  <c r="BG32" i="36" s="1"/>
  <c r="AA22" i="36"/>
  <c r="AA21" i="36"/>
  <c r="BF21" i="36"/>
  <c r="BF22" i="36"/>
  <c r="AB19" i="36"/>
  <c r="AB20" i="36" s="1"/>
  <c r="AC18" i="36"/>
  <c r="BH18" i="36"/>
  <c r="AB56" i="36"/>
  <c r="AA58" i="36"/>
  <c r="AA57" i="36"/>
  <c r="BH40" i="36"/>
  <c r="BG42" i="36"/>
  <c r="BG41" i="36"/>
  <c r="BJ51" i="36"/>
  <c r="BJ49" i="36"/>
  <c r="BJ48" i="36"/>
  <c r="BK47" i="36"/>
  <c r="AE48" i="36"/>
  <c r="AF47" i="36"/>
  <c r="AE49" i="36"/>
  <c r="AE51" i="36"/>
  <c r="BG19" i="36"/>
  <c r="BG20" i="36" s="1"/>
  <c r="BG56" i="36"/>
  <c r="F70" i="44"/>
  <c r="C70" i="44"/>
  <c r="C72" i="44"/>
  <c r="F71" i="44"/>
  <c r="F76" i="44"/>
  <c r="F72" i="44"/>
  <c r="G76" i="44"/>
  <c r="L98" i="24"/>
  <c r="L4" i="4" s="1"/>
  <c r="G71" i="44"/>
  <c r="C76" i="44"/>
  <c r="G70" i="44"/>
  <c r="F73" i="44"/>
  <c r="G75" i="44"/>
  <c r="G73" i="44"/>
  <c r="C73" i="44"/>
  <c r="G72" i="44"/>
  <c r="F74" i="44"/>
  <c r="F97" i="44"/>
  <c r="C75" i="44"/>
  <c r="F75" i="44"/>
  <c r="L103" i="24"/>
  <c r="H4" i="26" s="1"/>
  <c r="G74" i="44"/>
  <c r="L99" i="24"/>
  <c r="G4" i="3" s="1"/>
  <c r="C71" i="44"/>
  <c r="C74" i="44"/>
  <c r="BD60" i="36"/>
  <c r="BD62" i="36"/>
  <c r="AB33" i="36"/>
  <c r="AB34" i="36"/>
  <c r="AB30" i="36"/>
  <c r="AC29" i="36"/>
  <c r="AB31" i="36"/>
  <c r="BE25" i="36"/>
  <c r="X37" i="42" s="1"/>
  <c r="AC55" i="36"/>
  <c r="AC53" i="36"/>
  <c r="AC94" i="36" s="1"/>
  <c r="AC90" i="36"/>
  <c r="AD50" i="36"/>
  <c r="AD52" i="36" s="1"/>
  <c r="AC39" i="38" s="1"/>
  <c r="BF57" i="36"/>
  <c r="BF58" i="36"/>
  <c r="H8" i="33"/>
  <c r="J63" i="45"/>
  <c r="AP63" i="36"/>
  <c r="AP68" i="36" s="1"/>
  <c r="AP75" i="36" s="1"/>
  <c r="J68" i="36"/>
  <c r="K63" i="36"/>
  <c r="L72" i="14"/>
  <c r="AO66" i="36"/>
  <c r="AO73" i="36" s="1"/>
  <c r="AO65" i="36"/>
  <c r="AN71" i="36"/>
  <c r="AN72" i="36" s="1"/>
  <c r="AN106" i="36"/>
  <c r="AP64" i="36"/>
  <c r="J65" i="36"/>
  <c r="J66" i="36"/>
  <c r="I71" i="36"/>
  <c r="BU38" i="58" s="1"/>
  <c r="I37" i="58" s="1"/>
  <c r="AO37" i="58" s="1"/>
  <c r="BU37" i="58" s="1"/>
  <c r="I106" i="36"/>
  <c r="J5" i="33"/>
  <c r="P15" i="41"/>
  <c r="N17" i="41"/>
  <c r="AI62" i="41" s="1"/>
  <c r="P17" i="41"/>
  <c r="AI68" i="41" s="1"/>
  <c r="O17" i="41"/>
  <c r="AI65" i="41" s="1"/>
  <c r="O16" i="41"/>
  <c r="AI64" i="41" s="1"/>
  <c r="M10" i="41"/>
  <c r="L15" i="34"/>
  <c r="M11" i="41"/>
  <c r="N15" i="41"/>
  <c r="P16" i="41"/>
  <c r="AI67" i="41" s="1"/>
  <c r="M6" i="41"/>
  <c r="O3" i="41" s="1"/>
  <c r="L14" i="34"/>
  <c r="M9" i="41"/>
  <c r="J7" i="33"/>
  <c r="E8" i="33"/>
  <c r="O15" i="41"/>
  <c r="N16" i="41"/>
  <c r="AI61" i="41" s="1"/>
  <c r="F8" i="33"/>
  <c r="I17" i="33"/>
  <c r="D25" i="33"/>
  <c r="L37" i="34"/>
  <c r="F25" i="33"/>
  <c r="H79" i="33"/>
  <c r="H25" i="33"/>
  <c r="L38" i="34"/>
  <c r="G25" i="33"/>
  <c r="G17" i="33"/>
  <c r="F79" i="33"/>
  <c r="L36" i="34"/>
  <c r="E25" i="33"/>
  <c r="G8" i="33"/>
  <c r="J14" i="33"/>
  <c r="J41" i="33" s="1"/>
  <c r="L35" i="34"/>
  <c r="E72" i="33"/>
  <c r="G72" i="33"/>
  <c r="C25" i="33"/>
  <c r="H72" i="33"/>
  <c r="D72" i="33"/>
  <c r="F72" i="33"/>
  <c r="J16" i="33"/>
  <c r="J43" i="33" s="1"/>
  <c r="L39" i="34"/>
  <c r="I25" i="33"/>
  <c r="J3" i="33"/>
  <c r="L50" i="15"/>
  <c r="L53" i="15" s="1"/>
  <c r="L137" i="15" s="1"/>
  <c r="L126" i="15"/>
  <c r="I74" i="12"/>
  <c r="I76" i="12"/>
  <c r="I77" i="12"/>
  <c r="I78" i="12"/>
  <c r="I79" i="12"/>
  <c r="I75" i="12"/>
  <c r="I80" i="12"/>
  <c r="AC9" i="20"/>
  <c r="AC8" i="20"/>
  <c r="J74" i="14"/>
  <c r="J219" i="14" s="1"/>
  <c r="J230" i="14" s="1"/>
  <c r="J77" i="14"/>
  <c r="J75" i="14"/>
  <c r="J79" i="14"/>
  <c r="J80" i="14"/>
  <c r="J78" i="14"/>
  <c r="J76" i="14"/>
  <c r="I219" i="12"/>
  <c r="I230" i="12" s="1"/>
  <c r="X11" i="20"/>
  <c r="X10" i="20"/>
  <c r="W12" i="20"/>
  <c r="N33" i="11"/>
  <c r="M34" i="11"/>
  <c r="M35" i="11" s="1"/>
  <c r="M36" i="11" s="1"/>
  <c r="L29" i="13"/>
  <c r="L30" i="13" s="1"/>
  <c r="M28" i="13"/>
  <c r="J73" i="12"/>
  <c r="K31" i="13"/>
  <c r="K33" i="13" s="1"/>
  <c r="K64" i="36" s="1"/>
  <c r="K32" i="13"/>
  <c r="K73" i="14" s="1"/>
  <c r="AB7" i="20"/>
  <c r="I8" i="33" l="1"/>
  <c r="E17" i="33"/>
  <c r="I22" i="33"/>
  <c r="H11" i="3"/>
  <c r="H22" i="33"/>
  <c r="H12" i="3"/>
  <c r="G79" i="33"/>
  <c r="AM4" i="51"/>
  <c r="AM57" i="58" s="1"/>
  <c r="CC57" i="58" s="1"/>
  <c r="CC58" i="58" s="1"/>
  <c r="G57" i="58"/>
  <c r="H96" i="55"/>
  <c r="AM96" i="55"/>
  <c r="CY96" i="55" s="1"/>
  <c r="J24" i="33"/>
  <c r="L30" i="41"/>
  <c r="N28" i="41" s="1"/>
  <c r="AI73" i="41" s="1"/>
  <c r="D79" i="33"/>
  <c r="C103" i="16"/>
  <c r="C103" i="15"/>
  <c r="N57" i="25"/>
  <c r="E7" i="26"/>
  <c r="E8" i="26"/>
  <c r="L61" i="45"/>
  <c r="AR61" i="45" s="1"/>
  <c r="AR63" i="45" s="1"/>
  <c r="L64" i="45"/>
  <c r="AR64" i="45" s="1"/>
  <c r="M37" i="11"/>
  <c r="M40" i="11"/>
  <c r="M66" i="45" s="1"/>
  <c r="AS66" i="45" s="1"/>
  <c r="M39" i="11"/>
  <c r="M38" i="11"/>
  <c r="H95" i="55"/>
  <c r="AM95" i="55"/>
  <c r="CY95" i="55" s="1"/>
  <c r="C102" i="15"/>
  <c r="C102" i="16"/>
  <c r="C107" i="16" s="1"/>
  <c r="C24" i="53"/>
  <c r="C24" i="54"/>
  <c r="D69" i="33"/>
  <c r="D77" i="33" s="1"/>
  <c r="J42" i="33"/>
  <c r="G42" i="33" s="1"/>
  <c r="F17" i="33"/>
  <c r="L8" i="34"/>
  <c r="Q4" i="34" s="1"/>
  <c r="AI64" i="34" s="1"/>
  <c r="F64" i="34" s="1"/>
  <c r="G64" i="34" s="1"/>
  <c r="H64" i="34" s="1"/>
  <c r="I64" i="34" s="1"/>
  <c r="J64" i="34" s="1"/>
  <c r="K64" i="34" s="1"/>
  <c r="L64" i="34" s="1"/>
  <c r="M64" i="34" s="1"/>
  <c r="N64" i="34" s="1"/>
  <c r="O64" i="34" s="1"/>
  <c r="P64" i="34" s="1"/>
  <c r="Q64" i="34" s="1"/>
  <c r="R64" i="34" s="1"/>
  <c r="S64" i="34" s="1"/>
  <c r="T64" i="34" s="1"/>
  <c r="U64" i="34" s="1"/>
  <c r="V64" i="34" s="1"/>
  <c r="W64" i="34" s="1"/>
  <c r="X64" i="34" s="1"/>
  <c r="Y64" i="34" s="1"/>
  <c r="Z64" i="34" s="1"/>
  <c r="AA64" i="34" s="1"/>
  <c r="AB64" i="34" s="1"/>
  <c r="AC64" i="34" s="1"/>
  <c r="AD64" i="34" s="1"/>
  <c r="AE64" i="34" s="1"/>
  <c r="AF64" i="34" s="1"/>
  <c r="AG64" i="34" s="1"/>
  <c r="AH64" i="34" s="1"/>
  <c r="F69" i="33"/>
  <c r="J13" i="33"/>
  <c r="J40" i="33" s="1"/>
  <c r="E69" i="33"/>
  <c r="H69" i="33"/>
  <c r="I69" i="33"/>
  <c r="I77" i="33" s="1"/>
  <c r="L27" i="34"/>
  <c r="L32" i="34" s="1"/>
  <c r="M29" i="34" s="1"/>
  <c r="AI105" i="34" s="1"/>
  <c r="G69" i="33"/>
  <c r="H4" i="51"/>
  <c r="T5" i="50"/>
  <c r="E39" i="48"/>
  <c r="N19" i="47"/>
  <c r="AI76" i="47" s="1"/>
  <c r="P19" i="47"/>
  <c r="AI84" i="47" s="1"/>
  <c r="O17" i="47"/>
  <c r="AI78" i="47" s="1"/>
  <c r="M24" i="41"/>
  <c r="N22" i="41" s="1"/>
  <c r="AI70" i="41" s="1"/>
  <c r="I7" i="26"/>
  <c r="I8" i="26"/>
  <c r="D24" i="53"/>
  <c r="F88" i="45"/>
  <c r="F51" i="45"/>
  <c r="F92" i="45" s="1"/>
  <c r="I76" i="33"/>
  <c r="V3" i="50"/>
  <c r="J6" i="52" s="1"/>
  <c r="O19" i="47"/>
  <c r="AI80" i="47" s="1"/>
  <c r="AI74" i="47"/>
  <c r="E76" i="33"/>
  <c r="C21" i="42" s="1"/>
  <c r="D21" i="42" s="1"/>
  <c r="E21" i="42" s="1"/>
  <c r="F21" i="42" s="1"/>
  <c r="G21" i="42" s="1"/>
  <c r="H21" i="42" s="1"/>
  <c r="I21" i="42" s="1"/>
  <c r="J21" i="42" s="1"/>
  <c r="K21" i="42" s="1"/>
  <c r="L21" i="42" s="1"/>
  <c r="M21" i="42" s="1"/>
  <c r="N21" i="42" s="1"/>
  <c r="O21" i="42" s="1"/>
  <c r="P21" i="42" s="1"/>
  <c r="Q21" i="42" s="1"/>
  <c r="R21" i="42" s="1"/>
  <c r="S21" i="42" s="1"/>
  <c r="T21" i="42" s="1"/>
  <c r="U21" i="42" s="1"/>
  <c r="V21" i="42" s="1"/>
  <c r="W21" i="42" s="1"/>
  <c r="X21" i="42" s="1"/>
  <c r="Y21" i="42" s="1"/>
  <c r="Z21" i="42" s="1"/>
  <c r="AA21" i="42" s="1"/>
  <c r="AB21" i="42" s="1"/>
  <c r="AC21" i="42" s="1"/>
  <c r="AD21" i="42" s="1"/>
  <c r="AE21" i="42" s="1"/>
  <c r="AF21" i="42" s="1"/>
  <c r="AG21" i="42" s="1"/>
  <c r="D76" i="33"/>
  <c r="C21" i="28" s="1"/>
  <c r="D21" i="28" s="1"/>
  <c r="M28" i="47"/>
  <c r="N24" i="47" s="1"/>
  <c r="L35" i="47"/>
  <c r="N32" i="47" s="1"/>
  <c r="AI91" i="47" s="1"/>
  <c r="M14" i="47"/>
  <c r="Q11" i="47" s="1"/>
  <c r="AI71" i="47" s="1"/>
  <c r="G76" i="33"/>
  <c r="H76" i="33"/>
  <c r="M7" i="47"/>
  <c r="R3" i="47" s="1"/>
  <c r="P17" i="47"/>
  <c r="O20" i="47"/>
  <c r="AI81" i="47" s="1"/>
  <c r="N18" i="47"/>
  <c r="AI75" i="47" s="1"/>
  <c r="P20" i="47"/>
  <c r="AI85" i="47" s="1"/>
  <c r="N20" i="47"/>
  <c r="AI77" i="47" s="1"/>
  <c r="P18" i="47"/>
  <c r="AI83" i="47" s="1"/>
  <c r="O18" i="47"/>
  <c r="AI79" i="47" s="1"/>
  <c r="AL52" i="45"/>
  <c r="F52" i="45"/>
  <c r="AL51" i="45"/>
  <c r="AL92" i="45" s="1"/>
  <c r="F53" i="45"/>
  <c r="AA23" i="36"/>
  <c r="C24" i="48"/>
  <c r="C24" i="46"/>
  <c r="BF70" i="36"/>
  <c r="AM48" i="45"/>
  <c r="AM50" i="45" s="1"/>
  <c r="AN46" i="45"/>
  <c r="AN47" i="45"/>
  <c r="AN49" i="45"/>
  <c r="AO45" i="45"/>
  <c r="G48" i="45"/>
  <c r="G50" i="45" s="1"/>
  <c r="F39" i="46" s="1"/>
  <c r="J75" i="44"/>
  <c r="H13" i="3"/>
  <c r="H5" i="26"/>
  <c r="H6" i="26" s="1"/>
  <c r="L5" i="4"/>
  <c r="L6" i="4" s="1"/>
  <c r="D38" i="45"/>
  <c r="AJ38" i="45" s="1"/>
  <c r="AJ41" i="45" s="1"/>
  <c r="G5" i="3"/>
  <c r="G7" i="3" s="1"/>
  <c r="D16" i="45"/>
  <c r="AJ16" i="45" s="1"/>
  <c r="AL88" i="45"/>
  <c r="I45" i="45"/>
  <c r="H46" i="45"/>
  <c r="H47" i="45"/>
  <c r="H49" i="45"/>
  <c r="AJ88" i="45"/>
  <c r="AJ92" i="45"/>
  <c r="J9" i="26"/>
  <c r="I12" i="3"/>
  <c r="I10" i="3"/>
  <c r="AA59" i="36"/>
  <c r="Z40" i="38" s="1"/>
  <c r="BF36" i="36"/>
  <c r="BE39" i="36"/>
  <c r="BE77" i="36"/>
  <c r="BE37" i="36"/>
  <c r="BE81" i="36" s="1"/>
  <c r="AB35" i="36"/>
  <c r="BJ50" i="36"/>
  <c r="BJ52" i="36" s="1"/>
  <c r="AC39" i="42" s="1"/>
  <c r="BF23" i="36"/>
  <c r="BF25" i="36" s="1"/>
  <c r="Y37" i="42" s="1"/>
  <c r="BE60" i="36"/>
  <c r="BE62" i="36"/>
  <c r="H78" i="33"/>
  <c r="L105" i="24"/>
  <c r="BG35" i="36"/>
  <c r="BG36" i="36" s="1"/>
  <c r="Z36" i="42" s="1"/>
  <c r="Z62" i="36"/>
  <c r="Z60" i="36"/>
  <c r="BD26" i="36"/>
  <c r="BD87" i="36" s="1"/>
  <c r="BD28" i="36"/>
  <c r="BD84" i="36"/>
  <c r="AB32" i="36"/>
  <c r="AE50" i="36"/>
  <c r="AE52" i="36" s="1"/>
  <c r="BF44" i="36"/>
  <c r="BF97" i="36"/>
  <c r="BF46" i="36"/>
  <c r="J73" i="44"/>
  <c r="K73" i="44" s="1"/>
  <c r="M73" i="44" s="1"/>
  <c r="AA62" i="36"/>
  <c r="BF59" i="36"/>
  <c r="Y40" i="42" s="1"/>
  <c r="AD90" i="36"/>
  <c r="AD55" i="36"/>
  <c r="AD53" i="36"/>
  <c r="AD94" i="36" s="1"/>
  <c r="BE26" i="36"/>
  <c r="BE87" i="36" s="1"/>
  <c r="BE84" i="36"/>
  <c r="BE28" i="36"/>
  <c r="AD29" i="36"/>
  <c r="AC33" i="36"/>
  <c r="AC34" i="36"/>
  <c r="AC30" i="36"/>
  <c r="AC31" i="36"/>
  <c r="BG57" i="36"/>
  <c r="BG58" i="36"/>
  <c r="AF51" i="36"/>
  <c r="AF48" i="36"/>
  <c r="AF49" i="36"/>
  <c r="AG47" i="36"/>
  <c r="BH41" i="36"/>
  <c r="BH42" i="36"/>
  <c r="BI40" i="36"/>
  <c r="AB22" i="36"/>
  <c r="AB21" i="36"/>
  <c r="BI55" i="36"/>
  <c r="BI53" i="36"/>
  <c r="BI94" i="36" s="1"/>
  <c r="BI90" i="36"/>
  <c r="Z28" i="36"/>
  <c r="Z84" i="36"/>
  <c r="Z26" i="36"/>
  <c r="Z87" i="36" s="1"/>
  <c r="G97" i="44"/>
  <c r="G77" i="44"/>
  <c r="J70" i="44"/>
  <c r="C77" i="44"/>
  <c r="AB57" i="36"/>
  <c r="AB58" i="36"/>
  <c r="BI29" i="36"/>
  <c r="BH30" i="36"/>
  <c r="BH33" i="36"/>
  <c r="BH31" i="36"/>
  <c r="BH34" i="36"/>
  <c r="F77" i="44"/>
  <c r="BK51" i="36"/>
  <c r="BK48" i="36"/>
  <c r="BK49" i="36"/>
  <c r="BL47" i="36"/>
  <c r="BG43" i="36"/>
  <c r="Z38" i="42" s="1"/>
  <c r="AA70" i="36"/>
  <c r="BH19" i="36"/>
  <c r="BH20" i="36" s="1"/>
  <c r="BH56" i="36"/>
  <c r="AA25" i="36"/>
  <c r="Z37" i="38" s="1"/>
  <c r="C97" i="44"/>
  <c r="BG22" i="36"/>
  <c r="BG21" i="36"/>
  <c r="AC19" i="36"/>
  <c r="AC20" i="36" s="1"/>
  <c r="AD18" i="36"/>
  <c r="BI18" i="36"/>
  <c r="AC56" i="36"/>
  <c r="AC42" i="36"/>
  <c r="AD40" i="36"/>
  <c r="M72" i="14"/>
  <c r="L72" i="12"/>
  <c r="K63" i="45"/>
  <c r="L63" i="36"/>
  <c r="AQ63" i="36"/>
  <c r="AQ68" i="36" s="1"/>
  <c r="AQ75" i="36" s="1"/>
  <c r="K68" i="36"/>
  <c r="N5" i="41"/>
  <c r="AI35" i="41" s="1"/>
  <c r="J71" i="36"/>
  <c r="BV38" i="58" s="1"/>
  <c r="J37" i="58" s="1"/>
  <c r="AP37" i="58" s="1"/>
  <c r="BV37" i="58" s="1"/>
  <c r="J106" i="36"/>
  <c r="AP66" i="36"/>
  <c r="AP73" i="36" s="1"/>
  <c r="AP65" i="36"/>
  <c r="AO71" i="36"/>
  <c r="AO72" i="36" s="1"/>
  <c r="AO106" i="36"/>
  <c r="AQ64" i="36"/>
  <c r="K65" i="36"/>
  <c r="K66" i="36"/>
  <c r="N19" i="34"/>
  <c r="AI93" i="34" s="1"/>
  <c r="F93" i="34" s="1"/>
  <c r="G93" i="34" s="1"/>
  <c r="H93" i="34" s="1"/>
  <c r="I93" i="34" s="1"/>
  <c r="J93" i="34" s="1"/>
  <c r="K93" i="34" s="1"/>
  <c r="L93" i="34" s="1"/>
  <c r="M93" i="34" s="1"/>
  <c r="N93" i="34" s="1"/>
  <c r="O93" i="34" s="1"/>
  <c r="P93" i="34" s="1"/>
  <c r="Q93" i="34" s="1"/>
  <c r="R93" i="34" s="1"/>
  <c r="S93" i="34" s="1"/>
  <c r="T93" i="34" s="1"/>
  <c r="U93" i="34" s="1"/>
  <c r="V93" i="34" s="1"/>
  <c r="W93" i="34" s="1"/>
  <c r="X93" i="34" s="1"/>
  <c r="Y93" i="34" s="1"/>
  <c r="Z93" i="34" s="1"/>
  <c r="AA93" i="34" s="1"/>
  <c r="AB93" i="34" s="1"/>
  <c r="AC93" i="34" s="1"/>
  <c r="AD93" i="34" s="1"/>
  <c r="AE93" i="34" s="1"/>
  <c r="AF93" i="34" s="1"/>
  <c r="AG93" i="34" s="1"/>
  <c r="AH93" i="34" s="1"/>
  <c r="H80" i="33"/>
  <c r="J22" i="33"/>
  <c r="L16" i="34"/>
  <c r="N15" i="34" s="1"/>
  <c r="AI77" i="34" s="1"/>
  <c r="O5" i="41"/>
  <c r="AI38" i="41" s="1"/>
  <c r="N29" i="41"/>
  <c r="AI74" i="41" s="1"/>
  <c r="R5" i="41"/>
  <c r="AI47" i="41" s="1"/>
  <c r="N27" i="41"/>
  <c r="H77" i="33"/>
  <c r="J8" i="33"/>
  <c r="F80" i="33"/>
  <c r="N23" i="41"/>
  <c r="AI71" i="41" s="1"/>
  <c r="F77" i="33"/>
  <c r="D80" i="33"/>
  <c r="C25" i="28" s="1"/>
  <c r="G80" i="33"/>
  <c r="AI63" i="41"/>
  <c r="O18" i="41"/>
  <c r="N3" i="41"/>
  <c r="N21" i="41"/>
  <c r="O4" i="41"/>
  <c r="AI37" i="41" s="1"/>
  <c r="AI36" i="41"/>
  <c r="AI66" i="41"/>
  <c r="P18" i="41"/>
  <c r="C24" i="28"/>
  <c r="D24" i="28" s="1"/>
  <c r="C24" i="29"/>
  <c r="R4" i="41"/>
  <c r="AI46" i="41" s="1"/>
  <c r="M12" i="41"/>
  <c r="Q10" i="41" s="1"/>
  <c r="AI58" i="41" s="1"/>
  <c r="R3" i="41"/>
  <c r="AI60" i="41"/>
  <c r="N18" i="41"/>
  <c r="N4" i="41"/>
  <c r="AI34" i="41" s="1"/>
  <c r="C21" i="38"/>
  <c r="C24" i="38"/>
  <c r="AI98" i="34"/>
  <c r="F98" i="34" s="1"/>
  <c r="G98" i="34" s="1"/>
  <c r="H98" i="34" s="1"/>
  <c r="I98" i="34" s="1"/>
  <c r="J98" i="34" s="1"/>
  <c r="K98" i="34" s="1"/>
  <c r="L98" i="34" s="1"/>
  <c r="M98" i="34" s="1"/>
  <c r="N98" i="34" s="1"/>
  <c r="O98" i="34" s="1"/>
  <c r="P98" i="34" s="1"/>
  <c r="Q98" i="34" s="1"/>
  <c r="R98" i="34" s="1"/>
  <c r="S98" i="34" s="1"/>
  <c r="T98" i="34" s="1"/>
  <c r="U98" i="34" s="1"/>
  <c r="V98" i="34" s="1"/>
  <c r="W98" i="34" s="1"/>
  <c r="X98" i="34" s="1"/>
  <c r="Y98" i="34" s="1"/>
  <c r="Z98" i="34" s="1"/>
  <c r="AA98" i="34" s="1"/>
  <c r="AB98" i="34" s="1"/>
  <c r="AC98" i="34" s="1"/>
  <c r="AD98" i="34" s="1"/>
  <c r="AE98" i="34" s="1"/>
  <c r="AF98" i="34" s="1"/>
  <c r="AG98" i="34" s="1"/>
  <c r="AH98" i="34" s="1"/>
  <c r="F41" i="33"/>
  <c r="G41" i="33"/>
  <c r="H41" i="33"/>
  <c r="C12" i="47" s="1"/>
  <c r="I41" i="33"/>
  <c r="E41" i="33"/>
  <c r="C11" i="47" s="1"/>
  <c r="C41" i="33"/>
  <c r="D41" i="33"/>
  <c r="N22" i="34"/>
  <c r="AI96" i="34" s="1"/>
  <c r="N21" i="34"/>
  <c r="AI95" i="34" s="1"/>
  <c r="F95" i="34" s="1"/>
  <c r="G95" i="34" s="1"/>
  <c r="H95" i="34" s="1"/>
  <c r="I95" i="34" s="1"/>
  <c r="J95" i="34" s="1"/>
  <c r="K95" i="34" s="1"/>
  <c r="L95" i="34" s="1"/>
  <c r="M95" i="34" s="1"/>
  <c r="N95" i="34" s="1"/>
  <c r="O95" i="34" s="1"/>
  <c r="P95" i="34" s="1"/>
  <c r="Q95" i="34" s="1"/>
  <c r="R95" i="34" s="1"/>
  <c r="S95" i="34" s="1"/>
  <c r="T95" i="34" s="1"/>
  <c r="U95" i="34" s="1"/>
  <c r="V95" i="34" s="1"/>
  <c r="W95" i="34" s="1"/>
  <c r="X95" i="34" s="1"/>
  <c r="Y95" i="34" s="1"/>
  <c r="Z95" i="34" s="1"/>
  <c r="AA95" i="34" s="1"/>
  <c r="AB95" i="34" s="1"/>
  <c r="AC95" i="34" s="1"/>
  <c r="AD95" i="34" s="1"/>
  <c r="AE95" i="34" s="1"/>
  <c r="AF95" i="34" s="1"/>
  <c r="AG95" i="34" s="1"/>
  <c r="AH95" i="34" s="1"/>
  <c r="E77" i="33"/>
  <c r="C23" i="42" s="1"/>
  <c r="D23" i="42" s="1"/>
  <c r="E23" i="42" s="1"/>
  <c r="F23" i="42" s="1"/>
  <c r="G23" i="42" s="1"/>
  <c r="H23" i="42" s="1"/>
  <c r="I23" i="42" s="1"/>
  <c r="J23" i="42" s="1"/>
  <c r="K23" i="42" s="1"/>
  <c r="L23" i="42" s="1"/>
  <c r="M23" i="42" s="1"/>
  <c r="N23" i="42" s="1"/>
  <c r="O23" i="42" s="1"/>
  <c r="P23" i="42" s="1"/>
  <c r="Q23" i="42" s="1"/>
  <c r="R23" i="42" s="1"/>
  <c r="S23" i="42" s="1"/>
  <c r="T23" i="42" s="1"/>
  <c r="U23" i="42" s="1"/>
  <c r="V23" i="42" s="1"/>
  <c r="W23" i="42" s="1"/>
  <c r="X23" i="42" s="1"/>
  <c r="Y23" i="42" s="1"/>
  <c r="Z23" i="42" s="1"/>
  <c r="AA23" i="42" s="1"/>
  <c r="AB23" i="42" s="1"/>
  <c r="AC23" i="42" s="1"/>
  <c r="AD23" i="42" s="1"/>
  <c r="AE23" i="42" s="1"/>
  <c r="AF23" i="42" s="1"/>
  <c r="AG23" i="42" s="1"/>
  <c r="M20" i="34"/>
  <c r="AI89" i="34" s="1"/>
  <c r="F89" i="34" s="1"/>
  <c r="G89" i="34" s="1"/>
  <c r="H89" i="34" s="1"/>
  <c r="I89" i="34" s="1"/>
  <c r="J89" i="34" s="1"/>
  <c r="K89" i="34" s="1"/>
  <c r="L89" i="34" s="1"/>
  <c r="M89" i="34" s="1"/>
  <c r="N89" i="34" s="1"/>
  <c r="O89" i="34" s="1"/>
  <c r="P89" i="34" s="1"/>
  <c r="Q89" i="34" s="1"/>
  <c r="R89" i="34" s="1"/>
  <c r="S89" i="34" s="1"/>
  <c r="T89" i="34" s="1"/>
  <c r="U89" i="34" s="1"/>
  <c r="V89" i="34" s="1"/>
  <c r="W89" i="34" s="1"/>
  <c r="X89" i="34" s="1"/>
  <c r="Y89" i="34" s="1"/>
  <c r="Z89" i="34" s="1"/>
  <c r="AA89" i="34" s="1"/>
  <c r="AB89" i="34" s="1"/>
  <c r="AC89" i="34" s="1"/>
  <c r="AD89" i="34" s="1"/>
  <c r="AE89" i="34" s="1"/>
  <c r="AF89" i="34" s="1"/>
  <c r="AG89" i="34" s="1"/>
  <c r="AH89" i="34" s="1"/>
  <c r="M19" i="34"/>
  <c r="E80" i="33"/>
  <c r="C25" i="42" s="1"/>
  <c r="D25" i="42" s="1"/>
  <c r="E25" i="42" s="1"/>
  <c r="F25" i="42" s="1"/>
  <c r="G25" i="42" s="1"/>
  <c r="H25" i="42" s="1"/>
  <c r="I25" i="42" s="1"/>
  <c r="J25" i="42" s="1"/>
  <c r="K25" i="42" s="1"/>
  <c r="L25" i="42" s="1"/>
  <c r="M25" i="42" s="1"/>
  <c r="N25" i="42" s="1"/>
  <c r="O25" i="42" s="1"/>
  <c r="P25" i="42" s="1"/>
  <c r="Q25" i="42" s="1"/>
  <c r="R25" i="42" s="1"/>
  <c r="S25" i="42" s="1"/>
  <c r="T25" i="42" s="1"/>
  <c r="U25" i="42" s="1"/>
  <c r="V25" i="42" s="1"/>
  <c r="W25" i="42" s="1"/>
  <c r="X25" i="42" s="1"/>
  <c r="Y25" i="42" s="1"/>
  <c r="Z25" i="42" s="1"/>
  <c r="AA25" i="42" s="1"/>
  <c r="AB25" i="42" s="1"/>
  <c r="AC25" i="42" s="1"/>
  <c r="AD25" i="42" s="1"/>
  <c r="AE25" i="42" s="1"/>
  <c r="AF25" i="42" s="1"/>
  <c r="AG25" i="42" s="1"/>
  <c r="M22" i="34"/>
  <c r="AI91" i="34" s="1"/>
  <c r="O21" i="34"/>
  <c r="AI100" i="34" s="1"/>
  <c r="F100" i="34" s="1"/>
  <c r="G100" i="34" s="1"/>
  <c r="H100" i="34" s="1"/>
  <c r="I100" i="34" s="1"/>
  <c r="J100" i="34" s="1"/>
  <c r="K100" i="34" s="1"/>
  <c r="L100" i="34" s="1"/>
  <c r="M100" i="34" s="1"/>
  <c r="N100" i="34" s="1"/>
  <c r="O100" i="34" s="1"/>
  <c r="P100" i="34" s="1"/>
  <c r="Q100" i="34" s="1"/>
  <c r="R100" i="34" s="1"/>
  <c r="S100" i="34" s="1"/>
  <c r="T100" i="34" s="1"/>
  <c r="U100" i="34" s="1"/>
  <c r="V100" i="34" s="1"/>
  <c r="W100" i="34" s="1"/>
  <c r="X100" i="34" s="1"/>
  <c r="Y100" i="34" s="1"/>
  <c r="Z100" i="34" s="1"/>
  <c r="AA100" i="34" s="1"/>
  <c r="AB100" i="34" s="1"/>
  <c r="AC100" i="34" s="1"/>
  <c r="AD100" i="34" s="1"/>
  <c r="AE100" i="34" s="1"/>
  <c r="AF100" i="34" s="1"/>
  <c r="AG100" i="34" s="1"/>
  <c r="AH100" i="34" s="1"/>
  <c r="F78" i="33"/>
  <c r="F40" i="33"/>
  <c r="E40" i="33"/>
  <c r="C25" i="47" s="1"/>
  <c r="D40" i="33"/>
  <c r="D31" i="33" s="1"/>
  <c r="D49" i="33" s="1"/>
  <c r="I40" i="33"/>
  <c r="C40" i="33"/>
  <c r="G40" i="33"/>
  <c r="H40" i="33"/>
  <c r="C26" i="47" s="1"/>
  <c r="I43" i="33"/>
  <c r="D43" i="33"/>
  <c r="D34" i="33" s="1"/>
  <c r="D52" i="33" s="1"/>
  <c r="C43" i="33"/>
  <c r="H43" i="33"/>
  <c r="C33" i="47" s="1"/>
  <c r="G43" i="33"/>
  <c r="E43" i="33"/>
  <c r="C32" i="47" s="1"/>
  <c r="F43" i="33"/>
  <c r="I80" i="33"/>
  <c r="L40" i="34"/>
  <c r="M37" i="34" s="1"/>
  <c r="AI110" i="34" s="1"/>
  <c r="M28" i="34"/>
  <c r="AI104" i="34" s="1"/>
  <c r="H42" i="33"/>
  <c r="C19" i="47" s="1"/>
  <c r="I42" i="33"/>
  <c r="G78" i="33"/>
  <c r="J17" i="33"/>
  <c r="O20" i="34"/>
  <c r="AI99" i="34" s="1"/>
  <c r="F99" i="34" s="1"/>
  <c r="G99" i="34" s="1"/>
  <c r="H99" i="34" s="1"/>
  <c r="I99" i="34" s="1"/>
  <c r="J99" i="34" s="1"/>
  <c r="K99" i="34" s="1"/>
  <c r="L99" i="34" s="1"/>
  <c r="M99" i="34" s="1"/>
  <c r="N99" i="34" s="1"/>
  <c r="O99" i="34" s="1"/>
  <c r="P99" i="34" s="1"/>
  <c r="Q99" i="34" s="1"/>
  <c r="R99" i="34" s="1"/>
  <c r="S99" i="34" s="1"/>
  <c r="T99" i="34" s="1"/>
  <c r="U99" i="34" s="1"/>
  <c r="V99" i="34" s="1"/>
  <c r="W99" i="34" s="1"/>
  <c r="X99" i="34" s="1"/>
  <c r="Y99" i="34" s="1"/>
  <c r="Z99" i="34" s="1"/>
  <c r="AA99" i="34" s="1"/>
  <c r="AB99" i="34" s="1"/>
  <c r="AC99" i="34" s="1"/>
  <c r="AD99" i="34" s="1"/>
  <c r="AE99" i="34" s="1"/>
  <c r="AF99" i="34" s="1"/>
  <c r="AG99" i="34" s="1"/>
  <c r="AH99" i="34" s="1"/>
  <c r="M23" i="34"/>
  <c r="AI92" i="34" s="1"/>
  <c r="O23" i="34"/>
  <c r="AI102" i="34" s="1"/>
  <c r="N23" i="34"/>
  <c r="AI97" i="34" s="1"/>
  <c r="J25" i="33"/>
  <c r="D78" i="33"/>
  <c r="O22" i="34"/>
  <c r="AI101" i="34" s="1"/>
  <c r="M27" i="34"/>
  <c r="I78" i="33"/>
  <c r="M21" i="34"/>
  <c r="AI90" i="34" s="1"/>
  <c r="F90" i="34" s="1"/>
  <c r="G90" i="34" s="1"/>
  <c r="H90" i="34" s="1"/>
  <c r="I90" i="34" s="1"/>
  <c r="J90" i="34" s="1"/>
  <c r="K90" i="34" s="1"/>
  <c r="L90" i="34" s="1"/>
  <c r="M90" i="34" s="1"/>
  <c r="N90" i="34" s="1"/>
  <c r="O90" i="34" s="1"/>
  <c r="P90" i="34" s="1"/>
  <c r="Q90" i="34" s="1"/>
  <c r="R90" i="34" s="1"/>
  <c r="S90" i="34" s="1"/>
  <c r="T90" i="34" s="1"/>
  <c r="U90" i="34" s="1"/>
  <c r="V90" i="34" s="1"/>
  <c r="W90" i="34" s="1"/>
  <c r="X90" i="34" s="1"/>
  <c r="Y90" i="34" s="1"/>
  <c r="Z90" i="34" s="1"/>
  <c r="AA90" i="34" s="1"/>
  <c r="AB90" i="34" s="1"/>
  <c r="AC90" i="34" s="1"/>
  <c r="AD90" i="34" s="1"/>
  <c r="AE90" i="34" s="1"/>
  <c r="AF90" i="34" s="1"/>
  <c r="AG90" i="34" s="1"/>
  <c r="AH90" i="34" s="1"/>
  <c r="N20" i="34"/>
  <c r="AI94" i="34" s="1"/>
  <c r="F94" i="34" s="1"/>
  <c r="G94" i="34" s="1"/>
  <c r="H94" i="34" s="1"/>
  <c r="I94" i="34" s="1"/>
  <c r="J94" i="34" s="1"/>
  <c r="K94" i="34" s="1"/>
  <c r="L94" i="34" s="1"/>
  <c r="M94" i="34" s="1"/>
  <c r="N94" i="34" s="1"/>
  <c r="O94" i="34" s="1"/>
  <c r="P94" i="34" s="1"/>
  <c r="Q94" i="34" s="1"/>
  <c r="R94" i="34" s="1"/>
  <c r="S94" i="34" s="1"/>
  <c r="T94" i="34" s="1"/>
  <c r="U94" i="34" s="1"/>
  <c r="V94" i="34" s="1"/>
  <c r="W94" i="34" s="1"/>
  <c r="X94" i="34" s="1"/>
  <c r="Y94" i="34" s="1"/>
  <c r="Z94" i="34" s="1"/>
  <c r="AA94" i="34" s="1"/>
  <c r="AB94" i="34" s="1"/>
  <c r="AC94" i="34" s="1"/>
  <c r="AD94" i="34" s="1"/>
  <c r="AE94" i="34" s="1"/>
  <c r="AF94" i="34" s="1"/>
  <c r="AG94" i="34" s="1"/>
  <c r="AH94" i="34" s="1"/>
  <c r="F39" i="33"/>
  <c r="D39" i="33"/>
  <c r="D30" i="33" s="1"/>
  <c r="D48" i="33" s="1"/>
  <c r="E39" i="33"/>
  <c r="C4" i="47" s="1"/>
  <c r="I39" i="33"/>
  <c r="C39" i="33"/>
  <c r="H39" i="33"/>
  <c r="G39" i="33"/>
  <c r="J44" i="33"/>
  <c r="E78" i="33"/>
  <c r="C22" i="42" s="1"/>
  <c r="D22" i="42" s="1"/>
  <c r="E22" i="42" s="1"/>
  <c r="F22" i="42" s="1"/>
  <c r="G22" i="42" s="1"/>
  <c r="H22" i="42" s="1"/>
  <c r="I22" i="42" s="1"/>
  <c r="J22" i="42" s="1"/>
  <c r="K22" i="42" s="1"/>
  <c r="L22" i="42" s="1"/>
  <c r="M22" i="42" s="1"/>
  <c r="N22" i="42" s="1"/>
  <c r="O22" i="42" s="1"/>
  <c r="P22" i="42" s="1"/>
  <c r="Q22" i="42" s="1"/>
  <c r="R22" i="42" s="1"/>
  <c r="S22" i="42" s="1"/>
  <c r="T22" i="42" s="1"/>
  <c r="U22" i="42" s="1"/>
  <c r="V22" i="42" s="1"/>
  <c r="W22" i="42" s="1"/>
  <c r="X22" i="42" s="1"/>
  <c r="Y22" i="42" s="1"/>
  <c r="Z22" i="42" s="1"/>
  <c r="AA22" i="42" s="1"/>
  <c r="AB22" i="42" s="1"/>
  <c r="AC22" i="42" s="1"/>
  <c r="AD22" i="42" s="1"/>
  <c r="AE22" i="42" s="1"/>
  <c r="AF22" i="42" s="1"/>
  <c r="AG22" i="42" s="1"/>
  <c r="J74" i="12"/>
  <c r="J219" i="12" s="1"/>
  <c r="J230" i="12" s="1"/>
  <c r="J75" i="12"/>
  <c r="J78" i="12"/>
  <c r="J77" i="12"/>
  <c r="J80" i="12"/>
  <c r="J76" i="12"/>
  <c r="J79" i="12"/>
  <c r="AD8" i="20"/>
  <c r="AD9" i="20"/>
  <c r="K74" i="14"/>
  <c r="K219" i="14" s="1"/>
  <c r="K230" i="14" s="1"/>
  <c r="K79" i="14"/>
  <c r="K75" i="14"/>
  <c r="K78" i="14"/>
  <c r="K76" i="14"/>
  <c r="K77" i="14"/>
  <c r="K80" i="14"/>
  <c r="Y10" i="20"/>
  <c r="X12" i="20"/>
  <c r="Y11" i="20"/>
  <c r="O33" i="11"/>
  <c r="N34" i="11"/>
  <c r="N35" i="11" s="1"/>
  <c r="N36" i="11" s="1"/>
  <c r="K73" i="12"/>
  <c r="M29" i="13"/>
  <c r="M30" i="13" s="1"/>
  <c r="N28" i="13"/>
  <c r="L31" i="13"/>
  <c r="L33" i="13" s="1"/>
  <c r="L64" i="36" s="1"/>
  <c r="L32" i="13"/>
  <c r="L73" i="14" s="1"/>
  <c r="AC7" i="20"/>
  <c r="M31" i="15"/>
  <c r="N31" i="15"/>
  <c r="C107" i="15" l="1"/>
  <c r="G77" i="33"/>
  <c r="E9" i="26"/>
  <c r="AN95" i="55"/>
  <c r="CZ95" i="55" s="1"/>
  <c r="I95" i="55"/>
  <c r="M61" i="45"/>
  <c r="AS61" i="45" s="1"/>
  <c r="AS63" i="45" s="1"/>
  <c r="M64" i="45"/>
  <c r="AS64" i="45" s="1"/>
  <c r="N37" i="11"/>
  <c r="N72" i="12" s="1"/>
  <c r="N40" i="11"/>
  <c r="N66" i="45" s="1"/>
  <c r="AT66" i="45" s="1"/>
  <c r="N39" i="11"/>
  <c r="N38" i="11"/>
  <c r="AN4" i="51"/>
  <c r="AN57" i="58" s="1"/>
  <c r="CD57" i="58" s="1"/>
  <c r="CD58" i="58" s="1"/>
  <c r="H57" i="58"/>
  <c r="I96" i="55"/>
  <c r="AN96" i="55"/>
  <c r="CZ96" i="55" s="1"/>
  <c r="Q6" i="34"/>
  <c r="AI66" i="34" s="1"/>
  <c r="F66" i="34" s="1"/>
  <c r="G66" i="34" s="1"/>
  <c r="H66" i="34" s="1"/>
  <c r="I66" i="34" s="1"/>
  <c r="J66" i="34" s="1"/>
  <c r="K66" i="34" s="1"/>
  <c r="L66" i="34" s="1"/>
  <c r="M66" i="34" s="1"/>
  <c r="N66" i="34" s="1"/>
  <c r="O66" i="34" s="1"/>
  <c r="P66" i="34" s="1"/>
  <c r="Q66" i="34" s="1"/>
  <c r="R66" i="34" s="1"/>
  <c r="S66" i="34" s="1"/>
  <c r="T66" i="34" s="1"/>
  <c r="U66" i="34" s="1"/>
  <c r="V66" i="34" s="1"/>
  <c r="W66" i="34" s="1"/>
  <c r="X66" i="34" s="1"/>
  <c r="Y66" i="34" s="1"/>
  <c r="Z66" i="34" s="1"/>
  <c r="AA66" i="34" s="1"/>
  <c r="AB66" i="34" s="1"/>
  <c r="AC66" i="34" s="1"/>
  <c r="AD66" i="34" s="1"/>
  <c r="AE66" i="34" s="1"/>
  <c r="AF66" i="34" s="1"/>
  <c r="AG66" i="34" s="1"/>
  <c r="AH66" i="34" s="1"/>
  <c r="M31" i="34"/>
  <c r="AI107" i="34" s="1"/>
  <c r="C42" i="33"/>
  <c r="Q5" i="34"/>
  <c r="AI65" i="34" s="1"/>
  <c r="F65" i="34" s="1"/>
  <c r="G65" i="34" s="1"/>
  <c r="H65" i="34" s="1"/>
  <c r="I65" i="34" s="1"/>
  <c r="J65" i="34" s="1"/>
  <c r="K65" i="34" s="1"/>
  <c r="L65" i="34" s="1"/>
  <c r="M65" i="34" s="1"/>
  <c r="N65" i="34" s="1"/>
  <c r="O65" i="34" s="1"/>
  <c r="P65" i="34" s="1"/>
  <c r="Q65" i="34" s="1"/>
  <c r="R65" i="34" s="1"/>
  <c r="S65" i="34" s="1"/>
  <c r="T65" i="34" s="1"/>
  <c r="U65" i="34" s="1"/>
  <c r="V65" i="34" s="1"/>
  <c r="W65" i="34" s="1"/>
  <c r="X65" i="34" s="1"/>
  <c r="Y65" i="34" s="1"/>
  <c r="Z65" i="34" s="1"/>
  <c r="AA65" i="34" s="1"/>
  <c r="AB65" i="34" s="1"/>
  <c r="AC65" i="34" s="1"/>
  <c r="AD65" i="34" s="1"/>
  <c r="AE65" i="34" s="1"/>
  <c r="AF65" i="34" s="1"/>
  <c r="AG65" i="34" s="1"/>
  <c r="AH65" i="34" s="1"/>
  <c r="E21" i="28"/>
  <c r="F21" i="28" s="1"/>
  <c r="N7" i="34"/>
  <c r="M4" i="34"/>
  <c r="AI44" i="34" s="1"/>
  <c r="F44" i="34" s="1"/>
  <c r="G44" i="34" s="1"/>
  <c r="H44" i="34" s="1"/>
  <c r="I44" i="34" s="1"/>
  <c r="J44" i="34" s="1"/>
  <c r="K44" i="34" s="1"/>
  <c r="L44" i="34" s="1"/>
  <c r="M44" i="34" s="1"/>
  <c r="N44" i="34" s="1"/>
  <c r="O44" i="34" s="1"/>
  <c r="P44" i="34" s="1"/>
  <c r="Q44" i="34" s="1"/>
  <c r="R44" i="34" s="1"/>
  <c r="S44" i="34" s="1"/>
  <c r="T44" i="34" s="1"/>
  <c r="U44" i="34" s="1"/>
  <c r="V44" i="34" s="1"/>
  <c r="W44" i="34" s="1"/>
  <c r="X44" i="34" s="1"/>
  <c r="Y44" i="34" s="1"/>
  <c r="Z44" i="34" s="1"/>
  <c r="AA44" i="34" s="1"/>
  <c r="AB44" i="34" s="1"/>
  <c r="AC44" i="34" s="1"/>
  <c r="AD44" i="34" s="1"/>
  <c r="AE44" i="34" s="1"/>
  <c r="AF44" i="34" s="1"/>
  <c r="AG44" i="34" s="1"/>
  <c r="AH44" i="34" s="1"/>
  <c r="M7" i="34"/>
  <c r="AI47" i="34" s="1"/>
  <c r="F47" i="34" s="1"/>
  <c r="G47" i="34" s="1"/>
  <c r="H47" i="34" s="1"/>
  <c r="I47" i="34" s="1"/>
  <c r="J47" i="34" s="1"/>
  <c r="K47" i="34" s="1"/>
  <c r="L47" i="34" s="1"/>
  <c r="M47" i="34" s="1"/>
  <c r="N47" i="34" s="1"/>
  <c r="O47" i="34" s="1"/>
  <c r="P47" i="34" s="1"/>
  <c r="Q47" i="34" s="1"/>
  <c r="R47" i="34" s="1"/>
  <c r="S47" i="34" s="1"/>
  <c r="T47" i="34" s="1"/>
  <c r="U47" i="34" s="1"/>
  <c r="V47" i="34" s="1"/>
  <c r="W47" i="34" s="1"/>
  <c r="X47" i="34" s="1"/>
  <c r="Y47" i="34" s="1"/>
  <c r="Z47" i="34" s="1"/>
  <c r="AA47" i="34" s="1"/>
  <c r="AB47" i="34" s="1"/>
  <c r="AC47" i="34" s="1"/>
  <c r="AD47" i="34" s="1"/>
  <c r="AE47" i="34" s="1"/>
  <c r="AF47" i="34" s="1"/>
  <c r="AG47" i="34" s="1"/>
  <c r="AH47" i="34" s="1"/>
  <c r="Q7" i="34"/>
  <c r="AI67" i="34" s="1"/>
  <c r="F67" i="34" s="1"/>
  <c r="G67" i="34" s="1"/>
  <c r="H67" i="34" s="1"/>
  <c r="I67" i="34" s="1"/>
  <c r="J67" i="34" s="1"/>
  <c r="K67" i="34" s="1"/>
  <c r="L67" i="34" s="1"/>
  <c r="M67" i="34" s="1"/>
  <c r="N67" i="34" s="1"/>
  <c r="O67" i="34" s="1"/>
  <c r="P67" i="34" s="1"/>
  <c r="Q67" i="34" s="1"/>
  <c r="R67" i="34" s="1"/>
  <c r="S67" i="34" s="1"/>
  <c r="T67" i="34" s="1"/>
  <c r="U67" i="34" s="1"/>
  <c r="V67" i="34" s="1"/>
  <c r="W67" i="34" s="1"/>
  <c r="X67" i="34" s="1"/>
  <c r="Y67" i="34" s="1"/>
  <c r="Z67" i="34" s="1"/>
  <c r="AA67" i="34" s="1"/>
  <c r="AB67" i="34" s="1"/>
  <c r="AC67" i="34" s="1"/>
  <c r="AD67" i="34" s="1"/>
  <c r="AE67" i="34" s="1"/>
  <c r="AF67" i="34" s="1"/>
  <c r="AG67" i="34" s="1"/>
  <c r="AH67" i="34" s="1"/>
  <c r="E42" i="33"/>
  <c r="E33" i="33" s="1"/>
  <c r="E51" i="33" s="1"/>
  <c r="M5" i="34"/>
  <c r="AI45" i="34" s="1"/>
  <c r="F45" i="34" s="1"/>
  <c r="G45" i="34" s="1"/>
  <c r="H45" i="34" s="1"/>
  <c r="I45" i="34" s="1"/>
  <c r="J45" i="34" s="1"/>
  <c r="K45" i="34" s="1"/>
  <c r="L45" i="34" s="1"/>
  <c r="M45" i="34" s="1"/>
  <c r="N45" i="34" s="1"/>
  <c r="O45" i="34" s="1"/>
  <c r="P45" i="34" s="1"/>
  <c r="Q45" i="34" s="1"/>
  <c r="R45" i="34" s="1"/>
  <c r="S45" i="34" s="1"/>
  <c r="T45" i="34" s="1"/>
  <c r="U45" i="34" s="1"/>
  <c r="V45" i="34" s="1"/>
  <c r="W45" i="34" s="1"/>
  <c r="X45" i="34" s="1"/>
  <c r="Y45" i="34" s="1"/>
  <c r="Z45" i="34" s="1"/>
  <c r="AA45" i="34" s="1"/>
  <c r="AB45" i="34" s="1"/>
  <c r="AC45" i="34" s="1"/>
  <c r="AD45" i="34" s="1"/>
  <c r="AE45" i="34" s="1"/>
  <c r="AF45" i="34" s="1"/>
  <c r="AG45" i="34" s="1"/>
  <c r="AH45" i="34" s="1"/>
  <c r="F42" i="33"/>
  <c r="M6" i="34"/>
  <c r="AI46" i="34" s="1"/>
  <c r="F46" i="34" s="1"/>
  <c r="G46" i="34" s="1"/>
  <c r="H46" i="34" s="1"/>
  <c r="I46" i="34" s="1"/>
  <c r="J46" i="34" s="1"/>
  <c r="K46" i="34" s="1"/>
  <c r="L46" i="34" s="1"/>
  <c r="M46" i="34" s="1"/>
  <c r="N46" i="34" s="1"/>
  <c r="O46" i="34" s="1"/>
  <c r="P46" i="34" s="1"/>
  <c r="Q46" i="34" s="1"/>
  <c r="R46" i="34" s="1"/>
  <c r="S46" i="34" s="1"/>
  <c r="T46" i="34" s="1"/>
  <c r="U46" i="34" s="1"/>
  <c r="V46" i="34" s="1"/>
  <c r="W46" i="34" s="1"/>
  <c r="X46" i="34" s="1"/>
  <c r="Y46" i="34" s="1"/>
  <c r="Z46" i="34" s="1"/>
  <c r="AA46" i="34" s="1"/>
  <c r="AB46" i="34" s="1"/>
  <c r="AC46" i="34" s="1"/>
  <c r="AD46" i="34" s="1"/>
  <c r="AE46" i="34" s="1"/>
  <c r="AF46" i="34" s="1"/>
  <c r="AG46" i="34" s="1"/>
  <c r="AH46" i="34" s="1"/>
  <c r="Q3" i="34"/>
  <c r="AI63" i="34" s="1"/>
  <c r="F63" i="34" s="1"/>
  <c r="G63" i="34" s="1"/>
  <c r="H63" i="34" s="1"/>
  <c r="I63" i="34" s="1"/>
  <c r="J63" i="34" s="1"/>
  <c r="K63" i="34" s="1"/>
  <c r="L63" i="34" s="1"/>
  <c r="M63" i="34" s="1"/>
  <c r="N63" i="34" s="1"/>
  <c r="O63" i="34" s="1"/>
  <c r="P63" i="34" s="1"/>
  <c r="Q63" i="34" s="1"/>
  <c r="R63" i="34" s="1"/>
  <c r="S63" i="34" s="1"/>
  <c r="T63" i="34" s="1"/>
  <c r="U63" i="34" s="1"/>
  <c r="V63" i="34" s="1"/>
  <c r="W63" i="34" s="1"/>
  <c r="X63" i="34" s="1"/>
  <c r="Y63" i="34" s="1"/>
  <c r="Z63" i="34" s="1"/>
  <c r="AA63" i="34" s="1"/>
  <c r="AB63" i="34" s="1"/>
  <c r="AC63" i="34" s="1"/>
  <c r="AD63" i="34" s="1"/>
  <c r="AE63" i="34" s="1"/>
  <c r="AF63" i="34" s="1"/>
  <c r="AG63" i="34" s="1"/>
  <c r="AH63" i="34" s="1"/>
  <c r="M30" i="34"/>
  <c r="AI106" i="34" s="1"/>
  <c r="C21" i="53"/>
  <c r="D21" i="53" s="1"/>
  <c r="C21" i="54"/>
  <c r="M3" i="34"/>
  <c r="AI43" i="34" s="1"/>
  <c r="F43" i="34" s="1"/>
  <c r="G43" i="34" s="1"/>
  <c r="H43" i="34" s="1"/>
  <c r="I43" i="34" s="1"/>
  <c r="J43" i="34" s="1"/>
  <c r="K43" i="34" s="1"/>
  <c r="L43" i="34" s="1"/>
  <c r="M43" i="34" s="1"/>
  <c r="N43" i="34" s="1"/>
  <c r="O43" i="34" s="1"/>
  <c r="P43" i="34" s="1"/>
  <c r="Q43" i="34" s="1"/>
  <c r="R43" i="34" s="1"/>
  <c r="S43" i="34" s="1"/>
  <c r="T43" i="34" s="1"/>
  <c r="U43" i="34" s="1"/>
  <c r="V43" i="34" s="1"/>
  <c r="W43" i="34" s="1"/>
  <c r="X43" i="34" s="1"/>
  <c r="Y43" i="34" s="1"/>
  <c r="Z43" i="34" s="1"/>
  <c r="AA43" i="34" s="1"/>
  <c r="AB43" i="34" s="1"/>
  <c r="AC43" i="34" s="1"/>
  <c r="AD43" i="34" s="1"/>
  <c r="AE43" i="34" s="1"/>
  <c r="AF43" i="34" s="1"/>
  <c r="AG43" i="34" s="1"/>
  <c r="AH43" i="34" s="1"/>
  <c r="D24" i="54"/>
  <c r="C23" i="54"/>
  <c r="C23" i="53"/>
  <c r="D23" i="53" s="1"/>
  <c r="C22" i="53"/>
  <c r="D22" i="53" s="1"/>
  <c r="C22" i="54"/>
  <c r="D42" i="33"/>
  <c r="D33" i="33" s="1"/>
  <c r="D51" i="33" s="1"/>
  <c r="C25" i="53"/>
  <c r="D25" i="53" s="1"/>
  <c r="C25" i="54"/>
  <c r="I4" i="51"/>
  <c r="U5" i="50"/>
  <c r="N25" i="47"/>
  <c r="AI87" i="47" s="1"/>
  <c r="N26" i="47"/>
  <c r="AI88" i="47" s="1"/>
  <c r="C21" i="46"/>
  <c r="D21" i="46" s="1"/>
  <c r="N27" i="47"/>
  <c r="AI89" i="47" s="1"/>
  <c r="C21" i="48"/>
  <c r="D21" i="48" s="1"/>
  <c r="I9" i="26"/>
  <c r="E24" i="53"/>
  <c r="W3" i="50"/>
  <c r="K6" i="52" s="1"/>
  <c r="O12" i="34"/>
  <c r="AI79" i="34" s="1"/>
  <c r="R5" i="47"/>
  <c r="AI56" i="47" s="1"/>
  <c r="R6" i="47"/>
  <c r="AI57" i="47" s="1"/>
  <c r="C21" i="29"/>
  <c r="D21" i="29" s="1"/>
  <c r="E21" i="29" s="1"/>
  <c r="N4" i="47"/>
  <c r="AI39" i="47" s="1"/>
  <c r="P12" i="34"/>
  <c r="AI84" i="34" s="1"/>
  <c r="O13" i="34"/>
  <c r="AI80" i="34" s="1"/>
  <c r="O3" i="47"/>
  <c r="AI42" i="47" s="1"/>
  <c r="O21" i="47"/>
  <c r="C5" i="41"/>
  <c r="C6" i="47"/>
  <c r="AI54" i="47"/>
  <c r="O5" i="47"/>
  <c r="AI44" i="47" s="1"/>
  <c r="O6" i="47"/>
  <c r="AI45" i="47" s="1"/>
  <c r="N21" i="47"/>
  <c r="C9" i="41"/>
  <c r="C10" i="47"/>
  <c r="O10" i="47"/>
  <c r="P10" i="47"/>
  <c r="Q12" i="47"/>
  <c r="AI72" i="47" s="1"/>
  <c r="Q13" i="47"/>
  <c r="AI73" i="47" s="1"/>
  <c r="O12" i="47"/>
  <c r="AI64" i="47" s="1"/>
  <c r="P13" i="47"/>
  <c r="AI69" i="47" s="1"/>
  <c r="N12" i="47"/>
  <c r="AI60" i="47" s="1"/>
  <c r="N10" i="47"/>
  <c r="P12" i="47"/>
  <c r="AI68" i="47" s="1"/>
  <c r="O13" i="47"/>
  <c r="AI65" i="47" s="1"/>
  <c r="Q10" i="47"/>
  <c r="N13" i="47"/>
  <c r="AI61" i="47" s="1"/>
  <c r="C15" i="41"/>
  <c r="C17" i="47"/>
  <c r="C27" i="41"/>
  <c r="C31" i="47"/>
  <c r="C29" i="41"/>
  <c r="C34" i="47"/>
  <c r="C23" i="41"/>
  <c r="C27" i="47"/>
  <c r="C3" i="41"/>
  <c r="C3" i="47"/>
  <c r="C17" i="41"/>
  <c r="C20" i="47"/>
  <c r="C11" i="41"/>
  <c r="C13" i="47"/>
  <c r="N34" i="47"/>
  <c r="AI93" i="47" s="1"/>
  <c r="AI86" i="47"/>
  <c r="R4" i="47"/>
  <c r="AI55" i="47" s="1"/>
  <c r="O11" i="47"/>
  <c r="AI63" i="47" s="1"/>
  <c r="AI82" i="47"/>
  <c r="P21" i="47"/>
  <c r="N11" i="47"/>
  <c r="AI59" i="47" s="1"/>
  <c r="C4" i="41"/>
  <c r="C5" i="47"/>
  <c r="C21" i="41"/>
  <c r="C24" i="47"/>
  <c r="N3" i="47"/>
  <c r="N31" i="47"/>
  <c r="N5" i="47"/>
  <c r="AI40" i="47" s="1"/>
  <c r="O4" i="47"/>
  <c r="AI43" i="47" s="1"/>
  <c r="N6" i="47"/>
  <c r="AI41" i="47" s="1"/>
  <c r="N33" i="47"/>
  <c r="AI92" i="47" s="1"/>
  <c r="P11" i="47"/>
  <c r="AI67" i="47" s="1"/>
  <c r="AA60" i="36"/>
  <c r="G51" i="45"/>
  <c r="G92" i="45" s="1"/>
  <c r="G52" i="45"/>
  <c r="G88" i="45"/>
  <c r="G53" i="45"/>
  <c r="D24" i="46"/>
  <c r="E24" i="46" s="1"/>
  <c r="C25" i="48"/>
  <c r="C25" i="46"/>
  <c r="D25" i="46" s="1"/>
  <c r="C23" i="48"/>
  <c r="C23" i="46"/>
  <c r="D23" i="46" s="1"/>
  <c r="C22" i="48"/>
  <c r="C22" i="46"/>
  <c r="D22" i="46" s="1"/>
  <c r="BF39" i="36"/>
  <c r="Y36" i="42"/>
  <c r="BG37" i="36"/>
  <c r="BG81" i="36" s="1"/>
  <c r="AE90" i="36"/>
  <c r="AD39" i="38"/>
  <c r="D24" i="48"/>
  <c r="H48" i="45"/>
  <c r="H50" i="45" s="1"/>
  <c r="G39" i="46" s="1"/>
  <c r="AJ18" i="45"/>
  <c r="AJ23" i="45" s="1"/>
  <c r="AN48" i="45"/>
  <c r="AN50" i="45" s="1"/>
  <c r="C38" i="48"/>
  <c r="AJ42" i="45"/>
  <c r="AJ43" i="45"/>
  <c r="AJ44" i="45"/>
  <c r="AO47" i="45"/>
  <c r="AO49" i="45"/>
  <c r="AO46" i="45"/>
  <c r="AP45" i="45"/>
  <c r="F39" i="48"/>
  <c r="AM52" i="45"/>
  <c r="AM51" i="45"/>
  <c r="AM92" i="45" s="1"/>
  <c r="AM53" i="45"/>
  <c r="P13" i="34"/>
  <c r="AI85" i="34" s="1"/>
  <c r="N12" i="34"/>
  <c r="AI74" i="34" s="1"/>
  <c r="O11" i="34"/>
  <c r="AI78" i="34" s="1"/>
  <c r="O14" i="34"/>
  <c r="AI81" i="34" s="1"/>
  <c r="N13" i="34"/>
  <c r="AI75" i="34" s="1"/>
  <c r="M12" i="34"/>
  <c r="AI69" i="34" s="1"/>
  <c r="E21" i="46"/>
  <c r="P15" i="34"/>
  <c r="AI87" i="34" s="1"/>
  <c r="M11" i="34"/>
  <c r="AI68" i="34" s="1"/>
  <c r="K70" i="44"/>
  <c r="L4" i="8" s="1"/>
  <c r="K75" i="44"/>
  <c r="M75" i="44" s="1"/>
  <c r="G8" i="3"/>
  <c r="G11" i="3" s="1"/>
  <c r="H7" i="26"/>
  <c r="H8" i="26"/>
  <c r="D41" i="45"/>
  <c r="E38" i="45"/>
  <c r="AK38" i="45" s="1"/>
  <c r="D18" i="45"/>
  <c r="D23" i="45" s="1"/>
  <c r="E16" i="45"/>
  <c r="AK16" i="45" s="1"/>
  <c r="L8" i="4"/>
  <c r="L7" i="4"/>
  <c r="AM88" i="45"/>
  <c r="J45" i="45"/>
  <c r="I47" i="45"/>
  <c r="I49" i="45"/>
  <c r="I46" i="45"/>
  <c r="I13" i="3"/>
  <c r="BH32" i="36"/>
  <c r="AE53" i="36"/>
  <c r="AE94" i="36" s="1"/>
  <c r="AE55" i="36"/>
  <c r="BG59" i="36"/>
  <c r="Z40" i="42" s="1"/>
  <c r="BF69" i="36"/>
  <c r="BH43" i="36"/>
  <c r="BF37" i="36"/>
  <c r="BF81" i="36" s="1"/>
  <c r="BG70" i="36"/>
  <c r="BF77" i="36"/>
  <c r="AC32" i="36"/>
  <c r="AC35" i="36"/>
  <c r="BH35" i="36"/>
  <c r="M14" i="34"/>
  <c r="AI71" i="34" s="1"/>
  <c r="BG77" i="36"/>
  <c r="BG39" i="36"/>
  <c r="M15" i="34"/>
  <c r="AI72" i="34" s="1"/>
  <c r="BG23" i="36"/>
  <c r="AB23" i="36"/>
  <c r="AB25" i="36" s="1"/>
  <c r="AA37" i="38" s="1"/>
  <c r="N11" i="34"/>
  <c r="AI73" i="34" s="1"/>
  <c r="O15" i="34"/>
  <c r="AI82" i="34" s="1"/>
  <c r="P14" i="34"/>
  <c r="AI86" i="34" s="1"/>
  <c r="AE18" i="36"/>
  <c r="AD19" i="36"/>
  <c r="AD20" i="36" s="1"/>
  <c r="BJ18" i="36"/>
  <c r="AD56" i="36"/>
  <c r="BJ53" i="36"/>
  <c r="BJ94" i="36" s="1"/>
  <c r="BJ55" i="36"/>
  <c r="BJ90" i="36"/>
  <c r="BG97" i="36"/>
  <c r="BG44" i="36"/>
  <c r="BG46" i="36"/>
  <c r="BI30" i="36"/>
  <c r="BJ29" i="36"/>
  <c r="BI34" i="36"/>
  <c r="BI31" i="36"/>
  <c r="BI33" i="36"/>
  <c r="AC21" i="36"/>
  <c r="AC22" i="36"/>
  <c r="AA26" i="36"/>
  <c r="AA87" i="36" s="1"/>
  <c r="AA84" i="36"/>
  <c r="AA28" i="36"/>
  <c r="BH58" i="36"/>
  <c r="BH57" i="36"/>
  <c r="BL51" i="36"/>
  <c r="BM47" i="36"/>
  <c r="BL49" i="36"/>
  <c r="BL48" i="36"/>
  <c r="AB59" i="36"/>
  <c r="AA40" i="38" s="1"/>
  <c r="AB70" i="36"/>
  <c r="AH47" i="36"/>
  <c r="AG51" i="36"/>
  <c r="AG49" i="36"/>
  <c r="AG48" i="36"/>
  <c r="AE40" i="36"/>
  <c r="AD42" i="36"/>
  <c r="BF26" i="36"/>
  <c r="BF87" i="36" s="1"/>
  <c r="BF28" i="36"/>
  <c r="BF84" i="36"/>
  <c r="AC58" i="36"/>
  <c r="AC57" i="36"/>
  <c r="BH21" i="36"/>
  <c r="BH22" i="36"/>
  <c r="BI41" i="36"/>
  <c r="BI42" i="36"/>
  <c r="BJ40" i="36"/>
  <c r="BF60" i="36"/>
  <c r="BF62" i="36"/>
  <c r="P11" i="34"/>
  <c r="AI83" i="34" s="1"/>
  <c r="N14" i="34"/>
  <c r="AI76" i="34" s="1"/>
  <c r="M13" i="34"/>
  <c r="AI70" i="34" s="1"/>
  <c r="BI19" i="36"/>
  <c r="BI20" i="36" s="1"/>
  <c r="BI56" i="36"/>
  <c r="BK50" i="36"/>
  <c r="BK52" i="36" s="1"/>
  <c r="AD39" i="42" s="1"/>
  <c r="AF50" i="36"/>
  <c r="AF52" i="36" s="1"/>
  <c r="AE39" i="38" s="1"/>
  <c r="AD31" i="36"/>
  <c r="AD34" i="36"/>
  <c r="AD33" i="36"/>
  <c r="AD30" i="36"/>
  <c r="AE29" i="36"/>
  <c r="M30" i="41"/>
  <c r="AI72" i="41"/>
  <c r="L63" i="45"/>
  <c r="M72" i="12"/>
  <c r="AR63" i="36"/>
  <c r="AR68" i="36" s="1"/>
  <c r="AR75" i="36" s="1"/>
  <c r="L68" i="36"/>
  <c r="M63" i="36"/>
  <c r="K71" i="36"/>
  <c r="BW38" i="58" s="1"/>
  <c r="K37" i="58" s="1"/>
  <c r="AQ37" i="58" s="1"/>
  <c r="BW37" i="58" s="1"/>
  <c r="K106" i="36"/>
  <c r="AR64" i="36"/>
  <c r="L65" i="36"/>
  <c r="L66" i="36"/>
  <c r="AQ65" i="36"/>
  <c r="AQ66" i="36"/>
  <c r="AQ73" i="36" s="1"/>
  <c r="AP71" i="36"/>
  <c r="AP72" i="36" s="1"/>
  <c r="AP106" i="36"/>
  <c r="J26" i="33"/>
  <c r="J35" i="33" s="1"/>
  <c r="D25" i="28"/>
  <c r="C25" i="29"/>
  <c r="D25" i="29" s="1"/>
  <c r="E25" i="29" s="1"/>
  <c r="F25" i="29" s="1"/>
  <c r="G25" i="29" s="1"/>
  <c r="H25" i="29" s="1"/>
  <c r="I25" i="29" s="1"/>
  <c r="J25" i="29" s="1"/>
  <c r="K25" i="29" s="1"/>
  <c r="L25" i="29" s="1"/>
  <c r="M25" i="29" s="1"/>
  <c r="N25" i="29" s="1"/>
  <c r="O25" i="29" s="1"/>
  <c r="P25" i="29" s="1"/>
  <c r="Q25" i="29" s="1"/>
  <c r="R25" i="29" s="1"/>
  <c r="S25" i="29" s="1"/>
  <c r="T25" i="29" s="1"/>
  <c r="U25" i="29" s="1"/>
  <c r="V25" i="29" s="1"/>
  <c r="W25" i="29" s="1"/>
  <c r="X25" i="29" s="1"/>
  <c r="Y25" i="29" s="1"/>
  <c r="Z25" i="29" s="1"/>
  <c r="AA25" i="29" s="1"/>
  <c r="AB25" i="29" s="1"/>
  <c r="AC25" i="29" s="1"/>
  <c r="AD25" i="29" s="1"/>
  <c r="AE25" i="29" s="1"/>
  <c r="AF25" i="29" s="1"/>
  <c r="AG25" i="29" s="1"/>
  <c r="O6" i="41"/>
  <c r="Q11" i="41"/>
  <c r="AI59" i="41" s="1"/>
  <c r="O11" i="41"/>
  <c r="AI53" i="41" s="1"/>
  <c r="Q9" i="41"/>
  <c r="H33" i="33"/>
  <c r="H51" i="33" s="1"/>
  <c r="C16" i="41"/>
  <c r="M35" i="34"/>
  <c r="AI108" i="34" s="1"/>
  <c r="C23" i="28"/>
  <c r="D23" i="28" s="1"/>
  <c r="C23" i="29"/>
  <c r="H32" i="33"/>
  <c r="H50" i="33" s="1"/>
  <c r="C10" i="41"/>
  <c r="O10" i="41"/>
  <c r="AI52" i="41" s="1"/>
  <c r="C22" i="29"/>
  <c r="C22" i="28"/>
  <c r="D22" i="28" s="1"/>
  <c r="N11" i="41"/>
  <c r="AI50" i="41" s="1"/>
  <c r="P9" i="41"/>
  <c r="D24" i="29"/>
  <c r="N10" i="41"/>
  <c r="AI49" i="41" s="1"/>
  <c r="AI33" i="41"/>
  <c r="N6" i="41"/>
  <c r="H34" i="33"/>
  <c r="H52" i="33" s="1"/>
  <c r="C28" i="41"/>
  <c r="H31" i="33"/>
  <c r="H49" i="33" s="1"/>
  <c r="C22" i="41"/>
  <c r="O9" i="41"/>
  <c r="P10" i="41"/>
  <c r="AI55" i="41" s="1"/>
  <c r="AI69" i="41"/>
  <c r="N24" i="41"/>
  <c r="P11" i="41"/>
  <c r="AI56" i="41" s="1"/>
  <c r="AI45" i="41"/>
  <c r="R6" i="41"/>
  <c r="N9" i="41"/>
  <c r="C25" i="38"/>
  <c r="C23" i="38"/>
  <c r="D21" i="38"/>
  <c r="C22" i="38"/>
  <c r="D24" i="38"/>
  <c r="C22" i="34"/>
  <c r="G33" i="33"/>
  <c r="G51" i="33" s="1"/>
  <c r="H57" i="33"/>
  <c r="H30" i="33"/>
  <c r="H48" i="33" s="1"/>
  <c r="H44" i="33"/>
  <c r="H35" i="33" s="1"/>
  <c r="C23" i="34"/>
  <c r="I33" i="33"/>
  <c r="I51" i="33" s="1"/>
  <c r="M36" i="34"/>
  <c r="AI109" i="34" s="1"/>
  <c r="C11" i="34"/>
  <c r="D86" i="33"/>
  <c r="E86" i="33"/>
  <c r="F86" i="33"/>
  <c r="I86" i="33"/>
  <c r="I95" i="33" s="1" a="1"/>
  <c r="G86" i="33"/>
  <c r="H86" i="33"/>
  <c r="H95" i="33" s="1" a="1"/>
  <c r="C32" i="33"/>
  <c r="C50" i="33" s="1"/>
  <c r="C14" i="34"/>
  <c r="G32" i="33"/>
  <c r="G50" i="33" s="1"/>
  <c r="N24" i="34"/>
  <c r="F84" i="33"/>
  <c r="D84" i="33"/>
  <c r="C30" i="33"/>
  <c r="C48" i="33" s="1"/>
  <c r="H84" i="33"/>
  <c r="H93" i="33" s="1" a="1"/>
  <c r="C44" i="33"/>
  <c r="C35" i="33" s="1"/>
  <c r="E84" i="33"/>
  <c r="I84" i="33"/>
  <c r="I93" i="33" s="1" a="1"/>
  <c r="G84" i="33"/>
  <c r="F44" i="33"/>
  <c r="F35" i="33" s="1"/>
  <c r="F30" i="33"/>
  <c r="F48" i="33" s="1"/>
  <c r="M39" i="34"/>
  <c r="AI112" i="34" s="1"/>
  <c r="E87" i="33"/>
  <c r="F33" i="33"/>
  <c r="F51" i="33" s="1"/>
  <c r="C37" i="34"/>
  <c r="F34" i="33"/>
  <c r="F52" i="33" s="1"/>
  <c r="C35" i="34"/>
  <c r="C34" i="33"/>
  <c r="C52" i="33" s="1"/>
  <c r="F88" i="33"/>
  <c r="H88" i="33"/>
  <c r="H97" i="33" s="1" a="1"/>
  <c r="I88" i="33"/>
  <c r="I97" i="33" s="1" a="1"/>
  <c r="D88" i="33"/>
  <c r="D97" i="33" s="1" a="1"/>
  <c r="E88" i="33"/>
  <c r="G88" i="33"/>
  <c r="C30" i="34"/>
  <c r="G31" i="33"/>
  <c r="G49" i="33" s="1"/>
  <c r="C28" i="34"/>
  <c r="E31" i="33"/>
  <c r="E49" i="33" s="1"/>
  <c r="M24" i="34"/>
  <c r="AI88" i="34"/>
  <c r="F88" i="34" s="1"/>
  <c r="G88" i="34" s="1"/>
  <c r="H88" i="34" s="1"/>
  <c r="I88" i="34" s="1"/>
  <c r="J88" i="34" s="1"/>
  <c r="K88" i="34" s="1"/>
  <c r="L88" i="34" s="1"/>
  <c r="M88" i="34" s="1"/>
  <c r="N88" i="34" s="1"/>
  <c r="O88" i="34" s="1"/>
  <c r="P88" i="34" s="1"/>
  <c r="Q88" i="34" s="1"/>
  <c r="R88" i="34" s="1"/>
  <c r="S88" i="34" s="1"/>
  <c r="T88" i="34" s="1"/>
  <c r="U88" i="34" s="1"/>
  <c r="V88" i="34" s="1"/>
  <c r="W88" i="34" s="1"/>
  <c r="X88" i="34" s="1"/>
  <c r="Y88" i="34" s="1"/>
  <c r="Z88" i="34" s="1"/>
  <c r="AA88" i="34" s="1"/>
  <c r="AB88" i="34" s="1"/>
  <c r="AC88" i="34" s="1"/>
  <c r="AD88" i="34" s="1"/>
  <c r="AE88" i="34" s="1"/>
  <c r="AF88" i="34" s="1"/>
  <c r="AG88" i="34" s="1"/>
  <c r="AH88" i="34" s="1"/>
  <c r="C12" i="34"/>
  <c r="E32" i="33"/>
  <c r="E50" i="33" s="1"/>
  <c r="C13" i="34"/>
  <c r="F32" i="33"/>
  <c r="F50" i="33" s="1"/>
  <c r="I30" i="33"/>
  <c r="I48" i="33" s="1"/>
  <c r="I44" i="33"/>
  <c r="I35" i="33" s="1"/>
  <c r="AI103" i="34"/>
  <c r="M32" i="34"/>
  <c r="H87" i="33"/>
  <c r="H96" i="33" s="1" a="1"/>
  <c r="F87" i="33"/>
  <c r="C33" i="33"/>
  <c r="C51" i="33" s="1"/>
  <c r="G87" i="33"/>
  <c r="D87" i="33"/>
  <c r="D96" i="33" s="1" a="1"/>
  <c r="I87" i="33"/>
  <c r="I96" i="33" s="1" a="1"/>
  <c r="E34" i="33"/>
  <c r="E52" i="33" s="1"/>
  <c r="C36" i="34"/>
  <c r="C27" i="34"/>
  <c r="F85" i="33"/>
  <c r="H85" i="33"/>
  <c r="H94" i="33" s="1" a="1"/>
  <c r="G85" i="33"/>
  <c r="C31" i="33"/>
  <c r="C49" i="33" s="1"/>
  <c r="I85" i="33"/>
  <c r="I94" i="33" s="1" a="1"/>
  <c r="D85" i="33"/>
  <c r="E85" i="33"/>
  <c r="C29" i="34"/>
  <c r="F31" i="33"/>
  <c r="F49" i="33" s="1"/>
  <c r="M8" i="34"/>
  <c r="C15" i="34"/>
  <c r="I32" i="33"/>
  <c r="I50" i="33" s="1"/>
  <c r="O24" i="34"/>
  <c r="G30" i="33"/>
  <c r="G48" i="33" s="1"/>
  <c r="G44" i="33"/>
  <c r="G35" i="33" s="1"/>
  <c r="E30" i="33"/>
  <c r="E48" i="33" s="1"/>
  <c r="E44" i="33"/>
  <c r="E35" i="33" s="1"/>
  <c r="C38" i="34"/>
  <c r="G34" i="33"/>
  <c r="G52" i="33" s="1"/>
  <c r="C39" i="34"/>
  <c r="I34" i="33"/>
  <c r="I52" i="33" s="1"/>
  <c r="C31" i="34"/>
  <c r="I31" i="33"/>
  <c r="I49" i="33" s="1"/>
  <c r="E24" i="28"/>
  <c r="AI52" i="34"/>
  <c r="F52" i="34" s="1"/>
  <c r="G52" i="34" s="1"/>
  <c r="H52" i="34" s="1"/>
  <c r="I52" i="34" s="1"/>
  <c r="J52" i="34" s="1"/>
  <c r="K52" i="34" s="1"/>
  <c r="L52" i="34" s="1"/>
  <c r="M52" i="34" s="1"/>
  <c r="N52" i="34" s="1"/>
  <c r="O52" i="34" s="1"/>
  <c r="P52" i="34" s="1"/>
  <c r="Q52" i="34" s="1"/>
  <c r="R52" i="34" s="1"/>
  <c r="S52" i="34" s="1"/>
  <c r="T52" i="34" s="1"/>
  <c r="U52" i="34" s="1"/>
  <c r="V52" i="34" s="1"/>
  <c r="W52" i="34" s="1"/>
  <c r="X52" i="34" s="1"/>
  <c r="Y52" i="34" s="1"/>
  <c r="Z52" i="34" s="1"/>
  <c r="AA52" i="34" s="1"/>
  <c r="AB52" i="34" s="1"/>
  <c r="AC52" i="34" s="1"/>
  <c r="AD52" i="34" s="1"/>
  <c r="AE52" i="34" s="1"/>
  <c r="AF52" i="34" s="1"/>
  <c r="AG52" i="34" s="1"/>
  <c r="AH52" i="34" s="1"/>
  <c r="N8" i="34"/>
  <c r="M38" i="34"/>
  <c r="AI111" i="34" s="1"/>
  <c r="D44" i="33"/>
  <c r="D35" i="33" s="1"/>
  <c r="D32" i="33"/>
  <c r="D50" i="33" s="1"/>
  <c r="E25" i="28"/>
  <c r="M50" i="15"/>
  <c r="M53" i="15" s="1"/>
  <c r="M137" i="15" s="1"/>
  <c r="M126" i="15"/>
  <c r="N50" i="15"/>
  <c r="N53" i="15" s="1"/>
  <c r="N137" i="15" s="1"/>
  <c r="N126" i="15"/>
  <c r="K74" i="12"/>
  <c r="K219" i="12" s="1"/>
  <c r="K230" i="12" s="1"/>
  <c r="K75" i="12"/>
  <c r="K78" i="12"/>
  <c r="K76" i="12"/>
  <c r="K77" i="12"/>
  <c r="K80" i="12"/>
  <c r="K79" i="12"/>
  <c r="AE9" i="20"/>
  <c r="AE8" i="20"/>
  <c r="L74" i="14"/>
  <c r="L219" i="14" s="1"/>
  <c r="L230" i="14" s="1"/>
  <c r="L75" i="14"/>
  <c r="L80" i="14"/>
  <c r="L77" i="14"/>
  <c r="L78" i="14"/>
  <c r="L76" i="14"/>
  <c r="L79" i="14"/>
  <c r="Z11" i="20"/>
  <c r="Z10" i="20"/>
  <c r="Y12" i="20"/>
  <c r="P33" i="11"/>
  <c r="O34" i="11"/>
  <c r="O35" i="11" s="1"/>
  <c r="O36" i="11" s="1"/>
  <c r="N29" i="13"/>
  <c r="N30" i="13" s="1"/>
  <c r="O28" i="13"/>
  <c r="M31" i="13"/>
  <c r="M33" i="13" s="1"/>
  <c r="M64" i="36" s="1"/>
  <c r="M32" i="13"/>
  <c r="M73" i="14" s="1"/>
  <c r="L73" i="12"/>
  <c r="AD7" i="20"/>
  <c r="O31" i="15"/>
  <c r="N72" i="14" l="1"/>
  <c r="Q8" i="34"/>
  <c r="O39" i="11"/>
  <c r="O37" i="11"/>
  <c r="O40" i="11"/>
  <c r="O66" i="45" s="1"/>
  <c r="AU66" i="45" s="1"/>
  <c r="O38" i="11"/>
  <c r="J96" i="55"/>
  <c r="AO96" i="55"/>
  <c r="DA96" i="55" s="1"/>
  <c r="AO4" i="51"/>
  <c r="AO57" i="58" s="1"/>
  <c r="CE57" i="58" s="1"/>
  <c r="CE58" i="58" s="1"/>
  <c r="I57" i="58"/>
  <c r="N61" i="45"/>
  <c r="AT61" i="45" s="1"/>
  <c r="AT63" i="45" s="1"/>
  <c r="N64" i="45"/>
  <c r="AT64" i="45" s="1"/>
  <c r="J95" i="55"/>
  <c r="AO95" i="55"/>
  <c r="DA95" i="55" s="1"/>
  <c r="N28" i="47"/>
  <c r="C18" i="47"/>
  <c r="D21" i="54"/>
  <c r="C71" i="33"/>
  <c r="C70" i="33"/>
  <c r="D22" i="54"/>
  <c r="C18" i="41"/>
  <c r="E15" i="41" s="1"/>
  <c r="D23" i="54"/>
  <c r="D25" i="54"/>
  <c r="E24" i="54"/>
  <c r="AC70" i="36"/>
  <c r="V5" i="50"/>
  <c r="J4" i="51"/>
  <c r="C156" i="54"/>
  <c r="C63" i="54"/>
  <c r="C130" i="54"/>
  <c r="C35" i="47"/>
  <c r="D31" i="47" s="1"/>
  <c r="F97" i="33" a="1"/>
  <c r="C156" i="53"/>
  <c r="F94" i="33" a="1"/>
  <c r="AG148" i="53" s="1"/>
  <c r="F96" i="33" a="1"/>
  <c r="C130" i="53"/>
  <c r="F93" i="33" a="1"/>
  <c r="C63" i="53"/>
  <c r="C363" i="48"/>
  <c r="D363" i="48" s="1"/>
  <c r="E363" i="48" s="1"/>
  <c r="F363" i="48" s="1"/>
  <c r="G363" i="48" s="1"/>
  <c r="H363" i="48" s="1"/>
  <c r="I363" i="48" s="1"/>
  <c r="J363" i="48" s="1"/>
  <c r="K363" i="48" s="1"/>
  <c r="L363" i="48" s="1"/>
  <c r="M363" i="48" s="1"/>
  <c r="N363" i="48" s="1"/>
  <c r="O363" i="48" s="1"/>
  <c r="P363" i="48" s="1"/>
  <c r="Q363" i="48" s="1"/>
  <c r="R363" i="48" s="1"/>
  <c r="S363" i="48" s="1"/>
  <c r="T363" i="48" s="1"/>
  <c r="U363" i="48" s="1"/>
  <c r="V363" i="48" s="1"/>
  <c r="W363" i="48" s="1"/>
  <c r="X363" i="48" s="1"/>
  <c r="Y363" i="48" s="1"/>
  <c r="Z363" i="48" s="1"/>
  <c r="AA363" i="48" s="1"/>
  <c r="AB363" i="48" s="1"/>
  <c r="AC363" i="48" s="1"/>
  <c r="AD363" i="48" s="1"/>
  <c r="AE363" i="48" s="1"/>
  <c r="AF363" i="48" s="1"/>
  <c r="AG363" i="48" s="1"/>
  <c r="C68" i="33"/>
  <c r="D251" i="53"/>
  <c r="E251" i="53" s="1"/>
  <c r="F251" i="53" s="1"/>
  <c r="G251" i="53" s="1"/>
  <c r="H251" i="53" s="1"/>
  <c r="I251" i="53" s="1"/>
  <c r="J251" i="53" s="1"/>
  <c r="K251" i="53" s="1"/>
  <c r="L251" i="53" s="1"/>
  <c r="N251" i="53" s="1"/>
  <c r="O251" i="53" s="1"/>
  <c r="P251" i="53" s="1"/>
  <c r="Q251" i="53" s="1"/>
  <c r="R251" i="53" s="1"/>
  <c r="S251" i="53" s="1"/>
  <c r="T251" i="53" s="1"/>
  <c r="U251" i="53" s="1"/>
  <c r="V251" i="53" s="1"/>
  <c r="W251" i="53" s="1"/>
  <c r="X251" i="53" s="1"/>
  <c r="Y251" i="53" s="1"/>
  <c r="Z251" i="53" s="1"/>
  <c r="AA251" i="53" s="1"/>
  <c r="AB251" i="53" s="1"/>
  <c r="AC251" i="53" s="1"/>
  <c r="AD251" i="53" s="1"/>
  <c r="AE251" i="53" s="1"/>
  <c r="AF251" i="53" s="1"/>
  <c r="AG251" i="53" s="1"/>
  <c r="C38" i="46"/>
  <c r="F95" i="33" a="1"/>
  <c r="AG139" i="48" s="1"/>
  <c r="C37" i="46"/>
  <c r="E25" i="53"/>
  <c r="E23" i="53"/>
  <c r="F24" i="53"/>
  <c r="E21" i="53"/>
  <c r="E22" i="53"/>
  <c r="C12" i="41"/>
  <c r="F11" i="41" s="1"/>
  <c r="E56" i="41" s="1"/>
  <c r="F56" i="41" s="1"/>
  <c r="G56" i="41" s="1"/>
  <c r="H56" i="41" s="1"/>
  <c r="I56" i="41" s="1"/>
  <c r="C28" i="47"/>
  <c r="D24" i="47" s="1"/>
  <c r="E86" i="47" s="1"/>
  <c r="L9" i="4"/>
  <c r="G12" i="3"/>
  <c r="C6" i="41"/>
  <c r="F3" i="41" s="1"/>
  <c r="E39" i="41" s="1"/>
  <c r="F39" i="41" s="1"/>
  <c r="G39" i="41" s="1"/>
  <c r="H39" i="41" s="1"/>
  <c r="I39" i="41" s="1"/>
  <c r="J39" i="41" s="1"/>
  <c r="K39" i="41" s="1"/>
  <c r="L39" i="41" s="1"/>
  <c r="M39" i="41" s="1"/>
  <c r="N39" i="41" s="1"/>
  <c r="O39" i="41" s="1"/>
  <c r="P39" i="41" s="1"/>
  <c r="Q39" i="41" s="1"/>
  <c r="R39" i="41" s="1"/>
  <c r="S39" i="41" s="1"/>
  <c r="T39" i="41" s="1"/>
  <c r="U39" i="41" s="1"/>
  <c r="V39" i="41" s="1"/>
  <c r="W39" i="41" s="1"/>
  <c r="X39" i="41" s="1"/>
  <c r="Y39" i="41" s="1"/>
  <c r="Z39" i="41" s="1"/>
  <c r="AA39" i="41" s="1"/>
  <c r="AB39" i="41" s="1"/>
  <c r="AC39" i="41" s="1"/>
  <c r="AD39" i="41" s="1"/>
  <c r="AE39" i="41" s="1"/>
  <c r="AF39" i="41" s="1"/>
  <c r="AG39" i="41" s="1"/>
  <c r="AH39" i="41" s="1"/>
  <c r="X3" i="50"/>
  <c r="L6" i="52" s="1"/>
  <c r="AI90" i="47"/>
  <c r="M35" i="47"/>
  <c r="AI62" i="47"/>
  <c r="O14" i="47"/>
  <c r="AI38" i="47"/>
  <c r="N7" i="47"/>
  <c r="E90" i="47"/>
  <c r="AI58" i="47"/>
  <c r="N14" i="47"/>
  <c r="C14" i="47"/>
  <c r="F10" i="47" s="1"/>
  <c r="AI70" i="47"/>
  <c r="Q14" i="47"/>
  <c r="O7" i="47"/>
  <c r="N16" i="34"/>
  <c r="C7" i="47"/>
  <c r="F3" i="47" s="1"/>
  <c r="D34" i="47"/>
  <c r="E93" i="47" s="1"/>
  <c r="C21" i="47"/>
  <c r="E20" i="47" s="1"/>
  <c r="E81" i="47" s="1"/>
  <c r="AI66" i="47"/>
  <c r="P14" i="47"/>
  <c r="R7" i="47"/>
  <c r="G10" i="3"/>
  <c r="BL50" i="36"/>
  <c r="AO48" i="45"/>
  <c r="AO50" i="45" s="1"/>
  <c r="H39" i="48" s="1"/>
  <c r="G97" i="33" a="1"/>
  <c r="C260" i="48"/>
  <c r="C260" i="46"/>
  <c r="C261" i="46" s="1"/>
  <c r="G95" i="33" a="1"/>
  <c r="C139" i="48"/>
  <c r="C139" i="46"/>
  <c r="C141" i="46" s="1"/>
  <c r="E24" i="48"/>
  <c r="D23" i="48"/>
  <c r="G94" i="33" a="1"/>
  <c r="C243" i="48"/>
  <c r="C243" i="46"/>
  <c r="C244" i="46" s="1"/>
  <c r="BH36" i="36"/>
  <c r="BH77" i="36" s="1"/>
  <c r="E21" i="48"/>
  <c r="G96" i="33" a="1"/>
  <c r="C202" i="46"/>
  <c r="C204" i="46" s="1"/>
  <c r="C202" i="48"/>
  <c r="D22" i="48"/>
  <c r="G93" i="33" a="1"/>
  <c r="C63" i="48"/>
  <c r="C63" i="46"/>
  <c r="C64" i="46" s="1"/>
  <c r="BH46" i="36"/>
  <c r="AA38" i="42"/>
  <c r="I48" i="45"/>
  <c r="I50" i="45" s="1"/>
  <c r="H39" i="46" s="1"/>
  <c r="D25" i="48"/>
  <c r="AK17" i="45"/>
  <c r="AK69" i="45" s="1"/>
  <c r="AP47" i="45"/>
  <c r="AP49" i="45"/>
  <c r="AP46" i="45"/>
  <c r="AQ45" i="45"/>
  <c r="G39" i="48"/>
  <c r="AN53" i="45"/>
  <c r="AN52" i="45"/>
  <c r="AN51" i="45"/>
  <c r="C37" i="48"/>
  <c r="AJ25" i="45"/>
  <c r="AJ26" i="45"/>
  <c r="AJ24" i="45"/>
  <c r="AK40" i="45"/>
  <c r="AK39" i="45"/>
  <c r="O16" i="34"/>
  <c r="P16" i="34"/>
  <c r="F21" i="46"/>
  <c r="C86" i="33"/>
  <c r="C122" i="20" s="1"/>
  <c r="C363" i="46"/>
  <c r="D363" i="46" s="1"/>
  <c r="M16" i="34"/>
  <c r="F24" i="46"/>
  <c r="E23" i="46"/>
  <c r="E22" i="46"/>
  <c r="E25" i="46"/>
  <c r="M91" i="44"/>
  <c r="M93" i="44"/>
  <c r="M96" i="44"/>
  <c r="M92" i="44"/>
  <c r="M95" i="44"/>
  <c r="M94" i="44"/>
  <c r="L5" i="8"/>
  <c r="L6" i="8" s="1"/>
  <c r="H9" i="26"/>
  <c r="M70" i="44"/>
  <c r="D24" i="45"/>
  <c r="D82" i="45"/>
  <c r="D25" i="45"/>
  <c r="D26" i="45"/>
  <c r="D43" i="45"/>
  <c r="D42" i="45"/>
  <c r="D44" i="45"/>
  <c r="D95" i="45"/>
  <c r="AJ82" i="45"/>
  <c r="F16" i="45"/>
  <c r="AL16" i="45" s="1"/>
  <c r="E17" i="45"/>
  <c r="E69" i="45" s="1"/>
  <c r="E40" i="45"/>
  <c r="F38" i="45"/>
  <c r="AL38" i="45" s="1"/>
  <c r="K45" i="45"/>
  <c r="J49" i="45"/>
  <c r="J47" i="45"/>
  <c r="J46" i="45"/>
  <c r="H52" i="45"/>
  <c r="H51" i="45"/>
  <c r="H92" i="45" s="1"/>
  <c r="H53" i="45"/>
  <c r="H88" i="45"/>
  <c r="BI35" i="36"/>
  <c r="BH59" i="36"/>
  <c r="AA40" i="42" s="1"/>
  <c r="BG62" i="36"/>
  <c r="BG60" i="36"/>
  <c r="BH44" i="36"/>
  <c r="BH97" i="36"/>
  <c r="BH70" i="36"/>
  <c r="AD32" i="36"/>
  <c r="AD35" i="36"/>
  <c r="BI32" i="36"/>
  <c r="BG69" i="36"/>
  <c r="BG25" i="36"/>
  <c r="Z37" i="42" s="1"/>
  <c r="BH23" i="36"/>
  <c r="BH25" i="36" s="1"/>
  <c r="AA37" i="42" s="1"/>
  <c r="BL52" i="36"/>
  <c r="AC23" i="36"/>
  <c r="AC25" i="36" s="1"/>
  <c r="AB37" i="38" s="1"/>
  <c r="AE30" i="36"/>
  <c r="AE34" i="36"/>
  <c r="AE31" i="36"/>
  <c r="AF29" i="36"/>
  <c r="AE33" i="36"/>
  <c r="BK53" i="36"/>
  <c r="BK94" i="36" s="1"/>
  <c r="BK55" i="36"/>
  <c r="BK90" i="36"/>
  <c r="BI57" i="36"/>
  <c r="BI58" i="36"/>
  <c r="BJ41" i="36"/>
  <c r="BK40" i="36"/>
  <c r="BJ42" i="36"/>
  <c r="AB60" i="36"/>
  <c r="AB62" i="36"/>
  <c r="AD22" i="36"/>
  <c r="AD21" i="36"/>
  <c r="AF90" i="36"/>
  <c r="AF53" i="36"/>
  <c r="AF94" i="36" s="1"/>
  <c r="AF55" i="36"/>
  <c r="AF18" i="36"/>
  <c r="BK18" i="36"/>
  <c r="AE19" i="36"/>
  <c r="AE20" i="36" s="1"/>
  <c r="AE56" i="36"/>
  <c r="BI43" i="36"/>
  <c r="AB38" i="42" s="1"/>
  <c r="AE42" i="36"/>
  <c r="AF40" i="36"/>
  <c r="AH48" i="36"/>
  <c r="AH49" i="36"/>
  <c r="AH51" i="36"/>
  <c r="BJ34" i="36"/>
  <c r="BJ33" i="36"/>
  <c r="BJ31" i="36"/>
  <c r="BJ30" i="36"/>
  <c r="BK29" i="36"/>
  <c r="AD57" i="36"/>
  <c r="AD58" i="36"/>
  <c r="AB26" i="36"/>
  <c r="AB87" i="36" s="1"/>
  <c r="AB84" i="36"/>
  <c r="AB28" i="36"/>
  <c r="BI21" i="36"/>
  <c r="BI22" i="36"/>
  <c r="AC59" i="36"/>
  <c r="AB40" i="38" s="1"/>
  <c r="AG50" i="36"/>
  <c r="AG52" i="36" s="1"/>
  <c r="AF39" i="38" s="1"/>
  <c r="BM49" i="36"/>
  <c r="BN47" i="36"/>
  <c r="BM48" i="36"/>
  <c r="BM51" i="36"/>
  <c r="BJ19" i="36"/>
  <c r="BJ20" i="36" s="1"/>
  <c r="BJ56" i="36"/>
  <c r="AS63" i="36"/>
  <c r="AS68" i="36" s="1"/>
  <c r="AS75" i="36" s="1"/>
  <c r="M68" i="36"/>
  <c r="N63" i="36"/>
  <c r="O72" i="14"/>
  <c r="M63" i="45"/>
  <c r="AS64" i="36"/>
  <c r="M66" i="36"/>
  <c r="M65" i="36"/>
  <c r="AR66" i="36"/>
  <c r="AR73" i="36" s="1"/>
  <c r="AR65" i="36"/>
  <c r="L71" i="36"/>
  <c r="BX38" i="58" s="1"/>
  <c r="L37" i="58" s="1"/>
  <c r="AR37" i="58" s="1"/>
  <c r="BX37" i="58" s="1"/>
  <c r="L106" i="36"/>
  <c r="AQ71" i="36"/>
  <c r="AQ72" i="36" s="1"/>
  <c r="AQ106" i="36"/>
  <c r="AC26" i="36"/>
  <c r="AC87" i="36" s="1"/>
  <c r="G9" i="41"/>
  <c r="E57" i="41" s="1"/>
  <c r="E11" i="41"/>
  <c r="E53" i="41" s="1"/>
  <c r="F53" i="41" s="1"/>
  <c r="G53" i="41" s="1"/>
  <c r="H53" i="41" s="1"/>
  <c r="I53" i="41" s="1"/>
  <c r="J53" i="41" s="1"/>
  <c r="K53" i="41" s="1"/>
  <c r="L53" i="41" s="1"/>
  <c r="M53" i="41" s="1"/>
  <c r="N53" i="41" s="1"/>
  <c r="O53" i="41" s="1"/>
  <c r="P53" i="41" s="1"/>
  <c r="Q53" i="41" s="1"/>
  <c r="R53" i="41" s="1"/>
  <c r="S53" i="41" s="1"/>
  <c r="T53" i="41" s="1"/>
  <c r="U53" i="41" s="1"/>
  <c r="V53" i="41" s="1"/>
  <c r="W53" i="41" s="1"/>
  <c r="X53" i="41" s="1"/>
  <c r="Y53" i="41" s="1"/>
  <c r="Z53" i="41" s="1"/>
  <c r="AA53" i="41" s="1"/>
  <c r="AB53" i="41" s="1"/>
  <c r="AC53" i="41" s="1"/>
  <c r="AD53" i="41" s="1"/>
  <c r="AE53" i="41" s="1"/>
  <c r="AF53" i="41" s="1"/>
  <c r="AG53" i="41" s="1"/>
  <c r="AH53" i="41" s="1"/>
  <c r="Q12" i="41"/>
  <c r="C88" i="33"/>
  <c r="C97" i="33" s="1" a="1"/>
  <c r="AG211" i="20" s="1"/>
  <c r="AG212" i="20" s="1"/>
  <c r="G11" i="41"/>
  <c r="E59" i="41" s="1"/>
  <c r="F59" i="41" s="1"/>
  <c r="G59" i="41" s="1"/>
  <c r="H59" i="41" s="1"/>
  <c r="I59" i="41" s="1"/>
  <c r="J59" i="41" s="1"/>
  <c r="K59" i="41" s="1"/>
  <c r="L59" i="41" s="1"/>
  <c r="M59" i="41" s="1"/>
  <c r="N59" i="41" s="1"/>
  <c r="O59" i="41" s="1"/>
  <c r="P59" i="41" s="1"/>
  <c r="Q59" i="41" s="1"/>
  <c r="R59" i="41" s="1"/>
  <c r="S59" i="41" s="1"/>
  <c r="T59" i="41" s="1"/>
  <c r="U59" i="41" s="1"/>
  <c r="V59" i="41" s="1"/>
  <c r="W59" i="41" s="1"/>
  <c r="X59" i="41" s="1"/>
  <c r="Y59" i="41" s="1"/>
  <c r="Z59" i="41" s="1"/>
  <c r="AA59" i="41" s="1"/>
  <c r="AB59" i="41" s="1"/>
  <c r="AC59" i="41" s="1"/>
  <c r="AD59" i="41" s="1"/>
  <c r="AE59" i="41" s="1"/>
  <c r="AF59" i="41" s="1"/>
  <c r="AG59" i="41" s="1"/>
  <c r="AH59" i="41" s="1"/>
  <c r="E17" i="41"/>
  <c r="E65" i="41" s="1"/>
  <c r="F65" i="41" s="1"/>
  <c r="G65" i="41" s="1"/>
  <c r="H65" i="41" s="1"/>
  <c r="I65" i="41" s="1"/>
  <c r="J65" i="41" s="1"/>
  <c r="K65" i="41" s="1"/>
  <c r="L65" i="41" s="1"/>
  <c r="M65" i="41" s="1"/>
  <c r="N65" i="41" s="1"/>
  <c r="O65" i="41" s="1"/>
  <c r="P65" i="41" s="1"/>
  <c r="Q65" i="41" s="1"/>
  <c r="R65" i="41" s="1"/>
  <c r="S65" i="41" s="1"/>
  <c r="T65" i="41" s="1"/>
  <c r="U65" i="41" s="1"/>
  <c r="V65" i="41" s="1"/>
  <c r="W65" i="41" s="1"/>
  <c r="X65" i="41" s="1"/>
  <c r="Y65" i="41" s="1"/>
  <c r="Z65" i="41" s="1"/>
  <c r="AA65" i="41" s="1"/>
  <c r="AB65" i="41" s="1"/>
  <c r="AC65" i="41" s="1"/>
  <c r="AD65" i="41" s="1"/>
  <c r="AE65" i="41" s="1"/>
  <c r="AF65" i="41" s="1"/>
  <c r="AG65" i="41" s="1"/>
  <c r="AH65" i="41" s="1"/>
  <c r="C85" i="33"/>
  <c r="C87" i="33"/>
  <c r="C96" i="33" s="1" a="1"/>
  <c r="AG169" i="20" s="1"/>
  <c r="C84" i="33"/>
  <c r="C93" i="33" s="1" a="1"/>
  <c r="AG66" i="20" s="1"/>
  <c r="D9" i="41"/>
  <c r="E48" i="41" s="1"/>
  <c r="H3" i="41"/>
  <c r="E45" i="41" s="1"/>
  <c r="F45" i="41" s="1"/>
  <c r="G45" i="41" s="1"/>
  <c r="H45" i="41" s="1"/>
  <c r="I45" i="41" s="1"/>
  <c r="J45" i="41" s="1"/>
  <c r="K45" i="41" s="1"/>
  <c r="L45" i="41" s="1"/>
  <c r="M45" i="41" s="1"/>
  <c r="N45" i="41" s="1"/>
  <c r="O45" i="41" s="1"/>
  <c r="P45" i="41" s="1"/>
  <c r="Q45" i="41" s="1"/>
  <c r="R45" i="41" s="1"/>
  <c r="S45" i="41" s="1"/>
  <c r="T45" i="41" s="1"/>
  <c r="U45" i="41" s="1"/>
  <c r="V45" i="41" s="1"/>
  <c r="W45" i="41" s="1"/>
  <c r="X45" i="41" s="1"/>
  <c r="Y45" i="41" s="1"/>
  <c r="Z45" i="41" s="1"/>
  <c r="AA45" i="41" s="1"/>
  <c r="AB45" i="41" s="1"/>
  <c r="AC45" i="41" s="1"/>
  <c r="AD45" i="41" s="1"/>
  <c r="AE45" i="41" s="1"/>
  <c r="AF45" i="41" s="1"/>
  <c r="AG45" i="41" s="1"/>
  <c r="AH45" i="41" s="1"/>
  <c r="AI57" i="41"/>
  <c r="D17" i="41"/>
  <c r="E62" i="41" s="1"/>
  <c r="F62" i="41" s="1"/>
  <c r="G62" i="41" s="1"/>
  <c r="H62" i="41" s="1"/>
  <c r="I62" i="41" s="1"/>
  <c r="J62" i="41" s="1"/>
  <c r="K62" i="41" s="1"/>
  <c r="L62" i="41" s="1"/>
  <c r="M62" i="41" s="1"/>
  <c r="N62" i="41" s="1"/>
  <c r="O62" i="41" s="1"/>
  <c r="P62" i="41" s="1"/>
  <c r="Q62" i="41" s="1"/>
  <c r="R62" i="41" s="1"/>
  <c r="S62" i="41" s="1"/>
  <c r="T62" i="41" s="1"/>
  <c r="U62" i="41" s="1"/>
  <c r="V62" i="41" s="1"/>
  <c r="W62" i="41" s="1"/>
  <c r="X62" i="41" s="1"/>
  <c r="Y62" i="41" s="1"/>
  <c r="Z62" i="41" s="1"/>
  <c r="AA62" i="41" s="1"/>
  <c r="AB62" i="41" s="1"/>
  <c r="AC62" i="41" s="1"/>
  <c r="AD62" i="41" s="1"/>
  <c r="AE62" i="41" s="1"/>
  <c r="AF62" i="41" s="1"/>
  <c r="AG62" i="41" s="1"/>
  <c r="AH62" i="41" s="1"/>
  <c r="F15" i="41"/>
  <c r="E66" i="41" s="1"/>
  <c r="F66" i="41" s="1"/>
  <c r="G66" i="41" s="1"/>
  <c r="H66" i="41" s="1"/>
  <c r="I66" i="41" s="1"/>
  <c r="J66" i="41" s="1"/>
  <c r="K66" i="41" s="1"/>
  <c r="L66" i="41" s="1"/>
  <c r="M66" i="41" s="1"/>
  <c r="N66" i="41" s="1"/>
  <c r="O66" i="41" s="1"/>
  <c r="P66" i="41" s="1"/>
  <c r="Q66" i="41" s="1"/>
  <c r="R66" i="41" s="1"/>
  <c r="S66" i="41" s="1"/>
  <c r="T66" i="41" s="1"/>
  <c r="U66" i="41" s="1"/>
  <c r="V66" i="41" s="1"/>
  <c r="W66" i="41" s="1"/>
  <c r="X66" i="41" s="1"/>
  <c r="Y66" i="41" s="1"/>
  <c r="Z66" i="41" s="1"/>
  <c r="AA66" i="41" s="1"/>
  <c r="AB66" i="41" s="1"/>
  <c r="AC66" i="41" s="1"/>
  <c r="AD66" i="41" s="1"/>
  <c r="AE66" i="41" s="1"/>
  <c r="AF66" i="41" s="1"/>
  <c r="AG66" i="41" s="1"/>
  <c r="AH66" i="41" s="1"/>
  <c r="D11" i="41"/>
  <c r="E50" i="41" s="1"/>
  <c r="F50" i="41" s="1"/>
  <c r="G50" i="41" s="1"/>
  <c r="H50" i="41" s="1"/>
  <c r="I50" i="41" s="1"/>
  <c r="J50" i="41" s="1"/>
  <c r="K50" i="41" s="1"/>
  <c r="L50" i="41" s="1"/>
  <c r="M50" i="41" s="1"/>
  <c r="N50" i="41" s="1"/>
  <c r="O50" i="41" s="1"/>
  <c r="P50" i="41" s="1"/>
  <c r="Q50" i="41" s="1"/>
  <c r="R50" i="41" s="1"/>
  <c r="S50" i="41" s="1"/>
  <c r="T50" i="41" s="1"/>
  <c r="U50" i="41" s="1"/>
  <c r="V50" i="41" s="1"/>
  <c r="W50" i="41" s="1"/>
  <c r="X50" i="41" s="1"/>
  <c r="Y50" i="41" s="1"/>
  <c r="Z50" i="41" s="1"/>
  <c r="AA50" i="41" s="1"/>
  <c r="AB50" i="41" s="1"/>
  <c r="AC50" i="41" s="1"/>
  <c r="AD50" i="41" s="1"/>
  <c r="AE50" i="41" s="1"/>
  <c r="AF50" i="41" s="1"/>
  <c r="AG50" i="41" s="1"/>
  <c r="AH50" i="41" s="1"/>
  <c r="F9" i="41"/>
  <c r="E54" i="41" s="1"/>
  <c r="AI48" i="41"/>
  <c r="N12" i="41"/>
  <c r="E24" i="29"/>
  <c r="D22" i="29"/>
  <c r="E22" i="29" s="1"/>
  <c r="F22" i="29" s="1"/>
  <c r="G22" i="29" s="1"/>
  <c r="H22" i="29" s="1"/>
  <c r="I22" i="29" s="1"/>
  <c r="J22" i="29" s="1"/>
  <c r="K22" i="29" s="1"/>
  <c r="L22" i="29" s="1"/>
  <c r="M22" i="29" s="1"/>
  <c r="N22" i="29" s="1"/>
  <c r="O22" i="29" s="1"/>
  <c r="P22" i="29" s="1"/>
  <c r="Q22" i="29" s="1"/>
  <c r="R22" i="29" s="1"/>
  <c r="S22" i="29" s="1"/>
  <c r="T22" i="29" s="1"/>
  <c r="U22" i="29" s="1"/>
  <c r="V22" i="29" s="1"/>
  <c r="W22" i="29" s="1"/>
  <c r="X22" i="29" s="1"/>
  <c r="Y22" i="29" s="1"/>
  <c r="Z22" i="29" s="1"/>
  <c r="AA22" i="29" s="1"/>
  <c r="AB22" i="29" s="1"/>
  <c r="AC22" i="29" s="1"/>
  <c r="AD22" i="29" s="1"/>
  <c r="AE22" i="29" s="1"/>
  <c r="AF22" i="29" s="1"/>
  <c r="AG22" i="29" s="1"/>
  <c r="D10" i="41"/>
  <c r="E49" i="41" s="1"/>
  <c r="F49" i="41" s="1"/>
  <c r="G49" i="41" s="1"/>
  <c r="H49" i="41" s="1"/>
  <c r="I49" i="41" s="1"/>
  <c r="J49" i="41" s="1"/>
  <c r="K49" i="41" s="1"/>
  <c r="L49" i="41" s="1"/>
  <c r="M49" i="41" s="1"/>
  <c r="N49" i="41" s="1"/>
  <c r="O49" i="41" s="1"/>
  <c r="P49" i="41" s="1"/>
  <c r="Q49" i="41" s="1"/>
  <c r="R49" i="41" s="1"/>
  <c r="S49" i="41" s="1"/>
  <c r="T49" i="41" s="1"/>
  <c r="U49" i="41" s="1"/>
  <c r="V49" i="41" s="1"/>
  <c r="W49" i="41" s="1"/>
  <c r="X49" i="41" s="1"/>
  <c r="Y49" i="41" s="1"/>
  <c r="Z49" i="41" s="1"/>
  <c r="AA49" i="41" s="1"/>
  <c r="AB49" i="41" s="1"/>
  <c r="AC49" i="41" s="1"/>
  <c r="AD49" i="41" s="1"/>
  <c r="AE49" i="41" s="1"/>
  <c r="AF49" i="41" s="1"/>
  <c r="AG49" i="41" s="1"/>
  <c r="AH49" i="41" s="1"/>
  <c r="E10" i="41"/>
  <c r="E52" i="41" s="1"/>
  <c r="F52" i="41" s="1"/>
  <c r="G52" i="41" s="1"/>
  <c r="H52" i="41" s="1"/>
  <c r="I52" i="41" s="1"/>
  <c r="J52" i="41" s="1"/>
  <c r="K52" i="41" s="1"/>
  <c r="L52" i="41" s="1"/>
  <c r="M52" i="41" s="1"/>
  <c r="N52" i="41" s="1"/>
  <c r="O52" i="41" s="1"/>
  <c r="P52" i="41" s="1"/>
  <c r="Q52" i="41" s="1"/>
  <c r="R52" i="41" s="1"/>
  <c r="S52" i="41" s="1"/>
  <c r="T52" i="41" s="1"/>
  <c r="U52" i="41" s="1"/>
  <c r="V52" i="41" s="1"/>
  <c r="W52" i="41" s="1"/>
  <c r="X52" i="41" s="1"/>
  <c r="Y52" i="41" s="1"/>
  <c r="Z52" i="41" s="1"/>
  <c r="AA52" i="41" s="1"/>
  <c r="AB52" i="41" s="1"/>
  <c r="AC52" i="41" s="1"/>
  <c r="AD52" i="41" s="1"/>
  <c r="AE52" i="41" s="1"/>
  <c r="AF52" i="41" s="1"/>
  <c r="AG52" i="41" s="1"/>
  <c r="AH52" i="41" s="1"/>
  <c r="F10" i="41"/>
  <c r="E55" i="41" s="1"/>
  <c r="F55" i="41" s="1"/>
  <c r="G55" i="41" s="1"/>
  <c r="H55" i="41" s="1"/>
  <c r="I55" i="41" s="1"/>
  <c r="J55" i="41" s="1"/>
  <c r="K55" i="41" s="1"/>
  <c r="L55" i="41" s="1"/>
  <c r="M55" i="41" s="1"/>
  <c r="N55" i="41" s="1"/>
  <c r="O55" i="41" s="1"/>
  <c r="P55" i="41" s="1"/>
  <c r="Q55" i="41" s="1"/>
  <c r="R55" i="41" s="1"/>
  <c r="S55" i="41" s="1"/>
  <c r="T55" i="41" s="1"/>
  <c r="U55" i="41" s="1"/>
  <c r="V55" i="41" s="1"/>
  <c r="W55" i="41" s="1"/>
  <c r="X55" i="41" s="1"/>
  <c r="Y55" i="41" s="1"/>
  <c r="Z55" i="41" s="1"/>
  <c r="AA55" i="41" s="1"/>
  <c r="AB55" i="41" s="1"/>
  <c r="AC55" i="41" s="1"/>
  <c r="AD55" i="41" s="1"/>
  <c r="AE55" i="41" s="1"/>
  <c r="AF55" i="41" s="1"/>
  <c r="AG55" i="41" s="1"/>
  <c r="AH55" i="41" s="1"/>
  <c r="AI51" i="41"/>
  <c r="O12" i="41"/>
  <c r="E16" i="41"/>
  <c r="E64" i="41" s="1"/>
  <c r="F64" i="41" s="1"/>
  <c r="G64" i="41" s="1"/>
  <c r="H64" i="41" s="1"/>
  <c r="I64" i="41" s="1"/>
  <c r="J64" i="41" s="1"/>
  <c r="K64" i="41" s="1"/>
  <c r="L64" i="41" s="1"/>
  <c r="M64" i="41" s="1"/>
  <c r="N64" i="41" s="1"/>
  <c r="O64" i="41" s="1"/>
  <c r="P64" i="41" s="1"/>
  <c r="Q64" i="41" s="1"/>
  <c r="R64" i="41" s="1"/>
  <c r="S64" i="41" s="1"/>
  <c r="T64" i="41" s="1"/>
  <c r="U64" i="41" s="1"/>
  <c r="V64" i="41" s="1"/>
  <c r="W64" i="41" s="1"/>
  <c r="X64" i="41" s="1"/>
  <c r="Y64" i="41" s="1"/>
  <c r="Z64" i="41" s="1"/>
  <c r="AA64" i="41" s="1"/>
  <c r="AB64" i="41" s="1"/>
  <c r="AC64" i="41" s="1"/>
  <c r="AD64" i="41" s="1"/>
  <c r="AE64" i="41" s="1"/>
  <c r="AF64" i="41" s="1"/>
  <c r="AG64" i="41" s="1"/>
  <c r="AH64" i="41" s="1"/>
  <c r="D16" i="41"/>
  <c r="E61" i="41" s="1"/>
  <c r="F61" i="41" s="1"/>
  <c r="G61" i="41" s="1"/>
  <c r="H61" i="41" s="1"/>
  <c r="I61" i="41" s="1"/>
  <c r="J61" i="41" s="1"/>
  <c r="K61" i="41" s="1"/>
  <c r="L61" i="41" s="1"/>
  <c r="M61" i="41" s="1"/>
  <c r="N61" i="41" s="1"/>
  <c r="O61" i="41" s="1"/>
  <c r="P61" i="41" s="1"/>
  <c r="Q61" i="41" s="1"/>
  <c r="R61" i="41" s="1"/>
  <c r="S61" i="41" s="1"/>
  <c r="T61" i="41" s="1"/>
  <c r="U61" i="41" s="1"/>
  <c r="V61" i="41" s="1"/>
  <c r="W61" i="41" s="1"/>
  <c r="X61" i="41" s="1"/>
  <c r="Y61" i="41" s="1"/>
  <c r="Z61" i="41" s="1"/>
  <c r="AA61" i="41" s="1"/>
  <c r="AB61" i="41" s="1"/>
  <c r="AC61" i="41" s="1"/>
  <c r="AD61" i="41" s="1"/>
  <c r="AE61" i="41" s="1"/>
  <c r="AF61" i="41" s="1"/>
  <c r="AG61" i="41" s="1"/>
  <c r="AH61" i="41" s="1"/>
  <c r="C24" i="41"/>
  <c r="C335" i="38"/>
  <c r="D335" i="38" s="1"/>
  <c r="E335" i="38" s="1"/>
  <c r="F335" i="38" s="1"/>
  <c r="G335" i="38" s="1"/>
  <c r="H335" i="38" s="1"/>
  <c r="I335" i="38" s="1"/>
  <c r="J335" i="38" s="1"/>
  <c r="K335" i="38" s="1"/>
  <c r="L335" i="38" s="1"/>
  <c r="M335" i="38" s="1"/>
  <c r="N335" i="38" s="1"/>
  <c r="O335" i="38" s="1"/>
  <c r="P335" i="38" s="1"/>
  <c r="Q335" i="38" s="1"/>
  <c r="R335" i="38" s="1"/>
  <c r="S335" i="38" s="1"/>
  <c r="T335" i="38" s="1"/>
  <c r="U335" i="38" s="1"/>
  <c r="V335" i="38" s="1"/>
  <c r="W335" i="38" s="1"/>
  <c r="X335" i="38" s="1"/>
  <c r="Y335" i="38" s="1"/>
  <c r="Z335" i="38" s="1"/>
  <c r="AA335" i="38" s="1"/>
  <c r="AB335" i="38" s="1"/>
  <c r="AC335" i="38" s="1"/>
  <c r="AD335" i="38" s="1"/>
  <c r="AE335" i="38" s="1"/>
  <c r="AF335" i="38" s="1"/>
  <c r="AG335" i="38" s="1"/>
  <c r="C335" i="42"/>
  <c r="D335" i="42" s="1"/>
  <c r="E335" i="42" s="1"/>
  <c r="F335" i="42" s="1"/>
  <c r="G335" i="42" s="1"/>
  <c r="H335" i="42" s="1"/>
  <c r="I335" i="42" s="1"/>
  <c r="J335" i="42" s="1"/>
  <c r="K335" i="42" s="1"/>
  <c r="L335" i="42" s="1"/>
  <c r="M335" i="42" s="1"/>
  <c r="N335" i="42" s="1"/>
  <c r="O335" i="42" s="1"/>
  <c r="P335" i="42" s="1"/>
  <c r="Q335" i="42" s="1"/>
  <c r="R335" i="42" s="1"/>
  <c r="S335" i="42" s="1"/>
  <c r="T335" i="42" s="1"/>
  <c r="U335" i="42" s="1"/>
  <c r="V335" i="42" s="1"/>
  <c r="W335" i="42" s="1"/>
  <c r="X335" i="42" s="1"/>
  <c r="Y335" i="42" s="1"/>
  <c r="Z335" i="42" s="1"/>
  <c r="AA335" i="42" s="1"/>
  <c r="AB335" i="42" s="1"/>
  <c r="AC335" i="42" s="1"/>
  <c r="AD335" i="42" s="1"/>
  <c r="AE335" i="42" s="1"/>
  <c r="AF335" i="42" s="1"/>
  <c r="AG335" i="42" s="1"/>
  <c r="E63" i="41"/>
  <c r="F63" i="41" s="1"/>
  <c r="G63" i="41" s="1"/>
  <c r="H63" i="41" s="1"/>
  <c r="I63" i="41" s="1"/>
  <c r="J63" i="41" s="1"/>
  <c r="K63" i="41" s="1"/>
  <c r="L63" i="41" s="1"/>
  <c r="M63" i="41" s="1"/>
  <c r="N63" i="41" s="1"/>
  <c r="O63" i="41" s="1"/>
  <c r="P63" i="41" s="1"/>
  <c r="Q63" i="41" s="1"/>
  <c r="R63" i="41" s="1"/>
  <c r="S63" i="41" s="1"/>
  <c r="T63" i="41" s="1"/>
  <c r="U63" i="41" s="1"/>
  <c r="V63" i="41" s="1"/>
  <c r="W63" i="41" s="1"/>
  <c r="X63" i="41" s="1"/>
  <c r="Y63" i="41" s="1"/>
  <c r="Z63" i="41" s="1"/>
  <c r="AA63" i="41" s="1"/>
  <c r="AB63" i="41" s="1"/>
  <c r="AC63" i="41" s="1"/>
  <c r="AD63" i="41" s="1"/>
  <c r="AE63" i="41" s="1"/>
  <c r="AF63" i="41" s="1"/>
  <c r="AG63" i="41" s="1"/>
  <c r="AH63" i="41" s="1"/>
  <c r="C30" i="41"/>
  <c r="D28" i="41" s="1"/>
  <c r="E73" i="41" s="1"/>
  <c r="F73" i="41" s="1"/>
  <c r="G73" i="41" s="1"/>
  <c r="H73" i="41" s="1"/>
  <c r="I73" i="41" s="1"/>
  <c r="J73" i="41" s="1"/>
  <c r="K73" i="41" s="1"/>
  <c r="L73" i="41" s="1"/>
  <c r="M73" i="41" s="1"/>
  <c r="N73" i="41" s="1"/>
  <c r="O73" i="41" s="1"/>
  <c r="P73" i="41" s="1"/>
  <c r="Q73" i="41" s="1"/>
  <c r="R73" i="41" s="1"/>
  <c r="S73" i="41" s="1"/>
  <c r="T73" i="41" s="1"/>
  <c r="U73" i="41" s="1"/>
  <c r="V73" i="41" s="1"/>
  <c r="W73" i="41" s="1"/>
  <c r="X73" i="41" s="1"/>
  <c r="Y73" i="41" s="1"/>
  <c r="Z73" i="41" s="1"/>
  <c r="AA73" i="41" s="1"/>
  <c r="AB73" i="41" s="1"/>
  <c r="AC73" i="41" s="1"/>
  <c r="AD73" i="41" s="1"/>
  <c r="AE73" i="41" s="1"/>
  <c r="AF73" i="41" s="1"/>
  <c r="AG73" i="41" s="1"/>
  <c r="AH73" i="41" s="1"/>
  <c r="D23" i="29"/>
  <c r="E23" i="29" s="1"/>
  <c r="F23" i="29" s="1"/>
  <c r="G23" i="29" s="1"/>
  <c r="H23" i="29" s="1"/>
  <c r="I23" i="29" s="1"/>
  <c r="J23" i="29" s="1"/>
  <c r="K23" i="29" s="1"/>
  <c r="L23" i="29" s="1"/>
  <c r="M23" i="29" s="1"/>
  <c r="N23" i="29" s="1"/>
  <c r="O23" i="29" s="1"/>
  <c r="P23" i="29" s="1"/>
  <c r="Q23" i="29" s="1"/>
  <c r="R23" i="29" s="1"/>
  <c r="S23" i="29" s="1"/>
  <c r="T23" i="29" s="1"/>
  <c r="U23" i="29" s="1"/>
  <c r="V23" i="29" s="1"/>
  <c r="W23" i="29" s="1"/>
  <c r="X23" i="29" s="1"/>
  <c r="Y23" i="29" s="1"/>
  <c r="Z23" i="29" s="1"/>
  <c r="AA23" i="29" s="1"/>
  <c r="AB23" i="29" s="1"/>
  <c r="AC23" i="29" s="1"/>
  <c r="AD23" i="29" s="1"/>
  <c r="AE23" i="29" s="1"/>
  <c r="AF23" i="29" s="1"/>
  <c r="AG23" i="29" s="1"/>
  <c r="F21" i="29"/>
  <c r="AI54" i="41"/>
  <c r="P12" i="41"/>
  <c r="D22" i="38"/>
  <c r="E94" i="33" a="1"/>
  <c r="C219" i="42"/>
  <c r="C220" i="42" s="1"/>
  <c r="C219" i="38"/>
  <c r="D23" i="38"/>
  <c r="E96" i="33" a="1"/>
  <c r="C184" i="42"/>
  <c r="C185" i="42" s="1"/>
  <c r="C184" i="38"/>
  <c r="E97" i="33" a="1"/>
  <c r="C234" i="42"/>
  <c r="C234" i="38"/>
  <c r="E93" i="33" a="1"/>
  <c r="C63" i="42"/>
  <c r="C63" i="38"/>
  <c r="E95" i="33" a="1"/>
  <c r="C129" i="42"/>
  <c r="C130" i="42" s="1"/>
  <c r="C129" i="38"/>
  <c r="D25" i="38"/>
  <c r="E24" i="38"/>
  <c r="E21" i="38"/>
  <c r="F24" i="28"/>
  <c r="D94" i="33" a="1"/>
  <c r="AG110" i="28" s="1"/>
  <c r="AG111" i="28" s="1"/>
  <c r="C110" i="28"/>
  <c r="E22" i="28"/>
  <c r="C310" i="20"/>
  <c r="H64" i="33"/>
  <c r="C79" i="33"/>
  <c r="C24" i="20" s="1"/>
  <c r="C69" i="33"/>
  <c r="C77" i="33" s="1"/>
  <c r="C23" i="20" s="1"/>
  <c r="C78" i="33"/>
  <c r="C22" i="20" s="1"/>
  <c r="C72" i="33"/>
  <c r="C80" i="33" s="1"/>
  <c r="C25" i="20" s="1"/>
  <c r="C24" i="34"/>
  <c r="F22" i="34" s="1"/>
  <c r="C16" i="34"/>
  <c r="G11" i="34" s="1"/>
  <c r="M40" i="34"/>
  <c r="G21" i="28"/>
  <c r="E23" i="28"/>
  <c r="F25" i="28"/>
  <c r="C198" i="20"/>
  <c r="C94" i="33" a="1"/>
  <c r="AG198" i="20" s="1"/>
  <c r="AG199" i="20" s="1"/>
  <c r="C32" i="34"/>
  <c r="D28" i="34" s="1"/>
  <c r="E104" i="34" s="1"/>
  <c r="F104" i="34" s="1"/>
  <c r="G104" i="34" s="1"/>
  <c r="H104" i="34" s="1"/>
  <c r="I104" i="34" s="1"/>
  <c r="J104" i="34" s="1"/>
  <c r="K104" i="34" s="1"/>
  <c r="L104" i="34" s="1"/>
  <c r="M104" i="34" s="1"/>
  <c r="N104" i="34" s="1"/>
  <c r="O104" i="34" s="1"/>
  <c r="P104" i="34" s="1"/>
  <c r="Q104" i="34" s="1"/>
  <c r="R104" i="34" s="1"/>
  <c r="S104" i="34" s="1"/>
  <c r="T104" i="34" s="1"/>
  <c r="U104" i="34" s="1"/>
  <c r="V104" i="34" s="1"/>
  <c r="W104" i="34" s="1"/>
  <c r="X104" i="34" s="1"/>
  <c r="Y104" i="34" s="1"/>
  <c r="Z104" i="34" s="1"/>
  <c r="AA104" i="34" s="1"/>
  <c r="AB104" i="34" s="1"/>
  <c r="AC104" i="34" s="1"/>
  <c r="AD104" i="34" s="1"/>
  <c r="AE104" i="34" s="1"/>
  <c r="AF104" i="34" s="1"/>
  <c r="AG104" i="34" s="1"/>
  <c r="AH104" i="34" s="1"/>
  <c r="C40" i="34"/>
  <c r="D37" i="34" s="1"/>
  <c r="E110" i="34" s="1"/>
  <c r="F110" i="34" s="1"/>
  <c r="G110" i="34" s="1"/>
  <c r="H110" i="34" s="1"/>
  <c r="I110" i="34" s="1"/>
  <c r="J110" i="34" s="1"/>
  <c r="K110" i="34" s="1"/>
  <c r="L110" i="34" s="1"/>
  <c r="M110" i="34" s="1"/>
  <c r="N110" i="34" s="1"/>
  <c r="O110" i="34" s="1"/>
  <c r="P110" i="34" s="1"/>
  <c r="Q110" i="34" s="1"/>
  <c r="R110" i="34" s="1"/>
  <c r="S110" i="34" s="1"/>
  <c r="T110" i="34" s="1"/>
  <c r="U110" i="34" s="1"/>
  <c r="V110" i="34" s="1"/>
  <c r="W110" i="34" s="1"/>
  <c r="X110" i="34" s="1"/>
  <c r="Y110" i="34" s="1"/>
  <c r="Z110" i="34" s="1"/>
  <c r="AA110" i="34" s="1"/>
  <c r="AB110" i="34" s="1"/>
  <c r="AC110" i="34" s="1"/>
  <c r="AD110" i="34" s="1"/>
  <c r="AE110" i="34" s="1"/>
  <c r="AF110" i="34" s="1"/>
  <c r="AG110" i="34" s="1"/>
  <c r="AH110" i="34" s="1"/>
  <c r="D93" i="33" a="1"/>
  <c r="AG62" i="28" s="1"/>
  <c r="C62" i="28"/>
  <c r="C95" i="33" a="1"/>
  <c r="AG122" i="20" s="1"/>
  <c r="D95" i="33" a="1"/>
  <c r="AG85" i="28" s="1"/>
  <c r="C85" i="28"/>
  <c r="O50" i="15"/>
  <c r="O53" i="15" s="1"/>
  <c r="O137" i="15" s="1"/>
  <c r="O126" i="15"/>
  <c r="L74" i="12"/>
  <c r="L219" i="12" s="1"/>
  <c r="L230" i="12" s="1"/>
  <c r="L78" i="12"/>
  <c r="L79" i="12"/>
  <c r="L75" i="12"/>
  <c r="L80" i="12"/>
  <c r="L76" i="12"/>
  <c r="L77" i="12"/>
  <c r="AF8" i="20"/>
  <c r="AF9" i="20"/>
  <c r="M74" i="14"/>
  <c r="M219" i="14" s="1"/>
  <c r="M230" i="14" s="1"/>
  <c r="M79" i="14"/>
  <c r="M77" i="14"/>
  <c r="M75" i="14"/>
  <c r="M78" i="14"/>
  <c r="M80" i="14"/>
  <c r="M76" i="14"/>
  <c r="AA10" i="20"/>
  <c r="Z12" i="20"/>
  <c r="AA11" i="20"/>
  <c r="O72" i="12"/>
  <c r="Q33" i="11"/>
  <c r="P34" i="11"/>
  <c r="P35" i="11" s="1"/>
  <c r="P36" i="11" s="1"/>
  <c r="M73" i="12"/>
  <c r="O29" i="13"/>
  <c r="O30" i="13" s="1"/>
  <c r="P28" i="13"/>
  <c r="N32" i="13"/>
  <c r="N73" i="14" s="1"/>
  <c r="N31" i="13"/>
  <c r="N33" i="13" s="1"/>
  <c r="N64" i="36" s="1"/>
  <c r="AE7" i="20"/>
  <c r="BH69" i="36" l="1"/>
  <c r="P39" i="11"/>
  <c r="P37" i="11"/>
  <c r="P40" i="11"/>
  <c r="P66" i="45" s="1"/>
  <c r="AV66" i="45" s="1"/>
  <c r="P38" i="11"/>
  <c r="AP4" i="51"/>
  <c r="AP57" i="58" s="1"/>
  <c r="CF57" i="58" s="1"/>
  <c r="CF58" i="58" s="1"/>
  <c r="J57" i="58"/>
  <c r="K95" i="55"/>
  <c r="AP95" i="55"/>
  <c r="DB95" i="55" s="1"/>
  <c r="K96" i="55"/>
  <c r="AP96" i="55"/>
  <c r="DB96" i="55" s="1"/>
  <c r="O61" i="45"/>
  <c r="AU61" i="45" s="1"/>
  <c r="AU63" i="45" s="1"/>
  <c r="O64" i="45"/>
  <c r="AU64" i="45" s="1"/>
  <c r="G5" i="41"/>
  <c r="E44" i="41" s="1"/>
  <c r="F44" i="41" s="1"/>
  <c r="G44" i="41" s="1"/>
  <c r="H44" i="41" s="1"/>
  <c r="I44" i="41" s="1"/>
  <c r="J44" i="41" s="1"/>
  <c r="K44" i="41" s="1"/>
  <c r="L44" i="41" s="1"/>
  <c r="M44" i="41" s="1"/>
  <c r="N44" i="41" s="1"/>
  <c r="O44" i="41" s="1"/>
  <c r="P44" i="41" s="1"/>
  <c r="Q44" i="41" s="1"/>
  <c r="R44" i="41" s="1"/>
  <c r="S44" i="41" s="1"/>
  <c r="T44" i="41" s="1"/>
  <c r="U44" i="41" s="1"/>
  <c r="V44" i="41" s="1"/>
  <c r="W44" i="41" s="1"/>
  <c r="X44" i="41" s="1"/>
  <c r="Y44" i="41" s="1"/>
  <c r="Z44" i="41" s="1"/>
  <c r="AA44" i="41" s="1"/>
  <c r="AB44" i="41" s="1"/>
  <c r="AC44" i="41" s="1"/>
  <c r="AD44" i="41" s="1"/>
  <c r="AE44" i="41" s="1"/>
  <c r="AF44" i="41" s="1"/>
  <c r="AG44" i="41" s="1"/>
  <c r="AH44" i="41" s="1"/>
  <c r="G3" i="41"/>
  <c r="E42" i="41" s="1"/>
  <c r="F42" i="41" s="1"/>
  <c r="G42" i="41" s="1"/>
  <c r="H42" i="41" s="1"/>
  <c r="I42" i="41" s="1"/>
  <c r="J42" i="41" s="1"/>
  <c r="K42" i="41" s="1"/>
  <c r="L42" i="41" s="1"/>
  <c r="M42" i="41" s="1"/>
  <c r="N42" i="41" s="1"/>
  <c r="O42" i="41" s="1"/>
  <c r="P42" i="41" s="1"/>
  <c r="Q42" i="41" s="1"/>
  <c r="R42" i="41" s="1"/>
  <c r="S42" i="41" s="1"/>
  <c r="T42" i="41" s="1"/>
  <c r="U42" i="41" s="1"/>
  <c r="V42" i="41" s="1"/>
  <c r="W42" i="41" s="1"/>
  <c r="X42" i="41" s="1"/>
  <c r="Y42" i="41" s="1"/>
  <c r="Z42" i="41" s="1"/>
  <c r="AA42" i="41" s="1"/>
  <c r="AB42" i="41" s="1"/>
  <c r="AC42" i="41" s="1"/>
  <c r="AD42" i="41" s="1"/>
  <c r="AE42" i="41" s="1"/>
  <c r="AF42" i="41" s="1"/>
  <c r="AG42" i="41" s="1"/>
  <c r="AH42" i="41" s="1"/>
  <c r="D3" i="41"/>
  <c r="E33" i="41" s="1"/>
  <c r="F33" i="41" s="1"/>
  <c r="G33" i="41" s="1"/>
  <c r="H33" i="41" s="1"/>
  <c r="I33" i="41" s="1"/>
  <c r="J33" i="41" s="1"/>
  <c r="K33" i="41" s="1"/>
  <c r="L33" i="41" s="1"/>
  <c r="M33" i="41" s="1"/>
  <c r="N33" i="41" s="1"/>
  <c r="O33" i="41" s="1"/>
  <c r="P33" i="41" s="1"/>
  <c r="Q33" i="41" s="1"/>
  <c r="R33" i="41" s="1"/>
  <c r="S33" i="41" s="1"/>
  <c r="T33" i="41" s="1"/>
  <c r="U33" i="41" s="1"/>
  <c r="V33" i="41" s="1"/>
  <c r="W33" i="41" s="1"/>
  <c r="X33" i="41" s="1"/>
  <c r="Y33" i="41" s="1"/>
  <c r="Z33" i="41" s="1"/>
  <c r="AA33" i="41" s="1"/>
  <c r="AB33" i="41" s="1"/>
  <c r="AC33" i="41" s="1"/>
  <c r="AD33" i="41" s="1"/>
  <c r="AE33" i="41" s="1"/>
  <c r="AF33" i="41" s="1"/>
  <c r="AG33" i="41" s="1"/>
  <c r="AH33" i="41" s="1"/>
  <c r="D5" i="41"/>
  <c r="E35" i="41" s="1"/>
  <c r="F35" i="41" s="1"/>
  <c r="G35" i="41" s="1"/>
  <c r="H35" i="41" s="1"/>
  <c r="I35" i="41" s="1"/>
  <c r="J35" i="41" s="1"/>
  <c r="K35" i="41" s="1"/>
  <c r="L35" i="41" s="1"/>
  <c r="M35" i="41" s="1"/>
  <c r="N35" i="41" s="1"/>
  <c r="O35" i="41" s="1"/>
  <c r="P35" i="41" s="1"/>
  <c r="Q35" i="41" s="1"/>
  <c r="R35" i="41" s="1"/>
  <c r="S35" i="41" s="1"/>
  <c r="T35" i="41" s="1"/>
  <c r="U35" i="41" s="1"/>
  <c r="V35" i="41" s="1"/>
  <c r="W35" i="41" s="1"/>
  <c r="X35" i="41" s="1"/>
  <c r="Y35" i="41" s="1"/>
  <c r="Z35" i="41" s="1"/>
  <c r="AA35" i="41" s="1"/>
  <c r="AB35" i="41" s="1"/>
  <c r="AC35" i="41" s="1"/>
  <c r="AD35" i="41" s="1"/>
  <c r="AE35" i="41" s="1"/>
  <c r="AF35" i="41" s="1"/>
  <c r="AG35" i="41" s="1"/>
  <c r="AH35" i="41" s="1"/>
  <c r="E22" i="54"/>
  <c r="D4" i="41"/>
  <c r="E34" i="41" s="1"/>
  <c r="F34" i="41" s="1"/>
  <c r="G34" i="41" s="1"/>
  <c r="H34" i="41" s="1"/>
  <c r="I34" i="41" s="1"/>
  <c r="J34" i="41" s="1"/>
  <c r="K34" i="41" s="1"/>
  <c r="L34" i="41" s="1"/>
  <c r="M34" i="41" s="1"/>
  <c r="N34" i="41" s="1"/>
  <c r="O34" i="41" s="1"/>
  <c r="P34" i="41" s="1"/>
  <c r="Q34" i="41" s="1"/>
  <c r="R34" i="41" s="1"/>
  <c r="S34" i="41" s="1"/>
  <c r="T34" i="41" s="1"/>
  <c r="U34" i="41" s="1"/>
  <c r="V34" i="41" s="1"/>
  <c r="W34" i="41" s="1"/>
  <c r="X34" i="41" s="1"/>
  <c r="Y34" i="41" s="1"/>
  <c r="Z34" i="41" s="1"/>
  <c r="AA34" i="41" s="1"/>
  <c r="AB34" i="41" s="1"/>
  <c r="AC34" i="41" s="1"/>
  <c r="AD34" i="41" s="1"/>
  <c r="AE34" i="41" s="1"/>
  <c r="AF34" i="41" s="1"/>
  <c r="AG34" i="41" s="1"/>
  <c r="AH34" i="41" s="1"/>
  <c r="E4" i="41"/>
  <c r="E37" i="41" s="1"/>
  <c r="F37" i="41" s="1"/>
  <c r="G37" i="41" s="1"/>
  <c r="H37" i="41" s="1"/>
  <c r="I37" i="41" s="1"/>
  <c r="J37" i="41" s="1"/>
  <c r="K37" i="41" s="1"/>
  <c r="L37" i="41" s="1"/>
  <c r="M37" i="41" s="1"/>
  <c r="N37" i="41" s="1"/>
  <c r="O37" i="41" s="1"/>
  <c r="P37" i="41" s="1"/>
  <c r="Q37" i="41" s="1"/>
  <c r="R37" i="41" s="1"/>
  <c r="S37" i="41" s="1"/>
  <c r="T37" i="41" s="1"/>
  <c r="U37" i="41" s="1"/>
  <c r="V37" i="41" s="1"/>
  <c r="W37" i="41" s="1"/>
  <c r="X37" i="41" s="1"/>
  <c r="Y37" i="41" s="1"/>
  <c r="Z37" i="41" s="1"/>
  <c r="AA37" i="41" s="1"/>
  <c r="AB37" i="41" s="1"/>
  <c r="AC37" i="41" s="1"/>
  <c r="AD37" i="41" s="1"/>
  <c r="AE37" i="41" s="1"/>
  <c r="AF37" i="41" s="1"/>
  <c r="AG37" i="41" s="1"/>
  <c r="AH37" i="41" s="1"/>
  <c r="E3" i="41"/>
  <c r="F16" i="41"/>
  <c r="E67" i="41" s="1"/>
  <c r="F67" i="41" s="1"/>
  <c r="G67" i="41" s="1"/>
  <c r="H67" i="41" s="1"/>
  <c r="I67" i="41" s="1"/>
  <c r="J67" i="41" s="1"/>
  <c r="K67" i="41" s="1"/>
  <c r="L67" i="41" s="1"/>
  <c r="M67" i="41" s="1"/>
  <c r="N67" i="41" s="1"/>
  <c r="O67" i="41" s="1"/>
  <c r="P67" i="41" s="1"/>
  <c r="Q67" i="41" s="1"/>
  <c r="R67" i="41" s="1"/>
  <c r="S67" i="41" s="1"/>
  <c r="T67" i="41" s="1"/>
  <c r="U67" i="41" s="1"/>
  <c r="V67" i="41" s="1"/>
  <c r="W67" i="41" s="1"/>
  <c r="X67" i="41" s="1"/>
  <c r="Y67" i="41" s="1"/>
  <c r="Z67" i="41" s="1"/>
  <c r="AA67" i="41" s="1"/>
  <c r="AB67" i="41" s="1"/>
  <c r="AC67" i="41" s="1"/>
  <c r="AD67" i="41" s="1"/>
  <c r="AE67" i="41" s="1"/>
  <c r="AF67" i="41" s="1"/>
  <c r="AG67" i="41" s="1"/>
  <c r="AH67" i="41" s="1"/>
  <c r="G10" i="41"/>
  <c r="E58" i="41" s="1"/>
  <c r="F58" i="41" s="1"/>
  <c r="G58" i="41" s="1"/>
  <c r="H58" i="41" s="1"/>
  <c r="I58" i="41" s="1"/>
  <c r="J58" i="41" s="1"/>
  <c r="K58" i="41" s="1"/>
  <c r="L58" i="41" s="1"/>
  <c r="M58" i="41" s="1"/>
  <c r="N58" i="41" s="1"/>
  <c r="O58" i="41" s="1"/>
  <c r="P58" i="41" s="1"/>
  <c r="Q58" i="41" s="1"/>
  <c r="R58" i="41" s="1"/>
  <c r="S58" i="41" s="1"/>
  <c r="T58" i="41" s="1"/>
  <c r="U58" i="41" s="1"/>
  <c r="V58" i="41" s="1"/>
  <c r="W58" i="41" s="1"/>
  <c r="X58" i="41" s="1"/>
  <c r="Y58" i="41" s="1"/>
  <c r="Z58" i="41" s="1"/>
  <c r="AA58" i="41" s="1"/>
  <c r="AB58" i="41" s="1"/>
  <c r="AC58" i="41" s="1"/>
  <c r="AD58" i="41" s="1"/>
  <c r="AE58" i="41" s="1"/>
  <c r="AF58" i="41" s="1"/>
  <c r="AG58" i="41" s="1"/>
  <c r="AH58" i="41" s="1"/>
  <c r="E23" i="54"/>
  <c r="F24" i="54"/>
  <c r="E21" i="54"/>
  <c r="G4" i="41"/>
  <c r="E43" i="41" s="1"/>
  <c r="F43" i="41" s="1"/>
  <c r="G43" i="41" s="1"/>
  <c r="H43" i="41" s="1"/>
  <c r="I43" i="41" s="1"/>
  <c r="J43" i="41" s="1"/>
  <c r="K43" i="41" s="1"/>
  <c r="L43" i="41" s="1"/>
  <c r="M43" i="41" s="1"/>
  <c r="N43" i="41" s="1"/>
  <c r="O43" i="41" s="1"/>
  <c r="P43" i="41" s="1"/>
  <c r="Q43" i="41" s="1"/>
  <c r="R43" i="41" s="1"/>
  <c r="S43" i="41" s="1"/>
  <c r="T43" i="41" s="1"/>
  <c r="U43" i="41" s="1"/>
  <c r="V43" i="41" s="1"/>
  <c r="W43" i="41" s="1"/>
  <c r="X43" i="41" s="1"/>
  <c r="Y43" i="41" s="1"/>
  <c r="Z43" i="41" s="1"/>
  <c r="AA43" i="41" s="1"/>
  <c r="AB43" i="41" s="1"/>
  <c r="AC43" i="41" s="1"/>
  <c r="AD43" i="41" s="1"/>
  <c r="AE43" i="41" s="1"/>
  <c r="AF43" i="41" s="1"/>
  <c r="AG43" i="41" s="1"/>
  <c r="AH43" i="41" s="1"/>
  <c r="H5" i="41"/>
  <c r="E47" i="41" s="1"/>
  <c r="F47" i="41" s="1"/>
  <c r="G47" i="41" s="1"/>
  <c r="H47" i="41" s="1"/>
  <c r="I47" i="41" s="1"/>
  <c r="J47" i="41" s="1"/>
  <c r="K47" i="41" s="1"/>
  <c r="L47" i="41" s="1"/>
  <c r="M47" i="41" s="1"/>
  <c r="N47" i="41" s="1"/>
  <c r="O47" i="41" s="1"/>
  <c r="P47" i="41" s="1"/>
  <c r="Q47" i="41" s="1"/>
  <c r="R47" i="41" s="1"/>
  <c r="S47" i="41" s="1"/>
  <c r="T47" i="41" s="1"/>
  <c r="U47" i="41" s="1"/>
  <c r="V47" i="41" s="1"/>
  <c r="W47" i="41" s="1"/>
  <c r="X47" i="41" s="1"/>
  <c r="Y47" i="41" s="1"/>
  <c r="Z47" i="41" s="1"/>
  <c r="AA47" i="41" s="1"/>
  <c r="AB47" i="41" s="1"/>
  <c r="AC47" i="41" s="1"/>
  <c r="AD47" i="41" s="1"/>
  <c r="AE47" i="41" s="1"/>
  <c r="AF47" i="41" s="1"/>
  <c r="AG47" i="41" s="1"/>
  <c r="AH47" i="41" s="1"/>
  <c r="F4" i="41"/>
  <c r="E40" i="41" s="1"/>
  <c r="F40" i="41" s="1"/>
  <c r="G40" i="41" s="1"/>
  <c r="H40" i="41" s="1"/>
  <c r="I40" i="41" s="1"/>
  <c r="J40" i="41" s="1"/>
  <c r="K40" i="41" s="1"/>
  <c r="L40" i="41" s="1"/>
  <c r="M40" i="41" s="1"/>
  <c r="N40" i="41" s="1"/>
  <c r="O40" i="41" s="1"/>
  <c r="P40" i="41" s="1"/>
  <c r="Q40" i="41" s="1"/>
  <c r="R40" i="41" s="1"/>
  <c r="S40" i="41" s="1"/>
  <c r="T40" i="41" s="1"/>
  <c r="U40" i="41" s="1"/>
  <c r="V40" i="41" s="1"/>
  <c r="W40" i="41" s="1"/>
  <c r="X40" i="41" s="1"/>
  <c r="Y40" i="41" s="1"/>
  <c r="Z40" i="41" s="1"/>
  <c r="AA40" i="41" s="1"/>
  <c r="AB40" i="41" s="1"/>
  <c r="AC40" i="41" s="1"/>
  <c r="AD40" i="41" s="1"/>
  <c r="AE40" i="41" s="1"/>
  <c r="AF40" i="41" s="1"/>
  <c r="AG40" i="41" s="1"/>
  <c r="AH40" i="41" s="1"/>
  <c r="E5" i="41"/>
  <c r="E38" i="41" s="1"/>
  <c r="F38" i="41" s="1"/>
  <c r="G38" i="41" s="1"/>
  <c r="H38" i="41" s="1"/>
  <c r="I38" i="41" s="1"/>
  <c r="J38" i="41" s="1"/>
  <c r="K38" i="41" s="1"/>
  <c r="L38" i="41" s="1"/>
  <c r="M38" i="41" s="1"/>
  <c r="N38" i="41" s="1"/>
  <c r="O38" i="41" s="1"/>
  <c r="P38" i="41" s="1"/>
  <c r="Q38" i="41" s="1"/>
  <c r="R38" i="41" s="1"/>
  <c r="S38" i="41" s="1"/>
  <c r="T38" i="41" s="1"/>
  <c r="U38" i="41" s="1"/>
  <c r="V38" i="41" s="1"/>
  <c r="W38" i="41" s="1"/>
  <c r="X38" i="41" s="1"/>
  <c r="Y38" i="41" s="1"/>
  <c r="Z38" i="41" s="1"/>
  <c r="AA38" i="41" s="1"/>
  <c r="AB38" i="41" s="1"/>
  <c r="AC38" i="41" s="1"/>
  <c r="AD38" i="41" s="1"/>
  <c r="AE38" i="41" s="1"/>
  <c r="AF38" i="41" s="1"/>
  <c r="AG38" i="41" s="1"/>
  <c r="AH38" i="41" s="1"/>
  <c r="E9" i="41"/>
  <c r="E51" i="41" s="1"/>
  <c r="D15" i="41"/>
  <c r="E60" i="41" s="1"/>
  <c r="F60" i="41" s="1"/>
  <c r="G60" i="41" s="1"/>
  <c r="H60" i="41" s="1"/>
  <c r="I60" i="41" s="1"/>
  <c r="J60" i="41" s="1"/>
  <c r="K60" i="41" s="1"/>
  <c r="L60" i="41" s="1"/>
  <c r="M60" i="41" s="1"/>
  <c r="N60" i="41" s="1"/>
  <c r="O60" i="41" s="1"/>
  <c r="P60" i="41" s="1"/>
  <c r="Q60" i="41" s="1"/>
  <c r="R60" i="41" s="1"/>
  <c r="S60" i="41" s="1"/>
  <c r="T60" i="41" s="1"/>
  <c r="U60" i="41" s="1"/>
  <c r="V60" i="41" s="1"/>
  <c r="W60" i="41" s="1"/>
  <c r="X60" i="41" s="1"/>
  <c r="Y60" i="41" s="1"/>
  <c r="Z60" i="41" s="1"/>
  <c r="AA60" i="41" s="1"/>
  <c r="AB60" i="41" s="1"/>
  <c r="AC60" i="41" s="1"/>
  <c r="AD60" i="41" s="1"/>
  <c r="AE60" i="41" s="1"/>
  <c r="AF60" i="41" s="1"/>
  <c r="AG60" i="41" s="1"/>
  <c r="AH60" i="41" s="1"/>
  <c r="D33" i="47"/>
  <c r="E92" i="47" s="1"/>
  <c r="F92" i="47" s="1"/>
  <c r="G92" i="47" s="1"/>
  <c r="H92" i="47" s="1"/>
  <c r="I92" i="47" s="1"/>
  <c r="J92" i="47" s="1"/>
  <c r="K92" i="47" s="1"/>
  <c r="L92" i="47" s="1"/>
  <c r="M92" i="47" s="1"/>
  <c r="N92" i="47" s="1"/>
  <c r="O92" i="47" s="1"/>
  <c r="P92" i="47" s="1"/>
  <c r="Q92" i="47" s="1"/>
  <c r="R92" i="47" s="1"/>
  <c r="S92" i="47" s="1"/>
  <c r="T92" i="47" s="1"/>
  <c r="U92" i="47" s="1"/>
  <c r="V92" i="47" s="1"/>
  <c r="W92" i="47" s="1"/>
  <c r="X92" i="47" s="1"/>
  <c r="Y92" i="47" s="1"/>
  <c r="Z92" i="47" s="1"/>
  <c r="AA92" i="47" s="1"/>
  <c r="AB92" i="47" s="1"/>
  <c r="AC92" i="47" s="1"/>
  <c r="AD92" i="47" s="1"/>
  <c r="AE92" i="47" s="1"/>
  <c r="AF92" i="47" s="1"/>
  <c r="AG92" i="47" s="1"/>
  <c r="AH92" i="47" s="1"/>
  <c r="E25" i="54"/>
  <c r="H4" i="41"/>
  <c r="E46" i="41" s="1"/>
  <c r="F46" i="41" s="1"/>
  <c r="G46" i="41" s="1"/>
  <c r="H46" i="41" s="1"/>
  <c r="I46" i="41" s="1"/>
  <c r="J46" i="41" s="1"/>
  <c r="K46" i="41" s="1"/>
  <c r="L46" i="41" s="1"/>
  <c r="M46" i="41" s="1"/>
  <c r="N46" i="41" s="1"/>
  <c r="O46" i="41" s="1"/>
  <c r="P46" i="41" s="1"/>
  <c r="Q46" i="41" s="1"/>
  <c r="R46" i="41" s="1"/>
  <c r="S46" i="41" s="1"/>
  <c r="T46" i="41" s="1"/>
  <c r="U46" i="41" s="1"/>
  <c r="V46" i="41" s="1"/>
  <c r="W46" i="41" s="1"/>
  <c r="X46" i="41" s="1"/>
  <c r="Y46" i="41" s="1"/>
  <c r="Z46" i="41" s="1"/>
  <c r="AA46" i="41" s="1"/>
  <c r="AB46" i="41" s="1"/>
  <c r="AC46" i="41" s="1"/>
  <c r="AD46" i="41" s="1"/>
  <c r="AE46" i="41" s="1"/>
  <c r="AF46" i="41" s="1"/>
  <c r="AG46" i="41" s="1"/>
  <c r="AH46" i="41" s="1"/>
  <c r="F5" i="41"/>
  <c r="E41" i="41" s="1"/>
  <c r="F41" i="41" s="1"/>
  <c r="G41" i="41" s="1"/>
  <c r="H41" i="41" s="1"/>
  <c r="I41" i="41" s="1"/>
  <c r="J41" i="41" s="1"/>
  <c r="K41" i="41" s="1"/>
  <c r="L41" i="41" s="1"/>
  <c r="M41" i="41" s="1"/>
  <c r="N41" i="41" s="1"/>
  <c r="O41" i="41" s="1"/>
  <c r="P41" i="41" s="1"/>
  <c r="Q41" i="41" s="1"/>
  <c r="R41" i="41" s="1"/>
  <c r="S41" i="41" s="1"/>
  <c r="T41" i="41" s="1"/>
  <c r="U41" i="41" s="1"/>
  <c r="V41" i="41" s="1"/>
  <c r="W41" i="41" s="1"/>
  <c r="X41" i="41" s="1"/>
  <c r="Y41" i="41" s="1"/>
  <c r="Z41" i="41" s="1"/>
  <c r="AA41" i="41" s="1"/>
  <c r="AB41" i="41" s="1"/>
  <c r="AC41" i="41" s="1"/>
  <c r="AD41" i="41" s="1"/>
  <c r="AE41" i="41" s="1"/>
  <c r="AF41" i="41" s="1"/>
  <c r="AG41" i="41" s="1"/>
  <c r="AH41" i="41" s="1"/>
  <c r="F17" i="41"/>
  <c r="E68" i="41" s="1"/>
  <c r="F68" i="41" s="1"/>
  <c r="G68" i="41" s="1"/>
  <c r="H68" i="41" s="1"/>
  <c r="I68" i="41" s="1"/>
  <c r="J68" i="41" s="1"/>
  <c r="K68" i="41" s="1"/>
  <c r="L68" i="41" s="1"/>
  <c r="M68" i="41" s="1"/>
  <c r="N68" i="41" s="1"/>
  <c r="O68" i="41" s="1"/>
  <c r="P68" i="41" s="1"/>
  <c r="Q68" i="41" s="1"/>
  <c r="R68" i="41" s="1"/>
  <c r="S68" i="41" s="1"/>
  <c r="T68" i="41" s="1"/>
  <c r="U68" i="41" s="1"/>
  <c r="V68" i="41" s="1"/>
  <c r="W68" i="41" s="1"/>
  <c r="X68" i="41" s="1"/>
  <c r="Y68" i="41" s="1"/>
  <c r="Z68" i="41" s="1"/>
  <c r="AA68" i="41" s="1"/>
  <c r="AB68" i="41" s="1"/>
  <c r="AC68" i="41" s="1"/>
  <c r="AD68" i="41" s="1"/>
  <c r="AE68" i="41" s="1"/>
  <c r="AF68" i="41" s="1"/>
  <c r="AG68" i="41" s="1"/>
  <c r="AH68" i="41" s="1"/>
  <c r="D32" i="47"/>
  <c r="E91" i="47" s="1"/>
  <c r="F91" i="47" s="1"/>
  <c r="G91" i="47" s="1"/>
  <c r="H91" i="47" s="1"/>
  <c r="I91" i="47" s="1"/>
  <c r="J91" i="47" s="1"/>
  <c r="K91" i="47" s="1"/>
  <c r="L91" i="47" s="1"/>
  <c r="M91" i="47" s="1"/>
  <c r="N91" i="47" s="1"/>
  <c r="O91" i="47" s="1"/>
  <c r="P91" i="47" s="1"/>
  <c r="Q91" i="47" s="1"/>
  <c r="R91" i="47" s="1"/>
  <c r="S91" i="47" s="1"/>
  <c r="T91" i="47" s="1"/>
  <c r="U91" i="47" s="1"/>
  <c r="V91" i="47" s="1"/>
  <c r="W91" i="47" s="1"/>
  <c r="X91" i="47" s="1"/>
  <c r="Y91" i="47" s="1"/>
  <c r="Z91" i="47" s="1"/>
  <c r="AA91" i="47" s="1"/>
  <c r="AB91" i="47" s="1"/>
  <c r="AC91" i="47" s="1"/>
  <c r="AD91" i="47" s="1"/>
  <c r="AE91" i="47" s="1"/>
  <c r="AF91" i="47" s="1"/>
  <c r="AG91" i="47" s="1"/>
  <c r="AH91" i="47" s="1"/>
  <c r="W5" i="50"/>
  <c r="K4" i="51"/>
  <c r="AG63" i="53"/>
  <c r="AG65" i="53" s="1"/>
  <c r="AG63" i="54"/>
  <c r="AG130" i="53"/>
  <c r="AG130" i="54"/>
  <c r="D130" i="54" s="1"/>
  <c r="E130" i="54" s="1"/>
  <c r="F130" i="54" s="1"/>
  <c r="G130" i="54" s="1"/>
  <c r="H130" i="54" s="1"/>
  <c r="I130" i="54" s="1"/>
  <c r="J130" i="54" s="1"/>
  <c r="K130" i="54" s="1"/>
  <c r="L130" i="54" s="1"/>
  <c r="M130" i="54" s="1"/>
  <c r="N130" i="54" s="1"/>
  <c r="O130" i="54" s="1"/>
  <c r="P130" i="54" s="1"/>
  <c r="Q130" i="54" s="1"/>
  <c r="R130" i="54" s="1"/>
  <c r="S130" i="54" s="1"/>
  <c r="T130" i="54" s="1"/>
  <c r="U130" i="54" s="1"/>
  <c r="V130" i="54" s="1"/>
  <c r="W130" i="54" s="1"/>
  <c r="X130" i="54" s="1"/>
  <c r="Y130" i="54" s="1"/>
  <c r="Z130" i="54" s="1"/>
  <c r="AA130" i="54" s="1"/>
  <c r="AB130" i="54" s="1"/>
  <c r="AC130" i="54" s="1"/>
  <c r="AD130" i="54" s="1"/>
  <c r="AE130" i="54" s="1"/>
  <c r="AF130" i="54" s="1"/>
  <c r="AG156" i="53"/>
  <c r="AG157" i="53" s="1"/>
  <c r="AG156" i="54"/>
  <c r="AG157" i="54" s="1"/>
  <c r="I51" i="45"/>
  <c r="I92" i="45" s="1"/>
  <c r="C132" i="54"/>
  <c r="C131" i="54"/>
  <c r="AG260" i="48"/>
  <c r="AG261" i="48" s="1"/>
  <c r="C64" i="54"/>
  <c r="C70" i="54"/>
  <c r="C65" i="54"/>
  <c r="C67" i="54"/>
  <c r="C68" i="54"/>
  <c r="C69" i="54"/>
  <c r="C76" i="54" s="1"/>
  <c r="C77" i="54" s="1"/>
  <c r="D63" i="54"/>
  <c r="J71" i="33"/>
  <c r="J70" i="33"/>
  <c r="J68" i="33"/>
  <c r="C157" i="54"/>
  <c r="AG243" i="48"/>
  <c r="AG244" i="48" s="1"/>
  <c r="AG202" i="48"/>
  <c r="C67" i="46"/>
  <c r="G13" i="47"/>
  <c r="E73" i="47" s="1"/>
  <c r="G10" i="47"/>
  <c r="E70" i="47" s="1"/>
  <c r="AG139" i="46"/>
  <c r="AG204" i="46" s="1"/>
  <c r="E17" i="47"/>
  <c r="E78" i="47" s="1"/>
  <c r="AG243" i="46"/>
  <c r="AG244" i="46" s="1"/>
  <c r="AG202" i="46"/>
  <c r="D202" i="46" s="1"/>
  <c r="E202" i="46" s="1"/>
  <c r="F202" i="46" s="1"/>
  <c r="G202" i="46" s="1"/>
  <c r="H202" i="46" s="1"/>
  <c r="I202" i="46" s="1"/>
  <c r="J202" i="46" s="1"/>
  <c r="K202" i="46" s="1"/>
  <c r="L202" i="46" s="1"/>
  <c r="M202" i="46" s="1"/>
  <c r="N202" i="46" s="1"/>
  <c r="O202" i="46" s="1"/>
  <c r="P202" i="46" s="1"/>
  <c r="Q202" i="46" s="1"/>
  <c r="R202" i="46" s="1"/>
  <c r="S202" i="46" s="1"/>
  <c r="T202" i="46" s="1"/>
  <c r="U202" i="46" s="1"/>
  <c r="V202" i="46" s="1"/>
  <c r="W202" i="46" s="1"/>
  <c r="X202" i="46" s="1"/>
  <c r="Y202" i="46" s="1"/>
  <c r="Z202" i="46" s="1"/>
  <c r="AA202" i="46" s="1"/>
  <c r="AB202" i="46" s="1"/>
  <c r="AC202" i="46" s="1"/>
  <c r="AD202" i="46" s="1"/>
  <c r="AE202" i="46" s="1"/>
  <c r="AF202" i="46" s="1"/>
  <c r="AG260" i="46"/>
  <c r="AG261" i="46" s="1"/>
  <c r="D25" i="47"/>
  <c r="E87" i="47" s="1"/>
  <c r="F87" i="47" s="1"/>
  <c r="G87" i="47" s="1"/>
  <c r="H87" i="47" s="1"/>
  <c r="I87" i="47" s="1"/>
  <c r="J87" i="47" s="1"/>
  <c r="K87" i="47" s="1"/>
  <c r="L87" i="47" s="1"/>
  <c r="M87" i="47" s="1"/>
  <c r="N87" i="47" s="1"/>
  <c r="O87" i="47" s="1"/>
  <c r="P87" i="47" s="1"/>
  <c r="Q87" i="47" s="1"/>
  <c r="R87" i="47" s="1"/>
  <c r="S87" i="47" s="1"/>
  <c r="T87" i="47" s="1"/>
  <c r="U87" i="47" s="1"/>
  <c r="V87" i="47" s="1"/>
  <c r="W87" i="47" s="1"/>
  <c r="X87" i="47" s="1"/>
  <c r="Y87" i="47" s="1"/>
  <c r="Z87" i="47" s="1"/>
  <c r="AA87" i="47" s="1"/>
  <c r="AB87" i="47" s="1"/>
  <c r="AC87" i="47" s="1"/>
  <c r="AD87" i="47" s="1"/>
  <c r="AE87" i="47" s="1"/>
  <c r="AF87" i="47" s="1"/>
  <c r="AG87" i="47" s="1"/>
  <c r="AH87" i="47" s="1"/>
  <c r="D26" i="47"/>
  <c r="E88" i="47" s="1"/>
  <c r="F88" i="47" s="1"/>
  <c r="G88" i="47" s="1"/>
  <c r="H88" i="47" s="1"/>
  <c r="I88" i="47" s="1"/>
  <c r="J88" i="47" s="1"/>
  <c r="K88" i="47" s="1"/>
  <c r="L88" i="47" s="1"/>
  <c r="M88" i="47" s="1"/>
  <c r="N88" i="47" s="1"/>
  <c r="O88" i="47" s="1"/>
  <c r="P88" i="47" s="1"/>
  <c r="Q88" i="47" s="1"/>
  <c r="R88" i="47" s="1"/>
  <c r="S88" i="47" s="1"/>
  <c r="T88" i="47" s="1"/>
  <c r="U88" i="47" s="1"/>
  <c r="V88" i="47" s="1"/>
  <c r="W88" i="47" s="1"/>
  <c r="X88" i="47" s="1"/>
  <c r="Y88" i="47" s="1"/>
  <c r="Z88" i="47" s="1"/>
  <c r="AA88" i="47" s="1"/>
  <c r="AB88" i="47" s="1"/>
  <c r="AC88" i="47" s="1"/>
  <c r="AD88" i="47" s="1"/>
  <c r="AE88" i="47" s="1"/>
  <c r="AF88" i="47" s="1"/>
  <c r="AG88" i="47" s="1"/>
  <c r="AH88" i="47" s="1"/>
  <c r="D10" i="47"/>
  <c r="D130" i="53"/>
  <c r="E130" i="53" s="1"/>
  <c r="F130" i="53" s="1"/>
  <c r="G130" i="53" s="1"/>
  <c r="H130" i="53" s="1"/>
  <c r="I130" i="53" s="1"/>
  <c r="J130" i="53" s="1"/>
  <c r="K130" i="53" s="1"/>
  <c r="L130" i="53" s="1"/>
  <c r="M130" i="53" s="1"/>
  <c r="N130" i="53" s="1"/>
  <c r="O130" i="53" s="1"/>
  <c r="P130" i="53" s="1"/>
  <c r="Q130" i="53" s="1"/>
  <c r="R130" i="53" s="1"/>
  <c r="S130" i="53" s="1"/>
  <c r="T130" i="53" s="1"/>
  <c r="U130" i="53" s="1"/>
  <c r="V130" i="53" s="1"/>
  <c r="W130" i="53" s="1"/>
  <c r="X130" i="53" s="1"/>
  <c r="Y130" i="53" s="1"/>
  <c r="Z130" i="53" s="1"/>
  <c r="AA130" i="53" s="1"/>
  <c r="AB130" i="53" s="1"/>
  <c r="AC130" i="53" s="1"/>
  <c r="AD130" i="53" s="1"/>
  <c r="AE130" i="53" s="1"/>
  <c r="AF130" i="53" s="1"/>
  <c r="C131" i="53"/>
  <c r="C132" i="53"/>
  <c r="C148" i="53"/>
  <c r="D147" i="53"/>
  <c r="F20" i="47"/>
  <c r="E85" i="47" s="1"/>
  <c r="F85" i="47" s="1"/>
  <c r="G85" i="47" s="1"/>
  <c r="H85" i="47" s="1"/>
  <c r="I85" i="47" s="1"/>
  <c r="J85" i="47" s="1"/>
  <c r="K85" i="47" s="1"/>
  <c r="L85" i="47" s="1"/>
  <c r="M85" i="47" s="1"/>
  <c r="N85" i="47" s="1"/>
  <c r="O85" i="47" s="1"/>
  <c r="P85" i="47" s="1"/>
  <c r="Q85" i="47" s="1"/>
  <c r="R85" i="47" s="1"/>
  <c r="S85" i="47" s="1"/>
  <c r="T85" i="47" s="1"/>
  <c r="U85" i="47" s="1"/>
  <c r="V85" i="47" s="1"/>
  <c r="W85" i="47" s="1"/>
  <c r="X85" i="47" s="1"/>
  <c r="Y85" i="47" s="1"/>
  <c r="Z85" i="47" s="1"/>
  <c r="AA85" i="47" s="1"/>
  <c r="AB85" i="47" s="1"/>
  <c r="AC85" i="47" s="1"/>
  <c r="AD85" i="47" s="1"/>
  <c r="AE85" i="47" s="1"/>
  <c r="AF85" i="47" s="1"/>
  <c r="AG85" i="47" s="1"/>
  <c r="AH85" i="47" s="1"/>
  <c r="C157" i="53"/>
  <c r="E13" i="47"/>
  <c r="E65" i="47" s="1"/>
  <c r="F65" i="47" s="1"/>
  <c r="G65" i="47" s="1"/>
  <c r="H65" i="47" s="1"/>
  <c r="I65" i="47" s="1"/>
  <c r="J65" i="47" s="1"/>
  <c r="K65" i="47" s="1"/>
  <c r="L65" i="47" s="1"/>
  <c r="M65" i="47" s="1"/>
  <c r="N65" i="47" s="1"/>
  <c r="O65" i="47" s="1"/>
  <c r="P65" i="47" s="1"/>
  <c r="Q65" i="47" s="1"/>
  <c r="R65" i="47" s="1"/>
  <c r="S65" i="47" s="1"/>
  <c r="T65" i="47" s="1"/>
  <c r="U65" i="47" s="1"/>
  <c r="V65" i="47" s="1"/>
  <c r="W65" i="47" s="1"/>
  <c r="X65" i="47" s="1"/>
  <c r="Y65" i="47" s="1"/>
  <c r="Z65" i="47" s="1"/>
  <c r="AA65" i="47" s="1"/>
  <c r="AB65" i="47" s="1"/>
  <c r="AC65" i="47" s="1"/>
  <c r="AD65" i="47" s="1"/>
  <c r="AE65" i="47" s="1"/>
  <c r="AF65" i="47" s="1"/>
  <c r="AG65" i="47" s="1"/>
  <c r="AH65" i="47" s="1"/>
  <c r="AG69" i="53"/>
  <c r="AG76" i="53" s="1"/>
  <c r="AG68" i="53"/>
  <c r="AG64" i="53"/>
  <c r="AG70" i="53"/>
  <c r="AG67" i="53"/>
  <c r="C69" i="53"/>
  <c r="C76" i="53" s="1"/>
  <c r="C65" i="53"/>
  <c r="C68" i="53"/>
  <c r="C70" i="53"/>
  <c r="C64" i="53"/>
  <c r="D63" i="53"/>
  <c r="C67" i="53"/>
  <c r="BI70" i="36"/>
  <c r="F13" i="47"/>
  <c r="E69" i="47" s="1"/>
  <c r="F69" i="47" s="1"/>
  <c r="G69" i="47" s="1"/>
  <c r="H69" i="47" s="1"/>
  <c r="I69" i="47" s="1"/>
  <c r="J69" i="47" s="1"/>
  <c r="K69" i="47" s="1"/>
  <c r="L69" i="47" s="1"/>
  <c r="M69" i="47" s="1"/>
  <c r="N69" i="47" s="1"/>
  <c r="O69" i="47" s="1"/>
  <c r="P69" i="47" s="1"/>
  <c r="Q69" i="47" s="1"/>
  <c r="R69" i="47" s="1"/>
  <c r="S69" i="47" s="1"/>
  <c r="T69" i="47" s="1"/>
  <c r="U69" i="47" s="1"/>
  <c r="V69" i="47" s="1"/>
  <c r="W69" i="47" s="1"/>
  <c r="X69" i="47" s="1"/>
  <c r="Y69" i="47" s="1"/>
  <c r="Z69" i="47" s="1"/>
  <c r="AA69" i="47" s="1"/>
  <c r="AB69" i="47" s="1"/>
  <c r="AC69" i="47" s="1"/>
  <c r="AD69" i="47" s="1"/>
  <c r="AE69" i="47" s="1"/>
  <c r="AF69" i="47" s="1"/>
  <c r="AG69" i="47" s="1"/>
  <c r="AH69" i="47" s="1"/>
  <c r="C100" i="53"/>
  <c r="C101" i="53"/>
  <c r="AG100" i="53"/>
  <c r="AG131" i="53"/>
  <c r="AG101" i="53"/>
  <c r="AG132" i="53"/>
  <c r="F25" i="53"/>
  <c r="F22" i="53"/>
  <c r="F21" i="53"/>
  <c r="G24" i="53"/>
  <c r="F23" i="53"/>
  <c r="Y3" i="50"/>
  <c r="M6" i="52" s="1"/>
  <c r="G13" i="3"/>
  <c r="D20" i="47"/>
  <c r="E77" i="47" s="1"/>
  <c r="F77" i="47" s="1"/>
  <c r="G77" i="47" s="1"/>
  <c r="H77" i="47" s="1"/>
  <c r="I77" i="47" s="1"/>
  <c r="J77" i="47" s="1"/>
  <c r="K77" i="47" s="1"/>
  <c r="L77" i="47" s="1"/>
  <c r="M77" i="47" s="1"/>
  <c r="N77" i="47" s="1"/>
  <c r="O77" i="47" s="1"/>
  <c r="P77" i="47" s="1"/>
  <c r="Q77" i="47" s="1"/>
  <c r="R77" i="47" s="1"/>
  <c r="S77" i="47" s="1"/>
  <c r="T77" i="47" s="1"/>
  <c r="U77" i="47" s="1"/>
  <c r="V77" i="47" s="1"/>
  <c r="W77" i="47" s="1"/>
  <c r="X77" i="47" s="1"/>
  <c r="Y77" i="47" s="1"/>
  <c r="Z77" i="47" s="1"/>
  <c r="AA77" i="47" s="1"/>
  <c r="AB77" i="47" s="1"/>
  <c r="AC77" i="47" s="1"/>
  <c r="AD77" i="47" s="1"/>
  <c r="AE77" i="47" s="1"/>
  <c r="AF77" i="47" s="1"/>
  <c r="AG77" i="47" s="1"/>
  <c r="AH77" i="47" s="1"/>
  <c r="D18" i="47"/>
  <c r="E75" i="47" s="1"/>
  <c r="F75" i="47" s="1"/>
  <c r="G75" i="47" s="1"/>
  <c r="H75" i="47" s="1"/>
  <c r="I75" i="47" s="1"/>
  <c r="J75" i="47" s="1"/>
  <c r="K75" i="47" s="1"/>
  <c r="L75" i="47" s="1"/>
  <c r="M75" i="47" s="1"/>
  <c r="N75" i="47" s="1"/>
  <c r="O75" i="47" s="1"/>
  <c r="P75" i="47" s="1"/>
  <c r="Q75" i="47" s="1"/>
  <c r="R75" i="47" s="1"/>
  <c r="S75" i="47" s="1"/>
  <c r="T75" i="47" s="1"/>
  <c r="U75" i="47" s="1"/>
  <c r="V75" i="47" s="1"/>
  <c r="W75" i="47" s="1"/>
  <c r="X75" i="47" s="1"/>
  <c r="Y75" i="47" s="1"/>
  <c r="Z75" i="47" s="1"/>
  <c r="AA75" i="47" s="1"/>
  <c r="AB75" i="47" s="1"/>
  <c r="AC75" i="47" s="1"/>
  <c r="AD75" i="47" s="1"/>
  <c r="AE75" i="47" s="1"/>
  <c r="AF75" i="47" s="1"/>
  <c r="AG75" i="47" s="1"/>
  <c r="AH75" i="47" s="1"/>
  <c r="C140" i="46"/>
  <c r="C142" i="46" s="1"/>
  <c r="C65" i="46"/>
  <c r="C66" i="46" s="1"/>
  <c r="F17" i="47"/>
  <c r="E82" i="47" s="1"/>
  <c r="D13" i="47"/>
  <c r="E61" i="47" s="1"/>
  <c r="F61" i="47" s="1"/>
  <c r="G61" i="47" s="1"/>
  <c r="H61" i="47" s="1"/>
  <c r="I61" i="47" s="1"/>
  <c r="J61" i="47" s="1"/>
  <c r="K61" i="47" s="1"/>
  <c r="L61" i="47" s="1"/>
  <c r="M61" i="47" s="1"/>
  <c r="N61" i="47" s="1"/>
  <c r="O61" i="47" s="1"/>
  <c r="P61" i="47" s="1"/>
  <c r="Q61" i="47" s="1"/>
  <c r="R61" i="47" s="1"/>
  <c r="S61" i="47" s="1"/>
  <c r="T61" i="47" s="1"/>
  <c r="U61" i="47" s="1"/>
  <c r="V61" i="47" s="1"/>
  <c r="W61" i="47" s="1"/>
  <c r="X61" i="47" s="1"/>
  <c r="Y61" i="47" s="1"/>
  <c r="Z61" i="47" s="1"/>
  <c r="AA61" i="47" s="1"/>
  <c r="AB61" i="47" s="1"/>
  <c r="AC61" i="47" s="1"/>
  <c r="AD61" i="47" s="1"/>
  <c r="AE61" i="47" s="1"/>
  <c r="AF61" i="47" s="1"/>
  <c r="AG61" i="47" s="1"/>
  <c r="AH61" i="47" s="1"/>
  <c r="D27" i="47"/>
  <c r="E89" i="47" s="1"/>
  <c r="F89" i="47" s="1"/>
  <c r="G89" i="47" s="1"/>
  <c r="H89" i="47" s="1"/>
  <c r="I89" i="47" s="1"/>
  <c r="J89" i="47" s="1"/>
  <c r="K89" i="47" s="1"/>
  <c r="L89" i="47" s="1"/>
  <c r="M89" i="47" s="1"/>
  <c r="N89" i="47" s="1"/>
  <c r="O89" i="47" s="1"/>
  <c r="P89" i="47" s="1"/>
  <c r="Q89" i="47" s="1"/>
  <c r="R89" i="47" s="1"/>
  <c r="S89" i="47" s="1"/>
  <c r="T89" i="47" s="1"/>
  <c r="U89" i="47" s="1"/>
  <c r="V89" i="47" s="1"/>
  <c r="W89" i="47" s="1"/>
  <c r="X89" i="47" s="1"/>
  <c r="Y89" i="47" s="1"/>
  <c r="Z89" i="47" s="1"/>
  <c r="AA89" i="47" s="1"/>
  <c r="AB89" i="47" s="1"/>
  <c r="AC89" i="47" s="1"/>
  <c r="AD89" i="47" s="1"/>
  <c r="E46" i="47"/>
  <c r="H3" i="47"/>
  <c r="G4" i="47"/>
  <c r="E51" i="47" s="1"/>
  <c r="H4" i="47"/>
  <c r="E55" i="47" s="1"/>
  <c r="D4" i="47"/>
  <c r="E39" i="47" s="1"/>
  <c r="F39" i="47" s="1"/>
  <c r="G39" i="47" s="1"/>
  <c r="H39" i="47" s="1"/>
  <c r="I39" i="47" s="1"/>
  <c r="J39" i="47" s="1"/>
  <c r="K39" i="47" s="1"/>
  <c r="L39" i="47" s="1"/>
  <c r="M39" i="47" s="1"/>
  <c r="N39" i="47" s="1"/>
  <c r="O39" i="47" s="1"/>
  <c r="P39" i="47" s="1"/>
  <c r="Q39" i="47" s="1"/>
  <c r="R39" i="47" s="1"/>
  <c r="S39" i="47" s="1"/>
  <c r="T39" i="47" s="1"/>
  <c r="U39" i="47" s="1"/>
  <c r="V39" i="47" s="1"/>
  <c r="W39" i="47" s="1"/>
  <c r="X39" i="47" s="1"/>
  <c r="Y39" i="47" s="1"/>
  <c r="Z39" i="47" s="1"/>
  <c r="AA39" i="47" s="1"/>
  <c r="AB39" i="47" s="1"/>
  <c r="AC39" i="47" s="1"/>
  <c r="AD39" i="47" s="1"/>
  <c r="AE39" i="47" s="1"/>
  <c r="AF39" i="47" s="1"/>
  <c r="AG39" i="47" s="1"/>
  <c r="AH39" i="47" s="1"/>
  <c r="F4" i="47"/>
  <c r="E47" i="47" s="1"/>
  <c r="E4" i="47"/>
  <c r="E43" i="47" s="1"/>
  <c r="F73" i="47"/>
  <c r="G73" i="47" s="1"/>
  <c r="H73" i="47" s="1"/>
  <c r="I73" i="47" s="1"/>
  <c r="J73" i="47" s="1"/>
  <c r="K73" i="47" s="1"/>
  <c r="L73" i="47" s="1"/>
  <c r="M73" i="47" s="1"/>
  <c r="N73" i="47" s="1"/>
  <c r="O73" i="47" s="1"/>
  <c r="P73" i="47" s="1"/>
  <c r="Q73" i="47" s="1"/>
  <c r="R73" i="47" s="1"/>
  <c r="S73" i="47" s="1"/>
  <c r="T73" i="47" s="1"/>
  <c r="U73" i="47" s="1"/>
  <c r="V73" i="47" s="1"/>
  <c r="W73" i="47" s="1"/>
  <c r="X73" i="47" s="1"/>
  <c r="Y73" i="47" s="1"/>
  <c r="Z73" i="47" s="1"/>
  <c r="AA73" i="47" s="1"/>
  <c r="AB73" i="47" s="1"/>
  <c r="AC73" i="47" s="1"/>
  <c r="AD73" i="47" s="1"/>
  <c r="AE73" i="47" s="1"/>
  <c r="AF73" i="47" s="1"/>
  <c r="AG73" i="47" s="1"/>
  <c r="AH73" i="47" s="1"/>
  <c r="D5" i="47"/>
  <c r="E40" i="47" s="1"/>
  <c r="F40" i="47" s="1"/>
  <c r="G40" i="47" s="1"/>
  <c r="H40" i="47" s="1"/>
  <c r="I40" i="47" s="1"/>
  <c r="J40" i="47" s="1"/>
  <c r="K40" i="47" s="1"/>
  <c r="L40" i="47" s="1"/>
  <c r="M40" i="47" s="1"/>
  <c r="N40" i="47" s="1"/>
  <c r="O40" i="47" s="1"/>
  <c r="P40" i="47" s="1"/>
  <c r="Q40" i="47" s="1"/>
  <c r="R40" i="47" s="1"/>
  <c r="S40" i="47" s="1"/>
  <c r="T40" i="47" s="1"/>
  <c r="U40" i="47" s="1"/>
  <c r="V40" i="47" s="1"/>
  <c r="W40" i="47" s="1"/>
  <c r="X40" i="47" s="1"/>
  <c r="Y40" i="47" s="1"/>
  <c r="Z40" i="47" s="1"/>
  <c r="AA40" i="47" s="1"/>
  <c r="AB40" i="47" s="1"/>
  <c r="AC40" i="47" s="1"/>
  <c r="AD40" i="47" s="1"/>
  <c r="AE40" i="47" s="1"/>
  <c r="AF40" i="47" s="1"/>
  <c r="AG40" i="47" s="1"/>
  <c r="AH40" i="47" s="1"/>
  <c r="E5" i="47"/>
  <c r="E44" i="47" s="1"/>
  <c r="D6" i="47"/>
  <c r="E41" i="47" s="1"/>
  <c r="F41" i="47" s="1"/>
  <c r="G41" i="47" s="1"/>
  <c r="H41" i="47" s="1"/>
  <c r="I41" i="47" s="1"/>
  <c r="J41" i="47" s="1"/>
  <c r="K41" i="47" s="1"/>
  <c r="L41" i="47" s="1"/>
  <c r="M41" i="47" s="1"/>
  <c r="N41" i="47" s="1"/>
  <c r="O41" i="47" s="1"/>
  <c r="P41" i="47" s="1"/>
  <c r="Q41" i="47" s="1"/>
  <c r="R41" i="47" s="1"/>
  <c r="S41" i="47" s="1"/>
  <c r="T41" i="47" s="1"/>
  <c r="U41" i="47" s="1"/>
  <c r="V41" i="47" s="1"/>
  <c r="W41" i="47" s="1"/>
  <c r="X41" i="47" s="1"/>
  <c r="Y41" i="47" s="1"/>
  <c r="Z41" i="47" s="1"/>
  <c r="AA41" i="47" s="1"/>
  <c r="AB41" i="47" s="1"/>
  <c r="AC41" i="47" s="1"/>
  <c r="AD41" i="47" s="1"/>
  <c r="AE41" i="47" s="1"/>
  <c r="AF41" i="47" s="1"/>
  <c r="AG41" i="47" s="1"/>
  <c r="AH41" i="47" s="1"/>
  <c r="D3" i="47"/>
  <c r="E58" i="47"/>
  <c r="H5" i="47"/>
  <c r="E56" i="47" s="1"/>
  <c r="H6" i="47"/>
  <c r="E57" i="47" s="1"/>
  <c r="D17" i="47"/>
  <c r="D19" i="47"/>
  <c r="E76" i="47" s="1"/>
  <c r="F19" i="47"/>
  <c r="E84" i="47" s="1"/>
  <c r="E19" i="47"/>
  <c r="E80" i="47" s="1"/>
  <c r="G3" i="47"/>
  <c r="E10" i="47"/>
  <c r="F11" i="47"/>
  <c r="E67" i="47" s="1"/>
  <c r="E12" i="47"/>
  <c r="E64" i="47" s="1"/>
  <c r="D11" i="47"/>
  <c r="E59" i="47" s="1"/>
  <c r="G12" i="47"/>
  <c r="E72" i="47" s="1"/>
  <c r="E11" i="47"/>
  <c r="E63" i="47" s="1"/>
  <c r="F12" i="47"/>
  <c r="E68" i="47" s="1"/>
  <c r="G11" i="47"/>
  <c r="E71" i="47" s="1"/>
  <c r="D12" i="47"/>
  <c r="E60" i="47" s="1"/>
  <c r="G5" i="47"/>
  <c r="E52" i="47" s="1"/>
  <c r="F6" i="47"/>
  <c r="E49" i="47" s="1"/>
  <c r="E18" i="47"/>
  <c r="E79" i="47" s="1"/>
  <c r="F93" i="47"/>
  <c r="G93" i="47" s="1"/>
  <c r="H93" i="47" s="1"/>
  <c r="I93" i="47" s="1"/>
  <c r="J93" i="47" s="1"/>
  <c r="K93" i="47" s="1"/>
  <c r="L93" i="47" s="1"/>
  <c r="M93" i="47" s="1"/>
  <c r="N93" i="47" s="1"/>
  <c r="O93" i="47" s="1"/>
  <c r="P93" i="47" s="1"/>
  <c r="Q93" i="47" s="1"/>
  <c r="R93" i="47" s="1"/>
  <c r="S93" i="47" s="1"/>
  <c r="T93" i="47" s="1"/>
  <c r="U93" i="47" s="1"/>
  <c r="V93" i="47" s="1"/>
  <c r="W93" i="47" s="1"/>
  <c r="X93" i="47" s="1"/>
  <c r="Y93" i="47" s="1"/>
  <c r="Z93" i="47" s="1"/>
  <c r="AA93" i="47" s="1"/>
  <c r="AB93" i="47" s="1"/>
  <c r="AC93" i="47" s="1"/>
  <c r="AD93" i="47" s="1"/>
  <c r="AE93" i="47" s="1"/>
  <c r="AF93" i="47" s="1"/>
  <c r="AG93" i="47" s="1"/>
  <c r="AH93" i="47" s="1"/>
  <c r="E3" i="47"/>
  <c r="F81" i="47"/>
  <c r="G81" i="47" s="1"/>
  <c r="H81" i="47" s="1"/>
  <c r="I81" i="47" s="1"/>
  <c r="J81" i="47" s="1"/>
  <c r="K81" i="47" s="1"/>
  <c r="L81" i="47" s="1"/>
  <c r="M81" i="47" s="1"/>
  <c r="N81" i="47" s="1"/>
  <c r="O81" i="47" s="1"/>
  <c r="P81" i="47" s="1"/>
  <c r="Q81" i="47" s="1"/>
  <c r="R81" i="47" s="1"/>
  <c r="S81" i="47" s="1"/>
  <c r="T81" i="47" s="1"/>
  <c r="U81" i="47" s="1"/>
  <c r="V81" i="47" s="1"/>
  <c r="W81" i="47" s="1"/>
  <c r="X81" i="47" s="1"/>
  <c r="Y81" i="47" s="1"/>
  <c r="Z81" i="47" s="1"/>
  <c r="AA81" i="47" s="1"/>
  <c r="AB81" i="47" s="1"/>
  <c r="AC81" i="47" s="1"/>
  <c r="AD81" i="47" s="1"/>
  <c r="AE81" i="47" s="1"/>
  <c r="AF81" i="47" s="1"/>
  <c r="AG81" i="47" s="1"/>
  <c r="AH81" i="47" s="1"/>
  <c r="E66" i="47"/>
  <c r="F90" i="47"/>
  <c r="G90" i="47" s="1"/>
  <c r="H90" i="47" s="1"/>
  <c r="I90" i="47" s="1"/>
  <c r="J90" i="47" s="1"/>
  <c r="K90" i="47" s="1"/>
  <c r="L90" i="47" s="1"/>
  <c r="M90" i="47" s="1"/>
  <c r="N90" i="47" s="1"/>
  <c r="O90" i="47" s="1"/>
  <c r="P90" i="47" s="1"/>
  <c r="Q90" i="47" s="1"/>
  <c r="R90" i="47" s="1"/>
  <c r="S90" i="47" s="1"/>
  <c r="T90" i="47" s="1"/>
  <c r="U90" i="47" s="1"/>
  <c r="V90" i="47" s="1"/>
  <c r="W90" i="47" s="1"/>
  <c r="X90" i="47" s="1"/>
  <c r="Y90" i="47" s="1"/>
  <c r="Z90" i="47" s="1"/>
  <c r="AA90" i="47" s="1"/>
  <c r="AB90" i="47" s="1"/>
  <c r="AC90" i="47" s="1"/>
  <c r="AD90" i="47" s="1"/>
  <c r="AE90" i="47" s="1"/>
  <c r="AF90" i="47" s="1"/>
  <c r="AG90" i="47" s="1"/>
  <c r="AH90" i="47" s="1"/>
  <c r="F5" i="47"/>
  <c r="E48" i="47" s="1"/>
  <c r="E6" i="47"/>
  <c r="E45" i="47" s="1"/>
  <c r="G6" i="47"/>
  <c r="E53" i="47" s="1"/>
  <c r="F18" i="47"/>
  <c r="E83" i="47" s="1"/>
  <c r="F86" i="47"/>
  <c r="G86" i="47" s="1"/>
  <c r="H86" i="47" s="1"/>
  <c r="I86" i="47" s="1"/>
  <c r="J86" i="47" s="1"/>
  <c r="K86" i="47" s="1"/>
  <c r="L86" i="47" s="1"/>
  <c r="M86" i="47" s="1"/>
  <c r="N86" i="47" s="1"/>
  <c r="O86" i="47" s="1"/>
  <c r="P86" i="47" s="1"/>
  <c r="Q86" i="47" s="1"/>
  <c r="R86" i="47" s="1"/>
  <c r="S86" i="47" s="1"/>
  <c r="T86" i="47" s="1"/>
  <c r="U86" i="47" s="1"/>
  <c r="V86" i="47" s="1"/>
  <c r="W86" i="47" s="1"/>
  <c r="X86" i="47" s="1"/>
  <c r="Y86" i="47" s="1"/>
  <c r="Z86" i="47" s="1"/>
  <c r="AA86" i="47" s="1"/>
  <c r="AB86" i="47" s="1"/>
  <c r="AC86" i="47" s="1"/>
  <c r="AD86" i="47" s="1"/>
  <c r="AE86" i="47" s="1"/>
  <c r="AF86" i="47" s="1"/>
  <c r="AG86" i="47" s="1"/>
  <c r="AH86" i="47" s="1"/>
  <c r="AC28" i="36"/>
  <c r="AG204" i="48"/>
  <c r="AG140" i="48"/>
  <c r="AG203" i="48"/>
  <c r="AG141" i="48"/>
  <c r="C203" i="46"/>
  <c r="AO52" i="45"/>
  <c r="AK18" i="45"/>
  <c r="AK20" i="45" s="1"/>
  <c r="AO51" i="45"/>
  <c r="AD70" i="36"/>
  <c r="I52" i="45"/>
  <c r="AO53" i="45"/>
  <c r="I53" i="45"/>
  <c r="E25" i="48"/>
  <c r="E23" i="48"/>
  <c r="BH60" i="36"/>
  <c r="E22" i="48"/>
  <c r="D202" i="48"/>
  <c r="E202" i="48" s="1"/>
  <c r="F202" i="48" s="1"/>
  <c r="G202" i="48" s="1"/>
  <c r="H202" i="48" s="1"/>
  <c r="I202" i="48" s="1"/>
  <c r="J202" i="48" s="1"/>
  <c r="K202" i="48" s="1"/>
  <c r="L202" i="48" s="1"/>
  <c r="M202" i="48" s="1"/>
  <c r="N202" i="48" s="1"/>
  <c r="O202" i="48" s="1"/>
  <c r="P202" i="48" s="1"/>
  <c r="Q202" i="48" s="1"/>
  <c r="R202" i="48" s="1"/>
  <c r="S202" i="48" s="1"/>
  <c r="T202" i="48" s="1"/>
  <c r="U202" i="48" s="1"/>
  <c r="V202" i="48" s="1"/>
  <c r="W202" i="48" s="1"/>
  <c r="X202" i="48" s="1"/>
  <c r="Y202" i="48" s="1"/>
  <c r="Z202" i="48" s="1"/>
  <c r="AA202" i="48" s="1"/>
  <c r="AB202" i="48" s="1"/>
  <c r="AC202" i="48" s="1"/>
  <c r="AD202" i="48" s="1"/>
  <c r="AE202" i="48" s="1"/>
  <c r="AF202" i="48" s="1"/>
  <c r="C203" i="48"/>
  <c r="C204" i="48"/>
  <c r="F21" i="48"/>
  <c r="C244" i="48"/>
  <c r="BH62" i="36"/>
  <c r="BL55" i="36"/>
  <c r="AE39" i="42"/>
  <c r="C70" i="46"/>
  <c r="C69" i="46"/>
  <c r="C92" i="46" s="1"/>
  <c r="C97" i="46" s="1"/>
  <c r="AP48" i="45"/>
  <c r="AP50" i="45" s="1"/>
  <c r="AP51" i="45" s="1"/>
  <c r="C69" i="48"/>
  <c r="C70" i="48"/>
  <c r="C68" i="48"/>
  <c r="C64" i="48"/>
  <c r="C67" i="48"/>
  <c r="C65" i="48"/>
  <c r="D260" i="48"/>
  <c r="C261" i="48"/>
  <c r="AC84" i="36"/>
  <c r="BI36" i="36"/>
  <c r="BI77" i="36" s="1"/>
  <c r="I88" i="45"/>
  <c r="C68" i="46"/>
  <c r="AK41" i="45"/>
  <c r="AK44" i="45" s="1"/>
  <c r="AG63" i="48"/>
  <c r="D63" i="48" s="1"/>
  <c r="AG63" i="46"/>
  <c r="AG70" i="46" s="1"/>
  <c r="BH39" i="36"/>
  <c r="AA36" i="42"/>
  <c r="BH37" i="36"/>
  <c r="BH81" i="36" s="1"/>
  <c r="F24" i="48"/>
  <c r="C140" i="48"/>
  <c r="C141" i="48"/>
  <c r="D139" i="48"/>
  <c r="AQ49" i="45"/>
  <c r="AQ46" i="45"/>
  <c r="AQ47" i="45"/>
  <c r="AR45" i="45"/>
  <c r="J48" i="45"/>
  <c r="J50" i="45" s="1"/>
  <c r="I39" i="46" s="1"/>
  <c r="AL40" i="45"/>
  <c r="AL39" i="45"/>
  <c r="AL17" i="45"/>
  <c r="AL69" i="45" s="1"/>
  <c r="F25" i="46"/>
  <c r="F23" i="46"/>
  <c r="E363" i="46"/>
  <c r="F363" i="46" s="1"/>
  <c r="C145" i="46"/>
  <c r="C143" i="46"/>
  <c r="C144" i="46"/>
  <c r="D243" i="46"/>
  <c r="G21" i="46"/>
  <c r="F22" i="46"/>
  <c r="G24" i="46"/>
  <c r="D260" i="46"/>
  <c r="C206" i="46"/>
  <c r="C207" i="46"/>
  <c r="L10" i="8"/>
  <c r="L7" i="8"/>
  <c r="L9" i="8"/>
  <c r="L8" i="8"/>
  <c r="F17" i="45"/>
  <c r="F69" i="45" s="1"/>
  <c r="G16" i="45"/>
  <c r="AM16" i="45" s="1"/>
  <c r="E18" i="45"/>
  <c r="G38" i="45"/>
  <c r="AM38" i="45" s="1"/>
  <c r="F40" i="45"/>
  <c r="AJ95" i="45"/>
  <c r="AN92" i="45"/>
  <c r="AN88" i="45"/>
  <c r="L45" i="45"/>
  <c r="K46" i="45"/>
  <c r="K47" i="45"/>
  <c r="K49" i="45"/>
  <c r="N4" i="8"/>
  <c r="M90" i="44"/>
  <c r="K97" i="44"/>
  <c r="BL53" i="36"/>
  <c r="BL94" i="36" s="1"/>
  <c r="BL90" i="36"/>
  <c r="BI59" i="36"/>
  <c r="AB40" i="42" s="1"/>
  <c r="AD59" i="36"/>
  <c r="AC40" i="38" s="1"/>
  <c r="BI23" i="36"/>
  <c r="BI25" i="36" s="1"/>
  <c r="AB37" i="42" s="1"/>
  <c r="AD23" i="36"/>
  <c r="AD25" i="36" s="1"/>
  <c r="AC37" i="38" s="1"/>
  <c r="BJ32" i="36"/>
  <c r="AE35" i="36"/>
  <c r="AH50" i="36"/>
  <c r="AH52" i="36" s="1"/>
  <c r="AH53" i="36" s="1"/>
  <c r="AH94" i="36" s="1"/>
  <c r="BG84" i="36"/>
  <c r="BG26" i="36"/>
  <c r="BG87" i="36" s="1"/>
  <c r="BG28" i="36"/>
  <c r="BJ35" i="36"/>
  <c r="AE32" i="36"/>
  <c r="AG90" i="36"/>
  <c r="AG55" i="36"/>
  <c r="AG53" i="36"/>
  <c r="AG94" i="36" s="1"/>
  <c r="AG18" i="36"/>
  <c r="BL18" i="36"/>
  <c r="AF19" i="36"/>
  <c r="AF20" i="36" s="1"/>
  <c r="AF56" i="36"/>
  <c r="AF30" i="36"/>
  <c r="AF33" i="36"/>
  <c r="AF31" i="36"/>
  <c r="AF34" i="36"/>
  <c r="AG29" i="36"/>
  <c r="BM50" i="36"/>
  <c r="BM52" i="36" s="1"/>
  <c r="AF39" i="42" s="1"/>
  <c r="BK31" i="36"/>
  <c r="BL29" i="36"/>
  <c r="BK33" i="36"/>
  <c r="BK34" i="36"/>
  <c r="BK30" i="36"/>
  <c r="BI46" i="36"/>
  <c r="BI97" i="36"/>
  <c r="BI44" i="36"/>
  <c r="AE58" i="36"/>
  <c r="AE57" i="36"/>
  <c r="BK41" i="36"/>
  <c r="BL40" i="36"/>
  <c r="BK42" i="36"/>
  <c r="BJ21" i="36"/>
  <c r="BJ22" i="36"/>
  <c r="BN48" i="36"/>
  <c r="BN51" i="36"/>
  <c r="BN49" i="36"/>
  <c r="AC62" i="36"/>
  <c r="AC60" i="36"/>
  <c r="AE21" i="36"/>
  <c r="AE22" i="36"/>
  <c r="BH26" i="36"/>
  <c r="BH87" i="36" s="1"/>
  <c r="BH28" i="36"/>
  <c r="BH84" i="36"/>
  <c r="BJ43" i="36"/>
  <c r="AC38" i="42" s="1"/>
  <c r="BJ57" i="36"/>
  <c r="BJ58" i="36"/>
  <c r="AF42" i="36"/>
  <c r="AG40" i="36"/>
  <c r="BK19" i="36"/>
  <c r="BK20" i="36" s="1"/>
  <c r="BK56" i="36"/>
  <c r="C66" i="20"/>
  <c r="D66" i="20" s="1"/>
  <c r="P72" i="14"/>
  <c r="N63" i="45"/>
  <c r="O63" i="36"/>
  <c r="AT63" i="36"/>
  <c r="AT68" i="36" s="1"/>
  <c r="AT75" i="36" s="1"/>
  <c r="N68" i="36"/>
  <c r="C169" i="20"/>
  <c r="C211" i="20"/>
  <c r="C212" i="20" s="1"/>
  <c r="AT64" i="36"/>
  <c r="N66" i="36"/>
  <c r="N65" i="36"/>
  <c r="M71" i="36"/>
  <c r="BY38" i="58" s="1"/>
  <c r="M37" i="58" s="1"/>
  <c r="AS37" i="58" s="1"/>
  <c r="BY37" i="58" s="1"/>
  <c r="M106" i="36"/>
  <c r="AR71" i="36"/>
  <c r="AR72" i="36" s="1"/>
  <c r="AR106" i="36"/>
  <c r="AS65" i="36"/>
  <c r="AS66" i="36"/>
  <c r="AS73" i="36" s="1"/>
  <c r="F57" i="41"/>
  <c r="G57" i="41" s="1"/>
  <c r="H57" i="41" s="1"/>
  <c r="I57" i="41" s="1"/>
  <c r="J57" i="41" s="1"/>
  <c r="K57" i="41" s="1"/>
  <c r="L57" i="41" s="1"/>
  <c r="M57" i="41" s="1"/>
  <c r="N57" i="41" s="1"/>
  <c r="O57" i="41" s="1"/>
  <c r="P57" i="41" s="1"/>
  <c r="Q57" i="41" s="1"/>
  <c r="R57" i="41" s="1"/>
  <c r="S57" i="41" s="1"/>
  <c r="T57" i="41" s="1"/>
  <c r="U57" i="41" s="1"/>
  <c r="V57" i="41" s="1"/>
  <c r="W57" i="41" s="1"/>
  <c r="X57" i="41" s="1"/>
  <c r="Y57" i="41" s="1"/>
  <c r="Z57" i="41" s="1"/>
  <c r="AA57" i="41" s="1"/>
  <c r="AB57" i="41" s="1"/>
  <c r="AC57" i="41" s="1"/>
  <c r="AD57" i="41" s="1"/>
  <c r="AE57" i="41" s="1"/>
  <c r="AF57" i="41" s="1"/>
  <c r="AG57" i="41" s="1"/>
  <c r="AH57" i="41" s="1"/>
  <c r="E18" i="41"/>
  <c r="G12" i="34"/>
  <c r="E84" i="34" s="1"/>
  <c r="F84" i="34" s="1"/>
  <c r="G84" i="34" s="1"/>
  <c r="H84" i="34" s="1"/>
  <c r="I84" i="34" s="1"/>
  <c r="J84" i="34" s="1"/>
  <c r="K84" i="34" s="1"/>
  <c r="L84" i="34" s="1"/>
  <c r="M84" i="34" s="1"/>
  <c r="N84" i="34" s="1"/>
  <c r="O84" i="34" s="1"/>
  <c r="P84" i="34" s="1"/>
  <c r="Q84" i="34" s="1"/>
  <c r="R84" i="34" s="1"/>
  <c r="S84" i="34" s="1"/>
  <c r="T84" i="34" s="1"/>
  <c r="U84" i="34" s="1"/>
  <c r="V84" i="34" s="1"/>
  <c r="W84" i="34" s="1"/>
  <c r="X84" i="34" s="1"/>
  <c r="Y84" i="34" s="1"/>
  <c r="Z84" i="34" s="1"/>
  <c r="AA84" i="34" s="1"/>
  <c r="AB84" i="34" s="1"/>
  <c r="AC84" i="34" s="1"/>
  <c r="AD84" i="34" s="1"/>
  <c r="AE84" i="34" s="1"/>
  <c r="AF84" i="34" s="1"/>
  <c r="AG84" i="34" s="1"/>
  <c r="AH84" i="34" s="1"/>
  <c r="D12" i="41"/>
  <c r="J56" i="41"/>
  <c r="K56" i="41" s="1"/>
  <c r="L56" i="41" s="1"/>
  <c r="M56" i="41" s="1"/>
  <c r="N56" i="41" s="1"/>
  <c r="O56" i="41" s="1"/>
  <c r="P56" i="41" s="1"/>
  <c r="Q56" i="41" s="1"/>
  <c r="R56" i="41" s="1"/>
  <c r="S56" i="41" s="1"/>
  <c r="T56" i="41" s="1"/>
  <c r="U56" i="41" s="1"/>
  <c r="V56" i="41" s="1"/>
  <c r="W56" i="41" s="1"/>
  <c r="X56" i="41" s="1"/>
  <c r="Y56" i="41" s="1"/>
  <c r="Z56" i="41" s="1"/>
  <c r="AA56" i="41" s="1"/>
  <c r="AB56" i="41" s="1"/>
  <c r="AC56" i="41" s="1"/>
  <c r="AD56" i="41" s="1"/>
  <c r="AE56" i="41" s="1"/>
  <c r="AF56" i="41" s="1"/>
  <c r="AG56" i="41" s="1"/>
  <c r="AH56" i="41" s="1"/>
  <c r="G15" i="34"/>
  <c r="E87" i="34" s="1"/>
  <c r="F87" i="34" s="1"/>
  <c r="G87" i="34" s="1"/>
  <c r="H87" i="34" s="1"/>
  <c r="I87" i="34" s="1"/>
  <c r="J87" i="34" s="1"/>
  <c r="K87" i="34" s="1"/>
  <c r="L87" i="34" s="1"/>
  <c r="M87" i="34" s="1"/>
  <c r="N87" i="34" s="1"/>
  <c r="O87" i="34" s="1"/>
  <c r="P87" i="34" s="1"/>
  <c r="Q87" i="34" s="1"/>
  <c r="R87" i="34" s="1"/>
  <c r="S87" i="34" s="1"/>
  <c r="T87" i="34" s="1"/>
  <c r="U87" i="34" s="1"/>
  <c r="V87" i="34" s="1"/>
  <c r="W87" i="34" s="1"/>
  <c r="X87" i="34" s="1"/>
  <c r="Y87" i="34" s="1"/>
  <c r="Z87" i="34" s="1"/>
  <c r="AA87" i="34" s="1"/>
  <c r="AB87" i="34" s="1"/>
  <c r="AC87" i="34" s="1"/>
  <c r="AD87" i="34" s="1"/>
  <c r="AE87" i="34" s="1"/>
  <c r="AF87" i="34" s="1"/>
  <c r="AG87" i="34" s="1"/>
  <c r="AH87" i="34" s="1"/>
  <c r="E12" i="41"/>
  <c r="D14" i="34"/>
  <c r="E71" i="34" s="1"/>
  <c r="F71" i="34" s="1"/>
  <c r="G71" i="34" s="1"/>
  <c r="H71" i="34" s="1"/>
  <c r="I71" i="34" s="1"/>
  <c r="J71" i="34" s="1"/>
  <c r="K71" i="34" s="1"/>
  <c r="L71" i="34" s="1"/>
  <c r="M71" i="34" s="1"/>
  <c r="N71" i="34" s="1"/>
  <c r="O71" i="34" s="1"/>
  <c r="P71" i="34" s="1"/>
  <c r="Q71" i="34" s="1"/>
  <c r="R71" i="34" s="1"/>
  <c r="S71" i="34" s="1"/>
  <c r="T71" i="34" s="1"/>
  <c r="U71" i="34" s="1"/>
  <c r="V71" i="34" s="1"/>
  <c r="W71" i="34" s="1"/>
  <c r="X71" i="34" s="1"/>
  <c r="Y71" i="34" s="1"/>
  <c r="Z71" i="34" s="1"/>
  <c r="AA71" i="34" s="1"/>
  <c r="AB71" i="34" s="1"/>
  <c r="AC71" i="34" s="1"/>
  <c r="AD71" i="34" s="1"/>
  <c r="AE71" i="34" s="1"/>
  <c r="AF71" i="34" s="1"/>
  <c r="AG71" i="34" s="1"/>
  <c r="AH71" i="34" s="1"/>
  <c r="F48" i="41"/>
  <c r="G48" i="41" s="1"/>
  <c r="H48" i="41" s="1"/>
  <c r="I48" i="41" s="1"/>
  <c r="J48" i="41" s="1"/>
  <c r="K48" i="41" s="1"/>
  <c r="L48" i="41" s="1"/>
  <c r="M48" i="41" s="1"/>
  <c r="N48" i="41" s="1"/>
  <c r="O48" i="41" s="1"/>
  <c r="P48" i="41" s="1"/>
  <c r="Q48" i="41" s="1"/>
  <c r="R48" i="41" s="1"/>
  <c r="S48" i="41" s="1"/>
  <c r="T48" i="41" s="1"/>
  <c r="U48" i="41" s="1"/>
  <c r="V48" i="41" s="1"/>
  <c r="W48" i="41" s="1"/>
  <c r="X48" i="41" s="1"/>
  <c r="Y48" i="41" s="1"/>
  <c r="Z48" i="41" s="1"/>
  <c r="AA48" i="41" s="1"/>
  <c r="AB48" i="41" s="1"/>
  <c r="AC48" i="41" s="1"/>
  <c r="AD48" i="41" s="1"/>
  <c r="AE48" i="41" s="1"/>
  <c r="AF48" i="41" s="1"/>
  <c r="AG48" i="41" s="1"/>
  <c r="AH48" i="41" s="1"/>
  <c r="F51" i="41"/>
  <c r="G51" i="41" s="1"/>
  <c r="H51" i="41" s="1"/>
  <c r="I51" i="41" s="1"/>
  <c r="J51" i="41" s="1"/>
  <c r="K51" i="41" s="1"/>
  <c r="L51" i="41" s="1"/>
  <c r="M51" i="41" s="1"/>
  <c r="N51" i="41" s="1"/>
  <c r="O51" i="41" s="1"/>
  <c r="P51" i="41" s="1"/>
  <c r="Q51" i="41" s="1"/>
  <c r="R51" i="41" s="1"/>
  <c r="S51" i="41" s="1"/>
  <c r="T51" i="41" s="1"/>
  <c r="U51" i="41" s="1"/>
  <c r="V51" i="41" s="1"/>
  <c r="W51" i="41" s="1"/>
  <c r="X51" i="41" s="1"/>
  <c r="Y51" i="41" s="1"/>
  <c r="Z51" i="41" s="1"/>
  <c r="AA51" i="41" s="1"/>
  <c r="AB51" i="41" s="1"/>
  <c r="AC51" i="41" s="1"/>
  <c r="AD51" i="41" s="1"/>
  <c r="AE51" i="41" s="1"/>
  <c r="AF51" i="41" s="1"/>
  <c r="AG51" i="41" s="1"/>
  <c r="AH51" i="41" s="1"/>
  <c r="G12" i="41"/>
  <c r="G6" i="41"/>
  <c r="F18" i="41"/>
  <c r="F12" i="34"/>
  <c r="E79" i="34" s="1"/>
  <c r="F79" i="34" s="1"/>
  <c r="G79" i="34" s="1"/>
  <c r="H79" i="34" s="1"/>
  <c r="I79" i="34" s="1"/>
  <c r="J79" i="34" s="1"/>
  <c r="K79" i="34" s="1"/>
  <c r="L79" i="34" s="1"/>
  <c r="M79" i="34" s="1"/>
  <c r="N79" i="34" s="1"/>
  <c r="O79" i="34" s="1"/>
  <c r="P79" i="34" s="1"/>
  <c r="Q79" i="34" s="1"/>
  <c r="R79" i="34" s="1"/>
  <c r="S79" i="34" s="1"/>
  <c r="T79" i="34" s="1"/>
  <c r="U79" i="34" s="1"/>
  <c r="V79" i="34" s="1"/>
  <c r="W79" i="34" s="1"/>
  <c r="X79" i="34" s="1"/>
  <c r="Y79" i="34" s="1"/>
  <c r="Z79" i="34" s="1"/>
  <c r="AA79" i="34" s="1"/>
  <c r="AB79" i="34" s="1"/>
  <c r="AC79" i="34" s="1"/>
  <c r="AD79" i="34" s="1"/>
  <c r="AE79" i="34" s="1"/>
  <c r="AF79" i="34" s="1"/>
  <c r="AG79" i="34" s="1"/>
  <c r="AH79" i="34" s="1"/>
  <c r="G14" i="34"/>
  <c r="E86" i="34" s="1"/>
  <c r="F86" i="34" s="1"/>
  <c r="G86" i="34" s="1"/>
  <c r="H86" i="34" s="1"/>
  <c r="I86" i="34" s="1"/>
  <c r="J86" i="34" s="1"/>
  <c r="K86" i="34" s="1"/>
  <c r="L86" i="34" s="1"/>
  <c r="M86" i="34" s="1"/>
  <c r="N86" i="34" s="1"/>
  <c r="O86" i="34" s="1"/>
  <c r="P86" i="34" s="1"/>
  <c r="Q86" i="34" s="1"/>
  <c r="R86" i="34" s="1"/>
  <c r="S86" i="34" s="1"/>
  <c r="T86" i="34" s="1"/>
  <c r="U86" i="34" s="1"/>
  <c r="V86" i="34" s="1"/>
  <c r="W86" i="34" s="1"/>
  <c r="X86" i="34" s="1"/>
  <c r="Y86" i="34" s="1"/>
  <c r="Z86" i="34" s="1"/>
  <c r="AA86" i="34" s="1"/>
  <c r="AB86" i="34" s="1"/>
  <c r="AC86" i="34" s="1"/>
  <c r="AD86" i="34" s="1"/>
  <c r="AE86" i="34" s="1"/>
  <c r="AF86" i="34" s="1"/>
  <c r="AG86" i="34" s="1"/>
  <c r="AH86" i="34" s="1"/>
  <c r="E36" i="41"/>
  <c r="F36" i="41" s="1"/>
  <c r="G36" i="41" s="1"/>
  <c r="H36" i="41" s="1"/>
  <c r="I36" i="41" s="1"/>
  <c r="J36" i="41" s="1"/>
  <c r="K36" i="41" s="1"/>
  <c r="L36" i="41" s="1"/>
  <c r="M36" i="41" s="1"/>
  <c r="N36" i="41" s="1"/>
  <c r="O36" i="41" s="1"/>
  <c r="P36" i="41" s="1"/>
  <c r="Q36" i="41" s="1"/>
  <c r="R36" i="41" s="1"/>
  <c r="S36" i="41" s="1"/>
  <c r="T36" i="41" s="1"/>
  <c r="U36" i="41" s="1"/>
  <c r="V36" i="41" s="1"/>
  <c r="W36" i="41" s="1"/>
  <c r="X36" i="41" s="1"/>
  <c r="Y36" i="41" s="1"/>
  <c r="Z36" i="41" s="1"/>
  <c r="AA36" i="41" s="1"/>
  <c r="AB36" i="41" s="1"/>
  <c r="AC36" i="41" s="1"/>
  <c r="AD36" i="41" s="1"/>
  <c r="AE36" i="41" s="1"/>
  <c r="AF36" i="41" s="1"/>
  <c r="AG36" i="41" s="1"/>
  <c r="AH36" i="41" s="1"/>
  <c r="E6" i="41"/>
  <c r="D35" i="34"/>
  <c r="E108" i="34" s="1"/>
  <c r="F108" i="34" s="1"/>
  <c r="G108" i="34" s="1"/>
  <c r="H108" i="34" s="1"/>
  <c r="I108" i="34" s="1"/>
  <c r="J108" i="34" s="1"/>
  <c r="K108" i="34" s="1"/>
  <c r="L108" i="34" s="1"/>
  <c r="M108" i="34" s="1"/>
  <c r="N108" i="34" s="1"/>
  <c r="O108" i="34" s="1"/>
  <c r="P108" i="34" s="1"/>
  <c r="Q108" i="34" s="1"/>
  <c r="R108" i="34" s="1"/>
  <c r="S108" i="34" s="1"/>
  <c r="T108" i="34" s="1"/>
  <c r="U108" i="34" s="1"/>
  <c r="V108" i="34" s="1"/>
  <c r="W108" i="34" s="1"/>
  <c r="X108" i="34" s="1"/>
  <c r="Y108" i="34" s="1"/>
  <c r="Z108" i="34" s="1"/>
  <c r="AA108" i="34" s="1"/>
  <c r="AB108" i="34" s="1"/>
  <c r="AC108" i="34" s="1"/>
  <c r="AD108" i="34" s="1"/>
  <c r="AE108" i="34" s="1"/>
  <c r="AF108" i="34" s="1"/>
  <c r="AG108" i="34" s="1"/>
  <c r="AH108" i="34" s="1"/>
  <c r="D12" i="34"/>
  <c r="E69" i="34" s="1"/>
  <c r="F69" i="34" s="1"/>
  <c r="G69" i="34" s="1"/>
  <c r="H69" i="34" s="1"/>
  <c r="I69" i="34" s="1"/>
  <c r="J69" i="34" s="1"/>
  <c r="K69" i="34" s="1"/>
  <c r="L69" i="34" s="1"/>
  <c r="M69" i="34" s="1"/>
  <c r="N69" i="34" s="1"/>
  <c r="O69" i="34" s="1"/>
  <c r="P69" i="34" s="1"/>
  <c r="Q69" i="34" s="1"/>
  <c r="R69" i="34" s="1"/>
  <c r="S69" i="34" s="1"/>
  <c r="T69" i="34" s="1"/>
  <c r="U69" i="34" s="1"/>
  <c r="V69" i="34" s="1"/>
  <c r="W69" i="34" s="1"/>
  <c r="X69" i="34" s="1"/>
  <c r="Y69" i="34" s="1"/>
  <c r="Z69" i="34" s="1"/>
  <c r="AA69" i="34" s="1"/>
  <c r="AB69" i="34" s="1"/>
  <c r="AC69" i="34" s="1"/>
  <c r="AD69" i="34" s="1"/>
  <c r="AE69" i="34" s="1"/>
  <c r="AF69" i="34" s="1"/>
  <c r="AG69" i="34" s="1"/>
  <c r="AH69" i="34" s="1"/>
  <c r="D27" i="41"/>
  <c r="D29" i="41"/>
  <c r="E74" i="41" s="1"/>
  <c r="F74" i="41" s="1"/>
  <c r="G74" i="41" s="1"/>
  <c r="H74" i="41" s="1"/>
  <c r="I74" i="41" s="1"/>
  <c r="J74" i="41" s="1"/>
  <c r="K74" i="41" s="1"/>
  <c r="L74" i="41" s="1"/>
  <c r="M74" i="41" s="1"/>
  <c r="N74" i="41" s="1"/>
  <c r="O74" i="41" s="1"/>
  <c r="P74" i="41" s="1"/>
  <c r="Q74" i="41" s="1"/>
  <c r="R74" i="41" s="1"/>
  <c r="S74" i="41" s="1"/>
  <c r="T74" i="41" s="1"/>
  <c r="U74" i="41" s="1"/>
  <c r="V74" i="41" s="1"/>
  <c r="W74" i="41" s="1"/>
  <c r="X74" i="41" s="1"/>
  <c r="Y74" i="41" s="1"/>
  <c r="Z74" i="41" s="1"/>
  <c r="AA74" i="41" s="1"/>
  <c r="AB74" i="41" s="1"/>
  <c r="AC74" i="41" s="1"/>
  <c r="AD74" i="41" s="1"/>
  <c r="AE74" i="41" s="1"/>
  <c r="AF74" i="41" s="1"/>
  <c r="AG74" i="41" s="1"/>
  <c r="AH74" i="41" s="1"/>
  <c r="D21" i="41"/>
  <c r="D23" i="41"/>
  <c r="E71" i="41" s="1"/>
  <c r="F71" i="41" s="1"/>
  <c r="G71" i="41" s="1"/>
  <c r="H71" i="41" s="1"/>
  <c r="I71" i="41" s="1"/>
  <c r="J71" i="41" s="1"/>
  <c r="K71" i="41" s="1"/>
  <c r="L71" i="41" s="1"/>
  <c r="M71" i="41" s="1"/>
  <c r="N71" i="41" s="1"/>
  <c r="O71" i="41" s="1"/>
  <c r="P71" i="41" s="1"/>
  <c r="Q71" i="41" s="1"/>
  <c r="R71" i="41" s="1"/>
  <c r="S71" i="41" s="1"/>
  <c r="T71" i="41" s="1"/>
  <c r="U71" i="41" s="1"/>
  <c r="V71" i="41" s="1"/>
  <c r="W71" i="41" s="1"/>
  <c r="X71" i="41" s="1"/>
  <c r="Y71" i="41" s="1"/>
  <c r="Z71" i="41" s="1"/>
  <c r="AA71" i="41" s="1"/>
  <c r="AB71" i="41" s="1"/>
  <c r="AC71" i="41" s="1"/>
  <c r="AD71" i="41" s="1"/>
  <c r="AE71" i="41" s="1"/>
  <c r="AF71" i="41" s="1"/>
  <c r="AG71" i="41" s="1"/>
  <c r="AH71" i="41" s="1"/>
  <c r="F6" i="41"/>
  <c r="H6" i="41"/>
  <c r="F12" i="41"/>
  <c r="F24" i="29"/>
  <c r="D22" i="41"/>
  <c r="E70" i="41" s="1"/>
  <c r="F70" i="41" s="1"/>
  <c r="G70" i="41" s="1"/>
  <c r="H70" i="41" s="1"/>
  <c r="I70" i="41" s="1"/>
  <c r="J70" i="41" s="1"/>
  <c r="K70" i="41" s="1"/>
  <c r="L70" i="41" s="1"/>
  <c r="M70" i="41" s="1"/>
  <c r="N70" i="41" s="1"/>
  <c r="O70" i="41" s="1"/>
  <c r="P70" i="41" s="1"/>
  <c r="Q70" i="41" s="1"/>
  <c r="R70" i="41" s="1"/>
  <c r="S70" i="41" s="1"/>
  <c r="T70" i="41" s="1"/>
  <c r="U70" i="41" s="1"/>
  <c r="V70" i="41" s="1"/>
  <c r="W70" i="41" s="1"/>
  <c r="X70" i="41" s="1"/>
  <c r="Y70" i="41" s="1"/>
  <c r="Z70" i="41" s="1"/>
  <c r="AA70" i="41" s="1"/>
  <c r="AB70" i="41" s="1"/>
  <c r="AC70" i="41" s="1"/>
  <c r="AD70" i="41" s="1"/>
  <c r="AE70" i="41" s="1"/>
  <c r="AF70" i="41" s="1"/>
  <c r="AG70" i="41" s="1"/>
  <c r="AH70" i="41" s="1"/>
  <c r="G21" i="29"/>
  <c r="D18" i="41"/>
  <c r="F54" i="41"/>
  <c r="G54" i="41" s="1"/>
  <c r="H54" i="41" s="1"/>
  <c r="I54" i="41" s="1"/>
  <c r="J54" i="41" s="1"/>
  <c r="K54" i="41" s="1"/>
  <c r="L54" i="41" s="1"/>
  <c r="M54" i="41" s="1"/>
  <c r="N54" i="41" s="1"/>
  <c r="O54" i="41" s="1"/>
  <c r="P54" i="41" s="1"/>
  <c r="Q54" i="41" s="1"/>
  <c r="R54" i="41" s="1"/>
  <c r="S54" i="41" s="1"/>
  <c r="T54" i="41" s="1"/>
  <c r="U54" i="41" s="1"/>
  <c r="V54" i="41" s="1"/>
  <c r="W54" i="41" s="1"/>
  <c r="X54" i="41" s="1"/>
  <c r="Y54" i="41" s="1"/>
  <c r="Z54" i="41" s="1"/>
  <c r="AA54" i="41" s="1"/>
  <c r="AB54" i="41" s="1"/>
  <c r="AC54" i="41" s="1"/>
  <c r="AD54" i="41" s="1"/>
  <c r="AE54" i="41" s="1"/>
  <c r="AF54" i="41" s="1"/>
  <c r="AG54" i="41" s="1"/>
  <c r="AH54" i="41" s="1"/>
  <c r="C131" i="38"/>
  <c r="C130" i="38"/>
  <c r="C68" i="42"/>
  <c r="C65" i="42"/>
  <c r="C64" i="42"/>
  <c r="C67" i="42"/>
  <c r="C69" i="42"/>
  <c r="C88" i="42" s="1"/>
  <c r="C70" i="42"/>
  <c r="AG234" i="42"/>
  <c r="AG235" i="42" s="1"/>
  <c r="AG234" i="38"/>
  <c r="AG235" i="38" s="1"/>
  <c r="AG219" i="42"/>
  <c r="AG220" i="42" s="1"/>
  <c r="AG219" i="38"/>
  <c r="AG220" i="38" s="1"/>
  <c r="E22" i="38"/>
  <c r="F24" i="38"/>
  <c r="E25" i="38"/>
  <c r="AG129" i="42"/>
  <c r="D129" i="42" s="1"/>
  <c r="AG129" i="38"/>
  <c r="D129" i="38" s="1"/>
  <c r="C235" i="38"/>
  <c r="C186" i="42"/>
  <c r="C187" i="42" s="1"/>
  <c r="C220" i="38"/>
  <c r="F21" i="38"/>
  <c r="C69" i="38"/>
  <c r="C88" i="38" s="1"/>
  <c r="C68" i="38"/>
  <c r="C70" i="38"/>
  <c r="C65" i="38"/>
  <c r="C64" i="38"/>
  <c r="C67" i="38"/>
  <c r="C235" i="42"/>
  <c r="AG184" i="42"/>
  <c r="AG184" i="38"/>
  <c r="D184" i="38" s="1"/>
  <c r="E184" i="38" s="1"/>
  <c r="F184" i="38" s="1"/>
  <c r="G184" i="38" s="1"/>
  <c r="H184" i="38" s="1"/>
  <c r="I184" i="38" s="1"/>
  <c r="J184" i="38" s="1"/>
  <c r="K184" i="38" s="1"/>
  <c r="L184" i="38" s="1"/>
  <c r="M184" i="38" s="1"/>
  <c r="N184" i="38" s="1"/>
  <c r="O184" i="38" s="1"/>
  <c r="P184" i="38" s="1"/>
  <c r="Q184" i="38" s="1"/>
  <c r="R184" i="38" s="1"/>
  <c r="S184" i="38" s="1"/>
  <c r="T184" i="38" s="1"/>
  <c r="U184" i="38" s="1"/>
  <c r="V184" i="38" s="1"/>
  <c r="W184" i="38" s="1"/>
  <c r="X184" i="38" s="1"/>
  <c r="Y184" i="38" s="1"/>
  <c r="Z184" i="38" s="1"/>
  <c r="AA184" i="38" s="1"/>
  <c r="AB184" i="38" s="1"/>
  <c r="AC184" i="38" s="1"/>
  <c r="AD184" i="38" s="1"/>
  <c r="AE184" i="38" s="1"/>
  <c r="AF184" i="38" s="1"/>
  <c r="C131" i="42"/>
  <c r="C132" i="42" s="1"/>
  <c r="AG63" i="42"/>
  <c r="AG63" i="38"/>
  <c r="C185" i="38"/>
  <c r="C186" i="38"/>
  <c r="E23" i="38"/>
  <c r="E12" i="34"/>
  <c r="E74" i="34" s="1"/>
  <c r="F74" i="34" s="1"/>
  <c r="G74" i="34" s="1"/>
  <c r="H74" i="34" s="1"/>
  <c r="I74" i="34" s="1"/>
  <c r="J74" i="34" s="1"/>
  <c r="K74" i="34" s="1"/>
  <c r="L74" i="34" s="1"/>
  <c r="M74" i="34" s="1"/>
  <c r="N74" i="34" s="1"/>
  <c r="O74" i="34" s="1"/>
  <c r="P74" i="34" s="1"/>
  <c r="Q74" i="34" s="1"/>
  <c r="R74" i="34" s="1"/>
  <c r="S74" i="34" s="1"/>
  <c r="T74" i="34" s="1"/>
  <c r="U74" i="34" s="1"/>
  <c r="V74" i="34" s="1"/>
  <c r="W74" i="34" s="1"/>
  <c r="X74" i="34" s="1"/>
  <c r="Y74" i="34" s="1"/>
  <c r="Z74" i="34" s="1"/>
  <c r="AA74" i="34" s="1"/>
  <c r="AB74" i="34" s="1"/>
  <c r="AC74" i="34" s="1"/>
  <c r="AD74" i="34" s="1"/>
  <c r="AE74" i="34" s="1"/>
  <c r="AF74" i="34" s="1"/>
  <c r="AG74" i="34" s="1"/>
  <c r="AH74" i="34" s="1"/>
  <c r="D27" i="34"/>
  <c r="E103" i="34" s="1"/>
  <c r="D31" i="34"/>
  <c r="E107" i="34" s="1"/>
  <c r="F107" i="34" s="1"/>
  <c r="G107" i="34" s="1"/>
  <c r="H107" i="34" s="1"/>
  <c r="I107" i="34" s="1"/>
  <c r="J107" i="34" s="1"/>
  <c r="K107" i="34" s="1"/>
  <c r="L107" i="34" s="1"/>
  <c r="M107" i="34" s="1"/>
  <c r="N107" i="34" s="1"/>
  <c r="O107" i="34" s="1"/>
  <c r="P107" i="34" s="1"/>
  <c r="Q107" i="34" s="1"/>
  <c r="R107" i="34" s="1"/>
  <c r="S107" i="34" s="1"/>
  <c r="T107" i="34" s="1"/>
  <c r="U107" i="34" s="1"/>
  <c r="V107" i="34" s="1"/>
  <c r="W107" i="34" s="1"/>
  <c r="X107" i="34" s="1"/>
  <c r="Y107" i="34" s="1"/>
  <c r="Z107" i="34" s="1"/>
  <c r="AA107" i="34" s="1"/>
  <c r="AB107" i="34" s="1"/>
  <c r="AC107" i="34" s="1"/>
  <c r="AD107" i="34" s="1"/>
  <c r="AE107" i="34" s="1"/>
  <c r="AF107" i="34" s="1"/>
  <c r="AG107" i="34" s="1"/>
  <c r="AH107" i="34" s="1"/>
  <c r="E15" i="34"/>
  <c r="E77" i="34" s="1"/>
  <c r="F77" i="34" s="1"/>
  <c r="G77" i="34" s="1"/>
  <c r="H77" i="34" s="1"/>
  <c r="I77" i="34" s="1"/>
  <c r="J77" i="34" s="1"/>
  <c r="K77" i="34" s="1"/>
  <c r="L77" i="34" s="1"/>
  <c r="M77" i="34" s="1"/>
  <c r="N77" i="34" s="1"/>
  <c r="O77" i="34" s="1"/>
  <c r="P77" i="34" s="1"/>
  <c r="Q77" i="34" s="1"/>
  <c r="R77" i="34" s="1"/>
  <c r="S77" i="34" s="1"/>
  <c r="T77" i="34" s="1"/>
  <c r="U77" i="34" s="1"/>
  <c r="V77" i="34" s="1"/>
  <c r="W77" i="34" s="1"/>
  <c r="X77" i="34" s="1"/>
  <c r="Y77" i="34" s="1"/>
  <c r="Z77" i="34" s="1"/>
  <c r="AA77" i="34" s="1"/>
  <c r="AB77" i="34" s="1"/>
  <c r="AC77" i="34" s="1"/>
  <c r="AD77" i="34" s="1"/>
  <c r="AE77" i="34" s="1"/>
  <c r="AF77" i="34" s="1"/>
  <c r="AG77" i="34" s="1"/>
  <c r="AH77" i="34" s="1"/>
  <c r="D22" i="34"/>
  <c r="E91" i="34" s="1"/>
  <c r="F91" i="34" s="1"/>
  <c r="G91" i="34" s="1"/>
  <c r="H91" i="34" s="1"/>
  <c r="I91" i="34" s="1"/>
  <c r="J91" i="34" s="1"/>
  <c r="K91" i="34" s="1"/>
  <c r="L91" i="34" s="1"/>
  <c r="M91" i="34" s="1"/>
  <c r="N91" i="34" s="1"/>
  <c r="O91" i="34" s="1"/>
  <c r="P91" i="34" s="1"/>
  <c r="Q91" i="34" s="1"/>
  <c r="R91" i="34" s="1"/>
  <c r="S91" i="34" s="1"/>
  <c r="T91" i="34" s="1"/>
  <c r="U91" i="34" s="1"/>
  <c r="V91" i="34" s="1"/>
  <c r="W91" i="34" s="1"/>
  <c r="X91" i="34" s="1"/>
  <c r="Y91" i="34" s="1"/>
  <c r="Z91" i="34" s="1"/>
  <c r="AA91" i="34" s="1"/>
  <c r="AB91" i="34" s="1"/>
  <c r="AC91" i="34" s="1"/>
  <c r="AD91" i="34" s="1"/>
  <c r="AE91" i="34" s="1"/>
  <c r="AF91" i="34" s="1"/>
  <c r="AG91" i="34" s="1"/>
  <c r="AH91" i="34" s="1"/>
  <c r="E83" i="34"/>
  <c r="F83" i="34" s="1"/>
  <c r="G83" i="34" s="1"/>
  <c r="H83" i="34" s="1"/>
  <c r="I83" i="34" s="1"/>
  <c r="J83" i="34" s="1"/>
  <c r="K83" i="34" s="1"/>
  <c r="L83" i="34" s="1"/>
  <c r="M83" i="34" s="1"/>
  <c r="N83" i="34" s="1"/>
  <c r="O83" i="34" s="1"/>
  <c r="P83" i="34" s="1"/>
  <c r="Q83" i="34" s="1"/>
  <c r="R83" i="34" s="1"/>
  <c r="S83" i="34" s="1"/>
  <c r="T83" i="34" s="1"/>
  <c r="U83" i="34" s="1"/>
  <c r="V83" i="34" s="1"/>
  <c r="W83" i="34" s="1"/>
  <c r="X83" i="34" s="1"/>
  <c r="Y83" i="34" s="1"/>
  <c r="Z83" i="34" s="1"/>
  <c r="AA83" i="34" s="1"/>
  <c r="AB83" i="34" s="1"/>
  <c r="AC83" i="34" s="1"/>
  <c r="AD83" i="34" s="1"/>
  <c r="AE83" i="34" s="1"/>
  <c r="AF83" i="34" s="1"/>
  <c r="AG83" i="34" s="1"/>
  <c r="AH83" i="34" s="1"/>
  <c r="AG125" i="20"/>
  <c r="AG128" i="20"/>
  <c r="AG123" i="20"/>
  <c r="AG126" i="20"/>
  <c r="AG127" i="20"/>
  <c r="AG124" i="20"/>
  <c r="F14" i="34"/>
  <c r="E81" i="34" s="1"/>
  <c r="F81" i="34" s="1"/>
  <c r="G81" i="34" s="1"/>
  <c r="H81" i="34" s="1"/>
  <c r="I81" i="34" s="1"/>
  <c r="J81" i="34" s="1"/>
  <c r="K81" i="34" s="1"/>
  <c r="L81" i="34" s="1"/>
  <c r="M81" i="34" s="1"/>
  <c r="N81" i="34" s="1"/>
  <c r="O81" i="34" s="1"/>
  <c r="P81" i="34" s="1"/>
  <c r="Q81" i="34" s="1"/>
  <c r="R81" i="34" s="1"/>
  <c r="S81" i="34" s="1"/>
  <c r="T81" i="34" s="1"/>
  <c r="U81" i="34" s="1"/>
  <c r="V81" i="34" s="1"/>
  <c r="W81" i="34" s="1"/>
  <c r="X81" i="34" s="1"/>
  <c r="Y81" i="34" s="1"/>
  <c r="Z81" i="34" s="1"/>
  <c r="AA81" i="34" s="1"/>
  <c r="AB81" i="34" s="1"/>
  <c r="AC81" i="34" s="1"/>
  <c r="AD81" i="34" s="1"/>
  <c r="AE81" i="34" s="1"/>
  <c r="AF81" i="34" s="1"/>
  <c r="AG81" i="34" s="1"/>
  <c r="AH81" i="34" s="1"/>
  <c r="D15" i="34"/>
  <c r="E72" i="34" s="1"/>
  <c r="F72" i="34" s="1"/>
  <c r="G72" i="34" s="1"/>
  <c r="H72" i="34" s="1"/>
  <c r="I72" i="34" s="1"/>
  <c r="J72" i="34" s="1"/>
  <c r="K72" i="34" s="1"/>
  <c r="L72" i="34" s="1"/>
  <c r="M72" i="34" s="1"/>
  <c r="N72" i="34" s="1"/>
  <c r="O72" i="34" s="1"/>
  <c r="P72" i="34" s="1"/>
  <c r="Q72" i="34" s="1"/>
  <c r="R72" i="34" s="1"/>
  <c r="S72" i="34" s="1"/>
  <c r="T72" i="34" s="1"/>
  <c r="U72" i="34" s="1"/>
  <c r="V72" i="34" s="1"/>
  <c r="W72" i="34" s="1"/>
  <c r="X72" i="34" s="1"/>
  <c r="Y72" i="34" s="1"/>
  <c r="Z72" i="34" s="1"/>
  <c r="AA72" i="34" s="1"/>
  <c r="AB72" i="34" s="1"/>
  <c r="AC72" i="34" s="1"/>
  <c r="AD72" i="34" s="1"/>
  <c r="AE72" i="34" s="1"/>
  <c r="AF72" i="34" s="1"/>
  <c r="AG72" i="34" s="1"/>
  <c r="AH72" i="34" s="1"/>
  <c r="D38" i="34"/>
  <c r="E111" i="34" s="1"/>
  <c r="F111" i="34" s="1"/>
  <c r="G111" i="34" s="1"/>
  <c r="H111" i="34" s="1"/>
  <c r="I111" i="34" s="1"/>
  <c r="J111" i="34" s="1"/>
  <c r="K111" i="34" s="1"/>
  <c r="L111" i="34" s="1"/>
  <c r="M111" i="34" s="1"/>
  <c r="N111" i="34" s="1"/>
  <c r="O111" i="34" s="1"/>
  <c r="P111" i="34" s="1"/>
  <c r="Q111" i="34" s="1"/>
  <c r="R111" i="34" s="1"/>
  <c r="S111" i="34" s="1"/>
  <c r="T111" i="34" s="1"/>
  <c r="U111" i="34" s="1"/>
  <c r="V111" i="34" s="1"/>
  <c r="W111" i="34" s="1"/>
  <c r="X111" i="34" s="1"/>
  <c r="Y111" i="34" s="1"/>
  <c r="Z111" i="34" s="1"/>
  <c r="AA111" i="34" s="1"/>
  <c r="AB111" i="34" s="1"/>
  <c r="AC111" i="34" s="1"/>
  <c r="AD111" i="34" s="1"/>
  <c r="AE111" i="34" s="1"/>
  <c r="AF111" i="34" s="1"/>
  <c r="AG111" i="34" s="1"/>
  <c r="AH111" i="34" s="1"/>
  <c r="E101" i="34"/>
  <c r="F101" i="34" s="1"/>
  <c r="G101" i="34" s="1"/>
  <c r="H101" i="34" s="1"/>
  <c r="I101" i="34" s="1"/>
  <c r="J101" i="34" s="1"/>
  <c r="K101" i="34" s="1"/>
  <c r="L101" i="34" s="1"/>
  <c r="M101" i="34" s="1"/>
  <c r="N101" i="34" s="1"/>
  <c r="O101" i="34" s="1"/>
  <c r="P101" i="34" s="1"/>
  <c r="Q101" i="34" s="1"/>
  <c r="R101" i="34" s="1"/>
  <c r="S101" i="34" s="1"/>
  <c r="T101" i="34" s="1"/>
  <c r="U101" i="34" s="1"/>
  <c r="V101" i="34" s="1"/>
  <c r="W101" i="34" s="1"/>
  <c r="X101" i="34" s="1"/>
  <c r="Y101" i="34" s="1"/>
  <c r="Z101" i="34" s="1"/>
  <c r="AA101" i="34" s="1"/>
  <c r="AB101" i="34" s="1"/>
  <c r="AC101" i="34" s="1"/>
  <c r="AD101" i="34" s="1"/>
  <c r="AE101" i="34" s="1"/>
  <c r="AF101" i="34" s="1"/>
  <c r="AG101" i="34" s="1"/>
  <c r="AH101" i="34" s="1"/>
  <c r="C76" i="33"/>
  <c r="C21" i="20" s="1"/>
  <c r="D30" i="34"/>
  <c r="E106" i="34" s="1"/>
  <c r="F106" i="34" s="1"/>
  <c r="G106" i="34" s="1"/>
  <c r="H106" i="34" s="1"/>
  <c r="I106" i="34" s="1"/>
  <c r="J106" i="34" s="1"/>
  <c r="K106" i="34" s="1"/>
  <c r="L106" i="34" s="1"/>
  <c r="M106" i="34" s="1"/>
  <c r="N106" i="34" s="1"/>
  <c r="O106" i="34" s="1"/>
  <c r="P106" i="34" s="1"/>
  <c r="Q106" i="34" s="1"/>
  <c r="R106" i="34" s="1"/>
  <c r="S106" i="34" s="1"/>
  <c r="T106" i="34" s="1"/>
  <c r="U106" i="34" s="1"/>
  <c r="V106" i="34" s="1"/>
  <c r="W106" i="34" s="1"/>
  <c r="X106" i="34" s="1"/>
  <c r="Y106" i="34" s="1"/>
  <c r="Z106" i="34" s="1"/>
  <c r="AA106" i="34" s="1"/>
  <c r="AB106" i="34" s="1"/>
  <c r="AC106" i="34" s="1"/>
  <c r="AD106" i="34" s="1"/>
  <c r="AE106" i="34" s="1"/>
  <c r="AF106" i="34" s="1"/>
  <c r="AG106" i="34" s="1"/>
  <c r="AH106" i="34" s="1"/>
  <c r="F13" i="34"/>
  <c r="E80" i="34" s="1"/>
  <c r="F80" i="34" s="1"/>
  <c r="G80" i="34" s="1"/>
  <c r="H80" i="34" s="1"/>
  <c r="I80" i="34" s="1"/>
  <c r="J80" i="34" s="1"/>
  <c r="K80" i="34" s="1"/>
  <c r="L80" i="34" s="1"/>
  <c r="M80" i="34" s="1"/>
  <c r="N80" i="34" s="1"/>
  <c r="O80" i="34" s="1"/>
  <c r="P80" i="34" s="1"/>
  <c r="Q80" i="34" s="1"/>
  <c r="R80" i="34" s="1"/>
  <c r="S80" i="34" s="1"/>
  <c r="T80" i="34" s="1"/>
  <c r="U80" i="34" s="1"/>
  <c r="V80" i="34" s="1"/>
  <c r="W80" i="34" s="1"/>
  <c r="X80" i="34" s="1"/>
  <c r="Y80" i="34" s="1"/>
  <c r="Z80" i="34" s="1"/>
  <c r="AA80" i="34" s="1"/>
  <c r="AB80" i="34" s="1"/>
  <c r="AC80" i="34" s="1"/>
  <c r="AD80" i="34" s="1"/>
  <c r="AE80" i="34" s="1"/>
  <c r="AF80" i="34" s="1"/>
  <c r="AG80" i="34" s="1"/>
  <c r="AH80" i="34" s="1"/>
  <c r="D110" i="28"/>
  <c r="C111" i="28"/>
  <c r="D39" i="34"/>
  <c r="E112" i="34" s="1"/>
  <c r="F112" i="34" s="1"/>
  <c r="G112" i="34" s="1"/>
  <c r="H112" i="34" s="1"/>
  <c r="I112" i="34" s="1"/>
  <c r="J112" i="34" s="1"/>
  <c r="K112" i="34" s="1"/>
  <c r="L112" i="34" s="1"/>
  <c r="M112" i="34" s="1"/>
  <c r="N112" i="34" s="1"/>
  <c r="O112" i="34" s="1"/>
  <c r="P112" i="34" s="1"/>
  <c r="Q112" i="34" s="1"/>
  <c r="R112" i="34" s="1"/>
  <c r="S112" i="34" s="1"/>
  <c r="T112" i="34" s="1"/>
  <c r="U112" i="34" s="1"/>
  <c r="V112" i="34" s="1"/>
  <c r="W112" i="34" s="1"/>
  <c r="X112" i="34" s="1"/>
  <c r="Y112" i="34" s="1"/>
  <c r="Z112" i="34" s="1"/>
  <c r="AA112" i="34" s="1"/>
  <c r="AB112" i="34" s="1"/>
  <c r="AC112" i="34" s="1"/>
  <c r="AD112" i="34" s="1"/>
  <c r="AE112" i="34" s="1"/>
  <c r="AF112" i="34" s="1"/>
  <c r="AG112" i="34" s="1"/>
  <c r="AH112" i="34" s="1"/>
  <c r="D11" i="34"/>
  <c r="D122" i="20"/>
  <c r="C128" i="20"/>
  <c r="C125" i="20"/>
  <c r="C126" i="20"/>
  <c r="C124" i="20"/>
  <c r="C127" i="20"/>
  <c r="C123" i="20"/>
  <c r="C199" i="20"/>
  <c r="D198" i="20"/>
  <c r="H21" i="28"/>
  <c r="C25" i="19"/>
  <c r="D25" i="19" s="1"/>
  <c r="E25" i="19" s="1"/>
  <c r="F25" i="19" s="1"/>
  <c r="G25" i="19" s="1"/>
  <c r="H25" i="19" s="1"/>
  <c r="I25" i="19" s="1"/>
  <c r="J25" i="19" s="1"/>
  <c r="K25" i="19" s="1"/>
  <c r="L25" i="19" s="1"/>
  <c r="M25" i="19" s="1"/>
  <c r="N25" i="19" s="1"/>
  <c r="O25" i="19" s="1"/>
  <c r="P25" i="19" s="1"/>
  <c r="Q25" i="19" s="1"/>
  <c r="R25" i="19" s="1"/>
  <c r="S25" i="19" s="1"/>
  <c r="T25" i="19" s="1"/>
  <c r="U25" i="19" s="1"/>
  <c r="V25" i="19" s="1"/>
  <c r="W25" i="19" s="1"/>
  <c r="X25" i="19" s="1"/>
  <c r="Y25" i="19" s="1"/>
  <c r="Z25" i="19" s="1"/>
  <c r="AA25" i="19" s="1"/>
  <c r="AB25" i="19" s="1"/>
  <c r="AC25" i="19" s="1"/>
  <c r="AD25" i="19" s="1"/>
  <c r="AE25" i="19" s="1"/>
  <c r="AF25" i="19" s="1"/>
  <c r="AG25" i="19" s="1"/>
  <c r="D25" i="20"/>
  <c r="E25" i="20" s="1"/>
  <c r="F25" i="20" s="1"/>
  <c r="G25" i="20" s="1"/>
  <c r="H25" i="20" s="1"/>
  <c r="I25" i="20" s="1"/>
  <c r="J25" i="20" s="1"/>
  <c r="K25" i="20" s="1"/>
  <c r="L25" i="20" s="1"/>
  <c r="M25" i="20" s="1"/>
  <c r="N25" i="20" s="1"/>
  <c r="O25" i="20" s="1"/>
  <c r="P25" i="20" s="1"/>
  <c r="Q25" i="20" s="1"/>
  <c r="R25" i="20" s="1"/>
  <c r="S25" i="20" s="1"/>
  <c r="T25" i="20" s="1"/>
  <c r="U25" i="20" s="1"/>
  <c r="V25" i="20" s="1"/>
  <c r="W25" i="20" s="1"/>
  <c r="X25" i="20" s="1"/>
  <c r="Y25" i="20" s="1"/>
  <c r="Z25" i="20" s="1"/>
  <c r="AA25" i="20" s="1"/>
  <c r="C24" i="19"/>
  <c r="D24" i="19" s="1"/>
  <c r="E24" i="19" s="1"/>
  <c r="F24" i="19" s="1"/>
  <c r="G24" i="19" s="1"/>
  <c r="H24" i="19" s="1"/>
  <c r="I24" i="19" s="1"/>
  <c r="J24" i="19" s="1"/>
  <c r="K24" i="19" s="1"/>
  <c r="L24" i="19" s="1"/>
  <c r="M24" i="19" s="1"/>
  <c r="N24" i="19" s="1"/>
  <c r="O24" i="19" s="1"/>
  <c r="P24" i="19" s="1"/>
  <c r="Q24" i="19" s="1"/>
  <c r="R24" i="19" s="1"/>
  <c r="S24" i="19" s="1"/>
  <c r="T24" i="19" s="1"/>
  <c r="U24" i="19" s="1"/>
  <c r="V24" i="19" s="1"/>
  <c r="W24" i="19" s="1"/>
  <c r="X24" i="19" s="1"/>
  <c r="Y24" i="19" s="1"/>
  <c r="Z24" i="19" s="1"/>
  <c r="AA24" i="19" s="1"/>
  <c r="AB24" i="19" s="1"/>
  <c r="AC24" i="19" s="1"/>
  <c r="AD24" i="19" s="1"/>
  <c r="AE24" i="19" s="1"/>
  <c r="AF24" i="19" s="1"/>
  <c r="AG24" i="19" s="1"/>
  <c r="D24" i="20"/>
  <c r="E24" i="20" s="1"/>
  <c r="F24" i="20" s="1"/>
  <c r="G24" i="20" s="1"/>
  <c r="H24" i="20" s="1"/>
  <c r="I24" i="20" s="1"/>
  <c r="J24" i="20" s="1"/>
  <c r="K24" i="20" s="1"/>
  <c r="L24" i="20" s="1"/>
  <c r="M24" i="20" s="1"/>
  <c r="N24" i="20" s="1"/>
  <c r="O24" i="20" s="1"/>
  <c r="P24" i="20" s="1"/>
  <c r="Q24" i="20" s="1"/>
  <c r="R24" i="20" s="1"/>
  <c r="S24" i="20" s="1"/>
  <c r="T24" i="20" s="1"/>
  <c r="U24" i="20" s="1"/>
  <c r="V24" i="20" s="1"/>
  <c r="W24" i="20" s="1"/>
  <c r="X24" i="20" s="1"/>
  <c r="Y24" i="20" s="1"/>
  <c r="Z24" i="20" s="1"/>
  <c r="AA24" i="20" s="1"/>
  <c r="AB24" i="20" s="1"/>
  <c r="F22" i="28"/>
  <c r="G13" i="34"/>
  <c r="E85" i="34" s="1"/>
  <c r="F85" i="34" s="1"/>
  <c r="G85" i="34" s="1"/>
  <c r="H85" i="34" s="1"/>
  <c r="I85" i="34" s="1"/>
  <c r="J85" i="34" s="1"/>
  <c r="K85" i="34" s="1"/>
  <c r="L85" i="34" s="1"/>
  <c r="M85" i="34" s="1"/>
  <c r="N85" i="34" s="1"/>
  <c r="O85" i="34" s="1"/>
  <c r="P85" i="34" s="1"/>
  <c r="Q85" i="34" s="1"/>
  <c r="R85" i="34" s="1"/>
  <c r="S85" i="34" s="1"/>
  <c r="T85" i="34" s="1"/>
  <c r="U85" i="34" s="1"/>
  <c r="V85" i="34" s="1"/>
  <c r="W85" i="34" s="1"/>
  <c r="X85" i="34" s="1"/>
  <c r="Y85" i="34" s="1"/>
  <c r="Z85" i="34" s="1"/>
  <c r="AA85" i="34" s="1"/>
  <c r="AB85" i="34" s="1"/>
  <c r="AC85" i="34" s="1"/>
  <c r="AD85" i="34" s="1"/>
  <c r="AE85" i="34" s="1"/>
  <c r="AF85" i="34" s="1"/>
  <c r="AG85" i="34" s="1"/>
  <c r="AH85" i="34" s="1"/>
  <c r="D23" i="34"/>
  <c r="E92" i="34" s="1"/>
  <c r="F92" i="34" s="1"/>
  <c r="G92" i="34" s="1"/>
  <c r="H92" i="34" s="1"/>
  <c r="I92" i="34" s="1"/>
  <c r="J92" i="34" s="1"/>
  <c r="K92" i="34" s="1"/>
  <c r="L92" i="34" s="1"/>
  <c r="M92" i="34" s="1"/>
  <c r="N92" i="34" s="1"/>
  <c r="O92" i="34" s="1"/>
  <c r="P92" i="34" s="1"/>
  <c r="Q92" i="34" s="1"/>
  <c r="R92" i="34" s="1"/>
  <c r="S92" i="34" s="1"/>
  <c r="T92" i="34" s="1"/>
  <c r="U92" i="34" s="1"/>
  <c r="V92" i="34" s="1"/>
  <c r="W92" i="34" s="1"/>
  <c r="X92" i="34" s="1"/>
  <c r="Y92" i="34" s="1"/>
  <c r="Z92" i="34" s="1"/>
  <c r="AA92" i="34" s="1"/>
  <c r="AB92" i="34" s="1"/>
  <c r="AC92" i="34" s="1"/>
  <c r="AD92" i="34" s="1"/>
  <c r="AE92" i="34" s="1"/>
  <c r="AF92" i="34" s="1"/>
  <c r="AG92" i="34" s="1"/>
  <c r="AH92" i="34" s="1"/>
  <c r="E11" i="34"/>
  <c r="D36" i="34"/>
  <c r="E109" i="34" s="1"/>
  <c r="F109" i="34" s="1"/>
  <c r="G109" i="34" s="1"/>
  <c r="H109" i="34" s="1"/>
  <c r="I109" i="34" s="1"/>
  <c r="J109" i="34" s="1"/>
  <c r="K109" i="34" s="1"/>
  <c r="L109" i="34" s="1"/>
  <c r="M109" i="34" s="1"/>
  <c r="N109" i="34" s="1"/>
  <c r="O109" i="34" s="1"/>
  <c r="P109" i="34" s="1"/>
  <c r="Q109" i="34" s="1"/>
  <c r="R109" i="34" s="1"/>
  <c r="S109" i="34" s="1"/>
  <c r="T109" i="34" s="1"/>
  <c r="U109" i="34" s="1"/>
  <c r="V109" i="34" s="1"/>
  <c r="W109" i="34" s="1"/>
  <c r="X109" i="34" s="1"/>
  <c r="Y109" i="34" s="1"/>
  <c r="Z109" i="34" s="1"/>
  <c r="AA109" i="34" s="1"/>
  <c r="AB109" i="34" s="1"/>
  <c r="AC109" i="34" s="1"/>
  <c r="AD109" i="34" s="1"/>
  <c r="AE109" i="34" s="1"/>
  <c r="AF109" i="34" s="1"/>
  <c r="AG109" i="34" s="1"/>
  <c r="AH109" i="34" s="1"/>
  <c r="AG66" i="28"/>
  <c r="AG63" i="28"/>
  <c r="AG67" i="28"/>
  <c r="AG64" i="28"/>
  <c r="D85" i="28"/>
  <c r="C90" i="28"/>
  <c r="C86" i="28"/>
  <c r="C89" i="28"/>
  <c r="C88" i="28"/>
  <c r="C87" i="28"/>
  <c r="C91" i="28"/>
  <c r="AG86" i="28"/>
  <c r="AG91" i="28"/>
  <c r="AG88" i="28"/>
  <c r="AG89" i="28"/>
  <c r="AG90" i="28"/>
  <c r="AG87" i="28"/>
  <c r="D62" i="28"/>
  <c r="C63" i="28"/>
  <c r="C66" i="28"/>
  <c r="C67" i="28"/>
  <c r="C64" i="28"/>
  <c r="AG68" i="20"/>
  <c r="AG67" i="20"/>
  <c r="G25" i="28"/>
  <c r="F23" i="28"/>
  <c r="E14" i="34"/>
  <c r="E76" i="34" s="1"/>
  <c r="F76" i="34" s="1"/>
  <c r="G76" i="34" s="1"/>
  <c r="H76" i="34" s="1"/>
  <c r="I76" i="34" s="1"/>
  <c r="J76" i="34" s="1"/>
  <c r="K76" i="34" s="1"/>
  <c r="L76" i="34" s="1"/>
  <c r="M76" i="34" s="1"/>
  <c r="N76" i="34" s="1"/>
  <c r="O76" i="34" s="1"/>
  <c r="P76" i="34" s="1"/>
  <c r="Q76" i="34" s="1"/>
  <c r="R76" i="34" s="1"/>
  <c r="S76" i="34" s="1"/>
  <c r="T76" i="34" s="1"/>
  <c r="U76" i="34" s="1"/>
  <c r="V76" i="34" s="1"/>
  <c r="W76" i="34" s="1"/>
  <c r="X76" i="34" s="1"/>
  <c r="Y76" i="34" s="1"/>
  <c r="Z76" i="34" s="1"/>
  <c r="AA76" i="34" s="1"/>
  <c r="AB76" i="34" s="1"/>
  <c r="AC76" i="34" s="1"/>
  <c r="AD76" i="34" s="1"/>
  <c r="AE76" i="34" s="1"/>
  <c r="AF76" i="34" s="1"/>
  <c r="AG76" i="34" s="1"/>
  <c r="AH76" i="34" s="1"/>
  <c r="F15" i="34"/>
  <c r="E82" i="34" s="1"/>
  <c r="F82" i="34" s="1"/>
  <c r="G82" i="34" s="1"/>
  <c r="H82" i="34" s="1"/>
  <c r="I82" i="34" s="1"/>
  <c r="J82" i="34" s="1"/>
  <c r="K82" i="34" s="1"/>
  <c r="L82" i="34" s="1"/>
  <c r="M82" i="34" s="1"/>
  <c r="N82" i="34" s="1"/>
  <c r="O82" i="34" s="1"/>
  <c r="P82" i="34" s="1"/>
  <c r="Q82" i="34" s="1"/>
  <c r="R82" i="34" s="1"/>
  <c r="S82" i="34" s="1"/>
  <c r="T82" i="34" s="1"/>
  <c r="U82" i="34" s="1"/>
  <c r="V82" i="34" s="1"/>
  <c r="W82" i="34" s="1"/>
  <c r="X82" i="34" s="1"/>
  <c r="Y82" i="34" s="1"/>
  <c r="Z82" i="34" s="1"/>
  <c r="AA82" i="34" s="1"/>
  <c r="AB82" i="34" s="1"/>
  <c r="AC82" i="34" s="1"/>
  <c r="AD82" i="34" s="1"/>
  <c r="AE82" i="34" s="1"/>
  <c r="AF82" i="34" s="1"/>
  <c r="AG82" i="34" s="1"/>
  <c r="AH82" i="34" s="1"/>
  <c r="E22" i="34"/>
  <c r="C22" i="19"/>
  <c r="D22" i="19" s="1"/>
  <c r="E22" i="19" s="1"/>
  <c r="F22" i="19" s="1"/>
  <c r="G22" i="19" s="1"/>
  <c r="H22" i="19" s="1"/>
  <c r="I22" i="19" s="1"/>
  <c r="J22" i="19" s="1"/>
  <c r="K22" i="19" s="1"/>
  <c r="L22" i="19" s="1"/>
  <c r="M22" i="19" s="1"/>
  <c r="N22" i="19" s="1"/>
  <c r="O22" i="19" s="1"/>
  <c r="P22" i="19" s="1"/>
  <c r="Q22" i="19" s="1"/>
  <c r="R22" i="19" s="1"/>
  <c r="S22" i="19" s="1"/>
  <c r="T22" i="19" s="1"/>
  <c r="U22" i="19" s="1"/>
  <c r="V22" i="19" s="1"/>
  <c r="W22" i="19" s="1"/>
  <c r="X22" i="19" s="1"/>
  <c r="Y22" i="19" s="1"/>
  <c r="Z22" i="19" s="1"/>
  <c r="AA22" i="19" s="1"/>
  <c r="AB22" i="19" s="1"/>
  <c r="AC22" i="19" s="1"/>
  <c r="AD22" i="19" s="1"/>
  <c r="AE22" i="19" s="1"/>
  <c r="AF22" i="19" s="1"/>
  <c r="AG22" i="19" s="1"/>
  <c r="D22" i="20"/>
  <c r="E22" i="20" s="1"/>
  <c r="F22" i="20" s="1"/>
  <c r="G22" i="20" s="1"/>
  <c r="H22" i="20" s="1"/>
  <c r="I22" i="20" s="1"/>
  <c r="J22" i="20" s="1"/>
  <c r="K22" i="20" s="1"/>
  <c r="L22" i="20" s="1"/>
  <c r="M22" i="20" s="1"/>
  <c r="N22" i="20" s="1"/>
  <c r="O22" i="20" s="1"/>
  <c r="P22" i="20" s="1"/>
  <c r="Q22" i="20" s="1"/>
  <c r="R22" i="20" s="1"/>
  <c r="S22" i="20" s="1"/>
  <c r="T22" i="20" s="1"/>
  <c r="U22" i="20" s="1"/>
  <c r="V22" i="20" s="1"/>
  <c r="W22" i="20" s="1"/>
  <c r="X22" i="20" s="1"/>
  <c r="Y22" i="20" s="1"/>
  <c r="Z22" i="20" s="1"/>
  <c r="AA22" i="20" s="1"/>
  <c r="J79" i="33"/>
  <c r="J76" i="33"/>
  <c r="J69" i="33"/>
  <c r="J77" i="33" s="1"/>
  <c r="J78" i="33"/>
  <c r="J72" i="33"/>
  <c r="J80" i="33" s="1"/>
  <c r="J84" i="33"/>
  <c r="J85" i="33"/>
  <c r="J88" i="33"/>
  <c r="J86" i="33"/>
  <c r="J87" i="33"/>
  <c r="D13" i="34"/>
  <c r="E70" i="34" s="1"/>
  <c r="F70" i="34" s="1"/>
  <c r="G70" i="34" s="1"/>
  <c r="H70" i="34" s="1"/>
  <c r="I70" i="34" s="1"/>
  <c r="J70" i="34" s="1"/>
  <c r="K70" i="34" s="1"/>
  <c r="L70" i="34" s="1"/>
  <c r="M70" i="34" s="1"/>
  <c r="N70" i="34" s="1"/>
  <c r="O70" i="34" s="1"/>
  <c r="P70" i="34" s="1"/>
  <c r="Q70" i="34" s="1"/>
  <c r="R70" i="34" s="1"/>
  <c r="S70" i="34" s="1"/>
  <c r="T70" i="34" s="1"/>
  <c r="U70" i="34" s="1"/>
  <c r="V70" i="34" s="1"/>
  <c r="W70" i="34" s="1"/>
  <c r="X70" i="34" s="1"/>
  <c r="Y70" i="34" s="1"/>
  <c r="Z70" i="34" s="1"/>
  <c r="AA70" i="34" s="1"/>
  <c r="AB70" i="34" s="1"/>
  <c r="AC70" i="34" s="1"/>
  <c r="AD70" i="34" s="1"/>
  <c r="AE70" i="34" s="1"/>
  <c r="AF70" i="34" s="1"/>
  <c r="AG70" i="34" s="1"/>
  <c r="AH70" i="34" s="1"/>
  <c r="C170" i="20"/>
  <c r="C173" i="20"/>
  <c r="C171" i="20"/>
  <c r="C172" i="20"/>
  <c r="D169" i="20"/>
  <c r="C174" i="20"/>
  <c r="D29" i="34"/>
  <c r="E105" i="34" s="1"/>
  <c r="F105" i="34" s="1"/>
  <c r="G105" i="34" s="1"/>
  <c r="H105" i="34" s="1"/>
  <c r="I105" i="34" s="1"/>
  <c r="J105" i="34" s="1"/>
  <c r="K105" i="34" s="1"/>
  <c r="L105" i="34" s="1"/>
  <c r="M105" i="34" s="1"/>
  <c r="N105" i="34" s="1"/>
  <c r="O105" i="34" s="1"/>
  <c r="P105" i="34" s="1"/>
  <c r="Q105" i="34" s="1"/>
  <c r="R105" i="34" s="1"/>
  <c r="S105" i="34" s="1"/>
  <c r="T105" i="34" s="1"/>
  <c r="U105" i="34" s="1"/>
  <c r="V105" i="34" s="1"/>
  <c r="W105" i="34" s="1"/>
  <c r="X105" i="34" s="1"/>
  <c r="Y105" i="34" s="1"/>
  <c r="Z105" i="34" s="1"/>
  <c r="AA105" i="34" s="1"/>
  <c r="AB105" i="34" s="1"/>
  <c r="AC105" i="34" s="1"/>
  <c r="AD105" i="34" s="1"/>
  <c r="AE105" i="34" s="1"/>
  <c r="AF105" i="34" s="1"/>
  <c r="AG105" i="34" s="1"/>
  <c r="AH105" i="34" s="1"/>
  <c r="E23" i="34"/>
  <c r="E97" i="34" s="1"/>
  <c r="F97" i="34" s="1"/>
  <c r="G97" i="34" s="1"/>
  <c r="H97" i="34" s="1"/>
  <c r="I97" i="34" s="1"/>
  <c r="J97" i="34" s="1"/>
  <c r="K97" i="34" s="1"/>
  <c r="L97" i="34" s="1"/>
  <c r="M97" i="34" s="1"/>
  <c r="N97" i="34" s="1"/>
  <c r="O97" i="34" s="1"/>
  <c r="P97" i="34" s="1"/>
  <c r="Q97" i="34" s="1"/>
  <c r="R97" i="34" s="1"/>
  <c r="S97" i="34" s="1"/>
  <c r="T97" i="34" s="1"/>
  <c r="U97" i="34" s="1"/>
  <c r="V97" i="34" s="1"/>
  <c r="W97" i="34" s="1"/>
  <c r="X97" i="34" s="1"/>
  <c r="Y97" i="34" s="1"/>
  <c r="Z97" i="34" s="1"/>
  <c r="AA97" i="34" s="1"/>
  <c r="AB97" i="34" s="1"/>
  <c r="AC97" i="34" s="1"/>
  <c r="AD97" i="34" s="1"/>
  <c r="AE97" i="34" s="1"/>
  <c r="AF97" i="34" s="1"/>
  <c r="AG97" i="34" s="1"/>
  <c r="AH97" i="34" s="1"/>
  <c r="F11" i="34"/>
  <c r="C23" i="19"/>
  <c r="D23" i="19" s="1"/>
  <c r="E23" i="19" s="1"/>
  <c r="F23" i="19" s="1"/>
  <c r="G23" i="19" s="1"/>
  <c r="H23" i="19" s="1"/>
  <c r="I23" i="19" s="1"/>
  <c r="J23" i="19" s="1"/>
  <c r="K23" i="19" s="1"/>
  <c r="L23" i="19" s="1"/>
  <c r="M23" i="19" s="1"/>
  <c r="N23" i="19" s="1"/>
  <c r="O23" i="19" s="1"/>
  <c r="P23" i="19" s="1"/>
  <c r="Q23" i="19" s="1"/>
  <c r="R23" i="19" s="1"/>
  <c r="S23" i="19" s="1"/>
  <c r="T23" i="19" s="1"/>
  <c r="U23" i="19" s="1"/>
  <c r="V23" i="19" s="1"/>
  <c r="W23" i="19" s="1"/>
  <c r="X23" i="19" s="1"/>
  <c r="Y23" i="19" s="1"/>
  <c r="Z23" i="19" s="1"/>
  <c r="AA23" i="19" s="1"/>
  <c r="AB23" i="19" s="1"/>
  <c r="AC23" i="19" s="1"/>
  <c r="AD23" i="19" s="1"/>
  <c r="AE23" i="19" s="1"/>
  <c r="AF23" i="19" s="1"/>
  <c r="AG23" i="19" s="1"/>
  <c r="D23" i="20"/>
  <c r="E23" i="20" s="1"/>
  <c r="F23" i="20" s="1"/>
  <c r="G23" i="20" s="1"/>
  <c r="H23" i="20" s="1"/>
  <c r="I23" i="20" s="1"/>
  <c r="J23" i="20" s="1"/>
  <c r="K23" i="20" s="1"/>
  <c r="L23" i="20" s="1"/>
  <c r="M23" i="20" s="1"/>
  <c r="N23" i="20" s="1"/>
  <c r="O23" i="20" s="1"/>
  <c r="P23" i="20" s="1"/>
  <c r="Q23" i="20" s="1"/>
  <c r="R23" i="20" s="1"/>
  <c r="S23" i="20" s="1"/>
  <c r="T23" i="20" s="1"/>
  <c r="U23" i="20" s="1"/>
  <c r="V23" i="20" s="1"/>
  <c r="W23" i="20" s="1"/>
  <c r="X23" i="20" s="1"/>
  <c r="Y23" i="20" s="1"/>
  <c r="Z23" i="20" s="1"/>
  <c r="AA23" i="20" s="1"/>
  <c r="C268" i="19"/>
  <c r="D310" i="20"/>
  <c r="E13" i="34"/>
  <c r="E75" i="34" s="1"/>
  <c r="F75" i="34" s="1"/>
  <c r="G75" i="34" s="1"/>
  <c r="H75" i="34" s="1"/>
  <c r="I75" i="34" s="1"/>
  <c r="J75" i="34" s="1"/>
  <c r="K75" i="34" s="1"/>
  <c r="L75" i="34" s="1"/>
  <c r="M75" i="34" s="1"/>
  <c r="N75" i="34" s="1"/>
  <c r="O75" i="34" s="1"/>
  <c r="P75" i="34" s="1"/>
  <c r="Q75" i="34" s="1"/>
  <c r="R75" i="34" s="1"/>
  <c r="S75" i="34" s="1"/>
  <c r="T75" i="34" s="1"/>
  <c r="U75" i="34" s="1"/>
  <c r="V75" i="34" s="1"/>
  <c r="W75" i="34" s="1"/>
  <c r="X75" i="34" s="1"/>
  <c r="Y75" i="34" s="1"/>
  <c r="Z75" i="34" s="1"/>
  <c r="AA75" i="34" s="1"/>
  <c r="AB75" i="34" s="1"/>
  <c r="AC75" i="34" s="1"/>
  <c r="AD75" i="34" s="1"/>
  <c r="AE75" i="34" s="1"/>
  <c r="AF75" i="34" s="1"/>
  <c r="AG75" i="34" s="1"/>
  <c r="AH75" i="34" s="1"/>
  <c r="AG172" i="20"/>
  <c r="AG173" i="20"/>
  <c r="AG170" i="20"/>
  <c r="AG174" i="20"/>
  <c r="AG171" i="20"/>
  <c r="F23" i="34"/>
  <c r="E102" i="34" s="1"/>
  <c r="F102" i="34" s="1"/>
  <c r="G102" i="34" s="1"/>
  <c r="H102" i="34" s="1"/>
  <c r="I102" i="34" s="1"/>
  <c r="J102" i="34" s="1"/>
  <c r="K102" i="34" s="1"/>
  <c r="L102" i="34" s="1"/>
  <c r="M102" i="34" s="1"/>
  <c r="N102" i="34" s="1"/>
  <c r="O102" i="34" s="1"/>
  <c r="P102" i="34" s="1"/>
  <c r="Q102" i="34" s="1"/>
  <c r="R102" i="34" s="1"/>
  <c r="S102" i="34" s="1"/>
  <c r="T102" i="34" s="1"/>
  <c r="U102" i="34" s="1"/>
  <c r="V102" i="34" s="1"/>
  <c r="W102" i="34" s="1"/>
  <c r="X102" i="34" s="1"/>
  <c r="Y102" i="34" s="1"/>
  <c r="Z102" i="34" s="1"/>
  <c r="AA102" i="34" s="1"/>
  <c r="AB102" i="34" s="1"/>
  <c r="AC102" i="34" s="1"/>
  <c r="AD102" i="34" s="1"/>
  <c r="AE102" i="34" s="1"/>
  <c r="AF102" i="34" s="1"/>
  <c r="AG102" i="34" s="1"/>
  <c r="AH102" i="34" s="1"/>
  <c r="D211" i="20"/>
  <c r="E211" i="20" s="1"/>
  <c r="F211" i="20" s="1"/>
  <c r="G211" i="20" s="1"/>
  <c r="H211" i="20" s="1"/>
  <c r="I211" i="20" s="1"/>
  <c r="J211" i="20" s="1"/>
  <c r="K211" i="20" s="1"/>
  <c r="L211" i="20" s="1"/>
  <c r="M211" i="20" s="1"/>
  <c r="N211" i="20" s="1"/>
  <c r="O211" i="20" s="1"/>
  <c r="P211" i="20" s="1"/>
  <c r="Q211" i="20" s="1"/>
  <c r="R211" i="20" s="1"/>
  <c r="S211" i="20" s="1"/>
  <c r="T211" i="20" s="1"/>
  <c r="U211" i="20" s="1"/>
  <c r="V211" i="20" s="1"/>
  <c r="W211" i="20" s="1"/>
  <c r="X211" i="20" s="1"/>
  <c r="Y211" i="20" s="1"/>
  <c r="Z211" i="20" s="1"/>
  <c r="AA211" i="20" s="1"/>
  <c r="AB211" i="20" s="1"/>
  <c r="AC211" i="20" s="1"/>
  <c r="AD211" i="20" s="1"/>
  <c r="AE211" i="20" s="1"/>
  <c r="AF211" i="20" s="1"/>
  <c r="G24" i="28"/>
  <c r="M74" i="12"/>
  <c r="M219" i="12" s="1"/>
  <c r="M230" i="12" s="1"/>
  <c r="M78" i="12"/>
  <c r="M79" i="12"/>
  <c r="M80" i="12"/>
  <c r="M75" i="12"/>
  <c r="M76" i="12"/>
  <c r="M77" i="12"/>
  <c r="AG9" i="20"/>
  <c r="AG8" i="20"/>
  <c r="N74" i="14"/>
  <c r="N219" i="14" s="1"/>
  <c r="N230" i="14" s="1"/>
  <c r="N80" i="14"/>
  <c r="N78" i="14"/>
  <c r="N76" i="14"/>
  <c r="N75" i="14"/>
  <c r="N79" i="14"/>
  <c r="N77" i="14"/>
  <c r="AB11" i="20"/>
  <c r="AB10" i="20"/>
  <c r="AA12" i="20"/>
  <c r="R33" i="11"/>
  <c r="Q34" i="11"/>
  <c r="Q35" i="11" s="1"/>
  <c r="Q36" i="11" s="1"/>
  <c r="P29" i="13"/>
  <c r="P30" i="13" s="1"/>
  <c r="Q28" i="13"/>
  <c r="O32" i="13"/>
  <c r="O73" i="14" s="1"/>
  <c r="O31" i="13"/>
  <c r="O33" i="13" s="1"/>
  <c r="O64" i="36" s="1"/>
  <c r="N73" i="12"/>
  <c r="AF7" i="20"/>
  <c r="P31" i="15"/>
  <c r="D35" i="47" l="1"/>
  <c r="D6" i="41"/>
  <c r="C67" i="20"/>
  <c r="D243" i="48"/>
  <c r="D156" i="53"/>
  <c r="C133" i="54"/>
  <c r="AQ4" i="51"/>
  <c r="AQ57" i="58" s="1"/>
  <c r="CG57" i="58" s="1"/>
  <c r="CG58" i="58" s="1"/>
  <c r="K57" i="58"/>
  <c r="AQ96" i="55"/>
  <c r="DC96" i="55" s="1"/>
  <c r="L96" i="55"/>
  <c r="Q39" i="11"/>
  <c r="Q37" i="11"/>
  <c r="Q40" i="11"/>
  <c r="Q66" i="45" s="1"/>
  <c r="AW66" i="45" s="1"/>
  <c r="Q38" i="11"/>
  <c r="BI37" i="36"/>
  <c r="BI81" i="36" s="1"/>
  <c r="J52" i="45"/>
  <c r="L95" i="55"/>
  <c r="AQ95" i="55"/>
  <c r="DC95" i="55" s="1"/>
  <c r="P61" i="45"/>
  <c r="AV61" i="45" s="1"/>
  <c r="AV63" i="45" s="1"/>
  <c r="P64" i="45"/>
  <c r="AV64" i="45" s="1"/>
  <c r="F21" i="54"/>
  <c r="G24" i="54"/>
  <c r="F22" i="54"/>
  <c r="F23" i="54"/>
  <c r="F25" i="54"/>
  <c r="D156" i="54"/>
  <c r="D157" i="54" s="1"/>
  <c r="X5" i="50"/>
  <c r="L4" i="51"/>
  <c r="AK19" i="45"/>
  <c r="C66" i="54"/>
  <c r="J53" i="45"/>
  <c r="D65" i="54"/>
  <c r="D64" i="54"/>
  <c r="D70" i="54"/>
  <c r="E63" i="54"/>
  <c r="D67" i="54"/>
  <c r="D69" i="54"/>
  <c r="D76" i="54" s="1"/>
  <c r="D77" i="54" s="1"/>
  <c r="D68" i="54"/>
  <c r="AG65" i="54"/>
  <c r="AG64" i="54"/>
  <c r="AG70" i="54"/>
  <c r="AG69" i="54"/>
  <c r="AG76" i="54" s="1"/>
  <c r="AG77" i="54" s="1"/>
  <c r="AG68" i="54"/>
  <c r="AG67" i="54"/>
  <c r="C134" i="54"/>
  <c r="C135" i="54"/>
  <c r="AG66" i="53"/>
  <c r="D139" i="46"/>
  <c r="AG140" i="46"/>
  <c r="AG141" i="46"/>
  <c r="AG144" i="46" s="1"/>
  <c r="AG203" i="46"/>
  <c r="E147" i="53"/>
  <c r="D148" i="53"/>
  <c r="C134" i="53"/>
  <c r="C135" i="53"/>
  <c r="C133" i="53"/>
  <c r="E156" i="53"/>
  <c r="D157" i="53"/>
  <c r="C77" i="53"/>
  <c r="D65" i="53"/>
  <c r="D69" i="53"/>
  <c r="D76" i="53" s="1"/>
  <c r="D67" i="53"/>
  <c r="D68" i="53"/>
  <c r="D64" i="53"/>
  <c r="E63" i="53"/>
  <c r="D70" i="53"/>
  <c r="C66" i="53"/>
  <c r="AE89" i="47"/>
  <c r="AF89" i="47" s="1"/>
  <c r="AG89" i="47" s="1"/>
  <c r="AH89" i="47" s="1"/>
  <c r="AG77" i="53"/>
  <c r="BK32" i="36"/>
  <c r="C102" i="53"/>
  <c r="AG134" i="53"/>
  <c r="AG135" i="53"/>
  <c r="AG104" i="53"/>
  <c r="AG103" i="53"/>
  <c r="AG105" i="53"/>
  <c r="AG133" i="53"/>
  <c r="AG102" i="53"/>
  <c r="C105" i="53"/>
  <c r="C104" i="53"/>
  <c r="C103" i="53"/>
  <c r="D132" i="53"/>
  <c r="D131" i="53"/>
  <c r="D100" i="53"/>
  <c r="D101" i="53"/>
  <c r="G21" i="53"/>
  <c r="H24" i="53"/>
  <c r="G23" i="53"/>
  <c r="G22" i="53"/>
  <c r="G25" i="53"/>
  <c r="J51" i="45"/>
  <c r="J92" i="45" s="1"/>
  <c r="AG205" i="48"/>
  <c r="F14" i="47"/>
  <c r="D28" i="47"/>
  <c r="C68" i="20"/>
  <c r="C70" i="20" s="1"/>
  <c r="J88" i="45"/>
  <c r="C205" i="46"/>
  <c r="AL41" i="45"/>
  <c r="E38" i="48" s="1"/>
  <c r="F83" i="47"/>
  <c r="G83" i="47" s="1"/>
  <c r="H83" i="47" s="1"/>
  <c r="I83" i="47" s="1"/>
  <c r="J83" i="47" s="1"/>
  <c r="K83" i="47" s="1"/>
  <c r="L83" i="47" s="1"/>
  <c r="M83" i="47" s="1"/>
  <c r="N83" i="47" s="1"/>
  <c r="O83" i="47" s="1"/>
  <c r="P83" i="47" s="1"/>
  <c r="Q83" i="47" s="1"/>
  <c r="R83" i="47" s="1"/>
  <c r="S83" i="47" s="1"/>
  <c r="T83" i="47" s="1"/>
  <c r="U83" i="47" s="1"/>
  <c r="V83" i="47" s="1"/>
  <c r="W83" i="47" s="1"/>
  <c r="X83" i="47" s="1"/>
  <c r="Y83" i="47" s="1"/>
  <c r="Z83" i="47" s="1"/>
  <c r="AA83" i="47" s="1"/>
  <c r="AB83" i="47" s="1"/>
  <c r="AC83" i="47" s="1"/>
  <c r="AD83" i="47" s="1"/>
  <c r="AE83" i="47" s="1"/>
  <c r="AF83" i="47" s="1"/>
  <c r="AG83" i="47" s="1"/>
  <c r="AH83" i="47" s="1"/>
  <c r="E42" i="47"/>
  <c r="E7" i="47"/>
  <c r="F49" i="47"/>
  <c r="G49" i="47" s="1"/>
  <c r="H49" i="47" s="1"/>
  <c r="I49" i="47" s="1"/>
  <c r="J49" i="47" s="1"/>
  <c r="K49" i="47" s="1"/>
  <c r="L49" i="47" s="1"/>
  <c r="M49" i="47" s="1"/>
  <c r="N49" i="47" s="1"/>
  <c r="O49" i="47" s="1"/>
  <c r="P49" i="47" s="1"/>
  <c r="Q49" i="47" s="1"/>
  <c r="R49" i="47" s="1"/>
  <c r="S49" i="47" s="1"/>
  <c r="T49" i="47" s="1"/>
  <c r="U49" i="47" s="1"/>
  <c r="V49" i="47" s="1"/>
  <c r="W49" i="47" s="1"/>
  <c r="X49" i="47" s="1"/>
  <c r="Y49" i="47" s="1"/>
  <c r="Z49" i="47" s="1"/>
  <c r="AA49" i="47" s="1"/>
  <c r="AB49" i="47" s="1"/>
  <c r="AC49" i="47" s="1"/>
  <c r="AD49" i="47" s="1"/>
  <c r="AE49" i="47" s="1"/>
  <c r="AF49" i="47" s="1"/>
  <c r="AG49" i="47" s="1"/>
  <c r="AH49" i="47" s="1"/>
  <c r="F71" i="47"/>
  <c r="G71" i="47" s="1"/>
  <c r="H71" i="47" s="1"/>
  <c r="I71" i="47" s="1"/>
  <c r="J71" i="47" s="1"/>
  <c r="K71" i="47" s="1"/>
  <c r="L71" i="47" s="1"/>
  <c r="M71" i="47" s="1"/>
  <c r="N71" i="47" s="1"/>
  <c r="O71" i="47" s="1"/>
  <c r="P71" i="47" s="1"/>
  <c r="Q71" i="47" s="1"/>
  <c r="R71" i="47" s="1"/>
  <c r="S71" i="47" s="1"/>
  <c r="T71" i="47" s="1"/>
  <c r="U71" i="47" s="1"/>
  <c r="V71" i="47" s="1"/>
  <c r="W71" i="47" s="1"/>
  <c r="X71" i="47" s="1"/>
  <c r="Y71" i="47" s="1"/>
  <c r="Z71" i="47" s="1"/>
  <c r="AA71" i="47" s="1"/>
  <c r="AB71" i="47" s="1"/>
  <c r="AC71" i="47" s="1"/>
  <c r="AD71" i="47" s="1"/>
  <c r="AE71" i="47" s="1"/>
  <c r="AF71" i="47" s="1"/>
  <c r="AG71" i="47" s="1"/>
  <c r="AH71" i="47" s="1"/>
  <c r="F59" i="47"/>
  <c r="G59" i="47" s="1"/>
  <c r="H59" i="47" s="1"/>
  <c r="I59" i="47" s="1"/>
  <c r="J59" i="47" s="1"/>
  <c r="K59" i="47" s="1"/>
  <c r="L59" i="47" s="1"/>
  <c r="M59" i="47" s="1"/>
  <c r="N59" i="47" s="1"/>
  <c r="O59" i="47" s="1"/>
  <c r="P59" i="47" s="1"/>
  <c r="Q59" i="47" s="1"/>
  <c r="R59" i="47" s="1"/>
  <c r="S59" i="47" s="1"/>
  <c r="T59" i="47" s="1"/>
  <c r="U59" i="47" s="1"/>
  <c r="V59" i="47" s="1"/>
  <c r="W59" i="47" s="1"/>
  <c r="X59" i="47" s="1"/>
  <c r="Y59" i="47" s="1"/>
  <c r="Z59" i="47" s="1"/>
  <c r="AA59" i="47" s="1"/>
  <c r="AB59" i="47" s="1"/>
  <c r="AC59" i="47" s="1"/>
  <c r="AD59" i="47" s="1"/>
  <c r="AE59" i="47" s="1"/>
  <c r="AF59" i="47" s="1"/>
  <c r="AG59" i="47" s="1"/>
  <c r="AH59" i="47" s="1"/>
  <c r="F80" i="47"/>
  <c r="G80" i="47" s="1"/>
  <c r="H80" i="47" s="1"/>
  <c r="I80" i="47" s="1"/>
  <c r="J80" i="47" s="1"/>
  <c r="K80" i="47" s="1"/>
  <c r="L80" i="47" s="1"/>
  <c r="M80" i="47" s="1"/>
  <c r="N80" i="47" s="1"/>
  <c r="O80" i="47" s="1"/>
  <c r="P80" i="47" s="1"/>
  <c r="Q80" i="47" s="1"/>
  <c r="R80" i="47" s="1"/>
  <c r="S80" i="47" s="1"/>
  <c r="T80" i="47" s="1"/>
  <c r="U80" i="47" s="1"/>
  <c r="V80" i="47" s="1"/>
  <c r="W80" i="47" s="1"/>
  <c r="X80" i="47" s="1"/>
  <c r="Y80" i="47" s="1"/>
  <c r="Z80" i="47" s="1"/>
  <c r="AA80" i="47" s="1"/>
  <c r="AB80" i="47" s="1"/>
  <c r="AC80" i="47" s="1"/>
  <c r="AD80" i="47" s="1"/>
  <c r="AE80" i="47" s="1"/>
  <c r="AF80" i="47" s="1"/>
  <c r="AG80" i="47" s="1"/>
  <c r="AH80" i="47" s="1"/>
  <c r="F57" i="47"/>
  <c r="G57" i="47" s="1"/>
  <c r="H57" i="47" s="1"/>
  <c r="I57" i="47" s="1"/>
  <c r="J57" i="47" s="1"/>
  <c r="K57" i="47" s="1"/>
  <c r="L57" i="47" s="1"/>
  <c r="M57" i="47" s="1"/>
  <c r="N57" i="47" s="1"/>
  <c r="O57" i="47" s="1"/>
  <c r="P57" i="47" s="1"/>
  <c r="Q57" i="47" s="1"/>
  <c r="R57" i="47" s="1"/>
  <c r="S57" i="47" s="1"/>
  <c r="T57" i="47" s="1"/>
  <c r="U57" i="47" s="1"/>
  <c r="V57" i="47" s="1"/>
  <c r="W57" i="47" s="1"/>
  <c r="X57" i="47" s="1"/>
  <c r="Y57" i="47" s="1"/>
  <c r="Z57" i="47" s="1"/>
  <c r="AA57" i="47" s="1"/>
  <c r="AB57" i="47" s="1"/>
  <c r="AC57" i="47" s="1"/>
  <c r="AD57" i="47" s="1"/>
  <c r="AE57" i="47" s="1"/>
  <c r="AF57" i="47" s="1"/>
  <c r="AG57" i="47" s="1"/>
  <c r="AH57" i="47" s="1"/>
  <c r="F78" i="47"/>
  <c r="G78" i="47" s="1"/>
  <c r="H78" i="47" s="1"/>
  <c r="I78" i="47" s="1"/>
  <c r="J78" i="47" s="1"/>
  <c r="K78" i="47" s="1"/>
  <c r="L78" i="47" s="1"/>
  <c r="M78" i="47" s="1"/>
  <c r="N78" i="47" s="1"/>
  <c r="O78" i="47" s="1"/>
  <c r="P78" i="47" s="1"/>
  <c r="Q78" i="47" s="1"/>
  <c r="R78" i="47" s="1"/>
  <c r="S78" i="47" s="1"/>
  <c r="T78" i="47" s="1"/>
  <c r="U78" i="47" s="1"/>
  <c r="V78" i="47" s="1"/>
  <c r="W78" i="47" s="1"/>
  <c r="X78" i="47" s="1"/>
  <c r="Y78" i="47" s="1"/>
  <c r="Z78" i="47" s="1"/>
  <c r="AA78" i="47" s="1"/>
  <c r="AB78" i="47" s="1"/>
  <c r="AC78" i="47" s="1"/>
  <c r="AD78" i="47" s="1"/>
  <c r="AE78" i="47" s="1"/>
  <c r="AF78" i="47" s="1"/>
  <c r="AG78" i="47" s="1"/>
  <c r="AH78" i="47" s="1"/>
  <c r="F70" i="47"/>
  <c r="G70" i="47" s="1"/>
  <c r="H70" i="47" s="1"/>
  <c r="I70" i="47" s="1"/>
  <c r="J70" i="47" s="1"/>
  <c r="K70" i="47" s="1"/>
  <c r="L70" i="47" s="1"/>
  <c r="M70" i="47" s="1"/>
  <c r="N70" i="47" s="1"/>
  <c r="O70" i="47" s="1"/>
  <c r="P70" i="47" s="1"/>
  <c r="Q70" i="47" s="1"/>
  <c r="R70" i="47" s="1"/>
  <c r="S70" i="47" s="1"/>
  <c r="T70" i="47" s="1"/>
  <c r="U70" i="47" s="1"/>
  <c r="V70" i="47" s="1"/>
  <c r="W70" i="47" s="1"/>
  <c r="X70" i="47" s="1"/>
  <c r="Y70" i="47" s="1"/>
  <c r="Z70" i="47" s="1"/>
  <c r="AA70" i="47" s="1"/>
  <c r="AB70" i="47" s="1"/>
  <c r="AC70" i="47" s="1"/>
  <c r="AD70" i="47" s="1"/>
  <c r="AE70" i="47" s="1"/>
  <c r="AF70" i="47" s="1"/>
  <c r="AG70" i="47" s="1"/>
  <c r="AH70" i="47" s="1"/>
  <c r="F43" i="47"/>
  <c r="G43" i="47" s="1"/>
  <c r="H43" i="47" s="1"/>
  <c r="I43" i="47" s="1"/>
  <c r="J43" i="47" s="1"/>
  <c r="K43" i="47" s="1"/>
  <c r="L43" i="47" s="1"/>
  <c r="M43" i="47" s="1"/>
  <c r="N43" i="47" s="1"/>
  <c r="O43" i="47" s="1"/>
  <c r="P43" i="47" s="1"/>
  <c r="Q43" i="47" s="1"/>
  <c r="R43" i="47" s="1"/>
  <c r="S43" i="47" s="1"/>
  <c r="T43" i="47" s="1"/>
  <c r="U43" i="47" s="1"/>
  <c r="V43" i="47" s="1"/>
  <c r="W43" i="47" s="1"/>
  <c r="X43" i="47" s="1"/>
  <c r="Y43" i="47" s="1"/>
  <c r="Z43" i="47" s="1"/>
  <c r="AA43" i="47" s="1"/>
  <c r="AB43" i="47" s="1"/>
  <c r="AC43" i="47" s="1"/>
  <c r="AD43" i="47" s="1"/>
  <c r="AE43" i="47" s="1"/>
  <c r="AF43" i="47" s="1"/>
  <c r="AG43" i="47" s="1"/>
  <c r="AH43" i="47" s="1"/>
  <c r="F51" i="47"/>
  <c r="G51" i="47" s="1"/>
  <c r="H51" i="47" s="1"/>
  <c r="I51" i="47" s="1"/>
  <c r="J51" i="47" s="1"/>
  <c r="K51" i="47" s="1"/>
  <c r="L51" i="47" s="1"/>
  <c r="M51" i="47" s="1"/>
  <c r="N51" i="47" s="1"/>
  <c r="O51" i="47" s="1"/>
  <c r="P51" i="47" s="1"/>
  <c r="Q51" i="47" s="1"/>
  <c r="R51" i="47" s="1"/>
  <c r="S51" i="47" s="1"/>
  <c r="T51" i="47" s="1"/>
  <c r="U51" i="47" s="1"/>
  <c r="V51" i="47" s="1"/>
  <c r="W51" i="47" s="1"/>
  <c r="X51" i="47" s="1"/>
  <c r="Y51" i="47" s="1"/>
  <c r="Z51" i="47" s="1"/>
  <c r="AA51" i="47" s="1"/>
  <c r="AB51" i="47" s="1"/>
  <c r="AC51" i="47" s="1"/>
  <c r="AD51" i="47" s="1"/>
  <c r="AE51" i="47" s="1"/>
  <c r="AF51" i="47" s="1"/>
  <c r="AG51" i="47" s="1"/>
  <c r="AH51" i="47" s="1"/>
  <c r="F82" i="47"/>
  <c r="G82" i="47" s="1"/>
  <c r="H82" i="47" s="1"/>
  <c r="I82" i="47" s="1"/>
  <c r="J82" i="47" s="1"/>
  <c r="K82" i="47" s="1"/>
  <c r="L82" i="47" s="1"/>
  <c r="M82" i="47" s="1"/>
  <c r="N82" i="47" s="1"/>
  <c r="O82" i="47" s="1"/>
  <c r="P82" i="47" s="1"/>
  <c r="Q82" i="47" s="1"/>
  <c r="R82" i="47" s="1"/>
  <c r="S82" i="47" s="1"/>
  <c r="T82" i="47" s="1"/>
  <c r="U82" i="47" s="1"/>
  <c r="V82" i="47" s="1"/>
  <c r="W82" i="47" s="1"/>
  <c r="X82" i="47" s="1"/>
  <c r="Y82" i="47" s="1"/>
  <c r="Z82" i="47" s="1"/>
  <c r="AA82" i="47" s="1"/>
  <c r="AB82" i="47" s="1"/>
  <c r="AC82" i="47" s="1"/>
  <c r="AD82" i="47" s="1"/>
  <c r="AE82" i="47" s="1"/>
  <c r="AF82" i="47" s="1"/>
  <c r="AG82" i="47" s="1"/>
  <c r="AH82" i="47" s="1"/>
  <c r="AG64" i="46"/>
  <c r="F53" i="47"/>
  <c r="G53" i="47" s="1"/>
  <c r="H53" i="47" s="1"/>
  <c r="I53" i="47" s="1"/>
  <c r="J53" i="47" s="1"/>
  <c r="K53" i="47" s="1"/>
  <c r="L53" i="47" s="1"/>
  <c r="M53" i="47" s="1"/>
  <c r="N53" i="47" s="1"/>
  <c r="O53" i="47" s="1"/>
  <c r="P53" i="47" s="1"/>
  <c r="Q53" i="47" s="1"/>
  <c r="R53" i="47" s="1"/>
  <c r="S53" i="47" s="1"/>
  <c r="T53" i="47" s="1"/>
  <c r="U53" i="47" s="1"/>
  <c r="V53" i="47" s="1"/>
  <c r="W53" i="47" s="1"/>
  <c r="X53" i="47" s="1"/>
  <c r="Y53" i="47" s="1"/>
  <c r="Z53" i="47" s="1"/>
  <c r="AA53" i="47" s="1"/>
  <c r="AB53" i="47" s="1"/>
  <c r="AC53" i="47" s="1"/>
  <c r="AD53" i="47" s="1"/>
  <c r="AE53" i="47" s="1"/>
  <c r="AF53" i="47" s="1"/>
  <c r="AG53" i="47" s="1"/>
  <c r="AH53" i="47" s="1"/>
  <c r="F66" i="47"/>
  <c r="G66" i="47" s="1"/>
  <c r="H66" i="47" s="1"/>
  <c r="I66" i="47" s="1"/>
  <c r="J66" i="47" s="1"/>
  <c r="K66" i="47" s="1"/>
  <c r="L66" i="47" s="1"/>
  <c r="M66" i="47" s="1"/>
  <c r="N66" i="47" s="1"/>
  <c r="O66" i="47" s="1"/>
  <c r="P66" i="47" s="1"/>
  <c r="Q66" i="47" s="1"/>
  <c r="R66" i="47" s="1"/>
  <c r="S66" i="47" s="1"/>
  <c r="T66" i="47" s="1"/>
  <c r="U66" i="47" s="1"/>
  <c r="V66" i="47" s="1"/>
  <c r="W66" i="47" s="1"/>
  <c r="X66" i="47" s="1"/>
  <c r="Y66" i="47" s="1"/>
  <c r="Z66" i="47" s="1"/>
  <c r="AA66" i="47" s="1"/>
  <c r="AB66" i="47" s="1"/>
  <c r="AC66" i="47" s="1"/>
  <c r="AD66" i="47" s="1"/>
  <c r="AE66" i="47" s="1"/>
  <c r="AF66" i="47" s="1"/>
  <c r="AG66" i="47" s="1"/>
  <c r="AH66" i="47" s="1"/>
  <c r="F52" i="47"/>
  <c r="G52" i="47" s="1"/>
  <c r="H52" i="47" s="1"/>
  <c r="I52" i="47" s="1"/>
  <c r="J52" i="47" s="1"/>
  <c r="K52" i="47" s="1"/>
  <c r="L52" i="47" s="1"/>
  <c r="M52" i="47" s="1"/>
  <c r="N52" i="47" s="1"/>
  <c r="O52" i="47" s="1"/>
  <c r="P52" i="47" s="1"/>
  <c r="Q52" i="47" s="1"/>
  <c r="R52" i="47" s="1"/>
  <c r="S52" i="47" s="1"/>
  <c r="T52" i="47" s="1"/>
  <c r="U52" i="47" s="1"/>
  <c r="V52" i="47" s="1"/>
  <c r="W52" i="47" s="1"/>
  <c r="X52" i="47" s="1"/>
  <c r="Y52" i="47" s="1"/>
  <c r="Z52" i="47" s="1"/>
  <c r="AA52" i="47" s="1"/>
  <c r="AB52" i="47" s="1"/>
  <c r="AC52" i="47" s="1"/>
  <c r="AD52" i="47" s="1"/>
  <c r="AE52" i="47" s="1"/>
  <c r="AF52" i="47" s="1"/>
  <c r="AG52" i="47" s="1"/>
  <c r="AH52" i="47" s="1"/>
  <c r="F68" i="47"/>
  <c r="G68" i="47" s="1"/>
  <c r="H68" i="47" s="1"/>
  <c r="I68" i="47" s="1"/>
  <c r="J68" i="47" s="1"/>
  <c r="K68" i="47" s="1"/>
  <c r="L68" i="47" s="1"/>
  <c r="M68" i="47" s="1"/>
  <c r="N68" i="47" s="1"/>
  <c r="O68" i="47" s="1"/>
  <c r="P68" i="47" s="1"/>
  <c r="Q68" i="47" s="1"/>
  <c r="R68" i="47" s="1"/>
  <c r="S68" i="47" s="1"/>
  <c r="T68" i="47" s="1"/>
  <c r="U68" i="47" s="1"/>
  <c r="V68" i="47" s="1"/>
  <c r="W68" i="47" s="1"/>
  <c r="X68" i="47" s="1"/>
  <c r="Y68" i="47" s="1"/>
  <c r="Z68" i="47" s="1"/>
  <c r="AA68" i="47" s="1"/>
  <c r="AB68" i="47" s="1"/>
  <c r="AC68" i="47" s="1"/>
  <c r="AD68" i="47" s="1"/>
  <c r="AE68" i="47" s="1"/>
  <c r="AF68" i="47" s="1"/>
  <c r="AG68" i="47" s="1"/>
  <c r="AH68" i="47" s="1"/>
  <c r="F64" i="47"/>
  <c r="G64" i="47" s="1"/>
  <c r="H64" i="47" s="1"/>
  <c r="I64" i="47" s="1"/>
  <c r="J64" i="47" s="1"/>
  <c r="K64" i="47" s="1"/>
  <c r="L64" i="47" s="1"/>
  <c r="M64" i="47" s="1"/>
  <c r="N64" i="47" s="1"/>
  <c r="O64" i="47" s="1"/>
  <c r="P64" i="47" s="1"/>
  <c r="Q64" i="47" s="1"/>
  <c r="R64" i="47" s="1"/>
  <c r="S64" i="47" s="1"/>
  <c r="T64" i="47" s="1"/>
  <c r="U64" i="47" s="1"/>
  <c r="V64" i="47" s="1"/>
  <c r="W64" i="47" s="1"/>
  <c r="X64" i="47" s="1"/>
  <c r="Y64" i="47" s="1"/>
  <c r="Z64" i="47" s="1"/>
  <c r="AA64" i="47" s="1"/>
  <c r="AB64" i="47" s="1"/>
  <c r="AC64" i="47" s="1"/>
  <c r="AD64" i="47" s="1"/>
  <c r="AE64" i="47" s="1"/>
  <c r="AF64" i="47" s="1"/>
  <c r="AG64" i="47" s="1"/>
  <c r="AH64" i="47" s="1"/>
  <c r="F84" i="47"/>
  <c r="G84" i="47" s="1"/>
  <c r="H84" i="47" s="1"/>
  <c r="I84" i="47" s="1"/>
  <c r="J84" i="47" s="1"/>
  <c r="K84" i="47" s="1"/>
  <c r="L84" i="47" s="1"/>
  <c r="M84" i="47" s="1"/>
  <c r="N84" i="47" s="1"/>
  <c r="O84" i="47" s="1"/>
  <c r="P84" i="47" s="1"/>
  <c r="Q84" i="47" s="1"/>
  <c r="R84" i="47" s="1"/>
  <c r="S84" i="47" s="1"/>
  <c r="T84" i="47" s="1"/>
  <c r="U84" i="47" s="1"/>
  <c r="V84" i="47" s="1"/>
  <c r="W84" i="47" s="1"/>
  <c r="X84" i="47" s="1"/>
  <c r="Y84" i="47" s="1"/>
  <c r="Z84" i="47" s="1"/>
  <c r="AA84" i="47" s="1"/>
  <c r="AB84" i="47" s="1"/>
  <c r="AC84" i="47" s="1"/>
  <c r="AD84" i="47" s="1"/>
  <c r="AE84" i="47" s="1"/>
  <c r="AF84" i="47" s="1"/>
  <c r="AG84" i="47" s="1"/>
  <c r="AH84" i="47" s="1"/>
  <c r="F56" i="47"/>
  <c r="G56" i="47" s="1"/>
  <c r="H56" i="47" s="1"/>
  <c r="I56" i="47" s="1"/>
  <c r="J56" i="47" s="1"/>
  <c r="K56" i="47" s="1"/>
  <c r="L56" i="47" s="1"/>
  <c r="M56" i="47" s="1"/>
  <c r="N56" i="47" s="1"/>
  <c r="O56" i="47" s="1"/>
  <c r="P56" i="47" s="1"/>
  <c r="Q56" i="47" s="1"/>
  <c r="R56" i="47" s="1"/>
  <c r="S56" i="47" s="1"/>
  <c r="T56" i="47" s="1"/>
  <c r="U56" i="47" s="1"/>
  <c r="V56" i="47" s="1"/>
  <c r="W56" i="47" s="1"/>
  <c r="X56" i="47" s="1"/>
  <c r="Y56" i="47" s="1"/>
  <c r="Z56" i="47" s="1"/>
  <c r="AA56" i="47" s="1"/>
  <c r="AB56" i="47" s="1"/>
  <c r="AC56" i="47" s="1"/>
  <c r="AD56" i="47" s="1"/>
  <c r="AE56" i="47" s="1"/>
  <c r="AF56" i="47" s="1"/>
  <c r="AG56" i="47" s="1"/>
  <c r="AH56" i="47" s="1"/>
  <c r="F44" i="47"/>
  <c r="G44" i="47" s="1"/>
  <c r="H44" i="47" s="1"/>
  <c r="I44" i="47" s="1"/>
  <c r="J44" i="47" s="1"/>
  <c r="K44" i="47" s="1"/>
  <c r="L44" i="47" s="1"/>
  <c r="M44" i="47" s="1"/>
  <c r="N44" i="47" s="1"/>
  <c r="O44" i="47" s="1"/>
  <c r="P44" i="47" s="1"/>
  <c r="Q44" i="47" s="1"/>
  <c r="R44" i="47" s="1"/>
  <c r="S44" i="47" s="1"/>
  <c r="T44" i="47" s="1"/>
  <c r="U44" i="47" s="1"/>
  <c r="V44" i="47" s="1"/>
  <c r="W44" i="47" s="1"/>
  <c r="X44" i="47" s="1"/>
  <c r="Y44" i="47" s="1"/>
  <c r="Z44" i="47" s="1"/>
  <c r="AA44" i="47" s="1"/>
  <c r="AB44" i="47" s="1"/>
  <c r="AC44" i="47" s="1"/>
  <c r="AD44" i="47" s="1"/>
  <c r="AE44" i="47" s="1"/>
  <c r="AF44" i="47" s="1"/>
  <c r="AG44" i="47" s="1"/>
  <c r="AH44" i="47" s="1"/>
  <c r="G14" i="47"/>
  <c r="F47" i="47"/>
  <c r="G47" i="47" s="1"/>
  <c r="H47" i="47" s="1"/>
  <c r="I47" i="47" s="1"/>
  <c r="J47" i="47" s="1"/>
  <c r="K47" i="47" s="1"/>
  <c r="L47" i="47" s="1"/>
  <c r="M47" i="47" s="1"/>
  <c r="N47" i="47" s="1"/>
  <c r="O47" i="47" s="1"/>
  <c r="P47" i="47" s="1"/>
  <c r="Q47" i="47" s="1"/>
  <c r="R47" i="47" s="1"/>
  <c r="S47" i="47" s="1"/>
  <c r="T47" i="47" s="1"/>
  <c r="U47" i="47" s="1"/>
  <c r="V47" i="47" s="1"/>
  <c r="W47" i="47" s="1"/>
  <c r="X47" i="47" s="1"/>
  <c r="Y47" i="47" s="1"/>
  <c r="Z47" i="47" s="1"/>
  <c r="AA47" i="47" s="1"/>
  <c r="AB47" i="47" s="1"/>
  <c r="AC47" i="47" s="1"/>
  <c r="AD47" i="47" s="1"/>
  <c r="AE47" i="47" s="1"/>
  <c r="AF47" i="47" s="1"/>
  <c r="AG47" i="47" s="1"/>
  <c r="AH47" i="47" s="1"/>
  <c r="E54" i="47"/>
  <c r="H7" i="47"/>
  <c r="F21" i="47"/>
  <c r="F45" i="47"/>
  <c r="G45" i="47" s="1"/>
  <c r="H45" i="47" s="1"/>
  <c r="I45" i="47" s="1"/>
  <c r="J45" i="47" s="1"/>
  <c r="K45" i="47" s="1"/>
  <c r="L45" i="47" s="1"/>
  <c r="M45" i="47" s="1"/>
  <c r="N45" i="47" s="1"/>
  <c r="O45" i="47" s="1"/>
  <c r="P45" i="47" s="1"/>
  <c r="Q45" i="47" s="1"/>
  <c r="R45" i="47" s="1"/>
  <c r="S45" i="47" s="1"/>
  <c r="T45" i="47" s="1"/>
  <c r="U45" i="47" s="1"/>
  <c r="V45" i="47" s="1"/>
  <c r="W45" i="47" s="1"/>
  <c r="X45" i="47" s="1"/>
  <c r="Y45" i="47" s="1"/>
  <c r="Z45" i="47" s="1"/>
  <c r="AA45" i="47" s="1"/>
  <c r="AB45" i="47" s="1"/>
  <c r="AC45" i="47" s="1"/>
  <c r="AD45" i="47" s="1"/>
  <c r="AE45" i="47" s="1"/>
  <c r="AF45" i="47" s="1"/>
  <c r="AG45" i="47" s="1"/>
  <c r="AH45" i="47" s="1"/>
  <c r="F63" i="47"/>
  <c r="G63" i="47" s="1"/>
  <c r="H63" i="47" s="1"/>
  <c r="I63" i="47" s="1"/>
  <c r="J63" i="47" s="1"/>
  <c r="K63" i="47" s="1"/>
  <c r="L63" i="47" s="1"/>
  <c r="M63" i="47" s="1"/>
  <c r="N63" i="47" s="1"/>
  <c r="O63" i="47" s="1"/>
  <c r="P63" i="47" s="1"/>
  <c r="Q63" i="47" s="1"/>
  <c r="R63" i="47" s="1"/>
  <c r="S63" i="47" s="1"/>
  <c r="T63" i="47" s="1"/>
  <c r="U63" i="47" s="1"/>
  <c r="V63" i="47" s="1"/>
  <c r="W63" i="47" s="1"/>
  <c r="X63" i="47" s="1"/>
  <c r="Y63" i="47" s="1"/>
  <c r="Z63" i="47" s="1"/>
  <c r="AA63" i="47" s="1"/>
  <c r="AB63" i="47" s="1"/>
  <c r="AC63" i="47" s="1"/>
  <c r="AD63" i="47" s="1"/>
  <c r="AE63" i="47" s="1"/>
  <c r="AF63" i="47" s="1"/>
  <c r="AG63" i="47" s="1"/>
  <c r="AH63" i="47" s="1"/>
  <c r="F67" i="47"/>
  <c r="G67" i="47" s="1"/>
  <c r="H67" i="47" s="1"/>
  <c r="I67" i="47" s="1"/>
  <c r="J67" i="47" s="1"/>
  <c r="K67" i="47" s="1"/>
  <c r="L67" i="47" s="1"/>
  <c r="M67" i="47" s="1"/>
  <c r="N67" i="47" s="1"/>
  <c r="O67" i="47" s="1"/>
  <c r="P67" i="47" s="1"/>
  <c r="Q67" i="47" s="1"/>
  <c r="R67" i="47" s="1"/>
  <c r="S67" i="47" s="1"/>
  <c r="T67" i="47" s="1"/>
  <c r="U67" i="47" s="1"/>
  <c r="V67" i="47" s="1"/>
  <c r="W67" i="47" s="1"/>
  <c r="X67" i="47" s="1"/>
  <c r="Y67" i="47" s="1"/>
  <c r="Z67" i="47" s="1"/>
  <c r="AA67" i="47" s="1"/>
  <c r="AB67" i="47" s="1"/>
  <c r="AC67" i="47" s="1"/>
  <c r="AD67" i="47" s="1"/>
  <c r="AE67" i="47" s="1"/>
  <c r="AF67" i="47" s="1"/>
  <c r="AG67" i="47" s="1"/>
  <c r="AH67" i="47" s="1"/>
  <c r="F76" i="47"/>
  <c r="G76" i="47" s="1"/>
  <c r="H76" i="47" s="1"/>
  <c r="I76" i="47" s="1"/>
  <c r="J76" i="47" s="1"/>
  <c r="K76" i="47" s="1"/>
  <c r="L76" i="47" s="1"/>
  <c r="M76" i="47" s="1"/>
  <c r="N76" i="47" s="1"/>
  <c r="O76" i="47" s="1"/>
  <c r="P76" i="47" s="1"/>
  <c r="Q76" i="47" s="1"/>
  <c r="R76" i="47" s="1"/>
  <c r="S76" i="47" s="1"/>
  <c r="T76" i="47" s="1"/>
  <c r="U76" i="47" s="1"/>
  <c r="V76" i="47" s="1"/>
  <c r="W76" i="47" s="1"/>
  <c r="X76" i="47" s="1"/>
  <c r="Y76" i="47" s="1"/>
  <c r="Z76" i="47" s="1"/>
  <c r="AA76" i="47" s="1"/>
  <c r="AB76" i="47" s="1"/>
  <c r="AC76" i="47" s="1"/>
  <c r="AD76" i="47" s="1"/>
  <c r="AE76" i="47" s="1"/>
  <c r="AF76" i="47" s="1"/>
  <c r="AG76" i="47" s="1"/>
  <c r="AH76" i="47" s="1"/>
  <c r="D14" i="47"/>
  <c r="D7" i="47"/>
  <c r="E38" i="47"/>
  <c r="F38" i="47" s="1"/>
  <c r="G38" i="47" s="1"/>
  <c r="H38" i="47" s="1"/>
  <c r="I38" i="47" s="1"/>
  <c r="J38" i="47" s="1"/>
  <c r="K38" i="47" s="1"/>
  <c r="L38" i="47" s="1"/>
  <c r="M38" i="47" s="1"/>
  <c r="N38" i="47" s="1"/>
  <c r="O38" i="47" s="1"/>
  <c r="P38" i="47" s="1"/>
  <c r="Q38" i="47" s="1"/>
  <c r="R38" i="47" s="1"/>
  <c r="S38" i="47" s="1"/>
  <c r="T38" i="47" s="1"/>
  <c r="U38" i="47" s="1"/>
  <c r="V38" i="47" s="1"/>
  <c r="W38" i="47" s="1"/>
  <c r="X38" i="47" s="1"/>
  <c r="Y38" i="47" s="1"/>
  <c r="Z38" i="47" s="1"/>
  <c r="AA38" i="47" s="1"/>
  <c r="AB38" i="47" s="1"/>
  <c r="AC38" i="47" s="1"/>
  <c r="AD38" i="47" s="1"/>
  <c r="AE38" i="47" s="1"/>
  <c r="AF38" i="47" s="1"/>
  <c r="AG38" i="47" s="1"/>
  <c r="AH38" i="47" s="1"/>
  <c r="F7" i="47"/>
  <c r="C95" i="46"/>
  <c r="C100" i="46" s="1"/>
  <c r="F48" i="47"/>
  <c r="G48" i="47" s="1"/>
  <c r="H48" i="47" s="1"/>
  <c r="I48" i="47" s="1"/>
  <c r="J48" i="47" s="1"/>
  <c r="K48" i="47" s="1"/>
  <c r="L48" i="47" s="1"/>
  <c r="M48" i="47" s="1"/>
  <c r="N48" i="47" s="1"/>
  <c r="O48" i="47" s="1"/>
  <c r="P48" i="47" s="1"/>
  <c r="Q48" i="47" s="1"/>
  <c r="R48" i="47" s="1"/>
  <c r="S48" i="47" s="1"/>
  <c r="T48" i="47" s="1"/>
  <c r="U48" i="47" s="1"/>
  <c r="V48" i="47" s="1"/>
  <c r="W48" i="47" s="1"/>
  <c r="X48" i="47" s="1"/>
  <c r="Y48" i="47" s="1"/>
  <c r="Z48" i="47" s="1"/>
  <c r="AA48" i="47" s="1"/>
  <c r="AB48" i="47" s="1"/>
  <c r="AC48" i="47" s="1"/>
  <c r="AD48" i="47" s="1"/>
  <c r="AE48" i="47" s="1"/>
  <c r="AF48" i="47" s="1"/>
  <c r="AG48" i="47" s="1"/>
  <c r="AH48" i="47" s="1"/>
  <c r="F79" i="47"/>
  <c r="G79" i="47" s="1"/>
  <c r="H79" i="47" s="1"/>
  <c r="I79" i="47" s="1"/>
  <c r="J79" i="47" s="1"/>
  <c r="K79" i="47" s="1"/>
  <c r="L79" i="47" s="1"/>
  <c r="M79" i="47" s="1"/>
  <c r="N79" i="47" s="1"/>
  <c r="O79" i="47" s="1"/>
  <c r="P79" i="47" s="1"/>
  <c r="Q79" i="47" s="1"/>
  <c r="R79" i="47" s="1"/>
  <c r="S79" i="47" s="1"/>
  <c r="T79" i="47" s="1"/>
  <c r="U79" i="47" s="1"/>
  <c r="V79" i="47" s="1"/>
  <c r="W79" i="47" s="1"/>
  <c r="X79" i="47" s="1"/>
  <c r="Y79" i="47" s="1"/>
  <c r="Z79" i="47" s="1"/>
  <c r="AA79" i="47" s="1"/>
  <c r="AB79" i="47" s="1"/>
  <c r="AC79" i="47" s="1"/>
  <c r="AD79" i="47" s="1"/>
  <c r="AE79" i="47" s="1"/>
  <c r="AF79" i="47" s="1"/>
  <c r="AG79" i="47" s="1"/>
  <c r="AH79" i="47" s="1"/>
  <c r="F60" i="47"/>
  <c r="G60" i="47" s="1"/>
  <c r="H60" i="47" s="1"/>
  <c r="I60" i="47" s="1"/>
  <c r="J60" i="47" s="1"/>
  <c r="K60" i="47" s="1"/>
  <c r="L60" i="47" s="1"/>
  <c r="M60" i="47" s="1"/>
  <c r="N60" i="47" s="1"/>
  <c r="O60" i="47" s="1"/>
  <c r="P60" i="47" s="1"/>
  <c r="Q60" i="47" s="1"/>
  <c r="R60" i="47" s="1"/>
  <c r="S60" i="47" s="1"/>
  <c r="T60" i="47" s="1"/>
  <c r="U60" i="47" s="1"/>
  <c r="V60" i="47" s="1"/>
  <c r="W60" i="47" s="1"/>
  <c r="X60" i="47" s="1"/>
  <c r="Y60" i="47" s="1"/>
  <c r="Z60" i="47" s="1"/>
  <c r="AA60" i="47" s="1"/>
  <c r="AB60" i="47" s="1"/>
  <c r="AC60" i="47" s="1"/>
  <c r="AD60" i="47" s="1"/>
  <c r="AE60" i="47" s="1"/>
  <c r="AF60" i="47" s="1"/>
  <c r="AG60" i="47" s="1"/>
  <c r="AH60" i="47" s="1"/>
  <c r="F72" i="47"/>
  <c r="G72" i="47" s="1"/>
  <c r="H72" i="47" s="1"/>
  <c r="I72" i="47" s="1"/>
  <c r="J72" i="47" s="1"/>
  <c r="K72" i="47" s="1"/>
  <c r="L72" i="47" s="1"/>
  <c r="M72" i="47" s="1"/>
  <c r="N72" i="47" s="1"/>
  <c r="O72" i="47" s="1"/>
  <c r="P72" i="47" s="1"/>
  <c r="Q72" i="47" s="1"/>
  <c r="R72" i="47" s="1"/>
  <c r="S72" i="47" s="1"/>
  <c r="T72" i="47" s="1"/>
  <c r="U72" i="47" s="1"/>
  <c r="V72" i="47" s="1"/>
  <c r="W72" i="47" s="1"/>
  <c r="X72" i="47" s="1"/>
  <c r="Y72" i="47" s="1"/>
  <c r="Z72" i="47" s="1"/>
  <c r="AA72" i="47" s="1"/>
  <c r="AB72" i="47" s="1"/>
  <c r="AC72" i="47" s="1"/>
  <c r="AD72" i="47" s="1"/>
  <c r="AE72" i="47" s="1"/>
  <c r="AF72" i="47" s="1"/>
  <c r="AG72" i="47" s="1"/>
  <c r="AH72" i="47" s="1"/>
  <c r="E62" i="47"/>
  <c r="E14" i="47"/>
  <c r="E50" i="47"/>
  <c r="G7" i="47"/>
  <c r="E74" i="47"/>
  <c r="D21" i="47"/>
  <c r="F58" i="47"/>
  <c r="G58" i="47" s="1"/>
  <c r="H58" i="47" s="1"/>
  <c r="I58" i="47" s="1"/>
  <c r="J58" i="47" s="1"/>
  <c r="K58" i="47" s="1"/>
  <c r="L58" i="47" s="1"/>
  <c r="M58" i="47" s="1"/>
  <c r="N58" i="47" s="1"/>
  <c r="O58" i="47" s="1"/>
  <c r="P58" i="47" s="1"/>
  <c r="Q58" i="47" s="1"/>
  <c r="R58" i="47" s="1"/>
  <c r="S58" i="47" s="1"/>
  <c r="T58" i="47" s="1"/>
  <c r="U58" i="47" s="1"/>
  <c r="V58" i="47" s="1"/>
  <c r="W58" i="47" s="1"/>
  <c r="X58" i="47" s="1"/>
  <c r="Y58" i="47" s="1"/>
  <c r="Z58" i="47" s="1"/>
  <c r="AA58" i="47" s="1"/>
  <c r="AB58" i="47" s="1"/>
  <c r="AC58" i="47" s="1"/>
  <c r="AD58" i="47" s="1"/>
  <c r="AE58" i="47" s="1"/>
  <c r="AF58" i="47" s="1"/>
  <c r="AG58" i="47" s="1"/>
  <c r="AH58" i="47" s="1"/>
  <c r="E21" i="47"/>
  <c r="F55" i="47"/>
  <c r="G55" i="47" s="1"/>
  <c r="H55" i="47" s="1"/>
  <c r="I55" i="47" s="1"/>
  <c r="J55" i="47" s="1"/>
  <c r="K55" i="47" s="1"/>
  <c r="L55" i="47" s="1"/>
  <c r="M55" i="47" s="1"/>
  <c r="N55" i="47" s="1"/>
  <c r="O55" i="47" s="1"/>
  <c r="P55" i="47" s="1"/>
  <c r="Q55" i="47" s="1"/>
  <c r="R55" i="47" s="1"/>
  <c r="S55" i="47" s="1"/>
  <c r="T55" i="47" s="1"/>
  <c r="U55" i="47" s="1"/>
  <c r="V55" i="47" s="1"/>
  <c r="W55" i="47" s="1"/>
  <c r="X55" i="47" s="1"/>
  <c r="Y55" i="47" s="1"/>
  <c r="Z55" i="47" s="1"/>
  <c r="AA55" i="47" s="1"/>
  <c r="AB55" i="47" s="1"/>
  <c r="AC55" i="47" s="1"/>
  <c r="AD55" i="47" s="1"/>
  <c r="AE55" i="47" s="1"/>
  <c r="AF55" i="47" s="1"/>
  <c r="AG55" i="47" s="1"/>
  <c r="AH55" i="47" s="1"/>
  <c r="F46" i="47"/>
  <c r="G46" i="47" s="1"/>
  <c r="H46" i="47" s="1"/>
  <c r="I46" i="47" s="1"/>
  <c r="J46" i="47" s="1"/>
  <c r="K46" i="47" s="1"/>
  <c r="L46" i="47" s="1"/>
  <c r="M46" i="47" s="1"/>
  <c r="N46" i="47" s="1"/>
  <c r="O46" i="47" s="1"/>
  <c r="P46" i="47" s="1"/>
  <c r="Q46" i="47" s="1"/>
  <c r="R46" i="47" s="1"/>
  <c r="S46" i="47" s="1"/>
  <c r="T46" i="47" s="1"/>
  <c r="U46" i="47" s="1"/>
  <c r="V46" i="47" s="1"/>
  <c r="W46" i="47" s="1"/>
  <c r="X46" i="47" s="1"/>
  <c r="Y46" i="47" s="1"/>
  <c r="Z46" i="47" s="1"/>
  <c r="AA46" i="47" s="1"/>
  <c r="AB46" i="47" s="1"/>
  <c r="AC46" i="47" s="1"/>
  <c r="AD46" i="47" s="1"/>
  <c r="AE46" i="47" s="1"/>
  <c r="AF46" i="47" s="1"/>
  <c r="AG46" i="47" s="1"/>
  <c r="AH46" i="47" s="1"/>
  <c r="AP52" i="45"/>
  <c r="AP53" i="45"/>
  <c r="I39" i="48"/>
  <c r="AK42" i="45"/>
  <c r="AG142" i="48"/>
  <c r="AG143" i="48"/>
  <c r="AG144" i="48"/>
  <c r="AG145" i="48"/>
  <c r="AG207" i="48"/>
  <c r="AG206" i="48"/>
  <c r="BI84" i="36"/>
  <c r="AL18" i="45"/>
  <c r="AL19" i="45" s="1"/>
  <c r="C93" i="46"/>
  <c r="C98" i="46" s="1"/>
  <c r="D38" i="48"/>
  <c r="C96" i="46"/>
  <c r="C101" i="46" s="1"/>
  <c r="C92" i="48"/>
  <c r="C97" i="48" s="1"/>
  <c r="C94" i="46"/>
  <c r="AK43" i="45"/>
  <c r="M97" i="44"/>
  <c r="N96" i="44" s="1"/>
  <c r="J95" i="44"/>
  <c r="J94" i="44"/>
  <c r="J90" i="44"/>
  <c r="J93" i="44"/>
  <c r="J91" i="44"/>
  <c r="J92" i="44"/>
  <c r="J96" i="44"/>
  <c r="D141" i="48"/>
  <c r="D203" i="48"/>
  <c r="D204" i="48"/>
  <c r="D140" i="48"/>
  <c r="E139" i="48"/>
  <c r="G24" i="48"/>
  <c r="D70" i="48"/>
  <c r="D65" i="48"/>
  <c r="D68" i="48"/>
  <c r="D64" i="48"/>
  <c r="D69" i="48"/>
  <c r="E63" i="48"/>
  <c r="D67" i="48"/>
  <c r="E243" i="48"/>
  <c r="D244" i="48"/>
  <c r="C207" i="48"/>
  <c r="C206" i="48"/>
  <c r="F22" i="48"/>
  <c r="F23" i="48"/>
  <c r="AH90" i="36"/>
  <c r="AG39" i="38"/>
  <c r="AG65" i="46"/>
  <c r="C145" i="48"/>
  <c r="C143" i="48"/>
  <c r="C144" i="48"/>
  <c r="AG64" i="48"/>
  <c r="AG67" i="48"/>
  <c r="AG69" i="48"/>
  <c r="AG70" i="48"/>
  <c r="AG68" i="48"/>
  <c r="AG65" i="48"/>
  <c r="D63" i="46"/>
  <c r="C205" i="48"/>
  <c r="BI60" i="36"/>
  <c r="AG67" i="46"/>
  <c r="AG69" i="46"/>
  <c r="AG92" i="46" s="1"/>
  <c r="C142" i="48"/>
  <c r="C66" i="48"/>
  <c r="C90" i="38"/>
  <c r="C89" i="38"/>
  <c r="C91" i="38"/>
  <c r="C92" i="42"/>
  <c r="C91" i="42"/>
  <c r="C95" i="42" s="1"/>
  <c r="C89" i="42"/>
  <c r="C93" i="42" s="1"/>
  <c r="C90" i="42"/>
  <c r="C94" i="42" s="1"/>
  <c r="BI62" i="36"/>
  <c r="AG68" i="46"/>
  <c r="BI39" i="36"/>
  <c r="AB36" i="42"/>
  <c r="D261" i="48"/>
  <c r="E260" i="48"/>
  <c r="G21" i="48"/>
  <c r="F25" i="48"/>
  <c r="AL42" i="45"/>
  <c r="AL44" i="45"/>
  <c r="AL43" i="45"/>
  <c r="AR46" i="45"/>
  <c r="AR49" i="45"/>
  <c r="AR47" i="45"/>
  <c r="AS45" i="45"/>
  <c r="AM39" i="45"/>
  <c r="AM40" i="45"/>
  <c r="AQ48" i="45"/>
  <c r="AQ50" i="45" s="1"/>
  <c r="AM17" i="45"/>
  <c r="AM69" i="45" s="1"/>
  <c r="AK21" i="45"/>
  <c r="AG143" i="46"/>
  <c r="AG145" i="46"/>
  <c r="H24" i="46"/>
  <c r="H21" i="46"/>
  <c r="G23" i="46"/>
  <c r="E139" i="46"/>
  <c r="D204" i="46"/>
  <c r="D140" i="46"/>
  <c r="D141" i="46"/>
  <c r="D203" i="46"/>
  <c r="AG207" i="46"/>
  <c r="AG206" i="46"/>
  <c r="E243" i="46"/>
  <c r="D244" i="46"/>
  <c r="AG205" i="46"/>
  <c r="E260" i="46"/>
  <c r="D261" i="46"/>
  <c r="G22" i="46"/>
  <c r="G363" i="46"/>
  <c r="G25" i="46"/>
  <c r="L11" i="8"/>
  <c r="AK95" i="45"/>
  <c r="E19" i="45"/>
  <c r="E20" i="45"/>
  <c r="H38" i="45"/>
  <c r="AN38" i="45" s="1"/>
  <c r="G40" i="45"/>
  <c r="F18" i="45"/>
  <c r="H16" i="45"/>
  <c r="AN16" i="45" s="1"/>
  <c r="G17" i="45"/>
  <c r="G69" i="45" s="1"/>
  <c r="K48" i="45"/>
  <c r="K50" i="45" s="1"/>
  <c r="J39" i="46" s="1"/>
  <c r="M45" i="45"/>
  <c r="L46" i="45"/>
  <c r="L49" i="45"/>
  <c r="L47" i="45"/>
  <c r="AO92" i="45"/>
  <c r="AO88" i="45"/>
  <c r="BI69" i="36"/>
  <c r="M98" i="44"/>
  <c r="N5" i="8"/>
  <c r="N6" i="8" s="1"/>
  <c r="AH55" i="36"/>
  <c r="BJ23" i="36"/>
  <c r="AD60" i="36"/>
  <c r="AD62" i="36"/>
  <c r="AE59" i="36"/>
  <c r="AD40" i="38" s="1"/>
  <c r="BI26" i="36"/>
  <c r="BI87" i="36" s="1"/>
  <c r="BI28" i="36"/>
  <c r="BK43" i="36"/>
  <c r="BJ36" i="36"/>
  <c r="AC36" i="42" s="1"/>
  <c r="BJ70" i="36"/>
  <c r="AE70" i="36"/>
  <c r="AF35" i="36"/>
  <c r="BJ59" i="36"/>
  <c r="AC40" i="42" s="1"/>
  <c r="AE23" i="36"/>
  <c r="AE25" i="36" s="1"/>
  <c r="AD37" i="38" s="1"/>
  <c r="BK35" i="36"/>
  <c r="BK36" i="36" s="1"/>
  <c r="AF32" i="36"/>
  <c r="BK58" i="36"/>
  <c r="BK57" i="36"/>
  <c r="AH40" i="36"/>
  <c r="AG42" i="36"/>
  <c r="AD26" i="36"/>
  <c r="AD87" i="36" s="1"/>
  <c r="AD28" i="36"/>
  <c r="AD84" i="36"/>
  <c r="BN50" i="36"/>
  <c r="BN52" i="36" s="1"/>
  <c r="AG39" i="42" s="1"/>
  <c r="BL42" i="36"/>
  <c r="BM40" i="36"/>
  <c r="BL41" i="36"/>
  <c r="BL33" i="36"/>
  <c r="BL30" i="36"/>
  <c r="BL31" i="36"/>
  <c r="BL34" i="36"/>
  <c r="BM29" i="36"/>
  <c r="AF58" i="36"/>
  <c r="AF57" i="36"/>
  <c r="AH18" i="36"/>
  <c r="BM18" i="36"/>
  <c r="AG19" i="36"/>
  <c r="AG20" i="36" s="1"/>
  <c r="AG56" i="36"/>
  <c r="BK22" i="36"/>
  <c r="BK21" i="36"/>
  <c r="BM53" i="36"/>
  <c r="BM94" i="36" s="1"/>
  <c r="BM55" i="36"/>
  <c r="BM90" i="36"/>
  <c r="AF22" i="36"/>
  <c r="AF21" i="36"/>
  <c r="BJ44" i="36"/>
  <c r="BJ46" i="36"/>
  <c r="BJ97" i="36"/>
  <c r="AG31" i="36"/>
  <c r="AG30" i="36"/>
  <c r="AH29" i="36"/>
  <c r="AG34" i="36"/>
  <c r="AG33" i="36"/>
  <c r="BL19" i="36"/>
  <c r="BL20" i="36" s="1"/>
  <c r="BL56" i="36"/>
  <c r="D184" i="42"/>
  <c r="AG185" i="42"/>
  <c r="AG186" i="42"/>
  <c r="P72" i="12"/>
  <c r="Q72" i="14"/>
  <c r="O63" i="45"/>
  <c r="AU63" i="36"/>
  <c r="AU68" i="36" s="1"/>
  <c r="AU75" i="36" s="1"/>
  <c r="O68" i="36"/>
  <c r="P63" i="36"/>
  <c r="AS71" i="36"/>
  <c r="AS72" i="36" s="1"/>
  <c r="AS106" i="36"/>
  <c r="N71" i="36"/>
  <c r="BZ38" i="58" s="1"/>
  <c r="N37" i="58" s="1"/>
  <c r="AT37" i="58" s="1"/>
  <c r="BZ37" i="58" s="1"/>
  <c r="N106" i="36"/>
  <c r="AU64" i="36"/>
  <c r="O65" i="36"/>
  <c r="O66" i="36"/>
  <c r="AT65" i="36"/>
  <c r="AT66" i="36"/>
  <c r="AT73" i="36" s="1"/>
  <c r="D24" i="34"/>
  <c r="D234" i="38"/>
  <c r="E234" i="38" s="1"/>
  <c r="H21" i="29"/>
  <c r="D219" i="38"/>
  <c r="E219" i="38" s="1"/>
  <c r="E69" i="41"/>
  <c r="D24" i="41"/>
  <c r="D234" i="42"/>
  <c r="E234" i="42" s="1"/>
  <c r="G24" i="29"/>
  <c r="D30" i="41"/>
  <c r="E72" i="41"/>
  <c r="E129" i="38"/>
  <c r="D185" i="38"/>
  <c r="D186" i="38"/>
  <c r="D131" i="38"/>
  <c r="D130" i="38"/>
  <c r="F23" i="38"/>
  <c r="AG68" i="38"/>
  <c r="AG69" i="38"/>
  <c r="AG88" i="38" s="1"/>
  <c r="AG70" i="38"/>
  <c r="AG67" i="38"/>
  <c r="AG64" i="38"/>
  <c r="AG65" i="38"/>
  <c r="E129" i="42"/>
  <c r="D131" i="42"/>
  <c r="D130" i="42"/>
  <c r="G21" i="38"/>
  <c r="C135" i="38"/>
  <c r="C133" i="38"/>
  <c r="C134" i="38"/>
  <c r="C188" i="38"/>
  <c r="C189" i="38"/>
  <c r="AG67" i="42"/>
  <c r="AG64" i="42"/>
  <c r="AG65" i="42"/>
  <c r="AG69" i="42"/>
  <c r="AG88" i="42" s="1"/>
  <c r="AG70" i="42"/>
  <c r="AG68" i="42"/>
  <c r="D63" i="42"/>
  <c r="C187" i="38"/>
  <c r="D219" i="42"/>
  <c r="C188" i="42"/>
  <c r="C189" i="42"/>
  <c r="AG186" i="38"/>
  <c r="AG185" i="38"/>
  <c r="AG130" i="38"/>
  <c r="AG131" i="38"/>
  <c r="G24" i="38"/>
  <c r="F22" i="38"/>
  <c r="C135" i="42"/>
  <c r="C133" i="42"/>
  <c r="C134" i="42"/>
  <c r="D63" i="38"/>
  <c r="AG130" i="42"/>
  <c r="AG131" i="42"/>
  <c r="F25" i="38"/>
  <c r="C66" i="42"/>
  <c r="C132" i="38"/>
  <c r="K80" i="33"/>
  <c r="AG65" i="28"/>
  <c r="J95" i="33" a="1"/>
  <c r="K86" i="33"/>
  <c r="L86" i="33" s="1"/>
  <c r="D66" i="28"/>
  <c r="D67" i="28"/>
  <c r="E62" i="28"/>
  <c r="D63" i="28"/>
  <c r="D64" i="28"/>
  <c r="E66" i="20"/>
  <c r="D68" i="20"/>
  <c r="D67" i="20"/>
  <c r="E198" i="20"/>
  <c r="D199" i="20"/>
  <c r="C21" i="19"/>
  <c r="D21" i="19" s="1"/>
  <c r="E21" i="19" s="1"/>
  <c r="F21" i="19" s="1"/>
  <c r="G21" i="19" s="1"/>
  <c r="H21" i="19" s="1"/>
  <c r="I21" i="19" s="1"/>
  <c r="J21" i="19" s="1"/>
  <c r="K21" i="19" s="1"/>
  <c r="L21" i="19" s="1"/>
  <c r="M21" i="19" s="1"/>
  <c r="N21" i="19" s="1"/>
  <c r="O21" i="19" s="1"/>
  <c r="P21" i="19" s="1"/>
  <c r="Q21" i="19" s="1"/>
  <c r="R21" i="19" s="1"/>
  <c r="S21" i="19" s="1"/>
  <c r="T21" i="19" s="1"/>
  <c r="U21" i="19" s="1"/>
  <c r="V21" i="19" s="1"/>
  <c r="W21" i="19" s="1"/>
  <c r="X21" i="19" s="1"/>
  <c r="Y21" i="19" s="1"/>
  <c r="Z21" i="19" s="1"/>
  <c r="AA21" i="19" s="1"/>
  <c r="AB21" i="19" s="1"/>
  <c r="AC21" i="19" s="1"/>
  <c r="AD21" i="19" s="1"/>
  <c r="AE21" i="19" s="1"/>
  <c r="AF21" i="19" s="1"/>
  <c r="AG21" i="19" s="1"/>
  <c r="D21" i="20"/>
  <c r="E21" i="20" s="1"/>
  <c r="F21" i="20" s="1"/>
  <c r="G21" i="20" s="1"/>
  <c r="H21" i="20" s="1"/>
  <c r="I21" i="20" s="1"/>
  <c r="J21" i="20" s="1"/>
  <c r="K21" i="20" s="1"/>
  <c r="L21" i="20" s="1"/>
  <c r="M21" i="20" s="1"/>
  <c r="N21" i="20" s="1"/>
  <c r="O21" i="20" s="1"/>
  <c r="P21" i="20" s="1"/>
  <c r="Q21" i="20" s="1"/>
  <c r="R21" i="20" s="1"/>
  <c r="S21" i="20" s="1"/>
  <c r="T21" i="20" s="1"/>
  <c r="U21" i="20" s="1"/>
  <c r="V21" i="20" s="1"/>
  <c r="W21" i="20" s="1"/>
  <c r="X21" i="20" s="1"/>
  <c r="Y21" i="20" s="1"/>
  <c r="Z21" i="20" s="1"/>
  <c r="AA21" i="20" s="1"/>
  <c r="H24" i="28"/>
  <c r="F16" i="34"/>
  <c r="E78" i="34"/>
  <c r="F78" i="34" s="1"/>
  <c r="G78" i="34" s="1"/>
  <c r="H78" i="34" s="1"/>
  <c r="I78" i="34" s="1"/>
  <c r="J78" i="34" s="1"/>
  <c r="K78" i="34" s="1"/>
  <c r="L78" i="34" s="1"/>
  <c r="M78" i="34" s="1"/>
  <c r="N78" i="34" s="1"/>
  <c r="O78" i="34" s="1"/>
  <c r="P78" i="34" s="1"/>
  <c r="Q78" i="34" s="1"/>
  <c r="R78" i="34" s="1"/>
  <c r="S78" i="34" s="1"/>
  <c r="T78" i="34" s="1"/>
  <c r="U78" i="34" s="1"/>
  <c r="V78" i="34" s="1"/>
  <c r="W78" i="34" s="1"/>
  <c r="X78" i="34" s="1"/>
  <c r="Y78" i="34" s="1"/>
  <c r="Z78" i="34" s="1"/>
  <c r="AA78" i="34" s="1"/>
  <c r="AB78" i="34" s="1"/>
  <c r="AC78" i="34" s="1"/>
  <c r="AD78" i="34" s="1"/>
  <c r="AE78" i="34" s="1"/>
  <c r="AF78" i="34" s="1"/>
  <c r="AG78" i="34" s="1"/>
  <c r="AH78" i="34" s="1"/>
  <c r="D172" i="20"/>
  <c r="D171" i="20"/>
  <c r="E169" i="20"/>
  <c r="F169" i="20" s="1"/>
  <c r="G169" i="20" s="1"/>
  <c r="H169" i="20" s="1"/>
  <c r="I169" i="20" s="1"/>
  <c r="J169" i="20" s="1"/>
  <c r="K169" i="20" s="1"/>
  <c r="L169" i="20" s="1"/>
  <c r="M169" i="20" s="1"/>
  <c r="N169" i="20" s="1"/>
  <c r="O169" i="20" s="1"/>
  <c r="P169" i="20" s="1"/>
  <c r="Q169" i="20" s="1"/>
  <c r="R169" i="20" s="1"/>
  <c r="S169" i="20" s="1"/>
  <c r="T169" i="20" s="1"/>
  <c r="U169" i="20" s="1"/>
  <c r="V169" i="20" s="1"/>
  <c r="W169" i="20" s="1"/>
  <c r="X169" i="20" s="1"/>
  <c r="Y169" i="20" s="1"/>
  <c r="Z169" i="20" s="1"/>
  <c r="AA169" i="20" s="1"/>
  <c r="AB169" i="20" s="1"/>
  <c r="AC169" i="20" s="1"/>
  <c r="AD169" i="20" s="1"/>
  <c r="AE169" i="20" s="1"/>
  <c r="AF169" i="20" s="1"/>
  <c r="D170" i="20"/>
  <c r="D174" i="20"/>
  <c r="D173" i="20"/>
  <c r="J97" i="33" a="1"/>
  <c r="K88" i="33"/>
  <c r="L88" i="33" s="1"/>
  <c r="H25" i="28"/>
  <c r="D88" i="28"/>
  <c r="D86" i="28"/>
  <c r="D91" i="28"/>
  <c r="E85" i="28"/>
  <c r="D90" i="28"/>
  <c r="D87" i="28"/>
  <c r="D89" i="28"/>
  <c r="G22" i="28"/>
  <c r="F24" i="34"/>
  <c r="J94" i="33" a="1"/>
  <c r="K85" i="33"/>
  <c r="L85" i="33" s="1"/>
  <c r="AG69" i="20"/>
  <c r="D32" i="34"/>
  <c r="D126" i="20"/>
  <c r="D128" i="20"/>
  <c r="D127" i="20"/>
  <c r="E122" i="20"/>
  <c r="D123" i="20"/>
  <c r="D124" i="20"/>
  <c r="D125" i="20"/>
  <c r="E68" i="34"/>
  <c r="F68" i="34" s="1"/>
  <c r="G68" i="34" s="1"/>
  <c r="H68" i="34" s="1"/>
  <c r="I68" i="34" s="1"/>
  <c r="J68" i="34" s="1"/>
  <c r="K68" i="34" s="1"/>
  <c r="L68" i="34" s="1"/>
  <c r="M68" i="34" s="1"/>
  <c r="N68" i="34" s="1"/>
  <c r="O68" i="34" s="1"/>
  <c r="P68" i="34" s="1"/>
  <c r="Q68" i="34" s="1"/>
  <c r="R68" i="34" s="1"/>
  <c r="S68" i="34" s="1"/>
  <c r="T68" i="34" s="1"/>
  <c r="U68" i="34" s="1"/>
  <c r="V68" i="34" s="1"/>
  <c r="W68" i="34" s="1"/>
  <c r="X68" i="34" s="1"/>
  <c r="Y68" i="34" s="1"/>
  <c r="Z68" i="34" s="1"/>
  <c r="AA68" i="34" s="1"/>
  <c r="AB68" i="34" s="1"/>
  <c r="AC68" i="34" s="1"/>
  <c r="AD68" i="34" s="1"/>
  <c r="AE68" i="34" s="1"/>
  <c r="AF68" i="34" s="1"/>
  <c r="AG68" i="34" s="1"/>
  <c r="AH68" i="34" s="1"/>
  <c r="D16" i="34"/>
  <c r="G16" i="34"/>
  <c r="E310" i="20"/>
  <c r="D268" i="19"/>
  <c r="J96" i="33" a="1"/>
  <c r="K87" i="33"/>
  <c r="L87" i="33" s="1"/>
  <c r="J93" i="33" a="1"/>
  <c r="K84" i="33"/>
  <c r="L84" i="33" s="1"/>
  <c r="E96" i="34"/>
  <c r="F96" i="34" s="1"/>
  <c r="G96" i="34" s="1"/>
  <c r="H96" i="34" s="1"/>
  <c r="I96" i="34" s="1"/>
  <c r="J96" i="34" s="1"/>
  <c r="K96" i="34" s="1"/>
  <c r="L96" i="34" s="1"/>
  <c r="M96" i="34" s="1"/>
  <c r="N96" i="34" s="1"/>
  <c r="O96" i="34" s="1"/>
  <c r="P96" i="34" s="1"/>
  <c r="Q96" i="34" s="1"/>
  <c r="R96" i="34" s="1"/>
  <c r="S96" i="34" s="1"/>
  <c r="T96" i="34" s="1"/>
  <c r="U96" i="34" s="1"/>
  <c r="V96" i="34" s="1"/>
  <c r="W96" i="34" s="1"/>
  <c r="X96" i="34" s="1"/>
  <c r="Y96" i="34" s="1"/>
  <c r="Z96" i="34" s="1"/>
  <c r="AA96" i="34" s="1"/>
  <c r="AB96" i="34" s="1"/>
  <c r="AC96" i="34" s="1"/>
  <c r="AD96" i="34" s="1"/>
  <c r="AE96" i="34" s="1"/>
  <c r="AF96" i="34" s="1"/>
  <c r="AG96" i="34" s="1"/>
  <c r="AH96" i="34" s="1"/>
  <c r="E24" i="34"/>
  <c r="G23" i="28"/>
  <c r="AG73" i="20"/>
  <c r="AG71" i="20"/>
  <c r="AG72" i="20"/>
  <c r="AG70" i="20"/>
  <c r="C65" i="28"/>
  <c r="E16" i="34"/>
  <c r="E73" i="34"/>
  <c r="F73" i="34" s="1"/>
  <c r="G73" i="34" s="1"/>
  <c r="H73" i="34" s="1"/>
  <c r="I73" i="34" s="1"/>
  <c r="J73" i="34" s="1"/>
  <c r="K73" i="34" s="1"/>
  <c r="L73" i="34" s="1"/>
  <c r="M73" i="34" s="1"/>
  <c r="N73" i="34" s="1"/>
  <c r="O73" i="34" s="1"/>
  <c r="P73" i="34" s="1"/>
  <c r="Q73" i="34" s="1"/>
  <c r="R73" i="34" s="1"/>
  <c r="S73" i="34" s="1"/>
  <c r="T73" i="34" s="1"/>
  <c r="U73" i="34" s="1"/>
  <c r="V73" i="34" s="1"/>
  <c r="W73" i="34" s="1"/>
  <c r="X73" i="34" s="1"/>
  <c r="Y73" i="34" s="1"/>
  <c r="Z73" i="34" s="1"/>
  <c r="AA73" i="34" s="1"/>
  <c r="AB73" i="34" s="1"/>
  <c r="AC73" i="34" s="1"/>
  <c r="AD73" i="34" s="1"/>
  <c r="AE73" i="34" s="1"/>
  <c r="AF73" i="34" s="1"/>
  <c r="AG73" i="34" s="1"/>
  <c r="AH73" i="34" s="1"/>
  <c r="I21" i="28"/>
  <c r="F103" i="34"/>
  <c r="G103" i="34" s="1"/>
  <c r="H103" i="34" s="1"/>
  <c r="I103" i="34" s="1"/>
  <c r="J103" i="34" s="1"/>
  <c r="K103" i="34" s="1"/>
  <c r="L103" i="34" s="1"/>
  <c r="M103" i="34" s="1"/>
  <c r="N103" i="34" s="1"/>
  <c r="O103" i="34" s="1"/>
  <c r="P103" i="34" s="1"/>
  <c r="Q103" i="34" s="1"/>
  <c r="R103" i="34" s="1"/>
  <c r="S103" i="34" s="1"/>
  <c r="T103" i="34" s="1"/>
  <c r="U103" i="34" s="1"/>
  <c r="V103" i="34" s="1"/>
  <c r="W103" i="34" s="1"/>
  <c r="X103" i="34" s="1"/>
  <c r="Y103" i="34" s="1"/>
  <c r="Z103" i="34" s="1"/>
  <c r="AA103" i="34" s="1"/>
  <c r="AB103" i="34" s="1"/>
  <c r="AC103" i="34" s="1"/>
  <c r="AD103" i="34" s="1"/>
  <c r="AE103" i="34" s="1"/>
  <c r="AF103" i="34" s="1"/>
  <c r="AG103" i="34" s="1"/>
  <c r="AH103" i="34" s="1"/>
  <c r="D40" i="34"/>
  <c r="E110" i="28"/>
  <c r="D111" i="28"/>
  <c r="K72" i="33"/>
  <c r="P50" i="15"/>
  <c r="P53" i="15" s="1"/>
  <c r="P137" i="15" s="1"/>
  <c r="P126" i="15"/>
  <c r="N74" i="12"/>
  <c r="N219" i="12" s="1"/>
  <c r="N230" i="12" s="1"/>
  <c r="N75" i="12"/>
  <c r="N78" i="12"/>
  <c r="N79" i="12"/>
  <c r="N76" i="12"/>
  <c r="N77" i="12"/>
  <c r="N80" i="12"/>
  <c r="O74" i="14"/>
  <c r="O219" i="14" s="1"/>
  <c r="O230" i="14" s="1"/>
  <c r="O77" i="14"/>
  <c r="O79" i="14"/>
  <c r="O76" i="14"/>
  <c r="O75" i="14"/>
  <c r="O80" i="14"/>
  <c r="O78" i="14"/>
  <c r="AB23" i="20"/>
  <c r="AB22" i="20"/>
  <c r="AC10" i="20"/>
  <c r="AB12" i="20"/>
  <c r="AC11" i="20"/>
  <c r="AB25" i="20"/>
  <c r="Q72" i="12"/>
  <c r="S33" i="11"/>
  <c r="R34" i="11"/>
  <c r="R35" i="11" s="1"/>
  <c r="R36" i="11" s="1"/>
  <c r="O73" i="12"/>
  <c r="Q29" i="13"/>
  <c r="Q30" i="13" s="1"/>
  <c r="R28" i="13"/>
  <c r="P31" i="13"/>
  <c r="P33" i="13" s="1"/>
  <c r="P64" i="36" s="1"/>
  <c r="P32" i="13"/>
  <c r="P73" i="14" s="1"/>
  <c r="AC24" i="20"/>
  <c r="AG7" i="20"/>
  <c r="Q31" i="15"/>
  <c r="AG142" i="46" l="1"/>
  <c r="N93" i="44"/>
  <c r="E156" i="54"/>
  <c r="E157" i="54" s="1"/>
  <c r="M95" i="55"/>
  <c r="AR95" i="55"/>
  <c r="DD95" i="55" s="1"/>
  <c r="R40" i="11"/>
  <c r="R66" i="45" s="1"/>
  <c r="AX66" i="45" s="1"/>
  <c r="R39" i="11"/>
  <c r="R37" i="11"/>
  <c r="R38" i="11"/>
  <c r="Q61" i="45"/>
  <c r="AW61" i="45" s="1"/>
  <c r="AW63" i="45" s="1"/>
  <c r="Q64" i="45"/>
  <c r="AW64" i="45" s="1"/>
  <c r="AR4" i="51"/>
  <c r="AR57" i="58" s="1"/>
  <c r="CH57" i="58" s="1"/>
  <c r="CH58" i="58" s="1"/>
  <c r="L57" i="58"/>
  <c r="AR96" i="55"/>
  <c r="DD96" i="55" s="1"/>
  <c r="M96" i="55"/>
  <c r="G25" i="54"/>
  <c r="G23" i="54"/>
  <c r="H24" i="54"/>
  <c r="G22" i="54"/>
  <c r="G21" i="54"/>
  <c r="Y5" i="50"/>
  <c r="M4" i="51"/>
  <c r="AG66" i="54"/>
  <c r="F156" i="54"/>
  <c r="E70" i="54"/>
  <c r="E69" i="54"/>
  <c r="E76" i="54" s="1"/>
  <c r="E77" i="54" s="1"/>
  <c r="E65" i="54"/>
  <c r="E64" i="54"/>
  <c r="F63" i="54"/>
  <c r="E68" i="54"/>
  <c r="E67" i="54"/>
  <c r="D66" i="54"/>
  <c r="C73" i="20"/>
  <c r="C72" i="20"/>
  <c r="C71" i="20"/>
  <c r="C69" i="20"/>
  <c r="F156" i="53"/>
  <c r="E157" i="53"/>
  <c r="F147" i="53"/>
  <c r="E148" i="53"/>
  <c r="E64" i="53"/>
  <c r="E70" i="53"/>
  <c r="F63" i="53"/>
  <c r="E68" i="53"/>
  <c r="E67" i="53"/>
  <c r="E69" i="53"/>
  <c r="E76" i="53" s="1"/>
  <c r="E65" i="53"/>
  <c r="D66" i="53"/>
  <c r="C94" i="48"/>
  <c r="D77" i="53"/>
  <c r="D133" i="53"/>
  <c r="D135" i="53"/>
  <c r="D134" i="53"/>
  <c r="E132" i="53"/>
  <c r="E131" i="53"/>
  <c r="E101" i="53"/>
  <c r="E100" i="53"/>
  <c r="D103" i="53"/>
  <c r="D104" i="53"/>
  <c r="D105" i="53"/>
  <c r="D102" i="53"/>
  <c r="H22" i="53"/>
  <c r="H23" i="53"/>
  <c r="H21" i="53"/>
  <c r="H25" i="53"/>
  <c r="I24" i="53"/>
  <c r="AG66" i="46"/>
  <c r="F42" i="47"/>
  <c r="G42" i="47" s="1"/>
  <c r="H42" i="47" s="1"/>
  <c r="I42" i="47" s="1"/>
  <c r="J42" i="47" s="1"/>
  <c r="K42" i="47" s="1"/>
  <c r="L42" i="47" s="1"/>
  <c r="M42" i="47" s="1"/>
  <c r="N42" i="47" s="1"/>
  <c r="O42" i="47" s="1"/>
  <c r="P42" i="47" s="1"/>
  <c r="Q42" i="47" s="1"/>
  <c r="R42" i="47" s="1"/>
  <c r="S42" i="47" s="1"/>
  <c r="T42" i="47" s="1"/>
  <c r="U42" i="47" s="1"/>
  <c r="V42" i="47" s="1"/>
  <c r="W42" i="47" s="1"/>
  <c r="X42" i="47" s="1"/>
  <c r="Y42" i="47" s="1"/>
  <c r="Z42" i="47" s="1"/>
  <c r="AA42" i="47" s="1"/>
  <c r="AB42" i="47" s="1"/>
  <c r="AC42" i="47" s="1"/>
  <c r="AD42" i="47" s="1"/>
  <c r="AE42" i="47" s="1"/>
  <c r="AF42" i="47" s="1"/>
  <c r="AG42" i="47" s="1"/>
  <c r="AH42" i="47" s="1"/>
  <c r="C96" i="48"/>
  <c r="C101" i="48" s="1"/>
  <c r="F50" i="47"/>
  <c r="G50" i="47" s="1"/>
  <c r="H50" i="47" s="1"/>
  <c r="I50" i="47" s="1"/>
  <c r="J50" i="47" s="1"/>
  <c r="K50" i="47" s="1"/>
  <c r="L50" i="47" s="1"/>
  <c r="M50" i="47" s="1"/>
  <c r="N50" i="47" s="1"/>
  <c r="O50" i="47" s="1"/>
  <c r="P50" i="47" s="1"/>
  <c r="Q50" i="47" s="1"/>
  <c r="R50" i="47" s="1"/>
  <c r="S50" i="47" s="1"/>
  <c r="T50" i="47" s="1"/>
  <c r="U50" i="47" s="1"/>
  <c r="V50" i="47" s="1"/>
  <c r="W50" i="47" s="1"/>
  <c r="X50" i="47" s="1"/>
  <c r="Y50" i="47" s="1"/>
  <c r="Z50" i="47" s="1"/>
  <c r="AA50" i="47" s="1"/>
  <c r="AB50" i="47" s="1"/>
  <c r="AC50" i="47" s="1"/>
  <c r="AD50" i="47" s="1"/>
  <c r="AE50" i="47" s="1"/>
  <c r="AF50" i="47" s="1"/>
  <c r="AG50" i="47" s="1"/>
  <c r="AH50" i="47" s="1"/>
  <c r="F54" i="47"/>
  <c r="G54" i="47" s="1"/>
  <c r="H54" i="47" s="1"/>
  <c r="I54" i="47" s="1"/>
  <c r="J54" i="47" s="1"/>
  <c r="K54" i="47" s="1"/>
  <c r="L54" i="47" s="1"/>
  <c r="M54" i="47" s="1"/>
  <c r="N54" i="47" s="1"/>
  <c r="O54" i="47" s="1"/>
  <c r="P54" i="47" s="1"/>
  <c r="Q54" i="47" s="1"/>
  <c r="R54" i="47" s="1"/>
  <c r="S54" i="47" s="1"/>
  <c r="T54" i="47" s="1"/>
  <c r="U54" i="47" s="1"/>
  <c r="V54" i="47" s="1"/>
  <c r="W54" i="47" s="1"/>
  <c r="X54" i="47" s="1"/>
  <c r="Y54" i="47" s="1"/>
  <c r="Z54" i="47" s="1"/>
  <c r="AA54" i="47" s="1"/>
  <c r="AB54" i="47" s="1"/>
  <c r="AC54" i="47" s="1"/>
  <c r="AD54" i="47" s="1"/>
  <c r="AE54" i="47" s="1"/>
  <c r="AF54" i="47" s="1"/>
  <c r="AG54" i="47" s="1"/>
  <c r="AH54" i="47" s="1"/>
  <c r="C93" i="48"/>
  <c r="C98" i="48" s="1"/>
  <c r="C95" i="48"/>
  <c r="C100" i="48" s="1"/>
  <c r="AG66" i="48"/>
  <c r="F74" i="47"/>
  <c r="G74" i="47" s="1"/>
  <c r="H74" i="47" s="1"/>
  <c r="I74" i="47" s="1"/>
  <c r="J74" i="47" s="1"/>
  <c r="K74" i="47" s="1"/>
  <c r="L74" i="47" s="1"/>
  <c r="M74" i="47" s="1"/>
  <c r="N74" i="47" s="1"/>
  <c r="O74" i="47" s="1"/>
  <c r="P74" i="47" s="1"/>
  <c r="Q74" i="47" s="1"/>
  <c r="R74" i="47" s="1"/>
  <c r="S74" i="47" s="1"/>
  <c r="T74" i="47" s="1"/>
  <c r="U74" i="47" s="1"/>
  <c r="V74" i="47" s="1"/>
  <c r="W74" i="47" s="1"/>
  <c r="X74" i="47" s="1"/>
  <c r="Y74" i="47" s="1"/>
  <c r="Z74" i="47" s="1"/>
  <c r="AA74" i="47" s="1"/>
  <c r="AB74" i="47" s="1"/>
  <c r="AC74" i="47" s="1"/>
  <c r="AD74" i="47" s="1"/>
  <c r="AE74" i="47" s="1"/>
  <c r="AF74" i="47" s="1"/>
  <c r="AG74" i="47" s="1"/>
  <c r="AH74" i="47" s="1"/>
  <c r="F62" i="47"/>
  <c r="G62" i="47" s="1"/>
  <c r="H62" i="47" s="1"/>
  <c r="I62" i="47" s="1"/>
  <c r="J62" i="47" s="1"/>
  <c r="K62" i="47" s="1"/>
  <c r="L62" i="47" s="1"/>
  <c r="M62" i="47" s="1"/>
  <c r="N62" i="47" s="1"/>
  <c r="O62" i="47" s="1"/>
  <c r="P62" i="47" s="1"/>
  <c r="Q62" i="47" s="1"/>
  <c r="R62" i="47" s="1"/>
  <c r="S62" i="47" s="1"/>
  <c r="T62" i="47" s="1"/>
  <c r="U62" i="47" s="1"/>
  <c r="V62" i="47" s="1"/>
  <c r="W62" i="47" s="1"/>
  <c r="X62" i="47" s="1"/>
  <c r="Y62" i="47" s="1"/>
  <c r="Z62" i="47" s="1"/>
  <c r="AA62" i="47" s="1"/>
  <c r="AB62" i="47" s="1"/>
  <c r="AC62" i="47" s="1"/>
  <c r="AD62" i="47" s="1"/>
  <c r="AE62" i="47" s="1"/>
  <c r="AF62" i="47" s="1"/>
  <c r="AG62" i="47" s="1"/>
  <c r="AH62" i="47" s="1"/>
  <c r="N90" i="44"/>
  <c r="AL20" i="45"/>
  <c r="BJ77" i="36"/>
  <c r="N94" i="44"/>
  <c r="N95" i="44"/>
  <c r="N92" i="44"/>
  <c r="BK77" i="36"/>
  <c r="AD36" i="42"/>
  <c r="BK97" i="36"/>
  <c r="AD38" i="42"/>
  <c r="AG97" i="46"/>
  <c r="AG96" i="46"/>
  <c r="AG95" i="46"/>
  <c r="AG93" i="46"/>
  <c r="AG94" i="46"/>
  <c r="AG92" i="48"/>
  <c r="G23" i="48"/>
  <c r="E65" i="48"/>
  <c r="E67" i="48"/>
  <c r="E64" i="48"/>
  <c r="E68" i="48"/>
  <c r="E69" i="48"/>
  <c r="F63" i="48"/>
  <c r="E70" i="48"/>
  <c r="E203" i="48"/>
  <c r="F139" i="48"/>
  <c r="E140" i="48"/>
  <c r="E141" i="48"/>
  <c r="E204" i="48"/>
  <c r="D145" i="48"/>
  <c r="D143" i="48"/>
  <c r="D144" i="48"/>
  <c r="AM41" i="45"/>
  <c r="F38" i="48" s="1"/>
  <c r="H21" i="48"/>
  <c r="D142" i="48"/>
  <c r="AG92" i="42"/>
  <c r="AG90" i="42"/>
  <c r="AG91" i="42"/>
  <c r="AG89" i="42"/>
  <c r="AG90" i="38"/>
  <c r="AG91" i="38"/>
  <c r="AG89" i="38"/>
  <c r="BK39" i="36"/>
  <c r="L48" i="45"/>
  <c r="L50" i="45" s="1"/>
  <c r="K39" i="46" s="1"/>
  <c r="F260" i="48"/>
  <c r="E261" i="48"/>
  <c r="G22" i="48"/>
  <c r="E244" i="48"/>
  <c r="F243" i="48"/>
  <c r="D66" i="48"/>
  <c r="D207" i="48"/>
  <c r="D206" i="48"/>
  <c r="BK37" i="36"/>
  <c r="BK81" i="36" s="1"/>
  <c r="N91" i="44"/>
  <c r="AM18" i="45"/>
  <c r="AM20" i="45" s="1"/>
  <c r="G25" i="48"/>
  <c r="D68" i="46"/>
  <c r="D67" i="46"/>
  <c r="D70" i="46"/>
  <c r="D64" i="46"/>
  <c r="D65" i="46"/>
  <c r="D69" i="46"/>
  <c r="D92" i="46" s="1"/>
  <c r="E63" i="46"/>
  <c r="H24" i="48"/>
  <c r="D205" i="48"/>
  <c r="J97" i="44"/>
  <c r="AN17" i="45"/>
  <c r="AN69" i="45" s="1"/>
  <c r="J39" i="48"/>
  <c r="AQ51" i="45"/>
  <c r="AQ52" i="45"/>
  <c r="AQ53" i="45"/>
  <c r="AS47" i="45"/>
  <c r="AS46" i="45"/>
  <c r="AS49" i="45"/>
  <c r="AT45" i="45"/>
  <c r="AN39" i="45"/>
  <c r="AN40" i="45"/>
  <c r="AK23" i="45"/>
  <c r="AR48" i="45"/>
  <c r="AR50" i="45" s="1"/>
  <c r="H25" i="46"/>
  <c r="F260" i="46"/>
  <c r="E261" i="46"/>
  <c r="D145" i="46"/>
  <c r="D143" i="46"/>
  <c r="D144" i="46"/>
  <c r="H23" i="46"/>
  <c r="F72" i="41"/>
  <c r="G72" i="41" s="1"/>
  <c r="H72" i="41" s="1"/>
  <c r="I72" i="41" s="1"/>
  <c r="J72" i="41" s="1"/>
  <c r="K72" i="41" s="1"/>
  <c r="L72" i="41" s="1"/>
  <c r="M72" i="41" s="1"/>
  <c r="N72" i="41" s="1"/>
  <c r="O72" i="41" s="1"/>
  <c r="P72" i="41" s="1"/>
  <c r="Q72" i="41" s="1"/>
  <c r="R72" i="41" s="1"/>
  <c r="S72" i="41" s="1"/>
  <c r="T72" i="41" s="1"/>
  <c r="U72" i="41" s="1"/>
  <c r="V72" i="41" s="1"/>
  <c r="W72" i="41" s="1"/>
  <c r="X72" i="41" s="1"/>
  <c r="Y72" i="41" s="1"/>
  <c r="Z72" i="41" s="1"/>
  <c r="AA72" i="41" s="1"/>
  <c r="AB72" i="41" s="1"/>
  <c r="AC72" i="41" s="1"/>
  <c r="AD72" i="41" s="1"/>
  <c r="AE72" i="41" s="1"/>
  <c r="AF72" i="41" s="1"/>
  <c r="AG72" i="41" s="1"/>
  <c r="AH72" i="41" s="1"/>
  <c r="F69" i="41"/>
  <c r="G69" i="41" s="1"/>
  <c r="H69" i="41" s="1"/>
  <c r="I69" i="41" s="1"/>
  <c r="J69" i="41" s="1"/>
  <c r="K69" i="41" s="1"/>
  <c r="L69" i="41" s="1"/>
  <c r="M69" i="41" s="1"/>
  <c r="N69" i="41" s="1"/>
  <c r="O69" i="41" s="1"/>
  <c r="P69" i="41" s="1"/>
  <c r="Q69" i="41" s="1"/>
  <c r="R69" i="41" s="1"/>
  <c r="S69" i="41" s="1"/>
  <c r="T69" i="41" s="1"/>
  <c r="U69" i="41" s="1"/>
  <c r="V69" i="41" s="1"/>
  <c r="W69" i="41" s="1"/>
  <c r="X69" i="41" s="1"/>
  <c r="Y69" i="41" s="1"/>
  <c r="Z69" i="41" s="1"/>
  <c r="AA69" i="41" s="1"/>
  <c r="AB69" i="41" s="1"/>
  <c r="AC69" i="41" s="1"/>
  <c r="AD69" i="41" s="1"/>
  <c r="AE69" i="41" s="1"/>
  <c r="AF69" i="41" s="1"/>
  <c r="AG69" i="41" s="1"/>
  <c r="AH69" i="41" s="1"/>
  <c r="H22" i="46"/>
  <c r="D142" i="46"/>
  <c r="I21" i="46"/>
  <c r="I24" i="46"/>
  <c r="H363" i="46"/>
  <c r="D207" i="46"/>
  <c r="D206" i="46"/>
  <c r="F243" i="46"/>
  <c r="E244" i="46"/>
  <c r="D205" i="46"/>
  <c r="F139" i="46"/>
  <c r="E204" i="46"/>
  <c r="E140" i="46"/>
  <c r="E141" i="46"/>
  <c r="E203" i="46"/>
  <c r="AL95" i="45"/>
  <c r="I16" i="45"/>
  <c r="AO16" i="45" s="1"/>
  <c r="H17" i="45"/>
  <c r="H69" i="45" s="1"/>
  <c r="E21" i="45"/>
  <c r="E23" i="45" s="1"/>
  <c r="G18" i="45"/>
  <c r="I38" i="45"/>
  <c r="AO38" i="45" s="1"/>
  <c r="H40" i="45"/>
  <c r="F20" i="45"/>
  <c r="F19" i="45"/>
  <c r="N45" i="45"/>
  <c r="M49" i="45"/>
  <c r="M47" i="45"/>
  <c r="M46" i="45"/>
  <c r="AP92" i="45"/>
  <c r="AP88" i="45"/>
  <c r="K52" i="45"/>
  <c r="K51" i="45"/>
  <c r="K92" i="45" s="1"/>
  <c r="K53" i="45"/>
  <c r="K88" i="45"/>
  <c r="BK23" i="36"/>
  <c r="BK25" i="36" s="1"/>
  <c r="AD37" i="42" s="1"/>
  <c r="N8" i="8"/>
  <c r="N10" i="8"/>
  <c r="N7" i="8"/>
  <c r="N9" i="8"/>
  <c r="AF23" i="36"/>
  <c r="AF25" i="36" s="1"/>
  <c r="AE37" i="38" s="1"/>
  <c r="AF70" i="36"/>
  <c r="BJ25" i="36"/>
  <c r="AC37" i="42" s="1"/>
  <c r="BJ69" i="36"/>
  <c r="AE60" i="36"/>
  <c r="AE62" i="36"/>
  <c r="BK46" i="36"/>
  <c r="BK44" i="36"/>
  <c r="BL43" i="36"/>
  <c r="AE38" i="42" s="1"/>
  <c r="BJ39" i="36"/>
  <c r="BJ37" i="36"/>
  <c r="BJ81" i="36" s="1"/>
  <c r="AG35" i="36"/>
  <c r="BL32" i="36"/>
  <c r="BL35" i="36"/>
  <c r="BK70" i="36"/>
  <c r="AG32" i="36"/>
  <c r="AF59" i="36"/>
  <c r="BJ60" i="36"/>
  <c r="BJ62" i="36"/>
  <c r="AG22" i="36"/>
  <c r="AG21" i="36"/>
  <c r="BN55" i="36"/>
  <c r="BN90" i="36"/>
  <c r="BN53" i="36"/>
  <c r="BN94" i="36" s="1"/>
  <c r="BL22" i="36"/>
  <c r="BL21" i="36"/>
  <c r="BL57" i="36"/>
  <c r="BL58" i="36"/>
  <c r="AH33" i="36"/>
  <c r="AH31" i="36"/>
  <c r="AH30" i="36"/>
  <c r="AH34" i="36"/>
  <c r="BM19" i="36"/>
  <c r="BM20" i="36" s="1"/>
  <c r="BM56" i="36"/>
  <c r="BM33" i="36"/>
  <c r="BM30" i="36"/>
  <c r="BN29" i="36"/>
  <c r="BM31" i="36"/>
  <c r="BM34" i="36"/>
  <c r="BM41" i="36"/>
  <c r="BM42" i="36"/>
  <c r="BN40" i="36"/>
  <c r="AH42" i="36"/>
  <c r="CG11" i="36" s="1"/>
  <c r="AE28" i="36"/>
  <c r="AE26" i="36"/>
  <c r="AE87" i="36" s="1"/>
  <c r="AE84" i="36"/>
  <c r="AG58" i="36"/>
  <c r="AG57" i="36"/>
  <c r="BN18" i="36"/>
  <c r="AH19" i="36"/>
  <c r="AH20" i="36" s="1"/>
  <c r="AH56" i="36"/>
  <c r="BK59" i="36"/>
  <c r="AD40" i="42" s="1"/>
  <c r="D65" i="28"/>
  <c r="D235" i="38"/>
  <c r="E184" i="42"/>
  <c r="D186" i="42"/>
  <c r="D189" i="42" s="1"/>
  <c r="D185" i="42"/>
  <c r="P63" i="45"/>
  <c r="R72" i="14"/>
  <c r="AV63" i="36"/>
  <c r="AV68" i="36" s="1"/>
  <c r="AV75" i="36" s="1"/>
  <c r="P68" i="36"/>
  <c r="Q63" i="36"/>
  <c r="AT71" i="36"/>
  <c r="AT72" i="36" s="1"/>
  <c r="AT106" i="36"/>
  <c r="O71" i="36"/>
  <c r="CA38" i="58" s="1"/>
  <c r="O37" i="58" s="1"/>
  <c r="AU37" i="58" s="1"/>
  <c r="CA37" i="58" s="1"/>
  <c r="O106" i="36"/>
  <c r="AV64" i="36"/>
  <c r="P66" i="36"/>
  <c r="P65" i="36"/>
  <c r="AU66" i="36"/>
  <c r="AU73" i="36" s="1"/>
  <c r="AU65" i="36"/>
  <c r="D220" i="38"/>
  <c r="D69" i="20"/>
  <c r="D132" i="38"/>
  <c r="D235" i="42"/>
  <c r="I21" i="29"/>
  <c r="H24" i="29"/>
  <c r="AG132" i="42"/>
  <c r="AG66" i="42"/>
  <c r="D132" i="42"/>
  <c r="AG187" i="42"/>
  <c r="F234" i="42"/>
  <c r="E235" i="42"/>
  <c r="H24" i="38"/>
  <c r="AG187" i="38"/>
  <c r="E219" i="42"/>
  <c r="D220" i="42"/>
  <c r="D133" i="42"/>
  <c r="D134" i="42"/>
  <c r="D135" i="42"/>
  <c r="F129" i="38"/>
  <c r="E185" i="38"/>
  <c r="E186" i="38"/>
  <c r="E131" i="38"/>
  <c r="E130" i="38"/>
  <c r="AG189" i="42"/>
  <c r="AG188" i="42"/>
  <c r="D69" i="42"/>
  <c r="D88" i="42" s="1"/>
  <c r="D65" i="42"/>
  <c r="D68" i="42"/>
  <c r="D70" i="42"/>
  <c r="D64" i="42"/>
  <c r="D67" i="42"/>
  <c r="E63" i="42"/>
  <c r="D189" i="38"/>
  <c r="D188" i="38"/>
  <c r="AG134" i="42"/>
  <c r="AG133" i="42"/>
  <c r="AG135" i="42"/>
  <c r="G22" i="38"/>
  <c r="AG189" i="38"/>
  <c r="AG188" i="38"/>
  <c r="F219" i="38"/>
  <c r="E220" i="38"/>
  <c r="AG66" i="38"/>
  <c r="D133" i="38"/>
  <c r="D135" i="38"/>
  <c r="D134" i="38"/>
  <c r="D67" i="38"/>
  <c r="D69" i="38"/>
  <c r="D88" i="38" s="1"/>
  <c r="D70" i="38"/>
  <c r="D68" i="38"/>
  <c r="E63" i="38"/>
  <c r="D65" i="38"/>
  <c r="D64" i="38"/>
  <c r="AG133" i="38"/>
  <c r="AG134" i="38"/>
  <c r="AG135" i="38"/>
  <c r="G25" i="38"/>
  <c r="AG132" i="38"/>
  <c r="F234" i="38"/>
  <c r="E235" i="38"/>
  <c r="H21" i="38"/>
  <c r="F129" i="42"/>
  <c r="E130" i="42"/>
  <c r="E131" i="42"/>
  <c r="G23" i="38"/>
  <c r="D187" i="38"/>
  <c r="H23" i="28"/>
  <c r="E268" i="19"/>
  <c r="F310" i="20"/>
  <c r="H22" i="28"/>
  <c r="F85" i="28"/>
  <c r="E90" i="28"/>
  <c r="E87" i="28"/>
  <c r="E86" i="28"/>
  <c r="E89" i="28"/>
  <c r="E88" i="28"/>
  <c r="E91" i="28"/>
  <c r="I25" i="28"/>
  <c r="F110" i="28"/>
  <c r="E111" i="28"/>
  <c r="E123" i="20"/>
  <c r="E127" i="20"/>
  <c r="F122" i="20"/>
  <c r="E124" i="20"/>
  <c r="E128" i="20"/>
  <c r="E125" i="20"/>
  <c r="E126" i="20"/>
  <c r="I24" i="28"/>
  <c r="D71" i="20"/>
  <c r="D72" i="20"/>
  <c r="D73" i="20"/>
  <c r="D70" i="20"/>
  <c r="E66" i="28"/>
  <c r="E63" i="28"/>
  <c r="E67" i="28"/>
  <c r="E64" i="28"/>
  <c r="F62" i="28"/>
  <c r="J21" i="28"/>
  <c r="F198" i="20"/>
  <c r="E199" i="20"/>
  <c r="F66" i="20"/>
  <c r="E67" i="20"/>
  <c r="E68" i="20"/>
  <c r="Q50" i="15"/>
  <c r="Q53" i="15" s="1"/>
  <c r="Q137" i="15" s="1"/>
  <c r="Q126" i="15"/>
  <c r="O74" i="12"/>
  <c r="O219" i="12" s="1"/>
  <c r="O230" i="12" s="1"/>
  <c r="O77" i="12"/>
  <c r="O80" i="12"/>
  <c r="O79" i="12"/>
  <c r="O75" i="12"/>
  <c r="O78" i="12"/>
  <c r="O76" i="12"/>
  <c r="D212" i="20"/>
  <c r="P74" i="14"/>
  <c r="P219" i="14" s="1"/>
  <c r="P230" i="14" s="1"/>
  <c r="P75" i="14"/>
  <c r="P77" i="14"/>
  <c r="P76" i="14"/>
  <c r="P78" i="14"/>
  <c r="P80" i="14"/>
  <c r="P79" i="14"/>
  <c r="AD11" i="20"/>
  <c r="AD10" i="20"/>
  <c r="AC12" i="20"/>
  <c r="AC22" i="20"/>
  <c r="AC25" i="20"/>
  <c r="AB21" i="20"/>
  <c r="AC23" i="20"/>
  <c r="R72" i="12"/>
  <c r="T33" i="11"/>
  <c r="S34" i="11"/>
  <c r="S35" i="11" s="1"/>
  <c r="S36" i="11" s="1"/>
  <c r="R29" i="13"/>
  <c r="R30" i="13" s="1"/>
  <c r="S28" i="13"/>
  <c r="Q31" i="13"/>
  <c r="Q33" i="13" s="1"/>
  <c r="Q64" i="36" s="1"/>
  <c r="Q32" i="13"/>
  <c r="Q73" i="14" s="1"/>
  <c r="P73" i="12"/>
  <c r="AD24" i="20"/>
  <c r="R31" i="15"/>
  <c r="AF84" i="36" l="1"/>
  <c r="D188" i="42"/>
  <c r="S40" i="11"/>
  <c r="S66" i="45" s="1"/>
  <c r="AY66" i="45" s="1"/>
  <c r="S39" i="11"/>
  <c r="S37" i="11"/>
  <c r="S38" i="11"/>
  <c r="AS4" i="51"/>
  <c r="AS57" i="58" s="1"/>
  <c r="CI57" i="58" s="1"/>
  <c r="CI58" i="58" s="1"/>
  <c r="M57" i="58"/>
  <c r="N95" i="55"/>
  <c r="AS95" i="55"/>
  <c r="DE95" i="55" s="1"/>
  <c r="R64" i="45"/>
  <c r="AX64" i="45" s="1"/>
  <c r="R61" i="45"/>
  <c r="AX61" i="45" s="1"/>
  <c r="AX63" i="45" s="1"/>
  <c r="AS96" i="55"/>
  <c r="DE96" i="55" s="1"/>
  <c r="N96" i="55"/>
  <c r="H22" i="54"/>
  <c r="H25" i="54"/>
  <c r="AL21" i="45"/>
  <c r="I24" i="54"/>
  <c r="H21" i="54"/>
  <c r="H23" i="54"/>
  <c r="E66" i="54"/>
  <c r="N4" i="51"/>
  <c r="F67" i="54"/>
  <c r="F65" i="54"/>
  <c r="G63" i="54"/>
  <c r="F68" i="54"/>
  <c r="F70" i="54"/>
  <c r="F64" i="54"/>
  <c r="F69" i="54"/>
  <c r="F76" i="54" s="1"/>
  <c r="F77" i="54" s="1"/>
  <c r="G156" i="54"/>
  <c r="F157" i="54"/>
  <c r="E66" i="53"/>
  <c r="G147" i="53"/>
  <c r="F148" i="53"/>
  <c r="G156" i="53"/>
  <c r="F157" i="53"/>
  <c r="E77" i="53"/>
  <c r="F65" i="53"/>
  <c r="F64" i="53"/>
  <c r="F68" i="53"/>
  <c r="G63" i="53"/>
  <c r="F70" i="53"/>
  <c r="F69" i="53"/>
  <c r="F76" i="53" s="1"/>
  <c r="F67" i="53"/>
  <c r="D37" i="46"/>
  <c r="F132" i="53"/>
  <c r="F131" i="53"/>
  <c r="F101" i="53"/>
  <c r="F100" i="53"/>
  <c r="E102" i="53"/>
  <c r="E104" i="53"/>
  <c r="E103" i="53"/>
  <c r="E105" i="53"/>
  <c r="E133" i="53"/>
  <c r="E135" i="53"/>
  <c r="E134" i="53"/>
  <c r="J24" i="53"/>
  <c r="I23" i="53"/>
  <c r="I25" i="53"/>
  <c r="I21" i="53"/>
  <c r="I22" i="53"/>
  <c r="AM42" i="45"/>
  <c r="AF28" i="36"/>
  <c r="BK69" i="36"/>
  <c r="AN18" i="45"/>
  <c r="AN20" i="45" s="1"/>
  <c r="AG70" i="36"/>
  <c r="E66" i="48"/>
  <c r="AM19" i="45"/>
  <c r="E205" i="48"/>
  <c r="H22" i="48"/>
  <c r="D91" i="38"/>
  <c r="D90" i="38"/>
  <c r="D89" i="38"/>
  <c r="AM44" i="45"/>
  <c r="F244" i="48"/>
  <c r="G243" i="48"/>
  <c r="H23" i="48"/>
  <c r="AF60" i="36"/>
  <c r="AE40" i="38"/>
  <c r="AN41" i="45"/>
  <c r="AN43" i="45" s="1"/>
  <c r="AM43" i="45"/>
  <c r="G260" i="48"/>
  <c r="F261" i="48"/>
  <c r="E142" i="48"/>
  <c r="F65" i="48"/>
  <c r="F64" i="48"/>
  <c r="F68" i="48"/>
  <c r="F70" i="48"/>
  <c r="F69" i="48"/>
  <c r="F67" i="48"/>
  <c r="G63" i="48"/>
  <c r="AG95" i="48"/>
  <c r="AG100" i="48" s="1"/>
  <c r="AG94" i="48"/>
  <c r="AG96" i="48"/>
  <c r="AG101" i="48" s="1"/>
  <c r="AG93" i="48"/>
  <c r="AG98" i="48" s="1"/>
  <c r="AG97" i="48"/>
  <c r="F63" i="46"/>
  <c r="E68" i="46"/>
  <c r="E64" i="46"/>
  <c r="E70" i="46"/>
  <c r="E67" i="46"/>
  <c r="E69" i="46"/>
  <c r="E92" i="46" s="1"/>
  <c r="E65" i="46"/>
  <c r="H25" i="48"/>
  <c r="E207" i="48"/>
  <c r="E206" i="48"/>
  <c r="D92" i="48"/>
  <c r="D96" i="46"/>
  <c r="D101" i="46" s="1"/>
  <c r="D95" i="46"/>
  <c r="D100" i="46" s="1"/>
  <c r="D94" i="46"/>
  <c r="D97" i="46"/>
  <c r="D93" i="46"/>
  <c r="D98" i="46" s="1"/>
  <c r="E145" i="48"/>
  <c r="E143" i="48"/>
  <c r="E144" i="48"/>
  <c r="D92" i="42"/>
  <c r="D89" i="42"/>
  <c r="D93" i="42" s="1"/>
  <c r="D90" i="42"/>
  <c r="D94" i="42" s="1"/>
  <c r="D91" i="42"/>
  <c r="AF26" i="36"/>
  <c r="AF87" i="36" s="1"/>
  <c r="I24" i="48"/>
  <c r="D66" i="46"/>
  <c r="I21" i="48"/>
  <c r="G139" i="48"/>
  <c r="F203" i="48"/>
  <c r="F141" i="48"/>
  <c r="F140" i="48"/>
  <c r="F204" i="48"/>
  <c r="AO40" i="45"/>
  <c r="AO39" i="45"/>
  <c r="AO17" i="45"/>
  <c r="AO69" i="45" s="1"/>
  <c r="AT47" i="45"/>
  <c r="AT49" i="45"/>
  <c r="AT46" i="45"/>
  <c r="AU45" i="45"/>
  <c r="K39" i="48"/>
  <c r="AR52" i="45"/>
  <c r="AR51" i="45"/>
  <c r="AR53" i="45"/>
  <c r="D37" i="48"/>
  <c r="AK26" i="45"/>
  <c r="AK25" i="45"/>
  <c r="AK24" i="45"/>
  <c r="AS48" i="45"/>
  <c r="AS50" i="45" s="1"/>
  <c r="AL23" i="45"/>
  <c r="E143" i="46"/>
  <c r="E144" i="46"/>
  <c r="E145" i="46"/>
  <c r="I363" i="46"/>
  <c r="J363" i="46" s="1"/>
  <c r="J24" i="46"/>
  <c r="E142" i="46"/>
  <c r="I22" i="46"/>
  <c r="E207" i="46"/>
  <c r="E206" i="46"/>
  <c r="J21" i="46"/>
  <c r="I23" i="46"/>
  <c r="E205" i="46"/>
  <c r="G139" i="46"/>
  <c r="F204" i="46"/>
  <c r="F203" i="46"/>
  <c r="F140" i="46"/>
  <c r="F141" i="46"/>
  <c r="G243" i="46"/>
  <c r="F244" i="46"/>
  <c r="G260" i="46"/>
  <c r="F261" i="46"/>
  <c r="I25" i="46"/>
  <c r="F21" i="45"/>
  <c r="F23" i="45" s="1"/>
  <c r="E24" i="45"/>
  <c r="E25" i="45"/>
  <c r="E26" i="45"/>
  <c r="E82" i="45"/>
  <c r="H18" i="45"/>
  <c r="J38" i="45"/>
  <c r="AP38" i="45" s="1"/>
  <c r="I40" i="45"/>
  <c r="G19" i="45"/>
  <c r="G20" i="45"/>
  <c r="J16" i="45"/>
  <c r="AP16" i="45" s="1"/>
  <c r="I17" i="45"/>
  <c r="I69" i="45" s="1"/>
  <c r="AQ92" i="45"/>
  <c r="AQ88" i="45"/>
  <c r="O45" i="45"/>
  <c r="N46" i="45"/>
  <c r="N47" i="45"/>
  <c r="N49" i="45"/>
  <c r="M48" i="45"/>
  <c r="M50" i="45" s="1"/>
  <c r="L39" i="46" s="1"/>
  <c r="L52" i="45"/>
  <c r="L53" i="45"/>
  <c r="L51" i="45"/>
  <c r="L92" i="45" s="1"/>
  <c r="L88" i="45"/>
  <c r="N11" i="8"/>
  <c r="AF62" i="36"/>
  <c r="BJ28" i="36"/>
  <c r="BJ26" i="36"/>
  <c r="BJ87" i="36" s="1"/>
  <c r="BJ84" i="36"/>
  <c r="AG59" i="36"/>
  <c r="BM43" i="36"/>
  <c r="AF38" i="42" s="1"/>
  <c r="BL46" i="36"/>
  <c r="BL97" i="36"/>
  <c r="BL44" i="36"/>
  <c r="AH35" i="36"/>
  <c r="CF11" i="36" s="1"/>
  <c r="BL36" i="36"/>
  <c r="BL70" i="36"/>
  <c r="AH32" i="36"/>
  <c r="CF10" i="36" s="1"/>
  <c r="BM32" i="36"/>
  <c r="BL59" i="36"/>
  <c r="BM35" i="36"/>
  <c r="BL23" i="36"/>
  <c r="AG23" i="36"/>
  <c r="BN42" i="36"/>
  <c r="BN41" i="36"/>
  <c r="BN19" i="36"/>
  <c r="BN20" i="36" s="1"/>
  <c r="BN56" i="36"/>
  <c r="BK84" i="36"/>
  <c r="BK26" i="36"/>
  <c r="BK87" i="36" s="1"/>
  <c r="BK28" i="36"/>
  <c r="BM57" i="36"/>
  <c r="BM58" i="36"/>
  <c r="AH57" i="36"/>
  <c r="AH58" i="36"/>
  <c r="BN33" i="36"/>
  <c r="BN30" i="36"/>
  <c r="BN34" i="36"/>
  <c r="BN31" i="36"/>
  <c r="BM22" i="36"/>
  <c r="BM21" i="36"/>
  <c r="BK62" i="36"/>
  <c r="BK60" i="36"/>
  <c r="AH22" i="36"/>
  <c r="AH21" i="36"/>
  <c r="D187" i="42"/>
  <c r="F184" i="42"/>
  <c r="E186" i="42"/>
  <c r="E189" i="42" s="1"/>
  <c r="E185" i="42"/>
  <c r="AW63" i="36"/>
  <c r="AW68" i="36" s="1"/>
  <c r="AW75" i="36" s="1"/>
  <c r="Q68" i="36"/>
  <c r="S72" i="14"/>
  <c r="Q63" i="45"/>
  <c r="R63" i="36"/>
  <c r="AW64" i="36"/>
  <c r="Q66" i="36"/>
  <c r="Q65" i="36"/>
  <c r="P71" i="36"/>
  <c r="CB38" i="58" s="1"/>
  <c r="P37" i="58" s="1"/>
  <c r="AV37" i="58" s="1"/>
  <c r="CB37" i="58" s="1"/>
  <c r="P106" i="36"/>
  <c r="AU71" i="36"/>
  <c r="AU72" i="36" s="1"/>
  <c r="AU106" i="36"/>
  <c r="AV66" i="36"/>
  <c r="AV73" i="36" s="1"/>
  <c r="AV65" i="36"/>
  <c r="I24" i="29"/>
  <c r="J21" i="29"/>
  <c r="G234" i="38"/>
  <c r="F235" i="38"/>
  <c r="D66" i="38"/>
  <c r="G219" i="38"/>
  <c r="F220" i="38"/>
  <c r="D95" i="42"/>
  <c r="E135" i="38"/>
  <c r="E134" i="38"/>
  <c r="E133" i="38"/>
  <c r="G234" i="42"/>
  <c r="F235" i="42"/>
  <c r="H23" i="38"/>
  <c r="H25" i="38"/>
  <c r="D66" i="42"/>
  <c r="E189" i="38"/>
  <c r="E188" i="38"/>
  <c r="F219" i="42"/>
  <c r="E220" i="42"/>
  <c r="G129" i="42"/>
  <c r="F130" i="42"/>
  <c r="F131" i="42"/>
  <c r="I21" i="38"/>
  <c r="F63" i="38"/>
  <c r="E69" i="38"/>
  <c r="E88" i="38" s="1"/>
  <c r="E68" i="38"/>
  <c r="E67" i="38"/>
  <c r="E70" i="38"/>
  <c r="E65" i="38"/>
  <c r="E64" i="38"/>
  <c r="H22" i="38"/>
  <c r="E187" i="38"/>
  <c r="I24" i="38"/>
  <c r="E133" i="42"/>
  <c r="E135" i="42"/>
  <c r="E134" i="42"/>
  <c r="E132" i="42"/>
  <c r="E64" i="42"/>
  <c r="E70" i="42"/>
  <c r="E65" i="42"/>
  <c r="E69" i="42"/>
  <c r="E88" i="42" s="1"/>
  <c r="F63" i="42"/>
  <c r="E68" i="42"/>
  <c r="E67" i="42"/>
  <c r="E132" i="38"/>
  <c r="G129" i="38"/>
  <c r="F185" i="38"/>
  <c r="F186" i="38"/>
  <c r="F130" i="38"/>
  <c r="F131" i="38"/>
  <c r="E69" i="20"/>
  <c r="G62" i="28"/>
  <c r="F63" i="28"/>
  <c r="F66" i="28"/>
  <c r="F64" i="28"/>
  <c r="F67" i="28"/>
  <c r="F88" i="28"/>
  <c r="F87" i="28"/>
  <c r="G85" i="28"/>
  <c r="F91" i="28"/>
  <c r="F90" i="28"/>
  <c r="F86" i="28"/>
  <c r="F89" i="28"/>
  <c r="E73" i="20"/>
  <c r="E72" i="20"/>
  <c r="E70" i="20"/>
  <c r="E71" i="20"/>
  <c r="G198" i="20"/>
  <c r="F199" i="20"/>
  <c r="J25" i="28"/>
  <c r="I23" i="28"/>
  <c r="J24" i="28"/>
  <c r="G110" i="28"/>
  <c r="F111" i="28"/>
  <c r="I22" i="28"/>
  <c r="G66" i="20"/>
  <c r="F68" i="20"/>
  <c r="F67" i="20"/>
  <c r="K21" i="28"/>
  <c r="E65" i="28"/>
  <c r="F128" i="20"/>
  <c r="F123" i="20"/>
  <c r="G122" i="20"/>
  <c r="F126" i="20"/>
  <c r="F125" i="20"/>
  <c r="F127" i="20"/>
  <c r="F124" i="20"/>
  <c r="G310" i="20"/>
  <c r="F268" i="19"/>
  <c r="R50" i="15"/>
  <c r="R53" i="15" s="1"/>
  <c r="R137" i="15" s="1"/>
  <c r="R126" i="15"/>
  <c r="P74" i="12"/>
  <c r="P219" i="12" s="1"/>
  <c r="P230" i="12" s="1"/>
  <c r="P76" i="12"/>
  <c r="P77" i="12"/>
  <c r="P80" i="12"/>
  <c r="P78" i="12"/>
  <c r="P79" i="12"/>
  <c r="P75" i="12"/>
  <c r="E212" i="20"/>
  <c r="Q74" i="14"/>
  <c r="Q219" i="14" s="1"/>
  <c r="Q230" i="14" s="1"/>
  <c r="Q80" i="14"/>
  <c r="Q76" i="14"/>
  <c r="Q77" i="14"/>
  <c r="Q79" i="14"/>
  <c r="Q78" i="14"/>
  <c r="Q75" i="14"/>
  <c r="AE11" i="20"/>
  <c r="AD25" i="20"/>
  <c r="AD23" i="20"/>
  <c r="AC21" i="20"/>
  <c r="AE10" i="20"/>
  <c r="AD12" i="20"/>
  <c r="AD22" i="20"/>
  <c r="S72" i="12"/>
  <c r="U33" i="11"/>
  <c r="T34" i="11"/>
  <c r="T35" i="11" s="1"/>
  <c r="T36" i="11" s="1"/>
  <c r="Q73" i="12"/>
  <c r="S29" i="13"/>
  <c r="S30" i="13" s="1"/>
  <c r="T28" i="13"/>
  <c r="R31" i="13"/>
  <c r="R33" i="13" s="1"/>
  <c r="R64" i="36" s="1"/>
  <c r="R32" i="13"/>
  <c r="R73" i="14" s="1"/>
  <c r="AE24" i="20"/>
  <c r="S31" i="15"/>
  <c r="B11" i="4"/>
  <c r="D32" i="12"/>
  <c r="D29" i="12"/>
  <c r="D14" i="8"/>
  <c r="B14" i="8"/>
  <c r="D17" i="12"/>
  <c r="S4" i="6"/>
  <c r="X4" i="6"/>
  <c r="AC4" i="6"/>
  <c r="AH4" i="6"/>
  <c r="AM4" i="6"/>
  <c r="AR4" i="6"/>
  <c r="S5" i="6"/>
  <c r="X5" i="6"/>
  <c r="AC5" i="6"/>
  <c r="AH5" i="6"/>
  <c r="AM5" i="6"/>
  <c r="AR5" i="6"/>
  <c r="S6" i="6"/>
  <c r="X6" i="6"/>
  <c r="AC6" i="6"/>
  <c r="AH6" i="6"/>
  <c r="AM6" i="6"/>
  <c r="AR6" i="6"/>
  <c r="AC3" i="6"/>
  <c r="AH3" i="6"/>
  <c r="AM3" i="6"/>
  <c r="AR3" i="6"/>
  <c r="X3" i="6"/>
  <c r="O2" i="6"/>
  <c r="P2" i="6" s="1"/>
  <c r="Q2" i="6" s="1"/>
  <c r="R2" i="6" s="1"/>
  <c r="S2" i="6" s="1"/>
  <c r="T2" i="6" s="1"/>
  <c r="U2" i="6" s="1"/>
  <c r="V2" i="6" s="1"/>
  <c r="W2" i="6" s="1"/>
  <c r="X2" i="6" s="1"/>
  <c r="Y2" i="6" s="1"/>
  <c r="Z2" i="6" s="1"/>
  <c r="AA2" i="6" s="1"/>
  <c r="AB2" i="6" s="1"/>
  <c r="AC2" i="6" s="1"/>
  <c r="AD2" i="6" s="1"/>
  <c r="AE2" i="6" s="1"/>
  <c r="AF2" i="6" s="1"/>
  <c r="AG2" i="6" s="1"/>
  <c r="AH2" i="6" s="1"/>
  <c r="AI2" i="6" s="1"/>
  <c r="AJ2" i="6" s="1"/>
  <c r="AK2" i="6" s="1"/>
  <c r="AL2" i="6" s="1"/>
  <c r="AM2" i="6" s="1"/>
  <c r="AN2" i="6" s="1"/>
  <c r="AO2" i="6" s="1"/>
  <c r="AP2" i="6" s="1"/>
  <c r="AQ2" i="6" s="1"/>
  <c r="AR2" i="6" s="1"/>
  <c r="K3" i="7"/>
  <c r="J3" i="7"/>
  <c r="I3" i="7"/>
  <c r="H3" i="7"/>
  <c r="G3" i="7"/>
  <c r="E3" i="12"/>
  <c r="D1" i="52" s="1"/>
  <c r="Y6" i="6" l="1"/>
  <c r="Z6" i="6" s="1"/>
  <c r="AA6" i="6" s="1"/>
  <c r="AB6" i="6" s="1"/>
  <c r="AG35" i="20"/>
  <c r="AH4" i="12"/>
  <c r="AG35" i="29"/>
  <c r="AH4" i="14"/>
  <c r="AG35" i="19"/>
  <c r="AG35" i="28"/>
  <c r="M35" i="20"/>
  <c r="M35" i="29"/>
  <c r="N4" i="14"/>
  <c r="M35" i="19"/>
  <c r="M35" i="28"/>
  <c r="M2" i="53"/>
  <c r="M2" i="54"/>
  <c r="AB35" i="20"/>
  <c r="AC4" i="14"/>
  <c r="AB35" i="29"/>
  <c r="AB35" i="19"/>
  <c r="AB35" i="28"/>
  <c r="R2" i="53"/>
  <c r="R2" i="54"/>
  <c r="W35" i="20"/>
  <c r="X4" i="12"/>
  <c r="X4" i="14"/>
  <c r="W35" i="29"/>
  <c r="W35" i="19"/>
  <c r="W35" i="28"/>
  <c r="O96" i="55"/>
  <c r="AT96" i="55"/>
  <c r="DF96" i="55" s="1"/>
  <c r="W2" i="53"/>
  <c r="W2" i="54"/>
  <c r="R35" i="20"/>
  <c r="R35" i="29"/>
  <c r="S4" i="14"/>
  <c r="R35" i="19"/>
  <c r="R35" i="28"/>
  <c r="T37" i="11"/>
  <c r="T40" i="11"/>
  <c r="T66" i="45" s="1"/>
  <c r="AZ66" i="45" s="1"/>
  <c r="T39" i="11"/>
  <c r="T38" i="11"/>
  <c r="O95" i="55"/>
  <c r="AT95" i="55"/>
  <c r="DF95" i="55" s="1"/>
  <c r="AB2" i="53"/>
  <c r="AB2" i="54"/>
  <c r="S61" i="45"/>
  <c r="AY61" i="45" s="1"/>
  <c r="AY63" i="45" s="1"/>
  <c r="S64" i="45"/>
  <c r="AY64" i="45" s="1"/>
  <c r="AG2" i="54"/>
  <c r="AG2" i="53"/>
  <c r="AT4" i="51"/>
  <c r="AT57" i="58" s="1"/>
  <c r="CJ57" i="58" s="1"/>
  <c r="CJ58" i="58" s="1"/>
  <c r="N57" i="58"/>
  <c r="I23" i="54"/>
  <c r="I21" i="54"/>
  <c r="AM21" i="45"/>
  <c r="J24" i="54"/>
  <c r="I25" i="54"/>
  <c r="I22" i="54"/>
  <c r="CH10" i="36"/>
  <c r="F66" i="54"/>
  <c r="H156" i="54"/>
  <c r="G157" i="54"/>
  <c r="G67" i="54"/>
  <c r="G69" i="54"/>
  <c r="G76" i="54" s="1"/>
  <c r="G77" i="54" s="1"/>
  <c r="G70" i="54"/>
  <c r="G68" i="54"/>
  <c r="H63" i="54"/>
  <c r="G65" i="54"/>
  <c r="G64" i="54"/>
  <c r="F66" i="53"/>
  <c r="H147" i="53"/>
  <c r="G148" i="53"/>
  <c r="H156" i="53"/>
  <c r="G157" i="53"/>
  <c r="F77" i="53"/>
  <c r="G65" i="53"/>
  <c r="H63" i="53"/>
  <c r="G67" i="53"/>
  <c r="G69" i="53"/>
  <c r="G76" i="53" s="1"/>
  <c r="G70" i="53"/>
  <c r="G68" i="53"/>
  <c r="G64" i="53"/>
  <c r="AO41" i="45"/>
  <c r="AO43" i="45" s="1"/>
  <c r="G132" i="53"/>
  <c r="G131" i="53"/>
  <c r="G100" i="53"/>
  <c r="G101" i="53"/>
  <c r="F25" i="45"/>
  <c r="F102" i="53"/>
  <c r="F104" i="53"/>
  <c r="F103" i="53"/>
  <c r="F105" i="53"/>
  <c r="F133" i="53"/>
  <c r="F135" i="53"/>
  <c r="F134" i="53"/>
  <c r="J21" i="53"/>
  <c r="J25" i="53"/>
  <c r="J23" i="53"/>
  <c r="J22" i="53"/>
  <c r="K24" i="53"/>
  <c r="I2" i="50"/>
  <c r="AB2" i="48"/>
  <c r="AB2" i="46"/>
  <c r="AB2" i="28"/>
  <c r="AB2" i="42"/>
  <c r="AB2" i="29"/>
  <c r="AB2" i="38"/>
  <c r="F2" i="50"/>
  <c r="M2" i="48"/>
  <c r="M2" i="46"/>
  <c r="M2" i="28"/>
  <c r="M2" i="42"/>
  <c r="M2" i="29"/>
  <c r="M2" i="38"/>
  <c r="G2" i="50"/>
  <c r="R2" i="48"/>
  <c r="R2" i="46"/>
  <c r="R2" i="28"/>
  <c r="R2" i="42"/>
  <c r="R2" i="29"/>
  <c r="R2" i="38"/>
  <c r="AG2" i="48"/>
  <c r="AG2" i="46"/>
  <c r="AG2" i="28"/>
  <c r="AG2" i="42"/>
  <c r="AG2" i="29"/>
  <c r="AG2" i="38"/>
  <c r="H2" i="50"/>
  <c r="W2" i="48"/>
  <c r="W2" i="46"/>
  <c r="W2" i="28"/>
  <c r="W2" i="42"/>
  <c r="W2" i="38"/>
  <c r="W2" i="29"/>
  <c r="AN19" i="45"/>
  <c r="E39" i="45"/>
  <c r="F39" i="45"/>
  <c r="G39" i="45"/>
  <c r="H39" i="45"/>
  <c r="I39" i="45"/>
  <c r="F26" i="45"/>
  <c r="F142" i="48"/>
  <c r="E188" i="42"/>
  <c r="AN44" i="45"/>
  <c r="AN42" i="45"/>
  <c r="F66" i="48"/>
  <c r="F24" i="45"/>
  <c r="E89" i="38"/>
  <c r="E90" i="38"/>
  <c r="E91" i="38"/>
  <c r="BL37" i="36"/>
  <c r="BL81" i="36" s="1"/>
  <c r="AE36" i="42"/>
  <c r="G140" i="48"/>
  <c r="G204" i="48"/>
  <c r="H139" i="48"/>
  <c r="G141" i="48"/>
  <c r="G203" i="48"/>
  <c r="D96" i="48"/>
  <c r="D101" i="48" s="1"/>
  <c r="D94" i="48"/>
  <c r="D93" i="48"/>
  <c r="D98" i="48" s="1"/>
  <c r="D95" i="48"/>
  <c r="D100" i="48" s="1"/>
  <c r="D97" i="48"/>
  <c r="E66" i="46"/>
  <c r="H243" i="48"/>
  <c r="G244" i="48"/>
  <c r="I22" i="48"/>
  <c r="J24" i="48"/>
  <c r="E92" i="48"/>
  <c r="E95" i="46"/>
  <c r="E100" i="46" s="1"/>
  <c r="E93" i="46"/>
  <c r="E98" i="46" s="1"/>
  <c r="E96" i="46"/>
  <c r="E101" i="46" s="1"/>
  <c r="E94" i="46"/>
  <c r="E97" i="46"/>
  <c r="E92" i="42"/>
  <c r="E90" i="42"/>
  <c r="E94" i="42" s="1"/>
  <c r="E91" i="42"/>
  <c r="E95" i="42" s="1"/>
  <c r="E89" i="42"/>
  <c r="E93" i="42" s="1"/>
  <c r="BL62" i="36"/>
  <c r="AE40" i="42"/>
  <c r="BL39" i="36"/>
  <c r="AG60" i="36"/>
  <c r="AF40" i="38"/>
  <c r="AO18" i="45"/>
  <c r="AO19" i="45" s="1"/>
  <c r="G38" i="48"/>
  <c r="F143" i="48"/>
  <c r="F145" i="48"/>
  <c r="F144" i="48"/>
  <c r="J21" i="48"/>
  <c r="G63" i="46"/>
  <c r="F70" i="46"/>
  <c r="F65" i="46"/>
  <c r="F69" i="46"/>
  <c r="F92" i="46" s="1"/>
  <c r="F67" i="46"/>
  <c r="F64" i="46"/>
  <c r="F68" i="46"/>
  <c r="H260" i="48"/>
  <c r="G261" i="48"/>
  <c r="I23" i="48"/>
  <c r="F206" i="48"/>
  <c r="F207" i="48"/>
  <c r="BL77" i="36"/>
  <c r="F205" i="48"/>
  <c r="I25" i="48"/>
  <c r="G70" i="48"/>
  <c r="G65" i="48"/>
  <c r="G68" i="48"/>
  <c r="H63" i="48"/>
  <c r="G64" i="48"/>
  <c r="G67" i="48"/>
  <c r="G69" i="48"/>
  <c r="AP40" i="45"/>
  <c r="AP39" i="45"/>
  <c r="AM23" i="45"/>
  <c r="AU49" i="45"/>
  <c r="AU47" i="45"/>
  <c r="AU46" i="45"/>
  <c r="AV45" i="45"/>
  <c r="AO20" i="45"/>
  <c r="AL25" i="45"/>
  <c r="E37" i="48"/>
  <c r="AL24" i="45"/>
  <c r="AL26" i="45"/>
  <c r="AP17" i="45"/>
  <c r="AP69" i="45" s="1"/>
  <c r="F82" i="45"/>
  <c r="E37" i="46"/>
  <c r="L39" i="48"/>
  <c r="AS51" i="45"/>
  <c r="AS92" i="45" s="1"/>
  <c r="AS52" i="45"/>
  <c r="AS53" i="45"/>
  <c r="AT48" i="45"/>
  <c r="AT50" i="45" s="1"/>
  <c r="J25" i="46"/>
  <c r="F205" i="46"/>
  <c r="J23" i="46"/>
  <c r="K21" i="46"/>
  <c r="K24" i="46"/>
  <c r="J22" i="46"/>
  <c r="H243" i="46"/>
  <c r="G244" i="46"/>
  <c r="F207" i="46"/>
  <c r="F206" i="46"/>
  <c r="H260" i="46"/>
  <c r="G261" i="46"/>
  <c r="F142" i="46"/>
  <c r="F143" i="46"/>
  <c r="F145" i="46"/>
  <c r="F144" i="46"/>
  <c r="H139" i="46"/>
  <c r="G204" i="46"/>
  <c r="G140" i="46"/>
  <c r="G203" i="46"/>
  <c r="G141" i="46"/>
  <c r="K363" i="46"/>
  <c r="G21" i="45"/>
  <c r="G23" i="45" s="1"/>
  <c r="AK82" i="45"/>
  <c r="J17" i="45"/>
  <c r="J69" i="45" s="1"/>
  <c r="K16" i="45"/>
  <c r="AQ16" i="45" s="1"/>
  <c r="J40" i="45"/>
  <c r="J39" i="45"/>
  <c r="K38" i="45"/>
  <c r="AQ38" i="45" s="1"/>
  <c r="AM95" i="45"/>
  <c r="I18" i="45"/>
  <c r="H19" i="45"/>
  <c r="H20" i="45"/>
  <c r="AS88" i="45"/>
  <c r="N48" i="45"/>
  <c r="N50" i="45" s="1"/>
  <c r="M39" i="46" s="1"/>
  <c r="M51" i="45"/>
  <c r="M92" i="45" s="1"/>
  <c r="M53" i="45"/>
  <c r="M52" i="45"/>
  <c r="M88" i="45"/>
  <c r="P45" i="45"/>
  <c r="O47" i="45"/>
  <c r="O46" i="45"/>
  <c r="O49" i="45"/>
  <c r="AR88" i="45"/>
  <c r="AR92" i="45"/>
  <c r="BL60" i="36"/>
  <c r="AG62" i="36"/>
  <c r="BM23" i="36"/>
  <c r="BM25" i="36" s="1"/>
  <c r="AH23" i="36"/>
  <c r="AH59" i="36"/>
  <c r="AH62" i="36" s="1"/>
  <c r="BM97" i="36"/>
  <c r="BM46" i="36"/>
  <c r="BM44" i="36"/>
  <c r="BN43" i="36"/>
  <c r="AG38" i="42" s="1"/>
  <c r="E41" i="36"/>
  <c r="E43" i="36" s="1"/>
  <c r="D38" i="38" s="1"/>
  <c r="F41" i="36"/>
  <c r="F43" i="36" s="1"/>
  <c r="E38" i="38" s="1"/>
  <c r="G41" i="36"/>
  <c r="G43" i="36" s="1"/>
  <c r="F38" i="38" s="1"/>
  <c r="H41" i="36"/>
  <c r="H43" i="36" s="1"/>
  <c r="G38" i="38" s="1"/>
  <c r="I41" i="36"/>
  <c r="I43" i="36" s="1"/>
  <c r="H38" i="38" s="1"/>
  <c r="J41" i="36"/>
  <c r="J43" i="36" s="1"/>
  <c r="I38" i="38" s="1"/>
  <c r="K41" i="36"/>
  <c r="K43" i="36" s="1"/>
  <c r="J38" i="38" s="1"/>
  <c r="L41" i="36"/>
  <c r="L43" i="36" s="1"/>
  <c r="K38" i="38" s="1"/>
  <c r="M41" i="36"/>
  <c r="M43" i="36" s="1"/>
  <c r="L38" i="38" s="1"/>
  <c r="N41" i="36"/>
  <c r="N43" i="36" s="1"/>
  <c r="M38" i="38" s="1"/>
  <c r="O41" i="36"/>
  <c r="O43" i="36" s="1"/>
  <c r="N38" i="38" s="1"/>
  <c r="P41" i="36"/>
  <c r="Q41" i="36"/>
  <c r="R41" i="36"/>
  <c r="S41" i="36"/>
  <c r="T41" i="36"/>
  <c r="U41" i="36"/>
  <c r="V41" i="36"/>
  <c r="W41" i="36"/>
  <c r="X41" i="36"/>
  <c r="Y41" i="36"/>
  <c r="Y43" i="36" s="1"/>
  <c r="X38" i="38" s="1"/>
  <c r="Z41" i="36"/>
  <c r="AA41" i="36"/>
  <c r="AB41" i="36"/>
  <c r="AC41" i="36"/>
  <c r="AD41" i="36"/>
  <c r="AE41" i="36"/>
  <c r="AF41" i="36"/>
  <c r="AG41" i="36"/>
  <c r="AG43" i="36" s="1"/>
  <c r="AF38" i="38" s="1"/>
  <c r="AH41" i="36"/>
  <c r="BN35" i="36"/>
  <c r="BN32" i="36"/>
  <c r="BL25" i="36"/>
  <c r="AE37" i="42" s="1"/>
  <c r="BL69" i="36"/>
  <c r="BM36" i="36"/>
  <c r="AF36" i="42" s="1"/>
  <c r="AG25" i="36"/>
  <c r="AF37" i="38" s="1"/>
  <c r="CH11" i="36"/>
  <c r="CF20" i="36" s="1"/>
  <c r="AH70" i="36"/>
  <c r="BN22" i="36"/>
  <c r="BN21" i="36"/>
  <c r="BM59" i="36"/>
  <c r="AF40" i="42" s="1"/>
  <c r="BM70" i="36"/>
  <c r="BN58" i="36"/>
  <c r="BN57" i="36"/>
  <c r="E187" i="42"/>
  <c r="G184" i="42"/>
  <c r="F185" i="42"/>
  <c r="F186" i="42"/>
  <c r="F189" i="42" s="1"/>
  <c r="R63" i="45"/>
  <c r="T72" i="14"/>
  <c r="AX63" i="36"/>
  <c r="AX68" i="36" s="1"/>
  <c r="AX75" i="36" s="1"/>
  <c r="R68" i="36"/>
  <c r="S63" i="36"/>
  <c r="Q71" i="36"/>
  <c r="CC38" i="58" s="1"/>
  <c r="Q37" i="58" s="1"/>
  <c r="AW37" i="58" s="1"/>
  <c r="CC37" i="58" s="1"/>
  <c r="Q106" i="36"/>
  <c r="AX64" i="36"/>
  <c r="R65" i="36"/>
  <c r="R66" i="36"/>
  <c r="AV71" i="36"/>
  <c r="AV72" i="36" s="1"/>
  <c r="AV106" i="36"/>
  <c r="AW66" i="36"/>
  <c r="AW73" i="36" s="1"/>
  <c r="AW65" i="36"/>
  <c r="J24" i="29"/>
  <c r="E66" i="42"/>
  <c r="K21" i="29"/>
  <c r="F132" i="38"/>
  <c r="F189" i="38"/>
  <c r="F188" i="38"/>
  <c r="J24" i="38"/>
  <c r="E66" i="38"/>
  <c r="F132" i="42"/>
  <c r="I25" i="38"/>
  <c r="H234" i="38"/>
  <c r="G235" i="38"/>
  <c r="F187" i="38"/>
  <c r="G219" i="42"/>
  <c r="F220" i="42"/>
  <c r="F134" i="38"/>
  <c r="F135" i="38"/>
  <c r="F133" i="38"/>
  <c r="H129" i="38"/>
  <c r="G185" i="38"/>
  <c r="G186" i="38"/>
  <c r="G130" i="38"/>
  <c r="G131" i="38"/>
  <c r="F67" i="38"/>
  <c r="F69" i="38"/>
  <c r="F88" i="38" s="1"/>
  <c r="F68" i="38"/>
  <c r="F70" i="38"/>
  <c r="G63" i="38"/>
  <c r="F64" i="38"/>
  <c r="F65" i="38"/>
  <c r="J21" i="38"/>
  <c r="F188" i="42"/>
  <c r="I23" i="38"/>
  <c r="H219" i="38"/>
  <c r="G220" i="38"/>
  <c r="F65" i="42"/>
  <c r="F64" i="42"/>
  <c r="G63" i="42"/>
  <c r="F70" i="42"/>
  <c r="F67" i="42"/>
  <c r="F69" i="42"/>
  <c r="F88" i="42" s="1"/>
  <c r="F68" i="42"/>
  <c r="I22" i="38"/>
  <c r="F133" i="42"/>
  <c r="F134" i="42"/>
  <c r="F135" i="42"/>
  <c r="H129" i="42"/>
  <c r="G130" i="42"/>
  <c r="G131" i="42"/>
  <c r="H234" i="42"/>
  <c r="G235" i="42"/>
  <c r="F69" i="20"/>
  <c r="M2" i="19"/>
  <c r="M2" i="20"/>
  <c r="AG2" i="19"/>
  <c r="AG2" i="20"/>
  <c r="L21" i="28"/>
  <c r="G87" i="28"/>
  <c r="G90" i="28"/>
  <c r="G89" i="28"/>
  <c r="G88" i="28"/>
  <c r="H85" i="28"/>
  <c r="G91" i="28"/>
  <c r="G86" i="28"/>
  <c r="R2" i="19"/>
  <c r="R2" i="20"/>
  <c r="G111" i="28"/>
  <c r="H110" i="28"/>
  <c r="W2" i="19"/>
  <c r="W2" i="20"/>
  <c r="H310" i="20"/>
  <c r="G268" i="19"/>
  <c r="F70" i="20"/>
  <c r="F72" i="20"/>
  <c r="F71" i="20"/>
  <c r="F73" i="20"/>
  <c r="J23" i="28"/>
  <c r="K25" i="28"/>
  <c r="F65" i="28"/>
  <c r="AB2" i="19"/>
  <c r="AB2" i="20"/>
  <c r="G124" i="20"/>
  <c r="G125" i="20"/>
  <c r="H122" i="20"/>
  <c r="G126" i="20"/>
  <c r="G127" i="20"/>
  <c r="G123" i="20"/>
  <c r="G128" i="20"/>
  <c r="H66" i="20"/>
  <c r="G67" i="20"/>
  <c r="G68" i="20"/>
  <c r="J22" i="28"/>
  <c r="K24" i="28"/>
  <c r="H198" i="20"/>
  <c r="G199" i="20"/>
  <c r="G64" i="28"/>
  <c r="H62" i="28"/>
  <c r="G67" i="28"/>
  <c r="G66" i="28"/>
  <c r="G63" i="28"/>
  <c r="C28" i="8"/>
  <c r="B26" i="8"/>
  <c r="B27" i="8"/>
  <c r="C26" i="8"/>
  <c r="B28" i="8"/>
  <c r="C27" i="8"/>
  <c r="Q13" i="4"/>
  <c r="Q12" i="4"/>
  <c r="Q14" i="4"/>
  <c r="S50" i="15"/>
  <c r="S53" i="15" s="1"/>
  <c r="S137" i="15" s="1"/>
  <c r="S126" i="15"/>
  <c r="D82" i="12"/>
  <c r="Q74" i="12"/>
  <c r="Q219" i="12" s="1"/>
  <c r="Q230" i="12" s="1"/>
  <c r="Q76" i="12"/>
  <c r="Q77" i="12"/>
  <c r="Q80" i="12"/>
  <c r="Q75" i="12"/>
  <c r="Q78" i="12"/>
  <c r="Q79" i="12"/>
  <c r="F212" i="20"/>
  <c r="R74" i="14"/>
  <c r="R219" i="14" s="1"/>
  <c r="R230" i="14" s="1"/>
  <c r="R77" i="14"/>
  <c r="R75" i="14"/>
  <c r="R76" i="14"/>
  <c r="R80" i="14"/>
  <c r="R78" i="14"/>
  <c r="R79" i="14"/>
  <c r="AM198" i="12"/>
  <c r="C203" i="12"/>
  <c r="AM172" i="12"/>
  <c r="D81" i="12"/>
  <c r="D213" i="12" s="1"/>
  <c r="D223" i="12" s="1"/>
  <c r="AF10" i="20"/>
  <c r="AE12" i="20"/>
  <c r="AE22" i="20"/>
  <c r="AE23" i="20"/>
  <c r="AF11" i="20"/>
  <c r="AD21" i="20"/>
  <c r="AE25" i="20"/>
  <c r="T72" i="12"/>
  <c r="V33" i="11"/>
  <c r="U34" i="11"/>
  <c r="U35" i="11" s="1"/>
  <c r="U36" i="11" s="1"/>
  <c r="T29" i="13"/>
  <c r="T30" i="13" s="1"/>
  <c r="U28" i="13"/>
  <c r="S32" i="13"/>
  <c r="S73" i="14" s="1"/>
  <c r="S31" i="13"/>
  <c r="S33" i="13" s="1"/>
  <c r="S64" i="36" s="1"/>
  <c r="R73" i="12"/>
  <c r="T4" i="6"/>
  <c r="U4" i="6" s="1"/>
  <c r="V4" i="6" s="1"/>
  <c r="W4" i="6" s="1"/>
  <c r="AF24" i="20"/>
  <c r="AC4" i="12"/>
  <c r="AB3" i="52" s="1"/>
  <c r="AN5" i="6"/>
  <c r="AH4" i="16"/>
  <c r="AH4" i="15"/>
  <c r="T5" i="6"/>
  <c r="N4" i="16"/>
  <c r="N4" i="15"/>
  <c r="AD3" i="6"/>
  <c r="AC4" i="15"/>
  <c r="AC4" i="16"/>
  <c r="I4" i="15"/>
  <c r="I4" i="16"/>
  <c r="AI4" i="6"/>
  <c r="AJ4" i="6" s="1"/>
  <c r="AK4" i="6" s="1"/>
  <c r="AL4" i="6" s="1"/>
  <c r="AN6" i="6"/>
  <c r="AO6" i="6" s="1"/>
  <c r="AP6" i="6" s="1"/>
  <c r="AQ6" i="6" s="1"/>
  <c r="T6" i="6"/>
  <c r="U6" i="6" s="1"/>
  <c r="V6" i="6" s="1"/>
  <c r="W6" i="6" s="1"/>
  <c r="AI5" i="6"/>
  <c r="X4" i="16"/>
  <c r="X4" i="15"/>
  <c r="AD4" i="6"/>
  <c r="AE4" i="6" s="1"/>
  <c r="AF4" i="6" s="1"/>
  <c r="AG4" i="6" s="1"/>
  <c r="AI3" i="6"/>
  <c r="AD6" i="6"/>
  <c r="AE6" i="6" s="1"/>
  <c r="AF6" i="6" s="1"/>
  <c r="AG6" i="6" s="1"/>
  <c r="Y5" i="6"/>
  <c r="S4" i="15"/>
  <c r="S4" i="16"/>
  <c r="AN4" i="6"/>
  <c r="AO4" i="6" s="1"/>
  <c r="AP4" i="6" s="1"/>
  <c r="AQ4" i="6" s="1"/>
  <c r="S4" i="12"/>
  <c r="R3" i="52" s="1"/>
  <c r="AN3" i="6"/>
  <c r="Y3" i="6"/>
  <c r="N4" i="12"/>
  <c r="M3" i="52" s="1"/>
  <c r="T31" i="15"/>
  <c r="F3" i="12"/>
  <c r="E1" i="52" s="1"/>
  <c r="AI6" i="6"/>
  <c r="AJ6" i="6" s="1"/>
  <c r="AK6" i="6" s="1"/>
  <c r="AL6" i="6" s="1"/>
  <c r="AD5" i="6"/>
  <c r="Y4" i="6"/>
  <c r="Z4" i="6" s="1"/>
  <c r="AA4" i="6" s="1"/>
  <c r="AB4" i="6" s="1"/>
  <c r="N35" i="20" l="1"/>
  <c r="N35" i="29"/>
  <c r="O4" i="14"/>
  <c r="N35" i="19"/>
  <c r="N35" i="28"/>
  <c r="X35" i="20"/>
  <c r="Y4" i="14"/>
  <c r="X35" i="29"/>
  <c r="X35" i="19"/>
  <c r="X35" i="28"/>
  <c r="AG4" i="52"/>
  <c r="X5" i="14"/>
  <c r="X7" i="14"/>
  <c r="X6" i="14"/>
  <c r="X8" i="14"/>
  <c r="AC35" i="20"/>
  <c r="AC35" i="29"/>
  <c r="AD4" i="14"/>
  <c r="AC35" i="19"/>
  <c r="AC35" i="28"/>
  <c r="H4" i="52"/>
  <c r="T61" i="45"/>
  <c r="AZ61" i="45" s="1"/>
  <c r="AZ63" i="45" s="1"/>
  <c r="T64" i="45"/>
  <c r="AZ64" i="45" s="1"/>
  <c r="S2" i="54"/>
  <c r="W4" i="54"/>
  <c r="W3" i="52"/>
  <c r="X6" i="12"/>
  <c r="X5" i="12"/>
  <c r="X7" i="12"/>
  <c r="N7" i="14"/>
  <c r="N6" i="14"/>
  <c r="N8" i="14" s="1"/>
  <c r="N5" i="14"/>
  <c r="W4" i="52"/>
  <c r="X2" i="54"/>
  <c r="X4" i="54" s="1"/>
  <c r="AB4" i="54"/>
  <c r="S2" i="53"/>
  <c r="S4" i="53" s="1"/>
  <c r="W4" i="53"/>
  <c r="AB4" i="52"/>
  <c r="U37" i="11"/>
  <c r="U40" i="11"/>
  <c r="U66" i="45" s="1"/>
  <c r="BA66" i="45" s="1"/>
  <c r="U39" i="11"/>
  <c r="U38" i="11"/>
  <c r="X2" i="53"/>
  <c r="X4" i="53" s="1"/>
  <c r="AB4" i="53"/>
  <c r="R4" i="54"/>
  <c r="N2" i="54"/>
  <c r="N4" i="54" s="1"/>
  <c r="AC6" i="14"/>
  <c r="AC7" i="14"/>
  <c r="AC5" i="14"/>
  <c r="AH6" i="14"/>
  <c r="AH5" i="14"/>
  <c r="AH7" i="14"/>
  <c r="AH8" i="14" s="1"/>
  <c r="AM172" i="14"/>
  <c r="AM198" i="14"/>
  <c r="S35" i="20"/>
  <c r="T4" i="14"/>
  <c r="S35" i="29"/>
  <c r="S35" i="19"/>
  <c r="S35" i="28"/>
  <c r="AG4" i="53"/>
  <c r="AC2" i="53"/>
  <c r="AC4" i="53" s="1"/>
  <c r="AU96" i="55"/>
  <c r="DG96" i="55" s="1"/>
  <c r="P96" i="55"/>
  <c r="R4" i="53"/>
  <c r="N2" i="53"/>
  <c r="R4" i="52"/>
  <c r="AC2" i="54"/>
  <c r="AG4" i="54"/>
  <c r="P95" i="55"/>
  <c r="AU95" i="55"/>
  <c r="DG95" i="55" s="1"/>
  <c r="I2" i="54"/>
  <c r="J2" i="54" s="1"/>
  <c r="M4" i="54"/>
  <c r="AG3" i="52"/>
  <c r="AH6" i="12"/>
  <c r="AH5" i="12"/>
  <c r="AH7" i="12"/>
  <c r="M4" i="52"/>
  <c r="M8" i="52" s="1"/>
  <c r="S5" i="14"/>
  <c r="S7" i="14"/>
  <c r="S6" i="14"/>
  <c r="I2" i="53"/>
  <c r="M4" i="53"/>
  <c r="J2" i="53"/>
  <c r="K2" i="53" s="1"/>
  <c r="J21" i="54"/>
  <c r="K24" i="54"/>
  <c r="G65" i="28"/>
  <c r="J23" i="54"/>
  <c r="AN21" i="45"/>
  <c r="AN23" i="45" s="1"/>
  <c r="J22" i="54"/>
  <c r="J25" i="54"/>
  <c r="AO42" i="45"/>
  <c r="H67" i="54"/>
  <c r="H68" i="54"/>
  <c r="H65" i="54"/>
  <c r="H64" i="54"/>
  <c r="H69" i="54"/>
  <c r="H76" i="54" s="1"/>
  <c r="H77" i="54" s="1"/>
  <c r="H70" i="54"/>
  <c r="I63" i="54"/>
  <c r="G66" i="54"/>
  <c r="I156" i="54"/>
  <c r="H157" i="54"/>
  <c r="AO44" i="45"/>
  <c r="H38" i="48"/>
  <c r="I147" i="53"/>
  <c r="H148" i="53"/>
  <c r="I156" i="53"/>
  <c r="H157" i="53"/>
  <c r="G66" i="53"/>
  <c r="H68" i="53"/>
  <c r="H70" i="53"/>
  <c r="H65" i="53"/>
  <c r="H69" i="53"/>
  <c r="H76" i="53" s="1"/>
  <c r="H64" i="53"/>
  <c r="H67" i="53"/>
  <c r="I63" i="53"/>
  <c r="G77" i="53"/>
  <c r="G104" i="53"/>
  <c r="G103" i="53"/>
  <c r="G105" i="53"/>
  <c r="G102" i="53"/>
  <c r="G133" i="53"/>
  <c r="G135" i="53"/>
  <c r="G134" i="53"/>
  <c r="H132" i="53"/>
  <c r="H101" i="53"/>
  <c r="H100" i="53"/>
  <c r="H131" i="53"/>
  <c r="G82" i="45"/>
  <c r="K22" i="53"/>
  <c r="K23" i="53"/>
  <c r="L24" i="53"/>
  <c r="K21" i="53"/>
  <c r="K25" i="53"/>
  <c r="AC2" i="38"/>
  <c r="AC4" i="38" s="1"/>
  <c r="AG4" i="38"/>
  <c r="AC2" i="46"/>
  <c r="AG4" i="46"/>
  <c r="N2" i="46"/>
  <c r="R4" i="46"/>
  <c r="I2" i="46"/>
  <c r="J2" i="46" s="1"/>
  <c r="K2" i="46" s="1"/>
  <c r="M4" i="46"/>
  <c r="S2" i="46"/>
  <c r="W4" i="46"/>
  <c r="AG4" i="48"/>
  <c r="R4" i="48"/>
  <c r="I2" i="29"/>
  <c r="M4" i="29"/>
  <c r="X2" i="38"/>
  <c r="AB4" i="38"/>
  <c r="S2" i="38"/>
  <c r="W4" i="38"/>
  <c r="S2" i="48"/>
  <c r="S4" i="48" s="1"/>
  <c r="W4" i="48"/>
  <c r="AG4" i="42"/>
  <c r="N2" i="42"/>
  <c r="N4" i="42" s="1"/>
  <c r="R4" i="42"/>
  <c r="M4" i="42"/>
  <c r="I2" i="42"/>
  <c r="F6" i="50"/>
  <c r="F7" i="50"/>
  <c r="F8" i="50"/>
  <c r="F5" i="50"/>
  <c r="Z5" i="50" s="1"/>
  <c r="X2" i="29"/>
  <c r="X4" i="29" s="1"/>
  <c r="AB4" i="29"/>
  <c r="AC2" i="48"/>
  <c r="AC4" i="48" s="1"/>
  <c r="X2" i="48"/>
  <c r="X4" i="48" s="1"/>
  <c r="Y2" i="48"/>
  <c r="AB4" i="48"/>
  <c r="X2" i="28"/>
  <c r="S2" i="28"/>
  <c r="S4" i="28" s="1"/>
  <c r="W4" i="28"/>
  <c r="N2" i="38"/>
  <c r="N4" i="38" s="1"/>
  <c r="R4" i="38"/>
  <c r="I2" i="38"/>
  <c r="M4" i="38"/>
  <c r="AB4" i="28"/>
  <c r="S2" i="29"/>
  <c r="W4" i="29"/>
  <c r="AC2" i="29"/>
  <c r="AC4" i="29" s="1"/>
  <c r="AG4" i="29"/>
  <c r="N2" i="29"/>
  <c r="N4" i="29" s="1"/>
  <c r="R4" i="29"/>
  <c r="N2" i="48"/>
  <c r="N4" i="48" s="1"/>
  <c r="M4" i="48"/>
  <c r="I2" i="48"/>
  <c r="X2" i="46"/>
  <c r="AB4" i="46"/>
  <c r="S2" i="42"/>
  <c r="S4" i="42" s="1"/>
  <c r="W4" i="42"/>
  <c r="AC2" i="28"/>
  <c r="AC4" i="28" s="1"/>
  <c r="AG4" i="28"/>
  <c r="N2" i="28"/>
  <c r="N4" i="28" s="1"/>
  <c r="R4" i="28"/>
  <c r="I2" i="28"/>
  <c r="M4" i="28"/>
  <c r="AC2" i="42"/>
  <c r="AC4" i="42" s="1"/>
  <c r="X2" i="42"/>
  <c r="X4" i="42" s="1"/>
  <c r="AB4" i="42"/>
  <c r="AN26" i="45"/>
  <c r="G37" i="48"/>
  <c r="AN24" i="45"/>
  <c r="AN25" i="45"/>
  <c r="AP18" i="45"/>
  <c r="AP19" i="45" s="1"/>
  <c r="AP41" i="45"/>
  <c r="I38" i="48" s="1"/>
  <c r="G66" i="48"/>
  <c r="F66" i="46"/>
  <c r="AO21" i="45"/>
  <c r="AO23" i="45" s="1"/>
  <c r="G143" i="48"/>
  <c r="G144" i="48"/>
  <c r="G145" i="48"/>
  <c r="G25" i="45"/>
  <c r="H64" i="48"/>
  <c r="H69" i="48"/>
  <c r="I63" i="48"/>
  <c r="H68" i="48"/>
  <c r="H65" i="48"/>
  <c r="H70" i="48"/>
  <c r="H67" i="48"/>
  <c r="J23" i="48"/>
  <c r="E97" i="48"/>
  <c r="E95" i="48"/>
  <c r="E100" i="48" s="1"/>
  <c r="E94" i="48"/>
  <c r="E96" i="48"/>
  <c r="E101" i="48" s="1"/>
  <c r="E93" i="48"/>
  <c r="E98" i="48" s="1"/>
  <c r="G26" i="45"/>
  <c r="AU48" i="45"/>
  <c r="AU50" i="45" s="1"/>
  <c r="AU53" i="45" s="1"/>
  <c r="J25" i="48"/>
  <c r="H261" i="48"/>
  <c r="I260" i="48"/>
  <c r="F95" i="46"/>
  <c r="F100" i="46" s="1"/>
  <c r="F94" i="46"/>
  <c r="F97" i="46"/>
  <c r="F93" i="46"/>
  <c r="F98" i="46" s="1"/>
  <c r="F92" i="48"/>
  <c r="F96" i="46"/>
  <c r="F101" i="46" s="1"/>
  <c r="K24" i="48"/>
  <c r="J22" i="48"/>
  <c r="G207" i="48"/>
  <c r="G206" i="48"/>
  <c r="H244" i="48"/>
  <c r="I243" i="48"/>
  <c r="F89" i="38"/>
  <c r="F90" i="38"/>
  <c r="F91" i="38"/>
  <c r="F187" i="42"/>
  <c r="AH60" i="36"/>
  <c r="AG40" i="38"/>
  <c r="H63" i="46"/>
  <c r="G70" i="46"/>
  <c r="G68" i="46"/>
  <c r="G65" i="46"/>
  <c r="G67" i="46"/>
  <c r="G64" i="46"/>
  <c r="G69" i="46"/>
  <c r="G92" i="46" s="1"/>
  <c r="H204" i="48"/>
  <c r="H141" i="48"/>
  <c r="H203" i="48"/>
  <c r="H140" i="48"/>
  <c r="I139" i="48"/>
  <c r="F92" i="42"/>
  <c r="F91" i="42"/>
  <c r="F90" i="42"/>
  <c r="F94" i="42" s="1"/>
  <c r="F89" i="42"/>
  <c r="F93" i="42" s="1"/>
  <c r="BM28" i="36"/>
  <c r="AF37" i="42"/>
  <c r="K21" i="48"/>
  <c r="G205" i="48"/>
  <c r="G142" i="48"/>
  <c r="AP43" i="45"/>
  <c r="AQ39" i="45"/>
  <c r="AQ40" i="45"/>
  <c r="O48" i="45"/>
  <c r="O50" i="45" s="1"/>
  <c r="N39" i="46" s="1"/>
  <c r="G24" i="45"/>
  <c r="F37" i="46"/>
  <c r="F37" i="48"/>
  <c r="AM24" i="45"/>
  <c r="AM26" i="45"/>
  <c r="AM25" i="45"/>
  <c r="M39" i="48"/>
  <c r="AT51" i="45"/>
  <c r="AT92" i="45" s="1"/>
  <c r="AT52" i="45"/>
  <c r="AT53" i="45"/>
  <c r="AV46" i="45"/>
  <c r="AV47" i="45"/>
  <c r="AV49" i="45"/>
  <c r="AW45" i="45"/>
  <c r="AQ17" i="45"/>
  <c r="AQ69" i="45" s="1"/>
  <c r="G207" i="46"/>
  <c r="G206" i="46"/>
  <c r="I243" i="46"/>
  <c r="H244" i="46"/>
  <c r="K22" i="46"/>
  <c r="G144" i="46"/>
  <c r="G143" i="46"/>
  <c r="G145" i="46"/>
  <c r="I139" i="46"/>
  <c r="H204" i="46"/>
  <c r="H140" i="46"/>
  <c r="H141" i="46"/>
  <c r="H203" i="46"/>
  <c r="L21" i="46"/>
  <c r="K25" i="46"/>
  <c r="L363" i="46"/>
  <c r="G205" i="46"/>
  <c r="L24" i="46"/>
  <c r="G142" i="46"/>
  <c r="I260" i="46"/>
  <c r="H261" i="46"/>
  <c r="K23" i="46"/>
  <c r="AO95" i="45"/>
  <c r="AL82" i="45"/>
  <c r="J18" i="45"/>
  <c r="J19" i="45" s="1"/>
  <c r="AN95" i="45"/>
  <c r="I20" i="45"/>
  <c r="I19" i="45"/>
  <c r="K39" i="45"/>
  <c r="L38" i="45"/>
  <c r="AR38" i="45" s="1"/>
  <c r="K40" i="45"/>
  <c r="K17" i="45"/>
  <c r="K69" i="45" s="1"/>
  <c r="L16" i="45"/>
  <c r="AR16" i="45" s="1"/>
  <c r="AM82" i="45"/>
  <c r="H21" i="45"/>
  <c r="H23" i="45" s="1"/>
  <c r="AT88" i="45"/>
  <c r="N51" i="45"/>
  <c r="N92" i="45" s="1"/>
  <c r="N53" i="45"/>
  <c r="N52" i="45"/>
  <c r="N88" i="45"/>
  <c r="Q45" i="45"/>
  <c r="P46" i="45"/>
  <c r="P49" i="45"/>
  <c r="P47" i="45"/>
  <c r="BN36" i="36"/>
  <c r="AG36" i="42" s="1"/>
  <c r="BN70" i="36"/>
  <c r="BN23" i="36"/>
  <c r="BM26" i="36"/>
  <c r="BM87" i="36" s="1"/>
  <c r="BM84" i="36"/>
  <c r="BM69" i="36"/>
  <c r="BN59" i="36"/>
  <c r="AG40" i="42" s="1"/>
  <c r="CE10" i="36"/>
  <c r="AH25" i="36"/>
  <c r="AG37" i="38" s="1"/>
  <c r="BN97" i="36"/>
  <c r="BN44" i="36"/>
  <c r="BN46" i="36"/>
  <c r="AC43" i="36"/>
  <c r="AB38" i="38" s="1"/>
  <c r="AC69" i="36"/>
  <c r="U43" i="36"/>
  <c r="T38" i="38" s="1"/>
  <c r="U69" i="36"/>
  <c r="G97" i="36"/>
  <c r="G46" i="36"/>
  <c r="G44" i="36"/>
  <c r="AF43" i="36"/>
  <c r="AE38" i="38" s="1"/>
  <c r="AF69" i="36"/>
  <c r="Z43" i="36"/>
  <c r="Y38" i="38" s="1"/>
  <c r="Z69" i="36"/>
  <c r="X43" i="36"/>
  <c r="W38" i="38" s="1"/>
  <c r="X69" i="36"/>
  <c r="V43" i="36"/>
  <c r="U38" i="38" s="1"/>
  <c r="V69" i="36"/>
  <c r="N46" i="36"/>
  <c r="N44" i="36"/>
  <c r="N97" i="36"/>
  <c r="J97" i="36"/>
  <c r="J44" i="36"/>
  <c r="J46" i="36"/>
  <c r="H41" i="45"/>
  <c r="F41" i="45"/>
  <c r="W43" i="36"/>
  <c r="V38" i="38" s="1"/>
  <c r="W69" i="36"/>
  <c r="O46" i="36"/>
  <c r="O97" i="36"/>
  <c r="O44" i="36"/>
  <c r="I41" i="45"/>
  <c r="AG69" i="36"/>
  <c r="AH43" i="36"/>
  <c r="AG38" i="38" s="1"/>
  <c r="AH69" i="36"/>
  <c r="CG10" i="36"/>
  <c r="AD43" i="36"/>
  <c r="AC38" i="38" s="1"/>
  <c r="AD69" i="36"/>
  <c r="AB43" i="36"/>
  <c r="AA38" i="38" s="1"/>
  <c r="AB69" i="36"/>
  <c r="T43" i="36"/>
  <c r="S38" i="38" s="1"/>
  <c r="T69" i="36"/>
  <c r="R43" i="36"/>
  <c r="Q38" i="38" s="1"/>
  <c r="R69" i="36"/>
  <c r="P43" i="36"/>
  <c r="O38" i="38" s="1"/>
  <c r="P69" i="36"/>
  <c r="P72" i="36" s="1"/>
  <c r="L97" i="36"/>
  <c r="L44" i="36"/>
  <c r="L46" i="36"/>
  <c r="J41" i="45"/>
  <c r="H46" i="36"/>
  <c r="H44" i="36"/>
  <c r="H97" i="36"/>
  <c r="F97" i="36"/>
  <c r="F44" i="36"/>
  <c r="F46" i="36"/>
  <c r="AG46" i="36"/>
  <c r="AG97" i="36"/>
  <c r="AG44" i="36"/>
  <c r="Y46" i="36"/>
  <c r="Y97" i="36"/>
  <c r="Y44" i="36"/>
  <c r="S43" i="36"/>
  <c r="R38" i="38" s="1"/>
  <c r="S69" i="36"/>
  <c r="M44" i="36"/>
  <c r="M97" i="36"/>
  <c r="M46" i="36"/>
  <c r="E41" i="45"/>
  <c r="AE43" i="36"/>
  <c r="AD38" i="38" s="1"/>
  <c r="AE69" i="36"/>
  <c r="AA43" i="36"/>
  <c r="Z38" i="38" s="1"/>
  <c r="AA69" i="36"/>
  <c r="Q43" i="36"/>
  <c r="P38" i="38" s="1"/>
  <c r="Q69" i="36"/>
  <c r="Q72" i="36" s="1"/>
  <c r="K44" i="36"/>
  <c r="K46" i="36"/>
  <c r="K97" i="36"/>
  <c r="I44" i="36"/>
  <c r="I97" i="36"/>
  <c r="I46" i="36"/>
  <c r="G41" i="45"/>
  <c r="E46" i="36"/>
  <c r="E97" i="36"/>
  <c r="E44" i="36"/>
  <c r="AG26" i="36"/>
  <c r="AG87" i="36" s="1"/>
  <c r="AG28" i="36"/>
  <c r="AG84" i="36"/>
  <c r="BL28" i="36"/>
  <c r="BL26" i="36"/>
  <c r="BL87" i="36" s="1"/>
  <c r="BL84" i="36"/>
  <c r="BM37" i="36"/>
  <c r="BM81" i="36" s="1"/>
  <c r="BM39" i="36"/>
  <c r="BM77" i="36"/>
  <c r="BM62" i="36"/>
  <c r="BM60" i="36"/>
  <c r="H184" i="42"/>
  <c r="G185" i="42"/>
  <c r="G186" i="42"/>
  <c r="G188" i="42" s="1"/>
  <c r="S63" i="45"/>
  <c r="AY63" i="36"/>
  <c r="AY68" i="36" s="1"/>
  <c r="AY75" i="36" s="1"/>
  <c r="S68" i="36"/>
  <c r="T63" i="36"/>
  <c r="U72" i="14"/>
  <c r="AX66" i="36"/>
  <c r="AX73" i="36" s="1"/>
  <c r="AX65" i="36"/>
  <c r="AY64" i="36"/>
  <c r="S65" i="36"/>
  <c r="S66" i="36"/>
  <c r="R71" i="36"/>
  <c r="CD38" i="58" s="1"/>
  <c r="R37" i="58" s="1"/>
  <c r="AX37" i="58" s="1"/>
  <c r="CD37" i="58" s="1"/>
  <c r="R106" i="36"/>
  <c r="AW71" i="36"/>
  <c r="AW72" i="36" s="1"/>
  <c r="AW106" i="36"/>
  <c r="G69" i="20"/>
  <c r="L21" i="29"/>
  <c r="K24" i="29"/>
  <c r="G132" i="38"/>
  <c r="G132" i="42"/>
  <c r="I234" i="42"/>
  <c r="H235" i="42"/>
  <c r="G64" i="42"/>
  <c r="G68" i="42"/>
  <c r="G69" i="42"/>
  <c r="G88" i="42" s="1"/>
  <c r="G67" i="42"/>
  <c r="G70" i="42"/>
  <c r="G65" i="42"/>
  <c r="H63" i="42"/>
  <c r="J23" i="38"/>
  <c r="G189" i="38"/>
  <c r="G188" i="38"/>
  <c r="H219" i="42"/>
  <c r="G220" i="42"/>
  <c r="J25" i="38"/>
  <c r="J22" i="38"/>
  <c r="F66" i="38"/>
  <c r="G187" i="38"/>
  <c r="F66" i="42"/>
  <c r="G134" i="42"/>
  <c r="G133" i="42"/>
  <c r="G135" i="42"/>
  <c r="I129" i="42"/>
  <c r="H131" i="42"/>
  <c r="H130" i="42"/>
  <c r="F95" i="42"/>
  <c r="I219" i="38"/>
  <c r="H220" i="38"/>
  <c r="G69" i="38"/>
  <c r="G88" i="38" s="1"/>
  <c r="G68" i="38"/>
  <c r="G67" i="38"/>
  <c r="G70" i="38"/>
  <c r="H63" i="38"/>
  <c r="G64" i="38"/>
  <c r="G65" i="38"/>
  <c r="G134" i="38"/>
  <c r="G133" i="38"/>
  <c r="G135" i="38"/>
  <c r="I129" i="38"/>
  <c r="H185" i="38"/>
  <c r="H186" i="38"/>
  <c r="H131" i="38"/>
  <c r="H130" i="38"/>
  <c r="I234" i="38"/>
  <c r="H235" i="38"/>
  <c r="K21" i="38"/>
  <c r="K24" i="38"/>
  <c r="Y32" i="36"/>
  <c r="Y69" i="36" s="1"/>
  <c r="M32" i="36"/>
  <c r="M69" i="36" s="1"/>
  <c r="I32" i="36"/>
  <c r="I69" i="36" s="1"/>
  <c r="G32" i="36"/>
  <c r="G69" i="36" s="1"/>
  <c r="K32" i="36"/>
  <c r="K69" i="36" s="1"/>
  <c r="L32" i="36"/>
  <c r="L69" i="36" s="1"/>
  <c r="F32" i="36"/>
  <c r="F69" i="36" s="1"/>
  <c r="O32" i="36"/>
  <c r="O69" i="36" s="1"/>
  <c r="E32" i="36"/>
  <c r="E69" i="36" s="1"/>
  <c r="N32" i="36"/>
  <c r="N69" i="36" s="1"/>
  <c r="J32" i="36"/>
  <c r="J69" i="36" s="1"/>
  <c r="H32" i="36"/>
  <c r="H69" i="36" s="1"/>
  <c r="I198" i="20"/>
  <c r="H199" i="20"/>
  <c r="K22" i="28"/>
  <c r="K23" i="28"/>
  <c r="I310" i="20"/>
  <c r="H268" i="19"/>
  <c r="AG4" i="20"/>
  <c r="AC2" i="20"/>
  <c r="I62" i="28"/>
  <c r="H67" i="28"/>
  <c r="H64" i="28"/>
  <c r="H63" i="28"/>
  <c r="H66" i="28"/>
  <c r="G70" i="20"/>
  <c r="G72" i="20"/>
  <c r="G71" i="20"/>
  <c r="G73" i="20"/>
  <c r="H127" i="20"/>
  <c r="H126" i="20"/>
  <c r="H125" i="20"/>
  <c r="H123" i="20"/>
  <c r="I122" i="20"/>
  <c r="H124" i="20"/>
  <c r="H128" i="20"/>
  <c r="S2" i="20"/>
  <c r="W4" i="20"/>
  <c r="H111" i="28"/>
  <c r="I110" i="28"/>
  <c r="N2" i="20"/>
  <c r="N4" i="20" s="1"/>
  <c r="R4" i="20"/>
  <c r="H86" i="28"/>
  <c r="H89" i="28"/>
  <c r="H87" i="28"/>
  <c r="H91" i="28"/>
  <c r="I85" i="28"/>
  <c r="H88" i="28"/>
  <c r="H90" i="28"/>
  <c r="AC2" i="19"/>
  <c r="AC4" i="19" s="1"/>
  <c r="AG4" i="19"/>
  <c r="L24" i="28"/>
  <c r="AB4" i="20"/>
  <c r="X2" i="20"/>
  <c r="X4" i="20" s="1"/>
  <c r="L25" i="28"/>
  <c r="W4" i="19"/>
  <c r="S2" i="19"/>
  <c r="R4" i="19"/>
  <c r="N2" i="19"/>
  <c r="N4" i="19" s="1"/>
  <c r="M4" i="20"/>
  <c r="I2" i="20"/>
  <c r="I66" i="20"/>
  <c r="H68" i="20"/>
  <c r="H67" i="20"/>
  <c r="X2" i="19"/>
  <c r="AB4" i="19"/>
  <c r="M21" i="28"/>
  <c r="M4" i="19"/>
  <c r="I2" i="19"/>
  <c r="AM80" i="16"/>
  <c r="AM106" i="16"/>
  <c r="C111" i="16"/>
  <c r="C115" i="16"/>
  <c r="C116" i="16"/>
  <c r="C117" i="16"/>
  <c r="C113" i="16"/>
  <c r="C112" i="16"/>
  <c r="AM106" i="15"/>
  <c r="AM80" i="15"/>
  <c r="C111" i="15"/>
  <c r="T50" i="15"/>
  <c r="T53" i="15" s="1"/>
  <c r="T137" i="15" s="1"/>
  <c r="T126" i="15"/>
  <c r="D214" i="12"/>
  <c r="D224" i="12" s="1"/>
  <c r="R74" i="12"/>
  <c r="R219" i="12" s="1"/>
  <c r="R230" i="12" s="1"/>
  <c r="R75" i="12"/>
  <c r="R78" i="12"/>
  <c r="R77" i="12"/>
  <c r="R80" i="12"/>
  <c r="R79" i="12"/>
  <c r="R76" i="12"/>
  <c r="G212" i="20"/>
  <c r="S74" i="14"/>
  <c r="S219" i="14" s="1"/>
  <c r="S230" i="14" s="1"/>
  <c r="S79" i="14"/>
  <c r="S75" i="14"/>
  <c r="S78" i="14"/>
  <c r="S77" i="14"/>
  <c r="S80" i="14"/>
  <c r="S76" i="14"/>
  <c r="S6" i="12"/>
  <c r="S5" i="12"/>
  <c r="S7" i="12"/>
  <c r="AC6" i="12"/>
  <c r="AC5" i="12"/>
  <c r="AC7" i="12"/>
  <c r="N6" i="12"/>
  <c r="N5" i="12"/>
  <c r="N7" i="12"/>
  <c r="AE21" i="20"/>
  <c r="AF23" i="20"/>
  <c r="AF25" i="20"/>
  <c r="AG11" i="20"/>
  <c r="AF22" i="20"/>
  <c r="AG10" i="20"/>
  <c r="AF12" i="20"/>
  <c r="W33" i="11"/>
  <c r="V34" i="11"/>
  <c r="V35" i="11" s="1"/>
  <c r="V36" i="11" s="1"/>
  <c r="S73" i="12"/>
  <c r="U29" i="13"/>
  <c r="U30" i="13" s="1"/>
  <c r="V28" i="13"/>
  <c r="T31" i="13"/>
  <c r="T33" i="13" s="1"/>
  <c r="T64" i="36" s="1"/>
  <c r="T32" i="13"/>
  <c r="T73" i="14" s="1"/>
  <c r="AG24" i="20"/>
  <c r="Y4" i="12"/>
  <c r="X3" i="52" s="1"/>
  <c r="AJ3" i="6"/>
  <c r="U5" i="6"/>
  <c r="J4" i="16"/>
  <c r="J4" i="15"/>
  <c r="AJ5" i="6"/>
  <c r="Y4" i="16"/>
  <c r="Y4" i="15"/>
  <c r="T4" i="12"/>
  <c r="S3" i="52" s="1"/>
  <c r="AE3" i="6"/>
  <c r="Z5" i="6"/>
  <c r="O4" i="16"/>
  <c r="O4" i="15"/>
  <c r="AE5" i="6"/>
  <c r="T4" i="16"/>
  <c r="T4" i="15"/>
  <c r="AO5" i="6"/>
  <c r="AD4" i="16"/>
  <c r="AD4" i="15"/>
  <c r="AO3" i="6"/>
  <c r="AD4" i="12"/>
  <c r="AC3" i="52" s="1"/>
  <c r="O4" i="12"/>
  <c r="N3" i="52" s="1"/>
  <c r="Z3" i="6"/>
  <c r="U31" i="15"/>
  <c r="G3" i="12"/>
  <c r="F1" i="52" s="1"/>
  <c r="Y2" i="42" l="1"/>
  <c r="S8" i="14"/>
  <c r="Y2" i="20"/>
  <c r="AH8" i="12"/>
  <c r="Y2" i="54"/>
  <c r="O2" i="29"/>
  <c r="H66" i="54"/>
  <c r="X8" i="12"/>
  <c r="AC8" i="14"/>
  <c r="O2" i="54"/>
  <c r="P2" i="54" s="1"/>
  <c r="Q2" i="54" s="1"/>
  <c r="L2" i="53"/>
  <c r="K2" i="54"/>
  <c r="L2" i="46"/>
  <c r="AC4" i="52"/>
  <c r="Y4" i="54"/>
  <c r="T35" i="20"/>
  <c r="U4" i="14"/>
  <c r="T35" i="29"/>
  <c r="T35" i="19"/>
  <c r="T35" i="28"/>
  <c r="Y35" i="20"/>
  <c r="Y35" i="29"/>
  <c r="Z4" i="14"/>
  <c r="Y35" i="19"/>
  <c r="Y35" i="28"/>
  <c r="V37" i="11"/>
  <c r="V40" i="11"/>
  <c r="V66" i="45" s="1"/>
  <c r="BB66" i="45" s="1"/>
  <c r="V39" i="11"/>
  <c r="V38" i="11"/>
  <c r="Y2" i="29"/>
  <c r="Y4" i="29" s="1"/>
  <c r="AD2" i="54"/>
  <c r="AC4" i="54"/>
  <c r="AD2" i="53"/>
  <c r="AD6" i="14"/>
  <c r="AD7" i="14"/>
  <c r="AD5" i="14"/>
  <c r="O2" i="42"/>
  <c r="O4" i="42" s="1"/>
  <c r="T5" i="14"/>
  <c r="T6" i="14"/>
  <c r="T7" i="14"/>
  <c r="Y2" i="53"/>
  <c r="S4" i="52"/>
  <c r="X4" i="52"/>
  <c r="Y4" i="20"/>
  <c r="Y4" i="42"/>
  <c r="O2" i="53"/>
  <c r="N4" i="53"/>
  <c r="T2" i="53"/>
  <c r="Y5" i="14"/>
  <c r="Y6" i="14"/>
  <c r="Y7" i="14"/>
  <c r="O35" i="20"/>
  <c r="P4" i="14"/>
  <c r="O35" i="29"/>
  <c r="O35" i="19"/>
  <c r="O35" i="28"/>
  <c r="AD2" i="28"/>
  <c r="AE2" i="28" s="1"/>
  <c r="G8" i="50"/>
  <c r="H8" i="50" s="1"/>
  <c r="I8" i="50" s="1"/>
  <c r="Z8" i="50"/>
  <c r="AA8" i="50" s="1"/>
  <c r="AB8" i="50" s="1"/>
  <c r="AC8" i="50" s="1"/>
  <c r="AD8" i="50" s="1"/>
  <c r="AE8" i="50" s="1"/>
  <c r="AF8" i="50" s="1"/>
  <c r="AG8" i="50" s="1"/>
  <c r="AH8" i="50" s="1"/>
  <c r="AI8" i="50" s="1"/>
  <c r="AJ8" i="50" s="1"/>
  <c r="AK8" i="50" s="1"/>
  <c r="AL8" i="50" s="1"/>
  <c r="AM8" i="50" s="1"/>
  <c r="AN8" i="50" s="1"/>
  <c r="AO8" i="50" s="1"/>
  <c r="AP8" i="50" s="1"/>
  <c r="AQ8" i="50" s="1"/>
  <c r="AR8" i="50" s="1"/>
  <c r="AS8" i="50" s="1"/>
  <c r="U61" i="45"/>
  <c r="BA61" i="45" s="1"/>
  <c r="BA63" i="45" s="1"/>
  <c r="U64" i="45"/>
  <c r="BA64" i="45" s="1"/>
  <c r="Y4" i="48"/>
  <c r="G7" i="50"/>
  <c r="H7" i="50" s="1"/>
  <c r="I7" i="50" s="1"/>
  <c r="Z7" i="50"/>
  <c r="AA7" i="50" s="1"/>
  <c r="AB7" i="50" s="1"/>
  <c r="AC7" i="50" s="1"/>
  <c r="AD7" i="50" s="1"/>
  <c r="Q95" i="55"/>
  <c r="AV95" i="55"/>
  <c r="DH95" i="55" s="1"/>
  <c r="AV96" i="55"/>
  <c r="DH96" i="55" s="1"/>
  <c r="Q96" i="55"/>
  <c r="O4" i="54"/>
  <c r="N4" i="52"/>
  <c r="I4" i="52"/>
  <c r="G6" i="50"/>
  <c r="H6" i="50" s="1"/>
  <c r="I6" i="50" s="1"/>
  <c r="Z6" i="50"/>
  <c r="AA6" i="50" s="1"/>
  <c r="AB6" i="50" s="1"/>
  <c r="AC6" i="50" s="1"/>
  <c r="AD6" i="50" s="1"/>
  <c r="AD2" i="38"/>
  <c r="Z2" i="54"/>
  <c r="T2" i="54"/>
  <c r="S4" i="54"/>
  <c r="AD35" i="20"/>
  <c r="AD35" i="29"/>
  <c r="AE4" i="14"/>
  <c r="AD35" i="19"/>
  <c r="AD35" i="28"/>
  <c r="J2" i="28"/>
  <c r="K2" i="28" s="1"/>
  <c r="AD2" i="48"/>
  <c r="AD4" i="48" s="1"/>
  <c r="O7" i="14"/>
  <c r="O6" i="14"/>
  <c r="O5" i="14"/>
  <c r="O8" i="14" s="1"/>
  <c r="K22" i="54"/>
  <c r="K25" i="54"/>
  <c r="K23" i="54"/>
  <c r="L24" i="54"/>
  <c r="K21" i="54"/>
  <c r="AA5" i="50"/>
  <c r="O4" i="51"/>
  <c r="O57" i="58" s="1"/>
  <c r="I68" i="54"/>
  <c r="I69" i="54"/>
  <c r="I76" i="54" s="1"/>
  <c r="I77" i="54" s="1"/>
  <c r="I70" i="54"/>
  <c r="I65" i="54"/>
  <c r="I64" i="54"/>
  <c r="J63" i="54"/>
  <c r="I67" i="54"/>
  <c r="J156" i="54"/>
  <c r="I157" i="54"/>
  <c r="H66" i="53"/>
  <c r="J147" i="53"/>
  <c r="I148" i="53"/>
  <c r="J156" i="53"/>
  <c r="I157" i="53"/>
  <c r="I64" i="53"/>
  <c r="I68" i="53"/>
  <c r="I69" i="53"/>
  <c r="I76" i="53" s="1"/>
  <c r="I67" i="53"/>
  <c r="I65" i="53"/>
  <c r="I70" i="53"/>
  <c r="J63" i="53"/>
  <c r="H77" i="53"/>
  <c r="G37" i="46"/>
  <c r="I100" i="53"/>
  <c r="I101" i="53"/>
  <c r="I132" i="53"/>
  <c r="I131" i="53"/>
  <c r="I38" i="46"/>
  <c r="E38" i="46"/>
  <c r="AQ41" i="45"/>
  <c r="AQ42" i="45" s="1"/>
  <c r="F38" i="46"/>
  <c r="G38" i="46"/>
  <c r="H38" i="46"/>
  <c r="H133" i="53"/>
  <c r="H102" i="53"/>
  <c r="H103" i="53"/>
  <c r="H105" i="53"/>
  <c r="H104" i="53"/>
  <c r="D38" i="46"/>
  <c r="H135" i="53"/>
  <c r="H134" i="53"/>
  <c r="L21" i="53"/>
  <c r="M24" i="53"/>
  <c r="L22" i="53"/>
  <c r="L25" i="53"/>
  <c r="L23" i="53"/>
  <c r="Y2" i="46"/>
  <c r="X4" i="46"/>
  <c r="Y2" i="28"/>
  <c r="X4" i="28"/>
  <c r="G5" i="50"/>
  <c r="F4" i="50"/>
  <c r="Z3" i="50" s="1"/>
  <c r="N6" i="52" s="1"/>
  <c r="J2" i="42"/>
  <c r="T2" i="38"/>
  <c r="S4" i="38"/>
  <c r="P2" i="29"/>
  <c r="O4" i="29"/>
  <c r="T2" i="29"/>
  <c r="S4" i="29"/>
  <c r="Y2" i="38"/>
  <c r="X4" i="38"/>
  <c r="T2" i="46"/>
  <c r="S4" i="46"/>
  <c r="AU52" i="45"/>
  <c r="AD2" i="29"/>
  <c r="T2" i="28"/>
  <c r="Z2" i="29"/>
  <c r="T2" i="48"/>
  <c r="J2" i="29"/>
  <c r="O2" i="48"/>
  <c r="AE2" i="48"/>
  <c r="AD2" i="46"/>
  <c r="AC4" i="46"/>
  <c r="O2" i="19"/>
  <c r="P2" i="19" s="1"/>
  <c r="O2" i="20"/>
  <c r="N39" i="48"/>
  <c r="Z2" i="42"/>
  <c r="O2" i="28"/>
  <c r="T2" i="42"/>
  <c r="J2" i="48"/>
  <c r="J2" i="38"/>
  <c r="O2" i="38"/>
  <c r="Z2" i="48"/>
  <c r="P2" i="42"/>
  <c r="AD2" i="42"/>
  <c r="O2" i="46"/>
  <c r="N4" i="46"/>
  <c r="AP20" i="45"/>
  <c r="AU51" i="45"/>
  <c r="AU92" i="45" s="1"/>
  <c r="AP44" i="45"/>
  <c r="AP42" i="45"/>
  <c r="AO24" i="45"/>
  <c r="AO26" i="45"/>
  <c r="H142" i="48"/>
  <c r="H66" i="48"/>
  <c r="P48" i="45"/>
  <c r="P50" i="45" s="1"/>
  <c r="O39" i="46" s="1"/>
  <c r="L21" i="48"/>
  <c r="K22" i="48"/>
  <c r="G92" i="42"/>
  <c r="G91" i="42"/>
  <c r="G95" i="42" s="1"/>
  <c r="G89" i="42"/>
  <c r="G93" i="42" s="1"/>
  <c r="G90" i="42"/>
  <c r="H37" i="48"/>
  <c r="K23" i="48"/>
  <c r="AO25" i="45"/>
  <c r="H205" i="48"/>
  <c r="G66" i="46"/>
  <c r="L24" i="48"/>
  <c r="J260" i="48"/>
  <c r="I261" i="48"/>
  <c r="J139" i="48"/>
  <c r="I203" i="48"/>
  <c r="I140" i="48"/>
  <c r="I141" i="48"/>
  <c r="I204" i="48"/>
  <c r="H207" i="48"/>
  <c r="H206" i="48"/>
  <c r="G90" i="38"/>
  <c r="G91" i="38"/>
  <c r="G89" i="38"/>
  <c r="AV48" i="45"/>
  <c r="AV50" i="45" s="1"/>
  <c r="AV52" i="45" s="1"/>
  <c r="G94" i="46"/>
  <c r="G93" i="46"/>
  <c r="G98" i="46" s="1"/>
  <c r="G97" i="46"/>
  <c r="G95" i="46"/>
  <c r="G100" i="46" s="1"/>
  <c r="G92" i="48"/>
  <c r="G96" i="46"/>
  <c r="G101" i="46" s="1"/>
  <c r="J243" i="48"/>
  <c r="I244" i="48"/>
  <c r="F97" i="48"/>
  <c r="F94" i="48"/>
  <c r="F96" i="48"/>
  <c r="F101" i="48" s="1"/>
  <c r="F93" i="48"/>
  <c r="F98" i="48" s="1"/>
  <c r="F95" i="48"/>
  <c r="F100" i="48" s="1"/>
  <c r="K25" i="48"/>
  <c r="CE19" i="36"/>
  <c r="H144" i="48"/>
  <c r="H145" i="48"/>
  <c r="H143" i="48"/>
  <c r="H64" i="46"/>
  <c r="H67" i="46"/>
  <c r="H65" i="46"/>
  <c r="H69" i="46"/>
  <c r="H92" i="46" s="1"/>
  <c r="H70" i="46"/>
  <c r="H68" i="46"/>
  <c r="I63" i="46"/>
  <c r="I67" i="48"/>
  <c r="I70" i="48"/>
  <c r="J63" i="48"/>
  <c r="I69" i="48"/>
  <c r="I68" i="48"/>
  <c r="I65" i="48"/>
  <c r="I64" i="48"/>
  <c r="AR39" i="45"/>
  <c r="AR40" i="45"/>
  <c r="AW47" i="45"/>
  <c r="AW49" i="45"/>
  <c r="AW46" i="45"/>
  <c r="AX45" i="45"/>
  <c r="AR17" i="45"/>
  <c r="AR69" i="45" s="1"/>
  <c r="J38" i="48"/>
  <c r="AQ44" i="45"/>
  <c r="K41" i="45"/>
  <c r="K43" i="45" s="1"/>
  <c r="AQ18" i="45"/>
  <c r="J260" i="46"/>
  <c r="I261" i="46"/>
  <c r="H144" i="46"/>
  <c r="H143" i="46"/>
  <c r="H145" i="46"/>
  <c r="M21" i="46"/>
  <c r="H142" i="46"/>
  <c r="J243" i="46"/>
  <c r="I244" i="46"/>
  <c r="H207" i="46"/>
  <c r="H206" i="46"/>
  <c r="L23" i="46"/>
  <c r="M24" i="46"/>
  <c r="M363" i="46"/>
  <c r="N363" i="46" s="1"/>
  <c r="L25" i="46"/>
  <c r="H205" i="46"/>
  <c r="J139" i="46"/>
  <c r="I204" i="46"/>
  <c r="I141" i="46"/>
  <c r="I140" i="46"/>
  <c r="I203" i="46"/>
  <c r="L22" i="46"/>
  <c r="J20" i="45"/>
  <c r="AP95" i="45"/>
  <c r="I21" i="45"/>
  <c r="I23" i="45" s="1"/>
  <c r="H25" i="45"/>
  <c r="H82" i="45"/>
  <c r="H24" i="45"/>
  <c r="H26" i="45"/>
  <c r="K18" i="45"/>
  <c r="M38" i="45"/>
  <c r="AS38" i="45" s="1"/>
  <c r="L40" i="45"/>
  <c r="L39" i="45"/>
  <c r="L17" i="45"/>
  <c r="L69" i="45" s="1"/>
  <c r="M16" i="45"/>
  <c r="AS16" i="45" s="1"/>
  <c r="AU88" i="45"/>
  <c r="O52" i="45"/>
  <c r="O51" i="45"/>
  <c r="O92" i="45" s="1"/>
  <c r="O53" i="45"/>
  <c r="O88" i="45"/>
  <c r="R45" i="45"/>
  <c r="Q49" i="45"/>
  <c r="Q46" i="45"/>
  <c r="Q47" i="45"/>
  <c r="G42" i="45"/>
  <c r="G44" i="45"/>
  <c r="G43" i="45"/>
  <c r="I42" i="45"/>
  <c r="I44" i="45"/>
  <c r="I43" i="45"/>
  <c r="F43" i="45"/>
  <c r="F42" i="45"/>
  <c r="F44" i="45"/>
  <c r="E43" i="45"/>
  <c r="E42" i="45"/>
  <c r="E44" i="45"/>
  <c r="J43" i="45"/>
  <c r="J42" i="45"/>
  <c r="J44" i="45"/>
  <c r="H42" i="45"/>
  <c r="H44" i="45"/>
  <c r="H43" i="45"/>
  <c r="BN39" i="36"/>
  <c r="BN37" i="36"/>
  <c r="BN81" i="36" s="1"/>
  <c r="BN77" i="36"/>
  <c r="BN25" i="36"/>
  <c r="AG37" i="42" s="1"/>
  <c r="BN69" i="36"/>
  <c r="AH26" i="36"/>
  <c r="AH87" i="36" s="1"/>
  <c r="AH84" i="36"/>
  <c r="AH28" i="36"/>
  <c r="BN62" i="36"/>
  <c r="BN60" i="36"/>
  <c r="R72" i="36"/>
  <c r="E95" i="45"/>
  <c r="AD46" i="36"/>
  <c r="AD97" i="36"/>
  <c r="AD44" i="36"/>
  <c r="I95" i="45"/>
  <c r="F95" i="45"/>
  <c r="AF44" i="36"/>
  <c r="AF97" i="36"/>
  <c r="AF46" i="36"/>
  <c r="G95" i="45"/>
  <c r="Q46" i="36"/>
  <c r="Q44" i="36"/>
  <c r="Q97" i="36"/>
  <c r="P44" i="36"/>
  <c r="P97" i="36"/>
  <c r="P46" i="36"/>
  <c r="T46" i="36"/>
  <c r="T44" i="36"/>
  <c r="T97" i="36"/>
  <c r="AB97" i="36"/>
  <c r="AB44" i="36"/>
  <c r="AB46" i="36"/>
  <c r="H95" i="45"/>
  <c r="V97" i="36"/>
  <c r="V44" i="36"/>
  <c r="V46" i="36"/>
  <c r="Z46" i="36"/>
  <c r="Z97" i="36"/>
  <c r="Z44" i="36"/>
  <c r="R44" i="36"/>
  <c r="R46" i="36"/>
  <c r="R97" i="36"/>
  <c r="X97" i="36"/>
  <c r="X44" i="36"/>
  <c r="X46" i="36"/>
  <c r="S44" i="36"/>
  <c r="S97" i="36"/>
  <c r="S46" i="36"/>
  <c r="AH97" i="36"/>
  <c r="AH46" i="36"/>
  <c r="AH44" i="36"/>
  <c r="W46" i="36"/>
  <c r="W97" i="36"/>
  <c r="W44" i="36"/>
  <c r="U46" i="36"/>
  <c r="U44" i="36"/>
  <c r="U97" i="36"/>
  <c r="AA44" i="36"/>
  <c r="AA46" i="36"/>
  <c r="AA97" i="36"/>
  <c r="AE97" i="36"/>
  <c r="AE44" i="36"/>
  <c r="AE46" i="36"/>
  <c r="J95" i="45"/>
  <c r="AC46" i="36"/>
  <c r="AC97" i="36"/>
  <c r="AC44" i="36"/>
  <c r="G189" i="42"/>
  <c r="G187" i="42"/>
  <c r="I184" i="42"/>
  <c r="H186" i="42"/>
  <c r="H188" i="42" s="1"/>
  <c r="H185" i="42"/>
  <c r="U72" i="12"/>
  <c r="AZ63" i="36"/>
  <c r="AZ68" i="36" s="1"/>
  <c r="AZ75" i="36" s="1"/>
  <c r="T68" i="36"/>
  <c r="V72" i="14"/>
  <c r="U63" i="36"/>
  <c r="T63" i="45"/>
  <c r="AY66" i="36"/>
  <c r="AY73" i="36" s="1"/>
  <c r="AY65" i="36"/>
  <c r="S71" i="36"/>
  <c r="S106" i="36"/>
  <c r="AZ64" i="36"/>
  <c r="T65" i="36"/>
  <c r="T66" i="36"/>
  <c r="AX71" i="36"/>
  <c r="AX72" i="36" s="1"/>
  <c r="AX106" i="36"/>
  <c r="H65" i="28"/>
  <c r="L24" i="29"/>
  <c r="M21" i="29"/>
  <c r="H132" i="42"/>
  <c r="J234" i="38"/>
  <c r="I235" i="38"/>
  <c r="H189" i="38"/>
  <c r="H188" i="38"/>
  <c r="G66" i="38"/>
  <c r="K22" i="38"/>
  <c r="K25" i="38"/>
  <c r="G94" i="42"/>
  <c r="H187" i="38"/>
  <c r="H69" i="38"/>
  <c r="H88" i="38" s="1"/>
  <c r="I63" i="38"/>
  <c r="H70" i="38"/>
  <c r="H67" i="38"/>
  <c r="H68" i="38"/>
  <c r="H64" i="38"/>
  <c r="H65" i="38"/>
  <c r="J129" i="42"/>
  <c r="I130" i="42"/>
  <c r="I131" i="42"/>
  <c r="H64" i="42"/>
  <c r="H68" i="42"/>
  <c r="I63" i="42"/>
  <c r="H69" i="42"/>
  <c r="H88" i="42" s="1"/>
  <c r="H70" i="42"/>
  <c r="H65" i="42"/>
  <c r="H67" i="42"/>
  <c r="J234" i="42"/>
  <c r="I235" i="42"/>
  <c r="L24" i="38"/>
  <c r="L21" i="38"/>
  <c r="H132" i="38"/>
  <c r="J129" i="38"/>
  <c r="I185" i="38"/>
  <c r="I186" i="38"/>
  <c r="I131" i="38"/>
  <c r="I130" i="38"/>
  <c r="H135" i="42"/>
  <c r="H134" i="42"/>
  <c r="H133" i="42"/>
  <c r="I219" i="42"/>
  <c r="H220" i="42"/>
  <c r="K23" i="38"/>
  <c r="H133" i="38"/>
  <c r="H134" i="38"/>
  <c r="H135" i="38"/>
  <c r="J219" i="38"/>
  <c r="I220" i="38"/>
  <c r="G66" i="42"/>
  <c r="F72" i="36"/>
  <c r="K72" i="36"/>
  <c r="G72" i="36"/>
  <c r="L72" i="36"/>
  <c r="J72" i="36"/>
  <c r="O72" i="36"/>
  <c r="M72" i="36"/>
  <c r="H72" i="36"/>
  <c r="N72" i="36"/>
  <c r="E72" i="36"/>
  <c r="I72" i="36"/>
  <c r="J36" i="36"/>
  <c r="I36" i="38" s="1"/>
  <c r="T36" i="36"/>
  <c r="S36" i="38" s="1"/>
  <c r="E36" i="36"/>
  <c r="D36" i="38" s="1"/>
  <c r="X36" i="36"/>
  <c r="W36" i="38" s="1"/>
  <c r="AH36" i="36"/>
  <c r="AG36" i="38" s="1"/>
  <c r="I36" i="36"/>
  <c r="H36" i="38" s="1"/>
  <c r="AG36" i="36"/>
  <c r="AF36" i="38" s="1"/>
  <c r="R36" i="36"/>
  <c r="Q36" i="38" s="1"/>
  <c r="P36" i="36"/>
  <c r="O36" i="38" s="1"/>
  <c r="AD36" i="36"/>
  <c r="AC36" i="38" s="1"/>
  <c r="L36" i="36"/>
  <c r="K36" i="38" s="1"/>
  <c r="S36" i="36"/>
  <c r="R36" i="38" s="1"/>
  <c r="AA36" i="36"/>
  <c r="Z36" i="38" s="1"/>
  <c r="Q36" i="36"/>
  <c r="P36" i="38" s="1"/>
  <c r="Y36" i="36"/>
  <c r="X36" i="38" s="1"/>
  <c r="H36" i="36"/>
  <c r="G36" i="38" s="1"/>
  <c r="N36" i="36"/>
  <c r="M36" i="38" s="1"/>
  <c r="AB36" i="36"/>
  <c r="AA36" i="38" s="1"/>
  <c r="AF36" i="36"/>
  <c r="AE36" i="38" s="1"/>
  <c r="O36" i="36"/>
  <c r="N36" i="38" s="1"/>
  <c r="F36" i="36"/>
  <c r="E36" i="38" s="1"/>
  <c r="V36" i="36"/>
  <c r="U36" i="38" s="1"/>
  <c r="Z36" i="36"/>
  <c r="Y36" i="38" s="1"/>
  <c r="K36" i="36"/>
  <c r="J36" i="38" s="1"/>
  <c r="W36" i="36"/>
  <c r="V36" i="38" s="1"/>
  <c r="G36" i="36"/>
  <c r="F36" i="38" s="1"/>
  <c r="M36" i="36"/>
  <c r="L36" i="38" s="1"/>
  <c r="U36" i="36"/>
  <c r="T36" i="38" s="1"/>
  <c r="AC36" i="36"/>
  <c r="AB36" i="38" s="1"/>
  <c r="AE36" i="36"/>
  <c r="AD36" i="38" s="1"/>
  <c r="Y2" i="19"/>
  <c r="X4" i="19"/>
  <c r="T2" i="19"/>
  <c r="S4" i="19"/>
  <c r="M25" i="28"/>
  <c r="M24" i="28"/>
  <c r="J110" i="28"/>
  <c r="I111" i="28"/>
  <c r="AD2" i="20"/>
  <c r="AC4" i="20"/>
  <c r="H69" i="20"/>
  <c r="AD2" i="19"/>
  <c r="T2" i="20"/>
  <c r="S4" i="20"/>
  <c r="J310" i="20"/>
  <c r="I268" i="19"/>
  <c r="L22" i="28"/>
  <c r="H70" i="20"/>
  <c r="H72" i="20"/>
  <c r="H71" i="20"/>
  <c r="H73" i="20"/>
  <c r="J2" i="20"/>
  <c r="O4" i="19"/>
  <c r="I86" i="28"/>
  <c r="I89" i="28"/>
  <c r="I91" i="28"/>
  <c r="I88" i="28"/>
  <c r="I90" i="28"/>
  <c r="I87" i="28"/>
  <c r="J85" i="28"/>
  <c r="I124" i="20"/>
  <c r="I125" i="20"/>
  <c r="I126" i="20"/>
  <c r="I123" i="20"/>
  <c r="I127" i="20"/>
  <c r="I128" i="20"/>
  <c r="J122" i="20"/>
  <c r="J2" i="19"/>
  <c r="N21" i="28"/>
  <c r="J66" i="20"/>
  <c r="I67" i="20"/>
  <c r="I68" i="20"/>
  <c r="Z2" i="20"/>
  <c r="J62" i="28"/>
  <c r="I67" i="28"/>
  <c r="I66" i="28"/>
  <c r="I63" i="28"/>
  <c r="I64" i="28"/>
  <c r="L23" i="28"/>
  <c r="J198" i="20"/>
  <c r="I199" i="20"/>
  <c r="C118" i="16"/>
  <c r="U50" i="15"/>
  <c r="U53" i="15" s="1"/>
  <c r="U137" i="15" s="1"/>
  <c r="U126" i="15"/>
  <c r="S74" i="12"/>
  <c r="S219" i="12" s="1"/>
  <c r="S230" i="12" s="1"/>
  <c r="S76" i="12"/>
  <c r="S77" i="12"/>
  <c r="S80" i="12"/>
  <c r="S75" i="12"/>
  <c r="S78" i="12"/>
  <c r="S79" i="12"/>
  <c r="H212" i="20"/>
  <c r="T74" i="14"/>
  <c r="T219" i="14" s="1"/>
  <c r="T230" i="14" s="1"/>
  <c r="T78" i="14"/>
  <c r="T76" i="14"/>
  <c r="T79" i="14"/>
  <c r="T77" i="14"/>
  <c r="T80" i="14"/>
  <c r="T75" i="14"/>
  <c r="S8" i="12"/>
  <c r="N8" i="12"/>
  <c r="AC8" i="12"/>
  <c r="O6" i="12"/>
  <c r="O5" i="12"/>
  <c r="O7" i="12"/>
  <c r="T5" i="12"/>
  <c r="T6" i="12"/>
  <c r="T7" i="12"/>
  <c r="Y6" i="12"/>
  <c r="Y5" i="12"/>
  <c r="Y7" i="12"/>
  <c r="AD6" i="12"/>
  <c r="AD5" i="12"/>
  <c r="AD7" i="12"/>
  <c r="AG22" i="20"/>
  <c r="AG25" i="20"/>
  <c r="AF21" i="20"/>
  <c r="AG12" i="20"/>
  <c r="AG23" i="20"/>
  <c r="V72" i="12"/>
  <c r="X33" i="11"/>
  <c r="W34" i="11"/>
  <c r="W35" i="11" s="1"/>
  <c r="W36" i="11" s="1"/>
  <c r="V29" i="13"/>
  <c r="V30" i="13" s="1"/>
  <c r="W28" i="13"/>
  <c r="U31" i="13"/>
  <c r="U33" i="13" s="1"/>
  <c r="U64" i="36" s="1"/>
  <c r="U32" i="13"/>
  <c r="U73" i="14" s="1"/>
  <c r="T73" i="12"/>
  <c r="AF3" i="6"/>
  <c r="U4" i="12"/>
  <c r="T3" i="52" s="1"/>
  <c r="AK3" i="6"/>
  <c r="Z4" i="12"/>
  <c r="Y3" i="52" s="1"/>
  <c r="AF5" i="6"/>
  <c r="U4" i="15"/>
  <c r="U4" i="16"/>
  <c r="V5" i="6"/>
  <c r="K4" i="15"/>
  <c r="K4" i="16"/>
  <c r="AP5" i="6"/>
  <c r="AE4" i="15"/>
  <c r="AE4" i="16"/>
  <c r="AK5" i="6"/>
  <c r="Z4" i="16"/>
  <c r="Z4" i="15"/>
  <c r="AA5" i="6"/>
  <c r="P4" i="16"/>
  <c r="P4" i="15"/>
  <c r="AP3" i="6"/>
  <c r="AE4" i="12"/>
  <c r="AD3" i="52" s="1"/>
  <c r="AA3" i="6"/>
  <c r="P4" i="54" s="1"/>
  <c r="P4" i="12"/>
  <c r="O3" i="52" s="1"/>
  <c r="V31" i="15"/>
  <c r="H3" i="12"/>
  <c r="G1" i="52" s="1"/>
  <c r="AD4" i="28" l="1"/>
  <c r="O39" i="48"/>
  <c r="AD8" i="14"/>
  <c r="T8" i="14"/>
  <c r="Y8" i="14"/>
  <c r="AE35" i="20"/>
  <c r="AF4" i="14"/>
  <c r="AE35" i="29"/>
  <c r="AE35" i="19"/>
  <c r="AE35" i="28"/>
  <c r="Z35" i="20"/>
  <c r="Z35" i="29"/>
  <c r="AA4" i="14"/>
  <c r="Z35" i="19"/>
  <c r="Z35" i="28"/>
  <c r="T4" i="53"/>
  <c r="U2" i="53"/>
  <c r="Z6" i="14"/>
  <c r="Z7" i="14"/>
  <c r="Z5" i="14"/>
  <c r="J4" i="52"/>
  <c r="U35" i="20"/>
  <c r="U35" i="29"/>
  <c r="V4" i="14"/>
  <c r="U35" i="19"/>
  <c r="U35" i="28"/>
  <c r="S72" i="36"/>
  <c r="CE38" i="58"/>
  <c r="S37" i="58" s="1"/>
  <c r="AY37" i="58" s="1"/>
  <c r="CE37" i="58" s="1"/>
  <c r="AD4" i="38"/>
  <c r="AE2" i="38"/>
  <c r="P5" i="14"/>
  <c r="P6" i="14"/>
  <c r="P8" i="14" s="1"/>
  <c r="P7" i="14"/>
  <c r="AD4" i="53"/>
  <c r="AE2" i="53"/>
  <c r="AE7" i="14"/>
  <c r="AE6" i="14"/>
  <c r="AE5" i="14"/>
  <c r="AW95" i="55"/>
  <c r="DI95" i="55" s="1"/>
  <c r="R95" i="55"/>
  <c r="O4" i="53"/>
  <c r="P2" i="53"/>
  <c r="AE6" i="50"/>
  <c r="AF6" i="50" s="1"/>
  <c r="AG6" i="50" s="1"/>
  <c r="AH6" i="50" s="1"/>
  <c r="AI6" i="50" s="1"/>
  <c r="AJ6" i="50" s="1"/>
  <c r="AK6" i="50" s="1"/>
  <c r="AL6" i="50" s="1"/>
  <c r="AM6" i="50" s="1"/>
  <c r="AN6" i="50" s="1"/>
  <c r="AO6" i="50" s="1"/>
  <c r="AP6" i="50" s="1"/>
  <c r="AQ6" i="50" s="1"/>
  <c r="AR6" i="50" s="1"/>
  <c r="AS6" i="50" s="1"/>
  <c r="AD4" i="54"/>
  <c r="AE2" i="54"/>
  <c r="V61" i="45"/>
  <c r="BB61" i="45" s="1"/>
  <c r="BB63" i="45" s="1"/>
  <c r="V64" i="45"/>
  <c r="BB64" i="45" s="1"/>
  <c r="Y4" i="52"/>
  <c r="T4" i="52"/>
  <c r="L2" i="54"/>
  <c r="P35" i="20"/>
  <c r="Q4" i="14"/>
  <c r="P35" i="29"/>
  <c r="P35" i="19"/>
  <c r="P35" i="28"/>
  <c r="AD4" i="52"/>
  <c r="T4" i="54"/>
  <c r="U2" i="54"/>
  <c r="AE7" i="50"/>
  <c r="AF7" i="50" s="1"/>
  <c r="AG7" i="50" s="1"/>
  <c r="AH7" i="50" s="1"/>
  <c r="AI7" i="50" s="1"/>
  <c r="AJ7" i="50" s="1"/>
  <c r="AK7" i="50" s="1"/>
  <c r="AL7" i="50" s="1"/>
  <c r="AM7" i="50" s="1"/>
  <c r="AN7" i="50" s="1"/>
  <c r="AO7" i="50" s="1"/>
  <c r="AP7" i="50" s="1"/>
  <c r="AQ7" i="50" s="1"/>
  <c r="AR7" i="50" s="1"/>
  <c r="AS7" i="50" s="1"/>
  <c r="Y4" i="53"/>
  <c r="Z2" i="53"/>
  <c r="U6" i="14"/>
  <c r="U5" i="14"/>
  <c r="U7" i="14"/>
  <c r="O4" i="52"/>
  <c r="W39" i="11"/>
  <c r="W40" i="11"/>
  <c r="W66" i="45" s="1"/>
  <c r="BC66" i="45" s="1"/>
  <c r="W37" i="11"/>
  <c r="W38" i="11"/>
  <c r="Z4" i="54"/>
  <c r="AA2" i="54"/>
  <c r="R96" i="55"/>
  <c r="AW96" i="55"/>
  <c r="DI96" i="55" s="1"/>
  <c r="AP21" i="45"/>
  <c r="M24" i="54"/>
  <c r="AQ43" i="45"/>
  <c r="I66" i="54"/>
  <c r="L25" i="54"/>
  <c r="L23" i="54"/>
  <c r="J21" i="45"/>
  <c r="J23" i="45" s="1"/>
  <c r="I37" i="46" s="1"/>
  <c r="L21" i="54"/>
  <c r="L22" i="54"/>
  <c r="N8" i="52"/>
  <c r="AB5" i="50"/>
  <c r="P4" i="51"/>
  <c r="P57" i="58" s="1"/>
  <c r="K156" i="54"/>
  <c r="J157" i="54"/>
  <c r="J67" i="54"/>
  <c r="J68" i="54"/>
  <c r="J69" i="54"/>
  <c r="J76" i="54" s="1"/>
  <c r="J77" i="54" s="1"/>
  <c r="J70" i="54"/>
  <c r="K63" i="54"/>
  <c r="J65" i="54"/>
  <c r="J64" i="54"/>
  <c r="AV53" i="45"/>
  <c r="AV51" i="45"/>
  <c r="K147" i="53"/>
  <c r="J148" i="53"/>
  <c r="K156" i="53"/>
  <c r="J157" i="53"/>
  <c r="J69" i="53"/>
  <c r="J76" i="53" s="1"/>
  <c r="J70" i="53"/>
  <c r="J67" i="53"/>
  <c r="K63" i="53"/>
  <c r="J65" i="53"/>
  <c r="J64" i="53"/>
  <c r="J68" i="53"/>
  <c r="I77" i="53"/>
  <c r="I66" i="53"/>
  <c r="I133" i="53"/>
  <c r="J38" i="46"/>
  <c r="I135" i="53"/>
  <c r="I134" i="53"/>
  <c r="I104" i="53"/>
  <c r="I103" i="53"/>
  <c r="I105" i="53"/>
  <c r="I102" i="53"/>
  <c r="J132" i="53"/>
  <c r="J100" i="53"/>
  <c r="J101" i="53"/>
  <c r="J131" i="53"/>
  <c r="M25" i="53"/>
  <c r="M22" i="53"/>
  <c r="N24" i="53"/>
  <c r="M23" i="53"/>
  <c r="M21" i="53"/>
  <c r="AD4" i="42"/>
  <c r="AE2" i="42"/>
  <c r="P2" i="28"/>
  <c r="O4" i="28"/>
  <c r="AE4" i="48"/>
  <c r="AF2" i="48"/>
  <c r="AF2" i="28"/>
  <c r="AE4" i="28"/>
  <c r="U2" i="29"/>
  <c r="T4" i="29"/>
  <c r="H5" i="50"/>
  <c r="G4" i="50"/>
  <c r="K2" i="38"/>
  <c r="O4" i="20"/>
  <c r="P2" i="20"/>
  <c r="Z4" i="29"/>
  <c r="AA2" i="29"/>
  <c r="U2" i="46"/>
  <c r="T4" i="46"/>
  <c r="K2" i="42"/>
  <c r="Z2" i="46"/>
  <c r="Y4" i="46"/>
  <c r="O4" i="46"/>
  <c r="P2" i="46"/>
  <c r="P4" i="42"/>
  <c r="Q2" i="42"/>
  <c r="Z4" i="42"/>
  <c r="AA2" i="42"/>
  <c r="O4" i="48"/>
  <c r="P2" i="48"/>
  <c r="U2" i="28"/>
  <c r="T4" i="28"/>
  <c r="Z4" i="48"/>
  <c r="AA2" i="48"/>
  <c r="K2" i="48"/>
  <c r="K2" i="29"/>
  <c r="AD4" i="29"/>
  <c r="AE2" i="29"/>
  <c r="Y4" i="38"/>
  <c r="Z2" i="38"/>
  <c r="P4" i="29"/>
  <c r="Q2" i="29"/>
  <c r="Y4" i="28"/>
  <c r="Z2" i="28"/>
  <c r="L2" i="28"/>
  <c r="H189" i="42"/>
  <c r="O4" i="38"/>
  <c r="P2" i="38"/>
  <c r="T4" i="42"/>
  <c r="U2" i="42"/>
  <c r="AE2" i="46"/>
  <c r="AD4" i="46"/>
  <c r="T4" i="48"/>
  <c r="U2" i="48"/>
  <c r="U2" i="38"/>
  <c r="T4" i="38"/>
  <c r="AA3" i="50"/>
  <c r="O6" i="52" s="1"/>
  <c r="K44" i="45"/>
  <c r="K95" i="45"/>
  <c r="K42" i="45"/>
  <c r="AR41" i="45"/>
  <c r="AR42" i="45" s="1"/>
  <c r="H66" i="46"/>
  <c r="I205" i="48"/>
  <c r="G93" i="48"/>
  <c r="G98" i="48" s="1"/>
  <c r="G96" i="48"/>
  <c r="G101" i="48" s="1"/>
  <c r="G94" i="48"/>
  <c r="G95" i="48"/>
  <c r="G100" i="48" s="1"/>
  <c r="G97" i="48"/>
  <c r="I206" i="48"/>
  <c r="I207" i="48"/>
  <c r="J141" i="48"/>
  <c r="K139" i="48"/>
  <c r="J204" i="48"/>
  <c r="J140" i="48"/>
  <c r="J203" i="48"/>
  <c r="L23" i="48"/>
  <c r="M21" i="48"/>
  <c r="H91" i="38"/>
  <c r="H90" i="38"/>
  <c r="H89" i="38"/>
  <c r="AW48" i="45"/>
  <c r="AW50" i="45" s="1"/>
  <c r="AW53" i="45" s="1"/>
  <c r="H92" i="48"/>
  <c r="H96" i="46"/>
  <c r="H101" i="46" s="1"/>
  <c r="H93" i="46"/>
  <c r="H98" i="46" s="1"/>
  <c r="H94" i="46"/>
  <c r="H97" i="46"/>
  <c r="H95" i="46"/>
  <c r="H100" i="46" s="1"/>
  <c r="I144" i="48"/>
  <c r="I145" i="48"/>
  <c r="I143" i="48"/>
  <c r="M24" i="48"/>
  <c r="L25" i="48"/>
  <c r="J261" i="48"/>
  <c r="K260" i="48"/>
  <c r="H92" i="42"/>
  <c r="H89" i="42"/>
  <c r="H93" i="42" s="1"/>
  <c r="H91" i="42"/>
  <c r="H95" i="42" s="1"/>
  <c r="H90" i="42"/>
  <c r="H94" i="42" s="1"/>
  <c r="AR18" i="45"/>
  <c r="AR20" i="45" s="1"/>
  <c r="I66" i="48"/>
  <c r="J64" i="48"/>
  <c r="J65" i="48"/>
  <c r="K63" i="48"/>
  <c r="J68" i="48"/>
  <c r="J69" i="48"/>
  <c r="J70" i="48"/>
  <c r="J67" i="48"/>
  <c r="I67" i="46"/>
  <c r="I69" i="46"/>
  <c r="I92" i="46" s="1"/>
  <c r="I68" i="46"/>
  <c r="J63" i="46"/>
  <c r="I70" i="46"/>
  <c r="I64" i="46"/>
  <c r="I65" i="46"/>
  <c r="K243" i="48"/>
  <c r="J244" i="48"/>
  <c r="I142" i="48"/>
  <c r="L22" i="48"/>
  <c r="AP23" i="45"/>
  <c r="I26" i="45"/>
  <c r="H37" i="46"/>
  <c r="Q48" i="45"/>
  <c r="Q50" i="45" s="1"/>
  <c r="P39" i="46" s="1"/>
  <c r="AS17" i="45"/>
  <c r="AS69" i="45" s="1"/>
  <c r="AS40" i="45"/>
  <c r="AS39" i="45"/>
  <c r="AQ19" i="45"/>
  <c r="AQ20" i="45"/>
  <c r="AX47" i="45"/>
  <c r="AX49" i="45"/>
  <c r="AX46" i="45"/>
  <c r="AY45" i="45"/>
  <c r="I205" i="46"/>
  <c r="M25" i="46"/>
  <c r="N24" i="46"/>
  <c r="I142" i="46"/>
  <c r="K139" i="46"/>
  <c r="J204" i="46"/>
  <c r="J203" i="46"/>
  <c r="J140" i="46"/>
  <c r="J141" i="46"/>
  <c r="M22" i="46"/>
  <c r="I143" i="46"/>
  <c r="I145" i="46"/>
  <c r="I144" i="46"/>
  <c r="O363" i="46"/>
  <c r="P363" i="46" s="1"/>
  <c r="M23" i="46"/>
  <c r="K243" i="46"/>
  <c r="J244" i="46"/>
  <c r="I207" i="46"/>
  <c r="I206" i="46"/>
  <c r="N21" i="46"/>
  <c r="K260" i="46"/>
  <c r="J261" i="46"/>
  <c r="I82" i="45"/>
  <c r="I25" i="45"/>
  <c r="I24" i="45"/>
  <c r="AO82" i="45"/>
  <c r="L18" i="45"/>
  <c r="L20" i="45" s="1"/>
  <c r="AQ95" i="45"/>
  <c r="L41" i="45"/>
  <c r="M40" i="45"/>
  <c r="M39" i="45"/>
  <c r="N38" i="45"/>
  <c r="AT38" i="45" s="1"/>
  <c r="N16" i="45"/>
  <c r="AT16" i="45" s="1"/>
  <c r="M17" i="45"/>
  <c r="M69" i="45" s="1"/>
  <c r="K20" i="45"/>
  <c r="K19" i="45"/>
  <c r="AN82" i="45"/>
  <c r="J26" i="45"/>
  <c r="S45" i="45"/>
  <c r="R46" i="45"/>
  <c r="R47" i="45"/>
  <c r="R49" i="45"/>
  <c r="P52" i="45"/>
  <c r="P51" i="45"/>
  <c r="P92" i="45" s="1"/>
  <c r="P53" i="45"/>
  <c r="P88" i="45"/>
  <c r="BN26" i="36"/>
  <c r="BN87" i="36" s="1"/>
  <c r="BN28" i="36"/>
  <c r="BN84" i="36"/>
  <c r="H187" i="42"/>
  <c r="J184" i="42"/>
  <c r="I185" i="42"/>
  <c r="I186" i="42"/>
  <c r="U63" i="45"/>
  <c r="BA63" i="36"/>
  <c r="BA68" i="36" s="1"/>
  <c r="BA75" i="36" s="1"/>
  <c r="U68" i="36"/>
  <c r="V63" i="36"/>
  <c r="W72" i="14"/>
  <c r="T71" i="36"/>
  <c r="T106" i="36"/>
  <c r="AY71" i="36"/>
  <c r="AY72" i="36" s="1"/>
  <c r="AY106" i="36"/>
  <c r="BA64" i="36"/>
  <c r="U66" i="36"/>
  <c r="U65" i="36"/>
  <c r="AZ66" i="36"/>
  <c r="AZ73" i="36" s="1"/>
  <c r="AZ65" i="36"/>
  <c r="U39" i="36"/>
  <c r="U37" i="36"/>
  <c r="O37" i="36"/>
  <c r="O39" i="36"/>
  <c r="O75" i="36" s="1"/>
  <c r="S37" i="36"/>
  <c r="S39" i="36"/>
  <c r="S75" i="36" s="1"/>
  <c r="X37" i="36"/>
  <c r="X39" i="36"/>
  <c r="M39" i="36"/>
  <c r="M75" i="36" s="1"/>
  <c r="M37" i="36"/>
  <c r="AF37" i="36"/>
  <c r="AF39" i="36"/>
  <c r="L39" i="36"/>
  <c r="L37" i="36"/>
  <c r="E39" i="36"/>
  <c r="E75" i="36" s="1"/>
  <c r="E37" i="36"/>
  <c r="G39" i="36"/>
  <c r="G75" i="36" s="1"/>
  <c r="G37" i="36"/>
  <c r="AB37" i="36"/>
  <c r="AB39" i="36"/>
  <c r="AD37" i="36"/>
  <c r="AD39" i="36"/>
  <c r="T37" i="36"/>
  <c r="T39" i="36"/>
  <c r="T75" i="36" s="1"/>
  <c r="W39" i="36"/>
  <c r="W37" i="36"/>
  <c r="N39" i="36"/>
  <c r="N75" i="36" s="1"/>
  <c r="N37" i="36"/>
  <c r="P37" i="36"/>
  <c r="P39" i="36"/>
  <c r="P75" i="36" s="1"/>
  <c r="J37" i="36"/>
  <c r="J39" i="36"/>
  <c r="J75" i="36" s="1"/>
  <c r="K37" i="36"/>
  <c r="K39" i="36"/>
  <c r="K75" i="36" s="1"/>
  <c r="H37" i="36"/>
  <c r="H39" i="36"/>
  <c r="H75" i="36" s="1"/>
  <c r="R37" i="36"/>
  <c r="R39" i="36"/>
  <c r="R75" i="36" s="1"/>
  <c r="Z39" i="36"/>
  <c r="Z37" i="36"/>
  <c r="Y39" i="36"/>
  <c r="Y37" i="36"/>
  <c r="AG37" i="36"/>
  <c r="AG39" i="36"/>
  <c r="AE39" i="36"/>
  <c r="AE37" i="36"/>
  <c r="V39" i="36"/>
  <c r="V37" i="36"/>
  <c r="Q37" i="36"/>
  <c r="Q39" i="36"/>
  <c r="Q75" i="36" s="1"/>
  <c r="I37" i="36"/>
  <c r="I39" i="36"/>
  <c r="I75" i="36" s="1"/>
  <c r="AC37" i="36"/>
  <c r="AC39" i="36"/>
  <c r="F37" i="36"/>
  <c r="F39" i="36"/>
  <c r="F75" i="36" s="1"/>
  <c r="AA39" i="36"/>
  <c r="AA37" i="36"/>
  <c r="AH39" i="36"/>
  <c r="AH37" i="36"/>
  <c r="L75" i="36"/>
  <c r="N21" i="29"/>
  <c r="M24" i="29"/>
  <c r="I132" i="42"/>
  <c r="I132" i="38"/>
  <c r="K219" i="38"/>
  <c r="J220" i="38"/>
  <c r="I134" i="38"/>
  <c r="I133" i="38"/>
  <c r="I135" i="38"/>
  <c r="K234" i="42"/>
  <c r="J235" i="42"/>
  <c r="I135" i="42"/>
  <c r="I133" i="42"/>
  <c r="I134" i="42"/>
  <c r="K129" i="42"/>
  <c r="J130" i="42"/>
  <c r="J131" i="42"/>
  <c r="L23" i="38"/>
  <c r="I189" i="38"/>
  <c r="I188" i="38"/>
  <c r="I69" i="42"/>
  <c r="I88" i="42" s="1"/>
  <c r="I67" i="42"/>
  <c r="I70" i="42"/>
  <c r="I64" i="42"/>
  <c r="I65" i="42"/>
  <c r="J63" i="42"/>
  <c r="I68" i="42"/>
  <c r="I187" i="38"/>
  <c r="M24" i="38"/>
  <c r="H66" i="42"/>
  <c r="H66" i="38"/>
  <c r="I67" i="38"/>
  <c r="J63" i="38"/>
  <c r="I69" i="38"/>
  <c r="I88" i="38" s="1"/>
  <c r="I68" i="38"/>
  <c r="I70" i="38"/>
  <c r="I65" i="38"/>
  <c r="I64" i="38"/>
  <c r="L25" i="38"/>
  <c r="L22" i="38"/>
  <c r="J219" i="42"/>
  <c r="I220" i="42"/>
  <c r="K129" i="38"/>
  <c r="J185" i="38"/>
  <c r="J186" i="38"/>
  <c r="J131" i="38"/>
  <c r="J130" i="38"/>
  <c r="M21" i="38"/>
  <c r="K234" i="38"/>
  <c r="J235" i="38"/>
  <c r="AE77" i="36"/>
  <c r="U77" i="36"/>
  <c r="G77" i="36"/>
  <c r="K77" i="36"/>
  <c r="V77" i="36"/>
  <c r="O77" i="36"/>
  <c r="AB77" i="36"/>
  <c r="H77" i="36"/>
  <c r="Q77" i="36"/>
  <c r="S77" i="36"/>
  <c r="AD77" i="36"/>
  <c r="R77" i="36"/>
  <c r="I77" i="36"/>
  <c r="X77" i="36"/>
  <c r="T77" i="36"/>
  <c r="AC77" i="36"/>
  <c r="M77" i="36"/>
  <c r="W77" i="36"/>
  <c r="Z77" i="36"/>
  <c r="F77" i="36"/>
  <c r="AF77" i="36"/>
  <c r="N77" i="36"/>
  <c r="Y77" i="36"/>
  <c r="AA77" i="36"/>
  <c r="L77" i="36"/>
  <c r="P77" i="36"/>
  <c r="AG77" i="36"/>
  <c r="AH77" i="36"/>
  <c r="E77" i="36"/>
  <c r="J77" i="36"/>
  <c r="I69" i="20"/>
  <c r="I65" i="28"/>
  <c r="J66" i="28"/>
  <c r="J67" i="28"/>
  <c r="K62" i="28"/>
  <c r="J64" i="28"/>
  <c r="J63" i="28"/>
  <c r="K2" i="19"/>
  <c r="K310" i="20"/>
  <c r="J268" i="19"/>
  <c r="N25" i="28"/>
  <c r="K198" i="20"/>
  <c r="J199" i="20"/>
  <c r="K66" i="20"/>
  <c r="J67" i="20"/>
  <c r="J68" i="20"/>
  <c r="J86" i="28"/>
  <c r="J90" i="28"/>
  <c r="J88" i="28"/>
  <c r="J91" i="28"/>
  <c r="J87" i="28"/>
  <c r="K85" i="28"/>
  <c r="J89" i="28"/>
  <c r="P4" i="19"/>
  <c r="Q2" i="19"/>
  <c r="AD4" i="19"/>
  <c r="AE2" i="19"/>
  <c r="AE2" i="20"/>
  <c r="AD4" i="20"/>
  <c r="Z4" i="20"/>
  <c r="AA2" i="20"/>
  <c r="J124" i="20"/>
  <c r="J126" i="20"/>
  <c r="J128" i="20"/>
  <c r="J127" i="20"/>
  <c r="J123" i="20"/>
  <c r="K122" i="20"/>
  <c r="J125" i="20"/>
  <c r="M22" i="28"/>
  <c r="T4" i="20"/>
  <c r="U2" i="20"/>
  <c r="N24" i="28"/>
  <c r="U2" i="19"/>
  <c r="T4" i="19"/>
  <c r="Z2" i="19"/>
  <c r="Y4" i="19"/>
  <c r="M23" i="28"/>
  <c r="I71" i="20"/>
  <c r="I73" i="20"/>
  <c r="I70" i="20"/>
  <c r="I72" i="20"/>
  <c r="O21" i="28"/>
  <c r="K2" i="20"/>
  <c r="K110" i="28"/>
  <c r="J111" i="28"/>
  <c r="V50" i="15"/>
  <c r="V53" i="15" s="1"/>
  <c r="V137" i="15" s="1"/>
  <c r="V126" i="15"/>
  <c r="T74" i="12"/>
  <c r="T219" i="12" s="1"/>
  <c r="T230" i="12" s="1"/>
  <c r="T78" i="12"/>
  <c r="T79" i="12"/>
  <c r="T76" i="12"/>
  <c r="T80" i="12"/>
  <c r="T75" i="12"/>
  <c r="T77" i="12"/>
  <c r="I212" i="20"/>
  <c r="U74" i="14"/>
  <c r="U219" i="14" s="1"/>
  <c r="U230" i="14" s="1"/>
  <c r="U79" i="14"/>
  <c r="U77" i="14"/>
  <c r="U75" i="14"/>
  <c r="U78" i="14"/>
  <c r="U76" i="14"/>
  <c r="U80" i="14"/>
  <c r="AD8" i="12"/>
  <c r="O8" i="12"/>
  <c r="Z6" i="12"/>
  <c r="Z5" i="12"/>
  <c r="Z7" i="12"/>
  <c r="P6" i="12"/>
  <c r="P7" i="12"/>
  <c r="P5" i="12"/>
  <c r="T8" i="12"/>
  <c r="AE6" i="12"/>
  <c r="AE5" i="12"/>
  <c r="AE7" i="12"/>
  <c r="U6" i="12"/>
  <c r="U5" i="12"/>
  <c r="U7" i="12"/>
  <c r="Y8" i="12"/>
  <c r="AG21" i="20"/>
  <c r="Y33" i="11"/>
  <c r="X34" i="11"/>
  <c r="X35" i="11" s="1"/>
  <c r="X36" i="11" s="1"/>
  <c r="U73" i="12"/>
  <c r="W29" i="13"/>
  <c r="W30" i="13" s="1"/>
  <c r="X28" i="13"/>
  <c r="V32" i="13"/>
  <c r="V73" i="14" s="1"/>
  <c r="V31" i="13"/>
  <c r="V33" i="13" s="1"/>
  <c r="V64" i="36" s="1"/>
  <c r="AL5" i="6"/>
  <c r="AA4" i="16"/>
  <c r="AA4" i="15"/>
  <c r="AB5" i="6"/>
  <c r="Q4" i="16"/>
  <c r="Q4" i="15"/>
  <c r="AG5" i="6"/>
  <c r="V4" i="16"/>
  <c r="V4" i="15"/>
  <c r="W5" i="6"/>
  <c r="L4" i="16"/>
  <c r="L4" i="15"/>
  <c r="AL3" i="6"/>
  <c r="AA4" i="12"/>
  <c r="Z3" i="52" s="1"/>
  <c r="AQ5" i="6"/>
  <c r="AF4" i="16"/>
  <c r="AF4" i="15"/>
  <c r="AG3" i="6"/>
  <c r="V4" i="12"/>
  <c r="U3" i="52" s="1"/>
  <c r="AQ3" i="6"/>
  <c r="AF4" i="12"/>
  <c r="AE3" i="52" s="1"/>
  <c r="AB3" i="6"/>
  <c r="Q4" i="54" s="1"/>
  <c r="Q4" i="12"/>
  <c r="P3" i="52" s="1"/>
  <c r="W31" i="15"/>
  <c r="I3" i="12"/>
  <c r="H1" i="52" s="1"/>
  <c r="AE8" i="14" l="1"/>
  <c r="Z8" i="14"/>
  <c r="U8" i="14"/>
  <c r="AF4" i="28"/>
  <c r="AX96" i="55"/>
  <c r="DJ96" i="55" s="1"/>
  <c r="S96" i="55"/>
  <c r="U4" i="53"/>
  <c r="V2" i="53"/>
  <c r="V4" i="53" s="1"/>
  <c r="AA5" i="14"/>
  <c r="AA6" i="14"/>
  <c r="AA7" i="14"/>
  <c r="AF35" i="20"/>
  <c r="AG4" i="14"/>
  <c r="AF35" i="29"/>
  <c r="AF35" i="19"/>
  <c r="AF35" i="28"/>
  <c r="K4" i="52"/>
  <c r="Q4" i="42"/>
  <c r="AF4" i="48"/>
  <c r="AA4" i="54"/>
  <c r="S95" i="55"/>
  <c r="AX95" i="55"/>
  <c r="DJ95" i="55" s="1"/>
  <c r="Z4" i="52"/>
  <c r="X39" i="11"/>
  <c r="X37" i="11"/>
  <c r="X72" i="12" s="1"/>
  <c r="X40" i="11"/>
  <c r="X66" i="45" s="1"/>
  <c r="BD66" i="45" s="1"/>
  <c r="X38" i="11"/>
  <c r="W61" i="45"/>
  <c r="BC61" i="45" s="1"/>
  <c r="BC63" i="45" s="1"/>
  <c r="W64" i="45"/>
  <c r="BC64" i="45" s="1"/>
  <c r="Q5" i="14"/>
  <c r="Q6" i="14"/>
  <c r="Q7" i="14"/>
  <c r="Q8" i="14" s="1"/>
  <c r="V35" i="20"/>
  <c r="V35" i="29"/>
  <c r="W4" i="14"/>
  <c r="V35" i="19"/>
  <c r="V35" i="28"/>
  <c r="AA4" i="29"/>
  <c r="Z4" i="53"/>
  <c r="AA2" i="53"/>
  <c r="AA4" i="53" s="1"/>
  <c r="AE4" i="38"/>
  <c r="AF2" i="38"/>
  <c r="AF4" i="38" s="1"/>
  <c r="AE4" i="52"/>
  <c r="U4" i="52"/>
  <c r="Q4" i="19"/>
  <c r="T72" i="36"/>
  <c r="CF38" i="58"/>
  <c r="T37" i="58" s="1"/>
  <c r="AZ37" i="58" s="1"/>
  <c r="CF37" i="58" s="1"/>
  <c r="AE4" i="53"/>
  <c r="AF2" i="53"/>
  <c r="AF4" i="53" s="1"/>
  <c r="Q4" i="29"/>
  <c r="V6" i="14"/>
  <c r="V5" i="14"/>
  <c r="V8" i="14" s="1"/>
  <c r="V7" i="14"/>
  <c r="AA35" i="20"/>
  <c r="AB4" i="14"/>
  <c r="AA35" i="29"/>
  <c r="AA35" i="19"/>
  <c r="AA35" i="28"/>
  <c r="AA4" i="20"/>
  <c r="U4" i="54"/>
  <c r="V2" i="54"/>
  <c r="V4" i="54" s="1"/>
  <c r="AF5" i="14"/>
  <c r="AF6" i="14"/>
  <c r="AF7" i="14"/>
  <c r="Q35" i="20"/>
  <c r="Q35" i="29"/>
  <c r="R4" i="14"/>
  <c r="Q35" i="19"/>
  <c r="Q35" i="28"/>
  <c r="P4" i="52"/>
  <c r="AA4" i="48"/>
  <c r="AA4" i="42"/>
  <c r="AE4" i="54"/>
  <c r="AF2" i="54"/>
  <c r="AF4" i="54" s="1"/>
  <c r="P4" i="53"/>
  <c r="Q2" i="53"/>
  <c r="Q4" i="53" s="1"/>
  <c r="J82" i="45"/>
  <c r="M23" i="54"/>
  <c r="J24" i="45"/>
  <c r="J25" i="45"/>
  <c r="M22" i="54"/>
  <c r="N24" i="54"/>
  <c r="M25" i="54"/>
  <c r="M21" i="54"/>
  <c r="O8" i="52"/>
  <c r="AC5" i="50"/>
  <c r="Q4" i="51"/>
  <c r="Q57" i="58" s="1"/>
  <c r="K67" i="54"/>
  <c r="K64" i="54"/>
  <c r="K65" i="54"/>
  <c r="K69" i="54"/>
  <c r="K76" i="54" s="1"/>
  <c r="K77" i="54" s="1"/>
  <c r="K70" i="54"/>
  <c r="L63" i="54"/>
  <c r="K68" i="54"/>
  <c r="J66" i="54"/>
  <c r="L156" i="54"/>
  <c r="K157" i="54"/>
  <c r="J66" i="53"/>
  <c r="L147" i="53"/>
  <c r="K148" i="53"/>
  <c r="L156" i="53"/>
  <c r="K157" i="53"/>
  <c r="L63" i="53"/>
  <c r="K65" i="53"/>
  <c r="K64" i="53"/>
  <c r="K70" i="53"/>
  <c r="K68" i="53"/>
  <c r="K69" i="53"/>
  <c r="K76" i="53" s="1"/>
  <c r="K67" i="53"/>
  <c r="J77" i="53"/>
  <c r="J133" i="53"/>
  <c r="J102" i="53"/>
  <c r="J105" i="53"/>
  <c r="J104" i="53"/>
  <c r="J103" i="53"/>
  <c r="K38" i="46"/>
  <c r="J135" i="53"/>
  <c r="J134" i="53"/>
  <c r="K132" i="53"/>
  <c r="K100" i="53"/>
  <c r="K131" i="53"/>
  <c r="K101" i="53"/>
  <c r="N23" i="53"/>
  <c r="N21" i="53"/>
  <c r="O24" i="53"/>
  <c r="N22" i="53"/>
  <c r="N25" i="53"/>
  <c r="AB3" i="50"/>
  <c r="P6" i="52" s="1"/>
  <c r="AA2" i="28"/>
  <c r="AA4" i="28" s="1"/>
  <c r="Z4" i="28"/>
  <c r="U4" i="46"/>
  <c r="V2" i="46"/>
  <c r="V4" i="46" s="1"/>
  <c r="L2" i="38"/>
  <c r="V2" i="29"/>
  <c r="V4" i="29" s="1"/>
  <c r="U4" i="29"/>
  <c r="AE4" i="46"/>
  <c r="AF2" i="46"/>
  <c r="AF4" i="46" s="1"/>
  <c r="V2" i="28"/>
  <c r="V4" i="28" s="1"/>
  <c r="U4" i="28"/>
  <c r="V2" i="38"/>
  <c r="V4" i="38" s="1"/>
  <c r="U4" i="38"/>
  <c r="U4" i="48"/>
  <c r="V2" i="48"/>
  <c r="V4" i="48" s="1"/>
  <c r="U4" i="42"/>
  <c r="V2" i="42"/>
  <c r="V4" i="42" s="1"/>
  <c r="AE4" i="29"/>
  <c r="AF2" i="29"/>
  <c r="AF4" i="29" s="1"/>
  <c r="L2" i="48"/>
  <c r="P4" i="48"/>
  <c r="Q2" i="48"/>
  <c r="Q4" i="48" s="1"/>
  <c r="Q2" i="28"/>
  <c r="Q4" i="28" s="1"/>
  <c r="P4" i="28"/>
  <c r="P4" i="38"/>
  <c r="Q2" i="38"/>
  <c r="Q4" i="38" s="1"/>
  <c r="Z4" i="38"/>
  <c r="AA2" i="38"/>
  <c r="AA4" i="38" s="1"/>
  <c r="L2" i="29"/>
  <c r="P4" i="46"/>
  <c r="Q2" i="46"/>
  <c r="Q4" i="46" s="1"/>
  <c r="L2" i="42"/>
  <c r="H4" i="50"/>
  <c r="I5" i="50"/>
  <c r="I4" i="50" s="1"/>
  <c r="Q52" i="45"/>
  <c r="AU4" i="51"/>
  <c r="AU57" i="58" s="1"/>
  <c r="CK57" i="58" s="1"/>
  <c r="CK58" i="58" s="1"/>
  <c r="Z4" i="46"/>
  <c r="AA2" i="46"/>
  <c r="AA4" i="46" s="1"/>
  <c r="P4" i="20"/>
  <c r="Q2" i="20"/>
  <c r="Q4" i="20" s="1"/>
  <c r="AE4" i="42"/>
  <c r="AF2" i="42"/>
  <c r="AF4" i="42" s="1"/>
  <c r="AR44" i="45"/>
  <c r="AR43" i="45"/>
  <c r="K38" i="48"/>
  <c r="Q51" i="45"/>
  <c r="Q92" i="45" s="1"/>
  <c r="AR19" i="45"/>
  <c r="M18" i="45"/>
  <c r="M20" i="45" s="1"/>
  <c r="AS41" i="45"/>
  <c r="L38" i="48" s="1"/>
  <c r="AW51" i="45"/>
  <c r="I66" i="46"/>
  <c r="J66" i="48"/>
  <c r="J142" i="48"/>
  <c r="M25" i="48"/>
  <c r="I92" i="42"/>
  <c r="I90" i="42"/>
  <c r="I94" i="42" s="1"/>
  <c r="I89" i="42"/>
  <c r="I91" i="42"/>
  <c r="L260" i="48"/>
  <c r="K261" i="48"/>
  <c r="M23" i="48"/>
  <c r="I91" i="38"/>
  <c r="I89" i="38"/>
  <c r="I90" i="38"/>
  <c r="P39" i="48"/>
  <c r="K244" i="48"/>
  <c r="L243" i="48"/>
  <c r="J65" i="46"/>
  <c r="J67" i="46"/>
  <c r="K63" i="46"/>
  <c r="J70" i="46"/>
  <c r="J68" i="46"/>
  <c r="J69" i="46"/>
  <c r="J92" i="46" s="1"/>
  <c r="J64" i="46"/>
  <c r="L63" i="48"/>
  <c r="K65" i="48"/>
  <c r="K67" i="48"/>
  <c r="K70" i="48"/>
  <c r="K68" i="48"/>
  <c r="K64" i="48"/>
  <c r="K69" i="48"/>
  <c r="N24" i="48"/>
  <c r="J205" i="48"/>
  <c r="J143" i="48"/>
  <c r="J145" i="48"/>
  <c r="J144" i="48"/>
  <c r="I92" i="48"/>
  <c r="I93" i="46"/>
  <c r="I98" i="46" s="1"/>
  <c r="I95" i="46"/>
  <c r="I100" i="46" s="1"/>
  <c r="I97" i="46"/>
  <c r="I96" i="46"/>
  <c r="I101" i="46" s="1"/>
  <c r="I94" i="46"/>
  <c r="H93" i="48"/>
  <c r="H98" i="48" s="1"/>
  <c r="H95" i="48"/>
  <c r="H100" i="48" s="1"/>
  <c r="H97" i="48"/>
  <c r="H94" i="48"/>
  <c r="H96" i="48"/>
  <c r="H101" i="48" s="1"/>
  <c r="J207" i="48"/>
  <c r="J206" i="48"/>
  <c r="AW52" i="45"/>
  <c r="M22" i="48"/>
  <c r="K140" i="48"/>
  <c r="K204" i="48"/>
  <c r="L139" i="48"/>
  <c r="K203" i="48"/>
  <c r="K141" i="48"/>
  <c r="AX48" i="45"/>
  <c r="AX50" i="45" s="1"/>
  <c r="Q39" i="48" s="1"/>
  <c r="N21" i="48"/>
  <c r="I37" i="48"/>
  <c r="AP26" i="45"/>
  <c r="AP25" i="45"/>
  <c r="AP24" i="45"/>
  <c r="R48" i="45"/>
  <c r="R50" i="45" s="1"/>
  <c r="Q39" i="46" s="1"/>
  <c r="Q53" i="45"/>
  <c r="AQ21" i="45"/>
  <c r="AT17" i="45"/>
  <c r="AT69" i="45" s="1"/>
  <c r="Q88" i="45"/>
  <c r="L19" i="45"/>
  <c r="AT40" i="45"/>
  <c r="AT39" i="45"/>
  <c r="AY49" i="45"/>
  <c r="AY47" i="45"/>
  <c r="AY46" i="45"/>
  <c r="AZ45" i="45"/>
  <c r="AS18" i="45"/>
  <c r="L243" i="46"/>
  <c r="K244" i="46"/>
  <c r="O21" i="46"/>
  <c r="Q363" i="46"/>
  <c r="R363" i="46" s="1"/>
  <c r="J205" i="46"/>
  <c r="J142" i="46"/>
  <c r="N25" i="46"/>
  <c r="J207" i="46"/>
  <c r="J206" i="46"/>
  <c r="O24" i="46"/>
  <c r="L260" i="46"/>
  <c r="K261" i="46"/>
  <c r="N23" i="46"/>
  <c r="N22" i="46"/>
  <c r="J143" i="46"/>
  <c r="J145" i="46"/>
  <c r="J144" i="46"/>
  <c r="L139" i="46"/>
  <c r="K204" i="46"/>
  <c r="K140" i="46"/>
  <c r="K203" i="46"/>
  <c r="K141" i="46"/>
  <c r="M41" i="45"/>
  <c r="L42" i="45"/>
  <c r="L95" i="45"/>
  <c r="L44" i="45"/>
  <c r="L43" i="45"/>
  <c r="AR95" i="45"/>
  <c r="O38" i="45"/>
  <c r="AU38" i="45" s="1"/>
  <c r="N40" i="45"/>
  <c r="N39" i="45"/>
  <c r="N17" i="45"/>
  <c r="N69" i="45" s="1"/>
  <c r="O16" i="45"/>
  <c r="AU16" i="45" s="1"/>
  <c r="K21" i="45"/>
  <c r="K23" i="45" s="1"/>
  <c r="T45" i="45"/>
  <c r="S46" i="45"/>
  <c r="S49" i="45"/>
  <c r="S47" i="45"/>
  <c r="AV92" i="45"/>
  <c r="AV88" i="45"/>
  <c r="I187" i="42"/>
  <c r="I188" i="42"/>
  <c r="I189" i="42"/>
  <c r="K184" i="42"/>
  <c r="J185" i="42"/>
  <c r="J186" i="42"/>
  <c r="J188" i="42" s="1"/>
  <c r="U75" i="36"/>
  <c r="W72" i="12"/>
  <c r="BB63" i="36"/>
  <c r="BB68" i="36" s="1"/>
  <c r="BB75" i="36" s="1"/>
  <c r="V68" i="36"/>
  <c r="V75" i="36" s="1"/>
  <c r="X72" i="14"/>
  <c r="W63" i="36"/>
  <c r="V63" i="45"/>
  <c r="BB64" i="36"/>
  <c r="V66" i="36"/>
  <c r="V73" i="36" s="1"/>
  <c r="V65" i="36"/>
  <c r="U71" i="36"/>
  <c r="U106" i="36"/>
  <c r="AZ71" i="36"/>
  <c r="AZ72" i="36" s="1"/>
  <c r="AZ106" i="36"/>
  <c r="BA66" i="36"/>
  <c r="BA73" i="36" s="1"/>
  <c r="BA65" i="36"/>
  <c r="V81" i="36"/>
  <c r="Z81" i="36"/>
  <c r="E81" i="36"/>
  <c r="E73" i="36"/>
  <c r="AC81" i="36"/>
  <c r="J81" i="36"/>
  <c r="J73" i="36"/>
  <c r="T81" i="36"/>
  <c r="T73" i="36"/>
  <c r="X81" i="36"/>
  <c r="AH81" i="36"/>
  <c r="AE81" i="36"/>
  <c r="L81" i="36"/>
  <c r="L73" i="36"/>
  <c r="R81" i="36"/>
  <c r="R73" i="36"/>
  <c r="P81" i="36"/>
  <c r="P73" i="36"/>
  <c r="AD81" i="36"/>
  <c r="S81" i="36"/>
  <c r="S73" i="36"/>
  <c r="AA81" i="36"/>
  <c r="N81" i="36"/>
  <c r="N73" i="36"/>
  <c r="I81" i="36"/>
  <c r="I73" i="36"/>
  <c r="AG81" i="36"/>
  <c r="H81" i="36"/>
  <c r="H73" i="36"/>
  <c r="AB81" i="36"/>
  <c r="AF81" i="36"/>
  <c r="O81" i="36"/>
  <c r="O73" i="36"/>
  <c r="Y81" i="36"/>
  <c r="W81" i="36"/>
  <c r="G81" i="36"/>
  <c r="G73" i="36"/>
  <c r="M81" i="36"/>
  <c r="M73" i="36"/>
  <c r="U81" i="36"/>
  <c r="U73" i="36"/>
  <c r="F81" i="36"/>
  <c r="F73" i="36"/>
  <c r="Q81" i="36"/>
  <c r="Q73" i="36"/>
  <c r="K81" i="36"/>
  <c r="K73" i="36"/>
  <c r="J132" i="38"/>
  <c r="N24" i="29"/>
  <c r="O21" i="29"/>
  <c r="J132" i="42"/>
  <c r="N21" i="38"/>
  <c r="J187" i="38"/>
  <c r="M22" i="38"/>
  <c r="J70" i="38"/>
  <c r="K63" i="38"/>
  <c r="J67" i="38"/>
  <c r="J69" i="38"/>
  <c r="J88" i="38" s="1"/>
  <c r="J68" i="38"/>
  <c r="J65" i="38"/>
  <c r="J64" i="38"/>
  <c r="I66" i="42"/>
  <c r="J135" i="42"/>
  <c r="J134" i="42"/>
  <c r="J133" i="42"/>
  <c r="L129" i="42"/>
  <c r="K130" i="42"/>
  <c r="K131" i="42"/>
  <c r="L234" i="42"/>
  <c r="K235" i="42"/>
  <c r="L234" i="38"/>
  <c r="K235" i="38"/>
  <c r="L129" i="38"/>
  <c r="K185" i="38"/>
  <c r="K186" i="38"/>
  <c r="K130" i="38"/>
  <c r="K131" i="38"/>
  <c r="K219" i="42"/>
  <c r="J220" i="42"/>
  <c r="N24" i="38"/>
  <c r="J133" i="38"/>
  <c r="J135" i="38"/>
  <c r="J134" i="38"/>
  <c r="M25" i="38"/>
  <c r="J65" i="42"/>
  <c r="K63" i="42"/>
  <c r="J68" i="42"/>
  <c r="J67" i="42"/>
  <c r="J70" i="42"/>
  <c r="J69" i="42"/>
  <c r="J88" i="42" s="1"/>
  <c r="J64" i="42"/>
  <c r="I93" i="42"/>
  <c r="I95" i="42"/>
  <c r="M23" i="38"/>
  <c r="J189" i="38"/>
  <c r="J188" i="38"/>
  <c r="I66" i="38"/>
  <c r="J189" i="42"/>
  <c r="L219" i="38"/>
  <c r="K220" i="38"/>
  <c r="AE4" i="19"/>
  <c r="AF2" i="19"/>
  <c r="AF4" i="19" s="1"/>
  <c r="J70" i="20"/>
  <c r="J71" i="20"/>
  <c r="J73" i="20"/>
  <c r="J72" i="20"/>
  <c r="L198" i="20"/>
  <c r="K199" i="20"/>
  <c r="L310" i="20"/>
  <c r="K268" i="19"/>
  <c r="P21" i="28"/>
  <c r="Z4" i="19"/>
  <c r="AA2" i="19"/>
  <c r="AA4" i="19" s="1"/>
  <c r="O24" i="28"/>
  <c r="N22" i="28"/>
  <c r="K127" i="20"/>
  <c r="K125" i="20"/>
  <c r="K126" i="20"/>
  <c r="K124" i="20"/>
  <c r="K128" i="20"/>
  <c r="K123" i="20"/>
  <c r="L122" i="20"/>
  <c r="J69" i="20"/>
  <c r="L2" i="19"/>
  <c r="K66" i="28"/>
  <c r="L62" i="28"/>
  <c r="K67" i="28"/>
  <c r="K64" i="28"/>
  <c r="K63" i="28"/>
  <c r="U4" i="20"/>
  <c r="V2" i="20"/>
  <c r="V4" i="20" s="1"/>
  <c r="K86" i="28"/>
  <c r="K90" i="28"/>
  <c r="K89" i="28"/>
  <c r="K88" i="28"/>
  <c r="K91" i="28"/>
  <c r="K87" i="28"/>
  <c r="L85" i="28"/>
  <c r="L66" i="20"/>
  <c r="K68" i="20"/>
  <c r="K67" i="20"/>
  <c r="O25" i="28"/>
  <c r="L110" i="28"/>
  <c r="K111" i="28"/>
  <c r="L2" i="20"/>
  <c r="N23" i="28"/>
  <c r="U4" i="19"/>
  <c r="V2" i="19"/>
  <c r="V4" i="19" s="1"/>
  <c r="AF2" i="20"/>
  <c r="AF4" i="20" s="1"/>
  <c r="AE4" i="20"/>
  <c r="J65" i="28"/>
  <c r="W50" i="15"/>
  <c r="W53" i="15" s="1"/>
  <c r="W137" i="15" s="1"/>
  <c r="W126" i="15"/>
  <c r="U74" i="12"/>
  <c r="U219" i="12" s="1"/>
  <c r="U230" i="12" s="1"/>
  <c r="U76" i="12"/>
  <c r="U77" i="12"/>
  <c r="U78" i="12"/>
  <c r="U79" i="12"/>
  <c r="U80" i="12"/>
  <c r="U75" i="12"/>
  <c r="J212" i="20"/>
  <c r="V74" i="14"/>
  <c r="V219" i="14" s="1"/>
  <c r="V230" i="14" s="1"/>
  <c r="V80" i="14"/>
  <c r="V79" i="14"/>
  <c r="V76" i="14"/>
  <c r="V78" i="14"/>
  <c r="V75" i="14"/>
  <c r="V77" i="14"/>
  <c r="U8" i="12"/>
  <c r="AE8" i="12"/>
  <c r="Z8" i="12"/>
  <c r="V6" i="12"/>
  <c r="V5" i="12"/>
  <c r="V7" i="12"/>
  <c r="AA6" i="12"/>
  <c r="AA5" i="12"/>
  <c r="AA7" i="12"/>
  <c r="AF5" i="12"/>
  <c r="AF6" i="12"/>
  <c r="AF7" i="12"/>
  <c r="Q6" i="12"/>
  <c r="Q5" i="12"/>
  <c r="Q7" i="12"/>
  <c r="P8" i="12"/>
  <c r="Z33" i="11"/>
  <c r="Y34" i="11"/>
  <c r="Y35" i="11" s="1"/>
  <c r="Y36" i="11" s="1"/>
  <c r="X29" i="13"/>
  <c r="X30" i="13" s="1"/>
  <c r="Y28" i="13"/>
  <c r="W32" i="13"/>
  <c r="W73" i="14" s="1"/>
  <c r="W31" i="13"/>
  <c r="W33" i="13" s="1"/>
  <c r="W64" i="36" s="1"/>
  <c r="V73" i="12"/>
  <c r="R4" i="16"/>
  <c r="R4" i="15"/>
  <c r="W4" i="12"/>
  <c r="V3" i="52" s="1"/>
  <c r="W4" i="16"/>
  <c r="W4" i="15"/>
  <c r="M4" i="15"/>
  <c r="M4" i="16"/>
  <c r="AG4" i="15"/>
  <c r="AG4" i="16"/>
  <c r="AB4" i="12"/>
  <c r="AA3" i="52" s="1"/>
  <c r="AB4" i="16"/>
  <c r="AB4" i="15"/>
  <c r="AG4" i="12"/>
  <c r="AF3" i="52" s="1"/>
  <c r="R4" i="12"/>
  <c r="Q3" i="52" s="1"/>
  <c r="X31" i="15"/>
  <c r="J3" i="12"/>
  <c r="I1" i="52" s="1"/>
  <c r="AF8" i="14" l="1"/>
  <c r="AA8" i="14"/>
  <c r="L4" i="52"/>
  <c r="W7" i="14"/>
  <c r="W6" i="14"/>
  <c r="W5" i="14"/>
  <c r="X64" i="45"/>
  <c r="BD64" i="45" s="1"/>
  <c r="X61" i="45"/>
  <c r="BD61" i="45" s="1"/>
  <c r="BD63" i="45" s="1"/>
  <c r="AG5" i="14"/>
  <c r="AG7" i="14"/>
  <c r="AG6" i="14"/>
  <c r="V4" i="52"/>
  <c r="T96" i="55"/>
  <c r="AY96" i="55"/>
  <c r="DK96" i="55" s="1"/>
  <c r="AA4" i="52"/>
  <c r="AB7" i="14"/>
  <c r="AB5" i="14"/>
  <c r="AB6" i="14"/>
  <c r="Y39" i="11"/>
  <c r="Y37" i="11"/>
  <c r="Y40" i="11"/>
  <c r="Y66" i="45" s="1"/>
  <c r="BE66" i="45" s="1"/>
  <c r="Y38" i="11"/>
  <c r="U72" i="36"/>
  <c r="CG38" i="58"/>
  <c r="U37" i="58" s="1"/>
  <c r="BA37" i="58" s="1"/>
  <c r="CG37" i="58" s="1"/>
  <c r="Q4" i="52"/>
  <c r="AY95" i="55"/>
  <c r="DK95" i="55" s="1"/>
  <c r="T95" i="55"/>
  <c r="AF4" i="52"/>
  <c r="R6" i="14"/>
  <c r="R5" i="14"/>
  <c r="R7" i="14"/>
  <c r="R8" i="14"/>
  <c r="AR21" i="45"/>
  <c r="AR23" i="45" s="1"/>
  <c r="O24" i="54"/>
  <c r="N25" i="54"/>
  <c r="N21" i="54"/>
  <c r="N22" i="54"/>
  <c r="L21" i="45"/>
  <c r="L23" i="45" s="1"/>
  <c r="L82" i="45" s="1"/>
  <c r="N23" i="54"/>
  <c r="AX52" i="45"/>
  <c r="P8" i="52"/>
  <c r="AD5" i="50"/>
  <c r="R4" i="51"/>
  <c r="R57" i="58" s="1"/>
  <c r="M63" i="54"/>
  <c r="L67" i="54"/>
  <c r="L68" i="54"/>
  <c r="L70" i="54"/>
  <c r="L69" i="54"/>
  <c r="L76" i="54" s="1"/>
  <c r="L77" i="54" s="1"/>
  <c r="L65" i="54"/>
  <c r="L64" i="54"/>
  <c r="K66" i="54"/>
  <c r="M156" i="54"/>
  <c r="L157" i="54"/>
  <c r="K66" i="53"/>
  <c r="M147" i="53"/>
  <c r="L148" i="53"/>
  <c r="M156" i="53"/>
  <c r="L157" i="53"/>
  <c r="K77" i="53"/>
  <c r="L69" i="53"/>
  <c r="L76" i="53" s="1"/>
  <c r="L67" i="53"/>
  <c r="L70" i="53"/>
  <c r="L65" i="53"/>
  <c r="M63" i="53"/>
  <c r="M64" i="53" s="1"/>
  <c r="L68" i="53"/>
  <c r="L64" i="53"/>
  <c r="K102" i="53"/>
  <c r="K135" i="53"/>
  <c r="K134" i="53"/>
  <c r="L132" i="53"/>
  <c r="L100" i="53"/>
  <c r="L131" i="53"/>
  <c r="L101" i="53"/>
  <c r="J37" i="46"/>
  <c r="K37" i="46"/>
  <c r="K105" i="53"/>
  <c r="K103" i="53"/>
  <c r="K104" i="53"/>
  <c r="K133" i="53"/>
  <c r="O21" i="53"/>
  <c r="O23" i="53"/>
  <c r="O22" i="53"/>
  <c r="O25" i="53"/>
  <c r="P24" i="53"/>
  <c r="AV4" i="51"/>
  <c r="AV57" i="58" s="1"/>
  <c r="CL57" i="58" s="1"/>
  <c r="CL58" i="58" s="1"/>
  <c r="AC3" i="50"/>
  <c r="Q6" i="52" s="1"/>
  <c r="M19" i="45"/>
  <c r="AT41" i="45"/>
  <c r="AT42" i="45" s="1"/>
  <c r="AS43" i="45"/>
  <c r="K66" i="48"/>
  <c r="R53" i="45"/>
  <c r="R51" i="45"/>
  <c r="R92" i="45" s="1"/>
  <c r="R88" i="45"/>
  <c r="J66" i="46"/>
  <c r="R52" i="45"/>
  <c r="AS44" i="45"/>
  <c r="AS42" i="45"/>
  <c r="K142" i="48"/>
  <c r="AX51" i="45"/>
  <c r="AX92" i="45" s="1"/>
  <c r="K205" i="48"/>
  <c r="K143" i="48"/>
  <c r="K144" i="48"/>
  <c r="K145" i="48"/>
  <c r="N22" i="48"/>
  <c r="I96" i="48"/>
  <c r="I101" i="48" s="1"/>
  <c r="I97" i="48"/>
  <c r="I95" i="48"/>
  <c r="I100" i="48" s="1"/>
  <c r="I93" i="48"/>
  <c r="I98" i="48" s="1"/>
  <c r="I94" i="48"/>
  <c r="L69" i="48"/>
  <c r="L68" i="48"/>
  <c r="L65" i="48"/>
  <c r="L67" i="48"/>
  <c r="M63" i="48"/>
  <c r="L70" i="48"/>
  <c r="L64" i="48"/>
  <c r="L244" i="48"/>
  <c r="M243" i="48"/>
  <c r="M260" i="48"/>
  <c r="L261" i="48"/>
  <c r="AX53" i="45"/>
  <c r="O24" i="48"/>
  <c r="K68" i="46"/>
  <c r="K70" i="46"/>
  <c r="K65" i="46"/>
  <c r="K69" i="46"/>
  <c r="K92" i="46" s="1"/>
  <c r="K67" i="46"/>
  <c r="L63" i="46"/>
  <c r="K64" i="46"/>
  <c r="S48" i="45"/>
  <c r="S50" i="45" s="1"/>
  <c r="R39" i="46" s="1"/>
  <c r="L141" i="48"/>
  <c r="L203" i="48"/>
  <c r="M139" i="48"/>
  <c r="L140" i="48"/>
  <c r="L204" i="48"/>
  <c r="J92" i="48"/>
  <c r="J95" i="46"/>
  <c r="J100" i="46" s="1"/>
  <c r="J97" i="46"/>
  <c r="J96" i="46"/>
  <c r="J101" i="46" s="1"/>
  <c r="J94" i="46"/>
  <c r="J93" i="46"/>
  <c r="J98" i="46" s="1"/>
  <c r="N23" i="48"/>
  <c r="N25" i="48"/>
  <c r="J92" i="42"/>
  <c r="J91" i="42"/>
  <c r="J95" i="42" s="1"/>
  <c r="J90" i="42"/>
  <c r="J94" i="42" s="1"/>
  <c r="J89" i="42"/>
  <c r="J93" i="42" s="1"/>
  <c r="J89" i="38"/>
  <c r="J90" i="38"/>
  <c r="J91" i="38"/>
  <c r="AY48" i="45"/>
  <c r="AY50" i="45" s="1"/>
  <c r="AT18" i="45"/>
  <c r="AT20" i="45" s="1"/>
  <c r="O21" i="48"/>
  <c r="K207" i="48"/>
  <c r="K206" i="48"/>
  <c r="AZ46" i="45"/>
  <c r="AZ47" i="45"/>
  <c r="AZ49" i="45"/>
  <c r="BA45" i="45"/>
  <c r="AS20" i="45"/>
  <c r="AS19" i="45"/>
  <c r="AQ23" i="45"/>
  <c r="K37" i="48"/>
  <c r="AR25" i="45"/>
  <c r="AR26" i="45"/>
  <c r="AR24" i="45"/>
  <c r="AU17" i="45"/>
  <c r="AU69" i="45" s="1"/>
  <c r="AU39" i="45"/>
  <c r="AU40" i="45"/>
  <c r="M95" i="45"/>
  <c r="L38" i="46"/>
  <c r="K142" i="46"/>
  <c r="O25" i="46"/>
  <c r="K207" i="46"/>
  <c r="K206" i="46"/>
  <c r="O23" i="46"/>
  <c r="S363" i="46"/>
  <c r="T363" i="46" s="1"/>
  <c r="M243" i="46"/>
  <c r="L244" i="46"/>
  <c r="K145" i="46"/>
  <c r="K144" i="46"/>
  <c r="K143" i="46"/>
  <c r="M139" i="46"/>
  <c r="L204" i="46"/>
  <c r="L140" i="46"/>
  <c r="L141" i="46"/>
  <c r="L203" i="46"/>
  <c r="P24" i="46"/>
  <c r="K205" i="46"/>
  <c r="O22" i="46"/>
  <c r="M260" i="46"/>
  <c r="L261" i="46"/>
  <c r="P21" i="46"/>
  <c r="M43" i="45"/>
  <c r="M42" i="45"/>
  <c r="M44" i="45"/>
  <c r="N18" i="45"/>
  <c r="N19" i="45" s="1"/>
  <c r="N41" i="45"/>
  <c r="P16" i="45"/>
  <c r="AV16" i="45" s="1"/>
  <c r="O17" i="45"/>
  <c r="O69" i="45" s="1"/>
  <c r="O39" i="45"/>
  <c r="P38" i="45"/>
  <c r="AV38" i="45" s="1"/>
  <c r="O40" i="45"/>
  <c r="AP82" i="45"/>
  <c r="K26" i="45"/>
  <c r="K25" i="45"/>
  <c r="K82" i="45"/>
  <c r="K24" i="45"/>
  <c r="AX88" i="45"/>
  <c r="AW88" i="45"/>
  <c r="AW92" i="45"/>
  <c r="U45" i="45"/>
  <c r="T46" i="45"/>
  <c r="T47" i="45"/>
  <c r="T49" i="45"/>
  <c r="J187" i="42"/>
  <c r="L184" i="42"/>
  <c r="K186" i="42"/>
  <c r="K189" i="42" s="1"/>
  <c r="K185" i="42"/>
  <c r="BC63" i="36"/>
  <c r="BC68" i="36" s="1"/>
  <c r="BC75" i="36" s="1"/>
  <c r="W68" i="36"/>
  <c r="W75" i="36" s="1"/>
  <c r="X63" i="36"/>
  <c r="Y72" i="14"/>
  <c r="W63" i="45"/>
  <c r="V71" i="36"/>
  <c r="V106" i="36"/>
  <c r="BC64" i="36"/>
  <c r="W66" i="36"/>
  <c r="W73" i="36" s="1"/>
  <c r="W65" i="36"/>
  <c r="BA71" i="36"/>
  <c r="BA72" i="36" s="1"/>
  <c r="BA106" i="36"/>
  <c r="BB65" i="36"/>
  <c r="BB66" i="36"/>
  <c r="BB73" i="36" s="1"/>
  <c r="K69" i="20"/>
  <c r="K132" i="42"/>
  <c r="O24" i="29"/>
  <c r="P21" i="29"/>
  <c r="K70" i="42"/>
  <c r="K64" i="42"/>
  <c r="K67" i="42"/>
  <c r="L63" i="42"/>
  <c r="K69" i="42"/>
  <c r="K88" i="42" s="1"/>
  <c r="K68" i="42"/>
  <c r="K65" i="42"/>
  <c r="L219" i="42"/>
  <c r="K220" i="42"/>
  <c r="K187" i="38"/>
  <c r="N22" i="38"/>
  <c r="M219" i="38"/>
  <c r="L220" i="38"/>
  <c r="N23" i="38"/>
  <c r="N25" i="38"/>
  <c r="K133" i="38"/>
  <c r="K135" i="38"/>
  <c r="K134" i="38"/>
  <c r="M129" i="38"/>
  <c r="L185" i="38"/>
  <c r="L186" i="38"/>
  <c r="L131" i="38"/>
  <c r="L130" i="38"/>
  <c r="M234" i="42"/>
  <c r="L235" i="42"/>
  <c r="K132" i="38"/>
  <c r="M234" i="38"/>
  <c r="L235" i="38"/>
  <c r="K135" i="42"/>
  <c r="K134" i="42"/>
  <c r="K133" i="42"/>
  <c r="M129" i="42"/>
  <c r="L130" i="42"/>
  <c r="L131" i="42"/>
  <c r="J66" i="38"/>
  <c r="J66" i="42"/>
  <c r="O24" i="38"/>
  <c r="K189" i="38"/>
  <c r="K188" i="38"/>
  <c r="K70" i="38"/>
  <c r="L63" i="38"/>
  <c r="K68" i="38"/>
  <c r="K67" i="38"/>
  <c r="K69" i="38"/>
  <c r="K88" i="38" s="1"/>
  <c r="K65" i="38"/>
  <c r="K64" i="38"/>
  <c r="O21" i="38"/>
  <c r="K73" i="20"/>
  <c r="K71" i="20"/>
  <c r="K72" i="20"/>
  <c r="K70" i="20"/>
  <c r="P25" i="28"/>
  <c r="M66" i="20"/>
  <c r="L67" i="20"/>
  <c r="L68" i="20"/>
  <c r="P24" i="28"/>
  <c r="Q21" i="28"/>
  <c r="M198" i="20"/>
  <c r="L199" i="20"/>
  <c r="L86" i="28"/>
  <c r="L89" i="28"/>
  <c r="M85" i="28"/>
  <c r="L88" i="28"/>
  <c r="L90" i="28"/>
  <c r="L87" i="28"/>
  <c r="L91" i="28"/>
  <c r="M62" i="28"/>
  <c r="L63" i="28"/>
  <c r="L64" i="28"/>
  <c r="L66" i="28"/>
  <c r="L67" i="28"/>
  <c r="O23" i="28"/>
  <c r="M110" i="28"/>
  <c r="L111" i="28"/>
  <c r="K65" i="28"/>
  <c r="L124" i="20"/>
  <c r="L123" i="20"/>
  <c r="L128" i="20"/>
  <c r="L126" i="20"/>
  <c r="L125" i="20"/>
  <c r="L127" i="20"/>
  <c r="M122" i="20"/>
  <c r="O22" i="28"/>
  <c r="M310" i="20"/>
  <c r="L268" i="19"/>
  <c r="X50" i="15"/>
  <c r="X53" i="15" s="1"/>
  <c r="X137" i="15" s="1"/>
  <c r="X126" i="15"/>
  <c r="V74" i="12"/>
  <c r="V219" i="12" s="1"/>
  <c r="V230" i="12" s="1"/>
  <c r="V75" i="12"/>
  <c r="V78" i="12"/>
  <c r="V79" i="12"/>
  <c r="V76" i="12"/>
  <c r="V77" i="12"/>
  <c r="V80" i="12"/>
  <c r="K212" i="20"/>
  <c r="W74" i="14"/>
  <c r="W219" i="14" s="1"/>
  <c r="W230" i="14" s="1"/>
  <c r="W77" i="14"/>
  <c r="W79" i="14"/>
  <c r="W80" i="14"/>
  <c r="W75" i="14"/>
  <c r="W76" i="14"/>
  <c r="W78" i="14"/>
  <c r="V8" i="12"/>
  <c r="AA8" i="12"/>
  <c r="AF8" i="12"/>
  <c r="AG6" i="12"/>
  <c r="AG5" i="12"/>
  <c r="AG7" i="12"/>
  <c r="W6" i="12"/>
  <c r="W5" i="12"/>
  <c r="W7" i="12"/>
  <c r="Q8" i="12"/>
  <c r="R6" i="12"/>
  <c r="R5" i="12"/>
  <c r="R7" i="12"/>
  <c r="AB5" i="12"/>
  <c r="AB6" i="12"/>
  <c r="AB7" i="12"/>
  <c r="AA33" i="11"/>
  <c r="Z34" i="11"/>
  <c r="Z35" i="11" s="1"/>
  <c r="Z36" i="11" s="1"/>
  <c r="W73" i="12"/>
  <c r="Y29" i="13"/>
  <c r="Y30" i="13" s="1"/>
  <c r="Z28" i="13"/>
  <c r="X31" i="13"/>
  <c r="X33" i="13" s="1"/>
  <c r="X64" i="36" s="1"/>
  <c r="X32" i="13"/>
  <c r="X73" i="14" s="1"/>
  <c r="Y31" i="15"/>
  <c r="K3" i="12"/>
  <c r="J1" i="52" s="1"/>
  <c r="AG8" i="14" l="1"/>
  <c r="W8" i="14"/>
  <c r="AT43" i="45"/>
  <c r="AB8" i="14"/>
  <c r="AZ96" i="55"/>
  <c r="DL96" i="55" s="1"/>
  <c r="U96" i="55"/>
  <c r="V72" i="36"/>
  <c r="CH38" i="58"/>
  <c r="V37" i="58" s="1"/>
  <c r="BB37" i="58" s="1"/>
  <c r="CH37" i="58" s="1"/>
  <c r="Z40" i="11"/>
  <c r="Z66" i="45" s="1"/>
  <c r="BF66" i="45" s="1"/>
  <c r="Z39" i="11"/>
  <c r="Z37" i="11"/>
  <c r="Z38" i="11"/>
  <c r="Y61" i="45"/>
  <c r="BE61" i="45" s="1"/>
  <c r="BE63" i="45" s="1"/>
  <c r="Y64" i="45"/>
  <c r="BE64" i="45" s="1"/>
  <c r="AZ95" i="55"/>
  <c r="DL95" i="55" s="1"/>
  <c r="U95" i="55"/>
  <c r="O21" i="54"/>
  <c r="M21" i="45"/>
  <c r="M23" i="45" s="1"/>
  <c r="L25" i="45"/>
  <c r="L24" i="45"/>
  <c r="O23" i="54"/>
  <c r="O25" i="54"/>
  <c r="O22" i="54"/>
  <c r="P24" i="54"/>
  <c r="L26" i="45"/>
  <c r="L66" i="48"/>
  <c r="Q8" i="52"/>
  <c r="AE5" i="50"/>
  <c r="S4" i="51"/>
  <c r="S57" i="58" s="1"/>
  <c r="L66" i="54"/>
  <c r="M157" i="54"/>
  <c r="N156" i="54"/>
  <c r="M67" i="54"/>
  <c r="M69" i="54"/>
  <c r="M76" i="54" s="1"/>
  <c r="M77" i="54" s="1"/>
  <c r="M68" i="54"/>
  <c r="M65" i="54"/>
  <c r="N63" i="54"/>
  <c r="M70" i="54"/>
  <c r="M64" i="54"/>
  <c r="L66" i="53"/>
  <c r="K66" i="46"/>
  <c r="N147" i="53"/>
  <c r="M148" i="53"/>
  <c r="N156" i="53"/>
  <c r="M157" i="53"/>
  <c r="M68" i="53"/>
  <c r="M67" i="53"/>
  <c r="M70" i="53"/>
  <c r="N63" i="53"/>
  <c r="M69" i="53"/>
  <c r="M76" i="53" s="1"/>
  <c r="M65" i="53"/>
  <c r="M66" i="53" s="1"/>
  <c r="L77" i="53"/>
  <c r="L133" i="53"/>
  <c r="L102" i="53"/>
  <c r="L135" i="53"/>
  <c r="L134" i="53"/>
  <c r="N44" i="45"/>
  <c r="M100" i="53"/>
  <c r="M101" i="53"/>
  <c r="M132" i="53"/>
  <c r="M131" i="53"/>
  <c r="M24" i="45"/>
  <c r="L105" i="53"/>
  <c r="L103" i="53"/>
  <c r="L104" i="53"/>
  <c r="P22" i="53"/>
  <c r="P25" i="53"/>
  <c r="P23" i="53"/>
  <c r="P21" i="53"/>
  <c r="Q24" i="53"/>
  <c r="AD3" i="50"/>
  <c r="R6" i="52" s="1"/>
  <c r="AT19" i="45"/>
  <c r="AW4" i="51"/>
  <c r="AW57" i="58" s="1"/>
  <c r="CM57" i="58" s="1"/>
  <c r="CM58" i="58" s="1"/>
  <c r="M38" i="48"/>
  <c r="AT44" i="45"/>
  <c r="L142" i="48"/>
  <c r="AS21" i="45"/>
  <c r="AS23" i="45" s="1"/>
  <c r="L205" i="48"/>
  <c r="N243" i="48"/>
  <c r="M244" i="48"/>
  <c r="M69" i="48"/>
  <c r="M68" i="48"/>
  <c r="N63" i="48"/>
  <c r="M67" i="48"/>
  <c r="M65" i="48"/>
  <c r="M70" i="48"/>
  <c r="M64" i="48"/>
  <c r="L207" i="48"/>
  <c r="L206" i="48"/>
  <c r="L144" i="48"/>
  <c r="L143" i="48"/>
  <c r="L145" i="48"/>
  <c r="P24" i="48"/>
  <c r="K90" i="38"/>
  <c r="K89" i="38"/>
  <c r="K91" i="38"/>
  <c r="K92" i="48"/>
  <c r="K96" i="46"/>
  <c r="K101" i="46" s="1"/>
  <c r="K95" i="46"/>
  <c r="K100" i="46" s="1"/>
  <c r="K93" i="46"/>
  <c r="K98" i="46" s="1"/>
  <c r="K94" i="46"/>
  <c r="K97" i="46"/>
  <c r="P21" i="48"/>
  <c r="O25" i="48"/>
  <c r="J94" i="48"/>
  <c r="J97" i="48"/>
  <c r="J96" i="48"/>
  <c r="J101" i="48" s="1"/>
  <c r="J93" i="48"/>
  <c r="J98" i="48" s="1"/>
  <c r="J95" i="48"/>
  <c r="J100" i="48" s="1"/>
  <c r="L65" i="46"/>
  <c r="L69" i="46"/>
  <c r="L92" i="46" s="1"/>
  <c r="L67" i="46"/>
  <c r="M63" i="46"/>
  <c r="L68" i="46"/>
  <c r="L64" i="46"/>
  <c r="L70" i="46"/>
  <c r="O23" i="48"/>
  <c r="K92" i="42"/>
  <c r="K90" i="42"/>
  <c r="K91" i="42"/>
  <c r="K95" i="42" s="1"/>
  <c r="K89" i="42"/>
  <c r="AU41" i="45"/>
  <c r="AU44" i="45" s="1"/>
  <c r="AZ48" i="45"/>
  <c r="M140" i="48"/>
  <c r="M141" i="48"/>
  <c r="M203" i="48"/>
  <c r="N139" i="48"/>
  <c r="M204" i="48"/>
  <c r="N260" i="48"/>
  <c r="M261" i="48"/>
  <c r="O22" i="48"/>
  <c r="R39" i="48"/>
  <c r="AY51" i="45"/>
  <c r="AY53" i="45"/>
  <c r="AY52" i="45"/>
  <c r="M25" i="45"/>
  <c r="L37" i="46"/>
  <c r="AV39" i="45"/>
  <c r="AV40" i="45"/>
  <c r="AV17" i="45"/>
  <c r="AV69" i="45" s="1"/>
  <c r="J37" i="48"/>
  <c r="AQ24" i="45"/>
  <c r="AQ26" i="45"/>
  <c r="AQ25" i="45"/>
  <c r="AQ82" i="45"/>
  <c r="AZ50" i="45"/>
  <c r="N43" i="45"/>
  <c r="M38" i="46"/>
  <c r="AU18" i="45"/>
  <c r="BA47" i="45"/>
  <c r="BA49" i="45"/>
  <c r="BA46" i="45"/>
  <c r="BB45" i="45"/>
  <c r="K188" i="42"/>
  <c r="K187" i="42"/>
  <c r="N260" i="46"/>
  <c r="M261" i="46"/>
  <c r="L207" i="46"/>
  <c r="L206" i="46"/>
  <c r="Q21" i="46"/>
  <c r="Q24" i="46"/>
  <c r="L205" i="46"/>
  <c r="N139" i="46"/>
  <c r="M204" i="46"/>
  <c r="M203" i="46"/>
  <c r="M141" i="46"/>
  <c r="M140" i="46"/>
  <c r="P22" i="46"/>
  <c r="L145" i="46"/>
  <c r="L144" i="46"/>
  <c r="L143" i="46"/>
  <c r="U363" i="46"/>
  <c r="P23" i="46"/>
  <c r="P25" i="46"/>
  <c r="L142" i="46"/>
  <c r="N243" i="46"/>
  <c r="M244" i="46"/>
  <c r="N20" i="45"/>
  <c r="N95" i="45"/>
  <c r="N42" i="45"/>
  <c r="M82" i="45"/>
  <c r="M26" i="45"/>
  <c r="O41" i="45"/>
  <c r="P40" i="45"/>
  <c r="P39" i="45"/>
  <c r="Q38" i="45"/>
  <c r="AW38" i="45" s="1"/>
  <c r="AS95" i="45"/>
  <c r="P17" i="45"/>
  <c r="P69" i="45" s="1"/>
  <c r="Q16" i="45"/>
  <c r="AW16" i="45" s="1"/>
  <c r="O18" i="45"/>
  <c r="V45" i="45"/>
  <c r="U47" i="45"/>
  <c r="U46" i="45"/>
  <c r="U49" i="45"/>
  <c r="T48" i="45"/>
  <c r="T50" i="45" s="1"/>
  <c r="S39" i="46" s="1"/>
  <c r="S52" i="45"/>
  <c r="S51" i="45"/>
  <c r="S92" i="45" s="1"/>
  <c r="S53" i="45"/>
  <c r="S88" i="45"/>
  <c r="M184" i="42"/>
  <c r="L186" i="42"/>
  <c r="L189" i="42" s="1"/>
  <c r="L185" i="42"/>
  <c r="Y72" i="12"/>
  <c r="Y63" i="36"/>
  <c r="X63" i="45"/>
  <c r="BD63" i="36"/>
  <c r="BD68" i="36" s="1"/>
  <c r="BD75" i="36" s="1"/>
  <c r="X68" i="36"/>
  <c r="X75" i="36" s="1"/>
  <c r="Z72" i="14"/>
  <c r="BC66" i="36"/>
  <c r="BC73" i="36" s="1"/>
  <c r="BC65" i="36"/>
  <c r="BD64" i="36"/>
  <c r="X66" i="36"/>
  <c r="X73" i="36" s="1"/>
  <c r="X65" i="36"/>
  <c r="BB71" i="36"/>
  <c r="BB72" i="36" s="1"/>
  <c r="BB106" i="36"/>
  <c r="W71" i="36"/>
  <c r="W106" i="36"/>
  <c r="Q21" i="29"/>
  <c r="P24" i="29"/>
  <c r="N234" i="38"/>
  <c r="M235" i="38"/>
  <c r="L189" i="38"/>
  <c r="L188" i="38"/>
  <c r="K94" i="42"/>
  <c r="K93" i="42"/>
  <c r="L135" i="42"/>
  <c r="L134" i="42"/>
  <c r="L133" i="42"/>
  <c r="N129" i="42"/>
  <c r="M131" i="42"/>
  <c r="M130" i="42"/>
  <c r="L187" i="38"/>
  <c r="O25" i="38"/>
  <c r="O23" i="38"/>
  <c r="N219" i="38"/>
  <c r="M220" i="38"/>
  <c r="K66" i="42"/>
  <c r="K66" i="38"/>
  <c r="P24" i="38"/>
  <c r="L132" i="42"/>
  <c r="L132" i="38"/>
  <c r="N129" i="38"/>
  <c r="M185" i="38"/>
  <c r="M186" i="38"/>
  <c r="M130" i="38"/>
  <c r="M131" i="38"/>
  <c r="O22" i="38"/>
  <c r="P21" i="38"/>
  <c r="L69" i="38"/>
  <c r="L88" i="38" s="1"/>
  <c r="M63" i="38"/>
  <c r="L68" i="38"/>
  <c r="L70" i="38"/>
  <c r="L67" i="38"/>
  <c r="L65" i="38"/>
  <c r="L64" i="38"/>
  <c r="N234" i="42"/>
  <c r="M235" i="42"/>
  <c r="L133" i="38"/>
  <c r="L134" i="38"/>
  <c r="L135" i="38"/>
  <c r="M219" i="42"/>
  <c r="L220" i="42"/>
  <c r="L65" i="42"/>
  <c r="L64" i="42"/>
  <c r="L70" i="42"/>
  <c r="L67" i="42"/>
  <c r="L69" i="42"/>
  <c r="L88" i="42" s="1"/>
  <c r="L68" i="42"/>
  <c r="M63" i="42"/>
  <c r="L65" i="28"/>
  <c r="M123" i="20"/>
  <c r="M128" i="20"/>
  <c r="M126" i="20"/>
  <c r="M124" i="20"/>
  <c r="M125" i="20"/>
  <c r="N122" i="20"/>
  <c r="M127" i="20"/>
  <c r="M86" i="28"/>
  <c r="M89" i="28"/>
  <c r="M87" i="28"/>
  <c r="M90" i="28"/>
  <c r="N85" i="28"/>
  <c r="M88" i="28"/>
  <c r="M91" i="28"/>
  <c r="R21" i="28"/>
  <c r="Q25" i="28"/>
  <c r="M268" i="19"/>
  <c r="N310" i="20"/>
  <c r="N110" i="28"/>
  <c r="M111" i="28"/>
  <c r="M63" i="28"/>
  <c r="M64" i="28"/>
  <c r="M66" i="28"/>
  <c r="M67" i="28"/>
  <c r="N62" i="28"/>
  <c r="L71" i="20"/>
  <c r="L73" i="20"/>
  <c r="L70" i="20"/>
  <c r="L72" i="20"/>
  <c r="N198" i="20"/>
  <c r="M199" i="20"/>
  <c r="Q24" i="28"/>
  <c r="L69" i="20"/>
  <c r="P22" i="28"/>
  <c r="P23" i="28"/>
  <c r="N66" i="20"/>
  <c r="M68" i="20"/>
  <c r="M67" i="20"/>
  <c r="Y50" i="15"/>
  <c r="Y53" i="15" s="1"/>
  <c r="Y137" i="15" s="1"/>
  <c r="Y126" i="15"/>
  <c r="W74" i="12"/>
  <c r="W219" i="12" s="1"/>
  <c r="W230" i="12" s="1"/>
  <c r="W77" i="12"/>
  <c r="W80" i="12"/>
  <c r="W79" i="12"/>
  <c r="W76" i="12"/>
  <c r="W78" i="12"/>
  <c r="W75" i="12"/>
  <c r="L212" i="20"/>
  <c r="X74" i="14"/>
  <c r="X219" i="14" s="1"/>
  <c r="X230" i="14" s="1"/>
  <c r="X78" i="14"/>
  <c r="X80" i="14"/>
  <c r="X79" i="14"/>
  <c r="X76" i="14"/>
  <c r="X75" i="14"/>
  <c r="X77" i="14"/>
  <c r="W8" i="12"/>
  <c r="AG8" i="12"/>
  <c r="AB8" i="12"/>
  <c r="R8" i="12"/>
  <c r="AB33" i="11"/>
  <c r="AA34" i="11"/>
  <c r="AA35" i="11" s="1"/>
  <c r="AA36" i="11" s="1"/>
  <c r="X73" i="12"/>
  <c r="Z29" i="13"/>
  <c r="Z30" i="13" s="1"/>
  <c r="AA28" i="13"/>
  <c r="Y31" i="13"/>
  <c r="Y33" i="13" s="1"/>
  <c r="Y64" i="36" s="1"/>
  <c r="Y32" i="13"/>
  <c r="Y73" i="14" s="1"/>
  <c r="Z31" i="15"/>
  <c r="L3" i="12"/>
  <c r="K1" i="52" s="1"/>
  <c r="V95" i="55" l="1"/>
  <c r="BA95" i="55"/>
  <c r="DM95" i="55" s="1"/>
  <c r="W72" i="36"/>
  <c r="CI38" i="58"/>
  <c r="W37" i="58" s="1"/>
  <c r="BC37" i="58" s="1"/>
  <c r="CI37" i="58" s="1"/>
  <c r="Z64" i="45"/>
  <c r="BF64" i="45" s="1"/>
  <c r="Z61" i="45"/>
  <c r="BF61" i="45" s="1"/>
  <c r="BF63" i="45" s="1"/>
  <c r="V96" i="55"/>
  <c r="BA96" i="55"/>
  <c r="DM96" i="55" s="1"/>
  <c r="AA40" i="11"/>
  <c r="AA66" i="45" s="1"/>
  <c r="BG66" i="45" s="1"/>
  <c r="AA39" i="11"/>
  <c r="AA37" i="11"/>
  <c r="AA38" i="11"/>
  <c r="AT21" i="45"/>
  <c r="AT23" i="45" s="1"/>
  <c r="AT24" i="45" s="1"/>
  <c r="P21" i="54"/>
  <c r="P23" i="54"/>
  <c r="P22" i="54"/>
  <c r="P25" i="54"/>
  <c r="N21" i="45"/>
  <c r="N23" i="45" s="1"/>
  <c r="Q24" i="54"/>
  <c r="R8" i="52"/>
  <c r="AF5" i="50"/>
  <c r="T4" i="51"/>
  <c r="T57" i="58" s="1"/>
  <c r="N157" i="54"/>
  <c r="O156" i="54"/>
  <c r="M66" i="54"/>
  <c r="N70" i="54"/>
  <c r="N69" i="54"/>
  <c r="N76" i="54" s="1"/>
  <c r="N77" i="54" s="1"/>
  <c r="O63" i="54"/>
  <c r="N65" i="54"/>
  <c r="N67" i="54"/>
  <c r="N64" i="54"/>
  <c r="N68" i="54"/>
  <c r="O147" i="53"/>
  <c r="N148" i="53"/>
  <c r="O156" i="53"/>
  <c r="N157" i="53"/>
  <c r="M77" i="53"/>
  <c r="N70" i="53"/>
  <c r="N68" i="53"/>
  <c r="N64" i="53"/>
  <c r="N67" i="53"/>
  <c r="N65" i="53"/>
  <c r="N69" i="53"/>
  <c r="N76" i="53" s="1"/>
  <c r="O63" i="53"/>
  <c r="N100" i="53"/>
  <c r="N101" i="53"/>
  <c r="N132" i="53"/>
  <c r="N131" i="53"/>
  <c r="M133" i="53"/>
  <c r="M135" i="53"/>
  <c r="M134" i="53"/>
  <c r="M104" i="53"/>
  <c r="M103" i="53"/>
  <c r="M105" i="53"/>
  <c r="M37" i="46"/>
  <c r="M102" i="53"/>
  <c r="Q22" i="53"/>
  <c r="Q23" i="53"/>
  <c r="R24" i="53"/>
  <c r="Q21" i="53"/>
  <c r="Q25" i="53"/>
  <c r="AE3" i="50"/>
  <c r="S6" i="52" s="1"/>
  <c r="AX4" i="51"/>
  <c r="AX57" i="58" s="1"/>
  <c r="CN57" i="58" s="1"/>
  <c r="CN58" i="58" s="1"/>
  <c r="AT26" i="45"/>
  <c r="AV41" i="45"/>
  <c r="O38" i="48" s="1"/>
  <c r="AU42" i="45"/>
  <c r="M205" i="48"/>
  <c r="U48" i="45"/>
  <c r="L66" i="46"/>
  <c r="M37" i="48"/>
  <c r="N38" i="48"/>
  <c r="AT25" i="45"/>
  <c r="AU43" i="45"/>
  <c r="AV18" i="45"/>
  <c r="AV20" i="45" s="1"/>
  <c r="P22" i="48"/>
  <c r="M143" i="48"/>
  <c r="M144" i="48"/>
  <c r="M145" i="48"/>
  <c r="L97" i="46"/>
  <c r="L96" i="46"/>
  <c r="L101" i="46" s="1"/>
  <c r="L94" i="46"/>
  <c r="L92" i="48"/>
  <c r="L93" i="46"/>
  <c r="L98" i="46" s="1"/>
  <c r="L95" i="46"/>
  <c r="L100" i="46" s="1"/>
  <c r="P25" i="48"/>
  <c r="L92" i="42"/>
  <c r="L89" i="42"/>
  <c r="L93" i="42" s="1"/>
  <c r="L91" i="42"/>
  <c r="L95" i="42" s="1"/>
  <c r="L90" i="42"/>
  <c r="L94" i="42" s="1"/>
  <c r="BA48" i="45"/>
  <c r="BA50" i="45" s="1"/>
  <c r="T39" i="48" s="1"/>
  <c r="M207" i="48"/>
  <c r="M206" i="48"/>
  <c r="M142" i="48"/>
  <c r="P23" i="48"/>
  <c r="K96" i="48"/>
  <c r="K101" i="48" s="1"/>
  <c r="K95" i="48"/>
  <c r="K100" i="48" s="1"/>
  <c r="K93" i="48"/>
  <c r="K98" i="48" s="1"/>
  <c r="K94" i="48"/>
  <c r="K97" i="48"/>
  <c r="Q24" i="48"/>
  <c r="N261" i="48"/>
  <c r="O260" i="48"/>
  <c r="O139" i="48"/>
  <c r="N141" i="48"/>
  <c r="N204" i="48"/>
  <c r="N203" i="48"/>
  <c r="N140" i="48"/>
  <c r="M69" i="46"/>
  <c r="M92" i="46" s="1"/>
  <c r="N63" i="46"/>
  <c r="M64" i="46"/>
  <c r="M68" i="46"/>
  <c r="M65" i="46"/>
  <c r="M70" i="46"/>
  <c r="M67" i="46"/>
  <c r="Q21" i="48"/>
  <c r="L91" i="38"/>
  <c r="L89" i="38"/>
  <c r="L90" i="38"/>
  <c r="M66" i="48"/>
  <c r="O63" i="48"/>
  <c r="N70" i="48"/>
  <c r="N68" i="48"/>
  <c r="N64" i="48"/>
  <c r="N67" i="48"/>
  <c r="N69" i="48"/>
  <c r="N65" i="48"/>
  <c r="O243" i="48"/>
  <c r="N244" i="48"/>
  <c r="S39" i="48"/>
  <c r="AZ52" i="45"/>
  <c r="AZ53" i="45"/>
  <c r="AZ51" i="45"/>
  <c r="AW40" i="45"/>
  <c r="AW39" i="45"/>
  <c r="AU19" i="45"/>
  <c r="AU20" i="45"/>
  <c r="O43" i="45"/>
  <c r="N38" i="46"/>
  <c r="AW17" i="45"/>
  <c r="AW69" i="45" s="1"/>
  <c r="BB47" i="45"/>
  <c r="BB49" i="45"/>
  <c r="BB46" i="45"/>
  <c r="BC45" i="45"/>
  <c r="L37" i="48"/>
  <c r="AS26" i="45"/>
  <c r="AS24" i="45"/>
  <c r="AS25" i="45"/>
  <c r="M142" i="46"/>
  <c r="M143" i="46"/>
  <c r="M145" i="46"/>
  <c r="M144" i="46"/>
  <c r="R21" i="46"/>
  <c r="M205" i="46"/>
  <c r="R24" i="46"/>
  <c r="O260" i="46"/>
  <c r="N261" i="46"/>
  <c r="Q22" i="46"/>
  <c r="M207" i="46"/>
  <c r="M206" i="46"/>
  <c r="O243" i="46"/>
  <c r="N244" i="46"/>
  <c r="Q23" i="46"/>
  <c r="V363" i="46"/>
  <c r="Q25" i="46"/>
  <c r="O139" i="46"/>
  <c r="N204" i="46"/>
  <c r="N203" i="46"/>
  <c r="N140" i="46"/>
  <c r="N141" i="46"/>
  <c r="AR82" i="45"/>
  <c r="O42" i="45"/>
  <c r="O95" i="45"/>
  <c r="O44" i="45"/>
  <c r="AT95" i="45"/>
  <c r="P41" i="45"/>
  <c r="AS82" i="45"/>
  <c r="Q17" i="45"/>
  <c r="Q69" i="45" s="1"/>
  <c r="R16" i="45"/>
  <c r="AX16" i="45" s="1"/>
  <c r="O20" i="45"/>
  <c r="O19" i="45"/>
  <c r="AU95" i="45"/>
  <c r="P18" i="45"/>
  <c r="R38" i="45"/>
  <c r="AX38" i="45" s="1"/>
  <c r="Q40" i="45"/>
  <c r="Q39" i="45"/>
  <c r="N24" i="45"/>
  <c r="N25" i="45"/>
  <c r="N26" i="45"/>
  <c r="N82" i="45"/>
  <c r="U50" i="45"/>
  <c r="T39" i="46" s="1"/>
  <c r="AY88" i="45"/>
  <c r="AY92" i="45"/>
  <c r="T52" i="45"/>
  <c r="T51" i="45"/>
  <c r="T92" i="45" s="1"/>
  <c r="T53" i="45"/>
  <c r="T88" i="45"/>
  <c r="W45" i="45"/>
  <c r="V46" i="45"/>
  <c r="V47" i="45"/>
  <c r="V49" i="45"/>
  <c r="L188" i="42"/>
  <c r="L187" i="42"/>
  <c r="N184" i="42"/>
  <c r="M185" i="42"/>
  <c r="M186" i="42"/>
  <c r="M188" i="42" s="1"/>
  <c r="Z72" i="12"/>
  <c r="Z63" i="36"/>
  <c r="AA72" i="14"/>
  <c r="Y63" i="45"/>
  <c r="BE63" i="36"/>
  <c r="BE68" i="36" s="1"/>
  <c r="BE75" i="36" s="1"/>
  <c r="Y68" i="36"/>
  <c r="Y75" i="36" s="1"/>
  <c r="BE64" i="36"/>
  <c r="Y65" i="36"/>
  <c r="Y66" i="36"/>
  <c r="Y73" i="36" s="1"/>
  <c r="BD66" i="36"/>
  <c r="BD73" i="36" s="1"/>
  <c r="BD65" i="36"/>
  <c r="BC71" i="36"/>
  <c r="BC72" i="36" s="1"/>
  <c r="BC106" i="36"/>
  <c r="X71" i="36"/>
  <c r="X106" i="36"/>
  <c r="M69" i="20"/>
  <c r="Q24" i="29"/>
  <c r="R21" i="29"/>
  <c r="L66" i="42"/>
  <c r="L66" i="38"/>
  <c r="Q21" i="38"/>
  <c r="P22" i="38"/>
  <c r="M187" i="38"/>
  <c r="M132" i="42"/>
  <c r="O129" i="42"/>
  <c r="N130" i="42"/>
  <c r="N131" i="42"/>
  <c r="O234" i="42"/>
  <c r="N235" i="42"/>
  <c r="M64" i="38"/>
  <c r="M67" i="38"/>
  <c r="M70" i="38"/>
  <c r="M68" i="38"/>
  <c r="M69" i="38"/>
  <c r="M88" i="38" s="1"/>
  <c r="M65" i="38"/>
  <c r="N63" i="38"/>
  <c r="M133" i="38"/>
  <c r="M134" i="38"/>
  <c r="M135" i="38"/>
  <c r="O129" i="38"/>
  <c r="N185" i="38"/>
  <c r="N186" i="38"/>
  <c r="N131" i="38"/>
  <c r="N130" i="38"/>
  <c r="P23" i="38"/>
  <c r="M134" i="42"/>
  <c r="M133" i="42"/>
  <c r="M135" i="42"/>
  <c r="M69" i="42"/>
  <c r="M88" i="42" s="1"/>
  <c r="M68" i="42"/>
  <c r="M65" i="42"/>
  <c r="M64" i="42"/>
  <c r="N63" i="42"/>
  <c r="M70" i="42"/>
  <c r="M67" i="42"/>
  <c r="N219" i="42"/>
  <c r="M220" i="42"/>
  <c r="M132" i="38"/>
  <c r="Q24" i="38"/>
  <c r="M189" i="38"/>
  <c r="M188" i="38"/>
  <c r="O219" i="38"/>
  <c r="N220" i="38"/>
  <c r="P25" i="38"/>
  <c r="O234" i="38"/>
  <c r="N235" i="38"/>
  <c r="Q23" i="28"/>
  <c r="R24" i="28"/>
  <c r="N268" i="19"/>
  <c r="O310" i="20"/>
  <c r="N86" i="28"/>
  <c r="N90" i="28"/>
  <c r="N87" i="28"/>
  <c r="N91" i="28"/>
  <c r="N88" i="28"/>
  <c r="O85" i="28"/>
  <c r="N89" i="28"/>
  <c r="M73" i="20"/>
  <c r="M72" i="20"/>
  <c r="M70" i="20"/>
  <c r="M71" i="20"/>
  <c r="N63" i="28"/>
  <c r="N67" i="28"/>
  <c r="O62" i="28"/>
  <c r="N66" i="28"/>
  <c r="N64" i="28"/>
  <c r="M65" i="28"/>
  <c r="S21" i="28"/>
  <c r="O66" i="20"/>
  <c r="N68" i="20"/>
  <c r="N67" i="20"/>
  <c r="N199" i="20"/>
  <c r="O198" i="20"/>
  <c r="R25" i="28"/>
  <c r="N124" i="20"/>
  <c r="N128" i="20"/>
  <c r="N123" i="20"/>
  <c r="N126" i="20"/>
  <c r="O122" i="20"/>
  <c r="N127" i="20"/>
  <c r="N125" i="20"/>
  <c r="Q22" i="28"/>
  <c r="N111" i="28"/>
  <c r="O110" i="28"/>
  <c r="Z50" i="15"/>
  <c r="Z53" i="15" s="1"/>
  <c r="Z137" i="15" s="1"/>
  <c r="Z126" i="15"/>
  <c r="X74" i="12"/>
  <c r="X219" i="12" s="1"/>
  <c r="X230" i="12" s="1"/>
  <c r="X76" i="12"/>
  <c r="X77" i="12"/>
  <c r="X80" i="12"/>
  <c r="X75" i="12"/>
  <c r="X78" i="12"/>
  <c r="X79" i="12"/>
  <c r="M212" i="20"/>
  <c r="Y74" i="14"/>
  <c r="Y219" i="14" s="1"/>
  <c r="Y230" i="14" s="1"/>
  <c r="Y80" i="14"/>
  <c r="Y76" i="14"/>
  <c r="Y75" i="14"/>
  <c r="Y79" i="14"/>
  <c r="Y78" i="14"/>
  <c r="Y77" i="14"/>
  <c r="AA72" i="12"/>
  <c r="AC33" i="11"/>
  <c r="AB34" i="11"/>
  <c r="AB35" i="11" s="1"/>
  <c r="AB36" i="11" s="1"/>
  <c r="AA29" i="13"/>
  <c r="AA30" i="13" s="1"/>
  <c r="AB28" i="13"/>
  <c r="Y73" i="12"/>
  <c r="Z31" i="13"/>
  <c r="Z33" i="13" s="1"/>
  <c r="Z64" i="36" s="1"/>
  <c r="Z32" i="13"/>
  <c r="Z73" i="14" s="1"/>
  <c r="AA31" i="15"/>
  <c r="M3" i="12"/>
  <c r="L1" i="52" s="1"/>
  <c r="X72" i="36" l="1"/>
  <c r="CJ38" i="58"/>
  <c r="X37" i="58" s="1"/>
  <c r="BD37" i="58" s="1"/>
  <c r="CJ37" i="58" s="1"/>
  <c r="AA61" i="45"/>
  <c r="BG61" i="45" s="1"/>
  <c r="BG63" i="45" s="1"/>
  <c r="AA64" i="45"/>
  <c r="BG64" i="45" s="1"/>
  <c r="BB96" i="55"/>
  <c r="DN96" i="55" s="1"/>
  <c r="W96" i="55"/>
  <c r="BB95" i="55"/>
  <c r="DN95" i="55" s="1"/>
  <c r="W95" i="55"/>
  <c r="AB37" i="11"/>
  <c r="AB40" i="11"/>
  <c r="AB66" i="45" s="1"/>
  <c r="BH66" i="45" s="1"/>
  <c r="AB39" i="11"/>
  <c r="AB38" i="11"/>
  <c r="Q21" i="54"/>
  <c r="Q25" i="54"/>
  <c r="R24" i="54"/>
  <c r="Q22" i="54"/>
  <c r="Q23" i="54"/>
  <c r="AV44" i="45"/>
  <c r="S8" i="52"/>
  <c r="AG5" i="50"/>
  <c r="U4" i="51"/>
  <c r="U57" i="58" s="1"/>
  <c r="O68" i="54"/>
  <c r="O67" i="54"/>
  <c r="O65" i="54"/>
  <c r="O64" i="54"/>
  <c r="O69" i="54"/>
  <c r="O76" i="54" s="1"/>
  <c r="O77" i="54" s="1"/>
  <c r="O70" i="54"/>
  <c r="P63" i="54"/>
  <c r="P156" i="54"/>
  <c r="O157" i="54"/>
  <c r="N66" i="54"/>
  <c r="N66" i="53"/>
  <c r="P147" i="53"/>
  <c r="O148" i="53"/>
  <c r="P156" i="53"/>
  <c r="O157" i="53"/>
  <c r="O65" i="53"/>
  <c r="P63" i="53"/>
  <c r="O67" i="53"/>
  <c r="O68" i="53"/>
  <c r="O69" i="53"/>
  <c r="O76" i="53" s="1"/>
  <c r="O70" i="53"/>
  <c r="O64" i="53"/>
  <c r="N77" i="53"/>
  <c r="N133" i="53"/>
  <c r="N135" i="53"/>
  <c r="N134" i="53"/>
  <c r="N104" i="53"/>
  <c r="N103" i="53"/>
  <c r="N105" i="53"/>
  <c r="N102" i="53"/>
  <c r="O100" i="53"/>
  <c r="O132" i="53"/>
  <c r="O101" i="53"/>
  <c r="O131" i="53"/>
  <c r="R25" i="53"/>
  <c r="R23" i="53"/>
  <c r="R21" i="53"/>
  <c r="R22" i="53"/>
  <c r="S24" i="53"/>
  <c r="AY4" i="51"/>
  <c r="AY57" i="58" s="1"/>
  <c r="CO57" i="58" s="1"/>
  <c r="CO58" i="58" s="1"/>
  <c r="AF3" i="50"/>
  <c r="T6" i="52" s="1"/>
  <c r="AV42" i="45"/>
  <c r="M189" i="42"/>
  <c r="AV43" i="45"/>
  <c r="AV19" i="45"/>
  <c r="V48" i="45"/>
  <c r="BA51" i="45"/>
  <c r="N142" i="48"/>
  <c r="AW41" i="45"/>
  <c r="AW43" i="45" s="1"/>
  <c r="M66" i="46"/>
  <c r="R21" i="48"/>
  <c r="P139" i="48"/>
  <c r="O203" i="48"/>
  <c r="O141" i="48"/>
  <c r="O204" i="48"/>
  <c r="O140" i="48"/>
  <c r="L93" i="48"/>
  <c r="L98" i="48" s="1"/>
  <c r="L97" i="48"/>
  <c r="L94" i="48"/>
  <c r="L96" i="48"/>
  <c r="L101" i="48" s="1"/>
  <c r="L95" i="48"/>
  <c r="L100" i="48" s="1"/>
  <c r="BA52" i="45"/>
  <c r="N205" i="48"/>
  <c r="P260" i="48"/>
  <c r="O261" i="48"/>
  <c r="R24" i="48"/>
  <c r="Q25" i="48"/>
  <c r="Q22" i="48"/>
  <c r="V50" i="45"/>
  <c r="U39" i="46" s="1"/>
  <c r="BA53" i="45"/>
  <c r="O67" i="48"/>
  <c r="O70" i="48"/>
  <c r="O68" i="48"/>
  <c r="P63" i="48"/>
  <c r="O64" i="48"/>
  <c r="O65" i="48"/>
  <c r="O69" i="48"/>
  <c r="O63" i="46"/>
  <c r="N65" i="46"/>
  <c r="N68" i="46"/>
  <c r="N67" i="46"/>
  <c r="N64" i="46"/>
  <c r="N69" i="46"/>
  <c r="N92" i="46" s="1"/>
  <c r="N70" i="46"/>
  <c r="N206" i="48"/>
  <c r="N207" i="48"/>
  <c r="M92" i="42"/>
  <c r="M90" i="42"/>
  <c r="M94" i="42" s="1"/>
  <c r="M91" i="42"/>
  <c r="M95" i="42" s="1"/>
  <c r="M89" i="42"/>
  <c r="M93" i="42" s="1"/>
  <c r="M90" i="38"/>
  <c r="M89" i="38"/>
  <c r="M91" i="38"/>
  <c r="O244" i="48"/>
  <c r="P243" i="48"/>
  <c r="N66" i="48"/>
  <c r="M97" i="46"/>
  <c r="M94" i="46"/>
  <c r="M92" i="48"/>
  <c r="M95" i="46"/>
  <c r="M100" i="46" s="1"/>
  <c r="M96" i="46"/>
  <c r="M101" i="46" s="1"/>
  <c r="M93" i="46"/>
  <c r="M98" i="46" s="1"/>
  <c r="N145" i="48"/>
  <c r="N143" i="48"/>
  <c r="N144" i="48"/>
  <c r="Q23" i="48"/>
  <c r="P42" i="45"/>
  <c r="O38" i="46"/>
  <c r="BC49" i="45"/>
  <c r="BC46" i="45"/>
  <c r="BC47" i="45"/>
  <c r="BD45" i="45"/>
  <c r="AW18" i="45"/>
  <c r="AU21" i="45"/>
  <c r="AX17" i="45"/>
  <c r="AX69" i="45" s="1"/>
  <c r="BB48" i="45"/>
  <c r="BB50" i="45" s="1"/>
  <c r="AX40" i="45"/>
  <c r="AX39" i="45"/>
  <c r="N207" i="46"/>
  <c r="N206" i="46"/>
  <c r="R23" i="46"/>
  <c r="N145" i="46"/>
  <c r="N144" i="46"/>
  <c r="N143" i="46"/>
  <c r="P139" i="46"/>
  <c r="O204" i="46"/>
  <c r="O140" i="46"/>
  <c r="O203" i="46"/>
  <c r="O141" i="46"/>
  <c r="R22" i="46"/>
  <c r="S24" i="46"/>
  <c r="N142" i="46"/>
  <c r="W363" i="46"/>
  <c r="X363" i="46" s="1"/>
  <c r="N205" i="46"/>
  <c r="R25" i="46"/>
  <c r="P243" i="46"/>
  <c r="O244" i="46"/>
  <c r="P260" i="46"/>
  <c r="O261" i="46"/>
  <c r="S21" i="46"/>
  <c r="P95" i="45"/>
  <c r="P43" i="45"/>
  <c r="Q41" i="45"/>
  <c r="O21" i="45"/>
  <c r="O23" i="45" s="1"/>
  <c r="P44" i="45"/>
  <c r="Q18" i="45"/>
  <c r="Q20" i="45" s="1"/>
  <c r="R39" i="45"/>
  <c r="S38" i="45"/>
  <c r="AY38" i="45" s="1"/>
  <c r="R40" i="45"/>
  <c r="P19" i="45"/>
  <c r="P20" i="45"/>
  <c r="S16" i="45"/>
  <c r="AY16" i="45" s="1"/>
  <c r="R17" i="45"/>
  <c r="R69" i="45" s="1"/>
  <c r="X45" i="45"/>
  <c r="W46" i="45"/>
  <c r="W47" i="45"/>
  <c r="W49" i="45"/>
  <c r="U51" i="45"/>
  <c r="U92" i="45" s="1"/>
  <c r="U53" i="45"/>
  <c r="U52" i="45"/>
  <c r="U88" i="45"/>
  <c r="AZ92" i="45"/>
  <c r="AZ88" i="45"/>
  <c r="M187" i="42"/>
  <c r="O184" i="42"/>
  <c r="N185" i="42"/>
  <c r="N186" i="42"/>
  <c r="N188" i="42" s="1"/>
  <c r="Z63" i="45"/>
  <c r="AB72" i="14"/>
  <c r="BF63" i="36"/>
  <c r="BF68" i="36" s="1"/>
  <c r="BF75" i="36" s="1"/>
  <c r="Z68" i="36"/>
  <c r="Z75" i="36" s="1"/>
  <c r="AA63" i="36"/>
  <c r="Y71" i="36"/>
  <c r="Y106" i="36"/>
  <c r="BF64" i="36"/>
  <c r="Z66" i="36"/>
  <c r="Z73" i="36" s="1"/>
  <c r="Z65" i="36"/>
  <c r="BD71" i="36"/>
  <c r="BD72" i="36" s="1"/>
  <c r="BD106" i="36"/>
  <c r="BE65" i="36"/>
  <c r="BE66" i="36"/>
  <c r="BE73" i="36" s="1"/>
  <c r="N69" i="20"/>
  <c r="S21" i="29"/>
  <c r="R24" i="29"/>
  <c r="N132" i="42"/>
  <c r="N189" i="38"/>
  <c r="N188" i="38"/>
  <c r="M66" i="38"/>
  <c r="Q25" i="38"/>
  <c r="O63" i="42"/>
  <c r="N65" i="42"/>
  <c r="N67" i="42"/>
  <c r="N64" i="42"/>
  <c r="N70" i="42"/>
  <c r="N68" i="42"/>
  <c r="N69" i="42"/>
  <c r="N88" i="42" s="1"/>
  <c r="N187" i="38"/>
  <c r="Q22" i="38"/>
  <c r="R21" i="38"/>
  <c r="P234" i="38"/>
  <c r="O235" i="38"/>
  <c r="R24" i="38"/>
  <c r="O219" i="42"/>
  <c r="N220" i="42"/>
  <c r="M66" i="42"/>
  <c r="Q23" i="38"/>
  <c r="N132" i="38"/>
  <c r="P129" i="38"/>
  <c r="O185" i="38"/>
  <c r="O186" i="38"/>
  <c r="O131" i="38"/>
  <c r="O130" i="38"/>
  <c r="N70" i="38"/>
  <c r="N67" i="38"/>
  <c r="N68" i="38"/>
  <c r="O63" i="38"/>
  <c r="N69" i="38"/>
  <c r="N88" i="38" s="1"/>
  <c r="N65" i="38"/>
  <c r="N64" i="38"/>
  <c r="P234" i="42"/>
  <c r="O235" i="42"/>
  <c r="N134" i="42"/>
  <c r="N133" i="42"/>
  <c r="N135" i="42"/>
  <c r="P129" i="42"/>
  <c r="O130" i="42"/>
  <c r="O131" i="42"/>
  <c r="P219" i="38"/>
  <c r="O220" i="38"/>
  <c r="N134" i="38"/>
  <c r="N135" i="38"/>
  <c r="N133" i="38"/>
  <c r="P310" i="20"/>
  <c r="O268" i="19"/>
  <c r="P198" i="20"/>
  <c r="O199" i="20"/>
  <c r="N65" i="28"/>
  <c r="O86" i="28"/>
  <c r="O91" i="28"/>
  <c r="O88" i="28"/>
  <c r="O89" i="28"/>
  <c r="O87" i="28"/>
  <c r="O90" i="28"/>
  <c r="P85" i="28"/>
  <c r="S24" i="28"/>
  <c r="O111" i="28"/>
  <c r="P110" i="28"/>
  <c r="O125" i="20"/>
  <c r="O128" i="20"/>
  <c r="O124" i="20"/>
  <c r="P122" i="20"/>
  <c r="O123" i="20"/>
  <c r="O127" i="20"/>
  <c r="O126" i="20"/>
  <c r="S25" i="28"/>
  <c r="N72" i="20"/>
  <c r="N73" i="20"/>
  <c r="N71" i="20"/>
  <c r="N70" i="20"/>
  <c r="R22" i="28"/>
  <c r="O67" i="20"/>
  <c r="P66" i="20"/>
  <c r="O68" i="20"/>
  <c r="T21" i="28"/>
  <c r="O64" i="28"/>
  <c r="O66" i="28"/>
  <c r="P62" i="28"/>
  <c r="O67" i="28"/>
  <c r="O63" i="28"/>
  <c r="R23" i="28"/>
  <c r="AA50" i="15"/>
  <c r="AA53" i="15" s="1"/>
  <c r="AA137" i="15" s="1"/>
  <c r="AA126" i="15"/>
  <c r="Y74" i="12"/>
  <c r="Y219" i="12" s="1"/>
  <c r="Y230" i="12" s="1"/>
  <c r="Y76" i="12"/>
  <c r="Y77" i="12"/>
  <c r="Y78" i="12"/>
  <c r="Y79" i="12"/>
  <c r="Y75" i="12"/>
  <c r="Y80" i="12"/>
  <c r="N212" i="20"/>
  <c r="Z74" i="14"/>
  <c r="Z219" i="14" s="1"/>
  <c r="Z230" i="14" s="1"/>
  <c r="Z77" i="14"/>
  <c r="Z78" i="14"/>
  <c r="Z75" i="14"/>
  <c r="Z80" i="14"/>
  <c r="Z79" i="14"/>
  <c r="Z76" i="14"/>
  <c r="AB72" i="12"/>
  <c r="AD33" i="11"/>
  <c r="AC34" i="11"/>
  <c r="AC35" i="11" s="1"/>
  <c r="AC36" i="11" s="1"/>
  <c r="Z73" i="12"/>
  <c r="AB29" i="13"/>
  <c r="AB30" i="13" s="1"/>
  <c r="AC28" i="13"/>
  <c r="AA31" i="13"/>
  <c r="AA33" i="13" s="1"/>
  <c r="AA64" i="36" s="1"/>
  <c r="AA32" i="13"/>
  <c r="AA73" i="14" s="1"/>
  <c r="AB31" i="15"/>
  <c r="N3" i="12"/>
  <c r="M1" i="52" s="1"/>
  <c r="AW44" i="45" l="1"/>
  <c r="AW42" i="45"/>
  <c r="O66" i="54"/>
  <c r="X95" i="55"/>
  <c r="BC95" i="55"/>
  <c r="DO95" i="55" s="1"/>
  <c r="AB61" i="45"/>
  <c r="BH61" i="45" s="1"/>
  <c r="BH63" i="45" s="1"/>
  <c r="AB64" i="45"/>
  <c r="BH64" i="45" s="1"/>
  <c r="AC37" i="11"/>
  <c r="AC40" i="11"/>
  <c r="AC66" i="45" s="1"/>
  <c r="BI66" i="45" s="1"/>
  <c r="AC39" i="11"/>
  <c r="AC38" i="11"/>
  <c r="Y72" i="36"/>
  <c r="CK38" i="58"/>
  <c r="Y37" i="58" s="1"/>
  <c r="BE37" i="58" s="1"/>
  <c r="CK37" i="58" s="1"/>
  <c r="X96" i="55"/>
  <c r="BC96" i="55"/>
  <c r="DO96" i="55" s="1"/>
  <c r="AV21" i="45"/>
  <c r="AV23" i="45" s="1"/>
  <c r="R22" i="54"/>
  <c r="R23" i="54"/>
  <c r="R21" i="54"/>
  <c r="R25" i="54"/>
  <c r="S24" i="54"/>
  <c r="AH5" i="50"/>
  <c r="V4" i="51"/>
  <c r="V57" i="58" s="1"/>
  <c r="T8" i="52"/>
  <c r="Q156" i="54"/>
  <c r="P157" i="54"/>
  <c r="P68" i="54"/>
  <c r="P69" i="54"/>
  <c r="P76" i="54" s="1"/>
  <c r="P77" i="54" s="1"/>
  <c r="P67" i="54"/>
  <c r="P64" i="54"/>
  <c r="P65" i="54"/>
  <c r="P70" i="54"/>
  <c r="Q63" i="54"/>
  <c r="O66" i="53"/>
  <c r="Q147" i="53"/>
  <c r="P148" i="53"/>
  <c r="Q156" i="53"/>
  <c r="P157" i="53"/>
  <c r="O77" i="53"/>
  <c r="Q63" i="53"/>
  <c r="P67" i="53"/>
  <c r="P64" i="53"/>
  <c r="P69" i="53"/>
  <c r="P76" i="53" s="1"/>
  <c r="P65" i="53"/>
  <c r="P68" i="53"/>
  <c r="P70" i="53"/>
  <c r="O135" i="53"/>
  <c r="O134" i="53"/>
  <c r="O102" i="53"/>
  <c r="P100" i="53"/>
  <c r="P101" i="53"/>
  <c r="P132" i="53"/>
  <c r="P131" i="53"/>
  <c r="P38" i="46"/>
  <c r="O133" i="53"/>
  <c r="O104" i="53"/>
  <c r="O105" i="53"/>
  <c r="O103" i="53"/>
  <c r="S23" i="53"/>
  <c r="S22" i="53"/>
  <c r="T24" i="53"/>
  <c r="S25" i="53"/>
  <c r="S21" i="53"/>
  <c r="V51" i="45"/>
  <c r="V92" i="45" s="1"/>
  <c r="AZ4" i="51"/>
  <c r="AZ57" i="58" s="1"/>
  <c r="CP57" i="58" s="1"/>
  <c r="CP58" i="58" s="1"/>
  <c r="AG3" i="50"/>
  <c r="U6" i="52" s="1"/>
  <c r="P38" i="48"/>
  <c r="AX41" i="45"/>
  <c r="AX43" i="45" s="1"/>
  <c r="V52" i="45"/>
  <c r="V88" i="45"/>
  <c r="V53" i="45"/>
  <c r="Q42" i="45"/>
  <c r="Q95" i="45"/>
  <c r="Q43" i="45"/>
  <c r="N66" i="46"/>
  <c r="AX18" i="45"/>
  <c r="AX19" i="45" s="1"/>
  <c r="Q44" i="45"/>
  <c r="O205" i="48"/>
  <c r="N89" i="38"/>
  <c r="N91" i="38"/>
  <c r="N90" i="38"/>
  <c r="Q243" i="48"/>
  <c r="P244" i="48"/>
  <c r="R22" i="48"/>
  <c r="M97" i="48"/>
  <c r="M95" i="48"/>
  <c r="M100" i="48" s="1"/>
  <c r="M93" i="48"/>
  <c r="M98" i="48" s="1"/>
  <c r="M96" i="48"/>
  <c r="M101" i="48" s="1"/>
  <c r="M94" i="48"/>
  <c r="O69" i="46"/>
  <c r="O92" i="46" s="1"/>
  <c r="P63" i="46"/>
  <c r="O64" i="46"/>
  <c r="O65" i="46"/>
  <c r="O68" i="46"/>
  <c r="O70" i="46"/>
  <c r="O67" i="46"/>
  <c r="S21" i="48"/>
  <c r="Q19" i="45"/>
  <c r="R23" i="48"/>
  <c r="O142" i="48"/>
  <c r="P140" i="48"/>
  <c r="Q139" i="48"/>
  <c r="P203" i="48"/>
  <c r="P141" i="48"/>
  <c r="P204" i="48"/>
  <c r="P65" i="48"/>
  <c r="P67" i="48"/>
  <c r="P68" i="48"/>
  <c r="P64" i="48"/>
  <c r="Q63" i="48"/>
  <c r="P69" i="48"/>
  <c r="P70" i="48"/>
  <c r="O143" i="48"/>
  <c r="O145" i="48"/>
  <c r="O144" i="48"/>
  <c r="N92" i="42"/>
  <c r="N91" i="42"/>
  <c r="N95" i="42" s="1"/>
  <c r="N89" i="42"/>
  <c r="N93" i="42" s="1"/>
  <c r="N90" i="42"/>
  <c r="N94" i="42" s="1"/>
  <c r="N92" i="48"/>
  <c r="N96" i="46"/>
  <c r="N101" i="46" s="1"/>
  <c r="N95" i="46"/>
  <c r="N100" i="46" s="1"/>
  <c r="N97" i="46"/>
  <c r="N93" i="46"/>
  <c r="N98" i="46" s="1"/>
  <c r="N94" i="46"/>
  <c r="O66" i="48"/>
  <c r="R25" i="48"/>
  <c r="S24" i="48"/>
  <c r="Q260" i="48"/>
  <c r="P261" i="48"/>
  <c r="O207" i="48"/>
  <c r="O206" i="48"/>
  <c r="AY17" i="45"/>
  <c r="AY69" i="45" s="1"/>
  <c r="AY39" i="45"/>
  <c r="AY40" i="45"/>
  <c r="AU23" i="45"/>
  <c r="BC48" i="45"/>
  <c r="BC50" i="45" s="1"/>
  <c r="AX20" i="45"/>
  <c r="BD46" i="45"/>
  <c r="BD47" i="45"/>
  <c r="BD49" i="45"/>
  <c r="BE45" i="45"/>
  <c r="O26" i="45"/>
  <c r="N37" i="46"/>
  <c r="AV24" i="45"/>
  <c r="O37" i="48"/>
  <c r="AV25" i="45"/>
  <c r="AV26" i="45"/>
  <c r="BB52" i="45"/>
  <c r="U39" i="48"/>
  <c r="BB53" i="45"/>
  <c r="BB51" i="45"/>
  <c r="AW19" i="45"/>
  <c r="AW20" i="45"/>
  <c r="O205" i="46"/>
  <c r="O65" i="28"/>
  <c r="T21" i="46"/>
  <c r="S25" i="46"/>
  <c r="O142" i="46"/>
  <c r="Y363" i="46"/>
  <c r="T24" i="46"/>
  <c r="S22" i="46"/>
  <c r="O207" i="46"/>
  <c r="O206" i="46"/>
  <c r="S23" i="46"/>
  <c r="Q260" i="46"/>
  <c r="P261" i="46"/>
  <c r="Q243" i="46"/>
  <c r="P244" i="46"/>
  <c r="O144" i="46"/>
  <c r="O143" i="46"/>
  <c r="O145" i="46"/>
  <c r="Q139" i="46"/>
  <c r="P204" i="46"/>
  <c r="P141" i="46"/>
  <c r="P140" i="46"/>
  <c r="P203" i="46"/>
  <c r="AV95" i="45"/>
  <c r="O24" i="45"/>
  <c r="O25" i="45"/>
  <c r="O82" i="45"/>
  <c r="R41" i="45"/>
  <c r="R18" i="45"/>
  <c r="R20" i="45" s="1"/>
  <c r="T16" i="45"/>
  <c r="AZ16" i="45" s="1"/>
  <c r="S17" i="45"/>
  <c r="S69" i="45" s="1"/>
  <c r="P21" i="45"/>
  <c r="P23" i="45" s="1"/>
  <c r="T38" i="45"/>
  <c r="AZ38" i="45" s="1"/>
  <c r="S40" i="45"/>
  <c r="S39" i="45"/>
  <c r="AT82" i="45"/>
  <c r="BA88" i="45"/>
  <c r="BA92" i="45"/>
  <c r="W48" i="45"/>
  <c r="W50" i="45" s="1"/>
  <c r="V39" i="46" s="1"/>
  <c r="Y45" i="45"/>
  <c r="X46" i="45"/>
  <c r="X47" i="45"/>
  <c r="X49" i="45"/>
  <c r="N187" i="42"/>
  <c r="N189" i="42"/>
  <c r="P184" i="42"/>
  <c r="O186" i="42"/>
  <c r="O189" i="42" s="1"/>
  <c r="O185" i="42"/>
  <c r="AC72" i="14"/>
  <c r="AA63" i="45"/>
  <c r="AB63" i="36"/>
  <c r="BG63" i="36"/>
  <c r="BG68" i="36" s="1"/>
  <c r="BG75" i="36" s="1"/>
  <c r="AA68" i="36"/>
  <c r="AA75" i="36" s="1"/>
  <c r="BE71" i="36"/>
  <c r="BE72" i="36" s="1"/>
  <c r="BE106" i="36"/>
  <c r="BG64" i="36"/>
  <c r="AA65" i="36"/>
  <c r="AA66" i="36"/>
  <c r="AA73" i="36" s="1"/>
  <c r="BF66" i="36"/>
  <c r="BF73" i="36" s="1"/>
  <c r="BF65" i="36"/>
  <c r="Z71" i="36"/>
  <c r="Z106" i="36"/>
  <c r="S24" i="29"/>
  <c r="T21" i="29"/>
  <c r="O133" i="38"/>
  <c r="O135" i="38"/>
  <c r="O134" i="38"/>
  <c r="S24" i="38"/>
  <c r="O189" i="38"/>
  <c r="O188" i="38"/>
  <c r="Q234" i="38"/>
  <c r="P235" i="38"/>
  <c r="S21" i="38"/>
  <c r="N66" i="42"/>
  <c r="R25" i="38"/>
  <c r="O134" i="42"/>
  <c r="O133" i="42"/>
  <c r="O135" i="42"/>
  <c r="R23" i="38"/>
  <c r="Q219" i="38"/>
  <c r="P220" i="38"/>
  <c r="Q129" i="42"/>
  <c r="P131" i="42"/>
  <c r="P130" i="42"/>
  <c r="O187" i="38"/>
  <c r="O132" i="42"/>
  <c r="Q234" i="42"/>
  <c r="P235" i="42"/>
  <c r="O69" i="38"/>
  <c r="O88" i="38" s="1"/>
  <c r="O65" i="38"/>
  <c r="P63" i="38"/>
  <c r="O64" i="38"/>
  <c r="O68" i="38"/>
  <c r="O70" i="38"/>
  <c r="O67" i="38"/>
  <c r="O132" i="38"/>
  <c r="Q129" i="38"/>
  <c r="P185" i="38"/>
  <c r="P186" i="38"/>
  <c r="P130" i="38"/>
  <c r="P131" i="38"/>
  <c r="P219" i="42"/>
  <c r="O220" i="42"/>
  <c r="R22" i="38"/>
  <c r="N66" i="38"/>
  <c r="O68" i="42"/>
  <c r="O65" i="42"/>
  <c r="O69" i="42"/>
  <c r="O88" i="42" s="1"/>
  <c r="O64" i="42"/>
  <c r="P63" i="42"/>
  <c r="O70" i="42"/>
  <c r="O67" i="42"/>
  <c r="P63" i="28"/>
  <c r="Q62" i="28"/>
  <c r="P66" i="28"/>
  <c r="P64" i="28"/>
  <c r="P67" i="28"/>
  <c r="U21" i="28"/>
  <c r="T25" i="28"/>
  <c r="P123" i="20"/>
  <c r="Q122" i="20"/>
  <c r="P128" i="20"/>
  <c r="P124" i="20"/>
  <c r="P127" i="20"/>
  <c r="P125" i="20"/>
  <c r="P126" i="20"/>
  <c r="O70" i="20"/>
  <c r="O71" i="20"/>
  <c r="O73" i="20"/>
  <c r="O72" i="20"/>
  <c r="T24" i="28"/>
  <c r="P268" i="19"/>
  <c r="Q310" i="20"/>
  <c r="P67" i="20"/>
  <c r="P68" i="20"/>
  <c r="Q66" i="20"/>
  <c r="Q110" i="28"/>
  <c r="P111" i="28"/>
  <c r="P88" i="28"/>
  <c r="P90" i="28"/>
  <c r="P87" i="28"/>
  <c r="P86" i="28"/>
  <c r="P89" i="28"/>
  <c r="Q85" i="28"/>
  <c r="P91" i="28"/>
  <c r="S23" i="28"/>
  <c r="O69" i="20"/>
  <c r="S22" i="28"/>
  <c r="P199" i="20"/>
  <c r="Q198" i="20"/>
  <c r="AB50" i="15"/>
  <c r="AB53" i="15" s="1"/>
  <c r="AB137" i="15" s="1"/>
  <c r="AB126" i="15"/>
  <c r="Z74" i="12"/>
  <c r="Z219" i="12" s="1"/>
  <c r="Z230" i="12" s="1"/>
  <c r="Z75" i="12"/>
  <c r="Z78" i="12"/>
  <c r="Z80" i="12"/>
  <c r="Z79" i="12"/>
  <c r="Z76" i="12"/>
  <c r="Z77" i="12"/>
  <c r="O212" i="20"/>
  <c r="AA74" i="14"/>
  <c r="AA219" i="14" s="1"/>
  <c r="AA230" i="14" s="1"/>
  <c r="AA80" i="14"/>
  <c r="AA76" i="14"/>
  <c r="AA78" i="14"/>
  <c r="AA75" i="14"/>
  <c r="AA77" i="14"/>
  <c r="AA79" i="14"/>
  <c r="AC72" i="12"/>
  <c r="AE33" i="11"/>
  <c r="AD34" i="11"/>
  <c r="AD35" i="11" s="1"/>
  <c r="AD36" i="11" s="1"/>
  <c r="AC29" i="13"/>
  <c r="AC30" i="13" s="1"/>
  <c r="AD28" i="13"/>
  <c r="AB31" i="13"/>
  <c r="AB33" i="13" s="1"/>
  <c r="AB64" i="36" s="1"/>
  <c r="AB32" i="13"/>
  <c r="AB73" i="14" s="1"/>
  <c r="AA73" i="12"/>
  <c r="AC31" i="15"/>
  <c r="O3" i="12"/>
  <c r="N1" i="52" s="1"/>
  <c r="Z72" i="36" l="1"/>
  <c r="CL38" i="58"/>
  <c r="Z37" i="58" s="1"/>
  <c r="BF37" i="58" s="1"/>
  <c r="CL37" i="58" s="1"/>
  <c r="Y96" i="55"/>
  <c r="BD96" i="55"/>
  <c r="DP96" i="55" s="1"/>
  <c r="Y95" i="55"/>
  <c r="BD95" i="55"/>
  <c r="DP95" i="55" s="1"/>
  <c r="AC61" i="45"/>
  <c r="BI61" i="45" s="1"/>
  <c r="BI63" i="45" s="1"/>
  <c r="AC64" i="45"/>
  <c r="BI64" i="45" s="1"/>
  <c r="AD40" i="11"/>
  <c r="AD66" i="45" s="1"/>
  <c r="BJ66" i="45" s="1"/>
  <c r="AD37" i="11"/>
  <c r="AD39" i="11"/>
  <c r="AD38" i="11"/>
  <c r="T24" i="54"/>
  <c r="S25" i="54"/>
  <c r="S22" i="54"/>
  <c r="Q21" i="45"/>
  <c r="Q23" i="45" s="1"/>
  <c r="Q82" i="45" s="1"/>
  <c r="S21" i="54"/>
  <c r="S23" i="54"/>
  <c r="U8" i="52"/>
  <c r="AI5" i="50"/>
  <c r="W4" i="51"/>
  <c r="W57" i="58" s="1"/>
  <c r="P66" i="54"/>
  <c r="Q67" i="54"/>
  <c r="Q70" i="54"/>
  <c r="Q68" i="54"/>
  <c r="Q65" i="54"/>
  <c r="Q64" i="54"/>
  <c r="R63" i="54"/>
  <c r="Q69" i="54"/>
  <c r="Q76" i="54" s="1"/>
  <c r="Q77" i="54" s="1"/>
  <c r="R156" i="54"/>
  <c r="Q157" i="54"/>
  <c r="R147" i="53"/>
  <c r="Q148" i="53"/>
  <c r="R156" i="53"/>
  <c r="Q157" i="53"/>
  <c r="P77" i="53"/>
  <c r="P66" i="53"/>
  <c r="Q68" i="53"/>
  <c r="Q69" i="53"/>
  <c r="Q76" i="53" s="1"/>
  <c r="Q67" i="53"/>
  <c r="Q64" i="53"/>
  <c r="Q70" i="53"/>
  <c r="R63" i="53"/>
  <c r="Q65" i="53"/>
  <c r="P102" i="53"/>
  <c r="O37" i="46"/>
  <c r="Q100" i="53"/>
  <c r="Q101" i="53"/>
  <c r="Q132" i="53"/>
  <c r="Q131" i="53"/>
  <c r="P133" i="53"/>
  <c r="P135" i="53"/>
  <c r="P134" i="53"/>
  <c r="P104" i="53"/>
  <c r="P105" i="53"/>
  <c r="P103" i="53"/>
  <c r="U24" i="53"/>
  <c r="T23" i="53"/>
  <c r="T21" i="53"/>
  <c r="T22" i="53"/>
  <c r="T25" i="53"/>
  <c r="Q38" i="48"/>
  <c r="BA4" i="51"/>
  <c r="BA57" i="58" s="1"/>
  <c r="CQ57" i="58" s="1"/>
  <c r="CQ58" i="58" s="1"/>
  <c r="AH3" i="50"/>
  <c r="V6" i="52" s="1"/>
  <c r="AX44" i="45"/>
  <c r="AY41" i="45"/>
  <c r="AY44" i="45" s="1"/>
  <c r="AX42" i="45"/>
  <c r="P142" i="48"/>
  <c r="O66" i="46"/>
  <c r="S23" i="48"/>
  <c r="O90" i="38"/>
  <c r="O91" i="38"/>
  <c r="O89" i="38"/>
  <c r="AW21" i="45"/>
  <c r="AW23" i="45" s="1"/>
  <c r="AW24" i="45" s="1"/>
  <c r="T24" i="48"/>
  <c r="P145" i="48"/>
  <c r="P143" i="48"/>
  <c r="P144" i="48"/>
  <c r="P68" i="46"/>
  <c r="P64" i="46"/>
  <c r="Q63" i="46"/>
  <c r="P70" i="46"/>
  <c r="P67" i="46"/>
  <c r="P69" i="46"/>
  <c r="P92" i="46" s="1"/>
  <c r="P65" i="46"/>
  <c r="N96" i="48"/>
  <c r="N101" i="48" s="1"/>
  <c r="N93" i="48"/>
  <c r="N98" i="48" s="1"/>
  <c r="N95" i="48"/>
  <c r="N100" i="48" s="1"/>
  <c r="N97" i="48"/>
  <c r="N94" i="48"/>
  <c r="Q69" i="48"/>
  <c r="Q65" i="48"/>
  <c r="R63" i="48"/>
  <c r="Q64" i="48"/>
  <c r="Q70" i="48"/>
  <c r="Q67" i="48"/>
  <c r="Q68" i="48"/>
  <c r="P205" i="48"/>
  <c r="O96" i="46"/>
  <c r="O101" i="46" s="1"/>
  <c r="O94" i="46"/>
  <c r="O93" i="46"/>
  <c r="O98" i="46" s="1"/>
  <c r="O97" i="46"/>
  <c r="O95" i="46"/>
  <c r="O100" i="46" s="1"/>
  <c r="O92" i="48"/>
  <c r="S22" i="48"/>
  <c r="P207" i="48"/>
  <c r="P206" i="48"/>
  <c r="R243" i="48"/>
  <c r="Q244" i="48"/>
  <c r="O92" i="42"/>
  <c r="O89" i="42"/>
  <c r="O93" i="42" s="1"/>
  <c r="O90" i="42"/>
  <c r="O94" i="42" s="1"/>
  <c r="O91" i="42"/>
  <c r="AY18" i="45"/>
  <c r="AY20" i="45" s="1"/>
  <c r="Q261" i="48"/>
  <c r="R260" i="48"/>
  <c r="S25" i="48"/>
  <c r="P66" i="48"/>
  <c r="Q140" i="48"/>
  <c r="Q204" i="48"/>
  <c r="Q203" i="48"/>
  <c r="R139" i="48"/>
  <c r="Q141" i="48"/>
  <c r="T21" i="48"/>
  <c r="AZ17" i="45"/>
  <c r="AZ69" i="45" s="1"/>
  <c r="R44" i="45"/>
  <c r="Q38" i="46"/>
  <c r="BD48" i="45"/>
  <c r="BD50" i="45" s="1"/>
  <c r="N37" i="48"/>
  <c r="AU25" i="45"/>
  <c r="AU26" i="45"/>
  <c r="AU24" i="45"/>
  <c r="AX21" i="45"/>
  <c r="AY42" i="45"/>
  <c r="AY43" i="45"/>
  <c r="AZ39" i="45"/>
  <c r="AZ40" i="45"/>
  <c r="AU82" i="45"/>
  <c r="BE46" i="45"/>
  <c r="BE47" i="45"/>
  <c r="BE49" i="45"/>
  <c r="BF45" i="45"/>
  <c r="V39" i="48"/>
  <c r="BC53" i="45"/>
  <c r="BC51" i="45"/>
  <c r="BC52" i="45"/>
  <c r="P142" i="46"/>
  <c r="P145" i="46"/>
  <c r="P144" i="46"/>
  <c r="P143" i="46"/>
  <c r="R260" i="46"/>
  <c r="Q261" i="46"/>
  <c r="U24" i="46"/>
  <c r="T25" i="46"/>
  <c r="P207" i="46"/>
  <c r="P206" i="46"/>
  <c r="P205" i="46"/>
  <c r="R139" i="46"/>
  <c r="Q204" i="46"/>
  <c r="Q203" i="46"/>
  <c r="Q140" i="46"/>
  <c r="Q141" i="46"/>
  <c r="R243" i="46"/>
  <c r="Q244" i="46"/>
  <c r="T23" i="46"/>
  <c r="T22" i="46"/>
  <c r="Z363" i="46"/>
  <c r="U21" i="46"/>
  <c r="R95" i="45"/>
  <c r="R19" i="45"/>
  <c r="R42" i="45"/>
  <c r="AW95" i="45"/>
  <c r="R43" i="45"/>
  <c r="S41" i="45"/>
  <c r="T40" i="45"/>
  <c r="U38" i="45"/>
  <c r="BA38" i="45" s="1"/>
  <c r="T39" i="45"/>
  <c r="P25" i="45"/>
  <c r="P82" i="45"/>
  <c r="P24" i="45"/>
  <c r="P26" i="45"/>
  <c r="S18" i="45"/>
  <c r="AV82" i="45"/>
  <c r="AX95" i="45"/>
  <c r="T17" i="45"/>
  <c r="T69" i="45" s="1"/>
  <c r="U16" i="45"/>
  <c r="BA16" i="45" s="1"/>
  <c r="BC92" i="45"/>
  <c r="BC88" i="45"/>
  <c r="BB88" i="45"/>
  <c r="BB92" i="45"/>
  <c r="W52" i="45"/>
  <c r="W51" i="45"/>
  <c r="W92" i="45" s="1"/>
  <c r="W53" i="45"/>
  <c r="W88" i="45"/>
  <c r="X48" i="45"/>
  <c r="X50" i="45" s="1"/>
  <c r="W39" i="46" s="1"/>
  <c r="Z45" i="45"/>
  <c r="Y46" i="45"/>
  <c r="Y47" i="45"/>
  <c r="Y49" i="45"/>
  <c r="O188" i="42"/>
  <c r="O187" i="42"/>
  <c r="Q184" i="42"/>
  <c r="P186" i="42"/>
  <c r="P188" i="42" s="1"/>
  <c r="P185" i="42"/>
  <c r="AC63" i="36"/>
  <c r="AD72" i="14"/>
  <c r="AB63" i="45"/>
  <c r="BH63" i="36"/>
  <c r="BH68" i="36" s="1"/>
  <c r="BH75" i="36" s="1"/>
  <c r="AB68" i="36"/>
  <c r="AB75" i="36" s="1"/>
  <c r="BF71" i="36"/>
  <c r="BF72" i="36" s="1"/>
  <c r="BF106" i="36"/>
  <c r="BG65" i="36"/>
  <c r="BG66" i="36"/>
  <c r="BG73" i="36" s="1"/>
  <c r="BH64" i="36"/>
  <c r="AB65" i="36"/>
  <c r="AB66" i="36"/>
  <c r="AB73" i="36" s="1"/>
  <c r="AA71" i="36"/>
  <c r="AA106" i="36"/>
  <c r="T24" i="29"/>
  <c r="U21" i="29"/>
  <c r="O66" i="42"/>
  <c r="O95" i="42"/>
  <c r="Q219" i="42"/>
  <c r="P220" i="42"/>
  <c r="P187" i="38"/>
  <c r="P132" i="42"/>
  <c r="R129" i="42"/>
  <c r="Q130" i="42"/>
  <c r="Q131" i="42"/>
  <c r="T24" i="38"/>
  <c r="P133" i="38"/>
  <c r="P134" i="38"/>
  <c r="P135" i="38"/>
  <c r="R129" i="38"/>
  <c r="Q185" i="38"/>
  <c r="Q186" i="38"/>
  <c r="Q131" i="38"/>
  <c r="Q130" i="38"/>
  <c r="P134" i="42"/>
  <c r="P133" i="42"/>
  <c r="P135" i="42"/>
  <c r="S25" i="38"/>
  <c r="T21" i="38"/>
  <c r="P70" i="42"/>
  <c r="P65" i="42"/>
  <c r="P67" i="42"/>
  <c r="P69" i="42"/>
  <c r="P88" i="42" s="1"/>
  <c r="P68" i="42"/>
  <c r="Q63" i="42"/>
  <c r="P64" i="42"/>
  <c r="S22" i="38"/>
  <c r="P132" i="38"/>
  <c r="O66" i="38"/>
  <c r="R219" i="38"/>
  <c r="Q220" i="38"/>
  <c r="S23" i="38"/>
  <c r="P189" i="38"/>
  <c r="P188" i="38"/>
  <c r="Q63" i="38"/>
  <c r="P70" i="38"/>
  <c r="P68" i="38"/>
  <c r="P65" i="38"/>
  <c r="P67" i="38"/>
  <c r="P64" i="38"/>
  <c r="P69" i="38"/>
  <c r="P88" i="38" s="1"/>
  <c r="R234" i="42"/>
  <c r="Q235" i="42"/>
  <c r="R234" i="38"/>
  <c r="Q235" i="38"/>
  <c r="P69" i="20"/>
  <c r="T22" i="28"/>
  <c r="P70" i="20"/>
  <c r="P73" i="20"/>
  <c r="P71" i="20"/>
  <c r="P72" i="20"/>
  <c r="R110" i="28"/>
  <c r="Q111" i="28"/>
  <c r="U24" i="28"/>
  <c r="Q124" i="20"/>
  <c r="Q127" i="20"/>
  <c r="Q125" i="20"/>
  <c r="Q123" i="20"/>
  <c r="R122" i="20"/>
  <c r="Q126" i="20"/>
  <c r="Q128" i="20"/>
  <c r="R85" i="28"/>
  <c r="Q89" i="28"/>
  <c r="Q86" i="28"/>
  <c r="Q90" i="28"/>
  <c r="Q87" i="28"/>
  <c r="Q91" i="28"/>
  <c r="Q88" i="28"/>
  <c r="Q268" i="19"/>
  <c r="R310" i="20"/>
  <c r="V21" i="28"/>
  <c r="Q67" i="28"/>
  <c r="Q63" i="28"/>
  <c r="Q66" i="28"/>
  <c r="R62" i="28"/>
  <c r="Q64" i="28"/>
  <c r="R198" i="20"/>
  <c r="Q199" i="20"/>
  <c r="T23" i="28"/>
  <c r="R66" i="20"/>
  <c r="Q67" i="20"/>
  <c r="Q68" i="20"/>
  <c r="U25" i="28"/>
  <c r="P65" i="28"/>
  <c r="AC50" i="15"/>
  <c r="AC53" i="15" s="1"/>
  <c r="AC137" i="15" s="1"/>
  <c r="AC126" i="15"/>
  <c r="AA74" i="12"/>
  <c r="AA219" i="12" s="1"/>
  <c r="AA230" i="12" s="1"/>
  <c r="AA75" i="12"/>
  <c r="AA78" i="12"/>
  <c r="AA77" i="12"/>
  <c r="AA80" i="12"/>
  <c r="AA79" i="12"/>
  <c r="AA76" i="12"/>
  <c r="P212" i="20"/>
  <c r="AB74" i="14"/>
  <c r="AB219" i="14" s="1"/>
  <c r="AB230" i="14" s="1"/>
  <c r="AB75" i="14"/>
  <c r="AB80" i="14"/>
  <c r="AB79" i="14"/>
  <c r="AB77" i="14"/>
  <c r="AB78" i="14"/>
  <c r="AB76" i="14"/>
  <c r="AD72" i="12"/>
  <c r="AF33" i="11"/>
  <c r="AE34" i="11"/>
  <c r="AE35" i="11" s="1"/>
  <c r="AE36" i="11" s="1"/>
  <c r="AD29" i="13"/>
  <c r="AD30" i="13" s="1"/>
  <c r="AE28" i="13"/>
  <c r="AB73" i="12"/>
  <c r="AC31" i="13"/>
  <c r="AC33" i="13" s="1"/>
  <c r="AC64" i="36" s="1"/>
  <c r="AC32" i="13"/>
  <c r="AC73" i="14" s="1"/>
  <c r="AD31" i="15"/>
  <c r="P3" i="12"/>
  <c r="O1" i="52" s="1"/>
  <c r="Q25" i="45" l="1"/>
  <c r="P37" i="46"/>
  <c r="Q26" i="45"/>
  <c r="Q24" i="45"/>
  <c r="Z95" i="55"/>
  <c r="BE95" i="55"/>
  <c r="DQ95" i="55" s="1"/>
  <c r="AA72" i="36"/>
  <c r="CM38" i="58"/>
  <c r="AA37" i="58" s="1"/>
  <c r="BG37" i="58" s="1"/>
  <c r="CM37" i="58" s="1"/>
  <c r="AD61" i="45"/>
  <c r="BJ61" i="45" s="1"/>
  <c r="BJ63" i="45" s="1"/>
  <c r="AD64" i="45"/>
  <c r="BJ64" i="45" s="1"/>
  <c r="Z96" i="55"/>
  <c r="BE96" i="55"/>
  <c r="DQ96" i="55" s="1"/>
  <c r="AE39" i="11"/>
  <c r="AE37" i="11"/>
  <c r="AE40" i="11"/>
  <c r="AE66" i="45" s="1"/>
  <c r="BK66" i="45" s="1"/>
  <c r="AE38" i="11"/>
  <c r="R21" i="45"/>
  <c r="R23" i="45" s="1"/>
  <c r="Q37" i="46" s="1"/>
  <c r="R38" i="48"/>
  <c r="T21" i="54"/>
  <c r="T23" i="54"/>
  <c r="T25" i="54"/>
  <c r="U24" i="54"/>
  <c r="T22" i="54"/>
  <c r="Q66" i="54"/>
  <c r="V8" i="52"/>
  <c r="AJ5" i="50"/>
  <c r="X4" i="51"/>
  <c r="X57" i="58" s="1"/>
  <c r="R69" i="54"/>
  <c r="R76" i="54" s="1"/>
  <c r="R77" i="54" s="1"/>
  <c r="S63" i="54"/>
  <c r="R68" i="54"/>
  <c r="R65" i="54"/>
  <c r="R64" i="54"/>
  <c r="R67" i="54"/>
  <c r="R70" i="54"/>
  <c r="R157" i="54"/>
  <c r="S156" i="54"/>
  <c r="S147" i="53"/>
  <c r="R148" i="53"/>
  <c r="S156" i="53"/>
  <c r="R157" i="53"/>
  <c r="Q77" i="53"/>
  <c r="R68" i="53"/>
  <c r="R64" i="53"/>
  <c r="R65" i="53"/>
  <c r="S63" i="53"/>
  <c r="R67" i="53"/>
  <c r="R69" i="53"/>
  <c r="R76" i="53" s="1"/>
  <c r="R70" i="53"/>
  <c r="Q66" i="53"/>
  <c r="AY19" i="45"/>
  <c r="Q133" i="53"/>
  <c r="Q104" i="53"/>
  <c r="Q103" i="53"/>
  <c r="Q105" i="53"/>
  <c r="Q102" i="53"/>
  <c r="Q135" i="53"/>
  <c r="Q134" i="53"/>
  <c r="R100" i="53"/>
  <c r="R101" i="53"/>
  <c r="R132" i="53"/>
  <c r="R131" i="53"/>
  <c r="U22" i="53"/>
  <c r="U25" i="53"/>
  <c r="U21" i="53"/>
  <c r="U23" i="53"/>
  <c r="V24" i="53"/>
  <c r="BB4" i="51"/>
  <c r="BB57" i="58" s="1"/>
  <c r="CR57" i="58" s="1"/>
  <c r="CR58" i="58" s="1"/>
  <c r="AI3" i="50"/>
  <c r="W6" i="52" s="1"/>
  <c r="Q66" i="48"/>
  <c r="AW26" i="45"/>
  <c r="AZ41" i="45"/>
  <c r="S38" i="48" s="1"/>
  <c r="P37" i="48"/>
  <c r="P66" i="46"/>
  <c r="AW25" i="45"/>
  <c r="S139" i="48"/>
  <c r="R203" i="48"/>
  <c r="R204" i="48"/>
  <c r="R141" i="48"/>
  <c r="R140" i="48"/>
  <c r="T25" i="48"/>
  <c r="S63" i="48"/>
  <c r="R68" i="48"/>
  <c r="R69" i="48"/>
  <c r="R70" i="48"/>
  <c r="R67" i="48"/>
  <c r="R64" i="48"/>
  <c r="R65" i="48"/>
  <c r="AZ18" i="45"/>
  <c r="AZ20" i="45" s="1"/>
  <c r="Q205" i="48"/>
  <c r="R261" i="48"/>
  <c r="S260" i="48"/>
  <c r="U24" i="48"/>
  <c r="T23" i="48"/>
  <c r="P91" i="38"/>
  <c r="P89" i="38"/>
  <c r="P90" i="38"/>
  <c r="U21" i="48"/>
  <c r="Q206" i="48"/>
  <c r="Q207" i="48"/>
  <c r="S243" i="48"/>
  <c r="R244" i="48"/>
  <c r="Q70" i="46"/>
  <c r="Q67" i="46"/>
  <c r="Q69" i="46"/>
  <c r="Q92" i="46" s="1"/>
  <c r="Q64" i="46"/>
  <c r="R63" i="46"/>
  <c r="Q68" i="46"/>
  <c r="Q65" i="46"/>
  <c r="O97" i="48"/>
  <c r="O94" i="48"/>
  <c r="O96" i="48"/>
  <c r="O101" i="48" s="1"/>
  <c r="O95" i="48"/>
  <c r="O100" i="48" s="1"/>
  <c r="O93" i="48"/>
  <c r="O98" i="48" s="1"/>
  <c r="P92" i="42"/>
  <c r="P89" i="42"/>
  <c r="P93" i="42" s="1"/>
  <c r="P90" i="42"/>
  <c r="P94" i="42" s="1"/>
  <c r="P91" i="42"/>
  <c r="P95" i="42" s="1"/>
  <c r="AY21" i="45"/>
  <c r="AY23" i="45" s="1"/>
  <c r="Q144" i="48"/>
  <c r="Q145" i="48"/>
  <c r="Q143" i="48"/>
  <c r="Q142" i="48"/>
  <c r="T22" i="48"/>
  <c r="P93" i="46"/>
  <c r="P98" i="46" s="1"/>
  <c r="P94" i="46"/>
  <c r="P97" i="46"/>
  <c r="P95" i="46"/>
  <c r="P100" i="46" s="1"/>
  <c r="P92" i="48"/>
  <c r="P96" i="46"/>
  <c r="P101" i="46" s="1"/>
  <c r="BA17" i="45"/>
  <c r="BA69" i="45" s="1"/>
  <c r="Y48" i="45"/>
  <c r="Y50" i="45" s="1"/>
  <c r="X39" i="46" s="1"/>
  <c r="S44" i="45"/>
  <c r="R38" i="46"/>
  <c r="BF47" i="45"/>
  <c r="BF49" i="45"/>
  <c r="BF46" i="45"/>
  <c r="BG45" i="45"/>
  <c r="BD51" i="45"/>
  <c r="W39" i="48"/>
  <c r="BD53" i="45"/>
  <c r="BD52" i="45"/>
  <c r="BA40" i="45"/>
  <c r="BA39" i="45"/>
  <c r="BE48" i="45"/>
  <c r="BE50" i="45" s="1"/>
  <c r="AX23" i="45"/>
  <c r="P189" i="42"/>
  <c r="Q142" i="46"/>
  <c r="S260" i="46"/>
  <c r="R261" i="46"/>
  <c r="V21" i="46"/>
  <c r="U22" i="46"/>
  <c r="Q205" i="46"/>
  <c r="U25" i="46"/>
  <c r="Q207" i="46"/>
  <c r="Q206" i="46"/>
  <c r="V24" i="46"/>
  <c r="AA363" i="46"/>
  <c r="U23" i="46"/>
  <c r="S243" i="46"/>
  <c r="R244" i="46"/>
  <c r="Q145" i="46"/>
  <c r="Q144" i="46"/>
  <c r="Q143" i="46"/>
  <c r="S139" i="46"/>
  <c r="R204" i="46"/>
  <c r="R140" i="46"/>
  <c r="R141" i="46"/>
  <c r="R203" i="46"/>
  <c r="S43" i="45"/>
  <c r="R82" i="45"/>
  <c r="R26" i="45"/>
  <c r="R24" i="45"/>
  <c r="R25" i="45"/>
  <c r="S95" i="45"/>
  <c r="S42" i="45"/>
  <c r="T41" i="45"/>
  <c r="T18" i="45"/>
  <c r="T19" i="45" s="1"/>
  <c r="U17" i="45"/>
  <c r="U69" i="45" s="1"/>
  <c r="V16" i="45"/>
  <c r="BB16" i="45" s="1"/>
  <c r="U39" i="45"/>
  <c r="U40" i="45"/>
  <c r="V38" i="45"/>
  <c r="BB38" i="45" s="1"/>
  <c r="S19" i="45"/>
  <c r="S20" i="45"/>
  <c r="AW82" i="45"/>
  <c r="AA45" i="45"/>
  <c r="Z47" i="45"/>
  <c r="Z46" i="45"/>
  <c r="Z49" i="45"/>
  <c r="X52" i="45"/>
  <c r="X51" i="45"/>
  <c r="X92" i="45" s="1"/>
  <c r="X53" i="45"/>
  <c r="X88" i="45"/>
  <c r="R184" i="42"/>
  <c r="Q186" i="42"/>
  <c r="Q188" i="42" s="1"/>
  <c r="Q185" i="42"/>
  <c r="P187" i="42"/>
  <c r="AC63" i="45"/>
  <c r="BI63" i="36"/>
  <c r="BI68" i="36" s="1"/>
  <c r="BI75" i="36" s="1"/>
  <c r="AC68" i="36"/>
  <c r="AC75" i="36" s="1"/>
  <c r="AE72" i="14"/>
  <c r="AD63" i="36"/>
  <c r="BG71" i="36"/>
  <c r="BG72" i="36" s="1"/>
  <c r="BG106" i="36"/>
  <c r="BI64" i="36"/>
  <c r="AC65" i="36"/>
  <c r="AC66" i="36"/>
  <c r="AC73" i="36" s="1"/>
  <c r="AB71" i="36"/>
  <c r="AB106" i="36"/>
  <c r="BH65" i="36"/>
  <c r="BH66" i="36"/>
  <c r="BH73" i="36" s="1"/>
  <c r="V21" i="29"/>
  <c r="U24" i="29"/>
  <c r="Q132" i="38"/>
  <c r="S234" i="38"/>
  <c r="R235" i="38"/>
  <c r="P66" i="38"/>
  <c r="Q187" i="38"/>
  <c r="U24" i="38"/>
  <c r="Q134" i="42"/>
  <c r="Q133" i="42"/>
  <c r="Q135" i="42"/>
  <c r="S129" i="42"/>
  <c r="R131" i="42"/>
  <c r="R130" i="42"/>
  <c r="Q67" i="38"/>
  <c r="Q68" i="38"/>
  <c r="Q64" i="38"/>
  <c r="R63" i="38"/>
  <c r="Q69" i="38"/>
  <c r="Q88" i="38" s="1"/>
  <c r="Q65" i="38"/>
  <c r="Q70" i="38"/>
  <c r="T23" i="38"/>
  <c r="U21" i="38"/>
  <c r="T25" i="38"/>
  <c r="S129" i="38"/>
  <c r="R185" i="38"/>
  <c r="R186" i="38"/>
  <c r="R130" i="38"/>
  <c r="R131" i="38"/>
  <c r="Q132" i="42"/>
  <c r="S234" i="42"/>
  <c r="R235" i="42"/>
  <c r="P66" i="42"/>
  <c r="Q133" i="38"/>
  <c r="Q134" i="38"/>
  <c r="Q135" i="38"/>
  <c r="S219" i="38"/>
  <c r="R220" i="38"/>
  <c r="T22" i="38"/>
  <c r="R63" i="42"/>
  <c r="Q65" i="42"/>
  <c r="Q64" i="42"/>
  <c r="Q68" i="42"/>
  <c r="Q69" i="42"/>
  <c r="Q88" i="42" s="1"/>
  <c r="Q67" i="42"/>
  <c r="Q70" i="42"/>
  <c r="Q189" i="38"/>
  <c r="Q188" i="38"/>
  <c r="R219" i="42"/>
  <c r="Q220" i="42"/>
  <c r="Q71" i="20"/>
  <c r="Q73" i="20"/>
  <c r="Q70" i="20"/>
  <c r="Q72" i="20"/>
  <c r="Q69" i="20"/>
  <c r="S62" i="28"/>
  <c r="R63" i="28"/>
  <c r="R64" i="28"/>
  <c r="R66" i="28"/>
  <c r="R67" i="28"/>
  <c r="R88" i="28"/>
  <c r="S85" i="28"/>
  <c r="R89" i="28"/>
  <c r="R86" i="28"/>
  <c r="R91" i="28"/>
  <c r="R87" i="28"/>
  <c r="R90" i="28"/>
  <c r="R125" i="20"/>
  <c r="R128" i="20"/>
  <c r="R123" i="20"/>
  <c r="R126" i="20"/>
  <c r="R124" i="20"/>
  <c r="S122" i="20"/>
  <c r="R127" i="20"/>
  <c r="S110" i="28"/>
  <c r="R111" i="28"/>
  <c r="R68" i="20"/>
  <c r="R67" i="20"/>
  <c r="S66" i="20"/>
  <c r="W21" i="28"/>
  <c r="V25" i="28"/>
  <c r="U23" i="28"/>
  <c r="S198" i="20"/>
  <c r="R199" i="20"/>
  <c r="Q65" i="28"/>
  <c r="R268" i="19"/>
  <c r="S310" i="20"/>
  <c r="V24" i="28"/>
  <c r="U22" i="28"/>
  <c r="AD50" i="15"/>
  <c r="AD53" i="15" s="1"/>
  <c r="AD137" i="15" s="1"/>
  <c r="AD126" i="15"/>
  <c r="AB74" i="12"/>
  <c r="AB219" i="12" s="1"/>
  <c r="AB230" i="12" s="1"/>
  <c r="AB76" i="12"/>
  <c r="AB77" i="12"/>
  <c r="AB78" i="12"/>
  <c r="AB79" i="12"/>
  <c r="AB80" i="12"/>
  <c r="AB75" i="12"/>
  <c r="Q212" i="20"/>
  <c r="AC74" i="14"/>
  <c r="AC219" i="14" s="1"/>
  <c r="AC230" i="14" s="1"/>
  <c r="AC79" i="14"/>
  <c r="AC77" i="14"/>
  <c r="AC75" i="14"/>
  <c r="AC78" i="14"/>
  <c r="AC76" i="14"/>
  <c r="AC80" i="14"/>
  <c r="AG33" i="11"/>
  <c r="AF34" i="11"/>
  <c r="AF35" i="11" s="1"/>
  <c r="AF36" i="11" s="1"/>
  <c r="AC73" i="12"/>
  <c r="AE29" i="13"/>
  <c r="AE30" i="13" s="1"/>
  <c r="AF28" i="13"/>
  <c r="AD32" i="13"/>
  <c r="AD73" i="14" s="1"/>
  <c r="AD31" i="13"/>
  <c r="AD33" i="13" s="1"/>
  <c r="AD64" i="36" s="1"/>
  <c r="AE31" i="15"/>
  <c r="Q3" i="12"/>
  <c r="P1" i="52" s="1"/>
  <c r="AE61" i="45" l="1"/>
  <c r="BK61" i="45" s="1"/>
  <c r="BK63" i="45" s="1"/>
  <c r="AE64" i="45"/>
  <c r="BK64" i="45" s="1"/>
  <c r="BF96" i="55"/>
  <c r="DR96" i="55" s="1"/>
  <c r="AA96" i="55"/>
  <c r="AF39" i="11"/>
  <c r="AF37" i="11"/>
  <c r="AF40" i="11"/>
  <c r="AF66" i="45" s="1"/>
  <c r="BL66" i="45" s="1"/>
  <c r="AF38" i="11"/>
  <c r="AB72" i="36"/>
  <c r="CN38" i="58"/>
  <c r="AB37" i="58" s="1"/>
  <c r="BH37" i="58" s="1"/>
  <c r="CN37" i="58" s="1"/>
  <c r="AA95" i="55"/>
  <c r="BF95" i="55"/>
  <c r="DR95" i="55" s="1"/>
  <c r="U22" i="54"/>
  <c r="U25" i="54"/>
  <c r="V24" i="54"/>
  <c r="U21" i="54"/>
  <c r="U23" i="54"/>
  <c r="AZ42" i="45"/>
  <c r="R66" i="54"/>
  <c r="W8" i="52"/>
  <c r="AK5" i="50"/>
  <c r="Y4" i="51"/>
  <c r="Y57" i="58" s="1"/>
  <c r="S70" i="54"/>
  <c r="S68" i="54"/>
  <c r="S69" i="54"/>
  <c r="S76" i="54" s="1"/>
  <c r="S77" i="54" s="1"/>
  <c r="S65" i="54"/>
  <c r="S64" i="54"/>
  <c r="S67" i="54"/>
  <c r="T63" i="54"/>
  <c r="T156" i="54"/>
  <c r="S157" i="54"/>
  <c r="R66" i="53"/>
  <c r="T156" i="53"/>
  <c r="S157" i="53"/>
  <c r="T147" i="53"/>
  <c r="S148" i="53"/>
  <c r="R77" i="53"/>
  <c r="T63" i="53"/>
  <c r="S65" i="53"/>
  <c r="S64" i="53"/>
  <c r="S68" i="53"/>
  <c r="S70" i="53"/>
  <c r="S69" i="53"/>
  <c r="S76" i="53" s="1"/>
  <c r="S67" i="53"/>
  <c r="R135" i="53"/>
  <c r="R134" i="53"/>
  <c r="R104" i="53"/>
  <c r="R105" i="53"/>
  <c r="R103" i="53"/>
  <c r="R102" i="53"/>
  <c r="T44" i="45"/>
  <c r="S100" i="53"/>
  <c r="S101" i="53"/>
  <c r="S132" i="53"/>
  <c r="S131" i="53"/>
  <c r="R133" i="53"/>
  <c r="V21" i="53"/>
  <c r="W24" i="53"/>
  <c r="V22" i="53"/>
  <c r="V23" i="53"/>
  <c r="V25" i="53"/>
  <c r="BC4" i="51"/>
  <c r="BC57" i="58" s="1"/>
  <c r="CS57" i="58" s="1"/>
  <c r="CS58" i="58" s="1"/>
  <c r="AJ3" i="50"/>
  <c r="X6" i="52" s="1"/>
  <c r="Q189" i="42"/>
  <c r="AZ43" i="45"/>
  <c r="AZ44" i="45"/>
  <c r="T20" i="45"/>
  <c r="AZ19" i="45"/>
  <c r="BA41" i="45"/>
  <c r="BA43" i="45" s="1"/>
  <c r="R69" i="46"/>
  <c r="R92" i="46" s="1"/>
  <c r="R70" i="46"/>
  <c r="R65" i="46"/>
  <c r="R68" i="46"/>
  <c r="S63" i="46"/>
  <c r="R64" i="46"/>
  <c r="R67" i="46"/>
  <c r="R206" i="48"/>
  <c r="R207" i="48"/>
  <c r="Q90" i="38"/>
  <c r="Q91" i="38"/>
  <c r="Q89" i="38"/>
  <c r="Y88" i="45"/>
  <c r="BA18" i="45"/>
  <c r="BA19" i="45" s="1"/>
  <c r="U22" i="48"/>
  <c r="Q66" i="46"/>
  <c r="U23" i="48"/>
  <c r="S261" i="48"/>
  <c r="T260" i="48"/>
  <c r="U25" i="48"/>
  <c r="R205" i="48"/>
  <c r="Y51" i="45"/>
  <c r="Y92" i="45" s="1"/>
  <c r="P95" i="48"/>
  <c r="P100" i="48" s="1"/>
  <c r="P93" i="48"/>
  <c r="P98" i="48" s="1"/>
  <c r="P96" i="48"/>
  <c r="P101" i="48" s="1"/>
  <c r="P97" i="48"/>
  <c r="P94" i="48"/>
  <c r="Q97" i="46"/>
  <c r="Q94" i="46"/>
  <c r="Q95" i="46"/>
  <c r="Q100" i="46" s="1"/>
  <c r="Q92" i="48"/>
  <c r="Q93" i="46"/>
  <c r="Q98" i="46" s="1"/>
  <c r="Q96" i="46"/>
  <c r="Q101" i="46" s="1"/>
  <c r="R66" i="48"/>
  <c r="R142" i="48"/>
  <c r="S204" i="48"/>
  <c r="S140" i="48"/>
  <c r="S203" i="48"/>
  <c r="T139" i="48"/>
  <c r="S141" i="48"/>
  <c r="Q92" i="42"/>
  <c r="Q90" i="42"/>
  <c r="Q91" i="42"/>
  <c r="Q95" i="42" s="1"/>
  <c r="Q89" i="42"/>
  <c r="Q93" i="42" s="1"/>
  <c r="T243" i="48"/>
  <c r="S244" i="48"/>
  <c r="V21" i="48"/>
  <c r="V24" i="48"/>
  <c r="S65" i="48"/>
  <c r="T63" i="48"/>
  <c r="S69" i="48"/>
  <c r="S67" i="48"/>
  <c r="S64" i="48"/>
  <c r="S68" i="48"/>
  <c r="S70" i="48"/>
  <c r="R145" i="48"/>
  <c r="R143" i="48"/>
  <c r="R144" i="48"/>
  <c r="BA42" i="45"/>
  <c r="BG49" i="45"/>
  <c r="BG47" i="45"/>
  <c r="BG46" i="45"/>
  <c r="BH45" i="45"/>
  <c r="Y52" i="45"/>
  <c r="BB17" i="45"/>
  <c r="BB69" i="45" s="1"/>
  <c r="T95" i="45"/>
  <c r="S38" i="46"/>
  <c r="R37" i="48"/>
  <c r="AY26" i="45"/>
  <c r="AY24" i="45"/>
  <c r="AY25" i="45"/>
  <c r="BF48" i="45"/>
  <c r="BF50" i="45" s="1"/>
  <c r="Q37" i="48"/>
  <c r="AX26" i="45"/>
  <c r="AX24" i="45"/>
  <c r="AX25" i="45"/>
  <c r="Y53" i="45"/>
  <c r="BB40" i="45"/>
  <c r="BB39" i="45"/>
  <c r="X39" i="48"/>
  <c r="BE51" i="45"/>
  <c r="BE52" i="45"/>
  <c r="BE53" i="45"/>
  <c r="R145" i="46"/>
  <c r="R143" i="46"/>
  <c r="R144" i="46"/>
  <c r="T243" i="46"/>
  <c r="S244" i="46"/>
  <c r="AB363" i="46"/>
  <c r="W21" i="46"/>
  <c r="R142" i="46"/>
  <c r="V22" i="46"/>
  <c r="R207" i="46"/>
  <c r="R206" i="46"/>
  <c r="V23" i="46"/>
  <c r="V25" i="46"/>
  <c r="T260" i="46"/>
  <c r="S261" i="46"/>
  <c r="R205" i="46"/>
  <c r="T139" i="46"/>
  <c r="S204" i="46"/>
  <c r="S141" i="46"/>
  <c r="S140" i="46"/>
  <c r="S203" i="46"/>
  <c r="W24" i="46"/>
  <c r="T42" i="45"/>
  <c r="T43" i="45"/>
  <c r="AY95" i="45"/>
  <c r="U41" i="45"/>
  <c r="AX82" i="45"/>
  <c r="U18" i="45"/>
  <c r="S21" i="45"/>
  <c r="S23" i="45" s="1"/>
  <c r="W16" i="45"/>
  <c r="BC16" i="45" s="1"/>
  <c r="V17" i="45"/>
  <c r="V69" i="45" s="1"/>
  <c r="V40" i="45"/>
  <c r="V39" i="45"/>
  <c r="W38" i="45"/>
  <c r="BC38" i="45" s="1"/>
  <c r="BD92" i="45"/>
  <c r="BD88" i="45"/>
  <c r="AB45" i="45"/>
  <c r="AA47" i="45"/>
  <c r="AA46" i="45"/>
  <c r="AA49" i="45"/>
  <c r="Z48" i="45"/>
  <c r="Z50" i="45" s="1"/>
  <c r="Y39" i="46" s="1"/>
  <c r="Q187" i="42"/>
  <c r="S184" i="42"/>
  <c r="R185" i="42"/>
  <c r="R186" i="42"/>
  <c r="R189" i="42" s="1"/>
  <c r="AE72" i="12"/>
  <c r="AD63" i="45"/>
  <c r="AF72" i="14"/>
  <c r="BJ63" i="36"/>
  <c r="BJ68" i="36" s="1"/>
  <c r="BJ75" i="36" s="1"/>
  <c r="AD68" i="36"/>
  <c r="AD75" i="36" s="1"/>
  <c r="AE63" i="36"/>
  <c r="BH71" i="36"/>
  <c r="BH72" i="36" s="1"/>
  <c r="BH106" i="36"/>
  <c r="BI66" i="36"/>
  <c r="BI73" i="36" s="1"/>
  <c r="BI65" i="36"/>
  <c r="BJ64" i="36"/>
  <c r="AD65" i="36"/>
  <c r="AD66" i="36"/>
  <c r="AD73" i="36" s="1"/>
  <c r="AC71" i="36"/>
  <c r="AC106" i="36"/>
  <c r="V24" i="29"/>
  <c r="W21" i="29"/>
  <c r="R132" i="38"/>
  <c r="R67" i="42"/>
  <c r="R64" i="42"/>
  <c r="R69" i="42"/>
  <c r="R88" i="42" s="1"/>
  <c r="R65" i="42"/>
  <c r="R70" i="42"/>
  <c r="R68" i="42"/>
  <c r="S63" i="42"/>
  <c r="U22" i="38"/>
  <c r="T219" i="38"/>
  <c r="S220" i="38"/>
  <c r="R134" i="38"/>
  <c r="R135" i="38"/>
  <c r="R133" i="38"/>
  <c r="T129" i="38"/>
  <c r="S185" i="38"/>
  <c r="S186" i="38"/>
  <c r="S130" i="38"/>
  <c r="S131" i="38"/>
  <c r="U25" i="38"/>
  <c r="U23" i="38"/>
  <c r="R132" i="42"/>
  <c r="T129" i="42"/>
  <c r="S130" i="42"/>
  <c r="S131" i="42"/>
  <c r="S219" i="42"/>
  <c r="R220" i="42"/>
  <c r="T234" i="42"/>
  <c r="S235" i="42"/>
  <c r="R69" i="38"/>
  <c r="R88" i="38" s="1"/>
  <c r="R64" i="38"/>
  <c r="R65" i="38"/>
  <c r="S63" i="38"/>
  <c r="R68" i="38"/>
  <c r="R70" i="38"/>
  <c r="R67" i="38"/>
  <c r="R134" i="42"/>
  <c r="R133" i="42"/>
  <c r="R135" i="42"/>
  <c r="V24" i="38"/>
  <c r="T234" i="38"/>
  <c r="S235" i="38"/>
  <c r="Q66" i="42"/>
  <c r="R188" i="38"/>
  <c r="R189" i="38"/>
  <c r="V21" i="38"/>
  <c r="Q66" i="38"/>
  <c r="Q94" i="42"/>
  <c r="R187" i="38"/>
  <c r="X21" i="28"/>
  <c r="V23" i="28"/>
  <c r="S67" i="20"/>
  <c r="S68" i="20"/>
  <c r="T66" i="20"/>
  <c r="T110" i="28"/>
  <c r="S111" i="28"/>
  <c r="W25" i="28"/>
  <c r="R69" i="20"/>
  <c r="S87" i="28"/>
  <c r="S90" i="28"/>
  <c r="S88" i="28"/>
  <c r="S86" i="28"/>
  <c r="T85" i="28"/>
  <c r="S89" i="28"/>
  <c r="S91" i="28"/>
  <c r="R65" i="28"/>
  <c r="V22" i="28"/>
  <c r="W24" i="28"/>
  <c r="T310" i="20"/>
  <c r="S268" i="19"/>
  <c r="S199" i="20"/>
  <c r="T198" i="20"/>
  <c r="R70" i="20"/>
  <c r="R71" i="20"/>
  <c r="R72" i="20"/>
  <c r="R73" i="20"/>
  <c r="T122" i="20"/>
  <c r="S125" i="20"/>
  <c r="S128" i="20"/>
  <c r="S124" i="20"/>
  <c r="S127" i="20"/>
  <c r="S123" i="20"/>
  <c r="S126" i="20"/>
  <c r="S66" i="28"/>
  <c r="T62" i="28"/>
  <c r="S63" i="28"/>
  <c r="S64" i="28"/>
  <c r="S67" i="28"/>
  <c r="AE50" i="15"/>
  <c r="AE53" i="15" s="1"/>
  <c r="AE137" i="15" s="1"/>
  <c r="AE126" i="15"/>
  <c r="AC74" i="12"/>
  <c r="AC219" i="12" s="1"/>
  <c r="AC230" i="12" s="1"/>
  <c r="AC76" i="12"/>
  <c r="AC77" i="12"/>
  <c r="AC78" i="12"/>
  <c r="AC79" i="12"/>
  <c r="AC75" i="12"/>
  <c r="AC80" i="12"/>
  <c r="R212" i="20"/>
  <c r="AD74" i="14"/>
  <c r="AD219" i="14" s="1"/>
  <c r="AD230" i="14" s="1"/>
  <c r="AD80" i="14"/>
  <c r="AD75" i="14"/>
  <c r="AD76" i="14"/>
  <c r="AD78" i="14"/>
  <c r="AD79" i="14"/>
  <c r="AD77" i="14"/>
  <c r="AH33" i="11"/>
  <c r="AH34" i="11" s="1"/>
  <c r="AH35" i="11" s="1"/>
  <c r="AH36" i="11" s="1"/>
  <c r="AG34" i="11"/>
  <c r="AG35" i="11" s="1"/>
  <c r="AG36" i="11" s="1"/>
  <c r="AF29" i="13"/>
  <c r="AF30" i="13" s="1"/>
  <c r="AG28" i="13"/>
  <c r="AE31" i="13"/>
  <c r="AE33" i="13" s="1"/>
  <c r="AE64" i="36" s="1"/>
  <c r="AE32" i="13"/>
  <c r="AE73" i="14" s="1"/>
  <c r="AD73" i="12"/>
  <c r="AF31" i="15"/>
  <c r="R3" i="12"/>
  <c r="Q1" i="52" s="1"/>
  <c r="AH40" i="11" l="1"/>
  <c r="AH66" i="45" s="1"/>
  <c r="BN66" i="45" s="1"/>
  <c r="AH39" i="11"/>
  <c r="AH37" i="11"/>
  <c r="AH38" i="11"/>
  <c r="AF64" i="45"/>
  <c r="BL64" i="45" s="1"/>
  <c r="AF61" i="45"/>
  <c r="BL61" i="45" s="1"/>
  <c r="BL63" i="45" s="1"/>
  <c r="AB96" i="55"/>
  <c r="BG96" i="55"/>
  <c r="DS96" i="55" s="1"/>
  <c r="AB95" i="55"/>
  <c r="BG95" i="55"/>
  <c r="DS95" i="55" s="1"/>
  <c r="AC72" i="36"/>
  <c r="CO38" i="58"/>
  <c r="AC37" i="58" s="1"/>
  <c r="BI37" i="58" s="1"/>
  <c r="CO37" i="58" s="1"/>
  <c r="AG39" i="11"/>
  <c r="AG37" i="11"/>
  <c r="AG40" i="11"/>
  <c r="AG66" i="45" s="1"/>
  <c r="BM66" i="45" s="1"/>
  <c r="AG38" i="11"/>
  <c r="V25" i="54"/>
  <c r="T21" i="45"/>
  <c r="T23" i="45" s="1"/>
  <c r="V23" i="54"/>
  <c r="V21" i="54"/>
  <c r="V22" i="54"/>
  <c r="W24" i="54"/>
  <c r="AZ21" i="45"/>
  <c r="AZ23" i="45" s="1"/>
  <c r="S66" i="54"/>
  <c r="AL5" i="50"/>
  <c r="Z4" i="51"/>
  <c r="Z57" i="58" s="1"/>
  <c r="X8" i="52"/>
  <c r="T157" i="54"/>
  <c r="U156" i="54"/>
  <c r="T64" i="54"/>
  <c r="T65" i="54"/>
  <c r="T68" i="54"/>
  <c r="T67" i="54"/>
  <c r="T69" i="54"/>
  <c r="T76" i="54" s="1"/>
  <c r="T77" i="54" s="1"/>
  <c r="U63" i="54"/>
  <c r="T70" i="54"/>
  <c r="U156" i="53"/>
  <c r="T157" i="53"/>
  <c r="U147" i="53"/>
  <c r="T148" i="53"/>
  <c r="S66" i="53"/>
  <c r="T68" i="53"/>
  <c r="T69" i="53"/>
  <c r="T76" i="53" s="1"/>
  <c r="T70" i="53"/>
  <c r="T67" i="53"/>
  <c r="U63" i="53"/>
  <c r="T65" i="53"/>
  <c r="T64" i="53"/>
  <c r="S77" i="53"/>
  <c r="S66" i="48"/>
  <c r="R37" i="46"/>
  <c r="T100" i="53"/>
  <c r="T101" i="53"/>
  <c r="T132" i="53"/>
  <c r="T131" i="53"/>
  <c r="S133" i="53"/>
  <c r="S135" i="53"/>
  <c r="S134" i="53"/>
  <c r="S104" i="53"/>
  <c r="S103" i="53"/>
  <c r="S105" i="53"/>
  <c r="S102" i="53"/>
  <c r="X24" i="53"/>
  <c r="W21" i="53"/>
  <c r="W23" i="53"/>
  <c r="W25" i="53"/>
  <c r="W22" i="53"/>
  <c r="BD4" i="51"/>
  <c r="BD57" i="58" s="1"/>
  <c r="CT57" i="58" s="1"/>
  <c r="CT58" i="58" s="1"/>
  <c r="AK3" i="50"/>
  <c r="Y6" i="52" s="1"/>
  <c r="BA20" i="45"/>
  <c r="T38" i="48"/>
  <c r="BA44" i="45"/>
  <c r="BB41" i="45"/>
  <c r="U38" i="48" s="1"/>
  <c r="T261" i="48"/>
  <c r="U260" i="48"/>
  <c r="V22" i="48"/>
  <c r="T141" i="48"/>
  <c r="T203" i="48"/>
  <c r="U139" i="48"/>
  <c r="T140" i="48"/>
  <c r="T204" i="48"/>
  <c r="R89" i="38"/>
  <c r="R90" i="38"/>
  <c r="R91" i="38"/>
  <c r="W24" i="48"/>
  <c r="U243" i="48"/>
  <c r="T244" i="48"/>
  <c r="S205" i="48"/>
  <c r="Q94" i="48"/>
  <c r="Q96" i="48"/>
  <c r="Q101" i="48" s="1"/>
  <c r="Q93" i="48"/>
  <c r="Q98" i="48" s="1"/>
  <c r="Q95" i="48"/>
  <c r="Q100" i="48" s="1"/>
  <c r="Q97" i="48"/>
  <c r="R66" i="46"/>
  <c r="T64" i="48"/>
  <c r="T65" i="48"/>
  <c r="T70" i="48"/>
  <c r="T68" i="48"/>
  <c r="U63" i="48"/>
  <c r="T69" i="48"/>
  <c r="T67" i="48"/>
  <c r="S142" i="48"/>
  <c r="S64" i="46"/>
  <c r="T63" i="46"/>
  <c r="S69" i="46"/>
  <c r="S92" i="46" s="1"/>
  <c r="S70" i="46"/>
  <c r="S68" i="46"/>
  <c r="S65" i="46"/>
  <c r="S67" i="46"/>
  <c r="R94" i="46"/>
  <c r="R97" i="46"/>
  <c r="R96" i="46"/>
  <c r="R101" i="46" s="1"/>
  <c r="R92" i="48"/>
  <c r="R95" i="46"/>
  <c r="R100" i="46" s="1"/>
  <c r="R93" i="46"/>
  <c r="R98" i="46" s="1"/>
  <c r="R92" i="42"/>
  <c r="R91" i="42"/>
  <c r="R89" i="42"/>
  <c r="R90" i="42"/>
  <c r="R94" i="42" s="1"/>
  <c r="BG48" i="45"/>
  <c r="BG50" i="45" s="1"/>
  <c r="BG53" i="45" s="1"/>
  <c r="W21" i="48"/>
  <c r="S145" i="48"/>
  <c r="S144" i="48"/>
  <c r="S143" i="48"/>
  <c r="S207" i="48"/>
  <c r="S206" i="48"/>
  <c r="V25" i="48"/>
  <c r="V23" i="48"/>
  <c r="BF53" i="45"/>
  <c r="Y39" i="48"/>
  <c r="BF51" i="45"/>
  <c r="BF52" i="45"/>
  <c r="BC40" i="45"/>
  <c r="BC39" i="45"/>
  <c r="BC17" i="45"/>
  <c r="BC69" i="45" s="1"/>
  <c r="U95" i="45"/>
  <c r="T38" i="46"/>
  <c r="T26" i="45"/>
  <c r="S37" i="46"/>
  <c r="BB18" i="45"/>
  <c r="BH46" i="45"/>
  <c r="BH49" i="45"/>
  <c r="BH47" i="45"/>
  <c r="BI45" i="45"/>
  <c r="X24" i="46"/>
  <c r="S142" i="46"/>
  <c r="W22" i="46"/>
  <c r="X21" i="46"/>
  <c r="S145" i="46"/>
  <c r="S143" i="46"/>
  <c r="S144" i="46"/>
  <c r="W25" i="46"/>
  <c r="AC363" i="46"/>
  <c r="S207" i="46"/>
  <c r="S206" i="46"/>
  <c r="U260" i="46"/>
  <c r="T261" i="46"/>
  <c r="W23" i="46"/>
  <c r="R188" i="42"/>
  <c r="S205" i="46"/>
  <c r="U139" i="46"/>
  <c r="T204" i="46"/>
  <c r="T140" i="46"/>
  <c r="T141" i="46"/>
  <c r="T203" i="46"/>
  <c r="U243" i="46"/>
  <c r="T244" i="46"/>
  <c r="AZ95" i="45"/>
  <c r="U43" i="45"/>
  <c r="T82" i="45"/>
  <c r="U44" i="45"/>
  <c r="T24" i="45"/>
  <c r="U42" i="45"/>
  <c r="T25" i="45"/>
  <c r="V41" i="45"/>
  <c r="W17" i="45"/>
  <c r="W69" i="45" s="1"/>
  <c r="X16" i="45"/>
  <c r="BD16" i="45" s="1"/>
  <c r="U19" i="45"/>
  <c r="U20" i="45"/>
  <c r="V18" i="45"/>
  <c r="AY82" i="45"/>
  <c r="W39" i="45"/>
  <c r="X38" i="45"/>
  <c r="BD38" i="45" s="1"/>
  <c r="W40" i="45"/>
  <c r="S26" i="45"/>
  <c r="S24" i="45"/>
  <c r="S25" i="45"/>
  <c r="S82" i="45"/>
  <c r="AC45" i="45"/>
  <c r="AB47" i="45"/>
  <c r="AB49" i="45"/>
  <c r="AB46" i="45"/>
  <c r="BE88" i="45"/>
  <c r="BE92" i="45"/>
  <c r="Z51" i="45"/>
  <c r="Z92" i="45" s="1"/>
  <c r="Z53" i="45"/>
  <c r="Z52" i="45"/>
  <c r="Z88" i="45"/>
  <c r="AA48" i="45"/>
  <c r="AA50" i="45" s="1"/>
  <c r="Z39" i="46" s="1"/>
  <c r="R187" i="42"/>
  <c r="T184" i="42"/>
  <c r="S185" i="42"/>
  <c r="S186" i="42"/>
  <c r="S189" i="42" s="1"/>
  <c r="AF72" i="12"/>
  <c r="AH72" i="14"/>
  <c r="BK63" i="36"/>
  <c r="BK68" i="36" s="1"/>
  <c r="BK75" i="36" s="1"/>
  <c r="AE68" i="36"/>
  <c r="AE75" i="36" s="1"/>
  <c r="AF63" i="36"/>
  <c r="AG72" i="14"/>
  <c r="AE63" i="45"/>
  <c r="BI71" i="36"/>
  <c r="BI72" i="36" s="1"/>
  <c r="BI106" i="36"/>
  <c r="AD71" i="36"/>
  <c r="AD106" i="36"/>
  <c r="BK64" i="36"/>
  <c r="AE65" i="36"/>
  <c r="AE66" i="36"/>
  <c r="AE73" i="36" s="1"/>
  <c r="BJ66" i="36"/>
  <c r="BJ73" i="36" s="1"/>
  <c r="BJ65" i="36"/>
  <c r="X21" i="29"/>
  <c r="W24" i="29"/>
  <c r="S132" i="38"/>
  <c r="S132" i="42"/>
  <c r="U234" i="38"/>
  <c r="T235" i="38"/>
  <c r="S67" i="38"/>
  <c r="S65" i="38"/>
  <c r="S70" i="38"/>
  <c r="T63" i="38"/>
  <c r="S69" i="38"/>
  <c r="S88" i="38" s="1"/>
  <c r="S64" i="38"/>
  <c r="S68" i="38"/>
  <c r="T219" i="42"/>
  <c r="S220" i="42"/>
  <c r="S134" i="42"/>
  <c r="S133" i="42"/>
  <c r="S135" i="42"/>
  <c r="U129" i="42"/>
  <c r="T130" i="42"/>
  <c r="T131" i="42"/>
  <c r="S133" i="38"/>
  <c r="S135" i="38"/>
  <c r="S134" i="38"/>
  <c r="U129" i="38"/>
  <c r="T185" i="38"/>
  <c r="T186" i="38"/>
  <c r="T131" i="38"/>
  <c r="T130" i="38"/>
  <c r="R95" i="42"/>
  <c r="R93" i="42"/>
  <c r="W24" i="38"/>
  <c r="V23" i="38"/>
  <c r="V22" i="38"/>
  <c r="W21" i="38"/>
  <c r="R66" i="38"/>
  <c r="S189" i="38"/>
  <c r="S188" i="38"/>
  <c r="S69" i="42"/>
  <c r="S88" i="42" s="1"/>
  <c r="S65" i="42"/>
  <c r="S68" i="42"/>
  <c r="S70" i="42"/>
  <c r="S64" i="42"/>
  <c r="S67" i="42"/>
  <c r="T63" i="42"/>
  <c r="U234" i="42"/>
  <c r="T235" i="42"/>
  <c r="V25" i="38"/>
  <c r="S187" i="38"/>
  <c r="U219" i="38"/>
  <c r="T220" i="38"/>
  <c r="R66" i="42"/>
  <c r="S69" i="20"/>
  <c r="T268" i="19"/>
  <c r="U310" i="20"/>
  <c r="W22" i="28"/>
  <c r="T88" i="28"/>
  <c r="T90" i="28"/>
  <c r="T87" i="28"/>
  <c r="T86" i="28"/>
  <c r="U85" i="28"/>
  <c r="T91" i="28"/>
  <c r="T89" i="28"/>
  <c r="U66" i="20"/>
  <c r="T67" i="20"/>
  <c r="T68" i="20"/>
  <c r="W23" i="28"/>
  <c r="U198" i="20"/>
  <c r="T199" i="20"/>
  <c r="S71" i="20"/>
  <c r="S73" i="20"/>
  <c r="S70" i="20"/>
  <c r="S72" i="20"/>
  <c r="S65" i="28"/>
  <c r="X24" i="28"/>
  <c r="T67" i="28"/>
  <c r="T66" i="28"/>
  <c r="U62" i="28"/>
  <c r="T64" i="28"/>
  <c r="T63" i="28"/>
  <c r="T123" i="20"/>
  <c r="T126" i="20"/>
  <c r="T124" i="20"/>
  <c r="T125" i="20"/>
  <c r="T128" i="20"/>
  <c r="U122" i="20"/>
  <c r="T127" i="20"/>
  <c r="X25" i="28"/>
  <c r="U110" i="28"/>
  <c r="T111" i="28"/>
  <c r="Y21" i="28"/>
  <c r="AF50" i="15"/>
  <c r="AF53" i="15" s="1"/>
  <c r="AF137" i="15" s="1"/>
  <c r="AF126" i="15"/>
  <c r="AD74" i="12"/>
  <c r="AD219" i="12" s="1"/>
  <c r="AD230" i="12" s="1"/>
  <c r="AD75" i="12"/>
  <c r="AD78" i="12"/>
  <c r="AD77" i="12"/>
  <c r="AD80" i="12"/>
  <c r="AD76" i="12"/>
  <c r="AD79" i="12"/>
  <c r="S212" i="20"/>
  <c r="AE74" i="14"/>
  <c r="AE219" i="14" s="1"/>
  <c r="AE230" i="14" s="1"/>
  <c r="AE77" i="14"/>
  <c r="AE80" i="14"/>
  <c r="AE78" i="14"/>
  <c r="AE76" i="14"/>
  <c r="AE75" i="14"/>
  <c r="AE79" i="14"/>
  <c r="AG72" i="12"/>
  <c r="AE73" i="12"/>
  <c r="AG29" i="13"/>
  <c r="AG30" i="13" s="1"/>
  <c r="AH28" i="13"/>
  <c r="AH29" i="13" s="1"/>
  <c r="AH30" i="13" s="1"/>
  <c r="AF31" i="13"/>
  <c r="AF33" i="13" s="1"/>
  <c r="AF64" i="36" s="1"/>
  <c r="AF32" i="13"/>
  <c r="AF73" i="14" s="1"/>
  <c r="AG31" i="15"/>
  <c r="S3" i="12"/>
  <c r="R1" i="52" s="1"/>
  <c r="BG52" i="45" l="1"/>
  <c r="AC96" i="55"/>
  <c r="BH96" i="55"/>
  <c r="DT96" i="55" s="1"/>
  <c r="BH95" i="55"/>
  <c r="DT95" i="55" s="1"/>
  <c r="AC95" i="55"/>
  <c r="AH64" i="45"/>
  <c r="BN64" i="45" s="1"/>
  <c r="AH61" i="45"/>
  <c r="BN61" i="45" s="1"/>
  <c r="BN63" i="45" s="1"/>
  <c r="AG64" i="45"/>
  <c r="BM64" i="45" s="1"/>
  <c r="AG61" i="45"/>
  <c r="BM61" i="45" s="1"/>
  <c r="BM63" i="45" s="1"/>
  <c r="AD72" i="36"/>
  <c r="CP38" i="58"/>
  <c r="AD37" i="58" s="1"/>
  <c r="BJ37" i="58" s="1"/>
  <c r="CP37" i="58" s="1"/>
  <c r="W23" i="54"/>
  <c r="X24" i="54"/>
  <c r="W22" i="54"/>
  <c r="BA21" i="45"/>
  <c r="W21" i="54"/>
  <c r="W25" i="54"/>
  <c r="Y8" i="52"/>
  <c r="AM5" i="50"/>
  <c r="AA4" i="51"/>
  <c r="AA57" i="58" s="1"/>
  <c r="U65" i="54"/>
  <c r="U67" i="54"/>
  <c r="U69" i="54"/>
  <c r="U76" i="54" s="1"/>
  <c r="U77" i="54" s="1"/>
  <c r="U68" i="54"/>
  <c r="U70" i="54"/>
  <c r="V63" i="54"/>
  <c r="U64" i="54"/>
  <c r="BG51" i="45"/>
  <c r="T66" i="54"/>
  <c r="V156" i="54"/>
  <c r="U157" i="54"/>
  <c r="V156" i="53"/>
  <c r="U157" i="53"/>
  <c r="V147" i="53"/>
  <c r="U148" i="53"/>
  <c r="T66" i="53"/>
  <c r="U65" i="53"/>
  <c r="U69" i="53"/>
  <c r="U76" i="53" s="1"/>
  <c r="U68" i="53"/>
  <c r="U64" i="53"/>
  <c r="U70" i="53"/>
  <c r="U67" i="53"/>
  <c r="V63" i="53"/>
  <c r="T77" i="53"/>
  <c r="U100" i="53"/>
  <c r="U132" i="53"/>
  <c r="U101" i="53"/>
  <c r="U131" i="53"/>
  <c r="T133" i="53"/>
  <c r="T135" i="53"/>
  <c r="T134" i="53"/>
  <c r="T104" i="53"/>
  <c r="T103" i="53"/>
  <c r="T105" i="53"/>
  <c r="T102" i="53"/>
  <c r="X22" i="53"/>
  <c r="X23" i="53"/>
  <c r="X25" i="53"/>
  <c r="X21" i="53"/>
  <c r="Y24" i="53"/>
  <c r="BE4" i="51"/>
  <c r="BE57" i="58" s="1"/>
  <c r="AL3" i="50"/>
  <c r="Z6" i="52" s="1"/>
  <c r="S188" i="42"/>
  <c r="Z39" i="48"/>
  <c r="BB43" i="45"/>
  <c r="BB42" i="45"/>
  <c r="BB44" i="45"/>
  <c r="BH48" i="45"/>
  <c r="BH50" i="45" s="1"/>
  <c r="W23" i="48"/>
  <c r="T67" i="46"/>
  <c r="T65" i="46"/>
  <c r="T69" i="46"/>
  <c r="T92" i="46" s="1"/>
  <c r="U63" i="46"/>
  <c r="T68" i="46"/>
  <c r="T64" i="46"/>
  <c r="T70" i="46"/>
  <c r="X24" i="48"/>
  <c r="T207" i="48"/>
  <c r="T206" i="48"/>
  <c r="T143" i="48"/>
  <c r="T145" i="48"/>
  <c r="T144" i="48"/>
  <c r="S92" i="42"/>
  <c r="S89" i="42"/>
  <c r="S90" i="42"/>
  <c r="S91" i="42"/>
  <c r="S95" i="42" s="1"/>
  <c r="X21" i="48"/>
  <c r="S66" i="46"/>
  <c r="T142" i="48"/>
  <c r="V260" i="48"/>
  <c r="U261" i="48"/>
  <c r="BC41" i="45"/>
  <c r="BC44" i="45" s="1"/>
  <c r="W25" i="48"/>
  <c r="V243" i="48"/>
  <c r="U244" i="48"/>
  <c r="U204" i="48"/>
  <c r="U141" i="48"/>
  <c r="U203" i="48"/>
  <c r="U140" i="48"/>
  <c r="V139" i="48"/>
  <c r="S90" i="38"/>
  <c r="S91" i="38"/>
  <c r="S89" i="38"/>
  <c r="R94" i="48"/>
  <c r="R97" i="48"/>
  <c r="R93" i="48"/>
  <c r="R98" i="48" s="1"/>
  <c r="R95" i="48"/>
  <c r="R100" i="48" s="1"/>
  <c r="R96" i="48"/>
  <c r="R101" i="48" s="1"/>
  <c r="S96" i="46"/>
  <c r="S101" i="46" s="1"/>
  <c r="S97" i="46"/>
  <c r="S94" i="46"/>
  <c r="S92" i="48"/>
  <c r="S95" i="46"/>
  <c r="S100" i="46" s="1"/>
  <c r="S93" i="46"/>
  <c r="S98" i="46" s="1"/>
  <c r="U65" i="48"/>
  <c r="V63" i="48"/>
  <c r="U68" i="48"/>
  <c r="U70" i="48"/>
  <c r="U64" i="48"/>
  <c r="U69" i="48"/>
  <c r="U67" i="48"/>
  <c r="T66" i="48"/>
  <c r="T205" i="48"/>
  <c r="W22" i="48"/>
  <c r="AB48" i="45"/>
  <c r="BD17" i="45"/>
  <c r="BD69" i="45" s="1"/>
  <c r="BI46" i="45"/>
  <c r="BI47" i="45"/>
  <c r="BI49" i="45"/>
  <c r="BJ45" i="45"/>
  <c r="BB19" i="45"/>
  <c r="BB20" i="45"/>
  <c r="BD39" i="45"/>
  <c r="BD40" i="45"/>
  <c r="S37" i="48"/>
  <c r="AZ24" i="45"/>
  <c r="AZ25" i="45"/>
  <c r="AZ26" i="45"/>
  <c r="V42" i="45"/>
  <c r="U38" i="46"/>
  <c r="BA23" i="45"/>
  <c r="BC18" i="45"/>
  <c r="T205" i="46"/>
  <c r="V139" i="46"/>
  <c r="U204" i="46"/>
  <c r="U141" i="46"/>
  <c r="U203" i="46"/>
  <c r="U140" i="46"/>
  <c r="AD363" i="46"/>
  <c r="X25" i="46"/>
  <c r="Y21" i="46"/>
  <c r="X22" i="46"/>
  <c r="Y24" i="46"/>
  <c r="V243" i="46"/>
  <c r="U244" i="46"/>
  <c r="T145" i="46"/>
  <c r="T144" i="46"/>
  <c r="T143" i="46"/>
  <c r="V260" i="46"/>
  <c r="U261" i="46"/>
  <c r="T142" i="46"/>
  <c r="T207" i="46"/>
  <c r="T206" i="46"/>
  <c r="X23" i="46"/>
  <c r="U21" i="45"/>
  <c r="U23" i="45" s="1"/>
  <c r="V43" i="45"/>
  <c r="W41" i="45"/>
  <c r="V95" i="45"/>
  <c r="BA95" i="45"/>
  <c r="W18" i="45"/>
  <c r="W19" i="45" s="1"/>
  <c r="V44" i="45"/>
  <c r="X39" i="45"/>
  <c r="Y38" i="45"/>
  <c r="BE38" i="45" s="1"/>
  <c r="X40" i="45"/>
  <c r="V19" i="45"/>
  <c r="V20" i="45"/>
  <c r="Y16" i="45"/>
  <c r="BE16" i="45" s="1"/>
  <c r="X17" i="45"/>
  <c r="X69" i="45" s="1"/>
  <c r="BB95" i="45"/>
  <c r="AA52" i="45"/>
  <c r="AA51" i="45"/>
  <c r="AA92" i="45" s="1"/>
  <c r="AA53" i="45"/>
  <c r="AA88" i="45"/>
  <c r="AD45" i="45"/>
  <c r="AC49" i="45"/>
  <c r="AC46" i="45"/>
  <c r="AC47" i="45"/>
  <c r="BF88" i="45"/>
  <c r="BF92" i="45"/>
  <c r="AB50" i="45"/>
  <c r="AA39" i="46" s="1"/>
  <c r="S187" i="42"/>
  <c r="U184" i="42"/>
  <c r="T186" i="42"/>
  <c r="T188" i="42" s="1"/>
  <c r="T185" i="42"/>
  <c r="AH72" i="12"/>
  <c r="BL63" i="36"/>
  <c r="BL68" i="36" s="1"/>
  <c r="BL75" i="36" s="1"/>
  <c r="AF68" i="36"/>
  <c r="AF75" i="36" s="1"/>
  <c r="AH63" i="36"/>
  <c r="AG63" i="36"/>
  <c r="AF63" i="45"/>
  <c r="BL64" i="36"/>
  <c r="AF66" i="36"/>
  <c r="AF73" i="36" s="1"/>
  <c r="AF65" i="36"/>
  <c r="AE71" i="36"/>
  <c r="AE106" i="36"/>
  <c r="BJ71" i="36"/>
  <c r="BJ72" i="36" s="1"/>
  <c r="BJ106" i="36"/>
  <c r="BK66" i="36"/>
  <c r="BK73" i="36" s="1"/>
  <c r="BK65" i="36"/>
  <c r="T69" i="20"/>
  <c r="X24" i="29"/>
  <c r="Y21" i="29"/>
  <c r="T132" i="42"/>
  <c r="T132" i="38"/>
  <c r="X24" i="38"/>
  <c r="W25" i="38"/>
  <c r="T68" i="42"/>
  <c r="U63" i="42"/>
  <c r="T67" i="42"/>
  <c r="T69" i="42"/>
  <c r="T88" i="42" s="1"/>
  <c r="T65" i="42"/>
  <c r="T70" i="42"/>
  <c r="T64" i="42"/>
  <c r="X21" i="38"/>
  <c r="T133" i="38"/>
  <c r="T135" i="38"/>
  <c r="T134" i="38"/>
  <c r="T134" i="42"/>
  <c r="T133" i="42"/>
  <c r="T135" i="42"/>
  <c r="V129" i="42"/>
  <c r="U130" i="42"/>
  <c r="U131" i="42"/>
  <c r="V234" i="38"/>
  <c r="U235" i="38"/>
  <c r="V234" i="42"/>
  <c r="U235" i="42"/>
  <c r="T188" i="38"/>
  <c r="T189" i="38"/>
  <c r="U219" i="42"/>
  <c r="T220" i="42"/>
  <c r="S66" i="38"/>
  <c r="S93" i="42"/>
  <c r="S94" i="42"/>
  <c r="V219" i="38"/>
  <c r="U220" i="38"/>
  <c r="S66" i="42"/>
  <c r="T187" i="38"/>
  <c r="W22" i="38"/>
  <c r="W23" i="38"/>
  <c r="V129" i="38"/>
  <c r="U185" i="38"/>
  <c r="U186" i="38"/>
  <c r="U130" i="38"/>
  <c r="U131" i="38"/>
  <c r="U63" i="38"/>
  <c r="T68" i="38"/>
  <c r="T67" i="38"/>
  <c r="T64" i="38"/>
  <c r="T70" i="38"/>
  <c r="T65" i="38"/>
  <c r="T69" i="38"/>
  <c r="T88" i="38" s="1"/>
  <c r="T71" i="20"/>
  <c r="T70" i="20"/>
  <c r="T72" i="20"/>
  <c r="T73" i="20"/>
  <c r="U268" i="19"/>
  <c r="V310" i="20"/>
  <c r="Z21" i="28"/>
  <c r="Y25" i="28"/>
  <c r="V122" i="20"/>
  <c r="U126" i="20"/>
  <c r="U124" i="20"/>
  <c r="U125" i="20"/>
  <c r="U128" i="20"/>
  <c r="U123" i="20"/>
  <c r="U127" i="20"/>
  <c r="U63" i="28"/>
  <c r="U66" i="28"/>
  <c r="V62" i="28"/>
  <c r="U64" i="28"/>
  <c r="U67" i="28"/>
  <c r="U88" i="28"/>
  <c r="U89" i="28"/>
  <c r="V85" i="28"/>
  <c r="U90" i="28"/>
  <c r="U87" i="28"/>
  <c r="U86" i="28"/>
  <c r="U91" i="28"/>
  <c r="Y24" i="28"/>
  <c r="V66" i="20"/>
  <c r="U68" i="20"/>
  <c r="U67" i="20"/>
  <c r="U111" i="28"/>
  <c r="V110" i="28"/>
  <c r="T65" i="28"/>
  <c r="V198" i="20"/>
  <c r="U199" i="20"/>
  <c r="X23" i="28"/>
  <c r="X22" i="28"/>
  <c r="AG50" i="15"/>
  <c r="AG53" i="15" s="1"/>
  <c r="AG137" i="15" s="1"/>
  <c r="AG126" i="15"/>
  <c r="AE74" i="12"/>
  <c r="AE219" i="12" s="1"/>
  <c r="AE230" i="12" s="1"/>
  <c r="AE75" i="12"/>
  <c r="AE78" i="12"/>
  <c r="AE79" i="12"/>
  <c r="AE76" i="12"/>
  <c r="AE77" i="12"/>
  <c r="AE80" i="12"/>
  <c r="T212" i="20"/>
  <c r="AF74" i="14"/>
  <c r="AF219" i="14" s="1"/>
  <c r="AF230" i="14" s="1"/>
  <c r="AF79" i="14"/>
  <c r="AF75" i="14"/>
  <c r="AF76" i="14"/>
  <c r="AF78" i="14"/>
  <c r="AF80" i="14"/>
  <c r="AF77" i="14"/>
  <c r="AH32" i="13"/>
  <c r="AH73" i="14" s="1"/>
  <c r="AH31" i="13"/>
  <c r="AH33" i="13" s="1"/>
  <c r="AH64" i="36" s="1"/>
  <c r="AG31" i="13"/>
  <c r="AG33" i="13" s="1"/>
  <c r="AG64" i="36" s="1"/>
  <c r="AG32" i="13"/>
  <c r="AG73" i="14" s="1"/>
  <c r="AF73" i="12"/>
  <c r="AH31" i="15"/>
  <c r="T3" i="12"/>
  <c r="S1" i="52" s="1"/>
  <c r="I45" i="2"/>
  <c r="E52" i="2"/>
  <c r="B5" i="8"/>
  <c r="V30" i="3"/>
  <c r="V32" i="3"/>
  <c r="W32" i="3"/>
  <c r="C26" i="3"/>
  <c r="C30" i="3" s="1"/>
  <c r="D30" i="3" s="1"/>
  <c r="E29" i="3"/>
  <c r="E30" i="3"/>
  <c r="E28" i="3"/>
  <c r="D27" i="3"/>
  <c r="M15" i="7"/>
  <c r="N15" i="7" s="1"/>
  <c r="M14" i="7"/>
  <c r="C38" i="7" s="1"/>
  <c r="B17" i="1"/>
  <c r="I16" i="7"/>
  <c r="I17" i="7"/>
  <c r="C11" i="7"/>
  <c r="D11" i="7" s="1"/>
  <c r="L2" i="7"/>
  <c r="Q13" i="1"/>
  <c r="N4" i="6"/>
  <c r="O4" i="6" s="1"/>
  <c r="P4" i="6" s="1"/>
  <c r="Q4" i="6" s="1"/>
  <c r="R4" i="6" s="1"/>
  <c r="N5" i="6"/>
  <c r="N6" i="6"/>
  <c r="O6" i="6" s="1"/>
  <c r="P6" i="6" s="1"/>
  <c r="Q6" i="6" s="1"/>
  <c r="R6" i="6" s="1"/>
  <c r="AE72" i="36" l="1"/>
  <c r="CQ38" i="58"/>
  <c r="AE37" i="58" s="1"/>
  <c r="BK37" i="58" s="1"/>
  <c r="CQ37" i="58" s="1"/>
  <c r="AD96" i="55"/>
  <c r="BI96" i="55"/>
  <c r="DU96" i="55" s="1"/>
  <c r="K57" i="60"/>
  <c r="BP186" i="55"/>
  <c r="EE186" i="55"/>
  <c r="AD95" i="55"/>
  <c r="BI95" i="55"/>
  <c r="DU95" i="55" s="1"/>
  <c r="Y24" i="54"/>
  <c r="X21" i="54"/>
  <c r="X23" i="54"/>
  <c r="X22" i="54"/>
  <c r="X25" i="54"/>
  <c r="U66" i="54"/>
  <c r="Z8" i="52"/>
  <c r="AN5" i="50"/>
  <c r="AB4" i="51"/>
  <c r="AB57" i="58" s="1"/>
  <c r="V67" i="54"/>
  <c r="V64" i="54"/>
  <c r="V65" i="54"/>
  <c r="V68" i="54"/>
  <c r="V69" i="54"/>
  <c r="V76" i="54" s="1"/>
  <c r="V77" i="54" s="1"/>
  <c r="V70" i="54"/>
  <c r="W63" i="54"/>
  <c r="U66" i="53"/>
  <c r="V157" i="54"/>
  <c r="W156" i="54"/>
  <c r="AA39" i="48"/>
  <c r="BH53" i="45"/>
  <c r="BH51" i="45"/>
  <c r="BH52" i="45"/>
  <c r="W147" i="53"/>
  <c r="V148" i="53"/>
  <c r="W156" i="53"/>
  <c r="V157" i="53"/>
  <c r="U77" i="53"/>
  <c r="V69" i="53"/>
  <c r="V76" i="53" s="1"/>
  <c r="W63" i="53"/>
  <c r="V65" i="53"/>
  <c r="V64" i="53"/>
  <c r="V70" i="53"/>
  <c r="V67" i="53"/>
  <c r="V68" i="53"/>
  <c r="V38" i="46"/>
  <c r="U24" i="45"/>
  <c r="U133" i="53"/>
  <c r="U104" i="53"/>
  <c r="U103" i="53"/>
  <c r="U105" i="53"/>
  <c r="U135" i="53"/>
  <c r="U134" i="53"/>
  <c r="U102" i="53"/>
  <c r="V100" i="53"/>
  <c r="V101" i="53"/>
  <c r="V132" i="53"/>
  <c r="V131" i="53"/>
  <c r="Z24" i="53"/>
  <c r="Y25" i="53"/>
  <c r="Y23" i="53"/>
  <c r="Y21" i="53"/>
  <c r="Y22" i="53"/>
  <c r="BF4" i="51"/>
  <c r="BF57" i="58" s="1"/>
  <c r="AM3" i="50"/>
  <c r="AA6" i="52" s="1"/>
  <c r="BC43" i="45"/>
  <c r="W43" i="45"/>
  <c r="BC42" i="45"/>
  <c r="V38" i="48"/>
  <c r="U66" i="48"/>
  <c r="T66" i="46"/>
  <c r="W95" i="45"/>
  <c r="U205" i="48"/>
  <c r="AC48" i="45"/>
  <c r="AC50" i="45" s="1"/>
  <c r="AB39" i="46" s="1"/>
  <c r="BD41" i="45"/>
  <c r="W38" i="48" s="1"/>
  <c r="X22" i="48"/>
  <c r="V65" i="48"/>
  <c r="V70" i="48"/>
  <c r="V69" i="48"/>
  <c r="V64" i="48"/>
  <c r="V68" i="48"/>
  <c r="W63" i="48"/>
  <c r="V67" i="48"/>
  <c r="S96" i="48"/>
  <c r="S101" i="48" s="1"/>
  <c r="S93" i="48"/>
  <c r="S98" i="48" s="1"/>
  <c r="S94" i="48"/>
  <c r="S95" i="48"/>
  <c r="S100" i="48" s="1"/>
  <c r="S97" i="48"/>
  <c r="W243" i="48"/>
  <c r="V244" i="48"/>
  <c r="X25" i="48"/>
  <c r="V261" i="48"/>
  <c r="W260" i="48"/>
  <c r="Y21" i="48"/>
  <c r="T91" i="38"/>
  <c r="T89" i="38"/>
  <c r="T90" i="38"/>
  <c r="U143" i="48"/>
  <c r="U145" i="48"/>
  <c r="U144" i="48"/>
  <c r="T95" i="46"/>
  <c r="T100" i="46" s="1"/>
  <c r="T94" i="46"/>
  <c r="T92" i="48"/>
  <c r="T97" i="46"/>
  <c r="T93" i="46"/>
  <c r="T98" i="46" s="1"/>
  <c r="T96" i="46"/>
  <c r="T101" i="46" s="1"/>
  <c r="Y24" i="48"/>
  <c r="BB21" i="45"/>
  <c r="BI48" i="45"/>
  <c r="BI50" i="45" s="1"/>
  <c r="BI51" i="45" s="1"/>
  <c r="W139" i="48"/>
  <c r="V140" i="48"/>
  <c r="V204" i="48"/>
  <c r="V141" i="48"/>
  <c r="V203" i="48"/>
  <c r="U206" i="48"/>
  <c r="U207" i="48"/>
  <c r="X23" i="48"/>
  <c r="U67" i="46"/>
  <c r="U69" i="46"/>
  <c r="U92" i="46" s="1"/>
  <c r="U70" i="46"/>
  <c r="U64" i="46"/>
  <c r="V63" i="46"/>
  <c r="U68" i="46"/>
  <c r="U65" i="46"/>
  <c r="T92" i="42"/>
  <c r="T89" i="42"/>
  <c r="T93" i="42" s="1"/>
  <c r="T91" i="42"/>
  <c r="T95" i="42" s="1"/>
  <c r="T90" i="42"/>
  <c r="W20" i="45"/>
  <c r="U142" i="48"/>
  <c r="W44" i="45"/>
  <c r="U25" i="45"/>
  <c r="T37" i="46"/>
  <c r="BC19" i="45"/>
  <c r="BC20" i="45"/>
  <c r="BJ47" i="45"/>
  <c r="BJ49" i="45"/>
  <c r="BJ46" i="45"/>
  <c r="BK45" i="45"/>
  <c r="BB23" i="45"/>
  <c r="BB82" i="45" s="1"/>
  <c r="W42" i="45"/>
  <c r="U82" i="45"/>
  <c r="T37" i="48"/>
  <c r="BA25" i="45"/>
  <c r="BA26" i="45"/>
  <c r="BA24" i="45"/>
  <c r="BE17" i="45"/>
  <c r="BE69" i="45" s="1"/>
  <c r="BE39" i="45"/>
  <c r="BE40" i="45"/>
  <c r="BD18" i="45"/>
  <c r="Y23" i="46"/>
  <c r="Y22" i="46"/>
  <c r="Y25" i="46"/>
  <c r="AE363" i="46"/>
  <c r="U142" i="46"/>
  <c r="W139" i="46"/>
  <c r="V204" i="46"/>
  <c r="V140" i="46"/>
  <c r="V203" i="46"/>
  <c r="V141" i="46"/>
  <c r="Z24" i="46"/>
  <c r="U205" i="46"/>
  <c r="Z21" i="46"/>
  <c r="U145" i="46"/>
  <c r="U144" i="46"/>
  <c r="U143" i="46"/>
  <c r="W260" i="46"/>
  <c r="V261" i="46"/>
  <c r="W243" i="46"/>
  <c r="V244" i="46"/>
  <c r="U207" i="46"/>
  <c r="U206" i="46"/>
  <c r="U26" i="45"/>
  <c r="X18" i="45"/>
  <c r="X19" i="45" s="1"/>
  <c r="AZ82" i="45"/>
  <c r="V21" i="45"/>
  <c r="V23" i="45" s="1"/>
  <c r="Z38" i="45"/>
  <c r="BF38" i="45" s="1"/>
  <c r="Y40" i="45"/>
  <c r="Y39" i="45"/>
  <c r="Y17" i="45"/>
  <c r="Y69" i="45" s="1"/>
  <c r="Z16" i="45"/>
  <c r="BF16" i="45" s="1"/>
  <c r="X41" i="45"/>
  <c r="BG88" i="45"/>
  <c r="BG92" i="45"/>
  <c r="AE45" i="45"/>
  <c r="AD49" i="45"/>
  <c r="AD47" i="45"/>
  <c r="AD46" i="45"/>
  <c r="AB52" i="45"/>
  <c r="AB51" i="45"/>
  <c r="AB92" i="45" s="1"/>
  <c r="AB53" i="45"/>
  <c r="AB88" i="45"/>
  <c r="T189" i="42"/>
  <c r="T187" i="42"/>
  <c r="V184" i="42"/>
  <c r="U186" i="42"/>
  <c r="U189" i="42" s="1"/>
  <c r="U185" i="42"/>
  <c r="BN63" i="36"/>
  <c r="BN68" i="36" s="1"/>
  <c r="BN75" i="36" s="1"/>
  <c r="AH68" i="36"/>
  <c r="AH75" i="36" s="1"/>
  <c r="AG63" i="45"/>
  <c r="BM63" i="36"/>
  <c r="BM68" i="36" s="1"/>
  <c r="BM75" i="36" s="1"/>
  <c r="AG68" i="36"/>
  <c r="AG75" i="36" s="1"/>
  <c r="AH63" i="45"/>
  <c r="BN64" i="36"/>
  <c r="AH66" i="36"/>
  <c r="AH73" i="36" s="1"/>
  <c r="AH65" i="36"/>
  <c r="CI12" i="36" s="1"/>
  <c r="CD23" i="36" s="1"/>
  <c r="AF71" i="36"/>
  <c r="AF106" i="36"/>
  <c r="BM64" i="36"/>
  <c r="AG66" i="36"/>
  <c r="AG73" i="36" s="1"/>
  <c r="AG65" i="36"/>
  <c r="BK71" i="36"/>
  <c r="BK72" i="36" s="1"/>
  <c r="BK106" i="36"/>
  <c r="BL66" i="36"/>
  <c r="BL73" i="36" s="1"/>
  <c r="BL65" i="36"/>
  <c r="Z21" i="29"/>
  <c r="Y24" i="29"/>
  <c r="U132" i="42"/>
  <c r="T66" i="38"/>
  <c r="W129" i="38"/>
  <c r="V185" i="38"/>
  <c r="V186" i="38"/>
  <c r="V130" i="38"/>
  <c r="V131" i="38"/>
  <c r="U132" i="38"/>
  <c r="X23" i="38"/>
  <c r="U134" i="42"/>
  <c r="U133" i="42"/>
  <c r="U135" i="42"/>
  <c r="W129" i="42"/>
  <c r="V131" i="42"/>
  <c r="V130" i="42"/>
  <c r="U69" i="42"/>
  <c r="U88" i="42" s="1"/>
  <c r="U67" i="42"/>
  <c r="U68" i="42"/>
  <c r="U70" i="42"/>
  <c r="U65" i="42"/>
  <c r="V63" i="42"/>
  <c r="U64" i="42"/>
  <c r="Y24" i="38"/>
  <c r="W219" i="38"/>
  <c r="V220" i="38"/>
  <c r="V219" i="42"/>
  <c r="U220" i="42"/>
  <c r="W234" i="42"/>
  <c r="V235" i="42"/>
  <c r="U189" i="38"/>
  <c r="U188" i="38"/>
  <c r="U67" i="38"/>
  <c r="U64" i="38"/>
  <c r="U65" i="38"/>
  <c r="V63" i="38"/>
  <c r="U69" i="38"/>
  <c r="U88" i="38" s="1"/>
  <c r="U68" i="38"/>
  <c r="U70" i="38"/>
  <c r="U187" i="38"/>
  <c r="X22" i="38"/>
  <c r="Y21" i="38"/>
  <c r="X25" i="38"/>
  <c r="U133" i="38"/>
  <c r="U135" i="38"/>
  <c r="U134" i="38"/>
  <c r="W234" i="38"/>
  <c r="V235" i="38"/>
  <c r="T66" i="42"/>
  <c r="T94" i="42"/>
  <c r="Y22" i="28"/>
  <c r="V199" i="20"/>
  <c r="W198" i="20"/>
  <c r="W110" i="28"/>
  <c r="V111" i="28"/>
  <c r="U72" i="20"/>
  <c r="U71" i="20"/>
  <c r="U73" i="20"/>
  <c r="U70" i="20"/>
  <c r="V87" i="28"/>
  <c r="V88" i="28"/>
  <c r="W85" i="28"/>
  <c r="V89" i="28"/>
  <c r="V86" i="28"/>
  <c r="V91" i="28"/>
  <c r="V90" i="28"/>
  <c r="Z25" i="28"/>
  <c r="W66" i="20"/>
  <c r="V68" i="20"/>
  <c r="V67" i="20"/>
  <c r="V66" i="28"/>
  <c r="W62" i="28"/>
  <c r="V64" i="28"/>
  <c r="V67" i="28"/>
  <c r="V63" i="28"/>
  <c r="Y23" i="28"/>
  <c r="V124" i="20"/>
  <c r="V128" i="20"/>
  <c r="W122" i="20"/>
  <c r="V126" i="20"/>
  <c r="V125" i="20"/>
  <c r="V127" i="20"/>
  <c r="V123" i="20"/>
  <c r="AA21" i="28"/>
  <c r="U69" i="20"/>
  <c r="Z24" i="28"/>
  <c r="U65" i="28"/>
  <c r="W310" i="20"/>
  <c r="V268" i="19"/>
  <c r="W33" i="3"/>
  <c r="V33" i="3" s="1"/>
  <c r="AH126" i="15"/>
  <c r="D86" i="15"/>
  <c r="AN120" i="15"/>
  <c r="AF74" i="12"/>
  <c r="AF219" i="12" s="1"/>
  <c r="AF230" i="12" s="1"/>
  <c r="AF76" i="12"/>
  <c r="AF77" i="12"/>
  <c r="AF75" i="12"/>
  <c r="AF78" i="12"/>
  <c r="AF79" i="12"/>
  <c r="AF80" i="12"/>
  <c r="U212" i="20"/>
  <c r="AG74" i="14"/>
  <c r="AG219" i="14" s="1"/>
  <c r="AG230" i="14" s="1"/>
  <c r="AG80" i="14"/>
  <c r="AG76" i="14"/>
  <c r="AG75" i="14"/>
  <c r="AG77" i="14"/>
  <c r="AG79" i="14"/>
  <c r="AG78" i="14"/>
  <c r="AH74" i="14"/>
  <c r="D179" i="14" s="1"/>
  <c r="AH75" i="14"/>
  <c r="AH77" i="14"/>
  <c r="AH76" i="14"/>
  <c r="AH80" i="14"/>
  <c r="AH78" i="14"/>
  <c r="AH79" i="14"/>
  <c r="C84" i="7"/>
  <c r="N14" i="7"/>
  <c r="O14" i="7" s="1"/>
  <c r="T20" i="7"/>
  <c r="T19" i="7"/>
  <c r="E63" i="7"/>
  <c r="C86" i="7"/>
  <c r="J19" i="7"/>
  <c r="J18" i="7"/>
  <c r="J20" i="7"/>
  <c r="Y14" i="7"/>
  <c r="J14" i="7"/>
  <c r="T15" i="7"/>
  <c r="J16" i="7"/>
  <c r="T14" i="7"/>
  <c r="J17" i="7"/>
  <c r="J15" i="7"/>
  <c r="O15" i="7"/>
  <c r="L70" i="7"/>
  <c r="AH50" i="15"/>
  <c r="AH53" i="15" s="1"/>
  <c r="AH137" i="15" s="1"/>
  <c r="W34" i="3"/>
  <c r="C29" i="3"/>
  <c r="D29" i="3" s="1"/>
  <c r="AG73" i="12"/>
  <c r="AH73" i="12"/>
  <c r="I21" i="7"/>
  <c r="M16" i="7"/>
  <c r="N16" i="7" s="1"/>
  <c r="O5" i="6"/>
  <c r="D4" i="16"/>
  <c r="D4" i="15"/>
  <c r="C52" i="2"/>
  <c r="U3" i="12"/>
  <c r="T1" i="52" s="1"/>
  <c r="C27" i="3"/>
  <c r="E27" i="3" s="1"/>
  <c r="C28" i="3"/>
  <c r="D28" i="3" s="1"/>
  <c r="C31" i="3"/>
  <c r="E31" i="3" s="1"/>
  <c r="C40" i="7" l="1"/>
  <c r="AE95" i="55"/>
  <c r="BJ95" i="55"/>
  <c r="DV95" i="55" s="1"/>
  <c r="BZ186" i="55"/>
  <c r="D26" i="55"/>
  <c r="EA186" i="55"/>
  <c r="AE96" i="55"/>
  <c r="BJ96" i="55"/>
  <c r="DV96" i="55" s="1"/>
  <c r="BP33" i="58"/>
  <c r="D32" i="58" s="1"/>
  <c r="C4" i="52"/>
  <c r="AF72" i="36"/>
  <c r="CR38" i="58"/>
  <c r="AF37" i="58" s="1"/>
  <c r="BL37" i="58" s="1"/>
  <c r="CR37" i="58" s="1"/>
  <c r="W21" i="45"/>
  <c r="W23" i="45" s="1"/>
  <c r="Y25" i="54"/>
  <c r="Z24" i="54"/>
  <c r="Y23" i="54"/>
  <c r="Y21" i="54"/>
  <c r="Y22" i="54"/>
  <c r="V66" i="54"/>
  <c r="AC52" i="45"/>
  <c r="AO5" i="50"/>
  <c r="AC4" i="51"/>
  <c r="AC57" i="58" s="1"/>
  <c r="AA8" i="52"/>
  <c r="X63" i="54"/>
  <c r="W69" i="54"/>
  <c r="W76" i="54" s="1"/>
  <c r="W77" i="54" s="1"/>
  <c r="W67" i="54"/>
  <c r="W70" i="54"/>
  <c r="W65" i="54"/>
  <c r="W68" i="54"/>
  <c r="W64" i="54"/>
  <c r="X156" i="54"/>
  <c r="W157" i="54"/>
  <c r="X147" i="53"/>
  <c r="W148" i="53"/>
  <c r="X156" i="53"/>
  <c r="W157" i="53"/>
  <c r="X63" i="53"/>
  <c r="W67" i="53"/>
  <c r="W64" i="53"/>
  <c r="W70" i="53"/>
  <c r="W69" i="53"/>
  <c r="W76" i="53" s="1"/>
  <c r="W68" i="53"/>
  <c r="W65" i="53"/>
  <c r="V77" i="53"/>
  <c r="V66" i="53"/>
  <c r="U37" i="46"/>
  <c r="V133" i="53"/>
  <c r="V135" i="53"/>
  <c r="V134" i="53"/>
  <c r="W38" i="46"/>
  <c r="V104" i="53"/>
  <c r="V105" i="53"/>
  <c r="V103" i="53"/>
  <c r="V102" i="53"/>
  <c r="W100" i="53"/>
  <c r="W132" i="53"/>
  <c r="W101" i="53"/>
  <c r="W131" i="53"/>
  <c r="Z22" i="53"/>
  <c r="Z25" i="53"/>
  <c r="Z21" i="53"/>
  <c r="AA24" i="53"/>
  <c r="Z23" i="53"/>
  <c r="BG4" i="51"/>
  <c r="BG57" i="58" s="1"/>
  <c r="AN3" i="50"/>
  <c r="AB6" i="52" s="1"/>
  <c r="V37" i="46"/>
  <c r="W26" i="45"/>
  <c r="BD44" i="45"/>
  <c r="BD42" i="45"/>
  <c r="AC53" i="45"/>
  <c r="AC51" i="45"/>
  <c r="AC92" i="45" s="1"/>
  <c r="AB39" i="48"/>
  <c r="AC88" i="45"/>
  <c r="W24" i="45"/>
  <c r="BD43" i="45"/>
  <c r="BJ48" i="45"/>
  <c r="BJ50" i="45" s="1"/>
  <c r="BJ52" i="45" s="1"/>
  <c r="BI52" i="45"/>
  <c r="BI53" i="45"/>
  <c r="BE41" i="45"/>
  <c r="BE44" i="45" s="1"/>
  <c r="Y25" i="48"/>
  <c r="W82" i="45"/>
  <c r="V70" i="46"/>
  <c r="V64" i="46"/>
  <c r="V68" i="46"/>
  <c r="V67" i="46"/>
  <c r="V69" i="46"/>
  <c r="V92" i="46" s="1"/>
  <c r="W63" i="46"/>
  <c r="V65" i="46"/>
  <c r="V207" i="48"/>
  <c r="V206" i="48"/>
  <c r="T93" i="48"/>
  <c r="T98" i="48" s="1"/>
  <c r="T96" i="48"/>
  <c r="T101" i="48" s="1"/>
  <c r="T95" i="48"/>
  <c r="T100" i="48" s="1"/>
  <c r="T94" i="48"/>
  <c r="T97" i="48"/>
  <c r="X260" i="48"/>
  <c r="W261" i="48"/>
  <c r="V66" i="48"/>
  <c r="Z21" i="48"/>
  <c r="U66" i="46"/>
  <c r="V142" i="48"/>
  <c r="X243" i="48"/>
  <c r="W244" i="48"/>
  <c r="Y22" i="48"/>
  <c r="U95" i="46"/>
  <c r="U100" i="46" s="1"/>
  <c r="U93" i="46"/>
  <c r="U98" i="46" s="1"/>
  <c r="U92" i="48"/>
  <c r="U97" i="46"/>
  <c r="U96" i="46"/>
  <c r="U101" i="46" s="1"/>
  <c r="U94" i="46"/>
  <c r="V143" i="48"/>
  <c r="V145" i="48"/>
  <c r="V144" i="48"/>
  <c r="Z24" i="48"/>
  <c r="U89" i="38"/>
  <c r="U90" i="38"/>
  <c r="U91" i="38"/>
  <c r="U92" i="42"/>
  <c r="U90" i="42"/>
  <c r="U91" i="42"/>
  <c r="U95" i="42" s="1"/>
  <c r="U89" i="42"/>
  <c r="U93" i="42" s="1"/>
  <c r="W25" i="45"/>
  <c r="Y23" i="48"/>
  <c r="V205" i="48"/>
  <c r="X139" i="48"/>
  <c r="W141" i="48"/>
  <c r="W203" i="48"/>
  <c r="W204" i="48"/>
  <c r="W140" i="48"/>
  <c r="W64" i="48"/>
  <c r="W67" i="48"/>
  <c r="W69" i="48"/>
  <c r="W65" i="48"/>
  <c r="W68" i="48"/>
  <c r="X63" i="48"/>
  <c r="W70" i="48"/>
  <c r="AC39" i="48"/>
  <c r="BE18" i="45"/>
  <c r="BB25" i="45"/>
  <c r="U37" i="48"/>
  <c r="BB24" i="45"/>
  <c r="BB26" i="45"/>
  <c r="BD20" i="45"/>
  <c r="BD19" i="45"/>
  <c r="BC21" i="45"/>
  <c r="BF17" i="45"/>
  <c r="BF69" i="45" s="1"/>
  <c r="BF40" i="45"/>
  <c r="BF39" i="45"/>
  <c r="BK49" i="45"/>
  <c r="BK46" i="45"/>
  <c r="BK47" i="45"/>
  <c r="BL45" i="45"/>
  <c r="Z25" i="46"/>
  <c r="X260" i="46"/>
  <c r="W261" i="46"/>
  <c r="V207" i="46"/>
  <c r="V206" i="46"/>
  <c r="Z23" i="46"/>
  <c r="AA24" i="46"/>
  <c r="V142" i="46"/>
  <c r="V145" i="46"/>
  <c r="V144" i="46"/>
  <c r="V143" i="46"/>
  <c r="X139" i="46"/>
  <c r="W204" i="46"/>
  <c r="W203" i="46"/>
  <c r="W140" i="46"/>
  <c r="W141" i="46"/>
  <c r="AF363" i="46"/>
  <c r="Z22" i="46"/>
  <c r="X243" i="46"/>
  <c r="W244" i="46"/>
  <c r="AA21" i="46"/>
  <c r="V205" i="46"/>
  <c r="Y41" i="45"/>
  <c r="X20" i="45"/>
  <c r="BA82" i="45"/>
  <c r="AA16" i="45"/>
  <c r="BG16" i="45" s="1"/>
  <c r="Z17" i="45"/>
  <c r="Z69" i="45" s="1"/>
  <c r="V24" i="45"/>
  <c r="V26" i="45"/>
  <c r="V25" i="45"/>
  <c r="V82" i="45"/>
  <c r="BD95" i="45"/>
  <c r="Z39" i="45"/>
  <c r="AA38" i="45"/>
  <c r="BG38" i="45" s="1"/>
  <c r="Z40" i="45"/>
  <c r="X95" i="45"/>
  <c r="X42" i="45"/>
  <c r="X43" i="45"/>
  <c r="X44" i="45"/>
  <c r="BC95" i="45"/>
  <c r="Y18" i="45"/>
  <c r="BH92" i="45"/>
  <c r="BH88" i="45"/>
  <c r="AF45" i="45"/>
  <c r="AE47" i="45"/>
  <c r="AE46" i="45"/>
  <c r="AE49" i="45"/>
  <c r="AD48" i="45"/>
  <c r="AD50" i="45" s="1"/>
  <c r="AC39" i="46" s="1"/>
  <c r="V34" i="3"/>
  <c r="W36" i="3" s="1"/>
  <c r="U187" i="42"/>
  <c r="U188" i="42"/>
  <c r="W184" i="42"/>
  <c r="V185" i="42"/>
  <c r="V186" i="42"/>
  <c r="V188" i="42" s="1"/>
  <c r="CI10" i="45"/>
  <c r="AH71" i="36"/>
  <c r="AH106" i="36"/>
  <c r="BL71" i="36"/>
  <c r="BL72" i="36" s="1"/>
  <c r="BL106" i="36"/>
  <c r="BM65" i="36"/>
  <c r="BM66" i="36"/>
  <c r="BM73" i="36" s="1"/>
  <c r="AG71" i="36"/>
  <c r="AG106" i="36"/>
  <c r="BN65" i="36"/>
  <c r="BN66" i="36"/>
  <c r="BN73" i="36" s="1"/>
  <c r="V65" i="28"/>
  <c r="V132" i="38"/>
  <c r="V69" i="20"/>
  <c r="AA21" i="29"/>
  <c r="Z24" i="29"/>
  <c r="X234" i="42"/>
  <c r="W235" i="42"/>
  <c r="W219" i="42"/>
  <c r="V220" i="42"/>
  <c r="X219" i="38"/>
  <c r="W220" i="38"/>
  <c r="U66" i="42"/>
  <c r="V132" i="42"/>
  <c r="X129" i="42"/>
  <c r="W130" i="42"/>
  <c r="W131" i="42"/>
  <c r="Y23" i="38"/>
  <c r="V133" i="38"/>
  <c r="V135" i="38"/>
  <c r="V134" i="38"/>
  <c r="X129" i="38"/>
  <c r="W185" i="38"/>
  <c r="W186" i="38"/>
  <c r="W131" i="38"/>
  <c r="W130" i="38"/>
  <c r="X234" i="38"/>
  <c r="W235" i="38"/>
  <c r="Z21" i="38"/>
  <c r="U66" i="38"/>
  <c r="V67" i="42"/>
  <c r="V65" i="42"/>
  <c r="V69" i="42"/>
  <c r="V88" i="42" s="1"/>
  <c r="V70" i="42"/>
  <c r="V68" i="42"/>
  <c r="W63" i="42"/>
  <c r="V64" i="42"/>
  <c r="U94" i="42"/>
  <c r="V134" i="42"/>
  <c r="V133" i="42"/>
  <c r="V135" i="42"/>
  <c r="Y25" i="38"/>
  <c r="V189" i="38"/>
  <c r="V188" i="38"/>
  <c r="Y22" i="38"/>
  <c r="V68" i="38"/>
  <c r="V65" i="38"/>
  <c r="V69" i="38"/>
  <c r="V88" i="38" s="1"/>
  <c r="V67" i="38"/>
  <c r="V70" i="38"/>
  <c r="V64" i="38"/>
  <c r="W63" i="38"/>
  <c r="Z24" i="38"/>
  <c r="V187" i="38"/>
  <c r="W268" i="19"/>
  <c r="X310" i="20"/>
  <c r="AB21" i="28"/>
  <c r="X198" i="20"/>
  <c r="W199" i="20"/>
  <c r="AD9" i="14"/>
  <c r="U9" i="14"/>
  <c r="AA9" i="14"/>
  <c r="X9" i="14"/>
  <c r="Y9" i="14"/>
  <c r="AE9" i="14"/>
  <c r="AG9" i="14"/>
  <c r="Q9" i="14"/>
  <c r="AH9" i="14"/>
  <c r="T9" i="14"/>
  <c r="N9" i="14"/>
  <c r="O9" i="14"/>
  <c r="AB9" i="14"/>
  <c r="P9" i="14"/>
  <c r="V9" i="14"/>
  <c r="AC9" i="14"/>
  <c r="W9" i="14"/>
  <c r="S9" i="14"/>
  <c r="Z9" i="14"/>
  <c r="R9" i="14"/>
  <c r="AF9" i="14"/>
  <c r="W124" i="20"/>
  <c r="W123" i="20"/>
  <c r="X122" i="20"/>
  <c r="W128" i="20"/>
  <c r="W125" i="20"/>
  <c r="W127" i="20"/>
  <c r="W126" i="20"/>
  <c r="Z23" i="28"/>
  <c r="V73" i="20"/>
  <c r="V72" i="20"/>
  <c r="V71" i="20"/>
  <c r="V70" i="20"/>
  <c r="W67" i="28"/>
  <c r="W63" i="28"/>
  <c r="W64" i="28"/>
  <c r="W66" i="28"/>
  <c r="X62" i="28"/>
  <c r="W67" i="20"/>
  <c r="W68" i="20"/>
  <c r="X66" i="20"/>
  <c r="AA25" i="28"/>
  <c r="AC10" i="14"/>
  <c r="W10" i="14"/>
  <c r="AF10" i="14"/>
  <c r="N10" i="14"/>
  <c r="T10" i="14"/>
  <c r="AD10" i="14"/>
  <c r="Y10" i="14"/>
  <c r="AE10" i="14"/>
  <c r="S10" i="14"/>
  <c r="O10" i="14"/>
  <c r="AH10" i="14"/>
  <c r="AB10" i="14"/>
  <c r="P10" i="14"/>
  <c r="AG10" i="14"/>
  <c r="Q10" i="14"/>
  <c r="AA10" i="14"/>
  <c r="R10" i="14"/>
  <c r="X10" i="14"/>
  <c r="V10" i="14"/>
  <c r="U10" i="14"/>
  <c r="Z10" i="14"/>
  <c r="AA24" i="28"/>
  <c r="X85" i="28"/>
  <c r="W90" i="28"/>
  <c r="W87" i="28"/>
  <c r="W86" i="28"/>
  <c r="W89" i="28"/>
  <c r="W88" i="28"/>
  <c r="W91" i="28"/>
  <c r="W111" i="28"/>
  <c r="X110" i="28"/>
  <c r="Z22" i="28"/>
  <c r="AK80" i="16"/>
  <c r="AK106" i="16"/>
  <c r="B111" i="16"/>
  <c r="B115" i="16"/>
  <c r="B116" i="16"/>
  <c r="B112" i="16"/>
  <c r="B113" i="16"/>
  <c r="B117" i="16"/>
  <c r="D42" i="16"/>
  <c r="AL83" i="16"/>
  <c r="AL106" i="16"/>
  <c r="AK126" i="15"/>
  <c r="AK80" i="15"/>
  <c r="AK106" i="15"/>
  <c r="B111" i="15"/>
  <c r="B112" i="15"/>
  <c r="B115" i="15"/>
  <c r="B113" i="15"/>
  <c r="B116" i="15"/>
  <c r="B117" i="15"/>
  <c r="D42" i="15"/>
  <c r="AL126" i="15"/>
  <c r="AL83" i="15"/>
  <c r="AL106" i="15"/>
  <c r="AG74" i="12"/>
  <c r="AG219" i="12" s="1"/>
  <c r="AG230" i="12" s="1"/>
  <c r="AG80" i="12"/>
  <c r="AG79" i="12"/>
  <c r="AG75" i="12"/>
  <c r="AG78" i="12"/>
  <c r="AG76" i="12"/>
  <c r="AG77" i="12"/>
  <c r="AH74" i="12"/>
  <c r="D179" i="12" s="1"/>
  <c r="AH75" i="12"/>
  <c r="AH78" i="12"/>
  <c r="AH77" i="12"/>
  <c r="AH80" i="12"/>
  <c r="AH79" i="12"/>
  <c r="AH76" i="12"/>
  <c r="V212" i="20"/>
  <c r="AS175" i="14"/>
  <c r="AH219" i="14"/>
  <c r="AH230" i="14" s="1"/>
  <c r="AH9" i="12"/>
  <c r="X9" i="12"/>
  <c r="S9" i="12"/>
  <c r="AC9" i="12"/>
  <c r="N9" i="12"/>
  <c r="T9" i="12"/>
  <c r="Y9" i="12"/>
  <c r="AD9" i="12"/>
  <c r="O9" i="12"/>
  <c r="P9" i="12"/>
  <c r="Z9" i="12"/>
  <c r="AE9" i="12"/>
  <c r="U9" i="12"/>
  <c r="Q9" i="12"/>
  <c r="AA9" i="12"/>
  <c r="V9" i="12"/>
  <c r="AF9" i="12"/>
  <c r="W9" i="12"/>
  <c r="R9" i="12"/>
  <c r="AB9" i="12"/>
  <c r="AG9" i="12"/>
  <c r="X10" i="12"/>
  <c r="AH10" i="12"/>
  <c r="S10" i="12"/>
  <c r="AC10" i="12"/>
  <c r="N10" i="12"/>
  <c r="AD10" i="12"/>
  <c r="Y10" i="12"/>
  <c r="O10" i="12"/>
  <c r="T10" i="12"/>
  <c r="Z10" i="12"/>
  <c r="AE10" i="12"/>
  <c r="U10" i="12"/>
  <c r="P10" i="12"/>
  <c r="AA10" i="12"/>
  <c r="Q10" i="12"/>
  <c r="V10" i="12"/>
  <c r="AF10" i="12"/>
  <c r="R10" i="12"/>
  <c r="W10" i="12"/>
  <c r="AG10" i="12"/>
  <c r="AB10" i="12"/>
  <c r="F84" i="7"/>
  <c r="G84" i="7"/>
  <c r="X86" i="15"/>
  <c r="F86" i="7"/>
  <c r="D31" i="3"/>
  <c r="D26" i="3" s="1"/>
  <c r="D52" i="2"/>
  <c r="I51" i="2" s="1"/>
  <c r="P5" i="6"/>
  <c r="E4" i="16"/>
  <c r="E4" i="15"/>
  <c r="V3" i="12"/>
  <c r="U1" i="52" s="1"/>
  <c r="E26" i="3"/>
  <c r="K69" i="7"/>
  <c r="H70" i="7"/>
  <c r="C59" i="7"/>
  <c r="C58" i="7"/>
  <c r="C57" i="7"/>
  <c r="C56" i="7"/>
  <c r="C55" i="7"/>
  <c r="D59" i="7"/>
  <c r="D58" i="7"/>
  <c r="D57" i="7"/>
  <c r="D56" i="7"/>
  <c r="D55" i="7"/>
  <c r="D54" i="7"/>
  <c r="E59" i="7"/>
  <c r="E68" i="7" s="1"/>
  <c r="E58" i="7"/>
  <c r="E67" i="7" s="1"/>
  <c r="E57" i="7"/>
  <c r="E66" i="7" s="1"/>
  <c r="E56" i="7"/>
  <c r="E65" i="7" s="1"/>
  <c r="E55" i="7"/>
  <c r="E64" i="7" s="1"/>
  <c r="F59" i="7"/>
  <c r="F68" i="7" s="1"/>
  <c r="F58" i="7"/>
  <c r="F67" i="7" s="1"/>
  <c r="F57" i="7"/>
  <c r="F66" i="7" s="1"/>
  <c r="F56" i="7"/>
  <c r="F65" i="7" s="1"/>
  <c r="F55" i="7"/>
  <c r="F64" i="7" s="1"/>
  <c r="F63" i="7"/>
  <c r="G59" i="7"/>
  <c r="G68" i="7" s="1"/>
  <c r="G58" i="7"/>
  <c r="G67" i="7" s="1"/>
  <c r="G57" i="7"/>
  <c r="G66" i="7" s="1"/>
  <c r="G56" i="7"/>
  <c r="G65" i="7" s="1"/>
  <c r="G55" i="7"/>
  <c r="G64" i="7" s="1"/>
  <c r="I49" i="2" l="1"/>
  <c r="D4" i="52"/>
  <c r="AG72" i="36"/>
  <c r="CS38" i="58"/>
  <c r="AG37" i="58" s="1"/>
  <c r="BM37" i="58" s="1"/>
  <c r="CS37" i="58" s="1"/>
  <c r="AF96" i="55"/>
  <c r="BK96" i="55"/>
  <c r="DW96" i="55" s="1"/>
  <c r="AF95" i="55"/>
  <c r="BK95" i="55"/>
  <c r="DW95" i="55" s="1"/>
  <c r="E26" i="55"/>
  <c r="BP26" i="55"/>
  <c r="CT26" i="55" s="1"/>
  <c r="BQ26" i="55" s="1"/>
  <c r="BR26" i="55" s="1"/>
  <c r="BS26" i="55" s="1"/>
  <c r="BT26" i="55" s="1"/>
  <c r="BU26" i="55" s="1"/>
  <c r="BV26" i="55" s="1"/>
  <c r="BW26" i="55" s="1"/>
  <c r="BX26" i="55" s="1"/>
  <c r="BY26" i="55" s="1"/>
  <c r="BZ26" i="55" s="1"/>
  <c r="CA26" i="55" s="1"/>
  <c r="CB26" i="55" s="1"/>
  <c r="CC26" i="55" s="1"/>
  <c r="CD26" i="55" s="1"/>
  <c r="CE26" i="55" s="1"/>
  <c r="CF26" i="55" s="1"/>
  <c r="CG26" i="55" s="1"/>
  <c r="CH26" i="55" s="1"/>
  <c r="CI26" i="55" s="1"/>
  <c r="CJ26" i="55" s="1"/>
  <c r="CK26" i="55" s="1"/>
  <c r="CL26" i="55" s="1"/>
  <c r="CM26" i="55" s="1"/>
  <c r="CN26" i="55" s="1"/>
  <c r="CO26" i="55" s="1"/>
  <c r="CP26" i="55" s="1"/>
  <c r="CQ26" i="55" s="1"/>
  <c r="CR26" i="55" s="1"/>
  <c r="CS26" i="55" s="1"/>
  <c r="AJ26" i="55"/>
  <c r="CV26" i="55" s="1"/>
  <c r="I48" i="2"/>
  <c r="AH27" i="55"/>
  <c r="D27" i="55"/>
  <c r="K59" i="60"/>
  <c r="Z11" i="52"/>
  <c r="Q11" i="52"/>
  <c r="AG11" i="52"/>
  <c r="P11" i="52"/>
  <c r="G11" i="52"/>
  <c r="T11" i="52"/>
  <c r="S11" i="52"/>
  <c r="M11" i="52"/>
  <c r="AF11" i="52"/>
  <c r="O11" i="52"/>
  <c r="U11" i="52"/>
  <c r="N11" i="52"/>
  <c r="J11" i="52"/>
  <c r="E11" i="52"/>
  <c r="AE11" i="52"/>
  <c r="H11" i="52"/>
  <c r="D11" i="52"/>
  <c r="I11" i="52"/>
  <c r="Y11" i="52"/>
  <c r="AD11" i="52"/>
  <c r="K11" i="52"/>
  <c r="AA11" i="52"/>
  <c r="C41" i="7"/>
  <c r="K60" i="60" s="1"/>
  <c r="X11" i="52"/>
  <c r="AB11" i="52"/>
  <c r="F11" i="52"/>
  <c r="AC11" i="52"/>
  <c r="R11" i="52"/>
  <c r="B2" i="61"/>
  <c r="W11" i="52"/>
  <c r="C11" i="52"/>
  <c r="V11" i="52"/>
  <c r="L11" i="52"/>
  <c r="AH72" i="36"/>
  <c r="CT38" i="58"/>
  <c r="AH37" i="58" s="1"/>
  <c r="D3" i="61"/>
  <c r="AJ32" i="58"/>
  <c r="B8" i="60"/>
  <c r="Z25" i="54"/>
  <c r="Z21" i="54"/>
  <c r="X21" i="45"/>
  <c r="X23" i="45" s="1"/>
  <c r="X25" i="45" s="1"/>
  <c r="Z23" i="54"/>
  <c r="AA24" i="54"/>
  <c r="W66" i="54"/>
  <c r="Z22" i="54"/>
  <c r="AB8" i="52"/>
  <c r="AP5" i="50"/>
  <c r="AD4" i="51"/>
  <c r="AD57" i="58" s="1"/>
  <c r="X157" i="54"/>
  <c r="Y156" i="54"/>
  <c r="X69" i="54"/>
  <c r="X76" i="54" s="1"/>
  <c r="X77" i="54" s="1"/>
  <c r="X65" i="54"/>
  <c r="X64" i="54"/>
  <c r="X70" i="54"/>
  <c r="Y63" i="54"/>
  <c r="X68" i="54"/>
  <c r="X67" i="54"/>
  <c r="X38" i="48"/>
  <c r="Y156" i="53"/>
  <c r="X157" i="53"/>
  <c r="Y147" i="53"/>
  <c r="X148" i="53"/>
  <c r="W77" i="53"/>
  <c r="W66" i="53"/>
  <c r="X65" i="53"/>
  <c r="X64" i="53"/>
  <c r="X69" i="53"/>
  <c r="X76" i="53" s="1"/>
  <c r="Y63" i="53"/>
  <c r="X70" i="53"/>
  <c r="X68" i="53"/>
  <c r="X67" i="53"/>
  <c r="W133" i="53"/>
  <c r="W104" i="53"/>
  <c r="W103" i="53"/>
  <c r="W105" i="53"/>
  <c r="W135" i="53"/>
  <c r="W134" i="53"/>
  <c r="W102" i="53"/>
  <c r="X100" i="53"/>
  <c r="X132" i="53"/>
  <c r="X101" i="53"/>
  <c r="X131" i="53"/>
  <c r="AA22" i="53"/>
  <c r="AA23" i="53"/>
  <c r="AB24" i="53"/>
  <c r="AA21" i="53"/>
  <c r="AA25" i="53"/>
  <c r="BH4" i="51"/>
  <c r="BH57" i="58" s="1"/>
  <c r="BE43" i="45"/>
  <c r="AO3" i="50"/>
  <c r="AC6" i="52" s="1"/>
  <c r="BJ51" i="45"/>
  <c r="BJ53" i="45"/>
  <c r="BE42" i="45"/>
  <c r="BF41" i="45"/>
  <c r="BF44" i="45" s="1"/>
  <c r="V189" i="42"/>
  <c r="V66" i="46"/>
  <c r="BD21" i="45"/>
  <c r="BD23" i="45" s="1"/>
  <c r="BD25" i="45" s="1"/>
  <c r="W144" i="48"/>
  <c r="W145" i="48"/>
  <c r="W143" i="48"/>
  <c r="Y243" i="48"/>
  <c r="X244" i="48"/>
  <c r="W69" i="46"/>
  <c r="W92" i="46" s="1"/>
  <c r="W70" i="46"/>
  <c r="X63" i="46"/>
  <c r="W68" i="46"/>
  <c r="W67" i="46"/>
  <c r="W64" i="46"/>
  <c r="W65" i="46"/>
  <c r="W142" i="48"/>
  <c r="X203" i="48"/>
  <c r="Y139" i="48"/>
  <c r="X141" i="48"/>
  <c r="X140" i="48"/>
  <c r="X204" i="48"/>
  <c r="V97" i="46"/>
  <c r="V96" i="46"/>
  <c r="V101" i="46" s="1"/>
  <c r="V92" i="48"/>
  <c r="V95" i="46"/>
  <c r="V100" i="46" s="1"/>
  <c r="V93" i="46"/>
  <c r="V98" i="46" s="1"/>
  <c r="V94" i="46"/>
  <c r="V92" i="42"/>
  <c r="V91" i="42"/>
  <c r="V95" i="42" s="1"/>
  <c r="V90" i="42"/>
  <c r="V94" i="42" s="1"/>
  <c r="V89" i="42"/>
  <c r="BK48" i="45"/>
  <c r="BK50" i="45" s="1"/>
  <c r="BK51" i="45" s="1"/>
  <c r="Y63" i="48"/>
  <c r="X64" i="48"/>
  <c r="X68" i="48"/>
  <c r="X69" i="48"/>
  <c r="X70" i="48"/>
  <c r="X67" i="48"/>
  <c r="X65" i="48"/>
  <c r="W206" i="48"/>
  <c r="W207" i="48"/>
  <c r="Z22" i="48"/>
  <c r="AA21" i="48"/>
  <c r="V89" i="38"/>
  <c r="V91" i="38"/>
  <c r="V90" i="38"/>
  <c r="Z23" i="48"/>
  <c r="AA24" i="48"/>
  <c r="W66" i="48"/>
  <c r="W205" i="48"/>
  <c r="U94" i="48"/>
  <c r="U93" i="48"/>
  <c r="U98" i="48" s="1"/>
  <c r="U97" i="48"/>
  <c r="U96" i="48"/>
  <c r="U101" i="48" s="1"/>
  <c r="U95" i="48"/>
  <c r="U100" i="48" s="1"/>
  <c r="X261" i="48"/>
  <c r="Y260" i="48"/>
  <c r="Z25" i="48"/>
  <c r="Y38" i="48"/>
  <c r="BF42" i="45"/>
  <c r="BF43" i="45"/>
  <c r="Y42" i="45"/>
  <c r="X38" i="46"/>
  <c r="BK53" i="45"/>
  <c r="AE48" i="45"/>
  <c r="AE50" i="45" s="1"/>
  <c r="AD39" i="46" s="1"/>
  <c r="BG40" i="45"/>
  <c r="BG39" i="45"/>
  <c r="BG17" i="45"/>
  <c r="BG69" i="45" s="1"/>
  <c r="Y44" i="45"/>
  <c r="BL46" i="45"/>
  <c r="BL47" i="45"/>
  <c r="BL49" i="45"/>
  <c r="BM45" i="45"/>
  <c r="BC23" i="45"/>
  <c r="BE20" i="45"/>
  <c r="BE19" i="45"/>
  <c r="BF18" i="45"/>
  <c r="AB21" i="46"/>
  <c r="Y243" i="46"/>
  <c r="X244" i="46"/>
  <c r="W205" i="46"/>
  <c r="AB24" i="46"/>
  <c r="AA23" i="46"/>
  <c r="AG363" i="46"/>
  <c r="W207" i="46"/>
  <c r="W206" i="46"/>
  <c r="W145" i="46"/>
  <c r="W143" i="46"/>
  <c r="W144" i="46"/>
  <c r="Y139" i="46"/>
  <c r="X204" i="46"/>
  <c r="X141" i="46"/>
  <c r="X203" i="46"/>
  <c r="X140" i="46"/>
  <c r="Y260" i="46"/>
  <c r="X261" i="46"/>
  <c r="AA25" i="46"/>
  <c r="AA22" i="46"/>
  <c r="W142" i="46"/>
  <c r="Y43" i="45"/>
  <c r="Y95" i="45"/>
  <c r="Z41" i="45"/>
  <c r="BE95" i="45"/>
  <c r="AB16" i="45"/>
  <c r="BH16" i="45" s="1"/>
  <c r="AA17" i="45"/>
  <c r="AA69" i="45" s="1"/>
  <c r="Y20" i="45"/>
  <c r="Y19" i="45"/>
  <c r="AB38" i="45"/>
  <c r="BH38" i="45" s="1"/>
  <c r="AA40" i="45"/>
  <c r="AA39" i="45"/>
  <c r="Z18" i="45"/>
  <c r="BI88" i="45"/>
  <c r="BI92" i="45"/>
  <c r="AG45" i="45"/>
  <c r="AF47" i="45"/>
  <c r="AF46" i="45"/>
  <c r="AF49" i="45"/>
  <c r="AE52" i="45"/>
  <c r="AE51" i="45"/>
  <c r="AE92" i="45" s="1"/>
  <c r="AD51" i="45"/>
  <c r="AD92" i="45" s="1"/>
  <c r="AD53" i="45"/>
  <c r="AD52" i="45"/>
  <c r="AD88" i="45"/>
  <c r="V187" i="42"/>
  <c r="X184" i="42"/>
  <c r="W185" i="42"/>
  <c r="W186" i="42"/>
  <c r="W188" i="42" s="1"/>
  <c r="W69" i="20"/>
  <c r="K14" i="7"/>
  <c r="L24" i="7"/>
  <c r="BN71" i="36"/>
  <c r="BN72" i="36" s="1"/>
  <c r="BN106" i="36"/>
  <c r="BM71" i="36"/>
  <c r="BM72" i="36" s="1"/>
  <c r="BM106" i="36"/>
  <c r="AA24" i="29"/>
  <c r="W65" i="28"/>
  <c r="AB21" i="29"/>
  <c r="W67" i="38"/>
  <c r="W70" i="38"/>
  <c r="W69" i="38"/>
  <c r="W88" i="38" s="1"/>
  <c r="W64" i="38"/>
  <c r="W65" i="38"/>
  <c r="X63" i="38"/>
  <c r="W68" i="38"/>
  <c r="Y234" i="38"/>
  <c r="X235" i="38"/>
  <c r="V66" i="38"/>
  <c r="V66" i="42"/>
  <c r="AA21" i="38"/>
  <c r="W132" i="38"/>
  <c r="Y129" i="38"/>
  <c r="X185" i="38"/>
  <c r="X186" i="38"/>
  <c r="X130" i="38"/>
  <c r="X131" i="38"/>
  <c r="Y219" i="38"/>
  <c r="X220" i="38"/>
  <c r="Y234" i="42"/>
  <c r="X235" i="42"/>
  <c r="AA24" i="38"/>
  <c r="W68" i="42"/>
  <c r="X63" i="42"/>
  <c r="W70" i="42"/>
  <c r="W64" i="42"/>
  <c r="W65" i="42"/>
  <c r="W67" i="42"/>
  <c r="W69" i="42"/>
  <c r="W88" i="42" s="1"/>
  <c r="W134" i="42"/>
  <c r="W133" i="42"/>
  <c r="W135" i="42"/>
  <c r="Y129" i="42"/>
  <c r="X131" i="42"/>
  <c r="X130" i="42"/>
  <c r="Z25" i="38"/>
  <c r="W134" i="38"/>
  <c r="W135" i="38"/>
  <c r="W133" i="38"/>
  <c r="Z23" i="38"/>
  <c r="V93" i="42"/>
  <c r="W189" i="38"/>
  <c r="W188" i="38"/>
  <c r="W132" i="42"/>
  <c r="X219" i="42"/>
  <c r="W220" i="42"/>
  <c r="Z22" i="38"/>
  <c r="W187" i="38"/>
  <c r="X111" i="28"/>
  <c r="Y110" i="28"/>
  <c r="X87" i="28"/>
  <c r="Y85" i="28"/>
  <c r="X89" i="28"/>
  <c r="X86" i="28"/>
  <c r="X90" i="28"/>
  <c r="X88" i="28"/>
  <c r="X91" i="28"/>
  <c r="I47" i="2"/>
  <c r="AB24" i="28"/>
  <c r="AB25" i="28"/>
  <c r="X67" i="28"/>
  <c r="Y62" i="28"/>
  <c r="X66" i="28"/>
  <c r="X64" i="28"/>
  <c r="X63" i="28"/>
  <c r="AC21" i="28"/>
  <c r="X68" i="20"/>
  <c r="Y66" i="20"/>
  <c r="X67" i="20"/>
  <c r="X124" i="20"/>
  <c r="Y122" i="20"/>
  <c r="X127" i="20"/>
  <c r="X125" i="20"/>
  <c r="X126" i="20"/>
  <c r="X123" i="20"/>
  <c r="X128" i="20"/>
  <c r="Y310" i="20"/>
  <c r="X268" i="19"/>
  <c r="I50" i="2"/>
  <c r="AA22" i="28"/>
  <c r="W70" i="20"/>
  <c r="W71" i="20"/>
  <c r="W73" i="20"/>
  <c r="W72" i="20"/>
  <c r="AA23" i="28"/>
  <c r="Y198" i="20"/>
  <c r="X199" i="20"/>
  <c r="B118" i="16"/>
  <c r="B118" i="15"/>
  <c r="AH219" i="12"/>
  <c r="AH230" i="12" s="1"/>
  <c r="AS175" i="12"/>
  <c r="W212" i="20"/>
  <c r="I77" i="7"/>
  <c r="B178" i="14"/>
  <c r="E4" i="9"/>
  <c r="D50" i="14" s="1"/>
  <c r="M69" i="7"/>
  <c r="B178" i="12"/>
  <c r="D14" i="16"/>
  <c r="Q5" i="6"/>
  <c r="F4" i="16"/>
  <c r="F4" i="15"/>
  <c r="D6" i="15"/>
  <c r="D6" i="16"/>
  <c r="I5" i="4"/>
  <c r="D22" i="15"/>
  <c r="D22" i="16"/>
  <c r="W3" i="12"/>
  <c r="V1" i="52" s="1"/>
  <c r="F70" i="7"/>
  <c r="G70" i="7"/>
  <c r="G60" i="7"/>
  <c r="E70" i="7"/>
  <c r="C60" i="7"/>
  <c r="D60" i="7"/>
  <c r="E60" i="7"/>
  <c r="F60" i="7"/>
  <c r="X26" i="45" l="1"/>
  <c r="X82" i="45"/>
  <c r="W37" i="46"/>
  <c r="X24" i="45"/>
  <c r="F26" i="55"/>
  <c r="AK26" i="55"/>
  <c r="CW26" i="55" s="1"/>
  <c r="AG96" i="55"/>
  <c r="BM96" i="55" s="1"/>
  <c r="DY96" i="55" s="1"/>
  <c r="BL96" i="55"/>
  <c r="DX96" i="55" s="1"/>
  <c r="I65" i="7"/>
  <c r="BP27" i="55"/>
  <c r="AJ27" i="55"/>
  <c r="CV27" i="55" s="1"/>
  <c r="E27" i="55"/>
  <c r="I68" i="7"/>
  <c r="BN27" i="55"/>
  <c r="DZ27" i="55" s="1"/>
  <c r="CT27" i="55"/>
  <c r="E4" i="52"/>
  <c r="N5" i="60"/>
  <c r="L61" i="60"/>
  <c r="B20" i="60"/>
  <c r="I66" i="7"/>
  <c r="BP32" i="58"/>
  <c r="DA18" i="58"/>
  <c r="I64" i="7"/>
  <c r="AG95" i="55"/>
  <c r="BM95" i="55" s="1"/>
  <c r="DY95" i="55" s="1"/>
  <c r="BL95" i="55"/>
  <c r="DX95" i="55" s="1"/>
  <c r="BN37" i="58"/>
  <c r="D10" i="60"/>
  <c r="E4" i="61"/>
  <c r="I67" i="7"/>
  <c r="I63" i="7"/>
  <c r="AA22" i="54"/>
  <c r="AA25" i="54"/>
  <c r="AB24" i="54"/>
  <c r="AA23" i="54"/>
  <c r="AA21" i="54"/>
  <c r="X66" i="54"/>
  <c r="AQ5" i="50"/>
  <c r="AE4" i="51"/>
  <c r="AE57" i="58" s="1"/>
  <c r="AC8" i="52"/>
  <c r="Y67" i="54"/>
  <c r="Y70" i="54"/>
  <c r="Y68" i="54"/>
  <c r="Z63" i="54"/>
  <c r="Y65" i="54"/>
  <c r="Y64" i="54"/>
  <c r="Y69" i="54"/>
  <c r="Y76" i="54" s="1"/>
  <c r="Y77" i="54" s="1"/>
  <c r="Z156" i="54"/>
  <c r="Y157" i="54"/>
  <c r="Z156" i="53"/>
  <c r="Y157" i="53"/>
  <c r="Z147" i="53"/>
  <c r="Y148" i="53"/>
  <c r="Y68" i="53"/>
  <c r="Y70" i="53"/>
  <c r="Y64" i="53"/>
  <c r="Y67" i="53"/>
  <c r="Y69" i="53"/>
  <c r="Y76" i="53" s="1"/>
  <c r="Z63" i="53"/>
  <c r="Y65" i="53"/>
  <c r="X77" i="53"/>
  <c r="X66" i="53"/>
  <c r="Y100" i="53"/>
  <c r="Y132" i="53"/>
  <c r="Y101" i="53"/>
  <c r="Y131" i="53"/>
  <c r="Z44" i="45"/>
  <c r="X133" i="53"/>
  <c r="X104" i="53"/>
  <c r="X103" i="53"/>
  <c r="X105" i="53"/>
  <c r="X135" i="53"/>
  <c r="X134" i="53"/>
  <c r="X102" i="53"/>
  <c r="AB22" i="53"/>
  <c r="AB23" i="53"/>
  <c r="AB21" i="53"/>
  <c r="AC24" i="53"/>
  <c r="AB25" i="53"/>
  <c r="AP3" i="50"/>
  <c r="AD6" i="52" s="1"/>
  <c r="BI4" i="51"/>
  <c r="BI57" i="58" s="1"/>
  <c r="BD24" i="45"/>
  <c r="BD26" i="45"/>
  <c r="W37" i="48"/>
  <c r="AE88" i="45"/>
  <c r="W66" i="46"/>
  <c r="AE53" i="45"/>
  <c r="BG41" i="45"/>
  <c r="BG44" i="45" s="1"/>
  <c r="Y70" i="48"/>
  <c r="Y65" i="48"/>
  <c r="Z63" i="48"/>
  <c r="Y67" i="48"/>
  <c r="Y64" i="48"/>
  <c r="Y68" i="48"/>
  <c r="Y69" i="48"/>
  <c r="X145" i="48"/>
  <c r="X143" i="48"/>
  <c r="X144" i="48"/>
  <c r="Y244" i="48"/>
  <c r="Z243" i="48"/>
  <c r="BK52" i="45"/>
  <c r="AA23" i="48"/>
  <c r="AB21" i="48"/>
  <c r="Y204" i="48"/>
  <c r="Y203" i="48"/>
  <c r="Z139" i="48"/>
  <c r="Y140" i="48"/>
  <c r="Y141" i="48"/>
  <c r="W94" i="46"/>
  <c r="W97" i="46"/>
  <c r="W95" i="46"/>
  <c r="W100" i="46" s="1"/>
  <c r="W96" i="46"/>
  <c r="W101" i="46" s="1"/>
  <c r="W92" i="48"/>
  <c r="W93" i="46"/>
  <c r="W98" i="46" s="1"/>
  <c r="W92" i="42"/>
  <c r="W91" i="42"/>
  <c r="W95" i="42" s="1"/>
  <c r="W89" i="42"/>
  <c r="W93" i="42" s="1"/>
  <c r="W90" i="42"/>
  <c r="W94" i="42" s="1"/>
  <c r="AD39" i="48"/>
  <c r="AA25" i="48"/>
  <c r="V94" i="48"/>
  <c r="V95" i="48"/>
  <c r="V100" i="48" s="1"/>
  <c r="V96" i="48"/>
  <c r="V101" i="48" s="1"/>
  <c r="V97" i="48"/>
  <c r="V93" i="48"/>
  <c r="V98" i="48" s="1"/>
  <c r="X207" i="48"/>
  <c r="X206" i="48"/>
  <c r="X205" i="48"/>
  <c r="W90" i="38"/>
  <c r="W91" i="38"/>
  <c r="W89" i="38"/>
  <c r="BE21" i="45"/>
  <c r="BE23" i="45" s="1"/>
  <c r="BE24" i="45" s="1"/>
  <c r="Z260" i="48"/>
  <c r="Y261" i="48"/>
  <c r="AB24" i="48"/>
  <c r="AA22" i="48"/>
  <c r="X66" i="48"/>
  <c r="X142" i="48"/>
  <c r="X65" i="46"/>
  <c r="X70" i="46"/>
  <c r="X68" i="46"/>
  <c r="X67" i="46"/>
  <c r="X64" i="46"/>
  <c r="X69" i="46"/>
  <c r="X92" i="46" s="1"/>
  <c r="Y63" i="46"/>
  <c r="V37" i="48"/>
  <c r="BC26" i="45"/>
  <c r="BC24" i="45"/>
  <c r="BC25" i="45"/>
  <c r="BC82" i="45"/>
  <c r="Z43" i="45"/>
  <c r="Y38" i="46"/>
  <c r="BF19" i="45"/>
  <c r="BF20" i="45"/>
  <c r="BL48" i="45"/>
  <c r="BL50" i="45" s="1"/>
  <c r="AF48" i="45"/>
  <c r="AF50" i="45" s="1"/>
  <c r="AE39" i="46" s="1"/>
  <c r="BH40" i="45"/>
  <c r="BH39" i="45"/>
  <c r="BH17" i="45"/>
  <c r="BH69" i="45" s="1"/>
  <c r="BM46" i="45"/>
  <c r="BM47" i="45"/>
  <c r="BM49" i="45"/>
  <c r="BN45" i="45"/>
  <c r="BG18" i="45"/>
  <c r="Z260" i="46"/>
  <c r="Y261" i="46"/>
  <c r="X205" i="46"/>
  <c r="X145" i="46"/>
  <c r="X143" i="46"/>
  <c r="X144" i="46"/>
  <c r="AC24" i="46"/>
  <c r="AC21" i="46"/>
  <c r="AB25" i="46"/>
  <c r="X207" i="46"/>
  <c r="X206" i="46"/>
  <c r="AB23" i="46"/>
  <c r="AB22" i="46"/>
  <c r="X142" i="46"/>
  <c r="Z139" i="46"/>
  <c r="Y204" i="46"/>
  <c r="Y203" i="46"/>
  <c r="Y140" i="46"/>
  <c r="Y141" i="46"/>
  <c r="Z243" i="46"/>
  <c r="Y244" i="46"/>
  <c r="BD82" i="45"/>
  <c r="Z42" i="45"/>
  <c r="Z95" i="45"/>
  <c r="BF95" i="45"/>
  <c r="AA41" i="45"/>
  <c r="Z20" i="45"/>
  <c r="Z19" i="45"/>
  <c r="AB39" i="45"/>
  <c r="AB40" i="45"/>
  <c r="AC38" i="45"/>
  <c r="BI38" i="45" s="1"/>
  <c r="AB17" i="45"/>
  <c r="AB69" i="45" s="1"/>
  <c r="AC16" i="45"/>
  <c r="BI16" i="45" s="1"/>
  <c r="Y21" i="45"/>
  <c r="Y23" i="45" s="1"/>
  <c r="AA18" i="45"/>
  <c r="BK88" i="45"/>
  <c r="BK92" i="45"/>
  <c r="BJ92" i="45"/>
  <c r="BJ88" i="45"/>
  <c r="AH45" i="45"/>
  <c r="AG47" i="45"/>
  <c r="AG49" i="45"/>
  <c r="AG46" i="45"/>
  <c r="I6" i="4"/>
  <c r="W187" i="42"/>
  <c r="W189" i="42"/>
  <c r="Y184" i="42"/>
  <c r="X186" i="42"/>
  <c r="X188" i="42" s="1"/>
  <c r="X185" i="42"/>
  <c r="X69" i="20"/>
  <c r="X65" i="28"/>
  <c r="AB24" i="29"/>
  <c r="AC21" i="29"/>
  <c r="X132" i="38"/>
  <c r="AA22" i="38"/>
  <c r="AA25" i="38"/>
  <c r="X132" i="42"/>
  <c r="Z129" i="42"/>
  <c r="Y130" i="42"/>
  <c r="Y131" i="42"/>
  <c r="X68" i="42"/>
  <c r="Y63" i="42"/>
  <c r="X67" i="42"/>
  <c r="X69" i="42"/>
  <c r="X88" i="42" s="1"/>
  <c r="X65" i="42"/>
  <c r="X70" i="42"/>
  <c r="X64" i="42"/>
  <c r="Z234" i="42"/>
  <c r="Y235" i="42"/>
  <c r="X189" i="38"/>
  <c r="X188" i="38"/>
  <c r="Y219" i="42"/>
  <c r="X220" i="42"/>
  <c r="X134" i="42"/>
  <c r="X133" i="42"/>
  <c r="X135" i="42"/>
  <c r="X187" i="38"/>
  <c r="X68" i="38"/>
  <c r="X64" i="38"/>
  <c r="X67" i="38"/>
  <c r="X65" i="38"/>
  <c r="X69" i="38"/>
  <c r="X88" i="38" s="1"/>
  <c r="X70" i="38"/>
  <c r="Y63" i="38"/>
  <c r="AA23" i="38"/>
  <c r="W66" i="42"/>
  <c r="AB24" i="38"/>
  <c r="Z219" i="38"/>
  <c r="Y220" i="38"/>
  <c r="X133" i="38"/>
  <c r="X135" i="38"/>
  <c r="X134" i="38"/>
  <c r="Z129" i="38"/>
  <c r="Y185" i="38"/>
  <c r="Y186" i="38"/>
  <c r="Y130" i="38"/>
  <c r="Y131" i="38"/>
  <c r="AB21" i="38"/>
  <c r="Z234" i="38"/>
  <c r="Y235" i="38"/>
  <c r="W66" i="38"/>
  <c r="Z198" i="20"/>
  <c r="Y199" i="20"/>
  <c r="AB22" i="28"/>
  <c r="Y67" i="20"/>
  <c r="Z66" i="20"/>
  <c r="Y68" i="20"/>
  <c r="Y87" i="28"/>
  <c r="Z85" i="28"/>
  <c r="Y90" i="28"/>
  <c r="Y86" i="28"/>
  <c r="Y91" i="28"/>
  <c r="Y88" i="28"/>
  <c r="Y89" i="28"/>
  <c r="AB23" i="28"/>
  <c r="Y124" i="20"/>
  <c r="Z122" i="20"/>
  <c r="Y128" i="20"/>
  <c r="Y125" i="20"/>
  <c r="Y126" i="20"/>
  <c r="Y123" i="20"/>
  <c r="Y127" i="20"/>
  <c r="X72" i="20"/>
  <c r="X70" i="20"/>
  <c r="X71" i="20"/>
  <c r="X73" i="20"/>
  <c r="AD21" i="28"/>
  <c r="AC25" i="28"/>
  <c r="AC24" i="28"/>
  <c r="Y111" i="28"/>
  <c r="Z110" i="28"/>
  <c r="Z310" i="20"/>
  <c r="Y268" i="19"/>
  <c r="Y64" i="28"/>
  <c r="Z62" i="28"/>
  <c r="Y67" i="28"/>
  <c r="Y66" i="28"/>
  <c r="Y63" i="28"/>
  <c r="X212" i="20"/>
  <c r="AK114" i="15"/>
  <c r="AK90" i="15"/>
  <c r="AK94" i="15"/>
  <c r="AK117" i="15"/>
  <c r="E50" i="14"/>
  <c r="D55" i="14"/>
  <c r="D112" i="14" s="1"/>
  <c r="D32" i="16"/>
  <c r="D35" i="16" s="1"/>
  <c r="D128" i="16" s="1"/>
  <c r="I5" i="8"/>
  <c r="I6" i="8" s="1"/>
  <c r="D14" i="15"/>
  <c r="D50" i="12"/>
  <c r="E5" i="9"/>
  <c r="R5" i="6"/>
  <c r="G4" i="16"/>
  <c r="G4" i="15"/>
  <c r="D25" i="15"/>
  <c r="D124" i="15" s="1"/>
  <c r="E22" i="15"/>
  <c r="E24" i="15" s="1"/>
  <c r="E6" i="15"/>
  <c r="D8" i="15"/>
  <c r="D13" i="15" s="1"/>
  <c r="D125" i="15" s="1"/>
  <c r="D8" i="16"/>
  <c r="D13" i="16" s="1"/>
  <c r="D125" i="16" s="1"/>
  <c r="E6" i="16"/>
  <c r="D25" i="16"/>
  <c r="D124" i="16" s="1"/>
  <c r="E22" i="16"/>
  <c r="E24" i="16" s="1"/>
  <c r="E14" i="16"/>
  <c r="D21" i="16"/>
  <c r="D123" i="16" s="1"/>
  <c r="X3" i="12"/>
  <c r="W1" i="52" s="1"/>
  <c r="Y65" i="28" l="1"/>
  <c r="D48" i="60"/>
  <c r="F48" i="60" s="1"/>
  <c r="F10" i="60"/>
  <c r="F22" i="60" s="1"/>
  <c r="C10" i="60"/>
  <c r="D22" i="60"/>
  <c r="O6" i="60"/>
  <c r="CT37" i="58"/>
  <c r="DB19" i="58"/>
  <c r="I7" i="8"/>
  <c r="F27" i="55"/>
  <c r="AK27" i="55"/>
  <c r="CW27" i="55" s="1"/>
  <c r="BQ27" i="55"/>
  <c r="G26" i="55"/>
  <c r="AL26" i="55"/>
  <c r="CX26" i="55" s="1"/>
  <c r="F4" i="52"/>
  <c r="I7" i="4"/>
  <c r="AB25" i="54"/>
  <c r="AB23" i="54"/>
  <c r="AB21" i="54"/>
  <c r="AB22" i="54"/>
  <c r="AC24" i="54"/>
  <c r="Y66" i="54"/>
  <c r="AD8" i="52"/>
  <c r="AR5" i="50"/>
  <c r="AF4" i="51"/>
  <c r="AF57" i="58" s="1"/>
  <c r="Z157" i="54"/>
  <c r="AA156" i="54"/>
  <c r="Z67" i="54"/>
  <c r="Z64" i="54"/>
  <c r="Z65" i="54"/>
  <c r="Z70" i="54"/>
  <c r="AA63" i="54"/>
  <c r="Z68" i="54"/>
  <c r="Z69" i="54"/>
  <c r="Z76" i="54" s="1"/>
  <c r="Z77" i="54" s="1"/>
  <c r="AA147" i="53"/>
  <c r="Z148" i="53"/>
  <c r="AA156" i="53"/>
  <c r="Z157" i="53"/>
  <c r="Z67" i="53"/>
  <c r="Z69" i="53"/>
  <c r="Z76" i="53" s="1"/>
  <c r="Z65" i="53"/>
  <c r="AA63" i="53"/>
  <c r="Z68" i="53"/>
  <c r="Z70" i="53"/>
  <c r="Z64" i="53"/>
  <c r="Y77" i="53"/>
  <c r="Y66" i="53"/>
  <c r="Z100" i="53"/>
  <c r="Z132" i="53"/>
  <c r="Z101" i="53"/>
  <c r="Z131" i="53"/>
  <c r="X37" i="46"/>
  <c r="AA43" i="45"/>
  <c r="Y133" i="53"/>
  <c r="Y104" i="53"/>
  <c r="Y103" i="53"/>
  <c r="Y105" i="53"/>
  <c r="Y135" i="53"/>
  <c r="Y134" i="53"/>
  <c r="Y102" i="53"/>
  <c r="AC22" i="53"/>
  <c r="AC23" i="53"/>
  <c r="AC25" i="53"/>
  <c r="AD24" i="53"/>
  <c r="AC21" i="53"/>
  <c r="BJ4" i="51"/>
  <c r="BJ57" i="58" s="1"/>
  <c r="AQ3" i="50"/>
  <c r="AE6" i="52" s="1"/>
  <c r="BG42" i="45"/>
  <c r="BG43" i="45"/>
  <c r="Z38" i="48"/>
  <c r="I8" i="4"/>
  <c r="BE25" i="45"/>
  <c r="AA44" i="45"/>
  <c r="X66" i="46"/>
  <c r="Y205" i="48"/>
  <c r="BH18" i="45"/>
  <c r="BH20" i="45" s="1"/>
  <c r="BE26" i="45"/>
  <c r="BE82" i="45"/>
  <c r="X37" i="48"/>
  <c r="BH41" i="45"/>
  <c r="BH43" i="45" s="1"/>
  <c r="Y66" i="48"/>
  <c r="AB22" i="48"/>
  <c r="W93" i="48"/>
  <c r="W98" i="48" s="1"/>
  <c r="W96" i="48"/>
  <c r="W101" i="48" s="1"/>
  <c r="W94" i="48"/>
  <c r="W95" i="48"/>
  <c r="W100" i="48" s="1"/>
  <c r="W97" i="48"/>
  <c r="AC21" i="48"/>
  <c r="X91" i="38"/>
  <c r="X90" i="38"/>
  <c r="X89" i="38"/>
  <c r="X92" i="42"/>
  <c r="X89" i="42"/>
  <c r="X93" i="42" s="1"/>
  <c r="X91" i="42"/>
  <c r="X90" i="42"/>
  <c r="BM48" i="45"/>
  <c r="BM50" i="45" s="1"/>
  <c r="BM52" i="45" s="1"/>
  <c r="Y143" i="48"/>
  <c r="Y145" i="48"/>
  <c r="Y144" i="48"/>
  <c r="Y206" i="48"/>
  <c r="Y207" i="48"/>
  <c r="AA243" i="48"/>
  <c r="Z244" i="48"/>
  <c r="Z63" i="46"/>
  <c r="Y68" i="46"/>
  <c r="Y69" i="46"/>
  <c r="Y92" i="46" s="1"/>
  <c r="Y64" i="46"/>
  <c r="Y65" i="46"/>
  <c r="Y70" i="46"/>
  <c r="Y67" i="46"/>
  <c r="AC24" i="48"/>
  <c r="AB25" i="48"/>
  <c r="Y142" i="48"/>
  <c r="AB23" i="48"/>
  <c r="Z69" i="48"/>
  <c r="Z64" i="48"/>
  <c r="AA63" i="48"/>
  <c r="Z65" i="48"/>
  <c r="Z70" i="48"/>
  <c r="Z68" i="48"/>
  <c r="Z67" i="48"/>
  <c r="AA260" i="48"/>
  <c r="Z261" i="48"/>
  <c r="X187" i="42"/>
  <c r="X92" i="48"/>
  <c r="X96" i="46"/>
  <c r="X101" i="46" s="1"/>
  <c r="X95" i="46"/>
  <c r="X100" i="46" s="1"/>
  <c r="X93" i="46"/>
  <c r="X98" i="46" s="1"/>
  <c r="X94" i="46"/>
  <c r="X97" i="46"/>
  <c r="Z203" i="48"/>
  <c r="AA139" i="48"/>
  <c r="Z141" i="48"/>
  <c r="Z140" i="48"/>
  <c r="Z204" i="48"/>
  <c r="BN47" i="45"/>
  <c r="BN49" i="45"/>
  <c r="BN46" i="45"/>
  <c r="BF21" i="45"/>
  <c r="BG19" i="45"/>
  <c r="BG20" i="45"/>
  <c r="BI17" i="45"/>
  <c r="BI69" i="45" s="1"/>
  <c r="AE39" i="48"/>
  <c r="BL53" i="45"/>
  <c r="BL52" i="45"/>
  <c r="BL51" i="45"/>
  <c r="BL92" i="45" s="1"/>
  <c r="BI39" i="45"/>
  <c r="BI40" i="45"/>
  <c r="AG48" i="45"/>
  <c r="AG50" i="45" s="1"/>
  <c r="AF39" i="46" s="1"/>
  <c r="AA95" i="45"/>
  <c r="Z38" i="46"/>
  <c r="X189" i="42"/>
  <c r="Y142" i="46"/>
  <c r="AC22" i="46"/>
  <c r="Y205" i="46"/>
  <c r="AD21" i="46"/>
  <c r="Y207" i="46"/>
  <c r="Y206" i="46"/>
  <c r="AC23" i="46"/>
  <c r="AC25" i="46"/>
  <c r="AA243" i="46"/>
  <c r="Z244" i="46"/>
  <c r="Y145" i="46"/>
  <c r="Y144" i="46"/>
  <c r="Y143" i="46"/>
  <c r="AA139" i="46"/>
  <c r="Z204" i="46"/>
  <c r="Z141" i="46"/>
  <c r="Z140" i="46"/>
  <c r="Z203" i="46"/>
  <c r="AD24" i="46"/>
  <c r="AA260" i="46"/>
  <c r="Z261" i="46"/>
  <c r="AA42" i="45"/>
  <c r="Z21" i="45"/>
  <c r="Z23" i="45" s="1"/>
  <c r="BG95" i="45"/>
  <c r="AD16" i="45"/>
  <c r="BJ16" i="45" s="1"/>
  <c r="AC17" i="45"/>
  <c r="AC69" i="45" s="1"/>
  <c r="AB41" i="45"/>
  <c r="Y25" i="45"/>
  <c r="Y82" i="45"/>
  <c r="Y24" i="45"/>
  <c r="Y26" i="45"/>
  <c r="AA19" i="45"/>
  <c r="AA20" i="45"/>
  <c r="AB18" i="45"/>
  <c r="AC39" i="45"/>
  <c r="AC40" i="45"/>
  <c r="AD38" i="45"/>
  <c r="BJ38" i="45" s="1"/>
  <c r="BL88" i="45"/>
  <c r="AF88" i="45"/>
  <c r="AF52" i="45"/>
  <c r="AF51" i="45"/>
  <c r="AF92" i="45" s="1"/>
  <c r="AF53" i="45"/>
  <c r="AH47" i="45"/>
  <c r="AH49" i="45"/>
  <c r="Z184" i="42"/>
  <c r="Y185" i="42"/>
  <c r="Y186" i="42"/>
  <c r="Y188" i="42" s="1"/>
  <c r="AD21" i="29"/>
  <c r="AC24" i="29"/>
  <c r="Y132" i="42"/>
  <c r="Y132" i="38"/>
  <c r="Y134" i="38"/>
  <c r="Y133" i="38"/>
  <c r="Y135" i="38"/>
  <c r="AA129" i="38"/>
  <c r="Z185" i="38"/>
  <c r="Z186" i="38"/>
  <c r="Z131" i="38"/>
  <c r="Z130" i="38"/>
  <c r="Y134" i="42"/>
  <c r="Y133" i="42"/>
  <c r="Y135" i="42"/>
  <c r="AA129" i="42"/>
  <c r="Z131" i="42"/>
  <c r="Z130" i="42"/>
  <c r="AB23" i="38"/>
  <c r="Y67" i="38"/>
  <c r="Z63" i="38"/>
  <c r="Y69" i="38"/>
  <c r="Y88" i="38" s="1"/>
  <c r="Y65" i="38"/>
  <c r="Y68" i="38"/>
  <c r="Y64" i="38"/>
  <c r="Y70" i="38"/>
  <c r="AB22" i="38"/>
  <c r="Y189" i="38"/>
  <c r="Y188" i="38"/>
  <c r="AC24" i="38"/>
  <c r="X66" i="38"/>
  <c r="Z219" i="42"/>
  <c r="Y220" i="42"/>
  <c r="X66" i="42"/>
  <c r="X94" i="42"/>
  <c r="X95" i="42"/>
  <c r="AA234" i="38"/>
  <c r="Z235" i="38"/>
  <c r="AC21" i="38"/>
  <c r="Y187" i="38"/>
  <c r="AA219" i="38"/>
  <c r="Z220" i="38"/>
  <c r="AA234" i="42"/>
  <c r="Z235" i="42"/>
  <c r="Y69" i="42"/>
  <c r="Y88" i="42" s="1"/>
  <c r="Y67" i="42"/>
  <c r="Y70" i="42"/>
  <c r="Y64" i="42"/>
  <c r="Y68" i="42"/>
  <c r="Z63" i="42"/>
  <c r="Y65" i="42"/>
  <c r="AB25" i="38"/>
  <c r="Y69" i="20"/>
  <c r="AA110" i="28"/>
  <c r="Z111" i="28"/>
  <c r="Z87" i="28"/>
  <c r="AA85" i="28"/>
  <c r="Z91" i="28"/>
  <c r="Z86" i="28"/>
  <c r="Z90" i="28"/>
  <c r="Z88" i="28"/>
  <c r="Z89" i="28"/>
  <c r="AA310" i="20"/>
  <c r="Z268" i="19"/>
  <c r="AD25" i="28"/>
  <c r="AE21" i="28"/>
  <c r="AC23" i="28"/>
  <c r="Y70" i="20"/>
  <c r="Y72" i="20"/>
  <c r="Y71" i="20"/>
  <c r="Y73" i="20"/>
  <c r="AC22" i="28"/>
  <c r="Z63" i="28"/>
  <c r="Z64" i="28"/>
  <c r="AA62" i="28"/>
  <c r="Z66" i="28"/>
  <c r="Z67" i="28"/>
  <c r="AA66" i="20"/>
  <c r="Z67" i="20"/>
  <c r="Z68" i="20"/>
  <c r="AD24" i="28"/>
  <c r="Z127" i="20"/>
  <c r="Z125" i="20"/>
  <c r="Z128" i="20"/>
  <c r="Z124" i="20"/>
  <c r="Z123" i="20"/>
  <c r="Z126" i="20"/>
  <c r="AA122" i="20"/>
  <c r="Z199" i="20"/>
  <c r="AA198" i="20"/>
  <c r="Y212" i="20"/>
  <c r="D218" i="14"/>
  <c r="D60" i="14"/>
  <c r="D56" i="14"/>
  <c r="D61" i="14"/>
  <c r="D57" i="14" s="1"/>
  <c r="D129" i="16"/>
  <c r="AK212" i="12"/>
  <c r="AK190" i="12"/>
  <c r="D47" i="15"/>
  <c r="D21" i="15"/>
  <c r="AK86" i="15"/>
  <c r="AK110" i="15"/>
  <c r="C42" i="19"/>
  <c r="F50" i="14"/>
  <c r="E54" i="14"/>
  <c r="E51" i="14"/>
  <c r="E52" i="14"/>
  <c r="D54" i="16"/>
  <c r="C41" i="29"/>
  <c r="D74" i="16"/>
  <c r="D32" i="15"/>
  <c r="D74" i="15" s="1"/>
  <c r="D47" i="16"/>
  <c r="C40" i="29"/>
  <c r="D75" i="16"/>
  <c r="D43" i="16"/>
  <c r="C39" i="29"/>
  <c r="D60" i="16"/>
  <c r="C43" i="29"/>
  <c r="D54" i="15"/>
  <c r="C40" i="28"/>
  <c r="E7" i="15"/>
  <c r="C41" i="28"/>
  <c r="E32" i="16"/>
  <c r="M59" i="25"/>
  <c r="I8" i="8"/>
  <c r="I9" i="8"/>
  <c r="I10" i="8"/>
  <c r="E14" i="15"/>
  <c r="F14" i="15" s="1"/>
  <c r="E50" i="12"/>
  <c r="D55" i="12"/>
  <c r="D61" i="12" s="1"/>
  <c r="H4" i="16"/>
  <c r="H4" i="15"/>
  <c r="E23" i="15"/>
  <c r="F22" i="15"/>
  <c r="F24" i="15" s="1"/>
  <c r="F6" i="15"/>
  <c r="E18" i="16"/>
  <c r="E15" i="16"/>
  <c r="E16" i="16"/>
  <c r="E19" i="16"/>
  <c r="F14" i="16"/>
  <c r="E7" i="16"/>
  <c r="E41" i="16" s="1"/>
  <c r="F6" i="16"/>
  <c r="E23" i="16"/>
  <c r="F22" i="16"/>
  <c r="F24" i="16" s="1"/>
  <c r="Y3" i="12"/>
  <c r="X1" i="52" s="1"/>
  <c r="D61" i="2"/>
  <c r="I9" i="4" l="1"/>
  <c r="H26" i="55"/>
  <c r="AM26" i="55"/>
  <c r="CY26" i="55" s="1"/>
  <c r="C22" i="60"/>
  <c r="C48" i="60"/>
  <c r="AL27" i="55"/>
  <c r="CX27" i="55" s="1"/>
  <c r="BR27" i="55"/>
  <c r="G27" i="55"/>
  <c r="G4" i="52"/>
  <c r="AC21" i="54"/>
  <c r="AC23" i="54"/>
  <c r="AD24" i="54"/>
  <c r="AC22" i="54"/>
  <c r="AC25" i="54"/>
  <c r="AE8" i="52"/>
  <c r="AS5" i="50"/>
  <c r="AH4" i="51" s="1"/>
  <c r="AH57" i="58" s="1"/>
  <c r="AG4" i="51"/>
  <c r="AG57" i="58" s="1"/>
  <c r="AA64" i="54"/>
  <c r="AB63" i="54"/>
  <c r="AA65" i="54"/>
  <c r="AA67" i="54"/>
  <c r="AA69" i="54"/>
  <c r="AA76" i="54" s="1"/>
  <c r="AA77" i="54" s="1"/>
  <c r="AA70" i="54"/>
  <c r="AA68" i="54"/>
  <c r="Z66" i="54"/>
  <c r="AB156" i="54"/>
  <c r="AA157" i="54"/>
  <c r="Z66" i="53"/>
  <c r="AB156" i="53"/>
  <c r="AA157" i="53"/>
  <c r="AB147" i="53"/>
  <c r="AA148" i="53"/>
  <c r="AA64" i="53"/>
  <c r="AA68" i="53"/>
  <c r="AA70" i="53"/>
  <c r="AA69" i="53"/>
  <c r="AA76" i="53" s="1"/>
  <c r="AA67" i="53"/>
  <c r="AB63" i="53"/>
  <c r="AA65" i="53"/>
  <c r="Z77" i="53"/>
  <c r="AA100" i="53"/>
  <c r="AA132" i="53"/>
  <c r="AA101" i="53"/>
  <c r="AA131" i="53"/>
  <c r="Z133" i="53"/>
  <c r="Z104" i="53"/>
  <c r="Z103" i="53"/>
  <c r="Z105" i="53"/>
  <c r="AA38" i="46"/>
  <c r="Z135" i="53"/>
  <c r="Z134" i="53"/>
  <c r="Z102" i="53"/>
  <c r="AD22" i="53"/>
  <c r="AD21" i="53"/>
  <c r="AE24" i="53"/>
  <c r="AD25" i="53"/>
  <c r="AD23" i="53"/>
  <c r="BM51" i="45"/>
  <c r="AG51" i="45"/>
  <c r="AG92" i="45" s="1"/>
  <c r="BK4" i="51"/>
  <c r="BK57" i="58" s="1"/>
  <c r="AR3" i="50"/>
  <c r="AF6" i="52" s="1"/>
  <c r="BH19" i="45"/>
  <c r="BH44" i="45"/>
  <c r="BH42" i="45"/>
  <c r="AA38" i="48"/>
  <c r="BN48" i="45"/>
  <c r="BN50" i="45" s="1"/>
  <c r="BN52" i="45" s="1"/>
  <c r="AF39" i="48"/>
  <c r="BI41" i="45"/>
  <c r="AB38" i="48" s="1"/>
  <c r="BM53" i="45"/>
  <c r="Z66" i="48"/>
  <c r="Y189" i="42"/>
  <c r="Y66" i="46"/>
  <c r="AC23" i="48"/>
  <c r="AD24" i="48"/>
  <c r="AG88" i="45"/>
  <c r="AA141" i="48"/>
  <c r="AA140" i="48"/>
  <c r="AB139" i="48"/>
  <c r="AA203" i="48"/>
  <c r="AA204" i="48"/>
  <c r="AC25" i="48"/>
  <c r="Y96" i="46"/>
  <c r="Y101" i="46" s="1"/>
  <c r="Y93" i="46"/>
  <c r="Y98" i="46" s="1"/>
  <c r="Y94" i="46"/>
  <c r="Y97" i="46"/>
  <c r="Y95" i="46"/>
  <c r="Y100" i="46" s="1"/>
  <c r="Y92" i="48"/>
  <c r="AG52" i="45"/>
  <c r="Z207" i="48"/>
  <c r="Z206" i="48"/>
  <c r="Z205" i="48"/>
  <c r="AB260" i="48"/>
  <c r="AA261" i="48"/>
  <c r="AA244" i="48"/>
  <c r="AB243" i="48"/>
  <c r="AD21" i="48"/>
  <c r="Y92" i="42"/>
  <c r="Y90" i="42"/>
  <c r="Y94" i="42" s="1"/>
  <c r="Y89" i="42"/>
  <c r="Y93" i="42" s="1"/>
  <c r="Y91" i="42"/>
  <c r="Y95" i="42" s="1"/>
  <c r="Z144" i="48"/>
  <c r="Z145" i="48"/>
  <c r="Z143" i="48"/>
  <c r="X94" i="48"/>
  <c r="X97" i="48"/>
  <c r="X96" i="48"/>
  <c r="X101" i="48" s="1"/>
  <c r="X93" i="48"/>
  <c r="X98" i="48" s="1"/>
  <c r="X95" i="48"/>
  <c r="X100" i="48" s="1"/>
  <c r="AA70" i="48"/>
  <c r="AA67" i="48"/>
  <c r="AB63" i="48"/>
  <c r="AA65" i="48"/>
  <c r="AA68" i="48"/>
  <c r="AA69" i="48"/>
  <c r="AA64" i="48"/>
  <c r="Y91" i="38"/>
  <c r="Y90" i="38"/>
  <c r="Y89" i="38"/>
  <c r="AG53" i="45"/>
  <c r="BI18" i="45"/>
  <c r="BI20" i="45" s="1"/>
  <c r="Z142" i="48"/>
  <c r="Z68" i="46"/>
  <c r="AA63" i="46"/>
  <c r="Z70" i="46"/>
  <c r="Z65" i="46"/>
  <c r="Z67" i="46"/>
  <c r="Z69" i="46"/>
  <c r="Z92" i="46" s="1"/>
  <c r="Z64" i="46"/>
  <c r="AC22" i="48"/>
  <c r="Z24" i="45"/>
  <c r="Y37" i="46"/>
  <c r="BF23" i="45"/>
  <c r="BG21" i="45"/>
  <c r="AG39" i="48"/>
  <c r="BN53" i="45"/>
  <c r="Z82" i="45"/>
  <c r="BJ17" i="45"/>
  <c r="BJ69" i="45" s="1"/>
  <c r="BJ40" i="45"/>
  <c r="BJ39" i="45"/>
  <c r="AH48" i="45"/>
  <c r="AH50" i="45" s="1"/>
  <c r="AG39" i="46" s="1"/>
  <c r="Z25" i="45"/>
  <c r="AE24" i="46"/>
  <c r="Z145" i="46"/>
  <c r="Z144" i="46"/>
  <c r="Z143" i="46"/>
  <c r="Z207" i="46"/>
  <c r="Z206" i="46"/>
  <c r="AD23" i="46"/>
  <c r="AB260" i="46"/>
  <c r="AA261" i="46"/>
  <c r="Z205" i="46"/>
  <c r="AB139" i="46"/>
  <c r="AA204" i="46"/>
  <c r="AA203" i="46"/>
  <c r="AA140" i="46"/>
  <c r="AA141" i="46"/>
  <c r="AD22" i="46"/>
  <c r="Z142" i="46"/>
  <c r="AB243" i="46"/>
  <c r="AA244" i="46"/>
  <c r="AD25" i="46"/>
  <c r="AE21" i="46"/>
  <c r="Z26" i="45"/>
  <c r="AC18" i="45"/>
  <c r="AC19" i="45" s="1"/>
  <c r="AC41" i="45"/>
  <c r="AB19" i="45"/>
  <c r="AB20" i="45"/>
  <c r="AD39" i="45"/>
  <c r="AD40" i="45"/>
  <c r="AE38" i="45"/>
  <c r="BK38" i="45" s="1"/>
  <c r="AA21" i="45"/>
  <c r="AA23" i="45" s="1"/>
  <c r="AB95" i="45"/>
  <c r="AB43" i="45"/>
  <c r="AB42" i="45"/>
  <c r="AB44" i="45"/>
  <c r="AD17" i="45"/>
  <c r="AD69" i="45" s="1"/>
  <c r="AE16" i="45"/>
  <c r="BK16" i="45" s="1"/>
  <c r="Y187" i="42"/>
  <c r="AA184" i="42"/>
  <c r="Z185" i="42"/>
  <c r="Z186" i="42"/>
  <c r="Z189" i="42" s="1"/>
  <c r="Z132" i="38"/>
  <c r="AD24" i="29"/>
  <c r="AE21" i="29"/>
  <c r="AA219" i="42"/>
  <c r="Z220" i="42"/>
  <c r="AC22" i="38"/>
  <c r="Z134" i="42"/>
  <c r="Z133" i="42"/>
  <c r="Z135" i="42"/>
  <c r="AB129" i="38"/>
  <c r="AA185" i="38"/>
  <c r="AA186" i="38"/>
  <c r="AA130" i="38"/>
  <c r="AA131" i="38"/>
  <c r="AC25" i="38"/>
  <c r="Y66" i="42"/>
  <c r="AB219" i="38"/>
  <c r="AA220" i="38"/>
  <c r="AC23" i="38"/>
  <c r="Z133" i="38"/>
  <c r="Z135" i="38"/>
  <c r="Z134" i="38"/>
  <c r="AB234" i="42"/>
  <c r="AA235" i="42"/>
  <c r="AD24" i="38"/>
  <c r="Y66" i="38"/>
  <c r="Z68" i="38"/>
  <c r="Z64" i="38"/>
  <c r="Z70" i="38"/>
  <c r="Z69" i="38"/>
  <c r="Z88" i="38" s="1"/>
  <c r="AA63" i="38"/>
  <c r="Z67" i="38"/>
  <c r="Z65" i="38"/>
  <c r="Z189" i="38"/>
  <c r="Z188" i="38"/>
  <c r="Z69" i="42"/>
  <c r="Z88" i="42" s="1"/>
  <c r="Z67" i="42"/>
  <c r="Z65" i="42"/>
  <c r="Z70" i="42"/>
  <c r="Z68" i="42"/>
  <c r="AA63" i="42"/>
  <c r="Z64" i="42"/>
  <c r="AD21" i="38"/>
  <c r="AB234" i="38"/>
  <c r="AA235" i="38"/>
  <c r="Z132" i="42"/>
  <c r="AB129" i="42"/>
  <c r="AA131" i="42"/>
  <c r="AA130" i="42"/>
  <c r="Z187" i="38"/>
  <c r="AB198" i="20"/>
  <c r="AA199" i="20"/>
  <c r="AA63" i="28"/>
  <c r="AA64" i="28"/>
  <c r="AB62" i="28"/>
  <c r="AA67" i="28"/>
  <c r="AA66" i="28"/>
  <c r="AD22" i="28"/>
  <c r="AF21" i="28"/>
  <c r="Z73" i="20"/>
  <c r="Z71" i="20"/>
  <c r="Z70" i="20"/>
  <c r="Z72" i="20"/>
  <c r="AA123" i="20"/>
  <c r="AA127" i="20"/>
  <c r="AA124" i="20"/>
  <c r="AB122" i="20"/>
  <c r="AA126" i="20"/>
  <c r="AA128" i="20"/>
  <c r="AA125" i="20"/>
  <c r="AE24" i="28"/>
  <c r="Z69" i="20"/>
  <c r="Z65" i="28"/>
  <c r="AD23" i="28"/>
  <c r="AE25" i="28"/>
  <c r="AB310" i="20"/>
  <c r="AA268" i="19"/>
  <c r="AA68" i="20"/>
  <c r="AA67" i="20"/>
  <c r="AB66" i="20"/>
  <c r="AA86" i="28"/>
  <c r="AA90" i="28"/>
  <c r="AA88" i="28"/>
  <c r="AA91" i="28"/>
  <c r="AA87" i="28"/>
  <c r="AB85" i="28"/>
  <c r="AA89" i="28"/>
  <c r="AB110" i="28"/>
  <c r="AA111" i="28"/>
  <c r="D58" i="14"/>
  <c r="D59" i="14" s="1"/>
  <c r="D57" i="12"/>
  <c r="Z212" i="20"/>
  <c r="D56" i="12"/>
  <c r="D60" i="12"/>
  <c r="D218" i="12"/>
  <c r="C39" i="28"/>
  <c r="D123" i="15"/>
  <c r="D35" i="15"/>
  <c r="D128" i="15" s="1"/>
  <c r="AK123" i="15"/>
  <c r="AK102" i="15"/>
  <c r="E33" i="16"/>
  <c r="E34" i="16"/>
  <c r="D43" i="15"/>
  <c r="I11" i="8"/>
  <c r="F32" i="15"/>
  <c r="D76" i="16"/>
  <c r="F54" i="14"/>
  <c r="F51" i="14"/>
  <c r="F52" i="14"/>
  <c r="G50" i="14"/>
  <c r="E74" i="16"/>
  <c r="E32" i="15"/>
  <c r="E53" i="14"/>
  <c r="E55" i="14" s="1"/>
  <c r="E112" i="14" s="1"/>
  <c r="F7" i="15"/>
  <c r="F41" i="15" s="1"/>
  <c r="BR33" i="58" s="1"/>
  <c r="F32" i="58" s="1"/>
  <c r="AL32" i="58" s="1"/>
  <c r="BR32" i="58" s="1"/>
  <c r="F32" i="16"/>
  <c r="D112" i="12"/>
  <c r="C42" i="20"/>
  <c r="E19" i="15"/>
  <c r="E16" i="15"/>
  <c r="E18" i="15"/>
  <c r="E15" i="15"/>
  <c r="E25" i="15"/>
  <c r="E124" i="15" s="1"/>
  <c r="E25" i="16"/>
  <c r="E124" i="16" s="1"/>
  <c r="F50" i="12"/>
  <c r="E54" i="12"/>
  <c r="E52" i="12"/>
  <c r="E51" i="12"/>
  <c r="E8" i="16"/>
  <c r="E9" i="16" s="1"/>
  <c r="E17" i="16"/>
  <c r="E8" i="15"/>
  <c r="E41" i="15"/>
  <c r="BQ33" i="58" s="1"/>
  <c r="E32" i="58" s="1"/>
  <c r="AK32" i="58" s="1"/>
  <c r="BQ32" i="58" s="1"/>
  <c r="G14" i="15"/>
  <c r="F18" i="15"/>
  <c r="F19" i="15"/>
  <c r="F15" i="15"/>
  <c r="F16" i="15"/>
  <c r="F7" i="16"/>
  <c r="F41" i="16" s="1"/>
  <c r="G6" i="16"/>
  <c r="G22" i="15"/>
  <c r="G24" i="15" s="1"/>
  <c r="F23" i="15"/>
  <c r="F23" i="16"/>
  <c r="G22" i="16"/>
  <c r="G24" i="16" s="1"/>
  <c r="G6" i="15"/>
  <c r="F19" i="16"/>
  <c r="F16" i="16"/>
  <c r="F15" i="16"/>
  <c r="F18" i="16"/>
  <c r="G14" i="16"/>
  <c r="E20" i="16"/>
  <c r="Z3" i="12"/>
  <c r="Y1" i="52" s="1"/>
  <c r="P62" i="2"/>
  <c r="U26" i="2"/>
  <c r="U27" i="2"/>
  <c r="U28" i="2"/>
  <c r="U29" i="2"/>
  <c r="U30" i="2"/>
  <c r="U31" i="2"/>
  <c r="U32" i="2"/>
  <c r="U25" i="2"/>
  <c r="T26" i="2"/>
  <c r="T27" i="2"/>
  <c r="T28" i="2"/>
  <c r="T29" i="2"/>
  <c r="T30" i="2"/>
  <c r="T31" i="2"/>
  <c r="T32" i="2"/>
  <c r="T25" i="2"/>
  <c r="S26" i="2"/>
  <c r="S27" i="2"/>
  <c r="S28" i="2"/>
  <c r="S29" i="2"/>
  <c r="S30" i="2"/>
  <c r="S31" i="2"/>
  <c r="S32" i="2"/>
  <c r="S25" i="2"/>
  <c r="R26" i="2"/>
  <c r="R27" i="2"/>
  <c r="R28" i="2"/>
  <c r="R29" i="2"/>
  <c r="R30" i="2"/>
  <c r="R31" i="2"/>
  <c r="R32" i="2"/>
  <c r="R25" i="2"/>
  <c r="P26" i="2"/>
  <c r="P27" i="2"/>
  <c r="P28" i="2"/>
  <c r="P29" i="2"/>
  <c r="P30" i="2"/>
  <c r="P31" i="2"/>
  <c r="P32" i="2"/>
  <c r="P25" i="2"/>
  <c r="P24" i="2"/>
  <c r="Q24" i="2"/>
  <c r="R24" i="2"/>
  <c r="S24" i="2"/>
  <c r="T24" i="2"/>
  <c r="U24" i="2"/>
  <c r="O31" i="2"/>
  <c r="O24" i="2"/>
  <c r="N32" i="2"/>
  <c r="A51" i="2" s="1"/>
  <c r="N26" i="2"/>
  <c r="A45" i="2" s="1"/>
  <c r="N27" i="2"/>
  <c r="A46" i="2" s="1"/>
  <c r="N28" i="2"/>
  <c r="A47" i="2" s="1"/>
  <c r="N29" i="2"/>
  <c r="A48" i="2" s="1"/>
  <c r="N30" i="2"/>
  <c r="A49" i="2" s="1"/>
  <c r="N31" i="2"/>
  <c r="A50" i="2" s="1"/>
  <c r="N25" i="2"/>
  <c r="A44" i="2" s="1"/>
  <c r="O14" i="2"/>
  <c r="O25" i="2" s="1"/>
  <c r="Q20" i="2"/>
  <c r="Q31" i="2" s="1"/>
  <c r="Q19" i="2"/>
  <c r="Q30" i="2" s="1"/>
  <c r="W6" i="2"/>
  <c r="Q15" i="2" s="1"/>
  <c r="Q26" i="2" s="1"/>
  <c r="W7" i="2"/>
  <c r="Q16" i="2" s="1"/>
  <c r="Q27" i="2" s="1"/>
  <c r="W8" i="2"/>
  <c r="Q17" i="2" s="1"/>
  <c r="Q28" i="2" s="1"/>
  <c r="W9" i="2"/>
  <c r="Q18" i="2" s="1"/>
  <c r="Q29" i="2" s="1"/>
  <c r="W10" i="2"/>
  <c r="W11" i="2"/>
  <c r="Q21" i="2" s="1"/>
  <c r="Q32" i="2" s="1"/>
  <c r="W5" i="2"/>
  <c r="Q14" i="2" s="1"/>
  <c r="Q25" i="2" s="1"/>
  <c r="O15" i="2"/>
  <c r="O26" i="2" s="1"/>
  <c r="O16" i="2"/>
  <c r="O27" i="2" s="1"/>
  <c r="O17" i="2"/>
  <c r="O28" i="2" s="1"/>
  <c r="O29" i="2"/>
  <c r="O19" i="2"/>
  <c r="O30" i="2" s="1"/>
  <c r="O21" i="2"/>
  <c r="O32" i="2" s="1"/>
  <c r="A46" i="1"/>
  <c r="A65" i="1" s="1"/>
  <c r="A47" i="1"/>
  <c r="A48" i="1"/>
  <c r="A49" i="1"/>
  <c r="A50" i="1"/>
  <c r="A51" i="1"/>
  <c r="A53" i="1"/>
  <c r="A45" i="1"/>
  <c r="A18" i="2"/>
  <c r="B18" i="2"/>
  <c r="A19" i="2"/>
  <c r="B19" i="2"/>
  <c r="A20" i="2"/>
  <c r="B20" i="2"/>
  <c r="A21" i="2"/>
  <c r="B21" i="2"/>
  <c r="A22" i="2"/>
  <c r="B22" i="2"/>
  <c r="A23" i="2"/>
  <c r="B23" i="2"/>
  <c r="A17" i="2"/>
  <c r="B17" i="2"/>
  <c r="B40" i="1"/>
  <c r="B39" i="1"/>
  <c r="S39" i="1" s="1"/>
  <c r="B37" i="1"/>
  <c r="Q40" i="1" s="1"/>
  <c r="O14" i="1"/>
  <c r="P14" i="1"/>
  <c r="Q14" i="1"/>
  <c r="R14" i="1"/>
  <c r="S14" i="1"/>
  <c r="O15" i="1"/>
  <c r="P15" i="1"/>
  <c r="Q15" i="1"/>
  <c r="R15" i="1"/>
  <c r="S15" i="1"/>
  <c r="O16" i="1"/>
  <c r="P16" i="1"/>
  <c r="Q16" i="1"/>
  <c r="R16" i="1"/>
  <c r="S16" i="1"/>
  <c r="O17" i="1"/>
  <c r="P17" i="1"/>
  <c r="Q17" i="1"/>
  <c r="R17" i="1"/>
  <c r="S17" i="1"/>
  <c r="O18" i="1"/>
  <c r="P18" i="1"/>
  <c r="Q18" i="1"/>
  <c r="R18" i="1"/>
  <c r="S18" i="1"/>
  <c r="O19" i="1"/>
  <c r="P19" i="1"/>
  <c r="Q19" i="1"/>
  <c r="R19" i="1"/>
  <c r="S19" i="1"/>
  <c r="S13" i="1"/>
  <c r="R13" i="1"/>
  <c r="P13" i="1"/>
  <c r="B38" i="1"/>
  <c r="B18" i="1"/>
  <c r="C17" i="1" s="1"/>
  <c r="P20" i="1" l="1"/>
  <c r="P25" i="1" s="1"/>
  <c r="Q20" i="1"/>
  <c r="Q24" i="1" s="1"/>
  <c r="O20" i="1"/>
  <c r="O24" i="1" s="1"/>
  <c r="R20" i="1"/>
  <c r="R26" i="1" s="1"/>
  <c r="R36" i="1" s="1"/>
  <c r="P29" i="1"/>
  <c r="S41" i="1"/>
  <c r="V32" i="2"/>
  <c r="B51" i="2" s="1"/>
  <c r="C51" i="2" s="1"/>
  <c r="H51" i="2" s="1"/>
  <c r="J51" i="2" s="1"/>
  <c r="S40" i="1"/>
  <c r="P28" i="1"/>
  <c r="P26" i="1"/>
  <c r="R27" i="1"/>
  <c r="R37" i="1" s="1"/>
  <c r="P27" i="1"/>
  <c r="R25" i="1"/>
  <c r="R35" i="1" s="1"/>
  <c r="P31" i="1"/>
  <c r="R28" i="1"/>
  <c r="R38" i="1" s="1"/>
  <c r="S36" i="1"/>
  <c r="V26" i="2"/>
  <c r="B45" i="2" s="1"/>
  <c r="S20" i="1"/>
  <c r="T29" i="1" s="1"/>
  <c r="T39" i="1" s="1"/>
  <c r="P24" i="1"/>
  <c r="I26" i="55"/>
  <c r="AN26" i="55"/>
  <c r="CZ26" i="55" s="1"/>
  <c r="T40" i="1"/>
  <c r="S38" i="1"/>
  <c r="S35" i="1"/>
  <c r="V31" i="2"/>
  <c r="D4" i="60"/>
  <c r="E8" i="61"/>
  <c r="BS27" i="55"/>
  <c r="H27" i="55"/>
  <c r="AM27" i="55"/>
  <c r="CY27" i="55" s="1"/>
  <c r="R40" i="1"/>
  <c r="S34" i="1"/>
  <c r="S37" i="1"/>
  <c r="V29" i="2"/>
  <c r="B48" i="2" s="1"/>
  <c r="C48" i="2" s="1"/>
  <c r="V28" i="2"/>
  <c r="B47" i="2" s="1"/>
  <c r="C47" i="2" s="1"/>
  <c r="H47" i="2" s="1"/>
  <c r="J47" i="2" s="1"/>
  <c r="Q34" i="1"/>
  <c r="AE24" i="54"/>
  <c r="AD25" i="54"/>
  <c r="BH21" i="45"/>
  <c r="BH23" i="45" s="1"/>
  <c r="AA37" i="48" s="1"/>
  <c r="AD22" i="54"/>
  <c r="AD23" i="54"/>
  <c r="AD21" i="54"/>
  <c r="AF8" i="52"/>
  <c r="AB69" i="54"/>
  <c r="AB76" i="54" s="1"/>
  <c r="AB77" i="54" s="1"/>
  <c r="AB70" i="54"/>
  <c r="AB64" i="54"/>
  <c r="AC63" i="54"/>
  <c r="AB65" i="54"/>
  <c r="AB68" i="54"/>
  <c r="AB67" i="54"/>
  <c r="AC156" i="54"/>
  <c r="AB157" i="54"/>
  <c r="AA66" i="54"/>
  <c r="AC147" i="53"/>
  <c r="AB148" i="53"/>
  <c r="AC156" i="53"/>
  <c r="AB157" i="53"/>
  <c r="AB68" i="53"/>
  <c r="AB67" i="53"/>
  <c r="AB70" i="53"/>
  <c r="AC63" i="53"/>
  <c r="AB69" i="53"/>
  <c r="AB76" i="53" s="1"/>
  <c r="AB65" i="53"/>
  <c r="AB64" i="53"/>
  <c r="AA77" i="53"/>
  <c r="AA66" i="53"/>
  <c r="AA133" i="53"/>
  <c r="AA104" i="53"/>
  <c r="AA103" i="53"/>
  <c r="AA105" i="53"/>
  <c r="AA135" i="53"/>
  <c r="AA134" i="53"/>
  <c r="AA102" i="53"/>
  <c r="AB100" i="53"/>
  <c r="AB132" i="53"/>
  <c r="AB101" i="53"/>
  <c r="AB131" i="53"/>
  <c r="Z37" i="46"/>
  <c r="AE25" i="53"/>
  <c r="AE22" i="53"/>
  <c r="AE23" i="53"/>
  <c r="AF24" i="53"/>
  <c r="AE21" i="53"/>
  <c r="BL4" i="51"/>
  <c r="BL57" i="58" s="1"/>
  <c r="BN51" i="45"/>
  <c r="AS3" i="50"/>
  <c r="AG6" i="52" s="1"/>
  <c r="AG8" i="52" s="1"/>
  <c r="BH25" i="45"/>
  <c r="BH26" i="45"/>
  <c r="BI44" i="45"/>
  <c r="BI42" i="45"/>
  <c r="BH24" i="45"/>
  <c r="BI43" i="45"/>
  <c r="AA205" i="48"/>
  <c r="AA142" i="48"/>
  <c r="Z89" i="38"/>
  <c r="Z91" i="38"/>
  <c r="Z90" i="38"/>
  <c r="AA69" i="46"/>
  <c r="AA92" i="46" s="1"/>
  <c r="AB63" i="46"/>
  <c r="AA65" i="46"/>
  <c r="AA68" i="46"/>
  <c r="AA64" i="46"/>
  <c r="AA70" i="46"/>
  <c r="AA67" i="46"/>
  <c r="AB261" i="48"/>
  <c r="AC260" i="48"/>
  <c r="AC20" i="45"/>
  <c r="BI19" i="45"/>
  <c r="AC243" i="48"/>
  <c r="AB244" i="48"/>
  <c r="AB140" i="48"/>
  <c r="AC139" i="48"/>
  <c r="AB204" i="48"/>
  <c r="AB141" i="48"/>
  <c r="AB203" i="48"/>
  <c r="AE24" i="48"/>
  <c r="AD22" i="48"/>
  <c r="AD25" i="48"/>
  <c r="AD23" i="48"/>
  <c r="Z92" i="48"/>
  <c r="Z96" i="46"/>
  <c r="Z101" i="46" s="1"/>
  <c r="Z95" i="46"/>
  <c r="Z100" i="46" s="1"/>
  <c r="Z94" i="46"/>
  <c r="Z93" i="46"/>
  <c r="Z98" i="46" s="1"/>
  <c r="Z97" i="46"/>
  <c r="Z92" i="42"/>
  <c r="Z91" i="42"/>
  <c r="Z95" i="42" s="1"/>
  <c r="Z90" i="42"/>
  <c r="Z94" i="42" s="1"/>
  <c r="Z89" i="42"/>
  <c r="BJ41" i="45"/>
  <c r="AC38" i="48" s="1"/>
  <c r="Z66" i="46"/>
  <c r="AA66" i="48"/>
  <c r="AB65" i="48"/>
  <c r="AB64" i="48"/>
  <c r="AC63" i="48"/>
  <c r="AB70" i="48"/>
  <c r="AB67" i="48"/>
  <c r="AB69" i="48"/>
  <c r="AB68" i="48"/>
  <c r="AE21" i="48"/>
  <c r="Y97" i="48"/>
  <c r="Y94" i="48"/>
  <c r="Y96" i="48"/>
  <c r="Y101" i="48" s="1"/>
  <c r="Y95" i="48"/>
  <c r="Y100" i="48" s="1"/>
  <c r="Y93" i="48"/>
  <c r="Y98" i="48" s="1"/>
  <c r="AA206" i="48"/>
  <c r="AA207" i="48"/>
  <c r="AA145" i="48"/>
  <c r="AA143" i="48"/>
  <c r="AA144" i="48"/>
  <c r="Y37" i="48"/>
  <c r="BF24" i="45"/>
  <c r="BF25" i="45"/>
  <c r="BF26" i="45"/>
  <c r="AC42" i="45"/>
  <c r="AB38" i="46"/>
  <c r="BK17" i="45"/>
  <c r="BK69" i="45" s="1"/>
  <c r="BK40" i="45"/>
  <c r="BK39" i="45"/>
  <c r="BF82" i="45"/>
  <c r="BJ18" i="45"/>
  <c r="BG23" i="45"/>
  <c r="AA142" i="46"/>
  <c r="AA205" i="46"/>
  <c r="AE23" i="46"/>
  <c r="AE22" i="46"/>
  <c r="AA207" i="46"/>
  <c r="AA206" i="46"/>
  <c r="AF24" i="46"/>
  <c r="AF21" i="46"/>
  <c r="AE25" i="46"/>
  <c r="AC243" i="46"/>
  <c r="AB244" i="46"/>
  <c r="AA144" i="46"/>
  <c r="AA143" i="46"/>
  <c r="AA145" i="46"/>
  <c r="AC139" i="46"/>
  <c r="AB204" i="46"/>
  <c r="AB140" i="46"/>
  <c r="AB141" i="46"/>
  <c r="AB203" i="46"/>
  <c r="AC260" i="46"/>
  <c r="AB261" i="46"/>
  <c r="AC44" i="45"/>
  <c r="AC43" i="45"/>
  <c r="BH95" i="45"/>
  <c r="AC95" i="45"/>
  <c r="AD41" i="45"/>
  <c r="AF16" i="45"/>
  <c r="BL16" i="45" s="1"/>
  <c r="AE17" i="45"/>
  <c r="AE69" i="45" s="1"/>
  <c r="AF38" i="45"/>
  <c r="BL38" i="45" s="1"/>
  <c r="AE39" i="45"/>
  <c r="AE40" i="45"/>
  <c r="AD18" i="45"/>
  <c r="AA26" i="45"/>
  <c r="AA25" i="45"/>
  <c r="AA82" i="45"/>
  <c r="AA24" i="45"/>
  <c r="AB21" i="45"/>
  <c r="AB23" i="45" s="1"/>
  <c r="AH51" i="45"/>
  <c r="AH92" i="45" s="1"/>
  <c r="AH53" i="45"/>
  <c r="AH52" i="45"/>
  <c r="AH88" i="45"/>
  <c r="BM92" i="45"/>
  <c r="BM88" i="45"/>
  <c r="Z188" i="42"/>
  <c r="Z187" i="42"/>
  <c r="AB184" i="42"/>
  <c r="AA186" i="42"/>
  <c r="AA189" i="42" s="1"/>
  <c r="AA185" i="42"/>
  <c r="AE24" i="29"/>
  <c r="AF21" i="29"/>
  <c r="AA134" i="42"/>
  <c r="AA133" i="42"/>
  <c r="AA135" i="42"/>
  <c r="AE21" i="38"/>
  <c r="AA187" i="38"/>
  <c r="AB219" i="42"/>
  <c r="AA220" i="42"/>
  <c r="Z66" i="42"/>
  <c r="AC219" i="38"/>
  <c r="AB220" i="38"/>
  <c r="AD25" i="38"/>
  <c r="AA134" i="38"/>
  <c r="AA133" i="38"/>
  <c r="AA135" i="38"/>
  <c r="AC129" i="38"/>
  <c r="AB185" i="38"/>
  <c r="AB186" i="38"/>
  <c r="AB131" i="38"/>
  <c r="AB130" i="38"/>
  <c r="AC234" i="38"/>
  <c r="AB235" i="38"/>
  <c r="AA70" i="42"/>
  <c r="AA69" i="42"/>
  <c r="AA88" i="42" s="1"/>
  <c r="AA67" i="42"/>
  <c r="AB63" i="42"/>
  <c r="AA68" i="42"/>
  <c r="AA64" i="42"/>
  <c r="AA65" i="42"/>
  <c r="Z93" i="42"/>
  <c r="Z66" i="38"/>
  <c r="AC234" i="42"/>
  <c r="AB235" i="42"/>
  <c r="AA132" i="38"/>
  <c r="AD22" i="38"/>
  <c r="AA132" i="42"/>
  <c r="AC129" i="42"/>
  <c r="AB131" i="42"/>
  <c r="AB130" i="42"/>
  <c r="AB63" i="38"/>
  <c r="AA68" i="38"/>
  <c r="AA67" i="38"/>
  <c r="AA65" i="38"/>
  <c r="AA69" i="38"/>
  <c r="AA88" i="38" s="1"/>
  <c r="AA64" i="38"/>
  <c r="AA70" i="38"/>
  <c r="AE24" i="38"/>
  <c r="AD23" i="38"/>
  <c r="AA188" i="38"/>
  <c r="AA189" i="38"/>
  <c r="AA69" i="20"/>
  <c r="AA70" i="20"/>
  <c r="AA72" i="20"/>
  <c r="AA71" i="20"/>
  <c r="AA73" i="20"/>
  <c r="AC310" i="20"/>
  <c r="AB268" i="19"/>
  <c r="AE23" i="28"/>
  <c r="AF24" i="28"/>
  <c r="AB123" i="20"/>
  <c r="AB127" i="20"/>
  <c r="AB124" i="20"/>
  <c r="AB125" i="20"/>
  <c r="AB126" i="20"/>
  <c r="AC122" i="20"/>
  <c r="AB128" i="20"/>
  <c r="AE22" i="28"/>
  <c r="AB88" i="28"/>
  <c r="AB90" i="28"/>
  <c r="AB87" i="28"/>
  <c r="AB86" i="28"/>
  <c r="AB91" i="28"/>
  <c r="AC85" i="28"/>
  <c r="AB89" i="28"/>
  <c r="AA65" i="28"/>
  <c r="AB68" i="20"/>
  <c r="AB67" i="20"/>
  <c r="AC66" i="20"/>
  <c r="AF25" i="28"/>
  <c r="AG21" i="28"/>
  <c r="AC110" i="28"/>
  <c r="AB111" i="28"/>
  <c r="AB64" i="28"/>
  <c r="AB66" i="28"/>
  <c r="AB67" i="28"/>
  <c r="AC62" i="28"/>
  <c r="AB63" i="28"/>
  <c r="AC198" i="20"/>
  <c r="AB199" i="20"/>
  <c r="D58" i="12"/>
  <c r="D59" i="12" s="1"/>
  <c r="AA212" i="20"/>
  <c r="E218" i="14"/>
  <c r="E60" i="14"/>
  <c r="E56" i="14"/>
  <c r="E61" i="14"/>
  <c r="E57" i="14" s="1"/>
  <c r="D60" i="15"/>
  <c r="D76" i="15" s="1"/>
  <c r="C43" i="28"/>
  <c r="D75" i="15"/>
  <c r="D129" i="15"/>
  <c r="E54" i="15"/>
  <c r="F33" i="16"/>
  <c r="F34" i="16"/>
  <c r="E74" i="15"/>
  <c r="E34" i="15"/>
  <c r="E33" i="15"/>
  <c r="F33" i="15"/>
  <c r="F34" i="15"/>
  <c r="E17" i="15"/>
  <c r="E35" i="16"/>
  <c r="E128" i="16" s="1"/>
  <c r="E40" i="16"/>
  <c r="E122" i="16" s="1"/>
  <c r="E132" i="16" s="1"/>
  <c r="E20" i="15"/>
  <c r="F53" i="14"/>
  <c r="F55" i="14" s="1"/>
  <c r="F112" i="14" s="1"/>
  <c r="G32" i="15"/>
  <c r="G52" i="14"/>
  <c r="G51" i="14"/>
  <c r="H50" i="14"/>
  <c r="G54" i="14"/>
  <c r="E54" i="16"/>
  <c r="D41" i="29"/>
  <c r="D42" i="19"/>
  <c r="F74" i="16"/>
  <c r="F74" i="15"/>
  <c r="D59" i="15"/>
  <c r="D135" i="15" s="1"/>
  <c r="G7" i="15"/>
  <c r="G41" i="15" s="1"/>
  <c r="BS33" i="58" s="1"/>
  <c r="G32" i="58" s="1"/>
  <c r="AM32" i="58" s="1"/>
  <c r="BS32" i="58" s="1"/>
  <c r="D41" i="28"/>
  <c r="G32" i="16"/>
  <c r="E21" i="16"/>
  <c r="E123" i="16" s="1"/>
  <c r="F17" i="15"/>
  <c r="H48" i="2"/>
  <c r="E53" i="12"/>
  <c r="E55" i="12" s="1"/>
  <c r="G50" i="12"/>
  <c r="F54" i="12"/>
  <c r="F51" i="12"/>
  <c r="F52" i="12"/>
  <c r="F17" i="16"/>
  <c r="F8" i="15"/>
  <c r="F9" i="15" s="1"/>
  <c r="F10" i="15" s="1"/>
  <c r="F11" i="15" s="1"/>
  <c r="F25" i="16"/>
  <c r="F124" i="16" s="1"/>
  <c r="F25" i="15"/>
  <c r="F124" i="15" s="1"/>
  <c r="F20" i="16"/>
  <c r="E10" i="16"/>
  <c r="E11" i="16" s="1"/>
  <c r="E39" i="16" s="1"/>
  <c r="E121" i="16" s="1"/>
  <c r="H22" i="15"/>
  <c r="H24" i="15" s="1"/>
  <c r="G23" i="15"/>
  <c r="F20" i="15"/>
  <c r="E9" i="15"/>
  <c r="G19" i="16"/>
  <c r="G16" i="16"/>
  <c r="G18" i="16"/>
  <c r="G15" i="16"/>
  <c r="H14" i="16"/>
  <c r="H6" i="15"/>
  <c r="G7" i="16"/>
  <c r="G41" i="16" s="1"/>
  <c r="H6" i="16"/>
  <c r="G23" i="16"/>
  <c r="H22" i="16"/>
  <c r="H24" i="16" s="1"/>
  <c r="F8" i="16"/>
  <c r="H14" i="15"/>
  <c r="G19" i="15"/>
  <c r="G16" i="15"/>
  <c r="G18" i="15"/>
  <c r="G15" i="15"/>
  <c r="AA3" i="12"/>
  <c r="Z1" i="52" s="1"/>
  <c r="C18" i="1"/>
  <c r="B35" i="1"/>
  <c r="O34" i="1" s="1"/>
  <c r="Q25" i="1"/>
  <c r="Q35" i="1" s="1"/>
  <c r="Q26" i="1"/>
  <c r="Q36" i="1" s="1"/>
  <c r="Q27" i="1"/>
  <c r="Q37" i="1" s="1"/>
  <c r="Q28" i="1"/>
  <c r="Q38" i="1" s="1"/>
  <c r="Q29" i="1"/>
  <c r="Q39" i="1" s="1"/>
  <c r="Q31" i="1"/>
  <c r="Q41" i="1" s="1"/>
  <c r="O25" i="1"/>
  <c r="O35" i="1" s="1"/>
  <c r="O26" i="1"/>
  <c r="O36" i="1" s="1"/>
  <c r="O27" i="1"/>
  <c r="O37" i="1" s="1"/>
  <c r="O28" i="1"/>
  <c r="O38" i="1" s="1"/>
  <c r="O29" i="1"/>
  <c r="O31" i="1"/>
  <c r="V25" i="2"/>
  <c r="B44" i="2" s="1"/>
  <c r="C44" i="2" s="1"/>
  <c r="V30" i="2"/>
  <c r="B49" i="2" s="1"/>
  <c r="C49" i="2" s="1"/>
  <c r="V27" i="2"/>
  <c r="B46" i="2" s="1"/>
  <c r="O41" i="1" l="1"/>
  <c r="O39" i="1"/>
  <c r="R31" i="1"/>
  <c r="R41" i="1" s="1"/>
  <c r="R24" i="1"/>
  <c r="R34" i="1" s="1"/>
  <c r="R29" i="1"/>
  <c r="R39" i="1" s="1"/>
  <c r="T24" i="1"/>
  <c r="T34" i="1" s="1"/>
  <c r="C63" i="2"/>
  <c r="B63" i="2" s="1"/>
  <c r="C71" i="4"/>
  <c r="C45" i="2"/>
  <c r="H45" i="2" s="1"/>
  <c r="J45" i="2" s="1"/>
  <c r="B50" i="2"/>
  <c r="C50" i="2" s="1"/>
  <c r="H50" i="2" s="1"/>
  <c r="J50" i="2" s="1"/>
  <c r="BT27" i="55"/>
  <c r="I27" i="55"/>
  <c r="AN27" i="55"/>
  <c r="CZ27" i="55" s="1"/>
  <c r="T27" i="1"/>
  <c r="T37" i="1" s="1"/>
  <c r="J26" i="55"/>
  <c r="AO26" i="55"/>
  <c r="DA26" i="55" s="1"/>
  <c r="T28" i="1"/>
  <c r="T38" i="1" s="1"/>
  <c r="C46" i="2"/>
  <c r="B46" i="3"/>
  <c r="H49" i="2"/>
  <c r="J49" i="2" s="1"/>
  <c r="E49" i="2"/>
  <c r="F49" i="2" s="1"/>
  <c r="T26" i="1"/>
  <c r="T36" i="1" s="1"/>
  <c r="T25" i="1"/>
  <c r="T35" i="1" s="1"/>
  <c r="E44" i="2"/>
  <c r="F44" i="2" s="1"/>
  <c r="H44" i="2"/>
  <c r="J44" i="2" s="1"/>
  <c r="F4" i="60"/>
  <c r="F16" i="60" s="1"/>
  <c r="D16" i="60"/>
  <c r="C4" i="60"/>
  <c r="C16" i="60" s="1"/>
  <c r="S6" i="60"/>
  <c r="T31" i="1"/>
  <c r="T41" i="1" s="1"/>
  <c r="AC21" i="45"/>
  <c r="AC23" i="45" s="1"/>
  <c r="AC24" i="45" s="1"/>
  <c r="AE25" i="54"/>
  <c r="AE21" i="54"/>
  <c r="AF24" i="54"/>
  <c r="AE23" i="54"/>
  <c r="BI21" i="45"/>
  <c r="BI23" i="45" s="1"/>
  <c r="BI24" i="45" s="1"/>
  <c r="AE22" i="54"/>
  <c r="AD156" i="54"/>
  <c r="AC157" i="54"/>
  <c r="AC65" i="54"/>
  <c r="AC64" i="54"/>
  <c r="AD63" i="54"/>
  <c r="AC67" i="54"/>
  <c r="AC68" i="54"/>
  <c r="AC69" i="54"/>
  <c r="AC76" i="54" s="1"/>
  <c r="AC77" i="54" s="1"/>
  <c r="AC70" i="54"/>
  <c r="AB66" i="54"/>
  <c r="AB66" i="53"/>
  <c r="AB65" i="28"/>
  <c r="AD147" i="53"/>
  <c r="AC148" i="53"/>
  <c r="AD156" i="53"/>
  <c r="AC157" i="53"/>
  <c r="AB77" i="53"/>
  <c r="AC70" i="53"/>
  <c r="AC69" i="53"/>
  <c r="AC76" i="53" s="1"/>
  <c r="AD63" i="53"/>
  <c r="AC67" i="53"/>
  <c r="AC64" i="53"/>
  <c r="AC68" i="53"/>
  <c r="AC65" i="53"/>
  <c r="AC100" i="53"/>
  <c r="AC101" i="53"/>
  <c r="AC132" i="53"/>
  <c r="AC131" i="53"/>
  <c r="AC38" i="46"/>
  <c r="AB133" i="53"/>
  <c r="AB104" i="53"/>
  <c r="AB103" i="53"/>
  <c r="AB105" i="53"/>
  <c r="AB135" i="53"/>
  <c r="AB134" i="53"/>
  <c r="AA37" i="46"/>
  <c r="AB102" i="53"/>
  <c r="AG24" i="53"/>
  <c r="AF23" i="53"/>
  <c r="AF21" i="53"/>
  <c r="AF22" i="53"/>
  <c r="AF25" i="53"/>
  <c r="AU3" i="50"/>
  <c r="BM4" i="51"/>
  <c r="BM57" i="58" s="1"/>
  <c r="AB66" i="48"/>
  <c r="BK41" i="45"/>
  <c r="BK42" i="45" s="1"/>
  <c r="BJ43" i="45"/>
  <c r="BJ44" i="45"/>
  <c r="AB142" i="48"/>
  <c r="AA90" i="38"/>
  <c r="AA89" i="38"/>
  <c r="AA91" i="38"/>
  <c r="AA92" i="42"/>
  <c r="AA90" i="42"/>
  <c r="AA94" i="42" s="1"/>
  <c r="AA91" i="42"/>
  <c r="AA95" i="42" s="1"/>
  <c r="AA89" i="42"/>
  <c r="AF21" i="48"/>
  <c r="Z93" i="48"/>
  <c r="Z98" i="48" s="1"/>
  <c r="Z97" i="48"/>
  <c r="Z96" i="48"/>
  <c r="Z101" i="48" s="1"/>
  <c r="Z95" i="48"/>
  <c r="Z100" i="48" s="1"/>
  <c r="Z94" i="48"/>
  <c r="AF24" i="48"/>
  <c r="AB207" i="48"/>
  <c r="AB206" i="48"/>
  <c r="BJ42" i="45"/>
  <c r="AC64" i="48"/>
  <c r="AC69" i="48"/>
  <c r="AC65" i="48"/>
  <c r="AC70" i="48"/>
  <c r="AC67" i="48"/>
  <c r="AD63" i="48"/>
  <c r="AC68" i="48"/>
  <c r="AE25" i="48"/>
  <c r="AE22" i="48"/>
  <c r="AC203" i="48"/>
  <c r="AD139" i="48"/>
  <c r="AC140" i="48"/>
  <c r="AC141" i="48"/>
  <c r="AC204" i="48"/>
  <c r="AB70" i="46"/>
  <c r="AB67" i="46"/>
  <c r="AB68" i="46"/>
  <c r="AB65" i="46"/>
  <c r="AB64" i="46"/>
  <c r="AB69" i="46"/>
  <c r="AB92" i="46" s="1"/>
  <c r="AC63" i="46"/>
  <c r="AB205" i="48"/>
  <c r="AD243" i="48"/>
  <c r="AC244" i="48"/>
  <c r="AD260" i="48"/>
  <c r="AC261" i="48"/>
  <c r="AA66" i="46"/>
  <c r="AA95" i="46"/>
  <c r="AA100" i="46" s="1"/>
  <c r="AA92" i="48"/>
  <c r="AA93" i="46"/>
  <c r="AA98" i="46" s="1"/>
  <c r="AA94" i="46"/>
  <c r="AA97" i="46"/>
  <c r="AA96" i="46"/>
  <c r="AA101" i="46" s="1"/>
  <c r="AE23" i="48"/>
  <c r="AB145" i="48"/>
  <c r="AB144" i="48"/>
  <c r="AB143" i="48"/>
  <c r="BL39" i="45"/>
  <c r="BL40" i="45"/>
  <c r="AC82" i="45"/>
  <c r="BL17" i="45"/>
  <c r="BL69" i="45" s="1"/>
  <c r="BJ19" i="45"/>
  <c r="BJ20" i="45"/>
  <c r="Z37" i="48"/>
  <c r="BG24" i="45"/>
  <c r="BG25" i="45"/>
  <c r="BG26" i="45"/>
  <c r="BK18" i="45"/>
  <c r="AB145" i="46"/>
  <c r="AB144" i="46"/>
  <c r="AB143" i="46"/>
  <c r="AF25" i="46"/>
  <c r="AB142" i="46"/>
  <c r="AF22" i="46"/>
  <c r="AD260" i="46"/>
  <c r="AC261" i="46"/>
  <c r="AB207" i="46"/>
  <c r="AB206" i="46"/>
  <c r="AD243" i="46"/>
  <c r="AC244" i="46"/>
  <c r="AG21" i="46"/>
  <c r="AG24" i="46"/>
  <c r="AF23" i="46"/>
  <c r="AB205" i="46"/>
  <c r="AD139" i="46"/>
  <c r="AC204" i="46"/>
  <c r="AC140" i="46"/>
  <c r="AC203" i="46"/>
  <c r="AC141" i="46"/>
  <c r="BG82" i="45"/>
  <c r="BJ95" i="45"/>
  <c r="AE18" i="45"/>
  <c r="AE19" i="45" s="1"/>
  <c r="BI95" i="45"/>
  <c r="AD44" i="45"/>
  <c r="AD95" i="45"/>
  <c r="AD42" i="45"/>
  <c r="AD43" i="45"/>
  <c r="AE41" i="45"/>
  <c r="AF17" i="45"/>
  <c r="AF69" i="45" s="1"/>
  <c r="AG16" i="45"/>
  <c r="BM16" i="45" s="1"/>
  <c r="AD20" i="45"/>
  <c r="AD19" i="45"/>
  <c r="BH82" i="45"/>
  <c r="AB25" i="45"/>
  <c r="AB26" i="45"/>
  <c r="AB82" i="45"/>
  <c r="AB24" i="45"/>
  <c r="AF39" i="45"/>
  <c r="AF40" i="45"/>
  <c r="AG38" i="45"/>
  <c r="BM38" i="45" s="1"/>
  <c r="BN88" i="45"/>
  <c r="BN92" i="45"/>
  <c r="AA187" i="42"/>
  <c r="AA188" i="42"/>
  <c r="AC184" i="42"/>
  <c r="AB186" i="42"/>
  <c r="AB188" i="42" s="1"/>
  <c r="AB185" i="42"/>
  <c r="AB132" i="38"/>
  <c r="AG21" i="29"/>
  <c r="AF24" i="29"/>
  <c r="AB132" i="42"/>
  <c r="AC63" i="38"/>
  <c r="AB68" i="38"/>
  <c r="AB70" i="38"/>
  <c r="AB65" i="38"/>
  <c r="AB67" i="38"/>
  <c r="AB64" i="38"/>
  <c r="AB69" i="38"/>
  <c r="AB88" i="38" s="1"/>
  <c r="AB69" i="42"/>
  <c r="AB88" i="42" s="1"/>
  <c r="AB65" i="42"/>
  <c r="AC63" i="42"/>
  <c r="AB70" i="42"/>
  <c r="AB64" i="42"/>
  <c r="AB68" i="42"/>
  <c r="AB67" i="42"/>
  <c r="AD129" i="38"/>
  <c r="AC185" i="38"/>
  <c r="AC186" i="38"/>
  <c r="AC131" i="38"/>
  <c r="AC130" i="38"/>
  <c r="AF21" i="38"/>
  <c r="AF24" i="38"/>
  <c r="AD129" i="42"/>
  <c r="AC131" i="42"/>
  <c r="AC130" i="42"/>
  <c r="AA93" i="42"/>
  <c r="AB134" i="38"/>
  <c r="AB133" i="38"/>
  <c r="AB135" i="38"/>
  <c r="AE25" i="38"/>
  <c r="AC219" i="42"/>
  <c r="AB220" i="42"/>
  <c r="AB134" i="42"/>
  <c r="AB133" i="42"/>
  <c r="AB135" i="42"/>
  <c r="AE22" i="38"/>
  <c r="AA66" i="42"/>
  <c r="AB189" i="38"/>
  <c r="AB188" i="38"/>
  <c r="AE23" i="38"/>
  <c r="AA66" i="38"/>
  <c r="AD234" i="42"/>
  <c r="AC235" i="42"/>
  <c r="AD234" i="38"/>
  <c r="AC235" i="38"/>
  <c r="AB187" i="38"/>
  <c r="AD219" i="38"/>
  <c r="AC220" i="38"/>
  <c r="AB69" i="20"/>
  <c r="AD198" i="20"/>
  <c r="AC199" i="20"/>
  <c r="AD110" i="28"/>
  <c r="AC111" i="28"/>
  <c r="AG25" i="28"/>
  <c r="AF22" i="28"/>
  <c r="AD66" i="20"/>
  <c r="AC67" i="20"/>
  <c r="AC68" i="20"/>
  <c r="AD85" i="28"/>
  <c r="AC90" i="28"/>
  <c r="AC86" i="28"/>
  <c r="AC87" i="28"/>
  <c r="AC89" i="28"/>
  <c r="AC88" i="28"/>
  <c r="AC91" i="28"/>
  <c r="AG24" i="28"/>
  <c r="AC268" i="19"/>
  <c r="AD310" i="20"/>
  <c r="AC64" i="28"/>
  <c r="AD62" i="28"/>
  <c r="AC67" i="28"/>
  <c r="AC63" i="28"/>
  <c r="AC66" i="28"/>
  <c r="AC124" i="20"/>
  <c r="AD122" i="20"/>
  <c r="AC126" i="20"/>
  <c r="AC125" i="20"/>
  <c r="AC127" i="20"/>
  <c r="AC128" i="20"/>
  <c r="AC123" i="20"/>
  <c r="AB70" i="20"/>
  <c r="AB71" i="20"/>
  <c r="AB72" i="20"/>
  <c r="AB73" i="20"/>
  <c r="AF23" i="28"/>
  <c r="E58" i="14"/>
  <c r="E59" i="14" s="1"/>
  <c r="AB212" i="20"/>
  <c r="F218" i="14"/>
  <c r="F61" i="14"/>
  <c r="F57" i="14" s="1"/>
  <c r="F60" i="14"/>
  <c r="F56" i="14"/>
  <c r="E60" i="12"/>
  <c r="E58" i="12" s="1"/>
  <c r="E56" i="12"/>
  <c r="E61" i="12"/>
  <c r="E57" i="12" s="1"/>
  <c r="F21" i="16"/>
  <c r="F123" i="16" s="1"/>
  <c r="E131" i="16"/>
  <c r="G33" i="15"/>
  <c r="G34" i="15"/>
  <c r="E42" i="19"/>
  <c r="G34" i="16"/>
  <c r="G33" i="16"/>
  <c r="F54" i="15"/>
  <c r="E112" i="12"/>
  <c r="E218" i="12"/>
  <c r="E60" i="16"/>
  <c r="D43" i="29"/>
  <c r="E40" i="15"/>
  <c r="E122" i="15" s="1"/>
  <c r="E132" i="15" s="1"/>
  <c r="G53" i="14"/>
  <c r="G55" i="14" s="1"/>
  <c r="G112" i="14" s="1"/>
  <c r="E42" i="16"/>
  <c r="F40" i="15"/>
  <c r="F122" i="15" s="1"/>
  <c r="F132" i="15" s="1"/>
  <c r="E21" i="15"/>
  <c r="E123" i="15" s="1"/>
  <c r="E35" i="15"/>
  <c r="E128" i="15" s="1"/>
  <c r="F35" i="16"/>
  <c r="F128" i="16" s="1"/>
  <c r="D66" i="7"/>
  <c r="D14" i="7"/>
  <c r="E14" i="7" s="1"/>
  <c r="F39" i="15"/>
  <c r="F121" i="15" s="1"/>
  <c r="D66" i="16"/>
  <c r="F35" i="15"/>
  <c r="F128" i="15" s="1"/>
  <c r="G74" i="16"/>
  <c r="G74" i="15"/>
  <c r="H32" i="16"/>
  <c r="F54" i="16"/>
  <c r="E41" i="29"/>
  <c r="H32" i="15"/>
  <c r="E43" i="16"/>
  <c r="D39" i="29"/>
  <c r="F40" i="16"/>
  <c r="F122" i="16" s="1"/>
  <c r="F132" i="16" s="1"/>
  <c r="D46" i="16"/>
  <c r="D65" i="15"/>
  <c r="D139" i="15" s="1"/>
  <c r="I50" i="14"/>
  <c r="H54" i="14"/>
  <c r="H51" i="14"/>
  <c r="H52" i="14"/>
  <c r="D66" i="15"/>
  <c r="D46" i="15"/>
  <c r="D67" i="15"/>
  <c r="D49" i="15"/>
  <c r="D136" i="15" s="1"/>
  <c r="E41" i="28"/>
  <c r="H7" i="15"/>
  <c r="H41" i="15" s="1"/>
  <c r="BT33" i="58" s="1"/>
  <c r="H32" i="58" s="1"/>
  <c r="AN32" i="58" s="1"/>
  <c r="BT32" i="58" s="1"/>
  <c r="D42" i="20"/>
  <c r="J48" i="2"/>
  <c r="F53" i="12"/>
  <c r="F55" i="12" s="1"/>
  <c r="H50" i="12"/>
  <c r="G54" i="12"/>
  <c r="G52" i="12"/>
  <c r="G51" i="12"/>
  <c r="G25" i="16"/>
  <c r="G124" i="16" s="1"/>
  <c r="G25" i="15"/>
  <c r="G124" i="15" s="1"/>
  <c r="G17" i="15"/>
  <c r="G8" i="15"/>
  <c r="G9" i="15" s="1"/>
  <c r="G10" i="15" s="1"/>
  <c r="G11" i="15" s="1"/>
  <c r="G17" i="16"/>
  <c r="G20" i="16"/>
  <c r="G8" i="16"/>
  <c r="G9" i="16" s="1"/>
  <c r="F13" i="15"/>
  <c r="F125" i="15" s="1"/>
  <c r="H7" i="16"/>
  <c r="H41" i="16" s="1"/>
  <c r="I6" i="16"/>
  <c r="I6" i="15"/>
  <c r="E10" i="15"/>
  <c r="E11" i="15" s="1"/>
  <c r="E39" i="15" s="1"/>
  <c r="E121" i="15" s="1"/>
  <c r="G20" i="15"/>
  <c r="I22" i="15"/>
  <c r="I24" i="15" s="1"/>
  <c r="H23" i="15"/>
  <c r="E13" i="16"/>
  <c r="E125" i="16" s="1"/>
  <c r="E129" i="16" s="1"/>
  <c r="I14" i="15"/>
  <c r="H19" i="15"/>
  <c r="H16" i="15"/>
  <c r="H15" i="15"/>
  <c r="H18" i="15"/>
  <c r="F9" i="16"/>
  <c r="H23" i="16"/>
  <c r="I22" i="16"/>
  <c r="I24" i="16" s="1"/>
  <c r="H18" i="16"/>
  <c r="H15" i="16"/>
  <c r="H16" i="16"/>
  <c r="H19" i="16"/>
  <c r="I14" i="16"/>
  <c r="F21" i="15"/>
  <c r="F123" i="15" s="1"/>
  <c r="AB3" i="12"/>
  <c r="AA1" i="52" s="1"/>
  <c r="O40" i="1"/>
  <c r="B36" i="1"/>
  <c r="C61" i="2"/>
  <c r="B61" i="2" s="1"/>
  <c r="C60" i="2"/>
  <c r="B60" i="2" s="1"/>
  <c r="C59" i="2"/>
  <c r="B59" i="2" s="1"/>
  <c r="C58" i="2"/>
  <c r="B58" i="2" s="1"/>
  <c r="AC66" i="54" l="1"/>
  <c r="AC25" i="45"/>
  <c r="AB37" i="46"/>
  <c r="AC26" i="45"/>
  <c r="K26" i="55"/>
  <c r="AP26" i="55"/>
  <c r="DB26" i="55" s="1"/>
  <c r="C62" i="2"/>
  <c r="B62" i="2" s="1"/>
  <c r="AO27" i="55"/>
  <c r="DA27" i="55" s="1"/>
  <c r="BU27" i="55"/>
  <c r="J27" i="55"/>
  <c r="S16" i="60"/>
  <c r="H46" i="2"/>
  <c r="E46" i="2"/>
  <c r="F46" i="2" s="1"/>
  <c r="AG24" i="54"/>
  <c r="AF25" i="54"/>
  <c r="AF21" i="54"/>
  <c r="AB37" i="48"/>
  <c r="BI26" i="45"/>
  <c r="BI25" i="45"/>
  <c r="AF23" i="54"/>
  <c r="AF22" i="54"/>
  <c r="Q29" i="49"/>
  <c r="Q28" i="49"/>
  <c r="Q27" i="49"/>
  <c r="Q26" i="49"/>
  <c r="Q30" i="49"/>
  <c r="AD67" i="54"/>
  <c r="AD69" i="54"/>
  <c r="AD76" i="54" s="1"/>
  <c r="AD77" i="54" s="1"/>
  <c r="AD65" i="54"/>
  <c r="AE63" i="54"/>
  <c r="AD64" i="54"/>
  <c r="AD68" i="54"/>
  <c r="AD70" i="54"/>
  <c r="AD157" i="54"/>
  <c r="AE156" i="54"/>
  <c r="BK44" i="45"/>
  <c r="AE156" i="53"/>
  <c r="AD157" i="53"/>
  <c r="AE147" i="53"/>
  <c r="AD148" i="53"/>
  <c r="AD65" i="53"/>
  <c r="AD64" i="53"/>
  <c r="AD68" i="53"/>
  <c r="AD67" i="53"/>
  <c r="AD70" i="53"/>
  <c r="AD69" i="53"/>
  <c r="AD76" i="53" s="1"/>
  <c r="AE63" i="53"/>
  <c r="AC77" i="53"/>
  <c r="AC66" i="53"/>
  <c r="AC133" i="53"/>
  <c r="AC135" i="53"/>
  <c r="AC134" i="53"/>
  <c r="AC104" i="53"/>
  <c r="AC103" i="53"/>
  <c r="AC105" i="53"/>
  <c r="AC102" i="53"/>
  <c r="AD100" i="53"/>
  <c r="AD101" i="53"/>
  <c r="AD132" i="53"/>
  <c r="AD131" i="53"/>
  <c r="AD38" i="46"/>
  <c r="AG21" i="53"/>
  <c r="AG22" i="53"/>
  <c r="AG25" i="53"/>
  <c r="AG23" i="53"/>
  <c r="BN4" i="51"/>
  <c r="BN57" i="58" s="1"/>
  <c r="DF19" i="58" s="1"/>
  <c r="CA15" i="51"/>
  <c r="BS14" i="51"/>
  <c r="K29" i="49"/>
  <c r="K26" i="49"/>
  <c r="H5" i="8" s="1"/>
  <c r="K28" i="49"/>
  <c r="K30" i="49"/>
  <c r="K27" i="49"/>
  <c r="H5" i="4" s="1"/>
  <c r="AD38" i="48"/>
  <c r="BK43" i="45"/>
  <c r="BL41" i="45"/>
  <c r="BL44" i="45" s="1"/>
  <c r="AB92" i="42"/>
  <c r="AB89" i="42"/>
  <c r="AB93" i="42" s="1"/>
  <c r="AB91" i="42"/>
  <c r="AB95" i="42" s="1"/>
  <c r="AB90" i="42"/>
  <c r="AB94" i="42" s="1"/>
  <c r="AF23" i="48"/>
  <c r="AA96" i="48"/>
  <c r="AA101" i="48" s="1"/>
  <c r="AA97" i="48"/>
  <c r="AA95" i="48"/>
  <c r="AA100" i="48" s="1"/>
  <c r="AA94" i="48"/>
  <c r="AA93" i="48"/>
  <c r="AA98" i="48" s="1"/>
  <c r="AD261" i="48"/>
  <c r="AE260" i="48"/>
  <c r="AC207" i="48"/>
  <c r="AC206" i="48"/>
  <c r="AC205" i="48"/>
  <c r="AF25" i="48"/>
  <c r="AG21" i="48"/>
  <c r="AB91" i="38"/>
  <c r="AB89" i="38"/>
  <c r="AB90" i="38"/>
  <c r="AD63" i="46"/>
  <c r="AC68" i="46"/>
  <c r="AC70" i="46"/>
  <c r="AC67" i="46"/>
  <c r="AC69" i="46"/>
  <c r="AC92" i="46" s="1"/>
  <c r="AC64" i="46"/>
  <c r="AC65" i="46"/>
  <c r="AC143" i="48"/>
  <c r="AC145" i="48"/>
  <c r="AC144" i="48"/>
  <c r="AG24" i="48"/>
  <c r="AE243" i="48"/>
  <c r="AD244" i="48"/>
  <c r="AB97" i="46"/>
  <c r="AB96" i="46"/>
  <c r="AB101" i="46" s="1"/>
  <c r="AB93" i="46"/>
  <c r="AB98" i="46" s="1"/>
  <c r="AB95" i="46"/>
  <c r="AB100" i="46" s="1"/>
  <c r="AB92" i="48"/>
  <c r="AB94" i="46"/>
  <c r="AC142" i="48"/>
  <c r="AF22" i="48"/>
  <c r="AD68" i="48"/>
  <c r="AD64" i="48"/>
  <c r="AD67" i="48"/>
  <c r="AE63" i="48"/>
  <c r="AD70" i="48"/>
  <c r="AD65" i="48"/>
  <c r="AD69" i="48"/>
  <c r="AB66" i="46"/>
  <c r="AD140" i="48"/>
  <c r="AE139" i="48"/>
  <c r="AD203" i="48"/>
  <c r="AD141" i="48"/>
  <c r="AD204" i="48"/>
  <c r="AC66" i="48"/>
  <c r="BM17" i="45"/>
  <c r="BM69" i="45" s="1"/>
  <c r="BJ21" i="45"/>
  <c r="BM40" i="45"/>
  <c r="BM39" i="45"/>
  <c r="BK19" i="45"/>
  <c r="BK20" i="45"/>
  <c r="BL18" i="45"/>
  <c r="AC207" i="46"/>
  <c r="AC206" i="46"/>
  <c r="AG22" i="46"/>
  <c r="AC145" i="46"/>
  <c r="AC144" i="46"/>
  <c r="AC143" i="46"/>
  <c r="AE139" i="46"/>
  <c r="AD204" i="46"/>
  <c r="AD203" i="46"/>
  <c r="AD140" i="46"/>
  <c r="AD141" i="46"/>
  <c r="AC205" i="46"/>
  <c r="AG23" i="46"/>
  <c r="AG25" i="46"/>
  <c r="AC142" i="46"/>
  <c r="AE243" i="46"/>
  <c r="AD244" i="46"/>
  <c r="AE260" i="46"/>
  <c r="AD261" i="46"/>
  <c r="AE20" i="45"/>
  <c r="AD21" i="45"/>
  <c r="AD23" i="45" s="1"/>
  <c r="BI82" i="45"/>
  <c r="AF41" i="45"/>
  <c r="BK95" i="45"/>
  <c r="AG17" i="45"/>
  <c r="AG69" i="45" s="1"/>
  <c r="AH16" i="45"/>
  <c r="BN16" i="45" s="1"/>
  <c r="AG40" i="45"/>
  <c r="AG39" i="45"/>
  <c r="AH38" i="45"/>
  <c r="BN38" i="45" s="1"/>
  <c r="AF18" i="45"/>
  <c r="AE43" i="45"/>
  <c r="AE44" i="45"/>
  <c r="AE42" i="45"/>
  <c r="AE95" i="45"/>
  <c r="AB189" i="42"/>
  <c r="AB187" i="42"/>
  <c r="AD184" i="42"/>
  <c r="AC185" i="42"/>
  <c r="AC186" i="42"/>
  <c r="AC65" i="28"/>
  <c r="AC132" i="42"/>
  <c r="AC132" i="38"/>
  <c r="AG24" i="29"/>
  <c r="AC187" i="38"/>
  <c r="AC68" i="42"/>
  <c r="AD63" i="42"/>
  <c r="AC69" i="42"/>
  <c r="AC88" i="42" s="1"/>
  <c r="AC67" i="42"/>
  <c r="AC70" i="42"/>
  <c r="AC65" i="42"/>
  <c r="AC64" i="42"/>
  <c r="AB66" i="38"/>
  <c r="AE219" i="38"/>
  <c r="AD220" i="38"/>
  <c r="AE234" i="42"/>
  <c r="AD235" i="42"/>
  <c r="AF23" i="38"/>
  <c r="AD219" i="42"/>
  <c r="AC220" i="42"/>
  <c r="AE129" i="42"/>
  <c r="AD131" i="42"/>
  <c r="AD130" i="42"/>
  <c r="AG24" i="38"/>
  <c r="AG21" i="38"/>
  <c r="AE129" i="38"/>
  <c r="AD185" i="38"/>
  <c r="AD186" i="38"/>
  <c r="AD131" i="38"/>
  <c r="AD130" i="38"/>
  <c r="AD63" i="38"/>
  <c r="AC69" i="38"/>
  <c r="AC88" i="38" s="1"/>
  <c r="AC68" i="38"/>
  <c r="AC64" i="38"/>
  <c r="AC70" i="38"/>
  <c r="AC65" i="38"/>
  <c r="AC67" i="38"/>
  <c r="AC134" i="42"/>
  <c r="AC133" i="42"/>
  <c r="AC135" i="42"/>
  <c r="AC134" i="38"/>
  <c r="AC135" i="38"/>
  <c r="AC133" i="38"/>
  <c r="AB66" i="42"/>
  <c r="AE234" i="38"/>
  <c r="AD235" i="38"/>
  <c r="AF22" i="38"/>
  <c r="AF25" i="38"/>
  <c r="AC189" i="38"/>
  <c r="AC188" i="38"/>
  <c r="AC73" i="20"/>
  <c r="AC70" i="20"/>
  <c r="AC71" i="20"/>
  <c r="AC72" i="20"/>
  <c r="AD128" i="20"/>
  <c r="AD123" i="20"/>
  <c r="AD127" i="20"/>
  <c r="AD124" i="20"/>
  <c r="AD125" i="20"/>
  <c r="AE122" i="20"/>
  <c r="AD126" i="20"/>
  <c r="AE310" i="20"/>
  <c r="AD268" i="19"/>
  <c r="AC69" i="20"/>
  <c r="AG22" i="28"/>
  <c r="AD111" i="28"/>
  <c r="AE110" i="28"/>
  <c r="AG23" i="28"/>
  <c r="AE66" i="20"/>
  <c r="AD68" i="20"/>
  <c r="AD67" i="20"/>
  <c r="AE62" i="28"/>
  <c r="AD66" i="28"/>
  <c r="AD64" i="28"/>
  <c r="AD67" i="28"/>
  <c r="AD63" i="28"/>
  <c r="AD87" i="28"/>
  <c r="AD91" i="28"/>
  <c r="AD88" i="28"/>
  <c r="AE85" i="28"/>
  <c r="AD90" i="28"/>
  <c r="AD86" i="28"/>
  <c r="AD89" i="28"/>
  <c r="AE198" i="20"/>
  <c r="AD199" i="20"/>
  <c r="F58" i="14"/>
  <c r="F59" i="14" s="1"/>
  <c r="E59" i="12"/>
  <c r="AC212" i="20"/>
  <c r="G218" i="14"/>
  <c r="G61" i="14"/>
  <c r="G57" i="14" s="1"/>
  <c r="G60" i="14"/>
  <c r="G56" i="14"/>
  <c r="F60" i="12"/>
  <c r="F58" i="12" s="1"/>
  <c r="F61" i="12"/>
  <c r="F57" i="12" s="1"/>
  <c r="F56" i="12"/>
  <c r="E39" i="29"/>
  <c r="F43" i="16"/>
  <c r="E131" i="15"/>
  <c r="D134" i="16"/>
  <c r="F131" i="15"/>
  <c r="F129" i="15"/>
  <c r="D134" i="15"/>
  <c r="D140" i="15" s="1"/>
  <c r="D133" i="15" a="1"/>
  <c r="H34" i="15"/>
  <c r="H33" i="15"/>
  <c r="G54" i="15"/>
  <c r="E43" i="15"/>
  <c r="H34" i="16"/>
  <c r="H33" i="16"/>
  <c r="F43" i="15"/>
  <c r="F47" i="15"/>
  <c r="F112" i="12"/>
  <c r="F218" i="12"/>
  <c r="E43" i="29"/>
  <c r="E43" i="28"/>
  <c r="E60" i="15"/>
  <c r="E75" i="16"/>
  <c r="D63" i="7"/>
  <c r="F60" i="16"/>
  <c r="F42" i="19"/>
  <c r="D39" i="28"/>
  <c r="G40" i="15"/>
  <c r="G122" i="15" s="1"/>
  <c r="G132" i="15" s="1"/>
  <c r="G40" i="16"/>
  <c r="G122" i="16" s="1"/>
  <c r="D43" i="28"/>
  <c r="D15" i="7"/>
  <c r="E15" i="7" s="1"/>
  <c r="D68" i="7"/>
  <c r="D65" i="7"/>
  <c r="D64" i="7"/>
  <c r="D67" i="7"/>
  <c r="F60" i="15"/>
  <c r="G35" i="16"/>
  <c r="G128" i="16" s="1"/>
  <c r="G39" i="15"/>
  <c r="G121" i="15" s="1"/>
  <c r="G54" i="16"/>
  <c r="F41" i="29"/>
  <c r="I32" i="15"/>
  <c r="I54" i="14"/>
  <c r="I51" i="14"/>
  <c r="I52" i="14"/>
  <c r="J50" i="14"/>
  <c r="E47" i="16"/>
  <c r="D40" i="29"/>
  <c r="D68" i="15"/>
  <c r="H53" i="14"/>
  <c r="H55" i="14" s="1"/>
  <c r="H112" i="14" s="1"/>
  <c r="H74" i="15"/>
  <c r="H74" i="16"/>
  <c r="G35" i="15"/>
  <c r="G128" i="15" s="1"/>
  <c r="E39" i="28"/>
  <c r="F42" i="15"/>
  <c r="F41" i="28"/>
  <c r="I7" i="15"/>
  <c r="I41" i="15" s="1"/>
  <c r="BU33" i="58" s="1"/>
  <c r="I32" i="58" s="1"/>
  <c r="AO32" i="58" s="1"/>
  <c r="BU32" i="58" s="1"/>
  <c r="E40" i="28"/>
  <c r="I32" i="16"/>
  <c r="E42" i="20"/>
  <c r="C16" i="7"/>
  <c r="D16" i="7" s="1"/>
  <c r="H25" i="15"/>
  <c r="H124" i="15" s="1"/>
  <c r="G53" i="12"/>
  <c r="G55" i="12" s="1"/>
  <c r="I50" i="12"/>
  <c r="H54" i="12"/>
  <c r="H52" i="12"/>
  <c r="H51" i="12"/>
  <c r="H20" i="16"/>
  <c r="H17" i="15"/>
  <c r="G13" i="15"/>
  <c r="G125" i="15" s="1"/>
  <c r="H17" i="16"/>
  <c r="H25" i="16"/>
  <c r="H124" i="16" s="1"/>
  <c r="G21" i="16"/>
  <c r="G123" i="16" s="1"/>
  <c r="G21" i="15"/>
  <c r="G123" i="15" s="1"/>
  <c r="I18" i="16"/>
  <c r="I15" i="16"/>
  <c r="I19" i="16"/>
  <c r="I16" i="16"/>
  <c r="J14" i="16"/>
  <c r="H20" i="15"/>
  <c r="J14" i="15"/>
  <c r="I18" i="15"/>
  <c r="I19" i="15"/>
  <c r="I16" i="15"/>
  <c r="I15" i="15"/>
  <c r="E13" i="15"/>
  <c r="E125" i="15" s="1"/>
  <c r="E129" i="15" s="1"/>
  <c r="J6" i="15"/>
  <c r="H8" i="16"/>
  <c r="I23" i="16"/>
  <c r="J22" i="16"/>
  <c r="J24" i="16" s="1"/>
  <c r="F10" i="16"/>
  <c r="F11" i="16" s="1"/>
  <c r="F39" i="16" s="1"/>
  <c r="F121" i="16" s="1"/>
  <c r="J22" i="15"/>
  <c r="J24" i="15" s="1"/>
  <c r="I23" i="15"/>
  <c r="H8" i="15"/>
  <c r="G10" i="16"/>
  <c r="G11" i="16" s="1"/>
  <c r="G39" i="16" s="1"/>
  <c r="G121" i="16" s="1"/>
  <c r="G131" i="16" s="1"/>
  <c r="J6" i="16"/>
  <c r="I7" i="16"/>
  <c r="I41" i="16" s="1"/>
  <c r="AC3" i="12"/>
  <c r="AB1" i="52" s="1"/>
  <c r="P35" i="1"/>
  <c r="V35" i="1" s="1"/>
  <c r="B46" i="1" s="1"/>
  <c r="C72" i="4" s="1"/>
  <c r="I72" i="4" s="1"/>
  <c r="I66" i="4" s="1"/>
  <c r="C77" i="4" s="1"/>
  <c r="I77" i="4" s="1"/>
  <c r="P36" i="1"/>
  <c r="V36" i="1" s="1"/>
  <c r="B47" i="1" s="1"/>
  <c r="B47" i="3" s="1"/>
  <c r="P37" i="1"/>
  <c r="V37" i="1" s="1"/>
  <c r="B48" i="1" s="1"/>
  <c r="P38" i="1"/>
  <c r="V38" i="1" s="1"/>
  <c r="B49" i="1" s="1"/>
  <c r="P39" i="1"/>
  <c r="V39" i="1" s="1"/>
  <c r="B50" i="1" s="1"/>
  <c r="P40" i="1"/>
  <c r="P41" i="1"/>
  <c r="V41" i="1" s="1"/>
  <c r="B53" i="1" s="1"/>
  <c r="P34" i="1"/>
  <c r="V34" i="1" s="1"/>
  <c r="V40" i="1"/>
  <c r="B51" i="1" s="1"/>
  <c r="C66" i="1" s="1"/>
  <c r="BL43" i="45" l="1"/>
  <c r="I71" i="4"/>
  <c r="I65" i="4" s="1"/>
  <c r="C76" i="4" s="1"/>
  <c r="I76" i="4" s="1"/>
  <c r="BV27" i="55"/>
  <c r="K27" i="55"/>
  <c r="AP27" i="55"/>
  <c r="DB27" i="55" s="1"/>
  <c r="J46" i="2"/>
  <c r="J52" i="2" s="1"/>
  <c r="H52" i="2"/>
  <c r="L26" i="55"/>
  <c r="AQ26" i="55"/>
  <c r="DC26" i="55" s="1"/>
  <c r="AG22" i="54"/>
  <c r="AG21" i="54"/>
  <c r="AG25" i="54"/>
  <c r="AE21" i="45"/>
  <c r="AE23" i="45" s="1"/>
  <c r="AD37" i="46" s="1"/>
  <c r="AG23" i="54"/>
  <c r="AD66" i="54"/>
  <c r="AE70" i="54"/>
  <c r="AE69" i="54"/>
  <c r="AE76" i="54" s="1"/>
  <c r="AE77" i="54" s="1"/>
  <c r="AE65" i="54"/>
  <c r="AF63" i="54"/>
  <c r="AE64" i="54"/>
  <c r="AE66" i="54" s="1"/>
  <c r="AE67" i="54"/>
  <c r="AE68" i="54"/>
  <c r="AF156" i="54"/>
  <c r="AF157" i="54" s="1"/>
  <c r="AE157" i="54"/>
  <c r="AE38" i="48"/>
  <c r="BL42" i="45"/>
  <c r="AD66" i="53"/>
  <c r="AF156" i="53"/>
  <c r="AF157" i="53" s="1"/>
  <c r="AE157" i="53"/>
  <c r="AF147" i="53"/>
  <c r="AF148" i="53" s="1"/>
  <c r="AE148" i="53"/>
  <c r="AE68" i="53"/>
  <c r="AE69" i="53"/>
  <c r="AE76" i="53" s="1"/>
  <c r="AE67" i="53"/>
  <c r="AE70" i="53"/>
  <c r="AE65" i="53"/>
  <c r="AE64" i="53"/>
  <c r="AF63" i="53"/>
  <c r="AD77" i="53"/>
  <c r="AD133" i="53"/>
  <c r="AD135" i="53"/>
  <c r="AD134" i="53"/>
  <c r="AD24" i="45"/>
  <c r="AD104" i="53"/>
  <c r="AD103" i="53"/>
  <c r="AD105" i="53"/>
  <c r="AD102" i="53"/>
  <c r="AE100" i="53"/>
  <c r="AE101" i="53"/>
  <c r="AE132" i="53"/>
  <c r="AE131" i="53"/>
  <c r="E6" i="51"/>
  <c r="K6" i="51"/>
  <c r="O6" i="51"/>
  <c r="S6" i="51"/>
  <c r="W6" i="51"/>
  <c r="AA6" i="51"/>
  <c r="AE6" i="51"/>
  <c r="Z6" i="51"/>
  <c r="H6" i="51"/>
  <c r="L6" i="51"/>
  <c r="P6" i="51"/>
  <c r="T6" i="51"/>
  <c r="X6" i="51"/>
  <c r="AB6" i="51"/>
  <c r="AF6" i="51"/>
  <c r="F6" i="51"/>
  <c r="N6" i="51"/>
  <c r="R6" i="51"/>
  <c r="V6" i="51"/>
  <c r="AD6" i="51"/>
  <c r="AH6" i="51"/>
  <c r="K6" i="3"/>
  <c r="K7" i="3" s="1"/>
  <c r="G6" i="51"/>
  <c r="I6" i="51"/>
  <c r="M6" i="51"/>
  <c r="Q6" i="51"/>
  <c r="U6" i="51"/>
  <c r="Y6" i="51"/>
  <c r="AC6" i="51"/>
  <c r="AG6" i="51"/>
  <c r="J6" i="51"/>
  <c r="BM41" i="45"/>
  <c r="BM44" i="45" s="1"/>
  <c r="AD205" i="48"/>
  <c r="AD66" i="48"/>
  <c r="AD144" i="48"/>
  <c r="AD145" i="48"/>
  <c r="AD143" i="48"/>
  <c r="AF260" i="48"/>
  <c r="AF261" i="48" s="1"/>
  <c r="AE261" i="48"/>
  <c r="AG23" i="48"/>
  <c r="AC90" i="38"/>
  <c r="AC91" i="38"/>
  <c r="AC89" i="38"/>
  <c r="AE244" i="48"/>
  <c r="AF243" i="48"/>
  <c r="AF244" i="48" s="1"/>
  <c r="AC66" i="46"/>
  <c r="AC92" i="42"/>
  <c r="AC90" i="42"/>
  <c r="AC94" i="42" s="1"/>
  <c r="AC89" i="42"/>
  <c r="AC93" i="42" s="1"/>
  <c r="AC91" i="42"/>
  <c r="AC95" i="42" s="1"/>
  <c r="AE140" i="48"/>
  <c r="AF139" i="48"/>
  <c r="AE203" i="48"/>
  <c r="AE141" i="48"/>
  <c r="AE204" i="48"/>
  <c r="AC92" i="48"/>
  <c r="AC94" i="46"/>
  <c r="AC96" i="46"/>
  <c r="AC101" i="46" s="1"/>
  <c r="AC95" i="46"/>
  <c r="AC100" i="46" s="1"/>
  <c r="AC97" i="46"/>
  <c r="AC93" i="46"/>
  <c r="AC98" i="46" s="1"/>
  <c r="AD68" i="46"/>
  <c r="AE63" i="46"/>
  <c r="AD65" i="46"/>
  <c r="AD67" i="46"/>
  <c r="AD69" i="46"/>
  <c r="AD92" i="46" s="1"/>
  <c r="AD70" i="46"/>
  <c r="AD64" i="46"/>
  <c r="AG25" i="48"/>
  <c r="AG22" i="48"/>
  <c r="BK21" i="45"/>
  <c r="BK23" i="45" s="1"/>
  <c r="AD207" i="48"/>
  <c r="AD206" i="48"/>
  <c r="AD142" i="48"/>
  <c r="AE70" i="48"/>
  <c r="AE65" i="48"/>
  <c r="AE64" i="48"/>
  <c r="AE68" i="48"/>
  <c r="AE69" i="48"/>
  <c r="AF63" i="48"/>
  <c r="AE67" i="48"/>
  <c r="AB95" i="48"/>
  <c r="AB100" i="48" s="1"/>
  <c r="AB97" i="48"/>
  <c r="AB94" i="48"/>
  <c r="AB93" i="48"/>
  <c r="AB98" i="48" s="1"/>
  <c r="AB96" i="48"/>
  <c r="AB101" i="48" s="1"/>
  <c r="BN40" i="45"/>
  <c r="BN39" i="45"/>
  <c r="BL20" i="45"/>
  <c r="BL19" i="45"/>
  <c r="BM42" i="45"/>
  <c r="AF38" i="48"/>
  <c r="AD26" i="45"/>
  <c r="AC37" i="46"/>
  <c r="BN17" i="45"/>
  <c r="BN69" i="45" s="1"/>
  <c r="E69" i="60" s="1"/>
  <c r="AF95" i="45"/>
  <c r="AE38" i="46"/>
  <c r="BJ23" i="45"/>
  <c r="BM18" i="45"/>
  <c r="AD142" i="46"/>
  <c r="AF243" i="46"/>
  <c r="AF244" i="46" s="1"/>
  <c r="AE244" i="46"/>
  <c r="AD205" i="46"/>
  <c r="AD207" i="46"/>
  <c r="AD206" i="46"/>
  <c r="AF260" i="46"/>
  <c r="AF261" i="46" s="1"/>
  <c r="AE261" i="46"/>
  <c r="AD143" i="46"/>
  <c r="AD145" i="46"/>
  <c r="AD144" i="46"/>
  <c r="AF139" i="46"/>
  <c r="AE204" i="46"/>
  <c r="AE141" i="46"/>
  <c r="AE140" i="46"/>
  <c r="AE203" i="46"/>
  <c r="AD25" i="45"/>
  <c r="AG41" i="45"/>
  <c r="AF43" i="45"/>
  <c r="AF42" i="45"/>
  <c r="AF44" i="45"/>
  <c r="AD82" i="45"/>
  <c r="AG18" i="45"/>
  <c r="AF19" i="45"/>
  <c r="AF20" i="45"/>
  <c r="AH17" i="45"/>
  <c r="AC187" i="42"/>
  <c r="AC189" i="42"/>
  <c r="AC188" i="42"/>
  <c r="AE184" i="42"/>
  <c r="AD185" i="42"/>
  <c r="AD186" i="42"/>
  <c r="AD188" i="42" s="1"/>
  <c r="AD65" i="28"/>
  <c r="AD68" i="38"/>
  <c r="AD65" i="38"/>
  <c r="AD70" i="38"/>
  <c r="AD69" i="38"/>
  <c r="AD88" i="38" s="1"/>
  <c r="AD64" i="38"/>
  <c r="AE63" i="38"/>
  <c r="AD67" i="38"/>
  <c r="AD134" i="38"/>
  <c r="AD135" i="38"/>
  <c r="AD133" i="38"/>
  <c r="AD134" i="42"/>
  <c r="AD133" i="42"/>
  <c r="AD135" i="42"/>
  <c r="AG22" i="38"/>
  <c r="AC66" i="38"/>
  <c r="AD189" i="38"/>
  <c r="AD188" i="38"/>
  <c r="AE219" i="42"/>
  <c r="AD220" i="42"/>
  <c r="AG23" i="38"/>
  <c r="AF219" i="38"/>
  <c r="AF220" i="38" s="1"/>
  <c r="AE220" i="38"/>
  <c r="AC66" i="42"/>
  <c r="AD187" i="38"/>
  <c r="AE63" i="42"/>
  <c r="AD65" i="42"/>
  <c r="AD67" i="42"/>
  <c r="AD64" i="42"/>
  <c r="AD70" i="42"/>
  <c r="AD69" i="42"/>
  <c r="AD88" i="42" s="1"/>
  <c r="AD68" i="42"/>
  <c r="AG25" i="38"/>
  <c r="AF234" i="38"/>
  <c r="AF235" i="38" s="1"/>
  <c r="AE235" i="38"/>
  <c r="AD132" i="38"/>
  <c r="AF129" i="38"/>
  <c r="AE185" i="38"/>
  <c r="AE186" i="38"/>
  <c r="AE131" i="38"/>
  <c r="AE130" i="38"/>
  <c r="AD132" i="42"/>
  <c r="AF129" i="42"/>
  <c r="AE130" i="42"/>
  <c r="AE131" i="42"/>
  <c r="AF234" i="42"/>
  <c r="AF235" i="42" s="1"/>
  <c r="AE235" i="42"/>
  <c r="AF66" i="20"/>
  <c r="AE68" i="20"/>
  <c r="AE67" i="20"/>
  <c r="AF110" i="28"/>
  <c r="AF111" i="28" s="1"/>
  <c r="AE111" i="28"/>
  <c r="AF122" i="20"/>
  <c r="AE128" i="20"/>
  <c r="AE126" i="20"/>
  <c r="AE125" i="20"/>
  <c r="AE123" i="20"/>
  <c r="AE127" i="20"/>
  <c r="AE124" i="20"/>
  <c r="AD69" i="20"/>
  <c r="AE199" i="20"/>
  <c r="AF198" i="20"/>
  <c r="AF199" i="20" s="1"/>
  <c r="AE88" i="28"/>
  <c r="AE89" i="28"/>
  <c r="AE87" i="28"/>
  <c r="AF85" i="28"/>
  <c r="AE90" i="28"/>
  <c r="AE91" i="28"/>
  <c r="AE86" i="28"/>
  <c r="AE66" i="28"/>
  <c r="AE67" i="28"/>
  <c r="AF62" i="28"/>
  <c r="AE63" i="28"/>
  <c r="AE64" i="28"/>
  <c r="AD73" i="20"/>
  <c r="AD71" i="20"/>
  <c r="AD70" i="20"/>
  <c r="AD72" i="20"/>
  <c r="AF310" i="20"/>
  <c r="AE268" i="19"/>
  <c r="G58" i="14"/>
  <c r="G59" i="14" s="1"/>
  <c r="AD212" i="20"/>
  <c r="D141" i="15"/>
  <c r="D142" i="15" s="1"/>
  <c r="H218" i="14"/>
  <c r="H60" i="14"/>
  <c r="H56" i="14"/>
  <c r="H61" i="14"/>
  <c r="H57" i="14" s="1"/>
  <c r="F59" i="12"/>
  <c r="G61" i="12"/>
  <c r="G57" i="12" s="1"/>
  <c r="G60" i="12"/>
  <c r="G58" i="12" s="1"/>
  <c r="G56" i="12"/>
  <c r="D77" i="15"/>
  <c r="G131" i="15"/>
  <c r="G129" i="15"/>
  <c r="F131" i="16"/>
  <c r="G132" i="16"/>
  <c r="G47" i="15"/>
  <c r="H54" i="15"/>
  <c r="I74" i="16"/>
  <c r="I33" i="16"/>
  <c r="I34" i="16"/>
  <c r="I74" i="15"/>
  <c r="I34" i="15"/>
  <c r="I33" i="15"/>
  <c r="G43" i="15"/>
  <c r="G112" i="12"/>
  <c r="G218" i="12"/>
  <c r="F42" i="16"/>
  <c r="G60" i="16"/>
  <c r="C67" i="7"/>
  <c r="C66" i="7"/>
  <c r="C65" i="7"/>
  <c r="C68" i="7"/>
  <c r="C64" i="7"/>
  <c r="J64" i="7" s="1"/>
  <c r="D27" i="49" s="1"/>
  <c r="G42" i="16"/>
  <c r="H40" i="15"/>
  <c r="H122" i="15" s="1"/>
  <c r="H132" i="15" s="1"/>
  <c r="H40" i="16"/>
  <c r="H122" i="16" s="1"/>
  <c r="H132" i="16" s="1"/>
  <c r="F43" i="29"/>
  <c r="D70" i="7"/>
  <c r="H35" i="16"/>
  <c r="H128" i="16" s="1"/>
  <c r="H35" i="15"/>
  <c r="H128" i="15" s="1"/>
  <c r="J32" i="15"/>
  <c r="G43" i="16"/>
  <c r="F39" i="29"/>
  <c r="D65" i="16"/>
  <c r="D67" i="16"/>
  <c r="I53" i="14"/>
  <c r="I55" i="14" s="1"/>
  <c r="I112" i="14" s="1"/>
  <c r="J32" i="16"/>
  <c r="H54" i="16"/>
  <c r="G41" i="29"/>
  <c r="G60" i="15"/>
  <c r="F43" i="28"/>
  <c r="G42" i="19"/>
  <c r="K50" i="14"/>
  <c r="J54" i="14"/>
  <c r="J52" i="14"/>
  <c r="J51" i="14"/>
  <c r="E76" i="16"/>
  <c r="E47" i="15"/>
  <c r="F75" i="15"/>
  <c r="F76" i="15"/>
  <c r="F39" i="28"/>
  <c r="G41" i="28"/>
  <c r="D40" i="28"/>
  <c r="E42" i="15"/>
  <c r="F40" i="28"/>
  <c r="J7" i="15"/>
  <c r="J41" i="15" s="1"/>
  <c r="BV33" i="58" s="1"/>
  <c r="J32" i="58" s="1"/>
  <c r="AP32" i="58" s="1"/>
  <c r="BV32" i="58" s="1"/>
  <c r="F42" i="20"/>
  <c r="I8" i="15"/>
  <c r="I9" i="15" s="1"/>
  <c r="I10" i="15" s="1"/>
  <c r="I11" i="15" s="1"/>
  <c r="H21" i="16"/>
  <c r="H123" i="16" s="1"/>
  <c r="G42" i="15"/>
  <c r="J50" i="12"/>
  <c r="I51" i="12"/>
  <c r="I52" i="12"/>
  <c r="I54" i="12"/>
  <c r="H53" i="12"/>
  <c r="H55" i="12" s="1"/>
  <c r="I25" i="15"/>
  <c r="I124" i="15" s="1"/>
  <c r="I20" i="16"/>
  <c r="I17" i="15"/>
  <c r="I25" i="16"/>
  <c r="I124" i="16" s="1"/>
  <c r="I8" i="16"/>
  <c r="I9" i="16" s="1"/>
  <c r="I17" i="16"/>
  <c r="F13" i="16"/>
  <c r="F125" i="16" s="1"/>
  <c r="F129" i="16" s="1"/>
  <c r="I20" i="15"/>
  <c r="J19" i="16"/>
  <c r="J16" i="16"/>
  <c r="J18" i="16"/>
  <c r="J15" i="16"/>
  <c r="K14" i="16"/>
  <c r="H9" i="16"/>
  <c r="K6" i="15"/>
  <c r="K14" i="15"/>
  <c r="J18" i="15"/>
  <c r="J16" i="15"/>
  <c r="J15" i="15"/>
  <c r="J19" i="15"/>
  <c r="J7" i="16"/>
  <c r="J41" i="16" s="1"/>
  <c r="K6" i="16"/>
  <c r="G13" i="16"/>
  <c r="G125" i="16" s="1"/>
  <c r="G129" i="16" s="1"/>
  <c r="H9" i="15"/>
  <c r="K22" i="15"/>
  <c r="K24" i="15" s="1"/>
  <c r="J23" i="15"/>
  <c r="J23" i="16"/>
  <c r="K22" i="16"/>
  <c r="K24" i="16" s="1"/>
  <c r="H21" i="15"/>
  <c r="H123" i="15" s="1"/>
  <c r="AD3" i="12"/>
  <c r="AC1" i="52" s="1"/>
  <c r="B45" i="1"/>
  <c r="V42" i="1"/>
  <c r="C65" i="1"/>
  <c r="BW27" i="55" l="1"/>
  <c r="L27" i="55"/>
  <c r="AQ27" i="55"/>
  <c r="DC27" i="55" s="1"/>
  <c r="M26" i="55"/>
  <c r="AR26" i="55"/>
  <c r="DD26" i="55" s="1"/>
  <c r="AE24" i="45"/>
  <c r="AE25" i="45"/>
  <c r="AE82" i="45"/>
  <c r="AE26" i="45"/>
  <c r="CG9" i="45"/>
  <c r="CG8" i="45"/>
  <c r="AF70" i="54"/>
  <c r="AF67" i="54"/>
  <c r="AF68" i="54"/>
  <c r="AF64" i="54"/>
  <c r="AF69" i="54"/>
  <c r="AF76" i="54" s="1"/>
  <c r="AF77" i="54" s="1"/>
  <c r="AF65" i="54"/>
  <c r="AE66" i="53"/>
  <c r="AF65" i="53"/>
  <c r="AF67" i="53"/>
  <c r="AF70" i="53"/>
  <c r="AF68" i="53"/>
  <c r="AF69" i="53"/>
  <c r="AF76" i="53" s="1"/>
  <c r="AF64" i="53"/>
  <c r="AE77" i="53"/>
  <c r="AE135" i="53"/>
  <c r="AE134" i="53"/>
  <c r="AF38" i="46"/>
  <c r="AE104" i="53"/>
  <c r="AE103" i="53"/>
  <c r="AE105" i="53"/>
  <c r="AE102" i="53"/>
  <c r="AF100" i="53"/>
  <c r="AF101" i="53"/>
  <c r="AF132" i="53"/>
  <c r="AF131" i="53"/>
  <c r="AE133" i="53"/>
  <c r="L7" i="51"/>
  <c r="L8" i="51" s="1"/>
  <c r="AR8" i="51" s="1"/>
  <c r="AR6" i="51"/>
  <c r="AC7" i="51"/>
  <c r="BI6" i="51"/>
  <c r="AS6" i="51"/>
  <c r="M7" i="51"/>
  <c r="M8" i="51" s="1"/>
  <c r="AS8" i="51" s="1"/>
  <c r="BN6" i="51"/>
  <c r="AH7" i="51"/>
  <c r="BS10" i="51"/>
  <c r="AT6" i="51"/>
  <c r="N7" i="51"/>
  <c r="N8" i="51" s="1"/>
  <c r="AT8" i="51" s="1"/>
  <c r="BD6" i="51"/>
  <c r="X7" i="51"/>
  <c r="H7" i="51"/>
  <c r="H8" i="51" s="1"/>
  <c r="AN8" i="51" s="1"/>
  <c r="AN6" i="51"/>
  <c r="W7" i="51"/>
  <c r="W8" i="51" s="1"/>
  <c r="BC8" i="51" s="1"/>
  <c r="BC6" i="51"/>
  <c r="E7" i="51"/>
  <c r="AK6" i="51"/>
  <c r="K9" i="3"/>
  <c r="K13" i="3" s="1"/>
  <c r="BH6" i="51"/>
  <c r="AB7" i="51"/>
  <c r="AB8" i="51" s="1"/>
  <c r="BH8" i="51" s="1"/>
  <c r="AQ6" i="51"/>
  <c r="K7" i="51"/>
  <c r="BE6" i="51"/>
  <c r="Y7" i="51"/>
  <c r="Y8" i="51" s="1"/>
  <c r="BE8" i="51" s="1"/>
  <c r="I7" i="51"/>
  <c r="I8" i="51" s="1"/>
  <c r="AO8" i="51" s="1"/>
  <c r="AO6" i="51"/>
  <c r="AD7" i="51"/>
  <c r="BJ6" i="51"/>
  <c r="AL6" i="51"/>
  <c r="F7" i="51"/>
  <c r="T7" i="51"/>
  <c r="T8" i="51" s="1"/>
  <c r="AZ8" i="51" s="1"/>
  <c r="AZ6" i="51"/>
  <c r="BF6" i="51"/>
  <c r="Z7" i="51"/>
  <c r="Z8" i="51" s="1"/>
  <c r="BF8" i="51" s="1"/>
  <c r="S7" i="51"/>
  <c r="AY6" i="51"/>
  <c r="BM6" i="51"/>
  <c r="AG7" i="51"/>
  <c r="Q7" i="51"/>
  <c r="Q8" i="51" s="1"/>
  <c r="AW8" i="51" s="1"/>
  <c r="AW6" i="51"/>
  <c r="AX6" i="51"/>
  <c r="R7" i="51"/>
  <c r="BG6" i="51"/>
  <c r="AA7" i="51"/>
  <c r="J7" i="51"/>
  <c r="AP6" i="51"/>
  <c r="BA6" i="51"/>
  <c r="U7" i="51"/>
  <c r="G7" i="51"/>
  <c r="G8" i="51" s="1"/>
  <c r="AM8" i="51" s="1"/>
  <c r="AM6" i="51"/>
  <c r="V7" i="51"/>
  <c r="V8" i="51" s="1"/>
  <c r="BB8" i="51" s="1"/>
  <c r="BB6" i="51"/>
  <c r="BL6" i="51"/>
  <c r="AF7" i="51"/>
  <c r="AF8" i="51" s="1"/>
  <c r="BL8" i="51" s="1"/>
  <c r="P7" i="51"/>
  <c r="AV6" i="51"/>
  <c r="BK6" i="51"/>
  <c r="AE7" i="51"/>
  <c r="AU6" i="51"/>
  <c r="O7" i="51"/>
  <c r="O8" i="51" s="1"/>
  <c r="AU8" i="51" s="1"/>
  <c r="AE66" i="48"/>
  <c r="BM43" i="45"/>
  <c r="AG42" i="45"/>
  <c r="AD66" i="46"/>
  <c r="AH69" i="45"/>
  <c r="BL21" i="45"/>
  <c r="BL23" i="45" s="1"/>
  <c r="BL25" i="45" s="1"/>
  <c r="BN41" i="45"/>
  <c r="BN44" i="45" s="1"/>
  <c r="AE142" i="48"/>
  <c r="AF68" i="48"/>
  <c r="AF69" i="48"/>
  <c r="AF64" i="48"/>
  <c r="AF67" i="48"/>
  <c r="AF65" i="48"/>
  <c r="AF70" i="48"/>
  <c r="AC96" i="48"/>
  <c r="AC101" i="48" s="1"/>
  <c r="AC97" i="48"/>
  <c r="AC94" i="48"/>
  <c r="AC95" i="48"/>
  <c r="AC100" i="48" s="1"/>
  <c r="AC93" i="48"/>
  <c r="AC98" i="48" s="1"/>
  <c r="AE205" i="48"/>
  <c r="AD92" i="48"/>
  <c r="AD93" i="46"/>
  <c r="AD98" i="46" s="1"/>
  <c r="AD96" i="46"/>
  <c r="AD101" i="46" s="1"/>
  <c r="AD97" i="46"/>
  <c r="AD95" i="46"/>
  <c r="AD100" i="46" s="1"/>
  <c r="AD94" i="46"/>
  <c r="AE207" i="48"/>
  <c r="AE206" i="48"/>
  <c r="AE143" i="48"/>
  <c r="AE145" i="48"/>
  <c r="AE144" i="48"/>
  <c r="AD92" i="42"/>
  <c r="AD91" i="42"/>
  <c r="AD95" i="42" s="1"/>
  <c r="AD89" i="42"/>
  <c r="AD93" i="42" s="1"/>
  <c r="AD90" i="42"/>
  <c r="AD94" i="42" s="1"/>
  <c r="AD89" i="38"/>
  <c r="AD91" i="38"/>
  <c r="AD90" i="38"/>
  <c r="AE64" i="46"/>
  <c r="AE68" i="46"/>
  <c r="AE65" i="46"/>
  <c r="AE70" i="46"/>
  <c r="AE67" i="46"/>
  <c r="AE69" i="46"/>
  <c r="AE92" i="46" s="1"/>
  <c r="AF63" i="46"/>
  <c r="AF141" i="48"/>
  <c r="AF203" i="48"/>
  <c r="AF204" i="48"/>
  <c r="AF140" i="48"/>
  <c r="AG44" i="45"/>
  <c r="BM19" i="45"/>
  <c r="BM20" i="45"/>
  <c r="AD37" i="48"/>
  <c r="BK25" i="45"/>
  <c r="BK24" i="45"/>
  <c r="BK26" i="45"/>
  <c r="AG43" i="45"/>
  <c r="BJ24" i="45"/>
  <c r="AC37" i="48"/>
  <c r="BJ26" i="45"/>
  <c r="BJ25" i="45"/>
  <c r="BN18" i="45"/>
  <c r="AG95" i="45"/>
  <c r="AE205" i="46"/>
  <c r="AF204" i="46"/>
  <c r="AF141" i="46"/>
  <c r="AF140" i="46"/>
  <c r="AF203" i="46"/>
  <c r="AG98" i="46"/>
  <c r="AG100" i="46"/>
  <c r="AG101" i="46"/>
  <c r="AE142" i="46"/>
  <c r="AE145" i="46"/>
  <c r="AE144" i="46"/>
  <c r="AE143" i="46"/>
  <c r="AE207" i="46"/>
  <c r="AE206" i="46"/>
  <c r="BJ82" i="45"/>
  <c r="AH41" i="45"/>
  <c r="BL95" i="45"/>
  <c r="AH18" i="45"/>
  <c r="AH19" i="45" s="1"/>
  <c r="AF21" i="45"/>
  <c r="AF23" i="45" s="1"/>
  <c r="AG19" i="45"/>
  <c r="AG20" i="45"/>
  <c r="AD189" i="42"/>
  <c r="AD187" i="42"/>
  <c r="AF184" i="42"/>
  <c r="AE186" i="42"/>
  <c r="AE188" i="42" s="1"/>
  <c r="AE185" i="42"/>
  <c r="AE132" i="38"/>
  <c r="AF185" i="38"/>
  <c r="AF186" i="38"/>
  <c r="AF130" i="38"/>
  <c r="AF131" i="38"/>
  <c r="AE67" i="42"/>
  <c r="AF63" i="42"/>
  <c r="AE68" i="42"/>
  <c r="AE65" i="42"/>
  <c r="AE69" i="42"/>
  <c r="AE88" i="42" s="1"/>
  <c r="AE64" i="42"/>
  <c r="AE70" i="42"/>
  <c r="AE68" i="38"/>
  <c r="AE67" i="38"/>
  <c r="AE65" i="38"/>
  <c r="AF63" i="38"/>
  <c r="AE70" i="38"/>
  <c r="AE64" i="38"/>
  <c r="AE69" i="38"/>
  <c r="AE88" i="38" s="1"/>
  <c r="AE133" i="38"/>
  <c r="AE135" i="38"/>
  <c r="AE134" i="38"/>
  <c r="AD66" i="42"/>
  <c r="AD66" i="38"/>
  <c r="AE134" i="42"/>
  <c r="AE133" i="42"/>
  <c r="AE135" i="42"/>
  <c r="AF130" i="42"/>
  <c r="AF131" i="42"/>
  <c r="AE188" i="38"/>
  <c r="AE189" i="38"/>
  <c r="AF219" i="42"/>
  <c r="AF220" i="42" s="1"/>
  <c r="AE220" i="42"/>
  <c r="AE132" i="42"/>
  <c r="AE187" i="38"/>
  <c r="AE69" i="20"/>
  <c r="AF89" i="28"/>
  <c r="AF86" i="28"/>
  <c r="AF90" i="28"/>
  <c r="AF87" i="28"/>
  <c r="AF91" i="28"/>
  <c r="AF88" i="28"/>
  <c r="AE65" i="28"/>
  <c r="AF123" i="20"/>
  <c r="AF127" i="20"/>
  <c r="AF124" i="20"/>
  <c r="AF128" i="20"/>
  <c r="AF125" i="20"/>
  <c r="AF126" i="20"/>
  <c r="AE71" i="20"/>
  <c r="AE73" i="20"/>
  <c r="AE72" i="20"/>
  <c r="AE70" i="20"/>
  <c r="AG310" i="20"/>
  <c r="AG268" i="19" s="1"/>
  <c r="AF268" i="19"/>
  <c r="AF63" i="28"/>
  <c r="AF64" i="28"/>
  <c r="AF67" i="28"/>
  <c r="AF66" i="28"/>
  <c r="AF68" i="20"/>
  <c r="AF67" i="20"/>
  <c r="H58" i="14"/>
  <c r="H59" i="14" s="1"/>
  <c r="AF212" i="20"/>
  <c r="AE212" i="20"/>
  <c r="I218" i="14"/>
  <c r="I60" i="14"/>
  <c r="I56" i="14"/>
  <c r="I61" i="14"/>
  <c r="I57" i="14" s="1"/>
  <c r="G59" i="12"/>
  <c r="H56" i="12"/>
  <c r="H61" i="12"/>
  <c r="H57" i="12" s="1"/>
  <c r="H60" i="12"/>
  <c r="H58" i="12" s="1"/>
  <c r="I21" i="16"/>
  <c r="I123" i="16" s="1"/>
  <c r="D139" i="16"/>
  <c r="H43" i="15"/>
  <c r="J33" i="15"/>
  <c r="J34" i="15"/>
  <c r="H112" i="12"/>
  <c r="H218" i="12"/>
  <c r="J74" i="16"/>
  <c r="J33" i="16"/>
  <c r="J34" i="16"/>
  <c r="I54" i="15"/>
  <c r="H60" i="16"/>
  <c r="G43" i="28"/>
  <c r="G83" i="7"/>
  <c r="C90" i="7"/>
  <c r="J66" i="7"/>
  <c r="J65" i="7"/>
  <c r="J67" i="7"/>
  <c r="C70" i="7"/>
  <c r="C42" i="7"/>
  <c r="G43" i="29"/>
  <c r="H60" i="15"/>
  <c r="I40" i="16"/>
  <c r="I122" i="16" s="1"/>
  <c r="I132" i="16" s="1"/>
  <c r="I35" i="16"/>
  <c r="I128" i="16" s="1"/>
  <c r="I35" i="15"/>
  <c r="I128" i="15" s="1"/>
  <c r="I40" i="15"/>
  <c r="I122" i="15" s="1"/>
  <c r="I132" i="15" s="1"/>
  <c r="I39" i="15"/>
  <c r="I121" i="15" s="1"/>
  <c r="J53" i="14"/>
  <c r="J55" i="14" s="1"/>
  <c r="J112" i="14" s="1"/>
  <c r="G47" i="16"/>
  <c r="F40" i="29"/>
  <c r="I54" i="16"/>
  <c r="H41" i="29"/>
  <c r="H42" i="19"/>
  <c r="J74" i="15"/>
  <c r="K32" i="16"/>
  <c r="K32" i="15"/>
  <c r="F47" i="16"/>
  <c r="E40" i="29"/>
  <c r="H43" i="16"/>
  <c r="G39" i="29"/>
  <c r="K52" i="14"/>
  <c r="L50" i="14"/>
  <c r="K54" i="14"/>
  <c r="K51" i="14"/>
  <c r="G75" i="16"/>
  <c r="F75" i="16"/>
  <c r="G75" i="15"/>
  <c r="G76" i="15"/>
  <c r="E75" i="15"/>
  <c r="E76" i="15"/>
  <c r="G39" i="28"/>
  <c r="H41" i="28"/>
  <c r="K7" i="15"/>
  <c r="K41" i="15" s="1"/>
  <c r="BW33" i="58" s="1"/>
  <c r="K32" i="58" s="1"/>
  <c r="AQ32" i="58" s="1"/>
  <c r="BW32" i="58" s="1"/>
  <c r="G42" i="20"/>
  <c r="I53" i="12"/>
  <c r="I55" i="12" s="1"/>
  <c r="K50" i="12"/>
  <c r="J54" i="12"/>
  <c r="J52" i="12"/>
  <c r="J51" i="12"/>
  <c r="J25" i="15"/>
  <c r="J124" i="15" s="1"/>
  <c r="J8" i="16"/>
  <c r="J9" i="16" s="1"/>
  <c r="J17" i="15"/>
  <c r="J17" i="16"/>
  <c r="I13" i="15"/>
  <c r="I125" i="15" s="1"/>
  <c r="L6" i="16"/>
  <c r="K7" i="16"/>
  <c r="K41" i="16" s="1"/>
  <c r="L14" i="15"/>
  <c r="K19" i="15"/>
  <c r="K16" i="15"/>
  <c r="K15" i="15"/>
  <c r="K18" i="15"/>
  <c r="H10" i="16"/>
  <c r="H11" i="16" s="1"/>
  <c r="H39" i="16" s="1"/>
  <c r="H121" i="16" s="1"/>
  <c r="I21" i="15"/>
  <c r="I123" i="15" s="1"/>
  <c r="K23" i="16"/>
  <c r="L22" i="16"/>
  <c r="L24" i="16" s="1"/>
  <c r="H10" i="15"/>
  <c r="H11" i="15" s="1"/>
  <c r="H39" i="15" s="1"/>
  <c r="H121" i="15" s="1"/>
  <c r="L6" i="15"/>
  <c r="J20" i="16"/>
  <c r="L22" i="15"/>
  <c r="L24" i="15" s="1"/>
  <c r="K23" i="15"/>
  <c r="K19" i="16"/>
  <c r="K16" i="16"/>
  <c r="K15" i="16"/>
  <c r="K18" i="16"/>
  <c r="L14" i="16"/>
  <c r="J25" i="16"/>
  <c r="J124" i="16" s="1"/>
  <c r="J20" i="15"/>
  <c r="J8" i="15"/>
  <c r="I10" i="16"/>
  <c r="I11" i="16" s="1"/>
  <c r="I39" i="16" s="1"/>
  <c r="I121" i="16" s="1"/>
  <c r="AE3" i="12"/>
  <c r="AD1" i="52" s="1"/>
  <c r="E6" i="9"/>
  <c r="J68" i="7"/>
  <c r="C46" i="3"/>
  <c r="C47" i="3"/>
  <c r="C64" i="1"/>
  <c r="C63" i="1"/>
  <c r="C41" i="3"/>
  <c r="BX27" i="55" l="1"/>
  <c r="M27" i="55"/>
  <c r="AR27" i="55"/>
  <c r="DD27" i="55" s="1"/>
  <c r="N26" i="55"/>
  <c r="AS26" i="55"/>
  <c r="DE26" i="55" s="1"/>
  <c r="CC21" i="45"/>
  <c r="AF66" i="54"/>
  <c r="AF66" i="53"/>
  <c r="AF77" i="53"/>
  <c r="AE37" i="48"/>
  <c r="AF133" i="53"/>
  <c r="AF135" i="53"/>
  <c r="AF134" i="53"/>
  <c r="AE37" i="46"/>
  <c r="AF104" i="53"/>
  <c r="AF103" i="53"/>
  <c r="AF105" i="53"/>
  <c r="AF102" i="53"/>
  <c r="AH44" i="45"/>
  <c r="BJ7" i="51"/>
  <c r="AD9" i="51"/>
  <c r="BJ9" i="51" s="1"/>
  <c r="AE8" i="51"/>
  <c r="BK8" i="51" s="1"/>
  <c r="BK7" i="51"/>
  <c r="AE9" i="51"/>
  <c r="BK9" i="51" s="1"/>
  <c r="AV7" i="51"/>
  <c r="P9" i="51"/>
  <c r="AV9" i="51" s="1"/>
  <c r="BE7" i="51"/>
  <c r="Y9" i="51"/>
  <c r="BE9" i="51" s="1"/>
  <c r="AS7" i="51"/>
  <c r="M9" i="51"/>
  <c r="AS9" i="51" s="1"/>
  <c r="BI7" i="51"/>
  <c r="AC9" i="51"/>
  <c r="BI9" i="51" s="1"/>
  <c r="AP7" i="51"/>
  <c r="J9" i="51"/>
  <c r="AP9" i="51" s="1"/>
  <c r="BM7" i="51"/>
  <c r="AG9" i="51"/>
  <c r="BM9" i="51" s="1"/>
  <c r="AY7" i="51"/>
  <c r="S9" i="51"/>
  <c r="AY9" i="51" s="1"/>
  <c r="AK7" i="51"/>
  <c r="E9" i="51"/>
  <c r="AK9" i="51" s="1"/>
  <c r="BD7" i="51"/>
  <c r="X9" i="51"/>
  <c r="BD9" i="51" s="1"/>
  <c r="AM7" i="51"/>
  <c r="G9" i="51"/>
  <c r="AM9" i="51" s="1"/>
  <c r="J8" i="51"/>
  <c r="AP8" i="51" s="1"/>
  <c r="R8" i="51"/>
  <c r="AX8" i="51" s="1"/>
  <c r="AX7" i="51"/>
  <c r="R9" i="51"/>
  <c r="AX9" i="51" s="1"/>
  <c r="AW7" i="51"/>
  <c r="Q9" i="51"/>
  <c r="AW9" i="51" s="1"/>
  <c r="S8" i="51"/>
  <c r="AY8" i="51" s="1"/>
  <c r="BF7" i="51"/>
  <c r="Z9" i="51"/>
  <c r="BF9" i="51" s="1"/>
  <c r="AZ7" i="51"/>
  <c r="T9" i="51"/>
  <c r="AZ9" i="51" s="1"/>
  <c r="AD8" i="51"/>
  <c r="BJ8" i="51" s="1"/>
  <c r="BH7" i="51"/>
  <c r="AB9" i="51"/>
  <c r="BH9" i="51" s="1"/>
  <c r="E8" i="51"/>
  <c r="AK8" i="51" s="1"/>
  <c r="AN7" i="51"/>
  <c r="H9" i="51"/>
  <c r="AN9" i="51" s="1"/>
  <c r="AH8" i="51"/>
  <c r="BN8" i="51" s="1"/>
  <c r="BN7" i="51"/>
  <c r="AH9" i="51"/>
  <c r="BA7" i="51"/>
  <c r="U9" i="51"/>
  <c r="BA9" i="51" s="1"/>
  <c r="BG7" i="51"/>
  <c r="AA9" i="51"/>
  <c r="BG9" i="51" s="1"/>
  <c r="AL7" i="51"/>
  <c r="F9" i="51"/>
  <c r="AL9" i="51" s="1"/>
  <c r="AR7" i="51"/>
  <c r="L9" i="51"/>
  <c r="AR9" i="51" s="1"/>
  <c r="K65" i="7"/>
  <c r="D4" i="3" s="1"/>
  <c r="D28" i="49"/>
  <c r="AU7" i="51"/>
  <c r="O9" i="51"/>
  <c r="AU9" i="51" s="1"/>
  <c r="P8" i="51"/>
  <c r="AV8" i="51" s="1"/>
  <c r="BL7" i="51"/>
  <c r="AF9" i="51"/>
  <c r="BL9" i="51" s="1"/>
  <c r="BB7" i="51"/>
  <c r="V9" i="51"/>
  <c r="BB9" i="51" s="1"/>
  <c r="U8" i="51"/>
  <c r="BA8" i="51" s="1"/>
  <c r="AA8" i="51"/>
  <c r="BG8" i="51" s="1"/>
  <c r="AG8" i="51"/>
  <c r="BM8" i="51" s="1"/>
  <c r="F8" i="51"/>
  <c r="AL8" i="51" s="1"/>
  <c r="AO7" i="51"/>
  <c r="I9" i="51"/>
  <c r="AO9" i="51" s="1"/>
  <c r="K8" i="51"/>
  <c r="AQ8" i="51" s="1"/>
  <c r="AQ7" i="51"/>
  <c r="K9" i="51"/>
  <c r="AQ9" i="51" s="1"/>
  <c r="BC7" i="51"/>
  <c r="W9" i="51"/>
  <c r="BC9" i="51" s="1"/>
  <c r="X8" i="51"/>
  <c r="BD8" i="51" s="1"/>
  <c r="AT7" i="51"/>
  <c r="N9" i="51"/>
  <c r="AT9" i="51" s="1"/>
  <c r="AC8" i="51"/>
  <c r="BI8" i="51" s="1"/>
  <c r="BL82" i="45"/>
  <c r="BL24" i="45"/>
  <c r="BL26" i="45"/>
  <c r="BN43" i="45"/>
  <c r="BN42" i="45"/>
  <c r="AG38" i="48"/>
  <c r="AF205" i="48"/>
  <c r="AE66" i="46"/>
  <c r="AE189" i="42"/>
  <c r="AF66" i="48"/>
  <c r="AE90" i="38"/>
  <c r="AE91" i="38"/>
  <c r="AE89" i="38"/>
  <c r="AF142" i="48"/>
  <c r="AF69" i="46"/>
  <c r="AF92" i="46" s="1"/>
  <c r="AF67" i="46"/>
  <c r="AF68" i="46"/>
  <c r="AF64" i="46"/>
  <c r="AF65" i="46"/>
  <c r="AF70" i="46"/>
  <c r="AF145" i="48"/>
  <c r="AF143" i="48"/>
  <c r="AF144" i="48"/>
  <c r="AD95" i="48"/>
  <c r="AD100" i="48" s="1"/>
  <c r="AD93" i="48"/>
  <c r="AD98" i="48" s="1"/>
  <c r="AD97" i="48"/>
  <c r="AD94" i="48"/>
  <c r="AD96" i="48"/>
  <c r="AD101" i="48" s="1"/>
  <c r="AE92" i="42"/>
  <c r="AE91" i="42"/>
  <c r="AE95" i="42" s="1"/>
  <c r="AE89" i="42"/>
  <c r="AE90" i="42"/>
  <c r="AE94" i="42" s="1"/>
  <c r="AF206" i="48"/>
  <c r="AF207" i="48"/>
  <c r="AE93" i="46"/>
  <c r="AE98" i="46" s="1"/>
  <c r="AE94" i="46"/>
  <c r="AE95" i="46"/>
  <c r="AE100" i="46" s="1"/>
  <c r="AE97" i="46"/>
  <c r="AE96" i="46"/>
  <c r="AE101" i="46" s="1"/>
  <c r="AE92" i="48"/>
  <c r="BM21" i="45"/>
  <c r="BN19" i="45"/>
  <c r="BN20" i="45"/>
  <c r="AH43" i="45"/>
  <c r="AG38" i="46"/>
  <c r="AF207" i="46"/>
  <c r="AF206" i="46"/>
  <c r="AF205" i="46"/>
  <c r="AF142" i="46"/>
  <c r="AF145" i="46"/>
  <c r="AF144" i="46"/>
  <c r="AF143" i="46"/>
  <c r="AH42" i="45"/>
  <c r="AH95" i="45"/>
  <c r="AH20" i="45"/>
  <c r="BM95" i="45"/>
  <c r="BK82" i="45"/>
  <c r="BN95" i="45"/>
  <c r="AG21" i="45"/>
  <c r="AG23" i="45" s="1"/>
  <c r="AF25" i="45"/>
  <c r="AF26" i="45"/>
  <c r="AF82" i="45"/>
  <c r="AF24" i="45"/>
  <c r="AE187" i="42"/>
  <c r="AF186" i="42"/>
  <c r="AF188" i="42" s="1"/>
  <c r="AF185" i="42"/>
  <c r="AF132" i="42"/>
  <c r="AF132" i="38"/>
  <c r="AG94" i="42"/>
  <c r="AG93" i="42"/>
  <c r="AG95" i="42"/>
  <c r="AE66" i="38"/>
  <c r="AF133" i="38"/>
  <c r="AF135" i="38"/>
  <c r="AF134" i="38"/>
  <c r="AF134" i="42"/>
  <c r="AF133" i="42"/>
  <c r="AF135" i="42"/>
  <c r="AE66" i="42"/>
  <c r="AF70" i="42"/>
  <c r="AF69" i="42"/>
  <c r="AF88" i="42" s="1"/>
  <c r="AF67" i="42"/>
  <c r="AF68" i="42"/>
  <c r="AF64" i="42"/>
  <c r="AF65" i="42"/>
  <c r="AF67" i="38"/>
  <c r="AF64" i="38"/>
  <c r="AF69" i="38"/>
  <c r="AF88" i="38" s="1"/>
  <c r="AF70" i="38"/>
  <c r="AF68" i="38"/>
  <c r="AF65" i="38"/>
  <c r="AE93" i="42"/>
  <c r="AF189" i="38"/>
  <c r="AF188" i="38"/>
  <c r="AF187" i="38"/>
  <c r="AF69" i="20"/>
  <c r="AF71" i="20"/>
  <c r="AF73" i="20"/>
  <c r="AF72" i="20"/>
  <c r="AF70" i="20"/>
  <c r="AF65" i="28"/>
  <c r="I58" i="14"/>
  <c r="I59" i="14" s="1"/>
  <c r="C73" i="7"/>
  <c r="E76" i="7"/>
  <c r="D76" i="7"/>
  <c r="C76" i="7"/>
  <c r="J218" i="14"/>
  <c r="J61" i="14"/>
  <c r="J57" i="14" s="1"/>
  <c r="J60" i="14"/>
  <c r="J56" i="14"/>
  <c r="H59" i="12"/>
  <c r="I60" i="12"/>
  <c r="I58" i="12" s="1"/>
  <c r="I56" i="12"/>
  <c r="I61" i="12"/>
  <c r="I57" i="12" s="1"/>
  <c r="E73" i="7"/>
  <c r="D73" i="7"/>
  <c r="E75" i="7"/>
  <c r="C75" i="7"/>
  <c r="C74" i="7"/>
  <c r="H39" i="29"/>
  <c r="J63" i="7"/>
  <c r="E74" i="7"/>
  <c r="D75" i="7"/>
  <c r="D74" i="7"/>
  <c r="I43" i="16"/>
  <c r="I131" i="15"/>
  <c r="I129" i="15"/>
  <c r="H131" i="15"/>
  <c r="I131" i="16"/>
  <c r="H131" i="16"/>
  <c r="I112" i="12"/>
  <c r="I218" i="12"/>
  <c r="B177" i="14"/>
  <c r="B188" i="14" s="1"/>
  <c r="B194" i="14" s="1"/>
  <c r="K74" i="16"/>
  <c r="K34" i="16"/>
  <c r="K33" i="16"/>
  <c r="I43" i="15"/>
  <c r="B174" i="14"/>
  <c r="B185" i="14" s="1"/>
  <c r="B197" i="14" s="1"/>
  <c r="B173" i="14"/>
  <c r="B184" i="14" s="1"/>
  <c r="B198" i="14" s="1"/>
  <c r="I47" i="15"/>
  <c r="J54" i="15"/>
  <c r="K33" i="15"/>
  <c r="K34" i="15"/>
  <c r="B176" i="14"/>
  <c r="B175" i="14"/>
  <c r="B187" i="14" s="1"/>
  <c r="B195" i="14" s="1"/>
  <c r="I60" i="16"/>
  <c r="H42" i="16"/>
  <c r="H43" i="28"/>
  <c r="K66" i="7"/>
  <c r="B175" i="12"/>
  <c r="B187" i="12" s="1"/>
  <c r="B195" i="12" s="1"/>
  <c r="K67" i="7"/>
  <c r="B176" i="12"/>
  <c r="B174" i="12"/>
  <c r="B185" i="12" s="1"/>
  <c r="B197" i="12" s="1"/>
  <c r="I70" i="7"/>
  <c r="J70" i="7" s="1"/>
  <c r="B173" i="12"/>
  <c r="B184" i="12" s="1"/>
  <c r="B198" i="12" s="1"/>
  <c r="K64" i="7"/>
  <c r="J40" i="16"/>
  <c r="J122" i="16" s="1"/>
  <c r="J132" i="16" s="1"/>
  <c r="I60" i="15"/>
  <c r="I42" i="16"/>
  <c r="H43" i="29"/>
  <c r="I42" i="19"/>
  <c r="J40" i="15"/>
  <c r="J122" i="15" s="1"/>
  <c r="J132" i="15" s="1"/>
  <c r="J35" i="16"/>
  <c r="J128" i="16" s="1"/>
  <c r="K53" i="14"/>
  <c r="K55" i="14" s="1"/>
  <c r="K112" i="14" s="1"/>
  <c r="J35" i="15"/>
  <c r="J128" i="15" s="1"/>
  <c r="L32" i="15"/>
  <c r="F76" i="16"/>
  <c r="G76" i="16"/>
  <c r="L52" i="14"/>
  <c r="M50" i="14"/>
  <c r="L54" i="14"/>
  <c r="L51" i="14"/>
  <c r="J54" i="16"/>
  <c r="I41" i="29"/>
  <c r="K74" i="15"/>
  <c r="H39" i="28"/>
  <c r="I41" i="28"/>
  <c r="L7" i="15"/>
  <c r="L41" i="15" s="1"/>
  <c r="BX33" i="58" s="1"/>
  <c r="L32" i="58" s="1"/>
  <c r="AR32" i="58" s="1"/>
  <c r="BX32" i="58" s="1"/>
  <c r="H40" i="28"/>
  <c r="L32" i="16"/>
  <c r="H42" i="20"/>
  <c r="J21" i="15"/>
  <c r="J123" i="15" s="1"/>
  <c r="K68" i="7"/>
  <c r="B177" i="12"/>
  <c r="B188" i="12" s="1"/>
  <c r="B194" i="12" s="1"/>
  <c r="K25" i="15"/>
  <c r="K124" i="15" s="1"/>
  <c r="J53" i="12"/>
  <c r="J55" i="12" s="1"/>
  <c r="L50" i="12"/>
  <c r="K52" i="12"/>
  <c r="K51" i="12"/>
  <c r="K54" i="12"/>
  <c r="J21" i="16"/>
  <c r="J123" i="16" s="1"/>
  <c r="K17" i="16"/>
  <c r="K17" i="15"/>
  <c r="K8" i="16"/>
  <c r="K9" i="16" s="1"/>
  <c r="K20" i="16"/>
  <c r="K8" i="15"/>
  <c r="K9" i="15" s="1"/>
  <c r="K10" i="15" s="1"/>
  <c r="K11" i="15" s="1"/>
  <c r="H13" i="16"/>
  <c r="H125" i="16" s="1"/>
  <c r="H129" i="16" s="1"/>
  <c r="J9" i="15"/>
  <c r="J10" i="15" s="1"/>
  <c r="J11" i="15" s="1"/>
  <c r="M6" i="15"/>
  <c r="L7" i="16"/>
  <c r="L41" i="16" s="1"/>
  <c r="M6" i="16"/>
  <c r="L23" i="16"/>
  <c r="M22" i="16"/>
  <c r="M24" i="16" s="1"/>
  <c r="K20" i="15"/>
  <c r="M14" i="15"/>
  <c r="L19" i="15"/>
  <c r="L16" i="15"/>
  <c r="L18" i="15"/>
  <c r="L15" i="15"/>
  <c r="I13" i="16"/>
  <c r="I125" i="16" s="1"/>
  <c r="I129" i="16" s="1"/>
  <c r="H13" i="15"/>
  <c r="H125" i="15" s="1"/>
  <c r="H129" i="15" s="1"/>
  <c r="K25" i="16"/>
  <c r="K124" i="16" s="1"/>
  <c r="I42" i="15"/>
  <c r="L18" i="16"/>
  <c r="L15" i="16"/>
  <c r="L19" i="16"/>
  <c r="L16" i="16"/>
  <c r="M14" i="16"/>
  <c r="M22" i="15"/>
  <c r="M24" i="15" s="1"/>
  <c r="L23" i="15"/>
  <c r="J10" i="16"/>
  <c r="J11" i="16" s="1"/>
  <c r="J39" i="16" s="1"/>
  <c r="J121" i="16" s="1"/>
  <c r="E7" i="9"/>
  <c r="E8" i="9"/>
  <c r="AF3" i="12"/>
  <c r="AE1" i="52" s="1"/>
  <c r="E45" i="2"/>
  <c r="I52" i="2"/>
  <c r="AS27" i="55" l="1"/>
  <c r="DE27" i="55" s="1"/>
  <c r="BY27" i="55"/>
  <c r="N27" i="55"/>
  <c r="O26" i="55"/>
  <c r="AT26" i="55"/>
  <c r="DF26" i="55" s="1"/>
  <c r="D5" i="3"/>
  <c r="D7" i="3" s="1"/>
  <c r="AH21" i="45"/>
  <c r="AH23" i="45" s="1"/>
  <c r="AF37" i="46"/>
  <c r="M65" i="7"/>
  <c r="I75" i="7"/>
  <c r="BN9" i="51"/>
  <c r="K63" i="7"/>
  <c r="K70" i="7" s="1"/>
  <c r="D26" i="49"/>
  <c r="D30" i="49" s="1"/>
  <c r="AF66" i="46"/>
  <c r="AE96" i="48"/>
  <c r="AE101" i="48" s="1"/>
  <c r="AE95" i="48"/>
  <c r="AE100" i="48" s="1"/>
  <c r="AE93" i="48"/>
  <c r="AE98" i="48" s="1"/>
  <c r="AE97" i="48"/>
  <c r="AE94" i="48"/>
  <c r="AF91" i="38"/>
  <c r="AF89" i="38"/>
  <c r="AF90" i="38"/>
  <c r="AF92" i="42"/>
  <c r="AF89" i="42"/>
  <c r="AF93" i="42" s="1"/>
  <c r="AF90" i="42"/>
  <c r="AF91" i="42"/>
  <c r="AF95" i="42" s="1"/>
  <c r="AF92" i="48"/>
  <c r="AF95" i="46"/>
  <c r="AF100" i="46" s="1"/>
  <c r="AF94" i="46"/>
  <c r="AF96" i="46"/>
  <c r="AF101" i="46" s="1"/>
  <c r="AF97" i="46"/>
  <c r="AF93" i="46"/>
  <c r="AF98" i="46" s="1"/>
  <c r="BM23" i="45"/>
  <c r="BN21" i="45"/>
  <c r="AF189" i="42"/>
  <c r="AG26" i="45"/>
  <c r="AG24" i="45"/>
  <c r="AG25" i="45"/>
  <c r="AG82" i="45"/>
  <c r="AF187" i="42"/>
  <c r="AF94" i="42"/>
  <c r="AF66" i="42"/>
  <c r="AF66" i="38"/>
  <c r="F76" i="7"/>
  <c r="G76" i="7" s="1"/>
  <c r="J58" i="14"/>
  <c r="J59" i="14" s="1"/>
  <c r="I59" i="12"/>
  <c r="I74" i="7"/>
  <c r="I76" i="7"/>
  <c r="I73" i="7"/>
  <c r="K218" i="14"/>
  <c r="K61" i="14"/>
  <c r="K57" i="14" s="1"/>
  <c r="K60" i="14"/>
  <c r="K56" i="14"/>
  <c r="F75" i="7"/>
  <c r="G75" i="7" s="1"/>
  <c r="J60" i="12"/>
  <c r="J58" i="12" s="1"/>
  <c r="J56" i="12"/>
  <c r="J61" i="12"/>
  <c r="J57" i="12" s="1"/>
  <c r="F73" i="7"/>
  <c r="G73" i="7" s="1"/>
  <c r="F74" i="7"/>
  <c r="G74" i="7" s="1"/>
  <c r="M67" i="7"/>
  <c r="M64" i="7"/>
  <c r="F4" i="26"/>
  <c r="J131" i="16"/>
  <c r="L34" i="16"/>
  <c r="L33" i="16"/>
  <c r="B172" i="14"/>
  <c r="H75" i="16"/>
  <c r="K54" i="15"/>
  <c r="L34" i="15"/>
  <c r="L33" i="15"/>
  <c r="J218" i="12"/>
  <c r="J112" i="12"/>
  <c r="J43" i="15"/>
  <c r="I43" i="29"/>
  <c r="J60" i="15"/>
  <c r="J4" i="4"/>
  <c r="B172" i="12"/>
  <c r="B183" i="12" s="1"/>
  <c r="B199" i="12" s="1"/>
  <c r="J42" i="16"/>
  <c r="I75" i="16"/>
  <c r="K40" i="15"/>
  <c r="K122" i="15" s="1"/>
  <c r="K132" i="15" s="1"/>
  <c r="K40" i="16"/>
  <c r="K122" i="16" s="1"/>
  <c r="K132" i="16" s="1"/>
  <c r="K35" i="16"/>
  <c r="K128" i="16" s="1"/>
  <c r="J60" i="16"/>
  <c r="K35" i="15"/>
  <c r="K128" i="15" s="1"/>
  <c r="J42" i="19"/>
  <c r="I43" i="28"/>
  <c r="K39" i="15"/>
  <c r="K121" i="15" s="1"/>
  <c r="K131" i="15" s="1"/>
  <c r="L53" i="14"/>
  <c r="L55" i="14" s="1"/>
  <c r="L112" i="14" s="1"/>
  <c r="J39" i="15"/>
  <c r="J121" i="15" s="1"/>
  <c r="J43" i="29"/>
  <c r="H47" i="16"/>
  <c r="G40" i="29"/>
  <c r="K54" i="16"/>
  <c r="J41" i="29"/>
  <c r="I47" i="16"/>
  <c r="H40" i="29"/>
  <c r="L74" i="16"/>
  <c r="M51" i="14"/>
  <c r="M52" i="14"/>
  <c r="N50" i="14"/>
  <c r="M54" i="14"/>
  <c r="L74" i="15"/>
  <c r="M32" i="15"/>
  <c r="J43" i="16"/>
  <c r="I39" i="29"/>
  <c r="H47" i="15"/>
  <c r="I75" i="15"/>
  <c r="I76" i="15"/>
  <c r="J41" i="28"/>
  <c r="H42" i="15"/>
  <c r="I39" i="28"/>
  <c r="G40" i="28"/>
  <c r="M7" i="15"/>
  <c r="M41" i="15" s="1"/>
  <c r="BY33" i="58" s="1"/>
  <c r="M32" i="58" s="1"/>
  <c r="AS32" i="58" s="1"/>
  <c r="BY32" i="58" s="1"/>
  <c r="M32" i="16"/>
  <c r="I42" i="20"/>
  <c r="K21" i="16"/>
  <c r="K123" i="16" s="1"/>
  <c r="F45" i="2"/>
  <c r="E50" i="2"/>
  <c r="D50" i="2" s="1"/>
  <c r="E48" i="2"/>
  <c r="D48" i="2" s="1"/>
  <c r="E47" i="2"/>
  <c r="E51" i="2"/>
  <c r="D51" i="2" s="1"/>
  <c r="K53" i="12"/>
  <c r="K55" i="12" s="1"/>
  <c r="M50" i="12"/>
  <c r="L54" i="12"/>
  <c r="L51" i="12"/>
  <c r="L52" i="12"/>
  <c r="L25" i="16"/>
  <c r="L124" i="16" s="1"/>
  <c r="L8" i="15"/>
  <c r="L9" i="15" s="1"/>
  <c r="L20" i="16"/>
  <c r="L25" i="15"/>
  <c r="L124" i="15" s="1"/>
  <c r="L17" i="15"/>
  <c r="M18" i="16"/>
  <c r="M15" i="16"/>
  <c r="M16" i="16"/>
  <c r="M19" i="16"/>
  <c r="N14" i="16"/>
  <c r="M7" i="16"/>
  <c r="M41" i="16" s="1"/>
  <c r="N6" i="16"/>
  <c r="J13" i="16"/>
  <c r="J125" i="16" s="1"/>
  <c r="J129" i="16" s="1"/>
  <c r="N14" i="15"/>
  <c r="M18" i="15"/>
  <c r="M16" i="15"/>
  <c r="M19" i="15"/>
  <c r="M15" i="15"/>
  <c r="N22" i="15"/>
  <c r="N24" i="15" s="1"/>
  <c r="M23" i="15"/>
  <c r="L20" i="15"/>
  <c r="K21" i="15"/>
  <c r="K123" i="15" s="1"/>
  <c r="L8" i="16"/>
  <c r="N6" i="15"/>
  <c r="L17" i="16"/>
  <c r="K10" i="16"/>
  <c r="K11" i="16" s="1"/>
  <c r="K39" i="16" s="1"/>
  <c r="K121" i="16" s="1"/>
  <c r="K13" i="15"/>
  <c r="K125" i="15" s="1"/>
  <c r="M23" i="16"/>
  <c r="N22" i="16"/>
  <c r="N24" i="16" s="1"/>
  <c r="J13" i="15"/>
  <c r="J125" i="15" s="1"/>
  <c r="AG3" i="12"/>
  <c r="AF1" i="52" s="1"/>
  <c r="CE8" i="45" l="1"/>
  <c r="D40" i="12"/>
  <c r="D43" i="12" s="1"/>
  <c r="P26" i="55"/>
  <c r="AU26" i="55"/>
  <c r="DG26" i="55" s="1"/>
  <c r="D8" i="3"/>
  <c r="D10" i="3" s="1"/>
  <c r="D11" i="3" s="1"/>
  <c r="D13" i="3" s="1"/>
  <c r="BZ27" i="55"/>
  <c r="O27" i="55"/>
  <c r="AT27" i="55"/>
  <c r="DF27" i="55" s="1"/>
  <c r="AG37" i="46"/>
  <c r="M63" i="7"/>
  <c r="J4" i="8"/>
  <c r="AF93" i="48"/>
  <c r="AF98" i="48" s="1"/>
  <c r="AF97" i="48"/>
  <c r="AF95" i="48"/>
  <c r="AF100" i="48" s="1"/>
  <c r="AF94" i="48"/>
  <c r="AF96" i="48"/>
  <c r="AF101" i="48" s="1"/>
  <c r="BN23" i="45"/>
  <c r="BN82" i="45" s="1"/>
  <c r="AF37" i="48"/>
  <c r="BM24" i="45"/>
  <c r="BM25" i="45"/>
  <c r="BM26" i="45"/>
  <c r="BM82" i="45"/>
  <c r="AH25" i="45"/>
  <c r="AH24" i="45"/>
  <c r="E5" i="60" s="1"/>
  <c r="AH82" i="45"/>
  <c r="AH26" i="45"/>
  <c r="D26" i="12"/>
  <c r="D34" i="12" s="1"/>
  <c r="J5" i="8"/>
  <c r="K58" i="14"/>
  <c r="K59" i="14" s="1"/>
  <c r="D49" i="12"/>
  <c r="J59" i="12"/>
  <c r="L218" i="14"/>
  <c r="L60" i="14"/>
  <c r="L56" i="14"/>
  <c r="L61" i="14"/>
  <c r="L57" i="14" s="1"/>
  <c r="K61" i="12"/>
  <c r="K57" i="12" s="1"/>
  <c r="K56" i="12"/>
  <c r="K60" i="12"/>
  <c r="K58" i="12" s="1"/>
  <c r="D48" i="12"/>
  <c r="D44" i="12"/>
  <c r="D12" i="14"/>
  <c r="E12" i="14" s="1"/>
  <c r="E13" i="14" s="1"/>
  <c r="E83" i="14" s="1"/>
  <c r="D12" i="12"/>
  <c r="E12" i="12" s="1"/>
  <c r="D216" i="12"/>
  <c r="K129" i="15"/>
  <c r="J129" i="15"/>
  <c r="J131" i="15"/>
  <c r="D40" i="14"/>
  <c r="E40" i="14" s="1"/>
  <c r="E42" i="14" s="1"/>
  <c r="J5" i="4"/>
  <c r="E40" i="12"/>
  <c r="AK182" i="12"/>
  <c r="K131" i="16"/>
  <c r="M74" i="16"/>
  <c r="M33" i="16"/>
  <c r="M34" i="16"/>
  <c r="M34" i="15"/>
  <c r="M33" i="15"/>
  <c r="K47" i="15"/>
  <c r="L54" i="15"/>
  <c r="B200" i="12"/>
  <c r="B183" i="14"/>
  <c r="B180" i="14"/>
  <c r="K43" i="15"/>
  <c r="K112" i="12"/>
  <c r="K218" i="12"/>
  <c r="AK206" i="12"/>
  <c r="K60" i="16"/>
  <c r="J42" i="15"/>
  <c r="J75" i="15" s="1"/>
  <c r="K60" i="15"/>
  <c r="D26" i="14"/>
  <c r="B190" i="12"/>
  <c r="K42" i="16"/>
  <c r="M70" i="7"/>
  <c r="M66" i="7" s="1"/>
  <c r="J75" i="16"/>
  <c r="B180" i="12"/>
  <c r="L40" i="15"/>
  <c r="L122" i="15" s="1"/>
  <c r="L132" i="15" s="1"/>
  <c r="L35" i="16"/>
  <c r="L128" i="16" s="1"/>
  <c r="L40" i="16"/>
  <c r="L122" i="16" s="1"/>
  <c r="L132" i="16" s="1"/>
  <c r="K42" i="19"/>
  <c r="J43" i="28"/>
  <c r="M53" i="14"/>
  <c r="M55" i="14" s="1"/>
  <c r="M112" i="14" s="1"/>
  <c r="H76" i="16"/>
  <c r="K43" i="16"/>
  <c r="J39" i="29"/>
  <c r="M74" i="15"/>
  <c r="J47" i="16"/>
  <c r="I40" i="29"/>
  <c r="L54" i="16"/>
  <c r="K41" i="29"/>
  <c r="N52" i="14"/>
  <c r="O50" i="14"/>
  <c r="N54" i="14"/>
  <c r="N51" i="14"/>
  <c r="N32" i="15"/>
  <c r="I76" i="16"/>
  <c r="L35" i="15"/>
  <c r="L128" i="15" s="1"/>
  <c r="J47" i="15"/>
  <c r="H75" i="15"/>
  <c r="H76" i="15"/>
  <c r="K41" i="28"/>
  <c r="J39" i="28"/>
  <c r="N7" i="15"/>
  <c r="N41" i="15" s="1"/>
  <c r="BZ33" i="58" s="1"/>
  <c r="N32" i="58" s="1"/>
  <c r="AT32" i="58" s="1"/>
  <c r="BZ32" i="58" s="1"/>
  <c r="J40" i="28"/>
  <c r="I40" i="28"/>
  <c r="N32" i="16"/>
  <c r="J42" i="20"/>
  <c r="D122" i="12"/>
  <c r="C41" i="20"/>
  <c r="M25" i="15"/>
  <c r="M124" i="15" s="1"/>
  <c r="F48" i="2"/>
  <c r="F47" i="2"/>
  <c r="F50" i="2"/>
  <c r="D47" i="2"/>
  <c r="F51" i="2"/>
  <c r="K42" i="15"/>
  <c r="E11" i="9"/>
  <c r="L21" i="16"/>
  <c r="L123" i="16" s="1"/>
  <c r="L53" i="12"/>
  <c r="L55" i="12" s="1"/>
  <c r="N50" i="12"/>
  <c r="M54" i="12"/>
  <c r="M52" i="12"/>
  <c r="M51" i="12"/>
  <c r="M8" i="15"/>
  <c r="M9" i="15" s="1"/>
  <c r="M25" i="16"/>
  <c r="M124" i="16" s="1"/>
  <c r="M20" i="15"/>
  <c r="L9" i="16"/>
  <c r="O6" i="16"/>
  <c r="N7" i="16"/>
  <c r="N41" i="16" s="1"/>
  <c r="N23" i="16"/>
  <c r="O22" i="16"/>
  <c r="O24" i="16" s="1"/>
  <c r="K13" i="16"/>
  <c r="K125" i="16" s="1"/>
  <c r="K129" i="16" s="1"/>
  <c r="O6" i="15"/>
  <c r="M17" i="15"/>
  <c r="O14" i="15"/>
  <c r="N18" i="15"/>
  <c r="N19" i="15"/>
  <c r="N16" i="15"/>
  <c r="N15" i="15"/>
  <c r="L10" i="15"/>
  <c r="L11" i="15" s="1"/>
  <c r="L39" i="15" s="1"/>
  <c r="L121" i="15" s="1"/>
  <c r="M17" i="16"/>
  <c r="L21" i="15"/>
  <c r="L123" i="15" s="1"/>
  <c r="O22" i="15"/>
  <c r="O24" i="15" s="1"/>
  <c r="N23" i="15"/>
  <c r="M8" i="16"/>
  <c r="N19" i="16"/>
  <c r="N16" i="16"/>
  <c r="N15" i="16"/>
  <c r="N18" i="16"/>
  <c r="O14" i="16"/>
  <c r="M20" i="16"/>
  <c r="AH3" i="12"/>
  <c r="AG1" i="52" s="1"/>
  <c r="Q26" i="55" l="1"/>
  <c r="AV26" i="55"/>
  <c r="DH26" i="55" s="1"/>
  <c r="CA27" i="55"/>
  <c r="P27" i="55"/>
  <c r="AU27" i="55"/>
  <c r="DG27" i="55" s="1"/>
  <c r="E6" i="60"/>
  <c r="D5" i="60"/>
  <c r="E17" i="60"/>
  <c r="E7" i="60"/>
  <c r="D33" i="12"/>
  <c r="AG37" i="48"/>
  <c r="BN25" i="45"/>
  <c r="BN26" i="45"/>
  <c r="BN24" i="45"/>
  <c r="J6" i="4"/>
  <c r="J8" i="4" s="1"/>
  <c r="N63" i="7"/>
  <c r="L58" i="14"/>
  <c r="L59" i="14" s="1"/>
  <c r="D39" i="12"/>
  <c r="D38" i="12"/>
  <c r="D36" i="12" s="1"/>
  <c r="D46" i="12"/>
  <c r="M218" i="14"/>
  <c r="M60" i="14"/>
  <c r="M56" i="14"/>
  <c r="M61" i="14"/>
  <c r="M57" i="14" s="1"/>
  <c r="D33" i="14"/>
  <c r="D34" i="14"/>
  <c r="D14" i="14"/>
  <c r="D19" i="14" s="1"/>
  <c r="D102" i="14" s="1"/>
  <c r="D45" i="12"/>
  <c r="L56" i="12"/>
  <c r="L61" i="12"/>
  <c r="L57" i="12" s="1"/>
  <c r="L60" i="12"/>
  <c r="L58" i="12" s="1"/>
  <c r="K59" i="12"/>
  <c r="N65" i="7"/>
  <c r="C197" i="14" s="1"/>
  <c r="F12" i="14"/>
  <c r="F13" i="14" s="1"/>
  <c r="F83" i="14" s="1"/>
  <c r="J6" i="8"/>
  <c r="D43" i="14"/>
  <c r="D122" i="14" s="1"/>
  <c r="F40" i="12"/>
  <c r="F42" i="12" s="1"/>
  <c r="E42" i="12"/>
  <c r="L131" i="15"/>
  <c r="E41" i="12"/>
  <c r="D14" i="12"/>
  <c r="D19" i="12" s="1"/>
  <c r="J76" i="15"/>
  <c r="AK209" i="12"/>
  <c r="AK186" i="12"/>
  <c r="L112" i="12"/>
  <c r="L218" i="12"/>
  <c r="N33" i="15"/>
  <c r="N34" i="15"/>
  <c r="L43" i="15"/>
  <c r="M54" i="15"/>
  <c r="N33" i="16"/>
  <c r="N34" i="16"/>
  <c r="B199" i="14"/>
  <c r="B200" i="14" s="1"/>
  <c r="B190" i="14"/>
  <c r="C115" i="15"/>
  <c r="K43" i="29"/>
  <c r="K75" i="16"/>
  <c r="E26" i="14"/>
  <c r="K80" i="7"/>
  <c r="N69" i="7"/>
  <c r="N66" i="7"/>
  <c r="N67" i="7"/>
  <c r="M68" i="7"/>
  <c r="N64" i="7"/>
  <c r="L60" i="16"/>
  <c r="L42" i="19"/>
  <c r="M35" i="16"/>
  <c r="M128" i="16" s="1"/>
  <c r="M40" i="16"/>
  <c r="M122" i="16" s="1"/>
  <c r="M132" i="16" s="1"/>
  <c r="M35" i="15"/>
  <c r="M128" i="15" s="1"/>
  <c r="M40" i="15"/>
  <c r="M122" i="15" s="1"/>
  <c r="M132" i="15" s="1"/>
  <c r="N53" i="14"/>
  <c r="N55" i="14" s="1"/>
  <c r="N112" i="14" s="1"/>
  <c r="E14" i="14"/>
  <c r="E15" i="14" s="1"/>
  <c r="E16" i="14" s="1"/>
  <c r="E17" i="14" s="1"/>
  <c r="O32" i="15"/>
  <c r="L60" i="15"/>
  <c r="K43" i="28"/>
  <c r="K47" i="16"/>
  <c r="J40" i="29"/>
  <c r="M54" i="16"/>
  <c r="L41" i="29"/>
  <c r="E13" i="12"/>
  <c r="E83" i="12" s="1"/>
  <c r="E119" i="59" s="1"/>
  <c r="E41" i="14"/>
  <c r="F40" i="14"/>
  <c r="F42" i="14" s="1"/>
  <c r="J76" i="16"/>
  <c r="L43" i="16"/>
  <c r="K39" i="29"/>
  <c r="N74" i="15"/>
  <c r="O54" i="14"/>
  <c r="O51" i="14"/>
  <c r="O52" i="14"/>
  <c r="P50" i="14"/>
  <c r="N74" i="16"/>
  <c r="K75" i="15"/>
  <c r="K76" i="15"/>
  <c r="O7" i="15"/>
  <c r="O41" i="15" s="1"/>
  <c r="CA33" i="58" s="1"/>
  <c r="O32" i="58" s="1"/>
  <c r="AU32" i="58" s="1"/>
  <c r="CA32" i="58" s="1"/>
  <c r="L41" i="28"/>
  <c r="K39" i="28"/>
  <c r="O32" i="16"/>
  <c r="K42" i="20"/>
  <c r="F12" i="12"/>
  <c r="M21" i="15"/>
  <c r="M123" i="15" s="1"/>
  <c r="O50" i="12"/>
  <c r="N54" i="12"/>
  <c r="N52" i="12"/>
  <c r="N51" i="12"/>
  <c r="M53" i="12"/>
  <c r="M55" i="12" s="1"/>
  <c r="N8" i="15"/>
  <c r="N9" i="15" s="1"/>
  <c r="N25" i="15"/>
  <c r="N124" i="15" s="1"/>
  <c r="N17" i="15"/>
  <c r="L13" i="15"/>
  <c r="L125" i="15" s="1"/>
  <c r="L129" i="15" s="1"/>
  <c r="O19" i="16"/>
  <c r="O16" i="16"/>
  <c r="O18" i="16"/>
  <c r="O15" i="16"/>
  <c r="P14" i="16"/>
  <c r="N20" i="15"/>
  <c r="O23" i="16"/>
  <c r="P22" i="16"/>
  <c r="P24" i="16" s="1"/>
  <c r="O7" i="16"/>
  <c r="O41" i="16" s="1"/>
  <c r="P6" i="16"/>
  <c r="N20" i="16"/>
  <c r="M9" i="16"/>
  <c r="P22" i="15"/>
  <c r="P24" i="15" s="1"/>
  <c r="O23" i="15"/>
  <c r="M21" i="16"/>
  <c r="M123" i="16" s="1"/>
  <c r="P14" i="15"/>
  <c r="O19" i="15"/>
  <c r="O16" i="15"/>
  <c r="O18" i="15"/>
  <c r="O15" i="15"/>
  <c r="P6" i="15"/>
  <c r="N25" i="16"/>
  <c r="N124" i="16" s="1"/>
  <c r="M10" i="15"/>
  <c r="M11" i="15" s="1"/>
  <c r="M39" i="15" s="1"/>
  <c r="M121" i="15" s="1"/>
  <c r="N17" i="16"/>
  <c r="N8" i="16"/>
  <c r="L10" i="16"/>
  <c r="L11" i="16" s="1"/>
  <c r="L39" i="16" s="1"/>
  <c r="L121" i="16" s="1"/>
  <c r="CB27" i="55" l="1"/>
  <c r="Q27" i="55"/>
  <c r="AV27" i="55"/>
  <c r="DH27" i="55" s="1"/>
  <c r="J8" i="8"/>
  <c r="J7" i="4"/>
  <c r="R26" i="55"/>
  <c r="AW26" i="55"/>
  <c r="DI26" i="55" s="1"/>
  <c r="R6" i="60"/>
  <c r="F5" i="60"/>
  <c r="F17" i="60" s="1"/>
  <c r="S17" i="60" s="1"/>
  <c r="C5" i="60"/>
  <c r="D17" i="60"/>
  <c r="D6" i="60"/>
  <c r="E18" i="60"/>
  <c r="D7" i="60"/>
  <c r="E19" i="60"/>
  <c r="J9" i="4"/>
  <c r="M9" i="4"/>
  <c r="C39" i="19"/>
  <c r="D92" i="14"/>
  <c r="M58" i="14"/>
  <c r="M59" i="14" s="1"/>
  <c r="C40" i="19"/>
  <c r="D47" i="12"/>
  <c r="D25" i="12"/>
  <c r="D20" i="12"/>
  <c r="J9" i="8"/>
  <c r="C197" i="12"/>
  <c r="C207" i="12" s="1"/>
  <c r="L59" i="12"/>
  <c r="D35" i="12"/>
  <c r="N218" i="14"/>
  <c r="N61" i="14"/>
  <c r="N57" i="14" s="1"/>
  <c r="N56" i="14"/>
  <c r="N60" i="14"/>
  <c r="D216" i="14"/>
  <c r="D48" i="14"/>
  <c r="D44" i="14"/>
  <c r="D49" i="14"/>
  <c r="E27" i="14"/>
  <c r="D215" i="14"/>
  <c r="D38" i="14"/>
  <c r="D39" i="14"/>
  <c r="D24" i="14"/>
  <c r="D20" i="14"/>
  <c r="D25" i="14"/>
  <c r="D217" i="14"/>
  <c r="M60" i="12"/>
  <c r="M58" i="12" s="1"/>
  <c r="M56" i="12"/>
  <c r="M61" i="12"/>
  <c r="M57" i="12" s="1"/>
  <c r="J7" i="8"/>
  <c r="D24" i="12"/>
  <c r="G12" i="14"/>
  <c r="H12" i="14" s="1"/>
  <c r="J10" i="8"/>
  <c r="E30" i="14"/>
  <c r="G40" i="12"/>
  <c r="G42" i="12" s="1"/>
  <c r="F41" i="12"/>
  <c r="F43" i="12" s="1"/>
  <c r="D217" i="12"/>
  <c r="C41" i="19"/>
  <c r="E43" i="12"/>
  <c r="E31" i="14"/>
  <c r="E28" i="14"/>
  <c r="M131" i="15"/>
  <c r="F26" i="14"/>
  <c r="C40" i="20"/>
  <c r="D102" i="12"/>
  <c r="L131" i="16"/>
  <c r="O34" i="16"/>
  <c r="O33" i="16"/>
  <c r="M112" i="12"/>
  <c r="M218" i="12"/>
  <c r="C113" i="15"/>
  <c r="C195" i="14"/>
  <c r="E26" i="12"/>
  <c r="AK202" i="12"/>
  <c r="AK178" i="12"/>
  <c r="O33" i="15"/>
  <c r="O34" i="15"/>
  <c r="C198" i="12"/>
  <c r="C208" i="12" s="1"/>
  <c r="C116" i="15"/>
  <c r="C198" i="14"/>
  <c r="C117" i="15"/>
  <c r="C199" i="14"/>
  <c r="N54" i="15"/>
  <c r="M43" i="15"/>
  <c r="L68" i="7"/>
  <c r="AI18" i="20" s="1"/>
  <c r="L42" i="16"/>
  <c r="M60" i="16"/>
  <c r="M60" i="15"/>
  <c r="N68" i="7"/>
  <c r="C196" i="14" s="1"/>
  <c r="C199" i="12"/>
  <c r="C209" i="12" s="1"/>
  <c r="L66" i="7"/>
  <c r="N40" i="15"/>
  <c r="N122" i="15" s="1"/>
  <c r="N132" i="15" s="1"/>
  <c r="C195" i="12"/>
  <c r="C205" i="12" s="1"/>
  <c r="N40" i="16"/>
  <c r="N122" i="16" s="1"/>
  <c r="N132" i="16" s="1"/>
  <c r="N35" i="16"/>
  <c r="N128" i="16" s="1"/>
  <c r="L43" i="29"/>
  <c r="K76" i="16"/>
  <c r="L43" i="28"/>
  <c r="E43" i="14"/>
  <c r="E122" i="14" s="1"/>
  <c r="M42" i="19"/>
  <c r="N35" i="15"/>
  <c r="N128" i="15" s="1"/>
  <c r="O53" i="14"/>
  <c r="O55" i="14" s="1"/>
  <c r="O112" i="14" s="1"/>
  <c r="N54" i="16"/>
  <c r="M41" i="29"/>
  <c r="M43" i="16"/>
  <c r="L39" i="29"/>
  <c r="O74" i="16"/>
  <c r="G40" i="14"/>
  <c r="G42" i="14" s="1"/>
  <c r="F41" i="14"/>
  <c r="P32" i="15"/>
  <c r="F13" i="12"/>
  <c r="F14" i="12" s="1"/>
  <c r="E19" i="14"/>
  <c r="E102" i="14" s="1"/>
  <c r="Q50" i="14"/>
  <c r="P51" i="14"/>
  <c r="P52" i="14"/>
  <c r="P54" i="14"/>
  <c r="F14" i="14"/>
  <c r="O74" i="15"/>
  <c r="L47" i="15"/>
  <c r="M41" i="28"/>
  <c r="P7" i="15"/>
  <c r="P41" i="15" s="1"/>
  <c r="CB33" i="58" s="1"/>
  <c r="P32" i="58" s="1"/>
  <c r="AV32" i="58" s="1"/>
  <c r="CB32" i="58" s="1"/>
  <c r="K40" i="28"/>
  <c r="L39" i="28"/>
  <c r="L42" i="15"/>
  <c r="P32" i="16"/>
  <c r="L42" i="20"/>
  <c r="G12" i="12"/>
  <c r="E14" i="12"/>
  <c r="E15" i="12" s="1"/>
  <c r="O8" i="15"/>
  <c r="O9" i="15" s="1"/>
  <c r="O10" i="15" s="1"/>
  <c r="O11" i="15" s="1"/>
  <c r="O25" i="16"/>
  <c r="O124" i="16" s="1"/>
  <c r="N53" i="12"/>
  <c r="N55" i="12" s="1"/>
  <c r="O20" i="15"/>
  <c r="P50" i="12"/>
  <c r="O51" i="12"/>
  <c r="O54" i="12"/>
  <c r="O52" i="12"/>
  <c r="O25" i="15"/>
  <c r="O124" i="15" s="1"/>
  <c r="O8" i="16"/>
  <c r="O9" i="16" s="1"/>
  <c r="O17" i="15"/>
  <c r="Q14" i="15"/>
  <c r="P19" i="15"/>
  <c r="P16" i="15"/>
  <c r="P15" i="15"/>
  <c r="P18" i="15"/>
  <c r="N21" i="16"/>
  <c r="N123" i="16" s="1"/>
  <c r="P23" i="16"/>
  <c r="Q22" i="16"/>
  <c r="Q24" i="16" s="1"/>
  <c r="N21" i="15"/>
  <c r="N123" i="15" s="1"/>
  <c r="L13" i="16"/>
  <c r="L125" i="16" s="1"/>
  <c r="L129" i="16" s="1"/>
  <c r="M13" i="15"/>
  <c r="M125" i="15" s="1"/>
  <c r="M129" i="15" s="1"/>
  <c r="Q6" i="15"/>
  <c r="Q22" i="15"/>
  <c r="Q24" i="15" s="1"/>
  <c r="P23" i="15"/>
  <c r="P18" i="16"/>
  <c r="P15" i="16"/>
  <c r="P16" i="16"/>
  <c r="P19" i="16"/>
  <c r="Q14" i="16"/>
  <c r="N10" i="15"/>
  <c r="N11" i="15" s="1"/>
  <c r="N39" i="15" s="1"/>
  <c r="N121" i="15" s="1"/>
  <c r="Q6" i="16"/>
  <c r="P7" i="16"/>
  <c r="P41" i="16" s="1"/>
  <c r="O17" i="16"/>
  <c r="N9" i="16"/>
  <c r="M10" i="16"/>
  <c r="M11" i="16" s="1"/>
  <c r="M39" i="16" s="1"/>
  <c r="M121" i="16" s="1"/>
  <c r="O20" i="16"/>
  <c r="CC27" i="55" l="1"/>
  <c r="R27" i="55"/>
  <c r="AW27" i="55"/>
  <c r="DI27" i="55" s="1"/>
  <c r="S26" i="55"/>
  <c r="AX26" i="55"/>
  <c r="DJ26" i="55" s="1"/>
  <c r="Q6" i="60"/>
  <c r="C6" i="60"/>
  <c r="C18" i="60" s="1"/>
  <c r="D18" i="60"/>
  <c r="F6" i="60"/>
  <c r="F18" i="60" s="1"/>
  <c r="D68" i="60"/>
  <c r="F68" i="60" s="1"/>
  <c r="C17" i="60"/>
  <c r="P6" i="60"/>
  <c r="F7" i="60"/>
  <c r="F19" i="60" s="1"/>
  <c r="S19" i="60" s="1"/>
  <c r="D19" i="60"/>
  <c r="C7" i="60"/>
  <c r="C19" i="60" s="1"/>
  <c r="E29" i="14"/>
  <c r="D45" i="14"/>
  <c r="D46" i="14"/>
  <c r="N58" i="14"/>
  <c r="N59" i="14" s="1"/>
  <c r="D35" i="14"/>
  <c r="D36" i="14"/>
  <c r="F49" i="12"/>
  <c r="F45" i="12" s="1"/>
  <c r="E49" i="12"/>
  <c r="E45" i="12" s="1"/>
  <c r="M59" i="12"/>
  <c r="D37" i="12"/>
  <c r="J11" i="8"/>
  <c r="D21" i="14"/>
  <c r="D22" i="14"/>
  <c r="O218" i="14"/>
  <c r="O60" i="14"/>
  <c r="O56" i="14"/>
  <c r="O61" i="14"/>
  <c r="O57" i="14" s="1"/>
  <c r="E216" i="14"/>
  <c r="E48" i="14"/>
  <c r="E44" i="14"/>
  <c r="E49" i="14"/>
  <c r="E34" i="14"/>
  <c r="G13" i="14"/>
  <c r="G83" i="14" s="1"/>
  <c r="E38" i="14"/>
  <c r="E217" i="14"/>
  <c r="E24" i="14"/>
  <c r="E20" i="14"/>
  <c r="E25" i="14"/>
  <c r="D22" i="12"/>
  <c r="D21" i="12"/>
  <c r="N60" i="12"/>
  <c r="N58" i="12" s="1"/>
  <c r="N61" i="12"/>
  <c r="N57" i="12" s="1"/>
  <c r="N56" i="12"/>
  <c r="F48" i="12"/>
  <c r="F44" i="12"/>
  <c r="E48" i="12"/>
  <c r="E44" i="12"/>
  <c r="E122" i="12"/>
  <c r="F30" i="14"/>
  <c r="E32" i="14"/>
  <c r="E30" i="12"/>
  <c r="E28" i="12"/>
  <c r="E27" i="12"/>
  <c r="H40" i="12"/>
  <c r="H42" i="12" s="1"/>
  <c r="G41" i="12"/>
  <c r="G43" i="12" s="1"/>
  <c r="C5" i="26"/>
  <c r="F5" i="26" s="1"/>
  <c r="F6" i="26" s="1"/>
  <c r="F7" i="26" s="1"/>
  <c r="F28" i="14"/>
  <c r="F31" i="14"/>
  <c r="G26" i="14"/>
  <c r="F27" i="14"/>
  <c r="D41" i="20"/>
  <c r="D92" i="12"/>
  <c r="E216" i="12"/>
  <c r="N131" i="15"/>
  <c r="E31" i="12"/>
  <c r="M131" i="16"/>
  <c r="F26" i="12"/>
  <c r="N112" i="12"/>
  <c r="N218" i="12"/>
  <c r="N43" i="15"/>
  <c r="O54" i="15"/>
  <c r="P34" i="16"/>
  <c r="P33" i="16"/>
  <c r="C196" i="12"/>
  <c r="C39" i="20"/>
  <c r="D215" i="12"/>
  <c r="P34" i="15"/>
  <c r="P33" i="15"/>
  <c r="C194" i="14"/>
  <c r="C200" i="14" s="1"/>
  <c r="F122" i="12"/>
  <c r="F216" i="12"/>
  <c r="N70" i="7"/>
  <c r="N60" i="16"/>
  <c r="M42" i="16"/>
  <c r="N60" i="15"/>
  <c r="M43" i="29"/>
  <c r="D41" i="19"/>
  <c r="O40" i="15"/>
  <c r="O122" i="15" s="1"/>
  <c r="O132" i="15" s="1"/>
  <c r="M43" i="28"/>
  <c r="O35" i="16"/>
  <c r="O128" i="16" s="1"/>
  <c r="O40" i="16"/>
  <c r="O122" i="16" s="1"/>
  <c r="O132" i="16" s="1"/>
  <c r="F43" i="14"/>
  <c r="F122" i="14" s="1"/>
  <c r="Q52" i="14"/>
  <c r="R50" i="14"/>
  <c r="Q54" i="14"/>
  <c r="Q51" i="14"/>
  <c r="N42" i="19"/>
  <c r="L47" i="16"/>
  <c r="K40" i="29"/>
  <c r="N43" i="16"/>
  <c r="M39" i="29"/>
  <c r="D40" i="19"/>
  <c r="O35" i="15"/>
  <c r="O128" i="15" s="1"/>
  <c r="Q32" i="15"/>
  <c r="O54" i="16"/>
  <c r="N41" i="29"/>
  <c r="G13" i="12"/>
  <c r="F15" i="14"/>
  <c r="F16" i="14" s="1"/>
  <c r="L75" i="16"/>
  <c r="H13" i="14"/>
  <c r="H83" i="14" s="1"/>
  <c r="I12" i="14"/>
  <c r="O39" i="15"/>
  <c r="O121" i="15" s="1"/>
  <c r="P53" i="14"/>
  <c r="P55" i="14" s="1"/>
  <c r="P112" i="14" s="1"/>
  <c r="P74" i="15"/>
  <c r="G41" i="14"/>
  <c r="H40" i="14"/>
  <c r="H42" i="14" s="1"/>
  <c r="P74" i="16"/>
  <c r="M47" i="15"/>
  <c r="L75" i="15"/>
  <c r="L76" i="15"/>
  <c r="Q7" i="15"/>
  <c r="Q41" i="15" s="1"/>
  <c r="CC33" i="58" s="1"/>
  <c r="Q32" i="58" s="1"/>
  <c r="AW32" i="58" s="1"/>
  <c r="CC32" i="58" s="1"/>
  <c r="L40" i="28"/>
  <c r="M39" i="28"/>
  <c r="M42" i="15"/>
  <c r="N41" i="28"/>
  <c r="Q32" i="16"/>
  <c r="M42" i="20"/>
  <c r="E41" i="20"/>
  <c r="E16" i="12"/>
  <c r="E17" i="12" s="1"/>
  <c r="P25" i="15"/>
  <c r="P124" i="15" s="1"/>
  <c r="P17" i="15"/>
  <c r="F83" i="12"/>
  <c r="F119" i="59" s="1"/>
  <c r="H12" i="12"/>
  <c r="O21" i="15"/>
  <c r="O123" i="15" s="1"/>
  <c r="O53" i="12"/>
  <c r="O55" i="12" s="1"/>
  <c r="Q50" i="12"/>
  <c r="P51" i="12"/>
  <c r="P54" i="12"/>
  <c r="P52" i="12"/>
  <c r="O13" i="15"/>
  <c r="O125" i="15" s="1"/>
  <c r="P20" i="15"/>
  <c r="O21" i="16"/>
  <c r="O123" i="16" s="1"/>
  <c r="P8" i="16"/>
  <c r="P9" i="16" s="1"/>
  <c r="P20" i="16"/>
  <c r="P25" i="16"/>
  <c r="P124" i="16" s="1"/>
  <c r="N13" i="15"/>
  <c r="N125" i="15" s="1"/>
  <c r="N129" i="15" s="1"/>
  <c r="M13" i="16"/>
  <c r="M125" i="16" s="1"/>
  <c r="M129" i="16" s="1"/>
  <c r="O10" i="16"/>
  <c r="O11" i="16" s="1"/>
  <c r="O39" i="16" s="1"/>
  <c r="O121" i="16" s="1"/>
  <c r="R22" i="15"/>
  <c r="R24" i="15" s="1"/>
  <c r="Q23" i="15"/>
  <c r="R14" i="15"/>
  <c r="Q18" i="15"/>
  <c r="Q15" i="15"/>
  <c r="Q19" i="15"/>
  <c r="Q16" i="15"/>
  <c r="P17" i="16"/>
  <c r="N10" i="16"/>
  <c r="N11" i="16" s="1"/>
  <c r="N39" i="16" s="1"/>
  <c r="N121" i="16" s="1"/>
  <c r="Q7" i="16"/>
  <c r="Q41" i="16" s="1"/>
  <c r="R6" i="16"/>
  <c r="Q18" i="16"/>
  <c r="Q15" i="16"/>
  <c r="Q19" i="16"/>
  <c r="Q16" i="16"/>
  <c r="R14" i="16"/>
  <c r="R6" i="15"/>
  <c r="Q23" i="16"/>
  <c r="R22" i="16"/>
  <c r="R24" i="16" s="1"/>
  <c r="P8" i="15"/>
  <c r="S18" i="60" l="1"/>
  <c r="T26" i="55"/>
  <c r="AY26" i="55"/>
  <c r="DK26" i="55" s="1"/>
  <c r="AX27" i="55"/>
  <c r="DJ27" i="55" s="1"/>
  <c r="S27" i="55"/>
  <c r="CD27" i="55"/>
  <c r="C68" i="60"/>
  <c r="E45" i="14"/>
  <c r="D47" i="14"/>
  <c r="D37" i="14"/>
  <c r="E46" i="14"/>
  <c r="O58" i="14"/>
  <c r="E36" i="14"/>
  <c r="D23" i="14"/>
  <c r="G49" i="12"/>
  <c r="G45" i="12" s="1"/>
  <c r="E46" i="12"/>
  <c r="F46" i="12"/>
  <c r="E22" i="14"/>
  <c r="E21" i="14"/>
  <c r="G14" i="14"/>
  <c r="G15" i="14" s="1"/>
  <c r="G16" i="14" s="1"/>
  <c r="G17" i="14" s="1"/>
  <c r="G19" i="14" s="1"/>
  <c r="G102" i="14" s="1"/>
  <c r="F32" i="14"/>
  <c r="O59" i="14"/>
  <c r="P218" i="14"/>
  <c r="P60" i="14"/>
  <c r="P56" i="14"/>
  <c r="P61" i="14"/>
  <c r="P57" i="14" s="1"/>
  <c r="F34" i="14"/>
  <c r="F49" i="14"/>
  <c r="F48" i="14"/>
  <c r="F44" i="14"/>
  <c r="F38" i="14"/>
  <c r="G31" i="14"/>
  <c r="D23" i="12"/>
  <c r="I40" i="12"/>
  <c r="I42" i="12" s="1"/>
  <c r="N59" i="12"/>
  <c r="O61" i="12"/>
  <c r="O57" i="12" s="1"/>
  <c r="O56" i="12"/>
  <c r="O60" i="12"/>
  <c r="O58" i="12" s="1"/>
  <c r="G44" i="12"/>
  <c r="G48" i="12"/>
  <c r="E32" i="12"/>
  <c r="E33" i="14"/>
  <c r="E92" i="14" s="1"/>
  <c r="E34" i="12"/>
  <c r="E38" i="12"/>
  <c r="F29" i="14"/>
  <c r="G28" i="14"/>
  <c r="G27" i="14"/>
  <c r="H26" i="14"/>
  <c r="G30" i="14"/>
  <c r="F31" i="12"/>
  <c r="F8" i="26"/>
  <c r="F9" i="26" s="1"/>
  <c r="M80" i="7"/>
  <c r="H41" i="12"/>
  <c r="H43" i="12" s="1"/>
  <c r="E29" i="12"/>
  <c r="F27" i="12"/>
  <c r="O129" i="15"/>
  <c r="O131" i="15"/>
  <c r="F216" i="14"/>
  <c r="O131" i="16"/>
  <c r="N131" i="16"/>
  <c r="G26" i="12"/>
  <c r="F28" i="12"/>
  <c r="F30" i="12"/>
  <c r="O47" i="15"/>
  <c r="O43" i="15"/>
  <c r="C112" i="15"/>
  <c r="C118" i="15" s="1"/>
  <c r="G122" i="12"/>
  <c r="G216" i="12"/>
  <c r="P54" i="15"/>
  <c r="Q34" i="15"/>
  <c r="Q33" i="15"/>
  <c r="O112" i="12"/>
  <c r="O218" i="12"/>
  <c r="Q33" i="16"/>
  <c r="Q34" i="16"/>
  <c r="E41" i="19"/>
  <c r="C194" i="12"/>
  <c r="C206" i="12"/>
  <c r="O60" i="16"/>
  <c r="N42" i="16"/>
  <c r="N43" i="29"/>
  <c r="O42" i="16"/>
  <c r="P35" i="16"/>
  <c r="P128" i="16" s="1"/>
  <c r="P40" i="16"/>
  <c r="P122" i="16" s="1"/>
  <c r="P132" i="16" s="1"/>
  <c r="Q53" i="14"/>
  <c r="Q55" i="14" s="1"/>
  <c r="Q112" i="14" s="1"/>
  <c r="P40" i="15"/>
  <c r="P122" i="15" s="1"/>
  <c r="P132" i="15" s="1"/>
  <c r="P35" i="15"/>
  <c r="P128" i="15" s="1"/>
  <c r="G43" i="14"/>
  <c r="G122" i="14" s="1"/>
  <c r="R32" i="15"/>
  <c r="M47" i="16"/>
  <c r="L40" i="29"/>
  <c r="H13" i="12"/>
  <c r="O42" i="19"/>
  <c r="O43" i="16"/>
  <c r="N39" i="29"/>
  <c r="F17" i="14"/>
  <c r="Q74" i="15"/>
  <c r="O60" i="15"/>
  <c r="N43" i="28"/>
  <c r="P54" i="16"/>
  <c r="O41" i="29"/>
  <c r="I40" i="14"/>
  <c r="I42" i="14" s="1"/>
  <c r="H41" i="14"/>
  <c r="Q74" i="16"/>
  <c r="H14" i="14"/>
  <c r="S50" i="14"/>
  <c r="R54" i="14"/>
  <c r="R52" i="14"/>
  <c r="R51" i="14"/>
  <c r="M75" i="16"/>
  <c r="I13" i="14"/>
  <c r="I83" i="14" s="1"/>
  <c r="J12" i="14"/>
  <c r="L76" i="16"/>
  <c r="N47" i="15"/>
  <c r="M75" i="15"/>
  <c r="M76" i="15"/>
  <c r="D95" i="12"/>
  <c r="R7" i="15"/>
  <c r="R41" i="15" s="1"/>
  <c r="CD33" i="58" s="1"/>
  <c r="R32" i="58" s="1"/>
  <c r="AX32" i="58" s="1"/>
  <c r="CD32" i="58" s="1"/>
  <c r="N42" i="15"/>
  <c r="N40" i="28"/>
  <c r="O41" i="28"/>
  <c r="M40" i="28"/>
  <c r="O42" i="15"/>
  <c r="N39" i="28"/>
  <c r="R32" i="16"/>
  <c r="N42" i="20"/>
  <c r="F41" i="20"/>
  <c r="F15" i="12"/>
  <c r="F16" i="12" s="1"/>
  <c r="F17" i="12" s="1"/>
  <c r="G83" i="12"/>
  <c r="G119" i="59" s="1"/>
  <c r="G14" i="12"/>
  <c r="I12" i="12"/>
  <c r="E19" i="12"/>
  <c r="E25" i="12" s="1"/>
  <c r="P21" i="16"/>
  <c r="P123" i="16" s="1"/>
  <c r="Q25" i="15"/>
  <c r="Q124" i="15" s="1"/>
  <c r="P53" i="12"/>
  <c r="P55" i="12" s="1"/>
  <c r="R50" i="12"/>
  <c r="Q52" i="12"/>
  <c r="Q54" i="12"/>
  <c r="Q51" i="12"/>
  <c r="Q17" i="15"/>
  <c r="Q25" i="16"/>
  <c r="Q124" i="16" s="1"/>
  <c r="Q17" i="16"/>
  <c r="P21" i="15"/>
  <c r="P123" i="15" s="1"/>
  <c r="S6" i="16"/>
  <c r="R7" i="16"/>
  <c r="R41" i="16" s="1"/>
  <c r="O13" i="16"/>
  <c r="O125" i="16" s="1"/>
  <c r="O129" i="16" s="1"/>
  <c r="P9" i="15"/>
  <c r="R19" i="16"/>
  <c r="R16" i="16"/>
  <c r="R18" i="16"/>
  <c r="R15" i="16"/>
  <c r="S14" i="16"/>
  <c r="Q20" i="16"/>
  <c r="N13" i="16"/>
  <c r="N125" i="16" s="1"/>
  <c r="N129" i="16" s="1"/>
  <c r="Q20" i="15"/>
  <c r="R23" i="16"/>
  <c r="S22" i="16"/>
  <c r="S24" i="16" s="1"/>
  <c r="S6" i="15"/>
  <c r="Q8" i="15"/>
  <c r="Q8" i="16"/>
  <c r="S14" i="15"/>
  <c r="R18" i="15"/>
  <c r="R16" i="15"/>
  <c r="R19" i="15"/>
  <c r="R15" i="15"/>
  <c r="S22" i="15"/>
  <c r="S24" i="15" s="1"/>
  <c r="R23" i="15"/>
  <c r="P10" i="16"/>
  <c r="P11" i="16" s="1"/>
  <c r="P39" i="16" s="1"/>
  <c r="P121" i="16" s="1"/>
  <c r="U26" i="55" l="1"/>
  <c r="AZ26" i="55"/>
  <c r="DL26" i="55" s="1"/>
  <c r="CE27" i="55"/>
  <c r="T27" i="55"/>
  <c r="AY27" i="55"/>
  <c r="DK27" i="55" s="1"/>
  <c r="E47" i="14"/>
  <c r="F33" i="14"/>
  <c r="F92" i="14" s="1"/>
  <c r="F45" i="14"/>
  <c r="F47" i="12"/>
  <c r="F46" i="14"/>
  <c r="P58" i="14"/>
  <c r="P59" i="14" s="1"/>
  <c r="F36" i="14"/>
  <c r="E23" i="14"/>
  <c r="E36" i="12"/>
  <c r="G46" i="12"/>
  <c r="H49" i="12"/>
  <c r="H45" i="12" s="1"/>
  <c r="E47" i="12"/>
  <c r="Q218" i="14"/>
  <c r="Q60" i="14"/>
  <c r="Q56" i="14"/>
  <c r="Q61" i="14"/>
  <c r="Q57" i="14" s="1"/>
  <c r="G216" i="14"/>
  <c r="G44" i="14"/>
  <c r="G49" i="14"/>
  <c r="G48" i="14"/>
  <c r="G34" i="14"/>
  <c r="G29" i="14"/>
  <c r="G32" i="14"/>
  <c r="G38" i="14"/>
  <c r="I26" i="14"/>
  <c r="J26" i="14" s="1"/>
  <c r="E215" i="14"/>
  <c r="E39" i="14"/>
  <c r="G217" i="14"/>
  <c r="G24" i="14"/>
  <c r="G20" i="14"/>
  <c r="G25" i="14"/>
  <c r="J40" i="12"/>
  <c r="J42" i="12" s="1"/>
  <c r="I41" i="12"/>
  <c r="I43" i="12" s="1"/>
  <c r="F32" i="12"/>
  <c r="D39" i="19"/>
  <c r="O59" i="12"/>
  <c r="P56" i="12"/>
  <c r="P61" i="12"/>
  <c r="P57" i="12" s="1"/>
  <c r="P60" i="12"/>
  <c r="P58" i="12" s="1"/>
  <c r="E33" i="12"/>
  <c r="H44" i="12"/>
  <c r="H48" i="12"/>
  <c r="H31" i="14"/>
  <c r="H30" i="14"/>
  <c r="H28" i="14"/>
  <c r="H27" i="14"/>
  <c r="E24" i="12"/>
  <c r="E20" i="12"/>
  <c r="F38" i="12"/>
  <c r="F34" i="12"/>
  <c r="F40" i="19"/>
  <c r="F29" i="12"/>
  <c r="P131" i="16"/>
  <c r="H26" i="12"/>
  <c r="G31" i="12"/>
  <c r="G28" i="12"/>
  <c r="G27" i="12"/>
  <c r="G30" i="12"/>
  <c r="Q54" i="15"/>
  <c r="P43" i="15"/>
  <c r="H122" i="12"/>
  <c r="H216" i="12"/>
  <c r="R33" i="15"/>
  <c r="R34" i="15"/>
  <c r="F41" i="19"/>
  <c r="C204" i="12"/>
  <c r="C210" i="12" s="1"/>
  <c r="C200" i="12"/>
  <c r="R74" i="16"/>
  <c r="R33" i="16"/>
  <c r="R34" i="16"/>
  <c r="N75" i="16"/>
  <c r="E102" i="12"/>
  <c r="E217" i="12"/>
  <c r="P112" i="12"/>
  <c r="P218" i="12"/>
  <c r="D226" i="12"/>
  <c r="O43" i="29"/>
  <c r="P60" i="15"/>
  <c r="Q40" i="15"/>
  <c r="Q122" i="15" s="1"/>
  <c r="Q132" i="15" s="1"/>
  <c r="P42" i="16"/>
  <c r="Q40" i="16"/>
  <c r="Q122" i="16" s="1"/>
  <c r="Q132" i="16" s="1"/>
  <c r="Q35" i="16"/>
  <c r="Q128" i="16" s="1"/>
  <c r="P60" i="16"/>
  <c r="O43" i="28"/>
  <c r="P42" i="19"/>
  <c r="R53" i="14"/>
  <c r="R55" i="14" s="1"/>
  <c r="R112" i="14" s="1"/>
  <c r="Q35" i="15"/>
  <c r="Q128" i="15" s="1"/>
  <c r="S32" i="15"/>
  <c r="J13" i="14"/>
  <c r="J83" i="14" s="1"/>
  <c r="K12" i="14"/>
  <c r="T50" i="14"/>
  <c r="S54" i="14"/>
  <c r="S52" i="14"/>
  <c r="S51" i="14"/>
  <c r="H15" i="14"/>
  <c r="H16" i="14" s="1"/>
  <c r="H17" i="14" s="1"/>
  <c r="P43" i="16"/>
  <c r="O39" i="29"/>
  <c r="J40" i="14"/>
  <c r="J42" i="14" s="1"/>
  <c r="I41" i="14"/>
  <c r="F19" i="14"/>
  <c r="F102" i="14" s="1"/>
  <c r="N47" i="16"/>
  <c r="M40" i="29"/>
  <c r="O47" i="16"/>
  <c r="N40" i="29"/>
  <c r="I14" i="14"/>
  <c r="O75" i="16"/>
  <c r="R74" i="15"/>
  <c r="Q54" i="16"/>
  <c r="P41" i="29"/>
  <c r="I13" i="12"/>
  <c r="H43" i="14"/>
  <c r="H122" i="14" s="1"/>
  <c r="M76" i="16"/>
  <c r="O75" i="15"/>
  <c r="O76" i="15"/>
  <c r="N75" i="15"/>
  <c r="N76" i="15"/>
  <c r="S7" i="15"/>
  <c r="S41" i="15" s="1"/>
  <c r="CE33" i="58" s="1"/>
  <c r="S32" i="58" s="1"/>
  <c r="AY32" i="58" s="1"/>
  <c r="CE32" i="58" s="1"/>
  <c r="O39" i="28"/>
  <c r="P41" i="28"/>
  <c r="S32" i="16"/>
  <c r="O42" i="20"/>
  <c r="G41" i="20"/>
  <c r="D40" i="20"/>
  <c r="G15" i="12"/>
  <c r="G16" i="12" s="1"/>
  <c r="G17" i="12" s="1"/>
  <c r="F19" i="12"/>
  <c r="F25" i="12" s="1"/>
  <c r="H83" i="12"/>
  <c r="H119" i="59" s="1"/>
  <c r="H14" i="12"/>
  <c r="J12" i="12"/>
  <c r="R25" i="15"/>
  <c r="R124" i="15" s="1"/>
  <c r="Q53" i="12"/>
  <c r="Q55" i="12" s="1"/>
  <c r="S50" i="12"/>
  <c r="R54" i="12"/>
  <c r="R51" i="12"/>
  <c r="R52" i="12"/>
  <c r="R8" i="16"/>
  <c r="R9" i="16" s="1"/>
  <c r="R20" i="15"/>
  <c r="Q21" i="16"/>
  <c r="Q123" i="16" s="1"/>
  <c r="R25" i="16"/>
  <c r="R124" i="16" s="1"/>
  <c r="R20" i="16"/>
  <c r="R17" i="16"/>
  <c r="P13" i="16"/>
  <c r="P125" i="16" s="1"/>
  <c r="P129" i="16" s="1"/>
  <c r="T22" i="15"/>
  <c r="T24" i="15" s="1"/>
  <c r="S23" i="15"/>
  <c r="Q9" i="15"/>
  <c r="T6" i="15"/>
  <c r="P10" i="15"/>
  <c r="P11" i="15" s="1"/>
  <c r="P39" i="15" s="1"/>
  <c r="P121" i="15" s="1"/>
  <c r="R17" i="15"/>
  <c r="T6" i="16"/>
  <c r="S7" i="16"/>
  <c r="S41" i="16" s="1"/>
  <c r="T14" i="15"/>
  <c r="S19" i="15"/>
  <c r="S16" i="15"/>
  <c r="S15" i="15"/>
  <c r="S18" i="15"/>
  <c r="Q9" i="16"/>
  <c r="R8" i="15"/>
  <c r="S23" i="16"/>
  <c r="T22" i="16"/>
  <c r="T24" i="16" s="1"/>
  <c r="S19" i="16"/>
  <c r="S16" i="16"/>
  <c r="S15" i="16"/>
  <c r="S18" i="16"/>
  <c r="T14" i="16"/>
  <c r="Q21" i="15"/>
  <c r="Q123" i="15" s="1"/>
  <c r="CF27" i="55" l="1"/>
  <c r="U27" i="55"/>
  <c r="AZ27" i="55"/>
  <c r="DL27" i="55" s="1"/>
  <c r="V26" i="55"/>
  <c r="BA26" i="55"/>
  <c r="DM26" i="55" s="1"/>
  <c r="E39" i="19"/>
  <c r="F39" i="14"/>
  <c r="F35" i="14" s="1"/>
  <c r="F37" i="14" s="1"/>
  <c r="F47" i="14"/>
  <c r="F215" i="14"/>
  <c r="G47" i="12"/>
  <c r="G45" i="14"/>
  <c r="G46" i="14"/>
  <c r="Q58" i="14"/>
  <c r="Q59" i="14" s="1"/>
  <c r="G36" i="14"/>
  <c r="I49" i="12"/>
  <c r="I45" i="12" s="1"/>
  <c r="H46" i="12"/>
  <c r="J41" i="12"/>
  <c r="J43" i="12" s="1"/>
  <c r="E39" i="12"/>
  <c r="K40" i="12"/>
  <c r="K42" i="12" s="1"/>
  <c r="D39" i="20"/>
  <c r="F36" i="12"/>
  <c r="E35" i="14"/>
  <c r="G22" i="14"/>
  <c r="G21" i="14"/>
  <c r="I31" i="14"/>
  <c r="I30" i="14"/>
  <c r="I27" i="14"/>
  <c r="I28" i="14"/>
  <c r="G33" i="14"/>
  <c r="R218" i="14"/>
  <c r="R61" i="14"/>
  <c r="R57" i="14" s="1"/>
  <c r="R56" i="14"/>
  <c r="R60" i="14"/>
  <c r="H29" i="14"/>
  <c r="H216" i="14"/>
  <c r="H48" i="14"/>
  <c r="H44" i="14"/>
  <c r="H49" i="14"/>
  <c r="H34" i="14"/>
  <c r="H38" i="14"/>
  <c r="H32" i="14"/>
  <c r="F217" i="14"/>
  <c r="F25" i="14"/>
  <c r="F20" i="14"/>
  <c r="F24" i="14"/>
  <c r="E22" i="12"/>
  <c r="E21" i="12"/>
  <c r="E215" i="12"/>
  <c r="F33" i="12"/>
  <c r="P59" i="12"/>
  <c r="Q60" i="12"/>
  <c r="Q58" i="12" s="1"/>
  <c r="Q56" i="12"/>
  <c r="Q61" i="12"/>
  <c r="Q57" i="12" s="1"/>
  <c r="E92" i="12"/>
  <c r="I48" i="12"/>
  <c r="I44" i="12"/>
  <c r="G38" i="12"/>
  <c r="G34" i="12"/>
  <c r="F24" i="12"/>
  <c r="F20" i="12"/>
  <c r="P131" i="15"/>
  <c r="G29" i="12"/>
  <c r="G32" i="12"/>
  <c r="H31" i="12"/>
  <c r="I26" i="12"/>
  <c r="H30" i="12"/>
  <c r="H28" i="12"/>
  <c r="H27" i="12"/>
  <c r="R54" i="15"/>
  <c r="F217" i="12"/>
  <c r="F102" i="12"/>
  <c r="S34" i="16"/>
  <c r="S33" i="16"/>
  <c r="Q43" i="15"/>
  <c r="I122" i="12"/>
  <c r="I216" i="12"/>
  <c r="S33" i="15"/>
  <c r="S34" i="15"/>
  <c r="Q42" i="19"/>
  <c r="Q112" i="12"/>
  <c r="Q218" i="12"/>
  <c r="P43" i="29"/>
  <c r="P43" i="28"/>
  <c r="P75" i="16"/>
  <c r="Q60" i="16"/>
  <c r="R35" i="16"/>
  <c r="R128" i="16" s="1"/>
  <c r="R40" i="15"/>
  <c r="R122" i="15" s="1"/>
  <c r="R132" i="15" s="1"/>
  <c r="R40" i="16"/>
  <c r="R122" i="16" s="1"/>
  <c r="R132" i="16" s="1"/>
  <c r="J14" i="14"/>
  <c r="J15" i="14" s="1"/>
  <c r="J16" i="14" s="1"/>
  <c r="Q60" i="15"/>
  <c r="S53" i="14"/>
  <c r="S55" i="14" s="1"/>
  <c r="S112" i="14" s="1"/>
  <c r="R35" i="15"/>
  <c r="R128" i="15" s="1"/>
  <c r="H19" i="14"/>
  <c r="H102" i="14" s="1"/>
  <c r="G41" i="19"/>
  <c r="O76" i="16"/>
  <c r="J27" i="14"/>
  <c r="J30" i="14"/>
  <c r="J31" i="14"/>
  <c r="K26" i="14"/>
  <c r="J28" i="14"/>
  <c r="T51" i="14"/>
  <c r="T52" i="14"/>
  <c r="T54" i="14"/>
  <c r="U50" i="14"/>
  <c r="S74" i="15"/>
  <c r="T32" i="15"/>
  <c r="R54" i="16"/>
  <c r="Q41" i="29"/>
  <c r="J13" i="12"/>
  <c r="J83" i="12" s="1"/>
  <c r="J119" i="59" s="1"/>
  <c r="N76" i="16"/>
  <c r="K40" i="14"/>
  <c r="K42" i="14" s="1"/>
  <c r="J41" i="14"/>
  <c r="L12" i="14"/>
  <c r="K13" i="14"/>
  <c r="K83" i="14" s="1"/>
  <c r="S74" i="16"/>
  <c r="P47" i="16"/>
  <c r="O40" i="29"/>
  <c r="Q43" i="16"/>
  <c r="P39" i="29"/>
  <c r="I15" i="14"/>
  <c r="I16" i="14" s="1"/>
  <c r="E40" i="19"/>
  <c r="I43" i="14"/>
  <c r="I122" i="14" s="1"/>
  <c r="T7" i="15"/>
  <c r="T41" i="15" s="1"/>
  <c r="CF33" i="58" s="1"/>
  <c r="T32" i="58" s="1"/>
  <c r="AZ32" i="58" s="1"/>
  <c r="CF32" i="58" s="1"/>
  <c r="Q41" i="28"/>
  <c r="P39" i="28"/>
  <c r="T32" i="16"/>
  <c r="P42" i="20"/>
  <c r="H41" i="20"/>
  <c r="E40" i="20"/>
  <c r="G19" i="12"/>
  <c r="G25" i="12" s="1"/>
  <c r="I83" i="12"/>
  <c r="I119" i="59" s="1"/>
  <c r="I14" i="12"/>
  <c r="H15" i="12"/>
  <c r="H16" i="12" s="1"/>
  <c r="H17" i="12" s="1"/>
  <c r="K12" i="12"/>
  <c r="S25" i="16"/>
  <c r="S124" i="16" s="1"/>
  <c r="R21" i="16"/>
  <c r="R123" i="16" s="1"/>
  <c r="T50" i="12"/>
  <c r="S51" i="12"/>
  <c r="S54" i="12"/>
  <c r="S52" i="12"/>
  <c r="R53" i="12"/>
  <c r="R55" i="12" s="1"/>
  <c r="S20" i="16"/>
  <c r="S17" i="16"/>
  <c r="R21" i="15"/>
  <c r="R123" i="15" s="1"/>
  <c r="S20" i="15"/>
  <c r="S17" i="15"/>
  <c r="S8" i="15"/>
  <c r="S9" i="15" s="1"/>
  <c r="S10" i="15" s="1"/>
  <c r="S11" i="15" s="1"/>
  <c r="S25" i="15"/>
  <c r="S124" i="15" s="1"/>
  <c r="P13" i="15"/>
  <c r="P125" i="15" s="1"/>
  <c r="P129" i="15" s="1"/>
  <c r="R9" i="15"/>
  <c r="Q10" i="15"/>
  <c r="Q11" i="15" s="1"/>
  <c r="Q39" i="15" s="1"/>
  <c r="Q121" i="15" s="1"/>
  <c r="Q10" i="16"/>
  <c r="Q11" i="16" s="1"/>
  <c r="Q39" i="16" s="1"/>
  <c r="Q121" i="16" s="1"/>
  <c r="R10" i="16"/>
  <c r="R11" i="16" s="1"/>
  <c r="R39" i="16" s="1"/>
  <c r="R121" i="16" s="1"/>
  <c r="U14" i="15"/>
  <c r="T19" i="15"/>
  <c r="T16" i="15"/>
  <c r="T18" i="15"/>
  <c r="T15" i="15"/>
  <c r="T23" i="16"/>
  <c r="U22" i="16"/>
  <c r="U24" i="16" s="1"/>
  <c r="U6" i="16"/>
  <c r="T7" i="16"/>
  <c r="T41" i="16" s="1"/>
  <c r="U22" i="15"/>
  <c r="U24" i="15" s="1"/>
  <c r="T23" i="15"/>
  <c r="T18" i="16"/>
  <c r="T15" i="16"/>
  <c r="T19" i="16"/>
  <c r="T16" i="16"/>
  <c r="U14" i="16"/>
  <c r="S8" i="16"/>
  <c r="U6" i="15"/>
  <c r="W26" i="55" l="1"/>
  <c r="BB26" i="55"/>
  <c r="DN26" i="55" s="1"/>
  <c r="CG27" i="55"/>
  <c r="BA27" i="55"/>
  <c r="DM27" i="55" s="1"/>
  <c r="V27" i="55"/>
  <c r="G47" i="14"/>
  <c r="G215" i="14"/>
  <c r="G92" i="14"/>
  <c r="H45" i="14"/>
  <c r="H46" i="14"/>
  <c r="H33" i="14"/>
  <c r="R58" i="14"/>
  <c r="R59" i="14" s="1"/>
  <c r="G23" i="14"/>
  <c r="H36" i="14"/>
  <c r="J49" i="12"/>
  <c r="J45" i="12" s="1"/>
  <c r="I46" i="12"/>
  <c r="H47" i="12"/>
  <c r="G39" i="14"/>
  <c r="G36" i="12"/>
  <c r="K41" i="12"/>
  <c r="K43" i="12" s="1"/>
  <c r="F39" i="12"/>
  <c r="E35" i="12"/>
  <c r="L40" i="12"/>
  <c r="L42" i="12" s="1"/>
  <c r="I34" i="14"/>
  <c r="I38" i="14"/>
  <c r="F21" i="14"/>
  <c r="F22" i="14"/>
  <c r="I32" i="14"/>
  <c r="E37" i="14"/>
  <c r="I29" i="14"/>
  <c r="F39" i="19"/>
  <c r="S218" i="14"/>
  <c r="S61" i="14"/>
  <c r="S57" i="14" s="1"/>
  <c r="S60" i="14"/>
  <c r="S56" i="14"/>
  <c r="J34" i="14"/>
  <c r="I216" i="14"/>
  <c r="I48" i="14"/>
  <c r="I44" i="14"/>
  <c r="I49" i="14"/>
  <c r="J38" i="14"/>
  <c r="H217" i="14"/>
  <c r="H24" i="14"/>
  <c r="H20" i="14"/>
  <c r="H25" i="14"/>
  <c r="E23" i="12"/>
  <c r="F215" i="12"/>
  <c r="F92" i="12"/>
  <c r="F21" i="12"/>
  <c r="E39" i="20"/>
  <c r="F22" i="12"/>
  <c r="Q59" i="12"/>
  <c r="R60" i="12"/>
  <c r="R58" i="12" s="1"/>
  <c r="R56" i="12"/>
  <c r="R61" i="12"/>
  <c r="R57" i="12" s="1"/>
  <c r="J48" i="12"/>
  <c r="J44" i="12"/>
  <c r="H34" i="12"/>
  <c r="H38" i="12"/>
  <c r="G20" i="12"/>
  <c r="G24" i="12"/>
  <c r="G33" i="12"/>
  <c r="Q131" i="15"/>
  <c r="H29" i="12"/>
  <c r="R131" i="16"/>
  <c r="Q131" i="16"/>
  <c r="H32" i="12"/>
  <c r="J26" i="12"/>
  <c r="I31" i="12"/>
  <c r="I28" i="12"/>
  <c r="I27" i="12"/>
  <c r="I30" i="12"/>
  <c r="T34" i="15"/>
  <c r="T33" i="15"/>
  <c r="G217" i="12"/>
  <c r="G102" i="12"/>
  <c r="R43" i="15"/>
  <c r="J122" i="12"/>
  <c r="J216" i="12"/>
  <c r="S54" i="15"/>
  <c r="T34" i="16"/>
  <c r="T33" i="16"/>
  <c r="R112" i="12"/>
  <c r="R218" i="12"/>
  <c r="Q42" i="16"/>
  <c r="Q43" i="29"/>
  <c r="Q43" i="28"/>
  <c r="R60" i="16"/>
  <c r="S40" i="16"/>
  <c r="S122" i="16" s="1"/>
  <c r="S132" i="16" s="1"/>
  <c r="S35" i="15"/>
  <c r="S128" i="15" s="1"/>
  <c r="J43" i="14"/>
  <c r="J122" i="14" s="1"/>
  <c r="R60" i="15"/>
  <c r="R42" i="19"/>
  <c r="R42" i="16"/>
  <c r="S35" i="16"/>
  <c r="S128" i="16" s="1"/>
  <c r="S40" i="15"/>
  <c r="S122" i="15" s="1"/>
  <c r="S132" i="15" s="1"/>
  <c r="T53" i="14"/>
  <c r="T55" i="14" s="1"/>
  <c r="T112" i="14" s="1"/>
  <c r="J32" i="14"/>
  <c r="R43" i="16"/>
  <c r="Q39" i="29"/>
  <c r="L13" i="14"/>
  <c r="L83" i="14" s="1"/>
  <c r="M12" i="14"/>
  <c r="P76" i="16"/>
  <c r="S54" i="16"/>
  <c r="R41" i="29"/>
  <c r="L40" i="14"/>
  <c r="L42" i="14" s="1"/>
  <c r="K41" i="14"/>
  <c r="U54" i="14"/>
  <c r="U51" i="14"/>
  <c r="U52" i="14"/>
  <c r="V50" i="14"/>
  <c r="J29" i="14"/>
  <c r="U32" i="15"/>
  <c r="S39" i="15"/>
  <c r="S121" i="15" s="1"/>
  <c r="H41" i="19"/>
  <c r="K14" i="14"/>
  <c r="T74" i="15"/>
  <c r="K28" i="14"/>
  <c r="K31" i="14"/>
  <c r="K27" i="14"/>
  <c r="K30" i="14"/>
  <c r="L26" i="14"/>
  <c r="G40" i="19"/>
  <c r="K13" i="12"/>
  <c r="K83" i="12" s="1"/>
  <c r="K119" i="59" s="1"/>
  <c r="I17" i="14"/>
  <c r="T74" i="16"/>
  <c r="J17" i="14"/>
  <c r="P47" i="15"/>
  <c r="U7" i="15"/>
  <c r="U41" i="15" s="1"/>
  <c r="CG33" i="58" s="1"/>
  <c r="U32" i="58" s="1"/>
  <c r="BA32" i="58" s="1"/>
  <c r="CG32" i="58" s="1"/>
  <c r="P42" i="15"/>
  <c r="O40" i="28"/>
  <c r="R41" i="28"/>
  <c r="Q39" i="28"/>
  <c r="U32" i="16"/>
  <c r="Q42" i="20"/>
  <c r="I41" i="20"/>
  <c r="F40" i="20"/>
  <c r="H19" i="12"/>
  <c r="H25" i="12" s="1"/>
  <c r="I15" i="12"/>
  <c r="I16" i="12" s="1"/>
  <c r="I17" i="12" s="1"/>
  <c r="L12" i="12"/>
  <c r="J14" i="12"/>
  <c r="T20" i="16"/>
  <c r="S53" i="12"/>
  <c r="S55" i="12" s="1"/>
  <c r="U50" i="12"/>
  <c r="T51" i="12"/>
  <c r="T54" i="12"/>
  <c r="T52" i="12"/>
  <c r="T25" i="15"/>
  <c r="T124" i="15" s="1"/>
  <c r="S21" i="15"/>
  <c r="S123" i="15" s="1"/>
  <c r="S21" i="16"/>
  <c r="S123" i="16" s="1"/>
  <c r="T17" i="15"/>
  <c r="T8" i="15"/>
  <c r="T9" i="15" s="1"/>
  <c r="T10" i="15" s="1"/>
  <c r="T11" i="15" s="1"/>
  <c r="T17" i="16"/>
  <c r="T25" i="16"/>
  <c r="T124" i="16" s="1"/>
  <c r="T8" i="16"/>
  <c r="T9" i="16" s="1"/>
  <c r="R13" i="16"/>
  <c r="R125" i="16" s="1"/>
  <c r="R129" i="16" s="1"/>
  <c r="S13" i="15"/>
  <c r="S125" i="15" s="1"/>
  <c r="U23" i="16"/>
  <c r="V22" i="16"/>
  <c r="V24" i="16" s="1"/>
  <c r="Q13" i="16"/>
  <c r="Q125" i="16" s="1"/>
  <c r="Q129" i="16" s="1"/>
  <c r="U18" i="16"/>
  <c r="U15" i="16"/>
  <c r="U16" i="16"/>
  <c r="U19" i="16"/>
  <c r="V14" i="16"/>
  <c r="V22" i="15"/>
  <c r="V24" i="15" s="1"/>
  <c r="U23" i="15"/>
  <c r="V14" i="15"/>
  <c r="U18" i="15"/>
  <c r="U15" i="15"/>
  <c r="U16" i="15"/>
  <c r="U19" i="15"/>
  <c r="V6" i="15"/>
  <c r="T20" i="15"/>
  <c r="Q13" i="15"/>
  <c r="Q125" i="15" s="1"/>
  <c r="Q129" i="15" s="1"/>
  <c r="R10" i="15"/>
  <c r="R11" i="15" s="1"/>
  <c r="R39" i="15" s="1"/>
  <c r="R121" i="15" s="1"/>
  <c r="S9" i="16"/>
  <c r="U7" i="16"/>
  <c r="U41" i="16" s="1"/>
  <c r="V6" i="16"/>
  <c r="X26" i="55" l="1"/>
  <c r="BC26" i="55"/>
  <c r="DO26" i="55" s="1"/>
  <c r="CH27" i="55"/>
  <c r="W27" i="55"/>
  <c r="BB27" i="55"/>
  <c r="DN27" i="55" s="1"/>
  <c r="H47" i="14"/>
  <c r="H39" i="14"/>
  <c r="H35" i="14" s="1"/>
  <c r="H37" i="14" s="1"/>
  <c r="H92" i="14"/>
  <c r="I47" i="12"/>
  <c r="I45" i="14"/>
  <c r="G39" i="19"/>
  <c r="H215" i="14"/>
  <c r="I46" i="14"/>
  <c r="I33" i="14"/>
  <c r="I92" i="14" s="1"/>
  <c r="S58" i="14"/>
  <c r="S59" i="14" s="1"/>
  <c r="G35" i="14"/>
  <c r="G37" i="14" s="1"/>
  <c r="J36" i="14"/>
  <c r="I36" i="14"/>
  <c r="H36" i="12"/>
  <c r="F35" i="12"/>
  <c r="F37" i="12" s="1"/>
  <c r="J46" i="12"/>
  <c r="J47" i="12" s="1"/>
  <c r="K49" i="12"/>
  <c r="K45" i="12" s="1"/>
  <c r="L41" i="12"/>
  <c r="L43" i="12" s="1"/>
  <c r="M40" i="12"/>
  <c r="M42" i="12" s="1"/>
  <c r="E37" i="12"/>
  <c r="G39" i="12"/>
  <c r="H21" i="14"/>
  <c r="F23" i="14"/>
  <c r="H22" i="14"/>
  <c r="K34" i="14"/>
  <c r="T218" i="14"/>
  <c r="T60" i="14"/>
  <c r="T56" i="14"/>
  <c r="T61" i="14"/>
  <c r="T57" i="14" s="1"/>
  <c r="K38" i="14"/>
  <c r="J216" i="14"/>
  <c r="J49" i="14"/>
  <c r="J48" i="14"/>
  <c r="J44" i="14"/>
  <c r="F23" i="12"/>
  <c r="G22" i="12"/>
  <c r="G21" i="12"/>
  <c r="R59" i="12"/>
  <c r="S61" i="12"/>
  <c r="S57" i="12" s="1"/>
  <c r="S60" i="12"/>
  <c r="S58" i="12" s="1"/>
  <c r="S56" i="12"/>
  <c r="K44" i="12"/>
  <c r="K48" i="12"/>
  <c r="I34" i="12"/>
  <c r="H20" i="12"/>
  <c r="H24" i="12"/>
  <c r="I38" i="12"/>
  <c r="G215" i="12"/>
  <c r="G92" i="12"/>
  <c r="F39" i="20"/>
  <c r="R131" i="15"/>
  <c r="S129" i="15"/>
  <c r="S131" i="15"/>
  <c r="H33" i="12"/>
  <c r="I32" i="12"/>
  <c r="J30" i="12"/>
  <c r="J27" i="12"/>
  <c r="J31" i="12"/>
  <c r="K26" i="12"/>
  <c r="J28" i="12"/>
  <c r="I29" i="12"/>
  <c r="U74" i="15"/>
  <c r="U34" i="15"/>
  <c r="U33" i="15"/>
  <c r="S112" i="12"/>
  <c r="S218" i="12"/>
  <c r="H102" i="12"/>
  <c r="H217" i="12"/>
  <c r="S42" i="19"/>
  <c r="T54" i="15"/>
  <c r="K122" i="12"/>
  <c r="K216" i="12"/>
  <c r="S47" i="15"/>
  <c r="S43" i="15"/>
  <c r="U74" i="16"/>
  <c r="U33" i="16"/>
  <c r="U34" i="16"/>
  <c r="R43" i="29"/>
  <c r="S60" i="15"/>
  <c r="T40" i="16"/>
  <c r="T122" i="16" s="1"/>
  <c r="T132" i="16" s="1"/>
  <c r="T40" i="15"/>
  <c r="T122" i="15" s="1"/>
  <c r="T132" i="15" s="1"/>
  <c r="I41" i="19"/>
  <c r="R75" i="16"/>
  <c r="R43" i="28"/>
  <c r="T39" i="15"/>
  <c r="T121" i="15" s="1"/>
  <c r="S60" i="16"/>
  <c r="U53" i="14"/>
  <c r="U55" i="14" s="1"/>
  <c r="U112" i="14" s="1"/>
  <c r="J33" i="14"/>
  <c r="J92" i="14" s="1"/>
  <c r="T35" i="16"/>
  <c r="T128" i="16" s="1"/>
  <c r="T21" i="16"/>
  <c r="T123" i="16" s="1"/>
  <c r="K29" i="14"/>
  <c r="Q47" i="16"/>
  <c r="P40" i="29"/>
  <c r="T54" i="16"/>
  <c r="S41" i="29"/>
  <c r="S43" i="16"/>
  <c r="R39" i="29"/>
  <c r="I19" i="14"/>
  <c r="I102" i="14" s="1"/>
  <c r="K15" i="14"/>
  <c r="K16" i="14" s="1"/>
  <c r="V32" i="15"/>
  <c r="L31" i="14"/>
  <c r="L28" i="14"/>
  <c r="L27" i="14"/>
  <c r="M26" i="14"/>
  <c r="L30" i="14"/>
  <c r="V52" i="14"/>
  <c r="W50" i="14"/>
  <c r="V54" i="14"/>
  <c r="V51" i="14"/>
  <c r="K43" i="14"/>
  <c r="K122" i="14" s="1"/>
  <c r="Q75" i="16"/>
  <c r="R47" i="16"/>
  <c r="Q40" i="29"/>
  <c r="J19" i="14"/>
  <c r="J102" i="14" s="1"/>
  <c r="K32" i="14"/>
  <c r="T35" i="15"/>
  <c r="T128" i="15" s="1"/>
  <c r="L41" i="14"/>
  <c r="M40" i="14"/>
  <c r="M42" i="14" s="1"/>
  <c r="L14" i="14"/>
  <c r="V32" i="16"/>
  <c r="L13" i="12"/>
  <c r="L83" i="12" s="1"/>
  <c r="L119" i="59" s="1"/>
  <c r="M13" i="14"/>
  <c r="M83" i="14" s="1"/>
  <c r="N12" i="14"/>
  <c r="Q47" i="15"/>
  <c r="P75" i="15"/>
  <c r="P76" i="15"/>
  <c r="P40" i="28"/>
  <c r="S41" i="28"/>
  <c r="R39" i="28"/>
  <c r="V7" i="15"/>
  <c r="V41" i="15" s="1"/>
  <c r="CH33" i="58" s="1"/>
  <c r="V32" i="58" s="1"/>
  <c r="BB32" i="58" s="1"/>
  <c r="CH32" i="58" s="1"/>
  <c r="Q42" i="15"/>
  <c r="R40" i="28"/>
  <c r="S42" i="15"/>
  <c r="R42" i="20"/>
  <c r="J41" i="20"/>
  <c r="G40" i="20"/>
  <c r="I19" i="12"/>
  <c r="I25" i="12" s="1"/>
  <c r="K14" i="12"/>
  <c r="K15" i="12" s="1"/>
  <c r="K16" i="12" s="1"/>
  <c r="K17" i="12" s="1"/>
  <c r="J15" i="12"/>
  <c r="J16" i="12" s="1"/>
  <c r="J17" i="12" s="1"/>
  <c r="M12" i="12"/>
  <c r="U20" i="16"/>
  <c r="U25" i="15"/>
  <c r="U124" i="15" s="1"/>
  <c r="T53" i="12"/>
  <c r="T55" i="12" s="1"/>
  <c r="V50" i="12"/>
  <c r="U52" i="12"/>
  <c r="U54" i="12"/>
  <c r="U51" i="12"/>
  <c r="U20" i="15"/>
  <c r="T13" i="15"/>
  <c r="T125" i="15" s="1"/>
  <c r="U8" i="16"/>
  <c r="U9" i="16" s="1"/>
  <c r="U25" i="16"/>
  <c r="U124" i="16" s="1"/>
  <c r="V7" i="16"/>
  <c r="V41" i="16" s="1"/>
  <c r="W6" i="16"/>
  <c r="S10" i="16"/>
  <c r="S11" i="16" s="1"/>
  <c r="S39" i="16" s="1"/>
  <c r="S121" i="16" s="1"/>
  <c r="W6" i="15"/>
  <c r="T10" i="16"/>
  <c r="T11" i="16" s="1"/>
  <c r="T39" i="16" s="1"/>
  <c r="T121" i="16" s="1"/>
  <c r="W22" i="15"/>
  <c r="W24" i="15" s="1"/>
  <c r="V23" i="15"/>
  <c r="V23" i="16"/>
  <c r="W22" i="16"/>
  <c r="W24" i="16" s="1"/>
  <c r="R13" i="15"/>
  <c r="R125" i="15" s="1"/>
  <c r="R129" i="15" s="1"/>
  <c r="T21" i="15"/>
  <c r="T123" i="15" s="1"/>
  <c r="U17" i="15"/>
  <c r="U17" i="16"/>
  <c r="V19" i="16"/>
  <c r="V16" i="16"/>
  <c r="V15" i="16"/>
  <c r="V18" i="16"/>
  <c r="W14" i="16"/>
  <c r="U8" i="15"/>
  <c r="W14" i="15"/>
  <c r="V18" i="15"/>
  <c r="V19" i="15"/>
  <c r="V15" i="15"/>
  <c r="V16" i="15"/>
  <c r="Y26" i="55" l="1"/>
  <c r="BD26" i="55"/>
  <c r="DP26" i="55" s="1"/>
  <c r="CI27" i="55"/>
  <c r="X27" i="55"/>
  <c r="BC27" i="55"/>
  <c r="DO27" i="55" s="1"/>
  <c r="I47" i="14"/>
  <c r="N40" i="12"/>
  <c r="N42" i="12" s="1"/>
  <c r="J45" i="14"/>
  <c r="I215" i="14"/>
  <c r="I39" i="14"/>
  <c r="I35" i="14" s="1"/>
  <c r="I37" i="14" s="1"/>
  <c r="H39" i="19"/>
  <c r="J46" i="14"/>
  <c r="T58" i="14"/>
  <c r="T59" i="14" s="1"/>
  <c r="K36" i="14"/>
  <c r="H23" i="14"/>
  <c r="G23" i="12"/>
  <c r="M41" i="12"/>
  <c r="M43" i="12" s="1"/>
  <c r="K46" i="12"/>
  <c r="L49" i="12"/>
  <c r="L45" i="12" s="1"/>
  <c r="G35" i="12"/>
  <c r="H39" i="12"/>
  <c r="I36" i="12"/>
  <c r="U218" i="14"/>
  <c r="U60" i="14"/>
  <c r="U56" i="14"/>
  <c r="U61" i="14"/>
  <c r="U57" i="14" s="1"/>
  <c r="L38" i="14"/>
  <c r="K216" i="14"/>
  <c r="K48" i="14"/>
  <c r="K44" i="14"/>
  <c r="K49" i="14"/>
  <c r="L34" i="14"/>
  <c r="J215" i="14"/>
  <c r="J39" i="14"/>
  <c r="I217" i="14"/>
  <c r="I24" i="14"/>
  <c r="I20" i="14"/>
  <c r="I25" i="14"/>
  <c r="J217" i="14"/>
  <c r="J25" i="14"/>
  <c r="J24" i="14"/>
  <c r="J20" i="14"/>
  <c r="H22" i="12"/>
  <c r="H21" i="12"/>
  <c r="S59" i="12"/>
  <c r="T56" i="12"/>
  <c r="T61" i="12"/>
  <c r="T57" i="12" s="1"/>
  <c r="T60" i="12"/>
  <c r="T58" i="12" s="1"/>
  <c r="L44" i="12"/>
  <c r="L48" i="12"/>
  <c r="J34" i="12"/>
  <c r="I24" i="12"/>
  <c r="I20" i="12"/>
  <c r="J38" i="12"/>
  <c r="H215" i="12"/>
  <c r="H92" i="12"/>
  <c r="G39" i="20"/>
  <c r="L32" i="14"/>
  <c r="T131" i="15"/>
  <c r="T129" i="15"/>
  <c r="I33" i="12"/>
  <c r="J29" i="12"/>
  <c r="S131" i="16"/>
  <c r="T131" i="16"/>
  <c r="J32" i="12"/>
  <c r="K27" i="12"/>
  <c r="K31" i="12"/>
  <c r="K28" i="12"/>
  <c r="K30" i="12"/>
  <c r="L26" i="12"/>
  <c r="U54" i="15"/>
  <c r="V33" i="15"/>
  <c r="V34" i="15"/>
  <c r="T47" i="15"/>
  <c r="L122" i="12"/>
  <c r="L216" i="12"/>
  <c r="I102" i="12"/>
  <c r="I217" i="12"/>
  <c r="T43" i="15"/>
  <c r="T112" i="12"/>
  <c r="T218" i="12"/>
  <c r="V74" i="16"/>
  <c r="V33" i="16"/>
  <c r="V34" i="16"/>
  <c r="S39" i="29"/>
  <c r="S42" i="16"/>
  <c r="S43" i="29"/>
  <c r="T42" i="16"/>
  <c r="T60" i="16"/>
  <c r="U40" i="16"/>
  <c r="U122" i="16" s="1"/>
  <c r="U132" i="16" s="1"/>
  <c r="K33" i="14"/>
  <c r="K92" i="14" s="1"/>
  <c r="I39" i="19"/>
  <c r="R76" i="16"/>
  <c r="L43" i="14"/>
  <c r="L122" i="14" s="1"/>
  <c r="L29" i="14"/>
  <c r="T43" i="16"/>
  <c r="U35" i="16"/>
  <c r="U128" i="16" s="1"/>
  <c r="U35" i="15"/>
  <c r="U128" i="15" s="1"/>
  <c r="U40" i="15"/>
  <c r="U122" i="15" s="1"/>
  <c r="U132" i="15" s="1"/>
  <c r="O12" i="14"/>
  <c r="N13" i="14"/>
  <c r="N83" i="14" s="1"/>
  <c r="BZ28" i="58" s="1"/>
  <c r="M41" i="14"/>
  <c r="N40" i="14"/>
  <c r="N42" i="14" s="1"/>
  <c r="J41" i="19"/>
  <c r="W51" i="14"/>
  <c r="W52" i="14"/>
  <c r="X50" i="14"/>
  <c r="W54" i="14"/>
  <c r="M31" i="14"/>
  <c r="M28" i="14"/>
  <c r="M27" i="14"/>
  <c r="M30" i="14"/>
  <c r="N26" i="14"/>
  <c r="T42" i="19"/>
  <c r="W32" i="15"/>
  <c r="L15" i="14"/>
  <c r="L16" i="14" s="1"/>
  <c r="I40" i="19"/>
  <c r="V53" i="14"/>
  <c r="V55" i="14" s="1"/>
  <c r="V112" i="14" s="1"/>
  <c r="H40" i="19"/>
  <c r="U54" i="16"/>
  <c r="T41" i="29"/>
  <c r="M13" i="12"/>
  <c r="M83" i="12" s="1"/>
  <c r="M119" i="59" s="1"/>
  <c r="M14" i="14"/>
  <c r="T60" i="15"/>
  <c r="S43" i="28"/>
  <c r="V74" i="15"/>
  <c r="K17" i="14"/>
  <c r="Q76" i="16"/>
  <c r="R47" i="15"/>
  <c r="Q75" i="15"/>
  <c r="Q76" i="15"/>
  <c r="S75" i="15"/>
  <c r="S76" i="15"/>
  <c r="R42" i="15"/>
  <c r="S39" i="28"/>
  <c r="Q40" i="28"/>
  <c r="S40" i="28"/>
  <c r="W7" i="15"/>
  <c r="W41" i="15" s="1"/>
  <c r="CI33" i="58" s="1"/>
  <c r="W32" i="58" s="1"/>
  <c r="BC32" i="58" s="1"/>
  <c r="CI32" i="58" s="1"/>
  <c r="T41" i="28"/>
  <c r="W32" i="16"/>
  <c r="S42" i="20"/>
  <c r="K41" i="20"/>
  <c r="H40" i="20"/>
  <c r="L14" i="12"/>
  <c r="L15" i="12" s="1"/>
  <c r="L16" i="12" s="1"/>
  <c r="L17" i="12" s="1"/>
  <c r="J19" i="12"/>
  <c r="J25" i="12" s="1"/>
  <c r="K19" i="12"/>
  <c r="K25" i="12" s="1"/>
  <c r="N12" i="12"/>
  <c r="U21" i="16"/>
  <c r="U123" i="16" s="1"/>
  <c r="U53" i="12"/>
  <c r="U55" i="12" s="1"/>
  <c r="U21" i="15"/>
  <c r="U123" i="15" s="1"/>
  <c r="V8" i="15"/>
  <c r="V9" i="15" s="1"/>
  <c r="V8" i="16"/>
  <c r="V9" i="16" s="1"/>
  <c r="T42" i="15"/>
  <c r="W50" i="12"/>
  <c r="V52" i="12"/>
  <c r="V51" i="12"/>
  <c r="V54" i="12"/>
  <c r="V25" i="15"/>
  <c r="V124" i="15" s="1"/>
  <c r="V25" i="16"/>
  <c r="V124" i="16" s="1"/>
  <c r="V17" i="16"/>
  <c r="S13" i="16"/>
  <c r="S125" i="16" s="1"/>
  <c r="S129" i="16" s="1"/>
  <c r="X14" i="15"/>
  <c r="W19" i="15"/>
  <c r="W16" i="15"/>
  <c r="W18" i="15"/>
  <c r="W15" i="15"/>
  <c r="W23" i="16"/>
  <c r="X22" i="16"/>
  <c r="X24" i="16" s="1"/>
  <c r="V17" i="15"/>
  <c r="U9" i="15"/>
  <c r="U10" i="15" s="1"/>
  <c r="U11" i="15" s="1"/>
  <c r="U39" i="15" s="1"/>
  <c r="U121" i="15" s="1"/>
  <c r="X6" i="15"/>
  <c r="W19" i="16"/>
  <c r="W16" i="16"/>
  <c r="W18" i="16"/>
  <c r="W15" i="16"/>
  <c r="X14" i="16"/>
  <c r="U10" i="16"/>
  <c r="U11" i="16" s="1"/>
  <c r="U39" i="16" s="1"/>
  <c r="U121" i="16" s="1"/>
  <c r="T13" i="16"/>
  <c r="T125" i="16" s="1"/>
  <c r="T129" i="16" s="1"/>
  <c r="W7" i="16"/>
  <c r="W41" i="16" s="1"/>
  <c r="X6" i="16"/>
  <c r="X22" i="15"/>
  <c r="X24" i="15" s="1"/>
  <c r="W23" i="15"/>
  <c r="V20" i="15"/>
  <c r="V20" i="16"/>
  <c r="Z26" i="55" l="1"/>
  <c r="BE26" i="55"/>
  <c r="DQ26" i="55" s="1"/>
  <c r="N27" i="58"/>
  <c r="BZ10" i="58"/>
  <c r="BZ5" i="58"/>
  <c r="Y27" i="55"/>
  <c r="BD27" i="55"/>
  <c r="DP27" i="55" s="1"/>
  <c r="CJ27" i="55"/>
  <c r="N41" i="12"/>
  <c r="N43" i="12" s="1"/>
  <c r="O40" i="12"/>
  <c r="O42" i="12" s="1"/>
  <c r="J47" i="14"/>
  <c r="K45" i="14"/>
  <c r="K47" i="12"/>
  <c r="K46" i="14"/>
  <c r="U58" i="14"/>
  <c r="U59" i="14" s="1"/>
  <c r="L36" i="14"/>
  <c r="J35" i="14"/>
  <c r="J37" i="14" s="1"/>
  <c r="M49" i="12"/>
  <c r="M45" i="12" s="1"/>
  <c r="L46" i="12"/>
  <c r="H23" i="12"/>
  <c r="G37" i="12"/>
  <c r="I39" i="12"/>
  <c r="J36" i="12"/>
  <c r="H35" i="12"/>
  <c r="J21" i="14"/>
  <c r="I21" i="14"/>
  <c r="I22" i="14"/>
  <c r="J22" i="14"/>
  <c r="V218" i="14"/>
  <c r="V61" i="14"/>
  <c r="V57" i="14" s="1"/>
  <c r="V60" i="14"/>
  <c r="V56" i="14"/>
  <c r="L216" i="14"/>
  <c r="L48" i="14"/>
  <c r="L44" i="14"/>
  <c r="L49" i="14"/>
  <c r="M38" i="14"/>
  <c r="M34" i="14"/>
  <c r="K215" i="14"/>
  <c r="K39" i="14"/>
  <c r="I22" i="12"/>
  <c r="I21" i="12"/>
  <c r="T59" i="12"/>
  <c r="U60" i="12"/>
  <c r="U58" i="12" s="1"/>
  <c r="U56" i="12"/>
  <c r="U61" i="12"/>
  <c r="U57" i="12" s="1"/>
  <c r="M48" i="12"/>
  <c r="M44" i="12"/>
  <c r="K34" i="12"/>
  <c r="K38" i="12"/>
  <c r="K20" i="12"/>
  <c r="K24" i="12"/>
  <c r="J24" i="12"/>
  <c r="J20" i="12"/>
  <c r="L33" i="14"/>
  <c r="L92" i="14" s="1"/>
  <c r="I92" i="12"/>
  <c r="J33" i="12"/>
  <c r="U131" i="15"/>
  <c r="I215" i="12"/>
  <c r="J39" i="19"/>
  <c r="H39" i="20"/>
  <c r="U131" i="16"/>
  <c r="L28" i="12"/>
  <c r="L27" i="12"/>
  <c r="L30" i="12"/>
  <c r="M26" i="12"/>
  <c r="L31" i="12"/>
  <c r="K29" i="12"/>
  <c r="K32" i="12"/>
  <c r="T75" i="16"/>
  <c r="V54" i="15"/>
  <c r="S75" i="16"/>
  <c r="M122" i="12"/>
  <c r="M216" i="12"/>
  <c r="U43" i="15"/>
  <c r="U112" i="12"/>
  <c r="U218" i="12"/>
  <c r="K102" i="12"/>
  <c r="K217" i="12"/>
  <c r="J102" i="12"/>
  <c r="J217" i="12"/>
  <c r="W34" i="16"/>
  <c r="W33" i="16"/>
  <c r="W33" i="15"/>
  <c r="W34" i="15"/>
  <c r="T43" i="29"/>
  <c r="T43" i="28"/>
  <c r="V40" i="16"/>
  <c r="V122" i="16" s="1"/>
  <c r="V132" i="16" s="1"/>
  <c r="U60" i="16"/>
  <c r="U42" i="16"/>
  <c r="U60" i="15"/>
  <c r="V40" i="15"/>
  <c r="V122" i="15" s="1"/>
  <c r="V132" i="15" s="1"/>
  <c r="K41" i="19"/>
  <c r="V35" i="15"/>
  <c r="V128" i="15" s="1"/>
  <c r="M43" i="14"/>
  <c r="M122" i="14" s="1"/>
  <c r="N62" i="14"/>
  <c r="N64" i="14" s="1"/>
  <c r="N14" i="14"/>
  <c r="N15" i="14" s="1"/>
  <c r="M32" i="14"/>
  <c r="M29" i="14"/>
  <c r="V54" i="16"/>
  <c r="U41" i="29"/>
  <c r="M15" i="14"/>
  <c r="U42" i="19"/>
  <c r="X32" i="16"/>
  <c r="U43" i="16"/>
  <c r="T39" i="29"/>
  <c r="L17" i="14"/>
  <c r="W74" i="15"/>
  <c r="X54" i="14"/>
  <c r="X51" i="14"/>
  <c r="X52" i="14"/>
  <c r="Y50" i="14"/>
  <c r="S47" i="16"/>
  <c r="R40" i="29"/>
  <c r="V35" i="16"/>
  <c r="V128" i="16" s="1"/>
  <c r="W74" i="16"/>
  <c r="P12" i="14"/>
  <c r="O13" i="14"/>
  <c r="O83" i="14" s="1"/>
  <c r="CA28" i="58" s="1"/>
  <c r="T47" i="16"/>
  <c r="S40" i="29"/>
  <c r="X32" i="15"/>
  <c r="N13" i="12"/>
  <c r="N83" i="12" s="1"/>
  <c r="N119" i="59" s="1"/>
  <c r="K19" i="14"/>
  <c r="K102" i="14" s="1"/>
  <c r="N30" i="14"/>
  <c r="N28" i="14"/>
  <c r="N27" i="14"/>
  <c r="O26" i="14"/>
  <c r="N31" i="14"/>
  <c r="W53" i="14"/>
  <c r="W55" i="14" s="1"/>
  <c r="W112" i="14" s="1"/>
  <c r="N41" i="14"/>
  <c r="O40" i="14"/>
  <c r="O42" i="14" s="1"/>
  <c r="T75" i="15"/>
  <c r="T76" i="15"/>
  <c r="R75" i="15"/>
  <c r="R76" i="15"/>
  <c r="X7" i="15"/>
  <c r="X41" i="15" s="1"/>
  <c r="CJ33" i="58" s="1"/>
  <c r="X32" i="58" s="1"/>
  <c r="BD32" i="58" s="1"/>
  <c r="CJ32" i="58" s="1"/>
  <c r="U41" i="28"/>
  <c r="T39" i="28"/>
  <c r="T42" i="20"/>
  <c r="L41" i="20"/>
  <c r="I40" i="20"/>
  <c r="J40" i="20"/>
  <c r="L19" i="12"/>
  <c r="L25" i="12" s="1"/>
  <c r="M14" i="12"/>
  <c r="M15" i="12" s="1"/>
  <c r="M16" i="12" s="1"/>
  <c r="M17" i="12" s="1"/>
  <c r="O12" i="12"/>
  <c r="O13" i="12" s="1"/>
  <c r="V53" i="12"/>
  <c r="V55" i="12" s="1"/>
  <c r="V21" i="16"/>
  <c r="V123" i="16" s="1"/>
  <c r="X50" i="12"/>
  <c r="W54" i="12"/>
  <c r="W51" i="12"/>
  <c r="W52" i="12"/>
  <c r="W25" i="16"/>
  <c r="W124" i="16" s="1"/>
  <c r="W25" i="15"/>
  <c r="W124" i="15" s="1"/>
  <c r="W20" i="16"/>
  <c r="W17" i="15"/>
  <c r="V21" i="15"/>
  <c r="V123" i="15" s="1"/>
  <c r="U13" i="16"/>
  <c r="U125" i="16" s="1"/>
  <c r="U129" i="16" s="1"/>
  <c r="U13" i="15"/>
  <c r="U125" i="15" s="1"/>
  <c r="U129" i="15" s="1"/>
  <c r="Y22" i="15"/>
  <c r="Y24" i="15" s="1"/>
  <c r="X23" i="15"/>
  <c r="X23" i="16"/>
  <c r="Y22" i="16"/>
  <c r="Y24" i="16" s="1"/>
  <c r="Y6" i="15"/>
  <c r="X18" i="16"/>
  <c r="X15" i="16"/>
  <c r="X16" i="16"/>
  <c r="X19" i="16"/>
  <c r="Y14" i="16"/>
  <c r="W20" i="15"/>
  <c r="V10" i="16"/>
  <c r="V11" i="16" s="1"/>
  <c r="V39" i="16" s="1"/>
  <c r="V121" i="16" s="1"/>
  <c r="Y14" i="15"/>
  <c r="X19" i="15"/>
  <c r="X16" i="15"/>
  <c r="X15" i="15"/>
  <c r="X18" i="15"/>
  <c r="Y6" i="16"/>
  <c r="X7" i="16"/>
  <c r="X41" i="16" s="1"/>
  <c r="W8" i="16"/>
  <c r="W17" i="16"/>
  <c r="W8" i="15"/>
  <c r="V10" i="15"/>
  <c r="V11" i="15" s="1"/>
  <c r="V39" i="15" s="1"/>
  <c r="V121" i="15" s="1"/>
  <c r="O41" i="12"/>
  <c r="BE27" i="55" l="1"/>
  <c r="DQ27" i="55" s="1"/>
  <c r="CK27" i="55"/>
  <c r="Z27" i="55"/>
  <c r="AT27" i="58"/>
  <c r="N9" i="58"/>
  <c r="N4" i="59" s="1"/>
  <c r="N4" i="58"/>
  <c r="AT4" i="58" s="1"/>
  <c r="BZ4" i="58" s="1"/>
  <c r="O27" i="58"/>
  <c r="CA10" i="58"/>
  <c r="CA5" i="58"/>
  <c r="AA26" i="55"/>
  <c r="BF26" i="55"/>
  <c r="DR26" i="55" s="1"/>
  <c r="P40" i="12"/>
  <c r="P42" i="12" s="1"/>
  <c r="K47" i="14"/>
  <c r="L45" i="14"/>
  <c r="L46" i="14"/>
  <c r="V58" i="14"/>
  <c r="V59" i="14" s="1"/>
  <c r="K35" i="14"/>
  <c r="K37" i="14" s="1"/>
  <c r="M36" i="14"/>
  <c r="N49" i="12"/>
  <c r="N45" i="12" s="1"/>
  <c r="M46" i="12"/>
  <c r="L47" i="12"/>
  <c r="H37" i="12"/>
  <c r="I23" i="12"/>
  <c r="J39" i="12"/>
  <c r="K36" i="12"/>
  <c r="U59" i="12"/>
  <c r="I35" i="12"/>
  <c r="J23" i="14"/>
  <c r="I23" i="14"/>
  <c r="W218" i="14"/>
  <c r="W61" i="14"/>
  <c r="W57" i="14" s="1"/>
  <c r="W60" i="14"/>
  <c r="W56" i="14"/>
  <c r="M216" i="14"/>
  <c r="M48" i="14"/>
  <c r="M44" i="14"/>
  <c r="M49" i="14"/>
  <c r="N34" i="14"/>
  <c r="L215" i="14"/>
  <c r="L39" i="14"/>
  <c r="N38" i="14"/>
  <c r="K217" i="14"/>
  <c r="K25" i="14"/>
  <c r="K24" i="14"/>
  <c r="K20" i="14"/>
  <c r="K39" i="19"/>
  <c r="J22" i="12"/>
  <c r="K22" i="12"/>
  <c r="J21" i="12"/>
  <c r="K21" i="12"/>
  <c r="V60" i="12"/>
  <c r="V58" i="12" s="1"/>
  <c r="V61" i="12"/>
  <c r="V57" i="12" s="1"/>
  <c r="V56" i="12"/>
  <c r="N48" i="12"/>
  <c r="N44" i="12"/>
  <c r="L34" i="12"/>
  <c r="L20" i="12"/>
  <c r="L24" i="12"/>
  <c r="L38" i="12"/>
  <c r="J92" i="12"/>
  <c r="I39" i="20"/>
  <c r="J215" i="12"/>
  <c r="N14" i="12"/>
  <c r="N15" i="12" s="1"/>
  <c r="V131" i="15"/>
  <c r="K33" i="12"/>
  <c r="V131" i="16"/>
  <c r="M27" i="12"/>
  <c r="M31" i="12"/>
  <c r="N26" i="12"/>
  <c r="M28" i="12"/>
  <c r="M30" i="12"/>
  <c r="L32" i="12"/>
  <c r="L29" i="12"/>
  <c r="X74" i="16"/>
  <c r="X34" i="16"/>
  <c r="X33" i="16"/>
  <c r="V43" i="15"/>
  <c r="X74" i="15"/>
  <c r="X34" i="15"/>
  <c r="X33" i="15"/>
  <c r="L102" i="12"/>
  <c r="L217" i="12"/>
  <c r="N122" i="12"/>
  <c r="N216" i="12"/>
  <c r="W54" i="15"/>
  <c r="V112" i="12"/>
  <c r="V218" i="12"/>
  <c r="V60" i="15"/>
  <c r="V42" i="16"/>
  <c r="N63" i="14"/>
  <c r="N65" i="14" s="1"/>
  <c r="N134" i="14" s="1"/>
  <c r="W35" i="16"/>
  <c r="W128" i="16" s="1"/>
  <c r="U75" i="16"/>
  <c r="M33" i="14"/>
  <c r="M92" i="14" s="1"/>
  <c r="U43" i="28"/>
  <c r="W40" i="15"/>
  <c r="W122" i="15" s="1"/>
  <c r="W132" i="15" s="1"/>
  <c r="L41" i="19"/>
  <c r="W40" i="16"/>
  <c r="W122" i="16" s="1"/>
  <c r="X53" i="14"/>
  <c r="X55" i="14" s="1"/>
  <c r="X112" i="14" s="1"/>
  <c r="Y32" i="16"/>
  <c r="V42" i="19"/>
  <c r="O14" i="14"/>
  <c r="U43" i="29"/>
  <c r="V60" i="16"/>
  <c r="S76" i="16"/>
  <c r="Y32" i="15"/>
  <c r="V43" i="16"/>
  <c r="U39" i="29"/>
  <c r="P40" i="14"/>
  <c r="P42" i="14" s="1"/>
  <c r="O41" i="14"/>
  <c r="N32" i="14"/>
  <c r="N82" i="14" s="1"/>
  <c r="N214" i="14" s="1"/>
  <c r="N224" i="14" s="1"/>
  <c r="U47" i="16"/>
  <c r="T40" i="29"/>
  <c r="O28" i="14"/>
  <c r="P26" i="14"/>
  <c r="O27" i="14"/>
  <c r="O30" i="14"/>
  <c r="O31" i="14"/>
  <c r="Q12" i="14"/>
  <c r="P13" i="14"/>
  <c r="P83" i="14" s="1"/>
  <c r="CB28" i="58" s="1"/>
  <c r="Z50" i="14"/>
  <c r="Y54" i="14"/>
  <c r="Y51" i="14"/>
  <c r="Y52" i="14"/>
  <c r="W35" i="15"/>
  <c r="W128" i="15" s="1"/>
  <c r="W54" i="16"/>
  <c r="V41" i="29"/>
  <c r="N43" i="14"/>
  <c r="N122" i="14" s="1"/>
  <c r="N29" i="14"/>
  <c r="J40" i="19"/>
  <c r="T76" i="16"/>
  <c r="O62" i="14"/>
  <c r="L19" i="14"/>
  <c r="L102" i="14" s="1"/>
  <c r="N16" i="14"/>
  <c r="N17" i="14" s="1"/>
  <c r="M16" i="14"/>
  <c r="M17" i="14" s="1"/>
  <c r="U47" i="15"/>
  <c r="Y7" i="15"/>
  <c r="Y41" i="15" s="1"/>
  <c r="CK33" i="58" s="1"/>
  <c r="Y32" i="58" s="1"/>
  <c r="BE32" i="58" s="1"/>
  <c r="CK32" i="58" s="1"/>
  <c r="T40" i="28"/>
  <c r="U39" i="28"/>
  <c r="V41" i="28"/>
  <c r="U42" i="15"/>
  <c r="U42" i="20"/>
  <c r="M41" i="20"/>
  <c r="K40" i="20"/>
  <c r="O83" i="12"/>
  <c r="O119" i="59" s="1"/>
  <c r="M19" i="12"/>
  <c r="M25" i="12" s="1"/>
  <c r="P12" i="12"/>
  <c r="W53" i="12"/>
  <c r="W55" i="12" s="1"/>
  <c r="W21" i="16"/>
  <c r="W123" i="16" s="1"/>
  <c r="Y50" i="12"/>
  <c r="X54" i="12"/>
  <c r="X51" i="12"/>
  <c r="X52" i="12"/>
  <c r="X25" i="16"/>
  <c r="X124" i="16" s="1"/>
  <c r="X25" i="15"/>
  <c r="X124" i="15" s="1"/>
  <c r="X20" i="16"/>
  <c r="X17" i="15"/>
  <c r="X8" i="15"/>
  <c r="X9" i="15" s="1"/>
  <c r="X10" i="15" s="1"/>
  <c r="Y18" i="16"/>
  <c r="Y15" i="16"/>
  <c r="Y19" i="16"/>
  <c r="Y16" i="16"/>
  <c r="Z14" i="16"/>
  <c r="Y23" i="16"/>
  <c r="Z22" i="16"/>
  <c r="Z24" i="16" s="1"/>
  <c r="V13" i="15"/>
  <c r="V125" i="15" s="1"/>
  <c r="V129" i="15" s="1"/>
  <c r="W9" i="16"/>
  <c r="W21" i="15"/>
  <c r="W123" i="15" s="1"/>
  <c r="Z6" i="15"/>
  <c r="W9" i="15"/>
  <c r="W10" i="15" s="1"/>
  <c r="W11" i="15" s="1"/>
  <c r="W39" i="15" s="1"/>
  <c r="W121" i="15" s="1"/>
  <c r="V13" i="16"/>
  <c r="V125" i="16" s="1"/>
  <c r="V129" i="16" s="1"/>
  <c r="Z6" i="16"/>
  <c r="Y7" i="16"/>
  <c r="Y41" i="16" s="1"/>
  <c r="X8" i="16"/>
  <c r="X20" i="15"/>
  <c r="Z14" i="15"/>
  <c r="Y18" i="15"/>
  <c r="Y16" i="15"/>
  <c r="Y19" i="15"/>
  <c r="Y15" i="15"/>
  <c r="X17" i="16"/>
  <c r="Z22" i="15"/>
  <c r="Z24" i="15" s="1"/>
  <c r="Y23" i="15"/>
  <c r="O43" i="12"/>
  <c r="BG26" i="55" l="1"/>
  <c r="DS26" i="55" s="1"/>
  <c r="AB26" i="55"/>
  <c r="BZ27" i="58"/>
  <c r="BZ9" i="58" s="1"/>
  <c r="AT9" i="58"/>
  <c r="AT4" i="59" s="1"/>
  <c r="BZ4" i="59" s="1"/>
  <c r="DF4" i="59" s="1"/>
  <c r="P27" i="58"/>
  <c r="CB10" i="58"/>
  <c r="CB5" i="58"/>
  <c r="CL27" i="55"/>
  <c r="AA27" i="55"/>
  <c r="BF27" i="55"/>
  <c r="DR27" i="55" s="1"/>
  <c r="AU27" i="58"/>
  <c r="O9" i="58"/>
  <c r="O4" i="59" s="1"/>
  <c r="O4" i="58"/>
  <c r="AU4" i="58" s="1"/>
  <c r="CA4" i="58" s="1"/>
  <c r="Q40" i="12"/>
  <c r="Q42" i="12" s="1"/>
  <c r="P41" i="12"/>
  <c r="L47" i="14"/>
  <c r="M45" i="14"/>
  <c r="M46" i="14"/>
  <c r="W58" i="14"/>
  <c r="W59" i="14" s="1"/>
  <c r="L35" i="14"/>
  <c r="L37" i="14" s="1"/>
  <c r="N36" i="14"/>
  <c r="L36" i="12"/>
  <c r="N46" i="12"/>
  <c r="N47" i="12" s="1"/>
  <c r="O49" i="12"/>
  <c r="O45" i="12" s="1"/>
  <c r="M47" i="12"/>
  <c r="I37" i="12"/>
  <c r="J23" i="12"/>
  <c r="N71" i="14"/>
  <c r="N66" i="14"/>
  <c r="N70" i="14"/>
  <c r="K39" i="12"/>
  <c r="J35" i="12"/>
  <c r="K21" i="14"/>
  <c r="K22" i="14"/>
  <c r="N220" i="14"/>
  <c r="X218" i="14"/>
  <c r="X60" i="14"/>
  <c r="X56" i="14"/>
  <c r="X61" i="14"/>
  <c r="X57" i="14" s="1"/>
  <c r="N216" i="14"/>
  <c r="N49" i="14"/>
  <c r="N48" i="14"/>
  <c r="N44" i="14"/>
  <c r="O38" i="14"/>
  <c r="M215" i="14"/>
  <c r="M39" i="14"/>
  <c r="O34" i="14"/>
  <c r="L217" i="14"/>
  <c r="L24" i="14"/>
  <c r="L20" i="14"/>
  <c r="L25" i="14"/>
  <c r="L21" i="12"/>
  <c r="L22" i="12"/>
  <c r="K23" i="12"/>
  <c r="V59" i="12"/>
  <c r="W61" i="12"/>
  <c r="W57" i="12" s="1"/>
  <c r="W60" i="12"/>
  <c r="W58" i="12" s="1"/>
  <c r="W56" i="12"/>
  <c r="O44" i="12"/>
  <c r="O48" i="12"/>
  <c r="M34" i="12"/>
  <c r="M38" i="12"/>
  <c r="M24" i="12"/>
  <c r="M20" i="12"/>
  <c r="N28" i="12"/>
  <c r="K92" i="12"/>
  <c r="J39" i="20"/>
  <c r="K215" i="12"/>
  <c r="W131" i="15"/>
  <c r="W132" i="16"/>
  <c r="N31" i="12"/>
  <c r="N27" i="12"/>
  <c r="O26" i="12"/>
  <c r="N30" i="12"/>
  <c r="N62" i="12"/>
  <c r="M32" i="12"/>
  <c r="M29" i="12"/>
  <c r="L33" i="12"/>
  <c r="L39" i="19"/>
  <c r="W43" i="15"/>
  <c r="Y74" i="15"/>
  <c r="Y34" i="15"/>
  <c r="Y33" i="15"/>
  <c r="M102" i="12"/>
  <c r="M217" i="12"/>
  <c r="O122" i="12"/>
  <c r="O216" i="12"/>
  <c r="X54" i="15"/>
  <c r="W112" i="12"/>
  <c r="W218" i="12"/>
  <c r="Y74" i="16"/>
  <c r="Y33" i="16"/>
  <c r="Y34" i="16"/>
  <c r="V43" i="29"/>
  <c r="W60" i="16"/>
  <c r="X40" i="15"/>
  <c r="X122" i="15" s="1"/>
  <c r="X132" i="15" s="1"/>
  <c r="P62" i="14"/>
  <c r="M43" i="19"/>
  <c r="W42" i="19"/>
  <c r="X40" i="16"/>
  <c r="X122" i="16" s="1"/>
  <c r="X132" i="16" s="1"/>
  <c r="X35" i="16"/>
  <c r="X128" i="16" s="1"/>
  <c r="P14" i="14"/>
  <c r="P15" i="14" s="1"/>
  <c r="P16" i="14" s="1"/>
  <c r="P17" i="14" s="1"/>
  <c r="O29" i="14"/>
  <c r="O43" i="14"/>
  <c r="O122" i="14" s="1"/>
  <c r="X35" i="15"/>
  <c r="X128" i="15" s="1"/>
  <c r="N81" i="14"/>
  <c r="N213" i="14" s="1"/>
  <c r="N19" i="14"/>
  <c r="N102" i="14" s="1"/>
  <c r="M19" i="14"/>
  <c r="M102" i="14" s="1"/>
  <c r="X54" i="16"/>
  <c r="W41" i="29"/>
  <c r="M41" i="19"/>
  <c r="W60" i="15"/>
  <c r="V43" i="28"/>
  <c r="P30" i="14"/>
  <c r="P31" i="14"/>
  <c r="Q26" i="14"/>
  <c r="P27" i="14"/>
  <c r="P28" i="14"/>
  <c r="V47" i="16"/>
  <c r="U40" i="29"/>
  <c r="W43" i="16"/>
  <c r="V39" i="29"/>
  <c r="Y53" i="14"/>
  <c r="Y55" i="14" s="1"/>
  <c r="Y112" i="14" s="1"/>
  <c r="P41" i="14"/>
  <c r="Q40" i="14"/>
  <c r="Q42" i="14" s="1"/>
  <c r="O15" i="14"/>
  <c r="Z32" i="15"/>
  <c r="O63" i="14"/>
  <c r="O64" i="14"/>
  <c r="V75" i="16"/>
  <c r="R12" i="14"/>
  <c r="Q13" i="14"/>
  <c r="Q83" i="14" s="1"/>
  <c r="CC28" i="58" s="1"/>
  <c r="O32" i="14"/>
  <c r="U76" i="16"/>
  <c r="N33" i="14"/>
  <c r="N92" i="14" s="1"/>
  <c r="K40" i="19"/>
  <c r="Z52" i="14"/>
  <c r="AA50" i="14"/>
  <c r="Z54" i="14"/>
  <c r="Z51" i="14"/>
  <c r="V47" i="15"/>
  <c r="U75" i="15"/>
  <c r="U76" i="15"/>
  <c r="U40" i="28"/>
  <c r="V39" i="28"/>
  <c r="V42" i="15"/>
  <c r="W41" i="28"/>
  <c r="Z7" i="15"/>
  <c r="Z41" i="15" s="1"/>
  <c r="CL33" i="58" s="1"/>
  <c r="Z32" i="58" s="1"/>
  <c r="BF32" i="58" s="1"/>
  <c r="CL32" i="58" s="1"/>
  <c r="Z32" i="16"/>
  <c r="V42" i="20"/>
  <c r="N41" i="20"/>
  <c r="L40" i="20"/>
  <c r="P13" i="12"/>
  <c r="P83" i="12" s="1"/>
  <c r="P119" i="59" s="1"/>
  <c r="O14" i="12"/>
  <c r="O15" i="12" s="1"/>
  <c r="Q12" i="12"/>
  <c r="X21" i="16"/>
  <c r="X123" i="16" s="1"/>
  <c r="Y25" i="15"/>
  <c r="Y124" i="15" s="1"/>
  <c r="X53" i="12"/>
  <c r="X55" i="12" s="1"/>
  <c r="Z50" i="12"/>
  <c r="Y54" i="12"/>
  <c r="Y52" i="12"/>
  <c r="Y51" i="12"/>
  <c r="Y17" i="15"/>
  <c r="Y20" i="15"/>
  <c r="X21" i="15"/>
  <c r="X123" i="15" s="1"/>
  <c r="Y25" i="16"/>
  <c r="Y124" i="16" s="1"/>
  <c r="W13" i="15"/>
  <c r="W125" i="15" s="1"/>
  <c r="W129" i="15" s="1"/>
  <c r="Y8" i="15"/>
  <c r="Y9" i="15" s="1"/>
  <c r="Y10" i="15" s="1"/>
  <c r="Y11" i="15" s="1"/>
  <c r="Y17" i="16"/>
  <c r="AA14" i="15"/>
  <c r="Z18" i="15"/>
  <c r="Z16" i="15"/>
  <c r="Z19" i="15"/>
  <c r="Z15" i="15"/>
  <c r="Z7" i="16"/>
  <c r="Z41" i="16" s="1"/>
  <c r="AA6" i="16"/>
  <c r="AA6" i="15"/>
  <c r="X11" i="15"/>
  <c r="X39" i="15" s="1"/>
  <c r="X121" i="15" s="1"/>
  <c r="AA22" i="15"/>
  <c r="AA24" i="15" s="1"/>
  <c r="Z23" i="15"/>
  <c r="X9" i="16"/>
  <c r="Y8" i="16"/>
  <c r="W10" i="16"/>
  <c r="W11" i="16" s="1"/>
  <c r="W39" i="16" s="1"/>
  <c r="W121" i="16" s="1"/>
  <c r="W131" i="16" s="1"/>
  <c r="Z23" i="16"/>
  <c r="AA22" i="16"/>
  <c r="AA24" i="16" s="1"/>
  <c r="Z19" i="16"/>
  <c r="Z16" i="16"/>
  <c r="Z18" i="16"/>
  <c r="Z15" i="16"/>
  <c r="AA14" i="16"/>
  <c r="Y20" i="16"/>
  <c r="Q41" i="12"/>
  <c r="R40" i="12"/>
  <c r="R42" i="12" s="1"/>
  <c r="P43" i="12"/>
  <c r="BG27" i="55" l="1"/>
  <c r="DS27" i="55" s="1"/>
  <c r="CM27" i="55"/>
  <c r="AB27" i="55"/>
  <c r="Q27" i="58"/>
  <c r="CC10" i="58"/>
  <c r="CC5" i="58"/>
  <c r="AC26" i="55"/>
  <c r="BH26" i="55"/>
  <c r="DT26" i="55" s="1"/>
  <c r="CA27" i="58"/>
  <c r="CA9" i="58" s="1"/>
  <c r="AU9" i="58"/>
  <c r="AU4" i="59" s="1"/>
  <c r="CA4" i="59" s="1"/>
  <c r="DG4" i="59" s="1"/>
  <c r="AV27" i="58"/>
  <c r="P9" i="58"/>
  <c r="P4" i="59" s="1"/>
  <c r="P4" i="58"/>
  <c r="AV4" i="58" s="1"/>
  <c r="CB4" i="58" s="1"/>
  <c r="M47" i="14"/>
  <c r="N45" i="14"/>
  <c r="N67" i="14"/>
  <c r="N68" i="14"/>
  <c r="N46" i="14"/>
  <c r="X58" i="14"/>
  <c r="X59" i="14" s="1"/>
  <c r="M35" i="14"/>
  <c r="M37" i="14" s="1"/>
  <c r="O36" i="14"/>
  <c r="O46" i="12"/>
  <c r="P49" i="12"/>
  <c r="P45" i="12" s="1"/>
  <c r="J37" i="12"/>
  <c r="L23" i="12"/>
  <c r="K23" i="14"/>
  <c r="L39" i="12"/>
  <c r="K35" i="12"/>
  <c r="M36" i="12"/>
  <c r="L21" i="14"/>
  <c r="L22" i="14"/>
  <c r="Y218" i="14"/>
  <c r="Y60" i="14"/>
  <c r="Y56" i="14"/>
  <c r="Y61" i="14"/>
  <c r="Y57" i="14" s="1"/>
  <c r="P34" i="14"/>
  <c r="P38" i="14"/>
  <c r="O216" i="14"/>
  <c r="O44" i="14"/>
  <c r="O49" i="14"/>
  <c r="O48" i="14"/>
  <c r="N215" i="14"/>
  <c r="N39" i="14"/>
  <c r="N217" i="14"/>
  <c r="N25" i="14"/>
  <c r="N24" i="14"/>
  <c r="N20" i="14"/>
  <c r="M217" i="14"/>
  <c r="M24" i="14"/>
  <c r="M20" i="14"/>
  <c r="M25" i="14"/>
  <c r="M22" i="12"/>
  <c r="M21" i="12"/>
  <c r="W59" i="12"/>
  <c r="X56" i="12"/>
  <c r="X61" i="12"/>
  <c r="X57" i="12" s="1"/>
  <c r="X60" i="12"/>
  <c r="X58" i="12" s="1"/>
  <c r="O47" i="12"/>
  <c r="P44" i="12"/>
  <c r="P48" i="12"/>
  <c r="N38" i="12"/>
  <c r="N34" i="12"/>
  <c r="N32" i="12"/>
  <c r="N16" i="12"/>
  <c r="N17" i="12" s="1"/>
  <c r="N19" i="12" s="1"/>
  <c r="N25" i="12" s="1"/>
  <c r="X131" i="15"/>
  <c r="M33" i="12"/>
  <c r="N29" i="12"/>
  <c r="N223" i="14"/>
  <c r="N166" i="12"/>
  <c r="N63" i="12"/>
  <c r="N64" i="12"/>
  <c r="K39" i="20"/>
  <c r="L92" i="12"/>
  <c r="L215" i="12"/>
  <c r="O27" i="12"/>
  <c r="O28" i="12"/>
  <c r="O31" i="12"/>
  <c r="O30" i="12"/>
  <c r="P26" i="12"/>
  <c r="O62" i="12"/>
  <c r="P122" i="12"/>
  <c r="P216" i="12"/>
  <c r="X112" i="12"/>
  <c r="X218" i="12"/>
  <c r="Z33" i="15"/>
  <c r="Z34" i="15"/>
  <c r="X43" i="15"/>
  <c r="Z33" i="16"/>
  <c r="Z34" i="16"/>
  <c r="Y54" i="15"/>
  <c r="W42" i="16"/>
  <c r="W43" i="29"/>
  <c r="X60" i="15"/>
  <c r="N84" i="14"/>
  <c r="P63" i="14"/>
  <c r="P64" i="14"/>
  <c r="X60" i="16"/>
  <c r="O33" i="14"/>
  <c r="O92" i="14" s="1"/>
  <c r="Y40" i="16"/>
  <c r="Y122" i="16" s="1"/>
  <c r="Y132" i="16" s="1"/>
  <c r="N41" i="19"/>
  <c r="Y40" i="15"/>
  <c r="Y122" i="15" s="1"/>
  <c r="Y132" i="15" s="1"/>
  <c r="O82" i="14"/>
  <c r="O214" i="14" s="1"/>
  <c r="O224" i="14" s="1"/>
  <c r="Z53" i="14"/>
  <c r="Z55" i="14" s="1"/>
  <c r="Z112" i="14" s="1"/>
  <c r="Y35" i="15"/>
  <c r="Y128" i="15" s="1"/>
  <c r="Q14" i="14"/>
  <c r="Q15" i="14" s="1"/>
  <c r="Q16" i="14" s="1"/>
  <c r="Q17" i="14" s="1"/>
  <c r="W43" i="28"/>
  <c r="Y35" i="16"/>
  <c r="Y128" i="16" s="1"/>
  <c r="O65" i="14"/>
  <c r="O134" i="14" s="1"/>
  <c r="P19" i="14"/>
  <c r="P102" i="14" s="1"/>
  <c r="Y39" i="15"/>
  <c r="Y121" i="15" s="1"/>
  <c r="M39" i="19"/>
  <c r="S12" i="14"/>
  <c r="R13" i="14"/>
  <c r="R83" i="14" s="1"/>
  <c r="CD28" i="58" s="1"/>
  <c r="Z74" i="16"/>
  <c r="Q41" i="14"/>
  <c r="R40" i="14"/>
  <c r="R42" i="14" s="1"/>
  <c r="X42" i="19"/>
  <c r="V76" i="16"/>
  <c r="P32" i="14"/>
  <c r="Y54" i="16"/>
  <c r="X41" i="29"/>
  <c r="AA52" i="14"/>
  <c r="AB50" i="14"/>
  <c r="AA54" i="14"/>
  <c r="AA51" i="14"/>
  <c r="P29" i="14"/>
  <c r="M40" i="19"/>
  <c r="X43" i="16"/>
  <c r="W39" i="29"/>
  <c r="AA32" i="15"/>
  <c r="Q62" i="14"/>
  <c r="Z74" i="15"/>
  <c r="O16" i="14"/>
  <c r="O17" i="14" s="1"/>
  <c r="P43" i="14"/>
  <c r="P122" i="14" s="1"/>
  <c r="Q27" i="14"/>
  <c r="Q30" i="14"/>
  <c r="R26" i="14"/>
  <c r="Q31" i="14"/>
  <c r="Q28" i="14"/>
  <c r="L40" i="19"/>
  <c r="W47" i="15"/>
  <c r="V75" i="15"/>
  <c r="V76" i="15"/>
  <c r="V40" i="28"/>
  <c r="W39" i="28"/>
  <c r="X41" i="28"/>
  <c r="AA7" i="15"/>
  <c r="AA41" i="15" s="1"/>
  <c r="CM33" i="58" s="1"/>
  <c r="AA32" i="58" s="1"/>
  <c r="BG32" i="58" s="1"/>
  <c r="CM32" i="58" s="1"/>
  <c r="W42" i="15"/>
  <c r="AA32" i="16"/>
  <c r="W42" i="20"/>
  <c r="O41" i="20"/>
  <c r="Q13" i="12"/>
  <c r="Q83" i="12" s="1"/>
  <c r="Q119" i="59" s="1"/>
  <c r="O16" i="12"/>
  <c r="O17" i="12" s="1"/>
  <c r="R12" i="12"/>
  <c r="P14" i="12"/>
  <c r="Y21" i="15"/>
  <c r="Y123" i="15" s="1"/>
  <c r="Q43" i="12"/>
  <c r="Y53" i="12"/>
  <c r="Y55" i="12" s="1"/>
  <c r="AA50" i="12"/>
  <c r="Z51" i="12"/>
  <c r="Z52" i="12"/>
  <c r="Z54" i="12"/>
  <c r="Z25" i="15"/>
  <c r="Z124" i="15" s="1"/>
  <c r="Z25" i="16"/>
  <c r="Z124" i="16" s="1"/>
  <c r="Z20" i="16"/>
  <c r="Z20" i="15"/>
  <c r="Z8" i="15"/>
  <c r="Z9" i="15" s="1"/>
  <c r="Z10" i="15" s="1"/>
  <c r="Z11" i="15" s="1"/>
  <c r="Z8" i="16"/>
  <c r="Z9" i="16" s="1"/>
  <c r="Z17" i="15"/>
  <c r="W13" i="16"/>
  <c r="W125" i="16" s="1"/>
  <c r="W129" i="16" s="1"/>
  <c r="Y13" i="15"/>
  <c r="Y125" i="15" s="1"/>
  <c r="AB14" i="15"/>
  <c r="AA19" i="15"/>
  <c r="AA16" i="15"/>
  <c r="AA18" i="15"/>
  <c r="AA15" i="15"/>
  <c r="Y9" i="16"/>
  <c r="X10" i="16"/>
  <c r="X11" i="16" s="1"/>
  <c r="X39" i="16" s="1"/>
  <c r="X121" i="16" s="1"/>
  <c r="AB22" i="15"/>
  <c r="AB24" i="15" s="1"/>
  <c r="AA23" i="15"/>
  <c r="AB6" i="15"/>
  <c r="AB6" i="16"/>
  <c r="AA7" i="16"/>
  <c r="AA41" i="16" s="1"/>
  <c r="Y21" i="16"/>
  <c r="Y123" i="16" s="1"/>
  <c r="AA19" i="16"/>
  <c r="AA16" i="16"/>
  <c r="AA15" i="16"/>
  <c r="AA18" i="16"/>
  <c r="AB14" i="16"/>
  <c r="Z17" i="16"/>
  <c r="AA23" i="16"/>
  <c r="AB22" i="16"/>
  <c r="AB24" i="16" s="1"/>
  <c r="X13" i="15"/>
  <c r="X125" i="15" s="1"/>
  <c r="X129" i="15" s="1"/>
  <c r="R41" i="12"/>
  <c r="S40" i="12"/>
  <c r="S42" i="12" s="1"/>
  <c r="CB27" i="58" l="1"/>
  <c r="CB9" i="58" s="1"/>
  <c r="AV9" i="58"/>
  <c r="AV4" i="59" s="1"/>
  <c r="CB4" i="59" s="1"/>
  <c r="DH4" i="59" s="1"/>
  <c r="Q9" i="58"/>
  <c r="Q4" i="59" s="1"/>
  <c r="AW27" i="58"/>
  <c r="Q4" i="58"/>
  <c r="AW4" i="58" s="1"/>
  <c r="CC4" i="58" s="1"/>
  <c r="AD26" i="55"/>
  <c r="BI26" i="55"/>
  <c r="DU26" i="55" s="1"/>
  <c r="AC27" i="55"/>
  <c r="CN27" i="55"/>
  <c r="BH27" i="55"/>
  <c r="DT27" i="55" s="1"/>
  <c r="R27" i="58"/>
  <c r="CD10" i="58"/>
  <c r="CD5" i="58"/>
  <c r="N69" i="14"/>
  <c r="N85" i="14"/>
  <c r="N47" i="14"/>
  <c r="O45" i="14"/>
  <c r="O46" i="14"/>
  <c r="Y58" i="14"/>
  <c r="Y59" i="14" s="1"/>
  <c r="N35" i="14"/>
  <c r="N37" i="14" s="1"/>
  <c r="P36" i="14"/>
  <c r="Q49" i="12"/>
  <c r="P46" i="12"/>
  <c r="K37" i="12"/>
  <c r="M23" i="12"/>
  <c r="N36" i="12"/>
  <c r="L35" i="12"/>
  <c r="O71" i="14"/>
  <c r="O70" i="14"/>
  <c r="O66" i="14"/>
  <c r="M39" i="12"/>
  <c r="M21" i="14"/>
  <c r="N22" i="14"/>
  <c r="N87" i="14" s="1"/>
  <c r="N89" i="14"/>
  <c r="M22" i="14"/>
  <c r="N21" i="14"/>
  <c r="N90" i="14"/>
  <c r="L23" i="14"/>
  <c r="O220" i="14"/>
  <c r="Z218" i="14"/>
  <c r="Z61" i="14"/>
  <c r="Z57" i="14" s="1"/>
  <c r="Z60" i="14"/>
  <c r="Z56" i="14"/>
  <c r="Q38" i="14"/>
  <c r="P216" i="14"/>
  <c r="P48" i="14"/>
  <c r="P44" i="14"/>
  <c r="P49" i="14"/>
  <c r="N221" i="14"/>
  <c r="Q34" i="14"/>
  <c r="O215" i="14"/>
  <c r="O39" i="14"/>
  <c r="P217" i="14"/>
  <c r="P24" i="14"/>
  <c r="P20" i="14"/>
  <c r="P25" i="14"/>
  <c r="X59" i="12"/>
  <c r="Y60" i="12"/>
  <c r="Y58" i="12" s="1"/>
  <c r="Y56" i="12"/>
  <c r="Y61" i="12"/>
  <c r="Y57" i="12" s="1"/>
  <c r="Q48" i="12"/>
  <c r="Q44" i="12"/>
  <c r="N33" i="12"/>
  <c r="O34" i="12"/>
  <c r="O38" i="12"/>
  <c r="N20" i="12"/>
  <c r="N24" i="12"/>
  <c r="L39" i="20"/>
  <c r="N82" i="12"/>
  <c r="M215" i="12"/>
  <c r="M92" i="12"/>
  <c r="N217" i="12"/>
  <c r="M40" i="20"/>
  <c r="N102" i="12"/>
  <c r="Y131" i="15"/>
  <c r="Y129" i="15"/>
  <c r="N81" i="12"/>
  <c r="O32" i="12"/>
  <c r="X131" i="16"/>
  <c r="O166" i="12"/>
  <c r="O64" i="12"/>
  <c r="O63" i="12"/>
  <c r="P28" i="12"/>
  <c r="P31" i="12"/>
  <c r="P30" i="12"/>
  <c r="P27" i="12"/>
  <c r="Q26" i="12"/>
  <c r="P62" i="12"/>
  <c r="O29" i="12"/>
  <c r="N65" i="12"/>
  <c r="AA34" i="16"/>
  <c r="AA33" i="16"/>
  <c r="Y112" i="12"/>
  <c r="Y218" i="12"/>
  <c r="Q122" i="12"/>
  <c r="Q216" i="12"/>
  <c r="Y47" i="15"/>
  <c r="Z54" i="15"/>
  <c r="Y43" i="15"/>
  <c r="AA33" i="15"/>
  <c r="AA34" i="15"/>
  <c r="Y60" i="16"/>
  <c r="X42" i="16"/>
  <c r="Y60" i="15"/>
  <c r="P65" i="14"/>
  <c r="P134" i="14" s="1"/>
  <c r="Z40" i="15"/>
  <c r="Z122" i="15" s="1"/>
  <c r="Z132" i="15" s="1"/>
  <c r="N39" i="19"/>
  <c r="Z40" i="16"/>
  <c r="Z122" i="16" s="1"/>
  <c r="Z132" i="16" s="1"/>
  <c r="P82" i="14"/>
  <c r="P214" i="14" s="1"/>
  <c r="P224" i="14" s="1"/>
  <c r="Z35" i="16"/>
  <c r="Z128" i="16" s="1"/>
  <c r="X43" i="29"/>
  <c r="AA53" i="14"/>
  <c r="AA55" i="14" s="1"/>
  <c r="AA112" i="14" s="1"/>
  <c r="X43" i="28"/>
  <c r="P33" i="14"/>
  <c r="P92" i="14" s="1"/>
  <c r="Q29" i="14"/>
  <c r="Z35" i="15"/>
  <c r="Z128" i="15" s="1"/>
  <c r="N43" i="19"/>
  <c r="Z39" i="15"/>
  <c r="Z121" i="15" s="1"/>
  <c r="O81" i="14"/>
  <c r="O213" i="14" s="1"/>
  <c r="O19" i="14"/>
  <c r="O102" i="14" s="1"/>
  <c r="Q19" i="14"/>
  <c r="Q102" i="14" s="1"/>
  <c r="AB32" i="16"/>
  <c r="Z54" i="16"/>
  <c r="Y41" i="29"/>
  <c r="R14" i="14"/>
  <c r="O40" i="19"/>
  <c r="Q43" i="14"/>
  <c r="Q122" i="14" s="1"/>
  <c r="T12" i="14"/>
  <c r="S13" i="14"/>
  <c r="S83" i="14" s="1"/>
  <c r="CE28" i="58" s="1"/>
  <c r="Y42" i="19"/>
  <c r="AA74" i="16"/>
  <c r="P81" i="14"/>
  <c r="P213" i="14" s="1"/>
  <c r="W47" i="16"/>
  <c r="V40" i="29"/>
  <c r="R27" i="14"/>
  <c r="R31" i="14"/>
  <c r="S26" i="14"/>
  <c r="R28" i="14"/>
  <c r="R30" i="14"/>
  <c r="Q63" i="14"/>
  <c r="Q64" i="14"/>
  <c r="AA74" i="15"/>
  <c r="AC50" i="14"/>
  <c r="AB51" i="14"/>
  <c r="AB52" i="14"/>
  <c r="AB54" i="14"/>
  <c r="W75" i="16"/>
  <c r="Y43" i="16"/>
  <c r="X39" i="29"/>
  <c r="AB32" i="15"/>
  <c r="Q32" i="14"/>
  <c r="O41" i="19"/>
  <c r="S40" i="14"/>
  <c r="S42" i="14" s="1"/>
  <c r="R41" i="14"/>
  <c r="R62" i="14"/>
  <c r="X47" i="15"/>
  <c r="W75" i="15"/>
  <c r="W76" i="15"/>
  <c r="W40" i="28"/>
  <c r="Y41" i="28"/>
  <c r="X42" i="15"/>
  <c r="X40" i="28"/>
  <c r="AB7" i="15"/>
  <c r="AB41" i="15" s="1"/>
  <c r="CN33" i="58" s="1"/>
  <c r="AB32" i="58" s="1"/>
  <c r="BH32" i="58" s="1"/>
  <c r="CN32" i="58" s="1"/>
  <c r="Y42" i="15"/>
  <c r="X39" i="28"/>
  <c r="X42" i="20"/>
  <c r="P41" i="20"/>
  <c r="R13" i="12"/>
  <c r="R83" i="12" s="1"/>
  <c r="R119" i="59" s="1"/>
  <c r="Q14" i="12"/>
  <c r="O19" i="12"/>
  <c r="O25" i="12" s="1"/>
  <c r="P15" i="12"/>
  <c r="P16" i="12" s="1"/>
  <c r="P17" i="12" s="1"/>
  <c r="S12" i="12"/>
  <c r="AA17" i="16"/>
  <c r="AA8" i="16"/>
  <c r="AA9" i="16" s="1"/>
  <c r="AA25" i="15"/>
  <c r="AA124" i="15" s="1"/>
  <c r="Z21" i="16"/>
  <c r="Z123" i="16" s="1"/>
  <c r="R43" i="12"/>
  <c r="AB50" i="12"/>
  <c r="AA54" i="12"/>
  <c r="AA52" i="12"/>
  <c r="AA51" i="12"/>
  <c r="Z53" i="12"/>
  <c r="Z55" i="12" s="1"/>
  <c r="AA25" i="16"/>
  <c r="AA124" i="16" s="1"/>
  <c r="AA8" i="15"/>
  <c r="AA9" i="15" s="1"/>
  <c r="Z21" i="15"/>
  <c r="Z123" i="15" s="1"/>
  <c r="Z13" i="15"/>
  <c r="Z125" i="15" s="1"/>
  <c r="AA20" i="16"/>
  <c r="AB7" i="16"/>
  <c r="AB41" i="16" s="1"/>
  <c r="AC6" i="16"/>
  <c r="X13" i="16"/>
  <c r="X125" i="16" s="1"/>
  <c r="X129" i="16" s="1"/>
  <c r="AA17" i="15"/>
  <c r="AC14" i="15"/>
  <c r="AB19" i="15"/>
  <c r="AB16" i="15"/>
  <c r="AB18" i="15"/>
  <c r="AB15" i="15"/>
  <c r="AB18" i="16"/>
  <c r="AB15" i="16"/>
  <c r="AB19" i="16"/>
  <c r="AB16" i="16"/>
  <c r="AC14" i="16"/>
  <c r="Y10" i="16"/>
  <c r="Y11" i="16" s="1"/>
  <c r="Y39" i="16" s="1"/>
  <c r="Y121" i="16" s="1"/>
  <c r="Z10" i="16"/>
  <c r="Z11" i="16" s="1"/>
  <c r="Z39" i="16" s="1"/>
  <c r="Z121" i="16" s="1"/>
  <c r="AB23" i="16"/>
  <c r="AC22" i="16"/>
  <c r="AC24" i="16" s="1"/>
  <c r="AC6" i="15"/>
  <c r="AC22" i="15"/>
  <c r="AC24" i="15" s="1"/>
  <c r="AB23" i="15"/>
  <c r="AA20" i="15"/>
  <c r="T40" i="12"/>
  <c r="T42" i="12" s="1"/>
  <c r="S41" i="12"/>
  <c r="BJ26" i="55" l="1"/>
  <c r="DV26" i="55" s="1"/>
  <c r="AE26" i="55"/>
  <c r="S27" i="58"/>
  <c r="CE10" i="58"/>
  <c r="CE5" i="58"/>
  <c r="CC27" i="58"/>
  <c r="CC9" i="58" s="1"/>
  <c r="AW9" i="58"/>
  <c r="AW4" i="59" s="1"/>
  <c r="CC4" i="59" s="1"/>
  <c r="DI4" i="59" s="1"/>
  <c r="AX27" i="58"/>
  <c r="R9" i="58"/>
  <c r="R4" i="59" s="1"/>
  <c r="R4" i="58"/>
  <c r="AX4" i="58" s="1"/>
  <c r="CD4" i="58" s="1"/>
  <c r="CO27" i="55"/>
  <c r="AD27" i="55"/>
  <c r="BI27" i="55"/>
  <c r="DU27" i="55" s="1"/>
  <c r="O47" i="14"/>
  <c r="M23" i="14"/>
  <c r="N86" i="14"/>
  <c r="P45" i="14"/>
  <c r="O67" i="14"/>
  <c r="O68" i="14"/>
  <c r="P46" i="14"/>
  <c r="Z58" i="14"/>
  <c r="Z59" i="14" s="1"/>
  <c r="O35" i="14"/>
  <c r="O37" i="14" s="1"/>
  <c r="Q36" i="14"/>
  <c r="N214" i="12"/>
  <c r="N224" i="12" s="1"/>
  <c r="O36" i="12"/>
  <c r="Q46" i="12"/>
  <c r="P47" i="12"/>
  <c r="R49" i="12"/>
  <c r="R45" i="12" s="1"/>
  <c r="L37" i="12"/>
  <c r="M35" i="12"/>
  <c r="N66" i="12"/>
  <c r="N71" i="12"/>
  <c r="N70" i="12"/>
  <c r="N39" i="12"/>
  <c r="Y59" i="12"/>
  <c r="P66" i="14"/>
  <c r="P71" i="14"/>
  <c r="P70" i="14"/>
  <c r="P21" i="14"/>
  <c r="N23" i="14"/>
  <c r="P22" i="14"/>
  <c r="P220" i="14"/>
  <c r="AA218" i="14"/>
  <c r="AA61" i="14"/>
  <c r="AA57" i="14" s="1"/>
  <c r="AA60" i="14"/>
  <c r="AA56" i="14"/>
  <c r="R34" i="14"/>
  <c r="Q216" i="14"/>
  <c r="Q48" i="14"/>
  <c r="Q44" i="14"/>
  <c r="Q49" i="14"/>
  <c r="P215" i="14"/>
  <c r="P39" i="14"/>
  <c r="R38" i="14"/>
  <c r="O217" i="14"/>
  <c r="O221" i="14" s="1"/>
  <c r="O24" i="14"/>
  <c r="O20" i="14"/>
  <c r="O25" i="14"/>
  <c r="Q217" i="14"/>
  <c r="Q24" i="14"/>
  <c r="Q20" i="14"/>
  <c r="Q25" i="14"/>
  <c r="N21" i="12"/>
  <c r="Q45" i="12"/>
  <c r="N22" i="12"/>
  <c r="N215" i="12"/>
  <c r="Z60" i="12"/>
  <c r="Z58" i="12" s="1"/>
  <c r="Z56" i="12"/>
  <c r="Z61" i="12"/>
  <c r="Z57" i="12" s="1"/>
  <c r="R48" i="12"/>
  <c r="R44" i="12"/>
  <c r="M39" i="20"/>
  <c r="N92" i="12"/>
  <c r="P34" i="12"/>
  <c r="O20" i="12"/>
  <c r="O24" i="12"/>
  <c r="P38" i="12"/>
  <c r="N84" i="12"/>
  <c r="N213" i="12"/>
  <c r="N223" i="12" s="1"/>
  <c r="Z129" i="15"/>
  <c r="Z131" i="15"/>
  <c r="O65" i="12"/>
  <c r="O81" i="12"/>
  <c r="O213" i="12" s="1"/>
  <c r="O33" i="12"/>
  <c r="O82" i="12"/>
  <c r="P223" i="14"/>
  <c r="O223" i="14"/>
  <c r="Y131" i="16"/>
  <c r="Z131" i="16"/>
  <c r="P29" i="12"/>
  <c r="N134" i="12"/>
  <c r="N220" i="12"/>
  <c r="M43" i="20"/>
  <c r="Q27" i="12"/>
  <c r="Q31" i="12"/>
  <c r="R26" i="12"/>
  <c r="Q30" i="12"/>
  <c r="Q28" i="12"/>
  <c r="Q62" i="12"/>
  <c r="P32" i="12"/>
  <c r="P166" i="12"/>
  <c r="P64" i="12"/>
  <c r="P63" i="12"/>
  <c r="Z47" i="15"/>
  <c r="Z43" i="15"/>
  <c r="R122" i="12"/>
  <c r="R216" i="12"/>
  <c r="O217" i="12"/>
  <c r="O102" i="12"/>
  <c r="AB34" i="15"/>
  <c r="AB33" i="15"/>
  <c r="X75" i="16"/>
  <c r="Z218" i="12"/>
  <c r="Z112" i="12"/>
  <c r="AA54" i="15"/>
  <c r="AB74" i="16"/>
  <c r="AB34" i="16"/>
  <c r="AB33" i="16"/>
  <c r="Y43" i="29"/>
  <c r="Y42" i="16"/>
  <c r="Y43" i="28"/>
  <c r="Z42" i="16"/>
  <c r="O84" i="14"/>
  <c r="O43" i="19"/>
  <c r="Z60" i="16"/>
  <c r="O39" i="19"/>
  <c r="P84" i="14"/>
  <c r="AA35" i="16"/>
  <c r="AA128" i="16" s="1"/>
  <c r="AA40" i="15"/>
  <c r="AA122" i="15" s="1"/>
  <c r="AA132" i="15" s="1"/>
  <c r="AA40" i="16"/>
  <c r="AA122" i="16" s="1"/>
  <c r="AA132" i="16" s="1"/>
  <c r="Q33" i="14"/>
  <c r="Q92" i="14" s="1"/>
  <c r="Q81" i="14"/>
  <c r="Q213" i="14" s="1"/>
  <c r="Z60" i="15"/>
  <c r="Z42" i="19"/>
  <c r="AA35" i="15"/>
  <c r="AA128" i="15" s="1"/>
  <c r="AB53" i="14"/>
  <c r="AB55" i="14" s="1"/>
  <c r="AB112" i="14" s="1"/>
  <c r="R29" i="14"/>
  <c r="Q65" i="14"/>
  <c r="Q134" i="14" s="1"/>
  <c r="AD50" i="14"/>
  <c r="AC54" i="14"/>
  <c r="AC51" i="14"/>
  <c r="AC52" i="14"/>
  <c r="N40" i="19"/>
  <c r="R43" i="14"/>
  <c r="R122" i="14" s="1"/>
  <c r="R32" i="14"/>
  <c r="U12" i="14"/>
  <c r="T13" i="14"/>
  <c r="T83" i="14" s="1"/>
  <c r="CF28" i="58" s="1"/>
  <c r="AC32" i="15"/>
  <c r="AA54" i="16"/>
  <c r="Z41" i="29"/>
  <c r="AB74" i="15"/>
  <c r="Q82" i="14"/>
  <c r="Q214" i="14" s="1"/>
  <c r="Q224" i="14" s="1"/>
  <c r="S14" i="14"/>
  <c r="P40" i="19"/>
  <c r="X47" i="16"/>
  <c r="W40" i="29"/>
  <c r="Z43" i="16"/>
  <c r="Y39" i="29"/>
  <c r="R63" i="14"/>
  <c r="R64" i="14"/>
  <c r="T40" i="14"/>
  <c r="T42" i="14" s="1"/>
  <c r="S41" i="14"/>
  <c r="S28" i="14"/>
  <c r="S27" i="14"/>
  <c r="T26" i="14"/>
  <c r="S30" i="14"/>
  <c r="S31" i="14"/>
  <c r="W76" i="16"/>
  <c r="S62" i="14"/>
  <c r="P41" i="19"/>
  <c r="R15" i="14"/>
  <c r="R16" i="14" s="1"/>
  <c r="R17" i="14" s="1"/>
  <c r="Y75" i="15"/>
  <c r="Y76" i="15"/>
  <c r="X75" i="15"/>
  <c r="X76" i="15"/>
  <c r="AC7" i="15"/>
  <c r="AC41" i="15" s="1"/>
  <c r="CO33" i="58" s="1"/>
  <c r="AC32" i="58" s="1"/>
  <c r="BI32" i="58" s="1"/>
  <c r="CO32" i="58" s="1"/>
  <c r="Y40" i="28"/>
  <c r="Z42" i="15"/>
  <c r="Z41" i="28"/>
  <c r="Y39" i="28"/>
  <c r="AC32" i="16"/>
  <c r="Y42" i="20"/>
  <c r="Q41" i="20"/>
  <c r="N40" i="20"/>
  <c r="S13" i="12"/>
  <c r="S83" i="12" s="1"/>
  <c r="S119" i="59" s="1"/>
  <c r="P19" i="12"/>
  <c r="P25" i="12" s="1"/>
  <c r="T12" i="12"/>
  <c r="Q15" i="12"/>
  <c r="Q16" i="12" s="1"/>
  <c r="Q17" i="12" s="1"/>
  <c r="AA21" i="16"/>
  <c r="AA123" i="16" s="1"/>
  <c r="R14" i="12"/>
  <c r="R15" i="12" s="1"/>
  <c r="R16" i="12" s="1"/>
  <c r="R17" i="12" s="1"/>
  <c r="AA53" i="12"/>
  <c r="AA55" i="12" s="1"/>
  <c r="S43" i="12"/>
  <c r="AC50" i="12"/>
  <c r="AB52" i="12"/>
  <c r="AB51" i="12"/>
  <c r="AB54" i="12"/>
  <c r="AB25" i="15"/>
  <c r="AB124" i="15" s="1"/>
  <c r="AB8" i="15"/>
  <c r="AB9" i="15" s="1"/>
  <c r="AB8" i="16"/>
  <c r="AB9" i="16" s="1"/>
  <c r="AB17" i="15"/>
  <c r="AB25" i="16"/>
  <c r="AB124" i="16" s="1"/>
  <c r="AA10" i="15"/>
  <c r="AA11" i="15" s="1"/>
  <c r="AA39" i="15" s="1"/>
  <c r="AA121" i="15" s="1"/>
  <c r="AA131" i="15" s="1"/>
  <c r="AD22" i="15"/>
  <c r="AD24" i="15" s="1"/>
  <c r="AC23" i="15"/>
  <c r="AC23" i="16"/>
  <c r="AD22" i="16"/>
  <c r="AD24" i="16" s="1"/>
  <c r="AD14" i="15"/>
  <c r="AC18" i="15"/>
  <c r="AC19" i="15"/>
  <c r="AC16" i="15"/>
  <c r="AC15" i="15"/>
  <c r="AC7" i="16"/>
  <c r="AC41" i="16" s="1"/>
  <c r="AD6" i="16"/>
  <c r="Z13" i="16"/>
  <c r="Z125" i="16" s="1"/>
  <c r="Z129" i="16" s="1"/>
  <c r="AB17" i="16"/>
  <c r="AB20" i="15"/>
  <c r="AA21" i="15"/>
  <c r="AA123" i="15" s="1"/>
  <c r="AD6" i="15"/>
  <c r="Y13" i="16"/>
  <c r="Y125" i="16" s="1"/>
  <c r="Y129" i="16" s="1"/>
  <c r="AA10" i="16"/>
  <c r="AA11" i="16" s="1"/>
  <c r="AA39" i="16" s="1"/>
  <c r="AA121" i="16" s="1"/>
  <c r="AC18" i="16"/>
  <c r="AC15" i="16"/>
  <c r="AC16" i="16"/>
  <c r="AC19" i="16"/>
  <c r="AD14" i="16"/>
  <c r="AB20" i="16"/>
  <c r="U40" i="12"/>
  <c r="U42" i="12" s="1"/>
  <c r="T41" i="12"/>
  <c r="CD27" i="58" l="1"/>
  <c r="CD9" i="58" s="1"/>
  <c r="AX9" i="58"/>
  <c r="AX4" i="59" s="1"/>
  <c r="CD4" i="59" s="1"/>
  <c r="DJ4" i="59" s="1"/>
  <c r="AY27" i="58"/>
  <c r="S9" i="58"/>
  <c r="S4" i="59" s="1"/>
  <c r="S4" i="58"/>
  <c r="AY4" i="58" s="1"/>
  <c r="CE4" i="58" s="1"/>
  <c r="AF26" i="55"/>
  <c r="BK26" i="55"/>
  <c r="DW26" i="55" s="1"/>
  <c r="T27" i="58"/>
  <c r="CF10" i="58"/>
  <c r="CF5" i="58"/>
  <c r="AE27" i="55"/>
  <c r="CP27" i="55"/>
  <c r="BJ27" i="55"/>
  <c r="DV27" i="55" s="1"/>
  <c r="P47" i="14"/>
  <c r="O69" i="14"/>
  <c r="O85" i="14"/>
  <c r="P67" i="14"/>
  <c r="Q45" i="14"/>
  <c r="P85" i="14"/>
  <c r="P68" i="14"/>
  <c r="P87" i="14" s="1"/>
  <c r="Q46" i="14"/>
  <c r="AA58" i="14"/>
  <c r="AA59" i="14" s="1"/>
  <c r="N88" i="14"/>
  <c r="R36" i="14"/>
  <c r="P35" i="14"/>
  <c r="P37" i="14" s="1"/>
  <c r="Q47" i="12"/>
  <c r="N167" i="12"/>
  <c r="O214" i="12"/>
  <c r="O224" i="12" s="1"/>
  <c r="N67" i="12"/>
  <c r="N23" i="12"/>
  <c r="S49" i="12"/>
  <c r="S45" i="12" s="1"/>
  <c r="R46" i="12"/>
  <c r="M37" i="12"/>
  <c r="N85" i="12"/>
  <c r="O39" i="12"/>
  <c r="Q70" i="14"/>
  <c r="Q66" i="14"/>
  <c r="Q71" i="14"/>
  <c r="Z59" i="12"/>
  <c r="N90" i="12"/>
  <c r="N35" i="12"/>
  <c r="N68" i="12"/>
  <c r="N89" i="12"/>
  <c r="O70" i="12"/>
  <c r="O71" i="12"/>
  <c r="O66" i="12"/>
  <c r="P36" i="12"/>
  <c r="Q22" i="14"/>
  <c r="P221" i="14"/>
  <c r="O22" i="14"/>
  <c r="O87" i="14" s="1"/>
  <c r="O89" i="14"/>
  <c r="Q21" i="14"/>
  <c r="O21" i="14"/>
  <c r="O86" i="14" s="1"/>
  <c r="O90" i="14"/>
  <c r="P90" i="14"/>
  <c r="P23" i="14"/>
  <c r="P89" i="14"/>
  <c r="Q220" i="14"/>
  <c r="AB218" i="14"/>
  <c r="AB60" i="14"/>
  <c r="AB56" i="14"/>
  <c r="AB61" i="14"/>
  <c r="AB57" i="14" s="1"/>
  <c r="R216" i="14"/>
  <c r="R49" i="14"/>
  <c r="R48" i="14"/>
  <c r="R44" i="14"/>
  <c r="S38" i="14"/>
  <c r="S34" i="14"/>
  <c r="Q215" i="14"/>
  <c r="Q39" i="14"/>
  <c r="O22" i="12"/>
  <c r="O21" i="12"/>
  <c r="AA61" i="12"/>
  <c r="AA57" i="12" s="1"/>
  <c r="AA56" i="12"/>
  <c r="AA60" i="12"/>
  <c r="AA58" i="12" s="1"/>
  <c r="S44" i="12"/>
  <c r="S48" i="12"/>
  <c r="Q34" i="12"/>
  <c r="P20" i="12"/>
  <c r="P24" i="12"/>
  <c r="Q38" i="12"/>
  <c r="N168" i="12"/>
  <c r="O92" i="12"/>
  <c r="O134" i="12"/>
  <c r="N39" i="20"/>
  <c r="O215" i="12"/>
  <c r="N221" i="12"/>
  <c r="N43" i="20"/>
  <c r="O220" i="12"/>
  <c r="O84" i="12"/>
  <c r="P65" i="12"/>
  <c r="Q32" i="12"/>
  <c r="O223" i="12"/>
  <c r="Q223" i="14"/>
  <c r="AA131" i="16"/>
  <c r="Q29" i="12"/>
  <c r="P33" i="12"/>
  <c r="P81" i="12"/>
  <c r="P213" i="12" s="1"/>
  <c r="P82" i="12"/>
  <c r="R30" i="12"/>
  <c r="S26" i="12"/>
  <c r="R31" i="12"/>
  <c r="R27" i="12"/>
  <c r="R28" i="12"/>
  <c r="R62" i="12"/>
  <c r="Q166" i="12"/>
  <c r="Q64" i="12"/>
  <c r="Q63" i="12"/>
  <c r="S122" i="12"/>
  <c r="S216" i="12"/>
  <c r="AC74" i="16"/>
  <c r="AC33" i="16"/>
  <c r="AC34" i="16"/>
  <c r="AC34" i="15"/>
  <c r="AC33" i="15"/>
  <c r="P39" i="19"/>
  <c r="AA112" i="12"/>
  <c r="AA218" i="12"/>
  <c r="Z75" i="16"/>
  <c r="AA43" i="15"/>
  <c r="AB54" i="15"/>
  <c r="P102" i="12"/>
  <c r="P217" i="12"/>
  <c r="AA60" i="16"/>
  <c r="Z43" i="28"/>
  <c r="Z43" i="29"/>
  <c r="AA42" i="19"/>
  <c r="AA60" i="15"/>
  <c r="AA42" i="16"/>
  <c r="AB35" i="15"/>
  <c r="AB128" i="15" s="1"/>
  <c r="Q84" i="14"/>
  <c r="AB40" i="15"/>
  <c r="AB122" i="15" s="1"/>
  <c r="AB132" i="15" s="1"/>
  <c r="R81" i="14"/>
  <c r="R213" i="14" s="1"/>
  <c r="AB40" i="16"/>
  <c r="AB122" i="16" s="1"/>
  <c r="AB132" i="16" s="1"/>
  <c r="R65" i="14"/>
  <c r="R134" i="14" s="1"/>
  <c r="T14" i="14"/>
  <c r="T15" i="14" s="1"/>
  <c r="T16" i="14" s="1"/>
  <c r="T17" i="14" s="1"/>
  <c r="P43" i="19"/>
  <c r="AB35" i="16"/>
  <c r="AB128" i="16" s="1"/>
  <c r="R82" i="14"/>
  <c r="R214" i="14" s="1"/>
  <c r="R224" i="14" s="1"/>
  <c r="S29" i="14"/>
  <c r="X76" i="16"/>
  <c r="U13" i="14"/>
  <c r="U83" i="14" s="1"/>
  <c r="CG28" i="58" s="1"/>
  <c r="V12" i="14"/>
  <c r="Y47" i="16"/>
  <c r="X40" i="29"/>
  <c r="T13" i="12"/>
  <c r="T83" i="12" s="1"/>
  <c r="T119" i="59" s="1"/>
  <c r="R19" i="14"/>
  <c r="R102" i="14" s="1"/>
  <c r="U40" i="14"/>
  <c r="U42" i="14" s="1"/>
  <c r="T41" i="14"/>
  <c r="T62" i="14"/>
  <c r="Q41" i="19"/>
  <c r="AD52" i="14"/>
  <c r="AE50" i="14"/>
  <c r="AD54" i="14"/>
  <c r="AD51" i="14"/>
  <c r="AB54" i="16"/>
  <c r="AA41" i="29"/>
  <c r="S64" i="14"/>
  <c r="S63" i="14"/>
  <c r="S32" i="14"/>
  <c r="S43" i="14"/>
  <c r="S122" i="14" s="1"/>
  <c r="Y75" i="16"/>
  <c r="AC74" i="15"/>
  <c r="AD32" i="15"/>
  <c r="Z47" i="16"/>
  <c r="Y40" i="29"/>
  <c r="AA43" i="16"/>
  <c r="Z39" i="29"/>
  <c r="T27" i="14"/>
  <c r="T30" i="14"/>
  <c r="T31" i="14"/>
  <c r="T28" i="14"/>
  <c r="U26" i="14"/>
  <c r="S15" i="14"/>
  <c r="R33" i="14"/>
  <c r="R92" i="14" s="1"/>
  <c r="AC53" i="14"/>
  <c r="AC55" i="14" s="1"/>
  <c r="AC112" i="14" s="1"/>
  <c r="Z75" i="15"/>
  <c r="Z76" i="15"/>
  <c r="AD7" i="15"/>
  <c r="AD41" i="15" s="1"/>
  <c r="CP33" i="58" s="1"/>
  <c r="AD32" i="58" s="1"/>
  <c r="BJ32" i="58" s="1"/>
  <c r="CP32" i="58" s="1"/>
  <c r="AA41" i="28"/>
  <c r="Z39" i="28"/>
  <c r="AD32" i="16"/>
  <c r="Z42" i="20"/>
  <c r="R41" i="20"/>
  <c r="O40" i="20"/>
  <c r="R19" i="12"/>
  <c r="R25" i="12" s="1"/>
  <c r="S14" i="12"/>
  <c r="S15" i="12" s="1"/>
  <c r="S16" i="12" s="1"/>
  <c r="S17" i="12" s="1"/>
  <c r="Q19" i="12"/>
  <c r="Q25" i="12" s="1"/>
  <c r="U12" i="12"/>
  <c r="AC25" i="15"/>
  <c r="AC124" i="15" s="1"/>
  <c r="AB53" i="12"/>
  <c r="AB55" i="12" s="1"/>
  <c r="AB10" i="15"/>
  <c r="AB11" i="15" s="1"/>
  <c r="T43" i="12"/>
  <c r="AD50" i="12"/>
  <c r="AC51" i="12"/>
  <c r="AC54" i="12"/>
  <c r="AC52" i="12"/>
  <c r="AC20" i="15"/>
  <c r="AC25" i="16"/>
  <c r="AC124" i="16" s="1"/>
  <c r="AC20" i="16"/>
  <c r="AB21" i="16"/>
  <c r="AB123" i="16" s="1"/>
  <c r="AC8" i="16"/>
  <c r="AC9" i="16" s="1"/>
  <c r="AA13" i="16"/>
  <c r="AA125" i="16" s="1"/>
  <c r="AA129" i="16" s="1"/>
  <c r="AD19" i="16"/>
  <c r="AD16" i="16"/>
  <c r="AD15" i="16"/>
  <c r="AD18" i="16"/>
  <c r="AE14" i="16"/>
  <c r="AA13" i="15"/>
  <c r="AA125" i="15" s="1"/>
  <c r="AA129" i="15" s="1"/>
  <c r="AC8" i="15"/>
  <c r="AB21" i="15"/>
  <c r="AB123" i="15" s="1"/>
  <c r="AD7" i="16"/>
  <c r="AD41" i="16" s="1"/>
  <c r="AE6" i="16"/>
  <c r="AD23" i="16"/>
  <c r="AE22" i="16"/>
  <c r="AE24" i="16" s="1"/>
  <c r="AC17" i="16"/>
  <c r="AE6" i="15"/>
  <c r="AC17" i="15"/>
  <c r="AE14" i="15"/>
  <c r="AD18" i="15"/>
  <c r="AD19" i="15"/>
  <c r="AD16" i="15"/>
  <c r="AD15" i="15"/>
  <c r="AE22" i="15"/>
  <c r="AE24" i="15" s="1"/>
  <c r="AD23" i="15"/>
  <c r="AB10" i="16"/>
  <c r="AB11" i="16" s="1"/>
  <c r="AB39" i="16" s="1"/>
  <c r="AB121" i="16" s="1"/>
  <c r="U41" i="12"/>
  <c r="V40" i="12"/>
  <c r="V42" i="12" s="1"/>
  <c r="CQ27" i="55" l="1"/>
  <c r="BK27" i="55"/>
  <c r="DW27" i="55" s="1"/>
  <c r="AF27" i="55"/>
  <c r="CE27" i="58"/>
  <c r="CE9" i="58" s="1"/>
  <c r="AY9" i="58"/>
  <c r="AY4" i="59" s="1"/>
  <c r="CE4" i="59" s="1"/>
  <c r="DK4" i="59" s="1"/>
  <c r="AZ27" i="58"/>
  <c r="T9" i="58"/>
  <c r="T4" i="59" s="1"/>
  <c r="T4" i="58"/>
  <c r="AZ4" i="58" s="1"/>
  <c r="CF4" i="58" s="1"/>
  <c r="U27" i="58"/>
  <c r="CG10" i="58"/>
  <c r="CG5" i="58"/>
  <c r="AG26" i="55"/>
  <c r="BM26" i="55" s="1"/>
  <c r="DY26" i="55" s="1"/>
  <c r="BL26" i="55"/>
  <c r="DX26" i="55" s="1"/>
  <c r="Q23" i="14"/>
  <c r="P69" i="14"/>
  <c r="P88" i="14" s="1"/>
  <c r="Q47" i="14"/>
  <c r="Q67" i="14"/>
  <c r="R47" i="12"/>
  <c r="R45" i="14"/>
  <c r="Q85" i="14"/>
  <c r="Q68" i="14"/>
  <c r="Q87" i="14" s="1"/>
  <c r="R46" i="14"/>
  <c r="AB58" i="14"/>
  <c r="AB59" i="14" s="1"/>
  <c r="P86" i="14"/>
  <c r="Q221" i="14"/>
  <c r="S36" i="14"/>
  <c r="Q35" i="14"/>
  <c r="Q37" i="14" s="1"/>
  <c r="P214" i="12"/>
  <c r="P224" i="12" s="1"/>
  <c r="O67" i="12"/>
  <c r="N86" i="12"/>
  <c r="T49" i="12"/>
  <c r="T45" i="12" s="1"/>
  <c r="S46" i="12"/>
  <c r="O85" i="12"/>
  <c r="N87" i="12"/>
  <c r="N37" i="12"/>
  <c r="O68" i="12"/>
  <c r="O89" i="12"/>
  <c r="R71" i="14"/>
  <c r="R66" i="14"/>
  <c r="R70" i="14"/>
  <c r="O35" i="12"/>
  <c r="O90" i="12"/>
  <c r="P70" i="12"/>
  <c r="P71" i="12"/>
  <c r="P66" i="12"/>
  <c r="Q36" i="12"/>
  <c r="P39" i="12"/>
  <c r="N69" i="12"/>
  <c r="O23" i="14"/>
  <c r="Q90" i="14"/>
  <c r="Q89" i="14"/>
  <c r="T38" i="14"/>
  <c r="R220" i="14"/>
  <c r="AC218" i="14"/>
  <c r="AC60" i="14"/>
  <c r="AC56" i="14"/>
  <c r="AC61" i="14"/>
  <c r="AC57" i="14" s="1"/>
  <c r="S216" i="14"/>
  <c r="S48" i="14"/>
  <c r="S44" i="14"/>
  <c r="S49" i="14"/>
  <c r="T34" i="14"/>
  <c r="R215" i="14"/>
  <c r="R39" i="14"/>
  <c r="R217" i="14"/>
  <c r="R25" i="14"/>
  <c r="R20" i="14"/>
  <c r="R24" i="14"/>
  <c r="P21" i="12"/>
  <c r="P22" i="12"/>
  <c r="O23" i="12"/>
  <c r="O167" i="12"/>
  <c r="AA59" i="12"/>
  <c r="AB56" i="12"/>
  <c r="AB61" i="12"/>
  <c r="AB57" i="12" s="1"/>
  <c r="AB60" i="12"/>
  <c r="AB58" i="12" s="1"/>
  <c r="T44" i="12"/>
  <c r="T48" i="12"/>
  <c r="Q24" i="12"/>
  <c r="Q20" i="12"/>
  <c r="R34" i="12"/>
  <c r="R38" i="12"/>
  <c r="R24" i="12"/>
  <c r="R20" i="12"/>
  <c r="O221" i="12"/>
  <c r="P134" i="12"/>
  <c r="O168" i="12"/>
  <c r="P220" i="12"/>
  <c r="O43" i="20"/>
  <c r="P84" i="12"/>
  <c r="Q65" i="12"/>
  <c r="Q81" i="12"/>
  <c r="Q213" i="12" s="1"/>
  <c r="P223" i="12"/>
  <c r="R223" i="14"/>
  <c r="Q33" i="12"/>
  <c r="Q82" i="12"/>
  <c r="AB131" i="16"/>
  <c r="R166" i="12"/>
  <c r="R64" i="12"/>
  <c r="R63" i="12"/>
  <c r="S27" i="12"/>
  <c r="S31" i="12"/>
  <c r="T26" i="12"/>
  <c r="S28" i="12"/>
  <c r="S30" i="12"/>
  <c r="S62" i="12"/>
  <c r="P92" i="12"/>
  <c r="O39" i="20"/>
  <c r="P215" i="12"/>
  <c r="R32" i="12"/>
  <c r="R29" i="12"/>
  <c r="AC54" i="15"/>
  <c r="Q102" i="12"/>
  <c r="Q217" i="12"/>
  <c r="AD74" i="16"/>
  <c r="AD33" i="16"/>
  <c r="AD34" i="16"/>
  <c r="AB43" i="15"/>
  <c r="R102" i="12"/>
  <c r="R217" i="12"/>
  <c r="T122" i="12"/>
  <c r="T216" i="12"/>
  <c r="AB112" i="12"/>
  <c r="AB218" i="12"/>
  <c r="AD74" i="15"/>
  <c r="AD33" i="15"/>
  <c r="AD34" i="15"/>
  <c r="AA43" i="29"/>
  <c r="AA43" i="28"/>
  <c r="AB60" i="15"/>
  <c r="S33" i="14"/>
  <c r="S92" i="14" s="1"/>
  <c r="AC40" i="16"/>
  <c r="AC122" i="16" s="1"/>
  <c r="AC132" i="16" s="1"/>
  <c r="AB60" i="16"/>
  <c r="U62" i="14"/>
  <c r="U64" i="14" s="1"/>
  <c r="R84" i="14"/>
  <c r="AB42" i="16"/>
  <c r="AC35" i="16"/>
  <c r="AC128" i="16" s="1"/>
  <c r="Q43" i="19"/>
  <c r="AC40" i="15"/>
  <c r="AC122" i="15" s="1"/>
  <c r="AC132" i="15" s="1"/>
  <c r="Z76" i="16"/>
  <c r="S65" i="14"/>
  <c r="S134" i="14" s="1"/>
  <c r="AC35" i="15"/>
  <c r="AC128" i="15" s="1"/>
  <c r="AD53" i="14"/>
  <c r="AD55" i="14" s="1"/>
  <c r="AD112" i="14" s="1"/>
  <c r="T43" i="14"/>
  <c r="T122" i="14" s="1"/>
  <c r="T19" i="14"/>
  <c r="T102" i="14" s="1"/>
  <c r="AB42" i="19"/>
  <c r="T63" i="14"/>
  <c r="T64" i="14"/>
  <c r="Y76" i="16"/>
  <c r="AB43" i="16"/>
  <c r="AA39" i="29"/>
  <c r="AB39" i="15"/>
  <c r="AB121" i="15" s="1"/>
  <c r="Q39" i="19"/>
  <c r="S16" i="14"/>
  <c r="S17" i="14" s="1"/>
  <c r="T32" i="14"/>
  <c r="Q40" i="19"/>
  <c r="AE32" i="15"/>
  <c r="AA47" i="16"/>
  <c r="Z40" i="29"/>
  <c r="AC54" i="16"/>
  <c r="AB41" i="29"/>
  <c r="U27" i="14"/>
  <c r="V26" i="14"/>
  <c r="U31" i="14"/>
  <c r="U30" i="14"/>
  <c r="U28" i="14"/>
  <c r="T29" i="14"/>
  <c r="R41" i="19"/>
  <c r="S82" i="14"/>
  <c r="S214" i="14" s="1"/>
  <c r="S224" i="14" s="1"/>
  <c r="AE52" i="14"/>
  <c r="AF50" i="14"/>
  <c r="AE54" i="14"/>
  <c r="AE51" i="14"/>
  <c r="U14" i="14"/>
  <c r="V40" i="14"/>
  <c r="V42" i="14" s="1"/>
  <c r="U41" i="14"/>
  <c r="V13" i="14"/>
  <c r="V83" i="14" s="1"/>
  <c r="CH28" i="58" s="1"/>
  <c r="W12" i="14"/>
  <c r="AA75" i="16"/>
  <c r="AA47" i="15"/>
  <c r="AE7" i="15"/>
  <c r="AE41" i="15" s="1"/>
  <c r="CQ33" i="58" s="1"/>
  <c r="AE32" i="58" s="1"/>
  <c r="BK32" i="58" s="1"/>
  <c r="CQ32" i="58" s="1"/>
  <c r="Z40" i="28"/>
  <c r="AA39" i="28"/>
  <c r="AA42" i="15"/>
  <c r="AB41" i="28"/>
  <c r="AE32" i="16"/>
  <c r="AA42" i="20"/>
  <c r="S41" i="20"/>
  <c r="Q40" i="20"/>
  <c r="P40" i="20"/>
  <c r="U13" i="12"/>
  <c r="U83" i="12" s="1"/>
  <c r="U119" i="59" s="1"/>
  <c r="T14" i="12"/>
  <c r="T15" i="12" s="1"/>
  <c r="T16" i="12" s="1"/>
  <c r="T17" i="12" s="1"/>
  <c r="V12" i="12"/>
  <c r="S19" i="12"/>
  <c r="S25" i="12" s="1"/>
  <c r="AC21" i="15"/>
  <c r="AC123" i="15" s="1"/>
  <c r="AB13" i="15"/>
  <c r="AB125" i="15" s="1"/>
  <c r="AC53" i="12"/>
  <c r="AC55" i="12" s="1"/>
  <c r="AC21" i="16"/>
  <c r="AC123" i="16" s="1"/>
  <c r="U43" i="12"/>
  <c r="AE50" i="12"/>
  <c r="AD51" i="12"/>
  <c r="AD54" i="12"/>
  <c r="AD52" i="12"/>
  <c r="AD17" i="15"/>
  <c r="AD25" i="16"/>
  <c r="AD124" i="16" s="1"/>
  <c r="AD25" i="15"/>
  <c r="AD124" i="15" s="1"/>
  <c r="AD20" i="15"/>
  <c r="AD8" i="16"/>
  <c r="AD9" i="16" s="1"/>
  <c r="AB13" i="16"/>
  <c r="AB125" i="16" s="1"/>
  <c r="AB129" i="16" s="1"/>
  <c r="AF14" i="15"/>
  <c r="AE19" i="15"/>
  <c r="AE16" i="15"/>
  <c r="AE15" i="15"/>
  <c r="AE18" i="15"/>
  <c r="AE23" i="16"/>
  <c r="AF22" i="16"/>
  <c r="AF24" i="16" s="1"/>
  <c r="AF6" i="16"/>
  <c r="AE7" i="16"/>
  <c r="AE41" i="16" s="1"/>
  <c r="AE19" i="16"/>
  <c r="AE16" i="16"/>
  <c r="AE18" i="16"/>
  <c r="AE15" i="16"/>
  <c r="AF14" i="16"/>
  <c r="AF22" i="15"/>
  <c r="AF24" i="15" s="1"/>
  <c r="AE23" i="15"/>
  <c r="AF6" i="15"/>
  <c r="AD20" i="16"/>
  <c r="AD8" i="15"/>
  <c r="AC9" i="15"/>
  <c r="AC10" i="16"/>
  <c r="AC11" i="16" s="1"/>
  <c r="AC39" i="16" s="1"/>
  <c r="AC121" i="16" s="1"/>
  <c r="AD17" i="16"/>
  <c r="W40" i="12"/>
  <c r="W42" i="12" s="1"/>
  <c r="V41" i="12"/>
  <c r="V27" i="58" l="1"/>
  <c r="CH10" i="58"/>
  <c r="CH5" i="58"/>
  <c r="U9" i="58"/>
  <c r="U4" i="59" s="1"/>
  <c r="BA27" i="58"/>
  <c r="U4" i="58"/>
  <c r="BA4" i="58" s="1"/>
  <c r="CG4" i="58" s="1"/>
  <c r="CR27" i="55"/>
  <c r="AG27" i="55"/>
  <c r="BL27" i="55"/>
  <c r="DX27" i="55" s="1"/>
  <c r="CF27" i="58"/>
  <c r="CF9" i="58" s="1"/>
  <c r="AZ9" i="58"/>
  <c r="AZ4" i="59" s="1"/>
  <c r="CF4" i="59" s="1"/>
  <c r="DL4" i="59" s="1"/>
  <c r="R47" i="14"/>
  <c r="Q69" i="14"/>
  <c r="Q88" i="14" s="1"/>
  <c r="S47" i="12"/>
  <c r="R67" i="14"/>
  <c r="S45" i="14"/>
  <c r="R68" i="14"/>
  <c r="S46" i="14"/>
  <c r="AC58" i="14"/>
  <c r="AC59" i="14" s="1"/>
  <c r="O88" i="14"/>
  <c r="R35" i="14"/>
  <c r="R37" i="14" s="1"/>
  <c r="T36" i="14"/>
  <c r="Q86" i="14"/>
  <c r="Q214" i="12"/>
  <c r="Q224" i="12" s="1"/>
  <c r="O69" i="12"/>
  <c r="P67" i="12"/>
  <c r="T46" i="12"/>
  <c r="U49" i="12"/>
  <c r="U45" i="12" s="1"/>
  <c r="N88" i="12"/>
  <c r="P85" i="12"/>
  <c r="O37" i="12"/>
  <c r="O87" i="12"/>
  <c r="O86" i="12"/>
  <c r="Q39" i="12"/>
  <c r="Q71" i="12"/>
  <c r="Q66" i="12"/>
  <c r="Q70" i="12"/>
  <c r="P68" i="12"/>
  <c r="P89" i="12"/>
  <c r="S70" i="14"/>
  <c r="S71" i="14"/>
  <c r="S66" i="14"/>
  <c r="R36" i="12"/>
  <c r="P90" i="12"/>
  <c r="P35" i="12"/>
  <c r="R21" i="14"/>
  <c r="R90" i="14"/>
  <c r="R22" i="14"/>
  <c r="R89" i="14"/>
  <c r="R85" i="14"/>
  <c r="U38" i="14"/>
  <c r="R221" i="14"/>
  <c r="S220" i="14"/>
  <c r="AD218" i="14"/>
  <c r="AD61" i="14"/>
  <c r="AD57" i="14" s="1"/>
  <c r="AD60" i="14"/>
  <c r="AD56" i="14"/>
  <c r="T216" i="14"/>
  <c r="T48" i="14"/>
  <c r="T44" i="14"/>
  <c r="T49" i="14"/>
  <c r="U34" i="14"/>
  <c r="S215" i="14"/>
  <c r="S39" i="14"/>
  <c r="T217" i="14"/>
  <c r="T24" i="14"/>
  <c r="T20" i="14"/>
  <c r="T25" i="14"/>
  <c r="Q22" i="12"/>
  <c r="R21" i="12"/>
  <c r="R22" i="12"/>
  <c r="Q21" i="12"/>
  <c r="P23" i="12"/>
  <c r="AB59" i="12"/>
  <c r="P167" i="12"/>
  <c r="AC60" i="12"/>
  <c r="AC58" i="12" s="1"/>
  <c r="AC56" i="12"/>
  <c r="AC61" i="12"/>
  <c r="AC57" i="12" s="1"/>
  <c r="U48" i="12"/>
  <c r="U44" i="12"/>
  <c r="S34" i="12"/>
  <c r="S20" i="12"/>
  <c r="S24" i="12"/>
  <c r="S38" i="12"/>
  <c r="P39" i="20"/>
  <c r="Q92" i="12"/>
  <c r="Q215" i="12"/>
  <c r="Q220" i="12"/>
  <c r="P221" i="12"/>
  <c r="P168" i="12"/>
  <c r="AD40" i="16"/>
  <c r="AD122" i="16" s="1"/>
  <c r="AD132" i="16" s="1"/>
  <c r="AB131" i="15"/>
  <c r="AB129" i="15"/>
  <c r="P43" i="20"/>
  <c r="Q134" i="12"/>
  <c r="R65" i="12"/>
  <c r="S32" i="12"/>
  <c r="Q223" i="12"/>
  <c r="Q84" i="12"/>
  <c r="AC131" i="16"/>
  <c r="T31" i="12"/>
  <c r="T30" i="12"/>
  <c r="U26" i="12"/>
  <c r="T28" i="12"/>
  <c r="T27" i="12"/>
  <c r="T62" i="12"/>
  <c r="R82" i="12"/>
  <c r="R33" i="12"/>
  <c r="R81" i="12"/>
  <c r="S166" i="12"/>
  <c r="S63" i="12"/>
  <c r="S64" i="12"/>
  <c r="S29" i="12"/>
  <c r="U63" i="14"/>
  <c r="U65" i="14" s="1"/>
  <c r="U134" i="14" s="1"/>
  <c r="S102" i="12"/>
  <c r="S217" i="12"/>
  <c r="AE34" i="16"/>
  <c r="AE33" i="16"/>
  <c r="U122" i="12"/>
  <c r="U216" i="12"/>
  <c r="R39" i="19"/>
  <c r="AD54" i="15"/>
  <c r="AC42" i="19"/>
  <c r="AE33" i="15"/>
  <c r="AE34" i="15"/>
  <c r="S41" i="19"/>
  <c r="AC112" i="12"/>
  <c r="AC218" i="12"/>
  <c r="AC43" i="15"/>
  <c r="AB43" i="29"/>
  <c r="AB42" i="15"/>
  <c r="AB75" i="15" s="1"/>
  <c r="AB43" i="28"/>
  <c r="AC60" i="16"/>
  <c r="AC60" i="15"/>
  <c r="AD35" i="16"/>
  <c r="AD128" i="16" s="1"/>
  <c r="AC42" i="16"/>
  <c r="T33" i="14"/>
  <c r="T92" i="14" s="1"/>
  <c r="AD40" i="15"/>
  <c r="AD122" i="15" s="1"/>
  <c r="AD132" i="15" s="1"/>
  <c r="V62" i="14"/>
  <c r="T82" i="14"/>
  <c r="T214" i="14" s="1"/>
  <c r="T224" i="14" s="1"/>
  <c r="R43" i="19"/>
  <c r="AD35" i="15"/>
  <c r="AD128" i="15" s="1"/>
  <c r="U43" i="14"/>
  <c r="U122" i="14" s="1"/>
  <c r="U32" i="14"/>
  <c r="U82" i="14" s="1"/>
  <c r="U214" i="14" s="1"/>
  <c r="U224" i="14" s="1"/>
  <c r="S81" i="14"/>
  <c r="S213" i="14" s="1"/>
  <c r="S19" i="14"/>
  <c r="S102" i="14" s="1"/>
  <c r="X12" i="14"/>
  <c r="W13" i="14"/>
  <c r="W83" i="14" s="1"/>
  <c r="CI28" i="58" s="1"/>
  <c r="U29" i="14"/>
  <c r="AB47" i="16"/>
  <c r="AA40" i="29"/>
  <c r="AF32" i="15"/>
  <c r="AG50" i="14"/>
  <c r="AF51" i="14"/>
  <c r="AF52" i="14"/>
  <c r="AF54" i="14"/>
  <c r="AE74" i="16"/>
  <c r="T65" i="14"/>
  <c r="T134" i="14" s="1"/>
  <c r="S40" i="19"/>
  <c r="AD54" i="16"/>
  <c r="AC41" i="29"/>
  <c r="U15" i="14"/>
  <c r="U16" i="14" s="1"/>
  <c r="AE74" i="15"/>
  <c r="T81" i="14"/>
  <c r="T213" i="14" s="1"/>
  <c r="AB75" i="16"/>
  <c r="AC43" i="16"/>
  <c r="AB39" i="29"/>
  <c r="V14" i="14"/>
  <c r="W40" i="14"/>
  <c r="W42" i="14" s="1"/>
  <c r="V41" i="14"/>
  <c r="AA76" i="16"/>
  <c r="AE53" i="14"/>
  <c r="AE55" i="14" s="1"/>
  <c r="AE112" i="14" s="1"/>
  <c r="V28" i="14"/>
  <c r="W26" i="14"/>
  <c r="V31" i="14"/>
  <c r="V30" i="14"/>
  <c r="V27" i="14"/>
  <c r="AB47" i="15"/>
  <c r="AA75" i="15"/>
  <c r="AA76" i="15"/>
  <c r="AF7" i="15"/>
  <c r="AF41" i="15" s="1"/>
  <c r="CR33" i="58" s="1"/>
  <c r="AF32" i="58" s="1"/>
  <c r="BL32" i="58" s="1"/>
  <c r="CR32" i="58" s="1"/>
  <c r="AA40" i="28"/>
  <c r="AC41" i="28"/>
  <c r="AB39" i="28"/>
  <c r="AF32" i="16"/>
  <c r="AB42" i="20"/>
  <c r="T41" i="20"/>
  <c r="R40" i="20"/>
  <c r="T19" i="12"/>
  <c r="T25" i="12" s="1"/>
  <c r="V13" i="12"/>
  <c r="V83" i="12" s="1"/>
  <c r="V119" i="59" s="1"/>
  <c r="W12" i="12"/>
  <c r="X12" i="12" s="1"/>
  <c r="U14" i="12"/>
  <c r="V43" i="12"/>
  <c r="AD53" i="12"/>
  <c r="AD55" i="12" s="1"/>
  <c r="AD21" i="15"/>
  <c r="AD123" i="15" s="1"/>
  <c r="AF50" i="12"/>
  <c r="AE52" i="12"/>
  <c r="AE51" i="12"/>
  <c r="AE54" i="12"/>
  <c r="AE17" i="15"/>
  <c r="AE17" i="16"/>
  <c r="AE8" i="15"/>
  <c r="AE9" i="15" s="1"/>
  <c r="AE10" i="15" s="1"/>
  <c r="AE11" i="15" s="1"/>
  <c r="AE20" i="16"/>
  <c r="AE25" i="15"/>
  <c r="AE124" i="15" s="1"/>
  <c r="AE20" i="15"/>
  <c r="AE25" i="16"/>
  <c r="AE124" i="16" s="1"/>
  <c r="AC13" i="16"/>
  <c r="AC125" i="16" s="1"/>
  <c r="AC129" i="16" s="1"/>
  <c r="AG6" i="16"/>
  <c r="AF7" i="16"/>
  <c r="AF41" i="16" s="1"/>
  <c r="AD21" i="16"/>
  <c r="AD123" i="16" s="1"/>
  <c r="AG22" i="15"/>
  <c r="AG24" i="15" s="1"/>
  <c r="AF23" i="15"/>
  <c r="AE8" i="16"/>
  <c r="AF23" i="16"/>
  <c r="AG22" i="16"/>
  <c r="AG24" i="16" s="1"/>
  <c r="AG14" i="15"/>
  <c r="AF19" i="15"/>
  <c r="AF16" i="15"/>
  <c r="AF15" i="15"/>
  <c r="AF18" i="15"/>
  <c r="AC10" i="15"/>
  <c r="AC11" i="15" s="1"/>
  <c r="AC39" i="15" s="1"/>
  <c r="AC121" i="15" s="1"/>
  <c r="AG6" i="15"/>
  <c r="AD9" i="15"/>
  <c r="AD10" i="15" s="1"/>
  <c r="AD11" i="15" s="1"/>
  <c r="AD39" i="15" s="1"/>
  <c r="AD121" i="15" s="1"/>
  <c r="AD10" i="16"/>
  <c r="AD11" i="16" s="1"/>
  <c r="AD39" i="16" s="1"/>
  <c r="AD121" i="16" s="1"/>
  <c r="AF18" i="16"/>
  <c r="AF15" i="16"/>
  <c r="AF16" i="16"/>
  <c r="AF19" i="16"/>
  <c r="AG14" i="16"/>
  <c r="X40" i="12"/>
  <c r="X42" i="12" s="1"/>
  <c r="W41" i="12"/>
  <c r="W27" i="58" l="1"/>
  <c r="CI10" i="58"/>
  <c r="CI5" i="58"/>
  <c r="CG27" i="58"/>
  <c r="CG9" i="58" s="1"/>
  <c r="BA9" i="58"/>
  <c r="BA4" i="59" s="1"/>
  <c r="CG4" i="59" s="1"/>
  <c r="DM4" i="59" s="1"/>
  <c r="BM27" i="55"/>
  <c r="DY27" i="55" s="1"/>
  <c r="CS27" i="55"/>
  <c r="BB27" i="58"/>
  <c r="V9" i="58"/>
  <c r="V4" i="59" s="1"/>
  <c r="V4" i="58"/>
  <c r="BB4" i="58" s="1"/>
  <c r="CH4" i="58" s="1"/>
  <c r="O88" i="12"/>
  <c r="R86" i="14"/>
  <c r="R69" i="14"/>
  <c r="S47" i="14"/>
  <c r="S67" i="14"/>
  <c r="T45" i="14"/>
  <c r="R87" i="14"/>
  <c r="T47" i="12"/>
  <c r="S68" i="14"/>
  <c r="T46" i="14"/>
  <c r="AD58" i="14"/>
  <c r="AD59" i="14" s="1"/>
  <c r="U36" i="14"/>
  <c r="S35" i="14"/>
  <c r="S37" i="14" s="1"/>
  <c r="R214" i="12"/>
  <c r="R224" i="12" s="1"/>
  <c r="Q67" i="12"/>
  <c r="P86" i="12"/>
  <c r="U46" i="12"/>
  <c r="V49" i="12"/>
  <c r="V45" i="12" s="1"/>
  <c r="P87" i="12"/>
  <c r="P37" i="12"/>
  <c r="Q85" i="12"/>
  <c r="R23" i="14"/>
  <c r="P69" i="12"/>
  <c r="Q90" i="12"/>
  <c r="Q35" i="12"/>
  <c r="Q68" i="12"/>
  <c r="Q89" i="12"/>
  <c r="R39" i="12"/>
  <c r="T71" i="14"/>
  <c r="T70" i="14"/>
  <c r="T66" i="14"/>
  <c r="U70" i="14"/>
  <c r="U66" i="14"/>
  <c r="U71" i="14"/>
  <c r="S36" i="12"/>
  <c r="R66" i="12"/>
  <c r="R71" i="12"/>
  <c r="R70" i="12"/>
  <c r="T22" i="14"/>
  <c r="T21" i="14"/>
  <c r="V34" i="14"/>
  <c r="T220" i="14"/>
  <c r="U220" i="14"/>
  <c r="AE218" i="14"/>
  <c r="AE60" i="14"/>
  <c r="AE56" i="14"/>
  <c r="AE61" i="14"/>
  <c r="AE57" i="14" s="1"/>
  <c r="U216" i="14"/>
  <c r="U48" i="14"/>
  <c r="U44" i="14"/>
  <c r="U49" i="14"/>
  <c r="T215" i="14"/>
  <c r="T39" i="14"/>
  <c r="V38" i="14"/>
  <c r="S217" i="14"/>
  <c r="S221" i="14" s="1"/>
  <c r="S25" i="14"/>
  <c r="S24" i="14"/>
  <c r="S20" i="14"/>
  <c r="Q23" i="12"/>
  <c r="S22" i="12"/>
  <c r="S21" i="12"/>
  <c r="R23" i="12"/>
  <c r="AC59" i="12"/>
  <c r="AD60" i="12"/>
  <c r="AD58" i="12" s="1"/>
  <c r="AD61" i="12"/>
  <c r="AD57" i="12" s="1"/>
  <c r="AD56" i="12"/>
  <c r="V48" i="12"/>
  <c r="V44" i="12"/>
  <c r="T34" i="12"/>
  <c r="T20" i="12"/>
  <c r="T24" i="12"/>
  <c r="T38" i="12"/>
  <c r="Q221" i="12"/>
  <c r="Q168" i="12"/>
  <c r="R220" i="12"/>
  <c r="AC131" i="15"/>
  <c r="AD131" i="15"/>
  <c r="S82" i="12"/>
  <c r="R134" i="12"/>
  <c r="Q43" i="20"/>
  <c r="Q167" i="12"/>
  <c r="T29" i="12"/>
  <c r="T223" i="14"/>
  <c r="S223" i="14"/>
  <c r="T32" i="12"/>
  <c r="AD131" i="16"/>
  <c r="S65" i="12"/>
  <c r="R213" i="12"/>
  <c r="R84" i="12"/>
  <c r="T166" i="12"/>
  <c r="T64" i="12"/>
  <c r="T63" i="12"/>
  <c r="R215" i="12"/>
  <c r="Q39" i="20"/>
  <c r="R92" i="12"/>
  <c r="S33" i="12"/>
  <c r="S81" i="12"/>
  <c r="V26" i="12"/>
  <c r="U30" i="12"/>
  <c r="U28" i="12"/>
  <c r="U31" i="12"/>
  <c r="U27" i="12"/>
  <c r="U62" i="12"/>
  <c r="AE54" i="15"/>
  <c r="V122" i="12"/>
  <c r="V216" i="12"/>
  <c r="T102" i="12"/>
  <c r="T217" i="12"/>
  <c r="T41" i="19"/>
  <c r="S39" i="19"/>
  <c r="AD112" i="12"/>
  <c r="AD218" i="12"/>
  <c r="AD43" i="15"/>
  <c r="AF34" i="16"/>
  <c r="AF33" i="16"/>
  <c r="AF34" i="15"/>
  <c r="AF33" i="15"/>
  <c r="AD60" i="16"/>
  <c r="AD42" i="16"/>
  <c r="AD60" i="15"/>
  <c r="S84" i="14"/>
  <c r="AC43" i="29"/>
  <c r="AE40" i="15"/>
  <c r="AE122" i="15" s="1"/>
  <c r="AE132" i="15" s="1"/>
  <c r="AE35" i="16"/>
  <c r="AE128" i="16" s="1"/>
  <c r="AE40" i="16"/>
  <c r="AE122" i="16" s="1"/>
  <c r="AE132" i="16" s="1"/>
  <c r="V64" i="14"/>
  <c r="AB76" i="16"/>
  <c r="AE35" i="15"/>
  <c r="AE128" i="15" s="1"/>
  <c r="V29" i="14"/>
  <c r="T84" i="14"/>
  <c r="AB76" i="15"/>
  <c r="T43" i="19"/>
  <c r="V63" i="14"/>
  <c r="V32" i="14"/>
  <c r="AC43" i="28"/>
  <c r="W14" i="14"/>
  <c r="W15" i="14" s="1"/>
  <c r="W16" i="14" s="1"/>
  <c r="W17" i="14" s="1"/>
  <c r="AE39" i="15"/>
  <c r="AE121" i="15" s="1"/>
  <c r="V43" i="14"/>
  <c r="V122" i="14" s="1"/>
  <c r="AF53" i="14"/>
  <c r="AF55" i="14" s="1"/>
  <c r="AF112" i="14" s="1"/>
  <c r="U33" i="14"/>
  <c r="U92" i="14" s="1"/>
  <c r="AC47" i="16"/>
  <c r="AB40" i="29"/>
  <c r="AG52" i="14"/>
  <c r="AH50" i="14"/>
  <c r="AG54" i="14"/>
  <c r="AG51" i="14"/>
  <c r="AC75" i="16"/>
  <c r="R40" i="19"/>
  <c r="AD43" i="16"/>
  <c r="AC39" i="29"/>
  <c r="AE54" i="16"/>
  <c r="AD41" i="29"/>
  <c r="W13" i="12"/>
  <c r="W83" i="12" s="1"/>
  <c r="W119" i="59" s="1"/>
  <c r="AD42" i="19"/>
  <c r="W41" i="14"/>
  <c r="X40" i="14"/>
  <c r="X42" i="14" s="1"/>
  <c r="AG32" i="15"/>
  <c r="AF74" i="16"/>
  <c r="S43" i="19"/>
  <c r="AF74" i="15"/>
  <c r="Y12" i="14"/>
  <c r="X13" i="14"/>
  <c r="X83" i="14" s="1"/>
  <c r="CJ28" i="58" s="1"/>
  <c r="W27" i="14"/>
  <c r="X26" i="14"/>
  <c r="W31" i="14"/>
  <c r="W28" i="14"/>
  <c r="W30" i="14"/>
  <c r="V15" i="14"/>
  <c r="V16" i="14" s="1"/>
  <c r="V17" i="14" s="1"/>
  <c r="U17" i="14"/>
  <c r="W62" i="14"/>
  <c r="AD41" i="28"/>
  <c r="AG7" i="15"/>
  <c r="AG41" i="15" s="1"/>
  <c r="CS33" i="58" s="1"/>
  <c r="AG32" i="58" s="1"/>
  <c r="BM32" i="58" s="1"/>
  <c r="CS32" i="58" s="1"/>
  <c r="AD42" i="15"/>
  <c r="AC39" i="28"/>
  <c r="AG32" i="16"/>
  <c r="AC42" i="20"/>
  <c r="U41" i="20"/>
  <c r="S40" i="20"/>
  <c r="V14" i="12"/>
  <c r="V15" i="12" s="1"/>
  <c r="V16" i="12" s="1"/>
  <c r="V17" i="12" s="1"/>
  <c r="U15" i="12"/>
  <c r="U16" i="12" s="1"/>
  <c r="U17" i="12" s="1"/>
  <c r="AE53" i="12"/>
  <c r="AE55" i="12" s="1"/>
  <c r="AF25" i="15"/>
  <c r="AF124" i="15" s="1"/>
  <c r="AE21" i="16"/>
  <c r="AE123" i="16" s="1"/>
  <c r="W43" i="12"/>
  <c r="AG50" i="12"/>
  <c r="AF52" i="12"/>
  <c r="AF51" i="12"/>
  <c r="AF54" i="12"/>
  <c r="AF17" i="16"/>
  <c r="AF20" i="16"/>
  <c r="AE21" i="15"/>
  <c r="AE123" i="15" s="1"/>
  <c r="AF25" i="16"/>
  <c r="AF124" i="16" s="1"/>
  <c r="AD13" i="15"/>
  <c r="AD125" i="15" s="1"/>
  <c r="AD129" i="15" s="1"/>
  <c r="AF8" i="15"/>
  <c r="AF9" i="15" s="1"/>
  <c r="AF17" i="15"/>
  <c r="AC13" i="15"/>
  <c r="AC125" i="15" s="1"/>
  <c r="AC129" i="15" s="1"/>
  <c r="AE13" i="15"/>
  <c r="AE125" i="15" s="1"/>
  <c r="AD13" i="16"/>
  <c r="AD125" i="16" s="1"/>
  <c r="AD129" i="16" s="1"/>
  <c r="AH6" i="16"/>
  <c r="AG7" i="16"/>
  <c r="AG41" i="16" s="1"/>
  <c r="AG18" i="16"/>
  <c r="AG15" i="16"/>
  <c r="AG19" i="16"/>
  <c r="AG16" i="16"/>
  <c r="AH14" i="16"/>
  <c r="AF20" i="15"/>
  <c r="AG23" i="16"/>
  <c r="AH22" i="16"/>
  <c r="AH24" i="16" s="1"/>
  <c r="AF8" i="16"/>
  <c r="AH14" i="15"/>
  <c r="AG18" i="15"/>
  <c r="AG15" i="15"/>
  <c r="AG19" i="15"/>
  <c r="AG16" i="15"/>
  <c r="AH6" i="15"/>
  <c r="AE9" i="16"/>
  <c r="AH22" i="15"/>
  <c r="AH24" i="15" s="1"/>
  <c r="AG23" i="15"/>
  <c r="X41" i="12"/>
  <c r="Y40" i="12"/>
  <c r="Y42" i="12" s="1"/>
  <c r="X27" i="58" l="1"/>
  <c r="CJ10" i="58"/>
  <c r="CJ5" i="58"/>
  <c r="CH27" i="58"/>
  <c r="CH9" i="58" s="1"/>
  <c r="BB9" i="58"/>
  <c r="BB4" i="59" s="1"/>
  <c r="CH4" i="59" s="1"/>
  <c r="DN4" i="59" s="1"/>
  <c r="W9" i="58"/>
  <c r="W4" i="59" s="1"/>
  <c r="BC27" i="58"/>
  <c r="W4" i="58"/>
  <c r="BC4" i="58" s="1"/>
  <c r="CI4" i="58" s="1"/>
  <c r="T47" i="14"/>
  <c r="S69" i="14"/>
  <c r="S85" i="14"/>
  <c r="Q86" i="12"/>
  <c r="U67" i="14"/>
  <c r="U47" i="12"/>
  <c r="U45" i="14"/>
  <c r="T67" i="14"/>
  <c r="T85" i="14"/>
  <c r="T68" i="14"/>
  <c r="U68" i="14"/>
  <c r="U46" i="14"/>
  <c r="AE58" i="14"/>
  <c r="AE59" i="14" s="1"/>
  <c r="R88" i="14"/>
  <c r="V36" i="14"/>
  <c r="T35" i="14"/>
  <c r="T37" i="14" s="1"/>
  <c r="S214" i="12"/>
  <c r="S224" i="12" s="1"/>
  <c r="R67" i="12"/>
  <c r="T36" i="12"/>
  <c r="P88" i="12"/>
  <c r="W49" i="12"/>
  <c r="W45" i="12" s="1"/>
  <c r="V46" i="12"/>
  <c r="Q87" i="12"/>
  <c r="Q37" i="12"/>
  <c r="R85" i="12"/>
  <c r="Q69" i="12"/>
  <c r="R90" i="12"/>
  <c r="R35" i="12"/>
  <c r="S39" i="12"/>
  <c r="S66" i="12"/>
  <c r="S70" i="12"/>
  <c r="S71" i="12"/>
  <c r="R68" i="12"/>
  <c r="R89" i="12"/>
  <c r="T89" i="14"/>
  <c r="S21" i="14"/>
  <c r="S86" i="14" s="1"/>
  <c r="S90" i="14"/>
  <c r="S22" i="14"/>
  <c r="S87" i="14" s="1"/>
  <c r="S89" i="14"/>
  <c r="T23" i="14"/>
  <c r="T90" i="14"/>
  <c r="T221" i="14"/>
  <c r="AF218" i="14"/>
  <c r="AF60" i="14"/>
  <c r="AF56" i="14"/>
  <c r="AF61" i="14"/>
  <c r="AF57" i="14" s="1"/>
  <c r="V216" i="14"/>
  <c r="V49" i="14"/>
  <c r="V48" i="14"/>
  <c r="V44" i="14"/>
  <c r="W38" i="14"/>
  <c r="U215" i="14"/>
  <c r="U39" i="14"/>
  <c r="W34" i="14"/>
  <c r="S23" i="12"/>
  <c r="T22" i="12"/>
  <c r="T21" i="12"/>
  <c r="AE61" i="12"/>
  <c r="AE57" i="12" s="1"/>
  <c r="AE60" i="12"/>
  <c r="AE58" i="12" s="1"/>
  <c r="AE56" i="12"/>
  <c r="AD59" i="12"/>
  <c r="W44" i="12"/>
  <c r="W48" i="12"/>
  <c r="U38" i="12"/>
  <c r="U34" i="12"/>
  <c r="T82" i="12"/>
  <c r="W19" i="14"/>
  <c r="W102" i="14" s="1"/>
  <c r="AE129" i="15"/>
  <c r="AE131" i="15"/>
  <c r="T81" i="12"/>
  <c r="T33" i="12"/>
  <c r="R223" i="12"/>
  <c r="R221" i="12"/>
  <c r="T65" i="12"/>
  <c r="R43" i="20"/>
  <c r="S134" i="12"/>
  <c r="S220" i="12"/>
  <c r="U166" i="12"/>
  <c r="U64" i="12"/>
  <c r="U63" i="12"/>
  <c r="U32" i="12"/>
  <c r="S84" i="12"/>
  <c r="S213" i="12"/>
  <c r="R167" i="12"/>
  <c r="R168" i="12"/>
  <c r="U29" i="12"/>
  <c r="V31" i="12"/>
  <c r="W26" i="12"/>
  <c r="V30" i="12"/>
  <c r="V27" i="12"/>
  <c r="V28" i="12"/>
  <c r="V62" i="12"/>
  <c r="S92" i="12"/>
  <c r="S215" i="12"/>
  <c r="R39" i="20"/>
  <c r="AF54" i="15"/>
  <c r="AG34" i="15"/>
  <c r="AG33" i="15"/>
  <c r="AL117" i="15"/>
  <c r="AM94" i="15"/>
  <c r="AL94" i="15"/>
  <c r="W122" i="12"/>
  <c r="W216" i="12"/>
  <c r="AG74" i="16"/>
  <c r="AG33" i="16"/>
  <c r="AG34" i="16"/>
  <c r="AL110" i="15"/>
  <c r="AL86" i="15"/>
  <c r="AM86" i="15"/>
  <c r="AE43" i="15"/>
  <c r="AL114" i="15"/>
  <c r="AL90" i="15"/>
  <c r="AM90" i="15"/>
  <c r="AD75" i="16"/>
  <c r="AE47" i="15"/>
  <c r="AE112" i="12"/>
  <c r="AE218" i="12"/>
  <c r="AD43" i="29"/>
  <c r="AD43" i="28"/>
  <c r="AE60" i="15"/>
  <c r="V33" i="14"/>
  <c r="V92" i="14" s="1"/>
  <c r="V82" i="14"/>
  <c r="V214" i="14" s="1"/>
  <c r="V224" i="14" s="1"/>
  <c r="AC76" i="16"/>
  <c r="X14" i="14"/>
  <c r="X15" i="14" s="1"/>
  <c r="X16" i="14" s="1"/>
  <c r="X17" i="14" s="1"/>
  <c r="AE60" i="16"/>
  <c r="V81" i="14"/>
  <c r="V213" i="14" s="1"/>
  <c r="AF35" i="16"/>
  <c r="AF128" i="16" s="1"/>
  <c r="V65" i="14"/>
  <c r="V134" i="14" s="1"/>
  <c r="AF40" i="16"/>
  <c r="AF122" i="16" s="1"/>
  <c r="AF132" i="16" s="1"/>
  <c r="T39" i="19"/>
  <c r="AF40" i="15"/>
  <c r="AF122" i="15" s="1"/>
  <c r="AF132" i="15" s="1"/>
  <c r="AF35" i="15"/>
  <c r="AF128" i="15" s="1"/>
  <c r="AG53" i="14"/>
  <c r="AG55" i="14" s="1"/>
  <c r="AG112" i="14" s="1"/>
  <c r="U41" i="19"/>
  <c r="AE42" i="19"/>
  <c r="W43" i="14"/>
  <c r="W122" i="14" s="1"/>
  <c r="Y13" i="14"/>
  <c r="Y83" i="14" s="1"/>
  <c r="CK28" i="58" s="1"/>
  <c r="Z12" i="14"/>
  <c r="W63" i="14"/>
  <c r="W64" i="14"/>
  <c r="U81" i="14"/>
  <c r="U213" i="14" s="1"/>
  <c r="U19" i="14"/>
  <c r="U102" i="14" s="1"/>
  <c r="X41" i="14"/>
  <c r="Y40" i="14"/>
  <c r="Y42" i="14" s="1"/>
  <c r="AE43" i="16"/>
  <c r="AD39" i="29"/>
  <c r="X31" i="14"/>
  <c r="X30" i="14"/>
  <c r="Y26" i="14"/>
  <c r="X28" i="14"/>
  <c r="X27" i="14"/>
  <c r="AG74" i="15"/>
  <c r="AH51" i="14"/>
  <c r="AH52" i="14"/>
  <c r="AH54" i="14"/>
  <c r="AF54" i="16"/>
  <c r="AE41" i="29"/>
  <c r="X62" i="14"/>
  <c r="AH32" i="15"/>
  <c r="AD47" i="16"/>
  <c r="AC40" i="29"/>
  <c r="V19" i="14"/>
  <c r="V102" i="14" s="1"/>
  <c r="W32" i="14"/>
  <c r="W29" i="14"/>
  <c r="AC47" i="15"/>
  <c r="AD47" i="15"/>
  <c r="AD75" i="15"/>
  <c r="AH7" i="15"/>
  <c r="AE41" i="28"/>
  <c r="AC42" i="15"/>
  <c r="AC40" i="28"/>
  <c r="AD40" i="28"/>
  <c r="AD39" i="28"/>
  <c r="AB40" i="28"/>
  <c r="AE42" i="15"/>
  <c r="AH32" i="16"/>
  <c r="AD42" i="20"/>
  <c r="V41" i="20"/>
  <c r="V19" i="12"/>
  <c r="V25" i="12" s="1"/>
  <c r="X13" i="12"/>
  <c r="X83" i="12" s="1"/>
  <c r="X119" i="59" s="1"/>
  <c r="U19" i="12"/>
  <c r="U25" i="12" s="1"/>
  <c r="W14" i="12"/>
  <c r="Y12" i="12"/>
  <c r="AF21" i="16"/>
  <c r="AF123" i="16" s="1"/>
  <c r="AF53" i="12"/>
  <c r="AF55" i="12" s="1"/>
  <c r="X43" i="12"/>
  <c r="AH50" i="12"/>
  <c r="AG52" i="12"/>
  <c r="AG54" i="12"/>
  <c r="AG51" i="12"/>
  <c r="AG25" i="16"/>
  <c r="AG124" i="16" s="1"/>
  <c r="AG8" i="16"/>
  <c r="AG9" i="16" s="1"/>
  <c r="AG25" i="15"/>
  <c r="AG124" i="15" s="1"/>
  <c r="AG17" i="16"/>
  <c r="AG20" i="15"/>
  <c r="AH23" i="16"/>
  <c r="AF21" i="15"/>
  <c r="AF123" i="15" s="1"/>
  <c r="AG8" i="15"/>
  <c r="AH7" i="16"/>
  <c r="AH41" i="16" s="1"/>
  <c r="AE10" i="16"/>
  <c r="AE11" i="16" s="1"/>
  <c r="AE39" i="16" s="1"/>
  <c r="AE121" i="16" s="1"/>
  <c r="AH23" i="15"/>
  <c r="AO81" i="15" s="1"/>
  <c r="AO82" i="15"/>
  <c r="AG17" i="15"/>
  <c r="AF10" i="15"/>
  <c r="AF11" i="15" s="1"/>
  <c r="AF39" i="15" s="1"/>
  <c r="AF121" i="15" s="1"/>
  <c r="AH19" i="16"/>
  <c r="AR86" i="15" s="1"/>
  <c r="AH16" i="16"/>
  <c r="AO86" i="15" s="1"/>
  <c r="AH18" i="16"/>
  <c r="AQ86" i="15" s="1"/>
  <c r="AH15" i="16"/>
  <c r="AN86" i="15" s="1"/>
  <c r="AG20" i="16"/>
  <c r="AH18" i="15"/>
  <c r="AH15" i="15"/>
  <c r="AH16" i="15"/>
  <c r="AH19" i="15"/>
  <c r="AF9" i="16"/>
  <c r="Z40" i="12"/>
  <c r="Z42" i="12" s="1"/>
  <c r="Y41" i="12"/>
  <c r="BD27" i="58" l="1"/>
  <c r="X9" i="58"/>
  <c r="X4" i="59" s="1"/>
  <c r="X4" i="58"/>
  <c r="BD4" i="58" s="1"/>
  <c r="CJ4" i="58" s="1"/>
  <c r="CI27" i="58"/>
  <c r="CI9" i="58" s="1"/>
  <c r="BC9" i="58"/>
  <c r="BC4" i="59" s="1"/>
  <c r="CI4" i="59" s="1"/>
  <c r="DO4" i="59" s="1"/>
  <c r="Y27" i="58"/>
  <c r="CK10" i="58"/>
  <c r="CK5" i="58"/>
  <c r="U47" i="14"/>
  <c r="U69" i="14"/>
  <c r="V45" i="14"/>
  <c r="T69" i="14"/>
  <c r="T88" i="14" s="1"/>
  <c r="T87" i="14"/>
  <c r="V46" i="14"/>
  <c r="AF58" i="14"/>
  <c r="AF59" i="14" s="1"/>
  <c r="V40" i="19"/>
  <c r="U35" i="14"/>
  <c r="U37" i="14" s="1"/>
  <c r="W36" i="14"/>
  <c r="T86" i="14"/>
  <c r="T214" i="12"/>
  <c r="T224" i="12" s="1"/>
  <c r="S67" i="12"/>
  <c r="R86" i="12"/>
  <c r="Q88" i="12"/>
  <c r="W46" i="12"/>
  <c r="V47" i="12"/>
  <c r="X49" i="12"/>
  <c r="X45" i="12" s="1"/>
  <c r="S85" i="12"/>
  <c r="R87" i="12"/>
  <c r="R37" i="12"/>
  <c r="S23" i="14"/>
  <c r="U36" i="12"/>
  <c r="S68" i="12"/>
  <c r="S89" i="12"/>
  <c r="T39" i="12"/>
  <c r="V71" i="14"/>
  <c r="V66" i="14"/>
  <c r="V70" i="14"/>
  <c r="T70" i="12"/>
  <c r="T71" i="12"/>
  <c r="T66" i="12"/>
  <c r="S90" i="12"/>
  <c r="S35" i="12"/>
  <c r="R69" i="12"/>
  <c r="V220" i="14"/>
  <c r="AG218" i="14"/>
  <c r="AG60" i="14"/>
  <c r="AG56" i="14"/>
  <c r="AG61" i="14"/>
  <c r="AG57" i="14" s="1"/>
  <c r="X38" i="14"/>
  <c r="W216" i="14"/>
  <c r="W49" i="14"/>
  <c r="W48" i="14"/>
  <c r="W44" i="14"/>
  <c r="X34" i="14"/>
  <c r="V215" i="14"/>
  <c r="V39" i="14"/>
  <c r="V217" i="14"/>
  <c r="V25" i="14"/>
  <c r="V24" i="14"/>
  <c r="V20" i="14"/>
  <c r="U217" i="14"/>
  <c r="U221" i="14" s="1"/>
  <c r="U24" i="14"/>
  <c r="U20" i="14"/>
  <c r="U25" i="14"/>
  <c r="W217" i="14"/>
  <c r="W25" i="14"/>
  <c r="W24" i="14"/>
  <c r="W20" i="14"/>
  <c r="T23" i="12"/>
  <c r="AF56" i="12"/>
  <c r="AF61" i="12"/>
  <c r="AF57" i="12" s="1"/>
  <c r="AF60" i="12"/>
  <c r="AF58" i="12" s="1"/>
  <c r="AE59" i="12"/>
  <c r="X44" i="12"/>
  <c r="X48" i="12"/>
  <c r="V38" i="12"/>
  <c r="U24" i="12"/>
  <c r="U20" i="12"/>
  <c r="V34" i="12"/>
  <c r="V20" i="12"/>
  <c r="V24" i="12"/>
  <c r="T84" i="12"/>
  <c r="X19" i="14"/>
  <c r="X102" i="14" s="1"/>
  <c r="S39" i="20"/>
  <c r="T215" i="12"/>
  <c r="AO90" i="15"/>
  <c r="AO82" i="16"/>
  <c r="T92" i="12"/>
  <c r="AF131" i="15"/>
  <c r="AN90" i="15"/>
  <c r="AO81" i="16"/>
  <c r="T213" i="12"/>
  <c r="T223" i="12" s="1"/>
  <c r="V32" i="12"/>
  <c r="U223" i="14"/>
  <c r="U65" i="12"/>
  <c r="AQ99" i="15"/>
  <c r="AQ174" i="14"/>
  <c r="S223" i="12"/>
  <c r="S221" i="12"/>
  <c r="T134" i="12"/>
  <c r="S43" i="20"/>
  <c r="T220" i="12"/>
  <c r="V223" i="14"/>
  <c r="AE131" i="16"/>
  <c r="W30" i="12"/>
  <c r="W27" i="12"/>
  <c r="W31" i="12"/>
  <c r="W28" i="12"/>
  <c r="X26" i="12"/>
  <c r="W62" i="12"/>
  <c r="V166" i="12"/>
  <c r="V64" i="12"/>
  <c r="V63" i="12"/>
  <c r="U82" i="12"/>
  <c r="U81" i="12"/>
  <c r="U213" i="12" s="1"/>
  <c r="V29" i="12"/>
  <c r="U33" i="12"/>
  <c r="S168" i="12"/>
  <c r="S167" i="12"/>
  <c r="AL212" i="12"/>
  <c r="AM190" i="12"/>
  <c r="AL190" i="12"/>
  <c r="V217" i="12"/>
  <c r="V102" i="12"/>
  <c r="AN190" i="12"/>
  <c r="AG54" i="15"/>
  <c r="AF112" i="12"/>
  <c r="AF218" i="12"/>
  <c r="U102" i="12"/>
  <c r="U217" i="12"/>
  <c r="AH41" i="15"/>
  <c r="AN94" i="15"/>
  <c r="AO99" i="15"/>
  <c r="AO190" i="12"/>
  <c r="AF43" i="15"/>
  <c r="X122" i="12"/>
  <c r="X216" i="12"/>
  <c r="AH74" i="16"/>
  <c r="AH33" i="16"/>
  <c r="AH34" i="16"/>
  <c r="AH74" i="15"/>
  <c r="AH33" i="15"/>
  <c r="AQ81" i="15" s="1"/>
  <c r="AH34" i="15"/>
  <c r="AQ82" i="15" s="1"/>
  <c r="AL123" i="15"/>
  <c r="AM102" i="15"/>
  <c r="AL102" i="15"/>
  <c r="AE43" i="29"/>
  <c r="AE42" i="16"/>
  <c r="AE43" i="28"/>
  <c r="U84" i="14"/>
  <c r="AQ190" i="12"/>
  <c r="V84" i="14"/>
  <c r="U39" i="19"/>
  <c r="AF60" i="16"/>
  <c r="AF60" i="15"/>
  <c r="U43" i="19"/>
  <c r="V41" i="19"/>
  <c r="AF42" i="19"/>
  <c r="AG40" i="15"/>
  <c r="AG122" i="15" s="1"/>
  <c r="AG132" i="15" s="1"/>
  <c r="AG40" i="16"/>
  <c r="AG122" i="16" s="1"/>
  <c r="AG132" i="16" s="1"/>
  <c r="AD76" i="16"/>
  <c r="W33" i="14"/>
  <c r="W92" i="14" s="1"/>
  <c r="AH53" i="14"/>
  <c r="AQ173" i="14" s="1"/>
  <c r="AG35" i="15"/>
  <c r="AG128" i="15" s="1"/>
  <c r="W82" i="14"/>
  <c r="W214" i="14" s="1"/>
  <c r="W224" i="14" s="1"/>
  <c r="AG35" i="16"/>
  <c r="AG128" i="16" s="1"/>
  <c r="W65" i="14"/>
  <c r="W134" i="14" s="1"/>
  <c r="W81" i="14"/>
  <c r="W213" i="14" s="1"/>
  <c r="Y27" i="14"/>
  <c r="Y30" i="14"/>
  <c r="Y28" i="14"/>
  <c r="Y31" i="14"/>
  <c r="Z26" i="14"/>
  <c r="X43" i="14"/>
  <c r="X122" i="14" s="1"/>
  <c r="AG54" i="16"/>
  <c r="AF41" i="29"/>
  <c r="X64" i="14"/>
  <c r="X63" i="14"/>
  <c r="Z13" i="14"/>
  <c r="Z83" i="14" s="1"/>
  <c r="CL28" i="58" s="1"/>
  <c r="AA12" i="14"/>
  <c r="X32" i="14"/>
  <c r="Y41" i="14"/>
  <c r="Z40" i="14"/>
  <c r="Z42" i="14" s="1"/>
  <c r="T40" i="19"/>
  <c r="Y62" i="14"/>
  <c r="AF43" i="16"/>
  <c r="AE39" i="29"/>
  <c r="U40" i="19"/>
  <c r="X29" i="14"/>
  <c r="Y14" i="14"/>
  <c r="AD76" i="15"/>
  <c r="AE75" i="15"/>
  <c r="AE76" i="15"/>
  <c r="AC75" i="15"/>
  <c r="AC76" i="15"/>
  <c r="AF41" i="28"/>
  <c r="AE39" i="28"/>
  <c r="AE42" i="20"/>
  <c r="W41" i="20"/>
  <c r="U40" i="20"/>
  <c r="T40" i="20"/>
  <c r="Y13" i="12"/>
  <c r="Y83" i="12" s="1"/>
  <c r="Y119" i="59" s="1"/>
  <c r="Z12" i="12"/>
  <c r="W15" i="12"/>
  <c r="W16" i="12" s="1"/>
  <c r="W17" i="12" s="1"/>
  <c r="AH25" i="15"/>
  <c r="AH124" i="15" s="1"/>
  <c r="AH25" i="16"/>
  <c r="X14" i="12"/>
  <c r="AH20" i="15"/>
  <c r="AN82" i="15" s="1"/>
  <c r="AG53" i="12"/>
  <c r="AG55" i="12" s="1"/>
  <c r="AH20" i="16"/>
  <c r="AN82" i="16" s="1"/>
  <c r="AG21" i="15"/>
  <c r="AG123" i="15" s="1"/>
  <c r="Y43" i="12"/>
  <c r="AH54" i="12"/>
  <c r="AH51" i="12"/>
  <c r="AH52" i="12"/>
  <c r="AG21" i="16"/>
  <c r="AG123" i="16" s="1"/>
  <c r="AE13" i="16"/>
  <c r="AE125" i="16" s="1"/>
  <c r="AE129" i="16" s="1"/>
  <c r="AG9" i="15"/>
  <c r="AF13" i="15"/>
  <c r="AF125" i="15" s="1"/>
  <c r="AF129" i="15" s="1"/>
  <c r="AH8" i="16"/>
  <c r="AG10" i="16"/>
  <c r="AG11" i="16" s="1"/>
  <c r="AG39" i="16" s="1"/>
  <c r="AG121" i="16" s="1"/>
  <c r="AF10" i="16"/>
  <c r="AF11" i="16" s="1"/>
  <c r="AF39" i="16" s="1"/>
  <c r="AF121" i="16" s="1"/>
  <c r="AH17" i="15"/>
  <c r="AN81" i="15" s="1"/>
  <c r="AH17" i="16"/>
  <c r="AN81" i="16" s="1"/>
  <c r="AH8" i="15"/>
  <c r="AA40" i="12"/>
  <c r="AA42" i="12" s="1"/>
  <c r="Z41" i="12"/>
  <c r="Z27" i="58" l="1"/>
  <c r="CL10" i="58"/>
  <c r="CL5" i="58"/>
  <c r="Y9" i="58"/>
  <c r="Y4" i="59" s="1"/>
  <c r="BE27" i="58"/>
  <c r="Y4" i="58"/>
  <c r="BE4" i="58" s="1"/>
  <c r="CK4" i="58" s="1"/>
  <c r="AN126" i="15"/>
  <c r="E8" i="60"/>
  <c r="CT33" i="58"/>
  <c r="AH32" i="58" s="1"/>
  <c r="CJ27" i="58"/>
  <c r="CJ9" i="58" s="1"/>
  <c r="BD9" i="58"/>
  <c r="BD4" i="59" s="1"/>
  <c r="CJ4" i="59" s="1"/>
  <c r="DP4" i="59" s="1"/>
  <c r="AQ174" i="12"/>
  <c r="AP262" i="12"/>
  <c r="U85" i="14"/>
  <c r="V67" i="14"/>
  <c r="V47" i="14"/>
  <c r="W47" i="12"/>
  <c r="W45" i="14"/>
  <c r="V68" i="14"/>
  <c r="W46" i="14"/>
  <c r="AG58" i="14"/>
  <c r="AG59" i="14" s="1"/>
  <c r="S88" i="14"/>
  <c r="V35" i="14"/>
  <c r="V37" i="14" s="1"/>
  <c r="X36" i="14"/>
  <c r="R88" i="12"/>
  <c r="U214" i="12"/>
  <c r="U224" i="12" s="1"/>
  <c r="T67" i="12"/>
  <c r="S69" i="12"/>
  <c r="X46" i="12"/>
  <c r="Y49" i="12"/>
  <c r="Y45" i="12" s="1"/>
  <c r="T85" i="12"/>
  <c r="S87" i="12"/>
  <c r="S37" i="12"/>
  <c r="V85" i="14"/>
  <c r="U70" i="12"/>
  <c r="U71" i="12"/>
  <c r="U66" i="12"/>
  <c r="S86" i="12"/>
  <c r="T89" i="12"/>
  <c r="T68" i="12"/>
  <c r="T90" i="12"/>
  <c r="T35" i="12"/>
  <c r="U39" i="12"/>
  <c r="W66" i="14"/>
  <c r="W70" i="14"/>
  <c r="W71" i="14"/>
  <c r="V36" i="12"/>
  <c r="U21" i="14"/>
  <c r="U86" i="14" s="1"/>
  <c r="U90" i="14"/>
  <c r="W22" i="14"/>
  <c r="V22" i="14"/>
  <c r="V89" i="14"/>
  <c r="W21" i="14"/>
  <c r="U22" i="14"/>
  <c r="U87" i="14" s="1"/>
  <c r="U89" i="14"/>
  <c r="V21" i="14"/>
  <c r="V90" i="14"/>
  <c r="W220" i="14"/>
  <c r="V221" i="14"/>
  <c r="Y38" i="14"/>
  <c r="X216" i="14"/>
  <c r="X48" i="14"/>
  <c r="X44" i="14"/>
  <c r="X49" i="14"/>
  <c r="W215" i="14"/>
  <c r="W39" i="14"/>
  <c r="Y34" i="14"/>
  <c r="X217" i="14"/>
  <c r="X24" i="14"/>
  <c r="X20" i="14"/>
  <c r="X25" i="14"/>
  <c r="V21" i="12"/>
  <c r="U21" i="12"/>
  <c r="AF59" i="12"/>
  <c r="V22" i="12"/>
  <c r="U22" i="12"/>
  <c r="T167" i="12"/>
  <c r="X47" i="12"/>
  <c r="AG60" i="12"/>
  <c r="AG58" i="12" s="1"/>
  <c r="AG56" i="12"/>
  <c r="AG61" i="12"/>
  <c r="AG57" i="12" s="1"/>
  <c r="W40" i="19"/>
  <c r="Y48" i="12"/>
  <c r="Y44" i="12"/>
  <c r="W38" i="12"/>
  <c r="W34" i="12"/>
  <c r="T168" i="12"/>
  <c r="V82" i="12"/>
  <c r="U134" i="12"/>
  <c r="T221" i="12"/>
  <c r="D81" i="16"/>
  <c r="AH124" i="16"/>
  <c r="V65" i="12"/>
  <c r="W223" i="14"/>
  <c r="U223" i="12"/>
  <c r="U220" i="12"/>
  <c r="T43" i="20"/>
  <c r="AO102" i="15"/>
  <c r="AQ82" i="16"/>
  <c r="AN102" i="15"/>
  <c r="AQ81" i="16"/>
  <c r="AF131" i="16"/>
  <c r="AG131" i="16"/>
  <c r="U92" i="12"/>
  <c r="U215" i="12"/>
  <c r="T39" i="20"/>
  <c r="U84" i="12"/>
  <c r="V33" i="12"/>
  <c r="V81" i="12"/>
  <c r="W166" i="12"/>
  <c r="W63" i="12"/>
  <c r="W64" i="12"/>
  <c r="W29" i="12"/>
  <c r="Y26" i="12"/>
  <c r="X27" i="12"/>
  <c r="X28" i="12"/>
  <c r="X30" i="12"/>
  <c r="X31" i="12"/>
  <c r="X62" i="12"/>
  <c r="W32" i="12"/>
  <c r="AG43" i="15"/>
  <c r="V39" i="19"/>
  <c r="AG112" i="12"/>
  <c r="AG218" i="12"/>
  <c r="AH54" i="15"/>
  <c r="D81" i="15"/>
  <c r="AN114" i="15"/>
  <c r="X33" i="14"/>
  <c r="X92" i="14" s="1"/>
  <c r="AO191" i="12"/>
  <c r="AN191" i="12"/>
  <c r="Y122" i="12"/>
  <c r="Y216" i="12"/>
  <c r="AN99" i="15"/>
  <c r="AP98" i="15" s="1"/>
  <c r="AR98" i="15" s="1"/>
  <c r="AF42" i="16"/>
  <c r="AG60" i="16"/>
  <c r="AF43" i="28"/>
  <c r="AQ191" i="12"/>
  <c r="AH55" i="14"/>
  <c r="AH112" i="14" s="1"/>
  <c r="AG42" i="16"/>
  <c r="W84" i="14"/>
  <c r="AH40" i="16"/>
  <c r="AH122" i="16" s="1"/>
  <c r="AH132" i="16" s="1"/>
  <c r="AG60" i="15"/>
  <c r="Y32" i="14"/>
  <c r="X82" i="14"/>
  <c r="X214" i="14" s="1"/>
  <c r="X224" i="14" s="1"/>
  <c r="AH35" i="16"/>
  <c r="AH128" i="16" s="1"/>
  <c r="V43" i="19"/>
  <c r="AH35" i="15"/>
  <c r="AH128" i="15" s="1"/>
  <c r="AF43" i="29"/>
  <c r="AH40" i="15"/>
  <c r="AE47" i="16"/>
  <c r="AD40" i="29"/>
  <c r="AH54" i="16"/>
  <c r="AG41" i="29"/>
  <c r="Y15" i="14"/>
  <c r="Y16" i="14" s="1"/>
  <c r="AE75" i="16"/>
  <c r="W41" i="19"/>
  <c r="AH21" i="16"/>
  <c r="AH123" i="16" s="1"/>
  <c r="AG43" i="16"/>
  <c r="AF39" i="29"/>
  <c r="Y63" i="14"/>
  <c r="Y64" i="14"/>
  <c r="AA40" i="14"/>
  <c r="AA42" i="14" s="1"/>
  <c r="Z41" i="14"/>
  <c r="X81" i="14"/>
  <c r="X213" i="14" s="1"/>
  <c r="Y43" i="14"/>
  <c r="Y122" i="14" s="1"/>
  <c r="Z62" i="14"/>
  <c r="AA26" i="14"/>
  <c r="Z28" i="14"/>
  <c r="Z27" i="14"/>
  <c r="Z30" i="14"/>
  <c r="Z31" i="14"/>
  <c r="Y29" i="14"/>
  <c r="AB12" i="14"/>
  <c r="AA13" i="14"/>
  <c r="AA83" i="14" s="1"/>
  <c r="CM28" i="58" s="1"/>
  <c r="Z14" i="14"/>
  <c r="X65" i="14"/>
  <c r="X134" i="14" s="1"/>
  <c r="AF47" i="15"/>
  <c r="AE40" i="28"/>
  <c r="AF42" i="15"/>
  <c r="AF39" i="28"/>
  <c r="AG41" i="28"/>
  <c r="AF42" i="20"/>
  <c r="X41" i="20"/>
  <c r="Z13" i="12"/>
  <c r="Z83" i="12" s="1"/>
  <c r="Z119" i="59" s="1"/>
  <c r="Y14" i="12"/>
  <c r="Y15" i="12" s="1"/>
  <c r="Y16" i="12" s="1"/>
  <c r="Y17" i="12" s="1"/>
  <c r="X15" i="12"/>
  <c r="X16" i="12" s="1"/>
  <c r="X17" i="12" s="1"/>
  <c r="W19" i="12"/>
  <c r="W25" i="12" s="1"/>
  <c r="AA12" i="12"/>
  <c r="AH21" i="15"/>
  <c r="AH123" i="15" s="1"/>
  <c r="AH53" i="12"/>
  <c r="Z43" i="12"/>
  <c r="AG13" i="16"/>
  <c r="AG125" i="16" s="1"/>
  <c r="AG129" i="16" s="1"/>
  <c r="AH9" i="15"/>
  <c r="AF13" i="16"/>
  <c r="AF125" i="16" s="1"/>
  <c r="AF129" i="16" s="1"/>
  <c r="AH9" i="16"/>
  <c r="AO94" i="15" s="1"/>
  <c r="AG10" i="15"/>
  <c r="AG11" i="15" s="1"/>
  <c r="AG39" i="15" s="1"/>
  <c r="AG121" i="15" s="1"/>
  <c r="AB40" i="12"/>
  <c r="AB42" i="12" s="1"/>
  <c r="AA41" i="12"/>
  <c r="AA27" i="58" l="1"/>
  <c r="CM10" i="58"/>
  <c r="CM5" i="58"/>
  <c r="D8" i="60"/>
  <c r="E3" i="61"/>
  <c r="BN32" i="58"/>
  <c r="E20" i="60"/>
  <c r="BF27" i="58"/>
  <c r="Z9" i="58"/>
  <c r="Z4" i="59" s="1"/>
  <c r="Z4" i="58"/>
  <c r="BF4" i="58" s="1"/>
  <c r="CL4" i="58" s="1"/>
  <c r="CK27" i="58"/>
  <c r="CK9" i="58" s="1"/>
  <c r="BE9" i="58"/>
  <c r="BE4" i="59" s="1"/>
  <c r="CK4" i="59" s="1"/>
  <c r="DQ4" i="59" s="1"/>
  <c r="V87" i="14"/>
  <c r="AQ173" i="12"/>
  <c r="AO262" i="12"/>
  <c r="W47" i="14"/>
  <c r="V69" i="14"/>
  <c r="X45" i="14"/>
  <c r="W67" i="14"/>
  <c r="W85" i="14"/>
  <c r="W68" i="14"/>
  <c r="W87" i="14" s="1"/>
  <c r="X46" i="14"/>
  <c r="V86" i="14"/>
  <c r="W35" i="14"/>
  <c r="W37" i="14" s="1"/>
  <c r="Y36" i="14"/>
  <c r="V214" i="12"/>
  <c r="V224" i="12" s="1"/>
  <c r="U67" i="12"/>
  <c r="S88" i="12"/>
  <c r="Z49" i="12"/>
  <c r="Z45" i="12" s="1"/>
  <c r="Y46" i="12"/>
  <c r="T37" i="12"/>
  <c r="U85" i="12"/>
  <c r="T87" i="12"/>
  <c r="T86" i="12"/>
  <c r="U23" i="12"/>
  <c r="V39" i="12"/>
  <c r="W36" i="12"/>
  <c r="U90" i="12"/>
  <c r="U35" i="12"/>
  <c r="V66" i="12"/>
  <c r="V71" i="12"/>
  <c r="V70" i="12"/>
  <c r="X70" i="14"/>
  <c r="X71" i="14"/>
  <c r="X66" i="14"/>
  <c r="U68" i="12"/>
  <c r="U89" i="12"/>
  <c r="T69" i="12"/>
  <c r="U23" i="14"/>
  <c r="X21" i="14"/>
  <c r="V23" i="14"/>
  <c r="W23" i="14"/>
  <c r="X22" i="14"/>
  <c r="W90" i="14"/>
  <c r="W89" i="14"/>
  <c r="W221" i="14"/>
  <c r="X220" i="14"/>
  <c r="AH218" i="14"/>
  <c r="AH61" i="14"/>
  <c r="AH57" i="14" s="1"/>
  <c r="AH56" i="14"/>
  <c r="AH60" i="14"/>
  <c r="Z38" i="14"/>
  <c r="Y216" i="14"/>
  <c r="Y48" i="14"/>
  <c r="Y44" i="14"/>
  <c r="Y49" i="14"/>
  <c r="Z34" i="14"/>
  <c r="X215" i="14"/>
  <c r="X39" i="14"/>
  <c r="V23" i="12"/>
  <c r="U167" i="12"/>
  <c r="AG59" i="12"/>
  <c r="Z48" i="12"/>
  <c r="Z44" i="12"/>
  <c r="X34" i="12"/>
  <c r="W20" i="12"/>
  <c r="W24" i="12"/>
  <c r="X38" i="12"/>
  <c r="AP190" i="12"/>
  <c r="AR190" i="12" s="1"/>
  <c r="AH122" i="15"/>
  <c r="AH132" i="15" s="1"/>
  <c r="AP126" i="15"/>
  <c r="V134" i="12"/>
  <c r="W81" i="12"/>
  <c r="W213" i="12" s="1"/>
  <c r="V220" i="12"/>
  <c r="U43" i="20"/>
  <c r="AG131" i="15"/>
  <c r="U221" i="12"/>
  <c r="W39" i="19"/>
  <c r="X223" i="14"/>
  <c r="W33" i="12"/>
  <c r="Z26" i="12"/>
  <c r="Y31" i="12"/>
  <c r="Y30" i="12"/>
  <c r="Y27" i="12"/>
  <c r="Y28" i="12"/>
  <c r="Y62" i="12"/>
  <c r="W82" i="12"/>
  <c r="V92" i="12"/>
  <c r="V215" i="12"/>
  <c r="U39" i="20"/>
  <c r="U168" i="12"/>
  <c r="X32" i="12"/>
  <c r="V213" i="12"/>
  <c r="V84" i="12"/>
  <c r="X166" i="12"/>
  <c r="X64" i="12"/>
  <c r="X63" i="12"/>
  <c r="X29" i="12"/>
  <c r="W65" i="12"/>
  <c r="D83" i="16"/>
  <c r="D85" i="16"/>
  <c r="D80" i="16"/>
  <c r="D84" i="16"/>
  <c r="W217" i="12"/>
  <c r="W102" i="12"/>
  <c r="Z122" i="12"/>
  <c r="Z216" i="12"/>
  <c r="D178" i="14"/>
  <c r="AG42" i="19"/>
  <c r="AH43" i="15"/>
  <c r="D80" i="15"/>
  <c r="AN110" i="15"/>
  <c r="D84" i="15"/>
  <c r="AN123" i="15"/>
  <c r="D83" i="15"/>
  <c r="D85" i="15"/>
  <c r="Y33" i="14"/>
  <c r="Y92" i="14" s="1"/>
  <c r="AH60" i="15"/>
  <c r="AG75" i="16"/>
  <c r="AH60" i="16"/>
  <c r="Y82" i="14"/>
  <c r="Y214" i="14" s="1"/>
  <c r="Y224" i="14" s="1"/>
  <c r="AG43" i="29"/>
  <c r="X84" i="14"/>
  <c r="AG43" i="28"/>
  <c r="AA14" i="14"/>
  <c r="AA15" i="14" s="1"/>
  <c r="AA16" i="14" s="1"/>
  <c r="AA62" i="14"/>
  <c r="W43" i="19"/>
  <c r="AA30" i="14"/>
  <c r="AA31" i="14"/>
  <c r="AA28" i="14"/>
  <c r="AB26" i="14"/>
  <c r="AA27" i="14"/>
  <c r="Y17" i="14"/>
  <c r="X41" i="19"/>
  <c r="AG47" i="16"/>
  <c r="AF40" i="29"/>
  <c r="Z15" i="14"/>
  <c r="Z16" i="14" s="1"/>
  <c r="Z32" i="14"/>
  <c r="Y65" i="14"/>
  <c r="Y134" i="14" s="1"/>
  <c r="AH43" i="16"/>
  <c r="AG39" i="29"/>
  <c r="AE76" i="16"/>
  <c r="AA41" i="14"/>
  <c r="AB40" i="14"/>
  <c r="AB42" i="14" s="1"/>
  <c r="AF47" i="16"/>
  <c r="AE40" i="29"/>
  <c r="AF75" i="16"/>
  <c r="AC12" i="14"/>
  <c r="AB13" i="14"/>
  <c r="AB83" i="14" s="1"/>
  <c r="CN28" i="58" s="1"/>
  <c r="Z29" i="14"/>
  <c r="Z64" i="14"/>
  <c r="Z63" i="14"/>
  <c r="Z43" i="14"/>
  <c r="Z122" i="14" s="1"/>
  <c r="AF76" i="15"/>
  <c r="AF75" i="15"/>
  <c r="AG39" i="28"/>
  <c r="Y41" i="20"/>
  <c r="V40" i="20"/>
  <c r="AA13" i="12"/>
  <c r="AA83" i="12" s="1"/>
  <c r="AA119" i="59" s="1"/>
  <c r="X19" i="12"/>
  <c r="X25" i="12" s="1"/>
  <c r="Y19" i="12"/>
  <c r="Y25" i="12" s="1"/>
  <c r="Z14" i="12"/>
  <c r="Z15" i="12" s="1"/>
  <c r="Z16" i="12" s="1"/>
  <c r="Z17" i="12" s="1"/>
  <c r="AB12" i="12"/>
  <c r="AA43" i="12"/>
  <c r="AH55" i="12"/>
  <c r="AH10" i="16"/>
  <c r="AG13" i="15"/>
  <c r="AG125" i="15" s="1"/>
  <c r="AG129" i="15" s="1"/>
  <c r="AH10" i="15"/>
  <c r="AH11" i="15" s="1"/>
  <c r="AP81" i="15" s="1"/>
  <c r="AC40" i="12"/>
  <c r="AC42" i="12" s="1"/>
  <c r="AB41" i="12"/>
  <c r="AB27" i="58" l="1"/>
  <c r="CN10" i="58"/>
  <c r="CN5" i="58"/>
  <c r="CT32" i="58"/>
  <c r="DA19" i="58"/>
  <c r="N6" i="60"/>
  <c r="D20" i="60"/>
  <c r="C8" i="60"/>
  <c r="F8" i="60"/>
  <c r="F20" i="60" s="1"/>
  <c r="S20" i="60" s="1"/>
  <c r="CL27" i="58"/>
  <c r="CL9" i="58" s="1"/>
  <c r="BF9" i="58"/>
  <c r="BF4" i="59" s="1"/>
  <c r="CL4" i="59" s="1"/>
  <c r="DR4" i="59" s="1"/>
  <c r="BG27" i="58"/>
  <c r="AA9" i="58"/>
  <c r="AA4" i="59" s="1"/>
  <c r="AA4" i="58"/>
  <c r="BG4" i="58" s="1"/>
  <c r="CM4" i="58" s="1"/>
  <c r="X47" i="14"/>
  <c r="W69" i="14"/>
  <c r="W88" i="14" s="1"/>
  <c r="X67" i="14"/>
  <c r="X85" i="14"/>
  <c r="Y45" i="14"/>
  <c r="Y47" i="12"/>
  <c r="X68" i="14"/>
  <c r="Y46" i="14"/>
  <c r="AH58" i="14"/>
  <c r="AH59" i="14" s="1"/>
  <c r="V88" i="14"/>
  <c r="U88" i="14"/>
  <c r="W86" i="14"/>
  <c r="X35" i="14"/>
  <c r="X37" i="14" s="1"/>
  <c r="Z36" i="14"/>
  <c r="X221" i="14"/>
  <c r="W214" i="12"/>
  <c r="W224" i="12" s="1"/>
  <c r="V67" i="12"/>
  <c r="X36" i="12"/>
  <c r="Z46" i="12"/>
  <c r="AA49" i="12"/>
  <c r="AA45" i="12" s="1"/>
  <c r="U87" i="12"/>
  <c r="T88" i="12"/>
  <c r="V85" i="12"/>
  <c r="U37" i="12"/>
  <c r="U86" i="12"/>
  <c r="X23" i="14"/>
  <c r="U69" i="12"/>
  <c r="Y70" i="14"/>
  <c r="Y71" i="14"/>
  <c r="Y66" i="14"/>
  <c r="W71" i="12"/>
  <c r="W66" i="12"/>
  <c r="W70" i="12"/>
  <c r="V68" i="12"/>
  <c r="V89" i="12"/>
  <c r="V90" i="12"/>
  <c r="V35" i="12"/>
  <c r="W39" i="12"/>
  <c r="X90" i="14"/>
  <c r="X89" i="14"/>
  <c r="Y220" i="14"/>
  <c r="AA38" i="14"/>
  <c r="Z216" i="14"/>
  <c r="Z49" i="14"/>
  <c r="Z48" i="14"/>
  <c r="Z44" i="14"/>
  <c r="Y215" i="14"/>
  <c r="Y39" i="14"/>
  <c r="AA34" i="14"/>
  <c r="W22" i="12"/>
  <c r="W21" i="12"/>
  <c r="AH60" i="12"/>
  <c r="AH58" i="12" s="1"/>
  <c r="AH56" i="12"/>
  <c r="AH61" i="12"/>
  <c r="AH57" i="12" s="1"/>
  <c r="AA44" i="12"/>
  <c r="AA48" i="12"/>
  <c r="Y34" i="12"/>
  <c r="X20" i="12"/>
  <c r="X24" i="12"/>
  <c r="Y24" i="12"/>
  <c r="Y20" i="12"/>
  <c r="Y38" i="12"/>
  <c r="V39" i="20"/>
  <c r="W92" i="12"/>
  <c r="X65" i="12"/>
  <c r="X39" i="19"/>
  <c r="X33" i="12"/>
  <c r="Y32" i="12"/>
  <c r="V223" i="12"/>
  <c r="V221" i="12"/>
  <c r="Y29" i="12"/>
  <c r="W223" i="12"/>
  <c r="W215" i="12"/>
  <c r="W84" i="12"/>
  <c r="X82" i="12"/>
  <c r="Y166" i="12"/>
  <c r="Y64" i="12"/>
  <c r="Y63" i="12"/>
  <c r="V167" i="12"/>
  <c r="V168" i="12"/>
  <c r="X81" i="12"/>
  <c r="X213" i="12" s="1"/>
  <c r="W134" i="12"/>
  <c r="W220" i="12"/>
  <c r="V43" i="20"/>
  <c r="Z28" i="12"/>
  <c r="Z27" i="12"/>
  <c r="AA26" i="12"/>
  <c r="Z31" i="12"/>
  <c r="Z30" i="12"/>
  <c r="Z62" i="12"/>
  <c r="AH11" i="16"/>
  <c r="AH13" i="16" s="1"/>
  <c r="AP94" i="15"/>
  <c r="Y102" i="12"/>
  <c r="Y217" i="12"/>
  <c r="D178" i="12"/>
  <c r="AN212" i="12"/>
  <c r="AH112" i="12"/>
  <c r="AH218" i="12"/>
  <c r="AA122" i="12"/>
  <c r="AA216" i="12"/>
  <c r="X102" i="12"/>
  <c r="X217" i="12"/>
  <c r="AG76" i="16"/>
  <c r="AA43" i="14"/>
  <c r="AA122" i="14" s="1"/>
  <c r="AA64" i="14"/>
  <c r="AA63" i="14"/>
  <c r="Z82" i="14"/>
  <c r="Z214" i="14" s="1"/>
  <c r="Z224" i="14" s="1"/>
  <c r="Z33" i="14"/>
  <c r="Z92" i="14" s="1"/>
  <c r="Z65" i="14"/>
  <c r="Z134" i="14" s="1"/>
  <c r="AA29" i="14"/>
  <c r="AC13" i="14"/>
  <c r="AC83" i="14" s="1"/>
  <c r="CO28" i="58" s="1"/>
  <c r="AD12" i="14"/>
  <c r="Y81" i="14"/>
  <c r="Y213" i="14" s="1"/>
  <c r="Y19" i="14"/>
  <c r="Y102" i="14" s="1"/>
  <c r="AA32" i="14"/>
  <c r="AB41" i="14"/>
  <c r="AC40" i="14"/>
  <c r="AC42" i="14" s="1"/>
  <c r="X43" i="19"/>
  <c r="AB13" i="12"/>
  <c r="AB83" i="12" s="1"/>
  <c r="AB119" i="59" s="1"/>
  <c r="AB14" i="14"/>
  <c r="Z17" i="14"/>
  <c r="AC26" i="14"/>
  <c r="AB30" i="14"/>
  <c r="AB31" i="14"/>
  <c r="AB28" i="14"/>
  <c r="AB27" i="14"/>
  <c r="AH39" i="15"/>
  <c r="AH42" i="15" s="1"/>
  <c r="AL271" i="12" s="1"/>
  <c r="AH13" i="15"/>
  <c r="AH125" i="15" s="1"/>
  <c r="Y41" i="19"/>
  <c r="AB62" i="14"/>
  <c r="AF76" i="16"/>
  <c r="AA17" i="14"/>
  <c r="AG47" i="15"/>
  <c r="AG42" i="20"/>
  <c r="AF40" i="28"/>
  <c r="AG42" i="15"/>
  <c r="Z41" i="20"/>
  <c r="X40" i="20"/>
  <c r="W40" i="20"/>
  <c r="Z19" i="12"/>
  <c r="Z25" i="12" s="1"/>
  <c r="AC12" i="12"/>
  <c r="AA14" i="12"/>
  <c r="AB43" i="12"/>
  <c r="AD40" i="12"/>
  <c r="AD42" i="12" s="1"/>
  <c r="AC41" i="12"/>
  <c r="AC27" i="58" l="1"/>
  <c r="CO10" i="58"/>
  <c r="CO5" i="58"/>
  <c r="CM27" i="58"/>
  <c r="CM9" i="58" s="1"/>
  <c r="BG9" i="58"/>
  <c r="BG4" i="59" s="1"/>
  <c r="CM4" i="59" s="1"/>
  <c r="DS4" i="59" s="1"/>
  <c r="C20" i="60"/>
  <c r="BH27" i="58"/>
  <c r="AB9" i="58"/>
  <c r="AB4" i="59" s="1"/>
  <c r="AB4" i="58"/>
  <c r="BH4" i="58" s="1"/>
  <c r="CN4" i="58" s="1"/>
  <c r="Y47" i="14"/>
  <c r="X69" i="14"/>
  <c r="X88" i="14" s="1"/>
  <c r="X87" i="14"/>
  <c r="Z47" i="12"/>
  <c r="Z45" i="14"/>
  <c r="Y67" i="14"/>
  <c r="Y68" i="14"/>
  <c r="Z46" i="14"/>
  <c r="X86" i="14"/>
  <c r="Y35" i="14"/>
  <c r="Y37" i="14" s="1"/>
  <c r="AA36" i="14"/>
  <c r="X214" i="12"/>
  <c r="X224" i="12" s="1"/>
  <c r="W67" i="12"/>
  <c r="V86" i="12"/>
  <c r="AB49" i="12"/>
  <c r="AB45" i="12" s="1"/>
  <c r="AA46" i="12"/>
  <c r="W85" i="12"/>
  <c r="U88" i="12"/>
  <c r="V87" i="12"/>
  <c r="V37" i="12"/>
  <c r="W23" i="12"/>
  <c r="Z71" i="14"/>
  <c r="Z66" i="14"/>
  <c r="Z70" i="14"/>
  <c r="Y36" i="12"/>
  <c r="W90" i="12"/>
  <c r="W35" i="12"/>
  <c r="X39" i="12"/>
  <c r="X70" i="12"/>
  <c r="X66" i="12"/>
  <c r="X71" i="12"/>
  <c r="W68" i="12"/>
  <c r="W89" i="12"/>
  <c r="V69" i="12"/>
  <c r="Z220" i="14"/>
  <c r="AB34" i="14"/>
  <c r="AA216" i="14"/>
  <c r="AA48" i="14"/>
  <c r="AA44" i="14"/>
  <c r="AA49" i="14"/>
  <c r="AB38" i="14"/>
  <c r="Z215" i="14"/>
  <c r="Z39" i="14"/>
  <c r="Y217" i="14"/>
  <c r="Y221" i="14" s="1"/>
  <c r="Y24" i="14"/>
  <c r="Y20" i="14"/>
  <c r="Y25" i="14"/>
  <c r="X21" i="12"/>
  <c r="Y22" i="12"/>
  <c r="Y21" i="12"/>
  <c r="X22" i="12"/>
  <c r="W167" i="12"/>
  <c r="AH59" i="12"/>
  <c r="AB44" i="12"/>
  <c r="AB48" i="12"/>
  <c r="Z38" i="12"/>
  <c r="Z24" i="12"/>
  <c r="Z20" i="12"/>
  <c r="Z34" i="12"/>
  <c r="X92" i="12"/>
  <c r="AH121" i="15"/>
  <c r="AH129" i="15" s="1"/>
  <c r="AO126" i="15"/>
  <c r="W39" i="20"/>
  <c r="X220" i="12"/>
  <c r="X134" i="12"/>
  <c r="W43" i="20"/>
  <c r="D82" i="16"/>
  <c r="D88" i="16" s="1"/>
  <c r="AH125" i="16"/>
  <c r="Z29" i="12"/>
  <c r="AH39" i="16"/>
  <c r="AN106" i="16" s="1"/>
  <c r="AO106" i="16" s="1"/>
  <c r="AP81" i="16"/>
  <c r="Y65" i="12"/>
  <c r="Z32" i="12"/>
  <c r="X215" i="12"/>
  <c r="Y33" i="12"/>
  <c r="X84" i="12"/>
  <c r="Y82" i="12"/>
  <c r="Y81" i="12"/>
  <c r="Y213" i="12" s="1"/>
  <c r="Y223" i="12" s="1"/>
  <c r="W221" i="12"/>
  <c r="Y223" i="14"/>
  <c r="X223" i="12"/>
  <c r="AA27" i="12"/>
  <c r="AA31" i="12"/>
  <c r="AA30" i="12"/>
  <c r="AA28" i="12"/>
  <c r="AB26" i="12"/>
  <c r="AA62" i="12"/>
  <c r="Z166" i="12"/>
  <c r="Z64" i="12"/>
  <c r="Z63" i="12"/>
  <c r="W168" i="12"/>
  <c r="Z102" i="12"/>
  <c r="Z217" i="12"/>
  <c r="AH47" i="15"/>
  <c r="AN117" i="15"/>
  <c r="D82" i="15"/>
  <c r="D88" i="15" s="1"/>
  <c r="AB122" i="12"/>
  <c r="AB216" i="12"/>
  <c r="Z41" i="19"/>
  <c r="AN106" i="15"/>
  <c r="AO106" i="15" s="1"/>
  <c r="Y84" i="14"/>
  <c r="Y39" i="19"/>
  <c r="AA82" i="14"/>
  <c r="AA214" i="14" s="1"/>
  <c r="AA224" i="14" s="1"/>
  <c r="AA65" i="14"/>
  <c r="AA134" i="14" s="1"/>
  <c r="AB29" i="14"/>
  <c r="AA33" i="14"/>
  <c r="AA92" i="14" s="1"/>
  <c r="AB32" i="14"/>
  <c r="Y43" i="19"/>
  <c r="AB63" i="14"/>
  <c r="AB64" i="14"/>
  <c r="AC31" i="14"/>
  <c r="AC28" i="14"/>
  <c r="AC27" i="14"/>
  <c r="AC30" i="14"/>
  <c r="AD26" i="14"/>
  <c r="X40" i="19"/>
  <c r="AH47" i="16"/>
  <c r="AG40" i="29"/>
  <c r="AC41" i="14"/>
  <c r="AD40" i="14"/>
  <c r="AD42" i="14" s="1"/>
  <c r="AC62" i="14"/>
  <c r="AD13" i="14"/>
  <c r="AD83" i="14" s="1"/>
  <c r="CP28" i="58" s="1"/>
  <c r="AE12" i="14"/>
  <c r="AA81" i="14"/>
  <c r="AA213" i="14" s="1"/>
  <c r="AA19" i="14"/>
  <c r="AA102" i="14" s="1"/>
  <c r="Z81" i="14"/>
  <c r="Z213" i="14" s="1"/>
  <c r="Z19" i="14"/>
  <c r="Z102" i="14" s="1"/>
  <c r="AB15" i="14"/>
  <c r="AB43" i="14"/>
  <c r="AB122" i="14" s="1"/>
  <c r="AC14" i="14"/>
  <c r="AG40" i="28"/>
  <c r="AG75" i="15"/>
  <c r="AG76" i="15"/>
  <c r="AA41" i="20"/>
  <c r="Y40" i="20"/>
  <c r="AC13" i="12"/>
  <c r="AC83" i="12" s="1"/>
  <c r="AC119" i="59" s="1"/>
  <c r="AB14" i="12"/>
  <c r="AB15" i="12" s="1"/>
  <c r="AB16" i="12" s="1"/>
  <c r="AB17" i="12" s="1"/>
  <c r="AA15" i="12"/>
  <c r="AA16" i="12" s="1"/>
  <c r="AA17" i="12" s="1"/>
  <c r="AD12" i="12"/>
  <c r="AC43" i="12"/>
  <c r="AD41" i="12"/>
  <c r="AE40" i="12"/>
  <c r="AE42" i="12" s="1"/>
  <c r="AD27" i="58" l="1"/>
  <c r="CP10" i="58"/>
  <c r="CP5" i="58"/>
  <c r="CN27" i="58"/>
  <c r="CN9" i="58" s="1"/>
  <c r="BH9" i="58"/>
  <c r="BH4" i="59" s="1"/>
  <c r="CN4" i="59" s="1"/>
  <c r="DT4" i="59" s="1"/>
  <c r="BI27" i="58"/>
  <c r="AC9" i="58"/>
  <c r="AC4" i="59" s="1"/>
  <c r="AC4" i="58"/>
  <c r="BI4" i="58" s="1"/>
  <c r="CO4" i="58" s="1"/>
  <c r="Z47" i="14"/>
  <c r="Y69" i="14"/>
  <c r="Y85" i="14"/>
  <c r="AA45" i="14"/>
  <c r="AA47" i="12"/>
  <c r="Z67" i="14"/>
  <c r="Z68" i="14"/>
  <c r="AA46" i="14"/>
  <c r="AB36" i="14"/>
  <c r="Z35" i="14"/>
  <c r="Z37" i="14" s="1"/>
  <c r="Y214" i="12"/>
  <c r="Y224" i="12" s="1"/>
  <c r="X67" i="12"/>
  <c r="AB46" i="12"/>
  <c r="AC49" i="12"/>
  <c r="AC45" i="12" s="1"/>
  <c r="W87" i="12"/>
  <c r="W37" i="12"/>
  <c r="V88" i="12"/>
  <c r="X85" i="12"/>
  <c r="W86" i="12"/>
  <c r="X23" i="12"/>
  <c r="X90" i="12"/>
  <c r="X35" i="12"/>
  <c r="Y70" i="12"/>
  <c r="Y71" i="12"/>
  <c r="Y66" i="12"/>
  <c r="Z36" i="12"/>
  <c r="AA66" i="14"/>
  <c r="AA71" i="14"/>
  <c r="AA70" i="14"/>
  <c r="Y39" i="12"/>
  <c r="W69" i="12"/>
  <c r="X89" i="12"/>
  <c r="X68" i="12"/>
  <c r="Y21" i="14"/>
  <c r="Y86" i="14" s="1"/>
  <c r="Y90" i="14"/>
  <c r="Y22" i="14"/>
  <c r="Y87" i="14" s="1"/>
  <c r="Y89" i="14"/>
  <c r="AA220" i="14"/>
  <c r="AB216" i="14"/>
  <c r="AB49" i="14"/>
  <c r="AB48" i="14"/>
  <c r="AB44" i="14"/>
  <c r="AC38" i="14"/>
  <c r="AA215" i="14"/>
  <c r="AA39" i="14"/>
  <c r="AC34" i="14"/>
  <c r="Z217" i="14"/>
  <c r="Z221" i="14" s="1"/>
  <c r="Z25" i="14"/>
  <c r="Z24" i="14"/>
  <c r="Z20" i="14"/>
  <c r="AA217" i="14"/>
  <c r="AA25" i="14"/>
  <c r="AA24" i="14"/>
  <c r="AA20" i="14"/>
  <c r="Y23" i="12"/>
  <c r="Z21" i="12"/>
  <c r="Z22" i="12"/>
  <c r="X167" i="12"/>
  <c r="AC48" i="12"/>
  <c r="AC44" i="12"/>
  <c r="AH131" i="15"/>
  <c r="AA34" i="12"/>
  <c r="AA38" i="12"/>
  <c r="X221" i="12"/>
  <c r="Z81" i="12"/>
  <c r="Z213" i="12" s="1"/>
  <c r="Z223" i="12" s="1"/>
  <c r="Z82" i="12"/>
  <c r="Z33" i="12"/>
  <c r="Y134" i="12"/>
  <c r="X168" i="12"/>
  <c r="AH121" i="16"/>
  <c r="AH131" i="16" s="1"/>
  <c r="AH42" i="16"/>
  <c r="AR80" i="16" s="1"/>
  <c r="X43" i="20"/>
  <c r="Y220" i="12"/>
  <c r="Y84" i="12"/>
  <c r="Y215" i="12"/>
  <c r="Y92" i="12"/>
  <c r="X39" i="20"/>
  <c r="AA29" i="12"/>
  <c r="Z223" i="14"/>
  <c r="AA223" i="14"/>
  <c r="AA166" i="12"/>
  <c r="AA63" i="12"/>
  <c r="AA64" i="12"/>
  <c r="AB28" i="12"/>
  <c r="AB30" i="12"/>
  <c r="AB31" i="12"/>
  <c r="AC26" i="12"/>
  <c r="AB27" i="12"/>
  <c r="AB62" i="12"/>
  <c r="Z65" i="12"/>
  <c r="AA32" i="12"/>
  <c r="C87" i="16"/>
  <c r="C96" i="16" s="1"/>
  <c r="D101" i="16" s="1"/>
  <c r="C86" i="16"/>
  <c r="C81" i="16"/>
  <c r="C93" i="16" s="1"/>
  <c r="D104" i="16" s="1"/>
  <c r="C85" i="16"/>
  <c r="C80" i="16"/>
  <c r="C83" i="16"/>
  <c r="C94" i="16" s="1"/>
  <c r="D103" i="16" s="1"/>
  <c r="C84" i="16"/>
  <c r="C82" i="16"/>
  <c r="C92" i="16" s="1"/>
  <c r="D105" i="16" s="1"/>
  <c r="C82" i="15"/>
  <c r="C92" i="15" s="1"/>
  <c r="D105" i="15" s="1"/>
  <c r="C87" i="15"/>
  <c r="C96" i="15" s="1"/>
  <c r="D101" i="15" s="1"/>
  <c r="C86" i="15"/>
  <c r="C81" i="15"/>
  <c r="C93" i="15" s="1"/>
  <c r="D104" i="15" s="1"/>
  <c r="C83" i="15"/>
  <c r="C94" i="15" s="1"/>
  <c r="D103" i="15" s="1"/>
  <c r="C84" i="15"/>
  <c r="AC122" i="12"/>
  <c r="AC216" i="12"/>
  <c r="AH75" i="15"/>
  <c r="C85" i="15"/>
  <c r="C80" i="15"/>
  <c r="AA84" i="14"/>
  <c r="Z84" i="14"/>
  <c r="AB82" i="14"/>
  <c r="AB214" i="14" s="1"/>
  <c r="AB224" i="14" s="1"/>
  <c r="AB33" i="14"/>
  <c r="AB92" i="14" s="1"/>
  <c r="Z39" i="19"/>
  <c r="Z43" i="19"/>
  <c r="AD62" i="14"/>
  <c r="AC43" i="14"/>
  <c r="AC122" i="14" s="1"/>
  <c r="AD14" i="14"/>
  <c r="AD15" i="14" s="1"/>
  <c r="AD16" i="14" s="1"/>
  <c r="AD17" i="14" s="1"/>
  <c r="AC29" i="14"/>
  <c r="AC15" i="14"/>
  <c r="AC16" i="14" s="1"/>
  <c r="AA41" i="19"/>
  <c r="Y40" i="19"/>
  <c r="AC63" i="14"/>
  <c r="AC64" i="14"/>
  <c r="AF12" i="14"/>
  <c r="AE13" i="14"/>
  <c r="AE83" i="14" s="1"/>
  <c r="CQ28" i="58" s="1"/>
  <c r="AD28" i="14"/>
  <c r="AD27" i="14"/>
  <c r="AE26" i="14"/>
  <c r="AD31" i="14"/>
  <c r="AD30" i="14"/>
  <c r="AE40" i="14"/>
  <c r="AE42" i="14" s="1"/>
  <c r="AD41" i="14"/>
  <c r="AB16" i="14"/>
  <c r="AB17" i="14" s="1"/>
  <c r="Z40" i="19"/>
  <c r="AC32" i="14"/>
  <c r="AB65" i="14"/>
  <c r="AB134" i="14" s="1"/>
  <c r="AH76" i="15"/>
  <c r="AB41" i="20"/>
  <c r="AB19" i="12"/>
  <c r="AB25" i="12" s="1"/>
  <c r="AD13" i="12"/>
  <c r="AD83" i="12" s="1"/>
  <c r="AD119" i="59" s="1"/>
  <c r="AC14" i="12"/>
  <c r="AC15" i="12" s="1"/>
  <c r="AC16" i="12" s="1"/>
  <c r="AC17" i="12" s="1"/>
  <c r="AA19" i="12"/>
  <c r="AA25" i="12" s="1"/>
  <c r="AE12" i="12"/>
  <c r="AD43" i="12"/>
  <c r="AF40" i="12"/>
  <c r="AF42" i="12" s="1"/>
  <c r="AE41" i="12"/>
  <c r="AE27" i="58" l="1"/>
  <c r="CQ10" i="58"/>
  <c r="CQ5" i="58"/>
  <c r="CO27" i="58"/>
  <c r="CO9" i="58" s="1"/>
  <c r="BI9" i="58"/>
  <c r="BI4" i="59" s="1"/>
  <c r="CO4" i="59" s="1"/>
  <c r="DU4" i="59" s="1"/>
  <c r="BJ27" i="58"/>
  <c r="AD9" i="58"/>
  <c r="AD4" i="59" s="1"/>
  <c r="AD4" i="58"/>
  <c r="BJ4" i="58" s="1"/>
  <c r="CP4" i="58" s="1"/>
  <c r="Z69" i="14"/>
  <c r="Z85" i="14"/>
  <c r="AB45" i="14"/>
  <c r="AA67" i="14"/>
  <c r="AA47" i="14"/>
  <c r="X86" i="12"/>
  <c r="AB47" i="12"/>
  <c r="AA68" i="14"/>
  <c r="AB46" i="14"/>
  <c r="AA35" i="14"/>
  <c r="AA37" i="14" s="1"/>
  <c r="Y23" i="14"/>
  <c r="AC36" i="14"/>
  <c r="Z214" i="12"/>
  <c r="Z224" i="12" s="1"/>
  <c r="AA221" i="14"/>
  <c r="Y67" i="12"/>
  <c r="Z23" i="12"/>
  <c r="AA85" i="14"/>
  <c r="AC46" i="12"/>
  <c r="AC47" i="12" s="1"/>
  <c r="AD49" i="12"/>
  <c r="AD45" i="12" s="1"/>
  <c r="Y85" i="12"/>
  <c r="W88" i="12"/>
  <c r="X37" i="12"/>
  <c r="Y90" i="12"/>
  <c r="Y35" i="12"/>
  <c r="Y68" i="12"/>
  <c r="Y89" i="12"/>
  <c r="AB66" i="14"/>
  <c r="AB70" i="14"/>
  <c r="AB71" i="14"/>
  <c r="Z66" i="12"/>
  <c r="Z71" i="12"/>
  <c r="Z70" i="12"/>
  <c r="Z39" i="12"/>
  <c r="AA36" i="12"/>
  <c r="X87" i="12"/>
  <c r="X69" i="12"/>
  <c r="AA22" i="14"/>
  <c r="AA89" i="14"/>
  <c r="Z22" i="14"/>
  <c r="Z87" i="14" s="1"/>
  <c r="Z89" i="14"/>
  <c r="AA21" i="14"/>
  <c r="AA90" i="14"/>
  <c r="Z21" i="14"/>
  <c r="Z90" i="14"/>
  <c r="AB220" i="14"/>
  <c r="AC216" i="14"/>
  <c r="AC48" i="14"/>
  <c r="AC44" i="14"/>
  <c r="AC49" i="14"/>
  <c r="AD34" i="14"/>
  <c r="AD38" i="14"/>
  <c r="AB215" i="14"/>
  <c r="AB39" i="14"/>
  <c r="Y167" i="12"/>
  <c r="AD48" i="12"/>
  <c r="AD44" i="12"/>
  <c r="AB34" i="12"/>
  <c r="AB38" i="12"/>
  <c r="AB20" i="12"/>
  <c r="AB24" i="12"/>
  <c r="AA20" i="12"/>
  <c r="AA24" i="12"/>
  <c r="Y39" i="20"/>
  <c r="Z84" i="12"/>
  <c r="Z92" i="12"/>
  <c r="AH76" i="16"/>
  <c r="Z215" i="12"/>
  <c r="AD19" i="14"/>
  <c r="AD102" i="14" s="1"/>
  <c r="AH129" i="16"/>
  <c r="AH75" i="16"/>
  <c r="Y221" i="12"/>
  <c r="AA65" i="12"/>
  <c r="Y168" i="12"/>
  <c r="AA81" i="12"/>
  <c r="AA213" i="12" s="1"/>
  <c r="AB29" i="12"/>
  <c r="AA33" i="12"/>
  <c r="AB166" i="12"/>
  <c r="AB64" i="12"/>
  <c r="AB63" i="12"/>
  <c r="AB32" i="12"/>
  <c r="AC30" i="12"/>
  <c r="AD26" i="12"/>
  <c r="AC27" i="12"/>
  <c r="AC31" i="12"/>
  <c r="AC28" i="12"/>
  <c r="AC62" i="12"/>
  <c r="AA82" i="12"/>
  <c r="Z220" i="12"/>
  <c r="Y43" i="20"/>
  <c r="Z134" i="12"/>
  <c r="C95" i="15"/>
  <c r="C95" i="16"/>
  <c r="D102" i="16" s="1"/>
  <c r="C91" i="16"/>
  <c r="C88" i="16"/>
  <c r="C91" i="15"/>
  <c r="D106" i="15" s="1"/>
  <c r="C88" i="15"/>
  <c r="AA102" i="12"/>
  <c r="AA217" i="12"/>
  <c r="AD64" i="14"/>
  <c r="AB102" i="12"/>
  <c r="AB217" i="12"/>
  <c r="AD122" i="12"/>
  <c r="AD216" i="12"/>
  <c r="AA39" i="19"/>
  <c r="AD63" i="14"/>
  <c r="AC33" i="14"/>
  <c r="AC92" i="14" s="1"/>
  <c r="AB41" i="19"/>
  <c r="AE62" i="14"/>
  <c r="AE63" i="14" s="1"/>
  <c r="AD43" i="14"/>
  <c r="AD122" i="14" s="1"/>
  <c r="AD32" i="14"/>
  <c r="AB81" i="14"/>
  <c r="AB213" i="14" s="1"/>
  <c r="AB19" i="14"/>
  <c r="AB102" i="14" s="1"/>
  <c r="AC82" i="14"/>
  <c r="AC214" i="14" s="1"/>
  <c r="AC224" i="14" s="1"/>
  <c r="AA43" i="19"/>
  <c r="AE30" i="14"/>
  <c r="AF26" i="14"/>
  <c r="AE27" i="14"/>
  <c r="AE31" i="14"/>
  <c r="AE28" i="14"/>
  <c r="AF13" i="14"/>
  <c r="AF83" i="14" s="1"/>
  <c r="CR28" i="58" s="1"/>
  <c r="AG12" i="14"/>
  <c r="AF40" i="14"/>
  <c r="AF42" i="14" s="1"/>
  <c r="AE41" i="14"/>
  <c r="AD29" i="14"/>
  <c r="AE14" i="14"/>
  <c r="AC65" i="14"/>
  <c r="AC134" i="14" s="1"/>
  <c r="AC17" i="14"/>
  <c r="AC41" i="20"/>
  <c r="AA40" i="20"/>
  <c r="Z40" i="20"/>
  <c r="AE13" i="12"/>
  <c r="AE83" i="12" s="1"/>
  <c r="AE119" i="59" s="1"/>
  <c r="AC19" i="12"/>
  <c r="AC25" i="12" s="1"/>
  <c r="AF12" i="12"/>
  <c r="AD14" i="12"/>
  <c r="AE43" i="12"/>
  <c r="AG40" i="12"/>
  <c r="AG42" i="12" s="1"/>
  <c r="AF41" i="12"/>
  <c r="CP27" i="58" l="1"/>
  <c r="CP9" i="58" s="1"/>
  <c r="BJ9" i="58"/>
  <c r="BJ4" i="59" s="1"/>
  <c r="CP4" i="59" s="1"/>
  <c r="DV4" i="59" s="1"/>
  <c r="AF27" i="58"/>
  <c r="CR10" i="58"/>
  <c r="CR5" i="58"/>
  <c r="BK27" i="58"/>
  <c r="AE9" i="58"/>
  <c r="AE4" i="59" s="1"/>
  <c r="AE4" i="58"/>
  <c r="BK4" i="58" s="1"/>
  <c r="CQ4" i="58" s="1"/>
  <c r="AA87" i="14"/>
  <c r="AA69" i="14"/>
  <c r="AA86" i="14"/>
  <c r="Z86" i="14"/>
  <c r="AB67" i="14"/>
  <c r="AC45" i="14"/>
  <c r="AB47" i="14"/>
  <c r="AB68" i="14"/>
  <c r="AC46" i="14"/>
  <c r="Y88" i="14"/>
  <c r="AD36" i="14"/>
  <c r="AB35" i="14"/>
  <c r="AB37" i="14" s="1"/>
  <c r="AA23" i="14"/>
  <c r="AA214" i="12"/>
  <c r="AA224" i="12" s="1"/>
  <c r="Z23" i="14"/>
  <c r="AB36" i="12"/>
  <c r="Z35" i="12"/>
  <c r="Z37" i="12" s="1"/>
  <c r="Y86" i="12"/>
  <c r="AD46" i="12"/>
  <c r="AE49" i="12"/>
  <c r="AE45" i="12" s="1"/>
  <c r="Y87" i="12"/>
  <c r="X88" i="12"/>
  <c r="Y37" i="12"/>
  <c r="Z85" i="12"/>
  <c r="AC70" i="14"/>
  <c r="AC71" i="14"/>
  <c r="AC66" i="14"/>
  <c r="AA39" i="12"/>
  <c r="Z68" i="12"/>
  <c r="Z89" i="12"/>
  <c r="Z90" i="12"/>
  <c r="Z67" i="12"/>
  <c r="AA71" i="12"/>
  <c r="AA66" i="12"/>
  <c r="AA70" i="12"/>
  <c r="Y69" i="12"/>
  <c r="AC220" i="14"/>
  <c r="AD216" i="14"/>
  <c r="AD49" i="14"/>
  <c r="AD48" i="14"/>
  <c r="AD44" i="14"/>
  <c r="AE38" i="14"/>
  <c r="AC215" i="14"/>
  <c r="AC39" i="14"/>
  <c r="AE34" i="14"/>
  <c r="AD217" i="14"/>
  <c r="AD25" i="14"/>
  <c r="AD20" i="14"/>
  <c r="AD24" i="14"/>
  <c r="AB217" i="14"/>
  <c r="AB221" i="14" s="1"/>
  <c r="AB24" i="14"/>
  <c r="AB20" i="14"/>
  <c r="AB25" i="14"/>
  <c r="AC40" i="19"/>
  <c r="AA21" i="12"/>
  <c r="AB22" i="12"/>
  <c r="AA22" i="12"/>
  <c r="AB21" i="12"/>
  <c r="Z167" i="12"/>
  <c r="AE44" i="12"/>
  <c r="AE48" i="12"/>
  <c r="AC38" i="12"/>
  <c r="AC34" i="12"/>
  <c r="AC24" i="12"/>
  <c r="AC20" i="12"/>
  <c r="Z168" i="12"/>
  <c r="Z221" i="12"/>
  <c r="Z39" i="20"/>
  <c r="AA92" i="12"/>
  <c r="AA215" i="12"/>
  <c r="AA134" i="12"/>
  <c r="Z43" i="20"/>
  <c r="AA220" i="12"/>
  <c r="AA84" i="12"/>
  <c r="AB82" i="12"/>
  <c r="AC32" i="12"/>
  <c r="AB33" i="12"/>
  <c r="AB223" i="14"/>
  <c r="AA223" i="12"/>
  <c r="AC29" i="12"/>
  <c r="AC166" i="12"/>
  <c r="AC64" i="12"/>
  <c r="AC63" i="12"/>
  <c r="AD28" i="12"/>
  <c r="AD30" i="12"/>
  <c r="AD27" i="12"/>
  <c r="AD31" i="12"/>
  <c r="AE26" i="12"/>
  <c r="AD62" i="12"/>
  <c r="AB81" i="12"/>
  <c r="AB65" i="12"/>
  <c r="AD65" i="14"/>
  <c r="AD134" i="14" s="1"/>
  <c r="C97" i="16"/>
  <c r="D106" i="16"/>
  <c r="D107" i="16" s="1"/>
  <c r="AC41" i="19"/>
  <c r="AE122" i="12"/>
  <c r="AE216" i="12"/>
  <c r="AD82" i="14"/>
  <c r="AD214" i="14" s="1"/>
  <c r="AD224" i="14" s="1"/>
  <c r="AC102" i="12"/>
  <c r="AC217" i="12"/>
  <c r="AB84" i="14"/>
  <c r="AD81" i="14"/>
  <c r="AD213" i="14" s="1"/>
  <c r="AE64" i="14"/>
  <c r="AE65" i="14" s="1"/>
  <c r="AE134" i="14" s="1"/>
  <c r="AB39" i="19"/>
  <c r="AE43" i="14"/>
  <c r="AE122" i="14" s="1"/>
  <c r="AE32" i="14"/>
  <c r="AE15" i="14"/>
  <c r="AE16" i="14" s="1"/>
  <c r="AE17" i="14" s="1"/>
  <c r="AF41" i="14"/>
  <c r="AG40" i="14"/>
  <c r="AG42" i="14" s="1"/>
  <c r="AF14" i="14"/>
  <c r="AD33" i="14"/>
  <c r="AD92" i="14" s="1"/>
  <c r="AC81" i="14"/>
  <c r="AC213" i="14" s="1"/>
  <c r="AC19" i="14"/>
  <c r="AC102" i="14" s="1"/>
  <c r="AG13" i="14"/>
  <c r="AG83" i="14" s="1"/>
  <c r="CS28" i="58" s="1"/>
  <c r="AH12" i="14"/>
  <c r="AA40" i="19"/>
  <c r="AF27" i="14"/>
  <c r="AF28" i="14"/>
  <c r="AG26" i="14"/>
  <c r="AF31" i="14"/>
  <c r="AF30" i="14"/>
  <c r="AB43" i="19"/>
  <c r="AF62" i="14"/>
  <c r="AE29" i="14"/>
  <c r="AD41" i="20"/>
  <c r="AB40" i="20"/>
  <c r="AF13" i="12"/>
  <c r="AF83" i="12" s="1"/>
  <c r="AF119" i="59" s="1"/>
  <c r="AE14" i="12"/>
  <c r="AE15" i="12" s="1"/>
  <c r="AE16" i="12" s="1"/>
  <c r="AE17" i="12" s="1"/>
  <c r="AG12" i="12"/>
  <c r="AH12" i="12" s="1"/>
  <c r="AD15" i="12"/>
  <c r="AD16" i="12" s="1"/>
  <c r="AD17" i="12" s="1"/>
  <c r="AF43" i="12"/>
  <c r="AG41" i="12"/>
  <c r="AH40" i="12"/>
  <c r="AH42" i="12" s="1"/>
  <c r="AP260" i="12" s="1"/>
  <c r="CQ27" i="58" l="1"/>
  <c r="CQ9" i="58" s="1"/>
  <c r="BK9" i="58"/>
  <c r="BK4" i="59" s="1"/>
  <c r="CQ4" i="59" s="1"/>
  <c r="DW4" i="59" s="1"/>
  <c r="AG27" i="58"/>
  <c r="CS10" i="58"/>
  <c r="CS5" i="58"/>
  <c r="BL27" i="58"/>
  <c r="AF9" i="58"/>
  <c r="AF4" i="59" s="1"/>
  <c r="AF4" i="58"/>
  <c r="BL4" i="58" s="1"/>
  <c r="CR4" i="58" s="1"/>
  <c r="AC47" i="14"/>
  <c r="AB85" i="14"/>
  <c r="AB69" i="14"/>
  <c r="AC67" i="14"/>
  <c r="AD45" i="14"/>
  <c r="AD47" i="12"/>
  <c r="AC68" i="14"/>
  <c r="AD46" i="14"/>
  <c r="Z88" i="14"/>
  <c r="AA88" i="14"/>
  <c r="AC35" i="14"/>
  <c r="AC37" i="14" s="1"/>
  <c r="AE36" i="14"/>
  <c r="AB214" i="12"/>
  <c r="AB224" i="12" s="1"/>
  <c r="AA67" i="12"/>
  <c r="AF49" i="12"/>
  <c r="AF45" i="12" s="1"/>
  <c r="AE46" i="12"/>
  <c r="AA85" i="12"/>
  <c r="Z87" i="12"/>
  <c r="Y88" i="12"/>
  <c r="Z86" i="12"/>
  <c r="AB70" i="12"/>
  <c r="AB71" i="12"/>
  <c r="AB66" i="12"/>
  <c r="AB39" i="12"/>
  <c r="AC36" i="12"/>
  <c r="Z69" i="12"/>
  <c r="AA90" i="12"/>
  <c r="AA35" i="12"/>
  <c r="AE71" i="14"/>
  <c r="AE70" i="14"/>
  <c r="AE66" i="14"/>
  <c r="AD71" i="14"/>
  <c r="AD66" i="14"/>
  <c r="AD70" i="14"/>
  <c r="AA68" i="12"/>
  <c r="AA89" i="12"/>
  <c r="AD21" i="14"/>
  <c r="AB22" i="14"/>
  <c r="AB87" i="14" s="1"/>
  <c r="AB89" i="14"/>
  <c r="AB21" i="14"/>
  <c r="AB86" i="14" s="1"/>
  <c r="AB90" i="14"/>
  <c r="AD22" i="14"/>
  <c r="AE220" i="14"/>
  <c r="AE216" i="14"/>
  <c r="AE48" i="14"/>
  <c r="AE44" i="14"/>
  <c r="AE49" i="14"/>
  <c r="AF38" i="14"/>
  <c r="AF34" i="14"/>
  <c r="AD215" i="14"/>
  <c r="AD39" i="14"/>
  <c r="AC217" i="14"/>
  <c r="AC221" i="14" s="1"/>
  <c r="AC24" i="14"/>
  <c r="AC20" i="14"/>
  <c r="AC25" i="14"/>
  <c r="AB23" i="12"/>
  <c r="AA23" i="12"/>
  <c r="AC21" i="12"/>
  <c r="AC22" i="12"/>
  <c r="AF44" i="12"/>
  <c r="AF48" i="12"/>
  <c r="AD34" i="12"/>
  <c r="AD38" i="12"/>
  <c r="AB215" i="12"/>
  <c r="AB92" i="12"/>
  <c r="AA39" i="20"/>
  <c r="AA221" i="12"/>
  <c r="AA168" i="12"/>
  <c r="AA167" i="12"/>
  <c r="AD29" i="12"/>
  <c r="AC82" i="12"/>
  <c r="AD32" i="12"/>
  <c r="AC223" i="14"/>
  <c r="AD223" i="14"/>
  <c r="AD220" i="14"/>
  <c r="AD166" i="12"/>
  <c r="AD64" i="12"/>
  <c r="AD63" i="12"/>
  <c r="AC43" i="19"/>
  <c r="AE31" i="12"/>
  <c r="AF26" i="12"/>
  <c r="AE28" i="12"/>
  <c r="AE30" i="12"/>
  <c r="AE27" i="12"/>
  <c r="AE62" i="12"/>
  <c r="AC33" i="12"/>
  <c r="AC81" i="12"/>
  <c r="AB134" i="12"/>
  <c r="AB220" i="12"/>
  <c r="AA43" i="20"/>
  <c r="AC65" i="12"/>
  <c r="AB84" i="12"/>
  <c r="AB213" i="12"/>
  <c r="AL206" i="12"/>
  <c r="AM182" i="12"/>
  <c r="AL182" i="12"/>
  <c r="AF122" i="12"/>
  <c r="AF216" i="12"/>
  <c r="AD84" i="14"/>
  <c r="AC84" i="14"/>
  <c r="AD41" i="19"/>
  <c r="AE82" i="14"/>
  <c r="AE214" i="14" s="1"/>
  <c r="AE224" i="14" s="1"/>
  <c r="AE33" i="14"/>
  <c r="AE92" i="14" s="1"/>
  <c r="AD43" i="19"/>
  <c r="AF43" i="14"/>
  <c r="AF122" i="14" s="1"/>
  <c r="AF32" i="14"/>
  <c r="AF29" i="14"/>
  <c r="AG14" i="14"/>
  <c r="AG41" i="14"/>
  <c r="AH40" i="14"/>
  <c r="AH42" i="14" s="1"/>
  <c r="AF15" i="14"/>
  <c r="AF16" i="14" s="1"/>
  <c r="AF17" i="14" s="1"/>
  <c r="AE81" i="14"/>
  <c r="AE213" i="14" s="1"/>
  <c r="AF63" i="14"/>
  <c r="AF64" i="14"/>
  <c r="AG62" i="14"/>
  <c r="AH26" i="14"/>
  <c r="AG30" i="14"/>
  <c r="AG31" i="14"/>
  <c r="AG28" i="14"/>
  <c r="AG27" i="14"/>
  <c r="AH13" i="14"/>
  <c r="AH83" i="14" s="1"/>
  <c r="AB40" i="19"/>
  <c r="AC39" i="19"/>
  <c r="AE19" i="14"/>
  <c r="AE102" i="14" s="1"/>
  <c r="AE41" i="20"/>
  <c r="AE19" i="12"/>
  <c r="AE25" i="12" s="1"/>
  <c r="AG13" i="12"/>
  <c r="AG83" i="12" s="1"/>
  <c r="AG119" i="59" s="1"/>
  <c r="AF14" i="12"/>
  <c r="AF15" i="12" s="1"/>
  <c r="AF16" i="12" s="1"/>
  <c r="AF17" i="12" s="1"/>
  <c r="AD19" i="12"/>
  <c r="AD25" i="12" s="1"/>
  <c r="AG43" i="12"/>
  <c r="AH41" i="12"/>
  <c r="AO260" i="12" s="1"/>
  <c r="AN256" i="14" l="1"/>
  <c r="CT28" i="58"/>
  <c r="CR27" i="58"/>
  <c r="CR9" i="58" s="1"/>
  <c r="BL9" i="58"/>
  <c r="BL4" i="59" s="1"/>
  <c r="CR4" i="59" s="1"/>
  <c r="DX4" i="59" s="1"/>
  <c r="AG9" i="58"/>
  <c r="AG4" i="59" s="1"/>
  <c r="BM27" i="58"/>
  <c r="AG4" i="58"/>
  <c r="BM4" i="58" s="1"/>
  <c r="CS4" i="58" s="1"/>
  <c r="AD47" i="14"/>
  <c r="AA86" i="12"/>
  <c r="AC85" i="14"/>
  <c r="AC69" i="14"/>
  <c r="AE45" i="14"/>
  <c r="AD67" i="14"/>
  <c r="AD85" i="14"/>
  <c r="AE67" i="14"/>
  <c r="AE68" i="14"/>
  <c r="AD68" i="14"/>
  <c r="AD87" i="14" s="1"/>
  <c r="AE46" i="14"/>
  <c r="AD221" i="14"/>
  <c r="AD35" i="14"/>
  <c r="AD37" i="14" s="1"/>
  <c r="AF36" i="14"/>
  <c r="AC214" i="12"/>
  <c r="AC224" i="12" s="1"/>
  <c r="AB67" i="12"/>
  <c r="AG49" i="12"/>
  <c r="AE47" i="12"/>
  <c r="AF46" i="12"/>
  <c r="AA87" i="12"/>
  <c r="Z88" i="12"/>
  <c r="AB85" i="12"/>
  <c r="AA37" i="12"/>
  <c r="AC39" i="12"/>
  <c r="AD36" i="12"/>
  <c r="AA69" i="12"/>
  <c r="AB90" i="12"/>
  <c r="AB35" i="12"/>
  <c r="AC66" i="12"/>
  <c r="AC70" i="12"/>
  <c r="AC71" i="12"/>
  <c r="AB89" i="12"/>
  <c r="AB68" i="12"/>
  <c r="AB23" i="14"/>
  <c r="AC21" i="14"/>
  <c r="AC90" i="14"/>
  <c r="AD23" i="14"/>
  <c r="AD90" i="14"/>
  <c r="AD89" i="14"/>
  <c r="AC22" i="14"/>
  <c r="AC87" i="14" s="1"/>
  <c r="AC89" i="14"/>
  <c r="AF216" i="14"/>
  <c r="AF48" i="14"/>
  <c r="AF44" i="14"/>
  <c r="AF49" i="14"/>
  <c r="AG38" i="14"/>
  <c r="AE215" i="14"/>
  <c r="AE39" i="14"/>
  <c r="AG34" i="14"/>
  <c r="AE217" i="14"/>
  <c r="AE24" i="14"/>
  <c r="AE20" i="14"/>
  <c r="AE25" i="14"/>
  <c r="AC23" i="12"/>
  <c r="AG48" i="12"/>
  <c r="AG44" i="12"/>
  <c r="AE34" i="12"/>
  <c r="AE38" i="12"/>
  <c r="AE20" i="12"/>
  <c r="AE24" i="12"/>
  <c r="AD24" i="12"/>
  <c r="AD20" i="12"/>
  <c r="AD81" i="12"/>
  <c r="AD213" i="12" s="1"/>
  <c r="AD33" i="12"/>
  <c r="AB223" i="12"/>
  <c r="AB221" i="12"/>
  <c r="AD82" i="12"/>
  <c r="AE223" i="14"/>
  <c r="AE32" i="12"/>
  <c r="AB167" i="12"/>
  <c r="AB168" i="12"/>
  <c r="AD65" i="12"/>
  <c r="AE166" i="12"/>
  <c r="AE64" i="12"/>
  <c r="AE63" i="12"/>
  <c r="AG26" i="12"/>
  <c r="AF27" i="12"/>
  <c r="AF30" i="12"/>
  <c r="AF28" i="12"/>
  <c r="AF31" i="12"/>
  <c r="AF62" i="12"/>
  <c r="AC84" i="12"/>
  <c r="AC213" i="12"/>
  <c r="AE29" i="12"/>
  <c r="AC220" i="12"/>
  <c r="AB43" i="20"/>
  <c r="AC134" i="12"/>
  <c r="AC215" i="12"/>
  <c r="AB39" i="20"/>
  <c r="AC92" i="12"/>
  <c r="AL209" i="12"/>
  <c r="AM186" i="12"/>
  <c r="AL186" i="12"/>
  <c r="AD217" i="12"/>
  <c r="AD102" i="12"/>
  <c r="AE217" i="12"/>
  <c r="AE102" i="12"/>
  <c r="AO173" i="12"/>
  <c r="AO174" i="12"/>
  <c r="AG122" i="12"/>
  <c r="AG216" i="12"/>
  <c r="AE84" i="14"/>
  <c r="AD39" i="19"/>
  <c r="AF82" i="14"/>
  <c r="AF214" i="14" s="1"/>
  <c r="AF224" i="14" s="1"/>
  <c r="AF33" i="14"/>
  <c r="AF92" i="14" s="1"/>
  <c r="AE41" i="19"/>
  <c r="AH14" i="14"/>
  <c r="AH15" i="14" s="1"/>
  <c r="AG29" i="14"/>
  <c r="AF81" i="14"/>
  <c r="AF213" i="14" s="1"/>
  <c r="AF19" i="14"/>
  <c r="AF102" i="14" s="1"/>
  <c r="AH28" i="14"/>
  <c r="AH30" i="14"/>
  <c r="AH27" i="14"/>
  <c r="AH31" i="14"/>
  <c r="AD40" i="19"/>
  <c r="AG64" i="14"/>
  <c r="AG63" i="14"/>
  <c r="AG15" i="14"/>
  <c r="AG16" i="14" s="1"/>
  <c r="AH62" i="14"/>
  <c r="AH41" i="14"/>
  <c r="AO173" i="14" s="1"/>
  <c r="AO174" i="14"/>
  <c r="AG32" i="14"/>
  <c r="AF65" i="14"/>
  <c r="AF134" i="14" s="1"/>
  <c r="AG43" i="14"/>
  <c r="AG122" i="14" s="1"/>
  <c r="AF41" i="20"/>
  <c r="AC40" i="20"/>
  <c r="AD40" i="20"/>
  <c r="AH13" i="12"/>
  <c r="AG14" i="12"/>
  <c r="AG15" i="12" s="1"/>
  <c r="AG16" i="12" s="1"/>
  <c r="AG17" i="12" s="1"/>
  <c r="AF19" i="12"/>
  <c r="AF25" i="12" s="1"/>
  <c r="AH43" i="12"/>
  <c r="CS27" i="58" l="1"/>
  <c r="CS9" i="58" s="1"/>
  <c r="BM9" i="58"/>
  <c r="BM4" i="59" s="1"/>
  <c r="CS4" i="59" s="1"/>
  <c r="DY4" i="59" s="1"/>
  <c r="AH27" i="58"/>
  <c r="CT10" i="58"/>
  <c r="CT5" i="58"/>
  <c r="AE69" i="14"/>
  <c r="AE85" i="14"/>
  <c r="AE47" i="14"/>
  <c r="AF45" i="14"/>
  <c r="AF47" i="12"/>
  <c r="AD69" i="14"/>
  <c r="AD86" i="14"/>
  <c r="AF46" i="14"/>
  <c r="AB88" i="14"/>
  <c r="AG36" i="14"/>
  <c r="AE35" i="14"/>
  <c r="AE37" i="14" s="1"/>
  <c r="AA88" i="12"/>
  <c r="AD214" i="12"/>
  <c r="AD224" i="12" s="1"/>
  <c r="AC67" i="12"/>
  <c r="AH49" i="12"/>
  <c r="AH45" i="12" s="1"/>
  <c r="AG46" i="12"/>
  <c r="AC85" i="12"/>
  <c r="AB37" i="12"/>
  <c r="AE221" i="14"/>
  <c r="AD66" i="12"/>
  <c r="AD71" i="12"/>
  <c r="AD70" i="12"/>
  <c r="AD39" i="12"/>
  <c r="AF66" i="14"/>
  <c r="AF71" i="14"/>
  <c r="AF70" i="14"/>
  <c r="AE36" i="12"/>
  <c r="AB87" i="12"/>
  <c r="AB69" i="12"/>
  <c r="AC68" i="12"/>
  <c r="AC89" i="12"/>
  <c r="AC90" i="12"/>
  <c r="AC35" i="12"/>
  <c r="AB86" i="12"/>
  <c r="AE21" i="14"/>
  <c r="AE90" i="14"/>
  <c r="AE22" i="14"/>
  <c r="AE87" i="14" s="1"/>
  <c r="AE89" i="14"/>
  <c r="AC23" i="14"/>
  <c r="AC86" i="14"/>
  <c r="AF220" i="14"/>
  <c r="AH38" i="14"/>
  <c r="AG216" i="14"/>
  <c r="AG48" i="14"/>
  <c r="AG44" i="14"/>
  <c r="AG49" i="14"/>
  <c r="AH34" i="14"/>
  <c r="AF215" i="14"/>
  <c r="AF39" i="14"/>
  <c r="AF217" i="14"/>
  <c r="AF24" i="14"/>
  <c r="AF20" i="14"/>
  <c r="AF25" i="14"/>
  <c r="AG45" i="12"/>
  <c r="AD22" i="12"/>
  <c r="AE22" i="12"/>
  <c r="AD21" i="12"/>
  <c r="AE21" i="12"/>
  <c r="AH48" i="12"/>
  <c r="AH44" i="12"/>
  <c r="AF34" i="12"/>
  <c r="AF38" i="12"/>
  <c r="AF20" i="12"/>
  <c r="AF24" i="12"/>
  <c r="AD92" i="12"/>
  <c r="AE82" i="12"/>
  <c r="AD84" i="12"/>
  <c r="AD215" i="12"/>
  <c r="AC39" i="20"/>
  <c r="AD223" i="12"/>
  <c r="AF29" i="12"/>
  <c r="AF223" i="14"/>
  <c r="AC223" i="12"/>
  <c r="AC221" i="12"/>
  <c r="AG28" i="12"/>
  <c r="AH26" i="12"/>
  <c r="AG27" i="12"/>
  <c r="AG31" i="12"/>
  <c r="AG30" i="12"/>
  <c r="AG62" i="12"/>
  <c r="AE33" i="12"/>
  <c r="AE81" i="12"/>
  <c r="AE65" i="12"/>
  <c r="AD134" i="12"/>
  <c r="AC43" i="20"/>
  <c r="AD220" i="12"/>
  <c r="AF32" i="12"/>
  <c r="AC167" i="12"/>
  <c r="AC168" i="12"/>
  <c r="AF166" i="12"/>
  <c r="AF64" i="12"/>
  <c r="AF63" i="12"/>
  <c r="AN206" i="12"/>
  <c r="AH216" i="12"/>
  <c r="AP182" i="12"/>
  <c r="AO87" i="15"/>
  <c r="AO178" i="12"/>
  <c r="AF102" i="12"/>
  <c r="AF217" i="12"/>
  <c r="AR87" i="15"/>
  <c r="AR178" i="12"/>
  <c r="AN178" i="12"/>
  <c r="AO186" i="12"/>
  <c r="AN91" i="15"/>
  <c r="AN182" i="12"/>
  <c r="AN183" i="12" s="1"/>
  <c r="AH83" i="12"/>
  <c r="AN186" i="12"/>
  <c r="AO91" i="15"/>
  <c r="AO182" i="12"/>
  <c r="AO183" i="12" s="1"/>
  <c r="AQ87" i="15"/>
  <c r="AQ178" i="12"/>
  <c r="AF84" i="14"/>
  <c r="AE39" i="19"/>
  <c r="AG65" i="14"/>
  <c r="AG134" i="14" s="1"/>
  <c r="AH16" i="14"/>
  <c r="AG82" i="14"/>
  <c r="AG214" i="14" s="1"/>
  <c r="AG224" i="14" s="1"/>
  <c r="AE43" i="19"/>
  <c r="AH43" i="14"/>
  <c r="AH122" i="14" s="1"/>
  <c r="AG33" i="14"/>
  <c r="AG92" i="14" s="1"/>
  <c r="AF41" i="19"/>
  <c r="AH64" i="14"/>
  <c r="AH63" i="14"/>
  <c r="AG17" i="14"/>
  <c r="AH29" i="14"/>
  <c r="AN173" i="14" s="1"/>
  <c r="AE40" i="19"/>
  <c r="AH32" i="14"/>
  <c r="AN174" i="14" s="1"/>
  <c r="AG41" i="20"/>
  <c r="AH122" i="12"/>
  <c r="AE40" i="20"/>
  <c r="D173" i="12"/>
  <c r="AG19" i="12"/>
  <c r="AG25" i="12" s="1"/>
  <c r="AH14" i="12"/>
  <c r="AH15" i="12" s="1"/>
  <c r="S3" i="6"/>
  <c r="N3" i="6"/>
  <c r="T3" i="6" l="1"/>
  <c r="H35" i="20"/>
  <c r="I4" i="14"/>
  <c r="H35" i="29"/>
  <c r="H35" i="19"/>
  <c r="H35" i="28"/>
  <c r="H4" i="54"/>
  <c r="H4" i="48"/>
  <c r="H4" i="20"/>
  <c r="H4" i="53"/>
  <c r="H4" i="29"/>
  <c r="H4" i="28"/>
  <c r="H4" i="38"/>
  <c r="H4" i="42"/>
  <c r="H4" i="46"/>
  <c r="H4" i="19"/>
  <c r="AH9" i="58"/>
  <c r="E2" i="61"/>
  <c r="CZ19" i="58"/>
  <c r="BN27" i="58"/>
  <c r="AH4" i="58"/>
  <c r="BN4" i="58" s="1"/>
  <c r="O3" i="6"/>
  <c r="C35" i="20"/>
  <c r="D4" i="14"/>
  <c r="C35" i="29"/>
  <c r="C35" i="19"/>
  <c r="C35" i="28"/>
  <c r="C4" i="20"/>
  <c r="C5" i="20" s="1"/>
  <c r="C4" i="28"/>
  <c r="C5" i="28" s="1"/>
  <c r="C4" i="38"/>
  <c r="C5" i="38" s="1"/>
  <c r="C4" i="29"/>
  <c r="C5" i="29" s="1"/>
  <c r="C4" i="53"/>
  <c r="C5" i="53" s="1"/>
  <c r="C4" i="48"/>
  <c r="C5" i="48" s="1"/>
  <c r="C4" i="42"/>
  <c r="C5" i="42" s="1"/>
  <c r="C4" i="46"/>
  <c r="C5" i="46" s="1"/>
  <c r="C4" i="19"/>
  <c r="C5" i="19" s="1"/>
  <c r="C4" i="54"/>
  <c r="C5" i="54" s="1"/>
  <c r="AN256" i="12"/>
  <c r="AN265" i="12" s="1"/>
  <c r="E9" i="60"/>
  <c r="D9" i="60" s="1"/>
  <c r="F10" i="61"/>
  <c r="AH119" i="59"/>
  <c r="AC86" i="12"/>
  <c r="AF47" i="14"/>
  <c r="AG45" i="14"/>
  <c r="AD88" i="14"/>
  <c r="AF67" i="14"/>
  <c r="AF68" i="14"/>
  <c r="AG46" i="14"/>
  <c r="AC88" i="14"/>
  <c r="AH36" i="14"/>
  <c r="AE86" i="14"/>
  <c r="AF35" i="14"/>
  <c r="AF37" i="14" s="1"/>
  <c r="AN218" i="12"/>
  <c r="AE214" i="12"/>
  <c r="AE224" i="12" s="1"/>
  <c r="AD23" i="12"/>
  <c r="AB88" i="12"/>
  <c r="AD35" i="12"/>
  <c r="AD37" i="12" s="1"/>
  <c r="AG47" i="12"/>
  <c r="AH46" i="12"/>
  <c r="AC37" i="12"/>
  <c r="AD85" i="12"/>
  <c r="AC87" i="12"/>
  <c r="AE23" i="12"/>
  <c r="AD221" i="12"/>
  <c r="AF85" i="14"/>
  <c r="AF221" i="14"/>
  <c r="AD68" i="12"/>
  <c r="AD89" i="12"/>
  <c r="AE39" i="12"/>
  <c r="AG70" i="14"/>
  <c r="AG66" i="14"/>
  <c r="AG71" i="14"/>
  <c r="AE70" i="12"/>
  <c r="AE71" i="12"/>
  <c r="AE66" i="12"/>
  <c r="AD90" i="12"/>
  <c r="AD67" i="12"/>
  <c r="AF36" i="12"/>
  <c r="AC69" i="12"/>
  <c r="AE23" i="14"/>
  <c r="AF21" i="14"/>
  <c r="AF90" i="14"/>
  <c r="AF22" i="14"/>
  <c r="AF89" i="14"/>
  <c r="AG220" i="14"/>
  <c r="AH216" i="14"/>
  <c r="AH49" i="14"/>
  <c r="AH48" i="14"/>
  <c r="AH44" i="14"/>
  <c r="AG215" i="14"/>
  <c r="AG39" i="14"/>
  <c r="AF22" i="12"/>
  <c r="AF21" i="12"/>
  <c r="AD167" i="12"/>
  <c r="AG34" i="12"/>
  <c r="AG38" i="12"/>
  <c r="AG24" i="12"/>
  <c r="AG20" i="12"/>
  <c r="AF82" i="12"/>
  <c r="AD168" i="12"/>
  <c r="AG32" i="12"/>
  <c r="AF33" i="12"/>
  <c r="AE215" i="12"/>
  <c r="AD39" i="20"/>
  <c r="AE92" i="12"/>
  <c r="AF65" i="12"/>
  <c r="AF81" i="12"/>
  <c r="AG29" i="12"/>
  <c r="AE220" i="12"/>
  <c r="AD43" i="20"/>
  <c r="AE134" i="12"/>
  <c r="AG166" i="12"/>
  <c r="AG64" i="12"/>
  <c r="AG63" i="12"/>
  <c r="AL202" i="12"/>
  <c r="AH30" i="12"/>
  <c r="AM178" i="12"/>
  <c r="AH31" i="12"/>
  <c r="AL178" i="12"/>
  <c r="AH28" i="12"/>
  <c r="AO179" i="12" s="1"/>
  <c r="AH27" i="12"/>
  <c r="AH62" i="12"/>
  <c r="AE213" i="12"/>
  <c r="AE84" i="12"/>
  <c r="AN103" i="15"/>
  <c r="AR173" i="14"/>
  <c r="AO103" i="15"/>
  <c r="AR174" i="14"/>
  <c r="AO95" i="15"/>
  <c r="AH16" i="12"/>
  <c r="AO187" i="12"/>
  <c r="AG102" i="12"/>
  <c r="AG217" i="12"/>
  <c r="AH17" i="14"/>
  <c r="AP95" i="15"/>
  <c r="AP186" i="12"/>
  <c r="AN87" i="15"/>
  <c r="AP86" i="15" s="1"/>
  <c r="AO194" i="12"/>
  <c r="AN194" i="12"/>
  <c r="D173" i="14"/>
  <c r="AG41" i="19"/>
  <c r="AF43" i="19"/>
  <c r="AF39" i="19"/>
  <c r="AH65" i="14"/>
  <c r="AH134" i="14" s="1"/>
  <c r="AH33" i="14"/>
  <c r="AH92" i="14" s="1"/>
  <c r="AH82" i="14"/>
  <c r="AG81" i="14"/>
  <c r="AG213" i="14" s="1"/>
  <c r="AG19" i="14"/>
  <c r="AG102" i="14" s="1"/>
  <c r="AF40" i="20"/>
  <c r="I4" i="12"/>
  <c r="H3" i="52" s="1"/>
  <c r="H8" i="52" s="1"/>
  <c r="U3" i="6"/>
  <c r="J4" i="12"/>
  <c r="I3" i="52" s="1"/>
  <c r="I8" i="52" s="1"/>
  <c r="P3" i="6"/>
  <c r="E4" i="12"/>
  <c r="D3" i="52" s="1"/>
  <c r="D8" i="52" s="1"/>
  <c r="D4" i="12"/>
  <c r="C3" i="52" s="1"/>
  <c r="C8" i="52" s="1"/>
  <c r="AI8" i="52" s="1"/>
  <c r="F9" i="60" l="1"/>
  <c r="F21" i="60" s="1"/>
  <c r="F30" i="60" s="1"/>
  <c r="D21" i="60"/>
  <c r="D30" i="60" s="1"/>
  <c r="D31" i="60" s="1"/>
  <c r="M6" i="60"/>
  <c r="D55" i="60"/>
  <c r="I8" i="60"/>
  <c r="C18" i="38"/>
  <c r="C31" i="38" s="1"/>
  <c r="C46" i="38" s="1"/>
  <c r="C237" i="38" s="1"/>
  <c r="C14" i="38"/>
  <c r="C17" i="38"/>
  <c r="C30" i="38" s="1"/>
  <c r="C45" i="38" s="1"/>
  <c r="C15" i="38"/>
  <c r="C28" i="38" s="1"/>
  <c r="C43" i="38" s="1"/>
  <c r="C16" i="38"/>
  <c r="C29" i="38" s="1"/>
  <c r="C44" i="38" s="1"/>
  <c r="C222" i="38" s="1"/>
  <c r="D35" i="20"/>
  <c r="E4" i="14"/>
  <c r="D35" i="29"/>
  <c r="D35" i="19"/>
  <c r="D35" i="28"/>
  <c r="D4" i="46"/>
  <c r="D5" i="46" s="1"/>
  <c r="D4" i="20"/>
  <c r="D5" i="20" s="1"/>
  <c r="D4" i="38"/>
  <c r="D5" i="38" s="1"/>
  <c r="D4" i="29"/>
  <c r="D5" i="29" s="1"/>
  <c r="D4" i="54"/>
  <c r="D5" i="54" s="1"/>
  <c r="D4" i="42"/>
  <c r="D5" i="42" s="1"/>
  <c r="D4" i="19"/>
  <c r="D5" i="19" s="1"/>
  <c r="D4" i="28"/>
  <c r="D5" i="28" s="1"/>
  <c r="D4" i="53"/>
  <c r="D5" i="53" s="1"/>
  <c r="D4" i="48"/>
  <c r="D5" i="48" s="1"/>
  <c r="C18" i="20"/>
  <c r="C17" i="20"/>
  <c r="C15" i="20"/>
  <c r="C16" i="20"/>
  <c r="C14" i="20"/>
  <c r="C14" i="54"/>
  <c r="C18" i="54"/>
  <c r="C31" i="54" s="1"/>
  <c r="C15" i="54"/>
  <c r="C28" i="54" s="1"/>
  <c r="C16" i="54"/>
  <c r="C29" i="54" s="1"/>
  <c r="C44" i="54" s="1"/>
  <c r="C150" i="54" s="1"/>
  <c r="C151" i="54" s="1"/>
  <c r="C17" i="54"/>
  <c r="C30" i="54" s="1"/>
  <c r="C15" i="28"/>
  <c r="C28" i="28" s="1"/>
  <c r="C46" i="28" s="1"/>
  <c r="C17" i="28"/>
  <c r="C30" i="28" s="1"/>
  <c r="C14" i="28"/>
  <c r="C16" i="28"/>
  <c r="C29" i="28" s="1"/>
  <c r="C47" i="28" s="1"/>
  <c r="C18" i="28"/>
  <c r="C31" i="28" s="1"/>
  <c r="CT4" i="58"/>
  <c r="C15" i="46"/>
  <c r="C28" i="46" s="1"/>
  <c r="C43" i="46" s="1"/>
  <c r="C17" i="46"/>
  <c r="C30" i="46" s="1"/>
  <c r="C45" i="46" s="1"/>
  <c r="C14" i="46"/>
  <c r="C16" i="46"/>
  <c r="C29" i="46" s="1"/>
  <c r="C44" i="46" s="1"/>
  <c r="C246" i="46" s="1"/>
  <c r="C18" i="46"/>
  <c r="C31" i="46" s="1"/>
  <c r="CT27" i="58"/>
  <c r="CT9" i="58" s="1"/>
  <c r="BN9" i="58"/>
  <c r="E35" i="20"/>
  <c r="E35" i="29"/>
  <c r="F4" i="14"/>
  <c r="E35" i="19"/>
  <c r="E35" i="28"/>
  <c r="E4" i="48"/>
  <c r="E5" i="48" s="1"/>
  <c r="E4" i="46"/>
  <c r="E4" i="38"/>
  <c r="E5" i="38" s="1"/>
  <c r="E4" i="42"/>
  <c r="E5" i="42" s="1"/>
  <c r="E4" i="28"/>
  <c r="E4" i="20"/>
  <c r="E5" i="20" s="1"/>
  <c r="E4" i="54"/>
  <c r="E4" i="29"/>
  <c r="E5" i="29" s="1"/>
  <c r="E4" i="53"/>
  <c r="E4" i="19"/>
  <c r="E5" i="19" s="1"/>
  <c r="C18" i="42"/>
  <c r="C31" i="42" s="1"/>
  <c r="C46" i="42" s="1"/>
  <c r="C237" i="42" s="1"/>
  <c r="C15" i="42"/>
  <c r="C28" i="42" s="1"/>
  <c r="C43" i="42" s="1"/>
  <c r="C16" i="42"/>
  <c r="C29" i="42" s="1"/>
  <c r="C44" i="42" s="1"/>
  <c r="C222" i="42" s="1"/>
  <c r="C14" i="42"/>
  <c r="C17" i="42"/>
  <c r="C30" i="42" s="1"/>
  <c r="C45" i="42" s="1"/>
  <c r="BU28" i="58"/>
  <c r="I7" i="14"/>
  <c r="I5" i="14"/>
  <c r="I6" i="14"/>
  <c r="I8" i="14" s="1"/>
  <c r="I10" i="14"/>
  <c r="I9" i="14"/>
  <c r="I62" i="14"/>
  <c r="C18" i="19"/>
  <c r="C31" i="19" s="1"/>
  <c r="C15" i="19"/>
  <c r="C28" i="19" s="1"/>
  <c r="C46" i="19" s="1"/>
  <c r="C14" i="19"/>
  <c r="C17" i="19"/>
  <c r="C30" i="19" s="1"/>
  <c r="C48" i="19" s="1"/>
  <c r="C16" i="19"/>
  <c r="C29" i="19" s="1"/>
  <c r="C47" i="19" s="1"/>
  <c r="C14" i="48"/>
  <c r="C18" i="48"/>
  <c r="C31" i="48" s="1"/>
  <c r="C16" i="48"/>
  <c r="C29" i="48" s="1"/>
  <c r="C44" i="48" s="1"/>
  <c r="C17" i="48"/>
  <c r="C30" i="48" s="1"/>
  <c r="C45" i="48" s="1"/>
  <c r="C15" i="48"/>
  <c r="C28" i="48" s="1"/>
  <c r="C43" i="48" s="1"/>
  <c r="F31" i="60"/>
  <c r="AH4" i="59"/>
  <c r="J35" i="20"/>
  <c r="J35" i="29"/>
  <c r="K4" i="14"/>
  <c r="J35" i="19"/>
  <c r="J35" i="28"/>
  <c r="J4" i="54"/>
  <c r="J4" i="46"/>
  <c r="J4" i="28"/>
  <c r="J4" i="53"/>
  <c r="J4" i="20"/>
  <c r="J4" i="48"/>
  <c r="J4" i="19"/>
  <c r="J4" i="29"/>
  <c r="J4" i="38"/>
  <c r="J4" i="42"/>
  <c r="C14" i="53"/>
  <c r="C15" i="53"/>
  <c r="C28" i="53" s="1"/>
  <c r="C16" i="53"/>
  <c r="C29" i="53" s="1"/>
  <c r="C44" i="53" s="1"/>
  <c r="C150" i="53" s="1"/>
  <c r="C151" i="53" s="1"/>
  <c r="D60" i="51" s="1"/>
  <c r="AJ60" i="51" s="1"/>
  <c r="C18" i="53"/>
  <c r="C31" i="53" s="1"/>
  <c r="C17" i="53"/>
  <c r="C30" i="53" s="1"/>
  <c r="BP28" i="58"/>
  <c r="AK251" i="14"/>
  <c r="D5" i="14"/>
  <c r="D7" i="14"/>
  <c r="D6" i="14"/>
  <c r="D8" i="14" s="1"/>
  <c r="AK172" i="14"/>
  <c r="AK198" i="14"/>
  <c r="D84" i="14"/>
  <c r="AL175" i="14"/>
  <c r="AL256" i="14"/>
  <c r="AL198" i="14"/>
  <c r="D9" i="14"/>
  <c r="D10" i="14"/>
  <c r="D62" i="14"/>
  <c r="D65" i="14" s="1"/>
  <c r="I35" i="20"/>
  <c r="I35" i="29"/>
  <c r="J4" i="14"/>
  <c r="I35" i="19"/>
  <c r="I35" i="28"/>
  <c r="I4" i="29"/>
  <c r="I4" i="19"/>
  <c r="I4" i="48"/>
  <c r="I4" i="20"/>
  <c r="I4" i="54"/>
  <c r="I4" i="46"/>
  <c r="I4" i="42"/>
  <c r="I4" i="38"/>
  <c r="I4" i="28"/>
  <c r="I4" i="53"/>
  <c r="E21" i="60"/>
  <c r="S21" i="60" s="1"/>
  <c r="E56" i="60"/>
  <c r="C14" i="29"/>
  <c r="C15" i="29"/>
  <c r="C28" i="29" s="1"/>
  <c r="C46" i="29" s="1"/>
  <c r="C17" i="29"/>
  <c r="C18" i="29"/>
  <c r="C31" i="29" s="1"/>
  <c r="C16" i="29"/>
  <c r="C29" i="29" s="1"/>
  <c r="C47" i="29" s="1"/>
  <c r="AK251" i="12"/>
  <c r="AK258" i="12" s="1"/>
  <c r="AL256" i="12"/>
  <c r="AL265" i="12" s="1"/>
  <c r="AH214" i="14"/>
  <c r="AH224" i="14" s="1"/>
  <c r="AP253" i="14"/>
  <c r="AG47" i="14"/>
  <c r="AF69" i="14"/>
  <c r="AF86" i="14"/>
  <c r="AH47" i="12"/>
  <c r="AH45" i="14"/>
  <c r="AG67" i="14"/>
  <c r="AF87" i="14"/>
  <c r="AG68" i="14"/>
  <c r="AH46" i="14"/>
  <c r="AE88" i="14"/>
  <c r="AG35" i="14"/>
  <c r="AG37" i="14" s="1"/>
  <c r="AH34" i="12"/>
  <c r="AF214" i="12"/>
  <c r="AF224" i="12" s="1"/>
  <c r="AE67" i="12"/>
  <c r="AC88" i="12"/>
  <c r="AQ179" i="12"/>
  <c r="AE85" i="12"/>
  <c r="AD87" i="12"/>
  <c r="AR179" i="12"/>
  <c r="AD69" i="12"/>
  <c r="AD86" i="12"/>
  <c r="AF23" i="14"/>
  <c r="AH71" i="14"/>
  <c r="AH66" i="14"/>
  <c r="AH70" i="14"/>
  <c r="AF70" i="12"/>
  <c r="AF71" i="12"/>
  <c r="AF66" i="12"/>
  <c r="AE68" i="12"/>
  <c r="AE89" i="12"/>
  <c r="AF39" i="12"/>
  <c r="AG36" i="12"/>
  <c r="AE90" i="12"/>
  <c r="AE35" i="12"/>
  <c r="AH220" i="14"/>
  <c r="AH215" i="14"/>
  <c r="AH39" i="14"/>
  <c r="AG217" i="14"/>
  <c r="AG221" i="14" s="1"/>
  <c r="AG24" i="14"/>
  <c r="AG20" i="14"/>
  <c r="AG25" i="14"/>
  <c r="AG21" i="12"/>
  <c r="AG22" i="12"/>
  <c r="AF23" i="12"/>
  <c r="AH38" i="12"/>
  <c r="J6" i="12"/>
  <c r="J5" i="12"/>
  <c r="J7" i="12"/>
  <c r="J10" i="12"/>
  <c r="J9" i="12"/>
  <c r="D10" i="12"/>
  <c r="D7" i="12"/>
  <c r="AN8" i="12" s="1"/>
  <c r="AO8" i="12" s="1"/>
  <c r="D6" i="12"/>
  <c r="AN7" i="12" s="1"/>
  <c r="AO7" i="12" s="1"/>
  <c r="D5" i="12"/>
  <c r="AN6" i="12" s="1"/>
  <c r="AO6" i="12" s="1"/>
  <c r="D9" i="12"/>
  <c r="E6" i="12"/>
  <c r="E5" i="12"/>
  <c r="E7" i="12"/>
  <c r="E10" i="12"/>
  <c r="E9" i="12"/>
  <c r="I6" i="12"/>
  <c r="I5" i="12"/>
  <c r="I7" i="12"/>
  <c r="I10" i="12"/>
  <c r="I9" i="12"/>
  <c r="AL218" i="12"/>
  <c r="AK218" i="12"/>
  <c r="B204" i="12"/>
  <c r="AP173" i="14"/>
  <c r="AH19" i="14"/>
  <c r="AH102" i="14" s="1"/>
  <c r="AE39" i="20"/>
  <c r="AF92" i="12"/>
  <c r="AH29" i="12"/>
  <c r="AG82" i="12"/>
  <c r="AH81" i="14"/>
  <c r="AE223" i="12"/>
  <c r="AE221" i="12"/>
  <c r="AF215" i="12"/>
  <c r="AN179" i="12"/>
  <c r="AP178" i="12" s="1"/>
  <c r="AG65" i="12"/>
  <c r="AG223" i="14"/>
  <c r="AF84" i="12"/>
  <c r="AF213" i="12"/>
  <c r="AM194" i="12"/>
  <c r="AH63" i="12"/>
  <c r="AH64" i="12"/>
  <c r="AH166" i="12"/>
  <c r="AK198" i="12"/>
  <c r="B203" i="12"/>
  <c r="B206" i="12"/>
  <c r="AL175" i="12"/>
  <c r="AL198" i="12"/>
  <c r="B208" i="12"/>
  <c r="B207" i="12"/>
  <c r="B205" i="12"/>
  <c r="B209" i="12"/>
  <c r="AE168" i="12"/>
  <c r="AE167" i="12"/>
  <c r="AH32" i="12"/>
  <c r="AP259" i="12" s="1"/>
  <c r="AG33" i="12"/>
  <c r="AG81" i="12"/>
  <c r="AE43" i="20"/>
  <c r="AF134" i="12"/>
  <c r="AF220" i="12"/>
  <c r="AP102" i="15"/>
  <c r="AH17" i="12"/>
  <c r="AO261" i="12" s="1"/>
  <c r="AP187" i="12"/>
  <c r="AQ186" i="12" s="1"/>
  <c r="AS186" i="12" s="1"/>
  <c r="AQ94" i="15"/>
  <c r="AG84" i="14"/>
  <c r="D177" i="14"/>
  <c r="D175" i="14"/>
  <c r="D176" i="14"/>
  <c r="D172" i="14"/>
  <c r="AG39" i="19"/>
  <c r="AF40" i="19"/>
  <c r="AK172" i="12"/>
  <c r="D84" i="12"/>
  <c r="AG43" i="19"/>
  <c r="C43" i="19"/>
  <c r="J62" i="12"/>
  <c r="J166" i="12" s="1"/>
  <c r="D62" i="12"/>
  <c r="E62" i="12"/>
  <c r="E166" i="12" s="1"/>
  <c r="I62" i="12"/>
  <c r="I166" i="12" s="1"/>
  <c r="F4" i="12"/>
  <c r="E3" i="52" s="1"/>
  <c r="E8" i="52" s="1"/>
  <c r="Q3" i="6"/>
  <c r="V3" i="6"/>
  <c r="K4" i="12"/>
  <c r="J3" i="52" s="1"/>
  <c r="J8" i="52" s="1"/>
  <c r="E5" i="46" l="1"/>
  <c r="F35" i="20"/>
  <c r="F35" i="29"/>
  <c r="G4" i="14"/>
  <c r="F35" i="19"/>
  <c r="F35" i="28"/>
  <c r="F4" i="46"/>
  <c r="F5" i="46" s="1"/>
  <c r="F4" i="38"/>
  <c r="F5" i="38" s="1"/>
  <c r="F4" i="48"/>
  <c r="F5" i="48" s="1"/>
  <c r="F4" i="42"/>
  <c r="F5" i="42" s="1"/>
  <c r="F4" i="53"/>
  <c r="F4" i="28"/>
  <c r="F4" i="19"/>
  <c r="F4" i="54"/>
  <c r="F4" i="29"/>
  <c r="F5" i="29" s="1"/>
  <c r="F4" i="20"/>
  <c r="F5" i="20" s="1"/>
  <c r="C19" i="53"/>
  <c r="C27" i="53"/>
  <c r="C32" i="53" s="1"/>
  <c r="C19" i="48"/>
  <c r="C275" i="48" s="1"/>
  <c r="C27" i="48"/>
  <c r="C32" i="48" s="1"/>
  <c r="C19" i="42"/>
  <c r="C247" i="42" s="1"/>
  <c r="C27" i="42"/>
  <c r="E18" i="20"/>
  <c r="E16" i="20"/>
  <c r="E15" i="20"/>
  <c r="E14" i="20"/>
  <c r="E17" i="20"/>
  <c r="BR28" i="58"/>
  <c r="F5" i="14"/>
  <c r="F7" i="14"/>
  <c r="F6" i="14"/>
  <c r="F10" i="14"/>
  <c r="F9" i="14"/>
  <c r="F62" i="14"/>
  <c r="C246" i="48"/>
  <c r="C250" i="46"/>
  <c r="C255" i="46" s="1"/>
  <c r="C251" i="46"/>
  <c r="D96" i="45" s="1"/>
  <c r="C248" i="46"/>
  <c r="C253" i="46" s="1"/>
  <c r="C249" i="46"/>
  <c r="C254" i="46" s="1"/>
  <c r="C247" i="46"/>
  <c r="C252" i="46" s="1"/>
  <c r="C83" i="29"/>
  <c r="C82" i="29" s="1"/>
  <c r="C85" i="29"/>
  <c r="L10" i="31"/>
  <c r="L9" i="31"/>
  <c r="L8" i="31"/>
  <c r="L18" i="31"/>
  <c r="C19" i="54"/>
  <c r="C27" i="54"/>
  <c r="C32" i="54" s="1"/>
  <c r="E5" i="28"/>
  <c r="D18" i="28"/>
  <c r="D31" i="28" s="1"/>
  <c r="D17" i="28"/>
  <c r="D30" i="28" s="1"/>
  <c r="D14" i="28"/>
  <c r="D16" i="28"/>
  <c r="D29" i="28" s="1"/>
  <c r="D47" i="28" s="1"/>
  <c r="D15" i="28"/>
  <c r="D28" i="28" s="1"/>
  <c r="D46" i="28" s="1"/>
  <c r="C19" i="38"/>
  <c r="C247" i="38" s="1"/>
  <c r="C27" i="38"/>
  <c r="BV28" i="58"/>
  <c r="J6" i="14"/>
  <c r="J7" i="14"/>
  <c r="J5" i="14"/>
  <c r="J8" i="14" s="1"/>
  <c r="J9" i="14"/>
  <c r="J10" i="14"/>
  <c r="J62" i="14"/>
  <c r="C30" i="29"/>
  <c r="C49" i="29" s="1"/>
  <c r="C98" i="29"/>
  <c r="C226" i="42"/>
  <c r="C225" i="42"/>
  <c r="C229" i="42" s="1"/>
  <c r="C224" i="42"/>
  <c r="C228" i="42" s="1"/>
  <c r="C223" i="42"/>
  <c r="C227" i="42" s="1"/>
  <c r="C19" i="46"/>
  <c r="C275" i="46" s="1"/>
  <c r="C27" i="46"/>
  <c r="C32" i="46" s="1"/>
  <c r="C19" i="28"/>
  <c r="C118" i="28" s="1"/>
  <c r="C27" i="28"/>
  <c r="C19" i="20"/>
  <c r="D14" i="19"/>
  <c r="D17" i="19"/>
  <c r="D30" i="19" s="1"/>
  <c r="D48" i="19" s="1"/>
  <c r="D15" i="19"/>
  <c r="D28" i="19" s="1"/>
  <c r="D46" i="19" s="1"/>
  <c r="D16" i="19"/>
  <c r="D29" i="19" s="1"/>
  <c r="D47" i="19" s="1"/>
  <c r="D18" i="19"/>
  <c r="D31" i="19" s="1"/>
  <c r="C239" i="38"/>
  <c r="C243" i="38" s="1"/>
  <c r="C240" i="38"/>
  <c r="C244" i="38" s="1"/>
  <c r="C238" i="38"/>
  <c r="C242" i="38" s="1"/>
  <c r="E16" i="42"/>
  <c r="E29" i="42" s="1"/>
  <c r="E44" i="42" s="1"/>
  <c r="E222" i="42" s="1"/>
  <c r="E17" i="42"/>
  <c r="E30" i="42" s="1"/>
  <c r="E45" i="42" s="1"/>
  <c r="E18" i="42"/>
  <c r="E31" i="42" s="1"/>
  <c r="E46" i="42" s="1"/>
  <c r="E237" i="42" s="1"/>
  <c r="E14" i="42"/>
  <c r="E15" i="42"/>
  <c r="E28" i="42" s="1"/>
  <c r="E43" i="42" s="1"/>
  <c r="C19" i="29"/>
  <c r="C27" i="29"/>
  <c r="D27" i="58"/>
  <c r="BP10" i="58"/>
  <c r="BP5" i="58"/>
  <c r="C19" i="19"/>
  <c r="C27" i="19"/>
  <c r="C240" i="42"/>
  <c r="C244" i="42" s="1"/>
  <c r="C239" i="42"/>
  <c r="C243" i="42" s="1"/>
  <c r="C241" i="42"/>
  <c r="C238" i="42"/>
  <c r="C242" i="42" s="1"/>
  <c r="E16" i="38"/>
  <c r="E29" i="38" s="1"/>
  <c r="E44" i="38" s="1"/>
  <c r="E222" i="38" s="1"/>
  <c r="E17" i="38"/>
  <c r="E30" i="38" s="1"/>
  <c r="E45" i="38" s="1"/>
  <c r="E15" i="38"/>
  <c r="E28" i="38" s="1"/>
  <c r="E43" i="38" s="1"/>
  <c r="E14" i="38"/>
  <c r="E18" i="38"/>
  <c r="E31" i="38" s="1"/>
  <c r="E46" i="38" s="1"/>
  <c r="E237" i="38" s="1"/>
  <c r="BN4" i="59"/>
  <c r="CT4" i="59" s="1"/>
  <c r="DZ4" i="59" s="1"/>
  <c r="C157" i="46"/>
  <c r="C177" i="46"/>
  <c r="C147" i="46"/>
  <c r="C167" i="46"/>
  <c r="C223" i="28"/>
  <c r="C77" i="29"/>
  <c r="C67" i="29"/>
  <c r="C99" i="29" s="1"/>
  <c r="C78" i="29"/>
  <c r="L7" i="31"/>
  <c r="C69" i="29"/>
  <c r="C74" i="29"/>
  <c r="D49" i="16" s="1"/>
  <c r="C70" i="29"/>
  <c r="C76" i="29"/>
  <c r="D59" i="16" s="1"/>
  <c r="D135" i="16" s="1"/>
  <c r="C75" i="29"/>
  <c r="C68" i="29"/>
  <c r="C66" i="29"/>
  <c r="C65" i="29" s="1"/>
  <c r="C71" i="29"/>
  <c r="C73" i="29"/>
  <c r="D18" i="54"/>
  <c r="D31" i="54" s="1"/>
  <c r="D17" i="54"/>
  <c r="D30" i="54" s="1"/>
  <c r="D14" i="54"/>
  <c r="E5" i="54"/>
  <c r="D16" i="54"/>
  <c r="D29" i="54" s="1"/>
  <c r="D44" i="54" s="1"/>
  <c r="D150" i="54" s="1"/>
  <c r="D151" i="54" s="1"/>
  <c r="D15" i="54"/>
  <c r="D28" i="54" s="1"/>
  <c r="BQ28" i="58"/>
  <c r="E5" i="14"/>
  <c r="E6" i="14"/>
  <c r="E8" i="14" s="1"/>
  <c r="E7" i="14"/>
  <c r="E10" i="14"/>
  <c r="E9" i="14"/>
  <c r="E62" i="14"/>
  <c r="F55" i="60"/>
  <c r="K35" i="20"/>
  <c r="L4" i="14"/>
  <c r="K35" i="29"/>
  <c r="K35" i="19"/>
  <c r="K35" i="28"/>
  <c r="K4" i="53"/>
  <c r="K4" i="46"/>
  <c r="K4" i="54"/>
  <c r="K4" i="28"/>
  <c r="K4" i="19"/>
  <c r="K4" i="20"/>
  <c r="K4" i="48"/>
  <c r="K4" i="42"/>
  <c r="K4" i="38"/>
  <c r="K4" i="29"/>
  <c r="F5" i="19"/>
  <c r="E18" i="19"/>
  <c r="E31" i="19" s="1"/>
  <c r="E16" i="19"/>
  <c r="E29" i="19" s="1"/>
  <c r="E47" i="19" s="1"/>
  <c r="E17" i="19"/>
  <c r="E30" i="19" s="1"/>
  <c r="E48" i="19" s="1"/>
  <c r="E15" i="19"/>
  <c r="E28" i="19" s="1"/>
  <c r="E46" i="19" s="1"/>
  <c r="E14" i="19"/>
  <c r="E14" i="46"/>
  <c r="E17" i="46"/>
  <c r="E30" i="46" s="1"/>
  <c r="E45" i="46" s="1"/>
  <c r="E15" i="46"/>
  <c r="E28" i="46" s="1"/>
  <c r="E43" i="46" s="1"/>
  <c r="E16" i="46"/>
  <c r="E29" i="46" s="1"/>
  <c r="E44" i="46" s="1"/>
  <c r="E246" i="46" s="1"/>
  <c r="E18" i="46"/>
  <c r="E31" i="46" s="1"/>
  <c r="D16" i="29"/>
  <c r="D29" i="29" s="1"/>
  <c r="D47" i="29" s="1"/>
  <c r="D83" i="29" s="1"/>
  <c r="D82" i="29" s="1"/>
  <c r="D17" i="29"/>
  <c r="D30" i="29" s="1"/>
  <c r="D18" i="29"/>
  <c r="D31" i="29" s="1"/>
  <c r="D15" i="29"/>
  <c r="D28" i="29" s="1"/>
  <c r="D46" i="29" s="1"/>
  <c r="D14" i="29"/>
  <c r="D134" i="14"/>
  <c r="D220" i="14"/>
  <c r="D221" i="14" s="1"/>
  <c r="D71" i="14"/>
  <c r="D70" i="14"/>
  <c r="D66" i="14"/>
  <c r="D85" i="14" s="1"/>
  <c r="E18" i="48"/>
  <c r="E31" i="48" s="1"/>
  <c r="E17" i="48"/>
  <c r="E30" i="48" s="1"/>
  <c r="E45" i="48" s="1"/>
  <c r="E16" i="48"/>
  <c r="E29" i="48" s="1"/>
  <c r="E44" i="48" s="1"/>
  <c r="E15" i="48"/>
  <c r="E28" i="48" s="1"/>
  <c r="E43" i="48" s="1"/>
  <c r="E14" i="48"/>
  <c r="D18" i="38"/>
  <c r="D31" i="38" s="1"/>
  <c r="D46" i="38" s="1"/>
  <c r="D237" i="38" s="1"/>
  <c r="D14" i="38"/>
  <c r="D16" i="38"/>
  <c r="D29" i="38" s="1"/>
  <c r="D44" i="38" s="1"/>
  <c r="D222" i="38" s="1"/>
  <c r="D15" i="38"/>
  <c r="D28" i="38" s="1"/>
  <c r="D43" i="38" s="1"/>
  <c r="D17" i="38"/>
  <c r="D30" i="38" s="1"/>
  <c r="D45" i="38" s="1"/>
  <c r="C225" i="38"/>
  <c r="C229" i="38" s="1"/>
  <c r="C224" i="38"/>
  <c r="C228" i="38" s="1"/>
  <c r="C223" i="38"/>
  <c r="C227" i="38" s="1"/>
  <c r="C137" i="42"/>
  <c r="C161" i="42"/>
  <c r="C145" i="42"/>
  <c r="C153" i="42"/>
  <c r="D18" i="42"/>
  <c r="D31" i="42" s="1"/>
  <c r="D46" i="42" s="1"/>
  <c r="D237" i="42" s="1"/>
  <c r="D15" i="42"/>
  <c r="D28" i="42" s="1"/>
  <c r="D43" i="42" s="1"/>
  <c r="D17" i="42"/>
  <c r="D30" i="42" s="1"/>
  <c r="D45" i="42" s="1"/>
  <c r="D16" i="42"/>
  <c r="D29" i="42" s="1"/>
  <c r="D44" i="42" s="1"/>
  <c r="D222" i="42" s="1"/>
  <c r="D14" i="42"/>
  <c r="BW28" i="58"/>
  <c r="K7" i="14"/>
  <c r="K5" i="14"/>
  <c r="K6" i="14"/>
  <c r="K9" i="14"/>
  <c r="K10" i="14"/>
  <c r="K62" i="14"/>
  <c r="I27" i="58"/>
  <c r="BU10" i="58"/>
  <c r="BU5" i="58"/>
  <c r="E14" i="29"/>
  <c r="E18" i="29"/>
  <c r="E31" i="29" s="1"/>
  <c r="E17" i="29"/>
  <c r="E30" i="29" s="1"/>
  <c r="E16" i="29"/>
  <c r="E29" i="29" s="1"/>
  <c r="E47" i="29" s="1"/>
  <c r="E15" i="29"/>
  <c r="E28" i="29" s="1"/>
  <c r="E46" i="29" s="1"/>
  <c r="D17" i="48"/>
  <c r="D30" i="48" s="1"/>
  <c r="D45" i="48" s="1"/>
  <c r="D14" i="48"/>
  <c r="D16" i="48"/>
  <c r="D29" i="48" s="1"/>
  <c r="D44" i="48" s="1"/>
  <c r="D18" i="48"/>
  <c r="D31" i="48" s="1"/>
  <c r="D15" i="48"/>
  <c r="D28" i="48" s="1"/>
  <c r="D43" i="48" s="1"/>
  <c r="D18" i="20"/>
  <c r="D16" i="20"/>
  <c r="D15" i="20"/>
  <c r="D17" i="20"/>
  <c r="D14" i="20"/>
  <c r="C137" i="38"/>
  <c r="C145" i="38"/>
  <c r="C161" i="38"/>
  <c r="C153" i="38"/>
  <c r="C209" i="46"/>
  <c r="C219" i="46"/>
  <c r="C229" i="46"/>
  <c r="I64" i="14"/>
  <c r="I82" i="14" s="1"/>
  <c r="I214" i="14" s="1"/>
  <c r="I224" i="14" s="1"/>
  <c r="I63" i="14"/>
  <c r="C191" i="42"/>
  <c r="C199" i="42"/>
  <c r="C207" i="42"/>
  <c r="C49" i="28"/>
  <c r="D17" i="53"/>
  <c r="D30" i="53" s="1"/>
  <c r="D18" i="53"/>
  <c r="D31" i="53" s="1"/>
  <c r="E5" i="53"/>
  <c r="D14" i="53"/>
  <c r="D16" i="53"/>
  <c r="D29" i="53" s="1"/>
  <c r="D44" i="53" s="1"/>
  <c r="D150" i="53" s="1"/>
  <c r="D151" i="53" s="1"/>
  <c r="E60" i="51" s="1"/>
  <c r="AK60" i="51" s="1"/>
  <c r="D15" i="53"/>
  <c r="D28" i="53" s="1"/>
  <c r="D14" i="46"/>
  <c r="D16" i="46"/>
  <c r="D29" i="46" s="1"/>
  <c r="D44" i="46" s="1"/>
  <c r="D246" i="46" s="1"/>
  <c r="D15" i="46"/>
  <c r="D28" i="46" s="1"/>
  <c r="D43" i="46" s="1"/>
  <c r="D17" i="46"/>
  <c r="D30" i="46" s="1"/>
  <c r="D45" i="46" s="1"/>
  <c r="D18" i="46"/>
  <c r="D31" i="46" s="1"/>
  <c r="C207" i="38"/>
  <c r="C191" i="38"/>
  <c r="C199" i="38"/>
  <c r="AR174" i="12"/>
  <c r="AP263" i="12"/>
  <c r="AN195" i="12"/>
  <c r="AO263" i="12"/>
  <c r="AN173" i="12"/>
  <c r="AO259" i="12"/>
  <c r="AH47" i="14"/>
  <c r="AH213" i="14"/>
  <c r="AH223" i="14" s="1"/>
  <c r="AO252" i="14"/>
  <c r="AF88" i="14"/>
  <c r="AE86" i="12"/>
  <c r="AG85" i="14"/>
  <c r="AG69" i="14"/>
  <c r="AH67" i="14"/>
  <c r="AH68" i="14"/>
  <c r="AH35" i="14"/>
  <c r="AH37" i="14" s="1"/>
  <c r="AG214" i="12"/>
  <c r="AG224" i="12" s="1"/>
  <c r="AF67" i="12"/>
  <c r="AG23" i="12"/>
  <c r="AE87" i="12"/>
  <c r="AF85" i="12"/>
  <c r="AD88" i="12"/>
  <c r="AE37" i="12"/>
  <c r="AE69" i="12"/>
  <c r="AF68" i="12"/>
  <c r="AF89" i="12"/>
  <c r="AG39" i="12"/>
  <c r="AG71" i="12"/>
  <c r="AG66" i="12"/>
  <c r="AG70" i="12"/>
  <c r="AH36" i="12"/>
  <c r="AF90" i="12"/>
  <c r="AF35" i="12"/>
  <c r="AG21" i="14"/>
  <c r="AG86" i="14" s="1"/>
  <c r="AG90" i="14"/>
  <c r="AG22" i="14"/>
  <c r="AG87" i="14" s="1"/>
  <c r="AG89" i="14"/>
  <c r="AH217" i="14"/>
  <c r="AH25" i="14"/>
  <c r="AH24" i="14"/>
  <c r="AH20" i="14"/>
  <c r="J8" i="12"/>
  <c r="F6" i="12"/>
  <c r="F5" i="12"/>
  <c r="F7" i="12"/>
  <c r="F10" i="12"/>
  <c r="F9" i="12"/>
  <c r="K10" i="12"/>
  <c r="K9" i="12"/>
  <c r="K6" i="12"/>
  <c r="K5" i="12"/>
  <c r="K7" i="12"/>
  <c r="I8" i="12"/>
  <c r="E8" i="12"/>
  <c r="D8" i="12"/>
  <c r="D174" i="14"/>
  <c r="D180" i="14" s="1"/>
  <c r="AG40" i="19"/>
  <c r="AF43" i="20"/>
  <c r="AH33" i="12"/>
  <c r="AG134" i="12"/>
  <c r="AN198" i="14"/>
  <c r="AO198" i="14" s="1"/>
  <c r="AH84" i="14"/>
  <c r="AT172" i="14" s="1"/>
  <c r="AO195" i="12"/>
  <c r="AG220" i="12"/>
  <c r="AF223" i="12"/>
  <c r="AF221" i="12"/>
  <c r="AN174" i="12"/>
  <c r="AH82" i="12"/>
  <c r="AP253" i="12" s="1"/>
  <c r="B210" i="12"/>
  <c r="AR173" i="12"/>
  <c r="AH65" i="12"/>
  <c r="AG213" i="12"/>
  <c r="AG84" i="12"/>
  <c r="AF167" i="12"/>
  <c r="AF168" i="12"/>
  <c r="AG92" i="12"/>
  <c r="AG215" i="12"/>
  <c r="AF39" i="20"/>
  <c r="AP173" i="12"/>
  <c r="AH81" i="12"/>
  <c r="AH19" i="12"/>
  <c r="AH25" i="12" s="1"/>
  <c r="D166" i="12"/>
  <c r="AK215" i="12"/>
  <c r="AK194" i="12"/>
  <c r="AL215" i="12"/>
  <c r="AL194" i="12"/>
  <c r="C49" i="19"/>
  <c r="D49" i="19"/>
  <c r="E49" i="19"/>
  <c r="D65" i="12"/>
  <c r="E63" i="12"/>
  <c r="E81" i="12" s="1"/>
  <c r="E213" i="12" s="1"/>
  <c r="E64" i="12"/>
  <c r="E82" i="12" s="1"/>
  <c r="J63" i="12"/>
  <c r="J81" i="12" s="1"/>
  <c r="J213" i="12" s="1"/>
  <c r="J64" i="12"/>
  <c r="J82" i="12" s="1"/>
  <c r="I64" i="12"/>
  <c r="I82" i="12" s="1"/>
  <c r="I63" i="12"/>
  <c r="I81" i="12" s="1"/>
  <c r="I213" i="12" s="1"/>
  <c r="F62" i="12"/>
  <c r="F166" i="12" s="1"/>
  <c r="K62" i="12"/>
  <c r="K166" i="12" s="1"/>
  <c r="W3" i="6"/>
  <c r="L4" i="12"/>
  <c r="K3" i="52" s="1"/>
  <c r="K8" i="52" s="1"/>
  <c r="R3" i="6"/>
  <c r="G4" i="12"/>
  <c r="F3" i="52" s="1"/>
  <c r="F8" i="52" s="1"/>
  <c r="F8" i="14" l="1"/>
  <c r="E49" i="29"/>
  <c r="K8" i="14"/>
  <c r="C181" i="46"/>
  <c r="C186" i="46" s="1"/>
  <c r="C182" i="46"/>
  <c r="D107" i="45" s="1"/>
  <c r="AJ107" i="45" s="1"/>
  <c r="C178" i="46"/>
  <c r="C183" i="46" s="1"/>
  <c r="C180" i="46"/>
  <c r="C185" i="46" s="1"/>
  <c r="C179" i="46"/>
  <c r="C184" i="46" s="1"/>
  <c r="C177" i="48"/>
  <c r="D246" i="48"/>
  <c r="D251" i="46"/>
  <c r="E96" i="45" s="1"/>
  <c r="D249" i="46"/>
  <c r="D254" i="46" s="1"/>
  <c r="D247" i="46"/>
  <c r="D252" i="46" s="1"/>
  <c r="D248" i="46"/>
  <c r="D253" i="46" s="1"/>
  <c r="D250" i="46"/>
  <c r="D255" i="46" s="1"/>
  <c r="C88" i="29"/>
  <c r="L16" i="31"/>
  <c r="C140" i="38"/>
  <c r="C138" i="38"/>
  <c r="C142" i="38" s="1"/>
  <c r="C141" i="38"/>
  <c r="D85" i="36" s="1"/>
  <c r="C139" i="38"/>
  <c r="E19" i="29"/>
  <c r="E27" i="29"/>
  <c r="D223" i="42"/>
  <c r="D227" i="42" s="1"/>
  <c r="D225" i="42"/>
  <c r="D229" i="42" s="1"/>
  <c r="D226" i="42"/>
  <c r="D224" i="42"/>
  <c r="D228" i="42" s="1"/>
  <c r="E19" i="48"/>
  <c r="E275" i="48" s="1"/>
  <c r="E27" i="48"/>
  <c r="E32" i="48" s="1"/>
  <c r="E19" i="46"/>
  <c r="E275" i="46" s="1"/>
  <c r="E27" i="46"/>
  <c r="E32" i="46" s="1"/>
  <c r="C170" i="46"/>
  <c r="C175" i="46" s="1"/>
  <c r="C168" i="46"/>
  <c r="C173" i="46" s="1"/>
  <c r="C172" i="46"/>
  <c r="D77" i="45" s="1"/>
  <c r="AJ77" i="45" s="1"/>
  <c r="C167" i="48"/>
  <c r="C171" i="46"/>
  <c r="C176" i="46" s="1"/>
  <c r="C169" i="46"/>
  <c r="C174" i="46" s="1"/>
  <c r="E137" i="38"/>
  <c r="E161" i="38"/>
  <c r="E145" i="38"/>
  <c r="E153" i="38"/>
  <c r="C32" i="28"/>
  <c r="C45" i="28"/>
  <c r="C197" i="54"/>
  <c r="C34" i="54"/>
  <c r="F63" i="14"/>
  <c r="F81" i="14" s="1"/>
  <c r="F64" i="14"/>
  <c r="F82" i="14" s="1"/>
  <c r="F214" i="14" s="1"/>
  <c r="F224" i="14" s="1"/>
  <c r="C309" i="48"/>
  <c r="C34" i="48"/>
  <c r="F17" i="20"/>
  <c r="F16" i="20"/>
  <c r="F15" i="20"/>
  <c r="F18" i="20"/>
  <c r="F14" i="20"/>
  <c r="F16" i="38"/>
  <c r="F29" i="38" s="1"/>
  <c r="F44" i="38" s="1"/>
  <c r="F222" i="38" s="1"/>
  <c r="F17" i="38"/>
  <c r="F30" i="38" s="1"/>
  <c r="F45" i="38" s="1"/>
  <c r="F18" i="38"/>
  <c r="F31" i="38" s="1"/>
  <c r="F46" i="38" s="1"/>
  <c r="F237" i="38" s="1"/>
  <c r="F15" i="38"/>
  <c r="F28" i="38" s="1"/>
  <c r="F43" i="38" s="1"/>
  <c r="F14" i="38"/>
  <c r="G35" i="20"/>
  <c r="H4" i="14"/>
  <c r="G35" i="29"/>
  <c r="G35" i="19"/>
  <c r="G35" i="28"/>
  <c r="G4" i="46"/>
  <c r="G5" i="46" s="1"/>
  <c r="G4" i="42"/>
  <c r="G4" i="48"/>
  <c r="G4" i="38"/>
  <c r="G5" i="38" s="1"/>
  <c r="G4" i="29"/>
  <c r="G4" i="28"/>
  <c r="G4" i="20"/>
  <c r="G5" i="20" s="1"/>
  <c r="G4" i="54"/>
  <c r="G4" i="19"/>
  <c r="G4" i="53"/>
  <c r="C230" i="46"/>
  <c r="C235" i="46" s="1"/>
  <c r="C231" i="46"/>
  <c r="C236" i="46" s="1"/>
  <c r="C234" i="46"/>
  <c r="D108" i="45" s="1"/>
  <c r="AJ108" i="45" s="1"/>
  <c r="C229" i="48"/>
  <c r="C232" i="46"/>
  <c r="C237" i="46" s="1"/>
  <c r="C233" i="46"/>
  <c r="C238" i="46" s="1"/>
  <c r="E223" i="38"/>
  <c r="E227" i="38" s="1"/>
  <c r="E224" i="38"/>
  <c r="E228" i="38" s="1"/>
  <c r="E225" i="38"/>
  <c r="E229" i="38" s="1"/>
  <c r="D19" i="46"/>
  <c r="D275" i="46" s="1"/>
  <c r="D27" i="46"/>
  <c r="D32" i="46" s="1"/>
  <c r="C208" i="42"/>
  <c r="C212" i="42" s="1"/>
  <c r="C210" i="42"/>
  <c r="C214" i="42" s="1"/>
  <c r="C211" i="42"/>
  <c r="C209" i="42"/>
  <c r="C213" i="42" s="1"/>
  <c r="D19" i="48"/>
  <c r="D275" i="48" s="1"/>
  <c r="D27" i="48"/>
  <c r="D32" i="48" s="1"/>
  <c r="D191" i="42"/>
  <c r="D199" i="42"/>
  <c r="D207" i="42"/>
  <c r="D68" i="14"/>
  <c r="D87" i="14" s="1"/>
  <c r="D89" i="14"/>
  <c r="D49" i="29"/>
  <c r="E19" i="19"/>
  <c r="E27" i="19"/>
  <c r="D136" i="16"/>
  <c r="D68" i="16"/>
  <c r="D77" i="16"/>
  <c r="D133" i="16" a="1"/>
  <c r="D141" i="16" s="1"/>
  <c r="D142" i="16" s="1"/>
  <c r="C147" i="48"/>
  <c r="C152" i="46"/>
  <c r="D83" i="45" s="1"/>
  <c r="C151" i="46"/>
  <c r="C156" i="46" s="1"/>
  <c r="C150" i="46"/>
  <c r="C155" i="46" s="1"/>
  <c r="C149" i="46"/>
  <c r="C154" i="46" s="1"/>
  <c r="C148" i="46"/>
  <c r="C153" i="46" s="1"/>
  <c r="E207" i="38"/>
  <c r="E191" i="38"/>
  <c r="E199" i="38"/>
  <c r="E137" i="42"/>
  <c r="E161" i="42"/>
  <c r="E153" i="42"/>
  <c r="E145" i="42"/>
  <c r="F14" i="29"/>
  <c r="F18" i="29"/>
  <c r="F31" i="29" s="1"/>
  <c r="F17" i="29"/>
  <c r="F30" i="29" s="1"/>
  <c r="F16" i="29"/>
  <c r="F29" i="29" s="1"/>
  <c r="F47" i="29" s="1"/>
  <c r="G5" i="29"/>
  <c r="F15" i="29"/>
  <c r="F28" i="29" s="1"/>
  <c r="F46" i="29" s="1"/>
  <c r="F15" i="46"/>
  <c r="F28" i="46" s="1"/>
  <c r="F43" i="46" s="1"/>
  <c r="F14" i="46"/>
  <c r="F17" i="46"/>
  <c r="F30" i="46" s="1"/>
  <c r="F45" i="46" s="1"/>
  <c r="F18" i="46"/>
  <c r="F31" i="46" s="1"/>
  <c r="F16" i="46"/>
  <c r="F29" i="46" s="1"/>
  <c r="F44" i="46" s="1"/>
  <c r="F246" i="46" s="1"/>
  <c r="D90" i="14"/>
  <c r="D67" i="14"/>
  <c r="C309" i="46"/>
  <c r="C34" i="46"/>
  <c r="E45" i="15"/>
  <c r="D75" i="29"/>
  <c r="D69" i="29"/>
  <c r="E48" i="15"/>
  <c r="E49" i="15" s="1"/>
  <c r="E136" i="15" s="1"/>
  <c r="D74" i="29"/>
  <c r="E48" i="16" s="1"/>
  <c r="E49" i="16" s="1"/>
  <c r="E136" i="16" s="1"/>
  <c r="D67" i="29"/>
  <c r="E58" i="15"/>
  <c r="D68" i="29"/>
  <c r="D78" i="29"/>
  <c r="E64" i="16" s="1"/>
  <c r="D73" i="29"/>
  <c r="D71" i="29"/>
  <c r="D66" i="29"/>
  <c r="D65" i="29" s="1"/>
  <c r="D77" i="29"/>
  <c r="E45" i="16" s="1"/>
  <c r="D76" i="29"/>
  <c r="E58" i="16" s="1"/>
  <c r="E64" i="15"/>
  <c r="D70" i="29"/>
  <c r="C192" i="38"/>
  <c r="C196" i="38" s="1"/>
  <c r="C194" i="38"/>
  <c r="C198" i="38" s="1"/>
  <c r="C193" i="38"/>
  <c r="C197" i="38" s="1"/>
  <c r="C193" i="42"/>
  <c r="C197" i="42" s="1"/>
  <c r="C194" i="42"/>
  <c r="C198" i="42" s="1"/>
  <c r="C192" i="42"/>
  <c r="C196" i="42" s="1"/>
  <c r="C195" i="42"/>
  <c r="C221" i="46"/>
  <c r="C226" i="46" s="1"/>
  <c r="C220" i="46"/>
  <c r="C225" i="46" s="1"/>
  <c r="C223" i="46"/>
  <c r="C228" i="46" s="1"/>
  <c r="C224" i="46"/>
  <c r="D99" i="45" s="1"/>
  <c r="C222" i="46"/>
  <c r="C227" i="46" s="1"/>
  <c r="C219" i="48"/>
  <c r="I9" i="58"/>
  <c r="I4" i="59" s="1"/>
  <c r="AO27" i="58"/>
  <c r="I4" i="58"/>
  <c r="AO4" i="58" s="1"/>
  <c r="BU4" i="58" s="1"/>
  <c r="D239" i="42"/>
  <c r="D243" i="42" s="1"/>
  <c r="D241" i="42"/>
  <c r="D240" i="42"/>
  <c r="D244" i="42" s="1"/>
  <c r="D238" i="42"/>
  <c r="D242" i="42" s="1"/>
  <c r="D199" i="38"/>
  <c r="D207" i="38"/>
  <c r="D191" i="38"/>
  <c r="E27" i="58"/>
  <c r="BQ10" i="58"/>
  <c r="BQ5" i="58"/>
  <c r="C157" i="48"/>
  <c r="C160" i="46"/>
  <c r="C165" i="46" s="1"/>
  <c r="C159" i="46"/>
  <c r="C164" i="46" s="1"/>
  <c r="C161" i="46"/>
  <c r="C166" i="46" s="1"/>
  <c r="C158" i="46"/>
  <c r="C163" i="46" s="1"/>
  <c r="C162" i="46"/>
  <c r="D98" i="45" s="1"/>
  <c r="AJ98" i="45" s="1"/>
  <c r="E241" i="42"/>
  <c r="E240" i="42"/>
  <c r="E244" i="42" s="1"/>
  <c r="E238" i="42"/>
  <c r="E242" i="42" s="1"/>
  <c r="E239" i="42"/>
  <c r="E243" i="42" s="1"/>
  <c r="D85" i="29"/>
  <c r="E55" i="16" s="1"/>
  <c r="E55" i="15"/>
  <c r="C197" i="53"/>
  <c r="C34" i="53"/>
  <c r="C210" i="38"/>
  <c r="C214" i="38" s="1"/>
  <c r="C208" i="38"/>
  <c r="C212" i="38" s="1"/>
  <c r="C209" i="38"/>
  <c r="C213" i="38" s="1"/>
  <c r="D19" i="53"/>
  <c r="D27" i="53"/>
  <c r="D32" i="53" s="1"/>
  <c r="I65" i="14"/>
  <c r="I81" i="14"/>
  <c r="C214" i="46"/>
  <c r="D89" i="45" s="1"/>
  <c r="C209" i="48"/>
  <c r="C211" i="46"/>
  <c r="C216" i="46" s="1"/>
  <c r="C212" i="46"/>
  <c r="C217" i="46" s="1"/>
  <c r="C213" i="46"/>
  <c r="C218" i="46" s="1"/>
  <c r="C210" i="46"/>
  <c r="C215" i="46" s="1"/>
  <c r="K27" i="58"/>
  <c r="BW10" i="58"/>
  <c r="BW5" i="58"/>
  <c r="C156" i="42"/>
  <c r="C160" i="42" s="1"/>
  <c r="C154" i="42"/>
  <c r="C158" i="42" s="1"/>
  <c r="C157" i="42"/>
  <c r="C155" i="42"/>
  <c r="C159" i="42" s="1"/>
  <c r="D137" i="38"/>
  <c r="D161" i="38"/>
  <c r="D145" i="38"/>
  <c r="D153" i="38"/>
  <c r="E63" i="14"/>
  <c r="E81" i="14" s="1"/>
  <c r="E64" i="14"/>
  <c r="E82" i="14" s="1"/>
  <c r="E214" i="14" s="1"/>
  <c r="E224" i="14" s="1"/>
  <c r="AJ27" i="58"/>
  <c r="B9" i="60"/>
  <c r="D2" i="61"/>
  <c r="CZ18" i="58"/>
  <c r="D9" i="58"/>
  <c r="D4" i="58"/>
  <c r="AJ4" i="58" s="1"/>
  <c r="E191" i="42"/>
  <c r="E199" i="42"/>
  <c r="E207" i="42"/>
  <c r="D19" i="28"/>
  <c r="D118" i="28" s="1"/>
  <c r="D27" i="28"/>
  <c r="F5" i="28"/>
  <c r="BS28" i="58"/>
  <c r="G5" i="14"/>
  <c r="G7" i="14"/>
  <c r="G6" i="14"/>
  <c r="G10" i="14"/>
  <c r="G9" i="14"/>
  <c r="G62" i="14"/>
  <c r="C201" i="42"/>
  <c r="C205" i="42" s="1"/>
  <c r="C200" i="42"/>
  <c r="C204" i="42" s="1"/>
  <c r="C202" i="42"/>
  <c r="C206" i="42" s="1"/>
  <c r="C203" i="42"/>
  <c r="L35" i="20"/>
  <c r="M4" i="14"/>
  <c r="L35" i="29"/>
  <c r="L35" i="19"/>
  <c r="L35" i="28"/>
  <c r="L4" i="46"/>
  <c r="L4" i="53"/>
  <c r="L4" i="54"/>
  <c r="L4" i="28"/>
  <c r="L4" i="29"/>
  <c r="L4" i="38"/>
  <c r="L4" i="42"/>
  <c r="L4" i="48"/>
  <c r="L4" i="20"/>
  <c r="L4" i="19"/>
  <c r="F5" i="53"/>
  <c r="E15" i="53"/>
  <c r="E28" i="53" s="1"/>
  <c r="E14" i="53"/>
  <c r="E17" i="53"/>
  <c r="E30" i="53" s="1"/>
  <c r="E16" i="53"/>
  <c r="E29" i="53" s="1"/>
  <c r="E44" i="53" s="1"/>
  <c r="E150" i="53" s="1"/>
  <c r="E151" i="53" s="1"/>
  <c r="F60" i="51" s="1"/>
  <c r="AL60" i="51" s="1"/>
  <c r="E18" i="53"/>
  <c r="E31" i="53" s="1"/>
  <c r="C156" i="38"/>
  <c r="C155" i="38"/>
  <c r="C154" i="38"/>
  <c r="C157" i="38"/>
  <c r="D79" i="36" s="1"/>
  <c r="AJ79" i="36" s="1"/>
  <c r="K63" i="14"/>
  <c r="K81" i="14" s="1"/>
  <c r="K64" i="14"/>
  <c r="C148" i="42"/>
  <c r="C152" i="42" s="1"/>
  <c r="C147" i="42"/>
  <c r="C151" i="42" s="1"/>
  <c r="C149" i="42"/>
  <c r="C146" i="42"/>
  <c r="C150" i="42" s="1"/>
  <c r="D225" i="38"/>
  <c r="D229" i="38" s="1"/>
  <c r="D224" i="38"/>
  <c r="D228" i="38" s="1"/>
  <c r="D223" i="38"/>
  <c r="D227" i="38" s="1"/>
  <c r="E248" i="46"/>
  <c r="E253" i="46" s="1"/>
  <c r="E250" i="46"/>
  <c r="E255" i="46" s="1"/>
  <c r="E247" i="46"/>
  <c r="E252" i="46" s="1"/>
  <c r="E246" i="48"/>
  <c r="E249" i="46"/>
  <c r="E254" i="46" s="1"/>
  <c r="E251" i="46"/>
  <c r="F96" i="45" s="1"/>
  <c r="E223" i="42"/>
  <c r="E227" i="42" s="1"/>
  <c r="E224" i="42"/>
  <c r="E228" i="42" s="1"/>
  <c r="E225" i="42"/>
  <c r="E229" i="42" s="1"/>
  <c r="E226" i="42"/>
  <c r="C42" i="42"/>
  <c r="C32" i="42"/>
  <c r="C201" i="38"/>
  <c r="C205" i="38" s="1"/>
  <c r="C202" i="38"/>
  <c r="C206" i="38" s="1"/>
  <c r="C200" i="38"/>
  <c r="C204" i="38" s="1"/>
  <c r="D137" i="42"/>
  <c r="D145" i="42"/>
  <c r="D153" i="42"/>
  <c r="D161" i="42"/>
  <c r="D209" i="46"/>
  <c r="D229" i="46"/>
  <c r="D219" i="46"/>
  <c r="C164" i="38"/>
  <c r="C163" i="38"/>
  <c r="C162" i="38"/>
  <c r="C165" i="38"/>
  <c r="D109" i="36" s="1"/>
  <c r="AJ109" i="36" s="1"/>
  <c r="C162" i="42"/>
  <c r="C166" i="42" s="1"/>
  <c r="C165" i="42"/>
  <c r="C163" i="42"/>
  <c r="C167" i="42" s="1"/>
  <c r="C164" i="42"/>
  <c r="C168" i="42" s="1"/>
  <c r="D19" i="38"/>
  <c r="D247" i="38" s="1"/>
  <c r="D27" i="38"/>
  <c r="E147" i="46"/>
  <c r="E157" i="46"/>
  <c r="E177" i="46"/>
  <c r="E167" i="46"/>
  <c r="G5" i="19"/>
  <c r="F14" i="19"/>
  <c r="F15" i="19"/>
  <c r="F28" i="19" s="1"/>
  <c r="F46" i="19" s="1"/>
  <c r="F16" i="19"/>
  <c r="F29" i="19" s="1"/>
  <c r="F47" i="19" s="1"/>
  <c r="F17" i="19"/>
  <c r="F30" i="19" s="1"/>
  <c r="F48" i="19" s="1"/>
  <c r="F18" i="19"/>
  <c r="F31" i="19" s="1"/>
  <c r="F49" i="19" s="1"/>
  <c r="F5" i="54"/>
  <c r="E14" i="54"/>
  <c r="E16" i="54"/>
  <c r="E29" i="54" s="1"/>
  <c r="E44" i="54" s="1"/>
  <c r="E150" i="54" s="1"/>
  <c r="E151" i="54" s="1"/>
  <c r="E15" i="54"/>
  <c r="E28" i="54" s="1"/>
  <c r="E18" i="54"/>
  <c r="E31" i="54" s="1"/>
  <c r="E17" i="54"/>
  <c r="E30" i="54" s="1"/>
  <c r="E238" i="38"/>
  <c r="E242" i="38" s="1"/>
  <c r="E239" i="38"/>
  <c r="E243" i="38" s="1"/>
  <c r="E240" i="38"/>
  <c r="E244" i="38" s="1"/>
  <c r="C32" i="29"/>
  <c r="C45" i="29"/>
  <c r="D19" i="19"/>
  <c r="D27" i="19"/>
  <c r="J27" i="58"/>
  <c r="BV10" i="58"/>
  <c r="BV5" i="58"/>
  <c r="D49" i="28"/>
  <c r="C247" i="48"/>
  <c r="C252" i="48" s="1"/>
  <c r="C251" i="48"/>
  <c r="C248" i="48"/>
  <c r="C253" i="48" s="1"/>
  <c r="C249" i="48"/>
  <c r="C254" i="48" s="1"/>
  <c r="C250" i="48"/>
  <c r="C255" i="48" s="1"/>
  <c r="F16" i="42"/>
  <c r="F29" i="42" s="1"/>
  <c r="F44" i="42" s="1"/>
  <c r="F222" i="42" s="1"/>
  <c r="F15" i="42"/>
  <c r="F28" i="42" s="1"/>
  <c r="F43" i="42" s="1"/>
  <c r="F18" i="42"/>
  <c r="F31" i="42" s="1"/>
  <c r="F46" i="42" s="1"/>
  <c r="F237" i="42" s="1"/>
  <c r="F14" i="42"/>
  <c r="G5" i="42"/>
  <c r="F17" i="42"/>
  <c r="F30" i="42" s="1"/>
  <c r="F45" i="42" s="1"/>
  <c r="E19" i="42"/>
  <c r="E247" i="42" s="1"/>
  <c r="E27" i="42"/>
  <c r="D147" i="46"/>
  <c r="D177" i="46"/>
  <c r="D167" i="46"/>
  <c r="D157" i="46"/>
  <c r="C146" i="38"/>
  <c r="C148" i="38"/>
  <c r="C147" i="38"/>
  <c r="C149" i="38"/>
  <c r="D100" i="36" s="1"/>
  <c r="AJ100" i="36" s="1"/>
  <c r="D19" i="42"/>
  <c r="D247" i="42" s="1"/>
  <c r="D27" i="42"/>
  <c r="C138" i="42"/>
  <c r="C142" i="42" s="1"/>
  <c r="C140" i="42"/>
  <c r="C144" i="42" s="1"/>
  <c r="C141" i="42"/>
  <c r="C139" i="42"/>
  <c r="C143" i="42" s="1"/>
  <c r="D240" i="38"/>
  <c r="D244" i="38" s="1"/>
  <c r="D238" i="38"/>
  <c r="D242" i="38" s="1"/>
  <c r="D239" i="38"/>
  <c r="D243" i="38" s="1"/>
  <c r="D19" i="29"/>
  <c r="D27" i="29"/>
  <c r="E219" i="46"/>
  <c r="E209" i="46"/>
  <c r="E229" i="46"/>
  <c r="BX28" i="58"/>
  <c r="L5" i="14"/>
  <c r="L7" i="14"/>
  <c r="L6" i="14"/>
  <c r="L10" i="14"/>
  <c r="L9" i="14"/>
  <c r="L62" i="14"/>
  <c r="D19" i="54"/>
  <c r="D27" i="54"/>
  <c r="D32" i="54" s="1"/>
  <c r="D140" i="16"/>
  <c r="E19" i="38"/>
  <c r="E247" i="38" s="1"/>
  <c r="E27" i="38"/>
  <c r="C32" i="19"/>
  <c r="C45" i="19"/>
  <c r="J64" i="14"/>
  <c r="J82" i="14" s="1"/>
  <c r="J214" i="14" s="1"/>
  <c r="J224" i="14" s="1"/>
  <c r="J63" i="14"/>
  <c r="J81" i="14" s="1"/>
  <c r="C42" i="38"/>
  <c r="C32" i="38"/>
  <c r="E15" i="28"/>
  <c r="E28" i="28" s="1"/>
  <c r="E46" i="28" s="1"/>
  <c r="E18" i="28"/>
  <c r="E31" i="28" s="1"/>
  <c r="E17" i="28"/>
  <c r="E30" i="28" s="1"/>
  <c r="E16" i="28"/>
  <c r="E29" i="28" s="1"/>
  <c r="E47" i="28" s="1"/>
  <c r="E14" i="28"/>
  <c r="F27" i="58"/>
  <c r="BR10" i="58"/>
  <c r="BR5" i="58"/>
  <c r="F15" i="48"/>
  <c r="F28" i="48" s="1"/>
  <c r="F43" i="48" s="1"/>
  <c r="F17" i="48"/>
  <c r="F30" i="48" s="1"/>
  <c r="F45" i="48" s="1"/>
  <c r="F14" i="48"/>
  <c r="F16" i="48"/>
  <c r="F29" i="48" s="1"/>
  <c r="F44" i="48" s="1"/>
  <c r="G5" i="48"/>
  <c r="F18" i="48"/>
  <c r="F31" i="48" s="1"/>
  <c r="AP194" i="12"/>
  <c r="AH221" i="14"/>
  <c r="AO218" i="12"/>
  <c r="AO252" i="12"/>
  <c r="AH85" i="14"/>
  <c r="AH69" i="14"/>
  <c r="AF69" i="12"/>
  <c r="E214" i="12"/>
  <c r="E224" i="12" s="1"/>
  <c r="I214" i="12"/>
  <c r="I224" i="12" s="1"/>
  <c r="J214" i="12"/>
  <c r="J224" i="12" s="1"/>
  <c r="AG67" i="12"/>
  <c r="AF37" i="12"/>
  <c r="AG85" i="12"/>
  <c r="AF87" i="12"/>
  <c r="AE88" i="12"/>
  <c r="AG90" i="12"/>
  <c r="AG35" i="12"/>
  <c r="AH66" i="12"/>
  <c r="AH71" i="12"/>
  <c r="AH70" i="12"/>
  <c r="AF86" i="12"/>
  <c r="AG68" i="12"/>
  <c r="AG89" i="12"/>
  <c r="D70" i="12"/>
  <c r="D68" i="12" s="1"/>
  <c r="D71" i="12"/>
  <c r="AH39" i="12"/>
  <c r="AH21" i="14"/>
  <c r="AH90" i="14"/>
  <c r="AH22" i="14"/>
  <c r="AH87" i="14" s="1"/>
  <c r="AH89" i="14"/>
  <c r="AG23" i="14"/>
  <c r="D66" i="12"/>
  <c r="AG39" i="20"/>
  <c r="AH215" i="12"/>
  <c r="AH20" i="12"/>
  <c r="AH24" i="12"/>
  <c r="K8" i="12"/>
  <c r="D176" i="12"/>
  <c r="D172" i="12"/>
  <c r="AN202" i="12"/>
  <c r="AH92" i="12"/>
  <c r="F8" i="12"/>
  <c r="L7" i="12"/>
  <c r="L10" i="12"/>
  <c r="L9" i="12"/>
  <c r="L6" i="12"/>
  <c r="L5" i="12"/>
  <c r="G10" i="12"/>
  <c r="G9" i="12"/>
  <c r="G6" i="12"/>
  <c r="G5" i="12"/>
  <c r="G7" i="12"/>
  <c r="AH214" i="12"/>
  <c r="AH224" i="12" s="1"/>
  <c r="AP218" i="12"/>
  <c r="I223" i="12"/>
  <c r="J223" i="12"/>
  <c r="AG223" i="12"/>
  <c r="AG221" i="12"/>
  <c r="E223" i="12"/>
  <c r="AH220" i="12"/>
  <c r="D177" i="12"/>
  <c r="AG43" i="20"/>
  <c r="D175" i="12"/>
  <c r="AH134" i="12"/>
  <c r="AN215" i="12"/>
  <c r="AG167" i="12"/>
  <c r="AG168" i="12"/>
  <c r="D134" i="12"/>
  <c r="D168" i="12" s="1"/>
  <c r="D220" i="12"/>
  <c r="D221" i="12" s="1"/>
  <c r="AH84" i="12"/>
  <c r="AK271" i="12" s="1"/>
  <c r="AM271" i="12" s="1"/>
  <c r="AH213" i="12"/>
  <c r="AN198" i="12"/>
  <c r="AO198" i="12" s="1"/>
  <c r="D174" i="12"/>
  <c r="AH102" i="12"/>
  <c r="AH217" i="12"/>
  <c r="AN209" i="12"/>
  <c r="AG40" i="20"/>
  <c r="C172" i="14"/>
  <c r="C178" i="14"/>
  <c r="C177" i="14"/>
  <c r="C173" i="14"/>
  <c r="C184" i="14" s="1"/>
  <c r="D198" i="14" s="1"/>
  <c r="C175" i="14"/>
  <c r="C179" i="14"/>
  <c r="C189" i="14" s="1"/>
  <c r="D193" i="14" s="1"/>
  <c r="C176" i="14"/>
  <c r="C174" i="14"/>
  <c r="C185" i="14" s="1"/>
  <c r="D197" i="14" s="1"/>
  <c r="D167" i="12"/>
  <c r="H43" i="19"/>
  <c r="C50" i="19"/>
  <c r="C43" i="20"/>
  <c r="J65" i="12"/>
  <c r="I65" i="12"/>
  <c r="E65" i="12"/>
  <c r="K64" i="12"/>
  <c r="K82" i="12" s="1"/>
  <c r="K63" i="12"/>
  <c r="K81" i="12" s="1"/>
  <c r="K213" i="12" s="1"/>
  <c r="F63" i="12"/>
  <c r="F81" i="12" s="1"/>
  <c r="F213" i="12" s="1"/>
  <c r="F64" i="12"/>
  <c r="F82" i="12" s="1"/>
  <c r="E84" i="12"/>
  <c r="I84" i="12"/>
  <c r="J84" i="12"/>
  <c r="G62" i="12"/>
  <c r="G166" i="12" s="1"/>
  <c r="L62" i="12"/>
  <c r="L166" i="12" s="1"/>
  <c r="M4" i="12"/>
  <c r="L3" i="52" s="1"/>
  <c r="L8" i="52" s="1"/>
  <c r="H4" i="12"/>
  <c r="G3" i="52" s="1"/>
  <c r="G8" i="52" s="1"/>
  <c r="L8" i="14" l="1"/>
  <c r="G8" i="14"/>
  <c r="E65" i="14"/>
  <c r="E49" i="28"/>
  <c r="H5" i="20"/>
  <c r="G15" i="20"/>
  <c r="G16" i="20"/>
  <c r="G14" i="20"/>
  <c r="G17" i="20"/>
  <c r="G18" i="20"/>
  <c r="G14" i="38"/>
  <c r="G17" i="38"/>
  <c r="G30" i="38" s="1"/>
  <c r="G45" i="38" s="1"/>
  <c r="G18" i="38"/>
  <c r="G31" i="38" s="1"/>
  <c r="G46" i="38" s="1"/>
  <c r="G237" i="38" s="1"/>
  <c r="G16" i="38"/>
  <c r="G29" i="38" s="1"/>
  <c r="G44" i="38" s="1"/>
  <c r="G222" i="38" s="1"/>
  <c r="H5" i="38"/>
  <c r="G15" i="38"/>
  <c r="G28" i="38" s="1"/>
  <c r="G43" i="38" s="1"/>
  <c r="J213" i="14"/>
  <c r="J84" i="14"/>
  <c r="E157" i="48"/>
  <c r="E161" i="46"/>
  <c r="E166" i="46" s="1"/>
  <c r="E160" i="46"/>
  <c r="E165" i="46" s="1"/>
  <c r="E159" i="46"/>
  <c r="E164" i="46" s="1"/>
  <c r="E158" i="46"/>
  <c r="E163" i="46" s="1"/>
  <c r="E162" i="46"/>
  <c r="F98" i="45" s="1"/>
  <c r="AL98" i="45" s="1"/>
  <c r="D193" i="38"/>
  <c r="D197" i="38" s="1"/>
  <c r="D192" i="38"/>
  <c r="D196" i="38" s="1"/>
  <c r="D194" i="38"/>
  <c r="D198" i="38" s="1"/>
  <c r="C47" i="38"/>
  <c r="C291" i="38" s="1"/>
  <c r="C295" i="38" s="1"/>
  <c r="C96" i="38"/>
  <c r="C97" i="38" s="1"/>
  <c r="C104" i="38"/>
  <c r="C72" i="38"/>
  <c r="C80" i="38"/>
  <c r="D42" i="42"/>
  <c r="D32" i="42"/>
  <c r="D180" i="46"/>
  <c r="D185" i="46" s="1"/>
  <c r="D178" i="46"/>
  <c r="D183" i="46" s="1"/>
  <c r="D179" i="46"/>
  <c r="D184" i="46" s="1"/>
  <c r="D182" i="46"/>
  <c r="E107" i="45" s="1"/>
  <c r="AK107" i="45" s="1"/>
  <c r="D177" i="48"/>
  <c r="D181" i="46"/>
  <c r="D186" i="46" s="1"/>
  <c r="F137" i="42"/>
  <c r="F153" i="42"/>
  <c r="F161" i="42"/>
  <c r="F145" i="42"/>
  <c r="E168" i="46"/>
  <c r="E173" i="46" s="1"/>
  <c r="E167" i="48"/>
  <c r="E171" i="46"/>
  <c r="E176" i="46" s="1"/>
  <c r="E170" i="46"/>
  <c r="E175" i="46" s="1"/>
  <c r="E172" i="46"/>
  <c r="F77" i="45" s="1"/>
  <c r="AL77" i="45" s="1"/>
  <c r="E169" i="46"/>
  <c r="E174" i="46" s="1"/>
  <c r="D234" i="46"/>
  <c r="E108" i="45" s="1"/>
  <c r="AK108" i="45" s="1"/>
  <c r="D229" i="48"/>
  <c r="D232" i="46"/>
  <c r="D237" i="46" s="1"/>
  <c r="D231" i="46"/>
  <c r="D236" i="46" s="1"/>
  <c r="D233" i="46"/>
  <c r="D238" i="46" s="1"/>
  <c r="D230" i="46"/>
  <c r="D235" i="46" s="1"/>
  <c r="K65" i="14"/>
  <c r="K82" i="14"/>
  <c r="K214" i="14" s="1"/>
  <c r="K224" i="14" s="1"/>
  <c r="G63" i="14"/>
  <c r="G81" i="14" s="1"/>
  <c r="G64" i="14"/>
  <c r="F18" i="28"/>
  <c r="F31" i="28" s="1"/>
  <c r="F16" i="28"/>
  <c r="F29" i="28" s="1"/>
  <c r="F47" i="28" s="1"/>
  <c r="F14" i="28"/>
  <c r="G5" i="28"/>
  <c r="F15" i="28"/>
  <c r="F28" i="28" s="1"/>
  <c r="F46" i="28" s="1"/>
  <c r="F17" i="28"/>
  <c r="F30" i="28" s="1"/>
  <c r="EC14" i="59"/>
  <c r="D4" i="59"/>
  <c r="C211" i="48"/>
  <c r="C216" i="48" s="1"/>
  <c r="C214" i="48"/>
  <c r="C213" i="48"/>
  <c r="C218" i="48" s="1"/>
  <c r="C212" i="48"/>
  <c r="C217" i="48" s="1"/>
  <c r="C210" i="48"/>
  <c r="C215" i="48" s="1"/>
  <c r="F19" i="46"/>
  <c r="F275" i="46" s="1"/>
  <c r="F27" i="46"/>
  <c r="F32" i="46" s="1"/>
  <c r="E147" i="42"/>
  <c r="E151" i="42" s="1"/>
  <c r="E148" i="42"/>
  <c r="E152" i="42" s="1"/>
  <c r="E149" i="42"/>
  <c r="E146" i="42"/>
  <c r="E150" i="42" s="1"/>
  <c r="D192" i="42"/>
  <c r="D196" i="42" s="1"/>
  <c r="D193" i="42"/>
  <c r="D197" i="42" s="1"/>
  <c r="D195" i="42"/>
  <c r="D194" i="42"/>
  <c r="D198" i="42" s="1"/>
  <c r="D309" i="46"/>
  <c r="D34" i="46"/>
  <c r="C231" i="48"/>
  <c r="C236" i="48" s="1"/>
  <c r="C233" i="48"/>
  <c r="C238" i="48" s="1"/>
  <c r="C230" i="48"/>
  <c r="C235" i="48" s="1"/>
  <c r="C234" i="48"/>
  <c r="C232" i="48"/>
  <c r="C237" i="48" s="1"/>
  <c r="F223" i="38"/>
  <c r="F227" i="38" s="1"/>
  <c r="F224" i="38"/>
  <c r="F228" i="38" s="1"/>
  <c r="F225" i="38"/>
  <c r="F229" i="38" s="1"/>
  <c r="E157" i="38"/>
  <c r="F79" i="36" s="1"/>
  <c r="AL79" i="36" s="1"/>
  <c r="E154" i="38"/>
  <c r="E158" i="38" s="1"/>
  <c r="E156" i="38"/>
  <c r="E160" i="38" s="1"/>
  <c r="E155" i="38"/>
  <c r="E159" i="38" s="1"/>
  <c r="D147" i="38"/>
  <c r="D151" i="38" s="1"/>
  <c r="D149" i="38"/>
  <c r="E100" i="36" s="1"/>
  <c r="AK100" i="36" s="1"/>
  <c r="D146" i="38"/>
  <c r="D150" i="38" s="1"/>
  <c r="D148" i="38"/>
  <c r="D152" i="38" s="1"/>
  <c r="BU27" i="58"/>
  <c r="BU9" i="58" s="1"/>
  <c r="AO9" i="58"/>
  <c r="AO4" i="59" s="1"/>
  <c r="BU4" i="59" s="1"/>
  <c r="DA4" i="59" s="1"/>
  <c r="E164" i="38"/>
  <c r="E168" i="38" s="1"/>
  <c r="E165" i="38"/>
  <c r="F109" i="36" s="1"/>
  <c r="AL109" i="36" s="1"/>
  <c r="E163" i="38"/>
  <c r="E167" i="38" s="1"/>
  <c r="E162" i="38"/>
  <c r="E166" i="38" s="1"/>
  <c r="AL27" i="58"/>
  <c r="F9" i="58"/>
  <c r="F4" i="59" s="1"/>
  <c r="F4" i="58"/>
  <c r="AL4" i="58" s="1"/>
  <c r="BR4" i="58" s="1"/>
  <c r="J65" i="14"/>
  <c r="D197" i="54"/>
  <c r="D34" i="54"/>
  <c r="D147" i="48"/>
  <c r="D149" i="46"/>
  <c r="D154" i="46" s="1"/>
  <c r="D152" i="46"/>
  <c r="E83" i="45" s="1"/>
  <c r="D151" i="46"/>
  <c r="D156" i="46" s="1"/>
  <c r="D150" i="46"/>
  <c r="D155" i="46" s="1"/>
  <c r="D148" i="46"/>
  <c r="D153" i="46" s="1"/>
  <c r="F225" i="42"/>
  <c r="F229" i="42" s="1"/>
  <c r="F226" i="42"/>
  <c r="F224" i="42"/>
  <c r="F228" i="42" s="1"/>
  <c r="F223" i="42"/>
  <c r="F227" i="42" s="1"/>
  <c r="E182" i="46"/>
  <c r="F107" i="45" s="1"/>
  <c r="AL107" i="45" s="1"/>
  <c r="E177" i="48"/>
  <c r="E180" i="46"/>
  <c r="E185" i="46" s="1"/>
  <c r="E181" i="46"/>
  <c r="E186" i="46" s="1"/>
  <c r="E178" i="46"/>
  <c r="E183" i="46" s="1"/>
  <c r="E179" i="46"/>
  <c r="E184" i="46" s="1"/>
  <c r="D209" i="48"/>
  <c r="D212" i="46"/>
  <c r="D217" i="46" s="1"/>
  <c r="D213" i="46"/>
  <c r="D218" i="46" s="1"/>
  <c r="D211" i="46"/>
  <c r="D216" i="46" s="1"/>
  <c r="D210" i="46"/>
  <c r="D215" i="46" s="1"/>
  <c r="D214" i="46"/>
  <c r="E89" i="45" s="1"/>
  <c r="K213" i="14"/>
  <c r="E19" i="53"/>
  <c r="E27" i="53"/>
  <c r="E32" i="53" s="1"/>
  <c r="BY28" i="58"/>
  <c r="M5" i="14"/>
  <c r="M6" i="14"/>
  <c r="M7" i="14"/>
  <c r="M10" i="14"/>
  <c r="M9" i="14"/>
  <c r="M62" i="14"/>
  <c r="D32" i="28"/>
  <c r="D45" i="28"/>
  <c r="D156" i="38"/>
  <c r="D160" i="38" s="1"/>
  <c r="D155" i="38"/>
  <c r="D159" i="38" s="1"/>
  <c r="D154" i="38"/>
  <c r="D158" i="38" s="1"/>
  <c r="D157" i="38"/>
  <c r="E79" i="36" s="1"/>
  <c r="AK79" i="36" s="1"/>
  <c r="AK27" i="58"/>
  <c r="E9" i="58"/>
  <c r="E4" i="59" s="1"/>
  <c r="E4" i="58"/>
  <c r="AK4" i="58" s="1"/>
  <c r="BQ4" i="58" s="1"/>
  <c r="F147" i="46"/>
  <c r="F167" i="46"/>
  <c r="F177" i="46"/>
  <c r="F157" i="46"/>
  <c r="E155" i="42"/>
  <c r="E159" i="42" s="1"/>
  <c r="E156" i="42"/>
  <c r="E160" i="42" s="1"/>
  <c r="E154" i="42"/>
  <c r="E158" i="42" s="1"/>
  <c r="E157" i="42"/>
  <c r="E32" i="19"/>
  <c r="E45" i="19"/>
  <c r="E50" i="19" s="1"/>
  <c r="D309" i="48"/>
  <c r="D34" i="48"/>
  <c r="BT28" i="58"/>
  <c r="H6" i="14"/>
  <c r="H5" i="14"/>
  <c r="H8" i="14" s="1"/>
  <c r="H7" i="14"/>
  <c r="H9" i="14"/>
  <c r="H10" i="14"/>
  <c r="H62" i="14"/>
  <c r="F65" i="14"/>
  <c r="E147" i="38"/>
  <c r="E151" i="38" s="1"/>
  <c r="E146" i="38"/>
  <c r="E150" i="38" s="1"/>
  <c r="E148" i="38"/>
  <c r="E152" i="38" s="1"/>
  <c r="E149" i="38"/>
  <c r="F100" i="36" s="1"/>
  <c r="AL100" i="36" s="1"/>
  <c r="D251" i="48"/>
  <c r="D247" i="48"/>
  <c r="D252" i="48" s="1"/>
  <c r="D249" i="48"/>
  <c r="D254" i="48" s="1"/>
  <c r="D248" i="48"/>
  <c r="D253" i="48" s="1"/>
  <c r="D250" i="48"/>
  <c r="D255" i="48" s="1"/>
  <c r="E163" i="42"/>
  <c r="E167" i="42" s="1"/>
  <c r="E165" i="42"/>
  <c r="E164" i="42"/>
  <c r="E168" i="42" s="1"/>
  <c r="E162" i="42"/>
  <c r="E166" i="42" s="1"/>
  <c r="C179" i="48"/>
  <c r="C184" i="48" s="1"/>
  <c r="C180" i="48"/>
  <c r="C185" i="48" s="1"/>
  <c r="C181" i="48"/>
  <c r="C186" i="48" s="1"/>
  <c r="C178" i="48"/>
  <c r="C183" i="48" s="1"/>
  <c r="C182" i="48"/>
  <c r="E83" i="29"/>
  <c r="E82" i="29" s="1"/>
  <c r="F55" i="15"/>
  <c r="E85" i="29"/>
  <c r="F55" i="16" s="1"/>
  <c r="L27" i="58"/>
  <c r="BX10" i="58"/>
  <c r="BX5" i="58"/>
  <c r="D32" i="19"/>
  <c r="D225" i="19" s="1"/>
  <c r="D45" i="19"/>
  <c r="D50" i="19" s="1"/>
  <c r="E151" i="46"/>
  <c r="E156" i="46" s="1"/>
  <c r="E149" i="46"/>
  <c r="E154" i="46" s="1"/>
  <c r="E152" i="46"/>
  <c r="F83" i="45" s="1"/>
  <c r="E150" i="46"/>
  <c r="E155" i="46" s="1"/>
  <c r="E148" i="46"/>
  <c r="E153" i="46" s="1"/>
  <c r="E147" i="48"/>
  <c r="F14" i="53"/>
  <c r="G5" i="53"/>
  <c r="F16" i="53"/>
  <c r="F29" i="53" s="1"/>
  <c r="F44" i="53" s="1"/>
  <c r="F150" i="53" s="1"/>
  <c r="F151" i="53" s="1"/>
  <c r="G60" i="51" s="1"/>
  <c r="AM60" i="51" s="1"/>
  <c r="F15" i="53"/>
  <c r="F28" i="53" s="1"/>
  <c r="F17" i="53"/>
  <c r="F30" i="53" s="1"/>
  <c r="F18" i="53"/>
  <c r="F31" i="53" s="1"/>
  <c r="B21" i="60"/>
  <c r="B30" i="60" s="1"/>
  <c r="B31" i="60" s="1"/>
  <c r="K61" i="60"/>
  <c r="M5" i="60"/>
  <c r="I7" i="60"/>
  <c r="I9" i="60" s="1"/>
  <c r="B55" i="60"/>
  <c r="F6" i="63"/>
  <c r="C9" i="60"/>
  <c r="D164" i="38"/>
  <c r="D168" i="38" s="1"/>
  <c r="D162" i="38"/>
  <c r="D166" i="38" s="1"/>
  <c r="D163" i="38"/>
  <c r="D167" i="38" s="1"/>
  <c r="D165" i="38"/>
  <c r="E109" i="36" s="1"/>
  <c r="AK109" i="36" s="1"/>
  <c r="AQ27" i="58"/>
  <c r="K9" i="58"/>
  <c r="K4" i="59" s="1"/>
  <c r="K4" i="58"/>
  <c r="AQ4" i="58" s="1"/>
  <c r="BW4" i="58" s="1"/>
  <c r="I134" i="14"/>
  <c r="I70" i="14"/>
  <c r="I220" i="14"/>
  <c r="I71" i="14"/>
  <c r="I66" i="14"/>
  <c r="I85" i="14" s="1"/>
  <c r="D209" i="38"/>
  <c r="D213" i="38" s="1"/>
  <c r="D211" i="38"/>
  <c r="D210" i="38"/>
  <c r="D214" i="38" s="1"/>
  <c r="D208" i="38"/>
  <c r="D212" i="38" s="1"/>
  <c r="D86" i="14"/>
  <c r="D69" i="14"/>
  <c r="D88" i="14" s="1"/>
  <c r="H5" i="29"/>
  <c r="G17" i="29"/>
  <c r="G30" i="29" s="1"/>
  <c r="G15" i="29"/>
  <c r="G28" i="29" s="1"/>
  <c r="G46" i="29" s="1"/>
  <c r="G18" i="29"/>
  <c r="G31" i="29" s="1"/>
  <c r="G16" i="29"/>
  <c r="G29" i="29" s="1"/>
  <c r="G47" i="29" s="1"/>
  <c r="G14" i="29"/>
  <c r="E138" i="42"/>
  <c r="E142" i="42" s="1"/>
  <c r="E141" i="42"/>
  <c r="E139" i="42"/>
  <c r="E143" i="42" s="1"/>
  <c r="E140" i="42"/>
  <c r="E144" i="42" s="1"/>
  <c r="AJ83" i="45"/>
  <c r="AJ84" i="45" s="1"/>
  <c r="D84" i="45"/>
  <c r="F19" i="38"/>
  <c r="F247" i="38" s="1"/>
  <c r="F27" i="38"/>
  <c r="F213" i="14"/>
  <c r="F84" i="14"/>
  <c r="E140" i="38"/>
  <c r="E138" i="38"/>
  <c r="E139" i="38"/>
  <c r="E34" i="46"/>
  <c r="E309" i="46"/>
  <c r="C87" i="29"/>
  <c r="E19" i="28"/>
  <c r="E118" i="28" s="1"/>
  <c r="E27" i="28"/>
  <c r="E42" i="42"/>
  <c r="E32" i="42"/>
  <c r="I213" i="14"/>
  <c r="I84" i="14"/>
  <c r="F19" i="48"/>
  <c r="F275" i="48" s="1"/>
  <c r="F27" i="48"/>
  <c r="F32" i="48" s="1"/>
  <c r="L63" i="14"/>
  <c r="L81" i="14" s="1"/>
  <c r="L64" i="14"/>
  <c r="E229" i="48"/>
  <c r="E232" i="46"/>
  <c r="E237" i="46" s="1"/>
  <c r="E231" i="46"/>
  <c r="E236" i="46" s="1"/>
  <c r="E230" i="46"/>
  <c r="E235" i="46" s="1"/>
  <c r="E233" i="46"/>
  <c r="E238" i="46" s="1"/>
  <c r="E234" i="46"/>
  <c r="F108" i="45" s="1"/>
  <c r="AL108" i="45" s="1"/>
  <c r="F191" i="42"/>
  <c r="F199" i="42"/>
  <c r="F207" i="42"/>
  <c r="D32" i="38"/>
  <c r="D42" i="38"/>
  <c r="D164" i="42"/>
  <c r="D168" i="42" s="1"/>
  <c r="D165" i="42"/>
  <c r="D162" i="42"/>
  <c r="D166" i="42" s="1"/>
  <c r="D163" i="42"/>
  <c r="D167" i="42" s="1"/>
  <c r="C281" i="42"/>
  <c r="C34" i="42"/>
  <c r="E211" i="42"/>
  <c r="E208" i="42"/>
  <c r="E212" i="42" s="1"/>
  <c r="E210" i="42"/>
  <c r="E214" i="42" s="1"/>
  <c r="E209" i="42"/>
  <c r="E213" i="42" s="1"/>
  <c r="BP27" i="58"/>
  <c r="BP9" i="58" s="1"/>
  <c r="AJ9" i="58"/>
  <c r="D140" i="38"/>
  <c r="D138" i="38"/>
  <c r="D139" i="38"/>
  <c r="D34" i="53"/>
  <c r="D197" i="53"/>
  <c r="D203" i="38"/>
  <c r="E101" i="36" s="1"/>
  <c r="AK101" i="36" s="1"/>
  <c r="D200" i="38"/>
  <c r="D204" i="38" s="1"/>
  <c r="D201" i="38"/>
  <c r="D205" i="38" s="1"/>
  <c r="D202" i="38"/>
  <c r="D206" i="38" s="1"/>
  <c r="C220" i="48"/>
  <c r="C225" i="48" s="1"/>
  <c r="C222" i="48"/>
  <c r="C227" i="48" s="1"/>
  <c r="C221" i="48"/>
  <c r="C226" i="48" s="1"/>
  <c r="C224" i="48"/>
  <c r="C223" i="48"/>
  <c r="C228" i="48" s="1"/>
  <c r="E201" i="38"/>
  <c r="E205" i="38" s="1"/>
  <c r="E202" i="38"/>
  <c r="E206" i="38" s="1"/>
  <c r="E200" i="38"/>
  <c r="E204" i="38" s="1"/>
  <c r="E203" i="38"/>
  <c r="F101" i="36" s="1"/>
  <c r="AL101" i="36" s="1"/>
  <c r="C150" i="48"/>
  <c r="C155" i="48" s="1"/>
  <c r="C149" i="48"/>
  <c r="C154" i="48" s="1"/>
  <c r="C151" i="48"/>
  <c r="C156" i="48" s="1"/>
  <c r="C152" i="48"/>
  <c r="C148" i="48"/>
  <c r="C153" i="48" s="1"/>
  <c r="F137" i="38"/>
  <c r="F161" i="38"/>
  <c r="F145" i="38"/>
  <c r="F153" i="38"/>
  <c r="E32" i="29"/>
  <c r="E45" i="29"/>
  <c r="E88" i="29"/>
  <c r="F61" i="15"/>
  <c r="C34" i="19"/>
  <c r="C214" i="19"/>
  <c r="E212" i="46"/>
  <c r="E217" i="46" s="1"/>
  <c r="E211" i="46"/>
  <c r="E216" i="46" s="1"/>
  <c r="E210" i="46"/>
  <c r="E215" i="46" s="1"/>
  <c r="E214" i="46"/>
  <c r="F89" i="45" s="1"/>
  <c r="E209" i="48"/>
  <c r="E213" i="46"/>
  <c r="E218" i="46" s="1"/>
  <c r="G15" i="42"/>
  <c r="G28" i="42" s="1"/>
  <c r="G43" i="42" s="1"/>
  <c r="H5" i="42"/>
  <c r="G16" i="42"/>
  <c r="G29" i="42" s="1"/>
  <c r="G44" i="42" s="1"/>
  <c r="G222" i="42" s="1"/>
  <c r="G14" i="42"/>
  <c r="G17" i="42"/>
  <c r="G30" i="42" s="1"/>
  <c r="G45" i="42" s="1"/>
  <c r="G18" i="42"/>
  <c r="G31" i="42" s="1"/>
  <c r="G46" i="42" s="1"/>
  <c r="G237" i="42" s="1"/>
  <c r="C50" i="29"/>
  <c r="C145" i="29" s="1"/>
  <c r="D157" i="42"/>
  <c r="D154" i="42"/>
  <c r="D158" i="42" s="1"/>
  <c r="D155" i="42"/>
  <c r="D159" i="42" s="1"/>
  <c r="D156" i="42"/>
  <c r="D160" i="42" s="1"/>
  <c r="C47" i="42"/>
  <c r="C291" i="42" s="1"/>
  <c r="C72" i="42"/>
  <c r="C96" i="42"/>
  <c r="C80" i="42"/>
  <c r="C104" i="42"/>
  <c r="C249" i="42"/>
  <c r="E249" i="48"/>
  <c r="E254" i="48" s="1"/>
  <c r="E250" i="48"/>
  <c r="E255" i="48" s="1"/>
  <c r="E247" i="48"/>
  <c r="E252" i="48" s="1"/>
  <c r="E251" i="48"/>
  <c r="E248" i="48"/>
  <c r="E253" i="48" s="1"/>
  <c r="E201" i="42"/>
  <c r="E205" i="42" s="1"/>
  <c r="E202" i="42"/>
  <c r="E206" i="42" s="1"/>
  <c r="E200" i="42"/>
  <c r="E204" i="42" s="1"/>
  <c r="E203" i="42"/>
  <c r="E134" i="14"/>
  <c r="E70" i="14"/>
  <c r="E66" i="14"/>
  <c r="E85" i="14" s="1"/>
  <c r="E71" i="14"/>
  <c r="E220" i="14"/>
  <c r="F246" i="48"/>
  <c r="F249" i="46"/>
  <c r="F254" i="46" s="1"/>
  <c r="F247" i="46"/>
  <c r="F252" i="46" s="1"/>
  <c r="F248" i="46"/>
  <c r="F253" i="46" s="1"/>
  <c r="F250" i="46"/>
  <c r="F255" i="46" s="1"/>
  <c r="F251" i="46"/>
  <c r="G96" i="45" s="1"/>
  <c r="E194" i="38"/>
  <c r="E198" i="38" s="1"/>
  <c r="E192" i="38"/>
  <c r="E196" i="38" s="1"/>
  <c r="E193" i="38"/>
  <c r="E197" i="38" s="1"/>
  <c r="G15" i="46"/>
  <c r="G28" i="46" s="1"/>
  <c r="G43" i="46" s="1"/>
  <c r="G17" i="46"/>
  <c r="G30" i="46" s="1"/>
  <c r="G45" i="46" s="1"/>
  <c r="G16" i="46"/>
  <c r="G29" i="46" s="1"/>
  <c r="G44" i="46" s="1"/>
  <c r="G246" i="46" s="1"/>
  <c r="G14" i="46"/>
  <c r="G18" i="46"/>
  <c r="G31" i="46" s="1"/>
  <c r="H5" i="46"/>
  <c r="E309" i="48"/>
  <c r="E34" i="48"/>
  <c r="H5" i="48"/>
  <c r="G15" i="48"/>
  <c r="G28" i="48" s="1"/>
  <c r="G43" i="48" s="1"/>
  <c r="G14" i="48"/>
  <c r="G16" i="48"/>
  <c r="G29" i="48" s="1"/>
  <c r="G44" i="48" s="1"/>
  <c r="G18" i="48"/>
  <c r="G31" i="48" s="1"/>
  <c r="G17" i="48"/>
  <c r="G30" i="48" s="1"/>
  <c r="G45" i="48" s="1"/>
  <c r="AP27" i="58"/>
  <c r="J9" i="58"/>
  <c r="J4" i="59" s="1"/>
  <c r="J4" i="58"/>
  <c r="AP4" i="58" s="1"/>
  <c r="BV4" i="58" s="1"/>
  <c r="E67" i="29"/>
  <c r="E68" i="29"/>
  <c r="F58" i="15"/>
  <c r="E66" i="29"/>
  <c r="E65" i="29" s="1"/>
  <c r="E77" i="29"/>
  <c r="F45" i="16" s="1"/>
  <c r="F64" i="15"/>
  <c r="E74" i="29"/>
  <c r="F48" i="16" s="1"/>
  <c r="F49" i="16" s="1"/>
  <c r="F136" i="16" s="1"/>
  <c r="E70" i="29"/>
  <c r="F48" i="15"/>
  <c r="F49" i="15" s="1"/>
  <c r="F136" i="15" s="1"/>
  <c r="E73" i="29"/>
  <c r="E76" i="29"/>
  <c r="F58" i="16" s="1"/>
  <c r="F45" i="15"/>
  <c r="E69" i="29"/>
  <c r="E78" i="29"/>
  <c r="F64" i="16" s="1"/>
  <c r="E75" i="29"/>
  <c r="E71" i="29"/>
  <c r="E32" i="38"/>
  <c r="E42" i="38"/>
  <c r="E219" i="48"/>
  <c r="E222" i="46"/>
  <c r="E227" i="46" s="1"/>
  <c r="E220" i="46"/>
  <c r="E225" i="46" s="1"/>
  <c r="E221" i="46"/>
  <c r="E226" i="46" s="1"/>
  <c r="E223" i="46"/>
  <c r="E228" i="46" s="1"/>
  <c r="E224" i="46"/>
  <c r="F99" i="45" s="1"/>
  <c r="AL99" i="45" s="1"/>
  <c r="D157" i="48"/>
  <c r="D159" i="46"/>
  <c r="D164" i="46" s="1"/>
  <c r="D160" i="46"/>
  <c r="D165" i="46" s="1"/>
  <c r="D161" i="46"/>
  <c r="D166" i="46" s="1"/>
  <c r="D158" i="46"/>
  <c r="D163" i="46" s="1"/>
  <c r="D162" i="46"/>
  <c r="E98" i="45" s="1"/>
  <c r="AK98" i="45" s="1"/>
  <c r="F19" i="42"/>
  <c r="F247" i="42" s="1"/>
  <c r="F27" i="42"/>
  <c r="C34" i="29"/>
  <c r="C135" i="29"/>
  <c r="E19" i="54"/>
  <c r="E27" i="54"/>
  <c r="E32" i="54" s="1"/>
  <c r="F19" i="19"/>
  <c r="F27" i="19"/>
  <c r="D146" i="42"/>
  <c r="D150" i="42" s="1"/>
  <c r="D147" i="42"/>
  <c r="D151" i="42" s="1"/>
  <c r="D149" i="42"/>
  <c r="D148" i="42"/>
  <c r="D152" i="42" s="1"/>
  <c r="E195" i="42"/>
  <c r="E194" i="42"/>
  <c r="E198" i="42" s="1"/>
  <c r="E192" i="42"/>
  <c r="E196" i="42" s="1"/>
  <c r="E193" i="42"/>
  <c r="E197" i="42" s="1"/>
  <c r="C158" i="48"/>
  <c r="C163" i="48" s="1"/>
  <c r="C162" i="48"/>
  <c r="C161" i="48"/>
  <c r="C166" i="48" s="1"/>
  <c r="C159" i="48"/>
  <c r="C164" i="48" s="1"/>
  <c r="C160" i="48"/>
  <c r="C165" i="48" s="1"/>
  <c r="F49" i="29"/>
  <c r="E209" i="38"/>
  <c r="E213" i="38" s="1"/>
  <c r="E211" i="38"/>
  <c r="E210" i="38"/>
  <c r="E214" i="38" s="1"/>
  <c r="E208" i="38"/>
  <c r="E212" i="38" s="1"/>
  <c r="D208" i="42"/>
  <c r="D212" i="42" s="1"/>
  <c r="D210" i="42"/>
  <c r="D214" i="42" s="1"/>
  <c r="D211" i="42"/>
  <c r="D209" i="42"/>
  <c r="D213" i="42" s="1"/>
  <c r="F239" i="38"/>
  <c r="F243" i="38" s="1"/>
  <c r="F238" i="38"/>
  <c r="F242" i="38" s="1"/>
  <c r="F240" i="38"/>
  <c r="F244" i="38" s="1"/>
  <c r="C56" i="29"/>
  <c r="C97" i="29" s="1"/>
  <c r="C62" i="29"/>
  <c r="C53" i="29"/>
  <c r="C96" i="29" s="1"/>
  <c r="C61" i="29"/>
  <c r="C91" i="29" s="1"/>
  <c r="C60" i="29"/>
  <c r="C63" i="29"/>
  <c r="C54" i="29"/>
  <c r="C57" i="29"/>
  <c r="C95" i="29" s="1"/>
  <c r="C100" i="29" s="1"/>
  <c r="L3" i="31"/>
  <c r="C59" i="29"/>
  <c r="L2" i="31"/>
  <c r="C55" i="29"/>
  <c r="C52" i="29" s="1"/>
  <c r="L5" i="31"/>
  <c r="C50" i="28"/>
  <c r="C117" i="28" s="1"/>
  <c r="C221" i="28"/>
  <c r="C216" i="28"/>
  <c r="C225" i="28"/>
  <c r="C222" i="28"/>
  <c r="C168" i="48"/>
  <c r="C173" i="48" s="1"/>
  <c r="C169" i="48"/>
  <c r="C174" i="48" s="1"/>
  <c r="C171" i="48"/>
  <c r="C176" i="48" s="1"/>
  <c r="C170" i="48"/>
  <c r="C175" i="48" s="1"/>
  <c r="C172" i="48"/>
  <c r="C34" i="38"/>
  <c r="C281" i="38"/>
  <c r="C292" i="38" s="1"/>
  <c r="D32" i="29"/>
  <c r="D45" i="29"/>
  <c r="D167" i="48"/>
  <c r="D171" i="46"/>
  <c r="D176" i="46" s="1"/>
  <c r="D172" i="46"/>
  <c r="E77" i="45" s="1"/>
  <c r="AK77" i="45" s="1"/>
  <c r="D169" i="46"/>
  <c r="D174" i="46" s="1"/>
  <c r="D170" i="46"/>
  <c r="D175" i="46" s="1"/>
  <c r="D168" i="46"/>
  <c r="D173" i="46" s="1"/>
  <c r="F241" i="42"/>
  <c r="F238" i="42"/>
  <c r="F242" i="42" s="1"/>
  <c r="F239" i="42"/>
  <c r="F243" i="42" s="1"/>
  <c r="F240" i="42"/>
  <c r="F244" i="42" s="1"/>
  <c r="E61" i="15"/>
  <c r="D88" i="29"/>
  <c r="F16" i="54"/>
  <c r="F29" i="54" s="1"/>
  <c r="F44" i="54" s="1"/>
  <c r="F150" i="54" s="1"/>
  <c r="F151" i="54" s="1"/>
  <c r="F18" i="54"/>
  <c r="F31" i="54" s="1"/>
  <c r="F15" i="54"/>
  <c r="F28" i="54" s="1"/>
  <c r="F17" i="54"/>
  <c r="F30" i="54" s="1"/>
  <c r="F14" i="54"/>
  <c r="G5" i="54"/>
  <c r="H5" i="19"/>
  <c r="G16" i="19"/>
  <c r="G29" i="19" s="1"/>
  <c r="G47" i="19" s="1"/>
  <c r="G17" i="19"/>
  <c r="G30" i="19" s="1"/>
  <c r="G48" i="19" s="1"/>
  <c r="G14" i="19"/>
  <c r="G18" i="19"/>
  <c r="G31" i="19" s="1"/>
  <c r="G49" i="19" s="1"/>
  <c r="G15" i="19"/>
  <c r="G28" i="19" s="1"/>
  <c r="G46" i="19" s="1"/>
  <c r="D221" i="46"/>
  <c r="D226" i="46" s="1"/>
  <c r="D222" i="46"/>
  <c r="D227" i="46" s="1"/>
  <c r="D220" i="46"/>
  <c r="D225" i="46" s="1"/>
  <c r="D224" i="46"/>
  <c r="E99" i="45" s="1"/>
  <c r="AK99" i="45" s="1"/>
  <c r="D219" i="48"/>
  <c r="D223" i="46"/>
  <c r="D228" i="46" s="1"/>
  <c r="D141" i="42"/>
  <c r="D139" i="42"/>
  <c r="D143" i="42" s="1"/>
  <c r="D140" i="42"/>
  <c r="D144" i="42" s="1"/>
  <c r="D138" i="42"/>
  <c r="D142" i="42" s="1"/>
  <c r="G27" i="58"/>
  <c r="BS10" i="58"/>
  <c r="BS5" i="58"/>
  <c r="BP4" i="58"/>
  <c r="CX4" i="58"/>
  <c r="E213" i="14"/>
  <c r="E84" i="14"/>
  <c r="F209" i="46"/>
  <c r="F219" i="46"/>
  <c r="F229" i="46"/>
  <c r="F19" i="29"/>
  <c r="F27" i="29"/>
  <c r="D85" i="45"/>
  <c r="AJ87" i="45"/>
  <c r="D86" i="45"/>
  <c r="AJ85" i="45"/>
  <c r="AJ86" i="45"/>
  <c r="D87" i="45"/>
  <c r="D200" i="42"/>
  <c r="D204" i="42" s="1"/>
  <c r="D203" i="42"/>
  <c r="D202" i="42"/>
  <c r="D206" i="42" s="1"/>
  <c r="D201" i="42"/>
  <c r="D205" i="42" s="1"/>
  <c r="F191" i="38"/>
  <c r="F207" i="38"/>
  <c r="F199" i="38"/>
  <c r="C149" i="28"/>
  <c r="C34" i="28"/>
  <c r="D86" i="36"/>
  <c r="D89" i="36" s="1"/>
  <c r="AJ85" i="36"/>
  <c r="AJ86" i="36" s="1"/>
  <c r="AJ89" i="36" s="1"/>
  <c r="C276" i="19"/>
  <c r="C224" i="19"/>
  <c r="AH86" i="14"/>
  <c r="D85" i="12"/>
  <c r="AG88" i="14"/>
  <c r="AF88" i="12"/>
  <c r="F214" i="12"/>
  <c r="F224" i="12" s="1"/>
  <c r="K214" i="12"/>
  <c r="K224" i="12" s="1"/>
  <c r="AH67" i="12"/>
  <c r="D275" i="19"/>
  <c r="D228" i="19"/>
  <c r="D276" i="19"/>
  <c r="D224" i="19"/>
  <c r="E224" i="19"/>
  <c r="E275" i="19"/>
  <c r="E228" i="19"/>
  <c r="E225" i="19"/>
  <c r="E276" i="19"/>
  <c r="C275" i="19"/>
  <c r="C228" i="19"/>
  <c r="C225" i="19"/>
  <c r="AG87" i="12"/>
  <c r="D90" i="12"/>
  <c r="AG37" i="12"/>
  <c r="D87" i="12"/>
  <c r="D89" i="12"/>
  <c r="AG69" i="12"/>
  <c r="AH85" i="12"/>
  <c r="AG86" i="12"/>
  <c r="E70" i="12"/>
  <c r="E71" i="12"/>
  <c r="E66" i="12"/>
  <c r="I70" i="12"/>
  <c r="I71" i="12"/>
  <c r="I66" i="12"/>
  <c r="AH90" i="12"/>
  <c r="AH35" i="12"/>
  <c r="AH37" i="12" s="1"/>
  <c r="J66" i="12"/>
  <c r="J71" i="12"/>
  <c r="J70" i="12"/>
  <c r="AH68" i="12"/>
  <c r="AH89" i="12"/>
  <c r="AH23" i="14"/>
  <c r="AH21" i="12"/>
  <c r="AH22" i="12"/>
  <c r="D67" i="12"/>
  <c r="L8" i="12"/>
  <c r="G8" i="12"/>
  <c r="H10" i="12"/>
  <c r="H9" i="12"/>
  <c r="H6" i="12"/>
  <c r="H5" i="12"/>
  <c r="H7" i="12"/>
  <c r="M6" i="12"/>
  <c r="M5" i="12"/>
  <c r="M7" i="12"/>
  <c r="M10" i="12"/>
  <c r="M9" i="12"/>
  <c r="D180" i="12"/>
  <c r="C172" i="12" s="1"/>
  <c r="F223" i="12"/>
  <c r="AH223" i="12"/>
  <c r="AH221" i="12"/>
  <c r="K223" i="12"/>
  <c r="J134" i="12"/>
  <c r="J168" i="12" s="1"/>
  <c r="J220" i="12"/>
  <c r="J221" i="12" s="1"/>
  <c r="I134" i="12"/>
  <c r="I168" i="12" s="1"/>
  <c r="I220" i="12"/>
  <c r="I221" i="12" s="1"/>
  <c r="E134" i="12"/>
  <c r="E168" i="12" s="1"/>
  <c r="E220" i="12"/>
  <c r="E221" i="12" s="1"/>
  <c r="AT172" i="12"/>
  <c r="AH167" i="12"/>
  <c r="AH168" i="12"/>
  <c r="C187" i="14"/>
  <c r="D195" i="14" s="1"/>
  <c r="C183" i="14"/>
  <c r="C180" i="14"/>
  <c r="I167" i="12"/>
  <c r="E167" i="12"/>
  <c r="J167" i="12"/>
  <c r="D43" i="19"/>
  <c r="I43" i="19"/>
  <c r="H43" i="20"/>
  <c r="I43" i="20"/>
  <c r="D43" i="20"/>
  <c r="K84" i="12"/>
  <c r="K65" i="12"/>
  <c r="F65" i="12"/>
  <c r="L64" i="12"/>
  <c r="L82" i="12" s="1"/>
  <c r="L63" i="12"/>
  <c r="L81" i="12" s="1"/>
  <c r="L213" i="12" s="1"/>
  <c r="G63" i="12"/>
  <c r="G81" i="12" s="1"/>
  <c r="G213" i="12" s="1"/>
  <c r="G64" i="12"/>
  <c r="G82" i="12" s="1"/>
  <c r="F84" i="12"/>
  <c r="M62" i="12"/>
  <c r="M166" i="12" s="1"/>
  <c r="H62" i="12"/>
  <c r="H166" i="12" s="1"/>
  <c r="M8" i="14" l="1"/>
  <c r="C246" i="42"/>
  <c r="G49" i="29"/>
  <c r="C21" i="60"/>
  <c r="C55" i="60"/>
  <c r="F156" i="42"/>
  <c r="F160" i="42" s="1"/>
  <c r="F157" i="42"/>
  <c r="F154" i="42"/>
  <c r="F158" i="42" s="1"/>
  <c r="F155" i="42"/>
  <c r="F159" i="42" s="1"/>
  <c r="F210" i="38"/>
  <c r="F214" i="38" s="1"/>
  <c r="F209" i="38"/>
  <c r="F213" i="38" s="1"/>
  <c r="F211" i="38"/>
  <c r="F208" i="38"/>
  <c r="F212" i="38" s="1"/>
  <c r="F229" i="48"/>
  <c r="F232" i="46"/>
  <c r="F237" i="46" s="1"/>
  <c r="F230" i="46"/>
  <c r="F235" i="46" s="1"/>
  <c r="F234" i="46"/>
  <c r="G108" i="45" s="1"/>
  <c r="AM108" i="45" s="1"/>
  <c r="F231" i="46"/>
  <c r="F236" i="46" s="1"/>
  <c r="F233" i="46"/>
  <c r="F238" i="46" s="1"/>
  <c r="D87" i="29"/>
  <c r="E61" i="16"/>
  <c r="M95" i="29"/>
  <c r="M98" i="29"/>
  <c r="M99" i="29"/>
  <c r="C37" i="29"/>
  <c r="C36" i="29"/>
  <c r="D161" i="48"/>
  <c r="D166" i="48" s="1"/>
  <c r="D159" i="48"/>
  <c r="D164" i="48" s="1"/>
  <c r="D162" i="48"/>
  <c r="D158" i="48"/>
  <c r="D163" i="48" s="1"/>
  <c r="D160" i="48"/>
  <c r="D165" i="48" s="1"/>
  <c r="E34" i="38"/>
  <c r="E281" i="38"/>
  <c r="G19" i="48"/>
  <c r="G275" i="48" s="1"/>
  <c r="G27" i="48"/>
  <c r="G32" i="48" s="1"/>
  <c r="G246" i="48"/>
  <c r="G251" i="46"/>
  <c r="H96" i="45" s="1"/>
  <c r="G249" i="46"/>
  <c r="G254" i="46" s="1"/>
  <c r="G248" i="46"/>
  <c r="G253" i="46" s="1"/>
  <c r="G250" i="46"/>
  <c r="G255" i="46" s="1"/>
  <c r="G247" i="46"/>
  <c r="G252" i="46" s="1"/>
  <c r="E68" i="14"/>
  <c r="E87" i="14" s="1"/>
  <c r="E89" i="14"/>
  <c r="C73" i="42"/>
  <c r="C77" i="42" s="1"/>
  <c r="C74" i="42"/>
  <c r="C78" i="42" s="1"/>
  <c r="C75" i="42"/>
  <c r="C79" i="42" s="1"/>
  <c r="C76" i="42"/>
  <c r="G240" i="42"/>
  <c r="G244" i="42" s="1"/>
  <c r="G241" i="42"/>
  <c r="G239" i="42"/>
  <c r="G243" i="42" s="1"/>
  <c r="G238" i="42"/>
  <c r="G242" i="42" s="1"/>
  <c r="E50" i="29"/>
  <c r="E145" i="29" s="1"/>
  <c r="F34" i="48"/>
  <c r="F309" i="48"/>
  <c r="C92" i="29"/>
  <c r="C101" i="29" s="1"/>
  <c r="F223" i="14"/>
  <c r="AL86" i="45"/>
  <c r="AL87" i="45"/>
  <c r="AL85" i="45"/>
  <c r="F86" i="45"/>
  <c r="F87" i="45"/>
  <c r="F85" i="45"/>
  <c r="H27" i="58"/>
  <c r="BT10" i="58"/>
  <c r="BT5" i="58"/>
  <c r="D213" i="48"/>
  <c r="D218" i="48" s="1"/>
  <c r="D212" i="48"/>
  <c r="D217" i="48" s="1"/>
  <c r="D211" i="48"/>
  <c r="D216" i="48" s="1"/>
  <c r="D214" i="48"/>
  <c r="D210" i="48"/>
  <c r="D215" i="48" s="1"/>
  <c r="D152" i="48"/>
  <c r="D148" i="48"/>
  <c r="D153" i="48" s="1"/>
  <c r="D150" i="48"/>
  <c r="D155" i="48" s="1"/>
  <c r="D149" i="48"/>
  <c r="D154" i="48" s="1"/>
  <c r="D151" i="48"/>
  <c r="D156" i="48" s="1"/>
  <c r="G213" i="14"/>
  <c r="D230" i="48"/>
  <c r="D235" i="48" s="1"/>
  <c r="D233" i="48"/>
  <c r="D238" i="48" s="1"/>
  <c r="D231" i="48"/>
  <c r="D236" i="48" s="1"/>
  <c r="D232" i="48"/>
  <c r="D237" i="48" s="1"/>
  <c r="D234" i="48"/>
  <c r="F148" i="42"/>
  <c r="F152" i="42" s="1"/>
  <c r="F149" i="42"/>
  <c r="F147" i="42"/>
  <c r="F151" i="42" s="1"/>
  <c r="F146" i="42"/>
  <c r="F150" i="42" s="1"/>
  <c r="C296" i="38"/>
  <c r="C298" i="38"/>
  <c r="C297" i="38"/>
  <c r="C299" i="38"/>
  <c r="G191" i="38"/>
  <c r="G199" i="38"/>
  <c r="G207" i="38"/>
  <c r="G147" i="46"/>
  <c r="G177" i="46"/>
  <c r="G157" i="46"/>
  <c r="G167" i="46"/>
  <c r="K223" i="14"/>
  <c r="F192" i="38"/>
  <c r="F196" i="38" s="1"/>
  <c r="F194" i="38"/>
  <c r="F198" i="38" s="1"/>
  <c r="F193" i="38"/>
  <c r="F197" i="38" s="1"/>
  <c r="F219" i="48"/>
  <c r="F222" i="46"/>
  <c r="F227" i="46" s="1"/>
  <c r="F221" i="46"/>
  <c r="F226" i="46" s="1"/>
  <c r="F224" i="46"/>
  <c r="G99" i="45" s="1"/>
  <c r="AM99" i="45" s="1"/>
  <c r="F220" i="46"/>
  <c r="F225" i="46" s="1"/>
  <c r="F223" i="46"/>
  <c r="F228" i="46" s="1"/>
  <c r="AM27" i="58"/>
  <c r="G9" i="58"/>
  <c r="G4" i="59" s="1"/>
  <c r="G4" i="58"/>
  <c r="AM4" i="58" s="1"/>
  <c r="BS4" i="58" s="1"/>
  <c r="H17" i="19"/>
  <c r="H30" i="19" s="1"/>
  <c r="H48" i="19" s="1"/>
  <c r="H18" i="19"/>
  <c r="H31" i="19" s="1"/>
  <c r="H49" i="19" s="1"/>
  <c r="H15" i="19"/>
  <c r="H28" i="19" s="1"/>
  <c r="H46" i="19" s="1"/>
  <c r="H14" i="19"/>
  <c r="H16" i="19"/>
  <c r="H29" i="19" s="1"/>
  <c r="H47" i="19" s="1"/>
  <c r="I5" i="19"/>
  <c r="F42" i="42"/>
  <c r="F32" i="42"/>
  <c r="G219" i="46"/>
  <c r="G209" i="46"/>
  <c r="G229" i="46"/>
  <c r="C295" i="42"/>
  <c r="C292" i="42"/>
  <c r="G191" i="42"/>
  <c r="G207" i="42"/>
  <c r="G199" i="42"/>
  <c r="E135" i="29"/>
  <c r="E34" i="29"/>
  <c r="C103" i="29"/>
  <c r="F32" i="38"/>
  <c r="F42" i="38"/>
  <c r="G19" i="29"/>
  <c r="G27" i="29"/>
  <c r="I68" i="14"/>
  <c r="I87" i="14" s="1"/>
  <c r="I89" i="14"/>
  <c r="AR27" i="58"/>
  <c r="L9" i="58"/>
  <c r="L4" i="59" s="1"/>
  <c r="L4" i="58"/>
  <c r="AR4" i="58" s="1"/>
  <c r="BX4" i="58" s="1"/>
  <c r="H64" i="14"/>
  <c r="H82" i="14" s="1"/>
  <c r="H214" i="14" s="1"/>
  <c r="H224" i="14" s="1"/>
  <c r="H63" i="14"/>
  <c r="H81" i="14" s="1"/>
  <c r="F161" i="46"/>
  <c r="F166" i="46" s="1"/>
  <c r="F159" i="46"/>
  <c r="F164" i="46" s="1"/>
  <c r="F158" i="46"/>
  <c r="F163" i="46" s="1"/>
  <c r="F162" i="46"/>
  <c r="G98" i="45" s="1"/>
  <c r="AM98" i="45" s="1"/>
  <c r="F157" i="48"/>
  <c r="F160" i="46"/>
  <c r="F165" i="46" s="1"/>
  <c r="K84" i="14"/>
  <c r="F164" i="42"/>
  <c r="F168" i="42" s="1"/>
  <c r="F165" i="42"/>
  <c r="F163" i="42"/>
  <c r="F167" i="42" s="1"/>
  <c r="F162" i="42"/>
  <c r="F166" i="42" s="1"/>
  <c r="E158" i="48"/>
  <c r="E163" i="48" s="1"/>
  <c r="E159" i="48"/>
  <c r="E164" i="48" s="1"/>
  <c r="E162" i="48"/>
  <c r="E160" i="48"/>
  <c r="E165" i="48" s="1"/>
  <c r="E161" i="48"/>
  <c r="E166" i="48" s="1"/>
  <c r="G19" i="38"/>
  <c r="G247" i="38" s="1"/>
  <c r="G27" i="38"/>
  <c r="F178" i="46"/>
  <c r="F183" i="46" s="1"/>
  <c r="F181" i="46"/>
  <c r="F186" i="46" s="1"/>
  <c r="F177" i="48"/>
  <c r="F180" i="46"/>
  <c r="F185" i="46" s="1"/>
  <c r="F179" i="46"/>
  <c r="F184" i="46" s="1"/>
  <c r="F182" i="46"/>
  <c r="G107" i="45" s="1"/>
  <c r="AM107" i="45" s="1"/>
  <c r="F19" i="54"/>
  <c r="F27" i="54"/>
  <c r="F32" i="54" s="1"/>
  <c r="D168" i="48"/>
  <c r="D173" i="48" s="1"/>
  <c r="D169" i="48"/>
  <c r="D174" i="48" s="1"/>
  <c r="D170" i="48"/>
  <c r="D175" i="48" s="1"/>
  <c r="D172" i="48"/>
  <c r="D171" i="48"/>
  <c r="D176" i="48" s="1"/>
  <c r="F32" i="19"/>
  <c r="F45" i="19"/>
  <c r="F50" i="19" s="1"/>
  <c r="F250" i="48"/>
  <c r="F255" i="48" s="1"/>
  <c r="F247" i="48"/>
  <c r="F252" i="48" s="1"/>
  <c r="F248" i="48"/>
  <c r="F253" i="48" s="1"/>
  <c r="F249" i="48"/>
  <c r="F254" i="48" s="1"/>
  <c r="F251" i="48"/>
  <c r="C316" i="42"/>
  <c r="C317" i="42" s="1"/>
  <c r="C293" i="42"/>
  <c r="C294" i="42" s="1"/>
  <c r="C250" i="42"/>
  <c r="G225" i="42"/>
  <c r="G229" i="42" s="1"/>
  <c r="G226" i="42"/>
  <c r="G223" i="42"/>
  <c r="G227" i="42" s="1"/>
  <c r="G224" i="42"/>
  <c r="G228" i="42" s="1"/>
  <c r="F146" i="38"/>
  <c r="F150" i="38" s="1"/>
  <c r="F147" i="38"/>
  <c r="F151" i="38" s="1"/>
  <c r="F149" i="38"/>
  <c r="G100" i="36" s="1"/>
  <c r="AM100" i="36" s="1"/>
  <c r="F148" i="38"/>
  <c r="F152" i="38" s="1"/>
  <c r="D47" i="38"/>
  <c r="D291" i="38" s="1"/>
  <c r="D72" i="38"/>
  <c r="D73" i="38" s="1"/>
  <c r="D104" i="38"/>
  <c r="D96" i="38"/>
  <c r="D80" i="38"/>
  <c r="D249" i="38"/>
  <c r="D246" i="38"/>
  <c r="I223" i="14"/>
  <c r="I221" i="14"/>
  <c r="B10" i="63"/>
  <c r="F7" i="63"/>
  <c r="G6" i="63" s="1"/>
  <c r="F167" i="48"/>
  <c r="F172" i="46"/>
  <c r="G77" i="45" s="1"/>
  <c r="AM77" i="45" s="1"/>
  <c r="F171" i="46"/>
  <c r="F176" i="46" s="1"/>
  <c r="F170" i="46"/>
  <c r="F175" i="46" s="1"/>
  <c r="F169" i="46"/>
  <c r="F174" i="46" s="1"/>
  <c r="F168" i="46"/>
  <c r="F173" i="46" s="1"/>
  <c r="E85" i="45"/>
  <c r="AK85" i="45"/>
  <c r="AK87" i="45"/>
  <c r="E86" i="45"/>
  <c r="AK86" i="45"/>
  <c r="E87" i="45"/>
  <c r="J134" i="14"/>
  <c r="J71" i="14"/>
  <c r="J66" i="14"/>
  <c r="J85" i="14" s="1"/>
  <c r="J70" i="14"/>
  <c r="J220" i="14"/>
  <c r="J221" i="14" s="1"/>
  <c r="H5" i="28"/>
  <c r="G14" i="28"/>
  <c r="G17" i="28"/>
  <c r="G30" i="28" s="1"/>
  <c r="G18" i="28"/>
  <c r="G31" i="28" s="1"/>
  <c r="G15" i="28"/>
  <c r="G28" i="28" s="1"/>
  <c r="G46" i="28" s="1"/>
  <c r="G16" i="28"/>
  <c r="G29" i="28" s="1"/>
  <c r="G47" i="28" s="1"/>
  <c r="K134" i="14"/>
  <c r="K66" i="14"/>
  <c r="K85" i="14" s="1"/>
  <c r="K71" i="14"/>
  <c r="K70" i="14"/>
  <c r="K220" i="14"/>
  <c r="K221" i="14" s="1"/>
  <c r="F138" i="42"/>
  <c r="F142" i="42" s="1"/>
  <c r="F139" i="42"/>
  <c r="F143" i="42" s="1"/>
  <c r="F140" i="42"/>
  <c r="F144" i="42" s="1"/>
  <c r="F141" i="42"/>
  <c r="D47" i="42"/>
  <c r="D291" i="42" s="1"/>
  <c r="D96" i="42"/>
  <c r="D104" i="42"/>
  <c r="D72" i="42"/>
  <c r="D80" i="42"/>
  <c r="D249" i="42"/>
  <c r="J223" i="14"/>
  <c r="H18" i="48"/>
  <c r="H31" i="48" s="1"/>
  <c r="H15" i="48"/>
  <c r="H28" i="48" s="1"/>
  <c r="H43" i="48" s="1"/>
  <c r="H16" i="48"/>
  <c r="H29" i="48" s="1"/>
  <c r="H44" i="48" s="1"/>
  <c r="H17" i="48"/>
  <c r="H30" i="48" s="1"/>
  <c r="H45" i="48" s="1"/>
  <c r="H14" i="48"/>
  <c r="I5" i="48"/>
  <c r="G19" i="42"/>
  <c r="G247" i="42" s="1"/>
  <c r="G27" i="42"/>
  <c r="G64" i="15"/>
  <c r="F66" i="29"/>
  <c r="F65" i="29" s="1"/>
  <c r="F76" i="29"/>
  <c r="G58" i="16" s="1"/>
  <c r="G48" i="15"/>
  <c r="G49" i="15" s="1"/>
  <c r="G136" i="15" s="1"/>
  <c r="F75" i="29"/>
  <c r="F70" i="29"/>
  <c r="G45" i="15"/>
  <c r="F71" i="29"/>
  <c r="F67" i="29"/>
  <c r="G58" i="15"/>
  <c r="F69" i="29"/>
  <c r="F78" i="29"/>
  <c r="G64" i="16" s="1"/>
  <c r="F74" i="29"/>
  <c r="G48" i="16" s="1"/>
  <c r="G49" i="16" s="1"/>
  <c r="G136" i="16" s="1"/>
  <c r="F68" i="29"/>
  <c r="F77" i="29"/>
  <c r="G45" i="16" s="1"/>
  <c r="F73" i="29"/>
  <c r="E223" i="14"/>
  <c r="E221" i="14"/>
  <c r="D50" i="29"/>
  <c r="D145" i="29" s="1"/>
  <c r="BV27" i="58"/>
  <c r="BV9" i="58" s="1"/>
  <c r="AP9" i="58"/>
  <c r="AP4" i="59" s="1"/>
  <c r="BV4" i="59" s="1"/>
  <c r="DB4" i="59" s="1"/>
  <c r="H17" i="42"/>
  <c r="H30" i="42" s="1"/>
  <c r="H45" i="42" s="1"/>
  <c r="H14" i="42"/>
  <c r="H16" i="42"/>
  <c r="H29" i="42" s="1"/>
  <c r="H44" i="42" s="1"/>
  <c r="H222" i="42" s="1"/>
  <c r="H15" i="42"/>
  <c r="H28" i="42" s="1"/>
  <c r="H43" i="42" s="1"/>
  <c r="H18" i="42"/>
  <c r="H31" i="42" s="1"/>
  <c r="H46" i="42" s="1"/>
  <c r="H237" i="42" s="1"/>
  <c r="I5" i="42"/>
  <c r="F164" i="38"/>
  <c r="F168" i="38" s="1"/>
  <c r="F163" i="38"/>
  <c r="F167" i="38" s="1"/>
  <c r="F165" i="38"/>
  <c r="G109" i="36" s="1"/>
  <c r="AM109" i="36" s="1"/>
  <c r="F162" i="38"/>
  <c r="F166" i="38" s="1"/>
  <c r="D34" i="38"/>
  <c r="D281" i="38"/>
  <c r="E281" i="42"/>
  <c r="E34" i="42"/>
  <c r="E34" i="19"/>
  <c r="E214" i="19"/>
  <c r="F148" i="46"/>
  <c r="F153" i="46" s="1"/>
  <c r="F147" i="48"/>
  <c r="F152" i="46"/>
  <c r="G83" i="45" s="1"/>
  <c r="F151" i="46"/>
  <c r="F156" i="46" s="1"/>
  <c r="F150" i="46"/>
  <c r="F155" i="46" s="1"/>
  <c r="F149" i="46"/>
  <c r="F154" i="46" s="1"/>
  <c r="D216" i="28"/>
  <c r="D63" i="29"/>
  <c r="E56" i="16" s="1"/>
  <c r="E56" i="15"/>
  <c r="D61" i="29"/>
  <c r="D103" i="29" s="1"/>
  <c r="D57" i="29"/>
  <c r="D60" i="29"/>
  <c r="D55" i="29"/>
  <c r="D52" i="29" s="1"/>
  <c r="D92" i="29" s="1"/>
  <c r="D62" i="29"/>
  <c r="E62" i="16" s="1"/>
  <c r="D54" i="29"/>
  <c r="D56" i="29"/>
  <c r="D59" i="29"/>
  <c r="E44" i="16" s="1"/>
  <c r="E62" i="15"/>
  <c r="E65" i="15" s="1"/>
  <c r="E139" i="15" s="1"/>
  <c r="D50" i="28"/>
  <c r="D117" i="28" s="1"/>
  <c r="D53" i="29"/>
  <c r="E44" i="15"/>
  <c r="F19" i="28"/>
  <c r="F118" i="28" s="1"/>
  <c r="F27" i="28"/>
  <c r="G137" i="38"/>
  <c r="G153" i="38"/>
  <c r="G161" i="38"/>
  <c r="G145" i="38"/>
  <c r="G15" i="54"/>
  <c r="G28" i="54" s="1"/>
  <c r="G17" i="54"/>
  <c r="G30" i="54" s="1"/>
  <c r="G14" i="54"/>
  <c r="H5" i="54"/>
  <c r="G16" i="54"/>
  <c r="G29" i="54" s="1"/>
  <c r="G44" i="54" s="1"/>
  <c r="G150" i="54" s="1"/>
  <c r="G151" i="54" s="1"/>
  <c r="G18" i="54"/>
  <c r="G31" i="54" s="1"/>
  <c r="F155" i="38"/>
  <c r="F159" i="38" s="1"/>
  <c r="F154" i="38"/>
  <c r="F158" i="38" s="1"/>
  <c r="F157" i="38"/>
  <c r="G79" i="36" s="1"/>
  <c r="AM79" i="36" s="1"/>
  <c r="F156" i="38"/>
  <c r="F160" i="38" s="1"/>
  <c r="C37" i="28"/>
  <c r="C36" i="28"/>
  <c r="D135" i="29"/>
  <c r="D34" i="29"/>
  <c r="M96" i="29"/>
  <c r="E197" i="54"/>
  <c r="E34" i="54"/>
  <c r="H14" i="46"/>
  <c r="H18" i="46"/>
  <c r="H31" i="46" s="1"/>
  <c r="H17" i="46"/>
  <c r="H30" i="46" s="1"/>
  <c r="H45" i="46" s="1"/>
  <c r="H15" i="46"/>
  <c r="H28" i="46" s="1"/>
  <c r="H43" i="46" s="1"/>
  <c r="H16" i="46"/>
  <c r="H29" i="46" s="1"/>
  <c r="H44" i="46" s="1"/>
  <c r="H246" i="46" s="1"/>
  <c r="I5" i="46"/>
  <c r="C105" i="42"/>
  <c r="C109" i="42" s="1"/>
  <c r="C106" i="42"/>
  <c r="C110" i="42" s="1"/>
  <c r="C108" i="42"/>
  <c r="C107" i="42"/>
  <c r="C111" i="42" s="1"/>
  <c r="G137" i="42"/>
  <c r="G161" i="42"/>
  <c r="G153" i="42"/>
  <c r="G145" i="42"/>
  <c r="C36" i="19"/>
  <c r="C37" i="19"/>
  <c r="F140" i="38"/>
  <c r="F138" i="38"/>
  <c r="F139" i="38"/>
  <c r="F208" i="42"/>
  <c r="F212" i="42" s="1"/>
  <c r="F209" i="42"/>
  <c r="F213" i="42" s="1"/>
  <c r="F211" i="42"/>
  <c r="F210" i="42"/>
  <c r="F214" i="42" s="1"/>
  <c r="E232" i="48"/>
  <c r="E237" i="48" s="1"/>
  <c r="E234" i="48"/>
  <c r="E233" i="48"/>
  <c r="E238" i="48" s="1"/>
  <c r="E230" i="48"/>
  <c r="E235" i="48" s="1"/>
  <c r="E231" i="48"/>
  <c r="E236" i="48" s="1"/>
  <c r="E47" i="42"/>
  <c r="E291" i="42" s="1"/>
  <c r="E96" i="42"/>
  <c r="E80" i="42"/>
  <c r="E72" i="42"/>
  <c r="E104" i="42"/>
  <c r="E249" i="42"/>
  <c r="BW27" i="58"/>
  <c r="BW9" i="58" s="1"/>
  <c r="AQ9" i="58"/>
  <c r="AQ4" i="59" s="1"/>
  <c r="BW4" i="59" s="1"/>
  <c r="DC4" i="59" s="1"/>
  <c r="G18" i="53"/>
  <c r="G31" i="53" s="1"/>
  <c r="H5" i="53"/>
  <c r="G14" i="53"/>
  <c r="G17" i="53"/>
  <c r="G30" i="53" s="1"/>
  <c r="G15" i="53"/>
  <c r="G28" i="53" s="1"/>
  <c r="G16" i="53"/>
  <c r="G29" i="53" s="1"/>
  <c r="G44" i="53" s="1"/>
  <c r="G150" i="53" s="1"/>
  <c r="G151" i="53" s="1"/>
  <c r="H60" i="51" s="1"/>
  <c r="AN60" i="51" s="1"/>
  <c r="D34" i="28"/>
  <c r="D149" i="28"/>
  <c r="E179" i="48"/>
  <c r="E184" i="48" s="1"/>
  <c r="E178" i="48"/>
  <c r="E183" i="48" s="1"/>
  <c r="E181" i="48"/>
  <c r="E186" i="48" s="1"/>
  <c r="E180" i="48"/>
  <c r="E185" i="48" s="1"/>
  <c r="E182" i="48"/>
  <c r="F83" i="29"/>
  <c r="F82" i="29" s="1"/>
  <c r="F85" i="29"/>
  <c r="G55" i="16" s="1"/>
  <c r="G55" i="15"/>
  <c r="D179" i="48"/>
  <c r="D184" i="48" s="1"/>
  <c r="D181" i="48"/>
  <c r="D186" i="48" s="1"/>
  <c r="D178" i="48"/>
  <c r="D183" i="48" s="1"/>
  <c r="D182" i="48"/>
  <c r="D180" i="48"/>
  <c r="D185" i="48" s="1"/>
  <c r="H18" i="38"/>
  <c r="H31" i="38" s="1"/>
  <c r="H46" i="38" s="1"/>
  <c r="H237" i="38" s="1"/>
  <c r="H15" i="38"/>
  <c r="H28" i="38" s="1"/>
  <c r="H43" i="38" s="1"/>
  <c r="H16" i="38"/>
  <c r="H29" i="38" s="1"/>
  <c r="H44" i="38" s="1"/>
  <c r="H222" i="38" s="1"/>
  <c r="H17" i="38"/>
  <c r="H30" i="38" s="1"/>
  <c r="H45" i="38" s="1"/>
  <c r="H14" i="38"/>
  <c r="I5" i="38"/>
  <c r="F32" i="29"/>
  <c r="F45" i="29"/>
  <c r="G19" i="19"/>
  <c r="G27" i="19"/>
  <c r="E224" i="48"/>
  <c r="E220" i="48"/>
  <c r="E225" i="48" s="1"/>
  <c r="E223" i="48"/>
  <c r="E228" i="48" s="1"/>
  <c r="E222" i="48"/>
  <c r="E227" i="48" s="1"/>
  <c r="E221" i="48"/>
  <c r="E226" i="48" s="1"/>
  <c r="E90" i="14"/>
  <c r="E67" i="14"/>
  <c r="C84" i="42"/>
  <c r="C82" i="42"/>
  <c r="C86" i="42" s="1"/>
  <c r="C81" i="42"/>
  <c r="C85" i="42" s="1"/>
  <c r="C83" i="42"/>
  <c r="C87" i="42" s="1"/>
  <c r="F201" i="42"/>
  <c r="F205" i="42" s="1"/>
  <c r="F200" i="42"/>
  <c r="F204" i="42" s="1"/>
  <c r="F202" i="42"/>
  <c r="F206" i="42" s="1"/>
  <c r="F203" i="42"/>
  <c r="L65" i="14"/>
  <c r="L82" i="14"/>
  <c r="L214" i="14" s="1"/>
  <c r="L224" i="14" s="1"/>
  <c r="E32" i="28"/>
  <c r="E45" i="28"/>
  <c r="H15" i="29"/>
  <c r="H28" i="29" s="1"/>
  <c r="H46" i="29" s="1"/>
  <c r="H14" i="29"/>
  <c r="H18" i="29"/>
  <c r="H31" i="29" s="1"/>
  <c r="H17" i="29"/>
  <c r="H30" i="29" s="1"/>
  <c r="H16" i="29"/>
  <c r="H29" i="29" s="1"/>
  <c r="H47" i="29" s="1"/>
  <c r="I5" i="29"/>
  <c r="F19" i="53"/>
  <c r="F27" i="53"/>
  <c r="F32" i="53" s="1"/>
  <c r="D214" i="19"/>
  <c r="D34" i="19"/>
  <c r="M27" i="58"/>
  <c r="BY10" i="58"/>
  <c r="BY5" i="58"/>
  <c r="BR27" i="58"/>
  <c r="BR9" i="58" s="1"/>
  <c r="AL9" i="58"/>
  <c r="AL4" i="59" s="1"/>
  <c r="BR4" i="59" s="1"/>
  <c r="CX4" i="59" s="1"/>
  <c r="F49" i="28"/>
  <c r="E170" i="48"/>
  <c r="E175" i="48" s="1"/>
  <c r="E169" i="48"/>
  <c r="E174" i="48" s="1"/>
  <c r="E171" i="48"/>
  <c r="E176" i="48" s="1"/>
  <c r="E168" i="48"/>
  <c r="E173" i="48" s="1"/>
  <c r="E172" i="48"/>
  <c r="G225" i="38"/>
  <c r="G229" i="38" s="1"/>
  <c r="G223" i="38"/>
  <c r="G227" i="38" s="1"/>
  <c r="G224" i="38"/>
  <c r="G228" i="38" s="1"/>
  <c r="F210" i="46"/>
  <c r="F215" i="46" s="1"/>
  <c r="F209" i="48"/>
  <c r="F214" i="46"/>
  <c r="G89" i="45" s="1"/>
  <c r="F213" i="46"/>
  <c r="F218" i="46" s="1"/>
  <c r="F211" i="46"/>
  <c r="F216" i="46" s="1"/>
  <c r="F212" i="46"/>
  <c r="F217" i="46" s="1"/>
  <c r="C211" i="28"/>
  <c r="C210" i="28"/>
  <c r="C159" i="28"/>
  <c r="D281" i="42"/>
  <c r="D292" i="42" s="1"/>
  <c r="D34" i="42"/>
  <c r="F202" i="38"/>
  <c r="F206" i="38" s="1"/>
  <c r="F201" i="38"/>
  <c r="F205" i="38" s="1"/>
  <c r="F200" i="38"/>
  <c r="F204" i="38" s="1"/>
  <c r="F203" i="38"/>
  <c r="G101" i="36" s="1"/>
  <c r="AM101" i="36" s="1"/>
  <c r="D224" i="48"/>
  <c r="D220" i="48"/>
  <c r="D225" i="48" s="1"/>
  <c r="D222" i="48"/>
  <c r="D227" i="48" s="1"/>
  <c r="D221" i="48"/>
  <c r="D226" i="48" s="1"/>
  <c r="D223" i="48"/>
  <c r="D228" i="48" s="1"/>
  <c r="C217" i="28"/>
  <c r="C161" i="28"/>
  <c r="C226" i="28"/>
  <c r="C184" i="28"/>
  <c r="C185" i="28" s="1"/>
  <c r="M97" i="29"/>
  <c r="E47" i="38"/>
  <c r="E291" i="38" s="1"/>
  <c r="E72" i="38"/>
  <c r="E73" i="38" s="1"/>
  <c r="E80" i="38"/>
  <c r="E104" i="38"/>
  <c r="E96" i="38"/>
  <c r="E249" i="38"/>
  <c r="G19" i="46"/>
  <c r="G275" i="46" s="1"/>
  <c r="G27" i="46"/>
  <c r="G32" i="46" s="1"/>
  <c r="C100" i="42"/>
  <c r="C99" i="42"/>
  <c r="C103" i="42" s="1"/>
  <c r="C97" i="42"/>
  <c r="C101" i="42" s="1"/>
  <c r="C98" i="42"/>
  <c r="C102" i="42" s="1"/>
  <c r="C149" i="29"/>
  <c r="C146" i="29"/>
  <c r="E210" i="48"/>
  <c r="E215" i="48" s="1"/>
  <c r="E213" i="48"/>
  <c r="E218" i="48" s="1"/>
  <c r="E211" i="48"/>
  <c r="E216" i="48" s="1"/>
  <c r="E214" i="48"/>
  <c r="E212" i="48"/>
  <c r="E217" i="48" s="1"/>
  <c r="F61" i="16"/>
  <c r="E87" i="29"/>
  <c r="AJ4" i="59"/>
  <c r="BP4" i="59" s="1"/>
  <c r="CV4" i="59" s="1"/>
  <c r="CX9" i="58"/>
  <c r="F194" i="42"/>
  <c r="F198" i="42" s="1"/>
  <c r="F192" i="42"/>
  <c r="F196" i="42" s="1"/>
  <c r="F195" i="42"/>
  <c r="F193" i="42"/>
  <c r="F197" i="42" s="1"/>
  <c r="L213" i="14"/>
  <c r="L84" i="14"/>
  <c r="I67" i="14"/>
  <c r="I90" i="14"/>
  <c r="N55" i="60"/>
  <c r="N56" i="60"/>
  <c r="N57" i="60"/>
  <c r="N61" i="60"/>
  <c r="K62" i="60" s="1"/>
  <c r="N53" i="60"/>
  <c r="N54" i="60"/>
  <c r="E151" i="48"/>
  <c r="E156" i="48" s="1"/>
  <c r="E148" i="48"/>
  <c r="E153" i="48" s="1"/>
  <c r="E149" i="48"/>
  <c r="E154" i="48" s="1"/>
  <c r="E150" i="48"/>
  <c r="E155" i="48" s="1"/>
  <c r="E152" i="48"/>
  <c r="F134" i="14"/>
  <c r="F220" i="14"/>
  <c r="F221" i="14" s="1"/>
  <c r="F71" i="14"/>
  <c r="F66" i="14"/>
  <c r="F85" i="14" s="1"/>
  <c r="F70" i="14"/>
  <c r="BQ27" i="58"/>
  <c r="BQ9" i="58" s="1"/>
  <c r="AK9" i="58"/>
  <c r="AK4" i="59" s="1"/>
  <c r="BQ4" i="59" s="1"/>
  <c r="CW4" i="59" s="1"/>
  <c r="M63" i="14"/>
  <c r="M81" i="14" s="1"/>
  <c r="M64" i="14"/>
  <c r="E197" i="53"/>
  <c r="E34" i="53"/>
  <c r="F309" i="46"/>
  <c r="F34" i="46"/>
  <c r="G65" i="14"/>
  <c r="G82" i="14"/>
  <c r="G214" i="14" s="1"/>
  <c r="G224" i="14" s="1"/>
  <c r="G238" i="38"/>
  <c r="G242" i="38" s="1"/>
  <c r="G239" i="38"/>
  <c r="G243" i="38" s="1"/>
  <c r="G240" i="38"/>
  <c r="G244" i="38" s="1"/>
  <c r="H14" i="20"/>
  <c r="H17" i="20"/>
  <c r="H18" i="20"/>
  <c r="H15" i="20"/>
  <c r="H16" i="20"/>
  <c r="I5" i="20"/>
  <c r="AH88" i="14"/>
  <c r="G214" i="12"/>
  <c r="G224" i="12" s="1"/>
  <c r="L214" i="12"/>
  <c r="L224" i="12" s="1"/>
  <c r="AH23" i="12"/>
  <c r="AG88" i="12"/>
  <c r="E231" i="19"/>
  <c r="E229" i="19"/>
  <c r="E230" i="19"/>
  <c r="E232" i="19"/>
  <c r="C229" i="19"/>
  <c r="C232" i="19"/>
  <c r="C230" i="19"/>
  <c r="C231" i="19"/>
  <c r="D230" i="19"/>
  <c r="D229" i="19"/>
  <c r="D231" i="19"/>
  <c r="D232" i="19"/>
  <c r="J85" i="12"/>
  <c r="E85" i="12"/>
  <c r="D86" i="12"/>
  <c r="I85" i="12"/>
  <c r="AH86" i="12"/>
  <c r="AH87" i="12"/>
  <c r="J67" i="12"/>
  <c r="J86" i="12" s="1"/>
  <c r="J90" i="12"/>
  <c r="E67" i="12"/>
  <c r="E86" i="12" s="1"/>
  <c r="E90" i="12"/>
  <c r="J68" i="12"/>
  <c r="J89" i="12"/>
  <c r="F66" i="12"/>
  <c r="F71" i="12"/>
  <c r="F70" i="12"/>
  <c r="I67" i="12"/>
  <c r="I86" i="12" s="1"/>
  <c r="I90" i="12"/>
  <c r="E68" i="12"/>
  <c r="E89" i="12"/>
  <c r="K71" i="12"/>
  <c r="K66" i="12"/>
  <c r="K70" i="12"/>
  <c r="I68" i="12"/>
  <c r="I89" i="12"/>
  <c r="AH69" i="12"/>
  <c r="D69" i="12"/>
  <c r="M8" i="12"/>
  <c r="H8" i="12"/>
  <c r="G223" i="12"/>
  <c r="L223" i="12"/>
  <c r="F134" i="12"/>
  <c r="F168" i="12" s="1"/>
  <c r="F220" i="12"/>
  <c r="F221" i="12" s="1"/>
  <c r="K134" i="12"/>
  <c r="K168" i="12" s="1"/>
  <c r="K220" i="12"/>
  <c r="K221" i="12" s="1"/>
  <c r="D199" i="14"/>
  <c r="K167" i="12"/>
  <c r="F167" i="12"/>
  <c r="J43" i="19"/>
  <c r="E43" i="19"/>
  <c r="E43" i="20"/>
  <c r="J43" i="20"/>
  <c r="G65" i="12"/>
  <c r="L65" i="12"/>
  <c r="L84" i="12"/>
  <c r="H64" i="12"/>
  <c r="H82" i="12" s="1"/>
  <c r="H63" i="12"/>
  <c r="H81" i="12" s="1"/>
  <c r="H213" i="12" s="1"/>
  <c r="M64" i="12"/>
  <c r="M82" i="12" s="1"/>
  <c r="M63" i="12"/>
  <c r="M81" i="12" s="1"/>
  <c r="M213" i="12" s="1"/>
  <c r="G84" i="12"/>
  <c r="O53" i="60" l="1"/>
  <c r="E246" i="38"/>
  <c r="D246" i="42"/>
  <c r="D57" i="55"/>
  <c r="O55" i="60"/>
  <c r="O54" i="60"/>
  <c r="O57" i="60"/>
  <c r="E246" i="42"/>
  <c r="O56" i="60"/>
  <c r="H49" i="29"/>
  <c r="D91" i="29"/>
  <c r="E292" i="42"/>
  <c r="H19" i="38"/>
  <c r="H247" i="38" s="1"/>
  <c r="H27" i="38"/>
  <c r="E82" i="42"/>
  <c r="E86" i="42" s="1"/>
  <c r="E84" i="42"/>
  <c r="E81" i="42"/>
  <c r="E85" i="42" s="1"/>
  <c r="E83" i="42"/>
  <c r="E87" i="42" s="1"/>
  <c r="G152" i="46"/>
  <c r="H83" i="45" s="1"/>
  <c r="G147" i="48"/>
  <c r="G150" i="46"/>
  <c r="G155" i="46" s="1"/>
  <c r="G151" i="46"/>
  <c r="G156" i="46" s="1"/>
  <c r="G149" i="46"/>
  <c r="G154" i="46" s="1"/>
  <c r="G148" i="46"/>
  <c r="G153" i="46" s="1"/>
  <c r="G134" i="14"/>
  <c r="G70" i="14"/>
  <c r="G71" i="14"/>
  <c r="G220" i="14"/>
  <c r="G66" i="14"/>
  <c r="G85" i="14" s="1"/>
  <c r="E34" i="28"/>
  <c r="E149" i="28"/>
  <c r="E105" i="42"/>
  <c r="E109" i="42" s="1"/>
  <c r="E106" i="42"/>
  <c r="E110" i="42" s="1"/>
  <c r="E108" i="42"/>
  <c r="E107" i="42"/>
  <c r="E111" i="42" s="1"/>
  <c r="H19" i="46"/>
  <c r="H275" i="46" s="1"/>
  <c r="H27" i="46"/>
  <c r="H32" i="46" s="1"/>
  <c r="G19" i="54"/>
  <c r="G27" i="54"/>
  <c r="G32" i="54" s="1"/>
  <c r="D161" i="28"/>
  <c r="D184" i="28"/>
  <c r="D185" i="28" s="1"/>
  <c r="E36" i="19"/>
  <c r="E37" i="19"/>
  <c r="I14" i="48"/>
  <c r="I16" i="48"/>
  <c r="I29" i="48" s="1"/>
  <c r="I44" i="48" s="1"/>
  <c r="I15" i="48"/>
  <c r="I28" i="48" s="1"/>
  <c r="I43" i="48" s="1"/>
  <c r="I18" i="48"/>
  <c r="I31" i="48" s="1"/>
  <c r="I17" i="48"/>
  <c r="I30" i="48" s="1"/>
  <c r="I45" i="48" s="1"/>
  <c r="J5" i="48"/>
  <c r="F172" i="48"/>
  <c r="F168" i="48"/>
  <c r="F173" i="48" s="1"/>
  <c r="F170" i="48"/>
  <c r="F175" i="48" s="1"/>
  <c r="F171" i="48"/>
  <c r="F176" i="48" s="1"/>
  <c r="F169" i="48"/>
  <c r="F174" i="48" s="1"/>
  <c r="D316" i="38"/>
  <c r="D293" i="38"/>
  <c r="E80" i="55" s="1"/>
  <c r="H65" i="14"/>
  <c r="G32" i="29"/>
  <c r="G45" i="29"/>
  <c r="G211" i="42"/>
  <c r="G210" i="42"/>
  <c r="G214" i="42" s="1"/>
  <c r="G208" i="42"/>
  <c r="G212" i="42" s="1"/>
  <c r="G209" i="42"/>
  <c r="G213" i="42" s="1"/>
  <c r="F281" i="42"/>
  <c r="F34" i="42"/>
  <c r="G158" i="46"/>
  <c r="G163" i="46" s="1"/>
  <c r="G157" i="48"/>
  <c r="G160" i="46"/>
  <c r="G165" i="46" s="1"/>
  <c r="G162" i="46"/>
  <c r="H98" i="45" s="1"/>
  <c r="AN98" i="45" s="1"/>
  <c r="G161" i="46"/>
  <c r="G166" i="46" s="1"/>
  <c r="G159" i="46"/>
  <c r="G164" i="46" s="1"/>
  <c r="C300" i="38"/>
  <c r="C301" i="38"/>
  <c r="G34" i="48"/>
  <c r="G309" i="48"/>
  <c r="H240" i="42"/>
  <c r="H244" i="42" s="1"/>
  <c r="H238" i="42"/>
  <c r="H242" i="42" s="1"/>
  <c r="H239" i="42"/>
  <c r="H243" i="42" s="1"/>
  <c r="H241" i="42"/>
  <c r="G66" i="29"/>
  <c r="G65" i="29" s="1"/>
  <c r="H58" i="15"/>
  <c r="G77" i="29"/>
  <c r="H45" i="16" s="1"/>
  <c r="H64" i="15"/>
  <c r="G71" i="29"/>
  <c r="H48" i="15"/>
  <c r="H49" i="15" s="1"/>
  <c r="H136" i="15" s="1"/>
  <c r="G74" i="29"/>
  <c r="H48" i="16" s="1"/>
  <c r="H49" i="16" s="1"/>
  <c r="H136" i="16" s="1"/>
  <c r="H45" i="15"/>
  <c r="G78" i="29"/>
  <c r="H64" i="16" s="1"/>
  <c r="G68" i="29"/>
  <c r="G73" i="29"/>
  <c r="G69" i="29"/>
  <c r="G75" i="29"/>
  <c r="G70" i="29"/>
  <c r="G76" i="29"/>
  <c r="H58" i="16" s="1"/>
  <c r="G67" i="29"/>
  <c r="D217" i="28"/>
  <c r="C151" i="28"/>
  <c r="I17" i="29"/>
  <c r="I30" i="29" s="1"/>
  <c r="I18" i="29"/>
  <c r="I31" i="29" s="1"/>
  <c r="I15" i="29"/>
  <c r="I28" i="29" s="1"/>
  <c r="I46" i="29" s="1"/>
  <c r="I16" i="29"/>
  <c r="I29" i="29" s="1"/>
  <c r="I47" i="29" s="1"/>
  <c r="I14" i="29"/>
  <c r="J5" i="29"/>
  <c r="I16" i="38"/>
  <c r="I29" i="38" s="1"/>
  <c r="I44" i="38" s="1"/>
  <c r="I222" i="38" s="1"/>
  <c r="I18" i="38"/>
  <c r="I31" i="38" s="1"/>
  <c r="I46" i="38" s="1"/>
  <c r="I237" i="38" s="1"/>
  <c r="I17" i="38"/>
  <c r="I30" i="38" s="1"/>
  <c r="I45" i="38" s="1"/>
  <c r="I14" i="38"/>
  <c r="I15" i="38"/>
  <c r="I28" i="38" s="1"/>
  <c r="I43" i="38" s="1"/>
  <c r="J5" i="38"/>
  <c r="G19" i="53"/>
  <c r="G27" i="53"/>
  <c r="G32" i="53" s="1"/>
  <c r="E73" i="42"/>
  <c r="E77" i="42" s="1"/>
  <c r="E74" i="42"/>
  <c r="E78" i="42" s="1"/>
  <c r="E75" i="42"/>
  <c r="E79" i="42" s="1"/>
  <c r="E76" i="42"/>
  <c r="I16" i="42"/>
  <c r="I29" i="42" s="1"/>
  <c r="I44" i="42" s="1"/>
  <c r="I222" i="42" s="1"/>
  <c r="I14" i="42"/>
  <c r="I18" i="42"/>
  <c r="I31" i="42" s="1"/>
  <c r="I46" i="42" s="1"/>
  <c r="I237" i="42" s="1"/>
  <c r="I17" i="42"/>
  <c r="I30" i="42" s="1"/>
  <c r="I45" i="42" s="1"/>
  <c r="I15" i="42"/>
  <c r="I28" i="42" s="1"/>
  <c r="I43" i="42" s="1"/>
  <c r="J5" i="42"/>
  <c r="H19" i="48"/>
  <c r="H275" i="48" s="1"/>
  <c r="H27" i="48"/>
  <c r="H32" i="48" s="1"/>
  <c r="D293" i="42"/>
  <c r="D316" i="42"/>
  <c r="D317" i="42" s="1"/>
  <c r="G83" i="29"/>
  <c r="G82" i="29" s="1"/>
  <c r="H55" i="15"/>
  <c r="G85" i="29"/>
  <c r="H55" i="16" s="1"/>
  <c r="J68" i="14"/>
  <c r="J87" i="14" s="1"/>
  <c r="J89" i="14"/>
  <c r="H213" i="14"/>
  <c r="H84" i="14"/>
  <c r="G193" i="42"/>
  <c r="G197" i="42" s="1"/>
  <c r="G194" i="42"/>
  <c r="G198" i="42" s="1"/>
  <c r="G195" i="42"/>
  <c r="G192" i="42"/>
  <c r="G196" i="42" s="1"/>
  <c r="F47" i="42"/>
  <c r="F291" i="42" s="1"/>
  <c r="F80" i="42"/>
  <c r="F104" i="42"/>
  <c r="F96" i="42"/>
  <c r="F72" i="42"/>
  <c r="F249" i="42"/>
  <c r="F224" i="48"/>
  <c r="F221" i="48"/>
  <c r="F226" i="48" s="1"/>
  <c r="F223" i="48"/>
  <c r="F228" i="48" s="1"/>
  <c r="F220" i="48"/>
  <c r="F225" i="48" s="1"/>
  <c r="F222" i="48"/>
  <c r="F227" i="48" s="1"/>
  <c r="G177" i="48"/>
  <c r="G178" i="46"/>
  <c r="G183" i="46" s="1"/>
  <c r="G179" i="46"/>
  <c r="G184" i="46" s="1"/>
  <c r="G180" i="46"/>
  <c r="G185" i="46" s="1"/>
  <c r="G181" i="46"/>
  <c r="G186" i="46" s="1"/>
  <c r="G182" i="46"/>
  <c r="H107" i="45" s="1"/>
  <c r="AN107" i="45" s="1"/>
  <c r="AN27" i="58"/>
  <c r="H9" i="58"/>
  <c r="H4" i="59" s="1"/>
  <c r="H4" i="58"/>
  <c r="AN4" i="58" s="1"/>
  <c r="BT4" i="58" s="1"/>
  <c r="C196" i="29"/>
  <c r="C197" i="29"/>
  <c r="L134" i="14"/>
  <c r="L66" i="14"/>
  <c r="L85" i="14" s="1"/>
  <c r="L70" i="14"/>
  <c r="L71" i="14"/>
  <c r="L220" i="14"/>
  <c r="I5" i="53"/>
  <c r="H17" i="53"/>
  <c r="H30" i="53" s="1"/>
  <c r="H14" i="53"/>
  <c r="H16" i="53"/>
  <c r="H29" i="53" s="1"/>
  <c r="H44" i="53" s="1"/>
  <c r="H150" i="53" s="1"/>
  <c r="H151" i="53" s="1"/>
  <c r="I60" i="51" s="1"/>
  <c r="AO60" i="51" s="1"/>
  <c r="H18" i="53"/>
  <c r="H31" i="53" s="1"/>
  <c r="H15" i="53"/>
  <c r="H28" i="53" s="1"/>
  <c r="G32" i="19"/>
  <c r="G45" i="19"/>
  <c r="G50" i="19" s="1"/>
  <c r="H207" i="38"/>
  <c r="H191" i="38"/>
  <c r="H199" i="38"/>
  <c r="E98" i="42"/>
  <c r="E102" i="42" s="1"/>
  <c r="E99" i="42"/>
  <c r="E103" i="42" s="1"/>
  <c r="E100" i="42"/>
  <c r="E97" i="42"/>
  <c r="E101" i="42" s="1"/>
  <c r="G146" i="42"/>
  <c r="G150" i="42" s="1"/>
  <c r="G147" i="42"/>
  <c r="G151" i="42" s="1"/>
  <c r="G148" i="42"/>
  <c r="G152" i="42" s="1"/>
  <c r="G149" i="42"/>
  <c r="I18" i="46"/>
  <c r="I31" i="46" s="1"/>
  <c r="I17" i="46"/>
  <c r="I30" i="46" s="1"/>
  <c r="I45" i="46" s="1"/>
  <c r="J5" i="46"/>
  <c r="I15" i="46"/>
  <c r="I28" i="46" s="1"/>
  <c r="I43" i="46" s="1"/>
  <c r="I16" i="46"/>
  <c r="I29" i="46" s="1"/>
  <c r="I44" i="46" s="1"/>
  <c r="I246" i="46" s="1"/>
  <c r="I14" i="46"/>
  <c r="G147" i="38"/>
  <c r="G151" i="38" s="1"/>
  <c r="G149" i="38"/>
  <c r="H100" i="36" s="1"/>
  <c r="AN100" i="36" s="1"/>
  <c r="G148" i="38"/>
  <c r="G152" i="38" s="1"/>
  <c r="G146" i="38"/>
  <c r="G150" i="38" s="1"/>
  <c r="H137" i="42"/>
  <c r="H161" i="42"/>
  <c r="H153" i="42"/>
  <c r="H145" i="42"/>
  <c r="D146" i="29"/>
  <c r="D149" i="29"/>
  <c r="D75" i="42"/>
  <c r="D79" i="42" s="1"/>
  <c r="D74" i="42"/>
  <c r="D78" i="42" s="1"/>
  <c r="D76" i="42"/>
  <c r="D73" i="42"/>
  <c r="D77" i="42" s="1"/>
  <c r="G49" i="28"/>
  <c r="J67" i="14"/>
  <c r="J90" i="14"/>
  <c r="G7" i="63"/>
  <c r="J6" i="63"/>
  <c r="F21" i="63"/>
  <c r="G21" i="63" s="1"/>
  <c r="F160" i="48"/>
  <c r="F165" i="48" s="1"/>
  <c r="F162" i="48"/>
  <c r="F161" i="48"/>
  <c r="F166" i="48" s="1"/>
  <c r="F158" i="48"/>
  <c r="F163" i="48" s="1"/>
  <c r="F159" i="48"/>
  <c r="F164" i="48" s="1"/>
  <c r="F34" i="38"/>
  <c r="F281" i="38"/>
  <c r="I14" i="19"/>
  <c r="I15" i="19"/>
  <c r="I28" i="19" s="1"/>
  <c r="I46" i="19" s="1"/>
  <c r="I16" i="19"/>
  <c r="I29" i="19" s="1"/>
  <c r="I47" i="19" s="1"/>
  <c r="I17" i="19"/>
  <c r="I30" i="19" s="1"/>
  <c r="I48" i="19" s="1"/>
  <c r="I18" i="19"/>
  <c r="I31" i="19" s="1"/>
  <c r="I49" i="19" s="1"/>
  <c r="J5" i="19"/>
  <c r="BS27" i="58"/>
  <c r="BS9" i="58" s="1"/>
  <c r="AM9" i="58"/>
  <c r="AM4" i="59" s="1"/>
  <c r="BS4" i="59" s="1"/>
  <c r="CY4" i="59" s="1"/>
  <c r="G210" i="38"/>
  <c r="G214" i="38" s="1"/>
  <c r="G208" i="38"/>
  <c r="G212" i="38" s="1"/>
  <c r="G211" i="38"/>
  <c r="G209" i="38"/>
  <c r="G213" i="38" s="1"/>
  <c r="G84" i="14"/>
  <c r="F178" i="48"/>
  <c r="F183" i="48" s="1"/>
  <c r="F179" i="48"/>
  <c r="F184" i="48" s="1"/>
  <c r="F182" i="48"/>
  <c r="F181" i="48"/>
  <c r="F186" i="48" s="1"/>
  <c r="F180" i="48"/>
  <c r="F185" i="48" s="1"/>
  <c r="C313" i="42"/>
  <c r="AJ87" i="55" s="1"/>
  <c r="C312" i="42"/>
  <c r="AJ86" i="55" s="1"/>
  <c r="C311" i="42"/>
  <c r="AJ85" i="55" s="1"/>
  <c r="C310" i="42"/>
  <c r="C314" i="42"/>
  <c r="AJ88" i="55" s="1"/>
  <c r="C309" i="42"/>
  <c r="F90" i="14"/>
  <c r="F67" i="14"/>
  <c r="G309" i="46"/>
  <c r="G34" i="46"/>
  <c r="E292" i="38"/>
  <c r="E295" i="38"/>
  <c r="AS27" i="58"/>
  <c r="M9" i="58"/>
  <c r="M4" i="59" s="1"/>
  <c r="M4" i="58"/>
  <c r="AS4" i="58" s="1"/>
  <c r="BY4" i="58" s="1"/>
  <c r="E86" i="14"/>
  <c r="E69" i="14"/>
  <c r="E88" i="14" s="1"/>
  <c r="H225" i="38"/>
  <c r="H229" i="38" s="1"/>
  <c r="H224" i="38"/>
  <c r="H228" i="38" s="1"/>
  <c r="H223" i="38"/>
  <c r="H227" i="38" s="1"/>
  <c r="E295" i="42"/>
  <c r="G154" i="42"/>
  <c r="G158" i="42" s="1"/>
  <c r="G155" i="42"/>
  <c r="G159" i="42" s="1"/>
  <c r="G156" i="42"/>
  <c r="G160" i="42" s="1"/>
  <c r="G157" i="42"/>
  <c r="H248" i="46"/>
  <c r="H253" i="46" s="1"/>
  <c r="H250" i="46"/>
  <c r="H255" i="46" s="1"/>
  <c r="H246" i="48"/>
  <c r="H249" i="46"/>
  <c r="H254" i="46" s="1"/>
  <c r="H247" i="46"/>
  <c r="H252" i="46" s="1"/>
  <c r="H251" i="46"/>
  <c r="I96" i="45" s="1"/>
  <c r="G165" i="38"/>
  <c r="H109" i="36" s="1"/>
  <c r="AN109" i="36" s="1"/>
  <c r="G163" i="38"/>
  <c r="G167" i="38" s="1"/>
  <c r="G164" i="38"/>
  <c r="G168" i="38" s="1"/>
  <c r="G162" i="38"/>
  <c r="G166" i="38" s="1"/>
  <c r="D210" i="28"/>
  <c r="D211" i="28"/>
  <c r="D159" i="28"/>
  <c r="H223" i="42"/>
  <c r="H227" i="42" s="1"/>
  <c r="H226" i="42"/>
  <c r="H224" i="42"/>
  <c r="H228" i="42" s="1"/>
  <c r="H225" i="42"/>
  <c r="H229" i="42" s="1"/>
  <c r="D105" i="42"/>
  <c r="D109" i="42" s="1"/>
  <c r="D106" i="42"/>
  <c r="D110" i="42" s="1"/>
  <c r="D108" i="42"/>
  <c r="D107" i="42"/>
  <c r="D111" i="42" s="1"/>
  <c r="B5" i="63"/>
  <c r="B6" i="63"/>
  <c r="C170" i="29"/>
  <c r="C171" i="29" s="1"/>
  <c r="C104" i="29"/>
  <c r="C147" i="29"/>
  <c r="C298" i="42"/>
  <c r="C299" i="42"/>
  <c r="C296" i="42"/>
  <c r="C297" i="42"/>
  <c r="G203" i="38"/>
  <c r="H101" i="36" s="1"/>
  <c r="AN101" i="36" s="1"/>
  <c r="G200" i="38"/>
  <c r="G204" i="38" s="1"/>
  <c r="G202" i="38"/>
  <c r="G206" i="38" s="1"/>
  <c r="G201" i="38"/>
  <c r="G205" i="38" s="1"/>
  <c r="G223" i="14"/>
  <c r="G221" i="14"/>
  <c r="F89" i="14"/>
  <c r="F68" i="14"/>
  <c r="F87" i="14" s="1"/>
  <c r="E46" i="15"/>
  <c r="E67" i="15"/>
  <c r="D84" i="42"/>
  <c r="D82" i="42"/>
  <c r="D86" i="42" s="1"/>
  <c r="D81" i="42"/>
  <c r="D85" i="42" s="1"/>
  <c r="D83" i="42"/>
  <c r="D87" i="42" s="1"/>
  <c r="F47" i="38"/>
  <c r="F291" i="38" s="1"/>
  <c r="F249" i="38"/>
  <c r="F96" i="38"/>
  <c r="F104" i="38"/>
  <c r="F80" i="38"/>
  <c r="F72" i="38"/>
  <c r="F73" i="38" s="1"/>
  <c r="M65" i="14"/>
  <c r="M82" i="14"/>
  <c r="M214" i="14" s="1"/>
  <c r="M224" i="14" s="1"/>
  <c r="I86" i="14"/>
  <c r="I69" i="14"/>
  <c r="I88" i="14" s="1"/>
  <c r="F210" i="48"/>
  <c r="F215" i="48" s="1"/>
  <c r="F214" i="48"/>
  <c r="F211" i="48"/>
  <c r="F216" i="48" s="1"/>
  <c r="F212" i="48"/>
  <c r="F217" i="48" s="1"/>
  <c r="F213" i="48"/>
  <c r="F218" i="48" s="1"/>
  <c r="D37" i="19"/>
  <c r="D36" i="19"/>
  <c r="H19" i="29"/>
  <c r="H27" i="29"/>
  <c r="F50" i="29"/>
  <c r="F145" i="29" s="1"/>
  <c r="H137" i="38"/>
  <c r="H153" i="38"/>
  <c r="H161" i="38"/>
  <c r="H145" i="38"/>
  <c r="D37" i="28"/>
  <c r="D36" i="28"/>
  <c r="G162" i="42"/>
  <c r="G166" i="42" s="1"/>
  <c r="G165" i="42"/>
  <c r="G163" i="42"/>
  <c r="G167" i="42" s="1"/>
  <c r="G164" i="42"/>
  <c r="G168" i="42" s="1"/>
  <c r="H147" i="46"/>
  <c r="H167" i="46"/>
  <c r="H157" i="46"/>
  <c r="H177" i="46"/>
  <c r="D37" i="29"/>
  <c r="D36" i="29"/>
  <c r="G157" i="38"/>
  <c r="H79" i="36" s="1"/>
  <c r="AN79" i="36" s="1"/>
  <c r="G156" i="38"/>
  <c r="G160" i="38" s="1"/>
  <c r="G154" i="38"/>
  <c r="G158" i="38" s="1"/>
  <c r="G155" i="38"/>
  <c r="G159" i="38" s="1"/>
  <c r="D170" i="29"/>
  <c r="D171" i="29" s="1"/>
  <c r="D147" i="29"/>
  <c r="F151" i="48"/>
  <c r="F156" i="48" s="1"/>
  <c r="F152" i="48"/>
  <c r="F149" i="48"/>
  <c r="F154" i="48" s="1"/>
  <c r="F148" i="48"/>
  <c r="F153" i="48" s="1"/>
  <c r="F150" i="48"/>
  <c r="F155" i="48" s="1"/>
  <c r="H19" i="42"/>
  <c r="H247" i="42" s="1"/>
  <c r="H27" i="42"/>
  <c r="D98" i="42"/>
  <c r="D102" i="42" s="1"/>
  <c r="D99" i="42"/>
  <c r="D103" i="42" s="1"/>
  <c r="D100" i="42"/>
  <c r="D97" i="42"/>
  <c r="D101" i="42" s="1"/>
  <c r="K68" i="14"/>
  <c r="K87" i="14" s="1"/>
  <c r="K89" i="14"/>
  <c r="G19" i="28"/>
  <c r="G118" i="28" s="1"/>
  <c r="G27" i="28"/>
  <c r="D295" i="38"/>
  <c r="D292" i="38"/>
  <c r="F34" i="54"/>
  <c r="F197" i="54"/>
  <c r="BX27" i="58"/>
  <c r="BX9" i="58" s="1"/>
  <c r="AR9" i="58"/>
  <c r="AR4" i="59" s="1"/>
  <c r="BX4" i="59" s="1"/>
  <c r="DD4" i="59" s="1"/>
  <c r="E36" i="29"/>
  <c r="E37" i="29"/>
  <c r="G232" i="46"/>
  <c r="G237" i="46" s="1"/>
  <c r="G230" i="46"/>
  <c r="G235" i="46" s="1"/>
  <c r="G231" i="46"/>
  <c r="G236" i="46" s="1"/>
  <c r="G233" i="46"/>
  <c r="G238" i="46" s="1"/>
  <c r="G234" i="46"/>
  <c r="H108" i="45" s="1"/>
  <c r="AN108" i="45" s="1"/>
  <c r="G229" i="48"/>
  <c r="H19" i="19"/>
  <c r="H27" i="19"/>
  <c r="G194" i="38"/>
  <c r="G198" i="38" s="1"/>
  <c r="G192" i="38"/>
  <c r="G196" i="38" s="1"/>
  <c r="G193" i="38"/>
  <c r="G197" i="38" s="1"/>
  <c r="F234" i="48"/>
  <c r="F230" i="48"/>
  <c r="F235" i="48" s="1"/>
  <c r="F232" i="48"/>
  <c r="F237" i="48" s="1"/>
  <c r="F233" i="48"/>
  <c r="F238" i="48" s="1"/>
  <c r="F231" i="48"/>
  <c r="F236" i="48" s="1"/>
  <c r="I16" i="20"/>
  <c r="I15" i="20"/>
  <c r="I14" i="20"/>
  <c r="I18" i="20"/>
  <c r="I17" i="20"/>
  <c r="J5" i="20"/>
  <c r="M213" i="14"/>
  <c r="M84" i="14"/>
  <c r="M62" i="60"/>
  <c r="L62" i="60"/>
  <c r="C163" i="28"/>
  <c r="C160" i="28"/>
  <c r="C162" i="28"/>
  <c r="F34" i="29"/>
  <c r="F135" i="29"/>
  <c r="H238" i="38"/>
  <c r="H242" i="38" s="1"/>
  <c r="H239" i="38"/>
  <c r="H243" i="38" s="1"/>
  <c r="H240" i="38"/>
  <c r="H244" i="38" s="1"/>
  <c r="G139" i="42"/>
  <c r="G143" i="42" s="1"/>
  <c r="G141" i="42"/>
  <c r="G140" i="42"/>
  <c r="G144" i="42" s="1"/>
  <c r="G138" i="42"/>
  <c r="G142" i="42" s="1"/>
  <c r="H219" i="46"/>
  <c r="H209" i="46"/>
  <c r="H229" i="46"/>
  <c r="G138" i="38"/>
  <c r="G139" i="38"/>
  <c r="G140" i="38"/>
  <c r="E67" i="16"/>
  <c r="E46" i="16"/>
  <c r="E59" i="15"/>
  <c r="E135" i="15" s="1"/>
  <c r="E66" i="15"/>
  <c r="G87" i="45"/>
  <c r="AM85" i="45"/>
  <c r="G86" i="45"/>
  <c r="AM86" i="45"/>
  <c r="AM87" i="45"/>
  <c r="G85" i="45"/>
  <c r="H199" i="42"/>
  <c r="H207" i="42"/>
  <c r="H191" i="42"/>
  <c r="G42" i="42"/>
  <c r="G32" i="42"/>
  <c r="D295" i="42"/>
  <c r="D294" i="42"/>
  <c r="K67" i="14"/>
  <c r="K90" i="14"/>
  <c r="H18" i="28"/>
  <c r="H31" i="28" s="1"/>
  <c r="H17" i="28"/>
  <c r="H30" i="28" s="1"/>
  <c r="H15" i="28"/>
  <c r="H28" i="28" s="1"/>
  <c r="H46" i="28" s="1"/>
  <c r="H16" i="28"/>
  <c r="H29" i="28" s="1"/>
  <c r="H47" i="28" s="1"/>
  <c r="H14" i="28"/>
  <c r="I5" i="28"/>
  <c r="C283" i="42"/>
  <c r="C284" i="42" s="1"/>
  <c r="D250" i="42"/>
  <c r="F225" i="19"/>
  <c r="F276" i="19"/>
  <c r="F228" i="19"/>
  <c r="F224" i="19"/>
  <c r="F275" i="19"/>
  <c r="G32" i="38"/>
  <c r="G42" i="38"/>
  <c r="G211" i="46"/>
  <c r="G216" i="46" s="1"/>
  <c r="G213" i="46"/>
  <c r="G218" i="46" s="1"/>
  <c r="G214" i="46"/>
  <c r="H89" i="45" s="1"/>
  <c r="G212" i="46"/>
  <c r="G217" i="46" s="1"/>
  <c r="G210" i="46"/>
  <c r="G215" i="46" s="1"/>
  <c r="G209" i="48"/>
  <c r="C306" i="38"/>
  <c r="C318" i="38" s="1"/>
  <c r="C307" i="38"/>
  <c r="E65" i="16"/>
  <c r="E139" i="16" s="1"/>
  <c r="L223" i="14"/>
  <c r="L221" i="14"/>
  <c r="C152" i="29"/>
  <c r="C150" i="29"/>
  <c r="C151" i="29"/>
  <c r="C153" i="29"/>
  <c r="E293" i="38"/>
  <c r="F80" i="55" s="1"/>
  <c r="E316" i="38"/>
  <c r="F88" i="29"/>
  <c r="G61" i="15"/>
  <c r="F34" i="53"/>
  <c r="F197" i="53"/>
  <c r="E216" i="28"/>
  <c r="E53" i="29"/>
  <c r="E56" i="29"/>
  <c r="F44" i="15"/>
  <c r="E57" i="29"/>
  <c r="E63" i="29"/>
  <c r="F56" i="16" s="1"/>
  <c r="E60" i="29"/>
  <c r="E62" i="29"/>
  <c r="F62" i="16" s="1"/>
  <c r="F65" i="16" s="1"/>
  <c r="F139" i="16" s="1"/>
  <c r="E55" i="29"/>
  <c r="E52" i="29" s="1"/>
  <c r="E92" i="29" s="1"/>
  <c r="E54" i="29"/>
  <c r="E50" i="28"/>
  <c r="E117" i="28" s="1"/>
  <c r="E59" i="29"/>
  <c r="F44" i="16" s="1"/>
  <c r="F56" i="15"/>
  <c r="E61" i="29"/>
  <c r="F62" i="15"/>
  <c r="F65" i="15" s="1"/>
  <c r="F139" i="15" s="1"/>
  <c r="E316" i="42"/>
  <c r="E317" i="42" s="1"/>
  <c r="E293" i="42"/>
  <c r="E294" i="42" s="1"/>
  <c r="H17" i="54"/>
  <c r="H30" i="54" s="1"/>
  <c r="I5" i="54"/>
  <c r="H16" i="54"/>
  <c r="H29" i="54" s="1"/>
  <c r="H44" i="54" s="1"/>
  <c r="H150" i="54" s="1"/>
  <c r="H151" i="54" s="1"/>
  <c r="H14" i="54"/>
  <c r="H18" i="54"/>
  <c r="H31" i="54" s="1"/>
  <c r="H15" i="54"/>
  <c r="H28" i="54" s="1"/>
  <c r="F32" i="28"/>
  <c r="F45" i="28"/>
  <c r="E66" i="16"/>
  <c r="E59" i="16"/>
  <c r="E135" i="16" s="1"/>
  <c r="CV80" i="55"/>
  <c r="AJ80" i="55"/>
  <c r="F34" i="19"/>
  <c r="F214" i="19"/>
  <c r="G202" i="42"/>
  <c r="G206" i="42" s="1"/>
  <c r="G203" i="42"/>
  <c r="G201" i="42"/>
  <c r="G205" i="42" s="1"/>
  <c r="G200" i="42"/>
  <c r="G204" i="42" s="1"/>
  <c r="G224" i="46"/>
  <c r="H99" i="45" s="1"/>
  <c r="AN99" i="45" s="1"/>
  <c r="G219" i="48"/>
  <c r="G221" i="46"/>
  <c r="G226" i="46" s="1"/>
  <c r="G222" i="46"/>
  <c r="G227" i="46" s="1"/>
  <c r="G220" i="46"/>
  <c r="G225" i="46" s="1"/>
  <c r="G223" i="46"/>
  <c r="G228" i="46" s="1"/>
  <c r="G167" i="48"/>
  <c r="G171" i="46"/>
  <c r="G176" i="46" s="1"/>
  <c r="G169" i="46"/>
  <c r="G174" i="46" s="1"/>
  <c r="G172" i="46"/>
  <c r="H77" i="45" s="1"/>
  <c r="AN77" i="45" s="1"/>
  <c r="G170" i="46"/>
  <c r="G175" i="46" s="1"/>
  <c r="G168" i="46"/>
  <c r="G173" i="46" s="1"/>
  <c r="E146" i="29"/>
  <c r="E149" i="29"/>
  <c r="G250" i="48"/>
  <c r="G255" i="48" s="1"/>
  <c r="G248" i="48"/>
  <c r="G253" i="48" s="1"/>
  <c r="G247" i="48"/>
  <c r="G252" i="48" s="1"/>
  <c r="G251" i="48"/>
  <c r="G249" i="48"/>
  <c r="G254" i="48" s="1"/>
  <c r="H214" i="12"/>
  <c r="H224" i="12" s="1"/>
  <c r="M214" i="12"/>
  <c r="M224" i="12" s="1"/>
  <c r="D233" i="19"/>
  <c r="D234" i="19"/>
  <c r="D239" i="19"/>
  <c r="D251" i="19" s="1"/>
  <c r="D240" i="19"/>
  <c r="E240" i="19"/>
  <c r="E239" i="19"/>
  <c r="E251" i="19" s="1"/>
  <c r="C240" i="19"/>
  <c r="C239" i="19"/>
  <c r="C251" i="19" s="1"/>
  <c r="C234" i="19"/>
  <c r="C233" i="19"/>
  <c r="E234" i="19"/>
  <c r="E233" i="19"/>
  <c r="I87" i="12"/>
  <c r="J87" i="12"/>
  <c r="D88" i="12"/>
  <c r="E87" i="12"/>
  <c r="AH88" i="12"/>
  <c r="K85" i="12"/>
  <c r="F85" i="12"/>
  <c r="L70" i="12"/>
  <c r="L71" i="12"/>
  <c r="L66" i="12"/>
  <c r="K68" i="12"/>
  <c r="K89" i="12"/>
  <c r="F90" i="12"/>
  <c r="F67" i="12"/>
  <c r="G71" i="12"/>
  <c r="G66" i="12"/>
  <c r="G70" i="12"/>
  <c r="E69" i="12"/>
  <c r="K67" i="12"/>
  <c r="K90" i="12"/>
  <c r="I69" i="12"/>
  <c r="F68" i="12"/>
  <c r="F89" i="12"/>
  <c r="J69" i="12"/>
  <c r="G220" i="12"/>
  <c r="G221" i="12" s="1"/>
  <c r="H223" i="12"/>
  <c r="M223" i="12"/>
  <c r="L134" i="12"/>
  <c r="L168" i="12" s="1"/>
  <c r="L220" i="12"/>
  <c r="L221" i="12" s="1"/>
  <c r="G167" i="12"/>
  <c r="G134" i="12"/>
  <c r="G168" i="12" s="1"/>
  <c r="L167" i="12"/>
  <c r="H84" i="12"/>
  <c r="K43" i="19"/>
  <c r="F43" i="19"/>
  <c r="K43" i="20"/>
  <c r="F43" i="20"/>
  <c r="H65" i="12"/>
  <c r="M65" i="12"/>
  <c r="M84" i="12"/>
  <c r="I49" i="29" l="1"/>
  <c r="D294" i="38"/>
  <c r="F246" i="42"/>
  <c r="F246" i="38"/>
  <c r="M134" i="14"/>
  <c r="M220" i="14"/>
  <c r="M70" i="14"/>
  <c r="M71" i="14"/>
  <c r="M66" i="14"/>
  <c r="M85" i="14" s="1"/>
  <c r="G275" i="19"/>
  <c r="G228" i="19"/>
  <c r="G225" i="19"/>
  <c r="G276" i="19"/>
  <c r="G224" i="19"/>
  <c r="G178" i="48"/>
  <c r="G183" i="48" s="1"/>
  <c r="G181" i="48"/>
  <c r="G186" i="48" s="1"/>
  <c r="G182" i="48"/>
  <c r="G180" i="48"/>
  <c r="G185" i="48" s="1"/>
  <c r="G179" i="48"/>
  <c r="G184" i="48" s="1"/>
  <c r="I19" i="29"/>
  <c r="I27" i="29"/>
  <c r="H19" i="54"/>
  <c r="H27" i="54"/>
  <c r="H32" i="54" s="1"/>
  <c r="E91" i="29"/>
  <c r="E103" i="29"/>
  <c r="F59" i="16"/>
  <c r="F135" i="16" s="1"/>
  <c r="F66" i="16"/>
  <c r="H193" i="42"/>
  <c r="H197" i="42" s="1"/>
  <c r="H194" i="42"/>
  <c r="H198" i="42" s="1"/>
  <c r="H195" i="42"/>
  <c r="H192" i="42"/>
  <c r="H196" i="42" s="1"/>
  <c r="H233" i="46"/>
  <c r="H238" i="46" s="1"/>
  <c r="H234" i="46"/>
  <c r="I108" i="45" s="1"/>
  <c r="AO108" i="45" s="1"/>
  <c r="H231" i="46"/>
  <c r="H236" i="46" s="1"/>
  <c r="H230" i="46"/>
  <c r="H235" i="46" s="1"/>
  <c r="H229" i="48"/>
  <c r="H232" i="46"/>
  <c r="H237" i="46" s="1"/>
  <c r="H156" i="38"/>
  <c r="H160" i="38" s="1"/>
  <c r="H155" i="38"/>
  <c r="H159" i="38" s="1"/>
  <c r="H154" i="38"/>
  <c r="H158" i="38" s="1"/>
  <c r="H157" i="38"/>
  <c r="I79" i="36" s="1"/>
  <c r="AO79" i="36" s="1"/>
  <c r="F316" i="38"/>
  <c r="F293" i="38"/>
  <c r="G80" i="55" s="1"/>
  <c r="J86" i="14"/>
  <c r="J69" i="14"/>
  <c r="J88" i="14" s="1"/>
  <c r="H192" i="38"/>
  <c r="H196" i="38" s="1"/>
  <c r="H194" i="38"/>
  <c r="H198" i="38" s="1"/>
  <c r="H193" i="38"/>
  <c r="H197" i="38" s="1"/>
  <c r="I137" i="42"/>
  <c r="I145" i="42"/>
  <c r="I161" i="42"/>
  <c r="I153" i="42"/>
  <c r="I225" i="38"/>
  <c r="I229" i="38" s="1"/>
  <c r="I223" i="38"/>
  <c r="I227" i="38" s="1"/>
  <c r="I224" i="38"/>
  <c r="I228" i="38" s="1"/>
  <c r="E217" i="28"/>
  <c r="D151" i="28"/>
  <c r="C302" i="38"/>
  <c r="C303" i="38"/>
  <c r="H134" i="14"/>
  <c r="H70" i="14"/>
  <c r="H71" i="14"/>
  <c r="H66" i="14"/>
  <c r="H85" i="14" s="1"/>
  <c r="H220" i="14"/>
  <c r="H221" i="14" s="1"/>
  <c r="G150" i="48"/>
  <c r="G155" i="48" s="1"/>
  <c r="G149" i="48"/>
  <c r="G154" i="48" s="1"/>
  <c r="G152" i="48"/>
  <c r="G151" i="48"/>
  <c r="G156" i="48" s="1"/>
  <c r="G148" i="48"/>
  <c r="G153" i="48" s="1"/>
  <c r="F67" i="16"/>
  <c r="F46" i="16"/>
  <c r="G171" i="48"/>
  <c r="G176" i="48" s="1"/>
  <c r="G170" i="48"/>
  <c r="G175" i="48" s="1"/>
  <c r="G169" i="48"/>
  <c r="G174" i="48" s="1"/>
  <c r="G172" i="48"/>
  <c r="G168" i="48"/>
  <c r="G173" i="48" s="1"/>
  <c r="F59" i="15"/>
  <c r="F135" i="15" s="1"/>
  <c r="F66" i="15"/>
  <c r="F87" i="29"/>
  <c r="G61" i="16"/>
  <c r="H49" i="28"/>
  <c r="H209" i="42"/>
  <c r="H213" i="42" s="1"/>
  <c r="H208" i="42"/>
  <c r="H212" i="42" s="1"/>
  <c r="H211" i="42"/>
  <c r="H210" i="42"/>
  <c r="H214" i="42" s="1"/>
  <c r="H209" i="48"/>
  <c r="H213" i="46"/>
  <c r="H218" i="46" s="1"/>
  <c r="H211" i="46"/>
  <c r="H216" i="46" s="1"/>
  <c r="H212" i="46"/>
  <c r="H217" i="46" s="1"/>
  <c r="H214" i="46"/>
  <c r="I89" i="45" s="1"/>
  <c r="H210" i="46"/>
  <c r="H215" i="46" s="1"/>
  <c r="D309" i="38"/>
  <c r="D311" i="38"/>
  <c r="E85" i="55" s="1"/>
  <c r="D314" i="38"/>
  <c r="E88" i="55" s="1"/>
  <c r="D310" i="38"/>
  <c r="D312" i="38"/>
  <c r="E86" i="55" s="1"/>
  <c r="D313" i="38"/>
  <c r="E87" i="55" s="1"/>
  <c r="D197" i="29"/>
  <c r="D196" i="29"/>
  <c r="H139" i="38"/>
  <c r="H140" i="38"/>
  <c r="H138" i="38"/>
  <c r="F295" i="38"/>
  <c r="F292" i="38"/>
  <c r="F294" i="38"/>
  <c r="D163" i="28"/>
  <c r="D162" i="28"/>
  <c r="D160" i="28"/>
  <c r="G88" i="29"/>
  <c r="H61" i="15"/>
  <c r="H147" i="42"/>
  <c r="H151" i="42" s="1"/>
  <c r="H149" i="42"/>
  <c r="H146" i="42"/>
  <c r="H150" i="42" s="1"/>
  <c r="H148" i="42"/>
  <c r="H152" i="42" s="1"/>
  <c r="I19" i="46"/>
  <c r="I275" i="46" s="1"/>
  <c r="I27" i="46"/>
  <c r="I32" i="46" s="1"/>
  <c r="H211" i="38"/>
  <c r="H209" i="38"/>
  <c r="H213" i="38" s="1"/>
  <c r="H208" i="38"/>
  <c r="H212" i="38" s="1"/>
  <c r="H210" i="38"/>
  <c r="H214" i="38" s="1"/>
  <c r="J5" i="53"/>
  <c r="I18" i="53"/>
  <c r="I31" i="53" s="1"/>
  <c r="I17" i="53"/>
  <c r="I30" i="53" s="1"/>
  <c r="I14" i="53"/>
  <c r="I16" i="53"/>
  <c r="I29" i="53" s="1"/>
  <c r="I44" i="53" s="1"/>
  <c r="I150" i="53" s="1"/>
  <c r="I151" i="53" s="1"/>
  <c r="J60" i="51" s="1"/>
  <c r="AP60" i="51" s="1"/>
  <c r="I15" i="53"/>
  <c r="I28" i="53" s="1"/>
  <c r="F293" i="42"/>
  <c r="F316" i="42"/>
  <c r="F317" i="42" s="1"/>
  <c r="I207" i="42"/>
  <c r="I199" i="42"/>
  <c r="I191" i="42"/>
  <c r="G197" i="53"/>
  <c r="G34" i="53"/>
  <c r="J16" i="29"/>
  <c r="J29" i="29" s="1"/>
  <c r="J47" i="29" s="1"/>
  <c r="J15" i="29"/>
  <c r="J28" i="29" s="1"/>
  <c r="J46" i="29" s="1"/>
  <c r="J17" i="29"/>
  <c r="J30" i="29" s="1"/>
  <c r="J14" i="29"/>
  <c r="J18" i="29"/>
  <c r="J31" i="29" s="1"/>
  <c r="K5" i="29"/>
  <c r="F292" i="42"/>
  <c r="G67" i="14"/>
  <c r="G90" i="14"/>
  <c r="D283" i="42"/>
  <c r="D284" i="42" s="1"/>
  <c r="E250" i="42"/>
  <c r="F74" i="42"/>
  <c r="F78" i="42" s="1"/>
  <c r="F73" i="42"/>
  <c r="F77" i="42" s="1"/>
  <c r="F75" i="42"/>
  <c r="F79" i="42" s="1"/>
  <c r="F76" i="42"/>
  <c r="G68" i="14"/>
  <c r="G87" i="14" s="1"/>
  <c r="G89" i="14"/>
  <c r="E211" i="28"/>
  <c r="E210" i="28"/>
  <c r="E159" i="28"/>
  <c r="G47" i="38"/>
  <c r="G291" i="38" s="1"/>
  <c r="G80" i="38"/>
  <c r="G104" i="38"/>
  <c r="G249" i="38"/>
  <c r="G72" i="38"/>
  <c r="G73" i="38" s="1"/>
  <c r="G96" i="38"/>
  <c r="C287" i="42"/>
  <c r="C286" i="42"/>
  <c r="C290" i="42"/>
  <c r="C288" i="42"/>
  <c r="C289" i="42"/>
  <c r="C285" i="42"/>
  <c r="K86" i="14"/>
  <c r="K69" i="14"/>
  <c r="K88" i="14" s="1"/>
  <c r="E134" i="16"/>
  <c r="E140" i="16" s="1"/>
  <c r="E77" i="16"/>
  <c r="E133" i="16" a="1"/>
  <c r="E68" i="16"/>
  <c r="F37" i="29"/>
  <c r="F36" i="29"/>
  <c r="M223" i="14"/>
  <c r="M221" i="14"/>
  <c r="H32" i="19"/>
  <c r="H45" i="19"/>
  <c r="H50" i="19" s="1"/>
  <c r="D296" i="38"/>
  <c r="D298" i="38"/>
  <c r="D297" i="38"/>
  <c r="D299" i="38"/>
  <c r="CW57" i="55"/>
  <c r="AK57" i="55"/>
  <c r="H177" i="48"/>
  <c r="H181" i="46"/>
  <c r="H186" i="46" s="1"/>
  <c r="H180" i="46"/>
  <c r="H185" i="46" s="1"/>
  <c r="H178" i="46"/>
  <c r="H183" i="46" s="1"/>
  <c r="H179" i="46"/>
  <c r="H184" i="46" s="1"/>
  <c r="H182" i="46"/>
  <c r="I107" i="45" s="1"/>
  <c r="AO107" i="45" s="1"/>
  <c r="C300" i="42"/>
  <c r="C301" i="42"/>
  <c r="H250" i="48"/>
  <c r="H255" i="48" s="1"/>
  <c r="H251" i="48"/>
  <c r="H247" i="48"/>
  <c r="H252" i="48" s="1"/>
  <c r="H249" i="48"/>
  <c r="H254" i="48" s="1"/>
  <c r="H248" i="48"/>
  <c r="H253" i="48" s="1"/>
  <c r="E299" i="42"/>
  <c r="E298" i="42"/>
  <c r="E296" i="42"/>
  <c r="E297" i="42"/>
  <c r="F86" i="14"/>
  <c r="F69" i="14"/>
  <c r="F88" i="14" s="1"/>
  <c r="H164" i="42"/>
  <c r="H168" i="42" s="1"/>
  <c r="H165" i="42"/>
  <c r="H162" i="42"/>
  <c r="H166" i="42" s="1"/>
  <c r="H163" i="42"/>
  <c r="H167" i="42" s="1"/>
  <c r="I147" i="46"/>
  <c r="I177" i="46"/>
  <c r="I167" i="46"/>
  <c r="I157" i="46"/>
  <c r="G214" i="19"/>
  <c r="G34" i="19"/>
  <c r="F98" i="42"/>
  <c r="F102" i="42" s="1"/>
  <c r="F100" i="42"/>
  <c r="F97" i="42"/>
  <c r="F101" i="42" s="1"/>
  <c r="F99" i="42"/>
  <c r="F103" i="42" s="1"/>
  <c r="CW80" i="55"/>
  <c r="AK80" i="55"/>
  <c r="I19" i="42"/>
  <c r="I247" i="42" s="1"/>
  <c r="I27" i="42"/>
  <c r="J18" i="38"/>
  <c r="J31" i="38" s="1"/>
  <c r="J46" i="38" s="1"/>
  <c r="J237" i="38" s="1"/>
  <c r="K5" i="38"/>
  <c r="J15" i="38"/>
  <c r="J28" i="38" s="1"/>
  <c r="J43" i="38" s="1"/>
  <c r="J14" i="38"/>
  <c r="J17" i="38"/>
  <c r="J30" i="38" s="1"/>
  <c r="J45" i="38" s="1"/>
  <c r="J16" i="38"/>
  <c r="J29" i="38" s="1"/>
  <c r="J44" i="38" s="1"/>
  <c r="J222" i="38" s="1"/>
  <c r="E57" i="55"/>
  <c r="I240" i="42"/>
  <c r="I244" i="42" s="1"/>
  <c r="I239" i="42"/>
  <c r="I243" i="42" s="1"/>
  <c r="I241" i="42"/>
  <c r="I238" i="42"/>
  <c r="I242" i="42" s="1"/>
  <c r="F216" i="28"/>
  <c r="F54" i="29"/>
  <c r="F63" i="29"/>
  <c r="G56" i="16" s="1"/>
  <c r="G62" i="15"/>
  <c r="G65" i="15" s="1"/>
  <c r="G139" i="15" s="1"/>
  <c r="F56" i="29"/>
  <c r="F62" i="29"/>
  <c r="G62" i="16" s="1"/>
  <c r="G56" i="15"/>
  <c r="F59" i="29"/>
  <c r="G44" i="16" s="1"/>
  <c r="G44" i="15"/>
  <c r="F53" i="29"/>
  <c r="F50" i="28"/>
  <c r="F57" i="29"/>
  <c r="F60" i="29"/>
  <c r="F55" i="29"/>
  <c r="F52" i="29" s="1"/>
  <c r="F92" i="29" s="1"/>
  <c r="F61" i="29"/>
  <c r="CX80" i="55"/>
  <c r="AL80" i="55"/>
  <c r="C161" i="29"/>
  <c r="C160" i="29"/>
  <c r="C172" i="29" s="1"/>
  <c r="C173" i="29" s="1"/>
  <c r="C174" i="29" s="1"/>
  <c r="G281" i="38"/>
  <c r="G34" i="38"/>
  <c r="I18" i="28"/>
  <c r="I31" i="28" s="1"/>
  <c r="I49" i="28" s="1"/>
  <c r="I17" i="28"/>
  <c r="I30" i="28" s="1"/>
  <c r="I15" i="28"/>
  <c r="I28" i="28" s="1"/>
  <c r="I46" i="28" s="1"/>
  <c r="I14" i="28"/>
  <c r="I16" i="28"/>
  <c r="I29" i="28" s="1"/>
  <c r="I47" i="28" s="1"/>
  <c r="J5" i="28"/>
  <c r="D312" i="42"/>
  <c r="AK86" i="55" s="1"/>
  <c r="D311" i="42"/>
  <c r="AK85" i="55" s="1"/>
  <c r="D313" i="42"/>
  <c r="AK87" i="55" s="1"/>
  <c r="D310" i="42"/>
  <c r="D314" i="42"/>
  <c r="AK88" i="55" s="1"/>
  <c r="D309" i="42"/>
  <c r="C181" i="28"/>
  <c r="D64" i="55" s="1"/>
  <c r="C180" i="28"/>
  <c r="D63" i="55" s="1"/>
  <c r="C178" i="28"/>
  <c r="C182" i="28"/>
  <c r="D65" i="55" s="1"/>
  <c r="C177" i="28"/>
  <c r="C179" i="28"/>
  <c r="D62" i="55" s="1"/>
  <c r="J17" i="20"/>
  <c r="J15" i="20"/>
  <c r="J16" i="20"/>
  <c r="J14" i="20"/>
  <c r="J18" i="20"/>
  <c r="K5" i="20"/>
  <c r="E197" i="29"/>
  <c r="E196" i="29"/>
  <c r="G32" i="28"/>
  <c r="G45" i="28"/>
  <c r="H42" i="42"/>
  <c r="H32" i="42"/>
  <c r="H161" i="46"/>
  <c r="H166" i="46" s="1"/>
  <c r="H162" i="46"/>
  <c r="I98" i="45" s="1"/>
  <c r="AO98" i="45" s="1"/>
  <c r="H159" i="46"/>
  <c r="H164" i="46" s="1"/>
  <c r="H158" i="46"/>
  <c r="H163" i="46" s="1"/>
  <c r="H157" i="48"/>
  <c r="H160" i="46"/>
  <c r="H165" i="46" s="1"/>
  <c r="F146" i="29"/>
  <c r="F149" i="29"/>
  <c r="CV57" i="55"/>
  <c r="AJ57" i="55"/>
  <c r="C148" i="29"/>
  <c r="I19" i="19"/>
  <c r="I27" i="19"/>
  <c r="H138" i="42"/>
  <c r="H142" i="42" s="1"/>
  <c r="H139" i="42"/>
  <c r="H143" i="42" s="1"/>
  <c r="H141" i="42"/>
  <c r="H140" i="42"/>
  <c r="H144" i="42" s="1"/>
  <c r="J15" i="46"/>
  <c r="J28" i="46" s="1"/>
  <c r="J43" i="46" s="1"/>
  <c r="J18" i="46"/>
  <c r="J31" i="46" s="1"/>
  <c r="J14" i="46"/>
  <c r="J17" i="46"/>
  <c r="J30" i="46" s="1"/>
  <c r="J45" i="46" s="1"/>
  <c r="J16" i="46"/>
  <c r="J29" i="46" s="1"/>
  <c r="J44" i="46" s="1"/>
  <c r="J246" i="46" s="1"/>
  <c r="K5" i="46"/>
  <c r="L67" i="14"/>
  <c r="L90" i="14"/>
  <c r="BT27" i="58"/>
  <c r="BT9" i="58" s="1"/>
  <c r="AN9" i="58"/>
  <c r="AN4" i="59" s="1"/>
  <c r="BT4" i="59" s="1"/>
  <c r="CZ4" i="59" s="1"/>
  <c r="F105" i="42"/>
  <c r="F109" i="42" s="1"/>
  <c r="F108" i="42"/>
  <c r="F106" i="42"/>
  <c r="F110" i="42" s="1"/>
  <c r="F107" i="42"/>
  <c r="F111" i="42" s="1"/>
  <c r="H223" i="14"/>
  <c r="H309" i="48"/>
  <c r="H34" i="48"/>
  <c r="I224" i="42"/>
  <c r="I228" i="42" s="1"/>
  <c r="I225" i="42"/>
  <c r="I229" i="42" s="1"/>
  <c r="I223" i="42"/>
  <c r="I227" i="42" s="1"/>
  <c r="I226" i="42"/>
  <c r="I137" i="38"/>
  <c r="I153" i="38"/>
  <c r="I161" i="38"/>
  <c r="I145" i="38"/>
  <c r="G197" i="54"/>
  <c r="G34" i="54"/>
  <c r="AN86" i="45"/>
  <c r="H87" i="45"/>
  <c r="H85" i="45"/>
  <c r="AN85" i="45"/>
  <c r="AN87" i="45"/>
  <c r="H86" i="45"/>
  <c r="E150" i="29"/>
  <c r="E153" i="29"/>
  <c r="E151" i="29"/>
  <c r="E152" i="29"/>
  <c r="E312" i="42"/>
  <c r="AL86" i="55" s="1"/>
  <c r="E311" i="42"/>
  <c r="AL85" i="55" s="1"/>
  <c r="E313" i="42"/>
  <c r="AL87" i="55" s="1"/>
  <c r="E310" i="42"/>
  <c r="E314" i="42"/>
  <c r="AL88" i="55" s="1"/>
  <c r="E309" i="42"/>
  <c r="F36" i="19"/>
  <c r="F37" i="19"/>
  <c r="F149" i="28"/>
  <c r="F34" i="28"/>
  <c r="E184" i="28"/>
  <c r="E185" i="28" s="1"/>
  <c r="E161" i="28"/>
  <c r="F57" i="55" s="1"/>
  <c r="G213" i="48"/>
  <c r="G218" i="48" s="1"/>
  <c r="G210" i="48"/>
  <c r="G215" i="48" s="1"/>
  <c r="G214" i="48"/>
  <c r="G211" i="48"/>
  <c r="G216" i="48" s="1"/>
  <c r="G212" i="48"/>
  <c r="G217" i="48" s="1"/>
  <c r="H19" i="28"/>
  <c r="H118" i="28" s="1"/>
  <c r="H27" i="28"/>
  <c r="D296" i="42"/>
  <c r="D297" i="42"/>
  <c r="D298" i="42"/>
  <c r="D299" i="42"/>
  <c r="G234" i="48"/>
  <c r="G231" i="48"/>
  <c r="G236" i="48" s="1"/>
  <c r="G230" i="48"/>
  <c r="G235" i="48" s="1"/>
  <c r="G232" i="48"/>
  <c r="G237" i="48" s="1"/>
  <c r="G233" i="48"/>
  <c r="G238" i="48" s="1"/>
  <c r="H171" i="46"/>
  <c r="H176" i="46" s="1"/>
  <c r="H170" i="46"/>
  <c r="H175" i="46" s="1"/>
  <c r="H169" i="46"/>
  <c r="H174" i="46" s="1"/>
  <c r="H172" i="46"/>
  <c r="I77" i="45" s="1"/>
  <c r="AO77" i="45" s="1"/>
  <c r="H168" i="46"/>
  <c r="H173" i="46" s="1"/>
  <c r="H167" i="48"/>
  <c r="H32" i="29"/>
  <c r="H45" i="29"/>
  <c r="C137" i="29"/>
  <c r="C138" i="29" s="1"/>
  <c r="D104" i="29"/>
  <c r="BY27" i="58"/>
  <c r="BY9" i="58" s="1"/>
  <c r="AS9" i="58"/>
  <c r="AS4" i="59" s="1"/>
  <c r="BY4" i="59" s="1"/>
  <c r="DE4" i="59" s="1"/>
  <c r="I219" i="46"/>
  <c r="I209" i="46"/>
  <c r="I229" i="46"/>
  <c r="L68" i="14"/>
  <c r="L87" i="14" s="1"/>
  <c r="L89" i="14"/>
  <c r="F83" i="42"/>
  <c r="F87" i="42" s="1"/>
  <c r="F84" i="42"/>
  <c r="F82" i="42"/>
  <c r="F86" i="42" s="1"/>
  <c r="F81" i="42"/>
  <c r="F85" i="42" s="1"/>
  <c r="I19" i="38"/>
  <c r="I247" i="38" s="1"/>
  <c r="I27" i="38"/>
  <c r="E37" i="28"/>
  <c r="E36" i="28"/>
  <c r="I16" i="54"/>
  <c r="I29" i="54" s="1"/>
  <c r="I44" i="54" s="1"/>
  <c r="I150" i="54" s="1"/>
  <c r="I151" i="54" s="1"/>
  <c r="I15" i="54"/>
  <c r="I28" i="54" s="1"/>
  <c r="J5" i="54"/>
  <c r="I18" i="54"/>
  <c r="I31" i="54" s="1"/>
  <c r="I17" i="54"/>
  <c r="I30" i="54" s="1"/>
  <c r="I14" i="54"/>
  <c r="H224" i="46"/>
  <c r="I99" i="45" s="1"/>
  <c r="AO99" i="45" s="1"/>
  <c r="H219" i="48"/>
  <c r="H220" i="46"/>
  <c r="H225" i="46" s="1"/>
  <c r="H221" i="46"/>
  <c r="H226" i="46" s="1"/>
  <c r="H223" i="46"/>
  <c r="H228" i="46" s="1"/>
  <c r="H222" i="46"/>
  <c r="H227" i="46" s="1"/>
  <c r="H157" i="42"/>
  <c r="H156" i="42"/>
  <c r="H160" i="42" s="1"/>
  <c r="H154" i="42"/>
  <c r="H158" i="42" s="1"/>
  <c r="H155" i="42"/>
  <c r="H159" i="42" s="1"/>
  <c r="G221" i="48"/>
  <c r="G226" i="48" s="1"/>
  <c r="G224" i="48"/>
  <c r="G220" i="48"/>
  <c r="G225" i="48" s="1"/>
  <c r="G222" i="48"/>
  <c r="G227" i="48" s="1"/>
  <c r="G223" i="48"/>
  <c r="G228" i="48" s="1"/>
  <c r="H83" i="29"/>
  <c r="H82" i="29" s="1"/>
  <c r="I55" i="15"/>
  <c r="H85" i="29"/>
  <c r="I55" i="16" s="1"/>
  <c r="G281" i="42"/>
  <c r="G34" i="42"/>
  <c r="C166" i="28"/>
  <c r="C167" i="28"/>
  <c r="C165" i="28"/>
  <c r="C164" i="28"/>
  <c r="H147" i="48"/>
  <c r="H149" i="46"/>
  <c r="H154" i="46" s="1"/>
  <c r="H150" i="46"/>
  <c r="H155" i="46" s="1"/>
  <c r="H152" i="46"/>
  <c r="I83" i="45" s="1"/>
  <c r="H151" i="46"/>
  <c r="H156" i="46" s="1"/>
  <c r="H148" i="46"/>
  <c r="H153" i="46" s="1"/>
  <c r="H148" i="38"/>
  <c r="H152" i="38" s="1"/>
  <c r="H147" i="38"/>
  <c r="H151" i="38" s="1"/>
  <c r="H146" i="38"/>
  <c r="H150" i="38" s="1"/>
  <c r="H149" i="38"/>
  <c r="I100" i="36" s="1"/>
  <c r="AO100" i="36" s="1"/>
  <c r="E294" i="38"/>
  <c r="D148" i="29"/>
  <c r="F295" i="42"/>
  <c r="F294" i="42"/>
  <c r="I199" i="38"/>
  <c r="I207" i="38"/>
  <c r="I191" i="38"/>
  <c r="G160" i="48"/>
  <c r="G165" i="48" s="1"/>
  <c r="G162" i="48"/>
  <c r="G161" i="48"/>
  <c r="G166" i="48" s="1"/>
  <c r="G159" i="48"/>
  <c r="G164" i="48" s="1"/>
  <c r="G158" i="48"/>
  <c r="G163" i="48" s="1"/>
  <c r="G50" i="29"/>
  <c r="G145" i="29" s="1"/>
  <c r="H34" i="46"/>
  <c r="H309" i="46"/>
  <c r="H32" i="38"/>
  <c r="H42" i="38"/>
  <c r="F67" i="15"/>
  <c r="F46" i="15"/>
  <c r="H202" i="42"/>
  <c r="H206" i="42" s="1"/>
  <c r="H203" i="42"/>
  <c r="H200" i="42"/>
  <c r="H204" i="42" s="1"/>
  <c r="H201" i="42"/>
  <c r="H205" i="42" s="1"/>
  <c r="C306" i="42"/>
  <c r="C318" i="42" s="1"/>
  <c r="C319" i="42" s="1"/>
  <c r="C320" i="42" s="1"/>
  <c r="C307" i="42"/>
  <c r="I249" i="46"/>
  <c r="I254" i="46" s="1"/>
  <c r="I248" i="46"/>
  <c r="I253" i="46" s="1"/>
  <c r="I251" i="46"/>
  <c r="J96" i="45" s="1"/>
  <c r="I250" i="46"/>
  <c r="I255" i="46" s="1"/>
  <c r="I247" i="46"/>
  <c r="I252" i="46" s="1"/>
  <c r="I246" i="48"/>
  <c r="J14" i="48"/>
  <c r="J15" i="48"/>
  <c r="J28" i="48" s="1"/>
  <c r="J43" i="48" s="1"/>
  <c r="K5" i="48"/>
  <c r="J16" i="48"/>
  <c r="J29" i="48" s="1"/>
  <c r="J44" i="48" s="1"/>
  <c r="J18" i="48"/>
  <c r="J31" i="48" s="1"/>
  <c r="J17" i="48"/>
  <c r="J30" i="48" s="1"/>
  <c r="J45" i="48" s="1"/>
  <c r="C154" i="29"/>
  <c r="C175" i="29" s="1"/>
  <c r="C176" i="29" s="1"/>
  <c r="C155" i="29"/>
  <c r="F230" i="19"/>
  <c r="F232" i="19"/>
  <c r="F229" i="19"/>
  <c r="F231" i="19"/>
  <c r="H69" i="29"/>
  <c r="H66" i="29"/>
  <c r="H65" i="29" s="1"/>
  <c r="H75" i="29"/>
  <c r="I64" i="15"/>
  <c r="H74" i="29"/>
  <c r="I48" i="16" s="1"/>
  <c r="I49" i="16" s="1"/>
  <c r="I136" i="16" s="1"/>
  <c r="I48" i="15"/>
  <c r="I49" i="15" s="1"/>
  <c r="I136" i="15" s="1"/>
  <c r="H67" i="29"/>
  <c r="H68" i="29"/>
  <c r="I58" i="15"/>
  <c r="H78" i="29"/>
  <c r="I64" i="16" s="1"/>
  <c r="H77" i="29"/>
  <c r="I45" i="16" s="1"/>
  <c r="I45" i="15"/>
  <c r="H71" i="29"/>
  <c r="H76" i="29"/>
  <c r="I58" i="16" s="1"/>
  <c r="H73" i="29"/>
  <c r="H70" i="29"/>
  <c r="G47" i="42"/>
  <c r="G291" i="42" s="1"/>
  <c r="G80" i="42"/>
  <c r="G72" i="42"/>
  <c r="G96" i="42"/>
  <c r="G104" i="42"/>
  <c r="G249" i="42"/>
  <c r="H163" i="38"/>
  <c r="H167" i="38" s="1"/>
  <c r="H165" i="38"/>
  <c r="I109" i="36" s="1"/>
  <c r="AO109" i="36" s="1"/>
  <c r="H162" i="38"/>
  <c r="H166" i="38" s="1"/>
  <c r="H164" i="38"/>
  <c r="H168" i="38" s="1"/>
  <c r="E134" i="15"/>
  <c r="E140" i="15" s="1"/>
  <c r="E133" i="15" a="1"/>
  <c r="E68" i="15"/>
  <c r="E77" i="15" s="1"/>
  <c r="E297" i="38"/>
  <c r="E299" i="38"/>
  <c r="E298" i="38"/>
  <c r="E296" i="38"/>
  <c r="K5" i="19"/>
  <c r="J17" i="19"/>
  <c r="J30" i="19" s="1"/>
  <c r="J48" i="19" s="1"/>
  <c r="J18" i="19"/>
  <c r="J31" i="19" s="1"/>
  <c r="J49" i="19" s="1"/>
  <c r="J15" i="19"/>
  <c r="J28" i="19" s="1"/>
  <c r="J46" i="19" s="1"/>
  <c r="J14" i="19"/>
  <c r="J16" i="19"/>
  <c r="J29" i="19" s="1"/>
  <c r="J47" i="19" s="1"/>
  <c r="D151" i="29"/>
  <c r="D150" i="29"/>
  <c r="D153" i="29"/>
  <c r="D152" i="29"/>
  <c r="H203" i="38"/>
  <c r="I101" i="36" s="1"/>
  <c r="AO101" i="36" s="1"/>
  <c r="H202" i="38"/>
  <c r="H206" i="38" s="1"/>
  <c r="H200" i="38"/>
  <c r="H204" i="38" s="1"/>
  <c r="H201" i="38"/>
  <c r="H205" i="38" s="1"/>
  <c r="H19" i="53"/>
  <c r="H27" i="53"/>
  <c r="H32" i="53" s="1"/>
  <c r="J14" i="42"/>
  <c r="J15" i="42"/>
  <c r="J28" i="42" s="1"/>
  <c r="J43" i="42" s="1"/>
  <c r="J18" i="42"/>
  <c r="J31" i="42" s="1"/>
  <c r="J46" i="42" s="1"/>
  <c r="J237" i="42" s="1"/>
  <c r="J17" i="42"/>
  <c r="J30" i="42" s="1"/>
  <c r="J45" i="42" s="1"/>
  <c r="J16" i="42"/>
  <c r="J29" i="42" s="1"/>
  <c r="J44" i="42" s="1"/>
  <c r="J222" i="42" s="1"/>
  <c r="K5" i="42"/>
  <c r="I238" i="38"/>
  <c r="I242" i="38" s="1"/>
  <c r="I240" i="38"/>
  <c r="I244" i="38" s="1"/>
  <c r="I239" i="38"/>
  <c r="I243" i="38" s="1"/>
  <c r="BP57" i="55"/>
  <c r="C152" i="28"/>
  <c r="G135" i="29"/>
  <c r="G34" i="29"/>
  <c r="I19" i="48"/>
  <c r="I275" i="48" s="1"/>
  <c r="I27" i="48"/>
  <c r="I32" i="48" s="1"/>
  <c r="E236" i="19"/>
  <c r="E235" i="19"/>
  <c r="D236" i="19"/>
  <c r="D235" i="19"/>
  <c r="C235" i="19"/>
  <c r="C236" i="19"/>
  <c r="J88" i="12"/>
  <c r="G85" i="12"/>
  <c r="K69" i="12"/>
  <c r="K87" i="12"/>
  <c r="F87" i="12"/>
  <c r="E88" i="12"/>
  <c r="L85" i="12"/>
  <c r="F86" i="12"/>
  <c r="I88" i="12"/>
  <c r="M66" i="12"/>
  <c r="M70" i="12"/>
  <c r="M71" i="12"/>
  <c r="F69" i="12"/>
  <c r="H70" i="12"/>
  <c r="H66" i="12"/>
  <c r="H71" i="12"/>
  <c r="K86" i="12"/>
  <c r="G68" i="12"/>
  <c r="G89" i="12"/>
  <c r="L67" i="12"/>
  <c r="L90" i="12"/>
  <c r="G67" i="12"/>
  <c r="G90" i="12"/>
  <c r="L89" i="12"/>
  <c r="L68" i="12"/>
  <c r="H220" i="12"/>
  <c r="H221" i="12" s="1"/>
  <c r="M134" i="12"/>
  <c r="M168" i="12" s="1"/>
  <c r="M220" i="12"/>
  <c r="M221" i="12" s="1"/>
  <c r="M167" i="12"/>
  <c r="H167" i="12"/>
  <c r="H134" i="12"/>
  <c r="G43" i="19"/>
  <c r="L43" i="19"/>
  <c r="L43" i="20"/>
  <c r="G43" i="20"/>
  <c r="C177" i="12"/>
  <c r="C179" i="12"/>
  <c r="C189" i="12" s="1"/>
  <c r="D193" i="12" s="1"/>
  <c r="C173" i="12"/>
  <c r="C184" i="12" s="1"/>
  <c r="D198" i="12" s="1"/>
  <c r="C176" i="12"/>
  <c r="C183" i="12" s="1"/>
  <c r="C178" i="12"/>
  <c r="C175" i="12"/>
  <c r="C187" i="12" s="1"/>
  <c r="D195" i="12" s="1"/>
  <c r="C174" i="12"/>
  <c r="C185" i="12" s="1"/>
  <c r="D197" i="12" s="1"/>
  <c r="E141" i="15" l="1"/>
  <c r="E142" i="15" s="1"/>
  <c r="G65" i="16"/>
  <c r="G139" i="16" s="1"/>
  <c r="E141" i="16"/>
  <c r="E142" i="16" s="1"/>
  <c r="G246" i="42"/>
  <c r="D137" i="29"/>
  <c r="D138" i="29" s="1"/>
  <c r="E104" i="29"/>
  <c r="L5" i="29"/>
  <c r="K17" i="29"/>
  <c r="K30" i="29" s="1"/>
  <c r="K14" i="29"/>
  <c r="K16" i="29"/>
  <c r="K29" i="29" s="1"/>
  <c r="K47" i="29" s="1"/>
  <c r="K18" i="29"/>
  <c r="K31" i="29" s="1"/>
  <c r="K15" i="29"/>
  <c r="K28" i="29" s="1"/>
  <c r="K46" i="29" s="1"/>
  <c r="D177" i="28"/>
  <c r="D180" i="28"/>
  <c r="E63" i="55" s="1"/>
  <c r="D178" i="28"/>
  <c r="D182" i="28"/>
  <c r="E65" i="55" s="1"/>
  <c r="D179" i="28"/>
  <c r="E62" i="55" s="1"/>
  <c r="D181" i="28"/>
  <c r="E64" i="55" s="1"/>
  <c r="H197" i="53"/>
  <c r="H34" i="53"/>
  <c r="G99" i="42"/>
  <c r="G103" i="42" s="1"/>
  <c r="G100" i="42"/>
  <c r="G98" i="42"/>
  <c r="G102" i="42" s="1"/>
  <c r="G97" i="42"/>
  <c r="G101" i="42" s="1"/>
  <c r="C156" i="29"/>
  <c r="C157" i="29"/>
  <c r="C178" i="29" s="1"/>
  <c r="I251" i="48"/>
  <c r="I250" i="48"/>
  <c r="I255" i="48" s="1"/>
  <c r="I247" i="48"/>
  <c r="I252" i="48" s="1"/>
  <c r="I249" i="48"/>
  <c r="I254" i="48" s="1"/>
  <c r="I248" i="48"/>
  <c r="I253" i="48" s="1"/>
  <c r="C177" i="29"/>
  <c r="G292" i="42"/>
  <c r="F37" i="28"/>
  <c r="F36" i="28"/>
  <c r="J229" i="46"/>
  <c r="J219" i="46"/>
  <c r="J209" i="46"/>
  <c r="I32" i="19"/>
  <c r="I45" i="19"/>
  <c r="I50" i="19" s="1"/>
  <c r="H281" i="42"/>
  <c r="H34" i="42"/>
  <c r="J17" i="28"/>
  <c r="J30" i="28" s="1"/>
  <c r="J16" i="28"/>
  <c r="J29" i="28" s="1"/>
  <c r="J47" i="28" s="1"/>
  <c r="J14" i="28"/>
  <c r="J15" i="28"/>
  <c r="J28" i="28" s="1"/>
  <c r="J46" i="28" s="1"/>
  <c r="J18" i="28"/>
  <c r="J31" i="28" s="1"/>
  <c r="K5" i="28"/>
  <c r="I42" i="42"/>
  <c r="I32" i="42"/>
  <c r="G37" i="19"/>
  <c r="G36" i="19"/>
  <c r="G316" i="38"/>
  <c r="G293" i="38"/>
  <c r="H80" i="55" s="1"/>
  <c r="G86" i="14"/>
  <c r="G69" i="14"/>
  <c r="G88" i="14" s="1"/>
  <c r="G87" i="29"/>
  <c r="H61" i="16"/>
  <c r="BQ57" i="55"/>
  <c r="D152" i="28"/>
  <c r="I140" i="42"/>
  <c r="I144" i="42" s="1"/>
  <c r="I139" i="42"/>
  <c r="I143" i="42" s="1"/>
  <c r="I141" i="42"/>
  <c r="I138" i="42"/>
  <c r="I142" i="42" s="1"/>
  <c r="G232" i="19"/>
  <c r="G231" i="19"/>
  <c r="G229" i="19"/>
  <c r="G230" i="19"/>
  <c r="H224" i="48"/>
  <c r="H221" i="48"/>
  <c r="H226" i="48" s="1"/>
  <c r="H220" i="48"/>
  <c r="H225" i="48" s="1"/>
  <c r="H223" i="48"/>
  <c r="H228" i="48" s="1"/>
  <c r="H222" i="48"/>
  <c r="H227" i="48" s="1"/>
  <c r="I146" i="38"/>
  <c r="I150" i="38" s="1"/>
  <c r="I148" i="38"/>
  <c r="I152" i="38" s="1"/>
  <c r="I147" i="38"/>
  <c r="I151" i="38" s="1"/>
  <c r="I149" i="38"/>
  <c r="J100" i="36" s="1"/>
  <c r="AP100" i="36" s="1"/>
  <c r="I193" i="42"/>
  <c r="I197" i="42" s="1"/>
  <c r="I194" i="42"/>
  <c r="I198" i="42" s="1"/>
  <c r="I195" i="42"/>
  <c r="I192" i="42"/>
  <c r="I196" i="42" s="1"/>
  <c r="G36" i="29"/>
  <c r="G37" i="29"/>
  <c r="K15" i="42"/>
  <c r="K28" i="42" s="1"/>
  <c r="K43" i="42" s="1"/>
  <c r="K16" i="42"/>
  <c r="K29" i="42" s="1"/>
  <c r="K44" i="42" s="1"/>
  <c r="K222" i="42" s="1"/>
  <c r="L5" i="42"/>
  <c r="K18" i="42"/>
  <c r="K31" i="42" s="1"/>
  <c r="K46" i="42" s="1"/>
  <c r="K237" i="42" s="1"/>
  <c r="K14" i="42"/>
  <c r="K17" i="42"/>
  <c r="K30" i="42" s="1"/>
  <c r="K45" i="42" s="1"/>
  <c r="G73" i="42"/>
  <c r="G77" i="42" s="1"/>
  <c r="G75" i="42"/>
  <c r="G79" i="42" s="1"/>
  <c r="G76" i="42"/>
  <c r="G74" i="42"/>
  <c r="G78" i="42" s="1"/>
  <c r="I192" i="38"/>
  <c r="I196" i="38" s="1"/>
  <c r="I194" i="38"/>
  <c r="I198" i="38" s="1"/>
  <c r="I193" i="38"/>
  <c r="I197" i="38" s="1"/>
  <c r="D306" i="42"/>
  <c r="D307" i="42"/>
  <c r="J19" i="46"/>
  <c r="J275" i="46" s="1"/>
  <c r="J27" i="46"/>
  <c r="J32" i="46" s="1"/>
  <c r="H162" i="48"/>
  <c r="H159" i="48"/>
  <c r="H164" i="48" s="1"/>
  <c r="H158" i="48"/>
  <c r="H163" i="48" s="1"/>
  <c r="H161" i="48"/>
  <c r="H166" i="48" s="1"/>
  <c r="H160" i="48"/>
  <c r="H165" i="48" s="1"/>
  <c r="H47" i="42"/>
  <c r="H291" i="42" s="1"/>
  <c r="H104" i="42"/>
  <c r="H72" i="42"/>
  <c r="H96" i="42"/>
  <c r="H80" i="42"/>
  <c r="H249" i="42"/>
  <c r="I85" i="29"/>
  <c r="J55" i="16" s="1"/>
  <c r="J55" i="15"/>
  <c r="I83" i="29"/>
  <c r="I82" i="29" s="1"/>
  <c r="F210" i="28"/>
  <c r="F159" i="28"/>
  <c r="F211" i="28"/>
  <c r="G59" i="16"/>
  <c r="G135" i="16" s="1"/>
  <c r="G66" i="16"/>
  <c r="D300" i="38"/>
  <c r="D301" i="38"/>
  <c r="I19" i="53"/>
  <c r="I27" i="53"/>
  <c r="I32" i="53" s="1"/>
  <c r="I309" i="46"/>
  <c r="I34" i="46"/>
  <c r="F134" i="16"/>
  <c r="F140" i="16" s="1"/>
  <c r="F68" i="16"/>
  <c r="F133" i="16" a="1"/>
  <c r="F141" i="16" s="1"/>
  <c r="F142" i="16" s="1"/>
  <c r="F77" i="16"/>
  <c r="F217" i="28"/>
  <c r="E151" i="28"/>
  <c r="J225" i="42"/>
  <c r="J229" i="42" s="1"/>
  <c r="J226" i="42"/>
  <c r="J223" i="42"/>
  <c r="J227" i="42" s="1"/>
  <c r="J224" i="42"/>
  <c r="J228" i="42" s="1"/>
  <c r="H150" i="48"/>
  <c r="H155" i="48" s="1"/>
  <c r="H152" i="48"/>
  <c r="H148" i="48"/>
  <c r="H153" i="48" s="1"/>
  <c r="H149" i="48"/>
  <c r="H154" i="48" s="1"/>
  <c r="H151" i="48"/>
  <c r="H156" i="48" s="1"/>
  <c r="D301" i="42"/>
  <c r="D300" i="42"/>
  <c r="C167" i="29"/>
  <c r="AJ64" i="55" s="1"/>
  <c r="C164" i="29"/>
  <c r="C165" i="29"/>
  <c r="AJ62" i="55" s="1"/>
  <c r="C166" i="29"/>
  <c r="AJ63" i="55" s="1"/>
  <c r="C163" i="29"/>
  <c r="C168" i="29"/>
  <c r="AJ65" i="55" s="1"/>
  <c r="J223" i="38"/>
  <c r="J227" i="38" s="1"/>
  <c r="J225" i="38"/>
  <c r="J229" i="38" s="1"/>
  <c r="J224" i="38"/>
  <c r="J228" i="38" s="1"/>
  <c r="E170" i="29"/>
  <c r="E171" i="29" s="1"/>
  <c r="E147" i="29"/>
  <c r="J191" i="42"/>
  <c r="J207" i="42"/>
  <c r="J199" i="42"/>
  <c r="J19" i="19"/>
  <c r="J27" i="19"/>
  <c r="E306" i="38"/>
  <c r="E318" i="38" s="1"/>
  <c r="E307" i="38"/>
  <c r="G295" i="42"/>
  <c r="G149" i="29"/>
  <c r="G146" i="29"/>
  <c r="I202" i="38"/>
  <c r="I206" i="38" s="1"/>
  <c r="I201" i="38"/>
  <c r="I205" i="38" s="1"/>
  <c r="I203" i="38"/>
  <c r="J101" i="36" s="1"/>
  <c r="AP101" i="36" s="1"/>
  <c r="I200" i="38"/>
  <c r="I204" i="38" s="1"/>
  <c r="C140" i="29"/>
  <c r="C144" i="29"/>
  <c r="C142" i="29"/>
  <c r="C141" i="29"/>
  <c r="C139" i="29"/>
  <c r="C143" i="29"/>
  <c r="I165" i="38"/>
  <c r="J109" i="36" s="1"/>
  <c r="AP109" i="36" s="1"/>
  <c r="I164" i="38"/>
  <c r="I168" i="38" s="1"/>
  <c r="I162" i="38"/>
  <c r="I166" i="38" s="1"/>
  <c r="I163" i="38"/>
  <c r="I167" i="38" s="1"/>
  <c r="J147" i="46"/>
  <c r="J177" i="46"/>
  <c r="J167" i="46"/>
  <c r="J157" i="46"/>
  <c r="G149" i="28"/>
  <c r="G34" i="28"/>
  <c r="J48" i="15"/>
  <c r="J49" i="15" s="1"/>
  <c r="J136" i="15" s="1"/>
  <c r="I70" i="29"/>
  <c r="I78" i="29"/>
  <c r="J64" i="16" s="1"/>
  <c r="I73" i="29"/>
  <c r="I69" i="29"/>
  <c r="I77" i="29"/>
  <c r="J45" i="16" s="1"/>
  <c r="I71" i="29"/>
  <c r="J58" i="15"/>
  <c r="I68" i="29"/>
  <c r="I75" i="29"/>
  <c r="J45" i="15"/>
  <c r="I66" i="29"/>
  <c r="I65" i="29" s="1"/>
  <c r="I74" i="29"/>
  <c r="J48" i="16" s="1"/>
  <c r="J49" i="16" s="1"/>
  <c r="J136" i="16" s="1"/>
  <c r="J64" i="15"/>
  <c r="I67" i="29"/>
  <c r="I76" i="29"/>
  <c r="J58" i="16" s="1"/>
  <c r="G67" i="15"/>
  <c r="G46" i="15"/>
  <c r="F184" i="28"/>
  <c r="F185" i="28" s="1"/>
  <c r="F161" i="28"/>
  <c r="G57" i="55" s="1"/>
  <c r="J191" i="38"/>
  <c r="J199" i="38"/>
  <c r="J207" i="38"/>
  <c r="I168" i="46"/>
  <c r="I173" i="46" s="1"/>
  <c r="I172" i="46"/>
  <c r="J77" i="45" s="1"/>
  <c r="AP77" i="45" s="1"/>
  <c r="I167" i="48"/>
  <c r="I171" i="46"/>
  <c r="I176" i="46" s="1"/>
  <c r="I170" i="46"/>
  <c r="I175" i="46" s="1"/>
  <c r="I169" i="46"/>
  <c r="I174" i="46" s="1"/>
  <c r="H275" i="19"/>
  <c r="H225" i="19"/>
  <c r="H228" i="19"/>
  <c r="H276" i="19"/>
  <c r="H224" i="19"/>
  <c r="G295" i="38"/>
  <c r="G292" i="38"/>
  <c r="G294" i="38"/>
  <c r="J49" i="29"/>
  <c r="I201" i="42"/>
  <c r="I205" i="42" s="1"/>
  <c r="I200" i="42"/>
  <c r="I204" i="42" s="1"/>
  <c r="I203" i="42"/>
  <c r="I202" i="42"/>
  <c r="I206" i="42" s="1"/>
  <c r="D166" i="28"/>
  <c r="D165" i="28"/>
  <c r="D164" i="28"/>
  <c r="D167" i="28"/>
  <c r="H90" i="14"/>
  <c r="H67" i="14"/>
  <c r="E300" i="38"/>
  <c r="E301" i="38"/>
  <c r="G216" i="28"/>
  <c r="G55" i="29"/>
  <c r="G52" i="29" s="1"/>
  <c r="G92" i="29" s="1"/>
  <c r="G57" i="29"/>
  <c r="H44" i="15"/>
  <c r="G56" i="29"/>
  <c r="G59" i="29"/>
  <c r="H44" i="16" s="1"/>
  <c r="G61" i="29"/>
  <c r="H56" i="15"/>
  <c r="G54" i="29"/>
  <c r="G63" i="29"/>
  <c r="H56" i="16" s="1"/>
  <c r="G50" i="28"/>
  <c r="G117" i="28" s="1"/>
  <c r="G60" i="29"/>
  <c r="G53" i="29"/>
  <c r="H62" i="15"/>
  <c r="G62" i="29"/>
  <c r="H62" i="16" s="1"/>
  <c r="H65" i="16" s="1"/>
  <c r="H139" i="16" s="1"/>
  <c r="C154" i="28"/>
  <c r="BP61" i="55" s="1"/>
  <c r="C155" i="28"/>
  <c r="BP62" i="55" s="1"/>
  <c r="C153" i="28"/>
  <c r="C158" i="28"/>
  <c r="BP65" i="55" s="1"/>
  <c r="C156" i="28"/>
  <c r="BP63" i="55" s="1"/>
  <c r="C157" i="28"/>
  <c r="BP64" i="55" s="1"/>
  <c r="J241" i="42"/>
  <c r="J240" i="42"/>
  <c r="J244" i="42" s="1"/>
  <c r="J239" i="42"/>
  <c r="J243" i="42" s="1"/>
  <c r="J238" i="42"/>
  <c r="J242" i="42" s="1"/>
  <c r="F233" i="19"/>
  <c r="F234" i="19"/>
  <c r="F68" i="15"/>
  <c r="F77" i="15" s="1"/>
  <c r="F134" i="15"/>
  <c r="F140" i="15" s="1"/>
  <c r="F133" i="15" a="1"/>
  <c r="F141" i="15" s="1"/>
  <c r="F142" i="15" s="1"/>
  <c r="F311" i="42"/>
  <c r="AM85" i="55" s="1"/>
  <c r="F314" i="42"/>
  <c r="AM88" i="55" s="1"/>
  <c r="F312" i="42"/>
  <c r="AM86" i="55" s="1"/>
  <c r="F310" i="42"/>
  <c r="F309" i="42"/>
  <c r="F313" i="42"/>
  <c r="AM87" i="55" s="1"/>
  <c r="I19" i="54"/>
  <c r="I27" i="54"/>
  <c r="I32" i="54" s="1"/>
  <c r="I42" i="38"/>
  <c r="I32" i="38"/>
  <c r="I229" i="48"/>
  <c r="I232" i="46"/>
  <c r="I237" i="46" s="1"/>
  <c r="I231" i="46"/>
  <c r="I236" i="46" s="1"/>
  <c r="I233" i="46"/>
  <c r="I238" i="46" s="1"/>
  <c r="I230" i="46"/>
  <c r="I235" i="46" s="1"/>
  <c r="I234" i="46"/>
  <c r="J108" i="45" s="1"/>
  <c r="AP108" i="45" s="1"/>
  <c r="H50" i="29"/>
  <c r="H145" i="29" s="1"/>
  <c r="I157" i="38"/>
  <c r="J79" i="36" s="1"/>
  <c r="AP79" i="36" s="1"/>
  <c r="I155" i="38"/>
  <c r="I159" i="38" s="1"/>
  <c r="I154" i="38"/>
  <c r="I158" i="38" s="1"/>
  <c r="I156" i="38"/>
  <c r="I160" i="38" s="1"/>
  <c r="F117" i="28"/>
  <c r="G67" i="16"/>
  <c r="G46" i="16"/>
  <c r="J19" i="38"/>
  <c r="J247" i="38" s="1"/>
  <c r="J27" i="38"/>
  <c r="I177" i="48"/>
  <c r="I180" i="46"/>
  <c r="I185" i="46" s="1"/>
  <c r="I181" i="46"/>
  <c r="I186" i="46" s="1"/>
  <c r="I182" i="46"/>
  <c r="J107" i="45" s="1"/>
  <c r="AP107" i="45" s="1"/>
  <c r="I179" i="46"/>
  <c r="I184" i="46" s="1"/>
  <c r="I178" i="46"/>
  <c r="I183" i="46" s="1"/>
  <c r="H178" i="48"/>
  <c r="H183" i="48" s="1"/>
  <c r="H180" i="48"/>
  <c r="H185" i="48" s="1"/>
  <c r="H179" i="48"/>
  <c r="H184" i="48" s="1"/>
  <c r="H182" i="48"/>
  <c r="H181" i="48"/>
  <c r="H186" i="48" s="1"/>
  <c r="H34" i="19"/>
  <c r="H214" i="19"/>
  <c r="E163" i="28"/>
  <c r="E160" i="28"/>
  <c r="E162" i="28"/>
  <c r="J19" i="29"/>
  <c r="J27" i="29"/>
  <c r="I209" i="42"/>
  <c r="I213" i="42" s="1"/>
  <c r="I208" i="42"/>
  <c r="I212" i="42" s="1"/>
  <c r="I210" i="42"/>
  <c r="I214" i="42" s="1"/>
  <c r="I211" i="42"/>
  <c r="J16" i="53"/>
  <c r="J29" i="53" s="1"/>
  <c r="J44" i="53" s="1"/>
  <c r="J150" i="53" s="1"/>
  <c r="J151" i="53" s="1"/>
  <c r="K60" i="51" s="1"/>
  <c r="AQ60" i="51" s="1"/>
  <c r="J14" i="53"/>
  <c r="J18" i="53"/>
  <c r="J31" i="53" s="1"/>
  <c r="J15" i="53"/>
  <c r="J28" i="53" s="1"/>
  <c r="K5" i="53"/>
  <c r="J17" i="53"/>
  <c r="J30" i="53" s="1"/>
  <c r="F311" i="38"/>
  <c r="G85" i="55" s="1"/>
  <c r="F313" i="38"/>
  <c r="G87" i="55" s="1"/>
  <c r="F312" i="38"/>
  <c r="G86" i="55" s="1"/>
  <c r="F309" i="38"/>
  <c r="F310" i="38"/>
  <c r="F314" i="38"/>
  <c r="G88" i="55" s="1"/>
  <c r="H88" i="29"/>
  <c r="I61" i="15"/>
  <c r="H68" i="14"/>
  <c r="H87" i="14" s="1"/>
  <c r="H89" i="14"/>
  <c r="H34" i="54"/>
  <c r="H197" i="54"/>
  <c r="M67" i="14"/>
  <c r="M90" i="14"/>
  <c r="I209" i="38"/>
  <c r="I213" i="38" s="1"/>
  <c r="I210" i="38"/>
  <c r="I214" i="38" s="1"/>
  <c r="I211" i="38"/>
  <c r="I208" i="38"/>
  <c r="I212" i="38" s="1"/>
  <c r="J137" i="42"/>
  <c r="J153" i="42"/>
  <c r="J161" i="42"/>
  <c r="J145" i="42"/>
  <c r="G293" i="42"/>
  <c r="G294" i="42" s="1"/>
  <c r="G316" i="42"/>
  <c r="G317" i="42" s="1"/>
  <c r="K16" i="48"/>
  <c r="K29" i="48" s="1"/>
  <c r="K44" i="48" s="1"/>
  <c r="K14" i="48"/>
  <c r="K15" i="48"/>
  <c r="K28" i="48" s="1"/>
  <c r="K43" i="48" s="1"/>
  <c r="K18" i="48"/>
  <c r="K31" i="48" s="1"/>
  <c r="L5" i="48"/>
  <c r="K17" i="48"/>
  <c r="K30" i="48" s="1"/>
  <c r="K45" i="48" s="1"/>
  <c r="F298" i="42"/>
  <c r="F299" i="42"/>
  <c r="F296" i="42"/>
  <c r="F297" i="42"/>
  <c r="I86" i="45"/>
  <c r="AO85" i="45"/>
  <c r="AO87" i="45"/>
  <c r="AO86" i="45"/>
  <c r="I87" i="45"/>
  <c r="I85" i="45"/>
  <c r="C174" i="28"/>
  <c r="C186" i="28" s="1"/>
  <c r="C187" i="28" s="1"/>
  <c r="C188" i="28" s="1"/>
  <c r="C175" i="28"/>
  <c r="I211" i="46"/>
  <c r="I216" i="46" s="1"/>
  <c r="I210" i="46"/>
  <c r="I215" i="46" s="1"/>
  <c r="I209" i="48"/>
  <c r="I214" i="46"/>
  <c r="J89" i="45" s="1"/>
  <c r="I213" i="46"/>
  <c r="I218" i="46" s="1"/>
  <c r="I212" i="46"/>
  <c r="I217" i="46" s="1"/>
  <c r="H135" i="29"/>
  <c r="H34" i="29"/>
  <c r="H32" i="28"/>
  <c r="H45" i="28"/>
  <c r="E155" i="29"/>
  <c r="E154" i="29"/>
  <c r="I139" i="38"/>
  <c r="I140" i="38"/>
  <c r="I138" i="38"/>
  <c r="L86" i="14"/>
  <c r="L69" i="14"/>
  <c r="L88" i="14" s="1"/>
  <c r="J61" i="15"/>
  <c r="I88" i="29"/>
  <c r="F91" i="29"/>
  <c r="F103" i="29"/>
  <c r="G59" i="15"/>
  <c r="G135" i="15" s="1"/>
  <c r="G66" i="15"/>
  <c r="J137" i="38"/>
  <c r="J161" i="38"/>
  <c r="J145" i="38"/>
  <c r="J153" i="38"/>
  <c r="I147" i="48"/>
  <c r="I151" i="46"/>
  <c r="I156" i="46" s="1"/>
  <c r="I150" i="46"/>
  <c r="I155" i="46" s="1"/>
  <c r="I149" i="46"/>
  <c r="I154" i="46" s="1"/>
  <c r="I152" i="46"/>
  <c r="J83" i="45" s="1"/>
  <c r="I148" i="46"/>
  <c r="I153" i="46" s="1"/>
  <c r="C302" i="42"/>
  <c r="C303" i="42"/>
  <c r="F250" i="42"/>
  <c r="E283" i="42"/>
  <c r="E284" i="42" s="1"/>
  <c r="I156" i="42"/>
  <c r="I160" i="42" s="1"/>
  <c r="I155" i="42"/>
  <c r="I159" i="42" s="1"/>
  <c r="I157" i="42"/>
  <c r="I154" i="42"/>
  <c r="I158" i="42" s="1"/>
  <c r="M68" i="14"/>
  <c r="M87" i="14" s="1"/>
  <c r="M89" i="14"/>
  <c r="I162" i="46"/>
  <c r="J98" i="45" s="1"/>
  <c r="AP98" i="45" s="1"/>
  <c r="I157" i="48"/>
  <c r="I161" i="46"/>
  <c r="I166" i="46" s="1"/>
  <c r="I160" i="46"/>
  <c r="I165" i="46" s="1"/>
  <c r="I159" i="46"/>
  <c r="I164" i="46" s="1"/>
  <c r="I158" i="46"/>
  <c r="I163" i="46" s="1"/>
  <c r="I309" i="48"/>
  <c r="I34" i="48"/>
  <c r="J19" i="42"/>
  <c r="J247" i="42" s="1"/>
  <c r="J27" i="42"/>
  <c r="D154" i="29"/>
  <c r="D155" i="29"/>
  <c r="F240" i="19"/>
  <c r="F239" i="19"/>
  <c r="F251" i="19" s="1"/>
  <c r="H47" i="38"/>
  <c r="H291" i="38" s="1"/>
  <c r="H104" i="38"/>
  <c r="H96" i="38"/>
  <c r="H72" i="38"/>
  <c r="H73" i="38" s="1"/>
  <c r="H80" i="38"/>
  <c r="H249" i="38"/>
  <c r="D168" i="29"/>
  <c r="AK65" i="55" s="1"/>
  <c r="D167" i="29"/>
  <c r="AK64" i="55" s="1"/>
  <c r="D165" i="29"/>
  <c r="AK62" i="55" s="1"/>
  <c r="D164" i="29"/>
  <c r="D163" i="29"/>
  <c r="D166" i="29"/>
  <c r="AK63" i="55" s="1"/>
  <c r="C168" i="28"/>
  <c r="C169" i="28"/>
  <c r="I219" i="48"/>
  <c r="I223" i="46"/>
  <c r="I228" i="46" s="1"/>
  <c r="I220" i="46"/>
  <c r="I225" i="46" s="1"/>
  <c r="I222" i="46"/>
  <c r="I227" i="46" s="1"/>
  <c r="I221" i="46"/>
  <c r="I226" i="46" s="1"/>
  <c r="I224" i="46"/>
  <c r="J99" i="45" s="1"/>
  <c r="AP99" i="45" s="1"/>
  <c r="H168" i="48"/>
  <c r="H173" i="48" s="1"/>
  <c r="H170" i="48"/>
  <c r="H175" i="48" s="1"/>
  <c r="H172" i="48"/>
  <c r="H171" i="48"/>
  <c r="H176" i="48" s="1"/>
  <c r="H169" i="48"/>
  <c r="H174" i="48" s="1"/>
  <c r="K17" i="46"/>
  <c r="K30" i="46" s="1"/>
  <c r="K45" i="46" s="1"/>
  <c r="K18" i="46"/>
  <c r="K31" i="46" s="1"/>
  <c r="L5" i="46"/>
  <c r="K14" i="46"/>
  <c r="K16" i="46"/>
  <c r="K29" i="46" s="1"/>
  <c r="K44" i="46" s="1"/>
  <c r="K246" i="46" s="1"/>
  <c r="K15" i="46"/>
  <c r="K28" i="46" s="1"/>
  <c r="K43" i="46" s="1"/>
  <c r="F152" i="29"/>
  <c r="F150" i="29"/>
  <c r="F153" i="29"/>
  <c r="F151" i="29"/>
  <c r="L5" i="20"/>
  <c r="K16" i="20"/>
  <c r="K15" i="20"/>
  <c r="K14" i="20"/>
  <c r="K17" i="20"/>
  <c r="K18" i="20"/>
  <c r="K14" i="38"/>
  <c r="L5" i="38"/>
  <c r="K17" i="38"/>
  <c r="K30" i="38" s="1"/>
  <c r="K45" i="38" s="1"/>
  <c r="K15" i="38"/>
  <c r="K28" i="38" s="1"/>
  <c r="K43" i="38" s="1"/>
  <c r="K16" i="38"/>
  <c r="K29" i="38" s="1"/>
  <c r="K44" i="38" s="1"/>
  <c r="K222" i="38" s="1"/>
  <c r="K18" i="38"/>
  <c r="K31" i="38" s="1"/>
  <c r="K46" i="38" s="1"/>
  <c r="K237" i="38" s="1"/>
  <c r="E301" i="42"/>
  <c r="E300" i="42"/>
  <c r="C321" i="42"/>
  <c r="C322" i="42" s="1"/>
  <c r="C324" i="42" s="1"/>
  <c r="G246" i="38"/>
  <c r="D290" i="42"/>
  <c r="D288" i="42"/>
  <c r="D285" i="42"/>
  <c r="D287" i="42"/>
  <c r="D289" i="42"/>
  <c r="D286" i="42"/>
  <c r="CY80" i="55"/>
  <c r="AM80" i="55"/>
  <c r="F299" i="38"/>
  <c r="F298" i="38"/>
  <c r="F297" i="38"/>
  <c r="F296" i="38"/>
  <c r="I162" i="42"/>
  <c r="I166" i="42" s="1"/>
  <c r="I163" i="42"/>
  <c r="I167" i="42" s="1"/>
  <c r="I165" i="42"/>
  <c r="I164" i="42"/>
  <c r="I168" i="42" s="1"/>
  <c r="H231" i="48"/>
  <c r="H236" i="48" s="1"/>
  <c r="H234" i="48"/>
  <c r="H233" i="48"/>
  <c r="H238" i="48" s="1"/>
  <c r="H232" i="48"/>
  <c r="H237" i="48" s="1"/>
  <c r="H230" i="48"/>
  <c r="H235" i="48" s="1"/>
  <c r="I32" i="29"/>
  <c r="I45" i="29"/>
  <c r="G84" i="42"/>
  <c r="G81" i="42"/>
  <c r="G85" i="42" s="1"/>
  <c r="G83" i="42"/>
  <c r="G87" i="42" s="1"/>
  <c r="G82" i="42"/>
  <c r="G86" i="42" s="1"/>
  <c r="I19" i="28"/>
  <c r="I118" i="28" s="1"/>
  <c r="I27" i="28"/>
  <c r="D161" i="29"/>
  <c r="D160" i="29"/>
  <c r="L5" i="19"/>
  <c r="K14" i="19"/>
  <c r="K15" i="19"/>
  <c r="K28" i="19" s="1"/>
  <c r="K46" i="19" s="1"/>
  <c r="K16" i="19"/>
  <c r="K29" i="19" s="1"/>
  <c r="K47" i="19" s="1"/>
  <c r="K18" i="19"/>
  <c r="K31" i="19" s="1"/>
  <c r="K49" i="19" s="1"/>
  <c r="K17" i="19"/>
  <c r="K30" i="19" s="1"/>
  <c r="K48" i="19" s="1"/>
  <c r="G105" i="42"/>
  <c r="G109" i="42" s="1"/>
  <c r="G107" i="42"/>
  <c r="G111" i="42" s="1"/>
  <c r="G108" i="42"/>
  <c r="G106" i="42"/>
  <c r="G110" i="42" s="1"/>
  <c r="J19" i="48"/>
  <c r="J275" i="48" s="1"/>
  <c r="J27" i="48"/>
  <c r="J32" i="48" s="1"/>
  <c r="C323" i="42"/>
  <c r="H34" i="38"/>
  <c r="H281" i="38"/>
  <c r="E314" i="38"/>
  <c r="F88" i="55" s="1"/>
  <c r="E309" i="38"/>
  <c r="E310" i="38"/>
  <c r="E311" i="38"/>
  <c r="F85" i="55" s="1"/>
  <c r="E313" i="38"/>
  <c r="F87" i="55" s="1"/>
  <c r="E312" i="38"/>
  <c r="F86" i="55" s="1"/>
  <c r="J15" i="54"/>
  <c r="J28" i="54" s="1"/>
  <c r="J17" i="54"/>
  <c r="J30" i="54" s="1"/>
  <c r="J14" i="54"/>
  <c r="K5" i="54"/>
  <c r="J18" i="54"/>
  <c r="J31" i="54" s="1"/>
  <c r="J16" i="54"/>
  <c r="J29" i="54" s="1"/>
  <c r="J44" i="54" s="1"/>
  <c r="J150" i="54" s="1"/>
  <c r="J151" i="54" s="1"/>
  <c r="E160" i="29"/>
  <c r="E172" i="29" s="1"/>
  <c r="E161" i="29"/>
  <c r="J248" i="46"/>
  <c r="J253" i="46" s="1"/>
  <c r="J246" i="48"/>
  <c r="J247" i="46"/>
  <c r="J252" i="46" s="1"/>
  <c r="J250" i="46"/>
  <c r="J255" i="46" s="1"/>
  <c r="J249" i="46"/>
  <c r="J254" i="46" s="1"/>
  <c r="J251" i="46"/>
  <c r="K96" i="45" s="1"/>
  <c r="J239" i="38"/>
  <c r="J243" i="38" s="1"/>
  <c r="J238" i="38"/>
  <c r="J242" i="38" s="1"/>
  <c r="J240" i="38"/>
  <c r="J244" i="38" s="1"/>
  <c r="E307" i="42"/>
  <c r="E306" i="42"/>
  <c r="D307" i="38"/>
  <c r="D306" i="38"/>
  <c r="D318" i="38" s="1"/>
  <c r="F196" i="29"/>
  <c r="F197" i="29"/>
  <c r="J83" i="29"/>
  <c r="J82" i="29" s="1"/>
  <c r="H65" i="15"/>
  <c r="H139" i="15" s="1"/>
  <c r="H212" i="48"/>
  <c r="H217" i="48" s="1"/>
  <c r="H213" i="48"/>
  <c r="H218" i="48" s="1"/>
  <c r="H211" i="48"/>
  <c r="H216" i="48" s="1"/>
  <c r="H214" i="48"/>
  <c r="H210" i="48"/>
  <c r="H215" i="48" s="1"/>
  <c r="C304" i="38"/>
  <c r="C308" i="38" s="1"/>
  <c r="C305" i="38"/>
  <c r="I147" i="42"/>
  <c r="I151" i="42" s="1"/>
  <c r="I149" i="42"/>
  <c r="I148" i="42"/>
  <c r="I152" i="42" s="1"/>
  <c r="I146" i="42"/>
  <c r="I150" i="42" s="1"/>
  <c r="F88" i="12"/>
  <c r="K88" i="12"/>
  <c r="C238" i="19"/>
  <c r="C237" i="19"/>
  <c r="C241" i="19" s="1"/>
  <c r="D237" i="19"/>
  <c r="D241" i="19" s="1"/>
  <c r="D238" i="19"/>
  <c r="E237" i="19"/>
  <c r="E241" i="19" s="1"/>
  <c r="E238" i="19"/>
  <c r="H85" i="12"/>
  <c r="G69" i="12"/>
  <c r="G87" i="12"/>
  <c r="M85" i="12"/>
  <c r="L87" i="12"/>
  <c r="L86" i="12"/>
  <c r="G86" i="12"/>
  <c r="L69" i="12"/>
  <c r="H67" i="12"/>
  <c r="H90" i="12"/>
  <c r="M67" i="12"/>
  <c r="M90" i="12"/>
  <c r="M68" i="12"/>
  <c r="M89" i="12"/>
  <c r="H89" i="12"/>
  <c r="H68" i="12"/>
  <c r="C186" i="14"/>
  <c r="D196" i="14" s="1"/>
  <c r="C186" i="12"/>
  <c r="D196" i="12" s="1"/>
  <c r="D199" i="12"/>
  <c r="H168" i="12"/>
  <c r="C180" i="12"/>
  <c r="K49" i="29" l="1"/>
  <c r="H246" i="42"/>
  <c r="J49" i="28"/>
  <c r="G312" i="42"/>
  <c r="AN86" i="55" s="1"/>
  <c r="G309" i="42"/>
  <c r="G314" i="42"/>
  <c r="AN88" i="55" s="1"/>
  <c r="G311" i="42"/>
  <c r="AN85" i="55" s="1"/>
  <c r="G313" i="42"/>
  <c r="AN87" i="55" s="1"/>
  <c r="G310" i="42"/>
  <c r="K16" i="54"/>
  <c r="K29" i="54" s="1"/>
  <c r="K44" i="54" s="1"/>
  <c r="K150" i="54" s="1"/>
  <c r="K151" i="54" s="1"/>
  <c r="K18" i="54"/>
  <c r="K31" i="54" s="1"/>
  <c r="K17" i="54"/>
  <c r="K30" i="54" s="1"/>
  <c r="K15" i="54"/>
  <c r="K28" i="54" s="1"/>
  <c r="K14" i="54"/>
  <c r="L5" i="54"/>
  <c r="J42" i="42"/>
  <c r="J32" i="42"/>
  <c r="C304" i="42"/>
  <c r="C308" i="42" s="1"/>
  <c r="C305" i="42"/>
  <c r="H108" i="42"/>
  <c r="H107" i="42"/>
  <c r="H111" i="42" s="1"/>
  <c r="H105" i="42"/>
  <c r="H109" i="42" s="1"/>
  <c r="H106" i="42"/>
  <c r="H110" i="42" s="1"/>
  <c r="F300" i="38"/>
  <c r="F301" i="38"/>
  <c r="K137" i="38"/>
  <c r="K161" i="38"/>
  <c r="K153" i="38"/>
  <c r="K145" i="38"/>
  <c r="K19" i="46"/>
  <c r="K275" i="46" s="1"/>
  <c r="K27" i="46"/>
  <c r="K32" i="46" s="1"/>
  <c r="H293" i="38"/>
  <c r="I80" i="55" s="1"/>
  <c r="H316" i="38"/>
  <c r="D156" i="29"/>
  <c r="D157" i="29"/>
  <c r="G250" i="42"/>
  <c r="F283" i="42"/>
  <c r="F284" i="42" s="1"/>
  <c r="I152" i="48"/>
  <c r="I151" i="48"/>
  <c r="I156" i="48" s="1"/>
  <c r="I149" i="48"/>
  <c r="I154" i="48" s="1"/>
  <c r="I148" i="48"/>
  <c r="I153" i="48" s="1"/>
  <c r="I150" i="48"/>
  <c r="I155" i="48" s="1"/>
  <c r="C189" i="28"/>
  <c r="C190" i="28" s="1"/>
  <c r="C191" i="28"/>
  <c r="H146" i="29"/>
  <c r="H149" i="29"/>
  <c r="I249" i="38"/>
  <c r="I47" i="38"/>
  <c r="I291" i="38" s="1"/>
  <c r="I104" i="38"/>
  <c r="I96" i="38"/>
  <c r="I72" i="38"/>
  <c r="I73" i="38" s="1"/>
  <c r="I80" i="38"/>
  <c r="G184" i="28"/>
  <c r="G185" i="28" s="1"/>
  <c r="G161" i="28"/>
  <c r="D169" i="28"/>
  <c r="D168" i="28"/>
  <c r="G299" i="38"/>
  <c r="G296" i="38"/>
  <c r="G297" i="38"/>
  <c r="G298" i="38"/>
  <c r="J147" i="48"/>
  <c r="J151" i="46"/>
  <c r="J156" i="46" s="1"/>
  <c r="J149" i="46"/>
  <c r="J154" i="46" s="1"/>
  <c r="J150" i="46"/>
  <c r="J155" i="46" s="1"/>
  <c r="J148" i="46"/>
  <c r="J153" i="46" s="1"/>
  <c r="J152" i="46"/>
  <c r="K83" i="45" s="1"/>
  <c r="J201" i="42"/>
  <c r="J205" i="42" s="1"/>
  <c r="J202" i="42"/>
  <c r="J206" i="42" s="1"/>
  <c r="J200" i="42"/>
  <c r="J204" i="42" s="1"/>
  <c r="J203" i="42"/>
  <c r="F163" i="28"/>
  <c r="F162" i="28"/>
  <c r="F160" i="28"/>
  <c r="H99" i="42"/>
  <c r="H103" i="42" s="1"/>
  <c r="H98" i="42"/>
  <c r="H102" i="42" s="1"/>
  <c r="H100" i="42"/>
  <c r="H97" i="42"/>
  <c r="H101" i="42" s="1"/>
  <c r="K207" i="42"/>
  <c r="K191" i="42"/>
  <c r="K199" i="42"/>
  <c r="G233" i="19"/>
  <c r="G234" i="19"/>
  <c r="I34" i="42"/>
  <c r="I281" i="42"/>
  <c r="E318" i="42"/>
  <c r="E319" i="42" s="1"/>
  <c r="E320" i="42"/>
  <c r="E323" i="42" s="1"/>
  <c r="K19" i="19"/>
  <c r="K27" i="19"/>
  <c r="F307" i="38"/>
  <c r="F306" i="38"/>
  <c r="F318" i="38" s="1"/>
  <c r="K207" i="38"/>
  <c r="K191" i="38"/>
  <c r="K199" i="38"/>
  <c r="L18" i="20"/>
  <c r="L17" i="20"/>
  <c r="M5" i="20"/>
  <c r="L16" i="20"/>
  <c r="L15" i="20"/>
  <c r="L14" i="20"/>
  <c r="L17" i="46"/>
  <c r="L30" i="46" s="1"/>
  <c r="L45" i="46" s="1"/>
  <c r="L16" i="46"/>
  <c r="L29" i="46" s="1"/>
  <c r="L44" i="46" s="1"/>
  <c r="L246" i="46" s="1"/>
  <c r="L18" i="46"/>
  <c r="L31" i="46" s="1"/>
  <c r="L15" i="46"/>
  <c r="L28" i="46" s="1"/>
  <c r="L43" i="46" s="1"/>
  <c r="L14" i="46"/>
  <c r="M5" i="46"/>
  <c r="J157" i="38"/>
  <c r="K79" i="36" s="1"/>
  <c r="AQ79" i="36" s="1"/>
  <c r="J156" i="38"/>
  <c r="J160" i="38" s="1"/>
  <c r="J154" i="38"/>
  <c r="J158" i="38" s="1"/>
  <c r="J155" i="38"/>
  <c r="J159" i="38" s="1"/>
  <c r="J61" i="16"/>
  <c r="I87" i="29"/>
  <c r="F307" i="42"/>
  <c r="F306" i="42"/>
  <c r="H37" i="19"/>
  <c r="H36" i="19"/>
  <c r="I34" i="54"/>
  <c r="I197" i="54"/>
  <c r="H59" i="15"/>
  <c r="H135" i="15" s="1"/>
  <c r="H66" i="15"/>
  <c r="E303" i="38"/>
  <c r="E302" i="38"/>
  <c r="I170" i="48"/>
  <c r="I175" i="48" s="1"/>
  <c r="I168" i="48"/>
  <c r="I173" i="48" s="1"/>
  <c r="I171" i="48"/>
  <c r="I176" i="48" s="1"/>
  <c r="I169" i="48"/>
  <c r="I174" i="48" s="1"/>
  <c r="I172" i="48"/>
  <c r="G68" i="15"/>
  <c r="G77" i="15" s="1"/>
  <c r="G134" i="15"/>
  <c r="G140" i="15" s="1"/>
  <c r="G133" i="15" a="1"/>
  <c r="G152" i="29"/>
  <c r="G153" i="29"/>
  <c r="G150" i="29"/>
  <c r="G151" i="29"/>
  <c r="J208" i="42"/>
  <c r="J212" i="42" s="1"/>
  <c r="J211" i="42"/>
  <c r="J209" i="42"/>
  <c r="J213" i="42" s="1"/>
  <c r="J210" i="42"/>
  <c r="J214" i="42" s="1"/>
  <c r="BR57" i="55"/>
  <c r="E152" i="28"/>
  <c r="I197" i="53"/>
  <c r="I34" i="53"/>
  <c r="H76" i="42"/>
  <c r="H74" i="42"/>
  <c r="H78" i="42" s="1"/>
  <c r="H73" i="42"/>
  <c r="H77" i="42" s="1"/>
  <c r="H75" i="42"/>
  <c r="H79" i="42" s="1"/>
  <c r="J34" i="46"/>
  <c r="J309" i="46"/>
  <c r="K19" i="42"/>
  <c r="K247" i="42" s="1"/>
  <c r="K27" i="42"/>
  <c r="G240" i="19"/>
  <c r="G239" i="19"/>
  <c r="G251" i="19" s="1"/>
  <c r="I47" i="42"/>
  <c r="I291" i="42" s="1"/>
  <c r="I72" i="42"/>
  <c r="I104" i="42"/>
  <c r="I80" i="42"/>
  <c r="I96" i="42"/>
  <c r="I249" i="42"/>
  <c r="H292" i="42"/>
  <c r="C159" i="29"/>
  <c r="C158" i="29"/>
  <c r="C162" i="29" s="1"/>
  <c r="H87" i="29"/>
  <c r="I61" i="16"/>
  <c r="C182" i="29"/>
  <c r="J251" i="48"/>
  <c r="J247" i="48"/>
  <c r="J252" i="48" s="1"/>
  <c r="J248" i="48"/>
  <c r="J253" i="48" s="1"/>
  <c r="J250" i="48"/>
  <c r="J255" i="48" s="1"/>
  <c r="J249" i="48"/>
  <c r="J254" i="48" s="1"/>
  <c r="J19" i="54"/>
  <c r="J27" i="54"/>
  <c r="J32" i="54" s="1"/>
  <c r="D172" i="29"/>
  <c r="D173" i="29" s="1"/>
  <c r="D174" i="29"/>
  <c r="I50" i="29"/>
  <c r="I145" i="29" s="1"/>
  <c r="K19" i="38"/>
  <c r="K247" i="38" s="1"/>
  <c r="K27" i="38"/>
  <c r="F160" i="29"/>
  <c r="F172" i="29" s="1"/>
  <c r="F161" i="29"/>
  <c r="K229" i="46"/>
  <c r="K219" i="46"/>
  <c r="K209" i="46"/>
  <c r="J86" i="45"/>
  <c r="AP85" i="45"/>
  <c r="J85" i="45"/>
  <c r="J87" i="45"/>
  <c r="AP87" i="45"/>
  <c r="AP86" i="45"/>
  <c r="J162" i="38"/>
  <c r="J166" i="38" s="1"/>
  <c r="J164" i="38"/>
  <c r="J168" i="38" s="1"/>
  <c r="J165" i="38"/>
  <c r="K109" i="36" s="1"/>
  <c r="AQ109" i="36" s="1"/>
  <c r="J163" i="38"/>
  <c r="J167" i="38" s="1"/>
  <c r="J147" i="42"/>
  <c r="J151" i="42" s="1"/>
  <c r="J146" i="42"/>
  <c r="J150" i="42" s="1"/>
  <c r="J148" i="42"/>
  <c r="J152" i="42" s="1"/>
  <c r="J149" i="42"/>
  <c r="J32" i="29"/>
  <c r="J45" i="29"/>
  <c r="H67" i="16"/>
  <c r="H46" i="16"/>
  <c r="H86" i="14"/>
  <c r="H69" i="14"/>
  <c r="H88" i="14" s="1"/>
  <c r="H229" i="19"/>
  <c r="H231" i="19"/>
  <c r="H232" i="19"/>
  <c r="H230" i="19"/>
  <c r="G37" i="28"/>
  <c r="G36" i="28"/>
  <c r="G297" i="42"/>
  <c r="G296" i="42"/>
  <c r="G299" i="42"/>
  <c r="G298" i="42"/>
  <c r="CX57" i="55"/>
  <c r="AL57" i="55"/>
  <c r="E148" i="29"/>
  <c r="D302" i="38"/>
  <c r="D303" i="38"/>
  <c r="H295" i="42"/>
  <c r="M5" i="42"/>
  <c r="L14" i="42"/>
  <c r="L18" i="42"/>
  <c r="L31" i="42" s="1"/>
  <c r="L46" i="42" s="1"/>
  <c r="L237" i="42" s="1"/>
  <c r="L15" i="42"/>
  <c r="L28" i="42" s="1"/>
  <c r="L43" i="42" s="1"/>
  <c r="L17" i="42"/>
  <c r="L30" i="42" s="1"/>
  <c r="L45" i="42" s="1"/>
  <c r="L16" i="42"/>
  <c r="L29" i="42" s="1"/>
  <c r="L44" i="42" s="1"/>
  <c r="L222" i="42" s="1"/>
  <c r="K61" i="15"/>
  <c r="J88" i="29"/>
  <c r="I34" i="19"/>
  <c r="I214" i="19"/>
  <c r="K19" i="29"/>
  <c r="K27" i="29"/>
  <c r="F151" i="28"/>
  <c r="G217" i="28"/>
  <c r="K239" i="42"/>
  <c r="K243" i="42" s="1"/>
  <c r="K241" i="42"/>
  <c r="K240" i="42"/>
  <c r="K244" i="42" s="1"/>
  <c r="K238" i="42"/>
  <c r="K242" i="42" s="1"/>
  <c r="I276" i="19"/>
  <c r="I275" i="19"/>
  <c r="I225" i="19"/>
  <c r="I228" i="19"/>
  <c r="I224" i="19"/>
  <c r="I135" i="29"/>
  <c r="I34" i="29"/>
  <c r="E321" i="42"/>
  <c r="E322" i="42" s="1"/>
  <c r="J140" i="38"/>
  <c r="J139" i="38"/>
  <c r="J138" i="38"/>
  <c r="I211" i="48"/>
  <c r="I216" i="48" s="1"/>
  <c r="I210" i="48"/>
  <c r="I215" i="48" s="1"/>
  <c r="I213" i="48"/>
  <c r="I218" i="48" s="1"/>
  <c r="I214" i="48"/>
  <c r="I212" i="48"/>
  <c r="I217" i="48" s="1"/>
  <c r="L16" i="48"/>
  <c r="L29" i="48" s="1"/>
  <c r="L44" i="48" s="1"/>
  <c r="M5" i="48"/>
  <c r="L15" i="48"/>
  <c r="L28" i="48" s="1"/>
  <c r="L43" i="48" s="1"/>
  <c r="L18" i="48"/>
  <c r="L31" i="48" s="1"/>
  <c r="L14" i="48"/>
  <c r="L17" i="48"/>
  <c r="L30" i="48" s="1"/>
  <c r="L45" i="48" s="1"/>
  <c r="J163" i="42"/>
  <c r="J167" i="42" s="1"/>
  <c r="J164" i="42"/>
  <c r="J168" i="42" s="1"/>
  <c r="J162" i="42"/>
  <c r="J166" i="42" s="1"/>
  <c r="J165" i="42"/>
  <c r="M86" i="14"/>
  <c r="M69" i="14"/>
  <c r="M88" i="14" s="1"/>
  <c r="I180" i="48"/>
  <c r="I185" i="48" s="1"/>
  <c r="I182" i="48"/>
  <c r="I179" i="48"/>
  <c r="I184" i="48" s="1"/>
  <c r="I178" i="48"/>
  <c r="I183" i="48" s="1"/>
  <c r="I181" i="48"/>
  <c r="I186" i="48" s="1"/>
  <c r="J209" i="38"/>
  <c r="J213" i="38" s="1"/>
  <c r="J210" i="38"/>
  <c r="J214" i="38" s="1"/>
  <c r="J208" i="38"/>
  <c r="J212" i="38" s="1"/>
  <c r="J211" i="38"/>
  <c r="E174" i="29"/>
  <c r="E175" i="29" s="1"/>
  <c r="E176" i="29" s="1"/>
  <c r="E173" i="29"/>
  <c r="K224" i="42"/>
  <c r="K228" i="42" s="1"/>
  <c r="K223" i="42"/>
  <c r="K227" i="42" s="1"/>
  <c r="K225" i="42"/>
  <c r="K229" i="42" s="1"/>
  <c r="K226" i="42"/>
  <c r="J77" i="29"/>
  <c r="K45" i="16" s="1"/>
  <c r="J70" i="29"/>
  <c r="J74" i="29"/>
  <c r="K48" i="16" s="1"/>
  <c r="K49" i="16" s="1"/>
  <c r="K136" i="16" s="1"/>
  <c r="J68" i="29"/>
  <c r="K64" i="15"/>
  <c r="J78" i="29"/>
  <c r="K64" i="16" s="1"/>
  <c r="J67" i="29"/>
  <c r="K48" i="15"/>
  <c r="K49" i="15" s="1"/>
  <c r="K136" i="15" s="1"/>
  <c r="J75" i="29"/>
  <c r="J76" i="29"/>
  <c r="K58" i="16" s="1"/>
  <c r="K45" i="15"/>
  <c r="J71" i="29"/>
  <c r="J73" i="29"/>
  <c r="K58" i="15"/>
  <c r="J66" i="29"/>
  <c r="J65" i="29" s="1"/>
  <c r="J69" i="29"/>
  <c r="J210" i="46"/>
  <c r="J215" i="46" s="1"/>
  <c r="J214" i="46"/>
  <c r="K89" i="45" s="1"/>
  <c r="J209" i="48"/>
  <c r="J212" i="46"/>
  <c r="J217" i="46" s="1"/>
  <c r="J213" i="46"/>
  <c r="J218" i="46" s="1"/>
  <c r="J211" i="46"/>
  <c r="J216" i="46" s="1"/>
  <c r="L16" i="38"/>
  <c r="L29" i="38" s="1"/>
  <c r="L44" i="38" s="1"/>
  <c r="L222" i="38" s="1"/>
  <c r="L18" i="38"/>
  <c r="L31" i="38" s="1"/>
  <c r="L46" i="38" s="1"/>
  <c r="L237" i="38" s="1"/>
  <c r="L14" i="38"/>
  <c r="M5" i="38"/>
  <c r="L15" i="38"/>
  <c r="L28" i="38" s="1"/>
  <c r="L43" i="38" s="1"/>
  <c r="L17" i="38"/>
  <c r="L30" i="38" s="1"/>
  <c r="L45" i="38" s="1"/>
  <c r="E157" i="29"/>
  <c r="E156" i="29"/>
  <c r="CZ80" i="55"/>
  <c r="AN80" i="55"/>
  <c r="K18" i="53"/>
  <c r="K31" i="53" s="1"/>
  <c r="K15" i="53"/>
  <c r="K28" i="53" s="1"/>
  <c r="L5" i="53"/>
  <c r="K17" i="53"/>
  <c r="K30" i="53" s="1"/>
  <c r="K14" i="53"/>
  <c r="K16" i="53"/>
  <c r="K29" i="53" s="1"/>
  <c r="K44" i="53" s="1"/>
  <c r="K150" i="53" s="1"/>
  <c r="K151" i="53" s="1"/>
  <c r="L60" i="51" s="1"/>
  <c r="AR60" i="51" s="1"/>
  <c r="J194" i="42"/>
  <c r="J198" i="42" s="1"/>
  <c r="J193" i="42"/>
  <c r="J197" i="42" s="1"/>
  <c r="J195" i="42"/>
  <c r="J192" i="42"/>
  <c r="J196" i="42" s="1"/>
  <c r="I32" i="28"/>
  <c r="I45" i="28"/>
  <c r="E303" i="42"/>
  <c r="E302" i="42"/>
  <c r="F154" i="29"/>
  <c r="F155" i="29"/>
  <c r="H295" i="38"/>
  <c r="H292" i="38"/>
  <c r="H294" i="38"/>
  <c r="H216" i="28"/>
  <c r="H59" i="29"/>
  <c r="I44" i="16" s="1"/>
  <c r="H54" i="29"/>
  <c r="H56" i="29"/>
  <c r="H60" i="29"/>
  <c r="I62" i="15"/>
  <c r="I65" i="15" s="1"/>
  <c r="I139" i="15" s="1"/>
  <c r="H53" i="29"/>
  <c r="I56" i="15"/>
  <c r="H62" i="29"/>
  <c r="I62" i="16" s="1"/>
  <c r="I65" i="16" s="1"/>
  <c r="I139" i="16" s="1"/>
  <c r="H57" i="29"/>
  <c r="H61" i="29"/>
  <c r="I44" i="15"/>
  <c r="H55" i="29"/>
  <c r="H52" i="29" s="1"/>
  <c r="H92" i="29" s="1"/>
  <c r="H63" i="29"/>
  <c r="I56" i="16" s="1"/>
  <c r="H50" i="28"/>
  <c r="H117" i="28"/>
  <c r="J156" i="42"/>
  <c r="J160" i="42" s="1"/>
  <c r="J154" i="42"/>
  <c r="J158" i="42" s="1"/>
  <c r="J157" i="42"/>
  <c r="J155" i="42"/>
  <c r="J159" i="42" s="1"/>
  <c r="J19" i="53"/>
  <c r="J27" i="53"/>
  <c r="J32" i="53" s="1"/>
  <c r="E178" i="28"/>
  <c r="E177" i="28"/>
  <c r="E179" i="28"/>
  <c r="F62" i="55" s="1"/>
  <c r="E181" i="28"/>
  <c r="F64" i="55" s="1"/>
  <c r="E180" i="28"/>
  <c r="F63" i="55" s="1"/>
  <c r="E182" i="28"/>
  <c r="F65" i="55" s="1"/>
  <c r="J32" i="38"/>
  <c r="J42" i="38"/>
  <c r="F236" i="19"/>
  <c r="F235" i="19"/>
  <c r="H67" i="15"/>
  <c r="H46" i="15"/>
  <c r="D174" i="28"/>
  <c r="D175" i="28"/>
  <c r="J201" i="38"/>
  <c r="J205" i="38" s="1"/>
  <c r="J200" i="38"/>
  <c r="J204" i="38" s="1"/>
  <c r="J203" i="38"/>
  <c r="K101" i="36" s="1"/>
  <c r="AQ101" i="36" s="1"/>
  <c r="J202" i="38"/>
  <c r="J206" i="38" s="1"/>
  <c r="J158" i="46"/>
  <c r="J163" i="46" s="1"/>
  <c r="J157" i="48"/>
  <c r="J162" i="46"/>
  <c r="K98" i="45" s="1"/>
  <c r="AQ98" i="45" s="1"/>
  <c r="J160" i="46"/>
  <c r="J165" i="46" s="1"/>
  <c r="J161" i="46"/>
  <c r="J166" i="46" s="1"/>
  <c r="J159" i="46"/>
  <c r="J164" i="46" s="1"/>
  <c r="H293" i="42"/>
  <c r="H294" i="42" s="1"/>
  <c r="H316" i="42"/>
  <c r="H317" i="42" s="1"/>
  <c r="K137" i="42"/>
  <c r="K153" i="42"/>
  <c r="K145" i="42"/>
  <c r="K161" i="42"/>
  <c r="J19" i="28"/>
  <c r="J118" i="28" s="1"/>
  <c r="J27" i="28"/>
  <c r="J219" i="48"/>
  <c r="J220" i="46"/>
  <c r="J225" i="46" s="1"/>
  <c r="J223" i="46"/>
  <c r="J228" i="46" s="1"/>
  <c r="J221" i="46"/>
  <c r="J226" i="46" s="1"/>
  <c r="J222" i="46"/>
  <c r="J227" i="46" s="1"/>
  <c r="J224" i="46"/>
  <c r="K99" i="45" s="1"/>
  <c r="AQ99" i="45" s="1"/>
  <c r="M5" i="29"/>
  <c r="L15" i="29"/>
  <c r="L28" i="29" s="1"/>
  <c r="L46" i="29" s="1"/>
  <c r="L18" i="29"/>
  <c r="L31" i="29" s="1"/>
  <c r="L14" i="29"/>
  <c r="L16" i="29"/>
  <c r="L29" i="29" s="1"/>
  <c r="L47" i="29" s="1"/>
  <c r="L17" i="29"/>
  <c r="L30" i="29" s="1"/>
  <c r="M5" i="19"/>
  <c r="L17" i="19"/>
  <c r="L30" i="19" s="1"/>
  <c r="L48" i="19" s="1"/>
  <c r="L16" i="19"/>
  <c r="L29" i="19" s="1"/>
  <c r="L47" i="19" s="1"/>
  <c r="L14" i="19"/>
  <c r="L18" i="19"/>
  <c r="L31" i="19" s="1"/>
  <c r="L49" i="19" s="1"/>
  <c r="L15" i="19"/>
  <c r="L28" i="19" s="1"/>
  <c r="L46" i="19" s="1"/>
  <c r="K18" i="28"/>
  <c r="K31" i="28" s="1"/>
  <c r="K17" i="28"/>
  <c r="K30" i="28" s="1"/>
  <c r="K14" i="28"/>
  <c r="K15" i="28"/>
  <c r="K28" i="28" s="1"/>
  <c r="K46" i="28" s="1"/>
  <c r="L5" i="28"/>
  <c r="K16" i="28"/>
  <c r="K29" i="28" s="1"/>
  <c r="K47" i="28" s="1"/>
  <c r="C328" i="42"/>
  <c r="C329" i="42"/>
  <c r="C338" i="42" s="1"/>
  <c r="K239" i="38"/>
  <c r="K243" i="38" s="1"/>
  <c r="K238" i="38"/>
  <c r="K242" i="38" s="1"/>
  <c r="K240" i="38"/>
  <c r="K244" i="38" s="1"/>
  <c r="K147" i="46"/>
  <c r="K157" i="46"/>
  <c r="K177" i="46"/>
  <c r="K167" i="46"/>
  <c r="I222" i="48"/>
  <c r="I227" i="48" s="1"/>
  <c r="I224" i="48"/>
  <c r="I221" i="48"/>
  <c r="I226" i="48" s="1"/>
  <c r="I220" i="48"/>
  <c r="I225" i="48" s="1"/>
  <c r="I223" i="48"/>
  <c r="I228" i="48" s="1"/>
  <c r="H149" i="28"/>
  <c r="H34" i="28"/>
  <c r="J138" i="42"/>
  <c r="J142" i="42" s="1"/>
  <c r="J139" i="42"/>
  <c r="J143" i="42" s="1"/>
  <c r="J141" i="42"/>
  <c r="J140" i="42"/>
  <c r="J144" i="42" s="1"/>
  <c r="I232" i="48"/>
  <c r="I237" i="48" s="1"/>
  <c r="I231" i="48"/>
  <c r="I236" i="48" s="1"/>
  <c r="I234" i="48"/>
  <c r="I233" i="48"/>
  <c r="I238" i="48" s="1"/>
  <c r="I230" i="48"/>
  <c r="I235" i="48" s="1"/>
  <c r="G210" i="28"/>
  <c r="G211" i="28"/>
  <c r="G159" i="28"/>
  <c r="G312" i="38"/>
  <c r="H86" i="55" s="1"/>
  <c r="G310" i="38"/>
  <c r="G311" i="38"/>
  <c r="H85" i="55" s="1"/>
  <c r="G314" i="38"/>
  <c r="H88" i="55" s="1"/>
  <c r="G313" i="38"/>
  <c r="H87" i="55" s="1"/>
  <c r="G309" i="38"/>
  <c r="J194" i="38"/>
  <c r="J198" i="38" s="1"/>
  <c r="J193" i="38"/>
  <c r="J197" i="38" s="1"/>
  <c r="J192" i="38"/>
  <c r="J196" i="38" s="1"/>
  <c r="J172" i="46"/>
  <c r="K77" i="45" s="1"/>
  <c r="AQ77" i="45" s="1"/>
  <c r="J167" i="48"/>
  <c r="J171" i="46"/>
  <c r="J176" i="46" s="1"/>
  <c r="J169" i="46"/>
  <c r="J174" i="46" s="1"/>
  <c r="J170" i="46"/>
  <c r="J175" i="46" s="1"/>
  <c r="J168" i="46"/>
  <c r="J173" i="46" s="1"/>
  <c r="J32" i="19"/>
  <c r="J45" i="19"/>
  <c r="J50" i="19" s="1"/>
  <c r="D318" i="42"/>
  <c r="D319" i="42" s="1"/>
  <c r="D320" i="42"/>
  <c r="D154" i="28"/>
  <c r="BQ61" i="55" s="1"/>
  <c r="D156" i="28"/>
  <c r="BQ63" i="55" s="1"/>
  <c r="D153" i="28"/>
  <c r="D158" i="28"/>
  <c r="BQ65" i="55" s="1"/>
  <c r="D157" i="28"/>
  <c r="BQ64" i="55" s="1"/>
  <c r="D155" i="28"/>
  <c r="BQ62" i="55" s="1"/>
  <c r="K55" i="15"/>
  <c r="J85" i="29"/>
  <c r="K55" i="16" s="1"/>
  <c r="J231" i="46"/>
  <c r="J236" i="46" s="1"/>
  <c r="J233" i="46"/>
  <c r="J238" i="46" s="1"/>
  <c r="J234" i="46"/>
  <c r="K108" i="45" s="1"/>
  <c r="AQ108" i="45" s="1"/>
  <c r="J230" i="46"/>
  <c r="J235" i="46" s="1"/>
  <c r="J229" i="48"/>
  <c r="J232" i="46"/>
  <c r="J237" i="46" s="1"/>
  <c r="F104" i="29"/>
  <c r="E137" i="29"/>
  <c r="E138" i="29" s="1"/>
  <c r="I158" i="48"/>
  <c r="I163" i="48" s="1"/>
  <c r="I160" i="48"/>
  <c r="I165" i="48" s="1"/>
  <c r="I159" i="48"/>
  <c r="I164" i="48" s="1"/>
  <c r="I162" i="48"/>
  <c r="I161" i="48"/>
  <c r="I166" i="48" s="1"/>
  <c r="J146" i="38"/>
  <c r="J150" i="38" s="1"/>
  <c r="J149" i="38"/>
  <c r="K100" i="36" s="1"/>
  <c r="AQ100" i="36" s="1"/>
  <c r="J147" i="38"/>
  <c r="J151" i="38" s="1"/>
  <c r="J148" i="38"/>
  <c r="J152" i="38" s="1"/>
  <c r="F300" i="42"/>
  <c r="F301" i="42"/>
  <c r="G103" i="29"/>
  <c r="G91" i="29"/>
  <c r="J309" i="48"/>
  <c r="J34" i="48"/>
  <c r="K225" i="38"/>
  <c r="K229" i="38" s="1"/>
  <c r="K224" i="38"/>
  <c r="K228" i="38" s="1"/>
  <c r="K223" i="38"/>
  <c r="K227" i="38" s="1"/>
  <c r="K249" i="46"/>
  <c r="K254" i="46" s="1"/>
  <c r="K248" i="46"/>
  <c r="K253" i="46" s="1"/>
  <c r="K250" i="46"/>
  <c r="K255" i="46" s="1"/>
  <c r="K246" i="48"/>
  <c r="K247" i="46"/>
  <c r="K252" i="46" s="1"/>
  <c r="K251" i="46"/>
  <c r="L96" i="45" s="1"/>
  <c r="C171" i="28"/>
  <c r="C192" i="28" s="1"/>
  <c r="C170" i="28"/>
  <c r="H246" i="38"/>
  <c r="E287" i="42"/>
  <c r="E286" i="42"/>
  <c r="E289" i="42"/>
  <c r="E290" i="42"/>
  <c r="E288" i="42"/>
  <c r="E285" i="42"/>
  <c r="F170" i="29"/>
  <c r="F171" i="29" s="1"/>
  <c r="F147" i="29"/>
  <c r="H37" i="29"/>
  <c r="H36" i="29"/>
  <c r="K19" i="48"/>
  <c r="K275" i="48" s="1"/>
  <c r="K27" i="48"/>
  <c r="K32" i="48" s="1"/>
  <c r="E167" i="28"/>
  <c r="E164" i="28"/>
  <c r="E166" i="28"/>
  <c r="E165" i="28"/>
  <c r="G68" i="16"/>
  <c r="G134" i="16"/>
  <c r="G140" i="16" s="1"/>
  <c r="G133" i="16" a="1"/>
  <c r="G141" i="16" s="1"/>
  <c r="G142" i="16" s="1"/>
  <c r="G77" i="16"/>
  <c r="I34" i="38"/>
  <c r="I281" i="38"/>
  <c r="H59" i="16"/>
  <c r="H135" i="16" s="1"/>
  <c r="H66" i="16"/>
  <c r="J177" i="48"/>
  <c r="J181" i="46"/>
  <c r="J186" i="46" s="1"/>
  <c r="J179" i="46"/>
  <c r="J184" i="46" s="1"/>
  <c r="J178" i="46"/>
  <c r="J183" i="46" s="1"/>
  <c r="J180" i="46"/>
  <c r="J185" i="46" s="1"/>
  <c r="J182" i="46"/>
  <c r="K107" i="45" s="1"/>
  <c r="AQ107" i="45" s="1"/>
  <c r="D303" i="42"/>
  <c r="D302" i="42"/>
  <c r="H81" i="42"/>
  <c r="H85" i="42" s="1"/>
  <c r="H84" i="42"/>
  <c r="H82" i="42"/>
  <c r="H86" i="42" s="1"/>
  <c r="H83" i="42"/>
  <c r="H87" i="42" s="1"/>
  <c r="G197" i="29"/>
  <c r="G196" i="29"/>
  <c r="D140" i="29"/>
  <c r="D142" i="29"/>
  <c r="D144" i="29"/>
  <c r="D139" i="29"/>
  <c r="D141" i="29"/>
  <c r="D143" i="29"/>
  <c r="M86" i="12"/>
  <c r="G88" i="12"/>
  <c r="H87" i="12"/>
  <c r="L88" i="12"/>
  <c r="M87" i="12"/>
  <c r="H86" i="12"/>
  <c r="H69" i="12"/>
  <c r="M69" i="12"/>
  <c r="C188" i="14"/>
  <c r="D194" i="14" s="1"/>
  <c r="D200" i="14" s="1"/>
  <c r="D102" i="15"/>
  <c r="D107" i="15" s="1"/>
  <c r="C188" i="12"/>
  <c r="K49" i="28" l="1"/>
  <c r="G141" i="15"/>
  <c r="G142" i="15" s="1"/>
  <c r="L49" i="29"/>
  <c r="H312" i="42"/>
  <c r="AO86" i="55" s="1"/>
  <c r="H313" i="42"/>
  <c r="AO87" i="55" s="1"/>
  <c r="H314" i="42"/>
  <c r="AO88" i="55" s="1"/>
  <c r="H311" i="42"/>
  <c r="AO85" i="55" s="1"/>
  <c r="H310" i="42"/>
  <c r="H309" i="42"/>
  <c r="E174" i="28"/>
  <c r="E175" i="28"/>
  <c r="E143" i="29"/>
  <c r="E140" i="29"/>
  <c r="E144" i="29"/>
  <c r="E141" i="29"/>
  <c r="E142" i="29"/>
  <c r="E139" i="29"/>
  <c r="K61" i="16"/>
  <c r="J87" i="29"/>
  <c r="I149" i="29"/>
  <c r="I146" i="29"/>
  <c r="I295" i="38"/>
  <c r="I292" i="38"/>
  <c r="E168" i="28"/>
  <c r="E169" i="28"/>
  <c r="F174" i="29"/>
  <c r="F175" i="29" s="1"/>
  <c r="F176" i="29" s="1"/>
  <c r="C173" i="28"/>
  <c r="C172" i="28"/>
  <c r="C176" i="28" s="1"/>
  <c r="K171" i="46"/>
  <c r="K176" i="46" s="1"/>
  <c r="K169" i="46"/>
  <c r="K174" i="46" s="1"/>
  <c r="K170" i="46"/>
  <c r="K175" i="46" s="1"/>
  <c r="K168" i="46"/>
  <c r="K173" i="46" s="1"/>
  <c r="K172" i="46"/>
  <c r="L77" i="45" s="1"/>
  <c r="AR77" i="45" s="1"/>
  <c r="K167" i="48"/>
  <c r="L19" i="29"/>
  <c r="L27" i="29"/>
  <c r="K141" i="42"/>
  <c r="K139" i="42"/>
  <c r="K143" i="42" s="1"/>
  <c r="K140" i="42"/>
  <c r="K144" i="42" s="1"/>
  <c r="K138" i="42"/>
  <c r="K142" i="42" s="1"/>
  <c r="J160" i="48"/>
  <c r="J165" i="48" s="1"/>
  <c r="J162" i="48"/>
  <c r="J159" i="48"/>
  <c r="J164" i="48" s="1"/>
  <c r="J158" i="48"/>
  <c r="J163" i="48" s="1"/>
  <c r="J161" i="48"/>
  <c r="J166" i="48" s="1"/>
  <c r="D186" i="28"/>
  <c r="D187" i="28" s="1"/>
  <c r="D188" i="28"/>
  <c r="D191" i="28" s="1"/>
  <c r="I67" i="15"/>
  <c r="I46" i="15"/>
  <c r="L239" i="38"/>
  <c r="L243" i="38" s="1"/>
  <c r="L240" i="38"/>
  <c r="L244" i="38" s="1"/>
  <c r="L238" i="38"/>
  <c r="L242" i="38" s="1"/>
  <c r="E324" i="42"/>
  <c r="L19" i="42"/>
  <c r="L247" i="42" s="1"/>
  <c r="L27" i="42"/>
  <c r="J50" i="29"/>
  <c r="J145" i="29" s="1"/>
  <c r="I107" i="42"/>
  <c r="I111" i="42" s="1"/>
  <c r="I108" i="42"/>
  <c r="I105" i="42"/>
  <c r="I109" i="42" s="1"/>
  <c r="I106" i="42"/>
  <c r="I110" i="42" s="1"/>
  <c r="G154" i="29"/>
  <c r="G155" i="29"/>
  <c r="E328" i="42"/>
  <c r="K195" i="42"/>
  <c r="K193" i="42"/>
  <c r="K197" i="42" s="1"/>
  <c r="K192" i="42"/>
  <c r="K196" i="42" s="1"/>
  <c r="K194" i="42"/>
  <c r="K198" i="42" s="1"/>
  <c r="F165" i="28"/>
  <c r="F164" i="28"/>
  <c r="F166" i="28"/>
  <c r="F167" i="28"/>
  <c r="G307" i="38"/>
  <c r="G306" i="38"/>
  <c r="G318" i="38" s="1"/>
  <c r="K164" i="38"/>
  <c r="K168" i="38" s="1"/>
  <c r="K165" i="38"/>
  <c r="L109" i="36" s="1"/>
  <c r="AR109" i="36" s="1"/>
  <c r="K162" i="38"/>
  <c r="K166" i="38" s="1"/>
  <c r="K163" i="38"/>
  <c r="K167" i="38" s="1"/>
  <c r="L55" i="15"/>
  <c r="K85" i="29"/>
  <c r="L55" i="16" s="1"/>
  <c r="E159" i="29"/>
  <c r="E158" i="29"/>
  <c r="E162" i="29" s="1"/>
  <c r="H234" i="19"/>
  <c r="H233" i="19"/>
  <c r="H36" i="28"/>
  <c r="H37" i="28"/>
  <c r="K177" i="48"/>
  <c r="K179" i="46"/>
  <c r="K184" i="46" s="1"/>
  <c r="K178" i="46"/>
  <c r="K183" i="46" s="1"/>
  <c r="K181" i="46"/>
  <c r="K186" i="46" s="1"/>
  <c r="K182" i="46"/>
  <c r="L107" i="45" s="1"/>
  <c r="AR107" i="45" s="1"/>
  <c r="K180" i="46"/>
  <c r="K185" i="46" s="1"/>
  <c r="C336" i="42"/>
  <c r="H68" i="15"/>
  <c r="H77" i="15" s="1"/>
  <c r="H134" i="15"/>
  <c r="H140" i="15" s="1"/>
  <c r="H133" i="15" a="1"/>
  <c r="H103" i="29"/>
  <c r="H91" i="29"/>
  <c r="E305" i="42"/>
  <c r="E304" i="42"/>
  <c r="E308" i="42" s="1"/>
  <c r="L224" i="38"/>
  <c r="L228" i="38" s="1"/>
  <c r="L223" i="38"/>
  <c r="L227" i="38" s="1"/>
  <c r="L225" i="38"/>
  <c r="L229" i="38" s="1"/>
  <c r="I37" i="29"/>
  <c r="I36" i="29"/>
  <c r="I37" i="19"/>
  <c r="I36" i="19"/>
  <c r="M16" i="42"/>
  <c r="M29" i="42" s="1"/>
  <c r="M44" i="42" s="1"/>
  <c r="M222" i="42" s="1"/>
  <c r="M14" i="42"/>
  <c r="M15" i="42"/>
  <c r="M28" i="42" s="1"/>
  <c r="M43" i="42" s="1"/>
  <c r="M17" i="42"/>
  <c r="M30" i="42" s="1"/>
  <c r="M45" i="42" s="1"/>
  <c r="M18" i="42"/>
  <c r="M31" i="42" s="1"/>
  <c r="M46" i="42" s="1"/>
  <c r="M237" i="42" s="1"/>
  <c r="N5" i="42"/>
  <c r="H240" i="19"/>
  <c r="H239" i="19"/>
  <c r="H251" i="19" s="1"/>
  <c r="J135" i="29"/>
  <c r="J34" i="29"/>
  <c r="K214" i="46"/>
  <c r="L89" i="45" s="1"/>
  <c r="K209" i="48"/>
  <c r="K211" i="46"/>
  <c r="K216" i="46" s="1"/>
  <c r="K213" i="46"/>
  <c r="K218" i="46" s="1"/>
  <c r="K212" i="46"/>
  <c r="K217" i="46" s="1"/>
  <c r="K210" i="46"/>
  <c r="K215" i="46" s="1"/>
  <c r="I76" i="42"/>
  <c r="I75" i="42"/>
  <c r="I79" i="42" s="1"/>
  <c r="I74" i="42"/>
  <c r="I78" i="42" s="1"/>
  <c r="I73" i="42"/>
  <c r="I77" i="42" s="1"/>
  <c r="L248" i="46"/>
  <c r="L253" i="46" s="1"/>
  <c r="L246" i="48"/>
  <c r="L249" i="46"/>
  <c r="L254" i="46" s="1"/>
  <c r="L247" i="46"/>
  <c r="L252" i="46" s="1"/>
  <c r="L250" i="46"/>
  <c r="L255" i="46" s="1"/>
  <c r="L251" i="46"/>
  <c r="M96" i="45" s="1"/>
  <c r="K202" i="38"/>
  <c r="K206" i="38" s="1"/>
  <c r="K203" i="38"/>
  <c r="L101" i="36" s="1"/>
  <c r="AR101" i="36" s="1"/>
  <c r="K200" i="38"/>
  <c r="K204" i="38" s="1"/>
  <c r="K201" i="38"/>
  <c r="K205" i="38" s="1"/>
  <c r="K209" i="42"/>
  <c r="K213" i="42" s="1"/>
  <c r="K208" i="42"/>
  <c r="K212" i="42" s="1"/>
  <c r="K211" i="42"/>
  <c r="K210" i="42"/>
  <c r="K214" i="42" s="1"/>
  <c r="D189" i="28"/>
  <c r="D190" i="28" s="1"/>
  <c r="D159" i="29"/>
  <c r="D158" i="29"/>
  <c r="D162" i="29" s="1"/>
  <c r="K139" i="38"/>
  <c r="K140" i="38"/>
  <c r="K138" i="38"/>
  <c r="K157" i="48"/>
  <c r="K161" i="46"/>
  <c r="K166" i="46" s="1"/>
  <c r="K159" i="46"/>
  <c r="K164" i="46" s="1"/>
  <c r="K160" i="46"/>
  <c r="K165" i="46" s="1"/>
  <c r="K158" i="46"/>
  <c r="K163" i="46" s="1"/>
  <c r="K162" i="46"/>
  <c r="L98" i="45" s="1"/>
  <c r="AR98" i="45" s="1"/>
  <c r="J220" i="48"/>
  <c r="J225" i="48" s="1"/>
  <c r="J222" i="48"/>
  <c r="J227" i="48" s="1"/>
  <c r="J224" i="48"/>
  <c r="J221" i="48"/>
  <c r="J226" i="48" s="1"/>
  <c r="J223" i="48"/>
  <c r="J228" i="48" s="1"/>
  <c r="L219" i="46"/>
  <c r="L209" i="46"/>
  <c r="L229" i="46"/>
  <c r="J148" i="48"/>
  <c r="J153" i="48" s="1"/>
  <c r="J151" i="48"/>
  <c r="J156" i="48" s="1"/>
  <c r="J152" i="48"/>
  <c r="J149" i="48"/>
  <c r="J154" i="48" s="1"/>
  <c r="J150" i="48"/>
  <c r="J155" i="48" s="1"/>
  <c r="K309" i="48"/>
  <c r="K34" i="48"/>
  <c r="G104" i="29"/>
  <c r="F137" i="29"/>
  <c r="F138" i="29" s="1"/>
  <c r="K149" i="46"/>
  <c r="K154" i="46" s="1"/>
  <c r="K148" i="46"/>
  <c r="K153" i="46" s="1"/>
  <c r="K152" i="46"/>
  <c r="L83" i="45" s="1"/>
  <c r="K147" i="48"/>
  <c r="K151" i="46"/>
  <c r="K156" i="46" s="1"/>
  <c r="K150" i="46"/>
  <c r="K155" i="46" s="1"/>
  <c r="M5" i="28"/>
  <c r="L17" i="28"/>
  <c r="L30" i="28" s="1"/>
  <c r="L18" i="28"/>
  <c r="L31" i="28" s="1"/>
  <c r="L15" i="28"/>
  <c r="L28" i="28" s="1"/>
  <c r="L46" i="28" s="1"/>
  <c r="L16" i="28"/>
  <c r="L29" i="28" s="1"/>
  <c r="L47" i="28" s="1"/>
  <c r="L14" i="28"/>
  <c r="M14" i="29"/>
  <c r="N5" i="29"/>
  <c r="M15" i="29"/>
  <c r="M28" i="29" s="1"/>
  <c r="M46" i="29" s="1"/>
  <c r="M16" i="29"/>
  <c r="M29" i="29" s="1"/>
  <c r="M47" i="29" s="1"/>
  <c r="M18" i="29"/>
  <c r="M31" i="29" s="1"/>
  <c r="M17" i="29"/>
  <c r="M30" i="29" s="1"/>
  <c r="J32" i="28"/>
  <c r="J45" i="28"/>
  <c r="F237" i="19"/>
  <c r="F241" i="19" s="1"/>
  <c r="F238" i="19"/>
  <c r="H184" i="28"/>
  <c r="H185" i="28" s="1"/>
  <c r="H161" i="28"/>
  <c r="I216" i="28"/>
  <c r="I53" i="29"/>
  <c r="I59" i="29"/>
  <c r="J44" i="16" s="1"/>
  <c r="J44" i="15"/>
  <c r="I57" i="29"/>
  <c r="I61" i="29"/>
  <c r="I60" i="29"/>
  <c r="I62" i="29"/>
  <c r="J62" i="16" s="1"/>
  <c r="J65" i="16" s="1"/>
  <c r="J139" i="16" s="1"/>
  <c r="I55" i="29"/>
  <c r="I52" i="29" s="1"/>
  <c r="I92" i="29" s="1"/>
  <c r="I63" i="29"/>
  <c r="J56" i="16" s="1"/>
  <c r="I50" i="28"/>
  <c r="I56" i="29"/>
  <c r="J56" i="15"/>
  <c r="I54" i="29"/>
  <c r="J62" i="15"/>
  <c r="J65" i="15" s="1"/>
  <c r="J139" i="15" s="1"/>
  <c r="K19" i="53"/>
  <c r="K27" i="53"/>
  <c r="K32" i="53" s="1"/>
  <c r="E178" i="29"/>
  <c r="L19" i="48"/>
  <c r="L275" i="48" s="1"/>
  <c r="L27" i="48"/>
  <c r="L32" i="48" s="1"/>
  <c r="H297" i="42"/>
  <c r="H299" i="42"/>
  <c r="H296" i="42"/>
  <c r="H298" i="42"/>
  <c r="G307" i="42"/>
  <c r="G306" i="42"/>
  <c r="K234" i="46"/>
  <c r="L108" i="45" s="1"/>
  <c r="AR108" i="45" s="1"/>
  <c r="K229" i="48"/>
  <c r="K232" i="46"/>
  <c r="K237" i="46" s="1"/>
  <c r="K231" i="46"/>
  <c r="K236" i="46" s="1"/>
  <c r="K230" i="46"/>
  <c r="K235" i="46" s="1"/>
  <c r="K233" i="46"/>
  <c r="K238" i="46" s="1"/>
  <c r="D175" i="29"/>
  <c r="D176" i="29" s="1"/>
  <c r="D178" i="29" s="1"/>
  <c r="D177" i="29"/>
  <c r="K209" i="38"/>
  <c r="K213" i="38" s="1"/>
  <c r="K211" i="38"/>
  <c r="K210" i="38"/>
  <c r="K214" i="38" s="1"/>
  <c r="K208" i="38"/>
  <c r="K212" i="38" s="1"/>
  <c r="I292" i="42"/>
  <c r="H57" i="55"/>
  <c r="I293" i="38"/>
  <c r="J80" i="55" s="1"/>
  <c r="I316" i="38"/>
  <c r="J249" i="42"/>
  <c r="J72" i="42"/>
  <c r="J47" i="42"/>
  <c r="J291" i="42" s="1"/>
  <c r="J80" i="42"/>
  <c r="J96" i="42"/>
  <c r="J104" i="42"/>
  <c r="D321" i="42"/>
  <c r="D322" i="42" s="1"/>
  <c r="D324" i="42" s="1"/>
  <c r="D323" i="42"/>
  <c r="I295" i="42"/>
  <c r="E304" i="38"/>
  <c r="E308" i="38" s="1"/>
  <c r="E305" i="38"/>
  <c r="J281" i="42"/>
  <c r="J34" i="42"/>
  <c r="J275" i="19"/>
  <c r="J276" i="19"/>
  <c r="J228" i="19"/>
  <c r="J224" i="19"/>
  <c r="J225" i="19"/>
  <c r="L48" i="15"/>
  <c r="L49" i="15" s="1"/>
  <c r="L136" i="15" s="1"/>
  <c r="K76" i="29"/>
  <c r="L58" i="16" s="1"/>
  <c r="K71" i="29"/>
  <c r="K70" i="29"/>
  <c r="K74" i="29"/>
  <c r="L48" i="16" s="1"/>
  <c r="L49" i="16" s="1"/>
  <c r="L136" i="16" s="1"/>
  <c r="K77" i="29"/>
  <c r="L45" i="16" s="1"/>
  <c r="K68" i="29"/>
  <c r="K78" i="29"/>
  <c r="L64" i="16" s="1"/>
  <c r="K69" i="29"/>
  <c r="K75" i="29"/>
  <c r="L58" i="15"/>
  <c r="K67" i="29"/>
  <c r="L45" i="15"/>
  <c r="K66" i="29"/>
  <c r="K65" i="29" s="1"/>
  <c r="L64" i="15"/>
  <c r="K73" i="29"/>
  <c r="I59" i="15"/>
  <c r="I135" i="15" s="1"/>
  <c r="I66" i="15"/>
  <c r="H312" i="38"/>
  <c r="I86" i="55" s="1"/>
  <c r="H314" i="38"/>
  <c r="I88" i="55" s="1"/>
  <c r="H309" i="38"/>
  <c r="H310" i="38"/>
  <c r="H313" i="38"/>
  <c r="I87" i="55" s="1"/>
  <c r="H311" i="38"/>
  <c r="I85" i="55" s="1"/>
  <c r="I149" i="28"/>
  <c r="I34" i="28"/>
  <c r="L191" i="38"/>
  <c r="L207" i="38"/>
  <c r="L199" i="38"/>
  <c r="I230" i="19"/>
  <c r="I229" i="19"/>
  <c r="I231" i="19"/>
  <c r="I232" i="19"/>
  <c r="H217" i="28"/>
  <c r="G151" i="28"/>
  <c r="L223" i="42"/>
  <c r="L227" i="42" s="1"/>
  <c r="L226" i="42"/>
  <c r="L224" i="42"/>
  <c r="L228" i="42" s="1"/>
  <c r="L225" i="42"/>
  <c r="L229" i="42" s="1"/>
  <c r="I246" i="42"/>
  <c r="K309" i="46"/>
  <c r="K34" i="46"/>
  <c r="L15" i="54"/>
  <c r="L28" i="54" s="1"/>
  <c r="L18" i="54"/>
  <c r="L31" i="54" s="1"/>
  <c r="L17" i="54"/>
  <c r="L30" i="54" s="1"/>
  <c r="L14" i="54"/>
  <c r="M5" i="54"/>
  <c r="L16" i="54"/>
  <c r="L29" i="54" s="1"/>
  <c r="L44" i="54" s="1"/>
  <c r="L150" i="54" s="1"/>
  <c r="L151" i="54" s="1"/>
  <c r="J170" i="48"/>
  <c r="J175" i="48" s="1"/>
  <c r="J169" i="48"/>
  <c r="J174" i="48" s="1"/>
  <c r="J172" i="48"/>
  <c r="J171" i="48"/>
  <c r="J176" i="48" s="1"/>
  <c r="J168" i="48"/>
  <c r="J173" i="48" s="1"/>
  <c r="F303" i="38"/>
  <c r="F302" i="38"/>
  <c r="H197" i="29"/>
  <c r="H196" i="29"/>
  <c r="J230" i="48"/>
  <c r="J235" i="48" s="1"/>
  <c r="J232" i="48"/>
  <c r="J237" i="48" s="1"/>
  <c r="J234" i="48"/>
  <c r="J233" i="48"/>
  <c r="J238" i="48" s="1"/>
  <c r="J231" i="48"/>
  <c r="J236" i="48" s="1"/>
  <c r="J34" i="19"/>
  <c r="J214" i="19"/>
  <c r="G163" i="28"/>
  <c r="G160" i="28"/>
  <c r="G162" i="28"/>
  <c r="K19" i="28"/>
  <c r="K118" i="28" s="1"/>
  <c r="K27" i="28"/>
  <c r="N5" i="19"/>
  <c r="M14" i="19"/>
  <c r="M17" i="19"/>
  <c r="M30" i="19" s="1"/>
  <c r="M48" i="19" s="1"/>
  <c r="M16" i="19"/>
  <c r="M29" i="19" s="1"/>
  <c r="M47" i="19" s="1"/>
  <c r="M15" i="19"/>
  <c r="M28" i="19" s="1"/>
  <c r="M46" i="19" s="1"/>
  <c r="M18" i="19"/>
  <c r="M31" i="19" s="1"/>
  <c r="M49" i="19" s="1"/>
  <c r="K164" i="42"/>
  <c r="K168" i="42" s="1"/>
  <c r="K162" i="42"/>
  <c r="K166" i="42" s="1"/>
  <c r="K165" i="42"/>
  <c r="K163" i="42"/>
  <c r="K167" i="42" s="1"/>
  <c r="H159" i="28"/>
  <c r="H210" i="28"/>
  <c r="H211" i="28"/>
  <c r="K83" i="29"/>
  <c r="K82" i="29" s="1"/>
  <c r="L15" i="53"/>
  <c r="L28" i="53" s="1"/>
  <c r="M5" i="53"/>
  <c r="L14" i="53"/>
  <c r="L17" i="53"/>
  <c r="L30" i="53" s="1"/>
  <c r="L18" i="53"/>
  <c r="L31" i="53" s="1"/>
  <c r="L16" i="53"/>
  <c r="L29" i="53" s="1"/>
  <c r="L44" i="53" s="1"/>
  <c r="L150" i="53" s="1"/>
  <c r="L151" i="53" s="1"/>
  <c r="M60" i="51" s="1"/>
  <c r="AS60" i="51" s="1"/>
  <c r="L137" i="38"/>
  <c r="L145" i="38"/>
  <c r="L161" i="38"/>
  <c r="L153" i="38"/>
  <c r="J210" i="48"/>
  <c r="J215" i="48" s="1"/>
  <c r="J212" i="48"/>
  <c r="J217" i="48" s="1"/>
  <c r="J213" i="48"/>
  <c r="J218" i="48" s="1"/>
  <c r="J211" i="48"/>
  <c r="J216" i="48" s="1"/>
  <c r="J214" i="48"/>
  <c r="BS57" i="55"/>
  <c r="F152" i="28"/>
  <c r="L199" i="42"/>
  <c r="L207" i="42"/>
  <c r="L191" i="42"/>
  <c r="F173" i="29"/>
  <c r="J34" i="54"/>
  <c r="J197" i="54"/>
  <c r="C183" i="29"/>
  <c r="C190" i="29" s="1"/>
  <c r="C192" i="29"/>
  <c r="D70" i="16" s="1"/>
  <c r="I293" i="42"/>
  <c r="I316" i="42"/>
  <c r="I317" i="42" s="1"/>
  <c r="K42" i="42"/>
  <c r="K32" i="42"/>
  <c r="F318" i="42"/>
  <c r="F319" i="42" s="1"/>
  <c r="F320" i="42"/>
  <c r="M17" i="46"/>
  <c r="M30" i="46" s="1"/>
  <c r="M45" i="46" s="1"/>
  <c r="N5" i="46"/>
  <c r="M15" i="46"/>
  <c r="M28" i="46" s="1"/>
  <c r="M43" i="46" s="1"/>
  <c r="M18" i="46"/>
  <c r="M31" i="46" s="1"/>
  <c r="M16" i="46"/>
  <c r="M29" i="46" s="1"/>
  <c r="M44" i="46" s="1"/>
  <c r="M246" i="46" s="1"/>
  <c r="M14" i="46"/>
  <c r="G235" i="19"/>
  <c r="G236" i="19"/>
  <c r="G300" i="38"/>
  <c r="G301" i="38"/>
  <c r="I246" i="38"/>
  <c r="H152" i="29"/>
  <c r="H153" i="29"/>
  <c r="H151" i="29"/>
  <c r="H150" i="29"/>
  <c r="K19" i="54"/>
  <c r="K27" i="54"/>
  <c r="K32" i="54" s="1"/>
  <c r="L19" i="19"/>
  <c r="L27" i="19"/>
  <c r="DA80" i="55"/>
  <c r="AO80" i="55"/>
  <c r="G300" i="42"/>
  <c r="G301" i="42"/>
  <c r="K223" i="46"/>
  <c r="K228" i="46" s="1"/>
  <c r="K222" i="46"/>
  <c r="K227" i="46" s="1"/>
  <c r="K220" i="46"/>
  <c r="K225" i="46" s="1"/>
  <c r="K219" i="48"/>
  <c r="K224" i="46"/>
  <c r="L99" i="45" s="1"/>
  <c r="AR99" i="45" s="1"/>
  <c r="K221" i="46"/>
  <c r="K226" i="46" s="1"/>
  <c r="K193" i="38"/>
  <c r="K197" i="38" s="1"/>
  <c r="K192" i="38"/>
  <c r="K196" i="38" s="1"/>
  <c r="K194" i="38"/>
  <c r="K198" i="38" s="1"/>
  <c r="D170" i="28"/>
  <c r="D171" i="28"/>
  <c r="K249" i="48"/>
  <c r="K254" i="48" s="1"/>
  <c r="K248" i="48"/>
  <c r="K253" i="48" s="1"/>
  <c r="K247" i="48"/>
  <c r="K252" i="48" s="1"/>
  <c r="K251" i="48"/>
  <c r="K250" i="48"/>
  <c r="K255" i="48" s="1"/>
  <c r="J182" i="48"/>
  <c r="J178" i="48"/>
  <c r="J183" i="48" s="1"/>
  <c r="J180" i="48"/>
  <c r="J185" i="48" s="1"/>
  <c r="J181" i="48"/>
  <c r="J186" i="48" s="1"/>
  <c r="J179" i="48"/>
  <c r="J184" i="48" s="1"/>
  <c r="G170" i="29"/>
  <c r="G171" i="29" s="1"/>
  <c r="G147" i="29"/>
  <c r="K146" i="42"/>
  <c r="K150" i="42" s="1"/>
  <c r="K147" i="42"/>
  <c r="K151" i="42" s="1"/>
  <c r="K149" i="42"/>
  <c r="K148" i="42"/>
  <c r="K152" i="42" s="1"/>
  <c r="J72" i="38"/>
  <c r="J73" i="38" s="1"/>
  <c r="J249" i="38"/>
  <c r="J96" i="38"/>
  <c r="J104" i="38"/>
  <c r="J80" i="38"/>
  <c r="J47" i="38"/>
  <c r="J291" i="38" s="1"/>
  <c r="J197" i="53"/>
  <c r="J34" i="53"/>
  <c r="I59" i="16"/>
  <c r="I135" i="16" s="1"/>
  <c r="I66" i="16"/>
  <c r="H298" i="38"/>
  <c r="H299" i="38"/>
  <c r="H297" i="38"/>
  <c r="H296" i="38"/>
  <c r="M16" i="38"/>
  <c r="M29" i="38" s="1"/>
  <c r="M44" i="38" s="1"/>
  <c r="M222" i="38" s="1"/>
  <c r="M17" i="38"/>
  <c r="M30" i="38" s="1"/>
  <c r="M45" i="38" s="1"/>
  <c r="N5" i="38"/>
  <c r="M18" i="38"/>
  <c r="M31" i="38" s="1"/>
  <c r="M46" i="38" s="1"/>
  <c r="M237" i="38" s="1"/>
  <c r="M14" i="38"/>
  <c r="M15" i="38"/>
  <c r="M28" i="38" s="1"/>
  <c r="M43" i="38" s="1"/>
  <c r="E177" i="29"/>
  <c r="M18" i="48"/>
  <c r="M31" i="48" s="1"/>
  <c r="M14" i="48"/>
  <c r="M15" i="48"/>
  <c r="M28" i="48" s="1"/>
  <c r="M43" i="48" s="1"/>
  <c r="M17" i="48"/>
  <c r="M30" i="48" s="1"/>
  <c r="M45" i="48" s="1"/>
  <c r="N5" i="48"/>
  <c r="M16" i="48"/>
  <c r="M29" i="48" s="1"/>
  <c r="M44" i="48" s="1"/>
  <c r="K32" i="29"/>
  <c r="K45" i="29"/>
  <c r="L137" i="42"/>
  <c r="L161" i="42"/>
  <c r="L153" i="42"/>
  <c r="L145" i="42"/>
  <c r="D304" i="38"/>
  <c r="D308" i="38" s="1"/>
  <c r="D305" i="38"/>
  <c r="H68" i="16"/>
  <c r="H134" i="16"/>
  <c r="H140" i="16" s="1"/>
  <c r="H133" i="16" a="1"/>
  <c r="H77" i="16"/>
  <c r="K42" i="38"/>
  <c r="K32" i="38"/>
  <c r="I97" i="42"/>
  <c r="I101" i="42" s="1"/>
  <c r="I99" i="42"/>
  <c r="I103" i="42" s="1"/>
  <c r="I98" i="42"/>
  <c r="I102" i="42" s="1"/>
  <c r="I100" i="42"/>
  <c r="L19" i="46"/>
  <c r="L275" i="46" s="1"/>
  <c r="L27" i="46"/>
  <c r="L32" i="46" s="1"/>
  <c r="M14" i="20"/>
  <c r="M18" i="20"/>
  <c r="M17" i="20"/>
  <c r="N5" i="20"/>
  <c r="M15" i="20"/>
  <c r="M16" i="20"/>
  <c r="K32" i="19"/>
  <c r="K45" i="19"/>
  <c r="K50" i="19" s="1"/>
  <c r="K85" i="45"/>
  <c r="K87" i="45"/>
  <c r="K86" i="45"/>
  <c r="AQ85" i="45"/>
  <c r="AQ86" i="45"/>
  <c r="AQ87" i="45"/>
  <c r="F287" i="42"/>
  <c r="F288" i="42"/>
  <c r="F285" i="42"/>
  <c r="F286" i="42"/>
  <c r="F290" i="42"/>
  <c r="F289" i="42"/>
  <c r="K146" i="38"/>
  <c r="K150" i="38" s="1"/>
  <c r="K149" i="38"/>
  <c r="L100" i="36" s="1"/>
  <c r="AR100" i="36" s="1"/>
  <c r="K148" i="38"/>
  <c r="K152" i="38" s="1"/>
  <c r="K147" i="38"/>
  <c r="K151" i="38" s="1"/>
  <c r="I67" i="16"/>
  <c r="I46" i="16"/>
  <c r="D304" i="42"/>
  <c r="D308" i="42" s="1"/>
  <c r="D305" i="42"/>
  <c r="CY57" i="55"/>
  <c r="AM57" i="55"/>
  <c r="F148" i="29"/>
  <c r="F303" i="42"/>
  <c r="F302" i="42"/>
  <c r="L61" i="15"/>
  <c r="K88" i="29"/>
  <c r="L83" i="29"/>
  <c r="L82" i="29" s="1"/>
  <c r="K156" i="42"/>
  <c r="K160" i="42" s="1"/>
  <c r="K155" i="42"/>
  <c r="K159" i="42" s="1"/>
  <c r="K157" i="42"/>
  <c r="K154" i="42"/>
  <c r="K158" i="42" s="1"/>
  <c r="J281" i="38"/>
  <c r="J34" i="38"/>
  <c r="F156" i="29"/>
  <c r="F157" i="29"/>
  <c r="F178" i="29" s="1"/>
  <c r="L19" i="38"/>
  <c r="L247" i="38" s="1"/>
  <c r="L27" i="38"/>
  <c r="L238" i="42"/>
  <c r="L242" i="42" s="1"/>
  <c r="L239" i="42"/>
  <c r="L243" i="42" s="1"/>
  <c r="L241" i="42"/>
  <c r="L240" i="42"/>
  <c r="L244" i="42" s="1"/>
  <c r="E164" i="29"/>
  <c r="E163" i="29"/>
  <c r="E166" i="29"/>
  <c r="AL63" i="55" s="1"/>
  <c r="E168" i="29"/>
  <c r="AL65" i="55" s="1"/>
  <c r="E165" i="29"/>
  <c r="AL62" i="55" s="1"/>
  <c r="E167" i="29"/>
  <c r="AL64" i="55" s="1"/>
  <c r="I81" i="42"/>
  <c r="I85" i="42" s="1"/>
  <c r="I84" i="42"/>
  <c r="I82" i="42"/>
  <c r="I86" i="42" s="1"/>
  <c r="I83" i="42"/>
  <c r="I87" i="42" s="1"/>
  <c r="E158" i="28"/>
  <c r="BR65" i="55" s="1"/>
  <c r="E154" i="28"/>
  <c r="BR61" i="55" s="1"/>
  <c r="E156" i="28"/>
  <c r="BR63" i="55" s="1"/>
  <c r="E153" i="28"/>
  <c r="E157" i="28"/>
  <c r="BR64" i="55" s="1"/>
  <c r="E155" i="28"/>
  <c r="BR62" i="55" s="1"/>
  <c r="G160" i="29"/>
  <c r="G172" i="29" s="1"/>
  <c r="G173" i="29" s="1"/>
  <c r="G161" i="29"/>
  <c r="L147" i="46"/>
  <c r="L177" i="46"/>
  <c r="L157" i="46"/>
  <c r="L167" i="46"/>
  <c r="K201" i="42"/>
  <c r="K205" i="42" s="1"/>
  <c r="K202" i="42"/>
  <c r="K206" i="42" s="1"/>
  <c r="K203" i="42"/>
  <c r="K200" i="42"/>
  <c r="K204" i="42" s="1"/>
  <c r="F178" i="28"/>
  <c r="F180" i="28"/>
  <c r="G63" i="55" s="1"/>
  <c r="F177" i="28"/>
  <c r="F181" i="28"/>
  <c r="G64" i="55" s="1"/>
  <c r="F179" i="28"/>
  <c r="G62" i="55" s="1"/>
  <c r="F182" i="28"/>
  <c r="G65" i="55" s="1"/>
  <c r="C196" i="28"/>
  <c r="C197" i="28" s="1"/>
  <c r="C206" i="28" s="1"/>
  <c r="D70" i="15" s="1"/>
  <c r="G283" i="42"/>
  <c r="G284" i="42" s="1"/>
  <c r="H250" i="42"/>
  <c r="K155" i="38"/>
  <c r="K159" i="38" s="1"/>
  <c r="K157" i="38"/>
  <c r="L79" i="36" s="1"/>
  <c r="AR79" i="36" s="1"/>
  <c r="K154" i="38"/>
  <c r="K158" i="38" s="1"/>
  <c r="K156" i="38"/>
  <c r="K160" i="38" s="1"/>
  <c r="H88" i="12"/>
  <c r="M88" i="12"/>
  <c r="C190" i="14"/>
  <c r="C97" i="15"/>
  <c r="D194" i="12"/>
  <c r="D200" i="12" s="1"/>
  <c r="C190" i="12"/>
  <c r="H141" i="16" l="1"/>
  <c r="H142" i="16" s="1"/>
  <c r="J246" i="38"/>
  <c r="J246" i="42"/>
  <c r="L49" i="28"/>
  <c r="AJ58" i="55"/>
  <c r="D69" i="16"/>
  <c r="D71" i="16" s="1"/>
  <c r="AJ33" i="58" s="1"/>
  <c r="CV58" i="55"/>
  <c r="AJ61" i="55"/>
  <c r="C199" i="29"/>
  <c r="G302" i="38"/>
  <c r="G303" i="38"/>
  <c r="M19" i="19"/>
  <c r="M27" i="19"/>
  <c r="H283" i="42"/>
  <c r="H284" i="42" s="1"/>
  <c r="I250" i="42"/>
  <c r="L157" i="48"/>
  <c r="L159" i="46"/>
  <c r="L164" i="46" s="1"/>
  <c r="L162" i="46"/>
  <c r="M98" i="45" s="1"/>
  <c r="AS98" i="45" s="1"/>
  <c r="L161" i="46"/>
  <c r="L166" i="46" s="1"/>
  <c r="L160" i="46"/>
  <c r="L165" i="46" s="1"/>
  <c r="L158" i="46"/>
  <c r="L163" i="46" s="1"/>
  <c r="K104" i="38"/>
  <c r="K72" i="38"/>
  <c r="K73" i="38" s="1"/>
  <c r="K249" i="38"/>
  <c r="K47" i="38"/>
  <c r="K291" i="38" s="1"/>
  <c r="K96" i="38"/>
  <c r="K80" i="38"/>
  <c r="L155" i="42"/>
  <c r="L159" i="42" s="1"/>
  <c r="L157" i="42"/>
  <c r="L154" i="42"/>
  <c r="L158" i="42" s="1"/>
  <c r="L156" i="42"/>
  <c r="L160" i="42" s="1"/>
  <c r="M199" i="38"/>
  <c r="M191" i="38"/>
  <c r="M207" i="38"/>
  <c r="K221" i="48"/>
  <c r="K226" i="48" s="1"/>
  <c r="K222" i="48"/>
  <c r="K227" i="48" s="1"/>
  <c r="K220" i="48"/>
  <c r="K225" i="48" s="1"/>
  <c r="K224" i="48"/>
  <c r="K223" i="48"/>
  <c r="K228" i="48" s="1"/>
  <c r="L32" i="19"/>
  <c r="L45" i="19"/>
  <c r="L50" i="19" s="1"/>
  <c r="H154" i="29"/>
  <c r="H155" i="29"/>
  <c r="L192" i="42"/>
  <c r="L196" i="42" s="1"/>
  <c r="L194" i="42"/>
  <c r="L198" i="42" s="1"/>
  <c r="L193" i="42"/>
  <c r="L197" i="42" s="1"/>
  <c r="L195" i="42"/>
  <c r="H163" i="28"/>
  <c r="H162" i="28"/>
  <c r="H160" i="28"/>
  <c r="G167" i="28"/>
  <c r="G166" i="28"/>
  <c r="G164" i="28"/>
  <c r="G165" i="28"/>
  <c r="BT57" i="55"/>
  <c r="G152" i="28"/>
  <c r="L192" i="38"/>
  <c r="L196" i="38" s="1"/>
  <c r="L194" i="38"/>
  <c r="L198" i="38" s="1"/>
  <c r="L193" i="38"/>
  <c r="L197" i="38" s="1"/>
  <c r="D182" i="29"/>
  <c r="G318" i="42"/>
  <c r="G319" i="42" s="1"/>
  <c r="G320" i="42"/>
  <c r="G323" i="42" s="1"/>
  <c r="J67" i="15"/>
  <c r="J46" i="15"/>
  <c r="J216" i="28"/>
  <c r="J53" i="29"/>
  <c r="K44" i="15"/>
  <c r="J60" i="29"/>
  <c r="J57" i="29"/>
  <c r="J61" i="29"/>
  <c r="J62" i="29"/>
  <c r="K62" i="16" s="1"/>
  <c r="K65" i="16" s="1"/>
  <c r="K139" i="16" s="1"/>
  <c r="J50" i="28"/>
  <c r="J54" i="29"/>
  <c r="J55" i="29"/>
  <c r="J52" i="29" s="1"/>
  <c r="J92" i="29" s="1"/>
  <c r="J56" i="29"/>
  <c r="J63" i="29"/>
  <c r="K56" i="16" s="1"/>
  <c r="K62" i="15"/>
  <c r="K65" i="15" s="1"/>
  <c r="K139" i="15" s="1"/>
  <c r="J59" i="29"/>
  <c r="K44" i="16" s="1"/>
  <c r="K56" i="15"/>
  <c r="J117" i="28"/>
  <c r="L19" i="28"/>
  <c r="L118" i="28" s="1"/>
  <c r="L27" i="28"/>
  <c r="K150" i="48"/>
  <c r="K155" i="48" s="1"/>
  <c r="K152" i="48"/>
  <c r="K149" i="48"/>
  <c r="K154" i="48" s="1"/>
  <c r="K148" i="48"/>
  <c r="K153" i="48" s="1"/>
  <c r="K151" i="48"/>
  <c r="K156" i="48" s="1"/>
  <c r="L209" i="48"/>
  <c r="L214" i="46"/>
  <c r="M89" i="45" s="1"/>
  <c r="L213" i="46"/>
  <c r="L218" i="46" s="1"/>
  <c r="L212" i="46"/>
  <c r="L217" i="46" s="1"/>
  <c r="L211" i="46"/>
  <c r="L216" i="46" s="1"/>
  <c r="L210" i="46"/>
  <c r="L215" i="46" s="1"/>
  <c r="M240" i="42"/>
  <c r="M244" i="42" s="1"/>
  <c r="M238" i="42"/>
  <c r="M242" i="42" s="1"/>
  <c r="M239" i="42"/>
  <c r="M243" i="42" s="1"/>
  <c r="M241" i="42"/>
  <c r="G156" i="29"/>
  <c r="G157" i="29"/>
  <c r="L42" i="42"/>
  <c r="L32" i="42"/>
  <c r="D196" i="28"/>
  <c r="D197" i="28" s="1"/>
  <c r="D204" i="28" s="1"/>
  <c r="L151" i="46"/>
  <c r="L156" i="46" s="1"/>
  <c r="L150" i="46"/>
  <c r="L155" i="46" s="1"/>
  <c r="L148" i="46"/>
  <c r="L153" i="46" s="1"/>
  <c r="L152" i="46"/>
  <c r="M83" i="45" s="1"/>
  <c r="L147" i="48"/>
  <c r="L149" i="46"/>
  <c r="L154" i="46" s="1"/>
  <c r="K214" i="19"/>
  <c r="K34" i="19"/>
  <c r="L19" i="53"/>
  <c r="L27" i="53"/>
  <c r="L32" i="53" s="1"/>
  <c r="M48" i="15"/>
  <c r="M49" i="15" s="1"/>
  <c r="M136" i="15" s="1"/>
  <c r="L75" i="29"/>
  <c r="L71" i="29"/>
  <c r="M58" i="15"/>
  <c r="L74" i="29"/>
  <c r="M48" i="16" s="1"/>
  <c r="M49" i="16" s="1"/>
  <c r="M136" i="16" s="1"/>
  <c r="L73" i="29"/>
  <c r="M45" i="15"/>
  <c r="L68" i="29"/>
  <c r="L69" i="29"/>
  <c r="L77" i="29"/>
  <c r="M45" i="16" s="1"/>
  <c r="L66" i="29"/>
  <c r="L65" i="29" s="1"/>
  <c r="L76" i="29"/>
  <c r="M58" i="16" s="1"/>
  <c r="L70" i="29"/>
  <c r="L67" i="29"/>
  <c r="M64" i="15"/>
  <c r="L78" i="29"/>
  <c r="M64" i="16" s="1"/>
  <c r="H235" i="19"/>
  <c r="H236" i="19"/>
  <c r="G285" i="42"/>
  <c r="G286" i="42"/>
  <c r="G290" i="42"/>
  <c r="G289" i="42"/>
  <c r="G288" i="42"/>
  <c r="G287" i="42"/>
  <c r="L180" i="46"/>
  <c r="L185" i="46" s="1"/>
  <c r="L182" i="46"/>
  <c r="M107" i="45" s="1"/>
  <c r="AS107" i="45" s="1"/>
  <c r="L177" i="48"/>
  <c r="L181" i="46"/>
  <c r="L186" i="46" s="1"/>
  <c r="L179" i="46"/>
  <c r="L184" i="46" s="1"/>
  <c r="L178" i="46"/>
  <c r="L183" i="46" s="1"/>
  <c r="F165" i="29"/>
  <c r="AM62" i="55" s="1"/>
  <c r="F163" i="29"/>
  <c r="F164" i="29"/>
  <c r="F166" i="29"/>
  <c r="AM63" i="55" s="1"/>
  <c r="F168" i="29"/>
  <c r="AM65" i="55" s="1"/>
  <c r="F167" i="29"/>
  <c r="AM64" i="55" s="1"/>
  <c r="K228" i="19"/>
  <c r="K224" i="19"/>
  <c r="K225" i="19"/>
  <c r="K275" i="19"/>
  <c r="K276" i="19"/>
  <c r="L309" i="46"/>
  <c r="L34" i="46"/>
  <c r="L162" i="42"/>
  <c r="L166" i="42" s="1"/>
  <c r="L163" i="42"/>
  <c r="L167" i="42" s="1"/>
  <c r="L164" i="42"/>
  <c r="L168" i="42" s="1"/>
  <c r="L165" i="42"/>
  <c r="M19" i="48"/>
  <c r="M275" i="48" s="1"/>
  <c r="M27" i="48"/>
  <c r="M32" i="48" s="1"/>
  <c r="M224" i="38"/>
  <c r="M228" i="38" s="1"/>
  <c r="M225" i="38"/>
  <c r="M229" i="38" s="1"/>
  <c r="M223" i="38"/>
  <c r="M227" i="38" s="1"/>
  <c r="D192" i="28"/>
  <c r="M147" i="46"/>
  <c r="M157" i="46"/>
  <c r="M177" i="46"/>
  <c r="M167" i="46"/>
  <c r="DB80" i="55"/>
  <c r="AP80" i="55"/>
  <c r="L210" i="42"/>
  <c r="L214" i="42" s="1"/>
  <c r="L211" i="42"/>
  <c r="L209" i="42"/>
  <c r="L213" i="42" s="1"/>
  <c r="L208" i="42"/>
  <c r="L212" i="42" s="1"/>
  <c r="I217" i="28"/>
  <c r="H151" i="28"/>
  <c r="I37" i="28"/>
  <c r="I36" i="28"/>
  <c r="I159" i="28"/>
  <c r="I211" i="28"/>
  <c r="I210" i="28"/>
  <c r="J67" i="16"/>
  <c r="J46" i="16"/>
  <c r="J34" i="28"/>
  <c r="J149" i="28"/>
  <c r="M55" i="15"/>
  <c r="L85" i="29"/>
  <c r="M55" i="16" s="1"/>
  <c r="L219" i="48"/>
  <c r="L223" i="46"/>
  <c r="L228" i="46" s="1"/>
  <c r="L222" i="46"/>
  <c r="L227" i="46" s="1"/>
  <c r="L221" i="46"/>
  <c r="L226" i="46" s="1"/>
  <c r="L220" i="46"/>
  <c r="L225" i="46" s="1"/>
  <c r="L224" i="46"/>
  <c r="M99" i="45" s="1"/>
  <c r="AS99" i="45" s="1"/>
  <c r="K213" i="48"/>
  <c r="K218" i="48" s="1"/>
  <c r="K210" i="48"/>
  <c r="K215" i="48" s="1"/>
  <c r="K211" i="48"/>
  <c r="K216" i="48" s="1"/>
  <c r="K212" i="48"/>
  <c r="K217" i="48" s="1"/>
  <c r="K214" i="48"/>
  <c r="M207" i="42"/>
  <c r="M191" i="42"/>
  <c r="M199" i="42"/>
  <c r="H141" i="15"/>
  <c r="H142" i="15" s="1"/>
  <c r="I294" i="38"/>
  <c r="E186" i="28"/>
  <c r="E187" i="28" s="1"/>
  <c r="E188" i="28"/>
  <c r="D173" i="28"/>
  <c r="D172" i="28"/>
  <c r="D176" i="28" s="1"/>
  <c r="K50" i="29"/>
  <c r="K145" i="29" s="1"/>
  <c r="E182" i="29"/>
  <c r="J295" i="38"/>
  <c r="J292" i="38"/>
  <c r="K34" i="54"/>
  <c r="K197" i="54"/>
  <c r="M229" i="46"/>
  <c r="M209" i="46"/>
  <c r="M219" i="46"/>
  <c r="F154" i="28"/>
  <c r="BS61" i="55" s="1"/>
  <c r="F155" i="28"/>
  <c r="BS62" i="55" s="1"/>
  <c r="F153" i="28"/>
  <c r="F157" i="28"/>
  <c r="BS64" i="55" s="1"/>
  <c r="F158" i="28"/>
  <c r="BS65" i="55" s="1"/>
  <c r="F156" i="28"/>
  <c r="BS63" i="55" s="1"/>
  <c r="L157" i="38"/>
  <c r="M79" i="36" s="1"/>
  <c r="AS79" i="36" s="1"/>
  <c r="L154" i="38"/>
  <c r="L158" i="38" s="1"/>
  <c r="L155" i="38"/>
  <c r="L159" i="38" s="1"/>
  <c r="L156" i="38"/>
  <c r="L160" i="38" s="1"/>
  <c r="M15" i="53"/>
  <c r="M28" i="53" s="1"/>
  <c r="M18" i="53"/>
  <c r="M31" i="53" s="1"/>
  <c r="M16" i="53"/>
  <c r="M29" i="53" s="1"/>
  <c r="M44" i="53" s="1"/>
  <c r="M150" i="53" s="1"/>
  <c r="M151" i="53" s="1"/>
  <c r="N60" i="51" s="1"/>
  <c r="AT60" i="51" s="1"/>
  <c r="N5" i="53"/>
  <c r="M14" i="53"/>
  <c r="M17" i="53"/>
  <c r="M30" i="53" s="1"/>
  <c r="O5" i="19"/>
  <c r="N15" i="19"/>
  <c r="N28" i="19" s="1"/>
  <c r="N46" i="19" s="1"/>
  <c r="N18" i="19"/>
  <c r="N31" i="19" s="1"/>
  <c r="N49" i="19" s="1"/>
  <c r="N14" i="19"/>
  <c r="N16" i="19"/>
  <c r="N29" i="19" s="1"/>
  <c r="N47" i="19" s="1"/>
  <c r="N17" i="19"/>
  <c r="N30" i="19" s="1"/>
  <c r="N48" i="19" s="1"/>
  <c r="L19" i="54"/>
  <c r="L27" i="54"/>
  <c r="L32" i="54" s="1"/>
  <c r="I233" i="19"/>
  <c r="I234" i="19"/>
  <c r="J98" i="42"/>
  <c r="J102" i="42" s="1"/>
  <c r="J97" i="42"/>
  <c r="J101" i="42" s="1"/>
  <c r="J100" i="42"/>
  <c r="J99" i="42"/>
  <c r="J103" i="42" s="1"/>
  <c r="I184" i="28"/>
  <c r="I185" i="28" s="1"/>
  <c r="I161" i="28"/>
  <c r="M49" i="29"/>
  <c r="M61" i="15"/>
  <c r="L88" i="29"/>
  <c r="J37" i="29"/>
  <c r="J36" i="29"/>
  <c r="M19" i="42"/>
  <c r="M247" i="42" s="1"/>
  <c r="M27" i="42"/>
  <c r="L32" i="29"/>
  <c r="L45" i="29"/>
  <c r="I298" i="38"/>
  <c r="I297" i="38"/>
  <c r="I296" i="38"/>
  <c r="I299" i="38"/>
  <c r="L138" i="42"/>
  <c r="L142" i="42" s="1"/>
  <c r="L139" i="42"/>
  <c r="L143" i="42" s="1"/>
  <c r="L140" i="42"/>
  <c r="L144" i="42" s="1"/>
  <c r="L141" i="42"/>
  <c r="N17" i="46"/>
  <c r="N30" i="46" s="1"/>
  <c r="N45" i="46" s="1"/>
  <c r="N18" i="46"/>
  <c r="N31" i="46" s="1"/>
  <c r="O5" i="46"/>
  <c r="N15" i="46"/>
  <c r="N28" i="46" s="1"/>
  <c r="N43" i="46" s="1"/>
  <c r="N14" i="46"/>
  <c r="N16" i="46"/>
  <c r="N29" i="46" s="1"/>
  <c r="N44" i="46" s="1"/>
  <c r="N246" i="46" s="1"/>
  <c r="F304" i="38"/>
  <c r="F308" i="38" s="1"/>
  <c r="F305" i="38"/>
  <c r="K34" i="53"/>
  <c r="K197" i="53"/>
  <c r="M137" i="42"/>
  <c r="M161" i="42"/>
  <c r="M145" i="42"/>
  <c r="M153" i="42"/>
  <c r="C204" i="28"/>
  <c r="K34" i="29"/>
  <c r="K135" i="29"/>
  <c r="M137" i="38"/>
  <c r="M161" i="38"/>
  <c r="M153" i="38"/>
  <c r="M145" i="38"/>
  <c r="H307" i="38"/>
  <c r="H306" i="38"/>
  <c r="H318" i="38" s="1"/>
  <c r="G302" i="42"/>
  <c r="G303" i="42"/>
  <c r="F321" i="42"/>
  <c r="F322" i="42" s="1"/>
  <c r="F324" i="42" s="1"/>
  <c r="F323" i="42"/>
  <c r="L164" i="38"/>
  <c r="L168" i="38" s="1"/>
  <c r="L165" i="38"/>
  <c r="M109" i="36" s="1"/>
  <c r="AS109" i="36" s="1"/>
  <c r="L162" i="38"/>
  <c r="L166" i="38" s="1"/>
  <c r="L163" i="38"/>
  <c r="L167" i="38" s="1"/>
  <c r="K32" i="28"/>
  <c r="K45" i="28"/>
  <c r="J83" i="42"/>
  <c r="J87" i="42" s="1"/>
  <c r="J82" i="42"/>
  <c r="J86" i="42" s="1"/>
  <c r="J84" i="42"/>
  <c r="J81" i="42"/>
  <c r="J85" i="42" s="1"/>
  <c r="H306" i="42"/>
  <c r="H307" i="42"/>
  <c r="I117" i="28"/>
  <c r="I57" i="55"/>
  <c r="K160" i="48"/>
  <c r="K165" i="48" s="1"/>
  <c r="K158" i="48"/>
  <c r="K163" i="48" s="1"/>
  <c r="K162" i="48"/>
  <c r="K159" i="48"/>
  <c r="K164" i="48" s="1"/>
  <c r="K161" i="48"/>
  <c r="K166" i="48" s="1"/>
  <c r="M224" i="42"/>
  <c r="M228" i="42" s="1"/>
  <c r="M223" i="42"/>
  <c r="M227" i="42" s="1"/>
  <c r="M226" i="42"/>
  <c r="M225" i="42"/>
  <c r="M229" i="42" s="1"/>
  <c r="L42" i="38"/>
  <c r="L32" i="38"/>
  <c r="J37" i="19"/>
  <c r="J36" i="19"/>
  <c r="H301" i="42"/>
  <c r="H300" i="42"/>
  <c r="L87" i="45"/>
  <c r="L85" i="45"/>
  <c r="AR85" i="45"/>
  <c r="AR86" i="45"/>
  <c r="AR87" i="45"/>
  <c r="L86" i="45"/>
  <c r="F158" i="29"/>
  <c r="F162" i="29" s="1"/>
  <c r="F159" i="29"/>
  <c r="K87" i="29"/>
  <c r="L61" i="16"/>
  <c r="O5" i="20"/>
  <c r="N16" i="20"/>
  <c r="N15" i="20"/>
  <c r="N14" i="20"/>
  <c r="N18" i="20"/>
  <c r="N17" i="20"/>
  <c r="M19" i="38"/>
  <c r="M247" i="38" s="1"/>
  <c r="M27" i="38"/>
  <c r="H301" i="38"/>
  <c r="H300" i="38"/>
  <c r="CZ57" i="55"/>
  <c r="AN57" i="55"/>
  <c r="G148" i="29"/>
  <c r="G321" i="42"/>
  <c r="G322" i="42" s="1"/>
  <c r="G324" i="42" s="1"/>
  <c r="G238" i="19"/>
  <c r="G237" i="19"/>
  <c r="G241" i="19" s="1"/>
  <c r="L149" i="38"/>
  <c r="M100" i="36" s="1"/>
  <c r="AS100" i="36" s="1"/>
  <c r="L146" i="38"/>
  <c r="L150" i="38" s="1"/>
  <c r="L147" i="38"/>
  <c r="L151" i="38" s="1"/>
  <c r="L148" i="38"/>
  <c r="L152" i="38" s="1"/>
  <c r="I294" i="42"/>
  <c r="J292" i="42"/>
  <c r="J295" i="42"/>
  <c r="M15" i="28"/>
  <c r="M28" i="28" s="1"/>
  <c r="M46" i="28" s="1"/>
  <c r="M14" i="28"/>
  <c r="M16" i="28"/>
  <c r="M29" i="28" s="1"/>
  <c r="M47" i="28" s="1"/>
  <c r="N5" i="28"/>
  <c r="M17" i="28"/>
  <c r="M30" i="28" s="1"/>
  <c r="M18" i="28"/>
  <c r="M31" i="28" s="1"/>
  <c r="F139" i="29"/>
  <c r="F141" i="29"/>
  <c r="F143" i="29"/>
  <c r="F140" i="29"/>
  <c r="F142" i="29"/>
  <c r="F144" i="29"/>
  <c r="K181" i="48"/>
  <c r="K186" i="48" s="1"/>
  <c r="K180" i="48"/>
  <c r="K185" i="48" s="1"/>
  <c r="K182" i="48"/>
  <c r="K179" i="48"/>
  <c r="K184" i="48" s="1"/>
  <c r="K178" i="48"/>
  <c r="K183" i="48" s="1"/>
  <c r="K169" i="48"/>
  <c r="K174" i="48" s="1"/>
  <c r="K168" i="48"/>
  <c r="K173" i="48" s="1"/>
  <c r="K171" i="48"/>
  <c r="K176" i="48" s="1"/>
  <c r="K170" i="48"/>
  <c r="K175" i="48" s="1"/>
  <c r="K172" i="48"/>
  <c r="F177" i="29"/>
  <c r="L203" i="42"/>
  <c r="L200" i="42"/>
  <c r="L204" i="42" s="1"/>
  <c r="L201" i="42"/>
  <c r="L205" i="42" s="1"/>
  <c r="L202" i="42"/>
  <c r="L206" i="42" s="1"/>
  <c r="M18" i="54"/>
  <c r="M31" i="54" s="1"/>
  <c r="M15" i="54"/>
  <c r="M28" i="54" s="1"/>
  <c r="M17" i="54"/>
  <c r="M30" i="54" s="1"/>
  <c r="M14" i="54"/>
  <c r="N5" i="54"/>
  <c r="M16" i="54"/>
  <c r="M29" i="54" s="1"/>
  <c r="M44" i="54" s="1"/>
  <c r="M150" i="54" s="1"/>
  <c r="M151" i="54" s="1"/>
  <c r="J107" i="42"/>
  <c r="J111" i="42" s="1"/>
  <c r="J108" i="42"/>
  <c r="J106" i="42"/>
  <c r="J110" i="42" s="1"/>
  <c r="J105" i="42"/>
  <c r="J109" i="42" s="1"/>
  <c r="I133" i="16" a="1"/>
  <c r="I134" i="16"/>
  <c r="I140" i="16" s="1"/>
  <c r="I68" i="16"/>
  <c r="I77" i="16"/>
  <c r="O5" i="48"/>
  <c r="N17" i="48"/>
  <c r="N30" i="48" s="1"/>
  <c r="N45" i="48" s="1"/>
  <c r="N14" i="48"/>
  <c r="N18" i="48"/>
  <c r="N31" i="48" s="1"/>
  <c r="N15" i="48"/>
  <c r="N28" i="48" s="1"/>
  <c r="N43" i="48" s="1"/>
  <c r="N16" i="48"/>
  <c r="N29" i="48" s="1"/>
  <c r="N44" i="48" s="1"/>
  <c r="M239" i="38"/>
  <c r="M243" i="38" s="1"/>
  <c r="M240" i="38"/>
  <c r="M244" i="38" s="1"/>
  <c r="M238" i="38"/>
  <c r="M242" i="38" s="1"/>
  <c r="G174" i="29"/>
  <c r="G175" i="29" s="1"/>
  <c r="G176" i="29" s="1"/>
  <c r="G178" i="29" s="1"/>
  <c r="M27" i="46"/>
  <c r="M32" i="46" s="1"/>
  <c r="M19" i="46"/>
  <c r="M275" i="46" s="1"/>
  <c r="K281" i="42"/>
  <c r="K34" i="42"/>
  <c r="L139" i="38"/>
  <c r="L138" i="38"/>
  <c r="L140" i="38"/>
  <c r="G179" i="28"/>
  <c r="H62" i="55" s="1"/>
  <c r="G181" i="28"/>
  <c r="H64" i="55" s="1"/>
  <c r="G177" i="28"/>
  <c r="G180" i="28"/>
  <c r="H63" i="55" s="1"/>
  <c r="G178" i="28"/>
  <c r="G182" i="28"/>
  <c r="H65" i="55" s="1"/>
  <c r="L201" i="38"/>
  <c r="L205" i="38" s="1"/>
  <c r="L203" i="38"/>
  <c r="M101" i="36" s="1"/>
  <c r="AS101" i="36" s="1"/>
  <c r="L200" i="38"/>
  <c r="L204" i="38" s="1"/>
  <c r="L202" i="38"/>
  <c r="L206" i="38" s="1"/>
  <c r="J230" i="19"/>
  <c r="J231" i="19"/>
  <c r="J232" i="19"/>
  <c r="J229" i="19"/>
  <c r="I296" i="42"/>
  <c r="I299" i="42"/>
  <c r="I297" i="42"/>
  <c r="I298" i="42"/>
  <c r="J74" i="42"/>
  <c r="J78" i="42" s="1"/>
  <c r="J75" i="42"/>
  <c r="J79" i="42" s="1"/>
  <c r="J73" i="42"/>
  <c r="J77" i="42" s="1"/>
  <c r="J76" i="42"/>
  <c r="K232" i="48"/>
  <c r="K237" i="48" s="1"/>
  <c r="K231" i="48"/>
  <c r="K236" i="48" s="1"/>
  <c r="K233" i="48"/>
  <c r="K238" i="48" s="1"/>
  <c r="K234" i="48"/>
  <c r="K230" i="48"/>
  <c r="K235" i="48" s="1"/>
  <c r="I103" i="29"/>
  <c r="I91" i="29"/>
  <c r="N15" i="29"/>
  <c r="N28" i="29" s="1"/>
  <c r="N46" i="29" s="1"/>
  <c r="N14" i="29"/>
  <c r="N17" i="29"/>
  <c r="N30" i="29" s="1"/>
  <c r="N16" i="29"/>
  <c r="N29" i="29" s="1"/>
  <c r="N47" i="29" s="1"/>
  <c r="O5" i="29"/>
  <c r="N18" i="29"/>
  <c r="N31" i="29" s="1"/>
  <c r="N49" i="29" s="1"/>
  <c r="H104" i="29"/>
  <c r="G137" i="29"/>
  <c r="G138" i="29" s="1"/>
  <c r="F175" i="28"/>
  <c r="F174" i="28"/>
  <c r="I134" i="15"/>
  <c r="I140" i="15" s="1"/>
  <c r="I133" i="15" a="1"/>
  <c r="I141" i="15" s="1"/>
  <c r="I142" i="15" s="1"/>
  <c r="I68" i="15"/>
  <c r="I77" i="15" s="1"/>
  <c r="I153" i="29"/>
  <c r="I151" i="29"/>
  <c r="I152" i="29"/>
  <c r="I150" i="29"/>
  <c r="I239" i="19"/>
  <c r="I251" i="19" s="1"/>
  <c r="I240" i="19"/>
  <c r="J59" i="16"/>
  <c r="J135" i="16" s="1"/>
  <c r="J66" i="16"/>
  <c r="L171" i="46"/>
  <c r="L176" i="46" s="1"/>
  <c r="L169" i="46"/>
  <c r="L174" i="46" s="1"/>
  <c r="L170" i="46"/>
  <c r="L175" i="46" s="1"/>
  <c r="L168" i="46"/>
  <c r="L173" i="46" s="1"/>
  <c r="L167" i="48"/>
  <c r="L172" i="46"/>
  <c r="M77" i="45" s="1"/>
  <c r="AS77" i="45" s="1"/>
  <c r="F304" i="42"/>
  <c r="F308" i="42" s="1"/>
  <c r="F305" i="42"/>
  <c r="K34" i="38"/>
  <c r="K281" i="38"/>
  <c r="L146" i="42"/>
  <c r="L150" i="42" s="1"/>
  <c r="L147" i="42"/>
  <c r="L151" i="42" s="1"/>
  <c r="L149" i="42"/>
  <c r="L148" i="42"/>
  <c r="L152" i="42" s="1"/>
  <c r="N15" i="38"/>
  <c r="N28" i="38" s="1"/>
  <c r="N43" i="38" s="1"/>
  <c r="N14" i="38"/>
  <c r="N17" i="38"/>
  <c r="N30" i="38" s="1"/>
  <c r="N45" i="38" s="1"/>
  <c r="N18" i="38"/>
  <c r="N31" i="38" s="1"/>
  <c r="N46" i="38" s="1"/>
  <c r="N237" i="38" s="1"/>
  <c r="N16" i="38"/>
  <c r="N29" i="38" s="1"/>
  <c r="N44" i="38" s="1"/>
  <c r="N222" i="38" s="1"/>
  <c r="O5" i="38"/>
  <c r="J293" i="38"/>
  <c r="K80" i="55" s="1"/>
  <c r="J316" i="38"/>
  <c r="H161" i="29"/>
  <c r="H160" i="29"/>
  <c r="H172" i="29" s="1"/>
  <c r="M250" i="46"/>
  <c r="M255" i="46" s="1"/>
  <c r="M248" i="46"/>
  <c r="M253" i="46" s="1"/>
  <c r="M246" i="48"/>
  <c r="M251" i="46"/>
  <c r="N96" i="45" s="1"/>
  <c r="M249" i="46"/>
  <c r="M254" i="46" s="1"/>
  <c r="M247" i="46"/>
  <c r="M252" i="46" s="1"/>
  <c r="K249" i="42"/>
  <c r="K96" i="42"/>
  <c r="K47" i="42"/>
  <c r="K291" i="42" s="1"/>
  <c r="K80" i="42"/>
  <c r="K104" i="42"/>
  <c r="K72" i="42"/>
  <c r="L209" i="38"/>
  <c r="L213" i="38" s="1"/>
  <c r="L208" i="38"/>
  <c r="L212" i="38" s="1"/>
  <c r="L211" i="38"/>
  <c r="L210" i="38"/>
  <c r="L214" i="38" s="1"/>
  <c r="D328" i="42"/>
  <c r="J293" i="42"/>
  <c r="J316" i="42"/>
  <c r="J317" i="42" s="1"/>
  <c r="L34" i="48"/>
  <c r="L309" i="48"/>
  <c r="J59" i="15"/>
  <c r="J135" i="15" s="1"/>
  <c r="J66" i="15"/>
  <c r="M19" i="29"/>
  <c r="M27" i="29"/>
  <c r="L229" i="48"/>
  <c r="L234" i="46"/>
  <c r="M108" i="45" s="1"/>
  <c r="AS108" i="45" s="1"/>
  <c r="L232" i="46"/>
  <c r="L237" i="46" s="1"/>
  <c r="L233" i="46"/>
  <c r="L238" i="46" s="1"/>
  <c r="L230" i="46"/>
  <c r="L235" i="46" s="1"/>
  <c r="L231" i="46"/>
  <c r="L236" i="46" s="1"/>
  <c r="L250" i="48"/>
  <c r="L255" i="48" s="1"/>
  <c r="L248" i="48"/>
  <c r="L253" i="48" s="1"/>
  <c r="L247" i="48"/>
  <c r="L252" i="48" s="1"/>
  <c r="L249" i="48"/>
  <c r="L254" i="48" s="1"/>
  <c r="L251" i="48"/>
  <c r="N15" i="42"/>
  <c r="N28" i="42" s="1"/>
  <c r="N43" i="42" s="1"/>
  <c r="N14" i="42"/>
  <c r="O5" i="42"/>
  <c r="N17" i="42"/>
  <c r="N30" i="42" s="1"/>
  <c r="N45" i="42" s="1"/>
  <c r="N18" i="42"/>
  <c r="N31" i="42" s="1"/>
  <c r="N46" i="42" s="1"/>
  <c r="N237" i="42" s="1"/>
  <c r="N16" i="42"/>
  <c r="N29" i="42" s="1"/>
  <c r="N44" i="42" s="1"/>
  <c r="N222" i="42" s="1"/>
  <c r="I197" i="29"/>
  <c r="I196" i="29"/>
  <c r="H170" i="29"/>
  <c r="H171" i="29" s="1"/>
  <c r="H147" i="29"/>
  <c r="AJ81" i="55"/>
  <c r="CV81" i="55"/>
  <c r="C340" i="42"/>
  <c r="AJ84" i="55"/>
  <c r="C345" i="42"/>
  <c r="F168" i="28"/>
  <c r="F169" i="28"/>
  <c r="E329" i="42"/>
  <c r="E338" i="42" s="1"/>
  <c r="J149" i="29"/>
  <c r="J146" i="29"/>
  <c r="E171" i="28"/>
  <c r="E170" i="28"/>
  <c r="C31" i="20"/>
  <c r="C49" i="20" s="1"/>
  <c r="C214" i="20" s="1"/>
  <c r="D135" i="12" s="1"/>
  <c r="C329" i="20"/>
  <c r="C328" i="20"/>
  <c r="C326" i="20"/>
  <c r="J57" i="55" l="1"/>
  <c r="I141" i="16"/>
  <c r="I142" i="16" s="1"/>
  <c r="K246" i="42"/>
  <c r="N223" i="42"/>
  <c r="N227" i="42" s="1"/>
  <c r="N224" i="42"/>
  <c r="N228" i="42" s="1"/>
  <c r="N225" i="42"/>
  <c r="N229" i="42" s="1"/>
  <c r="N226" i="42"/>
  <c r="L232" i="48"/>
  <c r="L237" i="48" s="1"/>
  <c r="L230" i="48"/>
  <c r="L235" i="48" s="1"/>
  <c r="L234" i="48"/>
  <c r="L231" i="48"/>
  <c r="L236" i="48" s="1"/>
  <c r="L233" i="48"/>
  <c r="L238" i="48" s="1"/>
  <c r="DC80" i="55"/>
  <c r="AQ80" i="55"/>
  <c r="L169" i="48"/>
  <c r="L174" i="48" s="1"/>
  <c r="L170" i="48"/>
  <c r="L175" i="48" s="1"/>
  <c r="L172" i="48"/>
  <c r="L171" i="48"/>
  <c r="L176" i="48" s="1"/>
  <c r="L168" i="48"/>
  <c r="L173" i="48" s="1"/>
  <c r="G177" i="29"/>
  <c r="N19" i="48"/>
  <c r="N275" i="48" s="1"/>
  <c r="N27" i="48"/>
  <c r="N32" i="48" s="1"/>
  <c r="H302" i="38"/>
  <c r="H303" i="38"/>
  <c r="O15" i="20"/>
  <c r="O16" i="20"/>
  <c r="O14" i="20"/>
  <c r="O17" i="20"/>
  <c r="O18" i="20"/>
  <c r="P5" i="20"/>
  <c r="L281" i="38"/>
  <c r="L34" i="38"/>
  <c r="H318" i="42"/>
  <c r="H319" i="42" s="1"/>
  <c r="H320" i="42"/>
  <c r="H323" i="42" s="1"/>
  <c r="I301" i="38"/>
  <c r="I300" i="38"/>
  <c r="M61" i="16"/>
  <c r="L87" i="29"/>
  <c r="J294" i="38"/>
  <c r="M210" i="42"/>
  <c r="M214" i="42" s="1"/>
  <c r="M209" i="42"/>
  <c r="M213" i="42" s="1"/>
  <c r="M211" i="42"/>
  <c r="M208" i="42"/>
  <c r="M212" i="42" s="1"/>
  <c r="J68" i="16"/>
  <c r="J133" i="16" a="1"/>
  <c r="J141" i="16" s="1"/>
  <c r="J142" i="16" s="1"/>
  <c r="J134" i="16"/>
  <c r="J140" i="16" s="1"/>
  <c r="J77" i="16"/>
  <c r="BU57" i="55"/>
  <c r="H152" i="28"/>
  <c r="M167" i="48"/>
  <c r="M171" i="46"/>
  <c r="M176" i="46" s="1"/>
  <c r="M170" i="46"/>
  <c r="M175" i="46" s="1"/>
  <c r="M172" i="46"/>
  <c r="N77" i="45" s="1"/>
  <c r="AT77" i="45" s="1"/>
  <c r="M169" i="46"/>
  <c r="M174" i="46" s="1"/>
  <c r="M168" i="46"/>
  <c r="M173" i="46" s="1"/>
  <c r="M309" i="48"/>
  <c r="M34" i="48"/>
  <c r="L47" i="42"/>
  <c r="L291" i="42" s="1"/>
  <c r="L72" i="42"/>
  <c r="L104" i="42"/>
  <c r="L96" i="42"/>
  <c r="L249" i="42"/>
  <c r="L80" i="42"/>
  <c r="K66" i="16"/>
  <c r="K59" i="16"/>
  <c r="K135" i="16" s="1"/>
  <c r="L34" i="19"/>
  <c r="L214" i="19"/>
  <c r="M202" i="38"/>
  <c r="M206" i="38" s="1"/>
  <c r="M200" i="38"/>
  <c r="M204" i="38" s="1"/>
  <c r="M203" i="38"/>
  <c r="N101" i="36" s="1"/>
  <c r="AT101" i="36" s="1"/>
  <c r="M201" i="38"/>
  <c r="M205" i="38" s="1"/>
  <c r="K295" i="38"/>
  <c r="K292" i="38"/>
  <c r="N241" i="42"/>
  <c r="N238" i="42"/>
  <c r="N242" i="42" s="1"/>
  <c r="N239" i="42"/>
  <c r="N243" i="42" s="1"/>
  <c r="N240" i="42"/>
  <c r="N244" i="42" s="1"/>
  <c r="M32" i="29"/>
  <c r="M45" i="29"/>
  <c r="K74" i="42"/>
  <c r="K78" i="42" s="1"/>
  <c r="K76" i="42"/>
  <c r="K73" i="42"/>
  <c r="K77" i="42" s="1"/>
  <c r="K75" i="42"/>
  <c r="K79" i="42" s="1"/>
  <c r="O17" i="38"/>
  <c r="O30" i="38" s="1"/>
  <c r="O45" i="38" s="1"/>
  <c r="O14" i="38"/>
  <c r="O15" i="38"/>
  <c r="O28" i="38" s="1"/>
  <c r="O43" i="38" s="1"/>
  <c r="O16" i="38"/>
  <c r="O29" i="38" s="1"/>
  <c r="O44" i="38" s="1"/>
  <c r="O222" i="38" s="1"/>
  <c r="O18" i="38"/>
  <c r="O31" i="38" s="1"/>
  <c r="O46" i="38" s="1"/>
  <c r="O237" i="38" s="1"/>
  <c r="P5" i="38"/>
  <c r="F186" i="28"/>
  <c r="F187" i="28" s="1"/>
  <c r="F188" i="28"/>
  <c r="F191" i="28" s="1"/>
  <c r="I306" i="42"/>
  <c r="I307" i="42"/>
  <c r="M49" i="28"/>
  <c r="J298" i="42"/>
  <c r="J297" i="42"/>
  <c r="J299" i="42"/>
  <c r="J296" i="42"/>
  <c r="M42" i="38"/>
  <c r="M32" i="38"/>
  <c r="L249" i="38"/>
  <c r="L47" i="38"/>
  <c r="L291" i="38" s="1"/>
  <c r="L80" i="38"/>
  <c r="L104" i="38"/>
  <c r="L72" i="38"/>
  <c r="L73" i="38" s="1"/>
  <c r="L96" i="38"/>
  <c r="M148" i="38"/>
  <c r="M152" i="38" s="1"/>
  <c r="M149" i="38"/>
  <c r="N100" i="36" s="1"/>
  <c r="AT100" i="36" s="1"/>
  <c r="M146" i="38"/>
  <c r="M150" i="38" s="1"/>
  <c r="M147" i="38"/>
  <c r="M151" i="38" s="1"/>
  <c r="D69" i="15"/>
  <c r="D71" i="15" s="1"/>
  <c r="D33" i="58" s="1"/>
  <c r="D58" i="55"/>
  <c r="D61" i="55"/>
  <c r="C208" i="28"/>
  <c r="C213" i="28"/>
  <c r="L50" i="29"/>
  <c r="L145" i="29" s="1"/>
  <c r="I235" i="19"/>
  <c r="I236" i="19"/>
  <c r="E189" i="28"/>
  <c r="E190" i="28" s="1"/>
  <c r="E191" i="28"/>
  <c r="J217" i="28"/>
  <c r="I151" i="28"/>
  <c r="M177" i="48"/>
  <c r="M178" i="46"/>
  <c r="M183" i="46" s="1"/>
  <c r="M179" i="46"/>
  <c r="M184" i="46" s="1"/>
  <c r="M181" i="46"/>
  <c r="M186" i="46" s="1"/>
  <c r="M180" i="46"/>
  <c r="M185" i="46" s="1"/>
  <c r="M182" i="46"/>
  <c r="N107" i="45" s="1"/>
  <c r="AT107" i="45" s="1"/>
  <c r="H237" i="19"/>
  <c r="H241" i="19" s="1"/>
  <c r="H238" i="19"/>
  <c r="M87" i="45"/>
  <c r="AS86" i="45"/>
  <c r="M86" i="45"/>
  <c r="M85" i="45"/>
  <c r="AS85" i="45"/>
  <c r="AS87" i="45"/>
  <c r="K67" i="15"/>
  <c r="K46" i="15"/>
  <c r="D183" i="29"/>
  <c r="D192" i="29"/>
  <c r="E70" i="16" s="1"/>
  <c r="D190" i="29"/>
  <c r="K316" i="38"/>
  <c r="K293" i="38"/>
  <c r="L80" i="55" s="1"/>
  <c r="L162" i="48"/>
  <c r="L161" i="48"/>
  <c r="L166" i="48" s="1"/>
  <c r="L159" i="48"/>
  <c r="L164" i="48" s="1"/>
  <c r="L158" i="48"/>
  <c r="L163" i="48" s="1"/>
  <c r="L160" i="48"/>
  <c r="L165" i="48" s="1"/>
  <c r="G304" i="38"/>
  <c r="G308" i="38" s="1"/>
  <c r="G305" i="38"/>
  <c r="N224" i="38"/>
  <c r="N228" i="38" s="1"/>
  <c r="N223" i="38"/>
  <c r="N227" i="38" s="1"/>
  <c r="N225" i="38"/>
  <c r="N229" i="38" s="1"/>
  <c r="I154" i="29"/>
  <c r="I155" i="29"/>
  <c r="N27" i="29"/>
  <c r="N19" i="29"/>
  <c r="P5" i="48"/>
  <c r="O16" i="48"/>
  <c r="O29" i="48" s="1"/>
  <c r="O44" i="48" s="1"/>
  <c r="O15" i="48"/>
  <c r="O28" i="48" s="1"/>
  <c r="O43" i="48" s="1"/>
  <c r="O14" i="48"/>
  <c r="O17" i="48"/>
  <c r="O30" i="48" s="1"/>
  <c r="O45" i="48" s="1"/>
  <c r="O18" i="48"/>
  <c r="O31" i="48" s="1"/>
  <c r="M155" i="38"/>
  <c r="M159" i="38" s="1"/>
  <c r="M156" i="38"/>
  <c r="M160" i="38" s="1"/>
  <c r="M154" i="38"/>
  <c r="M158" i="38" s="1"/>
  <c r="M157" i="38"/>
  <c r="N79" i="36" s="1"/>
  <c r="AT79" i="36" s="1"/>
  <c r="M157" i="42"/>
  <c r="M155" i="42"/>
  <c r="M159" i="42" s="1"/>
  <c r="M154" i="42"/>
  <c r="M158" i="42" s="1"/>
  <c r="M156" i="42"/>
  <c r="M160" i="42" s="1"/>
  <c r="N247" i="46"/>
  <c r="N252" i="46" s="1"/>
  <c r="N248" i="46"/>
  <c r="N253" i="46" s="1"/>
  <c r="N250" i="46"/>
  <c r="N255" i="46" s="1"/>
  <c r="N251" i="46"/>
  <c r="O96" i="45" s="1"/>
  <c r="N246" i="48"/>
  <c r="N249" i="46"/>
  <c r="N254" i="46" s="1"/>
  <c r="L135" i="29"/>
  <c r="L34" i="29"/>
  <c r="P5" i="19"/>
  <c r="O14" i="19"/>
  <c r="O16" i="19"/>
  <c r="O29" i="19" s="1"/>
  <c r="O47" i="19" s="1"/>
  <c r="O17" i="19"/>
  <c r="O30" i="19" s="1"/>
  <c r="O48" i="19" s="1"/>
  <c r="O15" i="19"/>
  <c r="O28" i="19" s="1"/>
  <c r="O46" i="19" s="1"/>
  <c r="O18" i="19"/>
  <c r="O31" i="19" s="1"/>
  <c r="O49" i="19" s="1"/>
  <c r="J296" i="38"/>
  <c r="J299" i="38"/>
  <c r="J297" i="38"/>
  <c r="J298" i="38"/>
  <c r="M160" i="46"/>
  <c r="M165" i="46" s="1"/>
  <c r="M159" i="46"/>
  <c r="M164" i="46" s="1"/>
  <c r="M161" i="46"/>
  <c r="M166" i="46" s="1"/>
  <c r="M158" i="46"/>
  <c r="M163" i="46" s="1"/>
  <c r="M162" i="46"/>
  <c r="N98" i="45" s="1"/>
  <c r="AT98" i="45" s="1"/>
  <c r="M157" i="48"/>
  <c r="L34" i="53"/>
  <c r="L197" i="53"/>
  <c r="G159" i="29"/>
  <c r="G158" i="29"/>
  <c r="G162" i="29" s="1"/>
  <c r="L32" i="28"/>
  <c r="L45" i="28"/>
  <c r="G168" i="28"/>
  <c r="G169" i="28"/>
  <c r="D72" i="16"/>
  <c r="AJ34" i="58" s="1"/>
  <c r="C200" i="29"/>
  <c r="D73" i="16" s="1"/>
  <c r="J153" i="29"/>
  <c r="J151" i="29"/>
  <c r="J150" i="29"/>
  <c r="J152" i="29"/>
  <c r="D329" i="42"/>
  <c r="D338" i="42" s="1"/>
  <c r="E336" i="42"/>
  <c r="O18" i="42"/>
  <c r="O31" i="42" s="1"/>
  <c r="O46" i="42" s="1"/>
  <c r="O237" i="42" s="1"/>
  <c r="O14" i="42"/>
  <c r="O17" i="42"/>
  <c r="O30" i="42" s="1"/>
  <c r="O45" i="42" s="1"/>
  <c r="O15" i="42"/>
  <c r="O28" i="42" s="1"/>
  <c r="O43" i="42" s="1"/>
  <c r="P5" i="42"/>
  <c r="O16" i="42"/>
  <c r="O29" i="42" s="1"/>
  <c r="O44" i="42" s="1"/>
  <c r="O222" i="42" s="1"/>
  <c r="K84" i="42"/>
  <c r="K83" i="42"/>
  <c r="K87" i="42" s="1"/>
  <c r="K81" i="42"/>
  <c r="K85" i="42" s="1"/>
  <c r="K82" i="42"/>
  <c r="K86" i="42" s="1"/>
  <c r="N240" i="38"/>
  <c r="N244" i="38" s="1"/>
  <c r="N239" i="38"/>
  <c r="N243" i="38" s="1"/>
  <c r="N238" i="38"/>
  <c r="N242" i="38" s="1"/>
  <c r="N15" i="28"/>
  <c r="N28" i="28" s="1"/>
  <c r="N46" i="28" s="1"/>
  <c r="O5" i="28"/>
  <c r="N14" i="28"/>
  <c r="N16" i="28"/>
  <c r="N29" i="28" s="1"/>
  <c r="N47" i="28" s="1"/>
  <c r="N18" i="28"/>
  <c r="N31" i="28" s="1"/>
  <c r="N17" i="28"/>
  <c r="N30" i="28" s="1"/>
  <c r="J294" i="42"/>
  <c r="F328" i="42"/>
  <c r="M164" i="38"/>
  <c r="M168" i="38" s="1"/>
  <c r="M163" i="38"/>
  <c r="M167" i="38" s="1"/>
  <c r="M162" i="38"/>
  <c r="M166" i="38" s="1"/>
  <c r="M165" i="38"/>
  <c r="N109" i="36" s="1"/>
  <c r="AT109" i="36" s="1"/>
  <c r="M149" i="42"/>
  <c r="M147" i="42"/>
  <c r="M151" i="42" s="1"/>
  <c r="M148" i="42"/>
  <c r="M152" i="42" s="1"/>
  <c r="M146" i="42"/>
  <c r="M150" i="42" s="1"/>
  <c r="N19" i="46"/>
  <c r="N275" i="46" s="1"/>
  <c r="N27" i="46"/>
  <c r="N32" i="46" s="1"/>
  <c r="L34" i="54"/>
  <c r="L197" i="54"/>
  <c r="M220" i="46"/>
  <c r="M225" i="46" s="1"/>
  <c r="M221" i="46"/>
  <c r="M226" i="46" s="1"/>
  <c r="M223" i="46"/>
  <c r="M228" i="46" s="1"/>
  <c r="M222" i="46"/>
  <c r="M227" i="46" s="1"/>
  <c r="M224" i="46"/>
  <c r="N99" i="45" s="1"/>
  <c r="AT99" i="45" s="1"/>
  <c r="M219" i="48"/>
  <c r="I310" i="38"/>
  <c r="I314" i="38"/>
  <c r="J88" i="55" s="1"/>
  <c r="I311" i="38"/>
  <c r="J85" i="55" s="1"/>
  <c r="I313" i="38"/>
  <c r="J87" i="55" s="1"/>
  <c r="I312" i="38"/>
  <c r="J86" i="55" s="1"/>
  <c r="I309" i="38"/>
  <c r="L224" i="48"/>
  <c r="L223" i="48"/>
  <c r="L228" i="48" s="1"/>
  <c r="L221" i="48"/>
  <c r="L226" i="48" s="1"/>
  <c r="L220" i="48"/>
  <c r="L225" i="48" s="1"/>
  <c r="L222" i="48"/>
  <c r="L227" i="48" s="1"/>
  <c r="M149" i="46"/>
  <c r="M154" i="46" s="1"/>
  <c r="M150" i="46"/>
  <c r="M155" i="46" s="1"/>
  <c r="M147" i="48"/>
  <c r="M152" i="46"/>
  <c r="N83" i="45" s="1"/>
  <c r="M148" i="46"/>
  <c r="M153" i="46" s="1"/>
  <c r="M151" i="46"/>
  <c r="M156" i="46" s="1"/>
  <c r="J184" i="28"/>
  <c r="J185" i="28" s="1"/>
  <c r="J161" i="28"/>
  <c r="G175" i="28"/>
  <c r="G174" i="28"/>
  <c r="I283" i="42"/>
  <c r="I284" i="42" s="1"/>
  <c r="J250" i="42"/>
  <c r="N207" i="42"/>
  <c r="N191" i="42"/>
  <c r="N199" i="42"/>
  <c r="K107" i="42"/>
  <c r="K111" i="42" s="1"/>
  <c r="K108" i="42"/>
  <c r="K106" i="42"/>
  <c r="K110" i="42" s="1"/>
  <c r="K105" i="42"/>
  <c r="K109" i="42" s="1"/>
  <c r="DA57" i="55"/>
  <c r="AO57" i="55"/>
  <c r="H148" i="29"/>
  <c r="N19" i="42"/>
  <c r="N247" i="42" s="1"/>
  <c r="N27" i="42"/>
  <c r="K292" i="42"/>
  <c r="K295" i="42"/>
  <c r="N191" i="38"/>
  <c r="N207" i="38"/>
  <c r="N199" i="38"/>
  <c r="I160" i="29"/>
  <c r="I172" i="29" s="1"/>
  <c r="I161" i="29"/>
  <c r="G139" i="29"/>
  <c r="G141" i="29"/>
  <c r="G143" i="29"/>
  <c r="G140" i="29"/>
  <c r="G142" i="29"/>
  <c r="G144" i="29"/>
  <c r="J240" i="19"/>
  <c r="J239" i="19"/>
  <c r="J251" i="19" s="1"/>
  <c r="N55" i="15"/>
  <c r="M85" i="29"/>
  <c r="N55" i="16" s="1"/>
  <c r="I311" i="42"/>
  <c r="AP85" i="55" s="1"/>
  <c r="I310" i="42"/>
  <c r="I313" i="42"/>
  <c r="AP87" i="55" s="1"/>
  <c r="I312" i="42"/>
  <c r="AP86" i="55" s="1"/>
  <c r="I309" i="42"/>
  <c r="I314" i="42"/>
  <c r="AP88" i="55" s="1"/>
  <c r="G163" i="29"/>
  <c r="G165" i="29"/>
  <c r="AN62" i="55" s="1"/>
  <c r="G167" i="29"/>
  <c r="AN64" i="55" s="1"/>
  <c r="G164" i="29"/>
  <c r="G166" i="29"/>
  <c r="AN63" i="55" s="1"/>
  <c r="G168" i="29"/>
  <c r="AN65" i="55" s="1"/>
  <c r="H303" i="42"/>
  <c r="H302" i="42"/>
  <c r="M83" i="29"/>
  <c r="M82" i="29" s="1"/>
  <c r="M138" i="38"/>
  <c r="M139" i="38"/>
  <c r="M140" i="38"/>
  <c r="M164" i="42"/>
  <c r="M168" i="42" s="1"/>
  <c r="M165" i="42"/>
  <c r="M163" i="42"/>
  <c r="M167" i="42" s="1"/>
  <c r="M162" i="42"/>
  <c r="M166" i="42" s="1"/>
  <c r="N147" i="46"/>
  <c r="N167" i="46"/>
  <c r="N177" i="46"/>
  <c r="N157" i="46"/>
  <c r="M42" i="42"/>
  <c r="M32" i="42"/>
  <c r="M19" i="53"/>
  <c r="M27" i="53"/>
  <c r="M32" i="53" s="1"/>
  <c r="M209" i="48"/>
  <c r="M211" i="46"/>
  <c r="M216" i="46" s="1"/>
  <c r="M212" i="46"/>
  <c r="M217" i="46" s="1"/>
  <c r="M213" i="46"/>
  <c r="M218" i="46" s="1"/>
  <c r="M210" i="46"/>
  <c r="M215" i="46" s="1"/>
  <c r="M214" i="46"/>
  <c r="N89" i="45" s="1"/>
  <c r="E183" i="29"/>
  <c r="E190" i="29" s="1"/>
  <c r="I163" i="28"/>
  <c r="I162" i="28"/>
  <c r="I160" i="28"/>
  <c r="K231" i="19"/>
  <c r="K229" i="19"/>
  <c r="K230" i="19"/>
  <c r="K232" i="19"/>
  <c r="K36" i="19"/>
  <c r="K37" i="19"/>
  <c r="L213" i="48"/>
  <c r="L218" i="48" s="1"/>
  <c r="L211" i="48"/>
  <c r="L216" i="48" s="1"/>
  <c r="L214" i="48"/>
  <c r="L210" i="48"/>
  <c r="L215" i="48" s="1"/>
  <c r="L212" i="48"/>
  <c r="L217" i="48" s="1"/>
  <c r="J211" i="28"/>
  <c r="J210" i="28"/>
  <c r="J159" i="28"/>
  <c r="J134" i="15"/>
  <c r="J140" i="15" s="1"/>
  <c r="J68" i="15"/>
  <c r="J77" i="15" s="1"/>
  <c r="J133" i="15" a="1"/>
  <c r="H288" i="42"/>
  <c r="H285" i="42"/>
  <c r="H289" i="42"/>
  <c r="H287" i="42"/>
  <c r="H286" i="42"/>
  <c r="H290" i="42"/>
  <c r="E172" i="28"/>
  <c r="E176" i="28" s="1"/>
  <c r="E173" i="28"/>
  <c r="M247" i="48"/>
  <c r="M252" i="48" s="1"/>
  <c r="M251" i="48"/>
  <c r="M250" i="48"/>
  <c r="M255" i="48" s="1"/>
  <c r="M249" i="48"/>
  <c r="M254" i="48" s="1"/>
  <c r="M248" i="48"/>
  <c r="M253" i="48" s="1"/>
  <c r="F170" i="28"/>
  <c r="F171" i="28"/>
  <c r="H174" i="29"/>
  <c r="H175" i="29" s="1"/>
  <c r="H176" i="29" s="1"/>
  <c r="N137" i="42"/>
  <c r="N153" i="42"/>
  <c r="N161" i="42"/>
  <c r="N145" i="42"/>
  <c r="K98" i="42"/>
  <c r="K102" i="42" s="1"/>
  <c r="K100" i="42"/>
  <c r="K97" i="42"/>
  <c r="K101" i="42" s="1"/>
  <c r="K99" i="42"/>
  <c r="K103" i="42" s="1"/>
  <c r="H173" i="29"/>
  <c r="N27" i="38"/>
  <c r="N19" i="38"/>
  <c r="N247" i="38" s="1"/>
  <c r="I104" i="29"/>
  <c r="H137" i="29"/>
  <c r="H138" i="29" s="1"/>
  <c r="I170" i="29"/>
  <c r="I171" i="29" s="1"/>
  <c r="I147" i="29"/>
  <c r="J234" i="19"/>
  <c r="J233" i="19"/>
  <c r="M19" i="28"/>
  <c r="M118" i="28" s="1"/>
  <c r="M27" i="28"/>
  <c r="K216" i="28"/>
  <c r="K53" i="29"/>
  <c r="L56" i="15"/>
  <c r="K62" i="29"/>
  <c r="L62" i="16" s="1"/>
  <c r="K55" i="29"/>
  <c r="K52" i="29" s="1"/>
  <c r="K92" i="29" s="1"/>
  <c r="K60" i="29"/>
  <c r="K54" i="29"/>
  <c r="K57" i="29"/>
  <c r="K56" i="29"/>
  <c r="K59" i="29"/>
  <c r="L44" i="16" s="1"/>
  <c r="K50" i="28"/>
  <c r="K61" i="29"/>
  <c r="L44" i="15"/>
  <c r="K63" i="29"/>
  <c r="L56" i="16" s="1"/>
  <c r="L59" i="16" s="1"/>
  <c r="L135" i="16" s="1"/>
  <c r="L62" i="15"/>
  <c r="L65" i="15" s="1"/>
  <c r="L139" i="15" s="1"/>
  <c r="M140" i="42"/>
  <c r="M144" i="42" s="1"/>
  <c r="M138" i="42"/>
  <c r="M142" i="42" s="1"/>
  <c r="M141" i="42"/>
  <c r="M139" i="42"/>
  <c r="M143" i="42" s="1"/>
  <c r="O17" i="46"/>
  <c r="O30" i="46" s="1"/>
  <c r="O45" i="46" s="1"/>
  <c r="O14" i="46"/>
  <c r="P5" i="46"/>
  <c r="O18" i="46"/>
  <c r="O31" i="46" s="1"/>
  <c r="O16" i="46"/>
  <c r="O29" i="46" s="1"/>
  <c r="O44" i="46" s="1"/>
  <c r="O246" i="46" s="1"/>
  <c r="O15" i="46"/>
  <c r="O28" i="46" s="1"/>
  <c r="O43" i="46" s="1"/>
  <c r="I307" i="38"/>
  <c r="I306" i="38"/>
  <c r="I318" i="38" s="1"/>
  <c r="N15" i="53"/>
  <c r="N28" i="53" s="1"/>
  <c r="N16" i="53"/>
  <c r="N29" i="53" s="1"/>
  <c r="N44" i="53" s="1"/>
  <c r="N150" i="53" s="1"/>
  <c r="N151" i="53" s="1"/>
  <c r="O60" i="51" s="1"/>
  <c r="AU60" i="51" s="1"/>
  <c r="O5" i="53"/>
  <c r="N14" i="53"/>
  <c r="N18" i="53"/>
  <c r="N31" i="53" s="1"/>
  <c r="N17" i="53"/>
  <c r="N30" i="53" s="1"/>
  <c r="M233" i="46"/>
  <c r="M238" i="46" s="1"/>
  <c r="M229" i="48"/>
  <c r="M232" i="46"/>
  <c r="M237" i="46" s="1"/>
  <c r="M231" i="46"/>
  <c r="M236" i="46" s="1"/>
  <c r="M234" i="46"/>
  <c r="N108" i="45" s="1"/>
  <c r="AT108" i="45" s="1"/>
  <c r="M230" i="46"/>
  <c r="M235" i="46" s="1"/>
  <c r="E69" i="15"/>
  <c r="K66" i="15"/>
  <c r="K59" i="15"/>
  <c r="K135" i="15" s="1"/>
  <c r="H180" i="28"/>
  <c r="I63" i="55" s="1"/>
  <c r="H178" i="28"/>
  <c r="H182" i="28"/>
  <c r="I65" i="55" s="1"/>
  <c r="H181" i="28"/>
  <c r="I64" i="55" s="1"/>
  <c r="H177" i="28"/>
  <c r="H179" i="28"/>
  <c r="I62" i="55" s="1"/>
  <c r="H156" i="29"/>
  <c r="H157" i="29"/>
  <c r="K246" i="38"/>
  <c r="K293" i="42"/>
  <c r="DD80" i="55" s="1"/>
  <c r="K316" i="42"/>
  <c r="K317" i="42" s="1"/>
  <c r="N137" i="38"/>
  <c r="N161" i="38"/>
  <c r="N153" i="38"/>
  <c r="N145" i="38"/>
  <c r="O5" i="54"/>
  <c r="N16" i="54"/>
  <c r="N29" i="54" s="1"/>
  <c r="N44" i="54" s="1"/>
  <c r="N150" i="54" s="1"/>
  <c r="N151" i="54" s="1"/>
  <c r="N18" i="54"/>
  <c r="N31" i="54" s="1"/>
  <c r="N15" i="54"/>
  <c r="N28" i="54" s="1"/>
  <c r="N17" i="54"/>
  <c r="N30" i="54" s="1"/>
  <c r="N14" i="54"/>
  <c r="M77" i="29"/>
  <c r="N45" i="16" s="1"/>
  <c r="M71" i="29"/>
  <c r="N64" i="15"/>
  <c r="M66" i="29"/>
  <c r="M65" i="29" s="1"/>
  <c r="M75" i="29"/>
  <c r="N48" i="15"/>
  <c r="N49" i="15" s="1"/>
  <c r="N136" i="15" s="1"/>
  <c r="M68" i="29"/>
  <c r="M76" i="29"/>
  <c r="N58" i="16" s="1"/>
  <c r="N58" i="15"/>
  <c r="M67" i="29"/>
  <c r="M78" i="29"/>
  <c r="N64" i="16" s="1"/>
  <c r="N45" i="15"/>
  <c r="M74" i="29"/>
  <c r="N48" i="16" s="1"/>
  <c r="N49" i="16" s="1"/>
  <c r="N136" i="16" s="1"/>
  <c r="M70" i="29"/>
  <c r="M73" i="29"/>
  <c r="M69" i="29"/>
  <c r="K149" i="28"/>
  <c r="K34" i="28"/>
  <c r="G305" i="42"/>
  <c r="G304" i="42"/>
  <c r="G308" i="42" s="1"/>
  <c r="K37" i="29"/>
  <c r="K36" i="29"/>
  <c r="J197" i="29"/>
  <c r="J196" i="29"/>
  <c r="K149" i="29"/>
  <c r="K146" i="29"/>
  <c r="M200" i="42"/>
  <c r="M204" i="42" s="1"/>
  <c r="M201" i="42"/>
  <c r="M205" i="42" s="1"/>
  <c r="M203" i="42"/>
  <c r="M202" i="42"/>
  <c r="M206" i="42" s="1"/>
  <c r="L180" i="48"/>
  <c r="L185" i="48" s="1"/>
  <c r="L179" i="48"/>
  <c r="L184" i="48" s="1"/>
  <c r="L178" i="48"/>
  <c r="L183" i="48" s="1"/>
  <c r="L181" i="48"/>
  <c r="L186" i="48" s="1"/>
  <c r="L182" i="48"/>
  <c r="D206" i="28"/>
  <c r="E61" i="55" s="1"/>
  <c r="K67" i="16"/>
  <c r="K46" i="16"/>
  <c r="J103" i="29"/>
  <c r="J91" i="29"/>
  <c r="G328" i="42"/>
  <c r="G329" i="42" s="1"/>
  <c r="G338" i="42" s="1"/>
  <c r="G153" i="28"/>
  <c r="G155" i="28"/>
  <c r="BT62" i="55" s="1"/>
  <c r="G157" i="28"/>
  <c r="BT64" i="55" s="1"/>
  <c r="G158" i="28"/>
  <c r="BT65" i="55" s="1"/>
  <c r="G156" i="28"/>
  <c r="BT63" i="55" s="1"/>
  <c r="G154" i="28"/>
  <c r="BT61" i="55" s="1"/>
  <c r="H164" i="28"/>
  <c r="H167" i="28"/>
  <c r="H166" i="28"/>
  <c r="H165" i="28"/>
  <c r="M208" i="38"/>
  <c r="M212" i="38" s="1"/>
  <c r="M209" i="38"/>
  <c r="M213" i="38" s="1"/>
  <c r="M210" i="38"/>
  <c r="M214" i="38" s="1"/>
  <c r="M211" i="38"/>
  <c r="M32" i="19"/>
  <c r="M45" i="19"/>
  <c r="M50" i="19" s="1"/>
  <c r="E192" i="28"/>
  <c r="AJ126" i="36"/>
  <c r="AJ39" i="58" s="1"/>
  <c r="C346" i="42"/>
  <c r="AJ127" i="36" s="1"/>
  <c r="P5" i="29"/>
  <c r="O17" i="29"/>
  <c r="O30" i="29" s="1"/>
  <c r="O14" i="29"/>
  <c r="O15" i="29"/>
  <c r="O28" i="29" s="1"/>
  <c r="O46" i="29" s="1"/>
  <c r="O16" i="29"/>
  <c r="O29" i="29" s="1"/>
  <c r="O47" i="29" s="1"/>
  <c r="O18" i="29"/>
  <c r="O31" i="29" s="1"/>
  <c r="I301" i="42"/>
  <c r="I300" i="42"/>
  <c r="M309" i="46"/>
  <c r="M34" i="46"/>
  <c r="M19" i="54"/>
  <c r="M27" i="54"/>
  <c r="M32" i="54" s="1"/>
  <c r="F182" i="29"/>
  <c r="F183" i="29" s="1"/>
  <c r="F192" i="29" s="1"/>
  <c r="G70" i="16" s="1"/>
  <c r="N219" i="46"/>
  <c r="N229" i="46"/>
  <c r="N209" i="46"/>
  <c r="N27" i="19"/>
  <c r="N19" i="19"/>
  <c r="M193" i="42"/>
  <c r="M197" i="42" s="1"/>
  <c r="M192" i="42"/>
  <c r="M196" i="42" s="1"/>
  <c r="M194" i="42"/>
  <c r="M198" i="42" s="1"/>
  <c r="M195" i="42"/>
  <c r="J37" i="28"/>
  <c r="J36" i="28"/>
  <c r="L148" i="48"/>
  <c r="L153" i="48" s="1"/>
  <c r="L152" i="48"/>
  <c r="L149" i="48"/>
  <c r="L154" i="48" s="1"/>
  <c r="L151" i="48"/>
  <c r="L156" i="48" s="1"/>
  <c r="L150" i="48"/>
  <c r="L155" i="48" s="1"/>
  <c r="L281" i="42"/>
  <c r="L34" i="42"/>
  <c r="L276" i="19"/>
  <c r="L275" i="19"/>
  <c r="L224" i="19"/>
  <c r="L225" i="19"/>
  <c r="L228" i="19"/>
  <c r="M192" i="38"/>
  <c r="M196" i="38" s="1"/>
  <c r="M194" i="38"/>
  <c r="M198" i="38" s="1"/>
  <c r="M193" i="38"/>
  <c r="M197" i="38" s="1"/>
  <c r="C172" i="19"/>
  <c r="D135" i="14" s="1"/>
  <c r="C218" i="20"/>
  <c r="C217" i="20"/>
  <c r="C175" i="19" s="1"/>
  <c r="C219" i="20"/>
  <c r="C177" i="19" s="1"/>
  <c r="C216" i="20"/>
  <c r="C215" i="20"/>
  <c r="C327" i="20"/>
  <c r="D31" i="20"/>
  <c r="D49" i="20" s="1"/>
  <c r="D29" i="20"/>
  <c r="D47" i="20" s="1"/>
  <c r="D201" i="20" s="1"/>
  <c r="D162" i="19" s="1"/>
  <c r="C29" i="20"/>
  <c r="C47" i="20" s="1"/>
  <c r="C201" i="20" s="1"/>
  <c r="C162" i="19" s="1"/>
  <c r="D123" i="14" s="1"/>
  <c r="D19" i="20"/>
  <c r="C325" i="20"/>
  <c r="C27" i="20"/>
  <c r="C30" i="20"/>
  <c r="C48" i="20" s="1"/>
  <c r="C222" i="20"/>
  <c r="C28" i="20"/>
  <c r="C46" i="20" s="1"/>
  <c r="C170" i="19"/>
  <c r="I16" i="31"/>
  <c r="O16" i="31" s="1"/>
  <c r="L66" i="16" l="1"/>
  <c r="H321" i="42"/>
  <c r="H322" i="42" s="1"/>
  <c r="H178" i="29"/>
  <c r="D336" i="42"/>
  <c r="O49" i="29"/>
  <c r="E192" i="29"/>
  <c r="F70" i="16" s="1"/>
  <c r="J141" i="15"/>
  <c r="J142" i="15" s="1"/>
  <c r="L246" i="38"/>
  <c r="F69" i="16"/>
  <c r="I302" i="42"/>
  <c r="I303" i="42"/>
  <c r="K68" i="16"/>
  <c r="K134" i="16"/>
  <c r="K140" i="16" s="1"/>
  <c r="K133" i="16" a="1"/>
  <c r="K141" i="16" s="1"/>
  <c r="K142" i="16" s="1"/>
  <c r="K77" i="16"/>
  <c r="N19" i="54"/>
  <c r="N27" i="54"/>
  <c r="N32" i="54" s="1"/>
  <c r="N154" i="38"/>
  <c r="N158" i="38" s="1"/>
  <c r="N157" i="38"/>
  <c r="O79" i="36" s="1"/>
  <c r="AU79" i="36" s="1"/>
  <c r="N155" i="38"/>
  <c r="N159" i="38" s="1"/>
  <c r="N156" i="38"/>
  <c r="N160" i="38" s="1"/>
  <c r="D208" i="28"/>
  <c r="M231" i="48"/>
  <c r="M236" i="48" s="1"/>
  <c r="M234" i="48"/>
  <c r="M233" i="48"/>
  <c r="M238" i="48" s="1"/>
  <c r="M230" i="48"/>
  <c r="M235" i="48" s="1"/>
  <c r="M232" i="48"/>
  <c r="M237" i="48" s="1"/>
  <c r="K103" i="29"/>
  <c r="K91" i="29"/>
  <c r="DB57" i="55"/>
  <c r="AP57" i="55"/>
  <c r="I148" i="29"/>
  <c r="M197" i="53"/>
  <c r="M34" i="53"/>
  <c r="N169" i="46"/>
  <c r="N174" i="46" s="1"/>
  <c r="N170" i="46"/>
  <c r="N175" i="46" s="1"/>
  <c r="N168" i="46"/>
  <c r="N173" i="46" s="1"/>
  <c r="N172" i="46"/>
  <c r="O77" i="45" s="1"/>
  <c r="AU77" i="45" s="1"/>
  <c r="N167" i="48"/>
  <c r="N171" i="46"/>
  <c r="N176" i="46" s="1"/>
  <c r="N193" i="38"/>
  <c r="N197" i="38" s="1"/>
  <c r="N192" i="38"/>
  <c r="N196" i="38" s="1"/>
  <c r="N194" i="38"/>
  <c r="N198" i="38" s="1"/>
  <c r="N211" i="42"/>
  <c r="N209" i="42"/>
  <c r="N213" i="42" s="1"/>
  <c r="N208" i="42"/>
  <c r="N212" i="42" s="1"/>
  <c r="N210" i="42"/>
  <c r="N214" i="42" s="1"/>
  <c r="O199" i="42"/>
  <c r="O191" i="42"/>
  <c r="O207" i="42"/>
  <c r="M34" i="38"/>
  <c r="M281" i="38"/>
  <c r="I318" i="42"/>
  <c r="I319" i="42" s="1"/>
  <c r="I320" i="42"/>
  <c r="I323" i="42" s="1"/>
  <c r="O199" i="38"/>
  <c r="O207" i="38"/>
  <c r="O191" i="38"/>
  <c r="L316" i="42"/>
  <c r="L317" i="42" s="1"/>
  <c r="L293" i="42"/>
  <c r="L229" i="19"/>
  <c r="L231" i="19"/>
  <c r="L230" i="19"/>
  <c r="L232" i="19"/>
  <c r="N162" i="38"/>
  <c r="N166" i="38" s="1"/>
  <c r="N163" i="38"/>
  <c r="N167" i="38" s="1"/>
  <c r="N164" i="38"/>
  <c r="N168" i="38" s="1"/>
  <c r="N165" i="38"/>
  <c r="O109" i="36" s="1"/>
  <c r="AU109" i="36" s="1"/>
  <c r="K211" i="28"/>
  <c r="K210" i="28"/>
  <c r="K159" i="28"/>
  <c r="L59" i="15"/>
  <c r="L135" i="15" s="1"/>
  <c r="L66" i="15"/>
  <c r="I174" i="29"/>
  <c r="I177" i="29" s="1"/>
  <c r="K234" i="19"/>
  <c r="K233" i="19"/>
  <c r="N150" i="46"/>
  <c r="N155" i="46" s="1"/>
  <c r="N148" i="46"/>
  <c r="N153" i="46" s="1"/>
  <c r="N152" i="46"/>
  <c r="O83" i="45" s="1"/>
  <c r="N147" i="48"/>
  <c r="N149" i="46"/>
  <c r="N154" i="46" s="1"/>
  <c r="N151" i="46"/>
  <c r="N156" i="46" s="1"/>
  <c r="K299" i="42"/>
  <c r="K298" i="42"/>
  <c r="K296" i="42"/>
  <c r="K297" i="42"/>
  <c r="J283" i="42"/>
  <c r="J284" i="42" s="1"/>
  <c r="K250" i="42"/>
  <c r="N85" i="45"/>
  <c r="AT86" i="45"/>
  <c r="N86" i="45"/>
  <c r="AT85" i="45"/>
  <c r="AT87" i="45"/>
  <c r="N87" i="45"/>
  <c r="M220" i="48"/>
  <c r="M225" i="48" s="1"/>
  <c r="M224" i="48"/>
  <c r="M222" i="48"/>
  <c r="M227" i="48" s="1"/>
  <c r="M221" i="48"/>
  <c r="M226" i="48" s="1"/>
  <c r="M223" i="48"/>
  <c r="M228" i="48" s="1"/>
  <c r="N309" i="46"/>
  <c r="N34" i="46"/>
  <c r="N49" i="28"/>
  <c r="O19" i="42"/>
  <c r="O247" i="42" s="1"/>
  <c r="O27" i="42"/>
  <c r="J160" i="29"/>
  <c r="J172" i="29" s="1"/>
  <c r="J161" i="29"/>
  <c r="P18" i="48"/>
  <c r="P31" i="48" s="1"/>
  <c r="P14" i="48"/>
  <c r="P16" i="48"/>
  <c r="P29" i="48" s="1"/>
  <c r="P44" i="48" s="1"/>
  <c r="Q5" i="48"/>
  <c r="P17" i="48"/>
  <c r="P30" i="48" s="1"/>
  <c r="P45" i="48" s="1"/>
  <c r="P15" i="48"/>
  <c r="P28" i="48" s="1"/>
  <c r="P43" i="48" s="1"/>
  <c r="M249" i="38"/>
  <c r="M72" i="38"/>
  <c r="M73" i="38" s="1"/>
  <c r="M80" i="38"/>
  <c r="M104" i="38"/>
  <c r="M47" i="38"/>
  <c r="M291" i="38" s="1"/>
  <c r="M96" i="38"/>
  <c r="F196" i="28"/>
  <c r="L98" i="42"/>
  <c r="L102" i="42" s="1"/>
  <c r="L99" i="42"/>
  <c r="L103" i="42" s="1"/>
  <c r="L100" i="42"/>
  <c r="L97" i="42"/>
  <c r="L101" i="42" s="1"/>
  <c r="J310" i="38"/>
  <c r="J312" i="38"/>
  <c r="K86" i="55" s="1"/>
  <c r="J309" i="38"/>
  <c r="J313" i="38"/>
  <c r="K87" i="55" s="1"/>
  <c r="J311" i="38"/>
  <c r="K85" i="55" s="1"/>
  <c r="J314" i="38"/>
  <c r="K88" i="55" s="1"/>
  <c r="H304" i="38"/>
  <c r="H308" i="38" s="1"/>
  <c r="H305" i="38"/>
  <c r="F190" i="29"/>
  <c r="H169" i="28"/>
  <c r="H168" i="28"/>
  <c r="E58" i="55"/>
  <c r="E70" i="15"/>
  <c r="E71" i="15" s="1"/>
  <c r="E33" i="58" s="1"/>
  <c r="K197" i="29"/>
  <c r="K196" i="29"/>
  <c r="N140" i="38"/>
  <c r="N139" i="38"/>
  <c r="N138" i="38"/>
  <c r="O147" i="46"/>
  <c r="O177" i="46"/>
  <c r="O167" i="46"/>
  <c r="O157" i="46"/>
  <c r="L67" i="16"/>
  <c r="L46" i="16"/>
  <c r="H142" i="29"/>
  <c r="H144" i="29"/>
  <c r="H139" i="29"/>
  <c r="H141" i="29"/>
  <c r="H143" i="29"/>
  <c r="H140" i="29"/>
  <c r="F173" i="28"/>
  <c r="F172" i="28"/>
  <c r="F176" i="28" s="1"/>
  <c r="K294" i="42"/>
  <c r="I287" i="42"/>
  <c r="I290" i="42"/>
  <c r="I289" i="42"/>
  <c r="I288" i="42"/>
  <c r="I285" i="42"/>
  <c r="I286" i="42"/>
  <c r="O55" i="15"/>
  <c r="N85" i="29"/>
  <c r="O55" i="16" s="1"/>
  <c r="O239" i="42"/>
  <c r="O243" i="42" s="1"/>
  <c r="O241" i="42"/>
  <c r="O240" i="42"/>
  <c r="O244" i="42" s="1"/>
  <c r="O238" i="42"/>
  <c r="O242" i="42" s="1"/>
  <c r="J300" i="38"/>
  <c r="J301" i="38"/>
  <c r="O19" i="19"/>
  <c r="O27" i="19"/>
  <c r="CW58" i="55"/>
  <c r="E69" i="16"/>
  <c r="E71" i="16" s="1"/>
  <c r="AK33" i="58" s="1"/>
  <c r="AK58" i="55"/>
  <c r="AK61" i="55"/>
  <c r="D199" i="29"/>
  <c r="I238" i="19"/>
  <c r="I237" i="19"/>
  <c r="I241" i="19" s="1"/>
  <c r="L105" i="42"/>
  <c r="L109" i="42" s="1"/>
  <c r="L106" i="42"/>
  <c r="L110" i="42" s="1"/>
  <c r="L108" i="42"/>
  <c r="L107" i="42"/>
  <c r="L111" i="42" s="1"/>
  <c r="Q5" i="20"/>
  <c r="P15" i="20"/>
  <c r="P16" i="20"/>
  <c r="P14" i="20"/>
  <c r="P18" i="20"/>
  <c r="P17" i="20"/>
  <c r="N309" i="48"/>
  <c r="N34" i="48"/>
  <c r="M34" i="54"/>
  <c r="M197" i="54"/>
  <c r="M225" i="19"/>
  <c r="M276" i="19"/>
  <c r="M228" i="19"/>
  <c r="M275" i="19"/>
  <c r="M224" i="19"/>
  <c r="H175" i="28"/>
  <c r="H174" i="28"/>
  <c r="O250" i="46"/>
  <c r="O255" i="46" s="1"/>
  <c r="O251" i="46"/>
  <c r="P96" i="45" s="1"/>
  <c r="O246" i="48"/>
  <c r="O249" i="46"/>
  <c r="O254" i="46" s="1"/>
  <c r="O248" i="46"/>
  <c r="O253" i="46" s="1"/>
  <c r="O247" i="46"/>
  <c r="O252" i="46" s="1"/>
  <c r="K161" i="28"/>
  <c r="L57" i="55" s="1"/>
  <c r="K184" i="28"/>
  <c r="K185" i="28" s="1"/>
  <c r="J104" i="29"/>
  <c r="I137" i="29"/>
  <c r="I138" i="29" s="1"/>
  <c r="N147" i="42"/>
  <c r="N151" i="42" s="1"/>
  <c r="N148" i="42"/>
  <c r="N152" i="42" s="1"/>
  <c r="N149" i="42"/>
  <c r="N146" i="42"/>
  <c r="N150" i="42" s="1"/>
  <c r="H304" i="42"/>
  <c r="H308" i="42" s="1"/>
  <c r="H305" i="42"/>
  <c r="G186" i="28"/>
  <c r="G187" i="28" s="1"/>
  <c r="G188" i="28"/>
  <c r="G191" i="28" s="1"/>
  <c r="M148" i="48"/>
  <c r="M153" i="48" s="1"/>
  <c r="M150" i="48"/>
  <c r="M155" i="48" s="1"/>
  <c r="M151" i="48"/>
  <c r="M156" i="48" s="1"/>
  <c r="M149" i="48"/>
  <c r="M154" i="48" s="1"/>
  <c r="M152" i="48"/>
  <c r="N19" i="28"/>
  <c r="N118" i="28" s="1"/>
  <c r="N27" i="28"/>
  <c r="AL81" i="55"/>
  <c r="CX81" i="55"/>
  <c r="E340" i="42"/>
  <c r="AL84" i="55"/>
  <c r="E345" i="42"/>
  <c r="Q5" i="19"/>
  <c r="P18" i="19"/>
  <c r="P31" i="19" s="1"/>
  <c r="P49" i="19" s="1"/>
  <c r="P16" i="19"/>
  <c r="P29" i="19" s="1"/>
  <c r="P47" i="19" s="1"/>
  <c r="P14" i="19"/>
  <c r="P17" i="19"/>
  <c r="P30" i="19" s="1"/>
  <c r="P48" i="19" s="1"/>
  <c r="P15" i="19"/>
  <c r="P28" i="19" s="1"/>
  <c r="P46" i="19" s="1"/>
  <c r="N32" i="29"/>
  <c r="N45" i="29"/>
  <c r="J307" i="42"/>
  <c r="J306" i="42"/>
  <c r="P15" i="38"/>
  <c r="P28" i="38" s="1"/>
  <c r="P43" i="38" s="1"/>
  <c r="Q5" i="38"/>
  <c r="P17" i="38"/>
  <c r="P30" i="38" s="1"/>
  <c r="P45" i="38" s="1"/>
  <c r="P18" i="38"/>
  <c r="P31" i="38" s="1"/>
  <c r="P46" i="38" s="1"/>
  <c r="P237" i="38" s="1"/>
  <c r="P14" i="38"/>
  <c r="P16" i="38"/>
  <c r="P29" i="38" s="1"/>
  <c r="P44" i="38" s="1"/>
  <c r="P222" i="38" s="1"/>
  <c r="K294" i="38"/>
  <c r="L36" i="19"/>
  <c r="L37" i="19"/>
  <c r="L74" i="42"/>
  <c r="L78" i="42" s="1"/>
  <c r="L76" i="42"/>
  <c r="L75" i="42"/>
  <c r="L79" i="42" s="1"/>
  <c r="L73" i="42"/>
  <c r="L77" i="42" s="1"/>
  <c r="N32" i="19"/>
  <c r="N45" i="19"/>
  <c r="N50" i="19" s="1"/>
  <c r="O19" i="29"/>
  <c r="O27" i="29"/>
  <c r="M214" i="19"/>
  <c r="M34" i="19"/>
  <c r="N19" i="53"/>
  <c r="N27" i="53"/>
  <c r="N32" i="53" s="1"/>
  <c r="K117" i="28"/>
  <c r="M32" i="28"/>
  <c r="M45" i="28"/>
  <c r="N163" i="42"/>
  <c r="N167" i="42" s="1"/>
  <c r="N164" i="42"/>
  <c r="N168" i="42" s="1"/>
  <c r="N165" i="42"/>
  <c r="N162" i="42"/>
  <c r="N166" i="42" s="1"/>
  <c r="J163" i="28"/>
  <c r="J160" i="28"/>
  <c r="J162" i="28"/>
  <c r="I177" i="28"/>
  <c r="I181" i="28"/>
  <c r="J64" i="55" s="1"/>
  <c r="I179" i="28"/>
  <c r="J62" i="55" s="1"/>
  <c r="I178" i="28"/>
  <c r="I182" i="28"/>
  <c r="J65" i="55" s="1"/>
  <c r="I180" i="28"/>
  <c r="J63" i="55" s="1"/>
  <c r="M34" i="42"/>
  <c r="M281" i="42"/>
  <c r="AR80" i="55"/>
  <c r="F329" i="42"/>
  <c r="F338" i="42" s="1"/>
  <c r="O17" i="28"/>
  <c r="O30" i="28" s="1"/>
  <c r="O18" i="28"/>
  <c r="O31" i="28" s="1"/>
  <c r="O14" i="28"/>
  <c r="O15" i="28"/>
  <c r="O28" i="28" s="1"/>
  <c r="O46" i="28" s="1"/>
  <c r="O16" i="28"/>
  <c r="O29" i="28" s="1"/>
  <c r="O47" i="28" s="1"/>
  <c r="P5" i="28"/>
  <c r="CW81" i="55"/>
  <c r="AK81" i="55"/>
  <c r="D340" i="42"/>
  <c r="AK84" i="55"/>
  <c r="D345" i="42"/>
  <c r="G171" i="28"/>
  <c r="G170" i="28"/>
  <c r="M158" i="48"/>
  <c r="M163" i="48" s="1"/>
  <c r="M161" i="48"/>
  <c r="M166" i="48" s="1"/>
  <c r="M160" i="48"/>
  <c r="M165" i="48" s="1"/>
  <c r="M159" i="48"/>
  <c r="M164" i="48" s="1"/>
  <c r="M162" i="48"/>
  <c r="J306" i="38"/>
  <c r="J318" i="38" s="1"/>
  <c r="J307" i="38"/>
  <c r="L37" i="29"/>
  <c r="L36" i="29"/>
  <c r="I156" i="29"/>
  <c r="I157" i="29"/>
  <c r="M181" i="48"/>
  <c r="M186" i="48" s="1"/>
  <c r="M180" i="48"/>
  <c r="M185" i="48" s="1"/>
  <c r="M182" i="48"/>
  <c r="M178" i="48"/>
  <c r="M183" i="48" s="1"/>
  <c r="M179" i="48"/>
  <c r="M184" i="48" s="1"/>
  <c r="O239" i="38"/>
  <c r="O243" i="38" s="1"/>
  <c r="O240" i="38"/>
  <c r="O244" i="38" s="1"/>
  <c r="O238" i="38"/>
  <c r="O242" i="38" s="1"/>
  <c r="L295" i="42"/>
  <c r="L292" i="42"/>
  <c r="L294" i="42"/>
  <c r="G182" i="29"/>
  <c r="N209" i="48"/>
  <c r="N213" i="46"/>
  <c r="N218" i="46" s="1"/>
  <c r="N212" i="46"/>
  <c r="N217" i="46" s="1"/>
  <c r="N211" i="46"/>
  <c r="N216" i="46" s="1"/>
  <c r="N210" i="46"/>
  <c r="N215" i="46" s="1"/>
  <c r="N214" i="46"/>
  <c r="O89" i="45" s="1"/>
  <c r="G336" i="42"/>
  <c r="O14" i="54"/>
  <c r="P5" i="54"/>
  <c r="O16" i="54"/>
  <c r="O29" i="54" s="1"/>
  <c r="O44" i="54" s="1"/>
  <c r="O150" i="54" s="1"/>
  <c r="O151" i="54" s="1"/>
  <c r="O18" i="54"/>
  <c r="O31" i="54" s="1"/>
  <c r="O15" i="54"/>
  <c r="O28" i="54" s="1"/>
  <c r="O17" i="54"/>
  <c r="O30" i="54" s="1"/>
  <c r="P5" i="53"/>
  <c r="O17" i="53"/>
  <c r="O30" i="53" s="1"/>
  <c r="O14" i="53"/>
  <c r="O18" i="53"/>
  <c r="O31" i="53" s="1"/>
  <c r="O15" i="53"/>
  <c r="O28" i="53" s="1"/>
  <c r="O16" i="53"/>
  <c r="O29" i="53" s="1"/>
  <c r="O44" i="53" s="1"/>
  <c r="O150" i="53" s="1"/>
  <c r="O151" i="53" s="1"/>
  <c r="P60" i="51" s="1"/>
  <c r="AV60" i="51" s="1"/>
  <c r="P16" i="46"/>
  <c r="P29" i="46" s="1"/>
  <c r="P44" i="46" s="1"/>
  <c r="P246" i="46" s="1"/>
  <c r="P15" i="46"/>
  <c r="P28" i="46" s="1"/>
  <c r="P43" i="46" s="1"/>
  <c r="P18" i="46"/>
  <c r="P31" i="46" s="1"/>
  <c r="P17" i="46"/>
  <c r="P30" i="46" s="1"/>
  <c r="P45" i="46" s="1"/>
  <c r="P14" i="46"/>
  <c r="Q5" i="46"/>
  <c r="N42" i="38"/>
  <c r="N32" i="38"/>
  <c r="N156" i="42"/>
  <c r="N160" i="42" s="1"/>
  <c r="N157" i="42"/>
  <c r="N155" i="42"/>
  <c r="N159" i="42" s="1"/>
  <c r="N154" i="42"/>
  <c r="N158" i="42" s="1"/>
  <c r="I164" i="28"/>
  <c r="I166" i="28"/>
  <c r="I165" i="28"/>
  <c r="I167" i="28"/>
  <c r="M249" i="42"/>
  <c r="M96" i="42"/>
  <c r="M80" i="42"/>
  <c r="M72" i="42"/>
  <c r="M104" i="42"/>
  <c r="M47" i="42"/>
  <c r="M291" i="42" s="1"/>
  <c r="I173" i="29"/>
  <c r="N42" i="42"/>
  <c r="N32" i="42"/>
  <c r="K57" i="55"/>
  <c r="H324" i="42"/>
  <c r="O64" i="15"/>
  <c r="N78" i="29"/>
  <c r="O64" i="16" s="1"/>
  <c r="N67" i="29"/>
  <c r="O48" i="15"/>
  <c r="O49" i="15" s="1"/>
  <c r="O136" i="15" s="1"/>
  <c r="N75" i="29"/>
  <c r="N76" i="29"/>
  <c r="O58" i="16" s="1"/>
  <c r="O58" i="15"/>
  <c r="N70" i="29"/>
  <c r="N73" i="29"/>
  <c r="O45" i="15"/>
  <c r="N74" i="29"/>
  <c r="O48" i="16" s="1"/>
  <c r="O49" i="16" s="1"/>
  <c r="O136" i="16" s="1"/>
  <c r="N69" i="29"/>
  <c r="N66" i="29"/>
  <c r="N65" i="29" s="1"/>
  <c r="N77" i="29"/>
  <c r="O45" i="16" s="1"/>
  <c r="N71" i="29"/>
  <c r="N68" i="29"/>
  <c r="O223" i="42"/>
  <c r="O227" i="42" s="1"/>
  <c r="O224" i="42"/>
  <c r="O228" i="42" s="1"/>
  <c r="O225" i="42"/>
  <c r="O229" i="42" s="1"/>
  <c r="O226" i="42"/>
  <c r="G189" i="28"/>
  <c r="G190" i="28" s="1"/>
  <c r="I175" i="29"/>
  <c r="I176" i="29" s="1"/>
  <c r="I178" i="29" s="1"/>
  <c r="K133" i="15" a="1"/>
  <c r="K134" i="15"/>
  <c r="K140" i="15" s="1"/>
  <c r="K68" i="15"/>
  <c r="K77" i="15" s="1"/>
  <c r="BV57" i="55"/>
  <c r="I152" i="28"/>
  <c r="L295" i="38"/>
  <c r="L292" i="38"/>
  <c r="J300" i="42"/>
  <c r="J301" i="42"/>
  <c r="O225" i="38"/>
  <c r="O229" i="38" s="1"/>
  <c r="O224" i="38"/>
  <c r="O228" i="38" s="1"/>
  <c r="O223" i="38"/>
  <c r="O227" i="38" s="1"/>
  <c r="M50" i="29"/>
  <c r="M145" i="29" s="1"/>
  <c r="K296" i="38"/>
  <c r="K299" i="38"/>
  <c r="K298" i="38"/>
  <c r="K297" i="38"/>
  <c r="I302" i="38"/>
  <c r="I303" i="38"/>
  <c r="N83" i="29"/>
  <c r="N82" i="29" s="1"/>
  <c r="N229" i="48"/>
  <c r="N232" i="46"/>
  <c r="N237" i="46" s="1"/>
  <c r="N233" i="46"/>
  <c r="N238" i="46" s="1"/>
  <c r="N234" i="46"/>
  <c r="O108" i="45" s="1"/>
  <c r="AU108" i="45" s="1"/>
  <c r="N230" i="46"/>
  <c r="N235" i="46" s="1"/>
  <c r="N231" i="46"/>
  <c r="N236" i="46" s="1"/>
  <c r="P18" i="29"/>
  <c r="P31" i="29" s="1"/>
  <c r="Q5" i="29"/>
  <c r="P17" i="29"/>
  <c r="P30" i="29" s="1"/>
  <c r="P16" i="29"/>
  <c r="P29" i="29" s="1"/>
  <c r="P47" i="29" s="1"/>
  <c r="P14" i="29"/>
  <c r="P15" i="29"/>
  <c r="P28" i="29" s="1"/>
  <c r="P46" i="29" s="1"/>
  <c r="K37" i="28"/>
  <c r="K36" i="28"/>
  <c r="O19" i="46"/>
  <c r="O275" i="46" s="1"/>
  <c r="O27" i="46"/>
  <c r="O32" i="46" s="1"/>
  <c r="N139" i="42"/>
  <c r="N143" i="42" s="1"/>
  <c r="N141" i="42"/>
  <c r="N138" i="42"/>
  <c r="N142" i="42" s="1"/>
  <c r="N140" i="42"/>
  <c r="N144" i="42" s="1"/>
  <c r="K239" i="19"/>
  <c r="K251" i="19" s="1"/>
  <c r="K240" i="19"/>
  <c r="N161" i="46"/>
  <c r="N166" i="46" s="1"/>
  <c r="N159" i="46"/>
  <c r="N164" i="46" s="1"/>
  <c r="N158" i="46"/>
  <c r="N163" i="46" s="1"/>
  <c r="N162" i="46"/>
  <c r="O98" i="45" s="1"/>
  <c r="AU98" i="45" s="1"/>
  <c r="N157" i="48"/>
  <c r="N160" i="46"/>
  <c r="N165" i="46" s="1"/>
  <c r="N203" i="38"/>
  <c r="O101" i="36" s="1"/>
  <c r="AU101" i="36" s="1"/>
  <c r="N201" i="38"/>
  <c r="N205" i="38" s="1"/>
  <c r="N202" i="38"/>
  <c r="N206" i="38" s="1"/>
  <c r="N200" i="38"/>
  <c r="N204" i="38" s="1"/>
  <c r="N201" i="42"/>
  <c r="N205" i="42" s="1"/>
  <c r="N200" i="42"/>
  <c r="N204" i="42" s="1"/>
  <c r="N202" i="42"/>
  <c r="N206" i="42" s="1"/>
  <c r="N203" i="42"/>
  <c r="P17" i="42"/>
  <c r="P30" i="42" s="1"/>
  <c r="P45" i="42" s="1"/>
  <c r="Q5" i="42"/>
  <c r="P16" i="42"/>
  <c r="P29" i="42" s="1"/>
  <c r="P44" i="42" s="1"/>
  <c r="P222" i="42" s="1"/>
  <c r="P14" i="42"/>
  <c r="P15" i="42"/>
  <c r="P28" i="42" s="1"/>
  <c r="P43" i="42" s="1"/>
  <c r="P18" i="42"/>
  <c r="P31" i="42" s="1"/>
  <c r="P46" i="42" s="1"/>
  <c r="P237" i="42" s="1"/>
  <c r="J154" i="29"/>
  <c r="J155" i="29"/>
  <c r="L216" i="28"/>
  <c r="L59" i="29"/>
  <c r="M44" i="16" s="1"/>
  <c r="L62" i="29"/>
  <c r="M62" i="16" s="1"/>
  <c r="M65" i="16" s="1"/>
  <c r="M139" i="16" s="1"/>
  <c r="M62" i="15"/>
  <c r="M65" i="15" s="1"/>
  <c r="M139" i="15" s="1"/>
  <c r="L63" i="29"/>
  <c r="M56" i="16" s="1"/>
  <c r="M56" i="15"/>
  <c r="L61" i="29"/>
  <c r="M44" i="15"/>
  <c r="L57" i="29"/>
  <c r="L53" i="29"/>
  <c r="L50" i="28"/>
  <c r="L117" i="28" s="1"/>
  <c r="L55" i="29"/>
  <c r="L52" i="29" s="1"/>
  <c r="L92" i="29" s="1"/>
  <c r="L60" i="29"/>
  <c r="L54" i="29"/>
  <c r="L56" i="29"/>
  <c r="O19" i="48"/>
  <c r="O275" i="48" s="1"/>
  <c r="O27" i="48"/>
  <c r="O32" i="48" s="1"/>
  <c r="K217" i="28"/>
  <c r="J151" i="28"/>
  <c r="L149" i="29"/>
  <c r="L146" i="29"/>
  <c r="L293" i="38"/>
  <c r="M80" i="55" s="1"/>
  <c r="L316" i="38"/>
  <c r="N61" i="15"/>
  <c r="M88" i="29"/>
  <c r="O137" i="38"/>
  <c r="O153" i="38"/>
  <c r="O145" i="38"/>
  <c r="O161" i="38"/>
  <c r="M34" i="29"/>
  <c r="M135" i="29"/>
  <c r="L246" i="42"/>
  <c r="M171" i="48"/>
  <c r="M176" i="48" s="1"/>
  <c r="M168" i="48"/>
  <c r="M173" i="48" s="1"/>
  <c r="M170" i="48"/>
  <c r="M175" i="48" s="1"/>
  <c r="M172" i="48"/>
  <c r="M169" i="48"/>
  <c r="M174" i="48" s="1"/>
  <c r="H328" i="42"/>
  <c r="F189" i="28"/>
  <c r="F190" i="28" s="1"/>
  <c r="F192" i="28" s="1"/>
  <c r="N219" i="48"/>
  <c r="N224" i="46"/>
  <c r="O99" i="45" s="1"/>
  <c r="AU99" i="45" s="1"/>
  <c r="N223" i="46"/>
  <c r="N228" i="46" s="1"/>
  <c r="N222" i="46"/>
  <c r="N227" i="46" s="1"/>
  <c r="N221" i="46"/>
  <c r="N226" i="46" s="1"/>
  <c r="N220" i="46"/>
  <c r="N225" i="46" s="1"/>
  <c r="I321" i="42"/>
  <c r="I322" i="42" s="1"/>
  <c r="I324" i="42" s="1"/>
  <c r="J170" i="29"/>
  <c r="J171" i="29" s="1"/>
  <c r="J147" i="29"/>
  <c r="K150" i="29"/>
  <c r="K151" i="29"/>
  <c r="K152" i="29"/>
  <c r="K153" i="29"/>
  <c r="N146" i="38"/>
  <c r="N150" i="38" s="1"/>
  <c r="N147" i="38"/>
  <c r="N151" i="38" s="1"/>
  <c r="N149" i="38"/>
  <c r="O100" i="36" s="1"/>
  <c r="AU100" i="36" s="1"/>
  <c r="N148" i="38"/>
  <c r="N152" i="38" s="1"/>
  <c r="H158" i="29"/>
  <c r="H162" i="29" s="1"/>
  <c r="H159" i="29"/>
  <c r="O229" i="46"/>
  <c r="O209" i="46"/>
  <c r="O219" i="46"/>
  <c r="L67" i="15"/>
  <c r="L46" i="15"/>
  <c r="J236" i="19"/>
  <c r="J235" i="19"/>
  <c r="H177" i="29"/>
  <c r="M213" i="48"/>
  <c r="M218" i="48" s="1"/>
  <c r="M214" i="48"/>
  <c r="M210" i="48"/>
  <c r="M215" i="48" s="1"/>
  <c r="M212" i="48"/>
  <c r="M217" i="48" s="1"/>
  <c r="M211" i="48"/>
  <c r="M216" i="48" s="1"/>
  <c r="N181" i="46"/>
  <c r="N186" i="46" s="1"/>
  <c r="N180" i="46"/>
  <c r="N185" i="46" s="1"/>
  <c r="N179" i="46"/>
  <c r="N184" i="46" s="1"/>
  <c r="N182" i="46"/>
  <c r="O107" i="45" s="1"/>
  <c r="AU107" i="45" s="1"/>
  <c r="N178" i="46"/>
  <c r="N183" i="46" s="1"/>
  <c r="N177" i="48"/>
  <c r="N209" i="38"/>
  <c r="N213" i="38" s="1"/>
  <c r="N211" i="38"/>
  <c r="N210" i="38"/>
  <c r="N214" i="38" s="1"/>
  <c r="N208" i="38"/>
  <c r="N212" i="38" s="1"/>
  <c r="H166" i="29"/>
  <c r="AO63" i="55" s="1"/>
  <c r="H164" i="29"/>
  <c r="H167" i="29"/>
  <c r="AO64" i="55" s="1"/>
  <c r="H163" i="29"/>
  <c r="H165" i="29"/>
  <c r="AO62" i="55" s="1"/>
  <c r="H168" i="29"/>
  <c r="AO65" i="55" s="1"/>
  <c r="N192" i="42"/>
  <c r="N196" i="42" s="1"/>
  <c r="N193" i="42"/>
  <c r="N197" i="42" s="1"/>
  <c r="N195" i="42"/>
  <c r="N194" i="42"/>
  <c r="N198" i="42" s="1"/>
  <c r="J312" i="42"/>
  <c r="AQ86" i="55" s="1"/>
  <c r="J310" i="42"/>
  <c r="J309" i="42"/>
  <c r="J314" i="42"/>
  <c r="AQ88" i="55" s="1"/>
  <c r="J311" i="42"/>
  <c r="AQ85" i="55" s="1"/>
  <c r="J313" i="42"/>
  <c r="AQ87" i="55" s="1"/>
  <c r="O137" i="42"/>
  <c r="O153" i="42"/>
  <c r="O161" i="42"/>
  <c r="O145" i="42"/>
  <c r="L34" i="28"/>
  <c r="L149" i="28"/>
  <c r="N251" i="48"/>
  <c r="N250" i="48"/>
  <c r="N255" i="48" s="1"/>
  <c r="N247" i="48"/>
  <c r="N252" i="48" s="1"/>
  <c r="N248" i="48"/>
  <c r="N253" i="48" s="1"/>
  <c r="N249" i="48"/>
  <c r="N254" i="48" s="1"/>
  <c r="E196" i="28"/>
  <c r="E197" i="28" s="1"/>
  <c r="E204" i="28" s="1"/>
  <c r="D72" i="15"/>
  <c r="D34" i="58" s="1"/>
  <c r="C214" i="28"/>
  <c r="D73" i="15" s="1"/>
  <c r="L65" i="16"/>
  <c r="L139" i="16" s="1"/>
  <c r="O19" i="38"/>
  <c r="O247" i="38" s="1"/>
  <c r="O27" i="38"/>
  <c r="L84" i="42"/>
  <c r="L82" i="42"/>
  <c r="L86" i="42" s="1"/>
  <c r="L83" i="42"/>
  <c r="L87" i="42" s="1"/>
  <c r="L81" i="42"/>
  <c r="L85" i="42" s="1"/>
  <c r="H155" i="28"/>
  <c r="BU62" i="55" s="1"/>
  <c r="H158" i="28"/>
  <c r="BU65" i="55" s="1"/>
  <c r="H153" i="28"/>
  <c r="H154" i="28"/>
  <c r="BU61" i="55" s="1"/>
  <c r="H156" i="28"/>
  <c r="BU63" i="55" s="1"/>
  <c r="H157" i="28"/>
  <c r="BU64" i="55" s="1"/>
  <c r="D213" i="28"/>
  <c r="E123" i="14"/>
  <c r="C173" i="19"/>
  <c r="C174" i="19"/>
  <c r="C176" i="19"/>
  <c r="C169" i="19"/>
  <c r="D214" i="20"/>
  <c r="E135" i="12" s="1"/>
  <c r="C203" i="20"/>
  <c r="C164" i="19" s="1"/>
  <c r="C202" i="20"/>
  <c r="C163" i="19" s="1"/>
  <c r="C204" i="20"/>
  <c r="C165" i="19" s="1"/>
  <c r="C205" i="20"/>
  <c r="C166" i="19" s="1"/>
  <c r="C206" i="20"/>
  <c r="C167" i="19" s="1"/>
  <c r="D203" i="20"/>
  <c r="D205" i="20"/>
  <c r="D202" i="20"/>
  <c r="D204" i="20"/>
  <c r="D206" i="20"/>
  <c r="D167" i="19" s="1"/>
  <c r="C188" i="20"/>
  <c r="C176" i="20"/>
  <c r="C182" i="20"/>
  <c r="C144" i="19" s="1"/>
  <c r="D125" i="14" s="1"/>
  <c r="C148" i="20"/>
  <c r="C136" i="20"/>
  <c r="C112" i="19" s="1"/>
  <c r="D126" i="14" s="1"/>
  <c r="C130" i="20"/>
  <c r="D103" i="12" s="1"/>
  <c r="C142" i="20"/>
  <c r="D170" i="19"/>
  <c r="C331" i="20"/>
  <c r="L26" i="33"/>
  <c r="E31" i="20"/>
  <c r="E49" i="20" s="1"/>
  <c r="E214" i="20" s="1"/>
  <c r="F135" i="12" s="1"/>
  <c r="D222" i="20"/>
  <c r="D27" i="20"/>
  <c r="E123" i="12"/>
  <c r="D158" i="19"/>
  <c r="D160" i="19"/>
  <c r="C133" i="19"/>
  <c r="C136" i="19"/>
  <c r="C132" i="19"/>
  <c r="I14" i="31"/>
  <c r="O14" i="31" s="1"/>
  <c r="C135" i="19"/>
  <c r="C134" i="19"/>
  <c r="I12" i="31"/>
  <c r="O12" i="31" s="1"/>
  <c r="I13" i="31"/>
  <c r="O13" i="31" s="1"/>
  <c r="D28" i="20"/>
  <c r="D46" i="20" s="1"/>
  <c r="E94" i="12" s="1"/>
  <c r="D30" i="20"/>
  <c r="D48" i="20" s="1"/>
  <c r="I8" i="31"/>
  <c r="O8" i="31" s="1"/>
  <c r="I18" i="31"/>
  <c r="O18" i="31" s="1"/>
  <c r="I9" i="31"/>
  <c r="O9" i="31" s="1"/>
  <c r="C158" i="19"/>
  <c r="C157" i="19" s="1"/>
  <c r="C160" i="19"/>
  <c r="I10" i="31"/>
  <c r="O10" i="31" s="1"/>
  <c r="C100" i="19"/>
  <c r="C286" i="19" s="1"/>
  <c r="C99" i="19"/>
  <c r="C104" i="19"/>
  <c r="C103" i="19"/>
  <c r="C102" i="19"/>
  <c r="I7" i="31"/>
  <c r="O7" i="31" s="1"/>
  <c r="C101" i="19"/>
  <c r="C45" i="20"/>
  <c r="C32" i="20"/>
  <c r="BP4" i="55" s="1"/>
  <c r="CV4" i="55" s="1"/>
  <c r="C330" i="20"/>
  <c r="M325" i="20" s="1"/>
  <c r="E29" i="20"/>
  <c r="E47" i="20" s="1"/>
  <c r="E201" i="20" s="1"/>
  <c r="E162" i="19" s="1"/>
  <c r="F123" i="14" s="1"/>
  <c r="AL61" i="55" l="1"/>
  <c r="K141" i="15"/>
  <c r="K142" i="15" s="1"/>
  <c r="E199" i="29"/>
  <c r="G192" i="28"/>
  <c r="AL58" i="55"/>
  <c r="CX58" i="55"/>
  <c r="F71" i="16"/>
  <c r="AL33" i="58" s="1"/>
  <c r="M246" i="42"/>
  <c r="P49" i="29"/>
  <c r="F336" i="42"/>
  <c r="F69" i="15"/>
  <c r="I182" i="29"/>
  <c r="I183" i="29"/>
  <c r="I192" i="29" s="1"/>
  <c r="J70" i="16" s="1"/>
  <c r="O230" i="46"/>
  <c r="O235" i="46" s="1"/>
  <c r="O233" i="46"/>
  <c r="O238" i="46" s="1"/>
  <c r="O234" i="46"/>
  <c r="P108" i="45" s="1"/>
  <c r="AV108" i="45" s="1"/>
  <c r="O229" i="48"/>
  <c r="O232" i="46"/>
  <c r="O237" i="46" s="1"/>
  <c r="O231" i="46"/>
  <c r="O236" i="46" s="1"/>
  <c r="M36" i="29"/>
  <c r="M37" i="29"/>
  <c r="N249" i="38"/>
  <c r="N47" i="38"/>
  <c r="N291" i="38" s="1"/>
  <c r="N96" i="38"/>
  <c r="N72" i="38"/>
  <c r="N73" i="38" s="1"/>
  <c r="N104" i="38"/>
  <c r="N80" i="38"/>
  <c r="L91" i="29"/>
  <c r="L103" i="29"/>
  <c r="M295" i="42"/>
  <c r="M292" i="42"/>
  <c r="I168" i="28"/>
  <c r="I169" i="28"/>
  <c r="P18" i="54"/>
  <c r="P31" i="54" s="1"/>
  <c r="P15" i="54"/>
  <c r="P28" i="54" s="1"/>
  <c r="P17" i="54"/>
  <c r="P30" i="54" s="1"/>
  <c r="Q5" i="54"/>
  <c r="P14" i="54"/>
  <c r="P16" i="54"/>
  <c r="P29" i="54" s="1"/>
  <c r="P44" i="54" s="1"/>
  <c r="P150" i="54" s="1"/>
  <c r="P151" i="54" s="1"/>
  <c r="N214" i="48"/>
  <c r="N213" i="48"/>
  <c r="N218" i="48" s="1"/>
  <c r="N211" i="48"/>
  <c r="N216" i="48" s="1"/>
  <c r="N212" i="48"/>
  <c r="N217" i="48" s="1"/>
  <c r="N210" i="48"/>
  <c r="N215" i="48" s="1"/>
  <c r="Q5" i="28"/>
  <c r="P14" i="28"/>
  <c r="P18" i="28"/>
  <c r="P31" i="28" s="1"/>
  <c r="P17" i="28"/>
  <c r="P30" i="28" s="1"/>
  <c r="P16" i="28"/>
  <c r="P29" i="28" s="1"/>
  <c r="P47" i="28" s="1"/>
  <c r="P15" i="28"/>
  <c r="P28" i="28" s="1"/>
  <c r="P46" i="28" s="1"/>
  <c r="P238" i="38"/>
  <c r="P242" i="38" s="1"/>
  <c r="P239" i="38"/>
  <c r="P243" i="38" s="1"/>
  <c r="P240" i="38"/>
  <c r="P244" i="38" s="1"/>
  <c r="O150" i="46"/>
  <c r="O155" i="46" s="1"/>
  <c r="O149" i="46"/>
  <c r="O154" i="46" s="1"/>
  <c r="O151" i="46"/>
  <c r="O156" i="46" s="1"/>
  <c r="O148" i="46"/>
  <c r="O153" i="46" s="1"/>
  <c r="O152" i="46"/>
  <c r="P83" i="45" s="1"/>
  <c r="O147" i="48"/>
  <c r="K236" i="19"/>
  <c r="K235" i="19"/>
  <c r="K170" i="29"/>
  <c r="K171" i="29" s="1"/>
  <c r="K147" i="29"/>
  <c r="J156" i="29"/>
  <c r="J157" i="29"/>
  <c r="L196" i="29"/>
  <c r="L197" i="29"/>
  <c r="E72" i="15"/>
  <c r="E34" i="58" s="1"/>
  <c r="D214" i="28"/>
  <c r="E73" i="15" s="1"/>
  <c r="J237" i="19"/>
  <c r="J241" i="19" s="1"/>
  <c r="J238" i="19"/>
  <c r="K155" i="29"/>
  <c r="K154" i="29"/>
  <c r="O149" i="38"/>
  <c r="P100" i="36" s="1"/>
  <c r="AV100" i="36" s="1"/>
  <c r="O148" i="38"/>
  <c r="O152" i="38" s="1"/>
  <c r="O146" i="38"/>
  <c r="O150" i="38" s="1"/>
  <c r="O147" i="38"/>
  <c r="O151" i="38" s="1"/>
  <c r="M66" i="15"/>
  <c r="M59" i="15"/>
  <c r="M135" i="15" s="1"/>
  <c r="P241" i="42"/>
  <c r="P240" i="42"/>
  <c r="P244" i="42" s="1"/>
  <c r="P238" i="42"/>
  <c r="P242" i="42" s="1"/>
  <c r="P239" i="42"/>
  <c r="P243" i="42" s="1"/>
  <c r="N162" i="48"/>
  <c r="N159" i="48"/>
  <c r="N164" i="48" s="1"/>
  <c r="N158" i="48"/>
  <c r="N163" i="48" s="1"/>
  <c r="N161" i="48"/>
  <c r="N166" i="48" s="1"/>
  <c r="N160" i="48"/>
  <c r="N165" i="48" s="1"/>
  <c r="K300" i="38"/>
  <c r="K301" i="38"/>
  <c r="J303" i="42"/>
  <c r="J302" i="42"/>
  <c r="M107" i="42"/>
  <c r="M111" i="42" s="1"/>
  <c r="M108" i="42"/>
  <c r="M106" i="42"/>
  <c r="M110" i="42" s="1"/>
  <c r="M105" i="42"/>
  <c r="M109" i="42" s="1"/>
  <c r="P19" i="46"/>
  <c r="P275" i="46" s="1"/>
  <c r="P27" i="46"/>
  <c r="P32" i="46" s="1"/>
  <c r="O19" i="53"/>
  <c r="O27" i="53"/>
  <c r="O32" i="53" s="1"/>
  <c r="O19" i="54"/>
  <c r="O27" i="54"/>
  <c r="O32" i="54" s="1"/>
  <c r="G172" i="28"/>
  <c r="G176" i="28" s="1"/>
  <c r="G173" i="28"/>
  <c r="P55" i="15"/>
  <c r="O85" i="29"/>
  <c r="P55" i="16" s="1"/>
  <c r="M37" i="19"/>
  <c r="M36" i="19"/>
  <c r="P199" i="38"/>
  <c r="P207" i="38"/>
  <c r="P191" i="38"/>
  <c r="O248" i="48"/>
  <c r="O253" i="48" s="1"/>
  <c r="O247" i="48"/>
  <c r="O252" i="48" s="1"/>
  <c r="O250" i="48"/>
  <c r="O255" i="48" s="1"/>
  <c r="O249" i="48"/>
  <c r="O254" i="48" s="1"/>
  <c r="O251" i="48"/>
  <c r="M229" i="19"/>
  <c r="M230" i="19"/>
  <c r="M232" i="19"/>
  <c r="M231" i="19"/>
  <c r="O32" i="19"/>
  <c r="O45" i="19"/>
  <c r="O50" i="19" s="1"/>
  <c r="K309" i="42"/>
  <c r="K313" i="42"/>
  <c r="AR87" i="55" s="1"/>
  <c r="K312" i="42"/>
  <c r="AR86" i="55" s="1"/>
  <c r="K314" i="42"/>
  <c r="AR88" i="55" s="1"/>
  <c r="K311" i="42"/>
  <c r="AR85" i="55" s="1"/>
  <c r="K310" i="42"/>
  <c r="H170" i="28"/>
  <c r="H171" i="28"/>
  <c r="M293" i="38"/>
  <c r="N80" i="55" s="1"/>
  <c r="M316" i="38"/>
  <c r="J173" i="29"/>
  <c r="DE80" i="55"/>
  <c r="AS80" i="55"/>
  <c r="I304" i="38"/>
  <c r="I308" i="38" s="1"/>
  <c r="I305" i="38"/>
  <c r="I158" i="29"/>
  <c r="I162" i="29" s="1"/>
  <c r="I159" i="29"/>
  <c r="H182" i="29"/>
  <c r="K160" i="29"/>
  <c r="K172" i="29" s="1"/>
  <c r="K173" i="29" s="1"/>
  <c r="K161" i="29"/>
  <c r="O164" i="38"/>
  <c r="O168" i="38" s="1"/>
  <c r="O165" i="38"/>
  <c r="P109" i="36" s="1"/>
  <c r="AV109" i="36" s="1"/>
  <c r="O163" i="38"/>
  <c r="O167" i="38" s="1"/>
  <c r="O162" i="38"/>
  <c r="O166" i="38" s="1"/>
  <c r="Q15" i="46"/>
  <c r="Q28" i="46" s="1"/>
  <c r="Q43" i="46" s="1"/>
  <c r="Q18" i="46"/>
  <c r="Q31" i="46" s="1"/>
  <c r="Q16" i="46"/>
  <c r="Q29" i="46" s="1"/>
  <c r="Q44" i="46" s="1"/>
  <c r="Q246" i="46" s="1"/>
  <c r="Q14" i="46"/>
  <c r="Q17" i="46"/>
  <c r="Q30" i="46" s="1"/>
  <c r="Q45" i="46" s="1"/>
  <c r="R5" i="46"/>
  <c r="L37" i="28"/>
  <c r="L36" i="28"/>
  <c r="O156" i="38"/>
  <c r="O160" i="38" s="1"/>
  <c r="O157" i="38"/>
  <c r="P79" i="36" s="1"/>
  <c r="AV79" i="36" s="1"/>
  <c r="O155" i="38"/>
  <c r="O159" i="38" s="1"/>
  <c r="O154" i="38"/>
  <c r="O158" i="38" s="1"/>
  <c r="L153" i="29"/>
  <c r="L151" i="29"/>
  <c r="L152" i="29"/>
  <c r="L150" i="29"/>
  <c r="M59" i="16"/>
  <c r="M135" i="16" s="1"/>
  <c r="M66" i="16"/>
  <c r="P137" i="42"/>
  <c r="P153" i="42"/>
  <c r="P145" i="42"/>
  <c r="P161" i="42"/>
  <c r="P19" i="29"/>
  <c r="P27" i="29"/>
  <c r="K307" i="38"/>
  <c r="K306" i="38"/>
  <c r="K318" i="38" s="1"/>
  <c r="M74" i="42"/>
  <c r="M78" i="42" s="1"/>
  <c r="M75" i="42"/>
  <c r="M79" i="42" s="1"/>
  <c r="M73" i="42"/>
  <c r="M77" i="42" s="1"/>
  <c r="M76" i="42"/>
  <c r="P209" i="46"/>
  <c r="P219" i="46"/>
  <c r="P229" i="46"/>
  <c r="CZ81" i="55"/>
  <c r="AN81" i="55"/>
  <c r="AN84" i="55"/>
  <c r="G340" i="42"/>
  <c r="G345" i="42"/>
  <c r="G183" i="29"/>
  <c r="G192" i="29" s="1"/>
  <c r="H70" i="16" s="1"/>
  <c r="P48" i="15"/>
  <c r="P49" i="15" s="1"/>
  <c r="P136" i="15" s="1"/>
  <c r="O76" i="29"/>
  <c r="P58" i="16" s="1"/>
  <c r="O70" i="29"/>
  <c r="O73" i="29"/>
  <c r="O78" i="29"/>
  <c r="P64" i="16" s="1"/>
  <c r="O66" i="29"/>
  <c r="O65" i="29" s="1"/>
  <c r="O77" i="29"/>
  <c r="P45" i="16" s="1"/>
  <c r="P58" i="15"/>
  <c r="O74" i="29"/>
  <c r="P48" i="16" s="1"/>
  <c r="P49" i="16" s="1"/>
  <c r="P136" i="16" s="1"/>
  <c r="O69" i="29"/>
  <c r="P45" i="15"/>
  <c r="O68" i="29"/>
  <c r="O67" i="29"/>
  <c r="P64" i="15"/>
  <c r="O75" i="29"/>
  <c r="O71" i="29"/>
  <c r="M216" i="28"/>
  <c r="M54" i="29"/>
  <c r="M53" i="29"/>
  <c r="M59" i="29"/>
  <c r="N44" i="16" s="1"/>
  <c r="M57" i="29"/>
  <c r="M56" i="29"/>
  <c r="N56" i="15"/>
  <c r="M50" i="28"/>
  <c r="M60" i="29"/>
  <c r="N62" i="15"/>
  <c r="M62" i="29"/>
  <c r="N62" i="16" s="1"/>
  <c r="N44" i="15"/>
  <c r="M55" i="29"/>
  <c r="M52" i="29" s="1"/>
  <c r="M61" i="29"/>
  <c r="M63" i="29"/>
  <c r="N56" i="16" s="1"/>
  <c r="M117" i="28"/>
  <c r="Q15" i="38"/>
  <c r="Q28" i="38" s="1"/>
  <c r="Q43" i="38" s="1"/>
  <c r="Q18" i="38"/>
  <c r="Q31" i="38" s="1"/>
  <c r="Q46" i="38" s="1"/>
  <c r="Q237" i="38" s="1"/>
  <c r="Q17" i="38"/>
  <c r="Q30" i="38" s="1"/>
  <c r="Q45" i="38" s="1"/>
  <c r="Q16" i="38"/>
  <c r="Q29" i="38" s="1"/>
  <c r="Q44" i="38" s="1"/>
  <c r="Q222" i="38" s="1"/>
  <c r="Q14" i="38"/>
  <c r="R5" i="38"/>
  <c r="P19" i="19"/>
  <c r="P27" i="19"/>
  <c r="G196" i="28"/>
  <c r="I139" i="29"/>
  <c r="I141" i="29"/>
  <c r="I143" i="29"/>
  <c r="I140" i="29"/>
  <c r="I142" i="29"/>
  <c r="I144" i="29"/>
  <c r="F197" i="28"/>
  <c r="F206" i="28" s="1"/>
  <c r="G70" i="15" s="1"/>
  <c r="O42" i="42"/>
  <c r="O32" i="42"/>
  <c r="K283" i="42"/>
  <c r="K284" i="42" s="1"/>
  <c r="L250" i="42"/>
  <c r="O210" i="42"/>
  <c r="O214" i="42" s="1"/>
  <c r="O211" i="42"/>
  <c r="O208" i="42"/>
  <c r="O212" i="42" s="1"/>
  <c r="O209" i="42"/>
  <c r="O213" i="42" s="1"/>
  <c r="I304" i="42"/>
  <c r="I308" i="42" s="1"/>
  <c r="I305" i="42"/>
  <c r="M67" i="15"/>
  <c r="M46" i="15"/>
  <c r="CY81" i="55"/>
  <c r="AM81" i="55"/>
  <c r="F340" i="42"/>
  <c r="AM84" i="55"/>
  <c r="F345" i="42"/>
  <c r="N34" i="29"/>
  <c r="N135" i="29"/>
  <c r="E206" i="28"/>
  <c r="O146" i="42"/>
  <c r="O150" i="42" s="1"/>
  <c r="O148" i="42"/>
  <c r="O152" i="42" s="1"/>
  <c r="O147" i="42"/>
  <c r="O151" i="42" s="1"/>
  <c r="O149" i="42"/>
  <c r="L134" i="15"/>
  <c r="L140" i="15" s="1"/>
  <c r="L133" i="15" a="1"/>
  <c r="L68" i="15"/>
  <c r="L77" i="15" s="1"/>
  <c r="O139" i="38"/>
  <c r="O140" i="38"/>
  <c r="O138" i="38"/>
  <c r="BW57" i="55"/>
  <c r="J152" i="28"/>
  <c r="P27" i="42"/>
  <c r="P19" i="42"/>
  <c r="P247" i="42" s="1"/>
  <c r="P83" i="29"/>
  <c r="P82" i="29" s="1"/>
  <c r="M81" i="42"/>
  <c r="M85" i="42" s="1"/>
  <c r="M83" i="42"/>
  <c r="M87" i="42" s="1"/>
  <c r="M84" i="42"/>
  <c r="M82" i="42"/>
  <c r="M86" i="42" s="1"/>
  <c r="P18" i="53"/>
  <c r="P31" i="53" s="1"/>
  <c r="P15" i="53"/>
  <c r="P28" i="53" s="1"/>
  <c r="Q5" i="53"/>
  <c r="P16" i="53"/>
  <c r="P29" i="53" s="1"/>
  <c r="P44" i="53" s="1"/>
  <c r="P150" i="53" s="1"/>
  <c r="P151" i="53" s="1"/>
  <c r="Q60" i="51" s="1"/>
  <c r="AW60" i="51" s="1"/>
  <c r="P14" i="53"/>
  <c r="P17" i="53"/>
  <c r="P30" i="53" s="1"/>
  <c r="L310" i="42"/>
  <c r="L312" i="42"/>
  <c r="AS86" i="55" s="1"/>
  <c r="L313" i="42"/>
  <c r="AS87" i="55" s="1"/>
  <c r="L311" i="42"/>
  <c r="AS85" i="55" s="1"/>
  <c r="L314" i="42"/>
  <c r="AS88" i="55" s="1"/>
  <c r="L309" i="42"/>
  <c r="AK126" i="36"/>
  <c r="AK39" i="58" s="1"/>
  <c r="D346" i="42"/>
  <c r="AK127" i="36" s="1"/>
  <c r="O19" i="28"/>
  <c r="O118" i="28" s="1"/>
  <c r="O27" i="28"/>
  <c r="J177" i="28"/>
  <c r="J182" i="28"/>
  <c r="K65" i="55" s="1"/>
  <c r="J181" i="28"/>
  <c r="K64" i="55" s="1"/>
  <c r="J178" i="28"/>
  <c r="J180" i="28"/>
  <c r="K63" i="55" s="1"/>
  <c r="J179" i="28"/>
  <c r="K62" i="55" s="1"/>
  <c r="M34" i="28"/>
  <c r="M149" i="28"/>
  <c r="O32" i="29"/>
  <c r="O45" i="29"/>
  <c r="P137" i="38"/>
  <c r="P153" i="38"/>
  <c r="P145" i="38"/>
  <c r="P161" i="38"/>
  <c r="N32" i="28"/>
  <c r="N45" i="28"/>
  <c r="K104" i="29"/>
  <c r="J137" i="29"/>
  <c r="J138" i="29" s="1"/>
  <c r="J303" i="38"/>
  <c r="J302" i="38"/>
  <c r="L133" i="16" a="1"/>
  <c r="L141" i="16" s="1"/>
  <c r="L142" i="16" s="1"/>
  <c r="L134" i="16"/>
  <c r="L140" i="16" s="1"/>
  <c r="L68" i="16"/>
  <c r="L77" i="16"/>
  <c r="O83" i="29"/>
  <c r="O82" i="29" s="1"/>
  <c r="M246" i="38"/>
  <c r="J286" i="42"/>
  <c r="J290" i="42"/>
  <c r="J287" i="42"/>
  <c r="J289" i="42"/>
  <c r="J288" i="42"/>
  <c r="J285" i="42"/>
  <c r="N149" i="48"/>
  <c r="N154" i="48" s="1"/>
  <c r="N148" i="48"/>
  <c r="N153" i="48" s="1"/>
  <c r="N150" i="48"/>
  <c r="N155" i="48" s="1"/>
  <c r="N151" i="48"/>
  <c r="N156" i="48" s="1"/>
  <c r="N152" i="48"/>
  <c r="O194" i="38"/>
  <c r="O198" i="38" s="1"/>
  <c r="O192" i="38"/>
  <c r="O196" i="38" s="1"/>
  <c r="O193" i="38"/>
  <c r="O197" i="38" s="1"/>
  <c r="O193" i="42"/>
  <c r="O197" i="42" s="1"/>
  <c r="O194" i="42"/>
  <c r="O198" i="42" s="1"/>
  <c r="O192" i="42"/>
  <c r="O196" i="42" s="1"/>
  <c r="O195" i="42"/>
  <c r="N34" i="54"/>
  <c r="N197" i="54"/>
  <c r="P27" i="38"/>
  <c r="P19" i="38"/>
  <c r="P247" i="38" s="1"/>
  <c r="O42" i="38"/>
  <c r="O32" i="38"/>
  <c r="O164" i="42"/>
  <c r="O168" i="42" s="1"/>
  <c r="O163" i="42"/>
  <c r="O167" i="42" s="1"/>
  <c r="O165" i="42"/>
  <c r="O162" i="42"/>
  <c r="O166" i="42" s="1"/>
  <c r="DC57" i="55"/>
  <c r="AQ57" i="55"/>
  <c r="J148" i="29"/>
  <c r="N221" i="48"/>
  <c r="N226" i="48" s="1"/>
  <c r="N222" i="48"/>
  <c r="N227" i="48" s="1"/>
  <c r="N224" i="48"/>
  <c r="N223" i="48"/>
  <c r="N228" i="48" s="1"/>
  <c r="N220" i="48"/>
  <c r="N225" i="48" s="1"/>
  <c r="N61" i="16"/>
  <c r="M87" i="29"/>
  <c r="L217" i="28"/>
  <c r="K151" i="28"/>
  <c r="L210" i="28"/>
  <c r="L211" i="28"/>
  <c r="L159" i="28"/>
  <c r="P226" i="42"/>
  <c r="P223" i="42"/>
  <c r="P227" i="42" s="1"/>
  <c r="P224" i="42"/>
  <c r="P228" i="42" s="1"/>
  <c r="P225" i="42"/>
  <c r="P229" i="42" s="1"/>
  <c r="O34" i="46"/>
  <c r="O309" i="46"/>
  <c r="N231" i="48"/>
  <c r="N236" i="48" s="1"/>
  <c r="N232" i="48"/>
  <c r="N237" i="48" s="1"/>
  <c r="N234" i="48"/>
  <c r="N230" i="48"/>
  <c r="N235" i="48" s="1"/>
  <c r="N233" i="48"/>
  <c r="N238" i="48" s="1"/>
  <c r="L299" i="38"/>
  <c r="L296" i="38"/>
  <c r="L298" i="38"/>
  <c r="L297" i="38"/>
  <c r="N34" i="42"/>
  <c r="N281" i="42"/>
  <c r="M100" i="42"/>
  <c r="M97" i="42"/>
  <c r="M101" i="42" s="1"/>
  <c r="M99" i="42"/>
  <c r="M103" i="42" s="1"/>
  <c r="M98" i="42"/>
  <c r="M102" i="42" s="1"/>
  <c r="P147" i="46"/>
  <c r="P177" i="46"/>
  <c r="P157" i="46"/>
  <c r="P167" i="46"/>
  <c r="O49" i="28"/>
  <c r="J318" i="42"/>
  <c r="J319" i="42" s="1"/>
  <c r="J320" i="42"/>
  <c r="J323" i="42" s="1"/>
  <c r="E72" i="16"/>
  <c r="AK34" i="58" s="1"/>
  <c r="D200" i="29"/>
  <c r="E73" i="16" s="1"/>
  <c r="CY58" i="55"/>
  <c r="G69" i="16"/>
  <c r="G71" i="16" s="1"/>
  <c r="AM33" i="58" s="1"/>
  <c r="AM58" i="55"/>
  <c r="AM61" i="55"/>
  <c r="F199" i="29"/>
  <c r="Q16" i="48"/>
  <c r="Q29" i="48" s="1"/>
  <c r="Q44" i="48" s="1"/>
  <c r="Q15" i="48"/>
  <c r="Q28" i="48" s="1"/>
  <c r="Q43" i="48" s="1"/>
  <c r="Q17" i="48"/>
  <c r="Q30" i="48" s="1"/>
  <c r="Q45" i="48" s="1"/>
  <c r="Q14" i="48"/>
  <c r="Q18" i="48"/>
  <c r="Q31" i="48" s="1"/>
  <c r="R5" i="48"/>
  <c r="O61" i="15"/>
  <c r="N88" i="29"/>
  <c r="O208" i="38"/>
  <c r="O212" i="38" s="1"/>
  <c r="O209" i="38"/>
  <c r="O213" i="38" s="1"/>
  <c r="O211" i="38"/>
  <c r="O210" i="38"/>
  <c r="O214" i="38" s="1"/>
  <c r="O201" i="42"/>
  <c r="O205" i="42" s="1"/>
  <c r="O200" i="42"/>
  <c r="O204" i="42" s="1"/>
  <c r="O203" i="42"/>
  <c r="O202" i="42"/>
  <c r="O206" i="42" s="1"/>
  <c r="I164" i="29"/>
  <c r="I167" i="29"/>
  <c r="AP64" i="55" s="1"/>
  <c r="I168" i="29"/>
  <c r="AP65" i="55" s="1"/>
  <c r="I165" i="29"/>
  <c r="AP62" i="55" s="1"/>
  <c r="I163" i="29"/>
  <c r="I166" i="29"/>
  <c r="AP63" i="55" s="1"/>
  <c r="F72" i="16"/>
  <c r="AL34" i="58" s="1"/>
  <c r="E200" i="29"/>
  <c r="F73" i="16" s="1"/>
  <c r="J174" i="29"/>
  <c r="J175" i="29" s="1"/>
  <c r="J176" i="29" s="1"/>
  <c r="J178" i="29" s="1"/>
  <c r="N65" i="15"/>
  <c r="N139" i="15" s="1"/>
  <c r="M67" i="16"/>
  <c r="M46" i="16"/>
  <c r="R5" i="29"/>
  <c r="Q15" i="29"/>
  <c r="Q28" i="29" s="1"/>
  <c r="Q46" i="29" s="1"/>
  <c r="Q14" i="29"/>
  <c r="Q17" i="29"/>
  <c r="Q30" i="29" s="1"/>
  <c r="Q16" i="29"/>
  <c r="Q29" i="29" s="1"/>
  <c r="Q47" i="29" s="1"/>
  <c r="Q18" i="29"/>
  <c r="Q31" i="29" s="1"/>
  <c r="M293" i="42"/>
  <c r="M316" i="42"/>
  <c r="M317" i="42" s="1"/>
  <c r="P246" i="48"/>
  <c r="P248" i="46"/>
  <c r="P253" i="46" s="1"/>
  <c r="P247" i="46"/>
  <c r="P252" i="46" s="1"/>
  <c r="P250" i="46"/>
  <c r="P255" i="46" s="1"/>
  <c r="P249" i="46"/>
  <c r="P254" i="46" s="1"/>
  <c r="P251" i="46"/>
  <c r="Q96" i="45" s="1"/>
  <c r="L297" i="42"/>
  <c r="L299" i="42"/>
  <c r="L296" i="42"/>
  <c r="L298" i="42"/>
  <c r="J167" i="28"/>
  <c r="J164" i="28"/>
  <c r="J166" i="28"/>
  <c r="J165" i="28"/>
  <c r="N197" i="53"/>
  <c r="N34" i="53"/>
  <c r="N275" i="19"/>
  <c r="N276" i="19"/>
  <c r="N224" i="19"/>
  <c r="N228" i="19"/>
  <c r="N225" i="19"/>
  <c r="K312" i="38"/>
  <c r="L86" i="55" s="1"/>
  <c r="K310" i="38"/>
  <c r="K314" i="38"/>
  <c r="L88" i="55" s="1"/>
  <c r="K309" i="38"/>
  <c r="K313" i="38"/>
  <c r="L87" i="55" s="1"/>
  <c r="K311" i="38"/>
  <c r="L85" i="55" s="1"/>
  <c r="R5" i="19"/>
  <c r="Q15" i="19"/>
  <c r="Q28" i="19" s="1"/>
  <c r="Q46" i="19" s="1"/>
  <c r="Q18" i="19"/>
  <c r="Q31" i="19" s="1"/>
  <c r="Q49" i="19" s="1"/>
  <c r="Q16" i="19"/>
  <c r="Q29" i="19" s="1"/>
  <c r="Q47" i="19" s="1"/>
  <c r="Q14" i="19"/>
  <c r="Q17" i="19"/>
  <c r="Q30" i="19" s="1"/>
  <c r="Q48" i="19" s="1"/>
  <c r="H186" i="28"/>
  <c r="H187" i="28" s="1"/>
  <c r="H188" i="28"/>
  <c r="Q18" i="20"/>
  <c r="Q17" i="20"/>
  <c r="R5" i="20"/>
  <c r="Q16" i="20"/>
  <c r="Q15" i="20"/>
  <c r="Q14" i="20"/>
  <c r="O157" i="48"/>
  <c r="O162" i="46"/>
  <c r="P98" i="45" s="1"/>
  <c r="AV98" i="45" s="1"/>
  <c r="O161" i="46"/>
  <c r="O166" i="46" s="1"/>
  <c r="O160" i="46"/>
  <c r="O165" i="46" s="1"/>
  <c r="O159" i="46"/>
  <c r="O164" i="46" s="1"/>
  <c r="O158" i="46"/>
  <c r="O163" i="46" s="1"/>
  <c r="M295" i="38"/>
  <c r="M294" i="38"/>
  <c r="M292" i="38"/>
  <c r="O85" i="45"/>
  <c r="O86" i="45"/>
  <c r="O87" i="45"/>
  <c r="AU86" i="45"/>
  <c r="AU85" i="45"/>
  <c r="AU87" i="45"/>
  <c r="K163" i="28"/>
  <c r="K162" i="28"/>
  <c r="K160" i="28"/>
  <c r="L240" i="19"/>
  <c r="L239" i="19"/>
  <c r="L251" i="19" s="1"/>
  <c r="O200" i="38"/>
  <c r="O204" i="38" s="1"/>
  <c r="O203" i="38"/>
  <c r="P101" i="36" s="1"/>
  <c r="AV101" i="36" s="1"/>
  <c r="O202" i="38"/>
  <c r="O206" i="38" s="1"/>
  <c r="O201" i="38"/>
  <c r="O205" i="38" s="1"/>
  <c r="N172" i="48"/>
  <c r="N170" i="48"/>
  <c r="N175" i="48" s="1"/>
  <c r="N171" i="48"/>
  <c r="N176" i="48" s="1"/>
  <c r="N168" i="48"/>
  <c r="N173" i="48" s="1"/>
  <c r="N169" i="48"/>
  <c r="N174" i="48" s="1"/>
  <c r="O157" i="42"/>
  <c r="O156" i="42"/>
  <c r="O160" i="42" s="1"/>
  <c r="O155" i="42"/>
  <c r="O159" i="42" s="1"/>
  <c r="O154" i="42"/>
  <c r="O158" i="42" s="1"/>
  <c r="N182" i="48"/>
  <c r="N181" i="48"/>
  <c r="N186" i="48" s="1"/>
  <c r="N178" i="48"/>
  <c r="N183" i="48" s="1"/>
  <c r="N180" i="48"/>
  <c r="N185" i="48" s="1"/>
  <c r="N179" i="48"/>
  <c r="N184" i="48" s="1"/>
  <c r="O219" i="48"/>
  <c r="O220" i="46"/>
  <c r="O225" i="46" s="1"/>
  <c r="O222" i="46"/>
  <c r="O227" i="46" s="1"/>
  <c r="O223" i="46"/>
  <c r="O228" i="46" s="1"/>
  <c r="O224" i="46"/>
  <c r="P99" i="45" s="1"/>
  <c r="AV99" i="45" s="1"/>
  <c r="O221" i="46"/>
  <c r="O226" i="46" s="1"/>
  <c r="O309" i="48"/>
  <c r="O34" i="48"/>
  <c r="Q17" i="42"/>
  <c r="Q30" i="42" s="1"/>
  <c r="Q45" i="42" s="1"/>
  <c r="Q18" i="42"/>
  <c r="Q31" i="42" s="1"/>
  <c r="Q46" i="42" s="1"/>
  <c r="Q237" i="42" s="1"/>
  <c r="R5" i="42"/>
  <c r="Q16" i="42"/>
  <c r="Q29" i="42" s="1"/>
  <c r="Q44" i="42" s="1"/>
  <c r="Q222" i="42" s="1"/>
  <c r="Q15" i="42"/>
  <c r="Q28" i="42" s="1"/>
  <c r="Q43" i="42" s="1"/>
  <c r="Q14" i="42"/>
  <c r="M149" i="29"/>
  <c r="M146" i="29"/>
  <c r="L294" i="38"/>
  <c r="N249" i="42"/>
  <c r="N47" i="42"/>
  <c r="N291" i="42" s="1"/>
  <c r="N104" i="42"/>
  <c r="N96" i="42"/>
  <c r="N72" i="42"/>
  <c r="N80" i="42"/>
  <c r="O138" i="42"/>
  <c r="O142" i="42" s="1"/>
  <c r="O139" i="42"/>
  <c r="O143" i="42" s="1"/>
  <c r="O140" i="42"/>
  <c r="O144" i="42" s="1"/>
  <c r="O141" i="42"/>
  <c r="O209" i="48"/>
  <c r="O211" i="46"/>
  <c r="O216" i="46" s="1"/>
  <c r="O213" i="46"/>
  <c r="O218" i="46" s="1"/>
  <c r="O212" i="46"/>
  <c r="O217" i="46" s="1"/>
  <c r="O210" i="46"/>
  <c r="O215" i="46" s="1"/>
  <c r="O214" i="46"/>
  <c r="P89" i="45" s="1"/>
  <c r="H329" i="42"/>
  <c r="H336" i="42" s="1"/>
  <c r="L184" i="28"/>
  <c r="L185" i="28" s="1"/>
  <c r="L161" i="28"/>
  <c r="M57" i="55" s="1"/>
  <c r="P191" i="42"/>
  <c r="P207" i="42"/>
  <c r="P199" i="42"/>
  <c r="I157" i="28"/>
  <c r="BV64" i="55" s="1"/>
  <c r="I156" i="28"/>
  <c r="BV63" i="55" s="1"/>
  <c r="I153" i="28"/>
  <c r="I158" i="28"/>
  <c r="BV65" i="55" s="1"/>
  <c r="I155" i="28"/>
  <c r="BV62" i="55" s="1"/>
  <c r="I154" i="28"/>
  <c r="BV61" i="55" s="1"/>
  <c r="I175" i="28"/>
  <c r="I174" i="28"/>
  <c r="N34" i="38"/>
  <c r="N281" i="38"/>
  <c r="N34" i="19"/>
  <c r="N214" i="19"/>
  <c r="P225" i="38"/>
  <c r="P229" i="38" s="1"/>
  <c r="P223" i="38"/>
  <c r="P227" i="38" s="1"/>
  <c r="P224" i="38"/>
  <c r="P228" i="38" s="1"/>
  <c r="N50" i="29"/>
  <c r="N145" i="29" s="1"/>
  <c r="AL126" i="36"/>
  <c r="AL39" i="58" s="1"/>
  <c r="E346" i="42"/>
  <c r="AL127" i="36" s="1"/>
  <c r="O167" i="48"/>
  <c r="O171" i="46"/>
  <c r="O176" i="46" s="1"/>
  <c r="O170" i="46"/>
  <c r="O175" i="46" s="1"/>
  <c r="O172" i="46"/>
  <c r="P77" i="45" s="1"/>
  <c r="AV77" i="45" s="1"/>
  <c r="O169" i="46"/>
  <c r="O174" i="46" s="1"/>
  <c r="O168" i="46"/>
  <c r="O173" i="46" s="1"/>
  <c r="P19" i="48"/>
  <c r="P275" i="48" s="1"/>
  <c r="P27" i="48"/>
  <c r="P32" i="48" s="1"/>
  <c r="K301" i="42"/>
  <c r="K300" i="42"/>
  <c r="I328" i="42"/>
  <c r="I329" i="42" s="1"/>
  <c r="I338" i="42" s="1"/>
  <c r="O181" i="46"/>
  <c r="O186" i="46" s="1"/>
  <c r="O177" i="48"/>
  <c r="O182" i="46"/>
  <c r="P107" i="45" s="1"/>
  <c r="AV107" i="45" s="1"/>
  <c r="O178" i="46"/>
  <c r="O183" i="46" s="1"/>
  <c r="O179" i="46"/>
  <c r="O184" i="46" s="1"/>
  <c r="O180" i="46"/>
  <c r="O185" i="46" s="1"/>
  <c r="K307" i="42"/>
  <c r="K306" i="42"/>
  <c r="L234" i="19"/>
  <c r="L233" i="19"/>
  <c r="C150" i="19"/>
  <c r="D137" i="14" s="1"/>
  <c r="D137" i="12"/>
  <c r="C138" i="19"/>
  <c r="D113" i="14" s="1"/>
  <c r="D113" i="12"/>
  <c r="D147" i="12" s="1"/>
  <c r="C124" i="19"/>
  <c r="D138" i="14" s="1"/>
  <c r="D138" i="12"/>
  <c r="C98" i="19"/>
  <c r="D165" i="19"/>
  <c r="D163" i="19"/>
  <c r="D166" i="19"/>
  <c r="D164" i="19"/>
  <c r="C118" i="19"/>
  <c r="D94" i="14" s="1"/>
  <c r="C81" i="20"/>
  <c r="C224" i="20"/>
  <c r="C131" i="20"/>
  <c r="C106" i="19"/>
  <c r="D103" i="14" s="1"/>
  <c r="E172" i="19"/>
  <c r="F135" i="14" s="1"/>
  <c r="D172" i="19"/>
  <c r="E135" i="14" s="1"/>
  <c r="C131" i="19"/>
  <c r="E215" i="20"/>
  <c r="E173" i="19" s="1"/>
  <c r="E217" i="20"/>
  <c r="E175" i="19" s="1"/>
  <c r="E219" i="20"/>
  <c r="E177" i="19" s="1"/>
  <c r="E216" i="20"/>
  <c r="E218" i="20"/>
  <c r="D215" i="20"/>
  <c r="D173" i="19" s="1"/>
  <c r="D217" i="20"/>
  <c r="D175" i="19" s="1"/>
  <c r="D219" i="20"/>
  <c r="D177" i="19" s="1"/>
  <c r="D216" i="20"/>
  <c r="D218" i="20"/>
  <c r="D188" i="20"/>
  <c r="D176" i="20"/>
  <c r="D182" i="20"/>
  <c r="D144" i="19" s="1"/>
  <c r="E125" i="14" s="1"/>
  <c r="E203" i="20"/>
  <c r="E205" i="20"/>
  <c r="E202" i="20"/>
  <c r="E204" i="20"/>
  <c r="E206" i="20"/>
  <c r="E167" i="19" s="1"/>
  <c r="D148" i="20"/>
  <c r="D142" i="20"/>
  <c r="D136" i="20"/>
  <c r="D112" i="19" s="1"/>
  <c r="E126" i="14" s="1"/>
  <c r="D130" i="20"/>
  <c r="D169" i="19"/>
  <c r="C184" i="20"/>
  <c r="C146" i="19" s="1"/>
  <c r="C187" i="20"/>
  <c r="C149" i="19" s="1"/>
  <c r="C185" i="20"/>
  <c r="C183" i="20"/>
  <c r="C186" i="20"/>
  <c r="C190" i="20"/>
  <c r="C152" i="19" s="1"/>
  <c r="C189" i="20"/>
  <c r="C191" i="20"/>
  <c r="C193" i="20"/>
  <c r="C192" i="20"/>
  <c r="C178" i="20"/>
  <c r="C140" i="19" s="1"/>
  <c r="C179" i="20"/>
  <c r="C181" i="20"/>
  <c r="C180" i="20"/>
  <c r="C177" i="20"/>
  <c r="C132" i="20"/>
  <c r="C133" i="20"/>
  <c r="C134" i="20"/>
  <c r="C110" i="19" s="1"/>
  <c r="C135" i="20"/>
  <c r="C138" i="20"/>
  <c r="C139" i="20"/>
  <c r="C115" i="19" s="1"/>
  <c r="C140" i="20"/>
  <c r="C116" i="19" s="1"/>
  <c r="C137" i="20"/>
  <c r="C113" i="19" s="1"/>
  <c r="C141" i="20"/>
  <c r="C117" i="19" s="1"/>
  <c r="C144" i="20"/>
  <c r="C145" i="20"/>
  <c r="C121" i="19" s="1"/>
  <c r="C143" i="20"/>
  <c r="C146" i="20"/>
  <c r="C122" i="19" s="1"/>
  <c r="C147" i="20"/>
  <c r="C150" i="20"/>
  <c r="C149" i="20"/>
  <c r="C151" i="20"/>
  <c r="C127" i="19" s="1"/>
  <c r="C152" i="20"/>
  <c r="C128" i="19" s="1"/>
  <c r="C153" i="20"/>
  <c r="C75" i="20"/>
  <c r="C67" i="19" s="1"/>
  <c r="D93" i="14" s="1"/>
  <c r="C87" i="20"/>
  <c r="D104" i="12" s="1"/>
  <c r="C93" i="20"/>
  <c r="C85" i="19" s="1"/>
  <c r="D124" i="14" s="1"/>
  <c r="C99" i="20"/>
  <c r="D136" i="12" s="1"/>
  <c r="E19" i="20"/>
  <c r="E222" i="20" s="1"/>
  <c r="E30" i="20"/>
  <c r="E48" i="20" s="1"/>
  <c r="E27" i="20"/>
  <c r="F29" i="20"/>
  <c r="F47" i="20" s="1"/>
  <c r="F201" i="20" s="1"/>
  <c r="F162" i="19" s="1"/>
  <c r="G123" i="14" s="1"/>
  <c r="D133" i="19"/>
  <c r="D135" i="19"/>
  <c r="D134" i="19"/>
  <c r="D132" i="19"/>
  <c r="D136" i="19"/>
  <c r="E125" i="12"/>
  <c r="D157" i="19"/>
  <c r="C256" i="20"/>
  <c r="C34" i="20"/>
  <c r="D102" i="19"/>
  <c r="D104" i="19"/>
  <c r="D99" i="19"/>
  <c r="E126" i="12"/>
  <c r="D101" i="19"/>
  <c r="D103" i="19"/>
  <c r="D100" i="19"/>
  <c r="F31" i="20"/>
  <c r="F49" i="20" s="1"/>
  <c r="F214" i="20" s="1"/>
  <c r="G135" i="12" s="1"/>
  <c r="F123" i="12"/>
  <c r="E160" i="19"/>
  <c r="E158" i="19"/>
  <c r="M328" i="20"/>
  <c r="M326" i="20"/>
  <c r="M327" i="20"/>
  <c r="M329" i="20"/>
  <c r="C53" i="19"/>
  <c r="C283" i="19" s="1"/>
  <c r="D169" i="14" s="1"/>
  <c r="C55" i="19"/>
  <c r="C52" i="19" s="1"/>
  <c r="C58" i="19"/>
  <c r="C282" i="19" s="1"/>
  <c r="D168" i="14" s="1"/>
  <c r="C62" i="19"/>
  <c r="C50" i="20"/>
  <c r="C317" i="20" s="1"/>
  <c r="C336" i="20"/>
  <c r="I2" i="31"/>
  <c r="O2" i="31" s="1"/>
  <c r="I3" i="31"/>
  <c r="O3" i="31" s="1"/>
  <c r="I4" i="31"/>
  <c r="O4" i="31" s="1"/>
  <c r="C64" i="19"/>
  <c r="C65" i="19"/>
  <c r="C63" i="19"/>
  <c r="C54" i="19"/>
  <c r="C60" i="19"/>
  <c r="C57" i="19"/>
  <c r="C284" i="19" s="1"/>
  <c r="C61" i="19"/>
  <c r="C56" i="19"/>
  <c r="C285" i="19" s="1"/>
  <c r="I5" i="31"/>
  <c r="O5" i="31" s="1"/>
  <c r="E28" i="20"/>
  <c r="E46" i="20" s="1"/>
  <c r="F94" i="12" s="1"/>
  <c r="D45" i="20"/>
  <c r="D224" i="20" s="1"/>
  <c r="D32" i="20"/>
  <c r="BQ4" i="55" s="1"/>
  <c r="CW4" i="55" s="1"/>
  <c r="E170" i="19"/>
  <c r="P49" i="28" l="1"/>
  <c r="Q49" i="29"/>
  <c r="G190" i="29"/>
  <c r="N246" i="38"/>
  <c r="K302" i="42"/>
  <c r="K303" i="42"/>
  <c r="O172" i="48"/>
  <c r="O169" i="48"/>
  <c r="O174" i="48" s="1"/>
  <c r="O171" i="48"/>
  <c r="O176" i="48" s="1"/>
  <c r="O168" i="48"/>
  <c r="O173" i="48" s="1"/>
  <c r="O170" i="48"/>
  <c r="O175" i="48" s="1"/>
  <c r="O212" i="48"/>
  <c r="O217" i="48" s="1"/>
  <c r="O214" i="48"/>
  <c r="O211" i="48"/>
  <c r="O216" i="48" s="1"/>
  <c r="O213" i="48"/>
  <c r="O218" i="48" s="1"/>
  <c r="O210" i="48"/>
  <c r="O215" i="48" s="1"/>
  <c r="N100" i="42"/>
  <c r="N98" i="42"/>
  <c r="N102" i="42" s="1"/>
  <c r="N97" i="42"/>
  <c r="N101" i="42" s="1"/>
  <c r="N99" i="42"/>
  <c r="N103" i="42" s="1"/>
  <c r="Q19" i="42"/>
  <c r="Q247" i="42"/>
  <c r="Q27" i="42"/>
  <c r="DF80" i="55"/>
  <c r="AT80" i="55"/>
  <c r="M68" i="16"/>
  <c r="M133" i="16" a="1"/>
  <c r="M134" i="16"/>
  <c r="M140" i="16" s="1"/>
  <c r="M77" i="16"/>
  <c r="P167" i="48"/>
  <c r="P171" i="46"/>
  <c r="P176" i="46" s="1"/>
  <c r="P169" i="46"/>
  <c r="P174" i="46" s="1"/>
  <c r="P170" i="46"/>
  <c r="P175" i="46" s="1"/>
  <c r="P168" i="46"/>
  <c r="P173" i="46" s="1"/>
  <c r="P172" i="46"/>
  <c r="Q77" i="45" s="1"/>
  <c r="AW77" i="45" s="1"/>
  <c r="J141" i="29"/>
  <c r="J143" i="29"/>
  <c r="J140" i="29"/>
  <c r="J142" i="29"/>
  <c r="J144" i="29"/>
  <c r="J139" i="29"/>
  <c r="O50" i="29"/>
  <c r="O145" i="29" s="1"/>
  <c r="R5" i="53"/>
  <c r="Q14" i="53"/>
  <c r="Q16" i="53"/>
  <c r="Q29" i="53" s="1"/>
  <c r="Q44" i="53" s="1"/>
  <c r="Q150" i="53" s="1"/>
  <c r="Q151" i="53" s="1"/>
  <c r="R60" i="51" s="1"/>
  <c r="AX60" i="51" s="1"/>
  <c r="Q18" i="53"/>
  <c r="Q31" i="53" s="1"/>
  <c r="Q17" i="53"/>
  <c r="Q30" i="53" s="1"/>
  <c r="Q15" i="53"/>
  <c r="Q28" i="53" s="1"/>
  <c r="F58" i="55"/>
  <c r="F70" i="15"/>
  <c r="F71" i="15" s="1"/>
  <c r="F33" i="58" s="1"/>
  <c r="M134" i="15"/>
  <c r="M140" i="15" s="1"/>
  <c r="M133" i="15" a="1"/>
  <c r="M68" i="15"/>
  <c r="M77" i="15" s="1"/>
  <c r="Q239" i="38"/>
  <c r="Q243" i="38" s="1"/>
  <c r="Q240" i="38"/>
  <c r="Q244" i="38" s="1"/>
  <c r="Q238" i="38"/>
  <c r="Q242" i="38" s="1"/>
  <c r="P163" i="42"/>
  <c r="P167" i="42" s="1"/>
  <c r="P162" i="42"/>
  <c r="P166" i="42" s="1"/>
  <c r="P165" i="42"/>
  <c r="P164" i="42"/>
  <c r="P168" i="42" s="1"/>
  <c r="R14" i="46"/>
  <c r="S5" i="46"/>
  <c r="R15" i="46"/>
  <c r="R28" i="46" s="1"/>
  <c r="R43" i="46" s="1"/>
  <c r="R17" i="46"/>
  <c r="R30" i="46" s="1"/>
  <c r="R45" i="46" s="1"/>
  <c r="R16" i="46"/>
  <c r="R29" i="46" s="1"/>
  <c r="R44" i="46" s="1"/>
  <c r="R246" i="46" s="1"/>
  <c r="R18" i="46"/>
  <c r="R31" i="46" s="1"/>
  <c r="L170" i="29"/>
  <c r="L171" i="29" s="1"/>
  <c r="L147" i="29"/>
  <c r="N293" i="38"/>
  <c r="O80" i="55" s="1"/>
  <c r="N316" i="38"/>
  <c r="P34" i="48"/>
  <c r="P309" i="48"/>
  <c r="N37" i="19"/>
  <c r="N36" i="19"/>
  <c r="N105" i="42"/>
  <c r="N109" i="42" s="1"/>
  <c r="N106" i="42"/>
  <c r="N110" i="42" s="1"/>
  <c r="N108" i="42"/>
  <c r="N107" i="42"/>
  <c r="N111" i="42" s="1"/>
  <c r="Q137" i="42"/>
  <c r="Q145" i="42"/>
  <c r="Q153" i="42"/>
  <c r="Q161" i="42"/>
  <c r="R15" i="20"/>
  <c r="R14" i="20"/>
  <c r="R18" i="20"/>
  <c r="R17" i="20"/>
  <c r="S5" i="20"/>
  <c r="R16" i="20"/>
  <c r="Q19" i="48"/>
  <c r="Q275" i="48" s="1"/>
  <c r="Q27" i="48"/>
  <c r="Q32" i="48" s="1"/>
  <c r="P157" i="48"/>
  <c r="P159" i="46"/>
  <c r="P164" i="46" s="1"/>
  <c r="P161" i="46"/>
  <c r="P166" i="46" s="1"/>
  <c r="P160" i="46"/>
  <c r="P165" i="46" s="1"/>
  <c r="P158" i="46"/>
  <c r="P163" i="46" s="1"/>
  <c r="P162" i="46"/>
  <c r="Q98" i="45" s="1"/>
  <c r="AW98" i="45" s="1"/>
  <c r="P42" i="38"/>
  <c r="P32" i="38"/>
  <c r="L104" i="29"/>
  <c r="K137" i="29"/>
  <c r="K138" i="29" s="1"/>
  <c r="O135" i="29"/>
  <c r="O34" i="29"/>
  <c r="P42" i="42"/>
  <c r="P32" i="42"/>
  <c r="L141" i="15"/>
  <c r="L142" i="15" s="1"/>
  <c r="G197" i="28"/>
  <c r="G206" i="28" s="1"/>
  <c r="H70" i="15" s="1"/>
  <c r="Q137" i="38"/>
  <c r="Q161" i="38"/>
  <c r="Q153" i="38"/>
  <c r="Q145" i="38"/>
  <c r="M184" i="28"/>
  <c r="M185" i="28" s="1"/>
  <c r="M161" i="28"/>
  <c r="P147" i="42"/>
  <c r="P151" i="42" s="1"/>
  <c r="P148" i="42"/>
  <c r="P152" i="42" s="1"/>
  <c r="P149" i="42"/>
  <c r="P146" i="42"/>
  <c r="P150" i="42" s="1"/>
  <c r="L160" i="29"/>
  <c r="L172" i="29" s="1"/>
  <c r="L161" i="29"/>
  <c r="Q209" i="46"/>
  <c r="Q229" i="46"/>
  <c r="Q219" i="46"/>
  <c r="H173" i="28"/>
  <c r="H172" i="28"/>
  <c r="H176" i="28" s="1"/>
  <c r="O225" i="19"/>
  <c r="O228" i="19"/>
  <c r="O275" i="19"/>
  <c r="O276" i="19"/>
  <c r="O224" i="19"/>
  <c r="P309" i="46"/>
  <c r="P34" i="46"/>
  <c r="K303" i="38"/>
  <c r="K302" i="38"/>
  <c r="O148" i="48"/>
  <c r="O153" i="48" s="1"/>
  <c r="O150" i="48"/>
  <c r="O155" i="48" s="1"/>
  <c r="O152" i="48"/>
  <c r="O149" i="48"/>
  <c r="O154" i="48" s="1"/>
  <c r="O151" i="48"/>
  <c r="O156" i="48" s="1"/>
  <c r="O179" i="48"/>
  <c r="O184" i="48" s="1"/>
  <c r="O181" i="48"/>
  <c r="O186" i="48" s="1"/>
  <c r="O178" i="48"/>
  <c r="O183" i="48" s="1"/>
  <c r="O180" i="48"/>
  <c r="O185" i="48" s="1"/>
  <c r="O182" i="48"/>
  <c r="N295" i="42"/>
  <c r="N292" i="42"/>
  <c r="Q226" i="42"/>
  <c r="Q225" i="42"/>
  <c r="Q229" i="42" s="1"/>
  <c r="Q223" i="42"/>
  <c r="Q227" i="42" s="1"/>
  <c r="Q224" i="42"/>
  <c r="Q228" i="42" s="1"/>
  <c r="J168" i="28"/>
  <c r="J169" i="28"/>
  <c r="P181" i="46"/>
  <c r="P186" i="46" s="1"/>
  <c r="P179" i="46"/>
  <c r="P184" i="46" s="1"/>
  <c r="P178" i="46"/>
  <c r="P183" i="46" s="1"/>
  <c r="P182" i="46"/>
  <c r="Q107" i="45" s="1"/>
  <c r="AW107" i="45" s="1"/>
  <c r="P177" i="48"/>
  <c r="P180" i="46"/>
  <c r="P185" i="46" s="1"/>
  <c r="L163" i="28"/>
  <c r="L162" i="28"/>
  <c r="L160" i="28"/>
  <c r="N216" i="28"/>
  <c r="N53" i="29"/>
  <c r="O62" i="15"/>
  <c r="N50" i="28"/>
  <c r="N57" i="29"/>
  <c r="O44" i="15"/>
  <c r="N60" i="29"/>
  <c r="N63" i="29"/>
  <c r="O56" i="16" s="1"/>
  <c r="N62" i="29"/>
  <c r="O62" i="16" s="1"/>
  <c r="N54" i="29"/>
  <c r="N55" i="29"/>
  <c r="N52" i="29" s="1"/>
  <c r="N56" i="29"/>
  <c r="N61" i="29"/>
  <c r="N59" i="29"/>
  <c r="O44" i="16" s="1"/>
  <c r="O56" i="15"/>
  <c r="J153" i="28"/>
  <c r="J154" i="28"/>
  <c r="BW61" i="55" s="1"/>
  <c r="J155" i="28"/>
  <c r="BW62" i="55" s="1"/>
  <c r="J156" i="28"/>
  <c r="BW63" i="55" s="1"/>
  <c r="J158" i="28"/>
  <c r="BW65" i="55" s="1"/>
  <c r="J157" i="28"/>
  <c r="BW64" i="55" s="1"/>
  <c r="N36" i="29"/>
  <c r="N37" i="29"/>
  <c r="L283" i="42"/>
  <c r="L284" i="42" s="1"/>
  <c r="M250" i="42"/>
  <c r="P32" i="19"/>
  <c r="P45" i="19"/>
  <c r="P50" i="19" s="1"/>
  <c r="M211" i="28"/>
  <c r="M210" i="28"/>
  <c r="M159" i="28"/>
  <c r="P157" i="42"/>
  <c r="P155" i="42"/>
  <c r="P159" i="42" s="1"/>
  <c r="P154" i="42"/>
  <c r="P158" i="42" s="1"/>
  <c r="P156" i="42"/>
  <c r="P160" i="42" s="1"/>
  <c r="Q19" i="46"/>
  <c r="Q275" i="46" s="1"/>
  <c r="Q27" i="46"/>
  <c r="Q32" i="46" s="1"/>
  <c r="O34" i="19"/>
  <c r="O214" i="19"/>
  <c r="Q45" i="15"/>
  <c r="P77" i="29"/>
  <c r="Q45" i="16" s="1"/>
  <c r="Q64" i="15"/>
  <c r="P76" i="29"/>
  <c r="Q58" i="16" s="1"/>
  <c r="Q48" i="15"/>
  <c r="Q49" i="15" s="1"/>
  <c r="Q136" i="15" s="1"/>
  <c r="P73" i="29"/>
  <c r="P70" i="29"/>
  <c r="P69" i="29"/>
  <c r="P67" i="29"/>
  <c r="P66" i="29"/>
  <c r="P65" i="29" s="1"/>
  <c r="P78" i="29"/>
  <c r="Q64" i="16" s="1"/>
  <c r="P75" i="29"/>
  <c r="P71" i="29"/>
  <c r="P74" i="29"/>
  <c r="Q48" i="16" s="1"/>
  <c r="Q49" i="16" s="1"/>
  <c r="Q136" i="16" s="1"/>
  <c r="Q58" i="15"/>
  <c r="P68" i="29"/>
  <c r="M197" i="29"/>
  <c r="M196" i="29"/>
  <c r="L235" i="19"/>
  <c r="L236" i="19"/>
  <c r="N293" i="42"/>
  <c r="N316" i="42"/>
  <c r="N317" i="42" s="1"/>
  <c r="R17" i="42"/>
  <c r="R30" i="42" s="1"/>
  <c r="R45" i="42" s="1"/>
  <c r="R14" i="42"/>
  <c r="R15" i="42"/>
  <c r="R28" i="42" s="1"/>
  <c r="R43" i="42" s="1"/>
  <c r="S5" i="42"/>
  <c r="R18" i="42"/>
  <c r="R31" i="42" s="1"/>
  <c r="R46" i="42" s="1"/>
  <c r="R237" i="42" s="1"/>
  <c r="R16" i="42"/>
  <c r="R29" i="42" s="1"/>
  <c r="R44" i="42" s="1"/>
  <c r="R222" i="42" s="1"/>
  <c r="S5" i="19"/>
  <c r="R15" i="19"/>
  <c r="R28" i="19" s="1"/>
  <c r="R46" i="19" s="1"/>
  <c r="R17" i="19"/>
  <c r="R30" i="19" s="1"/>
  <c r="R48" i="19" s="1"/>
  <c r="R18" i="19"/>
  <c r="R31" i="19" s="1"/>
  <c r="R49" i="19" s="1"/>
  <c r="R14" i="19"/>
  <c r="R16" i="19"/>
  <c r="R29" i="19" s="1"/>
  <c r="R47" i="19" s="1"/>
  <c r="N232" i="19"/>
  <c r="N229" i="19"/>
  <c r="N231" i="19"/>
  <c r="N230" i="19"/>
  <c r="J177" i="29"/>
  <c r="P151" i="46"/>
  <c r="P156" i="46" s="1"/>
  <c r="P149" i="46"/>
  <c r="P154" i="46" s="1"/>
  <c r="P150" i="46"/>
  <c r="P155" i="46" s="1"/>
  <c r="P148" i="46"/>
  <c r="P153" i="46" s="1"/>
  <c r="P152" i="46"/>
  <c r="Q83" i="45" s="1"/>
  <c r="P147" i="48"/>
  <c r="H338" i="42"/>
  <c r="H345" i="42" s="1"/>
  <c r="N149" i="28"/>
  <c r="N34" i="28"/>
  <c r="M37" i="28"/>
  <c r="M36" i="28"/>
  <c r="O32" i="28"/>
  <c r="O45" i="28"/>
  <c r="AM126" i="36"/>
  <c r="AM39" i="58" s="1"/>
  <c r="F346" i="42"/>
  <c r="AM127" i="36" s="1"/>
  <c r="K286" i="42"/>
  <c r="K290" i="42"/>
  <c r="K285" i="42"/>
  <c r="K289" i="42"/>
  <c r="K287" i="42"/>
  <c r="K288" i="42"/>
  <c r="N66" i="16"/>
  <c r="N59" i="16"/>
  <c r="N135" i="16" s="1"/>
  <c r="N59" i="15"/>
  <c r="N135" i="15" s="1"/>
  <c r="N66" i="15"/>
  <c r="CZ58" i="55"/>
  <c r="H69" i="16"/>
  <c r="H71" i="16" s="1"/>
  <c r="AN33" i="58" s="1"/>
  <c r="AN58" i="55"/>
  <c r="AN61" i="55"/>
  <c r="G199" i="29"/>
  <c r="P229" i="48"/>
  <c r="P232" i="46"/>
  <c r="P237" i="46" s="1"/>
  <c r="P234" i="46"/>
  <c r="Q108" i="45" s="1"/>
  <c r="AW108" i="45" s="1"/>
  <c r="P230" i="46"/>
  <c r="P235" i="46" s="1"/>
  <c r="P233" i="46"/>
  <c r="P238" i="46" s="1"/>
  <c r="P231" i="46"/>
  <c r="P236" i="46" s="1"/>
  <c r="J321" i="42"/>
  <c r="J322" i="42" s="1"/>
  <c r="J324" i="42" s="1"/>
  <c r="P139" i="42"/>
  <c r="P143" i="42" s="1"/>
  <c r="P140" i="42"/>
  <c r="P144" i="42" s="1"/>
  <c r="P141" i="42"/>
  <c r="P138" i="42"/>
  <c r="P142" i="42" s="1"/>
  <c r="Q246" i="48"/>
  <c r="Q249" i="46"/>
  <c r="Q254" i="46" s="1"/>
  <c r="Q251" i="46"/>
  <c r="R96" i="45" s="1"/>
  <c r="Q247" i="46"/>
  <c r="Q252" i="46" s="1"/>
  <c r="Q248" i="46"/>
  <c r="Q253" i="46" s="1"/>
  <c r="Q250" i="46"/>
  <c r="Q255" i="46" s="1"/>
  <c r="M234" i="19"/>
  <c r="M233" i="19"/>
  <c r="K156" i="29"/>
  <c r="K157" i="29"/>
  <c r="AV85" i="45"/>
  <c r="P86" i="45"/>
  <c r="P87" i="45"/>
  <c r="P85" i="45"/>
  <c r="AV86" i="45"/>
  <c r="AV87" i="45"/>
  <c r="Q55" i="15"/>
  <c r="P85" i="29"/>
  <c r="Q55" i="16" s="1"/>
  <c r="I171" i="28"/>
  <c r="I170" i="28"/>
  <c r="I190" i="29"/>
  <c r="AP61" i="55" s="1"/>
  <c r="K318" i="42"/>
  <c r="K319" i="42" s="1"/>
  <c r="K320" i="42"/>
  <c r="K323" i="42" s="1"/>
  <c r="K328" i="42" s="1"/>
  <c r="N149" i="29"/>
  <c r="N146" i="29"/>
  <c r="I186" i="28"/>
  <c r="I187" i="28" s="1"/>
  <c r="I188" i="28"/>
  <c r="P203" i="42"/>
  <c r="P202" i="42"/>
  <c r="P206" i="42" s="1"/>
  <c r="P200" i="42"/>
  <c r="P204" i="42" s="1"/>
  <c r="P201" i="42"/>
  <c r="P205" i="42" s="1"/>
  <c r="L314" i="38"/>
  <c r="M88" i="55" s="1"/>
  <c r="L309" i="38"/>
  <c r="L310" i="38"/>
  <c r="L313" i="38"/>
  <c r="M87" i="55" s="1"/>
  <c r="L312" i="38"/>
  <c r="M86" i="55" s="1"/>
  <c r="L311" i="38"/>
  <c r="M85" i="55" s="1"/>
  <c r="Q239" i="42"/>
  <c r="Q243" i="42" s="1"/>
  <c r="Q240" i="42"/>
  <c r="Q244" i="42" s="1"/>
  <c r="Q241" i="42"/>
  <c r="Q238" i="42"/>
  <c r="Q242" i="42" s="1"/>
  <c r="H189" i="28"/>
  <c r="H190" i="28" s="1"/>
  <c r="H192" i="28" s="1"/>
  <c r="H191" i="28"/>
  <c r="J174" i="28"/>
  <c r="J175" i="28"/>
  <c r="L300" i="38"/>
  <c r="L301" i="38"/>
  <c r="P165" i="38"/>
  <c r="Q109" i="36" s="1"/>
  <c r="AW109" i="36" s="1"/>
  <c r="P162" i="38"/>
  <c r="P166" i="38" s="1"/>
  <c r="P164" i="38"/>
  <c r="P168" i="38" s="1"/>
  <c r="P163" i="38"/>
  <c r="P167" i="38" s="1"/>
  <c r="O34" i="42"/>
  <c r="O281" i="42"/>
  <c r="R18" i="38"/>
  <c r="R31" i="38" s="1"/>
  <c r="R46" i="38" s="1"/>
  <c r="R237" i="38" s="1"/>
  <c r="R16" i="38"/>
  <c r="R29" i="38" s="1"/>
  <c r="R44" i="38" s="1"/>
  <c r="R222" i="38" s="1"/>
  <c r="R17" i="38"/>
  <c r="R30" i="38" s="1"/>
  <c r="R45" i="38" s="1"/>
  <c r="R14" i="38"/>
  <c r="R15" i="38"/>
  <c r="R28" i="38" s="1"/>
  <c r="R43" i="38" s="1"/>
  <c r="S5" i="38"/>
  <c r="M103" i="29"/>
  <c r="M91" i="29"/>
  <c r="P219" i="48"/>
  <c r="P221" i="46"/>
  <c r="P226" i="46" s="1"/>
  <c r="P223" i="46"/>
  <c r="P228" i="46" s="1"/>
  <c r="P222" i="46"/>
  <c r="P227" i="46" s="1"/>
  <c r="P220" i="46"/>
  <c r="P225" i="46" s="1"/>
  <c r="P224" i="46"/>
  <c r="Q99" i="45" s="1"/>
  <c r="AW99" i="45" s="1"/>
  <c r="M239" i="19"/>
  <c r="M251" i="19" s="1"/>
  <c r="M240" i="19"/>
  <c r="P194" i="38"/>
  <c r="P198" i="38" s="1"/>
  <c r="P192" i="38"/>
  <c r="P196" i="38" s="1"/>
  <c r="P193" i="38"/>
  <c r="P197" i="38" s="1"/>
  <c r="J159" i="29"/>
  <c r="J158" i="29"/>
  <c r="J162" i="29" s="1"/>
  <c r="E213" i="28"/>
  <c r="P208" i="42"/>
  <c r="P212" i="42" s="1"/>
  <c r="P209" i="42"/>
  <c r="P213" i="42" s="1"/>
  <c r="P210" i="42"/>
  <c r="P214" i="42" s="1"/>
  <c r="P211" i="42"/>
  <c r="N246" i="42"/>
  <c r="Q191" i="42"/>
  <c r="Q199" i="42"/>
  <c r="Q207" i="42"/>
  <c r="K180" i="28"/>
  <c r="L63" i="55" s="1"/>
  <c r="K178" i="28"/>
  <c r="K177" i="28"/>
  <c r="K182" i="28"/>
  <c r="L65" i="55" s="1"/>
  <c r="K179" i="28"/>
  <c r="L62" i="55" s="1"/>
  <c r="K181" i="28"/>
  <c r="L64" i="55" s="1"/>
  <c r="O161" i="48"/>
  <c r="O166" i="48" s="1"/>
  <c r="O159" i="48"/>
  <c r="O164" i="48" s="1"/>
  <c r="O160" i="48"/>
  <c r="O165" i="48" s="1"/>
  <c r="O158" i="48"/>
  <c r="O163" i="48" s="1"/>
  <c r="O162" i="48"/>
  <c r="L301" i="42"/>
  <c r="L300" i="42"/>
  <c r="Q19" i="29"/>
  <c r="Q27" i="29"/>
  <c r="N87" i="29"/>
  <c r="O61" i="16"/>
  <c r="G72" i="16"/>
  <c r="AM34" i="58" s="1"/>
  <c r="F200" i="29"/>
  <c r="G73" i="16" s="1"/>
  <c r="J328" i="42"/>
  <c r="J329" i="42" s="1"/>
  <c r="J336" i="42" s="1"/>
  <c r="BX57" i="55"/>
  <c r="K152" i="28"/>
  <c r="O281" i="38"/>
  <c r="O34" i="38"/>
  <c r="P146" i="38"/>
  <c r="P150" i="38" s="1"/>
  <c r="P148" i="38"/>
  <c r="P152" i="38" s="1"/>
  <c r="P147" i="38"/>
  <c r="P151" i="38" s="1"/>
  <c r="P149" i="38"/>
  <c r="Q100" i="36" s="1"/>
  <c r="AW100" i="36" s="1"/>
  <c r="O249" i="42"/>
  <c r="O104" i="42"/>
  <c r="O80" i="42"/>
  <c r="O72" i="42"/>
  <c r="O96" i="42"/>
  <c r="O47" i="42"/>
  <c r="O291" i="42" s="1"/>
  <c r="Q19" i="38"/>
  <c r="Q247" i="38" s="1"/>
  <c r="Q27" i="38"/>
  <c r="M92" i="29"/>
  <c r="P213" i="46"/>
  <c r="P218" i="46" s="1"/>
  <c r="P212" i="46"/>
  <c r="P217" i="46" s="1"/>
  <c r="P211" i="46"/>
  <c r="P216" i="46" s="1"/>
  <c r="P210" i="46"/>
  <c r="P215" i="46" s="1"/>
  <c r="P214" i="46"/>
  <c r="Q89" i="45" s="1"/>
  <c r="P209" i="48"/>
  <c r="Q147" i="46"/>
  <c r="Q167" i="46"/>
  <c r="Q157" i="46"/>
  <c r="Q177" i="46"/>
  <c r="P209" i="38"/>
  <c r="P213" i="38" s="1"/>
  <c r="P210" i="38"/>
  <c r="P214" i="38" s="1"/>
  <c r="P211" i="38"/>
  <c r="P208" i="38"/>
  <c r="P212" i="38" s="1"/>
  <c r="O34" i="54"/>
  <c r="O197" i="54"/>
  <c r="DD57" i="55"/>
  <c r="AR57" i="55"/>
  <c r="K148" i="29"/>
  <c r="Q61" i="15"/>
  <c r="P88" i="29"/>
  <c r="O234" i="48"/>
  <c r="O232" i="48"/>
  <c r="O237" i="48" s="1"/>
  <c r="O233" i="48"/>
  <c r="O238" i="48" s="1"/>
  <c r="O230" i="48"/>
  <c r="O235" i="48" s="1"/>
  <c r="O231" i="48"/>
  <c r="O236" i="48" s="1"/>
  <c r="F61" i="55"/>
  <c r="I336" i="42"/>
  <c r="P193" i="42"/>
  <c r="P197" i="42" s="1"/>
  <c r="P194" i="42"/>
  <c r="P198" i="42" s="1"/>
  <c r="P192" i="42"/>
  <c r="P196" i="42" s="1"/>
  <c r="P195" i="42"/>
  <c r="N82" i="42"/>
  <c r="N86" i="42" s="1"/>
  <c r="N84" i="42"/>
  <c r="N81" i="42"/>
  <c r="N85" i="42" s="1"/>
  <c r="N83" i="42"/>
  <c r="N87" i="42" s="1"/>
  <c r="O224" i="48"/>
  <c r="O223" i="48"/>
  <c r="O228" i="48" s="1"/>
  <c r="O220" i="48"/>
  <c r="O225" i="48" s="1"/>
  <c r="O221" i="48"/>
  <c r="O226" i="48" s="1"/>
  <c r="O222" i="48"/>
  <c r="O227" i="48" s="1"/>
  <c r="K166" i="28"/>
  <c r="K167" i="28"/>
  <c r="K164" i="28"/>
  <c r="K165" i="28"/>
  <c r="M312" i="38"/>
  <c r="N86" i="55" s="1"/>
  <c r="M314" i="38"/>
  <c r="N88" i="55" s="1"/>
  <c r="M309" i="38"/>
  <c r="M311" i="38"/>
  <c r="N85" i="55" s="1"/>
  <c r="M313" i="38"/>
  <c r="N87" i="55" s="1"/>
  <c r="M310" i="38"/>
  <c r="P247" i="48"/>
  <c r="P252" i="48" s="1"/>
  <c r="P249" i="48"/>
  <c r="P254" i="48" s="1"/>
  <c r="P251" i="48"/>
  <c r="P250" i="48"/>
  <c r="P255" i="48" s="1"/>
  <c r="P248" i="48"/>
  <c r="P253" i="48" s="1"/>
  <c r="O65" i="15"/>
  <c r="O139" i="15" s="1"/>
  <c r="L307" i="38"/>
  <c r="L306" i="38"/>
  <c r="L318" i="38" s="1"/>
  <c r="M217" i="28"/>
  <c r="L151" i="28"/>
  <c r="J163" i="29"/>
  <c r="J164" i="29"/>
  <c r="J166" i="29"/>
  <c r="AQ63" i="55" s="1"/>
  <c r="J165" i="29"/>
  <c r="AQ62" i="55" s="1"/>
  <c r="J168" i="29"/>
  <c r="AQ65" i="55" s="1"/>
  <c r="J167" i="29"/>
  <c r="AQ64" i="55" s="1"/>
  <c r="O249" i="38"/>
  <c r="O104" i="38"/>
  <c r="O72" i="38"/>
  <c r="O73" i="38" s="1"/>
  <c r="O80" i="38"/>
  <c r="O47" i="38"/>
  <c r="O291" i="38" s="1"/>
  <c r="O96" i="38"/>
  <c r="J305" i="38"/>
  <c r="J304" i="38"/>
  <c r="J308" i="38" s="1"/>
  <c r="P154" i="38"/>
  <c r="P158" i="38" s="1"/>
  <c r="P156" i="38"/>
  <c r="P160" i="38" s="1"/>
  <c r="P157" i="38"/>
  <c r="Q79" i="36" s="1"/>
  <c r="AW79" i="36" s="1"/>
  <c r="P155" i="38"/>
  <c r="P159" i="38" s="1"/>
  <c r="P19" i="53"/>
  <c r="P27" i="53"/>
  <c r="P32" i="53" s="1"/>
  <c r="F204" i="28"/>
  <c r="Q224" i="38"/>
  <c r="Q228" i="38" s="1"/>
  <c r="Q225" i="38"/>
  <c r="Q229" i="38" s="1"/>
  <c r="Q223" i="38"/>
  <c r="Q227" i="38" s="1"/>
  <c r="N67" i="15"/>
  <c r="N46" i="15"/>
  <c r="N67" i="16"/>
  <c r="N46" i="16"/>
  <c r="AN126" i="36"/>
  <c r="AN39" i="58" s="1"/>
  <c r="G346" i="42"/>
  <c r="AN127" i="36" s="1"/>
  <c r="P32" i="29"/>
  <c r="P45" i="29"/>
  <c r="H183" i="29"/>
  <c r="H192" i="29" s="1"/>
  <c r="I70" i="16" s="1"/>
  <c r="P201" i="38"/>
  <c r="P205" i="38" s="1"/>
  <c r="P203" i="38"/>
  <c r="Q101" i="36" s="1"/>
  <c r="AW101" i="36" s="1"/>
  <c r="P202" i="38"/>
  <c r="P206" i="38" s="1"/>
  <c r="P200" i="38"/>
  <c r="P204" i="38" s="1"/>
  <c r="K174" i="29"/>
  <c r="K177" i="29" s="1"/>
  <c r="P19" i="28"/>
  <c r="P118" i="28" s="1"/>
  <c r="P27" i="28"/>
  <c r="P19" i="54"/>
  <c r="P27" i="54"/>
  <c r="P32" i="54" s="1"/>
  <c r="M294" i="42"/>
  <c r="E208" i="28"/>
  <c r="K321" i="42"/>
  <c r="K322" i="42" s="1"/>
  <c r="K324" i="42" s="1"/>
  <c r="N76" i="42"/>
  <c r="N73" i="42"/>
  <c r="N77" i="42" s="1"/>
  <c r="N74" i="42"/>
  <c r="N78" i="42" s="1"/>
  <c r="N75" i="42"/>
  <c r="N79" i="42" s="1"/>
  <c r="M152" i="29"/>
  <c r="M151" i="29"/>
  <c r="M153" i="29"/>
  <c r="M150" i="29"/>
  <c r="M299" i="38"/>
  <c r="M298" i="38"/>
  <c r="M297" i="38"/>
  <c r="M296" i="38"/>
  <c r="Q19" i="19"/>
  <c r="Q27" i="19"/>
  <c r="L306" i="42"/>
  <c r="L307" i="42"/>
  <c r="R14" i="29"/>
  <c r="R16" i="29"/>
  <c r="R29" i="29" s="1"/>
  <c r="R47" i="29" s="1"/>
  <c r="R17" i="29"/>
  <c r="R30" i="29" s="1"/>
  <c r="R15" i="29"/>
  <c r="R28" i="29" s="1"/>
  <c r="R46" i="29" s="1"/>
  <c r="R18" i="29"/>
  <c r="R31" i="29" s="1"/>
  <c r="S5" i="29"/>
  <c r="R17" i="48"/>
  <c r="R30" i="48" s="1"/>
  <c r="R45" i="48" s="1"/>
  <c r="R15" i="48"/>
  <c r="R28" i="48" s="1"/>
  <c r="R43" i="48" s="1"/>
  <c r="R14" i="48"/>
  <c r="R18" i="48"/>
  <c r="R31" i="48" s="1"/>
  <c r="R16" i="48"/>
  <c r="R29" i="48" s="1"/>
  <c r="R44" i="48" s="1"/>
  <c r="S5" i="48"/>
  <c r="P61" i="15"/>
  <c r="O88" i="29"/>
  <c r="P140" i="38"/>
  <c r="P138" i="38"/>
  <c r="P139" i="38"/>
  <c r="Q199" i="38"/>
  <c r="Q191" i="38"/>
  <c r="Q207" i="38"/>
  <c r="N65" i="16"/>
  <c r="N139" i="16" s="1"/>
  <c r="L154" i="29"/>
  <c r="L155" i="29"/>
  <c r="O197" i="53"/>
  <c r="O34" i="53"/>
  <c r="J304" i="42"/>
  <c r="J308" i="42" s="1"/>
  <c r="J305" i="42"/>
  <c r="K238" i="19"/>
  <c r="K237" i="19"/>
  <c r="K241" i="19" s="1"/>
  <c r="R5" i="28"/>
  <c r="Q18" i="28"/>
  <c r="Q31" i="28" s="1"/>
  <c r="Q17" i="28"/>
  <c r="Q30" i="28" s="1"/>
  <c r="Q16" i="28"/>
  <c r="Q29" i="28" s="1"/>
  <c r="Q47" i="28" s="1"/>
  <c r="Q14" i="28"/>
  <c r="Q15" i="28"/>
  <c r="Q28" i="28" s="1"/>
  <c r="Q46" i="28" s="1"/>
  <c r="Q15" i="54"/>
  <c r="Q28" i="54" s="1"/>
  <c r="R5" i="54"/>
  <c r="Q18" i="54"/>
  <c r="Q31" i="54" s="1"/>
  <c r="Q17" i="54"/>
  <c r="Q30" i="54" s="1"/>
  <c r="Q14" i="54"/>
  <c r="Q16" i="54"/>
  <c r="Q29" i="54" s="1"/>
  <c r="Q44" i="54" s="1"/>
  <c r="Q150" i="54" s="1"/>
  <c r="Q151" i="54" s="1"/>
  <c r="M297" i="42"/>
  <c r="M296" i="42"/>
  <c r="M299" i="42"/>
  <c r="M298" i="42"/>
  <c r="N295" i="38"/>
  <c r="N294" i="38"/>
  <c r="N292" i="38"/>
  <c r="D150" i="19"/>
  <c r="E137" i="14" s="1"/>
  <c r="E137" i="12"/>
  <c r="D138" i="19"/>
  <c r="E113" i="14" s="1"/>
  <c r="E113" i="12"/>
  <c r="D139" i="12"/>
  <c r="C73" i="19"/>
  <c r="D114" i="14" s="1"/>
  <c r="D115" i="14" s="1"/>
  <c r="D229" i="14" s="1"/>
  <c r="D114" i="12"/>
  <c r="D115" i="12" s="1"/>
  <c r="C123" i="19"/>
  <c r="C114" i="19"/>
  <c r="D124" i="19"/>
  <c r="E138" i="14" s="1"/>
  <c r="E138" i="12"/>
  <c r="C107" i="19"/>
  <c r="C125" i="19"/>
  <c r="C111" i="19"/>
  <c r="D106" i="19"/>
  <c r="E103" i="14" s="1"/>
  <c r="E103" i="12"/>
  <c r="C126" i="19"/>
  <c r="D147" i="14"/>
  <c r="D95" i="14"/>
  <c r="E174" i="19"/>
  <c r="D174" i="19"/>
  <c r="C145" i="19"/>
  <c r="C151" i="19"/>
  <c r="C147" i="19"/>
  <c r="C142" i="19"/>
  <c r="D98" i="19"/>
  <c r="D176" i="19"/>
  <c r="C154" i="19"/>
  <c r="E176" i="19"/>
  <c r="C148" i="19"/>
  <c r="E164" i="19"/>
  <c r="E166" i="19"/>
  <c r="E165" i="19"/>
  <c r="E163" i="19"/>
  <c r="C141" i="19"/>
  <c r="C153" i="19"/>
  <c r="C143" i="19"/>
  <c r="C155" i="19"/>
  <c r="C139" i="19"/>
  <c r="C119" i="19"/>
  <c r="C109" i="19"/>
  <c r="D118" i="19"/>
  <c r="E94" i="14" s="1"/>
  <c r="D105" i="12"/>
  <c r="C108" i="19"/>
  <c r="C79" i="19"/>
  <c r="D104" i="14" s="1"/>
  <c r="D105" i="14" s="1"/>
  <c r="D228" i="14" s="1"/>
  <c r="C120" i="19"/>
  <c r="C129" i="19"/>
  <c r="C180" i="19"/>
  <c r="C288" i="19" s="1"/>
  <c r="C221" i="20"/>
  <c r="C318" i="20"/>
  <c r="F172" i="19"/>
  <c r="G135" i="14" s="1"/>
  <c r="C223" i="20"/>
  <c r="C91" i="19"/>
  <c r="D136" i="14" s="1"/>
  <c r="D131" i="19"/>
  <c r="F216" i="20"/>
  <c r="F218" i="20"/>
  <c r="F215" i="20"/>
  <c r="F173" i="19" s="1"/>
  <c r="F217" i="20"/>
  <c r="F175" i="19" s="1"/>
  <c r="F219" i="20"/>
  <c r="F177" i="19" s="1"/>
  <c r="D183" i="20"/>
  <c r="D187" i="20"/>
  <c r="D149" i="19" s="1"/>
  <c r="D184" i="20"/>
  <c r="D146" i="19" s="1"/>
  <c r="D185" i="20"/>
  <c r="D186" i="20"/>
  <c r="D181" i="20"/>
  <c r="D177" i="20"/>
  <c r="D180" i="20"/>
  <c r="D179" i="20"/>
  <c r="D178" i="20"/>
  <c r="D140" i="19" s="1"/>
  <c r="F202" i="20"/>
  <c r="F204" i="20"/>
  <c r="F206" i="20"/>
  <c r="F167" i="19" s="1"/>
  <c r="F203" i="20"/>
  <c r="F205" i="20"/>
  <c r="D190" i="20"/>
  <c r="D152" i="19" s="1"/>
  <c r="D193" i="20"/>
  <c r="D191" i="20"/>
  <c r="D189" i="20"/>
  <c r="D192" i="20"/>
  <c r="D137" i="20"/>
  <c r="D138" i="20"/>
  <c r="D141" i="20"/>
  <c r="D117" i="19" s="1"/>
  <c r="D139" i="20"/>
  <c r="D115" i="19" s="1"/>
  <c r="D140" i="20"/>
  <c r="D116" i="19" s="1"/>
  <c r="D132" i="20"/>
  <c r="D135" i="20"/>
  <c r="D133" i="20"/>
  <c r="D134" i="20"/>
  <c r="D110" i="19" s="1"/>
  <c r="D131" i="20"/>
  <c r="D107" i="19" s="1"/>
  <c r="D143" i="20"/>
  <c r="D144" i="20"/>
  <c r="D145" i="20"/>
  <c r="D121" i="19" s="1"/>
  <c r="D146" i="20"/>
  <c r="D122" i="19" s="1"/>
  <c r="D147" i="20"/>
  <c r="E130" i="20"/>
  <c r="E136" i="20"/>
  <c r="E112" i="19" s="1"/>
  <c r="F126" i="14" s="1"/>
  <c r="E148" i="20"/>
  <c r="E142" i="20"/>
  <c r="D152" i="20"/>
  <c r="D128" i="19" s="1"/>
  <c r="D151" i="20"/>
  <c r="D127" i="19" s="1"/>
  <c r="D150" i="20"/>
  <c r="D126" i="19" s="1"/>
  <c r="D149" i="20"/>
  <c r="D125" i="19" s="1"/>
  <c r="D153" i="20"/>
  <c r="C95" i="20"/>
  <c r="C87" i="19" s="1"/>
  <c r="C94" i="20"/>
  <c r="D128" i="12" s="1"/>
  <c r="C98" i="20"/>
  <c r="C96" i="20"/>
  <c r="C97" i="20"/>
  <c r="D133" i="12" s="1"/>
  <c r="D129" i="12" s="1"/>
  <c r="D75" i="20"/>
  <c r="D67" i="19" s="1"/>
  <c r="E93" i="14" s="1"/>
  <c r="D99" i="20"/>
  <c r="D87" i="20"/>
  <c r="E104" i="12" s="1"/>
  <c r="D81" i="20"/>
  <c r="D93" i="20"/>
  <c r="D85" i="19" s="1"/>
  <c r="E124" i="14" s="1"/>
  <c r="C92" i="20"/>
  <c r="C84" i="19" s="1"/>
  <c r="C88" i="20"/>
  <c r="D106" i="12" s="1"/>
  <c r="C89" i="20"/>
  <c r="C81" i="19" s="1"/>
  <c r="C90" i="20"/>
  <c r="C82" i="19" s="1"/>
  <c r="C91" i="20"/>
  <c r="C102" i="20"/>
  <c r="C104" i="20"/>
  <c r="C96" i="19" s="1"/>
  <c r="C100" i="20"/>
  <c r="D140" i="12" s="1"/>
  <c r="C101" i="20"/>
  <c r="C103" i="20"/>
  <c r="C95" i="19" s="1"/>
  <c r="D145" i="14" s="1"/>
  <c r="D141" i="14" s="1"/>
  <c r="C84" i="20"/>
  <c r="C76" i="19" s="1"/>
  <c r="C86" i="20"/>
  <c r="C78" i="19" s="1"/>
  <c r="C83" i="20"/>
  <c r="C85" i="20"/>
  <c r="C82" i="20"/>
  <c r="C80" i="20"/>
  <c r="C72" i="19" s="1"/>
  <c r="C79" i="20"/>
  <c r="D101" i="12" s="1"/>
  <c r="D97" i="12" s="1"/>
  <c r="C78" i="20"/>
  <c r="D100" i="12" s="1"/>
  <c r="D98" i="12" s="1"/>
  <c r="C77" i="20"/>
  <c r="C69" i="19" s="1"/>
  <c r="C76" i="20"/>
  <c r="D96" i="12" s="1"/>
  <c r="F19" i="20"/>
  <c r="F222" i="20" s="1"/>
  <c r="F28" i="20"/>
  <c r="F46" i="20" s="1"/>
  <c r="G94" i="12" s="1"/>
  <c r="D256" i="20"/>
  <c r="D34" i="20"/>
  <c r="D55" i="19"/>
  <c r="D52" i="19" s="1"/>
  <c r="D60" i="19"/>
  <c r="D62" i="19"/>
  <c r="E93" i="12"/>
  <c r="E95" i="12" s="1"/>
  <c r="D50" i="20"/>
  <c r="D63" i="19"/>
  <c r="D58" i="19"/>
  <c r="D64" i="19"/>
  <c r="D65" i="19"/>
  <c r="D54" i="19"/>
  <c r="D53" i="19"/>
  <c r="D57" i="19"/>
  <c r="D56" i="19"/>
  <c r="D61" i="19"/>
  <c r="E124" i="12"/>
  <c r="C287" i="19"/>
  <c r="M286" i="19" s="1"/>
  <c r="C37" i="20"/>
  <c r="C36" i="20"/>
  <c r="E45" i="20"/>
  <c r="E32" i="20"/>
  <c r="BR4" i="55" s="1"/>
  <c r="CX4" i="55" s="1"/>
  <c r="E169" i="19"/>
  <c r="C267" i="20"/>
  <c r="C266" i="20"/>
  <c r="C270" i="20"/>
  <c r="G123" i="12"/>
  <c r="F158" i="19"/>
  <c r="F160" i="19"/>
  <c r="F27" i="20"/>
  <c r="C291" i="20"/>
  <c r="C292" i="20" s="1"/>
  <c r="C225" i="20"/>
  <c r="C268" i="20"/>
  <c r="G31" i="20"/>
  <c r="G49" i="20" s="1"/>
  <c r="G214" i="20" s="1"/>
  <c r="H135" i="12" s="1"/>
  <c r="G29" i="20"/>
  <c r="G47" i="20" s="1"/>
  <c r="G201" i="20" s="1"/>
  <c r="G162" i="19" s="1"/>
  <c r="H123" i="14" s="1"/>
  <c r="F30" i="20"/>
  <c r="F48" i="20" s="1"/>
  <c r="E99" i="19"/>
  <c r="E103" i="19"/>
  <c r="E100" i="19"/>
  <c r="E102" i="19"/>
  <c r="F126" i="12"/>
  <c r="E104" i="19"/>
  <c r="E101" i="19"/>
  <c r="C179" i="19"/>
  <c r="E157" i="19"/>
  <c r="F170" i="19"/>
  <c r="E133" i="19"/>
  <c r="E136" i="19"/>
  <c r="E135" i="19"/>
  <c r="E132" i="19"/>
  <c r="E134" i="19"/>
  <c r="F125" i="12"/>
  <c r="D146" i="14" l="1"/>
  <c r="M141" i="16"/>
  <c r="M142" i="16" s="1"/>
  <c r="R49" i="29"/>
  <c r="G204" i="28"/>
  <c r="Q49" i="28"/>
  <c r="O246" i="42"/>
  <c r="L173" i="29"/>
  <c r="M141" i="15"/>
  <c r="M142" i="15" s="1"/>
  <c r="K182" i="29"/>
  <c r="Q27" i="28"/>
  <c r="Q19" i="28"/>
  <c r="Q118" i="28" s="1"/>
  <c r="Q194" i="38"/>
  <c r="Q198" i="38" s="1"/>
  <c r="Q193" i="38"/>
  <c r="Q197" i="38" s="1"/>
  <c r="Q192" i="38"/>
  <c r="Q196" i="38" s="1"/>
  <c r="T5" i="48"/>
  <c r="S14" i="48"/>
  <c r="S16" i="48"/>
  <c r="S29" i="48" s="1"/>
  <c r="S44" i="48" s="1"/>
  <c r="S15" i="48"/>
  <c r="S28" i="48" s="1"/>
  <c r="S43" i="48" s="1"/>
  <c r="S17" i="48"/>
  <c r="S30" i="48" s="1"/>
  <c r="S45" i="48" s="1"/>
  <c r="S18" i="48"/>
  <c r="S31" i="48" s="1"/>
  <c r="M154" i="29"/>
  <c r="M155" i="29"/>
  <c r="P34" i="54"/>
  <c r="P197" i="54"/>
  <c r="N77" i="16"/>
  <c r="N133" i="16" a="1"/>
  <c r="N141" i="16" s="1"/>
  <c r="N142" i="16" s="1"/>
  <c r="N134" i="16"/>
  <c r="N140" i="16" s="1"/>
  <c r="N68" i="16"/>
  <c r="P197" i="53"/>
  <c r="P34" i="53"/>
  <c r="K174" i="28"/>
  <c r="K175" i="28"/>
  <c r="K164" i="29"/>
  <c r="K166" i="29"/>
  <c r="AR63" i="55" s="1"/>
  <c r="K168" i="29"/>
  <c r="AR65" i="55" s="1"/>
  <c r="K163" i="29"/>
  <c r="K165" i="29"/>
  <c r="AR62" i="55" s="1"/>
  <c r="K167" i="29"/>
  <c r="AR64" i="55" s="1"/>
  <c r="O99" i="42"/>
  <c r="O103" i="42" s="1"/>
  <c r="O98" i="42"/>
  <c r="O102" i="42" s="1"/>
  <c r="O100" i="42"/>
  <c r="O97" i="42"/>
  <c r="O101" i="42" s="1"/>
  <c r="P224" i="48"/>
  <c r="P220" i="48"/>
  <c r="P225" i="48" s="1"/>
  <c r="P223" i="48"/>
  <c r="P228" i="48" s="1"/>
  <c r="P221" i="48"/>
  <c r="P226" i="48" s="1"/>
  <c r="P222" i="48"/>
  <c r="P227" i="48" s="1"/>
  <c r="R223" i="38"/>
  <c r="R227" i="38" s="1"/>
  <c r="R225" i="38"/>
  <c r="R229" i="38" s="1"/>
  <c r="R224" i="38"/>
  <c r="R228" i="38" s="1"/>
  <c r="N239" i="19"/>
  <c r="N251" i="19" s="1"/>
  <c r="N240" i="19"/>
  <c r="R241" i="42"/>
  <c r="R238" i="42"/>
  <c r="R242" i="42" s="1"/>
  <c r="R239" i="42"/>
  <c r="R243" i="42" s="1"/>
  <c r="R240" i="42"/>
  <c r="R244" i="42" s="1"/>
  <c r="L238" i="19"/>
  <c r="L237" i="19"/>
  <c r="L241" i="19" s="1"/>
  <c r="Q34" i="46"/>
  <c r="Q309" i="46"/>
  <c r="O46" i="16"/>
  <c r="O67" i="16"/>
  <c r="O67" i="15"/>
  <c r="O46" i="15"/>
  <c r="L164" i="28"/>
  <c r="L166" i="28"/>
  <c r="L167" i="28"/>
  <c r="L165" i="28"/>
  <c r="Q214" i="46"/>
  <c r="R89" i="45" s="1"/>
  <c r="Q209" i="48"/>
  <c r="Q211" i="46"/>
  <c r="Q216" i="46" s="1"/>
  <c r="Q212" i="46"/>
  <c r="Q217" i="46" s="1"/>
  <c r="Q213" i="46"/>
  <c r="Q218" i="46" s="1"/>
  <c r="Q210" i="46"/>
  <c r="Q215" i="46" s="1"/>
  <c r="P281" i="38"/>
  <c r="P34" i="38"/>
  <c r="Q34" i="48"/>
  <c r="Q309" i="48"/>
  <c r="Q163" i="42"/>
  <c r="Q167" i="42" s="1"/>
  <c r="Q162" i="42"/>
  <c r="Q166" i="42" s="1"/>
  <c r="Q164" i="42"/>
  <c r="Q168" i="42" s="1"/>
  <c r="Q165" i="42"/>
  <c r="H340" i="42"/>
  <c r="R147" i="46"/>
  <c r="R167" i="46"/>
  <c r="R177" i="46"/>
  <c r="R157" i="46"/>
  <c r="O146" i="29"/>
  <c r="O149" i="29"/>
  <c r="R55" i="15"/>
  <c r="Q85" i="29"/>
  <c r="R55" i="16" s="1"/>
  <c r="Q203" i="38"/>
  <c r="R101" i="36" s="1"/>
  <c r="AX101" i="36" s="1"/>
  <c r="Q200" i="38"/>
  <c r="Q204" i="38" s="1"/>
  <c r="Q201" i="38"/>
  <c r="Q205" i="38" s="1"/>
  <c r="Q202" i="38"/>
  <c r="Q206" i="38" s="1"/>
  <c r="O246" i="38"/>
  <c r="K168" i="28"/>
  <c r="K169" i="28"/>
  <c r="Q180" i="46"/>
  <c r="Q185" i="46" s="1"/>
  <c r="Q178" i="46"/>
  <c r="Q183" i="46" s="1"/>
  <c r="Q181" i="46"/>
  <c r="Q186" i="46" s="1"/>
  <c r="Q182" i="46"/>
  <c r="R107" i="45" s="1"/>
  <c r="AX107" i="45" s="1"/>
  <c r="Q177" i="48"/>
  <c r="Q179" i="46"/>
  <c r="Q184" i="46" s="1"/>
  <c r="O75" i="42"/>
  <c r="O79" i="42" s="1"/>
  <c r="O76" i="42"/>
  <c r="O74" i="42"/>
  <c r="O78" i="42" s="1"/>
  <c r="O73" i="42"/>
  <c r="O77" i="42" s="1"/>
  <c r="R240" i="38"/>
  <c r="R244" i="38" s="1"/>
  <c r="R239" i="38"/>
  <c r="R243" i="38" s="1"/>
  <c r="R238" i="38"/>
  <c r="R242" i="38" s="1"/>
  <c r="L303" i="38"/>
  <c r="L302" i="38"/>
  <c r="K158" i="29"/>
  <c r="K162" i="29" s="1"/>
  <c r="K159" i="29"/>
  <c r="Q248" i="48"/>
  <c r="Q253" i="48" s="1"/>
  <c r="Q251" i="48"/>
  <c r="Q250" i="48"/>
  <c r="Q255" i="48" s="1"/>
  <c r="Q247" i="48"/>
  <c r="Q252" i="48" s="1"/>
  <c r="Q249" i="48"/>
  <c r="Q254" i="48" s="1"/>
  <c r="S15" i="42"/>
  <c r="S28" i="42" s="1"/>
  <c r="S43" i="42" s="1"/>
  <c r="S16" i="42"/>
  <c r="S29" i="42" s="1"/>
  <c r="S44" i="42" s="1"/>
  <c r="S222" i="42" s="1"/>
  <c r="T5" i="42"/>
  <c r="S17" i="42"/>
  <c r="S30" i="42" s="1"/>
  <c r="S45" i="42" s="1"/>
  <c r="S14" i="42"/>
  <c r="S18" i="42"/>
  <c r="S31" i="42" s="1"/>
  <c r="S46" i="42" s="1"/>
  <c r="S237" i="42" s="1"/>
  <c r="P276" i="19"/>
  <c r="P275" i="19"/>
  <c r="P225" i="19"/>
  <c r="P224" i="19"/>
  <c r="P228" i="19"/>
  <c r="N103" i="29"/>
  <c r="N91" i="29"/>
  <c r="Q148" i="38"/>
  <c r="Q152" i="38" s="1"/>
  <c r="Q149" i="38"/>
  <c r="R100" i="36" s="1"/>
  <c r="AX100" i="36" s="1"/>
  <c r="Q147" i="38"/>
  <c r="Q151" i="38" s="1"/>
  <c r="Q146" i="38"/>
  <c r="Q150" i="38" s="1"/>
  <c r="P34" i="42"/>
  <c r="P281" i="42"/>
  <c r="P249" i="38"/>
  <c r="P47" i="38"/>
  <c r="P291" i="38" s="1"/>
  <c r="P96" i="38"/>
  <c r="P80" i="38"/>
  <c r="P72" i="38"/>
  <c r="P73" i="38" s="1"/>
  <c r="P104" i="38"/>
  <c r="Q156" i="42"/>
  <c r="Q160" i="42" s="1"/>
  <c r="Q155" i="42"/>
  <c r="Q159" i="42" s="1"/>
  <c r="Q157" i="42"/>
  <c r="Q154" i="42"/>
  <c r="Q158" i="42" s="1"/>
  <c r="AO84" i="55"/>
  <c r="S16" i="46"/>
  <c r="S29" i="46" s="1"/>
  <c r="S44" i="46" s="1"/>
  <c r="S246" i="46" s="1"/>
  <c r="S15" i="46"/>
  <c r="S28" i="46" s="1"/>
  <c r="S43" i="46" s="1"/>
  <c r="S14" i="46"/>
  <c r="S18" i="46"/>
  <c r="S31" i="46" s="1"/>
  <c r="T5" i="46"/>
  <c r="S17" i="46"/>
  <c r="S30" i="46" s="1"/>
  <c r="S45" i="46" s="1"/>
  <c r="Q19" i="54"/>
  <c r="Q27" i="54"/>
  <c r="Q32" i="54" s="1"/>
  <c r="P32" i="28"/>
  <c r="P45" i="28"/>
  <c r="H190" i="29"/>
  <c r="N133" i="15" a="1"/>
  <c r="N68" i="15"/>
  <c r="N77" i="15" s="1"/>
  <c r="N134" i="15"/>
  <c r="N140" i="15" s="1"/>
  <c r="Q161" i="46"/>
  <c r="Q166" i="46" s="1"/>
  <c r="Q160" i="46"/>
  <c r="Q165" i="46" s="1"/>
  <c r="Q159" i="46"/>
  <c r="Q164" i="46" s="1"/>
  <c r="Q158" i="46"/>
  <c r="Q163" i="46" s="1"/>
  <c r="Q157" i="48"/>
  <c r="Q162" i="46"/>
  <c r="R98" i="45" s="1"/>
  <c r="AX98" i="45" s="1"/>
  <c r="O82" i="42"/>
  <c r="O86" i="42" s="1"/>
  <c r="O84" i="42"/>
  <c r="O83" i="42"/>
  <c r="O87" i="42" s="1"/>
  <c r="O81" i="42"/>
  <c r="O85" i="42" s="1"/>
  <c r="N150" i="29"/>
  <c r="N152" i="29"/>
  <c r="N153" i="29"/>
  <c r="N151" i="29"/>
  <c r="N37" i="28"/>
  <c r="N36" i="28"/>
  <c r="R19" i="19"/>
  <c r="R27" i="19"/>
  <c r="R137" i="42"/>
  <c r="R153" i="42"/>
  <c r="R145" i="42"/>
  <c r="R161" i="42"/>
  <c r="P34" i="19"/>
  <c r="P214" i="19"/>
  <c r="N211" i="28"/>
  <c r="N210" i="28"/>
  <c r="N159" i="28"/>
  <c r="P178" i="48"/>
  <c r="P183" i="48" s="1"/>
  <c r="P181" i="48"/>
  <c r="P186" i="48" s="1"/>
  <c r="P182" i="48"/>
  <c r="P180" i="48"/>
  <c r="P185" i="48" s="1"/>
  <c r="P179" i="48"/>
  <c r="P184" i="48" s="1"/>
  <c r="K305" i="38"/>
  <c r="K304" i="38"/>
  <c r="K308" i="38" s="1"/>
  <c r="O231" i="19"/>
  <c r="O229" i="19"/>
  <c r="O230" i="19"/>
  <c r="O232" i="19"/>
  <c r="Q155" i="38"/>
  <c r="Q159" i="38" s="1"/>
  <c r="Q154" i="38"/>
  <c r="Q158" i="38" s="1"/>
  <c r="Q156" i="38"/>
  <c r="Q160" i="38" s="1"/>
  <c r="Q157" i="38"/>
  <c r="R79" i="36" s="1"/>
  <c r="AX79" i="36" s="1"/>
  <c r="P249" i="42"/>
  <c r="P96" i="42"/>
  <c r="P47" i="42"/>
  <c r="P291" i="42" s="1"/>
  <c r="P72" i="42"/>
  <c r="P104" i="42"/>
  <c r="P80" i="42"/>
  <c r="Q148" i="42"/>
  <c r="Q152" i="42" s="1"/>
  <c r="Q149" i="42"/>
  <c r="Q147" i="42"/>
  <c r="Q151" i="42" s="1"/>
  <c r="Q146" i="42"/>
  <c r="Q150" i="42" s="1"/>
  <c r="AO81" i="55"/>
  <c r="DE57" i="55"/>
  <c r="AS57" i="55"/>
  <c r="L148" i="29"/>
  <c r="R19" i="46"/>
  <c r="R275" i="46" s="1"/>
  <c r="R27" i="46"/>
  <c r="R32" i="46" s="1"/>
  <c r="N314" i="38"/>
  <c r="O88" i="55" s="1"/>
  <c r="N312" i="38"/>
  <c r="O86" i="55" s="1"/>
  <c r="N311" i="38"/>
  <c r="O85" i="55" s="1"/>
  <c r="N309" i="38"/>
  <c r="N310" i="38"/>
  <c r="N313" i="38"/>
  <c r="O87" i="55" s="1"/>
  <c r="R61" i="15"/>
  <c r="Q88" i="29"/>
  <c r="R19" i="48"/>
  <c r="R275" i="48" s="1"/>
  <c r="R27" i="48"/>
  <c r="R32" i="48" s="1"/>
  <c r="R19" i="29"/>
  <c r="R27" i="29"/>
  <c r="M301" i="38"/>
  <c r="M300" i="38"/>
  <c r="O295" i="38"/>
  <c r="O292" i="38"/>
  <c r="Q167" i="48"/>
  <c r="Q171" i="46"/>
  <c r="Q176" i="46" s="1"/>
  <c r="Q169" i="46"/>
  <c r="Q174" i="46" s="1"/>
  <c r="Q170" i="46"/>
  <c r="Q175" i="46" s="1"/>
  <c r="Q168" i="46"/>
  <c r="Q173" i="46" s="1"/>
  <c r="Q172" i="46"/>
  <c r="R77" i="45" s="1"/>
  <c r="AX77" i="45" s="1"/>
  <c r="O106" i="42"/>
  <c r="O110" i="42" s="1"/>
  <c r="O108" i="42"/>
  <c r="O105" i="42"/>
  <c r="O109" i="42" s="1"/>
  <c r="O107" i="42"/>
  <c r="O111" i="42" s="1"/>
  <c r="K156" i="28"/>
  <c r="BX63" i="55" s="1"/>
  <c r="K157" i="28"/>
  <c r="BX64" i="55" s="1"/>
  <c r="K154" i="28"/>
  <c r="BX61" i="55" s="1"/>
  <c r="K155" i="28"/>
  <c r="BX62" i="55" s="1"/>
  <c r="K153" i="28"/>
  <c r="K158" i="28"/>
  <c r="BX65" i="55" s="1"/>
  <c r="Q208" i="42"/>
  <c r="Q212" i="42" s="1"/>
  <c r="Q211" i="42"/>
  <c r="Q209" i="42"/>
  <c r="Q213" i="42" s="1"/>
  <c r="Q210" i="42"/>
  <c r="Q214" i="42" s="1"/>
  <c r="F72" i="15"/>
  <c r="F34" i="58" s="1"/>
  <c r="E214" i="28"/>
  <c r="F73" i="15" s="1"/>
  <c r="M170" i="29"/>
  <c r="M171" i="29" s="1"/>
  <c r="M147" i="29"/>
  <c r="K329" i="42"/>
  <c r="K336" i="42" s="1"/>
  <c r="M236" i="19"/>
  <c r="M235" i="19"/>
  <c r="J182" i="29"/>
  <c r="J183" i="29" s="1"/>
  <c r="J192" i="29" s="1"/>
  <c r="K70" i="16" s="1"/>
  <c r="R19" i="42"/>
  <c r="R247" i="42" s="1"/>
  <c r="R27" i="42"/>
  <c r="K175" i="29"/>
  <c r="K176" i="29" s="1"/>
  <c r="K178" i="29" s="1"/>
  <c r="M283" i="42"/>
  <c r="M284" i="42" s="1"/>
  <c r="N250" i="42"/>
  <c r="N92" i="29"/>
  <c r="Q165" i="38"/>
  <c r="R109" i="36" s="1"/>
  <c r="AX109" i="36" s="1"/>
  <c r="Q162" i="38"/>
  <c r="Q166" i="38" s="1"/>
  <c r="Q163" i="38"/>
  <c r="Q167" i="38" s="1"/>
  <c r="Q164" i="38"/>
  <c r="Q168" i="38" s="1"/>
  <c r="S15" i="20"/>
  <c r="S16" i="20"/>
  <c r="S14" i="20"/>
  <c r="S18" i="20"/>
  <c r="S17" i="20"/>
  <c r="T5" i="20"/>
  <c r="Q139" i="42"/>
  <c r="Q143" i="42" s="1"/>
  <c r="Q141" i="42"/>
  <c r="Q138" i="42"/>
  <c r="Q142" i="42" s="1"/>
  <c r="Q140" i="42"/>
  <c r="Q144" i="42" s="1"/>
  <c r="DA81" i="55"/>
  <c r="L174" i="29"/>
  <c r="L177" i="29" s="1"/>
  <c r="Q42" i="42"/>
  <c r="Q32" i="42"/>
  <c r="N297" i="38"/>
  <c r="N298" i="38"/>
  <c r="N296" i="38"/>
  <c r="N299" i="38"/>
  <c r="S5" i="28"/>
  <c r="R15" i="28"/>
  <c r="R28" i="28" s="1"/>
  <c r="R46" i="28" s="1"/>
  <c r="R16" i="28"/>
  <c r="R29" i="28" s="1"/>
  <c r="R47" i="28" s="1"/>
  <c r="R17" i="28"/>
  <c r="R30" i="28" s="1"/>
  <c r="R14" i="28"/>
  <c r="R18" i="28"/>
  <c r="R31" i="28" s="1"/>
  <c r="L157" i="29"/>
  <c r="L156" i="29"/>
  <c r="M307" i="38"/>
  <c r="M306" i="38"/>
  <c r="M318" i="38" s="1"/>
  <c r="P50" i="29"/>
  <c r="P145" i="29" s="1"/>
  <c r="Q148" i="46"/>
  <c r="Q153" i="46" s="1"/>
  <c r="Q152" i="46"/>
  <c r="R83" i="45" s="1"/>
  <c r="Q147" i="48"/>
  <c r="Q149" i="46"/>
  <c r="Q154" i="46" s="1"/>
  <c r="Q151" i="46"/>
  <c r="Q156" i="46" s="1"/>
  <c r="Q150" i="46"/>
  <c r="Q155" i="46" s="1"/>
  <c r="Q42" i="38"/>
  <c r="Q32" i="38"/>
  <c r="O316" i="42"/>
  <c r="O317" i="42" s="1"/>
  <c r="O293" i="42"/>
  <c r="Q32" i="29"/>
  <c r="Q45" i="29"/>
  <c r="Q201" i="42"/>
  <c r="Q205" i="42" s="1"/>
  <c r="Q200" i="42"/>
  <c r="Q204" i="42" s="1"/>
  <c r="Q202" i="42"/>
  <c r="Q206" i="42" s="1"/>
  <c r="Q203" i="42"/>
  <c r="S15" i="38"/>
  <c r="S28" i="38" s="1"/>
  <c r="S43" i="38" s="1"/>
  <c r="S17" i="38"/>
  <c r="S30" i="38" s="1"/>
  <c r="S45" i="38" s="1"/>
  <c r="S14" i="38"/>
  <c r="S18" i="38"/>
  <c r="S31" i="38" s="1"/>
  <c r="S46" i="38" s="1"/>
  <c r="S237" i="38" s="1"/>
  <c r="S16" i="38"/>
  <c r="S29" i="38" s="1"/>
  <c r="S44" i="38" s="1"/>
  <c r="S222" i="38" s="1"/>
  <c r="T5" i="38"/>
  <c r="P233" i="48"/>
  <c r="P238" i="48" s="1"/>
  <c r="P232" i="48"/>
  <c r="P237" i="48" s="1"/>
  <c r="P234" i="48"/>
  <c r="P230" i="48"/>
  <c r="P235" i="48" s="1"/>
  <c r="P231" i="48"/>
  <c r="P236" i="48" s="1"/>
  <c r="AO126" i="36"/>
  <c r="AO39" i="58" s="1"/>
  <c r="H346" i="42"/>
  <c r="AO127" i="36" s="1"/>
  <c r="Q83" i="29"/>
  <c r="Q82" i="29" s="1"/>
  <c r="R207" i="42"/>
  <c r="R191" i="42"/>
  <c r="R199" i="42"/>
  <c r="L288" i="42"/>
  <c r="L285" i="42"/>
  <c r="L287" i="42"/>
  <c r="L289" i="42"/>
  <c r="L286" i="42"/>
  <c r="L290" i="42"/>
  <c r="Q138" i="38"/>
  <c r="Q139" i="38"/>
  <c r="Q140" i="38"/>
  <c r="O36" i="29"/>
  <c r="O37" i="29"/>
  <c r="P169" i="48"/>
  <c r="P174" i="48" s="1"/>
  <c r="P171" i="48"/>
  <c r="P176" i="48" s="1"/>
  <c r="P170" i="48"/>
  <c r="P175" i="48" s="1"/>
  <c r="P172" i="48"/>
  <c r="P168" i="48"/>
  <c r="P173" i="48" s="1"/>
  <c r="M300" i="42"/>
  <c r="M301" i="42"/>
  <c r="R14" i="54"/>
  <c r="S5" i="54"/>
  <c r="R16" i="54"/>
  <c r="R29" i="54" s="1"/>
  <c r="R44" i="54" s="1"/>
  <c r="R150" i="54" s="1"/>
  <c r="R151" i="54" s="1"/>
  <c r="R18" i="54"/>
  <c r="R31" i="54" s="1"/>
  <c r="R15" i="54"/>
  <c r="R28" i="54" s="1"/>
  <c r="R17" i="54"/>
  <c r="R30" i="54" s="1"/>
  <c r="L175" i="29"/>
  <c r="L176" i="29" s="1"/>
  <c r="L178" i="29" s="1"/>
  <c r="P135" i="29"/>
  <c r="P34" i="29"/>
  <c r="P214" i="48"/>
  <c r="P212" i="48"/>
  <c r="P217" i="48" s="1"/>
  <c r="P213" i="48"/>
  <c r="P218" i="48" s="1"/>
  <c r="P211" i="48"/>
  <c r="P216" i="48" s="1"/>
  <c r="P210" i="48"/>
  <c r="P215" i="48" s="1"/>
  <c r="Q193" i="42"/>
  <c r="Q197" i="42" s="1"/>
  <c r="Q195" i="42"/>
  <c r="Q192" i="42"/>
  <c r="Q196" i="42" s="1"/>
  <c r="Q194" i="42"/>
  <c r="Q198" i="42" s="1"/>
  <c r="R137" i="38"/>
  <c r="R153" i="38"/>
  <c r="R161" i="38"/>
  <c r="R145" i="38"/>
  <c r="J186" i="28"/>
  <c r="J187" i="28" s="1"/>
  <c r="J188" i="28"/>
  <c r="J191" i="28" s="1"/>
  <c r="DB58" i="55"/>
  <c r="AP58" i="55"/>
  <c r="J69" i="16"/>
  <c r="J71" i="16" s="1"/>
  <c r="AP33" i="58" s="1"/>
  <c r="I199" i="29"/>
  <c r="G200" i="29"/>
  <c r="H73" i="16" s="1"/>
  <c r="H72" i="16"/>
  <c r="AN34" i="58" s="1"/>
  <c r="P149" i="48"/>
  <c r="P154" i="48" s="1"/>
  <c r="P151" i="48"/>
  <c r="P156" i="48" s="1"/>
  <c r="P150" i="48"/>
  <c r="P155" i="48" s="1"/>
  <c r="P152" i="48"/>
  <c r="P148" i="48"/>
  <c r="P153" i="48" s="1"/>
  <c r="O65" i="16"/>
  <c r="O139" i="16" s="1"/>
  <c r="N184" i="28"/>
  <c r="N185" i="28" s="1"/>
  <c r="N161" i="28"/>
  <c r="H69" i="15"/>
  <c r="H71" i="15" s="1"/>
  <c r="H33" i="58" s="1"/>
  <c r="H58" i="55"/>
  <c r="G208" i="28"/>
  <c r="H61" i="55"/>
  <c r="G213" i="28"/>
  <c r="Q19" i="53"/>
  <c r="Q27" i="53"/>
  <c r="Q32" i="53" s="1"/>
  <c r="M306" i="42"/>
  <c r="M307" i="42"/>
  <c r="P61" i="16"/>
  <c r="O87" i="29"/>
  <c r="S15" i="29"/>
  <c r="S28" i="29" s="1"/>
  <c r="S46" i="29" s="1"/>
  <c r="S16" i="29"/>
  <c r="S29" i="29" s="1"/>
  <c r="S47" i="29" s="1"/>
  <c r="S17" i="29"/>
  <c r="S30" i="29" s="1"/>
  <c r="T5" i="29"/>
  <c r="S18" i="29"/>
  <c r="S31" i="29" s="1"/>
  <c r="S14" i="29"/>
  <c r="L318" i="42"/>
  <c r="L319" i="42" s="1"/>
  <c r="L320" i="42"/>
  <c r="L323" i="42" s="1"/>
  <c r="M160" i="29"/>
  <c r="M172" i="29" s="1"/>
  <c r="M173" i="29" s="1"/>
  <c r="M161" i="29"/>
  <c r="BY57" i="55"/>
  <c r="L152" i="28"/>
  <c r="Q61" i="16"/>
  <c r="P87" i="29"/>
  <c r="R19" i="38"/>
  <c r="R247" i="38" s="1"/>
  <c r="R27" i="38"/>
  <c r="H196" i="28"/>
  <c r="H197" i="28" s="1"/>
  <c r="H206" i="28" s="1"/>
  <c r="I70" i="15" s="1"/>
  <c r="I189" i="28"/>
  <c r="I190" i="28" s="1"/>
  <c r="I192" i="28" s="1"/>
  <c r="I191" i="28"/>
  <c r="I172" i="28"/>
  <c r="I176" i="28" s="1"/>
  <c r="I173" i="28"/>
  <c r="O216" i="28"/>
  <c r="O63" i="29"/>
  <c r="P56" i="16" s="1"/>
  <c r="O53" i="29"/>
  <c r="P62" i="15"/>
  <c r="O62" i="29"/>
  <c r="P62" i="16" s="1"/>
  <c r="P65" i="16" s="1"/>
  <c r="P139" i="16" s="1"/>
  <c r="P44" i="15"/>
  <c r="O55" i="29"/>
  <c r="O52" i="29" s="1"/>
  <c r="O57" i="29"/>
  <c r="P56" i="15"/>
  <c r="O54" i="29"/>
  <c r="O60" i="29"/>
  <c r="O56" i="29"/>
  <c r="O59" i="29"/>
  <c r="P44" i="16" s="1"/>
  <c r="O61" i="29"/>
  <c r="O50" i="28"/>
  <c r="O117" i="28" s="1"/>
  <c r="N233" i="19"/>
  <c r="N234" i="19"/>
  <c r="T5" i="19"/>
  <c r="S17" i="19"/>
  <c r="S30" i="19" s="1"/>
  <c r="S48" i="19" s="1"/>
  <c r="S16" i="19"/>
  <c r="S29" i="19" s="1"/>
  <c r="S47" i="19" s="1"/>
  <c r="S18" i="19"/>
  <c r="S31" i="19" s="1"/>
  <c r="S49" i="19" s="1"/>
  <c r="S15" i="19"/>
  <c r="S28" i="19" s="1"/>
  <c r="S46" i="19" s="1"/>
  <c r="S14" i="19"/>
  <c r="DG80" i="55"/>
  <c r="AU80" i="55"/>
  <c r="O37" i="19"/>
  <c r="O36" i="19"/>
  <c r="M163" i="28"/>
  <c r="M162" i="28"/>
  <c r="M160" i="28"/>
  <c r="N196" i="29"/>
  <c r="N197" i="29"/>
  <c r="N117" i="28"/>
  <c r="O66" i="16"/>
  <c r="O59" i="16"/>
  <c r="O135" i="16" s="1"/>
  <c r="N294" i="42"/>
  <c r="Q219" i="48"/>
  <c r="Q221" i="46"/>
  <c r="Q226" i="46" s="1"/>
  <c r="Q220" i="46"/>
  <c r="Q225" i="46" s="1"/>
  <c r="Q223" i="46"/>
  <c r="Q228" i="46" s="1"/>
  <c r="Q222" i="46"/>
  <c r="Q227" i="46" s="1"/>
  <c r="Q224" i="46"/>
  <c r="R99" i="45" s="1"/>
  <c r="AX99" i="45" s="1"/>
  <c r="K142" i="29"/>
  <c r="K144" i="29"/>
  <c r="K139" i="29"/>
  <c r="K141" i="29"/>
  <c r="K143" i="29"/>
  <c r="K140" i="29"/>
  <c r="R246" i="48"/>
  <c r="R248" i="46"/>
  <c r="R253" i="46" s="1"/>
  <c r="R249" i="46"/>
  <c r="R254" i="46" s="1"/>
  <c r="R251" i="46"/>
  <c r="S96" i="45" s="1"/>
  <c r="R250" i="46"/>
  <c r="R255" i="46" s="1"/>
  <c r="R247" i="46"/>
  <c r="R252" i="46" s="1"/>
  <c r="R16" i="53"/>
  <c r="R29" i="53" s="1"/>
  <c r="R44" i="53" s="1"/>
  <c r="R150" i="53" s="1"/>
  <c r="R151" i="53" s="1"/>
  <c r="S60" i="51" s="1"/>
  <c r="AY60" i="51" s="1"/>
  <c r="R15" i="53"/>
  <c r="R28" i="53" s="1"/>
  <c r="S5" i="53"/>
  <c r="R17" i="53"/>
  <c r="R30" i="53" s="1"/>
  <c r="R18" i="53"/>
  <c r="R31" i="53" s="1"/>
  <c r="R14" i="53"/>
  <c r="K305" i="42"/>
  <c r="K304" i="42"/>
  <c r="K308" i="42" s="1"/>
  <c r="R64" i="15"/>
  <c r="R48" i="15"/>
  <c r="R49" i="15" s="1"/>
  <c r="R136" i="15" s="1"/>
  <c r="R45" i="15"/>
  <c r="R58" i="15"/>
  <c r="Q76" i="29"/>
  <c r="R58" i="16" s="1"/>
  <c r="Q75" i="29"/>
  <c r="Q73" i="29"/>
  <c r="Q70" i="29"/>
  <c r="Q77" i="29"/>
  <c r="R45" i="16" s="1"/>
  <c r="Q69" i="29"/>
  <c r="Q66" i="29"/>
  <c r="Q65" i="29" s="1"/>
  <c r="Q67" i="29"/>
  <c r="Q71" i="29"/>
  <c r="Q78" i="29"/>
  <c r="R64" i="16" s="1"/>
  <c r="Q68" i="29"/>
  <c r="Q74" i="29"/>
  <c r="R48" i="16" s="1"/>
  <c r="R49" i="16" s="1"/>
  <c r="R136" i="16" s="1"/>
  <c r="Q209" i="38"/>
  <c r="Q213" i="38" s="1"/>
  <c r="Q210" i="38"/>
  <c r="Q214" i="38" s="1"/>
  <c r="Q211" i="38"/>
  <c r="Q208" i="38"/>
  <c r="Q212" i="38" s="1"/>
  <c r="P65" i="15"/>
  <c r="P139" i="15" s="1"/>
  <c r="Q32" i="19"/>
  <c r="Q45" i="19"/>
  <c r="Q50" i="19" s="1"/>
  <c r="M314" i="42"/>
  <c r="AT88" i="55" s="1"/>
  <c r="M312" i="42"/>
  <c r="AT86" i="55" s="1"/>
  <c r="M313" i="42"/>
  <c r="AT87" i="55" s="1"/>
  <c r="M309" i="42"/>
  <c r="M310" i="42"/>
  <c r="M311" i="42"/>
  <c r="AT85" i="55" s="1"/>
  <c r="G69" i="15"/>
  <c r="G71" i="15" s="1"/>
  <c r="G33" i="58" s="1"/>
  <c r="G58" i="55"/>
  <c r="F208" i="28"/>
  <c r="G61" i="55"/>
  <c r="F213" i="28"/>
  <c r="O293" i="38"/>
  <c r="P80" i="55" s="1"/>
  <c r="O316" i="38"/>
  <c r="N217" i="28"/>
  <c r="M151" i="28"/>
  <c r="DB81" i="55"/>
  <c r="AP81" i="55"/>
  <c r="AP84" i="55"/>
  <c r="I340" i="42"/>
  <c r="I345" i="42"/>
  <c r="O295" i="42"/>
  <c r="O292" i="42"/>
  <c r="O294" i="42"/>
  <c r="J338" i="42"/>
  <c r="L302" i="42"/>
  <c r="L303" i="42"/>
  <c r="R207" i="38"/>
  <c r="R191" i="38"/>
  <c r="R199" i="38"/>
  <c r="O149" i="28"/>
  <c r="O34" i="28"/>
  <c r="AW85" i="45"/>
  <c r="Q86" i="45"/>
  <c r="Q87" i="45"/>
  <c r="AW86" i="45"/>
  <c r="Q85" i="45"/>
  <c r="AW87" i="45"/>
  <c r="R225" i="42"/>
  <c r="R229" i="42" s="1"/>
  <c r="R224" i="42"/>
  <c r="R228" i="42" s="1"/>
  <c r="R226" i="42"/>
  <c r="R223" i="42"/>
  <c r="R227" i="42" s="1"/>
  <c r="O66" i="15"/>
  <c r="O59" i="15"/>
  <c r="O135" i="15" s="1"/>
  <c r="L181" i="28"/>
  <c r="M64" i="55" s="1"/>
  <c r="L182" i="28"/>
  <c r="M65" i="55" s="1"/>
  <c r="L179" i="28"/>
  <c r="M62" i="55" s="1"/>
  <c r="L177" i="28"/>
  <c r="L180" i="28"/>
  <c r="M63" i="55" s="1"/>
  <c r="L178" i="28"/>
  <c r="J170" i="28"/>
  <c r="J171" i="28"/>
  <c r="N296" i="42"/>
  <c r="N297" i="42"/>
  <c r="N298" i="42"/>
  <c r="N299" i="42"/>
  <c r="Q229" i="48"/>
  <c r="Q232" i="46"/>
  <c r="Q237" i="46" s="1"/>
  <c r="Q231" i="46"/>
  <c r="Q236" i="46" s="1"/>
  <c r="Q233" i="46"/>
  <c r="Q238" i="46" s="1"/>
  <c r="Q234" i="46"/>
  <c r="R108" i="45" s="1"/>
  <c r="AX108" i="45" s="1"/>
  <c r="Q230" i="46"/>
  <c r="Q235" i="46" s="1"/>
  <c r="N57" i="55"/>
  <c r="L137" i="29"/>
  <c r="L138" i="29" s="1"/>
  <c r="M104" i="29"/>
  <c r="P158" i="48"/>
  <c r="P163" i="48" s="1"/>
  <c r="P160" i="48"/>
  <c r="P165" i="48" s="1"/>
  <c r="P161" i="48"/>
  <c r="P166" i="48" s="1"/>
  <c r="P162" i="48"/>
  <c r="P159" i="48"/>
  <c r="P164" i="48" s="1"/>
  <c r="R229" i="46"/>
  <c r="R219" i="46"/>
  <c r="R209" i="46"/>
  <c r="C269" i="20"/>
  <c r="D34" i="55"/>
  <c r="D146" i="12"/>
  <c r="D120" i="14"/>
  <c r="D118" i="14" s="1"/>
  <c r="E147" i="14"/>
  <c r="D143" i="12"/>
  <c r="D139" i="14"/>
  <c r="D231" i="14" s="1"/>
  <c r="C74" i="19"/>
  <c r="D116" i="14" s="1"/>
  <c r="D116" i="12"/>
  <c r="D73" i="19"/>
  <c r="E114" i="14" s="1"/>
  <c r="E115" i="14" s="1"/>
  <c r="E114" i="12"/>
  <c r="E115" i="12" s="1"/>
  <c r="E229" i="12" s="1"/>
  <c r="D110" i="14"/>
  <c r="D108" i="14" s="1"/>
  <c r="D99" i="12"/>
  <c r="D229" i="12"/>
  <c r="C339" i="20"/>
  <c r="D231" i="12"/>
  <c r="C340" i="20"/>
  <c r="C75" i="19"/>
  <c r="D119" i="14" s="1"/>
  <c r="D119" i="12"/>
  <c r="D91" i="19"/>
  <c r="E136" i="14" s="1"/>
  <c r="E139" i="14" s="1"/>
  <c r="E136" i="12"/>
  <c r="E139" i="12" s="1"/>
  <c r="E231" i="12" s="1"/>
  <c r="D99" i="14"/>
  <c r="D109" i="12"/>
  <c r="D131" i="12"/>
  <c r="D127" i="12" s="1"/>
  <c r="C337" i="20" s="1"/>
  <c r="D109" i="14"/>
  <c r="E105" i="12"/>
  <c r="E228" i="12" s="1"/>
  <c r="D113" i="19"/>
  <c r="E106" i="19"/>
  <c r="F103" i="14" s="1"/>
  <c r="F103" i="12"/>
  <c r="D123" i="19"/>
  <c r="D111" i="19"/>
  <c r="D226" i="14"/>
  <c r="E124" i="19"/>
  <c r="F138" i="14" s="1"/>
  <c r="F138" i="12"/>
  <c r="D114" i="19"/>
  <c r="E95" i="14"/>
  <c r="F174" i="19"/>
  <c r="D141" i="19"/>
  <c r="D148" i="19"/>
  <c r="D145" i="19"/>
  <c r="D154" i="19"/>
  <c r="D147" i="19"/>
  <c r="D151" i="19"/>
  <c r="D139" i="19"/>
  <c r="E98" i="19"/>
  <c r="D145" i="12"/>
  <c r="D141" i="12" s="1"/>
  <c r="C94" i="19"/>
  <c r="D144" i="14" s="1"/>
  <c r="D142" i="14" s="1"/>
  <c r="D144" i="12"/>
  <c r="D142" i="12" s="1"/>
  <c r="C88" i="19"/>
  <c r="D132" i="14" s="1"/>
  <c r="D130" i="14" s="1"/>
  <c r="D132" i="12"/>
  <c r="D130" i="12" s="1"/>
  <c r="C92" i="19"/>
  <c r="D140" i="14" s="1"/>
  <c r="F176" i="19"/>
  <c r="F165" i="19"/>
  <c r="F166" i="19"/>
  <c r="F163" i="19"/>
  <c r="F164" i="19"/>
  <c r="D180" i="19"/>
  <c r="D121" i="12"/>
  <c r="D117" i="12" s="1"/>
  <c r="C89" i="19"/>
  <c r="D133" i="14" s="1"/>
  <c r="D129" i="14" s="1"/>
  <c r="D155" i="19"/>
  <c r="D153" i="19"/>
  <c r="D120" i="12"/>
  <c r="D118" i="12" s="1"/>
  <c r="C86" i="19"/>
  <c r="D128" i="14" s="1"/>
  <c r="D110" i="12"/>
  <c r="D108" i="12" s="1"/>
  <c r="D143" i="19"/>
  <c r="D142" i="19"/>
  <c r="D120" i="19"/>
  <c r="D109" i="19"/>
  <c r="C93" i="19"/>
  <c r="D143" i="14" s="1"/>
  <c r="C83" i="19"/>
  <c r="D111" i="14" s="1"/>
  <c r="D107" i="14" s="1"/>
  <c r="D111" i="12"/>
  <c r="D107" i="12" s="1"/>
  <c r="C90" i="19"/>
  <c r="D131" i="14" s="1"/>
  <c r="D127" i="14" s="1"/>
  <c r="E118" i="19"/>
  <c r="F94" i="14" s="1"/>
  <c r="D119" i="19"/>
  <c r="D108" i="19"/>
  <c r="C182" i="19"/>
  <c r="D228" i="12"/>
  <c r="C338" i="20"/>
  <c r="C71" i="19"/>
  <c r="D101" i="14" s="1"/>
  <c r="C70" i="19"/>
  <c r="D100" i="14" s="1"/>
  <c r="D98" i="14" s="1"/>
  <c r="C77" i="19"/>
  <c r="D121" i="14" s="1"/>
  <c r="D117" i="14" s="1"/>
  <c r="C80" i="19"/>
  <c r="D106" i="14" s="1"/>
  <c r="D79" i="19"/>
  <c r="D129" i="19"/>
  <c r="C68" i="19"/>
  <c r="D96" i="14" s="1"/>
  <c r="G172" i="19"/>
  <c r="H135" i="14" s="1"/>
  <c r="D223" i="20"/>
  <c r="E131" i="19"/>
  <c r="G216" i="20"/>
  <c r="G218" i="20"/>
  <c r="G219" i="20"/>
  <c r="G177" i="19" s="1"/>
  <c r="G215" i="20"/>
  <c r="G173" i="19" s="1"/>
  <c r="G217" i="20"/>
  <c r="G175" i="19" s="1"/>
  <c r="G202" i="20"/>
  <c r="G204" i="20"/>
  <c r="G206" i="20"/>
  <c r="G167" i="19" s="1"/>
  <c r="G203" i="20"/>
  <c r="G205" i="20"/>
  <c r="E143" i="20"/>
  <c r="E146" i="20"/>
  <c r="E122" i="19" s="1"/>
  <c r="E147" i="20"/>
  <c r="E144" i="20"/>
  <c r="E145" i="20"/>
  <c r="E121" i="19" s="1"/>
  <c r="E131" i="20"/>
  <c r="E107" i="19" s="1"/>
  <c r="E133" i="20"/>
  <c r="E134" i="20"/>
  <c r="E110" i="19" s="1"/>
  <c r="E135" i="20"/>
  <c r="E132" i="20"/>
  <c r="E152" i="20"/>
  <c r="E128" i="19" s="1"/>
  <c r="E153" i="20"/>
  <c r="E151" i="20"/>
  <c r="E127" i="19" s="1"/>
  <c r="E150" i="20"/>
  <c r="E149" i="20"/>
  <c r="E125" i="19" s="1"/>
  <c r="F148" i="20"/>
  <c r="F136" i="20"/>
  <c r="F112" i="19" s="1"/>
  <c r="G126" i="14" s="1"/>
  <c r="F130" i="20"/>
  <c r="F142" i="20"/>
  <c r="E138" i="20"/>
  <c r="E141" i="20"/>
  <c r="E117" i="19" s="1"/>
  <c r="E140" i="20"/>
  <c r="E116" i="19" s="1"/>
  <c r="E137" i="20"/>
  <c r="E139" i="20"/>
  <c r="E115" i="19" s="1"/>
  <c r="D100" i="20"/>
  <c r="D104" i="20"/>
  <c r="D96" i="19" s="1"/>
  <c r="D103" i="20"/>
  <c r="D95" i="19" s="1"/>
  <c r="D101" i="20"/>
  <c r="D102" i="20"/>
  <c r="D95" i="20"/>
  <c r="D94" i="20"/>
  <c r="E128" i="12" s="1"/>
  <c r="D96" i="20"/>
  <c r="D98" i="20"/>
  <c r="D97" i="20"/>
  <c r="E133" i="12" s="1"/>
  <c r="E129" i="12" s="1"/>
  <c r="D79" i="20"/>
  <c r="E101" i="12" s="1"/>
  <c r="E97" i="12" s="1"/>
  <c r="D76" i="20"/>
  <c r="E96" i="12" s="1"/>
  <c r="D77" i="20"/>
  <c r="D80" i="20"/>
  <c r="D72" i="19" s="1"/>
  <c r="D78" i="20"/>
  <c r="E100" i="12" s="1"/>
  <c r="E98" i="12" s="1"/>
  <c r="D82" i="20"/>
  <c r="E116" i="12" s="1"/>
  <c r="D85" i="20"/>
  <c r="E121" i="12" s="1"/>
  <c r="E117" i="12" s="1"/>
  <c r="D84" i="20"/>
  <c r="D83" i="20"/>
  <c r="D86" i="20"/>
  <c r="D78" i="19" s="1"/>
  <c r="E75" i="20"/>
  <c r="E67" i="19" s="1"/>
  <c r="F93" i="14" s="1"/>
  <c r="E93" i="20"/>
  <c r="E85" i="19" s="1"/>
  <c r="F124" i="14" s="1"/>
  <c r="E99" i="20"/>
  <c r="E87" i="20"/>
  <c r="F104" i="12" s="1"/>
  <c r="E81" i="20"/>
  <c r="D88" i="20"/>
  <c r="E106" i="12" s="1"/>
  <c r="D91" i="20"/>
  <c r="D89" i="20"/>
  <c r="D81" i="19" s="1"/>
  <c r="D92" i="20"/>
  <c r="D84" i="19" s="1"/>
  <c r="D90" i="20"/>
  <c r="D82" i="19" s="1"/>
  <c r="G19" i="20"/>
  <c r="G222" i="20" s="1"/>
  <c r="M283" i="19"/>
  <c r="N169" i="14" s="1"/>
  <c r="G30" i="20"/>
  <c r="G48" i="20" s="1"/>
  <c r="D179" i="19"/>
  <c r="F169" i="19"/>
  <c r="F133" i="19"/>
  <c r="F135" i="19"/>
  <c r="F132" i="19"/>
  <c r="F134" i="19"/>
  <c r="G125" i="12"/>
  <c r="F136" i="19"/>
  <c r="H19" i="20"/>
  <c r="G27" i="20"/>
  <c r="F157" i="19"/>
  <c r="D266" i="20"/>
  <c r="D318" i="20"/>
  <c r="D270" i="20"/>
  <c r="D317" i="20"/>
  <c r="D267" i="20"/>
  <c r="G28" i="20"/>
  <c r="G46" i="20" s="1"/>
  <c r="H94" i="12" s="1"/>
  <c r="H29" i="20"/>
  <c r="H47" i="20" s="1"/>
  <c r="H201" i="20" s="1"/>
  <c r="H162" i="19" s="1"/>
  <c r="I123" i="14" s="1"/>
  <c r="H31" i="20"/>
  <c r="H49" i="20" s="1"/>
  <c r="H214" i="20" s="1"/>
  <c r="I135" i="12" s="1"/>
  <c r="C273" i="20"/>
  <c r="C274" i="20"/>
  <c r="C271" i="20"/>
  <c r="C272" i="20"/>
  <c r="E256" i="20"/>
  <c r="E34" i="20"/>
  <c r="D291" i="20"/>
  <c r="D292" i="20" s="1"/>
  <c r="D268" i="20"/>
  <c r="F99" i="19"/>
  <c r="G126" i="12"/>
  <c r="F101" i="19"/>
  <c r="F103" i="19"/>
  <c r="F100" i="19"/>
  <c r="F104" i="19"/>
  <c r="F102" i="19"/>
  <c r="H123" i="12"/>
  <c r="G160" i="19"/>
  <c r="G158" i="19"/>
  <c r="G170" i="19"/>
  <c r="C258" i="20"/>
  <c r="BP34" i="55" s="1"/>
  <c r="D225" i="20"/>
  <c r="F45" i="20"/>
  <c r="F32" i="20"/>
  <c r="BS4" i="55" s="1"/>
  <c r="CY4" i="55" s="1"/>
  <c r="M285" i="19"/>
  <c r="E55" i="19"/>
  <c r="E52" i="19" s="1"/>
  <c r="E60" i="19"/>
  <c r="E62" i="19"/>
  <c r="F93" i="12"/>
  <c r="E50" i="20"/>
  <c r="E221" i="20" s="1"/>
  <c r="E58" i="19"/>
  <c r="E65" i="19"/>
  <c r="E57" i="19"/>
  <c r="E63" i="19"/>
  <c r="F124" i="12"/>
  <c r="E56" i="19"/>
  <c r="E53" i="19"/>
  <c r="E64" i="19"/>
  <c r="E54" i="19"/>
  <c r="E61" i="19"/>
  <c r="M282" i="19"/>
  <c r="N168" i="14" s="1"/>
  <c r="D221" i="20"/>
  <c r="E147" i="12"/>
  <c r="D37" i="20"/>
  <c r="D36" i="20"/>
  <c r="M284" i="19"/>
  <c r="O57" i="55" l="1"/>
  <c r="N141" i="15"/>
  <c r="N142" i="15" s="1"/>
  <c r="P246" i="38"/>
  <c r="L321" i="42"/>
  <c r="L322" i="42" s="1"/>
  <c r="S49" i="29"/>
  <c r="K338" i="42"/>
  <c r="K345" i="42" s="1"/>
  <c r="O92" i="29"/>
  <c r="R49" i="28"/>
  <c r="S61" i="15" s="1"/>
  <c r="P246" i="42"/>
  <c r="J173" i="28"/>
  <c r="J172" i="28"/>
  <c r="J176" i="28" s="1"/>
  <c r="R210" i="38"/>
  <c r="R214" i="38" s="1"/>
  <c r="R209" i="38"/>
  <c r="R213" i="38" s="1"/>
  <c r="R211" i="38"/>
  <c r="R208" i="38"/>
  <c r="R212" i="38" s="1"/>
  <c r="AP126" i="36"/>
  <c r="AP39" i="58" s="1"/>
  <c r="I346" i="42"/>
  <c r="AP127" i="36" s="1"/>
  <c r="T5" i="53"/>
  <c r="S16" i="53"/>
  <c r="S29" i="53" s="1"/>
  <c r="S44" i="53" s="1"/>
  <c r="S150" i="53" s="1"/>
  <c r="S151" i="53" s="1"/>
  <c r="T60" i="51" s="1"/>
  <c r="AZ60" i="51" s="1"/>
  <c r="S18" i="53"/>
  <c r="S31" i="53" s="1"/>
  <c r="S14" i="53"/>
  <c r="S17" i="53"/>
  <c r="S30" i="53" s="1"/>
  <c r="S15" i="53"/>
  <c r="S28" i="53" s="1"/>
  <c r="R248" i="48"/>
  <c r="R253" i="48" s="1"/>
  <c r="R251" i="48"/>
  <c r="R250" i="48"/>
  <c r="R255" i="48" s="1"/>
  <c r="R247" i="48"/>
  <c r="R252" i="48" s="1"/>
  <c r="R249" i="48"/>
  <c r="R254" i="48" s="1"/>
  <c r="N236" i="19"/>
  <c r="N235" i="19"/>
  <c r="P59" i="16"/>
  <c r="P135" i="16" s="1"/>
  <c r="P66" i="16"/>
  <c r="S19" i="29"/>
  <c r="S27" i="29"/>
  <c r="J196" i="28"/>
  <c r="J197" i="28" s="1"/>
  <c r="J206" i="28" s="1"/>
  <c r="K70" i="15" s="1"/>
  <c r="R19" i="54"/>
  <c r="R27" i="54"/>
  <c r="R32" i="54" s="1"/>
  <c r="S224" i="38"/>
  <c r="S228" i="38" s="1"/>
  <c r="S223" i="38"/>
  <c r="S227" i="38" s="1"/>
  <c r="S225" i="38"/>
  <c r="S229" i="38" s="1"/>
  <c r="P149" i="29"/>
  <c r="P146" i="29"/>
  <c r="R85" i="29"/>
  <c r="S55" i="16" s="1"/>
  <c r="S55" i="15"/>
  <c r="Q249" i="42"/>
  <c r="Q47" i="42"/>
  <c r="Q291" i="42" s="1"/>
  <c r="Q80" i="42"/>
  <c r="Q104" i="42"/>
  <c r="Q96" i="42"/>
  <c r="Q72" i="42"/>
  <c r="Q246" i="42"/>
  <c r="M174" i="29"/>
  <c r="M177" i="29" s="1"/>
  <c r="R61" i="16"/>
  <c r="Q87" i="29"/>
  <c r="R309" i="46"/>
  <c r="R34" i="46"/>
  <c r="P293" i="42"/>
  <c r="P316" i="42"/>
  <c r="P317" i="42" s="1"/>
  <c r="O233" i="19"/>
  <c r="O234" i="19"/>
  <c r="N163" i="28"/>
  <c r="N160" i="28"/>
  <c r="N162" i="28"/>
  <c r="R156" i="42"/>
  <c r="R160" i="42" s="1"/>
  <c r="R154" i="42"/>
  <c r="R158" i="42" s="1"/>
  <c r="R155" i="42"/>
  <c r="R159" i="42" s="1"/>
  <c r="R157" i="42"/>
  <c r="N154" i="29"/>
  <c r="N155" i="29"/>
  <c r="Q158" i="48"/>
  <c r="Q163" i="48" s="1"/>
  <c r="Q162" i="48"/>
  <c r="Q160" i="48"/>
  <c r="Q165" i="48" s="1"/>
  <c r="Q159" i="48"/>
  <c r="Q164" i="48" s="1"/>
  <c r="Q161" i="48"/>
  <c r="Q166" i="48" s="1"/>
  <c r="T14" i="46"/>
  <c r="U5" i="46"/>
  <c r="T17" i="46"/>
  <c r="T30" i="46" s="1"/>
  <c r="T45" i="46" s="1"/>
  <c r="T16" i="46"/>
  <c r="T29" i="46" s="1"/>
  <c r="T44" i="46" s="1"/>
  <c r="T246" i="46" s="1"/>
  <c r="T18" i="46"/>
  <c r="T31" i="46" s="1"/>
  <c r="T15" i="46"/>
  <c r="T28" i="46" s="1"/>
  <c r="T43" i="46" s="1"/>
  <c r="P293" i="38"/>
  <c r="Q80" i="55" s="1"/>
  <c r="P316" i="38"/>
  <c r="N170" i="29"/>
  <c r="N171" i="29" s="1"/>
  <c r="N147" i="29"/>
  <c r="S19" i="42"/>
  <c r="S247" i="42" s="1"/>
  <c r="S27" i="42"/>
  <c r="Q182" i="48"/>
  <c r="Q179" i="48"/>
  <c r="Q184" i="48" s="1"/>
  <c r="Q180" i="48"/>
  <c r="Q185" i="48" s="1"/>
  <c r="Q178" i="48"/>
  <c r="Q183" i="48" s="1"/>
  <c r="Q181" i="48"/>
  <c r="Q186" i="48" s="1"/>
  <c r="O152" i="29"/>
  <c r="O153" i="29"/>
  <c r="O151" i="29"/>
  <c r="O150" i="29"/>
  <c r="L175" i="28"/>
  <c r="L174" i="28"/>
  <c r="M175" i="29"/>
  <c r="M176" i="29" s="1"/>
  <c r="G72" i="15"/>
  <c r="G34" i="58" s="1"/>
  <c r="F214" i="28"/>
  <c r="G73" i="15" s="1"/>
  <c r="P66" i="15"/>
  <c r="P59" i="15"/>
  <c r="P135" i="15" s="1"/>
  <c r="O184" i="28"/>
  <c r="O185" i="28" s="1"/>
  <c r="O161" i="28"/>
  <c r="H204" i="28"/>
  <c r="M318" i="42"/>
  <c r="M319" i="42" s="1"/>
  <c r="M320" i="42"/>
  <c r="M323" i="42" s="1"/>
  <c r="M302" i="42"/>
  <c r="M303" i="42"/>
  <c r="S238" i="38"/>
  <c r="S242" i="38" s="1"/>
  <c r="S239" i="38"/>
  <c r="S243" i="38" s="1"/>
  <c r="S240" i="38"/>
  <c r="S244" i="38" s="1"/>
  <c r="Q50" i="29"/>
  <c r="Q145" i="29" s="1"/>
  <c r="S64" i="15"/>
  <c r="S48" i="15"/>
  <c r="S49" i="15" s="1"/>
  <c r="S136" i="15" s="1"/>
  <c r="S45" i="15"/>
  <c r="S58" i="15"/>
  <c r="R74" i="29"/>
  <c r="S48" i="16" s="1"/>
  <c r="S49" i="16" s="1"/>
  <c r="S136" i="16" s="1"/>
  <c r="R78" i="29"/>
  <c r="S64" i="16" s="1"/>
  <c r="R73" i="29"/>
  <c r="R76" i="29"/>
  <c r="S58" i="16" s="1"/>
  <c r="R71" i="29"/>
  <c r="R69" i="29"/>
  <c r="R66" i="29"/>
  <c r="R65" i="29" s="1"/>
  <c r="R67" i="29"/>
  <c r="R70" i="29"/>
  <c r="R77" i="29"/>
  <c r="S45" i="16" s="1"/>
  <c r="R68" i="29"/>
  <c r="L182" i="29"/>
  <c r="J190" i="29"/>
  <c r="O299" i="38"/>
  <c r="O297" i="38"/>
  <c r="O296" i="38"/>
  <c r="O298" i="38"/>
  <c r="R141" i="42"/>
  <c r="R140" i="42"/>
  <c r="R144" i="42" s="1"/>
  <c r="R138" i="42"/>
  <c r="R142" i="42" s="1"/>
  <c r="R139" i="42"/>
  <c r="R143" i="42" s="1"/>
  <c r="DA58" i="55"/>
  <c r="I69" i="16"/>
  <c r="I71" i="16" s="1"/>
  <c r="AO33" i="58" s="1"/>
  <c r="AO58" i="55"/>
  <c r="H199" i="29"/>
  <c r="AO61" i="55"/>
  <c r="P229" i="19"/>
  <c r="P230" i="19"/>
  <c r="P231" i="19"/>
  <c r="P232" i="19"/>
  <c r="S199" i="42"/>
  <c r="S207" i="42"/>
  <c r="S191" i="42"/>
  <c r="L168" i="28"/>
  <c r="L169" i="28"/>
  <c r="R75" i="29"/>
  <c r="R209" i="48"/>
  <c r="R214" i="46"/>
  <c r="S89" i="45" s="1"/>
  <c r="R212" i="46"/>
  <c r="R217" i="46" s="1"/>
  <c r="R211" i="46"/>
  <c r="R216" i="46" s="1"/>
  <c r="R213" i="46"/>
  <c r="R218" i="46" s="1"/>
  <c r="R210" i="46"/>
  <c r="R215" i="46" s="1"/>
  <c r="N104" i="29"/>
  <c r="M137" i="29"/>
  <c r="M138" i="29" s="1"/>
  <c r="Q234" i="48"/>
  <c r="Q233" i="48"/>
  <c r="Q238" i="48" s="1"/>
  <c r="Q231" i="48"/>
  <c r="Q236" i="48" s="1"/>
  <c r="Q232" i="48"/>
  <c r="Q237" i="48" s="1"/>
  <c r="Q230" i="48"/>
  <c r="Q235" i="48" s="1"/>
  <c r="L304" i="42"/>
  <c r="L308" i="42" s="1"/>
  <c r="L305" i="42"/>
  <c r="S19" i="19"/>
  <c r="S27" i="19"/>
  <c r="R42" i="38"/>
  <c r="R32" i="38"/>
  <c r="L155" i="28"/>
  <c r="BY62" i="55" s="1"/>
  <c r="L153" i="28"/>
  <c r="L154" i="28"/>
  <c r="BY61" i="55" s="1"/>
  <c r="L157" i="28"/>
  <c r="BY64" i="55" s="1"/>
  <c r="L158" i="28"/>
  <c r="BY65" i="55" s="1"/>
  <c r="L156" i="28"/>
  <c r="BY63" i="55" s="1"/>
  <c r="T18" i="29"/>
  <c r="T31" i="29" s="1"/>
  <c r="T14" i="29"/>
  <c r="U5" i="29"/>
  <c r="T15" i="29"/>
  <c r="T28" i="29" s="1"/>
  <c r="T46" i="29" s="1"/>
  <c r="T16" i="29"/>
  <c r="T29" i="29" s="1"/>
  <c r="T47" i="29" s="1"/>
  <c r="T17" i="29"/>
  <c r="T30" i="29" s="1"/>
  <c r="Q34" i="53"/>
  <c r="Q197" i="53"/>
  <c r="R147" i="38"/>
  <c r="R151" i="38" s="1"/>
  <c r="R148" i="38"/>
  <c r="R152" i="38" s="1"/>
  <c r="R146" i="38"/>
  <c r="R150" i="38" s="1"/>
  <c r="R149" i="38"/>
  <c r="S100" i="36" s="1"/>
  <c r="AY100" i="36" s="1"/>
  <c r="M321" i="42"/>
  <c r="M322" i="42" s="1"/>
  <c r="O196" i="29"/>
  <c r="O197" i="29"/>
  <c r="S19" i="38"/>
  <c r="S247" i="38" s="1"/>
  <c r="S27" i="38"/>
  <c r="Q135" i="29"/>
  <c r="Q34" i="29"/>
  <c r="Q151" i="48"/>
  <c r="Q156" i="48" s="1"/>
  <c r="Q148" i="48"/>
  <c r="Q153" i="48" s="1"/>
  <c r="Q149" i="48"/>
  <c r="Q154" i="48" s="1"/>
  <c r="Q150" i="48"/>
  <c r="Q155" i="48" s="1"/>
  <c r="Q152" i="48"/>
  <c r="T5" i="28"/>
  <c r="S14" i="28"/>
  <c r="S18" i="28"/>
  <c r="S31" i="28" s="1"/>
  <c r="S17" i="28"/>
  <c r="S30" i="28" s="1"/>
  <c r="S15" i="28"/>
  <c r="S28" i="28" s="1"/>
  <c r="S46" i="28" s="1"/>
  <c r="S16" i="28"/>
  <c r="S29" i="28" s="1"/>
  <c r="S47" i="28" s="1"/>
  <c r="S83" i="29" s="1"/>
  <c r="S82" i="29" s="1"/>
  <c r="N283" i="42"/>
  <c r="N284" i="42" s="1"/>
  <c r="O250" i="42"/>
  <c r="L163" i="29"/>
  <c r="L165" i="29"/>
  <c r="AS62" i="55" s="1"/>
  <c r="L167" i="29"/>
  <c r="AS64" i="55" s="1"/>
  <c r="L164" i="29"/>
  <c r="L166" i="29"/>
  <c r="AS63" i="55" s="1"/>
  <c r="L168" i="29"/>
  <c r="AS65" i="55" s="1"/>
  <c r="R32" i="19"/>
  <c r="R45" i="19"/>
  <c r="R50" i="19" s="1"/>
  <c r="P216" i="28"/>
  <c r="P61" i="29"/>
  <c r="Q62" i="15"/>
  <c r="Q65" i="15" s="1"/>
  <c r="Q139" i="15" s="1"/>
  <c r="P53" i="29"/>
  <c r="Q44" i="15"/>
  <c r="P57" i="29"/>
  <c r="P63" i="29"/>
  <c r="Q56" i="16" s="1"/>
  <c r="Q56" i="15"/>
  <c r="P55" i="29"/>
  <c r="P52" i="29" s="1"/>
  <c r="P92" i="29" s="1"/>
  <c r="P62" i="29"/>
  <c r="Q62" i="16" s="1"/>
  <c r="Q65" i="16" s="1"/>
  <c r="Q139" i="16" s="1"/>
  <c r="P54" i="29"/>
  <c r="P50" i="28"/>
  <c r="P117" i="28" s="1"/>
  <c r="P56" i="29"/>
  <c r="P59" i="29"/>
  <c r="Q44" i="16" s="1"/>
  <c r="P60" i="29"/>
  <c r="S19" i="46"/>
  <c r="S275" i="46" s="1"/>
  <c r="S27" i="46"/>
  <c r="S32" i="46" s="1"/>
  <c r="T18" i="42"/>
  <c r="T31" i="42" s="1"/>
  <c r="T46" i="42" s="1"/>
  <c r="T237" i="42" s="1"/>
  <c r="T16" i="42"/>
  <c r="T29" i="42" s="1"/>
  <c r="T44" i="42" s="1"/>
  <c r="T222" i="42" s="1"/>
  <c r="T17" i="42"/>
  <c r="T30" i="42" s="1"/>
  <c r="T45" i="42" s="1"/>
  <c r="U5" i="42"/>
  <c r="T14" i="42"/>
  <c r="T15" i="42"/>
  <c r="T28" i="42" s="1"/>
  <c r="T43" i="42" s="1"/>
  <c r="R157" i="48"/>
  <c r="R161" i="46"/>
  <c r="R166" i="46" s="1"/>
  <c r="R159" i="46"/>
  <c r="R164" i="46" s="1"/>
  <c r="R160" i="46"/>
  <c r="R165" i="46" s="1"/>
  <c r="R162" i="46"/>
  <c r="S98" i="45" s="1"/>
  <c r="AY98" i="45" s="1"/>
  <c r="R158" i="46"/>
  <c r="R163" i="46" s="1"/>
  <c r="R221" i="46"/>
  <c r="R226" i="46" s="1"/>
  <c r="R220" i="46"/>
  <c r="R225" i="46" s="1"/>
  <c r="R222" i="46"/>
  <c r="R227" i="46" s="1"/>
  <c r="R219" i="48"/>
  <c r="R223" i="46"/>
  <c r="R228" i="46" s="1"/>
  <c r="R224" i="46"/>
  <c r="S99" i="45" s="1"/>
  <c r="AY99" i="45" s="1"/>
  <c r="L143" i="29"/>
  <c r="L140" i="29"/>
  <c r="L142" i="29"/>
  <c r="L144" i="29"/>
  <c r="L139" i="29"/>
  <c r="L141" i="29"/>
  <c r="N307" i="42"/>
  <c r="N306" i="42"/>
  <c r="O36" i="28"/>
  <c r="O37" i="28"/>
  <c r="J340" i="42"/>
  <c r="J345" i="42"/>
  <c r="O159" i="28"/>
  <c r="O211" i="28"/>
  <c r="O210" i="28"/>
  <c r="R162" i="38"/>
  <c r="R166" i="38" s="1"/>
  <c r="R164" i="38"/>
  <c r="R168" i="38" s="1"/>
  <c r="R163" i="38"/>
  <c r="R167" i="38" s="1"/>
  <c r="R165" i="38"/>
  <c r="S109" i="36" s="1"/>
  <c r="AY109" i="36" s="1"/>
  <c r="S191" i="38"/>
  <c r="S199" i="38"/>
  <c r="S207" i="38"/>
  <c r="DH80" i="55"/>
  <c r="AV80" i="55"/>
  <c r="L159" i="29"/>
  <c r="L158" i="29"/>
  <c r="L162" i="29" s="1"/>
  <c r="N306" i="38"/>
  <c r="N318" i="38" s="1"/>
  <c r="N307" i="38"/>
  <c r="M288" i="42"/>
  <c r="M285" i="42"/>
  <c r="M290" i="42"/>
  <c r="M287" i="42"/>
  <c r="M289" i="42"/>
  <c r="M286" i="42"/>
  <c r="M238" i="19"/>
  <c r="M237" i="19"/>
  <c r="M241" i="19" s="1"/>
  <c r="M303" i="38"/>
  <c r="M302" i="38"/>
  <c r="P81" i="42"/>
  <c r="P85" i="42" s="1"/>
  <c r="P83" i="42"/>
  <c r="P87" i="42" s="1"/>
  <c r="P82" i="42"/>
  <c r="P86" i="42" s="1"/>
  <c r="P84" i="42"/>
  <c r="P149" i="28"/>
  <c r="P34" i="28"/>
  <c r="S147" i="46"/>
  <c r="S157" i="46"/>
  <c r="S167" i="46"/>
  <c r="S177" i="46"/>
  <c r="S225" i="42"/>
  <c r="S229" i="42" s="1"/>
  <c r="S226" i="42"/>
  <c r="S224" i="42"/>
  <c r="S228" i="42" s="1"/>
  <c r="S223" i="42"/>
  <c r="S227" i="42" s="1"/>
  <c r="R179" i="46"/>
  <c r="R184" i="46" s="1"/>
  <c r="R181" i="46"/>
  <c r="R186" i="46" s="1"/>
  <c r="R178" i="46"/>
  <c r="R183" i="46" s="1"/>
  <c r="R182" i="46"/>
  <c r="S107" i="45" s="1"/>
  <c r="AY107" i="45" s="1"/>
  <c r="R177" i="48"/>
  <c r="R180" i="46"/>
  <c r="R185" i="46" s="1"/>
  <c r="O68" i="15"/>
  <c r="O133" i="15" a="1"/>
  <c r="O134" i="15"/>
  <c r="O140" i="15" s="1"/>
  <c r="R229" i="48"/>
  <c r="R232" i="46"/>
  <c r="R237" i="46" s="1"/>
  <c r="R231" i="46"/>
  <c r="R236" i="46" s="1"/>
  <c r="R230" i="46"/>
  <c r="R235" i="46" s="1"/>
  <c r="R233" i="46"/>
  <c r="R238" i="46" s="1"/>
  <c r="R234" i="46"/>
  <c r="S108" i="45" s="1"/>
  <c r="AY108" i="45" s="1"/>
  <c r="N301" i="42"/>
  <c r="N300" i="42"/>
  <c r="O314" i="42"/>
  <c r="AV88" i="55" s="1"/>
  <c r="O310" i="42"/>
  <c r="O309" i="42"/>
  <c r="O311" i="42"/>
  <c r="AV85" i="55" s="1"/>
  <c r="O313" i="42"/>
  <c r="AV87" i="55" s="1"/>
  <c r="O312" i="42"/>
  <c r="AV86" i="55" s="1"/>
  <c r="Q275" i="19"/>
  <c r="Q228" i="19"/>
  <c r="Q224" i="19"/>
  <c r="Q225" i="19"/>
  <c r="Q276" i="19"/>
  <c r="Q220" i="48"/>
  <c r="Q225" i="48" s="1"/>
  <c r="Q223" i="48"/>
  <c r="Q228" i="48" s="1"/>
  <c r="Q222" i="48"/>
  <c r="Q227" i="48" s="1"/>
  <c r="Q221" i="48"/>
  <c r="Q226" i="48" s="1"/>
  <c r="Q224" i="48"/>
  <c r="M181" i="28"/>
  <c r="N64" i="55" s="1"/>
  <c r="M179" i="28"/>
  <c r="N62" i="55" s="1"/>
  <c r="M180" i="28"/>
  <c r="N63" i="55" s="1"/>
  <c r="M182" i="28"/>
  <c r="N65" i="55" s="1"/>
  <c r="M178" i="28"/>
  <c r="M177" i="28"/>
  <c r="O103" i="29"/>
  <c r="O91" i="29"/>
  <c r="P67" i="15"/>
  <c r="P46" i="15"/>
  <c r="L324" i="42"/>
  <c r="H72" i="15"/>
  <c r="H34" i="58" s="1"/>
  <c r="G214" i="28"/>
  <c r="H73" i="15" s="1"/>
  <c r="I200" i="29"/>
  <c r="J73" i="16" s="1"/>
  <c r="J72" i="16"/>
  <c r="AP34" i="58" s="1"/>
  <c r="R156" i="38"/>
  <c r="R160" i="38" s="1"/>
  <c r="R155" i="38"/>
  <c r="R159" i="38" s="1"/>
  <c r="R157" i="38"/>
  <c r="S79" i="36" s="1"/>
  <c r="AY79" i="36" s="1"/>
  <c r="R154" i="38"/>
  <c r="R158" i="38" s="1"/>
  <c r="R201" i="42"/>
  <c r="R205" i="42" s="1"/>
  <c r="R202" i="42"/>
  <c r="R206" i="42" s="1"/>
  <c r="R200" i="42"/>
  <c r="R204" i="42" s="1"/>
  <c r="R203" i="42"/>
  <c r="S137" i="38"/>
  <c r="S145" i="38"/>
  <c r="S153" i="38"/>
  <c r="S161" i="38"/>
  <c r="R87" i="45"/>
  <c r="AX87" i="45"/>
  <c r="R86" i="45"/>
  <c r="AX85" i="45"/>
  <c r="R85" i="45"/>
  <c r="AX86" i="45"/>
  <c r="R32" i="29"/>
  <c r="R45" i="29"/>
  <c r="P108" i="42"/>
  <c r="P107" i="42"/>
  <c r="P111" i="42" s="1"/>
  <c r="P105" i="42"/>
  <c r="P109" i="42" s="1"/>
  <c r="P106" i="42"/>
  <c r="P110" i="42" s="1"/>
  <c r="P37" i="19"/>
  <c r="P36" i="19"/>
  <c r="R83" i="29"/>
  <c r="R82" i="29" s="1"/>
  <c r="S250" i="46"/>
  <c r="S255" i="46" s="1"/>
  <c r="S251" i="46"/>
  <c r="T96" i="45" s="1"/>
  <c r="S246" i="48"/>
  <c r="S249" i="46"/>
  <c r="S254" i="46" s="1"/>
  <c r="S248" i="46"/>
  <c r="S253" i="46" s="1"/>
  <c r="S247" i="46"/>
  <c r="S252" i="46" s="1"/>
  <c r="S137" i="42"/>
  <c r="S161" i="42"/>
  <c r="S145" i="42"/>
  <c r="S153" i="42"/>
  <c r="R170" i="46"/>
  <c r="R175" i="46" s="1"/>
  <c r="R168" i="46"/>
  <c r="R173" i="46" s="1"/>
  <c r="R167" i="48"/>
  <c r="R172" i="46"/>
  <c r="S77" i="45" s="1"/>
  <c r="AY77" i="45" s="1"/>
  <c r="R171" i="46"/>
  <c r="R176" i="46" s="1"/>
  <c r="R169" i="46"/>
  <c r="R174" i="46" s="1"/>
  <c r="Q212" i="48"/>
  <c r="Q217" i="48" s="1"/>
  <c r="Q213" i="48"/>
  <c r="Q218" i="48" s="1"/>
  <c r="Q214" i="48"/>
  <c r="Q210" i="48"/>
  <c r="Q215" i="48" s="1"/>
  <c r="Q211" i="48"/>
  <c r="Q216" i="48" s="1"/>
  <c r="Q32" i="28"/>
  <c r="Q45" i="28"/>
  <c r="BZ57" i="55"/>
  <c r="M152" i="28"/>
  <c r="Q34" i="19"/>
  <c r="Q214" i="19"/>
  <c r="R19" i="53"/>
  <c r="R27" i="53"/>
  <c r="R32" i="53" s="1"/>
  <c r="N311" i="42"/>
  <c r="AU85" i="55" s="1"/>
  <c r="N312" i="42"/>
  <c r="AU86" i="55" s="1"/>
  <c r="N309" i="42"/>
  <c r="N310" i="42"/>
  <c r="N314" i="42"/>
  <c r="AU88" i="55" s="1"/>
  <c r="N313" i="42"/>
  <c r="AU87" i="55" s="1"/>
  <c r="M166" i="28"/>
  <c r="M164" i="28"/>
  <c r="M167" i="28"/>
  <c r="M165" i="28"/>
  <c r="P67" i="16"/>
  <c r="P46" i="16"/>
  <c r="I196" i="28"/>
  <c r="I197" i="28" s="1"/>
  <c r="I206" i="28" s="1"/>
  <c r="J70" i="15" s="1"/>
  <c r="AQ84" i="55"/>
  <c r="R139" i="38"/>
  <c r="R140" i="38"/>
  <c r="R138" i="38"/>
  <c r="R195" i="42"/>
  <c r="R192" i="42"/>
  <c r="R196" i="42" s="1"/>
  <c r="R193" i="42"/>
  <c r="R197" i="42" s="1"/>
  <c r="R194" i="42"/>
  <c r="R198" i="42" s="1"/>
  <c r="Q281" i="38"/>
  <c r="Q34" i="38"/>
  <c r="N301" i="38"/>
  <c r="N300" i="38"/>
  <c r="R42" i="42"/>
  <c r="R32" i="42"/>
  <c r="P76" i="42"/>
  <c r="P74" i="42"/>
  <c r="P78" i="42" s="1"/>
  <c r="P75" i="42"/>
  <c r="P79" i="42" s="1"/>
  <c r="P73" i="42"/>
  <c r="P77" i="42" s="1"/>
  <c r="O240" i="19"/>
  <c r="O239" i="19"/>
  <c r="O251" i="19" s="1"/>
  <c r="Q197" i="54"/>
  <c r="Q34" i="54"/>
  <c r="L304" i="38"/>
  <c r="L308" i="38" s="1"/>
  <c r="L305" i="38"/>
  <c r="K171" i="28"/>
  <c r="K170" i="28"/>
  <c r="R147" i="48"/>
  <c r="R152" i="46"/>
  <c r="S83" i="45" s="1"/>
  <c r="R149" i="46"/>
  <c r="R154" i="46" s="1"/>
  <c r="R150" i="46"/>
  <c r="R155" i="46" s="1"/>
  <c r="R151" i="46"/>
  <c r="R156" i="46" s="1"/>
  <c r="R148" i="46"/>
  <c r="R153" i="46" s="1"/>
  <c r="R201" i="38"/>
  <c r="R205" i="38" s="1"/>
  <c r="R203" i="38"/>
  <c r="S101" i="36" s="1"/>
  <c r="AY101" i="36" s="1"/>
  <c r="R200" i="38"/>
  <c r="R204" i="38" s="1"/>
  <c r="R202" i="38"/>
  <c r="R206" i="38" s="1"/>
  <c r="O298" i="42"/>
  <c r="O296" i="42"/>
  <c r="O297" i="42"/>
  <c r="O299" i="42"/>
  <c r="O217" i="28"/>
  <c r="N151" i="28"/>
  <c r="DC81" i="55"/>
  <c r="L328" i="42"/>
  <c r="R210" i="42"/>
  <c r="R214" i="42" s="1"/>
  <c r="R208" i="42"/>
  <c r="R212" i="42" s="1"/>
  <c r="R211" i="42"/>
  <c r="R209" i="42"/>
  <c r="R213" i="42" s="1"/>
  <c r="Q249" i="38"/>
  <c r="Q47" i="38"/>
  <c r="Q291" i="38" s="1"/>
  <c r="Q96" i="38"/>
  <c r="Q72" i="38"/>
  <c r="Q73" i="38" s="1"/>
  <c r="Q80" i="38"/>
  <c r="Q104" i="38"/>
  <c r="R27" i="28"/>
  <c r="R19" i="28"/>
  <c r="R118" i="28" s="1"/>
  <c r="AR81" i="55"/>
  <c r="DD81" i="55"/>
  <c r="AR84" i="55"/>
  <c r="K340" i="42"/>
  <c r="Q172" i="48"/>
  <c r="Q169" i="48"/>
  <c r="Q174" i="48" s="1"/>
  <c r="Q171" i="48"/>
  <c r="Q176" i="48" s="1"/>
  <c r="Q168" i="48"/>
  <c r="Q173" i="48" s="1"/>
  <c r="Q170" i="48"/>
  <c r="Q175" i="48" s="1"/>
  <c r="R34" i="48"/>
  <c r="R309" i="48"/>
  <c r="P295" i="42"/>
  <c r="P292" i="42"/>
  <c r="P294" i="42"/>
  <c r="R165" i="42"/>
  <c r="R162" i="42"/>
  <c r="R166" i="42" s="1"/>
  <c r="R164" i="42"/>
  <c r="R168" i="42" s="1"/>
  <c r="R163" i="42"/>
  <c r="R167" i="42" s="1"/>
  <c r="J189" i="28"/>
  <c r="J190" i="28" s="1"/>
  <c r="J192" i="28" s="1"/>
  <c r="O68" i="16"/>
  <c r="O77" i="16"/>
  <c r="O134" i="16"/>
  <c r="O140" i="16" s="1"/>
  <c r="O133" i="16" a="1"/>
  <c r="K186" i="28"/>
  <c r="K187" i="28" s="1"/>
  <c r="K188" i="28"/>
  <c r="K191" i="28" s="1"/>
  <c r="S19" i="48"/>
  <c r="S275" i="48" s="1"/>
  <c r="S27" i="48"/>
  <c r="S32" i="48" s="1"/>
  <c r="R194" i="38"/>
  <c r="R198" i="38" s="1"/>
  <c r="R193" i="38"/>
  <c r="R197" i="38" s="1"/>
  <c r="R192" i="38"/>
  <c r="R196" i="38" s="1"/>
  <c r="U5" i="19"/>
  <c r="T18" i="19"/>
  <c r="T31" i="19" s="1"/>
  <c r="T49" i="19" s="1"/>
  <c r="T14" i="19"/>
  <c r="T17" i="19"/>
  <c r="T30" i="19" s="1"/>
  <c r="T48" i="19" s="1"/>
  <c r="T15" i="19"/>
  <c r="T28" i="19" s="1"/>
  <c r="T46" i="19" s="1"/>
  <c r="T16" i="19"/>
  <c r="T29" i="19" s="1"/>
  <c r="T47" i="19" s="1"/>
  <c r="AQ81" i="55"/>
  <c r="P37" i="29"/>
  <c r="P36" i="29"/>
  <c r="S14" i="54"/>
  <c r="T5" i="54"/>
  <c r="S18" i="54"/>
  <c r="S31" i="54" s="1"/>
  <c r="S16" i="54"/>
  <c r="S29" i="54" s="1"/>
  <c r="S44" i="54" s="1"/>
  <c r="S150" i="54" s="1"/>
  <c r="S151" i="54" s="1"/>
  <c r="S17" i="54"/>
  <c r="S30" i="54" s="1"/>
  <c r="S15" i="54"/>
  <c r="S28" i="54" s="1"/>
  <c r="T14" i="38"/>
  <c r="T18" i="38"/>
  <c r="T31" i="38" s="1"/>
  <c r="T46" i="38" s="1"/>
  <c r="T237" i="38" s="1"/>
  <c r="T16" i="38"/>
  <c r="T29" i="38" s="1"/>
  <c r="T44" i="38" s="1"/>
  <c r="T222" i="38" s="1"/>
  <c r="T15" i="38"/>
  <c r="T28" i="38" s="1"/>
  <c r="T43" i="38" s="1"/>
  <c r="T17" i="38"/>
  <c r="T30" i="38" s="1"/>
  <c r="T45" i="38" s="1"/>
  <c r="U5" i="38"/>
  <c r="Q34" i="42"/>
  <c r="Q281" i="42"/>
  <c r="U5" i="20"/>
  <c r="T15" i="20"/>
  <c r="T16" i="20"/>
  <c r="T14" i="20"/>
  <c r="T17" i="20"/>
  <c r="T18" i="20"/>
  <c r="DF57" i="55"/>
  <c r="AT57" i="55"/>
  <c r="M148" i="29"/>
  <c r="O294" i="38"/>
  <c r="P100" i="42"/>
  <c r="P98" i="42"/>
  <c r="P102" i="42" s="1"/>
  <c r="P99" i="42"/>
  <c r="P103" i="42" s="1"/>
  <c r="P97" i="42"/>
  <c r="P101" i="42" s="1"/>
  <c r="R149" i="42"/>
  <c r="R148" i="42"/>
  <c r="R152" i="42" s="1"/>
  <c r="R146" i="42"/>
  <c r="R150" i="42" s="1"/>
  <c r="R147" i="42"/>
  <c r="R151" i="42" s="1"/>
  <c r="N160" i="29"/>
  <c r="N172" i="29" s="1"/>
  <c r="N173" i="29" s="1"/>
  <c r="N161" i="29"/>
  <c r="S229" i="46"/>
  <c r="S219" i="46"/>
  <c r="S209" i="46"/>
  <c r="P295" i="38"/>
  <c r="P294" i="38"/>
  <c r="P292" i="38"/>
  <c r="S241" i="42"/>
  <c r="S239" i="42"/>
  <c r="S243" i="42" s="1"/>
  <c r="S240" i="42"/>
  <c r="S244" i="42" s="1"/>
  <c r="S238" i="42"/>
  <c r="S242" i="42" s="1"/>
  <c r="M156" i="29"/>
  <c r="M157" i="29"/>
  <c r="U5" i="48"/>
  <c r="T14" i="48"/>
  <c r="T18" i="48"/>
  <c r="T31" i="48" s="1"/>
  <c r="T16" i="48"/>
  <c r="T29" i="48" s="1"/>
  <c r="T44" i="48" s="1"/>
  <c r="T17" i="48"/>
  <c r="T30" i="48" s="1"/>
  <c r="T45" i="48" s="1"/>
  <c r="T15" i="48"/>
  <c r="T28" i="48" s="1"/>
  <c r="T43" i="48" s="1"/>
  <c r="K183" i="29"/>
  <c r="K192" i="29" s="1"/>
  <c r="L70" i="16" s="1"/>
  <c r="E34" i="55"/>
  <c r="C259" i="20"/>
  <c r="D225" i="12" a="1"/>
  <c r="D148" i="12"/>
  <c r="C341" i="20" s="1"/>
  <c r="E146" i="12"/>
  <c r="E145" i="14"/>
  <c r="E141" i="14" s="1"/>
  <c r="D152" i="12"/>
  <c r="E143" i="12"/>
  <c r="D152" i="14"/>
  <c r="D150" i="12"/>
  <c r="D149" i="14"/>
  <c r="D227" i="12"/>
  <c r="D232" i="12" s="1"/>
  <c r="D151" i="14"/>
  <c r="E131" i="12"/>
  <c r="E127" i="12" s="1"/>
  <c r="E227" i="12" s="1"/>
  <c r="D227" i="14"/>
  <c r="D232" i="14" s="1"/>
  <c r="D148" i="14"/>
  <c r="D225" i="14" a="1"/>
  <c r="E110" i="14"/>
  <c r="E108" i="14" s="1"/>
  <c r="E73" i="19"/>
  <c r="F114" i="14" s="1"/>
  <c r="F114" i="12"/>
  <c r="D182" i="19"/>
  <c r="D249" i="19" s="1"/>
  <c r="D250" i="19" s="1"/>
  <c r="D253" i="19" s="1"/>
  <c r="E104" i="14"/>
  <c r="D153" i="14"/>
  <c r="E99" i="12"/>
  <c r="D97" i="14"/>
  <c r="D150" i="14" s="1"/>
  <c r="D154" i="14"/>
  <c r="E91" i="19"/>
  <c r="F136" i="14" s="1"/>
  <c r="F136" i="12"/>
  <c r="D75" i="19"/>
  <c r="E119" i="14" s="1"/>
  <c r="E119" i="12"/>
  <c r="E109" i="12"/>
  <c r="F105" i="12"/>
  <c r="F228" i="12" s="1"/>
  <c r="E109" i="14"/>
  <c r="F124" i="19"/>
  <c r="G138" i="14" s="1"/>
  <c r="G138" i="12"/>
  <c r="E113" i="19"/>
  <c r="E123" i="19"/>
  <c r="F95" i="14"/>
  <c r="E114" i="19"/>
  <c r="F106" i="19"/>
  <c r="G103" i="14" s="1"/>
  <c r="G103" i="12"/>
  <c r="E126" i="19"/>
  <c r="E111" i="19"/>
  <c r="D269" i="20"/>
  <c r="G174" i="19"/>
  <c r="C226" i="19"/>
  <c r="CV34" i="55" s="1"/>
  <c r="F98" i="19"/>
  <c r="E231" i="14"/>
  <c r="E229" i="14"/>
  <c r="D151" i="12"/>
  <c r="D153" i="12"/>
  <c r="D154" i="12"/>
  <c r="D149" i="12"/>
  <c r="D94" i="19"/>
  <c r="E144" i="14" s="1"/>
  <c r="E142" i="14" s="1"/>
  <c r="E144" i="12"/>
  <c r="E142" i="12" s="1"/>
  <c r="D92" i="19"/>
  <c r="E140" i="14" s="1"/>
  <c r="E140" i="12"/>
  <c r="G176" i="19"/>
  <c r="E145" i="12"/>
  <c r="E141" i="12" s="1"/>
  <c r="D88" i="19"/>
  <c r="E132" i="14" s="1"/>
  <c r="E130" i="14" s="1"/>
  <c r="E132" i="12"/>
  <c r="E130" i="12" s="1"/>
  <c r="D87" i="19"/>
  <c r="G166" i="19"/>
  <c r="G163" i="19"/>
  <c r="G164" i="19"/>
  <c r="G165" i="19"/>
  <c r="D89" i="19"/>
  <c r="E133" i="14" s="1"/>
  <c r="E129" i="14" s="1"/>
  <c r="D86" i="19"/>
  <c r="E128" i="14" s="1"/>
  <c r="C183" i="19"/>
  <c r="D76" i="19"/>
  <c r="E120" i="14" s="1"/>
  <c r="E118" i="14" s="1"/>
  <c r="E120" i="12"/>
  <c r="E118" i="12" s="1"/>
  <c r="D74" i="19"/>
  <c r="E116" i="14" s="1"/>
  <c r="C249" i="19"/>
  <c r="C250" i="19" s="1"/>
  <c r="C252" i="19" s="1"/>
  <c r="C253" i="19" s="1"/>
  <c r="E108" i="19"/>
  <c r="E110" i="12"/>
  <c r="E108" i="12" s="1"/>
  <c r="D90" i="19"/>
  <c r="E119" i="19"/>
  <c r="D93" i="19"/>
  <c r="E143" i="14" s="1"/>
  <c r="E120" i="19"/>
  <c r="D83" i="19"/>
  <c r="E111" i="14" s="1"/>
  <c r="E107" i="14" s="1"/>
  <c r="E111" i="12"/>
  <c r="E107" i="12" s="1"/>
  <c r="F118" i="19"/>
  <c r="G94" i="14" s="1"/>
  <c r="E109" i="19"/>
  <c r="E129" i="19"/>
  <c r="D80" i="19"/>
  <c r="E106" i="14" s="1"/>
  <c r="E79" i="19"/>
  <c r="F104" i="14" s="1"/>
  <c r="D77" i="19"/>
  <c r="E121" i="14" s="1"/>
  <c r="E117" i="14" s="1"/>
  <c r="D69" i="19"/>
  <c r="E99" i="14" s="1"/>
  <c r="D68" i="19"/>
  <c r="E96" i="14" s="1"/>
  <c r="D70" i="19"/>
  <c r="E100" i="14" s="1"/>
  <c r="E98" i="14" s="1"/>
  <c r="D71" i="19"/>
  <c r="E101" i="14" s="1"/>
  <c r="E97" i="14" s="1"/>
  <c r="H172" i="19"/>
  <c r="I135" i="14" s="1"/>
  <c r="E180" i="19"/>
  <c r="F131" i="19"/>
  <c r="H215" i="20"/>
  <c r="H173" i="19" s="1"/>
  <c r="H217" i="20"/>
  <c r="H175" i="19" s="1"/>
  <c r="H219" i="20"/>
  <c r="H177" i="19" s="1"/>
  <c r="H216" i="20"/>
  <c r="H218" i="20"/>
  <c r="H203" i="20"/>
  <c r="H205" i="20"/>
  <c r="H202" i="20"/>
  <c r="H204" i="20"/>
  <c r="H206" i="20"/>
  <c r="H167" i="19" s="1"/>
  <c r="G148" i="20"/>
  <c r="G136" i="20"/>
  <c r="G112" i="19" s="1"/>
  <c r="H126" i="14" s="1"/>
  <c r="G142" i="20"/>
  <c r="G130" i="20"/>
  <c r="F149" i="20"/>
  <c r="F125" i="19" s="1"/>
  <c r="F152" i="20"/>
  <c r="F128" i="19" s="1"/>
  <c r="F151" i="20"/>
  <c r="F127" i="19" s="1"/>
  <c r="F153" i="20"/>
  <c r="F150" i="20"/>
  <c r="F144" i="20"/>
  <c r="F147" i="20"/>
  <c r="F145" i="20"/>
  <c r="F121" i="19" s="1"/>
  <c r="F146" i="20"/>
  <c r="F122" i="19" s="1"/>
  <c r="F143" i="20"/>
  <c r="F132" i="20"/>
  <c r="F134" i="20"/>
  <c r="F110" i="19" s="1"/>
  <c r="F135" i="20"/>
  <c r="F131" i="20"/>
  <c r="F107" i="19" s="1"/>
  <c r="F133" i="20"/>
  <c r="F137" i="20"/>
  <c r="F138" i="20"/>
  <c r="F140" i="20"/>
  <c r="F116" i="19" s="1"/>
  <c r="F139" i="20"/>
  <c r="F115" i="19" s="1"/>
  <c r="F141" i="20"/>
  <c r="F117" i="19" s="1"/>
  <c r="E98" i="20"/>
  <c r="E95" i="20"/>
  <c r="E94" i="20"/>
  <c r="E96" i="20"/>
  <c r="E97" i="20"/>
  <c r="F75" i="20"/>
  <c r="F67" i="19" s="1"/>
  <c r="G93" i="14" s="1"/>
  <c r="F81" i="20"/>
  <c r="F99" i="20"/>
  <c r="F87" i="20"/>
  <c r="G104" i="12" s="1"/>
  <c r="F93" i="20"/>
  <c r="F85" i="19" s="1"/>
  <c r="G124" i="14" s="1"/>
  <c r="E83" i="20"/>
  <c r="E86" i="20"/>
  <c r="E78" i="19" s="1"/>
  <c r="E82" i="20"/>
  <c r="E84" i="20"/>
  <c r="E85" i="20"/>
  <c r="E76" i="20"/>
  <c r="F96" i="12" s="1"/>
  <c r="E78" i="20"/>
  <c r="F100" i="12" s="1"/>
  <c r="F98" i="12" s="1"/>
  <c r="E80" i="20"/>
  <c r="E72" i="19" s="1"/>
  <c r="E77" i="20"/>
  <c r="E79" i="20"/>
  <c r="F101" i="12" s="1"/>
  <c r="F97" i="12" s="1"/>
  <c r="E101" i="20"/>
  <c r="E100" i="20"/>
  <c r="E103" i="20"/>
  <c r="E95" i="19" s="1"/>
  <c r="E102" i="20"/>
  <c r="E104" i="20"/>
  <c r="E96" i="19" s="1"/>
  <c r="E89" i="20"/>
  <c r="E81" i="19" s="1"/>
  <c r="E91" i="20"/>
  <c r="E88" i="20"/>
  <c r="F106" i="12" s="1"/>
  <c r="E92" i="20"/>
  <c r="E84" i="19" s="1"/>
  <c r="E90" i="20"/>
  <c r="E82" i="19" s="1"/>
  <c r="F95" i="12"/>
  <c r="C261" i="20"/>
  <c r="BP38" i="55" s="1"/>
  <c r="C264" i="20"/>
  <c r="BP41" i="55" s="1"/>
  <c r="C263" i="20"/>
  <c r="BP40" i="55" s="1"/>
  <c r="C262" i="20"/>
  <c r="BP39" i="55" s="1"/>
  <c r="C265" i="20"/>
  <c r="BP42" i="55" s="1"/>
  <c r="C260" i="20"/>
  <c r="I123" i="12"/>
  <c r="H158" i="19"/>
  <c r="H160" i="19"/>
  <c r="D274" i="20"/>
  <c r="D273" i="20"/>
  <c r="D271" i="20"/>
  <c r="D272" i="20"/>
  <c r="C284" i="20"/>
  <c r="C286" i="20"/>
  <c r="D39" i="55" s="1"/>
  <c r="C289" i="20"/>
  <c r="D42" i="55" s="1"/>
  <c r="C287" i="20"/>
  <c r="D40" i="55" s="1"/>
  <c r="C285" i="20"/>
  <c r="C288" i="20"/>
  <c r="D41" i="55" s="1"/>
  <c r="H30" i="20"/>
  <c r="H48" i="20" s="1"/>
  <c r="E179" i="19"/>
  <c r="F256" i="20"/>
  <c r="F34" i="20"/>
  <c r="G169" i="19"/>
  <c r="I31" i="20"/>
  <c r="I49" i="20" s="1"/>
  <c r="I214" i="20" s="1"/>
  <c r="J135" i="12" s="1"/>
  <c r="E226" i="14"/>
  <c r="E226" i="12"/>
  <c r="E266" i="20"/>
  <c r="E318" i="20"/>
  <c r="E270" i="20"/>
  <c r="E317" i="20"/>
  <c r="E267" i="20"/>
  <c r="G93" i="12"/>
  <c r="F55" i="19"/>
  <c r="F52" i="19" s="1"/>
  <c r="F60" i="19"/>
  <c r="F62" i="19"/>
  <c r="F50" i="20"/>
  <c r="F221" i="20" s="1"/>
  <c r="F65" i="19"/>
  <c r="F56" i="19"/>
  <c r="F63" i="19"/>
  <c r="F58" i="19"/>
  <c r="F54" i="19"/>
  <c r="G124" i="12"/>
  <c r="F53" i="19"/>
  <c r="F64" i="19"/>
  <c r="F57" i="19"/>
  <c r="F61" i="19"/>
  <c r="E36" i="20"/>
  <c r="E37" i="20"/>
  <c r="C281" i="20"/>
  <c r="C293" i="20" s="1"/>
  <c r="C294" i="20" s="1"/>
  <c r="C295" i="20" s="1"/>
  <c r="C282" i="20"/>
  <c r="H170" i="19"/>
  <c r="G103" i="19"/>
  <c r="G104" i="19"/>
  <c r="H126" i="12"/>
  <c r="G102" i="19"/>
  <c r="G101" i="19"/>
  <c r="G100" i="19"/>
  <c r="G99" i="19"/>
  <c r="G45" i="20"/>
  <c r="G32" i="20"/>
  <c r="BT4" i="55" s="1"/>
  <c r="CZ4" i="55" s="1"/>
  <c r="E225" i="20"/>
  <c r="D258" i="20"/>
  <c r="G157" i="19"/>
  <c r="C276" i="20"/>
  <c r="C275" i="20"/>
  <c r="I29" i="20"/>
  <c r="I47" i="20" s="1"/>
  <c r="I201" i="20" s="1"/>
  <c r="I162" i="19" s="1"/>
  <c r="J123" i="14" s="1"/>
  <c r="H28" i="20"/>
  <c r="H46" i="20" s="1"/>
  <c r="I94" i="12" s="1"/>
  <c r="H222" i="20"/>
  <c r="H27" i="20"/>
  <c r="I19" i="20"/>
  <c r="G133" i="19"/>
  <c r="G134" i="19"/>
  <c r="G132" i="19"/>
  <c r="G135" i="19"/>
  <c r="G136" i="19"/>
  <c r="H125" i="12"/>
  <c r="R88" i="29" l="1"/>
  <c r="T49" i="29"/>
  <c r="O141" i="16"/>
  <c r="O142" i="16" s="1"/>
  <c r="K190" i="29"/>
  <c r="S49" i="28"/>
  <c r="O141" i="15"/>
  <c r="O142" i="15" s="1"/>
  <c r="AR126" i="36"/>
  <c r="AR39" i="58" s="1"/>
  <c r="K346" i="42"/>
  <c r="AR127" i="36" s="1"/>
  <c r="M182" i="29"/>
  <c r="T27" i="48"/>
  <c r="T32" i="48" s="1"/>
  <c r="T19" i="48"/>
  <c r="T275" i="48" s="1"/>
  <c r="T224" i="38"/>
  <c r="T228" i="38" s="1"/>
  <c r="T223" i="38"/>
  <c r="T227" i="38" s="1"/>
  <c r="T225" i="38"/>
  <c r="T229" i="38" s="1"/>
  <c r="S19" i="54"/>
  <c r="S27" i="54"/>
  <c r="S32" i="54" s="1"/>
  <c r="K196" i="28"/>
  <c r="K197" i="28" s="1"/>
  <c r="K206" i="28" s="1"/>
  <c r="L70" i="15" s="1"/>
  <c r="L329" i="42"/>
  <c r="L338" i="42" s="1"/>
  <c r="R249" i="42"/>
  <c r="R96" i="42"/>
  <c r="R47" i="42"/>
  <c r="R291" i="42" s="1"/>
  <c r="R104" i="42"/>
  <c r="R72" i="42"/>
  <c r="R80" i="42"/>
  <c r="R170" i="48"/>
  <c r="R175" i="48" s="1"/>
  <c r="R169" i="48"/>
  <c r="R174" i="48" s="1"/>
  <c r="R172" i="48"/>
  <c r="R171" i="48"/>
  <c r="R176" i="48" s="1"/>
  <c r="R168" i="48"/>
  <c r="R173" i="48" s="1"/>
  <c r="S165" i="38"/>
  <c r="T109" i="36" s="1"/>
  <c r="AZ109" i="36" s="1"/>
  <c r="S164" i="38"/>
  <c r="S168" i="38" s="1"/>
  <c r="S162" i="38"/>
  <c r="S166" i="38" s="1"/>
  <c r="S163" i="38"/>
  <c r="S167" i="38" s="1"/>
  <c r="T137" i="42"/>
  <c r="T161" i="42"/>
  <c r="T153" i="42"/>
  <c r="T145" i="42"/>
  <c r="Q66" i="15"/>
  <c r="Q59" i="15"/>
  <c r="Q135" i="15" s="1"/>
  <c r="R224" i="19"/>
  <c r="R225" i="19"/>
  <c r="R275" i="19"/>
  <c r="R276" i="19"/>
  <c r="R228" i="19"/>
  <c r="O283" i="42"/>
  <c r="O284" i="42" s="1"/>
  <c r="P250" i="42"/>
  <c r="T19" i="29"/>
  <c r="T27" i="29"/>
  <c r="R34" i="38"/>
  <c r="R281" i="38"/>
  <c r="S208" i="42"/>
  <c r="S212" i="42" s="1"/>
  <c r="S210" i="42"/>
  <c r="S214" i="42" s="1"/>
  <c r="S209" i="42"/>
  <c r="S213" i="42" s="1"/>
  <c r="S211" i="42"/>
  <c r="I72" i="16"/>
  <c r="AO34" i="58" s="1"/>
  <c r="H200" i="29"/>
  <c r="I73" i="16" s="1"/>
  <c r="N174" i="29"/>
  <c r="N177" i="29" s="1"/>
  <c r="T19" i="46"/>
  <c r="T275" i="46" s="1"/>
  <c r="T27" i="46"/>
  <c r="T32" i="46" s="1"/>
  <c r="R34" i="54"/>
  <c r="R197" i="54"/>
  <c r="U17" i="48"/>
  <c r="U30" i="48" s="1"/>
  <c r="U45" i="48" s="1"/>
  <c r="U15" i="48"/>
  <c r="U28" i="48" s="1"/>
  <c r="U43" i="48" s="1"/>
  <c r="U18" i="48"/>
  <c r="U31" i="48" s="1"/>
  <c r="U16" i="48"/>
  <c r="U29" i="48" s="1"/>
  <c r="U44" i="48" s="1"/>
  <c r="U14" i="48"/>
  <c r="V5" i="48"/>
  <c r="P310" i="38"/>
  <c r="P314" i="38"/>
  <c r="Q88" i="55" s="1"/>
  <c r="P312" i="38"/>
  <c r="Q86" i="55" s="1"/>
  <c r="P313" i="38"/>
  <c r="Q87" i="55" s="1"/>
  <c r="P311" i="38"/>
  <c r="Q85" i="55" s="1"/>
  <c r="P309" i="38"/>
  <c r="O310" i="38"/>
  <c r="O311" i="38"/>
  <c r="P85" i="55" s="1"/>
  <c r="O309" i="38"/>
  <c r="O314" i="38"/>
  <c r="P88" i="55" s="1"/>
  <c r="O312" i="38"/>
  <c r="P86" i="55" s="1"/>
  <c r="O313" i="38"/>
  <c r="P87" i="55" s="1"/>
  <c r="T240" i="38"/>
  <c r="T244" i="38" s="1"/>
  <c r="T239" i="38"/>
  <c r="T243" i="38" s="1"/>
  <c r="T238" i="38"/>
  <c r="T242" i="38" s="1"/>
  <c r="P196" i="29"/>
  <c r="P197" i="29"/>
  <c r="V5" i="19"/>
  <c r="U15" i="19"/>
  <c r="U28" i="19" s="1"/>
  <c r="U46" i="19" s="1"/>
  <c r="U18" i="19"/>
  <c r="U31" i="19" s="1"/>
  <c r="U49" i="19" s="1"/>
  <c r="U14" i="19"/>
  <c r="U16" i="19"/>
  <c r="U29" i="19" s="1"/>
  <c r="U47" i="19" s="1"/>
  <c r="U17" i="19"/>
  <c r="U30" i="19" s="1"/>
  <c r="U48" i="19" s="1"/>
  <c r="Q292" i="38"/>
  <c r="Q295" i="38"/>
  <c r="R151" i="48"/>
  <c r="R156" i="48" s="1"/>
  <c r="R149" i="48"/>
  <c r="R154" i="48" s="1"/>
  <c r="R150" i="48"/>
  <c r="R155" i="48" s="1"/>
  <c r="R152" i="48"/>
  <c r="R148" i="48"/>
  <c r="R153" i="48" s="1"/>
  <c r="I204" i="28"/>
  <c r="Q37" i="19"/>
  <c r="Q36" i="19"/>
  <c r="S155" i="38"/>
  <c r="S159" i="38" s="1"/>
  <c r="S154" i="38"/>
  <c r="S158" i="38" s="1"/>
  <c r="S156" i="38"/>
  <c r="S160" i="38" s="1"/>
  <c r="S157" i="38"/>
  <c r="T79" i="36" s="1"/>
  <c r="AZ79" i="36" s="1"/>
  <c r="T19" i="42"/>
  <c r="T247" i="42" s="1"/>
  <c r="T27" i="42"/>
  <c r="Q66" i="16"/>
  <c r="Q59" i="16"/>
  <c r="Q135" i="16" s="1"/>
  <c r="R214" i="19"/>
  <c r="R34" i="19"/>
  <c r="N289" i="42"/>
  <c r="N287" i="42"/>
  <c r="N288" i="42"/>
  <c r="N285" i="42"/>
  <c r="N286" i="42"/>
  <c r="N290" i="42"/>
  <c r="R249" i="38"/>
  <c r="R96" i="38"/>
  <c r="R47" i="38"/>
  <c r="R291" i="38" s="1"/>
  <c r="R80" i="38"/>
  <c r="R104" i="38"/>
  <c r="R72" i="38"/>
  <c r="R73" i="38" s="1"/>
  <c r="S201" i="42"/>
  <c r="S205" i="42" s="1"/>
  <c r="S200" i="42"/>
  <c r="S204" i="42" s="1"/>
  <c r="S202" i="42"/>
  <c r="S206" i="42" s="1"/>
  <c r="S203" i="42"/>
  <c r="O300" i="38"/>
  <c r="O301" i="38"/>
  <c r="Q149" i="29"/>
  <c r="Q146" i="29"/>
  <c r="I69" i="15"/>
  <c r="I71" i="15" s="1"/>
  <c r="I33" i="58" s="1"/>
  <c r="I58" i="55"/>
  <c r="H208" i="28"/>
  <c r="I61" i="55"/>
  <c r="H213" i="28"/>
  <c r="M178" i="29"/>
  <c r="N238" i="19"/>
  <c r="N237" i="19"/>
  <c r="N241" i="19" s="1"/>
  <c r="DD58" i="55"/>
  <c r="L69" i="16"/>
  <c r="L71" i="16" s="1"/>
  <c r="AR33" i="58" s="1"/>
  <c r="AR58" i="55"/>
  <c r="K199" i="29"/>
  <c r="P296" i="38"/>
  <c r="P297" i="38"/>
  <c r="P298" i="38"/>
  <c r="P299" i="38"/>
  <c r="M164" i="29"/>
  <c r="M168" i="29"/>
  <c r="AT65" i="55" s="1"/>
  <c r="M165" i="29"/>
  <c r="AT62" i="55" s="1"/>
  <c r="M163" i="29"/>
  <c r="M166" i="29"/>
  <c r="AT63" i="55" s="1"/>
  <c r="M167" i="29"/>
  <c r="AT64" i="55" s="1"/>
  <c r="V5" i="20"/>
  <c r="U16" i="20"/>
  <c r="U15" i="20"/>
  <c r="U14" i="20"/>
  <c r="U17" i="20"/>
  <c r="U18" i="20"/>
  <c r="T19" i="38"/>
  <c r="T247" i="38" s="1"/>
  <c r="T27" i="38"/>
  <c r="Q293" i="38"/>
  <c r="R80" i="55" s="1"/>
  <c r="Q316" i="38"/>
  <c r="CA57" i="55"/>
  <c r="N152" i="28"/>
  <c r="N302" i="38"/>
  <c r="N303" i="38"/>
  <c r="P77" i="16"/>
  <c r="P68" i="16"/>
  <c r="P133" i="16" a="1"/>
  <c r="P141" i="16" s="1"/>
  <c r="P142" i="16" s="1"/>
  <c r="P134" i="16"/>
  <c r="P140" i="16" s="1"/>
  <c r="M155" i="28"/>
  <c r="BZ62" i="55" s="1"/>
  <c r="M153" i="28"/>
  <c r="M154" i="28"/>
  <c r="BZ61" i="55" s="1"/>
  <c r="M157" i="28"/>
  <c r="BZ64" i="55" s="1"/>
  <c r="M158" i="28"/>
  <c r="BZ65" i="55" s="1"/>
  <c r="M156" i="28"/>
  <c r="BZ63" i="55" s="1"/>
  <c r="S149" i="38"/>
  <c r="T100" i="36" s="1"/>
  <c r="AZ100" i="36" s="1"/>
  <c r="S148" i="38"/>
  <c r="S152" i="38" s="1"/>
  <c r="S146" i="38"/>
  <c r="S150" i="38" s="1"/>
  <c r="S147" i="38"/>
  <c r="S151" i="38" s="1"/>
  <c r="P133" i="15" a="1"/>
  <c r="P141" i="15" s="1"/>
  <c r="P142" i="15" s="1"/>
  <c r="P134" i="15"/>
  <c r="P140" i="15" s="1"/>
  <c r="P68" i="15"/>
  <c r="P77" i="15" s="1"/>
  <c r="R181" i="48"/>
  <c r="R186" i="48" s="1"/>
  <c r="R179" i="48"/>
  <c r="R184" i="48" s="1"/>
  <c r="R180" i="48"/>
  <c r="R185" i="48" s="1"/>
  <c r="R182" i="48"/>
  <c r="R178" i="48"/>
  <c r="R183" i="48" s="1"/>
  <c r="U16" i="42"/>
  <c r="U29" i="42" s="1"/>
  <c r="U44" i="42" s="1"/>
  <c r="U222" i="42" s="1"/>
  <c r="U18" i="42"/>
  <c r="U31" i="42" s="1"/>
  <c r="U46" i="42" s="1"/>
  <c r="U237" i="42" s="1"/>
  <c r="U17" i="42"/>
  <c r="U30" i="42" s="1"/>
  <c r="U45" i="42" s="1"/>
  <c r="U14" i="42"/>
  <c r="U15" i="42"/>
  <c r="U28" i="42" s="1"/>
  <c r="U43" i="42" s="1"/>
  <c r="V5" i="42"/>
  <c r="Q46" i="16"/>
  <c r="Q67" i="16"/>
  <c r="S85" i="29"/>
  <c r="T55" i="16" s="1"/>
  <c r="T55" i="15"/>
  <c r="S32" i="19"/>
  <c r="S45" i="19"/>
  <c r="S50" i="19" s="1"/>
  <c r="P240" i="19"/>
  <c r="P239" i="19"/>
  <c r="P251" i="19" s="1"/>
  <c r="P57" i="55"/>
  <c r="L186" i="28"/>
  <c r="L187" i="28" s="1"/>
  <c r="L188" i="28"/>
  <c r="L191" i="28" s="1"/>
  <c r="DI80" i="55"/>
  <c r="AW80" i="55"/>
  <c r="Q75" i="42"/>
  <c r="Q79" i="42" s="1"/>
  <c r="Q74" i="42"/>
  <c r="Q78" i="42" s="1"/>
  <c r="Q73" i="42"/>
  <c r="Q77" i="42" s="1"/>
  <c r="Q76" i="42"/>
  <c r="S19" i="53"/>
  <c r="S27" i="53"/>
  <c r="S32" i="53" s="1"/>
  <c r="M158" i="29"/>
  <c r="M162" i="29" s="1"/>
  <c r="M159" i="29"/>
  <c r="S209" i="48"/>
  <c r="S213" i="46"/>
  <c r="S218" i="46" s="1"/>
  <c r="S214" i="46"/>
  <c r="T89" i="45" s="1"/>
  <c r="S212" i="46"/>
  <c r="S217" i="46" s="1"/>
  <c r="S211" i="46"/>
  <c r="S216" i="46" s="1"/>
  <c r="S210" i="46"/>
  <c r="S215" i="46" s="1"/>
  <c r="R32" i="28"/>
  <c r="R45" i="28"/>
  <c r="P217" i="28"/>
  <c r="O151" i="28"/>
  <c r="K172" i="28"/>
  <c r="K176" i="28" s="1"/>
  <c r="K173" i="28"/>
  <c r="S61" i="16"/>
  <c r="R87" i="29"/>
  <c r="S248" i="48"/>
  <c r="S253" i="48" s="1"/>
  <c r="S247" i="48"/>
  <c r="S252" i="48" s="1"/>
  <c r="S249" i="48"/>
  <c r="S254" i="48" s="1"/>
  <c r="S250" i="48"/>
  <c r="S255" i="48" s="1"/>
  <c r="S251" i="48"/>
  <c r="S139" i="38"/>
  <c r="S138" i="38"/>
  <c r="S140" i="38"/>
  <c r="S177" i="48"/>
  <c r="S178" i="46"/>
  <c r="S183" i="46" s="1"/>
  <c r="S181" i="46"/>
  <c r="S186" i="46" s="1"/>
  <c r="S179" i="46"/>
  <c r="S184" i="46" s="1"/>
  <c r="S182" i="46"/>
  <c r="T107" i="45" s="1"/>
  <c r="AZ107" i="45" s="1"/>
  <c r="S180" i="46"/>
  <c r="S185" i="46" s="1"/>
  <c r="T191" i="42"/>
  <c r="T199" i="42"/>
  <c r="T207" i="42"/>
  <c r="Q67" i="15"/>
  <c r="Q46" i="15"/>
  <c r="S69" i="29"/>
  <c r="S67" i="29"/>
  <c r="T58" i="15"/>
  <c r="S71" i="29"/>
  <c r="S73" i="29"/>
  <c r="T64" i="15"/>
  <c r="S68" i="29"/>
  <c r="T48" i="15"/>
  <c r="T49" i="15" s="1"/>
  <c r="T136" i="15" s="1"/>
  <c r="S70" i="29"/>
  <c r="T45" i="15"/>
  <c r="S66" i="29"/>
  <c r="S65" i="29" s="1"/>
  <c r="S77" i="29"/>
  <c r="T45" i="16" s="1"/>
  <c r="S76" i="29"/>
  <c r="T58" i="16" s="1"/>
  <c r="S75" i="29"/>
  <c r="S78" i="29"/>
  <c r="T64" i="16" s="1"/>
  <c r="S74" i="29"/>
  <c r="T48" i="16" s="1"/>
  <c r="T49" i="16" s="1"/>
  <c r="T136" i="16" s="1"/>
  <c r="R214" i="48"/>
  <c r="R213" i="48"/>
  <c r="R218" i="48" s="1"/>
  <c r="R211" i="48"/>
  <c r="R216" i="48" s="1"/>
  <c r="R210" i="48"/>
  <c r="R215" i="48" s="1"/>
  <c r="R212" i="48"/>
  <c r="R217" i="48" s="1"/>
  <c r="P233" i="19"/>
  <c r="P234" i="19"/>
  <c r="T147" i="46"/>
  <c r="T167" i="46"/>
  <c r="T157" i="46"/>
  <c r="T177" i="46"/>
  <c r="Q100" i="42"/>
  <c r="Q98" i="42"/>
  <c r="Q102" i="42" s="1"/>
  <c r="Q99" i="42"/>
  <c r="Q103" i="42" s="1"/>
  <c r="Q97" i="42"/>
  <c r="Q101" i="42" s="1"/>
  <c r="S221" i="46"/>
  <c r="S226" i="46" s="1"/>
  <c r="S223" i="46"/>
  <c r="S228" i="46" s="1"/>
  <c r="S219" i="48"/>
  <c r="S222" i="46"/>
  <c r="S227" i="46" s="1"/>
  <c r="S220" i="46"/>
  <c r="S225" i="46" s="1"/>
  <c r="S224" i="46"/>
  <c r="T99" i="45" s="1"/>
  <c r="AZ99" i="45" s="1"/>
  <c r="P313" i="42"/>
  <c r="AW87" i="55" s="1"/>
  <c r="P310" i="42"/>
  <c r="P312" i="42"/>
  <c r="AW86" i="55" s="1"/>
  <c r="P314" i="42"/>
  <c r="AW88" i="55" s="1"/>
  <c r="P309" i="42"/>
  <c r="P311" i="42"/>
  <c r="AW85" i="55" s="1"/>
  <c r="Q246" i="38"/>
  <c r="O306" i="42"/>
  <c r="O307" i="42"/>
  <c r="AY85" i="45"/>
  <c r="S85" i="45"/>
  <c r="S86" i="45"/>
  <c r="AY87" i="45"/>
  <c r="AY86" i="45"/>
  <c r="S87" i="45"/>
  <c r="S156" i="42"/>
  <c r="S160" i="42" s="1"/>
  <c r="S154" i="42"/>
  <c r="S158" i="42" s="1"/>
  <c r="S155" i="42"/>
  <c r="S159" i="42" s="1"/>
  <c r="S157" i="42"/>
  <c r="Q232" i="19"/>
  <c r="Q230" i="19"/>
  <c r="Q229" i="19"/>
  <c r="Q231" i="19"/>
  <c r="R234" i="48"/>
  <c r="R232" i="48"/>
  <c r="R237" i="48" s="1"/>
  <c r="R231" i="48"/>
  <c r="R236" i="48" s="1"/>
  <c r="R230" i="48"/>
  <c r="R235" i="48" s="1"/>
  <c r="R233" i="48"/>
  <c r="R238" i="48" s="1"/>
  <c r="S169" i="46"/>
  <c r="S174" i="46" s="1"/>
  <c r="S170" i="46"/>
  <c r="S175" i="46" s="1"/>
  <c r="S168" i="46"/>
  <c r="S173" i="46" s="1"/>
  <c r="S172" i="46"/>
  <c r="T77" i="45" s="1"/>
  <c r="AZ77" i="45" s="1"/>
  <c r="S167" i="48"/>
  <c r="S171" i="46"/>
  <c r="S176" i="46" s="1"/>
  <c r="N318" i="42"/>
  <c r="N319" i="42" s="1"/>
  <c r="N320" i="42"/>
  <c r="N323" i="42" s="1"/>
  <c r="T224" i="42"/>
  <c r="T228" i="42" s="1"/>
  <c r="T226" i="42"/>
  <c r="T225" i="42"/>
  <c r="T229" i="42" s="1"/>
  <c r="T223" i="42"/>
  <c r="T227" i="42" s="1"/>
  <c r="P210" i="28"/>
  <c r="P211" i="28"/>
  <c r="P159" i="28"/>
  <c r="M141" i="29"/>
  <c r="M143" i="29"/>
  <c r="M140" i="29"/>
  <c r="M142" i="29"/>
  <c r="M144" i="29"/>
  <c r="M139" i="29"/>
  <c r="O307" i="38"/>
  <c r="O306" i="38"/>
  <c r="O318" i="38" s="1"/>
  <c r="N179" i="28"/>
  <c r="O62" i="55" s="1"/>
  <c r="N182" i="28"/>
  <c r="O65" i="55" s="1"/>
  <c r="N178" i="28"/>
  <c r="N180" i="28"/>
  <c r="O63" i="55" s="1"/>
  <c r="N177" i="28"/>
  <c r="N181" i="28"/>
  <c r="O64" i="55" s="1"/>
  <c r="Q107" i="42"/>
  <c r="Q111" i="42" s="1"/>
  <c r="Q108" i="42"/>
  <c r="Q106" i="42"/>
  <c r="Q110" i="42" s="1"/>
  <c r="Q105" i="42"/>
  <c r="Q109" i="42" s="1"/>
  <c r="P150" i="29"/>
  <c r="P153" i="29"/>
  <c r="P151" i="29"/>
  <c r="P152" i="29"/>
  <c r="J204" i="28"/>
  <c r="S230" i="46"/>
  <c r="S235" i="46" s="1"/>
  <c r="S233" i="46"/>
  <c r="S238" i="46" s="1"/>
  <c r="S231" i="46"/>
  <c r="S236" i="46" s="1"/>
  <c r="S229" i="48"/>
  <c r="S234" i="46"/>
  <c r="T108" i="45" s="1"/>
  <c r="AZ108" i="45" s="1"/>
  <c r="S232" i="46"/>
  <c r="S237" i="46" s="1"/>
  <c r="U17" i="38"/>
  <c r="U30" i="38" s="1"/>
  <c r="U45" i="38" s="1"/>
  <c r="U18" i="38"/>
  <c r="U31" i="38" s="1"/>
  <c r="U46" i="38" s="1"/>
  <c r="U237" i="38" s="1"/>
  <c r="U15" i="38"/>
  <c r="U28" i="38" s="1"/>
  <c r="U43" i="38" s="1"/>
  <c r="U16" i="38"/>
  <c r="U29" i="38" s="1"/>
  <c r="U44" i="38" s="1"/>
  <c r="U222" i="38" s="1"/>
  <c r="U14" i="38"/>
  <c r="V5" i="38"/>
  <c r="M175" i="28"/>
  <c r="M174" i="28"/>
  <c r="Q216" i="28"/>
  <c r="Q60" i="29"/>
  <c r="Q62" i="29"/>
  <c r="R62" i="16" s="1"/>
  <c r="R65" i="16" s="1"/>
  <c r="R139" i="16" s="1"/>
  <c r="Q55" i="29"/>
  <c r="Q52" i="29" s="1"/>
  <c r="Q92" i="29" s="1"/>
  <c r="Q56" i="29"/>
  <c r="R56" i="15"/>
  <c r="Q54" i="29"/>
  <c r="R62" i="15"/>
  <c r="R65" i="15" s="1"/>
  <c r="R139" i="15" s="1"/>
  <c r="Q61" i="29"/>
  <c r="R44" i="15"/>
  <c r="Q53" i="29"/>
  <c r="Q63" i="29"/>
  <c r="R56" i="16" s="1"/>
  <c r="Q57" i="29"/>
  <c r="Q59" i="29"/>
  <c r="R44" i="16" s="1"/>
  <c r="Q50" i="28"/>
  <c r="Q117" i="28" s="1"/>
  <c r="S149" i="42"/>
  <c r="S147" i="42"/>
  <c r="S151" i="42" s="1"/>
  <c r="S148" i="42"/>
  <c r="S152" i="42" s="1"/>
  <c r="S146" i="42"/>
  <c r="S150" i="42" s="1"/>
  <c r="R50" i="29"/>
  <c r="R145" i="29" s="1"/>
  <c r="O170" i="29"/>
  <c r="O171" i="29" s="1"/>
  <c r="O147" i="29"/>
  <c r="N321" i="42"/>
  <c r="N322" i="42" s="1"/>
  <c r="O77" i="15"/>
  <c r="S158" i="46"/>
  <c r="S163" i="46" s="1"/>
  <c r="S157" i="48"/>
  <c r="S160" i="46"/>
  <c r="S165" i="46" s="1"/>
  <c r="S159" i="46"/>
  <c r="S164" i="46" s="1"/>
  <c r="S161" i="46"/>
  <c r="S166" i="46" s="1"/>
  <c r="S162" i="46"/>
  <c r="T98" i="45" s="1"/>
  <c r="AZ98" i="45" s="1"/>
  <c r="M304" i="38"/>
  <c r="M308" i="38" s="1"/>
  <c r="M305" i="38"/>
  <c r="S208" i="38"/>
  <c r="S212" i="38" s="1"/>
  <c r="S209" i="38"/>
  <c r="S213" i="38" s="1"/>
  <c r="S211" i="38"/>
  <c r="S210" i="38"/>
  <c r="S214" i="38" s="1"/>
  <c r="T241" i="42"/>
  <c r="T240" i="42"/>
  <c r="T244" i="42" s="1"/>
  <c r="T238" i="42"/>
  <c r="T242" i="42" s="1"/>
  <c r="T239" i="42"/>
  <c r="T243" i="42" s="1"/>
  <c r="S88" i="29"/>
  <c r="T61" i="15"/>
  <c r="Q37" i="29"/>
  <c r="Q36" i="29"/>
  <c r="O104" i="29"/>
  <c r="N137" i="29"/>
  <c r="N138" i="29" s="1"/>
  <c r="L170" i="28"/>
  <c r="L171" i="28"/>
  <c r="DC58" i="55"/>
  <c r="K69" i="16"/>
  <c r="K71" i="16" s="1"/>
  <c r="AQ33" i="58" s="1"/>
  <c r="AQ58" i="55"/>
  <c r="J199" i="29"/>
  <c r="AQ61" i="55"/>
  <c r="M324" i="42"/>
  <c r="S32" i="42"/>
  <c r="S42" i="42"/>
  <c r="T250" i="46"/>
  <c r="T255" i="46" s="1"/>
  <c r="T251" i="46"/>
  <c r="U96" i="45" s="1"/>
  <c r="T246" i="48"/>
  <c r="T249" i="46"/>
  <c r="T254" i="46" s="1"/>
  <c r="T247" i="46"/>
  <c r="T252" i="46" s="1"/>
  <c r="T248" i="46"/>
  <c r="T253" i="46" s="1"/>
  <c r="Q82" i="42"/>
  <c r="Q86" i="42" s="1"/>
  <c r="Q81" i="42"/>
  <c r="Q85" i="42" s="1"/>
  <c r="Q84" i="42"/>
  <c r="Q83" i="42"/>
  <c r="Q87" i="42" s="1"/>
  <c r="S32" i="29"/>
  <c r="S45" i="29"/>
  <c r="T18" i="53"/>
  <c r="T31" i="53" s="1"/>
  <c r="T14" i="53"/>
  <c r="T15" i="53"/>
  <c r="T28" i="53" s="1"/>
  <c r="T16" i="53"/>
  <c r="T29" i="53" s="1"/>
  <c r="T44" i="53" s="1"/>
  <c r="T150" i="53" s="1"/>
  <c r="T151" i="53" s="1"/>
  <c r="U60" i="51" s="1"/>
  <c r="BA60" i="51" s="1"/>
  <c r="U5" i="53"/>
  <c r="T17" i="53"/>
  <c r="T30" i="53" s="1"/>
  <c r="T191" i="38"/>
  <c r="T207" i="38"/>
  <c r="T199" i="38"/>
  <c r="S309" i="48"/>
  <c r="S34" i="48"/>
  <c r="P297" i="42"/>
  <c r="P298" i="42"/>
  <c r="P299" i="42"/>
  <c r="P296" i="42"/>
  <c r="R197" i="53"/>
  <c r="R34" i="53"/>
  <c r="Q34" i="28"/>
  <c r="Q149" i="28"/>
  <c r="S162" i="42"/>
  <c r="S166" i="42" s="1"/>
  <c r="S165" i="42"/>
  <c r="S163" i="42"/>
  <c r="S167" i="42" s="1"/>
  <c r="S164" i="42"/>
  <c r="S168" i="42" s="1"/>
  <c r="R34" i="29"/>
  <c r="R135" i="29"/>
  <c r="N302" i="42"/>
  <c r="N303" i="42"/>
  <c r="N324" i="42" s="1"/>
  <c r="S149" i="46"/>
  <c r="S154" i="46" s="1"/>
  <c r="S148" i="46"/>
  <c r="S153" i="46" s="1"/>
  <c r="S152" i="46"/>
  <c r="T83" i="45" s="1"/>
  <c r="S147" i="48"/>
  <c r="S151" i="46"/>
  <c r="S156" i="46" s="1"/>
  <c r="S150" i="46"/>
  <c r="S155" i="46" s="1"/>
  <c r="S201" i="38"/>
  <c r="S205" i="38" s="1"/>
  <c r="S202" i="38"/>
  <c r="S206" i="38" s="1"/>
  <c r="S200" i="38"/>
  <c r="S204" i="38" s="1"/>
  <c r="S203" i="38"/>
  <c r="T101" i="36" s="1"/>
  <c r="AZ101" i="36" s="1"/>
  <c r="O163" i="28"/>
  <c r="O162" i="28"/>
  <c r="O160" i="28"/>
  <c r="R221" i="48"/>
  <c r="R226" i="48" s="1"/>
  <c r="R223" i="48"/>
  <c r="R228" i="48" s="1"/>
  <c r="R222" i="48"/>
  <c r="R227" i="48" s="1"/>
  <c r="R224" i="48"/>
  <c r="R220" i="48"/>
  <c r="R225" i="48" s="1"/>
  <c r="S309" i="46"/>
  <c r="S34" i="46"/>
  <c r="P91" i="29"/>
  <c r="P103" i="29"/>
  <c r="S19" i="28"/>
  <c r="S118" i="28" s="1"/>
  <c r="S27" i="28"/>
  <c r="L189" i="28"/>
  <c r="L190" i="28" s="1"/>
  <c r="L192" i="28" s="1"/>
  <c r="M305" i="42"/>
  <c r="M304" i="42"/>
  <c r="M308" i="42" s="1"/>
  <c r="O161" i="29"/>
  <c r="O160" i="29"/>
  <c r="O172" i="29" s="1"/>
  <c r="O173" i="29" s="1"/>
  <c r="T219" i="46"/>
  <c r="T209" i="46"/>
  <c r="T229" i="46"/>
  <c r="N156" i="29"/>
  <c r="N157" i="29"/>
  <c r="N165" i="28"/>
  <c r="N167" i="28"/>
  <c r="N166" i="28"/>
  <c r="N164" i="28"/>
  <c r="Q295" i="42"/>
  <c r="Q292" i="42"/>
  <c r="T137" i="38"/>
  <c r="T153" i="38"/>
  <c r="T145" i="38"/>
  <c r="T161" i="38"/>
  <c r="T15" i="54"/>
  <c r="T28" i="54" s="1"/>
  <c r="T17" i="54"/>
  <c r="T30" i="54" s="1"/>
  <c r="T14" i="54"/>
  <c r="U5" i="54"/>
  <c r="T16" i="54"/>
  <c r="T29" i="54" s="1"/>
  <c r="T44" i="54" s="1"/>
  <c r="T150" i="54" s="1"/>
  <c r="T151" i="54" s="1"/>
  <c r="T18" i="54"/>
  <c r="T31" i="54" s="1"/>
  <c r="T19" i="19"/>
  <c r="T27" i="19"/>
  <c r="K189" i="28"/>
  <c r="K190" i="28" s="1"/>
  <c r="K192" i="28" s="1"/>
  <c r="O301" i="42"/>
  <c r="O300" i="42"/>
  <c r="R34" i="42"/>
  <c r="R281" i="42"/>
  <c r="M168" i="28"/>
  <c r="M169" i="28"/>
  <c r="AR61" i="55"/>
  <c r="S141" i="42"/>
  <c r="S140" i="42"/>
  <c r="S144" i="42" s="1"/>
  <c r="S138" i="42"/>
  <c r="S142" i="42" s="1"/>
  <c r="S139" i="42"/>
  <c r="S143" i="42" s="1"/>
  <c r="P36" i="28"/>
  <c r="P37" i="28"/>
  <c r="S193" i="38"/>
  <c r="S197" i="38" s="1"/>
  <c r="S194" i="38"/>
  <c r="S198" i="38" s="1"/>
  <c r="S192" i="38"/>
  <c r="S196" i="38" s="1"/>
  <c r="AQ126" i="36"/>
  <c r="AQ39" i="58" s="1"/>
  <c r="J346" i="42"/>
  <c r="AQ127" i="36" s="1"/>
  <c r="R161" i="48"/>
  <c r="R166" i="48" s="1"/>
  <c r="R160" i="48"/>
  <c r="R165" i="48" s="1"/>
  <c r="R158" i="48"/>
  <c r="R163" i="48" s="1"/>
  <c r="R159" i="48"/>
  <c r="R164" i="48" s="1"/>
  <c r="R162" i="48"/>
  <c r="P161" i="28"/>
  <c r="P184" i="28"/>
  <c r="P185" i="28" s="1"/>
  <c r="T17" i="28"/>
  <c r="T30" i="28" s="1"/>
  <c r="T14" i="28"/>
  <c r="T18" i="28"/>
  <c r="T31" i="28" s="1"/>
  <c r="U5" i="28"/>
  <c r="T15" i="28"/>
  <c r="T28" i="28" s="1"/>
  <c r="T46" i="28" s="1"/>
  <c r="T73" i="29" s="1"/>
  <c r="T16" i="28"/>
  <c r="T29" i="28" s="1"/>
  <c r="T47" i="28" s="1"/>
  <c r="T83" i="29" s="1"/>
  <c r="T82" i="29" s="1"/>
  <c r="S42" i="38"/>
  <c r="S32" i="38"/>
  <c r="V5" i="29"/>
  <c r="U17" i="29"/>
  <c r="U30" i="29" s="1"/>
  <c r="U18" i="29"/>
  <c r="U31" i="29" s="1"/>
  <c r="U16" i="29"/>
  <c r="U29" i="29" s="1"/>
  <c r="U47" i="29" s="1"/>
  <c r="U14" i="29"/>
  <c r="U15" i="29"/>
  <c r="U28" i="29" s="1"/>
  <c r="U46" i="29" s="1"/>
  <c r="S194" i="42"/>
  <c r="S198" i="42" s="1"/>
  <c r="S193" i="42"/>
  <c r="S197" i="42" s="1"/>
  <c r="S195" i="42"/>
  <c r="S192" i="42"/>
  <c r="S196" i="42" s="1"/>
  <c r="L183" i="29"/>
  <c r="L192" i="29" s="1"/>
  <c r="M70" i="16" s="1"/>
  <c r="M328" i="42"/>
  <c r="O154" i="29"/>
  <c r="O155" i="29"/>
  <c r="DG57" i="55"/>
  <c r="AU57" i="55"/>
  <c r="N148" i="29"/>
  <c r="V5" i="46"/>
  <c r="U14" i="46"/>
  <c r="U15" i="46"/>
  <c r="U28" i="46" s="1"/>
  <c r="U43" i="46" s="1"/>
  <c r="U16" i="46"/>
  <c r="U29" i="46" s="1"/>
  <c r="U44" i="46" s="1"/>
  <c r="U246" i="46" s="1"/>
  <c r="U18" i="46"/>
  <c r="U31" i="46" s="1"/>
  <c r="U17" i="46"/>
  <c r="U30" i="46" s="1"/>
  <c r="U45" i="46" s="1"/>
  <c r="N175" i="29"/>
  <c r="N176" i="29" s="1"/>
  <c r="N178" i="29" s="1"/>
  <c r="O235" i="19"/>
  <c r="O236" i="19"/>
  <c r="Q293" i="42"/>
  <c r="Q294" i="42" s="1"/>
  <c r="Q316" i="42"/>
  <c r="Q317" i="42" s="1"/>
  <c r="D259" i="20"/>
  <c r="D261" i="20" s="1"/>
  <c r="BQ38" i="55" s="1"/>
  <c r="BQ34" i="55"/>
  <c r="AJ34" i="55"/>
  <c r="C227" i="19"/>
  <c r="C247" i="19" s="1"/>
  <c r="AJ42" i="55" s="1"/>
  <c r="D169" i="12"/>
  <c r="D183" i="19"/>
  <c r="C216" i="19"/>
  <c r="C217" i="19" s="1"/>
  <c r="E232" i="12"/>
  <c r="D233" i="12"/>
  <c r="D234" i="12" s="1"/>
  <c r="D233" i="14"/>
  <c r="D234" i="14" s="1"/>
  <c r="E152" i="12"/>
  <c r="E148" i="12"/>
  <c r="E169" i="12" s="1"/>
  <c r="E225" i="12" a="1"/>
  <c r="E233" i="12" s="1"/>
  <c r="E234" i="12" s="1"/>
  <c r="E131" i="14"/>
  <c r="E127" i="14" s="1"/>
  <c r="E227" i="14" s="1"/>
  <c r="D226" i="19"/>
  <c r="CW34" i="55" s="1"/>
  <c r="E149" i="14"/>
  <c r="F105" i="14"/>
  <c r="F228" i="14" s="1"/>
  <c r="F91" i="19"/>
  <c r="G136" i="14" s="1"/>
  <c r="G136" i="12"/>
  <c r="F109" i="14"/>
  <c r="F109" i="12"/>
  <c r="E75" i="19"/>
  <c r="F73" i="19"/>
  <c r="G114" i="14" s="1"/>
  <c r="G114" i="12"/>
  <c r="E153" i="14"/>
  <c r="E151" i="14"/>
  <c r="E150" i="14"/>
  <c r="F110" i="14"/>
  <c r="F108" i="14" s="1"/>
  <c r="F99" i="12"/>
  <c r="E105" i="14"/>
  <c r="E146" i="14"/>
  <c r="E154" i="14"/>
  <c r="D252" i="19"/>
  <c r="G105" i="12"/>
  <c r="G228" i="12" s="1"/>
  <c r="G124" i="19"/>
  <c r="H138" i="14" s="1"/>
  <c r="H138" i="12"/>
  <c r="F113" i="19"/>
  <c r="G106" i="19"/>
  <c r="H103" i="14" s="1"/>
  <c r="H103" i="12"/>
  <c r="F123" i="19"/>
  <c r="G95" i="14"/>
  <c r="F114" i="19"/>
  <c r="F111" i="19"/>
  <c r="F126" i="19"/>
  <c r="H174" i="19"/>
  <c r="G98" i="19"/>
  <c r="E149" i="12"/>
  <c r="E150" i="12"/>
  <c r="E92" i="19"/>
  <c r="E153" i="12"/>
  <c r="E94" i="19"/>
  <c r="H176" i="19"/>
  <c r="E154" i="12"/>
  <c r="E151" i="12"/>
  <c r="E88" i="19"/>
  <c r="E87" i="19"/>
  <c r="H163" i="19"/>
  <c r="H166" i="19"/>
  <c r="H164" i="19"/>
  <c r="H165" i="19"/>
  <c r="E86" i="19"/>
  <c r="E89" i="19"/>
  <c r="E76" i="19"/>
  <c r="E74" i="19"/>
  <c r="F119" i="19"/>
  <c r="E93" i="19"/>
  <c r="E90" i="19"/>
  <c r="F110" i="12"/>
  <c r="F108" i="12" s="1"/>
  <c r="F120" i="19"/>
  <c r="E83" i="19"/>
  <c r="F111" i="14" s="1"/>
  <c r="F107" i="14" s="1"/>
  <c r="F111" i="12"/>
  <c r="F107" i="12" s="1"/>
  <c r="F109" i="19"/>
  <c r="F108" i="19"/>
  <c r="G118" i="19"/>
  <c r="H94" i="14" s="1"/>
  <c r="F79" i="19"/>
  <c r="G104" i="14" s="1"/>
  <c r="G105" i="14" s="1"/>
  <c r="G228" i="14" s="1"/>
  <c r="E80" i="19"/>
  <c r="F106" i="14" s="1"/>
  <c r="F129" i="19"/>
  <c r="E77" i="19"/>
  <c r="E70" i="19"/>
  <c r="F100" i="14" s="1"/>
  <c r="F98" i="14" s="1"/>
  <c r="E71" i="19"/>
  <c r="F101" i="14" s="1"/>
  <c r="E68" i="19"/>
  <c r="F96" i="14" s="1"/>
  <c r="E69" i="19"/>
  <c r="F99" i="14" s="1"/>
  <c r="F180" i="19"/>
  <c r="C296" i="20"/>
  <c r="C297" i="20" s="1"/>
  <c r="C298" i="20"/>
  <c r="D254" i="19"/>
  <c r="D255" i="19" s="1"/>
  <c r="D257" i="19" s="1"/>
  <c r="C254" i="19"/>
  <c r="C255" i="19" s="1"/>
  <c r="C257" i="19" s="1"/>
  <c r="D256" i="19"/>
  <c r="C256" i="19"/>
  <c r="I172" i="19"/>
  <c r="J135" i="14" s="1"/>
  <c r="G131" i="19"/>
  <c r="I216" i="20"/>
  <c r="I218" i="20"/>
  <c r="I215" i="20"/>
  <c r="I173" i="19" s="1"/>
  <c r="I217" i="20"/>
  <c r="I175" i="19" s="1"/>
  <c r="I219" i="20"/>
  <c r="I177" i="19" s="1"/>
  <c r="I202" i="20"/>
  <c r="I203" i="20"/>
  <c r="I205" i="20"/>
  <c r="I204" i="20"/>
  <c r="I206" i="20"/>
  <c r="I167" i="19" s="1"/>
  <c r="H148" i="20"/>
  <c r="H142" i="20"/>
  <c r="H136" i="20"/>
  <c r="H112" i="19" s="1"/>
  <c r="I126" i="14" s="1"/>
  <c r="H130" i="20"/>
  <c r="G145" i="20"/>
  <c r="G121" i="19" s="1"/>
  <c r="G143" i="20"/>
  <c r="G144" i="20"/>
  <c r="G146" i="20"/>
  <c r="G122" i="19" s="1"/>
  <c r="G147" i="20"/>
  <c r="G134" i="20"/>
  <c r="G110" i="19" s="1"/>
  <c r="G135" i="20"/>
  <c r="G132" i="20"/>
  <c r="G133" i="20"/>
  <c r="G131" i="20"/>
  <c r="G107" i="19" s="1"/>
  <c r="G137" i="20"/>
  <c r="G140" i="20"/>
  <c r="G116" i="19" s="1"/>
  <c r="G138" i="20"/>
  <c r="G139" i="20"/>
  <c r="G115" i="19" s="1"/>
  <c r="G141" i="20"/>
  <c r="G117" i="19" s="1"/>
  <c r="G149" i="20"/>
  <c r="G125" i="19" s="1"/>
  <c r="G151" i="20"/>
  <c r="G127" i="19" s="1"/>
  <c r="G152" i="20"/>
  <c r="G128" i="19" s="1"/>
  <c r="G150" i="20"/>
  <c r="G153" i="20"/>
  <c r="F86" i="20"/>
  <c r="F78" i="19" s="1"/>
  <c r="F82" i="20"/>
  <c r="F84" i="20"/>
  <c r="F83" i="20"/>
  <c r="F85" i="20"/>
  <c r="F96" i="20"/>
  <c r="F94" i="20"/>
  <c r="F97" i="20"/>
  <c r="F98" i="20"/>
  <c r="F95" i="20"/>
  <c r="F77" i="20"/>
  <c r="F79" i="20"/>
  <c r="G101" i="12" s="1"/>
  <c r="G97" i="12" s="1"/>
  <c r="F76" i="20"/>
  <c r="G96" i="12" s="1"/>
  <c r="F80" i="20"/>
  <c r="F72" i="19" s="1"/>
  <c r="F78" i="20"/>
  <c r="G100" i="12" s="1"/>
  <c r="G98" i="12" s="1"/>
  <c r="G75" i="20"/>
  <c r="G67" i="19" s="1"/>
  <c r="H93" i="14" s="1"/>
  <c r="G93" i="20"/>
  <c r="G85" i="19" s="1"/>
  <c r="H124" i="14" s="1"/>
  <c r="G81" i="20"/>
  <c r="G87" i="20"/>
  <c r="H104" i="12" s="1"/>
  <c r="G99" i="20"/>
  <c r="F88" i="20"/>
  <c r="G106" i="12" s="1"/>
  <c r="F90" i="20"/>
  <c r="F82" i="19" s="1"/>
  <c r="F89" i="20"/>
  <c r="F81" i="19" s="1"/>
  <c r="F92" i="20"/>
  <c r="F84" i="19" s="1"/>
  <c r="F91" i="20"/>
  <c r="F102" i="20"/>
  <c r="F100" i="20"/>
  <c r="F103" i="20"/>
  <c r="F95" i="19" s="1"/>
  <c r="F101" i="20"/>
  <c r="F104" i="20"/>
  <c r="F96" i="19" s="1"/>
  <c r="J123" i="12"/>
  <c r="I160" i="19"/>
  <c r="I158" i="19"/>
  <c r="F266" i="20"/>
  <c r="F267" i="20"/>
  <c r="F270" i="20"/>
  <c r="F318" i="20"/>
  <c r="F317" i="20"/>
  <c r="I170" i="19"/>
  <c r="H133" i="19"/>
  <c r="H132" i="19"/>
  <c r="H136" i="19"/>
  <c r="I125" i="12"/>
  <c r="H135" i="19"/>
  <c r="H134" i="19"/>
  <c r="D281" i="20"/>
  <c r="D282" i="20"/>
  <c r="H45" i="20"/>
  <c r="H32" i="20"/>
  <c r="BU4" i="55" s="1"/>
  <c r="DA4" i="55" s="1"/>
  <c r="I126" i="12"/>
  <c r="H101" i="19"/>
  <c r="H103" i="19"/>
  <c r="H100" i="19"/>
  <c r="H102" i="19"/>
  <c r="H104" i="19"/>
  <c r="H99" i="19"/>
  <c r="F225" i="20"/>
  <c r="E258" i="20"/>
  <c r="H93" i="12"/>
  <c r="G55" i="19"/>
  <c r="G52" i="19" s="1"/>
  <c r="G62" i="19"/>
  <c r="G50" i="20"/>
  <c r="G221" i="20" s="1"/>
  <c r="G53" i="19"/>
  <c r="G63" i="19"/>
  <c r="G65" i="19"/>
  <c r="G56" i="19"/>
  <c r="G54" i="19"/>
  <c r="G60" i="19"/>
  <c r="G58" i="19"/>
  <c r="G57" i="19"/>
  <c r="H124" i="12"/>
  <c r="G64" i="19"/>
  <c r="G61" i="19"/>
  <c r="H169" i="19"/>
  <c r="I27" i="20"/>
  <c r="I222" i="20"/>
  <c r="I28" i="20"/>
  <c r="I46" i="20" s="1"/>
  <c r="J94" i="12" s="1"/>
  <c r="C277" i="20"/>
  <c r="C278" i="20"/>
  <c r="D284" i="20"/>
  <c r="D289" i="20"/>
  <c r="E42" i="55" s="1"/>
  <c r="D288" i="20"/>
  <c r="E41" i="55" s="1"/>
  <c r="D287" i="20"/>
  <c r="E40" i="55" s="1"/>
  <c r="D285" i="20"/>
  <c r="D286" i="20"/>
  <c r="E39" i="55" s="1"/>
  <c r="G95" i="12"/>
  <c r="F179" i="19"/>
  <c r="E273" i="20"/>
  <c r="E274" i="20"/>
  <c r="E272" i="20"/>
  <c r="E271" i="20"/>
  <c r="H157" i="19"/>
  <c r="J29" i="20"/>
  <c r="J47" i="20" s="1"/>
  <c r="J201" i="20" s="1"/>
  <c r="J162" i="19" s="1"/>
  <c r="K123" i="14" s="1"/>
  <c r="G256" i="20"/>
  <c r="G34" i="20"/>
  <c r="F226" i="14"/>
  <c r="J31" i="20"/>
  <c r="J49" i="20" s="1"/>
  <c r="J214" i="20" s="1"/>
  <c r="K135" i="12" s="1"/>
  <c r="F36" i="20"/>
  <c r="F37" i="20"/>
  <c r="I30" i="20"/>
  <c r="I48" i="20" s="1"/>
  <c r="D276" i="20"/>
  <c r="D275" i="20"/>
  <c r="F226" i="12"/>
  <c r="Q57" i="55" l="1"/>
  <c r="D265" i="20"/>
  <c r="BQ42" i="55" s="1"/>
  <c r="D264" i="20"/>
  <c r="BQ41" i="55" s="1"/>
  <c r="D263" i="20"/>
  <c r="BQ40" i="55" s="1"/>
  <c r="D260" i="20"/>
  <c r="D262" i="20"/>
  <c r="BQ39" i="55" s="1"/>
  <c r="R246" i="42"/>
  <c r="R246" i="38"/>
  <c r="L190" i="29"/>
  <c r="DE58" i="55" s="1"/>
  <c r="C246" i="19"/>
  <c r="AJ41" i="55" s="1"/>
  <c r="Q312" i="42"/>
  <c r="AX86" i="55" s="1"/>
  <c r="Q314" i="42"/>
  <c r="AX88" i="55" s="1"/>
  <c r="Q311" i="42"/>
  <c r="AX85" i="55" s="1"/>
  <c r="Q310" i="42"/>
  <c r="Q313" i="42"/>
  <c r="AX87" i="55" s="1"/>
  <c r="Q309" i="42"/>
  <c r="N182" i="29"/>
  <c r="N183" i="29" s="1"/>
  <c r="N190" i="29" s="1"/>
  <c r="U219" i="46"/>
  <c r="U209" i="46"/>
  <c r="U229" i="46"/>
  <c r="T27" i="28"/>
  <c r="T19" i="28"/>
  <c r="T118" i="28" s="1"/>
  <c r="T139" i="38"/>
  <c r="T140" i="38"/>
  <c r="T138" i="38"/>
  <c r="O164" i="28"/>
  <c r="O167" i="28"/>
  <c r="O166" i="28"/>
  <c r="O165" i="28"/>
  <c r="T211" i="38"/>
  <c r="T210" i="38"/>
  <c r="T214" i="38" s="1"/>
  <c r="T209" i="38"/>
  <c r="T213" i="38" s="1"/>
  <c r="T208" i="38"/>
  <c r="T212" i="38" s="1"/>
  <c r="S50" i="29"/>
  <c r="S145" i="29" s="1"/>
  <c r="K72" i="16"/>
  <c r="AQ34" i="58" s="1"/>
  <c r="J200" i="29"/>
  <c r="K73" i="16" s="1"/>
  <c r="O174" i="29"/>
  <c r="O177" i="29" s="1"/>
  <c r="M186" i="28"/>
  <c r="M187" i="28" s="1"/>
  <c r="M188" i="28"/>
  <c r="M191" i="28" s="1"/>
  <c r="T147" i="48"/>
  <c r="T149" i="46"/>
  <c r="T154" i="46" s="1"/>
  <c r="T150" i="46"/>
  <c r="T155" i="46" s="1"/>
  <c r="T151" i="46"/>
  <c r="T156" i="46" s="1"/>
  <c r="T148" i="46"/>
  <c r="T153" i="46" s="1"/>
  <c r="T152" i="46"/>
  <c r="U83" i="45" s="1"/>
  <c r="V16" i="42"/>
  <c r="V29" i="42" s="1"/>
  <c r="V44" i="42" s="1"/>
  <c r="V222" i="42" s="1"/>
  <c r="V14" i="42"/>
  <c r="V18" i="42"/>
  <c r="V31" i="42" s="1"/>
  <c r="V46" i="42" s="1"/>
  <c r="V237" i="42" s="1"/>
  <c r="V15" i="42"/>
  <c r="V28" i="42" s="1"/>
  <c r="V43" i="42" s="1"/>
  <c r="V17" i="42"/>
  <c r="V30" i="42" s="1"/>
  <c r="V45" i="42" s="1"/>
  <c r="W5" i="42"/>
  <c r="N304" i="38"/>
  <c r="N308" i="38" s="1"/>
  <c r="N305" i="38"/>
  <c r="Q150" i="29"/>
  <c r="Q152" i="29"/>
  <c r="Q153" i="29"/>
  <c r="Q151" i="29"/>
  <c r="R99" i="42"/>
  <c r="R103" i="42" s="1"/>
  <c r="R100" i="42"/>
  <c r="R97" i="42"/>
  <c r="R101" i="42" s="1"/>
  <c r="R98" i="42"/>
  <c r="R102" i="42" s="1"/>
  <c r="O157" i="29"/>
  <c r="O156" i="29"/>
  <c r="V17" i="29"/>
  <c r="V30" i="29" s="1"/>
  <c r="V14" i="29"/>
  <c r="W5" i="29"/>
  <c r="V15" i="29"/>
  <c r="V28" i="29" s="1"/>
  <c r="V46" i="29" s="1"/>
  <c r="V16" i="29"/>
  <c r="V29" i="29" s="1"/>
  <c r="V47" i="29" s="1"/>
  <c r="V18" i="29"/>
  <c r="V31" i="29" s="1"/>
  <c r="U17" i="54"/>
  <c r="U30" i="54" s="1"/>
  <c r="U14" i="54"/>
  <c r="V5" i="54"/>
  <c r="U16" i="54"/>
  <c r="U29" i="54" s="1"/>
  <c r="U44" i="54" s="1"/>
  <c r="U150" i="54" s="1"/>
  <c r="U151" i="54" s="1"/>
  <c r="U18" i="54"/>
  <c r="U31" i="54" s="1"/>
  <c r="U15" i="54"/>
  <c r="U28" i="54" s="1"/>
  <c r="N159" i="29"/>
  <c r="N158" i="29"/>
  <c r="N162" i="29" s="1"/>
  <c r="T87" i="45"/>
  <c r="AZ85" i="45"/>
  <c r="T86" i="45"/>
  <c r="AZ87" i="45"/>
  <c r="AZ86" i="45"/>
  <c r="T85" i="45"/>
  <c r="P306" i="42"/>
  <c r="P307" i="42"/>
  <c r="T192" i="38"/>
  <c r="T196" i="38" s="1"/>
  <c r="T194" i="38"/>
  <c r="T198" i="38" s="1"/>
  <c r="T193" i="38"/>
  <c r="T197" i="38" s="1"/>
  <c r="S34" i="29"/>
  <c r="S135" i="29"/>
  <c r="T247" i="48"/>
  <c r="T252" i="48" s="1"/>
  <c r="T251" i="48"/>
  <c r="T248" i="48"/>
  <c r="T253" i="48" s="1"/>
  <c r="T250" i="48"/>
  <c r="T255" i="48" s="1"/>
  <c r="T249" i="48"/>
  <c r="T254" i="48" s="1"/>
  <c r="Q196" i="29"/>
  <c r="Q197" i="29"/>
  <c r="Q210" i="28"/>
  <c r="Q159" i="28"/>
  <c r="Q211" i="28"/>
  <c r="P161" i="29"/>
  <c r="P160" i="29"/>
  <c r="P172" i="29" s="1"/>
  <c r="S169" i="48"/>
  <c r="S174" i="48" s="1"/>
  <c r="S168" i="48"/>
  <c r="S173" i="48" s="1"/>
  <c r="S171" i="48"/>
  <c r="S176" i="48" s="1"/>
  <c r="S170" i="48"/>
  <c r="S175" i="48" s="1"/>
  <c r="S172" i="48"/>
  <c r="Q133" i="15" a="1"/>
  <c r="Q134" i="15"/>
  <c r="Q140" i="15" s="1"/>
  <c r="Q68" i="15"/>
  <c r="Q77" i="15" s="1"/>
  <c r="CB57" i="55"/>
  <c r="O152" i="28"/>
  <c r="U137" i="42"/>
  <c r="U161" i="42"/>
  <c r="U145" i="42"/>
  <c r="U153" i="42"/>
  <c r="N153" i="28"/>
  <c r="N156" i="28"/>
  <c r="CA63" i="55" s="1"/>
  <c r="N157" i="28"/>
  <c r="CA64" i="55" s="1"/>
  <c r="N154" i="28"/>
  <c r="CA61" i="55" s="1"/>
  <c r="N155" i="28"/>
  <c r="CA62" i="55" s="1"/>
  <c r="N158" i="28"/>
  <c r="CA65" i="55" s="1"/>
  <c r="I72" i="15"/>
  <c r="I34" i="58" s="1"/>
  <c r="H214" i="28"/>
  <c r="I73" i="15" s="1"/>
  <c r="T42" i="42"/>
  <c r="T32" i="42"/>
  <c r="Q299" i="38"/>
  <c r="Q297" i="38"/>
  <c r="Q298" i="38"/>
  <c r="Q296" i="38"/>
  <c r="T32" i="29"/>
  <c r="T45" i="29"/>
  <c r="R293" i="42"/>
  <c r="DK80" i="55" s="1"/>
  <c r="R316" i="42"/>
  <c r="R317" i="42" s="1"/>
  <c r="U250" i="46"/>
  <c r="U255" i="46" s="1"/>
  <c r="U248" i="46"/>
  <c r="U253" i="46" s="1"/>
  <c r="U247" i="46"/>
  <c r="U252" i="46" s="1"/>
  <c r="U246" i="48"/>
  <c r="U249" i="46"/>
  <c r="U254" i="46" s="1"/>
  <c r="U251" i="46"/>
  <c r="V96" i="45" s="1"/>
  <c r="O175" i="29"/>
  <c r="O176" i="29" s="1"/>
  <c r="O178" i="29" s="1"/>
  <c r="S281" i="38"/>
  <c r="S34" i="38"/>
  <c r="T19" i="54"/>
  <c r="T27" i="54"/>
  <c r="T32" i="54" s="1"/>
  <c r="T229" i="48"/>
  <c r="T232" i="46"/>
  <c r="T237" i="46" s="1"/>
  <c r="T231" i="46"/>
  <c r="T236" i="46" s="1"/>
  <c r="T234" i="46"/>
  <c r="U108" i="45" s="1"/>
  <c r="BA108" i="45" s="1"/>
  <c r="T230" i="46"/>
  <c r="T235" i="46" s="1"/>
  <c r="T233" i="46"/>
  <c r="T238" i="46" s="1"/>
  <c r="P300" i="42"/>
  <c r="P301" i="42"/>
  <c r="R67" i="16"/>
  <c r="R46" i="16"/>
  <c r="R66" i="15"/>
  <c r="R59" i="15"/>
  <c r="R135" i="15" s="1"/>
  <c r="V14" i="38"/>
  <c r="V18" i="38"/>
  <c r="V31" i="38" s="1"/>
  <c r="V46" i="38" s="1"/>
  <c r="V237" i="38" s="1"/>
  <c r="V17" i="38"/>
  <c r="V30" i="38" s="1"/>
  <c r="V45" i="38" s="1"/>
  <c r="V16" i="38"/>
  <c r="V29" i="38" s="1"/>
  <c r="V44" i="38" s="1"/>
  <c r="V222" i="38" s="1"/>
  <c r="V15" i="38"/>
  <c r="V28" i="38" s="1"/>
  <c r="V43" i="38" s="1"/>
  <c r="W5" i="38"/>
  <c r="S232" i="48"/>
  <c r="S237" i="48" s="1"/>
  <c r="S231" i="48"/>
  <c r="S236" i="48" s="1"/>
  <c r="S233" i="48"/>
  <c r="S238" i="48" s="1"/>
  <c r="S234" i="48"/>
  <c r="S230" i="48"/>
  <c r="S235" i="48" s="1"/>
  <c r="P236" i="19"/>
  <c r="P235" i="19"/>
  <c r="P151" i="28"/>
  <c r="Q217" i="28"/>
  <c r="S210" i="48"/>
  <c r="S215" i="48" s="1"/>
  <c r="S214" i="48"/>
  <c r="S213" i="48"/>
  <c r="S218" i="48" s="1"/>
  <c r="S211" i="48"/>
  <c r="S216" i="48" s="1"/>
  <c r="S212" i="48"/>
  <c r="S217" i="48" s="1"/>
  <c r="S228" i="19"/>
  <c r="S224" i="19"/>
  <c r="S225" i="19"/>
  <c r="S276" i="19"/>
  <c r="S275" i="19"/>
  <c r="U19" i="42"/>
  <c r="U247" i="42" s="1"/>
  <c r="U27" i="42"/>
  <c r="O302" i="38"/>
  <c r="O303" i="38"/>
  <c r="W5" i="19"/>
  <c r="V17" i="19"/>
  <c r="V30" i="19" s="1"/>
  <c r="V48" i="19" s="1"/>
  <c r="V18" i="19"/>
  <c r="V31" i="19" s="1"/>
  <c r="V49" i="19" s="1"/>
  <c r="V14" i="19"/>
  <c r="V15" i="19"/>
  <c r="V28" i="19" s="1"/>
  <c r="V46" i="19" s="1"/>
  <c r="V16" i="19"/>
  <c r="V29" i="19" s="1"/>
  <c r="V47" i="19" s="1"/>
  <c r="L336" i="42"/>
  <c r="U147" i="46"/>
  <c r="U177" i="46"/>
  <c r="U157" i="46"/>
  <c r="U167" i="46"/>
  <c r="S249" i="38"/>
  <c r="S96" i="38"/>
  <c r="S47" i="38"/>
  <c r="S291" i="38" s="1"/>
  <c r="S80" i="38"/>
  <c r="S72" i="38"/>
  <c r="S73" i="38" s="1"/>
  <c r="S104" i="38"/>
  <c r="O302" i="42"/>
  <c r="O303" i="42"/>
  <c r="Q296" i="42"/>
  <c r="Q297" i="42"/>
  <c r="Q299" i="42"/>
  <c r="Q298" i="42"/>
  <c r="T209" i="48"/>
  <c r="T212" i="46"/>
  <c r="T217" i="46" s="1"/>
  <c r="T214" i="46"/>
  <c r="U89" i="45" s="1"/>
  <c r="T211" i="46"/>
  <c r="T216" i="46" s="1"/>
  <c r="T213" i="46"/>
  <c r="T218" i="46" s="1"/>
  <c r="T210" i="46"/>
  <c r="T215" i="46" s="1"/>
  <c r="S32" i="28"/>
  <c r="S45" i="28"/>
  <c r="V5" i="53"/>
  <c r="U15" i="53"/>
  <c r="U28" i="53" s="1"/>
  <c r="U14" i="53"/>
  <c r="U18" i="53"/>
  <c r="U31" i="53" s="1"/>
  <c r="U17" i="53"/>
  <c r="U30" i="53" s="1"/>
  <c r="U16" i="53"/>
  <c r="U29" i="53" s="1"/>
  <c r="U44" i="53" s="1"/>
  <c r="U150" i="53" s="1"/>
  <c r="U151" i="53" s="1"/>
  <c r="V60" i="51" s="1"/>
  <c r="BB60" i="51" s="1"/>
  <c r="S162" i="48"/>
  <c r="S160" i="48"/>
  <c r="S165" i="48" s="1"/>
  <c r="S161" i="48"/>
  <c r="S166" i="48" s="1"/>
  <c r="S158" i="48"/>
  <c r="S163" i="48" s="1"/>
  <c r="S159" i="48"/>
  <c r="S164" i="48" s="1"/>
  <c r="R146" i="29"/>
  <c r="R149" i="29"/>
  <c r="U19" i="38"/>
  <c r="U247" i="38" s="1"/>
  <c r="U27" i="38"/>
  <c r="Q234" i="19"/>
  <c r="Q233" i="19"/>
  <c r="O318" i="42"/>
  <c r="O319" i="42" s="1"/>
  <c r="O320" i="42"/>
  <c r="O323" i="42" s="1"/>
  <c r="T208" i="42"/>
  <c r="T212" i="42" s="1"/>
  <c r="T211" i="42"/>
  <c r="T209" i="42"/>
  <c r="T213" i="42" s="1"/>
  <c r="T210" i="42"/>
  <c r="T214" i="42" s="1"/>
  <c r="S181" i="48"/>
  <c r="S186" i="48" s="1"/>
  <c r="S179" i="48"/>
  <c r="S184" i="48" s="1"/>
  <c r="S182" i="48"/>
  <c r="S178" i="48"/>
  <c r="S183" i="48" s="1"/>
  <c r="S180" i="48"/>
  <c r="S185" i="48" s="1"/>
  <c r="R216" i="28"/>
  <c r="R59" i="29"/>
  <c r="S44" i="16" s="1"/>
  <c r="S44" i="15"/>
  <c r="R53" i="29"/>
  <c r="S62" i="15"/>
  <c r="S65" i="15" s="1"/>
  <c r="S139" i="15" s="1"/>
  <c r="R60" i="29"/>
  <c r="R57" i="29"/>
  <c r="R62" i="29"/>
  <c r="S62" i="16" s="1"/>
  <c r="S65" i="16" s="1"/>
  <c r="S139" i="16" s="1"/>
  <c r="R61" i="29"/>
  <c r="R54" i="29"/>
  <c r="R55" i="29"/>
  <c r="R52" i="29" s="1"/>
  <c r="R92" i="29" s="1"/>
  <c r="R50" i="28"/>
  <c r="R56" i="29"/>
  <c r="R63" i="29"/>
  <c r="S56" i="16" s="1"/>
  <c r="S56" i="15"/>
  <c r="R117" i="28"/>
  <c r="S34" i="19"/>
  <c r="S214" i="19"/>
  <c r="U191" i="42"/>
  <c r="U199" i="42"/>
  <c r="U207" i="42"/>
  <c r="P306" i="38"/>
  <c r="P318" i="38" s="1"/>
  <c r="P307" i="38"/>
  <c r="J69" i="15"/>
  <c r="J71" i="15" s="1"/>
  <c r="J33" i="58" s="1"/>
  <c r="J58" i="55"/>
  <c r="I208" i="28"/>
  <c r="J61" i="55"/>
  <c r="I213" i="28"/>
  <c r="Q294" i="38"/>
  <c r="P283" i="42"/>
  <c r="P284" i="42" s="1"/>
  <c r="Q250" i="42"/>
  <c r="DJ80" i="55"/>
  <c r="AX80" i="55"/>
  <c r="U19" i="46"/>
  <c r="U275" i="46" s="1"/>
  <c r="U27" i="46"/>
  <c r="U32" i="46" s="1"/>
  <c r="M329" i="42"/>
  <c r="M336" i="42" s="1"/>
  <c r="T85" i="29"/>
  <c r="U55" i="16" s="1"/>
  <c r="U55" i="15"/>
  <c r="T220" i="46"/>
  <c r="T225" i="46" s="1"/>
  <c r="T219" i="48"/>
  <c r="T221" i="46"/>
  <c r="T226" i="46" s="1"/>
  <c r="T224" i="46"/>
  <c r="U99" i="45" s="1"/>
  <c r="BA99" i="45" s="1"/>
  <c r="T223" i="46"/>
  <c r="T228" i="46" s="1"/>
  <c r="T222" i="46"/>
  <c r="T227" i="46" s="1"/>
  <c r="N304" i="42"/>
  <c r="N308" i="42" s="1"/>
  <c r="N305" i="42"/>
  <c r="S249" i="42"/>
  <c r="S96" i="42"/>
  <c r="S72" i="42"/>
  <c r="S104" i="42"/>
  <c r="S47" i="42"/>
  <c r="S291" i="42" s="1"/>
  <c r="S80" i="42"/>
  <c r="T61" i="16"/>
  <c r="S87" i="29"/>
  <c r="R66" i="16"/>
  <c r="R59" i="16"/>
  <c r="R135" i="16" s="1"/>
  <c r="U223" i="38"/>
  <c r="U227" i="38" s="1"/>
  <c r="U224" i="38"/>
  <c r="U228" i="38" s="1"/>
  <c r="U225" i="38"/>
  <c r="U229" i="38" s="1"/>
  <c r="T201" i="42"/>
  <c r="T205" i="42" s="1"/>
  <c r="T202" i="42"/>
  <c r="T206" i="42" s="1"/>
  <c r="T203" i="42"/>
  <c r="T200" i="42"/>
  <c r="T204" i="42" s="1"/>
  <c r="R34" i="28"/>
  <c r="R149" i="28"/>
  <c r="U238" i="42"/>
  <c r="U242" i="42" s="1"/>
  <c r="U241" i="42"/>
  <c r="U239" i="42"/>
  <c r="U243" i="42" s="1"/>
  <c r="U240" i="42"/>
  <c r="U244" i="42" s="1"/>
  <c r="W5" i="20"/>
  <c r="V16" i="20"/>
  <c r="V15" i="20"/>
  <c r="V14" i="20"/>
  <c r="V18" i="20"/>
  <c r="V17" i="20"/>
  <c r="P301" i="38"/>
  <c r="P300" i="38"/>
  <c r="R295" i="38"/>
  <c r="R292" i="38"/>
  <c r="V14" i="48"/>
  <c r="V17" i="48"/>
  <c r="V30" i="48" s="1"/>
  <c r="V45" i="48" s="1"/>
  <c r="W5" i="48"/>
  <c r="V16" i="48"/>
  <c r="V29" i="48" s="1"/>
  <c r="V44" i="48" s="1"/>
  <c r="V18" i="48"/>
  <c r="V31" i="48" s="1"/>
  <c r="V15" i="48"/>
  <c r="V28" i="48" s="1"/>
  <c r="V43" i="48" s="1"/>
  <c r="O287" i="42"/>
  <c r="O286" i="42"/>
  <c r="O290" i="42"/>
  <c r="O288" i="42"/>
  <c r="O289" i="42"/>
  <c r="O285" i="42"/>
  <c r="T146" i="42"/>
  <c r="T150" i="42" s="1"/>
  <c r="T147" i="42"/>
  <c r="T151" i="42" s="1"/>
  <c r="T148" i="42"/>
  <c r="T152" i="42" s="1"/>
  <c r="T149" i="42"/>
  <c r="R84" i="42"/>
  <c r="R82" i="42"/>
  <c r="R86" i="42" s="1"/>
  <c r="R81" i="42"/>
  <c r="R85" i="42" s="1"/>
  <c r="R83" i="42"/>
  <c r="R87" i="42" s="1"/>
  <c r="V16" i="46"/>
  <c r="V29" i="46" s="1"/>
  <c r="V44" i="46" s="1"/>
  <c r="V246" i="46" s="1"/>
  <c r="V15" i="46"/>
  <c r="V28" i="46" s="1"/>
  <c r="V43" i="46" s="1"/>
  <c r="V17" i="46"/>
  <c r="V30" i="46" s="1"/>
  <c r="V45" i="46" s="1"/>
  <c r="V18" i="46"/>
  <c r="V31" i="46" s="1"/>
  <c r="W5" i="46"/>
  <c r="V14" i="46"/>
  <c r="U19" i="29"/>
  <c r="U27" i="29"/>
  <c r="U45" i="15"/>
  <c r="U58" i="15"/>
  <c r="U64" i="15"/>
  <c r="U48" i="15"/>
  <c r="U49" i="15" s="1"/>
  <c r="U136" i="15" s="1"/>
  <c r="T77" i="29"/>
  <c r="U45" i="16" s="1"/>
  <c r="T74" i="29"/>
  <c r="U48" i="16" s="1"/>
  <c r="U49" i="16" s="1"/>
  <c r="U136" i="16" s="1"/>
  <c r="T67" i="29"/>
  <c r="T71" i="29"/>
  <c r="T70" i="29"/>
  <c r="T76" i="29"/>
  <c r="U58" i="16" s="1"/>
  <c r="T78" i="29"/>
  <c r="U64" i="16" s="1"/>
  <c r="T69" i="29"/>
  <c r="T75" i="29"/>
  <c r="T68" i="29"/>
  <c r="T66" i="29"/>
  <c r="T65" i="29" s="1"/>
  <c r="T32" i="19"/>
  <c r="T45" i="19"/>
  <c r="T50" i="19" s="1"/>
  <c r="T162" i="38"/>
  <c r="T166" i="38" s="1"/>
  <c r="T165" i="38"/>
  <c r="U109" i="36" s="1"/>
  <c r="BA109" i="36" s="1"/>
  <c r="T164" i="38"/>
  <c r="T168" i="38" s="1"/>
  <c r="T163" i="38"/>
  <c r="T167" i="38" s="1"/>
  <c r="N169" i="28"/>
  <c r="N168" i="28"/>
  <c r="P170" i="29"/>
  <c r="P171" i="29" s="1"/>
  <c r="P174" i="29" s="1"/>
  <c r="P147" i="29"/>
  <c r="Q36" i="28"/>
  <c r="Q37" i="28"/>
  <c r="S34" i="42"/>
  <c r="S281" i="42"/>
  <c r="L173" i="28"/>
  <c r="L172" i="28"/>
  <c r="L176" i="28" s="1"/>
  <c r="U137" i="38"/>
  <c r="U153" i="38"/>
  <c r="U161" i="38"/>
  <c r="U145" i="38"/>
  <c r="T181" i="46"/>
  <c r="T186" i="46" s="1"/>
  <c r="T180" i="46"/>
  <c r="T185" i="46" s="1"/>
  <c r="T177" i="48"/>
  <c r="T179" i="46"/>
  <c r="T184" i="46" s="1"/>
  <c r="T182" i="46"/>
  <c r="U107" i="45" s="1"/>
  <c r="BA107" i="45" s="1"/>
  <c r="T178" i="46"/>
  <c r="T183" i="46" s="1"/>
  <c r="T194" i="42"/>
  <c r="T198" i="42" s="1"/>
  <c r="T195" i="42"/>
  <c r="T192" i="42"/>
  <c r="T196" i="42" s="1"/>
  <c r="T193" i="42"/>
  <c r="T197" i="42" s="1"/>
  <c r="S197" i="53"/>
  <c r="S34" i="53"/>
  <c r="L196" i="28"/>
  <c r="U226" i="42"/>
  <c r="U223" i="42"/>
  <c r="U227" i="42" s="1"/>
  <c r="U224" i="42"/>
  <c r="U228" i="42" s="1"/>
  <c r="U225" i="42"/>
  <c r="U229" i="42" s="1"/>
  <c r="T42" i="38"/>
  <c r="T32" i="38"/>
  <c r="R37" i="19"/>
  <c r="R36" i="19"/>
  <c r="U19" i="48"/>
  <c r="U275" i="48" s="1"/>
  <c r="U27" i="48"/>
  <c r="U32" i="48" s="1"/>
  <c r="T34" i="46"/>
  <c r="T309" i="46"/>
  <c r="R231" i="19"/>
  <c r="R230" i="19"/>
  <c r="R232" i="19"/>
  <c r="R229" i="19"/>
  <c r="T155" i="42"/>
  <c r="T159" i="42" s="1"/>
  <c r="T156" i="42"/>
  <c r="T160" i="42" s="1"/>
  <c r="T157" i="42"/>
  <c r="T154" i="42"/>
  <c r="T158" i="42" s="1"/>
  <c r="R73" i="42"/>
  <c r="R77" i="42" s="1"/>
  <c r="R76" i="42"/>
  <c r="R74" i="42"/>
  <c r="R78" i="42" s="1"/>
  <c r="R75" i="42"/>
  <c r="R79" i="42" s="1"/>
  <c r="T34" i="48"/>
  <c r="T309" i="48"/>
  <c r="O237" i="19"/>
  <c r="O241" i="19" s="1"/>
  <c r="O238" i="19"/>
  <c r="N167" i="29"/>
  <c r="AU64" i="55" s="1"/>
  <c r="N165" i="29"/>
  <c r="AU62" i="55" s="1"/>
  <c r="N168" i="29"/>
  <c r="AU65" i="55" s="1"/>
  <c r="N164" i="29"/>
  <c r="N166" i="29"/>
  <c r="AU63" i="55" s="1"/>
  <c r="N163" i="29"/>
  <c r="V5" i="28"/>
  <c r="U14" i="28"/>
  <c r="U17" i="28"/>
  <c r="U30" i="28" s="1"/>
  <c r="U18" i="28"/>
  <c r="U31" i="28" s="1"/>
  <c r="U16" i="28"/>
  <c r="U29" i="28" s="1"/>
  <c r="U47" i="28" s="1"/>
  <c r="U15" i="28"/>
  <c r="U28" i="28" s="1"/>
  <c r="U46" i="28" s="1"/>
  <c r="M171" i="28"/>
  <c r="M170" i="28"/>
  <c r="T148" i="38"/>
  <c r="T152" i="38" s="1"/>
  <c r="T149" i="38"/>
  <c r="U100" i="36" s="1"/>
  <c r="BA100" i="36" s="1"/>
  <c r="T147" i="38"/>
  <c r="T151" i="38" s="1"/>
  <c r="T146" i="38"/>
  <c r="T150" i="38" s="1"/>
  <c r="N175" i="28"/>
  <c r="N174" i="28"/>
  <c r="T19" i="53"/>
  <c r="T27" i="53"/>
  <c r="T32" i="53" s="1"/>
  <c r="N140" i="29"/>
  <c r="N142" i="29"/>
  <c r="N144" i="29"/>
  <c r="N139" i="29"/>
  <c r="N141" i="29"/>
  <c r="N143" i="29"/>
  <c r="R67" i="15"/>
  <c r="R46" i="15"/>
  <c r="U239" i="38"/>
  <c r="U243" i="38" s="1"/>
  <c r="U238" i="38"/>
  <c r="U242" i="38" s="1"/>
  <c r="U240" i="38"/>
  <c r="U244" i="38" s="1"/>
  <c r="K58" i="55"/>
  <c r="K69" i="15"/>
  <c r="K71" i="15" s="1"/>
  <c r="K33" i="58" s="1"/>
  <c r="J208" i="28"/>
  <c r="K61" i="55"/>
  <c r="J213" i="28"/>
  <c r="N328" i="42"/>
  <c r="N329" i="42" s="1"/>
  <c r="N338" i="42" s="1"/>
  <c r="Q240" i="19"/>
  <c r="Q239" i="19"/>
  <c r="Q251" i="19" s="1"/>
  <c r="S222" i="48"/>
  <c r="S227" i="48" s="1"/>
  <c r="S221" i="48"/>
  <c r="S226" i="48" s="1"/>
  <c r="S224" i="48"/>
  <c r="S223" i="48"/>
  <c r="S228" i="48" s="1"/>
  <c r="S220" i="48"/>
  <c r="S225" i="48" s="1"/>
  <c r="T160" i="46"/>
  <c r="T165" i="46" s="1"/>
  <c r="T159" i="46"/>
  <c r="T164" i="46" s="1"/>
  <c r="T161" i="46"/>
  <c r="T166" i="46" s="1"/>
  <c r="T162" i="46"/>
  <c r="U98" i="45" s="1"/>
  <c r="BA98" i="45" s="1"/>
  <c r="T158" i="46"/>
  <c r="T163" i="46" s="1"/>
  <c r="T157" i="48"/>
  <c r="R293" i="38"/>
  <c r="S80" i="55" s="1"/>
  <c r="R316" i="38"/>
  <c r="T165" i="42"/>
  <c r="T162" i="42"/>
  <c r="T166" i="42" s="1"/>
  <c r="T163" i="42"/>
  <c r="T167" i="42" s="1"/>
  <c r="T164" i="42"/>
  <c r="T168" i="42" s="1"/>
  <c r="R107" i="42"/>
  <c r="R111" i="42" s="1"/>
  <c r="R105" i="42"/>
  <c r="R109" i="42" s="1"/>
  <c r="R106" i="42"/>
  <c r="R110" i="42" s="1"/>
  <c r="R108" i="42"/>
  <c r="K204" i="28"/>
  <c r="U49" i="29"/>
  <c r="T49" i="28"/>
  <c r="M189" i="28"/>
  <c r="M190" i="28" s="1"/>
  <c r="M192" i="28" s="1"/>
  <c r="T155" i="38"/>
  <c r="T159" i="38" s="1"/>
  <c r="T156" i="38"/>
  <c r="T160" i="38" s="1"/>
  <c r="T154" i="38"/>
  <c r="T158" i="38" s="1"/>
  <c r="T157" i="38"/>
  <c r="U79" i="36" s="1"/>
  <c r="BA79" i="36" s="1"/>
  <c r="O180" i="28"/>
  <c r="P63" i="55" s="1"/>
  <c r="O178" i="28"/>
  <c r="O182" i="28"/>
  <c r="P65" i="55" s="1"/>
  <c r="O179" i="28"/>
  <c r="P62" i="55" s="1"/>
  <c r="O181" i="28"/>
  <c r="P64" i="55" s="1"/>
  <c r="O177" i="28"/>
  <c r="S152" i="48"/>
  <c r="S150" i="48"/>
  <c r="S155" i="48" s="1"/>
  <c r="S151" i="48"/>
  <c r="S156" i="48" s="1"/>
  <c r="S148" i="48"/>
  <c r="S153" i="48" s="1"/>
  <c r="S149" i="48"/>
  <c r="S154" i="48" s="1"/>
  <c r="R36" i="29"/>
  <c r="R37" i="29"/>
  <c r="T202" i="38"/>
  <c r="T206" i="38" s="1"/>
  <c r="T203" i="38"/>
  <c r="U101" i="36" s="1"/>
  <c r="BA101" i="36" s="1"/>
  <c r="T200" i="38"/>
  <c r="T204" i="38" s="1"/>
  <c r="T201" i="38"/>
  <c r="T205" i="38" s="1"/>
  <c r="P104" i="29"/>
  <c r="O137" i="29"/>
  <c r="O138" i="29" s="1"/>
  <c r="DH57" i="55"/>
  <c r="AV57" i="55"/>
  <c r="O148" i="29"/>
  <c r="Q91" i="29"/>
  <c r="Q103" i="29"/>
  <c r="Q184" i="28"/>
  <c r="Q185" i="28" s="1"/>
  <c r="Q161" i="28"/>
  <c r="R57" i="55" s="1"/>
  <c r="U199" i="38"/>
  <c r="U191" i="38"/>
  <c r="U207" i="38"/>
  <c r="P154" i="29"/>
  <c r="P175" i="29" s="1"/>
  <c r="P176" i="29" s="1"/>
  <c r="P155" i="29"/>
  <c r="P163" i="28"/>
  <c r="P162" i="28"/>
  <c r="P160" i="28"/>
  <c r="T170" i="46"/>
  <c r="T175" i="46" s="1"/>
  <c r="T169" i="46"/>
  <c r="T174" i="46" s="1"/>
  <c r="T168" i="46"/>
  <c r="T173" i="46" s="1"/>
  <c r="T167" i="48"/>
  <c r="T171" i="46"/>
  <c r="T176" i="46" s="1"/>
  <c r="T172" i="46"/>
  <c r="U77" i="45" s="1"/>
  <c r="BA77" i="45" s="1"/>
  <c r="Q134" i="16"/>
  <c r="Q140" i="16" s="1"/>
  <c r="Q133" i="16" a="1"/>
  <c r="Q77" i="16"/>
  <c r="Q68" i="16"/>
  <c r="L72" i="16"/>
  <c r="AR34" i="58" s="1"/>
  <c r="K200" i="29"/>
  <c r="L73" i="16" s="1"/>
  <c r="U19" i="19"/>
  <c r="U27" i="19"/>
  <c r="T139" i="42"/>
  <c r="T143" i="42" s="1"/>
  <c r="T140" i="42"/>
  <c r="T144" i="42" s="1"/>
  <c r="T141" i="42"/>
  <c r="T138" i="42"/>
  <c r="T142" i="42" s="1"/>
  <c r="AY80" i="55"/>
  <c r="R294" i="42"/>
  <c r="R295" i="42"/>
  <c r="R292" i="42"/>
  <c r="S197" i="54"/>
  <c r="S34" i="54"/>
  <c r="M183" i="29"/>
  <c r="M192" i="29" s="1"/>
  <c r="N70" i="16" s="1"/>
  <c r="C242" i="19"/>
  <c r="C243" i="19"/>
  <c r="C245" i="19"/>
  <c r="AJ40" i="55" s="1"/>
  <c r="C244" i="19"/>
  <c r="AJ39" i="55" s="1"/>
  <c r="E259" i="20"/>
  <c r="BR34" i="55"/>
  <c r="AK34" i="55"/>
  <c r="D227" i="19"/>
  <c r="D247" i="19" s="1"/>
  <c r="AK42" i="55" s="1"/>
  <c r="E183" i="19"/>
  <c r="D216" i="19"/>
  <c r="D217" i="19" s="1"/>
  <c r="D220" i="19" s="1"/>
  <c r="C220" i="19"/>
  <c r="C219" i="19"/>
  <c r="C223" i="19"/>
  <c r="C222" i="19"/>
  <c r="C218" i="19"/>
  <c r="C221" i="19"/>
  <c r="E152" i="14"/>
  <c r="G99" i="12"/>
  <c r="G109" i="12"/>
  <c r="F97" i="14"/>
  <c r="G91" i="19"/>
  <c r="H136" i="14" s="1"/>
  <c r="H136" i="12"/>
  <c r="F75" i="19"/>
  <c r="E228" i="14"/>
  <c r="E232" i="14" s="1"/>
  <c r="E225" i="14" a="1"/>
  <c r="E148" i="14"/>
  <c r="G73" i="19"/>
  <c r="H114" i="14" s="1"/>
  <c r="H114" i="12"/>
  <c r="G110" i="14"/>
  <c r="G108" i="14" s="1"/>
  <c r="G109" i="14"/>
  <c r="G114" i="19"/>
  <c r="H106" i="19"/>
  <c r="I103" i="14" s="1"/>
  <c r="I103" i="12"/>
  <c r="H95" i="14"/>
  <c r="G123" i="19"/>
  <c r="H124" i="19"/>
  <c r="I138" i="14" s="1"/>
  <c r="I138" i="12"/>
  <c r="H105" i="12"/>
  <c r="H228" i="12" s="1"/>
  <c r="G126" i="19"/>
  <c r="G113" i="19"/>
  <c r="G111" i="19"/>
  <c r="I174" i="19"/>
  <c r="C299" i="20"/>
  <c r="H98" i="19"/>
  <c r="I176" i="19"/>
  <c r="F92" i="19"/>
  <c r="F94" i="19"/>
  <c r="F88" i="19"/>
  <c r="F87" i="19"/>
  <c r="I165" i="19"/>
  <c r="I166" i="19"/>
  <c r="I164" i="19"/>
  <c r="I163" i="19"/>
  <c r="F86" i="19"/>
  <c r="F89" i="19"/>
  <c r="F76" i="19"/>
  <c r="F74" i="19"/>
  <c r="G119" i="19"/>
  <c r="H118" i="19"/>
  <c r="I94" i="14" s="1"/>
  <c r="G120" i="19"/>
  <c r="F93" i="19"/>
  <c r="F83" i="19"/>
  <c r="G111" i="14" s="1"/>
  <c r="G107" i="14" s="1"/>
  <c r="G111" i="12"/>
  <c r="G107" i="12" s="1"/>
  <c r="F90" i="19"/>
  <c r="G109" i="19"/>
  <c r="G110" i="12"/>
  <c r="G108" i="12" s="1"/>
  <c r="G108" i="19"/>
  <c r="G79" i="19"/>
  <c r="H104" i="14" s="1"/>
  <c r="G129" i="19"/>
  <c r="F80" i="19"/>
  <c r="G106" i="14" s="1"/>
  <c r="F77" i="19"/>
  <c r="F70" i="19"/>
  <c r="G100" i="14" s="1"/>
  <c r="G98" i="14" s="1"/>
  <c r="F69" i="19"/>
  <c r="G99" i="14" s="1"/>
  <c r="F68" i="19"/>
  <c r="G96" i="14" s="1"/>
  <c r="F71" i="19"/>
  <c r="G101" i="14" s="1"/>
  <c r="D261" i="19"/>
  <c r="C303" i="20"/>
  <c r="C304" i="20" s="1"/>
  <c r="C311" i="20" s="1"/>
  <c r="C261" i="19"/>
  <c r="C262" i="19" s="1"/>
  <c r="C271" i="19" s="1"/>
  <c r="D156" i="14" s="1"/>
  <c r="D162" i="14" s="1"/>
  <c r="D293" i="20"/>
  <c r="D294" i="20" s="1"/>
  <c r="D295" i="20"/>
  <c r="G180" i="19"/>
  <c r="J172" i="19"/>
  <c r="K135" i="14" s="1"/>
  <c r="H131" i="19"/>
  <c r="J216" i="20"/>
  <c r="J218" i="20"/>
  <c r="J215" i="20"/>
  <c r="J173" i="19" s="1"/>
  <c r="J217" i="20"/>
  <c r="J175" i="19" s="1"/>
  <c r="J219" i="20"/>
  <c r="J177" i="19" s="1"/>
  <c r="J202" i="20"/>
  <c r="J204" i="20"/>
  <c r="J206" i="20"/>
  <c r="J167" i="19" s="1"/>
  <c r="J203" i="20"/>
  <c r="J205" i="20"/>
  <c r="I148" i="20"/>
  <c r="I142" i="20"/>
  <c r="I136" i="20"/>
  <c r="I112" i="19" s="1"/>
  <c r="J126" i="14" s="1"/>
  <c r="I130" i="20"/>
  <c r="H131" i="20"/>
  <c r="H107" i="19" s="1"/>
  <c r="H133" i="20"/>
  <c r="H134" i="20"/>
  <c r="H110" i="19" s="1"/>
  <c r="H135" i="20"/>
  <c r="H132" i="20"/>
  <c r="H138" i="20"/>
  <c r="H140" i="20"/>
  <c r="H116" i="19" s="1"/>
  <c r="H139" i="20"/>
  <c r="H115" i="19" s="1"/>
  <c r="H141" i="20"/>
  <c r="H117" i="19" s="1"/>
  <c r="H137" i="20"/>
  <c r="H144" i="20"/>
  <c r="H145" i="20"/>
  <c r="H121" i="19" s="1"/>
  <c r="H143" i="20"/>
  <c r="H146" i="20"/>
  <c r="H122" i="19" s="1"/>
  <c r="H147" i="20"/>
  <c r="H150" i="20"/>
  <c r="H149" i="20"/>
  <c r="H125" i="19" s="1"/>
  <c r="H152" i="20"/>
  <c r="H128" i="19" s="1"/>
  <c r="H151" i="20"/>
  <c r="H127" i="19" s="1"/>
  <c r="H153" i="20"/>
  <c r="G97" i="20"/>
  <c r="G95" i="20"/>
  <c r="G98" i="20"/>
  <c r="G94" i="20"/>
  <c r="G96" i="20"/>
  <c r="G91" i="20"/>
  <c r="G89" i="20"/>
  <c r="G81" i="19" s="1"/>
  <c r="G88" i="20"/>
  <c r="H106" i="12" s="1"/>
  <c r="G90" i="20"/>
  <c r="G82" i="19" s="1"/>
  <c r="G92" i="20"/>
  <c r="G84" i="19" s="1"/>
  <c r="G100" i="20"/>
  <c r="G104" i="20"/>
  <c r="G96" i="19" s="1"/>
  <c r="G101" i="20"/>
  <c r="G103" i="20"/>
  <c r="G95" i="19" s="1"/>
  <c r="G102" i="20"/>
  <c r="G79" i="20"/>
  <c r="H101" i="12" s="1"/>
  <c r="H97" i="12" s="1"/>
  <c r="G76" i="20"/>
  <c r="H96" i="12" s="1"/>
  <c r="G80" i="20"/>
  <c r="G72" i="19" s="1"/>
  <c r="G77" i="20"/>
  <c r="G78" i="20"/>
  <c r="H100" i="12" s="1"/>
  <c r="H98" i="12" s="1"/>
  <c r="H75" i="20"/>
  <c r="H67" i="19" s="1"/>
  <c r="I93" i="14" s="1"/>
  <c r="H87" i="20"/>
  <c r="I104" i="12" s="1"/>
  <c r="H93" i="20"/>
  <c r="H85" i="19" s="1"/>
  <c r="I124" i="14" s="1"/>
  <c r="H81" i="20"/>
  <c r="H99" i="20"/>
  <c r="G83" i="20"/>
  <c r="G84" i="20"/>
  <c r="G82" i="20"/>
  <c r="G86" i="20"/>
  <c r="G78" i="19" s="1"/>
  <c r="G85" i="20"/>
  <c r="J19" i="20"/>
  <c r="J222" i="20" s="1"/>
  <c r="G226" i="12"/>
  <c r="I99" i="19"/>
  <c r="I100" i="19"/>
  <c r="I104" i="19"/>
  <c r="I101" i="19"/>
  <c r="J126" i="12"/>
  <c r="I103" i="19"/>
  <c r="I102" i="19"/>
  <c r="I45" i="20"/>
  <c r="I32" i="20"/>
  <c r="BV4" i="55" s="1"/>
  <c r="DB4" i="55" s="1"/>
  <c r="G267" i="20"/>
  <c r="G266" i="20"/>
  <c r="G317" i="20"/>
  <c r="G270" i="20"/>
  <c r="G318" i="20"/>
  <c r="E265" i="20"/>
  <c r="BR42" i="55" s="1"/>
  <c r="E261" i="20"/>
  <c r="BR38" i="55" s="1"/>
  <c r="E264" i="20"/>
  <c r="BR41" i="55" s="1"/>
  <c r="E260" i="20"/>
  <c r="E263" i="20"/>
  <c r="BR40" i="55" s="1"/>
  <c r="E262" i="20"/>
  <c r="BR39" i="55" s="1"/>
  <c r="H256" i="20"/>
  <c r="H34" i="20"/>
  <c r="G36" i="20"/>
  <c r="G37" i="20"/>
  <c r="J30" i="20"/>
  <c r="J48" i="20" s="1"/>
  <c r="J170" i="19"/>
  <c r="J28" i="20"/>
  <c r="J46" i="20" s="1"/>
  <c r="K94" i="12" s="1"/>
  <c r="G179" i="19"/>
  <c r="G225" i="20"/>
  <c r="F258" i="20"/>
  <c r="H60" i="19"/>
  <c r="I93" i="12"/>
  <c r="H55" i="19"/>
  <c r="H52" i="19" s="1"/>
  <c r="H62" i="19"/>
  <c r="H50" i="20"/>
  <c r="H221" i="20" s="1"/>
  <c r="H65" i="19"/>
  <c r="H56" i="19"/>
  <c r="H64" i="19"/>
  <c r="H63" i="19"/>
  <c r="H58" i="19"/>
  <c r="H57" i="19"/>
  <c r="H61" i="19"/>
  <c r="I124" i="12"/>
  <c r="H53" i="19"/>
  <c r="H54" i="19"/>
  <c r="F274" i="20"/>
  <c r="F273" i="20"/>
  <c r="F272" i="20"/>
  <c r="F271" i="20"/>
  <c r="I157" i="19"/>
  <c r="D278" i="20"/>
  <c r="D277" i="20"/>
  <c r="G226" i="14"/>
  <c r="K29" i="20"/>
  <c r="K47" i="20" s="1"/>
  <c r="K201" i="20" s="1"/>
  <c r="K162" i="19" s="1"/>
  <c r="L123" i="14" s="1"/>
  <c r="E281" i="20"/>
  <c r="E282" i="20"/>
  <c r="I169" i="19"/>
  <c r="I133" i="19"/>
  <c r="I135" i="19"/>
  <c r="I136" i="19"/>
  <c r="J125" i="12"/>
  <c r="I134" i="19"/>
  <c r="I132" i="19"/>
  <c r="K31" i="20"/>
  <c r="K49" i="20" s="1"/>
  <c r="K214" i="20" s="1"/>
  <c r="L135" i="12" s="1"/>
  <c r="J158" i="19"/>
  <c r="K123" i="12"/>
  <c r="J160" i="19"/>
  <c r="E276" i="20"/>
  <c r="E275" i="20"/>
  <c r="C279" i="20"/>
  <c r="C283" i="20" s="1"/>
  <c r="C280" i="20"/>
  <c r="J27" i="20"/>
  <c r="K19" i="20"/>
  <c r="H95" i="12"/>
  <c r="Q141" i="16" l="1"/>
  <c r="Q142" i="16" s="1"/>
  <c r="S246" i="42"/>
  <c r="M338" i="42"/>
  <c r="AT81" i="55" s="1"/>
  <c r="L199" i="29"/>
  <c r="AS58" i="55"/>
  <c r="M69" i="16"/>
  <c r="M71" i="16" s="1"/>
  <c r="AS33" i="58" s="1"/>
  <c r="AS61" i="55"/>
  <c r="U49" i="28"/>
  <c r="V61" i="15" s="1"/>
  <c r="O182" i="29"/>
  <c r="O183" i="29" s="1"/>
  <c r="O192" i="29" s="1"/>
  <c r="P70" i="16" s="1"/>
  <c r="R298" i="42"/>
  <c r="R299" i="42"/>
  <c r="R297" i="42"/>
  <c r="R296" i="42"/>
  <c r="P167" i="28"/>
  <c r="P164" i="28"/>
  <c r="P166" i="28"/>
  <c r="P165" i="28"/>
  <c r="Q170" i="29"/>
  <c r="Q171" i="29" s="1"/>
  <c r="Q147" i="29"/>
  <c r="L69" i="15"/>
  <c r="L71" i="15" s="1"/>
  <c r="L33" i="58" s="1"/>
  <c r="L58" i="55"/>
  <c r="K208" i="28"/>
  <c r="L61" i="55"/>
  <c r="K213" i="28"/>
  <c r="N186" i="28"/>
  <c r="N187" i="28" s="1"/>
  <c r="N188" i="28"/>
  <c r="N191" i="28" s="1"/>
  <c r="U76" i="29"/>
  <c r="V58" i="16" s="1"/>
  <c r="U78" i="29"/>
  <c r="V64" i="16" s="1"/>
  <c r="U67" i="29"/>
  <c r="U70" i="29"/>
  <c r="V58" i="15"/>
  <c r="U71" i="29"/>
  <c r="V64" i="15"/>
  <c r="U66" i="29"/>
  <c r="U65" i="29" s="1"/>
  <c r="V48" i="15"/>
  <c r="V49" i="15" s="1"/>
  <c r="V136" i="15" s="1"/>
  <c r="U73" i="29"/>
  <c r="V45" i="15"/>
  <c r="U69" i="29"/>
  <c r="U77" i="29"/>
  <c r="V45" i="16" s="1"/>
  <c r="U74" i="29"/>
  <c r="V48" i="16" s="1"/>
  <c r="V49" i="16" s="1"/>
  <c r="V136" i="16" s="1"/>
  <c r="U68" i="29"/>
  <c r="U75" i="29"/>
  <c r="P302" i="38"/>
  <c r="P303" i="38"/>
  <c r="S37" i="19"/>
  <c r="S36" i="19"/>
  <c r="R103" i="29"/>
  <c r="R91" i="29"/>
  <c r="R184" i="28"/>
  <c r="R185" i="28" s="1"/>
  <c r="R161" i="28"/>
  <c r="S216" i="28"/>
  <c r="S61" i="29"/>
  <c r="S63" i="29"/>
  <c r="T56" i="16" s="1"/>
  <c r="S53" i="29"/>
  <c r="S57" i="29"/>
  <c r="S55" i="29"/>
  <c r="S52" i="29" s="1"/>
  <c r="S92" i="29" s="1"/>
  <c r="S60" i="29"/>
  <c r="T44" i="15"/>
  <c r="S54" i="29"/>
  <c r="S62" i="29"/>
  <c r="T62" i="16" s="1"/>
  <c r="T65" i="16" s="1"/>
  <c r="T139" i="16" s="1"/>
  <c r="T56" i="15"/>
  <c r="S56" i="29"/>
  <c r="T62" i="15"/>
  <c r="T65" i="15" s="1"/>
  <c r="T139" i="15" s="1"/>
  <c r="S59" i="29"/>
  <c r="T44" i="16" s="1"/>
  <c r="S50" i="28"/>
  <c r="S117" i="28"/>
  <c r="Q300" i="42"/>
  <c r="Q301" i="42"/>
  <c r="U147" i="48"/>
  <c r="U149" i="46"/>
  <c r="U154" i="46" s="1"/>
  <c r="U151" i="46"/>
  <c r="U156" i="46" s="1"/>
  <c r="U152" i="46"/>
  <c r="V83" i="45" s="1"/>
  <c r="U150" i="46"/>
  <c r="U155" i="46" s="1"/>
  <c r="U148" i="46"/>
  <c r="U153" i="46" s="1"/>
  <c r="X5" i="19"/>
  <c r="W17" i="19"/>
  <c r="W30" i="19" s="1"/>
  <c r="W48" i="19" s="1"/>
  <c r="W14" i="19"/>
  <c r="W18" i="19"/>
  <c r="W31" i="19" s="1"/>
  <c r="W49" i="19" s="1"/>
  <c r="W15" i="19"/>
  <c r="W28" i="19" s="1"/>
  <c r="W46" i="19" s="1"/>
  <c r="W16" i="19"/>
  <c r="W29" i="19" s="1"/>
  <c r="W47" i="19" s="1"/>
  <c r="V27" i="38"/>
  <c r="V19" i="38"/>
  <c r="V247" i="38" s="1"/>
  <c r="Q301" i="38"/>
  <c r="Q300" i="38"/>
  <c r="U141" i="42"/>
  <c r="U140" i="42"/>
  <c r="U144" i="42" s="1"/>
  <c r="U138" i="42"/>
  <c r="U142" i="42" s="1"/>
  <c r="U139" i="42"/>
  <c r="U143" i="42" s="1"/>
  <c r="Q163" i="28"/>
  <c r="Q162" i="28"/>
  <c r="Q160" i="28"/>
  <c r="O69" i="16"/>
  <c r="R312" i="42"/>
  <c r="AY86" i="55" s="1"/>
  <c r="R311" i="42"/>
  <c r="AY85" i="55" s="1"/>
  <c r="R314" i="42"/>
  <c r="AY88" i="55" s="1"/>
  <c r="R313" i="42"/>
  <c r="AY87" i="55" s="1"/>
  <c r="R310" i="42"/>
  <c r="R309" i="42"/>
  <c r="P156" i="29"/>
  <c r="P157" i="29"/>
  <c r="V55" i="15"/>
  <c r="U83" i="29"/>
  <c r="U82" i="29" s="1"/>
  <c r="U147" i="38"/>
  <c r="U151" i="38" s="1"/>
  <c r="U148" i="38"/>
  <c r="U152" i="38" s="1"/>
  <c r="U149" i="38"/>
  <c r="V100" i="36" s="1"/>
  <c r="BB100" i="36" s="1"/>
  <c r="U146" i="38"/>
  <c r="U150" i="38" s="1"/>
  <c r="W14" i="48"/>
  <c r="W17" i="48"/>
  <c r="W30" i="48" s="1"/>
  <c r="W45" i="48" s="1"/>
  <c r="W18" i="48"/>
  <c r="W31" i="48" s="1"/>
  <c r="W16" i="48"/>
  <c r="W29" i="48" s="1"/>
  <c r="W44" i="48" s="1"/>
  <c r="X5" i="48"/>
  <c r="W15" i="48"/>
  <c r="W28" i="48" s="1"/>
  <c r="W43" i="48" s="1"/>
  <c r="R152" i="29"/>
  <c r="R151" i="29"/>
  <c r="R153" i="29"/>
  <c r="R150" i="29"/>
  <c r="S149" i="28"/>
  <c r="S34" i="28"/>
  <c r="Q307" i="42"/>
  <c r="Q306" i="42"/>
  <c r="R217" i="28"/>
  <c r="Q151" i="28"/>
  <c r="O158" i="28"/>
  <c r="CB65" i="55" s="1"/>
  <c r="O156" i="28"/>
  <c r="CB63" i="55" s="1"/>
  <c r="O154" i="28"/>
  <c r="CB61" i="55" s="1"/>
  <c r="O153" i="28"/>
  <c r="O157" i="28"/>
  <c r="CB64" i="55" s="1"/>
  <c r="O155" i="28"/>
  <c r="CB62" i="55" s="1"/>
  <c r="U86" i="45"/>
  <c r="U87" i="45"/>
  <c r="BA87" i="45"/>
  <c r="U85" i="45"/>
  <c r="BA85" i="45"/>
  <c r="BA86" i="45"/>
  <c r="N192" i="29"/>
  <c r="DG58" i="55" s="1"/>
  <c r="T170" i="48"/>
  <c r="T175" i="48" s="1"/>
  <c r="T168" i="48"/>
  <c r="T173" i="48" s="1"/>
  <c r="T169" i="48"/>
  <c r="T174" i="48" s="1"/>
  <c r="T172" i="48"/>
  <c r="T171" i="48"/>
  <c r="T176" i="48" s="1"/>
  <c r="P178" i="29"/>
  <c r="O163" i="29"/>
  <c r="O166" i="29"/>
  <c r="AV63" i="55" s="1"/>
  <c r="O168" i="29"/>
  <c r="AV65" i="55" s="1"/>
  <c r="O167" i="29"/>
  <c r="AV64" i="55" s="1"/>
  <c r="O165" i="29"/>
  <c r="AV62" i="55" s="1"/>
  <c r="O164" i="29"/>
  <c r="R239" i="19"/>
  <c r="R251" i="19" s="1"/>
  <c r="R240" i="19"/>
  <c r="U164" i="38"/>
  <c r="U168" i="38" s="1"/>
  <c r="U165" i="38"/>
  <c r="V109" i="36" s="1"/>
  <c r="BB109" i="36" s="1"/>
  <c r="U163" i="38"/>
  <c r="U167" i="38" s="1"/>
  <c r="U162" i="38"/>
  <c r="U166" i="38" s="1"/>
  <c r="V19" i="46"/>
  <c r="V275" i="46" s="1"/>
  <c r="V27" i="46"/>
  <c r="V32" i="46" s="1"/>
  <c r="S81" i="42"/>
  <c r="S85" i="42" s="1"/>
  <c r="S82" i="42"/>
  <c r="S86" i="42" s="1"/>
  <c r="S84" i="42"/>
  <c r="S83" i="42"/>
  <c r="S87" i="42" s="1"/>
  <c r="Q283" i="42"/>
  <c r="Q284" i="42" s="1"/>
  <c r="R250" i="42"/>
  <c r="S66" i="15"/>
  <c r="S59" i="15"/>
  <c r="S135" i="15" s="1"/>
  <c r="O328" i="42"/>
  <c r="O329" i="42" s="1"/>
  <c r="O336" i="42" s="1"/>
  <c r="S295" i="38"/>
  <c r="S292" i="38"/>
  <c r="DE81" i="55"/>
  <c r="AS81" i="55"/>
  <c r="AS84" i="55"/>
  <c r="L340" i="42"/>
  <c r="L345" i="42"/>
  <c r="O305" i="38"/>
  <c r="O304" i="38"/>
  <c r="O308" i="38" s="1"/>
  <c r="CC57" i="55"/>
  <c r="P152" i="28"/>
  <c r="Q307" i="38"/>
  <c r="Q306" i="38"/>
  <c r="Q318" i="38" s="1"/>
  <c r="S36" i="29"/>
  <c r="S37" i="29"/>
  <c r="W15" i="29"/>
  <c r="W28" i="29" s="1"/>
  <c r="W46" i="29" s="1"/>
  <c r="W14" i="29"/>
  <c r="W16" i="29"/>
  <c r="W29" i="29" s="1"/>
  <c r="W47" i="29" s="1"/>
  <c r="W18" i="29"/>
  <c r="W31" i="29" s="1"/>
  <c r="W17" i="29"/>
  <c r="W30" i="29" s="1"/>
  <c r="X5" i="29"/>
  <c r="X5" i="42"/>
  <c r="W15" i="42"/>
  <c r="W28" i="42" s="1"/>
  <c r="W43" i="42" s="1"/>
  <c r="W16" i="42"/>
  <c r="W29" i="42" s="1"/>
  <c r="W44" i="42" s="1"/>
  <c r="W222" i="42" s="1"/>
  <c r="W14" i="42"/>
  <c r="W17" i="42"/>
  <c r="W30" i="42" s="1"/>
  <c r="W45" i="42" s="1"/>
  <c r="W18" i="42"/>
  <c r="W31" i="42" s="1"/>
  <c r="W46" i="42" s="1"/>
  <c r="W237" i="42" s="1"/>
  <c r="M190" i="29"/>
  <c r="U210" i="38"/>
  <c r="U214" i="38" s="1"/>
  <c r="U209" i="38"/>
  <c r="U213" i="38" s="1"/>
  <c r="U208" i="38"/>
  <c r="U212" i="38" s="1"/>
  <c r="U211" i="38"/>
  <c r="T160" i="48"/>
  <c r="T165" i="48" s="1"/>
  <c r="T162" i="48"/>
  <c r="T159" i="48"/>
  <c r="T164" i="48" s="1"/>
  <c r="T161" i="48"/>
  <c r="T166" i="48" s="1"/>
  <c r="T158" i="48"/>
  <c r="T163" i="48" s="1"/>
  <c r="N336" i="42"/>
  <c r="T34" i="38"/>
  <c r="T281" i="38"/>
  <c r="L197" i="28"/>
  <c r="L206" i="28" s="1"/>
  <c r="M70" i="15" s="1"/>
  <c r="U156" i="38"/>
  <c r="U160" i="38" s="1"/>
  <c r="U154" i="38"/>
  <c r="U158" i="38" s="1"/>
  <c r="U155" i="38"/>
  <c r="U159" i="38" s="1"/>
  <c r="U157" i="38"/>
  <c r="V79" i="36" s="1"/>
  <c r="BB79" i="36" s="1"/>
  <c r="DI57" i="55"/>
  <c r="AW57" i="55"/>
  <c r="P148" i="29"/>
  <c r="T275" i="19"/>
  <c r="T224" i="19"/>
  <c r="T225" i="19"/>
  <c r="T228" i="19"/>
  <c r="T276" i="19"/>
  <c r="X5" i="46"/>
  <c r="W15" i="46"/>
  <c r="W28" i="46" s="1"/>
  <c r="W43" i="46" s="1"/>
  <c r="W14" i="46"/>
  <c r="W17" i="46"/>
  <c r="W30" i="46" s="1"/>
  <c r="W45" i="46" s="1"/>
  <c r="W18" i="46"/>
  <c r="W31" i="46" s="1"/>
  <c r="W16" i="46"/>
  <c r="W29" i="46" s="1"/>
  <c r="W44" i="46" s="1"/>
  <c r="W246" i="46" s="1"/>
  <c r="V19" i="48"/>
  <c r="V275" i="48" s="1"/>
  <c r="V27" i="48"/>
  <c r="V32" i="48" s="1"/>
  <c r="S295" i="42"/>
  <c r="S292" i="42"/>
  <c r="P287" i="42"/>
  <c r="P285" i="42"/>
  <c r="P288" i="42"/>
  <c r="P289" i="42"/>
  <c r="P290" i="42"/>
  <c r="P286" i="42"/>
  <c r="S59" i="16"/>
  <c r="S135" i="16" s="1"/>
  <c r="S66" i="16"/>
  <c r="S232" i="19"/>
  <c r="S231" i="19"/>
  <c r="S229" i="19"/>
  <c r="S230" i="19"/>
  <c r="P238" i="19"/>
  <c r="P237" i="19"/>
  <c r="P241" i="19" s="1"/>
  <c r="W17" i="38"/>
  <c r="W30" i="38" s="1"/>
  <c r="W45" i="38" s="1"/>
  <c r="W15" i="38"/>
  <c r="W28" i="38" s="1"/>
  <c r="W43" i="38" s="1"/>
  <c r="W16" i="38"/>
  <c r="W29" i="38" s="1"/>
  <c r="W44" i="38" s="1"/>
  <c r="W222" i="38" s="1"/>
  <c r="W14" i="38"/>
  <c r="W18" i="38"/>
  <c r="W31" i="38" s="1"/>
  <c r="W46" i="38" s="1"/>
  <c r="W237" i="38" s="1"/>
  <c r="X5" i="38"/>
  <c r="R68" i="16"/>
  <c r="R134" i="16"/>
  <c r="R140" i="16" s="1"/>
  <c r="R133" i="16" a="1"/>
  <c r="R77" i="16"/>
  <c r="T34" i="42"/>
  <c r="T281" i="42"/>
  <c r="V19" i="29"/>
  <c r="V27" i="29"/>
  <c r="V207" i="42"/>
  <c r="V191" i="42"/>
  <c r="V199" i="42"/>
  <c r="T32" i="28"/>
  <c r="T45" i="28"/>
  <c r="U193" i="38"/>
  <c r="U197" i="38" s="1"/>
  <c r="U192" i="38"/>
  <c r="U196" i="38" s="1"/>
  <c r="U194" i="38"/>
  <c r="U198" i="38" s="1"/>
  <c r="R196" i="29"/>
  <c r="R197" i="29"/>
  <c r="U19" i="28"/>
  <c r="U118" i="28" s="1"/>
  <c r="U27" i="28"/>
  <c r="R233" i="19"/>
  <c r="R234" i="19"/>
  <c r="T249" i="38"/>
  <c r="T47" i="38"/>
  <c r="T291" i="38" s="1"/>
  <c r="T80" i="38"/>
  <c r="T72" i="38"/>
  <c r="T73" i="38" s="1"/>
  <c r="T96" i="38"/>
  <c r="T104" i="38"/>
  <c r="U139" i="38"/>
  <c r="U140" i="38"/>
  <c r="U138" i="38"/>
  <c r="P177" i="29"/>
  <c r="T34" i="19"/>
  <c r="T214" i="19"/>
  <c r="U32" i="29"/>
  <c r="U45" i="29"/>
  <c r="S108" i="42"/>
  <c r="S107" i="42"/>
  <c r="S111" i="42" s="1"/>
  <c r="S106" i="42"/>
  <c r="S110" i="42" s="1"/>
  <c r="S105" i="42"/>
  <c r="S109" i="42" s="1"/>
  <c r="Q314" i="38"/>
  <c r="R88" i="55" s="1"/>
  <c r="Q313" i="38"/>
  <c r="R87" i="55" s="1"/>
  <c r="Q312" i="38"/>
  <c r="R86" i="55" s="1"/>
  <c r="Q311" i="38"/>
  <c r="R85" i="55" s="1"/>
  <c r="Q310" i="38"/>
  <c r="Q309" i="38"/>
  <c r="U208" i="42"/>
  <c r="U212" i="42" s="1"/>
  <c r="U210" i="42"/>
  <c r="U214" i="42" s="1"/>
  <c r="U211" i="42"/>
  <c r="U209" i="42"/>
  <c r="U213" i="42" s="1"/>
  <c r="U19" i="53"/>
  <c r="U27" i="53"/>
  <c r="U32" i="53" s="1"/>
  <c r="S293" i="38"/>
  <c r="T80" i="55" s="1"/>
  <c r="S316" i="38"/>
  <c r="U42" i="42"/>
  <c r="U32" i="42"/>
  <c r="V137" i="38"/>
  <c r="V161" i="38"/>
  <c r="V145" i="38"/>
  <c r="V153" i="38"/>
  <c r="T232" i="48"/>
  <c r="T237" i="48" s="1"/>
  <c r="T230" i="48"/>
  <c r="T235" i="48" s="1"/>
  <c r="T234" i="48"/>
  <c r="T231" i="48"/>
  <c r="T236" i="48" s="1"/>
  <c r="T233" i="48"/>
  <c r="T238" i="48" s="1"/>
  <c r="T249" i="42"/>
  <c r="T47" i="42"/>
  <c r="T291" i="42" s="1"/>
  <c r="T80" i="42"/>
  <c r="T104" i="42"/>
  <c r="T72" i="42"/>
  <c r="T96" i="42"/>
  <c r="V17" i="54"/>
  <c r="V30" i="54" s="1"/>
  <c r="V14" i="54"/>
  <c r="W5" i="54"/>
  <c r="V16" i="54"/>
  <c r="V29" i="54" s="1"/>
  <c r="V44" i="54" s="1"/>
  <c r="V150" i="54" s="1"/>
  <c r="V151" i="54" s="1"/>
  <c r="V18" i="54"/>
  <c r="V31" i="54" s="1"/>
  <c r="V15" i="54"/>
  <c r="V28" i="54" s="1"/>
  <c r="Q160" i="29"/>
  <c r="Q172" i="29" s="1"/>
  <c r="Q173" i="29" s="1"/>
  <c r="Q161" i="29"/>
  <c r="V137" i="42"/>
  <c r="V161" i="42"/>
  <c r="V153" i="42"/>
  <c r="V145" i="42"/>
  <c r="O168" i="28"/>
  <c r="O169" i="28"/>
  <c r="U233" i="46"/>
  <c r="U238" i="46" s="1"/>
  <c r="U229" i="48"/>
  <c r="U232" i="46"/>
  <c r="U237" i="46" s="1"/>
  <c r="U234" i="46"/>
  <c r="V108" i="45" s="1"/>
  <c r="BB108" i="45" s="1"/>
  <c r="U231" i="46"/>
  <c r="U236" i="46" s="1"/>
  <c r="U230" i="46"/>
  <c r="U235" i="46" s="1"/>
  <c r="U200" i="38"/>
  <c r="U204" i="38" s="1"/>
  <c r="U203" i="38"/>
  <c r="V101" i="36" s="1"/>
  <c r="BB101" i="36" s="1"/>
  <c r="U201" i="38"/>
  <c r="U205" i="38" s="1"/>
  <c r="U202" i="38"/>
  <c r="U206" i="38" s="1"/>
  <c r="O139" i="29"/>
  <c r="O141" i="29"/>
  <c r="O143" i="29"/>
  <c r="O140" i="29"/>
  <c r="O142" i="29"/>
  <c r="O144" i="29"/>
  <c r="U61" i="15"/>
  <c r="T88" i="29"/>
  <c r="K72" i="15"/>
  <c r="K34" i="58" s="1"/>
  <c r="J214" i="28"/>
  <c r="K73" i="15" s="1"/>
  <c r="R134" i="15"/>
  <c r="R140" i="15" s="1"/>
  <c r="R68" i="15"/>
  <c r="R77" i="15" s="1"/>
  <c r="R133" i="15" a="1"/>
  <c r="W5" i="28"/>
  <c r="V15" i="28"/>
  <c r="V28" i="28" s="1"/>
  <c r="V46" i="28" s="1"/>
  <c r="V18" i="28"/>
  <c r="V31" i="28" s="1"/>
  <c r="V14" i="28"/>
  <c r="V16" i="28"/>
  <c r="V29" i="28" s="1"/>
  <c r="V47" i="28" s="1"/>
  <c r="V83" i="29" s="1"/>
  <c r="V82" i="29" s="1"/>
  <c r="V17" i="28"/>
  <c r="V30" i="28" s="1"/>
  <c r="N189" i="28"/>
  <c r="N190" i="28" s="1"/>
  <c r="V229" i="46"/>
  <c r="V219" i="46"/>
  <c r="V209" i="46"/>
  <c r="R294" i="38"/>
  <c r="R37" i="28"/>
  <c r="R36" i="28"/>
  <c r="S76" i="42"/>
  <c r="S73" i="42"/>
  <c r="S77" i="42" s="1"/>
  <c r="S74" i="42"/>
  <c r="S78" i="42" s="1"/>
  <c r="S75" i="42"/>
  <c r="S79" i="42" s="1"/>
  <c r="DF81" i="55"/>
  <c r="M340" i="42"/>
  <c r="AT84" i="55"/>
  <c r="M345" i="42"/>
  <c r="J72" i="15"/>
  <c r="J34" i="58" s="1"/>
  <c r="I214" i="28"/>
  <c r="J73" i="15" s="1"/>
  <c r="U200" i="42"/>
  <c r="U204" i="42" s="1"/>
  <c r="U201" i="42"/>
  <c r="U205" i="42" s="1"/>
  <c r="U202" i="42"/>
  <c r="U206" i="42" s="1"/>
  <c r="U203" i="42"/>
  <c r="R159" i="28"/>
  <c r="R211" i="28"/>
  <c r="R210" i="28"/>
  <c r="Q236" i="19"/>
  <c r="Q235" i="19"/>
  <c r="O304" i="42"/>
  <c r="O308" i="42" s="1"/>
  <c r="O305" i="42"/>
  <c r="U167" i="48"/>
  <c r="U171" i="46"/>
  <c r="U176" i="46" s="1"/>
  <c r="U172" i="46"/>
  <c r="V77" i="45" s="1"/>
  <c r="BB77" i="45" s="1"/>
  <c r="U169" i="46"/>
  <c r="U174" i="46" s="1"/>
  <c r="U170" i="46"/>
  <c r="U175" i="46" s="1"/>
  <c r="U168" i="46"/>
  <c r="U173" i="46" s="1"/>
  <c r="V19" i="19"/>
  <c r="V27" i="19"/>
  <c r="V225" i="38"/>
  <c r="V229" i="38" s="1"/>
  <c r="V223" i="38"/>
  <c r="V227" i="38" s="1"/>
  <c r="V224" i="38"/>
  <c r="V228" i="38" s="1"/>
  <c r="P302" i="42"/>
  <c r="P303" i="42"/>
  <c r="T34" i="54"/>
  <c r="T197" i="54"/>
  <c r="T50" i="29"/>
  <c r="T145" i="29" s="1"/>
  <c r="U157" i="42"/>
  <c r="U156" i="42"/>
  <c r="U160" i="42" s="1"/>
  <c r="U154" i="42"/>
  <c r="U158" i="42" s="1"/>
  <c r="U155" i="42"/>
  <c r="U159" i="42" s="1"/>
  <c r="P173" i="29"/>
  <c r="U19" i="54"/>
  <c r="U27" i="54"/>
  <c r="U32" i="54" s="1"/>
  <c r="O158" i="29"/>
  <c r="O162" i="29" s="1"/>
  <c r="O159" i="29"/>
  <c r="Q155" i="29"/>
  <c r="Q154" i="29"/>
  <c r="V239" i="42"/>
  <c r="V243" i="42" s="1"/>
  <c r="V240" i="42"/>
  <c r="V244" i="42" s="1"/>
  <c r="V238" i="42"/>
  <c r="V242" i="42" s="1"/>
  <c r="V241" i="42"/>
  <c r="T148" i="48"/>
  <c r="T153" i="48" s="1"/>
  <c r="T151" i="48"/>
  <c r="T156" i="48" s="1"/>
  <c r="T150" i="48"/>
  <c r="T155" i="48" s="1"/>
  <c r="T149" i="48"/>
  <c r="T154" i="48" s="1"/>
  <c r="T152" i="48"/>
  <c r="O175" i="28"/>
  <c r="O174" i="28"/>
  <c r="U209" i="48"/>
  <c r="U213" i="46"/>
  <c r="U218" i="46" s="1"/>
  <c r="U212" i="46"/>
  <c r="U217" i="46" s="1"/>
  <c r="U211" i="46"/>
  <c r="U216" i="46" s="1"/>
  <c r="U214" i="46"/>
  <c r="V89" i="45" s="1"/>
  <c r="U210" i="46"/>
  <c r="U215" i="46" s="1"/>
  <c r="P137" i="29"/>
  <c r="P138" i="29" s="1"/>
  <c r="Q104" i="29"/>
  <c r="T34" i="53"/>
  <c r="T197" i="53"/>
  <c r="M172" i="28"/>
  <c r="M176" i="28" s="1"/>
  <c r="M173" i="28"/>
  <c r="U85" i="29"/>
  <c r="V55" i="16" s="1"/>
  <c r="T180" i="48"/>
  <c r="T185" i="48" s="1"/>
  <c r="T179" i="48"/>
  <c r="T184" i="48" s="1"/>
  <c r="T178" i="48"/>
  <c r="T183" i="48" s="1"/>
  <c r="T181" i="48"/>
  <c r="T186" i="48" s="1"/>
  <c r="T182" i="48"/>
  <c r="N170" i="28"/>
  <c r="N171" i="28"/>
  <c r="M72" i="16"/>
  <c r="AS34" i="58" s="1"/>
  <c r="L200" i="29"/>
  <c r="M73" i="16" s="1"/>
  <c r="V147" i="46"/>
  <c r="V167" i="46"/>
  <c r="V157" i="46"/>
  <c r="V177" i="46"/>
  <c r="R298" i="38"/>
  <c r="R299" i="38"/>
  <c r="R296" i="38"/>
  <c r="R297" i="38"/>
  <c r="X5" i="20"/>
  <c r="W16" i="20"/>
  <c r="W15" i="20"/>
  <c r="W14" i="20"/>
  <c r="W17" i="20"/>
  <c r="W18" i="20"/>
  <c r="S98" i="42"/>
  <c r="S102" i="42" s="1"/>
  <c r="S100" i="42"/>
  <c r="S97" i="42"/>
  <c r="S101" i="42" s="1"/>
  <c r="S99" i="42"/>
  <c r="S103" i="42" s="1"/>
  <c r="U34" i="46"/>
  <c r="U309" i="46"/>
  <c r="U192" i="42"/>
  <c r="U196" i="42" s="1"/>
  <c r="U194" i="42"/>
  <c r="U198" i="42" s="1"/>
  <c r="U193" i="42"/>
  <c r="U197" i="42" s="1"/>
  <c r="U195" i="42"/>
  <c r="S67" i="15"/>
  <c r="S46" i="15"/>
  <c r="U42" i="38"/>
  <c r="U32" i="38"/>
  <c r="V18" i="53"/>
  <c r="V31" i="53" s="1"/>
  <c r="W5" i="53"/>
  <c r="V14" i="53"/>
  <c r="V15" i="53"/>
  <c r="V28" i="53" s="1"/>
  <c r="V16" i="53"/>
  <c r="V29" i="53" s="1"/>
  <c r="V44" i="53" s="1"/>
  <c r="V150" i="53" s="1"/>
  <c r="V151" i="53" s="1"/>
  <c r="W60" i="51" s="1"/>
  <c r="BC60" i="51" s="1"/>
  <c r="V17" i="53"/>
  <c r="V30" i="53" s="1"/>
  <c r="S246" i="38"/>
  <c r="U160" i="46"/>
  <c r="U165" i="46" s="1"/>
  <c r="U158" i="46"/>
  <c r="U163" i="46" s="1"/>
  <c r="U162" i="46"/>
  <c r="V98" i="45" s="1"/>
  <c r="BB98" i="45" s="1"/>
  <c r="U157" i="48"/>
  <c r="U159" i="46"/>
  <c r="U164" i="46" s="1"/>
  <c r="U161" i="46"/>
  <c r="U166" i="46" s="1"/>
  <c r="V207" i="38"/>
  <c r="V191" i="38"/>
  <c r="V199" i="38"/>
  <c r="T34" i="29"/>
  <c r="T135" i="29"/>
  <c r="U146" i="42"/>
  <c r="U150" i="42" s="1"/>
  <c r="U149" i="42"/>
  <c r="U147" i="42"/>
  <c r="U151" i="42" s="1"/>
  <c r="U148" i="42"/>
  <c r="U152" i="42" s="1"/>
  <c r="Q141" i="15"/>
  <c r="Q142" i="15" s="1"/>
  <c r="V19" i="42"/>
  <c r="V247" i="42" s="1"/>
  <c r="V27" i="42"/>
  <c r="S149" i="29"/>
  <c r="S146" i="29"/>
  <c r="U223" i="46"/>
  <c r="U228" i="46" s="1"/>
  <c r="U219" i="48"/>
  <c r="U224" i="46"/>
  <c r="V99" i="45" s="1"/>
  <c r="BB99" i="45" s="1"/>
  <c r="U221" i="46"/>
  <c r="U226" i="46" s="1"/>
  <c r="U222" i="46"/>
  <c r="U227" i="46" s="1"/>
  <c r="U220" i="46"/>
  <c r="U225" i="46" s="1"/>
  <c r="U32" i="19"/>
  <c r="U45" i="19"/>
  <c r="U50" i="19" s="1"/>
  <c r="P179" i="28"/>
  <c r="Q62" i="55" s="1"/>
  <c r="P180" i="28"/>
  <c r="Q63" i="55" s="1"/>
  <c r="P178" i="28"/>
  <c r="P182" i="28"/>
  <c r="Q65" i="55" s="1"/>
  <c r="P181" i="28"/>
  <c r="Q64" i="55" s="1"/>
  <c r="P177" i="28"/>
  <c r="U309" i="48"/>
  <c r="U34" i="48"/>
  <c r="V247" i="46"/>
  <c r="V252" i="46" s="1"/>
  <c r="V249" i="46"/>
  <c r="V254" i="46" s="1"/>
  <c r="V248" i="46"/>
  <c r="V253" i="46" s="1"/>
  <c r="V251" i="46"/>
  <c r="W96" i="45" s="1"/>
  <c r="V246" i="48"/>
  <c r="V250" i="46"/>
  <c r="V255" i="46" s="1"/>
  <c r="S293" i="42"/>
  <c r="S294" i="42" s="1"/>
  <c r="S316" i="42"/>
  <c r="S317" i="42" s="1"/>
  <c r="T221" i="48"/>
  <c r="T226" i="48" s="1"/>
  <c r="T220" i="48"/>
  <c r="T225" i="48" s="1"/>
  <c r="T222" i="48"/>
  <c r="T227" i="48" s="1"/>
  <c r="T223" i="48"/>
  <c r="T228" i="48" s="1"/>
  <c r="T224" i="48"/>
  <c r="S67" i="16"/>
  <c r="S46" i="16"/>
  <c r="T212" i="48"/>
  <c r="T217" i="48" s="1"/>
  <c r="T213" i="48"/>
  <c r="T218" i="48" s="1"/>
  <c r="T210" i="48"/>
  <c r="T215" i="48" s="1"/>
  <c r="T211" i="48"/>
  <c r="T216" i="48" s="1"/>
  <c r="T214" i="48"/>
  <c r="U179" i="46"/>
  <c r="U184" i="46" s="1"/>
  <c r="U182" i="46"/>
  <c r="V107" i="45" s="1"/>
  <c r="BB107" i="45" s="1"/>
  <c r="U180" i="46"/>
  <c r="U185" i="46" s="1"/>
  <c r="U178" i="46"/>
  <c r="U183" i="46" s="1"/>
  <c r="U181" i="46"/>
  <c r="U186" i="46" s="1"/>
  <c r="U177" i="48"/>
  <c r="V239" i="38"/>
  <c r="V243" i="38" s="1"/>
  <c r="V240" i="38"/>
  <c r="V244" i="38" s="1"/>
  <c r="V238" i="38"/>
  <c r="V242" i="38" s="1"/>
  <c r="O321" i="42"/>
  <c r="O322" i="42" s="1"/>
  <c r="O324" i="42" s="1"/>
  <c r="U251" i="48"/>
  <c r="U247" i="48"/>
  <c r="U252" i="48" s="1"/>
  <c r="U249" i="48"/>
  <c r="U254" i="48" s="1"/>
  <c r="U250" i="48"/>
  <c r="U255" i="48" s="1"/>
  <c r="U248" i="48"/>
  <c r="U253" i="48" s="1"/>
  <c r="U164" i="42"/>
  <c r="U168" i="42" s="1"/>
  <c r="U165" i="42"/>
  <c r="U163" i="42"/>
  <c r="U167" i="42" s="1"/>
  <c r="U162" i="42"/>
  <c r="U166" i="42" s="1"/>
  <c r="P318" i="42"/>
  <c r="P319" i="42" s="1"/>
  <c r="P320" i="42"/>
  <c r="P323" i="42" s="1"/>
  <c r="V49" i="29"/>
  <c r="V226" i="42"/>
  <c r="V224" i="42"/>
  <c r="V228" i="42" s="1"/>
  <c r="V225" i="42"/>
  <c r="V229" i="42" s="1"/>
  <c r="V223" i="42"/>
  <c r="V227" i="42" s="1"/>
  <c r="M196" i="28"/>
  <c r="N199" i="29"/>
  <c r="D246" i="19"/>
  <c r="AK41" i="55" s="1"/>
  <c r="D243" i="19"/>
  <c r="D242" i="19"/>
  <c r="D244" i="19"/>
  <c r="AK39" i="55" s="1"/>
  <c r="D245" i="19"/>
  <c r="AK40" i="55" s="1"/>
  <c r="F259" i="20"/>
  <c r="F264" i="20" s="1"/>
  <c r="BS41" i="55" s="1"/>
  <c r="BS34" i="55"/>
  <c r="D218" i="19"/>
  <c r="D223" i="19"/>
  <c r="D221" i="19"/>
  <c r="D219" i="19"/>
  <c r="D222" i="19"/>
  <c r="F183" i="19"/>
  <c r="E216" i="19"/>
  <c r="E233" i="14"/>
  <c r="E234" i="14" s="1"/>
  <c r="H73" i="19"/>
  <c r="I114" i="14" s="1"/>
  <c r="I114" i="12"/>
  <c r="H110" i="14"/>
  <c r="H108" i="14" s="1"/>
  <c r="H109" i="12"/>
  <c r="H105" i="14"/>
  <c r="H228" i="14" s="1"/>
  <c r="G75" i="19"/>
  <c r="G97" i="14"/>
  <c r="H99" i="12"/>
  <c r="H91" i="19"/>
  <c r="I136" i="14" s="1"/>
  <c r="I136" i="12"/>
  <c r="I105" i="12"/>
  <c r="I228" i="12" s="1"/>
  <c r="H109" i="14"/>
  <c r="H126" i="19"/>
  <c r="H123" i="19"/>
  <c r="I106" i="19"/>
  <c r="J103" i="14" s="1"/>
  <c r="J103" i="12"/>
  <c r="H113" i="19"/>
  <c r="H114" i="19"/>
  <c r="H111" i="19"/>
  <c r="I124" i="19"/>
  <c r="J138" i="14" s="1"/>
  <c r="J138" i="12"/>
  <c r="I95" i="14"/>
  <c r="J174" i="19"/>
  <c r="D160" i="14"/>
  <c r="D155" i="12"/>
  <c r="D158" i="14"/>
  <c r="I98" i="19"/>
  <c r="J176" i="19"/>
  <c r="G94" i="19"/>
  <c r="G92" i="19"/>
  <c r="G88" i="19"/>
  <c r="G87" i="19"/>
  <c r="J166" i="19"/>
  <c r="J163" i="19"/>
  <c r="J164" i="19"/>
  <c r="J165" i="19"/>
  <c r="G86" i="19"/>
  <c r="G89" i="19"/>
  <c r="G74" i="19"/>
  <c r="G76" i="19"/>
  <c r="H119" i="19"/>
  <c r="H108" i="19"/>
  <c r="H110" i="12"/>
  <c r="H108" i="12" s="1"/>
  <c r="G93" i="19"/>
  <c r="G90" i="19"/>
  <c r="H120" i="19"/>
  <c r="G83" i="19"/>
  <c r="H111" i="14" s="1"/>
  <c r="H107" i="14" s="1"/>
  <c r="H111" i="12"/>
  <c r="H107" i="12" s="1"/>
  <c r="H109" i="19"/>
  <c r="I118" i="19"/>
  <c r="J94" i="14" s="1"/>
  <c r="G77" i="19"/>
  <c r="H79" i="19"/>
  <c r="I104" i="14" s="1"/>
  <c r="I105" i="14" s="1"/>
  <c r="I228" i="14" s="1"/>
  <c r="G80" i="19"/>
  <c r="H106" i="14" s="1"/>
  <c r="H129" i="19"/>
  <c r="G68" i="19"/>
  <c r="H96" i="14" s="1"/>
  <c r="G70" i="19"/>
  <c r="H100" i="14" s="1"/>
  <c r="H98" i="14" s="1"/>
  <c r="G71" i="19"/>
  <c r="H101" i="14" s="1"/>
  <c r="G69" i="19"/>
  <c r="H99" i="14" s="1"/>
  <c r="C269" i="19"/>
  <c r="D262" i="19"/>
  <c r="D271" i="19" s="1"/>
  <c r="E156" i="14" s="1"/>
  <c r="E162" i="14" s="1"/>
  <c r="E160" i="14" s="1"/>
  <c r="E293" i="20"/>
  <c r="D298" i="20"/>
  <c r="D296" i="20"/>
  <c r="D297" i="20" s="1"/>
  <c r="D299" i="20" s="1"/>
  <c r="H180" i="19"/>
  <c r="K172" i="19"/>
  <c r="L135" i="14" s="1"/>
  <c r="I131" i="19"/>
  <c r="K215" i="20"/>
  <c r="K173" i="19" s="1"/>
  <c r="K217" i="20"/>
  <c r="K175" i="19" s="1"/>
  <c r="K216" i="20"/>
  <c r="K218" i="20"/>
  <c r="K219" i="20"/>
  <c r="K177" i="19" s="1"/>
  <c r="K203" i="20"/>
  <c r="K202" i="20"/>
  <c r="K204" i="20"/>
  <c r="K206" i="20"/>
  <c r="K167" i="19" s="1"/>
  <c r="K205" i="20"/>
  <c r="J148" i="20"/>
  <c r="J142" i="20"/>
  <c r="J136" i="20"/>
  <c r="J112" i="19" s="1"/>
  <c r="K126" i="14" s="1"/>
  <c r="J130" i="20"/>
  <c r="I137" i="20"/>
  <c r="I141" i="20"/>
  <c r="I117" i="19" s="1"/>
  <c r="I138" i="20"/>
  <c r="I139" i="20"/>
  <c r="I115" i="19" s="1"/>
  <c r="I140" i="20"/>
  <c r="I116" i="19" s="1"/>
  <c r="I131" i="20"/>
  <c r="I107" i="19" s="1"/>
  <c r="I133" i="20"/>
  <c r="I132" i="20"/>
  <c r="I134" i="20"/>
  <c r="I110" i="19" s="1"/>
  <c r="I135" i="20"/>
  <c r="I144" i="20"/>
  <c r="I145" i="20"/>
  <c r="I121" i="19" s="1"/>
  <c r="I143" i="20"/>
  <c r="I146" i="20"/>
  <c r="I122" i="19" s="1"/>
  <c r="I147" i="20"/>
  <c r="I151" i="20"/>
  <c r="I127" i="19" s="1"/>
  <c r="I152" i="20"/>
  <c r="I128" i="19" s="1"/>
  <c r="I149" i="20"/>
  <c r="I125" i="19" s="1"/>
  <c r="I150" i="20"/>
  <c r="I153" i="20"/>
  <c r="I75" i="20"/>
  <c r="I67" i="19" s="1"/>
  <c r="J93" i="14" s="1"/>
  <c r="I99" i="20"/>
  <c r="I81" i="20"/>
  <c r="I93" i="20"/>
  <c r="I85" i="19" s="1"/>
  <c r="J124" i="14" s="1"/>
  <c r="I87" i="20"/>
  <c r="J104" i="12" s="1"/>
  <c r="H94" i="20"/>
  <c r="H95" i="20"/>
  <c r="H97" i="20"/>
  <c r="H98" i="20"/>
  <c r="H96" i="20"/>
  <c r="H90" i="20"/>
  <c r="H82" i="19" s="1"/>
  <c r="H91" i="20"/>
  <c r="H88" i="20"/>
  <c r="I106" i="12" s="1"/>
  <c r="H89" i="20"/>
  <c r="H81" i="19" s="1"/>
  <c r="H92" i="20"/>
  <c r="H84" i="19" s="1"/>
  <c r="H84" i="20"/>
  <c r="H85" i="20"/>
  <c r="H83" i="20"/>
  <c r="H86" i="20"/>
  <c r="H78" i="19" s="1"/>
  <c r="H82" i="20"/>
  <c r="H103" i="20"/>
  <c r="H95" i="19" s="1"/>
  <c r="H102" i="20"/>
  <c r="H100" i="20"/>
  <c r="H101" i="20"/>
  <c r="H104" i="20"/>
  <c r="H96" i="19" s="1"/>
  <c r="H78" i="20"/>
  <c r="I100" i="12" s="1"/>
  <c r="I98" i="12" s="1"/>
  <c r="H77" i="20"/>
  <c r="H79" i="20"/>
  <c r="I101" i="12" s="1"/>
  <c r="I97" i="12" s="1"/>
  <c r="H80" i="20"/>
  <c r="H72" i="19" s="1"/>
  <c r="H76" i="20"/>
  <c r="I96" i="12" s="1"/>
  <c r="L29" i="20"/>
  <c r="L47" i="20" s="1"/>
  <c r="L201" i="20" s="1"/>
  <c r="L162" i="19" s="1"/>
  <c r="M123" i="14" s="1"/>
  <c r="J32" i="20"/>
  <c r="BW4" i="55" s="1"/>
  <c r="DC4" i="55" s="1"/>
  <c r="J45" i="20"/>
  <c r="E278" i="20"/>
  <c r="E277" i="20"/>
  <c r="L31" i="20"/>
  <c r="L49" i="20" s="1"/>
  <c r="L214" i="20" s="1"/>
  <c r="M135" i="12" s="1"/>
  <c r="D279" i="20"/>
  <c r="D283" i="20" s="1"/>
  <c r="D280" i="20"/>
  <c r="H179" i="19"/>
  <c r="J103" i="19"/>
  <c r="J100" i="19"/>
  <c r="J99" i="19"/>
  <c r="K126" i="12"/>
  <c r="J102" i="19"/>
  <c r="J104" i="19"/>
  <c r="J101" i="19"/>
  <c r="J169" i="19"/>
  <c r="G273" i="20"/>
  <c r="G274" i="20"/>
  <c r="G271" i="20"/>
  <c r="G272" i="20"/>
  <c r="H226" i="14"/>
  <c r="I62" i="19"/>
  <c r="I55" i="19"/>
  <c r="I52" i="19" s="1"/>
  <c r="J93" i="12"/>
  <c r="I50" i="20"/>
  <c r="I63" i="19"/>
  <c r="I54" i="19"/>
  <c r="I58" i="19"/>
  <c r="I57" i="19"/>
  <c r="I65" i="19"/>
  <c r="J124" i="12"/>
  <c r="I56" i="19"/>
  <c r="I60" i="19"/>
  <c r="I53" i="19"/>
  <c r="I64" i="19"/>
  <c r="I61" i="19"/>
  <c r="H226" i="12"/>
  <c r="K27" i="20"/>
  <c r="K222" i="20"/>
  <c r="C313" i="20"/>
  <c r="D35" i="55" s="1"/>
  <c r="K170" i="19"/>
  <c r="H225" i="20"/>
  <c r="G258" i="20"/>
  <c r="K28" i="20"/>
  <c r="K46" i="20" s="1"/>
  <c r="L94" i="12" s="1"/>
  <c r="K160" i="19"/>
  <c r="K158" i="19"/>
  <c r="L123" i="12"/>
  <c r="F276" i="20"/>
  <c r="F275" i="20"/>
  <c r="H318" i="20"/>
  <c r="H266" i="20"/>
  <c r="H317" i="20"/>
  <c r="H267" i="20"/>
  <c r="H270" i="20"/>
  <c r="I95" i="12"/>
  <c r="J134" i="19"/>
  <c r="J133" i="19"/>
  <c r="J136" i="19"/>
  <c r="K125" i="12"/>
  <c r="J135" i="19"/>
  <c r="J132" i="19"/>
  <c r="H37" i="20"/>
  <c r="H36" i="20"/>
  <c r="J157" i="19"/>
  <c r="F281" i="20"/>
  <c r="F282" i="20"/>
  <c r="K30" i="20"/>
  <c r="K48" i="20" s="1"/>
  <c r="I256" i="20"/>
  <c r="I34" i="20"/>
  <c r="U88" i="29" l="1"/>
  <c r="F263" i="20"/>
  <c r="BS40" i="55" s="1"/>
  <c r="F260" i="20"/>
  <c r="F262" i="20"/>
  <c r="BS39" i="55" s="1"/>
  <c r="R141" i="15"/>
  <c r="R142" i="15" s="1"/>
  <c r="R141" i="16"/>
  <c r="R142" i="16" s="1"/>
  <c r="T246" i="42"/>
  <c r="S314" i="42"/>
  <c r="AZ88" i="55" s="1"/>
  <c r="S310" i="42"/>
  <c r="S311" i="42"/>
  <c r="AZ85" i="55" s="1"/>
  <c r="S312" i="42"/>
  <c r="AZ86" i="55" s="1"/>
  <c r="S309" i="42"/>
  <c r="S313" i="42"/>
  <c r="AZ87" i="55" s="1"/>
  <c r="V251" i="48"/>
  <c r="V250" i="48"/>
  <c r="V255" i="48" s="1"/>
  <c r="V247" i="48"/>
  <c r="V252" i="48" s="1"/>
  <c r="V249" i="48"/>
  <c r="V254" i="48" s="1"/>
  <c r="V248" i="48"/>
  <c r="V253" i="48" s="1"/>
  <c r="V211" i="38"/>
  <c r="V210" i="38"/>
  <c r="V214" i="38" s="1"/>
  <c r="V209" i="38"/>
  <c r="V213" i="38" s="1"/>
  <c r="V208" i="38"/>
  <c r="V212" i="38" s="1"/>
  <c r="S133" i="15" a="1"/>
  <c r="S134" i="15"/>
  <c r="S140" i="15" s="1"/>
  <c r="S68" i="15"/>
  <c r="S77" i="15" s="1"/>
  <c r="V167" i="48"/>
  <c r="V171" i="46"/>
  <c r="V176" i="46" s="1"/>
  <c r="V170" i="46"/>
  <c r="V175" i="46" s="1"/>
  <c r="V169" i="46"/>
  <c r="V174" i="46" s="1"/>
  <c r="V168" i="46"/>
  <c r="V173" i="46" s="1"/>
  <c r="V172" i="46"/>
  <c r="W77" i="45" s="1"/>
  <c r="BC77" i="45" s="1"/>
  <c r="U211" i="48"/>
  <c r="U216" i="48" s="1"/>
  <c r="U213" i="48"/>
  <c r="U218" i="48" s="1"/>
  <c r="U214" i="48"/>
  <c r="U212" i="48"/>
  <c r="U217" i="48" s="1"/>
  <c r="U210" i="48"/>
  <c r="U215" i="48" s="1"/>
  <c r="U34" i="54"/>
  <c r="U197" i="54"/>
  <c r="T149" i="29"/>
  <c r="T146" i="29"/>
  <c r="V32" i="19"/>
  <c r="V45" i="19"/>
  <c r="V50" i="19" s="1"/>
  <c r="V210" i="46"/>
  <c r="V215" i="46" s="1"/>
  <c r="V209" i="48"/>
  <c r="V214" i="46"/>
  <c r="W89" i="45" s="1"/>
  <c r="V212" i="46"/>
  <c r="V217" i="46" s="1"/>
  <c r="V213" i="46"/>
  <c r="V218" i="46" s="1"/>
  <c r="V211" i="46"/>
  <c r="V216" i="46" s="1"/>
  <c r="W45" i="15"/>
  <c r="W58" i="15"/>
  <c r="W64" i="15"/>
  <c r="W48" i="15"/>
  <c r="W49" i="15" s="1"/>
  <c r="W136" i="15" s="1"/>
  <c r="V71" i="29"/>
  <c r="V75" i="29"/>
  <c r="V74" i="29"/>
  <c r="W48" i="16" s="1"/>
  <c r="W49" i="16" s="1"/>
  <c r="W136" i="16" s="1"/>
  <c r="V66" i="29"/>
  <c r="V65" i="29" s="1"/>
  <c r="V73" i="29"/>
  <c r="V78" i="29"/>
  <c r="W64" i="16" s="1"/>
  <c r="V76" i="29"/>
  <c r="W58" i="16" s="1"/>
  <c r="V70" i="29"/>
  <c r="V69" i="29"/>
  <c r="V67" i="29"/>
  <c r="V77" i="29"/>
  <c r="W45" i="16" s="1"/>
  <c r="U61" i="16"/>
  <c r="T87" i="29"/>
  <c r="V141" i="42"/>
  <c r="V138" i="42"/>
  <c r="V142" i="42" s="1"/>
  <c r="V140" i="42"/>
  <c r="V144" i="42" s="1"/>
  <c r="V139" i="42"/>
  <c r="V143" i="42" s="1"/>
  <c r="V162" i="38"/>
  <c r="V166" i="38" s="1"/>
  <c r="V164" i="38"/>
  <c r="V168" i="38" s="1"/>
  <c r="V165" i="38"/>
  <c r="W109" i="36" s="1"/>
  <c r="BC109" i="36" s="1"/>
  <c r="V163" i="38"/>
  <c r="V167" i="38" s="1"/>
  <c r="U135" i="29"/>
  <c r="U34" i="29"/>
  <c r="U32" i="28"/>
  <c r="U45" i="28"/>
  <c r="T216" i="28"/>
  <c r="T59" i="29"/>
  <c r="U44" i="16" s="1"/>
  <c r="U44" i="15"/>
  <c r="T50" i="28"/>
  <c r="T117" i="28" s="1"/>
  <c r="T54" i="29"/>
  <c r="U56" i="15"/>
  <c r="T56" i="29"/>
  <c r="T53" i="29"/>
  <c r="T63" i="29"/>
  <c r="U56" i="16" s="1"/>
  <c r="T60" i="29"/>
  <c r="T57" i="29"/>
  <c r="T62" i="29"/>
  <c r="U62" i="16" s="1"/>
  <c r="T55" i="29"/>
  <c r="T52" i="29" s="1"/>
  <c r="T61" i="29"/>
  <c r="U62" i="15"/>
  <c r="W239" i="38"/>
  <c r="W243" i="38" s="1"/>
  <c r="W240" i="38"/>
  <c r="W244" i="38" s="1"/>
  <c r="W238" i="38"/>
  <c r="W242" i="38" s="1"/>
  <c r="W223" i="42"/>
  <c r="W227" i="42" s="1"/>
  <c r="W224" i="42"/>
  <c r="W228" i="42" s="1"/>
  <c r="W225" i="42"/>
  <c r="W229" i="42" s="1"/>
  <c r="W226" i="42"/>
  <c r="S297" i="38"/>
  <c r="S299" i="38"/>
  <c r="S298" i="38"/>
  <c r="S296" i="38"/>
  <c r="R161" i="29"/>
  <c r="R160" i="29"/>
  <c r="R172" i="29" s="1"/>
  <c r="W19" i="48"/>
  <c r="W275" i="48" s="1"/>
  <c r="W27" i="48"/>
  <c r="W32" i="48" s="1"/>
  <c r="P175" i="28"/>
  <c r="P174" i="28"/>
  <c r="U276" i="19"/>
  <c r="U275" i="19"/>
  <c r="U225" i="19"/>
  <c r="U228" i="19"/>
  <c r="U224" i="19"/>
  <c r="X14" i="20"/>
  <c r="X17" i="20"/>
  <c r="X18" i="20"/>
  <c r="Y5" i="20"/>
  <c r="X16" i="20"/>
  <c r="X15" i="20"/>
  <c r="V151" i="46"/>
  <c r="V156" i="46" s="1"/>
  <c r="V149" i="46"/>
  <c r="V154" i="46" s="1"/>
  <c r="V152" i="46"/>
  <c r="W83" i="45" s="1"/>
  <c r="V147" i="48"/>
  <c r="V150" i="46"/>
  <c r="V155" i="46" s="1"/>
  <c r="V148" i="46"/>
  <c r="V153" i="46" s="1"/>
  <c r="R104" i="29"/>
  <c r="Q137" i="29"/>
  <c r="Q138" i="29" s="1"/>
  <c r="O186" i="28"/>
  <c r="O187" i="28" s="1"/>
  <c r="O188" i="28"/>
  <c r="O191" i="28" s="1"/>
  <c r="V222" i="46"/>
  <c r="V227" i="46" s="1"/>
  <c r="V224" i="46"/>
  <c r="W99" i="45" s="1"/>
  <c r="BC99" i="45" s="1"/>
  <c r="V220" i="46"/>
  <c r="V225" i="46" s="1"/>
  <c r="V223" i="46"/>
  <c r="V228" i="46" s="1"/>
  <c r="V221" i="46"/>
  <c r="V226" i="46" s="1"/>
  <c r="V219" i="48"/>
  <c r="W15" i="28"/>
  <c r="W28" i="28" s="1"/>
  <c r="W46" i="28" s="1"/>
  <c r="W66" i="29" s="1"/>
  <c r="W65" i="29" s="1"/>
  <c r="W17" i="28"/>
  <c r="W30" i="28" s="1"/>
  <c r="W16" i="28"/>
  <c r="W29" i="28" s="1"/>
  <c r="W47" i="28" s="1"/>
  <c r="X5" i="28"/>
  <c r="W18" i="28"/>
  <c r="W31" i="28" s="1"/>
  <c r="W14" i="28"/>
  <c r="U65" i="15"/>
  <c r="U139" i="15" s="1"/>
  <c r="U232" i="48"/>
  <c r="U237" i="48" s="1"/>
  <c r="U230" i="48"/>
  <c r="U235" i="48" s="1"/>
  <c r="U234" i="48"/>
  <c r="U233" i="48"/>
  <c r="U238" i="48" s="1"/>
  <c r="U231" i="48"/>
  <c r="U236" i="48" s="1"/>
  <c r="V138" i="38"/>
  <c r="V140" i="38"/>
  <c r="V139" i="38"/>
  <c r="T34" i="28"/>
  <c r="T149" i="28"/>
  <c r="W19" i="38"/>
  <c r="W247" i="38" s="1"/>
  <c r="W27" i="38"/>
  <c r="S233" i="19"/>
  <c r="S234" i="19"/>
  <c r="W248" i="46"/>
  <c r="W253" i="46" s="1"/>
  <c r="W247" i="46"/>
  <c r="W252" i="46" s="1"/>
  <c r="W251" i="46"/>
  <c r="X96" i="45" s="1"/>
  <c r="W246" i="48"/>
  <c r="W249" i="46"/>
  <c r="W254" i="46" s="1"/>
  <c r="W250" i="46"/>
  <c r="W255" i="46" s="1"/>
  <c r="T230" i="19"/>
  <c r="T232" i="19"/>
  <c r="T231" i="19"/>
  <c r="T229" i="19"/>
  <c r="DG81" i="55"/>
  <c r="AU81" i="55"/>
  <c r="N340" i="42"/>
  <c r="AU84" i="55"/>
  <c r="N345" i="42"/>
  <c r="W137" i="42"/>
  <c r="W161" i="42"/>
  <c r="W145" i="42"/>
  <c r="W153" i="42"/>
  <c r="AS126" i="36"/>
  <c r="AS39" i="58" s="1"/>
  <c r="L346" i="42"/>
  <c r="AS127" i="36" s="1"/>
  <c r="CD57" i="55"/>
  <c r="Q152" i="28"/>
  <c r="P158" i="29"/>
  <c r="P162" i="29" s="1"/>
  <c r="P159" i="29"/>
  <c r="W19" i="19"/>
  <c r="W27" i="19"/>
  <c r="U148" i="48"/>
  <c r="U153" i="48" s="1"/>
  <c r="U150" i="48"/>
  <c r="U155" i="48" s="1"/>
  <c r="U149" i="48"/>
  <c r="U154" i="48" s="1"/>
  <c r="U152" i="48"/>
  <c r="U151" i="48"/>
  <c r="U156" i="48" s="1"/>
  <c r="T66" i="15"/>
  <c r="T59" i="15"/>
  <c r="T135" i="15" s="1"/>
  <c r="T66" i="16"/>
  <c r="T59" i="16"/>
  <c r="T135" i="16" s="1"/>
  <c r="U34" i="19"/>
  <c r="U214" i="19"/>
  <c r="P140" i="29"/>
  <c r="P142" i="29"/>
  <c r="P144" i="29"/>
  <c r="P139" i="29"/>
  <c r="P141" i="29"/>
  <c r="P143" i="29"/>
  <c r="Q238" i="19"/>
  <c r="Q237" i="19"/>
  <c r="Q241" i="19" s="1"/>
  <c r="V229" i="48"/>
  <c r="V232" i="46"/>
  <c r="V237" i="46" s="1"/>
  <c r="V230" i="46"/>
  <c r="V235" i="46" s="1"/>
  <c r="V233" i="46"/>
  <c r="V238" i="46" s="1"/>
  <c r="V231" i="46"/>
  <c r="V236" i="46" s="1"/>
  <c r="V234" i="46"/>
  <c r="W108" i="45" s="1"/>
  <c r="BC108" i="45" s="1"/>
  <c r="T99" i="42"/>
  <c r="T103" i="42" s="1"/>
  <c r="T98" i="42"/>
  <c r="T102" i="42" s="1"/>
  <c r="T100" i="42"/>
  <c r="T97" i="42"/>
  <c r="T101" i="42" s="1"/>
  <c r="U281" i="42"/>
  <c r="U34" i="42"/>
  <c r="T37" i="19"/>
  <c r="T36" i="19"/>
  <c r="V201" i="42"/>
  <c r="V205" i="42" s="1"/>
  <c r="V203" i="42"/>
  <c r="V200" i="42"/>
  <c r="V204" i="42" s="1"/>
  <c r="V202" i="42"/>
  <c r="V206" i="42" s="1"/>
  <c r="W225" i="38"/>
  <c r="W229" i="38" s="1"/>
  <c r="W223" i="38"/>
  <c r="W227" i="38" s="1"/>
  <c r="W224" i="38"/>
  <c r="W228" i="38" s="1"/>
  <c r="S239" i="19"/>
  <c r="S251" i="19" s="1"/>
  <c r="S240" i="19"/>
  <c r="Y5" i="42"/>
  <c r="X17" i="42"/>
  <c r="X30" i="42" s="1"/>
  <c r="X45" i="42" s="1"/>
  <c r="X15" i="42"/>
  <c r="X28" i="42" s="1"/>
  <c r="X43" i="42" s="1"/>
  <c r="X18" i="42"/>
  <c r="X31" i="42" s="1"/>
  <c r="X46" i="42" s="1"/>
  <c r="X237" i="42" s="1"/>
  <c r="X16" i="42"/>
  <c r="X29" i="42" s="1"/>
  <c r="X44" i="42" s="1"/>
  <c r="X222" i="42" s="1"/>
  <c r="X14" i="42"/>
  <c r="S196" i="29"/>
  <c r="S197" i="29"/>
  <c r="O338" i="42"/>
  <c r="O345" i="42" s="1"/>
  <c r="AV126" i="36" s="1"/>
  <c r="AV39" i="58" s="1"/>
  <c r="V68" i="29"/>
  <c r="S217" i="28"/>
  <c r="R151" i="28"/>
  <c r="R154" i="29"/>
  <c r="R155" i="29"/>
  <c r="Q302" i="42"/>
  <c r="Q303" i="42"/>
  <c r="S103" i="29"/>
  <c r="S91" i="29"/>
  <c r="U180" i="48"/>
  <c r="U185" i="48" s="1"/>
  <c r="U179" i="48"/>
  <c r="U184" i="48" s="1"/>
  <c r="U182" i="48"/>
  <c r="U178" i="48"/>
  <c r="U183" i="48" s="1"/>
  <c r="U181" i="48"/>
  <c r="U186" i="48" s="1"/>
  <c r="S150" i="29"/>
  <c r="S153" i="29"/>
  <c r="S151" i="29"/>
  <c r="S152" i="29"/>
  <c r="U162" i="48"/>
  <c r="U161" i="48"/>
  <c r="U166" i="48" s="1"/>
  <c r="U158" i="48"/>
  <c r="U163" i="48" s="1"/>
  <c r="U160" i="48"/>
  <c r="U165" i="48" s="1"/>
  <c r="U159" i="48"/>
  <c r="U164" i="48" s="1"/>
  <c r="V19" i="53"/>
  <c r="V27" i="53"/>
  <c r="V32" i="53" s="1"/>
  <c r="N192" i="28"/>
  <c r="O171" i="28"/>
  <c r="O170" i="28"/>
  <c r="T73" i="42"/>
  <c r="T77" i="42" s="1"/>
  <c r="T75" i="42"/>
  <c r="T79" i="42" s="1"/>
  <c r="T76" i="42"/>
  <c r="T74" i="42"/>
  <c r="T78" i="42" s="1"/>
  <c r="U47" i="42"/>
  <c r="U291" i="42" s="1"/>
  <c r="U96" i="42"/>
  <c r="U104" i="42"/>
  <c r="U80" i="42"/>
  <c r="U72" i="42"/>
  <c r="U249" i="42"/>
  <c r="P182" i="29"/>
  <c r="V193" i="42"/>
  <c r="V197" i="42" s="1"/>
  <c r="V192" i="42"/>
  <c r="V196" i="42" s="1"/>
  <c r="V194" i="42"/>
  <c r="V198" i="42" s="1"/>
  <c r="V195" i="42"/>
  <c r="W137" i="38"/>
  <c r="W145" i="38"/>
  <c r="W161" i="38"/>
  <c r="W153" i="38"/>
  <c r="W219" i="46"/>
  <c r="W209" i="46"/>
  <c r="W229" i="46"/>
  <c r="DF58" i="55"/>
  <c r="N69" i="16"/>
  <c r="N71" i="16" s="1"/>
  <c r="AT33" i="58" s="1"/>
  <c r="AT58" i="55"/>
  <c r="M199" i="29"/>
  <c r="AT61" i="55"/>
  <c r="Y5" i="29"/>
  <c r="X17" i="29"/>
  <c r="X30" i="29" s="1"/>
  <c r="X18" i="29"/>
  <c r="X31" i="29" s="1"/>
  <c r="X15" i="29"/>
  <c r="X28" i="29" s="1"/>
  <c r="X46" i="29" s="1"/>
  <c r="X14" i="29"/>
  <c r="X16" i="29"/>
  <c r="X29" i="29" s="1"/>
  <c r="X47" i="29" s="1"/>
  <c r="AU58" i="55"/>
  <c r="O70" i="16"/>
  <c r="O71" i="16" s="1"/>
  <c r="AU33" i="58" s="1"/>
  <c r="Q318" i="42"/>
  <c r="Q319" i="42" s="1"/>
  <c r="Q320" i="42"/>
  <c r="Q323" i="42" s="1"/>
  <c r="Q303" i="38"/>
  <c r="Q302" i="38"/>
  <c r="Y5" i="19"/>
  <c r="X18" i="19"/>
  <c r="X31" i="19" s="1"/>
  <c r="X49" i="19" s="1"/>
  <c r="X15" i="19"/>
  <c r="X28" i="19" s="1"/>
  <c r="X46" i="19" s="1"/>
  <c r="X14" i="19"/>
  <c r="X16" i="19"/>
  <c r="X29" i="19" s="1"/>
  <c r="X47" i="19" s="1"/>
  <c r="X17" i="19"/>
  <c r="X30" i="19" s="1"/>
  <c r="X48" i="19" s="1"/>
  <c r="S184" i="28"/>
  <c r="S185" i="28" s="1"/>
  <c r="S161" i="28"/>
  <c r="P304" i="38"/>
  <c r="P308" i="38" s="1"/>
  <c r="P305" i="38"/>
  <c r="DJ57" i="55"/>
  <c r="AX57" i="55"/>
  <c r="Q148" i="29"/>
  <c r="R306" i="42"/>
  <c r="R307" i="42"/>
  <c r="O72" i="16"/>
  <c r="AU34" i="58" s="1"/>
  <c r="N200" i="29"/>
  <c r="O73" i="16" s="1"/>
  <c r="P328" i="42"/>
  <c r="P329" i="42" s="1"/>
  <c r="P336" i="42" s="1"/>
  <c r="V42" i="42"/>
  <c r="V32" i="42"/>
  <c r="T36" i="29"/>
  <c r="T37" i="29"/>
  <c r="W17" i="53"/>
  <c r="W30" i="53" s="1"/>
  <c r="W14" i="53"/>
  <c r="X5" i="53"/>
  <c r="W16" i="53"/>
  <c r="W29" i="53" s="1"/>
  <c r="W44" i="53" s="1"/>
  <c r="W150" i="53" s="1"/>
  <c r="W151" i="53" s="1"/>
  <c r="X60" i="51" s="1"/>
  <c r="BD60" i="51" s="1"/>
  <c r="W15" i="53"/>
  <c r="W28" i="53" s="1"/>
  <c r="W18" i="53"/>
  <c r="W31" i="53" s="1"/>
  <c r="R307" i="38"/>
  <c r="R306" i="38"/>
  <c r="R318" i="38" s="1"/>
  <c r="P305" i="42"/>
  <c r="P304" i="42"/>
  <c r="P308" i="42" s="1"/>
  <c r="O189" i="28"/>
  <c r="O190" i="28" s="1"/>
  <c r="T105" i="42"/>
  <c r="T109" i="42" s="1"/>
  <c r="T107" i="42"/>
  <c r="T111" i="42" s="1"/>
  <c r="T106" i="42"/>
  <c r="T110" i="42" s="1"/>
  <c r="T108" i="42"/>
  <c r="T292" i="38"/>
  <c r="T295" i="38"/>
  <c r="V211" i="42"/>
  <c r="V209" i="42"/>
  <c r="V213" i="42" s="1"/>
  <c r="V208" i="42"/>
  <c r="V212" i="42" s="1"/>
  <c r="V210" i="42"/>
  <c r="V214" i="42" s="1"/>
  <c r="W207" i="38"/>
  <c r="W199" i="38"/>
  <c r="W191" i="38"/>
  <c r="W19" i="46"/>
  <c r="W275" i="46" s="1"/>
  <c r="W27" i="46"/>
  <c r="W32" i="46" s="1"/>
  <c r="L204" i="28"/>
  <c r="V309" i="46"/>
  <c r="V34" i="46"/>
  <c r="V61" i="16"/>
  <c r="U87" i="29"/>
  <c r="X17" i="48"/>
  <c r="X30" i="48" s="1"/>
  <c r="X45" i="48" s="1"/>
  <c r="X18" i="48"/>
  <c r="X31" i="48" s="1"/>
  <c r="X16" i="48"/>
  <c r="X29" i="48" s="1"/>
  <c r="X44" i="48" s="1"/>
  <c r="X14" i="48"/>
  <c r="X15" i="48"/>
  <c r="X28" i="48" s="1"/>
  <c r="X43" i="48" s="1"/>
  <c r="Y5" i="48"/>
  <c r="Q181" i="28"/>
  <c r="R64" i="55" s="1"/>
  <c r="Q179" i="28"/>
  <c r="R62" i="55" s="1"/>
  <c r="Q178" i="28"/>
  <c r="Q182" i="28"/>
  <c r="R65" i="55" s="1"/>
  <c r="Q180" i="28"/>
  <c r="R63" i="55" s="1"/>
  <c r="Q177" i="28"/>
  <c r="V87" i="45"/>
  <c r="V85" i="45"/>
  <c r="BB85" i="45"/>
  <c r="BB87" i="45"/>
  <c r="V86" i="45"/>
  <c r="BB86" i="45"/>
  <c r="T67" i="15"/>
  <c r="T46" i="15"/>
  <c r="S57" i="55"/>
  <c r="N196" i="28"/>
  <c r="Q174" i="29"/>
  <c r="Q177" i="29" s="1"/>
  <c r="R300" i="42"/>
  <c r="R301" i="42"/>
  <c r="P321" i="42"/>
  <c r="P322" i="42" s="1"/>
  <c r="P324" i="42" s="1"/>
  <c r="R301" i="38"/>
  <c r="R300" i="38"/>
  <c r="N172" i="28"/>
  <c r="N176" i="28" s="1"/>
  <c r="N173" i="28"/>
  <c r="Q156" i="29"/>
  <c r="Q157" i="29"/>
  <c r="AT126" i="36"/>
  <c r="AT39" i="58" s="1"/>
  <c r="M346" i="42"/>
  <c r="AT127" i="36" s="1"/>
  <c r="V85" i="29"/>
  <c r="W55" i="16" s="1"/>
  <c r="W55" i="15"/>
  <c r="V147" i="42"/>
  <c r="V151" i="42" s="1"/>
  <c r="V149" i="42"/>
  <c r="V148" i="42"/>
  <c r="V152" i="42" s="1"/>
  <c r="V146" i="42"/>
  <c r="V150" i="42" s="1"/>
  <c r="T83" i="42"/>
  <c r="T87" i="42" s="1"/>
  <c r="T84" i="42"/>
  <c r="T82" i="42"/>
  <c r="T86" i="42" s="1"/>
  <c r="T81" i="42"/>
  <c r="T85" i="42" s="1"/>
  <c r="T293" i="38"/>
  <c r="T294" i="38" s="1"/>
  <c r="T316" i="38"/>
  <c r="V32" i="29"/>
  <c r="V45" i="29"/>
  <c r="W147" i="46"/>
  <c r="W167" i="46"/>
  <c r="W177" i="46"/>
  <c r="W157" i="46"/>
  <c r="P166" i="29"/>
  <c r="AW63" i="55" s="1"/>
  <c r="P163" i="29"/>
  <c r="P165" i="29"/>
  <c r="AW62" i="55" s="1"/>
  <c r="P167" i="29"/>
  <c r="AW64" i="55" s="1"/>
  <c r="P164" i="29"/>
  <c r="P168" i="29"/>
  <c r="AW65" i="55" s="1"/>
  <c r="W240" i="42"/>
  <c r="W244" i="42" s="1"/>
  <c r="W241" i="42"/>
  <c r="W239" i="42"/>
  <c r="W243" i="42" s="1"/>
  <c r="W238" i="42"/>
  <c r="W242" i="42" s="1"/>
  <c r="W49" i="29"/>
  <c r="P156" i="28"/>
  <c r="CC63" i="55" s="1"/>
  <c r="P155" i="28"/>
  <c r="CC62" i="55" s="1"/>
  <c r="P154" i="28"/>
  <c r="CC61" i="55" s="1"/>
  <c r="P158" i="28"/>
  <c r="CC65" i="55" s="1"/>
  <c r="P153" i="28"/>
  <c r="P157" i="28"/>
  <c r="CC64" i="55" s="1"/>
  <c r="R283" i="42"/>
  <c r="R284" i="42" s="1"/>
  <c r="S250" i="42"/>
  <c r="S37" i="28"/>
  <c r="S36" i="28"/>
  <c r="AU61" i="55"/>
  <c r="Q167" i="28"/>
  <c r="Q164" i="28"/>
  <c r="Q165" i="28"/>
  <c r="Q166" i="28"/>
  <c r="V42" i="38"/>
  <c r="V32" i="38"/>
  <c r="S210" i="28"/>
  <c r="S211" i="28"/>
  <c r="S159" i="28"/>
  <c r="M197" i="28"/>
  <c r="M206" i="28" s="1"/>
  <c r="N70" i="15" s="1"/>
  <c r="S68" i="16"/>
  <c r="S77" i="16"/>
  <c r="S134" i="16"/>
  <c r="S140" i="16" s="1"/>
  <c r="S133" i="16" a="1"/>
  <c r="DL80" i="55"/>
  <c r="AZ80" i="55"/>
  <c r="V203" i="38"/>
  <c r="W101" i="36" s="1"/>
  <c r="BC101" i="36" s="1"/>
  <c r="V200" i="38"/>
  <c r="V204" i="38" s="1"/>
  <c r="V201" i="38"/>
  <c r="V205" i="38" s="1"/>
  <c r="V202" i="38"/>
  <c r="V206" i="38" s="1"/>
  <c r="U281" i="38"/>
  <c r="U34" i="38"/>
  <c r="V178" i="46"/>
  <c r="V183" i="46" s="1"/>
  <c r="V180" i="46"/>
  <c r="V185" i="46" s="1"/>
  <c r="V181" i="46"/>
  <c r="V186" i="46" s="1"/>
  <c r="V179" i="46"/>
  <c r="V184" i="46" s="1"/>
  <c r="V182" i="46"/>
  <c r="W107" i="45" s="1"/>
  <c r="BC107" i="45" s="1"/>
  <c r="V177" i="48"/>
  <c r="R163" i="28"/>
  <c r="R160" i="28"/>
  <c r="R162" i="28"/>
  <c r="V19" i="28"/>
  <c r="V118" i="28" s="1"/>
  <c r="V27" i="28"/>
  <c r="V157" i="42"/>
  <c r="V155" i="42"/>
  <c r="V159" i="42" s="1"/>
  <c r="V156" i="42"/>
  <c r="V160" i="42" s="1"/>
  <c r="V154" i="42"/>
  <c r="V158" i="42" s="1"/>
  <c r="X5" i="54"/>
  <c r="W16" i="54"/>
  <c r="W29" i="54" s="1"/>
  <c r="W44" i="54" s="1"/>
  <c r="W150" i="54" s="1"/>
  <c r="W151" i="54" s="1"/>
  <c r="W18" i="54"/>
  <c r="W31" i="54" s="1"/>
  <c r="W15" i="54"/>
  <c r="W28" i="54" s="1"/>
  <c r="W17" i="54"/>
  <c r="W30" i="54" s="1"/>
  <c r="W14" i="54"/>
  <c r="T295" i="42"/>
  <c r="T292" i="42"/>
  <c r="V154" i="38"/>
  <c r="V158" i="38" s="1"/>
  <c r="V155" i="38"/>
  <c r="V159" i="38" s="1"/>
  <c r="V157" i="38"/>
  <c r="W79" i="36" s="1"/>
  <c r="BC79" i="36" s="1"/>
  <c r="V156" i="38"/>
  <c r="V160" i="38" s="1"/>
  <c r="U197" i="53"/>
  <c r="U34" i="53"/>
  <c r="R236" i="19"/>
  <c r="R235" i="19"/>
  <c r="S296" i="42"/>
  <c r="S297" i="42"/>
  <c r="S299" i="42"/>
  <c r="S298" i="42"/>
  <c r="X15" i="46"/>
  <c r="X28" i="46" s="1"/>
  <c r="X43" i="46" s="1"/>
  <c r="X18" i="46"/>
  <c r="X31" i="46" s="1"/>
  <c r="X17" i="46"/>
  <c r="X30" i="46" s="1"/>
  <c r="X45" i="46" s="1"/>
  <c r="X16" i="46"/>
  <c r="X29" i="46" s="1"/>
  <c r="X44" i="46" s="1"/>
  <c r="X246" i="46" s="1"/>
  <c r="Y5" i="46"/>
  <c r="X14" i="46"/>
  <c r="W207" i="42"/>
  <c r="W199" i="42"/>
  <c r="W191" i="42"/>
  <c r="W83" i="29"/>
  <c r="W82" i="29" s="1"/>
  <c r="Q286" i="42"/>
  <c r="Q290" i="42"/>
  <c r="Q288" i="42"/>
  <c r="Q285" i="42"/>
  <c r="Q287" i="42"/>
  <c r="Q289" i="42"/>
  <c r="T67" i="16"/>
  <c r="T46" i="16"/>
  <c r="L72" i="15"/>
  <c r="L34" i="58" s="1"/>
  <c r="K214" i="28"/>
  <c r="L73" i="15" s="1"/>
  <c r="P169" i="28"/>
  <c r="P168" i="28"/>
  <c r="O346" i="42"/>
  <c r="AV127" i="36" s="1"/>
  <c r="U223" i="48"/>
  <c r="U228" i="48" s="1"/>
  <c r="U220" i="48"/>
  <c r="U225" i="48" s="1"/>
  <c r="U221" i="48"/>
  <c r="U226" i="48" s="1"/>
  <c r="U224" i="48"/>
  <c r="U222" i="48"/>
  <c r="U227" i="48" s="1"/>
  <c r="V192" i="38"/>
  <c r="V196" i="38" s="1"/>
  <c r="V194" i="38"/>
  <c r="V198" i="38" s="1"/>
  <c r="V193" i="38"/>
  <c r="V197" i="38" s="1"/>
  <c r="U249" i="38"/>
  <c r="U80" i="38"/>
  <c r="U47" i="38"/>
  <c r="U291" i="38" s="1"/>
  <c r="U104" i="38"/>
  <c r="U72" i="38"/>
  <c r="U73" i="38" s="1"/>
  <c r="U96" i="38"/>
  <c r="V157" i="48"/>
  <c r="V160" i="46"/>
  <c r="V165" i="46" s="1"/>
  <c r="V161" i="46"/>
  <c r="V166" i="46" s="1"/>
  <c r="V162" i="46"/>
  <c r="W98" i="45" s="1"/>
  <c r="BC98" i="45" s="1"/>
  <c r="V159" i="46"/>
  <c r="V164" i="46" s="1"/>
  <c r="V158" i="46"/>
  <c r="V163" i="46" s="1"/>
  <c r="U172" i="48"/>
  <c r="U168" i="48"/>
  <c r="U173" i="48" s="1"/>
  <c r="U171" i="48"/>
  <c r="U176" i="48" s="1"/>
  <c r="U169" i="48"/>
  <c r="U174" i="48" s="1"/>
  <c r="U170" i="48"/>
  <c r="U175" i="48" s="1"/>
  <c r="R311" i="38"/>
  <c r="S85" i="55" s="1"/>
  <c r="R312" i="38"/>
  <c r="S86" i="55" s="1"/>
  <c r="R314" i="38"/>
  <c r="S88" i="55" s="1"/>
  <c r="R309" i="38"/>
  <c r="R313" i="38"/>
  <c r="S87" i="55" s="1"/>
  <c r="R310" i="38"/>
  <c r="V49" i="28"/>
  <c r="V165" i="42"/>
  <c r="V163" i="42"/>
  <c r="V167" i="42" s="1"/>
  <c r="V164" i="42"/>
  <c r="V168" i="42" s="1"/>
  <c r="V162" i="42"/>
  <c r="V166" i="42" s="1"/>
  <c r="V19" i="54"/>
  <c r="V27" i="54"/>
  <c r="V32" i="54" s="1"/>
  <c r="T316" i="42"/>
  <c r="T317" i="42" s="1"/>
  <c r="T293" i="42"/>
  <c r="T294" i="42" s="1"/>
  <c r="V148" i="38"/>
  <c r="V152" i="38" s="1"/>
  <c r="V146" i="38"/>
  <c r="V150" i="38" s="1"/>
  <c r="V147" i="38"/>
  <c r="V151" i="38" s="1"/>
  <c r="V149" i="38"/>
  <c r="W100" i="36" s="1"/>
  <c r="BC100" i="36" s="1"/>
  <c r="U50" i="29"/>
  <c r="U145" i="29" s="1"/>
  <c r="T246" i="38"/>
  <c r="X16" i="38"/>
  <c r="X29" i="38" s="1"/>
  <c r="X44" i="38" s="1"/>
  <c r="X222" i="38" s="1"/>
  <c r="X17" i="38"/>
  <c r="X30" i="38" s="1"/>
  <c r="X45" i="38" s="1"/>
  <c r="X14" i="38"/>
  <c r="X15" i="38"/>
  <c r="X28" i="38" s="1"/>
  <c r="X43" i="38" s="1"/>
  <c r="Y5" i="38"/>
  <c r="X18" i="38"/>
  <c r="X31" i="38" s="1"/>
  <c r="X46" i="38" s="1"/>
  <c r="X237" i="38" s="1"/>
  <c r="V309" i="48"/>
  <c r="V34" i="48"/>
  <c r="W19" i="42"/>
  <c r="W247" i="42" s="1"/>
  <c r="W27" i="42"/>
  <c r="W19" i="29"/>
  <c r="W27" i="29"/>
  <c r="S294" i="38"/>
  <c r="R170" i="29"/>
  <c r="R171" i="29" s="1"/>
  <c r="R147" i="29"/>
  <c r="O190" i="29"/>
  <c r="F265" i="20"/>
  <c r="BS42" i="55" s="1"/>
  <c r="F261" i="20"/>
  <c r="BS38" i="55" s="1"/>
  <c r="CV35" i="55"/>
  <c r="AJ35" i="55"/>
  <c r="AJ38" i="55"/>
  <c r="G259" i="20"/>
  <c r="BT34" i="55"/>
  <c r="D38" i="55"/>
  <c r="D155" i="14"/>
  <c r="D157" i="14" s="1"/>
  <c r="AJ28" i="58" s="1"/>
  <c r="C278" i="19"/>
  <c r="D164" i="14" s="1"/>
  <c r="AJ29" i="58" s="1"/>
  <c r="G183" i="19"/>
  <c r="F216" i="19"/>
  <c r="I110" i="14"/>
  <c r="I108" i="14" s="1"/>
  <c r="H75" i="19"/>
  <c r="H97" i="14"/>
  <c r="I91" i="19"/>
  <c r="J136" i="14" s="1"/>
  <c r="J136" i="12"/>
  <c r="I109" i="12"/>
  <c r="I99" i="12"/>
  <c r="I73" i="19"/>
  <c r="J114" i="14" s="1"/>
  <c r="J114" i="12"/>
  <c r="J105" i="12"/>
  <c r="J228" i="12" s="1"/>
  <c r="I126" i="19"/>
  <c r="I123" i="19"/>
  <c r="I114" i="19"/>
  <c r="I111" i="19"/>
  <c r="J95" i="14"/>
  <c r="J106" i="19"/>
  <c r="K103" i="14" s="1"/>
  <c r="K103" i="12"/>
  <c r="I113" i="19"/>
  <c r="J124" i="19"/>
  <c r="K138" i="14" s="1"/>
  <c r="K138" i="12"/>
  <c r="I109" i="14"/>
  <c r="K174" i="19"/>
  <c r="E158" i="14"/>
  <c r="D156" i="12"/>
  <c r="D157" i="12" s="1"/>
  <c r="D28" i="58" s="1"/>
  <c r="J98" i="19"/>
  <c r="H94" i="19"/>
  <c r="K176" i="19"/>
  <c r="H92" i="19"/>
  <c r="H88" i="19"/>
  <c r="H87" i="19"/>
  <c r="K163" i="19"/>
  <c r="K166" i="19"/>
  <c r="K164" i="19"/>
  <c r="K165" i="19"/>
  <c r="H89" i="19"/>
  <c r="H86" i="19"/>
  <c r="H74" i="19"/>
  <c r="H76" i="19"/>
  <c r="I120" i="19"/>
  <c r="I110" i="12"/>
  <c r="I108" i="12" s="1"/>
  <c r="J118" i="19"/>
  <c r="K94" i="14" s="1"/>
  <c r="H90" i="19"/>
  <c r="I119" i="19"/>
  <c r="I109" i="19"/>
  <c r="H93" i="19"/>
  <c r="H83" i="19"/>
  <c r="I111" i="14" s="1"/>
  <c r="I107" i="14" s="1"/>
  <c r="I111" i="12"/>
  <c r="I107" i="12" s="1"/>
  <c r="I108" i="19"/>
  <c r="H77" i="19"/>
  <c r="H80" i="19"/>
  <c r="I106" i="14" s="1"/>
  <c r="I79" i="19"/>
  <c r="J104" i="14" s="1"/>
  <c r="J105" i="14" s="1"/>
  <c r="J228" i="14" s="1"/>
  <c r="I129" i="19"/>
  <c r="H70" i="19"/>
  <c r="I100" i="14" s="1"/>
  <c r="I98" i="14" s="1"/>
  <c r="H68" i="19"/>
  <c r="I96" i="14" s="1"/>
  <c r="H71" i="19"/>
  <c r="I101" i="14" s="1"/>
  <c r="H69" i="19"/>
  <c r="I99" i="14" s="1"/>
  <c r="I180" i="19"/>
  <c r="D269" i="19"/>
  <c r="CW35" i="55" s="1"/>
  <c r="C273" i="19"/>
  <c r="D303" i="20"/>
  <c r="D304" i="20" s="1"/>
  <c r="F293" i="20"/>
  <c r="C315" i="20"/>
  <c r="C320" i="20"/>
  <c r="L172" i="19"/>
  <c r="M135" i="14" s="1"/>
  <c r="J131" i="19"/>
  <c r="L215" i="20"/>
  <c r="L173" i="19" s="1"/>
  <c r="L217" i="20"/>
  <c r="L175" i="19" s="1"/>
  <c r="L219" i="20"/>
  <c r="L177" i="19" s="1"/>
  <c r="L216" i="20"/>
  <c r="L218" i="20"/>
  <c r="L203" i="20"/>
  <c r="L205" i="20"/>
  <c r="L202" i="20"/>
  <c r="L204" i="20"/>
  <c r="L206" i="20"/>
  <c r="L167" i="19" s="1"/>
  <c r="J131" i="20"/>
  <c r="J107" i="19" s="1"/>
  <c r="J133" i="20"/>
  <c r="J132" i="20"/>
  <c r="J134" i="20"/>
  <c r="J110" i="19" s="1"/>
  <c r="J135" i="20"/>
  <c r="J137" i="20"/>
  <c r="J138" i="20"/>
  <c r="J139" i="20"/>
  <c r="J115" i="19" s="1"/>
  <c r="J141" i="20"/>
  <c r="J117" i="19" s="1"/>
  <c r="J140" i="20"/>
  <c r="J116" i="19" s="1"/>
  <c r="J143" i="20"/>
  <c r="J145" i="20"/>
  <c r="J121" i="19" s="1"/>
  <c r="J144" i="20"/>
  <c r="J147" i="20"/>
  <c r="J146" i="20"/>
  <c r="J122" i="19" s="1"/>
  <c r="K148" i="20"/>
  <c r="K142" i="20"/>
  <c r="K136" i="20"/>
  <c r="K112" i="19" s="1"/>
  <c r="L126" i="14" s="1"/>
  <c r="K130" i="20"/>
  <c r="J151" i="20"/>
  <c r="J127" i="19" s="1"/>
  <c r="J150" i="20"/>
  <c r="J153" i="20"/>
  <c r="J149" i="20"/>
  <c r="J125" i="19" s="1"/>
  <c r="J152" i="20"/>
  <c r="J128" i="19" s="1"/>
  <c r="I100" i="20"/>
  <c r="I104" i="20"/>
  <c r="I96" i="19" s="1"/>
  <c r="I101" i="20"/>
  <c r="I103" i="20"/>
  <c r="I95" i="19" s="1"/>
  <c r="I102" i="20"/>
  <c r="I82" i="20"/>
  <c r="I83" i="20"/>
  <c r="I85" i="20"/>
  <c r="I84" i="20"/>
  <c r="I86" i="20"/>
  <c r="I78" i="19" s="1"/>
  <c r="I88" i="20"/>
  <c r="J106" i="12" s="1"/>
  <c r="I89" i="20"/>
  <c r="I81" i="19" s="1"/>
  <c r="I92" i="20"/>
  <c r="I84" i="19" s="1"/>
  <c r="I90" i="20"/>
  <c r="I82" i="19" s="1"/>
  <c r="I91" i="20"/>
  <c r="I79" i="20"/>
  <c r="J101" i="12" s="1"/>
  <c r="J97" i="12" s="1"/>
  <c r="I76" i="20"/>
  <c r="J96" i="12" s="1"/>
  <c r="I78" i="20"/>
  <c r="J100" i="12" s="1"/>
  <c r="J98" i="12" s="1"/>
  <c r="I80" i="20"/>
  <c r="I72" i="19" s="1"/>
  <c r="I77" i="20"/>
  <c r="J75" i="20"/>
  <c r="J67" i="19" s="1"/>
  <c r="K93" i="14" s="1"/>
  <c r="J99" i="20"/>
  <c r="J93" i="20"/>
  <c r="J85" i="19" s="1"/>
  <c r="K124" i="14" s="1"/>
  <c r="J81" i="20"/>
  <c r="J87" i="20"/>
  <c r="K104" i="12" s="1"/>
  <c r="I96" i="20"/>
  <c r="I95" i="20"/>
  <c r="I97" i="20"/>
  <c r="I94" i="20"/>
  <c r="I98" i="20"/>
  <c r="L19" i="20"/>
  <c r="L222" i="20" s="1"/>
  <c r="L30" i="20"/>
  <c r="L48" i="20" s="1"/>
  <c r="I36" i="20"/>
  <c r="I37" i="20"/>
  <c r="F278" i="20"/>
  <c r="F277" i="20"/>
  <c r="I225" i="20"/>
  <c r="H258" i="20"/>
  <c r="I266" i="20"/>
  <c r="I270" i="20"/>
  <c r="I317" i="20"/>
  <c r="I267" i="20"/>
  <c r="I318" i="20"/>
  <c r="I179" i="19"/>
  <c r="G276" i="20"/>
  <c r="G275" i="20"/>
  <c r="K132" i="19"/>
  <c r="K136" i="19"/>
  <c r="K133" i="19"/>
  <c r="L125" i="12"/>
  <c r="K135" i="19"/>
  <c r="K134" i="19"/>
  <c r="I226" i="12"/>
  <c r="K102" i="19"/>
  <c r="K101" i="19"/>
  <c r="K104" i="19"/>
  <c r="L126" i="12"/>
  <c r="K100" i="19"/>
  <c r="K103" i="19"/>
  <c r="K99" i="19"/>
  <c r="K169" i="19"/>
  <c r="L27" i="20"/>
  <c r="M31" i="20"/>
  <c r="M49" i="20" s="1"/>
  <c r="M214" i="20" s="1"/>
  <c r="N135" i="12" s="1"/>
  <c r="J55" i="19"/>
  <c r="J52" i="19" s="1"/>
  <c r="J60" i="19"/>
  <c r="J50" i="20"/>
  <c r="J221" i="20" s="1"/>
  <c r="J62" i="19"/>
  <c r="K93" i="12"/>
  <c r="J63" i="19"/>
  <c r="J54" i="19"/>
  <c r="J53" i="19"/>
  <c r="J61" i="19"/>
  <c r="K124" i="12"/>
  <c r="J65" i="19"/>
  <c r="J57" i="19"/>
  <c r="J56" i="19"/>
  <c r="J58" i="19"/>
  <c r="J64" i="19"/>
  <c r="L158" i="19"/>
  <c r="L160" i="19"/>
  <c r="M123" i="12"/>
  <c r="H273" i="20"/>
  <c r="H274" i="20"/>
  <c r="H271" i="20"/>
  <c r="H272" i="20"/>
  <c r="K157" i="19"/>
  <c r="L28" i="20"/>
  <c r="L46" i="20" s="1"/>
  <c r="M94" i="12" s="1"/>
  <c r="K45" i="20"/>
  <c r="K32" i="20"/>
  <c r="BX4" i="55" s="1"/>
  <c r="DD4" i="55" s="1"/>
  <c r="I221" i="20"/>
  <c r="J95" i="12"/>
  <c r="L170" i="19"/>
  <c r="J256" i="20"/>
  <c r="J34" i="20"/>
  <c r="M29" i="20"/>
  <c r="M47" i="20" s="1"/>
  <c r="M201" i="20" s="1"/>
  <c r="M162" i="19" s="1"/>
  <c r="N123" i="14" s="1"/>
  <c r="I226" i="14"/>
  <c r="G263" i="20"/>
  <c r="BT40" i="55" s="1"/>
  <c r="G260" i="20"/>
  <c r="G262" i="20"/>
  <c r="BT39" i="55" s="1"/>
  <c r="G265" i="20"/>
  <c r="BT42" i="55" s="1"/>
  <c r="G261" i="20"/>
  <c r="BT38" i="55" s="1"/>
  <c r="G264" i="20"/>
  <c r="BT41" i="55" s="1"/>
  <c r="G282" i="20"/>
  <c r="G281" i="20"/>
  <c r="E279" i="20"/>
  <c r="E283" i="20" s="1"/>
  <c r="E280" i="20"/>
  <c r="S141" i="15" l="1"/>
  <c r="S142" i="15" s="1"/>
  <c r="T92" i="29"/>
  <c r="U246" i="42"/>
  <c r="U65" i="16"/>
  <c r="U139" i="16" s="1"/>
  <c r="O192" i="28"/>
  <c r="S141" i="16"/>
  <c r="S142" i="16" s="1"/>
  <c r="Q321" i="42"/>
  <c r="Q322" i="42" s="1"/>
  <c r="Q324" i="42" s="1"/>
  <c r="T310" i="38"/>
  <c r="T314" i="38"/>
  <c r="U88" i="55" s="1"/>
  <c r="T312" i="38"/>
  <c r="U86" i="55" s="1"/>
  <c r="T311" i="38"/>
  <c r="U85" i="55" s="1"/>
  <c r="T309" i="38"/>
  <c r="T313" i="38"/>
  <c r="U87" i="55" s="1"/>
  <c r="T310" i="42"/>
  <c r="T314" i="42"/>
  <c r="BA88" i="55" s="1"/>
  <c r="T309" i="42"/>
  <c r="T311" i="42"/>
  <c r="BA85" i="55" s="1"/>
  <c r="T312" i="42"/>
  <c r="BA86" i="55" s="1"/>
  <c r="T313" i="42"/>
  <c r="BA87" i="55" s="1"/>
  <c r="DH58" i="55"/>
  <c r="AV58" i="55"/>
  <c r="P69" i="16"/>
  <c r="P71" i="16" s="1"/>
  <c r="AV33" i="58" s="1"/>
  <c r="O199" i="29"/>
  <c r="X19" i="38"/>
  <c r="X247" i="38" s="1"/>
  <c r="X27" i="38"/>
  <c r="U295" i="38"/>
  <c r="U292" i="38"/>
  <c r="T68" i="16"/>
  <c r="T133" i="16" a="1"/>
  <c r="T77" i="16"/>
  <c r="T134" i="16"/>
  <c r="T140" i="16" s="1"/>
  <c r="X209" i="46"/>
  <c r="X229" i="46"/>
  <c r="X219" i="46"/>
  <c r="R167" i="28"/>
  <c r="R164" i="28"/>
  <c r="R166" i="28"/>
  <c r="R165" i="28"/>
  <c r="R290" i="42"/>
  <c r="R289" i="42"/>
  <c r="R288" i="42"/>
  <c r="R285" i="42"/>
  <c r="R287" i="42"/>
  <c r="R286" i="42"/>
  <c r="Q182" i="29"/>
  <c r="Q183" i="29" s="1"/>
  <c r="Q192" i="29" s="1"/>
  <c r="R70" i="16" s="1"/>
  <c r="W200" i="38"/>
  <c r="W204" i="38" s="1"/>
  <c r="W201" i="38"/>
  <c r="W205" i="38" s="1"/>
  <c r="W203" i="38"/>
  <c r="X101" i="36" s="1"/>
  <c r="BD101" i="36" s="1"/>
  <c r="W202" i="38"/>
  <c r="W206" i="38" s="1"/>
  <c r="W19" i="53"/>
  <c r="W27" i="53"/>
  <c r="W32" i="53" s="1"/>
  <c r="N72" i="16"/>
  <c r="AT34" i="58" s="1"/>
  <c r="M200" i="29"/>
  <c r="N73" i="16" s="1"/>
  <c r="W163" i="38"/>
  <c r="W167" i="38" s="1"/>
  <c r="W162" i="38"/>
  <c r="W166" i="38" s="1"/>
  <c r="W165" i="38"/>
  <c r="X109" i="36" s="1"/>
  <c r="BD109" i="36" s="1"/>
  <c r="W164" i="38"/>
  <c r="W168" i="38" s="1"/>
  <c r="P183" i="29"/>
  <c r="P190" i="29" s="1"/>
  <c r="V197" i="53"/>
  <c r="V34" i="53"/>
  <c r="CE57" i="55"/>
  <c r="R152" i="28"/>
  <c r="X239" i="42"/>
  <c r="X243" i="42" s="1"/>
  <c r="X241" i="42"/>
  <c r="X240" i="42"/>
  <c r="X244" i="42" s="1"/>
  <c r="X238" i="42"/>
  <c r="X242" i="42" s="1"/>
  <c r="AV81" i="55"/>
  <c r="W42" i="38"/>
  <c r="W32" i="38"/>
  <c r="W85" i="29"/>
  <c r="X55" i="16" s="1"/>
  <c r="X55" i="15"/>
  <c r="W34" i="48"/>
  <c r="W309" i="48"/>
  <c r="U216" i="28"/>
  <c r="U57" i="29"/>
  <c r="U63" i="29"/>
  <c r="V56" i="16" s="1"/>
  <c r="U60" i="29"/>
  <c r="V56" i="15"/>
  <c r="U62" i="29"/>
  <c r="V62" i="16" s="1"/>
  <c r="V65" i="16" s="1"/>
  <c r="V139" i="16" s="1"/>
  <c r="V62" i="15"/>
  <c r="V65" i="15" s="1"/>
  <c r="V139" i="15" s="1"/>
  <c r="U55" i="29"/>
  <c r="U52" i="29" s="1"/>
  <c r="U92" i="29" s="1"/>
  <c r="V44" i="15"/>
  <c r="U54" i="29"/>
  <c r="U59" i="29"/>
  <c r="V44" i="16" s="1"/>
  <c r="U50" i="28"/>
  <c r="U117" i="28" s="1"/>
  <c r="U61" i="29"/>
  <c r="U53" i="29"/>
  <c r="U56" i="29"/>
  <c r="W42" i="42"/>
  <c r="W32" i="42"/>
  <c r="X199" i="38"/>
  <c r="X207" i="38"/>
  <c r="X191" i="38"/>
  <c r="T297" i="42"/>
  <c r="T296" i="42"/>
  <c r="T299" i="42"/>
  <c r="T298" i="42"/>
  <c r="V182" i="48"/>
  <c r="V181" i="48"/>
  <c r="V186" i="48" s="1"/>
  <c r="V178" i="48"/>
  <c r="V183" i="48" s="1"/>
  <c r="V179" i="48"/>
  <c r="V184" i="48" s="1"/>
  <c r="V180" i="48"/>
  <c r="V185" i="48" s="1"/>
  <c r="S163" i="28"/>
  <c r="S162" i="28"/>
  <c r="S160" i="28"/>
  <c r="Q174" i="28"/>
  <c r="Q175" i="28"/>
  <c r="W208" i="38"/>
  <c r="W212" i="38" s="1"/>
  <c r="W209" i="38"/>
  <c r="W213" i="38" s="1"/>
  <c r="W211" i="38"/>
  <c r="W210" i="38"/>
  <c r="W214" i="38" s="1"/>
  <c r="U80" i="55"/>
  <c r="Q175" i="29"/>
  <c r="Q176" i="29" s="1"/>
  <c r="Q178" i="29" s="1"/>
  <c r="T57" i="55"/>
  <c r="Z5" i="19"/>
  <c r="Y15" i="19"/>
  <c r="Y28" i="19" s="1"/>
  <c r="Y46" i="19" s="1"/>
  <c r="Y14" i="19"/>
  <c r="Y16" i="19"/>
  <c r="Y29" i="19" s="1"/>
  <c r="Y47" i="19" s="1"/>
  <c r="Y17" i="19"/>
  <c r="Y30" i="19" s="1"/>
  <c r="Y48" i="19" s="1"/>
  <c r="Y18" i="19"/>
  <c r="Y31" i="19" s="1"/>
  <c r="Y49" i="19" s="1"/>
  <c r="W146" i="38"/>
  <c r="W150" i="38" s="1"/>
  <c r="W149" i="38"/>
  <c r="X100" i="36" s="1"/>
  <c r="BD100" i="36" s="1"/>
  <c r="W147" i="38"/>
  <c r="W151" i="38" s="1"/>
  <c r="W148" i="38"/>
  <c r="W152" i="38" s="1"/>
  <c r="S160" i="29"/>
  <c r="S172" i="29" s="1"/>
  <c r="S161" i="29"/>
  <c r="T217" i="28"/>
  <c r="S151" i="28"/>
  <c r="X137" i="42"/>
  <c r="X153" i="42"/>
  <c r="X145" i="42"/>
  <c r="X161" i="42"/>
  <c r="O196" i="28"/>
  <c r="O197" i="28" s="1"/>
  <c r="O204" i="28" s="1"/>
  <c r="U149" i="28"/>
  <c r="U34" i="28"/>
  <c r="V213" i="48"/>
  <c r="V218" i="48" s="1"/>
  <c r="V210" i="48"/>
  <c r="V215" i="48" s="1"/>
  <c r="V214" i="48"/>
  <c r="V211" i="48"/>
  <c r="V216" i="48" s="1"/>
  <c r="V212" i="48"/>
  <c r="V217" i="48" s="1"/>
  <c r="DK57" i="55"/>
  <c r="AY57" i="55"/>
  <c r="R148" i="29"/>
  <c r="X225" i="38"/>
  <c r="X229" i="38" s="1"/>
  <c r="X224" i="38"/>
  <c r="X228" i="38" s="1"/>
  <c r="X223" i="38"/>
  <c r="X227" i="38" s="1"/>
  <c r="DM80" i="55"/>
  <c r="BA80" i="55"/>
  <c r="W61" i="15"/>
  <c r="V88" i="29"/>
  <c r="U293" i="38"/>
  <c r="V80" i="55" s="1"/>
  <c r="U316" i="38"/>
  <c r="W194" i="42"/>
  <c r="W198" i="42" s="1"/>
  <c r="W192" i="42"/>
  <c r="W196" i="42" s="1"/>
  <c r="W195" i="42"/>
  <c r="W193" i="42"/>
  <c r="W197" i="42" s="1"/>
  <c r="X147" i="46"/>
  <c r="X167" i="46"/>
  <c r="X177" i="46"/>
  <c r="X157" i="46"/>
  <c r="W19" i="54"/>
  <c r="W27" i="54"/>
  <c r="W32" i="54" s="1"/>
  <c r="W161" i="46"/>
  <c r="W166" i="46" s="1"/>
  <c r="W160" i="46"/>
  <c r="W165" i="46" s="1"/>
  <c r="W159" i="46"/>
  <c r="W164" i="46" s="1"/>
  <c r="W158" i="46"/>
  <c r="W163" i="46" s="1"/>
  <c r="W162" i="46"/>
  <c r="X98" i="45" s="1"/>
  <c r="BD98" i="45" s="1"/>
  <c r="W157" i="48"/>
  <c r="N197" i="28"/>
  <c r="N206" i="28" s="1"/>
  <c r="O70" i="15" s="1"/>
  <c r="Y15" i="48"/>
  <c r="Y28" i="48" s="1"/>
  <c r="Y43" i="48" s="1"/>
  <c r="Y16" i="48"/>
  <c r="Y29" i="48" s="1"/>
  <c r="Y44" i="48" s="1"/>
  <c r="Y14" i="48"/>
  <c r="Z5" i="48"/>
  <c r="Y18" i="48"/>
  <c r="Y31" i="48" s="1"/>
  <c r="Y17" i="48"/>
  <c r="Y30" i="48" s="1"/>
  <c r="Y45" i="48" s="1"/>
  <c r="Q305" i="38"/>
  <c r="Q304" i="38"/>
  <c r="Q308" i="38" s="1"/>
  <c r="X19" i="29"/>
  <c r="X27" i="29"/>
  <c r="W140" i="38"/>
  <c r="W138" i="38"/>
  <c r="W139" i="38"/>
  <c r="U293" i="42"/>
  <c r="U316" i="42"/>
  <c r="U317" i="42" s="1"/>
  <c r="S170" i="29"/>
  <c r="S171" i="29" s="1"/>
  <c r="S174" i="29" s="1"/>
  <c r="S147" i="29"/>
  <c r="X207" i="42"/>
  <c r="X199" i="42"/>
  <c r="X191" i="42"/>
  <c r="V232" i="48"/>
  <c r="V237" i="48" s="1"/>
  <c r="V233" i="48"/>
  <c r="V238" i="48" s="1"/>
  <c r="V231" i="48"/>
  <c r="V236" i="48" s="1"/>
  <c r="V230" i="48"/>
  <c r="V235" i="48" s="1"/>
  <c r="V234" i="48"/>
  <c r="W247" i="48"/>
  <c r="W252" i="48" s="1"/>
  <c r="W249" i="48"/>
  <c r="W254" i="48" s="1"/>
  <c r="W251" i="48"/>
  <c r="W248" i="48"/>
  <c r="W253" i="48" s="1"/>
  <c r="W250" i="48"/>
  <c r="W255" i="48" s="1"/>
  <c r="X58" i="15"/>
  <c r="X64" i="15"/>
  <c r="X48" i="15"/>
  <c r="X49" i="15" s="1"/>
  <c r="X136" i="15" s="1"/>
  <c r="X45" i="15"/>
  <c r="W77" i="29"/>
  <c r="X45" i="16" s="1"/>
  <c r="W67" i="29"/>
  <c r="W76" i="29"/>
  <c r="X58" i="16" s="1"/>
  <c r="W68" i="29"/>
  <c r="W75" i="29"/>
  <c r="W69" i="29"/>
  <c r="W73" i="29"/>
  <c r="W78" i="29"/>
  <c r="X64" i="16" s="1"/>
  <c r="W71" i="29"/>
  <c r="W74" i="29"/>
  <c r="X48" i="16" s="1"/>
  <c r="X49" i="16" s="1"/>
  <c r="X136" i="16" s="1"/>
  <c r="W70" i="29"/>
  <c r="U230" i="19"/>
  <c r="U231" i="19"/>
  <c r="U229" i="19"/>
  <c r="U232" i="19"/>
  <c r="R173" i="29"/>
  <c r="T103" i="29"/>
  <c r="T91" i="29"/>
  <c r="U59" i="15"/>
  <c r="U135" i="15" s="1"/>
  <c r="U66" i="15"/>
  <c r="U37" i="29"/>
  <c r="U36" i="29"/>
  <c r="R174" i="29"/>
  <c r="R175" i="29" s="1"/>
  <c r="R176" i="29" s="1"/>
  <c r="V158" i="48"/>
  <c r="V163" i="48" s="1"/>
  <c r="V161" i="48"/>
  <c r="V166" i="48" s="1"/>
  <c r="V162" i="48"/>
  <c r="V159" i="48"/>
  <c r="V164" i="48" s="1"/>
  <c r="V160" i="48"/>
  <c r="V165" i="48" s="1"/>
  <c r="W201" i="42"/>
  <c r="W205" i="42" s="1"/>
  <c r="W200" i="42"/>
  <c r="W204" i="42" s="1"/>
  <c r="W202" i="42"/>
  <c r="W206" i="42" s="1"/>
  <c r="W203" i="42"/>
  <c r="S300" i="42"/>
  <c r="S301" i="42"/>
  <c r="W181" i="46"/>
  <c r="W186" i="46" s="1"/>
  <c r="W179" i="46"/>
  <c r="W184" i="46" s="1"/>
  <c r="W180" i="46"/>
  <c r="W185" i="46" s="1"/>
  <c r="W182" i="46"/>
  <c r="X107" i="45" s="1"/>
  <c r="BD107" i="45" s="1"/>
  <c r="W177" i="48"/>
  <c r="W178" i="46"/>
  <c r="W183" i="46" s="1"/>
  <c r="R302" i="38"/>
  <c r="R303" i="38"/>
  <c r="T197" i="29"/>
  <c r="T196" i="29"/>
  <c r="R318" i="42"/>
  <c r="R319" i="42" s="1"/>
  <c r="R320" i="42"/>
  <c r="R323" i="42" s="1"/>
  <c r="U75" i="42"/>
  <c r="U79" i="42" s="1"/>
  <c r="U76" i="42"/>
  <c r="U74" i="42"/>
  <c r="U78" i="42" s="1"/>
  <c r="U73" i="42"/>
  <c r="U77" i="42" s="1"/>
  <c r="Z5" i="42"/>
  <c r="Y14" i="42"/>
  <c r="Y18" i="42"/>
  <c r="Y31" i="42" s="1"/>
  <c r="Y46" i="42" s="1"/>
  <c r="Y237" i="42" s="1"/>
  <c r="Y17" i="42"/>
  <c r="Y30" i="42" s="1"/>
  <c r="Y45" i="42" s="1"/>
  <c r="Y16" i="42"/>
  <c r="Y29" i="42" s="1"/>
  <c r="Y44" i="42" s="1"/>
  <c r="Y222" i="42" s="1"/>
  <c r="Y15" i="42"/>
  <c r="Y28" i="42" s="1"/>
  <c r="Y43" i="42" s="1"/>
  <c r="Q153" i="28"/>
  <c r="Q157" i="28"/>
  <c r="CD64" i="55" s="1"/>
  <c r="Q155" i="28"/>
  <c r="CD62" i="55" s="1"/>
  <c r="Q154" i="28"/>
  <c r="CD61" i="55" s="1"/>
  <c r="Q156" i="28"/>
  <c r="CD63" i="55" s="1"/>
  <c r="Q158" i="28"/>
  <c r="CD65" i="55" s="1"/>
  <c r="W157" i="42"/>
  <c r="W154" i="42"/>
  <c r="W158" i="42" s="1"/>
  <c r="W155" i="42"/>
  <c r="W159" i="42" s="1"/>
  <c r="W156" i="42"/>
  <c r="W160" i="42" s="1"/>
  <c r="T36" i="28"/>
  <c r="T37" i="28"/>
  <c r="V221" i="48"/>
  <c r="V226" i="48" s="1"/>
  <c r="V223" i="48"/>
  <c r="V228" i="48" s="1"/>
  <c r="V222" i="48"/>
  <c r="V227" i="48" s="1"/>
  <c r="V224" i="48"/>
  <c r="V220" i="48"/>
  <c r="V225" i="48" s="1"/>
  <c r="Q143" i="29"/>
  <c r="Q140" i="29"/>
  <c r="Q142" i="29"/>
  <c r="Q144" i="29"/>
  <c r="Q139" i="29"/>
  <c r="Q141" i="29"/>
  <c r="V224" i="19"/>
  <c r="V228" i="19"/>
  <c r="V225" i="19"/>
  <c r="V275" i="19"/>
  <c r="V276" i="19"/>
  <c r="V34" i="54"/>
  <c r="V197" i="54"/>
  <c r="U246" i="38"/>
  <c r="W209" i="42"/>
  <c r="W213" i="42" s="1"/>
  <c r="W211" i="42"/>
  <c r="W210" i="42"/>
  <c r="W214" i="42" s="1"/>
  <c r="W208" i="42"/>
  <c r="W212" i="42" s="1"/>
  <c r="S307" i="42"/>
  <c r="S306" i="42"/>
  <c r="V32" i="28"/>
  <c r="V45" i="28"/>
  <c r="M204" i="28"/>
  <c r="V281" i="38"/>
  <c r="V34" i="38"/>
  <c r="W172" i="46"/>
  <c r="X77" i="45" s="1"/>
  <c r="BD77" i="45" s="1"/>
  <c r="W167" i="48"/>
  <c r="W171" i="46"/>
  <c r="W176" i="46" s="1"/>
  <c r="W170" i="46"/>
  <c r="W175" i="46" s="1"/>
  <c r="W169" i="46"/>
  <c r="W174" i="46" s="1"/>
  <c r="W168" i="46"/>
  <c r="W173" i="46" s="1"/>
  <c r="T133" i="15" a="1"/>
  <c r="T141" i="15" s="1"/>
  <c r="T142" i="15" s="1"/>
  <c r="T68" i="15"/>
  <c r="T77" i="15" s="1"/>
  <c r="T134" i="15"/>
  <c r="T140" i="15" s="1"/>
  <c r="X19" i="48"/>
  <c r="X275" i="48" s="1"/>
  <c r="X27" i="48"/>
  <c r="X32" i="48" s="1"/>
  <c r="M69" i="15"/>
  <c r="M71" i="15" s="1"/>
  <c r="M33" i="58" s="1"/>
  <c r="M58" i="55"/>
  <c r="L208" i="28"/>
  <c r="M61" i="55"/>
  <c r="L213" i="28"/>
  <c r="V34" i="42"/>
  <c r="V281" i="42"/>
  <c r="Q165" i="29"/>
  <c r="AX62" i="55" s="1"/>
  <c r="Q164" i="29"/>
  <c r="Q166" i="29"/>
  <c r="AX63" i="55" s="1"/>
  <c r="Q168" i="29"/>
  <c r="AX65" i="55" s="1"/>
  <c r="Q167" i="29"/>
  <c r="AX64" i="55" s="1"/>
  <c r="Q163" i="29"/>
  <c r="X49" i="29"/>
  <c r="W229" i="48"/>
  <c r="W232" i="46"/>
  <c r="W237" i="46" s="1"/>
  <c r="W231" i="46"/>
  <c r="W236" i="46" s="1"/>
  <c r="W233" i="46"/>
  <c r="W238" i="46" s="1"/>
  <c r="W234" i="46"/>
  <c r="X108" i="45" s="1"/>
  <c r="BD108" i="45" s="1"/>
  <c r="W230" i="46"/>
  <c r="W235" i="46" s="1"/>
  <c r="U81" i="42"/>
  <c r="U85" i="42" s="1"/>
  <c r="U84" i="42"/>
  <c r="U83" i="42"/>
  <c r="U87" i="42" s="1"/>
  <c r="U82" i="42"/>
  <c r="U86" i="42" s="1"/>
  <c r="O172" i="28"/>
  <c r="O176" i="28" s="1"/>
  <c r="O173" i="28"/>
  <c r="Q304" i="42"/>
  <c r="Q308" i="42" s="1"/>
  <c r="Q305" i="42"/>
  <c r="U36" i="19"/>
  <c r="U37" i="19"/>
  <c r="W148" i="42"/>
  <c r="W152" i="42" s="1"/>
  <c r="W146" i="42"/>
  <c r="W150" i="42" s="1"/>
  <c r="W149" i="42"/>
  <c r="W147" i="42"/>
  <c r="W151" i="42" s="1"/>
  <c r="S104" i="29"/>
  <c r="R137" i="29"/>
  <c r="R138" i="29" s="1"/>
  <c r="T210" i="28"/>
  <c r="T159" i="28"/>
  <c r="T211" i="28"/>
  <c r="V34" i="19"/>
  <c r="V214" i="19"/>
  <c r="V168" i="48"/>
  <c r="V173" i="48" s="1"/>
  <c r="V172" i="48"/>
  <c r="V170" i="48"/>
  <c r="V175" i="48" s="1"/>
  <c r="V169" i="48"/>
  <c r="V174" i="48" s="1"/>
  <c r="V171" i="48"/>
  <c r="V176" i="48" s="1"/>
  <c r="AV61" i="55"/>
  <c r="X240" i="38"/>
  <c r="X244" i="38" s="1"/>
  <c r="X239" i="38"/>
  <c r="X243" i="38" s="1"/>
  <c r="X238" i="38"/>
  <c r="X242" i="38" s="1"/>
  <c r="U149" i="29"/>
  <c r="U146" i="29"/>
  <c r="P170" i="28"/>
  <c r="P171" i="28"/>
  <c r="X19" i="46"/>
  <c r="X275" i="46" s="1"/>
  <c r="X27" i="46"/>
  <c r="X32" i="46" s="1"/>
  <c r="V249" i="38"/>
  <c r="V47" i="38"/>
  <c r="V291" i="38" s="1"/>
  <c r="V104" i="38"/>
  <c r="V72" i="38"/>
  <c r="V73" i="38" s="1"/>
  <c r="V96" i="38"/>
  <c r="V80" i="38"/>
  <c r="W147" i="48"/>
  <c r="W152" i="46"/>
  <c r="X83" i="45" s="1"/>
  <c r="W151" i="46"/>
  <c r="W156" i="46" s="1"/>
  <c r="W150" i="46"/>
  <c r="W155" i="46" s="1"/>
  <c r="W149" i="46"/>
  <c r="W154" i="46" s="1"/>
  <c r="W148" i="46"/>
  <c r="W153" i="46" s="1"/>
  <c r="W309" i="46"/>
  <c r="W34" i="46"/>
  <c r="V249" i="42"/>
  <c r="V104" i="42"/>
  <c r="V72" i="42"/>
  <c r="V47" i="42"/>
  <c r="V291" i="42" s="1"/>
  <c r="V80" i="42"/>
  <c r="V96" i="42"/>
  <c r="Q328" i="42"/>
  <c r="W210" i="46"/>
  <c r="W215" i="46" s="1"/>
  <c r="W214" i="46"/>
  <c r="X89" i="45" s="1"/>
  <c r="W209" i="48"/>
  <c r="W213" i="46"/>
  <c r="W218" i="46" s="1"/>
  <c r="W212" i="46"/>
  <c r="W217" i="46" s="1"/>
  <c r="W211" i="46"/>
  <c r="W216" i="46" s="1"/>
  <c r="U108" i="42"/>
  <c r="U105" i="42"/>
  <c r="U109" i="42" s="1"/>
  <c r="U107" i="42"/>
  <c r="U111" i="42" s="1"/>
  <c r="U106" i="42"/>
  <c r="U110" i="42" s="1"/>
  <c r="AV84" i="55"/>
  <c r="W162" i="42"/>
  <c r="W166" i="42" s="1"/>
  <c r="W164" i="42"/>
  <c r="W168" i="42" s="1"/>
  <c r="W165" i="42"/>
  <c r="W163" i="42"/>
  <c r="W167" i="42" s="1"/>
  <c r="T233" i="19"/>
  <c r="T234" i="19"/>
  <c r="W27" i="28"/>
  <c r="W19" i="28"/>
  <c r="W118" i="28" s="1"/>
  <c r="W87" i="45"/>
  <c r="W85" i="45"/>
  <c r="W86" i="45"/>
  <c r="BC86" i="45"/>
  <c r="BC87" i="45"/>
  <c r="BC85" i="45"/>
  <c r="Z5" i="20"/>
  <c r="Y15" i="20"/>
  <c r="Y16" i="20"/>
  <c r="Y14" i="20"/>
  <c r="Y18" i="20"/>
  <c r="Y17" i="20"/>
  <c r="S301" i="38"/>
  <c r="S300" i="38"/>
  <c r="U67" i="15"/>
  <c r="U46" i="15"/>
  <c r="S309" i="38"/>
  <c r="S311" i="38"/>
  <c r="T85" i="55" s="1"/>
  <c r="S313" i="38"/>
  <c r="T87" i="55" s="1"/>
  <c r="S314" i="38"/>
  <c r="T88" i="55" s="1"/>
  <c r="S312" i="38"/>
  <c r="T86" i="55" s="1"/>
  <c r="S310" i="38"/>
  <c r="Y18" i="38"/>
  <c r="Y31" i="38" s="1"/>
  <c r="Y46" i="38" s="1"/>
  <c r="Y237" i="38" s="1"/>
  <c r="Y16" i="38"/>
  <c r="Y29" i="38" s="1"/>
  <c r="Y44" i="38" s="1"/>
  <c r="Y222" i="38" s="1"/>
  <c r="Z5" i="38"/>
  <c r="Y15" i="38"/>
  <c r="Y28" i="38" s="1"/>
  <c r="Y43" i="38" s="1"/>
  <c r="Y17" i="38"/>
  <c r="Y30" i="38" s="1"/>
  <c r="Y45" i="38" s="1"/>
  <c r="Y14" i="38"/>
  <c r="Y16" i="46"/>
  <c r="Y29" i="46" s="1"/>
  <c r="Y44" i="46" s="1"/>
  <c r="Y246" i="46" s="1"/>
  <c r="Y18" i="46"/>
  <c r="Y31" i="46" s="1"/>
  <c r="Z5" i="46"/>
  <c r="Y14" i="46"/>
  <c r="Y17" i="46"/>
  <c r="Y30" i="46" s="1"/>
  <c r="Y45" i="46" s="1"/>
  <c r="Y15" i="46"/>
  <c r="Y28" i="46" s="1"/>
  <c r="Y43" i="46" s="1"/>
  <c r="R177" i="28"/>
  <c r="R182" i="28"/>
  <c r="S65" i="55" s="1"/>
  <c r="R181" i="28"/>
  <c r="S64" i="55" s="1"/>
  <c r="R178" i="28"/>
  <c r="R180" i="28"/>
  <c r="S63" i="55" s="1"/>
  <c r="R179" i="28"/>
  <c r="S62" i="55" s="1"/>
  <c r="Q168" i="28"/>
  <c r="Q169" i="28"/>
  <c r="V50" i="29"/>
  <c r="V145" i="29" s="1"/>
  <c r="R303" i="42"/>
  <c r="R302" i="42"/>
  <c r="X19" i="19"/>
  <c r="X27" i="19"/>
  <c r="Y18" i="29"/>
  <c r="Y31" i="29" s="1"/>
  <c r="Y16" i="29"/>
  <c r="Y29" i="29" s="1"/>
  <c r="Y47" i="29" s="1"/>
  <c r="Z5" i="29"/>
  <c r="Y14" i="29"/>
  <c r="Y15" i="29"/>
  <c r="Y28" i="29" s="1"/>
  <c r="Y46" i="29" s="1"/>
  <c r="Y17" i="29"/>
  <c r="Y30" i="29" s="1"/>
  <c r="W220" i="46"/>
  <c r="W225" i="46" s="1"/>
  <c r="W222" i="46"/>
  <c r="W227" i="46" s="1"/>
  <c r="W221" i="46"/>
  <c r="W226" i="46" s="1"/>
  <c r="W224" i="46"/>
  <c r="X99" i="45" s="1"/>
  <c r="BD99" i="45" s="1"/>
  <c r="W219" i="48"/>
  <c r="W223" i="46"/>
  <c r="W228" i="46" s="1"/>
  <c r="U99" i="42"/>
  <c r="U103" i="42" s="1"/>
  <c r="U98" i="42"/>
  <c r="U102" i="42" s="1"/>
  <c r="U100" i="42"/>
  <c r="U97" i="42"/>
  <c r="U101" i="42" s="1"/>
  <c r="R157" i="29"/>
  <c r="R156" i="29"/>
  <c r="X27" i="42"/>
  <c r="X19" i="42"/>
  <c r="X247" i="42" s="1"/>
  <c r="O340" i="42"/>
  <c r="W141" i="42"/>
  <c r="W139" i="42"/>
  <c r="W143" i="42" s="1"/>
  <c r="W140" i="42"/>
  <c r="W144" i="42" s="1"/>
  <c r="W138" i="42"/>
  <c r="W142" i="42" s="1"/>
  <c r="T240" i="19"/>
  <c r="T239" i="19"/>
  <c r="T251" i="19" s="1"/>
  <c r="S236" i="19"/>
  <c r="S235" i="19"/>
  <c r="W49" i="28"/>
  <c r="P186" i="28"/>
  <c r="P187" i="28" s="1"/>
  <c r="P188" i="28"/>
  <c r="S307" i="38"/>
  <c r="S306" i="38"/>
  <c r="S318" i="38" s="1"/>
  <c r="U67" i="16"/>
  <c r="U46" i="16"/>
  <c r="W32" i="29"/>
  <c r="W45" i="29"/>
  <c r="X137" i="38"/>
  <c r="X145" i="38"/>
  <c r="X161" i="38"/>
  <c r="X153" i="38"/>
  <c r="X246" i="48"/>
  <c r="X249" i="46"/>
  <c r="X254" i="46" s="1"/>
  <c r="X250" i="46"/>
  <c r="X255" i="46" s="1"/>
  <c r="X247" i="46"/>
  <c r="X252" i="46" s="1"/>
  <c r="X248" i="46"/>
  <c r="X253" i="46" s="1"/>
  <c r="X251" i="46"/>
  <c r="Y96" i="45" s="1"/>
  <c r="R238" i="19"/>
  <c r="R237" i="19"/>
  <c r="R241" i="19" s="1"/>
  <c r="X15" i="54"/>
  <c r="X28" i="54" s="1"/>
  <c r="X17" i="54"/>
  <c r="X30" i="54" s="1"/>
  <c r="Y5" i="54"/>
  <c r="X14" i="54"/>
  <c r="X16" i="54"/>
  <c r="X29" i="54" s="1"/>
  <c r="X44" i="54" s="1"/>
  <c r="X150" i="54" s="1"/>
  <c r="X151" i="54" s="1"/>
  <c r="X18" i="54"/>
  <c r="X31" i="54" s="1"/>
  <c r="T250" i="42"/>
  <c r="S283" i="42"/>
  <c r="S284" i="42" s="1"/>
  <c r="V34" i="29"/>
  <c r="V135" i="29"/>
  <c r="Q158" i="29"/>
  <c r="Q162" i="29" s="1"/>
  <c r="Q159" i="29"/>
  <c r="R321" i="42"/>
  <c r="R322" i="42" s="1"/>
  <c r="W192" i="38"/>
  <c r="W196" i="38" s="1"/>
  <c r="W193" i="38"/>
  <c r="W197" i="38" s="1"/>
  <c r="W194" i="38"/>
  <c r="W198" i="38" s="1"/>
  <c r="T297" i="38"/>
  <c r="T299" i="38"/>
  <c r="T296" i="38"/>
  <c r="T298" i="38"/>
  <c r="X16" i="53"/>
  <c r="X29" i="53" s="1"/>
  <c r="X44" i="53" s="1"/>
  <c r="X150" i="53" s="1"/>
  <c r="X151" i="53" s="1"/>
  <c r="Y60" i="51" s="1"/>
  <c r="BE60" i="51" s="1"/>
  <c r="X17" i="53"/>
  <c r="X30" i="53" s="1"/>
  <c r="X14" i="53"/>
  <c r="X18" i="53"/>
  <c r="X31" i="53" s="1"/>
  <c r="X15" i="53"/>
  <c r="X28" i="53" s="1"/>
  <c r="Y5" i="53"/>
  <c r="P338" i="42"/>
  <c r="P345" i="42" s="1"/>
  <c r="W155" i="38"/>
  <c r="W159" i="38" s="1"/>
  <c r="W156" i="38"/>
  <c r="W160" i="38" s="1"/>
  <c r="W154" i="38"/>
  <c r="W158" i="38" s="1"/>
  <c r="W157" i="38"/>
  <c r="X79" i="36" s="1"/>
  <c r="BD79" i="36" s="1"/>
  <c r="U295" i="42"/>
  <c r="U292" i="42"/>
  <c r="U294" i="42"/>
  <c r="S154" i="29"/>
  <c r="S175" i="29" s="1"/>
  <c r="S176" i="29" s="1"/>
  <c r="S155" i="29"/>
  <c r="X224" i="42"/>
  <c r="X228" i="42" s="1"/>
  <c r="X225" i="42"/>
  <c r="X229" i="42" s="1"/>
  <c r="X223" i="42"/>
  <c r="X227" i="42" s="1"/>
  <c r="X226" i="42"/>
  <c r="W32" i="19"/>
  <c r="W45" i="19"/>
  <c r="W50" i="19" s="1"/>
  <c r="DH81" i="55"/>
  <c r="AU126" i="36"/>
  <c r="AU39" i="58" s="1"/>
  <c r="N346" i="42"/>
  <c r="AU127" i="36" s="1"/>
  <c r="Y5" i="28"/>
  <c r="X16" i="28"/>
  <c r="X29" i="28" s="1"/>
  <c r="X47" i="28" s="1"/>
  <c r="X15" i="28"/>
  <c r="X28" i="28" s="1"/>
  <c r="X46" i="28" s="1"/>
  <c r="X74" i="29" s="1"/>
  <c r="Y48" i="16" s="1"/>
  <c r="Y49" i="16" s="1"/>
  <c r="Y136" i="16" s="1"/>
  <c r="X18" i="28"/>
  <c r="X31" i="28" s="1"/>
  <c r="X17" i="28"/>
  <c r="X30" i="28" s="1"/>
  <c r="X14" i="28"/>
  <c r="V152" i="48"/>
  <c r="V149" i="48"/>
  <c r="V154" i="48" s="1"/>
  <c r="V148" i="48"/>
  <c r="V153" i="48" s="1"/>
  <c r="V150" i="48"/>
  <c r="V155" i="48" s="1"/>
  <c r="V151" i="48"/>
  <c r="V156" i="48" s="1"/>
  <c r="U66" i="16"/>
  <c r="U59" i="16"/>
  <c r="U135" i="16" s="1"/>
  <c r="T161" i="28"/>
  <c r="U57" i="55" s="1"/>
  <c r="T184" i="28"/>
  <c r="T185" i="28" s="1"/>
  <c r="T153" i="29"/>
  <c r="T150" i="29"/>
  <c r="T151" i="29"/>
  <c r="T152" i="29"/>
  <c r="CV38" i="55"/>
  <c r="CV87" i="55"/>
  <c r="CV63" i="55"/>
  <c r="CV88" i="55"/>
  <c r="CV61" i="55"/>
  <c r="CV85" i="55"/>
  <c r="CV86" i="55"/>
  <c r="CV84" i="55"/>
  <c r="CV62" i="55"/>
  <c r="CV64" i="55"/>
  <c r="CV65" i="55"/>
  <c r="CV40" i="55"/>
  <c r="CV41" i="55"/>
  <c r="CV42" i="55"/>
  <c r="CV39" i="55"/>
  <c r="AK35" i="55"/>
  <c r="CW84" i="55" s="1"/>
  <c r="AK38" i="55"/>
  <c r="H259" i="20"/>
  <c r="BU34" i="55"/>
  <c r="K105" i="12"/>
  <c r="K228" i="12" s="1"/>
  <c r="D163" i="14"/>
  <c r="D159" i="14" s="1"/>
  <c r="D161" i="14" s="1"/>
  <c r="H183" i="19"/>
  <c r="G216" i="19"/>
  <c r="I75" i="19"/>
  <c r="I97" i="14"/>
  <c r="J109" i="14"/>
  <c r="J110" i="14"/>
  <c r="J108" i="14" s="1"/>
  <c r="J109" i="12"/>
  <c r="J91" i="19"/>
  <c r="K136" i="14" s="1"/>
  <c r="K136" i="12"/>
  <c r="J99" i="12"/>
  <c r="J73" i="19"/>
  <c r="K114" i="14" s="1"/>
  <c r="K114" i="12"/>
  <c r="D162" i="12"/>
  <c r="J126" i="19"/>
  <c r="J111" i="19"/>
  <c r="J123" i="19"/>
  <c r="K124" i="19"/>
  <c r="L138" i="14" s="1"/>
  <c r="L138" i="12"/>
  <c r="K95" i="14"/>
  <c r="J113" i="19"/>
  <c r="K106" i="19"/>
  <c r="L103" i="14" s="1"/>
  <c r="L103" i="12"/>
  <c r="J114" i="19"/>
  <c r="D163" i="12"/>
  <c r="D159" i="12" s="1"/>
  <c r="D158" i="12"/>
  <c r="L174" i="19"/>
  <c r="C279" i="19"/>
  <c r="D165" i="14" s="1"/>
  <c r="D278" i="19"/>
  <c r="E155" i="14"/>
  <c r="K98" i="19"/>
  <c r="J180" i="19"/>
  <c r="C321" i="20"/>
  <c r="D164" i="12"/>
  <c r="D29" i="58" s="1"/>
  <c r="I94" i="19"/>
  <c r="I92" i="19"/>
  <c r="L176" i="19"/>
  <c r="I88" i="19"/>
  <c r="I87" i="19"/>
  <c r="L165" i="19"/>
  <c r="L163" i="19"/>
  <c r="L166" i="19"/>
  <c r="L164" i="19"/>
  <c r="I86" i="19"/>
  <c r="I89" i="19"/>
  <c r="I74" i="19"/>
  <c r="I76" i="19"/>
  <c r="J119" i="19"/>
  <c r="J109" i="19"/>
  <c r="I83" i="19"/>
  <c r="J111" i="14" s="1"/>
  <c r="J107" i="14" s="1"/>
  <c r="J111" i="12"/>
  <c r="J107" i="12" s="1"/>
  <c r="K118" i="19"/>
  <c r="L94" i="14" s="1"/>
  <c r="J120" i="19"/>
  <c r="I93" i="19"/>
  <c r="J108" i="19"/>
  <c r="I90" i="19"/>
  <c r="J110" i="12"/>
  <c r="J108" i="12" s="1"/>
  <c r="I80" i="19"/>
  <c r="J106" i="14" s="1"/>
  <c r="J79" i="19"/>
  <c r="K104" i="14" s="1"/>
  <c r="I77" i="19"/>
  <c r="J129" i="19"/>
  <c r="D273" i="19"/>
  <c r="I70" i="19"/>
  <c r="J100" i="14" s="1"/>
  <c r="J98" i="14" s="1"/>
  <c r="I68" i="19"/>
  <c r="J96" i="14" s="1"/>
  <c r="I69" i="19"/>
  <c r="J99" i="14" s="1"/>
  <c r="I71" i="19"/>
  <c r="J101" i="14" s="1"/>
  <c r="G293" i="20"/>
  <c r="M172" i="19"/>
  <c r="N135" i="14" s="1"/>
  <c r="K131" i="19"/>
  <c r="M215" i="20"/>
  <c r="M173" i="19" s="1"/>
  <c r="M217" i="20"/>
  <c r="M175" i="19" s="1"/>
  <c r="M219" i="20"/>
  <c r="M177" i="19" s="1"/>
  <c r="M218" i="20"/>
  <c r="M216" i="20"/>
  <c r="M203" i="20"/>
  <c r="M205" i="20"/>
  <c r="M202" i="20"/>
  <c r="M206" i="20"/>
  <c r="M167" i="19" s="1"/>
  <c r="M204" i="20"/>
  <c r="K149" i="20"/>
  <c r="K125" i="19" s="1"/>
  <c r="K152" i="20"/>
  <c r="K128" i="19" s="1"/>
  <c r="K150" i="20"/>
  <c r="K153" i="20"/>
  <c r="K151" i="20"/>
  <c r="K127" i="19" s="1"/>
  <c r="K132" i="20"/>
  <c r="K134" i="20"/>
  <c r="K110" i="19" s="1"/>
  <c r="K133" i="20"/>
  <c r="K131" i="20"/>
  <c r="K107" i="19" s="1"/>
  <c r="K135" i="20"/>
  <c r="K137" i="20"/>
  <c r="K138" i="20"/>
  <c r="K140" i="20"/>
  <c r="K116" i="19" s="1"/>
  <c r="K141" i="20"/>
  <c r="K117" i="19" s="1"/>
  <c r="K139" i="20"/>
  <c r="K115" i="19" s="1"/>
  <c r="L148" i="20"/>
  <c r="L136" i="20"/>
  <c r="L112" i="19" s="1"/>
  <c r="M126" i="14" s="1"/>
  <c r="L142" i="20"/>
  <c r="L130" i="20"/>
  <c r="K146" i="20"/>
  <c r="K122" i="19" s="1"/>
  <c r="K145" i="20"/>
  <c r="K121" i="19" s="1"/>
  <c r="K143" i="20"/>
  <c r="K147" i="20"/>
  <c r="K144" i="20"/>
  <c r="J98" i="20"/>
  <c r="J94" i="20"/>
  <c r="J96" i="20"/>
  <c r="J97" i="20"/>
  <c r="J95" i="20"/>
  <c r="J86" i="20"/>
  <c r="J78" i="19" s="1"/>
  <c r="J82" i="20"/>
  <c r="J84" i="20"/>
  <c r="J85" i="20"/>
  <c r="J83" i="20"/>
  <c r="J101" i="20"/>
  <c r="J104" i="20"/>
  <c r="J96" i="19" s="1"/>
  <c r="J102" i="20"/>
  <c r="J100" i="20"/>
  <c r="J103" i="20"/>
  <c r="J95" i="19" s="1"/>
  <c r="K75" i="20"/>
  <c r="K67" i="19" s="1"/>
  <c r="L93" i="14" s="1"/>
  <c r="K93" i="20"/>
  <c r="K85" i="19" s="1"/>
  <c r="L124" i="14" s="1"/>
  <c r="K81" i="20"/>
  <c r="K87" i="20"/>
  <c r="L104" i="12" s="1"/>
  <c r="K99" i="20"/>
  <c r="J89" i="20"/>
  <c r="J81" i="19" s="1"/>
  <c r="J91" i="20"/>
  <c r="J90" i="20"/>
  <c r="J82" i="19" s="1"/>
  <c r="J92" i="20"/>
  <c r="J84" i="19" s="1"/>
  <c r="J88" i="20"/>
  <c r="K106" i="12" s="1"/>
  <c r="J76" i="20"/>
  <c r="K96" i="12" s="1"/>
  <c r="J79" i="20"/>
  <c r="K101" i="12" s="1"/>
  <c r="K97" i="12" s="1"/>
  <c r="J80" i="20"/>
  <c r="J72" i="19" s="1"/>
  <c r="J77" i="20"/>
  <c r="J78" i="20"/>
  <c r="K100" i="12" s="1"/>
  <c r="K98" i="12" s="1"/>
  <c r="M19" i="20"/>
  <c r="M222" i="20" s="1"/>
  <c r="J36" i="20"/>
  <c r="J37" i="20"/>
  <c r="H281" i="20"/>
  <c r="H282" i="20"/>
  <c r="K95" i="12"/>
  <c r="L45" i="20"/>
  <c r="L32" i="20"/>
  <c r="BY4" i="55" s="1"/>
  <c r="DE4" i="55" s="1"/>
  <c r="I258" i="20"/>
  <c r="J225" i="20"/>
  <c r="L132" i="19"/>
  <c r="L135" i="19"/>
  <c r="M125" i="12"/>
  <c r="L134" i="19"/>
  <c r="L133" i="19"/>
  <c r="L136" i="19"/>
  <c r="K256" i="20"/>
  <c r="K34" i="20"/>
  <c r="H276" i="20"/>
  <c r="H275" i="20"/>
  <c r="L157" i="19"/>
  <c r="J179" i="19"/>
  <c r="N31" i="20"/>
  <c r="N49" i="20" s="1"/>
  <c r="N214" i="20" s="1"/>
  <c r="O135" i="12" s="1"/>
  <c r="I273" i="20"/>
  <c r="I274" i="20"/>
  <c r="I272" i="20"/>
  <c r="I271" i="20"/>
  <c r="F280" i="20"/>
  <c r="F279" i="20"/>
  <c r="F283" i="20" s="1"/>
  <c r="M30" i="20"/>
  <c r="M48" i="20" s="1"/>
  <c r="D311" i="20"/>
  <c r="D313" i="20"/>
  <c r="N123" i="12"/>
  <c r="M158" i="19"/>
  <c r="M160" i="19"/>
  <c r="L169" i="19"/>
  <c r="K55" i="19"/>
  <c r="K52" i="19" s="1"/>
  <c r="K62" i="19"/>
  <c r="K50" i="20"/>
  <c r="K221" i="20" s="1"/>
  <c r="K60" i="19"/>
  <c r="K53" i="19"/>
  <c r="K65" i="19"/>
  <c r="K58" i="19"/>
  <c r="K63" i="19"/>
  <c r="K64" i="19"/>
  <c r="L124" i="12"/>
  <c r="K57" i="19"/>
  <c r="L93" i="12"/>
  <c r="K56" i="19"/>
  <c r="K61" i="19"/>
  <c r="K54" i="19"/>
  <c r="M28" i="20"/>
  <c r="M46" i="20" s="1"/>
  <c r="N94" i="12" s="1"/>
  <c r="J266" i="20"/>
  <c r="J318" i="20"/>
  <c r="J267" i="20"/>
  <c r="J270" i="20"/>
  <c r="J317" i="20"/>
  <c r="M170" i="19"/>
  <c r="J226" i="14"/>
  <c r="N29" i="20"/>
  <c r="N47" i="20" s="1"/>
  <c r="N201" i="20" s="1"/>
  <c r="N162" i="19" s="1"/>
  <c r="O123" i="14" s="1"/>
  <c r="J226" i="12"/>
  <c r="L103" i="19"/>
  <c r="L104" i="19"/>
  <c r="L102" i="19"/>
  <c r="L99" i="19"/>
  <c r="L100" i="19"/>
  <c r="L101" i="19"/>
  <c r="M126" i="12"/>
  <c r="M27" i="20"/>
  <c r="N19" i="20"/>
  <c r="G278" i="20"/>
  <c r="G277" i="20"/>
  <c r="H260" i="20"/>
  <c r="H261" i="20"/>
  <c r="BU38" i="55" s="1"/>
  <c r="H264" i="20"/>
  <c r="BU41" i="55" s="1"/>
  <c r="H262" i="20"/>
  <c r="BU39" i="55" s="1"/>
  <c r="H265" i="20"/>
  <c r="BU42" i="55" s="1"/>
  <c r="H263" i="20"/>
  <c r="BU40" i="55" s="1"/>
  <c r="R178" i="29" l="1"/>
  <c r="V246" i="38"/>
  <c r="T141" i="16"/>
  <c r="T142" i="16" s="1"/>
  <c r="CW38" i="55"/>
  <c r="N204" i="28"/>
  <c r="P192" i="29"/>
  <c r="P69" i="15"/>
  <c r="W275" i="19"/>
  <c r="W276" i="19"/>
  <c r="W228" i="19"/>
  <c r="W224" i="19"/>
  <c r="W225" i="19"/>
  <c r="U311" i="42"/>
  <c r="BB85" i="55" s="1"/>
  <c r="U310" i="42"/>
  <c r="U313" i="42"/>
  <c r="BB87" i="55" s="1"/>
  <c r="U309" i="42"/>
  <c r="U314" i="42"/>
  <c r="BB88" i="55" s="1"/>
  <c r="U312" i="42"/>
  <c r="BB86" i="55" s="1"/>
  <c r="Y14" i="53"/>
  <c r="Y16" i="53"/>
  <c r="Y29" i="53" s="1"/>
  <c r="Y44" i="53" s="1"/>
  <c r="Y150" i="53" s="1"/>
  <c r="Y151" i="53" s="1"/>
  <c r="Z60" i="51" s="1"/>
  <c r="BF60" i="51" s="1"/>
  <c r="Y18" i="53"/>
  <c r="Y31" i="53" s="1"/>
  <c r="Z5" i="53"/>
  <c r="Y17" i="53"/>
  <c r="Y30" i="53" s="1"/>
  <c r="Y15" i="53"/>
  <c r="Y28" i="53" s="1"/>
  <c r="T307" i="38"/>
  <c r="T306" i="38"/>
  <c r="T318" i="38" s="1"/>
  <c r="Y15" i="54"/>
  <c r="Y28" i="54" s="1"/>
  <c r="Z5" i="54"/>
  <c r="Y16" i="54"/>
  <c r="Y29" i="54" s="1"/>
  <c r="Y44" i="54" s="1"/>
  <c r="Y150" i="54" s="1"/>
  <c r="Y151" i="54" s="1"/>
  <c r="Y18" i="54"/>
  <c r="Y31" i="54" s="1"/>
  <c r="Y17" i="54"/>
  <c r="Y30" i="54" s="1"/>
  <c r="Y14" i="54"/>
  <c r="W34" i="29"/>
  <c r="W135" i="29"/>
  <c r="X32" i="19"/>
  <c r="X45" i="19"/>
  <c r="X50" i="19" s="1"/>
  <c r="Y209" i="46"/>
  <c r="Y229" i="46"/>
  <c r="Y219" i="46"/>
  <c r="Z17" i="38"/>
  <c r="Z30" i="38" s="1"/>
  <c r="Z45" i="38" s="1"/>
  <c r="Z14" i="38"/>
  <c r="Z18" i="38"/>
  <c r="Z31" i="38" s="1"/>
  <c r="Z46" i="38" s="1"/>
  <c r="Z237" i="38" s="1"/>
  <c r="AA5" i="38"/>
  <c r="Z16" i="38"/>
  <c r="Z29" i="38" s="1"/>
  <c r="Z44" i="38" s="1"/>
  <c r="Z222" i="38" s="1"/>
  <c r="Z15" i="38"/>
  <c r="Z28" i="38" s="1"/>
  <c r="Z43" i="38" s="1"/>
  <c r="V81" i="42"/>
  <c r="V85" i="42" s="1"/>
  <c r="V84" i="42"/>
  <c r="V82" i="42"/>
  <c r="V86" i="42" s="1"/>
  <c r="V83" i="42"/>
  <c r="V87" i="42" s="1"/>
  <c r="T163" i="28"/>
  <c r="T162" i="28"/>
  <c r="T160" i="28"/>
  <c r="S318" i="42"/>
  <c r="S319" i="42" s="1"/>
  <c r="S320" i="42"/>
  <c r="S323" i="42" s="1"/>
  <c r="S328" i="42" s="1"/>
  <c r="Y207" i="42"/>
  <c r="Y191" i="42"/>
  <c r="Y199" i="42"/>
  <c r="S303" i="42"/>
  <c r="S302" i="42"/>
  <c r="O69" i="15"/>
  <c r="O71" i="15" s="1"/>
  <c r="O33" i="58" s="1"/>
  <c r="O58" i="55"/>
  <c r="N208" i="28"/>
  <c r="O61" i="55"/>
  <c r="N213" i="28"/>
  <c r="X224" i="46"/>
  <c r="Y99" i="45" s="1"/>
  <c r="BE99" i="45" s="1"/>
  <c r="X219" i="48"/>
  <c r="X220" i="46"/>
  <c r="X225" i="46" s="1"/>
  <c r="X221" i="46"/>
  <c r="X226" i="46" s="1"/>
  <c r="X223" i="46"/>
  <c r="X228" i="46" s="1"/>
  <c r="X222" i="46"/>
  <c r="X227" i="46" s="1"/>
  <c r="DI81" i="55"/>
  <c r="X49" i="28"/>
  <c r="W34" i="19"/>
  <c r="W214" i="19"/>
  <c r="X61" i="15"/>
  <c r="W88" i="29"/>
  <c r="Y19" i="46"/>
  <c r="Y275" i="46" s="1"/>
  <c r="Y27" i="46"/>
  <c r="Y32" i="46" s="1"/>
  <c r="Y223" i="38"/>
  <c r="Y227" i="38" s="1"/>
  <c r="Y225" i="38"/>
  <c r="Y229" i="38" s="1"/>
  <c r="Y224" i="38"/>
  <c r="Y228" i="38" s="1"/>
  <c r="U68" i="15"/>
  <c r="U77" i="15" s="1"/>
  <c r="U134" i="15"/>
  <c r="U140" i="15" s="1"/>
  <c r="U133" i="15" a="1"/>
  <c r="U141" i="15" s="1"/>
  <c r="U142" i="15" s="1"/>
  <c r="W212" i="48"/>
  <c r="W217" i="48" s="1"/>
  <c r="W214" i="48"/>
  <c r="W213" i="48"/>
  <c r="W218" i="48" s="1"/>
  <c r="W210" i="48"/>
  <c r="W215" i="48" s="1"/>
  <c r="W211" i="48"/>
  <c r="W216" i="48" s="1"/>
  <c r="V295" i="42"/>
  <c r="V292" i="42"/>
  <c r="M72" i="15"/>
  <c r="M34" i="58" s="1"/>
  <c r="L214" i="28"/>
  <c r="M73" i="15" s="1"/>
  <c r="W172" i="48"/>
  <c r="W169" i="48"/>
  <c r="W174" i="48" s="1"/>
  <c r="W168" i="48"/>
  <c r="W173" i="48" s="1"/>
  <c r="W171" i="48"/>
  <c r="W176" i="48" s="1"/>
  <c r="W170" i="48"/>
  <c r="W175" i="48" s="1"/>
  <c r="Y240" i="42"/>
  <c r="Y244" i="42" s="1"/>
  <c r="Y239" i="42"/>
  <c r="Y243" i="42" s="1"/>
  <c r="Y238" i="42"/>
  <c r="Y242" i="42" s="1"/>
  <c r="Y241" i="42"/>
  <c r="S321" i="42"/>
  <c r="S322" i="42" s="1"/>
  <c r="S324" i="42" s="1"/>
  <c r="DN80" i="55"/>
  <c r="BB80" i="55"/>
  <c r="O206" i="28"/>
  <c r="O213" i="28" s="1"/>
  <c r="S173" i="29"/>
  <c r="Y19" i="19"/>
  <c r="Y27" i="19"/>
  <c r="X193" i="38"/>
  <c r="X197" i="38" s="1"/>
  <c r="X192" i="38"/>
  <c r="X196" i="38" s="1"/>
  <c r="X194" i="38"/>
  <c r="X198" i="38" s="1"/>
  <c r="U103" i="29"/>
  <c r="U91" i="29"/>
  <c r="V66" i="15"/>
  <c r="V59" i="15"/>
  <c r="V135" i="15" s="1"/>
  <c r="R155" i="28"/>
  <c r="CE62" i="55" s="1"/>
  <c r="R154" i="28"/>
  <c r="CE61" i="55" s="1"/>
  <c r="R157" i="28"/>
  <c r="CE64" i="55" s="1"/>
  <c r="R153" i="28"/>
  <c r="R156" i="28"/>
  <c r="CE63" i="55" s="1"/>
  <c r="R158" i="28"/>
  <c r="CE65" i="55" s="1"/>
  <c r="X229" i="48"/>
  <c r="X232" i="46"/>
  <c r="X237" i="46" s="1"/>
  <c r="X231" i="46"/>
  <c r="X236" i="46" s="1"/>
  <c r="X233" i="46"/>
  <c r="X238" i="46" s="1"/>
  <c r="X234" i="46"/>
  <c r="Y108" i="45" s="1"/>
  <c r="BE108" i="45" s="1"/>
  <c r="X230" i="46"/>
  <c r="X235" i="46" s="1"/>
  <c r="U297" i="38"/>
  <c r="U296" i="38"/>
  <c r="U299" i="38"/>
  <c r="U298" i="38"/>
  <c r="AW81" i="55"/>
  <c r="T154" i="29"/>
  <c r="T155" i="29"/>
  <c r="Y64" i="15"/>
  <c r="Y48" i="15"/>
  <c r="Y49" i="15" s="1"/>
  <c r="Y136" i="15" s="1"/>
  <c r="Y45" i="15"/>
  <c r="Y58" i="15"/>
  <c r="X67" i="29"/>
  <c r="X77" i="29"/>
  <c r="Y45" i="16" s="1"/>
  <c r="X71" i="29"/>
  <c r="X75" i="29"/>
  <c r="X70" i="29"/>
  <c r="X68" i="29"/>
  <c r="X78" i="29"/>
  <c r="Y64" i="16" s="1"/>
  <c r="X66" i="29"/>
  <c r="X65" i="29" s="1"/>
  <c r="X76" i="29"/>
  <c r="Y58" i="16" s="1"/>
  <c r="X73" i="29"/>
  <c r="X69" i="29"/>
  <c r="U299" i="42"/>
  <c r="U297" i="42"/>
  <c r="U296" i="42"/>
  <c r="U298" i="42"/>
  <c r="V36" i="29"/>
  <c r="V37" i="29"/>
  <c r="X250" i="48"/>
  <c r="X255" i="48" s="1"/>
  <c r="X249" i="48"/>
  <c r="X254" i="48" s="1"/>
  <c r="X247" i="48"/>
  <c r="X252" i="48" s="1"/>
  <c r="X251" i="48"/>
  <c r="X248" i="48"/>
  <c r="X253" i="48" s="1"/>
  <c r="S237" i="19"/>
  <c r="S241" i="19" s="1"/>
  <c r="S238" i="19"/>
  <c r="Z15" i="46"/>
  <c r="Z28" i="46" s="1"/>
  <c r="Z43" i="46" s="1"/>
  <c r="Z17" i="46"/>
  <c r="Z30" i="46" s="1"/>
  <c r="Z45" i="46" s="1"/>
  <c r="AA5" i="46"/>
  <c r="Z14" i="46"/>
  <c r="Z18" i="46"/>
  <c r="Z31" i="46" s="1"/>
  <c r="Z16" i="46"/>
  <c r="Z29" i="46" s="1"/>
  <c r="Z44" i="46" s="1"/>
  <c r="Z246" i="46" s="1"/>
  <c r="Y240" i="38"/>
  <c r="Y244" i="38" s="1"/>
  <c r="Y238" i="38"/>
  <c r="Y242" i="38" s="1"/>
  <c r="Y239" i="38"/>
  <c r="Y243" i="38" s="1"/>
  <c r="AA5" i="20"/>
  <c r="Z15" i="20"/>
  <c r="Z16" i="20"/>
  <c r="Z14" i="20"/>
  <c r="Z17" i="20"/>
  <c r="Z18" i="20"/>
  <c r="W32" i="28"/>
  <c r="W45" i="28"/>
  <c r="V74" i="42"/>
  <c r="V78" i="42" s="1"/>
  <c r="V76" i="42"/>
  <c r="V73" i="42"/>
  <c r="V77" i="42" s="1"/>
  <c r="V75" i="42"/>
  <c r="V79" i="42" s="1"/>
  <c r="V295" i="38"/>
  <c r="V292" i="38"/>
  <c r="U153" i="29"/>
  <c r="U151" i="29"/>
  <c r="U152" i="29"/>
  <c r="U150" i="29"/>
  <c r="R143" i="29"/>
  <c r="R140" i="29"/>
  <c r="R142" i="29"/>
  <c r="R144" i="29"/>
  <c r="R139" i="29"/>
  <c r="R141" i="29"/>
  <c r="Y19" i="42"/>
  <c r="Y247" i="42" s="1"/>
  <c r="Y27" i="42"/>
  <c r="R328" i="42"/>
  <c r="R329" i="42" s="1"/>
  <c r="R336" i="42" s="1"/>
  <c r="W181" i="48"/>
  <c r="W186" i="48" s="1"/>
  <c r="W182" i="48"/>
  <c r="W179" i="48"/>
  <c r="W184" i="48" s="1"/>
  <c r="W178" i="48"/>
  <c r="W183" i="48" s="1"/>
  <c r="W180" i="48"/>
  <c r="W185" i="48" s="1"/>
  <c r="W197" i="54"/>
  <c r="W34" i="54"/>
  <c r="X162" i="42"/>
  <c r="X166" i="42" s="1"/>
  <c r="X163" i="42"/>
  <c r="X167" i="42" s="1"/>
  <c r="X164" i="42"/>
  <c r="X168" i="42" s="1"/>
  <c r="X165" i="42"/>
  <c r="X211" i="38"/>
  <c r="X210" i="38"/>
  <c r="X214" i="38" s="1"/>
  <c r="X208" i="38"/>
  <c r="X212" i="38" s="1"/>
  <c r="X209" i="38"/>
  <c r="X213" i="38" s="1"/>
  <c r="U159" i="28"/>
  <c r="U211" i="28"/>
  <c r="U210" i="28"/>
  <c r="W281" i="38"/>
  <c r="W34" i="38"/>
  <c r="X211" i="46"/>
  <c r="X216" i="46" s="1"/>
  <c r="X213" i="46"/>
  <c r="X218" i="46" s="1"/>
  <c r="X210" i="46"/>
  <c r="X215" i="46" s="1"/>
  <c r="X214" i="46"/>
  <c r="Y89" i="45" s="1"/>
  <c r="X209" i="48"/>
  <c r="X212" i="46"/>
  <c r="X217" i="46" s="1"/>
  <c r="X42" i="38"/>
  <c r="X32" i="38"/>
  <c r="Y55" i="15"/>
  <c r="X85" i="29"/>
  <c r="Y55" i="16" s="1"/>
  <c r="X83" i="29"/>
  <c r="X82" i="29" s="1"/>
  <c r="X19" i="53"/>
  <c r="X27" i="53"/>
  <c r="X32" i="53" s="1"/>
  <c r="S289" i="42"/>
  <c r="S286" i="42"/>
  <c r="S288" i="42"/>
  <c r="S285" i="42"/>
  <c r="S287" i="42"/>
  <c r="S290" i="42"/>
  <c r="X156" i="38"/>
  <c r="X160" i="38" s="1"/>
  <c r="X157" i="38"/>
  <c r="Y79" i="36" s="1"/>
  <c r="BE79" i="36" s="1"/>
  <c r="X155" i="38"/>
  <c r="X159" i="38" s="1"/>
  <c r="X154" i="38"/>
  <c r="X158" i="38" s="1"/>
  <c r="U68" i="16"/>
  <c r="U77" i="16"/>
  <c r="U133" i="16" a="1"/>
  <c r="U141" i="16" s="1"/>
  <c r="U142" i="16" s="1"/>
  <c r="U134" i="16"/>
  <c r="U140" i="16" s="1"/>
  <c r="R304" i="42"/>
  <c r="R308" i="42" s="1"/>
  <c r="R305" i="42"/>
  <c r="T235" i="19"/>
  <c r="T236" i="19"/>
  <c r="V106" i="42"/>
  <c r="V110" i="42" s="1"/>
  <c r="V107" i="42"/>
  <c r="V111" i="42" s="1"/>
  <c r="V105" i="42"/>
  <c r="V109" i="42" s="1"/>
  <c r="V108" i="42"/>
  <c r="V293" i="38"/>
  <c r="W80" i="55" s="1"/>
  <c r="V316" i="38"/>
  <c r="T104" i="29"/>
  <c r="S137" i="29"/>
  <c r="S138" i="29" s="1"/>
  <c r="Z14" i="42"/>
  <c r="Z17" i="42"/>
  <c r="Z30" i="42" s="1"/>
  <c r="Z45" i="42" s="1"/>
  <c r="Z16" i="42"/>
  <c r="Z29" i="42" s="1"/>
  <c r="Z44" i="42" s="1"/>
  <c r="Z222" i="42" s="1"/>
  <c r="AA5" i="42"/>
  <c r="Z15" i="42"/>
  <c r="Z28" i="42" s="1"/>
  <c r="Z43" i="42" s="1"/>
  <c r="Z18" i="42"/>
  <c r="Z31" i="42" s="1"/>
  <c r="Z46" i="42" s="1"/>
  <c r="Z237" i="42" s="1"/>
  <c r="T170" i="29"/>
  <c r="T171" i="29" s="1"/>
  <c r="T147" i="29"/>
  <c r="X195" i="42"/>
  <c r="X192" i="42"/>
  <c r="X196" i="42" s="1"/>
  <c r="X194" i="42"/>
  <c r="X198" i="42" s="1"/>
  <c r="X193" i="42"/>
  <c r="X197" i="42" s="1"/>
  <c r="X147" i="42"/>
  <c r="X151" i="42" s="1"/>
  <c r="X148" i="42"/>
  <c r="X152" i="42" s="1"/>
  <c r="X146" i="42"/>
  <c r="X150" i="42" s="1"/>
  <c r="X149" i="42"/>
  <c r="AA5" i="19"/>
  <c r="Z17" i="19"/>
  <c r="Z30" i="19" s="1"/>
  <c r="Z48" i="19" s="1"/>
  <c r="Z18" i="19"/>
  <c r="Z31" i="19" s="1"/>
  <c r="Z49" i="19" s="1"/>
  <c r="Z15" i="19"/>
  <c r="Z28" i="19" s="1"/>
  <c r="Z46" i="19" s="1"/>
  <c r="Z14" i="19"/>
  <c r="Z16" i="19"/>
  <c r="Z29" i="19" s="1"/>
  <c r="Z47" i="19" s="1"/>
  <c r="X200" i="38"/>
  <c r="X204" i="38" s="1"/>
  <c r="X201" i="38"/>
  <c r="X205" i="38" s="1"/>
  <c r="X202" i="38"/>
  <c r="X206" i="38" s="1"/>
  <c r="X203" i="38"/>
  <c r="Y101" i="36" s="1"/>
  <c r="BE101" i="36" s="1"/>
  <c r="V46" i="16"/>
  <c r="V67" i="16"/>
  <c r="V59" i="16"/>
  <c r="V135" i="16" s="1"/>
  <c r="V66" i="16"/>
  <c r="W249" i="38"/>
  <c r="W47" i="38"/>
  <c r="W291" i="38" s="1"/>
  <c r="W96" i="38"/>
  <c r="W72" i="38"/>
  <c r="W73" i="38" s="1"/>
  <c r="W80" i="38"/>
  <c r="W104" i="38"/>
  <c r="Y16" i="28"/>
  <c r="Y29" i="28" s="1"/>
  <c r="Y47" i="28" s="1"/>
  <c r="Y14" i="28"/>
  <c r="Y15" i="28"/>
  <c r="Y28" i="28" s="1"/>
  <c r="Y46" i="28" s="1"/>
  <c r="Y71" i="29" s="1"/>
  <c r="Z5" i="28"/>
  <c r="Y17" i="28"/>
  <c r="Y30" i="28" s="1"/>
  <c r="Y18" i="28"/>
  <c r="Y31" i="28" s="1"/>
  <c r="U250" i="42"/>
  <c r="T283" i="42"/>
  <c r="T284" i="42" s="1"/>
  <c r="X165" i="38"/>
  <c r="Y109" i="36" s="1"/>
  <c r="BE109" i="36" s="1"/>
  <c r="X163" i="38"/>
  <c r="X167" i="38" s="1"/>
  <c r="X164" i="38"/>
  <c r="X168" i="38" s="1"/>
  <c r="X162" i="38"/>
  <c r="X166" i="38" s="1"/>
  <c r="X42" i="42"/>
  <c r="X32" i="42"/>
  <c r="Y19" i="29"/>
  <c r="Y27" i="29"/>
  <c r="Y249" i="46"/>
  <c r="Y254" i="46" s="1"/>
  <c r="Y247" i="46"/>
  <c r="Y252" i="46" s="1"/>
  <c r="Y250" i="46"/>
  <c r="Y255" i="46" s="1"/>
  <c r="Y248" i="46"/>
  <c r="Y253" i="46" s="1"/>
  <c r="Y251" i="46"/>
  <c r="Z96" i="45" s="1"/>
  <c r="Y246" i="48"/>
  <c r="S303" i="38"/>
  <c r="S302" i="38"/>
  <c r="V293" i="42"/>
  <c r="V316" i="42"/>
  <c r="V317" i="42" s="1"/>
  <c r="W150" i="48"/>
  <c r="W155" i="48" s="1"/>
  <c r="W149" i="48"/>
  <c r="W154" i="48" s="1"/>
  <c r="W148" i="48"/>
  <c r="W153" i="48" s="1"/>
  <c r="W151" i="48"/>
  <c r="W156" i="48" s="1"/>
  <c r="W152" i="48"/>
  <c r="X34" i="46"/>
  <c r="X309" i="46"/>
  <c r="R177" i="29"/>
  <c r="X203" i="42"/>
  <c r="X200" i="42"/>
  <c r="X204" i="42" s="1"/>
  <c r="X202" i="42"/>
  <c r="X206" i="42" s="1"/>
  <c r="X201" i="42"/>
  <c r="X205" i="42" s="1"/>
  <c r="Z17" i="48"/>
  <c r="Z30" i="48" s="1"/>
  <c r="Z45" i="48" s="1"/>
  <c r="Z16" i="48"/>
  <c r="Z29" i="48" s="1"/>
  <c r="Z44" i="48" s="1"/>
  <c r="Z18" i="48"/>
  <c r="Z31" i="48" s="1"/>
  <c r="Z14" i="48"/>
  <c r="AA5" i="48"/>
  <c r="Z15" i="48"/>
  <c r="Z28" i="48" s="1"/>
  <c r="Z43" i="48" s="1"/>
  <c r="W161" i="48"/>
  <c r="W166" i="48" s="1"/>
  <c r="W159" i="48"/>
  <c r="W164" i="48" s="1"/>
  <c r="W160" i="48"/>
  <c r="W165" i="48" s="1"/>
  <c r="W162" i="48"/>
  <c r="W158" i="48"/>
  <c r="W163" i="48" s="1"/>
  <c r="X159" i="46"/>
  <c r="X164" i="46" s="1"/>
  <c r="X161" i="46"/>
  <c r="X166" i="46" s="1"/>
  <c r="X158" i="46"/>
  <c r="X163" i="46" s="1"/>
  <c r="X162" i="46"/>
  <c r="Y98" i="45" s="1"/>
  <c r="BE98" i="45" s="1"/>
  <c r="X157" i="48"/>
  <c r="X160" i="46"/>
  <c r="X165" i="46" s="1"/>
  <c r="X154" i="42"/>
  <c r="X158" i="42" s="1"/>
  <c r="X156" i="42"/>
  <c r="X160" i="42" s="1"/>
  <c r="X155" i="42"/>
  <c r="X159" i="42" s="1"/>
  <c r="X157" i="42"/>
  <c r="Q186" i="28"/>
  <c r="Q187" i="28" s="1"/>
  <c r="Q188" i="28"/>
  <c r="W34" i="42"/>
  <c r="W281" i="42"/>
  <c r="P72" i="16"/>
  <c r="AV34" i="58" s="1"/>
  <c r="O200" i="29"/>
  <c r="P73" i="16" s="1"/>
  <c r="T161" i="29"/>
  <c r="T160" i="29"/>
  <c r="T172" i="29" s="1"/>
  <c r="T173" i="29" s="1"/>
  <c r="X146" i="38"/>
  <c r="X150" i="38" s="1"/>
  <c r="X148" i="38"/>
  <c r="X152" i="38" s="1"/>
  <c r="X149" i="38"/>
  <c r="Y100" i="36" s="1"/>
  <c r="BE100" i="36" s="1"/>
  <c r="X147" i="38"/>
  <c r="X151" i="38" s="1"/>
  <c r="R159" i="29"/>
  <c r="R158" i="29"/>
  <c r="R162" i="29" s="1"/>
  <c r="W221" i="48"/>
  <c r="W226" i="48" s="1"/>
  <c r="W222" i="48"/>
  <c r="W227" i="48" s="1"/>
  <c r="W224" i="48"/>
  <c r="W223" i="48"/>
  <c r="W228" i="48" s="1"/>
  <c r="W220" i="48"/>
  <c r="W225" i="48" s="1"/>
  <c r="AA5" i="29"/>
  <c r="Z16" i="29"/>
  <c r="Z29" i="29" s="1"/>
  <c r="Z47" i="29" s="1"/>
  <c r="Z18" i="29"/>
  <c r="Z31" i="29" s="1"/>
  <c r="Z14" i="29"/>
  <c r="Z17" i="29"/>
  <c r="Z30" i="29" s="1"/>
  <c r="Z15" i="29"/>
  <c r="Z28" i="29" s="1"/>
  <c r="Z46" i="29" s="1"/>
  <c r="Y19" i="38"/>
  <c r="Y247" i="38" s="1"/>
  <c r="Y27" i="38"/>
  <c r="Q329" i="42"/>
  <c r="Q338" i="42" s="1"/>
  <c r="V36" i="19"/>
  <c r="V37" i="19"/>
  <c r="N69" i="15"/>
  <c r="N71" i="15" s="1"/>
  <c r="N33" i="58" s="1"/>
  <c r="N58" i="55"/>
  <c r="M208" i="28"/>
  <c r="N61" i="55"/>
  <c r="M213" i="28"/>
  <c r="V232" i="19"/>
  <c r="V231" i="19"/>
  <c r="V230" i="19"/>
  <c r="V229" i="19"/>
  <c r="U240" i="19"/>
  <c r="U239" i="19"/>
  <c r="U251" i="19" s="1"/>
  <c r="X211" i="42"/>
  <c r="X210" i="42"/>
  <c r="X214" i="42" s="1"/>
  <c r="X209" i="42"/>
  <c r="X213" i="42" s="1"/>
  <c r="X208" i="42"/>
  <c r="X212" i="42" s="1"/>
  <c r="X32" i="29"/>
  <c r="X45" i="29"/>
  <c r="Y19" i="48"/>
  <c r="Y275" i="48" s="1"/>
  <c r="Y27" i="48"/>
  <c r="Y32" i="48" s="1"/>
  <c r="X177" i="48"/>
  <c r="X179" i="46"/>
  <c r="X184" i="46" s="1"/>
  <c r="X182" i="46"/>
  <c r="Y107" i="45" s="1"/>
  <c r="BE107" i="45" s="1"/>
  <c r="X181" i="46"/>
  <c r="X186" i="46" s="1"/>
  <c r="X180" i="46"/>
  <c r="X185" i="46" s="1"/>
  <c r="X178" i="46"/>
  <c r="X183" i="46" s="1"/>
  <c r="R163" i="29"/>
  <c r="R164" i="29"/>
  <c r="R166" i="29"/>
  <c r="AY63" i="55" s="1"/>
  <c r="R168" i="29"/>
  <c r="AY65" i="55" s="1"/>
  <c r="R167" i="29"/>
  <c r="AY64" i="55" s="1"/>
  <c r="R165" i="29"/>
  <c r="AY62" i="55" s="1"/>
  <c r="U37" i="28"/>
  <c r="U36" i="28"/>
  <c r="X138" i="42"/>
  <c r="X142" i="42" s="1"/>
  <c r="X141" i="42"/>
  <c r="X139" i="42"/>
  <c r="X143" i="42" s="1"/>
  <c r="X140" i="42"/>
  <c r="X144" i="42" s="1"/>
  <c r="T301" i="42"/>
  <c r="T300" i="42"/>
  <c r="W249" i="42"/>
  <c r="W47" i="42"/>
  <c r="W291" i="42" s="1"/>
  <c r="W72" i="42"/>
  <c r="W104" i="42"/>
  <c r="W80" i="42"/>
  <c r="W96" i="42"/>
  <c r="V67" i="15"/>
  <c r="V46" i="15"/>
  <c r="U184" i="28"/>
  <c r="U185" i="28" s="1"/>
  <c r="U161" i="28"/>
  <c r="V57" i="55" s="1"/>
  <c r="AW61" i="55"/>
  <c r="Q70" i="16"/>
  <c r="W34" i="53"/>
  <c r="W197" i="53"/>
  <c r="Q190" i="29"/>
  <c r="R169" i="28"/>
  <c r="R168" i="28"/>
  <c r="S157" i="29"/>
  <c r="S178" i="29" s="1"/>
  <c r="S156" i="29"/>
  <c r="T301" i="38"/>
  <c r="T300" i="38"/>
  <c r="R324" i="42"/>
  <c r="X140" i="38"/>
  <c r="X138" i="38"/>
  <c r="X139" i="38"/>
  <c r="Y83" i="29"/>
  <c r="Y82" i="29" s="1"/>
  <c r="V149" i="29"/>
  <c r="V146" i="29"/>
  <c r="Y207" i="38"/>
  <c r="Y199" i="38"/>
  <c r="Y191" i="38"/>
  <c r="V246" i="42"/>
  <c r="X309" i="48"/>
  <c r="X34" i="48"/>
  <c r="V216" i="28"/>
  <c r="V54" i="29"/>
  <c r="V62" i="29"/>
  <c r="W62" i="16" s="1"/>
  <c r="V56" i="29"/>
  <c r="V61" i="29"/>
  <c r="V59" i="29"/>
  <c r="W44" i="16" s="1"/>
  <c r="V53" i="29"/>
  <c r="V50" i="28"/>
  <c r="V57" i="29"/>
  <c r="V60" i="29"/>
  <c r="W62" i="15"/>
  <c r="V55" i="29"/>
  <c r="V52" i="29" s="1"/>
  <c r="W44" i="15"/>
  <c r="V63" i="29"/>
  <c r="W56" i="16" s="1"/>
  <c r="W56" i="15"/>
  <c r="V117" i="28"/>
  <c r="Y137" i="42"/>
  <c r="Y145" i="42"/>
  <c r="Y153" i="42"/>
  <c r="Y161" i="42"/>
  <c r="U197" i="29"/>
  <c r="U196" i="29"/>
  <c r="DL57" i="55"/>
  <c r="AZ57" i="55"/>
  <c r="S148" i="29"/>
  <c r="X169" i="46"/>
  <c r="X174" i="46" s="1"/>
  <c r="X168" i="46"/>
  <c r="X173" i="46" s="1"/>
  <c r="X167" i="48"/>
  <c r="X172" i="46"/>
  <c r="Y77" i="45" s="1"/>
  <c r="BE77" i="45" s="1"/>
  <c r="X171" i="46"/>
  <c r="X176" i="46" s="1"/>
  <c r="X170" i="46"/>
  <c r="X175" i="46" s="1"/>
  <c r="W61" i="16"/>
  <c r="V87" i="29"/>
  <c r="CF57" i="55"/>
  <c r="S152" i="28"/>
  <c r="S182" i="28"/>
  <c r="T65" i="55" s="1"/>
  <c r="S179" i="28"/>
  <c r="T62" i="55" s="1"/>
  <c r="S181" i="28"/>
  <c r="T64" i="55" s="1"/>
  <c r="S180" i="28"/>
  <c r="T63" i="55" s="1"/>
  <c r="S178" i="28"/>
  <c r="S177" i="28"/>
  <c r="T306" i="42"/>
  <c r="T307" i="42"/>
  <c r="Q69" i="16"/>
  <c r="AW58" i="55"/>
  <c r="DI58" i="55"/>
  <c r="P199" i="29"/>
  <c r="P340" i="42"/>
  <c r="X19" i="28"/>
  <c r="X118" i="28" s="1"/>
  <c r="X27" i="28"/>
  <c r="P346" i="42"/>
  <c r="AW127" i="36" s="1"/>
  <c r="AW126" i="36"/>
  <c r="AW39" i="58" s="1"/>
  <c r="X19" i="54"/>
  <c r="X27" i="54"/>
  <c r="X32" i="54" s="1"/>
  <c r="W50" i="29"/>
  <c r="W145" i="29" s="1"/>
  <c r="P189" i="28"/>
  <c r="P190" i="28" s="1"/>
  <c r="P192" i="28" s="1"/>
  <c r="P191" i="28"/>
  <c r="Y49" i="29"/>
  <c r="Q170" i="28"/>
  <c r="Q171" i="28"/>
  <c r="Y147" i="46"/>
  <c r="Y167" i="46"/>
  <c r="Y157" i="46"/>
  <c r="Y177" i="46"/>
  <c r="Y137" i="38"/>
  <c r="Y153" i="38"/>
  <c r="Y145" i="38"/>
  <c r="Y161" i="38"/>
  <c r="V99" i="42"/>
  <c r="V103" i="42" s="1"/>
  <c r="V100" i="42"/>
  <c r="V98" i="42"/>
  <c r="V102" i="42" s="1"/>
  <c r="V97" i="42"/>
  <c r="V101" i="42" s="1"/>
  <c r="X87" i="45"/>
  <c r="X85" i="45"/>
  <c r="BD87" i="45"/>
  <c r="BD86" i="45"/>
  <c r="BD85" i="45"/>
  <c r="X86" i="45"/>
  <c r="P173" i="28"/>
  <c r="P172" i="28"/>
  <c r="P176" i="28" s="1"/>
  <c r="W230" i="48"/>
  <c r="W235" i="48" s="1"/>
  <c r="W233" i="48"/>
  <c r="W238" i="48" s="1"/>
  <c r="W232" i="48"/>
  <c r="W237" i="48" s="1"/>
  <c r="W231" i="48"/>
  <c r="W236" i="48" s="1"/>
  <c r="W234" i="48"/>
  <c r="V34" i="28"/>
  <c r="V149" i="28"/>
  <c r="Y225" i="42"/>
  <c r="Y229" i="42" s="1"/>
  <c r="Y226" i="42"/>
  <c r="Y224" i="42"/>
  <c r="Y228" i="42" s="1"/>
  <c r="Y223" i="42"/>
  <c r="Y227" i="42" s="1"/>
  <c r="R305" i="38"/>
  <c r="R304" i="38"/>
  <c r="R308" i="38" s="1"/>
  <c r="U234" i="19"/>
  <c r="U233" i="19"/>
  <c r="S177" i="29"/>
  <c r="X148" i="46"/>
  <c r="X153" i="46" s="1"/>
  <c r="X152" i="46"/>
  <c r="Y83" i="45" s="1"/>
  <c r="X147" i="48"/>
  <c r="X149" i="46"/>
  <c r="X154" i="46" s="1"/>
  <c r="X150" i="46"/>
  <c r="X155" i="46" s="1"/>
  <c r="X151" i="46"/>
  <c r="X156" i="46" s="1"/>
  <c r="W65" i="15"/>
  <c r="W139" i="15" s="1"/>
  <c r="T151" i="28"/>
  <c r="U217" i="28"/>
  <c r="S165" i="28"/>
  <c r="S167" i="28"/>
  <c r="S164" i="28"/>
  <c r="S166" i="28"/>
  <c r="R175" i="28"/>
  <c r="R174" i="28"/>
  <c r="U294" i="38"/>
  <c r="AW84" i="55"/>
  <c r="D160" i="12"/>
  <c r="D161" i="12" s="1"/>
  <c r="CW61" i="55"/>
  <c r="CW85" i="55"/>
  <c r="CW42" i="55"/>
  <c r="CW63" i="55"/>
  <c r="CW40" i="55"/>
  <c r="CW87" i="55"/>
  <c r="CW39" i="55"/>
  <c r="CW64" i="55"/>
  <c r="CW41" i="55"/>
  <c r="CW65" i="55"/>
  <c r="CW88" i="55"/>
  <c r="CW62" i="55"/>
  <c r="CW86" i="55"/>
  <c r="I259" i="20"/>
  <c r="I265" i="20" s="1"/>
  <c r="BV42" i="55" s="1"/>
  <c r="BV34" i="55"/>
  <c r="E35" i="55"/>
  <c r="E38" i="55"/>
  <c r="I183" i="19"/>
  <c r="H216" i="19"/>
  <c r="J97" i="14"/>
  <c r="K105" i="14"/>
  <c r="K228" i="14" s="1"/>
  <c r="K73" i="19"/>
  <c r="L114" i="14" s="1"/>
  <c r="L114" i="12"/>
  <c r="J75" i="19"/>
  <c r="K110" i="14"/>
  <c r="K108" i="14" s="1"/>
  <c r="K99" i="12"/>
  <c r="K109" i="12"/>
  <c r="K91" i="19"/>
  <c r="L136" i="14" s="1"/>
  <c r="L136" i="12"/>
  <c r="L105" i="12"/>
  <c r="L228" i="12" s="1"/>
  <c r="L95" i="14"/>
  <c r="K111" i="19"/>
  <c r="L124" i="19"/>
  <c r="M138" i="14" s="1"/>
  <c r="M138" i="12"/>
  <c r="K114" i="19"/>
  <c r="K109" i="14"/>
  <c r="K123" i="19"/>
  <c r="L106" i="19"/>
  <c r="M103" i="14" s="1"/>
  <c r="M103" i="12"/>
  <c r="K113" i="19"/>
  <c r="K126" i="19"/>
  <c r="M174" i="19"/>
  <c r="E156" i="12"/>
  <c r="E158" i="12" s="1"/>
  <c r="E155" i="12"/>
  <c r="E157" i="14"/>
  <c r="AK28" i="58" s="1"/>
  <c r="E163" i="14"/>
  <c r="E159" i="14" s="1"/>
  <c r="D165" i="12"/>
  <c r="D279" i="19"/>
  <c r="E165" i="14" s="1"/>
  <c r="E164" i="14"/>
  <c r="AK29" i="58" s="1"/>
  <c r="L98" i="19"/>
  <c r="J92" i="19"/>
  <c r="M176" i="19"/>
  <c r="J88" i="19"/>
  <c r="J87" i="19"/>
  <c r="M166" i="19"/>
  <c r="M165" i="19"/>
  <c r="M164" i="19"/>
  <c r="M163" i="19"/>
  <c r="J86" i="19"/>
  <c r="J89" i="19"/>
  <c r="J74" i="19"/>
  <c r="J76" i="19"/>
  <c r="J93" i="19"/>
  <c r="K109" i="19"/>
  <c r="J83" i="19"/>
  <c r="K111" i="14" s="1"/>
  <c r="K107" i="14" s="1"/>
  <c r="K111" i="12"/>
  <c r="K107" i="12" s="1"/>
  <c r="K119" i="19"/>
  <c r="L118" i="19"/>
  <c r="M94" i="14" s="1"/>
  <c r="K108" i="19"/>
  <c r="K110" i="12"/>
  <c r="K108" i="12" s="1"/>
  <c r="K120" i="19"/>
  <c r="J94" i="19"/>
  <c r="J90" i="19"/>
  <c r="K129" i="19"/>
  <c r="J80" i="19"/>
  <c r="K106" i="14" s="1"/>
  <c r="J77" i="19"/>
  <c r="K79" i="19"/>
  <c r="L104" i="14" s="1"/>
  <c r="L105" i="14" s="1"/>
  <c r="L228" i="14" s="1"/>
  <c r="J71" i="19"/>
  <c r="K101" i="14" s="1"/>
  <c r="J70" i="19"/>
  <c r="K100" i="14" s="1"/>
  <c r="K98" i="14" s="1"/>
  <c r="J68" i="19"/>
  <c r="K96" i="14" s="1"/>
  <c r="J69" i="19"/>
  <c r="K99" i="14" s="1"/>
  <c r="K180" i="19"/>
  <c r="H293" i="20"/>
  <c r="N172" i="19"/>
  <c r="O135" i="14" s="1"/>
  <c r="L131" i="19"/>
  <c r="N216" i="20"/>
  <c r="N218" i="20"/>
  <c r="N215" i="20"/>
  <c r="N173" i="19" s="1"/>
  <c r="N217" i="20"/>
  <c r="N175" i="19" s="1"/>
  <c r="N219" i="20"/>
  <c r="N177" i="19" s="1"/>
  <c r="N202" i="20"/>
  <c r="N204" i="20"/>
  <c r="N206" i="20"/>
  <c r="N167" i="19" s="1"/>
  <c r="N203" i="20"/>
  <c r="N205" i="20"/>
  <c r="L132" i="20"/>
  <c r="L131" i="20"/>
  <c r="L107" i="19" s="1"/>
  <c r="L134" i="20"/>
  <c r="L110" i="19" s="1"/>
  <c r="L133" i="20"/>
  <c r="L135" i="20"/>
  <c r="L147" i="20"/>
  <c r="L145" i="20"/>
  <c r="L121" i="19" s="1"/>
  <c r="L146" i="20"/>
  <c r="L122" i="19" s="1"/>
  <c r="L144" i="20"/>
  <c r="L143" i="20"/>
  <c r="L152" i="20"/>
  <c r="L128" i="19" s="1"/>
  <c r="L151" i="20"/>
  <c r="L127" i="19" s="1"/>
  <c r="L150" i="20"/>
  <c r="L149" i="20"/>
  <c r="L125" i="19" s="1"/>
  <c r="L153" i="20"/>
  <c r="M142" i="20"/>
  <c r="M148" i="20"/>
  <c r="M136" i="20"/>
  <c r="M112" i="19" s="1"/>
  <c r="N126" i="14" s="1"/>
  <c r="M130" i="20"/>
  <c r="L137" i="20"/>
  <c r="L140" i="20"/>
  <c r="L116" i="19" s="1"/>
  <c r="L138" i="20"/>
  <c r="L139" i="20"/>
  <c r="L115" i="19" s="1"/>
  <c r="L141" i="20"/>
  <c r="L117" i="19" s="1"/>
  <c r="K76" i="20"/>
  <c r="L96" i="12" s="1"/>
  <c r="K79" i="20"/>
  <c r="L101" i="12" s="1"/>
  <c r="L97" i="12" s="1"/>
  <c r="K78" i="20"/>
  <c r="L100" i="12" s="1"/>
  <c r="L98" i="12" s="1"/>
  <c r="K77" i="20"/>
  <c r="K80" i="20"/>
  <c r="K72" i="19" s="1"/>
  <c r="K89" i="20"/>
  <c r="K81" i="19" s="1"/>
  <c r="K91" i="20"/>
  <c r="K92" i="20"/>
  <c r="K84" i="19" s="1"/>
  <c r="K88" i="20"/>
  <c r="L106" i="12" s="1"/>
  <c r="K90" i="20"/>
  <c r="K82" i="19" s="1"/>
  <c r="K83" i="20"/>
  <c r="K82" i="20"/>
  <c r="K84" i="20"/>
  <c r="K86" i="20"/>
  <c r="K78" i="19" s="1"/>
  <c r="K85" i="20"/>
  <c r="K100" i="20"/>
  <c r="K104" i="20"/>
  <c r="K96" i="19" s="1"/>
  <c r="K103" i="20"/>
  <c r="K95" i="19" s="1"/>
  <c r="K101" i="20"/>
  <c r="K102" i="20"/>
  <c r="L75" i="20"/>
  <c r="L67" i="19" s="1"/>
  <c r="M93" i="14" s="1"/>
  <c r="L81" i="20"/>
  <c r="L99" i="20"/>
  <c r="L93" i="20"/>
  <c r="L85" i="19" s="1"/>
  <c r="M124" i="14" s="1"/>
  <c r="L87" i="20"/>
  <c r="M104" i="12" s="1"/>
  <c r="K97" i="20"/>
  <c r="K95" i="20"/>
  <c r="K96" i="20"/>
  <c r="K98" i="20"/>
  <c r="K94" i="20"/>
  <c r="J273" i="20"/>
  <c r="J274" i="20"/>
  <c r="J272" i="20"/>
  <c r="J271" i="20"/>
  <c r="N28" i="20"/>
  <c r="N46" i="20" s="1"/>
  <c r="O94" i="12" s="1"/>
  <c r="M157" i="19"/>
  <c r="M132" i="19"/>
  <c r="M133" i="19"/>
  <c r="M135" i="19"/>
  <c r="M136" i="19"/>
  <c r="N125" i="12"/>
  <c r="M134" i="19"/>
  <c r="N170" i="19"/>
  <c r="K37" i="20"/>
  <c r="K36" i="20"/>
  <c r="N27" i="20"/>
  <c r="N222" i="20"/>
  <c r="M45" i="20"/>
  <c r="M32" i="20"/>
  <c r="BZ4" i="55" s="1"/>
  <c r="DF4" i="55" s="1"/>
  <c r="M169" i="19"/>
  <c r="M103" i="19"/>
  <c r="M99" i="19"/>
  <c r="M101" i="19"/>
  <c r="M100" i="19"/>
  <c r="M104" i="19"/>
  <c r="M102" i="19"/>
  <c r="N126" i="12"/>
  <c r="L95" i="12"/>
  <c r="N30" i="20"/>
  <c r="N48" i="20" s="1"/>
  <c r="L256" i="20"/>
  <c r="L34" i="20"/>
  <c r="G279" i="20"/>
  <c r="G283" i="20" s="1"/>
  <c r="G280" i="20"/>
  <c r="N158" i="19"/>
  <c r="N160" i="19"/>
  <c r="O123" i="12"/>
  <c r="K266" i="20"/>
  <c r="K267" i="20"/>
  <c r="K318" i="20"/>
  <c r="K270" i="20"/>
  <c r="K317" i="20"/>
  <c r="I281" i="20"/>
  <c r="I282" i="20"/>
  <c r="H278" i="20"/>
  <c r="H277" i="20"/>
  <c r="J258" i="20"/>
  <c r="K225" i="20"/>
  <c r="L55" i="19"/>
  <c r="L52" i="19" s="1"/>
  <c r="L60" i="19"/>
  <c r="L62" i="19"/>
  <c r="M93" i="12"/>
  <c r="L50" i="20"/>
  <c r="L58" i="19"/>
  <c r="L64" i="19"/>
  <c r="L56" i="19"/>
  <c r="L65" i="19"/>
  <c r="L61" i="19"/>
  <c r="M124" i="12"/>
  <c r="L53" i="19"/>
  <c r="L63" i="19"/>
  <c r="L54" i="19"/>
  <c r="L57" i="19"/>
  <c r="K226" i="14"/>
  <c r="O29" i="20"/>
  <c r="O47" i="20" s="1"/>
  <c r="O201" i="20" s="1"/>
  <c r="O162" i="19" s="1"/>
  <c r="P123" i="14" s="1"/>
  <c r="K179" i="19"/>
  <c r="D315" i="20"/>
  <c r="D320" i="20"/>
  <c r="I276" i="20"/>
  <c r="I275" i="20"/>
  <c r="O31" i="20"/>
  <c r="O49" i="20" s="1"/>
  <c r="O214" i="20" s="1"/>
  <c r="P135" i="12" s="1"/>
  <c r="I262" i="20"/>
  <c r="BV39" i="55" s="1"/>
  <c r="K226" i="12"/>
  <c r="I264" i="20" l="1"/>
  <c r="BV41" i="55" s="1"/>
  <c r="I263" i="20"/>
  <c r="BV40" i="55" s="1"/>
  <c r="I260" i="20"/>
  <c r="I261" i="20"/>
  <c r="BV38" i="55" s="1"/>
  <c r="Y49" i="28"/>
  <c r="W65" i="16"/>
  <c r="W139" i="16" s="1"/>
  <c r="P72" i="15"/>
  <c r="P34" i="58" s="1"/>
  <c r="O214" i="28"/>
  <c r="P73" i="15" s="1"/>
  <c r="V217" i="28"/>
  <c r="U151" i="28"/>
  <c r="Y85" i="45"/>
  <c r="BE87" i="45"/>
  <c r="BE85" i="45"/>
  <c r="Y86" i="45"/>
  <c r="BE86" i="45"/>
  <c r="Y87" i="45"/>
  <c r="Y139" i="38"/>
  <c r="Y138" i="38"/>
  <c r="Y140" i="38"/>
  <c r="P196" i="28"/>
  <c r="P197" i="28" s="1"/>
  <c r="P206" i="28" s="1"/>
  <c r="Q70" i="15" s="1"/>
  <c r="S158" i="28"/>
  <c r="CF65" i="55" s="1"/>
  <c r="S154" i="28"/>
  <c r="CF61" i="55" s="1"/>
  <c r="S155" i="28"/>
  <c r="CF62" i="55" s="1"/>
  <c r="S153" i="28"/>
  <c r="S157" i="28"/>
  <c r="CF64" i="55" s="1"/>
  <c r="S156" i="28"/>
  <c r="CF63" i="55" s="1"/>
  <c r="X168" i="48"/>
  <c r="X173" i="48" s="1"/>
  <c r="X169" i="48"/>
  <c r="X174" i="48" s="1"/>
  <c r="X172" i="48"/>
  <c r="X171" i="48"/>
  <c r="X176" i="48" s="1"/>
  <c r="X170" i="48"/>
  <c r="X175" i="48" s="1"/>
  <c r="Y163" i="42"/>
  <c r="Y167" i="42" s="1"/>
  <c r="Y164" i="42"/>
  <c r="Y168" i="42" s="1"/>
  <c r="Y162" i="42"/>
  <c r="Y166" i="42" s="1"/>
  <c r="Y165" i="42"/>
  <c r="V92" i="29"/>
  <c r="Y194" i="38"/>
  <c r="Y198" i="38" s="1"/>
  <c r="Y193" i="38"/>
  <c r="Y197" i="38" s="1"/>
  <c r="Y192" i="38"/>
  <c r="Y196" i="38" s="1"/>
  <c r="Q71" i="16"/>
  <c r="AW33" i="58" s="1"/>
  <c r="W83" i="42"/>
  <c r="W87" i="42" s="1"/>
  <c r="W81" i="42"/>
  <c r="W85" i="42" s="1"/>
  <c r="W84" i="42"/>
  <c r="W82" i="42"/>
  <c r="W86" i="42" s="1"/>
  <c r="N72" i="15"/>
  <c r="N34" i="58" s="1"/>
  <c r="M214" i="28"/>
  <c r="N73" i="15" s="1"/>
  <c r="Q336" i="42"/>
  <c r="DO80" i="55"/>
  <c r="BC80" i="55"/>
  <c r="Z55" i="15"/>
  <c r="Y85" i="29"/>
  <c r="Z55" i="16" s="1"/>
  <c r="W293" i="38"/>
  <c r="X80" i="55" s="1"/>
  <c r="W316" i="38"/>
  <c r="DM57" i="55"/>
  <c r="BA57" i="55"/>
  <c r="T148" i="29"/>
  <c r="S142" i="29"/>
  <c r="S144" i="29"/>
  <c r="S139" i="29"/>
  <c r="S141" i="29"/>
  <c r="S143" i="29"/>
  <c r="S140" i="29"/>
  <c r="U155" i="29"/>
  <c r="U154" i="29"/>
  <c r="AA18" i="46"/>
  <c r="AA31" i="46" s="1"/>
  <c r="AA14" i="46"/>
  <c r="AA15" i="46"/>
  <c r="AA28" i="46" s="1"/>
  <c r="AA43" i="46" s="1"/>
  <c r="AA17" i="46"/>
  <c r="AA30" i="46" s="1"/>
  <c r="AA45" i="46" s="1"/>
  <c r="AA16" i="46"/>
  <c r="AA29" i="46" s="1"/>
  <c r="AA44" i="46" s="1"/>
  <c r="AA246" i="46" s="1"/>
  <c r="AB5" i="46"/>
  <c r="W37" i="19"/>
  <c r="W36" i="19"/>
  <c r="S305" i="42"/>
  <c r="S304" i="42"/>
  <c r="S308" i="42" s="1"/>
  <c r="T179" i="28"/>
  <c r="U62" i="55" s="1"/>
  <c r="T177" i="28"/>
  <c r="T180" i="28"/>
  <c r="U63" i="55" s="1"/>
  <c r="T178" i="28"/>
  <c r="T181" i="28"/>
  <c r="U64" i="55" s="1"/>
  <c r="T182" i="28"/>
  <c r="U65" i="55" s="1"/>
  <c r="AA14" i="38"/>
  <c r="AA18" i="38"/>
  <c r="AA31" i="38" s="1"/>
  <c r="AA46" i="38" s="1"/>
  <c r="AA237" i="38" s="1"/>
  <c r="AA17" i="38"/>
  <c r="AA30" i="38" s="1"/>
  <c r="AA45" i="38" s="1"/>
  <c r="AA16" i="38"/>
  <c r="AA29" i="38" s="1"/>
  <c r="AA44" i="38" s="1"/>
  <c r="AA222" i="38" s="1"/>
  <c r="AB5" i="38"/>
  <c r="AA15" i="38"/>
  <c r="AA28" i="38" s="1"/>
  <c r="AA43" i="38" s="1"/>
  <c r="X34" i="19"/>
  <c r="X214" i="19"/>
  <c r="Y19" i="53"/>
  <c r="Y27" i="53"/>
  <c r="Y32" i="53" s="1"/>
  <c r="U310" i="38"/>
  <c r="U309" i="38"/>
  <c r="U312" i="38"/>
  <c r="V86" i="55" s="1"/>
  <c r="U313" i="38"/>
  <c r="V87" i="55" s="1"/>
  <c r="U314" i="38"/>
  <c r="V88" i="55" s="1"/>
  <c r="U311" i="38"/>
  <c r="V85" i="55" s="1"/>
  <c r="CG57" i="55"/>
  <c r="T152" i="28"/>
  <c r="S182" i="29"/>
  <c r="S183" i="29"/>
  <c r="S192" i="29" s="1"/>
  <c r="T70" i="16" s="1"/>
  <c r="Y179" i="46"/>
  <c r="Y184" i="46" s="1"/>
  <c r="Y181" i="46"/>
  <c r="Y186" i="46" s="1"/>
  <c r="Y182" i="46"/>
  <c r="Z107" i="45" s="1"/>
  <c r="BF107" i="45" s="1"/>
  <c r="Y177" i="48"/>
  <c r="Y180" i="46"/>
  <c r="Y185" i="46" s="1"/>
  <c r="Y178" i="46"/>
  <c r="Y183" i="46" s="1"/>
  <c r="X32" i="28"/>
  <c r="X45" i="28"/>
  <c r="T318" i="42"/>
  <c r="T319" i="42" s="1"/>
  <c r="T320" i="42"/>
  <c r="T323" i="42" s="1"/>
  <c r="Y157" i="42"/>
  <c r="Y155" i="42"/>
  <c r="Y159" i="42" s="1"/>
  <c r="Y154" i="42"/>
  <c r="Y158" i="42" s="1"/>
  <c r="Y156" i="42"/>
  <c r="Y160" i="42" s="1"/>
  <c r="Y201" i="38"/>
  <c r="Y205" i="38" s="1"/>
  <c r="Y202" i="38"/>
  <c r="Y206" i="38" s="1"/>
  <c r="Y203" i="38"/>
  <c r="Z101" i="36" s="1"/>
  <c r="BF101" i="36" s="1"/>
  <c r="Y200" i="38"/>
  <c r="Y204" i="38" s="1"/>
  <c r="W106" i="42"/>
  <c r="W110" i="42" s="1"/>
  <c r="W108" i="42"/>
  <c r="W105" i="42"/>
  <c r="W109" i="42" s="1"/>
  <c r="W107" i="42"/>
  <c r="W111" i="42" s="1"/>
  <c r="X178" i="48"/>
  <c r="X183" i="48" s="1"/>
  <c r="X181" i="48"/>
  <c r="X186" i="48" s="1"/>
  <c r="X182" i="48"/>
  <c r="X180" i="48"/>
  <c r="X185" i="48" s="1"/>
  <c r="X179" i="48"/>
  <c r="X184" i="48" s="1"/>
  <c r="AB5" i="29"/>
  <c r="AA15" i="29"/>
  <c r="AA28" i="29" s="1"/>
  <c r="AA46" i="29" s="1"/>
  <c r="AA18" i="29"/>
  <c r="AA31" i="29" s="1"/>
  <c r="AA16" i="29"/>
  <c r="AA29" i="29" s="1"/>
  <c r="AA47" i="29" s="1"/>
  <c r="AA17" i="29"/>
  <c r="AA30" i="29" s="1"/>
  <c r="AA14" i="29"/>
  <c r="S304" i="38"/>
  <c r="S308" i="38" s="1"/>
  <c r="S305" i="38"/>
  <c r="Y32" i="29"/>
  <c r="Y45" i="29"/>
  <c r="T288" i="42"/>
  <c r="T285" i="42"/>
  <c r="T287" i="42"/>
  <c r="T289" i="42"/>
  <c r="T286" i="42"/>
  <c r="T290" i="42"/>
  <c r="T174" i="29"/>
  <c r="T177" i="29" s="1"/>
  <c r="U104" i="29"/>
  <c r="T137" i="29"/>
  <c r="T138" i="29" s="1"/>
  <c r="T237" i="19"/>
  <c r="T241" i="19" s="1"/>
  <c r="T238" i="19"/>
  <c r="X34" i="38"/>
  <c r="X281" i="38"/>
  <c r="AA16" i="20"/>
  <c r="AA14" i="20"/>
  <c r="AA17" i="20"/>
  <c r="AA18" i="20"/>
  <c r="AB5" i="20"/>
  <c r="AA15" i="20"/>
  <c r="Z229" i="46"/>
  <c r="Z219" i="46"/>
  <c r="Z209" i="46"/>
  <c r="Y61" i="15"/>
  <c r="X88" i="29"/>
  <c r="T165" i="28"/>
  <c r="T164" i="28"/>
  <c r="T167" i="28"/>
  <c r="T166" i="28"/>
  <c r="Z239" i="38"/>
  <c r="Z243" i="38" s="1"/>
  <c r="Z238" i="38"/>
  <c r="Z242" i="38" s="1"/>
  <c r="Z240" i="38"/>
  <c r="Z244" i="38" s="1"/>
  <c r="W230" i="19"/>
  <c r="W231" i="19"/>
  <c r="W229" i="19"/>
  <c r="W232" i="19"/>
  <c r="R186" i="28"/>
  <c r="R187" i="28" s="1"/>
  <c r="R188" i="28"/>
  <c r="Y157" i="48"/>
  <c r="Y162" i="46"/>
  <c r="Z98" i="45" s="1"/>
  <c r="BF98" i="45" s="1"/>
  <c r="Y161" i="46"/>
  <c r="Y166" i="46" s="1"/>
  <c r="Y160" i="46"/>
  <c r="Y165" i="46" s="1"/>
  <c r="Y159" i="46"/>
  <c r="Y164" i="46" s="1"/>
  <c r="Y158" i="46"/>
  <c r="Y163" i="46" s="1"/>
  <c r="Y148" i="42"/>
  <c r="Y152" i="42" s="1"/>
  <c r="Y147" i="42"/>
  <c r="Y151" i="42" s="1"/>
  <c r="Y149" i="42"/>
  <c r="Y146" i="42"/>
  <c r="Y150" i="42" s="1"/>
  <c r="Y210" i="38"/>
  <c r="Y214" i="38" s="1"/>
  <c r="Y211" i="38"/>
  <c r="Y208" i="38"/>
  <c r="Y212" i="38" s="1"/>
  <c r="Y209" i="38"/>
  <c r="Y213" i="38" s="1"/>
  <c r="W75" i="42"/>
  <c r="W79" i="42" s="1"/>
  <c r="W76" i="42"/>
  <c r="W73" i="42"/>
  <c r="W77" i="42" s="1"/>
  <c r="W74" i="42"/>
  <c r="W78" i="42" s="1"/>
  <c r="Y309" i="48"/>
  <c r="Y34" i="48"/>
  <c r="Y42" i="38"/>
  <c r="Y32" i="38"/>
  <c r="X160" i="48"/>
  <c r="X165" i="48" s="1"/>
  <c r="X162" i="48"/>
  <c r="X159" i="48"/>
  <c r="X164" i="48" s="1"/>
  <c r="X158" i="48"/>
  <c r="X163" i="48" s="1"/>
  <c r="X161" i="48"/>
  <c r="X166" i="48" s="1"/>
  <c r="V250" i="42"/>
  <c r="U283" i="42"/>
  <c r="U284" i="42" s="1"/>
  <c r="W246" i="38"/>
  <c r="Z19" i="19"/>
  <c r="Z27" i="19"/>
  <c r="Z240" i="42"/>
  <c r="Z244" i="42" s="1"/>
  <c r="Z241" i="42"/>
  <c r="Z238" i="42"/>
  <c r="Z242" i="42" s="1"/>
  <c r="Z239" i="42"/>
  <c r="Z243" i="42" s="1"/>
  <c r="X249" i="38"/>
  <c r="X80" i="38"/>
  <c r="X96" i="38"/>
  <c r="X47" i="38"/>
  <c r="X291" i="38" s="1"/>
  <c r="X104" i="38"/>
  <c r="X72" i="38"/>
  <c r="X73" i="38" s="1"/>
  <c r="U160" i="29"/>
  <c r="U172" i="29" s="1"/>
  <c r="U161" i="29"/>
  <c r="W216" i="28"/>
  <c r="W62" i="29"/>
  <c r="X62" i="16" s="1"/>
  <c r="W55" i="29"/>
  <c r="W52" i="29" s="1"/>
  <c r="W60" i="29"/>
  <c r="X56" i="15"/>
  <c r="W54" i="29"/>
  <c r="W57" i="29"/>
  <c r="X44" i="15"/>
  <c r="W56" i="29"/>
  <c r="X62" i="15"/>
  <c r="W50" i="28"/>
  <c r="W59" i="29"/>
  <c r="X44" i="16" s="1"/>
  <c r="W61" i="29"/>
  <c r="W63" i="29"/>
  <c r="X56" i="16" s="1"/>
  <c r="W53" i="29"/>
  <c r="Z147" i="46"/>
  <c r="Z157" i="46"/>
  <c r="Z177" i="46"/>
  <c r="Z167" i="46"/>
  <c r="U300" i="38"/>
  <c r="U301" i="38"/>
  <c r="Y32" i="19"/>
  <c r="Y45" i="19"/>
  <c r="Y50" i="19" s="1"/>
  <c r="O72" i="15"/>
  <c r="O34" i="58" s="1"/>
  <c r="N214" i="28"/>
  <c r="O73" i="15" s="1"/>
  <c r="Y201" i="42"/>
  <c r="Y205" i="42" s="1"/>
  <c r="Y202" i="42"/>
  <c r="Y206" i="42" s="1"/>
  <c r="Y203" i="42"/>
  <c r="Y200" i="42"/>
  <c r="Y204" i="42" s="1"/>
  <c r="Z19" i="38"/>
  <c r="Z247" i="38" s="1"/>
  <c r="Z27" i="38"/>
  <c r="W37" i="29"/>
  <c r="W36" i="29"/>
  <c r="U235" i="19"/>
  <c r="U236" i="19"/>
  <c r="V37" i="28"/>
  <c r="V36" i="28"/>
  <c r="Y171" i="46"/>
  <c r="Y176" i="46" s="1"/>
  <c r="Y172" i="46"/>
  <c r="Z77" i="45" s="1"/>
  <c r="BF77" i="45" s="1"/>
  <c r="Y169" i="46"/>
  <c r="Y174" i="46" s="1"/>
  <c r="Y170" i="46"/>
  <c r="Y175" i="46" s="1"/>
  <c r="Y168" i="46"/>
  <c r="Y173" i="46" s="1"/>
  <c r="Y167" i="48"/>
  <c r="W149" i="29"/>
  <c r="W146" i="29"/>
  <c r="S165" i="29"/>
  <c r="AZ62" i="55" s="1"/>
  <c r="S167" i="29"/>
  <c r="AZ64" i="55" s="1"/>
  <c r="S164" i="29"/>
  <c r="S166" i="29"/>
  <c r="AZ63" i="55" s="1"/>
  <c r="S168" i="29"/>
  <c r="AZ65" i="55" s="1"/>
  <c r="S163" i="29"/>
  <c r="Y140" i="42"/>
  <c r="Y144" i="42" s="1"/>
  <c r="Y139" i="42"/>
  <c r="Y143" i="42" s="1"/>
  <c r="Y141" i="42"/>
  <c r="Y138" i="42"/>
  <c r="Y142" i="42" s="1"/>
  <c r="V184" i="28"/>
  <c r="V185" i="28" s="1"/>
  <c r="V161" i="28"/>
  <c r="W295" i="42"/>
  <c r="W292" i="42"/>
  <c r="Q189" i="28"/>
  <c r="Q190" i="28" s="1"/>
  <c r="Q191" i="28"/>
  <c r="Y250" i="48"/>
  <c r="Y255" i="48" s="1"/>
  <c r="Y247" i="48"/>
  <c r="Y252" i="48" s="1"/>
  <c r="Y249" i="48"/>
  <c r="Y254" i="48" s="1"/>
  <c r="Y251" i="48"/>
  <c r="Y248" i="48"/>
  <c r="Y253" i="48" s="1"/>
  <c r="X34" i="42"/>
  <c r="X281" i="42"/>
  <c r="Z61" i="15"/>
  <c r="Y88" i="29"/>
  <c r="Z137" i="42"/>
  <c r="Z153" i="42"/>
  <c r="Z161" i="42"/>
  <c r="Z145" i="42"/>
  <c r="W34" i="28"/>
  <c r="W149" i="28"/>
  <c r="V196" i="29"/>
  <c r="V197" i="29"/>
  <c r="U307" i="38"/>
  <c r="U306" i="38"/>
  <c r="U318" i="38" s="1"/>
  <c r="X231" i="48"/>
  <c r="X236" i="48" s="1"/>
  <c r="X233" i="48"/>
  <c r="X238" i="48" s="1"/>
  <c r="X232" i="48"/>
  <c r="X237" i="48" s="1"/>
  <c r="X234" i="48"/>
  <c r="X230" i="48"/>
  <c r="X235" i="48" s="1"/>
  <c r="Y309" i="46"/>
  <c r="Y34" i="46"/>
  <c r="Y193" i="42"/>
  <c r="Y197" i="42" s="1"/>
  <c r="Y194" i="42"/>
  <c r="Y198" i="42" s="1"/>
  <c r="Y195" i="42"/>
  <c r="Y192" i="42"/>
  <c r="Y196" i="42" s="1"/>
  <c r="Z207" i="38"/>
  <c r="Z191" i="38"/>
  <c r="Z199" i="38"/>
  <c r="Y19" i="54"/>
  <c r="Y27" i="54"/>
  <c r="Y32" i="54" s="1"/>
  <c r="S168" i="28"/>
  <c r="S169" i="28"/>
  <c r="Y147" i="48"/>
  <c r="Y151" i="46"/>
  <c r="Y156" i="46" s="1"/>
  <c r="Y150" i="46"/>
  <c r="Y155" i="46" s="1"/>
  <c r="Y149" i="46"/>
  <c r="Y154" i="46" s="1"/>
  <c r="Y148" i="46"/>
  <c r="Y153" i="46" s="1"/>
  <c r="Y152" i="46"/>
  <c r="Z83" i="45" s="1"/>
  <c r="X197" i="54"/>
  <c r="X34" i="54"/>
  <c r="Q72" i="16"/>
  <c r="AW34" i="58" s="1"/>
  <c r="P200" i="29"/>
  <c r="Q73" i="16" s="1"/>
  <c r="V211" i="28"/>
  <c r="V210" i="28"/>
  <c r="V159" i="28"/>
  <c r="R170" i="28"/>
  <c r="R171" i="28"/>
  <c r="V134" i="15"/>
  <c r="V140" i="15" s="1"/>
  <c r="V133" i="15" a="1"/>
  <c r="V68" i="15"/>
  <c r="V77" i="15" s="1"/>
  <c r="W293" i="42"/>
  <c r="W294" i="42" s="1"/>
  <c r="W316" i="42"/>
  <c r="W317" i="42" s="1"/>
  <c r="X50" i="29"/>
  <c r="X145" i="29" s="1"/>
  <c r="X249" i="42"/>
  <c r="X72" i="42"/>
  <c r="X47" i="42"/>
  <c r="X291" i="42" s="1"/>
  <c r="X96" i="42"/>
  <c r="X104" i="42"/>
  <c r="X80" i="42"/>
  <c r="V134" i="16"/>
  <c r="V140" i="16" s="1"/>
  <c r="V133" i="16" a="1"/>
  <c r="V68" i="16"/>
  <c r="V77" i="16"/>
  <c r="AB5" i="42"/>
  <c r="AA17" i="42"/>
  <c r="AA30" i="42" s="1"/>
  <c r="AA45" i="42" s="1"/>
  <c r="AA16" i="42"/>
  <c r="AA29" i="42" s="1"/>
  <c r="AA44" i="42" s="1"/>
  <c r="AA222" i="42" s="1"/>
  <c r="AA18" i="42"/>
  <c r="AA31" i="42" s="1"/>
  <c r="AA46" i="42" s="1"/>
  <c r="AA237" i="42" s="1"/>
  <c r="AA15" i="42"/>
  <c r="AA28" i="42" s="1"/>
  <c r="AA43" i="42" s="1"/>
  <c r="AA14" i="42"/>
  <c r="X197" i="53"/>
  <c r="X34" i="53"/>
  <c r="X211" i="48"/>
  <c r="X216" i="48" s="1"/>
  <c r="X212" i="48"/>
  <c r="X217" i="48" s="1"/>
  <c r="X214" i="48"/>
  <c r="X210" i="48"/>
  <c r="X215" i="48" s="1"/>
  <c r="X213" i="48"/>
  <c r="X218" i="48" s="1"/>
  <c r="V294" i="38"/>
  <c r="U301" i="42"/>
  <c r="U300" i="42"/>
  <c r="V294" i="42"/>
  <c r="Y211" i="42"/>
  <c r="Y209" i="42"/>
  <c r="Y213" i="42" s="1"/>
  <c r="Y210" i="42"/>
  <c r="Y214" i="42" s="1"/>
  <c r="Y208" i="42"/>
  <c r="Y212" i="42" s="1"/>
  <c r="Y223" i="46"/>
  <c r="Y228" i="46" s="1"/>
  <c r="Y219" i="48"/>
  <c r="Y222" i="46"/>
  <c r="Y227" i="46" s="1"/>
  <c r="Y221" i="46"/>
  <c r="Y226" i="46" s="1"/>
  <c r="Y224" i="46"/>
  <c r="Z99" i="45" s="1"/>
  <c r="BF99" i="45" s="1"/>
  <c r="Y220" i="46"/>
  <c r="Y225" i="46" s="1"/>
  <c r="Y163" i="38"/>
  <c r="Y167" i="38" s="1"/>
  <c r="Y164" i="38"/>
  <c r="Y168" i="38" s="1"/>
  <c r="Y165" i="38"/>
  <c r="Z109" i="36" s="1"/>
  <c r="BF109" i="36" s="1"/>
  <c r="Y162" i="38"/>
  <c r="Y166" i="38" s="1"/>
  <c r="Q192" i="28"/>
  <c r="W66" i="15"/>
  <c r="W59" i="15"/>
  <c r="W135" i="15" s="1"/>
  <c r="DJ58" i="55"/>
  <c r="AX58" i="55"/>
  <c r="R69" i="16"/>
  <c r="R71" i="16" s="1"/>
  <c r="AX33" i="58" s="1"/>
  <c r="Q199" i="29"/>
  <c r="T321" i="42"/>
  <c r="T322" i="42" s="1"/>
  <c r="X135" i="29"/>
  <c r="X34" i="29"/>
  <c r="AX61" i="55"/>
  <c r="AA17" i="48"/>
  <c r="AA30" i="48" s="1"/>
  <c r="AA45" i="48" s="1"/>
  <c r="AA14" i="48"/>
  <c r="AA15" i="48"/>
  <c r="AA28" i="48" s="1"/>
  <c r="AA43" i="48" s="1"/>
  <c r="AB5" i="48"/>
  <c r="AA16" i="48"/>
  <c r="AA29" i="48" s="1"/>
  <c r="AA44" i="48" s="1"/>
  <c r="AA18" i="48"/>
  <c r="AA31" i="48" s="1"/>
  <c r="Z18" i="28"/>
  <c r="Z31" i="28" s="1"/>
  <c r="Z15" i="28"/>
  <c r="Z28" i="28" s="1"/>
  <c r="Z46" i="28" s="1"/>
  <c r="AA5" i="28"/>
  <c r="Z16" i="28"/>
  <c r="Z29" i="28" s="1"/>
  <c r="Z47" i="28" s="1"/>
  <c r="Z83" i="29" s="1"/>
  <c r="Z82" i="29" s="1"/>
  <c r="Z14" i="28"/>
  <c r="Z17" i="28"/>
  <c r="Z30" i="28" s="1"/>
  <c r="Z224" i="42"/>
  <c r="Z228" i="42" s="1"/>
  <c r="Z225" i="42"/>
  <c r="Z229" i="42" s="1"/>
  <c r="Z223" i="42"/>
  <c r="Z227" i="42" s="1"/>
  <c r="Z226" i="42"/>
  <c r="U163" i="28"/>
  <c r="U162" i="28"/>
  <c r="U160" i="28"/>
  <c r="V299" i="38"/>
  <c r="V297" i="38"/>
  <c r="V296" i="38"/>
  <c r="V298" i="38"/>
  <c r="Z246" i="48"/>
  <c r="Z249" i="46"/>
  <c r="Z254" i="46" s="1"/>
  <c r="Z251" i="46"/>
  <c r="AA96" i="45" s="1"/>
  <c r="Z247" i="46"/>
  <c r="Z252" i="46" s="1"/>
  <c r="Z250" i="46"/>
  <c r="Z255" i="46" s="1"/>
  <c r="Z248" i="46"/>
  <c r="Z253" i="46" s="1"/>
  <c r="P58" i="55"/>
  <c r="P70" i="15"/>
  <c r="P71" i="15" s="1"/>
  <c r="P33" i="58" s="1"/>
  <c r="X61" i="16"/>
  <c r="W87" i="29"/>
  <c r="S329" i="42"/>
  <c r="S336" i="42" s="1"/>
  <c r="Y229" i="48"/>
  <c r="Y232" i="46"/>
  <c r="Y237" i="46" s="1"/>
  <c r="Y234" i="46"/>
  <c r="Z108" i="45" s="1"/>
  <c r="BF108" i="45" s="1"/>
  <c r="Y230" i="46"/>
  <c r="Y235" i="46" s="1"/>
  <c r="Y233" i="46"/>
  <c r="Y238" i="46" s="1"/>
  <c r="Y231" i="46"/>
  <c r="Y236" i="46" s="1"/>
  <c r="Z16" i="53"/>
  <c r="Z29" i="53" s="1"/>
  <c r="Z44" i="53" s="1"/>
  <c r="Z150" i="53" s="1"/>
  <c r="Z151" i="53" s="1"/>
  <c r="AA60" i="51" s="1"/>
  <c r="BG60" i="51" s="1"/>
  <c r="Z14" i="53"/>
  <c r="Z18" i="53"/>
  <c r="Z31" i="53" s="1"/>
  <c r="AA5" i="53"/>
  <c r="Z15" i="53"/>
  <c r="Z28" i="53" s="1"/>
  <c r="Z17" i="53"/>
  <c r="Z30" i="53" s="1"/>
  <c r="P61" i="55"/>
  <c r="S174" i="28"/>
  <c r="S175" i="28"/>
  <c r="X152" i="48"/>
  <c r="X150" i="48"/>
  <c r="X155" i="48" s="1"/>
  <c r="X148" i="48"/>
  <c r="X153" i="48" s="1"/>
  <c r="X151" i="48"/>
  <c r="X156" i="48" s="1"/>
  <c r="X149" i="48"/>
  <c r="X154" i="48" s="1"/>
  <c r="Y146" i="38"/>
  <c r="Y150" i="38" s="1"/>
  <c r="Y149" i="38"/>
  <c r="Z100" i="36" s="1"/>
  <c r="BF100" i="36" s="1"/>
  <c r="Y148" i="38"/>
  <c r="Y152" i="38" s="1"/>
  <c r="Y147" i="38"/>
  <c r="Y151" i="38" s="1"/>
  <c r="Q172" i="28"/>
  <c r="Q176" i="28" s="1"/>
  <c r="Q173" i="28"/>
  <c r="W66" i="16"/>
  <c r="W59" i="16"/>
  <c r="W135" i="16" s="1"/>
  <c r="W67" i="16"/>
  <c r="W46" i="16"/>
  <c r="V152" i="29"/>
  <c r="V150" i="29"/>
  <c r="V153" i="29"/>
  <c r="V151" i="29"/>
  <c r="T303" i="38"/>
  <c r="T302" i="38"/>
  <c r="W246" i="42"/>
  <c r="T302" i="42"/>
  <c r="T303" i="42"/>
  <c r="V233" i="19"/>
  <c r="V234" i="19"/>
  <c r="Z19" i="29"/>
  <c r="Z27" i="29"/>
  <c r="Z19" i="48"/>
  <c r="Z275" i="48" s="1"/>
  <c r="Z27" i="48"/>
  <c r="Z32" i="48" s="1"/>
  <c r="Z48" i="15"/>
  <c r="Z49" i="15" s="1"/>
  <c r="Z136" i="15" s="1"/>
  <c r="Z58" i="15"/>
  <c r="Z45" i="15"/>
  <c r="Z64" i="15"/>
  <c r="Y77" i="29"/>
  <c r="Z45" i="16" s="1"/>
  <c r="Y74" i="29"/>
  <c r="Z48" i="16" s="1"/>
  <c r="Z49" i="16" s="1"/>
  <c r="Z136" i="16" s="1"/>
  <c r="Y68" i="29"/>
  <c r="Y75" i="29"/>
  <c r="Y67" i="29"/>
  <c r="Y69" i="29"/>
  <c r="Y78" i="29"/>
  <c r="Z64" i="16" s="1"/>
  <c r="Y70" i="29"/>
  <c r="Y66" i="29"/>
  <c r="Y65" i="29" s="1"/>
  <c r="Y76" i="29"/>
  <c r="Z58" i="16" s="1"/>
  <c r="Y73" i="29"/>
  <c r="AB5" i="19"/>
  <c r="AA15" i="19"/>
  <c r="AA28" i="19" s="1"/>
  <c r="AA46" i="19" s="1"/>
  <c r="AA18" i="19"/>
  <c r="AA31" i="19" s="1"/>
  <c r="AA49" i="19" s="1"/>
  <c r="AA17" i="19"/>
  <c r="AA30" i="19" s="1"/>
  <c r="AA48" i="19" s="1"/>
  <c r="AA14" i="19"/>
  <c r="AA16" i="19"/>
  <c r="AA29" i="19" s="1"/>
  <c r="AA47" i="19" s="1"/>
  <c r="Z191" i="42"/>
  <c r="Z207" i="42"/>
  <c r="Z199" i="42"/>
  <c r="R338" i="42"/>
  <c r="R345" i="42" s="1"/>
  <c r="AY126" i="36" s="1"/>
  <c r="AY39" i="58" s="1"/>
  <c r="U170" i="29"/>
  <c r="U171" i="29" s="1"/>
  <c r="U147" i="29"/>
  <c r="V299" i="42"/>
  <c r="V296" i="42"/>
  <c r="V297" i="42"/>
  <c r="V298" i="42"/>
  <c r="X65" i="15"/>
  <c r="X139" i="15" s="1"/>
  <c r="Z137" i="38"/>
  <c r="Z161" i="38"/>
  <c r="Z145" i="38"/>
  <c r="Z153" i="38"/>
  <c r="Y214" i="46"/>
  <c r="Z89" i="45" s="1"/>
  <c r="Y209" i="48"/>
  <c r="Y211" i="46"/>
  <c r="Y216" i="46" s="1"/>
  <c r="Y212" i="46"/>
  <c r="Y217" i="46" s="1"/>
  <c r="Y213" i="46"/>
  <c r="Y218" i="46" s="1"/>
  <c r="Y210" i="46"/>
  <c r="Y215" i="46" s="1"/>
  <c r="O208" i="28"/>
  <c r="Y155" i="38"/>
  <c r="Y159" i="38" s="1"/>
  <c r="Y154" i="38"/>
  <c r="Y158" i="38" s="1"/>
  <c r="Y157" i="38"/>
  <c r="Z79" i="36" s="1"/>
  <c r="BF79" i="36" s="1"/>
  <c r="Y156" i="38"/>
  <c r="Y160" i="38" s="1"/>
  <c r="W67" i="15"/>
  <c r="W46" i="15"/>
  <c r="V103" i="29"/>
  <c r="V91" i="29"/>
  <c r="S158" i="29"/>
  <c r="S162" i="29" s="1"/>
  <c r="S159" i="29"/>
  <c r="W98" i="42"/>
  <c r="W102" i="42" s="1"/>
  <c r="W99" i="42"/>
  <c r="W103" i="42" s="1"/>
  <c r="W97" i="42"/>
  <c r="W101" i="42" s="1"/>
  <c r="W100" i="42"/>
  <c r="V240" i="19"/>
  <c r="V239" i="19"/>
  <c r="V251" i="19" s="1"/>
  <c r="Z49" i="29"/>
  <c r="R182" i="29"/>
  <c r="Y19" i="28"/>
  <c r="Y118" i="28" s="1"/>
  <c r="Y27" i="28"/>
  <c r="W295" i="38"/>
  <c r="W292" i="38"/>
  <c r="Z27" i="42"/>
  <c r="Z19" i="42"/>
  <c r="Z247" i="42" s="1"/>
  <c r="Y42" i="42"/>
  <c r="Y32" i="42"/>
  <c r="Z27" i="46"/>
  <c r="Z32" i="46" s="1"/>
  <c r="Z19" i="46"/>
  <c r="Z275" i="46" s="1"/>
  <c r="U307" i="42"/>
  <c r="U306" i="42"/>
  <c r="T157" i="29"/>
  <c r="T156" i="29"/>
  <c r="X223" i="48"/>
  <c r="X228" i="48" s="1"/>
  <c r="X224" i="48"/>
  <c r="X222" i="48"/>
  <c r="X227" i="48" s="1"/>
  <c r="X221" i="48"/>
  <c r="X226" i="48" s="1"/>
  <c r="X220" i="48"/>
  <c r="X225" i="48" s="1"/>
  <c r="Z224" i="38"/>
  <c r="Z228" i="38" s="1"/>
  <c r="Z223" i="38"/>
  <c r="Z227" i="38" s="1"/>
  <c r="Z225" i="38"/>
  <c r="Z229" i="38" s="1"/>
  <c r="X225" i="19"/>
  <c r="X276" i="19"/>
  <c r="X275" i="19"/>
  <c r="X228" i="19"/>
  <c r="X224" i="19"/>
  <c r="Z16" i="54"/>
  <c r="Z29" i="54" s="1"/>
  <c r="Z44" i="54" s="1"/>
  <c r="Z150" i="54" s="1"/>
  <c r="Z151" i="54" s="1"/>
  <c r="Z18" i="54"/>
  <c r="Z31" i="54" s="1"/>
  <c r="Z15" i="54"/>
  <c r="Z28" i="54" s="1"/>
  <c r="AA5" i="54"/>
  <c r="Z17" i="54"/>
  <c r="Z30" i="54" s="1"/>
  <c r="Z14" i="54"/>
  <c r="J259" i="20"/>
  <c r="J265" i="20" s="1"/>
  <c r="BW42" i="55" s="1"/>
  <c r="BW34" i="55"/>
  <c r="J183" i="19"/>
  <c r="I216" i="19"/>
  <c r="L110" i="14"/>
  <c r="L108" i="14" s="1"/>
  <c r="L99" i="12"/>
  <c r="L91" i="19"/>
  <c r="M136" i="14" s="1"/>
  <c r="M136" i="12"/>
  <c r="K75" i="19"/>
  <c r="K97" i="14"/>
  <c r="L109" i="12"/>
  <c r="L73" i="19"/>
  <c r="M114" i="14" s="1"/>
  <c r="M114" i="12"/>
  <c r="M105" i="12"/>
  <c r="M228" i="12" s="1"/>
  <c r="M124" i="19"/>
  <c r="N138" i="14" s="1"/>
  <c r="N138" i="12"/>
  <c r="M95" i="14"/>
  <c r="L113" i="19"/>
  <c r="L126" i="19"/>
  <c r="L111" i="19"/>
  <c r="M106" i="19"/>
  <c r="N103" i="14" s="1"/>
  <c r="N103" i="12"/>
  <c r="L114" i="19"/>
  <c r="L123" i="19"/>
  <c r="L109" i="14"/>
  <c r="E162" i="12"/>
  <c r="E160" i="12" s="1"/>
  <c r="E157" i="12"/>
  <c r="E28" i="58" s="1"/>
  <c r="E163" i="12"/>
  <c r="E159" i="12" s="1"/>
  <c r="N174" i="19"/>
  <c r="E161" i="14"/>
  <c r="L180" i="19"/>
  <c r="M98" i="19"/>
  <c r="D321" i="20"/>
  <c r="E164" i="12"/>
  <c r="E29" i="58" s="1"/>
  <c r="K94" i="19"/>
  <c r="K92" i="19"/>
  <c r="N176" i="19"/>
  <c r="K88" i="19"/>
  <c r="K87" i="19"/>
  <c r="N166" i="19"/>
  <c r="N163" i="19"/>
  <c r="N164" i="19"/>
  <c r="N165" i="19"/>
  <c r="K86" i="19"/>
  <c r="K89" i="19"/>
  <c r="K74" i="19"/>
  <c r="K76" i="19"/>
  <c r="K83" i="19"/>
  <c r="L111" i="14" s="1"/>
  <c r="L107" i="14" s="1"/>
  <c r="L111" i="12"/>
  <c r="L107" i="12" s="1"/>
  <c r="L119" i="19"/>
  <c r="K93" i="19"/>
  <c r="K90" i="19"/>
  <c r="L120" i="19"/>
  <c r="L108" i="19"/>
  <c r="L110" i="12"/>
  <c r="L108" i="12" s="1"/>
  <c r="M118" i="19"/>
  <c r="N94" i="14" s="1"/>
  <c r="L109" i="19"/>
  <c r="L79" i="19"/>
  <c r="M104" i="14" s="1"/>
  <c r="K80" i="19"/>
  <c r="L106" i="14" s="1"/>
  <c r="K77" i="19"/>
  <c r="L129" i="19"/>
  <c r="K71" i="19"/>
  <c r="L101" i="14" s="1"/>
  <c r="K68" i="19"/>
  <c r="L96" i="14" s="1"/>
  <c r="K69" i="19"/>
  <c r="L99" i="14" s="1"/>
  <c r="K70" i="19"/>
  <c r="L100" i="14" s="1"/>
  <c r="L98" i="14" s="1"/>
  <c r="I293" i="20"/>
  <c r="O172" i="19"/>
  <c r="P135" i="14" s="1"/>
  <c r="M131" i="19"/>
  <c r="O219" i="20"/>
  <c r="O177" i="19" s="1"/>
  <c r="O216" i="20"/>
  <c r="O218" i="20"/>
  <c r="O215" i="20"/>
  <c r="O173" i="19" s="1"/>
  <c r="O217" i="20"/>
  <c r="O175" i="19" s="1"/>
  <c r="O202" i="20"/>
  <c r="O204" i="20"/>
  <c r="O206" i="20"/>
  <c r="O167" i="19" s="1"/>
  <c r="O203" i="20"/>
  <c r="O205" i="20"/>
  <c r="M143" i="20"/>
  <c r="M146" i="20"/>
  <c r="M122" i="19" s="1"/>
  <c r="M147" i="20"/>
  <c r="M145" i="20"/>
  <c r="M121" i="19" s="1"/>
  <c r="M144" i="20"/>
  <c r="M133" i="20"/>
  <c r="M131" i="20"/>
  <c r="M107" i="19" s="1"/>
  <c r="M132" i="20"/>
  <c r="M134" i="20"/>
  <c r="M110" i="19" s="1"/>
  <c r="M135" i="20"/>
  <c r="N148" i="20"/>
  <c r="N130" i="20"/>
  <c r="N136" i="20"/>
  <c r="N112" i="19" s="1"/>
  <c r="O126" i="14" s="1"/>
  <c r="N142" i="20"/>
  <c r="M138" i="20"/>
  <c r="M137" i="20"/>
  <c r="M141" i="20"/>
  <c r="M117" i="19" s="1"/>
  <c r="M140" i="20"/>
  <c r="M116" i="19" s="1"/>
  <c r="M139" i="20"/>
  <c r="M115" i="19" s="1"/>
  <c r="M151" i="20"/>
  <c r="M127" i="19" s="1"/>
  <c r="M152" i="20"/>
  <c r="M128" i="19" s="1"/>
  <c r="M149" i="20"/>
  <c r="M125" i="19" s="1"/>
  <c r="M153" i="20"/>
  <c r="M150" i="20"/>
  <c r="L102" i="20"/>
  <c r="L100" i="20"/>
  <c r="L103" i="20"/>
  <c r="L95" i="19" s="1"/>
  <c r="L101" i="20"/>
  <c r="L104" i="20"/>
  <c r="L96" i="19" s="1"/>
  <c r="L83" i="20"/>
  <c r="L84" i="20"/>
  <c r="L82" i="20"/>
  <c r="L85" i="20"/>
  <c r="L86" i="20"/>
  <c r="L78" i="19" s="1"/>
  <c r="M75" i="20"/>
  <c r="M67" i="19" s="1"/>
  <c r="N93" i="14" s="1"/>
  <c r="M81" i="20"/>
  <c r="M93" i="20"/>
  <c r="M85" i="19" s="1"/>
  <c r="N124" i="14" s="1"/>
  <c r="M99" i="20"/>
  <c r="M87" i="20"/>
  <c r="N104" i="12" s="1"/>
  <c r="L91" i="20"/>
  <c r="L89" i="20"/>
  <c r="L81" i="19" s="1"/>
  <c r="L90" i="20"/>
  <c r="L82" i="19" s="1"/>
  <c r="L92" i="20"/>
  <c r="L84" i="19" s="1"/>
  <c r="L88" i="20"/>
  <c r="M106" i="12" s="1"/>
  <c r="L77" i="20"/>
  <c r="L78" i="20"/>
  <c r="M100" i="12" s="1"/>
  <c r="M98" i="12" s="1"/>
  <c r="L80" i="20"/>
  <c r="L72" i="19" s="1"/>
  <c r="L76" i="20"/>
  <c r="M96" i="12" s="1"/>
  <c r="L79" i="20"/>
  <c r="M101" i="12" s="1"/>
  <c r="M97" i="12" s="1"/>
  <c r="L95" i="20"/>
  <c r="L96" i="20"/>
  <c r="L98" i="20"/>
  <c r="L94" i="20"/>
  <c r="L97" i="20"/>
  <c r="O19" i="20"/>
  <c r="O222" i="20" s="1"/>
  <c r="L266" i="20"/>
  <c r="L318" i="20"/>
  <c r="L267" i="20"/>
  <c r="L317" i="20"/>
  <c r="L270" i="20"/>
  <c r="O30" i="20"/>
  <c r="O48" i="20" s="1"/>
  <c r="L226" i="12"/>
  <c r="O28" i="20"/>
  <c r="O46" i="20" s="1"/>
  <c r="P94" i="12" s="1"/>
  <c r="J276" i="20"/>
  <c r="J275" i="20"/>
  <c r="M95" i="12"/>
  <c r="L225" i="20"/>
  <c r="K258" i="20"/>
  <c r="K274" i="20"/>
  <c r="K273" i="20"/>
  <c r="K272" i="20"/>
  <c r="K271" i="20"/>
  <c r="N157" i="19"/>
  <c r="M256" i="20"/>
  <c r="M34" i="20"/>
  <c r="L226" i="14"/>
  <c r="P31" i="20"/>
  <c r="P49" i="20" s="1"/>
  <c r="P214" i="20" s="1"/>
  <c r="Q135" i="12" s="1"/>
  <c r="P29" i="20"/>
  <c r="P47" i="20" s="1"/>
  <c r="P201" i="20" s="1"/>
  <c r="P162" i="19" s="1"/>
  <c r="Q123" i="14" s="1"/>
  <c r="O170" i="19"/>
  <c r="L221" i="20"/>
  <c r="L179" i="19"/>
  <c r="J260" i="20"/>
  <c r="M62" i="19"/>
  <c r="M55" i="19"/>
  <c r="M52" i="19" s="1"/>
  <c r="N93" i="12"/>
  <c r="M50" i="20"/>
  <c r="M221" i="20" s="1"/>
  <c r="M60" i="19"/>
  <c r="M54" i="19"/>
  <c r="M63" i="19"/>
  <c r="M65" i="19"/>
  <c r="M56" i="19"/>
  <c r="M57" i="19"/>
  <c r="M61" i="19"/>
  <c r="M58" i="19"/>
  <c r="M64" i="19"/>
  <c r="M53" i="19"/>
  <c r="N124" i="12"/>
  <c r="P19" i="20"/>
  <c r="O27" i="20"/>
  <c r="N169" i="19"/>
  <c r="I278" i="20"/>
  <c r="I277" i="20"/>
  <c r="P123" i="12"/>
  <c r="O160" i="19"/>
  <c r="O158" i="19"/>
  <c r="H279" i="20"/>
  <c r="H283" i="20" s="1"/>
  <c r="H280" i="20"/>
  <c r="L36" i="20"/>
  <c r="L37" i="20"/>
  <c r="O125" i="12"/>
  <c r="N135" i="19"/>
  <c r="N134" i="19"/>
  <c r="N133" i="19"/>
  <c r="N132" i="19"/>
  <c r="N136" i="19"/>
  <c r="N45" i="20"/>
  <c r="N32" i="20"/>
  <c r="CA4" i="55" s="1"/>
  <c r="DG4" i="55" s="1"/>
  <c r="N103" i="19"/>
  <c r="N104" i="19"/>
  <c r="N101" i="19"/>
  <c r="O126" i="12"/>
  <c r="N99" i="19"/>
  <c r="N102" i="19"/>
  <c r="N100" i="19"/>
  <c r="J281" i="20"/>
  <c r="J282" i="20"/>
  <c r="V141" i="16" l="1"/>
  <c r="V142" i="16" s="1"/>
  <c r="J262" i="20"/>
  <c r="BW39" i="55" s="1"/>
  <c r="J261" i="20"/>
  <c r="BW38" i="55" s="1"/>
  <c r="J263" i="20"/>
  <c r="BW40" i="55" s="1"/>
  <c r="J264" i="20"/>
  <c r="BW41" i="55" s="1"/>
  <c r="W294" i="38"/>
  <c r="W311" i="38" s="1"/>
  <c r="X85" i="55" s="1"/>
  <c r="V141" i="15"/>
  <c r="V142" i="15" s="1"/>
  <c r="S338" i="42"/>
  <c r="S345" i="42" s="1"/>
  <c r="AZ126" i="36" s="1"/>
  <c r="AZ39" i="58" s="1"/>
  <c r="X246" i="38"/>
  <c r="Z49" i="28"/>
  <c r="W309" i="42"/>
  <c r="W312" i="42"/>
  <c r="BD86" i="55" s="1"/>
  <c r="W313" i="42"/>
  <c r="BD87" i="55" s="1"/>
  <c r="W310" i="42"/>
  <c r="W311" i="42"/>
  <c r="BD85" i="55" s="1"/>
  <c r="W314" i="42"/>
  <c r="BD88" i="55" s="1"/>
  <c r="X229" i="19"/>
  <c r="X231" i="19"/>
  <c r="X232" i="19"/>
  <c r="X230" i="19"/>
  <c r="W314" i="38"/>
  <c r="X88" i="55" s="1"/>
  <c r="W312" i="38"/>
  <c r="X86" i="55" s="1"/>
  <c r="W309" i="38"/>
  <c r="W310" i="38"/>
  <c r="Z148" i="38"/>
  <c r="Z152" i="38" s="1"/>
  <c r="Z146" i="38"/>
  <c r="Z150" i="38" s="1"/>
  <c r="Z147" i="38"/>
  <c r="Z151" i="38" s="1"/>
  <c r="Z149" i="38"/>
  <c r="AA100" i="36" s="1"/>
  <c r="BG100" i="36" s="1"/>
  <c r="DN57" i="55"/>
  <c r="BB57" i="55"/>
  <c r="U148" i="29"/>
  <c r="Y231" i="48"/>
  <c r="Y236" i="48" s="1"/>
  <c r="Y234" i="48"/>
  <c r="Y233" i="48"/>
  <c r="Y238" i="48" s="1"/>
  <c r="Y230" i="48"/>
  <c r="Y235" i="48" s="1"/>
  <c r="Y232" i="48"/>
  <c r="Y237" i="48" s="1"/>
  <c r="V306" i="38"/>
  <c r="V318" i="38" s="1"/>
  <c r="V307" i="38"/>
  <c r="AA64" i="15"/>
  <c r="AA48" i="15"/>
  <c r="AA49" i="15" s="1"/>
  <c r="AA136" i="15" s="1"/>
  <c r="AA45" i="15"/>
  <c r="AA58" i="15"/>
  <c r="Z69" i="29"/>
  <c r="Z75" i="29"/>
  <c r="Z67" i="29"/>
  <c r="Z66" i="29"/>
  <c r="Z65" i="29" s="1"/>
  <c r="Z74" i="29"/>
  <c r="AA48" i="16" s="1"/>
  <c r="AA49" i="16" s="1"/>
  <c r="AA136" i="16" s="1"/>
  <c r="Z73" i="29"/>
  <c r="Z70" i="29"/>
  <c r="Z68" i="29"/>
  <c r="Z78" i="29"/>
  <c r="AA64" i="16" s="1"/>
  <c r="Z77" i="29"/>
  <c r="AA45" i="16" s="1"/>
  <c r="Z71" i="29"/>
  <c r="AA223" i="42"/>
  <c r="AA227" i="42" s="1"/>
  <c r="AA224" i="42"/>
  <c r="AA228" i="42" s="1"/>
  <c r="AA226" i="42"/>
  <c r="AA225" i="42"/>
  <c r="AA229" i="42" s="1"/>
  <c r="X81" i="42"/>
  <c r="X85" i="42" s="1"/>
  <c r="X83" i="42"/>
  <c r="X87" i="42" s="1"/>
  <c r="X82" i="42"/>
  <c r="X86" i="42" s="1"/>
  <c r="X84" i="42"/>
  <c r="X149" i="29"/>
  <c r="X146" i="29"/>
  <c r="R172" i="28"/>
  <c r="R176" i="28" s="1"/>
  <c r="R173" i="28"/>
  <c r="Z146" i="42"/>
  <c r="Z150" i="42" s="1"/>
  <c r="Z147" i="42"/>
  <c r="Z151" i="42" s="1"/>
  <c r="Z149" i="42"/>
  <c r="Z148" i="42"/>
  <c r="Z152" i="42" s="1"/>
  <c r="Y34" i="19"/>
  <c r="Y214" i="19"/>
  <c r="U173" i="29"/>
  <c r="V283" i="42"/>
  <c r="V284" i="42" s="1"/>
  <c r="W250" i="42"/>
  <c r="T169" i="28"/>
  <c r="T168" i="28"/>
  <c r="Z229" i="48"/>
  <c r="Z232" i="46"/>
  <c r="Z237" i="46" s="1"/>
  <c r="Z231" i="46"/>
  <c r="Z236" i="46" s="1"/>
  <c r="Z230" i="46"/>
  <c r="Z235" i="46" s="1"/>
  <c r="Z233" i="46"/>
  <c r="Z238" i="46" s="1"/>
  <c r="Z234" i="46"/>
  <c r="AA108" i="45" s="1"/>
  <c r="BG108" i="45" s="1"/>
  <c r="AA19" i="29"/>
  <c r="AA27" i="29"/>
  <c r="AA137" i="38"/>
  <c r="AA161" i="38"/>
  <c r="AA153" i="38"/>
  <c r="AA145" i="38"/>
  <c r="Z19" i="54"/>
  <c r="Z27" i="54"/>
  <c r="Z32" i="54" s="1"/>
  <c r="Z34" i="46"/>
  <c r="Z309" i="46"/>
  <c r="W299" i="38"/>
  <c r="W298" i="38"/>
  <c r="W297" i="38"/>
  <c r="W296" i="38"/>
  <c r="V170" i="29"/>
  <c r="V171" i="29" s="1"/>
  <c r="V147" i="29"/>
  <c r="Z165" i="38"/>
  <c r="AA109" i="36" s="1"/>
  <c r="BG109" i="36" s="1"/>
  <c r="Z162" i="38"/>
  <c r="Z166" i="38" s="1"/>
  <c r="Z164" i="38"/>
  <c r="Z168" i="38" s="1"/>
  <c r="Z163" i="38"/>
  <c r="Z167" i="38" s="1"/>
  <c r="U174" i="29"/>
  <c r="U175" i="29" s="1"/>
  <c r="U176" i="29" s="1"/>
  <c r="V155" i="29"/>
  <c r="V154" i="29"/>
  <c r="Z19" i="53"/>
  <c r="Z27" i="53"/>
  <c r="Z32" i="53" s="1"/>
  <c r="AY84" i="55"/>
  <c r="AA61" i="15"/>
  <c r="Z88" i="29"/>
  <c r="X36" i="29"/>
  <c r="X37" i="29"/>
  <c r="V313" i="42"/>
  <c r="BC87" i="55" s="1"/>
  <c r="V311" i="42"/>
  <c r="BC85" i="55" s="1"/>
  <c r="V310" i="42"/>
  <c r="V314" i="42"/>
  <c r="BC88" i="55" s="1"/>
  <c r="V312" i="42"/>
  <c r="BC86" i="55" s="1"/>
  <c r="V309" i="42"/>
  <c r="AA199" i="42"/>
  <c r="AA207" i="42"/>
  <c r="AA191" i="42"/>
  <c r="X106" i="42"/>
  <c r="X110" i="42" s="1"/>
  <c r="X105" i="42"/>
  <c r="X109" i="42" s="1"/>
  <c r="X108" i="42"/>
  <c r="X107" i="42"/>
  <c r="X111" i="42" s="1"/>
  <c r="R346" i="42"/>
  <c r="AY127" i="36" s="1"/>
  <c r="Z162" i="42"/>
  <c r="Z166" i="42" s="1"/>
  <c r="Z163" i="42"/>
  <c r="Z167" i="42" s="1"/>
  <c r="Z164" i="42"/>
  <c r="Z168" i="42" s="1"/>
  <c r="Z165" i="42"/>
  <c r="W297" i="42"/>
  <c r="W298" i="42"/>
  <c r="W299" i="42"/>
  <c r="W296" i="42"/>
  <c r="U302" i="38"/>
  <c r="U303" i="38"/>
  <c r="X66" i="16"/>
  <c r="X59" i="16"/>
  <c r="X135" i="16" s="1"/>
  <c r="W240" i="19"/>
  <c r="W239" i="19"/>
  <c r="W251" i="19" s="1"/>
  <c r="T174" i="28"/>
  <c r="T175" i="28"/>
  <c r="X216" i="28"/>
  <c r="X55" i="29"/>
  <c r="X52" i="29" s="1"/>
  <c r="X61" i="29"/>
  <c r="X54" i="29"/>
  <c r="X56" i="29"/>
  <c r="X50" i="28"/>
  <c r="X117" i="28" s="1"/>
  <c r="X59" i="29"/>
  <c r="Y44" i="16" s="1"/>
  <c r="X60" i="29"/>
  <c r="Y62" i="15"/>
  <c r="Y65" i="15" s="1"/>
  <c r="Y139" i="15" s="1"/>
  <c r="X63" i="29"/>
  <c r="Y56" i="16" s="1"/>
  <c r="Y59" i="16" s="1"/>
  <c r="Y135" i="16" s="1"/>
  <c r="Y56" i="15"/>
  <c r="X53" i="29"/>
  <c r="Y44" i="15"/>
  <c r="X57" i="29"/>
  <c r="X62" i="29"/>
  <c r="Y62" i="16" s="1"/>
  <c r="AC5" i="38"/>
  <c r="AB15" i="38"/>
  <c r="AB28" i="38" s="1"/>
  <c r="AB43" i="38" s="1"/>
  <c r="AB17" i="38"/>
  <c r="AB30" i="38" s="1"/>
  <c r="AB45" i="38" s="1"/>
  <c r="AB14" i="38"/>
  <c r="AB16" i="38"/>
  <c r="AB29" i="38" s="1"/>
  <c r="AB44" i="38" s="1"/>
  <c r="AB222" i="38" s="1"/>
  <c r="AB18" i="38"/>
  <c r="AB31" i="38" s="1"/>
  <c r="AB46" i="38" s="1"/>
  <c r="AB237" i="38" s="1"/>
  <c r="T175" i="29"/>
  <c r="T176" i="29" s="1"/>
  <c r="T178" i="29" s="1"/>
  <c r="U156" i="29"/>
  <c r="U157" i="29"/>
  <c r="T164" i="29"/>
  <c r="T163" i="29"/>
  <c r="T165" i="29"/>
  <c r="BA62" i="55" s="1"/>
  <c r="T168" i="29"/>
  <c r="BA65" i="55" s="1"/>
  <c r="T167" i="29"/>
  <c r="BA64" i="55" s="1"/>
  <c r="T166" i="29"/>
  <c r="BA63" i="55" s="1"/>
  <c r="P204" i="28"/>
  <c r="Y281" i="42"/>
  <c r="Y34" i="42"/>
  <c r="Y32" i="28"/>
  <c r="Y45" i="28"/>
  <c r="W68" i="15"/>
  <c r="W77" i="15" s="1"/>
  <c r="W133" i="15" a="1"/>
  <c r="W141" i="15" s="1"/>
  <c r="W142" i="15" s="1"/>
  <c r="W134" i="15"/>
  <c r="W140" i="15" s="1"/>
  <c r="Z138" i="38"/>
  <c r="Z140" i="38"/>
  <c r="Z139" i="38"/>
  <c r="T305" i="42"/>
  <c r="T304" i="42"/>
  <c r="T308" i="42" s="1"/>
  <c r="W68" i="16"/>
  <c r="W77" i="16"/>
  <c r="W134" i="16"/>
  <c r="W140" i="16" s="1"/>
  <c r="W133" i="16" a="1"/>
  <c r="W141" i="16" s="1"/>
  <c r="W142" i="16" s="1"/>
  <c r="S186" i="28"/>
  <c r="S187" i="28" s="1"/>
  <c r="S188" i="28"/>
  <c r="S191" i="28" s="1"/>
  <c r="R340" i="42"/>
  <c r="AB15" i="42"/>
  <c r="AB28" i="42" s="1"/>
  <c r="AB43" i="42" s="1"/>
  <c r="AB14" i="42"/>
  <c r="AB16" i="42"/>
  <c r="AB29" i="42" s="1"/>
  <c r="AB44" i="42" s="1"/>
  <c r="AB222" i="42" s="1"/>
  <c r="AC5" i="42"/>
  <c r="AB18" i="42"/>
  <c r="AB31" i="42" s="1"/>
  <c r="AB46" i="42" s="1"/>
  <c r="AB237" i="42" s="1"/>
  <c r="AB17" i="42"/>
  <c r="AB30" i="42" s="1"/>
  <c r="AB45" i="42" s="1"/>
  <c r="X97" i="42"/>
  <c r="X101" i="42" s="1"/>
  <c r="X99" i="42"/>
  <c r="X103" i="42" s="1"/>
  <c r="X98" i="42"/>
  <c r="X102" i="42" s="1"/>
  <c r="X100" i="42"/>
  <c r="DP80" i="55"/>
  <c r="BD80" i="55"/>
  <c r="V163" i="28"/>
  <c r="V162" i="28"/>
  <c r="V160" i="28"/>
  <c r="Z86" i="45"/>
  <c r="Z85" i="45"/>
  <c r="Z87" i="45"/>
  <c r="BF87" i="45"/>
  <c r="BF85" i="45"/>
  <c r="BF86" i="45"/>
  <c r="Y197" i="54"/>
  <c r="Y34" i="54"/>
  <c r="Z154" i="42"/>
  <c r="Z158" i="42" s="1"/>
  <c r="Z156" i="42"/>
  <c r="Z160" i="42" s="1"/>
  <c r="Z157" i="42"/>
  <c r="Z155" i="42"/>
  <c r="Z159" i="42" s="1"/>
  <c r="W153" i="29"/>
  <c r="W151" i="29"/>
  <c r="W152" i="29"/>
  <c r="W150" i="29"/>
  <c r="W103" i="29"/>
  <c r="W91" i="29"/>
  <c r="X66" i="15"/>
  <c r="X59" i="15"/>
  <c r="X135" i="15" s="1"/>
  <c r="AC5" i="20"/>
  <c r="AB16" i="20"/>
  <c r="AB15" i="20"/>
  <c r="AB14" i="20"/>
  <c r="AB18" i="20"/>
  <c r="AB17" i="20"/>
  <c r="X149" i="28"/>
  <c r="X34" i="28"/>
  <c r="AA225" i="38"/>
  <c r="AA229" i="38" s="1"/>
  <c r="AA224" i="38"/>
  <c r="AA228" i="38" s="1"/>
  <c r="AA223" i="38"/>
  <c r="AA227" i="38" s="1"/>
  <c r="AB16" i="46"/>
  <c r="AB29" i="46" s="1"/>
  <c r="AB44" i="46" s="1"/>
  <c r="AB246" i="46" s="1"/>
  <c r="AB17" i="46"/>
  <c r="AB30" i="46" s="1"/>
  <c r="AB45" i="46" s="1"/>
  <c r="AB14" i="46"/>
  <c r="AC5" i="46"/>
  <c r="AB15" i="46"/>
  <c r="AB28" i="46" s="1"/>
  <c r="AB43" i="46" s="1"/>
  <c r="AB18" i="46"/>
  <c r="AB31" i="46" s="1"/>
  <c r="AA14" i="54"/>
  <c r="AB5" i="54"/>
  <c r="AA16" i="54"/>
  <c r="AA29" i="54" s="1"/>
  <c r="AA44" i="54" s="1"/>
  <c r="AA150" i="54" s="1"/>
  <c r="AA151" i="54" s="1"/>
  <c r="AA17" i="54"/>
  <c r="AA30" i="54" s="1"/>
  <c r="AA18" i="54"/>
  <c r="AA31" i="54" s="1"/>
  <c r="AA15" i="54"/>
  <c r="AA28" i="54" s="1"/>
  <c r="Y249" i="42"/>
  <c r="Y47" i="42"/>
  <c r="Y291" i="42" s="1"/>
  <c r="Y104" i="42"/>
  <c r="Y96" i="42"/>
  <c r="Y80" i="42"/>
  <c r="Y72" i="42"/>
  <c r="Z202" i="42"/>
  <c r="Z206" i="42" s="1"/>
  <c r="Z200" i="42"/>
  <c r="Z204" i="42" s="1"/>
  <c r="Z201" i="42"/>
  <c r="Z205" i="42" s="1"/>
  <c r="Z203" i="42"/>
  <c r="AC5" i="19"/>
  <c r="AB17" i="19"/>
  <c r="AB30" i="19" s="1"/>
  <c r="AB48" i="19" s="1"/>
  <c r="AB16" i="19"/>
  <c r="AB29" i="19" s="1"/>
  <c r="AB47" i="19" s="1"/>
  <c r="AB14" i="19"/>
  <c r="AB18" i="19"/>
  <c r="AB31" i="19" s="1"/>
  <c r="AB49" i="19" s="1"/>
  <c r="AB15" i="19"/>
  <c r="AB28" i="19" s="1"/>
  <c r="AB46" i="19" s="1"/>
  <c r="Z34" i="48"/>
  <c r="Z309" i="48"/>
  <c r="AY81" i="55"/>
  <c r="T324" i="42"/>
  <c r="Y223" i="48"/>
  <c r="Y228" i="48" s="1"/>
  <c r="Y224" i="48"/>
  <c r="Y220" i="48"/>
  <c r="Y225" i="48" s="1"/>
  <c r="Y222" i="48"/>
  <c r="Y227" i="48" s="1"/>
  <c r="Y221" i="48"/>
  <c r="Y226" i="48" s="1"/>
  <c r="X295" i="42"/>
  <c r="X292" i="42"/>
  <c r="Z141" i="42"/>
  <c r="Z140" i="42"/>
  <c r="Z144" i="42" s="1"/>
  <c r="Z138" i="42"/>
  <c r="Z142" i="42" s="1"/>
  <c r="Z139" i="42"/>
  <c r="Z143" i="42" s="1"/>
  <c r="W57" i="55"/>
  <c r="Y169" i="48"/>
  <c r="Y174" i="48" s="1"/>
  <c r="Y168" i="48"/>
  <c r="Y173" i="48" s="1"/>
  <c r="Y170" i="48"/>
  <c r="Y175" i="48" s="1"/>
  <c r="Y171" i="48"/>
  <c r="Y176" i="48" s="1"/>
  <c r="Y172" i="48"/>
  <c r="Z172" i="46"/>
  <c r="AA77" i="45" s="1"/>
  <c r="BG77" i="45" s="1"/>
  <c r="Z167" i="48"/>
  <c r="Z171" i="46"/>
  <c r="Z176" i="46" s="1"/>
  <c r="Z169" i="46"/>
  <c r="Z174" i="46" s="1"/>
  <c r="Z170" i="46"/>
  <c r="Z175" i="46" s="1"/>
  <c r="Z168" i="46"/>
  <c r="Z173" i="46" s="1"/>
  <c r="X67" i="16"/>
  <c r="X46" i="16"/>
  <c r="W233" i="19"/>
  <c r="W234" i="19"/>
  <c r="T143" i="29"/>
  <c r="T140" i="29"/>
  <c r="T142" i="29"/>
  <c r="T144" i="29"/>
  <c r="T139" i="29"/>
  <c r="T141" i="29"/>
  <c r="AA49" i="29"/>
  <c r="S190" i="29"/>
  <c r="AZ61" i="55" s="1"/>
  <c r="AA191" i="38"/>
  <c r="AA199" i="38"/>
  <c r="AA207" i="38"/>
  <c r="AA248" i="46"/>
  <c r="AA253" i="46" s="1"/>
  <c r="AA247" i="46"/>
  <c r="AA252" i="46" s="1"/>
  <c r="AA250" i="46"/>
  <c r="AA255" i="46" s="1"/>
  <c r="AA251" i="46"/>
  <c r="AB96" i="45" s="1"/>
  <c r="AA246" i="48"/>
  <c r="AA249" i="46"/>
  <c r="AA254" i="46" s="1"/>
  <c r="DJ81" i="55"/>
  <c r="AX81" i="55"/>
  <c r="Q340" i="42"/>
  <c r="AX84" i="55"/>
  <c r="Q345" i="42"/>
  <c r="CH57" i="55"/>
  <c r="U152" i="28"/>
  <c r="T158" i="29"/>
  <c r="T162" i="29" s="1"/>
  <c r="T159" i="29"/>
  <c r="V300" i="42"/>
  <c r="V301" i="42"/>
  <c r="Z210" i="42"/>
  <c r="Z214" i="42" s="1"/>
  <c r="Z208" i="42"/>
  <c r="Z212" i="42" s="1"/>
  <c r="Z209" i="42"/>
  <c r="Z213" i="42" s="1"/>
  <c r="Z211" i="42"/>
  <c r="T304" i="38"/>
  <c r="T308" i="38" s="1"/>
  <c r="T305" i="38"/>
  <c r="Z251" i="48"/>
  <c r="Z249" i="48"/>
  <c r="Z254" i="48" s="1"/>
  <c r="Z250" i="48"/>
  <c r="Z255" i="48" s="1"/>
  <c r="Z248" i="48"/>
  <c r="Z253" i="48" s="1"/>
  <c r="Z247" i="48"/>
  <c r="Z252" i="48" s="1"/>
  <c r="DK81" i="55"/>
  <c r="AB17" i="48"/>
  <c r="AB30" i="48" s="1"/>
  <c r="AB45" i="48" s="1"/>
  <c r="AB16" i="48"/>
  <c r="AB29" i="48" s="1"/>
  <c r="AB44" i="48" s="1"/>
  <c r="AB14" i="48"/>
  <c r="AB18" i="48"/>
  <c r="AB31" i="48" s="1"/>
  <c r="AC5" i="48"/>
  <c r="AB15" i="48"/>
  <c r="AB28" i="48" s="1"/>
  <c r="AB43" i="48" s="1"/>
  <c r="R72" i="16"/>
  <c r="AX34" i="58" s="1"/>
  <c r="Q200" i="29"/>
  <c r="R73" i="16" s="1"/>
  <c r="U302" i="42"/>
  <c r="U303" i="42"/>
  <c r="X75" i="42"/>
  <c r="X79" i="42" s="1"/>
  <c r="X74" i="42"/>
  <c r="X78" i="42" s="1"/>
  <c r="X76" i="42"/>
  <c r="X73" i="42"/>
  <c r="X77" i="42" s="1"/>
  <c r="Z200" i="38"/>
  <c r="Z204" i="38" s="1"/>
  <c r="Z202" i="38"/>
  <c r="Z206" i="38" s="1"/>
  <c r="Z201" i="38"/>
  <c r="Z205" i="38" s="1"/>
  <c r="Z203" i="38"/>
  <c r="AA101" i="36" s="1"/>
  <c r="BG101" i="36" s="1"/>
  <c r="Z61" i="16"/>
  <c r="Y87" i="29"/>
  <c r="U238" i="19"/>
  <c r="U237" i="19"/>
  <c r="U241" i="19" s="1"/>
  <c r="Z178" i="46"/>
  <c r="Z183" i="46" s="1"/>
  <c r="Z177" i="48"/>
  <c r="Z182" i="46"/>
  <c r="AA107" i="45" s="1"/>
  <c r="BG107" i="45" s="1"/>
  <c r="Z180" i="46"/>
  <c r="Z185" i="46" s="1"/>
  <c r="Z179" i="46"/>
  <c r="Z184" i="46" s="1"/>
  <c r="Z181" i="46"/>
  <c r="Z186" i="46" s="1"/>
  <c r="W211" i="28"/>
  <c r="W159" i="28"/>
  <c r="W210" i="28"/>
  <c r="W92" i="29"/>
  <c r="X295" i="38"/>
  <c r="X292" i="38"/>
  <c r="Z32" i="19"/>
  <c r="Z45" i="19"/>
  <c r="Z50" i="19" s="1"/>
  <c r="X87" i="29"/>
  <c r="Y61" i="16"/>
  <c r="Y65" i="16" s="1"/>
  <c r="Y139" i="16" s="1"/>
  <c r="V104" i="29"/>
  <c r="U137" i="29"/>
  <c r="U138" i="29" s="1"/>
  <c r="Y50" i="29"/>
  <c r="Y145" i="29" s="1"/>
  <c r="T153" i="28"/>
  <c r="T157" i="28"/>
  <c r="CG64" i="55" s="1"/>
  <c r="T155" i="28"/>
  <c r="CG62" i="55" s="1"/>
  <c r="T154" i="28"/>
  <c r="CG61" i="55" s="1"/>
  <c r="T156" i="28"/>
  <c r="CG63" i="55" s="1"/>
  <c r="T158" i="28"/>
  <c r="CG65" i="55" s="1"/>
  <c r="Y197" i="53"/>
  <c r="Y34" i="53"/>
  <c r="AA238" i="38"/>
  <c r="AA242" i="38" s="1"/>
  <c r="AA239" i="38"/>
  <c r="AA243" i="38" s="1"/>
  <c r="AA240" i="38"/>
  <c r="AA244" i="38" s="1"/>
  <c r="AA229" i="46"/>
  <c r="AA209" i="46"/>
  <c r="AA219" i="46"/>
  <c r="W217" i="28"/>
  <c r="V151" i="28"/>
  <c r="Y211" i="48"/>
  <c r="Y216" i="48" s="1"/>
  <c r="Y214" i="48"/>
  <c r="Y212" i="48"/>
  <c r="Y217" i="48" s="1"/>
  <c r="Y210" i="48"/>
  <c r="Y215" i="48" s="1"/>
  <c r="Y213" i="48"/>
  <c r="Y218" i="48" s="1"/>
  <c r="Z194" i="42"/>
  <c r="Z198" i="42" s="1"/>
  <c r="Z195" i="42"/>
  <c r="Z193" i="42"/>
  <c r="Z197" i="42" s="1"/>
  <c r="Z192" i="42"/>
  <c r="Z196" i="42" s="1"/>
  <c r="Z32" i="29"/>
  <c r="Z45" i="29"/>
  <c r="V300" i="38"/>
  <c r="V301" i="38"/>
  <c r="Z19" i="28"/>
  <c r="Z118" i="28" s="1"/>
  <c r="Z27" i="28"/>
  <c r="V311" i="38"/>
  <c r="W85" i="55" s="1"/>
  <c r="V312" i="38"/>
  <c r="W86" i="55" s="1"/>
  <c r="V309" i="38"/>
  <c r="V314" i="38"/>
  <c r="W88" i="55" s="1"/>
  <c r="V313" i="38"/>
  <c r="W87" i="55" s="1"/>
  <c r="V310" i="38"/>
  <c r="AA19" i="42"/>
  <c r="AA247" i="42" s="1"/>
  <c r="AA27" i="42"/>
  <c r="X316" i="42"/>
  <c r="X317" i="42" s="1"/>
  <c r="X293" i="42"/>
  <c r="X294" i="42" s="1"/>
  <c r="Z192" i="38"/>
  <c r="Z196" i="38" s="1"/>
  <c r="Z193" i="38"/>
  <c r="Z197" i="38" s="1"/>
  <c r="Z194" i="38"/>
  <c r="Z198" i="38" s="1"/>
  <c r="Q196" i="28"/>
  <c r="Q197" i="28" s="1"/>
  <c r="Q206" i="28" s="1"/>
  <c r="R70" i="15" s="1"/>
  <c r="W196" i="29"/>
  <c r="W197" i="29"/>
  <c r="Z161" i="46"/>
  <c r="Z166" i="46" s="1"/>
  <c r="Z162" i="46"/>
  <c r="AA98" i="45" s="1"/>
  <c r="BG98" i="45" s="1"/>
  <c r="Z159" i="46"/>
  <c r="Z164" i="46" s="1"/>
  <c r="Z160" i="46"/>
  <c r="Z165" i="46" s="1"/>
  <c r="Z158" i="46"/>
  <c r="Z163" i="46" s="1"/>
  <c r="Z157" i="48"/>
  <c r="X65" i="16"/>
  <c r="X139" i="16" s="1"/>
  <c r="Y158" i="48"/>
  <c r="Y163" i="48" s="1"/>
  <c r="Y160" i="48"/>
  <c r="Y165" i="48" s="1"/>
  <c r="Y159" i="48"/>
  <c r="Y164" i="48" s="1"/>
  <c r="Y161" i="48"/>
  <c r="Y166" i="48" s="1"/>
  <c r="Y162" i="48"/>
  <c r="T182" i="29"/>
  <c r="T183" i="29" s="1"/>
  <c r="T192" i="29" s="1"/>
  <c r="U70" i="16" s="1"/>
  <c r="Y135" i="29"/>
  <c r="Y34" i="29"/>
  <c r="AB15" i="29"/>
  <c r="AB28" i="29" s="1"/>
  <c r="AB46" i="29" s="1"/>
  <c r="AB14" i="29"/>
  <c r="AB18" i="29"/>
  <c r="AB31" i="29" s="1"/>
  <c r="AB17" i="29"/>
  <c r="AB30" i="29" s="1"/>
  <c r="AC5" i="29"/>
  <c r="AB16" i="29"/>
  <c r="AB29" i="29" s="1"/>
  <c r="AB47" i="29" s="1"/>
  <c r="Y181" i="48"/>
  <c r="Y186" i="48" s="1"/>
  <c r="Y180" i="48"/>
  <c r="Y185" i="48" s="1"/>
  <c r="Y182" i="48"/>
  <c r="Y178" i="48"/>
  <c r="Y183" i="48" s="1"/>
  <c r="Y179" i="48"/>
  <c r="Y184" i="48" s="1"/>
  <c r="AA19" i="38"/>
  <c r="AA247" i="38" s="1"/>
  <c r="AA27" i="38"/>
  <c r="AA147" i="46"/>
  <c r="AA157" i="46"/>
  <c r="AA167" i="46"/>
  <c r="AA177" i="46"/>
  <c r="U318" i="42"/>
  <c r="U319" i="42" s="1"/>
  <c r="U320" i="42"/>
  <c r="U323" i="42" s="1"/>
  <c r="Z42" i="42"/>
  <c r="Z32" i="42"/>
  <c r="R183" i="29"/>
  <c r="R190" i="29" s="1"/>
  <c r="U182" i="28"/>
  <c r="V65" i="55" s="1"/>
  <c r="U178" i="28"/>
  <c r="U177" i="28"/>
  <c r="U181" i="28"/>
  <c r="V64" i="55" s="1"/>
  <c r="U179" i="28"/>
  <c r="V62" i="55" s="1"/>
  <c r="U180" i="28"/>
  <c r="V63" i="55" s="1"/>
  <c r="Z85" i="29"/>
  <c r="AA55" i="16" s="1"/>
  <c r="AA55" i="15"/>
  <c r="AA19" i="48"/>
  <c r="AA275" i="48" s="1"/>
  <c r="AA27" i="48"/>
  <c r="AA32" i="48" s="1"/>
  <c r="AA137" i="42"/>
  <c r="AA161" i="42"/>
  <c r="AA153" i="42"/>
  <c r="AA145" i="42"/>
  <c r="Z76" i="29"/>
  <c r="AA58" i="16" s="1"/>
  <c r="Y148" i="48"/>
  <c r="Y153" i="48" s="1"/>
  <c r="Y149" i="48"/>
  <c r="Y154" i="48" s="1"/>
  <c r="Y150" i="48"/>
  <c r="Y155" i="48" s="1"/>
  <c r="Y152" i="48"/>
  <c r="Y151" i="48"/>
  <c r="Y156" i="48" s="1"/>
  <c r="Z208" i="38"/>
  <c r="Z212" i="38" s="1"/>
  <c r="Z209" i="38"/>
  <c r="Z213" i="38" s="1"/>
  <c r="Z210" i="38"/>
  <c r="Z214" i="38" s="1"/>
  <c r="Z211" i="38"/>
  <c r="Z147" i="48"/>
  <c r="Z152" i="46"/>
  <c r="AA83" i="45" s="1"/>
  <c r="Z149" i="46"/>
  <c r="Z154" i="46" s="1"/>
  <c r="Z151" i="46"/>
  <c r="Z156" i="46" s="1"/>
  <c r="Z150" i="46"/>
  <c r="Z155" i="46" s="1"/>
  <c r="Z148" i="46"/>
  <c r="Z153" i="46" s="1"/>
  <c r="W184" i="28"/>
  <c r="W185" i="28" s="1"/>
  <c r="W161" i="28"/>
  <c r="X57" i="55" s="1"/>
  <c r="Y34" i="38"/>
  <c r="Y281" i="38"/>
  <c r="Z213" i="46"/>
  <c r="Z218" i="46" s="1"/>
  <c r="Z212" i="46"/>
  <c r="Z217" i="46" s="1"/>
  <c r="Z211" i="46"/>
  <c r="Z216" i="46" s="1"/>
  <c r="Z210" i="46"/>
  <c r="Z215" i="46" s="1"/>
  <c r="Z214" i="46"/>
  <c r="AA89" i="45" s="1"/>
  <c r="Z209" i="48"/>
  <c r="AA19" i="46"/>
  <c r="AA275" i="46" s="1"/>
  <c r="AA27" i="46"/>
  <c r="AA32" i="46" s="1"/>
  <c r="Z155" i="38"/>
  <c r="Z159" i="38" s="1"/>
  <c r="Z154" i="38"/>
  <c r="Z158" i="38" s="1"/>
  <c r="Z156" i="38"/>
  <c r="Z160" i="38" s="1"/>
  <c r="Z157" i="38"/>
  <c r="AA79" i="36" s="1"/>
  <c r="BG79" i="36" s="1"/>
  <c r="V306" i="42"/>
  <c r="V307" i="42"/>
  <c r="AA19" i="19"/>
  <c r="AA27" i="19"/>
  <c r="V235" i="19"/>
  <c r="V236" i="19"/>
  <c r="V160" i="29"/>
  <c r="V172" i="29" s="1"/>
  <c r="V173" i="29" s="1"/>
  <c r="V161" i="29"/>
  <c r="AB5" i="53"/>
  <c r="AA18" i="53"/>
  <c r="AA31" i="53" s="1"/>
  <c r="AA16" i="53"/>
  <c r="AA29" i="53" s="1"/>
  <c r="AA44" i="53" s="1"/>
  <c r="AA150" i="53" s="1"/>
  <c r="AA151" i="53" s="1"/>
  <c r="AB60" i="51" s="1"/>
  <c r="BH60" i="51" s="1"/>
  <c r="AA17" i="53"/>
  <c r="AA30" i="53" s="1"/>
  <c r="AA14" i="53"/>
  <c r="AA15" i="53"/>
  <c r="AA28" i="53" s="1"/>
  <c r="U164" i="28"/>
  <c r="U166" i="28"/>
  <c r="U167" i="28"/>
  <c r="U165" i="28"/>
  <c r="AB5" i="28"/>
  <c r="AA15" i="28"/>
  <c r="AA28" i="28" s="1"/>
  <c r="AA46" i="28" s="1"/>
  <c r="AA16" i="28"/>
  <c r="AA29" i="28" s="1"/>
  <c r="AA47" i="28" s="1"/>
  <c r="AA14" i="28"/>
  <c r="AA18" i="28"/>
  <c r="AA31" i="28" s="1"/>
  <c r="AA17" i="28"/>
  <c r="AA30" i="28" s="1"/>
  <c r="AA239" i="42"/>
  <c r="AA243" i="42" s="1"/>
  <c r="AA241" i="42"/>
  <c r="AA238" i="42"/>
  <c r="AA242" i="42" s="1"/>
  <c r="AA240" i="42"/>
  <c r="AA244" i="42" s="1"/>
  <c r="X246" i="42"/>
  <c r="S170" i="28"/>
  <c r="S171" i="28"/>
  <c r="W36" i="28"/>
  <c r="W37" i="28"/>
  <c r="Z42" i="38"/>
  <c r="Z32" i="38"/>
  <c r="Y276" i="19"/>
  <c r="Y275" i="19"/>
  <c r="Y225" i="19"/>
  <c r="Y224" i="19"/>
  <c r="Y228" i="19"/>
  <c r="W117" i="28"/>
  <c r="X67" i="15"/>
  <c r="X46" i="15"/>
  <c r="X316" i="38"/>
  <c r="X293" i="38"/>
  <c r="Y80" i="55" s="1"/>
  <c r="U287" i="42"/>
  <c r="U290" i="42"/>
  <c r="U289" i="42"/>
  <c r="U288" i="42"/>
  <c r="U285" i="42"/>
  <c r="U286" i="42"/>
  <c r="Y249" i="38"/>
  <c r="Y80" i="38"/>
  <c r="Y47" i="38"/>
  <c r="Y291" i="38" s="1"/>
  <c r="Y104" i="38"/>
  <c r="Y72" i="38"/>
  <c r="Y73" i="38" s="1"/>
  <c r="Y96" i="38"/>
  <c r="Y246" i="38"/>
  <c r="R189" i="28"/>
  <c r="R190" i="28" s="1"/>
  <c r="R192" i="28" s="1"/>
  <c r="R191" i="28"/>
  <c r="Z223" i="46"/>
  <c r="Z228" i="46" s="1"/>
  <c r="Z220" i="46"/>
  <c r="Z225" i="46" s="1"/>
  <c r="Z224" i="46"/>
  <c r="AA99" i="45" s="1"/>
  <c r="BG99" i="45" s="1"/>
  <c r="Z219" i="48"/>
  <c r="Z221" i="46"/>
  <c r="Z226" i="46" s="1"/>
  <c r="Z222" i="46"/>
  <c r="Z227" i="46" s="1"/>
  <c r="T328" i="42"/>
  <c r="X37" i="19"/>
  <c r="X36" i="19"/>
  <c r="K259" i="20"/>
  <c r="BX34" i="55"/>
  <c r="K183" i="19"/>
  <c r="J216" i="19"/>
  <c r="M109" i="14"/>
  <c r="M110" i="14"/>
  <c r="M108" i="14" s="1"/>
  <c r="M73" i="19"/>
  <c r="N114" i="14" s="1"/>
  <c r="N114" i="12"/>
  <c r="L97" i="14"/>
  <c r="M105" i="14"/>
  <c r="M228" i="14" s="1"/>
  <c r="M91" i="19"/>
  <c r="N136" i="14" s="1"/>
  <c r="N136" i="12"/>
  <c r="L75" i="19"/>
  <c r="M109" i="12"/>
  <c r="M99" i="12"/>
  <c r="E161" i="12"/>
  <c r="N105" i="12"/>
  <c r="N228" i="12" s="1"/>
  <c r="N95" i="14"/>
  <c r="M111" i="19"/>
  <c r="M126" i="19"/>
  <c r="M113" i="19"/>
  <c r="N106" i="19"/>
  <c r="O103" i="14" s="1"/>
  <c r="O103" i="12"/>
  <c r="M114" i="19"/>
  <c r="N124" i="19"/>
  <c r="O138" i="14" s="1"/>
  <c r="O138" i="12"/>
  <c r="M123" i="19"/>
  <c r="O174" i="19"/>
  <c r="E165" i="12"/>
  <c r="N98" i="19"/>
  <c r="L94" i="19"/>
  <c r="O176" i="19"/>
  <c r="L92" i="19"/>
  <c r="L88" i="19"/>
  <c r="L87" i="19"/>
  <c r="O165" i="19"/>
  <c r="O166" i="19"/>
  <c r="O163" i="19"/>
  <c r="O164" i="19"/>
  <c r="L89" i="19"/>
  <c r="L86" i="19"/>
  <c r="L74" i="19"/>
  <c r="L76" i="19"/>
  <c r="N118" i="19"/>
  <c r="O94" i="14" s="1"/>
  <c r="M109" i="19"/>
  <c r="M120" i="19"/>
  <c r="M119" i="19"/>
  <c r="M110" i="12"/>
  <c r="M108" i="12" s="1"/>
  <c r="L90" i="19"/>
  <c r="L83" i="19"/>
  <c r="M111" i="14" s="1"/>
  <c r="M107" i="14" s="1"/>
  <c r="M111" i="12"/>
  <c r="M107" i="12" s="1"/>
  <c r="L93" i="19"/>
  <c r="M108" i="19"/>
  <c r="L77" i="19"/>
  <c r="L80" i="19"/>
  <c r="M106" i="14" s="1"/>
  <c r="M79" i="19"/>
  <c r="N104" i="14" s="1"/>
  <c r="N105" i="14" s="1"/>
  <c r="N228" i="14" s="1"/>
  <c r="M129" i="19"/>
  <c r="L70" i="19"/>
  <c r="M100" i="14" s="1"/>
  <c r="M98" i="14" s="1"/>
  <c r="L69" i="19"/>
  <c r="M99" i="14" s="1"/>
  <c r="L71" i="19"/>
  <c r="M101" i="14" s="1"/>
  <c r="L68" i="19"/>
  <c r="M96" i="14" s="1"/>
  <c r="M180" i="19"/>
  <c r="J293" i="20"/>
  <c r="P172" i="19"/>
  <c r="Q135" i="14" s="1"/>
  <c r="N131" i="19"/>
  <c r="P215" i="20"/>
  <c r="P173" i="19" s="1"/>
  <c r="P217" i="20"/>
  <c r="P175" i="19" s="1"/>
  <c r="P219" i="20"/>
  <c r="P177" i="19" s="1"/>
  <c r="P216" i="20"/>
  <c r="P218" i="20"/>
  <c r="P203" i="20"/>
  <c r="P205" i="20"/>
  <c r="P202" i="20"/>
  <c r="P204" i="20"/>
  <c r="P206" i="20"/>
  <c r="P167" i="19" s="1"/>
  <c r="N131" i="20"/>
  <c r="N107" i="19" s="1"/>
  <c r="N132" i="20"/>
  <c r="N134" i="20"/>
  <c r="N110" i="19" s="1"/>
  <c r="N135" i="20"/>
  <c r="N133" i="20"/>
  <c r="N149" i="20"/>
  <c r="N125" i="19" s="1"/>
  <c r="N152" i="20"/>
  <c r="N128" i="19" s="1"/>
  <c r="N151" i="20"/>
  <c r="N127" i="19" s="1"/>
  <c r="N153" i="20"/>
  <c r="N150" i="20"/>
  <c r="N144" i="20"/>
  <c r="N143" i="20"/>
  <c r="N146" i="20"/>
  <c r="N122" i="19" s="1"/>
  <c r="N145" i="20"/>
  <c r="N121" i="19" s="1"/>
  <c r="N147" i="20"/>
  <c r="O148" i="20"/>
  <c r="O136" i="20"/>
  <c r="O112" i="19" s="1"/>
  <c r="P126" i="14" s="1"/>
  <c r="O142" i="20"/>
  <c r="O130" i="20"/>
  <c r="N137" i="20"/>
  <c r="N140" i="20"/>
  <c r="N116" i="19" s="1"/>
  <c r="N139" i="20"/>
  <c r="N115" i="19" s="1"/>
  <c r="N141" i="20"/>
  <c r="N117" i="19" s="1"/>
  <c r="N138" i="20"/>
  <c r="M103" i="20"/>
  <c r="M95" i="19" s="1"/>
  <c r="M101" i="20"/>
  <c r="M104" i="20"/>
  <c r="M96" i="19" s="1"/>
  <c r="M100" i="20"/>
  <c r="M102" i="20"/>
  <c r="N75" i="20"/>
  <c r="N67" i="19" s="1"/>
  <c r="O93" i="14" s="1"/>
  <c r="N99" i="20"/>
  <c r="N81" i="20"/>
  <c r="N93" i="20"/>
  <c r="N85" i="19" s="1"/>
  <c r="O124" i="14" s="1"/>
  <c r="N87" i="20"/>
  <c r="O104" i="12" s="1"/>
  <c r="M94" i="20"/>
  <c r="M95" i="20"/>
  <c r="M97" i="20"/>
  <c r="M96" i="20"/>
  <c r="M98" i="20"/>
  <c r="M83" i="20"/>
  <c r="M84" i="20"/>
  <c r="M86" i="20"/>
  <c r="M78" i="19" s="1"/>
  <c r="M82" i="20"/>
  <c r="M85" i="20"/>
  <c r="M89" i="20"/>
  <c r="M81" i="19" s="1"/>
  <c r="M90" i="20"/>
  <c r="M82" i="19" s="1"/>
  <c r="M88" i="20"/>
  <c r="N106" i="12" s="1"/>
  <c r="M92" i="20"/>
  <c r="M84" i="19" s="1"/>
  <c r="M91" i="20"/>
  <c r="M78" i="20"/>
  <c r="N100" i="12" s="1"/>
  <c r="N98" i="12" s="1"/>
  <c r="M76" i="20"/>
  <c r="N96" i="12" s="1"/>
  <c r="M77" i="20"/>
  <c r="M79" i="20"/>
  <c r="N101" i="12" s="1"/>
  <c r="N97" i="12" s="1"/>
  <c r="M80" i="20"/>
  <c r="M72" i="19" s="1"/>
  <c r="N55" i="19"/>
  <c r="N52" i="19" s="1"/>
  <c r="N62" i="19"/>
  <c r="O93" i="12"/>
  <c r="N60" i="19"/>
  <c r="N50" i="20"/>
  <c r="N58" i="19"/>
  <c r="N63" i="19"/>
  <c r="N65" i="19"/>
  <c r="N54" i="19"/>
  <c r="N57" i="19"/>
  <c r="O124" i="12"/>
  <c r="N53" i="19"/>
  <c r="N64" i="19"/>
  <c r="N61" i="19"/>
  <c r="N56" i="19"/>
  <c r="Q123" i="12"/>
  <c r="P158" i="19"/>
  <c r="P160" i="19"/>
  <c r="Q31" i="20"/>
  <c r="Q49" i="20" s="1"/>
  <c r="Q214" i="20" s="1"/>
  <c r="R135" i="12" s="1"/>
  <c r="K281" i="20"/>
  <c r="K282" i="20"/>
  <c r="M226" i="12"/>
  <c r="O103" i="19"/>
  <c r="P126" i="12"/>
  <c r="O100" i="19"/>
  <c r="O104" i="19"/>
  <c r="O102" i="19"/>
  <c r="O101" i="19"/>
  <c r="O99" i="19"/>
  <c r="O45" i="20"/>
  <c r="O32" i="20"/>
  <c r="CB4" i="55" s="1"/>
  <c r="DH4" i="55" s="1"/>
  <c r="M266" i="20"/>
  <c r="M317" i="20"/>
  <c r="M270" i="20"/>
  <c r="M267" i="20"/>
  <c r="M318" i="20"/>
  <c r="M179" i="19"/>
  <c r="Q29" i="20"/>
  <c r="Q47" i="20" s="1"/>
  <c r="Q201" i="20" s="1"/>
  <c r="Q162" i="19" s="1"/>
  <c r="R123" i="14" s="1"/>
  <c r="P170" i="19"/>
  <c r="M37" i="20"/>
  <c r="M36" i="20"/>
  <c r="K263" i="20"/>
  <c r="BX40" i="55" s="1"/>
  <c r="K262" i="20"/>
  <c r="BX39" i="55" s="1"/>
  <c r="K264" i="20"/>
  <c r="BX41" i="55" s="1"/>
  <c r="K265" i="20"/>
  <c r="BX42" i="55" s="1"/>
  <c r="K261" i="20"/>
  <c r="BX38" i="55" s="1"/>
  <c r="K260" i="20"/>
  <c r="P28" i="20"/>
  <c r="P46" i="20" s="1"/>
  <c r="Q94" i="12" s="1"/>
  <c r="P30" i="20"/>
  <c r="P48" i="20" s="1"/>
  <c r="I279" i="20"/>
  <c r="I283" i="20" s="1"/>
  <c r="I280" i="20"/>
  <c r="P27" i="20"/>
  <c r="Q19" i="20"/>
  <c r="P222" i="20"/>
  <c r="O169" i="19"/>
  <c r="L258" i="20"/>
  <c r="M225" i="20"/>
  <c r="O133" i="19"/>
  <c r="O135" i="19"/>
  <c r="O136" i="19"/>
  <c r="O134" i="19"/>
  <c r="O132" i="19"/>
  <c r="P125" i="12"/>
  <c r="N256" i="20"/>
  <c r="N34" i="20"/>
  <c r="M226" i="14"/>
  <c r="O157" i="19"/>
  <c r="N95" i="12"/>
  <c r="K276" i="20"/>
  <c r="K275" i="20"/>
  <c r="J278" i="20"/>
  <c r="J277" i="20"/>
  <c r="L273" i="20"/>
  <c r="L271" i="20"/>
  <c r="L274" i="20"/>
  <c r="L272" i="20"/>
  <c r="AZ84" i="55" l="1"/>
  <c r="S340" i="42"/>
  <c r="DL81" i="55"/>
  <c r="AZ81" i="55"/>
  <c r="S346" i="42"/>
  <c r="AZ127" i="36" s="1"/>
  <c r="W313" i="38"/>
  <c r="X87" i="55" s="1"/>
  <c r="U178" i="29"/>
  <c r="Y66" i="16"/>
  <c r="S69" i="16"/>
  <c r="X314" i="42"/>
  <c r="BE88" i="55" s="1"/>
  <c r="X310" i="42"/>
  <c r="X309" i="42"/>
  <c r="X312" i="42"/>
  <c r="BE86" i="55" s="1"/>
  <c r="X311" i="42"/>
  <c r="BE85" i="55" s="1"/>
  <c r="X313" i="42"/>
  <c r="BE87" i="55" s="1"/>
  <c r="U168" i="28"/>
  <c r="U169" i="28"/>
  <c r="AA182" i="46"/>
  <c r="AB107" i="45" s="1"/>
  <c r="BH107" i="45" s="1"/>
  <c r="AA177" i="48"/>
  <c r="AA178" i="46"/>
  <c r="AA183" i="46" s="1"/>
  <c r="AA181" i="46"/>
  <c r="AA186" i="46" s="1"/>
  <c r="AA179" i="46"/>
  <c r="AA184" i="46" s="1"/>
  <c r="AA180" i="46"/>
  <c r="AA185" i="46" s="1"/>
  <c r="V303" i="38"/>
  <c r="V302" i="38"/>
  <c r="AA212" i="46"/>
  <c r="AA217" i="46" s="1"/>
  <c r="AA214" i="46"/>
  <c r="AB89" i="45" s="1"/>
  <c r="AA210" i="46"/>
  <c r="AA215" i="46" s="1"/>
  <c r="AA209" i="48"/>
  <c r="AA211" i="46"/>
  <c r="AA216" i="46" s="1"/>
  <c r="AA213" i="46"/>
  <c r="AA218" i="46" s="1"/>
  <c r="W104" i="29"/>
  <c r="V137" i="29"/>
  <c r="V138" i="29" s="1"/>
  <c r="Z179" i="48"/>
  <c r="Z184" i="48" s="1"/>
  <c r="Z178" i="48"/>
  <c r="Z183" i="48" s="1"/>
  <c r="Z180" i="48"/>
  <c r="Z185" i="48" s="1"/>
  <c r="Z182" i="48"/>
  <c r="Z181" i="48"/>
  <c r="Z186" i="48" s="1"/>
  <c r="AB19" i="48"/>
  <c r="AB275" i="48" s="1"/>
  <c r="AB27" i="48"/>
  <c r="AB32" i="48" s="1"/>
  <c r="AA208" i="38"/>
  <c r="AA212" i="38" s="1"/>
  <c r="AA211" i="38"/>
  <c r="AA209" i="38"/>
  <c r="AA213" i="38" s="1"/>
  <c r="AA210" i="38"/>
  <c r="AA214" i="38" s="1"/>
  <c r="Y84" i="42"/>
  <c r="Y81" i="42"/>
  <c r="Y85" i="42" s="1"/>
  <c r="Y82" i="42"/>
  <c r="Y86" i="42" s="1"/>
  <c r="Y83" i="42"/>
  <c r="Y87" i="42" s="1"/>
  <c r="AB246" i="48"/>
  <c r="AB249" i="46"/>
  <c r="AB254" i="46" s="1"/>
  <c r="AB250" i="46"/>
  <c r="AB255" i="46" s="1"/>
  <c r="AB247" i="46"/>
  <c r="AB252" i="46" s="1"/>
  <c r="AB251" i="46"/>
  <c r="AC96" i="45" s="1"/>
  <c r="AB248" i="46"/>
  <c r="AB253" i="46" s="1"/>
  <c r="AB137" i="42"/>
  <c r="AB161" i="42"/>
  <c r="AB153" i="42"/>
  <c r="AB145" i="42"/>
  <c r="AB137" i="38"/>
  <c r="AB153" i="38"/>
  <c r="AB161" i="38"/>
  <c r="AB145" i="38"/>
  <c r="X92" i="29"/>
  <c r="AA195" i="42"/>
  <c r="AA194" i="42"/>
  <c r="AA198" i="42" s="1"/>
  <c r="AA192" i="42"/>
  <c r="AA196" i="42" s="1"/>
  <c r="AA193" i="42"/>
  <c r="AA197" i="42" s="1"/>
  <c r="DO57" i="55"/>
  <c r="BC57" i="55"/>
  <c r="V148" i="29"/>
  <c r="Z197" i="54"/>
  <c r="Z34" i="54"/>
  <c r="AA140" i="38"/>
  <c r="AA139" i="38"/>
  <c r="AA138" i="38"/>
  <c r="Z232" i="48"/>
  <c r="Z237" i="48" s="1"/>
  <c r="Z233" i="48"/>
  <c r="Z238" i="48" s="1"/>
  <c r="Z234" i="48"/>
  <c r="Z231" i="48"/>
  <c r="Z236" i="48" s="1"/>
  <c r="Z230" i="48"/>
  <c r="Z235" i="48" s="1"/>
  <c r="X234" i="19"/>
  <c r="X233" i="19"/>
  <c r="Y292" i="38"/>
  <c r="Y295" i="38"/>
  <c r="S173" i="28"/>
  <c r="S172" i="28"/>
  <c r="S176" i="28" s="1"/>
  <c r="AA49" i="28"/>
  <c r="AA87" i="45"/>
  <c r="AA85" i="45"/>
  <c r="AA86" i="45"/>
  <c r="BG86" i="45"/>
  <c r="BG87" i="45"/>
  <c r="BG85" i="45"/>
  <c r="R192" i="29"/>
  <c r="S70" i="16" s="1"/>
  <c r="AA167" i="48"/>
  <c r="AA171" i="46"/>
  <c r="AA176" i="46" s="1"/>
  <c r="AA170" i="46"/>
  <c r="AA175" i="46" s="1"/>
  <c r="AA169" i="46"/>
  <c r="AA174" i="46" s="1"/>
  <c r="AA168" i="46"/>
  <c r="AA173" i="46" s="1"/>
  <c r="AA172" i="46"/>
  <c r="AB77" i="45" s="1"/>
  <c r="BH77" i="45" s="1"/>
  <c r="Y36" i="29"/>
  <c r="Y37" i="29"/>
  <c r="AA232" i="46"/>
  <c r="AA237" i="46" s="1"/>
  <c r="AA231" i="46"/>
  <c r="AA236" i="46" s="1"/>
  <c r="AA233" i="46"/>
  <c r="AA238" i="46" s="1"/>
  <c r="AA230" i="46"/>
  <c r="AA235" i="46" s="1"/>
  <c r="AA234" i="46"/>
  <c r="AB108" i="45" s="1"/>
  <c r="BH108" i="45" s="1"/>
  <c r="AA229" i="48"/>
  <c r="AA202" i="38"/>
  <c r="AA206" i="38" s="1"/>
  <c r="AA200" i="38"/>
  <c r="AA204" i="38" s="1"/>
  <c r="AA201" i="38"/>
  <c r="AA205" i="38" s="1"/>
  <c r="AA203" i="38"/>
  <c r="AB101" i="36" s="1"/>
  <c r="BH101" i="36" s="1"/>
  <c r="X299" i="42"/>
  <c r="X296" i="42"/>
  <c r="X298" i="42"/>
  <c r="X297" i="42"/>
  <c r="AD5" i="19"/>
  <c r="AC14" i="19"/>
  <c r="AC17" i="19"/>
  <c r="AC30" i="19" s="1"/>
  <c r="AC48" i="19" s="1"/>
  <c r="AC15" i="19"/>
  <c r="AC28" i="19" s="1"/>
  <c r="AC46" i="19" s="1"/>
  <c r="AC18" i="19"/>
  <c r="AC31" i="19" s="1"/>
  <c r="AC49" i="19" s="1"/>
  <c r="AC16" i="19"/>
  <c r="AC29" i="19" s="1"/>
  <c r="AC47" i="19" s="1"/>
  <c r="Y99" i="42"/>
  <c r="Y103" i="42" s="1"/>
  <c r="Y100" i="42"/>
  <c r="Y97" i="42"/>
  <c r="Y101" i="42" s="1"/>
  <c r="Y98" i="42"/>
  <c r="Y102" i="42" s="1"/>
  <c r="AB16" i="54"/>
  <c r="AB29" i="54" s="1"/>
  <c r="AB44" i="54" s="1"/>
  <c r="AB150" i="54" s="1"/>
  <c r="AB151" i="54" s="1"/>
  <c r="AB17" i="54"/>
  <c r="AB30" i="54" s="1"/>
  <c r="AB18" i="54"/>
  <c r="AB31" i="54" s="1"/>
  <c r="AB15" i="54"/>
  <c r="AB28" i="54" s="1"/>
  <c r="AB14" i="54"/>
  <c r="AC5" i="54"/>
  <c r="W170" i="29"/>
  <c r="W171" i="29" s="1"/>
  <c r="W147" i="29"/>
  <c r="AD5" i="38"/>
  <c r="AC14" i="38"/>
  <c r="AC17" i="38"/>
  <c r="AC30" i="38" s="1"/>
  <c r="AC45" i="38" s="1"/>
  <c r="AC16" i="38"/>
  <c r="AC29" i="38" s="1"/>
  <c r="AC44" i="38" s="1"/>
  <c r="AC222" i="38" s="1"/>
  <c r="AC18" i="38"/>
  <c r="AC31" i="38" s="1"/>
  <c r="AC46" i="38" s="1"/>
  <c r="AC237" i="38" s="1"/>
  <c r="AC15" i="38"/>
  <c r="AC28" i="38" s="1"/>
  <c r="AC43" i="38" s="1"/>
  <c r="X184" i="28"/>
  <c r="X185" i="28" s="1"/>
  <c r="X161" i="28"/>
  <c r="U305" i="38"/>
  <c r="U304" i="38"/>
  <c r="U308" i="38" s="1"/>
  <c r="AA208" i="42"/>
  <c r="AA212" i="42" s="1"/>
  <c r="AA210" i="42"/>
  <c r="AA214" i="42" s="1"/>
  <c r="AA211" i="42"/>
  <c r="AA209" i="42"/>
  <c r="AA213" i="42" s="1"/>
  <c r="V157" i="29"/>
  <c r="V156" i="29"/>
  <c r="V174" i="29"/>
  <c r="V175" i="29" s="1"/>
  <c r="V176" i="29" s="1"/>
  <c r="AA32" i="29"/>
  <c r="AA45" i="29"/>
  <c r="X151" i="29"/>
  <c r="X150" i="29"/>
  <c r="X152" i="29"/>
  <c r="X153" i="29"/>
  <c r="U166" i="29"/>
  <c r="BB63" i="55" s="1"/>
  <c r="U164" i="29"/>
  <c r="U168" i="29"/>
  <c r="BB65" i="55" s="1"/>
  <c r="U165" i="29"/>
  <c r="BB62" i="55" s="1"/>
  <c r="U167" i="29"/>
  <c r="BB64" i="55" s="1"/>
  <c r="U163" i="29"/>
  <c r="AA19" i="28"/>
  <c r="AA118" i="28" s="1"/>
  <c r="AA27" i="28"/>
  <c r="AA148" i="42"/>
  <c r="AA152" i="42" s="1"/>
  <c r="AA149" i="42"/>
  <c r="AA146" i="42"/>
  <c r="AA150" i="42" s="1"/>
  <c r="AA147" i="42"/>
  <c r="AA151" i="42" s="1"/>
  <c r="AA161" i="46"/>
  <c r="AA166" i="46" s="1"/>
  <c r="AA160" i="46"/>
  <c r="AA165" i="46" s="1"/>
  <c r="AA159" i="46"/>
  <c r="AA164" i="46" s="1"/>
  <c r="AA158" i="46"/>
  <c r="AA163" i="46" s="1"/>
  <c r="AA162" i="46"/>
  <c r="AB98" i="45" s="1"/>
  <c r="BH98" i="45" s="1"/>
  <c r="AA157" i="48"/>
  <c r="Z50" i="29"/>
  <c r="Z145" i="29" s="1"/>
  <c r="W163" i="28"/>
  <c r="W162" i="28"/>
  <c r="W160" i="28"/>
  <c r="U305" i="42"/>
  <c r="U304" i="42"/>
  <c r="U308" i="42" s="1"/>
  <c r="AA192" i="38"/>
  <c r="AA196" i="38" s="1"/>
  <c r="AA194" i="38"/>
  <c r="AA198" i="38" s="1"/>
  <c r="AA193" i="38"/>
  <c r="AA197" i="38" s="1"/>
  <c r="U321" i="42"/>
  <c r="U322" i="42" s="1"/>
  <c r="U324" i="42" s="1"/>
  <c r="Y107" i="42"/>
  <c r="Y111" i="42" s="1"/>
  <c r="Y108" i="42"/>
  <c r="Y106" i="42"/>
  <c r="Y110" i="42" s="1"/>
  <c r="Y105" i="42"/>
  <c r="Y109" i="42" s="1"/>
  <c r="AA19" i="54"/>
  <c r="AA27" i="54"/>
  <c r="AA32" i="54" s="1"/>
  <c r="Q69" i="15"/>
  <c r="Q71" i="15" s="1"/>
  <c r="Q33" i="58" s="1"/>
  <c r="Q58" i="55"/>
  <c r="Q61" i="55"/>
  <c r="P208" i="28"/>
  <c r="P213" i="28"/>
  <c r="U159" i="29"/>
  <c r="U158" i="29"/>
  <c r="U162" i="29" s="1"/>
  <c r="AA201" i="42"/>
  <c r="AA205" i="42" s="1"/>
  <c r="AA200" i="42"/>
  <c r="AA204" i="42" s="1"/>
  <c r="AA202" i="42"/>
  <c r="AA206" i="42" s="1"/>
  <c r="AA203" i="42"/>
  <c r="X196" i="29"/>
  <c r="X197" i="29"/>
  <c r="U177" i="29"/>
  <c r="T171" i="28"/>
  <c r="T170" i="28"/>
  <c r="R196" i="28"/>
  <c r="Y293" i="38"/>
  <c r="Z80" i="55" s="1"/>
  <c r="Y316" i="38"/>
  <c r="AB55" i="15"/>
  <c r="AA85" i="29"/>
  <c r="AB55" i="16" s="1"/>
  <c r="AA19" i="53"/>
  <c r="AA27" i="53"/>
  <c r="AA32" i="53" s="1"/>
  <c r="V237" i="19"/>
  <c r="V241" i="19" s="1"/>
  <c r="V238" i="19"/>
  <c r="AA156" i="42"/>
  <c r="AA160" i="42" s="1"/>
  <c r="AA157" i="42"/>
  <c r="AA155" i="42"/>
  <c r="AA159" i="42" s="1"/>
  <c r="AA154" i="42"/>
  <c r="AA158" i="42" s="1"/>
  <c r="AA148" i="46"/>
  <c r="AA153" i="46" s="1"/>
  <c r="AA152" i="46"/>
  <c r="AB83" i="45" s="1"/>
  <c r="AA147" i="48"/>
  <c r="AA150" i="46"/>
  <c r="AA155" i="46" s="1"/>
  <c r="AA149" i="46"/>
  <c r="AA154" i="46" s="1"/>
  <c r="AA151" i="46"/>
  <c r="AA156" i="46" s="1"/>
  <c r="Z34" i="29"/>
  <c r="Z135" i="29"/>
  <c r="Z275" i="19"/>
  <c r="Z276" i="19"/>
  <c r="Z224" i="19"/>
  <c r="Z228" i="19"/>
  <c r="Z225" i="19"/>
  <c r="U158" i="28"/>
  <c r="CH65" i="55" s="1"/>
  <c r="U156" i="28"/>
  <c r="CH63" i="55" s="1"/>
  <c r="U153" i="28"/>
  <c r="U157" i="28"/>
  <c r="CH64" i="55" s="1"/>
  <c r="U155" i="28"/>
  <c r="CH62" i="55" s="1"/>
  <c r="U154" i="28"/>
  <c r="CH61" i="55" s="1"/>
  <c r="AA250" i="48"/>
  <c r="AA255" i="48" s="1"/>
  <c r="AA251" i="48"/>
  <c r="AA248" i="48"/>
  <c r="AA253" i="48" s="1"/>
  <c r="AA249" i="48"/>
  <c r="AA254" i="48" s="1"/>
  <c r="AA247" i="48"/>
  <c r="AA252" i="48" s="1"/>
  <c r="DL58" i="55"/>
  <c r="T69" i="16"/>
  <c r="T71" i="16" s="1"/>
  <c r="AZ33" i="58" s="1"/>
  <c r="AZ58" i="55"/>
  <c r="S199" i="29"/>
  <c r="W235" i="19"/>
  <c r="W236" i="19"/>
  <c r="Z172" i="48"/>
  <c r="Z170" i="48"/>
  <c r="Z175" i="48" s="1"/>
  <c r="Z169" i="48"/>
  <c r="Z174" i="48" s="1"/>
  <c r="Z168" i="48"/>
  <c r="Z173" i="48" s="1"/>
  <c r="Z171" i="48"/>
  <c r="Z176" i="48" s="1"/>
  <c r="Y295" i="42"/>
  <c r="Y292" i="42"/>
  <c r="W155" i="29"/>
  <c r="W154" i="29"/>
  <c r="V177" i="28"/>
  <c r="V181" i="28"/>
  <c r="W64" i="55" s="1"/>
  <c r="V179" i="28"/>
  <c r="W62" i="55" s="1"/>
  <c r="V182" i="28"/>
  <c r="W65" i="55" s="1"/>
  <c r="V178" i="28"/>
  <c r="V180" i="28"/>
  <c r="W63" i="55" s="1"/>
  <c r="AB207" i="42"/>
  <c r="AB191" i="42"/>
  <c r="AB199" i="42"/>
  <c r="Y67" i="16"/>
  <c r="Y46" i="16"/>
  <c r="T186" i="28"/>
  <c r="T187" i="28" s="1"/>
  <c r="T188" i="28"/>
  <c r="T191" i="28" s="1"/>
  <c r="W306" i="42"/>
  <c r="W307" i="42"/>
  <c r="AA61" i="16"/>
  <c r="Z87" i="29"/>
  <c r="W283" i="42"/>
  <c r="W284" i="42" s="1"/>
  <c r="X250" i="42"/>
  <c r="T329" i="42"/>
  <c r="T338" i="42" s="1"/>
  <c r="X68" i="15"/>
  <c r="X77" i="15" s="1"/>
  <c r="X134" i="15"/>
  <c r="X140" i="15" s="1"/>
  <c r="X133" i="15" a="1"/>
  <c r="X141" i="15" s="1"/>
  <c r="X142" i="15" s="1"/>
  <c r="Z34" i="38"/>
  <c r="Z281" i="38"/>
  <c r="AB48" i="15"/>
  <c r="AB49" i="15" s="1"/>
  <c r="AB136" i="15" s="1"/>
  <c r="AA78" i="29"/>
  <c r="AB64" i="16" s="1"/>
  <c r="AA73" i="29"/>
  <c r="AA75" i="29"/>
  <c r="AA76" i="29"/>
  <c r="AB58" i="16" s="1"/>
  <c r="AA67" i="29"/>
  <c r="AA70" i="29"/>
  <c r="AA66" i="29"/>
  <c r="AA65" i="29" s="1"/>
  <c r="AA77" i="29"/>
  <c r="AB45" i="16" s="1"/>
  <c r="AA69" i="29"/>
  <c r="AB58" i="15"/>
  <c r="AA71" i="29"/>
  <c r="AB45" i="15"/>
  <c r="AA74" i="29"/>
  <c r="AB48" i="16" s="1"/>
  <c r="AB49" i="16" s="1"/>
  <c r="AB136" i="16" s="1"/>
  <c r="AB64" i="15"/>
  <c r="AA68" i="29"/>
  <c r="AA32" i="19"/>
  <c r="AA45" i="19"/>
  <c r="AA50" i="19" s="1"/>
  <c r="AA163" i="42"/>
  <c r="AA167" i="42" s="1"/>
  <c r="AA164" i="42"/>
  <c r="AA168" i="42" s="1"/>
  <c r="AA165" i="42"/>
  <c r="AA162" i="42"/>
  <c r="AA166" i="42" s="1"/>
  <c r="Z34" i="42"/>
  <c r="Z281" i="42"/>
  <c r="AA32" i="38"/>
  <c r="AA42" i="38"/>
  <c r="AD5" i="29"/>
  <c r="AC14" i="29"/>
  <c r="AC18" i="29"/>
  <c r="AC31" i="29" s="1"/>
  <c r="AC15" i="29"/>
  <c r="AC28" i="29" s="1"/>
  <c r="AC46" i="29" s="1"/>
  <c r="AC16" i="29"/>
  <c r="AC29" i="29" s="1"/>
  <c r="AC47" i="29" s="1"/>
  <c r="AC17" i="29"/>
  <c r="AC30" i="29" s="1"/>
  <c r="DQ80" i="55"/>
  <c r="BE80" i="55"/>
  <c r="Z34" i="19"/>
  <c r="Z214" i="19"/>
  <c r="Y316" i="42"/>
  <c r="Y317" i="42" s="1"/>
  <c r="Y293" i="42"/>
  <c r="DR80" i="55" s="1"/>
  <c r="AB147" i="46"/>
  <c r="AB177" i="46"/>
  <c r="AB157" i="46"/>
  <c r="AB167" i="46"/>
  <c r="V165" i="28"/>
  <c r="V167" i="28"/>
  <c r="V164" i="28"/>
  <c r="V166" i="28"/>
  <c r="AB238" i="42"/>
  <c r="AB242" i="42" s="1"/>
  <c r="AB241" i="42"/>
  <c r="AB239" i="42"/>
  <c r="AB243" i="42" s="1"/>
  <c r="AB240" i="42"/>
  <c r="AB244" i="42" s="1"/>
  <c r="AB239" i="38"/>
  <c r="AB243" i="38" s="1"/>
  <c r="AB240" i="38"/>
  <c r="AB244" i="38" s="1"/>
  <c r="AB238" i="38"/>
  <c r="AB242" i="38" s="1"/>
  <c r="X159" i="28"/>
  <c r="X210" i="28"/>
  <c r="X211" i="28"/>
  <c r="W300" i="42"/>
  <c r="W301" i="42"/>
  <c r="W300" i="38"/>
  <c r="W301" i="38"/>
  <c r="V286" i="42"/>
  <c r="V290" i="42"/>
  <c r="V287" i="42"/>
  <c r="V289" i="42"/>
  <c r="V288" i="42"/>
  <c r="V285" i="42"/>
  <c r="S189" i="28"/>
  <c r="S190" i="28" s="1"/>
  <c r="S192" i="28" s="1"/>
  <c r="Z47" i="38"/>
  <c r="Z291" i="38" s="1"/>
  <c r="Z96" i="38"/>
  <c r="Z80" i="38"/>
  <c r="Z104" i="38"/>
  <c r="Z72" i="38"/>
  <c r="Z73" i="38" s="1"/>
  <c r="Z249" i="38"/>
  <c r="AB14" i="28"/>
  <c r="AC5" i="28"/>
  <c r="AB17" i="28"/>
  <c r="AB30" i="28" s="1"/>
  <c r="AB16" i="28"/>
  <c r="AB29" i="28" s="1"/>
  <c r="AB47" i="28" s="1"/>
  <c r="AB15" i="28"/>
  <c r="AB28" i="28" s="1"/>
  <c r="AB46" i="28" s="1"/>
  <c r="AB18" i="28"/>
  <c r="AB31" i="28" s="1"/>
  <c r="AA309" i="46"/>
  <c r="AA34" i="46"/>
  <c r="AA140" i="42"/>
  <c r="AA144" i="42" s="1"/>
  <c r="AA139" i="42"/>
  <c r="AA143" i="42" s="1"/>
  <c r="AA141" i="42"/>
  <c r="AA138" i="42"/>
  <c r="AA142" i="42" s="1"/>
  <c r="Z249" i="42"/>
  <c r="Z104" i="42"/>
  <c r="Z72" i="42"/>
  <c r="Z47" i="42"/>
  <c r="Z291" i="42" s="1"/>
  <c r="Z96" i="42"/>
  <c r="Z80" i="42"/>
  <c r="T190" i="29"/>
  <c r="Z161" i="48"/>
  <c r="Z166" i="48" s="1"/>
  <c r="Z160" i="48"/>
  <c r="Z165" i="48" s="1"/>
  <c r="Z162" i="48"/>
  <c r="Z158" i="48"/>
  <c r="Z163" i="48" s="1"/>
  <c r="Z159" i="48"/>
  <c r="Z164" i="48" s="1"/>
  <c r="CI57" i="55"/>
  <c r="V152" i="28"/>
  <c r="AX126" i="36"/>
  <c r="AX39" i="58" s="1"/>
  <c r="Q346" i="42"/>
  <c r="AX127" i="36" s="1"/>
  <c r="X133" i="16" a="1"/>
  <c r="X141" i="16" s="1"/>
  <c r="X142" i="16" s="1"/>
  <c r="X68" i="16"/>
  <c r="X134" i="16"/>
  <c r="X140" i="16" s="1"/>
  <c r="X77" i="16"/>
  <c r="AC14" i="46"/>
  <c r="AC17" i="46"/>
  <c r="AC30" i="46" s="1"/>
  <c r="AC45" i="46" s="1"/>
  <c r="AD5" i="46"/>
  <c r="AC16" i="46"/>
  <c r="AC29" i="46" s="1"/>
  <c r="AC44" i="46" s="1"/>
  <c r="AC246" i="46" s="1"/>
  <c r="AC18" i="46"/>
  <c r="AC31" i="46" s="1"/>
  <c r="AC15" i="46"/>
  <c r="AC28" i="46" s="1"/>
  <c r="AC43" i="46" s="1"/>
  <c r="X36" i="28"/>
  <c r="X37" i="28"/>
  <c r="AC14" i="20"/>
  <c r="AC17" i="20"/>
  <c r="AC18" i="20"/>
  <c r="AD5" i="20"/>
  <c r="AC16" i="20"/>
  <c r="AC15" i="20"/>
  <c r="W160" i="29"/>
  <c r="W172" i="29" s="1"/>
  <c r="W173" i="29" s="1"/>
  <c r="W161" i="29"/>
  <c r="AC18" i="42"/>
  <c r="AC31" i="42" s="1"/>
  <c r="AC46" i="42" s="1"/>
  <c r="AC237" i="42" s="1"/>
  <c r="AC16" i="42"/>
  <c r="AC29" i="42" s="1"/>
  <c r="AC44" i="42" s="1"/>
  <c r="AC222" i="42" s="1"/>
  <c r="AD5" i="42"/>
  <c r="AC14" i="42"/>
  <c r="AC17" i="42"/>
  <c r="AC30" i="42" s="1"/>
  <c r="AC45" i="42" s="1"/>
  <c r="AC15" i="42"/>
  <c r="AC28" i="42" s="1"/>
  <c r="AC43" i="42" s="1"/>
  <c r="AB224" i="38"/>
  <c r="AB228" i="38" s="1"/>
  <c r="AB225" i="38"/>
  <c r="AB229" i="38" s="1"/>
  <c r="AB223" i="38"/>
  <c r="AB227" i="38" s="1"/>
  <c r="Y67" i="15"/>
  <c r="Y46" i="15"/>
  <c r="W307" i="38"/>
  <c r="W306" i="38"/>
  <c r="W318" i="38" s="1"/>
  <c r="AA147" i="38"/>
  <c r="AA151" i="38" s="1"/>
  <c r="AA146" i="38"/>
  <c r="AA150" i="38" s="1"/>
  <c r="AA148" i="38"/>
  <c r="AA152" i="38" s="1"/>
  <c r="AA149" i="38"/>
  <c r="AB100" i="36" s="1"/>
  <c r="BH100" i="36" s="1"/>
  <c r="Z151" i="48"/>
  <c r="Z156" i="48" s="1"/>
  <c r="Z152" i="48"/>
  <c r="Z149" i="48"/>
  <c r="Z154" i="48" s="1"/>
  <c r="Z150" i="48"/>
  <c r="Z155" i="48" s="1"/>
  <c r="Z148" i="48"/>
  <c r="Z153" i="48" s="1"/>
  <c r="AA34" i="48"/>
  <c r="AA309" i="48"/>
  <c r="U328" i="42"/>
  <c r="AB49" i="29"/>
  <c r="AA42" i="42"/>
  <c r="AA32" i="42"/>
  <c r="Z32" i="28"/>
  <c r="Z45" i="28"/>
  <c r="X217" i="28"/>
  <c r="W151" i="28"/>
  <c r="Y149" i="29"/>
  <c r="Y146" i="29"/>
  <c r="X294" i="38"/>
  <c r="AC14" i="48"/>
  <c r="AC17" i="48"/>
  <c r="AC30" i="48" s="1"/>
  <c r="AC45" i="48" s="1"/>
  <c r="AC18" i="48"/>
  <c r="AC31" i="48" s="1"/>
  <c r="AC15" i="48"/>
  <c r="AC28" i="48" s="1"/>
  <c r="AC43" i="48" s="1"/>
  <c r="AC16" i="48"/>
  <c r="AC29" i="48" s="1"/>
  <c r="AC44" i="48" s="1"/>
  <c r="AD5" i="48"/>
  <c r="AB19" i="19"/>
  <c r="AB27" i="19"/>
  <c r="Y246" i="42"/>
  <c r="AB19" i="46"/>
  <c r="AB275" i="46" s="1"/>
  <c r="AB27" i="46"/>
  <c r="AB32" i="46" s="1"/>
  <c r="AB223" i="42"/>
  <c r="AB227" i="42" s="1"/>
  <c r="AB226" i="42"/>
  <c r="AB224" i="42"/>
  <c r="AB228" i="42" s="1"/>
  <c r="AB225" i="42"/>
  <c r="AB229" i="42" s="1"/>
  <c r="Y216" i="28"/>
  <c r="Y59" i="29"/>
  <c r="Z44" i="16" s="1"/>
  <c r="Z62" i="15"/>
  <c r="Z65" i="15" s="1"/>
  <c r="Z139" i="15" s="1"/>
  <c r="Y53" i="29"/>
  <c r="Y56" i="29"/>
  <c r="Y57" i="29"/>
  <c r="Y61" i="29"/>
  <c r="Y60" i="29"/>
  <c r="Y62" i="29"/>
  <c r="Z62" i="16" s="1"/>
  <c r="Z65" i="16" s="1"/>
  <c r="Z139" i="16" s="1"/>
  <c r="Y50" i="28"/>
  <c r="Y55" i="29"/>
  <c r="Y52" i="29" s="1"/>
  <c r="Y92" i="29" s="1"/>
  <c r="Y63" i="29"/>
  <c r="Z56" i="16" s="1"/>
  <c r="Z56" i="15"/>
  <c r="Y54" i="29"/>
  <c r="Z44" i="15"/>
  <c r="AB19" i="38"/>
  <c r="AB247" i="38" s="1"/>
  <c r="AB27" i="38"/>
  <c r="Z197" i="53"/>
  <c r="Z34" i="53"/>
  <c r="AA155" i="38"/>
  <c r="AA159" i="38" s="1"/>
  <c r="AA156" i="38"/>
  <c r="AA160" i="38" s="1"/>
  <c r="AA154" i="38"/>
  <c r="AA158" i="38" s="1"/>
  <c r="AA157" i="38"/>
  <c r="AB79" i="36" s="1"/>
  <c r="BH79" i="36" s="1"/>
  <c r="Z221" i="48"/>
  <c r="Z226" i="48" s="1"/>
  <c r="Z223" i="48"/>
  <c r="Z228" i="48" s="1"/>
  <c r="Z222" i="48"/>
  <c r="Z227" i="48" s="1"/>
  <c r="Z224" i="48"/>
  <c r="Z220" i="48"/>
  <c r="Z225" i="48" s="1"/>
  <c r="Y229" i="19"/>
  <c r="Y230" i="19"/>
  <c r="Y231" i="19"/>
  <c r="Y232" i="19"/>
  <c r="U174" i="28"/>
  <c r="U175" i="28"/>
  <c r="AB14" i="53"/>
  <c r="AB17" i="53"/>
  <c r="AB30" i="53" s="1"/>
  <c r="AB18" i="53"/>
  <c r="AB31" i="53" s="1"/>
  <c r="AC5" i="53"/>
  <c r="AB15" i="53"/>
  <c r="AB28" i="53" s="1"/>
  <c r="AB16" i="53"/>
  <c r="AB29" i="53" s="1"/>
  <c r="AB44" i="53" s="1"/>
  <c r="AB150" i="53" s="1"/>
  <c r="AB151" i="53" s="1"/>
  <c r="AC60" i="51" s="1"/>
  <c r="BI60" i="51" s="1"/>
  <c r="V318" i="42"/>
  <c r="V319" i="42" s="1"/>
  <c r="V320" i="42"/>
  <c r="V323" i="42" s="1"/>
  <c r="Z211" i="48"/>
  <c r="Z216" i="48" s="1"/>
  <c r="Z214" i="48"/>
  <c r="Z210" i="48"/>
  <c r="Z215" i="48" s="1"/>
  <c r="Z212" i="48"/>
  <c r="Z217" i="48" s="1"/>
  <c r="Z213" i="48"/>
  <c r="Z218" i="48" s="1"/>
  <c r="AB27" i="29"/>
  <c r="AB19" i="29"/>
  <c r="Q204" i="28"/>
  <c r="AA222" i="46"/>
  <c r="AA227" i="46" s="1"/>
  <c r="AA221" i="46"/>
  <c r="AA226" i="46" s="1"/>
  <c r="AA219" i="48"/>
  <c r="AA220" i="46"/>
  <c r="AA225" i="46" s="1"/>
  <c r="AA224" i="46"/>
  <c r="AB99" i="45" s="1"/>
  <c r="BH99" i="45" s="1"/>
  <c r="AA223" i="46"/>
  <c r="AA228" i="46" s="1"/>
  <c r="U140" i="29"/>
  <c r="U142" i="29"/>
  <c r="U144" i="29"/>
  <c r="U139" i="29"/>
  <c r="U141" i="29"/>
  <c r="U143" i="29"/>
  <c r="X299" i="38"/>
  <c r="X296" i="38"/>
  <c r="X297" i="38"/>
  <c r="X298" i="38"/>
  <c r="V302" i="42"/>
  <c r="V303" i="42"/>
  <c r="Y74" i="42"/>
  <c r="Y78" i="42" s="1"/>
  <c r="Y75" i="42"/>
  <c r="Y79" i="42" s="1"/>
  <c r="Y73" i="42"/>
  <c r="Y77" i="42" s="1"/>
  <c r="Y76" i="42"/>
  <c r="AB229" i="46"/>
  <c r="AB219" i="46"/>
  <c r="AB209" i="46"/>
  <c r="AA83" i="29"/>
  <c r="AA82" i="29" s="1"/>
  <c r="AB19" i="42"/>
  <c r="AB247" i="42" s="1"/>
  <c r="AB27" i="42"/>
  <c r="S196" i="28"/>
  <c r="Y149" i="28"/>
  <c r="Y34" i="28"/>
  <c r="AB191" i="38"/>
  <c r="AB207" i="38"/>
  <c r="AB199" i="38"/>
  <c r="Y59" i="15"/>
  <c r="Y135" i="15" s="1"/>
  <c r="Y66" i="15"/>
  <c r="X103" i="29"/>
  <c r="X91" i="29"/>
  <c r="AA163" i="38"/>
  <c r="AA167" i="38" s="1"/>
  <c r="AA164" i="38"/>
  <c r="AA168" i="38" s="1"/>
  <c r="AA165" i="38"/>
  <c r="AB109" i="36" s="1"/>
  <c r="BH109" i="36" s="1"/>
  <c r="AA162" i="38"/>
  <c r="AA166" i="38" s="1"/>
  <c r="Y36" i="19"/>
  <c r="Y37" i="19"/>
  <c r="X240" i="19"/>
  <c r="X239" i="19"/>
  <c r="X251" i="19" s="1"/>
  <c r="L259" i="20"/>
  <c r="L264" i="20" s="1"/>
  <c r="BY41" i="55" s="1"/>
  <c r="BY34" i="55"/>
  <c r="L183" i="19"/>
  <c r="K216" i="19"/>
  <c r="M97" i="14"/>
  <c r="N110" i="14"/>
  <c r="N108" i="14" s="1"/>
  <c r="N109" i="12"/>
  <c r="M75" i="19"/>
  <c r="N73" i="19"/>
  <c r="O114" i="14" s="1"/>
  <c r="O114" i="12"/>
  <c r="N91" i="19"/>
  <c r="O136" i="14" s="1"/>
  <c r="O136" i="12"/>
  <c r="N99" i="12"/>
  <c r="N109" i="14"/>
  <c r="O105" i="12"/>
  <c r="O228" i="12" s="1"/>
  <c r="N114" i="19"/>
  <c r="N113" i="19"/>
  <c r="O124" i="19"/>
  <c r="P138" i="14" s="1"/>
  <c r="P138" i="12"/>
  <c r="N111" i="19"/>
  <c r="O95" i="14"/>
  <c r="O106" i="19"/>
  <c r="P103" i="14" s="1"/>
  <c r="P103" i="12"/>
  <c r="N123" i="19"/>
  <c r="N126" i="19"/>
  <c r="P174" i="19"/>
  <c r="O98" i="19"/>
  <c r="N180" i="19"/>
  <c r="M92" i="19"/>
  <c r="P176" i="19"/>
  <c r="M88" i="19"/>
  <c r="M87" i="19"/>
  <c r="P166" i="19"/>
  <c r="P164" i="19"/>
  <c r="P165" i="19"/>
  <c r="P163" i="19"/>
  <c r="N110" i="12"/>
  <c r="N108" i="12" s="1"/>
  <c r="M86" i="19"/>
  <c r="M89" i="19"/>
  <c r="M74" i="19"/>
  <c r="M76" i="19"/>
  <c r="N120" i="19"/>
  <c r="M93" i="19"/>
  <c r="O118" i="19"/>
  <c r="P94" i="14" s="1"/>
  <c r="N108" i="19"/>
  <c r="M90" i="19"/>
  <c r="M83" i="19"/>
  <c r="N111" i="14" s="1"/>
  <c r="N107" i="14" s="1"/>
  <c r="N111" i="12"/>
  <c r="N107" i="12" s="1"/>
  <c r="M94" i="19"/>
  <c r="N109" i="19"/>
  <c r="N119" i="19"/>
  <c r="M80" i="19"/>
  <c r="N106" i="14" s="1"/>
  <c r="N129" i="19"/>
  <c r="M77" i="19"/>
  <c r="N79" i="19"/>
  <c r="O104" i="14" s="1"/>
  <c r="O105" i="14" s="1"/>
  <c r="O228" i="14" s="1"/>
  <c r="M70" i="19"/>
  <c r="N100" i="14" s="1"/>
  <c r="N98" i="14" s="1"/>
  <c r="M71" i="19"/>
  <c r="N101" i="14" s="1"/>
  <c r="M69" i="19"/>
  <c r="N99" i="14" s="1"/>
  <c r="M68" i="19"/>
  <c r="N96" i="14" s="1"/>
  <c r="K293" i="20"/>
  <c r="Q172" i="19"/>
  <c r="R135" i="14" s="1"/>
  <c r="O131" i="19"/>
  <c r="Q215" i="20"/>
  <c r="Q173" i="19" s="1"/>
  <c r="Q217" i="20"/>
  <c r="Q175" i="19" s="1"/>
  <c r="Q219" i="20"/>
  <c r="Q177" i="19" s="1"/>
  <c r="Q216" i="20"/>
  <c r="Q218" i="20"/>
  <c r="Q202" i="20"/>
  <c r="Q203" i="20"/>
  <c r="Q205" i="20"/>
  <c r="Q204" i="20"/>
  <c r="Q206" i="20"/>
  <c r="Q167" i="19" s="1"/>
  <c r="O133" i="20"/>
  <c r="O131" i="20"/>
  <c r="O107" i="19" s="1"/>
  <c r="O135" i="20"/>
  <c r="O134" i="20"/>
  <c r="O110" i="19" s="1"/>
  <c r="O132" i="20"/>
  <c r="O149" i="20"/>
  <c r="O125" i="19" s="1"/>
  <c r="O151" i="20"/>
  <c r="O127" i="19" s="1"/>
  <c r="O152" i="20"/>
  <c r="O128" i="19" s="1"/>
  <c r="O153" i="20"/>
  <c r="O150" i="20"/>
  <c r="O146" i="20"/>
  <c r="O122" i="19" s="1"/>
  <c r="O145" i="20"/>
  <c r="O121" i="19" s="1"/>
  <c r="O144" i="20"/>
  <c r="O147" i="20"/>
  <c r="O143" i="20"/>
  <c r="P148" i="20"/>
  <c r="P130" i="20"/>
  <c r="P142" i="20"/>
  <c r="P136" i="20"/>
  <c r="P112" i="19" s="1"/>
  <c r="Q126" i="14" s="1"/>
  <c r="O137" i="20"/>
  <c r="O138" i="20"/>
  <c r="O140" i="20"/>
  <c r="O116" i="19" s="1"/>
  <c r="O139" i="20"/>
  <c r="O115" i="19" s="1"/>
  <c r="O141" i="20"/>
  <c r="O117" i="19" s="1"/>
  <c r="N88" i="20"/>
  <c r="O106" i="12" s="1"/>
  <c r="N90" i="20"/>
  <c r="N82" i="19" s="1"/>
  <c r="N92" i="20"/>
  <c r="N84" i="19" s="1"/>
  <c r="N91" i="20"/>
  <c r="N89" i="20"/>
  <c r="N81" i="19" s="1"/>
  <c r="N79" i="20"/>
  <c r="O101" i="12" s="1"/>
  <c r="O97" i="12" s="1"/>
  <c r="N77" i="20"/>
  <c r="N76" i="20"/>
  <c r="O96" i="12" s="1"/>
  <c r="N78" i="20"/>
  <c r="O100" i="12" s="1"/>
  <c r="O98" i="12" s="1"/>
  <c r="N80" i="20"/>
  <c r="N72" i="19" s="1"/>
  <c r="N96" i="20"/>
  <c r="N95" i="20"/>
  <c r="N97" i="20"/>
  <c r="N94" i="20"/>
  <c r="N98" i="20"/>
  <c r="N100" i="20"/>
  <c r="N104" i="20"/>
  <c r="N96" i="19" s="1"/>
  <c r="N102" i="20"/>
  <c r="N101" i="20"/>
  <c r="N103" i="20"/>
  <c r="N95" i="19" s="1"/>
  <c r="O75" i="20"/>
  <c r="O67" i="19" s="1"/>
  <c r="P93" i="14" s="1"/>
  <c r="O81" i="20"/>
  <c r="O99" i="20"/>
  <c r="O93" i="20"/>
  <c r="O85" i="19" s="1"/>
  <c r="P124" i="14" s="1"/>
  <c r="O87" i="20"/>
  <c r="P104" i="12" s="1"/>
  <c r="N82" i="20"/>
  <c r="N85" i="20"/>
  <c r="N83" i="20"/>
  <c r="N86" i="20"/>
  <c r="N78" i="19" s="1"/>
  <c r="N84" i="20"/>
  <c r="P45" i="20"/>
  <c r="P32" i="20"/>
  <c r="CC4" i="55" s="1"/>
  <c r="DI4" i="55" s="1"/>
  <c r="P133" i="19"/>
  <c r="Q125" i="12"/>
  <c r="P135" i="19"/>
  <c r="P134" i="19"/>
  <c r="P132" i="19"/>
  <c r="P136" i="19"/>
  <c r="R31" i="20"/>
  <c r="R49" i="20" s="1"/>
  <c r="R214" i="20" s="1"/>
  <c r="S135" i="12" s="1"/>
  <c r="N266" i="20"/>
  <c r="N317" i="20"/>
  <c r="N270" i="20"/>
  <c r="N318" i="20"/>
  <c r="N267" i="20"/>
  <c r="N179" i="19"/>
  <c r="J279" i="20"/>
  <c r="J283" i="20" s="1"/>
  <c r="J280" i="20"/>
  <c r="L276" i="20"/>
  <c r="L275" i="20"/>
  <c r="Q30" i="20"/>
  <c r="Q48" i="20" s="1"/>
  <c r="R29" i="20"/>
  <c r="R47" i="20" s="1"/>
  <c r="R201" i="20" s="1"/>
  <c r="R162" i="19" s="1"/>
  <c r="S123" i="14" s="1"/>
  <c r="Q170" i="19"/>
  <c r="N226" i="14"/>
  <c r="N36" i="20"/>
  <c r="N37" i="20"/>
  <c r="N225" i="20"/>
  <c r="M258" i="20"/>
  <c r="L281" i="20"/>
  <c r="L282" i="20"/>
  <c r="K278" i="20"/>
  <c r="K277" i="20"/>
  <c r="N226" i="12"/>
  <c r="P103" i="19"/>
  <c r="P99" i="19"/>
  <c r="P104" i="19"/>
  <c r="Q126" i="12"/>
  <c r="P102" i="19"/>
  <c r="P100" i="19"/>
  <c r="P101" i="19"/>
  <c r="R123" i="12"/>
  <c r="Q160" i="19"/>
  <c r="Q158" i="19"/>
  <c r="O256" i="20"/>
  <c r="O34" i="20"/>
  <c r="N221" i="20"/>
  <c r="Q222" i="20"/>
  <c r="Q27" i="20"/>
  <c r="Q28" i="20"/>
  <c r="Q46" i="20" s="1"/>
  <c r="R94" i="12" s="1"/>
  <c r="P169" i="19"/>
  <c r="M274" i="20"/>
  <c r="M273" i="20"/>
  <c r="M272" i="20"/>
  <c r="M271" i="20"/>
  <c r="O55" i="19"/>
  <c r="O52" i="19" s="1"/>
  <c r="O50" i="20"/>
  <c r="O221" i="20" s="1"/>
  <c r="O62" i="19"/>
  <c r="O60" i="19"/>
  <c r="O56" i="19"/>
  <c r="O65" i="19"/>
  <c r="O57" i="19"/>
  <c r="O64" i="19"/>
  <c r="O61" i="19"/>
  <c r="O58" i="19"/>
  <c r="O54" i="19"/>
  <c r="O63" i="19"/>
  <c r="O53" i="19"/>
  <c r="P93" i="12"/>
  <c r="P124" i="12"/>
  <c r="P157" i="19"/>
  <c r="O95" i="12"/>
  <c r="L263" i="20" l="1"/>
  <c r="BY40" i="55" s="1"/>
  <c r="L265" i="20"/>
  <c r="BY42" i="55" s="1"/>
  <c r="L262" i="20"/>
  <c r="BY39" i="55" s="1"/>
  <c r="L261" i="20"/>
  <c r="BY38" i="55" s="1"/>
  <c r="L260" i="20"/>
  <c r="T336" i="42"/>
  <c r="AC49" i="29"/>
  <c r="AB49" i="28"/>
  <c r="AC61" i="15" s="1"/>
  <c r="V178" i="29"/>
  <c r="AB233" i="46"/>
  <c r="AB238" i="46" s="1"/>
  <c r="AB231" i="46"/>
  <c r="AB236" i="46" s="1"/>
  <c r="AB230" i="46"/>
  <c r="AB235" i="46" s="1"/>
  <c r="AB234" i="46"/>
  <c r="AC108" i="45" s="1"/>
  <c r="BI108" i="45" s="1"/>
  <c r="AB229" i="48"/>
  <c r="AB232" i="46"/>
  <c r="AB237" i="46" s="1"/>
  <c r="U186" i="28"/>
  <c r="U187" i="28" s="1"/>
  <c r="U188" i="28"/>
  <c r="U191" i="28" s="1"/>
  <c r="Z59" i="16"/>
  <c r="Z135" i="16" s="1"/>
  <c r="Z66" i="16"/>
  <c r="CJ57" i="55"/>
  <c r="W152" i="28"/>
  <c r="U329" i="42"/>
  <c r="U338" i="42" s="1"/>
  <c r="AD16" i="42"/>
  <c r="AD29" i="42" s="1"/>
  <c r="AD44" i="42" s="1"/>
  <c r="AD222" i="42" s="1"/>
  <c r="AD15" i="42"/>
  <c r="AD28" i="42" s="1"/>
  <c r="AD43" i="42" s="1"/>
  <c r="AD18" i="42"/>
  <c r="AD31" i="42" s="1"/>
  <c r="AD46" i="42" s="1"/>
  <c r="AD237" i="42" s="1"/>
  <c r="AE5" i="42"/>
  <c r="AD14" i="42"/>
  <c r="AD17" i="42"/>
  <c r="AD30" i="42" s="1"/>
  <c r="AD45" i="42" s="1"/>
  <c r="AD16" i="46"/>
  <c r="AD29" i="46" s="1"/>
  <c r="AD44" i="46" s="1"/>
  <c r="AD246" i="46" s="1"/>
  <c r="AD14" i="46"/>
  <c r="AD17" i="46"/>
  <c r="AD30" i="46" s="1"/>
  <c r="AD45" i="46" s="1"/>
  <c r="AD18" i="46"/>
  <c r="AD31" i="46" s="1"/>
  <c r="AE5" i="46"/>
  <c r="AD15" i="46"/>
  <c r="AD28" i="46" s="1"/>
  <c r="AD43" i="46" s="1"/>
  <c r="Z293" i="42"/>
  <c r="Z316" i="42"/>
  <c r="Z317" i="42" s="1"/>
  <c r="W302" i="42"/>
  <c r="W303" i="42"/>
  <c r="AB171" i="46"/>
  <c r="AB176" i="46" s="1"/>
  <c r="AB170" i="46"/>
  <c r="AB175" i="46" s="1"/>
  <c r="AB169" i="46"/>
  <c r="AB174" i="46" s="1"/>
  <c r="AB168" i="46"/>
  <c r="AB173" i="46" s="1"/>
  <c r="AB167" i="48"/>
  <c r="AB172" i="46"/>
  <c r="AC77" i="45" s="1"/>
  <c r="BI77" i="45" s="1"/>
  <c r="AA249" i="38"/>
  <c r="AA47" i="38"/>
  <c r="AA291" i="38" s="1"/>
  <c r="AA72" i="38"/>
  <c r="AA73" i="38" s="1"/>
  <c r="AA96" i="38"/>
  <c r="AA80" i="38"/>
  <c r="AA104" i="38"/>
  <c r="AA275" i="19"/>
  <c r="AA276" i="19"/>
  <c r="AA228" i="19"/>
  <c r="AA224" i="19"/>
  <c r="AA225" i="19"/>
  <c r="DM81" i="55"/>
  <c r="BA81" i="55"/>
  <c r="BA84" i="55"/>
  <c r="T340" i="42"/>
  <c r="T345" i="42"/>
  <c r="AB194" i="42"/>
  <c r="AB198" i="42" s="1"/>
  <c r="AB195" i="42"/>
  <c r="AB193" i="42"/>
  <c r="AB197" i="42" s="1"/>
  <c r="AB192" i="42"/>
  <c r="AB196" i="42" s="1"/>
  <c r="AA197" i="53"/>
  <c r="AA34" i="53"/>
  <c r="T172" i="28"/>
  <c r="T176" i="28" s="1"/>
  <c r="T173" i="28"/>
  <c r="AA34" i="54"/>
  <c r="AA197" i="54"/>
  <c r="Z149" i="29"/>
  <c r="Z146" i="29"/>
  <c r="AA50" i="29"/>
  <c r="AA145" i="29" s="1"/>
  <c r="AC223" i="38"/>
  <c r="AC227" i="38" s="1"/>
  <c r="AC225" i="38"/>
  <c r="AC229" i="38" s="1"/>
  <c r="AC224" i="38"/>
  <c r="AC228" i="38" s="1"/>
  <c r="AB147" i="38"/>
  <c r="AB151" i="38" s="1"/>
  <c r="AB146" i="38"/>
  <c r="AB150" i="38" s="1"/>
  <c r="AB148" i="38"/>
  <c r="AB152" i="38" s="1"/>
  <c r="AB149" i="38"/>
  <c r="AC100" i="36" s="1"/>
  <c r="BI100" i="36" s="1"/>
  <c r="AB141" i="42"/>
  <c r="AB138" i="42"/>
  <c r="AB142" i="42" s="1"/>
  <c r="AB139" i="42"/>
  <c r="AB143" i="42" s="1"/>
  <c r="AB140" i="42"/>
  <c r="AB144" i="42" s="1"/>
  <c r="V321" i="42"/>
  <c r="V322" i="42" s="1"/>
  <c r="V324" i="42" s="1"/>
  <c r="V142" i="29"/>
  <c r="V144" i="29"/>
  <c r="V139" i="29"/>
  <c r="V141" i="29"/>
  <c r="V143" i="29"/>
  <c r="V140" i="29"/>
  <c r="V305" i="38"/>
  <c r="V304" i="38"/>
  <c r="V308" i="38" s="1"/>
  <c r="X170" i="29"/>
  <c r="X171" i="29" s="1"/>
  <c r="X147" i="29"/>
  <c r="AB32" i="29"/>
  <c r="AB45" i="29"/>
  <c r="Y239" i="19"/>
  <c r="Y251" i="19" s="1"/>
  <c r="Y240" i="19"/>
  <c r="AB34" i="46"/>
  <c r="AB309" i="46"/>
  <c r="Y217" i="28"/>
  <c r="X151" i="28"/>
  <c r="AC226" i="42"/>
  <c r="AC223" i="42"/>
  <c r="AC227" i="42" s="1"/>
  <c r="AC225" i="42"/>
  <c r="AC229" i="42" s="1"/>
  <c r="AC224" i="42"/>
  <c r="AC228" i="42" s="1"/>
  <c r="AC209" i="46"/>
  <c r="AC219" i="46"/>
  <c r="AC229" i="46"/>
  <c r="V155" i="28"/>
  <c r="CI62" i="55" s="1"/>
  <c r="V157" i="28"/>
  <c r="CI64" i="55" s="1"/>
  <c r="V156" i="28"/>
  <c r="CI63" i="55" s="1"/>
  <c r="V154" i="28"/>
  <c r="CI61" i="55" s="1"/>
  <c r="V153" i="28"/>
  <c r="V158" i="28"/>
  <c r="CI65" i="55" s="1"/>
  <c r="DM58" i="55"/>
  <c r="BA58" i="55"/>
  <c r="U69" i="16"/>
  <c r="U71" i="16" s="1"/>
  <c r="BA33" i="58" s="1"/>
  <c r="T199" i="29"/>
  <c r="AC45" i="15"/>
  <c r="AB74" i="29"/>
  <c r="AC48" i="16" s="1"/>
  <c r="AC49" i="16" s="1"/>
  <c r="AC136" i="16" s="1"/>
  <c r="AC58" i="15"/>
  <c r="AB68" i="29"/>
  <c r="AB77" i="29"/>
  <c r="AC45" i="16" s="1"/>
  <c r="AB76" i="29"/>
  <c r="AC58" i="16" s="1"/>
  <c r="AB73" i="29"/>
  <c r="AB70" i="29"/>
  <c r="AB69" i="29"/>
  <c r="AB78" i="29"/>
  <c r="AC64" i="16" s="1"/>
  <c r="AC64" i="15"/>
  <c r="AB66" i="29"/>
  <c r="AB65" i="29" s="1"/>
  <c r="AB67" i="29"/>
  <c r="AC48" i="15"/>
  <c r="AC49" i="15" s="1"/>
  <c r="AC136" i="15" s="1"/>
  <c r="AB75" i="29"/>
  <c r="AB71" i="29"/>
  <c r="AB157" i="48"/>
  <c r="AB159" i="46"/>
  <c r="AB164" i="46" s="1"/>
  <c r="AB161" i="46"/>
  <c r="AB166" i="46" s="1"/>
  <c r="AB162" i="46"/>
  <c r="AC98" i="45" s="1"/>
  <c r="BI98" i="45" s="1"/>
  <c r="AB160" i="46"/>
  <c r="AB165" i="46" s="1"/>
  <c r="AB158" i="46"/>
  <c r="AB163" i="46" s="1"/>
  <c r="AA34" i="38"/>
  <c r="AA281" i="38"/>
  <c r="AA34" i="19"/>
  <c r="AA214" i="19"/>
  <c r="W318" i="42"/>
  <c r="W319" i="42" s="1"/>
  <c r="W320" i="42"/>
  <c r="W323" i="42" s="1"/>
  <c r="AB210" i="42"/>
  <c r="AB214" i="42" s="1"/>
  <c r="AB211" i="42"/>
  <c r="AB209" i="42"/>
  <c r="AB213" i="42" s="1"/>
  <c r="AB208" i="42"/>
  <c r="AB212" i="42" s="1"/>
  <c r="W157" i="29"/>
  <c r="W156" i="29"/>
  <c r="AB86" i="45"/>
  <c r="BH85" i="45"/>
  <c r="BH87" i="45"/>
  <c r="AB85" i="45"/>
  <c r="BH86" i="45"/>
  <c r="AB87" i="45"/>
  <c r="AA160" i="48"/>
  <c r="AA165" i="48" s="1"/>
  <c r="AA159" i="48"/>
  <c r="AA164" i="48" s="1"/>
  <c r="AA162" i="48"/>
  <c r="AA161" i="48"/>
  <c r="AA166" i="48" s="1"/>
  <c r="AA158" i="48"/>
  <c r="AA163" i="48" s="1"/>
  <c r="AA135" i="29"/>
  <c r="AA34" i="29"/>
  <c r="AC207" i="38"/>
  <c r="AC199" i="38"/>
  <c r="AC191" i="38"/>
  <c r="X307" i="42"/>
  <c r="X306" i="42"/>
  <c r="Y294" i="38"/>
  <c r="AB164" i="38"/>
  <c r="AB168" i="38" s="1"/>
  <c r="AB165" i="38"/>
  <c r="AC109" i="36" s="1"/>
  <c r="BI109" i="36" s="1"/>
  <c r="AB162" i="38"/>
  <c r="AB166" i="38" s="1"/>
  <c r="AB163" i="38"/>
  <c r="AB167" i="38" s="1"/>
  <c r="AB309" i="48"/>
  <c r="AB34" i="48"/>
  <c r="X104" i="29"/>
  <c r="W137" i="29"/>
  <c r="W138" i="29" s="1"/>
  <c r="S197" i="28"/>
  <c r="S206" i="28" s="1"/>
  <c r="T70" i="15" s="1"/>
  <c r="X307" i="38"/>
  <c r="X306" i="38"/>
  <c r="X318" i="38" s="1"/>
  <c r="Y234" i="19"/>
  <c r="Y233" i="19"/>
  <c r="AB32" i="38"/>
  <c r="AB42" i="38"/>
  <c r="Y210" i="28"/>
  <c r="Y211" i="28"/>
  <c r="Y159" i="28"/>
  <c r="Z46" i="16"/>
  <c r="Z67" i="16"/>
  <c r="Z216" i="28"/>
  <c r="Z53" i="29"/>
  <c r="Z57" i="29"/>
  <c r="Z61" i="29"/>
  <c r="Z59" i="29"/>
  <c r="AA44" i="16" s="1"/>
  <c r="AA62" i="15"/>
  <c r="AA65" i="15" s="1"/>
  <c r="AA139" i="15" s="1"/>
  <c r="Z55" i="29"/>
  <c r="Z52" i="29" s="1"/>
  <c r="Z92" i="29" s="1"/>
  <c r="AA44" i="15"/>
  <c r="Z60" i="29"/>
  <c r="AA56" i="15"/>
  <c r="Z54" i="29"/>
  <c r="Z63" i="29"/>
  <c r="AA56" i="16" s="1"/>
  <c r="Z56" i="29"/>
  <c r="Z62" i="29"/>
  <c r="AA62" i="16" s="1"/>
  <c r="AA65" i="16" s="1"/>
  <c r="AA139" i="16" s="1"/>
  <c r="Z50" i="28"/>
  <c r="Z117" i="28" s="1"/>
  <c r="AC238" i="42"/>
  <c r="AC242" i="42" s="1"/>
  <c r="AC239" i="42"/>
  <c r="AC243" i="42" s="1"/>
  <c r="AC240" i="42"/>
  <c r="AC244" i="42" s="1"/>
  <c r="AC241" i="42"/>
  <c r="AC19" i="46"/>
  <c r="AC275" i="46" s="1"/>
  <c r="AC27" i="46"/>
  <c r="AC32" i="46" s="1"/>
  <c r="Z246" i="42"/>
  <c r="AC55" i="15"/>
  <c r="AB85" i="29"/>
  <c r="AC55" i="16" s="1"/>
  <c r="AB179" i="46"/>
  <c r="AB184" i="46" s="1"/>
  <c r="AB178" i="46"/>
  <c r="AB183" i="46" s="1"/>
  <c r="AB177" i="48"/>
  <c r="AB181" i="46"/>
  <c r="AB186" i="46" s="1"/>
  <c r="AB180" i="46"/>
  <c r="AB185" i="46" s="1"/>
  <c r="AB182" i="46"/>
  <c r="AC107" i="45" s="1"/>
  <c r="BI107" i="45" s="1"/>
  <c r="T196" i="28"/>
  <c r="T197" i="28" s="1"/>
  <c r="T206" i="28" s="1"/>
  <c r="U70" i="15" s="1"/>
  <c r="Z36" i="29"/>
  <c r="Z37" i="29"/>
  <c r="U182" i="29"/>
  <c r="V177" i="29"/>
  <c r="AC19" i="38"/>
  <c r="AC247" i="38" s="1"/>
  <c r="AC27" i="38"/>
  <c r="AB155" i="38"/>
  <c r="AB159" i="38" s="1"/>
  <c r="AB156" i="38"/>
  <c r="AB160" i="38" s="1"/>
  <c r="AB154" i="38"/>
  <c r="AB158" i="38" s="1"/>
  <c r="AB157" i="38"/>
  <c r="AC79" i="36" s="1"/>
  <c r="BI79" i="36" s="1"/>
  <c r="U171" i="28"/>
  <c r="U170" i="28"/>
  <c r="AY61" i="55"/>
  <c r="AB42" i="42"/>
  <c r="AB32" i="42"/>
  <c r="AC15" i="53"/>
  <c r="AC28" i="53" s="1"/>
  <c r="AC18" i="53"/>
  <c r="AC31" i="53" s="1"/>
  <c r="AC14" i="53"/>
  <c r="AC17" i="53"/>
  <c r="AC30" i="53" s="1"/>
  <c r="AD5" i="53"/>
  <c r="AC16" i="53"/>
  <c r="AC29" i="53" s="1"/>
  <c r="AC44" i="53" s="1"/>
  <c r="AC150" i="53" s="1"/>
  <c r="AC151" i="53" s="1"/>
  <c r="AD60" i="51" s="1"/>
  <c r="BJ60" i="51" s="1"/>
  <c r="Y184" i="28"/>
  <c r="Y185" i="28" s="1"/>
  <c r="Y161" i="28"/>
  <c r="Z57" i="55" s="1"/>
  <c r="AC19" i="48"/>
  <c r="AC275" i="48" s="1"/>
  <c r="AC27" i="48"/>
  <c r="AC32" i="48" s="1"/>
  <c r="Z34" i="28"/>
  <c r="Z149" i="28"/>
  <c r="Z82" i="42"/>
  <c r="Z86" i="42" s="1"/>
  <c r="Z81" i="42"/>
  <c r="Z85" i="42" s="1"/>
  <c r="Z84" i="42"/>
  <c r="Z83" i="42"/>
  <c r="Z87" i="42" s="1"/>
  <c r="AB147" i="48"/>
  <c r="AB149" i="46"/>
  <c r="AB154" i="46" s="1"/>
  <c r="AB150" i="46"/>
  <c r="AB155" i="46" s="1"/>
  <c r="AB151" i="46"/>
  <c r="AB156" i="46" s="1"/>
  <c r="AB148" i="46"/>
  <c r="AB153" i="46" s="1"/>
  <c r="AB152" i="46"/>
  <c r="AC83" i="45" s="1"/>
  <c r="X283" i="42"/>
  <c r="X284" i="42" s="1"/>
  <c r="Y250" i="42"/>
  <c r="Y298" i="42"/>
  <c r="Y296" i="42"/>
  <c r="Y297" i="42"/>
  <c r="Y299" i="42"/>
  <c r="AB83" i="29"/>
  <c r="AB82" i="29" s="1"/>
  <c r="Q72" i="15"/>
  <c r="Q34" i="58" s="1"/>
  <c r="P214" i="28"/>
  <c r="Q73" i="15" s="1"/>
  <c r="AA32" i="28"/>
  <c r="AA45" i="28"/>
  <c r="X161" i="29"/>
  <c r="X160" i="29"/>
  <c r="X172" i="29" s="1"/>
  <c r="X173" i="29" s="1"/>
  <c r="AD17" i="38"/>
  <c r="AD30" i="38" s="1"/>
  <c r="AD45" i="38" s="1"/>
  <c r="AD14" i="38"/>
  <c r="AD15" i="38"/>
  <c r="AD28" i="38" s="1"/>
  <c r="AD43" i="38" s="1"/>
  <c r="AD16" i="38"/>
  <c r="AD29" i="38" s="1"/>
  <c r="AD44" i="38" s="1"/>
  <c r="AD222" i="38" s="1"/>
  <c r="AD18" i="38"/>
  <c r="AD31" i="38" s="1"/>
  <c r="AD46" i="38" s="1"/>
  <c r="AD237" i="38" s="1"/>
  <c r="AE5" i="38"/>
  <c r="AA171" i="48"/>
  <c r="AA176" i="48" s="1"/>
  <c r="AA172" i="48"/>
  <c r="AA170" i="48"/>
  <c r="AA175" i="48" s="1"/>
  <c r="AA168" i="48"/>
  <c r="AA173" i="48" s="1"/>
  <c r="AA169" i="48"/>
  <c r="AA174" i="48" s="1"/>
  <c r="AB140" i="38"/>
  <c r="AB138" i="38"/>
  <c r="AB139" i="38"/>
  <c r="U189" i="28"/>
  <c r="U190" i="28" s="1"/>
  <c r="U192" i="28" s="1"/>
  <c r="R199" i="29"/>
  <c r="AB200" i="38"/>
  <c r="AB204" i="38" s="1"/>
  <c r="AB201" i="38"/>
  <c r="AB205" i="38" s="1"/>
  <c r="AB203" i="38"/>
  <c r="AC101" i="36" s="1"/>
  <c r="BI101" i="36" s="1"/>
  <c r="AB202" i="38"/>
  <c r="AB206" i="38" s="1"/>
  <c r="AA221" i="48"/>
  <c r="AA226" i="48" s="1"/>
  <c r="AA224" i="48"/>
  <c r="AA223" i="48"/>
  <c r="AA228" i="48" s="1"/>
  <c r="AA220" i="48"/>
  <c r="AA225" i="48" s="1"/>
  <c r="AA222" i="48"/>
  <c r="AA227" i="48" s="1"/>
  <c r="Y117" i="28"/>
  <c r="AB32" i="19"/>
  <c r="AB45" i="19"/>
  <c r="AB50" i="19" s="1"/>
  <c r="X310" i="38"/>
  <c r="X311" i="38"/>
  <c r="Y85" i="55" s="1"/>
  <c r="X313" i="38"/>
  <c r="Y87" i="55" s="1"/>
  <c r="X312" i="38"/>
  <c r="Y86" i="55" s="1"/>
  <c r="X309" i="38"/>
  <c r="X314" i="38"/>
  <c r="Y88" i="55" s="1"/>
  <c r="AA281" i="42"/>
  <c r="AA34" i="42"/>
  <c r="Z100" i="42"/>
  <c r="Z97" i="42"/>
  <c r="Z101" i="42" s="1"/>
  <c r="Z99" i="42"/>
  <c r="Z103" i="42" s="1"/>
  <c r="Z98" i="42"/>
  <c r="Z102" i="42" s="1"/>
  <c r="AC18" i="28"/>
  <c r="AC31" i="28" s="1"/>
  <c r="AC15" i="28"/>
  <c r="AC28" i="28" s="1"/>
  <c r="AC46" i="28" s="1"/>
  <c r="AC14" i="28"/>
  <c r="AD5" i="28"/>
  <c r="AC16" i="28"/>
  <c r="AC29" i="28" s="1"/>
  <c r="AC47" i="28" s="1"/>
  <c r="AC85" i="29" s="1"/>
  <c r="AD55" i="16" s="1"/>
  <c r="AC17" i="28"/>
  <c r="AC30" i="28" s="1"/>
  <c r="Z295" i="38"/>
  <c r="Z292" i="38"/>
  <c r="X163" i="28"/>
  <c r="X162" i="28"/>
  <c r="X160" i="28"/>
  <c r="V169" i="28"/>
  <c r="V168" i="28"/>
  <c r="W285" i="42"/>
  <c r="W289" i="42"/>
  <c r="W287" i="42"/>
  <c r="W286" i="42"/>
  <c r="W290" i="42"/>
  <c r="W288" i="42"/>
  <c r="Y68" i="16"/>
  <c r="Y134" i="16"/>
  <c r="Y140" i="16" s="1"/>
  <c r="Y133" i="16" a="1"/>
  <c r="Y77" i="16"/>
  <c r="Y294" i="42"/>
  <c r="W237" i="19"/>
  <c r="W241" i="19" s="1"/>
  <c r="W238" i="19"/>
  <c r="X155" i="29"/>
  <c r="X154" i="29"/>
  <c r="V159" i="29"/>
  <c r="V158" i="29"/>
  <c r="V162" i="29" s="1"/>
  <c r="Y57" i="55"/>
  <c r="DP57" i="55"/>
  <c r="BD57" i="55"/>
  <c r="W148" i="29"/>
  <c r="AC27" i="19"/>
  <c r="AC19" i="19"/>
  <c r="AB61" i="15"/>
  <c r="AA88" i="29"/>
  <c r="X235" i="19"/>
  <c r="X236" i="19"/>
  <c r="BA61" i="55"/>
  <c r="AA214" i="48"/>
  <c r="AA212" i="48"/>
  <c r="AA217" i="48" s="1"/>
  <c r="AA213" i="48"/>
  <c r="AA218" i="48" s="1"/>
  <c r="AA210" i="48"/>
  <c r="AA215" i="48" s="1"/>
  <c r="AA211" i="48"/>
  <c r="AA216" i="48" s="1"/>
  <c r="AY58" i="55"/>
  <c r="AB208" i="38"/>
  <c r="AB212" i="38" s="1"/>
  <c r="AB209" i="38"/>
  <c r="AB213" i="38" s="1"/>
  <c r="AB211" i="38"/>
  <c r="AB210" i="38"/>
  <c r="AB214" i="38" s="1"/>
  <c r="Z67" i="15"/>
  <c r="Z46" i="15"/>
  <c r="Y103" i="29"/>
  <c r="Y91" i="29"/>
  <c r="AA104" i="42"/>
  <c r="AA80" i="42"/>
  <c r="AA249" i="42"/>
  <c r="AA47" i="42"/>
  <c r="AA291" i="42" s="1"/>
  <c r="AA96" i="42"/>
  <c r="AA72" i="42"/>
  <c r="AC137" i="42"/>
  <c r="AC145" i="42"/>
  <c r="AC153" i="42"/>
  <c r="AC161" i="42"/>
  <c r="AC147" i="46"/>
  <c r="AC167" i="46"/>
  <c r="AC177" i="46"/>
  <c r="AC157" i="46"/>
  <c r="Z295" i="42"/>
  <c r="Z292" i="42"/>
  <c r="Z294" i="42"/>
  <c r="AB19" i="28"/>
  <c r="AB118" i="28" s="1"/>
  <c r="AB27" i="28"/>
  <c r="W302" i="38"/>
  <c r="W303" i="38"/>
  <c r="BF80" i="55"/>
  <c r="T72" i="16"/>
  <c r="AZ34" i="58" s="1"/>
  <c r="S200" i="29"/>
  <c r="T73" i="16" s="1"/>
  <c r="Z229" i="19"/>
  <c r="Z230" i="19"/>
  <c r="Z231" i="19"/>
  <c r="Z232" i="19"/>
  <c r="W179" i="28"/>
  <c r="X62" i="55" s="1"/>
  <c r="W181" i="28"/>
  <c r="X64" i="55" s="1"/>
  <c r="W177" i="28"/>
  <c r="W180" i="28"/>
  <c r="X63" i="55" s="1"/>
  <c r="W178" i="28"/>
  <c r="W182" i="28"/>
  <c r="X65" i="55" s="1"/>
  <c r="W174" i="29"/>
  <c r="W175" i="29" s="1"/>
  <c r="W176" i="29" s="1"/>
  <c r="W178" i="29" s="1"/>
  <c r="AE5" i="19"/>
  <c r="AD15" i="19"/>
  <c r="AD28" i="19" s="1"/>
  <c r="AD46" i="19" s="1"/>
  <c r="AD18" i="19"/>
  <c r="AD31" i="19" s="1"/>
  <c r="AD49" i="19" s="1"/>
  <c r="AD14" i="19"/>
  <c r="AD16" i="19"/>
  <c r="AD29" i="19" s="1"/>
  <c r="AD47" i="19" s="1"/>
  <c r="AD17" i="19"/>
  <c r="AD30" i="19" s="1"/>
  <c r="AD48" i="19" s="1"/>
  <c r="Y196" i="29"/>
  <c r="Y197" i="29"/>
  <c r="AB149" i="42"/>
  <c r="AB148" i="42"/>
  <c r="AB152" i="42" s="1"/>
  <c r="AB146" i="42"/>
  <c r="AB150" i="42" s="1"/>
  <c r="AB147" i="42"/>
  <c r="AB151" i="42" s="1"/>
  <c r="S71" i="16"/>
  <c r="AY33" i="58" s="1"/>
  <c r="AB194" i="38"/>
  <c r="AB198" i="38" s="1"/>
  <c r="AB192" i="38"/>
  <c r="AB196" i="38" s="1"/>
  <c r="AB193" i="38"/>
  <c r="AB197" i="38" s="1"/>
  <c r="AB209" i="48"/>
  <c r="AB214" i="46"/>
  <c r="AC89" i="45" s="1"/>
  <c r="AB212" i="46"/>
  <c r="AB217" i="46" s="1"/>
  <c r="AB213" i="46"/>
  <c r="AB218" i="46" s="1"/>
  <c r="AB211" i="46"/>
  <c r="AB216" i="46" s="1"/>
  <c r="AB210" i="46"/>
  <c r="AB215" i="46" s="1"/>
  <c r="V304" i="42"/>
  <c r="V308" i="42" s="1"/>
  <c r="V305" i="42"/>
  <c r="AB19" i="53"/>
  <c r="AB27" i="53"/>
  <c r="AB32" i="53" s="1"/>
  <c r="AD16" i="48"/>
  <c r="AD29" i="48" s="1"/>
  <c r="AD44" i="48" s="1"/>
  <c r="AD14" i="48"/>
  <c r="AE5" i="48"/>
  <c r="AD15" i="48"/>
  <c r="AD28" i="48" s="1"/>
  <c r="AD43" i="48" s="1"/>
  <c r="AD18" i="48"/>
  <c r="AD31" i="48" s="1"/>
  <c r="AD17" i="48"/>
  <c r="AD30" i="48" s="1"/>
  <c r="AD45" i="48" s="1"/>
  <c r="AC191" i="42"/>
  <c r="AC199" i="42"/>
  <c r="AC207" i="42"/>
  <c r="Z75" i="42"/>
  <c r="Z79" i="42" s="1"/>
  <c r="Z74" i="42"/>
  <c r="Z78" i="42" s="1"/>
  <c r="Z76" i="42"/>
  <c r="Z73" i="42"/>
  <c r="Z77" i="42" s="1"/>
  <c r="Z246" i="38"/>
  <c r="V175" i="28"/>
  <c r="V174" i="28"/>
  <c r="AC19" i="29"/>
  <c r="AC27" i="29"/>
  <c r="W167" i="28"/>
  <c r="W166" i="28"/>
  <c r="W164" i="28"/>
  <c r="W165" i="28"/>
  <c r="AC137" i="38"/>
  <c r="AC145" i="38"/>
  <c r="AC153" i="38"/>
  <c r="AC161" i="38"/>
  <c r="AC15" i="54"/>
  <c r="AC28" i="54" s="1"/>
  <c r="AC17" i="54"/>
  <c r="AC30" i="54" s="1"/>
  <c r="AD5" i="54"/>
  <c r="AC14" i="54"/>
  <c r="AC18" i="54"/>
  <c r="AC31" i="54" s="1"/>
  <c r="AC16" i="54"/>
  <c r="AC29" i="54" s="1"/>
  <c r="AC44" i="54" s="1"/>
  <c r="AC150" i="54" s="1"/>
  <c r="AC151" i="54" s="1"/>
  <c r="AA233" i="48"/>
  <c r="AA238" i="48" s="1"/>
  <c r="AA232" i="48"/>
  <c r="AA237" i="48" s="1"/>
  <c r="AA234" i="48"/>
  <c r="AA230" i="48"/>
  <c r="AA235" i="48" s="1"/>
  <c r="AA231" i="48"/>
  <c r="AA236" i="48" s="1"/>
  <c r="AB157" i="42"/>
  <c r="AB156" i="42"/>
  <c r="AB160" i="42" s="1"/>
  <c r="AB155" i="42"/>
  <c r="AB159" i="42" s="1"/>
  <c r="AB154" i="42"/>
  <c r="AB158" i="42" s="1"/>
  <c r="AB251" i="48"/>
  <c r="AB250" i="48"/>
  <c r="AB255" i="48" s="1"/>
  <c r="AB249" i="48"/>
  <c r="AB254" i="48" s="1"/>
  <c r="AB247" i="48"/>
  <c r="AB252" i="48" s="1"/>
  <c r="AB248" i="48"/>
  <c r="AB253" i="48" s="1"/>
  <c r="AA180" i="48"/>
  <c r="AA185" i="48" s="1"/>
  <c r="AA181" i="48"/>
  <c r="AA186" i="48" s="1"/>
  <c r="AA182" i="48"/>
  <c r="AA179" i="48"/>
  <c r="AA184" i="48" s="1"/>
  <c r="AA178" i="48"/>
  <c r="AA183" i="48" s="1"/>
  <c r="DK58" i="55"/>
  <c r="Y36" i="28"/>
  <c r="Y37" i="28"/>
  <c r="AB219" i="48"/>
  <c r="AB224" i="46"/>
  <c r="AC99" i="45" s="1"/>
  <c r="BI99" i="45" s="1"/>
  <c r="AB222" i="46"/>
  <c r="AB227" i="46" s="1"/>
  <c r="AB221" i="46"/>
  <c r="AB226" i="46" s="1"/>
  <c r="AB223" i="46"/>
  <c r="AB228" i="46" s="1"/>
  <c r="AB220" i="46"/>
  <c r="AB225" i="46" s="1"/>
  <c r="X300" i="38"/>
  <c r="X301" i="38"/>
  <c r="R69" i="15"/>
  <c r="R71" i="15" s="1"/>
  <c r="R33" i="58" s="1"/>
  <c r="R58" i="55"/>
  <c r="R61" i="55"/>
  <c r="Q208" i="28"/>
  <c r="Q213" i="28"/>
  <c r="V328" i="42"/>
  <c r="Z66" i="15"/>
  <c r="Z59" i="15"/>
  <c r="Z135" i="15" s="1"/>
  <c r="Y151" i="29"/>
  <c r="Y152" i="29"/>
  <c r="Y153" i="29"/>
  <c r="Y150" i="29"/>
  <c r="Y134" i="15"/>
  <c r="Y140" i="15" s="1"/>
  <c r="Y68" i="15"/>
  <c r="Y77" i="15" s="1"/>
  <c r="Y133" i="15" a="1"/>
  <c r="AC19" i="42"/>
  <c r="AC247" i="42" s="1"/>
  <c r="AC27" i="42"/>
  <c r="AE5" i="20"/>
  <c r="AD15" i="20"/>
  <c r="AD16" i="20"/>
  <c r="AD14" i="20"/>
  <c r="AD17" i="20"/>
  <c r="AD18" i="20"/>
  <c r="AC246" i="48"/>
  <c r="AC249" i="46"/>
  <c r="AC254" i="46" s="1"/>
  <c r="AC250" i="46"/>
  <c r="AC255" i="46" s="1"/>
  <c r="AC248" i="46"/>
  <c r="AC253" i="46" s="1"/>
  <c r="AC251" i="46"/>
  <c r="AD96" i="45" s="1"/>
  <c r="AC247" i="46"/>
  <c r="AC252" i="46" s="1"/>
  <c r="Z107" i="42"/>
  <c r="Z111" i="42" s="1"/>
  <c r="Z105" i="42"/>
  <c r="Z109" i="42" s="1"/>
  <c r="Z106" i="42"/>
  <c r="Z110" i="42" s="1"/>
  <c r="Z108" i="42"/>
  <c r="Z293" i="38"/>
  <c r="AA80" i="55" s="1"/>
  <c r="Z316" i="38"/>
  <c r="Z37" i="19"/>
  <c r="Z36" i="19"/>
  <c r="AE5" i="29"/>
  <c r="AD14" i="29"/>
  <c r="AD16" i="29"/>
  <c r="AD29" i="29" s="1"/>
  <c r="AD47" i="29" s="1"/>
  <c r="AD15" i="29"/>
  <c r="AD28" i="29" s="1"/>
  <c r="AD46" i="29" s="1"/>
  <c r="AD18" i="29"/>
  <c r="AD31" i="29" s="1"/>
  <c r="AD17" i="29"/>
  <c r="AD30" i="29" s="1"/>
  <c r="AB201" i="42"/>
  <c r="AB205" i="42" s="1"/>
  <c r="AB200" i="42"/>
  <c r="AB204" i="42" s="1"/>
  <c r="AB203" i="42"/>
  <c r="AB202" i="42"/>
  <c r="AB206" i="42" s="1"/>
  <c r="AA148" i="48"/>
  <c r="AA153" i="48" s="1"/>
  <c r="AA150" i="48"/>
  <c r="AA155" i="48" s="1"/>
  <c r="AA149" i="48"/>
  <c r="AA154" i="48" s="1"/>
  <c r="AA151" i="48"/>
  <c r="AA156" i="48" s="1"/>
  <c r="AA152" i="48"/>
  <c r="R197" i="28"/>
  <c r="R206" i="28" s="1"/>
  <c r="S70" i="15" s="1"/>
  <c r="T189" i="28"/>
  <c r="T190" i="28" s="1"/>
  <c r="T192" i="28" s="1"/>
  <c r="AC240" i="38"/>
  <c r="AC244" i="38" s="1"/>
  <c r="AC238" i="38"/>
  <c r="AC242" i="38" s="1"/>
  <c r="AC239" i="38"/>
  <c r="AC243" i="38" s="1"/>
  <c r="AB19" i="54"/>
  <c r="AB27" i="54"/>
  <c r="AB32" i="54" s="1"/>
  <c r="X301" i="42"/>
  <c r="X300" i="42"/>
  <c r="Y297" i="38"/>
  <c r="Y296" i="38"/>
  <c r="Y298" i="38"/>
  <c r="Y299" i="38"/>
  <c r="V167" i="29"/>
  <c r="BC64" i="55" s="1"/>
  <c r="V165" i="29"/>
  <c r="BC62" i="55" s="1"/>
  <c r="V163" i="29"/>
  <c r="V166" i="29"/>
  <c r="BC63" i="55" s="1"/>
  <c r="V164" i="29"/>
  <c r="V168" i="29"/>
  <c r="BC65" i="55" s="1"/>
  <c r="AB163" i="42"/>
  <c r="AB167" i="42" s="1"/>
  <c r="AB164" i="42"/>
  <c r="AB168" i="42" s="1"/>
  <c r="AB165" i="42"/>
  <c r="AB162" i="42"/>
  <c r="AB166" i="42" s="1"/>
  <c r="M259" i="20"/>
  <c r="BZ34" i="55"/>
  <c r="M183" i="19"/>
  <c r="L216" i="19"/>
  <c r="N97" i="14"/>
  <c r="O109" i="12"/>
  <c r="N75" i="19"/>
  <c r="O99" i="12"/>
  <c r="O91" i="19"/>
  <c r="P136" i="14" s="1"/>
  <c r="P136" i="12"/>
  <c r="O73" i="19"/>
  <c r="P114" i="14" s="1"/>
  <c r="P114" i="12"/>
  <c r="O110" i="14"/>
  <c r="O108" i="14" s="1"/>
  <c r="O109" i="14"/>
  <c r="P105" i="12"/>
  <c r="P228" i="12" s="1"/>
  <c r="O114" i="19"/>
  <c r="O113" i="19"/>
  <c r="P95" i="14"/>
  <c r="O111" i="19"/>
  <c r="P106" i="19"/>
  <c r="Q103" i="14" s="1"/>
  <c r="Q103" i="12"/>
  <c r="P124" i="19"/>
  <c r="Q138" i="14" s="1"/>
  <c r="Q138" i="12"/>
  <c r="O123" i="19"/>
  <c r="O126" i="19"/>
  <c r="Q174" i="19"/>
  <c r="P98" i="19"/>
  <c r="N92" i="19"/>
  <c r="Q176" i="19"/>
  <c r="N94" i="19"/>
  <c r="N88" i="19"/>
  <c r="N87" i="19"/>
  <c r="Q164" i="19"/>
  <c r="Q163" i="19"/>
  <c r="Q165" i="19"/>
  <c r="Q166" i="19"/>
  <c r="N86" i="19"/>
  <c r="N89" i="19"/>
  <c r="N76" i="19"/>
  <c r="N74" i="19"/>
  <c r="N93" i="19"/>
  <c r="N90" i="19"/>
  <c r="O119" i="19"/>
  <c r="N83" i="19"/>
  <c r="O111" i="14" s="1"/>
  <c r="O107" i="14" s="1"/>
  <c r="O111" i="12"/>
  <c r="O107" i="12" s="1"/>
  <c r="P118" i="19"/>
  <c r="Q94" i="14" s="1"/>
  <c r="O120" i="19"/>
  <c r="O108" i="19"/>
  <c r="O109" i="19"/>
  <c r="O110" i="12"/>
  <c r="O108" i="12" s="1"/>
  <c r="O79" i="19"/>
  <c r="P104" i="14" s="1"/>
  <c r="P105" i="14" s="1"/>
  <c r="P228" i="14" s="1"/>
  <c r="N80" i="19"/>
  <c r="O106" i="14" s="1"/>
  <c r="O129" i="19"/>
  <c r="N77" i="19"/>
  <c r="N69" i="19"/>
  <c r="O99" i="14" s="1"/>
  <c r="N71" i="19"/>
  <c r="O101" i="14" s="1"/>
  <c r="N70" i="19"/>
  <c r="O100" i="14" s="1"/>
  <c r="O98" i="14" s="1"/>
  <c r="N68" i="19"/>
  <c r="O96" i="14" s="1"/>
  <c r="O180" i="19"/>
  <c r="L293" i="20"/>
  <c r="R172" i="19"/>
  <c r="S135" i="14" s="1"/>
  <c r="P131" i="19"/>
  <c r="R216" i="20"/>
  <c r="R218" i="20"/>
  <c r="R215" i="20"/>
  <c r="R173" i="19" s="1"/>
  <c r="R217" i="20"/>
  <c r="R175" i="19" s="1"/>
  <c r="R219" i="20"/>
  <c r="R177" i="19" s="1"/>
  <c r="R202" i="20"/>
  <c r="R204" i="20"/>
  <c r="R206" i="20"/>
  <c r="R167" i="19" s="1"/>
  <c r="R203" i="20"/>
  <c r="R205" i="20"/>
  <c r="P150" i="20"/>
  <c r="P149" i="20"/>
  <c r="P125" i="19" s="1"/>
  <c r="P153" i="20"/>
  <c r="P152" i="20"/>
  <c r="P128" i="19" s="1"/>
  <c r="P151" i="20"/>
  <c r="P127" i="19" s="1"/>
  <c r="P137" i="20"/>
  <c r="P138" i="20"/>
  <c r="P139" i="20"/>
  <c r="P115" i="19" s="1"/>
  <c r="P141" i="20"/>
  <c r="P117" i="19" s="1"/>
  <c r="P140" i="20"/>
  <c r="P116" i="19" s="1"/>
  <c r="Q136" i="20"/>
  <c r="Q112" i="19" s="1"/>
  <c r="R126" i="14" s="1"/>
  <c r="Q148" i="20"/>
  <c r="Q130" i="20"/>
  <c r="Q142" i="20"/>
  <c r="P144" i="20"/>
  <c r="P145" i="20"/>
  <c r="P121" i="19" s="1"/>
  <c r="P146" i="20"/>
  <c r="P122" i="19" s="1"/>
  <c r="P143" i="20"/>
  <c r="P147" i="20"/>
  <c r="P132" i="20"/>
  <c r="P133" i="20"/>
  <c r="P134" i="20"/>
  <c r="P110" i="19" s="1"/>
  <c r="P131" i="20"/>
  <c r="P107" i="19" s="1"/>
  <c r="P135" i="20"/>
  <c r="O100" i="20"/>
  <c r="O101" i="20"/>
  <c r="O103" i="20"/>
  <c r="O95" i="19" s="1"/>
  <c r="O102" i="20"/>
  <c r="O104" i="20"/>
  <c r="O96" i="19" s="1"/>
  <c r="O97" i="20"/>
  <c r="O95" i="20"/>
  <c r="O94" i="20"/>
  <c r="O98" i="20"/>
  <c r="O96" i="20"/>
  <c r="P75" i="20"/>
  <c r="P67" i="19" s="1"/>
  <c r="Q93" i="14" s="1"/>
  <c r="P93" i="20"/>
  <c r="P85" i="19" s="1"/>
  <c r="Q124" i="14" s="1"/>
  <c r="P99" i="20"/>
  <c r="P87" i="20"/>
  <c r="Q104" i="12" s="1"/>
  <c r="P81" i="20"/>
  <c r="O83" i="20"/>
  <c r="O82" i="20"/>
  <c r="O84" i="20"/>
  <c r="O85" i="20"/>
  <c r="O86" i="20"/>
  <c r="O78" i="19" s="1"/>
  <c r="O89" i="20"/>
  <c r="O81" i="19" s="1"/>
  <c r="O91" i="20"/>
  <c r="O90" i="20"/>
  <c r="O82" i="19" s="1"/>
  <c r="O92" i="20"/>
  <c r="O84" i="19" s="1"/>
  <c r="O88" i="20"/>
  <c r="P106" i="12" s="1"/>
  <c r="O79" i="20"/>
  <c r="P101" i="12" s="1"/>
  <c r="P97" i="12" s="1"/>
  <c r="O77" i="20"/>
  <c r="O76" i="20"/>
  <c r="P96" i="12" s="1"/>
  <c r="O78" i="20"/>
  <c r="P100" i="12" s="1"/>
  <c r="P98" i="12" s="1"/>
  <c r="O80" i="20"/>
  <c r="O72" i="19" s="1"/>
  <c r="R19" i="20"/>
  <c r="R222" i="20" s="1"/>
  <c r="O266" i="20"/>
  <c r="O317" i="20"/>
  <c r="O267" i="20"/>
  <c r="O270" i="20"/>
  <c r="O318" i="20"/>
  <c r="M276" i="20"/>
  <c r="M275" i="20"/>
  <c r="R27" i="20"/>
  <c r="O226" i="14"/>
  <c r="Q157" i="19"/>
  <c r="Q169" i="19"/>
  <c r="S29" i="20"/>
  <c r="S47" i="20" s="1"/>
  <c r="S201" i="20" s="1"/>
  <c r="S162" i="19" s="1"/>
  <c r="T123" i="14" s="1"/>
  <c r="P95" i="12"/>
  <c r="M281" i="20"/>
  <c r="M282" i="20"/>
  <c r="Q45" i="20"/>
  <c r="Q32" i="20"/>
  <c r="CD4" i="55" s="1"/>
  <c r="DJ4" i="55" s="1"/>
  <c r="M265" i="20"/>
  <c r="BZ42" i="55" s="1"/>
  <c r="M262" i="20"/>
  <c r="BZ39" i="55" s="1"/>
  <c r="M260" i="20"/>
  <c r="M264" i="20"/>
  <c r="BZ41" i="55" s="1"/>
  <c r="M261" i="20"/>
  <c r="BZ38" i="55" s="1"/>
  <c r="M263" i="20"/>
  <c r="BZ40" i="55" s="1"/>
  <c r="S123" i="12"/>
  <c r="R158" i="19"/>
  <c r="R160" i="19"/>
  <c r="L278" i="20"/>
  <c r="L277" i="20"/>
  <c r="O226" i="12"/>
  <c r="Q103" i="19"/>
  <c r="Q102" i="19"/>
  <c r="Q101" i="19"/>
  <c r="Q100" i="19"/>
  <c r="R126" i="12"/>
  <c r="Q99" i="19"/>
  <c r="Q104" i="19"/>
  <c r="O37" i="20"/>
  <c r="O36" i="20"/>
  <c r="N258" i="20"/>
  <c r="O225" i="20"/>
  <c r="R30" i="20"/>
  <c r="R48" i="20" s="1"/>
  <c r="N273" i="20"/>
  <c r="N274" i="20"/>
  <c r="N272" i="20"/>
  <c r="N271" i="20"/>
  <c r="S31" i="20"/>
  <c r="S49" i="20" s="1"/>
  <c r="S214" i="20" s="1"/>
  <c r="T135" i="12" s="1"/>
  <c r="P256" i="20"/>
  <c r="P34" i="20"/>
  <c r="O179" i="19"/>
  <c r="R28" i="20"/>
  <c r="R46" i="20" s="1"/>
  <c r="S94" i="12" s="1"/>
  <c r="K279" i="20"/>
  <c r="K283" i="20" s="1"/>
  <c r="K280" i="20"/>
  <c r="Q133" i="19"/>
  <c r="Q132" i="19"/>
  <c r="Q136" i="19"/>
  <c r="R125" i="12"/>
  <c r="Q134" i="19"/>
  <c r="Q135" i="19"/>
  <c r="R170" i="19"/>
  <c r="P55" i="19"/>
  <c r="P52" i="19" s="1"/>
  <c r="P60" i="19"/>
  <c r="Q93" i="12"/>
  <c r="P50" i="20"/>
  <c r="P221" i="20" s="1"/>
  <c r="P62" i="19"/>
  <c r="P63" i="19"/>
  <c r="Q124" i="12"/>
  <c r="P53" i="19"/>
  <c r="P54" i="19"/>
  <c r="P64" i="19"/>
  <c r="P65" i="19"/>
  <c r="P61" i="19"/>
  <c r="P56" i="19"/>
  <c r="P58" i="19"/>
  <c r="P57" i="19"/>
  <c r="AB88" i="29" l="1"/>
  <c r="AA246" i="38"/>
  <c r="Y141" i="15"/>
  <c r="Y142" i="15" s="1"/>
  <c r="U336" i="42"/>
  <c r="AA246" i="42"/>
  <c r="Y141" i="16"/>
  <c r="Y142" i="16" s="1"/>
  <c r="W177" i="29"/>
  <c r="W182" i="29" s="1"/>
  <c r="W183" i="29" s="1"/>
  <c r="W192" i="29" s="1"/>
  <c r="X70" i="16" s="1"/>
  <c r="S204" i="28"/>
  <c r="S208" i="28" s="1"/>
  <c r="Y300" i="38"/>
  <c r="Y301" i="38"/>
  <c r="AC148" i="42"/>
  <c r="AC152" i="42" s="1"/>
  <c r="AC149" i="42"/>
  <c r="AC146" i="42"/>
  <c r="AC150" i="42" s="1"/>
  <c r="AC147" i="42"/>
  <c r="AC151" i="42" s="1"/>
  <c r="AA105" i="42"/>
  <c r="AA109" i="42" s="1"/>
  <c r="AA107" i="42"/>
  <c r="AA111" i="42" s="1"/>
  <c r="AA106" i="42"/>
  <c r="AA110" i="42" s="1"/>
  <c r="AA108" i="42"/>
  <c r="Y314" i="42"/>
  <c r="BF88" i="55" s="1"/>
  <c r="Y310" i="42"/>
  <c r="Y313" i="42"/>
  <c r="BF87" i="55" s="1"/>
  <c r="Y312" i="42"/>
  <c r="BF86" i="55" s="1"/>
  <c r="Y311" i="42"/>
  <c r="BF85" i="55" s="1"/>
  <c r="Y309" i="42"/>
  <c r="Z294" i="38"/>
  <c r="AC49" i="28"/>
  <c r="AD191" i="38"/>
  <c r="AD199" i="38"/>
  <c r="AD207" i="38"/>
  <c r="AB47" i="42"/>
  <c r="AB291" i="42" s="1"/>
  <c r="AB249" i="42"/>
  <c r="AB96" i="42"/>
  <c r="AB72" i="42"/>
  <c r="AB80" i="42"/>
  <c r="AB104" i="42"/>
  <c r="AC42" i="38"/>
  <c r="AC32" i="38"/>
  <c r="AA66" i="15"/>
  <c r="AA59" i="15"/>
  <c r="AA135" i="15" s="1"/>
  <c r="AB281" i="38"/>
  <c r="AB34" i="38"/>
  <c r="W144" i="29"/>
  <c r="W139" i="29"/>
  <c r="W141" i="29"/>
  <c r="W143" i="29"/>
  <c r="W140" i="29"/>
  <c r="W142" i="29"/>
  <c r="Y313" i="38"/>
  <c r="Z87" i="55" s="1"/>
  <c r="Y312" i="38"/>
  <c r="Z86" i="55" s="1"/>
  <c r="Y310" i="38"/>
  <c r="Y314" i="38"/>
  <c r="Z88" i="55" s="1"/>
  <c r="Y311" i="38"/>
  <c r="Z85" i="55" s="1"/>
  <c r="Y309" i="38"/>
  <c r="CK57" i="55"/>
  <c r="X152" i="28"/>
  <c r="DQ57" i="55"/>
  <c r="BE57" i="55"/>
  <c r="X148" i="29"/>
  <c r="AA149" i="29"/>
  <c r="AA146" i="29"/>
  <c r="AC61" i="16"/>
  <c r="AB87" i="29"/>
  <c r="AD19" i="46"/>
  <c r="AD275" i="46" s="1"/>
  <c r="AD27" i="46"/>
  <c r="AD32" i="46" s="1"/>
  <c r="DN81" i="55"/>
  <c r="BB81" i="55"/>
  <c r="BB84" i="55"/>
  <c r="U340" i="42"/>
  <c r="U345" i="42"/>
  <c r="W168" i="28"/>
  <c r="W169" i="28"/>
  <c r="AD49" i="29"/>
  <c r="AE16" i="20"/>
  <c r="AE15" i="20"/>
  <c r="AE14" i="20"/>
  <c r="AE17" i="20"/>
  <c r="AE18" i="20"/>
  <c r="AF5" i="20"/>
  <c r="Y160" i="29"/>
  <c r="Y172" i="29" s="1"/>
  <c r="Y161" i="29"/>
  <c r="R72" i="15"/>
  <c r="R34" i="58" s="1"/>
  <c r="Q214" i="28"/>
  <c r="R73" i="15" s="1"/>
  <c r="W174" i="28"/>
  <c r="W175" i="28"/>
  <c r="Z239" i="19"/>
  <c r="Z251" i="19" s="1"/>
  <c r="Z240" i="19"/>
  <c r="Z299" i="42"/>
  <c r="Z298" i="42"/>
  <c r="Z297" i="42"/>
  <c r="Z296" i="42"/>
  <c r="AC141" i="42"/>
  <c r="AC138" i="42"/>
  <c r="AC142" i="42" s="1"/>
  <c r="AC139" i="42"/>
  <c r="AC143" i="42" s="1"/>
  <c r="AC140" i="42"/>
  <c r="AC144" i="42" s="1"/>
  <c r="X237" i="19"/>
  <c r="X241" i="19" s="1"/>
  <c r="X238" i="19"/>
  <c r="S72" i="16"/>
  <c r="AY34" i="58" s="1"/>
  <c r="R200" i="29"/>
  <c r="S73" i="16" s="1"/>
  <c r="Y306" i="42"/>
  <c r="Y307" i="42"/>
  <c r="Z184" i="28"/>
  <c r="Z185" i="28" s="1"/>
  <c r="Z161" i="28"/>
  <c r="Y104" i="29"/>
  <c r="X137" i="29"/>
  <c r="X138" i="29" s="1"/>
  <c r="X318" i="42"/>
  <c r="X319" i="42" s="1"/>
  <c r="X320" i="42"/>
  <c r="X323" i="42" s="1"/>
  <c r="AC233" i="46"/>
  <c r="AC238" i="46" s="1"/>
  <c r="AC234" i="46"/>
  <c r="AD108" i="45" s="1"/>
  <c r="BJ108" i="45" s="1"/>
  <c r="AC229" i="48"/>
  <c r="AC232" i="46"/>
  <c r="AC237" i="46" s="1"/>
  <c r="AC230" i="46"/>
  <c r="AC235" i="46" s="1"/>
  <c r="AC231" i="46"/>
  <c r="AC236" i="46" s="1"/>
  <c r="Z217" i="28"/>
  <c r="Y151" i="28"/>
  <c r="X174" i="29"/>
  <c r="X175" i="29" s="1"/>
  <c r="X176" i="29" s="1"/>
  <c r="AB171" i="48"/>
  <c r="AB176" i="48" s="1"/>
  <c r="AB168" i="48"/>
  <c r="AB173" i="48" s="1"/>
  <c r="AB169" i="48"/>
  <c r="AB174" i="48" s="1"/>
  <c r="AB170" i="48"/>
  <c r="AB175" i="48" s="1"/>
  <c r="AB172" i="48"/>
  <c r="AD249" i="46"/>
  <c r="AD254" i="46" s="1"/>
  <c r="AD250" i="46"/>
  <c r="AD255" i="46" s="1"/>
  <c r="AD247" i="46"/>
  <c r="AD252" i="46" s="1"/>
  <c r="AD248" i="46"/>
  <c r="AD253" i="46" s="1"/>
  <c r="AD251" i="46"/>
  <c r="AE96" i="45" s="1"/>
  <c r="AD246" i="48"/>
  <c r="AB233" i="48"/>
  <c r="AB238" i="48" s="1"/>
  <c r="AB232" i="48"/>
  <c r="AB237" i="48" s="1"/>
  <c r="AB234" i="48"/>
  <c r="AB230" i="48"/>
  <c r="AB235" i="48" s="1"/>
  <c r="AB231" i="48"/>
  <c r="AB236" i="48" s="1"/>
  <c r="AC42" i="42"/>
  <c r="AC32" i="42"/>
  <c r="Y155" i="29"/>
  <c r="Y154" i="29"/>
  <c r="AC162" i="38"/>
  <c r="AC166" i="38" s="1"/>
  <c r="AC165" i="38"/>
  <c r="AD109" i="36" s="1"/>
  <c r="BJ109" i="36" s="1"/>
  <c r="AC163" i="38"/>
  <c r="AC167" i="38" s="1"/>
  <c r="AC164" i="38"/>
  <c r="AC168" i="38" s="1"/>
  <c r="Z234" i="19"/>
  <c r="Z233" i="19"/>
  <c r="AC158" i="46"/>
  <c r="AC163" i="46" s="1"/>
  <c r="AC162" i="46"/>
  <c r="AD98" i="45" s="1"/>
  <c r="BJ98" i="45" s="1"/>
  <c r="AC157" i="48"/>
  <c r="AC159" i="46"/>
  <c r="AC164" i="46" s="1"/>
  <c r="AC161" i="46"/>
  <c r="AC166" i="46" s="1"/>
  <c r="AC160" i="46"/>
  <c r="AC165" i="46" s="1"/>
  <c r="Y170" i="29"/>
  <c r="Y171" i="29" s="1"/>
  <c r="Y147" i="29"/>
  <c r="AB61" i="16"/>
  <c r="AA87" i="29"/>
  <c r="Z297" i="38"/>
  <c r="Z298" i="38"/>
  <c r="Z299" i="38"/>
  <c r="Z296" i="38"/>
  <c r="AC87" i="45"/>
  <c r="AC85" i="45"/>
  <c r="BI87" i="45"/>
  <c r="BI85" i="45"/>
  <c r="BI86" i="45"/>
  <c r="AC86" i="45"/>
  <c r="AD16" i="53"/>
  <c r="AD29" i="53" s="1"/>
  <c r="AD44" i="53" s="1"/>
  <c r="AD150" i="53" s="1"/>
  <c r="AD151" i="53" s="1"/>
  <c r="AE60" i="51" s="1"/>
  <c r="BK60" i="51" s="1"/>
  <c r="AE5" i="53"/>
  <c r="AD15" i="53"/>
  <c r="AD28" i="53" s="1"/>
  <c r="AD17" i="53"/>
  <c r="AD30" i="53" s="1"/>
  <c r="AD18" i="53"/>
  <c r="AD31" i="53" s="1"/>
  <c r="AD14" i="53"/>
  <c r="U172" i="28"/>
  <c r="U176" i="28" s="1"/>
  <c r="U173" i="28"/>
  <c r="V182" i="29"/>
  <c r="T204" i="28"/>
  <c r="AA67" i="15"/>
  <c r="AA46" i="15"/>
  <c r="Y236" i="19"/>
  <c r="Y235" i="19"/>
  <c r="W328" i="42"/>
  <c r="AC221" i="46"/>
  <c r="AC226" i="46" s="1"/>
  <c r="AC220" i="46"/>
  <c r="AC225" i="46" s="1"/>
  <c r="AC222" i="46"/>
  <c r="AC227" i="46" s="1"/>
  <c r="AC223" i="46"/>
  <c r="AC228" i="46" s="1"/>
  <c r="AC224" i="46"/>
  <c r="AD99" i="45" s="1"/>
  <c r="BJ99" i="45" s="1"/>
  <c r="AC219" i="48"/>
  <c r="AD191" i="42"/>
  <c r="AD207" i="42"/>
  <c r="AD199" i="42"/>
  <c r="W156" i="28"/>
  <c r="CJ63" i="55" s="1"/>
  <c r="W153" i="28"/>
  <c r="W154" i="28"/>
  <c r="CJ61" i="55" s="1"/>
  <c r="W157" i="28"/>
  <c r="CJ64" i="55" s="1"/>
  <c r="W158" i="28"/>
  <c r="CJ65" i="55" s="1"/>
  <c r="W155" i="28"/>
  <c r="CJ62" i="55" s="1"/>
  <c r="R204" i="28"/>
  <c r="AC250" i="48"/>
  <c r="AC255" i="48" s="1"/>
  <c r="AC249" i="48"/>
  <c r="AC254" i="48" s="1"/>
  <c r="AC247" i="48"/>
  <c r="AC252" i="48" s="1"/>
  <c r="AC248" i="48"/>
  <c r="AC253" i="48" s="1"/>
  <c r="AC251" i="48"/>
  <c r="AC157" i="38"/>
  <c r="AD79" i="36" s="1"/>
  <c r="BJ79" i="36" s="1"/>
  <c r="AC154" i="38"/>
  <c r="AC158" i="38" s="1"/>
  <c r="AC155" i="38"/>
  <c r="AC159" i="38" s="1"/>
  <c r="AC156" i="38"/>
  <c r="AC160" i="38" s="1"/>
  <c r="AC32" i="29"/>
  <c r="AC45" i="29"/>
  <c r="AE16" i="48"/>
  <c r="AE29" i="48" s="1"/>
  <c r="AE44" i="48" s="1"/>
  <c r="AE14" i="48"/>
  <c r="AE17" i="48"/>
  <c r="AE30" i="48" s="1"/>
  <c r="AE45" i="48" s="1"/>
  <c r="AE18" i="48"/>
  <c r="AE31" i="48" s="1"/>
  <c r="AF5" i="48"/>
  <c r="AE15" i="48"/>
  <c r="AE28" i="48" s="1"/>
  <c r="AE43" i="48" s="1"/>
  <c r="AC177" i="48"/>
  <c r="AC178" i="46"/>
  <c r="AC183" i="46" s="1"/>
  <c r="AC179" i="46"/>
  <c r="AC184" i="46" s="1"/>
  <c r="AC180" i="46"/>
  <c r="AC185" i="46" s="1"/>
  <c r="AC181" i="46"/>
  <c r="AC186" i="46" s="1"/>
  <c r="AC182" i="46"/>
  <c r="AD107" i="45" s="1"/>
  <c r="BJ107" i="45" s="1"/>
  <c r="AA75" i="42"/>
  <c r="AA79" i="42" s="1"/>
  <c r="AA73" i="42"/>
  <c r="AA77" i="42" s="1"/>
  <c r="AA74" i="42"/>
  <c r="AA78" i="42" s="1"/>
  <c r="AA76" i="42"/>
  <c r="Z134" i="15"/>
  <c r="Z140" i="15" s="1"/>
  <c r="Z133" i="15" a="1"/>
  <c r="Z68" i="15"/>
  <c r="Z77" i="15" s="1"/>
  <c r="AF5" i="38"/>
  <c r="AE16" i="38"/>
  <c r="AE29" i="38" s="1"/>
  <c r="AE44" i="38" s="1"/>
  <c r="AE222" i="38" s="1"/>
  <c r="AE15" i="38"/>
  <c r="AE28" i="38" s="1"/>
  <c r="AE43" i="38" s="1"/>
  <c r="AE17" i="38"/>
  <c r="AE30" i="38" s="1"/>
  <c r="AE45" i="38" s="1"/>
  <c r="AE14" i="38"/>
  <c r="AE18" i="38"/>
  <c r="AE31" i="38" s="1"/>
  <c r="AE46" i="38" s="1"/>
  <c r="AE237" i="38" s="1"/>
  <c r="AA216" i="28"/>
  <c r="AA56" i="29"/>
  <c r="AA50" i="28"/>
  <c r="AA59" i="29"/>
  <c r="AB44" i="16" s="1"/>
  <c r="AA61" i="29"/>
  <c r="AB44" i="15"/>
  <c r="AA63" i="29"/>
  <c r="AB56" i="16" s="1"/>
  <c r="AB59" i="16" s="1"/>
  <c r="AB135" i="16" s="1"/>
  <c r="AB62" i="15"/>
  <c r="AB65" i="15" s="1"/>
  <c r="AB139" i="15" s="1"/>
  <c r="AA53" i="29"/>
  <c r="AB56" i="15"/>
  <c r="AA57" i="29"/>
  <c r="AA55" i="29"/>
  <c r="AA52" i="29" s="1"/>
  <c r="AA60" i="29"/>
  <c r="AA54" i="29"/>
  <c r="AA62" i="29"/>
  <c r="AB62" i="16" s="1"/>
  <c r="AB66" i="16" s="1"/>
  <c r="Z211" i="28"/>
  <c r="Z210" i="28"/>
  <c r="Z159" i="28"/>
  <c r="Z77" i="16"/>
  <c r="Z68" i="16"/>
  <c r="Z134" i="16"/>
  <c r="Z140" i="16" s="1"/>
  <c r="Z133" i="16" a="1"/>
  <c r="AC194" i="38"/>
  <c r="AC198" i="38" s="1"/>
  <c r="AC193" i="38"/>
  <c r="AC197" i="38" s="1"/>
  <c r="AC192" i="38"/>
  <c r="AC196" i="38" s="1"/>
  <c r="AC212" i="46"/>
  <c r="AC217" i="46" s="1"/>
  <c r="AC211" i="46"/>
  <c r="AC216" i="46" s="1"/>
  <c r="AC210" i="46"/>
  <c r="AC215" i="46" s="1"/>
  <c r="AC214" i="46"/>
  <c r="AD89" i="45" s="1"/>
  <c r="AC209" i="48"/>
  <c r="AC213" i="46"/>
  <c r="AC218" i="46" s="1"/>
  <c r="Z153" i="29"/>
  <c r="Z150" i="29"/>
  <c r="Z151" i="29"/>
  <c r="Z152" i="29"/>
  <c r="DS80" i="55"/>
  <c r="BG80" i="55"/>
  <c r="AD27" i="42"/>
  <c r="AD19" i="42"/>
  <c r="AD247" i="42" s="1"/>
  <c r="X302" i="42"/>
  <c r="X303" i="42"/>
  <c r="AD19" i="29"/>
  <c r="AD27" i="29"/>
  <c r="AC146" i="38"/>
  <c r="AC150" i="38" s="1"/>
  <c r="AC147" i="38"/>
  <c r="AC151" i="38" s="1"/>
  <c r="AC149" i="38"/>
  <c r="AD100" i="36" s="1"/>
  <c r="BJ100" i="36" s="1"/>
  <c r="AC148" i="38"/>
  <c r="AC152" i="38" s="1"/>
  <c r="AD19" i="48"/>
  <c r="AD275" i="48" s="1"/>
  <c r="AD27" i="48"/>
  <c r="AD32" i="48" s="1"/>
  <c r="AD19" i="19"/>
  <c r="AD27" i="19"/>
  <c r="W305" i="38"/>
  <c r="W304" i="38"/>
  <c r="W308" i="38" s="1"/>
  <c r="AC172" i="46"/>
  <c r="AD77" i="45" s="1"/>
  <c r="BJ77" i="45" s="1"/>
  <c r="AC167" i="48"/>
  <c r="AC171" i="46"/>
  <c r="AC176" i="46" s="1"/>
  <c r="AC170" i="46"/>
  <c r="AC175" i="46" s="1"/>
  <c r="AC169" i="46"/>
  <c r="AC174" i="46" s="1"/>
  <c r="AC168" i="46"/>
  <c r="AC173" i="46" s="1"/>
  <c r="AA97" i="42"/>
  <c r="AA101" i="42" s="1"/>
  <c r="AA99" i="42"/>
  <c r="AA103" i="42" s="1"/>
  <c r="AA100" i="42"/>
  <c r="AA98" i="42"/>
  <c r="AA102" i="42" s="1"/>
  <c r="V170" i="28"/>
  <c r="V171" i="28"/>
  <c r="AD55" i="15"/>
  <c r="AC83" i="29"/>
  <c r="AC82" i="29" s="1"/>
  <c r="AD239" i="38"/>
  <c r="AD243" i="38" s="1"/>
  <c r="AD240" i="38"/>
  <c r="AD244" i="38" s="1"/>
  <c r="AD238" i="38"/>
  <c r="AD242" i="38" s="1"/>
  <c r="AA34" i="28"/>
  <c r="AA149" i="28"/>
  <c r="Y301" i="42"/>
  <c r="Y300" i="42"/>
  <c r="Z37" i="28"/>
  <c r="Z36" i="28"/>
  <c r="AC19" i="53"/>
  <c r="AC27" i="53"/>
  <c r="AC32" i="53" s="1"/>
  <c r="U183" i="29"/>
  <c r="U190" i="29" s="1"/>
  <c r="AC34" i="46"/>
  <c r="AC309" i="46"/>
  <c r="Y163" i="28"/>
  <c r="Y162" i="28"/>
  <c r="Y160" i="28"/>
  <c r="AC201" i="38"/>
  <c r="AC205" i="38" s="1"/>
  <c r="AC202" i="38"/>
  <c r="AC206" i="38" s="1"/>
  <c r="AC203" i="38"/>
  <c r="AD101" i="36" s="1"/>
  <c r="BJ101" i="36" s="1"/>
  <c r="AC200" i="38"/>
  <c r="AC204" i="38" s="1"/>
  <c r="W158" i="29"/>
  <c r="W162" i="29" s="1"/>
  <c r="W159" i="29"/>
  <c r="AD147" i="46"/>
  <c r="AD167" i="46"/>
  <c r="AD157" i="46"/>
  <c r="AD177" i="46"/>
  <c r="AE15" i="42"/>
  <c r="AE28" i="42" s="1"/>
  <c r="AE43" i="42" s="1"/>
  <c r="AE16" i="42"/>
  <c r="AE29" i="42" s="1"/>
  <c r="AE44" i="42" s="1"/>
  <c r="AE222" i="42" s="1"/>
  <c r="AE18" i="42"/>
  <c r="AE31" i="42" s="1"/>
  <c r="AE46" i="42" s="1"/>
  <c r="AE237" i="42" s="1"/>
  <c r="AE14" i="42"/>
  <c r="AE17" i="42"/>
  <c r="AE30" i="42" s="1"/>
  <c r="AE45" i="42" s="1"/>
  <c r="AF5" i="42"/>
  <c r="AB197" i="54"/>
  <c r="AB34" i="54"/>
  <c r="AF5" i="29"/>
  <c r="AE17" i="29"/>
  <c r="AE30" i="29" s="1"/>
  <c r="AE14" i="29"/>
  <c r="AE16" i="29"/>
  <c r="AE29" i="29" s="1"/>
  <c r="AE47" i="29" s="1"/>
  <c r="AE15" i="29"/>
  <c r="AE28" i="29" s="1"/>
  <c r="AE46" i="29" s="1"/>
  <c r="AE18" i="29"/>
  <c r="AE31" i="29" s="1"/>
  <c r="AB221" i="48"/>
  <c r="AB226" i="48" s="1"/>
  <c r="AB220" i="48"/>
  <c r="AB225" i="48" s="1"/>
  <c r="AB223" i="48"/>
  <c r="AB228" i="48" s="1"/>
  <c r="AB222" i="48"/>
  <c r="AB227" i="48" s="1"/>
  <c r="AB224" i="48"/>
  <c r="AC139" i="38"/>
  <c r="AC138" i="38"/>
  <c r="AC140" i="38"/>
  <c r="V186" i="28"/>
  <c r="V187" i="28" s="1"/>
  <c r="V188" i="28"/>
  <c r="AC211" i="42"/>
  <c r="AC208" i="42"/>
  <c r="AC212" i="42" s="1"/>
  <c r="AC209" i="42"/>
  <c r="AC213" i="42" s="1"/>
  <c r="AC210" i="42"/>
  <c r="AC214" i="42" s="1"/>
  <c r="AB32" i="28"/>
  <c r="AB45" i="28"/>
  <c r="AC147" i="48"/>
  <c r="AC152" i="46"/>
  <c r="AD83" i="45" s="1"/>
  <c r="AC149" i="46"/>
  <c r="AC154" i="46" s="1"/>
  <c r="AC151" i="46"/>
  <c r="AC156" i="46" s="1"/>
  <c r="AC150" i="46"/>
  <c r="AC155" i="46" s="1"/>
  <c r="AC148" i="46"/>
  <c r="AC153" i="46" s="1"/>
  <c r="AA295" i="42"/>
  <c r="AA292" i="42"/>
  <c r="AC32" i="19"/>
  <c r="AC45" i="19"/>
  <c r="AC50" i="19" s="1"/>
  <c r="X156" i="29"/>
  <c r="X157" i="29"/>
  <c r="AE5" i="28"/>
  <c r="AD17" i="28"/>
  <c r="AD30" i="28" s="1"/>
  <c r="AD16" i="28"/>
  <c r="AD29" i="28" s="1"/>
  <c r="AD47" i="28" s="1"/>
  <c r="AD14" i="28"/>
  <c r="AD18" i="28"/>
  <c r="AD31" i="28" s="1"/>
  <c r="AD15" i="28"/>
  <c r="AD28" i="28" s="1"/>
  <c r="AD46" i="28" s="1"/>
  <c r="AB276" i="19"/>
  <c r="AB228" i="19"/>
  <c r="AB275" i="19"/>
  <c r="AB225" i="19"/>
  <c r="AB224" i="19"/>
  <c r="AD225" i="38"/>
  <c r="AD229" i="38" s="1"/>
  <c r="AD224" i="38"/>
  <c r="AD228" i="38" s="1"/>
  <c r="AD223" i="38"/>
  <c r="AD227" i="38" s="1"/>
  <c r="AC34" i="48"/>
  <c r="AC309" i="48"/>
  <c r="AA67" i="16"/>
  <c r="AA46" i="16"/>
  <c r="T58" i="55"/>
  <c r="AC211" i="38"/>
  <c r="AC208" i="38"/>
  <c r="AC212" i="38" s="1"/>
  <c r="AC209" i="38"/>
  <c r="AC213" i="38" s="1"/>
  <c r="AC210" i="38"/>
  <c r="AC214" i="38" s="1"/>
  <c r="AA36" i="19"/>
  <c r="AA37" i="19"/>
  <c r="AB160" i="48"/>
  <c r="AB165" i="48" s="1"/>
  <c r="AB159" i="48"/>
  <c r="AB164" i="48" s="1"/>
  <c r="AB161" i="48"/>
  <c r="AB166" i="48" s="1"/>
  <c r="AB158" i="48"/>
  <c r="AB163" i="48" s="1"/>
  <c r="AB162" i="48"/>
  <c r="AE17" i="46"/>
  <c r="AE30" i="46" s="1"/>
  <c r="AE45" i="46" s="1"/>
  <c r="AE18" i="46"/>
  <c r="AE31" i="46" s="1"/>
  <c r="AF5" i="46"/>
  <c r="AE16" i="46"/>
  <c r="AE29" i="46" s="1"/>
  <c r="AE44" i="46" s="1"/>
  <c r="AE246" i="46" s="1"/>
  <c r="AE14" i="46"/>
  <c r="AE15" i="46"/>
  <c r="AE28" i="46" s="1"/>
  <c r="AE43" i="46" s="1"/>
  <c r="AD241" i="42"/>
  <c r="AD239" i="42"/>
  <c r="AD243" i="42" s="1"/>
  <c r="AD240" i="42"/>
  <c r="AD244" i="42" s="1"/>
  <c r="AD238" i="42"/>
  <c r="AD242" i="42" s="1"/>
  <c r="X303" i="38"/>
  <c r="X302" i="38"/>
  <c r="AC19" i="54"/>
  <c r="AC27" i="54"/>
  <c r="AC32" i="54" s="1"/>
  <c r="AC203" i="42"/>
  <c r="AC201" i="42"/>
  <c r="AC205" i="42" s="1"/>
  <c r="AC202" i="42"/>
  <c r="AC206" i="42" s="1"/>
  <c r="AC200" i="42"/>
  <c r="AC204" i="42" s="1"/>
  <c r="AB197" i="53"/>
  <c r="AB34" i="53"/>
  <c r="AC165" i="42"/>
  <c r="AC164" i="42"/>
  <c r="AC168" i="42" s="1"/>
  <c r="AC162" i="42"/>
  <c r="AC166" i="42" s="1"/>
  <c r="AC163" i="42"/>
  <c r="AC167" i="42" s="1"/>
  <c r="AA293" i="42"/>
  <c r="AA316" i="42"/>
  <c r="AA317" i="42" s="1"/>
  <c r="W168" i="29"/>
  <c r="BD65" i="55" s="1"/>
  <c r="W166" i="29"/>
  <c r="BD63" i="55" s="1"/>
  <c r="W165" i="29"/>
  <c r="BD62" i="55" s="1"/>
  <c r="W163" i="29"/>
  <c r="W164" i="29"/>
  <c r="W167" i="29"/>
  <c r="BD64" i="55" s="1"/>
  <c r="X180" i="28"/>
  <c r="Y63" i="55" s="1"/>
  <c r="X178" i="28"/>
  <c r="X182" i="28"/>
  <c r="Y65" i="55" s="1"/>
  <c r="X181" i="28"/>
  <c r="Y64" i="55" s="1"/>
  <c r="X177" i="28"/>
  <c r="X179" i="28"/>
  <c r="Y62" i="55" s="1"/>
  <c r="AC19" i="28"/>
  <c r="AC118" i="28" s="1"/>
  <c r="AC27" i="28"/>
  <c r="AB34" i="19"/>
  <c r="AB214" i="19"/>
  <c r="AD137" i="38"/>
  <c r="AD161" i="38"/>
  <c r="AD145" i="38"/>
  <c r="AD153" i="38"/>
  <c r="Z250" i="42"/>
  <c r="Y283" i="42"/>
  <c r="Y284" i="42" s="1"/>
  <c r="AB148" i="48"/>
  <c r="AB153" i="48" s="1"/>
  <c r="AB152" i="48"/>
  <c r="AB149" i="48"/>
  <c r="AB154" i="48" s="1"/>
  <c r="AB151" i="48"/>
  <c r="AB156" i="48" s="1"/>
  <c r="AB150" i="48"/>
  <c r="AB155" i="48" s="1"/>
  <c r="AB180" i="48"/>
  <c r="AB185" i="48" s="1"/>
  <c r="AB179" i="48"/>
  <c r="AB184" i="48" s="1"/>
  <c r="AB182" i="48"/>
  <c r="AB181" i="48"/>
  <c r="AB186" i="48" s="1"/>
  <c r="AB178" i="48"/>
  <c r="AB183" i="48" s="1"/>
  <c r="AA59" i="16"/>
  <c r="AA135" i="16" s="1"/>
  <c r="AA66" i="16"/>
  <c r="Z103" i="29"/>
  <c r="Z91" i="29"/>
  <c r="AA36" i="29"/>
  <c r="AA37" i="29"/>
  <c r="W321" i="42"/>
  <c r="W322" i="42" s="1"/>
  <c r="W324" i="42" s="1"/>
  <c r="AB50" i="29"/>
  <c r="AB145" i="29" s="1"/>
  <c r="AA231" i="19"/>
  <c r="AA232" i="19"/>
  <c r="AA229" i="19"/>
  <c r="AA230" i="19"/>
  <c r="AA295" i="38"/>
  <c r="AA292" i="38"/>
  <c r="AD137" i="42"/>
  <c r="AD145" i="42"/>
  <c r="AD161" i="42"/>
  <c r="AD153" i="42"/>
  <c r="U196" i="28"/>
  <c r="Y306" i="38"/>
  <c r="Y318" i="38" s="1"/>
  <c r="Y307" i="38"/>
  <c r="V329" i="42"/>
  <c r="V338" i="42" s="1"/>
  <c r="AD14" i="54"/>
  <c r="AE5" i="54"/>
  <c r="AD16" i="54"/>
  <c r="AD29" i="54" s="1"/>
  <c r="AD44" i="54" s="1"/>
  <c r="AD150" i="54" s="1"/>
  <c r="AD151" i="54" s="1"/>
  <c r="AD18" i="54"/>
  <c r="AD31" i="54" s="1"/>
  <c r="AD15" i="54"/>
  <c r="AD28" i="54" s="1"/>
  <c r="AD17" i="54"/>
  <c r="AD30" i="54" s="1"/>
  <c r="AC194" i="42"/>
  <c r="AC198" i="42" s="1"/>
  <c r="AC192" i="42"/>
  <c r="AC196" i="42" s="1"/>
  <c r="AC193" i="42"/>
  <c r="AC197" i="42" s="1"/>
  <c r="AC195" i="42"/>
  <c r="AB214" i="48"/>
  <c r="AB212" i="48"/>
  <c r="AB217" i="48" s="1"/>
  <c r="AB211" i="48"/>
  <c r="AB216" i="48" s="1"/>
  <c r="AB210" i="48"/>
  <c r="AB215" i="48" s="1"/>
  <c r="AB213" i="48"/>
  <c r="AB218" i="48" s="1"/>
  <c r="AF5" i="19"/>
  <c r="AE18" i="19"/>
  <c r="AE31" i="19" s="1"/>
  <c r="AE49" i="19" s="1"/>
  <c r="AE14" i="19"/>
  <c r="AE16" i="19"/>
  <c r="AE29" i="19" s="1"/>
  <c r="AE47" i="19" s="1"/>
  <c r="AE17" i="19"/>
  <c r="AE30" i="19" s="1"/>
  <c r="AE48" i="19" s="1"/>
  <c r="AE15" i="19"/>
  <c r="AE28" i="19" s="1"/>
  <c r="AE46" i="19" s="1"/>
  <c r="Z309" i="42"/>
  <c r="Z312" i="42"/>
  <c r="BG86" i="55" s="1"/>
  <c r="Z313" i="42"/>
  <c r="BG87" i="55" s="1"/>
  <c r="Z314" i="42"/>
  <c r="BG88" i="55" s="1"/>
  <c r="Z311" i="42"/>
  <c r="BG85" i="55" s="1"/>
  <c r="Z310" i="42"/>
  <c r="AC156" i="42"/>
  <c r="AC160" i="42" s="1"/>
  <c r="AC155" i="42"/>
  <c r="AC159" i="42" s="1"/>
  <c r="AC157" i="42"/>
  <c r="AC154" i="42"/>
  <c r="AC158" i="42" s="1"/>
  <c r="AA82" i="42"/>
  <c r="AA86" i="42" s="1"/>
  <c r="AA84" i="42"/>
  <c r="AA81" i="42"/>
  <c r="AA85" i="42" s="1"/>
  <c r="AA83" i="42"/>
  <c r="AA87" i="42" s="1"/>
  <c r="X165" i="28"/>
  <c r="X167" i="28"/>
  <c r="X164" i="28"/>
  <c r="X166" i="28"/>
  <c r="AC78" i="29"/>
  <c r="AD64" i="16" s="1"/>
  <c r="AC69" i="29"/>
  <c r="AC77" i="29"/>
  <c r="AD45" i="16" s="1"/>
  <c r="AC71" i="29"/>
  <c r="AC66" i="29"/>
  <c r="AC65" i="29" s="1"/>
  <c r="AC68" i="29"/>
  <c r="AD64" i="15"/>
  <c r="AC67" i="29"/>
  <c r="AD48" i="15"/>
  <c r="AD49" i="15" s="1"/>
  <c r="AD136" i="15" s="1"/>
  <c r="AC74" i="29"/>
  <c r="AD48" i="16" s="1"/>
  <c r="AD49" i="16" s="1"/>
  <c r="AD136" i="16" s="1"/>
  <c r="AD58" i="15"/>
  <c r="AC75" i="29"/>
  <c r="AC70" i="29"/>
  <c r="AD45" i="15"/>
  <c r="AC76" i="29"/>
  <c r="AD58" i="16" s="1"/>
  <c r="AC73" i="29"/>
  <c r="AD19" i="38"/>
  <c r="AD247" i="38" s="1"/>
  <c r="AD27" i="38"/>
  <c r="X288" i="42"/>
  <c r="X285" i="42"/>
  <c r="X289" i="42"/>
  <c r="X287" i="42"/>
  <c r="X286" i="42"/>
  <c r="X290" i="42"/>
  <c r="AB281" i="42"/>
  <c r="AB34" i="42"/>
  <c r="Z197" i="29"/>
  <c r="Z196" i="29"/>
  <c r="AB249" i="38"/>
  <c r="AB47" i="38"/>
  <c r="AB291" i="38" s="1"/>
  <c r="AB72" i="38"/>
  <c r="AB73" i="38" s="1"/>
  <c r="AB104" i="38"/>
  <c r="AB80" i="38"/>
  <c r="AB96" i="38"/>
  <c r="U72" i="16"/>
  <c r="BA34" i="58" s="1"/>
  <c r="T200" i="29"/>
  <c r="U73" i="16" s="1"/>
  <c r="AB34" i="29"/>
  <c r="AB135" i="29"/>
  <c r="BA126" i="36"/>
  <c r="BA39" i="58" s="1"/>
  <c r="T346" i="42"/>
  <c r="BA127" i="36" s="1"/>
  <c r="AA293" i="38"/>
  <c r="AB80" i="55" s="1"/>
  <c r="AA316" i="38"/>
  <c r="W304" i="42"/>
  <c r="W308" i="42" s="1"/>
  <c r="W305" i="42"/>
  <c r="AD209" i="46"/>
  <c r="AD229" i="46"/>
  <c r="AD219" i="46"/>
  <c r="AD224" i="42"/>
  <c r="AD228" i="42" s="1"/>
  <c r="AD226" i="42"/>
  <c r="AD225" i="42"/>
  <c r="AD229" i="42" s="1"/>
  <c r="AD223" i="42"/>
  <c r="AD227" i="42" s="1"/>
  <c r="N259" i="20"/>
  <c r="N265" i="20" s="1"/>
  <c r="CA42" i="55" s="1"/>
  <c r="CA34" i="55"/>
  <c r="N183" i="19"/>
  <c r="M216" i="19"/>
  <c r="O75" i="19"/>
  <c r="P109" i="12"/>
  <c r="P73" i="19"/>
  <c r="Q114" i="14" s="1"/>
  <c r="Q114" i="12"/>
  <c r="P99" i="12"/>
  <c r="O97" i="14"/>
  <c r="P91" i="19"/>
  <c r="Q136" i="14" s="1"/>
  <c r="Q136" i="12"/>
  <c r="P110" i="14"/>
  <c r="P108" i="14" s="1"/>
  <c r="Q105" i="12"/>
  <c r="Q228" i="12" s="1"/>
  <c r="P109" i="14"/>
  <c r="Q106" i="19"/>
  <c r="R103" i="14" s="1"/>
  <c r="R103" i="12"/>
  <c r="P126" i="19"/>
  <c r="P123" i="19"/>
  <c r="P114" i="19"/>
  <c r="P113" i="19"/>
  <c r="Q95" i="14"/>
  <c r="P111" i="19"/>
  <c r="Q124" i="19"/>
  <c r="R138" i="14" s="1"/>
  <c r="R138" i="12"/>
  <c r="R174" i="19"/>
  <c r="P180" i="19"/>
  <c r="Q98" i="19"/>
  <c r="O94" i="19"/>
  <c r="R176" i="19"/>
  <c r="O92" i="19"/>
  <c r="O88" i="19"/>
  <c r="O87" i="19"/>
  <c r="R165" i="19"/>
  <c r="R166" i="19"/>
  <c r="R163" i="19"/>
  <c r="R164" i="19"/>
  <c r="O86" i="19"/>
  <c r="O89" i="19"/>
  <c r="O76" i="19"/>
  <c r="O74" i="19"/>
  <c r="Q118" i="19"/>
  <c r="R94" i="14" s="1"/>
  <c r="O90" i="19"/>
  <c r="P109" i="19"/>
  <c r="O83" i="19"/>
  <c r="P111" i="14" s="1"/>
  <c r="P107" i="14" s="1"/>
  <c r="P111" i="12"/>
  <c r="P107" i="12" s="1"/>
  <c r="O93" i="19"/>
  <c r="P108" i="19"/>
  <c r="P110" i="12"/>
  <c r="P108" i="12" s="1"/>
  <c r="P119" i="19"/>
  <c r="P120" i="19"/>
  <c r="O80" i="19"/>
  <c r="P106" i="14" s="1"/>
  <c r="P79" i="19"/>
  <c r="Q104" i="14" s="1"/>
  <c r="Q105" i="14" s="1"/>
  <c r="Q228" i="14" s="1"/>
  <c r="O77" i="19"/>
  <c r="P129" i="19"/>
  <c r="O71" i="19"/>
  <c r="P101" i="14" s="1"/>
  <c r="O70" i="19"/>
  <c r="P100" i="14" s="1"/>
  <c r="P98" i="14" s="1"/>
  <c r="O68" i="19"/>
  <c r="P96" i="14" s="1"/>
  <c r="O69" i="19"/>
  <c r="P99" i="14" s="1"/>
  <c r="M293" i="20"/>
  <c r="S172" i="19"/>
  <c r="T135" i="14" s="1"/>
  <c r="Q131" i="19"/>
  <c r="S215" i="20"/>
  <c r="S173" i="19" s="1"/>
  <c r="S217" i="20"/>
  <c r="S175" i="19" s="1"/>
  <c r="S216" i="20"/>
  <c r="S218" i="20"/>
  <c r="S219" i="20"/>
  <c r="S177" i="19" s="1"/>
  <c r="S203" i="20"/>
  <c r="S202" i="20"/>
  <c r="S204" i="20"/>
  <c r="S206" i="20"/>
  <c r="S167" i="19" s="1"/>
  <c r="S205" i="20"/>
  <c r="Q138" i="20"/>
  <c r="Q139" i="20"/>
  <c r="Q115" i="19" s="1"/>
  <c r="Q137" i="20"/>
  <c r="Q141" i="20"/>
  <c r="Q117" i="19" s="1"/>
  <c r="Q140" i="20"/>
  <c r="Q116" i="19" s="1"/>
  <c r="Q150" i="20"/>
  <c r="Q149" i="20"/>
  <c r="Q125" i="19" s="1"/>
  <c r="Q153" i="20"/>
  <c r="Q152" i="20"/>
  <c r="Q128" i="19" s="1"/>
  <c r="Q151" i="20"/>
  <c r="Q127" i="19" s="1"/>
  <c r="R148" i="20"/>
  <c r="R130" i="20"/>
  <c r="R142" i="20"/>
  <c r="R136" i="20"/>
  <c r="R112" i="19" s="1"/>
  <c r="S126" i="14" s="1"/>
  <c r="Q143" i="20"/>
  <c r="Q144" i="20"/>
  <c r="Q145" i="20"/>
  <c r="Q121" i="19" s="1"/>
  <c r="Q146" i="20"/>
  <c r="Q122" i="19" s="1"/>
  <c r="Q147" i="20"/>
  <c r="Q131" i="20"/>
  <c r="Q107" i="19" s="1"/>
  <c r="Q132" i="20"/>
  <c r="Q133" i="20"/>
  <c r="Q134" i="20"/>
  <c r="Q110" i="19" s="1"/>
  <c r="Q135" i="20"/>
  <c r="P101" i="20"/>
  <c r="P100" i="20"/>
  <c r="P104" i="20"/>
  <c r="P96" i="19" s="1"/>
  <c r="P102" i="20"/>
  <c r="P103" i="20"/>
  <c r="P95" i="19" s="1"/>
  <c r="P95" i="20"/>
  <c r="P98" i="20"/>
  <c r="P94" i="20"/>
  <c r="P97" i="20"/>
  <c r="P96" i="20"/>
  <c r="Q75" i="20"/>
  <c r="Q67" i="19" s="1"/>
  <c r="R93" i="14" s="1"/>
  <c r="Q99" i="20"/>
  <c r="Q93" i="20"/>
  <c r="Q85" i="19" s="1"/>
  <c r="R124" i="14" s="1"/>
  <c r="Q81" i="20"/>
  <c r="Q87" i="20"/>
  <c r="R104" i="12" s="1"/>
  <c r="P91" i="20"/>
  <c r="P88" i="20"/>
  <c r="Q106" i="12" s="1"/>
  <c r="P90" i="20"/>
  <c r="P82" i="19" s="1"/>
  <c r="P92" i="20"/>
  <c r="P84" i="19" s="1"/>
  <c r="P89" i="20"/>
  <c r="P81" i="19" s="1"/>
  <c r="P86" i="20"/>
  <c r="P78" i="19" s="1"/>
  <c r="P85" i="20"/>
  <c r="P84" i="20"/>
  <c r="P83" i="20"/>
  <c r="P82" i="20"/>
  <c r="P76" i="20"/>
  <c r="Q96" i="12" s="1"/>
  <c r="P80" i="20"/>
  <c r="P72" i="19" s="1"/>
  <c r="P79" i="20"/>
  <c r="Q101" i="12" s="1"/>
  <c r="Q97" i="12" s="1"/>
  <c r="P78" i="20"/>
  <c r="Q100" i="12" s="1"/>
  <c r="Q98" i="12" s="1"/>
  <c r="P77" i="20"/>
  <c r="S19" i="20"/>
  <c r="S222" i="20" s="1"/>
  <c r="R103" i="19"/>
  <c r="R100" i="19"/>
  <c r="R101" i="19"/>
  <c r="R104" i="19"/>
  <c r="S126" i="12"/>
  <c r="R99" i="19"/>
  <c r="R102" i="19"/>
  <c r="P179" i="19"/>
  <c r="P266" i="20"/>
  <c r="P318" i="20"/>
  <c r="P317" i="20"/>
  <c r="P267" i="20"/>
  <c r="P270" i="20"/>
  <c r="R169" i="19"/>
  <c r="R133" i="19"/>
  <c r="S125" i="12"/>
  <c r="R136" i="19"/>
  <c r="R132" i="19"/>
  <c r="R134" i="19"/>
  <c r="R135" i="19"/>
  <c r="Q55" i="19"/>
  <c r="Q52" i="19" s="1"/>
  <c r="Q62" i="19"/>
  <c r="Q50" i="20"/>
  <c r="Q221" i="20" s="1"/>
  <c r="R93" i="12"/>
  <c r="Q65" i="19"/>
  <c r="Q53" i="19"/>
  <c r="Q63" i="19"/>
  <c r="Q57" i="19"/>
  <c r="Q54" i="19"/>
  <c r="Q61" i="19"/>
  <c r="Q56" i="19"/>
  <c r="R124" i="12"/>
  <c r="Q60" i="19"/>
  <c r="Q58" i="19"/>
  <c r="Q64" i="19"/>
  <c r="T29" i="20"/>
  <c r="T47" i="20" s="1"/>
  <c r="T201" i="20" s="1"/>
  <c r="T162" i="19" s="1"/>
  <c r="U123" i="14" s="1"/>
  <c r="M278" i="20"/>
  <c r="M277" i="20"/>
  <c r="Q95" i="12"/>
  <c r="S170" i="19"/>
  <c r="N282" i="20"/>
  <c r="N281" i="20"/>
  <c r="P225" i="20"/>
  <c r="O258" i="20"/>
  <c r="P226" i="12"/>
  <c r="T31" i="20"/>
  <c r="T49" i="20" s="1"/>
  <c r="T214" i="20" s="1"/>
  <c r="U135" i="12" s="1"/>
  <c r="N276" i="20"/>
  <c r="N275" i="20"/>
  <c r="N264" i="20"/>
  <c r="CA41" i="55" s="1"/>
  <c r="R157" i="19"/>
  <c r="R45" i="20"/>
  <c r="R32" i="20"/>
  <c r="CE4" i="55" s="1"/>
  <c r="DK4" i="55" s="1"/>
  <c r="O273" i="20"/>
  <c r="O274" i="20"/>
  <c r="O271" i="20"/>
  <c r="O272" i="20"/>
  <c r="S28" i="20"/>
  <c r="S46" i="20" s="1"/>
  <c r="T94" i="12" s="1"/>
  <c r="P37" i="20"/>
  <c r="P36" i="20"/>
  <c r="S30" i="20"/>
  <c r="S48" i="20" s="1"/>
  <c r="L279" i="20"/>
  <c r="L283" i="20" s="1"/>
  <c r="L280" i="20"/>
  <c r="Q256" i="20"/>
  <c r="Q34" i="20"/>
  <c r="P226" i="14"/>
  <c r="T123" i="12"/>
  <c r="S158" i="19"/>
  <c r="S160" i="19"/>
  <c r="T19" i="20"/>
  <c r="S27" i="20"/>
  <c r="T69" i="15" l="1"/>
  <c r="T71" i="15" s="1"/>
  <c r="T33" i="58" s="1"/>
  <c r="S213" i="28"/>
  <c r="T61" i="55"/>
  <c r="N260" i="20"/>
  <c r="X321" i="42"/>
  <c r="X322" i="42" s="1"/>
  <c r="N261" i="20"/>
  <c r="CA38" i="55" s="1"/>
  <c r="N263" i="20"/>
  <c r="CA40" i="55" s="1"/>
  <c r="N262" i="20"/>
  <c r="CA39" i="55" s="1"/>
  <c r="AB246" i="38"/>
  <c r="AE49" i="29"/>
  <c r="X178" i="29"/>
  <c r="Z141" i="15"/>
  <c r="Z142" i="15" s="1"/>
  <c r="AD164" i="42"/>
  <c r="AD168" i="42" s="1"/>
  <c r="AD165" i="42"/>
  <c r="AD162" i="42"/>
  <c r="AD166" i="42" s="1"/>
  <c r="AD163" i="42"/>
  <c r="AD167" i="42" s="1"/>
  <c r="Z283" i="42"/>
  <c r="Z284" i="42" s="1"/>
  <c r="AA250" i="42"/>
  <c r="AA298" i="42"/>
  <c r="AA296" i="42"/>
  <c r="AA299" i="42"/>
  <c r="AA297" i="42"/>
  <c r="Y178" i="28"/>
  <c r="Y182" i="28"/>
  <c r="Z65" i="55" s="1"/>
  <c r="Y180" i="28"/>
  <c r="Z63" i="55" s="1"/>
  <c r="Y177" i="28"/>
  <c r="Y181" i="28"/>
  <c r="Z64" i="55" s="1"/>
  <c r="Y179" i="28"/>
  <c r="Z62" i="55" s="1"/>
  <c r="AD200" i="42"/>
  <c r="AD204" i="42" s="1"/>
  <c r="AD203" i="42"/>
  <c r="AD202" i="42"/>
  <c r="AD206" i="42" s="1"/>
  <c r="AD201" i="42"/>
  <c r="AD205" i="42" s="1"/>
  <c r="AB293" i="38"/>
  <c r="AB294" i="38" s="1"/>
  <c r="AB316" i="38"/>
  <c r="U197" i="28"/>
  <c r="U204" i="28" s="1"/>
  <c r="AB37" i="19"/>
  <c r="AB36" i="19"/>
  <c r="DT80" i="55"/>
  <c r="BH80" i="55"/>
  <c r="AD19" i="28"/>
  <c r="AD118" i="28" s="1"/>
  <c r="AD27" i="28"/>
  <c r="AA294" i="42"/>
  <c r="AC149" i="48"/>
  <c r="AC154" i="48" s="1"/>
  <c r="AC150" i="48"/>
  <c r="AC155" i="48" s="1"/>
  <c r="AC152" i="48"/>
  <c r="AC151" i="48"/>
  <c r="AC156" i="48" s="1"/>
  <c r="AC148" i="48"/>
  <c r="AC153" i="48" s="1"/>
  <c r="AD157" i="48"/>
  <c r="AD161" i="46"/>
  <c r="AD166" i="46" s="1"/>
  <c r="AD160" i="46"/>
  <c r="AD165" i="46" s="1"/>
  <c r="AD162" i="46"/>
  <c r="AE98" i="45" s="1"/>
  <c r="BK98" i="45" s="1"/>
  <c r="AD159" i="46"/>
  <c r="AD164" i="46" s="1"/>
  <c r="AD158" i="46"/>
  <c r="AD163" i="46" s="1"/>
  <c r="AC197" i="53"/>
  <c r="AC34" i="53"/>
  <c r="AC172" i="48"/>
  <c r="AC169" i="48"/>
  <c r="AC174" i="48" s="1"/>
  <c r="AC168" i="48"/>
  <c r="AC173" i="48" s="1"/>
  <c r="AC170" i="48"/>
  <c r="AC175" i="48" s="1"/>
  <c r="AC171" i="48"/>
  <c r="AC176" i="48" s="1"/>
  <c r="X304" i="42"/>
  <c r="X308" i="42" s="1"/>
  <c r="X305" i="42"/>
  <c r="Z160" i="29"/>
  <c r="Z172" i="29" s="1"/>
  <c r="Z161" i="29"/>
  <c r="AA211" i="28"/>
  <c r="AA210" i="28"/>
  <c r="AA159" i="28"/>
  <c r="AF17" i="38"/>
  <c r="AF30" i="38" s="1"/>
  <c r="AF45" i="38" s="1"/>
  <c r="AF18" i="38"/>
  <c r="AF31" i="38" s="1"/>
  <c r="AF46" i="38" s="1"/>
  <c r="AF237" i="38" s="1"/>
  <c r="AF14" i="38"/>
  <c r="AF16" i="38"/>
  <c r="AF29" i="38" s="1"/>
  <c r="AF44" i="38" s="1"/>
  <c r="AF222" i="38" s="1"/>
  <c r="AF15" i="38"/>
  <c r="AF28" i="38" s="1"/>
  <c r="AF43" i="38" s="1"/>
  <c r="AG5" i="38"/>
  <c r="Z300" i="38"/>
  <c r="Z301" i="38"/>
  <c r="AC232" i="48"/>
  <c r="AC237" i="48" s="1"/>
  <c r="AC234" i="48"/>
  <c r="AC233" i="48"/>
  <c r="AC238" i="48" s="1"/>
  <c r="AC230" i="48"/>
  <c r="AC235" i="48" s="1"/>
  <c r="AC231" i="48"/>
  <c r="AC236" i="48" s="1"/>
  <c r="AF16" i="20"/>
  <c r="AF18" i="20"/>
  <c r="AF17" i="20"/>
  <c r="AF14" i="20"/>
  <c r="AF15" i="20"/>
  <c r="AG5" i="20"/>
  <c r="X153" i="28"/>
  <c r="X156" i="28"/>
  <c r="CK63" i="55" s="1"/>
  <c r="X154" i="28"/>
  <c r="CK61" i="55" s="1"/>
  <c r="X157" i="28"/>
  <c r="CK64" i="55" s="1"/>
  <c r="X155" i="28"/>
  <c r="CK62" i="55" s="1"/>
  <c r="X158" i="28"/>
  <c r="CK65" i="55" s="1"/>
  <c r="AB99" i="42"/>
  <c r="AB103" i="42" s="1"/>
  <c r="AB98" i="42"/>
  <c r="AB102" i="42" s="1"/>
  <c r="AB100" i="42"/>
  <c r="AB97" i="42"/>
  <c r="AB101" i="42" s="1"/>
  <c r="AD61" i="15"/>
  <c r="AC88" i="29"/>
  <c r="AE19" i="19"/>
  <c r="AE27" i="19"/>
  <c r="AD157" i="42"/>
  <c r="AD154" i="42"/>
  <c r="AD158" i="42" s="1"/>
  <c r="AD156" i="42"/>
  <c r="AD160" i="42" s="1"/>
  <c r="AD155" i="42"/>
  <c r="AD159" i="42" s="1"/>
  <c r="Y287" i="42"/>
  <c r="Y289" i="42"/>
  <c r="Y286" i="42"/>
  <c r="Y288" i="42"/>
  <c r="Y285" i="42"/>
  <c r="Y290" i="42"/>
  <c r="AC32" i="28"/>
  <c r="AC45" i="28"/>
  <c r="AE209" i="46"/>
  <c r="AE219" i="46"/>
  <c r="AE229" i="46"/>
  <c r="AE55" i="15"/>
  <c r="AD85" i="29"/>
  <c r="AE55" i="16" s="1"/>
  <c r="AB216" i="28"/>
  <c r="AB57" i="29"/>
  <c r="AB63" i="29"/>
  <c r="AC56" i="16" s="1"/>
  <c r="AB55" i="29"/>
  <c r="AB52" i="29" s="1"/>
  <c r="AB92" i="29" s="1"/>
  <c r="AB60" i="29"/>
  <c r="AB59" i="29"/>
  <c r="AC44" i="16" s="1"/>
  <c r="AC62" i="15"/>
  <c r="AC65" i="15" s="1"/>
  <c r="AC139" i="15" s="1"/>
  <c r="AB54" i="29"/>
  <c r="AC56" i="15"/>
  <c r="AB56" i="29"/>
  <c r="AC44" i="15"/>
  <c r="AB62" i="29"/>
  <c r="AC62" i="16" s="1"/>
  <c r="AC65" i="16" s="1"/>
  <c r="AC139" i="16" s="1"/>
  <c r="AB53" i="29"/>
  <c r="AB61" i="29"/>
  <c r="AB50" i="28"/>
  <c r="AB117" i="28" s="1"/>
  <c r="AF15" i="42"/>
  <c r="AF28" i="42" s="1"/>
  <c r="AF43" i="42" s="1"/>
  <c r="AF16" i="42"/>
  <c r="AF29" i="42" s="1"/>
  <c r="AF44" i="42" s="1"/>
  <c r="AF222" i="42" s="1"/>
  <c r="AG5" i="42"/>
  <c r="AF14" i="42"/>
  <c r="AF18" i="42"/>
  <c r="AF31" i="42" s="1"/>
  <c r="AF46" i="42" s="1"/>
  <c r="AF237" i="42" s="1"/>
  <c r="AF17" i="42"/>
  <c r="AF30" i="42" s="1"/>
  <c r="AF45" i="42" s="1"/>
  <c r="AD167" i="48"/>
  <c r="AD171" i="46"/>
  <c r="AD176" i="46" s="1"/>
  <c r="AD169" i="46"/>
  <c r="AD174" i="46" s="1"/>
  <c r="AD170" i="46"/>
  <c r="AD175" i="46" s="1"/>
  <c r="AD168" i="46"/>
  <c r="AD173" i="46" s="1"/>
  <c r="AD172" i="46"/>
  <c r="AE77" i="45" s="1"/>
  <c r="BK77" i="45" s="1"/>
  <c r="AB59" i="15"/>
  <c r="AB135" i="15" s="1"/>
  <c r="AB66" i="15"/>
  <c r="AG5" i="48"/>
  <c r="AF14" i="48"/>
  <c r="AF16" i="48"/>
  <c r="AF29" i="48" s="1"/>
  <c r="AF44" i="48" s="1"/>
  <c r="AF17" i="48"/>
  <c r="AF30" i="48" s="1"/>
  <c r="AF45" i="48" s="1"/>
  <c r="AF15" i="48"/>
  <c r="AF28" i="48" s="1"/>
  <c r="AF43" i="48" s="1"/>
  <c r="AF18" i="48"/>
  <c r="AF31" i="48" s="1"/>
  <c r="AD83" i="29"/>
  <c r="AD82" i="29" s="1"/>
  <c r="AA68" i="15"/>
  <c r="AA77" i="15" s="1"/>
  <c r="AA133" i="15" a="1"/>
  <c r="AA134" i="15"/>
  <c r="AA140" i="15" s="1"/>
  <c r="AD19" i="53"/>
  <c r="AD27" i="53"/>
  <c r="AD32" i="53" s="1"/>
  <c r="AC161" i="48"/>
  <c r="AC166" i="48" s="1"/>
  <c r="AC162" i="48"/>
  <c r="AC158" i="48"/>
  <c r="AC163" i="48" s="1"/>
  <c r="AC160" i="48"/>
  <c r="AC165" i="48" s="1"/>
  <c r="AC159" i="48"/>
  <c r="AC164" i="48" s="1"/>
  <c r="X177" i="29"/>
  <c r="BB126" i="36"/>
  <c r="BB39" i="58" s="1"/>
  <c r="U346" i="42"/>
  <c r="BB127" i="36" s="1"/>
  <c r="AB316" i="42"/>
  <c r="AB317" i="42" s="1"/>
  <c r="AB293" i="42"/>
  <c r="AB294" i="42" s="1"/>
  <c r="Z309" i="38"/>
  <c r="Z314" i="38"/>
  <c r="AA88" i="55" s="1"/>
  <c r="Z313" i="38"/>
  <c r="AA87" i="55" s="1"/>
  <c r="Z312" i="38"/>
  <c r="AA86" i="55" s="1"/>
  <c r="Z311" i="38"/>
  <c r="AA85" i="55" s="1"/>
  <c r="Z310" i="38"/>
  <c r="AB34" i="28"/>
  <c r="AB149" i="28"/>
  <c r="AA184" i="28"/>
  <c r="AA185" i="28" s="1"/>
  <c r="AA161" i="28"/>
  <c r="S69" i="15"/>
  <c r="S71" i="15" s="1"/>
  <c r="S33" i="58" s="1"/>
  <c r="S58" i="55"/>
  <c r="R208" i="28"/>
  <c r="S61" i="55"/>
  <c r="R213" i="28"/>
  <c r="W190" i="29"/>
  <c r="BD61" i="55" s="1"/>
  <c r="AD42" i="38"/>
  <c r="AD32" i="38"/>
  <c r="AD19" i="54"/>
  <c r="AD27" i="54"/>
  <c r="AD32" i="54" s="1"/>
  <c r="AD146" i="42"/>
  <c r="AD150" i="42" s="1"/>
  <c r="AD147" i="42"/>
  <c r="AD151" i="42" s="1"/>
  <c r="AD148" i="42"/>
  <c r="AD152" i="42" s="1"/>
  <c r="AD149" i="42"/>
  <c r="AA233" i="19"/>
  <c r="AA234" i="19"/>
  <c r="AD156" i="38"/>
  <c r="AD160" i="38" s="1"/>
  <c r="AD157" i="38"/>
  <c r="AE79" i="36" s="1"/>
  <c r="BK79" i="36" s="1"/>
  <c r="AD154" i="38"/>
  <c r="AD158" i="38" s="1"/>
  <c r="AD155" i="38"/>
  <c r="AD159" i="38" s="1"/>
  <c r="AF5" i="28"/>
  <c r="AE18" i="28"/>
  <c r="AE31" i="28" s="1"/>
  <c r="AE16" i="28"/>
  <c r="AE29" i="28" s="1"/>
  <c r="AE47" i="28" s="1"/>
  <c r="AE83" i="29" s="1"/>
  <c r="AE82" i="29" s="1"/>
  <c r="AE14" i="28"/>
  <c r="AE17" i="28"/>
  <c r="AE30" i="28" s="1"/>
  <c r="AE15" i="28"/>
  <c r="AE28" i="28" s="1"/>
  <c r="AE46" i="28" s="1"/>
  <c r="AD86" i="45"/>
  <c r="AD87" i="45"/>
  <c r="AD85" i="45"/>
  <c r="BJ85" i="45"/>
  <c r="BJ87" i="45"/>
  <c r="BJ86" i="45"/>
  <c r="AE19" i="42"/>
  <c r="AE247" i="42" s="1"/>
  <c r="AE27" i="42"/>
  <c r="Y165" i="28"/>
  <c r="Y164" i="28"/>
  <c r="Y167" i="28"/>
  <c r="Y166" i="28"/>
  <c r="AC212" i="48"/>
  <c r="AC217" i="48" s="1"/>
  <c r="AC210" i="48"/>
  <c r="AC215" i="48" s="1"/>
  <c r="AC211" i="48"/>
  <c r="AC216" i="48" s="1"/>
  <c r="AC214" i="48"/>
  <c r="AC213" i="48"/>
  <c r="AC218" i="48" s="1"/>
  <c r="Z141" i="16"/>
  <c r="Z142" i="16" s="1"/>
  <c r="AA117" i="28"/>
  <c r="AE239" i="38"/>
  <c r="AE243" i="38" s="1"/>
  <c r="AE240" i="38"/>
  <c r="AE244" i="38" s="1"/>
  <c r="AE238" i="38"/>
  <c r="AE242" i="38" s="1"/>
  <c r="X324" i="42"/>
  <c r="AD211" i="42"/>
  <c r="AD210" i="42"/>
  <c r="AD214" i="42" s="1"/>
  <c r="AD209" i="42"/>
  <c r="AD213" i="42" s="1"/>
  <c r="AD208" i="42"/>
  <c r="AD212" i="42" s="1"/>
  <c r="AB65" i="16"/>
  <c r="AB139" i="16" s="1"/>
  <c r="Y156" i="29"/>
  <c r="Y157" i="29"/>
  <c r="CL57" i="55"/>
  <c r="Y152" i="28"/>
  <c r="X328" i="42"/>
  <c r="X329" i="42" s="1"/>
  <c r="X338" i="42" s="1"/>
  <c r="Y318" i="42"/>
  <c r="Y319" i="42" s="1"/>
  <c r="Y320" i="42"/>
  <c r="Y323" i="42" s="1"/>
  <c r="W186" i="28"/>
  <c r="W187" i="28" s="1"/>
  <c r="W188" i="28"/>
  <c r="W191" i="28" s="1"/>
  <c r="AC249" i="38"/>
  <c r="AC47" i="38"/>
  <c r="AC291" i="38" s="1"/>
  <c r="AC80" i="38"/>
  <c r="AC96" i="38"/>
  <c r="AC104" i="38"/>
  <c r="AC72" i="38"/>
  <c r="AC73" i="38" s="1"/>
  <c r="V336" i="42"/>
  <c r="AA134" i="16"/>
  <c r="AA140" i="16" s="1"/>
  <c r="AA68" i="16"/>
  <c r="AA133" i="16" a="1"/>
  <c r="AA141" i="16" s="1"/>
  <c r="AA142" i="16" s="1"/>
  <c r="AA77" i="16"/>
  <c r="AG5" i="19"/>
  <c r="AF18" i="19"/>
  <c r="AF31" i="19" s="1"/>
  <c r="AF49" i="19" s="1"/>
  <c r="AF16" i="19"/>
  <c r="AF29" i="19" s="1"/>
  <c r="AF47" i="19" s="1"/>
  <c r="AF14" i="19"/>
  <c r="AF15" i="19"/>
  <c r="AF28" i="19" s="1"/>
  <c r="AF46" i="19" s="1"/>
  <c r="AF17" i="19"/>
  <c r="AF30" i="19" s="1"/>
  <c r="AF48" i="19" s="1"/>
  <c r="AD141" i="42"/>
  <c r="AD140" i="42"/>
  <c r="AD144" i="42" s="1"/>
  <c r="AD138" i="42"/>
  <c r="AD142" i="42" s="1"/>
  <c r="AD139" i="42"/>
  <c r="AD143" i="42" s="1"/>
  <c r="Z170" i="29"/>
  <c r="Z171" i="29" s="1"/>
  <c r="Z147" i="29"/>
  <c r="AD147" i="38"/>
  <c r="AD151" i="38" s="1"/>
  <c r="AD148" i="38"/>
  <c r="AD152" i="38" s="1"/>
  <c r="AD149" i="38"/>
  <c r="AE100" i="36" s="1"/>
  <c r="BK100" i="36" s="1"/>
  <c r="AD146" i="38"/>
  <c r="AD150" i="38" s="1"/>
  <c r="AC197" i="54"/>
  <c r="AC34" i="54"/>
  <c r="AE147" i="46"/>
  <c r="AE157" i="46"/>
  <c r="AE167" i="46"/>
  <c r="AE177" i="46"/>
  <c r="AB232" i="19"/>
  <c r="AB231" i="19"/>
  <c r="AB229" i="19"/>
  <c r="AB230" i="19"/>
  <c r="AE19" i="29"/>
  <c r="AE27" i="29"/>
  <c r="AE241" i="42"/>
  <c r="AE240" i="42"/>
  <c r="AE244" i="42" s="1"/>
  <c r="AE239" i="42"/>
  <c r="AE243" i="42" s="1"/>
  <c r="AE238" i="42"/>
  <c r="AE242" i="42" s="1"/>
  <c r="AE19" i="38"/>
  <c r="AE247" i="38" s="1"/>
  <c r="AE27" i="38"/>
  <c r="AE19" i="48"/>
  <c r="AE275" i="48" s="1"/>
  <c r="AE27" i="48"/>
  <c r="AE32" i="48" s="1"/>
  <c r="AD193" i="42"/>
  <c r="AD197" i="42" s="1"/>
  <c r="AD194" i="42"/>
  <c r="AD198" i="42" s="1"/>
  <c r="AD195" i="42"/>
  <c r="AD192" i="42"/>
  <c r="AD196" i="42" s="1"/>
  <c r="U69" i="15"/>
  <c r="U71" i="15" s="1"/>
  <c r="U33" i="58" s="1"/>
  <c r="U58" i="55"/>
  <c r="U61" i="55"/>
  <c r="T208" i="28"/>
  <c r="T213" i="28"/>
  <c r="DR57" i="55"/>
  <c r="BF57" i="55"/>
  <c r="Y148" i="29"/>
  <c r="AC34" i="42"/>
  <c r="AC281" i="42"/>
  <c r="AA217" i="28"/>
  <c r="Z151" i="28"/>
  <c r="AA151" i="29"/>
  <c r="AA153" i="29"/>
  <c r="AA152" i="29"/>
  <c r="AA150" i="29"/>
  <c r="AB246" i="42"/>
  <c r="Y303" i="38"/>
  <c r="Y302" i="38"/>
  <c r="AA239" i="19"/>
  <c r="AA251" i="19" s="1"/>
  <c r="AA240" i="19"/>
  <c r="AE199" i="42"/>
  <c r="AE191" i="42"/>
  <c r="AE207" i="42"/>
  <c r="AC281" i="38"/>
  <c r="AC34" i="38"/>
  <c r="AD222" i="46"/>
  <c r="AD227" i="46" s="1"/>
  <c r="AD221" i="46"/>
  <c r="AD226" i="46" s="1"/>
  <c r="AD219" i="48"/>
  <c r="AD224" i="46"/>
  <c r="AE99" i="45" s="1"/>
  <c r="BK99" i="45" s="1"/>
  <c r="AD220" i="46"/>
  <c r="AD225" i="46" s="1"/>
  <c r="AD223" i="46"/>
  <c r="AD228" i="46" s="1"/>
  <c r="X169" i="28"/>
  <c r="X168" i="28"/>
  <c r="AD162" i="38"/>
  <c r="AD166" i="38" s="1"/>
  <c r="AD163" i="38"/>
  <c r="AD167" i="38" s="1"/>
  <c r="AD164" i="38"/>
  <c r="AD168" i="38" s="1"/>
  <c r="AD165" i="38"/>
  <c r="AE109" i="36" s="1"/>
  <c r="BK109" i="36" s="1"/>
  <c r="AE19" i="46"/>
  <c r="AE275" i="46" s="1"/>
  <c r="AE27" i="46"/>
  <c r="AE32" i="46" s="1"/>
  <c r="T72" i="15"/>
  <c r="T34" i="58" s="1"/>
  <c r="S214" i="28"/>
  <c r="T73" i="15" s="1"/>
  <c r="X158" i="29"/>
  <c r="X162" i="29" s="1"/>
  <c r="X159" i="29"/>
  <c r="AE223" i="42"/>
  <c r="AE227" i="42" s="1"/>
  <c r="AE224" i="42"/>
  <c r="AE228" i="42" s="1"/>
  <c r="AE225" i="42"/>
  <c r="AE229" i="42" s="1"/>
  <c r="AE226" i="42"/>
  <c r="Y303" i="42"/>
  <c r="Y302" i="42"/>
  <c r="AD32" i="19"/>
  <c r="AD45" i="19"/>
  <c r="AD50" i="19" s="1"/>
  <c r="AD32" i="29"/>
  <c r="AD45" i="29"/>
  <c r="Z154" i="29"/>
  <c r="Z155" i="29"/>
  <c r="AB67" i="15"/>
  <c r="AB46" i="15"/>
  <c r="AE191" i="38"/>
  <c r="AE207" i="38"/>
  <c r="AE199" i="38"/>
  <c r="AF5" i="53"/>
  <c r="AE16" i="53"/>
  <c r="AE29" i="53" s="1"/>
  <c r="AE44" i="53" s="1"/>
  <c r="AE150" i="53" s="1"/>
  <c r="AE151" i="53" s="1"/>
  <c r="AF60" i="51" s="1"/>
  <c r="BL60" i="51" s="1"/>
  <c r="AE14" i="53"/>
  <c r="AE17" i="53"/>
  <c r="AE30" i="53" s="1"/>
  <c r="AE15" i="53"/>
  <c r="AE28" i="53" s="1"/>
  <c r="AE18" i="53"/>
  <c r="AE31" i="53" s="1"/>
  <c r="Y174" i="29"/>
  <c r="Y175" i="29" s="1"/>
  <c r="Y176" i="29" s="1"/>
  <c r="Z236" i="19"/>
  <c r="Z235" i="19"/>
  <c r="AC249" i="42"/>
  <c r="AC72" i="42"/>
  <c r="AC96" i="42"/>
  <c r="AC80" i="42"/>
  <c r="AC47" i="42"/>
  <c r="AC291" i="42" s="1"/>
  <c r="AC104" i="42"/>
  <c r="AD250" i="48"/>
  <c r="AD255" i="48" s="1"/>
  <c r="AD247" i="48"/>
  <c r="AD252" i="48" s="1"/>
  <c r="AD248" i="48"/>
  <c r="AD253" i="48" s="1"/>
  <c r="AD251" i="48"/>
  <c r="AD249" i="48"/>
  <c r="AD254" i="48" s="1"/>
  <c r="X141" i="29"/>
  <c r="X143" i="29"/>
  <c r="X140" i="29"/>
  <c r="X142" i="29"/>
  <c r="X144" i="29"/>
  <c r="X139" i="29"/>
  <c r="X166" i="29"/>
  <c r="BE63" i="55" s="1"/>
  <c r="X168" i="29"/>
  <c r="BE65" i="55" s="1"/>
  <c r="X163" i="29"/>
  <c r="X165" i="29"/>
  <c r="BE62" i="55" s="1"/>
  <c r="X167" i="29"/>
  <c r="BE64" i="55" s="1"/>
  <c r="X164" i="29"/>
  <c r="AB106" i="42"/>
  <c r="AB110" i="42" s="1"/>
  <c r="AB108" i="42"/>
  <c r="AB107" i="42"/>
  <c r="AB111" i="42" s="1"/>
  <c r="AB105" i="42"/>
  <c r="AB109" i="42" s="1"/>
  <c r="AD211" i="38"/>
  <c r="AD208" i="38"/>
  <c r="AD212" i="38" s="1"/>
  <c r="AD209" i="38"/>
  <c r="AD213" i="38" s="1"/>
  <c r="AD210" i="38"/>
  <c r="AD214" i="38" s="1"/>
  <c r="AA196" i="29"/>
  <c r="AA197" i="29"/>
  <c r="AD229" i="48"/>
  <c r="AD232" i="46"/>
  <c r="AD237" i="46" s="1"/>
  <c r="AD233" i="46"/>
  <c r="AD238" i="46" s="1"/>
  <c r="AD230" i="46"/>
  <c r="AD235" i="46" s="1"/>
  <c r="AD231" i="46"/>
  <c r="AD236" i="46" s="1"/>
  <c r="AD234" i="46"/>
  <c r="AE108" i="45" s="1"/>
  <c r="BK108" i="45" s="1"/>
  <c r="AA294" i="38"/>
  <c r="AB149" i="29"/>
  <c r="AB146" i="29"/>
  <c r="AD140" i="38"/>
  <c r="AD139" i="38"/>
  <c r="AD138" i="38"/>
  <c r="X304" i="38"/>
  <c r="X308" i="38" s="1"/>
  <c r="X305" i="38"/>
  <c r="AE246" i="48"/>
  <c r="AE250" i="46"/>
  <c r="AE255" i="46" s="1"/>
  <c r="AE251" i="46"/>
  <c r="AF96" i="45" s="1"/>
  <c r="AE248" i="46"/>
  <c r="AE253" i="46" s="1"/>
  <c r="AE247" i="46"/>
  <c r="AE252" i="46" s="1"/>
  <c r="AE249" i="46"/>
  <c r="AE254" i="46" s="1"/>
  <c r="AE64" i="15"/>
  <c r="AE48" i="15"/>
  <c r="AE49" i="15" s="1"/>
  <c r="AE136" i="15" s="1"/>
  <c r="AE58" i="15"/>
  <c r="AE45" i="15"/>
  <c r="AD69" i="29"/>
  <c r="AD67" i="29"/>
  <c r="AD76" i="29"/>
  <c r="AE58" i="16" s="1"/>
  <c r="AD68" i="29"/>
  <c r="AD75" i="29"/>
  <c r="AD74" i="29"/>
  <c r="AE48" i="16" s="1"/>
  <c r="AE49" i="16" s="1"/>
  <c r="AE136" i="16" s="1"/>
  <c r="AD77" i="29"/>
  <c r="AE45" i="16" s="1"/>
  <c r="AD78" i="29"/>
  <c r="AE64" i="16" s="1"/>
  <c r="AD73" i="29"/>
  <c r="AD66" i="29"/>
  <c r="AD65" i="29" s="1"/>
  <c r="AD70" i="29"/>
  <c r="AD71" i="29"/>
  <c r="AC225" i="19"/>
  <c r="AC224" i="19"/>
  <c r="AC275" i="19"/>
  <c r="AC276" i="19"/>
  <c r="AC228" i="19"/>
  <c r="AF15" i="29"/>
  <c r="AF28" i="29" s="1"/>
  <c r="AF46" i="29" s="1"/>
  <c r="AF17" i="29"/>
  <c r="AF30" i="29" s="1"/>
  <c r="AF14" i="29"/>
  <c r="AF18" i="29"/>
  <c r="AF31" i="29" s="1"/>
  <c r="AF16" i="29"/>
  <c r="AF29" i="29" s="1"/>
  <c r="AF47" i="29" s="1"/>
  <c r="AG5" i="29"/>
  <c r="AE137" i="42"/>
  <c r="AE145" i="42"/>
  <c r="AE161" i="42"/>
  <c r="AE153" i="42"/>
  <c r="U192" i="29"/>
  <c r="DN58" i="55" s="1"/>
  <c r="V172" i="28"/>
  <c r="V176" i="28" s="1"/>
  <c r="V173" i="28"/>
  <c r="AA103" i="29"/>
  <c r="AA91" i="29"/>
  <c r="AE137" i="38"/>
  <c r="AE145" i="38"/>
  <c r="AE161" i="38"/>
  <c r="AE153" i="38"/>
  <c r="AC50" i="29"/>
  <c r="AC145" i="29" s="1"/>
  <c r="AC220" i="48"/>
  <c r="AC225" i="48" s="1"/>
  <c r="AC222" i="48"/>
  <c r="AC227" i="48" s="1"/>
  <c r="AC223" i="48"/>
  <c r="AC228" i="48" s="1"/>
  <c r="AC221" i="48"/>
  <c r="AC226" i="48" s="1"/>
  <c r="AC224" i="48"/>
  <c r="W329" i="42"/>
  <c r="W336" i="42" s="1"/>
  <c r="V183" i="29"/>
  <c r="V192" i="29" s="1"/>
  <c r="W70" i="16" s="1"/>
  <c r="Z104" i="29"/>
  <c r="Y137" i="29"/>
  <c r="Y138" i="29" s="1"/>
  <c r="Z300" i="42"/>
  <c r="Z301" i="42"/>
  <c r="AD309" i="46"/>
  <c r="AD34" i="46"/>
  <c r="AB82" i="42"/>
  <c r="AB86" i="42" s="1"/>
  <c r="AB83" i="42"/>
  <c r="AB87" i="42" s="1"/>
  <c r="AB84" i="42"/>
  <c r="AB81" i="42"/>
  <c r="AB85" i="42" s="1"/>
  <c r="AD203" i="38"/>
  <c r="AE101" i="36" s="1"/>
  <c r="BK101" i="36" s="1"/>
  <c r="AD200" i="38"/>
  <c r="AD204" i="38" s="1"/>
  <c r="AD201" i="38"/>
  <c r="AD205" i="38" s="1"/>
  <c r="AD202" i="38"/>
  <c r="AD206" i="38" s="1"/>
  <c r="AF5" i="54"/>
  <c r="AE16" i="54"/>
  <c r="AE29" i="54" s="1"/>
  <c r="AE44" i="54" s="1"/>
  <c r="AE150" i="54" s="1"/>
  <c r="AE151" i="54" s="1"/>
  <c r="AE18" i="54"/>
  <c r="AE31" i="54" s="1"/>
  <c r="AE15" i="54"/>
  <c r="AE28" i="54" s="1"/>
  <c r="AE17" i="54"/>
  <c r="AE30" i="54" s="1"/>
  <c r="AE14" i="54"/>
  <c r="AD151" i="46"/>
  <c r="AD156" i="46" s="1"/>
  <c r="AD149" i="46"/>
  <c r="AD154" i="46" s="1"/>
  <c r="AD152" i="46"/>
  <c r="AE83" i="45" s="1"/>
  <c r="AD148" i="46"/>
  <c r="AD153" i="46" s="1"/>
  <c r="AD147" i="48"/>
  <c r="AD150" i="46"/>
  <c r="AD155" i="46" s="1"/>
  <c r="AD42" i="42"/>
  <c r="AD32" i="42"/>
  <c r="AB295" i="42"/>
  <c r="AB292" i="42"/>
  <c r="AD209" i="48"/>
  <c r="AD214" i="46"/>
  <c r="AE89" i="45" s="1"/>
  <c r="AD211" i="46"/>
  <c r="AD216" i="46" s="1"/>
  <c r="AD212" i="46"/>
  <c r="AD217" i="46" s="1"/>
  <c r="AD213" i="46"/>
  <c r="AD218" i="46" s="1"/>
  <c r="AD210" i="46"/>
  <c r="AD215" i="46" s="1"/>
  <c r="AB37" i="29"/>
  <c r="AB36" i="29"/>
  <c r="AB292" i="38"/>
  <c r="AB295" i="38"/>
  <c r="X174" i="28"/>
  <c r="X175" i="28"/>
  <c r="AA297" i="38"/>
  <c r="AA299" i="38"/>
  <c r="AA298" i="38"/>
  <c r="AA296" i="38"/>
  <c r="AF17" i="46"/>
  <c r="AF30" i="46" s="1"/>
  <c r="AF45" i="46" s="1"/>
  <c r="AF18" i="46"/>
  <c r="AF31" i="46" s="1"/>
  <c r="AF15" i="46"/>
  <c r="AF28" i="46" s="1"/>
  <c r="AF43" i="46" s="1"/>
  <c r="AF14" i="46"/>
  <c r="AF16" i="46"/>
  <c r="AF29" i="46" s="1"/>
  <c r="AF44" i="46" s="1"/>
  <c r="AF246" i="46" s="1"/>
  <c r="AG5" i="46"/>
  <c r="AD49" i="28"/>
  <c r="AC34" i="19"/>
  <c r="AC214" i="19"/>
  <c r="V189" i="28"/>
  <c r="V190" i="28" s="1"/>
  <c r="V192" i="28" s="1"/>
  <c r="V191" i="28"/>
  <c r="AD181" i="46"/>
  <c r="AD186" i="46" s="1"/>
  <c r="AD182" i="46"/>
  <c r="AE107" i="45" s="1"/>
  <c r="BK107" i="45" s="1"/>
  <c r="AD178" i="46"/>
  <c r="AD183" i="46" s="1"/>
  <c r="AD179" i="46"/>
  <c r="AD184" i="46" s="1"/>
  <c r="AD177" i="48"/>
  <c r="AD180" i="46"/>
  <c r="AD185" i="46" s="1"/>
  <c r="V69" i="16"/>
  <c r="AA37" i="28"/>
  <c r="AA36" i="28"/>
  <c r="AD34" i="48"/>
  <c r="AD309" i="48"/>
  <c r="Z163" i="28"/>
  <c r="Z160" i="28"/>
  <c r="Z162" i="28"/>
  <c r="AA92" i="29"/>
  <c r="AB67" i="16"/>
  <c r="AB46" i="16"/>
  <c r="AE224" i="38"/>
  <c r="AE228" i="38" s="1"/>
  <c r="AE225" i="38"/>
  <c r="AE229" i="38" s="1"/>
  <c r="AE223" i="38"/>
  <c r="AE227" i="38" s="1"/>
  <c r="AC178" i="48"/>
  <c r="AC183" i="48" s="1"/>
  <c r="AC179" i="48"/>
  <c r="AC184" i="48" s="1"/>
  <c r="AC181" i="48"/>
  <c r="AC186" i="48" s="1"/>
  <c r="AC180" i="48"/>
  <c r="AC185" i="48" s="1"/>
  <c r="AC182" i="48"/>
  <c r="AC135" i="29"/>
  <c r="AC34" i="29"/>
  <c r="Y237" i="19"/>
  <c r="Y241" i="19" s="1"/>
  <c r="Y238" i="19"/>
  <c r="Z307" i="38"/>
  <c r="Z306" i="38"/>
  <c r="Z318" i="38" s="1"/>
  <c r="AA57" i="55"/>
  <c r="Z306" i="42"/>
  <c r="Z307" i="42"/>
  <c r="Y173" i="29"/>
  <c r="W170" i="28"/>
  <c r="W171" i="28"/>
  <c r="AB73" i="42"/>
  <c r="AB77" i="42" s="1"/>
  <c r="AB76" i="42"/>
  <c r="AB75" i="42"/>
  <c r="AB79" i="42" s="1"/>
  <c r="AB74" i="42"/>
  <c r="AB78" i="42" s="1"/>
  <c r="AD192" i="38"/>
  <c r="AD196" i="38" s="1"/>
  <c r="AD194" i="38"/>
  <c r="AD198" i="38" s="1"/>
  <c r="AD193" i="38"/>
  <c r="AD197" i="38" s="1"/>
  <c r="O259" i="20"/>
  <c r="O260" i="20" s="1"/>
  <c r="CB34" i="55"/>
  <c r="O183" i="19"/>
  <c r="N216" i="19"/>
  <c r="P75" i="19"/>
  <c r="P97" i="14"/>
  <c r="Q109" i="14"/>
  <c r="Q110" i="14"/>
  <c r="Q108" i="14" s="1"/>
  <c r="Q91" i="19"/>
  <c r="R136" i="14" s="1"/>
  <c r="R136" i="12"/>
  <c r="Q109" i="12"/>
  <c r="Q73" i="19"/>
  <c r="R114" i="14" s="1"/>
  <c r="R114" i="12"/>
  <c r="Q99" i="12"/>
  <c r="Q114" i="19"/>
  <c r="R95" i="14"/>
  <c r="Q111" i="19"/>
  <c r="R106" i="19"/>
  <c r="S103" i="14" s="1"/>
  <c r="S103" i="12"/>
  <c r="Q126" i="19"/>
  <c r="R105" i="12"/>
  <c r="R228" i="12" s="1"/>
  <c r="Q123" i="19"/>
  <c r="R124" i="19"/>
  <c r="S138" i="14" s="1"/>
  <c r="S138" i="12"/>
  <c r="Q113" i="19"/>
  <c r="S174" i="19"/>
  <c r="R98" i="19"/>
  <c r="P92" i="19"/>
  <c r="P94" i="19"/>
  <c r="S176" i="19"/>
  <c r="P88" i="19"/>
  <c r="P87" i="19"/>
  <c r="S163" i="19"/>
  <c r="S166" i="19"/>
  <c r="S164" i="19"/>
  <c r="S165" i="19"/>
  <c r="P89" i="19"/>
  <c r="P86" i="19"/>
  <c r="Q180" i="19"/>
  <c r="P76" i="19"/>
  <c r="P74" i="19"/>
  <c r="P93" i="19"/>
  <c r="Q108" i="19"/>
  <c r="R118" i="19"/>
  <c r="S94" i="14" s="1"/>
  <c r="Q110" i="12"/>
  <c r="Q108" i="12" s="1"/>
  <c r="Q109" i="19"/>
  <c r="P83" i="19"/>
  <c r="Q111" i="14" s="1"/>
  <c r="Q107" i="14" s="1"/>
  <c r="Q111" i="12"/>
  <c r="Q107" i="12" s="1"/>
  <c r="Q120" i="19"/>
  <c r="P90" i="19"/>
  <c r="Q119" i="19"/>
  <c r="Q129" i="19"/>
  <c r="P80" i="19"/>
  <c r="Q106" i="14" s="1"/>
  <c r="Q79" i="19"/>
  <c r="R104" i="14" s="1"/>
  <c r="R105" i="14" s="1"/>
  <c r="R228" i="14" s="1"/>
  <c r="P77" i="19"/>
  <c r="P69" i="19"/>
  <c r="Q99" i="14" s="1"/>
  <c r="P68" i="19"/>
  <c r="Q96" i="14" s="1"/>
  <c r="P70" i="19"/>
  <c r="Q100" i="14" s="1"/>
  <c r="Q98" i="14" s="1"/>
  <c r="P71" i="19"/>
  <c r="Q101" i="14" s="1"/>
  <c r="N293" i="20"/>
  <c r="T172" i="19"/>
  <c r="U135" i="14" s="1"/>
  <c r="R131" i="19"/>
  <c r="T215" i="20"/>
  <c r="T173" i="19" s="1"/>
  <c r="T217" i="20"/>
  <c r="T175" i="19" s="1"/>
  <c r="T219" i="20"/>
  <c r="T177" i="19" s="1"/>
  <c r="T216" i="20"/>
  <c r="T218" i="20"/>
  <c r="T203" i="20"/>
  <c r="T205" i="20"/>
  <c r="T202" i="20"/>
  <c r="T204" i="20"/>
  <c r="T206" i="20"/>
  <c r="T167" i="19" s="1"/>
  <c r="R131" i="20"/>
  <c r="R107" i="19" s="1"/>
  <c r="R132" i="20"/>
  <c r="R133" i="20"/>
  <c r="R134" i="20"/>
  <c r="R110" i="19" s="1"/>
  <c r="R135" i="20"/>
  <c r="R151" i="20"/>
  <c r="R127" i="19" s="1"/>
  <c r="R150" i="20"/>
  <c r="R149" i="20"/>
  <c r="R125" i="19" s="1"/>
  <c r="R153" i="20"/>
  <c r="R152" i="20"/>
  <c r="R128" i="19" s="1"/>
  <c r="S148" i="20"/>
  <c r="S136" i="20"/>
  <c r="S112" i="19" s="1"/>
  <c r="T126" i="14" s="1"/>
  <c r="S142" i="20"/>
  <c r="S130" i="20"/>
  <c r="R137" i="20"/>
  <c r="R140" i="20"/>
  <c r="R116" i="19" s="1"/>
  <c r="R141" i="20"/>
  <c r="R117" i="19" s="1"/>
  <c r="R138" i="20"/>
  <c r="R139" i="20"/>
  <c r="R115" i="19" s="1"/>
  <c r="R144" i="20"/>
  <c r="R145" i="20"/>
  <c r="R121" i="19" s="1"/>
  <c r="R146" i="20"/>
  <c r="R122" i="19" s="1"/>
  <c r="R143" i="20"/>
  <c r="R147" i="20"/>
  <c r="Q96" i="20"/>
  <c r="Q94" i="20"/>
  <c r="Q97" i="20"/>
  <c r="Q98" i="20"/>
  <c r="Q95" i="20"/>
  <c r="Q83" i="20"/>
  <c r="Q82" i="20"/>
  <c r="Q84" i="20"/>
  <c r="Q85" i="20"/>
  <c r="Q86" i="20"/>
  <c r="Q78" i="19" s="1"/>
  <c r="Q102" i="20"/>
  <c r="Q101" i="20"/>
  <c r="Q104" i="20"/>
  <c r="Q96" i="19" s="1"/>
  <c r="Q103" i="20"/>
  <c r="Q95" i="19" s="1"/>
  <c r="Q100" i="20"/>
  <c r="R75" i="20"/>
  <c r="R67" i="19" s="1"/>
  <c r="S93" i="14" s="1"/>
  <c r="R99" i="20"/>
  <c r="R87" i="20"/>
  <c r="S104" i="12" s="1"/>
  <c r="R93" i="20"/>
  <c r="R85" i="19" s="1"/>
  <c r="S124" i="14" s="1"/>
  <c r="R81" i="20"/>
  <c r="Q89" i="20"/>
  <c r="Q81" i="19" s="1"/>
  <c r="Q92" i="20"/>
  <c r="Q84" i="19" s="1"/>
  <c r="Q88" i="20"/>
  <c r="R106" i="12" s="1"/>
  <c r="Q91" i="20"/>
  <c r="Q90" i="20"/>
  <c r="Q82" i="19" s="1"/>
  <c r="Q77" i="20"/>
  <c r="Q76" i="20"/>
  <c r="R96" i="12" s="1"/>
  <c r="Q79" i="20"/>
  <c r="R101" i="12" s="1"/>
  <c r="R97" i="12" s="1"/>
  <c r="Q78" i="20"/>
  <c r="R100" i="12" s="1"/>
  <c r="R98" i="12" s="1"/>
  <c r="Q80" i="20"/>
  <c r="Q72" i="19" s="1"/>
  <c r="T27" i="20"/>
  <c r="T222" i="20"/>
  <c r="R256" i="20"/>
  <c r="R34" i="20"/>
  <c r="T170" i="19"/>
  <c r="Q179" i="19"/>
  <c r="P273" i="20"/>
  <c r="P274" i="20"/>
  <c r="P272" i="20"/>
  <c r="P271" i="20"/>
  <c r="S157" i="19"/>
  <c r="S45" i="20"/>
  <c r="S32" i="20"/>
  <c r="CF4" i="55" s="1"/>
  <c r="DL4" i="55" s="1"/>
  <c r="R53" i="19"/>
  <c r="S124" i="12"/>
  <c r="R56" i="19"/>
  <c r="R54" i="19"/>
  <c r="R61" i="19"/>
  <c r="R58" i="19"/>
  <c r="R65" i="19"/>
  <c r="R57" i="19"/>
  <c r="R55" i="19"/>
  <c r="R52" i="19" s="1"/>
  <c r="R62" i="19"/>
  <c r="S93" i="12"/>
  <c r="R60" i="19"/>
  <c r="R50" i="20"/>
  <c r="R221" i="20" s="1"/>
  <c r="R63" i="19"/>
  <c r="R64" i="19"/>
  <c r="O265" i="20"/>
  <c r="CB42" i="55" s="1"/>
  <c r="O262" i="20"/>
  <c r="CB39" i="55" s="1"/>
  <c r="O263" i="20"/>
  <c r="CB40" i="55" s="1"/>
  <c r="S169" i="19"/>
  <c r="U29" i="20"/>
  <c r="U47" i="20" s="1"/>
  <c r="U201" i="20" s="1"/>
  <c r="U162" i="19" s="1"/>
  <c r="V123" i="14" s="1"/>
  <c r="R95" i="12"/>
  <c r="T28" i="20"/>
  <c r="T46" i="20" s="1"/>
  <c r="U94" i="12" s="1"/>
  <c r="O281" i="20"/>
  <c r="O282" i="20"/>
  <c r="N278" i="20"/>
  <c r="N277" i="20"/>
  <c r="P258" i="20"/>
  <c r="Q225" i="20"/>
  <c r="Q226" i="12"/>
  <c r="U123" i="12"/>
  <c r="T160" i="19"/>
  <c r="T158" i="19"/>
  <c r="T30" i="20"/>
  <c r="T48" i="20" s="1"/>
  <c r="Q37" i="20"/>
  <c r="Q36" i="20"/>
  <c r="S133" i="19"/>
  <c r="S132" i="19"/>
  <c r="T125" i="12"/>
  <c r="S136" i="19"/>
  <c r="S135" i="19"/>
  <c r="S134" i="19"/>
  <c r="S100" i="19"/>
  <c r="S103" i="19"/>
  <c r="S99" i="19"/>
  <c r="S102" i="19"/>
  <c r="S104" i="19"/>
  <c r="S101" i="19"/>
  <c r="T126" i="12"/>
  <c r="O276" i="20"/>
  <c r="O275" i="20"/>
  <c r="U31" i="20"/>
  <c r="U49" i="20" s="1"/>
  <c r="U214" i="20" s="1"/>
  <c r="V135" i="12" s="1"/>
  <c r="M279" i="20"/>
  <c r="M283" i="20" s="1"/>
  <c r="M280" i="20"/>
  <c r="Q266" i="20"/>
  <c r="Q267" i="20"/>
  <c r="Q270" i="20"/>
  <c r="Q317" i="20"/>
  <c r="Q318" i="20"/>
  <c r="Q226" i="14"/>
  <c r="AC80" i="55" l="1"/>
  <c r="AC246" i="42"/>
  <c r="AA141" i="15"/>
  <c r="AA142" i="15" s="1"/>
  <c r="O264" i="20"/>
  <c r="CB41" i="55" s="1"/>
  <c r="W338" i="42"/>
  <c r="BD81" i="55" s="1"/>
  <c r="Y177" i="29"/>
  <c r="O261" i="20"/>
  <c r="CB38" i="55" s="1"/>
  <c r="BB61" i="55"/>
  <c r="Y178" i="29"/>
  <c r="AB57" i="55"/>
  <c r="U199" i="29"/>
  <c r="Y321" i="42"/>
  <c r="Y322" i="42" s="1"/>
  <c r="V190" i="29"/>
  <c r="DO58" i="55" s="1"/>
  <c r="V69" i="15"/>
  <c r="W172" i="28"/>
  <c r="W176" i="28" s="1"/>
  <c r="W173" i="28"/>
  <c r="Z167" i="28"/>
  <c r="Z164" i="28"/>
  <c r="Z166" i="28"/>
  <c r="Z165" i="28"/>
  <c r="AB196" i="29"/>
  <c r="AB197" i="29"/>
  <c r="AB311" i="42"/>
  <c r="BI85" i="55" s="1"/>
  <c r="AB313" i="42"/>
  <c r="BI87" i="55" s="1"/>
  <c r="AB314" i="42"/>
  <c r="BI88" i="55" s="1"/>
  <c r="AB310" i="42"/>
  <c r="AB312" i="42"/>
  <c r="BI86" i="55" s="1"/>
  <c r="AB309" i="42"/>
  <c r="AF14" i="54"/>
  <c r="AG5" i="54"/>
  <c r="AF17" i="54"/>
  <c r="AF30" i="54" s="1"/>
  <c r="AF16" i="54"/>
  <c r="AF29" i="54" s="1"/>
  <c r="AF44" i="54" s="1"/>
  <c r="AF150" i="54" s="1"/>
  <c r="AF151" i="54" s="1"/>
  <c r="AF18" i="54"/>
  <c r="AF31" i="54" s="1"/>
  <c r="AF15" i="54"/>
  <c r="AF28" i="54" s="1"/>
  <c r="W69" i="16"/>
  <c r="W71" i="16" s="1"/>
  <c r="BC33" i="58" s="1"/>
  <c r="BC61" i="55"/>
  <c r="V199" i="29"/>
  <c r="AA170" i="29"/>
  <c r="AA171" i="29" s="1"/>
  <c r="AA147" i="29"/>
  <c r="AE141" i="42"/>
  <c r="AE139" i="42"/>
  <c r="AE143" i="42" s="1"/>
  <c r="AE138" i="42"/>
  <c r="AE142" i="42" s="1"/>
  <c r="AE140" i="42"/>
  <c r="AE144" i="42" s="1"/>
  <c r="AD233" i="48"/>
  <c r="AD238" i="48" s="1"/>
  <c r="AD234" i="48"/>
  <c r="AD231" i="48"/>
  <c r="AD236" i="48" s="1"/>
  <c r="AD230" i="48"/>
  <c r="AD235" i="48" s="1"/>
  <c r="AD232" i="48"/>
  <c r="AD237" i="48" s="1"/>
  <c r="AC97" i="42"/>
  <c r="AC101" i="42" s="1"/>
  <c r="AC100" i="42"/>
  <c r="AC98" i="42"/>
  <c r="AC102" i="42" s="1"/>
  <c r="AC99" i="42"/>
  <c r="AC103" i="42" s="1"/>
  <c r="AB133" i="15" a="1"/>
  <c r="AB134" i="15"/>
  <c r="AB140" i="15" s="1"/>
  <c r="AB68" i="15"/>
  <c r="AB77" i="15" s="1"/>
  <c r="Y305" i="38"/>
  <c r="Y304" i="38"/>
  <c r="Y308" i="38" s="1"/>
  <c r="AA151" i="28"/>
  <c r="AB217" i="28"/>
  <c r="AE177" i="48"/>
  <c r="AE178" i="46"/>
  <c r="AE183" i="46" s="1"/>
  <c r="AE182" i="46"/>
  <c r="AF107" i="45" s="1"/>
  <c r="BL107" i="45" s="1"/>
  <c r="AE180" i="46"/>
  <c r="AE185" i="46" s="1"/>
  <c r="AE179" i="46"/>
  <c r="AE184" i="46" s="1"/>
  <c r="AE181" i="46"/>
  <c r="AE186" i="46" s="1"/>
  <c r="AF14" i="28"/>
  <c r="AF15" i="28"/>
  <c r="AF28" i="28" s="1"/>
  <c r="AF46" i="28" s="1"/>
  <c r="AF18" i="28"/>
  <c r="AF31" i="28" s="1"/>
  <c r="AF17" i="28"/>
  <c r="AF30" i="28" s="1"/>
  <c r="AG5" i="28"/>
  <c r="AF16" i="28"/>
  <c r="AF29" i="28" s="1"/>
  <c r="AF47" i="28" s="1"/>
  <c r="R214" i="28"/>
  <c r="S73" i="15" s="1"/>
  <c r="S72" i="15"/>
  <c r="S34" i="58" s="1"/>
  <c r="AB37" i="28"/>
  <c r="AB36" i="28"/>
  <c r="AF19" i="42"/>
  <c r="AF247" i="42" s="1"/>
  <c r="AF27" i="42"/>
  <c r="AE211" i="46"/>
  <c r="AE216" i="46" s="1"/>
  <c r="AE210" i="46"/>
  <c r="AE215" i="46" s="1"/>
  <c r="AE214" i="46"/>
  <c r="AF89" i="45" s="1"/>
  <c r="AE209" i="48"/>
  <c r="AE212" i="46"/>
  <c r="AE217" i="46" s="1"/>
  <c r="AE213" i="46"/>
  <c r="AE218" i="46" s="1"/>
  <c r="AG16" i="20"/>
  <c r="AG14" i="20"/>
  <c r="AG17" i="20"/>
  <c r="AG18" i="20"/>
  <c r="AI5" i="20"/>
  <c r="AG15" i="20"/>
  <c r="AF137" i="38"/>
  <c r="AF145" i="38"/>
  <c r="AF161" i="38"/>
  <c r="AF153" i="38"/>
  <c r="AD162" i="48"/>
  <c r="AD158" i="48"/>
  <c r="AD163" i="48" s="1"/>
  <c r="AD161" i="48"/>
  <c r="AD166" i="48" s="1"/>
  <c r="AD160" i="48"/>
  <c r="AD165" i="48" s="1"/>
  <c r="AD159" i="48"/>
  <c r="AD164" i="48" s="1"/>
  <c r="AA301" i="42"/>
  <c r="AA300" i="42"/>
  <c r="AC37" i="29"/>
  <c r="AC36" i="29"/>
  <c r="AF219" i="46"/>
  <c r="AF229" i="46"/>
  <c r="AF209" i="46"/>
  <c r="AG15" i="29"/>
  <c r="AG28" i="29" s="1"/>
  <c r="AG46" i="29" s="1"/>
  <c r="AG18" i="29"/>
  <c r="AG31" i="29" s="1"/>
  <c r="AG16" i="29"/>
  <c r="AG29" i="29" s="1"/>
  <c r="AG47" i="29" s="1"/>
  <c r="AG17" i="29"/>
  <c r="AG30" i="29" s="1"/>
  <c r="AG14" i="29"/>
  <c r="AE249" i="48"/>
  <c r="AE254" i="48" s="1"/>
  <c r="AE247" i="48"/>
  <c r="AE252" i="48" s="1"/>
  <c r="AE251" i="48"/>
  <c r="AE248" i="48"/>
  <c r="AE253" i="48" s="1"/>
  <c r="AE250" i="48"/>
  <c r="AE255" i="48" s="1"/>
  <c r="AB151" i="29"/>
  <c r="AB150" i="29"/>
  <c r="AB152" i="29"/>
  <c r="AB153" i="29"/>
  <c r="AC76" i="42"/>
  <c r="AC74" i="42"/>
  <c r="AC78" i="42" s="1"/>
  <c r="AC75" i="42"/>
  <c r="AC79" i="42" s="1"/>
  <c r="AC73" i="42"/>
  <c r="AC77" i="42" s="1"/>
  <c r="Y305" i="42"/>
  <c r="Y304" i="42"/>
  <c r="Y308" i="42" s="1"/>
  <c r="AE171" i="46"/>
  <c r="AE176" i="46" s="1"/>
  <c r="AE169" i="46"/>
  <c r="AE174" i="46" s="1"/>
  <c r="AE170" i="46"/>
  <c r="AE175" i="46" s="1"/>
  <c r="AE168" i="46"/>
  <c r="AE173" i="46" s="1"/>
  <c r="AE167" i="48"/>
  <c r="AE172" i="46"/>
  <c r="AF77" i="45" s="1"/>
  <c r="BL77" i="45" s="1"/>
  <c r="AC295" i="38"/>
  <c r="AC292" i="38"/>
  <c r="X336" i="42"/>
  <c r="AD34" i="53"/>
  <c r="AD197" i="53"/>
  <c r="AG18" i="42"/>
  <c r="AG31" i="42" s="1"/>
  <c r="AG46" i="42" s="1"/>
  <c r="AG237" i="42" s="1"/>
  <c r="AG17" i="42"/>
  <c r="AG30" i="42" s="1"/>
  <c r="AG45" i="42" s="1"/>
  <c r="AG14" i="42"/>
  <c r="AG15" i="42"/>
  <c r="AG28" i="42" s="1"/>
  <c r="AG43" i="42" s="1"/>
  <c r="AG16" i="42"/>
  <c r="AG29" i="42" s="1"/>
  <c r="AG44" i="42" s="1"/>
  <c r="AG222" i="42" s="1"/>
  <c r="AC46" i="15"/>
  <c r="AC67" i="15"/>
  <c r="AC66" i="16"/>
  <c r="AC59" i="16"/>
  <c r="AC135" i="16" s="1"/>
  <c r="AC216" i="28"/>
  <c r="AC61" i="29"/>
  <c r="AC56" i="29"/>
  <c r="AD56" i="15"/>
  <c r="AC60" i="29"/>
  <c r="AC59" i="29"/>
  <c r="AD44" i="16" s="1"/>
  <c r="AD62" i="15"/>
  <c r="AC53" i="29"/>
  <c r="AC54" i="29"/>
  <c r="AD44" i="15"/>
  <c r="AC57" i="29"/>
  <c r="AC63" i="29"/>
  <c r="AD56" i="16" s="1"/>
  <c r="AD59" i="16" s="1"/>
  <c r="AD135" i="16" s="1"/>
  <c r="AC62" i="29"/>
  <c r="AD62" i="16" s="1"/>
  <c r="AC50" i="28"/>
  <c r="AC117" i="28" s="1"/>
  <c r="AC55" i="29"/>
  <c r="AC52" i="29" s="1"/>
  <c r="AE32" i="19"/>
  <c r="AE45" i="19"/>
  <c r="AE50" i="19" s="1"/>
  <c r="AF225" i="38"/>
  <c r="AF229" i="38" s="1"/>
  <c r="AF223" i="38"/>
  <c r="AF227" i="38" s="1"/>
  <c r="AF224" i="38"/>
  <c r="AF228" i="38" s="1"/>
  <c r="Z173" i="29"/>
  <c r="AB250" i="42"/>
  <c r="AA283" i="42"/>
  <c r="AA284" i="42" s="1"/>
  <c r="AD180" i="48"/>
  <c r="AD185" i="48" s="1"/>
  <c r="AD179" i="48"/>
  <c r="AD184" i="48" s="1"/>
  <c r="AD182" i="48"/>
  <c r="AD181" i="48"/>
  <c r="AD186" i="48" s="1"/>
  <c r="AD178" i="48"/>
  <c r="AD183" i="48" s="1"/>
  <c r="AC36" i="19"/>
  <c r="AC37" i="19"/>
  <c r="X186" i="28"/>
  <c r="X187" i="28" s="1"/>
  <c r="X188" i="28"/>
  <c r="X191" i="28" s="1"/>
  <c r="AB298" i="42"/>
  <c r="AB297" i="42"/>
  <c r="AB299" i="42"/>
  <c r="AB296" i="42"/>
  <c r="AC149" i="29"/>
  <c r="AC146" i="29"/>
  <c r="AA314" i="38"/>
  <c r="AB88" i="55" s="1"/>
  <c r="AA309" i="38"/>
  <c r="AA312" i="38"/>
  <c r="AB86" i="55" s="1"/>
  <c r="AA310" i="38"/>
  <c r="AA313" i="38"/>
  <c r="AB87" i="55" s="1"/>
  <c r="AA311" i="38"/>
  <c r="AB85" i="55" s="1"/>
  <c r="AC293" i="42"/>
  <c r="AC294" i="42" s="1"/>
  <c r="AC316" i="42"/>
  <c r="AC317" i="42" s="1"/>
  <c r="AE19" i="53"/>
  <c r="AE27" i="53"/>
  <c r="AE32" i="53" s="1"/>
  <c r="Z157" i="29"/>
  <c r="Z156" i="29"/>
  <c r="X170" i="28"/>
  <c r="X171" i="28"/>
  <c r="AE42" i="38"/>
  <c r="AE32" i="38"/>
  <c r="AE32" i="29"/>
  <c r="AE45" i="29"/>
  <c r="AE158" i="46"/>
  <c r="AE163" i="46" s="1"/>
  <c r="AE162" i="46"/>
  <c r="AF98" i="45" s="1"/>
  <c r="BL98" i="45" s="1"/>
  <c r="AE157" i="48"/>
  <c r="AE160" i="46"/>
  <c r="AE165" i="46" s="1"/>
  <c r="AE159" i="46"/>
  <c r="AE164" i="46" s="1"/>
  <c r="AE161" i="46"/>
  <c r="AE166" i="46" s="1"/>
  <c r="AC316" i="38"/>
  <c r="AC293" i="38"/>
  <c r="AD80" i="55" s="1"/>
  <c r="Y156" i="28"/>
  <c r="CL63" i="55" s="1"/>
  <c r="Y155" i="28"/>
  <c r="CL62" i="55" s="1"/>
  <c r="Y153" i="28"/>
  <c r="Y154" i="28"/>
  <c r="CL61" i="55" s="1"/>
  <c r="Y157" i="28"/>
  <c r="CL64" i="55" s="1"/>
  <c r="Y158" i="28"/>
  <c r="CL65" i="55" s="1"/>
  <c r="AE42" i="42"/>
  <c r="AE32" i="42"/>
  <c r="AF224" i="42"/>
  <c r="AF228" i="42" s="1"/>
  <c r="AF226" i="42"/>
  <c r="AF225" i="42"/>
  <c r="AF229" i="42" s="1"/>
  <c r="AF223" i="42"/>
  <c r="AF227" i="42" s="1"/>
  <c r="AC34" i="28"/>
  <c r="AC149" i="28"/>
  <c r="AF19" i="38"/>
  <c r="AF247" i="38" s="1"/>
  <c r="AF27" i="38"/>
  <c r="Z290" i="42"/>
  <c r="Z289" i="42"/>
  <c r="Z287" i="42"/>
  <c r="Z288" i="42"/>
  <c r="Z285" i="42"/>
  <c r="Z286" i="42"/>
  <c r="Z318" i="42"/>
  <c r="Z319" i="42" s="1"/>
  <c r="Z320" i="42"/>
  <c r="Z323" i="42" s="1"/>
  <c r="AB68" i="16"/>
  <c r="AB134" i="16"/>
  <c r="AB140" i="16" s="1"/>
  <c r="AB133" i="16" a="1"/>
  <c r="AB141" i="16" s="1"/>
  <c r="AB142" i="16" s="1"/>
  <c r="AB77" i="16"/>
  <c r="AE61" i="15"/>
  <c r="AD88" i="29"/>
  <c r="AD281" i="42"/>
  <c r="AD34" i="42"/>
  <c r="AE19" i="54"/>
  <c r="AE27" i="54"/>
  <c r="AE32" i="54" s="1"/>
  <c r="DP81" i="55"/>
  <c r="W340" i="42"/>
  <c r="BD84" i="55"/>
  <c r="W345" i="42"/>
  <c r="AE156" i="38"/>
  <c r="AE160" i="38" s="1"/>
  <c r="AE154" i="38"/>
  <c r="AE158" i="38" s="1"/>
  <c r="AE157" i="38"/>
  <c r="AF79" i="36" s="1"/>
  <c r="BL79" i="36" s="1"/>
  <c r="AE155" i="38"/>
  <c r="AE159" i="38" s="1"/>
  <c r="AF49" i="29"/>
  <c r="Z237" i="19"/>
  <c r="Z241" i="19" s="1"/>
  <c r="Z238" i="19"/>
  <c r="AE309" i="46"/>
  <c r="AE34" i="46"/>
  <c r="AE208" i="42"/>
  <c r="AE212" i="42" s="1"/>
  <c r="AE209" i="42"/>
  <c r="AE213" i="42" s="1"/>
  <c r="AE211" i="42"/>
  <c r="AE210" i="42"/>
  <c r="AE214" i="42" s="1"/>
  <c r="Y164" i="29"/>
  <c r="Y167" i="29"/>
  <c r="BF64" i="55" s="1"/>
  <c r="Y168" i="29"/>
  <c r="BF65" i="55" s="1"/>
  <c r="Y165" i="29"/>
  <c r="BF62" i="55" s="1"/>
  <c r="Y163" i="29"/>
  <c r="Y166" i="29"/>
  <c r="BF63" i="55" s="1"/>
  <c r="AE147" i="48"/>
  <c r="AE149" i="46"/>
  <c r="AE154" i="46" s="1"/>
  <c r="AE150" i="46"/>
  <c r="AE155" i="46" s="1"/>
  <c r="AE152" i="46"/>
  <c r="AF83" i="45" s="1"/>
  <c r="AE151" i="46"/>
  <c r="AE156" i="46" s="1"/>
  <c r="AE148" i="46"/>
  <c r="AE153" i="46" s="1"/>
  <c r="DS57" i="55"/>
  <c r="BG57" i="55"/>
  <c r="Z148" i="29"/>
  <c r="AF27" i="19"/>
  <c r="AF19" i="19"/>
  <c r="DO81" i="55"/>
  <c r="BC81" i="55"/>
  <c r="V340" i="42"/>
  <c r="BC84" i="55"/>
  <c r="V345" i="42"/>
  <c r="W196" i="28"/>
  <c r="AF58" i="15"/>
  <c r="AF45" i="15"/>
  <c r="AF64" i="15"/>
  <c r="AF48" i="15"/>
  <c r="AF49" i="15" s="1"/>
  <c r="AF136" i="15" s="1"/>
  <c r="AE73" i="29"/>
  <c r="AE71" i="29"/>
  <c r="AE74" i="29"/>
  <c r="AF48" i="16" s="1"/>
  <c r="AF49" i="16" s="1"/>
  <c r="AF136" i="16" s="1"/>
  <c r="AE69" i="29"/>
  <c r="AE78" i="29"/>
  <c r="AF64" i="16" s="1"/>
  <c r="AE67" i="29"/>
  <c r="AE76" i="29"/>
  <c r="AF58" i="16" s="1"/>
  <c r="AE77" i="29"/>
  <c r="AF45" i="16" s="1"/>
  <c r="AE75" i="29"/>
  <c r="AE66" i="29"/>
  <c r="AE65" i="29" s="1"/>
  <c r="AE68" i="29"/>
  <c r="AD34" i="54"/>
  <c r="AD197" i="54"/>
  <c r="X182" i="29"/>
  <c r="AF137" i="42"/>
  <c r="AF161" i="42"/>
  <c r="AF145" i="42"/>
  <c r="AF153" i="42"/>
  <c r="AC66" i="15"/>
  <c r="AC59" i="15"/>
  <c r="AC135" i="15" s="1"/>
  <c r="AB184" i="28"/>
  <c r="AB185" i="28" s="1"/>
  <c r="AB161" i="28"/>
  <c r="AD61" i="16"/>
  <c r="AC87" i="29"/>
  <c r="AF239" i="38"/>
  <c r="AF243" i="38" s="1"/>
  <c r="AF240" i="38"/>
  <c r="AF244" i="38" s="1"/>
  <c r="AF238" i="38"/>
  <c r="AF242" i="38" s="1"/>
  <c r="AG18" i="46"/>
  <c r="AG31" i="46" s="1"/>
  <c r="AG15" i="46"/>
  <c r="AG28" i="46" s="1"/>
  <c r="AG43" i="46" s="1"/>
  <c r="AG16" i="46"/>
  <c r="AG29" i="46" s="1"/>
  <c r="AG44" i="46" s="1"/>
  <c r="AG246" i="46" s="1"/>
  <c r="AG14" i="46"/>
  <c r="AG17" i="46"/>
  <c r="AG30" i="46" s="1"/>
  <c r="AG45" i="46" s="1"/>
  <c r="AB297" i="38"/>
  <c r="AB298" i="38"/>
  <c r="AB299" i="38"/>
  <c r="AB296" i="38"/>
  <c r="AD249" i="42"/>
  <c r="AD80" i="42"/>
  <c r="AD104" i="42"/>
  <c r="AD72" i="42"/>
  <c r="AD96" i="42"/>
  <c r="AD47" i="42"/>
  <c r="AD291" i="42" s="1"/>
  <c r="Z303" i="42"/>
  <c r="Z302" i="42"/>
  <c r="AE162" i="38"/>
  <c r="AE166" i="38" s="1"/>
  <c r="AE165" i="38"/>
  <c r="AF109" i="36" s="1"/>
  <c r="BL109" i="36" s="1"/>
  <c r="AE163" i="38"/>
  <c r="AE167" i="38" s="1"/>
  <c r="AE164" i="38"/>
  <c r="AE168" i="38" s="1"/>
  <c r="BB58" i="55"/>
  <c r="V70" i="16"/>
  <c r="V71" i="16" s="1"/>
  <c r="BB33" i="58" s="1"/>
  <c r="AF19" i="29"/>
  <c r="AF27" i="29"/>
  <c r="AF18" i="53"/>
  <c r="AF31" i="53" s="1"/>
  <c r="AF14" i="53"/>
  <c r="AF15" i="53"/>
  <c r="AF28" i="53" s="1"/>
  <c r="AG5" i="53"/>
  <c r="AF17" i="53"/>
  <c r="AF30" i="53" s="1"/>
  <c r="AF16" i="53"/>
  <c r="AF29" i="53" s="1"/>
  <c r="AF44" i="53" s="1"/>
  <c r="AF150" i="53" s="1"/>
  <c r="AF151" i="53" s="1"/>
  <c r="AG60" i="51" s="1"/>
  <c r="BM60" i="51" s="1"/>
  <c r="AD50" i="29"/>
  <c r="AD145" i="29" s="1"/>
  <c r="AE193" i="42"/>
  <c r="AE197" i="42" s="1"/>
  <c r="AE194" i="42"/>
  <c r="AE198" i="42" s="1"/>
  <c r="AE192" i="42"/>
  <c r="AE196" i="42" s="1"/>
  <c r="AE195" i="42"/>
  <c r="AA154" i="29"/>
  <c r="AA155" i="29"/>
  <c r="Z174" i="29"/>
  <c r="Z175" i="29" s="1"/>
  <c r="Z176" i="29" s="1"/>
  <c r="Z178" i="29" s="1"/>
  <c r="AC246" i="38"/>
  <c r="AF19" i="48"/>
  <c r="AF275" i="48" s="1"/>
  <c r="AF27" i="48"/>
  <c r="AF32" i="48" s="1"/>
  <c r="AD65" i="15"/>
  <c r="AD139" i="15" s="1"/>
  <c r="AF207" i="38"/>
  <c r="AF191" i="38"/>
  <c r="AF199" i="38"/>
  <c r="AF248" i="46"/>
  <c r="AF253" i="46" s="1"/>
  <c r="AF251" i="46"/>
  <c r="AG96" i="45" s="1"/>
  <c r="AF250" i="46"/>
  <c r="AF255" i="46" s="1"/>
  <c r="AF246" i="48"/>
  <c r="AF247" i="46"/>
  <c r="AF252" i="46" s="1"/>
  <c r="AF249" i="46"/>
  <c r="AF254" i="46" s="1"/>
  <c r="Z321" i="42"/>
  <c r="Z322" i="42" s="1"/>
  <c r="AE146" i="38"/>
  <c r="AE150" i="38" s="1"/>
  <c r="AE147" i="38"/>
  <c r="AE151" i="38" s="1"/>
  <c r="AE149" i="38"/>
  <c r="AF100" i="36" s="1"/>
  <c r="BL100" i="36" s="1"/>
  <c r="AE148" i="38"/>
  <c r="AE152" i="38" s="1"/>
  <c r="AE156" i="42"/>
  <c r="AE160" i="42" s="1"/>
  <c r="AE155" i="42"/>
  <c r="AE159" i="42" s="1"/>
  <c r="AE154" i="42"/>
  <c r="AE158" i="42" s="1"/>
  <c r="AE157" i="42"/>
  <c r="AC105" i="42"/>
  <c r="AC109" i="42" s="1"/>
  <c r="AC107" i="42"/>
  <c r="AC111" i="42" s="1"/>
  <c r="AC106" i="42"/>
  <c r="AC110" i="42" s="1"/>
  <c r="AC108" i="42"/>
  <c r="Y182" i="29"/>
  <c r="Y183" i="29" s="1"/>
  <c r="Y192" i="29" s="1"/>
  <c r="Z70" i="16" s="1"/>
  <c r="AE200" i="38"/>
  <c r="AE204" i="38" s="1"/>
  <c r="AE201" i="38"/>
  <c r="AE205" i="38" s="1"/>
  <c r="AE203" i="38"/>
  <c r="AF101" i="36" s="1"/>
  <c r="BL101" i="36" s="1"/>
  <c r="AE202" i="38"/>
  <c r="AE206" i="38" s="1"/>
  <c r="AD135" i="29"/>
  <c r="AD34" i="29"/>
  <c r="AE200" i="42"/>
  <c r="AE204" i="42" s="1"/>
  <c r="AE201" i="42"/>
  <c r="AE205" i="42" s="1"/>
  <c r="AE203" i="42"/>
  <c r="AE202" i="42"/>
  <c r="AE206" i="42" s="1"/>
  <c r="AA161" i="29"/>
  <c r="AA160" i="29"/>
  <c r="AA172" i="29" s="1"/>
  <c r="Y324" i="42"/>
  <c r="Y328" i="42"/>
  <c r="Y159" i="29"/>
  <c r="Y158" i="29"/>
  <c r="Y162" i="29" s="1"/>
  <c r="AE19" i="28"/>
  <c r="AE118" i="28" s="1"/>
  <c r="AE27" i="28"/>
  <c r="AA236" i="19"/>
  <c r="AA235" i="19"/>
  <c r="AD281" i="38"/>
  <c r="AD34" i="38"/>
  <c r="AG16" i="48"/>
  <c r="AG29" i="48" s="1"/>
  <c r="AG44" i="48" s="1"/>
  <c r="AG15" i="48"/>
  <c r="AG28" i="48" s="1"/>
  <c r="AG43" i="48" s="1"/>
  <c r="AG17" i="48"/>
  <c r="AG30" i="48" s="1"/>
  <c r="AG45" i="48" s="1"/>
  <c r="AG18" i="48"/>
  <c r="AG31" i="48" s="1"/>
  <c r="AG14" i="48"/>
  <c r="AD172" i="48"/>
  <c r="AD168" i="48"/>
  <c r="AD173" i="48" s="1"/>
  <c r="AD170" i="48"/>
  <c r="AD175" i="48" s="1"/>
  <c r="AD169" i="48"/>
  <c r="AD174" i="48" s="1"/>
  <c r="AD171" i="48"/>
  <c r="AD176" i="48" s="1"/>
  <c r="AB210" i="28"/>
  <c r="AB159" i="28"/>
  <c r="AB211" i="28"/>
  <c r="Z302" i="38"/>
  <c r="Z303" i="38"/>
  <c r="AA163" i="28"/>
  <c r="AA162" i="28"/>
  <c r="AA160" i="28"/>
  <c r="Z177" i="28"/>
  <c r="Z178" i="28"/>
  <c r="Z180" i="28"/>
  <c r="AA63" i="55" s="1"/>
  <c r="Z179" i="28"/>
  <c r="AA62" i="55" s="1"/>
  <c r="Z182" i="28"/>
  <c r="AA65" i="55" s="1"/>
  <c r="Z181" i="28"/>
  <c r="AA64" i="55" s="1"/>
  <c r="V72" i="16"/>
  <c r="BB34" i="58" s="1"/>
  <c r="U200" i="29"/>
  <c r="V73" i="16" s="1"/>
  <c r="AF19" i="46"/>
  <c r="AF275" i="46" s="1"/>
  <c r="AF27" i="46"/>
  <c r="AF32" i="46" s="1"/>
  <c r="AA301" i="38"/>
  <c r="AA300" i="38"/>
  <c r="AB312" i="38"/>
  <c r="AC86" i="55" s="1"/>
  <c r="AB310" i="38"/>
  <c r="AB314" i="38"/>
  <c r="AC88" i="55" s="1"/>
  <c r="AB313" i="38"/>
  <c r="AC87" i="55" s="1"/>
  <c r="AB311" i="38"/>
  <c r="AC85" i="55" s="1"/>
  <c r="AB309" i="38"/>
  <c r="AD150" i="48"/>
  <c r="AD155" i="48" s="1"/>
  <c r="AD149" i="48"/>
  <c r="AD154" i="48" s="1"/>
  <c r="AD151" i="48"/>
  <c r="AD156" i="48" s="1"/>
  <c r="AD152" i="48"/>
  <c r="AD148" i="48"/>
  <c r="AD153" i="48" s="1"/>
  <c r="Y142" i="29"/>
  <c r="Y144" i="29"/>
  <c r="Y139" i="29"/>
  <c r="Y141" i="29"/>
  <c r="Y143" i="29"/>
  <c r="Y140" i="29"/>
  <c r="AE139" i="38"/>
  <c r="AE140" i="38"/>
  <c r="AE138" i="38"/>
  <c r="AE162" i="42"/>
  <c r="AE166" i="42" s="1"/>
  <c r="AE165" i="42"/>
  <c r="AE163" i="42"/>
  <c r="AE167" i="42" s="1"/>
  <c r="AE164" i="42"/>
  <c r="AE168" i="42" s="1"/>
  <c r="AC295" i="42"/>
  <c r="AC292" i="42"/>
  <c r="AE208" i="38"/>
  <c r="AE212" i="38" s="1"/>
  <c r="AE209" i="38"/>
  <c r="AE213" i="38" s="1"/>
  <c r="AE211" i="38"/>
  <c r="AE210" i="38"/>
  <c r="AE214" i="38" s="1"/>
  <c r="AD275" i="19"/>
  <c r="AD276" i="19"/>
  <c r="AD224" i="19"/>
  <c r="AD228" i="19"/>
  <c r="AD225" i="19"/>
  <c r="AD221" i="48"/>
  <c r="AD226" i="48" s="1"/>
  <c r="AD223" i="48"/>
  <c r="AD228" i="48" s="1"/>
  <c r="AD222" i="48"/>
  <c r="AD227" i="48" s="1"/>
  <c r="AD224" i="48"/>
  <c r="AD220" i="48"/>
  <c r="AD225" i="48" s="1"/>
  <c r="U72" i="15"/>
  <c r="U34" i="58" s="1"/>
  <c r="T214" i="28"/>
  <c r="U73" i="15" s="1"/>
  <c r="AB233" i="19"/>
  <c r="AB234" i="19"/>
  <c r="AI5" i="19"/>
  <c r="AG18" i="19"/>
  <c r="AG31" i="19" s="1"/>
  <c r="AG49" i="19" s="1"/>
  <c r="AG17" i="19"/>
  <c r="AG30" i="19" s="1"/>
  <c r="AG48" i="19" s="1"/>
  <c r="AG16" i="19"/>
  <c r="AG29" i="19" s="1"/>
  <c r="AG47" i="19" s="1"/>
  <c r="AG14" i="19"/>
  <c r="AG15" i="19"/>
  <c r="AG28" i="19" s="1"/>
  <c r="AG46" i="19" s="1"/>
  <c r="Y168" i="28"/>
  <c r="Y169" i="28"/>
  <c r="AE85" i="29"/>
  <c r="AF55" i="16" s="1"/>
  <c r="AF55" i="15"/>
  <c r="AD249" i="38"/>
  <c r="AD47" i="38"/>
  <c r="AD291" i="38" s="1"/>
  <c r="AD72" i="38"/>
  <c r="AD73" i="38" s="1"/>
  <c r="AD80" i="38"/>
  <c r="AD96" i="38"/>
  <c r="AD104" i="38"/>
  <c r="AF207" i="42"/>
  <c r="AF199" i="42"/>
  <c r="AF191" i="42"/>
  <c r="AB103" i="29"/>
  <c r="AB91" i="29"/>
  <c r="AC46" i="16"/>
  <c r="AC67" i="16"/>
  <c r="AE234" i="46"/>
  <c r="AF108" i="45" s="1"/>
  <c r="BL108" i="45" s="1"/>
  <c r="AE229" i="48"/>
  <c r="AE232" i="46"/>
  <c r="AE237" i="46" s="1"/>
  <c r="AE230" i="46"/>
  <c r="AE235" i="46" s="1"/>
  <c r="AE231" i="46"/>
  <c r="AE236" i="46" s="1"/>
  <c r="AE233" i="46"/>
  <c r="AE238" i="46" s="1"/>
  <c r="AA311" i="42"/>
  <c r="BH85" i="55" s="1"/>
  <c r="AA314" i="42"/>
  <c r="BH88" i="55" s="1"/>
  <c r="AA310" i="42"/>
  <c r="AA313" i="42"/>
  <c r="BH87" i="55" s="1"/>
  <c r="AA309" i="42"/>
  <c r="AA312" i="42"/>
  <c r="BH86" i="55" s="1"/>
  <c r="U206" i="28"/>
  <c r="V70" i="15" s="1"/>
  <c r="AA306" i="42"/>
  <c r="AA307" i="42"/>
  <c r="V196" i="28"/>
  <c r="AF147" i="46"/>
  <c r="AF157" i="46"/>
  <c r="AF167" i="46"/>
  <c r="AF177" i="46"/>
  <c r="AA306" i="38"/>
  <c r="AA318" i="38" s="1"/>
  <c r="AA307" i="38"/>
  <c r="AD211" i="48"/>
  <c r="AD216" i="48" s="1"/>
  <c r="AD212" i="48"/>
  <c r="AD217" i="48" s="1"/>
  <c r="AD213" i="48"/>
  <c r="AD218" i="48" s="1"/>
  <c r="AD214" i="48"/>
  <c r="AD210" i="48"/>
  <c r="AD215" i="48" s="1"/>
  <c r="AE86" i="45"/>
  <c r="BK86" i="45"/>
  <c r="AE87" i="45"/>
  <c r="BK85" i="45"/>
  <c r="BK87" i="45"/>
  <c r="AE85" i="45"/>
  <c r="AA104" i="29"/>
  <c r="Z137" i="29"/>
  <c r="Z138" i="29" s="1"/>
  <c r="AE149" i="42"/>
  <c r="AE148" i="42"/>
  <c r="AE152" i="42" s="1"/>
  <c r="AE146" i="42"/>
  <c r="AE150" i="42" s="1"/>
  <c r="AE147" i="42"/>
  <c r="AE151" i="42" s="1"/>
  <c r="AC229" i="19"/>
  <c r="AC232" i="19"/>
  <c r="AC230" i="19"/>
  <c r="AC231" i="19"/>
  <c r="AC83" i="42"/>
  <c r="AC87" i="42" s="1"/>
  <c r="AC82" i="42"/>
  <c r="AC86" i="42" s="1"/>
  <c r="AC81" i="42"/>
  <c r="AC85" i="42" s="1"/>
  <c r="AC84" i="42"/>
  <c r="AE193" i="38"/>
  <c r="AE197" i="38" s="1"/>
  <c r="AE194" i="38"/>
  <c r="AE198" i="38" s="1"/>
  <c r="AE192" i="38"/>
  <c r="AE196" i="38" s="1"/>
  <c r="AD214" i="19"/>
  <c r="AD34" i="19"/>
  <c r="CM57" i="55"/>
  <c r="Z152" i="28"/>
  <c r="AE34" i="48"/>
  <c r="AE309" i="48"/>
  <c r="AB239" i="19"/>
  <c r="AB251" i="19" s="1"/>
  <c r="AB240" i="19"/>
  <c r="Y174" i="28"/>
  <c r="Y175" i="28"/>
  <c r="AE49" i="28"/>
  <c r="DP58" i="55"/>
  <c r="X69" i="16"/>
  <c r="X71" i="16" s="1"/>
  <c r="BD33" i="58" s="1"/>
  <c r="BD58" i="55"/>
  <c r="W199" i="29"/>
  <c r="DU80" i="55"/>
  <c r="BI80" i="55"/>
  <c r="AF238" i="42"/>
  <c r="AF242" i="42" s="1"/>
  <c r="AF241" i="42"/>
  <c r="AF240" i="42"/>
  <c r="AF244" i="42" s="1"/>
  <c r="AF239" i="42"/>
  <c r="AF243" i="42" s="1"/>
  <c r="AE223" i="46"/>
  <c r="AE228" i="46" s="1"/>
  <c r="AE221" i="46"/>
  <c r="AE226" i="46" s="1"/>
  <c r="AE222" i="46"/>
  <c r="AE227" i="46" s="1"/>
  <c r="AE219" i="48"/>
  <c r="AE224" i="46"/>
  <c r="AF99" i="45" s="1"/>
  <c r="BL99" i="45" s="1"/>
  <c r="AE220" i="46"/>
  <c r="AE225" i="46" s="1"/>
  <c r="AE70" i="29"/>
  <c r="W189" i="28"/>
  <c r="W190" i="28" s="1"/>
  <c r="W192" i="28" s="1"/>
  <c r="AG16" i="38"/>
  <c r="AG29" i="38" s="1"/>
  <c r="AG44" i="38" s="1"/>
  <c r="AG222" i="38" s="1"/>
  <c r="AG14" i="38"/>
  <c r="AG17" i="38"/>
  <c r="AG30" i="38" s="1"/>
  <c r="AG45" i="38" s="1"/>
  <c r="AG18" i="38"/>
  <c r="AG31" i="38" s="1"/>
  <c r="AG46" i="38" s="1"/>
  <c r="AG237" i="38" s="1"/>
  <c r="AG15" i="38"/>
  <c r="AG28" i="38" s="1"/>
  <c r="AG43" i="38" s="1"/>
  <c r="AD32" i="28"/>
  <c r="AD45" i="28"/>
  <c r="P259" i="20"/>
  <c r="CC34" i="55"/>
  <c r="P183" i="19"/>
  <c r="O216" i="19"/>
  <c r="R110" i="14"/>
  <c r="R108" i="14" s="1"/>
  <c r="Q97" i="14"/>
  <c r="R99" i="12"/>
  <c r="Q75" i="19"/>
  <c r="R109" i="14"/>
  <c r="R91" i="19"/>
  <c r="S136" i="14" s="1"/>
  <c r="S136" i="12"/>
  <c r="R109" i="12"/>
  <c r="R73" i="19"/>
  <c r="S114" i="14" s="1"/>
  <c r="S114" i="12"/>
  <c r="S105" i="12"/>
  <c r="S228" i="12" s="1"/>
  <c r="R111" i="19"/>
  <c r="R113" i="19"/>
  <c r="S124" i="19"/>
  <c r="T138" i="14" s="1"/>
  <c r="T138" i="12"/>
  <c r="R126" i="19"/>
  <c r="S95" i="14"/>
  <c r="R123" i="19"/>
  <c r="R114" i="19"/>
  <c r="S106" i="19"/>
  <c r="T103" i="14" s="1"/>
  <c r="T103" i="12"/>
  <c r="T174" i="19"/>
  <c r="S98" i="19"/>
  <c r="Q94" i="19"/>
  <c r="T176" i="19"/>
  <c r="Q92" i="19"/>
  <c r="Q88" i="19"/>
  <c r="Q87" i="19"/>
  <c r="T165" i="19"/>
  <c r="T163" i="19"/>
  <c r="T166" i="19"/>
  <c r="T164" i="19"/>
  <c r="Q86" i="19"/>
  <c r="Q89" i="19"/>
  <c r="Q76" i="19"/>
  <c r="Q74" i="19"/>
  <c r="Q83" i="19"/>
  <c r="R111" i="14" s="1"/>
  <c r="R107" i="14" s="1"/>
  <c r="R111" i="12"/>
  <c r="R107" i="12" s="1"/>
  <c r="Q93" i="19"/>
  <c r="Q90" i="19"/>
  <c r="R120" i="19"/>
  <c r="R110" i="12"/>
  <c r="R108" i="12" s="1"/>
  <c r="R119" i="19"/>
  <c r="R109" i="19"/>
  <c r="S118" i="19"/>
  <c r="T94" i="14" s="1"/>
  <c r="R108" i="19"/>
  <c r="Q77" i="19"/>
  <c r="R129" i="19"/>
  <c r="Q80" i="19"/>
  <c r="R106" i="14" s="1"/>
  <c r="R79" i="19"/>
  <c r="S104" i="14" s="1"/>
  <c r="Q69" i="19"/>
  <c r="R99" i="14" s="1"/>
  <c r="Q70" i="19"/>
  <c r="R100" i="14" s="1"/>
  <c r="R98" i="14" s="1"/>
  <c r="Q71" i="19"/>
  <c r="R101" i="14" s="1"/>
  <c r="Q68" i="19"/>
  <c r="R96" i="14" s="1"/>
  <c r="O293" i="20"/>
  <c r="U172" i="19"/>
  <c r="V135" i="14" s="1"/>
  <c r="R180" i="19"/>
  <c r="S131" i="19"/>
  <c r="U216" i="20"/>
  <c r="U218" i="20"/>
  <c r="U215" i="20"/>
  <c r="U173" i="19" s="1"/>
  <c r="U217" i="20"/>
  <c r="U175" i="19" s="1"/>
  <c r="U219" i="20"/>
  <c r="U177" i="19" s="1"/>
  <c r="U203" i="20"/>
  <c r="U205" i="20"/>
  <c r="U202" i="20"/>
  <c r="U206" i="20"/>
  <c r="U167" i="19" s="1"/>
  <c r="U204" i="20"/>
  <c r="S137" i="20"/>
  <c r="S140" i="20"/>
  <c r="S116" i="19" s="1"/>
  <c r="S138" i="20"/>
  <c r="S139" i="20"/>
  <c r="S115" i="19" s="1"/>
  <c r="S141" i="20"/>
  <c r="S117" i="19" s="1"/>
  <c r="S149" i="20"/>
  <c r="S125" i="19" s="1"/>
  <c r="S152" i="20"/>
  <c r="S128" i="19" s="1"/>
  <c r="S150" i="20"/>
  <c r="S153" i="20"/>
  <c r="S151" i="20"/>
  <c r="S127" i="19" s="1"/>
  <c r="S131" i="20"/>
  <c r="S107" i="19" s="1"/>
  <c r="S135" i="20"/>
  <c r="S134" i="20"/>
  <c r="S110" i="19" s="1"/>
  <c r="S132" i="20"/>
  <c r="S133" i="20"/>
  <c r="T148" i="20"/>
  <c r="T130" i="20"/>
  <c r="T136" i="20"/>
  <c r="T112" i="19" s="1"/>
  <c r="U126" i="14" s="1"/>
  <c r="T142" i="20"/>
  <c r="S144" i="20"/>
  <c r="S147" i="20"/>
  <c r="S146" i="20"/>
  <c r="S122" i="19" s="1"/>
  <c r="S143" i="20"/>
  <c r="S145" i="20"/>
  <c r="S121" i="19" s="1"/>
  <c r="R84" i="20"/>
  <c r="R83" i="20"/>
  <c r="R82" i="20"/>
  <c r="R85" i="20"/>
  <c r="R86" i="20"/>
  <c r="R78" i="19" s="1"/>
  <c r="R94" i="20"/>
  <c r="R95" i="20"/>
  <c r="R96" i="20"/>
  <c r="R97" i="20"/>
  <c r="R98" i="20"/>
  <c r="S75" i="20"/>
  <c r="S67" i="19" s="1"/>
  <c r="T93" i="14" s="1"/>
  <c r="S93" i="20"/>
  <c r="S85" i="19" s="1"/>
  <c r="T124" i="14" s="1"/>
  <c r="S99" i="20"/>
  <c r="S81" i="20"/>
  <c r="S87" i="20"/>
  <c r="T104" i="12" s="1"/>
  <c r="R78" i="20"/>
  <c r="S100" i="12" s="1"/>
  <c r="S98" i="12" s="1"/>
  <c r="R79" i="20"/>
  <c r="S101" i="12" s="1"/>
  <c r="S97" i="12" s="1"/>
  <c r="R80" i="20"/>
  <c r="R72" i="19" s="1"/>
  <c r="R76" i="20"/>
  <c r="S96" i="12" s="1"/>
  <c r="R77" i="20"/>
  <c r="R90" i="20"/>
  <c r="R82" i="19" s="1"/>
  <c r="R89" i="20"/>
  <c r="R81" i="19" s="1"/>
  <c r="R91" i="20"/>
  <c r="R92" i="20"/>
  <c r="R84" i="19" s="1"/>
  <c r="R88" i="20"/>
  <c r="S106" i="12" s="1"/>
  <c r="R103" i="20"/>
  <c r="R95" i="19" s="1"/>
  <c r="R100" i="20"/>
  <c r="R101" i="20"/>
  <c r="R104" i="20"/>
  <c r="R96" i="19" s="1"/>
  <c r="R102" i="20"/>
  <c r="U19" i="20"/>
  <c r="U222" i="20" s="1"/>
  <c r="O278" i="20"/>
  <c r="O277" i="20"/>
  <c r="N279" i="20"/>
  <c r="N283" i="20" s="1"/>
  <c r="N280" i="20"/>
  <c r="T103" i="19"/>
  <c r="T100" i="19"/>
  <c r="T99" i="19"/>
  <c r="T101" i="19"/>
  <c r="U126" i="12"/>
  <c r="T104" i="19"/>
  <c r="T102" i="19"/>
  <c r="S95" i="12"/>
  <c r="T45" i="20"/>
  <c r="T32" i="20"/>
  <c r="CG4" i="55" s="1"/>
  <c r="DM4" i="55" s="1"/>
  <c r="Q273" i="20"/>
  <c r="Q274" i="20"/>
  <c r="Q272" i="20"/>
  <c r="Q271" i="20"/>
  <c r="U170" i="19"/>
  <c r="T133" i="19"/>
  <c r="U125" i="12"/>
  <c r="T135" i="19"/>
  <c r="T136" i="19"/>
  <c r="T132" i="19"/>
  <c r="T134" i="19"/>
  <c r="U28" i="20"/>
  <c r="U46" i="20" s="1"/>
  <c r="V94" i="12" s="1"/>
  <c r="R226" i="12"/>
  <c r="V123" i="12"/>
  <c r="U158" i="19"/>
  <c r="U160" i="19"/>
  <c r="R179" i="19"/>
  <c r="V31" i="20"/>
  <c r="V49" i="20" s="1"/>
  <c r="V214" i="20" s="1"/>
  <c r="W135" i="12" s="1"/>
  <c r="U30" i="20"/>
  <c r="U48" i="20" s="1"/>
  <c r="T157" i="19"/>
  <c r="R225" i="20"/>
  <c r="Q258" i="20"/>
  <c r="V29" i="20"/>
  <c r="V47" i="20" s="1"/>
  <c r="V201" i="20" s="1"/>
  <c r="V162" i="19" s="1"/>
  <c r="W123" i="14" s="1"/>
  <c r="R317" i="20"/>
  <c r="R270" i="20"/>
  <c r="R318" i="20"/>
  <c r="R266" i="20"/>
  <c r="R267" i="20"/>
  <c r="S256" i="20"/>
  <c r="S34" i="20"/>
  <c r="P281" i="20"/>
  <c r="P282" i="20"/>
  <c r="P261" i="20"/>
  <c r="CC38" i="55" s="1"/>
  <c r="P263" i="20"/>
  <c r="CC40" i="55" s="1"/>
  <c r="P264" i="20"/>
  <c r="CC41" i="55" s="1"/>
  <c r="P262" i="20"/>
  <c r="CC39" i="55" s="1"/>
  <c r="P265" i="20"/>
  <c r="CC42" i="55" s="1"/>
  <c r="P260" i="20"/>
  <c r="R226" i="14"/>
  <c r="S60" i="19"/>
  <c r="T93" i="12"/>
  <c r="S62" i="19"/>
  <c r="S50" i="20"/>
  <c r="S221" i="20" s="1"/>
  <c r="S61" i="19"/>
  <c r="S53" i="19"/>
  <c r="T124" i="12"/>
  <c r="S58" i="19"/>
  <c r="S64" i="19"/>
  <c r="S56" i="19"/>
  <c r="S54" i="19"/>
  <c r="S65" i="19"/>
  <c r="S55" i="19"/>
  <c r="S52" i="19" s="1"/>
  <c r="S63" i="19"/>
  <c r="S57" i="19"/>
  <c r="P276" i="20"/>
  <c r="P275" i="20"/>
  <c r="T169" i="19"/>
  <c r="R37" i="20"/>
  <c r="R36" i="20"/>
  <c r="U27" i="20"/>
  <c r="V19" i="20"/>
  <c r="BC58" i="55" l="1"/>
  <c r="AB141" i="15"/>
  <c r="AB142" i="15" s="1"/>
  <c r="AA173" i="29"/>
  <c r="Z324" i="42"/>
  <c r="AD65" i="16"/>
  <c r="AD139" i="16" s="1"/>
  <c r="AD246" i="38"/>
  <c r="AF49" i="28"/>
  <c r="AD66" i="16"/>
  <c r="AD34" i="28"/>
  <c r="AD149" i="28"/>
  <c r="Z157" i="28"/>
  <c r="CM64" i="55" s="1"/>
  <c r="Z154" i="28"/>
  <c r="CM61" i="55" s="1"/>
  <c r="Z156" i="28"/>
  <c r="CM63" i="55" s="1"/>
  <c r="Z158" i="28"/>
  <c r="CM65" i="55" s="1"/>
  <c r="Z153" i="28"/>
  <c r="Z155" i="28"/>
  <c r="CM62" i="55" s="1"/>
  <c r="AC133" i="16" a="1"/>
  <c r="AC141" i="16" s="1"/>
  <c r="AC142" i="16" s="1"/>
  <c r="AC77" i="16"/>
  <c r="AC134" i="16"/>
  <c r="AC140" i="16" s="1"/>
  <c r="AC68" i="16"/>
  <c r="Y171" i="28"/>
  <c r="Y170" i="28"/>
  <c r="AB236" i="19"/>
  <c r="AB235" i="19"/>
  <c r="AB163" i="28"/>
  <c r="AB160" i="28"/>
  <c r="AB162" i="28"/>
  <c r="AE32" i="28"/>
  <c r="AE45" i="28"/>
  <c r="AF19" i="53"/>
  <c r="AF27" i="53"/>
  <c r="AF32" i="53" s="1"/>
  <c r="AD108" i="42"/>
  <c r="AD106" i="42"/>
  <c r="AD110" i="42" s="1"/>
  <c r="AD105" i="42"/>
  <c r="AD109" i="42" s="1"/>
  <c r="AD107" i="42"/>
  <c r="AD111" i="42" s="1"/>
  <c r="AG19" i="46"/>
  <c r="AG275" i="46" s="1"/>
  <c r="AG27" i="46"/>
  <c r="AG32" i="46" s="1"/>
  <c r="AF139" i="42"/>
  <c r="AF143" i="42" s="1"/>
  <c r="AF141" i="42"/>
  <c r="AF140" i="42"/>
  <c r="AF144" i="42" s="1"/>
  <c r="AF138" i="42"/>
  <c r="AF142" i="42" s="1"/>
  <c r="AE197" i="54"/>
  <c r="AE34" i="54"/>
  <c r="Z158" i="29"/>
  <c r="Z162" i="29" s="1"/>
  <c r="Z159" i="29"/>
  <c r="AB307" i="42"/>
  <c r="AB306" i="42"/>
  <c r="AC134" i="15"/>
  <c r="AC140" i="15" s="1"/>
  <c r="AC133" i="15" a="1"/>
  <c r="AC68" i="15"/>
  <c r="AC77" i="15" s="1"/>
  <c r="DQ81" i="55"/>
  <c r="BE81" i="55"/>
  <c r="X340" i="42"/>
  <c r="BE84" i="55"/>
  <c r="X345" i="42"/>
  <c r="AF209" i="48"/>
  <c r="AF212" i="46"/>
  <c r="AF217" i="46" s="1"/>
  <c r="AF211" i="46"/>
  <c r="AF216" i="46" s="1"/>
  <c r="AF213" i="46"/>
  <c r="AF218" i="46" s="1"/>
  <c r="AF214" i="46"/>
  <c r="AG89" i="45" s="1"/>
  <c r="AF210" i="46"/>
  <c r="AF215" i="46" s="1"/>
  <c r="AE210" i="48"/>
  <c r="AE215" i="48" s="1"/>
  <c r="AE213" i="48"/>
  <c r="AE218" i="48" s="1"/>
  <c r="AE212" i="48"/>
  <c r="AE217" i="48" s="1"/>
  <c r="AE211" i="48"/>
  <c r="AE216" i="48" s="1"/>
  <c r="AE214" i="48"/>
  <c r="AF66" i="29"/>
  <c r="AF65" i="29" s="1"/>
  <c r="AF71" i="29"/>
  <c r="AF70" i="29"/>
  <c r="AF77" i="29"/>
  <c r="AG45" i="16" s="1"/>
  <c r="AG58" i="15"/>
  <c r="AF78" i="29"/>
  <c r="AG64" i="16" s="1"/>
  <c r="AG64" i="15"/>
  <c r="AF75" i="29"/>
  <c r="AG48" i="15"/>
  <c r="AG49" i="15" s="1"/>
  <c r="AG136" i="15" s="1"/>
  <c r="AF74" i="29"/>
  <c r="AG48" i="16" s="1"/>
  <c r="AG49" i="16" s="1"/>
  <c r="AG136" i="16" s="1"/>
  <c r="AG45" i="15"/>
  <c r="AF68" i="29"/>
  <c r="AF73" i="29"/>
  <c r="AF76" i="29"/>
  <c r="AG58" i="16" s="1"/>
  <c r="AF69" i="29"/>
  <c r="AF67" i="29"/>
  <c r="AC217" i="28"/>
  <c r="AB151" i="28"/>
  <c r="W72" i="16"/>
  <c r="BC34" i="58" s="1"/>
  <c r="V200" i="29"/>
  <c r="W73" i="16" s="1"/>
  <c r="AG145" i="38"/>
  <c r="AG161" i="38"/>
  <c r="AG153" i="38"/>
  <c r="AG137" i="38"/>
  <c r="AF61" i="15"/>
  <c r="AE88" i="29"/>
  <c r="AA318" i="42"/>
  <c r="AA319" i="42" s="1"/>
  <c r="AA320" i="42"/>
  <c r="AA323" i="42" s="1"/>
  <c r="AD82" i="42"/>
  <c r="AD86" i="42" s="1"/>
  <c r="AD83" i="42"/>
  <c r="AD87" i="42" s="1"/>
  <c r="AD81" i="42"/>
  <c r="AD85" i="42" s="1"/>
  <c r="AD84" i="42"/>
  <c r="AG249" i="46"/>
  <c r="AG254" i="46" s="1"/>
  <c r="AG246" i="48"/>
  <c r="AG247" i="46"/>
  <c r="AG252" i="46" s="1"/>
  <c r="AG250" i="46"/>
  <c r="AG255" i="46" s="1"/>
  <c r="AG251" i="46"/>
  <c r="AH96" i="45" s="1"/>
  <c r="AG248" i="46"/>
  <c r="AG253" i="46" s="1"/>
  <c r="AC57" i="55"/>
  <c r="AF87" i="45"/>
  <c r="BL85" i="45"/>
  <c r="AF86" i="45"/>
  <c r="BL87" i="45"/>
  <c r="AF85" i="45"/>
  <c r="BL86" i="45"/>
  <c r="AD59" i="15"/>
  <c r="AD135" i="15" s="1"/>
  <c r="AD66" i="15"/>
  <c r="AG225" i="42"/>
  <c r="AG229" i="42" s="1"/>
  <c r="AG223" i="42"/>
  <c r="AG227" i="42" s="1"/>
  <c r="AG224" i="42"/>
  <c r="AG228" i="42" s="1"/>
  <c r="AG226" i="42"/>
  <c r="AB161" i="29"/>
  <c r="AB160" i="29"/>
  <c r="AB172" i="29" s="1"/>
  <c r="AF232" i="46"/>
  <c r="AF237" i="46" s="1"/>
  <c r="AF230" i="46"/>
  <c r="AF235" i="46" s="1"/>
  <c r="AF233" i="46"/>
  <c r="AF238" i="46" s="1"/>
  <c r="AF231" i="46"/>
  <c r="AF236" i="46" s="1"/>
  <c r="AF229" i="48"/>
  <c r="AF234" i="46"/>
  <c r="AG108" i="45" s="1"/>
  <c r="BM108" i="45" s="1"/>
  <c r="AF19" i="28"/>
  <c r="AF118" i="28" s="1"/>
  <c r="AF27" i="28"/>
  <c r="CN57" i="55"/>
  <c r="AA152" i="28"/>
  <c r="AG16" i="54"/>
  <c r="AG29" i="54" s="1"/>
  <c r="AG44" i="54" s="1"/>
  <c r="AG150" i="54" s="1"/>
  <c r="AG151" i="54" s="1"/>
  <c r="AG15" i="54"/>
  <c r="AG28" i="54" s="1"/>
  <c r="AG14" i="54"/>
  <c r="AG18" i="54"/>
  <c r="AG31" i="54" s="1"/>
  <c r="AG17" i="54"/>
  <c r="AG30" i="54" s="1"/>
  <c r="AG238" i="38"/>
  <c r="AG242" i="38" s="1"/>
  <c r="AG239" i="38"/>
  <c r="AG243" i="38" s="1"/>
  <c r="AG240" i="38"/>
  <c r="AG244" i="38" s="1"/>
  <c r="AE221" i="48"/>
  <c r="AE226" i="48" s="1"/>
  <c r="AE222" i="48"/>
  <c r="AE227" i="48" s="1"/>
  <c r="AE224" i="48"/>
  <c r="AE223" i="48"/>
  <c r="AE228" i="48" s="1"/>
  <c r="AE220" i="48"/>
  <c r="AE225" i="48" s="1"/>
  <c r="AD36" i="19"/>
  <c r="AD37" i="19"/>
  <c r="AF179" i="46"/>
  <c r="AF184" i="46" s="1"/>
  <c r="AF178" i="46"/>
  <c r="AF183" i="46" s="1"/>
  <c r="AF181" i="46"/>
  <c r="AF186" i="46" s="1"/>
  <c r="AF180" i="46"/>
  <c r="AF185" i="46" s="1"/>
  <c r="AF182" i="46"/>
  <c r="AG107" i="45" s="1"/>
  <c r="BM107" i="45" s="1"/>
  <c r="AF177" i="48"/>
  <c r="AB170" i="29"/>
  <c r="AB171" i="29" s="1"/>
  <c r="AB147" i="29"/>
  <c r="AD229" i="19"/>
  <c r="AD230" i="19"/>
  <c r="AD231" i="19"/>
  <c r="AD232" i="19"/>
  <c r="AC314" i="42"/>
  <c r="BJ88" i="55" s="1"/>
  <c r="AC313" i="42"/>
  <c r="BJ87" i="55" s="1"/>
  <c r="AC311" i="42"/>
  <c r="BJ85" i="55" s="1"/>
  <c r="AC312" i="42"/>
  <c r="BJ86" i="55" s="1"/>
  <c r="AC310" i="42"/>
  <c r="AC309" i="42"/>
  <c r="AA181" i="28"/>
  <c r="AB64" i="55" s="1"/>
  <c r="AA180" i="28"/>
  <c r="AB63" i="55" s="1"/>
  <c r="AA178" i="28"/>
  <c r="AA177" i="28"/>
  <c r="AA182" i="28"/>
  <c r="AB65" i="55" s="1"/>
  <c r="AA179" i="28"/>
  <c r="AB62" i="55" s="1"/>
  <c r="AF201" i="38"/>
  <c r="AF205" i="38" s="1"/>
  <c r="AF202" i="38"/>
  <c r="AF206" i="38" s="1"/>
  <c r="AF200" i="38"/>
  <c r="AF204" i="38" s="1"/>
  <c r="AF203" i="38"/>
  <c r="AG101" i="36" s="1"/>
  <c r="BM101" i="36" s="1"/>
  <c r="Z177" i="29"/>
  <c r="AF32" i="29"/>
  <c r="AF45" i="29"/>
  <c r="Z305" i="42"/>
  <c r="Z304" i="42"/>
  <c r="Z308" i="42" s="1"/>
  <c r="AD293" i="42"/>
  <c r="AD316" i="42"/>
  <c r="AD317" i="42" s="1"/>
  <c r="AG177" i="46"/>
  <c r="AG167" i="46"/>
  <c r="AG157" i="46"/>
  <c r="AG147" i="46"/>
  <c r="X183" i="29"/>
  <c r="X190" i="29" s="1"/>
  <c r="Z328" i="42"/>
  <c r="AF42" i="38"/>
  <c r="AF32" i="38"/>
  <c r="AE281" i="42"/>
  <c r="AE34" i="42"/>
  <c r="AE50" i="29"/>
  <c r="AE145" i="29" s="1"/>
  <c r="AE197" i="53"/>
  <c r="AE34" i="53"/>
  <c r="AB300" i="42"/>
  <c r="AB301" i="42"/>
  <c r="AG145" i="42"/>
  <c r="AG161" i="42"/>
  <c r="AG153" i="42"/>
  <c r="AG137" i="42"/>
  <c r="AC294" i="38"/>
  <c r="X189" i="28"/>
  <c r="X190" i="28" s="1"/>
  <c r="X192" i="28" s="1"/>
  <c r="AB154" i="29"/>
  <c r="AB155" i="29"/>
  <c r="AF219" i="48"/>
  <c r="AF223" i="46"/>
  <c r="AF228" i="46" s="1"/>
  <c r="AF222" i="46"/>
  <c r="AF227" i="46" s="1"/>
  <c r="AF220" i="46"/>
  <c r="AF225" i="46" s="1"/>
  <c r="AF221" i="46"/>
  <c r="AF226" i="46" s="1"/>
  <c r="AF224" i="46"/>
  <c r="AG99" i="45" s="1"/>
  <c r="BM99" i="45" s="1"/>
  <c r="AF19" i="54"/>
  <c r="AF27" i="54"/>
  <c r="AF32" i="54" s="1"/>
  <c r="U213" i="28"/>
  <c r="AG199" i="38"/>
  <c r="AG207" i="38"/>
  <c r="AG191" i="38"/>
  <c r="Y186" i="28"/>
  <c r="Y187" i="28" s="1"/>
  <c r="Y188" i="28"/>
  <c r="AC234" i="19"/>
  <c r="AC233" i="19"/>
  <c r="Z143" i="29"/>
  <c r="Z140" i="29"/>
  <c r="Z142" i="29"/>
  <c r="Z144" i="29"/>
  <c r="Z139" i="29"/>
  <c r="Z141" i="29"/>
  <c r="AF170" i="46"/>
  <c r="AF175" i="46" s="1"/>
  <c r="AF172" i="46"/>
  <c r="AG77" i="45" s="1"/>
  <c r="BM77" i="45" s="1"/>
  <c r="AF167" i="48"/>
  <c r="AF171" i="46"/>
  <c r="AF176" i="46" s="1"/>
  <c r="AF169" i="46"/>
  <c r="AF174" i="46" s="1"/>
  <c r="AF168" i="46"/>
  <c r="AF173" i="46" s="1"/>
  <c r="AF193" i="42"/>
  <c r="AF197" i="42" s="1"/>
  <c r="AF194" i="42"/>
  <c r="AF198" i="42" s="1"/>
  <c r="AF195" i="42"/>
  <c r="AF192" i="42"/>
  <c r="AF196" i="42" s="1"/>
  <c r="AG27" i="19"/>
  <c r="AG19" i="19"/>
  <c r="AA167" i="28"/>
  <c r="AA166" i="28"/>
  <c r="AA164" i="28"/>
  <c r="AA165" i="28"/>
  <c r="AF193" i="38"/>
  <c r="AF197" i="38" s="1"/>
  <c r="AF192" i="38"/>
  <c r="AF196" i="38" s="1"/>
  <c r="AF194" i="38"/>
  <c r="AF198" i="38" s="1"/>
  <c r="AD149" i="29"/>
  <c r="AD146" i="29"/>
  <c r="AE249" i="42"/>
  <c r="AE47" i="42"/>
  <c r="AE291" i="42" s="1"/>
  <c r="AE80" i="42"/>
  <c r="AE96" i="42"/>
  <c r="AE104" i="42"/>
  <c r="AE72" i="42"/>
  <c r="AE135" i="29"/>
  <c r="AE34" i="29"/>
  <c r="X196" i="28"/>
  <c r="X197" i="28" s="1"/>
  <c r="X206" i="28" s="1"/>
  <c r="Y70" i="15" s="1"/>
  <c r="AE275" i="19"/>
  <c r="AE228" i="19"/>
  <c r="AE276" i="19"/>
  <c r="AE224" i="19"/>
  <c r="AE225" i="19"/>
  <c r="AD67" i="15"/>
  <c r="AD46" i="15"/>
  <c r="AC103" i="29"/>
  <c r="AC91" i="29"/>
  <c r="AG19" i="42"/>
  <c r="AG247" i="42" s="1"/>
  <c r="AG27" i="42"/>
  <c r="AC296" i="38"/>
  <c r="AC298" i="38"/>
  <c r="AC299" i="38"/>
  <c r="AC297" i="38"/>
  <c r="AG19" i="29"/>
  <c r="AG27" i="29"/>
  <c r="AC197" i="29"/>
  <c r="AC196" i="29"/>
  <c r="V61" i="55"/>
  <c r="AG19" i="38"/>
  <c r="AG247" i="38" s="1"/>
  <c r="AG27" i="38"/>
  <c r="AA137" i="29"/>
  <c r="AA138" i="29" s="1"/>
  <c r="AB104" i="29"/>
  <c r="AF161" i="46"/>
  <c r="AF166" i="46" s="1"/>
  <c r="AF160" i="46"/>
  <c r="AF165" i="46" s="1"/>
  <c r="AF158" i="46"/>
  <c r="AF163" i="46" s="1"/>
  <c r="AF162" i="46"/>
  <c r="AG98" i="45" s="1"/>
  <c r="BM98" i="45" s="1"/>
  <c r="AF157" i="48"/>
  <c r="AF159" i="46"/>
  <c r="AF164" i="46" s="1"/>
  <c r="AF203" i="42"/>
  <c r="AF200" i="42"/>
  <c r="AF204" i="42" s="1"/>
  <c r="AF202" i="42"/>
  <c r="AF206" i="42" s="1"/>
  <c r="AF201" i="42"/>
  <c r="AF205" i="42" s="1"/>
  <c r="AD295" i="38"/>
  <c r="AD292" i="38"/>
  <c r="AC296" i="42"/>
  <c r="AC297" i="42"/>
  <c r="AC299" i="42"/>
  <c r="AC298" i="42"/>
  <c r="AF208" i="38"/>
  <c r="AF212" i="38" s="1"/>
  <c r="AF209" i="38"/>
  <c r="AF213" i="38" s="1"/>
  <c r="AF210" i="38"/>
  <c r="AF214" i="38" s="1"/>
  <c r="AF211" i="38"/>
  <c r="AA156" i="29"/>
  <c r="AA157" i="29"/>
  <c r="AD246" i="42"/>
  <c r="AB306" i="38"/>
  <c r="AB318" i="38" s="1"/>
  <c r="AB307" i="38"/>
  <c r="BD126" i="36"/>
  <c r="BD39" i="58" s="1"/>
  <c r="W346" i="42"/>
  <c r="BD127" i="36" s="1"/>
  <c r="AE61" i="16"/>
  <c r="AD87" i="29"/>
  <c r="AE281" i="38"/>
  <c r="AE34" i="38"/>
  <c r="AA288" i="42"/>
  <c r="AA285" i="42"/>
  <c r="AA287" i="42"/>
  <c r="AA286" i="42"/>
  <c r="AA290" i="42"/>
  <c r="AA289" i="42"/>
  <c r="AE34" i="19"/>
  <c r="AE214" i="19"/>
  <c r="AC184" i="28"/>
  <c r="AC185" i="28" s="1"/>
  <c r="AC161" i="28"/>
  <c r="AG207" i="42"/>
  <c r="AG199" i="42"/>
  <c r="AG191" i="42"/>
  <c r="AF154" i="38"/>
  <c r="AF158" i="38" s="1"/>
  <c r="AF157" i="38"/>
  <c r="AG79" i="36" s="1"/>
  <c r="BM79" i="36" s="1"/>
  <c r="AF155" i="38"/>
  <c r="AF159" i="38" s="1"/>
  <c r="AF156" i="38"/>
  <c r="AF160" i="38" s="1"/>
  <c r="AF42" i="42"/>
  <c r="AF32" i="42"/>
  <c r="AG55" i="15"/>
  <c r="AF83" i="29"/>
  <c r="AF82" i="29" s="1"/>
  <c r="AF85" i="29"/>
  <c r="AG55" i="16" s="1"/>
  <c r="Z169" i="28"/>
  <c r="Z168" i="28"/>
  <c r="U208" i="28"/>
  <c r="AG225" i="38"/>
  <c r="AG229" i="38" s="1"/>
  <c r="AG223" i="38"/>
  <c r="AG227" i="38" s="1"/>
  <c r="AG224" i="38"/>
  <c r="AG228" i="38" s="1"/>
  <c r="X72" i="16"/>
  <c r="BD34" i="58" s="1"/>
  <c r="W200" i="29"/>
  <c r="X73" i="16" s="1"/>
  <c r="AC239" i="19"/>
  <c r="AC251" i="19" s="1"/>
  <c r="AC240" i="19"/>
  <c r="AF148" i="46"/>
  <c r="AF153" i="46" s="1"/>
  <c r="AF149" i="46"/>
  <c r="AF154" i="46" s="1"/>
  <c r="AF152" i="46"/>
  <c r="AG83" i="45" s="1"/>
  <c r="AF147" i="48"/>
  <c r="AF150" i="46"/>
  <c r="AF155" i="46" s="1"/>
  <c r="AF151" i="46"/>
  <c r="AF156" i="46" s="1"/>
  <c r="AE230" i="48"/>
  <c r="AE235" i="48" s="1"/>
  <c r="AE232" i="48"/>
  <c r="AE237" i="48" s="1"/>
  <c r="AE233" i="48"/>
  <c r="AE238" i="48" s="1"/>
  <c r="AE234" i="48"/>
  <c r="AE231" i="48"/>
  <c r="AE236" i="48" s="1"/>
  <c r="AF211" i="42"/>
  <c r="AF208" i="42"/>
  <c r="AF212" i="42" s="1"/>
  <c r="AF209" i="42"/>
  <c r="AF213" i="42" s="1"/>
  <c r="AF210" i="42"/>
  <c r="AF214" i="42" s="1"/>
  <c r="AD293" i="38"/>
  <c r="AE80" i="55" s="1"/>
  <c r="AD316" i="38"/>
  <c r="Z304" i="38"/>
  <c r="Z308" i="38" s="1"/>
  <c r="Z305" i="38"/>
  <c r="Y329" i="42"/>
  <c r="Y336" i="42" s="1"/>
  <c r="AD37" i="29"/>
  <c r="AD36" i="29"/>
  <c r="Y190" i="29"/>
  <c r="AF248" i="48"/>
  <c r="AF253" i="48" s="1"/>
  <c r="AF247" i="48"/>
  <c r="AF252" i="48" s="1"/>
  <c r="AF249" i="48"/>
  <c r="AF254" i="48" s="1"/>
  <c r="AF251" i="48"/>
  <c r="AF250" i="48"/>
  <c r="AF255" i="48" s="1"/>
  <c r="AD295" i="42"/>
  <c r="AD294" i="42"/>
  <c r="AD292" i="42"/>
  <c r="AB300" i="38"/>
  <c r="AB301" i="38"/>
  <c r="AF156" i="42"/>
  <c r="AF160" i="42" s="1"/>
  <c r="AF154" i="42"/>
  <c r="AF158" i="42" s="1"/>
  <c r="AF157" i="42"/>
  <c r="AF155" i="42"/>
  <c r="AF159" i="42" s="1"/>
  <c r="AF32" i="19"/>
  <c r="AF45" i="19"/>
  <c r="AF50" i="19" s="1"/>
  <c r="AC37" i="28"/>
  <c r="AC36" i="28"/>
  <c r="AE249" i="38"/>
  <c r="AE72" i="38"/>
  <c r="AE73" i="38" s="1"/>
  <c r="AE104" i="38"/>
  <c r="AE47" i="38"/>
  <c r="AE291" i="38" s="1"/>
  <c r="AE80" i="38"/>
  <c r="AE96" i="38"/>
  <c r="DV80" i="55"/>
  <c r="BJ80" i="55"/>
  <c r="AB283" i="42"/>
  <c r="AB284" i="42" s="1"/>
  <c r="AC250" i="42"/>
  <c r="AG238" i="42"/>
  <c r="AG242" i="42" s="1"/>
  <c r="AG241" i="42"/>
  <c r="AG240" i="42"/>
  <c r="AG244" i="42" s="1"/>
  <c r="AG239" i="42"/>
  <c r="AG243" i="42" s="1"/>
  <c r="AE170" i="48"/>
  <c r="AE175" i="48" s="1"/>
  <c r="AE172" i="48"/>
  <c r="AE168" i="48"/>
  <c r="AE173" i="48" s="1"/>
  <c r="AE169" i="48"/>
  <c r="AE174" i="48" s="1"/>
  <c r="AE171" i="48"/>
  <c r="AE176" i="48" s="1"/>
  <c r="AA321" i="42"/>
  <c r="AA322" i="42" s="1"/>
  <c r="AF162" i="38"/>
  <c r="AF166" i="38" s="1"/>
  <c r="AF165" i="38"/>
  <c r="AG109" i="36" s="1"/>
  <c r="BM109" i="36" s="1"/>
  <c r="AF164" i="38"/>
  <c r="AF168" i="38" s="1"/>
  <c r="AF163" i="38"/>
  <c r="AF167" i="38" s="1"/>
  <c r="AG17" i="28"/>
  <c r="AG30" i="28" s="1"/>
  <c r="AG14" i="28"/>
  <c r="AG18" i="28"/>
  <c r="AG31" i="28" s="1"/>
  <c r="AI5" i="28"/>
  <c r="AG16" i="28"/>
  <c r="AG29" i="28" s="1"/>
  <c r="AG47" i="28" s="1"/>
  <c r="AG15" i="28"/>
  <c r="AG28" i="28" s="1"/>
  <c r="AG46" i="28" s="1"/>
  <c r="V58" i="55"/>
  <c r="AA302" i="38"/>
  <c r="AA303" i="38"/>
  <c r="AA237" i="19"/>
  <c r="AA241" i="19" s="1"/>
  <c r="AA238" i="19"/>
  <c r="AG17" i="53"/>
  <c r="AG30" i="53" s="1"/>
  <c r="AG14" i="53"/>
  <c r="AG16" i="53"/>
  <c r="AG29" i="53" s="1"/>
  <c r="AG44" i="53" s="1"/>
  <c r="AG150" i="53" s="1"/>
  <c r="AG151" i="53" s="1"/>
  <c r="AH60" i="51" s="1"/>
  <c r="BN60" i="51" s="1"/>
  <c r="AG15" i="53"/>
  <c r="AG28" i="53" s="1"/>
  <c r="AG18" i="53"/>
  <c r="AG31" i="53" s="1"/>
  <c r="AD98" i="42"/>
  <c r="AD102" i="42" s="1"/>
  <c r="AD100" i="42"/>
  <c r="AD99" i="42"/>
  <c r="AD103" i="42" s="1"/>
  <c r="AD97" i="42"/>
  <c r="AD101" i="42" s="1"/>
  <c r="AF146" i="42"/>
  <c r="AF150" i="42" s="1"/>
  <c r="AF149" i="42"/>
  <c r="AF147" i="42"/>
  <c r="AF151" i="42" s="1"/>
  <c r="AF148" i="42"/>
  <c r="AF152" i="42" s="1"/>
  <c r="W197" i="28"/>
  <c r="W206" i="28" s="1"/>
  <c r="X70" i="15" s="1"/>
  <c r="Z164" i="29"/>
  <c r="Z167" i="29"/>
  <c r="BG64" i="55" s="1"/>
  <c r="Z168" i="29"/>
  <c r="BG65" i="55" s="1"/>
  <c r="Z165" i="29"/>
  <c r="BG62" i="55" s="1"/>
  <c r="Z163" i="29"/>
  <c r="Z166" i="29"/>
  <c r="BG63" i="55" s="1"/>
  <c r="AE150" i="48"/>
  <c r="AE155" i="48" s="1"/>
  <c r="AE149" i="48"/>
  <c r="AE154" i="48" s="1"/>
  <c r="AE151" i="48"/>
  <c r="AE156" i="48" s="1"/>
  <c r="AE148" i="48"/>
  <c r="AE153" i="48" s="1"/>
  <c r="AE152" i="48"/>
  <c r="AC151" i="29"/>
  <c r="AC152" i="29"/>
  <c r="AC150" i="29"/>
  <c r="AC153" i="29"/>
  <c r="AC92" i="29"/>
  <c r="AG49" i="29"/>
  <c r="AA303" i="42"/>
  <c r="AA302" i="42"/>
  <c r="AF149" i="38"/>
  <c r="AG100" i="36" s="1"/>
  <c r="BM100" i="36" s="1"/>
  <c r="AF148" i="38"/>
  <c r="AF152" i="38" s="1"/>
  <c r="AF146" i="38"/>
  <c r="AF150" i="38" s="1"/>
  <c r="AF147" i="38"/>
  <c r="AF151" i="38" s="1"/>
  <c r="DT57" i="55"/>
  <c r="BH57" i="55"/>
  <c r="AA148" i="29"/>
  <c r="Z175" i="28"/>
  <c r="Z174" i="28"/>
  <c r="V71" i="15"/>
  <c r="V33" i="58" s="1"/>
  <c r="AD216" i="28"/>
  <c r="AD53" i="29"/>
  <c r="AE44" i="15"/>
  <c r="AD57" i="29"/>
  <c r="AD59" i="29"/>
  <c r="AE44" i="16" s="1"/>
  <c r="AD60" i="29"/>
  <c r="AD50" i="28"/>
  <c r="AD117" i="28" s="1"/>
  <c r="AD63" i="29"/>
  <c r="AE56" i="16" s="1"/>
  <c r="AD61" i="29"/>
  <c r="AD54" i="29"/>
  <c r="AD62" i="29"/>
  <c r="AE62" i="16" s="1"/>
  <c r="AE65" i="16" s="1"/>
  <c r="AE139" i="16" s="1"/>
  <c r="AE56" i="15"/>
  <c r="AD56" i="29"/>
  <c r="AD55" i="29"/>
  <c r="AD52" i="29" s="1"/>
  <c r="AD92" i="29" s="1"/>
  <c r="AE62" i="15"/>
  <c r="AE65" i="15" s="1"/>
  <c r="AE139" i="15" s="1"/>
  <c r="V197" i="28"/>
  <c r="V204" i="28" s="1"/>
  <c r="AF34" i="46"/>
  <c r="AF309" i="46"/>
  <c r="AG19" i="48"/>
  <c r="AG275" i="48" s="1"/>
  <c r="AG27" i="48"/>
  <c r="AG32" i="48" s="1"/>
  <c r="AF34" i="48"/>
  <c r="AF309" i="48"/>
  <c r="AD76" i="42"/>
  <c r="AD73" i="42"/>
  <c r="AD77" i="42" s="1"/>
  <c r="AD75" i="42"/>
  <c r="AD79" i="42" s="1"/>
  <c r="AD74" i="42"/>
  <c r="AD78" i="42" s="1"/>
  <c r="AG229" i="46"/>
  <c r="AG219" i="46"/>
  <c r="AG209" i="46"/>
  <c r="AF164" i="42"/>
  <c r="AF168" i="42" s="1"/>
  <c r="AF162" i="42"/>
  <c r="AF166" i="42" s="1"/>
  <c r="AF163" i="42"/>
  <c r="AF167" i="42" s="1"/>
  <c r="AF165" i="42"/>
  <c r="BC126" i="36"/>
  <c r="BC39" i="58" s="1"/>
  <c r="V346" i="42"/>
  <c r="BC127" i="36" s="1"/>
  <c r="AE158" i="48"/>
  <c r="AE163" i="48" s="1"/>
  <c r="AE161" i="48"/>
  <c r="AE166" i="48" s="1"/>
  <c r="AE159" i="48"/>
  <c r="AE164" i="48" s="1"/>
  <c r="AE162" i="48"/>
  <c r="AE160" i="48"/>
  <c r="AE165" i="48" s="1"/>
  <c r="X173" i="28"/>
  <c r="X172" i="28"/>
  <c r="X176" i="28" s="1"/>
  <c r="AC211" i="28"/>
  <c r="AC159" i="28"/>
  <c r="AC210" i="28"/>
  <c r="AD67" i="16"/>
  <c r="AD46" i="16"/>
  <c r="AF138" i="38"/>
  <c r="AF139" i="38"/>
  <c r="AF140" i="38"/>
  <c r="AG61" i="15"/>
  <c r="AF88" i="29"/>
  <c r="AE181" i="48"/>
  <c r="AE186" i="48" s="1"/>
  <c r="AE182" i="48"/>
  <c r="AE180" i="48"/>
  <c r="AE185" i="48" s="1"/>
  <c r="AE179" i="48"/>
  <c r="AE184" i="48" s="1"/>
  <c r="AE178" i="48"/>
  <c r="AE183" i="48" s="1"/>
  <c r="AA174" i="29"/>
  <c r="AA177" i="29" s="1"/>
  <c r="Q259" i="20"/>
  <c r="Q260" i="20" s="1"/>
  <c r="CD34" i="55"/>
  <c r="T105" i="12"/>
  <c r="T228" i="12" s="1"/>
  <c r="Q183" i="19"/>
  <c r="P216" i="19"/>
  <c r="S110" i="14"/>
  <c r="S108" i="14" s="1"/>
  <c r="S105" i="14"/>
  <c r="S228" i="14" s="1"/>
  <c r="S73" i="19"/>
  <c r="T114" i="14" s="1"/>
  <c r="T114" i="12"/>
  <c r="R75" i="19"/>
  <c r="S99" i="12"/>
  <c r="S91" i="19"/>
  <c r="T136" i="14" s="1"/>
  <c r="T136" i="12"/>
  <c r="R97" i="14"/>
  <c r="S109" i="12"/>
  <c r="S180" i="19"/>
  <c r="S109" i="14"/>
  <c r="T124" i="19"/>
  <c r="U138" i="14" s="1"/>
  <c r="U138" i="12"/>
  <c r="S111" i="19"/>
  <c r="S126" i="19"/>
  <c r="S123" i="19"/>
  <c r="T106" i="19"/>
  <c r="U103" i="14" s="1"/>
  <c r="U103" i="12"/>
  <c r="S113" i="19"/>
  <c r="T95" i="14"/>
  <c r="S114" i="19"/>
  <c r="U174" i="19"/>
  <c r="T98" i="19"/>
  <c r="U176" i="19"/>
  <c r="R92" i="19"/>
  <c r="R94" i="19"/>
  <c r="R88" i="19"/>
  <c r="R87" i="19"/>
  <c r="U166" i="19"/>
  <c r="U165" i="19"/>
  <c r="U164" i="19"/>
  <c r="U163" i="19"/>
  <c r="R89" i="19"/>
  <c r="R86" i="19"/>
  <c r="R76" i="19"/>
  <c r="R74" i="19"/>
  <c r="S110" i="12"/>
  <c r="S108" i="12" s="1"/>
  <c r="R93" i="19"/>
  <c r="S120" i="19"/>
  <c r="R83" i="19"/>
  <c r="S111" i="14" s="1"/>
  <c r="S107" i="14" s="1"/>
  <c r="S111" i="12"/>
  <c r="S107" i="12" s="1"/>
  <c r="S119" i="19"/>
  <c r="T118" i="19"/>
  <c r="U94" i="14" s="1"/>
  <c r="S109" i="19"/>
  <c r="R90" i="19"/>
  <c r="S108" i="19"/>
  <c r="R77" i="19"/>
  <c r="S79" i="19"/>
  <c r="T104" i="14" s="1"/>
  <c r="T105" i="14" s="1"/>
  <c r="T228" i="14" s="1"/>
  <c r="R80" i="19"/>
  <c r="S106" i="14" s="1"/>
  <c r="S129" i="19"/>
  <c r="R71" i="19"/>
  <c r="S101" i="14" s="1"/>
  <c r="R69" i="19"/>
  <c r="S99" i="14" s="1"/>
  <c r="R70" i="19"/>
  <c r="S100" i="14" s="1"/>
  <c r="S98" i="14" s="1"/>
  <c r="R68" i="19"/>
  <c r="S96" i="14" s="1"/>
  <c r="P293" i="20"/>
  <c r="V172" i="19"/>
  <c r="W135" i="14" s="1"/>
  <c r="T131" i="19"/>
  <c r="V216" i="20"/>
  <c r="V218" i="20"/>
  <c r="V215" i="20"/>
  <c r="V173" i="19" s="1"/>
  <c r="V217" i="20"/>
  <c r="V175" i="19" s="1"/>
  <c r="V219" i="20"/>
  <c r="V177" i="19" s="1"/>
  <c r="V202" i="20"/>
  <c r="V204" i="20"/>
  <c r="V206" i="20"/>
  <c r="V167" i="19" s="1"/>
  <c r="V203" i="20"/>
  <c r="V205" i="20"/>
  <c r="T147" i="20"/>
  <c r="T144" i="20"/>
  <c r="T143" i="20"/>
  <c r="T145" i="20"/>
  <c r="T121" i="19" s="1"/>
  <c r="T146" i="20"/>
  <c r="T122" i="19" s="1"/>
  <c r="T137" i="20"/>
  <c r="T141" i="20"/>
  <c r="T117" i="19" s="1"/>
  <c r="T140" i="20"/>
  <c r="T116" i="19" s="1"/>
  <c r="T138" i="20"/>
  <c r="T139" i="20"/>
  <c r="T115" i="19" s="1"/>
  <c r="U130" i="20"/>
  <c r="U136" i="20"/>
  <c r="U112" i="19" s="1"/>
  <c r="V126" i="14" s="1"/>
  <c r="U148" i="20"/>
  <c r="U142" i="20"/>
  <c r="T152" i="20"/>
  <c r="T128" i="19" s="1"/>
  <c r="T151" i="20"/>
  <c r="T127" i="19" s="1"/>
  <c r="T150" i="20"/>
  <c r="T149" i="20"/>
  <c r="T125" i="19" s="1"/>
  <c r="T153" i="20"/>
  <c r="T132" i="20"/>
  <c r="T135" i="20"/>
  <c r="T134" i="20"/>
  <c r="T110" i="19" s="1"/>
  <c r="T131" i="20"/>
  <c r="T107" i="19" s="1"/>
  <c r="T133" i="20"/>
  <c r="S100" i="20"/>
  <c r="S103" i="20"/>
  <c r="S95" i="19" s="1"/>
  <c r="S101" i="20"/>
  <c r="S102" i="20"/>
  <c r="S104" i="20"/>
  <c r="S96" i="19" s="1"/>
  <c r="T75" i="20"/>
  <c r="T67" i="19" s="1"/>
  <c r="U93" i="14" s="1"/>
  <c r="T99" i="20"/>
  <c r="T81" i="20"/>
  <c r="T87" i="20"/>
  <c r="U104" i="12" s="1"/>
  <c r="T93" i="20"/>
  <c r="T85" i="19" s="1"/>
  <c r="U124" i="14" s="1"/>
  <c r="S97" i="20"/>
  <c r="S95" i="20"/>
  <c r="S98" i="20"/>
  <c r="S94" i="20"/>
  <c r="S96" i="20"/>
  <c r="S83" i="20"/>
  <c r="S85" i="20"/>
  <c r="S84" i="20"/>
  <c r="S86" i="20"/>
  <c r="S78" i="19" s="1"/>
  <c r="S82" i="20"/>
  <c r="S89" i="20"/>
  <c r="S81" i="19" s="1"/>
  <c r="S91" i="20"/>
  <c r="S88" i="20"/>
  <c r="T106" i="12" s="1"/>
  <c r="S90" i="20"/>
  <c r="S82" i="19" s="1"/>
  <c r="S92" i="20"/>
  <c r="S84" i="19" s="1"/>
  <c r="S77" i="20"/>
  <c r="S76" i="20"/>
  <c r="T96" i="12" s="1"/>
  <c r="S79" i="20"/>
  <c r="T101" i="12" s="1"/>
  <c r="T97" i="12" s="1"/>
  <c r="S78" i="20"/>
  <c r="T100" i="12" s="1"/>
  <c r="T98" i="12" s="1"/>
  <c r="S80" i="20"/>
  <c r="S72" i="19" s="1"/>
  <c r="U45" i="20"/>
  <c r="U32" i="20"/>
  <c r="CH4" i="55" s="1"/>
  <c r="DN4" i="55" s="1"/>
  <c r="S266" i="20"/>
  <c r="S267" i="20"/>
  <c r="S317" i="20"/>
  <c r="S270" i="20"/>
  <c r="S318" i="20"/>
  <c r="S226" i="14"/>
  <c r="R273" i="20"/>
  <c r="R271" i="20"/>
  <c r="R274" i="20"/>
  <c r="R272" i="20"/>
  <c r="V30" i="20"/>
  <c r="V48" i="20" s="1"/>
  <c r="U157" i="19"/>
  <c r="T60" i="19"/>
  <c r="T50" i="20"/>
  <c r="T221" i="20" s="1"/>
  <c r="T53" i="19"/>
  <c r="T62" i="19"/>
  <c r="T54" i="19"/>
  <c r="T63" i="19"/>
  <c r="T64" i="19"/>
  <c r="U124" i="12"/>
  <c r="U93" i="12"/>
  <c r="T55" i="19"/>
  <c r="T52" i="19" s="1"/>
  <c r="T58" i="19"/>
  <c r="T56" i="19"/>
  <c r="T61" i="19"/>
  <c r="T65" i="19"/>
  <c r="T57" i="19"/>
  <c r="S179" i="19"/>
  <c r="S37" i="20"/>
  <c r="S36" i="20"/>
  <c r="R258" i="20"/>
  <c r="S225" i="20"/>
  <c r="U133" i="19"/>
  <c r="U132" i="19"/>
  <c r="U136" i="19"/>
  <c r="U134" i="19"/>
  <c r="V125" i="12"/>
  <c r="U135" i="19"/>
  <c r="V170" i="19"/>
  <c r="U169" i="19"/>
  <c r="Q281" i="20"/>
  <c r="Q282" i="20"/>
  <c r="O280" i="20"/>
  <c r="O279" i="20"/>
  <c r="O283" i="20" s="1"/>
  <c r="V222" i="20"/>
  <c r="V27" i="20"/>
  <c r="P278" i="20"/>
  <c r="P277" i="20"/>
  <c r="T95" i="12"/>
  <c r="W29" i="20"/>
  <c r="W47" i="20" s="1"/>
  <c r="W201" i="20" s="1"/>
  <c r="W162" i="19" s="1"/>
  <c r="X123" i="14" s="1"/>
  <c r="W31" i="20"/>
  <c r="W49" i="20" s="1"/>
  <c r="W214" i="20" s="1"/>
  <c r="X135" i="12" s="1"/>
  <c r="U103" i="19"/>
  <c r="U100" i="19"/>
  <c r="U104" i="19"/>
  <c r="U99" i="19"/>
  <c r="U102" i="19"/>
  <c r="U101" i="19"/>
  <c r="V126" i="12"/>
  <c r="Q275" i="20"/>
  <c r="Q276" i="20"/>
  <c r="W123" i="12"/>
  <c r="V158" i="19"/>
  <c r="V160" i="19"/>
  <c r="V28" i="20"/>
  <c r="V46" i="20" s="1"/>
  <c r="W94" i="12" s="1"/>
  <c r="T256" i="20"/>
  <c r="T34" i="20"/>
  <c r="S226" i="12"/>
  <c r="Q261" i="20" l="1"/>
  <c r="CD38" i="55" s="1"/>
  <c r="AC141" i="15"/>
  <c r="AC142" i="15" s="1"/>
  <c r="Q265" i="20"/>
  <c r="CD42" i="55" s="1"/>
  <c r="Q263" i="20"/>
  <c r="CD40" i="55" s="1"/>
  <c r="Q262" i="20"/>
  <c r="CD39" i="55" s="1"/>
  <c r="Q264" i="20"/>
  <c r="CD41" i="55" s="1"/>
  <c r="AE246" i="42"/>
  <c r="Y338" i="42"/>
  <c r="Y340" i="42" s="1"/>
  <c r="AG49" i="28"/>
  <c r="W204" i="28"/>
  <c r="X69" i="15" s="1"/>
  <c r="X71" i="15" s="1"/>
  <c r="X33" i="58" s="1"/>
  <c r="AA182" i="29"/>
  <c r="W69" i="15"/>
  <c r="AD68" i="16"/>
  <c r="AD133" i="16" a="1"/>
  <c r="AD77" i="16"/>
  <c r="AD134" i="16"/>
  <c r="AD140" i="16" s="1"/>
  <c r="AE59" i="15"/>
  <c r="AE135" i="15" s="1"/>
  <c r="AE66" i="15"/>
  <c r="AG19" i="53"/>
  <c r="AG27" i="53"/>
  <c r="AG32" i="53" s="1"/>
  <c r="AG27" i="28"/>
  <c r="AG19" i="28"/>
  <c r="AG118" i="28" s="1"/>
  <c r="AE295" i="38"/>
  <c r="AE292" i="38"/>
  <c r="AF34" i="19"/>
  <c r="AF214" i="19"/>
  <c r="AD313" i="42"/>
  <c r="BK87" i="55" s="1"/>
  <c r="AD314" i="42"/>
  <c r="BK88" i="55" s="1"/>
  <c r="AD311" i="42"/>
  <c r="BK85" i="55" s="1"/>
  <c r="AD312" i="42"/>
  <c r="BK86" i="55" s="1"/>
  <c r="AD309" i="42"/>
  <c r="AD310" i="42"/>
  <c r="DR58" i="55"/>
  <c r="BF58" i="55"/>
  <c r="Z69" i="16"/>
  <c r="Z71" i="16" s="1"/>
  <c r="BF33" i="58" s="1"/>
  <c r="Y199" i="29"/>
  <c r="AC301" i="38"/>
  <c r="AC300" i="38"/>
  <c r="AE37" i="29"/>
  <c r="AE36" i="29"/>
  <c r="AE293" i="42"/>
  <c r="AE316" i="42"/>
  <c r="AE317" i="42" s="1"/>
  <c r="AC310" i="38"/>
  <c r="AC309" i="38"/>
  <c r="AC313" i="38"/>
  <c r="AD87" i="55" s="1"/>
  <c r="AC314" i="38"/>
  <c r="AD88" i="55" s="1"/>
  <c r="AC312" i="38"/>
  <c r="AD86" i="55" s="1"/>
  <c r="AC311" i="38"/>
  <c r="AD85" i="55" s="1"/>
  <c r="Z329" i="42"/>
  <c r="Z338" i="42" s="1"/>
  <c r="Z336" i="42"/>
  <c r="AG180" i="46"/>
  <c r="AG185" i="46" s="1"/>
  <c r="AG178" i="46"/>
  <c r="AG183" i="46" s="1"/>
  <c r="AG182" i="46"/>
  <c r="AH107" i="45" s="1"/>
  <c r="BN107" i="45" s="1"/>
  <c r="AG177" i="48"/>
  <c r="AG181" i="46"/>
  <c r="AG186" i="46" s="1"/>
  <c r="AG179" i="46"/>
  <c r="AG184" i="46" s="1"/>
  <c r="V206" i="28"/>
  <c r="W70" i="15" s="1"/>
  <c r="AE67" i="15"/>
  <c r="AE46" i="15"/>
  <c r="AD250" i="42"/>
  <c r="AC283" i="42"/>
  <c r="AC284" i="42" s="1"/>
  <c r="AD296" i="42"/>
  <c r="AD299" i="42"/>
  <c r="AD298" i="42"/>
  <c r="AD297" i="42"/>
  <c r="AD197" i="29"/>
  <c r="AD196" i="29"/>
  <c r="Z170" i="28"/>
  <c r="Z171" i="28"/>
  <c r="AE37" i="19"/>
  <c r="AE36" i="19"/>
  <c r="BF61" i="55"/>
  <c r="AD299" i="38"/>
  <c r="AD298" i="38"/>
  <c r="AD297" i="38"/>
  <c r="AD296" i="38"/>
  <c r="AA168" i="28"/>
  <c r="AA169" i="28"/>
  <c r="AG193" i="38"/>
  <c r="AG197" i="38" s="1"/>
  <c r="AG192" i="38"/>
  <c r="AG196" i="38" s="1"/>
  <c r="AG194" i="38"/>
  <c r="AG198" i="38" s="1"/>
  <c r="AG138" i="42"/>
  <c r="AG142" i="42" s="1"/>
  <c r="AG140" i="42"/>
  <c r="AG144" i="42" s="1"/>
  <c r="AG141" i="42"/>
  <c r="AG139" i="42"/>
  <c r="AG143" i="42" s="1"/>
  <c r="AD239" i="19"/>
  <c r="AD251" i="19" s="1"/>
  <c r="AD240" i="19"/>
  <c r="AG19" i="54"/>
  <c r="AG27" i="54"/>
  <c r="AG32" i="54" s="1"/>
  <c r="AF233" i="48"/>
  <c r="AF238" i="48" s="1"/>
  <c r="AF231" i="48"/>
  <c r="AF236" i="48" s="1"/>
  <c r="AF234" i="48"/>
  <c r="AF232" i="48"/>
  <c r="AF237" i="48" s="1"/>
  <c r="AF230" i="48"/>
  <c r="AF235" i="48" s="1"/>
  <c r="AG248" i="48"/>
  <c r="AG253" i="48" s="1"/>
  <c r="AG251" i="48"/>
  <c r="AG249" i="48"/>
  <c r="AG254" i="48" s="1"/>
  <c r="AG250" i="48"/>
  <c r="AG255" i="48" s="1"/>
  <c r="AG247" i="48"/>
  <c r="AG252" i="48" s="1"/>
  <c r="AF61" i="16"/>
  <c r="AE87" i="29"/>
  <c r="CO57" i="55"/>
  <c r="AB152" i="28"/>
  <c r="AG309" i="46"/>
  <c r="AG34" i="46"/>
  <c r="AE216" i="28"/>
  <c r="AE54" i="29"/>
  <c r="AE60" i="29"/>
  <c r="AE56" i="29"/>
  <c r="AE59" i="29"/>
  <c r="AF44" i="16" s="1"/>
  <c r="AE53" i="29"/>
  <c r="AE61" i="29"/>
  <c r="AE63" i="29"/>
  <c r="AF56" i="16" s="1"/>
  <c r="AF59" i="16" s="1"/>
  <c r="AF135" i="16" s="1"/>
  <c r="AE50" i="28"/>
  <c r="AE117" i="28" s="1"/>
  <c r="AE62" i="29"/>
  <c r="AF62" i="16" s="1"/>
  <c r="AF44" i="15"/>
  <c r="AE55" i="29"/>
  <c r="AE52" i="29" s="1"/>
  <c r="AE92" i="29" s="1"/>
  <c r="AE57" i="29"/>
  <c r="AF56" i="15"/>
  <c r="AF62" i="15"/>
  <c r="AF65" i="15" s="1"/>
  <c r="AF139" i="15" s="1"/>
  <c r="Y172" i="28"/>
  <c r="Y176" i="28" s="1"/>
  <c r="Y173" i="28"/>
  <c r="AG214" i="46"/>
  <c r="AH89" i="45" s="1"/>
  <c r="AG212" i="46"/>
  <c r="AG217" i="46" s="1"/>
  <c r="AG211" i="46"/>
  <c r="AG216" i="46" s="1"/>
  <c r="AG209" i="48"/>
  <c r="AG210" i="46"/>
  <c r="AG215" i="46" s="1"/>
  <c r="AG213" i="46"/>
  <c r="AG218" i="46" s="1"/>
  <c r="AC161" i="29"/>
  <c r="AC160" i="29"/>
  <c r="AC172" i="29" s="1"/>
  <c r="AB289" i="42"/>
  <c r="AB288" i="42"/>
  <c r="AB285" i="42"/>
  <c r="AB287" i="42"/>
  <c r="AB286" i="42"/>
  <c r="AB290" i="42"/>
  <c r="AA175" i="29"/>
  <c r="AA176" i="29" s="1"/>
  <c r="AA178" i="29" s="1"/>
  <c r="AG42" i="42"/>
  <c r="AG32" i="42"/>
  <c r="AA174" i="28"/>
  <c r="AA175" i="28"/>
  <c r="AG211" i="38"/>
  <c r="AG209" i="38"/>
  <c r="AG213" i="38" s="1"/>
  <c r="AG208" i="38"/>
  <c r="AG212" i="38" s="1"/>
  <c r="AG210" i="38"/>
  <c r="AG214" i="38" s="1"/>
  <c r="AG156" i="42"/>
  <c r="AG160" i="42" s="1"/>
  <c r="AG157" i="42"/>
  <c r="AG154" i="42"/>
  <c r="AG158" i="42" s="1"/>
  <c r="AG155" i="42"/>
  <c r="AG159" i="42" s="1"/>
  <c r="AE149" i="29"/>
  <c r="AE146" i="29"/>
  <c r="X192" i="29"/>
  <c r="Y70" i="16" s="1"/>
  <c r="DW80" i="55"/>
  <c r="BK80" i="55"/>
  <c r="AD233" i="19"/>
  <c r="AD234" i="19"/>
  <c r="AD217" i="28"/>
  <c r="AC151" i="28"/>
  <c r="AE149" i="28"/>
  <c r="AE34" i="28"/>
  <c r="AF87" i="29"/>
  <c r="AG61" i="16"/>
  <c r="AC163" i="28"/>
  <c r="AC162" i="28"/>
  <c r="AC160" i="28"/>
  <c r="AG219" i="48"/>
  <c r="AG220" i="46"/>
  <c r="AG225" i="46" s="1"/>
  <c r="AG221" i="46"/>
  <c r="AG226" i="46" s="1"/>
  <c r="AG223" i="46"/>
  <c r="AG228" i="46" s="1"/>
  <c r="AG222" i="46"/>
  <c r="AG227" i="46" s="1"/>
  <c r="AG224" i="46"/>
  <c r="AH99" i="45" s="1"/>
  <c r="BN99" i="45" s="1"/>
  <c r="AG34" i="48"/>
  <c r="AG309" i="48"/>
  <c r="AD103" i="29"/>
  <c r="AD91" i="29"/>
  <c r="AD184" i="28"/>
  <c r="AD185" i="28" s="1"/>
  <c r="AD161" i="28"/>
  <c r="AE316" i="38"/>
  <c r="AE293" i="38"/>
  <c r="AF80" i="55" s="1"/>
  <c r="AG195" i="42"/>
  <c r="AG192" i="42"/>
  <c r="AG196" i="42" s="1"/>
  <c r="AG193" i="42"/>
  <c r="AG197" i="42" s="1"/>
  <c r="AG194" i="42"/>
  <c r="AG198" i="42" s="1"/>
  <c r="AC301" i="42"/>
  <c r="AC300" i="42"/>
  <c r="AE229" i="19"/>
  <c r="AE230" i="19"/>
  <c r="AE232" i="19"/>
  <c r="AE231" i="19"/>
  <c r="AE73" i="42"/>
  <c r="AE77" i="42" s="1"/>
  <c r="AE74" i="42"/>
  <c r="AE78" i="42" s="1"/>
  <c r="AE76" i="42"/>
  <c r="AE75" i="42"/>
  <c r="AE79" i="42" s="1"/>
  <c r="AD150" i="29"/>
  <c r="AD152" i="29"/>
  <c r="AD151" i="29"/>
  <c r="AD153" i="29"/>
  <c r="AG201" i="38"/>
  <c r="AG205" i="38" s="1"/>
  <c r="AG203" i="38"/>
  <c r="AH101" i="36" s="1"/>
  <c r="BN101" i="36" s="1"/>
  <c r="AG200" i="38"/>
  <c r="AG204" i="38" s="1"/>
  <c r="AG202" i="38"/>
  <c r="AG206" i="38" s="1"/>
  <c r="AG164" i="42"/>
  <c r="AG168" i="42" s="1"/>
  <c r="AG163" i="42"/>
  <c r="AG167" i="42" s="1"/>
  <c r="AG165" i="42"/>
  <c r="AG162" i="42"/>
  <c r="AG166" i="42" s="1"/>
  <c r="Y69" i="16"/>
  <c r="AG138" i="38"/>
  <c r="AG139" i="38"/>
  <c r="AG140" i="38"/>
  <c r="AB182" i="28"/>
  <c r="AC65" i="55" s="1"/>
  <c r="AB179" i="28"/>
  <c r="AC62" i="55" s="1"/>
  <c r="AB177" i="28"/>
  <c r="AB178" i="28"/>
  <c r="AB181" i="28"/>
  <c r="AC64" i="55" s="1"/>
  <c r="AB180" i="28"/>
  <c r="AC63" i="55" s="1"/>
  <c r="AG231" i="46"/>
  <c r="AG236" i="46" s="1"/>
  <c r="AG229" i="48"/>
  <c r="AG233" i="46"/>
  <c r="AG238" i="46" s="1"/>
  <c r="AG234" i="46"/>
  <c r="AH108" i="45" s="1"/>
  <c r="BN108" i="45" s="1"/>
  <c r="AG230" i="46"/>
  <c r="AG235" i="46" s="1"/>
  <c r="AG232" i="46"/>
  <c r="AG237" i="46" s="1"/>
  <c r="AE59" i="16"/>
  <c r="AE135" i="16" s="1"/>
  <c r="AE66" i="16"/>
  <c r="AC155" i="29"/>
  <c r="AC154" i="29"/>
  <c r="AG69" i="29"/>
  <c r="AH64" i="15"/>
  <c r="AR123" i="15" s="1"/>
  <c r="AG66" i="29"/>
  <c r="AG65" i="29" s="1"/>
  <c r="AG71" i="29"/>
  <c r="AH48" i="15"/>
  <c r="AG75" i="29"/>
  <c r="M7" i="31"/>
  <c r="AH45" i="15"/>
  <c r="AG78" i="29"/>
  <c r="AH64" i="16" s="1"/>
  <c r="AG223" i="28"/>
  <c r="AH58" i="15"/>
  <c r="AR114" i="15" s="1"/>
  <c r="AG70" i="29"/>
  <c r="AG74" i="29"/>
  <c r="AH48" i="16" s="1"/>
  <c r="AH49" i="16" s="1"/>
  <c r="AG67" i="29"/>
  <c r="AG77" i="29"/>
  <c r="AH45" i="16" s="1"/>
  <c r="AG76" i="29"/>
  <c r="AH58" i="16" s="1"/>
  <c r="AG68" i="29"/>
  <c r="AG73" i="29"/>
  <c r="Y345" i="42"/>
  <c r="AF148" i="48"/>
  <c r="AF153" i="48" s="1"/>
  <c r="AF149" i="48"/>
  <c r="AF154" i="48" s="1"/>
  <c r="AF152" i="48"/>
  <c r="AF151" i="48"/>
  <c r="AF156" i="48" s="1"/>
  <c r="AF150" i="48"/>
  <c r="AF155" i="48" s="1"/>
  <c r="AG202" i="42"/>
  <c r="AG206" i="42" s="1"/>
  <c r="AG200" i="42"/>
  <c r="AG204" i="42" s="1"/>
  <c r="AG203" i="42"/>
  <c r="AG201" i="42"/>
  <c r="AG205" i="42" s="1"/>
  <c r="AC306" i="42"/>
  <c r="AC307" i="42"/>
  <c r="AC104" i="29"/>
  <c r="AB137" i="29"/>
  <c r="AB138" i="29" s="1"/>
  <c r="AG32" i="29"/>
  <c r="AG45" i="29"/>
  <c r="AE105" i="42"/>
  <c r="AE109" i="42" s="1"/>
  <c r="AE106" i="42"/>
  <c r="AE110" i="42" s="1"/>
  <c r="AE108" i="42"/>
  <c r="AE107" i="42"/>
  <c r="AE111" i="42" s="1"/>
  <c r="AG32" i="19"/>
  <c r="AG45" i="19"/>
  <c r="AG50" i="19" s="1"/>
  <c r="AF168" i="48"/>
  <c r="AF173" i="48" s="1"/>
  <c r="AF169" i="48"/>
  <c r="AF174" i="48" s="1"/>
  <c r="AF172" i="48"/>
  <c r="AF170" i="48"/>
  <c r="AF175" i="48" s="1"/>
  <c r="AF171" i="48"/>
  <c r="AF176" i="48" s="1"/>
  <c r="V72" i="15"/>
  <c r="V34" i="58" s="1"/>
  <c r="U214" i="28"/>
  <c r="V73" i="15" s="1"/>
  <c r="AF223" i="48"/>
  <c r="AF228" i="48" s="1"/>
  <c r="AF222" i="48"/>
  <c r="AF227" i="48" s="1"/>
  <c r="AF224" i="48"/>
  <c r="AF221" i="48"/>
  <c r="AF226" i="48" s="1"/>
  <c r="AF220" i="48"/>
  <c r="AF225" i="48" s="1"/>
  <c r="AG147" i="42"/>
  <c r="AG151" i="42" s="1"/>
  <c r="AG146" i="42"/>
  <c r="AG150" i="42" s="1"/>
  <c r="AG148" i="42"/>
  <c r="AG152" i="42" s="1"/>
  <c r="AG149" i="42"/>
  <c r="AA154" i="28"/>
  <c r="CN61" i="55" s="1"/>
  <c r="AA157" i="28"/>
  <c r="CN64" i="55" s="1"/>
  <c r="AA155" i="28"/>
  <c r="CN62" i="55" s="1"/>
  <c r="AA153" i="28"/>
  <c r="AA158" i="28"/>
  <c r="CN65" i="55" s="1"/>
  <c r="AA156" i="28"/>
  <c r="CN63" i="55" s="1"/>
  <c r="AG156" i="38"/>
  <c r="AG160" i="38" s="1"/>
  <c r="AG155" i="38"/>
  <c r="AG159" i="38" s="1"/>
  <c r="AG157" i="38"/>
  <c r="AH79" i="36" s="1"/>
  <c r="BN79" i="36" s="1"/>
  <c r="AG154" i="38"/>
  <c r="AG158" i="38" s="1"/>
  <c r="AD211" i="28"/>
  <c r="AD210" i="28"/>
  <c r="AD159" i="28"/>
  <c r="Z186" i="28"/>
  <c r="Z187" i="28" s="1"/>
  <c r="Z188" i="28"/>
  <c r="AA305" i="38"/>
  <c r="AA304" i="38"/>
  <c r="AA308" i="38" s="1"/>
  <c r="M8" i="31"/>
  <c r="M18" i="31"/>
  <c r="M9" i="31"/>
  <c r="M10" i="31"/>
  <c r="AG85" i="29"/>
  <c r="AH55" i="16" s="1"/>
  <c r="AH55" i="15"/>
  <c r="AE246" i="38"/>
  <c r="AB302" i="38"/>
  <c r="AB303" i="38"/>
  <c r="AF281" i="42"/>
  <c r="AF34" i="42"/>
  <c r="AG209" i="42"/>
  <c r="AG213" i="42" s="1"/>
  <c r="AG210" i="42"/>
  <c r="AG214" i="42" s="1"/>
  <c r="AG211" i="42"/>
  <c r="AG208" i="42"/>
  <c r="AG212" i="42" s="1"/>
  <c r="AA140" i="29"/>
  <c r="AA139" i="29"/>
  <c r="AA142" i="29"/>
  <c r="AA144" i="29"/>
  <c r="AA141" i="29"/>
  <c r="AA143" i="29"/>
  <c r="AC170" i="29"/>
  <c r="AC171" i="29" s="1"/>
  <c r="AC147" i="29"/>
  <c r="AE99" i="42"/>
  <c r="AE103" i="42" s="1"/>
  <c r="AE100" i="42"/>
  <c r="AE98" i="42"/>
  <c r="AE102" i="42" s="1"/>
  <c r="AE97" i="42"/>
  <c r="AE101" i="42" s="1"/>
  <c r="AF197" i="54"/>
  <c r="AF34" i="54"/>
  <c r="AB156" i="29"/>
  <c r="AB157" i="29"/>
  <c r="AB303" i="42"/>
  <c r="AB302" i="42"/>
  <c r="AF34" i="38"/>
  <c r="AF281" i="38"/>
  <c r="AG147" i="48"/>
  <c r="AG148" i="46"/>
  <c r="AG153" i="46" s="1"/>
  <c r="AG150" i="46"/>
  <c r="AG155" i="46" s="1"/>
  <c r="AG152" i="46"/>
  <c r="AH83" i="45" s="1"/>
  <c r="AG151" i="46"/>
  <c r="AG156" i="46" s="1"/>
  <c r="AG149" i="46"/>
  <c r="AG154" i="46" s="1"/>
  <c r="AF50" i="29"/>
  <c r="AF145" i="29" s="1"/>
  <c r="DU57" i="55"/>
  <c r="BI57" i="55"/>
  <c r="AB148" i="29"/>
  <c r="AG165" i="38"/>
  <c r="AH109" i="36" s="1"/>
  <c r="BN109" i="36" s="1"/>
  <c r="AG163" i="38"/>
  <c r="AG167" i="38" s="1"/>
  <c r="AG162" i="38"/>
  <c r="AG166" i="38" s="1"/>
  <c r="AG164" i="38"/>
  <c r="AG168" i="38" s="1"/>
  <c r="AF212" i="48"/>
  <c r="AF217" i="48" s="1"/>
  <c r="AF213" i="48"/>
  <c r="AF218" i="48" s="1"/>
  <c r="AF211" i="48"/>
  <c r="AF216" i="48" s="1"/>
  <c r="AF214" i="48"/>
  <c r="AF210" i="48"/>
  <c r="AF215" i="48" s="1"/>
  <c r="AB164" i="28"/>
  <c r="AB165" i="28"/>
  <c r="AB167" i="28"/>
  <c r="AB166" i="28"/>
  <c r="AA304" i="42"/>
  <c r="AA308" i="42" s="1"/>
  <c r="AA305" i="42"/>
  <c r="AA324" i="42"/>
  <c r="AF249" i="42"/>
  <c r="AF47" i="42"/>
  <c r="AF291" i="42" s="1"/>
  <c r="AF72" i="42"/>
  <c r="AF80" i="42"/>
  <c r="AF96" i="42"/>
  <c r="AF104" i="42"/>
  <c r="AD57" i="55"/>
  <c r="AA159" i="29"/>
  <c r="AA158" i="29"/>
  <c r="AA162" i="29" s="1"/>
  <c r="AG42" i="38"/>
  <c r="AG32" i="38"/>
  <c r="AD133" i="15" a="1"/>
  <c r="AD141" i="15" s="1"/>
  <c r="AD142" i="15" s="1"/>
  <c r="AD68" i="15"/>
  <c r="AD77" i="15" s="1"/>
  <c r="AD134" i="15"/>
  <c r="AD140" i="15" s="1"/>
  <c r="AE84" i="42"/>
  <c r="AE83" i="42"/>
  <c r="AE87" i="42" s="1"/>
  <c r="AE81" i="42"/>
  <c r="AE85" i="42" s="1"/>
  <c r="AE82" i="42"/>
  <c r="AE86" i="42" s="1"/>
  <c r="AC236" i="19"/>
  <c r="AC235" i="19"/>
  <c r="AF249" i="38"/>
  <c r="AF104" i="38"/>
  <c r="AF47" i="38"/>
  <c r="AF291" i="38" s="1"/>
  <c r="AF80" i="38"/>
  <c r="AF72" i="38"/>
  <c r="AF73" i="38" s="1"/>
  <c r="AF96" i="38"/>
  <c r="AG160" i="46"/>
  <c r="AG165" i="46" s="1"/>
  <c r="AG159" i="46"/>
  <c r="AG164" i="46" s="1"/>
  <c r="AG162" i="46"/>
  <c r="AH98" i="45" s="1"/>
  <c r="BN98" i="45" s="1"/>
  <c r="AG157" i="48"/>
  <c r="AG158" i="46"/>
  <c r="AG163" i="46" s="1"/>
  <c r="AG161" i="46"/>
  <c r="AG166" i="46" s="1"/>
  <c r="AF34" i="29"/>
  <c r="AF135" i="29"/>
  <c r="AB174" i="29"/>
  <c r="AB175" i="29" s="1"/>
  <c r="AB176" i="29" s="1"/>
  <c r="AF32" i="28"/>
  <c r="AF45" i="28"/>
  <c r="AB173" i="29"/>
  <c r="AG148" i="38"/>
  <c r="AG152" i="38" s="1"/>
  <c r="AG147" i="38"/>
  <c r="AG151" i="38" s="1"/>
  <c r="AG146" i="38"/>
  <c r="AG150" i="38" s="1"/>
  <c r="AG149" i="38"/>
  <c r="AH100" i="36" s="1"/>
  <c r="BN100" i="36" s="1"/>
  <c r="BE126" i="36"/>
  <c r="BE39" i="58" s="1"/>
  <c r="X346" i="42"/>
  <c r="BE127" i="36" s="1"/>
  <c r="AD37" i="28"/>
  <c r="AD36" i="28"/>
  <c r="AE67" i="16"/>
  <c r="AE46" i="16"/>
  <c r="AA163" i="29"/>
  <c r="AA168" i="29"/>
  <c r="BH65" i="55" s="1"/>
  <c r="AA165" i="29"/>
  <c r="BH62" i="55" s="1"/>
  <c r="AA167" i="29"/>
  <c r="BH64" i="55" s="1"/>
  <c r="AA164" i="29"/>
  <c r="AA166" i="29"/>
  <c r="BH63" i="55" s="1"/>
  <c r="AG88" i="29"/>
  <c r="AH61" i="15"/>
  <c r="M16" i="31"/>
  <c r="AG83" i="29"/>
  <c r="AG82" i="29" s="1"/>
  <c r="AF224" i="19"/>
  <c r="AF276" i="19"/>
  <c r="AF225" i="19"/>
  <c r="AF275" i="19"/>
  <c r="AF228" i="19"/>
  <c r="AG85" i="45"/>
  <c r="AG86" i="45"/>
  <c r="AG87" i="45"/>
  <c r="BM87" i="45"/>
  <c r="BM86" i="45"/>
  <c r="BM85" i="45"/>
  <c r="AD294" i="38"/>
  <c r="AF159" i="48"/>
  <c r="AF164" i="48" s="1"/>
  <c r="AF158" i="48"/>
  <c r="AF163" i="48" s="1"/>
  <c r="AF162" i="48"/>
  <c r="AF160" i="48"/>
  <c r="AF165" i="48" s="1"/>
  <c r="AF161" i="48"/>
  <c r="AF166" i="48" s="1"/>
  <c r="AC306" i="38"/>
  <c r="AC318" i="38" s="1"/>
  <c r="AC307" i="38"/>
  <c r="X204" i="28"/>
  <c r="AE295" i="42"/>
  <c r="AE294" i="42"/>
  <c r="AE292" i="42"/>
  <c r="Y189" i="28"/>
  <c r="Y190" i="28" s="1"/>
  <c r="Y192" i="28" s="1"/>
  <c r="Y191" i="28"/>
  <c r="AG169" i="46"/>
  <c r="AG174" i="46" s="1"/>
  <c r="AG170" i="46"/>
  <c r="AG175" i="46" s="1"/>
  <c r="AG167" i="48"/>
  <c r="AG168" i="46"/>
  <c r="AG173" i="46" s="1"/>
  <c r="AG172" i="46"/>
  <c r="AH77" i="45" s="1"/>
  <c r="BN77" i="45" s="1"/>
  <c r="AG171" i="46"/>
  <c r="AG176" i="46" s="1"/>
  <c r="Z182" i="29"/>
  <c r="Z183" i="29" s="1"/>
  <c r="Z192" i="29" s="1"/>
  <c r="AA70" i="16" s="1"/>
  <c r="AF179" i="48"/>
  <c r="AF184" i="48" s="1"/>
  <c r="AF182" i="48"/>
  <c r="AF181" i="48"/>
  <c r="AF186" i="48" s="1"/>
  <c r="AF178" i="48"/>
  <c r="AF183" i="48" s="1"/>
  <c r="AF180" i="48"/>
  <c r="AF185" i="48" s="1"/>
  <c r="AA328" i="42"/>
  <c r="AB318" i="42"/>
  <c r="AB319" i="42" s="1"/>
  <c r="AB320" i="42"/>
  <c r="AB323" i="42" s="1"/>
  <c r="AF197" i="53"/>
  <c r="AF34" i="53"/>
  <c r="AB237" i="19"/>
  <c r="AB241" i="19" s="1"/>
  <c r="AB238" i="19"/>
  <c r="R259" i="20"/>
  <c r="R261" i="20" s="1"/>
  <c r="CE38" i="55" s="1"/>
  <c r="CE34" i="55"/>
  <c r="R183" i="19"/>
  <c r="Q216" i="19"/>
  <c r="T110" i="14"/>
  <c r="T108" i="14" s="1"/>
  <c r="S75" i="19"/>
  <c r="T73" i="19"/>
  <c r="U114" i="14" s="1"/>
  <c r="U114" i="12"/>
  <c r="S97" i="14"/>
  <c r="T99" i="12"/>
  <c r="T109" i="12"/>
  <c r="T91" i="19"/>
  <c r="U136" i="14" s="1"/>
  <c r="U136" i="12"/>
  <c r="T109" i="14"/>
  <c r="U105" i="12"/>
  <c r="U228" i="12" s="1"/>
  <c r="U95" i="14"/>
  <c r="U106" i="19"/>
  <c r="V103" i="14" s="1"/>
  <c r="V103" i="12"/>
  <c r="T113" i="19"/>
  <c r="T111" i="19"/>
  <c r="T126" i="19"/>
  <c r="U124" i="19"/>
  <c r="V138" i="14" s="1"/>
  <c r="V138" i="12"/>
  <c r="T114" i="19"/>
  <c r="T123" i="19"/>
  <c r="V174" i="19"/>
  <c r="U98" i="19"/>
  <c r="S92" i="19"/>
  <c r="S94" i="19"/>
  <c r="V176" i="19"/>
  <c r="S88" i="19"/>
  <c r="S87" i="19"/>
  <c r="V165" i="19"/>
  <c r="V166" i="19"/>
  <c r="V163" i="19"/>
  <c r="V164" i="19"/>
  <c r="S89" i="19"/>
  <c r="S86" i="19"/>
  <c r="S76" i="19"/>
  <c r="S74" i="19"/>
  <c r="S83" i="19"/>
  <c r="T111" i="14" s="1"/>
  <c r="T107" i="14" s="1"/>
  <c r="T111" i="12"/>
  <c r="T107" i="12" s="1"/>
  <c r="U118" i="19"/>
  <c r="V94" i="14" s="1"/>
  <c r="T120" i="19"/>
  <c r="T119" i="19"/>
  <c r="T180" i="19"/>
  <c r="S90" i="19"/>
  <c r="T110" i="12"/>
  <c r="T108" i="12" s="1"/>
  <c r="S93" i="19"/>
  <c r="T109" i="19"/>
  <c r="T108" i="19"/>
  <c r="S77" i="19"/>
  <c r="T79" i="19"/>
  <c r="U104" i="14" s="1"/>
  <c r="U105" i="14" s="1"/>
  <c r="U228" i="14" s="1"/>
  <c r="S80" i="19"/>
  <c r="T106" i="14" s="1"/>
  <c r="T129" i="19"/>
  <c r="S68" i="19"/>
  <c r="T96" i="14" s="1"/>
  <c r="S69" i="19"/>
  <c r="T99" i="14" s="1"/>
  <c r="S70" i="19"/>
  <c r="T100" i="14" s="1"/>
  <c r="T98" i="14" s="1"/>
  <c r="S71" i="19"/>
  <c r="T101" i="14" s="1"/>
  <c r="Q293" i="20"/>
  <c r="W172" i="19"/>
  <c r="X135" i="14" s="1"/>
  <c r="U131" i="19"/>
  <c r="W219" i="20"/>
  <c r="W177" i="19" s="1"/>
  <c r="W216" i="20"/>
  <c r="W218" i="20"/>
  <c r="W217" i="20"/>
  <c r="W175" i="19" s="1"/>
  <c r="W215" i="20"/>
  <c r="W173" i="19" s="1"/>
  <c r="W202" i="20"/>
  <c r="W204" i="20"/>
  <c r="W206" i="20"/>
  <c r="W167" i="19" s="1"/>
  <c r="W203" i="20"/>
  <c r="W205" i="20"/>
  <c r="U138" i="20"/>
  <c r="U141" i="20"/>
  <c r="U117" i="19" s="1"/>
  <c r="U140" i="20"/>
  <c r="U116" i="19" s="1"/>
  <c r="U137" i="20"/>
  <c r="U139" i="20"/>
  <c r="U115" i="19" s="1"/>
  <c r="U135" i="20"/>
  <c r="U131" i="20"/>
  <c r="U107" i="19" s="1"/>
  <c r="U132" i="20"/>
  <c r="U133" i="20"/>
  <c r="U134" i="20"/>
  <c r="U110" i="19" s="1"/>
  <c r="V148" i="20"/>
  <c r="V130" i="20"/>
  <c r="V142" i="20"/>
  <c r="V136" i="20"/>
  <c r="V112" i="19" s="1"/>
  <c r="W126" i="14" s="1"/>
  <c r="U143" i="20"/>
  <c r="U145" i="20"/>
  <c r="U121" i="19" s="1"/>
  <c r="U146" i="20"/>
  <c r="U122" i="19" s="1"/>
  <c r="U147" i="20"/>
  <c r="U144" i="20"/>
  <c r="U150" i="20"/>
  <c r="U153" i="20"/>
  <c r="U149" i="20"/>
  <c r="U125" i="19" s="1"/>
  <c r="U151" i="20"/>
  <c r="U127" i="19" s="1"/>
  <c r="U152" i="20"/>
  <c r="U128" i="19" s="1"/>
  <c r="T100" i="20"/>
  <c r="T104" i="20"/>
  <c r="T96" i="19" s="1"/>
  <c r="T103" i="20"/>
  <c r="T95" i="19" s="1"/>
  <c r="T102" i="20"/>
  <c r="T101" i="20"/>
  <c r="T95" i="20"/>
  <c r="T94" i="20"/>
  <c r="T96" i="20"/>
  <c r="T97" i="20"/>
  <c r="T98" i="20"/>
  <c r="T79" i="20"/>
  <c r="U101" i="12" s="1"/>
  <c r="U97" i="12" s="1"/>
  <c r="T78" i="20"/>
  <c r="U100" i="12" s="1"/>
  <c r="U98" i="12" s="1"/>
  <c r="T77" i="20"/>
  <c r="T80" i="20"/>
  <c r="T72" i="19" s="1"/>
  <c r="T76" i="20"/>
  <c r="U96" i="12" s="1"/>
  <c r="U75" i="20"/>
  <c r="U67" i="19" s="1"/>
  <c r="V93" i="14" s="1"/>
  <c r="U99" i="20"/>
  <c r="U87" i="20"/>
  <c r="V104" i="12" s="1"/>
  <c r="V105" i="12" s="1"/>
  <c r="U81" i="20"/>
  <c r="U93" i="20"/>
  <c r="U85" i="19" s="1"/>
  <c r="V124" i="14" s="1"/>
  <c r="T88" i="20"/>
  <c r="U106" i="12" s="1"/>
  <c r="T91" i="20"/>
  <c r="T89" i="20"/>
  <c r="T81" i="19" s="1"/>
  <c r="T92" i="20"/>
  <c r="T84" i="19" s="1"/>
  <c r="T90" i="20"/>
  <c r="T82" i="19" s="1"/>
  <c r="T82" i="20"/>
  <c r="T85" i="20"/>
  <c r="T86" i="20"/>
  <c r="T78" i="19" s="1"/>
  <c r="T84" i="20"/>
  <c r="T83" i="20"/>
  <c r="W19" i="20"/>
  <c r="W222" i="20" s="1"/>
  <c r="W28" i="20"/>
  <c r="W46" i="20" s="1"/>
  <c r="X94" i="12" s="1"/>
  <c r="T226" i="14"/>
  <c r="X31" i="20"/>
  <c r="X49" i="20" s="1"/>
  <c r="X214" i="20" s="1"/>
  <c r="Y135" i="12" s="1"/>
  <c r="V169" i="19"/>
  <c r="W30" i="20"/>
  <c r="W48" i="20" s="1"/>
  <c r="T36" i="20"/>
  <c r="T37" i="20"/>
  <c r="V103" i="19"/>
  <c r="V100" i="19"/>
  <c r="W126" i="12"/>
  <c r="V104" i="19"/>
  <c r="V99" i="19"/>
  <c r="V102" i="19"/>
  <c r="V101" i="19"/>
  <c r="V157" i="19"/>
  <c r="X123" i="12"/>
  <c r="W160" i="19"/>
  <c r="W158" i="19"/>
  <c r="V45" i="20"/>
  <c r="V32" i="20"/>
  <c r="CI4" i="55" s="1"/>
  <c r="DO4" i="55" s="1"/>
  <c r="V133" i="19"/>
  <c r="V135" i="19"/>
  <c r="V132" i="19"/>
  <c r="V134" i="19"/>
  <c r="V136" i="19"/>
  <c r="W125" i="12"/>
  <c r="R281" i="20"/>
  <c r="R282" i="20"/>
  <c r="S274" i="20"/>
  <c r="S271" i="20"/>
  <c r="S273" i="20"/>
  <c r="S272" i="20"/>
  <c r="U256" i="20"/>
  <c r="U34" i="20"/>
  <c r="X29" i="20"/>
  <c r="X47" i="20" s="1"/>
  <c r="X201" i="20" s="1"/>
  <c r="X162" i="19" s="1"/>
  <c r="Y123" i="14" s="1"/>
  <c r="T226" i="12"/>
  <c r="T225" i="20"/>
  <c r="S258" i="20"/>
  <c r="U95" i="12"/>
  <c r="U55" i="19"/>
  <c r="U52" i="19" s="1"/>
  <c r="U62" i="19"/>
  <c r="U60" i="19"/>
  <c r="V93" i="12"/>
  <c r="U58" i="19"/>
  <c r="U64" i="19"/>
  <c r="U53" i="19"/>
  <c r="U65" i="19"/>
  <c r="U54" i="19"/>
  <c r="U57" i="19"/>
  <c r="U63" i="19"/>
  <c r="U61" i="19"/>
  <c r="U50" i="20"/>
  <c r="U221" i="20" s="1"/>
  <c r="U56" i="19"/>
  <c r="V124" i="12"/>
  <c r="Q278" i="20"/>
  <c r="Q277" i="20"/>
  <c r="W170" i="19"/>
  <c r="P280" i="20"/>
  <c r="P279" i="20"/>
  <c r="P283" i="20" s="1"/>
  <c r="X19" i="20"/>
  <c r="W27" i="20"/>
  <c r="R263" i="20"/>
  <c r="CE40" i="55" s="1"/>
  <c r="T179" i="19"/>
  <c r="T266" i="20"/>
  <c r="T318" i="20"/>
  <c r="T270" i="20"/>
  <c r="T267" i="20"/>
  <c r="T317" i="20"/>
  <c r="R276" i="20"/>
  <c r="R275" i="20"/>
  <c r="BF84" i="55" l="1"/>
  <c r="BE58" i="55"/>
  <c r="BF81" i="55"/>
  <c r="AD141" i="16"/>
  <c r="AD142" i="16" s="1"/>
  <c r="DR81" i="55"/>
  <c r="Z340" i="42"/>
  <c r="W213" i="28"/>
  <c r="R262" i="20"/>
  <c r="CE39" i="55" s="1"/>
  <c r="R260" i="20"/>
  <c r="X61" i="55"/>
  <c r="W208" i="28"/>
  <c r="R264" i="20"/>
  <c r="CE41" i="55" s="1"/>
  <c r="R265" i="20"/>
  <c r="CE42" i="55" s="1"/>
  <c r="AF246" i="38"/>
  <c r="X58" i="55"/>
  <c r="DQ58" i="55"/>
  <c r="BE61" i="55"/>
  <c r="X199" i="29"/>
  <c r="AF66" i="16"/>
  <c r="AE311" i="42"/>
  <c r="BL85" i="55" s="1"/>
  <c r="AE309" i="42"/>
  <c r="AE312" i="42"/>
  <c r="BL86" i="55" s="1"/>
  <c r="AE314" i="42"/>
  <c r="BL88" i="55" s="1"/>
  <c r="AE310" i="42"/>
  <c r="AE313" i="42"/>
  <c r="BL87" i="55" s="1"/>
  <c r="AC237" i="19"/>
  <c r="AC241" i="19" s="1"/>
  <c r="AC238" i="19"/>
  <c r="AF108" i="42"/>
  <c r="AF105" i="42"/>
  <c r="AF109" i="42" s="1"/>
  <c r="AF107" i="42"/>
  <c r="AF111" i="42" s="1"/>
  <c r="AF106" i="42"/>
  <c r="AF110" i="42" s="1"/>
  <c r="AB165" i="29"/>
  <c r="BI62" i="55" s="1"/>
  <c r="AB166" i="29"/>
  <c r="BI63" i="55" s="1"/>
  <c r="AB168" i="29"/>
  <c r="BI65" i="55" s="1"/>
  <c r="AB163" i="29"/>
  <c r="AB164" i="29"/>
  <c r="AB167" i="29"/>
  <c r="BI64" i="55" s="1"/>
  <c r="AB178" i="29"/>
  <c r="DV57" i="55"/>
  <c r="BJ57" i="55"/>
  <c r="AC148" i="29"/>
  <c r="AG50" i="29"/>
  <c r="AG145" i="29" s="1"/>
  <c r="Y346" i="42"/>
  <c r="BF127" i="36" s="1"/>
  <c r="BF126" i="36"/>
  <c r="BF39" i="58" s="1"/>
  <c r="AD160" i="29"/>
  <c r="AD172" i="29" s="1"/>
  <c r="AD161" i="29"/>
  <c r="AE233" i="19"/>
  <c r="AE234" i="19"/>
  <c r="CP57" i="55"/>
  <c r="AC152" i="28"/>
  <c r="AG213" i="48"/>
  <c r="AG218" i="48" s="1"/>
  <c r="AG210" i="48"/>
  <c r="AG215" i="48" s="1"/>
  <c r="AG212" i="48"/>
  <c r="AG217" i="48" s="1"/>
  <c r="AG211" i="48"/>
  <c r="AG216" i="48" s="1"/>
  <c r="AG214" i="48"/>
  <c r="AF59" i="15"/>
  <c r="AF135" i="15" s="1"/>
  <c r="AF66" i="15"/>
  <c r="AB156" i="28"/>
  <c r="CO63" i="55" s="1"/>
  <c r="AB158" i="28"/>
  <c r="CO65" i="55" s="1"/>
  <c r="AB157" i="28"/>
  <c r="CO64" i="55" s="1"/>
  <c r="AB153" i="28"/>
  <c r="AB155" i="28"/>
  <c r="CO62" i="55" s="1"/>
  <c r="AB154" i="28"/>
  <c r="CO61" i="55" s="1"/>
  <c r="AD300" i="42"/>
  <c r="AD301" i="42"/>
  <c r="Z72" i="16"/>
  <c r="BF34" i="58" s="1"/>
  <c r="Y200" i="29"/>
  <c r="Z73" i="16" s="1"/>
  <c r="AG32" i="28"/>
  <c r="AG45" i="28"/>
  <c r="AB328" i="42"/>
  <c r="AB329" i="42" s="1"/>
  <c r="AB338" i="42" s="1"/>
  <c r="AE299" i="42"/>
  <c r="AE297" i="42"/>
  <c r="AE298" i="42"/>
  <c r="AE296" i="42"/>
  <c r="AP123" i="15"/>
  <c r="AE68" i="16"/>
  <c r="AE77" i="16"/>
  <c r="AE133" i="16" a="1"/>
  <c r="AE141" i="16" s="1"/>
  <c r="AE142" i="16" s="1"/>
  <c r="AE134" i="16"/>
  <c r="AE140" i="16" s="1"/>
  <c r="AF37" i="29"/>
  <c r="AF36" i="29"/>
  <c r="AF98" i="42"/>
  <c r="AF102" i="42" s="1"/>
  <c r="AF97" i="42"/>
  <c r="AF101" i="42" s="1"/>
  <c r="AF100" i="42"/>
  <c r="AF99" i="42"/>
  <c r="AF103" i="42" s="1"/>
  <c r="AB159" i="29"/>
  <c r="AB158" i="29"/>
  <c r="AB162" i="29" s="1"/>
  <c r="AC174" i="29"/>
  <c r="AC177" i="29" s="1"/>
  <c r="AG34" i="29"/>
  <c r="AG135" i="29"/>
  <c r="AR106" i="16"/>
  <c r="X82" i="16"/>
  <c r="AH136" i="16"/>
  <c r="AP117" i="15"/>
  <c r="AH49" i="15"/>
  <c r="AE240" i="19"/>
  <c r="AE239" i="19"/>
  <c r="AE251" i="19" s="1"/>
  <c r="AC178" i="28"/>
  <c r="AC179" i="28"/>
  <c r="AD62" i="55" s="1"/>
  <c r="AC177" i="28"/>
  <c r="AC181" i="28"/>
  <c r="AD64" i="55" s="1"/>
  <c r="AC180" i="28"/>
  <c r="AD63" i="55" s="1"/>
  <c r="AC182" i="28"/>
  <c r="AD65" i="55" s="1"/>
  <c r="AD151" i="28"/>
  <c r="AE217" i="28"/>
  <c r="AF46" i="16"/>
  <c r="AF67" i="16"/>
  <c r="AD307" i="42"/>
  <c r="AD306" i="42"/>
  <c r="AG197" i="53"/>
  <c r="AG34" i="53"/>
  <c r="V213" i="28"/>
  <c r="AG172" i="48"/>
  <c r="AG171" i="48"/>
  <c r="AG176" i="48" s="1"/>
  <c r="AG170" i="48"/>
  <c r="AG175" i="48" s="1"/>
  <c r="AG169" i="48"/>
  <c r="AG174" i="48" s="1"/>
  <c r="AG168" i="48"/>
  <c r="AG173" i="48" s="1"/>
  <c r="Y69" i="15"/>
  <c r="Y71" i="15" s="1"/>
  <c r="Y33" i="58" s="1"/>
  <c r="Y58" i="55"/>
  <c r="X208" i="28"/>
  <c r="Y61" i="55"/>
  <c r="X213" i="28"/>
  <c r="AD312" i="38"/>
  <c r="AE86" i="55" s="1"/>
  <c r="AD314" i="38"/>
  <c r="AE88" i="55" s="1"/>
  <c r="AD313" i="38"/>
  <c r="AE87" i="55" s="1"/>
  <c r="AD309" i="38"/>
  <c r="AD311" i="38"/>
  <c r="AE85" i="55" s="1"/>
  <c r="AD310" i="38"/>
  <c r="AF230" i="19"/>
  <c r="AF232" i="19"/>
  <c r="AF229" i="19"/>
  <c r="AF231" i="19"/>
  <c r="AH61" i="16"/>
  <c r="AG87" i="29"/>
  <c r="AG281" i="38"/>
  <c r="AG34" i="38"/>
  <c r="AF81" i="42"/>
  <c r="AF85" i="42" s="1"/>
  <c r="AF82" i="42"/>
  <c r="AF86" i="42" s="1"/>
  <c r="AF83" i="42"/>
  <c r="AF87" i="42" s="1"/>
  <c r="AF84" i="42"/>
  <c r="AH85" i="45"/>
  <c r="AH86" i="45"/>
  <c r="AH87" i="45"/>
  <c r="BN86" i="45"/>
  <c r="BN85" i="45"/>
  <c r="BN87" i="45"/>
  <c r="AP114" i="15"/>
  <c r="Z189" i="28"/>
  <c r="Z190" i="28" s="1"/>
  <c r="Z191" i="28"/>
  <c r="AG228" i="19"/>
  <c r="AG276" i="19"/>
  <c r="AG275" i="19"/>
  <c r="AG225" i="19"/>
  <c r="AG224" i="19"/>
  <c r="AB142" i="29"/>
  <c r="AB144" i="29"/>
  <c r="AB139" i="29"/>
  <c r="AB141" i="29"/>
  <c r="AB143" i="29"/>
  <c r="AB140" i="29"/>
  <c r="AD155" i="29"/>
  <c r="AD154" i="29"/>
  <c r="AC167" i="28"/>
  <c r="AC165" i="28"/>
  <c r="AC164" i="28"/>
  <c r="AC166" i="28"/>
  <c r="AE153" i="29"/>
  <c r="AE152" i="29"/>
  <c r="AE150" i="29"/>
  <c r="AE151" i="29"/>
  <c r="AA170" i="28"/>
  <c r="AA171" i="28"/>
  <c r="BG81" i="55"/>
  <c r="DS81" i="55"/>
  <c r="BG84" i="55"/>
  <c r="Z345" i="42"/>
  <c r="V208" i="28"/>
  <c r="AG96" i="38"/>
  <c r="AG72" i="38"/>
  <c r="AG73" i="38" s="1"/>
  <c r="AG104" i="38"/>
  <c r="AG80" i="38"/>
  <c r="AG47" i="38"/>
  <c r="AG291" i="38" s="1"/>
  <c r="AG249" i="38"/>
  <c r="AF76" i="42"/>
  <c r="AF73" i="42"/>
  <c r="AF77" i="42" s="1"/>
  <c r="AF74" i="42"/>
  <c r="AF78" i="42" s="1"/>
  <c r="AF75" i="42"/>
  <c r="AF79" i="42" s="1"/>
  <c r="AB169" i="28"/>
  <c r="AB168" i="28"/>
  <c r="AG150" i="48"/>
  <c r="AG155" i="48" s="1"/>
  <c r="AG151" i="48"/>
  <c r="AG156" i="48" s="1"/>
  <c r="AG149" i="48"/>
  <c r="AG154" i="48" s="1"/>
  <c r="AG148" i="48"/>
  <c r="AG153" i="48" s="1"/>
  <c r="AG152" i="48"/>
  <c r="AG214" i="19"/>
  <c r="AG34" i="19"/>
  <c r="AD104" i="29"/>
  <c r="AC137" i="29"/>
  <c r="AC138" i="29" s="1"/>
  <c r="Y72" i="16"/>
  <c r="BE34" i="58" s="1"/>
  <c r="X200" i="29"/>
  <c r="Y73" i="16" s="1"/>
  <c r="AD236" i="19"/>
  <c r="AD235" i="19"/>
  <c r="AF67" i="15"/>
  <c r="AF46" i="15"/>
  <c r="AF65" i="16"/>
  <c r="AF139" i="16" s="1"/>
  <c r="Z192" i="28"/>
  <c r="AC290" i="42"/>
  <c r="AC288" i="42"/>
  <c r="AC285" i="42"/>
  <c r="AC286" i="42"/>
  <c r="AC287" i="42"/>
  <c r="AC289" i="42"/>
  <c r="DX80" i="55"/>
  <c r="BL80" i="55"/>
  <c r="AF37" i="19"/>
  <c r="AF36" i="19"/>
  <c r="W61" i="55"/>
  <c r="AF216" i="28"/>
  <c r="AF55" i="29"/>
  <c r="AF52" i="29" s="1"/>
  <c r="AF92" i="29" s="1"/>
  <c r="AF53" i="29"/>
  <c r="AF50" i="28"/>
  <c r="AF117" i="28" s="1"/>
  <c r="AF54" i="29"/>
  <c r="AG62" i="15"/>
  <c r="AG65" i="15" s="1"/>
  <c r="AG139" i="15" s="1"/>
  <c r="AF56" i="29"/>
  <c r="AF59" i="29"/>
  <c r="AG44" i="16" s="1"/>
  <c r="AF60" i="29"/>
  <c r="AF61" i="29"/>
  <c r="AF62" i="29"/>
  <c r="AG62" i="16" s="1"/>
  <c r="AG65" i="16" s="1"/>
  <c r="AG139" i="16" s="1"/>
  <c r="AG44" i="15"/>
  <c r="AF57" i="29"/>
  <c r="AF63" i="29"/>
  <c r="AG56" i="16" s="1"/>
  <c r="AG56" i="15"/>
  <c r="AG160" i="48"/>
  <c r="AG165" i="48" s="1"/>
  <c r="AG162" i="48"/>
  <c r="AG158" i="48"/>
  <c r="AG163" i="48" s="1"/>
  <c r="AG161" i="48"/>
  <c r="AG166" i="48" s="1"/>
  <c r="AG159" i="48"/>
  <c r="AG164" i="48" s="1"/>
  <c r="AF295" i="38"/>
  <c r="AF292" i="38"/>
  <c r="AF295" i="42"/>
  <c r="AF292" i="42"/>
  <c r="AB174" i="28"/>
  <c r="AB175" i="28"/>
  <c r="AD163" i="28"/>
  <c r="AD162" i="28"/>
  <c r="AD160" i="28"/>
  <c r="AE57" i="55"/>
  <c r="AA186" i="28"/>
  <c r="AA187" i="28" s="1"/>
  <c r="AA188" i="28"/>
  <c r="AA191" i="28" s="1"/>
  <c r="AC173" i="29"/>
  <c r="Z172" i="28"/>
  <c r="Z176" i="28" s="1"/>
  <c r="Z173" i="28"/>
  <c r="AE250" i="42"/>
  <c r="AD283" i="42"/>
  <c r="AD284" i="42" s="1"/>
  <c r="AE196" i="29"/>
  <c r="AE197" i="29"/>
  <c r="W58" i="55"/>
  <c r="AA329" i="42"/>
  <c r="AA338" i="42" s="1"/>
  <c r="Y196" i="28"/>
  <c r="AF34" i="28"/>
  <c r="AF149" i="28"/>
  <c r="AF316" i="42"/>
  <c r="AF317" i="42" s="1"/>
  <c r="AF293" i="42"/>
  <c r="AF294" i="42" s="1"/>
  <c r="AF146" i="29"/>
  <c r="AF149" i="29"/>
  <c r="AC318" i="42"/>
  <c r="AC319" i="42" s="1"/>
  <c r="AC320" i="42"/>
  <c r="AC323" i="42" s="1"/>
  <c r="AC303" i="42"/>
  <c r="AC302" i="42"/>
  <c r="AG34" i="42"/>
  <c r="AG281" i="42"/>
  <c r="AE210" i="28"/>
  <c r="AE211" i="28"/>
  <c r="AE159" i="28"/>
  <c r="AE184" i="28"/>
  <c r="AE185" i="28" s="1"/>
  <c r="AE161" i="28"/>
  <c r="AG179" i="48"/>
  <c r="AG184" i="48" s="1"/>
  <c r="AG182" i="48"/>
  <c r="AG181" i="48"/>
  <c r="AG186" i="48" s="1"/>
  <c r="AG180" i="48"/>
  <c r="AG185" i="48" s="1"/>
  <c r="AG178" i="48"/>
  <c r="AG183" i="48" s="1"/>
  <c r="AE294" i="38"/>
  <c r="W71" i="15"/>
  <c r="W33" i="58" s="1"/>
  <c r="Z190" i="29"/>
  <c r="AB177" i="29"/>
  <c r="AF293" i="38"/>
  <c r="AG80" i="55" s="1"/>
  <c r="AF316" i="38"/>
  <c r="AB305" i="42"/>
  <c r="AB304" i="42"/>
  <c r="AB308" i="42" s="1"/>
  <c r="AQ110" i="15"/>
  <c r="AG232" i="48"/>
  <c r="AG237" i="48" s="1"/>
  <c r="AG234" i="48"/>
  <c r="AG230" i="48"/>
  <c r="AG235" i="48" s="1"/>
  <c r="AG231" i="48"/>
  <c r="AG236" i="48" s="1"/>
  <c r="AG233" i="48"/>
  <c r="AG238" i="48" s="1"/>
  <c r="AE37" i="28"/>
  <c r="AE36" i="28"/>
  <c r="AG249" i="42"/>
  <c r="AG72" i="42"/>
  <c r="AG96" i="42"/>
  <c r="AG104" i="42"/>
  <c r="AG47" i="42"/>
  <c r="AG291" i="42" s="1"/>
  <c r="AG80" i="42"/>
  <c r="AG197" i="54"/>
  <c r="AG34" i="54"/>
  <c r="AD301" i="38"/>
  <c r="AD300" i="38"/>
  <c r="AE133" i="15" a="1"/>
  <c r="AE141" i="15" s="1"/>
  <c r="AE142" i="15" s="1"/>
  <c r="AE68" i="15"/>
  <c r="AE77" i="15" s="1"/>
  <c r="AE134" i="15"/>
  <c r="AE140" i="15" s="1"/>
  <c r="AE299" i="38"/>
  <c r="AE296" i="38"/>
  <c r="AE298" i="38"/>
  <c r="AE297" i="38"/>
  <c r="AB321" i="42"/>
  <c r="AB322" i="42" s="1"/>
  <c r="AB324" i="42" s="1"/>
  <c r="AF246" i="42"/>
  <c r="AB304" i="38"/>
  <c r="AB308" i="38" s="1"/>
  <c r="AB305" i="38"/>
  <c r="AC156" i="29"/>
  <c r="AC157" i="29"/>
  <c r="AD170" i="29"/>
  <c r="AD171" i="29" s="1"/>
  <c r="AD147" i="29"/>
  <c r="AG223" i="48"/>
  <c r="AG228" i="48" s="1"/>
  <c r="AG224" i="48"/>
  <c r="AG221" i="48"/>
  <c r="AG226" i="48" s="1"/>
  <c r="AG222" i="48"/>
  <c r="AG227" i="48" s="1"/>
  <c r="AG220" i="48"/>
  <c r="AG225" i="48" s="1"/>
  <c r="Y71" i="16"/>
  <c r="BE33" i="58" s="1"/>
  <c r="X72" i="15"/>
  <c r="X34" i="58" s="1"/>
  <c r="W214" i="28"/>
  <c r="X73" i="15" s="1"/>
  <c r="AE103" i="29"/>
  <c r="AE91" i="29"/>
  <c r="AD306" i="38"/>
  <c r="AD318" i="38" s="1"/>
  <c r="AD307" i="38"/>
  <c r="AC302" i="38"/>
  <c r="AC303" i="38"/>
  <c r="AA183" i="29"/>
  <c r="AA190" i="29" s="1"/>
  <c r="S259" i="20"/>
  <c r="CF34" i="55"/>
  <c r="S183" i="19"/>
  <c r="R216" i="19"/>
  <c r="U73" i="19"/>
  <c r="V114" i="14" s="1"/>
  <c r="V114" i="12"/>
  <c r="T75" i="19"/>
  <c r="T97" i="14"/>
  <c r="U110" i="14"/>
  <c r="U108" i="14" s="1"/>
  <c r="U91" i="19"/>
  <c r="V136" i="14" s="1"/>
  <c r="V136" i="12"/>
  <c r="U99" i="12"/>
  <c r="U109" i="12"/>
  <c r="U109" i="14"/>
  <c r="U126" i="19"/>
  <c r="V106" i="19"/>
  <c r="W103" i="14" s="1"/>
  <c r="W103" i="12"/>
  <c r="V124" i="19"/>
  <c r="W138" i="14" s="1"/>
  <c r="W138" i="12"/>
  <c r="U113" i="19"/>
  <c r="U123" i="19"/>
  <c r="U111" i="19"/>
  <c r="V95" i="14"/>
  <c r="U114" i="19"/>
  <c r="W174" i="19"/>
  <c r="V98" i="19"/>
  <c r="T92" i="19"/>
  <c r="W176" i="19"/>
  <c r="T94" i="19"/>
  <c r="V228" i="12"/>
  <c r="T88" i="19"/>
  <c r="T87" i="19"/>
  <c r="W166" i="19"/>
  <c r="W163" i="19"/>
  <c r="W164" i="19"/>
  <c r="W165" i="19"/>
  <c r="T89" i="19"/>
  <c r="T86" i="19"/>
  <c r="T76" i="19"/>
  <c r="T74" i="19"/>
  <c r="U180" i="19"/>
  <c r="U108" i="19"/>
  <c r="V118" i="19"/>
  <c r="W94" i="14" s="1"/>
  <c r="U120" i="19"/>
  <c r="U119" i="19"/>
  <c r="U110" i="12"/>
  <c r="U108" i="12" s="1"/>
  <c r="T93" i="19"/>
  <c r="U109" i="19"/>
  <c r="T83" i="19"/>
  <c r="U111" i="14" s="1"/>
  <c r="U107" i="14" s="1"/>
  <c r="U111" i="12"/>
  <c r="U107" i="12" s="1"/>
  <c r="T90" i="19"/>
  <c r="T80" i="19"/>
  <c r="U106" i="14" s="1"/>
  <c r="U129" i="19"/>
  <c r="T77" i="19"/>
  <c r="U79" i="19"/>
  <c r="V104" i="14" s="1"/>
  <c r="V105" i="14" s="1"/>
  <c r="V228" i="14" s="1"/>
  <c r="T69" i="19"/>
  <c r="U99" i="14" s="1"/>
  <c r="T70" i="19"/>
  <c r="U100" i="14" s="1"/>
  <c r="U98" i="14" s="1"/>
  <c r="T68" i="19"/>
  <c r="U96" i="14" s="1"/>
  <c r="T71" i="19"/>
  <c r="U101" i="14" s="1"/>
  <c r="R293" i="20"/>
  <c r="X172" i="19"/>
  <c r="Y135" i="14" s="1"/>
  <c r="V131" i="19"/>
  <c r="X215" i="20"/>
  <c r="X173" i="19" s="1"/>
  <c r="X217" i="20"/>
  <c r="X175" i="19" s="1"/>
  <c r="X219" i="20"/>
  <c r="X177" i="19" s="1"/>
  <c r="X216" i="20"/>
  <c r="X218" i="20"/>
  <c r="X203" i="20"/>
  <c r="X205" i="20"/>
  <c r="X202" i="20"/>
  <c r="X204" i="20"/>
  <c r="X206" i="20"/>
  <c r="X167" i="19" s="1"/>
  <c r="W148" i="20"/>
  <c r="W136" i="20"/>
  <c r="W112" i="19" s="1"/>
  <c r="X126" i="14" s="1"/>
  <c r="W130" i="20"/>
  <c r="W142" i="20"/>
  <c r="V149" i="20"/>
  <c r="V125" i="19" s="1"/>
  <c r="V152" i="20"/>
  <c r="V128" i="19" s="1"/>
  <c r="V151" i="20"/>
  <c r="V127" i="19" s="1"/>
  <c r="V150" i="20"/>
  <c r="V153" i="20"/>
  <c r="V131" i="20"/>
  <c r="V107" i="19" s="1"/>
  <c r="V132" i="20"/>
  <c r="V133" i="20"/>
  <c r="V134" i="20"/>
  <c r="V110" i="19" s="1"/>
  <c r="V135" i="20"/>
  <c r="V137" i="20"/>
  <c r="V138" i="20"/>
  <c r="V140" i="20"/>
  <c r="V116" i="19" s="1"/>
  <c r="V139" i="20"/>
  <c r="V115" i="19" s="1"/>
  <c r="V141" i="20"/>
  <c r="V117" i="19" s="1"/>
  <c r="V144" i="20"/>
  <c r="V147" i="20"/>
  <c r="V145" i="20"/>
  <c r="V121" i="19" s="1"/>
  <c r="V146" i="20"/>
  <c r="V122" i="19" s="1"/>
  <c r="V143" i="20"/>
  <c r="U83" i="20"/>
  <c r="U86" i="20"/>
  <c r="U78" i="19" s="1"/>
  <c r="U82" i="20"/>
  <c r="U84" i="20"/>
  <c r="U85" i="20"/>
  <c r="V75" i="20"/>
  <c r="V67" i="19" s="1"/>
  <c r="W93" i="14" s="1"/>
  <c r="V93" i="20"/>
  <c r="V85" i="19" s="1"/>
  <c r="W124" i="14" s="1"/>
  <c r="V87" i="20"/>
  <c r="W104" i="12" s="1"/>
  <c r="V81" i="20"/>
  <c r="V99" i="20"/>
  <c r="U98" i="20"/>
  <c r="U94" i="20"/>
  <c r="U95" i="20"/>
  <c r="U96" i="20"/>
  <c r="U97" i="20"/>
  <c r="U89" i="20"/>
  <c r="U81" i="19" s="1"/>
  <c r="U88" i="20"/>
  <c r="V106" i="12" s="1"/>
  <c r="U90" i="20"/>
  <c r="U82" i="19" s="1"/>
  <c r="U91" i="20"/>
  <c r="U92" i="20"/>
  <c r="U84" i="19" s="1"/>
  <c r="U76" i="20"/>
  <c r="V96" i="12" s="1"/>
  <c r="U77" i="20"/>
  <c r="U80" i="20"/>
  <c r="U72" i="19" s="1"/>
  <c r="U78" i="20"/>
  <c r="V100" i="12" s="1"/>
  <c r="V98" i="12" s="1"/>
  <c r="U79" i="20"/>
  <c r="V101" i="12" s="1"/>
  <c r="V97" i="12" s="1"/>
  <c r="U101" i="20"/>
  <c r="U102" i="20"/>
  <c r="U100" i="20"/>
  <c r="U103" i="20"/>
  <c r="U95" i="19" s="1"/>
  <c r="U104" i="20"/>
  <c r="U96" i="19" s="1"/>
  <c r="W45" i="20"/>
  <c r="W32" i="20"/>
  <c r="CJ4" i="55" s="1"/>
  <c r="DP4" i="55" s="1"/>
  <c r="V95" i="12"/>
  <c r="T258" i="20"/>
  <c r="U225" i="20"/>
  <c r="S276" i="20"/>
  <c r="S275" i="20"/>
  <c r="V60" i="19"/>
  <c r="W93" i="12"/>
  <c r="V50" i="20"/>
  <c r="V221" i="20" s="1"/>
  <c r="V63" i="19"/>
  <c r="V65" i="19"/>
  <c r="V54" i="19"/>
  <c r="V53" i="19"/>
  <c r="V62" i="19"/>
  <c r="V58" i="19"/>
  <c r="V57" i="19"/>
  <c r="V64" i="19"/>
  <c r="W124" i="12"/>
  <c r="V55" i="19"/>
  <c r="V52" i="19" s="1"/>
  <c r="V61" i="19"/>
  <c r="V56" i="19"/>
  <c r="X30" i="20"/>
  <c r="X48" i="20" s="1"/>
  <c r="Y31" i="20"/>
  <c r="Y49" i="20" s="1"/>
  <c r="Y214" i="20" s="1"/>
  <c r="Z135" i="12" s="1"/>
  <c r="T273" i="20"/>
  <c r="T274" i="20"/>
  <c r="T272" i="20"/>
  <c r="T271" i="20"/>
  <c r="U226" i="12"/>
  <c r="U37" i="20"/>
  <c r="U36" i="20"/>
  <c r="W157" i="19"/>
  <c r="U226" i="14"/>
  <c r="R277" i="20"/>
  <c r="R278" i="20"/>
  <c r="Y19" i="20"/>
  <c r="X27" i="20"/>
  <c r="X222" i="20"/>
  <c r="Q279" i="20"/>
  <c r="Q283" i="20" s="1"/>
  <c r="Q280" i="20"/>
  <c r="U317" i="20"/>
  <c r="U267" i="20"/>
  <c r="U266" i="20"/>
  <c r="U318" i="20"/>
  <c r="U270" i="20"/>
  <c r="W169" i="19"/>
  <c r="Y123" i="12"/>
  <c r="X158" i="19"/>
  <c r="X160" i="19"/>
  <c r="S281" i="20"/>
  <c r="S282" i="20"/>
  <c r="X28" i="20"/>
  <c r="X46" i="20" s="1"/>
  <c r="Y94" i="12" s="1"/>
  <c r="U179" i="19"/>
  <c r="S262" i="20"/>
  <c r="CF39" i="55" s="1"/>
  <c r="S263" i="20"/>
  <c r="CF40" i="55" s="1"/>
  <c r="S261" i="20"/>
  <c r="CF38" i="55" s="1"/>
  <c r="S260" i="20"/>
  <c r="S265" i="20"/>
  <c r="CF42" i="55" s="1"/>
  <c r="S264" i="20"/>
  <c r="CF41" i="55" s="1"/>
  <c r="Y29" i="20"/>
  <c r="Y47" i="20" s="1"/>
  <c r="Y201" i="20" s="1"/>
  <c r="Y162" i="19" s="1"/>
  <c r="Z123" i="14" s="1"/>
  <c r="V256" i="20"/>
  <c r="V34" i="20"/>
  <c r="W133" i="19"/>
  <c r="W136" i="19"/>
  <c r="W132" i="19"/>
  <c r="W134" i="19"/>
  <c r="W135" i="19"/>
  <c r="X125" i="12"/>
  <c r="X170" i="19"/>
  <c r="W103" i="19"/>
  <c r="W100" i="19"/>
  <c r="W99" i="19"/>
  <c r="W104" i="19"/>
  <c r="W101" i="19"/>
  <c r="X126" i="12"/>
  <c r="W102" i="19"/>
  <c r="AC175" i="29" l="1"/>
  <c r="AC176" i="29" s="1"/>
  <c r="AC178" i="29"/>
  <c r="AA336" i="42"/>
  <c r="AF313" i="42"/>
  <c r="BM87" i="55" s="1"/>
  <c r="AF309" i="42"/>
  <c r="AF311" i="42"/>
  <c r="BM85" i="55" s="1"/>
  <c r="AF310" i="42"/>
  <c r="AF314" i="42"/>
  <c r="BM88" i="55" s="1"/>
  <c r="AF312" i="42"/>
  <c r="BM86" i="55" s="1"/>
  <c r="AC182" i="29"/>
  <c r="AE170" i="29"/>
  <c r="AE171" i="29" s="1"/>
  <c r="AE147" i="29"/>
  <c r="AG81" i="42"/>
  <c r="AG85" i="42" s="1"/>
  <c r="AG84" i="42"/>
  <c r="AG82" i="42"/>
  <c r="AG86" i="42" s="1"/>
  <c r="AG83" i="42"/>
  <c r="AG87" i="42" s="1"/>
  <c r="AE310" i="38"/>
  <c r="AE314" i="38"/>
  <c r="AF88" i="55" s="1"/>
  <c r="AE313" i="38"/>
  <c r="AF87" i="55" s="1"/>
  <c r="AE311" i="38"/>
  <c r="AF85" i="55" s="1"/>
  <c r="AE309" i="38"/>
  <c r="AE312" i="38"/>
  <c r="AF86" i="55" s="1"/>
  <c r="AE163" i="28"/>
  <c r="AE162" i="28"/>
  <c r="AE160" i="28"/>
  <c r="AC328" i="42"/>
  <c r="AF37" i="28"/>
  <c r="AF36" i="28"/>
  <c r="AA189" i="28"/>
  <c r="AA190" i="28" s="1"/>
  <c r="AA192" i="28" s="1"/>
  <c r="AG149" i="29"/>
  <c r="AG146" i="29"/>
  <c r="AA192" i="29"/>
  <c r="DT58" i="55" s="1"/>
  <c r="AG295" i="42"/>
  <c r="AG292" i="42"/>
  <c r="AD288" i="42"/>
  <c r="AD285" i="42"/>
  <c r="AD286" i="42"/>
  <c r="AD290" i="42"/>
  <c r="AD287" i="42"/>
  <c r="AD289" i="42"/>
  <c r="AC321" i="42"/>
  <c r="AC322" i="42" s="1"/>
  <c r="AC324" i="42" s="1"/>
  <c r="AF91" i="29"/>
  <c r="AF103" i="29"/>
  <c r="AC140" i="29"/>
  <c r="AC142" i="29"/>
  <c r="AC144" i="29"/>
  <c r="AC141" i="29"/>
  <c r="AC143" i="29"/>
  <c r="AC139" i="29"/>
  <c r="AG246" i="38"/>
  <c r="AD157" i="29"/>
  <c r="AD156" i="29"/>
  <c r="AF240" i="19"/>
  <c r="AF239" i="19"/>
  <c r="AF251" i="19" s="1"/>
  <c r="Y72" i="15"/>
  <c r="Y34" i="58" s="1"/>
  <c r="X214" i="28"/>
  <c r="Y73" i="15" s="1"/>
  <c r="AF134" i="16"/>
  <c r="AF140" i="16" s="1"/>
  <c r="AF77" i="16"/>
  <c r="AF133" i="16" a="1"/>
  <c r="AF68" i="16"/>
  <c r="AE235" i="19"/>
  <c r="AE236" i="19"/>
  <c r="AC164" i="29"/>
  <c r="AC167" i="29"/>
  <c r="BJ64" i="55" s="1"/>
  <c r="AC166" i="29"/>
  <c r="BJ63" i="55" s="1"/>
  <c r="AC168" i="29"/>
  <c r="BJ65" i="55" s="1"/>
  <c r="AC163" i="29"/>
  <c r="AC165" i="29"/>
  <c r="BJ62" i="55" s="1"/>
  <c r="AB69" i="16"/>
  <c r="DW57" i="55"/>
  <c r="BK57" i="55"/>
  <c r="AD148" i="29"/>
  <c r="AG105" i="42"/>
  <c r="AG109" i="42" s="1"/>
  <c r="AG108" i="42"/>
  <c r="AG107" i="42"/>
  <c r="AG111" i="42" s="1"/>
  <c r="AG106" i="42"/>
  <c r="AG110" i="42" s="1"/>
  <c r="Y197" i="28"/>
  <c r="Y206" i="28" s="1"/>
  <c r="Z70" i="15" s="1"/>
  <c r="AF250" i="42"/>
  <c r="AE283" i="42"/>
  <c r="AE284" i="42" s="1"/>
  <c r="AF298" i="42"/>
  <c r="AF296" i="42"/>
  <c r="AF299" i="42"/>
  <c r="AF297" i="42"/>
  <c r="AF184" i="28"/>
  <c r="AF185" i="28" s="1"/>
  <c r="AF161" i="28"/>
  <c r="AF134" i="15"/>
  <c r="AF140" i="15" s="1"/>
  <c r="AF133" i="15" a="1"/>
  <c r="AF68" i="15"/>
  <c r="AF77" i="15" s="1"/>
  <c r="AD137" i="29"/>
  <c r="AD138" i="29" s="1"/>
  <c r="AE104" i="29"/>
  <c r="AG316" i="38"/>
  <c r="AG293" i="38"/>
  <c r="AH80" i="55" s="1"/>
  <c r="BG126" i="36"/>
  <c r="BG39" i="58" s="1"/>
  <c r="Z346" i="42"/>
  <c r="BG127" i="36" s="1"/>
  <c r="AE154" i="29"/>
  <c r="AE155" i="29"/>
  <c r="AF217" i="28"/>
  <c r="AE151" i="28"/>
  <c r="AB336" i="42"/>
  <c r="AD174" i="29"/>
  <c r="AD175" i="29" s="1"/>
  <c r="AD176" i="29" s="1"/>
  <c r="AD178" i="29" s="1"/>
  <c r="AG98" i="42"/>
  <c r="AG102" i="42" s="1"/>
  <c r="AG100" i="42"/>
  <c r="AG97" i="42"/>
  <c r="AG101" i="42" s="1"/>
  <c r="AG99" i="42"/>
  <c r="AG103" i="42" s="1"/>
  <c r="AF153" i="29"/>
  <c r="AF151" i="29"/>
  <c r="AF150" i="29"/>
  <c r="AF152" i="29"/>
  <c r="AA340" i="42"/>
  <c r="BH81" i="55"/>
  <c r="DT81" i="55"/>
  <c r="BH84" i="55"/>
  <c r="AA345" i="42"/>
  <c r="AG67" i="16"/>
  <c r="AG46" i="16"/>
  <c r="AG36" i="19"/>
  <c r="AG37" i="19"/>
  <c r="AG295" i="38"/>
  <c r="AG292" i="38"/>
  <c r="AE161" i="29"/>
  <c r="AE160" i="29"/>
  <c r="AE172" i="29" s="1"/>
  <c r="AE173" i="29" s="1"/>
  <c r="W72" i="15"/>
  <c r="W34" i="58" s="1"/>
  <c r="V214" i="28"/>
  <c r="W73" i="15" s="1"/>
  <c r="CQ57" i="55"/>
  <c r="AD152" i="28"/>
  <c r="AG36" i="29"/>
  <c r="AG37" i="29"/>
  <c r="AG225" i="28"/>
  <c r="M2" i="31"/>
  <c r="AG53" i="29"/>
  <c r="AG59" i="29"/>
  <c r="AH44" i="16" s="1"/>
  <c r="M3" i="31"/>
  <c r="AG57" i="29"/>
  <c r="AG61" i="29"/>
  <c r="AH56" i="15"/>
  <c r="AG216" i="28"/>
  <c r="AG60" i="29"/>
  <c r="AH62" i="15"/>
  <c r="M5" i="31"/>
  <c r="AG62" i="29"/>
  <c r="AH62" i="16" s="1"/>
  <c r="AH65" i="16" s="1"/>
  <c r="AH44" i="15"/>
  <c r="AG56" i="29"/>
  <c r="AG55" i="29"/>
  <c r="AG52" i="29" s="1"/>
  <c r="AG92" i="29" s="1"/>
  <c r="AG50" i="28"/>
  <c r="AG117" i="28" s="1"/>
  <c r="AG63" i="29"/>
  <c r="AH56" i="16" s="1"/>
  <c r="AG54" i="29"/>
  <c r="AG222" i="28"/>
  <c r="AC305" i="38"/>
  <c r="AC304" i="38"/>
  <c r="AC308" i="38" s="1"/>
  <c r="AE300" i="38"/>
  <c r="AE301" i="38"/>
  <c r="AD302" i="38"/>
  <c r="AD303" i="38"/>
  <c r="AG74" i="42"/>
  <c r="AG78" i="42" s="1"/>
  <c r="AG73" i="42"/>
  <c r="AG77" i="42" s="1"/>
  <c r="AG76" i="42"/>
  <c r="AG75" i="42"/>
  <c r="AG79" i="42" s="1"/>
  <c r="AD177" i="28"/>
  <c r="AD181" i="28"/>
  <c r="AE64" i="55" s="1"/>
  <c r="AD179" i="28"/>
  <c r="AE62" i="55" s="1"/>
  <c r="AD182" i="28"/>
  <c r="AE65" i="55" s="1"/>
  <c r="AD178" i="28"/>
  <c r="AD180" i="28"/>
  <c r="AE63" i="55" s="1"/>
  <c r="AF294" i="38"/>
  <c r="AG59" i="15"/>
  <c r="AG135" i="15" s="1"/>
  <c r="AG66" i="15"/>
  <c r="AD237" i="19"/>
  <c r="AD241" i="19" s="1"/>
  <c r="AD238" i="19"/>
  <c r="AB171" i="28"/>
  <c r="AB170" i="28"/>
  <c r="AC168" i="28"/>
  <c r="AC169" i="28"/>
  <c r="AG231" i="19"/>
  <c r="AG230" i="19"/>
  <c r="AG232" i="19"/>
  <c r="AG229" i="19"/>
  <c r="AH136" i="15"/>
  <c r="AR106" i="15"/>
  <c r="X82" i="15"/>
  <c r="AF197" i="29"/>
  <c r="AF196" i="29"/>
  <c r="AG34" i="28"/>
  <c r="AG149" i="28"/>
  <c r="AD173" i="29"/>
  <c r="AC159" i="29"/>
  <c r="AC158" i="29"/>
  <c r="AC162" i="29" s="1"/>
  <c r="AG316" i="42"/>
  <c r="AG317" i="42" s="1"/>
  <c r="AG293" i="42"/>
  <c r="AI249" i="42"/>
  <c r="AB182" i="29"/>
  <c r="AB183" i="29" s="1"/>
  <c r="AB192" i="29" s="1"/>
  <c r="AC70" i="16" s="1"/>
  <c r="DY80" i="55"/>
  <c r="BM80" i="55"/>
  <c r="AD166" i="28"/>
  <c r="AD164" i="28"/>
  <c r="AD167" i="28"/>
  <c r="AD165" i="28"/>
  <c r="AF296" i="38"/>
  <c r="AF299" i="38"/>
  <c r="AF298" i="38"/>
  <c r="AF297" i="38"/>
  <c r="AG59" i="16"/>
  <c r="AG135" i="16" s="1"/>
  <c r="AG66" i="16"/>
  <c r="Z196" i="28"/>
  <c r="AE300" i="42"/>
  <c r="AE301" i="42"/>
  <c r="AE307" i="38"/>
  <c r="AE306" i="38"/>
  <c r="AE318" i="38" s="1"/>
  <c r="DS58" i="55"/>
  <c r="AA69" i="16"/>
  <c r="AA71" i="16" s="1"/>
  <c r="BG33" i="58" s="1"/>
  <c r="BG58" i="55"/>
  <c r="BG61" i="55"/>
  <c r="Z199" i="29"/>
  <c r="AF57" i="55"/>
  <c r="AC304" i="42"/>
  <c r="AC308" i="42" s="1"/>
  <c r="AC305" i="42"/>
  <c r="AA196" i="28"/>
  <c r="AD318" i="42"/>
  <c r="AD319" i="42" s="1"/>
  <c r="AD320" i="42"/>
  <c r="AD323" i="42" s="1"/>
  <c r="AG246" i="42"/>
  <c r="AB186" i="28"/>
  <c r="AB187" i="28" s="1"/>
  <c r="AB188" i="28"/>
  <c r="AB191" i="28" s="1"/>
  <c r="AG46" i="15"/>
  <c r="AG67" i="15"/>
  <c r="AF210" i="28"/>
  <c r="AF211" i="28"/>
  <c r="AF159" i="28"/>
  <c r="AA172" i="28"/>
  <c r="AA176" i="28" s="1"/>
  <c r="AA173" i="28"/>
  <c r="AC174" i="28"/>
  <c r="AC175" i="28"/>
  <c r="AF233" i="19"/>
  <c r="AF234" i="19"/>
  <c r="AE307" i="42"/>
  <c r="AE306" i="42"/>
  <c r="AD302" i="42"/>
  <c r="AD303" i="42"/>
  <c r="AC156" i="28"/>
  <c r="CP63" i="55" s="1"/>
  <c r="AC153" i="28"/>
  <c r="AC155" i="28"/>
  <c r="CP62" i="55" s="1"/>
  <c r="AC158" i="28"/>
  <c r="CP65" i="55" s="1"/>
  <c r="AC154" i="28"/>
  <c r="CP61" i="55" s="1"/>
  <c r="AC157" i="28"/>
  <c r="CP64" i="55" s="1"/>
  <c r="T259" i="20"/>
  <c r="T261" i="20" s="1"/>
  <c r="CG38" i="55" s="1"/>
  <c r="CG34" i="55"/>
  <c r="T183" i="19"/>
  <c r="S216" i="19"/>
  <c r="V109" i="12"/>
  <c r="V110" i="14"/>
  <c r="V108" i="14" s="1"/>
  <c r="V99" i="12"/>
  <c r="V73" i="19"/>
  <c r="W114" i="14" s="1"/>
  <c r="W114" i="12"/>
  <c r="U75" i="19"/>
  <c r="V91" i="19"/>
  <c r="W136" i="14" s="1"/>
  <c r="W136" i="12"/>
  <c r="U97" i="14"/>
  <c r="W105" i="12"/>
  <c r="W228" i="12" s="1"/>
  <c r="V111" i="19"/>
  <c r="W95" i="14"/>
  <c r="V123" i="19"/>
  <c r="W124" i="19"/>
  <c r="X138" i="14" s="1"/>
  <c r="X138" i="12"/>
  <c r="V109" i="14"/>
  <c r="V113" i="19"/>
  <c r="W106" i="19"/>
  <c r="X103" i="14" s="1"/>
  <c r="X103" i="12"/>
  <c r="V114" i="19"/>
  <c r="V126" i="19"/>
  <c r="X174" i="19"/>
  <c r="W98" i="19"/>
  <c r="U94" i="19"/>
  <c r="X176" i="19"/>
  <c r="U92" i="19"/>
  <c r="U88" i="19"/>
  <c r="U87" i="19"/>
  <c r="X163" i="19"/>
  <c r="X166" i="19"/>
  <c r="X164" i="19"/>
  <c r="X165" i="19"/>
  <c r="U89" i="19"/>
  <c r="U86" i="19"/>
  <c r="U76" i="19"/>
  <c r="U74" i="19"/>
  <c r="V180" i="19"/>
  <c r="V119" i="19"/>
  <c r="V120" i="19"/>
  <c r="V109" i="19"/>
  <c r="W118" i="19"/>
  <c r="X94" i="14" s="1"/>
  <c r="U93" i="19"/>
  <c r="V110" i="12"/>
  <c r="V108" i="12" s="1"/>
  <c r="U83" i="19"/>
  <c r="V111" i="14" s="1"/>
  <c r="V107" i="14" s="1"/>
  <c r="V111" i="12"/>
  <c r="V107" i="12" s="1"/>
  <c r="U90" i="19"/>
  <c r="V108" i="19"/>
  <c r="V129" i="19"/>
  <c r="V79" i="19"/>
  <c r="W104" i="14" s="1"/>
  <c r="W105" i="14" s="1"/>
  <c r="W228" i="14" s="1"/>
  <c r="U80" i="19"/>
  <c r="V106" i="14" s="1"/>
  <c r="U77" i="19"/>
  <c r="U68" i="19"/>
  <c r="V96" i="14" s="1"/>
  <c r="U71" i="19"/>
  <c r="V101" i="14" s="1"/>
  <c r="U70" i="19"/>
  <c r="V100" i="14" s="1"/>
  <c r="V98" i="14" s="1"/>
  <c r="U69" i="19"/>
  <c r="V99" i="14" s="1"/>
  <c r="S293" i="20"/>
  <c r="Y172" i="19"/>
  <c r="Z135" i="14" s="1"/>
  <c r="W131" i="19"/>
  <c r="Y215" i="20"/>
  <c r="Y173" i="19" s="1"/>
  <c r="Y217" i="20"/>
  <c r="Y175" i="19" s="1"/>
  <c r="Y219" i="20"/>
  <c r="Y177" i="19" s="1"/>
  <c r="Y218" i="20"/>
  <c r="Y216" i="20"/>
  <c r="Y203" i="20"/>
  <c r="Y205" i="20"/>
  <c r="Y202" i="20"/>
  <c r="Y204" i="20"/>
  <c r="Y206" i="20"/>
  <c r="Y167" i="19" s="1"/>
  <c r="W134" i="20"/>
  <c r="W110" i="19" s="1"/>
  <c r="W133" i="20"/>
  <c r="W132" i="20"/>
  <c r="W131" i="20"/>
  <c r="W107" i="19" s="1"/>
  <c r="W135" i="20"/>
  <c r="W137" i="20"/>
  <c r="W140" i="20"/>
  <c r="W116" i="19" s="1"/>
  <c r="W138" i="20"/>
  <c r="W139" i="20"/>
  <c r="W115" i="19" s="1"/>
  <c r="W141" i="20"/>
  <c r="W117" i="19" s="1"/>
  <c r="W146" i="20"/>
  <c r="W122" i="19" s="1"/>
  <c r="W144" i="20"/>
  <c r="W147" i="20"/>
  <c r="W143" i="20"/>
  <c r="W145" i="20"/>
  <c r="W121" i="19" s="1"/>
  <c r="X148" i="20"/>
  <c r="X142" i="20"/>
  <c r="X136" i="20"/>
  <c r="X112" i="19" s="1"/>
  <c r="Y126" i="14" s="1"/>
  <c r="X130" i="20"/>
  <c r="W149" i="20"/>
  <c r="W125" i="19" s="1"/>
  <c r="W151" i="20"/>
  <c r="W127" i="19" s="1"/>
  <c r="W152" i="20"/>
  <c r="W128" i="19" s="1"/>
  <c r="W150" i="20"/>
  <c r="W153" i="20"/>
  <c r="V102" i="20"/>
  <c r="V100" i="20"/>
  <c r="V103" i="20"/>
  <c r="V95" i="19" s="1"/>
  <c r="V101" i="20"/>
  <c r="V104" i="20"/>
  <c r="V96" i="19" s="1"/>
  <c r="V77" i="20"/>
  <c r="V76" i="20"/>
  <c r="W96" i="12" s="1"/>
  <c r="V79" i="20"/>
  <c r="W101" i="12" s="1"/>
  <c r="W97" i="12" s="1"/>
  <c r="V80" i="20"/>
  <c r="V72" i="19" s="1"/>
  <c r="V78" i="20"/>
  <c r="W100" i="12" s="1"/>
  <c r="W98" i="12" s="1"/>
  <c r="V96" i="20"/>
  <c r="V98" i="20"/>
  <c r="V95" i="20"/>
  <c r="V94" i="20"/>
  <c r="V97" i="20"/>
  <c r="W75" i="20"/>
  <c r="W67" i="19" s="1"/>
  <c r="X93" i="14" s="1"/>
  <c r="W87" i="20"/>
  <c r="X104" i="12" s="1"/>
  <c r="W93" i="20"/>
  <c r="W85" i="19" s="1"/>
  <c r="X124" i="14" s="1"/>
  <c r="W99" i="20"/>
  <c r="W81" i="20"/>
  <c r="V85" i="20"/>
  <c r="V86" i="20"/>
  <c r="V78" i="19" s="1"/>
  <c r="V83" i="20"/>
  <c r="V82" i="20"/>
  <c r="V84" i="20"/>
  <c r="V91" i="20"/>
  <c r="V90" i="20"/>
  <c r="V82" i="19" s="1"/>
  <c r="V89" i="20"/>
  <c r="V81" i="19" s="1"/>
  <c r="V88" i="20"/>
  <c r="W106" i="12" s="1"/>
  <c r="V92" i="20"/>
  <c r="V84" i="19" s="1"/>
  <c r="T276" i="20"/>
  <c r="T275" i="20"/>
  <c r="X133" i="19"/>
  <c r="X132" i="19"/>
  <c r="X136" i="19"/>
  <c r="Y125" i="12"/>
  <c r="X134" i="19"/>
  <c r="X135" i="19"/>
  <c r="V179" i="19"/>
  <c r="W95" i="12"/>
  <c r="T263" i="20"/>
  <c r="CG40" i="55" s="1"/>
  <c r="X103" i="19"/>
  <c r="X100" i="19"/>
  <c r="X99" i="19"/>
  <c r="X102" i="19"/>
  <c r="X101" i="19"/>
  <c r="Y126" i="12"/>
  <c r="X104" i="19"/>
  <c r="R280" i="20"/>
  <c r="R279" i="20"/>
  <c r="R283" i="20" s="1"/>
  <c r="Y170" i="19"/>
  <c r="Y30" i="20"/>
  <c r="Y48" i="20" s="1"/>
  <c r="V226" i="12"/>
  <c r="W256" i="20"/>
  <c r="W34" i="20"/>
  <c r="Y28" i="20"/>
  <c r="Y46" i="20" s="1"/>
  <c r="Z94" i="12" s="1"/>
  <c r="X157" i="19"/>
  <c r="U273" i="20"/>
  <c r="U274" i="20"/>
  <c r="U272" i="20"/>
  <c r="U271" i="20"/>
  <c r="X45" i="20"/>
  <c r="X32" i="20"/>
  <c r="CK4" i="55" s="1"/>
  <c r="DQ4" i="55" s="1"/>
  <c r="V226" i="14"/>
  <c r="Z31" i="20"/>
  <c r="Z49" i="20" s="1"/>
  <c r="Z214" i="20" s="1"/>
  <c r="AA135" i="12" s="1"/>
  <c r="V318" i="20"/>
  <c r="V270" i="20"/>
  <c r="V266" i="20"/>
  <c r="V267" i="20"/>
  <c r="V317" i="20"/>
  <c r="S278" i="20"/>
  <c r="S277" i="20"/>
  <c r="W60" i="19"/>
  <c r="X93" i="12"/>
  <c r="W58" i="19"/>
  <c r="W53" i="19"/>
  <c r="W50" i="20"/>
  <c r="W221" i="20" s="1"/>
  <c r="X124" i="12"/>
  <c r="W61" i="19"/>
  <c r="W57" i="19"/>
  <c r="W64" i="19"/>
  <c r="W62" i="19"/>
  <c r="W56" i="19"/>
  <c r="W55" i="19"/>
  <c r="W52" i="19" s="1"/>
  <c r="W54" i="19"/>
  <c r="W63" i="19"/>
  <c r="W65" i="19"/>
  <c r="Z123" i="12"/>
  <c r="Y158" i="19"/>
  <c r="Y160" i="19"/>
  <c r="X169" i="19"/>
  <c r="V37" i="20"/>
  <c r="V36" i="20"/>
  <c r="Z29" i="20"/>
  <c r="Z47" i="20" s="1"/>
  <c r="Z201" i="20" s="1"/>
  <c r="Z162" i="19" s="1"/>
  <c r="AA123" i="14" s="1"/>
  <c r="Y27" i="20"/>
  <c r="Y222" i="20"/>
  <c r="Z19" i="20"/>
  <c r="T281" i="20"/>
  <c r="T282" i="20"/>
  <c r="V225" i="20"/>
  <c r="U258" i="20"/>
  <c r="BH61" i="55" l="1"/>
  <c r="Y204" i="28"/>
  <c r="T264" i="20"/>
  <c r="CG41" i="55" s="1"/>
  <c r="T265" i="20"/>
  <c r="CG42" i="55" s="1"/>
  <c r="AF141" i="15"/>
  <c r="AF142" i="15" s="1"/>
  <c r="AD177" i="29"/>
  <c r="T260" i="20"/>
  <c r="T262" i="20"/>
  <c r="CG39" i="55" s="1"/>
  <c r="AA199" i="29"/>
  <c r="AB72" i="16" s="1"/>
  <c r="BH34" i="58" s="1"/>
  <c r="AB190" i="29"/>
  <c r="AF141" i="16"/>
  <c r="AF142" i="16" s="1"/>
  <c r="AD169" i="28"/>
  <c r="AD168" i="28"/>
  <c r="DZ80" i="55"/>
  <c r="BN80" i="55"/>
  <c r="AG233" i="19"/>
  <c r="AG234" i="19"/>
  <c r="AQ114" i="15"/>
  <c r="AS114" i="15" s="1"/>
  <c r="AH59" i="15"/>
  <c r="AH66" i="15"/>
  <c r="AG294" i="38"/>
  <c r="AG250" i="42"/>
  <c r="AG283" i="42" s="1"/>
  <c r="AG284" i="42" s="1"/>
  <c r="AF283" i="42"/>
  <c r="AF284" i="42" s="1"/>
  <c r="AD158" i="29"/>
  <c r="AD162" i="29" s="1"/>
  <c r="AD159" i="29"/>
  <c r="AG150" i="29"/>
  <c r="AG153" i="29"/>
  <c r="AG151" i="29"/>
  <c r="AG152" i="29"/>
  <c r="AC170" i="28"/>
  <c r="AC171" i="28"/>
  <c r="AF311" i="38"/>
  <c r="AG85" i="55" s="1"/>
  <c r="AF312" i="38"/>
  <c r="AG86" i="55" s="1"/>
  <c r="AF313" i="38"/>
  <c r="AG87" i="55" s="1"/>
  <c r="AF314" i="38"/>
  <c r="AG88" i="55" s="1"/>
  <c r="AF310" i="38"/>
  <c r="AF309" i="38"/>
  <c r="AG103" i="29"/>
  <c r="AG91" i="29"/>
  <c r="AG196" i="29"/>
  <c r="AG197" i="29"/>
  <c r="BH126" i="36"/>
  <c r="BH39" i="58" s="1"/>
  <c r="AA346" i="42"/>
  <c r="BH127" i="36" s="1"/>
  <c r="AF161" i="29"/>
  <c r="AF160" i="29"/>
  <c r="AF172" i="29" s="1"/>
  <c r="AG57" i="55"/>
  <c r="Z69" i="15"/>
  <c r="Z71" i="15" s="1"/>
  <c r="Z33" i="58" s="1"/>
  <c r="Z58" i="55"/>
  <c r="Y208" i="28"/>
  <c r="Z61" i="55"/>
  <c r="Y213" i="28"/>
  <c r="AD164" i="29"/>
  <c r="AD165" i="29"/>
  <c r="BK62" i="55" s="1"/>
  <c r="AD168" i="29"/>
  <c r="BK65" i="55" s="1"/>
  <c r="AD167" i="29"/>
  <c r="BK64" i="55" s="1"/>
  <c r="AD163" i="29"/>
  <c r="AD166" i="29"/>
  <c r="BK63" i="55" s="1"/>
  <c r="AF170" i="29"/>
  <c r="AF171" i="29" s="1"/>
  <c r="AF174" i="29" s="1"/>
  <c r="AF147" i="29"/>
  <c r="AD321" i="42"/>
  <c r="AD322" i="42" s="1"/>
  <c r="AD324" i="42" s="1"/>
  <c r="AC183" i="29"/>
  <c r="AC192" i="29" s="1"/>
  <c r="AD70" i="16" s="1"/>
  <c r="AC190" i="29"/>
  <c r="AD305" i="42"/>
  <c r="AD304" i="42"/>
  <c r="AD308" i="42" s="1"/>
  <c r="AC186" i="28"/>
  <c r="AC187" i="28" s="1"/>
  <c r="AC188" i="28"/>
  <c r="AC191" i="28" s="1"/>
  <c r="AG133" i="15" a="1"/>
  <c r="AG141" i="15" s="1"/>
  <c r="AG142" i="15" s="1"/>
  <c r="AG68" i="15"/>
  <c r="AG134" i="15"/>
  <c r="AG140" i="15" s="1"/>
  <c r="AG77" i="15"/>
  <c r="AD328" i="42"/>
  <c r="AD329" i="42" s="1"/>
  <c r="AD336" i="42" s="1"/>
  <c r="AF300" i="38"/>
  <c r="AF301" i="38"/>
  <c r="AC189" i="28"/>
  <c r="AC190" i="28" s="1"/>
  <c r="AC192" i="28" s="1"/>
  <c r="AP110" i="15"/>
  <c r="AR110" i="15" s="1"/>
  <c r="AH67" i="15"/>
  <c r="AH46" i="15"/>
  <c r="AD157" i="28"/>
  <c r="CQ64" i="55" s="1"/>
  <c r="AD158" i="28"/>
  <c r="CQ65" i="55" s="1"/>
  <c r="AD154" i="28"/>
  <c r="CQ61" i="55" s="1"/>
  <c r="AD155" i="28"/>
  <c r="CQ62" i="55" s="1"/>
  <c r="AD153" i="28"/>
  <c r="AD156" i="28"/>
  <c r="CQ63" i="55" s="1"/>
  <c r="AG298" i="38"/>
  <c r="AG299" i="38"/>
  <c r="AG296" i="38"/>
  <c r="AG297" i="38"/>
  <c r="BI81" i="55"/>
  <c r="DU81" i="55"/>
  <c r="BI84" i="55"/>
  <c r="AB340" i="42"/>
  <c r="AB345" i="42"/>
  <c r="AG294" i="42"/>
  <c r="AE179" i="28"/>
  <c r="AF62" i="55" s="1"/>
  <c r="AE181" i="28"/>
  <c r="AF64" i="55" s="1"/>
  <c r="AE177" i="28"/>
  <c r="AE180" i="28"/>
  <c r="AF63" i="55" s="1"/>
  <c r="AE178" i="28"/>
  <c r="AE182" i="28"/>
  <c r="AF65" i="55" s="1"/>
  <c r="AE318" i="42"/>
  <c r="AE319" i="42" s="1"/>
  <c r="AE320" i="42"/>
  <c r="AE323" i="42" s="1"/>
  <c r="AB196" i="28"/>
  <c r="AB197" i="28" s="1"/>
  <c r="AB206" i="28" s="1"/>
  <c r="AC70" i="15" s="1"/>
  <c r="AA72" i="16"/>
  <c r="BG34" i="58" s="1"/>
  <c r="Z200" i="29"/>
  <c r="AA73" i="16" s="1"/>
  <c r="AE303" i="42"/>
  <c r="AE302" i="42"/>
  <c r="AF307" i="38"/>
  <c r="AF306" i="38"/>
  <c r="AF318" i="38" s="1"/>
  <c r="AB172" i="28"/>
  <c r="AB176" i="28" s="1"/>
  <c r="AB173" i="28"/>
  <c r="AH139" i="16"/>
  <c r="AS106" i="16"/>
  <c r="X83" i="16"/>
  <c r="X87" i="16"/>
  <c r="X85" i="16"/>
  <c r="AB189" i="28"/>
  <c r="AB190" i="28" s="1"/>
  <c r="AB192" i="28" s="1"/>
  <c r="CR57" i="55"/>
  <c r="AE152" i="28"/>
  <c r="AF104" i="29"/>
  <c r="AE137" i="29"/>
  <c r="AE138" i="29" s="1"/>
  <c r="AE167" i="28"/>
  <c r="AE164" i="28"/>
  <c r="AE166" i="28"/>
  <c r="AE165" i="28"/>
  <c r="AE321" i="42"/>
  <c r="AE322" i="42" s="1"/>
  <c r="AH67" i="16"/>
  <c r="AH46" i="16"/>
  <c r="AG217" i="28"/>
  <c r="AG151" i="28" s="1"/>
  <c r="CT57" i="55" s="1"/>
  <c r="AF151" i="28"/>
  <c r="AD139" i="29"/>
  <c r="AD141" i="29"/>
  <c r="AD140" i="29"/>
  <c r="AD143" i="29"/>
  <c r="AD142" i="29"/>
  <c r="AD144" i="29"/>
  <c r="AF306" i="42"/>
  <c r="AF307" i="42"/>
  <c r="BJ61" i="55"/>
  <c r="AG296" i="42"/>
  <c r="AG299" i="42"/>
  <c r="AG297" i="42"/>
  <c r="AG298" i="42"/>
  <c r="AA197" i="28"/>
  <c r="AA206" i="28" s="1"/>
  <c r="AB70" i="15" s="1"/>
  <c r="DU58" i="55"/>
  <c r="BI58" i="55"/>
  <c r="AC69" i="16"/>
  <c r="AC71" i="16" s="1"/>
  <c r="BI33" i="58" s="1"/>
  <c r="AD305" i="38"/>
  <c r="AD304" i="38"/>
  <c r="AD308" i="38" s="1"/>
  <c r="AQ123" i="15"/>
  <c r="AS123" i="15" s="1"/>
  <c r="AH65" i="15"/>
  <c r="AE156" i="29"/>
  <c r="AE157" i="29"/>
  <c r="BH58" i="55"/>
  <c r="AB70" i="16"/>
  <c r="AB71" i="16" s="1"/>
  <c r="BH33" i="58" s="1"/>
  <c r="AF163" i="28"/>
  <c r="AF160" i="28"/>
  <c r="AF162" i="28"/>
  <c r="Z197" i="28"/>
  <c r="Z206" i="28" s="1"/>
  <c r="AA70" i="15" s="1"/>
  <c r="AD174" i="28"/>
  <c r="AD175" i="28"/>
  <c r="AG239" i="19"/>
  <c r="AG251" i="19" s="1"/>
  <c r="AG240" i="19"/>
  <c r="AE302" i="38"/>
  <c r="AE303" i="38"/>
  <c r="AH66" i="16"/>
  <c r="AH59" i="16"/>
  <c r="AF155" i="29"/>
  <c r="AF154" i="29"/>
  <c r="AF175" i="29" s="1"/>
  <c r="AF176" i="29" s="1"/>
  <c r="AF300" i="42"/>
  <c r="AF301" i="42"/>
  <c r="AE237" i="19"/>
  <c r="AE241" i="19" s="1"/>
  <c r="AE238" i="19"/>
  <c r="DX57" i="55"/>
  <c r="BL57" i="55"/>
  <c r="AE148" i="29"/>
  <c r="AF235" i="19"/>
  <c r="AF236" i="19"/>
  <c r="AG36" i="28"/>
  <c r="AG37" i="28"/>
  <c r="AG210" i="28"/>
  <c r="AH222" i="28"/>
  <c r="AG159" i="28"/>
  <c r="AL272" i="12"/>
  <c r="AG211" i="28"/>
  <c r="AG184" i="28"/>
  <c r="AG161" i="28"/>
  <c r="AI216" i="28"/>
  <c r="AG68" i="16"/>
  <c r="AG134" i="16"/>
  <c r="AG140" i="16" s="1"/>
  <c r="AG133" i="16" a="1"/>
  <c r="AG141" i="16" s="1"/>
  <c r="AG142" i="16" s="1"/>
  <c r="AG77" i="16"/>
  <c r="AD182" i="29"/>
  <c r="AD183" i="29" s="1"/>
  <c r="AD190" i="29" s="1"/>
  <c r="AE288" i="42"/>
  <c r="AE285" i="42"/>
  <c r="AE286" i="42"/>
  <c r="AE290" i="42"/>
  <c r="AE289" i="42"/>
  <c r="AE287" i="42"/>
  <c r="AC329" i="42"/>
  <c r="AC338" i="42" s="1"/>
  <c r="AE174" i="29"/>
  <c r="AE175" i="29" s="1"/>
  <c r="AE176" i="29" s="1"/>
  <c r="U259" i="20"/>
  <c r="CH34" i="55"/>
  <c r="U183" i="19"/>
  <c r="T216" i="19"/>
  <c r="W73" i="19"/>
  <c r="X114" i="14" s="1"/>
  <c r="X114" i="12"/>
  <c r="W109" i="12"/>
  <c r="V75" i="19"/>
  <c r="W91" i="19"/>
  <c r="X136" i="14" s="1"/>
  <c r="X136" i="12"/>
  <c r="W110" i="14"/>
  <c r="W108" i="14" s="1"/>
  <c r="V97" i="14"/>
  <c r="W109" i="14"/>
  <c r="W99" i="12"/>
  <c r="X105" i="12"/>
  <c r="X228" i="12" s="1"/>
  <c r="W113" i="19"/>
  <c r="W126" i="19"/>
  <c r="W123" i="19"/>
  <c r="W111" i="19"/>
  <c r="X106" i="19"/>
  <c r="Y103" i="14" s="1"/>
  <c r="Y103" i="12"/>
  <c r="X124" i="19"/>
  <c r="Y138" i="14" s="1"/>
  <c r="Y138" i="12"/>
  <c r="W114" i="19"/>
  <c r="X95" i="14"/>
  <c r="Y174" i="19"/>
  <c r="X98" i="19"/>
  <c r="V92" i="19"/>
  <c r="V94" i="19"/>
  <c r="Y176" i="19"/>
  <c r="V88" i="19"/>
  <c r="V87" i="19"/>
  <c r="Y166" i="19"/>
  <c r="Y164" i="19"/>
  <c r="Y165" i="19"/>
  <c r="Y163" i="19"/>
  <c r="V89" i="19"/>
  <c r="V86" i="19"/>
  <c r="V76" i="19"/>
  <c r="V74" i="19"/>
  <c r="W180" i="19"/>
  <c r="V90" i="19"/>
  <c r="V93" i="19"/>
  <c r="W120" i="19"/>
  <c r="W110" i="12"/>
  <c r="W108" i="12" s="1"/>
  <c r="W108" i="19"/>
  <c r="X118" i="19"/>
  <c r="Y94" i="14" s="1"/>
  <c r="V83" i="19"/>
  <c r="W111" i="14" s="1"/>
  <c r="W107" i="14" s="1"/>
  <c r="W111" i="12"/>
  <c r="W107" i="12" s="1"/>
  <c r="W119" i="19"/>
  <c r="W109" i="19"/>
  <c r="V80" i="19"/>
  <c r="W106" i="14" s="1"/>
  <c r="V77" i="19"/>
  <c r="W79" i="19"/>
  <c r="X104" i="14" s="1"/>
  <c r="X105" i="14" s="1"/>
  <c r="X228" i="14" s="1"/>
  <c r="W129" i="19"/>
  <c r="V70" i="19"/>
  <c r="W100" i="14" s="1"/>
  <c r="W98" i="14" s="1"/>
  <c r="V69" i="19"/>
  <c r="W99" i="14" s="1"/>
  <c r="V68" i="19"/>
  <c r="W96" i="14" s="1"/>
  <c r="V71" i="19"/>
  <c r="W101" i="14" s="1"/>
  <c r="T293" i="20"/>
  <c r="Z172" i="19"/>
  <c r="AA135" i="14" s="1"/>
  <c r="X131" i="19"/>
  <c r="Z216" i="20"/>
  <c r="Z218" i="20"/>
  <c r="Z215" i="20"/>
  <c r="Z173" i="19" s="1"/>
  <c r="Z217" i="20"/>
  <c r="Z175" i="19" s="1"/>
  <c r="Z219" i="20"/>
  <c r="Z177" i="19" s="1"/>
  <c r="Z202" i="20"/>
  <c r="Z204" i="20"/>
  <c r="Z206" i="20"/>
  <c r="Z167" i="19" s="1"/>
  <c r="Z203" i="20"/>
  <c r="Z205" i="20"/>
  <c r="X131" i="20"/>
  <c r="X107" i="19" s="1"/>
  <c r="X135" i="20"/>
  <c r="X134" i="20"/>
  <c r="X110" i="19" s="1"/>
  <c r="X132" i="20"/>
  <c r="X133" i="20"/>
  <c r="X150" i="20"/>
  <c r="X149" i="20"/>
  <c r="X125" i="19" s="1"/>
  <c r="X152" i="20"/>
  <c r="X128" i="19" s="1"/>
  <c r="X151" i="20"/>
  <c r="X127" i="19" s="1"/>
  <c r="X153" i="20"/>
  <c r="X139" i="20"/>
  <c r="X115" i="19" s="1"/>
  <c r="X141" i="20"/>
  <c r="X117" i="19" s="1"/>
  <c r="X137" i="20"/>
  <c r="X140" i="20"/>
  <c r="X116" i="19" s="1"/>
  <c r="X138" i="20"/>
  <c r="Y130" i="20"/>
  <c r="Y136" i="20"/>
  <c r="Y112" i="19" s="1"/>
  <c r="Z126" i="14" s="1"/>
  <c r="Y148" i="20"/>
  <c r="Y142" i="20"/>
  <c r="X143" i="20"/>
  <c r="X144" i="20"/>
  <c r="X145" i="20"/>
  <c r="X121" i="19" s="1"/>
  <c r="X146" i="20"/>
  <c r="X122" i="19" s="1"/>
  <c r="X147" i="20"/>
  <c r="W83" i="20"/>
  <c r="W84" i="20"/>
  <c r="W85" i="20"/>
  <c r="W82" i="20"/>
  <c r="W86" i="20"/>
  <c r="W78" i="19" s="1"/>
  <c r="W79" i="20"/>
  <c r="X101" i="12" s="1"/>
  <c r="X97" i="12" s="1"/>
  <c r="W80" i="20"/>
  <c r="W72" i="19" s="1"/>
  <c r="W78" i="20"/>
  <c r="X100" i="12" s="1"/>
  <c r="X98" i="12" s="1"/>
  <c r="W76" i="20"/>
  <c r="X96" i="12" s="1"/>
  <c r="W77" i="20"/>
  <c r="X75" i="20"/>
  <c r="X67" i="19" s="1"/>
  <c r="Y93" i="14" s="1"/>
  <c r="X99" i="20"/>
  <c r="X93" i="20"/>
  <c r="X85" i="19" s="1"/>
  <c r="Y124" i="14" s="1"/>
  <c r="X81" i="20"/>
  <c r="X87" i="20"/>
  <c r="Y104" i="12" s="1"/>
  <c r="W100" i="20"/>
  <c r="W103" i="20"/>
  <c r="W95" i="19" s="1"/>
  <c r="W104" i="20"/>
  <c r="W96" i="19" s="1"/>
  <c r="W101" i="20"/>
  <c r="W102" i="20"/>
  <c r="W89" i="20"/>
  <c r="W81" i="19" s="1"/>
  <c r="W91" i="20"/>
  <c r="W88" i="20"/>
  <c r="X106" i="12" s="1"/>
  <c r="W90" i="20"/>
  <c r="W82" i="19" s="1"/>
  <c r="W92" i="20"/>
  <c r="W84" i="19" s="1"/>
  <c r="W97" i="20"/>
  <c r="W95" i="20"/>
  <c r="W98" i="20"/>
  <c r="W94" i="20"/>
  <c r="W96" i="20"/>
  <c r="U264" i="20"/>
  <c r="CH41" i="55" s="1"/>
  <c r="U265" i="20"/>
  <c r="CH42" i="55" s="1"/>
  <c r="U260" i="20"/>
  <c r="U262" i="20"/>
  <c r="CH39" i="55" s="1"/>
  <c r="U263" i="20"/>
  <c r="CH40" i="55" s="1"/>
  <c r="U261" i="20"/>
  <c r="CH38" i="55" s="1"/>
  <c r="S280" i="20"/>
  <c r="S279" i="20"/>
  <c r="S283" i="20" s="1"/>
  <c r="Z28" i="20"/>
  <c r="Z46" i="20" s="1"/>
  <c r="AA94" i="12" s="1"/>
  <c r="W226" i="14"/>
  <c r="AA31" i="20"/>
  <c r="AA49" i="20" s="1"/>
  <c r="AA214" i="20" s="1"/>
  <c r="AB135" i="12" s="1"/>
  <c r="V258" i="20"/>
  <c r="W225" i="20"/>
  <c r="Y45" i="20"/>
  <c r="Y32" i="20"/>
  <c r="CL4" i="55" s="1"/>
  <c r="DR4" i="55" s="1"/>
  <c r="Y157" i="19"/>
  <c r="V273" i="20"/>
  <c r="V272" i="20"/>
  <c r="V274" i="20"/>
  <c r="V271" i="20"/>
  <c r="X256" i="20"/>
  <c r="X34" i="20"/>
  <c r="U281" i="20"/>
  <c r="U282" i="20"/>
  <c r="W36" i="20"/>
  <c r="W37" i="20"/>
  <c r="Z30" i="20"/>
  <c r="Z48" i="20" s="1"/>
  <c r="W317" i="20"/>
  <c r="W318" i="20"/>
  <c r="W266" i="20"/>
  <c r="W267" i="20"/>
  <c r="W270" i="20"/>
  <c r="U276" i="20"/>
  <c r="U275" i="20"/>
  <c r="Y133" i="19"/>
  <c r="Y135" i="19"/>
  <c r="Y132" i="19"/>
  <c r="Y134" i="19"/>
  <c r="Z125" i="12"/>
  <c r="Y136" i="19"/>
  <c r="AA29" i="20"/>
  <c r="AA47" i="20" s="1"/>
  <c r="AA201" i="20" s="1"/>
  <c r="AA162" i="19" s="1"/>
  <c r="AB123" i="14" s="1"/>
  <c r="X95" i="12"/>
  <c r="X60" i="19"/>
  <c r="Y93" i="12"/>
  <c r="X65" i="19"/>
  <c r="X57" i="19"/>
  <c r="X61" i="19"/>
  <c r="X50" i="20"/>
  <c r="X221" i="20" s="1"/>
  <c r="X58" i="19"/>
  <c r="X63" i="19"/>
  <c r="X56" i="19"/>
  <c r="X62" i="19"/>
  <c r="X64" i="19"/>
  <c r="X54" i="19"/>
  <c r="X55" i="19"/>
  <c r="X52" i="19" s="1"/>
  <c r="X53" i="19"/>
  <c r="Y124" i="12"/>
  <c r="Z222" i="20"/>
  <c r="AA19" i="20"/>
  <c r="Z27" i="20"/>
  <c r="AA123" i="12"/>
  <c r="Z160" i="19"/>
  <c r="Z158" i="19"/>
  <c r="W179" i="19"/>
  <c r="Z170" i="19"/>
  <c r="Y103" i="19"/>
  <c r="Y100" i="19"/>
  <c r="Y101" i="19"/>
  <c r="Z126" i="12"/>
  <c r="Y99" i="19"/>
  <c r="Y102" i="19"/>
  <c r="Y104" i="19"/>
  <c r="Y169" i="19"/>
  <c r="W226" i="12"/>
  <c r="T278" i="20"/>
  <c r="T277" i="20"/>
  <c r="AE178" i="29" l="1"/>
  <c r="AG152" i="28"/>
  <c r="AA200" i="29"/>
  <c r="AB73" i="16" s="1"/>
  <c r="AE324" i="42"/>
  <c r="AE177" i="29"/>
  <c r="Z204" i="28"/>
  <c r="AA204" i="28"/>
  <c r="BI61" i="55"/>
  <c r="AB199" i="29"/>
  <c r="AE69" i="16"/>
  <c r="AH57" i="55"/>
  <c r="X81" i="16"/>
  <c r="AH135" i="16"/>
  <c r="AQ106" i="16"/>
  <c r="AD186" i="28"/>
  <c r="AD187" i="28" s="1"/>
  <c r="AD188" i="28"/>
  <c r="AD191" i="28" s="1"/>
  <c r="AG306" i="42"/>
  <c r="AG307" i="42"/>
  <c r="AE139" i="29"/>
  <c r="AE140" i="29"/>
  <c r="AE142" i="29"/>
  <c r="AE144" i="29"/>
  <c r="AE141" i="29"/>
  <c r="AE143" i="29"/>
  <c r="AG306" i="38"/>
  <c r="AG318" i="38" s="1"/>
  <c r="AG307" i="38"/>
  <c r="AP106" i="15"/>
  <c r="AH134" i="15"/>
  <c r="X80" i="15"/>
  <c r="AH133" i="15" a="1"/>
  <c r="X84" i="15"/>
  <c r="AH68" i="15"/>
  <c r="AG221" i="28"/>
  <c r="AD192" i="29"/>
  <c r="AD199" i="29" s="1"/>
  <c r="AL276" i="12"/>
  <c r="AG185" i="28"/>
  <c r="AG104" i="29"/>
  <c r="AG137" i="29" s="1"/>
  <c r="AG138" i="29" s="1"/>
  <c r="AF137" i="29"/>
  <c r="AF138" i="29" s="1"/>
  <c r="BI126" i="36"/>
  <c r="BI39" i="58" s="1"/>
  <c r="AB346" i="42"/>
  <c r="BI127" i="36" s="1"/>
  <c r="AG301" i="38"/>
  <c r="AG300" i="38"/>
  <c r="AD338" i="42"/>
  <c r="AD340" i="42" s="1"/>
  <c r="AG236" i="19"/>
  <c r="AG235" i="19"/>
  <c r="AF303" i="42"/>
  <c r="AF302" i="42"/>
  <c r="AA58" i="55"/>
  <c r="AA69" i="15"/>
  <c r="AA71" i="15" s="1"/>
  <c r="AA33" i="58" s="1"/>
  <c r="Z208" i="28"/>
  <c r="AA61" i="55"/>
  <c r="Z213" i="28"/>
  <c r="AE158" i="29"/>
  <c r="AE162" i="29" s="1"/>
  <c r="AE159" i="29"/>
  <c r="AB58" i="55"/>
  <c r="AB69" i="15"/>
  <c r="AB71" i="15" s="1"/>
  <c r="AB33" i="58" s="1"/>
  <c r="AA208" i="28"/>
  <c r="AB61" i="55"/>
  <c r="AA213" i="28"/>
  <c r="AE154" i="28"/>
  <c r="CR61" i="55" s="1"/>
  <c r="AE156" i="28"/>
  <c r="CR63" i="55" s="1"/>
  <c r="AE155" i="28"/>
  <c r="CR62" i="55" s="1"/>
  <c r="AE157" i="28"/>
  <c r="CR64" i="55" s="1"/>
  <c r="AE158" i="28"/>
  <c r="CR65" i="55" s="1"/>
  <c r="AE153" i="28"/>
  <c r="DV58" i="55"/>
  <c r="BJ58" i="55"/>
  <c r="AD69" i="16"/>
  <c r="AD71" i="16" s="1"/>
  <c r="BJ33" i="58" s="1"/>
  <c r="AC199" i="29"/>
  <c r="AG170" i="29"/>
  <c r="AG171" i="29" s="1"/>
  <c r="AI103" i="29"/>
  <c r="AG147" i="29"/>
  <c r="AC172" i="28"/>
  <c r="AC176" i="28" s="1"/>
  <c r="AC173" i="28"/>
  <c r="AF238" i="19"/>
  <c r="AF237" i="19"/>
  <c r="AF241" i="19" s="1"/>
  <c r="AE305" i="38"/>
  <c r="AE304" i="38"/>
  <c r="AE308" i="38" s="1"/>
  <c r="AH139" i="15"/>
  <c r="AS106" i="15"/>
  <c r="X85" i="15"/>
  <c r="X83" i="15"/>
  <c r="X87" i="15"/>
  <c r="AF173" i="29"/>
  <c r="AF289" i="42"/>
  <c r="AF286" i="42"/>
  <c r="AF290" i="42"/>
  <c r="AF288" i="42"/>
  <c r="AF285" i="42"/>
  <c r="AF287" i="42"/>
  <c r="AG163" i="28"/>
  <c r="AG162" i="28"/>
  <c r="AG160" i="28"/>
  <c r="AF180" i="28"/>
  <c r="AG63" i="55" s="1"/>
  <c r="AF178" i="28"/>
  <c r="AF182" i="28"/>
  <c r="AG65" i="55" s="1"/>
  <c r="AF179" i="28"/>
  <c r="AG62" i="55" s="1"/>
  <c r="AF177" i="28"/>
  <c r="AF181" i="28"/>
  <c r="AG64" i="55" s="1"/>
  <c r="AE169" i="28"/>
  <c r="AE168" i="28"/>
  <c r="AC336" i="42"/>
  <c r="AG288" i="42"/>
  <c r="AG289" i="42"/>
  <c r="AG285" i="42"/>
  <c r="AG286" i="42"/>
  <c r="AG290" i="42"/>
  <c r="AG287" i="42"/>
  <c r="AE165" i="29"/>
  <c r="BL62" i="55" s="1"/>
  <c r="AE163" i="29"/>
  <c r="AE166" i="29"/>
  <c r="BL63" i="55" s="1"/>
  <c r="AE168" i="29"/>
  <c r="BL65" i="55" s="1"/>
  <c r="AE164" i="29"/>
  <c r="AE167" i="29"/>
  <c r="BL64" i="55" s="1"/>
  <c r="CS57" i="55"/>
  <c r="AF152" i="28"/>
  <c r="AB204" i="28"/>
  <c r="AF303" i="38"/>
  <c r="AF302" i="38"/>
  <c r="DY57" i="55"/>
  <c r="BM57" i="55"/>
  <c r="AF148" i="29"/>
  <c r="Z72" i="15"/>
  <c r="Z34" i="58" s="1"/>
  <c r="Y214" i="28"/>
  <c r="Z73" i="15" s="1"/>
  <c r="AG154" i="29"/>
  <c r="AG155" i="29"/>
  <c r="AG311" i="38"/>
  <c r="AH85" i="55" s="1"/>
  <c r="AG309" i="38"/>
  <c r="AG312" i="38"/>
  <c r="AH86" i="55" s="1"/>
  <c r="AG313" i="38"/>
  <c r="AH87" i="55" s="1"/>
  <c r="AG314" i="38"/>
  <c r="AH88" i="55" s="1"/>
  <c r="AG310" i="38"/>
  <c r="AE182" i="29"/>
  <c r="AG158" i="28"/>
  <c r="CT65" i="55" s="1"/>
  <c r="AG157" i="28"/>
  <c r="CT64" i="55" s="1"/>
  <c r="AG156" i="28"/>
  <c r="CT63" i="55" s="1"/>
  <c r="AG153" i="28"/>
  <c r="AG155" i="28"/>
  <c r="CT62" i="55" s="1"/>
  <c r="AG154" i="28"/>
  <c r="CT61" i="55" s="1"/>
  <c r="AF167" i="28"/>
  <c r="AF164" i="28"/>
  <c r="AF166" i="28"/>
  <c r="AF165" i="28"/>
  <c r="AG301" i="42"/>
  <c r="AG300" i="42"/>
  <c r="AF318" i="42"/>
  <c r="AF319" i="42" s="1"/>
  <c r="AF320" i="42"/>
  <c r="AF323" i="42" s="1"/>
  <c r="AE175" i="28"/>
  <c r="AE174" i="28"/>
  <c r="AE328" i="42"/>
  <c r="AE329" i="42" s="1"/>
  <c r="AE336" i="42" s="1"/>
  <c r="AG309" i="42"/>
  <c r="AG310" i="42"/>
  <c r="AG312" i="42"/>
  <c r="BN86" i="55" s="1"/>
  <c r="AG314" i="42"/>
  <c r="BN88" i="55" s="1"/>
  <c r="AG313" i="42"/>
  <c r="BN87" i="55" s="1"/>
  <c r="AG311" i="42"/>
  <c r="BN85" i="55" s="1"/>
  <c r="AC196" i="28"/>
  <c r="AC197" i="28" s="1"/>
  <c r="AC206" i="28" s="1"/>
  <c r="AD70" i="15" s="1"/>
  <c r="AF177" i="29"/>
  <c r="AQ126" i="15"/>
  <c r="AD170" i="28"/>
  <c r="AD171" i="28"/>
  <c r="AF157" i="29"/>
  <c r="AF178" i="29" s="1"/>
  <c r="AF156" i="29"/>
  <c r="X80" i="16"/>
  <c r="X84" i="16"/>
  <c r="AH134" i="16"/>
  <c r="AH140" i="16" s="1"/>
  <c r="AP106" i="16"/>
  <c r="AH77" i="16"/>
  <c r="AH68" i="16"/>
  <c r="AH133" i="16" a="1"/>
  <c r="AE304" i="42"/>
  <c r="AE308" i="42" s="1"/>
  <c r="AE305" i="42"/>
  <c r="AG161" i="29"/>
  <c r="AG160" i="29"/>
  <c r="AG172" i="29" s="1"/>
  <c r="AG173" i="29" s="1"/>
  <c r="AH135" i="15"/>
  <c r="AQ106" i="15"/>
  <c r="X81" i="15"/>
  <c r="V259" i="20"/>
  <c r="CI34" i="55"/>
  <c r="V183" i="19"/>
  <c r="U216" i="19"/>
  <c r="Y105" i="12"/>
  <c r="Y228" i="12" s="1"/>
  <c r="X110" i="14"/>
  <c r="X108" i="14" s="1"/>
  <c r="X109" i="12"/>
  <c r="X73" i="19"/>
  <c r="Y114" i="14" s="1"/>
  <c r="Y114" i="12"/>
  <c r="W75" i="19"/>
  <c r="X99" i="12"/>
  <c r="W97" i="14"/>
  <c r="X91" i="19"/>
  <c r="Y136" i="14" s="1"/>
  <c r="Y136" i="12"/>
  <c r="X123" i="19"/>
  <c r="Y106" i="19"/>
  <c r="Z103" i="14" s="1"/>
  <c r="Z103" i="12"/>
  <c r="X113" i="19"/>
  <c r="X114" i="19"/>
  <c r="Y95" i="14"/>
  <c r="Y124" i="19"/>
  <c r="Z138" i="14" s="1"/>
  <c r="Z138" i="12"/>
  <c r="X126" i="19"/>
  <c r="X111" i="19"/>
  <c r="X109" i="14"/>
  <c r="Z174" i="19"/>
  <c r="Y98" i="19"/>
  <c r="W94" i="19"/>
  <c r="W92" i="19"/>
  <c r="Z176" i="19"/>
  <c r="W88" i="19"/>
  <c r="W87" i="19"/>
  <c r="Z165" i="19"/>
  <c r="Z166" i="19"/>
  <c r="Z163" i="19"/>
  <c r="Z164" i="19"/>
  <c r="W86" i="19"/>
  <c r="W89" i="19"/>
  <c r="W74" i="19"/>
  <c r="W76" i="19"/>
  <c r="W83" i="19"/>
  <c r="X111" i="14" s="1"/>
  <c r="X107" i="14" s="1"/>
  <c r="X111" i="12"/>
  <c r="X107" i="12" s="1"/>
  <c r="X120" i="19"/>
  <c r="X109" i="19"/>
  <c r="X110" i="12"/>
  <c r="X108" i="12" s="1"/>
  <c r="W90" i="19"/>
  <c r="X119" i="19"/>
  <c r="X108" i="19"/>
  <c r="W93" i="19"/>
  <c r="Y118" i="19"/>
  <c r="Z94" i="14" s="1"/>
  <c r="X129" i="19"/>
  <c r="W80" i="19"/>
  <c r="X106" i="14" s="1"/>
  <c r="X79" i="19"/>
  <c r="Y104" i="14" s="1"/>
  <c r="Y105" i="14" s="1"/>
  <c r="Y228" i="14" s="1"/>
  <c r="W77" i="19"/>
  <c r="W69" i="19"/>
  <c r="X99" i="14" s="1"/>
  <c r="W71" i="19"/>
  <c r="X101" i="14" s="1"/>
  <c r="W68" i="19"/>
  <c r="X96" i="14" s="1"/>
  <c r="W70" i="19"/>
  <c r="X100" i="14" s="1"/>
  <c r="X98" i="14" s="1"/>
  <c r="X180" i="19"/>
  <c r="U293" i="20"/>
  <c r="AA172" i="19"/>
  <c r="AB135" i="14" s="1"/>
  <c r="Y131" i="19"/>
  <c r="AA215" i="20"/>
  <c r="AA173" i="19" s="1"/>
  <c r="AA216" i="20"/>
  <c r="AA218" i="20"/>
  <c r="AA217" i="20"/>
  <c r="AA175" i="19" s="1"/>
  <c r="AA219" i="20"/>
  <c r="AA177" i="19" s="1"/>
  <c r="AA202" i="20"/>
  <c r="AA204" i="20"/>
  <c r="AA206" i="20"/>
  <c r="AA167" i="19" s="1"/>
  <c r="AA203" i="20"/>
  <c r="AA205" i="20"/>
  <c r="Y131" i="20"/>
  <c r="Y107" i="19" s="1"/>
  <c r="Y132" i="20"/>
  <c r="Y133" i="20"/>
  <c r="Y134" i="20"/>
  <c r="Y110" i="19" s="1"/>
  <c r="Y135" i="20"/>
  <c r="Y147" i="20"/>
  <c r="Y143" i="20"/>
  <c r="Y144" i="20"/>
  <c r="Y146" i="20"/>
  <c r="Y122" i="19" s="1"/>
  <c r="Y145" i="20"/>
  <c r="Y121" i="19" s="1"/>
  <c r="Y149" i="20"/>
  <c r="Y125" i="19" s="1"/>
  <c r="Y153" i="20"/>
  <c r="Y150" i="20"/>
  <c r="Y151" i="20"/>
  <c r="Y127" i="19" s="1"/>
  <c r="Y152" i="20"/>
  <c r="Y128" i="19" s="1"/>
  <c r="Z148" i="20"/>
  <c r="Z142" i="20"/>
  <c r="Z136" i="20"/>
  <c r="Z112" i="19" s="1"/>
  <c r="AA126" i="14" s="1"/>
  <c r="Z130" i="20"/>
  <c r="Y137" i="20"/>
  <c r="Y140" i="20"/>
  <c r="Y116" i="19" s="1"/>
  <c r="Y138" i="20"/>
  <c r="Y139" i="20"/>
  <c r="Y115" i="19" s="1"/>
  <c r="Y141" i="20"/>
  <c r="Y117" i="19" s="1"/>
  <c r="Y75" i="20"/>
  <c r="Y67" i="19" s="1"/>
  <c r="Z93" i="14" s="1"/>
  <c r="Y99" i="20"/>
  <c r="Y81" i="20"/>
  <c r="Y87" i="20"/>
  <c r="Z104" i="12" s="1"/>
  <c r="Y93" i="20"/>
  <c r="Y85" i="19" s="1"/>
  <c r="Z124" i="14" s="1"/>
  <c r="X103" i="20"/>
  <c r="X95" i="19" s="1"/>
  <c r="X101" i="20"/>
  <c r="X104" i="20"/>
  <c r="X96" i="19" s="1"/>
  <c r="X102" i="20"/>
  <c r="X100" i="20"/>
  <c r="X94" i="20"/>
  <c r="X95" i="20"/>
  <c r="X97" i="20"/>
  <c r="X96" i="20"/>
  <c r="X98" i="20"/>
  <c r="X90" i="20"/>
  <c r="X82" i="19" s="1"/>
  <c r="X91" i="20"/>
  <c r="X88" i="20"/>
  <c r="Y106" i="12" s="1"/>
  <c r="X89" i="20"/>
  <c r="X81" i="19" s="1"/>
  <c r="X92" i="20"/>
  <c r="X84" i="19" s="1"/>
  <c r="X78" i="20"/>
  <c r="Y100" i="12" s="1"/>
  <c r="Y98" i="12" s="1"/>
  <c r="X76" i="20"/>
  <c r="Y96" i="12" s="1"/>
  <c r="X79" i="20"/>
  <c r="Y101" i="12" s="1"/>
  <c r="Y97" i="12" s="1"/>
  <c r="X80" i="20"/>
  <c r="X72" i="19" s="1"/>
  <c r="X77" i="20"/>
  <c r="X84" i="20"/>
  <c r="X82" i="20"/>
  <c r="X83" i="20"/>
  <c r="X85" i="20"/>
  <c r="X86" i="20"/>
  <c r="X78" i="19" s="1"/>
  <c r="T279" i="20"/>
  <c r="T283" i="20" s="1"/>
  <c r="T280" i="20"/>
  <c r="X179" i="19"/>
  <c r="X267" i="20"/>
  <c r="X318" i="20"/>
  <c r="X270" i="20"/>
  <c r="X266" i="20"/>
  <c r="X317" i="20"/>
  <c r="X226" i="12"/>
  <c r="V276" i="20"/>
  <c r="V275" i="20"/>
  <c r="Y256" i="20"/>
  <c r="Y34" i="20"/>
  <c r="AA170" i="19"/>
  <c r="Z100" i="19"/>
  <c r="Z103" i="19"/>
  <c r="Z99" i="19"/>
  <c r="Z102" i="19"/>
  <c r="Z104" i="19"/>
  <c r="Z101" i="19"/>
  <c r="AA126" i="12"/>
  <c r="X226" i="14"/>
  <c r="Z45" i="20"/>
  <c r="Z32" i="20"/>
  <c r="CM4" i="55" s="1"/>
  <c r="DS4" i="55" s="1"/>
  <c r="Y95" i="12"/>
  <c r="AB29" i="20"/>
  <c r="AB47" i="20" s="1"/>
  <c r="AB201" i="20" s="1"/>
  <c r="AB162" i="19" s="1"/>
  <c r="AC123" i="14" s="1"/>
  <c r="AA30" i="20"/>
  <c r="AA48" i="20" s="1"/>
  <c r="Y60" i="19"/>
  <c r="Z93" i="12"/>
  <c r="Y58" i="19"/>
  <c r="Y55" i="19"/>
  <c r="Y52" i="19" s="1"/>
  <c r="Y61" i="19"/>
  <c r="Y57" i="19"/>
  <c r="Y53" i="19"/>
  <c r="Y63" i="19"/>
  <c r="Y62" i="19"/>
  <c r="Y50" i="20"/>
  <c r="Z124" i="12"/>
  <c r="Y65" i="19"/>
  <c r="Y56" i="19"/>
  <c r="Y54" i="19"/>
  <c r="Y64" i="19"/>
  <c r="AB31" i="20"/>
  <c r="AB49" i="20" s="1"/>
  <c r="AB214" i="20" s="1"/>
  <c r="AC135" i="12" s="1"/>
  <c r="AA28" i="20"/>
  <c r="AA46" i="20" s="1"/>
  <c r="AB94" i="12" s="1"/>
  <c r="Z169" i="19"/>
  <c r="Z157" i="19"/>
  <c r="AA27" i="20"/>
  <c r="AA222" i="20"/>
  <c r="AB123" i="12"/>
  <c r="AA160" i="19"/>
  <c r="AA158" i="19"/>
  <c r="U278" i="20"/>
  <c r="U277" i="20"/>
  <c r="Z133" i="19"/>
  <c r="AA125" i="12"/>
  <c r="Z135" i="19"/>
  <c r="Z136" i="19"/>
  <c r="Z134" i="19"/>
  <c r="Z132" i="19"/>
  <c r="V282" i="20"/>
  <c r="V281" i="20"/>
  <c r="X225" i="20"/>
  <c r="W258" i="20"/>
  <c r="W272" i="20"/>
  <c r="W273" i="20"/>
  <c r="W274" i="20"/>
  <c r="W271" i="20"/>
  <c r="X37" i="20"/>
  <c r="X36" i="20"/>
  <c r="V260" i="20"/>
  <c r="V264" i="20"/>
  <c r="CI41" i="55" s="1"/>
  <c r="V265" i="20"/>
  <c r="CI42" i="55" s="1"/>
  <c r="V263" i="20"/>
  <c r="CI40" i="55" s="1"/>
  <c r="V262" i="20"/>
  <c r="CI39" i="55" s="1"/>
  <c r="V261" i="20"/>
  <c r="CI38" i="55" s="1"/>
  <c r="AD189" i="28" l="1"/>
  <c r="AD190" i="28" s="1"/>
  <c r="BK61" i="55"/>
  <c r="AD345" i="42"/>
  <c r="AC72" i="16"/>
  <c r="BI34" i="58" s="1"/>
  <c r="AB200" i="29"/>
  <c r="AC73" i="16" s="1"/>
  <c r="AH141" i="16"/>
  <c r="AH142" i="16" s="1"/>
  <c r="AF158" i="29"/>
  <c r="AF162" i="29" s="1"/>
  <c r="AF159" i="29"/>
  <c r="AG303" i="42"/>
  <c r="AG302" i="42"/>
  <c r="AF156" i="28"/>
  <c r="CS63" i="55" s="1"/>
  <c r="AF155" i="28"/>
  <c r="CS62" i="55" s="1"/>
  <c r="AF153" i="28"/>
  <c r="AF158" i="28"/>
  <c r="CS65" i="55" s="1"/>
  <c r="AF154" i="28"/>
  <c r="CS61" i="55" s="1"/>
  <c r="AF157" i="28"/>
  <c r="CS64" i="55" s="1"/>
  <c r="AB72" i="15"/>
  <c r="AB34" i="58" s="1"/>
  <c r="AA214" i="28"/>
  <c r="AB73" i="15" s="1"/>
  <c r="AL275" i="12"/>
  <c r="AI68" i="15"/>
  <c r="AG226" i="28"/>
  <c r="AD196" i="28"/>
  <c r="AD197" i="28"/>
  <c r="AD204" i="28" s="1"/>
  <c r="AC204" i="28"/>
  <c r="AE338" i="42"/>
  <c r="AE345" i="42" s="1"/>
  <c r="AF164" i="29"/>
  <c r="AF165" i="29"/>
  <c r="BM62" i="55" s="1"/>
  <c r="AF163" i="29"/>
  <c r="AF167" i="29"/>
  <c r="BM64" i="55" s="1"/>
  <c r="AF168" i="29"/>
  <c r="BM65" i="55" s="1"/>
  <c r="AF166" i="29"/>
  <c r="BM63" i="55" s="1"/>
  <c r="AL277" i="12"/>
  <c r="AL278" i="12"/>
  <c r="AI68" i="16"/>
  <c r="AE72" i="16"/>
  <c r="BK34" i="58" s="1"/>
  <c r="AD200" i="29"/>
  <c r="AE73" i="16" s="1"/>
  <c r="AF169" i="28"/>
  <c r="AF168" i="28"/>
  <c r="DZ57" i="55"/>
  <c r="BN57" i="55"/>
  <c r="AG148" i="29"/>
  <c r="AG302" i="38"/>
  <c r="AG303" i="38"/>
  <c r="BK58" i="55"/>
  <c r="AE70" i="16"/>
  <c r="AE71" i="16" s="1"/>
  <c r="BK33" i="58" s="1"/>
  <c r="AH141" i="15"/>
  <c r="AH142" i="15" s="1"/>
  <c r="AE186" i="28"/>
  <c r="AE187" i="28" s="1"/>
  <c r="AE188" i="28"/>
  <c r="AE191" i="28" s="1"/>
  <c r="AE170" i="28"/>
  <c r="AE171" i="28"/>
  <c r="AG177" i="28"/>
  <c r="AG180" i="28"/>
  <c r="AH63" i="55" s="1"/>
  <c r="AG181" i="28"/>
  <c r="AH64" i="55" s="1"/>
  <c r="AG178" i="28"/>
  <c r="AG182" i="28"/>
  <c r="AH65" i="55" s="1"/>
  <c r="AG179" i="28"/>
  <c r="AH62" i="55" s="1"/>
  <c r="BK84" i="55"/>
  <c r="X88" i="15"/>
  <c r="N80" i="15" s="1"/>
  <c r="AD172" i="28"/>
  <c r="AD176" i="28" s="1"/>
  <c r="AD173" i="28"/>
  <c r="AF174" i="28"/>
  <c r="AF175" i="28"/>
  <c r="AF304" i="38"/>
  <c r="AF308" i="38" s="1"/>
  <c r="AF305" i="38"/>
  <c r="AL273" i="12"/>
  <c r="AG167" i="28"/>
  <c r="AG165" i="28"/>
  <c r="AG164" i="28"/>
  <c r="AG166" i="28"/>
  <c r="AG174" i="29"/>
  <c r="AG177" i="29" s="1"/>
  <c r="AF305" i="42"/>
  <c r="AF304" i="42"/>
  <c r="AF308" i="42" s="1"/>
  <c r="BK81" i="55"/>
  <c r="AH140" i="15"/>
  <c r="AD346" i="42"/>
  <c r="BK127" i="36" s="1"/>
  <c r="BK126" i="36"/>
  <c r="BK39" i="58" s="1"/>
  <c r="AF328" i="42"/>
  <c r="AE183" i="29"/>
  <c r="AE192" i="29" s="1"/>
  <c r="AF70" i="16" s="1"/>
  <c r="AG157" i="29"/>
  <c r="AG156" i="29"/>
  <c r="AF321" i="42"/>
  <c r="AF322" i="42" s="1"/>
  <c r="AF324" i="42" s="1"/>
  <c r="AD72" i="16"/>
  <c r="BJ34" i="58" s="1"/>
  <c r="AC200" i="29"/>
  <c r="AD73" i="16" s="1"/>
  <c r="DW81" i="55"/>
  <c r="AF182" i="29"/>
  <c r="AD192" i="28"/>
  <c r="AC58" i="55"/>
  <c r="AC69" i="15"/>
  <c r="AC71" i="15" s="1"/>
  <c r="AC33" i="58" s="1"/>
  <c r="AB208" i="28"/>
  <c r="AC61" i="55"/>
  <c r="AB213" i="28"/>
  <c r="AG238" i="19"/>
  <c r="AG237" i="19"/>
  <c r="AG241" i="19" s="1"/>
  <c r="AF144" i="29"/>
  <c r="AF139" i="29"/>
  <c r="AF141" i="29"/>
  <c r="AF143" i="29"/>
  <c r="AF140" i="29"/>
  <c r="AF142" i="29"/>
  <c r="DW58" i="55"/>
  <c r="X88" i="16"/>
  <c r="DV81" i="55"/>
  <c r="BJ81" i="55"/>
  <c r="AC340" i="42"/>
  <c r="BJ84" i="55"/>
  <c r="AC345" i="42"/>
  <c r="AA72" i="15"/>
  <c r="AA34" i="58" s="1"/>
  <c r="Z214" i="28"/>
  <c r="AA73" i="15" s="1"/>
  <c r="AG142" i="29"/>
  <c r="AG144" i="29"/>
  <c r="AG141" i="29"/>
  <c r="AG139" i="29"/>
  <c r="AG143" i="29"/>
  <c r="AG140" i="29"/>
  <c r="AH77" i="15"/>
  <c r="AG318" i="42"/>
  <c r="AG319" i="42" s="1"/>
  <c r="AG320" i="42"/>
  <c r="AG323" i="42" s="1"/>
  <c r="W259" i="20"/>
  <c r="CJ34" i="55"/>
  <c r="Z105" i="12"/>
  <c r="Z228" i="12" s="1"/>
  <c r="W183" i="19"/>
  <c r="V216" i="19"/>
  <c r="X75" i="19"/>
  <c r="X97" i="14"/>
  <c r="Y73" i="19"/>
  <c r="Z114" i="14" s="1"/>
  <c r="Z114" i="12"/>
  <c r="Y91" i="19"/>
  <c r="Z136" i="14" s="1"/>
  <c r="Z136" i="12"/>
  <c r="Y109" i="12"/>
  <c r="Y110" i="14"/>
  <c r="Y108" i="14" s="1"/>
  <c r="Y99" i="12"/>
  <c r="Y109" i="14"/>
  <c r="Y113" i="19"/>
  <c r="Z106" i="19"/>
  <c r="AA103" i="14" s="1"/>
  <c r="AA103" i="12"/>
  <c r="Y114" i="19"/>
  <c r="Y123" i="19"/>
  <c r="Z95" i="14"/>
  <c r="Z124" i="19"/>
  <c r="AA138" i="14" s="1"/>
  <c r="AA138" i="12"/>
  <c r="Y126" i="19"/>
  <c r="Y111" i="19"/>
  <c r="AA174" i="19"/>
  <c r="Z98" i="19"/>
  <c r="AA176" i="19"/>
  <c r="X94" i="19"/>
  <c r="X92" i="19"/>
  <c r="X88" i="19"/>
  <c r="X87" i="19"/>
  <c r="AA165" i="19"/>
  <c r="AA166" i="19"/>
  <c r="AA163" i="19"/>
  <c r="AA164" i="19"/>
  <c r="X86" i="19"/>
  <c r="X89" i="19"/>
  <c r="X76" i="19"/>
  <c r="X74" i="19"/>
  <c r="X93" i="19"/>
  <c r="Y109" i="19"/>
  <c r="Y119" i="19"/>
  <c r="Y108" i="19"/>
  <c r="Y180" i="19"/>
  <c r="X83" i="19"/>
  <c r="Y111" i="14" s="1"/>
  <c r="Y107" i="14" s="1"/>
  <c r="Y111" i="12"/>
  <c r="Y107" i="12" s="1"/>
  <c r="Z118" i="19"/>
  <c r="AA94" i="14" s="1"/>
  <c r="Y110" i="12"/>
  <c r="Y108" i="12" s="1"/>
  <c r="X90" i="19"/>
  <c r="Y120" i="19"/>
  <c r="X77" i="19"/>
  <c r="Y79" i="19"/>
  <c r="Z104" i="14" s="1"/>
  <c r="Z105" i="14" s="1"/>
  <c r="Z228" i="14" s="1"/>
  <c r="Y129" i="19"/>
  <c r="X80" i="19"/>
  <c r="Y106" i="14" s="1"/>
  <c r="X69" i="19"/>
  <c r="Y99" i="14" s="1"/>
  <c r="X70" i="19"/>
  <c r="Y100" i="14" s="1"/>
  <c r="Y98" i="14" s="1"/>
  <c r="X68" i="19"/>
  <c r="Y96" i="14" s="1"/>
  <c r="X71" i="19"/>
  <c r="Y101" i="14" s="1"/>
  <c r="V293" i="20"/>
  <c r="AB172" i="19"/>
  <c r="AC135" i="14" s="1"/>
  <c r="Z131" i="19"/>
  <c r="AB215" i="20"/>
  <c r="AB173" i="19" s="1"/>
  <c r="AB217" i="20"/>
  <c r="AB175" i="19" s="1"/>
  <c r="AB219" i="20"/>
  <c r="AB177" i="19" s="1"/>
  <c r="AB216" i="20"/>
  <c r="AB218" i="20"/>
  <c r="AB203" i="20"/>
  <c r="AB205" i="20"/>
  <c r="AB202" i="20"/>
  <c r="AB204" i="20"/>
  <c r="AB206" i="20"/>
  <c r="AB167" i="19" s="1"/>
  <c r="Z151" i="20"/>
  <c r="Z127" i="19" s="1"/>
  <c r="Z150" i="20"/>
  <c r="Z153" i="20"/>
  <c r="Z152" i="20"/>
  <c r="Z128" i="19" s="1"/>
  <c r="Z149" i="20"/>
  <c r="Z125" i="19" s="1"/>
  <c r="AA148" i="20"/>
  <c r="AA130" i="20"/>
  <c r="AA136" i="20"/>
  <c r="AA112" i="19" s="1"/>
  <c r="AB126" i="14" s="1"/>
  <c r="AA142" i="20"/>
  <c r="Z131" i="20"/>
  <c r="Z107" i="19" s="1"/>
  <c r="Z132" i="20"/>
  <c r="Z133" i="20"/>
  <c r="Z134" i="20"/>
  <c r="Z110" i="19" s="1"/>
  <c r="Z135" i="20"/>
  <c r="Z137" i="20"/>
  <c r="Z139" i="20"/>
  <c r="Z115" i="19" s="1"/>
  <c r="Z141" i="20"/>
  <c r="Z117" i="19" s="1"/>
  <c r="Z140" i="20"/>
  <c r="Z116" i="19" s="1"/>
  <c r="Z138" i="20"/>
  <c r="Z143" i="20"/>
  <c r="Z146" i="20"/>
  <c r="Z122" i="19" s="1"/>
  <c r="Z144" i="20"/>
  <c r="Z147" i="20"/>
  <c r="Z145" i="20"/>
  <c r="Z121" i="19" s="1"/>
  <c r="Y88" i="20"/>
  <c r="Z106" i="12" s="1"/>
  <c r="Y89" i="20"/>
  <c r="Y81" i="19" s="1"/>
  <c r="Y92" i="20"/>
  <c r="Y84" i="19" s="1"/>
  <c r="Y90" i="20"/>
  <c r="Y82" i="19" s="1"/>
  <c r="Y91" i="20"/>
  <c r="Z75" i="20"/>
  <c r="Z67" i="19" s="1"/>
  <c r="AA93" i="14" s="1"/>
  <c r="Z87" i="20"/>
  <c r="AA104" i="12" s="1"/>
  <c r="Z93" i="20"/>
  <c r="Z85" i="19" s="1"/>
  <c r="AA124" i="14" s="1"/>
  <c r="Z81" i="20"/>
  <c r="Z99" i="20"/>
  <c r="Y82" i="20"/>
  <c r="Y83" i="20"/>
  <c r="Y85" i="20"/>
  <c r="Y84" i="20"/>
  <c r="Y86" i="20"/>
  <c r="Y78" i="19" s="1"/>
  <c r="Y100" i="20"/>
  <c r="Y104" i="20"/>
  <c r="Y96" i="19" s="1"/>
  <c r="Y102" i="20"/>
  <c r="Y101" i="20"/>
  <c r="Y103" i="20"/>
  <c r="Y95" i="19" s="1"/>
  <c r="Y94" i="20"/>
  <c r="Y96" i="20"/>
  <c r="Y98" i="20"/>
  <c r="Y95" i="20"/>
  <c r="Y97" i="20"/>
  <c r="Y79" i="20"/>
  <c r="Z101" i="12" s="1"/>
  <c r="Z97" i="12" s="1"/>
  <c r="Y76" i="20"/>
  <c r="Z96" i="12" s="1"/>
  <c r="Y80" i="20"/>
  <c r="Y72" i="19" s="1"/>
  <c r="Y77" i="20"/>
  <c r="Y78" i="20"/>
  <c r="Z100" i="12" s="1"/>
  <c r="Z98" i="12" s="1"/>
  <c r="AB19" i="20"/>
  <c r="AB222" i="20" s="1"/>
  <c r="W276" i="20"/>
  <c r="W275" i="20"/>
  <c r="AA103" i="19"/>
  <c r="AA100" i="19"/>
  <c r="AA99" i="19"/>
  <c r="AA104" i="19"/>
  <c r="AA101" i="19"/>
  <c r="AB126" i="12"/>
  <c r="AA102" i="19"/>
  <c r="AB170" i="19"/>
  <c r="Z256" i="20"/>
  <c r="Z34" i="20"/>
  <c r="W264" i="20"/>
  <c r="CJ41" i="55" s="1"/>
  <c r="W263" i="20"/>
  <c r="CJ40" i="55" s="1"/>
  <c r="W261" i="20"/>
  <c r="CJ38" i="55" s="1"/>
  <c r="W262" i="20"/>
  <c r="CJ39" i="55" s="1"/>
  <c r="W260" i="20"/>
  <c r="W265" i="20"/>
  <c r="CJ42" i="55" s="1"/>
  <c r="AA45" i="20"/>
  <c r="AA32" i="20"/>
  <c r="CN4" i="55" s="1"/>
  <c r="DT4" i="55" s="1"/>
  <c r="AB28" i="20"/>
  <c r="AB46" i="20" s="1"/>
  <c r="AC94" i="12" s="1"/>
  <c r="AC31" i="20"/>
  <c r="AC49" i="20" s="1"/>
  <c r="AC214" i="20" s="1"/>
  <c r="AD135" i="12" s="1"/>
  <c r="Y318" i="20"/>
  <c r="Y266" i="20"/>
  <c r="Y317" i="20"/>
  <c r="Y267" i="20"/>
  <c r="Y270" i="20"/>
  <c r="Y221" i="20"/>
  <c r="Y226" i="12"/>
  <c r="AA93" i="12"/>
  <c r="Z60" i="19"/>
  <c r="Z57" i="19"/>
  <c r="Z61" i="19"/>
  <c r="Z58" i="19"/>
  <c r="Z55" i="19"/>
  <c r="Z52" i="19" s="1"/>
  <c r="Z54" i="19"/>
  <c r="Z56" i="19"/>
  <c r="Z62" i="19"/>
  <c r="Z50" i="20"/>
  <c r="Z65" i="19"/>
  <c r="Z53" i="19"/>
  <c r="Z64" i="19"/>
  <c r="AA124" i="12"/>
  <c r="Z63" i="19"/>
  <c r="AA169" i="19"/>
  <c r="X258" i="20"/>
  <c r="Y225" i="20"/>
  <c r="AA157" i="19"/>
  <c r="Y226" i="14"/>
  <c r="Y179" i="19"/>
  <c r="AA133" i="19"/>
  <c r="AA132" i="19"/>
  <c r="AA134" i="19"/>
  <c r="AA136" i="19"/>
  <c r="AB125" i="12"/>
  <c r="AA135" i="19"/>
  <c r="AC29" i="20"/>
  <c r="AC47" i="20" s="1"/>
  <c r="AC201" i="20" s="1"/>
  <c r="AC162" i="19" s="1"/>
  <c r="AD123" i="14" s="1"/>
  <c r="V278" i="20"/>
  <c r="V277" i="20"/>
  <c r="X272" i="20"/>
  <c r="X274" i="20"/>
  <c r="X273" i="20"/>
  <c r="X271" i="20"/>
  <c r="W281" i="20"/>
  <c r="W282" i="20"/>
  <c r="U279" i="20"/>
  <c r="U283" i="20" s="1"/>
  <c r="U280" i="20"/>
  <c r="AC19" i="20"/>
  <c r="AB27" i="20"/>
  <c r="Z95" i="12"/>
  <c r="AB30" i="20"/>
  <c r="AB48" i="20" s="1"/>
  <c r="AC123" i="12"/>
  <c r="AB160" i="19"/>
  <c r="AB158" i="19"/>
  <c r="Y37" i="20"/>
  <c r="Y36" i="20"/>
  <c r="N83" i="15" l="1"/>
  <c r="D94" i="15" s="1"/>
  <c r="N103" i="15" s="1"/>
  <c r="N87" i="15"/>
  <c r="D96" i="15" s="1"/>
  <c r="N101" i="15" s="1"/>
  <c r="AG175" i="29"/>
  <c r="AG176" i="29" s="1"/>
  <c r="AG178" i="29" s="1"/>
  <c r="N84" i="15"/>
  <c r="AE190" i="29"/>
  <c r="AG182" i="29"/>
  <c r="AG183" i="29" s="1"/>
  <c r="AG190" i="29" s="1"/>
  <c r="N80" i="16"/>
  <c r="N86" i="16"/>
  <c r="N82" i="16"/>
  <c r="D92" i="16" s="1"/>
  <c r="N105" i="16" s="1"/>
  <c r="N85" i="16"/>
  <c r="N87" i="16"/>
  <c r="D96" i="16" s="1"/>
  <c r="N101" i="16" s="1"/>
  <c r="N83" i="16"/>
  <c r="D94" i="16" s="1"/>
  <c r="N103" i="16" s="1"/>
  <c r="AF329" i="42"/>
  <c r="AF338" i="42" s="1"/>
  <c r="AF336" i="42"/>
  <c r="AE172" i="28"/>
  <c r="AE176" i="28" s="1"/>
  <c r="AE173" i="28"/>
  <c r="AG164" i="29"/>
  <c r="AG166" i="29"/>
  <c r="BN63" i="55" s="1"/>
  <c r="AG163" i="29"/>
  <c r="AG165" i="29"/>
  <c r="BN62" i="55" s="1"/>
  <c r="AG167" i="29"/>
  <c r="BN64" i="55" s="1"/>
  <c r="AG168" i="29"/>
  <c r="BN65" i="55" s="1"/>
  <c r="AE196" i="28"/>
  <c r="BL84" i="55"/>
  <c r="AC346" i="42"/>
  <c r="BJ127" i="36" s="1"/>
  <c r="BJ126" i="36"/>
  <c r="BJ39" i="58" s="1"/>
  <c r="AG168" i="28"/>
  <c r="AG169" i="28"/>
  <c r="AE340" i="42"/>
  <c r="AC72" i="15"/>
  <c r="AC34" i="58" s="1"/>
  <c r="AB214" i="28"/>
  <c r="AC73" i="15" s="1"/>
  <c r="AG158" i="29"/>
  <c r="AG162" i="29" s="1"/>
  <c r="AG159" i="29"/>
  <c r="N81" i="16"/>
  <c r="D93" i="16" s="1"/>
  <c r="N104" i="16" s="1"/>
  <c r="AF186" i="28"/>
  <c r="AF187" i="28" s="1"/>
  <c r="AF188" i="28"/>
  <c r="AE189" i="28"/>
  <c r="AE190" i="28" s="1"/>
  <c r="AE192" i="28" s="1"/>
  <c r="BL126" i="36"/>
  <c r="BL39" i="58" s="1"/>
  <c r="AE346" i="42"/>
  <c r="BL127" i="36" s="1"/>
  <c r="DX81" i="55"/>
  <c r="AF183" i="29"/>
  <c r="AF192" i="29" s="1"/>
  <c r="AG70" i="16" s="1"/>
  <c r="AD69" i="15"/>
  <c r="AD71" i="15" s="1"/>
  <c r="AD33" i="58" s="1"/>
  <c r="AD58" i="55"/>
  <c r="AD61" i="55"/>
  <c r="AC208" i="28"/>
  <c r="AC213" i="28"/>
  <c r="BL81" i="55"/>
  <c r="N84" i="16"/>
  <c r="D91" i="16" s="1"/>
  <c r="DX58" i="55"/>
  <c r="BL58" i="55"/>
  <c r="AF69" i="16"/>
  <c r="AF71" i="16" s="1"/>
  <c r="BL33" i="58" s="1"/>
  <c r="AE199" i="29"/>
  <c r="AG175" i="28"/>
  <c r="AG174" i="28"/>
  <c r="AF170" i="28"/>
  <c r="AF171" i="28"/>
  <c r="AG328" i="42"/>
  <c r="AG329" i="42"/>
  <c r="AG336" i="42" s="1"/>
  <c r="D91" i="15"/>
  <c r="AE69" i="15"/>
  <c r="AG321" i="42"/>
  <c r="AG322" i="42" s="1"/>
  <c r="AG324" i="42" s="1"/>
  <c r="BL61" i="55"/>
  <c r="N81" i="15"/>
  <c r="D93" i="15" s="1"/>
  <c r="N104" i="15" s="1"/>
  <c r="N86" i="15"/>
  <c r="N82" i="15"/>
  <c r="D92" i="15" s="1"/>
  <c r="N105" i="15" s="1"/>
  <c r="AG305" i="38"/>
  <c r="AG304" i="38"/>
  <c r="AG308" i="38" s="1"/>
  <c r="AD206" i="28"/>
  <c r="AD208" i="28" s="1"/>
  <c r="N85" i="15"/>
  <c r="AG305" i="42"/>
  <c r="AG304" i="42"/>
  <c r="AG308" i="42" s="1"/>
  <c r="X259" i="20"/>
  <c r="X263" i="20" s="1"/>
  <c r="CK40" i="55" s="1"/>
  <c r="CK34" i="55"/>
  <c r="X183" i="19"/>
  <c r="W216" i="19"/>
  <c r="Z91" i="19"/>
  <c r="AA136" i="14" s="1"/>
  <c r="AA136" i="12"/>
  <c r="Z73" i="19"/>
  <c r="AA114" i="14" s="1"/>
  <c r="AA114" i="12"/>
  <c r="Z110" i="14"/>
  <c r="Z108" i="14" s="1"/>
  <c r="Z109" i="12"/>
  <c r="Z99" i="12"/>
  <c r="Y75" i="19"/>
  <c r="Y97" i="14"/>
  <c r="Z109" i="14"/>
  <c r="AA105" i="12"/>
  <c r="AA228" i="12" s="1"/>
  <c r="Z123" i="19"/>
  <c r="Z114" i="19"/>
  <c r="Z113" i="19"/>
  <c r="AA106" i="19"/>
  <c r="AB103" i="14" s="1"/>
  <c r="AB103" i="12"/>
  <c r="AA95" i="14"/>
  <c r="Z111" i="19"/>
  <c r="AA124" i="19"/>
  <c r="AB138" i="14" s="1"/>
  <c r="AB138" i="12"/>
  <c r="Z126" i="19"/>
  <c r="AB174" i="19"/>
  <c r="AA98" i="19"/>
  <c r="Y94" i="19"/>
  <c r="Y92" i="19"/>
  <c r="AB176" i="19"/>
  <c r="Y88" i="19"/>
  <c r="Y87" i="19"/>
  <c r="AB166" i="19"/>
  <c r="AB164" i="19"/>
  <c r="AB165" i="19"/>
  <c r="AB163" i="19"/>
  <c r="Y86" i="19"/>
  <c r="Z110" i="12"/>
  <c r="Z108" i="12" s="1"/>
  <c r="Y89" i="19"/>
  <c r="Y74" i="19"/>
  <c r="Y76" i="19"/>
  <c r="Z120" i="19"/>
  <c r="Y90" i="19"/>
  <c r="Z108" i="19"/>
  <c r="Y83" i="19"/>
  <c r="Z111" i="14" s="1"/>
  <c r="Z107" i="14" s="1"/>
  <c r="Z111" i="12"/>
  <c r="Z107" i="12" s="1"/>
  <c r="AA118" i="19"/>
  <c r="AB94" i="14" s="1"/>
  <c r="Y93" i="19"/>
  <c r="Z119" i="19"/>
  <c r="Z109" i="19"/>
  <c r="Y77" i="19"/>
  <c r="Y80" i="19"/>
  <c r="Z106" i="14" s="1"/>
  <c r="Z180" i="19"/>
  <c r="Z79" i="19"/>
  <c r="AA104" i="14" s="1"/>
  <c r="AA105" i="14" s="1"/>
  <c r="AA228" i="14" s="1"/>
  <c r="Z129" i="19"/>
  <c r="Y68" i="19"/>
  <c r="Z96" i="14" s="1"/>
  <c r="Y70" i="19"/>
  <c r="Z100" i="14" s="1"/>
  <c r="Z98" i="14" s="1"/>
  <c r="Y71" i="19"/>
  <c r="Z101" i="14" s="1"/>
  <c r="Y69" i="19"/>
  <c r="Z99" i="14" s="1"/>
  <c r="W293" i="20"/>
  <c r="AC172" i="19"/>
  <c r="AD135" i="14" s="1"/>
  <c r="AA131" i="19"/>
  <c r="AC216" i="20"/>
  <c r="AC215" i="20"/>
  <c r="AC173" i="19" s="1"/>
  <c r="AC217" i="20"/>
  <c r="AC175" i="19" s="1"/>
  <c r="AC219" i="20"/>
  <c r="AC177" i="19" s="1"/>
  <c r="AC218" i="20"/>
  <c r="AC202" i="20"/>
  <c r="AC203" i="20"/>
  <c r="AC205" i="20"/>
  <c r="AC206" i="20"/>
  <c r="AC167" i="19" s="1"/>
  <c r="AC204" i="20"/>
  <c r="AA134" i="20"/>
  <c r="AA110" i="19" s="1"/>
  <c r="AA132" i="20"/>
  <c r="AA131" i="20"/>
  <c r="AA107" i="19" s="1"/>
  <c r="AA133" i="20"/>
  <c r="AA135" i="20"/>
  <c r="AA137" i="20"/>
  <c r="AA138" i="20"/>
  <c r="AA140" i="20"/>
  <c r="AA116" i="19" s="1"/>
  <c r="AA141" i="20"/>
  <c r="AA117" i="19" s="1"/>
  <c r="AA139" i="20"/>
  <c r="AA115" i="19" s="1"/>
  <c r="AB148" i="20"/>
  <c r="AB136" i="20"/>
  <c r="AB112" i="19" s="1"/>
  <c r="AC126" i="14" s="1"/>
  <c r="AB142" i="20"/>
  <c r="AB130" i="20"/>
  <c r="AA149" i="20"/>
  <c r="AA125" i="19" s="1"/>
  <c r="AA152" i="20"/>
  <c r="AA128" i="19" s="1"/>
  <c r="AA150" i="20"/>
  <c r="AA153" i="20"/>
  <c r="AA151" i="20"/>
  <c r="AA127" i="19" s="1"/>
  <c r="AA144" i="20"/>
  <c r="AA146" i="20"/>
  <c r="AA122" i="19" s="1"/>
  <c r="AA145" i="20"/>
  <c r="AA121" i="19" s="1"/>
  <c r="AA147" i="20"/>
  <c r="AA143" i="20"/>
  <c r="Z86" i="20"/>
  <c r="Z78" i="19" s="1"/>
  <c r="Z82" i="20"/>
  <c r="Z84" i="20"/>
  <c r="Z83" i="20"/>
  <c r="Z85" i="20"/>
  <c r="Z76" i="20"/>
  <c r="AA96" i="12" s="1"/>
  <c r="Z78" i="20"/>
  <c r="AA100" i="12" s="1"/>
  <c r="AA98" i="12" s="1"/>
  <c r="Z80" i="20"/>
  <c r="Z72" i="19" s="1"/>
  <c r="Z79" i="20"/>
  <c r="AA101" i="12" s="1"/>
  <c r="AA97" i="12" s="1"/>
  <c r="Z77" i="20"/>
  <c r="AA75" i="20"/>
  <c r="AA67" i="19" s="1"/>
  <c r="AB93" i="14" s="1"/>
  <c r="AA99" i="20"/>
  <c r="AA87" i="20"/>
  <c r="AB104" i="12" s="1"/>
  <c r="AA81" i="20"/>
  <c r="AA93" i="20"/>
  <c r="AA85" i="19" s="1"/>
  <c r="AB124" i="14" s="1"/>
  <c r="Z98" i="20"/>
  <c r="Z97" i="20"/>
  <c r="Z94" i="20"/>
  <c r="Z96" i="20"/>
  <c r="Z95" i="20"/>
  <c r="Z101" i="20"/>
  <c r="Z100" i="20"/>
  <c r="Z103" i="20"/>
  <c r="Z95" i="19" s="1"/>
  <c r="Z104" i="20"/>
  <c r="Z96" i="19" s="1"/>
  <c r="Z102" i="20"/>
  <c r="Z89" i="20"/>
  <c r="Z81" i="19" s="1"/>
  <c r="Z91" i="20"/>
  <c r="Z90" i="20"/>
  <c r="Z82" i="19" s="1"/>
  <c r="Z88" i="20"/>
  <c r="AA106" i="12" s="1"/>
  <c r="Z92" i="20"/>
  <c r="Z84" i="19" s="1"/>
  <c r="AC27" i="20"/>
  <c r="AC222" i="20"/>
  <c r="X261" i="20"/>
  <c r="CK38" i="55" s="1"/>
  <c r="Z266" i="20"/>
  <c r="Z317" i="20"/>
  <c r="Z267" i="20"/>
  <c r="Z318" i="20"/>
  <c r="Z270" i="20"/>
  <c r="AB103" i="19"/>
  <c r="AB100" i="19"/>
  <c r="AB104" i="19"/>
  <c r="AB102" i="19"/>
  <c r="AB99" i="19"/>
  <c r="AC126" i="12"/>
  <c r="AB101" i="19"/>
  <c r="AB157" i="19"/>
  <c r="Z226" i="12"/>
  <c r="AD123" i="12"/>
  <c r="AC158" i="19"/>
  <c r="AC160" i="19"/>
  <c r="Y272" i="20"/>
  <c r="Y271" i="20"/>
  <c r="Y274" i="20"/>
  <c r="Y273" i="20"/>
  <c r="AC28" i="20"/>
  <c r="AC46" i="20" s="1"/>
  <c r="AD94" i="12" s="1"/>
  <c r="AA256" i="20"/>
  <c r="AA34" i="20"/>
  <c r="Z36" i="20"/>
  <c r="Z37" i="20"/>
  <c r="Z226" i="14"/>
  <c r="W278" i="20"/>
  <c r="W277" i="20"/>
  <c r="V280" i="20"/>
  <c r="V279" i="20"/>
  <c r="V283" i="20" s="1"/>
  <c r="AD29" i="20"/>
  <c r="AD47" i="20" s="1"/>
  <c r="AD201" i="20" s="1"/>
  <c r="AD162" i="19" s="1"/>
  <c r="AE123" i="14" s="1"/>
  <c r="Z179" i="19"/>
  <c r="AC170" i="19"/>
  <c r="AB93" i="12"/>
  <c r="AA60" i="19"/>
  <c r="AA58" i="19"/>
  <c r="AA56" i="19"/>
  <c r="AA61" i="19"/>
  <c r="AB124" i="12"/>
  <c r="AA55" i="19"/>
  <c r="AA52" i="19" s="1"/>
  <c r="AA50" i="20"/>
  <c r="AA62" i="19"/>
  <c r="AA64" i="19"/>
  <c r="AA63" i="19"/>
  <c r="AA65" i="19"/>
  <c r="AA54" i="19"/>
  <c r="AA53" i="19"/>
  <c r="AA57" i="19"/>
  <c r="AB169" i="19"/>
  <c r="AB133" i="19"/>
  <c r="AB135" i="19"/>
  <c r="AB132" i="19"/>
  <c r="AC125" i="12"/>
  <c r="AB136" i="19"/>
  <c r="AB134" i="19"/>
  <c r="X275" i="20"/>
  <c r="X276" i="20"/>
  <c r="AC30" i="20"/>
  <c r="AC48" i="20" s="1"/>
  <c r="AB45" i="20"/>
  <c r="AB32" i="20"/>
  <c r="CO4" i="55" s="1"/>
  <c r="DU4" i="55" s="1"/>
  <c r="X281" i="20"/>
  <c r="X282" i="20"/>
  <c r="Z225" i="20"/>
  <c r="Y258" i="20"/>
  <c r="Z221" i="20"/>
  <c r="AA95" i="12"/>
  <c r="AD31" i="20"/>
  <c r="AD49" i="20" s="1"/>
  <c r="AD214" i="20" s="1"/>
  <c r="AE135" i="12" s="1"/>
  <c r="X260" i="20" l="1"/>
  <c r="D95" i="15"/>
  <c r="N102" i="15" s="1"/>
  <c r="X262" i="20"/>
  <c r="CK39" i="55" s="1"/>
  <c r="X265" i="20"/>
  <c r="CK42" i="55" s="1"/>
  <c r="X264" i="20"/>
  <c r="CK41" i="55" s="1"/>
  <c r="AH69" i="16"/>
  <c r="N88" i="15"/>
  <c r="AF72" i="16"/>
  <c r="BL34" i="58" s="1"/>
  <c r="AE200" i="29"/>
  <c r="AF73" i="16" s="1"/>
  <c r="D95" i="16"/>
  <c r="N102" i="16" s="1"/>
  <c r="AF189" i="28"/>
  <c r="AF190" i="28" s="1"/>
  <c r="AF192" i="28" s="1"/>
  <c r="AF191" i="28"/>
  <c r="AE197" i="28"/>
  <c r="AE206" i="28" s="1"/>
  <c r="AF70" i="15" s="1"/>
  <c r="AE58" i="55"/>
  <c r="AE70" i="15"/>
  <c r="AE71" i="15" s="1"/>
  <c r="AE33" i="58" s="1"/>
  <c r="AD213" i="28"/>
  <c r="AE61" i="55"/>
  <c r="AG338" i="42"/>
  <c r="AG340" i="42" s="1"/>
  <c r="AF190" i="29"/>
  <c r="AG170" i="28"/>
  <c r="AG171" i="28"/>
  <c r="N106" i="16"/>
  <c r="D97" i="16"/>
  <c r="N88" i="16"/>
  <c r="AF172" i="28"/>
  <c r="AF176" i="28" s="1"/>
  <c r="AF173" i="28"/>
  <c r="DY81" i="55"/>
  <c r="BM81" i="55"/>
  <c r="BM84" i="55"/>
  <c r="AF340" i="42"/>
  <c r="AF345" i="42"/>
  <c r="AG186" i="28"/>
  <c r="AG187" i="28" s="1"/>
  <c r="AG188" i="28"/>
  <c r="AD72" i="15"/>
  <c r="AD34" i="58" s="1"/>
  <c r="AC214" i="28"/>
  <c r="AD73" i="15" s="1"/>
  <c r="N106" i="15"/>
  <c r="N107" i="15" s="1"/>
  <c r="D97" i="15"/>
  <c r="AG192" i="29"/>
  <c r="AH70" i="16" s="1"/>
  <c r="Y259" i="20"/>
  <c r="CL34" i="55"/>
  <c r="Y183" i="19"/>
  <c r="X216" i="19"/>
  <c r="AB105" i="12"/>
  <c r="AB228" i="12" s="1"/>
  <c r="AA109" i="12"/>
  <c r="AA73" i="19"/>
  <c r="AB114" i="14" s="1"/>
  <c r="AB114" i="12"/>
  <c r="Z97" i="14"/>
  <c r="AA110" i="14"/>
  <c r="AA108" i="14" s="1"/>
  <c r="AA91" i="19"/>
  <c r="AB136" i="14" s="1"/>
  <c r="AB136" i="12"/>
  <c r="Z75" i="19"/>
  <c r="AA99" i="12"/>
  <c r="AA109" i="14"/>
  <c r="AA123" i="19"/>
  <c r="AB95" i="14"/>
  <c r="AB124" i="19"/>
  <c r="AC138" i="14" s="1"/>
  <c r="AC138" i="12"/>
  <c r="AA113" i="19"/>
  <c r="AA114" i="19"/>
  <c r="AB106" i="19"/>
  <c r="AC103" i="14" s="1"/>
  <c r="AC103" i="12"/>
  <c r="AA126" i="19"/>
  <c r="AA111" i="19"/>
  <c r="AC174" i="19"/>
  <c r="AB98" i="19"/>
  <c r="Z92" i="19"/>
  <c r="AC176" i="19"/>
  <c r="Z88" i="19"/>
  <c r="Z87" i="19"/>
  <c r="AC164" i="19"/>
  <c r="AC165" i="19"/>
  <c r="AC163" i="19"/>
  <c r="AC166" i="19"/>
  <c r="Z89" i="19"/>
  <c r="Z86" i="19"/>
  <c r="Z76" i="19"/>
  <c r="Z74" i="19"/>
  <c r="AA180" i="19"/>
  <c r="Z83" i="19"/>
  <c r="AA111" i="14" s="1"/>
  <c r="AA107" i="14" s="1"/>
  <c r="AA111" i="12"/>
  <c r="AA107" i="12" s="1"/>
  <c r="AA108" i="19"/>
  <c r="Z94" i="19"/>
  <c r="Z93" i="19"/>
  <c r="AB118" i="19"/>
  <c r="AC94" i="14" s="1"/>
  <c r="AA110" i="12"/>
  <c r="AA108" i="12" s="1"/>
  <c r="Z90" i="19"/>
  <c r="AA119" i="19"/>
  <c r="AA120" i="19"/>
  <c r="AA109" i="19"/>
  <c r="Z80" i="19"/>
  <c r="AA106" i="14" s="1"/>
  <c r="AA79" i="19"/>
  <c r="AB104" i="14" s="1"/>
  <c r="Z77" i="19"/>
  <c r="AA129" i="19"/>
  <c r="Z70" i="19"/>
  <c r="AA100" i="14" s="1"/>
  <c r="AA98" i="14" s="1"/>
  <c r="Z69" i="19"/>
  <c r="AA99" i="14" s="1"/>
  <c r="Z68" i="19"/>
  <c r="AA96" i="14" s="1"/>
  <c r="Z71" i="19"/>
  <c r="AA101" i="14" s="1"/>
  <c r="X293" i="20"/>
  <c r="AD172" i="19"/>
  <c r="AE135" i="14" s="1"/>
  <c r="AB131" i="19"/>
  <c r="AD216" i="20"/>
  <c r="AD218" i="20"/>
  <c r="AD215" i="20"/>
  <c r="AD173" i="19" s="1"/>
  <c r="AD217" i="20"/>
  <c r="AD175" i="19" s="1"/>
  <c r="AD219" i="20"/>
  <c r="AD177" i="19" s="1"/>
  <c r="AD202" i="20"/>
  <c r="AD204" i="20"/>
  <c r="AD206" i="20"/>
  <c r="AD167" i="19" s="1"/>
  <c r="AD203" i="20"/>
  <c r="AD205" i="20"/>
  <c r="AB137" i="20"/>
  <c r="AB140" i="20"/>
  <c r="AB116" i="19" s="1"/>
  <c r="AB138" i="20"/>
  <c r="AB139" i="20"/>
  <c r="AB115" i="19" s="1"/>
  <c r="AB141" i="20"/>
  <c r="AB117" i="19" s="1"/>
  <c r="AB151" i="20"/>
  <c r="AB127" i="19" s="1"/>
  <c r="AB153" i="20"/>
  <c r="AB150" i="20"/>
  <c r="AB152" i="20"/>
  <c r="AB128" i="19" s="1"/>
  <c r="AB149" i="20"/>
  <c r="AB125" i="19" s="1"/>
  <c r="AB132" i="20"/>
  <c r="AB131" i="20"/>
  <c r="AB107" i="19" s="1"/>
  <c r="AB134" i="20"/>
  <c r="AB110" i="19" s="1"/>
  <c r="AB135" i="20"/>
  <c r="AB133" i="20"/>
  <c r="AC148" i="20"/>
  <c r="AC136" i="20"/>
  <c r="AC112" i="19" s="1"/>
  <c r="AD126" i="14" s="1"/>
  <c r="AC130" i="20"/>
  <c r="AC142" i="20"/>
  <c r="AB147" i="20"/>
  <c r="AB143" i="20"/>
  <c r="AB144" i="20"/>
  <c r="AB145" i="20"/>
  <c r="AB121" i="19" s="1"/>
  <c r="AB146" i="20"/>
  <c r="AB122" i="19" s="1"/>
  <c r="AA89" i="20"/>
  <c r="AA81" i="19" s="1"/>
  <c r="AA91" i="20"/>
  <c r="AA92" i="20"/>
  <c r="AA84" i="19" s="1"/>
  <c r="AA88" i="20"/>
  <c r="AB106" i="12" s="1"/>
  <c r="AA90" i="20"/>
  <c r="AA82" i="19" s="1"/>
  <c r="AB75" i="20"/>
  <c r="AB67" i="19" s="1"/>
  <c r="AC93" i="14" s="1"/>
  <c r="AB93" i="20"/>
  <c r="AB85" i="19" s="1"/>
  <c r="AC124" i="14" s="1"/>
  <c r="AB99" i="20"/>
  <c r="AB81" i="20"/>
  <c r="AB87" i="20"/>
  <c r="AC104" i="12" s="1"/>
  <c r="AA100" i="20"/>
  <c r="AA102" i="20"/>
  <c r="AA103" i="20"/>
  <c r="AA95" i="19" s="1"/>
  <c r="AA101" i="20"/>
  <c r="AA104" i="20"/>
  <c r="AA96" i="19" s="1"/>
  <c r="AA97" i="20"/>
  <c r="AA95" i="20"/>
  <c r="AA96" i="20"/>
  <c r="AA94" i="20"/>
  <c r="AA98" i="20"/>
  <c r="AA80" i="20"/>
  <c r="AA72" i="19" s="1"/>
  <c r="AA79" i="20"/>
  <c r="AB101" i="12" s="1"/>
  <c r="AB97" i="12" s="1"/>
  <c r="AA76" i="20"/>
  <c r="AB96" i="12" s="1"/>
  <c r="AA78" i="20"/>
  <c r="AB100" i="12" s="1"/>
  <c r="AB98" i="12" s="1"/>
  <c r="AA77" i="20"/>
  <c r="AA83" i="20"/>
  <c r="AA86" i="20"/>
  <c r="AA78" i="19" s="1"/>
  <c r="AA85" i="20"/>
  <c r="AA82" i="20"/>
  <c r="AA84" i="20"/>
  <c r="AD19" i="20"/>
  <c r="AD222" i="20" s="1"/>
  <c r="Y261" i="20"/>
  <c r="CL38" i="55" s="1"/>
  <c r="Y262" i="20"/>
  <c r="CL39" i="55" s="1"/>
  <c r="Y260" i="20"/>
  <c r="Y265" i="20"/>
  <c r="CL42" i="55" s="1"/>
  <c r="Y263" i="20"/>
  <c r="CL40" i="55" s="1"/>
  <c r="Y264" i="20"/>
  <c r="CL41" i="55" s="1"/>
  <c r="AB256" i="20"/>
  <c r="AB34" i="20"/>
  <c r="AA266" i="20"/>
  <c r="AA317" i="20"/>
  <c r="AA267" i="20"/>
  <c r="AA318" i="20"/>
  <c r="AA270" i="20"/>
  <c r="AA226" i="14"/>
  <c r="AE123" i="12"/>
  <c r="AD158" i="19"/>
  <c r="AD160" i="19"/>
  <c r="W280" i="20"/>
  <c r="W279" i="20"/>
  <c r="W283" i="20" s="1"/>
  <c r="AD28" i="20"/>
  <c r="AD46" i="20" s="1"/>
  <c r="AE94" i="12" s="1"/>
  <c r="AC157" i="19"/>
  <c r="AA226" i="12"/>
  <c r="Z258" i="20"/>
  <c r="AA225" i="20"/>
  <c r="AB55" i="19"/>
  <c r="AB52" i="19" s="1"/>
  <c r="AC93" i="12"/>
  <c r="AB60" i="19"/>
  <c r="AB62" i="19"/>
  <c r="AB50" i="20"/>
  <c r="AB221" i="20" s="1"/>
  <c r="AB61" i="19"/>
  <c r="AB58" i="19"/>
  <c r="AB53" i="19"/>
  <c r="AC124" i="12"/>
  <c r="AB63" i="19"/>
  <c r="AB56" i="19"/>
  <c r="AB65" i="19"/>
  <c r="AB54" i="19"/>
  <c r="AB64" i="19"/>
  <c r="AB57" i="19"/>
  <c r="X277" i="20"/>
  <c r="X278" i="20"/>
  <c r="AC169" i="19"/>
  <c r="AE29" i="20"/>
  <c r="AE47" i="20" s="1"/>
  <c r="AE201" i="20" s="1"/>
  <c r="AE162" i="19" s="1"/>
  <c r="AF123" i="14" s="1"/>
  <c r="AA36" i="20"/>
  <c r="AA37" i="20"/>
  <c r="Y276" i="20"/>
  <c r="Y275" i="20"/>
  <c r="AD27" i="20"/>
  <c r="AD30" i="20"/>
  <c r="AD48" i="20" s="1"/>
  <c r="Y282" i="20"/>
  <c r="Y281" i="20"/>
  <c r="AC45" i="20"/>
  <c r="AC32" i="20"/>
  <c r="CP4" i="55" s="1"/>
  <c r="DV4" i="55" s="1"/>
  <c r="AD170" i="19"/>
  <c r="AE31" i="20"/>
  <c r="AE49" i="20" s="1"/>
  <c r="AE214" i="20" s="1"/>
  <c r="AF135" i="12" s="1"/>
  <c r="AC133" i="19"/>
  <c r="AC134" i="19"/>
  <c r="AC135" i="19"/>
  <c r="AC136" i="19"/>
  <c r="AC132" i="19"/>
  <c r="AD125" i="12"/>
  <c r="AA179" i="19"/>
  <c r="AA221" i="20"/>
  <c r="AB95" i="12"/>
  <c r="AC103" i="19"/>
  <c r="AC100" i="19"/>
  <c r="AC101" i="19"/>
  <c r="AC99" i="19"/>
  <c r="AC104" i="19"/>
  <c r="AC102" i="19"/>
  <c r="AD126" i="12"/>
  <c r="Z272" i="20"/>
  <c r="Z271" i="20"/>
  <c r="Z273" i="20"/>
  <c r="Z274" i="20"/>
  <c r="AE204" i="28" l="1"/>
  <c r="BN84" i="55"/>
  <c r="DZ81" i="55"/>
  <c r="BN81" i="55"/>
  <c r="AG199" i="29"/>
  <c r="BN61" i="55"/>
  <c r="DZ58" i="55"/>
  <c r="AG173" i="28"/>
  <c r="AG172" i="28"/>
  <c r="AG176" i="28" s="1"/>
  <c r="AF69" i="15"/>
  <c r="AF71" i="15" s="1"/>
  <c r="AF33" i="58" s="1"/>
  <c r="AF58" i="55"/>
  <c r="AF61" i="55"/>
  <c r="AE208" i="28"/>
  <c r="AE213" i="28"/>
  <c r="BN58" i="55"/>
  <c r="AL274" i="12"/>
  <c r="AG191" i="28"/>
  <c r="DY58" i="55"/>
  <c r="AG69" i="16"/>
  <c r="AG71" i="16" s="1"/>
  <c r="BM33" i="58" s="1"/>
  <c r="BM58" i="55"/>
  <c r="AF199" i="29"/>
  <c r="BM61" i="55"/>
  <c r="N107" i="16"/>
  <c r="N8" i="60"/>
  <c r="AH71" i="16"/>
  <c r="BN33" i="58" s="1"/>
  <c r="AE72" i="15"/>
  <c r="AE34" i="58" s="1"/>
  <c r="AD214" i="28"/>
  <c r="AE73" i="15" s="1"/>
  <c r="BM126" i="36"/>
  <c r="BM39" i="58" s="1"/>
  <c r="AF346" i="42"/>
  <c r="BM127" i="36" s="1"/>
  <c r="AG189" i="28"/>
  <c r="AG190" i="28" s="1"/>
  <c r="AG192" i="28" s="1"/>
  <c r="AF196" i="28"/>
  <c r="AF197" i="28"/>
  <c r="AF206" i="28" s="1"/>
  <c r="AG70" i="15" s="1"/>
  <c r="AG345" i="42"/>
  <c r="Z259" i="20"/>
  <c r="CM34" i="55"/>
  <c r="Z183" i="19"/>
  <c r="Y216" i="19"/>
  <c r="AB110" i="14"/>
  <c r="AB108" i="14" s="1"/>
  <c r="AB105" i="14"/>
  <c r="AB228" i="14" s="1"/>
  <c r="AA75" i="19"/>
  <c r="AB109" i="14"/>
  <c r="AB73" i="19"/>
  <c r="AC114" i="14" s="1"/>
  <c r="AC114" i="12"/>
  <c r="AA97" i="14"/>
  <c r="AB109" i="12"/>
  <c r="AB91" i="19"/>
  <c r="AC136" i="14" s="1"/>
  <c r="AC136" i="12"/>
  <c r="AB99" i="12"/>
  <c r="AB123" i="19"/>
  <c r="AC124" i="19"/>
  <c r="AD138" i="14" s="1"/>
  <c r="AD138" i="12"/>
  <c r="AB126" i="19"/>
  <c r="AB114" i="19"/>
  <c r="AC105" i="12"/>
  <c r="AC228" i="12" s="1"/>
  <c r="AC106" i="19"/>
  <c r="AD103" i="14" s="1"/>
  <c r="AD103" i="12"/>
  <c r="AB111" i="19"/>
  <c r="AC95" i="14"/>
  <c r="AB113" i="19"/>
  <c r="AD174" i="19"/>
  <c r="AC98" i="19"/>
  <c r="AA92" i="19"/>
  <c r="AA94" i="19"/>
  <c r="AD176" i="19"/>
  <c r="AA88" i="19"/>
  <c r="AA87" i="19"/>
  <c r="AD166" i="19"/>
  <c r="AD163" i="19"/>
  <c r="AD164" i="19"/>
  <c r="AD165" i="19"/>
  <c r="AA89" i="19"/>
  <c r="AA86" i="19"/>
  <c r="AA74" i="19"/>
  <c r="AA76" i="19"/>
  <c r="AA93" i="19"/>
  <c r="AB120" i="19"/>
  <c r="AB119" i="19"/>
  <c r="AA83" i="19"/>
  <c r="AB111" i="14" s="1"/>
  <c r="AB107" i="14" s="1"/>
  <c r="AB111" i="12"/>
  <c r="AB107" i="12" s="1"/>
  <c r="AA90" i="19"/>
  <c r="AC118" i="19"/>
  <c r="AD94" i="14" s="1"/>
  <c r="AB109" i="19"/>
  <c r="AB108" i="19"/>
  <c r="AB110" i="12"/>
  <c r="AB108" i="12" s="1"/>
  <c r="AB79" i="19"/>
  <c r="AC104" i="14" s="1"/>
  <c r="AC105" i="14" s="1"/>
  <c r="AC228" i="14" s="1"/>
  <c r="AA77" i="19"/>
  <c r="AA80" i="19"/>
  <c r="AB106" i="14" s="1"/>
  <c r="AB129" i="19"/>
  <c r="AA68" i="19"/>
  <c r="AB96" i="14" s="1"/>
  <c r="AA71" i="19"/>
  <c r="AB101" i="14" s="1"/>
  <c r="AA69" i="19"/>
  <c r="AB99" i="14" s="1"/>
  <c r="AA70" i="19"/>
  <c r="AB100" i="14" s="1"/>
  <c r="AB98" i="14" s="1"/>
  <c r="AB180" i="19"/>
  <c r="Y293" i="20"/>
  <c r="AE172" i="19"/>
  <c r="AF135" i="14" s="1"/>
  <c r="AC131" i="19"/>
  <c r="AE217" i="20"/>
  <c r="AE175" i="19" s="1"/>
  <c r="AE216" i="20"/>
  <c r="AE218" i="20"/>
  <c r="AE215" i="20"/>
  <c r="AE173" i="19" s="1"/>
  <c r="AE219" i="20"/>
  <c r="AE177" i="19" s="1"/>
  <c r="AE203" i="20"/>
  <c r="AE202" i="20"/>
  <c r="AE204" i="20"/>
  <c r="AE206" i="20"/>
  <c r="AE167" i="19" s="1"/>
  <c r="AE205" i="20"/>
  <c r="AC145" i="20"/>
  <c r="AC121" i="19" s="1"/>
  <c r="AC146" i="20"/>
  <c r="AC122" i="19" s="1"/>
  <c r="AC147" i="20"/>
  <c r="AC143" i="20"/>
  <c r="AC144" i="20"/>
  <c r="AC152" i="20"/>
  <c r="AC128" i="19" s="1"/>
  <c r="AC153" i="20"/>
  <c r="AC151" i="20"/>
  <c r="AC127" i="19" s="1"/>
  <c r="AC149" i="20"/>
  <c r="AC125" i="19" s="1"/>
  <c r="AC150" i="20"/>
  <c r="AC131" i="20"/>
  <c r="AC107" i="19" s="1"/>
  <c r="AC135" i="20"/>
  <c r="AC132" i="20"/>
  <c r="AC134" i="20"/>
  <c r="AC110" i="19" s="1"/>
  <c r="AC133" i="20"/>
  <c r="AD148" i="20"/>
  <c r="AD136" i="20"/>
  <c r="AD112" i="19" s="1"/>
  <c r="AE126" i="14" s="1"/>
  <c r="AD142" i="20"/>
  <c r="AD130" i="20"/>
  <c r="AC138" i="20"/>
  <c r="AC137" i="20"/>
  <c r="AC140" i="20"/>
  <c r="AC116" i="19" s="1"/>
  <c r="AC139" i="20"/>
  <c r="AC115" i="19" s="1"/>
  <c r="AC141" i="20"/>
  <c r="AC117" i="19" s="1"/>
  <c r="AB95" i="20"/>
  <c r="AB96" i="20"/>
  <c r="AB98" i="20"/>
  <c r="AB94" i="20"/>
  <c r="AB97" i="20"/>
  <c r="AB88" i="20"/>
  <c r="AC106" i="12" s="1"/>
  <c r="AB90" i="20"/>
  <c r="AB82" i="19" s="1"/>
  <c r="AB91" i="20"/>
  <c r="AB89" i="20"/>
  <c r="AB81" i="19" s="1"/>
  <c r="AB92" i="20"/>
  <c r="AB84" i="19" s="1"/>
  <c r="AB77" i="20"/>
  <c r="AB78" i="20"/>
  <c r="AC100" i="12" s="1"/>
  <c r="AC98" i="12" s="1"/>
  <c r="AB79" i="20"/>
  <c r="AC101" i="12" s="1"/>
  <c r="AC97" i="12" s="1"/>
  <c r="AB76" i="20"/>
  <c r="AC96" i="12" s="1"/>
  <c r="AB80" i="20"/>
  <c r="AB72" i="19" s="1"/>
  <c r="AB83" i="20"/>
  <c r="AB86" i="20"/>
  <c r="AB78" i="19" s="1"/>
  <c r="AB84" i="20"/>
  <c r="AB82" i="20"/>
  <c r="AB85" i="20"/>
  <c r="AC75" i="20"/>
  <c r="AC67" i="19" s="1"/>
  <c r="AD93" i="14" s="1"/>
  <c r="AC99" i="20"/>
  <c r="AC81" i="20"/>
  <c r="AC87" i="20"/>
  <c r="AD104" i="12" s="1"/>
  <c r="AC93" i="20"/>
  <c r="AC85" i="19" s="1"/>
  <c r="AD124" i="14" s="1"/>
  <c r="AB102" i="20"/>
  <c r="AB101" i="20"/>
  <c r="AB104" i="20"/>
  <c r="AB96" i="19" s="1"/>
  <c r="AB100" i="20"/>
  <c r="AB103" i="20"/>
  <c r="AB95" i="19" s="1"/>
  <c r="AE19" i="20"/>
  <c r="AE222" i="20" s="1"/>
  <c r="AB226" i="14"/>
  <c r="AE170" i="19"/>
  <c r="AD93" i="12"/>
  <c r="AC60" i="19"/>
  <c r="AC62" i="19"/>
  <c r="AC50" i="20"/>
  <c r="AC221" i="20" s="1"/>
  <c r="AC58" i="19"/>
  <c r="AC61" i="19"/>
  <c r="AC53" i="19"/>
  <c r="AC54" i="19"/>
  <c r="AC55" i="19"/>
  <c r="AC52" i="19" s="1"/>
  <c r="AC65" i="19"/>
  <c r="AC64" i="19"/>
  <c r="AC57" i="19"/>
  <c r="AD124" i="12"/>
  <c r="AC63" i="19"/>
  <c r="AC56" i="19"/>
  <c r="AD133" i="19"/>
  <c r="AD132" i="19"/>
  <c r="AD136" i="19"/>
  <c r="AD134" i="19"/>
  <c r="AE125" i="12"/>
  <c r="AD135" i="19"/>
  <c r="AD45" i="20"/>
  <c r="AD32" i="20"/>
  <c r="CQ4" i="55" s="1"/>
  <c r="DW4" i="55" s="1"/>
  <c r="X279" i="20"/>
  <c r="X283" i="20" s="1"/>
  <c r="X280" i="20"/>
  <c r="AA273" i="20"/>
  <c r="AA274" i="20"/>
  <c r="AA271" i="20"/>
  <c r="AA272" i="20"/>
  <c r="AF31" i="20"/>
  <c r="AF49" i="20" s="1"/>
  <c r="AF214" i="20" s="1"/>
  <c r="AG135" i="12" s="1"/>
  <c r="AG31" i="20"/>
  <c r="AG49" i="20" s="1"/>
  <c r="AG214" i="20" s="1"/>
  <c r="AH135" i="12" s="1"/>
  <c r="AD169" i="19"/>
  <c r="AE30" i="20"/>
  <c r="AE48" i="20" s="1"/>
  <c r="AD103" i="19"/>
  <c r="AD100" i="19"/>
  <c r="AD102" i="19"/>
  <c r="AD99" i="19"/>
  <c r="AD101" i="19"/>
  <c r="AD104" i="19"/>
  <c r="AE126" i="12"/>
  <c r="Z281" i="20"/>
  <c r="Z282" i="20"/>
  <c r="AB226" i="12"/>
  <c r="AE27" i="20"/>
  <c r="Y277" i="20"/>
  <c r="Y278" i="20"/>
  <c r="AF123" i="12"/>
  <c r="AE158" i="19"/>
  <c r="AE160" i="19"/>
  <c r="AB270" i="20"/>
  <c r="AB318" i="20"/>
  <c r="AB317" i="20"/>
  <c r="AB266" i="20"/>
  <c r="AB267" i="20"/>
  <c r="AC95" i="12"/>
  <c r="AB225" i="20"/>
  <c r="AA258" i="20"/>
  <c r="AE28" i="20"/>
  <c r="AE46" i="20" s="1"/>
  <c r="AF94" i="12" s="1"/>
  <c r="AD157" i="19"/>
  <c r="AB37" i="20"/>
  <c r="AB36" i="20"/>
  <c r="Z276" i="20"/>
  <c r="Z275" i="20"/>
  <c r="AC256" i="20"/>
  <c r="AC34" i="20"/>
  <c r="AG29" i="20"/>
  <c r="AG47" i="20" s="1"/>
  <c r="AG201" i="20" s="1"/>
  <c r="AG162" i="19" s="1"/>
  <c r="AH123" i="14" s="1"/>
  <c r="AF29" i="20"/>
  <c r="AF47" i="20" s="1"/>
  <c r="AF201" i="20" s="1"/>
  <c r="AF162" i="19" s="1"/>
  <c r="AG123" i="14" s="1"/>
  <c r="AB179" i="19"/>
  <c r="Z265" i="20"/>
  <c r="CM42" i="55" s="1"/>
  <c r="Z260" i="20"/>
  <c r="Z264" i="20"/>
  <c r="CM41" i="55" s="1"/>
  <c r="Z262" i="20"/>
  <c r="CM39" i="55" s="1"/>
  <c r="Z263" i="20"/>
  <c r="CM40" i="55" s="1"/>
  <c r="Z261" i="20"/>
  <c r="CM38" i="55" s="1"/>
  <c r="BN126" i="36" l="1"/>
  <c r="BN39" i="58" s="1"/>
  <c r="AG346" i="42"/>
  <c r="BN127" i="36" s="1"/>
  <c r="N9" i="60"/>
  <c r="K20" i="60"/>
  <c r="E24" i="61" s="1"/>
  <c r="DA20" i="58"/>
  <c r="AG196" i="28"/>
  <c r="AG197" i="28" s="1"/>
  <c r="AG204" i="28" s="1"/>
  <c r="AF204" i="28"/>
  <c r="AF72" i="15"/>
  <c r="AF34" i="58" s="1"/>
  <c r="AE214" i="28"/>
  <c r="AF73" i="15" s="1"/>
  <c r="AG72" i="16"/>
  <c r="BM34" i="58" s="1"/>
  <c r="AF200" i="29"/>
  <c r="AG73" i="16" s="1"/>
  <c r="AG200" i="29"/>
  <c r="AH73" i="16" s="1"/>
  <c r="AH72" i="16"/>
  <c r="BN34" i="58" s="1"/>
  <c r="AA259" i="20"/>
  <c r="CN34" i="55"/>
  <c r="AA183" i="19"/>
  <c r="Z216" i="19"/>
  <c r="AC109" i="12"/>
  <c r="AC91" i="19"/>
  <c r="AD136" i="14" s="1"/>
  <c r="AD136" i="12"/>
  <c r="AB75" i="19"/>
  <c r="AB97" i="14"/>
  <c r="AC110" i="14"/>
  <c r="AC108" i="14" s="1"/>
  <c r="AC99" i="12"/>
  <c r="AC73" i="19"/>
  <c r="AD114" i="14" s="1"/>
  <c r="AD114" i="12"/>
  <c r="AC109" i="14"/>
  <c r="AC126" i="19"/>
  <c r="AC113" i="19"/>
  <c r="AD105" i="12"/>
  <c r="AD228" i="12" s="1"/>
  <c r="AD124" i="19"/>
  <c r="AE138" i="14" s="1"/>
  <c r="AE138" i="12"/>
  <c r="AC114" i="19"/>
  <c r="AC111" i="19"/>
  <c r="AD106" i="19"/>
  <c r="AE103" i="14" s="1"/>
  <c r="AE103" i="12"/>
  <c r="AC123" i="19"/>
  <c r="AD95" i="14"/>
  <c r="AE174" i="19"/>
  <c r="AD98" i="19"/>
  <c r="AB92" i="19"/>
  <c r="AE176" i="19"/>
  <c r="AB88" i="19"/>
  <c r="AB87" i="19"/>
  <c r="AE165" i="19"/>
  <c r="AE163" i="19"/>
  <c r="AE166" i="19"/>
  <c r="AE164" i="19"/>
  <c r="AG172" i="19"/>
  <c r="AH135" i="14" s="1"/>
  <c r="AB86" i="19"/>
  <c r="AB89" i="19"/>
  <c r="AB74" i="19"/>
  <c r="AB76" i="19"/>
  <c r="AD118" i="19"/>
  <c r="AE94" i="14" s="1"/>
  <c r="AC108" i="19"/>
  <c r="AC120" i="19"/>
  <c r="AC110" i="12"/>
  <c r="AC108" i="12" s="1"/>
  <c r="AB94" i="19"/>
  <c r="AB83" i="19"/>
  <c r="AC111" i="14" s="1"/>
  <c r="AC107" i="14" s="1"/>
  <c r="AC111" i="12"/>
  <c r="AC107" i="12" s="1"/>
  <c r="AC119" i="19"/>
  <c r="AB93" i="19"/>
  <c r="AB90" i="19"/>
  <c r="AC109" i="19"/>
  <c r="AC79" i="19"/>
  <c r="AD104" i="14" s="1"/>
  <c r="AD105" i="14" s="1"/>
  <c r="AD228" i="14" s="1"/>
  <c r="AB77" i="19"/>
  <c r="AC129" i="19"/>
  <c r="AB80" i="19"/>
  <c r="AC106" i="14" s="1"/>
  <c r="AB68" i="19"/>
  <c r="AC96" i="14" s="1"/>
  <c r="AB71" i="19"/>
  <c r="AC101" i="14" s="1"/>
  <c r="AB70" i="19"/>
  <c r="AC100" i="14" s="1"/>
  <c r="AC98" i="14" s="1"/>
  <c r="AB69" i="19"/>
  <c r="AC99" i="14" s="1"/>
  <c r="Z293" i="20"/>
  <c r="AF172" i="19"/>
  <c r="AG135" i="14" s="1"/>
  <c r="AC180" i="19"/>
  <c r="AD131" i="19"/>
  <c r="AG218" i="20"/>
  <c r="AG215" i="20"/>
  <c r="AG173" i="19" s="1"/>
  <c r="AG217" i="20"/>
  <c r="AG175" i="19" s="1"/>
  <c r="AG219" i="20"/>
  <c r="AG177" i="19" s="1"/>
  <c r="AG216" i="20"/>
  <c r="AF215" i="20"/>
  <c r="AF173" i="19" s="1"/>
  <c r="AF217" i="20"/>
  <c r="AF175" i="19" s="1"/>
  <c r="AF219" i="20"/>
  <c r="AF177" i="19" s="1"/>
  <c r="AF216" i="20"/>
  <c r="AF218" i="20"/>
  <c r="AF203" i="20"/>
  <c r="AF205" i="20"/>
  <c r="AF202" i="20"/>
  <c r="AF204" i="20"/>
  <c r="AF206" i="20"/>
  <c r="AF167" i="19" s="1"/>
  <c r="AG203" i="20"/>
  <c r="AG205" i="20"/>
  <c r="AG202" i="20"/>
  <c r="AG204" i="20"/>
  <c r="AG206" i="20"/>
  <c r="AG167" i="19" s="1"/>
  <c r="AD132" i="20"/>
  <c r="AD133" i="20"/>
  <c r="AD134" i="20"/>
  <c r="AD110" i="19" s="1"/>
  <c r="AD131" i="20"/>
  <c r="AD107" i="19" s="1"/>
  <c r="AD135" i="20"/>
  <c r="AD144" i="20"/>
  <c r="AD143" i="20"/>
  <c r="AD146" i="20"/>
  <c r="AD122" i="19" s="1"/>
  <c r="AD145" i="20"/>
  <c r="AD121" i="19" s="1"/>
  <c r="AD147" i="20"/>
  <c r="AD149" i="20"/>
  <c r="AD125" i="19" s="1"/>
  <c r="AD151" i="20"/>
  <c r="AD127" i="19" s="1"/>
  <c r="AD150" i="20"/>
  <c r="AD152" i="20"/>
  <c r="AD128" i="19" s="1"/>
  <c r="AD153" i="20"/>
  <c r="AE148" i="20"/>
  <c r="AE130" i="20"/>
  <c r="AE142" i="20"/>
  <c r="AE136" i="20"/>
  <c r="AE112" i="19" s="1"/>
  <c r="AF126" i="14" s="1"/>
  <c r="AD140" i="20"/>
  <c r="AD116" i="19" s="1"/>
  <c r="AD137" i="20"/>
  <c r="AD138" i="20"/>
  <c r="AD139" i="20"/>
  <c r="AD115" i="19" s="1"/>
  <c r="AD141" i="20"/>
  <c r="AD117" i="19" s="1"/>
  <c r="AC83" i="20"/>
  <c r="AC84" i="20"/>
  <c r="AC85" i="20"/>
  <c r="AC86" i="20"/>
  <c r="AC78" i="19" s="1"/>
  <c r="AC82" i="20"/>
  <c r="AC103" i="20"/>
  <c r="AC95" i="19" s="1"/>
  <c r="AC102" i="20"/>
  <c r="AC100" i="20"/>
  <c r="AC104" i="20"/>
  <c r="AC96" i="19" s="1"/>
  <c r="AC101" i="20"/>
  <c r="AD75" i="20"/>
  <c r="AD67" i="19" s="1"/>
  <c r="AE93" i="14" s="1"/>
  <c r="AD87" i="20"/>
  <c r="AE104" i="12" s="1"/>
  <c r="AD81" i="20"/>
  <c r="AD99" i="20"/>
  <c r="AD93" i="20"/>
  <c r="AD85" i="19" s="1"/>
  <c r="AE124" i="14" s="1"/>
  <c r="AC94" i="20"/>
  <c r="AC95" i="20"/>
  <c r="AC97" i="20"/>
  <c r="AC96" i="20"/>
  <c r="AC98" i="20"/>
  <c r="AC78" i="20"/>
  <c r="AD100" i="12" s="1"/>
  <c r="AD98" i="12" s="1"/>
  <c r="AC77" i="20"/>
  <c r="AC79" i="20"/>
  <c r="AD101" i="12" s="1"/>
  <c r="AD97" i="12" s="1"/>
  <c r="AC76" i="20"/>
  <c r="AD96" i="12" s="1"/>
  <c r="AC80" i="20"/>
  <c r="AC72" i="19" s="1"/>
  <c r="AC89" i="20"/>
  <c r="AC81" i="19" s="1"/>
  <c r="AC90" i="20"/>
  <c r="AC82" i="19" s="1"/>
  <c r="AC88" i="20"/>
  <c r="AD106" i="12" s="1"/>
  <c r="AC91" i="20"/>
  <c r="AC92" i="20"/>
  <c r="AC84" i="19" s="1"/>
  <c r="AF19" i="20"/>
  <c r="AF222" i="20" s="1"/>
  <c r="AF28" i="20"/>
  <c r="AF46" i="20" s="1"/>
  <c r="AG94" i="12" s="1"/>
  <c r="AG28" i="20"/>
  <c r="AG46" i="20" s="1"/>
  <c r="AH94" i="12" s="1"/>
  <c r="AE45" i="20"/>
  <c r="AE32" i="20"/>
  <c r="CR4" i="55" s="1"/>
  <c r="DX4" i="55" s="1"/>
  <c r="AE133" i="19"/>
  <c r="AE134" i="19"/>
  <c r="AE135" i="19"/>
  <c r="AF125" i="12"/>
  <c r="AE136" i="19"/>
  <c r="AE132" i="19"/>
  <c r="AC179" i="19"/>
  <c r="AG123" i="12"/>
  <c r="AF158" i="19"/>
  <c r="AF160" i="19"/>
  <c r="AA262" i="20"/>
  <c r="CN39" i="55" s="1"/>
  <c r="AA263" i="20"/>
  <c r="CN40" i="55" s="1"/>
  <c r="AA261" i="20"/>
  <c r="CN38" i="55" s="1"/>
  <c r="AA264" i="20"/>
  <c r="CN41" i="55" s="1"/>
  <c r="AA260" i="20"/>
  <c r="AA265" i="20"/>
  <c r="CN42" i="55" s="1"/>
  <c r="AB273" i="20"/>
  <c r="AB271" i="20"/>
  <c r="AB272" i="20"/>
  <c r="AB274" i="20"/>
  <c r="AF27" i="20"/>
  <c r="AC226" i="14"/>
  <c r="AG30" i="20"/>
  <c r="AG48" i="20" s="1"/>
  <c r="AF30" i="20"/>
  <c r="AF48" i="20" s="1"/>
  <c r="AG170" i="19"/>
  <c r="J16" i="31"/>
  <c r="P16" i="31" s="1"/>
  <c r="AA281" i="20"/>
  <c r="AA282" i="20"/>
  <c r="AH123" i="12"/>
  <c r="AG160" i="19"/>
  <c r="AG158" i="19"/>
  <c r="J10" i="31"/>
  <c r="P10" i="31" s="1"/>
  <c r="J9" i="31"/>
  <c r="P9" i="31" s="1"/>
  <c r="J8" i="31"/>
  <c r="P8" i="31" s="1"/>
  <c r="J18" i="31"/>
  <c r="P18" i="31" s="1"/>
  <c r="Z278" i="20"/>
  <c r="Z277" i="20"/>
  <c r="AB258" i="20"/>
  <c r="AC225" i="20"/>
  <c r="Y279" i="20"/>
  <c r="Y283" i="20" s="1"/>
  <c r="Y280" i="20"/>
  <c r="AF170" i="19"/>
  <c r="AA276" i="20"/>
  <c r="AA275" i="20"/>
  <c r="AD256" i="20"/>
  <c r="AD34" i="20"/>
  <c r="AC266" i="20"/>
  <c r="AC318" i="20"/>
  <c r="AC270" i="20"/>
  <c r="AC267" i="20"/>
  <c r="AC317" i="20"/>
  <c r="AD95" i="12"/>
  <c r="AC37" i="20"/>
  <c r="AC36" i="20"/>
  <c r="AE103" i="19"/>
  <c r="AE100" i="19"/>
  <c r="AE104" i="19"/>
  <c r="AE102" i="19"/>
  <c r="AF126" i="12"/>
  <c r="AE99" i="19"/>
  <c r="AE101" i="19"/>
  <c r="AC226" i="12"/>
  <c r="AE157" i="19"/>
  <c r="AD55" i="19"/>
  <c r="AD52" i="19" s="1"/>
  <c r="AD62" i="19"/>
  <c r="AD56" i="19"/>
  <c r="AD60" i="19"/>
  <c r="AD50" i="20"/>
  <c r="AD221" i="20" s="1"/>
  <c r="AD63" i="19"/>
  <c r="AE93" i="12"/>
  <c r="AD58" i="19"/>
  <c r="AD54" i="19"/>
  <c r="AE124" i="12"/>
  <c r="AD64" i="19"/>
  <c r="AD65" i="19"/>
  <c r="AD61" i="19"/>
  <c r="AD57" i="19"/>
  <c r="AD53" i="19"/>
  <c r="AE169" i="19"/>
  <c r="AH69" i="15" l="1"/>
  <c r="AG206" i="28"/>
  <c r="AH70" i="15" s="1"/>
  <c r="AH71" i="15" s="1"/>
  <c r="AH33" i="58" s="1"/>
  <c r="P20" i="60" s="1"/>
  <c r="AG69" i="15"/>
  <c r="AG71" i="15" s="1"/>
  <c r="AG33" i="58" s="1"/>
  <c r="AG58" i="55"/>
  <c r="AF208" i="28"/>
  <c r="AG61" i="55"/>
  <c r="AF213" i="28"/>
  <c r="AB259" i="20"/>
  <c r="AB263" i="20" s="1"/>
  <c r="CO40" i="55" s="1"/>
  <c r="CO34" i="55"/>
  <c r="AB183" i="19"/>
  <c r="AA216" i="19"/>
  <c r="AD99" i="12"/>
  <c r="AD109" i="12"/>
  <c r="AD110" i="14"/>
  <c r="AD108" i="14" s="1"/>
  <c r="AD91" i="19"/>
  <c r="AE136" i="14" s="1"/>
  <c r="AE136" i="12"/>
  <c r="AC97" i="14"/>
  <c r="AD73" i="19"/>
  <c r="AE114" i="14" s="1"/>
  <c r="AE114" i="12"/>
  <c r="AC75" i="19"/>
  <c r="AD114" i="19"/>
  <c r="AD109" i="14"/>
  <c r="AD113" i="19"/>
  <c r="AE106" i="19"/>
  <c r="AF103" i="14" s="1"/>
  <c r="AF103" i="12"/>
  <c r="AD126" i="19"/>
  <c r="AD111" i="19"/>
  <c r="AE95" i="14"/>
  <c r="AD123" i="19"/>
  <c r="AE105" i="12"/>
  <c r="AE228" i="12" s="1"/>
  <c r="AE124" i="19"/>
  <c r="AF138" i="14" s="1"/>
  <c r="AF138" i="12"/>
  <c r="AF174" i="19"/>
  <c r="AG174" i="19"/>
  <c r="AD180" i="19"/>
  <c r="AE98" i="19"/>
  <c r="AF176" i="19"/>
  <c r="AG176" i="19"/>
  <c r="AC92" i="19"/>
  <c r="AC94" i="19"/>
  <c r="AC88" i="19"/>
  <c r="AC87" i="19"/>
  <c r="AG164" i="19"/>
  <c r="AF166" i="19"/>
  <c r="AG165" i="19"/>
  <c r="AF164" i="19"/>
  <c r="AG163" i="19"/>
  <c r="AF165" i="19"/>
  <c r="AG166" i="19"/>
  <c r="AF163" i="19"/>
  <c r="AC89" i="19"/>
  <c r="AC86" i="19"/>
  <c r="AC76" i="19"/>
  <c r="AC74" i="19"/>
  <c r="AD109" i="19"/>
  <c r="AC83" i="19"/>
  <c r="AD111" i="14" s="1"/>
  <c r="AD107" i="14" s="1"/>
  <c r="AD111" i="12"/>
  <c r="AD107" i="12" s="1"/>
  <c r="AD108" i="19"/>
  <c r="AD110" i="12"/>
  <c r="AD108" i="12" s="1"/>
  <c r="AC93" i="19"/>
  <c r="AE118" i="19"/>
  <c r="AF94" i="14" s="1"/>
  <c r="AD120" i="19"/>
  <c r="AC90" i="19"/>
  <c r="AD119" i="19"/>
  <c r="AC77" i="19"/>
  <c r="AD129" i="19"/>
  <c r="AC80" i="19"/>
  <c r="AD106" i="14" s="1"/>
  <c r="AD79" i="19"/>
  <c r="AE104" i="14" s="1"/>
  <c r="AE105" i="14" s="1"/>
  <c r="AE228" i="14" s="1"/>
  <c r="AC68" i="19"/>
  <c r="AD96" i="14" s="1"/>
  <c r="AC71" i="19"/>
  <c r="AD101" i="14" s="1"/>
  <c r="AC69" i="19"/>
  <c r="AD99" i="14" s="1"/>
  <c r="AC70" i="19"/>
  <c r="AD100" i="14" s="1"/>
  <c r="AD98" i="14" s="1"/>
  <c r="AA293" i="20"/>
  <c r="AE131" i="19"/>
  <c r="AG182" i="20"/>
  <c r="AG144" i="19" s="1"/>
  <c r="AH125" i="14" s="1"/>
  <c r="AG188" i="20"/>
  <c r="AG176" i="20"/>
  <c r="AE149" i="20"/>
  <c r="AE125" i="19" s="1"/>
  <c r="AE150" i="20"/>
  <c r="AE151" i="20"/>
  <c r="AE127" i="19" s="1"/>
  <c r="AE152" i="20"/>
  <c r="AE128" i="19" s="1"/>
  <c r="AE153" i="20"/>
  <c r="AE137" i="20"/>
  <c r="AE140" i="20"/>
  <c r="AE116" i="19" s="1"/>
  <c r="AE138" i="20"/>
  <c r="AE141" i="20"/>
  <c r="AE117" i="19" s="1"/>
  <c r="AE139" i="20"/>
  <c r="AE115" i="19" s="1"/>
  <c r="AF148" i="20"/>
  <c r="AF130" i="20"/>
  <c r="AF136" i="20"/>
  <c r="AF112" i="19" s="1"/>
  <c r="AG126" i="14" s="1"/>
  <c r="AF142" i="20"/>
  <c r="AE143" i="20"/>
  <c r="AE145" i="20"/>
  <c r="AE121" i="19" s="1"/>
  <c r="AE144" i="20"/>
  <c r="AE147" i="20"/>
  <c r="AE146" i="20"/>
  <c r="AE122" i="19" s="1"/>
  <c r="AG130" i="20"/>
  <c r="AG148" i="20"/>
  <c r="AG142" i="20"/>
  <c r="AG136" i="20"/>
  <c r="AG112" i="19" s="1"/>
  <c r="AH126" i="14" s="1"/>
  <c r="AE131" i="20"/>
  <c r="AE107" i="19" s="1"/>
  <c r="AE133" i="20"/>
  <c r="AE134" i="20"/>
  <c r="AE110" i="19" s="1"/>
  <c r="AE135" i="20"/>
  <c r="AE132" i="20"/>
  <c r="AE75" i="20"/>
  <c r="AE67" i="19" s="1"/>
  <c r="AF93" i="14" s="1"/>
  <c r="AE87" i="20"/>
  <c r="AF104" i="12" s="1"/>
  <c r="AE99" i="20"/>
  <c r="AE81" i="20"/>
  <c r="AE93" i="20"/>
  <c r="AE85" i="19" s="1"/>
  <c r="AF124" i="14" s="1"/>
  <c r="AD82" i="20"/>
  <c r="AD85" i="20"/>
  <c r="AD83" i="20"/>
  <c r="AD86" i="20"/>
  <c r="AD78" i="19" s="1"/>
  <c r="AD84" i="20"/>
  <c r="AD100" i="20"/>
  <c r="AD104" i="20"/>
  <c r="AD96" i="19" s="1"/>
  <c r="AD101" i="20"/>
  <c r="AD103" i="20"/>
  <c r="AD95" i="19" s="1"/>
  <c r="AD102" i="20"/>
  <c r="AD88" i="20"/>
  <c r="AE106" i="12" s="1"/>
  <c r="AD91" i="20"/>
  <c r="AD92" i="20"/>
  <c r="AD84" i="19" s="1"/>
  <c r="AD90" i="20"/>
  <c r="AD82" i="19" s="1"/>
  <c r="AD89" i="20"/>
  <c r="AD81" i="19" s="1"/>
  <c r="AD94" i="20"/>
  <c r="AD98" i="20"/>
  <c r="AD95" i="20"/>
  <c r="AD97" i="20"/>
  <c r="AD96" i="20"/>
  <c r="AD76" i="20"/>
  <c r="AE96" i="12" s="1"/>
  <c r="AD79" i="20"/>
  <c r="AE101" i="12" s="1"/>
  <c r="AE97" i="12" s="1"/>
  <c r="AD77" i="20"/>
  <c r="AD80" i="20"/>
  <c r="AD72" i="19" s="1"/>
  <c r="AD78" i="20"/>
  <c r="AE100" i="12" s="1"/>
  <c r="AE98" i="12" s="1"/>
  <c r="AG19" i="20"/>
  <c r="AG222" i="20" s="1"/>
  <c r="AP206" i="12"/>
  <c r="AP215" i="12"/>
  <c r="AG27" i="20"/>
  <c r="AB282" i="20"/>
  <c r="AB281" i="20"/>
  <c r="AE95" i="12"/>
  <c r="AD318" i="20"/>
  <c r="AD266" i="20"/>
  <c r="AD267" i="20"/>
  <c r="AD270" i="20"/>
  <c r="AD317" i="20"/>
  <c r="AA278" i="20"/>
  <c r="AA277" i="20"/>
  <c r="AD226" i="14"/>
  <c r="AF45" i="20"/>
  <c r="AF32" i="20"/>
  <c r="CS4" i="55" s="1"/>
  <c r="DY4" i="55" s="1"/>
  <c r="AG103" i="19"/>
  <c r="AG100" i="19"/>
  <c r="AG104" i="19"/>
  <c r="AG101" i="19"/>
  <c r="AG99" i="19"/>
  <c r="AG102" i="19"/>
  <c r="AH126" i="12"/>
  <c r="J7" i="31"/>
  <c r="P7" i="31" s="1"/>
  <c r="AD226" i="12"/>
  <c r="AC274" i="20"/>
  <c r="AC273" i="20"/>
  <c r="AC272" i="20"/>
  <c r="AC271" i="20"/>
  <c r="AD36" i="20"/>
  <c r="AD37" i="20"/>
  <c r="AF169" i="19"/>
  <c r="Z279" i="20"/>
  <c r="Z283" i="20" s="1"/>
  <c r="Z280" i="20"/>
  <c r="AG157" i="19"/>
  <c r="AG292" i="19" s="1"/>
  <c r="AF133" i="19"/>
  <c r="AG125" i="12"/>
  <c r="AF132" i="19"/>
  <c r="AF134" i="19"/>
  <c r="AF136" i="19"/>
  <c r="AF135" i="19"/>
  <c r="AE256" i="20"/>
  <c r="AE34" i="20"/>
  <c r="AF103" i="19"/>
  <c r="AF100" i="19"/>
  <c r="AF102" i="19"/>
  <c r="AF104" i="19"/>
  <c r="AF99" i="19"/>
  <c r="AG126" i="12"/>
  <c r="AF101" i="19"/>
  <c r="AD179" i="19"/>
  <c r="AD225" i="20"/>
  <c r="AC258" i="20"/>
  <c r="AG169" i="19"/>
  <c r="AG295" i="19" s="1"/>
  <c r="AG133" i="19"/>
  <c r="J13" i="31"/>
  <c r="P13" i="31" s="1"/>
  <c r="AG136" i="19"/>
  <c r="AG135" i="19"/>
  <c r="J12" i="31"/>
  <c r="P12" i="31" s="1"/>
  <c r="AG134" i="19"/>
  <c r="J14" i="31"/>
  <c r="P14" i="31" s="1"/>
  <c r="AG132" i="19"/>
  <c r="AH125" i="12"/>
  <c r="AB276" i="20"/>
  <c r="AB275" i="20"/>
  <c r="AF157" i="19"/>
  <c r="AE60" i="19"/>
  <c r="AF93" i="12"/>
  <c r="AE50" i="20"/>
  <c r="AE221" i="20" s="1"/>
  <c r="AE56" i="19"/>
  <c r="AF124" i="12"/>
  <c r="AE63" i="19"/>
  <c r="AE64" i="19"/>
  <c r="AE61" i="19"/>
  <c r="AE62" i="19"/>
  <c r="AE58" i="19"/>
  <c r="AE65" i="19"/>
  <c r="AE57" i="19"/>
  <c r="AE54" i="19"/>
  <c r="AE53" i="19"/>
  <c r="AE55" i="19"/>
  <c r="AE52" i="19" s="1"/>
  <c r="AB265" i="20" l="1"/>
  <c r="CO42" i="55" s="1"/>
  <c r="AB261" i="20"/>
  <c r="CO38" i="55" s="1"/>
  <c r="AB260" i="20"/>
  <c r="AB264" i="20"/>
  <c r="CO41" i="55" s="1"/>
  <c r="AB262" i="20"/>
  <c r="CO39" i="55" s="1"/>
  <c r="AH61" i="55"/>
  <c r="AG208" i="28"/>
  <c r="AG72" i="15"/>
  <c r="AG34" i="58" s="1"/>
  <c r="AF214" i="28"/>
  <c r="AG73" i="15" s="1"/>
  <c r="AH58" i="55"/>
  <c r="AG213" i="28"/>
  <c r="AS206" i="12"/>
  <c r="AC259" i="20"/>
  <c r="CP34" i="55"/>
  <c r="AC183" i="19"/>
  <c r="AB216" i="19"/>
  <c r="AG150" i="19"/>
  <c r="AH137" i="14" s="1"/>
  <c r="AH137" i="12"/>
  <c r="AS215" i="12" s="1"/>
  <c r="AG138" i="19"/>
  <c r="AH113" i="14" s="1"/>
  <c r="AH113" i="12"/>
  <c r="AH176" i="20"/>
  <c r="AE91" i="19"/>
  <c r="AF136" i="14" s="1"/>
  <c r="AF136" i="12"/>
  <c r="AD97" i="14"/>
  <c r="AD75" i="19"/>
  <c r="AE73" i="19"/>
  <c r="AF114" i="14" s="1"/>
  <c r="AF114" i="12"/>
  <c r="AE109" i="12"/>
  <c r="AE110" i="14"/>
  <c r="AE108" i="14" s="1"/>
  <c r="AE99" i="12"/>
  <c r="AF105" i="12"/>
  <c r="AF228" i="12" s="1"/>
  <c r="AE109" i="14"/>
  <c r="AE114" i="19"/>
  <c r="AF124" i="19"/>
  <c r="AG138" i="14" s="1"/>
  <c r="AG138" i="12"/>
  <c r="AR206" i="12"/>
  <c r="AF106" i="19"/>
  <c r="AG103" i="14" s="1"/>
  <c r="AG103" i="12"/>
  <c r="AE111" i="19"/>
  <c r="AE123" i="19"/>
  <c r="AE113" i="19"/>
  <c r="AE126" i="19"/>
  <c r="AG106" i="19"/>
  <c r="AH103" i="14" s="1"/>
  <c r="AH103" i="12"/>
  <c r="AH130" i="20"/>
  <c r="AF95" i="14"/>
  <c r="AG124" i="19"/>
  <c r="AH138" i="14" s="1"/>
  <c r="AH138" i="12"/>
  <c r="AR215" i="12" s="1"/>
  <c r="AF98" i="19"/>
  <c r="AG98" i="19"/>
  <c r="AG294" i="19" s="1"/>
  <c r="AD94" i="19"/>
  <c r="AD92" i="19"/>
  <c r="AD88" i="19"/>
  <c r="AD87" i="19"/>
  <c r="AD86" i="19"/>
  <c r="AD89" i="19"/>
  <c r="AD76" i="19"/>
  <c r="AD74" i="19"/>
  <c r="AE119" i="19"/>
  <c r="AE110" i="12"/>
  <c r="AE108" i="12" s="1"/>
  <c r="AE108" i="19"/>
  <c r="AD90" i="19"/>
  <c r="AG118" i="19"/>
  <c r="AH94" i="14" s="1"/>
  <c r="AF118" i="19"/>
  <c r="AG94" i="14" s="1"/>
  <c r="AD83" i="19"/>
  <c r="AE111" i="14" s="1"/>
  <c r="AE107" i="14" s="1"/>
  <c r="AE111" i="12"/>
  <c r="AE107" i="12" s="1"/>
  <c r="AD93" i="19"/>
  <c r="AE109" i="19"/>
  <c r="AE120" i="19"/>
  <c r="AE129" i="19"/>
  <c r="AD80" i="19"/>
  <c r="AE106" i="14" s="1"/>
  <c r="AE79" i="19"/>
  <c r="AF104" i="14" s="1"/>
  <c r="AF105" i="14" s="1"/>
  <c r="AF228" i="14" s="1"/>
  <c r="AD77" i="19"/>
  <c r="AD71" i="19"/>
  <c r="AE101" i="14" s="1"/>
  <c r="AD70" i="19"/>
  <c r="AE100" i="14" s="1"/>
  <c r="AE98" i="14" s="1"/>
  <c r="AD68" i="19"/>
  <c r="AE96" i="14" s="1"/>
  <c r="AD69" i="19"/>
  <c r="AE99" i="14" s="1"/>
  <c r="AE180" i="19"/>
  <c r="AB293" i="20"/>
  <c r="AG131" i="19"/>
  <c r="AG293" i="19" s="1"/>
  <c r="AF131" i="19"/>
  <c r="AG179" i="20"/>
  <c r="AH179" i="20" s="1"/>
  <c r="AG180" i="20"/>
  <c r="AH180" i="20" s="1"/>
  <c r="AG177" i="20"/>
  <c r="AH177" i="20" s="1"/>
  <c r="AG181" i="20"/>
  <c r="AH181" i="20" s="1"/>
  <c r="AG178" i="20"/>
  <c r="AG189" i="20"/>
  <c r="AG192" i="20"/>
  <c r="AG193" i="20"/>
  <c r="AG190" i="20"/>
  <c r="AG152" i="19" s="1"/>
  <c r="AG191" i="20"/>
  <c r="AG183" i="20"/>
  <c r="AG184" i="20"/>
  <c r="AG146" i="19" s="1"/>
  <c r="AG186" i="20"/>
  <c r="AG187" i="20"/>
  <c r="AG149" i="19" s="1"/>
  <c r="AG185" i="20"/>
  <c r="E171" i="20"/>
  <c r="E173" i="20"/>
  <c r="E182" i="20" s="1"/>
  <c r="E144" i="19" s="1"/>
  <c r="F125" i="14" s="1"/>
  <c r="E170" i="20"/>
  <c r="E176" i="20" s="1"/>
  <c r="E172" i="20"/>
  <c r="E224" i="20" s="1"/>
  <c r="E174" i="20"/>
  <c r="E188" i="20" s="1"/>
  <c r="F137" i="12" s="1"/>
  <c r="AF132" i="20"/>
  <c r="AF133" i="20"/>
  <c r="AF131" i="20"/>
  <c r="AF107" i="19" s="1"/>
  <c r="AF135" i="20"/>
  <c r="AF134" i="20"/>
  <c r="AF110" i="19" s="1"/>
  <c r="AG138" i="20"/>
  <c r="AG139" i="20"/>
  <c r="AG115" i="19" s="1"/>
  <c r="AG137" i="20"/>
  <c r="AG140" i="20"/>
  <c r="AG116" i="19" s="1"/>
  <c r="AG141" i="20"/>
  <c r="AG117" i="19" s="1"/>
  <c r="AF150" i="20"/>
  <c r="AF149" i="20"/>
  <c r="AF125" i="19" s="1"/>
  <c r="AF152" i="20"/>
  <c r="AF128" i="19" s="1"/>
  <c r="AF151" i="20"/>
  <c r="AF127" i="19" s="1"/>
  <c r="AF153" i="20"/>
  <c r="AG132" i="20"/>
  <c r="AH132" i="20" s="1"/>
  <c r="AG134" i="20"/>
  <c r="AG131" i="20"/>
  <c r="AG133" i="20"/>
  <c r="AH133" i="20" s="1"/>
  <c r="AG135" i="20"/>
  <c r="AG143" i="20"/>
  <c r="AG147" i="20"/>
  <c r="AG144" i="20"/>
  <c r="AG145" i="20"/>
  <c r="AG121" i="19" s="1"/>
  <c r="AG146" i="20"/>
  <c r="AG122" i="19" s="1"/>
  <c r="AF144" i="20"/>
  <c r="AF143" i="20"/>
  <c r="AF145" i="20"/>
  <c r="AF121" i="19" s="1"/>
  <c r="AF146" i="20"/>
  <c r="AF122" i="19" s="1"/>
  <c r="AF147" i="20"/>
  <c r="AG149" i="20"/>
  <c r="AG125" i="19" s="1"/>
  <c r="AG153" i="20"/>
  <c r="AG150" i="20"/>
  <c r="AG151" i="20"/>
  <c r="AG127" i="19" s="1"/>
  <c r="AG152" i="20"/>
  <c r="AG128" i="19" s="1"/>
  <c r="AF137" i="20"/>
  <c r="AF138" i="20"/>
  <c r="AF139" i="20"/>
  <c r="AF115" i="19" s="1"/>
  <c r="AF141" i="20"/>
  <c r="AF117" i="19" s="1"/>
  <c r="AF140" i="20"/>
  <c r="AF116" i="19" s="1"/>
  <c r="AF75" i="20"/>
  <c r="AF67" i="19" s="1"/>
  <c r="AG93" i="14" s="1"/>
  <c r="AF81" i="20"/>
  <c r="AF99" i="20"/>
  <c r="AF93" i="20"/>
  <c r="AF85" i="19" s="1"/>
  <c r="AG124" i="14" s="1"/>
  <c r="AF87" i="20"/>
  <c r="AG104" i="12" s="1"/>
  <c r="AE83" i="20"/>
  <c r="AE84" i="20"/>
  <c r="AE82" i="20"/>
  <c r="AE86" i="20"/>
  <c r="AE78" i="19" s="1"/>
  <c r="AE85" i="20"/>
  <c r="AE100" i="20"/>
  <c r="AE104" i="20"/>
  <c r="AE96" i="19" s="1"/>
  <c r="AE102" i="20"/>
  <c r="AE101" i="20"/>
  <c r="AE103" i="20"/>
  <c r="AE95" i="19" s="1"/>
  <c r="AE89" i="20"/>
  <c r="AE81" i="19" s="1"/>
  <c r="AE91" i="20"/>
  <c r="AE90" i="20"/>
  <c r="AE82" i="19" s="1"/>
  <c r="AE92" i="20"/>
  <c r="AE84" i="19" s="1"/>
  <c r="AE88" i="20"/>
  <c r="AF106" i="12" s="1"/>
  <c r="AE97" i="20"/>
  <c r="AE95" i="20"/>
  <c r="AE94" i="20"/>
  <c r="AE96" i="20"/>
  <c r="AE98" i="20"/>
  <c r="AE79" i="20"/>
  <c r="AF101" i="12" s="1"/>
  <c r="AF97" i="12" s="1"/>
  <c r="AE78" i="20"/>
  <c r="AF100" i="12" s="1"/>
  <c r="AF98" i="12" s="1"/>
  <c r="AE77" i="20"/>
  <c r="AE80" i="20"/>
  <c r="AE72" i="19" s="1"/>
  <c r="AE76" i="20"/>
  <c r="AF96" i="12" s="1"/>
  <c r="AF95" i="12"/>
  <c r="AC281" i="20"/>
  <c r="AC282" i="20"/>
  <c r="AE226" i="12"/>
  <c r="AP212" i="12"/>
  <c r="AC265" i="20"/>
  <c r="CP42" i="55" s="1"/>
  <c r="AC261" i="20"/>
  <c r="CP38" i="55" s="1"/>
  <c r="AC260" i="20"/>
  <c r="AC264" i="20"/>
  <c r="CP41" i="55" s="1"/>
  <c r="AC263" i="20"/>
  <c r="CP40" i="55" s="1"/>
  <c r="AC262" i="20"/>
  <c r="CP39" i="55" s="1"/>
  <c r="AE36" i="20"/>
  <c r="AE37" i="20"/>
  <c r="AE226" i="14"/>
  <c r="AB277" i="20"/>
  <c r="AB278" i="20"/>
  <c r="AD258" i="20"/>
  <c r="AE225" i="20"/>
  <c r="AQ202" i="12"/>
  <c r="AF256" i="20"/>
  <c r="AF34" i="20"/>
  <c r="AA279" i="20"/>
  <c r="AA283" i="20" s="1"/>
  <c r="AA280" i="20"/>
  <c r="AE179" i="19"/>
  <c r="AE267" i="20"/>
  <c r="AE270" i="20"/>
  <c r="AE318" i="20"/>
  <c r="AE266" i="20"/>
  <c r="AE317" i="20"/>
  <c r="AC276" i="20"/>
  <c r="AC275" i="20"/>
  <c r="AG93" i="12"/>
  <c r="AF62" i="19"/>
  <c r="AF58" i="19"/>
  <c r="AF56" i="19"/>
  <c r="AF55" i="19"/>
  <c r="AF52" i="19" s="1"/>
  <c r="AF50" i="20"/>
  <c r="AF221" i="20" s="1"/>
  <c r="AF64" i="19"/>
  <c r="AF63" i="19"/>
  <c r="AF57" i="19"/>
  <c r="AG124" i="12"/>
  <c r="AF53" i="19"/>
  <c r="AF60" i="19"/>
  <c r="AF65" i="19"/>
  <c r="AF54" i="19"/>
  <c r="AF61" i="19"/>
  <c r="AD271" i="20"/>
  <c r="AD273" i="20"/>
  <c r="AD274" i="20"/>
  <c r="AD272" i="20"/>
  <c r="AG45" i="20"/>
  <c r="AG224" i="20" s="1"/>
  <c r="AG32" i="20"/>
  <c r="CT4" i="55" s="1"/>
  <c r="DZ4" i="55" s="1"/>
  <c r="AH72" i="15" l="1"/>
  <c r="AH34" i="58" s="1"/>
  <c r="AG214" i="28"/>
  <c r="AH73" i="15" s="1"/>
  <c r="AD259" i="20"/>
  <c r="CQ34" i="55"/>
  <c r="AP209" i="12"/>
  <c r="AD183" i="19"/>
  <c r="AC216" i="19"/>
  <c r="E138" i="19"/>
  <c r="F113" i="14" s="1"/>
  <c r="F113" i="12"/>
  <c r="AG140" i="19"/>
  <c r="AH178" i="20"/>
  <c r="F146" i="12"/>
  <c r="F139" i="12"/>
  <c r="F231" i="12" s="1"/>
  <c r="AF109" i="12"/>
  <c r="AE75" i="19"/>
  <c r="AF110" i="14"/>
  <c r="AF108" i="14" s="1"/>
  <c r="AF73" i="19"/>
  <c r="AG114" i="14" s="1"/>
  <c r="AG114" i="12"/>
  <c r="AE97" i="14"/>
  <c r="AF91" i="19"/>
  <c r="AG136" i="14" s="1"/>
  <c r="AG136" i="12"/>
  <c r="AF99" i="12"/>
  <c r="AF109" i="14"/>
  <c r="AG105" i="12"/>
  <c r="AG228" i="12" s="1"/>
  <c r="AF126" i="19"/>
  <c r="AF123" i="19"/>
  <c r="AG123" i="19"/>
  <c r="AG107" i="19"/>
  <c r="AH131" i="20"/>
  <c r="AG114" i="19"/>
  <c r="AF114" i="19"/>
  <c r="AG126" i="19"/>
  <c r="AG110" i="19"/>
  <c r="AH134" i="20"/>
  <c r="AG95" i="14"/>
  <c r="AF113" i="19"/>
  <c r="AG111" i="19"/>
  <c r="AH135" i="20"/>
  <c r="AG113" i="19"/>
  <c r="AF111" i="19"/>
  <c r="AG147" i="19"/>
  <c r="AG145" i="19"/>
  <c r="AG139" i="19"/>
  <c r="AG151" i="19"/>
  <c r="AG148" i="19"/>
  <c r="AG141" i="19"/>
  <c r="AG154" i="19"/>
  <c r="AE94" i="19"/>
  <c r="AE92" i="19"/>
  <c r="AE88" i="19"/>
  <c r="AE87" i="19"/>
  <c r="AE89" i="19"/>
  <c r="AG155" i="19"/>
  <c r="AE86" i="19"/>
  <c r="AG153" i="19"/>
  <c r="AE74" i="19"/>
  <c r="AE76" i="19"/>
  <c r="AG143" i="19"/>
  <c r="AG142" i="19"/>
  <c r="AG120" i="19"/>
  <c r="AE93" i="19"/>
  <c r="AF120" i="19"/>
  <c r="AF109" i="19"/>
  <c r="AF119" i="19"/>
  <c r="AG109" i="19"/>
  <c r="AE90" i="19"/>
  <c r="AE83" i="19"/>
  <c r="AF111" i="14" s="1"/>
  <c r="AF107" i="14" s="1"/>
  <c r="AF111" i="12"/>
  <c r="AF107" i="12" s="1"/>
  <c r="AG119" i="19"/>
  <c r="AF108" i="19"/>
  <c r="AG108" i="19"/>
  <c r="AF110" i="12"/>
  <c r="AF108" i="12" s="1"/>
  <c r="AE77" i="19"/>
  <c r="AF79" i="19"/>
  <c r="AG104" i="14" s="1"/>
  <c r="AG105" i="14" s="1"/>
  <c r="AG228" i="14" s="1"/>
  <c r="AF129" i="19"/>
  <c r="AE80" i="19"/>
  <c r="AF106" i="14" s="1"/>
  <c r="AG129" i="19"/>
  <c r="AE70" i="19"/>
  <c r="AF100" i="14" s="1"/>
  <c r="AF98" i="14" s="1"/>
  <c r="AE68" i="19"/>
  <c r="AF96" i="14" s="1"/>
  <c r="AE71" i="19"/>
  <c r="AF101" i="14" s="1"/>
  <c r="AE69" i="19"/>
  <c r="AF99" i="14" s="1"/>
  <c r="AC293" i="20"/>
  <c r="E150" i="19"/>
  <c r="F137" i="14" s="1"/>
  <c r="F139" i="14" s="1"/>
  <c r="F231" i="14" s="1"/>
  <c r="E223" i="20"/>
  <c r="E268" i="20"/>
  <c r="E291" i="20"/>
  <c r="E292" i="20" s="1"/>
  <c r="AF180" i="19"/>
  <c r="E181" i="20"/>
  <c r="E179" i="20"/>
  <c r="E180" i="20"/>
  <c r="E177" i="20"/>
  <c r="F116" i="12" s="1"/>
  <c r="E178" i="20"/>
  <c r="F171" i="20"/>
  <c r="F173" i="20"/>
  <c r="F182" i="20" s="1"/>
  <c r="F144" i="19" s="1"/>
  <c r="G125" i="14" s="1"/>
  <c r="F170" i="20"/>
  <c r="F176" i="20" s="1"/>
  <c r="F172" i="20"/>
  <c r="F224" i="20" s="1"/>
  <c r="F174" i="20"/>
  <c r="F188" i="20" s="1"/>
  <c r="G137" i="12" s="1"/>
  <c r="E183" i="20"/>
  <c r="F128" i="12" s="1"/>
  <c r="E184" i="20"/>
  <c r="E185" i="20"/>
  <c r="E186" i="20"/>
  <c r="E187" i="20"/>
  <c r="E149" i="19" s="1"/>
  <c r="E191" i="20"/>
  <c r="E192" i="20"/>
  <c r="E190" i="20"/>
  <c r="E189" i="20"/>
  <c r="E193" i="20"/>
  <c r="AF95" i="20"/>
  <c r="AF98" i="20"/>
  <c r="AF94" i="20"/>
  <c r="AF96" i="20"/>
  <c r="AF97" i="20"/>
  <c r="AF101" i="20"/>
  <c r="AF104" i="20"/>
  <c r="AF96" i="19" s="1"/>
  <c r="AF100" i="20"/>
  <c r="AF103" i="20"/>
  <c r="AF95" i="19" s="1"/>
  <c r="AF102" i="20"/>
  <c r="AF86" i="20"/>
  <c r="AF78" i="19" s="1"/>
  <c r="AF82" i="20"/>
  <c r="AF84" i="20"/>
  <c r="AF85" i="20"/>
  <c r="AF83" i="20"/>
  <c r="AG75" i="20"/>
  <c r="AG81" i="20"/>
  <c r="AG93" i="20"/>
  <c r="AG85" i="19" s="1"/>
  <c r="AH124" i="14" s="1"/>
  <c r="AG99" i="20"/>
  <c r="AH136" i="12" s="1"/>
  <c r="AQ263" i="12" s="1"/>
  <c r="AG87" i="20"/>
  <c r="AF89" i="20"/>
  <c r="AF81" i="19" s="1"/>
  <c r="AF92" i="20"/>
  <c r="AF84" i="19" s="1"/>
  <c r="AF88" i="20"/>
  <c r="AG106" i="12" s="1"/>
  <c r="AF91" i="20"/>
  <c r="AF90" i="20"/>
  <c r="AF82" i="19" s="1"/>
  <c r="AF76" i="20"/>
  <c r="AG96" i="12" s="1"/>
  <c r="AF80" i="20"/>
  <c r="AF72" i="19" s="1"/>
  <c r="AF77" i="20"/>
  <c r="AF78" i="20"/>
  <c r="AG100" i="12" s="1"/>
  <c r="AG98" i="12" s="1"/>
  <c r="AF79" i="20"/>
  <c r="AG101" i="12" s="1"/>
  <c r="AG97" i="12" s="1"/>
  <c r="AD260" i="20"/>
  <c r="AD264" i="20"/>
  <c r="CQ41" i="55" s="1"/>
  <c r="AD265" i="20"/>
  <c r="CQ42" i="55" s="1"/>
  <c r="AD262" i="20"/>
  <c r="CQ39" i="55" s="1"/>
  <c r="AD263" i="20"/>
  <c r="CQ40" i="55" s="1"/>
  <c r="AD261" i="20"/>
  <c r="CQ38" i="55" s="1"/>
  <c r="AD281" i="20"/>
  <c r="AD282" i="20"/>
  <c r="AF36" i="20"/>
  <c r="AF37" i="20"/>
  <c r="AG256" i="20"/>
  <c r="AG34" i="20"/>
  <c r="AD276" i="20"/>
  <c r="AD275" i="20"/>
  <c r="AF266" i="20"/>
  <c r="AF317" i="20"/>
  <c r="AF267" i="20"/>
  <c r="AF270" i="20"/>
  <c r="AF318" i="20"/>
  <c r="AF179" i="19"/>
  <c r="AE274" i="20"/>
  <c r="AE271" i="20"/>
  <c r="AE273" i="20"/>
  <c r="AE272" i="20"/>
  <c r="AB279" i="20"/>
  <c r="AB283" i="20" s="1"/>
  <c r="AB280" i="20"/>
  <c r="AF226" i="12"/>
  <c r="AC278" i="20"/>
  <c r="AC277" i="20"/>
  <c r="AG50" i="20"/>
  <c r="AG55" i="19"/>
  <c r="AG52" i="19" s="1"/>
  <c r="AG56" i="19"/>
  <c r="AH124" i="12"/>
  <c r="AG53" i="19"/>
  <c r="J5" i="31"/>
  <c r="P5" i="31" s="1"/>
  <c r="J4" i="31"/>
  <c r="P4" i="31" s="1"/>
  <c r="AG60" i="19"/>
  <c r="AG58" i="19"/>
  <c r="AG61" i="19"/>
  <c r="J2" i="31"/>
  <c r="P2" i="31" s="1"/>
  <c r="AG62" i="19"/>
  <c r="J3" i="31"/>
  <c r="P3" i="31" s="1"/>
  <c r="AG63" i="19"/>
  <c r="AG65" i="19"/>
  <c r="AH93" i="12"/>
  <c r="AG54" i="19"/>
  <c r="AG64" i="19"/>
  <c r="AG57" i="19"/>
  <c r="AH337" i="20"/>
  <c r="AG95" i="12"/>
  <c r="AF225" i="20"/>
  <c r="AE258" i="20"/>
  <c r="AF226" i="14"/>
  <c r="AQ259" i="12" l="1"/>
  <c r="AH95" i="12"/>
  <c r="AQ260" i="12"/>
  <c r="AH127" i="12"/>
  <c r="AE259" i="20"/>
  <c r="CR34" i="55"/>
  <c r="E269" i="20"/>
  <c r="E284" i="20" s="1"/>
  <c r="F34" i="55"/>
  <c r="AG270" i="20"/>
  <c r="AK273" i="12" s="1"/>
  <c r="AM273" i="12" s="1"/>
  <c r="AK272" i="12"/>
  <c r="AE183" i="19"/>
  <c r="AD216" i="19"/>
  <c r="F146" i="14"/>
  <c r="E146" i="19"/>
  <c r="F131" i="14" s="1"/>
  <c r="F127" i="14" s="1"/>
  <c r="F131" i="12"/>
  <c r="F127" i="12" s="1"/>
  <c r="F227" i="12" s="1"/>
  <c r="F138" i="19"/>
  <c r="G113" i="14" s="1"/>
  <c r="G113" i="12"/>
  <c r="E140" i="19"/>
  <c r="F119" i="12"/>
  <c r="F147" i="12"/>
  <c r="F115" i="12"/>
  <c r="E152" i="19"/>
  <c r="F143" i="12"/>
  <c r="G139" i="12"/>
  <c r="G231" i="12" s="1"/>
  <c r="G146" i="12"/>
  <c r="F147" i="14"/>
  <c r="F115" i="14"/>
  <c r="AG110" i="14"/>
  <c r="AG108" i="14" s="1"/>
  <c r="AF75" i="19"/>
  <c r="AG99" i="12"/>
  <c r="AF97" i="14"/>
  <c r="AG73" i="19"/>
  <c r="AH114" i="14" s="1"/>
  <c r="AH115" i="14" s="1"/>
  <c r="AH114" i="12"/>
  <c r="AH81" i="20"/>
  <c r="AH104" i="12"/>
  <c r="AH105" i="12" s="1"/>
  <c r="AH87" i="20"/>
  <c r="AG67" i="19"/>
  <c r="AH93" i="14" s="1"/>
  <c r="AH75" i="20"/>
  <c r="AG109" i="12"/>
  <c r="AG109" i="14"/>
  <c r="F145" i="12"/>
  <c r="F141" i="12" s="1"/>
  <c r="E182" i="19"/>
  <c r="E249" i="19" s="1"/>
  <c r="E250" i="19" s="1"/>
  <c r="F144" i="12"/>
  <c r="F142" i="12" s="1"/>
  <c r="F140" i="12"/>
  <c r="E145" i="19"/>
  <c r="F128" i="14" s="1"/>
  <c r="AF94" i="19"/>
  <c r="E148" i="19"/>
  <c r="F133" i="14" s="1"/>
  <c r="F129" i="14" s="1"/>
  <c r="F133" i="12"/>
  <c r="F129" i="12" s="1"/>
  <c r="E147" i="19"/>
  <c r="F132" i="14" s="1"/>
  <c r="F130" i="14" s="1"/>
  <c r="F132" i="12"/>
  <c r="F130" i="12" s="1"/>
  <c r="AF92" i="19"/>
  <c r="AF88" i="19"/>
  <c r="AF87" i="19"/>
  <c r="AF86" i="19"/>
  <c r="E141" i="19"/>
  <c r="F120" i="14" s="1"/>
  <c r="F120" i="12"/>
  <c r="F118" i="12" s="1"/>
  <c r="E151" i="19"/>
  <c r="F140" i="14" s="1"/>
  <c r="AF89" i="19"/>
  <c r="E154" i="19"/>
  <c r="F145" i="14" s="1"/>
  <c r="F141" i="14" s="1"/>
  <c r="E155" i="19"/>
  <c r="E153" i="19"/>
  <c r="F144" i="14" s="1"/>
  <c r="F142" i="14" s="1"/>
  <c r="E139" i="19"/>
  <c r="F116" i="14" s="1"/>
  <c r="AF74" i="19"/>
  <c r="AF76" i="19"/>
  <c r="E143" i="19"/>
  <c r="E142" i="19"/>
  <c r="F121" i="14" s="1"/>
  <c r="F121" i="12"/>
  <c r="F117" i="12" s="1"/>
  <c r="AF83" i="19"/>
  <c r="AG111" i="14" s="1"/>
  <c r="AG107" i="14" s="1"/>
  <c r="AG111" i="12"/>
  <c r="AG107" i="12" s="1"/>
  <c r="AF93" i="19"/>
  <c r="AF90" i="19"/>
  <c r="AG110" i="12"/>
  <c r="AG108" i="12" s="1"/>
  <c r="AF80" i="19"/>
  <c r="AG106" i="14" s="1"/>
  <c r="AF77" i="19"/>
  <c r="AG79" i="19"/>
  <c r="AH104" i="14" s="1"/>
  <c r="AH105" i="14" s="1"/>
  <c r="AH228" i="14" s="1"/>
  <c r="AF71" i="19"/>
  <c r="AG101" i="14" s="1"/>
  <c r="AF68" i="19"/>
  <c r="AG96" i="14" s="1"/>
  <c r="AF70" i="19"/>
  <c r="AG100" i="14" s="1"/>
  <c r="AG98" i="14" s="1"/>
  <c r="AF69" i="19"/>
  <c r="AG99" i="14" s="1"/>
  <c r="AG221" i="20"/>
  <c r="AG317" i="20"/>
  <c r="E295" i="20"/>
  <c r="E296" i="20" s="1"/>
  <c r="E297" i="20" s="1"/>
  <c r="E299" i="20" s="1"/>
  <c r="E294" i="20"/>
  <c r="AD293" i="20"/>
  <c r="F150" i="19"/>
  <c r="G137" i="14" s="1"/>
  <c r="G139" i="14" s="1"/>
  <c r="G231" i="14" s="1"/>
  <c r="F223" i="20"/>
  <c r="F291" i="20"/>
  <c r="F292" i="20" s="1"/>
  <c r="F268" i="20"/>
  <c r="AG223" i="20"/>
  <c r="AG91" i="19"/>
  <c r="G170" i="20"/>
  <c r="G176" i="20" s="1"/>
  <c r="G172" i="20"/>
  <c r="G224" i="20" s="1"/>
  <c r="G174" i="20"/>
  <c r="G188" i="20" s="1"/>
  <c r="H137" i="12" s="1"/>
  <c r="G171" i="20"/>
  <c r="G173" i="20"/>
  <c r="G182" i="20" s="1"/>
  <c r="G144" i="19" s="1"/>
  <c r="H125" i="14" s="1"/>
  <c r="F189" i="20"/>
  <c r="F190" i="20"/>
  <c r="F192" i="20"/>
  <c r="F191" i="20"/>
  <c r="F193" i="20"/>
  <c r="F177" i="20"/>
  <c r="G116" i="12" s="1"/>
  <c r="F178" i="20"/>
  <c r="F180" i="20"/>
  <c r="F179" i="20"/>
  <c r="F181" i="20"/>
  <c r="F183" i="20"/>
  <c r="G128" i="12" s="1"/>
  <c r="F184" i="20"/>
  <c r="F186" i="20"/>
  <c r="F185" i="20"/>
  <c r="F187" i="20"/>
  <c r="F149" i="19" s="1"/>
  <c r="AG89" i="20"/>
  <c r="AH89" i="20" s="1"/>
  <c r="AG88" i="20"/>
  <c r="AG91" i="20"/>
  <c r="AH91" i="20" s="1"/>
  <c r="AG90" i="20"/>
  <c r="AH90" i="20" s="1"/>
  <c r="AG92" i="20"/>
  <c r="AG102" i="20"/>
  <c r="AG100" i="20"/>
  <c r="AH140" i="12" s="1"/>
  <c r="AG103" i="20"/>
  <c r="AG101" i="20"/>
  <c r="AG104" i="20"/>
  <c r="AG96" i="19" s="1"/>
  <c r="AG96" i="20"/>
  <c r="AH132" i="12" s="1"/>
  <c r="AH130" i="12" s="1"/>
  <c r="AG98" i="20"/>
  <c r="AG97" i="20"/>
  <c r="AH133" i="12" s="1"/>
  <c r="AH129" i="12" s="1"/>
  <c r="AG94" i="20"/>
  <c r="AH128" i="12" s="1"/>
  <c r="AG95" i="20"/>
  <c r="AG77" i="20"/>
  <c r="AH77" i="20" s="1"/>
  <c r="AG78" i="20"/>
  <c r="AG76" i="20"/>
  <c r="AG79" i="20"/>
  <c r="AG80" i="20"/>
  <c r="AG83" i="20"/>
  <c r="AG82" i="20"/>
  <c r="AG84" i="20"/>
  <c r="AH84" i="20" s="1"/>
  <c r="AG85" i="20"/>
  <c r="AG86" i="20"/>
  <c r="AH86" i="20" s="1"/>
  <c r="AG179" i="19"/>
  <c r="AQ215" i="12"/>
  <c r="AT215" i="12" s="1"/>
  <c r="AH139" i="12"/>
  <c r="AC280" i="20"/>
  <c r="AC279" i="20"/>
  <c r="AC283" i="20" s="1"/>
  <c r="AE275" i="20"/>
  <c r="AE276" i="20"/>
  <c r="AG226" i="14"/>
  <c r="AG291" i="19"/>
  <c r="AG180" i="19"/>
  <c r="AG226" i="12"/>
  <c r="AE263" i="20"/>
  <c r="CR40" i="55" s="1"/>
  <c r="AE265" i="20"/>
  <c r="CR42" i="55" s="1"/>
  <c r="AE261" i="20"/>
  <c r="CR38" i="55" s="1"/>
  <c r="AE260" i="20"/>
  <c r="AE264" i="20"/>
  <c r="CR41" i="55" s="1"/>
  <c r="AE262" i="20"/>
  <c r="CR39" i="55" s="1"/>
  <c r="AP202" i="12"/>
  <c r="AR202" i="12" s="1"/>
  <c r="AH147" i="12"/>
  <c r="AQ206" i="12"/>
  <c r="AT206" i="12" s="1"/>
  <c r="AG266" i="20"/>
  <c r="AG267" i="20"/>
  <c r="AG318" i="20"/>
  <c r="AE281" i="20"/>
  <c r="AE282" i="20"/>
  <c r="AD278" i="20"/>
  <c r="AD277" i="20"/>
  <c r="AG225" i="20"/>
  <c r="AG258" i="20" s="1"/>
  <c r="AF258" i="20"/>
  <c r="AG291" i="20"/>
  <c r="AI224" i="20"/>
  <c r="B335" i="20"/>
  <c r="AG268" i="20"/>
  <c r="AH34" i="55" s="1"/>
  <c r="AF271" i="20"/>
  <c r="AF273" i="20"/>
  <c r="AF274" i="20"/>
  <c r="AF272" i="20"/>
  <c r="AG37" i="20"/>
  <c r="AG36" i="20"/>
  <c r="E285" i="20" l="1"/>
  <c r="E289" i="20"/>
  <c r="F42" i="55" s="1"/>
  <c r="E286" i="20"/>
  <c r="F39" i="55" s="1"/>
  <c r="E288" i="20"/>
  <c r="F41" i="55" s="1"/>
  <c r="E287" i="20"/>
  <c r="F40" i="55" s="1"/>
  <c r="AH115" i="12"/>
  <c r="AH148" i="12" s="1"/>
  <c r="AI148" i="12" s="1"/>
  <c r="AH146" i="12"/>
  <c r="AI147" i="12" s="1"/>
  <c r="AF259" i="20"/>
  <c r="AF261" i="20" s="1"/>
  <c r="CS38" i="55" s="1"/>
  <c r="CS34" i="55"/>
  <c r="AG259" i="20"/>
  <c r="CT34" i="55"/>
  <c r="F269" i="20"/>
  <c r="G34" i="55"/>
  <c r="AM272" i="12"/>
  <c r="AN272" i="12" s="1"/>
  <c r="AG292" i="20"/>
  <c r="AK275" i="12" s="1"/>
  <c r="AM275" i="12" s="1"/>
  <c r="AK276" i="12"/>
  <c r="AQ262" i="12"/>
  <c r="AR198" i="12"/>
  <c r="AQ261" i="12"/>
  <c r="AF183" i="19"/>
  <c r="AE216" i="19"/>
  <c r="AQ212" i="12"/>
  <c r="AR212" i="12" s="1"/>
  <c r="G146" i="14"/>
  <c r="F119" i="14"/>
  <c r="G138" i="19"/>
  <c r="H113" i="14" s="1"/>
  <c r="H113" i="12"/>
  <c r="F229" i="14"/>
  <c r="F148" i="14"/>
  <c r="F229" i="12"/>
  <c r="F232" i="12" s="1"/>
  <c r="F225" i="12" a="1"/>
  <c r="F148" i="12"/>
  <c r="F169" i="12" s="1"/>
  <c r="F225" i="14" a="1"/>
  <c r="F227" i="14"/>
  <c r="F146" i="19"/>
  <c r="G131" i="14" s="1"/>
  <c r="G127" i="14" s="1"/>
  <c r="G131" i="12"/>
  <c r="G127" i="12" s="1"/>
  <c r="G227" i="12" s="1"/>
  <c r="F140" i="19"/>
  <c r="G119" i="12"/>
  <c r="F118" i="14"/>
  <c r="F151" i="14" s="1"/>
  <c r="F153" i="14"/>
  <c r="F143" i="14"/>
  <c r="G147" i="12"/>
  <c r="G115" i="12"/>
  <c r="F152" i="19"/>
  <c r="G143" i="12"/>
  <c r="H139" i="12"/>
  <c r="H231" i="12" s="1"/>
  <c r="H146" i="12"/>
  <c r="F117" i="14"/>
  <c r="F150" i="14" s="1"/>
  <c r="F154" i="14"/>
  <c r="F149" i="14"/>
  <c r="F152" i="12"/>
  <c r="G147" i="14"/>
  <c r="G115" i="14"/>
  <c r="X174" i="14"/>
  <c r="AR198" i="14"/>
  <c r="AH143" i="12"/>
  <c r="AG75" i="19"/>
  <c r="AH119" i="12"/>
  <c r="AH83" i="20"/>
  <c r="AH121" i="12"/>
  <c r="AH117" i="12" s="1"/>
  <c r="AH85" i="20"/>
  <c r="AG182" i="19"/>
  <c r="AH136" i="14"/>
  <c r="AH139" i="14" s="1"/>
  <c r="AT198" i="14" s="1"/>
  <c r="AG97" i="14"/>
  <c r="AH147" i="14"/>
  <c r="AH95" i="14"/>
  <c r="X172" i="14" s="1"/>
  <c r="AH101" i="12"/>
  <c r="AH97" i="12" s="1"/>
  <c r="AH79" i="20"/>
  <c r="AH131" i="12"/>
  <c r="AH100" i="12"/>
  <c r="AH98" i="12" s="1"/>
  <c r="AH78" i="20"/>
  <c r="AG84" i="19"/>
  <c r="AH92" i="20"/>
  <c r="AH109" i="12"/>
  <c r="AG72" i="19"/>
  <c r="AH80" i="20"/>
  <c r="AH99" i="12"/>
  <c r="AH82" i="20"/>
  <c r="AH116" i="12"/>
  <c r="AH96" i="12"/>
  <c r="AH76" i="20"/>
  <c r="AH106" i="12"/>
  <c r="AH88" i="20"/>
  <c r="AG269" i="20"/>
  <c r="E217" i="19"/>
  <c r="E226" i="19"/>
  <c r="CX34" i="55" s="1"/>
  <c r="G140" i="12"/>
  <c r="F182" i="19"/>
  <c r="G144" i="12"/>
  <c r="G142" i="12" s="1"/>
  <c r="G145" i="12"/>
  <c r="G141" i="12" s="1"/>
  <c r="AG94" i="19"/>
  <c r="AH144" i="14" s="1"/>
  <c r="AH142" i="14" s="1"/>
  <c r="AH144" i="12"/>
  <c r="AH142" i="12" s="1"/>
  <c r="F148" i="19"/>
  <c r="G133" i="14" s="1"/>
  <c r="G129" i="14" s="1"/>
  <c r="G133" i="12"/>
  <c r="G129" i="12" s="1"/>
  <c r="F154" i="12"/>
  <c r="F150" i="12"/>
  <c r="AG95" i="19"/>
  <c r="AH145" i="14" s="1"/>
  <c r="AH141" i="14" s="1"/>
  <c r="AH145" i="12"/>
  <c r="AH141" i="12" s="1"/>
  <c r="F145" i="19"/>
  <c r="G128" i="14" s="1"/>
  <c r="F149" i="12"/>
  <c r="F151" i="12"/>
  <c r="F153" i="12"/>
  <c r="F147" i="19"/>
  <c r="G132" i="14" s="1"/>
  <c r="G130" i="14" s="1"/>
  <c r="G132" i="12"/>
  <c r="G130" i="12" s="1"/>
  <c r="AG87" i="19"/>
  <c r="AG88" i="19"/>
  <c r="AH132" i="14" s="1"/>
  <c r="AH130" i="14" s="1"/>
  <c r="F141" i="19"/>
  <c r="G120" i="14" s="1"/>
  <c r="G120" i="12"/>
  <c r="G118" i="12" s="1"/>
  <c r="F155" i="19"/>
  <c r="F151" i="19"/>
  <c r="G140" i="14" s="1"/>
  <c r="AG86" i="19"/>
  <c r="AH128" i="14" s="1"/>
  <c r="AG89" i="19"/>
  <c r="AH133" i="14" s="1"/>
  <c r="AH129" i="14" s="1"/>
  <c r="F153" i="19"/>
  <c r="G144" i="14" s="1"/>
  <c r="G142" i="14" s="1"/>
  <c r="F139" i="19"/>
  <c r="G116" i="14" s="1"/>
  <c r="F154" i="19"/>
  <c r="G145" i="14" s="1"/>
  <c r="G141" i="14" s="1"/>
  <c r="AG76" i="19"/>
  <c r="AH120" i="14" s="1"/>
  <c r="AH118" i="14" s="1"/>
  <c r="AH120" i="12"/>
  <c r="AH118" i="12" s="1"/>
  <c r="AG74" i="19"/>
  <c r="AH116" i="14" s="1"/>
  <c r="F143" i="19"/>
  <c r="F142" i="19"/>
  <c r="G121" i="14" s="1"/>
  <c r="G121" i="12"/>
  <c r="G117" i="12" s="1"/>
  <c r="AG82" i="19"/>
  <c r="AH110" i="14" s="1"/>
  <c r="AH108" i="14" s="1"/>
  <c r="AH110" i="12"/>
  <c r="AH108" i="12" s="1"/>
  <c r="AG92" i="19"/>
  <c r="AH140" i="14" s="1"/>
  <c r="AG83" i="19"/>
  <c r="AH111" i="14" s="1"/>
  <c r="AH107" i="14" s="1"/>
  <c r="AH111" i="12"/>
  <c r="AH107" i="12" s="1"/>
  <c r="AG90" i="19"/>
  <c r="AG93" i="19"/>
  <c r="AH143" i="14" s="1"/>
  <c r="AG81" i="19"/>
  <c r="AG78" i="19"/>
  <c r="AG77" i="19"/>
  <c r="AH121" i="14" s="1"/>
  <c r="AH117" i="14" s="1"/>
  <c r="AG80" i="19"/>
  <c r="AH106" i="14" s="1"/>
  <c r="AG69" i="19"/>
  <c r="AG71" i="19"/>
  <c r="AH101" i="14" s="1"/>
  <c r="AG68" i="19"/>
  <c r="AH96" i="14" s="1"/>
  <c r="AG70" i="19"/>
  <c r="AH100" i="14" s="1"/>
  <c r="E298" i="20"/>
  <c r="E303" i="20" s="1"/>
  <c r="E304" i="20" s="1"/>
  <c r="E253" i="19"/>
  <c r="E252" i="19"/>
  <c r="F295" i="20"/>
  <c r="F296" i="20" s="1"/>
  <c r="F297" i="20" s="1"/>
  <c r="F299" i="20" s="1"/>
  <c r="F294" i="20"/>
  <c r="AE293" i="20"/>
  <c r="G150" i="19"/>
  <c r="H137" i="14" s="1"/>
  <c r="H139" i="14" s="1"/>
  <c r="H231" i="14" s="1"/>
  <c r="G223" i="20"/>
  <c r="F285" i="20"/>
  <c r="F284" i="20"/>
  <c r="F287" i="20"/>
  <c r="G40" i="55" s="1"/>
  <c r="F289" i="20"/>
  <c r="G42" i="55" s="1"/>
  <c r="F286" i="20"/>
  <c r="G39" i="55" s="1"/>
  <c r="F288" i="20"/>
  <c r="G41" i="55" s="1"/>
  <c r="G291" i="20"/>
  <c r="G292" i="20" s="1"/>
  <c r="G268" i="20"/>
  <c r="AG290" i="19"/>
  <c r="G189" i="20"/>
  <c r="G192" i="20"/>
  <c r="G190" i="20"/>
  <c r="G191" i="20"/>
  <c r="G193" i="20"/>
  <c r="H170" i="20"/>
  <c r="H176" i="20" s="1"/>
  <c r="H172" i="20"/>
  <c r="H224" i="20" s="1"/>
  <c r="H174" i="20"/>
  <c r="H188" i="20" s="1"/>
  <c r="I137" i="12" s="1"/>
  <c r="H171" i="20"/>
  <c r="H173" i="20"/>
  <c r="H182" i="20" s="1"/>
  <c r="H144" i="19" s="1"/>
  <c r="I125" i="14" s="1"/>
  <c r="G186" i="20"/>
  <c r="G185" i="20"/>
  <c r="G183" i="20"/>
  <c r="H128" i="12" s="1"/>
  <c r="G187" i="20"/>
  <c r="G149" i="19" s="1"/>
  <c r="G184" i="20"/>
  <c r="G180" i="20"/>
  <c r="G178" i="20"/>
  <c r="G177" i="20"/>
  <c r="H116" i="12" s="1"/>
  <c r="G179" i="20"/>
  <c r="G181" i="20"/>
  <c r="AG263" i="20"/>
  <c r="CT40" i="55" s="1"/>
  <c r="AG260" i="20"/>
  <c r="AG264" i="20"/>
  <c r="CT41" i="55" s="1"/>
  <c r="AG262" i="20"/>
  <c r="CT39" i="55" s="1"/>
  <c r="AG261" i="20"/>
  <c r="CT38" i="55" s="1"/>
  <c r="AG265" i="20"/>
  <c r="CT42" i="55" s="1"/>
  <c r="AF276" i="20"/>
  <c r="AF275" i="20"/>
  <c r="AF281" i="20"/>
  <c r="AF282" i="20"/>
  <c r="X176" i="12"/>
  <c r="X172" i="12"/>
  <c r="AH226" i="12"/>
  <c r="AP198" i="12"/>
  <c r="AG336" i="20"/>
  <c r="X179" i="12"/>
  <c r="X177" i="12"/>
  <c r="X175" i="12"/>
  <c r="AT198" i="12"/>
  <c r="AH231" i="12"/>
  <c r="AG340" i="20"/>
  <c r="AG273" i="20"/>
  <c r="AG274" i="20"/>
  <c r="AG272" i="20"/>
  <c r="AG271" i="20"/>
  <c r="AD279" i="20"/>
  <c r="AD283" i="20" s="1"/>
  <c r="AD280" i="20"/>
  <c r="AE278" i="20"/>
  <c r="AE277" i="20"/>
  <c r="AF263" i="20" l="1"/>
  <c r="CS40" i="55" s="1"/>
  <c r="AG226" i="19"/>
  <c r="DZ34" i="55" s="1"/>
  <c r="AF260" i="20"/>
  <c r="AF265" i="20"/>
  <c r="CS42" i="55" s="1"/>
  <c r="AH229" i="12"/>
  <c r="X178" i="12"/>
  <c r="AF264" i="20"/>
  <c r="CS41" i="55" s="1"/>
  <c r="AF262" i="20"/>
  <c r="CS39" i="55" s="1"/>
  <c r="AS198" i="12"/>
  <c r="AL34" i="55"/>
  <c r="E227" i="19"/>
  <c r="E246" i="19" s="1"/>
  <c r="AL41" i="55" s="1"/>
  <c r="BN34" i="55"/>
  <c r="AG227" i="19"/>
  <c r="AG243" i="19" s="1"/>
  <c r="AH152" i="12"/>
  <c r="G269" i="20"/>
  <c r="G286" i="20" s="1"/>
  <c r="H39" i="55" s="1"/>
  <c r="H34" i="55"/>
  <c r="X174" i="12"/>
  <c r="AG339" i="20"/>
  <c r="AN273" i="12"/>
  <c r="AG338" i="20"/>
  <c r="AK278" i="12"/>
  <c r="AM276" i="12"/>
  <c r="AK277" i="12"/>
  <c r="AH228" i="12"/>
  <c r="AQ218" i="12"/>
  <c r="AQ254" i="12"/>
  <c r="AG183" i="19"/>
  <c r="AF216" i="19"/>
  <c r="E219" i="19"/>
  <c r="E221" i="19"/>
  <c r="E223" i="19"/>
  <c r="E220" i="19"/>
  <c r="E218" i="19"/>
  <c r="E222" i="19"/>
  <c r="AG337" i="20"/>
  <c r="F233" i="12"/>
  <c r="F234" i="12" s="1"/>
  <c r="AP198" i="14"/>
  <c r="AG249" i="19"/>
  <c r="AG250" i="19" s="1"/>
  <c r="AG252" i="19" s="1"/>
  <c r="AI182" i="19"/>
  <c r="F232" i="14"/>
  <c r="E242" i="19"/>
  <c r="X176" i="14"/>
  <c r="X175" i="14"/>
  <c r="E245" i="19"/>
  <c r="AL40" i="55" s="1"/>
  <c r="X177" i="14"/>
  <c r="AH149" i="12"/>
  <c r="F152" i="14"/>
  <c r="H138" i="19"/>
  <c r="I113" i="14" s="1"/>
  <c r="I113" i="12"/>
  <c r="G118" i="14"/>
  <c r="G151" i="14" s="1"/>
  <c r="G153" i="14"/>
  <c r="H147" i="14"/>
  <c r="H115" i="14"/>
  <c r="G140" i="19"/>
  <c r="H119" i="12"/>
  <c r="G148" i="14"/>
  <c r="G227" i="14"/>
  <c r="AH226" i="14"/>
  <c r="I146" i="12"/>
  <c r="I139" i="12"/>
  <c r="I231" i="12" s="1"/>
  <c r="AH99" i="14"/>
  <c r="AH109" i="14"/>
  <c r="AH231" i="14"/>
  <c r="X179" i="14"/>
  <c r="G143" i="14"/>
  <c r="F233" i="14"/>
  <c r="F234" i="14" s="1"/>
  <c r="G152" i="12"/>
  <c r="G229" i="12"/>
  <c r="G232" i="12" s="1"/>
  <c r="G225" i="12" a="1"/>
  <c r="G148" i="12"/>
  <c r="G169" i="12" s="1"/>
  <c r="G119" i="14"/>
  <c r="G146" i="19"/>
  <c r="H131" i="14" s="1"/>
  <c r="H127" i="14" s="1"/>
  <c r="H227" i="14" s="1"/>
  <c r="H131" i="12"/>
  <c r="H127" i="12" s="1"/>
  <c r="H227" i="12" s="1"/>
  <c r="G152" i="19"/>
  <c r="H143" i="12"/>
  <c r="G117" i="14"/>
  <c r="G150" i="14" s="1"/>
  <c r="G154" i="14"/>
  <c r="G149" i="14"/>
  <c r="AH131" i="14"/>
  <c r="AH127" i="14" s="1"/>
  <c r="AH146" i="14"/>
  <c r="G229" i="14"/>
  <c r="G225" i="14" a="1"/>
  <c r="H146" i="14"/>
  <c r="H147" i="12"/>
  <c r="H115" i="12"/>
  <c r="AH98" i="14"/>
  <c r="AH151" i="14" s="1"/>
  <c r="AH153" i="14"/>
  <c r="AH97" i="14"/>
  <c r="AH150" i="14" s="1"/>
  <c r="AH154" i="14"/>
  <c r="AH119" i="14"/>
  <c r="AH149" i="14"/>
  <c r="F217" i="19"/>
  <c r="F249" i="19"/>
  <c r="F250" i="19" s="1"/>
  <c r="F253" i="19" s="1"/>
  <c r="F226" i="19"/>
  <c r="CY34" i="55" s="1"/>
  <c r="G182" i="19"/>
  <c r="G226" i="19" s="1"/>
  <c r="CZ34" i="55" s="1"/>
  <c r="H145" i="12"/>
  <c r="H141" i="12" s="1"/>
  <c r="H140" i="12"/>
  <c r="H144" i="12"/>
  <c r="H142" i="12" s="1"/>
  <c r="G150" i="12"/>
  <c r="G154" i="12"/>
  <c r="AH154" i="12"/>
  <c r="G145" i="19"/>
  <c r="H128" i="14" s="1"/>
  <c r="G149" i="12"/>
  <c r="AH153" i="12"/>
  <c r="G148" i="19"/>
  <c r="H133" i="14" s="1"/>
  <c r="H129" i="14" s="1"/>
  <c r="H133" i="12"/>
  <c r="H129" i="12" s="1"/>
  <c r="G147" i="19"/>
  <c r="H132" i="14" s="1"/>
  <c r="H130" i="14" s="1"/>
  <c r="H132" i="12"/>
  <c r="H130" i="12" s="1"/>
  <c r="G151" i="12"/>
  <c r="G153" i="12"/>
  <c r="AH151" i="12"/>
  <c r="G139" i="19"/>
  <c r="H116" i="14" s="1"/>
  <c r="G154" i="19"/>
  <c r="H145" i="14" s="1"/>
  <c r="H141" i="14" s="1"/>
  <c r="G155" i="19"/>
  <c r="G151" i="19"/>
  <c r="H140" i="14" s="1"/>
  <c r="G141" i="19"/>
  <c r="H120" i="14" s="1"/>
  <c r="H120" i="12"/>
  <c r="H118" i="12" s="1"/>
  <c r="G153" i="19"/>
  <c r="H144" i="14" s="1"/>
  <c r="H142" i="14" s="1"/>
  <c r="G143" i="19"/>
  <c r="G142" i="19"/>
  <c r="H121" i="14" s="1"/>
  <c r="H121" i="12"/>
  <c r="H117" i="12" s="1"/>
  <c r="AH229" i="14"/>
  <c r="AS198" i="14"/>
  <c r="X178" i="14"/>
  <c r="AG244" i="19"/>
  <c r="BN39" i="55" s="1"/>
  <c r="AG246" i="19"/>
  <c r="BN41" i="55" s="1"/>
  <c r="AG245" i="19"/>
  <c r="BN40" i="55" s="1"/>
  <c r="G295" i="20"/>
  <c r="G296" i="20" s="1"/>
  <c r="G297" i="20" s="1"/>
  <c r="G299" i="20" s="1"/>
  <c r="G294" i="20"/>
  <c r="F298" i="20"/>
  <c r="F303" i="20" s="1"/>
  <c r="F304" i="20" s="1"/>
  <c r="E254" i="19"/>
  <c r="E255" i="19" s="1"/>
  <c r="E257" i="19" s="1"/>
  <c r="E256" i="19"/>
  <c r="AF293" i="20"/>
  <c r="H268" i="20"/>
  <c r="H291" i="20"/>
  <c r="H292" i="20" s="1"/>
  <c r="E311" i="20"/>
  <c r="H150" i="19"/>
  <c r="I137" i="14" s="1"/>
  <c r="I139" i="14" s="1"/>
  <c r="I231" i="14" s="1"/>
  <c r="H223" i="20"/>
  <c r="G287" i="20"/>
  <c r="H40" i="55" s="1"/>
  <c r="I171" i="20"/>
  <c r="I173" i="20"/>
  <c r="I182" i="20" s="1"/>
  <c r="I144" i="19" s="1"/>
  <c r="J125" i="14" s="1"/>
  <c r="I170" i="20"/>
  <c r="I176" i="20" s="1"/>
  <c r="I172" i="20"/>
  <c r="I224" i="20" s="1"/>
  <c r="I174" i="20"/>
  <c r="I188" i="20" s="1"/>
  <c r="J137" i="12" s="1"/>
  <c r="H189" i="20"/>
  <c r="H193" i="20"/>
  <c r="H191" i="20"/>
  <c r="H192" i="20"/>
  <c r="H190" i="20"/>
  <c r="H187" i="20"/>
  <c r="H149" i="19" s="1"/>
  <c r="H183" i="20"/>
  <c r="I128" i="12" s="1"/>
  <c r="H186" i="20"/>
  <c r="H185" i="20"/>
  <c r="H184" i="20"/>
  <c r="H179" i="20"/>
  <c r="H177" i="20"/>
  <c r="I116" i="12" s="1"/>
  <c r="H178" i="20"/>
  <c r="H180" i="20"/>
  <c r="H181" i="20"/>
  <c r="AF278" i="20"/>
  <c r="AF277" i="20"/>
  <c r="AG276" i="20"/>
  <c r="AG275" i="20"/>
  <c r="AE279" i="20"/>
  <c r="AE283" i="20" s="1"/>
  <c r="AE280" i="20"/>
  <c r="AG284" i="20"/>
  <c r="AG287" i="20"/>
  <c r="AH40" i="55" s="1"/>
  <c r="AG286" i="20"/>
  <c r="AH39" i="55" s="1"/>
  <c r="AG288" i="20"/>
  <c r="AH41" i="55" s="1"/>
  <c r="AG289" i="20"/>
  <c r="AH42" i="55" s="1"/>
  <c r="AG285" i="20"/>
  <c r="AG282" i="20"/>
  <c r="AG281" i="20"/>
  <c r="G285" i="20" l="1"/>
  <c r="AG242" i="19"/>
  <c r="G284" i="20"/>
  <c r="G289" i="20"/>
  <c r="H42" i="55" s="1"/>
  <c r="AG247" i="19"/>
  <c r="BN42" i="55" s="1"/>
  <c r="G288" i="20"/>
  <c r="H41" i="55" s="1"/>
  <c r="AQ254" i="14"/>
  <c r="E244" i="19"/>
  <c r="AL39" i="55" s="1"/>
  <c r="AN34" i="55"/>
  <c r="G227" i="19"/>
  <c r="AH152" i="14"/>
  <c r="H269" i="20"/>
  <c r="H289" i="20" s="1"/>
  <c r="I42" i="55" s="1"/>
  <c r="I34" i="55"/>
  <c r="E247" i="19"/>
  <c r="AL42" i="55" s="1"/>
  <c r="AM34" i="55"/>
  <c r="F227" i="19"/>
  <c r="F243" i="19" s="1"/>
  <c r="AJ224" i="14" a="1"/>
  <c r="AH148" i="14"/>
  <c r="AI148" i="14" s="1"/>
  <c r="E243" i="19"/>
  <c r="AG216" i="19"/>
  <c r="AG217" i="19" s="1"/>
  <c r="AM278" i="12"/>
  <c r="AN276" i="12"/>
  <c r="AM277" i="12"/>
  <c r="AG341" i="20"/>
  <c r="AH227" i="12"/>
  <c r="AH232" i="12" s="1"/>
  <c r="AG253" i="19"/>
  <c r="AG254" i="19" s="1"/>
  <c r="AG255" i="19" s="1"/>
  <c r="AG257" i="19" s="1"/>
  <c r="X173" i="12"/>
  <c r="X180" i="12" s="1"/>
  <c r="N174" i="12" s="1"/>
  <c r="D185" i="12" s="1"/>
  <c r="N197" i="12" s="1"/>
  <c r="AH225" i="12" a="1"/>
  <c r="F220" i="19"/>
  <c r="F219" i="19"/>
  <c r="F221" i="19"/>
  <c r="F223" i="19"/>
  <c r="F222" i="19"/>
  <c r="F218" i="19"/>
  <c r="AQ198" i="12"/>
  <c r="G217" i="19"/>
  <c r="G233" i="12"/>
  <c r="G234" i="12" s="1"/>
  <c r="AH225" i="14" a="1"/>
  <c r="F252" i="19"/>
  <c r="H149" i="14"/>
  <c r="G232" i="14"/>
  <c r="G233" i="14"/>
  <c r="G234" i="14" s="1"/>
  <c r="H143" i="14"/>
  <c r="G152" i="14"/>
  <c r="H146" i="19"/>
  <c r="I131" i="14" s="1"/>
  <c r="I127" i="14" s="1"/>
  <c r="I227" i="14" s="1"/>
  <c r="I131" i="12"/>
  <c r="I127" i="12" s="1"/>
  <c r="I227" i="12" s="1"/>
  <c r="I138" i="19"/>
  <c r="J113" i="14" s="1"/>
  <c r="J113" i="12"/>
  <c r="H117" i="14"/>
  <c r="H150" i="14" s="1"/>
  <c r="H154" i="14"/>
  <c r="H118" i="14"/>
  <c r="H151" i="14" s="1"/>
  <c r="H153" i="14"/>
  <c r="H229" i="14"/>
  <c r="H232" i="14" s="1"/>
  <c r="H148" i="14"/>
  <c r="H225" i="14" a="1"/>
  <c r="H140" i="19"/>
  <c r="I119" i="12"/>
  <c r="H152" i="19"/>
  <c r="I143" i="12"/>
  <c r="H229" i="12"/>
  <c r="H232" i="12" s="1"/>
  <c r="H148" i="12"/>
  <c r="H169" i="12" s="1"/>
  <c r="H225" i="12" a="1"/>
  <c r="I147" i="12"/>
  <c r="I115" i="12"/>
  <c r="J146" i="12"/>
  <c r="J139" i="12"/>
  <c r="J231" i="12" s="1"/>
  <c r="H152" i="12"/>
  <c r="I147" i="14"/>
  <c r="I115" i="14"/>
  <c r="X173" i="14"/>
  <c r="X180" i="14" s="1"/>
  <c r="AH227" i="14"/>
  <c r="AH232" i="14" s="1"/>
  <c r="AQ198" i="14"/>
  <c r="H119" i="14"/>
  <c r="I146" i="14"/>
  <c r="G249" i="19"/>
  <c r="G250" i="19" s="1"/>
  <c r="G252" i="19" s="1"/>
  <c r="I140" i="12"/>
  <c r="I145" i="12"/>
  <c r="I141" i="12" s="1"/>
  <c r="H182" i="19"/>
  <c r="H217" i="19" s="1"/>
  <c r="I144" i="12"/>
  <c r="I142" i="12" s="1"/>
  <c r="F155" i="12"/>
  <c r="F313" i="20"/>
  <c r="AH150" i="12"/>
  <c r="H150" i="12"/>
  <c r="H154" i="12"/>
  <c r="H151" i="12"/>
  <c r="H153" i="12"/>
  <c r="H149" i="12"/>
  <c r="H145" i="19"/>
  <c r="I128" i="14" s="1"/>
  <c r="H147" i="19"/>
  <c r="I132" i="14" s="1"/>
  <c r="I130" i="14" s="1"/>
  <c r="I132" i="12"/>
  <c r="I130" i="12" s="1"/>
  <c r="H148" i="19"/>
  <c r="I133" i="14" s="1"/>
  <c r="I129" i="14" s="1"/>
  <c r="I133" i="12"/>
  <c r="I129" i="12" s="1"/>
  <c r="H151" i="19"/>
  <c r="I140" i="14" s="1"/>
  <c r="H139" i="19"/>
  <c r="I116" i="14" s="1"/>
  <c r="H154" i="19"/>
  <c r="I145" i="14" s="1"/>
  <c r="I141" i="14" s="1"/>
  <c r="H155" i="19"/>
  <c r="H141" i="19"/>
  <c r="I120" i="14" s="1"/>
  <c r="I120" i="12"/>
  <c r="I118" i="12" s="1"/>
  <c r="H153" i="19"/>
  <c r="I144" i="14" s="1"/>
  <c r="I142" i="14" s="1"/>
  <c r="H143" i="19"/>
  <c r="H142" i="19"/>
  <c r="I121" i="14" s="1"/>
  <c r="I121" i="12"/>
  <c r="I117" i="12" s="1"/>
  <c r="H295" i="20"/>
  <c r="H296" i="20" s="1"/>
  <c r="H297" i="20" s="1"/>
  <c r="H299" i="20" s="1"/>
  <c r="H294" i="20"/>
  <c r="F254" i="19"/>
  <c r="F255" i="19" s="1"/>
  <c r="F257" i="19" s="1"/>
  <c r="F256" i="19"/>
  <c r="G243" i="19"/>
  <c r="G245" i="19"/>
  <c r="AN40" i="55" s="1"/>
  <c r="G247" i="19"/>
  <c r="AN42" i="55" s="1"/>
  <c r="G244" i="19"/>
  <c r="AN39" i="55" s="1"/>
  <c r="G242" i="19"/>
  <c r="G246" i="19"/>
  <c r="AN41" i="55" s="1"/>
  <c r="E261" i="19"/>
  <c r="G298" i="20"/>
  <c r="G303" i="20" s="1"/>
  <c r="G304" i="20" s="1"/>
  <c r="AG293" i="20"/>
  <c r="AG294" i="20" s="1"/>
  <c r="AG295" i="20"/>
  <c r="E313" i="20"/>
  <c r="F35" i="55" s="1"/>
  <c r="I150" i="19"/>
  <c r="J137" i="14" s="1"/>
  <c r="J139" i="14" s="1"/>
  <c r="J231" i="14" s="1"/>
  <c r="I223" i="20"/>
  <c r="F311" i="20"/>
  <c r="I268" i="20"/>
  <c r="I291" i="20"/>
  <c r="I292" i="20" s="1"/>
  <c r="H284" i="20"/>
  <c r="H286" i="20"/>
  <c r="I39" i="55" s="1"/>
  <c r="H288" i="20"/>
  <c r="I41" i="55" s="1"/>
  <c r="J171" i="20"/>
  <c r="J173" i="20"/>
  <c r="J182" i="20" s="1"/>
  <c r="J144" i="19" s="1"/>
  <c r="K125" i="14" s="1"/>
  <c r="J170" i="20"/>
  <c r="J176" i="20" s="1"/>
  <c r="J172" i="20"/>
  <c r="J224" i="20" s="1"/>
  <c r="J174" i="20"/>
  <c r="J188" i="20" s="1"/>
  <c r="K137" i="12" s="1"/>
  <c r="I180" i="20"/>
  <c r="I177" i="20"/>
  <c r="J116" i="12" s="1"/>
  <c r="I178" i="20"/>
  <c r="I181" i="20"/>
  <c r="I179" i="20"/>
  <c r="I184" i="20"/>
  <c r="I185" i="20"/>
  <c r="I187" i="20"/>
  <c r="I149" i="19" s="1"/>
  <c r="I186" i="20"/>
  <c r="I183" i="20"/>
  <c r="J128" i="12" s="1"/>
  <c r="I190" i="20"/>
  <c r="I192" i="20"/>
  <c r="I191" i="20"/>
  <c r="I193" i="20"/>
  <c r="I189" i="20"/>
  <c r="AG278" i="20"/>
  <c r="AG277" i="20"/>
  <c r="AF279" i="20"/>
  <c r="AF283" i="20" s="1"/>
  <c r="AF280" i="20"/>
  <c r="F242" i="19" l="1"/>
  <c r="F247" i="19"/>
  <c r="AM42" i="55" s="1"/>
  <c r="F245" i="19"/>
  <c r="AM40" i="55" s="1"/>
  <c r="F246" i="19"/>
  <c r="AM41" i="55" s="1"/>
  <c r="F244" i="19"/>
  <c r="AM39" i="55" s="1"/>
  <c r="AG219" i="19"/>
  <c r="AG223" i="19"/>
  <c r="H285" i="20"/>
  <c r="AG218" i="19"/>
  <c r="H287" i="20"/>
  <c r="I40" i="55" s="1"/>
  <c r="AG220" i="19"/>
  <c r="AG222" i="19"/>
  <c r="I269" i="20"/>
  <c r="I285" i="20" s="1"/>
  <c r="J34" i="55"/>
  <c r="AG221" i="19"/>
  <c r="F38" i="55"/>
  <c r="G35" i="55"/>
  <c r="G38" i="55"/>
  <c r="AK274" i="12"/>
  <c r="AM274" i="12" s="1"/>
  <c r="N176" i="12"/>
  <c r="N172" i="12"/>
  <c r="N173" i="12"/>
  <c r="D184" i="12" s="1"/>
  <c r="N198" i="12" s="1"/>
  <c r="AH169" i="12"/>
  <c r="N178" i="12"/>
  <c r="AH233" i="12"/>
  <c r="AG256" i="19"/>
  <c r="N177" i="12"/>
  <c r="N179" i="12"/>
  <c r="D189" i="12" s="1"/>
  <c r="N193" i="12" s="1"/>
  <c r="N175" i="12"/>
  <c r="D187" i="12" s="1"/>
  <c r="N195" i="12" s="1"/>
  <c r="H221" i="19"/>
  <c r="H220" i="19"/>
  <c r="H222" i="19"/>
  <c r="H218" i="19"/>
  <c r="H219" i="19"/>
  <c r="H223" i="19"/>
  <c r="G220" i="19"/>
  <c r="G222" i="19"/>
  <c r="G218" i="19"/>
  <c r="G221" i="19"/>
  <c r="G219" i="19"/>
  <c r="G223" i="19"/>
  <c r="G253" i="19"/>
  <c r="G256" i="19" s="1"/>
  <c r="H152" i="14"/>
  <c r="H233" i="12"/>
  <c r="H234" i="12" s="1"/>
  <c r="H233" i="14"/>
  <c r="H234" i="14" s="1"/>
  <c r="AH233" i="14"/>
  <c r="N176" i="14"/>
  <c r="N178" i="14"/>
  <c r="N172" i="14"/>
  <c r="N179" i="14"/>
  <c r="D189" i="14" s="1"/>
  <c r="N193" i="14" s="1"/>
  <c r="N174" i="14"/>
  <c r="D185" i="14" s="1"/>
  <c r="N197" i="14" s="1"/>
  <c r="N175" i="14"/>
  <c r="D187" i="14" s="1"/>
  <c r="N195" i="14" s="1"/>
  <c r="N177" i="14"/>
  <c r="J147" i="12"/>
  <c r="J115" i="12"/>
  <c r="I146" i="19"/>
  <c r="J131" i="14" s="1"/>
  <c r="J127" i="14" s="1"/>
  <c r="J227" i="14" s="1"/>
  <c r="J131" i="12"/>
  <c r="J127" i="12" s="1"/>
  <c r="J227" i="12" s="1"/>
  <c r="J138" i="19"/>
  <c r="K113" i="14" s="1"/>
  <c r="K113" i="12"/>
  <c r="I229" i="14"/>
  <c r="I148" i="14"/>
  <c r="I225" i="14" a="1"/>
  <c r="I143" i="14"/>
  <c r="J147" i="14"/>
  <c r="J115" i="14"/>
  <c r="I152" i="19"/>
  <c r="J143" i="12"/>
  <c r="I140" i="19"/>
  <c r="J119" i="12"/>
  <c r="I149" i="14"/>
  <c r="I152" i="12"/>
  <c r="I229" i="12"/>
  <c r="I232" i="12" s="1"/>
  <c r="I148" i="12"/>
  <c r="I169" i="12" s="1"/>
  <c r="I225" i="12" a="1"/>
  <c r="N173" i="14"/>
  <c r="D184" i="14" s="1"/>
  <c r="N198" i="14" s="1"/>
  <c r="K146" i="12"/>
  <c r="K139" i="12"/>
  <c r="K231" i="12" s="1"/>
  <c r="I117" i="14"/>
  <c r="I150" i="14" s="1"/>
  <c r="I154" i="14"/>
  <c r="I118" i="14"/>
  <c r="I151" i="14" s="1"/>
  <c r="I153" i="14"/>
  <c r="J146" i="14"/>
  <c r="I119" i="14"/>
  <c r="I152" i="14" s="1"/>
  <c r="I232" i="14"/>
  <c r="H226" i="19"/>
  <c r="DA34" i="55" s="1"/>
  <c r="H249" i="19"/>
  <c r="H250" i="19" s="1"/>
  <c r="H253" i="19" s="1"/>
  <c r="J145" i="12"/>
  <c r="J141" i="12" s="1"/>
  <c r="J140" i="12"/>
  <c r="G155" i="12"/>
  <c r="G156" i="12"/>
  <c r="G162" i="12" s="1"/>
  <c r="G160" i="12" s="1"/>
  <c r="J144" i="12"/>
  <c r="J142" i="12" s="1"/>
  <c r="I182" i="19"/>
  <c r="I217" i="19" s="1"/>
  <c r="I147" i="19"/>
  <c r="J132" i="14" s="1"/>
  <c r="J130" i="14" s="1"/>
  <c r="J132" i="12"/>
  <c r="J130" i="12" s="1"/>
  <c r="E315" i="20"/>
  <c r="F156" i="12"/>
  <c r="I145" i="19"/>
  <c r="J128" i="14" s="1"/>
  <c r="I150" i="12"/>
  <c r="I154" i="12"/>
  <c r="I151" i="12"/>
  <c r="I153" i="12"/>
  <c r="I149" i="12"/>
  <c r="I148" i="19"/>
  <c r="J133" i="14" s="1"/>
  <c r="J129" i="14" s="1"/>
  <c r="J133" i="12"/>
  <c r="J129" i="12" s="1"/>
  <c r="I155" i="19"/>
  <c r="I139" i="19"/>
  <c r="J116" i="14" s="1"/>
  <c r="I153" i="19"/>
  <c r="J144" i="14" s="1"/>
  <c r="J142" i="14" s="1"/>
  <c r="I141" i="19"/>
  <c r="J120" i="14" s="1"/>
  <c r="J120" i="12"/>
  <c r="J118" i="12" s="1"/>
  <c r="I154" i="19"/>
  <c r="J145" i="14" s="1"/>
  <c r="J141" i="14" s="1"/>
  <c r="I151" i="19"/>
  <c r="J140" i="14" s="1"/>
  <c r="I143" i="19"/>
  <c r="I142" i="19"/>
  <c r="J121" i="14" s="1"/>
  <c r="J121" i="12"/>
  <c r="J117" i="12" s="1"/>
  <c r="I295" i="20"/>
  <c r="I296" i="20" s="1"/>
  <c r="I297" i="20" s="1"/>
  <c r="I299" i="20" s="1"/>
  <c r="I294" i="20"/>
  <c r="E262" i="19"/>
  <c r="E269" i="19" s="1"/>
  <c r="F261" i="19"/>
  <c r="F262" i="19" s="1"/>
  <c r="F269" i="19" s="1"/>
  <c r="H298" i="20"/>
  <c r="E320" i="20"/>
  <c r="AG298" i="20"/>
  <c r="AG303" i="20" s="1"/>
  <c r="AG304" i="20" s="1"/>
  <c r="AG296" i="20"/>
  <c r="AG297" i="20" s="1"/>
  <c r="AG299" i="20" s="1"/>
  <c r="J268" i="20"/>
  <c r="J291" i="20"/>
  <c r="J292" i="20" s="1"/>
  <c r="F320" i="20"/>
  <c r="F315" i="20"/>
  <c r="G311" i="20"/>
  <c r="G313" i="20"/>
  <c r="J150" i="19"/>
  <c r="K137" i="14" s="1"/>
  <c r="K139" i="14" s="1"/>
  <c r="K231" i="14" s="1"/>
  <c r="J223" i="20"/>
  <c r="I288" i="20"/>
  <c r="J41" i="55" s="1"/>
  <c r="K170" i="20"/>
  <c r="K176" i="20" s="1"/>
  <c r="K172" i="20"/>
  <c r="K224" i="20" s="1"/>
  <c r="K174" i="20"/>
  <c r="K188" i="20" s="1"/>
  <c r="L137" i="12" s="1"/>
  <c r="K171" i="20"/>
  <c r="K173" i="20"/>
  <c r="K182" i="20" s="1"/>
  <c r="K144" i="19" s="1"/>
  <c r="L125" i="14" s="1"/>
  <c r="J177" i="20"/>
  <c r="K116" i="12" s="1"/>
  <c r="J180" i="20"/>
  <c r="J178" i="20"/>
  <c r="J181" i="20"/>
  <c r="J179" i="20"/>
  <c r="J183" i="20"/>
  <c r="K128" i="12" s="1"/>
  <c r="J184" i="20"/>
  <c r="J186" i="20"/>
  <c r="J185" i="20"/>
  <c r="J187" i="20"/>
  <c r="J149" i="19" s="1"/>
  <c r="J189" i="20"/>
  <c r="J190" i="20"/>
  <c r="J192" i="20"/>
  <c r="J193" i="20"/>
  <c r="J191" i="20"/>
  <c r="AG279" i="20"/>
  <c r="AG283" i="20" s="1"/>
  <c r="AG280" i="20"/>
  <c r="I287" i="20" l="1"/>
  <c r="J40" i="55" s="1"/>
  <c r="I289" i="20"/>
  <c r="J42" i="55" s="1"/>
  <c r="I284" i="20"/>
  <c r="I286" i="20"/>
  <c r="J39" i="55" s="1"/>
  <c r="H35" i="55"/>
  <c r="H38" i="55"/>
  <c r="AH234" i="14"/>
  <c r="AJ232" i="14"/>
  <c r="AK232" i="14" s="1"/>
  <c r="F155" i="14"/>
  <c r="AO34" i="55"/>
  <c r="H227" i="19"/>
  <c r="H247" i="19" s="1"/>
  <c r="AO42" i="55" s="1"/>
  <c r="G155" i="14"/>
  <c r="J269" i="20"/>
  <c r="J285" i="20" s="1"/>
  <c r="K34" i="55"/>
  <c r="AH234" i="12"/>
  <c r="AJ232" i="12"/>
  <c r="AK232" i="12" s="1"/>
  <c r="D183" i="12"/>
  <c r="AN274" i="12"/>
  <c r="AN275" i="12"/>
  <c r="D186" i="12"/>
  <c r="N196" i="12" s="1"/>
  <c r="AG261" i="19"/>
  <c r="N180" i="12"/>
  <c r="G254" i="19"/>
  <c r="G255" i="19" s="1"/>
  <c r="G257" i="19" s="1"/>
  <c r="I219" i="19"/>
  <c r="I221" i="19"/>
  <c r="I223" i="19"/>
  <c r="I222" i="19"/>
  <c r="I220" i="19"/>
  <c r="I218" i="19"/>
  <c r="H242" i="19"/>
  <c r="D186" i="14"/>
  <c r="N196" i="14" s="1"/>
  <c r="J152" i="12"/>
  <c r="I233" i="14"/>
  <c r="I234" i="14" s="1"/>
  <c r="D183" i="14"/>
  <c r="N199" i="14" s="1"/>
  <c r="H252" i="19"/>
  <c r="J143" i="14"/>
  <c r="H246" i="19"/>
  <c r="AO41" i="55" s="1"/>
  <c r="H243" i="19"/>
  <c r="H244" i="19"/>
  <c r="AO39" i="55" s="1"/>
  <c r="N180" i="14"/>
  <c r="J149" i="14"/>
  <c r="J229" i="14"/>
  <c r="J232" i="14" s="1"/>
  <c r="J148" i="14"/>
  <c r="J225" i="14" a="1"/>
  <c r="J152" i="19"/>
  <c r="K143" i="12"/>
  <c r="K146" i="14"/>
  <c r="K147" i="14"/>
  <c r="K115" i="14"/>
  <c r="J140" i="19"/>
  <c r="K119" i="12"/>
  <c r="L146" i="12"/>
  <c r="L139" i="12"/>
  <c r="L231" i="12" s="1"/>
  <c r="J117" i="14"/>
  <c r="J150" i="14" s="1"/>
  <c r="J154" i="14"/>
  <c r="I233" i="12"/>
  <c r="I234" i="12" s="1"/>
  <c r="J119" i="14"/>
  <c r="K138" i="19"/>
  <c r="L113" i="14" s="1"/>
  <c r="L113" i="12"/>
  <c r="J146" i="19"/>
  <c r="K131" i="14" s="1"/>
  <c r="K127" i="14" s="1"/>
  <c r="K227" i="14" s="1"/>
  <c r="K131" i="12"/>
  <c r="K127" i="12" s="1"/>
  <c r="K227" i="12" s="1"/>
  <c r="J118" i="14"/>
  <c r="J151" i="14" s="1"/>
  <c r="J153" i="14"/>
  <c r="K147" i="12"/>
  <c r="K115" i="12"/>
  <c r="J229" i="12"/>
  <c r="J232" i="12" s="1"/>
  <c r="J225" i="12" a="1"/>
  <c r="J148" i="12"/>
  <c r="J169" i="12" s="1"/>
  <c r="G158" i="12"/>
  <c r="I226" i="19"/>
  <c r="DB34" i="55" s="1"/>
  <c r="I249" i="19"/>
  <c r="I250" i="19" s="1"/>
  <c r="I252" i="19" s="1"/>
  <c r="G157" i="12"/>
  <c r="G28" i="58" s="1"/>
  <c r="G163" i="12"/>
  <c r="G159" i="12" s="1"/>
  <c r="K145" i="12"/>
  <c r="K141" i="12" s="1"/>
  <c r="J182" i="19"/>
  <c r="J226" i="19" s="1"/>
  <c r="DC34" i="55" s="1"/>
  <c r="K144" i="12"/>
  <c r="K142" i="12" s="1"/>
  <c r="K140" i="12"/>
  <c r="H156" i="12"/>
  <c r="H158" i="12" s="1"/>
  <c r="H155" i="12"/>
  <c r="F321" i="20"/>
  <c r="G164" i="12"/>
  <c r="G29" i="58" s="1"/>
  <c r="E321" i="20"/>
  <c r="F164" i="12"/>
  <c r="F29" i="58" s="1"/>
  <c r="J151" i="12"/>
  <c r="J153" i="12"/>
  <c r="J147" i="19"/>
  <c r="K132" i="14" s="1"/>
  <c r="K130" i="14" s="1"/>
  <c r="K132" i="12"/>
  <c r="K130" i="12" s="1"/>
  <c r="J145" i="19"/>
  <c r="K128" i="14" s="1"/>
  <c r="J148" i="19"/>
  <c r="K133" i="14" s="1"/>
  <c r="K129" i="14" s="1"/>
  <c r="K133" i="12"/>
  <c r="K129" i="12" s="1"/>
  <c r="F162" i="12"/>
  <c r="F160" i="12" s="1"/>
  <c r="F158" i="12"/>
  <c r="F163" i="12"/>
  <c r="F159" i="12" s="1"/>
  <c r="F157" i="12"/>
  <c r="F28" i="58" s="1"/>
  <c r="J150" i="12"/>
  <c r="J154" i="12"/>
  <c r="J149" i="12"/>
  <c r="J151" i="19"/>
  <c r="K140" i="14" s="1"/>
  <c r="J155" i="19"/>
  <c r="J141" i="19"/>
  <c r="K120" i="14" s="1"/>
  <c r="K120" i="12"/>
  <c r="K118" i="12" s="1"/>
  <c r="J139" i="19"/>
  <c r="K116" i="14" s="1"/>
  <c r="J153" i="19"/>
  <c r="K144" i="14" s="1"/>
  <c r="K142" i="14" s="1"/>
  <c r="J154" i="19"/>
  <c r="K145" i="14" s="1"/>
  <c r="K141" i="14" s="1"/>
  <c r="J143" i="19"/>
  <c r="J142" i="19"/>
  <c r="K121" i="14" s="1"/>
  <c r="K121" i="12"/>
  <c r="K117" i="12" s="1"/>
  <c r="I298" i="20"/>
  <c r="I303" i="20" s="1"/>
  <c r="I304" i="20" s="1"/>
  <c r="H254" i="19"/>
  <c r="H255" i="19" s="1"/>
  <c r="H257" i="19" s="1"/>
  <c r="F271" i="19"/>
  <c r="AM38" i="55" s="1"/>
  <c r="H256" i="19"/>
  <c r="E271" i="19"/>
  <c r="AL38" i="55" s="1"/>
  <c r="J295" i="20"/>
  <c r="J296" i="20" s="1"/>
  <c r="J297" i="20" s="1"/>
  <c r="J299" i="20" s="1"/>
  <c r="J294" i="20"/>
  <c r="H303" i="20"/>
  <c r="H304" i="20" s="1"/>
  <c r="H311" i="20" s="1"/>
  <c r="G261" i="19"/>
  <c r="G262" i="19" s="1"/>
  <c r="G271" i="19" s="1"/>
  <c r="H156" i="14" s="1"/>
  <c r="H158" i="14" s="1"/>
  <c r="K150" i="19"/>
  <c r="L137" i="14" s="1"/>
  <c r="L139" i="14" s="1"/>
  <c r="L231" i="14" s="1"/>
  <c r="K223" i="20"/>
  <c r="K291" i="20"/>
  <c r="K292" i="20" s="1"/>
  <c r="K268" i="20"/>
  <c r="G315" i="20"/>
  <c r="G320" i="20"/>
  <c r="J288" i="20"/>
  <c r="K41" i="55" s="1"/>
  <c r="J289" i="20"/>
  <c r="K42" i="55" s="1"/>
  <c r="L170" i="20"/>
  <c r="L176" i="20" s="1"/>
  <c r="L172" i="20"/>
  <c r="L224" i="20" s="1"/>
  <c r="L174" i="20"/>
  <c r="L188" i="20" s="1"/>
  <c r="M137" i="12" s="1"/>
  <c r="L171" i="20"/>
  <c r="L173" i="20"/>
  <c r="L182" i="20" s="1"/>
  <c r="L144" i="19" s="1"/>
  <c r="M125" i="14" s="1"/>
  <c r="K190" i="20"/>
  <c r="K192" i="20"/>
  <c r="K189" i="20"/>
  <c r="K191" i="20"/>
  <c r="K193" i="20"/>
  <c r="K186" i="20"/>
  <c r="K187" i="20"/>
  <c r="K149" i="19" s="1"/>
  <c r="K185" i="20"/>
  <c r="K183" i="20"/>
  <c r="L128" i="12" s="1"/>
  <c r="K184" i="20"/>
  <c r="K178" i="20"/>
  <c r="K177" i="20"/>
  <c r="L116" i="12" s="1"/>
  <c r="K180" i="20"/>
  <c r="K179" i="20"/>
  <c r="K181" i="20"/>
  <c r="N199" i="12"/>
  <c r="J286" i="20" l="1"/>
  <c r="K39" i="55" s="1"/>
  <c r="J287" i="20"/>
  <c r="K40" i="55" s="1"/>
  <c r="J284" i="20"/>
  <c r="CX35" i="55"/>
  <c r="H245" i="19"/>
  <c r="AO40" i="55" s="1"/>
  <c r="CY35" i="55"/>
  <c r="AL35" i="55"/>
  <c r="AQ34" i="55"/>
  <c r="J227" i="19"/>
  <c r="AM35" i="55"/>
  <c r="K269" i="20"/>
  <c r="K288" i="20" s="1"/>
  <c r="L41" i="55" s="1"/>
  <c r="L34" i="55"/>
  <c r="AP34" i="55"/>
  <c r="I227" i="19"/>
  <c r="I242" i="19" s="1"/>
  <c r="D188" i="12"/>
  <c r="N194" i="12" s="1"/>
  <c r="N200" i="12" s="1"/>
  <c r="AG262" i="19"/>
  <c r="AG269" i="19" s="1"/>
  <c r="J217" i="19"/>
  <c r="D188" i="14"/>
  <c r="N194" i="14" s="1"/>
  <c r="N200" i="14" s="1"/>
  <c r="J233" i="14"/>
  <c r="J234" i="14" s="1"/>
  <c r="J233" i="12"/>
  <c r="J234" i="12" s="1"/>
  <c r="J152" i="14"/>
  <c r="K149" i="14"/>
  <c r="K119" i="14"/>
  <c r="K146" i="19"/>
  <c r="L131" i="14" s="1"/>
  <c r="L127" i="14" s="1"/>
  <c r="L131" i="12"/>
  <c r="L127" i="12" s="1"/>
  <c r="L227" i="12" s="1"/>
  <c r="L147" i="12"/>
  <c r="L115" i="12"/>
  <c r="K229" i="14"/>
  <c r="K232" i="14" s="1"/>
  <c r="K148" i="14"/>
  <c r="K225" i="14" a="1"/>
  <c r="K143" i="14"/>
  <c r="K152" i="19"/>
  <c r="L143" i="12"/>
  <c r="L138" i="19"/>
  <c r="M113" i="14" s="1"/>
  <c r="M113" i="12"/>
  <c r="I246" i="19"/>
  <c r="AP41" i="55" s="1"/>
  <c r="L147" i="14"/>
  <c r="L115" i="14"/>
  <c r="M139" i="12"/>
  <c r="M231" i="12" s="1"/>
  <c r="M146" i="12"/>
  <c r="K117" i="14"/>
  <c r="K150" i="14" s="1"/>
  <c r="K154" i="14"/>
  <c r="K140" i="19"/>
  <c r="L119" i="12"/>
  <c r="I253" i="19"/>
  <c r="I254" i="19" s="1"/>
  <c r="I255" i="19" s="1"/>
  <c r="I257" i="19" s="1"/>
  <c r="I244" i="19"/>
  <c r="AP39" i="55" s="1"/>
  <c r="J249" i="19"/>
  <c r="J250" i="19" s="1"/>
  <c r="J252" i="19" s="1"/>
  <c r="K118" i="14"/>
  <c r="K151" i="14" s="1"/>
  <c r="K153" i="14"/>
  <c r="K225" i="12" a="1"/>
  <c r="K148" i="12"/>
  <c r="K169" i="12" s="1"/>
  <c r="K229" i="12"/>
  <c r="K232" i="12" s="1"/>
  <c r="L146" i="14"/>
  <c r="K152" i="12"/>
  <c r="I243" i="19"/>
  <c r="G161" i="12"/>
  <c r="H163" i="12"/>
  <c r="H159" i="12" s="1"/>
  <c r="H162" i="12"/>
  <c r="H160" i="12" s="1"/>
  <c r="H157" i="12"/>
  <c r="H28" i="58" s="1"/>
  <c r="L145" i="12"/>
  <c r="L141" i="12" s="1"/>
  <c r="E273" i="19"/>
  <c r="F156" i="14"/>
  <c r="F165" i="12"/>
  <c r="H162" i="14"/>
  <c r="H160" i="14" s="1"/>
  <c r="F278" i="19"/>
  <c r="G156" i="14"/>
  <c r="L144" i="12"/>
  <c r="L142" i="12" s="1"/>
  <c r="K182" i="19"/>
  <c r="K249" i="19" s="1"/>
  <c r="K250" i="19" s="1"/>
  <c r="I155" i="12"/>
  <c r="L140" i="12"/>
  <c r="G165" i="12"/>
  <c r="G321" i="20"/>
  <c r="H164" i="12"/>
  <c r="H29" i="58" s="1"/>
  <c r="K151" i="12"/>
  <c r="K153" i="12"/>
  <c r="K148" i="19"/>
  <c r="L133" i="14" s="1"/>
  <c r="L129" i="14" s="1"/>
  <c r="L133" i="12"/>
  <c r="L129" i="12" s="1"/>
  <c r="K150" i="12"/>
  <c r="K154" i="12"/>
  <c r="K149" i="12"/>
  <c r="F161" i="12"/>
  <c r="K145" i="19"/>
  <c r="L128" i="14" s="1"/>
  <c r="K147" i="19"/>
  <c r="L132" i="14" s="1"/>
  <c r="L130" i="14" s="1"/>
  <c r="L132" i="12"/>
  <c r="L130" i="12" s="1"/>
  <c r="K141" i="19"/>
  <c r="L120" i="14" s="1"/>
  <c r="L120" i="12"/>
  <c r="L118" i="12" s="1"/>
  <c r="K155" i="19"/>
  <c r="K154" i="19"/>
  <c r="L145" i="14" s="1"/>
  <c r="L141" i="14" s="1"/>
  <c r="K139" i="19"/>
  <c r="L116" i="14" s="1"/>
  <c r="K153" i="19"/>
  <c r="L144" i="14" s="1"/>
  <c r="L142" i="14" s="1"/>
  <c r="K151" i="19"/>
  <c r="L140" i="14" s="1"/>
  <c r="K143" i="19"/>
  <c r="K142" i="19"/>
  <c r="L121" i="14" s="1"/>
  <c r="L121" i="12"/>
  <c r="L117" i="12" s="1"/>
  <c r="J298" i="20"/>
  <c r="J303" i="20" s="1"/>
  <c r="J304" i="20" s="1"/>
  <c r="H261" i="19"/>
  <c r="J242" i="19"/>
  <c r="J244" i="19"/>
  <c r="AQ39" i="55" s="1"/>
  <c r="J246" i="19"/>
  <c r="AQ41" i="55" s="1"/>
  <c r="J245" i="19"/>
  <c r="AQ40" i="55" s="1"/>
  <c r="J243" i="19"/>
  <c r="J247" i="19"/>
  <c r="AQ42" i="55" s="1"/>
  <c r="E278" i="19"/>
  <c r="K295" i="20"/>
  <c r="K296" i="20" s="1"/>
  <c r="K297" i="20" s="1"/>
  <c r="K299" i="20" s="1"/>
  <c r="K294" i="20"/>
  <c r="G269" i="19"/>
  <c r="CZ35" i="55" s="1"/>
  <c r="F273" i="19"/>
  <c r="H313" i="20"/>
  <c r="I35" i="55" s="1"/>
  <c r="L150" i="19"/>
  <c r="M137" i="14" s="1"/>
  <c r="M139" i="14" s="1"/>
  <c r="M231" i="14" s="1"/>
  <c r="L223" i="20"/>
  <c r="L268" i="20"/>
  <c r="L291" i="20"/>
  <c r="L292" i="20" s="1"/>
  <c r="K285" i="20"/>
  <c r="K289" i="20"/>
  <c r="L42" i="55" s="1"/>
  <c r="K284" i="20"/>
  <c r="M171" i="20"/>
  <c r="M173" i="20"/>
  <c r="M182" i="20" s="1"/>
  <c r="M144" i="19" s="1"/>
  <c r="N125" i="14" s="1"/>
  <c r="M170" i="20"/>
  <c r="M176" i="20" s="1"/>
  <c r="M172" i="20"/>
  <c r="M224" i="20" s="1"/>
  <c r="M174" i="20"/>
  <c r="M188" i="20" s="1"/>
  <c r="N137" i="12" s="1"/>
  <c r="L189" i="20"/>
  <c r="L190" i="20"/>
  <c r="L193" i="20"/>
  <c r="L191" i="20"/>
  <c r="L192" i="20"/>
  <c r="L185" i="20"/>
  <c r="L186" i="20"/>
  <c r="L184" i="20"/>
  <c r="L187" i="20"/>
  <c r="L149" i="19" s="1"/>
  <c r="L183" i="20"/>
  <c r="M128" i="12" s="1"/>
  <c r="L181" i="20"/>
  <c r="L178" i="20"/>
  <c r="L180" i="20"/>
  <c r="L177" i="20"/>
  <c r="M116" i="12" s="1"/>
  <c r="L179" i="20"/>
  <c r="AG311" i="20"/>
  <c r="AG313" i="20"/>
  <c r="CX38" i="55" l="1"/>
  <c r="K286" i="20"/>
  <c r="L39" i="55" s="1"/>
  <c r="K287" i="20"/>
  <c r="L40" i="55" s="1"/>
  <c r="I247" i="19"/>
  <c r="AP42" i="55" s="1"/>
  <c r="CX85" i="55"/>
  <c r="CX63" i="55"/>
  <c r="CX86" i="55"/>
  <c r="CX61" i="55"/>
  <c r="CX88" i="55"/>
  <c r="CX87" i="55"/>
  <c r="CX84" i="55"/>
  <c r="CX62" i="55"/>
  <c r="CX64" i="55"/>
  <c r="CX65" i="55"/>
  <c r="CX40" i="55"/>
  <c r="CX41" i="55"/>
  <c r="CX42" i="55"/>
  <c r="CX39" i="55"/>
  <c r="CY88" i="55"/>
  <c r="CY61" i="55"/>
  <c r="CY85" i="55"/>
  <c r="CY87" i="55"/>
  <c r="CY84" i="55"/>
  <c r="CY63" i="55"/>
  <c r="CY64" i="55"/>
  <c r="CY62" i="55"/>
  <c r="CY86" i="55"/>
  <c r="CY65" i="55"/>
  <c r="CY39" i="55"/>
  <c r="CY42" i="55"/>
  <c r="CY40" i="55"/>
  <c r="CY41" i="55"/>
  <c r="CY38" i="55"/>
  <c r="L269" i="20"/>
  <c r="M34" i="55"/>
  <c r="AH155" i="14"/>
  <c r="I38" i="55"/>
  <c r="H155" i="14"/>
  <c r="AN35" i="55"/>
  <c r="CZ86" i="55" s="1"/>
  <c r="AN38" i="55"/>
  <c r="I245" i="19"/>
  <c r="AP40" i="55" s="1"/>
  <c r="AH35" i="55"/>
  <c r="AH38" i="55"/>
  <c r="D190" i="12"/>
  <c r="J253" i="19"/>
  <c r="J256" i="19" s="1"/>
  <c r="AG271" i="19"/>
  <c r="BN35" i="55" s="1"/>
  <c r="K152" i="14"/>
  <c r="J222" i="19"/>
  <c r="J219" i="19"/>
  <c r="J221" i="19"/>
  <c r="J223" i="19"/>
  <c r="J220" i="19"/>
  <c r="J218" i="19"/>
  <c r="I256" i="19"/>
  <c r="I261" i="19" s="1"/>
  <c r="D190" i="14"/>
  <c r="L152" i="12"/>
  <c r="M146" i="14"/>
  <c r="K233" i="14"/>
  <c r="K234" i="14" s="1"/>
  <c r="L119" i="14"/>
  <c r="L229" i="12"/>
  <c r="L232" i="12" s="1"/>
  <c r="L225" i="12" a="1"/>
  <c r="L148" i="12"/>
  <c r="L169" i="12" s="1"/>
  <c r="L152" i="19"/>
  <c r="M143" i="12"/>
  <c r="K233" i="12"/>
  <c r="K234" i="12" s="1"/>
  <c r="M147" i="12"/>
  <c r="M115" i="12"/>
  <c r="L143" i="14"/>
  <c r="M138" i="19"/>
  <c r="N113" i="14" s="1"/>
  <c r="N113" i="12"/>
  <c r="L140" i="19"/>
  <c r="M119" i="12"/>
  <c r="L146" i="19"/>
  <c r="M131" i="14" s="1"/>
  <c r="M127" i="14" s="1"/>
  <c r="M227" i="14" s="1"/>
  <c r="M131" i="12"/>
  <c r="M127" i="12" s="1"/>
  <c r="M227" i="12" s="1"/>
  <c r="N146" i="12"/>
  <c r="N139" i="12"/>
  <c r="N231" i="12" s="1"/>
  <c r="L117" i="14"/>
  <c r="L150" i="14" s="1"/>
  <c r="L154" i="14"/>
  <c r="L149" i="14"/>
  <c r="L118" i="14"/>
  <c r="L151" i="14" s="1"/>
  <c r="L153" i="14"/>
  <c r="L229" i="14"/>
  <c r="L225" i="14" a="1"/>
  <c r="M147" i="14"/>
  <c r="M115" i="14"/>
  <c r="L148" i="14"/>
  <c r="L227" i="14"/>
  <c r="H161" i="12"/>
  <c r="K226" i="19"/>
  <c r="DD34" i="55" s="1"/>
  <c r="K217" i="19"/>
  <c r="L182" i="19"/>
  <c r="L226" i="19" s="1"/>
  <c r="DE34" i="55" s="1"/>
  <c r="G158" i="14"/>
  <c r="G162" i="14"/>
  <c r="G160" i="14" s="1"/>
  <c r="G157" i="14"/>
  <c r="AM28" i="58" s="1"/>
  <c r="G163" i="14"/>
  <c r="G159" i="14" s="1"/>
  <c r="AH156" i="12"/>
  <c r="AH162" i="12" s="1"/>
  <c r="AH160" i="12" s="1"/>
  <c r="AH155" i="12"/>
  <c r="AG315" i="20"/>
  <c r="M145" i="12"/>
  <c r="M141" i="12" s="1"/>
  <c r="F279" i="19"/>
  <c r="G165" i="14" s="1"/>
  <c r="G164" i="14"/>
  <c r="AM29" i="58" s="1"/>
  <c r="M140" i="12"/>
  <c r="M144" i="12"/>
  <c r="M142" i="12" s="1"/>
  <c r="H157" i="14"/>
  <c r="AN28" i="58" s="1"/>
  <c r="H163" i="14"/>
  <c r="H159" i="14" s="1"/>
  <c r="E279" i="19"/>
  <c r="F165" i="14" s="1"/>
  <c r="F164" i="14"/>
  <c r="AL29" i="58" s="1"/>
  <c r="H165" i="12"/>
  <c r="F158" i="14"/>
  <c r="F162" i="14"/>
  <c r="F160" i="14" s="1"/>
  <c r="F163" i="14"/>
  <c r="F159" i="14" s="1"/>
  <c r="F157" i="14"/>
  <c r="AL28" i="58" s="1"/>
  <c r="L145" i="19"/>
  <c r="M128" i="14" s="1"/>
  <c r="L147" i="19"/>
  <c r="M132" i="14" s="1"/>
  <c r="M130" i="14" s="1"/>
  <c r="M132" i="12"/>
  <c r="M130" i="12" s="1"/>
  <c r="L150" i="12"/>
  <c r="L154" i="12"/>
  <c r="H315" i="20"/>
  <c r="I156" i="12"/>
  <c r="L149" i="12"/>
  <c r="L151" i="12"/>
  <c r="L153" i="12"/>
  <c r="L148" i="19"/>
  <c r="M133" i="14" s="1"/>
  <c r="M129" i="14" s="1"/>
  <c r="M133" i="12"/>
  <c r="M129" i="12" s="1"/>
  <c r="L154" i="19"/>
  <c r="M145" i="14" s="1"/>
  <c r="M141" i="14" s="1"/>
  <c r="L151" i="19"/>
  <c r="M140" i="14" s="1"/>
  <c r="L153" i="19"/>
  <c r="M144" i="14" s="1"/>
  <c r="M142" i="14" s="1"/>
  <c r="L139" i="19"/>
  <c r="M116" i="14" s="1"/>
  <c r="L141" i="19"/>
  <c r="M120" i="14" s="1"/>
  <c r="M120" i="12"/>
  <c r="M118" i="12" s="1"/>
  <c r="L155" i="19"/>
  <c r="L143" i="19"/>
  <c r="L142" i="19"/>
  <c r="M121" i="14" s="1"/>
  <c r="M121" i="12"/>
  <c r="M117" i="12" s="1"/>
  <c r="J311" i="20"/>
  <c r="L217" i="19"/>
  <c r="L295" i="20"/>
  <c r="L296" i="20" s="1"/>
  <c r="L297" i="20" s="1"/>
  <c r="L299" i="20" s="1"/>
  <c r="L294" i="20"/>
  <c r="K253" i="19"/>
  <c r="K252" i="19"/>
  <c r="K298" i="20"/>
  <c r="K303" i="20" s="1"/>
  <c r="K304" i="20" s="1"/>
  <c r="G273" i="19"/>
  <c r="G278" i="19"/>
  <c r="H262" i="19"/>
  <c r="H269" i="19" s="1"/>
  <c r="H320" i="20"/>
  <c r="M291" i="20"/>
  <c r="M292" i="20" s="1"/>
  <c r="M268" i="20"/>
  <c r="L284" i="20"/>
  <c r="L287" i="20"/>
  <c r="M40" i="55" s="1"/>
  <c r="L286" i="20"/>
  <c r="M39" i="55" s="1"/>
  <c r="L288" i="20"/>
  <c r="M41" i="55" s="1"/>
  <c r="L285" i="20"/>
  <c r="L289" i="20"/>
  <c r="M42" i="55" s="1"/>
  <c r="J313" i="20"/>
  <c r="M150" i="19"/>
  <c r="N137" i="14" s="1"/>
  <c r="N139" i="14" s="1"/>
  <c r="N231" i="14" s="1"/>
  <c r="M223" i="20"/>
  <c r="I311" i="20"/>
  <c r="M179" i="20"/>
  <c r="M177" i="20"/>
  <c r="N116" i="12" s="1"/>
  <c r="M180" i="20"/>
  <c r="M178" i="20"/>
  <c r="M181" i="20"/>
  <c r="N171" i="20"/>
  <c r="N173" i="20"/>
  <c r="N182" i="20" s="1"/>
  <c r="N144" i="19" s="1"/>
  <c r="O125" i="14" s="1"/>
  <c r="N170" i="20"/>
  <c r="N176" i="20" s="1"/>
  <c r="N172" i="20"/>
  <c r="N224" i="20" s="1"/>
  <c r="N174" i="20"/>
  <c r="N188" i="20" s="1"/>
  <c r="O137" i="12" s="1"/>
  <c r="M187" i="20"/>
  <c r="M149" i="19" s="1"/>
  <c r="M183" i="20"/>
  <c r="N128" i="12" s="1"/>
  <c r="M186" i="20"/>
  <c r="M184" i="20"/>
  <c r="M185" i="20"/>
  <c r="M192" i="20"/>
  <c r="M190" i="20"/>
  <c r="M191" i="20"/>
  <c r="M193" i="20"/>
  <c r="M189" i="20"/>
  <c r="AG320" i="20"/>
  <c r="BN38" i="55" l="1"/>
  <c r="CZ88" i="55"/>
  <c r="CZ62" i="55"/>
  <c r="CZ40" i="55"/>
  <c r="CZ87" i="55"/>
  <c r="CZ65" i="55"/>
  <c r="CZ64" i="55"/>
  <c r="CZ38" i="55"/>
  <c r="CZ42" i="55"/>
  <c r="DZ35" i="55"/>
  <c r="CZ84" i="55"/>
  <c r="CZ61" i="55"/>
  <c r="CZ85" i="55"/>
  <c r="CZ39" i="55"/>
  <c r="CZ63" i="55"/>
  <c r="CZ41" i="55"/>
  <c r="AS34" i="55"/>
  <c r="L227" i="19"/>
  <c r="M269" i="20"/>
  <c r="N34" i="55"/>
  <c r="AR34" i="55"/>
  <c r="K227" i="19"/>
  <c r="K247" i="19" s="1"/>
  <c r="AR42" i="55" s="1"/>
  <c r="I155" i="14"/>
  <c r="K35" i="55"/>
  <c r="K38" i="55"/>
  <c r="J254" i="19"/>
  <c r="J255" i="19" s="1"/>
  <c r="J257" i="19" s="1"/>
  <c r="AQ255" i="12"/>
  <c r="AQ264" i="12" s="1"/>
  <c r="AH156" i="14"/>
  <c r="M8" i="60" s="1"/>
  <c r="AG273" i="19"/>
  <c r="AG278" i="19"/>
  <c r="K220" i="19"/>
  <c r="K222" i="19"/>
  <c r="K218" i="19"/>
  <c r="K219" i="19"/>
  <c r="K223" i="19"/>
  <c r="K221" i="19"/>
  <c r="L219" i="19"/>
  <c r="L223" i="19"/>
  <c r="L220" i="19"/>
  <c r="L222" i="19"/>
  <c r="L218" i="19"/>
  <c r="L221" i="19"/>
  <c r="L232" i="14"/>
  <c r="L233" i="12"/>
  <c r="L234" i="12" s="1"/>
  <c r="K245" i="19"/>
  <c r="AR40" i="55" s="1"/>
  <c r="M149" i="14"/>
  <c r="L233" i="14"/>
  <c r="L234" i="14" s="1"/>
  <c r="N146" i="14"/>
  <c r="M146" i="19"/>
  <c r="N131" i="14" s="1"/>
  <c r="N127" i="14" s="1"/>
  <c r="N131" i="12"/>
  <c r="N127" i="12" s="1"/>
  <c r="N227" i="12" s="1"/>
  <c r="N138" i="19"/>
  <c r="O113" i="14" s="1"/>
  <c r="O113" i="12"/>
  <c r="M140" i="19"/>
  <c r="N119" i="12"/>
  <c r="M229" i="14"/>
  <c r="M232" i="14" s="1"/>
  <c r="M225" i="14" a="1"/>
  <c r="M148" i="14"/>
  <c r="N147" i="12"/>
  <c r="N115" i="12"/>
  <c r="M229" i="12"/>
  <c r="M232" i="12" s="1"/>
  <c r="M225" i="12" a="1"/>
  <c r="M148" i="12"/>
  <c r="M169" i="12" s="1"/>
  <c r="M143" i="14"/>
  <c r="O139" i="12"/>
  <c r="O231" i="12" s="1"/>
  <c r="O146" i="12"/>
  <c r="M119" i="14"/>
  <c r="M152" i="19"/>
  <c r="N143" i="12"/>
  <c r="M117" i="14"/>
  <c r="M150" i="14" s="1"/>
  <c r="M154" i="14"/>
  <c r="M118" i="14"/>
  <c r="M151" i="14" s="1"/>
  <c r="M153" i="14"/>
  <c r="M152" i="12"/>
  <c r="N147" i="14"/>
  <c r="N115" i="14"/>
  <c r="L152" i="14"/>
  <c r="L249" i="19"/>
  <c r="L250" i="19" s="1"/>
  <c r="L253" i="19" s="1"/>
  <c r="AH157" i="12"/>
  <c r="AH28" i="58" s="1"/>
  <c r="P21" i="60" s="1"/>
  <c r="AH158" i="12"/>
  <c r="AH163" i="12"/>
  <c r="AH159" i="12" s="1"/>
  <c r="AG321" i="20"/>
  <c r="AH165" i="12" s="1"/>
  <c r="N140" i="12"/>
  <c r="N145" i="12"/>
  <c r="N141" i="12" s="1"/>
  <c r="J155" i="12"/>
  <c r="F161" i="14"/>
  <c r="K155" i="12"/>
  <c r="H161" i="14"/>
  <c r="N144" i="12"/>
  <c r="N142" i="12" s="1"/>
  <c r="M182" i="19"/>
  <c r="M217" i="19" s="1"/>
  <c r="G279" i="19"/>
  <c r="H165" i="14" s="1"/>
  <c r="H164" i="14"/>
  <c r="AN29" i="58" s="1"/>
  <c r="G161" i="14"/>
  <c r="AH164" i="12"/>
  <c r="AH29" i="58" s="1"/>
  <c r="H321" i="20"/>
  <c r="I164" i="12"/>
  <c r="I29" i="58" s="1"/>
  <c r="M150" i="12"/>
  <c r="M154" i="12"/>
  <c r="I162" i="12"/>
  <c r="I160" i="12" s="1"/>
  <c r="I158" i="12"/>
  <c r="I163" i="12"/>
  <c r="I159" i="12" s="1"/>
  <c r="I157" i="12"/>
  <c r="I28" i="58" s="1"/>
  <c r="J315" i="20"/>
  <c r="K156" i="12"/>
  <c r="M145" i="19"/>
  <c r="N128" i="14" s="1"/>
  <c r="M149" i="12"/>
  <c r="M151" i="12"/>
  <c r="M153" i="12"/>
  <c r="M148" i="19"/>
  <c r="N133" i="14" s="1"/>
  <c r="N129" i="14" s="1"/>
  <c r="N133" i="12"/>
  <c r="N129" i="12" s="1"/>
  <c r="M147" i="19"/>
  <c r="N132" i="14" s="1"/>
  <c r="N130" i="14" s="1"/>
  <c r="N132" i="12"/>
  <c r="N130" i="12" s="1"/>
  <c r="M141" i="19"/>
  <c r="N120" i="14" s="1"/>
  <c r="N120" i="12"/>
  <c r="N118" i="12" s="1"/>
  <c r="M139" i="19"/>
  <c r="N116" i="14" s="1"/>
  <c r="M151" i="19"/>
  <c r="N140" i="14" s="1"/>
  <c r="M154" i="19"/>
  <c r="N145" i="14" s="1"/>
  <c r="N141" i="14" s="1"/>
  <c r="M153" i="19"/>
  <c r="N144" i="14" s="1"/>
  <c r="N142" i="14" s="1"/>
  <c r="M155" i="19"/>
  <c r="M143" i="19"/>
  <c r="M142" i="19"/>
  <c r="N121" i="14" s="1"/>
  <c r="N121" i="12"/>
  <c r="N117" i="12" s="1"/>
  <c r="L298" i="20"/>
  <c r="L303" i="20" s="1"/>
  <c r="L304" i="20" s="1"/>
  <c r="H271" i="19"/>
  <c r="AO35" i="55" s="1"/>
  <c r="M295" i="20"/>
  <c r="M296" i="20" s="1"/>
  <c r="M297" i="20" s="1"/>
  <c r="M299" i="20" s="1"/>
  <c r="M294" i="20"/>
  <c r="K254" i="19"/>
  <c r="K255" i="19" s="1"/>
  <c r="K257" i="19" s="1"/>
  <c r="L243" i="19"/>
  <c r="L245" i="19"/>
  <c r="AS40" i="55" s="1"/>
  <c r="L247" i="19"/>
  <c r="AS42" i="55" s="1"/>
  <c r="L242" i="19"/>
  <c r="L246" i="19"/>
  <c r="AS41" i="55" s="1"/>
  <c r="L244" i="19"/>
  <c r="AS39" i="55" s="1"/>
  <c r="K256" i="19"/>
  <c r="I262" i="19"/>
  <c r="I269" i="19" s="1"/>
  <c r="J261" i="19"/>
  <c r="K313" i="20"/>
  <c r="N150" i="19"/>
  <c r="O137" i="14" s="1"/>
  <c r="O139" i="14" s="1"/>
  <c r="O231" i="14" s="1"/>
  <c r="N223" i="20"/>
  <c r="M286" i="20"/>
  <c r="N39" i="55" s="1"/>
  <c r="M287" i="20"/>
  <c r="N40" i="55" s="1"/>
  <c r="M284" i="20"/>
  <c r="M288" i="20"/>
  <c r="N41" i="55" s="1"/>
  <c r="M285" i="20"/>
  <c r="M289" i="20"/>
  <c r="N42" i="55" s="1"/>
  <c r="N268" i="20"/>
  <c r="N291" i="20"/>
  <c r="N292" i="20" s="1"/>
  <c r="I313" i="20"/>
  <c r="J35" i="55" s="1"/>
  <c r="J320" i="20"/>
  <c r="N189" i="20"/>
  <c r="N190" i="20"/>
  <c r="N192" i="20"/>
  <c r="N193" i="20"/>
  <c r="N191" i="20"/>
  <c r="O170" i="20"/>
  <c r="O176" i="20" s="1"/>
  <c r="O172" i="20"/>
  <c r="O224" i="20" s="1"/>
  <c r="O174" i="20"/>
  <c r="O188" i="20" s="1"/>
  <c r="P137" i="12" s="1"/>
  <c r="O171" i="20"/>
  <c r="O173" i="20"/>
  <c r="O182" i="20" s="1"/>
  <c r="O144" i="19" s="1"/>
  <c r="P125" i="14" s="1"/>
  <c r="N177" i="20"/>
  <c r="O116" i="12" s="1"/>
  <c r="N178" i="20"/>
  <c r="N180" i="20"/>
  <c r="N181" i="20"/>
  <c r="N179" i="20"/>
  <c r="N183" i="20"/>
  <c r="O128" i="12" s="1"/>
  <c r="N186" i="20"/>
  <c r="N184" i="20"/>
  <c r="N185" i="20"/>
  <c r="N187" i="20"/>
  <c r="N149" i="19" s="1"/>
  <c r="K243" i="19" l="1"/>
  <c r="K244" i="19"/>
  <c r="AR39" i="55" s="1"/>
  <c r="DA35" i="55"/>
  <c r="DZ64" i="55"/>
  <c r="DZ63" i="55"/>
  <c r="DZ87" i="55"/>
  <c r="DZ65" i="55"/>
  <c r="DZ86" i="55"/>
  <c r="DZ61" i="55"/>
  <c r="DZ88" i="55"/>
  <c r="DZ85" i="55"/>
  <c r="DZ84" i="55"/>
  <c r="DZ62" i="55"/>
  <c r="DZ39" i="55"/>
  <c r="DZ42" i="55"/>
  <c r="DZ40" i="55"/>
  <c r="DZ41" i="55"/>
  <c r="DZ38" i="55"/>
  <c r="J38" i="55"/>
  <c r="K242" i="19"/>
  <c r="AO38" i="55"/>
  <c r="K246" i="19"/>
  <c r="AR41" i="55" s="1"/>
  <c r="J155" i="14"/>
  <c r="N269" i="20"/>
  <c r="N284" i="20" s="1"/>
  <c r="O34" i="55"/>
  <c r="AG279" i="19"/>
  <c r="AH165" i="14" s="1"/>
  <c r="AH164" i="14"/>
  <c r="BN29" i="58" s="1"/>
  <c r="AQ255" i="14"/>
  <c r="AH157" i="14"/>
  <c r="BN28" i="58" s="1"/>
  <c r="M9" i="60" s="1"/>
  <c r="AH158" i="14"/>
  <c r="AH163" i="14"/>
  <c r="AH159" i="14" s="1"/>
  <c r="AH162" i="14"/>
  <c r="AH160" i="14" s="1"/>
  <c r="M233" i="14"/>
  <c r="M234" i="14" s="1"/>
  <c r="M219" i="19"/>
  <c r="M221" i="19"/>
  <c r="M223" i="19"/>
  <c r="M220" i="19"/>
  <c r="M218" i="19"/>
  <c r="M222" i="19"/>
  <c r="N152" i="12"/>
  <c r="L252" i="19"/>
  <c r="M233" i="12"/>
  <c r="M234" i="12" s="1"/>
  <c r="N143" i="14"/>
  <c r="N119" i="14"/>
  <c r="N152" i="19"/>
  <c r="O143" i="12"/>
  <c r="N148" i="14"/>
  <c r="N227" i="14"/>
  <c r="M152" i="14"/>
  <c r="N229" i="12"/>
  <c r="N232" i="12" s="1"/>
  <c r="N225" i="12" a="1"/>
  <c r="N148" i="12"/>
  <c r="N169" i="12" s="1"/>
  <c r="O147" i="12"/>
  <c r="O115" i="12"/>
  <c r="N229" i="14"/>
  <c r="N225" i="14" a="1"/>
  <c r="N146" i="19"/>
  <c r="O131" i="14" s="1"/>
  <c r="O127" i="14" s="1"/>
  <c r="O131" i="12"/>
  <c r="O127" i="12" s="1"/>
  <c r="O227" i="12" s="1"/>
  <c r="O138" i="19"/>
  <c r="P113" i="14" s="1"/>
  <c r="P113" i="12"/>
  <c r="N117" i="14"/>
  <c r="N150" i="14" s="1"/>
  <c r="N154" i="14"/>
  <c r="N118" i="14"/>
  <c r="N151" i="14" s="1"/>
  <c r="N153" i="14"/>
  <c r="N140" i="19"/>
  <c r="O119" i="12"/>
  <c r="P146" i="12"/>
  <c r="P139" i="12"/>
  <c r="P231" i="12" s="1"/>
  <c r="N149" i="14"/>
  <c r="O146" i="14"/>
  <c r="O147" i="14"/>
  <c r="O115" i="14"/>
  <c r="AH161" i="12"/>
  <c r="M226" i="19"/>
  <c r="DF34" i="55" s="1"/>
  <c r="M249" i="19"/>
  <c r="M250" i="19" s="1"/>
  <c r="M252" i="19" s="1"/>
  <c r="K157" i="12"/>
  <c r="K28" i="58" s="1"/>
  <c r="O145" i="12"/>
  <c r="O141" i="12" s="1"/>
  <c r="I165" i="12"/>
  <c r="H278" i="19"/>
  <c r="I156" i="14"/>
  <c r="O144" i="12"/>
  <c r="O142" i="12" s="1"/>
  <c r="O140" i="12"/>
  <c r="N182" i="19"/>
  <c r="N217" i="19" s="1"/>
  <c r="L156" i="12"/>
  <c r="L158" i="12" s="1"/>
  <c r="J321" i="20"/>
  <c r="K164" i="12"/>
  <c r="K29" i="58" s="1"/>
  <c r="I161" i="12"/>
  <c r="K162" i="12"/>
  <c r="K160" i="12" s="1"/>
  <c r="K158" i="12"/>
  <c r="N147" i="19"/>
  <c r="O132" i="14" s="1"/>
  <c r="O130" i="14" s="1"/>
  <c r="O132" i="12"/>
  <c r="O130" i="12" s="1"/>
  <c r="I315" i="20"/>
  <c r="J156" i="12"/>
  <c r="N149" i="12"/>
  <c r="N151" i="12"/>
  <c r="N153" i="12"/>
  <c r="N148" i="19"/>
  <c r="O133" i="14" s="1"/>
  <c r="O129" i="14" s="1"/>
  <c r="O133" i="12"/>
  <c r="O129" i="12" s="1"/>
  <c r="N145" i="19"/>
  <c r="O128" i="14" s="1"/>
  <c r="N150" i="12"/>
  <c r="N154" i="12"/>
  <c r="K163" i="12"/>
  <c r="K159" i="12" s="1"/>
  <c r="N155" i="19"/>
  <c r="N141" i="19"/>
  <c r="O120" i="14" s="1"/>
  <c r="O120" i="12"/>
  <c r="O118" i="12" s="1"/>
  <c r="N139" i="19"/>
  <c r="O116" i="14" s="1"/>
  <c r="N154" i="19"/>
  <c r="O145" i="14" s="1"/>
  <c r="O141" i="14" s="1"/>
  <c r="N153" i="19"/>
  <c r="O144" i="14" s="1"/>
  <c r="O142" i="14" s="1"/>
  <c r="N151" i="19"/>
  <c r="O140" i="14" s="1"/>
  <c r="N143" i="19"/>
  <c r="N142" i="19"/>
  <c r="O121" i="14" s="1"/>
  <c r="O121" i="12"/>
  <c r="O117" i="12" s="1"/>
  <c r="H273" i="19"/>
  <c r="M298" i="20"/>
  <c r="M303" i="20" s="1"/>
  <c r="M304" i="20" s="1"/>
  <c r="N295" i="20"/>
  <c r="N296" i="20" s="1"/>
  <c r="N297" i="20" s="1"/>
  <c r="N299" i="20" s="1"/>
  <c r="N294" i="20"/>
  <c r="J262" i="19"/>
  <c r="J271" i="19" s="1"/>
  <c r="K156" i="14" s="1"/>
  <c r="L254" i="19"/>
  <c r="L255" i="19" s="1"/>
  <c r="L257" i="19" s="1"/>
  <c r="I271" i="19"/>
  <c r="AP35" i="55" s="1"/>
  <c r="L256" i="19"/>
  <c r="K261" i="19"/>
  <c r="O150" i="19"/>
  <c r="P137" i="14" s="1"/>
  <c r="P139" i="14" s="1"/>
  <c r="P231" i="14" s="1"/>
  <c r="O223" i="20"/>
  <c r="K311" i="20"/>
  <c r="I320" i="20"/>
  <c r="O291" i="20"/>
  <c r="O292" i="20" s="1"/>
  <c r="O268" i="20"/>
  <c r="O191" i="20"/>
  <c r="O192" i="20"/>
  <c r="O190" i="20"/>
  <c r="O193" i="20"/>
  <c r="O189" i="20"/>
  <c r="O186" i="20"/>
  <c r="O184" i="20"/>
  <c r="O187" i="20"/>
  <c r="O149" i="19" s="1"/>
  <c r="O183" i="20"/>
  <c r="P128" i="12" s="1"/>
  <c r="O185" i="20"/>
  <c r="O177" i="20"/>
  <c r="P116" i="12" s="1"/>
  <c r="O178" i="20"/>
  <c r="O179" i="20"/>
  <c r="O180" i="20"/>
  <c r="O181" i="20"/>
  <c r="P170" i="20"/>
  <c r="P176" i="20" s="1"/>
  <c r="P172" i="20"/>
  <c r="P224" i="20" s="1"/>
  <c r="P174" i="20"/>
  <c r="P188" i="20" s="1"/>
  <c r="Q137" i="12" s="1"/>
  <c r="P171" i="20"/>
  <c r="P173" i="20"/>
  <c r="P182" i="20" s="1"/>
  <c r="P144" i="19" s="1"/>
  <c r="Q125" i="14" s="1"/>
  <c r="N286" i="20" l="1"/>
  <c r="O39" i="55" s="1"/>
  <c r="N289" i="20"/>
  <c r="O42" i="55" s="1"/>
  <c r="N288" i="20"/>
  <c r="O41" i="55" s="1"/>
  <c r="N287" i="20"/>
  <c r="O40" i="55" s="1"/>
  <c r="N285" i="20"/>
  <c r="DA38" i="55"/>
  <c r="DA64" i="55"/>
  <c r="DA85" i="55"/>
  <c r="DA62" i="55"/>
  <c r="DA88" i="55"/>
  <c r="DA61" i="55"/>
  <c r="DA87" i="55"/>
  <c r="DA86" i="55"/>
  <c r="DA84" i="55"/>
  <c r="DA65" i="55"/>
  <c r="DA63" i="55"/>
  <c r="DA42" i="55"/>
  <c r="DA39" i="55"/>
  <c r="DA41" i="55"/>
  <c r="DA40" i="55"/>
  <c r="DB35" i="55"/>
  <c r="AT34" i="55"/>
  <c r="M227" i="19"/>
  <c r="M244" i="19" s="1"/>
  <c r="AT39" i="55" s="1"/>
  <c r="AP38" i="55"/>
  <c r="L35" i="55"/>
  <c r="L38" i="55"/>
  <c r="O269" i="20"/>
  <c r="P34" i="55"/>
  <c r="K21" i="60"/>
  <c r="E25" i="61" s="1"/>
  <c r="CZ20" i="58"/>
  <c r="M242" i="19"/>
  <c r="AH161" i="14"/>
  <c r="N220" i="19"/>
  <c r="N219" i="19"/>
  <c r="N221" i="19"/>
  <c r="N223" i="19"/>
  <c r="N222" i="19"/>
  <c r="N218" i="19"/>
  <c r="M247" i="19"/>
  <c r="AT42" i="55" s="1"/>
  <c r="N152" i="14"/>
  <c r="N233" i="12"/>
  <c r="N234" i="12" s="1"/>
  <c r="N233" i="14"/>
  <c r="N234" i="14" s="1"/>
  <c r="O118" i="14"/>
  <c r="O151" i="14" s="1"/>
  <c r="O153" i="14"/>
  <c r="P138" i="19"/>
  <c r="Q113" i="14" s="1"/>
  <c r="Q113" i="12"/>
  <c r="O140" i="19"/>
  <c r="P119" i="12"/>
  <c r="O117" i="14"/>
  <c r="O150" i="14" s="1"/>
  <c r="O154" i="14"/>
  <c r="P147" i="12"/>
  <c r="P115" i="12"/>
  <c r="O149" i="14"/>
  <c r="O152" i="12"/>
  <c r="P147" i="14"/>
  <c r="P115" i="14"/>
  <c r="O143" i="14"/>
  <c r="O229" i="14"/>
  <c r="O148" i="14"/>
  <c r="O225" i="14" a="1"/>
  <c r="O227" i="14"/>
  <c r="O229" i="12"/>
  <c r="O232" i="12" s="1"/>
  <c r="O225" i="12" a="1"/>
  <c r="O148" i="12"/>
  <c r="O169" i="12" s="1"/>
  <c r="O146" i="19"/>
  <c r="P131" i="14" s="1"/>
  <c r="P127" i="14" s="1"/>
  <c r="P227" i="14" s="1"/>
  <c r="P131" i="12"/>
  <c r="P127" i="12" s="1"/>
  <c r="P227" i="12" s="1"/>
  <c r="O152" i="19"/>
  <c r="P143" i="12"/>
  <c r="Q139" i="12"/>
  <c r="Q231" i="12" s="1"/>
  <c r="Q146" i="12"/>
  <c r="O119" i="14"/>
  <c r="N232" i="14"/>
  <c r="P146" i="14"/>
  <c r="M253" i="19"/>
  <c r="M256" i="19" s="1"/>
  <c r="M261" i="19" s="1"/>
  <c r="M262" i="19" s="1"/>
  <c r="M269" i="19" s="1"/>
  <c r="N249" i="19"/>
  <c r="N250" i="19" s="1"/>
  <c r="N252" i="19" s="1"/>
  <c r="N226" i="19"/>
  <c r="DG34" i="55" s="1"/>
  <c r="P140" i="12"/>
  <c r="P144" i="12"/>
  <c r="P142" i="12" s="1"/>
  <c r="L155" i="12"/>
  <c r="L157" i="12" s="1"/>
  <c r="L28" i="58" s="1"/>
  <c r="K158" i="14"/>
  <c r="K162" i="14"/>
  <c r="K160" i="14" s="1"/>
  <c r="I158" i="14"/>
  <c r="I162" i="14"/>
  <c r="I160" i="14" s="1"/>
  <c r="I163" i="14"/>
  <c r="I159" i="14" s="1"/>
  <c r="I157" i="14"/>
  <c r="AO28" i="58" s="1"/>
  <c r="I273" i="19"/>
  <c r="J156" i="14"/>
  <c r="H279" i="19"/>
  <c r="I165" i="14" s="1"/>
  <c r="I164" i="14"/>
  <c r="AO29" i="58" s="1"/>
  <c r="O182" i="19"/>
  <c r="O217" i="19" s="1"/>
  <c r="L162" i="12"/>
  <c r="L160" i="12" s="1"/>
  <c r="K165" i="12"/>
  <c r="P145" i="12"/>
  <c r="P141" i="12" s="1"/>
  <c r="I321" i="20"/>
  <c r="J164" i="12"/>
  <c r="J29" i="58" s="1"/>
  <c r="K161" i="12"/>
  <c r="O147" i="19"/>
  <c r="P132" i="14" s="1"/>
  <c r="P130" i="14" s="1"/>
  <c r="P132" i="12"/>
  <c r="P130" i="12" s="1"/>
  <c r="O148" i="19"/>
  <c r="P133" i="14" s="1"/>
  <c r="P129" i="14" s="1"/>
  <c r="P133" i="12"/>
  <c r="P129" i="12" s="1"/>
  <c r="O149" i="12"/>
  <c r="O145" i="19"/>
  <c r="P128" i="14" s="1"/>
  <c r="O150" i="12"/>
  <c r="O154" i="12"/>
  <c r="O151" i="12"/>
  <c r="O153" i="12"/>
  <c r="J158" i="12"/>
  <c r="J162" i="12"/>
  <c r="J160" i="12" s="1"/>
  <c r="J157" i="12"/>
  <c r="J28" i="58" s="1"/>
  <c r="J163" i="12"/>
  <c r="J159" i="12" s="1"/>
  <c r="O139" i="19"/>
  <c r="P116" i="14" s="1"/>
  <c r="O154" i="19"/>
  <c r="P145" i="14" s="1"/>
  <c r="P141" i="14" s="1"/>
  <c r="O155" i="19"/>
  <c r="O141" i="19"/>
  <c r="P120" i="14" s="1"/>
  <c r="P120" i="12"/>
  <c r="P118" i="12" s="1"/>
  <c r="O151" i="19"/>
  <c r="P140" i="14" s="1"/>
  <c r="O153" i="19"/>
  <c r="P144" i="14" s="1"/>
  <c r="P142" i="14" s="1"/>
  <c r="O143" i="19"/>
  <c r="O142" i="19"/>
  <c r="P121" i="14" s="1"/>
  <c r="P121" i="12"/>
  <c r="P117" i="12" s="1"/>
  <c r="J269" i="19"/>
  <c r="DC35" i="55" s="1"/>
  <c r="O295" i="20"/>
  <c r="O296" i="20" s="1"/>
  <c r="O297" i="20" s="1"/>
  <c r="O299" i="20" s="1"/>
  <c r="O294" i="20"/>
  <c r="I278" i="19"/>
  <c r="L261" i="19"/>
  <c r="K262" i="19"/>
  <c r="K271" i="19" s="1"/>
  <c r="L156" i="14" s="1"/>
  <c r="N298" i="20"/>
  <c r="N303" i="20" s="1"/>
  <c r="N304" i="20" s="1"/>
  <c r="L313" i="20"/>
  <c r="P150" i="19"/>
  <c r="Q137" i="14" s="1"/>
  <c r="Q139" i="14" s="1"/>
  <c r="Q231" i="14" s="1"/>
  <c r="P223" i="20"/>
  <c r="K320" i="20"/>
  <c r="K315" i="20"/>
  <c r="M311" i="20"/>
  <c r="P268" i="20"/>
  <c r="P291" i="20"/>
  <c r="P292" i="20" s="1"/>
  <c r="O284" i="20"/>
  <c r="O289" i="20"/>
  <c r="P42" i="55" s="1"/>
  <c r="O287" i="20"/>
  <c r="P40" i="55" s="1"/>
  <c r="O285" i="20"/>
  <c r="O286" i="20"/>
  <c r="P39" i="55" s="1"/>
  <c r="O288" i="20"/>
  <c r="P41" i="55" s="1"/>
  <c r="P189" i="20"/>
  <c r="P191" i="20"/>
  <c r="P190" i="20"/>
  <c r="P192" i="20"/>
  <c r="P193" i="20"/>
  <c r="Q171" i="20"/>
  <c r="Q173" i="20"/>
  <c r="Q182" i="20" s="1"/>
  <c r="Q144" i="19" s="1"/>
  <c r="R125" i="14" s="1"/>
  <c r="Q170" i="20"/>
  <c r="Q176" i="20" s="1"/>
  <c r="Q172" i="20"/>
  <c r="Q224" i="20" s="1"/>
  <c r="Q174" i="20"/>
  <c r="Q188" i="20" s="1"/>
  <c r="R137" i="12" s="1"/>
  <c r="P185" i="20"/>
  <c r="P183" i="20"/>
  <c r="Q128" i="12" s="1"/>
  <c r="P184" i="20"/>
  <c r="P186" i="20"/>
  <c r="P187" i="20"/>
  <c r="P149" i="19" s="1"/>
  <c r="P178" i="20"/>
  <c r="P177" i="20"/>
  <c r="Q116" i="12" s="1"/>
  <c r="P180" i="20"/>
  <c r="P181" i="20"/>
  <c r="P179" i="20"/>
  <c r="M245" i="19" l="1"/>
  <c r="AT40" i="55" s="1"/>
  <c r="M246" i="19"/>
  <c r="AT41" i="55" s="1"/>
  <c r="M243" i="19"/>
  <c r="DB38" i="55"/>
  <c r="DB62" i="55"/>
  <c r="DB88" i="55"/>
  <c r="DB63" i="55"/>
  <c r="DB86" i="55"/>
  <c r="DB61" i="55"/>
  <c r="DB87" i="55"/>
  <c r="DB85" i="55"/>
  <c r="DB84" i="55"/>
  <c r="DB65" i="55"/>
  <c r="DB64" i="55"/>
  <c r="DB39" i="55"/>
  <c r="DB41" i="55"/>
  <c r="DB42" i="55"/>
  <c r="DB40" i="55"/>
  <c r="P269" i="20"/>
  <c r="Q34" i="55"/>
  <c r="AU34" i="55"/>
  <c r="N227" i="19"/>
  <c r="N242" i="19" s="1"/>
  <c r="N155" i="14"/>
  <c r="AQ35" i="55"/>
  <c r="DC63" i="55" s="1"/>
  <c r="AQ38" i="55"/>
  <c r="O220" i="19"/>
  <c r="O222" i="19"/>
  <c r="O218" i="19"/>
  <c r="O221" i="19"/>
  <c r="O219" i="19"/>
  <c r="O223" i="19"/>
  <c r="M254" i="19"/>
  <c r="M255" i="19" s="1"/>
  <c r="M257" i="19" s="1"/>
  <c r="N253" i="19"/>
  <c r="N254" i="19" s="1"/>
  <c r="N255" i="19" s="1"/>
  <c r="N257" i="19" s="1"/>
  <c r="P143" i="14"/>
  <c r="P149" i="14"/>
  <c r="O152" i="14"/>
  <c r="P140" i="19"/>
  <c r="Q119" i="12"/>
  <c r="Q138" i="19"/>
  <c r="R113" i="14" s="1"/>
  <c r="R113" i="12"/>
  <c r="Q147" i="12"/>
  <c r="Q115" i="12"/>
  <c r="P152" i="19"/>
  <c r="Q143" i="12"/>
  <c r="P118" i="14"/>
  <c r="P151" i="14" s="1"/>
  <c r="P153" i="14"/>
  <c r="Q147" i="14"/>
  <c r="Q115" i="14"/>
  <c r="R146" i="12"/>
  <c r="R139" i="12"/>
  <c r="R231" i="12" s="1"/>
  <c r="O233" i="14"/>
  <c r="O234" i="14" s="1"/>
  <c r="P148" i="14"/>
  <c r="P225" i="14" a="1"/>
  <c r="P229" i="14"/>
  <c r="P232" i="14" s="1"/>
  <c r="P229" i="12"/>
  <c r="P232" i="12" s="1"/>
  <c r="P148" i="12"/>
  <c r="P169" i="12" s="1"/>
  <c r="P225" i="12" a="1"/>
  <c r="P152" i="12"/>
  <c r="P117" i="14"/>
  <c r="P150" i="14" s="1"/>
  <c r="P154" i="14"/>
  <c r="Q146" i="14"/>
  <c r="O232" i="14"/>
  <c r="P146" i="19"/>
  <c r="Q131" i="14" s="1"/>
  <c r="Q127" i="14" s="1"/>
  <c r="Q131" i="12"/>
  <c r="Q127" i="12" s="1"/>
  <c r="Q227" i="12" s="1"/>
  <c r="O233" i="12"/>
  <c r="O234" i="12" s="1"/>
  <c r="P119" i="14"/>
  <c r="P152" i="14" s="1"/>
  <c r="L163" i="12"/>
  <c r="L159" i="12" s="1"/>
  <c r="L161" i="12" s="1"/>
  <c r="O249" i="19"/>
  <c r="O250" i="19" s="1"/>
  <c r="O253" i="19" s="1"/>
  <c r="O256" i="19" s="1"/>
  <c r="O226" i="19"/>
  <c r="DH34" i="55" s="1"/>
  <c r="M156" i="12"/>
  <c r="M158" i="12" s="1"/>
  <c r="J273" i="19"/>
  <c r="K155" i="14"/>
  <c r="Q144" i="12"/>
  <c r="Q142" i="12" s="1"/>
  <c r="I279" i="19"/>
  <c r="J165" i="14" s="1"/>
  <c r="J164" i="14"/>
  <c r="AP29" i="58" s="1"/>
  <c r="Q140" i="12"/>
  <c r="J165" i="12"/>
  <c r="Q145" i="12"/>
  <c r="Q141" i="12" s="1"/>
  <c r="N155" i="12"/>
  <c r="P182" i="19"/>
  <c r="P217" i="19" s="1"/>
  <c r="L158" i="14"/>
  <c r="L162" i="14"/>
  <c r="L160" i="14" s="1"/>
  <c r="J158" i="14"/>
  <c r="J162" i="14"/>
  <c r="J160" i="14" s="1"/>
  <c r="J157" i="14"/>
  <c r="AP28" i="58" s="1"/>
  <c r="J163" i="14"/>
  <c r="J159" i="14" s="1"/>
  <c r="I161" i="14"/>
  <c r="J278" i="19"/>
  <c r="K321" i="20"/>
  <c r="L164" i="12"/>
  <c r="L29" i="58" s="1"/>
  <c r="J161" i="12"/>
  <c r="P147" i="19"/>
  <c r="Q132" i="14" s="1"/>
  <c r="Q130" i="14" s="1"/>
  <c r="Q132" i="12"/>
  <c r="Q130" i="12" s="1"/>
  <c r="P151" i="12"/>
  <c r="P153" i="12"/>
  <c r="P149" i="12"/>
  <c r="P145" i="19"/>
  <c r="Q128" i="14" s="1"/>
  <c r="P150" i="12"/>
  <c r="P154" i="12"/>
  <c r="P148" i="19"/>
  <c r="Q133" i="14" s="1"/>
  <c r="Q129" i="14" s="1"/>
  <c r="Q133" i="12"/>
  <c r="Q129" i="12" s="1"/>
  <c r="P141" i="19"/>
  <c r="Q120" i="14" s="1"/>
  <c r="Q120" i="12"/>
  <c r="Q118" i="12" s="1"/>
  <c r="P154" i="19"/>
  <c r="Q145" i="14" s="1"/>
  <c r="Q141" i="14" s="1"/>
  <c r="P153" i="19"/>
  <c r="Q144" i="14" s="1"/>
  <c r="Q142" i="14" s="1"/>
  <c r="P139" i="19"/>
  <c r="Q116" i="14" s="1"/>
  <c r="P155" i="19"/>
  <c r="P151" i="19"/>
  <c r="Q140" i="14" s="1"/>
  <c r="P143" i="19"/>
  <c r="P142" i="19"/>
  <c r="Q121" i="14" s="1"/>
  <c r="Q121" i="12"/>
  <c r="Q117" i="12" s="1"/>
  <c r="O298" i="20"/>
  <c r="O303" i="20" s="1"/>
  <c r="O304" i="20" s="1"/>
  <c r="N311" i="20"/>
  <c r="L262" i="19"/>
  <c r="L271" i="19" s="1"/>
  <c r="M156" i="14" s="1"/>
  <c r="M271" i="19"/>
  <c r="AT38" i="55" s="1"/>
  <c r="K269" i="19"/>
  <c r="DD35" i="55" s="1"/>
  <c r="P295" i="20"/>
  <c r="P294" i="20"/>
  <c r="M313" i="20"/>
  <c r="N35" i="55" s="1"/>
  <c r="N313" i="20"/>
  <c r="Q150" i="19"/>
  <c r="R137" i="14" s="1"/>
  <c r="R139" i="14" s="1"/>
  <c r="R231" i="14" s="1"/>
  <c r="Q223" i="20"/>
  <c r="L311" i="20"/>
  <c r="Q268" i="20"/>
  <c r="Q291" i="20"/>
  <c r="Q292" i="20" s="1"/>
  <c r="P284" i="20"/>
  <c r="P287" i="20"/>
  <c r="Q40" i="55" s="1"/>
  <c r="P288" i="20"/>
  <c r="Q41" i="55" s="1"/>
  <c r="P289" i="20"/>
  <c r="Q42" i="55" s="1"/>
  <c r="P285" i="20"/>
  <c r="P286" i="20"/>
  <c r="Q39" i="55" s="1"/>
  <c r="R171" i="20"/>
  <c r="R173" i="20"/>
  <c r="R182" i="20" s="1"/>
  <c r="R144" i="19" s="1"/>
  <c r="S125" i="14" s="1"/>
  <c r="R170" i="20"/>
  <c r="R176" i="20" s="1"/>
  <c r="R172" i="20"/>
  <c r="R224" i="20" s="1"/>
  <c r="R174" i="20"/>
  <c r="R188" i="20" s="1"/>
  <c r="S137" i="12" s="1"/>
  <c r="Q177" i="20"/>
  <c r="R116" i="12" s="1"/>
  <c r="Q180" i="20"/>
  <c r="Q181" i="20"/>
  <c r="Q178" i="20"/>
  <c r="Q179" i="20"/>
  <c r="Q189" i="20"/>
  <c r="Q192" i="20"/>
  <c r="Q190" i="20"/>
  <c r="Q193" i="20"/>
  <c r="Q191" i="20"/>
  <c r="Q185" i="20"/>
  <c r="Q186" i="20"/>
  <c r="Q187" i="20"/>
  <c r="Q149" i="19" s="1"/>
  <c r="Q184" i="20"/>
  <c r="Q183" i="20"/>
  <c r="R128" i="12" s="1"/>
  <c r="DC38" i="55" l="1"/>
  <c r="DC85" i="55"/>
  <c r="DC61" i="55"/>
  <c r="DC42" i="55"/>
  <c r="DC88" i="55"/>
  <c r="N247" i="19"/>
  <c r="AU42" i="55" s="1"/>
  <c r="DC87" i="55"/>
  <c r="N244" i="19"/>
  <c r="AU39" i="55" s="1"/>
  <c r="DC64" i="55"/>
  <c r="N245" i="19"/>
  <c r="AU40" i="55" s="1"/>
  <c r="DC62" i="55"/>
  <c r="DC39" i="55"/>
  <c r="DC84" i="55"/>
  <c r="DF35" i="55"/>
  <c r="N246" i="19"/>
  <c r="AU41" i="55" s="1"/>
  <c r="N243" i="19"/>
  <c r="DC65" i="55"/>
  <c r="DC41" i="55"/>
  <c r="DC86" i="55"/>
  <c r="DC40" i="55"/>
  <c r="AV34" i="55"/>
  <c r="O227" i="19"/>
  <c r="O244" i="19" s="1"/>
  <c r="AV39" i="55" s="1"/>
  <c r="M35" i="55"/>
  <c r="M38" i="55"/>
  <c r="N38" i="55"/>
  <c r="Q269" i="20"/>
  <c r="R34" i="55"/>
  <c r="L155" i="14"/>
  <c r="L163" i="14" s="1"/>
  <c r="L159" i="14" s="1"/>
  <c r="AR35" i="55"/>
  <c r="DD62" i="55" s="1"/>
  <c r="AR38" i="55"/>
  <c r="DD38" i="55" s="1"/>
  <c r="O35" i="55"/>
  <c r="O38" i="55"/>
  <c r="AT35" i="55"/>
  <c r="N256" i="19"/>
  <c r="N261" i="19" s="1"/>
  <c r="N262" i="19" s="1"/>
  <c r="N271" i="19" s="1"/>
  <c r="O156" i="14" s="1"/>
  <c r="O158" i="14" s="1"/>
  <c r="P221" i="19"/>
  <c r="P220" i="19"/>
  <c r="P222" i="19"/>
  <c r="P218" i="19"/>
  <c r="P219" i="19"/>
  <c r="P223" i="19"/>
  <c r="O252" i="19"/>
  <c r="Q149" i="14"/>
  <c r="R146" i="14"/>
  <c r="Q143" i="14"/>
  <c r="Q146" i="19"/>
  <c r="R131" i="14" s="1"/>
  <c r="R127" i="14" s="1"/>
  <c r="R131" i="12"/>
  <c r="R127" i="12" s="1"/>
  <c r="R227" i="12" s="1"/>
  <c r="R138" i="19"/>
  <c r="S113" i="14" s="1"/>
  <c r="S113" i="12"/>
  <c r="Q229" i="14"/>
  <c r="Q225" i="14" a="1"/>
  <c r="R147" i="12"/>
  <c r="R115" i="12"/>
  <c r="R147" i="14"/>
  <c r="R115" i="14"/>
  <c r="S139" i="12"/>
  <c r="S231" i="12" s="1"/>
  <c r="S146" i="12"/>
  <c r="Q148" i="14"/>
  <c r="Q227" i="14"/>
  <c r="P233" i="12"/>
  <c r="P234" i="12" s="1"/>
  <c r="P233" i="14"/>
  <c r="P234" i="14" s="1"/>
  <c r="Q229" i="12"/>
  <c r="Q148" i="12"/>
  <c r="Q169" i="12" s="1"/>
  <c r="Q225" i="12" a="1"/>
  <c r="Q152" i="12"/>
  <c r="Q117" i="14"/>
  <c r="Q150" i="14" s="1"/>
  <c r="Q154" i="14"/>
  <c r="Q118" i="14"/>
  <c r="Q151" i="14" s="1"/>
  <c r="Q153" i="14"/>
  <c r="Q232" i="12"/>
  <c r="Q152" i="19"/>
  <c r="R143" i="12"/>
  <c r="Q140" i="19"/>
  <c r="R119" i="12"/>
  <c r="Q119" i="14"/>
  <c r="O245" i="19"/>
  <c r="AV40" i="55" s="1"/>
  <c r="O243" i="19"/>
  <c r="M162" i="12"/>
  <c r="M160" i="12" s="1"/>
  <c r="P249" i="19"/>
  <c r="P250" i="19" s="1"/>
  <c r="P252" i="19" s="1"/>
  <c r="P226" i="19"/>
  <c r="DI34" i="55" s="1"/>
  <c r="J161" i="14"/>
  <c r="R145" i="12"/>
  <c r="R141" i="12" s="1"/>
  <c r="L157" i="14"/>
  <c r="AR28" i="58" s="1"/>
  <c r="J279" i="19"/>
  <c r="K165" i="14" s="1"/>
  <c r="K164" i="14"/>
  <c r="AQ29" i="58" s="1"/>
  <c r="R144" i="12"/>
  <c r="R142" i="12" s="1"/>
  <c r="R140" i="12"/>
  <c r="M278" i="19"/>
  <c r="N156" i="14"/>
  <c r="M155" i="12"/>
  <c r="M157" i="12" s="1"/>
  <c r="M28" i="58" s="1"/>
  <c r="Q182" i="19"/>
  <c r="Q226" i="19" s="1"/>
  <c r="DJ34" i="55" s="1"/>
  <c r="M158" i="14"/>
  <c r="M162" i="14"/>
  <c r="M160" i="14" s="1"/>
  <c r="O156" i="12"/>
  <c r="O158" i="12" s="1"/>
  <c r="O155" i="12"/>
  <c r="L165" i="12"/>
  <c r="K157" i="14"/>
  <c r="AQ28" i="58" s="1"/>
  <c r="K163" i="14"/>
  <c r="K159" i="14" s="1"/>
  <c r="Q149" i="12"/>
  <c r="Q145" i="19"/>
  <c r="R128" i="14" s="1"/>
  <c r="M315" i="20"/>
  <c r="N156" i="12"/>
  <c r="Q148" i="19"/>
  <c r="R133" i="14" s="1"/>
  <c r="R129" i="14" s="1"/>
  <c r="R133" i="12"/>
  <c r="R129" i="12" s="1"/>
  <c r="Q147" i="19"/>
  <c r="R132" i="14" s="1"/>
  <c r="R130" i="14" s="1"/>
  <c r="R132" i="12"/>
  <c r="R130" i="12" s="1"/>
  <c r="Q151" i="12"/>
  <c r="Q153" i="12"/>
  <c r="Q150" i="12"/>
  <c r="Q154" i="12"/>
  <c r="Q155" i="19"/>
  <c r="Q141" i="19"/>
  <c r="R120" i="14" s="1"/>
  <c r="R120" i="12"/>
  <c r="R118" i="12" s="1"/>
  <c r="Q154" i="19"/>
  <c r="R145" i="14" s="1"/>
  <c r="R141" i="14" s="1"/>
  <c r="Q139" i="19"/>
  <c r="R116" i="14" s="1"/>
  <c r="Q153" i="19"/>
  <c r="R144" i="14" s="1"/>
  <c r="R142" i="14" s="1"/>
  <c r="Q151" i="19"/>
  <c r="R140" i="14" s="1"/>
  <c r="Q143" i="19"/>
  <c r="Q142" i="19"/>
  <c r="R121" i="14" s="1"/>
  <c r="R121" i="12"/>
  <c r="R117" i="12" s="1"/>
  <c r="N315" i="20"/>
  <c r="M320" i="20"/>
  <c r="L269" i="19"/>
  <c r="DE35" i="55" s="1"/>
  <c r="O311" i="20"/>
  <c r="P296" i="20"/>
  <c r="P297" i="20" s="1"/>
  <c r="P299" i="20" s="1"/>
  <c r="O261" i="19"/>
  <c r="O262" i="19" s="1"/>
  <c r="O269" i="19" s="1"/>
  <c r="Q295" i="20"/>
  <c r="Q294" i="20"/>
  <c r="P298" i="20"/>
  <c r="O254" i="19"/>
  <c r="O255" i="19" s="1"/>
  <c r="O257" i="19" s="1"/>
  <c r="K273" i="19"/>
  <c r="K278" i="19"/>
  <c r="M273" i="19"/>
  <c r="O313" i="20"/>
  <c r="R150" i="19"/>
  <c r="S137" i="14" s="1"/>
  <c r="S139" i="14" s="1"/>
  <c r="S231" i="14" s="1"/>
  <c r="R223" i="20"/>
  <c r="Q284" i="20"/>
  <c r="Q285" i="20"/>
  <c r="Q289" i="20"/>
  <c r="R42" i="55" s="1"/>
  <c r="Q288" i="20"/>
  <c r="R41" i="55" s="1"/>
  <c r="Q286" i="20"/>
  <c r="R39" i="55" s="1"/>
  <c r="Q287" i="20"/>
  <c r="R40" i="55" s="1"/>
  <c r="R291" i="20"/>
  <c r="R292" i="20" s="1"/>
  <c r="R268" i="20"/>
  <c r="L315" i="20"/>
  <c r="L320" i="20"/>
  <c r="N320" i="20"/>
  <c r="R177" i="20"/>
  <c r="S116" i="12" s="1"/>
  <c r="R180" i="20"/>
  <c r="R178" i="20"/>
  <c r="R179" i="20"/>
  <c r="R181" i="20"/>
  <c r="S170" i="20"/>
  <c r="S176" i="20" s="1"/>
  <c r="S172" i="20"/>
  <c r="S224" i="20" s="1"/>
  <c r="S174" i="20"/>
  <c r="S188" i="20" s="1"/>
  <c r="T137" i="12" s="1"/>
  <c r="S171" i="20"/>
  <c r="S173" i="20"/>
  <c r="S182" i="20" s="1"/>
  <c r="S144" i="19" s="1"/>
  <c r="T125" i="14" s="1"/>
  <c r="R183" i="20"/>
  <c r="S128" i="12" s="1"/>
  <c r="R184" i="20"/>
  <c r="R186" i="20"/>
  <c r="R187" i="20"/>
  <c r="R149" i="19" s="1"/>
  <c r="R185" i="20"/>
  <c r="R189" i="20"/>
  <c r="R190" i="20"/>
  <c r="R192" i="20"/>
  <c r="R191" i="20"/>
  <c r="R193" i="20"/>
  <c r="DF38" i="55" l="1"/>
  <c r="DD42" i="55"/>
  <c r="O242" i="19"/>
  <c r="DD85" i="55"/>
  <c r="O247" i="19"/>
  <c r="AV42" i="55" s="1"/>
  <c r="DD65" i="55"/>
  <c r="DD63" i="55"/>
  <c r="DD39" i="55"/>
  <c r="DD88" i="55"/>
  <c r="DD40" i="55"/>
  <c r="DD64" i="55"/>
  <c r="DD86" i="55"/>
  <c r="DD84" i="55"/>
  <c r="DD61" i="55"/>
  <c r="DF87" i="55"/>
  <c r="DF63" i="55"/>
  <c r="DF86" i="55"/>
  <c r="DF61" i="55"/>
  <c r="DF88" i="55"/>
  <c r="DF85" i="55"/>
  <c r="DF84" i="55"/>
  <c r="DF65" i="55"/>
  <c r="DF64" i="55"/>
  <c r="DF62" i="55"/>
  <c r="DF40" i="55"/>
  <c r="DF41" i="55"/>
  <c r="DF42" i="55"/>
  <c r="DF39" i="55"/>
  <c r="DD87" i="55"/>
  <c r="DD41" i="55"/>
  <c r="P35" i="55"/>
  <c r="P38" i="55"/>
  <c r="M155" i="14"/>
  <c r="AS35" i="55"/>
  <c r="DE87" i="55" s="1"/>
  <c r="AS38" i="55"/>
  <c r="DE38" i="55" s="1"/>
  <c r="AX34" i="55"/>
  <c r="Q227" i="19"/>
  <c r="Q246" i="19" s="1"/>
  <c r="AX41" i="55" s="1"/>
  <c r="R269" i="20"/>
  <c r="S34" i="55"/>
  <c r="AW34" i="55"/>
  <c r="P227" i="19"/>
  <c r="P244" i="19" s="1"/>
  <c r="AW39" i="55" s="1"/>
  <c r="P155" i="14"/>
  <c r="O246" i="19"/>
  <c r="AV41" i="55" s="1"/>
  <c r="Q152" i="14"/>
  <c r="Q232" i="14"/>
  <c r="R143" i="14"/>
  <c r="R152" i="12"/>
  <c r="R152" i="19"/>
  <c r="S143" i="12"/>
  <c r="S147" i="12"/>
  <c r="S115" i="12"/>
  <c r="R146" i="19"/>
  <c r="S131" i="14" s="1"/>
  <c r="S127" i="14" s="1"/>
  <c r="S227" i="14" s="1"/>
  <c r="S131" i="12"/>
  <c r="S127" i="12" s="1"/>
  <c r="S227" i="12" s="1"/>
  <c r="R117" i="14"/>
  <c r="R150" i="14" s="1"/>
  <c r="R154" i="14"/>
  <c r="R229" i="14"/>
  <c r="R148" i="14"/>
  <c r="S147" i="14"/>
  <c r="S115" i="14"/>
  <c r="R140" i="19"/>
  <c r="S119" i="12"/>
  <c r="P246" i="19"/>
  <c r="AW41" i="55" s="1"/>
  <c r="R119" i="14"/>
  <c r="Q233" i="14"/>
  <c r="Q234" i="14" s="1"/>
  <c r="R118" i="14"/>
  <c r="R151" i="14" s="1"/>
  <c r="R153" i="14"/>
  <c r="R229" i="12"/>
  <c r="R232" i="12" s="1"/>
  <c r="R225" i="12" a="1"/>
  <c r="R148" i="12"/>
  <c r="R169" i="12" s="1"/>
  <c r="T139" i="12"/>
  <c r="T231" i="12" s="1"/>
  <c r="T146" i="12"/>
  <c r="R149" i="14"/>
  <c r="S138" i="19"/>
  <c r="T113" i="14" s="1"/>
  <c r="T113" i="12"/>
  <c r="P242" i="19"/>
  <c r="Q233" i="12"/>
  <c r="Q234" i="12" s="1"/>
  <c r="S146" i="14"/>
  <c r="R225" i="14" a="1"/>
  <c r="R227" i="14"/>
  <c r="P247" i="19"/>
  <c r="AW42" i="55" s="1"/>
  <c r="P245" i="19"/>
  <c r="AW40" i="55" s="1"/>
  <c r="P253" i="19"/>
  <c r="P256" i="19" s="1"/>
  <c r="P261" i="19" s="1"/>
  <c r="M163" i="12"/>
  <c r="M159" i="12" s="1"/>
  <c r="M161" i="12" s="1"/>
  <c r="O157" i="12"/>
  <c r="O28" i="58" s="1"/>
  <c r="K279" i="19"/>
  <c r="L165" i="14" s="1"/>
  <c r="L164" i="14"/>
  <c r="AR29" i="58" s="1"/>
  <c r="O162" i="14"/>
  <c r="O160" i="14" s="1"/>
  <c r="Q249" i="19"/>
  <c r="Q250" i="19" s="1"/>
  <c r="Q252" i="19" s="1"/>
  <c r="P155" i="12"/>
  <c r="N158" i="14"/>
  <c r="N162" i="14"/>
  <c r="N160" i="14" s="1"/>
  <c r="N157" i="14"/>
  <c r="AT28" i="58" s="1"/>
  <c r="N163" i="14"/>
  <c r="N159" i="14" s="1"/>
  <c r="L161" i="14"/>
  <c r="S140" i="12"/>
  <c r="R182" i="19"/>
  <c r="R249" i="19" s="1"/>
  <c r="R250" i="19" s="1"/>
  <c r="M157" i="14"/>
  <c r="AS28" i="58" s="1"/>
  <c r="M163" i="14"/>
  <c r="M159" i="14" s="1"/>
  <c r="O163" i="12"/>
  <c r="O159" i="12" s="1"/>
  <c r="S144" i="12"/>
  <c r="S142" i="12" s="1"/>
  <c r="S145" i="12"/>
  <c r="S141" i="12" s="1"/>
  <c r="O162" i="12"/>
  <c r="O160" i="12" s="1"/>
  <c r="K161" i="14"/>
  <c r="M279" i="19"/>
  <c r="N165" i="14" s="1"/>
  <c r="N164" i="14"/>
  <c r="AT29" i="58" s="1"/>
  <c r="R150" i="12"/>
  <c r="N321" i="20"/>
  <c r="O164" i="12"/>
  <c r="O29" i="58" s="1"/>
  <c r="L321" i="20"/>
  <c r="M164" i="12"/>
  <c r="M29" i="58" s="1"/>
  <c r="M321" i="20"/>
  <c r="N164" i="12"/>
  <c r="N29" i="58" s="1"/>
  <c r="O315" i="20"/>
  <c r="P156" i="12"/>
  <c r="R145" i="19"/>
  <c r="S128" i="14" s="1"/>
  <c r="R148" i="19"/>
  <c r="S133" i="14" s="1"/>
  <c r="S129" i="14" s="1"/>
  <c r="S133" i="12"/>
  <c r="S129" i="12" s="1"/>
  <c r="R151" i="12"/>
  <c r="R153" i="12"/>
  <c r="R154" i="12"/>
  <c r="R147" i="19"/>
  <c r="S132" i="14" s="1"/>
  <c r="S130" i="14" s="1"/>
  <c r="S132" i="12"/>
  <c r="S130" i="12" s="1"/>
  <c r="R149" i="12"/>
  <c r="N158" i="12"/>
  <c r="N162" i="12"/>
  <c r="N160" i="12" s="1"/>
  <c r="N157" i="12"/>
  <c r="N28" i="58" s="1"/>
  <c r="N163" i="12"/>
  <c r="N159" i="12" s="1"/>
  <c r="R139" i="19"/>
  <c r="S116" i="14" s="1"/>
  <c r="R155" i="19"/>
  <c r="R141" i="19"/>
  <c r="S120" i="14" s="1"/>
  <c r="S120" i="12"/>
  <c r="S118" i="12" s="1"/>
  <c r="R151" i="19"/>
  <c r="S140" i="14" s="1"/>
  <c r="R153" i="19"/>
  <c r="S144" i="14" s="1"/>
  <c r="S142" i="14" s="1"/>
  <c r="R154" i="19"/>
  <c r="S145" i="14" s="1"/>
  <c r="S141" i="14" s="1"/>
  <c r="R143" i="19"/>
  <c r="R142" i="19"/>
  <c r="S121" i="14" s="1"/>
  <c r="S121" i="12"/>
  <c r="S117" i="12" s="1"/>
  <c r="L273" i="19"/>
  <c r="L278" i="19"/>
  <c r="R295" i="20"/>
  <c r="R296" i="20" s="1"/>
  <c r="R297" i="20" s="1"/>
  <c r="R299" i="20" s="1"/>
  <c r="R294" i="20"/>
  <c r="Q296" i="20"/>
  <c r="Q297" i="20" s="1"/>
  <c r="Q299" i="20" s="1"/>
  <c r="N269" i="19"/>
  <c r="DG35" i="55" s="1"/>
  <c r="Q298" i="20"/>
  <c r="Q303" i="20" s="1"/>
  <c r="Q304" i="20" s="1"/>
  <c r="O271" i="19"/>
  <c r="P156" i="14" s="1"/>
  <c r="P158" i="14" s="1"/>
  <c r="P303" i="20"/>
  <c r="P304" i="20" s="1"/>
  <c r="P311" i="20" s="1"/>
  <c r="Q244" i="19"/>
  <c r="AX39" i="55" s="1"/>
  <c r="S291" i="20"/>
  <c r="S292" i="20" s="1"/>
  <c r="S268" i="20"/>
  <c r="R284" i="20"/>
  <c r="R285" i="20"/>
  <c r="R289" i="20"/>
  <c r="S42" i="55" s="1"/>
  <c r="R287" i="20"/>
  <c r="S40" i="55" s="1"/>
  <c r="R286" i="20"/>
  <c r="S39" i="55" s="1"/>
  <c r="R288" i="20"/>
  <c r="S41" i="55" s="1"/>
  <c r="S150" i="19"/>
  <c r="T137" i="14" s="1"/>
  <c r="T139" i="14" s="1"/>
  <c r="T231" i="14" s="1"/>
  <c r="S223" i="20"/>
  <c r="O320" i="20"/>
  <c r="S183" i="20"/>
  <c r="T128" i="12" s="1"/>
  <c r="S185" i="20"/>
  <c r="S184" i="20"/>
  <c r="S187" i="20"/>
  <c r="S149" i="19" s="1"/>
  <c r="S186" i="20"/>
  <c r="S189" i="20"/>
  <c r="S190" i="20"/>
  <c r="S193" i="20"/>
  <c r="S191" i="20"/>
  <c r="S192" i="20"/>
  <c r="S177" i="20"/>
  <c r="T116" i="12" s="1"/>
  <c r="S181" i="20"/>
  <c r="S179" i="20"/>
  <c r="S180" i="20"/>
  <c r="S178" i="20"/>
  <c r="T170" i="20"/>
  <c r="T176" i="20" s="1"/>
  <c r="T172" i="20"/>
  <c r="T224" i="20" s="1"/>
  <c r="T174" i="20"/>
  <c r="T188" i="20" s="1"/>
  <c r="U137" i="12" s="1"/>
  <c r="T171" i="20"/>
  <c r="T173" i="20"/>
  <c r="T182" i="20" s="1"/>
  <c r="T144" i="19" s="1"/>
  <c r="U125" i="14" s="1"/>
  <c r="P243" i="19" l="1"/>
  <c r="DE42" i="55"/>
  <c r="Q242" i="19"/>
  <c r="Q247" i="19"/>
  <c r="AX42" i="55" s="1"/>
  <c r="DE85" i="55"/>
  <c r="DE41" i="55"/>
  <c r="Q243" i="19"/>
  <c r="DE61" i="55"/>
  <c r="Q245" i="19"/>
  <c r="AX40" i="55" s="1"/>
  <c r="DE88" i="55"/>
  <c r="DE39" i="55"/>
  <c r="DE63" i="55"/>
  <c r="DH35" i="55"/>
  <c r="DE40" i="55"/>
  <c r="DE86" i="55"/>
  <c r="DE64" i="55"/>
  <c r="DE65" i="55"/>
  <c r="DE84" i="55"/>
  <c r="DE62" i="55"/>
  <c r="O155" i="14"/>
  <c r="O157" i="14" s="1"/>
  <c r="AU28" i="58" s="1"/>
  <c r="AU35" i="55"/>
  <c r="DG88" i="55" s="1"/>
  <c r="AU38" i="55"/>
  <c r="DG38" i="55" s="1"/>
  <c r="AV38" i="55"/>
  <c r="S269" i="20"/>
  <c r="S286" i="20" s="1"/>
  <c r="T39" i="55" s="1"/>
  <c r="T34" i="55"/>
  <c r="AV35" i="55"/>
  <c r="R233" i="12"/>
  <c r="R234" i="12" s="1"/>
  <c r="P254" i="19"/>
  <c r="P255" i="19" s="1"/>
  <c r="P257" i="19" s="1"/>
  <c r="R217" i="19"/>
  <c r="Q253" i="19"/>
  <c r="Q256" i="19" s="1"/>
  <c r="R232" i="14"/>
  <c r="R152" i="14"/>
  <c r="S152" i="12"/>
  <c r="R233" i="14"/>
  <c r="R234" i="14" s="1"/>
  <c r="T146" i="14"/>
  <c r="S229" i="14"/>
  <c r="S232" i="14" s="1"/>
  <c r="S225" i="14" a="1"/>
  <c r="S148" i="14"/>
  <c r="S229" i="12"/>
  <c r="S232" i="12" s="1"/>
  <c r="S225" i="12" a="1"/>
  <c r="S148" i="12"/>
  <c r="S169" i="12" s="1"/>
  <c r="S140" i="19"/>
  <c r="T119" i="12"/>
  <c r="S152" i="19"/>
  <c r="T143" i="12"/>
  <c r="S146" i="19"/>
  <c r="T131" i="14" s="1"/>
  <c r="T127" i="14" s="1"/>
  <c r="T227" i="14" s="1"/>
  <c r="T131" i="12"/>
  <c r="T127" i="12" s="1"/>
  <c r="T227" i="12" s="1"/>
  <c r="S118" i="14"/>
  <c r="S151" i="14" s="1"/>
  <c r="S153" i="14"/>
  <c r="T138" i="19"/>
  <c r="U113" i="14" s="1"/>
  <c r="U113" i="12"/>
  <c r="U139" i="12"/>
  <c r="U231" i="12" s="1"/>
  <c r="U146" i="12"/>
  <c r="T147" i="12"/>
  <c r="T115" i="12"/>
  <c r="S117" i="14"/>
  <c r="S150" i="14" s="1"/>
  <c r="S154" i="14"/>
  <c r="S149" i="14"/>
  <c r="T147" i="14"/>
  <c r="T115" i="14"/>
  <c r="S119" i="14"/>
  <c r="S143" i="14"/>
  <c r="R226" i="19"/>
  <c r="DK34" i="55" s="1"/>
  <c r="P157" i="12"/>
  <c r="P28" i="58" s="1"/>
  <c r="O161" i="12"/>
  <c r="M161" i="14"/>
  <c r="P162" i="14"/>
  <c r="P160" i="14" s="1"/>
  <c r="P163" i="14"/>
  <c r="P159" i="14" s="1"/>
  <c r="Q155" i="12"/>
  <c r="M165" i="12"/>
  <c r="T145" i="12"/>
  <c r="T141" i="12" s="1"/>
  <c r="T140" i="12"/>
  <c r="S182" i="19"/>
  <c r="S226" i="19" s="1"/>
  <c r="DL34" i="55" s="1"/>
  <c r="T144" i="12"/>
  <c r="T142" i="12" s="1"/>
  <c r="O163" i="14"/>
  <c r="O159" i="14" s="1"/>
  <c r="L279" i="19"/>
  <c r="M165" i="14" s="1"/>
  <c r="M164" i="14"/>
  <c r="AS29" i="58" s="1"/>
  <c r="N165" i="12"/>
  <c r="O165" i="12"/>
  <c r="Q217" i="19"/>
  <c r="N161" i="14"/>
  <c r="P157" i="14"/>
  <c r="AV28" i="58" s="1"/>
  <c r="O321" i="20"/>
  <c r="P164" i="12"/>
  <c r="P29" i="58" s="1"/>
  <c r="N161" i="12"/>
  <c r="S151" i="12"/>
  <c r="S153" i="12"/>
  <c r="P162" i="12"/>
  <c r="P160" i="12" s="1"/>
  <c r="P158" i="12"/>
  <c r="S148" i="19"/>
  <c r="T133" i="14" s="1"/>
  <c r="T129" i="14" s="1"/>
  <c r="T133" i="12"/>
  <c r="T129" i="12" s="1"/>
  <c r="S150" i="12"/>
  <c r="S154" i="12"/>
  <c r="S145" i="19"/>
  <c r="T128" i="14" s="1"/>
  <c r="S147" i="19"/>
  <c r="T132" i="14" s="1"/>
  <c r="T130" i="14" s="1"/>
  <c r="T132" i="12"/>
  <c r="T130" i="12" s="1"/>
  <c r="S149" i="12"/>
  <c r="P163" i="12"/>
  <c r="P159" i="12" s="1"/>
  <c r="S139" i="19"/>
  <c r="T116" i="14" s="1"/>
  <c r="S151" i="19"/>
  <c r="T140" i="14" s="1"/>
  <c r="S141" i="19"/>
  <c r="T120" i="14" s="1"/>
  <c r="T120" i="12"/>
  <c r="T118" i="12" s="1"/>
  <c r="S154" i="19"/>
  <c r="T145" i="14" s="1"/>
  <c r="T141" i="14" s="1"/>
  <c r="S153" i="19"/>
  <c r="T144" i="14" s="1"/>
  <c r="T142" i="14" s="1"/>
  <c r="S155" i="19"/>
  <c r="S143" i="19"/>
  <c r="S142" i="19"/>
  <c r="T121" i="14" s="1"/>
  <c r="T121" i="12"/>
  <c r="T117" i="12" s="1"/>
  <c r="R298" i="20"/>
  <c r="R303" i="20" s="1"/>
  <c r="R304" i="20" s="1"/>
  <c r="O273" i="19"/>
  <c r="O278" i="19"/>
  <c r="N273" i="19"/>
  <c r="N278" i="19"/>
  <c r="R253" i="19"/>
  <c r="R252" i="19"/>
  <c r="S295" i="20"/>
  <c r="S296" i="20" s="1"/>
  <c r="S297" i="20" s="1"/>
  <c r="S299" i="20" s="1"/>
  <c r="S294" i="20"/>
  <c r="P262" i="19"/>
  <c r="P271" i="19" s="1"/>
  <c r="Q156" i="14" s="1"/>
  <c r="Q158" i="14" s="1"/>
  <c r="P313" i="20"/>
  <c r="Q35" i="55" s="1"/>
  <c r="T291" i="20"/>
  <c r="T292" i="20" s="1"/>
  <c r="T268" i="20"/>
  <c r="T150" i="19"/>
  <c r="U137" i="14" s="1"/>
  <c r="U139" i="14" s="1"/>
  <c r="U231" i="14" s="1"/>
  <c r="T223" i="20"/>
  <c r="Q311" i="20"/>
  <c r="U171" i="20"/>
  <c r="U173" i="20"/>
  <c r="U182" i="20" s="1"/>
  <c r="U144" i="19" s="1"/>
  <c r="V125" i="14" s="1"/>
  <c r="U170" i="20"/>
  <c r="U176" i="20" s="1"/>
  <c r="U172" i="20"/>
  <c r="U224" i="20" s="1"/>
  <c r="U174" i="20"/>
  <c r="U188" i="20" s="1"/>
  <c r="V137" i="12" s="1"/>
  <c r="T183" i="20"/>
  <c r="U128" i="12" s="1"/>
  <c r="T187" i="20"/>
  <c r="T149" i="19" s="1"/>
  <c r="T184" i="20"/>
  <c r="T186" i="20"/>
  <c r="T185" i="20"/>
  <c r="T178" i="20"/>
  <c r="T177" i="20"/>
  <c r="U116" i="12" s="1"/>
  <c r="T181" i="20"/>
  <c r="T180" i="20"/>
  <c r="T179" i="20"/>
  <c r="T189" i="20"/>
  <c r="T190" i="20"/>
  <c r="T191" i="20"/>
  <c r="T192" i="20"/>
  <c r="T193" i="20"/>
  <c r="S285" i="20" l="1"/>
  <c r="S287" i="20"/>
  <c r="T40" i="55" s="1"/>
  <c r="S289" i="20"/>
  <c r="T42" i="55" s="1"/>
  <c r="S284" i="20"/>
  <c r="S288" i="20"/>
  <c r="T41" i="55" s="1"/>
  <c r="DH41" i="55"/>
  <c r="DG61" i="55"/>
  <c r="DH38" i="55"/>
  <c r="DG87" i="55"/>
  <c r="DG40" i="55"/>
  <c r="DG86" i="55"/>
  <c r="DG39" i="55"/>
  <c r="DG65" i="55"/>
  <c r="DH85" i="55"/>
  <c r="DH84" i="55"/>
  <c r="DH65" i="55"/>
  <c r="DH63" i="55"/>
  <c r="DH62" i="55"/>
  <c r="DH88" i="55"/>
  <c r="DH64" i="55"/>
  <c r="DH86" i="55"/>
  <c r="DH61" i="55"/>
  <c r="DH87" i="55"/>
  <c r="DH40" i="55"/>
  <c r="DH42" i="55"/>
  <c r="DH39" i="55"/>
  <c r="DG42" i="55"/>
  <c r="DG85" i="55"/>
  <c r="DG64" i="55"/>
  <c r="DG63" i="55"/>
  <c r="DG84" i="55"/>
  <c r="DG62" i="55"/>
  <c r="DG41" i="55"/>
  <c r="T269" i="20"/>
  <c r="T284" i="20" s="1"/>
  <c r="U34" i="55"/>
  <c r="AZ34" i="55"/>
  <c r="S227" i="19"/>
  <c r="S243" i="19" s="1"/>
  <c r="Q38" i="55"/>
  <c r="AY34" i="55"/>
  <c r="R227" i="19"/>
  <c r="R245" i="19" s="1"/>
  <c r="AY40" i="55" s="1"/>
  <c r="Q254" i="19"/>
  <c r="Q255" i="19" s="1"/>
  <c r="Q257" i="19" s="1"/>
  <c r="Q219" i="19"/>
  <c r="Q221" i="19"/>
  <c r="Q223" i="19"/>
  <c r="Q222" i="19"/>
  <c r="Q220" i="19"/>
  <c r="Q218" i="19"/>
  <c r="R222" i="19"/>
  <c r="R219" i="19"/>
  <c r="R221" i="19"/>
  <c r="R223" i="19"/>
  <c r="R220" i="19"/>
  <c r="R218" i="19"/>
  <c r="S233" i="12"/>
  <c r="S234" i="12" s="1"/>
  <c r="S233" i="14"/>
  <c r="S234" i="14" s="1"/>
  <c r="T140" i="19"/>
  <c r="U119" i="12"/>
  <c r="U138" i="19"/>
  <c r="V113" i="14" s="1"/>
  <c r="V113" i="12"/>
  <c r="T118" i="14"/>
  <c r="T151" i="14" s="1"/>
  <c r="T153" i="14"/>
  <c r="T143" i="14"/>
  <c r="T229" i="12"/>
  <c r="T232" i="12" s="1"/>
  <c r="T148" i="12"/>
  <c r="T169" i="12" s="1"/>
  <c r="T225" i="12" a="1"/>
  <c r="U147" i="12"/>
  <c r="U115" i="12"/>
  <c r="T152" i="12"/>
  <c r="T152" i="19"/>
  <c r="U143" i="12"/>
  <c r="V146" i="12"/>
  <c r="V139" i="12"/>
  <c r="V231" i="12" s="1"/>
  <c r="T117" i="14"/>
  <c r="T150" i="14" s="1"/>
  <c r="T154" i="14"/>
  <c r="T149" i="14"/>
  <c r="S152" i="14"/>
  <c r="U147" i="14"/>
  <c r="U115" i="14"/>
  <c r="T119" i="14"/>
  <c r="T146" i="19"/>
  <c r="U131" i="14" s="1"/>
  <c r="U127" i="14" s="1"/>
  <c r="U227" i="14" s="1"/>
  <c r="U131" i="12"/>
  <c r="U127" i="12" s="1"/>
  <c r="U227" i="12" s="1"/>
  <c r="T148" i="14"/>
  <c r="T229" i="14"/>
  <c r="T232" i="14" s="1"/>
  <c r="T225" i="14" a="1"/>
  <c r="U146" i="14"/>
  <c r="S249" i="19"/>
  <c r="S250" i="19" s="1"/>
  <c r="S253" i="19" s="1"/>
  <c r="S256" i="19" s="1"/>
  <c r="S217" i="19"/>
  <c r="P161" i="14"/>
  <c r="P165" i="12"/>
  <c r="O161" i="14"/>
  <c r="R155" i="12"/>
  <c r="U145" i="12"/>
  <c r="U141" i="12" s="1"/>
  <c r="Q162" i="14"/>
  <c r="Q160" i="14" s="1"/>
  <c r="U140" i="12"/>
  <c r="O279" i="19"/>
  <c r="P165" i="14" s="1"/>
  <c r="P164" i="14"/>
  <c r="AV29" i="58" s="1"/>
  <c r="U144" i="12"/>
  <c r="U142" i="12" s="1"/>
  <c r="T182" i="19"/>
  <c r="T217" i="19" s="1"/>
  <c r="N279" i="19"/>
  <c r="O165" i="14" s="1"/>
  <c r="O164" i="14"/>
  <c r="AU29" i="58" s="1"/>
  <c r="P161" i="12"/>
  <c r="T148" i="19"/>
  <c r="U133" i="14" s="1"/>
  <c r="U129" i="14" s="1"/>
  <c r="U133" i="12"/>
  <c r="U129" i="12" s="1"/>
  <c r="P315" i="20"/>
  <c r="Q156" i="12"/>
  <c r="T150" i="12"/>
  <c r="T154" i="12"/>
  <c r="T151" i="12"/>
  <c r="T153" i="12"/>
  <c r="T147" i="19"/>
  <c r="U132" i="14" s="1"/>
  <c r="U130" i="14" s="1"/>
  <c r="U132" i="12"/>
  <c r="U130" i="12" s="1"/>
  <c r="T145" i="19"/>
  <c r="U128" i="14" s="1"/>
  <c r="T149" i="12"/>
  <c r="T154" i="19"/>
  <c r="U145" i="14" s="1"/>
  <c r="U141" i="14" s="1"/>
  <c r="T141" i="19"/>
  <c r="U120" i="14" s="1"/>
  <c r="U120" i="12"/>
  <c r="U118" i="12" s="1"/>
  <c r="T153" i="19"/>
  <c r="U144" i="14" s="1"/>
  <c r="U142" i="14" s="1"/>
  <c r="T155" i="19"/>
  <c r="T151" i="19"/>
  <c r="U140" i="14" s="1"/>
  <c r="T139" i="19"/>
  <c r="U116" i="14" s="1"/>
  <c r="T143" i="19"/>
  <c r="T142" i="19"/>
  <c r="U121" i="14" s="1"/>
  <c r="U121" i="12"/>
  <c r="U117" i="12" s="1"/>
  <c r="P269" i="19"/>
  <c r="DI35" i="55" s="1"/>
  <c r="R311" i="20"/>
  <c r="P320" i="20"/>
  <c r="Q261" i="19"/>
  <c r="Q262" i="19" s="1"/>
  <c r="Q269" i="19" s="1"/>
  <c r="R254" i="19"/>
  <c r="R255" i="19" s="1"/>
  <c r="R257" i="19" s="1"/>
  <c r="T295" i="20"/>
  <c r="T296" i="20" s="1"/>
  <c r="T297" i="20" s="1"/>
  <c r="T299" i="20" s="1"/>
  <c r="T294" i="20"/>
  <c r="S298" i="20"/>
  <c r="S246" i="19"/>
  <c r="AZ41" i="55" s="1"/>
  <c r="R256" i="19"/>
  <c r="U150" i="19"/>
  <c r="V137" i="14" s="1"/>
  <c r="V139" i="14" s="1"/>
  <c r="V231" i="14" s="1"/>
  <c r="U223" i="20"/>
  <c r="U268" i="20"/>
  <c r="U291" i="20"/>
  <c r="U292" i="20" s="1"/>
  <c r="R313" i="20"/>
  <c r="Q313" i="20"/>
  <c r="R35" i="55" s="1"/>
  <c r="T285" i="20"/>
  <c r="T286" i="20"/>
  <c r="U39" i="55" s="1"/>
  <c r="U177" i="20"/>
  <c r="V116" i="12" s="1"/>
  <c r="U181" i="20"/>
  <c r="U179" i="20"/>
  <c r="U180" i="20"/>
  <c r="U178" i="20"/>
  <c r="U184" i="20"/>
  <c r="U185" i="20"/>
  <c r="U186" i="20"/>
  <c r="U183" i="20"/>
  <c r="V128" i="12" s="1"/>
  <c r="U187" i="20"/>
  <c r="U149" i="19" s="1"/>
  <c r="V171" i="20"/>
  <c r="V173" i="20"/>
  <c r="V182" i="20" s="1"/>
  <c r="V144" i="19" s="1"/>
  <c r="W125" i="14" s="1"/>
  <c r="V170" i="20"/>
  <c r="V176" i="20" s="1"/>
  <c r="V172" i="20"/>
  <c r="V224" i="20" s="1"/>
  <c r="V174" i="20"/>
  <c r="V188" i="20" s="1"/>
  <c r="W137" i="12" s="1"/>
  <c r="U191" i="20"/>
  <c r="U192" i="20"/>
  <c r="U189" i="20"/>
  <c r="U190" i="20"/>
  <c r="U193" i="20"/>
  <c r="R244" i="19" l="1"/>
  <c r="AY39" i="55" s="1"/>
  <c r="R242" i="19"/>
  <c r="R243" i="19"/>
  <c r="S244" i="19"/>
  <c r="AZ39" i="55" s="1"/>
  <c r="T288" i="20"/>
  <c r="U41" i="55" s="1"/>
  <c r="S242" i="19"/>
  <c r="S247" i="19"/>
  <c r="AZ42" i="55" s="1"/>
  <c r="T289" i="20"/>
  <c r="U42" i="55" s="1"/>
  <c r="S245" i="19"/>
  <c r="AZ40" i="55" s="1"/>
  <c r="T287" i="20"/>
  <c r="U40" i="55" s="1"/>
  <c r="R247" i="19"/>
  <c r="AY42" i="55" s="1"/>
  <c r="R246" i="19"/>
  <c r="AY41" i="55" s="1"/>
  <c r="R155" i="14"/>
  <c r="U269" i="20"/>
  <c r="U284" i="20" s="1"/>
  <c r="V34" i="55"/>
  <c r="S35" i="55"/>
  <c r="S38" i="55"/>
  <c r="AW35" i="55"/>
  <c r="DI85" i="55" s="1"/>
  <c r="AW38" i="55"/>
  <c r="DI38" i="55" s="1"/>
  <c r="R38" i="55"/>
  <c r="S220" i="19"/>
  <c r="S222" i="19"/>
  <c r="S218" i="19"/>
  <c r="S219" i="19"/>
  <c r="S223" i="19"/>
  <c r="S221" i="19"/>
  <c r="T219" i="19"/>
  <c r="T223" i="19"/>
  <c r="T220" i="19"/>
  <c r="T222" i="19"/>
  <c r="T218" i="19"/>
  <c r="T221" i="19"/>
  <c r="T226" i="19"/>
  <c r="DM34" i="55" s="1"/>
  <c r="S252" i="19"/>
  <c r="T249" i="19"/>
  <c r="T250" i="19" s="1"/>
  <c r="T253" i="19" s="1"/>
  <c r="T256" i="19" s="1"/>
  <c r="T152" i="14"/>
  <c r="U140" i="19"/>
  <c r="V119" i="12"/>
  <c r="V146" i="14"/>
  <c r="V147" i="12"/>
  <c r="V115" i="12"/>
  <c r="U152" i="19"/>
  <c r="V143" i="12"/>
  <c r="W139" i="12"/>
  <c r="W231" i="12" s="1"/>
  <c r="W146" i="12"/>
  <c r="U117" i="14"/>
  <c r="U150" i="14" s="1"/>
  <c r="U154" i="14"/>
  <c r="V147" i="14"/>
  <c r="V115" i="14"/>
  <c r="V138" i="19"/>
  <c r="W113" i="14" s="1"/>
  <c r="W113" i="12"/>
  <c r="U118" i="14"/>
  <c r="U151" i="14" s="1"/>
  <c r="U153" i="14"/>
  <c r="U146" i="19"/>
  <c r="V131" i="14" s="1"/>
  <c r="V127" i="14" s="1"/>
  <c r="V227" i="14" s="1"/>
  <c r="V131" i="12"/>
  <c r="V127" i="12" s="1"/>
  <c r="V227" i="12" s="1"/>
  <c r="U229" i="14"/>
  <c r="U232" i="14" s="1"/>
  <c r="U225" i="14" a="1"/>
  <c r="U148" i="14"/>
  <c r="T233" i="12"/>
  <c r="T234" i="12" s="1"/>
  <c r="U152" i="12"/>
  <c r="U149" i="14"/>
  <c r="T233" i="14"/>
  <c r="T234" i="14" s="1"/>
  <c r="U143" i="14"/>
  <c r="U229" i="12"/>
  <c r="U232" i="12" s="1"/>
  <c r="U225" i="12" a="1"/>
  <c r="U148" i="12"/>
  <c r="U169" i="12" s="1"/>
  <c r="U119" i="14"/>
  <c r="V144" i="12"/>
  <c r="V142" i="12" s="1"/>
  <c r="V145" i="12"/>
  <c r="V141" i="12" s="1"/>
  <c r="S156" i="12"/>
  <c r="S158" i="12" s="1"/>
  <c r="U182" i="19"/>
  <c r="U226" i="19" s="1"/>
  <c r="DN34" i="55" s="1"/>
  <c r="P273" i="19"/>
  <c r="Q155" i="14"/>
  <c r="V140" i="12"/>
  <c r="S155" i="12"/>
  <c r="P278" i="19"/>
  <c r="U150" i="12"/>
  <c r="P321" i="20"/>
  <c r="Q164" i="12"/>
  <c r="Q29" i="58" s="1"/>
  <c r="Q158" i="12"/>
  <c r="Q162" i="12"/>
  <c r="Q160" i="12" s="1"/>
  <c r="Q163" i="12"/>
  <c r="Q159" i="12" s="1"/>
  <c r="Q157" i="12"/>
  <c r="Q28" i="58" s="1"/>
  <c r="U151" i="12"/>
  <c r="U153" i="12"/>
  <c r="U147" i="19"/>
  <c r="V132" i="14" s="1"/>
  <c r="V130" i="14" s="1"/>
  <c r="V132" i="12"/>
  <c r="V130" i="12" s="1"/>
  <c r="U145" i="19"/>
  <c r="V128" i="14" s="1"/>
  <c r="U149" i="12"/>
  <c r="Q315" i="20"/>
  <c r="R156" i="12"/>
  <c r="U148" i="19"/>
  <c r="V133" i="14" s="1"/>
  <c r="V129" i="14" s="1"/>
  <c r="V133" i="12"/>
  <c r="V129" i="12" s="1"/>
  <c r="U154" i="12"/>
  <c r="U139" i="19"/>
  <c r="V116" i="14" s="1"/>
  <c r="U151" i="19"/>
  <c r="V140" i="14" s="1"/>
  <c r="U154" i="19"/>
  <c r="V145" i="14" s="1"/>
  <c r="V141" i="14" s="1"/>
  <c r="U153" i="19"/>
  <c r="V144" i="14" s="1"/>
  <c r="V142" i="14" s="1"/>
  <c r="U155" i="19"/>
  <c r="U141" i="19"/>
  <c r="V120" i="14" s="1"/>
  <c r="V120" i="12"/>
  <c r="V118" i="12" s="1"/>
  <c r="U143" i="19"/>
  <c r="U142" i="19"/>
  <c r="V121" i="14" s="1"/>
  <c r="V121" i="12"/>
  <c r="V117" i="12" s="1"/>
  <c r="R315" i="20"/>
  <c r="T298" i="20"/>
  <c r="T303" i="20" s="1"/>
  <c r="T304" i="20" s="1"/>
  <c r="R261" i="19"/>
  <c r="R262" i="19" s="1"/>
  <c r="R269" i="19" s="1"/>
  <c r="S254" i="19"/>
  <c r="S255" i="19" s="1"/>
  <c r="S257" i="19" s="1"/>
  <c r="S261" i="19"/>
  <c r="U295" i="20"/>
  <c r="U296" i="20" s="1"/>
  <c r="U297" i="20" s="1"/>
  <c r="U299" i="20" s="1"/>
  <c r="U294" i="20"/>
  <c r="S303" i="20"/>
  <c r="Q271" i="19"/>
  <c r="AX35" i="55" s="1"/>
  <c r="V150" i="19"/>
  <c r="W137" i="14" s="1"/>
  <c r="W139" i="14" s="1"/>
  <c r="W231" i="14" s="1"/>
  <c r="V223" i="20"/>
  <c r="U288" i="20"/>
  <c r="V41" i="55" s="1"/>
  <c r="U285" i="20"/>
  <c r="U289" i="20"/>
  <c r="V42" i="55" s="1"/>
  <c r="U287" i="20"/>
  <c r="V40" i="55" s="1"/>
  <c r="U286" i="20"/>
  <c r="V39" i="55" s="1"/>
  <c r="V268" i="20"/>
  <c r="V291" i="20"/>
  <c r="V292" i="20" s="1"/>
  <c r="Q320" i="20"/>
  <c r="R320" i="20"/>
  <c r="W170" i="20"/>
  <c r="W176" i="20" s="1"/>
  <c r="W172" i="20"/>
  <c r="W224" i="20" s="1"/>
  <c r="W174" i="20"/>
  <c r="W188" i="20" s="1"/>
  <c r="X137" i="12" s="1"/>
  <c r="W171" i="20"/>
  <c r="W173" i="20"/>
  <c r="W182" i="20" s="1"/>
  <c r="W144" i="19" s="1"/>
  <c r="X125" i="14" s="1"/>
  <c r="V177" i="20"/>
  <c r="W116" i="12" s="1"/>
  <c r="V178" i="20"/>
  <c r="V180" i="20"/>
  <c r="V179" i="20"/>
  <c r="V181" i="20"/>
  <c r="V183" i="20"/>
  <c r="W128" i="12" s="1"/>
  <c r="V186" i="20"/>
  <c r="V184" i="20"/>
  <c r="V187" i="20"/>
  <c r="V149" i="19" s="1"/>
  <c r="V185" i="20"/>
  <c r="V189" i="20"/>
  <c r="V192" i="20"/>
  <c r="V190" i="20"/>
  <c r="V191" i="20"/>
  <c r="V193" i="20"/>
  <c r="DI42" i="55" l="1"/>
  <c r="DI86" i="55"/>
  <c r="DJ35" i="55"/>
  <c r="DI41" i="55"/>
  <c r="DI61" i="55"/>
  <c r="DI40" i="55"/>
  <c r="DI88" i="55"/>
  <c r="DI62" i="55"/>
  <c r="DI65" i="55"/>
  <c r="DI64" i="55"/>
  <c r="DI87" i="55"/>
  <c r="DI63" i="55"/>
  <c r="DI84" i="55"/>
  <c r="DI39" i="55"/>
  <c r="V269" i="20"/>
  <c r="V287" i="20" s="1"/>
  <c r="W40" i="55" s="1"/>
  <c r="W34" i="55"/>
  <c r="S155" i="14"/>
  <c r="BA34" i="55"/>
  <c r="T227" i="19"/>
  <c r="T245" i="19" s="1"/>
  <c r="BA40" i="55" s="1"/>
  <c r="AX38" i="55"/>
  <c r="DJ38" i="55" s="1"/>
  <c r="BB34" i="55"/>
  <c r="U227" i="19"/>
  <c r="T252" i="19"/>
  <c r="U233" i="12"/>
  <c r="U234" i="12" s="1"/>
  <c r="U233" i="14"/>
  <c r="U234" i="14" s="1"/>
  <c r="W146" i="14"/>
  <c r="S157" i="12"/>
  <c r="S28" i="58" s="1"/>
  <c r="U152" i="14"/>
  <c r="V140" i="19"/>
  <c r="W119" i="12"/>
  <c r="V118" i="14"/>
  <c r="V151" i="14" s="1"/>
  <c r="V153" i="14"/>
  <c r="V149" i="14"/>
  <c r="W147" i="12"/>
  <c r="W115" i="12"/>
  <c r="V146" i="19"/>
  <c r="W131" i="14" s="1"/>
  <c r="W127" i="14" s="1"/>
  <c r="W227" i="14" s="1"/>
  <c r="W131" i="12"/>
  <c r="W127" i="12" s="1"/>
  <c r="W227" i="12" s="1"/>
  <c r="W147" i="14"/>
  <c r="W115" i="14"/>
  <c r="V143" i="14"/>
  <c r="V152" i="12"/>
  <c r="X146" i="12"/>
  <c r="X139" i="12"/>
  <c r="X231" i="12" s="1"/>
  <c r="V152" i="19"/>
  <c r="W143" i="12"/>
  <c r="V117" i="14"/>
  <c r="V150" i="14" s="1"/>
  <c r="V154" i="14"/>
  <c r="W138" i="19"/>
  <c r="X113" i="14" s="1"/>
  <c r="X113" i="12"/>
  <c r="V229" i="14"/>
  <c r="V232" i="14" s="1"/>
  <c r="V225" i="14" a="1"/>
  <c r="V148" i="14"/>
  <c r="V229" i="12"/>
  <c r="V232" i="12" s="1"/>
  <c r="V148" i="12"/>
  <c r="V169" i="12" s="1"/>
  <c r="V225" i="12" a="1"/>
  <c r="V119" i="14"/>
  <c r="U249" i="19"/>
  <c r="U250" i="19" s="1"/>
  <c r="U252" i="19" s="1"/>
  <c r="U217" i="19"/>
  <c r="S163" i="12"/>
  <c r="S159" i="12" s="1"/>
  <c r="S162" i="12"/>
  <c r="S160" i="12" s="1"/>
  <c r="Q278" i="19"/>
  <c r="R156" i="14"/>
  <c r="P279" i="19"/>
  <c r="Q165" i="14" s="1"/>
  <c r="Q164" i="14"/>
  <c r="AW29" i="58" s="1"/>
  <c r="W140" i="12"/>
  <c r="Q165" i="12"/>
  <c r="Q157" i="14"/>
  <c r="AW28" i="58" s="1"/>
  <c r="Q163" i="14"/>
  <c r="Q159" i="14" s="1"/>
  <c r="W144" i="12"/>
  <c r="W142" i="12" s="1"/>
  <c r="W145" i="12"/>
  <c r="W141" i="12" s="1"/>
  <c r="V182" i="19"/>
  <c r="V249" i="19" s="1"/>
  <c r="V250" i="19" s="1"/>
  <c r="R321" i="20"/>
  <c r="S164" i="12"/>
  <c r="S29" i="58" s="1"/>
  <c r="Q321" i="20"/>
  <c r="R164" i="12"/>
  <c r="R29" i="58" s="1"/>
  <c r="Q161" i="12"/>
  <c r="V145" i="19"/>
  <c r="W128" i="14" s="1"/>
  <c r="V147" i="19"/>
  <c r="W132" i="14" s="1"/>
  <c r="W130" i="14" s="1"/>
  <c r="W132" i="12"/>
  <c r="W130" i="12" s="1"/>
  <c r="V149" i="12"/>
  <c r="V151" i="12"/>
  <c r="V153" i="12"/>
  <c r="V148" i="19"/>
  <c r="W133" i="14" s="1"/>
  <c r="W129" i="14" s="1"/>
  <c r="W133" i="12"/>
  <c r="W129" i="12" s="1"/>
  <c r="V150" i="12"/>
  <c r="V154" i="12"/>
  <c r="R162" i="12"/>
  <c r="R160" i="12" s="1"/>
  <c r="R158" i="12"/>
  <c r="R157" i="12"/>
  <c r="R28" i="58" s="1"/>
  <c r="R163" i="12"/>
  <c r="R159" i="12" s="1"/>
  <c r="V155" i="19"/>
  <c r="V151" i="19"/>
  <c r="W140" i="14" s="1"/>
  <c r="V153" i="19"/>
  <c r="W144" i="14" s="1"/>
  <c r="W142" i="14" s="1"/>
  <c r="V139" i="19"/>
  <c r="W116" i="14" s="1"/>
  <c r="V154" i="19"/>
  <c r="W145" i="14" s="1"/>
  <c r="W141" i="14" s="1"/>
  <c r="V141" i="19"/>
  <c r="W120" i="14" s="1"/>
  <c r="W120" i="12"/>
  <c r="W118" i="12" s="1"/>
  <c r="V143" i="19"/>
  <c r="V142" i="19"/>
  <c r="W121" i="14" s="1"/>
  <c r="W121" i="12"/>
  <c r="W117" i="12" s="1"/>
  <c r="T261" i="19"/>
  <c r="T262" i="19" s="1"/>
  <c r="T271" i="19" s="1"/>
  <c r="U156" i="14" s="1"/>
  <c r="U158" i="14" s="1"/>
  <c r="V295" i="20"/>
  <c r="V298" i="20" s="1"/>
  <c r="V303" i="20" s="1"/>
  <c r="V304" i="20" s="1"/>
  <c r="V294" i="20"/>
  <c r="S304" i="20"/>
  <c r="S313" i="20" s="1"/>
  <c r="Q273" i="19"/>
  <c r="V217" i="19"/>
  <c r="U298" i="20"/>
  <c r="U303" i="20" s="1"/>
  <c r="U304" i="20" s="1"/>
  <c r="U242" i="19"/>
  <c r="U244" i="19"/>
  <c r="BB39" i="55" s="1"/>
  <c r="U246" i="19"/>
  <c r="BB41" i="55" s="1"/>
  <c r="U243" i="19"/>
  <c r="U247" i="19"/>
  <c r="BB42" i="55" s="1"/>
  <c r="U245" i="19"/>
  <c r="BB40" i="55" s="1"/>
  <c r="S262" i="19"/>
  <c r="S271" i="19" s="1"/>
  <c r="T156" i="14" s="1"/>
  <c r="T158" i="14" s="1"/>
  <c r="T254" i="19"/>
  <c r="T255" i="19" s="1"/>
  <c r="T257" i="19" s="1"/>
  <c r="R271" i="19"/>
  <c r="AY35" i="55" s="1"/>
  <c r="T311" i="20"/>
  <c r="W150" i="19"/>
  <c r="X137" i="14" s="1"/>
  <c r="X139" i="14" s="1"/>
  <c r="X231" i="14" s="1"/>
  <c r="W223" i="20"/>
  <c r="W291" i="20"/>
  <c r="W292" i="20" s="1"/>
  <c r="W268" i="20"/>
  <c r="W193" i="20"/>
  <c r="W189" i="20"/>
  <c r="W190" i="20"/>
  <c r="W192" i="20"/>
  <c r="W191" i="20"/>
  <c r="X170" i="20"/>
  <c r="X176" i="20" s="1"/>
  <c r="X172" i="20"/>
  <c r="X224" i="20" s="1"/>
  <c r="X174" i="20"/>
  <c r="X188" i="20" s="1"/>
  <c r="Y137" i="12" s="1"/>
  <c r="X171" i="20"/>
  <c r="X173" i="20"/>
  <c r="X182" i="20" s="1"/>
  <c r="X144" i="19" s="1"/>
  <c r="Y125" i="14" s="1"/>
  <c r="W186" i="20"/>
  <c r="W185" i="20"/>
  <c r="W183" i="20"/>
  <c r="X128" i="12" s="1"/>
  <c r="W187" i="20"/>
  <c r="W149" i="19" s="1"/>
  <c r="W184" i="20"/>
  <c r="W180" i="20"/>
  <c r="W177" i="20"/>
  <c r="X116" i="12" s="1"/>
  <c r="W181" i="20"/>
  <c r="W178" i="20"/>
  <c r="W179" i="20"/>
  <c r="V288" i="20" l="1"/>
  <c r="W41" i="55" s="1"/>
  <c r="AY38" i="55"/>
  <c r="DK35" i="55"/>
  <c r="DJ85" i="55"/>
  <c r="DJ61" i="55"/>
  <c r="DJ88" i="55"/>
  <c r="DJ86" i="55"/>
  <c r="DJ84" i="55"/>
  <c r="DJ62" i="55"/>
  <c r="DJ63" i="55"/>
  <c r="DJ65" i="55"/>
  <c r="DJ87" i="55"/>
  <c r="DJ64" i="55"/>
  <c r="DJ41" i="55"/>
  <c r="DJ39" i="55"/>
  <c r="DJ40" i="55"/>
  <c r="DJ42" i="55"/>
  <c r="T246" i="19"/>
  <c r="BA41" i="55" s="1"/>
  <c r="T244" i="19"/>
  <c r="BA39" i="55" s="1"/>
  <c r="V286" i="20"/>
  <c r="W39" i="55" s="1"/>
  <c r="T247" i="19"/>
  <c r="BA42" i="55" s="1"/>
  <c r="V284" i="20"/>
  <c r="V289" i="20"/>
  <c r="W42" i="55" s="1"/>
  <c r="T242" i="19"/>
  <c r="T243" i="19"/>
  <c r="V285" i="20"/>
  <c r="W269" i="20"/>
  <c r="W286" i="20" s="1"/>
  <c r="X39" i="55" s="1"/>
  <c r="X34" i="55"/>
  <c r="U253" i="19"/>
  <c r="U256" i="19" s="1"/>
  <c r="U261" i="19" s="1"/>
  <c r="V152" i="14"/>
  <c r="U219" i="19"/>
  <c r="U221" i="19"/>
  <c r="U223" i="19"/>
  <c r="U220" i="19"/>
  <c r="U218" i="19"/>
  <c r="U222" i="19"/>
  <c r="V220" i="19"/>
  <c r="V219" i="19"/>
  <c r="V221" i="19"/>
  <c r="V223" i="19"/>
  <c r="V222" i="19"/>
  <c r="V218" i="19"/>
  <c r="V233" i="14"/>
  <c r="V234" i="14" s="1"/>
  <c r="W140" i="19"/>
  <c r="X119" i="12"/>
  <c r="W146" i="19"/>
  <c r="X131" i="14" s="1"/>
  <c r="X127" i="14" s="1"/>
  <c r="X227" i="14" s="1"/>
  <c r="X131" i="12"/>
  <c r="X127" i="12" s="1"/>
  <c r="X227" i="12" s="1"/>
  <c r="W118" i="14"/>
  <c r="W151" i="14" s="1"/>
  <c r="W153" i="14"/>
  <c r="X147" i="12"/>
  <c r="X115" i="12"/>
  <c r="X138" i="19"/>
  <c r="Y113" i="14" s="1"/>
  <c r="Y113" i="12"/>
  <c r="W117" i="14"/>
  <c r="W150" i="14" s="1"/>
  <c r="W154" i="14"/>
  <c r="X147" i="14"/>
  <c r="X115" i="14"/>
  <c r="W152" i="12"/>
  <c r="X146" i="14"/>
  <c r="W143" i="14"/>
  <c r="W119" i="14"/>
  <c r="W152" i="19"/>
  <c r="X143" i="12"/>
  <c r="W149" i="14"/>
  <c r="V233" i="12"/>
  <c r="V234" i="12" s="1"/>
  <c r="Y146" i="12"/>
  <c r="Y139" i="12"/>
  <c r="Y231" i="12" s="1"/>
  <c r="W229" i="14"/>
  <c r="W232" i="14" s="1"/>
  <c r="W148" i="14"/>
  <c r="W225" i="14" a="1"/>
  <c r="W229" i="12"/>
  <c r="W232" i="12" s="1"/>
  <c r="W225" i="12" a="1"/>
  <c r="W148" i="12"/>
  <c r="W169" i="12" s="1"/>
  <c r="V226" i="19"/>
  <c r="DO34" i="55" s="1"/>
  <c r="S161" i="12"/>
  <c r="Q161" i="14"/>
  <c r="W182" i="19"/>
  <c r="W217" i="19" s="1"/>
  <c r="T156" i="12"/>
  <c r="T162" i="12" s="1"/>
  <c r="T160" i="12" s="1"/>
  <c r="R158" i="14"/>
  <c r="R157" i="14"/>
  <c r="AX28" i="58" s="1"/>
  <c r="R162" i="14"/>
  <c r="R160" i="14" s="1"/>
  <c r="R163" i="14"/>
  <c r="R159" i="14" s="1"/>
  <c r="X140" i="12"/>
  <c r="U155" i="12"/>
  <c r="R165" i="12"/>
  <c r="Q279" i="19"/>
  <c r="R165" i="14" s="1"/>
  <c r="R164" i="14"/>
  <c r="AX29" i="58" s="1"/>
  <c r="X144" i="12"/>
  <c r="X142" i="12" s="1"/>
  <c r="R273" i="19"/>
  <c r="S156" i="14"/>
  <c r="U162" i="14"/>
  <c r="U160" i="14" s="1"/>
  <c r="X145" i="12"/>
  <c r="X141" i="12" s="1"/>
  <c r="S165" i="12"/>
  <c r="T162" i="14"/>
  <c r="T160" i="14" s="1"/>
  <c r="R161" i="12"/>
  <c r="W148" i="19"/>
  <c r="X133" i="14" s="1"/>
  <c r="X129" i="14" s="1"/>
  <c r="X133" i="12"/>
  <c r="X129" i="12" s="1"/>
  <c r="W147" i="19"/>
  <c r="X132" i="14" s="1"/>
  <c r="X130" i="14" s="1"/>
  <c r="X132" i="12"/>
  <c r="X130" i="12" s="1"/>
  <c r="W149" i="12"/>
  <c r="W150" i="12"/>
  <c r="W154" i="12"/>
  <c r="W145" i="19"/>
  <c r="X128" i="14" s="1"/>
  <c r="W151" i="12"/>
  <c r="W153" i="12"/>
  <c r="W141" i="19"/>
  <c r="X120" i="14" s="1"/>
  <c r="X120" i="12"/>
  <c r="X118" i="12" s="1"/>
  <c r="W154" i="19"/>
  <c r="X145" i="14" s="1"/>
  <c r="X141" i="14" s="1"/>
  <c r="W151" i="19"/>
  <c r="X140" i="14" s="1"/>
  <c r="W139" i="19"/>
  <c r="X116" i="14" s="1"/>
  <c r="W153" i="19"/>
  <c r="X144" i="14" s="1"/>
  <c r="X142" i="14" s="1"/>
  <c r="W155" i="19"/>
  <c r="W143" i="19"/>
  <c r="W142" i="19"/>
  <c r="X121" i="14" s="1"/>
  <c r="X121" i="12"/>
  <c r="X117" i="12" s="1"/>
  <c r="T269" i="19"/>
  <c r="S269" i="19"/>
  <c r="DL35" i="55" s="1"/>
  <c r="W295" i="20"/>
  <c r="W296" i="20" s="1"/>
  <c r="W297" i="20" s="1"/>
  <c r="W299" i="20" s="1"/>
  <c r="W294" i="20"/>
  <c r="V253" i="19"/>
  <c r="V256" i="19" s="1"/>
  <c r="V252" i="19"/>
  <c r="R278" i="19"/>
  <c r="V296" i="20"/>
  <c r="V297" i="20" s="1"/>
  <c r="V299" i="20" s="1"/>
  <c r="U254" i="19"/>
  <c r="U255" i="19" s="1"/>
  <c r="U257" i="19" s="1"/>
  <c r="S311" i="20"/>
  <c r="T313" i="20"/>
  <c r="U35" i="55" s="1"/>
  <c r="V313" i="20"/>
  <c r="X291" i="20"/>
  <c r="X292" i="20" s="1"/>
  <c r="X268" i="20"/>
  <c r="U313" i="20"/>
  <c r="X150" i="19"/>
  <c r="Y137" i="14" s="1"/>
  <c r="Y139" i="14" s="1"/>
  <c r="Y231" i="14" s="1"/>
  <c r="X223" i="20"/>
  <c r="W289" i="20"/>
  <c r="X42" i="55" s="1"/>
  <c r="X189" i="20"/>
  <c r="X192" i="20"/>
  <c r="X193" i="20"/>
  <c r="X191" i="20"/>
  <c r="X190" i="20"/>
  <c r="Y171" i="20"/>
  <c r="Y173" i="20"/>
  <c r="Y182" i="20" s="1"/>
  <c r="Y144" i="19" s="1"/>
  <c r="Z125" i="14" s="1"/>
  <c r="Y170" i="20"/>
  <c r="Y176" i="20" s="1"/>
  <c r="Y172" i="20"/>
  <c r="Y224" i="20" s="1"/>
  <c r="Y174" i="20"/>
  <c r="Y188" i="20" s="1"/>
  <c r="Z137" i="12" s="1"/>
  <c r="X184" i="20"/>
  <c r="X186" i="20"/>
  <c r="X183" i="20"/>
  <c r="Y128" i="12" s="1"/>
  <c r="X187" i="20"/>
  <c r="X149" i="19" s="1"/>
  <c r="X185" i="20"/>
  <c r="X178" i="20"/>
  <c r="X177" i="20"/>
  <c r="Y116" i="12" s="1"/>
  <c r="X181" i="20"/>
  <c r="X180" i="20"/>
  <c r="X179" i="20"/>
  <c r="W284" i="20" l="1"/>
  <c r="W285" i="20"/>
  <c r="W287" i="20"/>
  <c r="X40" i="55" s="1"/>
  <c r="W288" i="20"/>
  <c r="X41" i="55" s="1"/>
  <c r="BA35" i="55"/>
  <c r="DM35" i="55"/>
  <c r="DM41" i="55" s="1"/>
  <c r="DK86" i="55"/>
  <c r="DK84" i="55"/>
  <c r="DK65" i="55"/>
  <c r="DK64" i="55"/>
  <c r="DK63" i="55"/>
  <c r="DK87" i="55"/>
  <c r="DK62" i="55"/>
  <c r="DK88" i="55"/>
  <c r="DK61" i="55"/>
  <c r="DK85" i="55"/>
  <c r="DK40" i="55"/>
  <c r="DK39" i="55"/>
  <c r="DK41" i="55"/>
  <c r="DK42" i="55"/>
  <c r="DK38" i="55"/>
  <c r="BA38" i="55"/>
  <c r="S273" i="19"/>
  <c r="AZ35" i="55"/>
  <c r="DL61" i="55" s="1"/>
  <c r="AZ38" i="55"/>
  <c r="T35" i="55"/>
  <c r="T38" i="55"/>
  <c r="U38" i="55"/>
  <c r="X269" i="20"/>
  <c r="Y34" i="55"/>
  <c r="BC34" i="55"/>
  <c r="V227" i="19"/>
  <c r="V245" i="19" s="1"/>
  <c r="BC40" i="55" s="1"/>
  <c r="T158" i="12"/>
  <c r="W233" i="12"/>
  <c r="W234" i="12" s="1"/>
  <c r="W220" i="19"/>
  <c r="W222" i="19"/>
  <c r="W218" i="19"/>
  <c r="W221" i="19"/>
  <c r="W219" i="19"/>
  <c r="W223" i="19"/>
  <c r="X149" i="14"/>
  <c r="X118" i="14"/>
  <c r="X151" i="14" s="1"/>
  <c r="X153" i="14"/>
  <c r="X140" i="19"/>
  <c r="Y119" i="12"/>
  <c r="Y138" i="19"/>
  <c r="Z113" i="14" s="1"/>
  <c r="Z113" i="12"/>
  <c r="X229" i="14"/>
  <c r="X232" i="14" s="1"/>
  <c r="X225" i="14" a="1"/>
  <c r="X148" i="14"/>
  <c r="Y115" i="12"/>
  <c r="Y147" i="12"/>
  <c r="Z146" i="12"/>
  <c r="Z139" i="12"/>
  <c r="Z231" i="12" s="1"/>
  <c r="X152" i="19"/>
  <c r="Y143" i="12"/>
  <c r="X117" i="14"/>
  <c r="X150" i="14" s="1"/>
  <c r="X154" i="14"/>
  <c r="X229" i="12"/>
  <c r="X232" i="12" s="1"/>
  <c r="X225" i="12" a="1"/>
  <c r="X148" i="12"/>
  <c r="X169" i="12" s="1"/>
  <c r="X146" i="19"/>
  <c r="Y131" i="14" s="1"/>
  <c r="Y127" i="14" s="1"/>
  <c r="Y227" i="14" s="1"/>
  <c r="Y131" i="12"/>
  <c r="Y127" i="12" s="1"/>
  <c r="Y227" i="12" s="1"/>
  <c r="W233" i="14"/>
  <c r="W234" i="14" s="1"/>
  <c r="X143" i="14"/>
  <c r="Y147" i="14"/>
  <c r="Y115" i="14"/>
  <c r="X152" i="12"/>
  <c r="W152" i="14"/>
  <c r="Y146" i="14"/>
  <c r="X119" i="14"/>
  <c r="W249" i="19"/>
  <c r="W250" i="19" s="1"/>
  <c r="W253" i="19" s="1"/>
  <c r="W226" i="19"/>
  <c r="DP34" i="55" s="1"/>
  <c r="Y144" i="12"/>
  <c r="Y142" i="12" s="1"/>
  <c r="V156" i="12"/>
  <c r="V158" i="12" s="1"/>
  <c r="T155" i="12"/>
  <c r="T157" i="12" s="1"/>
  <c r="T28" i="58" s="1"/>
  <c r="T278" i="19"/>
  <c r="U155" i="14"/>
  <c r="R279" i="19"/>
  <c r="S165" i="14" s="1"/>
  <c r="S164" i="14"/>
  <c r="AY29" i="58" s="1"/>
  <c r="Y145" i="12"/>
  <c r="Y141" i="12" s="1"/>
  <c r="R161" i="14"/>
  <c r="S278" i="19"/>
  <c r="T155" i="14"/>
  <c r="S162" i="14"/>
  <c r="S160" i="14" s="1"/>
  <c r="S158" i="14"/>
  <c r="S163" i="14"/>
  <c r="S159" i="14" s="1"/>
  <c r="S157" i="14"/>
  <c r="AY28" i="58" s="1"/>
  <c r="Y140" i="12"/>
  <c r="X182" i="19"/>
  <c r="X249" i="19" s="1"/>
  <c r="X250" i="19" s="1"/>
  <c r="W156" i="12"/>
  <c r="W158" i="12" s="1"/>
  <c r="T315" i="20"/>
  <c r="U156" i="12"/>
  <c r="X147" i="19"/>
  <c r="Y132" i="14" s="1"/>
  <c r="Y130" i="14" s="1"/>
  <c r="Y132" i="12"/>
  <c r="Y130" i="12" s="1"/>
  <c r="X148" i="19"/>
  <c r="Y133" i="14" s="1"/>
  <c r="Y129" i="14" s="1"/>
  <c r="Y133" i="12"/>
  <c r="Y129" i="12" s="1"/>
  <c r="X150" i="12"/>
  <c r="X154" i="12"/>
  <c r="X145" i="19"/>
  <c r="Y128" i="14" s="1"/>
  <c r="X149" i="12"/>
  <c r="X151" i="12"/>
  <c r="X153" i="12"/>
  <c r="X154" i="19"/>
  <c r="Y145" i="14" s="1"/>
  <c r="Y141" i="14" s="1"/>
  <c r="X151" i="19"/>
  <c r="Y140" i="14" s="1"/>
  <c r="X141" i="19"/>
  <c r="Y120" i="14" s="1"/>
  <c r="Y120" i="12"/>
  <c r="Y118" i="12" s="1"/>
  <c r="X153" i="19"/>
  <c r="Y144" i="14" s="1"/>
  <c r="Y142" i="14" s="1"/>
  <c r="X139" i="19"/>
  <c r="Y116" i="14" s="1"/>
  <c r="X155" i="19"/>
  <c r="X143" i="19"/>
  <c r="X142" i="19"/>
  <c r="Y121" i="14" s="1"/>
  <c r="Y121" i="12"/>
  <c r="Y117" i="12" s="1"/>
  <c r="T273" i="19"/>
  <c r="W298" i="20"/>
  <c r="W303" i="20" s="1"/>
  <c r="W304" i="20" s="1"/>
  <c r="S315" i="20"/>
  <c r="S320" i="20"/>
  <c r="V261" i="19"/>
  <c r="V262" i="19" s="1"/>
  <c r="V271" i="19" s="1"/>
  <c r="W156" i="14" s="1"/>
  <c r="W162" i="14" s="1"/>
  <c r="W160" i="14" s="1"/>
  <c r="X295" i="20"/>
  <c r="X296" i="20" s="1"/>
  <c r="X297" i="20" s="1"/>
  <c r="X299" i="20" s="1"/>
  <c r="X294" i="20"/>
  <c r="V254" i="19"/>
  <c r="V255" i="19" s="1"/>
  <c r="V257" i="19" s="1"/>
  <c r="U262" i="19"/>
  <c r="U269" i="19" s="1"/>
  <c r="T320" i="20"/>
  <c r="V311" i="20"/>
  <c r="W35" i="55" s="1"/>
  <c r="Y150" i="19"/>
  <c r="Z137" i="14" s="1"/>
  <c r="Z139" i="14" s="1"/>
  <c r="Z231" i="14" s="1"/>
  <c r="Y223" i="20"/>
  <c r="X288" i="20"/>
  <c r="Y41" i="55" s="1"/>
  <c r="X289" i="20"/>
  <c r="Y42" i="55" s="1"/>
  <c r="X285" i="20"/>
  <c r="X284" i="20"/>
  <c r="X286" i="20"/>
  <c r="Y39" i="55" s="1"/>
  <c r="X287" i="20"/>
  <c r="Y40" i="55" s="1"/>
  <c r="Y291" i="20"/>
  <c r="Y292" i="20" s="1"/>
  <c r="Y268" i="20"/>
  <c r="U311" i="20"/>
  <c r="Y185" i="20"/>
  <c r="Y183" i="20"/>
  <c r="Z128" i="12" s="1"/>
  <c r="Y184" i="20"/>
  <c r="Y186" i="20"/>
  <c r="Y187" i="20"/>
  <c r="Y149" i="19" s="1"/>
  <c r="Y193" i="20"/>
  <c r="Y191" i="20"/>
  <c r="Y190" i="20"/>
  <c r="Y189" i="20"/>
  <c r="Y192" i="20"/>
  <c r="Y180" i="20"/>
  <c r="Y178" i="20"/>
  <c r="Y181" i="20"/>
  <c r="Y177" i="20"/>
  <c r="Z116" i="12" s="1"/>
  <c r="Y179" i="20"/>
  <c r="Z171" i="20"/>
  <c r="Z173" i="20"/>
  <c r="Z182" i="20" s="1"/>
  <c r="Z144" i="19" s="1"/>
  <c r="AA125" i="14" s="1"/>
  <c r="Z170" i="20"/>
  <c r="Z176" i="20" s="1"/>
  <c r="Z172" i="20"/>
  <c r="Z224" i="20" s="1"/>
  <c r="Z174" i="20"/>
  <c r="Z188" i="20" s="1"/>
  <c r="AA137" i="12" s="1"/>
  <c r="DM39" i="55" l="1"/>
  <c r="V246" i="19"/>
  <c r="BC41" i="55" s="1"/>
  <c r="DL38" i="55"/>
  <c r="DM42" i="55"/>
  <c r="DM38" i="55"/>
  <c r="DL40" i="55"/>
  <c r="DL86" i="55"/>
  <c r="DL42" i="55"/>
  <c r="DL65" i="55"/>
  <c r="DL64" i="55"/>
  <c r="DL87" i="55"/>
  <c r="DL63" i="55"/>
  <c r="DL62" i="55"/>
  <c r="DL84" i="55"/>
  <c r="DL88" i="55"/>
  <c r="V247" i="19"/>
  <c r="BC42" i="55" s="1"/>
  <c r="DL41" i="55"/>
  <c r="DL85" i="55"/>
  <c r="DM64" i="55"/>
  <c r="DM65" i="55"/>
  <c r="DM63" i="55"/>
  <c r="DM88" i="55"/>
  <c r="DM62" i="55"/>
  <c r="DM87" i="55"/>
  <c r="DM61" i="55"/>
  <c r="DM86" i="55"/>
  <c r="DM85" i="55"/>
  <c r="DM84" i="55"/>
  <c r="DM40" i="55"/>
  <c r="V244" i="19"/>
  <c r="BC39" i="55" s="1"/>
  <c r="DL39" i="55"/>
  <c r="W38" i="55"/>
  <c r="V155" i="14"/>
  <c r="BD34" i="55"/>
  <c r="W227" i="19"/>
  <c r="W243" i="19" s="1"/>
  <c r="V242" i="19"/>
  <c r="V243" i="19"/>
  <c r="V35" i="55"/>
  <c r="V38" i="55"/>
  <c r="Y269" i="20"/>
  <c r="Y289" i="20" s="1"/>
  <c r="Z42" i="55" s="1"/>
  <c r="Z34" i="55"/>
  <c r="X217" i="19"/>
  <c r="W252" i="19"/>
  <c r="Y119" i="14"/>
  <c r="Y143" i="14"/>
  <c r="Y149" i="14"/>
  <c r="W244" i="19"/>
  <c r="BD39" i="55" s="1"/>
  <c r="AA139" i="12"/>
  <c r="AA231" i="12" s="1"/>
  <c r="AA146" i="12"/>
  <c r="Y140" i="19"/>
  <c r="Z119" i="12"/>
  <c r="Y152" i="19"/>
  <c r="Z143" i="12"/>
  <c r="W247" i="19"/>
  <c r="BD42" i="55" s="1"/>
  <c r="Y117" i="14"/>
  <c r="Y150" i="14" s="1"/>
  <c r="Y154" i="14"/>
  <c r="Y148" i="12"/>
  <c r="Y169" i="12" s="1"/>
  <c r="Y225" i="12" a="1"/>
  <c r="Y229" i="12"/>
  <c r="Y232" i="12" s="1"/>
  <c r="Z147" i="12"/>
  <c r="Z115" i="12"/>
  <c r="Y146" i="19"/>
  <c r="Z131" i="14" s="1"/>
  <c r="Z127" i="14" s="1"/>
  <c r="Z131" i="12"/>
  <c r="Z127" i="12" s="1"/>
  <c r="Z227" i="12" s="1"/>
  <c r="W246" i="19"/>
  <c r="BD41" i="55" s="1"/>
  <c r="W245" i="19"/>
  <c r="BD40" i="55" s="1"/>
  <c r="X152" i="14"/>
  <c r="Y229" i="14"/>
  <c r="Y232" i="14" s="1"/>
  <c r="Y225" i="14" a="1"/>
  <c r="Y148" i="14"/>
  <c r="Z146" i="14"/>
  <c r="Z147" i="14"/>
  <c r="Z115" i="14"/>
  <c r="Z138" i="19"/>
  <c r="AA113" i="14" s="1"/>
  <c r="AA113" i="12"/>
  <c r="W242" i="19"/>
  <c r="Y118" i="14"/>
  <c r="Y151" i="14" s="1"/>
  <c r="Y153" i="14"/>
  <c r="X233" i="12"/>
  <c r="X234" i="12" s="1"/>
  <c r="X233" i="14"/>
  <c r="X234" i="14" s="1"/>
  <c r="Y152" i="12"/>
  <c r="X226" i="19"/>
  <c r="DQ34" i="55" s="1"/>
  <c r="V162" i="12"/>
  <c r="V160" i="12" s="1"/>
  <c r="T163" i="12"/>
  <c r="T159" i="12" s="1"/>
  <c r="T161" i="12" s="1"/>
  <c r="W162" i="12"/>
  <c r="W160" i="12" s="1"/>
  <c r="S279" i="19"/>
  <c r="T165" i="14" s="1"/>
  <c r="T164" i="14"/>
  <c r="AZ29" i="58" s="1"/>
  <c r="Z144" i="12"/>
  <c r="Z142" i="12" s="1"/>
  <c r="T279" i="19"/>
  <c r="U165" i="14" s="1"/>
  <c r="U164" i="14"/>
  <c r="BA29" i="58" s="1"/>
  <c r="V155" i="12"/>
  <c r="V163" i="12" s="1"/>
  <c r="V159" i="12" s="1"/>
  <c r="U157" i="14"/>
  <c r="BA28" i="58" s="1"/>
  <c r="U163" i="14"/>
  <c r="U159" i="14" s="1"/>
  <c r="Z145" i="12"/>
  <c r="Z141" i="12" s="1"/>
  <c r="Y182" i="19"/>
  <c r="Y226" i="19" s="1"/>
  <c r="DR34" i="55" s="1"/>
  <c r="W158" i="14"/>
  <c r="Z140" i="12"/>
  <c r="W155" i="12"/>
  <c r="W157" i="12" s="1"/>
  <c r="W28" i="58" s="1"/>
  <c r="S161" i="14"/>
  <c r="T157" i="14"/>
  <c r="AZ28" i="58" s="1"/>
  <c r="T163" i="14"/>
  <c r="T159" i="14" s="1"/>
  <c r="T321" i="20"/>
  <c r="U164" i="12"/>
  <c r="U29" i="58" s="1"/>
  <c r="S321" i="20"/>
  <c r="T164" i="12"/>
  <c r="T29" i="58" s="1"/>
  <c r="Y150" i="12"/>
  <c r="Y149" i="12"/>
  <c r="Y154" i="12"/>
  <c r="Y148" i="19"/>
  <c r="Z133" i="14" s="1"/>
  <c r="Z129" i="14" s="1"/>
  <c r="Z133" i="12"/>
  <c r="Z129" i="12" s="1"/>
  <c r="Y151" i="12"/>
  <c r="Y153" i="12"/>
  <c r="Y145" i="19"/>
  <c r="Z128" i="14" s="1"/>
  <c r="U158" i="12"/>
  <c r="U162" i="12"/>
  <c r="U160" i="12" s="1"/>
  <c r="U157" i="12"/>
  <c r="U28" i="58" s="1"/>
  <c r="U163" i="12"/>
  <c r="U159" i="12" s="1"/>
  <c r="Y147" i="19"/>
  <c r="Z132" i="14" s="1"/>
  <c r="Z130" i="14" s="1"/>
  <c r="Z132" i="12"/>
  <c r="Z130" i="12" s="1"/>
  <c r="Y154" i="19"/>
  <c r="Z145" i="14" s="1"/>
  <c r="Z141" i="14" s="1"/>
  <c r="Y141" i="19"/>
  <c r="Z120" i="14" s="1"/>
  <c r="Z120" i="12"/>
  <c r="Z118" i="12" s="1"/>
  <c r="Y153" i="19"/>
  <c r="Z144" i="14" s="1"/>
  <c r="Z142" i="14" s="1"/>
  <c r="Y155" i="19"/>
  <c r="Y139" i="19"/>
  <c r="Z116" i="14" s="1"/>
  <c r="Y151" i="19"/>
  <c r="Z140" i="14" s="1"/>
  <c r="Y143" i="19"/>
  <c r="Y142" i="19"/>
  <c r="Z121" i="14" s="1"/>
  <c r="Z121" i="12"/>
  <c r="Z117" i="12" s="1"/>
  <c r="W313" i="20"/>
  <c r="U271" i="19"/>
  <c r="BB35" i="55" s="1"/>
  <c r="X253" i="19"/>
  <c r="X256" i="19" s="1"/>
  <c r="X252" i="19"/>
  <c r="W254" i="19"/>
  <c r="W255" i="19" s="1"/>
  <c r="W257" i="19" s="1"/>
  <c r="W256" i="19"/>
  <c r="Y295" i="20"/>
  <c r="Y296" i="20" s="1"/>
  <c r="Y297" i="20" s="1"/>
  <c r="Y299" i="20" s="1"/>
  <c r="Y294" i="20"/>
  <c r="X298" i="20"/>
  <c r="X303" i="20" s="1"/>
  <c r="X304" i="20" s="1"/>
  <c r="V269" i="19"/>
  <c r="DO35" i="55" s="1"/>
  <c r="U315" i="20"/>
  <c r="U320" i="20"/>
  <c r="V320" i="20"/>
  <c r="V315" i="20"/>
  <c r="Z150" i="19"/>
  <c r="AA137" i="14" s="1"/>
  <c r="AA139" i="14" s="1"/>
  <c r="AA231" i="14" s="1"/>
  <c r="Z223" i="20"/>
  <c r="Z291" i="20"/>
  <c r="Z292" i="20" s="1"/>
  <c r="Z268" i="20"/>
  <c r="W311" i="20"/>
  <c r="AA170" i="20"/>
  <c r="AA176" i="20" s="1"/>
  <c r="AA172" i="20"/>
  <c r="AA224" i="20" s="1"/>
  <c r="AA174" i="20"/>
  <c r="AA188" i="20" s="1"/>
  <c r="AB137" i="12" s="1"/>
  <c r="AA171" i="20"/>
  <c r="AA173" i="20"/>
  <c r="AA182" i="20" s="1"/>
  <c r="AA144" i="19" s="1"/>
  <c r="AB125" i="14" s="1"/>
  <c r="Z177" i="20"/>
  <c r="AA116" i="12" s="1"/>
  <c r="Z180" i="20"/>
  <c r="Z178" i="20"/>
  <c r="Z181" i="20"/>
  <c r="Z179" i="20"/>
  <c r="Z183" i="20"/>
  <c r="AA128" i="12" s="1"/>
  <c r="Z184" i="20"/>
  <c r="Z186" i="20"/>
  <c r="Z185" i="20"/>
  <c r="Z187" i="20"/>
  <c r="Z149" i="19" s="1"/>
  <c r="Z189" i="20"/>
  <c r="Z190" i="20"/>
  <c r="Z192" i="20"/>
  <c r="Z193" i="20"/>
  <c r="Z191" i="20"/>
  <c r="Y287" i="20" l="1"/>
  <c r="Z40" i="55" s="1"/>
  <c r="Y288" i="20"/>
  <c r="Z41" i="55" s="1"/>
  <c r="Y286" i="20"/>
  <c r="Z39" i="55" s="1"/>
  <c r="Y284" i="20"/>
  <c r="Y285" i="20"/>
  <c r="DN35" i="55"/>
  <c r="W155" i="14"/>
  <c r="BC35" i="55"/>
  <c r="DO40" i="55" s="1"/>
  <c r="X35" i="55"/>
  <c r="X38" i="55"/>
  <c r="BE34" i="55"/>
  <c r="X227" i="19"/>
  <c r="X245" i="19" s="1"/>
  <c r="BE40" i="55" s="1"/>
  <c r="Z269" i="20"/>
  <c r="Z288" i="20" s="1"/>
  <c r="AA41" i="55" s="1"/>
  <c r="AA34" i="55"/>
  <c r="BB38" i="55"/>
  <c r="DN38" i="55" s="1"/>
  <c r="BF34" i="55"/>
  <c r="Y227" i="19"/>
  <c r="BC38" i="55"/>
  <c r="X221" i="19"/>
  <c r="X220" i="19"/>
  <c r="X222" i="19"/>
  <c r="X218" i="19"/>
  <c r="X219" i="19"/>
  <c r="X223" i="19"/>
  <c r="Y152" i="14"/>
  <c r="V157" i="12"/>
  <c r="W163" i="12"/>
  <c r="W159" i="12" s="1"/>
  <c r="W161" i="12" s="1"/>
  <c r="Y233" i="14"/>
  <c r="Y234" i="14" s="1"/>
  <c r="X247" i="19"/>
  <c r="BE42" i="55" s="1"/>
  <c r="Z149" i="14"/>
  <c r="Z146" i="19"/>
  <c r="AA131" i="14" s="1"/>
  <c r="AA127" i="14" s="1"/>
  <c r="AA227" i="14" s="1"/>
  <c r="AA131" i="12"/>
  <c r="AA127" i="12" s="1"/>
  <c r="AA227" i="12" s="1"/>
  <c r="Z140" i="19"/>
  <c r="AA119" i="12"/>
  <c r="Z117" i="14"/>
  <c r="Z150" i="14" s="1"/>
  <c r="Z154" i="14"/>
  <c r="AA147" i="12"/>
  <c r="AA115" i="12"/>
  <c r="Z143" i="14"/>
  <c r="Z118" i="14"/>
  <c r="Z151" i="14" s="1"/>
  <c r="Z153" i="14"/>
  <c r="Z229" i="14"/>
  <c r="Z225" i="14" a="1"/>
  <c r="AA147" i="14"/>
  <c r="AA115" i="14"/>
  <c r="Z148" i="14"/>
  <c r="Z227" i="14"/>
  <c r="Z152" i="12"/>
  <c r="Z152" i="19"/>
  <c r="AA143" i="12"/>
  <c r="AA138" i="19"/>
  <c r="AB113" i="14" s="1"/>
  <c r="AB113" i="12"/>
  <c r="AB139" i="12"/>
  <c r="AB231" i="12" s="1"/>
  <c r="AB146" i="12"/>
  <c r="AA146" i="14"/>
  <c r="Z229" i="12"/>
  <c r="Z232" i="12" s="1"/>
  <c r="Z225" i="12" a="1"/>
  <c r="Z148" i="12"/>
  <c r="Z169" i="12" s="1"/>
  <c r="Y233" i="12"/>
  <c r="Y234" i="12" s="1"/>
  <c r="Z119" i="14"/>
  <c r="Y249" i="19"/>
  <c r="Y250" i="19" s="1"/>
  <c r="Y252" i="19" s="1"/>
  <c r="U273" i="19"/>
  <c r="V156" i="14"/>
  <c r="U161" i="14"/>
  <c r="U165" i="12"/>
  <c r="X155" i="12"/>
  <c r="X156" i="12"/>
  <c r="X158" i="12" s="1"/>
  <c r="T165" i="12"/>
  <c r="T161" i="14"/>
  <c r="W157" i="14"/>
  <c r="BC28" i="58" s="1"/>
  <c r="W163" i="14"/>
  <c r="W159" i="14" s="1"/>
  <c r="AA144" i="12"/>
  <c r="AA142" i="12" s="1"/>
  <c r="AA140" i="12"/>
  <c r="AA145" i="12"/>
  <c r="AA141" i="12" s="1"/>
  <c r="Z182" i="19"/>
  <c r="Z226" i="19" s="1"/>
  <c r="DS34" i="55" s="1"/>
  <c r="V321" i="20"/>
  <c r="W164" i="12"/>
  <c r="W29" i="58" s="1"/>
  <c r="U321" i="20"/>
  <c r="V164" i="12"/>
  <c r="V29" i="58" s="1"/>
  <c r="Z145" i="19"/>
  <c r="AA128" i="14" s="1"/>
  <c r="Z147" i="19"/>
  <c r="AA132" i="14" s="1"/>
  <c r="AA130" i="14" s="1"/>
  <c r="AA132" i="12"/>
  <c r="AA130" i="12" s="1"/>
  <c r="Z150" i="12"/>
  <c r="Z149" i="12"/>
  <c r="Z151" i="12"/>
  <c r="Z153" i="12"/>
  <c r="U161" i="12"/>
  <c r="Z154" i="12"/>
  <c r="Z148" i="19"/>
  <c r="AA133" i="14" s="1"/>
  <c r="AA129" i="14" s="1"/>
  <c r="AA133" i="12"/>
  <c r="AA129" i="12" s="1"/>
  <c r="Z139" i="19"/>
  <c r="AA116" i="14" s="1"/>
  <c r="Z153" i="19"/>
  <c r="AA144" i="14" s="1"/>
  <c r="AA142" i="14" s="1"/>
  <c r="Z151" i="19"/>
  <c r="AA140" i="14" s="1"/>
  <c r="Z154" i="19"/>
  <c r="AA145" i="14" s="1"/>
  <c r="AA141" i="14" s="1"/>
  <c r="Z141" i="19"/>
  <c r="AA120" i="14" s="1"/>
  <c r="AA120" i="12"/>
  <c r="AA118" i="12" s="1"/>
  <c r="Z155" i="19"/>
  <c r="Z143" i="19"/>
  <c r="Z142" i="19"/>
  <c r="AA121" i="14" s="1"/>
  <c r="AA121" i="12"/>
  <c r="AA117" i="12" s="1"/>
  <c r="V278" i="19"/>
  <c r="V273" i="19"/>
  <c r="Y242" i="19"/>
  <c r="Y244" i="19"/>
  <c r="BF39" i="55" s="1"/>
  <c r="Y246" i="19"/>
  <c r="BF41" i="55" s="1"/>
  <c r="Y245" i="19"/>
  <c r="BF40" i="55" s="1"/>
  <c r="Y243" i="19"/>
  <c r="Y247" i="19"/>
  <c r="BF42" i="55" s="1"/>
  <c r="X261" i="19"/>
  <c r="W261" i="19"/>
  <c r="U278" i="19"/>
  <c r="Z295" i="20"/>
  <c r="Z296" i="20" s="1"/>
  <c r="Z297" i="20" s="1"/>
  <c r="Z299" i="20" s="1"/>
  <c r="Z294" i="20"/>
  <c r="Y298" i="20"/>
  <c r="Y303" i="20" s="1"/>
  <c r="Y304" i="20" s="1"/>
  <c r="X254" i="19"/>
  <c r="X255" i="19" s="1"/>
  <c r="X257" i="19" s="1"/>
  <c r="W320" i="20"/>
  <c r="W315" i="20"/>
  <c r="X311" i="20"/>
  <c r="AA150" i="19"/>
  <c r="AB137" i="14" s="1"/>
  <c r="AB139" i="14" s="1"/>
  <c r="AB231" i="14" s="1"/>
  <c r="AA223" i="20"/>
  <c r="AA268" i="20"/>
  <c r="AA291" i="20"/>
  <c r="AA292" i="20" s="1"/>
  <c r="AB170" i="20"/>
  <c r="AB176" i="20" s="1"/>
  <c r="AB172" i="20"/>
  <c r="AB224" i="20" s="1"/>
  <c r="AB174" i="20"/>
  <c r="AB188" i="20" s="1"/>
  <c r="AC137" i="12" s="1"/>
  <c r="AB171" i="20"/>
  <c r="AB173" i="20"/>
  <c r="AB182" i="20" s="1"/>
  <c r="AB144" i="19" s="1"/>
  <c r="AC125" i="14" s="1"/>
  <c r="AA190" i="20"/>
  <c r="AA191" i="20"/>
  <c r="AA189" i="20"/>
  <c r="AA193" i="20"/>
  <c r="AA192" i="20"/>
  <c r="AA186" i="20"/>
  <c r="AA184" i="20"/>
  <c r="AA187" i="20"/>
  <c r="AA149" i="19" s="1"/>
  <c r="AA183" i="20"/>
  <c r="AB128" i="12" s="1"/>
  <c r="AA185" i="20"/>
  <c r="AA177" i="20"/>
  <c r="AB116" i="12" s="1"/>
  <c r="AA179" i="20"/>
  <c r="AA180" i="20"/>
  <c r="AA181" i="20"/>
  <c r="AA178" i="20"/>
  <c r="DO61" i="55" l="1"/>
  <c r="DO88" i="55"/>
  <c r="DO63" i="55"/>
  <c r="DO38" i="55"/>
  <c r="Z289" i="20"/>
  <c r="AA42" i="55" s="1"/>
  <c r="Z286" i="20"/>
  <c r="AA39" i="55" s="1"/>
  <c r="DO84" i="55"/>
  <c r="Z284" i="20"/>
  <c r="Z287" i="20"/>
  <c r="AA40" i="55" s="1"/>
  <c r="Z285" i="20"/>
  <c r="DO86" i="55"/>
  <c r="DO65" i="55"/>
  <c r="X243" i="19"/>
  <c r="X242" i="19"/>
  <c r="DO41" i="55"/>
  <c r="DO39" i="55"/>
  <c r="X244" i="19"/>
  <c r="BE39" i="55" s="1"/>
  <c r="DO62" i="55"/>
  <c r="DO42" i="55"/>
  <c r="X246" i="19"/>
  <c r="BE41" i="55" s="1"/>
  <c r="DO87" i="55"/>
  <c r="DO64" i="55"/>
  <c r="DO85" i="55"/>
  <c r="DN64" i="55"/>
  <c r="DN88" i="55"/>
  <c r="DN62" i="55"/>
  <c r="DN85" i="55"/>
  <c r="DN61" i="55"/>
  <c r="DN87" i="55"/>
  <c r="DN86" i="55"/>
  <c r="DN84" i="55"/>
  <c r="DN63" i="55"/>
  <c r="DN65" i="55"/>
  <c r="DN40" i="55"/>
  <c r="DN42" i="55"/>
  <c r="DN39" i="55"/>
  <c r="DN41" i="55"/>
  <c r="BG34" i="55"/>
  <c r="Z227" i="19"/>
  <c r="AA269" i="20"/>
  <c r="AA287" i="20" s="1"/>
  <c r="AB40" i="55" s="1"/>
  <c r="AB34" i="55"/>
  <c r="V161" i="12"/>
  <c r="V28" i="58"/>
  <c r="X157" i="12"/>
  <c r="X28" i="58" s="1"/>
  <c r="X163" i="12"/>
  <c r="X159" i="12" s="1"/>
  <c r="Z249" i="19"/>
  <c r="Z250" i="19" s="1"/>
  <c r="Z252" i="19" s="1"/>
  <c r="Z232" i="14"/>
  <c r="X162" i="12"/>
  <c r="X160" i="12" s="1"/>
  <c r="Z152" i="14"/>
  <c r="AA119" i="14"/>
  <c r="AB147" i="12"/>
  <c r="AB115" i="12"/>
  <c r="AA152" i="19"/>
  <c r="AB143" i="12"/>
  <c r="AB147" i="14"/>
  <c r="AB115" i="14"/>
  <c r="Z233" i="14"/>
  <c r="Z234" i="14" s="1"/>
  <c r="AC146" i="12"/>
  <c r="AC139" i="12"/>
  <c r="AC231" i="12" s="1"/>
  <c r="AA117" i="14"/>
  <c r="AA150" i="14" s="1"/>
  <c r="AA154" i="14"/>
  <c r="AA118" i="14"/>
  <c r="AA151" i="14" s="1"/>
  <c r="AA153" i="14"/>
  <c r="AA149" i="14"/>
  <c r="AB138" i="19"/>
  <c r="AC113" i="14" s="1"/>
  <c r="AC113" i="12"/>
  <c r="AA140" i="19"/>
  <c r="AB119" i="12"/>
  <c r="AA146" i="19"/>
  <c r="AB131" i="14" s="1"/>
  <c r="AB127" i="14" s="1"/>
  <c r="AB131" i="12"/>
  <c r="AB127" i="12" s="1"/>
  <c r="AB227" i="12" s="1"/>
  <c r="Z233" i="12"/>
  <c r="Z234" i="12" s="1"/>
  <c r="AA143" i="14"/>
  <c r="AA229" i="14"/>
  <c r="AA232" i="14" s="1"/>
  <c r="AA225" i="14" a="1"/>
  <c r="AA148" i="14"/>
  <c r="AA229" i="12"/>
  <c r="AA232" i="12" s="1"/>
  <c r="AA225" i="12" a="1"/>
  <c r="AA148" i="12"/>
  <c r="AA169" i="12" s="1"/>
  <c r="AA152" i="12"/>
  <c r="AB146" i="14"/>
  <c r="Y253" i="19"/>
  <c r="Y256" i="19" s="1"/>
  <c r="Z217" i="19"/>
  <c r="U279" i="19"/>
  <c r="V165" i="14" s="1"/>
  <c r="V164" i="14"/>
  <c r="BB29" i="58" s="1"/>
  <c r="V279" i="19"/>
  <c r="W165" i="14" s="1"/>
  <c r="W164" i="14"/>
  <c r="BC29" i="58" s="1"/>
  <c r="AB144" i="12"/>
  <c r="AB142" i="12" s="1"/>
  <c r="AB145" i="12"/>
  <c r="AB141" i="12" s="1"/>
  <c r="V165" i="12"/>
  <c r="W161" i="14"/>
  <c r="Y217" i="19"/>
  <c r="AB140" i="12"/>
  <c r="Y155" i="12"/>
  <c r="W165" i="12"/>
  <c r="V158" i="14"/>
  <c r="V162" i="14"/>
  <c r="V160" i="14" s="1"/>
  <c r="V157" i="14"/>
  <c r="BB28" i="58" s="1"/>
  <c r="V163" i="14"/>
  <c r="V159" i="14" s="1"/>
  <c r="AA182" i="19"/>
  <c r="AA249" i="19" s="1"/>
  <c r="AA250" i="19" s="1"/>
  <c r="W321" i="20"/>
  <c r="X164" i="12"/>
  <c r="X29" i="58" s="1"/>
  <c r="AA150" i="12"/>
  <c r="AA154" i="12"/>
  <c r="AA151" i="12"/>
  <c r="AA153" i="12"/>
  <c r="AA147" i="19"/>
  <c r="AB132" i="14" s="1"/>
  <c r="AB130" i="14" s="1"/>
  <c r="AB132" i="12"/>
  <c r="AB130" i="12" s="1"/>
  <c r="AA148" i="19"/>
  <c r="AB133" i="14" s="1"/>
  <c r="AB129" i="14" s="1"/>
  <c r="AB133" i="12"/>
  <c r="AB129" i="12" s="1"/>
  <c r="AA145" i="19"/>
  <c r="AB128" i="14" s="1"/>
  <c r="AA149" i="12"/>
  <c r="AA153" i="19"/>
  <c r="AB144" i="14" s="1"/>
  <c r="AB142" i="14" s="1"/>
  <c r="AA154" i="19"/>
  <c r="AB145" i="14" s="1"/>
  <c r="AB141" i="14" s="1"/>
  <c r="AA141" i="19"/>
  <c r="AB120" i="14" s="1"/>
  <c r="AB120" i="12"/>
  <c r="AB118" i="12" s="1"/>
  <c r="AA155" i="19"/>
  <c r="AA139" i="19"/>
  <c r="AB116" i="14" s="1"/>
  <c r="AA151" i="19"/>
  <c r="AB140" i="14" s="1"/>
  <c r="AA143" i="19"/>
  <c r="AA142" i="19"/>
  <c r="AB121" i="14" s="1"/>
  <c r="AB121" i="12"/>
  <c r="AB117" i="12" s="1"/>
  <c r="Z298" i="20"/>
  <c r="Z303" i="20" s="1"/>
  <c r="Z304" i="20" s="1"/>
  <c r="AA295" i="20"/>
  <c r="AA296" i="20" s="1"/>
  <c r="AA297" i="20" s="1"/>
  <c r="AA299" i="20" s="1"/>
  <c r="AA294" i="20"/>
  <c r="Z242" i="19"/>
  <c r="Z244" i="19"/>
  <c r="BG39" i="55" s="1"/>
  <c r="Z246" i="19"/>
  <c r="BG41" i="55" s="1"/>
  <c r="Z245" i="19"/>
  <c r="BG40" i="55" s="1"/>
  <c r="Z247" i="19"/>
  <c r="BG42" i="55" s="1"/>
  <c r="Z243" i="19"/>
  <c r="W262" i="19"/>
  <c r="W271" i="19" s="1"/>
  <c r="X156" i="14" s="1"/>
  <c r="X262" i="19"/>
  <c r="X269" i="19" s="1"/>
  <c r="AB150" i="19"/>
  <c r="AC137" i="14" s="1"/>
  <c r="AC139" i="14" s="1"/>
  <c r="AC231" i="14" s="1"/>
  <c r="AB223" i="20"/>
  <c r="AB291" i="20"/>
  <c r="AB292" i="20" s="1"/>
  <c r="AB268" i="20"/>
  <c r="X313" i="20"/>
  <c r="Y35" i="55" s="1"/>
  <c r="AC171" i="20"/>
  <c r="AC173" i="20"/>
  <c r="AC182" i="20" s="1"/>
  <c r="AC144" i="19" s="1"/>
  <c r="AD125" i="14" s="1"/>
  <c r="AC170" i="20"/>
  <c r="AC176" i="20" s="1"/>
  <c r="AC172" i="20"/>
  <c r="AC224" i="20" s="1"/>
  <c r="AC174" i="20"/>
  <c r="AC188" i="20" s="1"/>
  <c r="AD137" i="12" s="1"/>
  <c r="AB189" i="20"/>
  <c r="AB190" i="20"/>
  <c r="AB192" i="20"/>
  <c r="AB193" i="20"/>
  <c r="AB191" i="20"/>
  <c r="AB185" i="20"/>
  <c r="AB183" i="20"/>
  <c r="AC128" i="12" s="1"/>
  <c r="AB184" i="20"/>
  <c r="AB187" i="20"/>
  <c r="AB149" i="19" s="1"/>
  <c r="AB186" i="20"/>
  <c r="AB178" i="20"/>
  <c r="AB179" i="20"/>
  <c r="AB180" i="20"/>
  <c r="AB177" i="20"/>
  <c r="AC116" i="12" s="1"/>
  <c r="AB181" i="20"/>
  <c r="AA284" i="20" l="1"/>
  <c r="AA289" i="20"/>
  <c r="AB42" i="55" s="1"/>
  <c r="AA288" i="20"/>
  <c r="AB41" i="55" s="1"/>
  <c r="AA285" i="20"/>
  <c r="AA286" i="20"/>
  <c r="AB39" i="55" s="1"/>
  <c r="AB269" i="20"/>
  <c r="AC34" i="55"/>
  <c r="Y155" i="14"/>
  <c r="Y38" i="55"/>
  <c r="Z253" i="19"/>
  <c r="Z254" i="19" s="1"/>
  <c r="Z255" i="19" s="1"/>
  <c r="Z257" i="19" s="1"/>
  <c r="AA152" i="14"/>
  <c r="Y219" i="19"/>
  <c r="Y221" i="19"/>
  <c r="Y223" i="19"/>
  <c r="Y222" i="19"/>
  <c r="Y220" i="19"/>
  <c r="Y218" i="19"/>
  <c r="Z222" i="19"/>
  <c r="Z219" i="19"/>
  <c r="Z221" i="19"/>
  <c r="Z223" i="19"/>
  <c r="Z220" i="19"/>
  <c r="Z218" i="19"/>
  <c r="Y254" i="19"/>
  <c r="Y255" i="19" s="1"/>
  <c r="Y257" i="19" s="1"/>
  <c r="AA217" i="19"/>
  <c r="X161" i="12"/>
  <c r="AA233" i="12"/>
  <c r="AA234" i="12" s="1"/>
  <c r="AA233" i="14"/>
  <c r="AA234" i="14" s="1"/>
  <c r="AB140" i="19"/>
  <c r="AC119" i="12"/>
  <c r="AB225" i="14" a="1"/>
  <c r="AB227" i="14"/>
  <c r="AC147" i="14"/>
  <c r="AC115" i="14"/>
  <c r="AC146" i="14"/>
  <c r="AB143" i="14"/>
  <c r="AB117" i="14"/>
  <c r="AB150" i="14" s="1"/>
  <c r="AB154" i="14"/>
  <c r="AC147" i="12"/>
  <c r="AC115" i="12"/>
  <c r="AB118" i="14"/>
  <c r="AB151" i="14" s="1"/>
  <c r="AB153" i="14"/>
  <c r="AB152" i="12"/>
  <c r="AB229" i="14"/>
  <c r="AB148" i="14"/>
  <c r="AB229" i="12"/>
  <c r="AB232" i="12" s="1"/>
  <c r="AB148" i="12"/>
  <c r="AB169" i="12" s="1"/>
  <c r="AB225" i="12" a="1"/>
  <c r="AB152" i="19"/>
  <c r="AC143" i="12"/>
  <c r="AC138" i="19"/>
  <c r="AD113" i="14" s="1"/>
  <c r="AD113" i="12"/>
  <c r="AB146" i="19"/>
  <c r="AC131" i="14" s="1"/>
  <c r="AC127" i="14" s="1"/>
  <c r="AC227" i="14" s="1"/>
  <c r="AC131" i="12"/>
  <c r="AC127" i="12" s="1"/>
  <c r="AC227" i="12" s="1"/>
  <c r="AD146" i="12"/>
  <c r="AD139" i="12"/>
  <c r="AD231" i="12" s="1"/>
  <c r="AB149" i="14"/>
  <c r="AB119" i="14"/>
  <c r="AA226" i="19"/>
  <c r="DT34" i="55" s="1"/>
  <c r="AC145" i="12"/>
  <c r="AC141" i="12" s="1"/>
  <c r="AC140" i="12"/>
  <c r="AB182" i="19"/>
  <c r="AB217" i="19" s="1"/>
  <c r="V161" i="14"/>
  <c r="Y156" i="12"/>
  <c r="Y163" i="12" s="1"/>
  <c r="Y159" i="12" s="1"/>
  <c r="AC144" i="12"/>
  <c r="AC142" i="12" s="1"/>
  <c r="X162" i="14"/>
  <c r="X160" i="14" s="1"/>
  <c r="X158" i="14"/>
  <c r="X165" i="12"/>
  <c r="AB145" i="19"/>
  <c r="AC128" i="14" s="1"/>
  <c r="AB151" i="12"/>
  <c r="AB153" i="12"/>
  <c r="AB148" i="19"/>
  <c r="AC133" i="14" s="1"/>
  <c r="AC129" i="14" s="1"/>
  <c r="AC133" i="12"/>
  <c r="AC129" i="12" s="1"/>
  <c r="AB147" i="19"/>
  <c r="AC132" i="14" s="1"/>
  <c r="AC130" i="14" s="1"/>
  <c r="AC132" i="12"/>
  <c r="AC130" i="12" s="1"/>
  <c r="AB150" i="12"/>
  <c r="AB154" i="12"/>
  <c r="AB149" i="12"/>
  <c r="AB139" i="19"/>
  <c r="AC116" i="14" s="1"/>
  <c r="AB141" i="19"/>
  <c r="AC120" i="14" s="1"/>
  <c r="AC120" i="12"/>
  <c r="AC118" i="12" s="1"/>
  <c r="AB155" i="19"/>
  <c r="AB153" i="19"/>
  <c r="AC144" i="14" s="1"/>
  <c r="AC142" i="14" s="1"/>
  <c r="AB151" i="19"/>
  <c r="AC140" i="14" s="1"/>
  <c r="AB154" i="19"/>
  <c r="AC145" i="14" s="1"/>
  <c r="AC141" i="14" s="1"/>
  <c r="AB143" i="19"/>
  <c r="AB142" i="19"/>
  <c r="AC121" i="14" s="1"/>
  <c r="AC121" i="12"/>
  <c r="AC117" i="12" s="1"/>
  <c r="W269" i="19"/>
  <c r="DP35" i="55" s="1"/>
  <c r="AA298" i="20"/>
  <c r="AA303" i="20" s="1"/>
  <c r="AA304" i="20" s="1"/>
  <c r="X271" i="19"/>
  <c r="BE38" i="55" s="1"/>
  <c r="AB295" i="20"/>
  <c r="AB296" i="20" s="1"/>
  <c r="AB297" i="20" s="1"/>
  <c r="AB299" i="20" s="1"/>
  <c r="AB294" i="20"/>
  <c r="AA253" i="19"/>
  <c r="AA252" i="19"/>
  <c r="Y261" i="19"/>
  <c r="Y262" i="19" s="1"/>
  <c r="Y269" i="19" s="1"/>
  <c r="AC150" i="19"/>
  <c r="AD137" i="14" s="1"/>
  <c r="AD139" i="14" s="1"/>
  <c r="AD231" i="14" s="1"/>
  <c r="AC223" i="20"/>
  <c r="AB286" i="20"/>
  <c r="AC39" i="55" s="1"/>
  <c r="AB284" i="20"/>
  <c r="AB287" i="20"/>
  <c r="AC40" i="55" s="1"/>
  <c r="AB285" i="20"/>
  <c r="AB288" i="20"/>
  <c r="AC41" i="55" s="1"/>
  <c r="AB289" i="20"/>
  <c r="AC42" i="55" s="1"/>
  <c r="AC291" i="20"/>
  <c r="AC292" i="20" s="1"/>
  <c r="AC268" i="20"/>
  <c r="X315" i="20"/>
  <c r="X320" i="20"/>
  <c r="Z311" i="20"/>
  <c r="Y311" i="20"/>
  <c r="AD171" i="20"/>
  <c r="AD173" i="20"/>
  <c r="AD182" i="20" s="1"/>
  <c r="AD144" i="19" s="1"/>
  <c r="AE125" i="14" s="1"/>
  <c r="AD170" i="20"/>
  <c r="AD176" i="20" s="1"/>
  <c r="AD172" i="20"/>
  <c r="AD224" i="20" s="1"/>
  <c r="AD174" i="20"/>
  <c r="AD188" i="20" s="1"/>
  <c r="AE137" i="12" s="1"/>
  <c r="AC177" i="20"/>
  <c r="AD116" i="12" s="1"/>
  <c r="AC179" i="20"/>
  <c r="AC180" i="20"/>
  <c r="AC178" i="20"/>
  <c r="AC181" i="20"/>
  <c r="AC184" i="20"/>
  <c r="AC187" i="20"/>
  <c r="AC149" i="19" s="1"/>
  <c r="AC185" i="20"/>
  <c r="AC186" i="20"/>
  <c r="AC183" i="20"/>
  <c r="AD128" i="12" s="1"/>
  <c r="AC191" i="20"/>
  <c r="AC192" i="20"/>
  <c r="AC193" i="20"/>
  <c r="AC189" i="20"/>
  <c r="AC190" i="20"/>
  <c r="DQ35" i="55" l="1"/>
  <c r="BE35" i="55"/>
  <c r="BH34" i="55"/>
  <c r="AA227" i="19"/>
  <c r="AA246" i="19" s="1"/>
  <c r="BH41" i="55" s="1"/>
  <c r="AC269" i="20"/>
  <c r="AD34" i="55"/>
  <c r="W273" i="19"/>
  <c r="BD35" i="55"/>
  <c r="DP86" i="55" s="1"/>
  <c r="BD38" i="55"/>
  <c r="Z155" i="14"/>
  <c r="Z256" i="19"/>
  <c r="Z261" i="19" s="1"/>
  <c r="Z262" i="19" s="1"/>
  <c r="Z269" i="19" s="1"/>
  <c r="AA220" i="19"/>
  <c r="AA222" i="19"/>
  <c r="AA218" i="19"/>
  <c r="AA219" i="19"/>
  <c r="AA223" i="19"/>
  <c r="AA221" i="19"/>
  <c r="AB219" i="19"/>
  <c r="AB220" i="19"/>
  <c r="AB222" i="19"/>
  <c r="AB218" i="19"/>
  <c r="AB221" i="19"/>
  <c r="AB223" i="19"/>
  <c r="Y157" i="12"/>
  <c r="Y28" i="58" s="1"/>
  <c r="AB232" i="14"/>
  <c r="AC143" i="14"/>
  <c r="AA244" i="19"/>
  <c r="BH39" i="55" s="1"/>
  <c r="AA245" i="19"/>
  <c r="BH40" i="55" s="1"/>
  <c r="AC149" i="14"/>
  <c r="AC152" i="19"/>
  <c r="AD143" i="12"/>
  <c r="AC117" i="14"/>
  <c r="AC150" i="14" s="1"/>
  <c r="AC154" i="14"/>
  <c r="AD138" i="19"/>
  <c r="AE113" i="14" s="1"/>
  <c r="AE113" i="12"/>
  <c r="AD147" i="12"/>
  <c r="AD115" i="12"/>
  <c r="AB233" i="14"/>
  <c r="AB234" i="14" s="1"/>
  <c r="AC229" i="12"/>
  <c r="AC232" i="12" s="1"/>
  <c r="AC148" i="12"/>
  <c r="AC169" i="12" s="1"/>
  <c r="AC225" i="12" a="1"/>
  <c r="AC146" i="19"/>
  <c r="AD131" i="14" s="1"/>
  <c r="AD127" i="14" s="1"/>
  <c r="AD131" i="12"/>
  <c r="AD127" i="12" s="1"/>
  <c r="AD227" i="12" s="1"/>
  <c r="AD147" i="14"/>
  <c r="AD115" i="14"/>
  <c r="AC229" i="14"/>
  <c r="AC232" i="14" s="1"/>
  <c r="AC148" i="14"/>
  <c r="AC225" i="14" a="1"/>
  <c r="AC152" i="12"/>
  <c r="AC140" i="19"/>
  <c r="AD119" i="12"/>
  <c r="AE139" i="12"/>
  <c r="AE231" i="12" s="1"/>
  <c r="AE146" i="12"/>
  <c r="AC118" i="14"/>
  <c r="AC151" i="14" s="1"/>
  <c r="AC153" i="14"/>
  <c r="Y162" i="12"/>
  <c r="Y160" i="12" s="1"/>
  <c r="AB152" i="14"/>
  <c r="AB233" i="12"/>
  <c r="AB234" i="12" s="1"/>
  <c r="AD146" i="14"/>
  <c r="AC119" i="14"/>
  <c r="AA243" i="19"/>
  <c r="AA242" i="19"/>
  <c r="AB226" i="19"/>
  <c r="DU34" i="55" s="1"/>
  <c r="AB249" i="19"/>
  <c r="AB250" i="19" s="1"/>
  <c r="AB253" i="19" s="1"/>
  <c r="Y158" i="12"/>
  <c r="AD145" i="12"/>
  <c r="AD141" i="12" s="1"/>
  <c r="X278" i="19"/>
  <c r="Y156" i="14"/>
  <c r="Z155" i="12"/>
  <c r="AD144" i="12"/>
  <c r="AD142" i="12" s="1"/>
  <c r="AD140" i="12"/>
  <c r="AA155" i="12"/>
  <c r="AC182" i="19"/>
  <c r="AC217" i="19" s="1"/>
  <c r="W278" i="19"/>
  <c r="X155" i="14"/>
  <c r="X321" i="20"/>
  <c r="Y164" i="12"/>
  <c r="Y29" i="58" s="1"/>
  <c r="AC145" i="19"/>
  <c r="AD128" i="14" s="1"/>
  <c r="AC151" i="12"/>
  <c r="AC153" i="12"/>
  <c r="AC154" i="12"/>
  <c r="AC150" i="12"/>
  <c r="AC148" i="19"/>
  <c r="AD133" i="14" s="1"/>
  <c r="AD129" i="14" s="1"/>
  <c r="AD133" i="12"/>
  <c r="AD129" i="12" s="1"/>
  <c r="AC147" i="19"/>
  <c r="AD132" i="14" s="1"/>
  <c r="AD130" i="14" s="1"/>
  <c r="AD132" i="12"/>
  <c r="AD130" i="12" s="1"/>
  <c r="AC149" i="12"/>
  <c r="AC155" i="19"/>
  <c r="AC139" i="19"/>
  <c r="AD116" i="14" s="1"/>
  <c r="AC154" i="19"/>
  <c r="AD145" i="14" s="1"/>
  <c r="AD141" i="14" s="1"/>
  <c r="AC153" i="19"/>
  <c r="AD144" i="14" s="1"/>
  <c r="AD142" i="14" s="1"/>
  <c r="AC151" i="19"/>
  <c r="AD140" i="14" s="1"/>
  <c r="AC141" i="19"/>
  <c r="AD120" i="14" s="1"/>
  <c r="AD120" i="12"/>
  <c r="AD118" i="12" s="1"/>
  <c r="AC143" i="19"/>
  <c r="AC142" i="19"/>
  <c r="AD121" i="14" s="1"/>
  <c r="AD121" i="12"/>
  <c r="AD117" i="12" s="1"/>
  <c r="X273" i="19"/>
  <c r="AA254" i="19"/>
  <c r="AA255" i="19" s="1"/>
  <c r="AA257" i="19" s="1"/>
  <c r="AA256" i="19"/>
  <c r="AC295" i="20"/>
  <c r="AC296" i="20" s="1"/>
  <c r="AC297" i="20" s="1"/>
  <c r="AC299" i="20" s="1"/>
  <c r="AC294" i="20"/>
  <c r="Y271" i="19"/>
  <c r="BF38" i="55" s="1"/>
  <c r="AB298" i="20"/>
  <c r="AB303" i="20" s="1"/>
  <c r="AB304" i="20" s="1"/>
  <c r="AD150" i="19"/>
  <c r="AE137" i="14" s="1"/>
  <c r="AE139" i="14" s="1"/>
  <c r="AE231" i="14" s="1"/>
  <c r="AD223" i="20"/>
  <c r="AD291" i="20"/>
  <c r="AD292" i="20" s="1"/>
  <c r="AD268" i="20"/>
  <c r="Y313" i="20"/>
  <c r="Z35" i="55" s="1"/>
  <c r="Z313" i="20"/>
  <c r="AA35" i="55" s="1"/>
  <c r="AC286" i="20"/>
  <c r="AD39" i="55" s="1"/>
  <c r="AC287" i="20"/>
  <c r="AD40" i="55" s="1"/>
  <c r="AC284" i="20"/>
  <c r="AC285" i="20"/>
  <c r="AC288" i="20"/>
  <c r="AD41" i="55" s="1"/>
  <c r="AC289" i="20"/>
  <c r="AD42" i="55" s="1"/>
  <c r="AD177" i="20"/>
  <c r="AE116" i="12" s="1"/>
  <c r="AD178" i="20"/>
  <c r="AD180" i="20"/>
  <c r="AD179" i="20"/>
  <c r="AD181" i="20"/>
  <c r="AE170" i="20"/>
  <c r="AE176" i="20" s="1"/>
  <c r="AE172" i="20"/>
  <c r="AE224" i="20" s="1"/>
  <c r="AE174" i="20"/>
  <c r="AE188" i="20" s="1"/>
  <c r="AF137" i="12" s="1"/>
  <c r="AE171" i="20"/>
  <c r="AE173" i="20"/>
  <c r="AE182" i="20" s="1"/>
  <c r="AE144" i="19" s="1"/>
  <c r="AF125" i="14" s="1"/>
  <c r="AD183" i="20"/>
  <c r="AE128" i="12" s="1"/>
  <c r="AD186" i="20"/>
  <c r="AD184" i="20"/>
  <c r="AD185" i="20"/>
  <c r="AD187" i="20"/>
  <c r="AD149" i="19" s="1"/>
  <c r="AD189" i="20"/>
  <c r="AD192" i="20"/>
  <c r="AD190" i="20"/>
  <c r="AD191" i="20"/>
  <c r="AD193" i="20"/>
  <c r="DP38" i="55" l="1"/>
  <c r="DP39" i="55"/>
  <c r="DP87" i="55"/>
  <c r="DP85" i="55"/>
  <c r="DP41" i="55"/>
  <c r="DP62" i="55"/>
  <c r="DP63" i="55"/>
  <c r="DP65" i="55"/>
  <c r="AA247" i="19"/>
  <c r="BH42" i="55" s="1"/>
  <c r="DP84" i="55"/>
  <c r="DP61" i="55"/>
  <c r="DQ63" i="55"/>
  <c r="DQ65" i="55"/>
  <c r="DQ64" i="55"/>
  <c r="DQ85" i="55"/>
  <c r="DQ62" i="55"/>
  <c r="DQ86" i="55"/>
  <c r="DQ61" i="55"/>
  <c r="DQ87" i="55"/>
  <c r="DQ88" i="55"/>
  <c r="DQ84" i="55"/>
  <c r="DQ40" i="55"/>
  <c r="DQ42" i="55"/>
  <c r="DQ39" i="55"/>
  <c r="DQ41" i="55"/>
  <c r="DR35" i="55"/>
  <c r="DP88" i="55"/>
  <c r="DP42" i="55"/>
  <c r="DP64" i="55"/>
  <c r="DP40" i="55"/>
  <c r="DQ38" i="55"/>
  <c r="BI34" i="55"/>
  <c r="AB227" i="19"/>
  <c r="AB245" i="19" s="1"/>
  <c r="BI40" i="55" s="1"/>
  <c r="BF35" i="55"/>
  <c r="AD269" i="20"/>
  <c r="AE34" i="55"/>
  <c r="AA38" i="55"/>
  <c r="AA155" i="14"/>
  <c r="Z38" i="55"/>
  <c r="AC152" i="14"/>
  <c r="AC219" i="19"/>
  <c r="AC221" i="19"/>
  <c r="AC223" i="19"/>
  <c r="AC220" i="19"/>
  <c r="AC218" i="19"/>
  <c r="AC222" i="19"/>
  <c r="AD152" i="12"/>
  <c r="Y161" i="12"/>
  <c r="AC233" i="14"/>
  <c r="AC234" i="14" s="1"/>
  <c r="AC233" i="12"/>
  <c r="AC234" i="12" s="1"/>
  <c r="AD119" i="14"/>
  <c r="AD152" i="19"/>
  <c r="AE143" i="12"/>
  <c r="AD229" i="12"/>
  <c r="AD232" i="12" s="1"/>
  <c r="AD148" i="12"/>
  <c r="AD169" i="12" s="1"/>
  <c r="AD225" i="12" a="1"/>
  <c r="AF146" i="12"/>
  <c r="AF139" i="12"/>
  <c r="AF231" i="12" s="1"/>
  <c r="AB252" i="19"/>
  <c r="AD146" i="19"/>
  <c r="AE131" i="14" s="1"/>
  <c r="AE127" i="14" s="1"/>
  <c r="AE131" i="12"/>
  <c r="AE127" i="12" s="1"/>
  <c r="AE227" i="12" s="1"/>
  <c r="AD117" i="14"/>
  <c r="AD150" i="14" s="1"/>
  <c r="AD154" i="14"/>
  <c r="AE146" i="14"/>
  <c r="AD229" i="14"/>
  <c r="AD225" i="14" a="1"/>
  <c r="AD148" i="14"/>
  <c r="AD227" i="14"/>
  <c r="AE115" i="12"/>
  <c r="AE147" i="12"/>
  <c r="AE138" i="19"/>
  <c r="AF113" i="14" s="1"/>
  <c r="AF113" i="12"/>
  <c r="AD140" i="19"/>
  <c r="AE119" i="12"/>
  <c r="AD118" i="14"/>
  <c r="AD151" i="14" s="1"/>
  <c r="AD153" i="14"/>
  <c r="AD149" i="14"/>
  <c r="AE147" i="14"/>
  <c r="AE115" i="14"/>
  <c r="AD143" i="14"/>
  <c r="AC249" i="19"/>
  <c r="AC250" i="19" s="1"/>
  <c r="AC253" i="19" s="1"/>
  <c r="AB246" i="19"/>
  <c r="BI41" i="55" s="1"/>
  <c r="AB242" i="19"/>
  <c r="AB243" i="19"/>
  <c r="AB247" i="19"/>
  <c r="BI42" i="55" s="1"/>
  <c r="AC226" i="19"/>
  <c r="DV34" i="55" s="1"/>
  <c r="AD182" i="19"/>
  <c r="AD217" i="19" s="1"/>
  <c r="AE140" i="12"/>
  <c r="Y273" i="19"/>
  <c r="Z156" i="14"/>
  <c r="Y158" i="14"/>
  <c r="Y162" i="14"/>
  <c r="Y160" i="14" s="1"/>
  <c r="Y163" i="14"/>
  <c r="Y159" i="14" s="1"/>
  <c r="Y157" i="14"/>
  <c r="BE28" i="58" s="1"/>
  <c r="Y165" i="12"/>
  <c r="AE144" i="12"/>
  <c r="AE142" i="12" s="1"/>
  <c r="X157" i="14"/>
  <c r="BD28" i="58" s="1"/>
  <c r="X163" i="14"/>
  <c r="X159" i="14" s="1"/>
  <c r="X279" i="19"/>
  <c r="Y165" i="14" s="1"/>
  <c r="Y164" i="14"/>
  <c r="BE29" i="58" s="1"/>
  <c r="AE145" i="12"/>
  <c r="AE141" i="12" s="1"/>
  <c r="W279" i="19"/>
  <c r="X165" i="14" s="1"/>
  <c r="X164" i="14"/>
  <c r="BD29" i="58" s="1"/>
  <c r="AD150" i="12"/>
  <c r="Y315" i="20"/>
  <c r="Z156" i="12"/>
  <c r="AD148" i="19"/>
  <c r="AE133" i="14" s="1"/>
  <c r="AE129" i="14" s="1"/>
  <c r="AE133" i="12"/>
  <c r="AE129" i="12" s="1"/>
  <c r="AD149" i="12"/>
  <c r="AD145" i="19"/>
  <c r="AE128" i="14" s="1"/>
  <c r="AD147" i="19"/>
  <c r="AE132" i="14" s="1"/>
  <c r="AE130" i="14" s="1"/>
  <c r="AE132" i="12"/>
  <c r="AE130" i="12" s="1"/>
  <c r="Z315" i="20"/>
  <c r="AA156" i="12"/>
  <c r="AD151" i="12"/>
  <c r="AD153" i="12"/>
  <c r="AD154" i="12"/>
  <c r="AD154" i="19"/>
  <c r="AE145" i="14" s="1"/>
  <c r="AE141" i="14" s="1"/>
  <c r="AD139" i="19"/>
  <c r="AE116" i="14" s="1"/>
  <c r="AD155" i="19"/>
  <c r="AD151" i="19"/>
  <c r="AE140" i="14" s="1"/>
  <c r="AD141" i="19"/>
  <c r="AE120" i="14" s="1"/>
  <c r="AE120" i="12"/>
  <c r="AE118" i="12" s="1"/>
  <c r="AD153" i="19"/>
  <c r="AE144" i="14" s="1"/>
  <c r="AE142" i="14" s="1"/>
  <c r="AD143" i="19"/>
  <c r="AD142" i="19"/>
  <c r="AE121" i="14" s="1"/>
  <c r="AE121" i="12"/>
  <c r="AE117" i="12" s="1"/>
  <c r="AC298" i="20"/>
  <c r="AC303" i="20" s="1"/>
  <c r="AC304" i="20" s="1"/>
  <c r="AD295" i="20"/>
  <c r="AD296" i="20" s="1"/>
  <c r="AD297" i="20" s="1"/>
  <c r="AD299" i="20" s="1"/>
  <c r="AD294" i="20"/>
  <c r="Z271" i="19"/>
  <c r="BG35" i="55" s="1"/>
  <c r="AA261" i="19"/>
  <c r="AB254" i="19"/>
  <c r="AB255" i="19" s="1"/>
  <c r="AB257" i="19" s="1"/>
  <c r="AB256" i="19"/>
  <c r="Y278" i="19"/>
  <c r="AE150" i="19"/>
  <c r="AF137" i="14" s="1"/>
  <c r="AF139" i="14" s="1"/>
  <c r="AF231" i="14" s="1"/>
  <c r="AE223" i="20"/>
  <c r="AD287" i="20"/>
  <c r="AE40" i="55" s="1"/>
  <c r="AD289" i="20"/>
  <c r="AE42" i="55" s="1"/>
  <c r="AD284" i="20"/>
  <c r="AD286" i="20"/>
  <c r="AE39" i="55" s="1"/>
  <c r="AD288" i="20"/>
  <c r="AE41" i="55" s="1"/>
  <c r="AD285" i="20"/>
  <c r="Y320" i="20"/>
  <c r="AE291" i="20"/>
  <c r="AE292" i="20" s="1"/>
  <c r="AE268" i="20"/>
  <c r="AA313" i="20"/>
  <c r="AA311" i="20"/>
  <c r="Z320" i="20"/>
  <c r="AB311" i="20"/>
  <c r="AE178" i="20"/>
  <c r="AE179" i="20"/>
  <c r="AE181" i="20"/>
  <c r="AE177" i="20"/>
  <c r="AF116" i="12" s="1"/>
  <c r="AE180" i="20"/>
  <c r="AE186" i="20"/>
  <c r="AE183" i="20"/>
  <c r="AF128" i="12" s="1"/>
  <c r="AE184" i="20"/>
  <c r="AE185" i="20"/>
  <c r="AE187" i="20"/>
  <c r="AE149" i="19" s="1"/>
  <c r="AF170" i="20"/>
  <c r="AF176" i="20" s="1"/>
  <c r="AF172" i="20"/>
  <c r="AF224" i="20" s="1"/>
  <c r="AF174" i="20"/>
  <c r="AF188" i="20" s="1"/>
  <c r="AG137" i="12" s="1"/>
  <c r="AF171" i="20"/>
  <c r="AF173" i="20"/>
  <c r="AF182" i="20" s="1"/>
  <c r="AF144" i="19" s="1"/>
  <c r="AG125" i="14" s="1"/>
  <c r="AE190" i="20"/>
  <c r="AE192" i="20"/>
  <c r="AE191" i="20"/>
  <c r="AE193" i="20"/>
  <c r="AE189" i="20"/>
  <c r="DR38" i="55" l="1"/>
  <c r="DS35" i="55"/>
  <c r="AB244" i="19"/>
  <c r="BI39" i="55" s="1"/>
  <c r="DR84" i="55"/>
  <c r="DR65" i="55"/>
  <c r="DR64" i="55"/>
  <c r="DR62" i="55"/>
  <c r="DR85" i="55"/>
  <c r="DR63" i="55"/>
  <c r="DR88" i="55"/>
  <c r="DR61" i="55"/>
  <c r="DR86" i="55"/>
  <c r="DR87" i="55"/>
  <c r="DR42" i="55"/>
  <c r="DR40" i="55"/>
  <c r="DR41" i="55"/>
  <c r="DR39" i="55"/>
  <c r="BJ34" i="55"/>
  <c r="AC227" i="19"/>
  <c r="AC242" i="19" s="1"/>
  <c r="AB35" i="55"/>
  <c r="AB38" i="55"/>
  <c r="BG38" i="55"/>
  <c r="AE269" i="20"/>
  <c r="AE288" i="20" s="1"/>
  <c r="AF41" i="55" s="1"/>
  <c r="AF34" i="55"/>
  <c r="AD220" i="19"/>
  <c r="AD219" i="19"/>
  <c r="AD221" i="19"/>
  <c r="AD223" i="19"/>
  <c r="AD222" i="19"/>
  <c r="AD218" i="19"/>
  <c r="AC252" i="19"/>
  <c r="AD232" i="14"/>
  <c r="AD152" i="14"/>
  <c r="AD233" i="12"/>
  <c r="AD234" i="12" s="1"/>
  <c r="AC247" i="19"/>
  <c r="BJ42" i="55" s="1"/>
  <c r="AE149" i="14"/>
  <c r="AE140" i="19"/>
  <c r="AF119" i="12"/>
  <c r="AE146" i="19"/>
  <c r="AF131" i="14" s="1"/>
  <c r="AF127" i="14" s="1"/>
  <c r="AF131" i="12"/>
  <c r="AF127" i="12" s="1"/>
  <c r="AF227" i="12" s="1"/>
  <c r="AE117" i="14"/>
  <c r="AE150" i="14" s="1"/>
  <c r="AE154" i="14"/>
  <c r="AE118" i="14"/>
  <c r="AE151" i="14" s="1"/>
  <c r="AE153" i="14"/>
  <c r="AE152" i="12"/>
  <c r="AF146" i="14"/>
  <c r="AE225" i="14" a="1"/>
  <c r="AE227" i="14"/>
  <c r="AG146" i="12"/>
  <c r="AG139" i="12"/>
  <c r="AG231" i="12" s="1"/>
  <c r="AE229" i="14"/>
  <c r="AE148" i="14"/>
  <c r="AF147" i="14"/>
  <c r="AF115" i="14"/>
  <c r="AE152" i="19"/>
  <c r="AF143" i="12"/>
  <c r="AF138" i="19"/>
  <c r="AG113" i="14" s="1"/>
  <c r="AG113" i="12"/>
  <c r="AE119" i="14"/>
  <c r="AD233" i="14"/>
  <c r="AD234" i="14" s="1"/>
  <c r="AF147" i="12"/>
  <c r="AF115" i="12"/>
  <c r="AE229" i="12"/>
  <c r="AE232" i="12" s="1"/>
  <c r="AE225" i="12" a="1"/>
  <c r="AE148" i="12"/>
  <c r="AE169" i="12" s="1"/>
  <c r="AE143" i="14"/>
  <c r="AD226" i="19"/>
  <c r="DW34" i="55" s="1"/>
  <c r="AD249" i="19"/>
  <c r="AD250" i="19" s="1"/>
  <c r="AD253" i="19" s="1"/>
  <c r="AF145" i="12"/>
  <c r="AF141" i="12" s="1"/>
  <c r="AF140" i="12"/>
  <c r="AC155" i="12"/>
  <c r="Y161" i="14"/>
  <c r="Z158" i="14"/>
  <c r="Z157" i="14"/>
  <c r="BF28" i="58" s="1"/>
  <c r="Z162" i="14"/>
  <c r="Z160" i="14" s="1"/>
  <c r="Z163" i="14"/>
  <c r="Z159" i="14" s="1"/>
  <c r="AB156" i="12"/>
  <c r="AB158" i="12" s="1"/>
  <c r="Y279" i="19"/>
  <c r="Z165" i="14" s="1"/>
  <c r="Z164" i="14"/>
  <c r="BF29" i="58" s="1"/>
  <c r="AF144" i="12"/>
  <c r="AF142" i="12" s="1"/>
  <c r="AB155" i="12"/>
  <c r="AE182" i="19"/>
  <c r="AE217" i="19" s="1"/>
  <c r="Z273" i="19"/>
  <c r="AA156" i="14"/>
  <c r="X161" i="14"/>
  <c r="Y321" i="20"/>
  <c r="Z164" i="12"/>
  <c r="Z29" i="58" s="1"/>
  <c r="Z321" i="20"/>
  <c r="AA164" i="12"/>
  <c r="AA29" i="58" s="1"/>
  <c r="AE149" i="12"/>
  <c r="AE147" i="19"/>
  <c r="AF132" i="14" s="1"/>
  <c r="AF130" i="14" s="1"/>
  <c r="AF132" i="12"/>
  <c r="AF130" i="12" s="1"/>
  <c r="AE150" i="12"/>
  <c r="AE154" i="12"/>
  <c r="Z162" i="12"/>
  <c r="Z160" i="12" s="1"/>
  <c r="Z158" i="12"/>
  <c r="Z157" i="12"/>
  <c r="Z28" i="58" s="1"/>
  <c r="Z163" i="12"/>
  <c r="Z159" i="12" s="1"/>
  <c r="AE148" i="19"/>
  <c r="AF133" i="14" s="1"/>
  <c r="AF129" i="14" s="1"/>
  <c r="AF133" i="12"/>
  <c r="AF129" i="12" s="1"/>
  <c r="AE151" i="12"/>
  <c r="AE153" i="12"/>
  <c r="AE145" i="19"/>
  <c r="AF128" i="14" s="1"/>
  <c r="AA158" i="12"/>
  <c r="AA162" i="12"/>
  <c r="AA160" i="12" s="1"/>
  <c r="AA157" i="12"/>
  <c r="AA28" i="58" s="1"/>
  <c r="AA163" i="12"/>
  <c r="AA159" i="12" s="1"/>
  <c r="AE153" i="19"/>
  <c r="AF144" i="14" s="1"/>
  <c r="AF142" i="14" s="1"/>
  <c r="AE141" i="19"/>
  <c r="AF120" i="14" s="1"/>
  <c r="AF120" i="12"/>
  <c r="AF118" i="12" s="1"/>
  <c r="AE139" i="19"/>
  <c r="AF116" i="14" s="1"/>
  <c r="AE154" i="19"/>
  <c r="AF145" i="14" s="1"/>
  <c r="AF141" i="14" s="1"/>
  <c r="AE151" i="19"/>
  <c r="AF140" i="14" s="1"/>
  <c r="AE155" i="19"/>
  <c r="AE143" i="19"/>
  <c r="AE142" i="19"/>
  <c r="AF121" i="14" s="1"/>
  <c r="AF121" i="12"/>
  <c r="AF117" i="12" s="1"/>
  <c r="AB261" i="19"/>
  <c r="AD298" i="20"/>
  <c r="AD303" i="20" s="1"/>
  <c r="AD304" i="20" s="1"/>
  <c r="AC254" i="19"/>
  <c r="AC255" i="19" s="1"/>
  <c r="AC257" i="19" s="1"/>
  <c r="AA262" i="19"/>
  <c r="AA271" i="19" s="1"/>
  <c r="AB156" i="14" s="1"/>
  <c r="AE295" i="20"/>
  <c r="AE296" i="20" s="1"/>
  <c r="AE297" i="20" s="1"/>
  <c r="AE299" i="20" s="1"/>
  <c r="AE294" i="20"/>
  <c r="AC256" i="19"/>
  <c r="Z278" i="19"/>
  <c r="AF150" i="19"/>
  <c r="AG137" i="14" s="1"/>
  <c r="AG139" i="14" s="1"/>
  <c r="AG231" i="14" s="1"/>
  <c r="AF223" i="20"/>
  <c r="AF268" i="20"/>
  <c r="AF291" i="20"/>
  <c r="AF292" i="20" s="1"/>
  <c r="AB313" i="20"/>
  <c r="AC35" i="55" s="1"/>
  <c r="AE287" i="20"/>
  <c r="AF40" i="55" s="1"/>
  <c r="AE284" i="20"/>
  <c r="AE289" i="20"/>
  <c r="AF42" i="55" s="1"/>
  <c r="AE286" i="20"/>
  <c r="AF39" i="55" s="1"/>
  <c r="AA315" i="20"/>
  <c r="AA320" i="20"/>
  <c r="AF189" i="20"/>
  <c r="AF191" i="20"/>
  <c r="AF192" i="20"/>
  <c r="AF193" i="20"/>
  <c r="AF190" i="20"/>
  <c r="AF184" i="20"/>
  <c r="AF185" i="20"/>
  <c r="AF186" i="20"/>
  <c r="AF183" i="20"/>
  <c r="AG128" i="12" s="1"/>
  <c r="AF187" i="20"/>
  <c r="AF149" i="19" s="1"/>
  <c r="AF178" i="20"/>
  <c r="AF177" i="20"/>
  <c r="AG116" i="12" s="1"/>
  <c r="AF181" i="20"/>
  <c r="AF180" i="20"/>
  <c r="AF179" i="20"/>
  <c r="AE285" i="20" l="1"/>
  <c r="DS84" i="55"/>
  <c r="DS65" i="55"/>
  <c r="DS64" i="55"/>
  <c r="DS62" i="55"/>
  <c r="DS88" i="55"/>
  <c r="DS63" i="55"/>
  <c r="DS87" i="55"/>
  <c r="DS61" i="55"/>
  <c r="DS85" i="55"/>
  <c r="DS86" i="55"/>
  <c r="DS40" i="55"/>
  <c r="DS41" i="55"/>
  <c r="DS39" i="55"/>
  <c r="DS42" i="55"/>
  <c r="AC245" i="19"/>
  <c r="BJ40" i="55" s="1"/>
  <c r="DS38" i="55"/>
  <c r="AC246" i="19"/>
  <c r="BJ41" i="55" s="1"/>
  <c r="AC243" i="19"/>
  <c r="AC38" i="55"/>
  <c r="BK34" i="55"/>
  <c r="AD227" i="19"/>
  <c r="AD242" i="19" s="1"/>
  <c r="AF269" i="20"/>
  <c r="AG34" i="55"/>
  <c r="AC244" i="19"/>
  <c r="BJ39" i="55" s="1"/>
  <c r="AE220" i="19"/>
  <c r="AE222" i="19"/>
  <c r="AE218" i="19"/>
  <c r="AE221" i="19"/>
  <c r="AE219" i="19"/>
  <c r="AE223" i="19"/>
  <c r="AE249" i="19"/>
  <c r="AE250" i="19" s="1"/>
  <c r="AE253" i="19" s="1"/>
  <c r="AB157" i="12"/>
  <c r="AB28" i="58" s="1"/>
  <c r="AF143" i="14"/>
  <c r="AD252" i="19"/>
  <c r="AD243" i="19"/>
  <c r="AE152" i="14"/>
  <c r="AE226" i="19"/>
  <c r="DX34" i="55" s="1"/>
  <c r="AD246" i="19"/>
  <c r="BK41" i="55" s="1"/>
  <c r="AE233" i="14"/>
  <c r="AE234" i="14" s="1"/>
  <c r="AG147" i="12"/>
  <c r="AG115" i="12"/>
  <c r="AF229" i="14"/>
  <c r="AF148" i="14"/>
  <c r="AF118" i="14"/>
  <c r="AF151" i="14" s="1"/>
  <c r="AF153" i="14"/>
  <c r="AF229" i="12"/>
  <c r="AF232" i="12" s="1"/>
  <c r="AF225" i="12" a="1"/>
  <c r="AF148" i="12"/>
  <c r="AF169" i="12" s="1"/>
  <c r="AF117" i="14"/>
  <c r="AF150" i="14" s="1"/>
  <c r="AF154" i="14"/>
  <c r="AF146" i="19"/>
  <c r="AG131" i="14" s="1"/>
  <c r="AG127" i="14" s="1"/>
  <c r="AG227" i="14" s="1"/>
  <c r="AG131" i="12"/>
  <c r="AG127" i="12" s="1"/>
  <c r="AG227" i="12" s="1"/>
  <c r="AF149" i="14"/>
  <c r="AE233" i="12"/>
  <c r="AE234" i="12" s="1"/>
  <c r="AG146" i="14"/>
  <c r="AG147" i="14"/>
  <c r="AG115" i="14"/>
  <c r="AF152" i="12"/>
  <c r="AF225" i="14" a="1"/>
  <c r="AF227" i="14"/>
  <c r="AF140" i="19"/>
  <c r="AG119" i="12"/>
  <c r="AF152" i="19"/>
  <c r="AG143" i="12"/>
  <c r="AE232" i="14"/>
  <c r="AF119" i="14"/>
  <c r="AB162" i="12"/>
  <c r="AB160" i="12" s="1"/>
  <c r="AB163" i="12"/>
  <c r="AB159" i="12" s="1"/>
  <c r="AG140" i="12"/>
  <c r="Z161" i="14"/>
  <c r="AG144" i="12"/>
  <c r="AG142" i="12" s="1"/>
  <c r="AF182" i="19"/>
  <c r="AF249" i="19" s="1"/>
  <c r="AF250" i="19" s="1"/>
  <c r="AB158" i="14"/>
  <c r="AB162" i="14"/>
  <c r="AB160" i="14" s="1"/>
  <c r="Z165" i="12"/>
  <c r="AA165" i="12"/>
  <c r="AA158" i="14"/>
  <c r="AA162" i="14"/>
  <c r="AA160" i="14" s="1"/>
  <c r="AA157" i="14"/>
  <c r="BG28" i="58" s="1"/>
  <c r="AA163" i="14"/>
  <c r="AA159" i="14" s="1"/>
  <c r="AG145" i="12"/>
  <c r="AG141" i="12" s="1"/>
  <c r="Z279" i="19"/>
  <c r="AA165" i="14" s="1"/>
  <c r="AA164" i="14"/>
  <c r="BG29" i="58" s="1"/>
  <c r="AA321" i="20"/>
  <c r="AB164" i="12"/>
  <c r="AB29" i="58" s="1"/>
  <c r="AF148" i="19"/>
  <c r="AG133" i="14" s="1"/>
  <c r="AG129" i="14" s="1"/>
  <c r="AG133" i="12"/>
  <c r="AG129" i="12" s="1"/>
  <c r="AF150" i="12"/>
  <c r="AF154" i="12"/>
  <c r="AF147" i="19"/>
  <c r="AG132" i="14" s="1"/>
  <c r="AG130" i="14" s="1"/>
  <c r="AG132" i="12"/>
  <c r="AG130" i="12" s="1"/>
  <c r="AF151" i="12"/>
  <c r="AF153" i="12"/>
  <c r="AF149" i="12"/>
  <c r="AA161" i="12"/>
  <c r="Z161" i="12"/>
  <c r="AB320" i="20"/>
  <c r="AC156" i="12"/>
  <c r="AF145" i="19"/>
  <c r="AG128" i="14" s="1"/>
  <c r="AF155" i="19"/>
  <c r="AF139" i="19"/>
  <c r="AG116" i="14" s="1"/>
  <c r="AF141" i="19"/>
  <c r="AG120" i="14" s="1"/>
  <c r="AG120" i="12"/>
  <c r="AG118" i="12" s="1"/>
  <c r="AF154" i="19"/>
  <c r="AG145" i="14" s="1"/>
  <c r="AG141" i="14" s="1"/>
  <c r="AF153" i="19"/>
  <c r="AG144" i="14" s="1"/>
  <c r="AG142" i="14" s="1"/>
  <c r="AF151" i="19"/>
  <c r="AG140" i="14" s="1"/>
  <c r="AF143" i="19"/>
  <c r="AF142" i="19"/>
  <c r="AG121" i="14" s="1"/>
  <c r="AG121" i="12"/>
  <c r="AG117" i="12" s="1"/>
  <c r="AF295" i="20"/>
  <c r="AF296" i="20" s="1"/>
  <c r="AF297" i="20" s="1"/>
  <c r="AF299" i="20" s="1"/>
  <c r="AF294" i="20"/>
  <c r="AA269" i="19"/>
  <c r="DT35" i="55" s="1"/>
  <c r="AD254" i="19"/>
  <c r="AD255" i="19" s="1"/>
  <c r="AD257" i="19" s="1"/>
  <c r="AC261" i="19"/>
  <c r="AE298" i="20"/>
  <c r="AE303" i="20" s="1"/>
  <c r="AE304" i="20" s="1"/>
  <c r="AD256" i="19"/>
  <c r="AB262" i="19"/>
  <c r="AB271" i="19" s="1"/>
  <c r="AC156" i="14" s="1"/>
  <c r="AB315" i="20"/>
  <c r="AF285" i="20"/>
  <c r="AF287" i="20"/>
  <c r="AG40" i="55" s="1"/>
  <c r="AF284" i="20"/>
  <c r="AF286" i="20"/>
  <c r="AG39" i="55" s="1"/>
  <c r="AF289" i="20"/>
  <c r="AG42" i="55" s="1"/>
  <c r="AF288" i="20"/>
  <c r="AG41" i="55" s="1"/>
  <c r="AC313" i="20"/>
  <c r="AC311" i="20"/>
  <c r="AD245" i="19" l="1"/>
  <c r="BK40" i="55" s="1"/>
  <c r="AD247" i="19"/>
  <c r="BK42" i="55" s="1"/>
  <c r="AB155" i="14"/>
  <c r="BH35" i="55"/>
  <c r="DT86" i="55" s="1"/>
  <c r="BH38" i="55"/>
  <c r="AD35" i="55"/>
  <c r="AD38" i="55"/>
  <c r="AD244" i="19"/>
  <c r="BK39" i="55" s="1"/>
  <c r="BL34" i="55"/>
  <c r="AE227" i="19"/>
  <c r="AE245" i="19" s="1"/>
  <c r="BL40" i="55" s="1"/>
  <c r="AE252" i="19"/>
  <c r="AE244" i="19"/>
  <c r="BL39" i="55" s="1"/>
  <c r="AF152" i="14"/>
  <c r="AB161" i="12"/>
  <c r="AF233" i="12"/>
  <c r="AF234" i="12" s="1"/>
  <c r="AF232" i="14"/>
  <c r="AF233" i="14"/>
  <c r="AF234" i="14" s="1"/>
  <c r="AG149" i="14"/>
  <c r="AG152" i="12"/>
  <c r="AG119" i="14"/>
  <c r="AG229" i="14"/>
  <c r="AG232" i="14" s="1"/>
  <c r="AG225" i="14" a="1"/>
  <c r="AG148" i="14"/>
  <c r="AG118" i="14"/>
  <c r="AG151" i="14" s="1"/>
  <c r="AG153" i="14"/>
  <c r="AG229" i="12"/>
  <c r="AG232" i="12" s="1"/>
  <c r="AG148" i="12"/>
  <c r="AG169" i="12" s="1"/>
  <c r="AG225" i="12" a="1"/>
  <c r="AG117" i="14"/>
  <c r="AG150" i="14" s="1"/>
  <c r="AG154" i="14"/>
  <c r="AG143" i="14"/>
  <c r="AF226" i="19"/>
  <c r="DY34" i="55" s="1"/>
  <c r="AF217" i="19"/>
  <c r="AD155" i="12"/>
  <c r="AB157" i="14"/>
  <c r="BH28" i="58" s="1"/>
  <c r="AB163" i="14"/>
  <c r="AB159" i="14" s="1"/>
  <c r="AA161" i="14"/>
  <c r="AB165" i="12"/>
  <c r="AD156" i="12"/>
  <c r="AD158" i="12" s="1"/>
  <c r="AC158" i="14"/>
  <c r="AC162" i="14"/>
  <c r="AC160" i="14" s="1"/>
  <c r="AG150" i="12"/>
  <c r="AB321" i="20"/>
  <c r="AC164" i="12"/>
  <c r="AC29" i="58" s="1"/>
  <c r="AG149" i="12"/>
  <c r="AG154" i="12"/>
  <c r="AG151" i="12"/>
  <c r="AG153" i="12"/>
  <c r="AC158" i="12"/>
  <c r="AC162" i="12"/>
  <c r="AC160" i="12" s="1"/>
  <c r="AC163" i="12"/>
  <c r="AC159" i="12" s="1"/>
  <c r="AC157" i="12"/>
  <c r="AC28" i="58" s="1"/>
  <c r="AB269" i="19"/>
  <c r="DU35" i="55" s="1"/>
  <c r="AF298" i="20"/>
  <c r="AF303" i="20" s="1"/>
  <c r="AF304" i="20" s="1"/>
  <c r="AC262" i="19"/>
  <c r="AC271" i="19" s="1"/>
  <c r="AD156" i="14" s="1"/>
  <c r="AD261" i="19"/>
  <c r="AE254" i="19"/>
  <c r="AE255" i="19" s="1"/>
  <c r="AE257" i="19" s="1"/>
  <c r="AA273" i="19"/>
  <c r="AA278" i="19"/>
  <c r="AF253" i="19"/>
  <c r="AF252" i="19"/>
  <c r="AE256" i="19"/>
  <c r="AC315" i="20"/>
  <c r="AC320" i="20"/>
  <c r="AD313" i="20"/>
  <c r="AD311" i="20"/>
  <c r="AE311" i="20"/>
  <c r="DT42" i="55" l="1"/>
  <c r="DT88" i="55"/>
  <c r="DT39" i="55"/>
  <c r="DT61" i="55"/>
  <c r="DT40" i="55"/>
  <c r="DT87" i="55"/>
  <c r="DT41" i="55"/>
  <c r="DT65" i="55"/>
  <c r="DT63" i="55"/>
  <c r="DT85" i="55"/>
  <c r="DT64" i="55"/>
  <c r="DT62" i="55"/>
  <c r="DT84" i="55"/>
  <c r="AE247" i="19"/>
  <c r="BL42" i="55" s="1"/>
  <c r="DT38" i="55"/>
  <c r="AE35" i="55"/>
  <c r="AE38" i="55"/>
  <c r="BM34" i="55"/>
  <c r="AF227" i="19"/>
  <c r="AF243" i="19" s="1"/>
  <c r="BI35" i="55"/>
  <c r="DU65" i="55" s="1"/>
  <c r="BI38" i="55"/>
  <c r="DU38" i="55" s="1"/>
  <c r="AE242" i="19"/>
  <c r="AE246" i="19"/>
  <c r="BL41" i="55" s="1"/>
  <c r="AE243" i="19"/>
  <c r="AG233" i="14"/>
  <c r="AG234" i="14" s="1"/>
  <c r="AF221" i="19"/>
  <c r="AF220" i="19"/>
  <c r="AF222" i="19"/>
  <c r="AF218" i="19"/>
  <c r="AF219" i="19"/>
  <c r="AF223" i="19"/>
  <c r="AG233" i="12"/>
  <c r="AG234" i="12" s="1"/>
  <c r="AF247" i="19"/>
  <c r="BM42" i="55" s="1"/>
  <c r="AG152" i="14"/>
  <c r="AD162" i="12"/>
  <c r="AD160" i="12" s="1"/>
  <c r="AD163" i="12"/>
  <c r="AD159" i="12" s="1"/>
  <c r="AD157" i="12"/>
  <c r="AD28" i="58" s="1"/>
  <c r="AE155" i="12"/>
  <c r="AB161" i="14"/>
  <c r="AC165" i="12"/>
  <c r="AE156" i="12"/>
  <c r="AE162" i="12" s="1"/>
  <c r="AE160" i="12" s="1"/>
  <c r="AD158" i="14"/>
  <c r="AD162" i="14"/>
  <c r="AD160" i="14" s="1"/>
  <c r="AF155" i="12"/>
  <c r="AA279" i="19"/>
  <c r="AB165" i="14" s="1"/>
  <c r="AB164" i="14"/>
  <c r="BH29" i="58" s="1"/>
  <c r="AB273" i="19"/>
  <c r="AC155" i="14"/>
  <c r="AC321" i="20"/>
  <c r="AD164" i="12"/>
  <c r="AD29" i="58" s="1"/>
  <c r="AC161" i="12"/>
  <c r="AB278" i="19"/>
  <c r="AC269" i="19"/>
  <c r="DV35" i="55" s="1"/>
  <c r="AF254" i="19"/>
  <c r="AF255" i="19" s="1"/>
  <c r="AF257" i="19" s="1"/>
  <c r="AD262" i="19"/>
  <c r="AD269" i="19" s="1"/>
  <c r="AF256" i="19"/>
  <c r="AE261" i="19"/>
  <c r="AE262" i="19" s="1"/>
  <c r="AE269" i="19" s="1"/>
  <c r="AD315" i="20"/>
  <c r="AD320" i="20"/>
  <c r="AF311" i="20"/>
  <c r="AE313" i="20"/>
  <c r="AF35" i="55" s="1"/>
  <c r="AF246" i="19" l="1"/>
  <c r="BM41" i="55" s="1"/>
  <c r="AF242" i="19"/>
  <c r="DU62" i="55"/>
  <c r="DU39" i="55"/>
  <c r="DU63" i="55"/>
  <c r="DU41" i="55"/>
  <c r="DU84" i="55"/>
  <c r="AF245" i="19"/>
  <c r="BM40" i="55" s="1"/>
  <c r="DU42" i="55"/>
  <c r="DU88" i="55"/>
  <c r="DU40" i="55"/>
  <c r="DU85" i="55"/>
  <c r="AF244" i="19"/>
  <c r="BM39" i="55" s="1"/>
  <c r="DU64" i="55"/>
  <c r="DU61" i="55"/>
  <c r="DU87" i="55"/>
  <c r="DU86" i="55"/>
  <c r="AE155" i="14"/>
  <c r="AC273" i="19"/>
  <c r="BJ35" i="55"/>
  <c r="DV61" i="55" s="1"/>
  <c r="BJ38" i="55"/>
  <c r="AF38" i="55"/>
  <c r="AF155" i="14"/>
  <c r="AE157" i="12"/>
  <c r="AE28" i="58" s="1"/>
  <c r="AD161" i="12"/>
  <c r="AE163" i="12"/>
  <c r="AE159" i="12" s="1"/>
  <c r="AG155" i="12"/>
  <c r="AC157" i="14"/>
  <c r="BI28" i="58" s="1"/>
  <c r="AC163" i="14"/>
  <c r="AC159" i="14" s="1"/>
  <c r="AB279" i="19"/>
  <c r="AC165" i="14" s="1"/>
  <c r="AC164" i="14"/>
  <c r="BI29" i="58" s="1"/>
  <c r="AE158" i="12"/>
  <c r="AD165" i="12"/>
  <c r="AC278" i="19"/>
  <c r="AD155" i="14"/>
  <c r="AD321" i="20"/>
  <c r="AE164" i="12"/>
  <c r="AE29" i="58" s="1"/>
  <c r="AE315" i="20"/>
  <c r="AF156" i="12"/>
  <c r="AF261" i="19"/>
  <c r="AF262" i="19" s="1"/>
  <c r="AF269" i="19" s="1"/>
  <c r="AE271" i="19"/>
  <c r="BL38" i="55" s="1"/>
  <c r="AD271" i="19"/>
  <c r="BK38" i="55" s="1"/>
  <c r="AE320" i="20"/>
  <c r="AF313" i="20"/>
  <c r="AG35" i="55" s="1"/>
  <c r="DV38" i="55" l="1"/>
  <c r="DV41" i="55"/>
  <c r="DV88" i="55"/>
  <c r="DW35" i="55"/>
  <c r="DW38" i="55" s="1"/>
  <c r="DV42" i="55"/>
  <c r="DV63" i="55"/>
  <c r="DV65" i="55"/>
  <c r="DV85" i="55"/>
  <c r="BK35" i="55"/>
  <c r="DV64" i="55"/>
  <c r="DV62" i="55"/>
  <c r="DV84" i="55"/>
  <c r="DV86" i="55"/>
  <c r="DV40" i="55"/>
  <c r="DV87" i="55"/>
  <c r="DV39" i="55"/>
  <c r="DX35" i="55"/>
  <c r="BL35" i="55"/>
  <c r="AG155" i="14"/>
  <c r="AG38" i="55"/>
  <c r="AE161" i="12"/>
  <c r="AC161" i="14"/>
  <c r="AC279" i="19"/>
  <c r="AD165" i="14" s="1"/>
  <c r="AD164" i="14"/>
  <c r="BJ29" i="58" s="1"/>
  <c r="AD273" i="19"/>
  <c r="AE156" i="14"/>
  <c r="AE278" i="19"/>
  <c r="AF156" i="14"/>
  <c r="AD157" i="14"/>
  <c r="BJ28" i="58" s="1"/>
  <c r="AD163" i="14"/>
  <c r="AD159" i="14" s="1"/>
  <c r="AE165" i="12"/>
  <c r="AE321" i="20"/>
  <c r="AF164" i="12"/>
  <c r="AF29" i="58" s="1"/>
  <c r="AF162" i="12"/>
  <c r="AF160" i="12" s="1"/>
  <c r="AF163" i="12"/>
  <c r="AF159" i="12" s="1"/>
  <c r="AF158" i="12"/>
  <c r="AF157" i="12"/>
  <c r="AF28" i="58" s="1"/>
  <c r="AF315" i="20"/>
  <c r="AG156" i="12"/>
  <c r="AE273" i="19"/>
  <c r="AF271" i="19"/>
  <c r="BM35" i="55" s="1"/>
  <c r="AD278" i="19"/>
  <c r="AF320" i="20"/>
  <c r="DY35" i="55" l="1"/>
  <c r="DX84" i="55"/>
  <c r="DX62" i="55"/>
  <c r="DX65" i="55"/>
  <c r="DX63" i="55"/>
  <c r="DX86" i="55"/>
  <c r="DX64" i="55"/>
  <c r="DX85" i="55"/>
  <c r="DX61" i="55"/>
  <c r="DX87" i="55"/>
  <c r="DX88" i="55"/>
  <c r="DX39" i="55"/>
  <c r="DX40" i="55"/>
  <c r="DX41" i="55"/>
  <c r="DX42" i="55"/>
  <c r="DW87" i="55"/>
  <c r="DW63" i="55"/>
  <c r="DW88" i="55"/>
  <c r="DW61" i="55"/>
  <c r="DW86" i="55"/>
  <c r="DW85" i="55"/>
  <c r="DW84" i="55"/>
  <c r="DW62" i="55"/>
  <c r="DW65" i="55"/>
  <c r="DW64" i="55"/>
  <c r="DW40" i="55"/>
  <c r="DW42" i="55"/>
  <c r="DW41" i="55"/>
  <c r="DW39" i="55"/>
  <c r="DX38" i="55"/>
  <c r="BM38" i="55"/>
  <c r="DY38" i="55" s="1"/>
  <c r="AD161" i="14"/>
  <c r="AF158" i="14"/>
  <c r="AF162" i="14"/>
  <c r="AF160" i="14" s="1"/>
  <c r="AF157" i="14"/>
  <c r="BL28" i="58" s="1"/>
  <c r="AF163" i="14"/>
  <c r="AF159" i="14" s="1"/>
  <c r="AD279" i="19"/>
  <c r="AE165" i="14" s="1"/>
  <c r="AE164" i="14"/>
  <c r="BK29" i="58" s="1"/>
  <c r="AE279" i="19"/>
  <c r="AF165" i="14" s="1"/>
  <c r="AF164" i="14"/>
  <c r="BL29" i="58" s="1"/>
  <c r="AF165" i="12"/>
  <c r="AF278" i="19"/>
  <c r="AG156" i="14"/>
  <c r="AE158" i="14"/>
  <c r="AE162" i="14"/>
  <c r="AE160" i="14" s="1"/>
  <c r="AE157" i="14"/>
  <c r="BK28" i="58" s="1"/>
  <c r="AE163" i="14"/>
  <c r="AE159" i="14" s="1"/>
  <c r="AF321" i="20"/>
  <c r="AG164" i="12"/>
  <c r="AG29" i="58" s="1"/>
  <c r="AF161" i="12"/>
  <c r="AG158" i="12"/>
  <c r="AG162" i="12"/>
  <c r="AG160" i="12" s="1"/>
  <c r="AG157" i="12"/>
  <c r="AG28" i="58" s="1"/>
  <c r="AG163" i="12"/>
  <c r="AG159" i="12" s="1"/>
  <c r="AF273" i="19"/>
  <c r="DY87" i="55" l="1"/>
  <c r="DY63" i="55"/>
  <c r="DY85" i="55"/>
  <c r="DY61" i="55"/>
  <c r="DY86" i="55"/>
  <c r="DY88" i="55"/>
  <c r="DY84" i="55"/>
  <c r="DY62" i="55"/>
  <c r="DY65" i="55"/>
  <c r="DY64" i="55"/>
  <c r="DY41" i="55"/>
  <c r="DY42" i="55"/>
  <c r="DY39" i="55"/>
  <c r="DY40" i="55"/>
  <c r="AF279" i="19"/>
  <c r="AG165" i="14" s="1"/>
  <c r="AG164" i="14"/>
  <c r="BM29" i="58" s="1"/>
  <c r="AE161" i="14"/>
  <c r="AG162" i="14"/>
  <c r="AG160" i="14" s="1"/>
  <c r="AG158" i="14"/>
  <c r="AG157" i="14"/>
  <c r="BM28" i="58" s="1"/>
  <c r="AG163" i="14"/>
  <c r="AG159" i="14" s="1"/>
  <c r="AF161" i="14"/>
  <c r="AG165" i="12"/>
  <c r="AG161" i="12"/>
  <c r="AG161" i="14" l="1"/>
  <c r="AG107" i="38"/>
  <c r="AG75" i="38"/>
  <c r="AG74" i="38"/>
  <c r="AF98" i="38"/>
  <c r="AF99" i="38"/>
  <c r="AF97" i="38"/>
  <c r="AF74" i="38"/>
  <c r="AF75" i="38"/>
  <c r="AE98" i="38"/>
  <c r="AD105" i="38"/>
  <c r="AE75" i="38"/>
  <c r="AE74" i="38"/>
  <c r="AD98" i="38"/>
  <c r="AD81" i="38"/>
  <c r="AD74" i="38"/>
  <c r="AD75" i="38"/>
  <c r="AC74" i="38"/>
  <c r="AC75" i="38"/>
  <c r="AB82" i="38"/>
  <c r="AB105" i="38"/>
  <c r="AA105" i="38"/>
  <c r="AB74" i="38"/>
  <c r="AB75" i="38"/>
  <c r="AA75" i="38"/>
  <c r="AA74" i="38"/>
  <c r="Z75" i="38"/>
  <c r="Z74" i="38"/>
  <c r="Y97" i="38"/>
  <c r="Y99" i="38"/>
  <c r="Y105" i="38"/>
  <c r="Y82" i="38"/>
  <c r="Y74" i="38"/>
  <c r="Y75" i="38"/>
  <c r="X105" i="38"/>
  <c r="X82" i="38"/>
  <c r="W105" i="38"/>
  <c r="X74" i="38"/>
  <c r="X75" i="38"/>
  <c r="W98" i="38"/>
  <c r="W75" i="38"/>
  <c r="W74" i="38"/>
  <c r="V105" i="38"/>
  <c r="V99" i="38"/>
  <c r="V74" i="38"/>
  <c r="V75" i="38"/>
  <c r="U97" i="38"/>
  <c r="U105" i="38"/>
  <c r="U83" i="38"/>
  <c r="U75" i="38"/>
  <c r="U74" i="38"/>
  <c r="T75" i="38"/>
  <c r="T74" i="38"/>
  <c r="S74" i="38"/>
  <c r="S75" i="38"/>
  <c r="R99" i="38"/>
  <c r="R105" i="38"/>
  <c r="R82" i="38"/>
  <c r="R74" i="38"/>
  <c r="R75" i="38"/>
  <c r="Q99" i="38"/>
  <c r="Q107" i="38"/>
  <c r="Q83" i="38"/>
  <c r="Q75" i="38"/>
  <c r="Q74" i="38"/>
  <c r="P105" i="38"/>
  <c r="P98" i="38"/>
  <c r="P81" i="38"/>
  <c r="P74" i="38"/>
  <c r="P75" i="38"/>
  <c r="O99" i="38"/>
  <c r="O97" i="38"/>
  <c r="O105" i="38"/>
  <c r="O81" i="38"/>
  <c r="O75" i="38"/>
  <c r="O74" i="38"/>
  <c r="N106" i="38"/>
  <c r="N105" i="38"/>
  <c r="N97" i="38"/>
  <c r="N75" i="38"/>
  <c r="N74" i="38"/>
  <c r="M81" i="38"/>
  <c r="M74" i="38"/>
  <c r="M75" i="38"/>
  <c r="L82" i="38"/>
  <c r="L98" i="38"/>
  <c r="L97" i="38"/>
  <c r="L74" i="38"/>
  <c r="L75" i="38"/>
  <c r="K97" i="38"/>
  <c r="K107" i="38"/>
  <c r="J81" i="38"/>
  <c r="K74" i="38"/>
  <c r="K75" i="38"/>
  <c r="J106" i="38"/>
  <c r="J83" i="38"/>
  <c r="J74" i="38"/>
  <c r="J75" i="38"/>
  <c r="I75" i="38"/>
  <c r="I74" i="38"/>
  <c r="H99" i="38"/>
  <c r="H74" i="38"/>
  <c r="H75" i="38"/>
  <c r="G74" i="38"/>
  <c r="G75" i="38"/>
  <c r="F74" i="38"/>
  <c r="F75" i="38"/>
  <c r="E108" i="38"/>
  <c r="E75" i="38"/>
  <c r="E74" i="38"/>
  <c r="D97" i="38"/>
  <c r="D105" i="38"/>
  <c r="D75" i="38"/>
  <c r="D74" i="38"/>
  <c r="C105" i="38"/>
  <c r="C93" i="38"/>
  <c r="F99" i="36" l="1"/>
  <c r="AL99" i="36" s="1"/>
  <c r="H84" i="38"/>
  <c r="C100" i="38"/>
  <c r="D106" i="38"/>
  <c r="R81" i="38"/>
  <c r="T106" i="38"/>
  <c r="T99" i="38"/>
  <c r="W107" i="38"/>
  <c r="AF82" i="38"/>
  <c r="AG83" i="38"/>
  <c r="AD106" i="38"/>
  <c r="U98" i="38"/>
  <c r="C83" i="38"/>
  <c r="C87" i="38" s="1"/>
  <c r="C99" i="38"/>
  <c r="Q103" i="38" s="1"/>
  <c r="D83" i="38"/>
  <c r="E100" i="38"/>
  <c r="J82" i="38"/>
  <c r="T83" i="38"/>
  <c r="U107" i="38"/>
  <c r="AF93" i="38"/>
  <c r="E81" i="38"/>
  <c r="G82" i="38"/>
  <c r="G108" i="38"/>
  <c r="G99" i="38"/>
  <c r="H81" i="38"/>
  <c r="G105" i="38"/>
  <c r="G109" i="38" s="1"/>
  <c r="H107" i="38"/>
  <c r="H105" i="38"/>
  <c r="H109" i="38" s="1"/>
  <c r="I107" i="38"/>
  <c r="J107" i="38"/>
  <c r="I105" i="38"/>
  <c r="I109" i="38" s="1"/>
  <c r="K98" i="38"/>
  <c r="L93" i="38"/>
  <c r="L107" i="38"/>
  <c r="P83" i="38"/>
  <c r="P82" i="38"/>
  <c r="Q81" i="38"/>
  <c r="R98" i="38"/>
  <c r="S99" i="38"/>
  <c r="W99" i="38"/>
  <c r="H82" i="38"/>
  <c r="F84" i="38"/>
  <c r="F81" i="38"/>
  <c r="F107" i="38"/>
  <c r="G83" i="38"/>
  <c r="G81" i="38"/>
  <c r="H93" i="38"/>
  <c r="H106" i="38"/>
  <c r="I106" i="38"/>
  <c r="J93" i="38"/>
  <c r="J100" i="38"/>
  <c r="J105" i="38"/>
  <c r="J109" i="38" s="1"/>
  <c r="M82" i="38"/>
  <c r="M83" i="38"/>
  <c r="N107" i="38"/>
  <c r="O83" i="38"/>
  <c r="O100" i="38"/>
  <c r="P107" i="38"/>
  <c r="P97" i="38"/>
  <c r="Q106" i="38"/>
  <c r="R93" i="38"/>
  <c r="R97" i="38"/>
  <c r="S98" i="38"/>
  <c r="X81" i="38"/>
  <c r="AA107" i="38"/>
  <c r="H83" i="38"/>
  <c r="S81" i="38"/>
  <c r="Y106" i="38"/>
  <c r="D82" i="38"/>
  <c r="D107" i="38"/>
  <c r="E93" i="38"/>
  <c r="E83" i="38"/>
  <c r="F106" i="38"/>
  <c r="G93" i="38"/>
  <c r="F105" i="38"/>
  <c r="F109" i="38" s="1"/>
  <c r="K82" i="38"/>
  <c r="L99" i="38"/>
  <c r="L103" i="38" s="1"/>
  <c r="L81" i="38"/>
  <c r="L106" i="38"/>
  <c r="M93" i="38"/>
  <c r="L105" i="38"/>
  <c r="L109" i="38" s="1"/>
  <c r="O82" i="38"/>
  <c r="O93" i="38"/>
  <c r="O106" i="38"/>
  <c r="P93" i="38"/>
  <c r="R106" i="38"/>
  <c r="S93" i="38"/>
  <c r="S107" i="38"/>
  <c r="T107" i="38"/>
  <c r="U99" i="38"/>
  <c r="V106" i="38"/>
  <c r="X83" i="38"/>
  <c r="Y107" i="38"/>
  <c r="AD99" i="38"/>
  <c r="AD107" i="38"/>
  <c r="AE106" i="38"/>
  <c r="F93" i="38"/>
  <c r="K93" i="38"/>
  <c r="U109" i="38"/>
  <c r="C109" i="38"/>
  <c r="D109" i="38"/>
  <c r="I93" i="38"/>
  <c r="N84" i="38"/>
  <c r="N83" i="38"/>
  <c r="R109" i="38"/>
  <c r="C81" i="38"/>
  <c r="O85" i="38" s="1"/>
  <c r="C151" i="38"/>
  <c r="C108" i="38"/>
  <c r="C168" i="38"/>
  <c r="AC100" i="38"/>
  <c r="Z100" i="38"/>
  <c r="U100" i="38"/>
  <c r="P100" i="38"/>
  <c r="AB100" i="38"/>
  <c r="C98" i="38"/>
  <c r="L102" i="38" s="1"/>
  <c r="C160" i="38"/>
  <c r="D93" i="38"/>
  <c r="D84" i="38"/>
  <c r="D108" i="38"/>
  <c r="D100" i="38"/>
  <c r="D81" i="38"/>
  <c r="E82" i="38"/>
  <c r="E98" i="38"/>
  <c r="E107" i="38"/>
  <c r="E106" i="38"/>
  <c r="F83" i="38"/>
  <c r="F98" i="38"/>
  <c r="F97" i="38"/>
  <c r="F100" i="38"/>
  <c r="F108" i="38"/>
  <c r="G84" i="38"/>
  <c r="H100" i="38"/>
  <c r="I81" i="38"/>
  <c r="I83" i="38"/>
  <c r="I82" i="38"/>
  <c r="I84" i="38"/>
  <c r="I108" i="38"/>
  <c r="J84" i="38"/>
  <c r="K84" i="38"/>
  <c r="K105" i="38"/>
  <c r="K109" i="38" s="1"/>
  <c r="K108" i="38"/>
  <c r="M84" i="38"/>
  <c r="M99" i="38"/>
  <c r="M97" i="38"/>
  <c r="M98" i="38"/>
  <c r="M100" i="38"/>
  <c r="N81" i="38"/>
  <c r="O84" i="38"/>
  <c r="AE81" i="38"/>
  <c r="AE82" i="38"/>
  <c r="AE93" i="38"/>
  <c r="AE83" i="38"/>
  <c r="AE84" i="38"/>
  <c r="M106" i="38"/>
  <c r="M107" i="38"/>
  <c r="M108" i="38"/>
  <c r="N82" i="38"/>
  <c r="M105" i="38"/>
  <c r="M109" i="38" s="1"/>
  <c r="C241" i="38"/>
  <c r="C107" i="38"/>
  <c r="C106" i="38"/>
  <c r="D99" i="38"/>
  <c r="E97" i="38"/>
  <c r="E99" i="38"/>
  <c r="F241" i="38"/>
  <c r="F82" i="38"/>
  <c r="F99" i="38"/>
  <c r="E105" i="38"/>
  <c r="E109" i="38" s="1"/>
  <c r="G107" i="38"/>
  <c r="G100" i="38"/>
  <c r="H108" i="38"/>
  <c r="I100" i="38"/>
  <c r="I97" i="38"/>
  <c r="I98" i="38"/>
  <c r="I99" i="38"/>
  <c r="J108" i="38"/>
  <c r="K106" i="38"/>
  <c r="K100" i="38"/>
  <c r="N109" i="38"/>
  <c r="O109" i="38"/>
  <c r="U84" i="38"/>
  <c r="AF84" i="38"/>
  <c r="AB84" i="38"/>
  <c r="Z84" i="38"/>
  <c r="V84" i="38"/>
  <c r="W84" i="38"/>
  <c r="AD84" i="38"/>
  <c r="C82" i="38"/>
  <c r="R86" i="38" s="1"/>
  <c r="C84" i="38"/>
  <c r="AE108" i="38"/>
  <c r="AB108" i="38"/>
  <c r="X108" i="38"/>
  <c r="V108" i="38"/>
  <c r="U108" i="38"/>
  <c r="T108" i="38"/>
  <c r="S108" i="38"/>
  <c r="R108" i="38"/>
  <c r="D98" i="38"/>
  <c r="E84" i="38"/>
  <c r="G106" i="38"/>
  <c r="G97" i="38"/>
  <c r="G98" i="38"/>
  <c r="H98" i="38"/>
  <c r="H97" i="38"/>
  <c r="J99" i="38"/>
  <c r="J97" i="38"/>
  <c r="J98" i="38"/>
  <c r="K241" i="38"/>
  <c r="K83" i="38"/>
  <c r="K81" i="38"/>
  <c r="L84" i="38"/>
  <c r="L108" i="38"/>
  <c r="N93" i="38"/>
  <c r="N100" i="38"/>
  <c r="N98" i="38"/>
  <c r="N99" i="38"/>
  <c r="O108" i="38"/>
  <c r="R100" i="38"/>
  <c r="S100" i="38"/>
  <c r="T93" i="38"/>
  <c r="AA109" i="38"/>
  <c r="J241" i="38"/>
  <c r="K99" i="38"/>
  <c r="L100" i="38"/>
  <c r="L83" i="38"/>
  <c r="N108" i="38"/>
  <c r="P84" i="38"/>
  <c r="P109" i="38"/>
  <c r="R84" i="38"/>
  <c r="T84" i="38"/>
  <c r="Y93" i="38"/>
  <c r="AF100" i="38"/>
  <c r="AF105" i="38"/>
  <c r="AF109" i="38" s="1"/>
  <c r="AF107" i="38"/>
  <c r="AF108" i="38"/>
  <c r="AF106" i="38"/>
  <c r="P108" i="38"/>
  <c r="T100" i="38"/>
  <c r="AA97" i="38"/>
  <c r="AA100" i="38"/>
  <c r="AA99" i="38"/>
  <c r="AA98" i="38"/>
  <c r="M241" i="38"/>
  <c r="O107" i="38"/>
  <c r="O98" i="38"/>
  <c r="Q93" i="38"/>
  <c r="Q84" i="38"/>
  <c r="Q108" i="38"/>
  <c r="Q100" i="38"/>
  <c r="S83" i="38"/>
  <c r="S84" i="38"/>
  <c r="U82" i="38"/>
  <c r="W241" i="38"/>
  <c r="W82" i="38"/>
  <c r="W93" i="38"/>
  <c r="W83" i="38"/>
  <c r="V109" i="38"/>
  <c r="Y84" i="38"/>
  <c r="Y109" i="38"/>
  <c r="Z105" i="38"/>
  <c r="Z109" i="38" s="1"/>
  <c r="Z106" i="38"/>
  <c r="Z107" i="38"/>
  <c r="Z108" i="38"/>
  <c r="AA93" i="38"/>
  <c r="AA241" i="38"/>
  <c r="AA84" i="38"/>
  <c r="AA83" i="38"/>
  <c r="AB109" i="38"/>
  <c r="AC108" i="38"/>
  <c r="AC105" i="38"/>
  <c r="AC109" i="38" s="1"/>
  <c r="Q105" i="38"/>
  <c r="Q109" i="38" s="1"/>
  <c r="S106" i="38"/>
  <c r="S97" i="38"/>
  <c r="T82" i="38"/>
  <c r="T241" i="38"/>
  <c r="S105" i="38"/>
  <c r="S109" i="38" s="1"/>
  <c r="T98" i="38"/>
  <c r="T97" i="38"/>
  <c r="T81" i="38"/>
  <c r="U81" i="38"/>
  <c r="T105" i="38"/>
  <c r="T109" i="38" s="1"/>
  <c r="V98" i="38"/>
  <c r="V100" i="38"/>
  <c r="V107" i="38"/>
  <c r="W81" i="38"/>
  <c r="W109" i="38"/>
  <c r="X98" i="38"/>
  <c r="X99" i="38"/>
  <c r="X97" i="38"/>
  <c r="X109" i="38"/>
  <c r="AC241" i="38"/>
  <c r="AC84" i="38"/>
  <c r="AC83" i="38"/>
  <c r="AC93" i="38"/>
  <c r="AC82" i="38"/>
  <c r="AC107" i="38"/>
  <c r="P99" i="38"/>
  <c r="P106" i="38"/>
  <c r="Q82" i="38"/>
  <c r="Q98" i="38"/>
  <c r="Q97" i="38"/>
  <c r="R83" i="38"/>
  <c r="R107" i="38"/>
  <c r="S241" i="38"/>
  <c r="S82" i="38"/>
  <c r="U93" i="38"/>
  <c r="U106" i="38"/>
  <c r="V82" i="38"/>
  <c r="V93" i="38"/>
  <c r="V241" i="38"/>
  <c r="V81" i="38"/>
  <c r="V83" i="38"/>
  <c r="V97" i="38"/>
  <c r="W97" i="38"/>
  <c r="W100" i="38"/>
  <c r="X100" i="38"/>
  <c r="Y100" i="38"/>
  <c r="AA82" i="38"/>
  <c r="AA81" i="38"/>
  <c r="AB97" i="38"/>
  <c r="AB99" i="38"/>
  <c r="AB98" i="38"/>
  <c r="AC81" i="38"/>
  <c r="AC97" i="38"/>
  <c r="AC98" i="38"/>
  <c r="AC99" i="38"/>
  <c r="AC106" i="38"/>
  <c r="W108" i="38"/>
  <c r="X107" i="38"/>
  <c r="Y81" i="38"/>
  <c r="Y83" i="38"/>
  <c r="Y98" i="38"/>
  <c r="Z241" i="38"/>
  <c r="Z82" i="38"/>
  <c r="Z99" i="38"/>
  <c r="Z97" i="38"/>
  <c r="AA106" i="38"/>
  <c r="AB107" i="38"/>
  <c r="AB106" i="38"/>
  <c r="AB83" i="38"/>
  <c r="AB93" i="38"/>
  <c r="AD93" i="38"/>
  <c r="AD83" i="38"/>
  <c r="AD97" i="38"/>
  <c r="AE99" i="38"/>
  <c r="AG97" i="38"/>
  <c r="AG99" i="38"/>
  <c r="AG98" i="38"/>
  <c r="X93" i="38"/>
  <c r="X84" i="38"/>
  <c r="X106" i="38"/>
  <c r="Z83" i="38"/>
  <c r="Z98" i="38"/>
  <c r="AB81" i="38"/>
  <c r="AD82" i="38"/>
  <c r="AD100" i="38"/>
  <c r="AE97" i="38"/>
  <c r="AE100" i="38"/>
  <c r="AG106" i="38"/>
  <c r="AG105" i="38"/>
  <c r="AG109" i="38" s="1"/>
  <c r="AG108" i="38"/>
  <c r="AG100" i="38"/>
  <c r="W106" i="38"/>
  <c r="X241" i="38"/>
  <c r="Y108" i="38"/>
  <c r="Z81" i="38"/>
  <c r="Z93" i="38"/>
  <c r="AA108" i="38"/>
  <c r="AD109" i="38"/>
  <c r="AD108" i="38"/>
  <c r="AG241" i="38"/>
  <c r="AG82" i="38"/>
  <c r="AG93" i="38"/>
  <c r="AG81" i="38"/>
  <c r="AG84" i="38"/>
  <c r="AF81" i="38"/>
  <c r="AE105" i="38"/>
  <c r="AE109" i="38" s="1"/>
  <c r="AE107" i="38"/>
  <c r="AF83" i="38"/>
  <c r="H103" i="38" l="1"/>
  <c r="AA86" i="38"/>
  <c r="AH108" i="36"/>
  <c r="BN108" i="36" s="1"/>
  <c r="X99" i="36"/>
  <c r="BD99" i="36" s="1"/>
  <c r="W108" i="36"/>
  <c r="BC108" i="36" s="1"/>
  <c r="AD99" i="36"/>
  <c r="BJ99" i="36" s="1"/>
  <c r="N107" i="36"/>
  <c r="AG99" i="36"/>
  <c r="BM99" i="36" s="1"/>
  <c r="Q92" i="36"/>
  <c r="AW92" i="36" s="1"/>
  <c r="L107" i="36"/>
  <c r="W99" i="36"/>
  <c r="BC99" i="36" s="1"/>
  <c r="W92" i="36"/>
  <c r="BC92" i="36" s="1"/>
  <c r="I108" i="36"/>
  <c r="AO108" i="36" s="1"/>
  <c r="AC108" i="36"/>
  <c r="BI108" i="36" s="1"/>
  <c r="AD108" i="36"/>
  <c r="BJ108" i="36" s="1"/>
  <c r="I92" i="36"/>
  <c r="AO92" i="36" s="1"/>
  <c r="Z99" i="36"/>
  <c r="BF99" i="36" s="1"/>
  <c r="AH99" i="36"/>
  <c r="AA107" i="36"/>
  <c r="X108" i="36"/>
  <c r="BD108" i="36" s="1"/>
  <c r="T107" i="36"/>
  <c r="AD92" i="36"/>
  <c r="BJ92" i="36" s="1"/>
  <c r="U107" i="36"/>
  <c r="R108" i="36"/>
  <c r="AX108" i="36" s="1"/>
  <c r="U108" i="36"/>
  <c r="BA108" i="36" s="1"/>
  <c r="U92" i="36"/>
  <c r="BA92" i="36" s="1"/>
  <c r="O99" i="36"/>
  <c r="AU99" i="36" s="1"/>
  <c r="T108" i="36"/>
  <c r="AZ108" i="36" s="1"/>
  <c r="M92" i="36"/>
  <c r="AS92" i="36" s="1"/>
  <c r="T99" i="36"/>
  <c r="AZ99" i="36" s="1"/>
  <c r="Y99" i="36"/>
  <c r="BE99" i="36" s="1"/>
  <c r="AA92" i="36"/>
  <c r="BG92" i="36" s="1"/>
  <c r="K99" i="36"/>
  <c r="AQ99" i="36" s="1"/>
  <c r="J108" i="36"/>
  <c r="AP108" i="36" s="1"/>
  <c r="G107" i="36"/>
  <c r="P92" i="36"/>
  <c r="AV92" i="36" s="1"/>
  <c r="L99" i="36"/>
  <c r="AR99" i="36" s="1"/>
  <c r="K92" i="36"/>
  <c r="AQ92" i="36" s="1"/>
  <c r="H92" i="36"/>
  <c r="AN92" i="36" s="1"/>
  <c r="E108" i="36"/>
  <c r="AK108" i="36" s="1"/>
  <c r="Q108" i="36"/>
  <c r="AW108" i="36" s="1"/>
  <c r="O92" i="36"/>
  <c r="AU92" i="36" s="1"/>
  <c r="G92" i="36"/>
  <c r="AM92" i="36" s="1"/>
  <c r="H99" i="36"/>
  <c r="AN99" i="36" s="1"/>
  <c r="F108" i="36"/>
  <c r="AL108" i="36" s="1"/>
  <c r="AF108" i="36"/>
  <c r="BL108" i="36" s="1"/>
  <c r="Y92" i="36"/>
  <c r="BE92" i="36" s="1"/>
  <c r="Y108" i="36"/>
  <c r="BE108" i="36" s="1"/>
  <c r="AB107" i="36"/>
  <c r="X107" i="36"/>
  <c r="M108" i="36"/>
  <c r="AS108" i="36" s="1"/>
  <c r="M99" i="36"/>
  <c r="AS99" i="36" s="1"/>
  <c r="S99" i="36"/>
  <c r="AY99" i="36" s="1"/>
  <c r="D92" i="36"/>
  <c r="AJ92" i="36" s="1"/>
  <c r="V92" i="36"/>
  <c r="BB92" i="36" s="1"/>
  <c r="N108" i="36"/>
  <c r="AT108" i="36" s="1"/>
  <c r="G108" i="36"/>
  <c r="AM108" i="36" s="1"/>
  <c r="P108" i="36"/>
  <c r="AV108" i="36" s="1"/>
  <c r="AH92" i="36"/>
  <c r="BN92" i="36" s="1"/>
  <c r="AH107" i="36"/>
  <c r="AB99" i="36"/>
  <c r="BH99" i="36" s="1"/>
  <c r="Y107" i="36"/>
  <c r="AE108" i="36"/>
  <c r="BK108" i="36" s="1"/>
  <c r="Z87" i="38"/>
  <c r="AB87" i="38"/>
  <c r="W107" i="36"/>
  <c r="AD107" i="36"/>
  <c r="AA99" i="36"/>
  <c r="BG99" i="36" s="1"/>
  <c r="R99" i="36"/>
  <c r="AX99" i="36" s="1"/>
  <c r="Q99" i="36"/>
  <c r="S92" i="36"/>
  <c r="AY92" i="36" s="1"/>
  <c r="K107" i="36"/>
  <c r="S108" i="36"/>
  <c r="AY108" i="36" s="1"/>
  <c r="O108" i="36"/>
  <c r="AU108" i="36" s="1"/>
  <c r="F92" i="36"/>
  <c r="AL92" i="36" s="1"/>
  <c r="U99" i="36"/>
  <c r="AC99" i="36"/>
  <c r="BI99" i="36" s="1"/>
  <c r="AE92" i="36"/>
  <c r="BK92" i="36" s="1"/>
  <c r="AC92" i="36"/>
  <c r="BI92" i="36" s="1"/>
  <c r="I99" i="36"/>
  <c r="AO99" i="36" s="1"/>
  <c r="AF92" i="36"/>
  <c r="BL92" i="36" s="1"/>
  <c r="J99" i="36"/>
  <c r="AP99" i="36" s="1"/>
  <c r="E99" i="36"/>
  <c r="AK99" i="36" s="1"/>
  <c r="V108" i="36"/>
  <c r="BB108" i="36" s="1"/>
  <c r="D99" i="36"/>
  <c r="AJ99" i="36" s="1"/>
  <c r="D107" i="36"/>
  <c r="AJ107" i="36" s="1"/>
  <c r="N92" i="36"/>
  <c r="AT92" i="36" s="1"/>
  <c r="AE99" i="36"/>
  <c r="BK99" i="36" s="1"/>
  <c r="Z108" i="36"/>
  <c r="BF108" i="36" s="1"/>
  <c r="AB92" i="36"/>
  <c r="BH92" i="36" s="1"/>
  <c r="Z92" i="36"/>
  <c r="BF92" i="36" s="1"/>
  <c r="T92" i="36"/>
  <c r="AZ92" i="36" s="1"/>
  <c r="R92" i="36"/>
  <c r="AX92" i="36" s="1"/>
  <c r="AB108" i="36"/>
  <c r="BH108" i="36" s="1"/>
  <c r="AG108" i="36"/>
  <c r="BM108" i="36" s="1"/>
  <c r="P99" i="36"/>
  <c r="AV99" i="36" s="1"/>
  <c r="V99" i="36"/>
  <c r="AF99" i="36"/>
  <c r="BL99" i="36" s="1"/>
  <c r="X92" i="36"/>
  <c r="BD92" i="36" s="1"/>
  <c r="AG92" i="36"/>
  <c r="BM92" i="36" s="1"/>
  <c r="L108" i="36"/>
  <c r="AR108" i="36" s="1"/>
  <c r="H108" i="36"/>
  <c r="AN108" i="36" s="1"/>
  <c r="N99" i="36"/>
  <c r="AT99" i="36" s="1"/>
  <c r="L92" i="36"/>
  <c r="AR92" i="36" s="1"/>
  <c r="J92" i="36"/>
  <c r="AP92" i="36" s="1"/>
  <c r="G99" i="36"/>
  <c r="AM99" i="36" s="1"/>
  <c r="E92" i="36"/>
  <c r="AK92" i="36" s="1"/>
  <c r="AA108" i="36"/>
  <c r="BG108" i="36" s="1"/>
  <c r="K108" i="36"/>
  <c r="AQ108" i="36" s="1"/>
  <c r="D108" i="36"/>
  <c r="AJ108" i="36" s="1"/>
  <c r="X110" i="38"/>
  <c r="AB110" i="38"/>
  <c r="P110" i="38"/>
  <c r="Y102" i="38"/>
  <c r="AC102" i="38"/>
  <c r="D102" i="38"/>
  <c r="BN99" i="36"/>
  <c r="AD102" i="38"/>
  <c r="BA99" i="36"/>
  <c r="AF102" i="38"/>
  <c r="R110" i="38"/>
  <c r="AF87" i="38"/>
  <c r="U87" i="38"/>
  <c r="I87" i="38"/>
  <c r="O87" i="38"/>
  <c r="P87" i="38"/>
  <c r="W87" i="38"/>
  <c r="AD85" i="38"/>
  <c r="AE87" i="38"/>
  <c r="J87" i="38"/>
  <c r="M87" i="38"/>
  <c r="P86" i="38"/>
  <c r="T87" i="38"/>
  <c r="S87" i="38"/>
  <c r="L87" i="38"/>
  <c r="N87" i="38"/>
  <c r="X87" i="38"/>
  <c r="H87" i="38"/>
  <c r="Q87" i="38"/>
  <c r="AD87" i="38"/>
  <c r="R87" i="38"/>
  <c r="U241" i="38"/>
  <c r="AA87" i="38"/>
  <c r="K87" i="38"/>
  <c r="AE241" i="38"/>
  <c r="Q241" i="38"/>
  <c r="AB241" i="38"/>
  <c r="G241" i="38"/>
  <c r="H241" i="38"/>
  <c r="L241" i="38"/>
  <c r="O241" i="38"/>
  <c r="E241" i="38"/>
  <c r="AD241" i="38"/>
  <c r="I241" i="38"/>
  <c r="N241" i="38"/>
  <c r="R241" i="38"/>
  <c r="Y241" i="38"/>
  <c r="D241" i="38"/>
  <c r="AF241" i="38"/>
  <c r="P241" i="38"/>
  <c r="AF103" i="38"/>
  <c r="AG103" i="38"/>
  <c r="Z103" i="38"/>
  <c r="AB103" i="38"/>
  <c r="S86" i="38"/>
  <c r="X103" i="38"/>
  <c r="U86" i="38"/>
  <c r="U103" i="38"/>
  <c r="AB86" i="38"/>
  <c r="I103" i="38"/>
  <c r="E103" i="38"/>
  <c r="C103" i="38"/>
  <c r="M103" i="38"/>
  <c r="Y87" i="38"/>
  <c r="V87" i="38"/>
  <c r="P103" i="38"/>
  <c r="AC87" i="38"/>
  <c r="N103" i="38"/>
  <c r="J103" i="38"/>
  <c r="F103" i="38"/>
  <c r="AM107" i="36" s="1"/>
  <c r="F87" i="38"/>
  <c r="E87" i="38"/>
  <c r="G87" i="38"/>
  <c r="Y95" i="38"/>
  <c r="D87" i="38"/>
  <c r="Q110" i="38"/>
  <c r="AG87" i="38"/>
  <c r="AB85" i="38"/>
  <c r="AG85" i="38"/>
  <c r="AE103" i="38"/>
  <c r="AA110" i="38"/>
  <c r="U110" i="38"/>
  <c r="Z110" i="38"/>
  <c r="R103" i="38"/>
  <c r="N110" i="38"/>
  <c r="T103" i="38"/>
  <c r="K85" i="38"/>
  <c r="J110" i="38"/>
  <c r="D103" i="38"/>
  <c r="K95" i="38"/>
  <c r="S103" i="38"/>
  <c r="P85" i="38"/>
  <c r="P95" i="38"/>
  <c r="W110" i="38"/>
  <c r="AF110" i="38"/>
  <c r="G110" i="38"/>
  <c r="N101" i="38"/>
  <c r="C195" i="38"/>
  <c r="C203" i="38"/>
  <c r="C211" i="38"/>
  <c r="Y94" i="38"/>
  <c r="U102" i="38"/>
  <c r="AD110" i="38"/>
  <c r="V110" i="38"/>
  <c r="Y110" i="38"/>
  <c r="D85" i="38"/>
  <c r="G103" i="38"/>
  <c r="AC95" i="38"/>
  <c r="AF95" i="38"/>
  <c r="AG86" i="38"/>
  <c r="AG110" i="38"/>
  <c r="AD86" i="38"/>
  <c r="Z86" i="38"/>
  <c r="X95" i="38"/>
  <c r="AC110" i="38"/>
  <c r="V86" i="38"/>
  <c r="S94" i="38"/>
  <c r="AA95" i="38"/>
  <c r="V102" i="38"/>
  <c r="T102" i="38"/>
  <c r="T94" i="38"/>
  <c r="W86" i="38"/>
  <c r="R95" i="38"/>
  <c r="AE95" i="38"/>
  <c r="I95" i="38"/>
  <c r="AF86" i="38"/>
  <c r="N95" i="38"/>
  <c r="Q86" i="38"/>
  <c r="AC86" i="38"/>
  <c r="Y86" i="38"/>
  <c r="T86" i="38"/>
  <c r="S110" i="38"/>
  <c r="O102" i="38"/>
  <c r="T110" i="38"/>
  <c r="X86" i="38"/>
  <c r="L95" i="38"/>
  <c r="K110" i="38"/>
  <c r="Z102" i="38"/>
  <c r="Q102" i="38"/>
  <c r="W102" i="38"/>
  <c r="O111" i="38"/>
  <c r="AA102" i="38"/>
  <c r="R102" i="38"/>
  <c r="N102" i="38"/>
  <c r="J102" i="38"/>
  <c r="G102" i="38"/>
  <c r="I102" i="38"/>
  <c r="AC111" i="38"/>
  <c r="D94" i="38"/>
  <c r="AG102" i="38"/>
  <c r="AB102" i="38"/>
  <c r="X102" i="38"/>
  <c r="AE102" i="38"/>
  <c r="S102" i="38"/>
  <c r="H102" i="38"/>
  <c r="M102" i="38"/>
  <c r="F102" i="38"/>
  <c r="E102" i="38"/>
  <c r="C159" i="38"/>
  <c r="L111" i="38"/>
  <c r="AE111" i="38"/>
  <c r="AB111" i="38"/>
  <c r="R111" i="38"/>
  <c r="Z111" i="38"/>
  <c r="AF111" i="38"/>
  <c r="G111" i="38"/>
  <c r="T111" i="38"/>
  <c r="V111" i="38"/>
  <c r="AG111" i="38"/>
  <c r="X111" i="38"/>
  <c r="AA111" i="38"/>
  <c r="AD111" i="38"/>
  <c r="AE110" i="38"/>
  <c r="Y111" i="38"/>
  <c r="U111" i="38"/>
  <c r="AD101" i="38"/>
  <c r="AB101" i="38"/>
  <c r="Y101" i="38"/>
  <c r="R101" i="38"/>
  <c r="AG101" i="38"/>
  <c r="J101" i="38"/>
  <c r="T101" i="38"/>
  <c r="S101" i="38"/>
  <c r="R85" i="38"/>
  <c r="Q95" i="38"/>
  <c r="AE101" i="38"/>
  <c r="V101" i="38"/>
  <c r="H85" i="38"/>
  <c r="H95" i="38"/>
  <c r="AD95" i="38"/>
  <c r="X94" i="38"/>
  <c r="AG95" i="38"/>
  <c r="Y85" i="38"/>
  <c r="AC103" i="38"/>
  <c r="AC85" i="38"/>
  <c r="W101" i="38"/>
  <c r="Y103" i="38"/>
  <c r="U85" i="38"/>
  <c r="V103" i="38"/>
  <c r="O95" i="38"/>
  <c r="AA101" i="38"/>
  <c r="O101" i="38"/>
  <c r="M85" i="38"/>
  <c r="L101" i="38"/>
  <c r="H101" i="38"/>
  <c r="AD103" i="38"/>
  <c r="G95" i="38"/>
  <c r="AE85" i="38"/>
  <c r="N85" i="38"/>
  <c r="D95" i="38"/>
  <c r="O103" i="38"/>
  <c r="AF85" i="38"/>
  <c r="Z85" i="38"/>
  <c r="AF101" i="38"/>
  <c r="Z101" i="38"/>
  <c r="AC101" i="38"/>
  <c r="AA85" i="38"/>
  <c r="E101" i="38"/>
  <c r="Z95" i="38"/>
  <c r="X85" i="38"/>
  <c r="V85" i="38"/>
  <c r="S95" i="38"/>
  <c r="Q101" i="38"/>
  <c r="AB95" i="38"/>
  <c r="X101" i="38"/>
  <c r="W85" i="38"/>
  <c r="T85" i="38"/>
  <c r="T95" i="38"/>
  <c r="W95" i="38"/>
  <c r="AA103" i="38"/>
  <c r="U95" i="38"/>
  <c r="W103" i="38"/>
  <c r="K103" i="38"/>
  <c r="S85" i="38"/>
  <c r="G101" i="38"/>
  <c r="H86" i="38"/>
  <c r="I101" i="38"/>
  <c r="Z94" i="38"/>
  <c r="V94" i="38"/>
  <c r="AD94" i="38"/>
  <c r="AC94" i="38"/>
  <c r="M94" i="38"/>
  <c r="C167" i="38"/>
  <c r="J94" i="38"/>
  <c r="K94" i="38"/>
  <c r="J85" i="38"/>
  <c r="Q85" i="38"/>
  <c r="AG94" i="38"/>
  <c r="U94" i="38"/>
  <c r="AB94" i="38"/>
  <c r="AA94" i="38"/>
  <c r="W94" i="38"/>
  <c r="I85" i="38"/>
  <c r="C158" i="38"/>
  <c r="AG141" i="38"/>
  <c r="T141" i="38"/>
  <c r="S141" i="38"/>
  <c r="AF141" i="38"/>
  <c r="C150" i="38"/>
  <c r="O141" i="38"/>
  <c r="F94" i="38"/>
  <c r="C110" i="38"/>
  <c r="L110" i="38"/>
  <c r="I110" i="38"/>
  <c r="H110" i="38"/>
  <c r="M111" i="38"/>
  <c r="L86" i="38"/>
  <c r="S111" i="38"/>
  <c r="F101" i="38"/>
  <c r="E111" i="38"/>
  <c r="D111" i="38"/>
  <c r="L94" i="38"/>
  <c r="J95" i="38"/>
  <c r="E95" i="38"/>
  <c r="X141" i="38"/>
  <c r="W141" i="38"/>
  <c r="Q141" i="38"/>
  <c r="AA141" i="38"/>
  <c r="O86" i="38"/>
  <c r="M86" i="38"/>
  <c r="J86" i="38"/>
  <c r="G86" i="38"/>
  <c r="C86" i="38"/>
  <c r="D86" i="38"/>
  <c r="N141" i="38"/>
  <c r="E141" i="38"/>
  <c r="Q111" i="38"/>
  <c r="C111" i="38"/>
  <c r="J111" i="38"/>
  <c r="F111" i="38"/>
  <c r="P111" i="38"/>
  <c r="N111" i="38"/>
  <c r="K111" i="38"/>
  <c r="W111" i="38"/>
  <c r="M141" i="38"/>
  <c r="M110" i="38"/>
  <c r="K86" i="38"/>
  <c r="O110" i="38"/>
  <c r="M101" i="38"/>
  <c r="K101" i="38"/>
  <c r="G94" i="38"/>
  <c r="C85" i="38"/>
  <c r="L85" i="38"/>
  <c r="G85" i="38"/>
  <c r="F110" i="38"/>
  <c r="D141" i="38"/>
  <c r="J141" i="38"/>
  <c r="I111" i="38"/>
  <c r="E85" i="38"/>
  <c r="D110" i="38"/>
  <c r="AD141" i="38"/>
  <c r="AB141" i="38"/>
  <c r="Y141" i="38"/>
  <c r="V141" i="38"/>
  <c r="I141" i="38"/>
  <c r="H141" i="38"/>
  <c r="F86" i="38"/>
  <c r="P101" i="38"/>
  <c r="C101" i="38"/>
  <c r="C166" i="38"/>
  <c r="U101" i="38"/>
  <c r="N86" i="38"/>
  <c r="H94" i="38"/>
  <c r="AE86" i="38"/>
  <c r="K141" i="38"/>
  <c r="K102" i="38"/>
  <c r="P102" i="38"/>
  <c r="C102" i="38"/>
  <c r="V95" i="38"/>
  <c r="C95" i="38"/>
  <c r="M95" i="38"/>
  <c r="R141" i="38"/>
  <c r="N94" i="38"/>
  <c r="G141" i="38"/>
  <c r="F95" i="38"/>
  <c r="I94" i="38"/>
  <c r="D101" i="38"/>
  <c r="AE141" i="38"/>
  <c r="AC141" i="38"/>
  <c r="Z141" i="38"/>
  <c r="P141" i="38"/>
  <c r="AF94" i="38"/>
  <c r="R94" i="38"/>
  <c r="Q94" i="38"/>
  <c r="O94" i="38"/>
  <c r="E94" i="38"/>
  <c r="C94" i="38"/>
  <c r="AE94" i="38"/>
  <c r="P94" i="38"/>
  <c r="L141" i="38"/>
  <c r="I86" i="38"/>
  <c r="E110" i="38"/>
  <c r="E86" i="38"/>
  <c r="C152" i="38"/>
  <c r="F141" i="38"/>
  <c r="U141" i="38"/>
  <c r="F85" i="38"/>
  <c r="H111" i="38"/>
  <c r="AD76" i="38"/>
  <c r="AC76" i="38"/>
  <c r="K76" i="38"/>
  <c r="C76" i="38"/>
  <c r="O76" i="38"/>
  <c r="BA107" i="36" l="1"/>
  <c r="BH107" i="36"/>
  <c r="BA110" i="36"/>
  <c r="BA113" i="36" s="1"/>
  <c r="Q114" i="36"/>
  <c r="AH110" i="36"/>
  <c r="AM114" i="36"/>
  <c r="AD114" i="36"/>
  <c r="BH110" i="36"/>
  <c r="BH111" i="36" s="1"/>
  <c r="AB114" i="36"/>
  <c r="AJ110" i="36"/>
  <c r="AJ112" i="36" s="1"/>
  <c r="AR114" i="36"/>
  <c r="AW99" i="36"/>
  <c r="AW114" i="36" s="1"/>
  <c r="AK114" i="36"/>
  <c r="AL114" i="36"/>
  <c r="AS114" i="36"/>
  <c r="T114" i="36"/>
  <c r="BD114" i="36"/>
  <c r="R114" i="36"/>
  <c r="BI114" i="36"/>
  <c r="BJ114" i="36"/>
  <c r="AY114" i="36"/>
  <c r="BD107" i="36"/>
  <c r="BD110" i="36" s="1"/>
  <c r="BD112" i="36" s="1"/>
  <c r="I114" i="36"/>
  <c r="H114" i="36"/>
  <c r="AU114" i="36"/>
  <c r="AF114" i="36"/>
  <c r="AC114" i="36"/>
  <c r="BL114" i="36"/>
  <c r="P114" i="36"/>
  <c r="AO114" i="36"/>
  <c r="AG114" i="36"/>
  <c r="W114" i="36"/>
  <c r="U114" i="36"/>
  <c r="BJ107" i="36"/>
  <c r="BJ110" i="36" s="1"/>
  <c r="BJ112" i="36" s="1"/>
  <c r="BA114" i="36"/>
  <c r="AV114" i="36"/>
  <c r="S114" i="36"/>
  <c r="BC114" i="36"/>
  <c r="AT114" i="36"/>
  <c r="AQ114" i="36"/>
  <c r="J114" i="36"/>
  <c r="AA114" i="36"/>
  <c r="Y114" i="36"/>
  <c r="V114" i="36"/>
  <c r="F114" i="36"/>
  <c r="M114" i="36"/>
  <c r="AH114" i="36"/>
  <c r="BF114" i="36"/>
  <c r="O114" i="36"/>
  <c r="N114" i="36"/>
  <c r="BN114" i="36"/>
  <c r="BB99" i="36"/>
  <c r="BB114" i="36" s="1"/>
  <c r="BK114" i="36"/>
  <c r="BE114" i="36"/>
  <c r="G114" i="36"/>
  <c r="AE114" i="36"/>
  <c r="D110" i="36"/>
  <c r="D112" i="36" s="1"/>
  <c r="AX114" i="36"/>
  <c r="AZ114" i="36"/>
  <c r="BH114" i="36"/>
  <c r="BM114" i="36"/>
  <c r="L114" i="36"/>
  <c r="AP114" i="36"/>
  <c r="BG114" i="36"/>
  <c r="X114" i="36"/>
  <c r="AN114" i="36"/>
  <c r="Z114" i="36"/>
  <c r="E114" i="36"/>
  <c r="K114" i="36"/>
  <c r="L78" i="36"/>
  <c r="AR78" i="36" s="1"/>
  <c r="AR80" i="36" s="1"/>
  <c r="AR83" i="36" s="1"/>
  <c r="Q85" i="36"/>
  <c r="AW85" i="36" s="1"/>
  <c r="R85" i="36"/>
  <c r="AX85" i="36" s="1"/>
  <c r="AC107" i="36"/>
  <c r="AD78" i="36"/>
  <c r="BJ78" i="36" s="1"/>
  <c r="BJ80" i="36" s="1"/>
  <c r="BJ83" i="36" s="1"/>
  <c r="AC85" i="36"/>
  <c r="BI85" i="36" s="1"/>
  <c r="U85" i="36"/>
  <c r="BA85" i="36" s="1"/>
  <c r="E107" i="36"/>
  <c r="AK107" i="36" s="1"/>
  <c r="AK110" i="36" s="1"/>
  <c r="J107" i="36"/>
  <c r="AP107" i="36" s="1"/>
  <c r="AP110" i="36" s="1"/>
  <c r="M107" i="36"/>
  <c r="M110" i="36" s="1"/>
  <c r="R107" i="36"/>
  <c r="V107" i="36"/>
  <c r="L85" i="36"/>
  <c r="AR85" i="36" s="1"/>
  <c r="O85" i="36"/>
  <c r="AU85" i="36" s="1"/>
  <c r="P107" i="36"/>
  <c r="AV107" i="36" s="1"/>
  <c r="AV110" i="36" s="1"/>
  <c r="V85" i="36"/>
  <c r="V86" i="36" s="1"/>
  <c r="V89" i="36" s="1"/>
  <c r="I85" i="36"/>
  <c r="AO85" i="36" s="1"/>
  <c r="X85" i="36"/>
  <c r="X86" i="36" s="1"/>
  <c r="X89" i="36" s="1"/>
  <c r="P78" i="36"/>
  <c r="AV78" i="36" s="1"/>
  <c r="AE78" i="36"/>
  <c r="BK78" i="36" s="1"/>
  <c r="G85" i="36"/>
  <c r="G86" i="36" s="1"/>
  <c r="G89" i="36" s="1"/>
  <c r="AD85" i="36"/>
  <c r="AD86" i="36" s="1"/>
  <c r="AD89" i="36" s="1"/>
  <c r="J85" i="36"/>
  <c r="J86" i="36" s="1"/>
  <c r="J89" i="36" s="1"/>
  <c r="AE85" i="36"/>
  <c r="AE86" i="36" s="1"/>
  <c r="AE89" i="36" s="1"/>
  <c r="K85" i="36"/>
  <c r="K86" i="36" s="1"/>
  <c r="K89" i="36" s="1"/>
  <c r="N85" i="36"/>
  <c r="N86" i="36" s="1"/>
  <c r="N89" i="36" s="1"/>
  <c r="Y85" i="36"/>
  <c r="BE85" i="36" s="1"/>
  <c r="AH85" i="36"/>
  <c r="AH86" i="36" s="1"/>
  <c r="AH89" i="36" s="1"/>
  <c r="D101" i="36"/>
  <c r="AJ101" i="36" s="1"/>
  <c r="AJ114" i="36" s="1"/>
  <c r="AJ99" i="45"/>
  <c r="Z107" i="36"/>
  <c r="BF107" i="36" s="1"/>
  <c r="BF110" i="36" s="1"/>
  <c r="AE107" i="36"/>
  <c r="AE110" i="36" s="1"/>
  <c r="I107" i="36"/>
  <c r="AO107" i="36" s="1"/>
  <c r="AO110" i="36" s="1"/>
  <c r="AF107" i="36"/>
  <c r="BL107" i="36" s="1"/>
  <c r="BL110" i="36" s="1"/>
  <c r="Z85" i="36"/>
  <c r="Z86" i="36" s="1"/>
  <c r="Z89" i="36" s="1"/>
  <c r="T85" i="36"/>
  <c r="T86" i="36" s="1"/>
  <c r="T89" i="36" s="1"/>
  <c r="AG107" i="36"/>
  <c r="O107" i="36"/>
  <c r="AU107" i="36" s="1"/>
  <c r="AU110" i="36" s="1"/>
  <c r="AA85" i="36"/>
  <c r="BG85" i="36" s="1"/>
  <c r="S85" i="36"/>
  <c r="AY85" i="36" s="1"/>
  <c r="P85" i="36"/>
  <c r="P86" i="36" s="1"/>
  <c r="P89" i="36" s="1"/>
  <c r="D78" i="36"/>
  <c r="D80" i="36" s="1"/>
  <c r="D83" i="36" s="1"/>
  <c r="M85" i="36"/>
  <c r="AS85" i="36" s="1"/>
  <c r="AF85" i="36"/>
  <c r="BL85" i="36" s="1"/>
  <c r="H85" i="36"/>
  <c r="AN85" i="36" s="1"/>
  <c r="W85" i="36"/>
  <c r="BC85" i="36" s="1"/>
  <c r="E85" i="36"/>
  <c r="AK85" i="36" s="1"/>
  <c r="F85" i="36"/>
  <c r="AL85" i="36" s="1"/>
  <c r="AB85" i="36"/>
  <c r="BH85" i="36" s="1"/>
  <c r="AG85" i="36"/>
  <c r="BM85" i="36" s="1"/>
  <c r="D91" i="36"/>
  <c r="AJ91" i="36" s="1"/>
  <c r="Q107" i="36"/>
  <c r="AW107" i="36" s="1"/>
  <c r="AW110" i="36" s="1"/>
  <c r="S107" i="36"/>
  <c r="AY107" i="36" s="1"/>
  <c r="AY110" i="36" s="1"/>
  <c r="F107" i="36"/>
  <c r="AL107" i="36" s="1"/>
  <c r="AL110" i="36" s="1"/>
  <c r="H107" i="36"/>
  <c r="AN107" i="36" s="1"/>
  <c r="AN110" i="36" s="1"/>
  <c r="BA111" i="36"/>
  <c r="BA112" i="36"/>
  <c r="BC107" i="36"/>
  <c r="BC110" i="36" s="1"/>
  <c r="AZ107" i="36"/>
  <c r="AZ110" i="36" s="1"/>
  <c r="AR107" i="36"/>
  <c r="AR110" i="36" s="1"/>
  <c r="AQ107" i="36"/>
  <c r="AQ110" i="36" s="1"/>
  <c r="AT107" i="36"/>
  <c r="AT110" i="36" s="1"/>
  <c r="Q86" i="36"/>
  <c r="Q89" i="36" s="1"/>
  <c r="BD85" i="36"/>
  <c r="BE107" i="36"/>
  <c r="BE110" i="36" s="1"/>
  <c r="BN107" i="36"/>
  <c r="BN110" i="36" s="1"/>
  <c r="AM85" i="36"/>
  <c r="BJ85" i="36"/>
  <c r="AT85" i="36"/>
  <c r="AM110" i="36"/>
  <c r="L86" i="36"/>
  <c r="L89" i="36" s="1"/>
  <c r="O86" i="36"/>
  <c r="O89" i="36" s="1"/>
  <c r="Y110" i="36"/>
  <c r="W110" i="36"/>
  <c r="T110" i="36"/>
  <c r="X110" i="36"/>
  <c r="AB110" i="36"/>
  <c r="AD110" i="36"/>
  <c r="U110" i="36"/>
  <c r="G110" i="36"/>
  <c r="K110" i="36"/>
  <c r="C92" i="38"/>
  <c r="C226" i="38"/>
  <c r="K226" i="38"/>
  <c r="K195" i="38"/>
  <c r="M195" i="38"/>
  <c r="H195" i="38"/>
  <c r="Q195" i="38"/>
  <c r="AB195" i="38"/>
  <c r="Y195" i="38"/>
  <c r="E195" i="38"/>
  <c r="F195" i="38"/>
  <c r="P195" i="38"/>
  <c r="G195" i="38"/>
  <c r="AA195" i="38"/>
  <c r="N195" i="38"/>
  <c r="L195" i="38"/>
  <c r="I195" i="38"/>
  <c r="X195" i="38"/>
  <c r="T195" i="38"/>
  <c r="Z195" i="38"/>
  <c r="AD195" i="38"/>
  <c r="AF195" i="38"/>
  <c r="AG195" i="38"/>
  <c r="V195" i="38"/>
  <c r="U195" i="38"/>
  <c r="O195" i="38"/>
  <c r="W195" i="38"/>
  <c r="D195" i="38"/>
  <c r="S195" i="38"/>
  <c r="J195" i="38"/>
  <c r="R195" i="38"/>
  <c r="AE195" i="38"/>
  <c r="AC195" i="38"/>
  <c r="K92" i="38"/>
  <c r="AD92" i="38"/>
  <c r="Z76" i="38"/>
  <c r="F76" i="38"/>
  <c r="O92" i="38"/>
  <c r="AC92" i="38"/>
  <c r="AE76" i="38"/>
  <c r="Q76" i="38"/>
  <c r="S76" i="38"/>
  <c r="V76" i="38"/>
  <c r="P76" i="38"/>
  <c r="D76" i="38"/>
  <c r="T76" i="38"/>
  <c r="L76" i="38"/>
  <c r="I76" i="38"/>
  <c r="J76" i="38"/>
  <c r="M76" i="38"/>
  <c r="AF76" i="38"/>
  <c r="E76" i="38"/>
  <c r="Y76" i="38"/>
  <c r="R76" i="38"/>
  <c r="C74" i="38"/>
  <c r="H76" i="38"/>
  <c r="AA76" i="38"/>
  <c r="G76" i="38"/>
  <c r="AB76" i="38"/>
  <c r="U76" i="38"/>
  <c r="X76" i="38"/>
  <c r="N76" i="38"/>
  <c r="C75" i="38"/>
  <c r="W76" i="38"/>
  <c r="AG76" i="38"/>
  <c r="C73" i="38"/>
  <c r="AQ85" i="36" l="1"/>
  <c r="I86" i="36"/>
  <c r="I89" i="36" s="1"/>
  <c r="J110" i="36"/>
  <c r="AS107" i="36"/>
  <c r="AS110" i="36" s="1"/>
  <c r="R86" i="36"/>
  <c r="R89" i="36" s="1"/>
  <c r="BH113" i="36"/>
  <c r="BF85" i="36"/>
  <c r="AP85" i="36"/>
  <c r="AP86" i="36" s="1"/>
  <c r="AP89" i="36" s="1"/>
  <c r="Y86" i="36"/>
  <c r="Y89" i="36" s="1"/>
  <c r="BK85" i="36"/>
  <c r="BH112" i="36"/>
  <c r="BN85" i="36"/>
  <c r="BN86" i="36" s="1"/>
  <c r="BN89" i="36" s="1"/>
  <c r="BK107" i="36"/>
  <c r="BK110" i="36" s="1"/>
  <c r="BK111" i="36" s="1"/>
  <c r="P110" i="36"/>
  <c r="U86" i="36"/>
  <c r="U89" i="36" s="1"/>
  <c r="D114" i="36"/>
  <c r="AJ111" i="36"/>
  <c r="BD111" i="36"/>
  <c r="AJ113" i="36"/>
  <c r="AG86" i="36"/>
  <c r="AG89" i="36" s="1"/>
  <c r="AF86" i="36"/>
  <c r="AF89" i="36" s="1"/>
  <c r="BJ113" i="36"/>
  <c r="D113" i="36"/>
  <c r="BJ111" i="36"/>
  <c r="BD113" i="36"/>
  <c r="BB85" i="36"/>
  <c r="F86" i="36"/>
  <c r="F89" i="36" s="1"/>
  <c r="AC86" i="36"/>
  <c r="AC89" i="36" s="1"/>
  <c r="S86" i="36"/>
  <c r="S89" i="36" s="1"/>
  <c r="Q110" i="36"/>
  <c r="Q113" i="36" s="1"/>
  <c r="W86" i="36"/>
  <c r="W89" i="36" s="1"/>
  <c r="AJ78" i="36"/>
  <c r="AJ80" i="36" s="1"/>
  <c r="AJ83" i="36" s="1"/>
  <c r="S110" i="36"/>
  <c r="S113" i="36" s="1"/>
  <c r="AV85" i="36"/>
  <c r="H110" i="36"/>
  <c r="H112" i="36" s="1"/>
  <c r="AZ85" i="36"/>
  <c r="AZ86" i="36" s="1"/>
  <c r="AZ89" i="36" s="1"/>
  <c r="D111" i="36"/>
  <c r="AW113" i="36"/>
  <c r="AW112" i="36"/>
  <c r="AW111" i="36"/>
  <c r="X78" i="36"/>
  <c r="BD78" i="36" s="1"/>
  <c r="F78" i="36"/>
  <c r="AL78" i="36" s="1"/>
  <c r="AL80" i="36" s="1"/>
  <c r="AL83" i="36" s="1"/>
  <c r="AF78" i="36"/>
  <c r="BL78" i="36" s="1"/>
  <c r="BL80" i="36" s="1"/>
  <c r="BL83" i="36" s="1"/>
  <c r="W91" i="36"/>
  <c r="BC91" i="36" s="1"/>
  <c r="AC91" i="36"/>
  <c r="BI91" i="36" s="1"/>
  <c r="BN83" i="45"/>
  <c r="BN84" i="45" s="1"/>
  <c r="AH84" i="45"/>
  <c r="O91" i="36"/>
  <c r="AU91" i="36" s="1"/>
  <c r="M86" i="36"/>
  <c r="M89" i="36" s="1"/>
  <c r="AA86" i="36"/>
  <c r="AA89" i="36" s="1"/>
  <c r="D93" i="36"/>
  <c r="D96" i="36" s="1"/>
  <c r="BM83" i="45"/>
  <c r="BM84" i="45" s="1"/>
  <c r="AG84" i="45"/>
  <c r="AL83" i="45"/>
  <c r="AL84" i="45" s="1"/>
  <c r="F84" i="45"/>
  <c r="BC83" i="45"/>
  <c r="BC84" i="45" s="1"/>
  <c r="W84" i="45"/>
  <c r="BL83" i="45"/>
  <c r="BL84" i="45" s="1"/>
  <c r="AF84" i="45"/>
  <c r="AY83" i="45"/>
  <c r="AY84" i="45" s="1"/>
  <c r="S84" i="45"/>
  <c r="BF83" i="45"/>
  <c r="BF84" i="45" s="1"/>
  <c r="Z84" i="45"/>
  <c r="V78" i="36"/>
  <c r="BB78" i="36" s="1"/>
  <c r="J78" i="36"/>
  <c r="AP78" i="36" s="1"/>
  <c r="AP80" i="36" s="1"/>
  <c r="AP83" i="36" s="1"/>
  <c r="AF91" i="36"/>
  <c r="AA91" i="36"/>
  <c r="AA93" i="36" s="1"/>
  <c r="AA96" i="36" s="1"/>
  <c r="Q91" i="36"/>
  <c r="Q93" i="36" s="1"/>
  <c r="Q96" i="36" s="1"/>
  <c r="AT83" i="45"/>
  <c r="AT84" i="45" s="1"/>
  <c r="N84" i="45"/>
  <c r="BJ83" i="45"/>
  <c r="BJ84" i="45" s="1"/>
  <c r="AD84" i="45"/>
  <c r="BD83" i="45"/>
  <c r="BD84" i="45" s="1"/>
  <c r="X84" i="45"/>
  <c r="BB83" i="45"/>
  <c r="BB84" i="45" s="1"/>
  <c r="V84" i="45"/>
  <c r="AU83" i="45"/>
  <c r="AU84" i="45" s="1"/>
  <c r="O84" i="45"/>
  <c r="BI83" i="45"/>
  <c r="BI84" i="45" s="1"/>
  <c r="AC84" i="45"/>
  <c r="M78" i="36"/>
  <c r="X91" i="36"/>
  <c r="BD91" i="36" s="1"/>
  <c r="U91" i="36"/>
  <c r="U93" i="36" s="1"/>
  <c r="U96" i="36" s="1"/>
  <c r="G91" i="36"/>
  <c r="G93" i="36" s="1"/>
  <c r="G96" i="36" s="1"/>
  <c r="L98" i="36"/>
  <c r="AR98" i="36" s="1"/>
  <c r="O78" i="36"/>
  <c r="AU78" i="36" s="1"/>
  <c r="AU80" i="36" s="1"/>
  <c r="AU83" i="36" s="1"/>
  <c r="H78" i="36"/>
  <c r="S78" i="36"/>
  <c r="AY78" i="36" s="1"/>
  <c r="AY80" i="36" s="1"/>
  <c r="AY83" i="36" s="1"/>
  <c r="N78" i="36"/>
  <c r="AT78" i="36" s="1"/>
  <c r="AT80" i="36" s="1"/>
  <c r="AT83" i="36" s="1"/>
  <c r="U78" i="36"/>
  <c r="BA78" i="36" s="1"/>
  <c r="T78" i="36"/>
  <c r="AZ78" i="36" s="1"/>
  <c r="AZ80" i="36" s="1"/>
  <c r="AZ83" i="36" s="1"/>
  <c r="K91" i="36"/>
  <c r="AQ91" i="36" s="1"/>
  <c r="P91" i="36"/>
  <c r="AV91" i="36" s="1"/>
  <c r="AG91" i="36"/>
  <c r="AG93" i="36" s="1"/>
  <c r="AG96" i="36" s="1"/>
  <c r="Y91" i="36"/>
  <c r="Y93" i="36" s="1"/>
  <c r="Y96" i="36" s="1"/>
  <c r="AB91" i="36"/>
  <c r="AB93" i="36" s="1"/>
  <c r="AB96" i="36" s="1"/>
  <c r="F91" i="36"/>
  <c r="AL91" i="36" s="1"/>
  <c r="I91" i="36"/>
  <c r="I93" i="36" s="1"/>
  <c r="I96" i="36" s="1"/>
  <c r="D98" i="36"/>
  <c r="AJ98" i="36" s="1"/>
  <c r="AB86" i="36"/>
  <c r="AB89" i="36" s="1"/>
  <c r="E86" i="36"/>
  <c r="E89" i="36" s="1"/>
  <c r="H86" i="36"/>
  <c r="H89" i="36" s="1"/>
  <c r="BE83" i="45"/>
  <c r="BE84" i="45" s="1"/>
  <c r="Y84" i="45"/>
  <c r="AQ83" i="45"/>
  <c r="AQ84" i="45" s="1"/>
  <c r="K84" i="45"/>
  <c r="AP83" i="45"/>
  <c r="AP84" i="45" s="1"/>
  <c r="J84" i="45"/>
  <c r="AM83" i="45"/>
  <c r="AM84" i="45" s="1"/>
  <c r="G84" i="45"/>
  <c r="AO83" i="45"/>
  <c r="AO84" i="45" s="1"/>
  <c r="I84" i="45"/>
  <c r="AR83" i="45"/>
  <c r="AR84" i="45" s="1"/>
  <c r="L84" i="45"/>
  <c r="BA83" i="45"/>
  <c r="BA84" i="45" s="1"/>
  <c r="U84" i="45"/>
  <c r="AX83" i="45"/>
  <c r="AX84" i="45" s="1"/>
  <c r="R84" i="45"/>
  <c r="I78" i="36"/>
  <c r="AO78" i="36" s="1"/>
  <c r="AO80" i="36" s="1"/>
  <c r="AO83" i="36" s="1"/>
  <c r="Q78" i="36"/>
  <c r="AW78" i="36" s="1"/>
  <c r="AA78" i="36"/>
  <c r="BG78" i="36" s="1"/>
  <c r="BG80" i="36" s="1"/>
  <c r="BG83" i="36" s="1"/>
  <c r="E91" i="36"/>
  <c r="AK91" i="36" s="1"/>
  <c r="M91" i="36"/>
  <c r="AS91" i="36" s="1"/>
  <c r="L91" i="36"/>
  <c r="L93" i="36" s="1"/>
  <c r="BK83" i="45"/>
  <c r="BK84" i="45" s="1"/>
  <c r="AE84" i="45"/>
  <c r="AW83" i="45"/>
  <c r="AW84" i="45" s="1"/>
  <c r="Q84" i="45"/>
  <c r="AC78" i="36"/>
  <c r="BI78" i="36" s="1"/>
  <c r="AG78" i="36"/>
  <c r="BM78" i="36" s="1"/>
  <c r="W78" i="36"/>
  <c r="BC78" i="36" s="1"/>
  <c r="S91" i="36"/>
  <c r="AY91" i="36" s="1"/>
  <c r="AH91" i="36"/>
  <c r="AH93" i="36" s="1"/>
  <c r="AH96" i="36" s="1"/>
  <c r="R91" i="36"/>
  <c r="AX91" i="36" s="1"/>
  <c r="AH78" i="36"/>
  <c r="AH80" i="36" s="1"/>
  <c r="AH83" i="36" s="1"/>
  <c r="Y78" i="36"/>
  <c r="BE78" i="36" s="1"/>
  <c r="BE80" i="36" s="1"/>
  <c r="BE83" i="36" s="1"/>
  <c r="AB78" i="36"/>
  <c r="BH78" i="36" s="1"/>
  <c r="BH80" i="36" s="1"/>
  <c r="BH83" i="36" s="1"/>
  <c r="Z78" i="36"/>
  <c r="BF78" i="36" s="1"/>
  <c r="BF80" i="36" s="1"/>
  <c r="BF83" i="36" s="1"/>
  <c r="K78" i="36"/>
  <c r="E78" i="36"/>
  <c r="AK78" i="36" s="1"/>
  <c r="AK80" i="36" s="1"/>
  <c r="AK83" i="36" s="1"/>
  <c r="R78" i="36"/>
  <c r="AX78" i="36" s="1"/>
  <c r="AX80" i="36" s="1"/>
  <c r="AX83" i="36" s="1"/>
  <c r="G78" i="36"/>
  <c r="AM78" i="36" s="1"/>
  <c r="AD91" i="36"/>
  <c r="AD93" i="36" s="1"/>
  <c r="T91" i="36"/>
  <c r="T93" i="36" s="1"/>
  <c r="T96" i="36" s="1"/>
  <c r="V91" i="36"/>
  <c r="AE91" i="36"/>
  <c r="AE93" i="36" s="1"/>
  <c r="J91" i="36"/>
  <c r="AP91" i="36" s="1"/>
  <c r="H91" i="36"/>
  <c r="H93" i="36" s="1"/>
  <c r="H96" i="36" s="1"/>
  <c r="Z91" i="36"/>
  <c r="Z93" i="36" s="1"/>
  <c r="Z96" i="36" s="1"/>
  <c r="N91" i="36"/>
  <c r="N93" i="36" s="1"/>
  <c r="N96" i="36" s="1"/>
  <c r="AJ89" i="45"/>
  <c r="BH83" i="45"/>
  <c r="BH84" i="45" s="1"/>
  <c r="AB84" i="45"/>
  <c r="AK83" i="45"/>
  <c r="AK84" i="45" s="1"/>
  <c r="E84" i="45"/>
  <c r="AN83" i="45"/>
  <c r="AN84" i="45" s="1"/>
  <c r="H84" i="45"/>
  <c r="AS83" i="45"/>
  <c r="AS84" i="45" s="1"/>
  <c r="M84" i="45"/>
  <c r="AV83" i="45"/>
  <c r="AV84" i="45" s="1"/>
  <c r="P84" i="45"/>
  <c r="BG83" i="45"/>
  <c r="BG84" i="45" s="1"/>
  <c r="AA84" i="45"/>
  <c r="AZ83" i="45"/>
  <c r="AZ84" i="45" s="1"/>
  <c r="T84" i="45"/>
  <c r="AV80" i="36"/>
  <c r="AV83" i="36" s="1"/>
  <c r="BC112" i="36"/>
  <c r="BC113" i="36"/>
  <c r="BC111" i="36"/>
  <c r="AU112" i="36"/>
  <c r="AU113" i="36"/>
  <c r="AU111" i="36"/>
  <c r="BF111" i="36"/>
  <c r="BF112" i="36"/>
  <c r="BF113" i="36"/>
  <c r="BN111" i="36"/>
  <c r="BN112" i="36"/>
  <c r="BN113" i="36"/>
  <c r="AL111" i="36"/>
  <c r="AL112" i="36"/>
  <c r="AL113" i="36"/>
  <c r="BL113" i="36"/>
  <c r="BL111" i="36"/>
  <c r="BL112" i="36"/>
  <c r="AR113" i="36"/>
  <c r="AR111" i="36"/>
  <c r="AR112" i="36"/>
  <c r="AV113" i="36"/>
  <c r="AV111" i="36"/>
  <c r="AV112" i="36"/>
  <c r="BE111" i="36"/>
  <c r="BE112" i="36"/>
  <c r="BE113" i="36"/>
  <c r="AP111" i="36"/>
  <c r="AP112" i="36"/>
  <c r="AP113" i="36"/>
  <c r="AQ112" i="36"/>
  <c r="AQ113" i="36"/>
  <c r="AQ111" i="36"/>
  <c r="AZ113" i="36"/>
  <c r="AZ111" i="36"/>
  <c r="AZ112" i="36"/>
  <c r="AY112" i="36"/>
  <c r="AY113" i="36"/>
  <c r="AY111" i="36"/>
  <c r="AS111" i="36"/>
  <c r="AS112" i="36"/>
  <c r="AS113" i="36"/>
  <c r="AO111" i="36"/>
  <c r="AO112" i="36"/>
  <c r="AO113" i="36"/>
  <c r="AM112" i="36"/>
  <c r="AM113" i="36"/>
  <c r="AM111" i="36"/>
  <c r="AT111" i="36"/>
  <c r="AT112" i="36"/>
  <c r="AT113" i="36"/>
  <c r="AK111" i="36"/>
  <c r="AK112" i="36"/>
  <c r="AK113" i="36"/>
  <c r="AN113" i="36"/>
  <c r="AN111" i="36"/>
  <c r="AN112" i="36"/>
  <c r="U111" i="36"/>
  <c r="U113" i="36"/>
  <c r="U112" i="36"/>
  <c r="W112" i="36"/>
  <c r="W111" i="36"/>
  <c r="W113" i="36"/>
  <c r="AD111" i="36"/>
  <c r="AD113" i="36"/>
  <c r="AD112" i="36"/>
  <c r="X113" i="36"/>
  <c r="X111" i="36"/>
  <c r="X112" i="36"/>
  <c r="P113" i="36"/>
  <c r="P111" i="36"/>
  <c r="P112" i="36"/>
  <c r="J112" i="36"/>
  <c r="J111" i="36"/>
  <c r="J113" i="36"/>
  <c r="AH112" i="36"/>
  <c r="AH111" i="36"/>
  <c r="AH113" i="36"/>
  <c r="M111" i="36"/>
  <c r="M113" i="36"/>
  <c r="M112" i="36"/>
  <c r="Q111" i="36"/>
  <c r="AE112" i="36"/>
  <c r="AE111" i="36"/>
  <c r="AE113" i="36"/>
  <c r="T111" i="36"/>
  <c r="T113" i="36"/>
  <c r="T112" i="36"/>
  <c r="Y111" i="36"/>
  <c r="Y113" i="36"/>
  <c r="Y112" i="36"/>
  <c r="K112" i="36"/>
  <c r="K111" i="36"/>
  <c r="K113" i="36"/>
  <c r="G112" i="36"/>
  <c r="G111" i="36"/>
  <c r="G113" i="36"/>
  <c r="AB111" i="36"/>
  <c r="AB113" i="36"/>
  <c r="AB112" i="36"/>
  <c r="AQ78" i="36"/>
  <c r="AN78" i="36"/>
  <c r="AN80" i="36" s="1"/>
  <c r="AN83" i="36" s="1"/>
  <c r="AS78" i="36"/>
  <c r="BK80" i="36"/>
  <c r="BK83" i="36" s="1"/>
  <c r="F93" i="36"/>
  <c r="F96" i="36" s="1"/>
  <c r="V93" i="36"/>
  <c r="V96" i="36" s="1"/>
  <c r="AF93" i="36"/>
  <c r="AF96" i="36" s="1"/>
  <c r="AJ93" i="36"/>
  <c r="AJ96" i="36" s="1"/>
  <c r="AU86" i="36"/>
  <c r="AU89" i="36" s="1"/>
  <c r="AR86" i="36"/>
  <c r="AR89" i="36" s="1"/>
  <c r="BH86" i="36"/>
  <c r="BH89" i="36" s="1"/>
  <c r="AK86" i="36"/>
  <c r="AK89" i="36" s="1"/>
  <c r="AN86" i="36"/>
  <c r="AN89" i="36" s="1"/>
  <c r="BE86" i="36"/>
  <c r="BE89" i="36" s="1"/>
  <c r="AQ86" i="36"/>
  <c r="AQ89" i="36" s="1"/>
  <c r="AM86" i="36"/>
  <c r="AM89" i="36" s="1"/>
  <c r="BD86" i="36"/>
  <c r="BD89" i="36" s="1"/>
  <c r="AO86" i="36"/>
  <c r="AO89" i="36" s="1"/>
  <c r="BG86" i="36"/>
  <c r="BG89" i="36" s="1"/>
  <c r="AX86" i="36"/>
  <c r="AX89" i="36" s="1"/>
  <c r="BF86" i="36"/>
  <c r="BF89" i="36" s="1"/>
  <c r="AL86" i="36"/>
  <c r="AL89" i="36" s="1"/>
  <c r="BC86" i="36"/>
  <c r="BC89" i="36" s="1"/>
  <c r="BL86" i="36"/>
  <c r="BL89" i="36" s="1"/>
  <c r="AT86" i="36"/>
  <c r="AT89" i="36" s="1"/>
  <c r="BK86" i="36"/>
  <c r="BK89" i="36" s="1"/>
  <c r="BJ86" i="36"/>
  <c r="BJ89" i="36" s="1"/>
  <c r="AV86" i="36"/>
  <c r="AV89" i="36" s="1"/>
  <c r="AY86" i="36"/>
  <c r="AY89" i="36" s="1"/>
  <c r="BB86" i="36"/>
  <c r="BB89" i="36" s="1"/>
  <c r="Z110" i="36"/>
  <c r="O110" i="36"/>
  <c r="F110" i="36"/>
  <c r="L110" i="36"/>
  <c r="E110" i="36"/>
  <c r="AF110" i="36"/>
  <c r="I110" i="36"/>
  <c r="N110" i="36"/>
  <c r="BM91" i="36"/>
  <c r="AJ102" i="36"/>
  <c r="BI107" i="36"/>
  <c r="BI110" i="36" s="1"/>
  <c r="BA86" i="36"/>
  <c r="BA89" i="36" s="1"/>
  <c r="BB91" i="36"/>
  <c r="BF91" i="36"/>
  <c r="BB107" i="36"/>
  <c r="BB110" i="36" s="1"/>
  <c r="AS86" i="36"/>
  <c r="AS89" i="36" s="1"/>
  <c r="BL91" i="36"/>
  <c r="AW91" i="36"/>
  <c r="AX107" i="36"/>
  <c r="AX110" i="36" s="1"/>
  <c r="BM107" i="36"/>
  <c r="BM110" i="36" s="1"/>
  <c r="BM86" i="36"/>
  <c r="BM89" i="36" s="1"/>
  <c r="BI86" i="36"/>
  <c r="BI89" i="36" s="1"/>
  <c r="AW86" i="36"/>
  <c r="AW89" i="36" s="1"/>
  <c r="BA91" i="36"/>
  <c r="K317" i="38"/>
  <c r="K319" i="38" s="1"/>
  <c r="BG107" i="36"/>
  <c r="BG110" i="36" s="1"/>
  <c r="AG110" i="36"/>
  <c r="R110" i="36"/>
  <c r="AA110" i="36"/>
  <c r="AC110" i="36"/>
  <c r="V110" i="36"/>
  <c r="AC226" i="38"/>
  <c r="AD226" i="38"/>
  <c r="O226" i="38"/>
  <c r="AG92" i="38"/>
  <c r="AG226" i="38"/>
  <c r="J92" i="38"/>
  <c r="J226" i="38"/>
  <c r="E92" i="38"/>
  <c r="E226" i="38"/>
  <c r="Z92" i="38"/>
  <c r="Z226" i="38"/>
  <c r="X92" i="38"/>
  <c r="X226" i="38"/>
  <c r="Y92" i="38"/>
  <c r="Y226" i="38"/>
  <c r="Q92" i="38"/>
  <c r="Q226" i="38"/>
  <c r="W92" i="38"/>
  <c r="W226" i="38"/>
  <c r="H92" i="38"/>
  <c r="H226" i="38"/>
  <c r="P92" i="38"/>
  <c r="P226" i="38"/>
  <c r="AB92" i="38"/>
  <c r="AB226" i="38"/>
  <c r="AF92" i="38"/>
  <c r="AF226" i="38"/>
  <c r="L92" i="38"/>
  <c r="L226" i="38"/>
  <c r="V92" i="38"/>
  <c r="V226" i="38"/>
  <c r="AA92" i="38"/>
  <c r="AA226" i="38"/>
  <c r="D92" i="38"/>
  <c r="D226" i="38"/>
  <c r="F92" i="38"/>
  <c r="F226" i="38"/>
  <c r="U92" i="38"/>
  <c r="U226" i="38"/>
  <c r="I92" i="38"/>
  <c r="I226" i="38"/>
  <c r="AE92" i="38"/>
  <c r="AE226" i="38"/>
  <c r="N92" i="38"/>
  <c r="N226" i="38"/>
  <c r="G92" i="38"/>
  <c r="G226" i="38"/>
  <c r="R92" i="38"/>
  <c r="R226" i="38"/>
  <c r="M92" i="38"/>
  <c r="M226" i="38"/>
  <c r="T92" i="38"/>
  <c r="T226" i="38"/>
  <c r="S92" i="38"/>
  <c r="S226" i="38"/>
  <c r="J143" i="38"/>
  <c r="G143" i="38"/>
  <c r="Y143" i="38"/>
  <c r="AG143" i="38"/>
  <c r="AF143" i="38"/>
  <c r="Q143" i="38"/>
  <c r="AB143" i="38"/>
  <c r="R143" i="38"/>
  <c r="X143" i="38"/>
  <c r="H143" i="38"/>
  <c r="N143" i="38"/>
  <c r="AC143" i="38"/>
  <c r="V143" i="38"/>
  <c r="T143" i="38"/>
  <c r="M143" i="38"/>
  <c r="AA143" i="38"/>
  <c r="K143" i="38"/>
  <c r="Z143" i="38"/>
  <c r="AD143" i="38"/>
  <c r="L143" i="38"/>
  <c r="W143" i="38"/>
  <c r="U143" i="38"/>
  <c r="F143" i="38"/>
  <c r="I143" i="38"/>
  <c r="C143" i="38"/>
  <c r="P143" i="38"/>
  <c r="S143" i="38"/>
  <c r="D143" i="38"/>
  <c r="O143" i="38"/>
  <c r="AE143" i="38"/>
  <c r="E143" i="38"/>
  <c r="R144" i="38"/>
  <c r="AE144" i="38"/>
  <c r="X144" i="38"/>
  <c r="G144" i="38"/>
  <c r="K144" i="38"/>
  <c r="Y144" i="38"/>
  <c r="W144" i="38"/>
  <c r="T144" i="38"/>
  <c r="F144" i="38"/>
  <c r="P144" i="38"/>
  <c r="AB144" i="38"/>
  <c r="D144" i="38"/>
  <c r="E144" i="38"/>
  <c r="AD144" i="38"/>
  <c r="AC144" i="38"/>
  <c r="Z144" i="38"/>
  <c r="O144" i="38"/>
  <c r="M144" i="38"/>
  <c r="V144" i="38"/>
  <c r="S144" i="38"/>
  <c r="H144" i="38"/>
  <c r="AG144" i="38"/>
  <c r="AF144" i="38"/>
  <c r="I144" i="38"/>
  <c r="C144" i="38"/>
  <c r="AA144" i="38"/>
  <c r="N144" i="38"/>
  <c r="Q144" i="38"/>
  <c r="L144" i="38"/>
  <c r="J144" i="38"/>
  <c r="U144" i="38"/>
  <c r="I77" i="38"/>
  <c r="G77" i="38"/>
  <c r="T77" i="38"/>
  <c r="AD77" i="38"/>
  <c r="AC77" i="38"/>
  <c r="X77" i="38"/>
  <c r="P77" i="38"/>
  <c r="C77" i="38"/>
  <c r="Y77" i="38"/>
  <c r="W77" i="38"/>
  <c r="S77" i="38"/>
  <c r="AE77" i="38"/>
  <c r="H77" i="38"/>
  <c r="F77" i="38"/>
  <c r="R77" i="38"/>
  <c r="O77" i="38"/>
  <c r="Q77" i="38"/>
  <c r="N77" i="38"/>
  <c r="D77" i="38"/>
  <c r="U77" i="38"/>
  <c r="Z77" i="38"/>
  <c r="V77" i="38"/>
  <c r="AA77" i="38"/>
  <c r="K77" i="38"/>
  <c r="E77" i="38"/>
  <c r="L77" i="38"/>
  <c r="M77" i="38"/>
  <c r="J77" i="38"/>
  <c r="AF77" i="38"/>
  <c r="AG77" i="38"/>
  <c r="AB77" i="38"/>
  <c r="J142" i="38"/>
  <c r="W142" i="38"/>
  <c r="V142" i="38"/>
  <c r="K142" i="38"/>
  <c r="X142" i="38"/>
  <c r="S142" i="38"/>
  <c r="AA142" i="38"/>
  <c r="N142" i="38"/>
  <c r="P142" i="38"/>
  <c r="U142" i="38"/>
  <c r="AE142" i="38"/>
  <c r="T142" i="38"/>
  <c r="L142" i="38"/>
  <c r="AB142" i="38"/>
  <c r="F142" i="38"/>
  <c r="O142" i="38"/>
  <c r="Z142" i="38"/>
  <c r="AG142" i="38"/>
  <c r="M142" i="38"/>
  <c r="G142" i="38"/>
  <c r="R142" i="38"/>
  <c r="Q142" i="38"/>
  <c r="Y142" i="38"/>
  <c r="D142" i="38"/>
  <c r="E142" i="38"/>
  <c r="AD142" i="38"/>
  <c r="I142" i="38"/>
  <c r="H142" i="38"/>
  <c r="AF142" i="38"/>
  <c r="AC142" i="38"/>
  <c r="N79" i="38"/>
  <c r="AD79" i="38"/>
  <c r="W79" i="38"/>
  <c r="C79" i="38"/>
  <c r="AG79" i="38"/>
  <c r="AC79" i="38"/>
  <c r="J79" i="38"/>
  <c r="V79" i="38"/>
  <c r="K79" i="38"/>
  <c r="G79" i="38"/>
  <c r="O79" i="38"/>
  <c r="H79" i="38"/>
  <c r="E79" i="38"/>
  <c r="R79" i="38"/>
  <c r="F79" i="38"/>
  <c r="S79" i="38"/>
  <c r="AA79" i="38"/>
  <c r="Q79" i="38"/>
  <c r="AB79" i="38"/>
  <c r="AF79" i="38"/>
  <c r="M79" i="38"/>
  <c r="Y79" i="38"/>
  <c r="U79" i="38"/>
  <c r="AE79" i="38"/>
  <c r="D79" i="38"/>
  <c r="L79" i="38"/>
  <c r="P79" i="38"/>
  <c r="I79" i="38"/>
  <c r="T79" i="38"/>
  <c r="X79" i="38"/>
  <c r="Z79" i="38"/>
  <c r="AA78" i="38"/>
  <c r="X78" i="38"/>
  <c r="AF78" i="38"/>
  <c r="E78" i="38"/>
  <c r="AG78" i="38"/>
  <c r="Z78" i="38"/>
  <c r="AD78" i="38"/>
  <c r="Q78" i="38"/>
  <c r="J78" i="38"/>
  <c r="N78" i="38"/>
  <c r="S78" i="38"/>
  <c r="AB78" i="38"/>
  <c r="T78" i="38"/>
  <c r="U78" i="38"/>
  <c r="R78" i="38"/>
  <c r="K78" i="38"/>
  <c r="F78" i="38"/>
  <c r="D78" i="38"/>
  <c r="P78" i="38"/>
  <c r="AC78" i="38"/>
  <c r="L78" i="38"/>
  <c r="V78" i="38"/>
  <c r="G78" i="38"/>
  <c r="O78" i="38"/>
  <c r="Y78" i="38"/>
  <c r="W78" i="38"/>
  <c r="M78" i="38"/>
  <c r="C78" i="38"/>
  <c r="I78" i="38"/>
  <c r="AE78" i="38"/>
  <c r="H78" i="38"/>
  <c r="C66" i="38"/>
  <c r="C249" i="38" s="1"/>
  <c r="BK113" i="36" l="1"/>
  <c r="P93" i="36"/>
  <c r="BN91" i="36"/>
  <c r="BJ91" i="36"/>
  <c r="BJ93" i="36" s="1"/>
  <c r="BE91" i="36"/>
  <c r="BE93" i="36" s="1"/>
  <c r="BE96" i="36" s="1"/>
  <c r="J93" i="36"/>
  <c r="J96" i="36" s="1"/>
  <c r="BK112" i="36"/>
  <c r="W93" i="36"/>
  <c r="W96" i="36" s="1"/>
  <c r="K93" i="36"/>
  <c r="K96" i="36" s="1"/>
  <c r="H111" i="36"/>
  <c r="AR91" i="36"/>
  <c r="AR93" i="36" s="1"/>
  <c r="D102" i="36"/>
  <c r="D105" i="36" s="1"/>
  <c r="D119" i="36" s="1"/>
  <c r="M93" i="36"/>
  <c r="M96" i="36" s="1"/>
  <c r="O93" i="36"/>
  <c r="O96" i="36" s="1"/>
  <c r="Q112" i="36"/>
  <c r="S111" i="36"/>
  <c r="S112" i="36"/>
  <c r="H113" i="36"/>
  <c r="BN78" i="36"/>
  <c r="BN80" i="36" s="1"/>
  <c r="BN83" i="36" s="1"/>
  <c r="AZ91" i="36"/>
  <c r="AZ93" i="36" s="1"/>
  <c r="AZ96" i="36" s="1"/>
  <c r="AN91" i="36"/>
  <c r="AN93" i="36" s="1"/>
  <c r="AN96" i="36" s="1"/>
  <c r="X93" i="36"/>
  <c r="X96" i="36" s="1"/>
  <c r="D115" i="36"/>
  <c r="D116" i="36" s="1"/>
  <c r="D128" i="36" s="1"/>
  <c r="S98" i="36"/>
  <c r="AY98" i="36" s="1"/>
  <c r="M98" i="36"/>
  <c r="AS98" i="36" s="1"/>
  <c r="R98" i="36"/>
  <c r="AX98" i="36" s="1"/>
  <c r="AH98" i="36"/>
  <c r="AH102" i="36" s="1"/>
  <c r="AK89" i="45"/>
  <c r="AO91" i="36"/>
  <c r="AO93" i="36" s="1"/>
  <c r="AO96" i="36" s="1"/>
  <c r="R93" i="36"/>
  <c r="R96" i="36" s="1"/>
  <c r="BF89" i="45"/>
  <c r="AP89" i="45"/>
  <c r="BB89" i="45"/>
  <c r="BJ89" i="45"/>
  <c r="BN89" i="45"/>
  <c r="AJ96" i="45"/>
  <c r="AL89" i="45"/>
  <c r="BE89" i="45"/>
  <c r="AV89" i="45"/>
  <c r="AR96" i="45"/>
  <c r="BA89" i="45"/>
  <c r="AW89" i="45"/>
  <c r="BL89" i="45"/>
  <c r="BC89" i="45"/>
  <c r="O98" i="36"/>
  <c r="AU98" i="36" s="1"/>
  <c r="G98" i="36"/>
  <c r="AM98" i="36" s="1"/>
  <c r="AC98" i="36"/>
  <c r="BI98" i="36" s="1"/>
  <c r="T98" i="36"/>
  <c r="AZ98" i="36" s="1"/>
  <c r="N98" i="36"/>
  <c r="AT98" i="36" s="1"/>
  <c r="H98" i="36"/>
  <c r="AN98" i="36" s="1"/>
  <c r="AF98" i="36"/>
  <c r="BL98" i="36" s="1"/>
  <c r="V98" i="36"/>
  <c r="BB98" i="36" s="1"/>
  <c r="E98" i="36"/>
  <c r="AK98" i="36" s="1"/>
  <c r="W98" i="36"/>
  <c r="BC98" i="36" s="1"/>
  <c r="AG98" i="36"/>
  <c r="BM98" i="36" s="1"/>
  <c r="Q98" i="36"/>
  <c r="AW98" i="36" s="1"/>
  <c r="X98" i="36"/>
  <c r="BD98" i="36" s="1"/>
  <c r="Z98" i="36"/>
  <c r="BF98" i="36" s="1"/>
  <c r="AA98" i="36"/>
  <c r="BG98" i="36" s="1"/>
  <c r="K98" i="36"/>
  <c r="AQ98" i="36" s="1"/>
  <c r="P98" i="36"/>
  <c r="AV98" i="36" s="1"/>
  <c r="AM91" i="36"/>
  <c r="AM93" i="36" s="1"/>
  <c r="AM96" i="36" s="1"/>
  <c r="BG91" i="36"/>
  <c r="BG93" i="36" s="1"/>
  <c r="BG96" i="36" s="1"/>
  <c r="AT91" i="36"/>
  <c r="AT93" i="36" s="1"/>
  <c r="AT96" i="36" s="1"/>
  <c r="BK91" i="36"/>
  <c r="BK93" i="36" s="1"/>
  <c r="BH91" i="36"/>
  <c r="BH93" i="36" s="1"/>
  <c r="BH96" i="36" s="1"/>
  <c r="AC93" i="36"/>
  <c r="AC96" i="36" s="1"/>
  <c r="AS89" i="45"/>
  <c r="AU89" i="45"/>
  <c r="U98" i="36"/>
  <c r="BA98" i="36" s="1"/>
  <c r="J98" i="36"/>
  <c r="AP98" i="36" s="1"/>
  <c r="AB98" i="36"/>
  <c r="BH98" i="36" s="1"/>
  <c r="I98" i="36"/>
  <c r="AO98" i="36" s="1"/>
  <c r="Y98" i="36"/>
  <c r="BE98" i="36" s="1"/>
  <c r="F98" i="36"/>
  <c r="AL98" i="36" s="1"/>
  <c r="AD98" i="36"/>
  <c r="BJ98" i="36" s="1"/>
  <c r="AR89" i="45"/>
  <c r="S93" i="36"/>
  <c r="S96" i="36" s="1"/>
  <c r="AE98" i="36"/>
  <c r="BK98" i="36" s="1"/>
  <c r="E93" i="36"/>
  <c r="E96" i="36" s="1"/>
  <c r="AT89" i="45"/>
  <c r="AN89" i="45"/>
  <c r="BK89" i="45"/>
  <c r="AZ89" i="45"/>
  <c r="AX89" i="45"/>
  <c r="AY89" i="45"/>
  <c r="AO89" i="45"/>
  <c r="BH89" i="45"/>
  <c r="BM89" i="45"/>
  <c r="AQ89" i="45"/>
  <c r="AM89" i="45"/>
  <c r="BD89" i="45"/>
  <c r="BG89" i="45"/>
  <c r="BI89" i="45"/>
  <c r="L96" i="36"/>
  <c r="L115" i="36"/>
  <c r="L116" i="36" s="1"/>
  <c r="L128" i="36" s="1"/>
  <c r="AE96" i="36"/>
  <c r="AJ115" i="36"/>
  <c r="AJ116" i="36" s="1"/>
  <c r="AJ128" i="36" s="1"/>
  <c r="AJ105" i="36"/>
  <c r="AJ119" i="36" s="1"/>
  <c r="AJ103" i="36"/>
  <c r="AJ117" i="36" s="1"/>
  <c r="AJ123" i="36" s="1"/>
  <c r="BD80" i="36"/>
  <c r="BD83" i="36" s="1"/>
  <c r="BB80" i="36"/>
  <c r="BB83" i="36" s="1"/>
  <c r="AD96" i="36"/>
  <c r="N115" i="36"/>
  <c r="P96" i="36"/>
  <c r="BM111" i="36"/>
  <c r="BM112" i="36"/>
  <c r="BM113" i="36"/>
  <c r="BB111" i="36"/>
  <c r="BB112" i="36"/>
  <c r="BB113" i="36"/>
  <c r="BI111" i="36"/>
  <c r="BI112" i="36"/>
  <c r="BI113" i="36"/>
  <c r="AX111" i="36"/>
  <c r="AX112" i="36"/>
  <c r="AX113" i="36"/>
  <c r="BG112" i="36"/>
  <c r="BG113" i="36"/>
  <c r="BG111" i="36"/>
  <c r="AF111" i="36"/>
  <c r="AF113" i="36"/>
  <c r="AF112" i="36"/>
  <c r="V112" i="36"/>
  <c r="V111" i="36"/>
  <c r="V113" i="36"/>
  <c r="AG111" i="36"/>
  <c r="AG113" i="36"/>
  <c r="AG112" i="36"/>
  <c r="E111" i="36"/>
  <c r="E113" i="36"/>
  <c r="E112" i="36"/>
  <c r="Z111" i="36"/>
  <c r="Z113" i="36"/>
  <c r="Z112" i="36"/>
  <c r="AC111" i="36"/>
  <c r="AC113" i="36"/>
  <c r="AC112" i="36"/>
  <c r="N111" i="36"/>
  <c r="N113" i="36"/>
  <c r="N112" i="36"/>
  <c r="L111" i="36"/>
  <c r="L113" i="36"/>
  <c r="L112" i="36"/>
  <c r="R111" i="36"/>
  <c r="R113" i="36"/>
  <c r="R112" i="36"/>
  <c r="O112" i="36"/>
  <c r="O111" i="36"/>
  <c r="O113" i="36"/>
  <c r="AA112" i="36"/>
  <c r="AA111" i="36"/>
  <c r="AA113" i="36"/>
  <c r="I111" i="36"/>
  <c r="I113" i="36"/>
  <c r="I112" i="36"/>
  <c r="F111" i="36"/>
  <c r="F113" i="36"/>
  <c r="F112" i="36"/>
  <c r="BC80" i="36"/>
  <c r="BC83" i="36" s="1"/>
  <c r="BM80" i="36"/>
  <c r="BM83" i="36" s="1"/>
  <c r="BA80" i="36"/>
  <c r="BA83" i="36" s="1"/>
  <c r="AQ80" i="36"/>
  <c r="AQ83" i="36" s="1"/>
  <c r="AS80" i="36"/>
  <c r="AS83" i="36" s="1"/>
  <c r="AW80" i="36"/>
  <c r="AW83" i="36" s="1"/>
  <c r="AM80" i="36"/>
  <c r="AM83" i="36" s="1"/>
  <c r="BI80" i="36"/>
  <c r="BI83" i="36" s="1"/>
  <c r="AY93" i="36"/>
  <c r="AY96" i="36" s="1"/>
  <c r="BA93" i="36"/>
  <c r="BA96" i="36" s="1"/>
  <c r="AX93" i="36"/>
  <c r="AX96" i="36" s="1"/>
  <c r="BN93" i="36"/>
  <c r="BN96" i="36" s="1"/>
  <c r="AW93" i="36"/>
  <c r="AW96" i="36" s="1"/>
  <c r="AK93" i="36"/>
  <c r="AK96" i="36" s="1"/>
  <c r="AP93" i="36"/>
  <c r="AP96" i="36" s="1"/>
  <c r="AL93" i="36"/>
  <c r="AL96" i="36" s="1"/>
  <c r="AV93" i="36"/>
  <c r="BF93" i="36"/>
  <c r="BF96" i="36" s="1"/>
  <c r="BB93" i="36"/>
  <c r="BB96" i="36" s="1"/>
  <c r="BI93" i="36"/>
  <c r="BI96" i="36" s="1"/>
  <c r="BC93" i="36"/>
  <c r="BC96" i="36" s="1"/>
  <c r="BD93" i="36"/>
  <c r="BD96" i="36" s="1"/>
  <c r="AS93" i="36"/>
  <c r="AS96" i="36" s="1"/>
  <c r="BL93" i="36"/>
  <c r="BL96" i="36" s="1"/>
  <c r="AQ93" i="36"/>
  <c r="AQ96" i="36" s="1"/>
  <c r="AU93" i="36"/>
  <c r="AU96" i="36" s="1"/>
  <c r="BM93" i="36"/>
  <c r="BM96" i="36" s="1"/>
  <c r="K320" i="38"/>
  <c r="K323" i="38" s="1"/>
  <c r="S317" i="38"/>
  <c r="S320" i="38" s="1"/>
  <c r="M317" i="38"/>
  <c r="M320" i="38" s="1"/>
  <c r="G317" i="38"/>
  <c r="G320" i="38" s="1"/>
  <c r="AE317" i="38"/>
  <c r="AE320" i="38" s="1"/>
  <c r="U317" i="38"/>
  <c r="U320" i="38" s="1"/>
  <c r="D317" i="38"/>
  <c r="D320" i="38" s="1"/>
  <c r="D323" i="38" s="1"/>
  <c r="V317" i="38"/>
  <c r="V319" i="38" s="1"/>
  <c r="AF317" i="38"/>
  <c r="AF320" i="38" s="1"/>
  <c r="P317" i="38"/>
  <c r="P320" i="38" s="1"/>
  <c r="W317" i="38"/>
  <c r="W319" i="38" s="1"/>
  <c r="Y317" i="38"/>
  <c r="Y320" i="38" s="1"/>
  <c r="Z317" i="38"/>
  <c r="Z320" i="38" s="1"/>
  <c r="Z323" i="38" s="1"/>
  <c r="J317" i="38"/>
  <c r="J319" i="38" s="1"/>
  <c r="O317" i="38"/>
  <c r="O320" i="38" s="1"/>
  <c r="AD317" i="38"/>
  <c r="AD319" i="38" s="1"/>
  <c r="L102" i="36"/>
  <c r="C246" i="38"/>
  <c r="AJ249" i="38"/>
  <c r="T317" i="38"/>
  <c r="T320" i="38" s="1"/>
  <c r="R317" i="38"/>
  <c r="R320" i="38" s="1"/>
  <c r="N317" i="38"/>
  <c r="N320" i="38" s="1"/>
  <c r="N321" i="38" s="1"/>
  <c r="N322" i="38" s="1"/>
  <c r="N324" i="38" s="1"/>
  <c r="I317" i="38"/>
  <c r="I319" i="38" s="1"/>
  <c r="F317" i="38"/>
  <c r="F319" i="38" s="1"/>
  <c r="AA317" i="38"/>
  <c r="AA320" i="38" s="1"/>
  <c r="L317" i="38"/>
  <c r="L320" i="38" s="1"/>
  <c r="L323" i="38" s="1"/>
  <c r="AB317" i="38"/>
  <c r="AB319" i="38" s="1"/>
  <c r="H317" i="38"/>
  <c r="H320" i="38" s="1"/>
  <c r="Q317" i="38"/>
  <c r="Q320" i="38" s="1"/>
  <c r="X317" i="38"/>
  <c r="X320" i="38" s="1"/>
  <c r="E317" i="38"/>
  <c r="E319" i="38" s="1"/>
  <c r="AC317" i="38"/>
  <c r="AC320" i="38" s="1"/>
  <c r="AC323" i="38" s="1"/>
  <c r="AA80" i="36"/>
  <c r="AA83" i="36" s="1"/>
  <c r="V80" i="36"/>
  <c r="V83" i="36" s="1"/>
  <c r="G80" i="36"/>
  <c r="G83" i="36" s="1"/>
  <c r="K80" i="36"/>
  <c r="K83" i="36" s="1"/>
  <c r="M80" i="36"/>
  <c r="M83" i="36" s="1"/>
  <c r="R80" i="36"/>
  <c r="R83" i="36" s="1"/>
  <c r="H80" i="36"/>
  <c r="H83" i="36" s="1"/>
  <c r="AE80" i="36"/>
  <c r="AE83" i="36" s="1"/>
  <c r="U80" i="36"/>
  <c r="U83" i="36" s="1"/>
  <c r="E80" i="36"/>
  <c r="E83" i="36" s="1"/>
  <c r="N80" i="36"/>
  <c r="N83" i="36" s="1"/>
  <c r="AB80" i="36"/>
  <c r="AB83" i="36" s="1"/>
  <c r="F80" i="36"/>
  <c r="F83" i="36" s="1"/>
  <c r="L80" i="36"/>
  <c r="L83" i="36" s="1"/>
  <c r="O80" i="36"/>
  <c r="O83" i="36" s="1"/>
  <c r="Q80" i="36"/>
  <c r="Q83" i="36" s="1"/>
  <c r="AC80" i="36"/>
  <c r="AC83" i="36" s="1"/>
  <c r="P80" i="36"/>
  <c r="P83" i="36" s="1"/>
  <c r="X80" i="36"/>
  <c r="X83" i="36" s="1"/>
  <c r="Y80" i="36"/>
  <c r="Y83" i="36" s="1"/>
  <c r="Z80" i="36"/>
  <c r="Z83" i="36" s="1"/>
  <c r="S80" i="36"/>
  <c r="S83" i="36" s="1"/>
  <c r="AD80" i="36"/>
  <c r="AD83" i="36" s="1"/>
  <c r="J80" i="36"/>
  <c r="J83" i="36" s="1"/>
  <c r="AF80" i="36"/>
  <c r="AF83" i="36" s="1"/>
  <c r="AG80" i="36"/>
  <c r="AG83" i="36" s="1"/>
  <c r="T80" i="36"/>
  <c r="T83" i="36" s="1"/>
  <c r="I80" i="36"/>
  <c r="I83" i="36" s="1"/>
  <c r="W80" i="36"/>
  <c r="W83" i="36" s="1"/>
  <c r="U319" i="38"/>
  <c r="AG317" i="38"/>
  <c r="D103" i="36" l="1"/>
  <c r="D117" i="36" s="1"/>
  <c r="D123" i="36" s="1"/>
  <c r="AE115" i="36"/>
  <c r="AF115" i="36"/>
  <c r="K115" i="36"/>
  <c r="K116" i="36" s="1"/>
  <c r="K128" i="36" s="1"/>
  <c r="AA115" i="36"/>
  <c r="AA116" i="36" s="1"/>
  <c r="AA128" i="36" s="1"/>
  <c r="AG115" i="36"/>
  <c r="AG116" i="36" s="1"/>
  <c r="AG128" i="36" s="1"/>
  <c r="S115" i="36"/>
  <c r="S116" i="36" s="1"/>
  <c r="S128" i="36" s="1"/>
  <c r="P115" i="36"/>
  <c r="P116" i="36" s="1"/>
  <c r="P128" i="36" s="1"/>
  <c r="O115" i="36"/>
  <c r="O116" i="36" s="1"/>
  <c r="O128" i="36" s="1"/>
  <c r="X115" i="36"/>
  <c r="X116" i="36" s="1"/>
  <c r="X128" i="36" s="1"/>
  <c r="G115" i="36"/>
  <c r="G116" i="36" s="1"/>
  <c r="G128" i="36" s="1"/>
  <c r="BN98" i="36"/>
  <c r="BN102" i="36" s="1"/>
  <c r="H115" i="36"/>
  <c r="H116" i="36" s="1"/>
  <c r="H128" i="36" s="1"/>
  <c r="Q115" i="36"/>
  <c r="Q116" i="36" s="1"/>
  <c r="Q128" i="36" s="1"/>
  <c r="P319" i="38"/>
  <c r="E115" i="36"/>
  <c r="E116" i="36" s="1"/>
  <c r="E128" i="36" s="1"/>
  <c r="U115" i="36"/>
  <c r="U116" i="36" s="1"/>
  <c r="U128" i="36" s="1"/>
  <c r="AD115" i="36"/>
  <c r="AD116" i="36" s="1"/>
  <c r="AD128" i="36" s="1"/>
  <c r="R115" i="36"/>
  <c r="R116" i="36" s="1"/>
  <c r="R128" i="36" s="1"/>
  <c r="AB115" i="36"/>
  <c r="AB116" i="36" s="1"/>
  <c r="AB128" i="36" s="1"/>
  <c r="F115" i="36"/>
  <c r="F116" i="36" s="1"/>
  <c r="F128" i="36" s="1"/>
  <c r="AH115" i="36"/>
  <c r="M115" i="36"/>
  <c r="M116" i="36" s="1"/>
  <c r="M128" i="36" s="1"/>
  <c r="I115" i="36"/>
  <c r="I116" i="36" s="1"/>
  <c r="I128" i="36" s="1"/>
  <c r="Y319" i="38"/>
  <c r="J115" i="36"/>
  <c r="J116" i="36" s="1"/>
  <c r="J128" i="36" s="1"/>
  <c r="AC115" i="36"/>
  <c r="AC116" i="36" s="1"/>
  <c r="AC128" i="36" s="1"/>
  <c r="Y115" i="36"/>
  <c r="Y116" i="36" s="1"/>
  <c r="Y128" i="36" s="1"/>
  <c r="T115" i="36"/>
  <c r="T116" i="36" s="1"/>
  <c r="T128" i="36" s="1"/>
  <c r="BK96" i="45"/>
  <c r="AV96" i="45"/>
  <c r="BG96" i="45"/>
  <c r="BD96" i="45"/>
  <c r="BM96" i="45"/>
  <c r="AK96" i="45"/>
  <c r="BL96" i="45"/>
  <c r="AT96" i="45"/>
  <c r="BJ96" i="45"/>
  <c r="BH96" i="45"/>
  <c r="AS96" i="45"/>
  <c r="AL96" i="45"/>
  <c r="AO96" i="45"/>
  <c r="AP96" i="45"/>
  <c r="AM96" i="45"/>
  <c r="AX96" i="45"/>
  <c r="AY96" i="45"/>
  <c r="BE96" i="45"/>
  <c r="BA96" i="45"/>
  <c r="BI96" i="45"/>
  <c r="AU96" i="45"/>
  <c r="BN96" i="45"/>
  <c r="V115" i="36"/>
  <c r="V116" i="36" s="1"/>
  <c r="V128" i="36" s="1"/>
  <c r="Z115" i="36"/>
  <c r="Z116" i="36" s="1"/>
  <c r="Z128" i="36" s="1"/>
  <c r="W115" i="36"/>
  <c r="W116" i="36" s="1"/>
  <c r="W128" i="36" s="1"/>
  <c r="AQ96" i="45"/>
  <c r="BF96" i="45"/>
  <c r="AW96" i="45"/>
  <c r="BC96" i="45"/>
  <c r="BB96" i="45"/>
  <c r="AN96" i="45"/>
  <c r="AZ96" i="45"/>
  <c r="J320" i="38"/>
  <c r="J321" i="38" s="1"/>
  <c r="J322" i="38" s="1"/>
  <c r="J324" i="38" s="1"/>
  <c r="S319" i="38"/>
  <c r="Q319" i="38"/>
  <c r="AD320" i="38"/>
  <c r="AD323" i="38" s="1"/>
  <c r="G319" i="38"/>
  <c r="V320" i="38"/>
  <c r="V321" i="38" s="1"/>
  <c r="V322" i="38" s="1"/>
  <c r="V324" i="38" s="1"/>
  <c r="AZ115" i="36"/>
  <c r="AZ116" i="36" s="1"/>
  <c r="AZ128" i="36" s="1"/>
  <c r="AT115" i="36"/>
  <c r="AT116" i="36" s="1"/>
  <c r="AT128" i="36" s="1"/>
  <c r="BM115" i="36"/>
  <c r="BM116" i="36" s="1"/>
  <c r="BM128" i="36" s="1"/>
  <c r="BC115" i="36"/>
  <c r="BC116" i="36" s="1"/>
  <c r="BC128" i="36" s="1"/>
  <c r="BI115" i="36"/>
  <c r="BI116" i="36" s="1"/>
  <c r="BI128" i="36" s="1"/>
  <c r="AH105" i="36"/>
  <c r="AH119" i="36" s="1"/>
  <c r="AH103" i="36"/>
  <c r="AH117" i="36" s="1"/>
  <c r="AH123" i="36" s="1"/>
  <c r="BJ96" i="36"/>
  <c r="BJ115" i="36"/>
  <c r="BJ116" i="36" s="1"/>
  <c r="BJ128" i="36" s="1"/>
  <c r="AV96" i="36"/>
  <c r="AV115" i="36"/>
  <c r="AV116" i="36" s="1"/>
  <c r="AV128" i="36" s="1"/>
  <c r="AX115" i="36"/>
  <c r="AX116" i="36" s="1"/>
  <c r="AX128" i="36" s="1"/>
  <c r="AW115" i="36"/>
  <c r="AW116" i="36" s="1"/>
  <c r="AW128" i="36" s="1"/>
  <c r="W320" i="38"/>
  <c r="W321" i="38" s="1"/>
  <c r="W322" i="38" s="1"/>
  <c r="W324" i="38" s="1"/>
  <c r="AO115" i="36"/>
  <c r="AO116" i="36" s="1"/>
  <c r="AO128" i="36" s="1"/>
  <c r="BB115" i="36"/>
  <c r="BB116" i="36" s="1"/>
  <c r="BB128" i="36" s="1"/>
  <c r="AU115" i="36"/>
  <c r="AU116" i="36" s="1"/>
  <c r="AU128" i="36" s="1"/>
  <c r="AR96" i="36"/>
  <c r="AR115" i="36"/>
  <c r="AR116" i="36" s="1"/>
  <c r="AR128" i="36" s="1"/>
  <c r="AM115" i="36"/>
  <c r="AM116" i="36" s="1"/>
  <c r="AM128" i="36" s="1"/>
  <c r="AP115" i="36"/>
  <c r="AP116" i="36" s="1"/>
  <c r="AP128" i="36" s="1"/>
  <c r="BF115" i="36"/>
  <c r="BF116" i="36" s="1"/>
  <c r="BF128" i="36" s="1"/>
  <c r="AL115" i="36"/>
  <c r="AL116" i="36" s="1"/>
  <c r="AL128" i="36" s="1"/>
  <c r="AQ115" i="36"/>
  <c r="AQ116" i="36" s="1"/>
  <c r="AQ128" i="36" s="1"/>
  <c r="BA115" i="36"/>
  <c r="BA116" i="36" s="1"/>
  <c r="BA128" i="36" s="1"/>
  <c r="T319" i="38"/>
  <c r="BK96" i="36"/>
  <c r="BK115" i="36"/>
  <c r="BK116" i="36" s="1"/>
  <c r="BK128" i="36" s="1"/>
  <c r="AK115" i="36"/>
  <c r="AK116" i="36" s="1"/>
  <c r="AK128" i="36" s="1"/>
  <c r="BH115" i="36"/>
  <c r="BH116" i="36" s="1"/>
  <c r="BH128" i="36" s="1"/>
  <c r="BG115" i="36"/>
  <c r="BG116" i="36" s="1"/>
  <c r="BG128" i="36" s="1"/>
  <c r="L105" i="36"/>
  <c r="L119" i="36" s="1"/>
  <c r="L103" i="36"/>
  <c r="L117" i="36" s="1"/>
  <c r="L123" i="36" s="1"/>
  <c r="BE115" i="36"/>
  <c r="BE116" i="36" s="1"/>
  <c r="BE128" i="36" s="1"/>
  <c r="AY115" i="36"/>
  <c r="AY116" i="36" s="1"/>
  <c r="AY128" i="36" s="1"/>
  <c r="AS115" i="36"/>
  <c r="AS116" i="36" s="1"/>
  <c r="AS128" i="36" s="1"/>
  <c r="BD115" i="36"/>
  <c r="BD116" i="36" s="1"/>
  <c r="BD128" i="36" s="1"/>
  <c r="AN115" i="36"/>
  <c r="AN116" i="36" s="1"/>
  <c r="AN128" i="36" s="1"/>
  <c r="BL115" i="36"/>
  <c r="BL116" i="36" s="1"/>
  <c r="BL128" i="36" s="1"/>
  <c r="R319" i="38"/>
  <c r="AE319" i="38"/>
  <c r="AC319" i="38"/>
  <c r="Z319" i="38"/>
  <c r="K321" i="38"/>
  <c r="K322" i="38" s="1"/>
  <c r="K324" i="38" s="1"/>
  <c r="AA319" i="38"/>
  <c r="F320" i="38"/>
  <c r="F321" i="38" s="1"/>
  <c r="F322" i="38" s="1"/>
  <c r="F324" i="38" s="1"/>
  <c r="E320" i="38"/>
  <c r="E323" i="38" s="1"/>
  <c r="I320" i="38"/>
  <c r="I321" i="38" s="1"/>
  <c r="I322" i="38" s="1"/>
  <c r="I324" i="38" s="1"/>
  <c r="AB320" i="38"/>
  <c r="AB321" i="38" s="1"/>
  <c r="AB322" i="38" s="1"/>
  <c r="AB324" i="38" s="1"/>
  <c r="AF319" i="38"/>
  <c r="M319" i="38"/>
  <c r="O319" i="38"/>
  <c r="D319" i="38"/>
  <c r="L319" i="38"/>
  <c r="X319" i="38"/>
  <c r="H319" i="38"/>
  <c r="N319" i="38"/>
  <c r="P102" i="36"/>
  <c r="AA102" i="36"/>
  <c r="X102" i="36"/>
  <c r="AG102" i="36"/>
  <c r="E102" i="36"/>
  <c r="AF102" i="36"/>
  <c r="AF116" i="36"/>
  <c r="AF128" i="36" s="1"/>
  <c r="N102" i="36"/>
  <c r="N116" i="36"/>
  <c r="N128" i="36" s="1"/>
  <c r="AD102" i="36"/>
  <c r="F102" i="36"/>
  <c r="R102" i="36"/>
  <c r="AC102" i="36"/>
  <c r="AB102" i="36"/>
  <c r="J102" i="36"/>
  <c r="S102" i="36"/>
  <c r="C293" i="38"/>
  <c r="C316" i="38"/>
  <c r="C317" i="38" s="1"/>
  <c r="C319" i="38" s="1"/>
  <c r="C320" i="38" s="1"/>
  <c r="C323" i="38" s="1"/>
  <c r="C328" i="38" s="1"/>
  <c r="C250" i="38"/>
  <c r="AI249" i="38"/>
  <c r="AR102" i="36"/>
  <c r="AE102" i="36"/>
  <c r="AE116" i="36"/>
  <c r="AE128" i="36" s="1"/>
  <c r="K102" i="36"/>
  <c r="Z102" i="36"/>
  <c r="Q102" i="36"/>
  <c r="W102" i="36"/>
  <c r="V102" i="36"/>
  <c r="H102" i="36"/>
  <c r="T102" i="36"/>
  <c r="Y102" i="36"/>
  <c r="I102" i="36"/>
  <c r="M102" i="36"/>
  <c r="G102" i="36"/>
  <c r="O102" i="36"/>
  <c r="U102" i="36"/>
  <c r="N323" i="38"/>
  <c r="N328" i="38" s="1"/>
  <c r="N329" i="38" s="1"/>
  <c r="N336" i="38" s="1"/>
  <c r="D328" i="38"/>
  <c r="D329" i="38" s="1"/>
  <c r="D336" i="38" s="1"/>
  <c r="AC328" i="38"/>
  <c r="AC329" i="38" s="1"/>
  <c r="AC338" i="38" s="1"/>
  <c r="Z328" i="38"/>
  <c r="Z329" i="38" s="1"/>
  <c r="Z338" i="38" s="1"/>
  <c r="AF323" i="38"/>
  <c r="AF321" i="38"/>
  <c r="AF322" i="38" s="1"/>
  <c r="AF324" i="38" s="1"/>
  <c r="K328" i="38"/>
  <c r="O323" i="38"/>
  <c r="O321" i="38"/>
  <c r="O322" i="38" s="1"/>
  <c r="O324" i="38" s="1"/>
  <c r="AG320" i="38"/>
  <c r="AG319" i="38"/>
  <c r="X323" i="38"/>
  <c r="X321" i="38"/>
  <c r="X322" i="38" s="1"/>
  <c r="X324" i="38" s="1"/>
  <c r="H323" i="38"/>
  <c r="H321" i="38"/>
  <c r="H322" i="38" s="1"/>
  <c r="H324" i="38" s="1"/>
  <c r="T323" i="38"/>
  <c r="T321" i="38"/>
  <c r="T322" i="38" s="1"/>
  <c r="T324" i="38" s="1"/>
  <c r="U323" i="38"/>
  <c r="U321" i="38"/>
  <c r="U322" i="38" s="1"/>
  <c r="U324" i="38" s="1"/>
  <c r="S323" i="38"/>
  <c r="S321" i="38"/>
  <c r="S322" i="38" s="1"/>
  <c r="S324" i="38" s="1"/>
  <c r="Z321" i="38"/>
  <c r="Z322" i="38" s="1"/>
  <c r="Z324" i="38" s="1"/>
  <c r="P323" i="38"/>
  <c r="P321" i="38"/>
  <c r="P322" i="38" s="1"/>
  <c r="P324" i="38" s="1"/>
  <c r="L321" i="38"/>
  <c r="L322" i="38" s="1"/>
  <c r="L324" i="38" s="1"/>
  <c r="R323" i="38"/>
  <c r="R321" i="38"/>
  <c r="R322" i="38" s="1"/>
  <c r="R324" i="38" s="1"/>
  <c r="AA323" i="38"/>
  <c r="AA321" i="38"/>
  <c r="AA322" i="38" s="1"/>
  <c r="AA324" i="38" s="1"/>
  <c r="Y323" i="38"/>
  <c r="Y321" i="38"/>
  <c r="Y322" i="38" s="1"/>
  <c r="Y324" i="38" s="1"/>
  <c r="L328" i="38"/>
  <c r="L329" i="38" s="1"/>
  <c r="L338" i="38" s="1"/>
  <c r="AE323" i="38"/>
  <c r="AE321" i="38"/>
  <c r="AE322" i="38" s="1"/>
  <c r="AE324" i="38" s="1"/>
  <c r="D321" i="38"/>
  <c r="D322" i="38" s="1"/>
  <c r="D324" i="38" s="1"/>
  <c r="M323" i="38"/>
  <c r="M321" i="38"/>
  <c r="M322" i="38" s="1"/>
  <c r="M324" i="38" s="1"/>
  <c r="AC321" i="38"/>
  <c r="AC322" i="38" s="1"/>
  <c r="AC324" i="38" s="1"/>
  <c r="Q323" i="38"/>
  <c r="Q321" i="38"/>
  <c r="Q322" i="38" s="1"/>
  <c r="Q324" i="38" s="1"/>
  <c r="G323" i="38"/>
  <c r="G321" i="38"/>
  <c r="G322" i="38" s="1"/>
  <c r="G324" i="38" s="1"/>
  <c r="C294" i="38" l="1"/>
  <c r="D80" i="55"/>
  <c r="AI115" i="36"/>
  <c r="AH116" i="36"/>
  <c r="AI116" i="36" s="1"/>
  <c r="BN115" i="36"/>
  <c r="J323" i="38"/>
  <c r="J328" i="38" s="1"/>
  <c r="J329" i="38" s="1"/>
  <c r="F323" i="38"/>
  <c r="F328" i="38" s="1"/>
  <c r="CG21" i="36"/>
  <c r="W323" i="38"/>
  <c r="W328" i="38" s="1"/>
  <c r="W329" i="38" s="1"/>
  <c r="W338" i="38" s="1"/>
  <c r="AD321" i="38"/>
  <c r="AD322" i="38" s="1"/>
  <c r="AD324" i="38" s="1"/>
  <c r="V323" i="38"/>
  <c r="V328" i="38" s="1"/>
  <c r="AA121" i="36"/>
  <c r="BG121" i="36" s="1"/>
  <c r="AD121" i="36"/>
  <c r="BJ121" i="36" s="1"/>
  <c r="M121" i="36"/>
  <c r="AS121" i="36" s="1"/>
  <c r="E120" i="36"/>
  <c r="AK120" i="36" s="1"/>
  <c r="O120" i="36"/>
  <c r="AU120" i="36" s="1"/>
  <c r="U103" i="36"/>
  <c r="U117" i="36" s="1"/>
  <c r="U123" i="36" s="1"/>
  <c r="U105" i="36"/>
  <c r="U119" i="36" s="1"/>
  <c r="I105" i="36"/>
  <c r="I119" i="36" s="1"/>
  <c r="I103" i="36"/>
  <c r="I117" i="36" s="1"/>
  <c r="I123" i="36" s="1"/>
  <c r="V105" i="36"/>
  <c r="V119" i="36" s="1"/>
  <c r="V103" i="36"/>
  <c r="V117" i="36" s="1"/>
  <c r="V123" i="36" s="1"/>
  <c r="K105" i="36"/>
  <c r="K119" i="36" s="1"/>
  <c r="K103" i="36"/>
  <c r="K117" i="36" s="1"/>
  <c r="K123" i="36" s="1"/>
  <c r="AC103" i="36"/>
  <c r="AC117" i="36" s="1"/>
  <c r="AC123" i="36" s="1"/>
  <c r="AC105" i="36"/>
  <c r="AC119" i="36" s="1"/>
  <c r="N105" i="36"/>
  <c r="N119" i="36" s="1"/>
  <c r="N103" i="36"/>
  <c r="N117" i="36" s="1"/>
  <c r="N123" i="36" s="1"/>
  <c r="X103" i="36"/>
  <c r="X117" i="36" s="1"/>
  <c r="X123" i="36" s="1"/>
  <c r="X105" i="36"/>
  <c r="X119" i="36" s="1"/>
  <c r="H103" i="36"/>
  <c r="H117" i="36" s="1"/>
  <c r="H123" i="36" s="1"/>
  <c r="H105" i="36"/>
  <c r="H119" i="36" s="1"/>
  <c r="BN105" i="36"/>
  <c r="BN119" i="36" s="1"/>
  <c r="BN103" i="36"/>
  <c r="BN117" i="36" s="1"/>
  <c r="BN123" i="36" s="1"/>
  <c r="AB323" i="38"/>
  <c r="AB328" i="38" s="1"/>
  <c r="M103" i="36"/>
  <c r="M117" i="36" s="1"/>
  <c r="M123" i="36" s="1"/>
  <c r="M105" i="36"/>
  <c r="M119" i="36" s="1"/>
  <c r="AD105" i="36"/>
  <c r="AD119" i="36" s="1"/>
  <c r="AD103" i="36"/>
  <c r="AD117" i="36" s="1"/>
  <c r="AD123" i="36" s="1"/>
  <c r="O103" i="36"/>
  <c r="O117" i="36" s="1"/>
  <c r="O123" i="36" s="1"/>
  <c r="O105" i="36"/>
  <c r="O119" i="36" s="1"/>
  <c r="Y105" i="36"/>
  <c r="Y119" i="36" s="1"/>
  <c r="Y103" i="36"/>
  <c r="Y117" i="36" s="1"/>
  <c r="Y123" i="36" s="1"/>
  <c r="W105" i="36"/>
  <c r="W119" i="36" s="1"/>
  <c r="W103" i="36"/>
  <c r="W117" i="36" s="1"/>
  <c r="W123" i="36" s="1"/>
  <c r="AE105" i="36"/>
  <c r="AE119" i="36" s="1"/>
  <c r="AE103" i="36"/>
  <c r="AE117" i="36" s="1"/>
  <c r="AE123" i="36" s="1"/>
  <c r="S103" i="36"/>
  <c r="S117" i="36" s="1"/>
  <c r="S123" i="36" s="1"/>
  <c r="S105" i="36"/>
  <c r="S119" i="36" s="1"/>
  <c r="R105" i="36"/>
  <c r="R119" i="36" s="1"/>
  <c r="R103" i="36"/>
  <c r="R117" i="36" s="1"/>
  <c r="R123" i="36" s="1"/>
  <c r="AF103" i="36"/>
  <c r="AF117" i="36" s="1"/>
  <c r="AF123" i="36" s="1"/>
  <c r="AF105" i="36"/>
  <c r="AF119" i="36" s="1"/>
  <c r="AA105" i="36"/>
  <c r="AA119" i="36" s="1"/>
  <c r="AA103" i="36"/>
  <c r="AA117" i="36" s="1"/>
  <c r="AA123" i="36" s="1"/>
  <c r="AB105" i="36"/>
  <c r="AB119" i="36" s="1"/>
  <c r="AB103" i="36"/>
  <c r="AB117" i="36" s="1"/>
  <c r="AB123" i="36" s="1"/>
  <c r="Z103" i="36"/>
  <c r="Z117" i="36" s="1"/>
  <c r="Z123" i="36" s="1"/>
  <c r="Z105" i="36"/>
  <c r="Z119" i="36" s="1"/>
  <c r="AG105" i="36"/>
  <c r="AG119" i="36" s="1"/>
  <c r="AG103" i="36"/>
  <c r="AG117" i="36" s="1"/>
  <c r="AG123" i="36" s="1"/>
  <c r="G105" i="36"/>
  <c r="G119" i="36" s="1"/>
  <c r="G103" i="36"/>
  <c r="G117" i="36" s="1"/>
  <c r="G123" i="36" s="1"/>
  <c r="T103" i="36"/>
  <c r="T117" i="36" s="1"/>
  <c r="T123" i="36" s="1"/>
  <c r="T105" i="36"/>
  <c r="T119" i="36" s="1"/>
  <c r="Q103" i="36"/>
  <c r="Q117" i="36" s="1"/>
  <c r="Q123" i="36" s="1"/>
  <c r="Q105" i="36"/>
  <c r="Q119" i="36" s="1"/>
  <c r="AR105" i="36"/>
  <c r="AR119" i="36" s="1"/>
  <c r="AR103" i="36"/>
  <c r="AR117" i="36" s="1"/>
  <c r="AR123" i="36" s="1"/>
  <c r="J103" i="36"/>
  <c r="J117" i="36" s="1"/>
  <c r="J123" i="36" s="1"/>
  <c r="J105" i="36"/>
  <c r="J119" i="36" s="1"/>
  <c r="F103" i="36"/>
  <c r="F117" i="36" s="1"/>
  <c r="F123" i="36" s="1"/>
  <c r="F105" i="36"/>
  <c r="F119" i="36" s="1"/>
  <c r="E105" i="36"/>
  <c r="E119" i="36" s="1"/>
  <c r="E103" i="36"/>
  <c r="E117" i="36" s="1"/>
  <c r="E123" i="36" s="1"/>
  <c r="P103" i="36"/>
  <c r="P117" i="36" s="1"/>
  <c r="P123" i="36" s="1"/>
  <c r="P105" i="36"/>
  <c r="P119" i="36" s="1"/>
  <c r="C321" i="38"/>
  <c r="C322" i="38" s="1"/>
  <c r="C324" i="38" s="1"/>
  <c r="E321" i="38"/>
  <c r="E322" i="38" s="1"/>
  <c r="E324" i="38" s="1"/>
  <c r="I323" i="38"/>
  <c r="I328" i="38" s="1"/>
  <c r="AM102" i="36"/>
  <c r="AZ102" i="36"/>
  <c r="AW102" i="36"/>
  <c r="BH102" i="36"/>
  <c r="BJ102" i="36"/>
  <c r="BM102" i="36"/>
  <c r="AU102" i="36"/>
  <c r="BE102" i="36"/>
  <c r="BC102" i="36"/>
  <c r="BK102" i="36"/>
  <c r="D250" i="38"/>
  <c r="C283" i="38"/>
  <c r="BP80" i="55" s="1"/>
  <c r="AP102" i="36"/>
  <c r="AL102" i="36"/>
  <c r="AK102" i="36"/>
  <c r="AV102" i="36"/>
  <c r="BA102" i="36"/>
  <c r="AO102" i="36"/>
  <c r="BB102" i="36"/>
  <c r="AQ102" i="36"/>
  <c r="AY102" i="36"/>
  <c r="AX102" i="36"/>
  <c r="BL102" i="36"/>
  <c r="BG102" i="36"/>
  <c r="AS102" i="36"/>
  <c r="AN102" i="36"/>
  <c r="BF102" i="36"/>
  <c r="C310" i="38"/>
  <c r="C312" i="38"/>
  <c r="D86" i="55" s="1"/>
  <c r="C314" i="38"/>
  <c r="D88" i="55" s="1"/>
  <c r="C313" i="38"/>
  <c r="D87" i="55" s="1"/>
  <c r="C309" i="38"/>
  <c r="C311" i="38"/>
  <c r="D85" i="55" s="1"/>
  <c r="BI102" i="36"/>
  <c r="AT102" i="36"/>
  <c r="BD102" i="36"/>
  <c r="C329" i="38"/>
  <c r="C336" i="38" s="1"/>
  <c r="Y328" i="38"/>
  <c r="Y329" i="38" s="1"/>
  <c r="Y336" i="38" s="1"/>
  <c r="AG323" i="38"/>
  <c r="AG321" i="38"/>
  <c r="AG322" i="38" s="1"/>
  <c r="AG324" i="38" s="1"/>
  <c r="AF328" i="38"/>
  <c r="AF329" i="38" s="1"/>
  <c r="AF338" i="38" s="1"/>
  <c r="G328" i="38"/>
  <c r="E328" i="38"/>
  <c r="E329" i="38" s="1"/>
  <c r="E336" i="38" s="1"/>
  <c r="P328" i="38"/>
  <c r="S328" i="38"/>
  <c r="S329" i="38" s="1"/>
  <c r="S338" i="38" s="1"/>
  <c r="AC336" i="38"/>
  <c r="Q328" i="38"/>
  <c r="T328" i="38"/>
  <c r="T329" i="38" s="1"/>
  <c r="T336" i="38" s="1"/>
  <c r="H328" i="38"/>
  <c r="AD328" i="38"/>
  <c r="AD329" i="38" s="1"/>
  <c r="M328" i="38"/>
  <c r="AE328" i="38"/>
  <c r="AE329" i="38" s="1"/>
  <c r="AE338" i="38" s="1"/>
  <c r="R328" i="38"/>
  <c r="L336" i="38"/>
  <c r="AA328" i="38"/>
  <c r="N338" i="38"/>
  <c r="O84" i="55" s="1"/>
  <c r="X328" i="38"/>
  <c r="O328" i="38"/>
  <c r="O329" i="38" s="1"/>
  <c r="O338" i="38" s="1"/>
  <c r="K329" i="38"/>
  <c r="K338" i="38" s="1"/>
  <c r="U328" i="38"/>
  <c r="U329" i="38" s="1"/>
  <c r="U336" i="38" s="1"/>
  <c r="Z336" i="38"/>
  <c r="D338" i="38"/>
  <c r="E81" i="55" s="1"/>
  <c r="BN116" i="36" l="1"/>
  <c r="BN128" i="36" s="1"/>
  <c r="O81" i="55"/>
  <c r="AH128" i="36"/>
  <c r="M81" i="55"/>
  <c r="M84" i="55"/>
  <c r="AD81" i="55"/>
  <c r="AD84" i="55"/>
  <c r="E84" i="55"/>
  <c r="AA81" i="55"/>
  <c r="AA84" i="55"/>
  <c r="C284" i="38"/>
  <c r="C288" i="38" s="1"/>
  <c r="BP86" i="55" s="1"/>
  <c r="C289" i="38"/>
  <c r="BP87" i="55" s="1"/>
  <c r="C338" i="38"/>
  <c r="D121" i="36" s="1"/>
  <c r="AJ121" i="36" s="1"/>
  <c r="T121" i="36"/>
  <c r="AZ121" i="36" s="1"/>
  <c r="X121" i="36"/>
  <c r="BD121" i="36" s="1"/>
  <c r="AF121" i="36"/>
  <c r="BL121" i="36" s="1"/>
  <c r="Z120" i="36"/>
  <c r="BF120" i="36" s="1"/>
  <c r="AA120" i="36"/>
  <c r="BG120" i="36" s="1"/>
  <c r="BG122" i="36" s="1"/>
  <c r="AG121" i="36"/>
  <c r="BM121" i="36" s="1"/>
  <c r="F120" i="36"/>
  <c r="AL120" i="36" s="1"/>
  <c r="U120" i="36"/>
  <c r="BA120" i="36" s="1"/>
  <c r="L121" i="36"/>
  <c r="AR121" i="36" s="1"/>
  <c r="M329" i="38"/>
  <c r="M338" i="38" s="1"/>
  <c r="V120" i="36"/>
  <c r="BB120" i="36" s="1"/>
  <c r="P121" i="36"/>
  <c r="AV121" i="36" s="1"/>
  <c r="M120" i="36"/>
  <c r="AS120" i="36" s="1"/>
  <c r="AS122" i="36" s="1"/>
  <c r="AD120" i="36"/>
  <c r="BJ120" i="36" s="1"/>
  <c r="BJ122" i="36" s="1"/>
  <c r="D120" i="36"/>
  <c r="AJ120" i="36" s="1"/>
  <c r="BE105" i="36"/>
  <c r="BE119" i="36" s="1"/>
  <c r="BE103" i="36"/>
  <c r="BE117" i="36" s="1"/>
  <c r="BE123" i="36" s="1"/>
  <c r="AP103" i="36"/>
  <c r="AP117" i="36" s="1"/>
  <c r="AP123" i="36" s="1"/>
  <c r="AP105" i="36"/>
  <c r="AP119" i="36" s="1"/>
  <c r="BG105" i="36"/>
  <c r="BG119" i="36" s="1"/>
  <c r="BG103" i="36"/>
  <c r="BG117" i="36" s="1"/>
  <c r="BG123" i="36" s="1"/>
  <c r="AT103" i="36"/>
  <c r="AT117" i="36" s="1"/>
  <c r="AT123" i="36" s="1"/>
  <c r="AT105" i="36"/>
  <c r="AT119" i="36" s="1"/>
  <c r="BI103" i="36"/>
  <c r="BI117" i="36" s="1"/>
  <c r="BI123" i="36" s="1"/>
  <c r="BI105" i="36"/>
  <c r="BI119" i="36" s="1"/>
  <c r="BF103" i="36"/>
  <c r="BF117" i="36" s="1"/>
  <c r="BF123" i="36" s="1"/>
  <c r="BF105" i="36"/>
  <c r="BF119" i="36" s="1"/>
  <c r="BL105" i="36"/>
  <c r="BL119" i="36" s="1"/>
  <c r="BL103" i="36"/>
  <c r="BL117" i="36" s="1"/>
  <c r="BL123" i="36" s="1"/>
  <c r="BB103" i="36"/>
  <c r="BB117" i="36" s="1"/>
  <c r="BB123" i="36" s="1"/>
  <c r="BB105" i="36"/>
  <c r="BB119" i="36" s="1"/>
  <c r="AK105" i="36"/>
  <c r="AK119" i="36" s="1"/>
  <c r="AK103" i="36"/>
  <c r="AK117" i="36" s="1"/>
  <c r="AK123" i="36" s="1"/>
  <c r="BK103" i="36"/>
  <c r="BK117" i="36" s="1"/>
  <c r="BK123" i="36" s="1"/>
  <c r="BK105" i="36"/>
  <c r="BK119" i="36" s="1"/>
  <c r="BM105" i="36"/>
  <c r="BM119" i="36" s="1"/>
  <c r="BM103" i="36"/>
  <c r="BM117" i="36" s="1"/>
  <c r="BM123" i="36" s="1"/>
  <c r="AZ103" i="36"/>
  <c r="AZ117" i="36" s="1"/>
  <c r="AZ123" i="36" s="1"/>
  <c r="AZ105" i="36"/>
  <c r="AZ119" i="36" s="1"/>
  <c r="BD103" i="36"/>
  <c r="BD117" i="36" s="1"/>
  <c r="BD123" i="36" s="1"/>
  <c r="BD105" i="36"/>
  <c r="BD119" i="36" s="1"/>
  <c r="AY103" i="36"/>
  <c r="AY117" i="36" s="1"/>
  <c r="AY123" i="36" s="1"/>
  <c r="AY105" i="36"/>
  <c r="AY119" i="36" s="1"/>
  <c r="BH103" i="36"/>
  <c r="BH117" i="36" s="1"/>
  <c r="BH123" i="36" s="1"/>
  <c r="BH105" i="36"/>
  <c r="BH119" i="36" s="1"/>
  <c r="AQ105" i="36"/>
  <c r="AQ119" i="36" s="1"/>
  <c r="AQ103" i="36"/>
  <c r="AQ117" i="36" s="1"/>
  <c r="AQ123" i="36" s="1"/>
  <c r="AW105" i="36"/>
  <c r="AW119" i="36" s="1"/>
  <c r="AW103" i="36"/>
  <c r="AW117" i="36" s="1"/>
  <c r="AW123" i="36" s="1"/>
  <c r="AS105" i="36"/>
  <c r="AS119" i="36" s="1"/>
  <c r="AS103" i="36"/>
  <c r="AS117" i="36" s="1"/>
  <c r="AS123" i="36" s="1"/>
  <c r="AV105" i="36"/>
  <c r="AV119" i="36" s="1"/>
  <c r="AV103" i="36"/>
  <c r="AV117" i="36" s="1"/>
  <c r="AV123" i="36" s="1"/>
  <c r="AU105" i="36"/>
  <c r="AU119" i="36" s="1"/>
  <c r="AU103" i="36"/>
  <c r="AU117" i="36" s="1"/>
  <c r="AU123" i="36" s="1"/>
  <c r="D340" i="38"/>
  <c r="E121" i="36"/>
  <c r="E125" i="36" s="1"/>
  <c r="AN103" i="36"/>
  <c r="AN117" i="36" s="1"/>
  <c r="AN123" i="36" s="1"/>
  <c r="AN105" i="36"/>
  <c r="AN119" i="36" s="1"/>
  <c r="AX103" i="36"/>
  <c r="AX117" i="36" s="1"/>
  <c r="AX123" i="36" s="1"/>
  <c r="AX105" i="36"/>
  <c r="AX119" i="36" s="1"/>
  <c r="AO103" i="36"/>
  <c r="AO117" i="36" s="1"/>
  <c r="AO123" i="36" s="1"/>
  <c r="AO105" i="36"/>
  <c r="AO119" i="36" s="1"/>
  <c r="AL103" i="36"/>
  <c r="AL117" i="36" s="1"/>
  <c r="AL123" i="36" s="1"/>
  <c r="AL105" i="36"/>
  <c r="AL119" i="36" s="1"/>
  <c r="BC105" i="36"/>
  <c r="BC119" i="36" s="1"/>
  <c r="BC103" i="36"/>
  <c r="BC117" i="36" s="1"/>
  <c r="BC123" i="36" s="1"/>
  <c r="BJ103" i="36"/>
  <c r="BJ117" i="36" s="1"/>
  <c r="BJ123" i="36" s="1"/>
  <c r="BJ105" i="36"/>
  <c r="BJ119" i="36" s="1"/>
  <c r="AM103" i="36"/>
  <c r="AM117" i="36" s="1"/>
  <c r="AM123" i="36" s="1"/>
  <c r="AM105" i="36"/>
  <c r="AM119" i="36" s="1"/>
  <c r="BA105" i="36"/>
  <c r="BA119" i="36" s="1"/>
  <c r="BA103" i="36"/>
  <c r="BA117" i="36" s="1"/>
  <c r="BA123" i="36" s="1"/>
  <c r="N345" i="38"/>
  <c r="O121" i="36"/>
  <c r="O125" i="36" s="1"/>
  <c r="E250" i="38"/>
  <c r="D283" i="38"/>
  <c r="Y338" i="38"/>
  <c r="Z81" i="55" s="1"/>
  <c r="X329" i="38"/>
  <c r="X338" i="38" s="1"/>
  <c r="L340" i="38"/>
  <c r="L345" i="38"/>
  <c r="AD338" i="38"/>
  <c r="AD336" i="38"/>
  <c r="AC340" i="38"/>
  <c r="AC345" i="38"/>
  <c r="S336" i="38"/>
  <c r="AG328" i="38"/>
  <c r="AG329" i="38" s="1"/>
  <c r="AG336" i="38" s="1"/>
  <c r="AB329" i="38"/>
  <c r="AB338" i="38" s="1"/>
  <c r="K336" i="38"/>
  <c r="O336" i="38"/>
  <c r="H329" i="38"/>
  <c r="H338" i="38" s="1"/>
  <c r="W336" i="38"/>
  <c r="E338" i="38"/>
  <c r="F81" i="55" s="1"/>
  <c r="F329" i="38"/>
  <c r="F338" i="38" s="1"/>
  <c r="Z340" i="38"/>
  <c r="Z345" i="38"/>
  <c r="T338" i="38"/>
  <c r="U81" i="55" s="1"/>
  <c r="U338" i="38"/>
  <c r="V81" i="55" s="1"/>
  <c r="V329" i="38"/>
  <c r="V338" i="38" s="1"/>
  <c r="AA329" i="38"/>
  <c r="AA336" i="38" s="1"/>
  <c r="R329" i="38"/>
  <c r="R336" i="38" s="1"/>
  <c r="AE336" i="38"/>
  <c r="I329" i="38"/>
  <c r="I338" i="38" s="1"/>
  <c r="Q329" i="38"/>
  <c r="Q338" i="38" s="1"/>
  <c r="N340" i="38"/>
  <c r="P329" i="38"/>
  <c r="P336" i="38" s="1"/>
  <c r="J338" i="38"/>
  <c r="J336" i="38"/>
  <c r="G329" i="38"/>
  <c r="G336" i="38" s="1"/>
  <c r="AF336" i="38"/>
  <c r="D345" i="38"/>
  <c r="C290" i="38" l="1"/>
  <c r="BP88" i="55" s="1"/>
  <c r="C285" i="38"/>
  <c r="BJ38" i="58"/>
  <c r="AS38" i="58"/>
  <c r="BG38" i="58"/>
  <c r="D81" i="55"/>
  <c r="X81" i="55"/>
  <c r="X84" i="55"/>
  <c r="AE81" i="55"/>
  <c r="AE84" i="55"/>
  <c r="V84" i="55"/>
  <c r="L81" i="55"/>
  <c r="L84" i="55"/>
  <c r="C287" i="38"/>
  <c r="BP85" i="55" s="1"/>
  <c r="D84" i="55"/>
  <c r="U84" i="55"/>
  <c r="AG81" i="55"/>
  <c r="AG84" i="55"/>
  <c r="AF81" i="55"/>
  <c r="AF84" i="55"/>
  <c r="T81" i="55"/>
  <c r="T84" i="55"/>
  <c r="C286" i="38"/>
  <c r="BP84" i="55" s="1"/>
  <c r="F84" i="55"/>
  <c r="Z84" i="55"/>
  <c r="K81" i="55"/>
  <c r="K84" i="55"/>
  <c r="P81" i="55"/>
  <c r="P84" i="55"/>
  <c r="D284" i="38"/>
  <c r="D288" i="38" s="1"/>
  <c r="BQ86" i="55" s="1"/>
  <c r="BQ80" i="55"/>
  <c r="AA125" i="36"/>
  <c r="C340" i="38"/>
  <c r="AS125" i="36"/>
  <c r="C345" i="38"/>
  <c r="D126" i="36" s="1"/>
  <c r="BJ125" i="36"/>
  <c r="AD122" i="36"/>
  <c r="BG125" i="36"/>
  <c r="AD125" i="36"/>
  <c r="AA122" i="36"/>
  <c r="M336" i="38"/>
  <c r="M125" i="36"/>
  <c r="R121" i="36"/>
  <c r="AX121" i="36" s="1"/>
  <c r="P120" i="36"/>
  <c r="P122" i="36" s="1"/>
  <c r="AE121" i="36"/>
  <c r="BK121" i="36" s="1"/>
  <c r="K121" i="36"/>
  <c r="AQ121" i="36" s="1"/>
  <c r="W121" i="36"/>
  <c r="BC121" i="36" s="1"/>
  <c r="Q120" i="36"/>
  <c r="AW120" i="36" s="1"/>
  <c r="G121" i="36"/>
  <c r="AM121" i="36" s="1"/>
  <c r="I121" i="36"/>
  <c r="AO121" i="36" s="1"/>
  <c r="AC121" i="36"/>
  <c r="BI121" i="36" s="1"/>
  <c r="D122" i="36"/>
  <c r="K120" i="36"/>
  <c r="AQ120" i="36" s="1"/>
  <c r="X120" i="36"/>
  <c r="X125" i="36" s="1"/>
  <c r="T120" i="36"/>
  <c r="T125" i="36" s="1"/>
  <c r="J121" i="36"/>
  <c r="AP121" i="36" s="1"/>
  <c r="L120" i="36"/>
  <c r="AR120" i="36" s="1"/>
  <c r="AG120" i="36"/>
  <c r="AG122" i="36" s="1"/>
  <c r="AF120" i="36"/>
  <c r="BL120" i="36" s="1"/>
  <c r="BL122" i="36" s="1"/>
  <c r="H120" i="36"/>
  <c r="AN120" i="36" s="1"/>
  <c r="S120" i="36"/>
  <c r="AY120" i="36" s="1"/>
  <c r="F121" i="36"/>
  <c r="AL121" i="36" s="1"/>
  <c r="AL122" i="36" s="1"/>
  <c r="AH120" i="36"/>
  <c r="BN120" i="36" s="1"/>
  <c r="AE120" i="36"/>
  <c r="BK120" i="36" s="1"/>
  <c r="Y121" i="36"/>
  <c r="BE121" i="36" s="1"/>
  <c r="D125" i="36"/>
  <c r="M122" i="36"/>
  <c r="AB120" i="36"/>
  <c r="BH120" i="36" s="1"/>
  <c r="N121" i="36"/>
  <c r="AT121" i="36" s="1"/>
  <c r="U340" i="38"/>
  <c r="V121" i="36"/>
  <c r="AJ122" i="36"/>
  <c r="AJ125" i="36"/>
  <c r="T340" i="38"/>
  <c r="U121" i="36"/>
  <c r="Z346" i="38"/>
  <c r="AA126" i="36"/>
  <c r="D346" i="38"/>
  <c r="E126" i="36"/>
  <c r="L346" i="38"/>
  <c r="M126" i="36"/>
  <c r="AC346" i="38"/>
  <c r="AD126" i="36"/>
  <c r="AU121" i="36"/>
  <c r="AU122" i="36" s="1"/>
  <c r="O122" i="36"/>
  <c r="AK121" i="36"/>
  <c r="AK122" i="36" s="1"/>
  <c r="E122" i="36"/>
  <c r="Y345" i="38"/>
  <c r="Z121" i="36"/>
  <c r="N346" i="38"/>
  <c r="O126" i="36"/>
  <c r="Y340" i="38"/>
  <c r="F250" i="38"/>
  <c r="E283" i="38"/>
  <c r="H336" i="38"/>
  <c r="AB336" i="38"/>
  <c r="R338" i="38"/>
  <c r="S84" i="55" s="1"/>
  <c r="J340" i="38"/>
  <c r="J345" i="38"/>
  <c r="F336" i="38"/>
  <c r="W340" i="38"/>
  <c r="W345" i="38"/>
  <c r="V336" i="38"/>
  <c r="S340" i="38"/>
  <c r="S345" i="38"/>
  <c r="Q336" i="38"/>
  <c r="X336" i="38"/>
  <c r="T345" i="38"/>
  <c r="AF340" i="38"/>
  <c r="AF345" i="38"/>
  <c r="AE340" i="38"/>
  <c r="AE345" i="38"/>
  <c r="O340" i="38"/>
  <c r="O345" i="38"/>
  <c r="I336" i="38"/>
  <c r="P338" i="38"/>
  <c r="Q81" i="55" s="1"/>
  <c r="E340" i="38"/>
  <c r="E345" i="38"/>
  <c r="K340" i="38"/>
  <c r="K345" i="38"/>
  <c r="AA338" i="38"/>
  <c r="AB81" i="55" s="1"/>
  <c r="AG338" i="38"/>
  <c r="AH81" i="55" s="1"/>
  <c r="AD340" i="38"/>
  <c r="AD345" i="38"/>
  <c r="G338" i="38"/>
  <c r="H81" i="55" s="1"/>
  <c r="U345" i="38"/>
  <c r="D285" i="38" l="1"/>
  <c r="D287" i="38"/>
  <c r="BQ85" i="55" s="1"/>
  <c r="C346" i="38"/>
  <c r="D289" i="38"/>
  <c r="BQ87" i="55" s="1"/>
  <c r="E38" i="58"/>
  <c r="AJ38" i="58"/>
  <c r="AA38" i="58"/>
  <c r="AK38" i="58"/>
  <c r="E39" i="58"/>
  <c r="O38" i="58"/>
  <c r="AL38" i="58"/>
  <c r="D290" i="38"/>
  <c r="BQ88" i="55" s="1"/>
  <c r="AU38" i="58"/>
  <c r="AA39" i="58"/>
  <c r="AD38" i="58"/>
  <c r="D286" i="38"/>
  <c r="BQ84" i="55" s="1"/>
  <c r="O39" i="58"/>
  <c r="D38" i="58"/>
  <c r="P38" i="58"/>
  <c r="AD39" i="58"/>
  <c r="M38" i="58"/>
  <c r="BL38" i="58"/>
  <c r="D39" i="58"/>
  <c r="M39" i="58"/>
  <c r="AG38" i="58"/>
  <c r="AL125" i="36"/>
  <c r="G81" i="55"/>
  <c r="G84" i="55"/>
  <c r="S81" i="55"/>
  <c r="H84" i="55"/>
  <c r="J81" i="55"/>
  <c r="J84" i="55"/>
  <c r="R81" i="55"/>
  <c r="R84" i="55"/>
  <c r="AH84" i="55"/>
  <c r="Y81" i="55"/>
  <c r="Y84" i="55"/>
  <c r="AC81" i="55"/>
  <c r="AC84" i="55"/>
  <c r="W81" i="55"/>
  <c r="W84" i="55"/>
  <c r="I81" i="55"/>
  <c r="I84" i="55"/>
  <c r="N81" i="55"/>
  <c r="N84" i="55"/>
  <c r="Q84" i="55"/>
  <c r="AB84" i="55"/>
  <c r="E284" i="38"/>
  <c r="E287" i="38" s="1"/>
  <c r="BR85" i="55" s="1"/>
  <c r="BR80" i="55"/>
  <c r="K125" i="36"/>
  <c r="T122" i="36"/>
  <c r="AG125" i="36"/>
  <c r="BM120" i="36"/>
  <c r="BM122" i="36" s="1"/>
  <c r="L122" i="36"/>
  <c r="AQ122" i="36"/>
  <c r="AV120" i="36"/>
  <c r="AV122" i="36" s="1"/>
  <c r="F125" i="36"/>
  <c r="F122" i="36"/>
  <c r="L125" i="36"/>
  <c r="AZ120" i="36"/>
  <c r="AZ122" i="36" s="1"/>
  <c r="X122" i="36"/>
  <c r="AF122" i="36"/>
  <c r="BD120" i="36"/>
  <c r="BD122" i="36" s="1"/>
  <c r="AF125" i="36"/>
  <c r="AE125" i="36"/>
  <c r="N120" i="36"/>
  <c r="M345" i="38"/>
  <c r="AE122" i="36"/>
  <c r="M340" i="38"/>
  <c r="BK122" i="36"/>
  <c r="M127" i="36"/>
  <c r="J120" i="36"/>
  <c r="J122" i="36" s="1"/>
  <c r="Y120" i="36"/>
  <c r="BE120" i="36" s="1"/>
  <c r="D127" i="36"/>
  <c r="AD127" i="36"/>
  <c r="E127" i="36"/>
  <c r="R120" i="36"/>
  <c r="R125" i="36" s="1"/>
  <c r="G120" i="36"/>
  <c r="AM120" i="36" s="1"/>
  <c r="P125" i="36"/>
  <c r="W120" i="36"/>
  <c r="W122" i="36" s="1"/>
  <c r="O127" i="36"/>
  <c r="K122" i="36"/>
  <c r="AA127" i="36"/>
  <c r="AU125" i="36"/>
  <c r="AQ125" i="36"/>
  <c r="S346" i="38"/>
  <c r="T126" i="36"/>
  <c r="AR122" i="36"/>
  <c r="AR125" i="36"/>
  <c r="U346" i="38"/>
  <c r="V126" i="36"/>
  <c r="E346" i="38"/>
  <c r="F126" i="36"/>
  <c r="AF346" i="38"/>
  <c r="AG126" i="36"/>
  <c r="AB340" i="38"/>
  <c r="AC120" i="36"/>
  <c r="BK125" i="36"/>
  <c r="BL125" i="36"/>
  <c r="P340" i="38"/>
  <c r="Q121" i="36"/>
  <c r="T346" i="38"/>
  <c r="U126" i="36"/>
  <c r="W346" i="38"/>
  <c r="X126" i="36"/>
  <c r="K346" i="38"/>
  <c r="L126" i="36"/>
  <c r="R345" i="38"/>
  <c r="S121" i="36"/>
  <c r="AD346" i="38"/>
  <c r="AE126" i="36"/>
  <c r="AG340" i="38"/>
  <c r="AH121" i="36"/>
  <c r="CG22" i="36" s="1"/>
  <c r="O346" i="38"/>
  <c r="P126" i="36"/>
  <c r="BF121" i="36"/>
  <c r="Z125" i="36"/>
  <c r="Z122" i="36"/>
  <c r="AE346" i="38"/>
  <c r="AF126" i="36"/>
  <c r="G345" i="38"/>
  <c r="H121" i="36"/>
  <c r="H340" i="38"/>
  <c r="I120" i="36"/>
  <c r="AA340" i="38"/>
  <c r="AB121" i="36"/>
  <c r="J346" i="38"/>
  <c r="K126" i="36"/>
  <c r="AK125" i="36"/>
  <c r="Y346" i="38"/>
  <c r="Z126" i="36"/>
  <c r="BA121" i="36"/>
  <c r="U125" i="36"/>
  <c r="U122" i="36"/>
  <c r="BB121" i="36"/>
  <c r="V122" i="36"/>
  <c r="V125" i="36"/>
  <c r="F283" i="38"/>
  <c r="G250" i="38"/>
  <c r="AB345" i="38"/>
  <c r="R340" i="38"/>
  <c r="H345" i="38"/>
  <c r="P345" i="38"/>
  <c r="X340" i="38"/>
  <c r="X345" i="38"/>
  <c r="AA345" i="38"/>
  <c r="I340" i="38"/>
  <c r="I345" i="38"/>
  <c r="V340" i="38"/>
  <c r="V345" i="38"/>
  <c r="G340" i="38"/>
  <c r="Q340" i="38"/>
  <c r="Q345" i="38"/>
  <c r="F340" i="38"/>
  <c r="F345" i="38"/>
  <c r="AG345" i="38"/>
  <c r="Z39" i="58" l="1"/>
  <c r="X39" i="58"/>
  <c r="V38" i="58"/>
  <c r="K39" i="58"/>
  <c r="AF39" i="58"/>
  <c r="AR38" i="58"/>
  <c r="W38" i="58"/>
  <c r="J38" i="58"/>
  <c r="AV38" i="58"/>
  <c r="AG39" i="58"/>
  <c r="BD38" i="58"/>
  <c r="AQ38" i="58"/>
  <c r="AE39" i="58"/>
  <c r="U39" i="58"/>
  <c r="T39" i="58"/>
  <c r="U38" i="58"/>
  <c r="Z38" i="58"/>
  <c r="BK38" i="58"/>
  <c r="AF38" i="58"/>
  <c r="L38" i="58"/>
  <c r="F39" i="58"/>
  <c r="X38" i="58"/>
  <c r="BM38" i="58"/>
  <c r="AE38" i="58"/>
  <c r="AZ38" i="58"/>
  <c r="P39" i="58"/>
  <c r="L39" i="58"/>
  <c r="V39" i="58"/>
  <c r="T38" i="58"/>
  <c r="K38" i="58"/>
  <c r="F38" i="58"/>
  <c r="E290" i="38"/>
  <c r="BR88" i="55" s="1"/>
  <c r="E289" i="38"/>
  <c r="BR87" i="55" s="1"/>
  <c r="F284" i="38"/>
  <c r="F290" i="38" s="1"/>
  <c r="BS88" i="55" s="1"/>
  <c r="BS80" i="55"/>
  <c r="E288" i="38"/>
  <c r="BR86" i="55" s="1"/>
  <c r="E285" i="38"/>
  <c r="E286" i="38"/>
  <c r="BR84" i="55" s="1"/>
  <c r="W125" i="36"/>
  <c r="G125" i="36"/>
  <c r="BD125" i="36"/>
  <c r="F288" i="38"/>
  <c r="BS86" i="55" s="1"/>
  <c r="N126" i="36"/>
  <c r="BC120" i="36"/>
  <c r="BC122" i="36" s="1"/>
  <c r="G122" i="36"/>
  <c r="R122" i="36"/>
  <c r="M346" i="38"/>
  <c r="N127" i="36" s="1"/>
  <c r="AV125" i="36"/>
  <c r="AZ125" i="36"/>
  <c r="BM125" i="36"/>
  <c r="AX120" i="36"/>
  <c r="AX125" i="36" s="1"/>
  <c r="AP120" i="36"/>
  <c r="AP122" i="36" s="1"/>
  <c r="Y125" i="36"/>
  <c r="Y122" i="36"/>
  <c r="N122" i="36"/>
  <c r="AT120" i="36"/>
  <c r="N125" i="36"/>
  <c r="T127" i="36"/>
  <c r="U127" i="36"/>
  <c r="V127" i="36"/>
  <c r="Z127" i="36"/>
  <c r="J125" i="36"/>
  <c r="X127" i="36"/>
  <c r="F127" i="36"/>
  <c r="L127" i="36"/>
  <c r="AG127" i="36"/>
  <c r="K127" i="36"/>
  <c r="AF127" i="36"/>
  <c r="P127" i="36"/>
  <c r="AE127" i="36"/>
  <c r="Q346" i="38"/>
  <c r="R126" i="36"/>
  <c r="X346" i="38"/>
  <c r="Y126" i="36"/>
  <c r="AN121" i="36"/>
  <c r="H125" i="36"/>
  <c r="H122" i="36"/>
  <c r="AY121" i="36"/>
  <c r="S125" i="36"/>
  <c r="S122" i="36"/>
  <c r="AW121" i="36"/>
  <c r="Q122" i="36"/>
  <c r="Q125" i="36"/>
  <c r="H346" i="38"/>
  <c r="I126" i="36"/>
  <c r="AM122" i="36"/>
  <c r="AM125" i="36"/>
  <c r="V346" i="38"/>
  <c r="W126" i="36"/>
  <c r="BB122" i="36"/>
  <c r="BB125" i="36"/>
  <c r="BH121" i="36"/>
  <c r="AB125" i="36"/>
  <c r="AB122" i="36"/>
  <c r="BE122" i="36"/>
  <c r="BE125" i="36"/>
  <c r="G346" i="38"/>
  <c r="H126" i="36"/>
  <c r="BI120" i="36"/>
  <c r="AC122" i="36"/>
  <c r="AC125" i="36"/>
  <c r="I346" i="38"/>
  <c r="J126" i="36"/>
  <c r="AA346" i="38"/>
  <c r="AB126" i="36"/>
  <c r="R346" i="38"/>
  <c r="S126" i="36"/>
  <c r="P346" i="38"/>
  <c r="Q126" i="36"/>
  <c r="AG346" i="38"/>
  <c r="AH126" i="36"/>
  <c r="AB346" i="38"/>
  <c r="AC126" i="36"/>
  <c r="F346" i="38"/>
  <c r="G126" i="36"/>
  <c r="BA122" i="36"/>
  <c r="BA125" i="36"/>
  <c r="AO120" i="36"/>
  <c r="I122" i="36"/>
  <c r="I125" i="36"/>
  <c r="BF122" i="36"/>
  <c r="BF125" i="36"/>
  <c r="BN121" i="36"/>
  <c r="G49" i="60" s="1"/>
  <c r="H48" i="60" s="1"/>
  <c r="AH125" i="36"/>
  <c r="AH122" i="36"/>
  <c r="G283" i="38"/>
  <c r="H250" i="38"/>
  <c r="F286" i="38" l="1"/>
  <c r="BS84" i="55" s="1"/>
  <c r="F287" i="38"/>
  <c r="BS85" i="55" s="1"/>
  <c r="F285" i="38"/>
  <c r="BC125" i="36"/>
  <c r="S38" i="58"/>
  <c r="N38" i="58"/>
  <c r="I38" i="58"/>
  <c r="AH39" i="58"/>
  <c r="AM38" i="58"/>
  <c r="AC38" i="58"/>
  <c r="I39" i="58"/>
  <c r="H38" i="58"/>
  <c r="G38" i="58"/>
  <c r="AB38" i="58"/>
  <c r="R38" i="58"/>
  <c r="AP38" i="58"/>
  <c r="BC38" i="58"/>
  <c r="Y38" i="58"/>
  <c r="BA38" i="58"/>
  <c r="BE38" i="58"/>
  <c r="Q39" i="58"/>
  <c r="S39" i="58"/>
  <c r="H39" i="58"/>
  <c r="N39" i="58"/>
  <c r="AC39" i="58"/>
  <c r="Q38" i="58"/>
  <c r="F289" i="38"/>
  <c r="BS87" i="55" s="1"/>
  <c r="J39" i="58"/>
  <c r="R39" i="58"/>
  <c r="AH38" i="58"/>
  <c r="P22" i="60" s="1"/>
  <c r="G39" i="58"/>
  <c r="BF38" i="58"/>
  <c r="AB39" i="58"/>
  <c r="BB38" i="58"/>
  <c r="Y39" i="58"/>
  <c r="W39" i="58"/>
  <c r="G284" i="38"/>
  <c r="G286" i="38" s="1"/>
  <c r="BT84" i="55" s="1"/>
  <c r="BT80" i="55"/>
  <c r="AX122" i="36"/>
  <c r="AP125" i="36"/>
  <c r="AT122" i="36"/>
  <c r="AT125" i="36"/>
  <c r="G127" i="36"/>
  <c r="AH127" i="36"/>
  <c r="S127" i="36"/>
  <c r="J127" i="36"/>
  <c r="W127" i="36"/>
  <c r="I127" i="36"/>
  <c r="Y127" i="36"/>
  <c r="H127" i="36"/>
  <c r="R127" i="36"/>
  <c r="AC127" i="36"/>
  <c r="Q127" i="36"/>
  <c r="AB127" i="36"/>
  <c r="AW125" i="36"/>
  <c r="AW122" i="36"/>
  <c r="AY125" i="36"/>
  <c r="AY122" i="36"/>
  <c r="BI122" i="36"/>
  <c r="BI125" i="36"/>
  <c r="BN122" i="36"/>
  <c r="BN125" i="36"/>
  <c r="BH122" i="36"/>
  <c r="BH125" i="36"/>
  <c r="AO122" i="36"/>
  <c r="AO125" i="36"/>
  <c r="AN122" i="36"/>
  <c r="AN125" i="36"/>
  <c r="H283" i="38"/>
  <c r="I250" i="38"/>
  <c r="AY38" i="58" l="1"/>
  <c r="AN38" i="58"/>
  <c r="AW38" i="58"/>
  <c r="BN38" i="58"/>
  <c r="K22" i="60" s="1"/>
  <c r="AO38" i="58"/>
  <c r="AT38" i="58"/>
  <c r="BH38" i="58"/>
  <c r="BI38" i="58"/>
  <c r="AX38" i="58"/>
  <c r="G285" i="38"/>
  <c r="G290" i="38"/>
  <c r="BT88" i="55" s="1"/>
  <c r="G287" i="38"/>
  <c r="BT85" i="55" s="1"/>
  <c r="G288" i="38"/>
  <c r="BT86" i="55" s="1"/>
  <c r="G289" i="38"/>
  <c r="BT87" i="55" s="1"/>
  <c r="H284" i="38"/>
  <c r="H287" i="38" s="1"/>
  <c r="BU85" i="55" s="1"/>
  <c r="BU80" i="55"/>
  <c r="J250" i="38"/>
  <c r="I283" i="38"/>
  <c r="E26" i="61" l="1"/>
  <c r="DB20" i="58"/>
  <c r="H288" i="38"/>
  <c r="BU86" i="55" s="1"/>
  <c r="H285" i="38"/>
  <c r="H290" i="38"/>
  <c r="BU88" i="55" s="1"/>
  <c r="H289" i="38"/>
  <c r="BU87" i="55" s="1"/>
  <c r="H286" i="38"/>
  <c r="BU84" i="55" s="1"/>
  <c r="I284" i="38"/>
  <c r="I289" i="38" s="1"/>
  <c r="BV87" i="55" s="1"/>
  <c r="BV80" i="55"/>
  <c r="K250" i="38"/>
  <c r="J283" i="38"/>
  <c r="I287" i="38" l="1"/>
  <c r="BV85" i="55" s="1"/>
  <c r="I286" i="38"/>
  <c r="BV84" i="55" s="1"/>
  <c r="I290" i="38"/>
  <c r="BV88" i="55" s="1"/>
  <c r="I288" i="38"/>
  <c r="BV86" i="55" s="1"/>
  <c r="I285" i="38"/>
  <c r="J284" i="38"/>
  <c r="J289" i="38" s="1"/>
  <c r="BW87" i="55" s="1"/>
  <c r="BW80" i="55"/>
  <c r="L250" i="38"/>
  <c r="K283" i="38"/>
  <c r="J288" i="38" l="1"/>
  <c r="BW86" i="55" s="1"/>
  <c r="J285" i="38"/>
  <c r="J290" i="38"/>
  <c r="BW88" i="55" s="1"/>
  <c r="J287" i="38"/>
  <c r="BW85" i="55" s="1"/>
  <c r="J286" i="38"/>
  <c r="BW84" i="55" s="1"/>
  <c r="K284" i="38"/>
  <c r="K286" i="38" s="1"/>
  <c r="BX84" i="55" s="1"/>
  <c r="BX80" i="55"/>
  <c r="L283" i="38"/>
  <c r="M250" i="38"/>
  <c r="K287" i="38" l="1"/>
  <c r="BX85" i="55" s="1"/>
  <c r="K285" i="38"/>
  <c r="K289" i="38"/>
  <c r="BX87" i="55" s="1"/>
  <c r="K290" i="38"/>
  <c r="BX88" i="55" s="1"/>
  <c r="K288" i="38"/>
  <c r="BX86" i="55" s="1"/>
  <c r="L284" i="38"/>
  <c r="L290" i="38" s="1"/>
  <c r="BY88" i="55" s="1"/>
  <c r="BY80" i="55"/>
  <c r="N250" i="38"/>
  <c r="M283" i="38"/>
  <c r="L288" i="38" l="1"/>
  <c r="BY86" i="55" s="1"/>
  <c r="L285" i="38"/>
  <c r="L287" i="38"/>
  <c r="BY85" i="55" s="1"/>
  <c r="L286" i="38"/>
  <c r="BY84" i="55" s="1"/>
  <c r="L289" i="38"/>
  <c r="BY87" i="55" s="1"/>
  <c r="M284" i="38"/>
  <c r="M289" i="38" s="1"/>
  <c r="BZ87" i="55" s="1"/>
  <c r="BZ80" i="55"/>
  <c r="O250" i="38"/>
  <c r="N283" i="38"/>
  <c r="M290" i="38" l="1"/>
  <c r="BZ88" i="55" s="1"/>
  <c r="M287" i="38"/>
  <c r="BZ85" i="55" s="1"/>
  <c r="M288" i="38"/>
  <c r="BZ86" i="55" s="1"/>
  <c r="M286" i="38"/>
  <c r="BZ84" i="55" s="1"/>
  <c r="M285" i="38"/>
  <c r="N284" i="38"/>
  <c r="N285" i="38" s="1"/>
  <c r="CA80" i="55"/>
  <c r="P250" i="38"/>
  <c r="O283" i="38"/>
  <c r="N288" i="38" l="1"/>
  <c r="CA86" i="55" s="1"/>
  <c r="N287" i="38"/>
  <c r="CA85" i="55" s="1"/>
  <c r="N289" i="38"/>
  <c r="CA87" i="55" s="1"/>
  <c r="N286" i="38"/>
  <c r="CA84" i="55" s="1"/>
  <c r="N290" i="38"/>
  <c r="CA88" i="55" s="1"/>
  <c r="O284" i="38"/>
  <c r="O290" i="38" s="1"/>
  <c r="CB88" i="55" s="1"/>
  <c r="CB80" i="55"/>
  <c r="Q250" i="38"/>
  <c r="P283" i="38"/>
  <c r="O289" i="38" l="1"/>
  <c r="CB87" i="55" s="1"/>
  <c r="O286" i="38"/>
  <c r="CB84" i="55" s="1"/>
  <c r="O287" i="38"/>
  <c r="CB85" i="55" s="1"/>
  <c r="O285" i="38"/>
  <c r="O288" i="38"/>
  <c r="CB86" i="55" s="1"/>
  <c r="P284" i="38"/>
  <c r="P285" i="38" s="1"/>
  <c r="CC80" i="55"/>
  <c r="R250" i="38"/>
  <c r="Q283" i="38"/>
  <c r="P290" i="38" l="1"/>
  <c r="CC88" i="55" s="1"/>
  <c r="P287" i="38"/>
  <c r="CC85" i="55" s="1"/>
  <c r="P286" i="38"/>
  <c r="CC84" i="55" s="1"/>
  <c r="P289" i="38"/>
  <c r="CC87" i="55" s="1"/>
  <c r="P288" i="38"/>
  <c r="CC86" i="55" s="1"/>
  <c r="Q284" i="38"/>
  <c r="Q285" i="38" s="1"/>
  <c r="CD80" i="55"/>
  <c r="S250" i="38"/>
  <c r="R283" i="38"/>
  <c r="Q287" i="38" l="1"/>
  <c r="CD85" i="55" s="1"/>
  <c r="Q289" i="38"/>
  <c r="CD87" i="55" s="1"/>
  <c r="Q286" i="38"/>
  <c r="CD84" i="55" s="1"/>
  <c r="Q288" i="38"/>
  <c r="CD86" i="55" s="1"/>
  <c r="Q290" i="38"/>
  <c r="CD88" i="55" s="1"/>
  <c r="R284" i="38"/>
  <c r="R288" i="38" s="1"/>
  <c r="CE86" i="55" s="1"/>
  <c r="CE80" i="55"/>
  <c r="T250" i="38"/>
  <c r="S283" i="38"/>
  <c r="R287" i="38" l="1"/>
  <c r="CE85" i="55" s="1"/>
  <c r="R289" i="38"/>
  <c r="CE87" i="55" s="1"/>
  <c r="R286" i="38"/>
  <c r="CE84" i="55" s="1"/>
  <c r="R290" i="38"/>
  <c r="CE88" i="55" s="1"/>
  <c r="R285" i="38"/>
  <c r="S284" i="38"/>
  <c r="S285" i="38" s="1"/>
  <c r="CF80" i="55"/>
  <c r="U250" i="38"/>
  <c r="T283" i="38"/>
  <c r="S288" i="38" l="1"/>
  <c r="CF86" i="55" s="1"/>
  <c r="S287" i="38"/>
  <c r="CF85" i="55" s="1"/>
  <c r="S286" i="38"/>
  <c r="CF84" i="55" s="1"/>
  <c r="S289" i="38"/>
  <c r="CF87" i="55" s="1"/>
  <c r="S290" i="38"/>
  <c r="CF88" i="55" s="1"/>
  <c r="T284" i="38"/>
  <c r="T286" i="38" s="1"/>
  <c r="CG84" i="55" s="1"/>
  <c r="CG80" i="55"/>
  <c r="T288" i="38"/>
  <c r="CG86" i="55" s="1"/>
  <c r="V250" i="38"/>
  <c r="U283" i="38"/>
  <c r="T285" i="38" l="1"/>
  <c r="T287" i="38"/>
  <c r="CG85" i="55" s="1"/>
  <c r="T290" i="38"/>
  <c r="CG88" i="55" s="1"/>
  <c r="T289" i="38"/>
  <c r="CG87" i="55" s="1"/>
  <c r="U284" i="38"/>
  <c r="U287" i="38" s="1"/>
  <c r="CH85" i="55" s="1"/>
  <c r="CH80" i="55"/>
  <c r="U286" i="38"/>
  <c r="CH84" i="55" s="1"/>
  <c r="U285" i="38"/>
  <c r="W250" i="38"/>
  <c r="V283" i="38"/>
  <c r="U289" i="38" l="1"/>
  <c r="CH87" i="55" s="1"/>
  <c r="U290" i="38"/>
  <c r="CH88" i="55" s="1"/>
  <c r="U288" i="38"/>
  <c r="CH86" i="55" s="1"/>
  <c r="V284" i="38"/>
  <c r="V286" i="38" s="1"/>
  <c r="CI84" i="55" s="1"/>
  <c r="CI80" i="55"/>
  <c r="X250" i="38"/>
  <c r="W283" i="38"/>
  <c r="V287" i="38" l="1"/>
  <c r="CI85" i="55" s="1"/>
  <c r="V285" i="38"/>
  <c r="V288" i="38"/>
  <c r="CI86" i="55" s="1"/>
  <c r="V289" i="38"/>
  <c r="CI87" i="55" s="1"/>
  <c r="V290" i="38"/>
  <c r="CI88" i="55" s="1"/>
  <c r="W284" i="38"/>
  <c r="W290" i="38" s="1"/>
  <c r="CJ88" i="55" s="1"/>
  <c r="CJ80" i="55"/>
  <c r="Y250" i="38"/>
  <c r="X283" i="38"/>
  <c r="W289" i="38" l="1"/>
  <c r="CJ87" i="55" s="1"/>
  <c r="W288" i="38"/>
  <c r="CJ86" i="55" s="1"/>
  <c r="W286" i="38"/>
  <c r="CJ84" i="55" s="1"/>
  <c r="W287" i="38"/>
  <c r="CJ85" i="55" s="1"/>
  <c r="W285" i="38"/>
  <c r="X284" i="38"/>
  <c r="X286" i="38" s="1"/>
  <c r="CK84" i="55" s="1"/>
  <c r="CK80" i="55"/>
  <c r="Z250" i="38"/>
  <c r="Y283" i="38"/>
  <c r="X289" i="38" l="1"/>
  <c r="CK87" i="55" s="1"/>
  <c r="X288" i="38"/>
  <c r="CK86" i="55" s="1"/>
  <c r="X285" i="38"/>
  <c r="X287" i="38"/>
  <c r="CK85" i="55" s="1"/>
  <c r="X290" i="38"/>
  <c r="CK88" i="55" s="1"/>
  <c r="Y284" i="38"/>
  <c r="Y287" i="38" s="1"/>
  <c r="CL85" i="55" s="1"/>
  <c r="CL80" i="55"/>
  <c r="AA250" i="38"/>
  <c r="Z283" i="38"/>
  <c r="Y285" i="38" l="1"/>
  <c r="Y288" i="38"/>
  <c r="CL86" i="55" s="1"/>
  <c r="Y286" i="38"/>
  <c r="CL84" i="55" s="1"/>
  <c r="Y289" i="38"/>
  <c r="CL87" i="55" s="1"/>
  <c r="Y290" i="38"/>
  <c r="CL88" i="55" s="1"/>
  <c r="Z284" i="38"/>
  <c r="Z288" i="38" s="1"/>
  <c r="CM86" i="55" s="1"/>
  <c r="CM80" i="55"/>
  <c r="AB250" i="38"/>
  <c r="AA283" i="38"/>
  <c r="Z285" i="38" l="1"/>
  <c r="Z287" i="38"/>
  <c r="CM85" i="55" s="1"/>
  <c r="Z290" i="38"/>
  <c r="CM88" i="55" s="1"/>
  <c r="Z289" i="38"/>
  <c r="CM87" i="55" s="1"/>
  <c r="Z286" i="38"/>
  <c r="CM84" i="55" s="1"/>
  <c r="AA284" i="38"/>
  <c r="AA285" i="38" s="1"/>
  <c r="CN80" i="55"/>
  <c r="AC250" i="38"/>
  <c r="AB283" i="38"/>
  <c r="AA289" i="38" l="1"/>
  <c r="CN87" i="55" s="1"/>
  <c r="AA287" i="38"/>
  <c r="CN85" i="55" s="1"/>
  <c r="AA290" i="38"/>
  <c r="CN88" i="55" s="1"/>
  <c r="AA288" i="38"/>
  <c r="CN86" i="55" s="1"/>
  <c r="AA286" i="38"/>
  <c r="CN84" i="55" s="1"/>
  <c r="AB284" i="38"/>
  <c r="AB287" i="38" s="1"/>
  <c r="CO85" i="55" s="1"/>
  <c r="CO80" i="55"/>
  <c r="AD250" i="38"/>
  <c r="AC283" i="38"/>
  <c r="AB286" i="38" l="1"/>
  <c r="CO84" i="55" s="1"/>
  <c r="AB288" i="38"/>
  <c r="CO86" i="55" s="1"/>
  <c r="AB290" i="38"/>
  <c r="CO88" i="55" s="1"/>
  <c r="AB289" i="38"/>
  <c r="CO87" i="55" s="1"/>
  <c r="AB285" i="38"/>
  <c r="AC284" i="38"/>
  <c r="AC287" i="38" s="1"/>
  <c r="CP85" i="55" s="1"/>
  <c r="CP80" i="55"/>
  <c r="AD283" i="38"/>
  <c r="AE250" i="38"/>
  <c r="AC288" i="38" l="1"/>
  <c r="CP86" i="55" s="1"/>
  <c r="AC289" i="38"/>
  <c r="CP87" i="55" s="1"/>
  <c r="AC286" i="38"/>
  <c r="CP84" i="55" s="1"/>
  <c r="AC285" i="38"/>
  <c r="AC290" i="38"/>
  <c r="CP88" i="55" s="1"/>
  <c r="AD284" i="38"/>
  <c r="AD290" i="38" s="1"/>
  <c r="CQ88" i="55" s="1"/>
  <c r="CQ80" i="55"/>
  <c r="AF250" i="38"/>
  <c r="AE283" i="38"/>
  <c r="AD285" i="38" l="1"/>
  <c r="AD288" i="38"/>
  <c r="CQ86" i="55" s="1"/>
  <c r="AD289" i="38"/>
  <c r="CQ87" i="55" s="1"/>
  <c r="AD287" i="38"/>
  <c r="CQ85" i="55" s="1"/>
  <c r="AD286" i="38"/>
  <c r="CQ84" i="55" s="1"/>
  <c r="AE284" i="38"/>
  <c r="AE290" i="38" s="1"/>
  <c r="CR88" i="55" s="1"/>
  <c r="CR80" i="55"/>
  <c r="AG250" i="38"/>
  <c r="AG283" i="38" s="1"/>
  <c r="AF283" i="38"/>
  <c r="AE286" i="38" l="1"/>
  <c r="CR84" i="55" s="1"/>
  <c r="AE289" i="38"/>
  <c r="CR87" i="55" s="1"/>
  <c r="AE287" i="38"/>
  <c r="CR85" i="55" s="1"/>
  <c r="AE288" i="38"/>
  <c r="CR86" i="55" s="1"/>
  <c r="AE285" i="38"/>
  <c r="AF284" i="38"/>
  <c r="AF285" i="38" s="1"/>
  <c r="CS80" i="55"/>
  <c r="AG284" i="38"/>
  <c r="AG289" i="38" s="1"/>
  <c r="CT87" i="55" s="1"/>
  <c r="CT80" i="55"/>
  <c r="C194" i="29"/>
  <c r="G194" i="29"/>
  <c r="V194" i="29"/>
  <c r="AD194" i="29"/>
  <c r="Y194" i="29"/>
  <c r="D194" i="29"/>
  <c r="I194" i="29"/>
  <c r="M194" i="29"/>
  <c r="Q194" i="29"/>
  <c r="AF194" i="29"/>
  <c r="J194" i="29"/>
  <c r="AC194" i="29"/>
  <c r="K194" i="29"/>
  <c r="T194" i="29"/>
  <c r="R194" i="29"/>
  <c r="H194" i="29"/>
  <c r="E194" i="29"/>
  <c r="AA194" i="29"/>
  <c r="AB194" i="29"/>
  <c r="X194" i="29"/>
  <c r="AE194" i="29"/>
  <c r="W194" i="29"/>
  <c r="N194" i="29"/>
  <c r="L194" i="29"/>
  <c r="P194" i="29"/>
  <c r="S194" i="29"/>
  <c r="U194" i="29"/>
  <c r="AG194" i="29"/>
  <c r="O194" i="29"/>
  <c r="F194" i="29"/>
  <c r="Z194" i="29"/>
  <c r="AG288" i="38" l="1"/>
  <c r="CT86" i="55" s="1"/>
  <c r="AG287" i="38"/>
  <c r="CT85" i="55" s="1"/>
  <c r="AF289" i="38"/>
  <c r="CS87" i="55" s="1"/>
  <c r="AF288" i="38"/>
  <c r="CS86" i="55" s="1"/>
  <c r="AF287" i="38"/>
  <c r="CS85" i="55" s="1"/>
  <c r="AG285" i="38"/>
  <c r="AF290" i="38"/>
  <c r="CS88" i="55" s="1"/>
  <c r="AG290" i="38"/>
  <c r="CT88" i="55" s="1"/>
  <c r="AF286" i="38"/>
  <c r="CS84" i="55" s="1"/>
  <c r="AG286" i="38"/>
  <c r="CT84" i="55" s="1"/>
  <c r="D3" i="44"/>
  <c r="D7" i="44" l="1"/>
  <c r="E7" i="44" s="1"/>
  <c r="D8" i="44" l="1"/>
  <c r="AA16" i="44"/>
  <c r="U11" i="44"/>
  <c r="E59" i="44" s="1"/>
  <c r="H59" i="44" s="1"/>
  <c r="B7" i="61" l="1"/>
  <c r="E65" i="44"/>
  <c r="E62" i="44"/>
  <c r="H62" i="44" s="1"/>
  <c r="H63" i="44" s="1"/>
  <c r="E63" i="44" l="1"/>
  <c r="J72" i="44" s="1"/>
  <c r="K72" i="44" s="1"/>
  <c r="M72" i="44" s="1"/>
  <c r="E66" i="44"/>
  <c r="J76" i="44" s="1"/>
  <c r="K76" i="44" s="1"/>
  <c r="M76" i="44" s="1"/>
  <c r="J74" i="44"/>
  <c r="K74" i="44" s="1"/>
  <c r="M74" i="44" l="1"/>
  <c r="J77" i="44"/>
  <c r="J71" i="44"/>
  <c r="K71" i="44" s="1"/>
  <c r="M71" i="44" s="1"/>
  <c r="M78" i="44" l="1"/>
  <c r="K77" i="44"/>
  <c r="M77" i="44" s="1"/>
  <c r="N75" i="44" l="1"/>
  <c r="N70" i="44"/>
  <c r="N72" i="44"/>
  <c r="N74" i="44"/>
  <c r="N71" i="44" l="1"/>
  <c r="N97" i="44" l="1"/>
  <c r="N73" i="44"/>
  <c r="N76" i="44"/>
  <c r="N77" i="44" l="1"/>
  <c r="M85" i="44" l="1"/>
  <c r="M80" i="44"/>
  <c r="M4" i="8"/>
  <c r="M5" i="8" l="1"/>
  <c r="M6" i="8" s="1"/>
  <c r="D27" i="45"/>
  <c r="AJ27" i="45" l="1"/>
  <c r="D35" i="45"/>
  <c r="AJ37" i="45"/>
  <c r="AJ36" i="45"/>
  <c r="AJ35" i="45"/>
  <c r="AJ34" i="45"/>
  <c r="C36" i="48" s="1"/>
  <c r="C42" i="48" s="1"/>
  <c r="AJ54" i="45"/>
  <c r="AJ57" i="45" s="1"/>
  <c r="C40" i="48" s="1"/>
  <c r="M9" i="8"/>
  <c r="M10" i="8"/>
  <c r="M7" i="8"/>
  <c r="M8" i="8"/>
  <c r="D34" i="45"/>
  <c r="D37" i="45"/>
  <c r="D36" i="45"/>
  <c r="D54" i="45"/>
  <c r="D57" i="45" s="1"/>
  <c r="E27" i="45"/>
  <c r="AK27" i="45" s="1"/>
  <c r="M11" i="8" l="1"/>
  <c r="AJ58" i="45"/>
  <c r="AJ59" i="45"/>
  <c r="AJ72" i="45" s="1"/>
  <c r="D59" i="45"/>
  <c r="D72" i="45" s="1"/>
  <c r="AJ60" i="45"/>
  <c r="AJ73" i="45" s="1"/>
  <c r="AK28" i="45"/>
  <c r="AK29" i="45"/>
  <c r="AK31" i="45"/>
  <c r="AK36" i="45" s="1"/>
  <c r="AK54" i="45"/>
  <c r="D75" i="45"/>
  <c r="C36" i="46"/>
  <c r="C42" i="46" s="1"/>
  <c r="D104" i="45"/>
  <c r="C40" i="46"/>
  <c r="C46" i="48"/>
  <c r="C47" i="48" s="1"/>
  <c r="D46" i="48"/>
  <c r="E46" i="48"/>
  <c r="F46" i="48"/>
  <c r="G46" i="48"/>
  <c r="H46" i="48"/>
  <c r="D58" i="45"/>
  <c r="D60" i="45"/>
  <c r="F27" i="45"/>
  <c r="AL27" i="45" s="1"/>
  <c r="E29" i="45"/>
  <c r="E31" i="45"/>
  <c r="E35" i="45" s="1"/>
  <c r="E28" i="45"/>
  <c r="E54" i="45"/>
  <c r="C319" i="48" l="1"/>
  <c r="AK37" i="45"/>
  <c r="AJ71" i="45"/>
  <c r="AK35" i="45"/>
  <c r="D73" i="45"/>
  <c r="D71" i="45"/>
  <c r="C323" i="48"/>
  <c r="C320" i="48"/>
  <c r="AK30" i="45"/>
  <c r="C46" i="46"/>
  <c r="C263" i="46" s="1"/>
  <c r="C264" i="46" s="1"/>
  <c r="D46" i="46"/>
  <c r="D263" i="46" s="1"/>
  <c r="E46" i="46"/>
  <c r="E263" i="46" s="1"/>
  <c r="F46" i="46"/>
  <c r="F263" i="46" s="1"/>
  <c r="G46" i="46"/>
  <c r="G263" i="46" s="1"/>
  <c r="H46" i="46"/>
  <c r="H263" i="46" s="1"/>
  <c r="E36" i="45"/>
  <c r="AL32" i="45"/>
  <c r="AL29" i="45"/>
  <c r="AL31" i="45"/>
  <c r="AL35" i="45" s="1"/>
  <c r="AL28" i="45"/>
  <c r="AL54" i="45"/>
  <c r="AK55" i="45"/>
  <c r="AK56" i="45"/>
  <c r="C274" i="48"/>
  <c r="C102" i="46"/>
  <c r="C82" i="46"/>
  <c r="C72" i="46"/>
  <c r="C112" i="46"/>
  <c r="E30" i="45"/>
  <c r="AK32" i="45"/>
  <c r="AK33" i="45" s="1"/>
  <c r="E37" i="45"/>
  <c r="E55" i="45"/>
  <c r="E56" i="45"/>
  <c r="G27" i="45"/>
  <c r="AM27" i="45" s="1"/>
  <c r="F28" i="45"/>
  <c r="F29" i="45"/>
  <c r="F31" i="45"/>
  <c r="F36" i="45" s="1"/>
  <c r="F32" i="45"/>
  <c r="F54" i="45"/>
  <c r="AJ104" i="45"/>
  <c r="AJ75" i="45"/>
  <c r="E32" i="45"/>
  <c r="E33" i="45" s="1"/>
  <c r="F37" i="45" l="1"/>
  <c r="E68" i="45"/>
  <c r="F35" i="45"/>
  <c r="E57" i="45"/>
  <c r="AL36" i="45"/>
  <c r="AL37" i="45"/>
  <c r="AK68" i="45"/>
  <c r="C47" i="46"/>
  <c r="AK57" i="45"/>
  <c r="D40" i="48" s="1"/>
  <c r="I46" i="48" s="1"/>
  <c r="AL30" i="45"/>
  <c r="F264" i="46"/>
  <c r="F269" i="46" s="1"/>
  <c r="F263" i="48"/>
  <c r="F267" i="46"/>
  <c r="F268" i="46"/>
  <c r="F266" i="46"/>
  <c r="F265" i="46"/>
  <c r="C114" i="46"/>
  <c r="C119" i="46" s="1"/>
  <c r="C113" i="46"/>
  <c r="C118" i="46" s="1"/>
  <c r="C117" i="46"/>
  <c r="C112" i="48"/>
  <c r="C116" i="46"/>
  <c r="C121" i="46" s="1"/>
  <c r="C115" i="46"/>
  <c r="C120" i="46" s="1"/>
  <c r="E266" i="46"/>
  <c r="E268" i="46"/>
  <c r="E267" i="46"/>
  <c r="E263" i="48"/>
  <c r="E264" i="46"/>
  <c r="E265" i="46"/>
  <c r="AK67" i="45"/>
  <c r="AK34" i="45"/>
  <c r="D36" i="48" s="1"/>
  <c r="D42" i="48" s="1"/>
  <c r="AM31" i="45"/>
  <c r="AM32" i="45"/>
  <c r="AM29" i="45"/>
  <c r="AM28" i="45"/>
  <c r="AM54" i="45"/>
  <c r="C105" i="46"/>
  <c r="C110" i="46" s="1"/>
  <c r="C102" i="48"/>
  <c r="C103" i="46"/>
  <c r="C108" i="46" s="1"/>
  <c r="C104" i="46"/>
  <c r="C109" i="46" s="1"/>
  <c r="C107" i="46"/>
  <c r="C106" i="46"/>
  <c r="C111" i="46" s="1"/>
  <c r="AL56" i="45"/>
  <c r="AL55" i="45"/>
  <c r="E67" i="45"/>
  <c r="C72" i="48"/>
  <c r="C73" i="46"/>
  <c r="C78" i="46" s="1"/>
  <c r="C76" i="46"/>
  <c r="C81" i="46" s="1"/>
  <c r="C77" i="46"/>
  <c r="C75" i="46"/>
  <c r="C80" i="46" s="1"/>
  <c r="C74" i="46"/>
  <c r="C79" i="46" s="1"/>
  <c r="AL33" i="45"/>
  <c r="H266" i="46"/>
  <c r="H264" i="46"/>
  <c r="H263" i="48"/>
  <c r="H267" i="46"/>
  <c r="H268" i="46"/>
  <c r="H265" i="46"/>
  <c r="D267" i="46"/>
  <c r="D263" i="48"/>
  <c r="D264" i="46"/>
  <c r="D268" i="46"/>
  <c r="D265" i="46"/>
  <c r="D266" i="46"/>
  <c r="C82" i="48"/>
  <c r="C83" i="46"/>
  <c r="C88" i="46" s="1"/>
  <c r="C84" i="46"/>
  <c r="C89" i="46" s="1"/>
  <c r="C86" i="46"/>
  <c r="C91" i="46" s="1"/>
  <c r="C87" i="46"/>
  <c r="C85" i="46"/>
  <c r="C90" i="46" s="1"/>
  <c r="G263" i="48"/>
  <c r="G266" i="46"/>
  <c r="G267" i="46"/>
  <c r="G264" i="46"/>
  <c r="G265" i="46"/>
  <c r="G268" i="46"/>
  <c r="C269" i="46"/>
  <c r="C268" i="46"/>
  <c r="C265" i="46"/>
  <c r="C270" i="46" s="1"/>
  <c r="C263" i="48"/>
  <c r="C266" i="46"/>
  <c r="C271" i="46" s="1"/>
  <c r="C267" i="46"/>
  <c r="C272" i="46" s="1"/>
  <c r="C277" i="46"/>
  <c r="C327" i="48"/>
  <c r="C326" i="48"/>
  <c r="C324" i="48"/>
  <c r="C325" i="48"/>
  <c r="F30" i="45"/>
  <c r="H27" i="45"/>
  <c r="AN27" i="45" s="1"/>
  <c r="G28" i="45"/>
  <c r="G29" i="45"/>
  <c r="G31" i="45"/>
  <c r="G37" i="45" s="1"/>
  <c r="G32" i="45"/>
  <c r="G54" i="45"/>
  <c r="E34" i="45"/>
  <c r="F33" i="45"/>
  <c r="E70" i="45"/>
  <c r="F55" i="45"/>
  <c r="F56" i="45"/>
  <c r="D40" i="46" l="1"/>
  <c r="I46" i="46" s="1"/>
  <c r="I263" i="46" s="1"/>
  <c r="I263" i="48" s="1"/>
  <c r="I105" i="45"/>
  <c r="AO105" i="45" s="1"/>
  <c r="D76" i="45"/>
  <c r="AJ76" i="45" s="1"/>
  <c r="F105" i="45"/>
  <c r="AL105" i="45" s="1"/>
  <c r="H105" i="45"/>
  <c r="AN105" i="45" s="1"/>
  <c r="G105" i="45"/>
  <c r="AM105" i="45" s="1"/>
  <c r="D90" i="45"/>
  <c r="AJ90" i="45" s="1"/>
  <c r="AJ91" i="45" s="1"/>
  <c r="D106" i="45"/>
  <c r="AJ106" i="45" s="1"/>
  <c r="D97" i="45"/>
  <c r="D105" i="45"/>
  <c r="E105" i="45"/>
  <c r="AK105" i="45" s="1"/>
  <c r="AM30" i="45"/>
  <c r="E104" i="45"/>
  <c r="E60" i="45"/>
  <c r="E73" i="45" s="1"/>
  <c r="E58" i="45"/>
  <c r="E71" i="45" s="1"/>
  <c r="F67" i="45"/>
  <c r="I266" i="46"/>
  <c r="I271" i="46" s="1"/>
  <c r="I268" i="46"/>
  <c r="I264" i="46"/>
  <c r="I269" i="46" s="1"/>
  <c r="I267" i="46"/>
  <c r="I272" i="46" s="1"/>
  <c r="H270" i="46"/>
  <c r="E59" i="45"/>
  <c r="E72" i="45" s="1"/>
  <c r="G35" i="45"/>
  <c r="F34" i="45"/>
  <c r="E36" i="46" s="1"/>
  <c r="E42" i="46" s="1"/>
  <c r="AJ110" i="45"/>
  <c r="AJ112" i="45"/>
  <c r="D111" i="45"/>
  <c r="AJ111" i="45"/>
  <c r="D110" i="45"/>
  <c r="D112" i="45"/>
  <c r="D79" i="45"/>
  <c r="AJ80" i="45"/>
  <c r="D81" i="45"/>
  <c r="AJ79" i="45"/>
  <c r="AJ81" i="45"/>
  <c r="D80" i="45"/>
  <c r="AK70" i="45"/>
  <c r="G270" i="46"/>
  <c r="AL68" i="45"/>
  <c r="E270" i="46"/>
  <c r="I265" i="46"/>
  <c r="I270" i="46" s="1"/>
  <c r="AK60" i="45"/>
  <c r="AK58" i="45"/>
  <c r="AK59" i="45"/>
  <c r="D94" i="45"/>
  <c r="AJ93" i="45"/>
  <c r="D93" i="45"/>
  <c r="AJ94" i="45"/>
  <c r="D270" i="46"/>
  <c r="AL57" i="45"/>
  <c r="E40" i="48" s="1"/>
  <c r="J46" i="48" s="1"/>
  <c r="AM33" i="45"/>
  <c r="AM34" i="45" s="1"/>
  <c r="F36" i="48" s="1"/>
  <c r="F42" i="48" s="1"/>
  <c r="D101" i="45"/>
  <c r="AJ101" i="45"/>
  <c r="AJ103" i="45"/>
  <c r="D103" i="45"/>
  <c r="AJ102" i="45"/>
  <c r="D102" i="45"/>
  <c r="F271" i="46"/>
  <c r="C319" i="46"/>
  <c r="C274" i="46"/>
  <c r="E75" i="45"/>
  <c r="D36" i="46"/>
  <c r="D42" i="46" s="1"/>
  <c r="AL67" i="45"/>
  <c r="AJ105" i="45"/>
  <c r="H272" i="46"/>
  <c r="AM56" i="45"/>
  <c r="AM55" i="45"/>
  <c r="D78" i="45"/>
  <c r="C335" i="48"/>
  <c r="C334" i="48"/>
  <c r="C346" i="48" s="1"/>
  <c r="C266" i="48"/>
  <c r="C271" i="48" s="1"/>
  <c r="C265" i="48"/>
  <c r="C270" i="48" s="1"/>
  <c r="C264" i="48"/>
  <c r="C269" i="48" s="1"/>
  <c r="C268" i="48"/>
  <c r="C267" i="48"/>
  <c r="C272" i="48" s="1"/>
  <c r="C277" i="48"/>
  <c r="G272" i="46"/>
  <c r="D269" i="46"/>
  <c r="H269" i="46"/>
  <c r="C105" i="48"/>
  <c r="C110" i="48" s="1"/>
  <c r="C104" i="48"/>
  <c r="C109" i="48" s="1"/>
  <c r="C107" i="48"/>
  <c r="C106" i="48"/>
  <c r="C111" i="48" s="1"/>
  <c r="C103" i="48"/>
  <c r="C108" i="48" s="1"/>
  <c r="D47" i="48"/>
  <c r="E269" i="46"/>
  <c r="E271" i="46"/>
  <c r="AL34" i="45"/>
  <c r="E36" i="48" s="1"/>
  <c r="E42" i="48" s="1"/>
  <c r="F272" i="46"/>
  <c r="G264" i="48"/>
  <c r="G267" i="48"/>
  <c r="G265" i="48"/>
  <c r="G266" i="48"/>
  <c r="G268" i="48"/>
  <c r="D272" i="46"/>
  <c r="C76" i="48"/>
  <c r="C81" i="48" s="1"/>
  <c r="C73" i="48"/>
  <c r="C78" i="48" s="1"/>
  <c r="C77" i="48"/>
  <c r="C75" i="48"/>
  <c r="C80" i="48" s="1"/>
  <c r="C74" i="48"/>
  <c r="C79" i="48" s="1"/>
  <c r="AM37" i="45"/>
  <c r="E272" i="46"/>
  <c r="AJ97" i="45"/>
  <c r="D100" i="45"/>
  <c r="AN28" i="45"/>
  <c r="AN31" i="45"/>
  <c r="AN36" i="45" s="1"/>
  <c r="AN32" i="45"/>
  <c r="AN29" i="45"/>
  <c r="AN54" i="45"/>
  <c r="C329" i="48"/>
  <c r="C328" i="48"/>
  <c r="G269" i="46"/>
  <c r="H264" i="48"/>
  <c r="H265" i="48"/>
  <c r="H267" i="48"/>
  <c r="H268" i="48"/>
  <c r="H266" i="48"/>
  <c r="AM35" i="45"/>
  <c r="C321" i="46"/>
  <c r="C344" i="46"/>
  <c r="C345" i="46" s="1"/>
  <c r="C278" i="46"/>
  <c r="C18" i="52" s="1"/>
  <c r="G271" i="46"/>
  <c r="D91" i="45"/>
  <c r="D114" i="45" s="1"/>
  <c r="C86" i="48"/>
  <c r="C91" i="48" s="1"/>
  <c r="C85" i="48"/>
  <c r="C90" i="48" s="1"/>
  <c r="C87" i="48"/>
  <c r="C83" i="48"/>
  <c r="C88" i="48" s="1"/>
  <c r="C84" i="48"/>
  <c r="C89" i="48" s="1"/>
  <c r="D271" i="46"/>
  <c r="D264" i="48"/>
  <c r="D266" i="48"/>
  <c r="D268" i="48"/>
  <c r="D267" i="48"/>
  <c r="D265" i="48"/>
  <c r="H271" i="46"/>
  <c r="AM36" i="45"/>
  <c r="E267" i="48"/>
  <c r="E266" i="48"/>
  <c r="E264" i="48"/>
  <c r="E268" i="48"/>
  <c r="E265" i="48"/>
  <c r="C114" i="48"/>
  <c r="C119" i="48" s="1"/>
  <c r="C113" i="48"/>
  <c r="C118" i="48" s="1"/>
  <c r="C116" i="48"/>
  <c r="C121" i="48" s="1"/>
  <c r="C115" i="48"/>
  <c r="C120" i="48" s="1"/>
  <c r="C117" i="48"/>
  <c r="F270" i="46"/>
  <c r="F268" i="48"/>
  <c r="F265" i="48"/>
  <c r="F264" i="48"/>
  <c r="F267" i="48"/>
  <c r="F266" i="48"/>
  <c r="G30" i="45"/>
  <c r="G33" i="45"/>
  <c r="F57" i="45"/>
  <c r="F68" i="45"/>
  <c r="G55" i="45"/>
  <c r="G56" i="45"/>
  <c r="G36" i="45"/>
  <c r="AK104" i="45"/>
  <c r="H32" i="45"/>
  <c r="I27" i="45"/>
  <c r="AO27" i="45" s="1"/>
  <c r="H29" i="45"/>
  <c r="H31" i="45"/>
  <c r="H36" i="45" s="1"/>
  <c r="H54" i="45"/>
  <c r="H28" i="45"/>
  <c r="I266" i="48" l="1"/>
  <c r="I264" i="48"/>
  <c r="I267" i="48"/>
  <c r="I268" i="48"/>
  <c r="D103" i="55"/>
  <c r="D126" i="55" s="1"/>
  <c r="D149" i="55" s="1"/>
  <c r="AJ117" i="45"/>
  <c r="G67" i="45"/>
  <c r="D117" i="45"/>
  <c r="F70" i="45"/>
  <c r="D319" i="48"/>
  <c r="G68" i="45"/>
  <c r="C322" i="46"/>
  <c r="C338" i="46" s="1"/>
  <c r="D113" i="45"/>
  <c r="D115" i="45" s="1"/>
  <c r="D109" i="45"/>
  <c r="AJ109" i="45"/>
  <c r="F75" i="45"/>
  <c r="J105" i="45"/>
  <c r="AP105" i="45" s="1"/>
  <c r="I269" i="48"/>
  <c r="I265" i="48"/>
  <c r="I270" i="48" s="1"/>
  <c r="I271" i="48"/>
  <c r="F270" i="48"/>
  <c r="E270" i="48"/>
  <c r="H270" i="48"/>
  <c r="H37" i="45"/>
  <c r="H35" i="45"/>
  <c r="E269" i="48"/>
  <c r="AJ118" i="45"/>
  <c r="AJ116" i="45"/>
  <c r="F269" i="48"/>
  <c r="D270" i="48"/>
  <c r="D269" i="48"/>
  <c r="G270" i="48"/>
  <c r="D274" i="48"/>
  <c r="AM57" i="45"/>
  <c r="AM58" i="45" s="1"/>
  <c r="AM71" i="45" s="1"/>
  <c r="AL70" i="45"/>
  <c r="AK72" i="45"/>
  <c r="C323" i="46"/>
  <c r="C320" i="46"/>
  <c r="AK71" i="45"/>
  <c r="D116" i="45"/>
  <c r="E40" i="46"/>
  <c r="J46" i="46" s="1"/>
  <c r="J263" i="46" s="1"/>
  <c r="J263" i="48" s="1"/>
  <c r="F58" i="45"/>
  <c r="F71" i="45" s="1"/>
  <c r="F59" i="45"/>
  <c r="F60" i="45"/>
  <c r="E272" i="48"/>
  <c r="AJ113" i="45"/>
  <c r="G272" i="48"/>
  <c r="AL60" i="45"/>
  <c r="AL58" i="45"/>
  <c r="AL59" i="45"/>
  <c r="AK73" i="45"/>
  <c r="F271" i="48"/>
  <c r="H271" i="48"/>
  <c r="H269" i="48"/>
  <c r="AN30" i="45"/>
  <c r="G269" i="48"/>
  <c r="AM68" i="45"/>
  <c r="D118" i="45"/>
  <c r="AN55" i="45"/>
  <c r="AN56" i="45"/>
  <c r="I272" i="48"/>
  <c r="F272" i="48"/>
  <c r="D272" i="48"/>
  <c r="E47" i="48"/>
  <c r="D323" i="48"/>
  <c r="D320" i="48"/>
  <c r="C337" i="46"/>
  <c r="C342" i="46"/>
  <c r="D111" i="55" s="1"/>
  <c r="D134" i="55" s="1"/>
  <c r="D157" i="55" s="1"/>
  <c r="AN37" i="45"/>
  <c r="AN33" i="45"/>
  <c r="H33" i="45"/>
  <c r="D278" i="46"/>
  <c r="D18" i="52" s="1"/>
  <c r="C311" i="46"/>
  <c r="BP103" i="55" s="1"/>
  <c r="H272" i="48"/>
  <c r="AN35" i="45"/>
  <c r="G271" i="48"/>
  <c r="AM67" i="45"/>
  <c r="AJ114" i="45"/>
  <c r="AJ78" i="45"/>
  <c r="E47" i="46"/>
  <c r="E72" i="46"/>
  <c r="E102" i="46"/>
  <c r="E82" i="46"/>
  <c r="E112" i="46"/>
  <c r="AO32" i="45"/>
  <c r="AO29" i="45"/>
  <c r="AO31" i="45"/>
  <c r="AO35" i="45" s="1"/>
  <c r="AO28" i="45"/>
  <c r="AO54" i="45"/>
  <c r="E271" i="48"/>
  <c r="D271" i="48"/>
  <c r="C331" i="48"/>
  <c r="C330" i="48"/>
  <c r="AJ100" i="45"/>
  <c r="C344" i="48"/>
  <c r="C345" i="48" s="1"/>
  <c r="C347" i="48" s="1"/>
  <c r="C348" i="48" s="1"/>
  <c r="C351" i="48" s="1"/>
  <c r="C321" i="48"/>
  <c r="C278" i="48"/>
  <c r="F47" i="48"/>
  <c r="D47" i="46"/>
  <c r="D82" i="46"/>
  <c r="D72" i="46"/>
  <c r="D102" i="46"/>
  <c r="D112" i="46"/>
  <c r="G57" i="45"/>
  <c r="G34" i="45"/>
  <c r="H30" i="45"/>
  <c r="AK75" i="45"/>
  <c r="H55" i="45"/>
  <c r="H56" i="45"/>
  <c r="G70" i="45"/>
  <c r="I28" i="45"/>
  <c r="I32" i="45"/>
  <c r="J27" i="45"/>
  <c r="AP27" i="45" s="1"/>
  <c r="I31" i="45"/>
  <c r="I36" i="45" s="1"/>
  <c r="I29" i="45"/>
  <c r="I54" i="45"/>
  <c r="F104" i="45"/>
  <c r="C339" i="46" l="1"/>
  <c r="D108" i="55" s="1"/>
  <c r="D131" i="55" s="1"/>
  <c r="D154" i="55" s="1"/>
  <c r="C341" i="46"/>
  <c r="D110" i="55" s="1"/>
  <c r="D133" i="55" s="1"/>
  <c r="D156" i="55" s="1"/>
  <c r="C340" i="46"/>
  <c r="D109" i="55" s="1"/>
  <c r="D132" i="55" s="1"/>
  <c r="D155" i="55" s="1"/>
  <c r="CV103" i="55"/>
  <c r="CV126" i="55" s="1"/>
  <c r="CV149" i="55" s="1"/>
  <c r="AJ103" i="55"/>
  <c r="AJ126" i="55" s="1"/>
  <c r="AJ149" i="55" s="1"/>
  <c r="C312" i="46"/>
  <c r="BP126" i="55"/>
  <c r="BP149" i="55" s="1"/>
  <c r="C322" i="48"/>
  <c r="C340" i="48" s="1"/>
  <c r="AJ109" i="55" s="1"/>
  <c r="E319" i="46"/>
  <c r="E323" i="46" s="1"/>
  <c r="F319" i="48"/>
  <c r="F323" i="48" s="1"/>
  <c r="E319" i="48"/>
  <c r="I35" i="45"/>
  <c r="D319" i="46"/>
  <c r="G104" i="45"/>
  <c r="F40" i="48"/>
  <c r="K46" i="48" s="1"/>
  <c r="AM70" i="45"/>
  <c r="AM59" i="45"/>
  <c r="AM72" i="45" s="1"/>
  <c r="J265" i="46"/>
  <c r="J270" i="46" s="1"/>
  <c r="AM60" i="45"/>
  <c r="AM73" i="45" s="1"/>
  <c r="AN68" i="45"/>
  <c r="J264" i="46"/>
  <c r="J269" i="46" s="1"/>
  <c r="J267" i="46"/>
  <c r="J272" i="46" s="1"/>
  <c r="J268" i="46"/>
  <c r="J266" i="46"/>
  <c r="J271" i="46" s="1"/>
  <c r="AO36" i="45"/>
  <c r="H68" i="45"/>
  <c r="F274" i="48"/>
  <c r="AL72" i="45"/>
  <c r="F73" i="45"/>
  <c r="AL71" i="45"/>
  <c r="F72" i="45"/>
  <c r="C326" i="46"/>
  <c r="C325" i="46"/>
  <c r="C327" i="46"/>
  <c r="C324" i="46"/>
  <c r="G58" i="45"/>
  <c r="G60" i="45"/>
  <c r="G59" i="45"/>
  <c r="AO30" i="45"/>
  <c r="AL73" i="45"/>
  <c r="C349" i="48"/>
  <c r="C350" i="48" s="1"/>
  <c r="C352" i="48" s="1"/>
  <c r="AN57" i="45"/>
  <c r="AO55" i="45"/>
  <c r="AO56" i="45"/>
  <c r="E112" i="48"/>
  <c r="E113" i="46"/>
  <c r="E118" i="46" s="1"/>
  <c r="E115" i="46"/>
  <c r="E120" i="46" s="1"/>
  <c r="E114" i="46"/>
  <c r="E119" i="46" s="1"/>
  <c r="E116" i="46"/>
  <c r="E121" i="46" s="1"/>
  <c r="E117" i="46"/>
  <c r="E277" i="46"/>
  <c r="AJ115" i="45"/>
  <c r="E278" i="46"/>
  <c r="E18" i="52" s="1"/>
  <c r="D311" i="46"/>
  <c r="D324" i="48"/>
  <c r="D325" i="48"/>
  <c r="D327" i="48"/>
  <c r="D326" i="48"/>
  <c r="D274" i="46"/>
  <c r="D82" i="48"/>
  <c r="D83" i="46"/>
  <c r="D88" i="46" s="1"/>
  <c r="D87" i="46"/>
  <c r="D85" i="46"/>
  <c r="D90" i="46" s="1"/>
  <c r="D86" i="46"/>
  <c r="D91" i="46" s="1"/>
  <c r="D84" i="46"/>
  <c r="D89" i="46" s="1"/>
  <c r="AN67" i="45"/>
  <c r="AO37" i="45"/>
  <c r="AO33" i="45"/>
  <c r="E82" i="48"/>
  <c r="E83" i="46"/>
  <c r="E88" i="46" s="1"/>
  <c r="E87" i="46"/>
  <c r="E86" i="46"/>
  <c r="E91" i="46" s="1"/>
  <c r="E85" i="46"/>
  <c r="E90" i="46" s="1"/>
  <c r="E84" i="46"/>
  <c r="E89" i="46" s="1"/>
  <c r="E274" i="48"/>
  <c r="J268" i="48"/>
  <c r="J265" i="48"/>
  <c r="J270" i="48" s="1"/>
  <c r="J266" i="48"/>
  <c r="J271" i="48" s="1"/>
  <c r="J267" i="48"/>
  <c r="J272" i="48" s="1"/>
  <c r="J264" i="48"/>
  <c r="J269" i="48" s="1"/>
  <c r="AN34" i="45"/>
  <c r="G36" i="48" s="1"/>
  <c r="G42" i="48" s="1"/>
  <c r="C311" i="48"/>
  <c r="C312" i="48" s="1"/>
  <c r="D278" i="48"/>
  <c r="G75" i="45"/>
  <c r="F36" i="46"/>
  <c r="F42" i="46" s="1"/>
  <c r="D114" i="46"/>
  <c r="D119" i="46" s="1"/>
  <c r="D112" i="48"/>
  <c r="D115" i="46"/>
  <c r="D120" i="46" s="1"/>
  <c r="D113" i="46"/>
  <c r="D118" i="46" s="1"/>
  <c r="D116" i="46"/>
  <c r="D121" i="46" s="1"/>
  <c r="D117" i="46"/>
  <c r="D277" i="46"/>
  <c r="D323" i="46"/>
  <c r="D320" i="46"/>
  <c r="C356" i="48"/>
  <c r="C357" i="48" s="1"/>
  <c r="C366" i="48" s="1"/>
  <c r="C333" i="48"/>
  <c r="C332" i="48"/>
  <c r="C336" i="48" s="1"/>
  <c r="E106" i="46"/>
  <c r="E111" i="46" s="1"/>
  <c r="E102" i="48"/>
  <c r="E103" i="46"/>
  <c r="E108" i="46" s="1"/>
  <c r="E107" i="46"/>
  <c r="E104" i="46"/>
  <c r="E109" i="46" s="1"/>
  <c r="E105" i="46"/>
  <c r="E110" i="46" s="1"/>
  <c r="E323" i="48"/>
  <c r="E320" i="48"/>
  <c r="D72" i="48"/>
  <c r="D75" i="46"/>
  <c r="D80" i="46" s="1"/>
  <c r="D77" i="46"/>
  <c r="D74" i="46"/>
  <c r="D79" i="46" s="1"/>
  <c r="D73" i="46"/>
  <c r="D78" i="46" s="1"/>
  <c r="D76" i="46"/>
  <c r="D81" i="46" s="1"/>
  <c r="AP32" i="45"/>
  <c r="AP29" i="45"/>
  <c r="AP31" i="45"/>
  <c r="AP37" i="45" s="1"/>
  <c r="AP28" i="45"/>
  <c r="AP54" i="45"/>
  <c r="F40" i="46"/>
  <c r="K46" i="46" s="1"/>
  <c r="K263" i="46" s="1"/>
  <c r="D106" i="46"/>
  <c r="D111" i="46" s="1"/>
  <c r="D105" i="46"/>
  <c r="D110" i="46" s="1"/>
  <c r="D107" i="46"/>
  <c r="D102" i="48"/>
  <c r="D103" i="46"/>
  <c r="D108" i="46" s="1"/>
  <c r="D104" i="46"/>
  <c r="D109" i="46" s="1"/>
  <c r="E274" i="46"/>
  <c r="E72" i="48"/>
  <c r="E74" i="46"/>
  <c r="E79" i="46" s="1"/>
  <c r="E77" i="46"/>
  <c r="E76" i="46"/>
  <c r="E81" i="46" s="1"/>
  <c r="E73" i="46"/>
  <c r="E78" i="46" s="1"/>
  <c r="E75" i="46"/>
  <c r="E80" i="46" s="1"/>
  <c r="C317" i="46"/>
  <c r="BP110" i="55" s="1"/>
  <c r="BP133" i="55" s="1"/>
  <c r="BP156" i="55" s="1"/>
  <c r="C313" i="46"/>
  <c r="C315" i="46"/>
  <c r="BP108" i="55" s="1"/>
  <c r="BP131" i="55" s="1"/>
  <c r="BP154" i="55" s="1"/>
  <c r="C316" i="46"/>
  <c r="BP109" i="55" s="1"/>
  <c r="BP132" i="55" s="1"/>
  <c r="BP155" i="55" s="1"/>
  <c r="C314" i="46"/>
  <c r="BP107" i="55" s="1"/>
  <c r="BP130" i="55" s="1"/>
  <c r="BP153" i="55" s="1"/>
  <c r="C318" i="46"/>
  <c r="BP111" i="55" s="1"/>
  <c r="BP134" i="55" s="1"/>
  <c r="BP157" i="55" s="1"/>
  <c r="I30" i="45"/>
  <c r="H57" i="45"/>
  <c r="I33" i="45"/>
  <c r="AL75" i="45"/>
  <c r="K27" i="45"/>
  <c r="AQ27" i="45" s="1"/>
  <c r="J28" i="45"/>
  <c r="J29" i="45"/>
  <c r="J31" i="45"/>
  <c r="J37" i="45" s="1"/>
  <c r="J54" i="45"/>
  <c r="J32" i="45"/>
  <c r="H67" i="45"/>
  <c r="H34" i="45"/>
  <c r="AM75" i="45"/>
  <c r="I55" i="45"/>
  <c r="I56" i="45"/>
  <c r="I37" i="45"/>
  <c r="AL104" i="45"/>
  <c r="C342" i="48" l="1"/>
  <c r="AJ111" i="55" s="1"/>
  <c r="C339" i="48"/>
  <c r="AJ108" i="55" s="1"/>
  <c r="C341" i="48"/>
  <c r="AJ110" i="55" s="1"/>
  <c r="C338" i="48"/>
  <c r="C337" i="48"/>
  <c r="AO68" i="45"/>
  <c r="F320" i="48"/>
  <c r="AJ132" i="55"/>
  <c r="CV109" i="55"/>
  <c r="AJ134" i="55"/>
  <c r="CV111" i="55"/>
  <c r="AJ131" i="55"/>
  <c r="CV108" i="55"/>
  <c r="AJ133" i="55"/>
  <c r="CV110" i="55"/>
  <c r="D312" i="46"/>
  <c r="D317" i="46" s="1"/>
  <c r="BQ110" i="55" s="1"/>
  <c r="BQ133" i="55" s="1"/>
  <c r="BQ156" i="55" s="1"/>
  <c r="BQ103" i="55"/>
  <c r="BQ126" i="55" s="1"/>
  <c r="BQ149" i="55" s="1"/>
  <c r="E320" i="46"/>
  <c r="K105" i="45"/>
  <c r="AQ105" i="45" s="1"/>
  <c r="E106" i="45"/>
  <c r="E109" i="45" s="1"/>
  <c r="E76" i="45"/>
  <c r="F106" i="45"/>
  <c r="AL106" i="45" s="1"/>
  <c r="AL109" i="45" s="1"/>
  <c r="F76" i="45"/>
  <c r="F97" i="45"/>
  <c r="AL97" i="45" s="1"/>
  <c r="E90" i="45"/>
  <c r="AJ120" i="45"/>
  <c r="AJ122" i="45" s="1"/>
  <c r="E97" i="45"/>
  <c r="F90" i="45"/>
  <c r="F91" i="45" s="1"/>
  <c r="AO57" i="45"/>
  <c r="AN70" i="45"/>
  <c r="H70" i="45"/>
  <c r="AO67" i="45"/>
  <c r="AO70" i="45" s="1"/>
  <c r="I34" i="45"/>
  <c r="AL111" i="45"/>
  <c r="G40" i="46"/>
  <c r="L46" i="46" s="1"/>
  <c r="L263" i="46" s="1"/>
  <c r="L263" i="48" s="1"/>
  <c r="H58" i="45"/>
  <c r="H59" i="45"/>
  <c r="H60" i="45"/>
  <c r="H73" i="45" s="1"/>
  <c r="AK101" i="45"/>
  <c r="AK103" i="45"/>
  <c r="AK102" i="45"/>
  <c r="E101" i="45"/>
  <c r="E103" i="45"/>
  <c r="E102" i="45"/>
  <c r="AL93" i="45"/>
  <c r="AL94" i="45"/>
  <c r="F93" i="45"/>
  <c r="F94" i="45"/>
  <c r="F112" i="45"/>
  <c r="H104" i="45"/>
  <c r="AK110" i="45"/>
  <c r="E112" i="45"/>
  <c r="E111" i="45"/>
  <c r="AK112" i="45"/>
  <c r="AK111" i="45"/>
  <c r="E110" i="45"/>
  <c r="AP35" i="45"/>
  <c r="AK80" i="45"/>
  <c r="E79" i="45"/>
  <c r="AK81" i="45"/>
  <c r="AK79" i="45"/>
  <c r="E80" i="45"/>
  <c r="E81" i="45"/>
  <c r="AO59" i="45"/>
  <c r="AO58" i="45"/>
  <c r="AO60" i="45"/>
  <c r="AN59" i="45"/>
  <c r="AN58" i="45"/>
  <c r="AN60" i="45"/>
  <c r="C334" i="46"/>
  <c r="C346" i="46" s="1"/>
  <c r="C347" i="46" s="1"/>
  <c r="C348" i="46" s="1"/>
  <c r="C335" i="46"/>
  <c r="AL110" i="45"/>
  <c r="AP36" i="45"/>
  <c r="AL102" i="45"/>
  <c r="AL103" i="45"/>
  <c r="AL101" i="45"/>
  <c r="F101" i="45"/>
  <c r="F103" i="45"/>
  <c r="F102" i="45"/>
  <c r="G40" i="48"/>
  <c r="L46" i="48" s="1"/>
  <c r="AL112" i="45"/>
  <c r="G71" i="45"/>
  <c r="F111" i="45"/>
  <c r="AL79" i="45"/>
  <c r="F81" i="45"/>
  <c r="F79" i="45"/>
  <c r="F80" i="45"/>
  <c r="AL80" i="45"/>
  <c r="AL81" i="45"/>
  <c r="G73" i="45"/>
  <c r="AP30" i="45"/>
  <c r="E94" i="45"/>
  <c r="AK93" i="45"/>
  <c r="AK94" i="45"/>
  <c r="E93" i="45"/>
  <c r="F110" i="45"/>
  <c r="G72" i="45"/>
  <c r="C328" i="46"/>
  <c r="C329" i="46"/>
  <c r="F109" i="45"/>
  <c r="E84" i="48"/>
  <c r="E89" i="48" s="1"/>
  <c r="E87" i="48"/>
  <c r="E85" i="48"/>
  <c r="E90" i="48" s="1"/>
  <c r="E83" i="48"/>
  <c r="E88" i="48" s="1"/>
  <c r="E86" i="48"/>
  <c r="E91" i="48" s="1"/>
  <c r="D84" i="48"/>
  <c r="D89" i="48" s="1"/>
  <c r="D86" i="48"/>
  <c r="D91" i="48" s="1"/>
  <c r="D83" i="48"/>
  <c r="D88" i="48" s="1"/>
  <c r="D87" i="48"/>
  <c r="D85" i="48"/>
  <c r="D90" i="48" s="1"/>
  <c r="E325" i="46"/>
  <c r="E326" i="46"/>
  <c r="E324" i="46"/>
  <c r="E327" i="46"/>
  <c r="AQ31" i="45"/>
  <c r="AQ32" i="45"/>
  <c r="AQ29" i="45"/>
  <c r="AQ28" i="45"/>
  <c r="AQ54" i="45"/>
  <c r="AP56" i="45"/>
  <c r="AP55" i="45"/>
  <c r="E105" i="48"/>
  <c r="E110" i="48" s="1"/>
  <c r="E103" i="48"/>
  <c r="E108" i="48" s="1"/>
  <c r="E107" i="48"/>
  <c r="E104" i="48"/>
  <c r="E109" i="48" s="1"/>
  <c r="E106" i="48"/>
  <c r="E111" i="48" s="1"/>
  <c r="D325" i="46"/>
  <c r="D324" i="46"/>
  <c r="D327" i="46"/>
  <c r="D326" i="46"/>
  <c r="F47" i="46"/>
  <c r="F112" i="46"/>
  <c r="F102" i="46"/>
  <c r="F82" i="46"/>
  <c r="F72" i="46"/>
  <c r="C314" i="48"/>
  <c r="C318" i="48"/>
  <c r="C317" i="48"/>
  <c r="C316" i="48"/>
  <c r="C313" i="48"/>
  <c r="C315" i="48"/>
  <c r="D335" i="48"/>
  <c r="D334" i="48"/>
  <c r="D346" i="48" s="1"/>
  <c r="F278" i="46"/>
  <c r="F18" i="52" s="1"/>
  <c r="E311" i="46"/>
  <c r="E344" i="46"/>
  <c r="E345" i="46" s="1"/>
  <c r="E321" i="46"/>
  <c r="H40" i="48"/>
  <c r="M46" i="48" s="1"/>
  <c r="E74" i="48"/>
  <c r="E79" i="48" s="1"/>
  <c r="E77" i="48"/>
  <c r="E73" i="48"/>
  <c r="E78" i="48" s="1"/>
  <c r="E76" i="48"/>
  <c r="E81" i="48" s="1"/>
  <c r="E75" i="48"/>
  <c r="E80" i="48" s="1"/>
  <c r="D76" i="48"/>
  <c r="D81" i="48" s="1"/>
  <c r="D74" i="48"/>
  <c r="D79" i="48" s="1"/>
  <c r="D75" i="48"/>
  <c r="D80" i="48" s="1"/>
  <c r="D77" i="48"/>
  <c r="D73" i="48"/>
  <c r="D78" i="48" s="1"/>
  <c r="E278" i="48"/>
  <c r="D311" i="48"/>
  <c r="D312" i="48" s="1"/>
  <c r="D328" i="48"/>
  <c r="D329" i="48"/>
  <c r="I68" i="45"/>
  <c r="AL76" i="45"/>
  <c r="F78" i="45"/>
  <c r="AP33" i="45"/>
  <c r="AK76" i="45"/>
  <c r="E78" i="45"/>
  <c r="E325" i="48"/>
  <c r="E326" i="48"/>
  <c r="E327" i="48"/>
  <c r="E324" i="48"/>
  <c r="D321" i="46"/>
  <c r="D344" i="46"/>
  <c r="D345" i="46" s="1"/>
  <c r="G47" i="48"/>
  <c r="AO73" i="45"/>
  <c r="AK90" i="45"/>
  <c r="AK91" i="45" s="1"/>
  <c r="E91" i="45"/>
  <c r="E114" i="45" s="1"/>
  <c r="H75" i="45"/>
  <c r="G36" i="46"/>
  <c r="G42" i="46" s="1"/>
  <c r="F326" i="48"/>
  <c r="F325" i="48"/>
  <c r="F327" i="48"/>
  <c r="F324" i="48"/>
  <c r="D104" i="48"/>
  <c r="D109" i="48" s="1"/>
  <c r="D106" i="48"/>
  <c r="D111" i="48" s="1"/>
  <c r="D105" i="48"/>
  <c r="D110" i="48" s="1"/>
  <c r="D103" i="48"/>
  <c r="D108" i="48" s="1"/>
  <c r="D107" i="48"/>
  <c r="K267" i="46"/>
  <c r="K272" i="46" s="1"/>
  <c r="K268" i="46"/>
  <c r="K263" i="48"/>
  <c r="K264" i="46"/>
  <c r="K269" i="46" s="1"/>
  <c r="K265" i="46"/>
  <c r="K270" i="46" s="1"/>
  <c r="K266" i="46"/>
  <c r="K271" i="46" s="1"/>
  <c r="C364" i="48"/>
  <c r="AK97" i="45"/>
  <c r="E100" i="45"/>
  <c r="D117" i="48"/>
  <c r="D115" i="48"/>
  <c r="D120" i="48" s="1"/>
  <c r="D114" i="48"/>
  <c r="D119" i="48" s="1"/>
  <c r="D113" i="48"/>
  <c r="D118" i="48" s="1"/>
  <c r="D116" i="48"/>
  <c r="D121" i="48" s="1"/>
  <c r="D277" i="48"/>
  <c r="AO34" i="45"/>
  <c r="H36" i="48" s="1"/>
  <c r="H42" i="48" s="1"/>
  <c r="E115" i="48"/>
  <c r="E120" i="48" s="1"/>
  <c r="E114" i="48"/>
  <c r="E119" i="48" s="1"/>
  <c r="E117" i="48"/>
  <c r="E116" i="48"/>
  <c r="E121" i="48" s="1"/>
  <c r="E113" i="48"/>
  <c r="E118" i="48" s="1"/>
  <c r="E277" i="48"/>
  <c r="J30" i="45"/>
  <c r="I67" i="45"/>
  <c r="J33" i="45"/>
  <c r="AN104" i="45"/>
  <c r="I57" i="45"/>
  <c r="J35" i="45"/>
  <c r="J36" i="45"/>
  <c r="J55" i="45"/>
  <c r="J56" i="45"/>
  <c r="L27" i="45"/>
  <c r="AR27" i="45" s="1"/>
  <c r="K28" i="45"/>
  <c r="K29" i="45"/>
  <c r="K31" i="45"/>
  <c r="K35" i="45" s="1"/>
  <c r="K32" i="45"/>
  <c r="K54" i="45"/>
  <c r="AM104" i="45"/>
  <c r="D313" i="46" l="1"/>
  <c r="D314" i="46"/>
  <c r="BQ107" i="55" s="1"/>
  <c r="BQ130" i="55" s="1"/>
  <c r="BQ153" i="55" s="1"/>
  <c r="D315" i="46"/>
  <c r="BQ108" i="55" s="1"/>
  <c r="BQ131" i="55" s="1"/>
  <c r="BQ154" i="55" s="1"/>
  <c r="D318" i="46"/>
  <c r="BQ111" i="55" s="1"/>
  <c r="BQ134" i="55" s="1"/>
  <c r="BQ157" i="55" s="1"/>
  <c r="D316" i="46"/>
  <c r="BQ109" i="55" s="1"/>
  <c r="BQ132" i="55" s="1"/>
  <c r="BQ155" i="55" s="1"/>
  <c r="AK106" i="45"/>
  <c r="AK109" i="45" s="1"/>
  <c r="AJ156" i="55"/>
  <c r="CV156" i="55" s="1"/>
  <c r="CV133" i="55"/>
  <c r="F114" i="45"/>
  <c r="AJ104" i="55"/>
  <c r="AJ127" i="55" s="1"/>
  <c r="AJ150" i="55" s="1"/>
  <c r="CV104" i="55"/>
  <c r="CV127" i="55" s="1"/>
  <c r="CV150" i="55" s="1"/>
  <c r="AJ157" i="55"/>
  <c r="CV157" i="55" s="1"/>
  <c r="CV134" i="55"/>
  <c r="AJ154" i="55"/>
  <c r="CV154" i="55" s="1"/>
  <c r="CV131" i="55"/>
  <c r="AJ155" i="55"/>
  <c r="CV155" i="55" s="1"/>
  <c r="CV132" i="55"/>
  <c r="AK117" i="45"/>
  <c r="E117" i="45"/>
  <c r="F117" i="45"/>
  <c r="AL117" i="45"/>
  <c r="D322" i="46"/>
  <c r="E103" i="55"/>
  <c r="E126" i="55" s="1"/>
  <c r="E149" i="55" s="1"/>
  <c r="E322" i="46"/>
  <c r="E342" i="46" s="1"/>
  <c r="F111" i="55" s="1"/>
  <c r="F134" i="55" s="1"/>
  <c r="F157" i="55" s="1"/>
  <c r="F103" i="55"/>
  <c r="F126" i="55" s="1"/>
  <c r="F149" i="55" s="1"/>
  <c r="AJ107" i="55"/>
  <c r="E312" i="46"/>
  <c r="E315" i="46" s="1"/>
  <c r="BR108" i="55" s="1"/>
  <c r="BR131" i="55" s="1"/>
  <c r="BR154" i="55" s="1"/>
  <c r="BR103" i="55"/>
  <c r="BR126" i="55" s="1"/>
  <c r="BR149" i="55" s="1"/>
  <c r="F319" i="46"/>
  <c r="F323" i="46" s="1"/>
  <c r="G319" i="48"/>
  <c r="AL90" i="45"/>
  <c r="AL91" i="45" s="1"/>
  <c r="F100" i="45"/>
  <c r="F113" i="45"/>
  <c r="C349" i="46"/>
  <c r="C350" i="46" s="1"/>
  <c r="E113" i="45"/>
  <c r="E115" i="45" s="1"/>
  <c r="I75" i="45"/>
  <c r="L105" i="45"/>
  <c r="AR105" i="45" s="1"/>
  <c r="H36" i="46"/>
  <c r="H42" i="46" s="1"/>
  <c r="AP57" i="45"/>
  <c r="AP60" i="45" s="1"/>
  <c r="AP68" i="45"/>
  <c r="AL116" i="45"/>
  <c r="AK113" i="45"/>
  <c r="AQ33" i="45"/>
  <c r="L268" i="46"/>
  <c r="L267" i="46"/>
  <c r="L272" i="46" s="1"/>
  <c r="L264" i="46"/>
  <c r="L269" i="46" s="1"/>
  <c r="L265" i="46"/>
  <c r="L270" i="46" s="1"/>
  <c r="L266" i="46"/>
  <c r="L271" i="46" s="1"/>
  <c r="AK116" i="45"/>
  <c r="K36" i="45"/>
  <c r="F274" i="46"/>
  <c r="AP67" i="45"/>
  <c r="C331" i="46"/>
  <c r="C330" i="46"/>
  <c r="H72" i="45"/>
  <c r="J67" i="45"/>
  <c r="H40" i="46"/>
  <c r="M46" i="46" s="1"/>
  <c r="M263" i="46" s="1"/>
  <c r="M268" i="46" s="1"/>
  <c r="I58" i="45"/>
  <c r="I71" i="45" s="1"/>
  <c r="I60" i="45"/>
  <c r="I59" i="45"/>
  <c r="AN73" i="45"/>
  <c r="H71" i="45"/>
  <c r="K37" i="45"/>
  <c r="AK118" i="45"/>
  <c r="F116" i="45"/>
  <c r="AN71" i="45"/>
  <c r="AO72" i="45"/>
  <c r="AO75" i="45"/>
  <c r="C373" i="48"/>
  <c r="AJ119" i="45"/>
  <c r="G274" i="48"/>
  <c r="AO71" i="45"/>
  <c r="AL118" i="45"/>
  <c r="F118" i="45"/>
  <c r="C351" i="46"/>
  <c r="AN72" i="45"/>
  <c r="E118" i="45"/>
  <c r="E116" i="45"/>
  <c r="AL114" i="45"/>
  <c r="F278" i="48"/>
  <c r="E311" i="48"/>
  <c r="E312" i="48" s="1"/>
  <c r="D334" i="46"/>
  <c r="D346" i="46" s="1"/>
  <c r="D347" i="46" s="1"/>
  <c r="D335" i="46"/>
  <c r="AL78" i="45"/>
  <c r="AQ35" i="45"/>
  <c r="AP34" i="45"/>
  <c r="I36" i="48" s="1"/>
  <c r="I42" i="48" s="1"/>
  <c r="AK100" i="45"/>
  <c r="E328" i="46"/>
  <c r="E329" i="46"/>
  <c r="E344" i="48"/>
  <c r="E345" i="48" s="1"/>
  <c r="E321" i="48"/>
  <c r="CX103" i="55" s="1"/>
  <c r="CX126" i="55" s="1"/>
  <c r="CX149" i="55" s="1"/>
  <c r="D344" i="48"/>
  <c r="D345" i="48" s="1"/>
  <c r="D321" i="48"/>
  <c r="CW103" i="55" s="1"/>
  <c r="CW126" i="55" s="1"/>
  <c r="CW149" i="55" s="1"/>
  <c r="K267" i="48"/>
  <c r="K272" i="48" s="1"/>
  <c r="K264" i="48"/>
  <c r="K269" i="48" s="1"/>
  <c r="K266" i="48"/>
  <c r="K271" i="48" s="1"/>
  <c r="K268" i="48"/>
  <c r="K265" i="48"/>
  <c r="K270" i="48" s="1"/>
  <c r="L268" i="48"/>
  <c r="L265" i="48"/>
  <c r="L270" i="48" s="1"/>
  <c r="L266" i="48"/>
  <c r="L271" i="48" s="1"/>
  <c r="L267" i="48"/>
  <c r="L272" i="48" s="1"/>
  <c r="L264" i="48"/>
  <c r="L269" i="48" s="1"/>
  <c r="G47" i="46"/>
  <c r="G102" i="46"/>
  <c r="G82" i="46"/>
  <c r="G72" i="46"/>
  <c r="G112" i="46"/>
  <c r="G323" i="48"/>
  <c r="G320" i="48"/>
  <c r="E335" i="48"/>
  <c r="E334" i="48"/>
  <c r="E346" i="48" s="1"/>
  <c r="E316" i="46"/>
  <c r="BR109" i="55" s="1"/>
  <c r="BR132" i="55" s="1"/>
  <c r="BR155" i="55" s="1"/>
  <c r="E314" i="46"/>
  <c r="BR107" i="55" s="1"/>
  <c r="BR130" i="55" s="1"/>
  <c r="BR153" i="55" s="1"/>
  <c r="E313" i="46"/>
  <c r="C368" i="48"/>
  <c r="F72" i="48"/>
  <c r="F75" i="46"/>
  <c r="F80" i="46" s="1"/>
  <c r="F76" i="46"/>
  <c r="F81" i="46" s="1"/>
  <c r="F74" i="46"/>
  <c r="F79" i="46" s="1"/>
  <c r="F73" i="46"/>
  <c r="F78" i="46" s="1"/>
  <c r="F77" i="46"/>
  <c r="AQ36" i="45"/>
  <c r="H47" i="46"/>
  <c r="H112" i="46"/>
  <c r="H82" i="46"/>
  <c r="H72" i="46"/>
  <c r="H102" i="46"/>
  <c r="D341" i="46"/>
  <c r="E110" i="55" s="1"/>
  <c r="E133" i="55" s="1"/>
  <c r="E156" i="55" s="1"/>
  <c r="D338" i="46"/>
  <c r="D339" i="46"/>
  <c r="E108" i="55" s="1"/>
  <c r="E131" i="55" s="1"/>
  <c r="E154" i="55" s="1"/>
  <c r="D342" i="46"/>
  <c r="E111" i="55" s="1"/>
  <c r="E134" i="55" s="1"/>
  <c r="E157" i="55" s="1"/>
  <c r="D337" i="46"/>
  <c r="D340" i="46"/>
  <c r="E109" i="55" s="1"/>
  <c r="E132" i="55" s="1"/>
  <c r="E155" i="55" s="1"/>
  <c r="F102" i="48"/>
  <c r="F104" i="46"/>
  <c r="F109" i="46" s="1"/>
  <c r="F106" i="46"/>
  <c r="F111" i="46" s="1"/>
  <c r="F107" i="46"/>
  <c r="F105" i="46"/>
  <c r="F110" i="46" s="1"/>
  <c r="F103" i="46"/>
  <c r="F108" i="46" s="1"/>
  <c r="H47" i="48"/>
  <c r="F329" i="48"/>
  <c r="F328" i="48"/>
  <c r="D330" i="48"/>
  <c r="D331" i="48"/>
  <c r="F115" i="46"/>
  <c r="F120" i="46" s="1"/>
  <c r="F117" i="46"/>
  <c r="F116" i="46"/>
  <c r="F121" i="46" s="1"/>
  <c r="F114" i="46"/>
  <c r="F119" i="46" s="1"/>
  <c r="F113" i="46"/>
  <c r="F118" i="46" s="1"/>
  <c r="F112" i="48"/>
  <c r="F277" i="46"/>
  <c r="AQ56" i="45"/>
  <c r="AQ55" i="45"/>
  <c r="AR28" i="45"/>
  <c r="AR31" i="45"/>
  <c r="AR32" i="45"/>
  <c r="AR29" i="45"/>
  <c r="AR54" i="45"/>
  <c r="J68" i="45"/>
  <c r="I70" i="45"/>
  <c r="F335" i="48"/>
  <c r="F334" i="48"/>
  <c r="F346" i="48" s="1"/>
  <c r="AL100" i="45"/>
  <c r="E328" i="48"/>
  <c r="E329" i="48"/>
  <c r="AK114" i="45"/>
  <c r="AK78" i="45"/>
  <c r="D316" i="48"/>
  <c r="D314" i="48"/>
  <c r="D313" i="48"/>
  <c r="D315" i="48"/>
  <c r="D317" i="48"/>
  <c r="D318" i="48"/>
  <c r="F311" i="46"/>
  <c r="G278" i="46"/>
  <c r="G18" i="52" s="1"/>
  <c r="F82" i="48"/>
  <c r="F85" i="46"/>
  <c r="F90" i="46" s="1"/>
  <c r="F84" i="46"/>
  <c r="F89" i="46" s="1"/>
  <c r="F86" i="46"/>
  <c r="F91" i="46" s="1"/>
  <c r="F87" i="46"/>
  <c r="F83" i="46"/>
  <c r="F88" i="46" s="1"/>
  <c r="D329" i="46"/>
  <c r="D328" i="46"/>
  <c r="AQ30" i="45"/>
  <c r="AQ37" i="45"/>
  <c r="E334" i="46"/>
  <c r="E346" i="46" s="1"/>
  <c r="E347" i="46" s="1"/>
  <c r="E335" i="46"/>
  <c r="J57" i="45"/>
  <c r="J34" i="45"/>
  <c r="AO104" i="45"/>
  <c r="K55" i="45"/>
  <c r="K56" i="45"/>
  <c r="K30" i="45"/>
  <c r="I104" i="45"/>
  <c r="L32" i="45"/>
  <c r="L28" i="45"/>
  <c r="M27" i="45"/>
  <c r="AS27" i="45" s="1"/>
  <c r="L31" i="45"/>
  <c r="L29" i="45"/>
  <c r="L54" i="45"/>
  <c r="AN75" i="45"/>
  <c r="K33" i="45"/>
  <c r="E338" i="46" l="1"/>
  <c r="E341" i="46"/>
  <c r="F110" i="55" s="1"/>
  <c r="F133" i="55" s="1"/>
  <c r="F156" i="55" s="1"/>
  <c r="E337" i="46"/>
  <c r="E339" i="46"/>
  <c r="F108" i="55" s="1"/>
  <c r="F131" i="55" s="1"/>
  <c r="F154" i="55" s="1"/>
  <c r="E340" i="46"/>
  <c r="F109" i="55" s="1"/>
  <c r="F132" i="55" s="1"/>
  <c r="F155" i="55" s="1"/>
  <c r="F115" i="45"/>
  <c r="E317" i="46"/>
  <c r="BR110" i="55" s="1"/>
  <c r="BR133" i="55" s="1"/>
  <c r="BR156" i="55" s="1"/>
  <c r="F320" i="46"/>
  <c r="E318" i="46"/>
  <c r="BR111" i="55" s="1"/>
  <c r="BR134" i="55" s="1"/>
  <c r="BR157" i="55" s="1"/>
  <c r="AJ130" i="55"/>
  <c r="CV107" i="55"/>
  <c r="AQ68" i="45"/>
  <c r="D322" i="48"/>
  <c r="D342" i="48" s="1"/>
  <c r="AK111" i="55" s="1"/>
  <c r="AK103" i="55"/>
  <c r="AK126" i="55" s="1"/>
  <c r="AK149" i="55" s="1"/>
  <c r="C352" i="46"/>
  <c r="F312" i="46"/>
  <c r="F313" i="46" s="1"/>
  <c r="BS103" i="55"/>
  <c r="BS126" i="55" s="1"/>
  <c r="BS149" i="55" s="1"/>
  <c r="E322" i="48"/>
  <c r="AL103" i="55"/>
  <c r="AL126" i="55" s="1"/>
  <c r="AL149" i="55" s="1"/>
  <c r="AL113" i="45"/>
  <c r="AP70" i="45"/>
  <c r="H319" i="46"/>
  <c r="H319" i="48"/>
  <c r="H323" i="48" s="1"/>
  <c r="G319" i="46"/>
  <c r="G323" i="46" s="1"/>
  <c r="I40" i="48"/>
  <c r="N46" i="48" s="1"/>
  <c r="AP59" i="45"/>
  <c r="AP58" i="45"/>
  <c r="AP71" i="45" s="1"/>
  <c r="G90" i="45"/>
  <c r="G106" i="45"/>
  <c r="AM106" i="45" s="1"/>
  <c r="AM109" i="45" s="1"/>
  <c r="G76" i="45"/>
  <c r="G78" i="45" s="1"/>
  <c r="N105" i="45"/>
  <c r="AT105" i="45" s="1"/>
  <c r="M105" i="45"/>
  <c r="AS105" i="45" s="1"/>
  <c r="G97" i="45"/>
  <c r="AM97" i="45" s="1"/>
  <c r="J70" i="45"/>
  <c r="AQ57" i="45"/>
  <c r="AQ60" i="45" s="1"/>
  <c r="AQ73" i="45" s="1"/>
  <c r="M263" i="48"/>
  <c r="M265" i="48" s="1"/>
  <c r="M270" i="48" s="1"/>
  <c r="M266" i="46"/>
  <c r="M271" i="46" s="1"/>
  <c r="G274" i="46"/>
  <c r="K68" i="45"/>
  <c r="M267" i="46"/>
  <c r="M272" i="46" s="1"/>
  <c r="M265" i="46"/>
  <c r="M270" i="46" s="1"/>
  <c r="K57" i="45"/>
  <c r="M264" i="46"/>
  <c r="M269" i="46" s="1"/>
  <c r="J59" i="45"/>
  <c r="J58" i="45"/>
  <c r="J60" i="45"/>
  <c r="AJ124" i="45"/>
  <c r="AJ123" i="45"/>
  <c r="C332" i="46"/>
  <c r="C336" i="46" s="1"/>
  <c r="C333" i="46"/>
  <c r="I73" i="45"/>
  <c r="C374" i="48"/>
  <c r="AJ125" i="45"/>
  <c r="AM102" i="45"/>
  <c r="AM101" i="45"/>
  <c r="AM103" i="45"/>
  <c r="G103" i="45"/>
  <c r="G101" i="45"/>
  <c r="G102" i="45"/>
  <c r="AM112" i="45"/>
  <c r="AM111" i="45"/>
  <c r="AM110" i="45"/>
  <c r="G112" i="45"/>
  <c r="G111" i="45"/>
  <c r="G110" i="45"/>
  <c r="AP72" i="45"/>
  <c r="L33" i="45"/>
  <c r="AM93" i="45"/>
  <c r="AM94" i="45"/>
  <c r="G94" i="45"/>
  <c r="G93" i="45"/>
  <c r="G79" i="45"/>
  <c r="G81" i="45"/>
  <c r="AM81" i="45"/>
  <c r="AM79" i="45"/>
  <c r="AM80" i="45"/>
  <c r="G80" i="45"/>
  <c r="AP73" i="45"/>
  <c r="C356" i="46"/>
  <c r="I72" i="45"/>
  <c r="G311" i="46"/>
  <c r="H278" i="46"/>
  <c r="H18" i="52" s="1"/>
  <c r="AR37" i="45"/>
  <c r="AR33" i="45"/>
  <c r="H104" i="46"/>
  <c r="H109" i="46" s="1"/>
  <c r="H102" i="48"/>
  <c r="H103" i="46"/>
  <c r="H108" i="46" s="1"/>
  <c r="H105" i="46"/>
  <c r="H110" i="46" s="1"/>
  <c r="H107" i="46"/>
  <c r="H106" i="46"/>
  <c r="H111" i="46" s="1"/>
  <c r="AM76" i="45"/>
  <c r="G106" i="46"/>
  <c r="G111" i="46" s="1"/>
  <c r="G107" i="46"/>
  <c r="G102" i="48"/>
  <c r="G105" i="46"/>
  <c r="G110" i="46" s="1"/>
  <c r="G104" i="46"/>
  <c r="G109" i="46" s="1"/>
  <c r="G103" i="46"/>
  <c r="G108" i="46" s="1"/>
  <c r="D347" i="48"/>
  <c r="D348" i="48"/>
  <c r="D349" i="48" s="1"/>
  <c r="D350" i="48" s="1"/>
  <c r="D352" i="48" s="1"/>
  <c r="E331" i="46"/>
  <c r="E330" i="46"/>
  <c r="D331" i="46"/>
  <c r="D330" i="46"/>
  <c r="F316" i="46"/>
  <c r="BS109" i="55" s="1"/>
  <c r="BS132" i="55" s="1"/>
  <c r="BS155" i="55" s="1"/>
  <c r="AL115" i="45"/>
  <c r="AR36" i="45"/>
  <c r="J40" i="48"/>
  <c r="O46" i="48" s="1"/>
  <c r="F113" i="48"/>
  <c r="F118" i="48" s="1"/>
  <c r="F117" i="48"/>
  <c r="F115" i="48"/>
  <c r="F120" i="48" s="1"/>
  <c r="F114" i="48"/>
  <c r="F119" i="48" s="1"/>
  <c r="F116" i="48"/>
  <c r="F121" i="48" s="1"/>
  <c r="F277" i="48"/>
  <c r="E348" i="46"/>
  <c r="E351" i="46" s="1"/>
  <c r="F330" i="48"/>
  <c r="F331" i="48"/>
  <c r="H72" i="48"/>
  <c r="H75" i="46"/>
  <c r="H80" i="46" s="1"/>
  <c r="H73" i="46"/>
  <c r="H78" i="46" s="1"/>
  <c r="H76" i="46"/>
  <c r="H81" i="46" s="1"/>
  <c r="H77" i="46"/>
  <c r="H74" i="46"/>
  <c r="H79" i="46" s="1"/>
  <c r="G114" i="46"/>
  <c r="G119" i="46" s="1"/>
  <c r="G113" i="46"/>
  <c r="G118" i="46" s="1"/>
  <c r="G117" i="46"/>
  <c r="G115" i="46"/>
  <c r="G120" i="46" s="1"/>
  <c r="G112" i="48"/>
  <c r="G116" i="46"/>
  <c r="G121" i="46" s="1"/>
  <c r="G277" i="46"/>
  <c r="E342" i="48"/>
  <c r="AL111" i="55" s="1"/>
  <c r="E341" i="48"/>
  <c r="AL110" i="55" s="1"/>
  <c r="E337" i="48"/>
  <c r="E338" i="48"/>
  <c r="E339" i="48"/>
  <c r="AL108" i="55" s="1"/>
  <c r="E340" i="48"/>
  <c r="AL109" i="55" s="1"/>
  <c r="L36" i="45"/>
  <c r="AR30" i="45"/>
  <c r="H274" i="48"/>
  <c r="F105" i="48"/>
  <c r="F110" i="48" s="1"/>
  <c r="F104" i="48"/>
  <c r="F109" i="48" s="1"/>
  <c r="F106" i="48"/>
  <c r="F111" i="48" s="1"/>
  <c r="F107" i="48"/>
  <c r="F103" i="48"/>
  <c r="F108" i="48" s="1"/>
  <c r="M266" i="48"/>
  <c r="M271" i="48" s="1"/>
  <c r="H86" i="46"/>
  <c r="H91" i="46" s="1"/>
  <c r="H85" i="46"/>
  <c r="H90" i="46" s="1"/>
  <c r="H82" i="48"/>
  <c r="H84" i="46"/>
  <c r="H89" i="46" s="1"/>
  <c r="H87" i="46"/>
  <c r="H83" i="46"/>
  <c r="H88" i="46" s="1"/>
  <c r="G325" i="48"/>
  <c r="G326" i="48"/>
  <c r="G327" i="48"/>
  <c r="G324" i="48"/>
  <c r="G72" i="48"/>
  <c r="G74" i="46"/>
  <c r="G79" i="46" s="1"/>
  <c r="G77" i="46"/>
  <c r="G76" i="46"/>
  <c r="G81" i="46" s="1"/>
  <c r="G75" i="46"/>
  <c r="G80" i="46" s="1"/>
  <c r="G73" i="46"/>
  <c r="G78" i="46" s="1"/>
  <c r="E347" i="48"/>
  <c r="E348" i="48"/>
  <c r="E349" i="48" s="1"/>
  <c r="E350" i="48" s="1"/>
  <c r="AK115" i="45"/>
  <c r="I47" i="48"/>
  <c r="E313" i="48"/>
  <c r="E315" i="48"/>
  <c r="E314" i="48"/>
  <c r="E317" i="48"/>
  <c r="E318" i="48"/>
  <c r="E316" i="48"/>
  <c r="AS32" i="45"/>
  <c r="AS29" i="45"/>
  <c r="AS28" i="45"/>
  <c r="AS31" i="45"/>
  <c r="AS37" i="45" s="1"/>
  <c r="AS54" i="45"/>
  <c r="E331" i="48"/>
  <c r="E330" i="48"/>
  <c r="F321" i="46"/>
  <c r="F344" i="46"/>
  <c r="F345" i="46" s="1"/>
  <c r="H323" i="46"/>
  <c r="H320" i="46"/>
  <c r="J75" i="45"/>
  <c r="I36" i="46"/>
  <c r="I42" i="46" s="1"/>
  <c r="AR35" i="45"/>
  <c r="F77" i="48"/>
  <c r="F75" i="48"/>
  <c r="F80" i="48" s="1"/>
  <c r="F73" i="48"/>
  <c r="F78" i="48" s="1"/>
  <c r="F74" i="48"/>
  <c r="F79" i="48" s="1"/>
  <c r="F76" i="48"/>
  <c r="F81" i="48" s="1"/>
  <c r="J104" i="45"/>
  <c r="I40" i="46"/>
  <c r="N46" i="46" s="1"/>
  <c r="N263" i="46" s="1"/>
  <c r="AQ34" i="45"/>
  <c r="J36" i="48" s="1"/>
  <c r="J42" i="48" s="1"/>
  <c r="AQ67" i="45"/>
  <c r="AQ70" i="45" s="1"/>
  <c r="AM90" i="45"/>
  <c r="AM91" i="45" s="1"/>
  <c r="G91" i="45"/>
  <c r="F83" i="48"/>
  <c r="F88" i="48" s="1"/>
  <c r="F87" i="48"/>
  <c r="F85" i="48"/>
  <c r="F90" i="48" s="1"/>
  <c r="F84" i="48"/>
  <c r="F89" i="48" s="1"/>
  <c r="F86" i="48"/>
  <c r="F91" i="48" s="1"/>
  <c r="D348" i="46"/>
  <c r="D351" i="46" s="1"/>
  <c r="AR55" i="45"/>
  <c r="AR56" i="45"/>
  <c r="D332" i="48"/>
  <c r="D336" i="48" s="1"/>
  <c r="D333" i="48"/>
  <c r="H274" i="46"/>
  <c r="H116" i="46"/>
  <c r="H121" i="46" s="1"/>
  <c r="H117" i="46"/>
  <c r="H115" i="46"/>
  <c r="H120" i="46" s="1"/>
  <c r="H112" i="48"/>
  <c r="H114" i="46"/>
  <c r="H119" i="46" s="1"/>
  <c r="H113" i="46"/>
  <c r="H118" i="46" s="1"/>
  <c r="H277" i="46"/>
  <c r="F327" i="46"/>
  <c r="F324" i="46"/>
  <c r="F326" i="46"/>
  <c r="F325" i="46"/>
  <c r="G82" i="48"/>
  <c r="G83" i="46"/>
  <c r="G88" i="46" s="1"/>
  <c r="G85" i="46"/>
  <c r="G90" i="46" s="1"/>
  <c r="G84" i="46"/>
  <c r="G89" i="46" s="1"/>
  <c r="G86" i="46"/>
  <c r="G91" i="46" s="1"/>
  <c r="G87" i="46"/>
  <c r="D339" i="48"/>
  <c r="AK108" i="55" s="1"/>
  <c r="F311" i="48"/>
  <c r="F312" i="48" s="1"/>
  <c r="G278" i="48"/>
  <c r="L30" i="45"/>
  <c r="AP104" i="45"/>
  <c r="L37" i="45"/>
  <c r="K67" i="45"/>
  <c r="K34" i="45"/>
  <c r="AP75" i="45"/>
  <c r="L55" i="45"/>
  <c r="L56" i="45"/>
  <c r="L35" i="45"/>
  <c r="N27" i="45"/>
  <c r="AT27" i="45" s="1"/>
  <c r="M29" i="45"/>
  <c r="M31" i="45"/>
  <c r="M32" i="45"/>
  <c r="M28" i="45"/>
  <c r="M54" i="45"/>
  <c r="F317" i="46" l="1"/>
  <c r="BS110" i="55" s="1"/>
  <c r="BS133" i="55" s="1"/>
  <c r="BS156" i="55" s="1"/>
  <c r="F318" i="46"/>
  <c r="BS111" i="55" s="1"/>
  <c r="BS134" i="55" s="1"/>
  <c r="BS157" i="55" s="1"/>
  <c r="F315" i="46"/>
  <c r="BS108" i="55" s="1"/>
  <c r="BS131" i="55" s="1"/>
  <c r="BS154" i="55" s="1"/>
  <c r="F314" i="46"/>
  <c r="BS107" i="55" s="1"/>
  <c r="BS130" i="55" s="1"/>
  <c r="BS153" i="55" s="1"/>
  <c r="D341" i="48"/>
  <c r="AK110" i="55" s="1"/>
  <c r="D340" i="48"/>
  <c r="AK109" i="55" s="1"/>
  <c r="CW109" i="55" s="1"/>
  <c r="D338" i="48"/>
  <c r="D337" i="48"/>
  <c r="H320" i="48"/>
  <c r="AL131" i="55"/>
  <c r="CX108" i="55"/>
  <c r="AK134" i="55"/>
  <c r="CW111" i="55"/>
  <c r="AL133" i="55"/>
  <c r="CX110" i="55"/>
  <c r="AL134" i="55"/>
  <c r="CX111" i="55"/>
  <c r="AK131" i="55"/>
  <c r="CW108" i="55"/>
  <c r="AK133" i="55"/>
  <c r="CW110" i="55"/>
  <c r="AL132" i="55"/>
  <c r="CX109" i="55"/>
  <c r="AJ153" i="55"/>
  <c r="CV153" i="55" s="1"/>
  <c r="CV130" i="55"/>
  <c r="G117" i="45"/>
  <c r="AM117" i="45"/>
  <c r="G312" i="46"/>
  <c r="BT103" i="55"/>
  <c r="BT126" i="55" s="1"/>
  <c r="BT149" i="55" s="1"/>
  <c r="F322" i="46"/>
  <c r="G103" i="55"/>
  <c r="G126" i="55" s="1"/>
  <c r="G149" i="55" s="1"/>
  <c r="AQ58" i="45"/>
  <c r="AQ71" i="45" s="1"/>
  <c r="I319" i="48"/>
  <c r="G320" i="46"/>
  <c r="G113" i="45"/>
  <c r="G109" i="45"/>
  <c r="G100" i="45"/>
  <c r="G114" i="45"/>
  <c r="J40" i="46"/>
  <c r="O46" i="46" s="1"/>
  <c r="O263" i="46" s="1"/>
  <c r="O265" i="46" s="1"/>
  <c r="O270" i="46" s="1"/>
  <c r="H90" i="45"/>
  <c r="AN90" i="45" s="1"/>
  <c r="AN91" i="45" s="1"/>
  <c r="H106" i="45"/>
  <c r="AN106" i="45" s="1"/>
  <c r="AN109" i="45" s="1"/>
  <c r="AJ126" i="45"/>
  <c r="I106" i="45"/>
  <c r="AO106" i="45" s="1"/>
  <c r="AO109" i="45" s="1"/>
  <c r="I97" i="45"/>
  <c r="H76" i="45"/>
  <c r="AN76" i="45" s="1"/>
  <c r="I90" i="45"/>
  <c r="AO90" i="45" s="1"/>
  <c r="AO91" i="45" s="1"/>
  <c r="H97" i="45"/>
  <c r="AN97" i="45" s="1"/>
  <c r="I76" i="45"/>
  <c r="AO76" i="45" s="1"/>
  <c r="M268" i="48"/>
  <c r="AQ59" i="45"/>
  <c r="AQ72" i="45" s="1"/>
  <c r="M264" i="48"/>
  <c r="M269" i="48" s="1"/>
  <c r="M267" i="48"/>
  <c r="M272" i="48" s="1"/>
  <c r="K70" i="45"/>
  <c r="E351" i="48"/>
  <c r="E356" i="48" s="1"/>
  <c r="K59" i="45"/>
  <c r="K72" i="45" s="1"/>
  <c r="G116" i="45"/>
  <c r="K60" i="45"/>
  <c r="K73" i="45" s="1"/>
  <c r="AS30" i="45"/>
  <c r="AS36" i="45"/>
  <c r="K58" i="45"/>
  <c r="K71" i="45" s="1"/>
  <c r="AM113" i="45"/>
  <c r="K104" i="45"/>
  <c r="AR57" i="45"/>
  <c r="AR58" i="45" s="1"/>
  <c r="AR71" i="45" s="1"/>
  <c r="D351" i="48"/>
  <c r="D356" i="48" s="1"/>
  <c r="D357" i="48" s="1"/>
  <c r="D366" i="48" s="1"/>
  <c r="AO102" i="45"/>
  <c r="I103" i="45"/>
  <c r="AO101" i="45"/>
  <c r="I102" i="45"/>
  <c r="I101" i="45"/>
  <c r="AO103" i="45"/>
  <c r="I79" i="45"/>
  <c r="I80" i="45"/>
  <c r="AO80" i="45"/>
  <c r="AO79" i="45"/>
  <c r="I81" i="45"/>
  <c r="AO81" i="45"/>
  <c r="AO110" i="45"/>
  <c r="AO111" i="45"/>
  <c r="AO112" i="45"/>
  <c r="I112" i="45"/>
  <c r="L68" i="45"/>
  <c r="H94" i="45"/>
  <c r="H93" i="45"/>
  <c r="AN93" i="45"/>
  <c r="AN94" i="45"/>
  <c r="H80" i="45"/>
  <c r="H79" i="45"/>
  <c r="AN80" i="45"/>
  <c r="H81" i="45"/>
  <c r="AN79" i="45"/>
  <c r="AN81" i="45"/>
  <c r="AN110" i="45"/>
  <c r="AN111" i="45"/>
  <c r="H112" i="45"/>
  <c r="AN112" i="45"/>
  <c r="H110" i="45"/>
  <c r="H111" i="45"/>
  <c r="I111" i="45"/>
  <c r="AM116" i="45"/>
  <c r="J71" i="45"/>
  <c r="E349" i="46"/>
  <c r="E350" i="46" s="1"/>
  <c r="E352" i="46" s="1"/>
  <c r="AM118" i="45"/>
  <c r="I110" i="45"/>
  <c r="J72" i="45"/>
  <c r="L34" i="45"/>
  <c r="K36" i="46" s="1"/>
  <c r="K42" i="46" s="1"/>
  <c r="I274" i="48"/>
  <c r="I94" i="45"/>
  <c r="AO93" i="45"/>
  <c r="I93" i="45"/>
  <c r="AO94" i="45"/>
  <c r="H103" i="45"/>
  <c r="AN102" i="45"/>
  <c r="H102" i="45"/>
  <c r="H101" i="45"/>
  <c r="AN103" i="45"/>
  <c r="AN101" i="45"/>
  <c r="C357" i="46"/>
  <c r="C364" i="46" s="1"/>
  <c r="G118" i="45"/>
  <c r="J73" i="45"/>
  <c r="H85" i="48"/>
  <c r="H90" i="48" s="1"/>
  <c r="H83" i="48"/>
  <c r="H88" i="48" s="1"/>
  <c r="H84" i="48"/>
  <c r="H89" i="48" s="1"/>
  <c r="H87" i="48"/>
  <c r="H86" i="48"/>
  <c r="H91" i="48" s="1"/>
  <c r="H103" i="48"/>
  <c r="H108" i="48" s="1"/>
  <c r="H105" i="48"/>
  <c r="H110" i="48" s="1"/>
  <c r="H107" i="48"/>
  <c r="H106" i="48"/>
  <c r="H111" i="48" s="1"/>
  <c r="H104" i="48"/>
  <c r="H109" i="48" s="1"/>
  <c r="K75" i="45"/>
  <c r="J36" i="46"/>
  <c r="J42" i="46" s="1"/>
  <c r="H344" i="46"/>
  <c r="H345" i="46" s="1"/>
  <c r="H321" i="46"/>
  <c r="AM100" i="45"/>
  <c r="F342" i="46"/>
  <c r="G111" i="55" s="1"/>
  <c r="G134" i="55" s="1"/>
  <c r="G157" i="55" s="1"/>
  <c r="F340" i="46"/>
  <c r="G109" i="55" s="1"/>
  <c r="G132" i="55" s="1"/>
  <c r="G155" i="55" s="1"/>
  <c r="F337" i="46"/>
  <c r="F341" i="46"/>
  <c r="G110" i="55" s="1"/>
  <c r="G133" i="55" s="1"/>
  <c r="G156" i="55" s="1"/>
  <c r="F338" i="46"/>
  <c r="F339" i="46"/>
  <c r="G108" i="55" s="1"/>
  <c r="G131" i="55" s="1"/>
  <c r="G154" i="55" s="1"/>
  <c r="AS55" i="45"/>
  <c r="AS56" i="45"/>
  <c r="E352" i="48"/>
  <c r="G114" i="48"/>
  <c r="G119" i="48" s="1"/>
  <c r="G116" i="48"/>
  <c r="G121" i="48" s="1"/>
  <c r="G115" i="48"/>
  <c r="G120" i="48" s="1"/>
  <c r="G113" i="48"/>
  <c r="G118" i="48" s="1"/>
  <c r="G117" i="48"/>
  <c r="G277" i="48"/>
  <c r="AT32" i="45"/>
  <c r="AT29" i="45"/>
  <c r="AT31" i="45"/>
  <c r="AT37" i="45" s="1"/>
  <c r="AT28" i="45"/>
  <c r="AT54" i="45"/>
  <c r="L67" i="45"/>
  <c r="G311" i="48"/>
  <c r="G312" i="48" s="1"/>
  <c r="H278" i="48"/>
  <c r="F328" i="46"/>
  <c r="F329" i="46"/>
  <c r="AO97" i="45"/>
  <c r="I100" i="45"/>
  <c r="H325" i="48"/>
  <c r="H326" i="48"/>
  <c r="H324" i="48"/>
  <c r="H327" i="48"/>
  <c r="N267" i="46"/>
  <c r="N272" i="46" s="1"/>
  <c r="N263" i="48"/>
  <c r="N265" i="46"/>
  <c r="N270" i="46" s="1"/>
  <c r="N266" i="46"/>
  <c r="N271" i="46" s="1"/>
  <c r="N268" i="46"/>
  <c r="N264" i="46"/>
  <c r="N269" i="46" s="1"/>
  <c r="AJ121" i="45"/>
  <c r="AJ128" i="45" s="1"/>
  <c r="I320" i="48"/>
  <c r="I323" i="48"/>
  <c r="G334" i="48"/>
  <c r="G346" i="48" s="1"/>
  <c r="G335" i="48"/>
  <c r="E356" i="46"/>
  <c r="E333" i="46"/>
  <c r="E332" i="46"/>
  <c r="E336" i="46" s="1"/>
  <c r="G107" i="48"/>
  <c r="G104" i="48"/>
  <c r="G109" i="48" s="1"/>
  <c r="G103" i="48"/>
  <c r="G108" i="48" s="1"/>
  <c r="G106" i="48"/>
  <c r="G111" i="48" s="1"/>
  <c r="G105" i="48"/>
  <c r="G110" i="48" s="1"/>
  <c r="AR68" i="45"/>
  <c r="I278" i="46"/>
  <c r="I18" i="52" s="1"/>
  <c r="H311" i="46"/>
  <c r="G87" i="48"/>
  <c r="G84" i="48"/>
  <c r="G89" i="48" s="1"/>
  <c r="G83" i="48"/>
  <c r="G88" i="48" s="1"/>
  <c r="G85" i="48"/>
  <c r="G90" i="48" s="1"/>
  <c r="G86" i="48"/>
  <c r="G91" i="48" s="1"/>
  <c r="F335" i="46"/>
  <c r="F334" i="46"/>
  <c r="F346" i="46" s="1"/>
  <c r="F347" i="46" s="1"/>
  <c r="H115" i="48"/>
  <c r="H120" i="48" s="1"/>
  <c r="H114" i="48"/>
  <c r="H119" i="48" s="1"/>
  <c r="H117" i="48"/>
  <c r="H113" i="48"/>
  <c r="H118" i="48" s="1"/>
  <c r="H116" i="48"/>
  <c r="H121" i="48" s="1"/>
  <c r="H277" i="48"/>
  <c r="D356" i="46"/>
  <c r="G324" i="46"/>
  <c r="G327" i="46"/>
  <c r="G325" i="46"/>
  <c r="G326" i="46"/>
  <c r="I47" i="46"/>
  <c r="I72" i="46"/>
  <c r="I112" i="46"/>
  <c r="I82" i="46"/>
  <c r="I102" i="46"/>
  <c r="G77" i="48"/>
  <c r="G75" i="48"/>
  <c r="G80" i="48" s="1"/>
  <c r="G73" i="48"/>
  <c r="G78" i="48" s="1"/>
  <c r="G76" i="48"/>
  <c r="G81" i="48" s="1"/>
  <c r="G74" i="48"/>
  <c r="G79" i="48" s="1"/>
  <c r="AR67" i="45"/>
  <c r="AR34" i="45"/>
  <c r="K36" i="48" s="1"/>
  <c r="K42" i="48" s="1"/>
  <c r="D333" i="46"/>
  <c r="D332" i="46"/>
  <c r="D336" i="46" s="1"/>
  <c r="D349" i="46"/>
  <c r="D350" i="46" s="1"/>
  <c r="D352" i="46" s="1"/>
  <c r="J47" i="48"/>
  <c r="F332" i="48"/>
  <c r="F336" i="48" s="1"/>
  <c r="F333" i="48"/>
  <c r="F313" i="48"/>
  <c r="F316" i="48"/>
  <c r="F315" i="48"/>
  <c r="F317" i="48"/>
  <c r="F318" i="48"/>
  <c r="F314" i="48"/>
  <c r="H326" i="46"/>
  <c r="H324" i="46"/>
  <c r="H325" i="46"/>
  <c r="H327" i="46"/>
  <c r="E332" i="48"/>
  <c r="E336" i="48" s="1"/>
  <c r="E333" i="48"/>
  <c r="AS35" i="45"/>
  <c r="AS33" i="45"/>
  <c r="G328" i="48"/>
  <c r="G329" i="48"/>
  <c r="G321" i="46"/>
  <c r="G344" i="46"/>
  <c r="G345" i="46" s="1"/>
  <c r="H73" i="48"/>
  <c r="H78" i="48" s="1"/>
  <c r="H74" i="48"/>
  <c r="H79" i="48" s="1"/>
  <c r="H75" i="48"/>
  <c r="H80" i="48" s="1"/>
  <c r="H76" i="48"/>
  <c r="H81" i="48" s="1"/>
  <c r="H77" i="48"/>
  <c r="F344" i="48"/>
  <c r="F345" i="48" s="1"/>
  <c r="F321" i="48"/>
  <c r="CY103" i="55" s="1"/>
  <c r="CY126" i="55" s="1"/>
  <c r="CY149" i="55" s="1"/>
  <c r="AM114" i="45"/>
  <c r="AM78" i="45"/>
  <c r="G315" i="46"/>
  <c r="BT108" i="55" s="1"/>
  <c r="BT131" i="55" s="1"/>
  <c r="BT154" i="55" s="1"/>
  <c r="G316" i="46"/>
  <c r="BT109" i="55" s="1"/>
  <c r="BT132" i="55" s="1"/>
  <c r="BT155" i="55" s="1"/>
  <c r="G314" i="46"/>
  <c r="BT107" i="55" s="1"/>
  <c r="BT130" i="55" s="1"/>
  <c r="BT153" i="55" s="1"/>
  <c r="G313" i="46"/>
  <c r="G318" i="46"/>
  <c r="BT111" i="55" s="1"/>
  <c r="BT134" i="55" s="1"/>
  <c r="BT157" i="55" s="1"/>
  <c r="G317" i="46"/>
  <c r="BT110" i="55" s="1"/>
  <c r="BT133" i="55" s="1"/>
  <c r="BT156" i="55" s="1"/>
  <c r="M33" i="45"/>
  <c r="M35" i="45"/>
  <c r="M30" i="45"/>
  <c r="M55" i="45"/>
  <c r="M56" i="45"/>
  <c r="AQ104" i="45"/>
  <c r="M36" i="45"/>
  <c r="O27" i="45"/>
  <c r="AU27" i="45" s="1"/>
  <c r="N28" i="45"/>
  <c r="N29" i="45"/>
  <c r="N31" i="45"/>
  <c r="N35" i="45" s="1"/>
  <c r="N32" i="45"/>
  <c r="N54" i="45"/>
  <c r="L57" i="45"/>
  <c r="M37" i="45"/>
  <c r="H100" i="45" l="1"/>
  <c r="G115" i="45"/>
  <c r="AK132" i="55"/>
  <c r="I109" i="45"/>
  <c r="O266" i="46"/>
  <c r="O271" i="46" s="1"/>
  <c r="H91" i="45"/>
  <c r="O268" i="46"/>
  <c r="AS67" i="45"/>
  <c r="AL155" i="55"/>
  <c r="CX155" i="55" s="1"/>
  <c r="CX132" i="55"/>
  <c r="AK156" i="55"/>
  <c r="CW156" i="55" s="1"/>
  <c r="CW133" i="55"/>
  <c r="AK157" i="55"/>
  <c r="CW157" i="55" s="1"/>
  <c r="CW134" i="55"/>
  <c r="AK154" i="55"/>
  <c r="CW154" i="55" s="1"/>
  <c r="CW131" i="55"/>
  <c r="AL156" i="55"/>
  <c r="CX156" i="55" s="1"/>
  <c r="CX133" i="55"/>
  <c r="AK155" i="55"/>
  <c r="CW155" i="55" s="1"/>
  <c r="CW132" i="55"/>
  <c r="O264" i="46"/>
  <c r="O269" i="46" s="1"/>
  <c r="O263" i="48"/>
  <c r="AL157" i="55"/>
  <c r="CX157" i="55" s="1"/>
  <c r="CX134" i="55"/>
  <c r="AL154" i="55"/>
  <c r="CX154" i="55" s="1"/>
  <c r="CX131" i="55"/>
  <c r="AJ131" i="45"/>
  <c r="AJ53" i="58" s="1"/>
  <c r="AJ129" i="45"/>
  <c r="AJ43" i="58" s="1"/>
  <c r="AJ130" i="45"/>
  <c r="AJ48" i="58" s="1"/>
  <c r="I117" i="45"/>
  <c r="H117" i="45"/>
  <c r="AO117" i="45"/>
  <c r="AN117" i="45"/>
  <c r="H322" i="46"/>
  <c r="I103" i="55"/>
  <c r="I126" i="55" s="1"/>
  <c r="I149" i="55" s="1"/>
  <c r="F322" i="48"/>
  <c r="F341" i="48" s="1"/>
  <c r="AM110" i="55" s="1"/>
  <c r="AM103" i="55"/>
  <c r="AM126" i="55" s="1"/>
  <c r="AM149" i="55" s="1"/>
  <c r="G322" i="46"/>
  <c r="H103" i="55"/>
  <c r="H126" i="55" s="1"/>
  <c r="H149" i="55" s="1"/>
  <c r="H312" i="46"/>
  <c r="H315" i="46" s="1"/>
  <c r="BU108" i="55" s="1"/>
  <c r="BU131" i="55" s="1"/>
  <c r="BU154" i="55" s="1"/>
  <c r="BU103" i="55"/>
  <c r="BU126" i="55" s="1"/>
  <c r="BU149" i="55" s="1"/>
  <c r="I319" i="46"/>
  <c r="I323" i="46" s="1"/>
  <c r="J319" i="48"/>
  <c r="J320" i="48" s="1"/>
  <c r="O267" i="46"/>
  <c r="O272" i="46" s="1"/>
  <c r="H109" i="45"/>
  <c r="H113" i="45"/>
  <c r="H114" i="45"/>
  <c r="H78" i="45"/>
  <c r="M68" i="45"/>
  <c r="L75" i="45"/>
  <c r="I91" i="45"/>
  <c r="I114" i="45" s="1"/>
  <c r="I113" i="45"/>
  <c r="I78" i="45"/>
  <c r="AK120" i="45"/>
  <c r="AK122" i="45" s="1"/>
  <c r="O105" i="45"/>
  <c r="AU105" i="45" s="1"/>
  <c r="P105" i="45"/>
  <c r="AV105" i="45" s="1"/>
  <c r="AT30" i="45"/>
  <c r="AR60" i="45"/>
  <c r="AR73" i="45" s="1"/>
  <c r="AR70" i="45"/>
  <c r="AS57" i="45"/>
  <c r="AS60" i="45" s="1"/>
  <c r="AO113" i="45"/>
  <c r="AN116" i="45"/>
  <c r="I116" i="45"/>
  <c r="O266" i="48"/>
  <c r="O271" i="48" s="1"/>
  <c r="AN113" i="45"/>
  <c r="O267" i="48"/>
  <c r="O272" i="48" s="1"/>
  <c r="AO116" i="45"/>
  <c r="AR59" i="45"/>
  <c r="AR72" i="45" s="1"/>
  <c r="K40" i="48"/>
  <c r="P46" i="48" s="1"/>
  <c r="J274" i="48"/>
  <c r="K40" i="46"/>
  <c r="P46" i="46" s="1"/>
  <c r="P263" i="46" s="1"/>
  <c r="P265" i="46" s="1"/>
  <c r="P270" i="46" s="1"/>
  <c r="L59" i="45"/>
  <c r="L58" i="45"/>
  <c r="L60" i="45"/>
  <c r="L73" i="45" s="1"/>
  <c r="I118" i="45"/>
  <c r="L70" i="45"/>
  <c r="AT33" i="45"/>
  <c r="AO118" i="45"/>
  <c r="AT36" i="45"/>
  <c r="D119" i="45"/>
  <c r="C366" i="46"/>
  <c r="D104" i="55" s="1"/>
  <c r="D127" i="55" s="1"/>
  <c r="D150" i="55" s="1"/>
  <c r="M34" i="45"/>
  <c r="I274" i="46"/>
  <c r="AN118" i="45"/>
  <c r="H116" i="45"/>
  <c r="H118" i="45"/>
  <c r="K47" i="48"/>
  <c r="J278" i="46"/>
  <c r="J18" i="52" s="1"/>
  <c r="I311" i="46"/>
  <c r="H311" i="48"/>
  <c r="H312" i="48" s="1"/>
  <c r="I278" i="48"/>
  <c r="J47" i="46"/>
  <c r="J112" i="46"/>
  <c r="J102" i="46"/>
  <c r="J82" i="46"/>
  <c r="J72" i="46"/>
  <c r="F347" i="48"/>
  <c r="F348" i="48"/>
  <c r="F349" i="48" s="1"/>
  <c r="F350" i="48" s="1"/>
  <c r="F352" i="48" s="1"/>
  <c r="AS34" i="45"/>
  <c r="L36" i="48" s="1"/>
  <c r="L42" i="48" s="1"/>
  <c r="AS68" i="45"/>
  <c r="G328" i="46"/>
  <c r="G329" i="46"/>
  <c r="N265" i="48"/>
  <c r="N270" i="48" s="1"/>
  <c r="N268" i="48"/>
  <c r="N267" i="48"/>
  <c r="N272" i="48" s="1"/>
  <c r="N266" i="48"/>
  <c r="N271" i="48" s="1"/>
  <c r="N264" i="48"/>
  <c r="N269" i="48" s="1"/>
  <c r="H328" i="48"/>
  <c r="H329" i="48"/>
  <c r="AO100" i="45"/>
  <c r="G316" i="48"/>
  <c r="G317" i="48"/>
  <c r="G313" i="48"/>
  <c r="G318" i="48"/>
  <c r="G315" i="48"/>
  <c r="G314" i="48"/>
  <c r="D364" i="48"/>
  <c r="CW104" i="55" s="1"/>
  <c r="CW127" i="55" s="1"/>
  <c r="CW150" i="55" s="1"/>
  <c r="E357" i="48"/>
  <c r="E364" i="48" s="1"/>
  <c r="M67" i="45"/>
  <c r="M70" i="45" s="1"/>
  <c r="G338" i="46"/>
  <c r="G341" i="46"/>
  <c r="H110" i="55" s="1"/>
  <c r="H133" i="55" s="1"/>
  <c r="H156" i="55" s="1"/>
  <c r="G340" i="46"/>
  <c r="H109" i="55" s="1"/>
  <c r="H132" i="55" s="1"/>
  <c r="H155" i="55" s="1"/>
  <c r="G337" i="46"/>
  <c r="G342" i="46"/>
  <c r="H111" i="55" s="1"/>
  <c r="H134" i="55" s="1"/>
  <c r="H157" i="55" s="1"/>
  <c r="G339" i="46"/>
  <c r="H108" i="55" s="1"/>
  <c r="H131" i="55" s="1"/>
  <c r="H154" i="55" s="1"/>
  <c r="I102" i="48"/>
  <c r="I106" i="46"/>
  <c r="I111" i="46" s="1"/>
  <c r="I103" i="46"/>
  <c r="I108" i="46" s="1"/>
  <c r="I104" i="46"/>
  <c r="I109" i="46" s="1"/>
  <c r="I107" i="46"/>
  <c r="I105" i="46"/>
  <c r="I110" i="46" s="1"/>
  <c r="I320" i="46"/>
  <c r="D357" i="46"/>
  <c r="D366" i="46" s="1"/>
  <c r="AN114" i="45"/>
  <c r="AN78" i="45"/>
  <c r="F331" i="46"/>
  <c r="F330" i="46"/>
  <c r="G344" i="48"/>
  <c r="G345" i="48" s="1"/>
  <c r="G321" i="48"/>
  <c r="CZ103" i="55" s="1"/>
  <c r="CZ126" i="55" s="1"/>
  <c r="CZ149" i="55" s="1"/>
  <c r="K47" i="46"/>
  <c r="K82" i="46"/>
  <c r="K72" i="46"/>
  <c r="K112" i="46"/>
  <c r="K102" i="46"/>
  <c r="AU31" i="45"/>
  <c r="AU32" i="45"/>
  <c r="AU29" i="45"/>
  <c r="AU28" i="45"/>
  <c r="AU35" i="45"/>
  <c r="AU36" i="45"/>
  <c r="AU37" i="45"/>
  <c r="AU54" i="45"/>
  <c r="AN100" i="45"/>
  <c r="H328" i="46"/>
  <c r="H329" i="46"/>
  <c r="I114" i="46"/>
  <c r="I119" i="46" s="1"/>
  <c r="I117" i="46"/>
  <c r="I116" i="46"/>
  <c r="I121" i="46" s="1"/>
  <c r="I113" i="46"/>
  <c r="I118" i="46" s="1"/>
  <c r="I112" i="48"/>
  <c r="I115" i="46"/>
  <c r="I120" i="46" s="1"/>
  <c r="I277" i="46"/>
  <c r="H337" i="46"/>
  <c r="H341" i="46"/>
  <c r="I110" i="55" s="1"/>
  <c r="I133" i="55" s="1"/>
  <c r="I156" i="55" s="1"/>
  <c r="H339" i="46"/>
  <c r="I108" i="55" s="1"/>
  <c r="I131" i="55" s="1"/>
  <c r="I154" i="55" s="1"/>
  <c r="H338" i="46"/>
  <c r="H342" i="46"/>
  <c r="I111" i="55" s="1"/>
  <c r="I134" i="55" s="1"/>
  <c r="I157" i="55" s="1"/>
  <c r="H340" i="46"/>
  <c r="I109" i="55" s="1"/>
  <c r="I132" i="55" s="1"/>
  <c r="I155" i="55" s="1"/>
  <c r="AO114" i="45"/>
  <c r="AO78" i="45"/>
  <c r="G330" i="48"/>
  <c r="G331" i="48"/>
  <c r="H334" i="46"/>
  <c r="H346" i="46" s="1"/>
  <c r="H347" i="46" s="1"/>
  <c r="H335" i="46"/>
  <c r="I72" i="48"/>
  <c r="I76" i="46"/>
  <c r="I81" i="46" s="1"/>
  <c r="I77" i="46"/>
  <c r="I75" i="46"/>
  <c r="I80" i="46" s="1"/>
  <c r="I74" i="46"/>
  <c r="I79" i="46" s="1"/>
  <c r="I73" i="46"/>
  <c r="I78" i="46" s="1"/>
  <c r="L36" i="46"/>
  <c r="L42" i="46" s="1"/>
  <c r="F348" i="46"/>
  <c r="F351" i="46" s="1"/>
  <c r="I83" i="46"/>
  <c r="I88" i="46" s="1"/>
  <c r="I86" i="46"/>
  <c r="I91" i="46" s="1"/>
  <c r="I87" i="46"/>
  <c r="I84" i="46"/>
  <c r="I89" i="46" s="1"/>
  <c r="I82" i="48"/>
  <c r="I85" i="46"/>
  <c r="I90" i="46" s="1"/>
  <c r="G335" i="46"/>
  <c r="G334" i="46"/>
  <c r="G346" i="46" s="1"/>
  <c r="G347" i="46" s="1"/>
  <c r="H344" i="48"/>
  <c r="H345" i="48" s="1"/>
  <c r="H321" i="48"/>
  <c r="DA103" i="55" s="1"/>
  <c r="DA126" i="55" s="1"/>
  <c r="DA149" i="55" s="1"/>
  <c r="E357" i="46"/>
  <c r="E364" i="46" s="1"/>
  <c r="I326" i="48"/>
  <c r="I327" i="48"/>
  <c r="I325" i="48"/>
  <c r="I324" i="48"/>
  <c r="H335" i="48"/>
  <c r="H334" i="48"/>
  <c r="H346" i="48" s="1"/>
  <c r="AT56" i="45"/>
  <c r="AT55" i="45"/>
  <c r="AT35" i="45"/>
  <c r="AM115" i="45"/>
  <c r="N33" i="45"/>
  <c r="N37" i="45"/>
  <c r="AQ75" i="45"/>
  <c r="L104" i="45"/>
  <c r="N36" i="45"/>
  <c r="N30" i="45"/>
  <c r="N55" i="45"/>
  <c r="N56" i="45"/>
  <c r="P27" i="45"/>
  <c r="AV27" i="45" s="1"/>
  <c r="O28" i="45"/>
  <c r="O29" i="45"/>
  <c r="O31" i="45"/>
  <c r="O36" i="45"/>
  <c r="O32" i="45"/>
  <c r="O35" i="45"/>
  <c r="O37" i="45"/>
  <c r="O54" i="45"/>
  <c r="M57" i="45"/>
  <c r="H317" i="46" l="1"/>
  <c r="BU110" i="55" s="1"/>
  <c r="BU133" i="55" s="1"/>
  <c r="BU156" i="55" s="1"/>
  <c r="H318" i="46"/>
  <c r="BU111" i="55" s="1"/>
  <c r="BU134" i="55" s="1"/>
  <c r="BU157" i="55" s="1"/>
  <c r="H316" i="46"/>
  <c r="BU109" i="55" s="1"/>
  <c r="BU132" i="55" s="1"/>
  <c r="BU155" i="55" s="1"/>
  <c r="AS70" i="45"/>
  <c r="H313" i="46"/>
  <c r="H314" i="46"/>
  <c r="BU107" i="55" s="1"/>
  <c r="BU130" i="55" s="1"/>
  <c r="BU153" i="55" s="1"/>
  <c r="J323" i="48"/>
  <c r="F340" i="48"/>
  <c r="AM109" i="55" s="1"/>
  <c r="AM132" i="55" s="1"/>
  <c r="F342" i="48"/>
  <c r="AM111" i="55" s="1"/>
  <c r="CY111" i="55" s="1"/>
  <c r="F339" i="48"/>
  <c r="AM108" i="55" s="1"/>
  <c r="CY108" i="55" s="1"/>
  <c r="F337" i="48"/>
  <c r="AJ49" i="58"/>
  <c r="F338" i="48"/>
  <c r="AM131" i="55"/>
  <c r="AM133" i="55"/>
  <c r="CY110" i="55"/>
  <c r="O265" i="48"/>
  <c r="O270" i="48" s="1"/>
  <c r="O264" i="48"/>
  <c r="O269" i="48" s="1"/>
  <c r="O268" i="48"/>
  <c r="AJ44" i="58"/>
  <c r="AJ54" i="58"/>
  <c r="H322" i="48"/>
  <c r="H342" i="48" s="1"/>
  <c r="AO111" i="55" s="1"/>
  <c r="AO103" i="55"/>
  <c r="AO126" i="55" s="1"/>
  <c r="AO149" i="55" s="1"/>
  <c r="I312" i="46"/>
  <c r="BV103" i="55"/>
  <c r="BV126" i="55" s="1"/>
  <c r="BV149" i="55" s="1"/>
  <c r="D107" i="55"/>
  <c r="D130" i="55" s="1"/>
  <c r="D153" i="55" s="1"/>
  <c r="G322" i="48"/>
  <c r="G341" i="48" s="1"/>
  <c r="AN110" i="55" s="1"/>
  <c r="AN103" i="55"/>
  <c r="AN126" i="55" s="1"/>
  <c r="AN149" i="55" s="1"/>
  <c r="AK104" i="55"/>
  <c r="AK127" i="55" s="1"/>
  <c r="AK150" i="55" s="1"/>
  <c r="AK107" i="55"/>
  <c r="H115" i="45"/>
  <c r="K319" i="46"/>
  <c r="J319" i="46"/>
  <c r="I115" i="45"/>
  <c r="K319" i="48"/>
  <c r="K323" i="48" s="1"/>
  <c r="AT34" i="45"/>
  <c r="M36" i="48" s="1"/>
  <c r="M42" i="48" s="1"/>
  <c r="M75" i="45"/>
  <c r="J76" i="45"/>
  <c r="J78" i="45" s="1"/>
  <c r="J97" i="45"/>
  <c r="E120" i="45"/>
  <c r="E122" i="45" s="1"/>
  <c r="J106" i="45"/>
  <c r="AL119" i="45"/>
  <c r="D120" i="45"/>
  <c r="D122" i="45" s="1"/>
  <c r="J90" i="45"/>
  <c r="AP90" i="45" s="1"/>
  <c r="AP91" i="45" s="1"/>
  <c r="AK119" i="45"/>
  <c r="AK124" i="45" s="1"/>
  <c r="AO115" i="45"/>
  <c r="L40" i="48"/>
  <c r="Q46" i="48" s="1"/>
  <c r="AS58" i="45"/>
  <c r="AS71" i="45" s="1"/>
  <c r="E366" i="48"/>
  <c r="AL104" i="55" s="1"/>
  <c r="AL127" i="55" s="1"/>
  <c r="AL150" i="55" s="1"/>
  <c r="AS59" i="45"/>
  <c r="P264" i="46"/>
  <c r="P269" i="46" s="1"/>
  <c r="D364" i="46"/>
  <c r="P266" i="46"/>
  <c r="P271" i="46" s="1"/>
  <c r="J274" i="46"/>
  <c r="AN115" i="45"/>
  <c r="AT68" i="45"/>
  <c r="P263" i="48"/>
  <c r="P267" i="48" s="1"/>
  <c r="P272" i="48" s="1"/>
  <c r="P268" i="46"/>
  <c r="H348" i="46"/>
  <c r="H349" i="46" s="1"/>
  <c r="H350" i="46" s="1"/>
  <c r="P267" i="46"/>
  <c r="P272" i="46" s="1"/>
  <c r="J81" i="45"/>
  <c r="AP81" i="45"/>
  <c r="J80" i="45"/>
  <c r="AP79" i="45"/>
  <c r="J79" i="45"/>
  <c r="AP80" i="45"/>
  <c r="L40" i="46"/>
  <c r="Q46" i="46" s="1"/>
  <c r="Q263" i="46" s="1"/>
  <c r="Q268" i="46" s="1"/>
  <c r="M58" i="45"/>
  <c r="M60" i="45"/>
  <c r="M59" i="45"/>
  <c r="AP106" i="45"/>
  <c r="AP109" i="45" s="1"/>
  <c r="J109" i="45"/>
  <c r="AU33" i="45"/>
  <c r="AS73" i="45"/>
  <c r="C368" i="46"/>
  <c r="L72" i="45"/>
  <c r="L71" i="45"/>
  <c r="AT57" i="45"/>
  <c r="M40" i="48" s="1"/>
  <c r="R46" i="48" s="1"/>
  <c r="J94" i="45"/>
  <c r="AP93" i="45"/>
  <c r="J93" i="45"/>
  <c r="AP94" i="45"/>
  <c r="AP102" i="45"/>
  <c r="J103" i="45"/>
  <c r="AP101" i="45"/>
  <c r="J102" i="45"/>
  <c r="AP103" i="45"/>
  <c r="J101" i="45"/>
  <c r="AU30" i="45"/>
  <c r="AU34" i="45" s="1"/>
  <c r="N36" i="48" s="1"/>
  <c r="N42" i="48" s="1"/>
  <c r="K274" i="46"/>
  <c r="AP110" i="45"/>
  <c r="AP111" i="45"/>
  <c r="AP112" i="45"/>
  <c r="J112" i="45"/>
  <c r="J111" i="45"/>
  <c r="J110" i="45"/>
  <c r="C373" i="46"/>
  <c r="AS72" i="45"/>
  <c r="F119" i="45"/>
  <c r="H348" i="48"/>
  <c r="H349" i="48" s="1"/>
  <c r="H350" i="48" s="1"/>
  <c r="H347" i="48"/>
  <c r="I86" i="48"/>
  <c r="I91" i="48" s="1"/>
  <c r="I83" i="48"/>
  <c r="I88" i="48" s="1"/>
  <c r="I85" i="48"/>
  <c r="I90" i="48" s="1"/>
  <c r="I87" i="48"/>
  <c r="I84" i="48"/>
  <c r="I89" i="48" s="1"/>
  <c r="I77" i="48"/>
  <c r="I73" i="48"/>
  <c r="I78" i="48" s="1"/>
  <c r="I74" i="48"/>
  <c r="I79" i="48" s="1"/>
  <c r="I76" i="48"/>
  <c r="I81" i="48" s="1"/>
  <c r="I75" i="48"/>
  <c r="I80" i="48" s="1"/>
  <c r="F356" i="46"/>
  <c r="H331" i="46"/>
  <c r="H330" i="46"/>
  <c r="AU56" i="45"/>
  <c r="AU55" i="45"/>
  <c r="K72" i="48"/>
  <c r="K73" i="46"/>
  <c r="K78" i="46" s="1"/>
  <c r="K76" i="46"/>
  <c r="K81" i="46" s="1"/>
  <c r="K75" i="46"/>
  <c r="K80" i="46" s="1"/>
  <c r="K77" i="46"/>
  <c r="K74" i="46"/>
  <c r="K79" i="46" s="1"/>
  <c r="F332" i="46"/>
  <c r="F336" i="46" s="1"/>
  <c r="F333" i="46"/>
  <c r="H331" i="48"/>
  <c r="H330" i="48"/>
  <c r="G330" i="46"/>
  <c r="G331" i="46"/>
  <c r="M47" i="48"/>
  <c r="F349" i="46"/>
  <c r="F350" i="46" s="1"/>
  <c r="F352" i="46" s="1"/>
  <c r="I329" i="48"/>
  <c r="I328" i="48"/>
  <c r="I344" i="46"/>
  <c r="I345" i="46" s="1"/>
  <c r="I321" i="46"/>
  <c r="K84" i="46"/>
  <c r="K89" i="46" s="1"/>
  <c r="K82" i="48"/>
  <c r="K85" i="46"/>
  <c r="K90" i="46" s="1"/>
  <c r="K87" i="46"/>
  <c r="K86" i="46"/>
  <c r="K91" i="46" s="1"/>
  <c r="K83" i="46"/>
  <c r="K88" i="46" s="1"/>
  <c r="G342" i="48"/>
  <c r="AN111" i="55" s="1"/>
  <c r="I105" i="48"/>
  <c r="I110" i="48" s="1"/>
  <c r="I103" i="48"/>
  <c r="I108" i="48" s="1"/>
  <c r="I104" i="48"/>
  <c r="I109" i="48" s="1"/>
  <c r="I107" i="48"/>
  <c r="I106" i="48"/>
  <c r="I111" i="48" s="1"/>
  <c r="D368" i="48"/>
  <c r="D373" i="48"/>
  <c r="J115" i="46"/>
  <c r="J120" i="46" s="1"/>
  <c r="J116" i="46"/>
  <c r="J121" i="46" s="1"/>
  <c r="J114" i="46"/>
  <c r="J119" i="46" s="1"/>
  <c r="J117" i="46"/>
  <c r="J112" i="48"/>
  <c r="J113" i="46"/>
  <c r="J118" i="46" s="1"/>
  <c r="J277" i="46"/>
  <c r="I311" i="48"/>
  <c r="I312" i="48" s="1"/>
  <c r="J278" i="48"/>
  <c r="I317" i="46"/>
  <c r="BV110" i="55" s="1"/>
  <c r="BV133" i="55" s="1"/>
  <c r="BV156" i="55" s="1"/>
  <c r="I318" i="46"/>
  <c r="BV111" i="55" s="1"/>
  <c r="BV134" i="55" s="1"/>
  <c r="BV157" i="55" s="1"/>
  <c r="I316" i="46"/>
  <c r="BV109" i="55" s="1"/>
  <c r="BV132" i="55" s="1"/>
  <c r="BV155" i="55" s="1"/>
  <c r="I314" i="46"/>
  <c r="BV107" i="55" s="1"/>
  <c r="BV130" i="55" s="1"/>
  <c r="BV153" i="55" s="1"/>
  <c r="I315" i="46"/>
  <c r="BV108" i="55" s="1"/>
  <c r="BV131" i="55" s="1"/>
  <c r="BV154" i="55" s="1"/>
  <c r="I313" i="46"/>
  <c r="G333" i="48"/>
  <c r="G332" i="48"/>
  <c r="G336" i="48" s="1"/>
  <c r="I114" i="48"/>
  <c r="I119" i="48" s="1"/>
  <c r="I117" i="48"/>
  <c r="I113" i="48"/>
  <c r="I118" i="48" s="1"/>
  <c r="I116" i="48"/>
  <c r="I121" i="48" s="1"/>
  <c r="I115" i="48"/>
  <c r="I120" i="48" s="1"/>
  <c r="I277" i="48"/>
  <c r="K116" i="46"/>
  <c r="K121" i="46" s="1"/>
  <c r="K115" i="46"/>
  <c r="K120" i="46" s="1"/>
  <c r="K113" i="46"/>
  <c r="K118" i="46" s="1"/>
  <c r="K112" i="48"/>
  <c r="K114" i="46"/>
  <c r="K119" i="46" s="1"/>
  <c r="K117" i="46"/>
  <c r="K277" i="46"/>
  <c r="I326" i="46"/>
  <c r="I327" i="46"/>
  <c r="I325" i="46"/>
  <c r="I324" i="46"/>
  <c r="L47" i="48"/>
  <c r="J82" i="48"/>
  <c r="J84" i="46"/>
  <c r="J89" i="46" s="1"/>
  <c r="J86" i="46"/>
  <c r="J91" i="46" s="1"/>
  <c r="J83" i="46"/>
  <c r="J88" i="46" s="1"/>
  <c r="J87" i="46"/>
  <c r="J85" i="46"/>
  <c r="J90" i="46" s="1"/>
  <c r="AT67" i="45"/>
  <c r="AV28" i="45"/>
  <c r="AV37" i="45"/>
  <c r="AV36" i="45"/>
  <c r="AV31" i="45"/>
  <c r="AV32" i="45"/>
  <c r="AV29" i="45"/>
  <c r="AV35" i="45"/>
  <c r="AV54" i="45"/>
  <c r="I335" i="48"/>
  <c r="I334" i="48"/>
  <c r="I346" i="48" s="1"/>
  <c r="D368" i="46"/>
  <c r="G348" i="46"/>
  <c r="G351" i="46" s="1"/>
  <c r="J104" i="46"/>
  <c r="J109" i="46" s="1"/>
  <c r="J105" i="46"/>
  <c r="J110" i="46" s="1"/>
  <c r="J103" i="46"/>
  <c r="J108" i="46" s="1"/>
  <c r="J102" i="48"/>
  <c r="J106" i="46"/>
  <c r="J111" i="46" s="1"/>
  <c r="J107" i="46"/>
  <c r="K274" i="48"/>
  <c r="O33" i="45"/>
  <c r="N68" i="45"/>
  <c r="E366" i="46"/>
  <c r="F104" i="55" s="1"/>
  <c r="F127" i="55" s="1"/>
  <c r="F150" i="55" s="1"/>
  <c r="H337" i="48"/>
  <c r="L47" i="46"/>
  <c r="L102" i="46"/>
  <c r="L112" i="46"/>
  <c r="L72" i="46"/>
  <c r="L82" i="46"/>
  <c r="AP97" i="45"/>
  <c r="J100" i="45"/>
  <c r="K103" i="46"/>
  <c r="K108" i="46" s="1"/>
  <c r="K107" i="46"/>
  <c r="K102" i="48"/>
  <c r="K104" i="46"/>
  <c r="K109" i="46" s="1"/>
  <c r="K106" i="46"/>
  <c r="K111" i="46" s="1"/>
  <c r="K105" i="46"/>
  <c r="K110" i="46" s="1"/>
  <c r="K323" i="46"/>
  <c r="K320" i="46"/>
  <c r="G347" i="48"/>
  <c r="G348" i="48"/>
  <c r="G349" i="48" s="1"/>
  <c r="G350" i="48" s="1"/>
  <c r="G352" i="48" s="1"/>
  <c r="J327" i="48"/>
  <c r="J324" i="48"/>
  <c r="J326" i="48"/>
  <c r="J325" i="48"/>
  <c r="F351" i="48"/>
  <c r="J72" i="48"/>
  <c r="J75" i="46"/>
  <c r="J80" i="46" s="1"/>
  <c r="J77" i="46"/>
  <c r="J74" i="46"/>
  <c r="J79" i="46" s="1"/>
  <c r="J73" i="46"/>
  <c r="J78" i="46" s="1"/>
  <c r="J76" i="46"/>
  <c r="J81" i="46" s="1"/>
  <c r="J323" i="46"/>
  <c r="J320" i="46"/>
  <c r="H316" i="48"/>
  <c r="H313" i="48"/>
  <c r="H317" i="48"/>
  <c r="H315" i="48"/>
  <c r="H318" i="48"/>
  <c r="H314" i="48"/>
  <c r="K278" i="46"/>
  <c r="K18" i="52" s="1"/>
  <c r="J311" i="46"/>
  <c r="N57" i="45"/>
  <c r="O30" i="45"/>
  <c r="AS104" i="45"/>
  <c r="P32" i="45"/>
  <c r="Q27" i="45"/>
  <c r="AW27" i="45" s="1"/>
  <c r="P29" i="45"/>
  <c r="P31" i="45"/>
  <c r="P37" i="45"/>
  <c r="P28" i="45"/>
  <c r="P36" i="45"/>
  <c r="P35" i="45"/>
  <c r="P54" i="45"/>
  <c r="N67" i="45"/>
  <c r="N34" i="45"/>
  <c r="O55" i="45"/>
  <c r="O56" i="45"/>
  <c r="AR75" i="45"/>
  <c r="M104" i="45"/>
  <c r="AR104" i="45"/>
  <c r="H340" i="48" l="1"/>
  <c r="AO109" i="55" s="1"/>
  <c r="CY109" i="55"/>
  <c r="H338" i="48"/>
  <c r="H341" i="48"/>
  <c r="AO110" i="55" s="1"/>
  <c r="DA110" i="55" s="1"/>
  <c r="H339" i="48"/>
  <c r="AO108" i="55" s="1"/>
  <c r="AM134" i="55"/>
  <c r="G337" i="48"/>
  <c r="G340" i="48"/>
  <c r="AN109" i="55" s="1"/>
  <c r="AN132" i="55" s="1"/>
  <c r="G339" i="48"/>
  <c r="AN108" i="55" s="1"/>
  <c r="AN131" i="55" s="1"/>
  <c r="J117" i="45"/>
  <c r="G338" i="48"/>
  <c r="D121" i="45"/>
  <c r="D128" i="45" s="1"/>
  <c r="D129" i="45" s="1"/>
  <c r="D43" i="58" s="1"/>
  <c r="K320" i="48"/>
  <c r="AP117" i="45"/>
  <c r="CX104" i="55"/>
  <c r="CX127" i="55" s="1"/>
  <c r="CX150" i="55" s="1"/>
  <c r="AO133" i="55"/>
  <c r="AM156" i="55"/>
  <c r="CY156" i="55" s="1"/>
  <c r="CY133" i="55"/>
  <c r="AO131" i="55"/>
  <c r="DA108" i="55"/>
  <c r="AO134" i="55"/>
  <c r="DA111" i="55"/>
  <c r="AN133" i="55"/>
  <c r="CZ110" i="55"/>
  <c r="AK130" i="55"/>
  <c r="CW107" i="55"/>
  <c r="AO132" i="55"/>
  <c r="DA109" i="55"/>
  <c r="AM157" i="55"/>
  <c r="CY157" i="55" s="1"/>
  <c r="CY134" i="55"/>
  <c r="AN134" i="55"/>
  <c r="CZ111" i="55"/>
  <c r="AM155" i="55"/>
  <c r="CY155" i="55" s="1"/>
  <c r="CY132" i="55"/>
  <c r="AM154" i="55"/>
  <c r="CY154" i="55" s="1"/>
  <c r="CY131" i="55"/>
  <c r="E104" i="55"/>
  <c r="E127" i="55" s="1"/>
  <c r="E150" i="55" s="1"/>
  <c r="E107" i="55"/>
  <c r="E130" i="55" s="1"/>
  <c r="E153" i="55" s="1"/>
  <c r="AK123" i="45"/>
  <c r="AL107" i="55"/>
  <c r="F107" i="55"/>
  <c r="F130" i="55" s="1"/>
  <c r="F153" i="55" s="1"/>
  <c r="J312" i="46"/>
  <c r="BW103" i="55"/>
  <c r="BW126" i="55" s="1"/>
  <c r="BW149" i="55" s="1"/>
  <c r="I322" i="46"/>
  <c r="I338" i="46" s="1"/>
  <c r="J103" i="55"/>
  <c r="J126" i="55" s="1"/>
  <c r="J149" i="55" s="1"/>
  <c r="D123" i="45"/>
  <c r="L319" i="46"/>
  <c r="L320" i="46" s="1"/>
  <c r="M319" i="48"/>
  <c r="L319" i="48"/>
  <c r="AP76" i="45"/>
  <c r="J91" i="45"/>
  <c r="J114" i="45" s="1"/>
  <c r="J113" i="45"/>
  <c r="D124" i="45"/>
  <c r="K106" i="45"/>
  <c r="L90" i="45"/>
  <c r="L91" i="45" s="1"/>
  <c r="R105" i="45"/>
  <c r="AX105" i="45" s="1"/>
  <c r="Q105" i="45"/>
  <c r="AW105" i="45" s="1"/>
  <c r="K76" i="45"/>
  <c r="AQ76" i="45" s="1"/>
  <c r="L106" i="45"/>
  <c r="AR106" i="45" s="1"/>
  <c r="AR109" i="45" s="1"/>
  <c r="K97" i="45"/>
  <c r="AQ97" i="45" s="1"/>
  <c r="AL120" i="45"/>
  <c r="AL122" i="45" s="1"/>
  <c r="L76" i="45"/>
  <c r="AR76" i="45" s="1"/>
  <c r="D373" i="46"/>
  <c r="K90" i="45"/>
  <c r="AQ90" i="45" s="1"/>
  <c r="AQ91" i="45" s="1"/>
  <c r="L97" i="45"/>
  <c r="P266" i="48"/>
  <c r="P271" i="48" s="1"/>
  <c r="P265" i="48"/>
  <c r="P270" i="48" s="1"/>
  <c r="P268" i="48"/>
  <c r="E368" i="48"/>
  <c r="P264" i="48"/>
  <c r="P269" i="48" s="1"/>
  <c r="E373" i="48"/>
  <c r="AL125" i="45" s="1"/>
  <c r="N70" i="45"/>
  <c r="E119" i="45"/>
  <c r="E121" i="45" s="1"/>
  <c r="E128" i="45" s="1"/>
  <c r="H351" i="46"/>
  <c r="H356" i="46" s="1"/>
  <c r="AT70" i="45"/>
  <c r="AU57" i="45"/>
  <c r="N40" i="48" s="1"/>
  <c r="S46" i="48" s="1"/>
  <c r="Q264" i="46"/>
  <c r="Q269" i="46" s="1"/>
  <c r="L111" i="45"/>
  <c r="AP116" i="45"/>
  <c r="O67" i="45"/>
  <c r="Q263" i="48"/>
  <c r="Q268" i="48" s="1"/>
  <c r="O68" i="45"/>
  <c r="Q267" i="46"/>
  <c r="Q272" i="46" s="1"/>
  <c r="AU68" i="45"/>
  <c r="H352" i="46"/>
  <c r="Q266" i="46"/>
  <c r="Q271" i="46" s="1"/>
  <c r="Q265" i="46"/>
  <c r="Q270" i="46" s="1"/>
  <c r="D374" i="48"/>
  <c r="AK125" i="45"/>
  <c r="AR81" i="45"/>
  <c r="AR79" i="45"/>
  <c r="L80" i="45"/>
  <c r="L81" i="45"/>
  <c r="L79" i="45"/>
  <c r="AR80" i="45"/>
  <c r="L110" i="45"/>
  <c r="P30" i="45"/>
  <c r="K112" i="45"/>
  <c r="AQ112" i="45"/>
  <c r="K111" i="45"/>
  <c r="AQ110" i="45"/>
  <c r="K110" i="45"/>
  <c r="AQ111" i="45"/>
  <c r="AV30" i="45"/>
  <c r="K94" i="45"/>
  <c r="K93" i="45"/>
  <c r="AQ93" i="45"/>
  <c r="AQ94" i="45"/>
  <c r="K103" i="45"/>
  <c r="K102" i="45"/>
  <c r="AQ101" i="45"/>
  <c r="AQ102" i="45"/>
  <c r="AQ103" i="45"/>
  <c r="K101" i="45"/>
  <c r="L94" i="45"/>
  <c r="AR93" i="45"/>
  <c r="L93" i="45"/>
  <c r="AR94" i="45"/>
  <c r="M71" i="45"/>
  <c r="AP113" i="45"/>
  <c r="AQ106" i="45"/>
  <c r="AQ109" i="45" s="1"/>
  <c r="K109" i="45"/>
  <c r="AU67" i="45"/>
  <c r="AV33" i="45"/>
  <c r="AT60" i="45"/>
  <c r="AT59" i="45"/>
  <c r="AT58" i="45"/>
  <c r="AP118" i="45"/>
  <c r="M73" i="45"/>
  <c r="N104" i="45"/>
  <c r="N58" i="45"/>
  <c r="N60" i="45"/>
  <c r="N73" i="45" s="1"/>
  <c r="N59" i="45"/>
  <c r="K79" i="45"/>
  <c r="K80" i="45"/>
  <c r="AQ79" i="45"/>
  <c r="AQ81" i="45"/>
  <c r="K81" i="45"/>
  <c r="AQ80" i="45"/>
  <c r="AR112" i="45"/>
  <c r="AR111" i="45"/>
  <c r="AR110" i="45"/>
  <c r="L102" i="45"/>
  <c r="AR102" i="45"/>
  <c r="L103" i="45"/>
  <c r="AR103" i="45"/>
  <c r="L101" i="45"/>
  <c r="AR101" i="45"/>
  <c r="G349" i="46"/>
  <c r="G350" i="46" s="1"/>
  <c r="G352" i="46" s="1"/>
  <c r="H352" i="48"/>
  <c r="C374" i="46"/>
  <c r="D125" i="45"/>
  <c r="M72" i="45"/>
  <c r="L109" i="45"/>
  <c r="L112" i="45"/>
  <c r="J116" i="45"/>
  <c r="J118" i="45"/>
  <c r="N47" i="48"/>
  <c r="AR90" i="45"/>
  <c r="AR91" i="45" s="1"/>
  <c r="G332" i="46"/>
  <c r="G336" i="46" s="1"/>
  <c r="G333" i="46"/>
  <c r="H333" i="46"/>
  <c r="H332" i="46"/>
  <c r="H336" i="46" s="1"/>
  <c r="N75" i="45"/>
  <c r="M36" i="46"/>
  <c r="M42" i="46" s="1"/>
  <c r="J76" i="48"/>
  <c r="J81" i="48" s="1"/>
  <c r="J74" i="48"/>
  <c r="J79" i="48" s="1"/>
  <c r="J73" i="48"/>
  <c r="J78" i="48" s="1"/>
  <c r="J77" i="48"/>
  <c r="J75" i="48"/>
  <c r="J80" i="48" s="1"/>
  <c r="J335" i="48"/>
  <c r="J334" i="48"/>
  <c r="J346" i="48" s="1"/>
  <c r="L112" i="48"/>
  <c r="L114" i="46"/>
  <c r="L119" i="46" s="1"/>
  <c r="L115" i="46"/>
  <c r="L120" i="46" s="1"/>
  <c r="L117" i="46"/>
  <c r="L116" i="46"/>
  <c r="L121" i="46" s="1"/>
  <c r="L113" i="46"/>
  <c r="L118" i="46" s="1"/>
  <c r="L277" i="46"/>
  <c r="J84" i="48"/>
  <c r="J89" i="48" s="1"/>
  <c r="J86" i="48"/>
  <c r="J91" i="48" s="1"/>
  <c r="J87" i="48"/>
  <c r="J85" i="48"/>
  <c r="J90" i="48" s="1"/>
  <c r="J83" i="48"/>
  <c r="J88" i="48" s="1"/>
  <c r="I329" i="46"/>
  <c r="I328" i="46"/>
  <c r="K115" i="48"/>
  <c r="K120" i="48" s="1"/>
  <c r="K113" i="48"/>
  <c r="K118" i="48" s="1"/>
  <c r="K117" i="48"/>
  <c r="K114" i="48"/>
  <c r="K119" i="48" s="1"/>
  <c r="K116" i="48"/>
  <c r="K121" i="48" s="1"/>
  <c r="K277" i="48"/>
  <c r="J344" i="46"/>
  <c r="J345" i="46" s="1"/>
  <c r="J321" i="46"/>
  <c r="AP114" i="45"/>
  <c r="AP78" i="45"/>
  <c r="M274" i="48"/>
  <c r="H332" i="48"/>
  <c r="H336" i="48" s="1"/>
  <c r="H333" i="48"/>
  <c r="AP100" i="45"/>
  <c r="L72" i="48"/>
  <c r="L76" i="46"/>
  <c r="L81" i="46" s="1"/>
  <c r="L75" i="46"/>
  <c r="L80" i="46" s="1"/>
  <c r="L77" i="46"/>
  <c r="L74" i="46"/>
  <c r="L79" i="46" s="1"/>
  <c r="L73" i="46"/>
  <c r="L78" i="46" s="1"/>
  <c r="J106" i="48"/>
  <c r="J111" i="48" s="1"/>
  <c r="J107" i="48"/>
  <c r="J103" i="48"/>
  <c r="J108" i="48" s="1"/>
  <c r="J104" i="48"/>
  <c r="J109" i="48" s="1"/>
  <c r="J105" i="48"/>
  <c r="J110" i="48" s="1"/>
  <c r="K324" i="48"/>
  <c r="K326" i="48"/>
  <c r="K325" i="48"/>
  <c r="K327" i="48"/>
  <c r="I335" i="46"/>
  <c r="I334" i="46"/>
  <c r="I346" i="46" s="1"/>
  <c r="I347" i="46" s="1"/>
  <c r="I314" i="48"/>
  <c r="I318" i="48"/>
  <c r="I316" i="48"/>
  <c r="I315" i="48"/>
  <c r="I317" i="48"/>
  <c r="I313" i="48"/>
  <c r="K77" i="48"/>
  <c r="K74" i="48"/>
  <c r="K79" i="48" s="1"/>
  <c r="K76" i="48"/>
  <c r="K81" i="48" s="1"/>
  <c r="K75" i="48"/>
  <c r="K80" i="48" s="1"/>
  <c r="K73" i="48"/>
  <c r="K78" i="48" s="1"/>
  <c r="F357" i="46"/>
  <c r="F364" i="46" s="1"/>
  <c r="AW37" i="45"/>
  <c r="AW32" i="45"/>
  <c r="AW29" i="45"/>
  <c r="AW31" i="45"/>
  <c r="AW36" i="45"/>
  <c r="AW28" i="45"/>
  <c r="AW35" i="45"/>
  <c r="AW54" i="45"/>
  <c r="O34" i="45"/>
  <c r="J316" i="46"/>
  <c r="BW109" i="55" s="1"/>
  <c r="BW132" i="55" s="1"/>
  <c r="BW155" i="55" s="1"/>
  <c r="J314" i="46"/>
  <c r="BW107" i="55" s="1"/>
  <c r="BW130" i="55" s="1"/>
  <c r="BW153" i="55" s="1"/>
  <c r="J315" i="46"/>
  <c r="BW108" i="55" s="1"/>
  <c r="BW131" i="55" s="1"/>
  <c r="BW154" i="55" s="1"/>
  <c r="J318" i="46"/>
  <c r="BW111" i="55" s="1"/>
  <c r="BW134" i="55" s="1"/>
  <c r="BW157" i="55" s="1"/>
  <c r="J313" i="46"/>
  <c r="J317" i="46"/>
  <c r="BW110" i="55" s="1"/>
  <c r="BW133" i="55" s="1"/>
  <c r="BW156" i="55" s="1"/>
  <c r="F356" i="48"/>
  <c r="F357" i="48" s="1"/>
  <c r="F364" i="48" s="1"/>
  <c r="L274" i="46"/>
  <c r="L103" i="46"/>
  <c r="L108" i="46" s="1"/>
  <c r="L104" i="46"/>
  <c r="L109" i="46" s="1"/>
  <c r="L106" i="46"/>
  <c r="L111" i="46" s="1"/>
  <c r="L107" i="46"/>
  <c r="L102" i="48"/>
  <c r="L105" i="46"/>
  <c r="L110" i="46" s="1"/>
  <c r="E368" i="46"/>
  <c r="F120" i="45"/>
  <c r="F122" i="45" s="1"/>
  <c r="G356" i="46"/>
  <c r="G357" i="46" s="1"/>
  <c r="G364" i="46" s="1"/>
  <c r="L274" i="48"/>
  <c r="K321" i="46"/>
  <c r="K344" i="46"/>
  <c r="K345" i="46" s="1"/>
  <c r="K84" i="48"/>
  <c r="K89" i="48" s="1"/>
  <c r="K83" i="48"/>
  <c r="K88" i="48" s="1"/>
  <c r="K87" i="48"/>
  <c r="K86" i="48"/>
  <c r="K91" i="48" s="1"/>
  <c r="K85" i="48"/>
  <c r="K90" i="48" s="1"/>
  <c r="M320" i="48"/>
  <c r="M323" i="48"/>
  <c r="H351" i="48"/>
  <c r="E373" i="46"/>
  <c r="M40" i="46"/>
  <c r="R46" i="46" s="1"/>
  <c r="R263" i="46" s="1"/>
  <c r="K311" i="46"/>
  <c r="L278" i="46"/>
  <c r="L18" i="52" s="1"/>
  <c r="J324" i="46"/>
  <c r="J325" i="46"/>
  <c r="J326" i="46"/>
  <c r="J327" i="46"/>
  <c r="J328" i="48"/>
  <c r="J329" i="48"/>
  <c r="G351" i="48"/>
  <c r="K326" i="46"/>
  <c r="K324" i="46"/>
  <c r="K327" i="46"/>
  <c r="K325" i="46"/>
  <c r="K104" i="48"/>
  <c r="K109" i="48" s="1"/>
  <c r="K107" i="48"/>
  <c r="K106" i="48"/>
  <c r="K111" i="48" s="1"/>
  <c r="K103" i="48"/>
  <c r="K108" i="48" s="1"/>
  <c r="K105" i="48"/>
  <c r="K110" i="48" s="1"/>
  <c r="L86" i="46"/>
  <c r="L91" i="46" s="1"/>
  <c r="L83" i="46"/>
  <c r="L88" i="46" s="1"/>
  <c r="L85" i="46"/>
  <c r="L90" i="46" s="1"/>
  <c r="L84" i="46"/>
  <c r="L89" i="46" s="1"/>
  <c r="L87" i="46"/>
  <c r="L82" i="48"/>
  <c r="L323" i="46"/>
  <c r="AV55" i="45"/>
  <c r="AV56" i="45"/>
  <c r="L320" i="48"/>
  <c r="L323" i="48"/>
  <c r="AR97" i="45"/>
  <c r="L100" i="45"/>
  <c r="I321" i="48"/>
  <c r="DB103" i="55" s="1"/>
  <c r="DB126" i="55" s="1"/>
  <c r="DB149" i="55" s="1"/>
  <c r="I344" i="48"/>
  <c r="I345" i="48" s="1"/>
  <c r="K278" i="48"/>
  <c r="J311" i="48"/>
  <c r="J312" i="48" s="1"/>
  <c r="J113" i="48"/>
  <c r="J118" i="48" s="1"/>
  <c r="J116" i="48"/>
  <c r="J121" i="48" s="1"/>
  <c r="J114" i="48"/>
  <c r="J119" i="48" s="1"/>
  <c r="J115" i="48"/>
  <c r="J120" i="48" s="1"/>
  <c r="J117" i="48"/>
  <c r="J277" i="48"/>
  <c r="I331" i="48"/>
  <c r="I330" i="48"/>
  <c r="O57" i="45"/>
  <c r="AT104" i="45"/>
  <c r="AS75" i="45"/>
  <c r="P55" i="45"/>
  <c r="P56" i="45"/>
  <c r="Q28" i="45"/>
  <c r="Q32" i="45"/>
  <c r="Q29" i="45"/>
  <c r="Q35" i="45"/>
  <c r="Q37" i="45"/>
  <c r="R27" i="45"/>
  <c r="AX27" i="45" s="1"/>
  <c r="Q31" i="45"/>
  <c r="Q36" i="45"/>
  <c r="Q54" i="45"/>
  <c r="AT75" i="45"/>
  <c r="P33" i="45"/>
  <c r="I337" i="46" l="1"/>
  <c r="AU58" i="45"/>
  <c r="AU71" i="45" s="1"/>
  <c r="D130" i="45"/>
  <c r="D48" i="58" s="1"/>
  <c r="D131" i="45"/>
  <c r="D53" i="58" s="1"/>
  <c r="CZ109" i="55"/>
  <c r="J115" i="45"/>
  <c r="I342" i="46"/>
  <c r="J111" i="55" s="1"/>
  <c r="J134" i="55" s="1"/>
  <c r="J157" i="55" s="1"/>
  <c r="K100" i="45"/>
  <c r="I340" i="46"/>
  <c r="J109" i="55" s="1"/>
  <c r="J132" i="55" s="1"/>
  <c r="J155" i="55" s="1"/>
  <c r="I341" i="46"/>
  <c r="J110" i="55" s="1"/>
  <c r="J133" i="55" s="1"/>
  <c r="J156" i="55" s="1"/>
  <c r="I339" i="46"/>
  <c r="J108" i="55" s="1"/>
  <c r="J131" i="55" s="1"/>
  <c r="J154" i="55" s="1"/>
  <c r="CZ108" i="55"/>
  <c r="AR117" i="45"/>
  <c r="AK153" i="55"/>
  <c r="CW153" i="55" s="1"/>
  <c r="CW130" i="55"/>
  <c r="AN154" i="55"/>
  <c r="CZ154" i="55" s="1"/>
  <c r="CZ131" i="55"/>
  <c r="AN157" i="55"/>
  <c r="CZ157" i="55" s="1"/>
  <c r="CZ134" i="55"/>
  <c r="AN156" i="55"/>
  <c r="CZ156" i="55" s="1"/>
  <c r="CZ133" i="55"/>
  <c r="AO154" i="55"/>
  <c r="DA154" i="55" s="1"/>
  <c r="DA131" i="55"/>
  <c r="AO157" i="55"/>
  <c r="DA157" i="55" s="1"/>
  <c r="DA134" i="55"/>
  <c r="AO156" i="55"/>
  <c r="DA156" i="55" s="1"/>
  <c r="DA133" i="55"/>
  <c r="AL130" i="55"/>
  <c r="CX107" i="55"/>
  <c r="AO155" i="55"/>
  <c r="DA155" i="55" s="1"/>
  <c r="DA132" i="55"/>
  <c r="AN155" i="55"/>
  <c r="CZ155" i="55" s="1"/>
  <c r="CZ132" i="55"/>
  <c r="D49" i="58"/>
  <c r="D54" i="58"/>
  <c r="D44" i="58"/>
  <c r="E131" i="45"/>
  <c r="E53" i="58" s="1"/>
  <c r="E130" i="45"/>
  <c r="E48" i="58" s="1"/>
  <c r="E129" i="45"/>
  <c r="E43" i="58" s="1"/>
  <c r="K117" i="45"/>
  <c r="AQ117" i="45"/>
  <c r="L117" i="45"/>
  <c r="I322" i="48"/>
  <c r="AP103" i="55"/>
  <c r="AP126" i="55" s="1"/>
  <c r="AP149" i="55" s="1"/>
  <c r="K312" i="46"/>
  <c r="K316" i="46" s="1"/>
  <c r="BX109" i="55" s="1"/>
  <c r="BX132" i="55" s="1"/>
  <c r="BX155" i="55" s="1"/>
  <c r="BX103" i="55"/>
  <c r="BX126" i="55" s="1"/>
  <c r="BX149" i="55" s="1"/>
  <c r="J322" i="46"/>
  <c r="K103" i="55"/>
  <c r="K126" i="55" s="1"/>
  <c r="K149" i="55" s="1"/>
  <c r="K322" i="46"/>
  <c r="L103" i="55"/>
  <c r="L126" i="55" s="1"/>
  <c r="L149" i="55" s="1"/>
  <c r="K113" i="45"/>
  <c r="K91" i="45"/>
  <c r="K114" i="45" s="1"/>
  <c r="K115" i="45" s="1"/>
  <c r="N319" i="48"/>
  <c r="N320" i="48" s="1"/>
  <c r="E124" i="45"/>
  <c r="E123" i="45"/>
  <c r="E125" i="45"/>
  <c r="L113" i="45"/>
  <c r="D374" i="46"/>
  <c r="E126" i="45" s="1"/>
  <c r="L78" i="45"/>
  <c r="AR113" i="45"/>
  <c r="AR114" i="45"/>
  <c r="AL124" i="45"/>
  <c r="K78" i="45"/>
  <c r="AL123" i="45"/>
  <c r="L114" i="45"/>
  <c r="L115" i="45" s="1"/>
  <c r="O70" i="45"/>
  <c r="H119" i="45"/>
  <c r="D126" i="45"/>
  <c r="M90" i="45"/>
  <c r="AS90" i="45" s="1"/>
  <c r="AS91" i="45" s="1"/>
  <c r="M106" i="45"/>
  <c r="AS106" i="45" s="1"/>
  <c r="AS109" i="45" s="1"/>
  <c r="AK126" i="45"/>
  <c r="AM119" i="45"/>
  <c r="M76" i="45"/>
  <c r="AS76" i="45" s="1"/>
  <c r="M97" i="45"/>
  <c r="E374" i="48"/>
  <c r="Q266" i="48"/>
  <c r="Q271" i="48" s="1"/>
  <c r="AU60" i="45"/>
  <c r="AU73" i="45" s="1"/>
  <c r="AU59" i="45"/>
  <c r="AU72" i="45" s="1"/>
  <c r="AV34" i="45"/>
  <c r="O36" i="48" s="1"/>
  <c r="O42" i="48" s="1"/>
  <c r="O47" i="48" s="1"/>
  <c r="I348" i="46"/>
  <c r="I351" i="46" s="1"/>
  <c r="I356" i="46" s="1"/>
  <c r="AQ113" i="45"/>
  <c r="Q264" i="48"/>
  <c r="Q269" i="48" s="1"/>
  <c r="AU70" i="45"/>
  <c r="AW30" i="45"/>
  <c r="Q265" i="48"/>
  <c r="Q270" i="48" s="1"/>
  <c r="AP115" i="45"/>
  <c r="M111" i="45"/>
  <c r="Q267" i="48"/>
  <c r="Q272" i="48" s="1"/>
  <c r="K116" i="45"/>
  <c r="N274" i="48"/>
  <c r="N71" i="45"/>
  <c r="AT73" i="45"/>
  <c r="K118" i="45"/>
  <c r="M109" i="45"/>
  <c r="F124" i="45"/>
  <c r="O58" i="45"/>
  <c r="O60" i="45"/>
  <c r="O73" i="45" s="1"/>
  <c r="O59" i="45"/>
  <c r="AS94" i="45"/>
  <c r="M93" i="45"/>
  <c r="M94" i="45"/>
  <c r="AS93" i="45"/>
  <c r="AV68" i="45"/>
  <c r="AS103" i="45"/>
  <c r="M101" i="45"/>
  <c r="M103" i="45"/>
  <c r="AS102" i="45"/>
  <c r="M102" i="45"/>
  <c r="AS101" i="45"/>
  <c r="F123" i="45"/>
  <c r="P68" i="45"/>
  <c r="AV57" i="45"/>
  <c r="O40" i="48" s="1"/>
  <c r="T46" i="48" s="1"/>
  <c r="AQ118" i="45"/>
  <c r="N72" i="45"/>
  <c r="AT71" i="45"/>
  <c r="L118" i="45"/>
  <c r="AR116" i="45"/>
  <c r="F121" i="45"/>
  <c r="F128" i="45" s="1"/>
  <c r="AS111" i="45"/>
  <c r="AS112" i="45"/>
  <c r="AS110" i="45"/>
  <c r="AS81" i="45"/>
  <c r="AS80" i="45"/>
  <c r="AS79" i="45"/>
  <c r="M80" i="45"/>
  <c r="M79" i="45"/>
  <c r="M81" i="45"/>
  <c r="AQ116" i="45"/>
  <c r="AT72" i="45"/>
  <c r="M110" i="45"/>
  <c r="M112" i="45"/>
  <c r="L116" i="45"/>
  <c r="AR118" i="45"/>
  <c r="G119" i="45"/>
  <c r="AX37" i="45"/>
  <c r="AX32" i="45"/>
  <c r="AX29" i="45"/>
  <c r="AX36" i="45"/>
  <c r="AX35" i="45"/>
  <c r="AX31" i="45"/>
  <c r="AX28" i="45"/>
  <c r="AX54" i="45"/>
  <c r="J317" i="48"/>
  <c r="J314" i="48"/>
  <c r="J318" i="48"/>
  <c r="J315" i="48"/>
  <c r="J313" i="48"/>
  <c r="J316" i="48"/>
  <c r="J331" i="48"/>
  <c r="J330" i="48"/>
  <c r="O75" i="45"/>
  <c r="N36" i="46"/>
  <c r="N42" i="46" s="1"/>
  <c r="L116" i="48"/>
  <c r="L121" i="48" s="1"/>
  <c r="L113" i="48"/>
  <c r="L118" i="48" s="1"/>
  <c r="L115" i="48"/>
  <c r="L120" i="48" s="1"/>
  <c r="L117" i="48"/>
  <c r="L114" i="48"/>
  <c r="L119" i="48" s="1"/>
  <c r="L277" i="48"/>
  <c r="H357" i="46"/>
  <c r="H366" i="46" s="1"/>
  <c r="M47" i="46"/>
  <c r="M82" i="46"/>
  <c r="M102" i="46"/>
  <c r="M72" i="46"/>
  <c r="M112" i="46"/>
  <c r="Q30" i="45"/>
  <c r="K311" i="48"/>
  <c r="K312" i="48" s="1"/>
  <c r="L278" i="48"/>
  <c r="AV67" i="45"/>
  <c r="L325" i="46"/>
  <c r="L327" i="46"/>
  <c r="L324" i="46"/>
  <c r="L326" i="46"/>
  <c r="J334" i="46"/>
  <c r="J346" i="46" s="1"/>
  <c r="J347" i="46" s="1"/>
  <c r="J335" i="46"/>
  <c r="L311" i="46"/>
  <c r="M278" i="46"/>
  <c r="M18" i="52" s="1"/>
  <c r="H356" i="48"/>
  <c r="F366" i="48"/>
  <c r="AM104" i="55" s="1"/>
  <c r="AM127" i="55" s="1"/>
  <c r="AM150" i="55" s="1"/>
  <c r="AW55" i="45"/>
  <c r="AW56" i="45"/>
  <c r="O104" i="45"/>
  <c r="N40" i="46"/>
  <c r="S46" i="46" s="1"/>
  <c r="S263" i="46" s="1"/>
  <c r="K334" i="46"/>
  <c r="K346" i="46" s="1"/>
  <c r="K347" i="46" s="1"/>
  <c r="K335" i="46"/>
  <c r="AQ114" i="45"/>
  <c r="AQ78" i="45"/>
  <c r="E374" i="46"/>
  <c r="F125" i="45"/>
  <c r="K334" i="48"/>
  <c r="K346" i="48" s="1"/>
  <c r="K335" i="48"/>
  <c r="K321" i="48"/>
  <c r="DD103" i="55" s="1"/>
  <c r="DD126" i="55" s="1"/>
  <c r="DD149" i="55" s="1"/>
  <c r="K344" i="48"/>
  <c r="K345" i="48" s="1"/>
  <c r="AL121" i="45"/>
  <c r="AL128" i="45" s="1"/>
  <c r="J344" i="48"/>
  <c r="J345" i="48" s="1"/>
  <c r="J321" i="48"/>
  <c r="DC103" i="55" s="1"/>
  <c r="DC126" i="55" s="1"/>
  <c r="DC149" i="55" s="1"/>
  <c r="I347" i="48"/>
  <c r="I348" i="48"/>
  <c r="I349" i="48" s="1"/>
  <c r="I350" i="48" s="1"/>
  <c r="I352" i="48" s="1"/>
  <c r="AR100" i="45"/>
  <c r="K329" i="46"/>
  <c r="K328" i="46"/>
  <c r="J329" i="46"/>
  <c r="J328" i="46"/>
  <c r="K314" i="46"/>
  <c r="BX107" i="55" s="1"/>
  <c r="BX130" i="55" s="1"/>
  <c r="BX153" i="55" s="1"/>
  <c r="M327" i="48"/>
  <c r="M324" i="48"/>
  <c r="M326" i="48"/>
  <c r="M325" i="48"/>
  <c r="K340" i="46"/>
  <c r="L109" i="55" s="1"/>
  <c r="L132" i="55" s="1"/>
  <c r="L155" i="55" s="1"/>
  <c r="K337" i="46"/>
  <c r="K339" i="46"/>
  <c r="L108" i="55" s="1"/>
  <c r="L131" i="55" s="1"/>
  <c r="L154" i="55" s="1"/>
  <c r="K341" i="46"/>
  <c r="L110" i="55" s="1"/>
  <c r="L133" i="55" s="1"/>
  <c r="L156" i="55" s="1"/>
  <c r="K342" i="46"/>
  <c r="L111" i="55" s="1"/>
  <c r="L134" i="55" s="1"/>
  <c r="L157" i="55" s="1"/>
  <c r="K338" i="46"/>
  <c r="G366" i="46"/>
  <c r="H104" i="55" s="1"/>
  <c r="H127" i="55" s="1"/>
  <c r="H150" i="55" s="1"/>
  <c r="L103" i="48"/>
  <c r="L108" i="48" s="1"/>
  <c r="L105" i="48"/>
  <c r="L110" i="48" s="1"/>
  <c r="L107" i="48"/>
  <c r="L104" i="48"/>
  <c r="L109" i="48" s="1"/>
  <c r="L106" i="48"/>
  <c r="L111" i="48" s="1"/>
  <c r="AW33" i="45"/>
  <c r="AW34" i="45" s="1"/>
  <c r="P36" i="48" s="1"/>
  <c r="P42" i="48" s="1"/>
  <c r="F366" i="46"/>
  <c r="G104" i="55" s="1"/>
  <c r="G127" i="55" s="1"/>
  <c r="G150" i="55" s="1"/>
  <c r="K329" i="48"/>
  <c r="K328" i="48"/>
  <c r="AR78" i="45"/>
  <c r="J342" i="46"/>
  <c r="K111" i="55" s="1"/>
  <c r="K134" i="55" s="1"/>
  <c r="K157" i="55" s="1"/>
  <c r="J341" i="46"/>
  <c r="K110" i="55" s="1"/>
  <c r="K133" i="55" s="1"/>
  <c r="K156" i="55" s="1"/>
  <c r="J340" i="46"/>
  <c r="K109" i="55" s="1"/>
  <c r="K132" i="55" s="1"/>
  <c r="K155" i="55" s="1"/>
  <c r="J339" i="46"/>
  <c r="K108" i="55" s="1"/>
  <c r="K131" i="55" s="1"/>
  <c r="K154" i="55" s="1"/>
  <c r="J338" i="46"/>
  <c r="J337" i="46"/>
  <c r="L321" i="46"/>
  <c r="L344" i="46"/>
  <c r="L345" i="46" s="1"/>
  <c r="Q33" i="45"/>
  <c r="I332" i="48"/>
  <c r="I336" i="48" s="1"/>
  <c r="I333" i="48"/>
  <c r="I338" i="48"/>
  <c r="I342" i="48"/>
  <c r="AP111" i="55" s="1"/>
  <c r="I339" i="48"/>
  <c r="AP108" i="55" s="1"/>
  <c r="I337" i="48"/>
  <c r="I341" i="48"/>
  <c r="AP110" i="55" s="1"/>
  <c r="I340" i="48"/>
  <c r="AP109" i="55" s="1"/>
  <c r="L326" i="48"/>
  <c r="L324" i="48"/>
  <c r="L325" i="48"/>
  <c r="L327" i="48"/>
  <c r="L87" i="48"/>
  <c r="L84" i="48"/>
  <c r="L89" i="48" s="1"/>
  <c r="L86" i="48"/>
  <c r="L91" i="48" s="1"/>
  <c r="L83" i="48"/>
  <c r="L88" i="48" s="1"/>
  <c r="L85" i="48"/>
  <c r="L90" i="48" s="1"/>
  <c r="G356" i="48"/>
  <c r="G357" i="48" s="1"/>
  <c r="G366" i="48" s="1"/>
  <c r="R264" i="46"/>
  <c r="R269" i="46" s="1"/>
  <c r="R268" i="46"/>
  <c r="R263" i="48"/>
  <c r="R267" i="46"/>
  <c r="R272" i="46" s="1"/>
  <c r="R265" i="46"/>
  <c r="R270" i="46" s="1"/>
  <c r="R266" i="46"/>
  <c r="R271" i="46" s="1"/>
  <c r="AK121" i="45"/>
  <c r="AK128" i="45" s="1"/>
  <c r="AQ100" i="45"/>
  <c r="L77" i="48"/>
  <c r="L74" i="48"/>
  <c r="L79" i="48" s="1"/>
  <c r="L73" i="48"/>
  <c r="L78" i="48" s="1"/>
  <c r="L75" i="48"/>
  <c r="L80" i="48" s="1"/>
  <c r="L76" i="48"/>
  <c r="L81" i="48" s="1"/>
  <c r="I330" i="46"/>
  <c r="I331" i="46"/>
  <c r="P34" i="45"/>
  <c r="P57" i="45"/>
  <c r="AU75" i="45"/>
  <c r="P67" i="45"/>
  <c r="AU104" i="45"/>
  <c r="AV75" i="45"/>
  <c r="Q55" i="45"/>
  <c r="Q56" i="45"/>
  <c r="S27" i="45"/>
  <c r="AY27" i="45" s="1"/>
  <c r="R28" i="45"/>
  <c r="R29" i="45"/>
  <c r="R31" i="45"/>
  <c r="R35" i="45"/>
  <c r="R32" i="45"/>
  <c r="R37" i="45"/>
  <c r="R54" i="45"/>
  <c r="R36" i="45"/>
  <c r="K313" i="46" l="1"/>
  <c r="N323" i="48"/>
  <c r="K315" i="46"/>
  <c r="BX108" i="55" s="1"/>
  <c r="BX131" i="55" s="1"/>
  <c r="BX154" i="55" s="1"/>
  <c r="M91" i="45"/>
  <c r="K317" i="46"/>
  <c r="BX110" i="55" s="1"/>
  <c r="BX133" i="55" s="1"/>
  <c r="BX156" i="55" s="1"/>
  <c r="K318" i="46"/>
  <c r="BX111" i="55" s="1"/>
  <c r="BX134" i="55" s="1"/>
  <c r="BX157" i="55" s="1"/>
  <c r="AP132" i="55"/>
  <c r="DB109" i="55"/>
  <c r="AP133" i="55"/>
  <c r="DB110" i="55"/>
  <c r="AP131" i="55"/>
  <c r="DB108" i="55"/>
  <c r="AP134" i="55"/>
  <c r="DB111" i="55"/>
  <c r="CY104" i="55"/>
  <c r="CY127" i="55" s="1"/>
  <c r="CY150" i="55" s="1"/>
  <c r="AL153" i="55"/>
  <c r="CX153" i="55" s="1"/>
  <c r="CX130" i="55"/>
  <c r="AW67" i="45"/>
  <c r="AL131" i="45"/>
  <c r="AL53" i="58" s="1"/>
  <c r="AL129" i="45"/>
  <c r="AL43" i="58" s="1"/>
  <c r="AL130" i="45"/>
  <c r="AL48" i="58" s="1"/>
  <c r="AL49" i="58" s="1"/>
  <c r="AK131" i="45"/>
  <c r="AK53" i="58" s="1"/>
  <c r="AK129" i="45"/>
  <c r="AK43" i="58" s="1"/>
  <c r="AK130" i="45"/>
  <c r="AK48" i="58" s="1"/>
  <c r="E44" i="58"/>
  <c r="E49" i="58"/>
  <c r="E54" i="58"/>
  <c r="F131" i="45"/>
  <c r="F53" i="58" s="1"/>
  <c r="F129" i="45"/>
  <c r="F43" i="58" s="1"/>
  <c r="F130" i="45"/>
  <c r="F48" i="58" s="1"/>
  <c r="F49" i="58" s="1"/>
  <c r="M113" i="45"/>
  <c r="AS117" i="45"/>
  <c r="M117" i="45"/>
  <c r="H107" i="55"/>
  <c r="H130" i="55" s="1"/>
  <c r="H153" i="55" s="1"/>
  <c r="AM107" i="55"/>
  <c r="K322" i="48"/>
  <c r="K339" i="48" s="1"/>
  <c r="AR108" i="55" s="1"/>
  <c r="AR103" i="55"/>
  <c r="AR126" i="55" s="1"/>
  <c r="AR149" i="55" s="1"/>
  <c r="L312" i="46"/>
  <c r="BY103" i="55"/>
  <c r="BY126" i="55" s="1"/>
  <c r="BY149" i="55" s="1"/>
  <c r="L322" i="46"/>
  <c r="L340" i="46" s="1"/>
  <c r="M109" i="55" s="1"/>
  <c r="M132" i="55" s="1"/>
  <c r="M155" i="55" s="1"/>
  <c r="M103" i="55"/>
  <c r="M126" i="55" s="1"/>
  <c r="M149" i="55" s="1"/>
  <c r="G107" i="55"/>
  <c r="G130" i="55" s="1"/>
  <c r="G153" i="55" s="1"/>
  <c r="J322" i="48"/>
  <c r="AQ103" i="55"/>
  <c r="AQ126" i="55" s="1"/>
  <c r="AQ149" i="55" s="1"/>
  <c r="O319" i="48"/>
  <c r="O320" i="48" s="1"/>
  <c r="M100" i="45"/>
  <c r="AS97" i="45"/>
  <c r="AS100" i="45" s="1"/>
  <c r="M319" i="46"/>
  <c r="M323" i="46" s="1"/>
  <c r="AR115" i="45"/>
  <c r="M78" i="45"/>
  <c r="M114" i="45"/>
  <c r="M115" i="45" s="1"/>
  <c r="AL126" i="45"/>
  <c r="F373" i="48"/>
  <c r="I120" i="45"/>
  <c r="I122" i="45" s="1"/>
  <c r="G120" i="45"/>
  <c r="G122" i="45" s="1"/>
  <c r="AX33" i="45"/>
  <c r="S105" i="45"/>
  <c r="AY105" i="45" s="1"/>
  <c r="AN120" i="45"/>
  <c r="AN122" i="45" s="1"/>
  <c r="F126" i="45"/>
  <c r="O323" i="48"/>
  <c r="O325" i="48" s="1"/>
  <c r="O274" i="48"/>
  <c r="I349" i="46"/>
  <c r="I350" i="46" s="1"/>
  <c r="I352" i="46" s="1"/>
  <c r="AQ115" i="45"/>
  <c r="M274" i="46"/>
  <c r="AS116" i="45"/>
  <c r="AS114" i="45"/>
  <c r="AW57" i="45"/>
  <c r="AW59" i="45" s="1"/>
  <c r="M116" i="45"/>
  <c r="P70" i="45"/>
  <c r="AW60" i="45"/>
  <c r="AW73" i="45" s="1"/>
  <c r="AV59" i="45"/>
  <c r="AV60" i="45"/>
  <c r="AV58" i="45"/>
  <c r="O71" i="45"/>
  <c r="Q57" i="45"/>
  <c r="O72" i="45"/>
  <c r="AX30" i="45"/>
  <c r="P59" i="45"/>
  <c r="P58" i="45"/>
  <c r="P60" i="45"/>
  <c r="P73" i="45" s="1"/>
  <c r="AS118" i="45"/>
  <c r="P104" i="45"/>
  <c r="AV70" i="45"/>
  <c r="M118" i="45"/>
  <c r="F368" i="48"/>
  <c r="AM120" i="45"/>
  <c r="P40" i="48"/>
  <c r="U46" i="48" s="1"/>
  <c r="AY31" i="45"/>
  <c r="AY37" i="45"/>
  <c r="AY36" i="45"/>
  <c r="AY28" i="45"/>
  <c r="AY35" i="45"/>
  <c r="AY32" i="45"/>
  <c r="AY29" i="45"/>
  <c r="AY54" i="45"/>
  <c r="P47" i="48"/>
  <c r="M335" i="48"/>
  <c r="M334" i="48"/>
  <c r="M346" i="48" s="1"/>
  <c r="J331" i="46"/>
  <c r="J330" i="46"/>
  <c r="K340" i="48"/>
  <c r="AR109" i="55" s="1"/>
  <c r="H357" i="48"/>
  <c r="H366" i="48" s="1"/>
  <c r="M105" i="46"/>
  <c r="M110" i="46" s="1"/>
  <c r="M102" i="48"/>
  <c r="M104" i="46"/>
  <c r="M109" i="46" s="1"/>
  <c r="M106" i="46"/>
  <c r="M111" i="46" s="1"/>
  <c r="M103" i="46"/>
  <c r="M108" i="46" s="1"/>
  <c r="M107" i="46"/>
  <c r="J333" i="48"/>
  <c r="J332" i="48"/>
  <c r="J336" i="48" s="1"/>
  <c r="AX56" i="45"/>
  <c r="AX55" i="45"/>
  <c r="Q68" i="45"/>
  <c r="O40" i="46"/>
  <c r="T46" i="46" s="1"/>
  <c r="T263" i="46" s="1"/>
  <c r="I333" i="46"/>
  <c r="I332" i="46"/>
  <c r="I336" i="46" s="1"/>
  <c r="G364" i="48"/>
  <c r="CZ104" i="55" s="1"/>
  <c r="CZ127" i="55" s="1"/>
  <c r="CZ150" i="55" s="1"/>
  <c r="J337" i="48"/>
  <c r="J342" i="48"/>
  <c r="AQ111" i="55" s="1"/>
  <c r="J338" i="48"/>
  <c r="J339" i="48"/>
  <c r="AQ108" i="55" s="1"/>
  <c r="J340" i="48"/>
  <c r="AQ109" i="55" s="1"/>
  <c r="J341" i="48"/>
  <c r="AQ110" i="55" s="1"/>
  <c r="S265" i="46"/>
  <c r="S270" i="46" s="1"/>
  <c r="S268" i="46"/>
  <c r="S266" i="46"/>
  <c r="S271" i="46" s="1"/>
  <c r="S263" i="48"/>
  <c r="S264" i="46"/>
  <c r="S269" i="46" s="1"/>
  <c r="S267" i="46"/>
  <c r="S272" i="46" s="1"/>
  <c r="M311" i="46"/>
  <c r="N278" i="46"/>
  <c r="N18" i="52" s="1"/>
  <c r="L335" i="46"/>
  <c r="L334" i="46"/>
  <c r="L346" i="46" s="1"/>
  <c r="L347" i="46" s="1"/>
  <c r="AS78" i="45"/>
  <c r="M83" i="46"/>
  <c r="M88" i="46" s="1"/>
  <c r="M82" i="48"/>
  <c r="M85" i="46"/>
  <c r="M90" i="46" s="1"/>
  <c r="M84" i="46"/>
  <c r="M89" i="46" s="1"/>
  <c r="M87" i="46"/>
  <c r="M86" i="46"/>
  <c r="M91" i="46" s="1"/>
  <c r="L321" i="48"/>
  <c r="DE103" i="55" s="1"/>
  <c r="DE126" i="55" s="1"/>
  <c r="DE149" i="55" s="1"/>
  <c r="L344" i="48"/>
  <c r="L345" i="48" s="1"/>
  <c r="N47" i="46"/>
  <c r="N112" i="46"/>
  <c r="N82" i="46"/>
  <c r="N102" i="46"/>
  <c r="N72" i="46"/>
  <c r="F373" i="46"/>
  <c r="K330" i="48"/>
  <c r="K331" i="48"/>
  <c r="L328" i="48"/>
  <c r="L329" i="48"/>
  <c r="N327" i="48"/>
  <c r="N324" i="48"/>
  <c r="N325" i="48"/>
  <c r="N326" i="48"/>
  <c r="G368" i="46"/>
  <c r="H120" i="45"/>
  <c r="G373" i="46"/>
  <c r="M328" i="48"/>
  <c r="M329" i="48"/>
  <c r="I351" i="48"/>
  <c r="J347" i="48"/>
  <c r="J348" i="48"/>
  <c r="J349" i="48" s="1"/>
  <c r="J350" i="48" s="1"/>
  <c r="J352" i="48" s="1"/>
  <c r="I357" i="46"/>
  <c r="I364" i="46" s="1"/>
  <c r="L315" i="46"/>
  <c r="BY108" i="55" s="1"/>
  <c r="BY131" i="55" s="1"/>
  <c r="BY154" i="55" s="1"/>
  <c r="L318" i="46"/>
  <c r="BY111" i="55" s="1"/>
  <c r="BY134" i="55" s="1"/>
  <c r="BY157" i="55" s="1"/>
  <c r="L317" i="46"/>
  <c r="BY110" i="55" s="1"/>
  <c r="BY133" i="55" s="1"/>
  <c r="BY156" i="55" s="1"/>
  <c r="L314" i="46"/>
  <c r="BY107" i="55" s="1"/>
  <c r="BY130" i="55" s="1"/>
  <c r="BY153" i="55" s="1"/>
  <c r="L316" i="46"/>
  <c r="BY109" i="55" s="1"/>
  <c r="BY132" i="55" s="1"/>
  <c r="BY155" i="55" s="1"/>
  <c r="L313" i="46"/>
  <c r="M278" i="48"/>
  <c r="L311" i="48"/>
  <c r="L312" i="48" s="1"/>
  <c r="Q34" i="45"/>
  <c r="M116" i="46"/>
  <c r="M121" i="46" s="1"/>
  <c r="M117" i="46"/>
  <c r="M115" i="46"/>
  <c r="M120" i="46" s="1"/>
  <c r="M112" i="48"/>
  <c r="M114" i="46"/>
  <c r="M119" i="46" s="1"/>
  <c r="M113" i="46"/>
  <c r="M118" i="46" s="1"/>
  <c r="M277" i="46"/>
  <c r="F368" i="46"/>
  <c r="R264" i="48"/>
  <c r="R269" i="48" s="1"/>
  <c r="R268" i="48"/>
  <c r="R267" i="48"/>
  <c r="R272" i="48" s="1"/>
  <c r="R265" i="48"/>
  <c r="R270" i="48" s="1"/>
  <c r="R266" i="48"/>
  <c r="R271" i="48" s="1"/>
  <c r="P75" i="45"/>
  <c r="O36" i="46"/>
  <c r="O42" i="46" s="1"/>
  <c r="O326" i="48"/>
  <c r="O327" i="48"/>
  <c r="J348" i="46"/>
  <c r="L335" i="48"/>
  <c r="L334" i="48"/>
  <c r="L346" i="48" s="1"/>
  <c r="AW68" i="45"/>
  <c r="AW70" i="45" s="1"/>
  <c r="K331" i="46"/>
  <c r="K330" i="46"/>
  <c r="K347" i="48"/>
  <c r="K348" i="48"/>
  <c r="K349" i="48" s="1"/>
  <c r="K350" i="48" s="1"/>
  <c r="K348" i="46"/>
  <c r="K351" i="46" s="1"/>
  <c r="L329" i="46"/>
  <c r="L328" i="46"/>
  <c r="K314" i="48"/>
  <c r="K313" i="48"/>
  <c r="K318" i="48"/>
  <c r="K316" i="48"/>
  <c r="K315" i="48"/>
  <c r="K317" i="48"/>
  <c r="M72" i="48"/>
  <c r="M76" i="46"/>
  <c r="M81" i="46" s="1"/>
  <c r="M75" i="46"/>
  <c r="M80" i="46" s="1"/>
  <c r="M73" i="46"/>
  <c r="M78" i="46" s="1"/>
  <c r="M77" i="46"/>
  <c r="M74" i="46"/>
  <c r="M79" i="46" s="1"/>
  <c r="H364" i="46"/>
  <c r="AV104" i="45"/>
  <c r="T27" i="45"/>
  <c r="AZ27" i="45" s="1"/>
  <c r="S28" i="45"/>
  <c r="S29" i="45"/>
  <c r="S31" i="45"/>
  <c r="S36" i="45"/>
  <c r="S35" i="45"/>
  <c r="S32" i="45"/>
  <c r="S54" i="45"/>
  <c r="S37" i="45"/>
  <c r="R30" i="45"/>
  <c r="Q67" i="45"/>
  <c r="R55" i="45"/>
  <c r="R56" i="45"/>
  <c r="R33" i="45"/>
  <c r="L341" i="46" l="1"/>
  <c r="M110" i="55" s="1"/>
  <c r="M133" i="55" s="1"/>
  <c r="M156" i="55" s="1"/>
  <c r="L338" i="46"/>
  <c r="L337" i="46"/>
  <c r="L339" i="46"/>
  <c r="M108" i="55" s="1"/>
  <c r="M131" i="55" s="1"/>
  <c r="M154" i="55" s="1"/>
  <c r="L342" i="46"/>
  <c r="M111" i="55" s="1"/>
  <c r="M134" i="55" s="1"/>
  <c r="M157" i="55" s="1"/>
  <c r="AQ132" i="55"/>
  <c r="DC109" i="55"/>
  <c r="AX67" i="45"/>
  <c r="AX70" i="45" s="1"/>
  <c r="AQ131" i="55"/>
  <c r="DC108" i="55"/>
  <c r="AP156" i="55"/>
  <c r="DB156" i="55" s="1"/>
  <c r="DB133" i="55"/>
  <c r="AQ134" i="55"/>
  <c r="DC111" i="55"/>
  <c r="AR132" i="55"/>
  <c r="DD109" i="55"/>
  <c r="F44" i="58"/>
  <c r="AP155" i="55"/>
  <c r="DB155" i="55" s="1"/>
  <c r="DB132" i="55"/>
  <c r="AR131" i="55"/>
  <c r="DD108" i="55"/>
  <c r="AM130" i="55"/>
  <c r="CY107" i="55"/>
  <c r="AP157" i="55"/>
  <c r="DB157" i="55" s="1"/>
  <c r="DB134" i="55"/>
  <c r="AQ133" i="55"/>
  <c r="DC110" i="55"/>
  <c r="AP154" i="55"/>
  <c r="DB154" i="55" s="1"/>
  <c r="DB131" i="55"/>
  <c r="F54" i="58"/>
  <c r="AK49" i="58"/>
  <c r="AK44" i="58"/>
  <c r="AK54" i="58"/>
  <c r="AL44" i="58"/>
  <c r="AL54" i="58"/>
  <c r="I104" i="55"/>
  <c r="I127" i="55" s="1"/>
  <c r="I150" i="55" s="1"/>
  <c r="I107" i="55"/>
  <c r="I130" i="55" s="1"/>
  <c r="I153" i="55" s="1"/>
  <c r="M312" i="46"/>
  <c r="BZ103" i="55"/>
  <c r="BZ126" i="55" s="1"/>
  <c r="BZ149" i="55" s="1"/>
  <c r="AN104" i="55"/>
  <c r="AN127" i="55" s="1"/>
  <c r="AN150" i="55" s="1"/>
  <c r="AN107" i="55"/>
  <c r="K341" i="48"/>
  <c r="AR110" i="55" s="1"/>
  <c r="M320" i="46"/>
  <c r="K342" i="48"/>
  <c r="AR111" i="55" s="1"/>
  <c r="L322" i="48"/>
  <c r="L337" i="48" s="1"/>
  <c r="AS103" i="55"/>
  <c r="AS126" i="55" s="1"/>
  <c r="AS149" i="55" s="1"/>
  <c r="K338" i="48"/>
  <c r="K337" i="48"/>
  <c r="AS113" i="45"/>
  <c r="AS115" i="45" s="1"/>
  <c r="N319" i="46"/>
  <c r="P319" i="48"/>
  <c r="P323" i="48" s="1"/>
  <c r="G123" i="45"/>
  <c r="G121" i="45"/>
  <c r="G128" i="45" s="1"/>
  <c r="AM125" i="45"/>
  <c r="F374" i="48"/>
  <c r="G124" i="45"/>
  <c r="AX68" i="45"/>
  <c r="N76" i="45"/>
  <c r="AT76" i="45" s="1"/>
  <c r="N90" i="45"/>
  <c r="AT90" i="45" s="1"/>
  <c r="AT91" i="45" s="1"/>
  <c r="N106" i="45"/>
  <c r="O324" i="48"/>
  <c r="N97" i="45"/>
  <c r="AX34" i="45"/>
  <c r="Q36" i="48" s="1"/>
  <c r="Q42" i="48" s="1"/>
  <c r="Q47" i="48" s="1"/>
  <c r="T105" i="45"/>
  <c r="AZ105" i="45" s="1"/>
  <c r="AN119" i="45"/>
  <c r="AN124" i="45" s="1"/>
  <c r="AO120" i="45"/>
  <c r="AO122" i="45" s="1"/>
  <c r="AW58" i="45"/>
  <c r="AW71" i="45" s="1"/>
  <c r="J351" i="48"/>
  <c r="P274" i="48"/>
  <c r="K351" i="48"/>
  <c r="K356" i="48" s="1"/>
  <c r="AX57" i="45"/>
  <c r="Q40" i="48" s="1"/>
  <c r="V46" i="48" s="1"/>
  <c r="Q70" i="45"/>
  <c r="N274" i="46"/>
  <c r="P71" i="45"/>
  <c r="H122" i="45"/>
  <c r="H124" i="45"/>
  <c r="H123" i="45"/>
  <c r="N94" i="45"/>
  <c r="AT93" i="45"/>
  <c r="N93" i="45"/>
  <c r="AT94" i="45"/>
  <c r="P72" i="45"/>
  <c r="P40" i="46"/>
  <c r="U46" i="46" s="1"/>
  <c r="U263" i="46" s="1"/>
  <c r="Q59" i="45"/>
  <c r="Q58" i="45"/>
  <c r="Q60" i="45"/>
  <c r="K352" i="48"/>
  <c r="AV72" i="45"/>
  <c r="AW72" i="45"/>
  <c r="AT81" i="45"/>
  <c r="N79" i="45"/>
  <c r="N80" i="45"/>
  <c r="AT79" i="45"/>
  <c r="AT80" i="45"/>
  <c r="N81" i="45"/>
  <c r="N110" i="45"/>
  <c r="N111" i="45"/>
  <c r="N112" i="45"/>
  <c r="AT112" i="45"/>
  <c r="AT111" i="45"/>
  <c r="AT110" i="45"/>
  <c r="AV71" i="45"/>
  <c r="K349" i="46"/>
  <c r="K350" i="46" s="1"/>
  <c r="K352" i="46" s="1"/>
  <c r="AV73" i="45"/>
  <c r="R57" i="45"/>
  <c r="Q104" i="45"/>
  <c r="N103" i="45"/>
  <c r="N102" i="45"/>
  <c r="AT101" i="45"/>
  <c r="N101" i="45"/>
  <c r="AT103" i="45"/>
  <c r="AT102" i="45"/>
  <c r="AT106" i="45"/>
  <c r="AT109" i="45" s="1"/>
  <c r="N109" i="45"/>
  <c r="AM122" i="45"/>
  <c r="AM123" i="45"/>
  <c r="AM124" i="45"/>
  <c r="I119" i="45"/>
  <c r="H368" i="46"/>
  <c r="H373" i="46"/>
  <c r="H121" i="45"/>
  <c r="H128" i="45" s="1"/>
  <c r="L339" i="48"/>
  <c r="AS108" i="55" s="1"/>
  <c r="L340" i="48"/>
  <c r="AS109" i="55" s="1"/>
  <c r="O47" i="46"/>
  <c r="O112" i="46"/>
  <c r="O72" i="46"/>
  <c r="O102" i="46"/>
  <c r="O82" i="46"/>
  <c r="M325" i="46"/>
  <c r="M324" i="46"/>
  <c r="M326" i="46"/>
  <c r="M327" i="46"/>
  <c r="M114" i="48"/>
  <c r="M119" i="48" s="1"/>
  <c r="M116" i="48"/>
  <c r="M121" i="48" s="1"/>
  <c r="M113" i="48"/>
  <c r="M118" i="48" s="1"/>
  <c r="M117" i="48"/>
  <c r="M115" i="48"/>
  <c r="M120" i="48" s="1"/>
  <c r="M277" i="48"/>
  <c r="Q75" i="45"/>
  <c r="P36" i="46"/>
  <c r="P42" i="46" s="1"/>
  <c r="M330" i="48"/>
  <c r="M331" i="48"/>
  <c r="N112" i="48"/>
  <c r="N116" i="46"/>
  <c r="N121" i="46" s="1"/>
  <c r="N113" i="46"/>
  <c r="N118" i="46" s="1"/>
  <c r="N115" i="46"/>
  <c r="N120" i="46" s="1"/>
  <c r="N117" i="46"/>
  <c r="N114" i="46"/>
  <c r="N119" i="46" s="1"/>
  <c r="N277" i="46"/>
  <c r="M83" i="48"/>
  <c r="M88" i="48" s="1"/>
  <c r="M85" i="48"/>
  <c r="M90" i="48" s="1"/>
  <c r="M87" i="48"/>
  <c r="M84" i="48"/>
  <c r="M89" i="48" s="1"/>
  <c r="M86" i="48"/>
  <c r="M91" i="48" s="1"/>
  <c r="G368" i="48"/>
  <c r="G373" i="48"/>
  <c r="M106" i="48"/>
  <c r="M111" i="48" s="1"/>
  <c r="M103" i="48"/>
  <c r="M108" i="48" s="1"/>
  <c r="M105" i="48"/>
  <c r="M110" i="48" s="1"/>
  <c r="M104" i="48"/>
  <c r="M109" i="48" s="1"/>
  <c r="M107" i="48"/>
  <c r="AY33" i="45"/>
  <c r="J356" i="48"/>
  <c r="N86" i="46"/>
  <c r="N91" i="46" s="1"/>
  <c r="N85" i="46"/>
  <c r="N90" i="46" s="1"/>
  <c r="N87" i="46"/>
  <c r="N83" i="46"/>
  <c r="N88" i="46" s="1"/>
  <c r="N84" i="46"/>
  <c r="N89" i="46" s="1"/>
  <c r="N82" i="48"/>
  <c r="O334" i="48"/>
  <c r="O346" i="48" s="1"/>
  <c r="O335" i="48"/>
  <c r="R68" i="45"/>
  <c r="AM121" i="45"/>
  <c r="AM128" i="45" s="1"/>
  <c r="M74" i="48"/>
  <c r="M79" i="48" s="1"/>
  <c r="M77" i="48"/>
  <c r="M75" i="48"/>
  <c r="M80" i="48" s="1"/>
  <c r="M73" i="48"/>
  <c r="M78" i="48" s="1"/>
  <c r="M76" i="48"/>
  <c r="M81" i="48" s="1"/>
  <c r="L330" i="46"/>
  <c r="L331" i="46"/>
  <c r="O329" i="48"/>
  <c r="O328" i="48"/>
  <c r="M344" i="46"/>
  <c r="M345" i="46" s="1"/>
  <c r="M321" i="46"/>
  <c r="L316" i="48"/>
  <c r="L317" i="48"/>
  <c r="L315" i="48"/>
  <c r="L313" i="48"/>
  <c r="L314" i="48"/>
  <c r="L318" i="48"/>
  <c r="I366" i="46"/>
  <c r="J104" i="55" s="1"/>
  <c r="J127" i="55" s="1"/>
  <c r="J150" i="55" s="1"/>
  <c r="N334" i="48"/>
  <c r="N346" i="48" s="1"/>
  <c r="N335" i="48"/>
  <c r="F374" i="46"/>
  <c r="G125" i="45"/>
  <c r="N72" i="48"/>
  <c r="N73" i="46"/>
  <c r="N78" i="46" s="1"/>
  <c r="N77" i="46"/>
  <c r="N74" i="46"/>
  <c r="N79" i="46" s="1"/>
  <c r="N76" i="46"/>
  <c r="N81" i="46" s="1"/>
  <c r="N75" i="46"/>
  <c r="N80" i="46" s="1"/>
  <c r="N323" i="46"/>
  <c r="N320" i="46"/>
  <c r="O278" i="46"/>
  <c r="O18" i="52" s="1"/>
  <c r="N311" i="46"/>
  <c r="S266" i="48"/>
  <c r="S271" i="48" s="1"/>
  <c r="S264" i="48"/>
  <c r="S269" i="48" s="1"/>
  <c r="S265" i="48"/>
  <c r="S270" i="48" s="1"/>
  <c r="S267" i="48"/>
  <c r="S272" i="48" s="1"/>
  <c r="S268" i="48"/>
  <c r="AY56" i="45"/>
  <c r="AY55" i="45"/>
  <c r="AY30" i="45"/>
  <c r="J349" i="46"/>
  <c r="J350" i="46" s="1"/>
  <c r="J352" i="46" s="1"/>
  <c r="J351" i="46"/>
  <c r="T265" i="46"/>
  <c r="T270" i="46" s="1"/>
  <c r="T266" i="46"/>
  <c r="T271" i="46" s="1"/>
  <c r="T263" i="48"/>
  <c r="T264" i="46"/>
  <c r="T269" i="46" s="1"/>
  <c r="T268" i="46"/>
  <c r="T267" i="46"/>
  <c r="T272" i="46" s="1"/>
  <c r="J333" i="46"/>
  <c r="J332" i="46"/>
  <c r="J336" i="46" s="1"/>
  <c r="L348" i="46"/>
  <c r="AZ28" i="45"/>
  <c r="AZ31" i="45"/>
  <c r="AZ35" i="45"/>
  <c r="AZ32" i="45"/>
  <c r="AZ29" i="45"/>
  <c r="AZ37" i="45"/>
  <c r="AZ36" i="45"/>
  <c r="AZ54" i="45"/>
  <c r="K356" i="46"/>
  <c r="K357" i="46" s="1"/>
  <c r="K366" i="46" s="1"/>
  <c r="K333" i="46"/>
  <c r="K332" i="46"/>
  <c r="K336" i="46" s="1"/>
  <c r="AT97" i="45"/>
  <c r="N100" i="45"/>
  <c r="M311" i="48"/>
  <c r="M312" i="48" s="1"/>
  <c r="N278" i="48"/>
  <c r="J119" i="45"/>
  <c r="I356" i="48"/>
  <c r="G374" i="46"/>
  <c r="H125" i="45"/>
  <c r="N328" i="48"/>
  <c r="N329" i="48"/>
  <c r="L331" i="48"/>
  <c r="L330" i="48"/>
  <c r="K332" i="48"/>
  <c r="K336" i="48" s="1"/>
  <c r="K333" i="48"/>
  <c r="N102" i="48"/>
  <c r="N104" i="46"/>
  <c r="N109" i="46" s="1"/>
  <c r="N106" i="46"/>
  <c r="N111" i="46" s="1"/>
  <c r="N105" i="46"/>
  <c r="N110" i="46" s="1"/>
  <c r="N103" i="46"/>
  <c r="N108" i="46" s="1"/>
  <c r="N107" i="46"/>
  <c r="L348" i="48"/>
  <c r="L349" i="48" s="1"/>
  <c r="L350" i="48" s="1"/>
  <c r="L347" i="48"/>
  <c r="M313" i="46"/>
  <c r="M314" i="46"/>
  <c r="BZ107" i="55" s="1"/>
  <c r="BZ130" i="55" s="1"/>
  <c r="BZ153" i="55" s="1"/>
  <c r="M315" i="46"/>
  <c r="BZ108" i="55" s="1"/>
  <c r="BZ131" i="55" s="1"/>
  <c r="BZ154" i="55" s="1"/>
  <c r="M317" i="46"/>
  <c r="BZ110" i="55" s="1"/>
  <c r="BZ133" i="55" s="1"/>
  <c r="BZ156" i="55" s="1"/>
  <c r="M318" i="46"/>
  <c r="BZ111" i="55" s="1"/>
  <c r="BZ134" i="55" s="1"/>
  <c r="BZ157" i="55" s="1"/>
  <c r="M316" i="46"/>
  <c r="BZ109" i="55" s="1"/>
  <c r="BZ132" i="55" s="1"/>
  <c r="BZ155" i="55" s="1"/>
  <c r="H364" i="48"/>
  <c r="DA104" i="55" s="1"/>
  <c r="DA127" i="55" s="1"/>
  <c r="DA150" i="55" s="1"/>
  <c r="S30" i="45"/>
  <c r="AW104" i="45"/>
  <c r="S55" i="45"/>
  <c r="S56" i="45"/>
  <c r="T32" i="45"/>
  <c r="T28" i="45"/>
  <c r="T37" i="45"/>
  <c r="T29" i="45"/>
  <c r="T36" i="45"/>
  <c r="T31" i="45"/>
  <c r="U27" i="45"/>
  <c r="BA27" i="45" s="1"/>
  <c r="T54" i="45"/>
  <c r="T35" i="45"/>
  <c r="R67" i="45"/>
  <c r="R34" i="45"/>
  <c r="S33" i="45"/>
  <c r="P320" i="48" l="1"/>
  <c r="L342" i="48"/>
  <c r="AS111" i="55" s="1"/>
  <c r="AS134" i="55" s="1"/>
  <c r="L341" i="48"/>
  <c r="AS110" i="55" s="1"/>
  <c r="AS133" i="55" s="1"/>
  <c r="L338" i="48"/>
  <c r="R70" i="45"/>
  <c r="AN130" i="55"/>
  <c r="CZ107" i="55"/>
  <c r="AR154" i="55"/>
  <c r="DD154" i="55" s="1"/>
  <c r="DD131" i="55"/>
  <c r="AQ155" i="55"/>
  <c r="DC155" i="55" s="1"/>
  <c r="DC132" i="55"/>
  <c r="AS132" i="55"/>
  <c r="DE109" i="55"/>
  <c r="AR134" i="55"/>
  <c r="DD111" i="55"/>
  <c r="AQ156" i="55"/>
  <c r="DC156" i="55" s="1"/>
  <c r="DC133" i="55"/>
  <c r="AM153" i="55"/>
  <c r="CY153" i="55" s="1"/>
  <c r="CY130" i="55"/>
  <c r="AR155" i="55"/>
  <c r="DD155" i="55" s="1"/>
  <c r="DD132" i="55"/>
  <c r="AS131" i="55"/>
  <c r="DE108" i="55"/>
  <c r="AR133" i="55"/>
  <c r="DD110" i="55"/>
  <c r="AQ157" i="55"/>
  <c r="DC157" i="55" s="1"/>
  <c r="DC134" i="55"/>
  <c r="AQ154" i="55"/>
  <c r="DC154" i="55" s="1"/>
  <c r="DC131" i="55"/>
  <c r="AM131" i="45"/>
  <c r="AM53" i="58" s="1"/>
  <c r="AM129" i="45"/>
  <c r="AM43" i="58" s="1"/>
  <c r="AM130" i="45"/>
  <c r="AM48" i="58" s="1"/>
  <c r="H131" i="45"/>
  <c r="H53" i="58" s="1"/>
  <c r="H129" i="45"/>
  <c r="H43" i="58" s="1"/>
  <c r="H130" i="45"/>
  <c r="H48" i="58" s="1"/>
  <c r="G131" i="45"/>
  <c r="G53" i="58" s="1"/>
  <c r="G129" i="45"/>
  <c r="G43" i="58" s="1"/>
  <c r="G130" i="45"/>
  <c r="G48" i="58" s="1"/>
  <c r="N113" i="45"/>
  <c r="N91" i="45"/>
  <c r="N114" i="45" s="1"/>
  <c r="N117" i="45"/>
  <c r="AT117" i="45"/>
  <c r="J107" i="55"/>
  <c r="J130" i="55" s="1"/>
  <c r="J153" i="55" s="1"/>
  <c r="AO104" i="55"/>
  <c r="AO127" i="55" s="1"/>
  <c r="AO150" i="55" s="1"/>
  <c r="AO107" i="55"/>
  <c r="M322" i="46"/>
  <c r="N103" i="55"/>
  <c r="N126" i="55" s="1"/>
  <c r="N149" i="55" s="1"/>
  <c r="N312" i="46"/>
  <c r="N318" i="46" s="1"/>
  <c r="CA111" i="55" s="1"/>
  <c r="CA134" i="55" s="1"/>
  <c r="CA157" i="55" s="1"/>
  <c r="CA103" i="55"/>
  <c r="CA126" i="55" s="1"/>
  <c r="CA149" i="55" s="1"/>
  <c r="Q319" i="48"/>
  <c r="Q323" i="48" s="1"/>
  <c r="Q327" i="48" s="1"/>
  <c r="O319" i="46"/>
  <c r="AM126" i="45"/>
  <c r="AN123" i="45"/>
  <c r="N78" i="45"/>
  <c r="Q274" i="48"/>
  <c r="R104" i="45"/>
  <c r="H126" i="45"/>
  <c r="L120" i="45"/>
  <c r="L122" i="45" s="1"/>
  <c r="O90" i="45"/>
  <c r="AU90" i="45" s="1"/>
  <c r="AU91" i="45" s="1"/>
  <c r="AO119" i="45"/>
  <c r="AO123" i="45" s="1"/>
  <c r="U105" i="45"/>
  <c r="BA105" i="45" s="1"/>
  <c r="J120" i="45"/>
  <c r="J122" i="45" s="1"/>
  <c r="O97" i="45"/>
  <c r="AU97" i="45" s="1"/>
  <c r="O106" i="45"/>
  <c r="AU106" i="45" s="1"/>
  <c r="AU109" i="45" s="1"/>
  <c r="O76" i="45"/>
  <c r="G126" i="45"/>
  <c r="AY68" i="45"/>
  <c r="S67" i="45"/>
  <c r="AX59" i="45"/>
  <c r="AX58" i="45"/>
  <c r="AX71" i="45" s="1"/>
  <c r="I373" i="46"/>
  <c r="I374" i="46" s="1"/>
  <c r="AX60" i="45"/>
  <c r="AX73" i="45" s="1"/>
  <c r="I368" i="46"/>
  <c r="AZ33" i="45"/>
  <c r="N116" i="45"/>
  <c r="O80" i="45"/>
  <c r="O81" i="45"/>
  <c r="AU81" i="45"/>
  <c r="AU79" i="45"/>
  <c r="AU80" i="45"/>
  <c r="O79" i="45"/>
  <c r="AU101" i="45"/>
  <c r="O101" i="45"/>
  <c r="AU103" i="45"/>
  <c r="O103" i="45"/>
  <c r="AU102" i="45"/>
  <c r="O102" i="45"/>
  <c r="I124" i="45"/>
  <c r="I123" i="45"/>
  <c r="U267" i="46"/>
  <c r="U272" i="46" s="1"/>
  <c r="U265" i="46"/>
  <c r="U270" i="46" s="1"/>
  <c r="U264" i="46"/>
  <c r="U269" i="46" s="1"/>
  <c r="U266" i="46"/>
  <c r="U271" i="46" s="1"/>
  <c r="U263" i="48"/>
  <c r="U268" i="46"/>
  <c r="AU111" i="45"/>
  <c r="AU110" i="45"/>
  <c r="AU112" i="45"/>
  <c r="O111" i="45"/>
  <c r="O110" i="45"/>
  <c r="O112" i="45"/>
  <c r="J123" i="45"/>
  <c r="AT113" i="45"/>
  <c r="O94" i="45"/>
  <c r="O93" i="45"/>
  <c r="AU94" i="45"/>
  <c r="AU93" i="45"/>
  <c r="G374" i="48"/>
  <c r="AN125" i="45"/>
  <c r="N118" i="45"/>
  <c r="Q73" i="45"/>
  <c r="AX72" i="45"/>
  <c r="AY57" i="45"/>
  <c r="R40" i="48" s="1"/>
  <c r="W46" i="48" s="1"/>
  <c r="O274" i="46"/>
  <c r="AT118" i="45"/>
  <c r="Q71" i="45"/>
  <c r="L352" i="48"/>
  <c r="Q40" i="46"/>
  <c r="V46" i="46" s="1"/>
  <c r="V263" i="46" s="1"/>
  <c r="R58" i="45"/>
  <c r="R60" i="45"/>
  <c r="R59" i="45"/>
  <c r="AT116" i="45"/>
  <c r="Q72" i="45"/>
  <c r="O278" i="48"/>
  <c r="N311" i="48"/>
  <c r="N312" i="48" s="1"/>
  <c r="AY34" i="45"/>
  <c r="R36" i="48" s="1"/>
  <c r="R42" i="48" s="1"/>
  <c r="AY67" i="45"/>
  <c r="O72" i="48"/>
  <c r="O76" i="46"/>
  <c r="O81" i="46" s="1"/>
  <c r="O77" i="46"/>
  <c r="O75" i="46"/>
  <c r="O80" i="46" s="1"/>
  <c r="O74" i="46"/>
  <c r="O79" i="46" s="1"/>
  <c r="O73" i="46"/>
  <c r="O78" i="46" s="1"/>
  <c r="H374" i="46"/>
  <c r="I125" i="45"/>
  <c r="R75" i="45"/>
  <c r="Q36" i="46"/>
  <c r="Q42" i="46" s="1"/>
  <c r="H368" i="48"/>
  <c r="H373" i="48"/>
  <c r="L351" i="48"/>
  <c r="N106" i="48"/>
  <c r="N111" i="48" s="1"/>
  <c r="N105" i="48"/>
  <c r="N110" i="48" s="1"/>
  <c r="N104" i="48"/>
  <c r="N109" i="48" s="1"/>
  <c r="N107" i="48"/>
  <c r="N103" i="48"/>
  <c r="N108" i="48" s="1"/>
  <c r="L333" i="48"/>
  <c r="L332" i="48"/>
  <c r="L336" i="48" s="1"/>
  <c r="M313" i="48"/>
  <c r="M317" i="48"/>
  <c r="M316" i="48"/>
  <c r="M318" i="48"/>
  <c r="M315" i="48"/>
  <c r="M314" i="48"/>
  <c r="K364" i="46"/>
  <c r="AZ30" i="45"/>
  <c r="O311" i="46"/>
  <c r="P278" i="46"/>
  <c r="P18" i="52" s="1"/>
  <c r="N325" i="46"/>
  <c r="N324" i="46"/>
  <c r="N326" i="46"/>
  <c r="N327" i="46"/>
  <c r="AU76" i="45"/>
  <c r="O78" i="45"/>
  <c r="M337" i="46"/>
  <c r="M339" i="46"/>
  <c r="N108" i="55" s="1"/>
  <c r="N131" i="55" s="1"/>
  <c r="N154" i="55" s="1"/>
  <c r="M340" i="46"/>
  <c r="N109" i="55" s="1"/>
  <c r="N132" i="55" s="1"/>
  <c r="N155" i="55" s="1"/>
  <c r="M342" i="46"/>
  <c r="N111" i="55" s="1"/>
  <c r="N134" i="55" s="1"/>
  <c r="N157" i="55" s="1"/>
  <c r="M338" i="46"/>
  <c r="M341" i="46"/>
  <c r="N110" i="55" s="1"/>
  <c r="N133" i="55" s="1"/>
  <c r="N156" i="55" s="1"/>
  <c r="O331" i="48"/>
  <c r="O330" i="48"/>
  <c r="J357" i="48"/>
  <c r="J366" i="48" s="1"/>
  <c r="N344" i="46"/>
  <c r="N345" i="46" s="1"/>
  <c r="N321" i="46"/>
  <c r="P47" i="46"/>
  <c r="P82" i="46"/>
  <c r="P112" i="46"/>
  <c r="P102" i="46"/>
  <c r="P72" i="46"/>
  <c r="M335" i="46"/>
  <c r="M334" i="46"/>
  <c r="M346" i="46" s="1"/>
  <c r="M347" i="46" s="1"/>
  <c r="O116" i="46"/>
  <c r="O121" i="46" s="1"/>
  <c r="O117" i="46"/>
  <c r="O113" i="46"/>
  <c r="O118" i="46" s="1"/>
  <c r="O112" i="48"/>
  <c r="O115" i="46"/>
  <c r="O120" i="46" s="1"/>
  <c r="O114" i="46"/>
  <c r="O119" i="46" s="1"/>
  <c r="O277" i="46"/>
  <c r="AN121" i="45"/>
  <c r="AN128" i="45" s="1"/>
  <c r="I357" i="48"/>
  <c r="I366" i="48" s="1"/>
  <c r="BA37" i="45"/>
  <c r="BA32" i="45"/>
  <c r="BA29" i="45"/>
  <c r="BA28" i="45"/>
  <c r="BA31" i="45"/>
  <c r="BA35" i="45"/>
  <c r="BA36" i="45"/>
  <c r="BA54" i="45"/>
  <c r="AZ55" i="45"/>
  <c r="AZ56" i="45"/>
  <c r="T268" i="48"/>
  <c r="T266" i="48"/>
  <c r="T271" i="48" s="1"/>
  <c r="T264" i="48"/>
  <c r="T269" i="48" s="1"/>
  <c r="T267" i="48"/>
  <c r="T272" i="48" s="1"/>
  <c r="T265" i="48"/>
  <c r="T270" i="48" s="1"/>
  <c r="J356" i="46"/>
  <c r="J357" i="46" s="1"/>
  <c r="J366" i="46" s="1"/>
  <c r="N86" i="48"/>
  <c r="N91" i="48" s="1"/>
  <c r="N87" i="48"/>
  <c r="N85" i="48"/>
  <c r="N90" i="48" s="1"/>
  <c r="N84" i="48"/>
  <c r="N89" i="48" s="1"/>
  <c r="N83" i="48"/>
  <c r="N88" i="48" s="1"/>
  <c r="M332" i="48"/>
  <c r="M336" i="48" s="1"/>
  <c r="M333" i="48"/>
  <c r="M328" i="46"/>
  <c r="M329" i="46"/>
  <c r="O85" i="46"/>
  <c r="O90" i="46" s="1"/>
  <c r="O86" i="46"/>
  <c r="O91" i="46" s="1"/>
  <c r="O83" i="46"/>
  <c r="O88" i="46" s="1"/>
  <c r="O87" i="46"/>
  <c r="O82" i="48"/>
  <c r="O84" i="46"/>
  <c r="O89" i="46" s="1"/>
  <c r="O323" i="46"/>
  <c r="O320" i="46"/>
  <c r="I121" i="45"/>
  <c r="I128" i="45" s="1"/>
  <c r="N330" i="48"/>
  <c r="N331" i="48"/>
  <c r="J121" i="45"/>
  <c r="J128" i="45" s="1"/>
  <c r="AT100" i="45"/>
  <c r="L349" i="46"/>
  <c r="L350" i="46" s="1"/>
  <c r="L352" i="46" s="1"/>
  <c r="L351" i="46"/>
  <c r="Q325" i="48"/>
  <c r="N76" i="48"/>
  <c r="N81" i="48" s="1"/>
  <c r="N75" i="48"/>
  <c r="N80" i="48" s="1"/>
  <c r="N77" i="48"/>
  <c r="N74" i="48"/>
  <c r="N79" i="48" s="1"/>
  <c r="N73" i="48"/>
  <c r="N78" i="48" s="1"/>
  <c r="L332" i="46"/>
  <c r="L336" i="46" s="1"/>
  <c r="L333" i="46"/>
  <c r="AT114" i="45"/>
  <c r="AT78" i="45"/>
  <c r="K357" i="48"/>
  <c r="K366" i="48" s="1"/>
  <c r="P324" i="48"/>
  <c r="P325" i="48"/>
  <c r="P327" i="48"/>
  <c r="P326" i="48"/>
  <c r="N115" i="48"/>
  <c r="N120" i="48" s="1"/>
  <c r="N114" i="48"/>
  <c r="N119" i="48" s="1"/>
  <c r="N116" i="48"/>
  <c r="N121" i="48" s="1"/>
  <c r="N117" i="48"/>
  <c r="N113" i="48"/>
  <c r="N118" i="48" s="1"/>
  <c r="N277" i="48"/>
  <c r="M321" i="48"/>
  <c r="DF103" i="55" s="1"/>
  <c r="DF126" i="55" s="1"/>
  <c r="DF149" i="55" s="1"/>
  <c r="M344" i="48"/>
  <c r="M345" i="48" s="1"/>
  <c r="O104" i="46"/>
  <c r="O109" i="46" s="1"/>
  <c r="O102" i="48"/>
  <c r="O105" i="46"/>
  <c r="O110" i="46" s="1"/>
  <c r="O106" i="46"/>
  <c r="O111" i="46" s="1"/>
  <c r="O107" i="46"/>
  <c r="O103" i="46"/>
  <c r="O108" i="46" s="1"/>
  <c r="S57" i="45"/>
  <c r="T30" i="45"/>
  <c r="AX104" i="45"/>
  <c r="T55" i="45"/>
  <c r="T56" i="45"/>
  <c r="S68" i="45"/>
  <c r="S70" i="45" s="1"/>
  <c r="S34" i="45"/>
  <c r="V27" i="45"/>
  <c r="BB27" i="45" s="1"/>
  <c r="U29" i="45"/>
  <c r="U31" i="45"/>
  <c r="U32" i="45"/>
  <c r="U35" i="45"/>
  <c r="U37" i="45"/>
  <c r="U28" i="45"/>
  <c r="U36" i="45"/>
  <c r="U54" i="45"/>
  <c r="AW75" i="45"/>
  <c r="T33" i="45"/>
  <c r="N313" i="46" l="1"/>
  <c r="AM49" i="58"/>
  <c r="G54" i="58"/>
  <c r="DE111" i="55"/>
  <c r="AM54" i="58"/>
  <c r="Q324" i="48"/>
  <c r="AM44" i="58"/>
  <c r="Q320" i="48"/>
  <c r="DE110" i="55"/>
  <c r="Q326" i="48"/>
  <c r="N115" i="45"/>
  <c r="AS155" i="55"/>
  <c r="DE155" i="55" s="1"/>
  <c r="DE132" i="55"/>
  <c r="N314" i="46"/>
  <c r="CA107" i="55" s="1"/>
  <c r="CA130" i="55" s="1"/>
  <c r="CA153" i="55" s="1"/>
  <c r="G49" i="58"/>
  <c r="H44" i="58"/>
  <c r="O100" i="45"/>
  <c r="N317" i="46"/>
  <c r="CA110" i="55" s="1"/>
  <c r="CA133" i="55" s="1"/>
  <c r="CA156" i="55" s="1"/>
  <c r="O113" i="45"/>
  <c r="AO130" i="55"/>
  <c r="DA107" i="55"/>
  <c r="AS154" i="55"/>
  <c r="DE154" i="55" s="1"/>
  <c r="DE131" i="55"/>
  <c r="N315" i="46"/>
  <c r="CA108" i="55" s="1"/>
  <c r="CA131" i="55" s="1"/>
  <c r="CA154" i="55" s="1"/>
  <c r="N316" i="46"/>
  <c r="CA109" i="55" s="1"/>
  <c r="CA132" i="55" s="1"/>
  <c r="CA155" i="55" s="1"/>
  <c r="AY70" i="45"/>
  <c r="AR156" i="55"/>
  <c r="DD156" i="55" s="1"/>
  <c r="DD133" i="55"/>
  <c r="AS156" i="55"/>
  <c r="DE156" i="55" s="1"/>
  <c r="DE133" i="55"/>
  <c r="AZ68" i="45"/>
  <c r="J124" i="45"/>
  <c r="AR157" i="55"/>
  <c r="DD157" i="55" s="1"/>
  <c r="DD134" i="55"/>
  <c r="AS157" i="55"/>
  <c r="DE157" i="55" s="1"/>
  <c r="DE134" i="55"/>
  <c r="AN153" i="55"/>
  <c r="CZ153" i="55" s="1"/>
  <c r="CZ130" i="55"/>
  <c r="H54" i="58"/>
  <c r="AN131" i="45"/>
  <c r="AN53" i="58" s="1"/>
  <c r="AN130" i="45"/>
  <c r="AN48" i="58" s="1"/>
  <c r="AN129" i="45"/>
  <c r="AN43" i="58" s="1"/>
  <c r="G44" i="58"/>
  <c r="H49" i="58"/>
  <c r="J131" i="45"/>
  <c r="J53" i="58" s="1"/>
  <c r="J130" i="45"/>
  <c r="J48" i="58" s="1"/>
  <c r="J129" i="45"/>
  <c r="J43" i="58" s="1"/>
  <c r="I131" i="45"/>
  <c r="I53" i="58" s="1"/>
  <c r="I130" i="45"/>
  <c r="I48" i="58" s="1"/>
  <c r="I129" i="45"/>
  <c r="I43" i="58" s="1"/>
  <c r="O91" i="45"/>
  <c r="O114" i="45" s="1"/>
  <c r="O115" i="45" s="1"/>
  <c r="AO124" i="45"/>
  <c r="O117" i="45"/>
  <c r="AU117" i="45"/>
  <c r="N322" i="46"/>
  <c r="N337" i="46" s="1"/>
  <c r="O103" i="55"/>
  <c r="O126" i="55" s="1"/>
  <c r="O149" i="55" s="1"/>
  <c r="O312" i="46"/>
  <c r="CB103" i="55"/>
  <c r="CB126" i="55" s="1"/>
  <c r="CB149" i="55" s="1"/>
  <c r="L104" i="55"/>
  <c r="L127" i="55" s="1"/>
  <c r="L150" i="55" s="1"/>
  <c r="L107" i="55"/>
  <c r="L130" i="55" s="1"/>
  <c r="L153" i="55" s="1"/>
  <c r="M322" i="48"/>
  <c r="AT103" i="55"/>
  <c r="AT126" i="55" s="1"/>
  <c r="AT149" i="55" s="1"/>
  <c r="P319" i="46"/>
  <c r="P323" i="46" s="1"/>
  <c r="O109" i="45"/>
  <c r="S104" i="45"/>
  <c r="J126" i="45"/>
  <c r="AN126" i="45"/>
  <c r="P106" i="45"/>
  <c r="AV106" i="45" s="1"/>
  <c r="AV109" i="45" s="1"/>
  <c r="K120" i="45"/>
  <c r="K122" i="45" s="1"/>
  <c r="AQ120" i="45"/>
  <c r="AQ122" i="45" s="1"/>
  <c r="J125" i="45"/>
  <c r="AR120" i="45"/>
  <c r="AR122" i="45" s="1"/>
  <c r="P97" i="45"/>
  <c r="I126" i="45"/>
  <c r="P76" i="45"/>
  <c r="AV76" i="45" s="1"/>
  <c r="P90" i="45"/>
  <c r="P91" i="45" s="1"/>
  <c r="AP120" i="45"/>
  <c r="AP122" i="45" s="1"/>
  <c r="V105" i="45"/>
  <c r="BB105" i="45" s="1"/>
  <c r="AU113" i="45"/>
  <c r="T67" i="45"/>
  <c r="O118" i="45"/>
  <c r="AZ57" i="45"/>
  <c r="AZ60" i="45" s="1"/>
  <c r="AZ73" i="45" s="1"/>
  <c r="BA33" i="45"/>
  <c r="BA30" i="45"/>
  <c r="AU116" i="45"/>
  <c r="U30" i="45"/>
  <c r="AV102" i="45"/>
  <c r="P101" i="45"/>
  <c r="AV101" i="45"/>
  <c r="P102" i="45"/>
  <c r="AV103" i="45"/>
  <c r="P103" i="45"/>
  <c r="R71" i="45"/>
  <c r="U265" i="48"/>
  <c r="U270" i="48" s="1"/>
  <c r="U267" i="48"/>
  <c r="U272" i="48" s="1"/>
  <c r="U264" i="48"/>
  <c r="U269" i="48" s="1"/>
  <c r="U266" i="48"/>
  <c r="U271" i="48" s="1"/>
  <c r="U268" i="48"/>
  <c r="AU118" i="45"/>
  <c r="R40" i="46"/>
  <c r="W46" i="46" s="1"/>
  <c r="W263" i="46" s="1"/>
  <c r="W266" i="46" s="1"/>
  <c r="W271" i="46" s="1"/>
  <c r="S58" i="45"/>
  <c r="S71" i="45" s="1"/>
  <c r="S60" i="45"/>
  <c r="S73" i="45" s="1"/>
  <c r="S59" i="45"/>
  <c r="K364" i="48"/>
  <c r="DD104" i="55" s="1"/>
  <c r="DD127" i="55" s="1"/>
  <c r="DD150" i="55" s="1"/>
  <c r="V268" i="46"/>
  <c r="V265" i="46"/>
  <c r="V270" i="46" s="1"/>
  <c r="V267" i="46"/>
  <c r="V272" i="46" s="1"/>
  <c r="V263" i="48"/>
  <c r="V266" i="46"/>
  <c r="V271" i="46" s="1"/>
  <c r="V264" i="46"/>
  <c r="V269" i="46" s="1"/>
  <c r="O116" i="45"/>
  <c r="R73" i="45"/>
  <c r="AY58" i="45"/>
  <c r="AY59" i="45"/>
  <c r="AY60" i="45"/>
  <c r="H374" i="48"/>
  <c r="AO125" i="45"/>
  <c r="T68" i="45"/>
  <c r="P111" i="45"/>
  <c r="AV111" i="45"/>
  <c r="AV112" i="45"/>
  <c r="P112" i="45"/>
  <c r="P110" i="45"/>
  <c r="AV110" i="45"/>
  <c r="AV94" i="45"/>
  <c r="AV93" i="45"/>
  <c r="P94" i="45"/>
  <c r="P93" i="45"/>
  <c r="AZ59" i="45"/>
  <c r="AV80" i="45"/>
  <c r="AV81" i="45"/>
  <c r="P79" i="45"/>
  <c r="P81" i="45"/>
  <c r="P80" i="45"/>
  <c r="AV79" i="45"/>
  <c r="R72" i="45"/>
  <c r="M347" i="48"/>
  <c r="M348" i="48"/>
  <c r="M349" i="48" s="1"/>
  <c r="M350" i="48" s="1"/>
  <c r="M352" i="48" s="1"/>
  <c r="T57" i="45"/>
  <c r="M340" i="48"/>
  <c r="AT109" i="55" s="1"/>
  <c r="M337" i="48"/>
  <c r="M339" i="48"/>
  <c r="AT108" i="55" s="1"/>
  <c r="M342" i="48"/>
  <c r="AT111" i="55" s="1"/>
  <c r="M338" i="48"/>
  <c r="M341" i="48"/>
  <c r="AT110" i="55" s="1"/>
  <c r="Q329" i="48"/>
  <c r="Q328" i="48"/>
  <c r="O117" i="48"/>
  <c r="O113" i="48"/>
  <c r="O118" i="48" s="1"/>
  <c r="O114" i="48"/>
  <c r="O119" i="48" s="1"/>
  <c r="O116" i="48"/>
  <c r="O121" i="48" s="1"/>
  <c r="O115" i="48"/>
  <c r="O120" i="48" s="1"/>
  <c r="O277" i="48"/>
  <c r="S75" i="45"/>
  <c r="R36" i="46"/>
  <c r="R42" i="46" s="1"/>
  <c r="O104" i="48"/>
  <c r="O109" i="48" s="1"/>
  <c r="O105" i="48"/>
  <c r="O110" i="48" s="1"/>
  <c r="O103" i="48"/>
  <c r="O108" i="48" s="1"/>
  <c r="O106" i="48"/>
  <c r="O111" i="48" s="1"/>
  <c r="O107" i="48"/>
  <c r="N321" i="48"/>
  <c r="DG103" i="55" s="1"/>
  <c r="DG126" i="55" s="1"/>
  <c r="DG149" i="55" s="1"/>
  <c r="N344" i="48"/>
  <c r="N345" i="48" s="1"/>
  <c r="AU100" i="45"/>
  <c r="Q335" i="48"/>
  <c r="Q334" i="48"/>
  <c r="Q346" i="48" s="1"/>
  <c r="AO121" i="45"/>
  <c r="AO128" i="45" s="1"/>
  <c r="O86" i="48"/>
  <c r="O91" i="48" s="1"/>
  <c r="O84" i="48"/>
  <c r="O89" i="48" s="1"/>
  <c r="O83" i="48"/>
  <c r="O88" i="48" s="1"/>
  <c r="O85" i="48"/>
  <c r="O90" i="48" s="1"/>
  <c r="O87" i="48"/>
  <c r="O321" i="46"/>
  <c r="O344" i="46"/>
  <c r="O345" i="46" s="1"/>
  <c r="P112" i="48"/>
  <c r="P113" i="46"/>
  <c r="P118" i="46" s="1"/>
  <c r="P114" i="46"/>
  <c r="P119" i="46" s="1"/>
  <c r="P117" i="46"/>
  <c r="P115" i="46"/>
  <c r="P120" i="46" s="1"/>
  <c r="P116" i="46"/>
  <c r="P121" i="46" s="1"/>
  <c r="P277" i="46"/>
  <c r="AU114" i="45"/>
  <c r="AU78" i="45"/>
  <c r="L119" i="45"/>
  <c r="K368" i="46"/>
  <c r="K373" i="46"/>
  <c r="L356" i="48"/>
  <c r="O76" i="48"/>
  <c r="O81" i="48" s="1"/>
  <c r="O75" i="48"/>
  <c r="O80" i="48" s="1"/>
  <c r="O73" i="48"/>
  <c r="O78" i="48" s="1"/>
  <c r="O74" i="48"/>
  <c r="O79" i="48" s="1"/>
  <c r="O77" i="48"/>
  <c r="N317" i="48"/>
  <c r="N314" i="48"/>
  <c r="N316" i="48"/>
  <c r="N318" i="48"/>
  <c r="N313" i="48"/>
  <c r="N315" i="48"/>
  <c r="P334" i="48"/>
  <c r="P346" i="48" s="1"/>
  <c r="P335" i="48"/>
  <c r="L356" i="46"/>
  <c r="L357" i="46" s="1"/>
  <c r="L366" i="46" s="1"/>
  <c r="P102" i="48"/>
  <c r="P103" i="46"/>
  <c r="P108" i="46" s="1"/>
  <c r="P104" i="46"/>
  <c r="P109" i="46" s="1"/>
  <c r="P107" i="46"/>
  <c r="P105" i="46"/>
  <c r="P110" i="46" s="1"/>
  <c r="P106" i="46"/>
  <c r="P111" i="46" s="1"/>
  <c r="N341" i="46"/>
  <c r="O110" i="55" s="1"/>
  <c r="O133" i="55" s="1"/>
  <c r="O156" i="55" s="1"/>
  <c r="AZ34" i="45"/>
  <c r="S36" i="48" s="1"/>
  <c r="S42" i="48" s="1"/>
  <c r="AZ67" i="45"/>
  <c r="AZ70" i="45" s="1"/>
  <c r="Q47" i="46"/>
  <c r="Q72" i="46"/>
  <c r="Q112" i="46"/>
  <c r="Q82" i="46"/>
  <c r="Q102" i="46"/>
  <c r="BB37" i="45"/>
  <c r="BB32" i="45"/>
  <c r="BB29" i="45"/>
  <c r="BB36" i="45"/>
  <c r="BB35" i="45"/>
  <c r="BB31" i="45"/>
  <c r="BB28" i="45"/>
  <c r="BB54" i="45"/>
  <c r="P329" i="48"/>
  <c r="P328" i="48"/>
  <c r="AT115" i="45"/>
  <c r="AV90" i="45"/>
  <c r="AV91" i="45" s="1"/>
  <c r="M331" i="46"/>
  <c r="M330" i="46"/>
  <c r="M348" i="46"/>
  <c r="M351" i="46" s="1"/>
  <c r="J364" i="46"/>
  <c r="I364" i="48"/>
  <c r="DB104" i="55" s="1"/>
  <c r="DB127" i="55" s="1"/>
  <c r="DB150" i="55" s="1"/>
  <c r="AV97" i="45"/>
  <c r="P100" i="45"/>
  <c r="P274" i="46"/>
  <c r="P86" i="46"/>
  <c r="P91" i="46" s="1"/>
  <c r="P87" i="46"/>
  <c r="P83" i="46"/>
  <c r="P88" i="46" s="1"/>
  <c r="P85" i="46"/>
  <c r="P90" i="46" s="1"/>
  <c r="P84" i="46"/>
  <c r="P89" i="46" s="1"/>
  <c r="P82" i="48"/>
  <c r="J364" i="48"/>
  <c r="DC104" i="55" s="1"/>
  <c r="DC127" i="55" s="1"/>
  <c r="DC150" i="55" s="1"/>
  <c r="N334" i="46"/>
  <c r="N346" i="46" s="1"/>
  <c r="N347" i="46" s="1"/>
  <c r="N335" i="46"/>
  <c r="P311" i="46"/>
  <c r="Q278" i="46"/>
  <c r="Q18" i="52" s="1"/>
  <c r="O311" i="48"/>
  <c r="O312" i="48" s="1"/>
  <c r="P278" i="48"/>
  <c r="N332" i="48"/>
  <c r="N336" i="48" s="1"/>
  <c r="N333" i="48"/>
  <c r="O325" i="46"/>
  <c r="O327" i="46"/>
  <c r="O326" i="46"/>
  <c r="O324" i="46"/>
  <c r="BA55" i="45"/>
  <c r="BA56" i="45"/>
  <c r="P72" i="48"/>
  <c r="P75" i="46"/>
  <c r="P80" i="46" s="1"/>
  <c r="P74" i="46"/>
  <c r="P79" i="46" s="1"/>
  <c r="P77" i="46"/>
  <c r="P73" i="46"/>
  <c r="P78" i="46" s="1"/>
  <c r="P76" i="46"/>
  <c r="P81" i="46" s="1"/>
  <c r="O333" i="48"/>
  <c r="O332" i="48"/>
  <c r="O336" i="48" s="1"/>
  <c r="N329" i="46"/>
  <c r="N328" i="46"/>
  <c r="O315" i="46"/>
  <c r="CB108" i="55" s="1"/>
  <c r="CB131" i="55" s="1"/>
  <c r="CB154" i="55" s="1"/>
  <c r="O313" i="46"/>
  <c r="O314" i="46"/>
  <c r="CB107" i="55" s="1"/>
  <c r="CB130" i="55" s="1"/>
  <c r="CB153" i="55" s="1"/>
  <c r="O316" i="46"/>
  <c r="CB109" i="55" s="1"/>
  <c r="CB132" i="55" s="1"/>
  <c r="CB155" i="55" s="1"/>
  <c r="O318" i="46"/>
  <c r="CB111" i="55" s="1"/>
  <c r="CB134" i="55" s="1"/>
  <c r="CB157" i="55" s="1"/>
  <c r="O317" i="46"/>
  <c r="CB110" i="55" s="1"/>
  <c r="CB133" i="55" s="1"/>
  <c r="CB156" i="55" s="1"/>
  <c r="R47" i="48"/>
  <c r="U33" i="45"/>
  <c r="AY75" i="45"/>
  <c r="W27" i="45"/>
  <c r="BC27" i="45" s="1"/>
  <c r="V28" i="45"/>
  <c r="V29" i="45"/>
  <c r="V31" i="45"/>
  <c r="V32" i="45"/>
  <c r="V35" i="45"/>
  <c r="V37" i="45"/>
  <c r="V54" i="45"/>
  <c r="V36" i="45"/>
  <c r="T34" i="45"/>
  <c r="U55" i="45"/>
  <c r="U56" i="45"/>
  <c r="AX75" i="45"/>
  <c r="BA34" i="45" l="1"/>
  <c r="T36" i="48" s="1"/>
  <c r="T42" i="48" s="1"/>
  <c r="P320" i="46"/>
  <c r="N342" i="46"/>
  <c r="O111" i="55" s="1"/>
  <c r="O134" i="55" s="1"/>
  <c r="O157" i="55" s="1"/>
  <c r="N340" i="46"/>
  <c r="O109" i="55" s="1"/>
  <c r="O132" i="55" s="1"/>
  <c r="O155" i="55" s="1"/>
  <c r="N338" i="46"/>
  <c r="N339" i="46"/>
  <c r="O108" i="55" s="1"/>
  <c r="O131" i="55" s="1"/>
  <c r="O154" i="55" s="1"/>
  <c r="AN44" i="58"/>
  <c r="AN49" i="58"/>
  <c r="AT133" i="55"/>
  <c r="DF110" i="55"/>
  <c r="AT134" i="55"/>
  <c r="DF111" i="55"/>
  <c r="AT131" i="55"/>
  <c r="DF108" i="55"/>
  <c r="BA68" i="45"/>
  <c r="AT132" i="55"/>
  <c r="DF109" i="55"/>
  <c r="AO153" i="55"/>
  <c r="DA153" i="55" s="1"/>
  <c r="DA130" i="55"/>
  <c r="I54" i="58"/>
  <c r="AN54" i="58"/>
  <c r="I49" i="58"/>
  <c r="J44" i="58"/>
  <c r="J54" i="58"/>
  <c r="AO131" i="45"/>
  <c r="AO53" i="58" s="1"/>
  <c r="AO130" i="45"/>
  <c r="AO48" i="58" s="1"/>
  <c r="AO129" i="45"/>
  <c r="AO43" i="58" s="1"/>
  <c r="J49" i="58"/>
  <c r="I44" i="58"/>
  <c r="P109" i="45"/>
  <c r="AV117" i="45"/>
  <c r="P117" i="45"/>
  <c r="P312" i="46"/>
  <c r="P318" i="46" s="1"/>
  <c r="CC111" i="55" s="1"/>
  <c r="CC134" i="55" s="1"/>
  <c r="CC157" i="55" s="1"/>
  <c r="CC103" i="55"/>
  <c r="CC126" i="55" s="1"/>
  <c r="CC149" i="55" s="1"/>
  <c r="N322" i="48"/>
  <c r="AU103" i="55"/>
  <c r="AU126" i="55" s="1"/>
  <c r="AU149" i="55" s="1"/>
  <c r="AQ104" i="55"/>
  <c r="AQ127" i="55" s="1"/>
  <c r="AQ150" i="55" s="1"/>
  <c r="AQ107" i="55"/>
  <c r="AP104" i="55"/>
  <c r="AP127" i="55" s="1"/>
  <c r="AP150" i="55" s="1"/>
  <c r="AP107" i="55"/>
  <c r="AR104" i="55"/>
  <c r="AR127" i="55" s="1"/>
  <c r="AR150" i="55" s="1"/>
  <c r="AR107" i="55"/>
  <c r="K104" i="55"/>
  <c r="K127" i="55" s="1"/>
  <c r="K150" i="55" s="1"/>
  <c r="K107" i="55"/>
  <c r="K130" i="55" s="1"/>
  <c r="K153" i="55" s="1"/>
  <c r="O322" i="46"/>
  <c r="O339" i="46" s="1"/>
  <c r="P108" i="55" s="1"/>
  <c r="P131" i="55" s="1"/>
  <c r="P154" i="55" s="1"/>
  <c r="P103" i="55"/>
  <c r="P126" i="55" s="1"/>
  <c r="P149" i="55" s="1"/>
  <c r="Q319" i="46"/>
  <c r="Q320" i="46" s="1"/>
  <c r="R319" i="48"/>
  <c r="R323" i="48" s="1"/>
  <c r="P78" i="45"/>
  <c r="P114" i="45"/>
  <c r="P113" i="45"/>
  <c r="BB30" i="45"/>
  <c r="T104" i="45"/>
  <c r="AQ119" i="45"/>
  <c r="AQ124" i="45" s="1"/>
  <c r="M120" i="45"/>
  <c r="M122" i="45" s="1"/>
  <c r="Q97" i="45"/>
  <c r="AW97" i="45" s="1"/>
  <c r="W105" i="45"/>
  <c r="BC105" i="45" s="1"/>
  <c r="Q90" i="45"/>
  <c r="AW90" i="45" s="1"/>
  <c r="AW91" i="45" s="1"/>
  <c r="AR119" i="45"/>
  <c r="AR124" i="45" s="1"/>
  <c r="Q76" i="45"/>
  <c r="AW76" i="45" s="1"/>
  <c r="AP119" i="45"/>
  <c r="AP121" i="45" s="1"/>
  <c r="AP128" i="45" s="1"/>
  <c r="AO126" i="45"/>
  <c r="Q106" i="45"/>
  <c r="Q109" i="45" s="1"/>
  <c r="T70" i="45"/>
  <c r="U67" i="45"/>
  <c r="K368" i="48"/>
  <c r="K373" i="48"/>
  <c r="AZ58" i="45"/>
  <c r="AZ71" i="45" s="1"/>
  <c r="U34" i="45"/>
  <c r="U75" i="45" s="1"/>
  <c r="W265" i="46"/>
  <c r="W270" i="46" s="1"/>
  <c r="S40" i="48"/>
  <c r="X46" i="48" s="1"/>
  <c r="M351" i="48"/>
  <c r="M356" i="48" s="1"/>
  <c r="M357" i="48" s="1"/>
  <c r="M364" i="48" s="1"/>
  <c r="BB33" i="45"/>
  <c r="AV118" i="45"/>
  <c r="BA57" i="45"/>
  <c r="BA59" i="45" s="1"/>
  <c r="Q274" i="46"/>
  <c r="R274" i="48"/>
  <c r="P118" i="45"/>
  <c r="P116" i="45"/>
  <c r="U68" i="45"/>
  <c r="Q80" i="45"/>
  <c r="AW80" i="45"/>
  <c r="Q81" i="45"/>
  <c r="AW79" i="45"/>
  <c r="Q79" i="45"/>
  <c r="AW81" i="45"/>
  <c r="AV113" i="45"/>
  <c r="W263" i="48"/>
  <c r="W264" i="48" s="1"/>
  <c r="W269" i="48" s="1"/>
  <c r="W264" i="46"/>
  <c r="W269" i="46" s="1"/>
  <c r="AZ72" i="45"/>
  <c r="AY72" i="45"/>
  <c r="BA67" i="45"/>
  <c r="BA70" i="45" s="1"/>
  <c r="Q94" i="45"/>
  <c r="AW94" i="45"/>
  <c r="Q93" i="45"/>
  <c r="AW93" i="45"/>
  <c r="L124" i="45"/>
  <c r="L123" i="45"/>
  <c r="Q103" i="45"/>
  <c r="AW103" i="45"/>
  <c r="AW101" i="45"/>
  <c r="Q101" i="45"/>
  <c r="AW102" i="45"/>
  <c r="Q102" i="45"/>
  <c r="W267" i="46"/>
  <c r="W272" i="46" s="1"/>
  <c r="W268" i="46"/>
  <c r="AV116" i="45"/>
  <c r="AY73" i="45"/>
  <c r="V267" i="48"/>
  <c r="V272" i="48" s="1"/>
  <c r="V266" i="48"/>
  <c r="V271" i="48" s="1"/>
  <c r="V264" i="48"/>
  <c r="V269" i="48" s="1"/>
  <c r="V265" i="48"/>
  <c r="V270" i="48" s="1"/>
  <c r="V268" i="48"/>
  <c r="S72" i="45"/>
  <c r="AW110" i="45"/>
  <c r="AW112" i="45"/>
  <c r="AW111" i="45"/>
  <c r="Q111" i="45"/>
  <c r="Q112" i="45"/>
  <c r="Q110" i="45"/>
  <c r="S40" i="46"/>
  <c r="X46" i="46" s="1"/>
  <c r="X263" i="46" s="1"/>
  <c r="X268" i="46" s="1"/>
  <c r="T59" i="45"/>
  <c r="T60" i="45"/>
  <c r="T73" i="45" s="1"/>
  <c r="T58" i="45"/>
  <c r="T71" i="45" s="1"/>
  <c r="AY71" i="45"/>
  <c r="BC31" i="45"/>
  <c r="BC32" i="45"/>
  <c r="BC29" i="45"/>
  <c r="BC36" i="45"/>
  <c r="BC37" i="45"/>
  <c r="BC35" i="45"/>
  <c r="BC28" i="45"/>
  <c r="BC54" i="45"/>
  <c r="P76" i="48"/>
  <c r="P81" i="48" s="1"/>
  <c r="P77" i="48"/>
  <c r="P73" i="48"/>
  <c r="P78" i="48" s="1"/>
  <c r="P75" i="48"/>
  <c r="P80" i="48" s="1"/>
  <c r="P74" i="48"/>
  <c r="P79" i="48" s="1"/>
  <c r="Q72" i="48"/>
  <c r="Q76" i="46"/>
  <c r="Q81" i="46" s="1"/>
  <c r="Q75" i="46"/>
  <c r="Q80" i="46" s="1"/>
  <c r="Q77" i="46"/>
  <c r="Q73" i="46"/>
  <c r="Q78" i="46" s="1"/>
  <c r="Q74" i="46"/>
  <c r="Q79" i="46" s="1"/>
  <c r="T47" i="48"/>
  <c r="K374" i="46"/>
  <c r="L125" i="45"/>
  <c r="O341" i="46"/>
  <c r="P110" i="55" s="1"/>
  <c r="P133" i="55" s="1"/>
  <c r="P156" i="55" s="1"/>
  <c r="Q78" i="45"/>
  <c r="O334" i="46"/>
  <c r="O346" i="46" s="1"/>
  <c r="O347" i="46" s="1"/>
  <c r="O335" i="46"/>
  <c r="P115" i="45"/>
  <c r="Q323" i="46"/>
  <c r="T75" i="45"/>
  <c r="S36" i="46"/>
  <c r="S42" i="46" s="1"/>
  <c r="P327" i="46"/>
  <c r="P324" i="46"/>
  <c r="P326" i="46"/>
  <c r="P325" i="46"/>
  <c r="M349" i="46"/>
  <c r="M350" i="46" s="1"/>
  <c r="M352" i="46" s="1"/>
  <c r="O316" i="48"/>
  <c r="O313" i="48"/>
  <c r="O318" i="48"/>
  <c r="O315" i="48"/>
  <c r="O314" i="48"/>
  <c r="O317" i="48"/>
  <c r="I368" i="48"/>
  <c r="I373" i="48"/>
  <c r="M333" i="46"/>
  <c r="M332" i="46"/>
  <c r="M336" i="46" s="1"/>
  <c r="Q86" i="46"/>
  <c r="Q91" i="46" s="1"/>
  <c r="Q87" i="46"/>
  <c r="Q84" i="46"/>
  <c r="Q89" i="46" s="1"/>
  <c r="Q82" i="48"/>
  <c r="Q85" i="46"/>
  <c r="Q90" i="46" s="1"/>
  <c r="Q83" i="46"/>
  <c r="Q88" i="46" s="1"/>
  <c r="L121" i="45"/>
  <c r="L128" i="45" s="1"/>
  <c r="N348" i="46"/>
  <c r="P114" i="48"/>
  <c r="P119" i="48" s="1"/>
  <c r="P113" i="48"/>
  <c r="P118" i="48" s="1"/>
  <c r="P117" i="48"/>
  <c r="P116" i="48"/>
  <c r="P121" i="48" s="1"/>
  <c r="P115" i="48"/>
  <c r="P120" i="48" s="1"/>
  <c r="P277" i="48"/>
  <c r="N347" i="48"/>
  <c r="N348" i="48"/>
  <c r="R47" i="46"/>
  <c r="R72" i="46"/>
  <c r="R82" i="46"/>
  <c r="R102" i="46"/>
  <c r="R112" i="46"/>
  <c r="O321" i="48"/>
  <c r="DH103" i="55" s="1"/>
  <c r="DH126" i="55" s="1"/>
  <c r="DH149" i="55" s="1"/>
  <c r="O344" i="48"/>
  <c r="O345" i="48" s="1"/>
  <c r="Q331" i="48"/>
  <c r="Q330" i="48"/>
  <c r="O329" i="46"/>
  <c r="O328" i="46"/>
  <c r="P316" i="46"/>
  <c r="CC109" i="55" s="1"/>
  <c r="CC132" i="55" s="1"/>
  <c r="CC155" i="55" s="1"/>
  <c r="P313" i="46"/>
  <c r="P315" i="46"/>
  <c r="CC108" i="55" s="1"/>
  <c r="CC131" i="55" s="1"/>
  <c r="CC154" i="55" s="1"/>
  <c r="P85" i="48"/>
  <c r="P90" i="48" s="1"/>
  <c r="P87" i="48"/>
  <c r="P86" i="48"/>
  <c r="P91" i="48" s="1"/>
  <c r="P84" i="48"/>
  <c r="P89" i="48" s="1"/>
  <c r="P83" i="48"/>
  <c r="P88" i="48" s="1"/>
  <c r="AV100" i="45"/>
  <c r="K119" i="45"/>
  <c r="J368" i="46"/>
  <c r="J373" i="46"/>
  <c r="P330" i="48"/>
  <c r="P331" i="48"/>
  <c r="P321" i="46"/>
  <c r="P344" i="46"/>
  <c r="P345" i="46" s="1"/>
  <c r="X266" i="46"/>
  <c r="X271" i="46" s="1"/>
  <c r="AV114" i="45"/>
  <c r="AV78" i="45"/>
  <c r="N331" i="46"/>
  <c r="N330" i="46"/>
  <c r="Q278" i="48"/>
  <c r="P311" i="48"/>
  <c r="P312" i="48" s="1"/>
  <c r="M356" i="46"/>
  <c r="M357" i="46" s="1"/>
  <c r="M364" i="46" s="1"/>
  <c r="Q102" i="48"/>
  <c r="Q104" i="46"/>
  <c r="Q109" i="46" s="1"/>
  <c r="Q105" i="46"/>
  <c r="Q110" i="46" s="1"/>
  <c r="Q107" i="46"/>
  <c r="Q106" i="46"/>
  <c r="Q111" i="46" s="1"/>
  <c r="Q103" i="46"/>
  <c r="Q108" i="46" s="1"/>
  <c r="AU115" i="45"/>
  <c r="R278" i="46"/>
  <c r="R18" i="52" s="1"/>
  <c r="Q311" i="46"/>
  <c r="J368" i="48"/>
  <c r="J373" i="48"/>
  <c r="BB56" i="45"/>
  <c r="BB55" i="45"/>
  <c r="Q115" i="46"/>
  <c r="Q120" i="46" s="1"/>
  <c r="Q117" i="46"/>
  <c r="Q113" i="46"/>
  <c r="Q118" i="46" s="1"/>
  <c r="Q116" i="46"/>
  <c r="Q121" i="46" s="1"/>
  <c r="Q112" i="48"/>
  <c r="Q114" i="46"/>
  <c r="Q119" i="46" s="1"/>
  <c r="Q277" i="46"/>
  <c r="S47" i="48"/>
  <c r="P104" i="48"/>
  <c r="P109" i="48" s="1"/>
  <c r="P103" i="48"/>
  <c r="P108" i="48" s="1"/>
  <c r="P106" i="48"/>
  <c r="P111" i="48" s="1"/>
  <c r="P107" i="48"/>
  <c r="P105" i="48"/>
  <c r="P110" i="48" s="1"/>
  <c r="L364" i="46"/>
  <c r="L357" i="48"/>
  <c r="L364" i="48" s="1"/>
  <c r="N340" i="48"/>
  <c r="AU109" i="55" s="1"/>
  <c r="N338" i="48"/>
  <c r="N339" i="48"/>
  <c r="AU108" i="55" s="1"/>
  <c r="N341" i="48"/>
  <c r="AU110" i="55" s="1"/>
  <c r="N342" i="48"/>
  <c r="AU111" i="55" s="1"/>
  <c r="N337" i="48"/>
  <c r="V30" i="45"/>
  <c r="V55" i="45"/>
  <c r="V56" i="45"/>
  <c r="X27" i="45"/>
  <c r="BD27" i="45" s="1"/>
  <c r="W28" i="45"/>
  <c r="W29" i="45"/>
  <c r="W31" i="45"/>
  <c r="W36" i="45"/>
  <c r="W32" i="45"/>
  <c r="W35" i="45"/>
  <c r="W54" i="45"/>
  <c r="W37" i="45"/>
  <c r="V33" i="45"/>
  <c r="AZ75" i="45"/>
  <c r="AY104" i="45"/>
  <c r="U57" i="45"/>
  <c r="AP124" i="45" l="1"/>
  <c r="T36" i="46"/>
  <c r="T42" i="46" s="1"/>
  <c r="T47" i="46" s="1"/>
  <c r="P314" i="46"/>
  <c r="CC107" i="55" s="1"/>
  <c r="CC130" i="55" s="1"/>
  <c r="CC153" i="55" s="1"/>
  <c r="O337" i="46"/>
  <c r="AO49" i="58"/>
  <c r="P317" i="46"/>
  <c r="CC110" i="55" s="1"/>
  <c r="CC133" i="55" s="1"/>
  <c r="CC156" i="55" s="1"/>
  <c r="O342" i="46"/>
  <c r="P111" i="55" s="1"/>
  <c r="P134" i="55" s="1"/>
  <c r="P157" i="55" s="1"/>
  <c r="O340" i="46"/>
  <c r="P109" i="55" s="1"/>
  <c r="P132" i="55" s="1"/>
  <c r="P155" i="55" s="1"/>
  <c r="Q117" i="45"/>
  <c r="O338" i="46"/>
  <c r="AW117" i="45"/>
  <c r="AU132" i="55"/>
  <c r="DG109" i="55"/>
  <c r="BB67" i="45"/>
  <c r="BB70" i="45" s="1"/>
  <c r="AQ130" i="55"/>
  <c r="DC107" i="55"/>
  <c r="BB68" i="45"/>
  <c r="AU134" i="55"/>
  <c r="DG111" i="55"/>
  <c r="AR130" i="55"/>
  <c r="DD107" i="55"/>
  <c r="AU133" i="55"/>
  <c r="DG110" i="55"/>
  <c r="AT157" i="55"/>
  <c r="DF157" i="55" s="1"/>
  <c r="DF134" i="55"/>
  <c r="AU131" i="55"/>
  <c r="DG108" i="55"/>
  <c r="AP130" i="55"/>
  <c r="DB107" i="55"/>
  <c r="AT155" i="55"/>
  <c r="DF155" i="55" s="1"/>
  <c r="DF132" i="55"/>
  <c r="AT154" i="55"/>
  <c r="DF154" i="55" s="1"/>
  <c r="DF131" i="55"/>
  <c r="AT156" i="55"/>
  <c r="DF156" i="55" s="1"/>
  <c r="DF133" i="55"/>
  <c r="AO54" i="58"/>
  <c r="AO44" i="58"/>
  <c r="L131" i="45"/>
  <c r="L53" i="58" s="1"/>
  <c r="L130" i="45"/>
  <c r="L48" i="58" s="1"/>
  <c r="L129" i="45"/>
  <c r="L43" i="58" s="1"/>
  <c r="AQ123" i="45"/>
  <c r="AP131" i="45"/>
  <c r="AP53" i="58" s="1"/>
  <c r="AP129" i="45"/>
  <c r="AP43" i="58" s="1"/>
  <c r="AP130" i="45"/>
  <c r="AP48" i="58" s="1"/>
  <c r="Q312" i="46"/>
  <c r="CD103" i="55"/>
  <c r="CD126" i="55" s="1"/>
  <c r="CD149" i="55" s="1"/>
  <c r="R320" i="48"/>
  <c r="O322" i="48"/>
  <c r="O341" i="48" s="1"/>
  <c r="AV110" i="55" s="1"/>
  <c r="AV103" i="55"/>
  <c r="AV126" i="55" s="1"/>
  <c r="AV149" i="55" s="1"/>
  <c r="P322" i="46"/>
  <c r="P339" i="46" s="1"/>
  <c r="Q108" i="55" s="1"/>
  <c r="Q131" i="55" s="1"/>
  <c r="Q154" i="55" s="1"/>
  <c r="Q103" i="55"/>
  <c r="Q126" i="55" s="1"/>
  <c r="Q149" i="55" s="1"/>
  <c r="M104" i="55"/>
  <c r="M127" i="55" s="1"/>
  <c r="M150" i="55" s="1"/>
  <c r="M107" i="55"/>
  <c r="M130" i="55" s="1"/>
  <c r="M153" i="55" s="1"/>
  <c r="BB34" i="45"/>
  <c r="U36" i="48" s="1"/>
  <c r="U42" i="48" s="1"/>
  <c r="U47" i="48" s="1"/>
  <c r="U319" i="48" s="1"/>
  <c r="AW106" i="45"/>
  <c r="AW109" i="45" s="1"/>
  <c r="R319" i="46"/>
  <c r="R323" i="46" s="1"/>
  <c r="Q91" i="45"/>
  <c r="Q114" i="45" s="1"/>
  <c r="S319" i="48"/>
  <c r="T319" i="48"/>
  <c r="Q113" i="45"/>
  <c r="U70" i="45"/>
  <c r="AP123" i="45"/>
  <c r="Q100" i="45"/>
  <c r="AR123" i="45"/>
  <c r="BC30" i="45"/>
  <c r="Y105" i="45"/>
  <c r="BE105" i="45" s="1"/>
  <c r="AT119" i="45"/>
  <c r="K374" i="48"/>
  <c r="AS119" i="45"/>
  <c r="R106" i="45"/>
  <c r="R109" i="45" s="1"/>
  <c r="N119" i="45"/>
  <c r="X105" i="45"/>
  <c r="BD105" i="45" s="1"/>
  <c r="R97" i="45"/>
  <c r="R90" i="45"/>
  <c r="AX90" i="45" s="1"/>
  <c r="AX91" i="45" s="1"/>
  <c r="L126" i="45"/>
  <c r="R76" i="45"/>
  <c r="BA60" i="45"/>
  <c r="BA73" i="45" s="1"/>
  <c r="AR125" i="45"/>
  <c r="T40" i="48"/>
  <c r="Y46" i="48" s="1"/>
  <c r="W267" i="48"/>
  <c r="W272" i="48" s="1"/>
  <c r="W265" i="48"/>
  <c r="W270" i="48" s="1"/>
  <c r="W266" i="48"/>
  <c r="W271" i="48" s="1"/>
  <c r="BA58" i="45"/>
  <c r="BA71" i="45" s="1"/>
  <c r="X267" i="46"/>
  <c r="X272" i="46" s="1"/>
  <c r="O348" i="46"/>
  <c r="O351" i="46" s="1"/>
  <c r="O356" i="46" s="1"/>
  <c r="BB57" i="45"/>
  <c r="BB58" i="45" s="1"/>
  <c r="T274" i="48"/>
  <c r="Q118" i="45"/>
  <c r="T40" i="46"/>
  <c r="Y46" i="46" s="1"/>
  <c r="Y263" i="46" s="1"/>
  <c r="Y263" i="48" s="1"/>
  <c r="U58" i="45"/>
  <c r="U71" i="45" s="1"/>
  <c r="U59" i="45"/>
  <c r="U60" i="45"/>
  <c r="U73" i="45" s="1"/>
  <c r="AX101" i="45"/>
  <c r="R103" i="45"/>
  <c r="AX103" i="45"/>
  <c r="R102" i="45"/>
  <c r="AX102" i="45"/>
  <c r="R101" i="45"/>
  <c r="X264" i="46"/>
  <c r="X269" i="46" s="1"/>
  <c r="V57" i="45"/>
  <c r="W268" i="48"/>
  <c r="AX106" i="45"/>
  <c r="AX109" i="45" s="1"/>
  <c r="X265" i="46"/>
  <c r="X270" i="46" s="1"/>
  <c r="K123" i="45"/>
  <c r="K124" i="45"/>
  <c r="AX94" i="45"/>
  <c r="R93" i="45"/>
  <c r="R94" i="45"/>
  <c r="AX93" i="45"/>
  <c r="AW118" i="45"/>
  <c r="BA72" i="45"/>
  <c r="Q116" i="45"/>
  <c r="AX112" i="45"/>
  <c r="AX110" i="45"/>
  <c r="AX111" i="45"/>
  <c r="R111" i="45"/>
  <c r="R112" i="45"/>
  <c r="R110" i="45"/>
  <c r="X263" i="48"/>
  <c r="X265" i="48" s="1"/>
  <c r="X270" i="48" s="1"/>
  <c r="V68" i="45"/>
  <c r="W30" i="45"/>
  <c r="V67" i="45"/>
  <c r="L366" i="48"/>
  <c r="AS107" i="55" s="1"/>
  <c r="S274" i="48"/>
  <c r="J374" i="48"/>
  <c r="AQ125" i="45"/>
  <c r="I374" i="48"/>
  <c r="AP125" i="45"/>
  <c r="R79" i="45"/>
  <c r="AX79" i="45"/>
  <c r="R80" i="45"/>
  <c r="R81" i="45"/>
  <c r="AX81" i="45"/>
  <c r="AX80" i="45"/>
  <c r="T72" i="45"/>
  <c r="AW116" i="45"/>
  <c r="BD28" i="45"/>
  <c r="BD36" i="45"/>
  <c r="BD37" i="45"/>
  <c r="BD35" i="45"/>
  <c r="BD31" i="45"/>
  <c r="BD32" i="45"/>
  <c r="BD29" i="45"/>
  <c r="BD54" i="45"/>
  <c r="S278" i="46"/>
  <c r="S18" i="52" s="1"/>
  <c r="R311" i="46"/>
  <c r="T72" i="46"/>
  <c r="R105" i="46"/>
  <c r="R110" i="46" s="1"/>
  <c r="R107" i="46"/>
  <c r="R102" i="48"/>
  <c r="R106" i="46"/>
  <c r="R111" i="46" s="1"/>
  <c r="R104" i="46"/>
  <c r="R109" i="46" s="1"/>
  <c r="R103" i="46"/>
  <c r="R108" i="46" s="1"/>
  <c r="Q77" i="48"/>
  <c r="Q73" i="48"/>
  <c r="Q78" i="48" s="1"/>
  <c r="Q74" i="48"/>
  <c r="Q79" i="48" s="1"/>
  <c r="Q76" i="48"/>
  <c r="Q81" i="48" s="1"/>
  <c r="Q75" i="48"/>
  <c r="Q80" i="48" s="1"/>
  <c r="Q117" i="48"/>
  <c r="Q114" i="48"/>
  <c r="Q119" i="48" s="1"/>
  <c r="Q115" i="48"/>
  <c r="Q120" i="48" s="1"/>
  <c r="Q116" i="48"/>
  <c r="Q121" i="48" s="1"/>
  <c r="Q113" i="48"/>
  <c r="Q118" i="48" s="1"/>
  <c r="Q277" i="48"/>
  <c r="M366" i="46"/>
  <c r="N104" i="55" s="1"/>
  <c r="N127" i="55" s="1"/>
  <c r="N150" i="55" s="1"/>
  <c r="P333" i="48"/>
  <c r="P332" i="48"/>
  <c r="P336" i="48" s="1"/>
  <c r="O330" i="46"/>
  <c r="O331" i="46"/>
  <c r="R85" i="46"/>
  <c r="R90" i="46" s="1"/>
  <c r="R83" i="46"/>
  <c r="R88" i="46" s="1"/>
  <c r="R86" i="46"/>
  <c r="R91" i="46" s="1"/>
  <c r="R87" i="46"/>
  <c r="R82" i="48"/>
  <c r="R84" i="46"/>
  <c r="R89" i="46" s="1"/>
  <c r="P328" i="46"/>
  <c r="P329" i="46"/>
  <c r="AW114" i="45"/>
  <c r="AW78" i="45"/>
  <c r="AX76" i="45"/>
  <c r="R78" i="45"/>
  <c r="BC56" i="45"/>
  <c r="BC55" i="45"/>
  <c r="BC33" i="45"/>
  <c r="AX97" i="45"/>
  <c r="R100" i="45"/>
  <c r="N333" i="46"/>
  <c r="N332" i="46"/>
  <c r="N336" i="46" s="1"/>
  <c r="K121" i="45"/>
  <c r="K128" i="45" s="1"/>
  <c r="O348" i="48"/>
  <c r="O349" i="48" s="1"/>
  <c r="O350" i="48" s="1"/>
  <c r="O352" i="48" s="1"/>
  <c r="O347" i="48"/>
  <c r="N351" i="48"/>
  <c r="N349" i="48"/>
  <c r="N350" i="48" s="1"/>
  <c r="N352" i="48" s="1"/>
  <c r="N349" i="46"/>
  <c r="N350" i="46" s="1"/>
  <c r="N352" i="46" s="1"/>
  <c r="N351" i="46"/>
  <c r="AW100" i="45"/>
  <c r="S323" i="48"/>
  <c r="S320" i="48"/>
  <c r="Q107" i="48"/>
  <c r="Q105" i="48"/>
  <c r="Q110" i="48" s="1"/>
  <c r="Q106" i="48"/>
  <c r="Q111" i="48" s="1"/>
  <c r="Q103" i="48"/>
  <c r="Q108" i="48" s="1"/>
  <c r="Q104" i="48"/>
  <c r="Q109" i="48" s="1"/>
  <c r="P314" i="48"/>
  <c r="P317" i="48"/>
  <c r="P316" i="48"/>
  <c r="P313" i="48"/>
  <c r="P315" i="48"/>
  <c r="P318" i="48"/>
  <c r="P341" i="46"/>
  <c r="Q110" i="55" s="1"/>
  <c r="Q133" i="55" s="1"/>
  <c r="Q156" i="55" s="1"/>
  <c r="P340" i="46"/>
  <c r="Q109" i="55" s="1"/>
  <c r="Q132" i="55" s="1"/>
  <c r="Q155" i="55" s="1"/>
  <c r="P337" i="46"/>
  <c r="P338" i="46"/>
  <c r="J374" i="46"/>
  <c r="K125" i="45"/>
  <c r="AV115" i="45"/>
  <c r="Q333" i="48"/>
  <c r="Q332" i="48"/>
  <c r="Q336" i="48" s="1"/>
  <c r="R274" i="46"/>
  <c r="R72" i="48"/>
  <c r="R74" i="46"/>
  <c r="R79" i="46" s="1"/>
  <c r="R77" i="46"/>
  <c r="R73" i="46"/>
  <c r="R78" i="46" s="1"/>
  <c r="R75" i="46"/>
  <c r="R80" i="46" s="1"/>
  <c r="R76" i="46"/>
  <c r="R81" i="46" s="1"/>
  <c r="P321" i="48"/>
  <c r="DI103" i="55" s="1"/>
  <c r="DI126" i="55" s="1"/>
  <c r="DI149" i="55" s="1"/>
  <c r="P344" i="48"/>
  <c r="P345" i="48" s="1"/>
  <c r="Q86" i="48"/>
  <c r="Q91" i="48" s="1"/>
  <c r="Q83" i="48"/>
  <c r="Q88" i="48" s="1"/>
  <c r="Q85" i="48"/>
  <c r="Q90" i="48" s="1"/>
  <c r="Q84" i="48"/>
  <c r="Q89" i="48" s="1"/>
  <c r="Q87" i="48"/>
  <c r="R327" i="48"/>
  <c r="R326" i="48"/>
  <c r="R324" i="48"/>
  <c r="R325" i="48"/>
  <c r="S47" i="46"/>
  <c r="S102" i="46"/>
  <c r="S112" i="46"/>
  <c r="S72" i="46"/>
  <c r="S82" i="46"/>
  <c r="Q324" i="46"/>
  <c r="Q326" i="46"/>
  <c r="Q327" i="46"/>
  <c r="Q325" i="46"/>
  <c r="T323" i="48"/>
  <c r="T320" i="48"/>
  <c r="O349" i="46"/>
  <c r="O350" i="46" s="1"/>
  <c r="L368" i="46"/>
  <c r="M119" i="45"/>
  <c r="L373" i="46"/>
  <c r="Q321" i="46"/>
  <c r="Q344" i="46"/>
  <c r="Q345" i="46" s="1"/>
  <c r="Q313" i="46"/>
  <c r="Q315" i="46"/>
  <c r="CD108" i="55" s="1"/>
  <c r="CD131" i="55" s="1"/>
  <c r="CD154" i="55" s="1"/>
  <c r="Q316" i="46"/>
  <c r="CD109" i="55" s="1"/>
  <c r="CD132" i="55" s="1"/>
  <c r="CD155" i="55" s="1"/>
  <c r="Q317" i="46"/>
  <c r="CD110" i="55" s="1"/>
  <c r="CD133" i="55" s="1"/>
  <c r="CD156" i="55" s="1"/>
  <c r="Q314" i="46"/>
  <c r="CD107" i="55" s="1"/>
  <c r="CD130" i="55" s="1"/>
  <c r="CD153" i="55" s="1"/>
  <c r="Q318" i="46"/>
  <c r="CD111" i="55" s="1"/>
  <c r="CD134" i="55" s="1"/>
  <c r="CD157" i="55" s="1"/>
  <c r="Q311" i="48"/>
  <c r="Q312" i="48" s="1"/>
  <c r="R278" i="48"/>
  <c r="R112" i="48"/>
  <c r="R115" i="46"/>
  <c r="R120" i="46" s="1"/>
  <c r="R116" i="46"/>
  <c r="R121" i="46" s="1"/>
  <c r="R114" i="46"/>
  <c r="R119" i="46" s="1"/>
  <c r="R117" i="46"/>
  <c r="R113" i="46"/>
  <c r="R118" i="46" s="1"/>
  <c r="R277" i="46"/>
  <c r="AR121" i="45"/>
  <c r="AR128" i="45" s="1"/>
  <c r="P334" i="46"/>
  <c r="P346" i="46" s="1"/>
  <c r="P347" i="46" s="1"/>
  <c r="P335" i="46"/>
  <c r="M366" i="48"/>
  <c r="AT104" i="55" s="1"/>
  <c r="AT127" i="55" s="1"/>
  <c r="AT150" i="55" s="1"/>
  <c r="W33" i="45"/>
  <c r="W34" i="45" s="1"/>
  <c r="V34" i="45"/>
  <c r="U104" i="45"/>
  <c r="W55" i="45"/>
  <c r="W56" i="45"/>
  <c r="X32" i="45"/>
  <c r="Y27" i="45"/>
  <c r="BE27" i="45" s="1"/>
  <c r="X29" i="45"/>
  <c r="X31" i="45"/>
  <c r="X37" i="45"/>
  <c r="X36" i="45"/>
  <c r="X35" i="45"/>
  <c r="X28" i="45"/>
  <c r="X54" i="45"/>
  <c r="AZ104" i="45"/>
  <c r="U274" i="48" l="1"/>
  <c r="P342" i="46"/>
  <c r="Q111" i="55" s="1"/>
  <c r="Q134" i="55" s="1"/>
  <c r="Q157" i="55" s="1"/>
  <c r="T102" i="46"/>
  <c r="R320" i="46"/>
  <c r="T82" i="46"/>
  <c r="T112" i="46"/>
  <c r="L54" i="58"/>
  <c r="AW113" i="45"/>
  <c r="AW115" i="45" s="1"/>
  <c r="DF104" i="55"/>
  <c r="DF127" i="55" s="1"/>
  <c r="DF150" i="55" s="1"/>
  <c r="AV133" i="55"/>
  <c r="DH110" i="55"/>
  <c r="AU154" i="55"/>
  <c r="DG154" i="55" s="1"/>
  <c r="DG131" i="55"/>
  <c r="AU155" i="55"/>
  <c r="DG155" i="55" s="1"/>
  <c r="DG132" i="55"/>
  <c r="AS130" i="55"/>
  <c r="DE107" i="55"/>
  <c r="AR153" i="55"/>
  <c r="DD153" i="55" s="1"/>
  <c r="DD130" i="55"/>
  <c r="DE104" i="55"/>
  <c r="DE127" i="55" s="1"/>
  <c r="DE150" i="55" s="1"/>
  <c r="AU156" i="55"/>
  <c r="DG156" i="55" s="1"/>
  <c r="DG133" i="55"/>
  <c r="AU157" i="55"/>
  <c r="DG157" i="55" s="1"/>
  <c r="DG134" i="55"/>
  <c r="AP153" i="55"/>
  <c r="DB153" i="55" s="1"/>
  <c r="DB130" i="55"/>
  <c r="AQ153" i="55"/>
  <c r="DC153" i="55" s="1"/>
  <c r="DC130" i="55"/>
  <c r="L44" i="58"/>
  <c r="AR131" i="45"/>
  <c r="AR53" i="58" s="1"/>
  <c r="AR129" i="45"/>
  <c r="AR43" i="58" s="1"/>
  <c r="AR130" i="45"/>
  <c r="AR48" i="58" s="1"/>
  <c r="L49" i="58"/>
  <c r="K131" i="45"/>
  <c r="K53" i="58" s="1"/>
  <c r="K130" i="45"/>
  <c r="K48" i="58" s="1"/>
  <c r="K129" i="45"/>
  <c r="K43" i="58" s="1"/>
  <c r="AP54" i="58"/>
  <c r="AP49" i="58"/>
  <c r="AP44" i="58"/>
  <c r="O338" i="48"/>
  <c r="O339" i="48"/>
  <c r="AV108" i="55" s="1"/>
  <c r="O340" i="48"/>
  <c r="AV109" i="55" s="1"/>
  <c r="O342" i="48"/>
  <c r="AV111" i="55" s="1"/>
  <c r="O337" i="48"/>
  <c r="R117" i="45"/>
  <c r="AX117" i="45"/>
  <c r="Q115" i="45"/>
  <c r="U323" i="48"/>
  <c r="U325" i="48" s="1"/>
  <c r="U320" i="48"/>
  <c r="AS104" i="55"/>
  <c r="AS127" i="55" s="1"/>
  <c r="AS150" i="55" s="1"/>
  <c r="N107" i="55"/>
  <c r="N130" i="55" s="1"/>
  <c r="N153" i="55" s="1"/>
  <c r="R312" i="46"/>
  <c r="CE103" i="55"/>
  <c r="CE126" i="55" s="1"/>
  <c r="CE149" i="55" s="1"/>
  <c r="Q322" i="46"/>
  <c r="R103" i="55"/>
  <c r="R126" i="55" s="1"/>
  <c r="R149" i="55" s="1"/>
  <c r="AT107" i="55"/>
  <c r="P322" i="48"/>
  <c r="P338" i="48" s="1"/>
  <c r="AW103" i="55"/>
  <c r="AW126" i="55" s="1"/>
  <c r="AW149" i="55" s="1"/>
  <c r="T319" i="46"/>
  <c r="T320" i="46" s="1"/>
  <c r="S319" i="46"/>
  <c r="R91" i="45"/>
  <c r="R114" i="45" s="1"/>
  <c r="Y265" i="46"/>
  <c r="Y270" i="46" s="1"/>
  <c r="Y266" i="46"/>
  <c r="Y271" i="46" s="1"/>
  <c r="Y267" i="46"/>
  <c r="Y272" i="46" s="1"/>
  <c r="R113" i="45"/>
  <c r="V104" i="45"/>
  <c r="S90" i="45"/>
  <c r="AY90" i="45" s="1"/>
  <c r="AY91" i="45" s="1"/>
  <c r="S76" i="45"/>
  <c r="AY76" i="45" s="1"/>
  <c r="K126" i="45"/>
  <c r="AP126" i="45"/>
  <c r="L368" i="48"/>
  <c r="S97" i="45"/>
  <c r="AY97" i="45" s="1"/>
  <c r="M373" i="46"/>
  <c r="M374" i="46" s="1"/>
  <c r="S106" i="45"/>
  <c r="S109" i="45" s="1"/>
  <c r="AQ126" i="45"/>
  <c r="AR126" i="45"/>
  <c r="BB59" i="45"/>
  <c r="BB72" i="45" s="1"/>
  <c r="Y268" i="46"/>
  <c r="BB60" i="45"/>
  <c r="BB73" i="45" s="1"/>
  <c r="X264" i="48"/>
  <c r="X269" i="48" s="1"/>
  <c r="U40" i="48"/>
  <c r="Z46" i="48" s="1"/>
  <c r="Y264" i="46"/>
  <c r="Y269" i="46" s="1"/>
  <c r="V70" i="45"/>
  <c r="O352" i="46"/>
  <c r="BC68" i="45"/>
  <c r="AX116" i="45"/>
  <c r="AY103" i="45"/>
  <c r="S103" i="45"/>
  <c r="AY101" i="45"/>
  <c r="S101" i="45"/>
  <c r="AY102" i="45"/>
  <c r="S102" i="45"/>
  <c r="M123" i="45"/>
  <c r="M124" i="45"/>
  <c r="X266" i="48"/>
  <c r="X271" i="48" s="1"/>
  <c r="L373" i="48"/>
  <c r="AS120" i="45"/>
  <c r="U72" i="45"/>
  <c r="S80" i="45"/>
  <c r="AY81" i="45"/>
  <c r="S79" i="45"/>
  <c r="AY80" i="45"/>
  <c r="AY79" i="45"/>
  <c r="S81" i="45"/>
  <c r="X268" i="48"/>
  <c r="BC57" i="45"/>
  <c r="V40" i="48" s="1"/>
  <c r="AA46" i="48" s="1"/>
  <c r="AY94" i="45"/>
  <c r="S94" i="45"/>
  <c r="S93" i="45"/>
  <c r="AY93" i="45"/>
  <c r="P348" i="46"/>
  <c r="P349" i="46" s="1"/>
  <c r="P350" i="46" s="1"/>
  <c r="T274" i="46"/>
  <c r="BB71" i="45"/>
  <c r="AX118" i="45"/>
  <c r="R116" i="45"/>
  <c r="AY111" i="45"/>
  <c r="AY117" i="45" s="1"/>
  <c r="AY112" i="45"/>
  <c r="S111" i="45"/>
  <c r="S112" i="45"/>
  <c r="S110" i="45"/>
  <c r="AY110" i="45"/>
  <c r="W68" i="45"/>
  <c r="X267" i="48"/>
  <c r="X272" i="48" s="1"/>
  <c r="AX113" i="45"/>
  <c r="R118" i="45"/>
  <c r="U40" i="46"/>
  <c r="Z46" i="46" s="1"/>
  <c r="Z263" i="46" s="1"/>
  <c r="V58" i="45"/>
  <c r="V59" i="45"/>
  <c r="V60" i="45"/>
  <c r="M368" i="48"/>
  <c r="AT120" i="45"/>
  <c r="R311" i="48"/>
  <c r="R312" i="48" s="1"/>
  <c r="S278" i="48"/>
  <c r="Q328" i="46"/>
  <c r="Q329" i="46"/>
  <c r="AX114" i="45"/>
  <c r="AX78" i="45"/>
  <c r="BE37" i="45"/>
  <c r="BE32" i="45"/>
  <c r="BE29" i="45"/>
  <c r="BE35" i="45"/>
  <c r="BE31" i="45"/>
  <c r="BE28" i="45"/>
  <c r="BE36" i="45"/>
  <c r="BE54" i="45"/>
  <c r="BC67" i="45"/>
  <c r="R116" i="48"/>
  <c r="R121" i="48" s="1"/>
  <c r="R113" i="48"/>
  <c r="R118" i="48" s="1"/>
  <c r="R117" i="48"/>
  <c r="R115" i="48"/>
  <c r="R120" i="48" s="1"/>
  <c r="R114" i="48"/>
  <c r="R119" i="48" s="1"/>
  <c r="R277" i="48"/>
  <c r="Q316" i="48"/>
  <c r="Q315" i="48"/>
  <c r="Q313" i="48"/>
  <c r="Q318" i="48"/>
  <c r="Q314" i="48"/>
  <c r="Q317" i="48"/>
  <c r="T325" i="48"/>
  <c r="T326" i="48"/>
  <c r="T327" i="48"/>
  <c r="T324" i="48"/>
  <c r="S114" i="46"/>
  <c r="S119" i="46" s="1"/>
  <c r="S112" i="48"/>
  <c r="S115" i="46"/>
  <c r="S120" i="46" s="1"/>
  <c r="S117" i="46"/>
  <c r="S116" i="46"/>
  <c r="S121" i="46" s="1"/>
  <c r="S113" i="46"/>
  <c r="S118" i="46" s="1"/>
  <c r="S277" i="46"/>
  <c r="P348" i="48"/>
  <c r="P349" i="48" s="1"/>
  <c r="P350" i="48" s="1"/>
  <c r="P352" i="48" s="1"/>
  <c r="P347" i="48"/>
  <c r="S325" i="48"/>
  <c r="S327" i="48"/>
  <c r="S324" i="48"/>
  <c r="S326" i="48"/>
  <c r="N356" i="48"/>
  <c r="AX100" i="45"/>
  <c r="T116" i="46"/>
  <c r="T121" i="46" s="1"/>
  <c r="T113" i="46"/>
  <c r="T118" i="46" s="1"/>
  <c r="T117" i="46"/>
  <c r="T112" i="48"/>
  <c r="T114" i="46"/>
  <c r="T119" i="46" s="1"/>
  <c r="T115" i="46"/>
  <c r="T120" i="46" s="1"/>
  <c r="T277" i="46"/>
  <c r="BD55" i="45"/>
  <c r="BD56" i="45"/>
  <c r="BD33" i="45"/>
  <c r="BD30" i="45"/>
  <c r="M121" i="45"/>
  <c r="M128" i="45" s="1"/>
  <c r="S72" i="48"/>
  <c r="S76" i="46"/>
  <c r="S81" i="46" s="1"/>
  <c r="S75" i="46"/>
  <c r="S80" i="46" s="1"/>
  <c r="S77" i="46"/>
  <c r="S74" i="46"/>
  <c r="S79" i="46" s="1"/>
  <c r="S73" i="46"/>
  <c r="S78" i="46" s="1"/>
  <c r="R74" i="48"/>
  <c r="R79" i="48" s="1"/>
  <c r="R73" i="48"/>
  <c r="R78" i="48" s="1"/>
  <c r="R77" i="48"/>
  <c r="R75" i="48"/>
  <c r="R80" i="48" s="1"/>
  <c r="R76" i="48"/>
  <c r="R81" i="48" s="1"/>
  <c r="T85" i="46"/>
  <c r="T90" i="46" s="1"/>
  <c r="T82" i="48"/>
  <c r="T84" i="46"/>
  <c r="T89" i="46" s="1"/>
  <c r="T87" i="46"/>
  <c r="T86" i="46"/>
  <c r="T91" i="46" s="1"/>
  <c r="T83" i="46"/>
  <c r="T88" i="46" s="1"/>
  <c r="V75" i="45"/>
  <c r="U36" i="46"/>
  <c r="U42" i="46" s="1"/>
  <c r="R324" i="46"/>
  <c r="R325" i="46"/>
  <c r="R326" i="46"/>
  <c r="R327" i="46"/>
  <c r="U327" i="48"/>
  <c r="Q337" i="46"/>
  <c r="Q341" i="46"/>
  <c r="R110" i="55" s="1"/>
  <c r="R133" i="55" s="1"/>
  <c r="R156" i="55" s="1"/>
  <c r="Q339" i="46"/>
  <c r="R108" i="55" s="1"/>
  <c r="R131" i="55" s="1"/>
  <c r="R154" i="55" s="1"/>
  <c r="Q338" i="46"/>
  <c r="Q340" i="46"/>
  <c r="R109" i="55" s="1"/>
  <c r="R132" i="55" s="1"/>
  <c r="R155" i="55" s="1"/>
  <c r="Q342" i="46"/>
  <c r="R111" i="55" s="1"/>
  <c r="R134" i="55" s="1"/>
  <c r="R157" i="55" s="1"/>
  <c r="S274" i="46"/>
  <c r="S102" i="48"/>
  <c r="S104" i="46"/>
  <c r="S109" i="46" s="1"/>
  <c r="S105" i="46"/>
  <c r="S110" i="46" s="1"/>
  <c r="S103" i="46"/>
  <c r="S108" i="46" s="1"/>
  <c r="S107" i="46"/>
  <c r="S106" i="46"/>
  <c r="S111" i="46" s="1"/>
  <c r="R328" i="48"/>
  <c r="R329" i="48"/>
  <c r="P337" i="48"/>
  <c r="N356" i="46"/>
  <c r="O351" i="48"/>
  <c r="R84" i="48"/>
  <c r="R89" i="48" s="1"/>
  <c r="R85" i="48"/>
  <c r="R90" i="48" s="1"/>
  <c r="R83" i="48"/>
  <c r="R88" i="48" s="1"/>
  <c r="R87" i="48"/>
  <c r="R86" i="48"/>
  <c r="R91" i="48" s="1"/>
  <c r="O332" i="46"/>
  <c r="O336" i="46" s="1"/>
  <c r="O333" i="46"/>
  <c r="M368" i="46"/>
  <c r="N120" i="45"/>
  <c r="R104" i="48"/>
  <c r="R109" i="48" s="1"/>
  <c r="R107" i="48"/>
  <c r="R103" i="48"/>
  <c r="R108" i="48" s="1"/>
  <c r="R105" i="48"/>
  <c r="R110" i="48" s="1"/>
  <c r="R106" i="48"/>
  <c r="R111" i="48" s="1"/>
  <c r="T72" i="48"/>
  <c r="T75" i="46"/>
  <c r="T80" i="46" s="1"/>
  <c r="T74" i="46"/>
  <c r="T79" i="46" s="1"/>
  <c r="T77" i="46"/>
  <c r="T73" i="46"/>
  <c r="T78" i="46" s="1"/>
  <c r="T76" i="46"/>
  <c r="T81" i="46" s="1"/>
  <c r="R317" i="46"/>
  <c r="CE110" i="55" s="1"/>
  <c r="CE133" i="55" s="1"/>
  <c r="CE156" i="55" s="1"/>
  <c r="R316" i="46"/>
  <c r="CE109" i="55" s="1"/>
  <c r="CE132" i="55" s="1"/>
  <c r="CE155" i="55" s="1"/>
  <c r="R318" i="46"/>
  <c r="CE111" i="55" s="1"/>
  <c r="CE134" i="55" s="1"/>
  <c r="CE157" i="55" s="1"/>
  <c r="R314" i="46"/>
  <c r="CE107" i="55" s="1"/>
  <c r="CE130" i="55" s="1"/>
  <c r="CE153" i="55" s="1"/>
  <c r="R315" i="46"/>
  <c r="CE108" i="55" s="1"/>
  <c r="CE131" i="55" s="1"/>
  <c r="CE154" i="55" s="1"/>
  <c r="R313" i="46"/>
  <c r="Y264" i="48"/>
  <c r="Y269" i="48" s="1"/>
  <c r="Y266" i="48"/>
  <c r="Y271" i="48" s="1"/>
  <c r="Y267" i="48"/>
  <c r="Y272" i="48" s="1"/>
  <c r="Y268" i="48"/>
  <c r="Y265" i="48"/>
  <c r="Y270" i="48" s="1"/>
  <c r="M373" i="48"/>
  <c r="W75" i="45"/>
  <c r="V36" i="46"/>
  <c r="V42" i="46" s="1"/>
  <c r="R344" i="46"/>
  <c r="R345" i="46" s="1"/>
  <c r="R321" i="46"/>
  <c r="L374" i="46"/>
  <c r="M125" i="45"/>
  <c r="Q335" i="46"/>
  <c r="Q334" i="46"/>
  <c r="Q346" i="46" s="1"/>
  <c r="Q347" i="46" s="1"/>
  <c r="S85" i="46"/>
  <c r="S90" i="46" s="1"/>
  <c r="S83" i="46"/>
  <c r="S88" i="46" s="1"/>
  <c r="S82" i="48"/>
  <c r="S84" i="46"/>
  <c r="S89" i="46" s="1"/>
  <c r="S87" i="46"/>
  <c r="S86" i="46"/>
  <c r="S91" i="46" s="1"/>
  <c r="S323" i="46"/>
  <c r="S320" i="46"/>
  <c r="R335" i="48"/>
  <c r="R334" i="48"/>
  <c r="R346" i="48" s="1"/>
  <c r="AQ121" i="45"/>
  <c r="AQ128" i="45" s="1"/>
  <c r="P331" i="46"/>
  <c r="P330" i="46"/>
  <c r="Q321" i="48"/>
  <c r="DJ103" i="55" s="1"/>
  <c r="DJ126" i="55" s="1"/>
  <c r="DJ149" i="55" s="1"/>
  <c r="Q344" i="48"/>
  <c r="Q345" i="48" s="1"/>
  <c r="T102" i="48"/>
  <c r="T105" i="46"/>
  <c r="T110" i="46" s="1"/>
  <c r="T103" i="46"/>
  <c r="T108" i="46" s="1"/>
  <c r="T106" i="46"/>
  <c r="T111" i="46" s="1"/>
  <c r="T107" i="46"/>
  <c r="T104" i="46"/>
  <c r="T109" i="46" s="1"/>
  <c r="S311" i="46"/>
  <c r="T278" i="46"/>
  <c r="T18" i="52" s="1"/>
  <c r="O357" i="46"/>
  <c r="O364" i="46" s="1"/>
  <c r="BC34" i="45"/>
  <c r="V36" i="48" s="1"/>
  <c r="V42" i="48" s="1"/>
  <c r="W57" i="45"/>
  <c r="X30" i="45"/>
  <c r="X33" i="45"/>
  <c r="W67" i="45"/>
  <c r="BB75" i="45"/>
  <c r="X55" i="45"/>
  <c r="X56" i="45"/>
  <c r="Y28" i="45"/>
  <c r="Y32" i="45"/>
  <c r="Z27" i="45"/>
  <c r="BF27" i="45" s="1"/>
  <c r="Y31" i="45"/>
  <c r="Y35" i="45"/>
  <c r="Y37" i="45"/>
  <c r="Y29" i="45"/>
  <c r="Y36" i="45"/>
  <c r="Y54" i="45"/>
  <c r="BA104" i="45"/>
  <c r="BA75" i="45"/>
  <c r="BB104" i="45"/>
  <c r="S100" i="45" l="1"/>
  <c r="U324" i="48"/>
  <c r="U326" i="48"/>
  <c r="P339" i="48"/>
  <c r="AW108" i="55" s="1"/>
  <c r="P342" i="48"/>
  <c r="AW111" i="55" s="1"/>
  <c r="DI111" i="55" s="1"/>
  <c r="P341" i="48"/>
  <c r="AW110" i="55" s="1"/>
  <c r="P340" i="48"/>
  <c r="AW109" i="55" s="1"/>
  <c r="AW132" i="55" s="1"/>
  <c r="N125" i="45"/>
  <c r="AR54" i="58"/>
  <c r="AR44" i="58"/>
  <c r="AR49" i="58"/>
  <c r="AS153" i="55"/>
  <c r="DE153" i="55" s="1"/>
  <c r="DE130" i="55"/>
  <c r="AW133" i="55"/>
  <c r="DI110" i="55"/>
  <c r="AV156" i="55"/>
  <c r="DH156" i="55" s="1"/>
  <c r="DH133" i="55"/>
  <c r="AV134" i="55"/>
  <c r="DH111" i="55"/>
  <c r="K49" i="58"/>
  <c r="AV132" i="55"/>
  <c r="DH109" i="55"/>
  <c r="AV131" i="55"/>
  <c r="DH108" i="55"/>
  <c r="AW131" i="55"/>
  <c r="DI108" i="55"/>
  <c r="AT130" i="55"/>
  <c r="DF107" i="55"/>
  <c r="K54" i="58"/>
  <c r="K44" i="58"/>
  <c r="T323" i="46"/>
  <c r="T327" i="46" s="1"/>
  <c r="M131" i="45"/>
  <c r="M53" i="58" s="1"/>
  <c r="M130" i="45"/>
  <c r="M48" i="58" s="1"/>
  <c r="M129" i="45"/>
  <c r="M43" i="58" s="1"/>
  <c r="AQ131" i="45"/>
  <c r="AQ53" i="58" s="1"/>
  <c r="AQ129" i="45"/>
  <c r="AQ43" i="58" s="1"/>
  <c r="AQ130" i="45"/>
  <c r="AQ48" i="58" s="1"/>
  <c r="S117" i="45"/>
  <c r="S91" i="45"/>
  <c r="S114" i="45" s="1"/>
  <c r="S312" i="46"/>
  <c r="CF103" i="55"/>
  <c r="CF126" i="55" s="1"/>
  <c r="CF149" i="55" s="1"/>
  <c r="Q322" i="48"/>
  <c r="AX103" i="55"/>
  <c r="AX126" i="55" s="1"/>
  <c r="AX149" i="55" s="1"/>
  <c r="R322" i="46"/>
  <c r="S103" i="55"/>
  <c r="S126" i="55" s="1"/>
  <c r="S149" i="55" s="1"/>
  <c r="R115" i="45"/>
  <c r="S78" i="45"/>
  <c r="S113" i="45"/>
  <c r="AY106" i="45"/>
  <c r="AY109" i="45" s="1"/>
  <c r="T97" i="45"/>
  <c r="AZ97" i="45" s="1"/>
  <c r="U106" i="45"/>
  <c r="BA106" i="45" s="1"/>
  <c r="BA109" i="45" s="1"/>
  <c r="N126" i="45"/>
  <c r="T76" i="45"/>
  <c r="AZ76" i="45" s="1"/>
  <c r="T90" i="45"/>
  <c r="M126" i="45"/>
  <c r="U90" i="45"/>
  <c r="BA90" i="45" s="1"/>
  <c r="BA91" i="45" s="1"/>
  <c r="U97" i="45"/>
  <c r="Z105" i="45"/>
  <c r="BF105" i="45" s="1"/>
  <c r="U76" i="45"/>
  <c r="BA76" i="45" s="1"/>
  <c r="BA78" i="45" s="1"/>
  <c r="T106" i="45"/>
  <c r="U110" i="45"/>
  <c r="X34" i="45"/>
  <c r="BC70" i="45"/>
  <c r="BE33" i="45"/>
  <c r="P351" i="46"/>
  <c r="P356" i="46" s="1"/>
  <c r="AX115" i="45"/>
  <c r="S116" i="45"/>
  <c r="T93" i="45"/>
  <c r="AZ94" i="45"/>
  <c r="AZ93" i="45"/>
  <c r="T94" i="45"/>
  <c r="V73" i="45"/>
  <c r="BC58" i="45"/>
  <c r="BC60" i="45"/>
  <c r="BC59" i="45"/>
  <c r="L374" i="48"/>
  <c r="AS125" i="45"/>
  <c r="AS122" i="45"/>
  <c r="AS124" i="45"/>
  <c r="AS123" i="45"/>
  <c r="Y30" i="45"/>
  <c r="V40" i="46"/>
  <c r="AA46" i="46" s="1"/>
  <c r="AA263" i="46" s="1"/>
  <c r="AA265" i="46" s="1"/>
  <c r="AA270" i="46" s="1"/>
  <c r="W58" i="45"/>
  <c r="W60" i="45"/>
  <c r="W59" i="45"/>
  <c r="BA110" i="45"/>
  <c r="BA111" i="45"/>
  <c r="BA112" i="45"/>
  <c r="P352" i="46"/>
  <c r="M374" i="48"/>
  <c r="AT125" i="45"/>
  <c r="AT122" i="45"/>
  <c r="AT123" i="45"/>
  <c r="AT124" i="45"/>
  <c r="V71" i="45"/>
  <c r="S118" i="45"/>
  <c r="AY118" i="45"/>
  <c r="AZ110" i="45"/>
  <c r="AZ111" i="45"/>
  <c r="AZ112" i="45"/>
  <c r="T110" i="45"/>
  <c r="T111" i="45"/>
  <c r="T112" i="45"/>
  <c r="U94" i="45"/>
  <c r="BA93" i="45"/>
  <c r="U93" i="45"/>
  <c r="BA94" i="45"/>
  <c r="BA80" i="45"/>
  <c r="U81" i="45"/>
  <c r="BA81" i="45"/>
  <c r="U80" i="45"/>
  <c r="U79" i="45"/>
  <c r="BA79" i="45"/>
  <c r="BD57" i="45"/>
  <c r="W40" i="48" s="1"/>
  <c r="AB46" i="48" s="1"/>
  <c r="V72" i="45"/>
  <c r="X68" i="45"/>
  <c r="W70" i="45"/>
  <c r="N122" i="45"/>
  <c r="N124" i="45"/>
  <c r="N123" i="45"/>
  <c r="AZ106" i="45"/>
  <c r="AZ109" i="45" s="1"/>
  <c r="T109" i="45"/>
  <c r="AZ79" i="45"/>
  <c r="T79" i="45"/>
  <c r="T80" i="45"/>
  <c r="T81" i="45"/>
  <c r="AZ80" i="45"/>
  <c r="AZ81" i="45"/>
  <c r="BD68" i="45"/>
  <c r="BA101" i="45"/>
  <c r="U103" i="45"/>
  <c r="BA102" i="45"/>
  <c r="BA103" i="45"/>
  <c r="U102" i="45"/>
  <c r="U101" i="45"/>
  <c r="AZ103" i="45"/>
  <c r="T102" i="45"/>
  <c r="T101" i="45"/>
  <c r="AZ101" i="45"/>
  <c r="T103" i="45"/>
  <c r="AZ102" i="45"/>
  <c r="Z264" i="46"/>
  <c r="Z269" i="46" s="1"/>
  <c r="Z263" i="48"/>
  <c r="Z267" i="46"/>
  <c r="Z272" i="46" s="1"/>
  <c r="Z265" i="46"/>
  <c r="Z270" i="46" s="1"/>
  <c r="Z266" i="46"/>
  <c r="Z271" i="46" s="1"/>
  <c r="Z268" i="46"/>
  <c r="AY116" i="45"/>
  <c r="U111" i="45"/>
  <c r="U112" i="45"/>
  <c r="S315" i="46"/>
  <c r="CF108" i="55" s="1"/>
  <c r="CF131" i="55" s="1"/>
  <c r="CF154" i="55" s="1"/>
  <c r="S316" i="46"/>
  <c r="CF109" i="55" s="1"/>
  <c r="CF132" i="55" s="1"/>
  <c r="CF155" i="55" s="1"/>
  <c r="S314" i="46"/>
  <c r="CF107" i="55" s="1"/>
  <c r="CF130" i="55" s="1"/>
  <c r="CF153" i="55" s="1"/>
  <c r="S313" i="46"/>
  <c r="S318" i="46"/>
  <c r="CF111" i="55" s="1"/>
  <c r="CF134" i="55" s="1"/>
  <c r="CF157" i="55" s="1"/>
  <c r="S317" i="46"/>
  <c r="CF110" i="55" s="1"/>
  <c r="CF133" i="55" s="1"/>
  <c r="CF156" i="55" s="1"/>
  <c r="R342" i="46"/>
  <c r="S111" i="55" s="1"/>
  <c r="S134" i="55" s="1"/>
  <c r="S157" i="55" s="1"/>
  <c r="R341" i="46"/>
  <c r="S110" i="55" s="1"/>
  <c r="S133" i="55" s="1"/>
  <c r="S156" i="55" s="1"/>
  <c r="R339" i="46"/>
  <c r="S108" i="55" s="1"/>
  <c r="S131" i="55" s="1"/>
  <c r="S154" i="55" s="1"/>
  <c r="R337" i="46"/>
  <c r="R338" i="46"/>
  <c r="R340" i="46"/>
  <c r="S109" i="55" s="1"/>
  <c r="S132" i="55" s="1"/>
  <c r="S155" i="55" s="1"/>
  <c r="U78" i="45"/>
  <c r="R329" i="46"/>
  <c r="R328" i="46"/>
  <c r="AY100" i="45"/>
  <c r="Q331" i="46"/>
  <c r="Q330" i="46"/>
  <c r="BF37" i="45"/>
  <c r="BF32" i="45"/>
  <c r="BF29" i="45"/>
  <c r="BF36" i="45"/>
  <c r="BF35" i="45"/>
  <c r="BF31" i="45"/>
  <c r="BF28" i="45"/>
  <c r="BF54" i="45"/>
  <c r="W104" i="45"/>
  <c r="P119" i="45"/>
  <c r="S325" i="46"/>
  <c r="S326" i="46"/>
  <c r="S327" i="46"/>
  <c r="S324" i="46"/>
  <c r="S84" i="48"/>
  <c r="S89" i="48" s="1"/>
  <c r="S86" i="48"/>
  <c r="S91" i="48" s="1"/>
  <c r="S85" i="48"/>
  <c r="S90" i="48" s="1"/>
  <c r="S83" i="48"/>
  <c r="S88" i="48" s="1"/>
  <c r="S87" i="48"/>
  <c r="T326" i="46"/>
  <c r="N121" i="45"/>
  <c r="N128" i="45" s="1"/>
  <c r="O356" i="48"/>
  <c r="O357" i="48" s="1"/>
  <c r="O366" i="48" s="1"/>
  <c r="AY114" i="45"/>
  <c r="AY78" i="45"/>
  <c r="AS121" i="45"/>
  <c r="AS128" i="45" s="1"/>
  <c r="T113" i="48"/>
  <c r="T118" i="48" s="1"/>
  <c r="T116" i="48"/>
  <c r="T121" i="48" s="1"/>
  <c r="T115" i="48"/>
  <c r="T120" i="48" s="1"/>
  <c r="T117" i="48"/>
  <c r="T114" i="48"/>
  <c r="T119" i="48" s="1"/>
  <c r="T277" i="48"/>
  <c r="S334" i="48"/>
  <c r="S346" i="48" s="1"/>
  <c r="S335" i="48"/>
  <c r="T100" i="45"/>
  <c r="Q348" i="46"/>
  <c r="Q351" i="46" s="1"/>
  <c r="R344" i="48"/>
  <c r="R345" i="48" s="1"/>
  <c r="R321" i="48"/>
  <c r="DK103" i="55" s="1"/>
  <c r="DK126" i="55" s="1"/>
  <c r="DK149" i="55" s="1"/>
  <c r="BE30" i="45"/>
  <c r="O366" i="46"/>
  <c r="P104" i="55" s="1"/>
  <c r="P127" i="55" s="1"/>
  <c r="P150" i="55" s="1"/>
  <c r="V47" i="48"/>
  <c r="V47" i="46"/>
  <c r="V72" i="46"/>
  <c r="V112" i="46"/>
  <c r="V82" i="46"/>
  <c r="V102" i="46"/>
  <c r="R330" i="48"/>
  <c r="R331" i="48"/>
  <c r="U329" i="48"/>
  <c r="U328" i="48"/>
  <c r="W71" i="45"/>
  <c r="T103" i="48"/>
  <c r="T108" i="48" s="1"/>
  <c r="T106" i="48"/>
  <c r="T111" i="48" s="1"/>
  <c r="T105" i="48"/>
  <c r="T110" i="48" s="1"/>
  <c r="T107" i="48"/>
  <c r="T104" i="48"/>
  <c r="T109" i="48" s="1"/>
  <c r="U334" i="48"/>
  <c r="U346" i="48" s="1"/>
  <c r="U335" i="48"/>
  <c r="S77" i="48"/>
  <c r="S73" i="48"/>
  <c r="S78" i="48" s="1"/>
  <c r="S75" i="48"/>
  <c r="S80" i="48" s="1"/>
  <c r="S76" i="48"/>
  <c r="S81" i="48" s="1"/>
  <c r="S74" i="48"/>
  <c r="S79" i="48" s="1"/>
  <c r="T344" i="46"/>
  <c r="T345" i="46" s="1"/>
  <c r="T321" i="46"/>
  <c r="BA97" i="45"/>
  <c r="U100" i="45"/>
  <c r="N357" i="48"/>
  <c r="N366" i="48" s="1"/>
  <c r="S344" i="46"/>
  <c r="S345" i="46" s="1"/>
  <c r="S321" i="46"/>
  <c r="T334" i="48"/>
  <c r="T346" i="48" s="1"/>
  <c r="T335" i="48"/>
  <c r="S311" i="48"/>
  <c r="S312" i="48" s="1"/>
  <c r="T278" i="48"/>
  <c r="Q340" i="48"/>
  <c r="AX109" i="55" s="1"/>
  <c r="Q337" i="48"/>
  <c r="Q342" i="48"/>
  <c r="AX111" i="55" s="1"/>
  <c r="Q338" i="48"/>
  <c r="Q339" i="48"/>
  <c r="AX108" i="55" s="1"/>
  <c r="Q341" i="48"/>
  <c r="AX110" i="55" s="1"/>
  <c r="X75" i="45"/>
  <c r="W36" i="46"/>
  <c r="W42" i="46" s="1"/>
  <c r="U278" i="46"/>
  <c r="U18" i="52" s="1"/>
  <c r="T311" i="46"/>
  <c r="Q348" i="48"/>
  <c r="Q349" i="48" s="1"/>
  <c r="Q350" i="48" s="1"/>
  <c r="Q352" i="48" s="1"/>
  <c r="Q347" i="48"/>
  <c r="P332" i="46"/>
  <c r="P336" i="46" s="1"/>
  <c r="P333" i="46"/>
  <c r="T77" i="48"/>
  <c r="T76" i="48"/>
  <c r="T81" i="48" s="1"/>
  <c r="T74" i="48"/>
  <c r="T79" i="48" s="1"/>
  <c r="T73" i="48"/>
  <c r="T78" i="48" s="1"/>
  <c r="T75" i="48"/>
  <c r="T80" i="48" s="1"/>
  <c r="N357" i="46"/>
  <c r="N366" i="46" s="1"/>
  <c r="S105" i="48"/>
  <c r="S110" i="48" s="1"/>
  <c r="S104" i="48"/>
  <c r="S109" i="48" s="1"/>
  <c r="S103" i="48"/>
  <c r="S108" i="48" s="1"/>
  <c r="S107" i="48"/>
  <c r="S106" i="48"/>
  <c r="S111" i="48" s="1"/>
  <c r="R334" i="46"/>
  <c r="R346" i="46" s="1"/>
  <c r="R347" i="46" s="1"/>
  <c r="R335" i="46"/>
  <c r="U112" i="46"/>
  <c r="U47" i="46"/>
  <c r="U72" i="46"/>
  <c r="U82" i="46"/>
  <c r="U102" i="46"/>
  <c r="T83" i="48"/>
  <c r="T88" i="48" s="1"/>
  <c r="T86" i="48"/>
  <c r="T91" i="48" s="1"/>
  <c r="T85" i="48"/>
  <c r="T90" i="48" s="1"/>
  <c r="T87" i="48"/>
  <c r="T84" i="48"/>
  <c r="T89" i="48" s="1"/>
  <c r="BD67" i="45"/>
  <c r="BD34" i="45"/>
  <c r="W36" i="48" s="1"/>
  <c r="W42" i="48" s="1"/>
  <c r="S329" i="48"/>
  <c r="S328" i="48"/>
  <c r="P351" i="48"/>
  <c r="S115" i="48"/>
  <c r="S120" i="48" s="1"/>
  <c r="S116" i="48"/>
  <c r="S121" i="48" s="1"/>
  <c r="S117" i="48"/>
  <c r="S114" i="48"/>
  <c r="S119" i="48" s="1"/>
  <c r="S113" i="48"/>
  <c r="S118" i="48" s="1"/>
  <c r="S277" i="48"/>
  <c r="T329" i="48"/>
  <c r="T328" i="48"/>
  <c r="BE55" i="45"/>
  <c r="BE56" i="45"/>
  <c r="R315" i="48"/>
  <c r="R314" i="48"/>
  <c r="R317" i="48"/>
  <c r="R313" i="48"/>
  <c r="R316" i="48"/>
  <c r="R318" i="48"/>
  <c r="Y33" i="45"/>
  <c r="X57" i="45"/>
  <c r="X67" i="45"/>
  <c r="X70" i="45" s="1"/>
  <c r="AA27" i="45"/>
  <c r="BG27" i="45" s="1"/>
  <c r="Z28" i="45"/>
  <c r="Z29" i="45"/>
  <c r="Z31" i="45"/>
  <c r="Z35" i="45"/>
  <c r="Z32" i="45"/>
  <c r="Z37" i="45"/>
  <c r="Z36" i="45"/>
  <c r="Z54" i="45"/>
  <c r="BC104" i="45"/>
  <c r="Y55" i="45"/>
  <c r="Y56" i="45"/>
  <c r="AW134" i="55" l="1"/>
  <c r="S115" i="45"/>
  <c r="DI109" i="55"/>
  <c r="T324" i="46"/>
  <c r="T325" i="46"/>
  <c r="AX134" i="55"/>
  <c r="DJ111" i="55"/>
  <c r="AW156" i="55"/>
  <c r="DI156" i="55" s="1"/>
  <c r="DI133" i="55"/>
  <c r="AW154" i="55"/>
  <c r="DI154" i="55" s="1"/>
  <c r="DI131" i="55"/>
  <c r="U117" i="45"/>
  <c r="AV154" i="55"/>
  <c r="DH154" i="55" s="1"/>
  <c r="DH131" i="55"/>
  <c r="AX133" i="55"/>
  <c r="DJ110" i="55"/>
  <c r="AY113" i="45"/>
  <c r="AY115" i="45" s="1"/>
  <c r="AX131" i="55"/>
  <c r="DJ108" i="55"/>
  <c r="AQ54" i="58"/>
  <c r="AV155" i="55"/>
  <c r="DH155" i="55" s="1"/>
  <c r="DH132" i="55"/>
  <c r="AV157" i="55"/>
  <c r="DH157" i="55" s="1"/>
  <c r="DH134" i="55"/>
  <c r="AW155" i="55"/>
  <c r="DI155" i="55" s="1"/>
  <c r="DI132" i="55"/>
  <c r="AX132" i="55"/>
  <c r="DJ109" i="55"/>
  <c r="BE68" i="45"/>
  <c r="AT153" i="55"/>
  <c r="DF153" i="55" s="1"/>
  <c r="DF130" i="55"/>
  <c r="AW157" i="55"/>
  <c r="DI157" i="55" s="1"/>
  <c r="DI134" i="55"/>
  <c r="M44" i="58"/>
  <c r="M54" i="58"/>
  <c r="AQ49" i="58"/>
  <c r="AQ44" i="58"/>
  <c r="AS131" i="45"/>
  <c r="AS53" i="58" s="1"/>
  <c r="AS129" i="45"/>
  <c r="AS43" i="58" s="1"/>
  <c r="AS130" i="45"/>
  <c r="AS48" i="58" s="1"/>
  <c r="M49" i="58"/>
  <c r="N131" i="45"/>
  <c r="N53" i="58" s="1"/>
  <c r="N130" i="45"/>
  <c r="N48" i="58" s="1"/>
  <c r="N129" i="45"/>
  <c r="N43" i="58" s="1"/>
  <c r="T117" i="45"/>
  <c r="BA117" i="45"/>
  <c r="AZ117" i="45"/>
  <c r="P107" i="55"/>
  <c r="P130" i="55" s="1"/>
  <c r="P153" i="55" s="1"/>
  <c r="S322" i="46"/>
  <c r="S339" i="46" s="1"/>
  <c r="T108" i="55" s="1"/>
  <c r="T131" i="55" s="1"/>
  <c r="T154" i="55" s="1"/>
  <c r="T103" i="55"/>
  <c r="T126" i="55" s="1"/>
  <c r="T149" i="55" s="1"/>
  <c r="R322" i="48"/>
  <c r="R342" i="48" s="1"/>
  <c r="AY111" i="55" s="1"/>
  <c r="AY103" i="55"/>
  <c r="AY126" i="55" s="1"/>
  <c r="AY149" i="55" s="1"/>
  <c r="T312" i="46"/>
  <c r="CG103" i="55"/>
  <c r="CG126" i="55" s="1"/>
  <c r="CG149" i="55" s="1"/>
  <c r="T322" i="46"/>
  <c r="T341" i="46" s="1"/>
  <c r="U110" i="55" s="1"/>
  <c r="U133" i="55" s="1"/>
  <c r="U156" i="55" s="1"/>
  <c r="U103" i="55"/>
  <c r="U126" i="55" s="1"/>
  <c r="U149" i="55" s="1"/>
  <c r="V319" i="46"/>
  <c r="V319" i="48"/>
  <c r="V320" i="48" s="1"/>
  <c r="U319" i="46"/>
  <c r="U320" i="46" s="1"/>
  <c r="U113" i="45"/>
  <c r="U91" i="45"/>
  <c r="U114" i="45" s="1"/>
  <c r="T113" i="45"/>
  <c r="T91" i="45"/>
  <c r="T114" i="45" s="1"/>
  <c r="AA266" i="46"/>
  <c r="AA271" i="46" s="1"/>
  <c r="AZ90" i="45"/>
  <c r="AZ91" i="45" s="1"/>
  <c r="U109" i="45"/>
  <c r="T78" i="45"/>
  <c r="BF30" i="45"/>
  <c r="AV120" i="45"/>
  <c r="AV122" i="45" s="1"/>
  <c r="O120" i="45"/>
  <c r="O122" i="45" s="1"/>
  <c r="AU120" i="45"/>
  <c r="AU122" i="45" s="1"/>
  <c r="AA105" i="45"/>
  <c r="BG105" i="45" s="1"/>
  <c r="AT126" i="45"/>
  <c r="AS126" i="45"/>
  <c r="Y67" i="45"/>
  <c r="U274" i="46"/>
  <c r="Y34" i="45"/>
  <c r="Y75" i="45" s="1"/>
  <c r="BF33" i="45"/>
  <c r="U116" i="45"/>
  <c r="Q351" i="48"/>
  <c r="Q356" i="48" s="1"/>
  <c r="Q357" i="48" s="1"/>
  <c r="Q364" i="48" s="1"/>
  <c r="BE57" i="45"/>
  <c r="BE58" i="45" s="1"/>
  <c r="BE71" i="45" s="1"/>
  <c r="AA264" i="46"/>
  <c r="AA269" i="46" s="1"/>
  <c r="AZ113" i="45"/>
  <c r="U118" i="45"/>
  <c r="BA116" i="45"/>
  <c r="BA113" i="45"/>
  <c r="AA263" i="48"/>
  <c r="AA265" i="48" s="1"/>
  <c r="AA270" i="48" s="1"/>
  <c r="AA268" i="46"/>
  <c r="Z268" i="48"/>
  <c r="Z264" i="48"/>
  <c r="Z269" i="48" s="1"/>
  <c r="Z267" i="48"/>
  <c r="Z272" i="48" s="1"/>
  <c r="Z265" i="48"/>
  <c r="Z270" i="48" s="1"/>
  <c r="Z266" i="48"/>
  <c r="Z271" i="48" s="1"/>
  <c r="AZ118" i="45"/>
  <c r="T116" i="45"/>
  <c r="W72" i="45"/>
  <c r="BC73" i="45"/>
  <c r="T118" i="45"/>
  <c r="BC72" i="45"/>
  <c r="BD70" i="45"/>
  <c r="X58" i="45"/>
  <c r="X71" i="45" s="1"/>
  <c r="X59" i="45"/>
  <c r="X60" i="45"/>
  <c r="X73" i="45" s="1"/>
  <c r="AA267" i="46"/>
  <c r="AA272" i="46" s="1"/>
  <c r="V274" i="46"/>
  <c r="AZ116" i="45"/>
  <c r="BD59" i="45"/>
  <c r="BD58" i="45"/>
  <c r="BD60" i="45"/>
  <c r="BA118" i="45"/>
  <c r="W73" i="45"/>
  <c r="BC71" i="45"/>
  <c r="U72" i="48"/>
  <c r="U73" i="46"/>
  <c r="U78" i="46" s="1"/>
  <c r="U77" i="46"/>
  <c r="U76" i="46"/>
  <c r="U81" i="46" s="1"/>
  <c r="U74" i="46"/>
  <c r="U79" i="46" s="1"/>
  <c r="U75" i="46"/>
  <c r="U80" i="46" s="1"/>
  <c r="N364" i="46"/>
  <c r="V116" i="46"/>
  <c r="V121" i="46" s="1"/>
  <c r="V114" i="46"/>
  <c r="V119" i="46" s="1"/>
  <c r="V117" i="46"/>
  <c r="V115" i="46"/>
  <c r="V120" i="46" s="1"/>
  <c r="V113" i="46"/>
  <c r="V118" i="46" s="1"/>
  <c r="V112" i="48"/>
  <c r="V277" i="46"/>
  <c r="BE34" i="45"/>
  <c r="X36" i="48" s="1"/>
  <c r="X42" i="48" s="1"/>
  <c r="BE67" i="45"/>
  <c r="T344" i="48"/>
  <c r="T345" i="48" s="1"/>
  <c r="T321" i="48"/>
  <c r="DM103" i="55" s="1"/>
  <c r="DM126" i="55" s="1"/>
  <c r="DM149" i="55" s="1"/>
  <c r="R348" i="46"/>
  <c r="R351" i="46" s="1"/>
  <c r="S313" i="48"/>
  <c r="S314" i="48"/>
  <c r="S317" i="48"/>
  <c r="S315" i="48"/>
  <c r="S318" i="48"/>
  <c r="S316" i="48"/>
  <c r="BA100" i="45"/>
  <c r="U331" i="48"/>
  <c r="U330" i="48"/>
  <c r="V72" i="48"/>
  <c r="V74" i="46"/>
  <c r="V79" i="46" s="1"/>
  <c r="V73" i="46"/>
  <c r="V78" i="46" s="1"/>
  <c r="V76" i="46"/>
  <c r="V81" i="46" s="1"/>
  <c r="V75" i="46"/>
  <c r="V80" i="46" s="1"/>
  <c r="V77" i="46"/>
  <c r="Q349" i="46"/>
  <c r="Q350" i="46" s="1"/>
  <c r="Q352" i="46" s="1"/>
  <c r="T334" i="46"/>
  <c r="T346" i="46" s="1"/>
  <c r="T347" i="46" s="1"/>
  <c r="T335" i="46"/>
  <c r="S328" i="46"/>
  <c r="S329" i="46"/>
  <c r="BA114" i="45"/>
  <c r="BG31" i="45"/>
  <c r="BG37" i="45"/>
  <c r="BG32" i="45"/>
  <c r="BG29" i="45"/>
  <c r="BG36" i="45"/>
  <c r="BG28" i="45"/>
  <c r="BG35" i="45"/>
  <c r="BG54" i="45"/>
  <c r="U278" i="48"/>
  <c r="T311" i="48"/>
  <c r="T312" i="48" s="1"/>
  <c r="Q356" i="46"/>
  <c r="S335" i="46"/>
  <c r="S334" i="46"/>
  <c r="S346" i="46" s="1"/>
  <c r="S347" i="46" s="1"/>
  <c r="Q332" i="46"/>
  <c r="Q336" i="46" s="1"/>
  <c r="Q333" i="46"/>
  <c r="R331" i="46"/>
  <c r="R330" i="46"/>
  <c r="P356" i="48"/>
  <c r="P357" i="48" s="1"/>
  <c r="P366" i="48" s="1"/>
  <c r="U103" i="46"/>
  <c r="U108" i="46" s="1"/>
  <c r="U107" i="46"/>
  <c r="U102" i="48"/>
  <c r="U105" i="46"/>
  <c r="U110" i="46" s="1"/>
  <c r="U104" i="46"/>
  <c r="U109" i="46" s="1"/>
  <c r="U106" i="46"/>
  <c r="U111" i="46" s="1"/>
  <c r="U112" i="48"/>
  <c r="U116" i="46"/>
  <c r="U121" i="46" s="1"/>
  <c r="U115" i="46"/>
  <c r="U120" i="46" s="1"/>
  <c r="U117" i="46"/>
  <c r="U113" i="46"/>
  <c r="U118" i="46" s="1"/>
  <c r="U114" i="46"/>
  <c r="U119" i="46" s="1"/>
  <c r="U277" i="46"/>
  <c r="T314" i="46"/>
  <c r="CG107" i="55" s="1"/>
  <c r="CG130" i="55" s="1"/>
  <c r="CG153" i="55" s="1"/>
  <c r="T316" i="46"/>
  <c r="CG109" i="55" s="1"/>
  <c r="CG132" i="55" s="1"/>
  <c r="CG155" i="55" s="1"/>
  <c r="T318" i="46"/>
  <c r="CG111" i="55" s="1"/>
  <c r="CG134" i="55" s="1"/>
  <c r="CG157" i="55" s="1"/>
  <c r="T313" i="46"/>
  <c r="T317" i="46"/>
  <c r="CG110" i="55" s="1"/>
  <c r="CG133" i="55" s="1"/>
  <c r="CG156" i="55" s="1"/>
  <c r="T315" i="46"/>
  <c r="CG108" i="55" s="1"/>
  <c r="CG131" i="55" s="1"/>
  <c r="CG154" i="55" s="1"/>
  <c r="W47" i="46"/>
  <c r="W72" i="46"/>
  <c r="W102" i="46"/>
  <c r="W82" i="46"/>
  <c r="W112" i="46"/>
  <c r="S340" i="46"/>
  <c r="T109" i="55" s="1"/>
  <c r="T132" i="55" s="1"/>
  <c r="T155" i="55" s="1"/>
  <c r="T337" i="46"/>
  <c r="V105" i="46"/>
  <c r="V110" i="46" s="1"/>
  <c r="V102" i="48"/>
  <c r="V106" i="46"/>
  <c r="V111" i="46" s="1"/>
  <c r="V104" i="46"/>
  <c r="V109" i="46" s="1"/>
  <c r="V103" i="46"/>
  <c r="V108" i="46" s="1"/>
  <c r="V107" i="46"/>
  <c r="V323" i="46"/>
  <c r="V320" i="46"/>
  <c r="AZ100" i="45"/>
  <c r="N364" i="48"/>
  <c r="DG104" i="55" s="1"/>
  <c r="DG127" i="55" s="1"/>
  <c r="DG150" i="55" s="1"/>
  <c r="AT121" i="45"/>
  <c r="AT128" i="45" s="1"/>
  <c r="BF56" i="45"/>
  <c r="BF55" i="45"/>
  <c r="S321" i="48"/>
  <c r="DL103" i="55" s="1"/>
  <c r="DL126" i="55" s="1"/>
  <c r="DL149" i="55" s="1"/>
  <c r="S344" i="48"/>
  <c r="S345" i="48" s="1"/>
  <c r="S330" i="48"/>
  <c r="S331" i="48"/>
  <c r="X104" i="45"/>
  <c r="W40" i="46"/>
  <c r="AB46" i="46" s="1"/>
  <c r="AB263" i="46" s="1"/>
  <c r="T330" i="48"/>
  <c r="T331" i="48"/>
  <c r="W47" i="48"/>
  <c r="AZ114" i="45"/>
  <c r="AZ78" i="45"/>
  <c r="U86" i="46"/>
  <c r="U91" i="46" s="1"/>
  <c r="U87" i="46"/>
  <c r="U84" i="46"/>
  <c r="U89" i="46" s="1"/>
  <c r="U83" i="46"/>
  <c r="U88" i="46" s="1"/>
  <c r="U85" i="46"/>
  <c r="U90" i="46" s="1"/>
  <c r="U82" i="48"/>
  <c r="U311" i="46"/>
  <c r="V278" i="46"/>
  <c r="V18" i="52" s="1"/>
  <c r="R332" i="48"/>
  <c r="R336" i="48" s="1"/>
  <c r="R333" i="48"/>
  <c r="V85" i="46"/>
  <c r="V90" i="46" s="1"/>
  <c r="V83" i="46"/>
  <c r="V88" i="46" s="1"/>
  <c r="V86" i="46"/>
  <c r="V91" i="46" s="1"/>
  <c r="V82" i="48"/>
  <c r="V84" i="46"/>
  <c r="V89" i="46" s="1"/>
  <c r="V87" i="46"/>
  <c r="V274" i="48"/>
  <c r="O368" i="46"/>
  <c r="P120" i="45"/>
  <c r="P122" i="45" s="1"/>
  <c r="R348" i="48"/>
  <c r="R347" i="48"/>
  <c r="O364" i="48"/>
  <c r="DH104" i="55" s="1"/>
  <c r="DH127" i="55" s="1"/>
  <c r="DH150" i="55" s="1"/>
  <c r="T328" i="46"/>
  <c r="T329" i="46"/>
  <c r="O373" i="46"/>
  <c r="P357" i="46"/>
  <c r="P364" i="46" s="1"/>
  <c r="Y57" i="45"/>
  <c r="BC75" i="45"/>
  <c r="BD104" i="45"/>
  <c r="Z30" i="45"/>
  <c r="Y68" i="45"/>
  <c r="Z55" i="45"/>
  <c r="Z56" i="45"/>
  <c r="AB27" i="45"/>
  <c r="BH27" i="45" s="1"/>
  <c r="AA28" i="45"/>
  <c r="AA29" i="45"/>
  <c r="AA31" i="45"/>
  <c r="AA36" i="45"/>
  <c r="AA35" i="45"/>
  <c r="AA37" i="45"/>
  <c r="AA54" i="45"/>
  <c r="AA32" i="45"/>
  <c r="BD75" i="45"/>
  <c r="Z33" i="45"/>
  <c r="U323" i="46" l="1"/>
  <c r="R341" i="48"/>
  <c r="AY110" i="55" s="1"/>
  <c r="R340" i="48"/>
  <c r="AY109" i="55" s="1"/>
  <c r="Y70" i="45"/>
  <c r="R338" i="48"/>
  <c r="R339" i="48"/>
  <c r="AY108" i="55" s="1"/>
  <c r="AY131" i="55" s="1"/>
  <c r="N44" i="58"/>
  <c r="R337" i="48"/>
  <c r="BE70" i="45"/>
  <c r="T338" i="46"/>
  <c r="AX155" i="55"/>
  <c r="DJ155" i="55" s="1"/>
  <c r="DJ132" i="55"/>
  <c r="AY134" i="55"/>
  <c r="DK111" i="55"/>
  <c r="AX154" i="55"/>
  <c r="DJ154" i="55" s="1"/>
  <c r="DJ131" i="55"/>
  <c r="AX157" i="55"/>
  <c r="DJ157" i="55" s="1"/>
  <c r="DJ134" i="55"/>
  <c r="T339" i="46"/>
  <c r="U108" i="55" s="1"/>
  <c r="U131" i="55" s="1"/>
  <c r="U154" i="55" s="1"/>
  <c r="T342" i="46"/>
  <c r="U111" i="55" s="1"/>
  <c r="U134" i="55" s="1"/>
  <c r="U157" i="55" s="1"/>
  <c r="AY133" i="55"/>
  <c r="DK110" i="55"/>
  <c r="T340" i="46"/>
  <c r="U109" i="55" s="1"/>
  <c r="U132" i="55" s="1"/>
  <c r="U155" i="55" s="1"/>
  <c r="AX156" i="55"/>
  <c r="DJ156" i="55" s="1"/>
  <c r="DJ133" i="55"/>
  <c r="AY132" i="55"/>
  <c r="DK109" i="55"/>
  <c r="AS54" i="58"/>
  <c r="AS49" i="58"/>
  <c r="U115" i="45"/>
  <c r="N49" i="58"/>
  <c r="AS44" i="58"/>
  <c r="N54" i="58"/>
  <c r="AT131" i="45"/>
  <c r="AT53" i="58" s="1"/>
  <c r="AT129" i="45"/>
  <c r="AT43" i="58" s="1"/>
  <c r="AT130" i="45"/>
  <c r="AT48" i="58" s="1"/>
  <c r="S342" i="46"/>
  <c r="T111" i="55" s="1"/>
  <c r="T134" i="55" s="1"/>
  <c r="T157" i="55" s="1"/>
  <c r="S337" i="46"/>
  <c r="S338" i="46"/>
  <c r="S341" i="46"/>
  <c r="T110" i="55" s="1"/>
  <c r="T133" i="55" s="1"/>
  <c r="T156" i="55" s="1"/>
  <c r="T322" i="48"/>
  <c r="BA103" i="55"/>
  <c r="BA126" i="55" s="1"/>
  <c r="BA149" i="55" s="1"/>
  <c r="AU104" i="55"/>
  <c r="AU127" i="55" s="1"/>
  <c r="AU150" i="55" s="1"/>
  <c r="AU107" i="55"/>
  <c r="O104" i="55"/>
  <c r="O127" i="55" s="1"/>
  <c r="O150" i="55" s="1"/>
  <c r="O107" i="55"/>
  <c r="O130" i="55" s="1"/>
  <c r="O153" i="55" s="1"/>
  <c r="U312" i="46"/>
  <c r="CH103" i="55"/>
  <c r="CH126" i="55" s="1"/>
  <c r="CH149" i="55" s="1"/>
  <c r="AV104" i="55"/>
  <c r="AV127" i="55" s="1"/>
  <c r="AV150" i="55" s="1"/>
  <c r="AV107" i="55"/>
  <c r="S322" i="48"/>
  <c r="AZ103" i="55"/>
  <c r="AZ126" i="55" s="1"/>
  <c r="AZ149" i="55" s="1"/>
  <c r="V323" i="48"/>
  <c r="V327" i="48" s="1"/>
  <c r="W319" i="46"/>
  <c r="W323" i="46" s="1"/>
  <c r="X36" i="46"/>
  <c r="X42" i="46" s="1"/>
  <c r="W319" i="48"/>
  <c r="W323" i="48" s="1"/>
  <c r="BF34" i="45"/>
  <c r="Y36" i="48" s="1"/>
  <c r="Y42" i="48" s="1"/>
  <c r="Y47" i="48" s="1"/>
  <c r="T115" i="45"/>
  <c r="AA267" i="48"/>
  <c r="AA272" i="48" s="1"/>
  <c r="Y104" i="45"/>
  <c r="AV119" i="45"/>
  <c r="AV124" i="45" s="1"/>
  <c r="W106" i="45"/>
  <c r="BC106" i="45" s="1"/>
  <c r="BC109" i="45" s="1"/>
  <c r="V97" i="45"/>
  <c r="BB97" i="45" s="1"/>
  <c r="V106" i="45"/>
  <c r="BB106" i="45" s="1"/>
  <c r="BB109" i="45" s="1"/>
  <c r="V90" i="45"/>
  <c r="V91" i="45" s="1"/>
  <c r="AB105" i="45"/>
  <c r="BH105" i="45" s="1"/>
  <c r="AX119" i="45"/>
  <c r="AU119" i="45"/>
  <c r="AU124" i="45" s="1"/>
  <c r="AW120" i="45"/>
  <c r="AW122" i="45" s="1"/>
  <c r="W76" i="45"/>
  <c r="W78" i="45" s="1"/>
  <c r="V76" i="45"/>
  <c r="BB76" i="45" s="1"/>
  <c r="W90" i="45"/>
  <c r="BC90" i="45" s="1"/>
  <c r="BC91" i="45" s="1"/>
  <c r="W97" i="45"/>
  <c r="W100" i="45" s="1"/>
  <c r="BF57" i="45"/>
  <c r="BF60" i="45" s="1"/>
  <c r="BF73" i="45" s="1"/>
  <c r="BF68" i="45"/>
  <c r="BE59" i="45"/>
  <c r="BE72" i="45" s="1"/>
  <c r="AA264" i="48"/>
  <c r="AA269" i="48" s="1"/>
  <c r="AA266" i="48"/>
  <c r="AA271" i="48" s="1"/>
  <c r="AA268" i="48"/>
  <c r="BC110" i="45"/>
  <c r="W274" i="46"/>
  <c r="X40" i="48"/>
  <c r="AC46" i="48" s="1"/>
  <c r="BE60" i="45"/>
  <c r="BE73" i="45" s="1"/>
  <c r="P366" i="46"/>
  <c r="Q107" i="55" s="1"/>
  <c r="Q130" i="55" s="1"/>
  <c r="Q153" i="55" s="1"/>
  <c r="W102" i="45"/>
  <c r="W103" i="45"/>
  <c r="BC101" i="45"/>
  <c r="W101" i="45"/>
  <c r="BC103" i="45"/>
  <c r="BC102" i="45"/>
  <c r="Z68" i="45"/>
  <c r="Z57" i="45"/>
  <c r="W94" i="45"/>
  <c r="BC94" i="45"/>
  <c r="W93" i="45"/>
  <c r="BC93" i="45"/>
  <c r="BB94" i="45"/>
  <c r="V93" i="45"/>
  <c r="V94" i="45"/>
  <c r="BB93" i="45"/>
  <c r="BB111" i="45"/>
  <c r="BB110" i="45"/>
  <c r="BB112" i="45"/>
  <c r="V110" i="45"/>
  <c r="V111" i="45"/>
  <c r="V112" i="45"/>
  <c r="BD71" i="45"/>
  <c r="BC111" i="45"/>
  <c r="BC112" i="45"/>
  <c r="X40" i="46"/>
  <c r="AC46" i="46" s="1"/>
  <c r="AC263" i="46" s="1"/>
  <c r="AC266" i="46" s="1"/>
  <c r="AC271" i="46" s="1"/>
  <c r="Y60" i="45"/>
  <c r="Y58" i="45"/>
  <c r="Y59" i="45"/>
  <c r="T348" i="46"/>
  <c r="T351" i="46" s="1"/>
  <c r="W81" i="45"/>
  <c r="BC79" i="45"/>
  <c r="BC80" i="45"/>
  <c r="BC81" i="45"/>
  <c r="W79" i="45"/>
  <c r="W80" i="45"/>
  <c r="V81" i="45"/>
  <c r="BB79" i="45"/>
  <c r="V80" i="45"/>
  <c r="BB81" i="45"/>
  <c r="V79" i="45"/>
  <c r="BB80" i="45"/>
  <c r="W112" i="45"/>
  <c r="BD72" i="45"/>
  <c r="P123" i="45"/>
  <c r="R349" i="46"/>
  <c r="R350" i="46" s="1"/>
  <c r="R352" i="46" s="1"/>
  <c r="W274" i="48"/>
  <c r="V102" i="45"/>
  <c r="BB101" i="45"/>
  <c r="V101" i="45"/>
  <c r="BB103" i="45"/>
  <c r="V103" i="45"/>
  <c r="BB102" i="45"/>
  <c r="P124" i="45"/>
  <c r="X72" i="45"/>
  <c r="W110" i="45"/>
  <c r="W111" i="45"/>
  <c r="BD73" i="45"/>
  <c r="Y40" i="48"/>
  <c r="AD46" i="48" s="1"/>
  <c r="O368" i="48"/>
  <c r="O373" i="48"/>
  <c r="S332" i="48"/>
  <c r="S336" i="48" s="1"/>
  <c r="S333" i="48"/>
  <c r="N368" i="48"/>
  <c r="N373" i="48"/>
  <c r="U326" i="46"/>
  <c r="U327" i="46"/>
  <c r="U325" i="46"/>
  <c r="U324" i="46"/>
  <c r="Q119" i="45"/>
  <c r="O374" i="46"/>
  <c r="P125" i="45"/>
  <c r="S348" i="46"/>
  <c r="S351" i="46" s="1"/>
  <c r="U86" i="48"/>
  <c r="U91" i="48" s="1"/>
  <c r="U85" i="48"/>
  <c r="U90" i="48" s="1"/>
  <c r="U87" i="48"/>
  <c r="U84" i="48"/>
  <c r="U89" i="48" s="1"/>
  <c r="U83" i="48"/>
  <c r="U88" i="48" s="1"/>
  <c r="AB263" i="48"/>
  <c r="AB264" i="46"/>
  <c r="AB269" i="46" s="1"/>
  <c r="AB268" i="46"/>
  <c r="AB266" i="46"/>
  <c r="AB271" i="46" s="1"/>
  <c r="AB265" i="46"/>
  <c r="AB270" i="46" s="1"/>
  <c r="AB267" i="46"/>
  <c r="AB272" i="46" s="1"/>
  <c r="S347" i="48"/>
  <c r="S348" i="48"/>
  <c r="S349" i="48" s="1"/>
  <c r="S350" i="48" s="1"/>
  <c r="S352" i="48" s="1"/>
  <c r="W72" i="48"/>
  <c r="W73" i="46"/>
  <c r="W78" i="46" s="1"/>
  <c r="W74" i="46"/>
  <c r="W79" i="46" s="1"/>
  <c r="W75" i="46"/>
  <c r="W80" i="46" s="1"/>
  <c r="W77" i="46"/>
  <c r="W76" i="46"/>
  <c r="W81" i="46" s="1"/>
  <c r="U344" i="46"/>
  <c r="U345" i="46" s="1"/>
  <c r="U321" i="46"/>
  <c r="P364" i="48"/>
  <c r="DI104" i="55" s="1"/>
  <c r="DI127" i="55" s="1"/>
  <c r="DI150" i="55" s="1"/>
  <c r="R333" i="46"/>
  <c r="R332" i="46"/>
  <c r="R336" i="46" s="1"/>
  <c r="P121" i="45"/>
  <c r="P128" i="45" s="1"/>
  <c r="V326" i="48"/>
  <c r="T314" i="48"/>
  <c r="T315" i="48"/>
  <c r="T318" i="48"/>
  <c r="T313" i="48"/>
  <c r="T317" i="48"/>
  <c r="T316" i="48"/>
  <c r="BG30" i="45"/>
  <c r="BC76" i="45"/>
  <c r="BF67" i="45"/>
  <c r="BF70" i="45" s="1"/>
  <c r="U74" i="48"/>
  <c r="U79" i="48" s="1"/>
  <c r="U76" i="48"/>
  <c r="U81" i="48" s="1"/>
  <c r="U77" i="48"/>
  <c r="U73" i="48"/>
  <c r="U78" i="48" s="1"/>
  <c r="U75" i="48"/>
  <c r="U80" i="48" s="1"/>
  <c r="R351" i="48"/>
  <c r="R349" i="48"/>
  <c r="R350" i="48" s="1"/>
  <c r="R352" i="48" s="1"/>
  <c r="U316" i="46"/>
  <c r="CH109" i="55" s="1"/>
  <c r="CH132" i="55" s="1"/>
  <c r="CH155" i="55" s="1"/>
  <c r="U314" i="46"/>
  <c r="CH107" i="55" s="1"/>
  <c r="CH130" i="55" s="1"/>
  <c r="CH153" i="55" s="1"/>
  <c r="U318" i="46"/>
  <c r="CH111" i="55" s="1"/>
  <c r="CH134" i="55" s="1"/>
  <c r="CH157" i="55" s="1"/>
  <c r="U313" i="46"/>
  <c r="U315" i="46"/>
  <c r="CH108" i="55" s="1"/>
  <c r="CH131" i="55" s="1"/>
  <c r="CH154" i="55" s="1"/>
  <c r="U317" i="46"/>
  <c r="CH110" i="55" s="1"/>
  <c r="CH133" i="55" s="1"/>
  <c r="CH156" i="55" s="1"/>
  <c r="T333" i="48"/>
  <c r="T332" i="48"/>
  <c r="T336" i="48" s="1"/>
  <c r="W106" i="46"/>
  <c r="W111" i="46" s="1"/>
  <c r="W105" i="46"/>
  <c r="W110" i="46" s="1"/>
  <c r="W107" i="46"/>
  <c r="W103" i="46"/>
  <c r="W108" i="46" s="1"/>
  <c r="W102" i="48"/>
  <c r="W104" i="46"/>
  <c r="W109" i="46" s="1"/>
  <c r="S331" i="46"/>
  <c r="S330" i="46"/>
  <c r="T348" i="48"/>
  <c r="T349" i="48" s="1"/>
  <c r="T350" i="48" s="1"/>
  <c r="T352" i="48" s="1"/>
  <c r="T347" i="48"/>
  <c r="V115" i="48"/>
  <c r="V120" i="48" s="1"/>
  <c r="V114" i="48"/>
  <c r="V119" i="48" s="1"/>
  <c r="V116" i="48"/>
  <c r="V121" i="48" s="1"/>
  <c r="V117" i="48"/>
  <c r="V113" i="48"/>
  <c r="V118" i="48" s="1"/>
  <c r="V277" i="48"/>
  <c r="BH28" i="45"/>
  <c r="BH31" i="45"/>
  <c r="BH32" i="45"/>
  <c r="BH29" i="45"/>
  <c r="BH36" i="45"/>
  <c r="BH35" i="45"/>
  <c r="BH37" i="45"/>
  <c r="BH54" i="45"/>
  <c r="T330" i="46"/>
  <c r="T331" i="46"/>
  <c r="V84" i="48"/>
  <c r="V89" i="48" s="1"/>
  <c r="V87" i="48"/>
  <c r="V83" i="48"/>
  <c r="V88" i="48" s="1"/>
  <c r="V86" i="48"/>
  <c r="V91" i="48" s="1"/>
  <c r="V85" i="48"/>
  <c r="V90" i="48" s="1"/>
  <c r="S340" i="48"/>
  <c r="AZ109" i="55" s="1"/>
  <c r="S337" i="48"/>
  <c r="S342" i="48"/>
  <c r="AZ111" i="55" s="1"/>
  <c r="S338" i="48"/>
  <c r="S339" i="48"/>
  <c r="AZ108" i="55" s="1"/>
  <c r="S341" i="48"/>
  <c r="AZ110" i="55" s="1"/>
  <c r="AZ115" i="45"/>
  <c r="V327" i="46"/>
  <c r="V324" i="46"/>
  <c r="V326" i="46"/>
  <c r="V325" i="46"/>
  <c r="W112" i="48"/>
  <c r="W113" i="46"/>
  <c r="W118" i="46" s="1"/>
  <c r="W116" i="46"/>
  <c r="W121" i="46" s="1"/>
  <c r="W114" i="46"/>
  <c r="W119" i="46" s="1"/>
  <c r="W117" i="46"/>
  <c r="W115" i="46"/>
  <c r="W120" i="46" s="1"/>
  <c r="W277" i="46"/>
  <c r="W320" i="46"/>
  <c r="V278" i="48"/>
  <c r="U311" i="48"/>
  <c r="U312" i="48" s="1"/>
  <c r="BG33" i="45"/>
  <c r="V76" i="48"/>
  <c r="V81" i="48" s="1"/>
  <c r="V77" i="48"/>
  <c r="V74" i="48"/>
  <c r="V79" i="48" s="1"/>
  <c r="V75" i="48"/>
  <c r="V80" i="48" s="1"/>
  <c r="V73" i="48"/>
  <c r="V78" i="48" s="1"/>
  <c r="BA115" i="45"/>
  <c r="X47" i="46"/>
  <c r="X102" i="46"/>
  <c r="X72" i="46"/>
  <c r="X82" i="46"/>
  <c r="X112" i="46"/>
  <c r="R356" i="46"/>
  <c r="R357" i="46" s="1"/>
  <c r="R366" i="46" s="1"/>
  <c r="X47" i="48"/>
  <c r="O119" i="45"/>
  <c r="N368" i="46"/>
  <c r="N373" i="46"/>
  <c r="V311" i="46"/>
  <c r="W278" i="46"/>
  <c r="W18" i="52" s="1"/>
  <c r="Q366" i="48"/>
  <c r="AX107" i="55" s="1"/>
  <c r="V104" i="48"/>
  <c r="V109" i="48" s="1"/>
  <c r="V106" i="48"/>
  <c r="V111" i="48" s="1"/>
  <c r="V103" i="48"/>
  <c r="V108" i="48" s="1"/>
  <c r="V107" i="48"/>
  <c r="V105" i="48"/>
  <c r="V110" i="48" s="1"/>
  <c r="W83" i="46"/>
  <c r="W88" i="46" s="1"/>
  <c r="W87" i="46"/>
  <c r="W84" i="46"/>
  <c r="W89" i="46" s="1"/>
  <c r="W82" i="48"/>
  <c r="W85" i="46"/>
  <c r="W90" i="46" s="1"/>
  <c r="W86" i="46"/>
  <c r="W91" i="46" s="1"/>
  <c r="U117" i="48"/>
  <c r="U113" i="48"/>
  <c r="U118" i="48" s="1"/>
  <c r="U114" i="48"/>
  <c r="U119" i="48" s="1"/>
  <c r="U116" i="48"/>
  <c r="U121" i="48" s="1"/>
  <c r="U115" i="48"/>
  <c r="U120" i="48" s="1"/>
  <c r="U277" i="48"/>
  <c r="U104" i="48"/>
  <c r="U109" i="48" s="1"/>
  <c r="U103" i="48"/>
  <c r="U108" i="48" s="1"/>
  <c r="U107" i="48"/>
  <c r="U105" i="48"/>
  <c r="U110" i="48" s="1"/>
  <c r="U106" i="48"/>
  <c r="U111" i="48" s="1"/>
  <c r="AV121" i="45"/>
  <c r="AV128" i="45" s="1"/>
  <c r="Q357" i="46"/>
  <c r="Q364" i="46" s="1"/>
  <c r="BG56" i="45"/>
  <c r="BG55" i="45"/>
  <c r="U333" i="48"/>
  <c r="U332" i="48"/>
  <c r="U336" i="48" s="1"/>
  <c r="T342" i="48"/>
  <c r="BA111" i="55" s="1"/>
  <c r="T341" i="48"/>
  <c r="BA110" i="55" s="1"/>
  <c r="T340" i="48"/>
  <c r="BA109" i="55" s="1"/>
  <c r="T338" i="48"/>
  <c r="T337" i="48"/>
  <c r="T339" i="48"/>
  <c r="BA108" i="55" s="1"/>
  <c r="V321" i="46"/>
  <c r="V344" i="46"/>
  <c r="V345" i="46" s="1"/>
  <c r="AA33" i="45"/>
  <c r="BE104" i="45"/>
  <c r="AA30" i="45"/>
  <c r="Z67" i="45"/>
  <c r="Z34" i="45"/>
  <c r="AA55" i="45"/>
  <c r="AA56" i="45"/>
  <c r="AB32" i="45"/>
  <c r="AB28" i="45"/>
  <c r="AB37" i="45"/>
  <c r="AC27" i="45"/>
  <c r="BI27" i="45" s="1"/>
  <c r="AB31" i="45"/>
  <c r="AB36" i="45"/>
  <c r="AB29" i="45"/>
  <c r="AB35" i="45"/>
  <c r="AB54" i="45"/>
  <c r="W91" i="45" l="1"/>
  <c r="W320" i="48"/>
  <c r="V324" i="48"/>
  <c r="V325" i="48"/>
  <c r="DK108" i="55"/>
  <c r="V100" i="45"/>
  <c r="W114" i="45"/>
  <c r="BA134" i="55"/>
  <c r="DM111" i="55"/>
  <c r="AZ133" i="55"/>
  <c r="DL110" i="55"/>
  <c r="AY155" i="55"/>
  <c r="DK155" i="55" s="1"/>
  <c r="DK132" i="55"/>
  <c r="AV130" i="55"/>
  <c r="DH107" i="55"/>
  <c r="AZ131" i="55"/>
  <c r="DL108" i="55"/>
  <c r="AY157" i="55"/>
  <c r="DK157" i="55" s="1"/>
  <c r="DK134" i="55"/>
  <c r="AZ134" i="55"/>
  <c r="DL111" i="55"/>
  <c r="AX130" i="55"/>
  <c r="DJ107" i="55"/>
  <c r="BF58" i="45"/>
  <c r="BF71" i="45" s="1"/>
  <c r="BA131" i="55"/>
  <c r="DM108" i="55"/>
  <c r="BA132" i="55"/>
  <c r="DM109" i="55"/>
  <c r="AZ132" i="55"/>
  <c r="DL109" i="55"/>
  <c r="BF59" i="45"/>
  <c r="AU130" i="55"/>
  <c r="DG107" i="55"/>
  <c r="AY156" i="55"/>
  <c r="DK156" i="55" s="1"/>
  <c r="DK133" i="55"/>
  <c r="AY154" i="55"/>
  <c r="DK154" i="55" s="1"/>
  <c r="DK131" i="55"/>
  <c r="BA133" i="55"/>
  <c r="DM110" i="55"/>
  <c r="DJ104" i="55"/>
  <c r="DJ127" i="55" s="1"/>
  <c r="DJ150" i="55" s="1"/>
  <c r="AT44" i="58"/>
  <c r="AT54" i="58"/>
  <c r="P131" i="45"/>
  <c r="P53" i="58" s="1"/>
  <c r="P129" i="45"/>
  <c r="P43" i="58" s="1"/>
  <c r="P130" i="45"/>
  <c r="P48" i="58" s="1"/>
  <c r="AV131" i="45"/>
  <c r="AV53" i="58" s="1"/>
  <c r="AV130" i="45"/>
  <c r="AV48" i="58" s="1"/>
  <c r="AV129" i="45"/>
  <c r="AV43" i="58" s="1"/>
  <c r="AT49" i="58"/>
  <c r="W117" i="45"/>
  <c r="BC117" i="45"/>
  <c r="AU123" i="45"/>
  <c r="BB117" i="45"/>
  <c r="Q104" i="55"/>
  <c r="Q127" i="55" s="1"/>
  <c r="Q150" i="55" s="1"/>
  <c r="V117" i="45"/>
  <c r="V312" i="46"/>
  <c r="V313" i="46" s="1"/>
  <c r="CI103" i="55"/>
  <c r="CI126" i="55" s="1"/>
  <c r="CI149" i="55" s="1"/>
  <c r="BC97" i="45"/>
  <c r="BC100" i="45" s="1"/>
  <c r="AW104" i="55"/>
  <c r="AW127" i="55" s="1"/>
  <c r="AW150" i="55" s="1"/>
  <c r="AW107" i="55"/>
  <c r="U322" i="46"/>
  <c r="U342" i="46" s="1"/>
  <c r="V111" i="55" s="1"/>
  <c r="V134" i="55" s="1"/>
  <c r="V157" i="55" s="1"/>
  <c r="V103" i="55"/>
  <c r="V126" i="55" s="1"/>
  <c r="V149" i="55" s="1"/>
  <c r="BB90" i="45"/>
  <c r="BB91" i="45" s="1"/>
  <c r="V322" i="46"/>
  <c r="V338" i="46" s="1"/>
  <c r="W103" i="55"/>
  <c r="W126" i="55" s="1"/>
  <c r="W149" i="55" s="1"/>
  <c r="W113" i="45"/>
  <c r="W115" i="45" s="1"/>
  <c r="AX104" i="55"/>
  <c r="AX127" i="55" s="1"/>
  <c r="AX150" i="55" s="1"/>
  <c r="X319" i="46"/>
  <c r="X320" i="46" s="1"/>
  <c r="Y319" i="48"/>
  <c r="Y323" i="48" s="1"/>
  <c r="X319" i="48"/>
  <c r="X323" i="48" s="1"/>
  <c r="V114" i="45"/>
  <c r="AV123" i="45"/>
  <c r="W109" i="45"/>
  <c r="V78" i="45"/>
  <c r="V113" i="45"/>
  <c r="V109" i="45"/>
  <c r="Z104" i="45"/>
  <c r="X90" i="45"/>
  <c r="BD90" i="45" s="1"/>
  <c r="BD91" i="45" s="1"/>
  <c r="X106" i="45"/>
  <c r="BD106" i="45" s="1"/>
  <c r="BD109" i="45" s="1"/>
  <c r="Q120" i="45"/>
  <c r="Q122" i="45" s="1"/>
  <c r="X97" i="45"/>
  <c r="AC105" i="45"/>
  <c r="BI105" i="45" s="1"/>
  <c r="P126" i="45"/>
  <c r="S120" i="45"/>
  <c r="S122" i="45" s="1"/>
  <c r="AW119" i="45"/>
  <c r="AW124" i="45" s="1"/>
  <c r="X76" i="45"/>
  <c r="BD76" i="45" s="1"/>
  <c r="AC265" i="46"/>
  <c r="AC270" i="46" s="1"/>
  <c r="P368" i="46"/>
  <c r="Y274" i="48"/>
  <c r="AB33" i="45"/>
  <c r="AC264" i="46"/>
  <c r="AC269" i="46" s="1"/>
  <c r="P373" i="46"/>
  <c r="Q125" i="45" s="1"/>
  <c r="BC116" i="45"/>
  <c r="BG57" i="45"/>
  <c r="BG60" i="45" s="1"/>
  <c r="X111" i="45"/>
  <c r="BH30" i="45"/>
  <c r="AA57" i="45"/>
  <c r="AC267" i="46"/>
  <c r="AC272" i="46" s="1"/>
  <c r="AC268" i="46"/>
  <c r="BD111" i="45"/>
  <c r="X112" i="45"/>
  <c r="AC263" i="48"/>
  <c r="AC267" i="48" s="1"/>
  <c r="AC272" i="48" s="1"/>
  <c r="BH33" i="45"/>
  <c r="T351" i="48"/>
  <c r="T356" i="48" s="1"/>
  <c r="T357" i="48" s="1"/>
  <c r="T364" i="48" s="1"/>
  <c r="BC114" i="45"/>
  <c r="X110" i="45"/>
  <c r="V116" i="45"/>
  <c r="X93" i="45"/>
  <c r="BD94" i="45"/>
  <c r="BD93" i="45"/>
  <c r="X94" i="45"/>
  <c r="O124" i="45"/>
  <c r="O123" i="45"/>
  <c r="BB113" i="45"/>
  <c r="O374" i="48"/>
  <c r="AV125" i="45"/>
  <c r="BF72" i="45"/>
  <c r="Y71" i="45"/>
  <c r="T349" i="46"/>
  <c r="T350" i="46" s="1"/>
  <c r="T352" i="46" s="1"/>
  <c r="BD103" i="45"/>
  <c r="X102" i="45"/>
  <c r="BD102" i="45"/>
  <c r="X101" i="45"/>
  <c r="BD101" i="45"/>
  <c r="X103" i="45"/>
  <c r="X80" i="45"/>
  <c r="BD80" i="45"/>
  <c r="X79" i="45"/>
  <c r="BD81" i="45"/>
  <c r="X81" i="45"/>
  <c r="BD79" i="45"/>
  <c r="N374" i="48"/>
  <c r="AU125" i="45"/>
  <c r="BB116" i="45"/>
  <c r="W116" i="45"/>
  <c r="Y73" i="45"/>
  <c r="BD110" i="45"/>
  <c r="Z70" i="45"/>
  <c r="AW123" i="45"/>
  <c r="V118" i="45"/>
  <c r="BC118" i="45"/>
  <c r="Y40" i="46"/>
  <c r="AD46" i="46" s="1"/>
  <c r="AD263" i="46" s="1"/>
  <c r="Z59" i="45"/>
  <c r="Z58" i="45"/>
  <c r="Z60" i="45"/>
  <c r="AA68" i="45"/>
  <c r="S349" i="46"/>
  <c r="S350" i="46" s="1"/>
  <c r="S352" i="46" s="1"/>
  <c r="BD112" i="45"/>
  <c r="BB118" i="45"/>
  <c r="Y72" i="45"/>
  <c r="W118" i="45"/>
  <c r="Q368" i="48"/>
  <c r="AX120" i="45"/>
  <c r="W311" i="46"/>
  <c r="X278" i="46"/>
  <c r="X18" i="52" s="1"/>
  <c r="Q373" i="48"/>
  <c r="U321" i="48"/>
  <c r="DN103" i="55" s="1"/>
  <c r="DN126" i="55" s="1"/>
  <c r="DN149" i="55" s="1"/>
  <c r="U344" i="48"/>
  <c r="U345" i="48" s="1"/>
  <c r="W85" i="48"/>
  <c r="W90" i="48" s="1"/>
  <c r="W86" i="48"/>
  <c r="W91" i="48" s="1"/>
  <c r="W83" i="48"/>
  <c r="W88" i="48" s="1"/>
  <c r="W84" i="48"/>
  <c r="W89" i="48" s="1"/>
  <c r="W87" i="48"/>
  <c r="O121" i="45"/>
  <c r="O128" i="45" s="1"/>
  <c r="X83" i="46"/>
  <c r="X88" i="46" s="1"/>
  <c r="X87" i="46"/>
  <c r="X85" i="46"/>
  <c r="X90" i="46" s="1"/>
  <c r="X86" i="46"/>
  <c r="X91" i="46" s="1"/>
  <c r="X82" i="48"/>
  <c r="X84" i="46"/>
  <c r="X89" i="46" s="1"/>
  <c r="BD97" i="45"/>
  <c r="X100" i="45"/>
  <c r="W114" i="48"/>
  <c r="W119" i="48" s="1"/>
  <c r="W113" i="48"/>
  <c r="W118" i="48" s="1"/>
  <c r="W117" i="48"/>
  <c r="W116" i="48"/>
  <c r="W121" i="48" s="1"/>
  <c r="W115" i="48"/>
  <c r="W120" i="48" s="1"/>
  <c r="W277" i="48"/>
  <c r="V335" i="46"/>
  <c r="V334" i="46"/>
  <c r="V346" i="46" s="1"/>
  <c r="V347" i="46" s="1"/>
  <c r="Q366" i="46"/>
  <c r="R104" i="55" s="1"/>
  <c r="R127" i="55" s="1"/>
  <c r="R150" i="55" s="1"/>
  <c r="R356" i="48"/>
  <c r="R357" i="48" s="1"/>
  <c r="R364" i="48" s="1"/>
  <c r="P368" i="48"/>
  <c r="P373" i="48"/>
  <c r="W77" i="48"/>
  <c r="W76" i="48"/>
  <c r="W81" i="48" s="1"/>
  <c r="W75" i="48"/>
  <c r="W80" i="48" s="1"/>
  <c r="W74" i="48"/>
  <c r="W79" i="48" s="1"/>
  <c r="W73" i="48"/>
  <c r="W78" i="48" s="1"/>
  <c r="U334" i="46"/>
  <c r="U346" i="46" s="1"/>
  <c r="U347" i="46" s="1"/>
  <c r="U335" i="46"/>
  <c r="Z75" i="45"/>
  <c r="Y36" i="46"/>
  <c r="Y42" i="46" s="1"/>
  <c r="R119" i="45"/>
  <c r="X116" i="46"/>
  <c r="X121" i="46" s="1"/>
  <c r="X117" i="46"/>
  <c r="X115" i="46"/>
  <c r="X120" i="46" s="1"/>
  <c r="X113" i="46"/>
  <c r="X118" i="46" s="1"/>
  <c r="X114" i="46"/>
  <c r="X119" i="46" s="1"/>
  <c r="X112" i="48"/>
  <c r="X277" i="46"/>
  <c r="BH55" i="45"/>
  <c r="BH56" i="45"/>
  <c r="V334" i="48"/>
  <c r="V346" i="48" s="1"/>
  <c r="V335" i="48"/>
  <c r="T356" i="46"/>
  <c r="BI37" i="45"/>
  <c r="BI32" i="45"/>
  <c r="BI29" i="45"/>
  <c r="BI36" i="45"/>
  <c r="BI35" i="45"/>
  <c r="BI28" i="45"/>
  <c r="BI31" i="45"/>
  <c r="BI54" i="45"/>
  <c r="BB114" i="45"/>
  <c r="BB78" i="45"/>
  <c r="X274" i="48"/>
  <c r="R364" i="46"/>
  <c r="X72" i="48"/>
  <c r="X76" i="46"/>
  <c r="X81" i="46" s="1"/>
  <c r="X75" i="46"/>
  <c r="X80" i="46" s="1"/>
  <c r="X73" i="46"/>
  <c r="X78" i="46" s="1"/>
  <c r="X74" i="46"/>
  <c r="X79" i="46" s="1"/>
  <c r="X77" i="46"/>
  <c r="U315" i="48"/>
  <c r="U318" i="48"/>
  <c r="U316" i="48"/>
  <c r="U314" i="48"/>
  <c r="U317" i="48"/>
  <c r="U313" i="48"/>
  <c r="W324" i="46"/>
  <c r="W325" i="46"/>
  <c r="W326" i="46"/>
  <c r="W327" i="46"/>
  <c r="W324" i="48"/>
  <c r="W327" i="48"/>
  <c r="W326" i="48"/>
  <c r="W325" i="48"/>
  <c r="V344" i="48"/>
  <c r="V345" i="48" s="1"/>
  <c r="V321" i="48"/>
  <c r="DO103" i="55" s="1"/>
  <c r="DO126" i="55" s="1"/>
  <c r="DO149" i="55" s="1"/>
  <c r="S351" i="48"/>
  <c r="U328" i="46"/>
  <c r="U329" i="46"/>
  <c r="BB100" i="45"/>
  <c r="N374" i="46"/>
  <c r="O125" i="45"/>
  <c r="X274" i="46"/>
  <c r="X104" i="46"/>
  <c r="X109" i="46" s="1"/>
  <c r="X107" i="46"/>
  <c r="X102" i="48"/>
  <c r="X105" i="46"/>
  <c r="X110" i="46" s="1"/>
  <c r="X103" i="46"/>
  <c r="X108" i="46" s="1"/>
  <c r="X106" i="46"/>
  <c r="X111" i="46" s="1"/>
  <c r="BG34" i="45"/>
  <c r="Z36" i="48" s="1"/>
  <c r="Z42" i="48" s="1"/>
  <c r="BG68" i="45"/>
  <c r="V311" i="48"/>
  <c r="V312" i="48" s="1"/>
  <c r="W278" i="48"/>
  <c r="W344" i="46"/>
  <c r="W345" i="46" s="1"/>
  <c r="W321" i="46"/>
  <c r="V329" i="46"/>
  <c r="V328" i="46"/>
  <c r="T332" i="46"/>
  <c r="T336" i="46" s="1"/>
  <c r="T333" i="46"/>
  <c r="BC78" i="45"/>
  <c r="S332" i="46"/>
  <c r="S336" i="46" s="1"/>
  <c r="S333" i="46"/>
  <c r="W105" i="48"/>
  <c r="W110" i="48" s="1"/>
  <c r="W106" i="48"/>
  <c r="W111" i="48" s="1"/>
  <c r="W104" i="48"/>
  <c r="W109" i="48" s="1"/>
  <c r="W103" i="48"/>
  <c r="W108" i="48" s="1"/>
  <c r="W107" i="48"/>
  <c r="BG67" i="45"/>
  <c r="V328" i="48"/>
  <c r="V329" i="48"/>
  <c r="AB268" i="48"/>
  <c r="AB266" i="48"/>
  <c r="AB271" i="48" s="1"/>
  <c r="AB264" i="48"/>
  <c r="AB269" i="48" s="1"/>
  <c r="AB265" i="48"/>
  <c r="AB270" i="48" s="1"/>
  <c r="AB267" i="48"/>
  <c r="AB272" i="48" s="1"/>
  <c r="S356" i="46"/>
  <c r="AA104" i="45"/>
  <c r="AB55" i="45"/>
  <c r="AB56" i="45"/>
  <c r="AB30" i="45"/>
  <c r="BF75" i="45"/>
  <c r="AD27" i="45"/>
  <c r="BJ27" i="45" s="1"/>
  <c r="AC29" i="45"/>
  <c r="AC31" i="45"/>
  <c r="AC32" i="45"/>
  <c r="AC28" i="45"/>
  <c r="AC35" i="45"/>
  <c r="AC37" i="45"/>
  <c r="AC36" i="45"/>
  <c r="AC54" i="45"/>
  <c r="AA67" i="45"/>
  <c r="AA70" i="45" s="1"/>
  <c r="AA34" i="45"/>
  <c r="BF104" i="45"/>
  <c r="BE75" i="45"/>
  <c r="V339" i="46" l="1"/>
  <c r="W108" i="55" s="1"/>
  <c r="W131" i="55" s="1"/>
  <c r="W154" i="55" s="1"/>
  <c r="X320" i="48"/>
  <c r="X78" i="45"/>
  <c r="V318" i="46"/>
  <c r="CI111" i="55" s="1"/>
  <c r="CI134" i="55" s="1"/>
  <c r="CI157" i="55" s="1"/>
  <c r="V340" i="46"/>
  <c r="W109" i="55" s="1"/>
  <c r="W132" i="55" s="1"/>
  <c r="W155" i="55" s="1"/>
  <c r="V315" i="46"/>
  <c r="CI108" i="55" s="1"/>
  <c r="CI131" i="55" s="1"/>
  <c r="CI154" i="55" s="1"/>
  <c r="BH34" i="45"/>
  <c r="AA36" i="48" s="1"/>
  <c r="AA42" i="48" s="1"/>
  <c r="AA47" i="48" s="1"/>
  <c r="V342" i="46"/>
  <c r="W111" i="55" s="1"/>
  <c r="W134" i="55" s="1"/>
  <c r="W157" i="55" s="1"/>
  <c r="V314" i="46"/>
  <c r="CI107" i="55" s="1"/>
  <c r="CI130" i="55" s="1"/>
  <c r="CI153" i="55" s="1"/>
  <c r="V341" i="46"/>
  <c r="W110" i="55" s="1"/>
  <c r="W133" i="55" s="1"/>
  <c r="W156" i="55" s="1"/>
  <c r="V317" i="46"/>
  <c r="CI110" i="55" s="1"/>
  <c r="CI133" i="55" s="1"/>
  <c r="CI156" i="55" s="1"/>
  <c r="V316" i="46"/>
  <c r="CI109" i="55" s="1"/>
  <c r="CI132" i="55" s="1"/>
  <c r="CI155" i="55" s="1"/>
  <c r="V337" i="46"/>
  <c r="BC113" i="45"/>
  <c r="BC115" i="45" s="1"/>
  <c r="X323" i="46"/>
  <c r="P49" i="58"/>
  <c r="AW130" i="55"/>
  <c r="DI107" i="55"/>
  <c r="AX153" i="55"/>
  <c r="DJ153" i="55" s="1"/>
  <c r="DJ130" i="55"/>
  <c r="AV153" i="55"/>
  <c r="DH153" i="55" s="1"/>
  <c r="DH130" i="55"/>
  <c r="U341" i="46"/>
  <c r="V110" i="55" s="1"/>
  <c r="V133" i="55" s="1"/>
  <c r="V156" i="55" s="1"/>
  <c r="BA155" i="55"/>
  <c r="DM155" i="55" s="1"/>
  <c r="DM132" i="55"/>
  <c r="U337" i="46"/>
  <c r="Y320" i="48"/>
  <c r="U340" i="46"/>
  <c r="V109" i="55" s="1"/>
  <c r="V132" i="55" s="1"/>
  <c r="V155" i="55" s="1"/>
  <c r="BA154" i="55"/>
  <c r="DM154" i="55" s="1"/>
  <c r="DM131" i="55"/>
  <c r="U338" i="46"/>
  <c r="AU153" i="55"/>
  <c r="DG153" i="55" s="1"/>
  <c r="DG130" i="55"/>
  <c r="AZ156" i="55"/>
  <c r="DL156" i="55" s="1"/>
  <c r="DL133" i="55"/>
  <c r="AZ155" i="55"/>
  <c r="DL155" i="55" s="1"/>
  <c r="DL132" i="55"/>
  <c r="U339" i="46"/>
  <c r="V108" i="55" s="1"/>
  <c r="V131" i="55" s="1"/>
  <c r="V154" i="55" s="1"/>
  <c r="BH67" i="45"/>
  <c r="BA156" i="55"/>
  <c r="DM156" i="55" s="1"/>
  <c r="DM133" i="55"/>
  <c r="AZ157" i="55"/>
  <c r="DL157" i="55" s="1"/>
  <c r="DL134" i="55"/>
  <c r="AZ154" i="55"/>
  <c r="DL154" i="55" s="1"/>
  <c r="DL131" i="55"/>
  <c r="BA157" i="55"/>
  <c r="DM157" i="55" s="1"/>
  <c r="DM134" i="55"/>
  <c r="P44" i="58"/>
  <c r="P54" i="58"/>
  <c r="AV49" i="58"/>
  <c r="AV44" i="58"/>
  <c r="AV54" i="58"/>
  <c r="O131" i="45"/>
  <c r="O53" i="58" s="1"/>
  <c r="O129" i="45"/>
  <c r="O43" i="58" s="1"/>
  <c r="O130" i="45"/>
  <c r="O48" i="58" s="1"/>
  <c r="X117" i="45"/>
  <c r="BD117" i="45"/>
  <c r="U322" i="48"/>
  <c r="BB103" i="55"/>
  <c r="BB126" i="55" s="1"/>
  <c r="BB149" i="55" s="1"/>
  <c r="W322" i="46"/>
  <c r="W340" i="46" s="1"/>
  <c r="X109" i="55" s="1"/>
  <c r="X132" i="55" s="1"/>
  <c r="X155" i="55" s="1"/>
  <c r="X103" i="55"/>
  <c r="X126" i="55" s="1"/>
  <c r="X149" i="55" s="1"/>
  <c r="S104" i="55"/>
  <c r="S127" i="55" s="1"/>
  <c r="S150" i="55" s="1"/>
  <c r="S107" i="55"/>
  <c r="S130" i="55" s="1"/>
  <c r="S153" i="55" s="1"/>
  <c r="R107" i="55"/>
  <c r="R130" i="55" s="1"/>
  <c r="R153" i="55" s="1"/>
  <c r="V322" i="48"/>
  <c r="BC103" i="55"/>
  <c r="BC126" i="55" s="1"/>
  <c r="BC149" i="55" s="1"/>
  <c r="W312" i="46"/>
  <c r="W318" i="46" s="1"/>
  <c r="CJ111" i="55" s="1"/>
  <c r="CJ134" i="55" s="1"/>
  <c r="CJ157" i="55" s="1"/>
  <c r="CJ103" i="55"/>
  <c r="CJ126" i="55" s="1"/>
  <c r="CJ149" i="55" s="1"/>
  <c r="V115" i="45"/>
  <c r="AA319" i="48"/>
  <c r="AA320" i="48" s="1"/>
  <c r="X91" i="45"/>
  <c r="X114" i="45" s="1"/>
  <c r="X115" i="45" s="1"/>
  <c r="X109" i="45"/>
  <c r="X113" i="45"/>
  <c r="Q121" i="45"/>
  <c r="Q128" i="45" s="1"/>
  <c r="Q123" i="45"/>
  <c r="Q124" i="45"/>
  <c r="AC268" i="48"/>
  <c r="AA58" i="45"/>
  <c r="BG75" i="45"/>
  <c r="O126" i="45"/>
  <c r="AY119" i="45"/>
  <c r="AV126" i="45"/>
  <c r="Q373" i="46"/>
  <c r="AD105" i="45"/>
  <c r="BJ105" i="45" s="1"/>
  <c r="P374" i="46"/>
  <c r="Y106" i="45"/>
  <c r="Y109" i="45" s="1"/>
  <c r="Y76" i="45"/>
  <c r="BE76" i="45" s="1"/>
  <c r="Y97" i="45"/>
  <c r="BE97" i="45" s="1"/>
  <c r="Y90" i="45"/>
  <c r="AU126" i="45"/>
  <c r="BA119" i="45"/>
  <c r="Z40" i="46"/>
  <c r="AE46" i="46" s="1"/>
  <c r="AE263" i="46" s="1"/>
  <c r="AE265" i="46" s="1"/>
  <c r="AE270" i="46" s="1"/>
  <c r="AA59" i="45"/>
  <c r="AB68" i="45"/>
  <c r="BG58" i="45"/>
  <c r="AA60" i="45"/>
  <c r="AA73" i="45" s="1"/>
  <c r="BG70" i="45"/>
  <c r="Z40" i="48"/>
  <c r="AE46" i="48" s="1"/>
  <c r="BG59" i="45"/>
  <c r="BG72" i="45" s="1"/>
  <c r="V348" i="46"/>
  <c r="V351" i="46" s="1"/>
  <c r="V356" i="46" s="1"/>
  <c r="U348" i="46"/>
  <c r="U349" i="46" s="1"/>
  <c r="U350" i="46" s="1"/>
  <c r="AC265" i="48"/>
  <c r="AC270" i="48" s="1"/>
  <c r="BH57" i="45"/>
  <c r="BH59" i="45" s="1"/>
  <c r="BD118" i="45"/>
  <c r="AC264" i="48"/>
  <c r="AC269" i="48" s="1"/>
  <c r="AC266" i="48"/>
  <c r="AC271" i="48" s="1"/>
  <c r="BD113" i="45"/>
  <c r="BE112" i="45"/>
  <c r="BE110" i="45"/>
  <c r="BE111" i="45"/>
  <c r="Y93" i="45"/>
  <c r="Y94" i="45"/>
  <c r="BE94" i="45"/>
  <c r="BE93" i="45"/>
  <c r="Q374" i="48"/>
  <c r="AX125" i="45"/>
  <c r="AX122" i="45"/>
  <c r="AX123" i="45"/>
  <c r="AX124" i="45"/>
  <c r="Y111" i="45"/>
  <c r="Z71" i="45"/>
  <c r="AC30" i="45"/>
  <c r="BE79" i="45"/>
  <c r="BE80" i="45"/>
  <c r="Y79" i="45"/>
  <c r="Y80" i="45"/>
  <c r="Y81" i="45"/>
  <c r="BE81" i="45"/>
  <c r="BI30" i="45"/>
  <c r="BE103" i="45"/>
  <c r="Y102" i="45"/>
  <c r="Y101" i="45"/>
  <c r="BE102" i="45"/>
  <c r="BE101" i="45"/>
  <c r="Y103" i="45"/>
  <c r="BG73" i="45"/>
  <c r="Z72" i="45"/>
  <c r="X116" i="45"/>
  <c r="Y110" i="45"/>
  <c r="P374" i="48"/>
  <c r="AW125" i="45"/>
  <c r="BG71" i="45"/>
  <c r="AD268" i="46"/>
  <c r="AD263" i="48"/>
  <c r="AD267" i="46"/>
  <c r="AD272" i="46" s="1"/>
  <c r="AD264" i="46"/>
  <c r="AD269" i="46" s="1"/>
  <c r="AD266" i="46"/>
  <c r="AD271" i="46" s="1"/>
  <c r="AD265" i="46"/>
  <c r="AD270" i="46" s="1"/>
  <c r="BD116" i="45"/>
  <c r="AC33" i="45"/>
  <c r="AA71" i="45"/>
  <c r="Z73" i="45"/>
  <c r="Y112" i="45"/>
  <c r="X118" i="45"/>
  <c r="AA72" i="45"/>
  <c r="BJ37" i="45"/>
  <c r="BJ32" i="45"/>
  <c r="BJ29" i="45"/>
  <c r="BJ36" i="45"/>
  <c r="BJ35" i="45"/>
  <c r="BJ31" i="45"/>
  <c r="BJ28" i="45"/>
  <c r="BJ54" i="45"/>
  <c r="V330" i="48"/>
  <c r="V331" i="48"/>
  <c r="X325" i="48"/>
  <c r="X324" i="48"/>
  <c r="X326" i="48"/>
  <c r="X327" i="48"/>
  <c r="S356" i="48"/>
  <c r="S357" i="48" s="1"/>
  <c r="S364" i="48" s="1"/>
  <c r="W328" i="48"/>
  <c r="W329" i="48"/>
  <c r="X74" i="48"/>
  <c r="X79" i="48" s="1"/>
  <c r="X77" i="48"/>
  <c r="X73" i="48"/>
  <c r="X78" i="48" s="1"/>
  <c r="X75" i="48"/>
  <c r="X80" i="48" s="1"/>
  <c r="X76" i="48"/>
  <c r="X81" i="48" s="1"/>
  <c r="BI55" i="45"/>
  <c r="BI56" i="45"/>
  <c r="AB57" i="45"/>
  <c r="V331" i="46"/>
  <c r="V330" i="46"/>
  <c r="V318" i="48"/>
  <c r="V317" i="48"/>
  <c r="V314" i="48"/>
  <c r="V315" i="48"/>
  <c r="V313" i="48"/>
  <c r="V316" i="48"/>
  <c r="BB115" i="45"/>
  <c r="V348" i="48"/>
  <c r="V349" i="48" s="1"/>
  <c r="V350" i="48" s="1"/>
  <c r="V347" i="48"/>
  <c r="W335" i="48"/>
  <c r="W334" i="48"/>
  <c r="W346" i="48" s="1"/>
  <c r="W334" i="46"/>
  <c r="W346" i="46" s="1"/>
  <c r="W347" i="46" s="1"/>
  <c r="W335" i="46"/>
  <c r="S119" i="45"/>
  <c r="R368" i="46"/>
  <c r="R373" i="46"/>
  <c r="T357" i="46"/>
  <c r="T366" i="46" s="1"/>
  <c r="W311" i="48"/>
  <c r="W312" i="48" s="1"/>
  <c r="X278" i="48"/>
  <c r="V337" i="48"/>
  <c r="V342" i="48"/>
  <c r="BC111" i="55" s="1"/>
  <c r="V339" i="48"/>
  <c r="BC108" i="55" s="1"/>
  <c r="V340" i="48"/>
  <c r="BC109" i="55" s="1"/>
  <c r="V338" i="48"/>
  <c r="V341" i="48"/>
  <c r="BC110" i="55" s="1"/>
  <c r="Y47" i="46"/>
  <c r="Y112" i="46"/>
  <c r="Y72" i="46"/>
  <c r="Y102" i="46"/>
  <c r="Y82" i="46"/>
  <c r="R366" i="48"/>
  <c r="AY104" i="55" s="1"/>
  <c r="AY127" i="55" s="1"/>
  <c r="AY150" i="55" s="1"/>
  <c r="AA75" i="45"/>
  <c r="Z36" i="46"/>
  <c r="Z42" i="46" s="1"/>
  <c r="BH68" i="45"/>
  <c r="BH70" i="45" s="1"/>
  <c r="W339" i="46"/>
  <c r="X108" i="55" s="1"/>
  <c r="X131" i="55" s="1"/>
  <c r="X154" i="55" s="1"/>
  <c r="U330" i="46"/>
  <c r="U331" i="46"/>
  <c r="W328" i="46"/>
  <c r="W329" i="46"/>
  <c r="BI33" i="45"/>
  <c r="X321" i="46"/>
  <c r="X344" i="46"/>
  <c r="X345" i="46" s="1"/>
  <c r="AW121" i="45"/>
  <c r="AW128" i="45" s="1"/>
  <c r="BD114" i="45"/>
  <c r="BD78" i="45"/>
  <c r="Q368" i="46"/>
  <c r="R120" i="45"/>
  <c r="R122" i="45" s="1"/>
  <c r="BE90" i="45"/>
  <c r="BE91" i="45" s="1"/>
  <c r="Y91" i="45"/>
  <c r="AU121" i="45"/>
  <c r="AU128" i="45" s="1"/>
  <c r="U347" i="48"/>
  <c r="U348" i="48"/>
  <c r="U349" i="48" s="1"/>
  <c r="U350" i="48" s="1"/>
  <c r="U352" i="48" s="1"/>
  <c r="T366" i="48"/>
  <c r="BA107" i="55" s="1"/>
  <c r="X327" i="46"/>
  <c r="X325" i="46"/>
  <c r="X326" i="46"/>
  <c r="X324" i="46"/>
  <c r="S357" i="46"/>
  <c r="S364" i="46" s="1"/>
  <c r="Z47" i="48"/>
  <c r="X107" i="48"/>
  <c r="X106" i="48"/>
  <c r="X111" i="48" s="1"/>
  <c r="X105" i="48"/>
  <c r="X110" i="48" s="1"/>
  <c r="X104" i="48"/>
  <c r="X109" i="48" s="1"/>
  <c r="X103" i="48"/>
  <c r="X108" i="48" s="1"/>
  <c r="Y327" i="48"/>
  <c r="Y324" i="48"/>
  <c r="Y325" i="48"/>
  <c r="Y326" i="48"/>
  <c r="Y78" i="45"/>
  <c r="X117" i="48"/>
  <c r="X116" i="48"/>
  <c r="X121" i="48" s="1"/>
  <c r="X115" i="48"/>
  <c r="X120" i="48" s="1"/>
  <c r="X113" i="48"/>
  <c r="X118" i="48" s="1"/>
  <c r="X114" i="48"/>
  <c r="X119" i="48" s="1"/>
  <c r="X277" i="48"/>
  <c r="W321" i="48"/>
  <c r="DP103" i="55" s="1"/>
  <c r="DP126" i="55" s="1"/>
  <c r="DP149" i="55" s="1"/>
  <c r="W344" i="48"/>
  <c r="W345" i="48" s="1"/>
  <c r="BD100" i="45"/>
  <c r="X84" i="48"/>
  <c r="X89" i="48" s="1"/>
  <c r="X85" i="48"/>
  <c r="X90" i="48" s="1"/>
  <c r="X86" i="48"/>
  <c r="X91" i="48" s="1"/>
  <c r="X87" i="48"/>
  <c r="X83" i="48"/>
  <c r="X88" i="48" s="1"/>
  <c r="U340" i="48"/>
  <c r="BB109" i="55" s="1"/>
  <c r="U342" i="48"/>
  <c r="BB111" i="55" s="1"/>
  <c r="U341" i="48"/>
  <c r="BB110" i="55" s="1"/>
  <c r="U339" i="48"/>
  <c r="BB108" i="55" s="1"/>
  <c r="U337" i="48"/>
  <c r="U338" i="48"/>
  <c r="Y278" i="46"/>
  <c r="Y18" i="52" s="1"/>
  <c r="X311" i="46"/>
  <c r="AA274" i="48"/>
  <c r="AC55" i="45"/>
  <c r="AC56" i="45"/>
  <c r="AB67" i="45"/>
  <c r="AB70" i="45" s="1"/>
  <c r="AB34" i="45"/>
  <c r="AE27" i="45"/>
  <c r="BK27" i="45" s="1"/>
  <c r="AD28" i="45"/>
  <c r="AD29" i="45"/>
  <c r="AD31" i="45"/>
  <c r="AD32" i="45"/>
  <c r="AD35" i="45"/>
  <c r="AD37" i="45"/>
  <c r="AD54" i="45"/>
  <c r="AD36" i="45"/>
  <c r="AA323" i="48" l="1"/>
  <c r="W313" i="46"/>
  <c r="W316" i="46"/>
  <c r="CJ109" i="55" s="1"/>
  <c r="CJ132" i="55" s="1"/>
  <c r="CJ155" i="55" s="1"/>
  <c r="W315" i="46"/>
  <c r="CJ108" i="55" s="1"/>
  <c r="CJ131" i="55" s="1"/>
  <c r="CJ154" i="55" s="1"/>
  <c r="W317" i="46"/>
  <c r="CJ110" i="55" s="1"/>
  <c r="CJ133" i="55" s="1"/>
  <c r="CJ156" i="55" s="1"/>
  <c r="W341" i="46"/>
  <c r="X110" i="55" s="1"/>
  <c r="X133" i="55" s="1"/>
  <c r="X156" i="55" s="1"/>
  <c r="W337" i="46"/>
  <c r="W338" i="46"/>
  <c r="W342" i="46"/>
  <c r="X111" i="55" s="1"/>
  <c r="X134" i="55" s="1"/>
  <c r="X157" i="55" s="1"/>
  <c r="Y114" i="45"/>
  <c r="BC133" i="55"/>
  <c r="DO110" i="55"/>
  <c r="O44" i="58"/>
  <c r="DM104" i="55"/>
  <c r="DM127" i="55" s="1"/>
  <c r="DM150" i="55" s="1"/>
  <c r="BC132" i="55"/>
  <c r="DO109" i="55"/>
  <c r="DK104" i="55"/>
  <c r="DK127" i="55" s="1"/>
  <c r="DK150" i="55" s="1"/>
  <c r="BC131" i="55"/>
  <c r="DO108" i="55"/>
  <c r="AC68" i="45"/>
  <c r="BB133" i="55"/>
  <c r="DN110" i="55"/>
  <c r="BC134" i="55"/>
  <c r="DO111" i="55"/>
  <c r="BB134" i="55"/>
  <c r="DN111" i="55"/>
  <c r="BB131" i="55"/>
  <c r="DN108" i="55"/>
  <c r="BB132" i="55"/>
  <c r="DN109" i="55"/>
  <c r="BA130" i="55"/>
  <c r="DM107" i="55"/>
  <c r="AW153" i="55"/>
  <c r="DI153" i="55" s="1"/>
  <c r="DI130" i="55"/>
  <c r="O49" i="58"/>
  <c r="O54" i="58"/>
  <c r="AW131" i="45"/>
  <c r="AW53" i="58" s="1"/>
  <c r="AW130" i="45"/>
  <c r="AW48" i="58" s="1"/>
  <c r="AW129" i="45"/>
  <c r="AW43" i="58" s="1"/>
  <c r="AU131" i="45"/>
  <c r="AU53" i="58" s="1"/>
  <c r="AU129" i="45"/>
  <c r="AU43" i="58" s="1"/>
  <c r="AU130" i="45"/>
  <c r="AU48" i="58" s="1"/>
  <c r="W314" i="46"/>
  <c r="CJ107" i="55" s="1"/>
  <c r="CJ130" i="55" s="1"/>
  <c r="CJ153" i="55" s="1"/>
  <c r="Q131" i="45"/>
  <c r="Q53" i="58" s="1"/>
  <c r="Q130" i="45"/>
  <c r="Q48" i="58" s="1"/>
  <c r="Q129" i="45"/>
  <c r="Q43" i="58" s="1"/>
  <c r="Y117" i="45"/>
  <c r="BE117" i="45"/>
  <c r="BA104" i="55"/>
  <c r="BA127" i="55" s="1"/>
  <c r="BA150" i="55" s="1"/>
  <c r="W322" i="48"/>
  <c r="BD103" i="55"/>
  <c r="BD126" i="55" s="1"/>
  <c r="BD149" i="55" s="1"/>
  <c r="X312" i="46"/>
  <c r="X314" i="46" s="1"/>
  <c r="CK107" i="55" s="1"/>
  <c r="CK130" i="55" s="1"/>
  <c r="CK153" i="55" s="1"/>
  <c r="CK103" i="55"/>
  <c r="CK126" i="55" s="1"/>
  <c r="CK149" i="55" s="1"/>
  <c r="AY107" i="55"/>
  <c r="X322" i="46"/>
  <c r="Y103" i="55"/>
  <c r="Y126" i="55" s="1"/>
  <c r="Y149" i="55" s="1"/>
  <c r="BE106" i="45"/>
  <c r="BE109" i="45" s="1"/>
  <c r="Y319" i="46"/>
  <c r="Z319" i="48"/>
  <c r="R125" i="45"/>
  <c r="Q374" i="46"/>
  <c r="R126" i="45" s="1"/>
  <c r="Y113" i="45"/>
  <c r="Y100" i="45"/>
  <c r="BJ33" i="45"/>
  <c r="BH60" i="45"/>
  <c r="BH73" i="45" s="1"/>
  <c r="AE264" i="46"/>
  <c r="AE269" i="46" s="1"/>
  <c r="AE266" i="46"/>
  <c r="AE271" i="46" s="1"/>
  <c r="U120" i="45"/>
  <c r="U122" i="45" s="1"/>
  <c r="AW126" i="45"/>
  <c r="AZ119" i="45"/>
  <c r="AE105" i="45"/>
  <c r="BK105" i="45" s="1"/>
  <c r="AX126" i="45"/>
  <c r="AE263" i="48"/>
  <c r="AE268" i="48" s="1"/>
  <c r="AE268" i="46"/>
  <c r="AE267" i="46"/>
  <c r="AE272" i="46" s="1"/>
  <c r="Q126" i="45"/>
  <c r="V349" i="46"/>
  <c r="V350" i="46" s="1"/>
  <c r="V352" i="46" s="1"/>
  <c r="BI67" i="45"/>
  <c r="AA40" i="48"/>
  <c r="AF46" i="48" s="1"/>
  <c r="BH58" i="45"/>
  <c r="BH71" i="45" s="1"/>
  <c r="BJ30" i="45"/>
  <c r="U352" i="46"/>
  <c r="U351" i="46"/>
  <c r="U356" i="46" s="1"/>
  <c r="V351" i="48"/>
  <c r="V356" i="48" s="1"/>
  <c r="V357" i="48" s="1"/>
  <c r="V366" i="48" s="1"/>
  <c r="AC34" i="45"/>
  <c r="BD115" i="45"/>
  <c r="AC67" i="45"/>
  <c r="AC70" i="45" s="1"/>
  <c r="BE114" i="45"/>
  <c r="T364" i="46"/>
  <c r="V352" i="48"/>
  <c r="BE116" i="45"/>
  <c r="AA40" i="46"/>
  <c r="AF46" i="46" s="1"/>
  <c r="AF263" i="46" s="1"/>
  <c r="AF265" i="46" s="1"/>
  <c r="AF270" i="46" s="1"/>
  <c r="AB59" i="45"/>
  <c r="AB58" i="45"/>
  <c r="AB60" i="45"/>
  <c r="Z274" i="48"/>
  <c r="Y118" i="45"/>
  <c r="AB104" i="45"/>
  <c r="W348" i="46"/>
  <c r="W351" i="46" s="1"/>
  <c r="R121" i="45"/>
  <c r="R128" i="45" s="1"/>
  <c r="S124" i="45"/>
  <c r="S123" i="45"/>
  <c r="R124" i="45"/>
  <c r="BE118" i="45"/>
  <c r="BI57" i="45"/>
  <c r="AB40" i="48" s="1"/>
  <c r="AG46" i="48" s="1"/>
  <c r="AD267" i="48"/>
  <c r="AD272" i="48" s="1"/>
  <c r="AD268" i="48"/>
  <c r="AD266" i="48"/>
  <c r="AD271" i="48" s="1"/>
  <c r="AD265" i="48"/>
  <c r="AD270" i="48" s="1"/>
  <c r="AD264" i="48"/>
  <c r="AD269" i="48" s="1"/>
  <c r="R123" i="45"/>
  <c r="Y116" i="45"/>
  <c r="BH72" i="45"/>
  <c r="T368" i="48"/>
  <c r="BA120" i="45"/>
  <c r="R368" i="48"/>
  <c r="AY120" i="45"/>
  <c r="AB75" i="45"/>
  <c r="AA36" i="46"/>
  <c r="AA42" i="46" s="1"/>
  <c r="T119" i="45"/>
  <c r="X335" i="46"/>
  <c r="X334" i="46"/>
  <c r="X346" i="46" s="1"/>
  <c r="X347" i="46" s="1"/>
  <c r="U332" i="46"/>
  <c r="U336" i="46" s="1"/>
  <c r="U333" i="46"/>
  <c r="X329" i="48"/>
  <c r="X328" i="48"/>
  <c r="V332" i="48"/>
  <c r="V336" i="48" s="1"/>
  <c r="V333" i="48"/>
  <c r="BK31" i="45"/>
  <c r="BK32" i="45"/>
  <c r="BK29" i="45"/>
  <c r="BK28" i="45"/>
  <c r="BK35" i="45"/>
  <c r="BK37" i="45"/>
  <c r="BK36" i="45"/>
  <c r="BK54" i="45"/>
  <c r="W347" i="48"/>
  <c r="W348" i="48"/>
  <c r="W349" i="48" s="1"/>
  <c r="W350" i="48" s="1"/>
  <c r="BE100" i="45"/>
  <c r="Y335" i="48"/>
  <c r="Y334" i="48"/>
  <c r="Y346" i="48" s="1"/>
  <c r="BE78" i="45"/>
  <c r="Y72" i="48"/>
  <c r="Y75" i="46"/>
  <c r="Y80" i="46" s="1"/>
  <c r="Y74" i="46"/>
  <c r="Y79" i="46" s="1"/>
  <c r="Y73" i="46"/>
  <c r="Y78" i="46" s="1"/>
  <c r="Y77" i="46"/>
  <c r="Y76" i="46"/>
  <c r="Y81" i="46" s="1"/>
  <c r="Y278" i="48"/>
  <c r="X311" i="48"/>
  <c r="X312" i="48" s="1"/>
  <c r="R374" i="46"/>
  <c r="S125" i="45"/>
  <c r="BJ56" i="45"/>
  <c r="BJ55" i="45"/>
  <c r="T373" i="48"/>
  <c r="X341" i="46"/>
  <c r="Y110" i="55" s="1"/>
  <c r="Y133" i="55" s="1"/>
  <c r="Y156" i="55" s="1"/>
  <c r="X340" i="46"/>
  <c r="Y109" i="55" s="1"/>
  <c r="Y132" i="55" s="1"/>
  <c r="Y155" i="55" s="1"/>
  <c r="X339" i="46"/>
  <c r="Y108" i="55" s="1"/>
  <c r="Y131" i="55" s="1"/>
  <c r="Y154" i="55" s="1"/>
  <c r="X338" i="46"/>
  <c r="X337" i="46"/>
  <c r="X342" i="46"/>
  <c r="Y111" i="55" s="1"/>
  <c r="Y134" i="55" s="1"/>
  <c r="Y157" i="55" s="1"/>
  <c r="W330" i="46"/>
  <c r="W331" i="46"/>
  <c r="Y106" i="46"/>
  <c r="Y111" i="46" s="1"/>
  <c r="Y104" i="46"/>
  <c r="Y109" i="46" s="1"/>
  <c r="Y102" i="48"/>
  <c r="Y105" i="46"/>
  <c r="Y110" i="46" s="1"/>
  <c r="Y107" i="46"/>
  <c r="Y103" i="46"/>
  <c r="Y108" i="46" s="1"/>
  <c r="X318" i="46"/>
  <c r="CK111" i="55" s="1"/>
  <c r="CK134" i="55" s="1"/>
  <c r="CK157" i="55" s="1"/>
  <c r="X315" i="46"/>
  <c r="CK108" i="55" s="1"/>
  <c r="CK131" i="55" s="1"/>
  <c r="CK154" i="55" s="1"/>
  <c r="X313" i="46"/>
  <c r="X317" i="46"/>
  <c r="CK110" i="55" s="1"/>
  <c r="CK133" i="55" s="1"/>
  <c r="CK156" i="55" s="1"/>
  <c r="W337" i="48"/>
  <c r="W338" i="48"/>
  <c r="W342" i="48"/>
  <c r="BD111" i="55" s="1"/>
  <c r="W339" i="48"/>
  <c r="BD108" i="55" s="1"/>
  <c r="W340" i="48"/>
  <c r="BD109" i="55" s="1"/>
  <c r="W341" i="48"/>
  <c r="BD110" i="55" s="1"/>
  <c r="Y115" i="45"/>
  <c r="Y328" i="48"/>
  <c r="Y329" i="48"/>
  <c r="X329" i="46"/>
  <c r="X328" i="46"/>
  <c r="U351" i="48"/>
  <c r="AX121" i="45"/>
  <c r="AX128" i="45" s="1"/>
  <c r="BI68" i="45"/>
  <c r="Y274" i="46"/>
  <c r="Y114" i="46"/>
  <c r="Y119" i="46" s="1"/>
  <c r="Y117" i="46"/>
  <c r="Y116" i="46"/>
  <c r="Y121" i="46" s="1"/>
  <c r="Y113" i="46"/>
  <c r="Y118" i="46" s="1"/>
  <c r="Y112" i="48"/>
  <c r="Y115" i="46"/>
  <c r="Y120" i="46" s="1"/>
  <c r="Y277" i="46"/>
  <c r="W315" i="48"/>
  <c r="W316" i="48"/>
  <c r="W317" i="48"/>
  <c r="W314" i="48"/>
  <c r="W313" i="48"/>
  <c r="W318" i="48"/>
  <c r="S366" i="48"/>
  <c r="AZ104" i="55" s="1"/>
  <c r="AZ127" i="55" s="1"/>
  <c r="AZ150" i="55" s="1"/>
  <c r="R373" i="48"/>
  <c r="Y311" i="46"/>
  <c r="Z278" i="46"/>
  <c r="Z18" i="52" s="1"/>
  <c r="X344" i="48"/>
  <c r="X345" i="48" s="1"/>
  <c r="X321" i="48"/>
  <c r="DQ103" i="55" s="1"/>
  <c r="DQ126" i="55" s="1"/>
  <c r="DQ149" i="55" s="1"/>
  <c r="Z320" i="48"/>
  <c r="Z323" i="48"/>
  <c r="S366" i="46"/>
  <c r="T104" i="55" s="1"/>
  <c r="T127" i="55" s="1"/>
  <c r="T150" i="55" s="1"/>
  <c r="Z47" i="46"/>
  <c r="Z72" i="46"/>
  <c r="Z82" i="46"/>
  <c r="Z102" i="46"/>
  <c r="Z112" i="46"/>
  <c r="Y85" i="46"/>
  <c r="Y90" i="46" s="1"/>
  <c r="Y86" i="46"/>
  <c r="Y91" i="46" s="1"/>
  <c r="Y87" i="46"/>
  <c r="Y84" i="46"/>
  <c r="Y89" i="46" s="1"/>
  <c r="Y82" i="48"/>
  <c r="Y83" i="46"/>
  <c r="Y88" i="46" s="1"/>
  <c r="Y323" i="46"/>
  <c r="Y320" i="46"/>
  <c r="S121" i="45"/>
  <c r="S128" i="45" s="1"/>
  <c r="V332" i="46"/>
  <c r="V336" i="46" s="1"/>
  <c r="V333" i="46"/>
  <c r="AA326" i="48"/>
  <c r="AA325" i="48"/>
  <c r="AA324" i="48"/>
  <c r="AA327" i="48"/>
  <c r="W330" i="48"/>
  <c r="W331" i="48"/>
  <c r="X335" i="48"/>
  <c r="X334" i="48"/>
  <c r="X346" i="48" s="1"/>
  <c r="BI34" i="45"/>
  <c r="AB36" i="48" s="1"/>
  <c r="AB42" i="48" s="1"/>
  <c r="V357" i="46"/>
  <c r="V364" i="46" s="1"/>
  <c r="BG104" i="45"/>
  <c r="AC57" i="45"/>
  <c r="AD55" i="45"/>
  <c r="AD56" i="45"/>
  <c r="BH104" i="45"/>
  <c r="AF27" i="45"/>
  <c r="BL27" i="45" s="1"/>
  <c r="AE28" i="45"/>
  <c r="AE29" i="45"/>
  <c r="AE31" i="45"/>
  <c r="AE36" i="45"/>
  <c r="AE32" i="45"/>
  <c r="AE35" i="45"/>
  <c r="AE37" i="45"/>
  <c r="AE54" i="45"/>
  <c r="AD33" i="45"/>
  <c r="AD30" i="45"/>
  <c r="BH75" i="45"/>
  <c r="X316" i="46" l="1"/>
  <c r="CK109" i="55" s="1"/>
  <c r="CK132" i="55" s="1"/>
  <c r="CK155" i="55" s="1"/>
  <c r="BI70" i="45"/>
  <c r="AW44" i="58"/>
  <c r="BC154" i="55"/>
  <c r="DO154" i="55" s="1"/>
  <c r="DO131" i="55"/>
  <c r="AY130" i="55"/>
  <c r="DK107" i="55"/>
  <c r="BA153" i="55"/>
  <c r="DM153" i="55" s="1"/>
  <c r="DM130" i="55"/>
  <c r="BD133" i="55"/>
  <c r="DP110" i="55"/>
  <c r="DL104" i="55"/>
  <c r="DL127" i="55" s="1"/>
  <c r="DL150" i="55" s="1"/>
  <c r="BD132" i="55"/>
  <c r="DP109" i="55"/>
  <c r="BB155" i="55"/>
  <c r="DN155" i="55" s="1"/>
  <c r="DN132" i="55"/>
  <c r="BD131" i="55"/>
  <c r="DP108" i="55"/>
  <c r="BD134" i="55"/>
  <c r="DP111" i="55"/>
  <c r="BB154" i="55"/>
  <c r="DN154" i="55" s="1"/>
  <c r="DN131" i="55"/>
  <c r="BC157" i="55"/>
  <c r="DO157" i="55" s="1"/>
  <c r="DO134" i="55"/>
  <c r="BJ68" i="45"/>
  <c r="BB157" i="55"/>
  <c r="DN157" i="55" s="1"/>
  <c r="DN134" i="55"/>
  <c r="BB156" i="55"/>
  <c r="DN156" i="55" s="1"/>
  <c r="DN133" i="55"/>
  <c r="BC155" i="55"/>
  <c r="DO155" i="55" s="1"/>
  <c r="DO132" i="55"/>
  <c r="BC156" i="55"/>
  <c r="DO156" i="55" s="1"/>
  <c r="DO133" i="55"/>
  <c r="AU54" i="58"/>
  <c r="AW49" i="58"/>
  <c r="AX131" i="45"/>
  <c r="AX53" i="58" s="1"/>
  <c r="AX129" i="45"/>
  <c r="AX43" i="58" s="1"/>
  <c r="AX130" i="45"/>
  <c r="AX48" i="58" s="1"/>
  <c r="R131" i="45"/>
  <c r="R53" i="58" s="1"/>
  <c r="R130" i="45"/>
  <c r="R48" i="58" s="1"/>
  <c r="R129" i="45"/>
  <c r="R43" i="58" s="1"/>
  <c r="AW54" i="58"/>
  <c r="AU49" i="58"/>
  <c r="S131" i="45"/>
  <c r="S53" i="58" s="1"/>
  <c r="S130" i="45"/>
  <c r="S48" i="58" s="1"/>
  <c r="S129" i="45"/>
  <c r="S43" i="58" s="1"/>
  <c r="AU44" i="58"/>
  <c r="Q54" i="58"/>
  <c r="Q44" i="58"/>
  <c r="Q49" i="58"/>
  <c r="U104" i="55"/>
  <c r="U127" i="55" s="1"/>
  <c r="U150" i="55" s="1"/>
  <c r="U107" i="55"/>
  <c r="U130" i="55" s="1"/>
  <c r="U153" i="55" s="1"/>
  <c r="Y312" i="46"/>
  <c r="Y316" i="46" s="1"/>
  <c r="CL109" i="55" s="1"/>
  <c r="CL132" i="55" s="1"/>
  <c r="CL155" i="55" s="1"/>
  <c r="CL103" i="55"/>
  <c r="CL126" i="55" s="1"/>
  <c r="CL149" i="55" s="1"/>
  <c r="AZ107" i="55"/>
  <c r="T107" i="55"/>
  <c r="T130" i="55" s="1"/>
  <c r="T153" i="55" s="1"/>
  <c r="X322" i="48"/>
  <c r="BE103" i="55"/>
  <c r="BE126" i="55" s="1"/>
  <c r="BE149" i="55" s="1"/>
  <c r="BJ34" i="45"/>
  <c r="AC36" i="48" s="1"/>
  <c r="AC42" i="48" s="1"/>
  <c r="AC47" i="48" s="1"/>
  <c r="AC319" i="48" s="1"/>
  <c r="BE113" i="45"/>
  <c r="BE115" i="45" s="1"/>
  <c r="Z319" i="46"/>
  <c r="Z323" i="46" s="1"/>
  <c r="AE266" i="48"/>
  <c r="AE271" i="48" s="1"/>
  <c r="W349" i="46"/>
  <c r="W350" i="46" s="1"/>
  <c r="W352" i="46" s="1"/>
  <c r="AC104" i="45"/>
  <c r="AB36" i="46"/>
  <c r="AB42" i="46" s="1"/>
  <c r="AB102" i="46" s="1"/>
  <c r="AE265" i="48"/>
  <c r="AE270" i="48" s="1"/>
  <c r="AE267" i="48"/>
  <c r="AE272" i="48" s="1"/>
  <c r="AE264" i="48"/>
  <c r="AE269" i="48" s="1"/>
  <c r="S126" i="45"/>
  <c r="Z76" i="45"/>
  <c r="Z78" i="45" s="1"/>
  <c r="BC120" i="45"/>
  <c r="BC122" i="45" s="1"/>
  <c r="AF105" i="45"/>
  <c r="BL105" i="45" s="1"/>
  <c r="Z90" i="45"/>
  <c r="Z97" i="45"/>
  <c r="Z106" i="45"/>
  <c r="BF106" i="45" s="1"/>
  <c r="BF109" i="45" s="1"/>
  <c r="T373" i="46"/>
  <c r="T374" i="46" s="1"/>
  <c r="T368" i="46"/>
  <c r="AC75" i="45"/>
  <c r="AF267" i="46"/>
  <c r="AF272" i="46" s="1"/>
  <c r="U119" i="45"/>
  <c r="U121" i="45" s="1"/>
  <c r="U128" i="45" s="1"/>
  <c r="BF94" i="45"/>
  <c r="Z94" i="45"/>
  <c r="BF93" i="45"/>
  <c r="Z93" i="45"/>
  <c r="W352" i="48"/>
  <c r="BA122" i="45"/>
  <c r="BA123" i="45"/>
  <c r="BA124" i="45"/>
  <c r="AD68" i="45"/>
  <c r="AD57" i="45"/>
  <c r="AF263" i="48"/>
  <c r="AF266" i="48" s="1"/>
  <c r="AF271" i="48" s="1"/>
  <c r="BF101" i="45"/>
  <c r="Z103" i="45"/>
  <c r="Z101" i="45"/>
  <c r="BF103" i="45"/>
  <c r="Z102" i="45"/>
  <c r="BF102" i="45"/>
  <c r="AB73" i="45"/>
  <c r="AC58" i="45"/>
  <c r="AC71" i="45" s="1"/>
  <c r="AC60" i="45"/>
  <c r="AC59" i="45"/>
  <c r="AF268" i="46"/>
  <c r="AF264" i="46"/>
  <c r="AF269" i="46" s="1"/>
  <c r="T374" i="48"/>
  <c r="BA125" i="45"/>
  <c r="AY122" i="45"/>
  <c r="AY124" i="45"/>
  <c r="AY123" i="45"/>
  <c r="AB71" i="45"/>
  <c r="BI75" i="45"/>
  <c r="X348" i="46"/>
  <c r="X351" i="46" s="1"/>
  <c r="X356" i="46" s="1"/>
  <c r="R374" i="48"/>
  <c r="AY125" i="45"/>
  <c r="AF266" i="46"/>
  <c r="AF271" i="46" s="1"/>
  <c r="BF111" i="45"/>
  <c r="BF110" i="45"/>
  <c r="BF112" i="45"/>
  <c r="Z110" i="45"/>
  <c r="Z111" i="45"/>
  <c r="Z112" i="45"/>
  <c r="BJ57" i="45"/>
  <c r="AC40" i="48" s="1"/>
  <c r="Z80" i="45"/>
  <c r="Z81" i="45"/>
  <c r="Z79" i="45"/>
  <c r="BF79" i="45"/>
  <c r="BF80" i="45"/>
  <c r="BF81" i="45"/>
  <c r="W351" i="48"/>
  <c r="W356" i="48" s="1"/>
  <c r="BI58" i="45"/>
  <c r="BI59" i="45"/>
  <c r="BI60" i="45"/>
  <c r="AB72" i="45"/>
  <c r="S373" i="48"/>
  <c r="AZ120" i="45"/>
  <c r="W119" i="45"/>
  <c r="Z116" i="46"/>
  <c r="Z121" i="46" s="1"/>
  <c r="Z113" i="46"/>
  <c r="Z118" i="46" s="1"/>
  <c r="Z114" i="46"/>
  <c r="Z119" i="46" s="1"/>
  <c r="Z115" i="46"/>
  <c r="Z120" i="46" s="1"/>
  <c r="Z112" i="48"/>
  <c r="Z117" i="46"/>
  <c r="Z277" i="46"/>
  <c r="AE30" i="45"/>
  <c r="AB47" i="48"/>
  <c r="AY121" i="45"/>
  <c r="AY128" i="45" s="1"/>
  <c r="Y83" i="48"/>
  <c r="Y88" i="48" s="1"/>
  <c r="Y87" i="48"/>
  <c r="Y86" i="48"/>
  <c r="Y91" i="48" s="1"/>
  <c r="Y84" i="48"/>
  <c r="Y89" i="48" s="1"/>
  <c r="Y85" i="48"/>
  <c r="Y90" i="48" s="1"/>
  <c r="Z105" i="46"/>
  <c r="Z110" i="46" s="1"/>
  <c r="Z107" i="46"/>
  <c r="Z106" i="46"/>
  <c r="Z111" i="46" s="1"/>
  <c r="Z104" i="46"/>
  <c r="Z109" i="46" s="1"/>
  <c r="Z102" i="48"/>
  <c r="Z103" i="46"/>
  <c r="Z108" i="46" s="1"/>
  <c r="S368" i="46"/>
  <c r="T120" i="45"/>
  <c r="T122" i="45" s="1"/>
  <c r="X348" i="48"/>
  <c r="X351" i="48" s="1"/>
  <c r="X347" i="48"/>
  <c r="Y315" i="46"/>
  <c r="CL108" i="55" s="1"/>
  <c r="CL131" i="55" s="1"/>
  <c r="CL154" i="55" s="1"/>
  <c r="Y318" i="46"/>
  <c r="CL111" i="55" s="1"/>
  <c r="CL134" i="55" s="1"/>
  <c r="CL157" i="55" s="1"/>
  <c r="Y321" i="46"/>
  <c r="Y344" i="46"/>
  <c r="Y345" i="46" s="1"/>
  <c r="V364" i="48"/>
  <c r="DO104" i="55" s="1"/>
  <c r="DO127" i="55" s="1"/>
  <c r="DO150" i="55" s="1"/>
  <c r="Y73" i="48"/>
  <c r="Y78" i="48" s="1"/>
  <c r="Y75" i="48"/>
  <c r="Y80" i="48" s="1"/>
  <c r="Y76" i="48"/>
  <c r="Y81" i="48" s="1"/>
  <c r="Y74" i="48"/>
  <c r="Y79" i="48" s="1"/>
  <c r="Y77" i="48"/>
  <c r="U357" i="46"/>
  <c r="U366" i="46" s="1"/>
  <c r="X340" i="48"/>
  <c r="BE109" i="55" s="1"/>
  <c r="X338" i="48"/>
  <c r="X342" i="48"/>
  <c r="BE111" i="55" s="1"/>
  <c r="X339" i="48"/>
  <c r="BE108" i="55" s="1"/>
  <c r="X341" i="48"/>
  <c r="BE110" i="55" s="1"/>
  <c r="X337" i="48"/>
  <c r="Z311" i="46"/>
  <c r="AA278" i="46"/>
  <c r="AA18" i="52" s="1"/>
  <c r="U356" i="48"/>
  <c r="U357" i="48" s="1"/>
  <c r="U366" i="48" s="1"/>
  <c r="U125" i="45"/>
  <c r="BL28" i="45"/>
  <c r="BL37" i="45"/>
  <c r="BL35" i="45"/>
  <c r="BL31" i="45"/>
  <c r="BL36" i="45"/>
  <c r="BL32" i="45"/>
  <c r="BL29" i="45"/>
  <c r="BL54" i="45"/>
  <c r="AB40" i="46"/>
  <c r="AG46" i="46" s="1"/>
  <c r="AG263" i="46" s="1"/>
  <c r="V366" i="46"/>
  <c r="W104" i="55" s="1"/>
  <c r="W127" i="55" s="1"/>
  <c r="W150" i="55" s="1"/>
  <c r="BJ67" i="45"/>
  <c r="BJ70" i="45" s="1"/>
  <c r="W333" i="48"/>
  <c r="W332" i="48"/>
  <c r="W336" i="48" s="1"/>
  <c r="AA328" i="48"/>
  <c r="AA329" i="48"/>
  <c r="Z85" i="46"/>
  <c r="Z90" i="46" s="1"/>
  <c r="Z82" i="48"/>
  <c r="Z83" i="46"/>
  <c r="Z88" i="46" s="1"/>
  <c r="Z86" i="46"/>
  <c r="Z91" i="46" s="1"/>
  <c r="Z87" i="46"/>
  <c r="Z84" i="46"/>
  <c r="Z89" i="46" s="1"/>
  <c r="Z327" i="48"/>
  <c r="Z324" i="48"/>
  <c r="Z325" i="48"/>
  <c r="Z326" i="48"/>
  <c r="X331" i="46"/>
  <c r="X330" i="46"/>
  <c r="Y107" i="48"/>
  <c r="Y103" i="48"/>
  <c r="Y108" i="48" s="1"/>
  <c r="Y106" i="48"/>
  <c r="Y111" i="48" s="1"/>
  <c r="Y105" i="48"/>
  <c r="Y110" i="48" s="1"/>
  <c r="Y104" i="48"/>
  <c r="Y109" i="48" s="1"/>
  <c r="W333" i="46"/>
  <c r="W332" i="46"/>
  <c r="W336" i="46" s="1"/>
  <c r="S368" i="48"/>
  <c r="X315" i="48"/>
  <c r="X316" i="48"/>
  <c r="X318" i="48"/>
  <c r="X317" i="48"/>
  <c r="X314" i="48"/>
  <c r="X313" i="48"/>
  <c r="W356" i="46"/>
  <c r="BK33" i="45"/>
  <c r="X330" i="48"/>
  <c r="X331" i="48"/>
  <c r="S373" i="46"/>
  <c r="AA47" i="46"/>
  <c r="AA112" i="46"/>
  <c r="AA102" i="46"/>
  <c r="AA72" i="46"/>
  <c r="AA82" i="46"/>
  <c r="AA334" i="48"/>
  <c r="AA346" i="48" s="1"/>
  <c r="AA335" i="48"/>
  <c r="Y326" i="46"/>
  <c r="Y327" i="46"/>
  <c r="Y325" i="46"/>
  <c r="Y324" i="46"/>
  <c r="BF90" i="45"/>
  <c r="BF91" i="45" s="1"/>
  <c r="Z91" i="45"/>
  <c r="Z274" i="46"/>
  <c r="Z72" i="48"/>
  <c r="Z76" i="46"/>
  <c r="Z81" i="46" s="1"/>
  <c r="Z77" i="46"/>
  <c r="Z73" i="46"/>
  <c r="Z78" i="46" s="1"/>
  <c r="Z75" i="46"/>
  <c r="Z80" i="46" s="1"/>
  <c r="Z74" i="46"/>
  <c r="Z79" i="46" s="1"/>
  <c r="AF265" i="48"/>
  <c r="AF270" i="48" s="1"/>
  <c r="AF267" i="48"/>
  <c r="AF272" i="48" s="1"/>
  <c r="AF268" i="48"/>
  <c r="Y116" i="48"/>
  <c r="Y121" i="48" s="1"/>
  <c r="Y113" i="48"/>
  <c r="Y118" i="48" s="1"/>
  <c r="Y117" i="48"/>
  <c r="Y115" i="48"/>
  <c r="Y120" i="48" s="1"/>
  <c r="Y114" i="48"/>
  <c r="Y119" i="48" s="1"/>
  <c r="Y277" i="48"/>
  <c r="Y330" i="48"/>
  <c r="Y331" i="48"/>
  <c r="Y311" i="48"/>
  <c r="Y312" i="48" s="1"/>
  <c r="Z278" i="48"/>
  <c r="BK56" i="45"/>
  <c r="BK55" i="45"/>
  <c r="BK30" i="45"/>
  <c r="AC274" i="48"/>
  <c r="AE33" i="45"/>
  <c r="BI104" i="45"/>
  <c r="AD67" i="45"/>
  <c r="AD34" i="45"/>
  <c r="AE55" i="45"/>
  <c r="AE56" i="45"/>
  <c r="AF32" i="45"/>
  <c r="AG27" i="45"/>
  <c r="BM27" i="45" s="1"/>
  <c r="AF29" i="45"/>
  <c r="AF31" i="45"/>
  <c r="AF37" i="45"/>
  <c r="AF28" i="45"/>
  <c r="AF36" i="45"/>
  <c r="AF35" i="45"/>
  <c r="AF54" i="45"/>
  <c r="Y313" i="46" l="1"/>
  <c r="Y314" i="46"/>
  <c r="CL107" i="55" s="1"/>
  <c r="CL130" i="55" s="1"/>
  <c r="CL153" i="55" s="1"/>
  <c r="Y317" i="46"/>
  <c r="CL110" i="55" s="1"/>
  <c r="CL133" i="55" s="1"/>
  <c r="CL156" i="55" s="1"/>
  <c r="Z320" i="46"/>
  <c r="Z117" i="45"/>
  <c r="R49" i="58"/>
  <c r="BD157" i="55"/>
  <c r="DP157" i="55" s="1"/>
  <c r="DP134" i="55"/>
  <c r="AY153" i="55"/>
  <c r="DK153" i="55" s="1"/>
  <c r="DK130" i="55"/>
  <c r="AZ130" i="55"/>
  <c r="DL107" i="55"/>
  <c r="BD155" i="55"/>
  <c r="DP155" i="55" s="1"/>
  <c r="DP132" i="55"/>
  <c r="BE133" i="55"/>
  <c r="DQ110" i="55"/>
  <c r="BE131" i="55"/>
  <c r="DQ108" i="55"/>
  <c r="BE134" i="55"/>
  <c r="DQ111" i="55"/>
  <c r="BD156" i="55"/>
  <c r="DP156" i="55" s="1"/>
  <c r="DP133" i="55"/>
  <c r="BD154" i="55"/>
  <c r="DP154" i="55" s="1"/>
  <c r="DP131" i="55"/>
  <c r="BE132" i="55"/>
  <c r="DQ109" i="55"/>
  <c r="R54" i="58"/>
  <c r="S49" i="58"/>
  <c r="S54" i="58"/>
  <c r="AX54" i="58"/>
  <c r="R44" i="58"/>
  <c r="AY131" i="45"/>
  <c r="AY53" i="58" s="1"/>
  <c r="AY129" i="45"/>
  <c r="AY43" i="58" s="1"/>
  <c r="AY130" i="45"/>
  <c r="AY48" i="58" s="1"/>
  <c r="AX49" i="58"/>
  <c r="U131" i="45"/>
  <c r="U53" i="58" s="1"/>
  <c r="U130" i="45"/>
  <c r="U48" i="58" s="1"/>
  <c r="U129" i="45"/>
  <c r="U43" i="58" s="1"/>
  <c r="AX44" i="58"/>
  <c r="S44" i="58"/>
  <c r="BF117" i="45"/>
  <c r="W107" i="55"/>
  <c r="W130" i="55" s="1"/>
  <c r="W153" i="55" s="1"/>
  <c r="Y322" i="46"/>
  <c r="Z103" i="55"/>
  <c r="Z126" i="55" s="1"/>
  <c r="Z149" i="55" s="1"/>
  <c r="BC104" i="55"/>
  <c r="BC127" i="55" s="1"/>
  <c r="BC150" i="55" s="1"/>
  <c r="BC107" i="55"/>
  <c r="Z312" i="46"/>
  <c r="Z315" i="46" s="1"/>
  <c r="CM108" i="55" s="1"/>
  <c r="CM131" i="55" s="1"/>
  <c r="CM154" i="55" s="1"/>
  <c r="CM103" i="55"/>
  <c r="CM126" i="55" s="1"/>
  <c r="CM149" i="55" s="1"/>
  <c r="AC323" i="48"/>
  <c r="AC325" i="48" s="1"/>
  <c r="AC320" i="48"/>
  <c r="AB47" i="46"/>
  <c r="AB274" i="46" s="1"/>
  <c r="Z113" i="45"/>
  <c r="AB319" i="48"/>
  <c r="AB323" i="48" s="1"/>
  <c r="AA319" i="46"/>
  <c r="AA320" i="46" s="1"/>
  <c r="U124" i="45"/>
  <c r="AB72" i="46"/>
  <c r="AB75" i="46" s="1"/>
  <c r="AB80" i="46" s="1"/>
  <c r="AB102" i="48"/>
  <c r="AB104" i="48" s="1"/>
  <c r="AB109" i="48" s="1"/>
  <c r="AB105" i="46"/>
  <c r="AB110" i="46" s="1"/>
  <c r="AB103" i="46"/>
  <c r="AB108" i="46" s="1"/>
  <c r="AB107" i="46"/>
  <c r="AC106" i="45" s="1"/>
  <c r="BI106" i="45" s="1"/>
  <c r="BI109" i="45" s="1"/>
  <c r="AB106" i="46"/>
  <c r="AB111" i="46" s="1"/>
  <c r="AB104" i="46"/>
  <c r="AB109" i="46" s="1"/>
  <c r="BF76" i="45"/>
  <c r="BF114" i="45" s="1"/>
  <c r="Z114" i="45"/>
  <c r="Z115" i="45" s="1"/>
  <c r="Z100" i="45"/>
  <c r="BF97" i="45"/>
  <c r="BF113" i="45" s="1"/>
  <c r="Z109" i="45"/>
  <c r="AB112" i="46"/>
  <c r="AB82" i="46"/>
  <c r="AD104" i="45"/>
  <c r="W120" i="45"/>
  <c r="W122" i="45" s="1"/>
  <c r="BB120" i="45"/>
  <c r="BB122" i="45" s="1"/>
  <c r="AA106" i="45"/>
  <c r="BG106" i="45" s="1"/>
  <c r="BG109" i="45" s="1"/>
  <c r="AG105" i="45"/>
  <c r="BM105" i="45" s="1"/>
  <c r="AY126" i="45"/>
  <c r="BA126" i="45"/>
  <c r="AA76" i="45"/>
  <c r="AA78" i="45" s="1"/>
  <c r="AA90" i="45"/>
  <c r="BG90" i="45" s="1"/>
  <c r="BG91" i="45" s="1"/>
  <c r="U126" i="45"/>
  <c r="V120" i="45"/>
  <c r="V122" i="45" s="1"/>
  <c r="BC119" i="45"/>
  <c r="BC123" i="45" s="1"/>
  <c r="AA97" i="45"/>
  <c r="X349" i="48"/>
  <c r="X350" i="48" s="1"/>
  <c r="X352" i="48" s="1"/>
  <c r="U123" i="45"/>
  <c r="X349" i="46"/>
  <c r="X350" i="46" s="1"/>
  <c r="X352" i="46" s="1"/>
  <c r="BK57" i="45"/>
  <c r="BK58" i="45" s="1"/>
  <c r="BK71" i="45" s="1"/>
  <c r="AF30" i="45"/>
  <c r="X357" i="46"/>
  <c r="X366" i="46" s="1"/>
  <c r="AD70" i="45"/>
  <c r="Z116" i="45"/>
  <c r="AE67" i="45"/>
  <c r="BF118" i="45"/>
  <c r="AA102" i="45"/>
  <c r="BG103" i="45"/>
  <c r="BG101" i="45"/>
  <c r="AA101" i="45"/>
  <c r="AA103" i="45"/>
  <c r="BG102" i="45"/>
  <c r="BI71" i="45"/>
  <c r="AC72" i="45"/>
  <c r="AE57" i="45"/>
  <c r="AZ122" i="45"/>
  <c r="AZ124" i="45"/>
  <c r="AZ123" i="45"/>
  <c r="T124" i="45"/>
  <c r="Z118" i="45"/>
  <c r="AC73" i="45"/>
  <c r="AF33" i="45"/>
  <c r="AE34" i="45"/>
  <c r="T121" i="45"/>
  <c r="T128" i="45" s="1"/>
  <c r="AF264" i="48"/>
  <c r="AF269" i="48" s="1"/>
  <c r="BL33" i="45"/>
  <c r="AA112" i="45"/>
  <c r="BG110" i="45"/>
  <c r="AA110" i="45"/>
  <c r="BG111" i="45"/>
  <c r="BG112" i="45"/>
  <c r="AA111" i="45"/>
  <c r="S374" i="48"/>
  <c r="AZ125" i="45"/>
  <c r="BI73" i="45"/>
  <c r="T123" i="45"/>
  <c r="AC40" i="46"/>
  <c r="AD58" i="45"/>
  <c r="AD60" i="45"/>
  <c r="AD59" i="45"/>
  <c r="AA81" i="45"/>
  <c r="BG79" i="45"/>
  <c r="AA79" i="45"/>
  <c r="BG80" i="45"/>
  <c r="BG81" i="45"/>
  <c r="AA80" i="45"/>
  <c r="BG93" i="45"/>
  <c r="AA93" i="45"/>
  <c r="AA94" i="45"/>
  <c r="BG94" i="45"/>
  <c r="AB274" i="48"/>
  <c r="V368" i="46"/>
  <c r="BI111" i="45"/>
  <c r="BI72" i="45"/>
  <c r="BF116" i="45"/>
  <c r="BJ60" i="45"/>
  <c r="BJ59" i="45"/>
  <c r="BJ58" i="45"/>
  <c r="AE75" i="45"/>
  <c r="AD75" i="45"/>
  <c r="AC36" i="46"/>
  <c r="AC42" i="46" s="1"/>
  <c r="AZ121" i="45"/>
  <c r="AZ128" i="45" s="1"/>
  <c r="AA103" i="46"/>
  <c r="AA108" i="46" s="1"/>
  <c r="AA105" i="46"/>
  <c r="AA110" i="46" s="1"/>
  <c r="AA106" i="46"/>
  <c r="AA111" i="46" s="1"/>
  <c r="AA102" i="48"/>
  <c r="AA104" i="46"/>
  <c r="AA109" i="46" s="1"/>
  <c r="AA107" i="46"/>
  <c r="AG266" i="46"/>
  <c r="AG271" i="46" s="1"/>
  <c r="AG267" i="46"/>
  <c r="AG272" i="46" s="1"/>
  <c r="AG264" i="46"/>
  <c r="AG269" i="46" s="1"/>
  <c r="AG265" i="46"/>
  <c r="AG270" i="46" s="1"/>
  <c r="AG268" i="46"/>
  <c r="AG263" i="48"/>
  <c r="BK34" i="45"/>
  <c r="AD36" i="48" s="1"/>
  <c r="AD42" i="48" s="1"/>
  <c r="BK67" i="45"/>
  <c r="Y317" i="48"/>
  <c r="Y315" i="48"/>
  <c r="Y313" i="48"/>
  <c r="Y316" i="48"/>
  <c r="Y314" i="48"/>
  <c r="Y318" i="48"/>
  <c r="Y333" i="48"/>
  <c r="Y332" i="48"/>
  <c r="Y336" i="48" s="1"/>
  <c r="BG76" i="45"/>
  <c r="Y334" i="46"/>
  <c r="Y346" i="46" s="1"/>
  <c r="Y347" i="46" s="1"/>
  <c r="Y335" i="46"/>
  <c r="AA274" i="46"/>
  <c r="AA113" i="46"/>
  <c r="AA118" i="46" s="1"/>
  <c r="AA112" i="48"/>
  <c r="AA115" i="46"/>
  <c r="AA120" i="46" s="1"/>
  <c r="AA114" i="46"/>
  <c r="AA119" i="46" s="1"/>
  <c r="AA116" i="46"/>
  <c r="AA121" i="46" s="1"/>
  <c r="AA117" i="46"/>
  <c r="AA277" i="46"/>
  <c r="X333" i="48"/>
  <c r="X332" i="48"/>
  <c r="X336" i="48" s="1"/>
  <c r="AB107" i="48"/>
  <c r="U364" i="48"/>
  <c r="DN104" i="55" s="1"/>
  <c r="DN127" i="55" s="1"/>
  <c r="DN150" i="55" s="1"/>
  <c r="U364" i="46"/>
  <c r="V368" i="48"/>
  <c r="V373" i="48"/>
  <c r="Y342" i="46"/>
  <c r="Z111" i="55" s="1"/>
  <c r="Z134" i="55" s="1"/>
  <c r="Z157" i="55" s="1"/>
  <c r="Y340" i="46"/>
  <c r="Z109" i="55" s="1"/>
  <c r="Z132" i="55" s="1"/>
  <c r="Z155" i="55" s="1"/>
  <c r="Y337" i="46"/>
  <c r="Y338" i="46"/>
  <c r="Y339" i="46"/>
  <c r="Z108" i="55" s="1"/>
  <c r="Z131" i="55" s="1"/>
  <c r="Z154" i="55" s="1"/>
  <c r="Y341" i="46"/>
  <c r="Z110" i="55" s="1"/>
  <c r="Z133" i="55" s="1"/>
  <c r="Z156" i="55" s="1"/>
  <c r="V373" i="46"/>
  <c r="Z311" i="48"/>
  <c r="Z312" i="48" s="1"/>
  <c r="AA278" i="48"/>
  <c r="BA121" i="45"/>
  <c r="BA128" i="45" s="1"/>
  <c r="Z328" i="48"/>
  <c r="Z329" i="48"/>
  <c r="Z86" i="48"/>
  <c r="Z91" i="48" s="1"/>
  <c r="Z83" i="48"/>
  <c r="Z88" i="48" s="1"/>
  <c r="Z87" i="48"/>
  <c r="Z85" i="48"/>
  <c r="Z90" i="48" s="1"/>
  <c r="Z84" i="48"/>
  <c r="Z89" i="48" s="1"/>
  <c r="BF78" i="45"/>
  <c r="X356" i="48"/>
  <c r="Z116" i="48"/>
  <c r="Z121" i="48" s="1"/>
  <c r="Z117" i="48"/>
  <c r="Z114" i="48"/>
  <c r="Z119" i="48" s="1"/>
  <c r="Z115" i="48"/>
  <c r="Z120" i="48" s="1"/>
  <c r="Z113" i="48"/>
  <c r="Z118" i="48" s="1"/>
  <c r="Z277" i="48"/>
  <c r="BM37" i="45"/>
  <c r="BM32" i="45"/>
  <c r="BM29" i="45"/>
  <c r="BM31" i="45"/>
  <c r="BM36" i="45"/>
  <c r="BM35" i="45"/>
  <c r="BM28" i="45"/>
  <c r="BM54" i="45"/>
  <c r="AE68" i="45"/>
  <c r="Y344" i="48"/>
  <c r="Y345" i="48" s="1"/>
  <c r="Y321" i="48"/>
  <c r="DR103" i="55" s="1"/>
  <c r="DR126" i="55" s="1"/>
  <c r="DR149" i="55" s="1"/>
  <c r="Y328" i="46"/>
  <c r="Y329" i="46"/>
  <c r="AA82" i="48"/>
  <c r="AA83" i="46"/>
  <c r="AA88" i="46" s="1"/>
  <c r="AA87" i="46"/>
  <c r="AA86" i="46"/>
  <c r="AA91" i="46" s="1"/>
  <c r="AA85" i="46"/>
  <c r="AA90" i="46" s="1"/>
  <c r="AA84" i="46"/>
  <c r="AA89" i="46" s="1"/>
  <c r="AA323" i="46"/>
  <c r="BK68" i="45"/>
  <c r="AA330" i="48"/>
  <c r="AA331" i="48"/>
  <c r="BL55" i="45"/>
  <c r="BL56" i="45"/>
  <c r="BL30" i="45"/>
  <c r="AA311" i="46"/>
  <c r="AB278" i="46"/>
  <c r="AB18" i="52" s="1"/>
  <c r="Z107" i="48"/>
  <c r="Z104" i="48"/>
  <c r="Z109" i="48" s="1"/>
  <c r="Z106" i="48"/>
  <c r="Z111" i="48" s="1"/>
  <c r="Z103" i="48"/>
  <c r="Z108" i="48" s="1"/>
  <c r="Z105" i="48"/>
  <c r="Z110" i="48" s="1"/>
  <c r="AB320" i="48"/>
  <c r="W357" i="48"/>
  <c r="W364" i="48" s="1"/>
  <c r="Z344" i="46"/>
  <c r="Z345" i="46" s="1"/>
  <c r="Z321" i="46"/>
  <c r="Z76" i="48"/>
  <c r="Z81" i="48" s="1"/>
  <c r="Z73" i="48"/>
  <c r="Z78" i="48" s="1"/>
  <c r="Z77" i="48"/>
  <c r="Z75" i="48"/>
  <c r="Z80" i="48" s="1"/>
  <c r="Z74" i="48"/>
  <c r="Z79" i="48" s="1"/>
  <c r="AA72" i="48"/>
  <c r="AA75" i="46"/>
  <c r="AA80" i="46" s="1"/>
  <c r="AA74" i="46"/>
  <c r="AA79" i="46" s="1"/>
  <c r="AA73" i="46"/>
  <c r="AA78" i="46" s="1"/>
  <c r="AA77" i="46"/>
  <c r="AA76" i="46"/>
  <c r="AA81" i="46" s="1"/>
  <c r="S374" i="46"/>
  <c r="T125" i="45"/>
  <c r="W357" i="46"/>
  <c r="W364" i="46" s="1"/>
  <c r="X333" i="46"/>
  <c r="X332" i="46"/>
  <c r="X336" i="46" s="1"/>
  <c r="Z334" i="48"/>
  <c r="Z346" i="48" s="1"/>
  <c r="Z335" i="48"/>
  <c r="Z317" i="46"/>
  <c r="CM110" i="55" s="1"/>
  <c r="CM133" i="55" s="1"/>
  <c r="CM156" i="55" s="1"/>
  <c r="Z314" i="46"/>
  <c r="CM107" i="55" s="1"/>
  <c r="CM130" i="55" s="1"/>
  <c r="CM153" i="55" s="1"/>
  <c r="Z327" i="46"/>
  <c r="Z326" i="46"/>
  <c r="Z324" i="46"/>
  <c r="Z325" i="46"/>
  <c r="AC327" i="48"/>
  <c r="BG97" i="45"/>
  <c r="AA100" i="45"/>
  <c r="BJ104" i="45"/>
  <c r="AF55" i="45"/>
  <c r="AF56" i="45"/>
  <c r="AG28" i="45"/>
  <c r="AG32" i="45"/>
  <c r="AG29" i="45"/>
  <c r="AG35" i="45"/>
  <c r="AG37" i="45"/>
  <c r="AH27" i="45"/>
  <c r="BN27" i="45" s="1"/>
  <c r="AG31" i="45"/>
  <c r="AG36" i="45"/>
  <c r="AG54" i="45"/>
  <c r="AE104" i="45"/>
  <c r="Z313" i="46" l="1"/>
  <c r="AB73" i="46"/>
  <c r="AB78" i="46" s="1"/>
  <c r="AB77" i="46"/>
  <c r="Z316" i="46"/>
  <c r="CM109" i="55" s="1"/>
  <c r="CM132" i="55" s="1"/>
  <c r="CM155" i="55" s="1"/>
  <c r="W121" i="45"/>
  <c r="W128" i="45" s="1"/>
  <c r="AB103" i="48"/>
  <c r="AB108" i="48" s="1"/>
  <c r="U44" i="58"/>
  <c r="AB74" i="46"/>
  <c r="AB79" i="46" s="1"/>
  <c r="AB105" i="48"/>
  <c r="AB110" i="48" s="1"/>
  <c r="AB106" i="48"/>
  <c r="AB111" i="48" s="1"/>
  <c r="AC324" i="48"/>
  <c r="Z318" i="46"/>
  <c r="CM111" i="55" s="1"/>
  <c r="CM134" i="55" s="1"/>
  <c r="CM157" i="55" s="1"/>
  <c r="AB76" i="46"/>
  <c r="AB81" i="46" s="1"/>
  <c r="AB72" i="48"/>
  <c r="AC326" i="48"/>
  <c r="AC328" i="48" s="1"/>
  <c r="BC130" i="55"/>
  <c r="DO107" i="55"/>
  <c r="BE157" i="55"/>
  <c r="DQ157" i="55" s="1"/>
  <c r="DQ134" i="55"/>
  <c r="AZ153" i="55"/>
  <c r="DL153" i="55" s="1"/>
  <c r="DL130" i="55"/>
  <c r="BE154" i="55"/>
  <c r="DQ154" i="55" s="1"/>
  <c r="DQ131" i="55"/>
  <c r="AY44" i="58"/>
  <c r="BE156" i="55"/>
  <c r="DQ156" i="55" s="1"/>
  <c r="DQ133" i="55"/>
  <c r="BE155" i="55"/>
  <c r="DQ155" i="55" s="1"/>
  <c r="DQ132" i="55"/>
  <c r="AY54" i="58"/>
  <c r="U49" i="58"/>
  <c r="U54" i="58"/>
  <c r="AY49" i="58"/>
  <c r="W131" i="45"/>
  <c r="W53" i="58" s="1"/>
  <c r="W129" i="45"/>
  <c r="W43" i="58" s="1"/>
  <c r="W130" i="45"/>
  <c r="W48" i="58" s="1"/>
  <c r="T131" i="45"/>
  <c r="T53" i="58" s="1"/>
  <c r="T130" i="45"/>
  <c r="T48" i="58" s="1"/>
  <c r="T129" i="45"/>
  <c r="T43" i="58" s="1"/>
  <c r="AZ131" i="45"/>
  <c r="AZ53" i="58" s="1"/>
  <c r="AZ129" i="45"/>
  <c r="AZ43" i="58" s="1"/>
  <c r="AZ130" i="45"/>
  <c r="AZ48" i="58" s="1"/>
  <c r="BA131" i="45"/>
  <c r="BA53" i="58" s="1"/>
  <c r="BA129" i="45"/>
  <c r="BA43" i="58" s="1"/>
  <c r="BA130" i="45"/>
  <c r="BA48" i="58" s="1"/>
  <c r="AC111" i="45"/>
  <c r="AA117" i="45"/>
  <c r="BG117" i="45"/>
  <c r="AB319" i="46"/>
  <c r="AD40" i="48"/>
  <c r="AA312" i="46"/>
  <c r="CN103" i="55"/>
  <c r="CN126" i="55" s="1"/>
  <c r="CN149" i="55" s="1"/>
  <c r="V104" i="55"/>
  <c r="V127" i="55" s="1"/>
  <c r="V150" i="55" s="1"/>
  <c r="V107" i="55"/>
  <c r="V130" i="55" s="1"/>
  <c r="V153" i="55" s="1"/>
  <c r="Z322" i="46"/>
  <c r="Z339" i="46" s="1"/>
  <c r="AA108" i="55" s="1"/>
  <c r="AA131" i="55" s="1"/>
  <c r="AA154" i="55" s="1"/>
  <c r="AA103" i="55"/>
  <c r="AA126" i="55" s="1"/>
  <c r="AA149" i="55" s="1"/>
  <c r="Y322" i="48"/>
  <c r="Y341" i="48" s="1"/>
  <c r="BF110" i="55" s="1"/>
  <c r="BF103" i="55"/>
  <c r="BF126" i="55" s="1"/>
  <c r="BF149" i="55" s="1"/>
  <c r="BB104" i="55"/>
  <c r="BB127" i="55" s="1"/>
  <c r="BB150" i="55" s="1"/>
  <c r="BB107" i="55"/>
  <c r="BI112" i="45"/>
  <c r="BF100" i="45"/>
  <c r="BI110" i="45"/>
  <c r="BC124" i="45"/>
  <c r="AC110" i="45"/>
  <c r="AC112" i="45"/>
  <c r="AB277" i="46"/>
  <c r="AA113" i="45"/>
  <c r="AA91" i="45"/>
  <c r="AA114" i="45" s="1"/>
  <c r="AA115" i="45" s="1"/>
  <c r="W123" i="45"/>
  <c r="AB114" i="46"/>
  <c r="AB119" i="46" s="1"/>
  <c r="AB115" i="46"/>
  <c r="AB120" i="46" s="1"/>
  <c r="AB116" i="46"/>
  <c r="AB121" i="46" s="1"/>
  <c r="AB112" i="48"/>
  <c r="AB113" i="46"/>
  <c r="AB118" i="46" s="1"/>
  <c r="AB117" i="46"/>
  <c r="AD36" i="46"/>
  <c r="AD42" i="46" s="1"/>
  <c r="AD82" i="46" s="1"/>
  <c r="AB86" i="46"/>
  <c r="AB91" i="46" s="1"/>
  <c r="AB83" i="46"/>
  <c r="AB88" i="46" s="1"/>
  <c r="AB84" i="46"/>
  <c r="AB89" i="46" s="1"/>
  <c r="AB82" i="48"/>
  <c r="AB85" i="46"/>
  <c r="AB90" i="46" s="1"/>
  <c r="AB87" i="46"/>
  <c r="AF67" i="45"/>
  <c r="AA109" i="45"/>
  <c r="AF34" i="45"/>
  <c r="W124" i="45"/>
  <c r="AC109" i="45"/>
  <c r="AB76" i="45"/>
  <c r="BH76" i="45" s="1"/>
  <c r="AB90" i="45"/>
  <c r="BH90" i="45" s="1"/>
  <c r="BH91" i="45" s="1"/>
  <c r="AZ126" i="45"/>
  <c r="Y120" i="45"/>
  <c r="Y122" i="45" s="1"/>
  <c r="T126" i="45"/>
  <c r="AC76" i="45"/>
  <c r="AB97" i="45"/>
  <c r="AB100" i="45" s="1"/>
  <c r="AH105" i="45"/>
  <c r="BN105" i="45" s="1"/>
  <c r="BD119" i="45"/>
  <c r="BB119" i="45"/>
  <c r="BB123" i="45" s="1"/>
  <c r="AB106" i="45"/>
  <c r="BH106" i="45" s="1"/>
  <c r="BH109" i="45" s="1"/>
  <c r="AG33" i="45"/>
  <c r="AE70" i="45"/>
  <c r="BG116" i="45"/>
  <c r="BK59" i="45"/>
  <c r="BK72" i="45" s="1"/>
  <c r="BK60" i="45"/>
  <c r="BK73" i="45" s="1"/>
  <c r="BL68" i="45"/>
  <c r="X364" i="46"/>
  <c r="AA118" i="45"/>
  <c r="BF115" i="45"/>
  <c r="BM30" i="45"/>
  <c r="AF68" i="45"/>
  <c r="BM33" i="45"/>
  <c r="BJ71" i="45"/>
  <c r="AD71" i="45"/>
  <c r="BH94" i="45"/>
  <c r="AB94" i="45"/>
  <c r="BH93" i="45"/>
  <c r="AB93" i="45"/>
  <c r="BH111" i="45"/>
  <c r="BH112" i="45"/>
  <c r="BH110" i="45"/>
  <c r="AB112" i="45"/>
  <c r="AB110" i="45"/>
  <c r="AB111" i="45"/>
  <c r="BJ72" i="45"/>
  <c r="BG118" i="45"/>
  <c r="BG113" i="45"/>
  <c r="V374" i="48"/>
  <c r="BC125" i="45"/>
  <c r="BJ73" i="45"/>
  <c r="AD72" i="45"/>
  <c r="AB81" i="45"/>
  <c r="BH81" i="45"/>
  <c r="AB80" i="45"/>
  <c r="BH80" i="45"/>
  <c r="AB79" i="45"/>
  <c r="BH79" i="45"/>
  <c r="BL57" i="45"/>
  <c r="AE40" i="48" s="1"/>
  <c r="BH102" i="45"/>
  <c r="AB103" i="45"/>
  <c r="BH103" i="45"/>
  <c r="BH101" i="45"/>
  <c r="AB102" i="45"/>
  <c r="AB101" i="45"/>
  <c r="AA116" i="45"/>
  <c r="AD73" i="45"/>
  <c r="AD40" i="46"/>
  <c r="AE60" i="45"/>
  <c r="AE59" i="45"/>
  <c r="AE58" i="45"/>
  <c r="AF75" i="45"/>
  <c r="AE36" i="46"/>
  <c r="AE42" i="46" s="1"/>
  <c r="Z334" i="46"/>
  <c r="Z346" i="46" s="1"/>
  <c r="Z347" i="46" s="1"/>
  <c r="Z335" i="46"/>
  <c r="AA84" i="48"/>
  <c r="AA89" i="48" s="1"/>
  <c r="AA86" i="48"/>
  <c r="AA91" i="48" s="1"/>
  <c r="AA83" i="48"/>
  <c r="AA88" i="48" s="1"/>
  <c r="AA87" i="48"/>
  <c r="AA85" i="48"/>
  <c r="AA90" i="48" s="1"/>
  <c r="Y347" i="48"/>
  <c r="Y348" i="48"/>
  <c r="Y349" i="48" s="1"/>
  <c r="Y350" i="48" s="1"/>
  <c r="Y352" i="48" s="1"/>
  <c r="Z321" i="48"/>
  <c r="DS103" i="55" s="1"/>
  <c r="DS126" i="55" s="1"/>
  <c r="DS149" i="55" s="1"/>
  <c r="Z344" i="48"/>
  <c r="Z345" i="48" s="1"/>
  <c r="BG114" i="45"/>
  <c r="BG78" i="45"/>
  <c r="BN37" i="45"/>
  <c r="BN32" i="45"/>
  <c r="BN29" i="45"/>
  <c r="BN36" i="45"/>
  <c r="BN35" i="45"/>
  <c r="BN31" i="45"/>
  <c r="BN28" i="45"/>
  <c r="BN54" i="45"/>
  <c r="AB325" i="48"/>
  <c r="AB327" i="48"/>
  <c r="AB324" i="48"/>
  <c r="AB326" i="48"/>
  <c r="AC278" i="46"/>
  <c r="AC18" i="52" s="1"/>
  <c r="AB311" i="46"/>
  <c r="Y330" i="46"/>
  <c r="Y331" i="46"/>
  <c r="Z330" i="48"/>
  <c r="Z331" i="48"/>
  <c r="AA311" i="48"/>
  <c r="AA312" i="48" s="1"/>
  <c r="AB278" i="48"/>
  <c r="AA115" i="48"/>
  <c r="AA120" i="48" s="1"/>
  <c r="AA113" i="48"/>
  <c r="AA118" i="48" s="1"/>
  <c r="AA116" i="48"/>
  <c r="AA121" i="48" s="1"/>
  <c r="AA117" i="48"/>
  <c r="AA114" i="48"/>
  <c r="AA119" i="48" s="1"/>
  <c r="AA277" i="48"/>
  <c r="BK70" i="45"/>
  <c r="AG267" i="48"/>
  <c r="AG272" i="48" s="1"/>
  <c r="AG264" i="48"/>
  <c r="AG269" i="48" s="1"/>
  <c r="AG265" i="48"/>
  <c r="AG270" i="48" s="1"/>
  <c r="AG268" i="48"/>
  <c r="AG266" i="48"/>
  <c r="AG271" i="48" s="1"/>
  <c r="AD47" i="46"/>
  <c r="AD112" i="46"/>
  <c r="AD72" i="46"/>
  <c r="AD102" i="46"/>
  <c r="AC334" i="48"/>
  <c r="AC346" i="48" s="1"/>
  <c r="AC335" i="48"/>
  <c r="AA321" i="46"/>
  <c r="AA344" i="46"/>
  <c r="AA345" i="46" s="1"/>
  <c r="BG100" i="45"/>
  <c r="BC121" i="45"/>
  <c r="BC128" i="45" s="1"/>
  <c r="AA318" i="46"/>
  <c r="CN111" i="55" s="1"/>
  <c r="CN134" i="55" s="1"/>
  <c r="CN157" i="55" s="1"/>
  <c r="AA317" i="46"/>
  <c r="CN110" i="55" s="1"/>
  <c r="CN133" i="55" s="1"/>
  <c r="CN156" i="55" s="1"/>
  <c r="AA315" i="46"/>
  <c r="CN108" i="55" s="1"/>
  <c r="CN131" i="55" s="1"/>
  <c r="CN154" i="55" s="1"/>
  <c r="AA313" i="46"/>
  <c r="AA314" i="46"/>
  <c r="CN107" i="55" s="1"/>
  <c r="CN130" i="55" s="1"/>
  <c r="CN153" i="55" s="1"/>
  <c r="AA316" i="46"/>
  <c r="CN109" i="55" s="1"/>
  <c r="CN132" i="55" s="1"/>
  <c r="CN155" i="55" s="1"/>
  <c r="AA332" i="48"/>
  <c r="AA336" i="48" s="1"/>
  <c r="AA333" i="48"/>
  <c r="AA324" i="46"/>
  <c r="AA325" i="46"/>
  <c r="AA327" i="46"/>
  <c r="AA326" i="46"/>
  <c r="Z313" i="48"/>
  <c r="Z316" i="48"/>
  <c r="Z314" i="48"/>
  <c r="Z318" i="48"/>
  <c r="Z315" i="48"/>
  <c r="Z317" i="48"/>
  <c r="V119" i="45"/>
  <c r="U368" i="46"/>
  <c r="U373" i="46"/>
  <c r="AD47" i="48"/>
  <c r="Y348" i="46"/>
  <c r="Y351" i="46" s="1"/>
  <c r="AA103" i="48"/>
  <c r="AA108" i="48" s="1"/>
  <c r="AA106" i="48"/>
  <c r="AA111" i="48" s="1"/>
  <c r="AA107" i="48"/>
  <c r="AA104" i="48"/>
  <c r="AA109" i="48" s="1"/>
  <c r="AA105" i="48"/>
  <c r="AA110" i="48" s="1"/>
  <c r="Z328" i="46"/>
  <c r="Z329" i="46"/>
  <c r="X119" i="45"/>
  <c r="AA76" i="48"/>
  <c r="AA81" i="48" s="1"/>
  <c r="AA77" i="48"/>
  <c r="AA75" i="48"/>
  <c r="AA80" i="48" s="1"/>
  <c r="AA73" i="48"/>
  <c r="AA78" i="48" s="1"/>
  <c r="AA74" i="48"/>
  <c r="AA79" i="48" s="1"/>
  <c r="Z342" i="46"/>
  <c r="AA111" i="55" s="1"/>
  <c r="AA134" i="55" s="1"/>
  <c r="AA157" i="55" s="1"/>
  <c r="Z338" i="46"/>
  <c r="Z340" i="46"/>
  <c r="AA109" i="55" s="1"/>
  <c r="AA132" i="55" s="1"/>
  <c r="AA155" i="55" s="1"/>
  <c r="Z337" i="46"/>
  <c r="Z341" i="46"/>
  <c r="AA110" i="55" s="1"/>
  <c r="AA133" i="55" s="1"/>
  <c r="AA156" i="55" s="1"/>
  <c r="W366" i="48"/>
  <c r="BD104" i="55" s="1"/>
  <c r="BD127" i="55" s="1"/>
  <c r="BD150" i="55" s="1"/>
  <c r="BL67" i="45"/>
  <c r="BL34" i="45"/>
  <c r="AE36" i="48" s="1"/>
  <c r="AE42" i="48" s="1"/>
  <c r="Y338" i="48"/>
  <c r="BM55" i="45"/>
  <c r="BM56" i="45"/>
  <c r="X357" i="48"/>
  <c r="X364" i="48" s="1"/>
  <c r="V374" i="46"/>
  <c r="W125" i="45"/>
  <c r="U368" i="48"/>
  <c r="U373" i="48"/>
  <c r="W366" i="46"/>
  <c r="X104" i="55" s="1"/>
  <c r="X127" i="55" s="1"/>
  <c r="X150" i="55" s="1"/>
  <c r="AC47" i="46"/>
  <c r="AC102" i="46"/>
  <c r="AC72" i="46"/>
  <c r="AC82" i="46"/>
  <c r="AC112" i="46"/>
  <c r="AF57" i="45"/>
  <c r="BJ75" i="45"/>
  <c r="BK104" i="45"/>
  <c r="AG55" i="45"/>
  <c r="AG56" i="45"/>
  <c r="AH29" i="45"/>
  <c r="AH31" i="45"/>
  <c r="AH35" i="45"/>
  <c r="AH32" i="45"/>
  <c r="AH37" i="45"/>
  <c r="AH54" i="45"/>
  <c r="AH36" i="45"/>
  <c r="AG30" i="45"/>
  <c r="Y339" i="48" l="1"/>
  <c r="BF108" i="55" s="1"/>
  <c r="Y337" i="48"/>
  <c r="Y342" i="48"/>
  <c r="BF111" i="55" s="1"/>
  <c r="Y340" i="48"/>
  <c r="BF109" i="55" s="1"/>
  <c r="AC329" i="48"/>
  <c r="AC80" i="45"/>
  <c r="AC79" i="45"/>
  <c r="BI80" i="45"/>
  <c r="T54" i="58"/>
  <c r="AB77" i="48"/>
  <c r="AB74" i="48"/>
  <c r="AB79" i="48" s="1"/>
  <c r="AB76" i="48"/>
  <c r="AB81" i="48" s="1"/>
  <c r="AB75" i="48"/>
  <c r="AB80" i="48" s="1"/>
  <c r="AB73" i="48"/>
  <c r="AB78" i="48" s="1"/>
  <c r="AC81" i="45"/>
  <c r="BI81" i="45"/>
  <c r="BI79" i="45"/>
  <c r="T44" i="58"/>
  <c r="DP104" i="55"/>
  <c r="DP127" i="55" s="1"/>
  <c r="DP150" i="55" s="1"/>
  <c r="BF131" i="55"/>
  <c r="DR108" i="55"/>
  <c r="BF134" i="55"/>
  <c r="DR111" i="55"/>
  <c r="AZ44" i="58"/>
  <c r="BF132" i="55"/>
  <c r="DR109" i="55"/>
  <c r="BF133" i="55"/>
  <c r="DR110" i="55"/>
  <c r="AG68" i="45"/>
  <c r="BB130" i="55"/>
  <c r="DN107" i="55"/>
  <c r="BA49" i="58"/>
  <c r="T49" i="58"/>
  <c r="BC153" i="55"/>
  <c r="DO153" i="55" s="1"/>
  <c r="DO130" i="55"/>
  <c r="AZ49" i="58"/>
  <c r="AZ54" i="58"/>
  <c r="BA44" i="58"/>
  <c r="W54" i="58"/>
  <c r="W49" i="58"/>
  <c r="W44" i="58"/>
  <c r="BC131" i="45"/>
  <c r="BC53" i="58" s="1"/>
  <c r="BC129" i="45"/>
  <c r="BC43" i="58" s="1"/>
  <c r="BC130" i="45"/>
  <c r="BC48" i="58" s="1"/>
  <c r="BA54" i="58"/>
  <c r="BH117" i="45"/>
  <c r="AB117" i="45"/>
  <c r="AB323" i="46"/>
  <c r="AB320" i="46"/>
  <c r="Z322" i="48"/>
  <c r="BG103" i="55"/>
  <c r="BG126" i="55" s="1"/>
  <c r="BG149" i="55" s="1"/>
  <c r="X107" i="55"/>
  <c r="X130" i="55" s="1"/>
  <c r="X153" i="55" s="1"/>
  <c r="AA322" i="46"/>
  <c r="AA339" i="46" s="1"/>
  <c r="AB108" i="55" s="1"/>
  <c r="AB131" i="55" s="1"/>
  <c r="AB154" i="55" s="1"/>
  <c r="AB103" i="55"/>
  <c r="AB126" i="55" s="1"/>
  <c r="AB149" i="55" s="1"/>
  <c r="Y104" i="55"/>
  <c r="Y127" i="55" s="1"/>
  <c r="Y150" i="55" s="1"/>
  <c r="Y107" i="55"/>
  <c r="Y130" i="55" s="1"/>
  <c r="Y153" i="55" s="1"/>
  <c r="BD107" i="55"/>
  <c r="AB312" i="46"/>
  <c r="CO103" i="55"/>
  <c r="CO126" i="55" s="1"/>
  <c r="CO149" i="55" s="1"/>
  <c r="AD319" i="48"/>
  <c r="AD323" i="48" s="1"/>
  <c r="AD319" i="46"/>
  <c r="AD323" i="46" s="1"/>
  <c r="AB321" i="46"/>
  <c r="AC319" i="46"/>
  <c r="AC320" i="46" s="1"/>
  <c r="AB78" i="45"/>
  <c r="AB344" i="46"/>
  <c r="AB345" i="46" s="1"/>
  <c r="AB109" i="45"/>
  <c r="BB124" i="45"/>
  <c r="AC90" i="45"/>
  <c r="AB87" i="48"/>
  <c r="AB84" i="48"/>
  <c r="AB89" i="48" s="1"/>
  <c r="AB86" i="48"/>
  <c r="AB91" i="48" s="1"/>
  <c r="AB85" i="48"/>
  <c r="AB90" i="48" s="1"/>
  <c r="AB83" i="48"/>
  <c r="AB88" i="48" s="1"/>
  <c r="AC97" i="45"/>
  <c r="BN33" i="45"/>
  <c r="BI94" i="45"/>
  <c r="AC93" i="45"/>
  <c r="AC94" i="45"/>
  <c r="BI93" i="45"/>
  <c r="AC102" i="45"/>
  <c r="BI102" i="45"/>
  <c r="BI101" i="45"/>
  <c r="BI116" i="45" s="1"/>
  <c r="BI103" i="45"/>
  <c r="AC101" i="45"/>
  <c r="AC103" i="45"/>
  <c r="AB113" i="48"/>
  <c r="AB118" i="48" s="1"/>
  <c r="AB277" i="48"/>
  <c r="AB117" i="48"/>
  <c r="AB116" i="48"/>
  <c r="AB121" i="48" s="1"/>
  <c r="AB115" i="48"/>
  <c r="AB120" i="48" s="1"/>
  <c r="AB114" i="48"/>
  <c r="AB119" i="48" s="1"/>
  <c r="AB113" i="45"/>
  <c r="BL70" i="45"/>
  <c r="BH97" i="45"/>
  <c r="BH113" i="45" s="1"/>
  <c r="BM67" i="45"/>
  <c r="AB91" i="45"/>
  <c r="AB114" i="45" s="1"/>
  <c r="AF70" i="45"/>
  <c r="W126" i="45"/>
  <c r="BC126" i="45"/>
  <c r="BI76" i="45"/>
  <c r="AC78" i="45"/>
  <c r="BE119" i="45"/>
  <c r="Y119" i="45"/>
  <c r="Y124" i="45" s="1"/>
  <c r="BN30" i="45"/>
  <c r="BM34" i="45"/>
  <c r="AF36" i="48" s="1"/>
  <c r="AF42" i="48" s="1"/>
  <c r="AF47" i="48" s="1"/>
  <c r="BH116" i="45"/>
  <c r="X368" i="46"/>
  <c r="X373" i="46"/>
  <c r="X374" i="46" s="1"/>
  <c r="BG115" i="45"/>
  <c r="BM68" i="45"/>
  <c r="AD274" i="46"/>
  <c r="AE73" i="45"/>
  <c r="BH118" i="45"/>
  <c r="AE40" i="46"/>
  <c r="AF59" i="45"/>
  <c r="AF60" i="45"/>
  <c r="AF58" i="45"/>
  <c r="AF71" i="45" s="1"/>
  <c r="AB116" i="45"/>
  <c r="AB118" i="45"/>
  <c r="AG57" i="45"/>
  <c r="AG104" i="45" s="1"/>
  <c r="AE71" i="45"/>
  <c r="U374" i="48"/>
  <c r="BB125" i="45"/>
  <c r="V124" i="45"/>
  <c r="V123" i="45"/>
  <c r="X366" i="48"/>
  <c r="BE104" i="55" s="1"/>
  <c r="BE127" i="55" s="1"/>
  <c r="BE150" i="55" s="1"/>
  <c r="AE72" i="45"/>
  <c r="BL59" i="45"/>
  <c r="BL60" i="45"/>
  <c r="BL58" i="45"/>
  <c r="W368" i="48"/>
  <c r="BD120" i="45"/>
  <c r="AC113" i="46"/>
  <c r="AC118" i="46" s="1"/>
  <c r="AC116" i="46"/>
  <c r="AC121" i="46" s="1"/>
  <c r="AC115" i="46"/>
  <c r="AC120" i="46" s="1"/>
  <c r="AC112" i="48"/>
  <c r="AC117" i="46"/>
  <c r="AC114" i="46"/>
  <c r="AC119" i="46" s="1"/>
  <c r="AC277" i="46"/>
  <c r="Y356" i="46"/>
  <c r="V121" i="45"/>
  <c r="V128" i="45" s="1"/>
  <c r="AA329" i="46"/>
  <c r="AA328" i="46"/>
  <c r="Z348" i="48"/>
  <c r="Z347" i="48"/>
  <c r="AF104" i="45"/>
  <c r="AC85" i="46"/>
  <c r="AC90" i="46" s="1"/>
  <c r="AC84" i="46"/>
  <c r="AC89" i="46" s="1"/>
  <c r="AC82" i="48"/>
  <c r="AC83" i="46"/>
  <c r="AC88" i="46" s="1"/>
  <c r="AC87" i="46"/>
  <c r="AC86" i="46"/>
  <c r="AC91" i="46" s="1"/>
  <c r="BH114" i="45"/>
  <c r="BH78" i="45"/>
  <c r="Y349" i="46"/>
  <c r="Y350" i="46" s="1"/>
  <c r="Y352" i="46" s="1"/>
  <c r="AA334" i="46"/>
  <c r="AA346" i="46" s="1"/>
  <c r="AA347" i="46" s="1"/>
  <c r="AA335" i="46"/>
  <c r="AD104" i="46"/>
  <c r="AD109" i="46" s="1"/>
  <c r="AD106" i="46"/>
  <c r="AD111" i="46" s="1"/>
  <c r="AD102" i="48"/>
  <c r="AD105" i="46"/>
  <c r="AD110" i="46" s="1"/>
  <c r="AD107" i="46"/>
  <c r="AD103" i="46"/>
  <c r="AD108" i="46" s="1"/>
  <c r="AA321" i="48"/>
  <c r="DT103" i="55" s="1"/>
  <c r="DT126" i="55" s="1"/>
  <c r="DT149" i="55" s="1"/>
  <c r="AA344" i="48"/>
  <c r="AA345" i="48" s="1"/>
  <c r="BH100" i="45"/>
  <c r="Z332" i="48"/>
  <c r="Z336" i="48" s="1"/>
  <c r="Z333" i="48"/>
  <c r="Y333" i="46"/>
  <c r="Y332" i="46"/>
  <c r="Y336" i="46" s="1"/>
  <c r="Z342" i="48"/>
  <c r="BG111" i="55" s="1"/>
  <c r="Z340" i="48"/>
  <c r="BG109" i="55" s="1"/>
  <c r="Z338" i="48"/>
  <c r="Z337" i="48"/>
  <c r="Z341" i="48"/>
  <c r="BG110" i="55" s="1"/>
  <c r="Z339" i="48"/>
  <c r="BG108" i="55" s="1"/>
  <c r="AD85" i="46"/>
  <c r="AD90" i="46" s="1"/>
  <c r="AD82" i="48"/>
  <c r="AD83" i="46"/>
  <c r="AD88" i="46" s="1"/>
  <c r="AD86" i="46"/>
  <c r="AD91" i="46" s="1"/>
  <c r="AD87" i="46"/>
  <c r="AD84" i="46"/>
  <c r="AD89" i="46" s="1"/>
  <c r="AB335" i="48"/>
  <c r="AB334" i="48"/>
  <c r="AB346" i="48" s="1"/>
  <c r="AC330" i="48"/>
  <c r="AC331" i="48"/>
  <c r="AC72" i="48"/>
  <c r="AC76" i="46"/>
  <c r="AC81" i="46" s="1"/>
  <c r="AC75" i="46"/>
  <c r="AC80" i="46" s="1"/>
  <c r="AC74" i="46"/>
  <c r="AC79" i="46" s="1"/>
  <c r="AC73" i="46"/>
  <c r="AC78" i="46" s="1"/>
  <c r="AC77" i="46"/>
  <c r="W368" i="46"/>
  <c r="X120" i="45"/>
  <c r="X122" i="45" s="1"/>
  <c r="BM57" i="45"/>
  <c r="W373" i="46"/>
  <c r="Z331" i="46"/>
  <c r="Z330" i="46"/>
  <c r="U374" i="46"/>
  <c r="V125" i="45"/>
  <c r="AD72" i="48"/>
  <c r="AD73" i="46"/>
  <c r="AD78" i="46" s="1"/>
  <c r="AD76" i="46"/>
  <c r="AD81" i="46" s="1"/>
  <c r="AD74" i="46"/>
  <c r="AD79" i="46" s="1"/>
  <c r="AD75" i="46"/>
  <c r="AD80" i="46" s="1"/>
  <c r="AD77" i="46"/>
  <c r="AB311" i="48"/>
  <c r="AB312" i="48" s="1"/>
  <c r="AC278" i="48"/>
  <c r="AB315" i="46"/>
  <c r="CO108" i="55" s="1"/>
  <c r="CO131" i="55" s="1"/>
  <c r="CO154" i="55" s="1"/>
  <c r="AB313" i="46"/>
  <c r="AB314" i="46"/>
  <c r="CO107" i="55" s="1"/>
  <c r="CO130" i="55" s="1"/>
  <c r="CO153" i="55" s="1"/>
  <c r="AB317" i="46"/>
  <c r="CO110" i="55" s="1"/>
  <c r="CO133" i="55" s="1"/>
  <c r="CO156" i="55" s="1"/>
  <c r="AB316" i="46"/>
  <c r="CO109" i="55" s="1"/>
  <c r="CO132" i="55" s="1"/>
  <c r="CO155" i="55" s="1"/>
  <c r="AB318" i="46"/>
  <c r="CO111" i="55" s="1"/>
  <c r="CO134" i="55" s="1"/>
  <c r="CO157" i="55" s="1"/>
  <c r="AB328" i="48"/>
  <c r="AB329" i="48"/>
  <c r="Y351" i="48"/>
  <c r="AE47" i="46"/>
  <c r="AE72" i="46"/>
  <c r="AE112" i="46"/>
  <c r="AE82" i="46"/>
  <c r="AE102" i="46"/>
  <c r="AC274" i="46"/>
  <c r="AC106" i="46"/>
  <c r="AC111" i="46" s="1"/>
  <c r="AC105" i="46"/>
  <c r="AC110" i="46" s="1"/>
  <c r="AC104" i="46"/>
  <c r="AC109" i="46" s="1"/>
  <c r="AC102" i="48"/>
  <c r="AC103" i="46"/>
  <c r="AC108" i="46" s="1"/>
  <c r="AC107" i="46"/>
  <c r="AE47" i="48"/>
  <c r="AD274" i="48"/>
  <c r="W373" i="48"/>
  <c r="AD115" i="46"/>
  <c r="AD120" i="46" s="1"/>
  <c r="AD117" i="46"/>
  <c r="AD113" i="46"/>
  <c r="AD118" i="46" s="1"/>
  <c r="AD112" i="48"/>
  <c r="AD114" i="46"/>
  <c r="AD119" i="46" s="1"/>
  <c r="AD116" i="46"/>
  <c r="AD121" i="46" s="1"/>
  <c r="AD277" i="46"/>
  <c r="AA314" i="48"/>
  <c r="AA315" i="48"/>
  <c r="AA317" i="48"/>
  <c r="AA318" i="48"/>
  <c r="AA313" i="48"/>
  <c r="AA316" i="48"/>
  <c r="AC311" i="46"/>
  <c r="AD278" i="46"/>
  <c r="AD18" i="52" s="1"/>
  <c r="BN56" i="45"/>
  <c r="BN55" i="45"/>
  <c r="Z348" i="46"/>
  <c r="AH30" i="45"/>
  <c r="BL104" i="45"/>
  <c r="BK75" i="45"/>
  <c r="AG67" i="45"/>
  <c r="AG34" i="45"/>
  <c r="AH55" i="45"/>
  <c r="AH56" i="45"/>
  <c r="AH33" i="45"/>
  <c r="AC116" i="45" l="1"/>
  <c r="AA338" i="46"/>
  <c r="AA342" i="46"/>
  <c r="AB111" i="55" s="1"/>
  <c r="AB134" i="55" s="1"/>
  <c r="AB157" i="55" s="1"/>
  <c r="AG70" i="45"/>
  <c r="AA337" i="46"/>
  <c r="AA340" i="46"/>
  <c r="AB109" i="55" s="1"/>
  <c r="AB132" i="55" s="1"/>
  <c r="AB155" i="55" s="1"/>
  <c r="AA341" i="46"/>
  <c r="AB110" i="55" s="1"/>
  <c r="AB133" i="55" s="1"/>
  <c r="AB156" i="55" s="1"/>
  <c r="AD320" i="46"/>
  <c r="BC54" i="58"/>
  <c r="AC323" i="46"/>
  <c r="AC324" i="46" s="1"/>
  <c r="BN34" i="45"/>
  <c r="AG36" i="48" s="1"/>
  <c r="AG42" i="48" s="1"/>
  <c r="AG47" i="48" s="1"/>
  <c r="AG319" i="48" s="1"/>
  <c r="AG323" i="48" s="1"/>
  <c r="CH8" i="45"/>
  <c r="BG131" i="55"/>
  <c r="DS108" i="55"/>
  <c r="BD130" i="55"/>
  <c r="DP107" i="55"/>
  <c r="BF155" i="55"/>
  <c r="DR155" i="55" s="1"/>
  <c r="DR132" i="55"/>
  <c r="BG133" i="55"/>
  <c r="DS110" i="55"/>
  <c r="BF157" i="55"/>
  <c r="DR157" i="55" s="1"/>
  <c r="DR134" i="55"/>
  <c r="BG132" i="55"/>
  <c r="DS109" i="55"/>
  <c r="BG134" i="55"/>
  <c r="DS111" i="55"/>
  <c r="BB153" i="55"/>
  <c r="DN153" i="55" s="1"/>
  <c r="DN130" i="55"/>
  <c r="BF156" i="55"/>
  <c r="DR156" i="55" s="1"/>
  <c r="DR133" i="55"/>
  <c r="BF154" i="55"/>
  <c r="DR154" i="55" s="1"/>
  <c r="DR131" i="55"/>
  <c r="CH9" i="45"/>
  <c r="DQ104" i="55"/>
  <c r="DQ127" i="55" s="1"/>
  <c r="DQ150" i="55" s="1"/>
  <c r="BC49" i="58"/>
  <c r="BC44" i="58"/>
  <c r="V131" i="45"/>
  <c r="V53" i="58" s="1"/>
  <c r="V129" i="45"/>
  <c r="V43" i="58" s="1"/>
  <c r="V130" i="45"/>
  <c r="V48" i="58" s="1"/>
  <c r="Y123" i="45"/>
  <c r="AC117" i="45"/>
  <c r="BI117" i="45"/>
  <c r="AB327" i="46"/>
  <c r="AB326" i="46"/>
  <c r="AB324" i="46"/>
  <c r="AB325" i="46"/>
  <c r="AA322" i="48"/>
  <c r="AA341" i="48" s="1"/>
  <c r="BH110" i="55" s="1"/>
  <c r="BH103" i="55"/>
  <c r="BH126" i="55" s="1"/>
  <c r="BH149" i="55" s="1"/>
  <c r="BE107" i="55"/>
  <c r="AC312" i="46"/>
  <c r="AC318" i="46" s="1"/>
  <c r="CP111" i="55" s="1"/>
  <c r="CP134" i="55" s="1"/>
  <c r="CP157" i="55" s="1"/>
  <c r="CP103" i="55"/>
  <c r="CP126" i="55" s="1"/>
  <c r="CP149" i="55" s="1"/>
  <c r="AB322" i="46"/>
  <c r="AB340" i="46" s="1"/>
  <c r="AC109" i="55" s="1"/>
  <c r="AC132" i="55" s="1"/>
  <c r="AC155" i="55" s="1"/>
  <c r="AC103" i="55"/>
  <c r="AC126" i="55" s="1"/>
  <c r="AC149" i="55" s="1"/>
  <c r="AF319" i="48"/>
  <c r="AF323" i="48" s="1"/>
  <c r="AF327" i="48" s="1"/>
  <c r="BN67" i="45"/>
  <c r="AD320" i="48"/>
  <c r="BN68" i="45"/>
  <c r="AE319" i="48"/>
  <c r="AE320" i="48" s="1"/>
  <c r="Y121" i="45"/>
  <c r="Y128" i="45" s="1"/>
  <c r="AE319" i="46"/>
  <c r="AB115" i="45"/>
  <c r="AC118" i="45"/>
  <c r="BM70" i="45"/>
  <c r="BI118" i="45"/>
  <c r="BI90" i="45"/>
  <c r="BI91" i="45" s="1"/>
  <c r="BI114" i="45" s="1"/>
  <c r="AC91" i="45"/>
  <c r="AC114" i="45" s="1"/>
  <c r="AB321" i="48"/>
  <c r="DU103" i="55" s="1"/>
  <c r="DU126" i="55" s="1"/>
  <c r="DU149" i="55" s="1"/>
  <c r="AB344" i="48"/>
  <c r="AB345" i="48" s="1"/>
  <c r="AB347" i="48" s="1"/>
  <c r="BI97" i="45"/>
  <c r="AC100" i="45"/>
  <c r="AC113" i="45"/>
  <c r="BH115" i="45"/>
  <c r="Y126" i="45"/>
  <c r="V126" i="45"/>
  <c r="AE90" i="45"/>
  <c r="BK90" i="45" s="1"/>
  <c r="BK91" i="45" s="1"/>
  <c r="AE106" i="45"/>
  <c r="AD90" i="45"/>
  <c r="BE120" i="45"/>
  <c r="BE122" i="45" s="1"/>
  <c r="BB126" i="45"/>
  <c r="AE76" i="45"/>
  <c r="BK76" i="45" s="1"/>
  <c r="BK78" i="45" s="1"/>
  <c r="BI78" i="45"/>
  <c r="AE97" i="45"/>
  <c r="BK97" i="45" s="1"/>
  <c r="AD97" i="45"/>
  <c r="BJ97" i="45" s="1"/>
  <c r="Y125" i="45"/>
  <c r="AD106" i="45"/>
  <c r="AD76" i="45"/>
  <c r="BJ76" i="45" s="1"/>
  <c r="AF274" i="48"/>
  <c r="AG274" i="48"/>
  <c r="X368" i="48"/>
  <c r="AE274" i="48"/>
  <c r="AE274" i="46"/>
  <c r="AE110" i="45"/>
  <c r="W374" i="48"/>
  <c r="BD125" i="45"/>
  <c r="BJ110" i="45"/>
  <c r="BJ111" i="45"/>
  <c r="AD110" i="45"/>
  <c r="BJ112" i="45"/>
  <c r="AD111" i="45"/>
  <c r="AD112" i="45"/>
  <c r="AE94" i="45"/>
  <c r="AE93" i="45"/>
  <c r="BK93" i="45"/>
  <c r="BK94" i="45"/>
  <c r="AD93" i="45"/>
  <c r="AD94" i="45"/>
  <c r="BJ94" i="45"/>
  <c r="BJ93" i="45"/>
  <c r="BK103" i="45"/>
  <c r="BK101" i="45"/>
  <c r="BK102" i="45"/>
  <c r="AE101" i="45"/>
  <c r="AE103" i="45"/>
  <c r="AE102" i="45"/>
  <c r="AE79" i="45"/>
  <c r="AE80" i="45"/>
  <c r="BK80" i="45"/>
  <c r="BK81" i="45"/>
  <c r="BK79" i="45"/>
  <c r="AE81" i="45"/>
  <c r="BD122" i="45"/>
  <c r="BD123" i="45"/>
  <c r="BD124" i="45"/>
  <c r="BL71" i="45"/>
  <c r="X123" i="45"/>
  <c r="AF40" i="46"/>
  <c r="AG58" i="45"/>
  <c r="AG59" i="45"/>
  <c r="AG60" i="45"/>
  <c r="AF73" i="45"/>
  <c r="BM60" i="45"/>
  <c r="BM73" i="45" s="1"/>
  <c r="BM59" i="45"/>
  <c r="BM58" i="45"/>
  <c r="BM71" i="45" s="1"/>
  <c r="BK112" i="45"/>
  <c r="BK110" i="45"/>
  <c r="BK111" i="45"/>
  <c r="BL73" i="45"/>
  <c r="AE111" i="45"/>
  <c r="AE117" i="45" s="1"/>
  <c r="X124" i="45"/>
  <c r="AF72" i="45"/>
  <c r="X121" i="45"/>
  <c r="X128" i="45" s="1"/>
  <c r="BJ106" i="45"/>
  <c r="BJ109" i="45" s="1"/>
  <c r="AD109" i="45"/>
  <c r="AA348" i="46"/>
  <c r="AA351" i="46" s="1"/>
  <c r="AA356" i="46" s="1"/>
  <c r="AA357" i="46" s="1"/>
  <c r="AA364" i="46" s="1"/>
  <c r="X373" i="48"/>
  <c r="BJ79" i="45"/>
  <c r="BJ81" i="45"/>
  <c r="BJ80" i="45"/>
  <c r="AD79" i="45"/>
  <c r="AD80" i="45"/>
  <c r="AD81" i="45"/>
  <c r="BK106" i="45"/>
  <c r="BK109" i="45" s="1"/>
  <c r="AE109" i="45"/>
  <c r="BJ102" i="45"/>
  <c r="BJ101" i="45"/>
  <c r="AD102" i="45"/>
  <c r="AD101" i="45"/>
  <c r="AD103" i="45"/>
  <c r="BJ103" i="45"/>
  <c r="BL72" i="45"/>
  <c r="AE112" i="45"/>
  <c r="AC314" i="46"/>
  <c r="CP107" i="55" s="1"/>
  <c r="CP130" i="55" s="1"/>
  <c r="CP153" i="55" s="1"/>
  <c r="AC317" i="46"/>
  <c r="CP110" i="55" s="1"/>
  <c r="CP133" i="55" s="1"/>
  <c r="CP156" i="55" s="1"/>
  <c r="AD113" i="48"/>
  <c r="AD118" i="48" s="1"/>
  <c r="AD117" i="48"/>
  <c r="AD114" i="48"/>
  <c r="AD119" i="48" s="1"/>
  <c r="AD116" i="48"/>
  <c r="AD121" i="48" s="1"/>
  <c r="AD115" i="48"/>
  <c r="AD120" i="48" s="1"/>
  <c r="AD277" i="48"/>
  <c r="AE72" i="48"/>
  <c r="AE76" i="46"/>
  <c r="AE81" i="46" s="1"/>
  <c r="AE77" i="46"/>
  <c r="AE75" i="46"/>
  <c r="AE80" i="46" s="1"/>
  <c r="AE73" i="46"/>
  <c r="AE78" i="46" s="1"/>
  <c r="AE74" i="46"/>
  <c r="AE79" i="46" s="1"/>
  <c r="AB316" i="48"/>
  <c r="AB315" i="48"/>
  <c r="AB318" i="48"/>
  <c r="AB314" i="48"/>
  <c r="AB313" i="48"/>
  <c r="AB317" i="48"/>
  <c r="AC87" i="48"/>
  <c r="AC84" i="48"/>
  <c r="AC89" i="48" s="1"/>
  <c r="AC83" i="48"/>
  <c r="AC88" i="48" s="1"/>
  <c r="AC86" i="48"/>
  <c r="AC91" i="48" s="1"/>
  <c r="AC85" i="48"/>
  <c r="AC90" i="48" s="1"/>
  <c r="Y357" i="46"/>
  <c r="Y366" i="46" s="1"/>
  <c r="BN57" i="45"/>
  <c r="AD344" i="46"/>
  <c r="AD345" i="46" s="1"/>
  <c r="AD321" i="46"/>
  <c r="AE105" i="46"/>
  <c r="AE110" i="46" s="1"/>
  <c r="AE102" i="48"/>
  <c r="AE103" i="46"/>
  <c r="AE108" i="46" s="1"/>
  <c r="AE107" i="46"/>
  <c r="AE106" i="46"/>
  <c r="AE111" i="46" s="1"/>
  <c r="AE104" i="46"/>
  <c r="AE109" i="46" s="1"/>
  <c r="AE323" i="46"/>
  <c r="AE320" i="46"/>
  <c r="AE78" i="45"/>
  <c r="Z332" i="46"/>
  <c r="Z336" i="46" s="1"/>
  <c r="Z333" i="46"/>
  <c r="AC77" i="48"/>
  <c r="AC76" i="48"/>
  <c r="AC81" i="48" s="1"/>
  <c r="AC75" i="48"/>
  <c r="AC80" i="48" s="1"/>
  <c r="AC74" i="48"/>
  <c r="AC79" i="48" s="1"/>
  <c r="AC73" i="48"/>
  <c r="AC78" i="48" s="1"/>
  <c r="AD83" i="48"/>
  <c r="AD88" i="48" s="1"/>
  <c r="AD85" i="48"/>
  <c r="AD90" i="48" s="1"/>
  <c r="AD84" i="48"/>
  <c r="AD89" i="48" s="1"/>
  <c r="AD86" i="48"/>
  <c r="AD91" i="48" s="1"/>
  <c r="AD87" i="48"/>
  <c r="AD324" i="46"/>
  <c r="AD325" i="46"/>
  <c r="AD327" i="46"/>
  <c r="AD326" i="46"/>
  <c r="AD104" i="48"/>
  <c r="AD109" i="48" s="1"/>
  <c r="AD107" i="48"/>
  <c r="AD105" i="48"/>
  <c r="AD110" i="48" s="1"/>
  <c r="AD103" i="48"/>
  <c r="AD108" i="48" s="1"/>
  <c r="AD106" i="48"/>
  <c r="AD111" i="48" s="1"/>
  <c r="AG75" i="45"/>
  <c r="AF36" i="46"/>
  <c r="AF42" i="46" s="1"/>
  <c r="AF40" i="48"/>
  <c r="AC333" i="48"/>
  <c r="AC332" i="48"/>
  <c r="AC336" i="48" s="1"/>
  <c r="Z349" i="46"/>
  <c r="Z350" i="46" s="1"/>
  <c r="Z352" i="46" s="1"/>
  <c r="Z351" i="46"/>
  <c r="BD121" i="45"/>
  <c r="BD128" i="45" s="1"/>
  <c r="AF326" i="48"/>
  <c r="AE85" i="46"/>
  <c r="AE90" i="46" s="1"/>
  <c r="AE82" i="48"/>
  <c r="AE84" i="46"/>
  <c r="AE89" i="46" s="1"/>
  <c r="AE87" i="46"/>
  <c r="AE86" i="46"/>
  <c r="AE91" i="46" s="1"/>
  <c r="AE83" i="46"/>
  <c r="AE88" i="46" s="1"/>
  <c r="Y356" i="48"/>
  <c r="AD76" i="48"/>
  <c r="AD81" i="48" s="1"/>
  <c r="AD74" i="48"/>
  <c r="AD79" i="48" s="1"/>
  <c r="AD75" i="48"/>
  <c r="AD80" i="48" s="1"/>
  <c r="AD73" i="48"/>
  <c r="AD78" i="48" s="1"/>
  <c r="AD77" i="48"/>
  <c r="AD327" i="48"/>
  <c r="AD325" i="48"/>
  <c r="AD324" i="48"/>
  <c r="AD326" i="48"/>
  <c r="AA347" i="48"/>
  <c r="AA348" i="48"/>
  <c r="AA349" i="48" s="1"/>
  <c r="AA350" i="48" s="1"/>
  <c r="AA352" i="48" s="1"/>
  <c r="BJ90" i="45"/>
  <c r="BJ91" i="45" s="1"/>
  <c r="AD91" i="45"/>
  <c r="BB121" i="45"/>
  <c r="BB128" i="45" s="1"/>
  <c r="AC115" i="48"/>
  <c r="AC120" i="48" s="1"/>
  <c r="AC117" i="48"/>
  <c r="AC113" i="48"/>
  <c r="AC118" i="48" s="1"/>
  <c r="AC114" i="48"/>
  <c r="AC119" i="48" s="1"/>
  <c r="AC116" i="48"/>
  <c r="AC121" i="48" s="1"/>
  <c r="AC277" i="48"/>
  <c r="AD311" i="46"/>
  <c r="AE278" i="46"/>
  <c r="AE18" i="52" s="1"/>
  <c r="AC103" i="48"/>
  <c r="AC108" i="48" s="1"/>
  <c r="AC107" i="48"/>
  <c r="AC104" i="48"/>
  <c r="AC109" i="48" s="1"/>
  <c r="AC105" i="48"/>
  <c r="AC110" i="48" s="1"/>
  <c r="AC106" i="48"/>
  <c r="AC111" i="48" s="1"/>
  <c r="AE116" i="46"/>
  <c r="AE121" i="46" s="1"/>
  <c r="AE114" i="46"/>
  <c r="AE119" i="46" s="1"/>
  <c r="AE115" i="46"/>
  <c r="AE120" i="46" s="1"/>
  <c r="AE112" i="48"/>
  <c r="AE113" i="46"/>
  <c r="AE118" i="46" s="1"/>
  <c r="AE117" i="46"/>
  <c r="AE277" i="46"/>
  <c r="AB331" i="48"/>
  <c r="AB330" i="48"/>
  <c r="AD278" i="48"/>
  <c r="AC311" i="48"/>
  <c r="AC312" i="48" s="1"/>
  <c r="W374" i="46"/>
  <c r="X125" i="45"/>
  <c r="AC327" i="46"/>
  <c r="AC325" i="46"/>
  <c r="AA339" i="48"/>
  <c r="BH108" i="55" s="1"/>
  <c r="Z351" i="48"/>
  <c r="Z349" i="48"/>
  <c r="Z350" i="48" s="1"/>
  <c r="Z352" i="48" s="1"/>
  <c r="AA330" i="46"/>
  <c r="AA331" i="46"/>
  <c r="AC321" i="46"/>
  <c r="AC344" i="46"/>
  <c r="AC345" i="46" s="1"/>
  <c r="BM104" i="45"/>
  <c r="CF9" i="45"/>
  <c r="AH68" i="45"/>
  <c r="CE18" i="45" s="1"/>
  <c r="BL75" i="45"/>
  <c r="CF8" i="45"/>
  <c r="AH67" i="45"/>
  <c r="CD17" i="45" s="1"/>
  <c r="AH34" i="45"/>
  <c r="AH57" i="45"/>
  <c r="BM75" i="45"/>
  <c r="AA340" i="48" l="1"/>
  <c r="BH109" i="55" s="1"/>
  <c r="BN70" i="45"/>
  <c r="AB338" i="46"/>
  <c r="V54" i="58"/>
  <c r="AB342" i="46"/>
  <c r="AC111" i="55" s="1"/>
  <c r="AC134" i="55" s="1"/>
  <c r="AC157" i="55" s="1"/>
  <c r="AD100" i="45"/>
  <c r="AB348" i="48"/>
  <c r="AB351" i="48" s="1"/>
  <c r="AB356" i="48" s="1"/>
  <c r="AC326" i="46"/>
  <c r="AC328" i="46" s="1"/>
  <c r="AE323" i="48"/>
  <c r="AE327" i="48" s="1"/>
  <c r="AC315" i="46"/>
  <c r="CP108" i="55" s="1"/>
  <c r="CP131" i="55" s="1"/>
  <c r="CP154" i="55" s="1"/>
  <c r="AA338" i="48"/>
  <c r="AC313" i="46"/>
  <c r="G69" i="60"/>
  <c r="H68" i="60" s="1"/>
  <c r="AF325" i="48"/>
  <c r="AA342" i="48"/>
  <c r="BH111" i="55" s="1"/>
  <c r="BH134" i="55" s="1"/>
  <c r="AF324" i="48"/>
  <c r="AC316" i="46"/>
  <c r="CP109" i="55" s="1"/>
  <c r="CP132" i="55" s="1"/>
  <c r="CP155" i="55" s="1"/>
  <c r="BK117" i="45"/>
  <c r="AA337" i="48"/>
  <c r="AF320" i="48"/>
  <c r="BG157" i="55"/>
  <c r="DS157" i="55" s="1"/>
  <c r="DS134" i="55"/>
  <c r="BG154" i="55"/>
  <c r="DS154" i="55" s="1"/>
  <c r="DS131" i="55"/>
  <c r="BH131" i="55"/>
  <c r="DT108" i="55"/>
  <c r="BE130" i="55"/>
  <c r="DQ107" i="55"/>
  <c r="V49" i="58"/>
  <c r="BG155" i="55"/>
  <c r="DS155" i="55" s="1"/>
  <c r="DS132" i="55"/>
  <c r="BG156" i="55"/>
  <c r="DS156" i="55" s="1"/>
  <c r="DS133" i="55"/>
  <c r="BH132" i="55"/>
  <c r="DT109" i="55"/>
  <c r="V44" i="58"/>
  <c r="BD153" i="55"/>
  <c r="DP153" i="55" s="1"/>
  <c r="DP130" i="55"/>
  <c r="BH133" i="55"/>
  <c r="DT110" i="55"/>
  <c r="X131" i="45"/>
  <c r="X53" i="58" s="1"/>
  <c r="X129" i="45"/>
  <c r="X43" i="58" s="1"/>
  <c r="X130" i="45"/>
  <c r="X48" i="58" s="1"/>
  <c r="Y131" i="45"/>
  <c r="Y53" i="58" s="1"/>
  <c r="Y130" i="45"/>
  <c r="Y48" i="58" s="1"/>
  <c r="Y129" i="45"/>
  <c r="Y43" i="58" s="1"/>
  <c r="BD131" i="45"/>
  <c r="BD53" i="58" s="1"/>
  <c r="BD130" i="45"/>
  <c r="BD48" i="58" s="1"/>
  <c r="BD129" i="45"/>
  <c r="BD43" i="58" s="1"/>
  <c r="BB131" i="45"/>
  <c r="BB53" i="58" s="1"/>
  <c r="BB129" i="45"/>
  <c r="BB43" i="58" s="1"/>
  <c r="BB130" i="45"/>
  <c r="BB48" i="58" s="1"/>
  <c r="AB341" i="46"/>
  <c r="AC110" i="55" s="1"/>
  <c r="AC133" i="55" s="1"/>
  <c r="AC156" i="55" s="1"/>
  <c r="AD117" i="45"/>
  <c r="BJ117" i="45"/>
  <c r="AB337" i="46"/>
  <c r="AB339" i="46"/>
  <c r="AC108" i="55" s="1"/>
  <c r="AC131" i="55" s="1"/>
  <c r="AC154" i="55" s="1"/>
  <c r="AD312" i="46"/>
  <c r="CQ103" i="55"/>
  <c r="CQ126" i="55" s="1"/>
  <c r="CQ149" i="55" s="1"/>
  <c r="AD322" i="46"/>
  <c r="AD338" i="46" s="1"/>
  <c r="AE103" i="55"/>
  <c r="AE126" i="55" s="1"/>
  <c r="AE149" i="55" s="1"/>
  <c r="AC322" i="46"/>
  <c r="AC341" i="46" s="1"/>
  <c r="AD110" i="55" s="1"/>
  <c r="AD133" i="55" s="1"/>
  <c r="AD156" i="55" s="1"/>
  <c r="AD103" i="55"/>
  <c r="AD126" i="55" s="1"/>
  <c r="AD149" i="55" s="1"/>
  <c r="AB329" i="46"/>
  <c r="AB328" i="46"/>
  <c r="AB335" i="46"/>
  <c r="AB334" i="46"/>
  <c r="AB322" i="48"/>
  <c r="AB339" i="48" s="1"/>
  <c r="BI108" i="55" s="1"/>
  <c r="BI103" i="55"/>
  <c r="BI126" i="55" s="1"/>
  <c r="BI149" i="55" s="1"/>
  <c r="AG320" i="48"/>
  <c r="BE121" i="45"/>
  <c r="BE128" i="45" s="1"/>
  <c r="BE123" i="45"/>
  <c r="BE124" i="45"/>
  <c r="AD113" i="45"/>
  <c r="AE91" i="45"/>
  <c r="AE114" i="45" s="1"/>
  <c r="AE100" i="45"/>
  <c r="AD78" i="45"/>
  <c r="AD114" i="45"/>
  <c r="AE113" i="45"/>
  <c r="AC115" i="45"/>
  <c r="BI113" i="45"/>
  <c r="BI115" i="45" s="1"/>
  <c r="BI100" i="45"/>
  <c r="AF106" i="45"/>
  <c r="BL106" i="45" s="1"/>
  <c r="BL109" i="45" s="1"/>
  <c r="X126" i="45"/>
  <c r="Z120" i="45"/>
  <c r="Z122" i="45" s="1"/>
  <c r="BD126" i="45"/>
  <c r="AF97" i="45"/>
  <c r="AF90" i="45"/>
  <c r="BL90" i="45" s="1"/>
  <c r="BL91" i="45" s="1"/>
  <c r="AF76" i="45"/>
  <c r="AF78" i="45" s="1"/>
  <c r="AE116" i="45"/>
  <c r="BL110" i="45"/>
  <c r="AD116" i="45"/>
  <c r="AF110" i="45"/>
  <c r="X374" i="48"/>
  <c r="BE125" i="45"/>
  <c r="AF112" i="45"/>
  <c r="AG73" i="45"/>
  <c r="AA349" i="46"/>
  <c r="AA350" i="46" s="1"/>
  <c r="AA352" i="46" s="1"/>
  <c r="AF93" i="45"/>
  <c r="BL94" i="45"/>
  <c r="BL93" i="45"/>
  <c r="AF94" i="45"/>
  <c r="BK113" i="45"/>
  <c r="BJ113" i="45"/>
  <c r="BN60" i="45"/>
  <c r="BN58" i="45"/>
  <c r="BN59" i="45"/>
  <c r="AD118" i="45"/>
  <c r="BJ118" i="45"/>
  <c r="BL112" i="45"/>
  <c r="AG72" i="45"/>
  <c r="BL81" i="45"/>
  <c r="BL79" i="45"/>
  <c r="BL80" i="45"/>
  <c r="AF81" i="45"/>
  <c r="AF79" i="45"/>
  <c r="AF80" i="45"/>
  <c r="BM72" i="45"/>
  <c r="BK116" i="45"/>
  <c r="BL103" i="45"/>
  <c r="AF101" i="45"/>
  <c r="BL101" i="45"/>
  <c r="AF103" i="45"/>
  <c r="BL102" i="45"/>
  <c r="AF102" i="45"/>
  <c r="BK118" i="45"/>
  <c r="AG40" i="46"/>
  <c r="AH58" i="45"/>
  <c r="AH71" i="45" s="1"/>
  <c r="AH60" i="45"/>
  <c r="AH59" i="45"/>
  <c r="Y364" i="46"/>
  <c r="BL111" i="45"/>
  <c r="BJ116" i="45"/>
  <c r="AF111" i="45"/>
  <c r="AG71" i="45"/>
  <c r="AF109" i="45"/>
  <c r="AE118" i="45"/>
  <c r="AB119" i="45"/>
  <c r="AA332" i="46"/>
  <c r="AA336" i="46" s="1"/>
  <c r="AA333" i="46"/>
  <c r="AE344" i="46"/>
  <c r="AE345" i="46" s="1"/>
  <c r="AE321" i="46"/>
  <c r="AC321" i="48"/>
  <c r="DV103" i="55" s="1"/>
  <c r="DV126" i="55" s="1"/>
  <c r="DV149" i="55" s="1"/>
  <c r="AC344" i="48"/>
  <c r="AC345" i="48" s="1"/>
  <c r="AG326" i="48"/>
  <c r="AG324" i="48"/>
  <c r="AG327" i="48"/>
  <c r="AG325" i="48"/>
  <c r="AF47" i="46"/>
  <c r="AF72" i="46"/>
  <c r="AF112" i="46"/>
  <c r="AF82" i="46"/>
  <c r="AF102" i="46"/>
  <c r="AE104" i="48"/>
  <c r="AE109" i="48" s="1"/>
  <c r="AE103" i="48"/>
  <c r="AE108" i="48" s="1"/>
  <c r="AE107" i="48"/>
  <c r="AE105" i="48"/>
  <c r="AE110" i="48" s="1"/>
  <c r="AE106" i="48"/>
  <c r="AE111" i="48" s="1"/>
  <c r="AH70" i="45"/>
  <c r="AB333" i="48"/>
  <c r="AB332" i="48"/>
  <c r="AB336" i="48" s="1"/>
  <c r="BL97" i="45"/>
  <c r="AF100" i="45"/>
  <c r="AD318" i="46"/>
  <c r="CQ111" i="55" s="1"/>
  <c r="CQ134" i="55" s="1"/>
  <c r="CQ157" i="55" s="1"/>
  <c r="AD315" i="46"/>
  <c r="CQ108" i="55" s="1"/>
  <c r="CQ131" i="55" s="1"/>
  <c r="CQ154" i="55" s="1"/>
  <c r="AD316" i="46"/>
  <c r="CQ109" i="55" s="1"/>
  <c r="CQ132" i="55" s="1"/>
  <c r="CQ155" i="55" s="1"/>
  <c r="AD313" i="46"/>
  <c r="AD317" i="46"/>
  <c r="CQ110" i="55" s="1"/>
  <c r="CQ133" i="55" s="1"/>
  <c r="CQ156" i="55" s="1"/>
  <c r="AD314" i="46"/>
  <c r="CQ107" i="55" s="1"/>
  <c r="CQ130" i="55" s="1"/>
  <c r="CQ153" i="55" s="1"/>
  <c r="AD329" i="48"/>
  <c r="AD328" i="48"/>
  <c r="AE85" i="48"/>
  <c r="AE90" i="48" s="1"/>
  <c r="AE84" i="48"/>
  <c r="AE89" i="48" s="1"/>
  <c r="AE86" i="48"/>
  <c r="AE91" i="48" s="1"/>
  <c r="AE83" i="48"/>
  <c r="AE88" i="48" s="1"/>
  <c r="AE87" i="48"/>
  <c r="AF334" i="48"/>
  <c r="AF346" i="48" s="1"/>
  <c r="AF335" i="48"/>
  <c r="BK114" i="45"/>
  <c r="BJ114" i="45"/>
  <c r="BJ78" i="45"/>
  <c r="AE75" i="48"/>
  <c r="AE80" i="48" s="1"/>
  <c r="AE76" i="48"/>
  <c r="AE81" i="48" s="1"/>
  <c r="AE74" i="48"/>
  <c r="AE79" i="48" s="1"/>
  <c r="AE73" i="48"/>
  <c r="AE78" i="48" s="1"/>
  <c r="AE77" i="48"/>
  <c r="AH75" i="45"/>
  <c r="AG36" i="46"/>
  <c r="AG42" i="46" s="1"/>
  <c r="AD311" i="48"/>
  <c r="AD312" i="48" s="1"/>
  <c r="AE278" i="48"/>
  <c r="AE311" i="46"/>
  <c r="AF278" i="46"/>
  <c r="AF18" i="52" s="1"/>
  <c r="AD335" i="48"/>
  <c r="AD334" i="48"/>
  <c r="AD346" i="48" s="1"/>
  <c r="Y357" i="48"/>
  <c r="Y364" i="48" s="1"/>
  <c r="Z356" i="46"/>
  <c r="AD342" i="46"/>
  <c r="AE111" i="55" s="1"/>
  <c r="AE134" i="55" s="1"/>
  <c r="AE157" i="55" s="1"/>
  <c r="AD341" i="46"/>
  <c r="AE110" i="55" s="1"/>
  <c r="AE133" i="55" s="1"/>
  <c r="AE156" i="55" s="1"/>
  <c r="AC338" i="46"/>
  <c r="Z356" i="48"/>
  <c r="AC334" i="46"/>
  <c r="AC346" i="46" s="1"/>
  <c r="AC347" i="46" s="1"/>
  <c r="AC335" i="46"/>
  <c r="AA366" i="46"/>
  <c r="AB107" i="55" s="1"/>
  <c r="AB130" i="55" s="1"/>
  <c r="AB153" i="55" s="1"/>
  <c r="AA351" i="48"/>
  <c r="AF329" i="48"/>
  <c r="AF328" i="48"/>
  <c r="AB357" i="48"/>
  <c r="AB364" i="48" s="1"/>
  <c r="AD328" i="46"/>
  <c r="AD329" i="46"/>
  <c r="AC316" i="48"/>
  <c r="AC315" i="48"/>
  <c r="AC313" i="48"/>
  <c r="AC317" i="48"/>
  <c r="AC318" i="48"/>
  <c r="AC314" i="48"/>
  <c r="AE113" i="48"/>
  <c r="AE118" i="48" s="1"/>
  <c r="AE115" i="48"/>
  <c r="AE120" i="48" s="1"/>
  <c r="AE116" i="48"/>
  <c r="AE121" i="48" s="1"/>
  <c r="AE117" i="48"/>
  <c r="AE114" i="48"/>
  <c r="AE119" i="48" s="1"/>
  <c r="AE277" i="48"/>
  <c r="BK100" i="45"/>
  <c r="BJ100" i="45"/>
  <c r="AD335" i="46"/>
  <c r="AD334" i="46"/>
  <c r="AD346" i="46" s="1"/>
  <c r="AD347" i="46" s="1"/>
  <c r="AE327" i="46"/>
  <c r="AE326" i="46"/>
  <c r="AE324" i="46"/>
  <c r="AE325" i="46"/>
  <c r="AE325" i="48"/>
  <c r="AG40" i="48"/>
  <c r="AD321" i="48"/>
  <c r="DW103" i="55" s="1"/>
  <c r="DW126" i="55" s="1"/>
  <c r="DW149" i="55" s="1"/>
  <c r="AD344" i="48"/>
  <c r="AD345" i="48" s="1"/>
  <c r="BN104" i="45"/>
  <c r="AH104" i="45"/>
  <c r="BN75" i="45"/>
  <c r="AC329" i="46" l="1"/>
  <c r="AC339" i="46"/>
  <c r="AD108" i="55" s="1"/>
  <c r="AD131" i="55" s="1"/>
  <c r="AD154" i="55" s="1"/>
  <c r="AC340" i="46"/>
  <c r="AD109" i="55" s="1"/>
  <c r="AD132" i="55" s="1"/>
  <c r="AD155" i="55" s="1"/>
  <c r="BL117" i="45"/>
  <c r="AC342" i="46"/>
  <c r="AD111" i="55" s="1"/>
  <c r="AD134" i="55" s="1"/>
  <c r="AD157" i="55" s="1"/>
  <c r="AC337" i="46"/>
  <c r="DT111" i="55"/>
  <c r="AB349" i="48"/>
  <c r="AB350" i="48" s="1"/>
  <c r="AB352" i="48" s="1"/>
  <c r="AE326" i="48"/>
  <c r="AD340" i="46"/>
  <c r="AE109" i="55" s="1"/>
  <c r="AE132" i="55" s="1"/>
  <c r="AE155" i="55" s="1"/>
  <c r="AE324" i="48"/>
  <c r="AD339" i="46"/>
  <c r="AE108" i="55" s="1"/>
  <c r="AE131" i="55" s="1"/>
  <c r="AE154" i="55" s="1"/>
  <c r="AF91" i="45"/>
  <c r="AD337" i="46"/>
  <c r="X49" i="58"/>
  <c r="Y44" i="58"/>
  <c r="BH156" i="55"/>
  <c r="DT156" i="55" s="1"/>
  <c r="DT133" i="55"/>
  <c r="BE153" i="55"/>
  <c r="DQ153" i="55" s="1"/>
  <c r="DQ130" i="55"/>
  <c r="BI131" i="55"/>
  <c r="DU108" i="55"/>
  <c r="BH157" i="55"/>
  <c r="DT157" i="55" s="1"/>
  <c r="DT134" i="55"/>
  <c r="BH154" i="55"/>
  <c r="DT154" i="55" s="1"/>
  <c r="DT131" i="55"/>
  <c r="BD44" i="58"/>
  <c r="BD49" i="58"/>
  <c r="BH155" i="55"/>
  <c r="DT155" i="55" s="1"/>
  <c r="DT132" i="55"/>
  <c r="BB44" i="58"/>
  <c r="Y54" i="58"/>
  <c r="X54" i="58"/>
  <c r="BD54" i="58"/>
  <c r="BE131" i="45"/>
  <c r="BE53" i="58" s="1"/>
  <c r="BE130" i="45"/>
  <c r="BE48" i="58" s="1"/>
  <c r="BE129" i="45"/>
  <c r="BE43" i="58" s="1"/>
  <c r="X44" i="58"/>
  <c r="AD115" i="45"/>
  <c r="BB49" i="58"/>
  <c r="Y49" i="58"/>
  <c r="BB54" i="58"/>
  <c r="AF117" i="45"/>
  <c r="AB340" i="48"/>
  <c r="BI109" i="55" s="1"/>
  <c r="AC322" i="48"/>
  <c r="BJ103" i="55"/>
  <c r="BJ126" i="55" s="1"/>
  <c r="BJ149" i="55" s="1"/>
  <c r="AB341" i="48"/>
  <c r="BI110" i="55" s="1"/>
  <c r="AB346" i="46"/>
  <c r="AB347" i="46" s="1"/>
  <c r="AB348" i="46"/>
  <c r="AE322" i="46"/>
  <c r="AE337" i="46" s="1"/>
  <c r="AF103" i="55"/>
  <c r="AF126" i="55" s="1"/>
  <c r="AF149" i="55" s="1"/>
  <c r="AB337" i="48"/>
  <c r="AB342" i="48"/>
  <c r="BI111" i="55" s="1"/>
  <c r="AE312" i="46"/>
  <c r="AE318" i="46" s="1"/>
  <c r="CR111" i="55" s="1"/>
  <c r="CR134" i="55" s="1"/>
  <c r="CR157" i="55" s="1"/>
  <c r="CR103" i="55"/>
  <c r="CR126" i="55" s="1"/>
  <c r="CR149" i="55" s="1"/>
  <c r="AB338" i="48"/>
  <c r="AB330" i="46"/>
  <c r="AB331" i="46"/>
  <c r="AB104" i="55"/>
  <c r="AB127" i="55" s="1"/>
  <c r="AB150" i="55" s="1"/>
  <c r="Z104" i="55"/>
  <c r="Z127" i="55" s="1"/>
  <c r="Z150" i="55" s="1"/>
  <c r="Z107" i="55"/>
  <c r="Z130" i="55" s="1"/>
  <c r="Z153" i="55" s="1"/>
  <c r="AD322" i="48"/>
  <c r="AD340" i="48" s="1"/>
  <c r="BK109" i="55" s="1"/>
  <c r="BK103" i="55"/>
  <c r="BK126" i="55" s="1"/>
  <c r="BK149" i="55" s="1"/>
  <c r="AF319" i="46"/>
  <c r="AF323" i="46" s="1"/>
  <c r="AE115" i="45"/>
  <c r="AF114" i="45"/>
  <c r="AF113" i="45"/>
  <c r="AF115" i="45" s="1"/>
  <c r="BL76" i="45"/>
  <c r="BL78" i="45" s="1"/>
  <c r="AA368" i="46"/>
  <c r="BF119" i="45"/>
  <c r="BI119" i="45"/>
  <c r="Y368" i="46"/>
  <c r="BE126" i="45"/>
  <c r="BJ115" i="45"/>
  <c r="Z119" i="45"/>
  <c r="Z124" i="45" s="1"/>
  <c r="Y373" i="46"/>
  <c r="BK115" i="45"/>
  <c r="BL113" i="45"/>
  <c r="AF274" i="46"/>
  <c r="AH72" i="45"/>
  <c r="BL116" i="45"/>
  <c r="AF118" i="45"/>
  <c r="BN71" i="45"/>
  <c r="AH73" i="45"/>
  <c r="BN73" i="45"/>
  <c r="AC348" i="46"/>
  <c r="AC349" i="46" s="1"/>
  <c r="AC350" i="46" s="1"/>
  <c r="AF116" i="45"/>
  <c r="BL118" i="45"/>
  <c r="BN72" i="45"/>
  <c r="AC330" i="46"/>
  <c r="AC331" i="46"/>
  <c r="AD331" i="46"/>
  <c r="AD330" i="46"/>
  <c r="Z357" i="46"/>
  <c r="Z366" i="46" s="1"/>
  <c r="AB366" i="48"/>
  <c r="BI104" i="55" s="1"/>
  <c r="BI127" i="55" s="1"/>
  <c r="BI150" i="55" s="1"/>
  <c r="AF72" i="48"/>
  <c r="AF74" i="46"/>
  <c r="AF79" i="46" s="1"/>
  <c r="AF73" i="46"/>
  <c r="AF78" i="46" s="1"/>
  <c r="AF76" i="46"/>
  <c r="AF81" i="46" s="1"/>
  <c r="AF75" i="46"/>
  <c r="AF80" i="46" s="1"/>
  <c r="AF77" i="46"/>
  <c r="AE329" i="46"/>
  <c r="AE328" i="46"/>
  <c r="Y366" i="48"/>
  <c r="BF107" i="55" s="1"/>
  <c r="AG278" i="46"/>
  <c r="AF311" i="46"/>
  <c r="AD348" i="46"/>
  <c r="AD351" i="46" s="1"/>
  <c r="BL100" i="45"/>
  <c r="AF105" i="46"/>
  <c r="AF110" i="46" s="1"/>
  <c r="AF102" i="48"/>
  <c r="AF104" i="46"/>
  <c r="AF109" i="46" s="1"/>
  <c r="AF106" i="46"/>
  <c r="AF111" i="46" s="1"/>
  <c r="AF107" i="46"/>
  <c r="AF103" i="46"/>
  <c r="AF108" i="46" s="1"/>
  <c r="AE342" i="46"/>
  <c r="AF111" i="55" s="1"/>
  <c r="AF134" i="55" s="1"/>
  <c r="AF157" i="55" s="1"/>
  <c r="AE341" i="46"/>
  <c r="AF110" i="55" s="1"/>
  <c r="AF133" i="55" s="1"/>
  <c r="AF156" i="55" s="1"/>
  <c r="AE339" i="46"/>
  <c r="AF108" i="55" s="1"/>
  <c r="AF131" i="55" s="1"/>
  <c r="AF154" i="55" s="1"/>
  <c r="AE321" i="48"/>
  <c r="DX103" i="55" s="1"/>
  <c r="DX126" i="55" s="1"/>
  <c r="DX149" i="55" s="1"/>
  <c r="AE344" i="48"/>
  <c r="AE345" i="48" s="1"/>
  <c r="AA356" i="48"/>
  <c r="AD316" i="48"/>
  <c r="AD315" i="48"/>
  <c r="AD318" i="48"/>
  <c r="AD317" i="48"/>
  <c r="AD313" i="48"/>
  <c r="AD314" i="48"/>
  <c r="AG334" i="48"/>
  <c r="AG346" i="48" s="1"/>
  <c r="AG335" i="48"/>
  <c r="AC337" i="48"/>
  <c r="AC341" i="48"/>
  <c r="BJ110" i="55" s="1"/>
  <c r="AC338" i="48"/>
  <c r="AC342" i="48"/>
  <c r="BJ111" i="55" s="1"/>
  <c r="AC340" i="48"/>
  <c r="BJ109" i="55" s="1"/>
  <c r="AC339" i="48"/>
  <c r="BJ108" i="55" s="1"/>
  <c r="AD347" i="48"/>
  <c r="AD348" i="48"/>
  <c r="AD351" i="48" s="1"/>
  <c r="AE334" i="48"/>
  <c r="AE346" i="48" s="1"/>
  <c r="AE335" i="48"/>
  <c r="AE334" i="46"/>
  <c r="AE346" i="46" s="1"/>
  <c r="AE347" i="46" s="1"/>
  <c r="AE335" i="46"/>
  <c r="AE317" i="46"/>
  <c r="CR110" i="55" s="1"/>
  <c r="CR133" i="55" s="1"/>
  <c r="CR156" i="55" s="1"/>
  <c r="AE314" i="46"/>
  <c r="CR107" i="55" s="1"/>
  <c r="CR130" i="55" s="1"/>
  <c r="CR153" i="55" s="1"/>
  <c r="AE313" i="46"/>
  <c r="AE316" i="46"/>
  <c r="CR109" i="55" s="1"/>
  <c r="CR132" i="55" s="1"/>
  <c r="CR155" i="55" s="1"/>
  <c r="AF83" i="46"/>
  <c r="AF88" i="46" s="1"/>
  <c r="AF82" i="48"/>
  <c r="AF84" i="46"/>
  <c r="AF89" i="46" s="1"/>
  <c r="AF86" i="46"/>
  <c r="AF91" i="46" s="1"/>
  <c r="AF87" i="46"/>
  <c r="AF85" i="46"/>
  <c r="AF90" i="46" s="1"/>
  <c r="AG329" i="48"/>
  <c r="AG328" i="48"/>
  <c r="AD341" i="48"/>
  <c r="BK110" i="55" s="1"/>
  <c r="AD342" i="48"/>
  <c r="BK111" i="55" s="1"/>
  <c r="AE329" i="48"/>
  <c r="AE328" i="48"/>
  <c r="AF331" i="48"/>
  <c r="AF330" i="48"/>
  <c r="AA373" i="46"/>
  <c r="AB120" i="45"/>
  <c r="AB122" i="45" s="1"/>
  <c r="Z357" i="48"/>
  <c r="Z366" i="48" s="1"/>
  <c r="AF278" i="48"/>
  <c r="AE311" i="48"/>
  <c r="AE312" i="48" s="1"/>
  <c r="AG82" i="46"/>
  <c r="AG47" i="46"/>
  <c r="AG102" i="46"/>
  <c r="AG72" i="46"/>
  <c r="AG112" i="46"/>
  <c r="AD330" i="48"/>
  <c r="AD331" i="48"/>
  <c r="AF116" i="46"/>
  <c r="AF121" i="46" s="1"/>
  <c r="AF113" i="46"/>
  <c r="AF118" i="46" s="1"/>
  <c r="AF114" i="46"/>
  <c r="AF119" i="46" s="1"/>
  <c r="AF112" i="48"/>
  <c r="AF115" i="46"/>
  <c r="AF120" i="46" s="1"/>
  <c r="AF117" i="46"/>
  <c r="AF277" i="46"/>
  <c r="AC348" i="48"/>
  <c r="AC349" i="48" s="1"/>
  <c r="AC350" i="48" s="1"/>
  <c r="AC352" i="48" s="1"/>
  <c r="AC347" i="48"/>
  <c r="AF320" i="46" l="1"/>
  <c r="AD337" i="48"/>
  <c r="AE315" i="46"/>
  <c r="CR108" i="55" s="1"/>
  <c r="CR131" i="55" s="1"/>
  <c r="CR154" i="55" s="1"/>
  <c r="AE340" i="46"/>
  <c r="AF109" i="55" s="1"/>
  <c r="AF132" i="55" s="1"/>
  <c r="AF155" i="55" s="1"/>
  <c r="AD339" i="48"/>
  <c r="BK108" i="55" s="1"/>
  <c r="DW108" i="55" s="1"/>
  <c r="AD338" i="48"/>
  <c r="AE338" i="46"/>
  <c r="BJ131" i="55"/>
  <c r="DV108" i="55"/>
  <c r="BK134" i="55"/>
  <c r="DW111" i="55"/>
  <c r="BK133" i="55"/>
  <c r="DW110" i="55"/>
  <c r="BJ132" i="55"/>
  <c r="DV109" i="55"/>
  <c r="DU104" i="55"/>
  <c r="DU127" i="55" s="1"/>
  <c r="DU150" i="55" s="1"/>
  <c r="BI154" i="55"/>
  <c r="DU154" i="55" s="1"/>
  <c r="DU131" i="55"/>
  <c r="BJ134" i="55"/>
  <c r="DV111" i="55"/>
  <c r="DR104" i="55"/>
  <c r="DR127" i="55" s="1"/>
  <c r="DR150" i="55" s="1"/>
  <c r="BK132" i="55"/>
  <c r="DW109" i="55"/>
  <c r="BF130" i="55"/>
  <c r="DR107" i="55"/>
  <c r="BJ133" i="55"/>
  <c r="DV110" i="55"/>
  <c r="BI133" i="55"/>
  <c r="DU110" i="55"/>
  <c r="BI134" i="55"/>
  <c r="DU111" i="55"/>
  <c r="BE49" i="58"/>
  <c r="BI132" i="55"/>
  <c r="DU109" i="55"/>
  <c r="BE54" i="58"/>
  <c r="BE44" i="58"/>
  <c r="BF104" i="55"/>
  <c r="BF127" i="55" s="1"/>
  <c r="BF150" i="55" s="1"/>
  <c r="AB333" i="46"/>
  <c r="AB332" i="46"/>
  <c r="AB336" i="46" s="1"/>
  <c r="BI107" i="55"/>
  <c r="AB349" i="46"/>
  <c r="AB350" i="46" s="1"/>
  <c r="AB352" i="46" s="1"/>
  <c r="AB351" i="46"/>
  <c r="AE322" i="48"/>
  <c r="AE338" i="48" s="1"/>
  <c r="BL103" i="55"/>
  <c r="BL126" i="55" s="1"/>
  <c r="BL149" i="55" s="1"/>
  <c r="AF312" i="46"/>
  <c r="AF318" i="46" s="1"/>
  <c r="CS111" i="55" s="1"/>
  <c r="CS134" i="55" s="1"/>
  <c r="CS157" i="55" s="1"/>
  <c r="CS103" i="55"/>
  <c r="CS126" i="55" s="1"/>
  <c r="CS149" i="55" s="1"/>
  <c r="AG319" i="46"/>
  <c r="AG320" i="46" s="1"/>
  <c r="BL114" i="45"/>
  <c r="BL115" i="45" s="1"/>
  <c r="AG274" i="46"/>
  <c r="AG311" i="46"/>
  <c r="AG18" i="52"/>
  <c r="BG120" i="45"/>
  <c r="BG122" i="45" s="1"/>
  <c r="AG97" i="45"/>
  <c r="BM97" i="45" s="1"/>
  <c r="AG90" i="45"/>
  <c r="AG106" i="45"/>
  <c r="AG76" i="45"/>
  <c r="BM76" i="45" s="1"/>
  <c r="AA120" i="45"/>
  <c r="AA122" i="45" s="1"/>
  <c r="Y374" i="46"/>
  <c r="Z121" i="45"/>
  <c r="Z128" i="45" s="1"/>
  <c r="Z123" i="45"/>
  <c r="Z364" i="46"/>
  <c r="AA119" i="45" s="1"/>
  <c r="Z125" i="45"/>
  <c r="AC351" i="46"/>
  <c r="AC356" i="46" s="1"/>
  <c r="AC357" i="46" s="1"/>
  <c r="AC366" i="46" s="1"/>
  <c r="BM102" i="45"/>
  <c r="BM101" i="45"/>
  <c r="AG103" i="45"/>
  <c r="BM103" i="45"/>
  <c r="AG101" i="45"/>
  <c r="AG102" i="45"/>
  <c r="AD349" i="46"/>
  <c r="AD350" i="46" s="1"/>
  <c r="AD352" i="46" s="1"/>
  <c r="AG79" i="45"/>
  <c r="AG81" i="45"/>
  <c r="BM79" i="45"/>
  <c r="BM80" i="45"/>
  <c r="BM81" i="45"/>
  <c r="AG80" i="45"/>
  <c r="AB123" i="45"/>
  <c r="AC352" i="46"/>
  <c r="AB124" i="45"/>
  <c r="BM110" i="45"/>
  <c r="BM111" i="45"/>
  <c r="AG112" i="45"/>
  <c r="AG111" i="45"/>
  <c r="BM112" i="45"/>
  <c r="AG110" i="45"/>
  <c r="AE348" i="46"/>
  <c r="AE351" i="46" s="1"/>
  <c r="AE356" i="46" s="1"/>
  <c r="BM93" i="45"/>
  <c r="AG94" i="45"/>
  <c r="BM94" i="45"/>
  <c r="AG93" i="45"/>
  <c r="AB368" i="48"/>
  <c r="BI120" i="45"/>
  <c r="Y368" i="48"/>
  <c r="BF120" i="45"/>
  <c r="BF121" i="45" s="1"/>
  <c r="BF128" i="45" s="1"/>
  <c r="AD356" i="48"/>
  <c r="AG102" i="48"/>
  <c r="AG104" i="46"/>
  <c r="AG109" i="46" s="1"/>
  <c r="AG105" i="46"/>
  <c r="AG110" i="46" s="1"/>
  <c r="AG106" i="46"/>
  <c r="AG111" i="46" s="1"/>
  <c r="AG103" i="46"/>
  <c r="AG108" i="46" s="1"/>
  <c r="AG107" i="46"/>
  <c r="AF311" i="48"/>
  <c r="AF312" i="48" s="1"/>
  <c r="AG278" i="48"/>
  <c r="AE331" i="48"/>
  <c r="AE330" i="48"/>
  <c r="BM90" i="45"/>
  <c r="BM91" i="45" s="1"/>
  <c r="AG91" i="45"/>
  <c r="AF326" i="46"/>
  <c r="AF325" i="46"/>
  <c r="AF327" i="46"/>
  <c r="AF324" i="46"/>
  <c r="AE330" i="46"/>
  <c r="AE331" i="46"/>
  <c r="AF344" i="46"/>
  <c r="AF345" i="46" s="1"/>
  <c r="AF321" i="46"/>
  <c r="AA374" i="46"/>
  <c r="AB125" i="45"/>
  <c r="AD349" i="48"/>
  <c r="AD350" i="48" s="1"/>
  <c r="AD352" i="48" s="1"/>
  <c r="Y373" i="48"/>
  <c r="AF105" i="48"/>
  <c r="AF110" i="48" s="1"/>
  <c r="AF104" i="48"/>
  <c r="AF109" i="48" s="1"/>
  <c r="AF103" i="48"/>
  <c r="AF108" i="48" s="1"/>
  <c r="AF106" i="48"/>
  <c r="AF111" i="48" s="1"/>
  <c r="AF107" i="48"/>
  <c r="AD356" i="46"/>
  <c r="AC332" i="46"/>
  <c r="AC336" i="46" s="1"/>
  <c r="AC333" i="46"/>
  <c r="AF115" i="48"/>
  <c r="AF120" i="48" s="1"/>
  <c r="AF116" i="48"/>
  <c r="AF121" i="48" s="1"/>
  <c r="AF113" i="48"/>
  <c r="AF118" i="48" s="1"/>
  <c r="AF114" i="48"/>
  <c r="AF119" i="48" s="1"/>
  <c r="AF117" i="48"/>
  <c r="AF277" i="48"/>
  <c r="AD332" i="48"/>
  <c r="AD336" i="48" s="1"/>
  <c r="AD333" i="48"/>
  <c r="AC351" i="48"/>
  <c r="AG100" i="45"/>
  <c r="AG116" i="46"/>
  <c r="AG121" i="46" s="1"/>
  <c r="AG112" i="48"/>
  <c r="AG113" i="46"/>
  <c r="AG118" i="46" s="1"/>
  <c r="AG114" i="46"/>
  <c r="AG119" i="46" s="1"/>
  <c r="AG115" i="46"/>
  <c r="AG120" i="46" s="1"/>
  <c r="AG117" i="46"/>
  <c r="AG277" i="46"/>
  <c r="AG82" i="48"/>
  <c r="AG84" i="46"/>
  <c r="AG89" i="46" s="1"/>
  <c r="AG86" i="46"/>
  <c r="AG91" i="46" s="1"/>
  <c r="AG85" i="46"/>
  <c r="AG90" i="46" s="1"/>
  <c r="AG83" i="46"/>
  <c r="AG88" i="46" s="1"/>
  <c r="AG87" i="46"/>
  <c r="Z364" i="48"/>
  <c r="DS104" i="55" s="1"/>
  <c r="DS127" i="55" s="1"/>
  <c r="DS150" i="55" s="1"/>
  <c r="AF333" i="48"/>
  <c r="AF332" i="48"/>
  <c r="AF336" i="48" s="1"/>
  <c r="AG331" i="48"/>
  <c r="AG330" i="48"/>
  <c r="AA357" i="48"/>
  <c r="AA364" i="48" s="1"/>
  <c r="AF314" i="46"/>
  <c r="CS107" i="55" s="1"/>
  <c r="CS130" i="55" s="1"/>
  <c r="CS153" i="55" s="1"/>
  <c r="AF313" i="46"/>
  <c r="AF75" i="48"/>
  <c r="AF80" i="48" s="1"/>
  <c r="AF74" i="48"/>
  <c r="AF79" i="48" s="1"/>
  <c r="AF76" i="48"/>
  <c r="AF81" i="48" s="1"/>
  <c r="AF73" i="48"/>
  <c r="AF78" i="48" s="1"/>
  <c r="AF77" i="48"/>
  <c r="AD332" i="46"/>
  <c r="AD336" i="46" s="1"/>
  <c r="AD333" i="46"/>
  <c r="AB373" i="48"/>
  <c r="AB121" i="45"/>
  <c r="AB128" i="45" s="1"/>
  <c r="AG72" i="48"/>
  <c r="AG75" i="46"/>
  <c r="AG80" i="46" s="1"/>
  <c r="AG74" i="46"/>
  <c r="AG79" i="46" s="1"/>
  <c r="AG77" i="46"/>
  <c r="AG76" i="46"/>
  <c r="AG81" i="46" s="1"/>
  <c r="AG73" i="46"/>
  <c r="AG78" i="46" s="1"/>
  <c r="AE316" i="48"/>
  <c r="AE314" i="48"/>
  <c r="AE315" i="48"/>
  <c r="AE317" i="48"/>
  <c r="AE313" i="48"/>
  <c r="AE318" i="48"/>
  <c r="AF83" i="48"/>
  <c r="AF88" i="48" s="1"/>
  <c r="AF85" i="48"/>
  <c r="AF90" i="48" s="1"/>
  <c r="AF86" i="48"/>
  <c r="AF91" i="48" s="1"/>
  <c r="AF84" i="48"/>
  <c r="AF89" i="48" s="1"/>
  <c r="AF87" i="48"/>
  <c r="AE348" i="48"/>
  <c r="AE349" i="48" s="1"/>
  <c r="AE350" i="48" s="1"/>
  <c r="AE347" i="48"/>
  <c r="M81" i="44"/>
  <c r="M82" i="44"/>
  <c r="M83" i="44"/>
  <c r="M84" i="44"/>
  <c r="M86" i="44"/>
  <c r="K87" i="44"/>
  <c r="J80" i="44" s="1"/>
  <c r="AF317" i="46" l="1"/>
  <c r="CS110" i="55" s="1"/>
  <c r="CS133" i="55" s="1"/>
  <c r="CS156" i="55" s="1"/>
  <c r="AF316" i="46"/>
  <c r="CS109" i="55" s="1"/>
  <c r="CS132" i="55" s="1"/>
  <c r="CS155" i="55" s="1"/>
  <c r="Z373" i="46"/>
  <c r="AG323" i="46"/>
  <c r="AF315" i="46"/>
  <c r="CS108" i="55" s="1"/>
  <c r="CS131" i="55" s="1"/>
  <c r="CS154" i="55" s="1"/>
  <c r="Z368" i="46"/>
  <c r="BK131" i="55"/>
  <c r="AE342" i="48"/>
  <c r="BL111" i="55" s="1"/>
  <c r="BM117" i="45"/>
  <c r="AE337" i="48"/>
  <c r="AE341" i="48"/>
  <c r="BL110" i="55" s="1"/>
  <c r="BL133" i="55" s="1"/>
  <c r="AE339" i="48"/>
  <c r="BL108" i="55" s="1"/>
  <c r="BL131" i="55" s="1"/>
  <c r="AE340" i="48"/>
  <c r="BL109" i="55" s="1"/>
  <c r="BL132" i="55" s="1"/>
  <c r="BL134" i="55"/>
  <c r="DX111" i="55"/>
  <c r="BI157" i="55"/>
  <c r="DU157" i="55" s="1"/>
  <c r="DU134" i="55"/>
  <c r="BK155" i="55"/>
  <c r="DW155" i="55" s="1"/>
  <c r="DW132" i="55"/>
  <c r="BJ155" i="55"/>
  <c r="DV155" i="55" s="1"/>
  <c r="DV132" i="55"/>
  <c r="BI130" i="55"/>
  <c r="DU107" i="55"/>
  <c r="BI156" i="55"/>
  <c r="DU156" i="55" s="1"/>
  <c r="DU133" i="55"/>
  <c r="BK156" i="55"/>
  <c r="DW156" i="55" s="1"/>
  <c r="DW133" i="55"/>
  <c r="DX108" i="55"/>
  <c r="BI155" i="55"/>
  <c r="DU155" i="55" s="1"/>
  <c r="DU132" i="55"/>
  <c r="BJ157" i="55"/>
  <c r="DV157" i="55" s="1"/>
  <c r="DV134" i="55"/>
  <c r="BJ156" i="55"/>
  <c r="DV156" i="55" s="1"/>
  <c r="DV133" i="55"/>
  <c r="BK157" i="55"/>
  <c r="DW157" i="55" s="1"/>
  <c r="DW134" i="55"/>
  <c r="BK154" i="55"/>
  <c r="DW154" i="55" s="1"/>
  <c r="DW131" i="55"/>
  <c r="BF153" i="55"/>
  <c r="DR153" i="55" s="1"/>
  <c r="DR130" i="55"/>
  <c r="BJ154" i="55"/>
  <c r="DV154" i="55" s="1"/>
  <c r="DV131" i="55"/>
  <c r="Z131" i="45"/>
  <c r="Z53" i="58" s="1"/>
  <c r="Z130" i="45"/>
  <c r="Z48" i="58" s="1"/>
  <c r="Z129" i="45"/>
  <c r="Z43" i="58" s="1"/>
  <c r="AB131" i="45"/>
  <c r="AB53" i="58" s="1"/>
  <c r="AB130" i="45"/>
  <c r="AB48" i="58" s="1"/>
  <c r="AB129" i="45"/>
  <c r="AB43" i="58" s="1"/>
  <c r="BF131" i="45"/>
  <c r="BF53" i="58" s="1"/>
  <c r="BF129" i="45"/>
  <c r="BF43" i="58" s="1"/>
  <c r="BF130" i="45"/>
  <c r="BF48" i="58" s="1"/>
  <c r="AG117" i="45"/>
  <c r="BG104" i="55"/>
  <c r="BG127" i="55" s="1"/>
  <c r="BG150" i="55" s="1"/>
  <c r="BG107" i="55"/>
  <c r="AF322" i="46"/>
  <c r="AG103" i="55"/>
  <c r="AG126" i="55" s="1"/>
  <c r="AG149" i="55" s="1"/>
  <c r="AA104" i="55"/>
  <c r="AA127" i="55" s="1"/>
  <c r="AA150" i="55" s="1"/>
  <c r="AA107" i="55"/>
  <c r="AA130" i="55" s="1"/>
  <c r="AA153" i="55" s="1"/>
  <c r="AG312" i="46"/>
  <c r="AG317" i="46" s="1"/>
  <c r="CT110" i="55" s="1"/>
  <c r="CT133" i="55" s="1"/>
  <c r="CT156" i="55" s="1"/>
  <c r="CT103" i="55"/>
  <c r="CT126" i="55" s="1"/>
  <c r="CT149" i="55" s="1"/>
  <c r="AB356" i="46"/>
  <c r="AB357" i="46" s="1"/>
  <c r="AB366" i="46" s="1"/>
  <c r="AC120" i="45" s="1"/>
  <c r="AC122" i="45" s="1"/>
  <c r="AG311" i="48"/>
  <c r="AG312" i="48" s="1"/>
  <c r="AG313" i="48" s="1"/>
  <c r="AG113" i="45"/>
  <c r="AG78" i="45"/>
  <c r="AG114" i="45"/>
  <c r="AG109" i="45"/>
  <c r="BM106" i="45"/>
  <c r="BM109" i="45" s="1"/>
  <c r="BH119" i="45"/>
  <c r="AH90" i="45"/>
  <c r="BN90" i="45" s="1"/>
  <c r="BN91" i="45" s="1"/>
  <c r="AB126" i="45"/>
  <c r="AH76" i="45"/>
  <c r="AD120" i="45"/>
  <c r="AD122" i="45" s="1"/>
  <c r="AH106" i="45"/>
  <c r="BG119" i="45"/>
  <c r="BG123" i="45" s="1"/>
  <c r="AH97" i="45"/>
  <c r="Z126" i="45"/>
  <c r="M88" i="44"/>
  <c r="AE352" i="48"/>
  <c r="AG118" i="45"/>
  <c r="AH93" i="45"/>
  <c r="BN93" i="45"/>
  <c r="BN94" i="45"/>
  <c r="AH94" i="45"/>
  <c r="BM116" i="45"/>
  <c r="Y374" i="48"/>
  <c r="BF125" i="45"/>
  <c r="BM118" i="45"/>
  <c r="BN79" i="45"/>
  <c r="BN81" i="45"/>
  <c r="AH80" i="45"/>
  <c r="AH79" i="45"/>
  <c r="AH81" i="45"/>
  <c r="BN80" i="45"/>
  <c r="AA124" i="45"/>
  <c r="AA123" i="45"/>
  <c r="BN106" i="45"/>
  <c r="BN109" i="45" s="1"/>
  <c r="AH109" i="45"/>
  <c r="BF122" i="45"/>
  <c r="BF123" i="45"/>
  <c r="BF124" i="45"/>
  <c r="AG116" i="45"/>
  <c r="BI122" i="45"/>
  <c r="BI124" i="45"/>
  <c r="BI123" i="45"/>
  <c r="AE349" i="46"/>
  <c r="AE350" i="46" s="1"/>
  <c r="AE352" i="46" s="1"/>
  <c r="AB374" i="48"/>
  <c r="BI125" i="45"/>
  <c r="BN103" i="45"/>
  <c r="AH103" i="45"/>
  <c r="BN102" i="45"/>
  <c r="BN101" i="45"/>
  <c r="AH101" i="45"/>
  <c r="AH102" i="45"/>
  <c r="AH111" i="45"/>
  <c r="AH112" i="45"/>
  <c r="BN112" i="45"/>
  <c r="AH110" i="45"/>
  <c r="BN111" i="45"/>
  <c r="BN110" i="45"/>
  <c r="AC356" i="48"/>
  <c r="AE351" i="48"/>
  <c r="AG86" i="48"/>
  <c r="AG91" i="48" s="1"/>
  <c r="AG83" i="48"/>
  <c r="AG88" i="48" s="1"/>
  <c r="AG84" i="48"/>
  <c r="AG89" i="48" s="1"/>
  <c r="AG85" i="48"/>
  <c r="AG90" i="48" s="1"/>
  <c r="AG87" i="48"/>
  <c r="Z374" i="46"/>
  <c r="AA125" i="45"/>
  <c r="AF342" i="46"/>
  <c r="AG111" i="55" s="1"/>
  <c r="AG134" i="55" s="1"/>
  <c r="AG157" i="55" s="1"/>
  <c r="AF337" i="46"/>
  <c r="AF341" i="46"/>
  <c r="AG110" i="55" s="1"/>
  <c r="AG133" i="55" s="1"/>
  <c r="AG156" i="55" s="1"/>
  <c r="AF340" i="46"/>
  <c r="AG109" i="55" s="1"/>
  <c r="AG132" i="55" s="1"/>
  <c r="AG155" i="55" s="1"/>
  <c r="AF339" i="46"/>
  <c r="AG108" i="55" s="1"/>
  <c r="AG131" i="55" s="1"/>
  <c r="AG154" i="55" s="1"/>
  <c r="AF338" i="46"/>
  <c r="AD357" i="48"/>
  <c r="AD364" i="48" s="1"/>
  <c r="AG327" i="46"/>
  <c r="AG326" i="46"/>
  <c r="AG325" i="46"/>
  <c r="AG324" i="46"/>
  <c r="AF328" i="46"/>
  <c r="AF329" i="46"/>
  <c r="AG104" i="48"/>
  <c r="AG109" i="48" s="1"/>
  <c r="AG103" i="48"/>
  <c r="AG108" i="48" s="1"/>
  <c r="AG105" i="48"/>
  <c r="AG110" i="48" s="1"/>
  <c r="AG106" i="48"/>
  <c r="AG111" i="48" s="1"/>
  <c r="AG107" i="48"/>
  <c r="AG76" i="48"/>
  <c r="AG81" i="48" s="1"/>
  <c r="AG74" i="48"/>
  <c r="AG79" i="48" s="1"/>
  <c r="AG75" i="48"/>
  <c r="AG80" i="48" s="1"/>
  <c r="AG73" i="48"/>
  <c r="AG78" i="48" s="1"/>
  <c r="AG77" i="48"/>
  <c r="AA366" i="48"/>
  <c r="BH104" i="55" s="1"/>
  <c r="BH127" i="55" s="1"/>
  <c r="BH150" i="55" s="1"/>
  <c r="BI121" i="45"/>
  <c r="BI128" i="45" s="1"/>
  <c r="AG321" i="46"/>
  <c r="AJ277" i="46"/>
  <c r="AG344" i="46"/>
  <c r="AG345" i="46" s="1"/>
  <c r="AI277" i="46"/>
  <c r="BM100" i="45"/>
  <c r="BM114" i="45"/>
  <c r="BM78" i="45"/>
  <c r="AE333" i="46"/>
  <c r="AE332" i="46"/>
  <c r="AE336" i="46" s="1"/>
  <c r="AF335" i="46"/>
  <c r="AF334" i="46"/>
  <c r="AF346" i="46" s="1"/>
  <c r="AF347" i="46" s="1"/>
  <c r="AF316" i="48"/>
  <c r="AF315" i="48"/>
  <c r="AF314" i="48"/>
  <c r="AF317" i="48"/>
  <c r="AF318" i="48"/>
  <c r="AF313" i="48"/>
  <c r="AC364" i="46"/>
  <c r="AG332" i="48"/>
  <c r="AG336" i="48" s="1"/>
  <c r="AG333" i="48"/>
  <c r="Z368" i="48"/>
  <c r="Z373" i="48"/>
  <c r="BN97" i="45"/>
  <c r="AH100" i="45"/>
  <c r="AG115" i="48"/>
  <c r="AG120" i="48" s="1"/>
  <c r="AG114" i="48"/>
  <c r="AG119" i="48" s="1"/>
  <c r="AG116" i="48"/>
  <c r="AG121" i="48" s="1"/>
  <c r="AG113" i="48"/>
  <c r="AG118" i="48" s="1"/>
  <c r="AG117" i="48"/>
  <c r="AG277" i="48"/>
  <c r="AA121" i="45"/>
  <c r="AA128" i="45" s="1"/>
  <c r="AF321" i="48"/>
  <c r="DY103" i="55" s="1"/>
  <c r="DY126" i="55" s="1"/>
  <c r="DY149" i="55" s="1"/>
  <c r="AF344" i="48"/>
  <c r="AF345" i="48" s="1"/>
  <c r="AD357" i="46"/>
  <c r="AD366" i="46" s="1"/>
  <c r="AE333" i="48"/>
  <c r="AE332" i="48"/>
  <c r="AE336" i="48" s="1"/>
  <c r="AE357" i="46"/>
  <c r="AE364" i="46" s="1"/>
  <c r="M87" i="44"/>
  <c r="J85" i="44"/>
  <c r="J83" i="44"/>
  <c r="J81" i="44"/>
  <c r="J86" i="44"/>
  <c r="J84" i="44"/>
  <c r="J82" i="44"/>
  <c r="AG317" i="48" l="1"/>
  <c r="BN117" i="45"/>
  <c r="DX109" i="55"/>
  <c r="DX110" i="55"/>
  <c r="Z49" i="58"/>
  <c r="AG316" i="48"/>
  <c r="AH91" i="45"/>
  <c r="AH114" i="45" s="1"/>
  <c r="AG314" i="48"/>
  <c r="AG318" i="48"/>
  <c r="AG315" i="48"/>
  <c r="BL155" i="55"/>
  <c r="DX155" i="55" s="1"/>
  <c r="DX132" i="55"/>
  <c r="BG130" i="55"/>
  <c r="DS107" i="55"/>
  <c r="BL156" i="55"/>
  <c r="DX156" i="55" s="1"/>
  <c r="DX133" i="55"/>
  <c r="BL154" i="55"/>
  <c r="DX154" i="55" s="1"/>
  <c r="DX131" i="55"/>
  <c r="BI153" i="55"/>
  <c r="DU153" i="55" s="1"/>
  <c r="DU130" i="55"/>
  <c r="BL157" i="55"/>
  <c r="DX157" i="55" s="1"/>
  <c r="DX134" i="55"/>
  <c r="AB54" i="58"/>
  <c r="DT104" i="55"/>
  <c r="DT127" i="55" s="1"/>
  <c r="DT150" i="55" s="1"/>
  <c r="AB44" i="58"/>
  <c r="Z44" i="58"/>
  <c r="AB49" i="58"/>
  <c r="BI131" i="45"/>
  <c r="BI53" i="58" s="1"/>
  <c r="BI129" i="45"/>
  <c r="BI43" i="58" s="1"/>
  <c r="BI130" i="45"/>
  <c r="BI48" i="58" s="1"/>
  <c r="Z54" i="58"/>
  <c r="BF54" i="58"/>
  <c r="BF44" i="58"/>
  <c r="BF49" i="58"/>
  <c r="AA131" i="45"/>
  <c r="AA53" i="58" s="1"/>
  <c r="AA130" i="45"/>
  <c r="AA48" i="58" s="1"/>
  <c r="AA129" i="45"/>
  <c r="AA43" i="58" s="1"/>
  <c r="AG318" i="46"/>
  <c r="CT111" i="55" s="1"/>
  <c r="CT134" i="55" s="1"/>
  <c r="CT157" i="55" s="1"/>
  <c r="AH117" i="45"/>
  <c r="AF322" i="48"/>
  <c r="AF339" i="48" s="1"/>
  <c r="BM108" i="55" s="1"/>
  <c r="BM103" i="55"/>
  <c r="BM126" i="55" s="1"/>
  <c r="BM149" i="55" s="1"/>
  <c r="AG313" i="46"/>
  <c r="AG314" i="46"/>
  <c r="CT107" i="55" s="1"/>
  <c r="CT130" i="55" s="1"/>
  <c r="CT153" i="55" s="1"/>
  <c r="BH107" i="55"/>
  <c r="AB364" i="46"/>
  <c r="AD104" i="55"/>
  <c r="AD127" i="55" s="1"/>
  <c r="AD150" i="55" s="1"/>
  <c r="AD107" i="55"/>
  <c r="AD130" i="55" s="1"/>
  <c r="AD153" i="55" s="1"/>
  <c r="BM113" i="45"/>
  <c r="BM115" i="45" s="1"/>
  <c r="AG315" i="46"/>
  <c r="CT108" i="55" s="1"/>
  <c r="CT131" i="55" s="1"/>
  <c r="CT154" i="55" s="1"/>
  <c r="AG322" i="46"/>
  <c r="AG338" i="46" s="1"/>
  <c r="AH103" i="55"/>
  <c r="AH126" i="55" s="1"/>
  <c r="AH149" i="55" s="1"/>
  <c r="AG316" i="46"/>
  <c r="CT109" i="55" s="1"/>
  <c r="CT132" i="55" s="1"/>
  <c r="CT155" i="55" s="1"/>
  <c r="AG115" i="45"/>
  <c r="BG124" i="45"/>
  <c r="AH78" i="45"/>
  <c r="BN76" i="45"/>
  <c r="AH113" i="45"/>
  <c r="AA126" i="45"/>
  <c r="BI126" i="45"/>
  <c r="BK119" i="45"/>
  <c r="AE120" i="45"/>
  <c r="AE122" i="45" s="1"/>
  <c r="BF126" i="45"/>
  <c r="AD366" i="48"/>
  <c r="BK104" i="55" s="1"/>
  <c r="BK127" i="55" s="1"/>
  <c r="BK150" i="55" s="1"/>
  <c r="BN118" i="45"/>
  <c r="BN113" i="45"/>
  <c r="AH118" i="45"/>
  <c r="BN116" i="45"/>
  <c r="J87" i="44"/>
  <c r="Z374" i="48"/>
  <c r="BG125" i="45"/>
  <c r="AH116" i="45"/>
  <c r="AA368" i="48"/>
  <c r="BH120" i="45"/>
  <c r="AF119" i="45"/>
  <c r="BG121" i="45"/>
  <c r="BG128" i="45" s="1"/>
  <c r="AD119" i="45"/>
  <c r="AC368" i="46"/>
  <c r="AC373" i="46"/>
  <c r="AF341" i="48"/>
  <c r="BM110" i="55" s="1"/>
  <c r="AF330" i="46"/>
  <c r="AF331" i="46"/>
  <c r="AG328" i="46"/>
  <c r="AG329" i="46"/>
  <c r="AD364" i="46"/>
  <c r="AF348" i="48"/>
  <c r="AF349" i="48" s="1"/>
  <c r="AF350" i="48" s="1"/>
  <c r="AF352" i="48" s="1"/>
  <c r="AF347" i="48"/>
  <c r="AE366" i="46"/>
  <c r="AF104" i="55" s="1"/>
  <c r="AF127" i="55" s="1"/>
  <c r="AF150" i="55" s="1"/>
  <c r="AG334" i="46"/>
  <c r="AG346" i="46" s="1"/>
  <c r="AG347" i="46" s="1"/>
  <c r="AG335" i="46"/>
  <c r="AA373" i="48"/>
  <c r="AE356" i="48"/>
  <c r="AG321" i="48"/>
  <c r="DZ103" i="55" s="1"/>
  <c r="DZ126" i="55" s="1"/>
  <c r="DZ149" i="55" s="1"/>
  <c r="AG344" i="48"/>
  <c r="AG345" i="48" s="1"/>
  <c r="AJ277" i="48"/>
  <c r="AI277" i="48"/>
  <c r="BN100" i="45"/>
  <c r="AF348" i="46"/>
  <c r="AF351" i="46" s="1"/>
  <c r="AG341" i="46"/>
  <c r="AH110" i="55" s="1"/>
  <c r="AH133" i="55" s="1"/>
  <c r="AH156" i="55" s="1"/>
  <c r="AC357" i="48"/>
  <c r="AC364" i="48" s="1"/>
  <c r="N81" i="44"/>
  <c r="N83" i="44"/>
  <c r="N85" i="44"/>
  <c r="N80" i="44"/>
  <c r="N82" i="44"/>
  <c r="N84" i="44"/>
  <c r="N86" i="44"/>
  <c r="AG339" i="46" l="1"/>
  <c r="AH108" i="55" s="1"/>
  <c r="AH131" i="55" s="1"/>
  <c r="AH154" i="55" s="1"/>
  <c r="AF337" i="48"/>
  <c r="AF342" i="48"/>
  <c r="BM111" i="55" s="1"/>
  <c r="BI49" i="58"/>
  <c r="AF340" i="48"/>
  <c r="BM109" i="55" s="1"/>
  <c r="DY109" i="55" s="1"/>
  <c r="AF338" i="48"/>
  <c r="AG337" i="46"/>
  <c r="BN114" i="45"/>
  <c r="AG342" i="46"/>
  <c r="AH111" i="55" s="1"/>
  <c r="AH134" i="55" s="1"/>
  <c r="AH157" i="55" s="1"/>
  <c r="AG340" i="46"/>
  <c r="AH109" i="55" s="1"/>
  <c r="AH132" i="55" s="1"/>
  <c r="AH155" i="55" s="1"/>
  <c r="BM134" i="55"/>
  <c r="DY111" i="55"/>
  <c r="BH130" i="55"/>
  <c r="DT107" i="55"/>
  <c r="BG153" i="55"/>
  <c r="DS153" i="55" s="1"/>
  <c r="DS130" i="55"/>
  <c r="DW104" i="55"/>
  <c r="DW127" i="55" s="1"/>
  <c r="DW150" i="55" s="1"/>
  <c r="BM131" i="55"/>
  <c r="DY108" i="55"/>
  <c r="BM133" i="55"/>
  <c r="DY110" i="55"/>
  <c r="AA49" i="58"/>
  <c r="BI44" i="58"/>
  <c r="AA54" i="58"/>
  <c r="AA44" i="58"/>
  <c r="BG131" i="45"/>
  <c r="BG53" i="58" s="1"/>
  <c r="BG129" i="45"/>
  <c r="BG43" i="58" s="1"/>
  <c r="BG130" i="45"/>
  <c r="BG48" i="58" s="1"/>
  <c r="BI54" i="58"/>
  <c r="AI114" i="45"/>
  <c r="AC104" i="55"/>
  <c r="AC127" i="55" s="1"/>
  <c r="AC150" i="55" s="1"/>
  <c r="AC107" i="55"/>
  <c r="AC130" i="55" s="1"/>
  <c r="AC153" i="55" s="1"/>
  <c r="AC119" i="45"/>
  <c r="AB368" i="46"/>
  <c r="AB373" i="46"/>
  <c r="BK107" i="55"/>
  <c r="AG322" i="48"/>
  <c r="AG341" i="48" s="1"/>
  <c r="BN110" i="55" s="1"/>
  <c r="BN103" i="55"/>
  <c r="BN126" i="55" s="1"/>
  <c r="BN149" i="55" s="1"/>
  <c r="AE104" i="55"/>
  <c r="AE127" i="55" s="1"/>
  <c r="AE150" i="55" s="1"/>
  <c r="AE107" i="55"/>
  <c r="AE130" i="55" s="1"/>
  <c r="AE153" i="55" s="1"/>
  <c r="AF107" i="55"/>
  <c r="AF130" i="55" s="1"/>
  <c r="AF153" i="55" s="1"/>
  <c r="BN78" i="45"/>
  <c r="CF19" i="45"/>
  <c r="AD373" i="48"/>
  <c r="BK120" i="45"/>
  <c r="BK122" i="45" s="1"/>
  <c r="AD368" i="48"/>
  <c r="BG126" i="45"/>
  <c r="BJ119" i="45"/>
  <c r="AF120" i="45"/>
  <c r="AF122" i="45" s="1"/>
  <c r="BN115" i="45"/>
  <c r="AE368" i="46"/>
  <c r="BH122" i="45"/>
  <c r="BH123" i="45"/>
  <c r="BH124" i="45"/>
  <c r="AA374" i="48"/>
  <c r="BH125" i="45"/>
  <c r="N87" i="44"/>
  <c r="AC366" i="48"/>
  <c r="BJ104" i="55" s="1"/>
  <c r="BJ127" i="55" s="1"/>
  <c r="BJ150" i="55" s="1"/>
  <c r="AD123" i="45"/>
  <c r="AD124" i="45"/>
  <c r="BK123" i="45"/>
  <c r="BH121" i="45"/>
  <c r="BH128" i="45" s="1"/>
  <c r="AE357" i="48"/>
  <c r="AE364" i="48" s="1"/>
  <c r="AF356" i="46"/>
  <c r="AF357" i="46" s="1"/>
  <c r="AF366" i="46" s="1"/>
  <c r="AG337" i="48"/>
  <c r="AF349" i="46"/>
  <c r="AF350" i="46" s="1"/>
  <c r="AF352" i="46" s="1"/>
  <c r="AH115" i="45"/>
  <c r="AI115" i="45" s="1"/>
  <c r="AD373" i="46"/>
  <c r="AE119" i="45"/>
  <c r="AD368" i="46"/>
  <c r="AD121" i="45"/>
  <c r="AD128" i="45" s="1"/>
  <c r="AE373" i="46"/>
  <c r="AG348" i="48"/>
  <c r="AG351" i="48" s="1"/>
  <c r="AG347" i="48"/>
  <c r="AG348" i="46"/>
  <c r="AG351" i="46" s="1"/>
  <c r="AF351" i="48"/>
  <c r="AF332" i="46"/>
  <c r="AF336" i="46" s="1"/>
  <c r="AF333" i="46"/>
  <c r="AG331" i="46"/>
  <c r="AG330" i="46"/>
  <c r="AC374" i="46"/>
  <c r="AD125" i="45"/>
  <c r="BM132" i="55" l="1"/>
  <c r="AG342" i="48"/>
  <c r="BN111" i="55" s="1"/>
  <c r="AG340" i="48"/>
  <c r="BN109" i="55" s="1"/>
  <c r="BN132" i="55" s="1"/>
  <c r="AG339" i="48"/>
  <c r="BN108" i="55" s="1"/>
  <c r="BN131" i="55" s="1"/>
  <c r="AG338" i="48"/>
  <c r="BK130" i="55"/>
  <c r="DW107" i="55"/>
  <c r="BM156" i="55"/>
  <c r="DY156" i="55" s="1"/>
  <c r="DY133" i="55"/>
  <c r="BN134" i="55"/>
  <c r="DZ111" i="55"/>
  <c r="BH153" i="55"/>
  <c r="DT153" i="55" s="1"/>
  <c r="DT130" i="55"/>
  <c r="BM154" i="55"/>
  <c r="DY154" i="55" s="1"/>
  <c r="DY131" i="55"/>
  <c r="BM157" i="55"/>
  <c r="DY157" i="55" s="1"/>
  <c r="DY134" i="55"/>
  <c r="BN133" i="55"/>
  <c r="DZ110" i="55"/>
  <c r="DV104" i="55"/>
  <c r="DV127" i="55" s="1"/>
  <c r="DV150" i="55" s="1"/>
  <c r="BM155" i="55"/>
  <c r="DY155" i="55" s="1"/>
  <c r="DY132" i="55"/>
  <c r="BG49" i="58"/>
  <c r="BG54" i="58"/>
  <c r="BG44" i="58"/>
  <c r="BH131" i="45"/>
  <c r="BH53" i="58" s="1"/>
  <c r="BH129" i="45"/>
  <c r="BH43" i="58" s="1"/>
  <c r="BH130" i="45"/>
  <c r="BH48" i="58" s="1"/>
  <c r="AD131" i="45"/>
  <c r="AD53" i="58" s="1"/>
  <c r="AD129" i="45"/>
  <c r="AD43" i="58" s="1"/>
  <c r="AD130" i="45"/>
  <c r="AD48" i="58" s="1"/>
  <c r="AC121" i="45"/>
  <c r="AC128" i="45" s="1"/>
  <c r="AC123" i="45"/>
  <c r="AC124" i="45"/>
  <c r="BJ107" i="55"/>
  <c r="AC125" i="45"/>
  <c r="AB374" i="46"/>
  <c r="AC126" i="45" s="1"/>
  <c r="BK124" i="45"/>
  <c r="BK125" i="45"/>
  <c r="AD374" i="48"/>
  <c r="BK126" i="45" s="1"/>
  <c r="AF121" i="45"/>
  <c r="AF128" i="45" s="1"/>
  <c r="AF124" i="45"/>
  <c r="AF123" i="45"/>
  <c r="AG120" i="45"/>
  <c r="AG122" i="45" s="1"/>
  <c r="AC373" i="48"/>
  <c r="BL119" i="45"/>
  <c r="BH126" i="45"/>
  <c r="AD126" i="45"/>
  <c r="BJ120" i="45"/>
  <c r="BJ122" i="45" s="1"/>
  <c r="AC368" i="48"/>
  <c r="AE123" i="45"/>
  <c r="AE124" i="45"/>
  <c r="AE366" i="48"/>
  <c r="BL104" i="55" s="1"/>
  <c r="BL127" i="55" s="1"/>
  <c r="BL150" i="55" s="1"/>
  <c r="AF356" i="48"/>
  <c r="AF364" i="46"/>
  <c r="AG356" i="48"/>
  <c r="AG357" i="48" s="1"/>
  <c r="AG366" i="48" s="1"/>
  <c r="AD374" i="46"/>
  <c r="AE125" i="45"/>
  <c r="AG356" i="46"/>
  <c r="AG349" i="48"/>
  <c r="AG350" i="48" s="1"/>
  <c r="AG352" i="48" s="1"/>
  <c r="AE374" i="46"/>
  <c r="AF125" i="45"/>
  <c r="AG332" i="46"/>
  <c r="AG336" i="46" s="1"/>
  <c r="AG333" i="46"/>
  <c r="AG349" i="46"/>
  <c r="AG350" i="46" s="1"/>
  <c r="AG352" i="46" s="1"/>
  <c r="AE121" i="45"/>
  <c r="AE128" i="45" s="1"/>
  <c r="DZ109" i="55" l="1"/>
  <c r="AD44" i="58"/>
  <c r="DZ108" i="55"/>
  <c r="BH49" i="58"/>
  <c r="BN157" i="55"/>
  <c r="DZ157" i="55" s="1"/>
  <c r="DZ134" i="55"/>
  <c r="BJ130" i="55"/>
  <c r="DV107" i="55"/>
  <c r="BH44" i="58"/>
  <c r="BN156" i="55"/>
  <c r="DZ156" i="55" s="1"/>
  <c r="DZ133" i="55"/>
  <c r="BN155" i="55"/>
  <c r="DZ155" i="55" s="1"/>
  <c r="DZ132" i="55"/>
  <c r="BN154" i="55"/>
  <c r="DZ154" i="55" s="1"/>
  <c r="DZ131" i="55"/>
  <c r="DX104" i="55"/>
  <c r="DX127" i="55" s="1"/>
  <c r="DX150" i="55" s="1"/>
  <c r="BK153" i="55"/>
  <c r="DW153" i="55" s="1"/>
  <c r="DW130" i="55"/>
  <c r="BH54" i="58"/>
  <c r="AD54" i="58"/>
  <c r="AD49" i="58"/>
  <c r="AE131" i="45"/>
  <c r="AE53" i="58" s="1"/>
  <c r="AE129" i="45"/>
  <c r="AE43" i="58" s="1"/>
  <c r="AE130" i="45"/>
  <c r="AE48" i="58" s="1"/>
  <c r="AF131" i="45"/>
  <c r="AF53" i="58" s="1"/>
  <c r="AF129" i="45"/>
  <c r="AF43" i="58" s="1"/>
  <c r="AF130" i="45"/>
  <c r="AF48" i="58" s="1"/>
  <c r="AC131" i="45"/>
  <c r="AC53" i="58" s="1"/>
  <c r="AC130" i="45"/>
  <c r="AC48" i="58" s="1"/>
  <c r="AC129" i="45"/>
  <c r="AC43" i="58" s="1"/>
  <c r="BL107" i="55"/>
  <c r="AG104" i="55"/>
  <c r="AG127" i="55" s="1"/>
  <c r="AG150" i="55" s="1"/>
  <c r="AG107" i="55"/>
  <c r="AG130" i="55" s="1"/>
  <c r="AG153" i="55" s="1"/>
  <c r="AC374" i="48"/>
  <c r="BJ126" i="45" s="1"/>
  <c r="BJ123" i="45"/>
  <c r="BJ125" i="45"/>
  <c r="AF126" i="45"/>
  <c r="AE126" i="45"/>
  <c r="BN120" i="45"/>
  <c r="BN122" i="45" s="1"/>
  <c r="AE368" i="48"/>
  <c r="BJ121" i="45"/>
  <c r="BJ128" i="45" s="1"/>
  <c r="BJ124" i="45"/>
  <c r="AE373" i="48"/>
  <c r="BL120" i="45"/>
  <c r="BK121" i="45"/>
  <c r="BK128" i="45" s="1"/>
  <c r="AF373" i="46"/>
  <c r="AG119" i="45"/>
  <c r="AF368" i="46"/>
  <c r="AG357" i="46"/>
  <c r="AG366" i="46" s="1"/>
  <c r="AG364" i="48"/>
  <c r="DZ104" i="55" s="1"/>
  <c r="DZ127" i="55" s="1"/>
  <c r="DZ150" i="55" s="1"/>
  <c r="AF357" i="48"/>
  <c r="AF366" i="48" s="1"/>
  <c r="AE49" i="58" l="1"/>
  <c r="AC44" i="58"/>
  <c r="AC49" i="58"/>
  <c r="AC54" i="58"/>
  <c r="AE44" i="58"/>
  <c r="BL130" i="55"/>
  <c r="DX107" i="55"/>
  <c r="BJ153" i="55"/>
  <c r="DV153" i="55" s="1"/>
  <c r="DV130" i="55"/>
  <c r="AF44" i="58"/>
  <c r="AE54" i="58"/>
  <c r="AF49" i="58"/>
  <c r="BK131" i="45"/>
  <c r="BK53" i="58" s="1"/>
  <c r="BK129" i="45"/>
  <c r="BK43" i="58" s="1"/>
  <c r="BK130" i="45"/>
  <c r="BK48" i="58" s="1"/>
  <c r="AF54" i="58"/>
  <c r="BJ131" i="45"/>
  <c r="BJ53" i="58" s="1"/>
  <c r="BJ129" i="45"/>
  <c r="BJ43" i="58" s="1"/>
  <c r="BJ130" i="45"/>
  <c r="BJ48" i="58" s="1"/>
  <c r="BN104" i="55"/>
  <c r="BN127" i="55" s="1"/>
  <c r="BN150" i="55" s="1"/>
  <c r="BN107" i="55"/>
  <c r="AH120" i="45"/>
  <c r="AH122" i="45" s="1"/>
  <c r="BN119" i="45"/>
  <c r="BN124" i="45" s="1"/>
  <c r="BM120" i="45"/>
  <c r="BM122" i="45" s="1"/>
  <c r="AG364" i="46"/>
  <c r="BL122" i="45"/>
  <c r="BL121" i="45"/>
  <c r="BL128" i="45" s="1"/>
  <c r="BL123" i="45"/>
  <c r="BL124" i="45"/>
  <c r="AG124" i="45"/>
  <c r="AG123" i="45"/>
  <c r="AE374" i="48"/>
  <c r="BL125" i="45"/>
  <c r="AG368" i="48"/>
  <c r="AG373" i="48"/>
  <c r="AG121" i="45"/>
  <c r="AG128" i="45" s="1"/>
  <c r="AF374" i="46"/>
  <c r="AG125" i="45"/>
  <c r="AF364" i="48"/>
  <c r="DY104" i="55" s="1"/>
  <c r="DY127" i="55" s="1"/>
  <c r="DY150" i="55" s="1"/>
  <c r="BJ54" i="58" l="1"/>
  <c r="BK49" i="58"/>
  <c r="BJ44" i="58"/>
  <c r="BN130" i="55"/>
  <c r="DZ107" i="55"/>
  <c r="BJ49" i="58"/>
  <c r="BL153" i="55"/>
  <c r="DX153" i="55" s="1"/>
  <c r="DX130" i="55"/>
  <c r="BK44" i="58"/>
  <c r="AG131" i="45"/>
  <c r="AG53" i="58" s="1"/>
  <c r="AG130" i="45"/>
  <c r="AG48" i="58" s="1"/>
  <c r="AG129" i="45"/>
  <c r="AG43" i="58" s="1"/>
  <c r="BK54" i="58"/>
  <c r="AG44" i="58"/>
  <c r="BL131" i="45"/>
  <c r="BL53" i="58" s="1"/>
  <c r="BL130" i="45"/>
  <c r="BL48" i="58" s="1"/>
  <c r="BL129" i="45"/>
  <c r="BL43" i="58" s="1"/>
  <c r="BM104" i="55"/>
  <c r="BM127" i="55" s="1"/>
  <c r="BM150" i="55" s="1"/>
  <c r="BM107" i="55"/>
  <c r="AH104" i="55"/>
  <c r="AH127" i="55" s="1"/>
  <c r="AH150" i="55" s="1"/>
  <c r="AH107" i="55"/>
  <c r="AH130" i="55" s="1"/>
  <c r="AH153" i="55" s="1"/>
  <c r="AH119" i="45"/>
  <c r="CF20" i="45" s="1"/>
  <c r="BN123" i="45"/>
  <c r="AG373" i="46"/>
  <c r="AG374" i="46" s="1"/>
  <c r="BL126" i="45"/>
  <c r="AG126" i="45"/>
  <c r="AG368" i="46"/>
  <c r="BM119" i="45"/>
  <c r="BM124" i="45" s="1"/>
  <c r="AG374" i="48"/>
  <c r="BN125" i="45"/>
  <c r="AF368" i="48"/>
  <c r="AF373" i="48"/>
  <c r="BM130" i="55" l="1"/>
  <c r="DY107" i="55"/>
  <c r="BN153" i="55"/>
  <c r="DZ153" i="55" s="1"/>
  <c r="DZ130" i="55"/>
  <c r="AH124" i="45"/>
  <c r="AH123" i="45"/>
  <c r="AH121" i="45"/>
  <c r="AH128" i="45" s="1"/>
  <c r="AH130" i="45" s="1"/>
  <c r="AH48" i="58" s="1"/>
  <c r="P18" i="60" s="1"/>
  <c r="AG54" i="58"/>
  <c r="BL54" i="58"/>
  <c r="BL49" i="58"/>
  <c r="BL44" i="58"/>
  <c r="AG49" i="58"/>
  <c r="AH125" i="45"/>
  <c r="BM123" i="45"/>
  <c r="BM121" i="45"/>
  <c r="BM128" i="45" s="1"/>
  <c r="BN126" i="45"/>
  <c r="AH126" i="45"/>
  <c r="AF374" i="48"/>
  <c r="BM125" i="45"/>
  <c r="BN121" i="45"/>
  <c r="BN128" i="45" s="1"/>
  <c r="AH129" i="45" l="1"/>
  <c r="AH43" i="58" s="1"/>
  <c r="P19" i="60" s="1"/>
  <c r="AH131" i="45"/>
  <c r="AH53" i="58" s="1"/>
  <c r="P17" i="60" s="1"/>
  <c r="BM153" i="55"/>
  <c r="DY153" i="55" s="1"/>
  <c r="DY130" i="55"/>
  <c r="BM131" i="45"/>
  <c r="BM53" i="58" s="1"/>
  <c r="BM130" i="45"/>
  <c r="BM48" i="58" s="1"/>
  <c r="BM129" i="45"/>
  <c r="BM43" i="58" s="1"/>
  <c r="BN131" i="45"/>
  <c r="BN53" i="58" s="1"/>
  <c r="BN129" i="45"/>
  <c r="BN43" i="58" s="1"/>
  <c r="BN130" i="45"/>
  <c r="BN48" i="58" s="1"/>
  <c r="BM126" i="45"/>
  <c r="E3" i="49"/>
  <c r="BM44" i="58" l="1"/>
  <c r="AH49" i="58"/>
  <c r="AH54" i="58"/>
  <c r="AH44" i="58"/>
  <c r="BM49" i="58"/>
  <c r="BM54" i="58"/>
  <c r="K17" i="60"/>
  <c r="E21" i="61" s="1"/>
  <c r="DE20" i="58"/>
  <c r="BN54" i="58"/>
  <c r="DC20" i="58"/>
  <c r="K19" i="60"/>
  <c r="E23" i="61" s="1"/>
  <c r="BN44" i="58"/>
  <c r="K18" i="60"/>
  <c r="E22" i="61" s="1"/>
  <c r="DD20" i="58"/>
  <c r="BN49" i="58"/>
  <c r="F18" i="49"/>
  <c r="C18" i="49"/>
  <c r="C22" i="49" s="1"/>
  <c r="I28" i="49" s="1"/>
  <c r="O10" i="24" l="1"/>
  <c r="I27" i="49"/>
  <c r="I26" i="49"/>
  <c r="O27" i="49"/>
  <c r="O28" i="49"/>
  <c r="O29" i="49"/>
  <c r="F23" i="49"/>
  <c r="G18" i="49" s="1"/>
  <c r="O26" i="49"/>
  <c r="O30" i="49"/>
  <c r="R30" i="49" s="1"/>
  <c r="L28" i="49"/>
  <c r="J4" i="3"/>
  <c r="EC9" i="59" s="1"/>
  <c r="C23" i="49"/>
  <c r="D19" i="49" s="1"/>
  <c r="I29" i="49"/>
  <c r="I30" i="49"/>
  <c r="M58" i="60" l="1"/>
  <c r="N58" i="60" s="1"/>
  <c r="O58" i="60" s="1"/>
  <c r="R29" i="49"/>
  <c r="D30" i="51"/>
  <c r="D10" i="51"/>
  <c r="R28" i="49"/>
  <c r="D20" i="49"/>
  <c r="R27" i="49"/>
  <c r="D26" i="51"/>
  <c r="D18" i="49"/>
  <c r="G19" i="49"/>
  <c r="G21" i="49"/>
  <c r="G22" i="49"/>
  <c r="M60" i="60" s="1"/>
  <c r="N60" i="60" s="1"/>
  <c r="O60" i="60" s="1"/>
  <c r="G20" i="49"/>
  <c r="M59" i="60" s="1"/>
  <c r="N59" i="60" s="1"/>
  <c r="O59" i="60" s="1"/>
  <c r="D22" i="49"/>
  <c r="D21" i="49"/>
  <c r="D18" i="51"/>
  <c r="R26" i="49"/>
  <c r="O31" i="49"/>
  <c r="P30" i="49" s="1"/>
  <c r="O4" i="8"/>
  <c r="EC7" i="59" s="1"/>
  <c r="L26" i="49"/>
  <c r="L29" i="49"/>
  <c r="J4" i="9"/>
  <c r="J5" i="3"/>
  <c r="J7" i="3" s="1"/>
  <c r="EE9" i="59" s="1"/>
  <c r="O4" i="4"/>
  <c r="EC8" i="59" s="1"/>
  <c r="L27" i="49"/>
  <c r="I31" i="49"/>
  <c r="K4" i="26"/>
  <c r="L30" i="49"/>
  <c r="E10" i="51"/>
  <c r="AJ10" i="51"/>
  <c r="D12" i="51"/>
  <c r="D17" i="51" s="1"/>
  <c r="B8" i="61" l="1"/>
  <c r="D10" i="61"/>
  <c r="D11" i="61" s="1"/>
  <c r="E10" i="61"/>
  <c r="EE18" i="59"/>
  <c r="EM18" i="59" s="1"/>
  <c r="EM9" i="59"/>
  <c r="R31" i="49"/>
  <c r="S30" i="49" s="1"/>
  <c r="O61" i="60"/>
  <c r="P26" i="49"/>
  <c r="P28" i="49"/>
  <c r="E14" i="52"/>
  <c r="E17" i="52" s="1"/>
  <c r="E20" i="52" s="1"/>
  <c r="M14" i="52"/>
  <c r="M17" i="52" s="1"/>
  <c r="M20" i="52" s="1"/>
  <c r="U14" i="52"/>
  <c r="U17" i="52" s="1"/>
  <c r="U20" i="52" s="1"/>
  <c r="AC14" i="52"/>
  <c r="AC17" i="52" s="1"/>
  <c r="AC20" i="52" s="1"/>
  <c r="F14" i="52"/>
  <c r="F17" i="52" s="1"/>
  <c r="F20" i="52" s="1"/>
  <c r="N14" i="52"/>
  <c r="N17" i="52" s="1"/>
  <c r="N20" i="52" s="1"/>
  <c r="V14" i="52"/>
  <c r="V17" i="52" s="1"/>
  <c r="V20" i="52" s="1"/>
  <c r="AD14" i="52"/>
  <c r="AD17" i="52" s="1"/>
  <c r="AD20" i="52" s="1"/>
  <c r="G14" i="52"/>
  <c r="G17" i="52" s="1"/>
  <c r="G20" i="52" s="1"/>
  <c r="O14" i="52"/>
  <c r="O17" i="52" s="1"/>
  <c r="O20" i="52" s="1"/>
  <c r="W14" i="52"/>
  <c r="W17" i="52" s="1"/>
  <c r="W20" i="52" s="1"/>
  <c r="AE14" i="52"/>
  <c r="AE17" i="52" s="1"/>
  <c r="AE20" i="52" s="1"/>
  <c r="H14" i="52"/>
  <c r="H17" i="52" s="1"/>
  <c r="H20" i="52" s="1"/>
  <c r="P14" i="52"/>
  <c r="P17" i="52" s="1"/>
  <c r="P20" i="52" s="1"/>
  <c r="X14" i="52"/>
  <c r="X17" i="52" s="1"/>
  <c r="X20" i="52" s="1"/>
  <c r="AF14" i="52"/>
  <c r="AF17" i="52" s="1"/>
  <c r="AF20" i="52" s="1"/>
  <c r="I14" i="52"/>
  <c r="I17" i="52" s="1"/>
  <c r="I20" i="52" s="1"/>
  <c r="Q14" i="52"/>
  <c r="Q17" i="52" s="1"/>
  <c r="Q20" i="52" s="1"/>
  <c r="Y14" i="52"/>
  <c r="Y17" i="52" s="1"/>
  <c r="Y20" i="52" s="1"/>
  <c r="AG14" i="52"/>
  <c r="AG17" i="52" s="1"/>
  <c r="AG20" i="52" s="1"/>
  <c r="C14" i="52"/>
  <c r="C17" i="52" s="1"/>
  <c r="J14" i="52"/>
  <c r="J17" i="52" s="1"/>
  <c r="J20" i="52" s="1"/>
  <c r="R14" i="52"/>
  <c r="R17" i="52" s="1"/>
  <c r="R20" i="52" s="1"/>
  <c r="Z14" i="52"/>
  <c r="Z17" i="52" s="1"/>
  <c r="Z20" i="52" s="1"/>
  <c r="K14" i="52"/>
  <c r="K17" i="52" s="1"/>
  <c r="K20" i="52" s="1"/>
  <c r="S14" i="52"/>
  <c r="S17" i="52" s="1"/>
  <c r="S20" i="52" s="1"/>
  <c r="AA14" i="52"/>
  <c r="AA17" i="52" s="1"/>
  <c r="AA20" i="52" s="1"/>
  <c r="D14" i="52"/>
  <c r="D17" i="52" s="1"/>
  <c r="D20" i="52" s="1"/>
  <c r="L14" i="52"/>
  <c r="L17" i="52" s="1"/>
  <c r="L20" i="52" s="1"/>
  <c r="T14" i="52"/>
  <c r="T17" i="52" s="1"/>
  <c r="T20" i="52" s="1"/>
  <c r="AB14" i="52"/>
  <c r="AB17" i="52" s="1"/>
  <c r="AB20" i="52" s="1"/>
  <c r="P29" i="49"/>
  <c r="P27" i="49"/>
  <c r="D36" i="51"/>
  <c r="D39" i="51" s="1"/>
  <c r="C40" i="53" s="1"/>
  <c r="S29" i="49"/>
  <c r="D52" i="51"/>
  <c r="C37" i="53"/>
  <c r="J12" i="3"/>
  <c r="J11" i="3"/>
  <c r="J10" i="3"/>
  <c r="F10" i="51"/>
  <c r="AK10" i="51"/>
  <c r="E12" i="51"/>
  <c r="J31" i="49"/>
  <c r="J28" i="49"/>
  <c r="J29" i="49"/>
  <c r="J26" i="49"/>
  <c r="J30" i="49"/>
  <c r="E26" i="51"/>
  <c r="D29" i="51"/>
  <c r="AJ26" i="51"/>
  <c r="AJ29" i="51" s="1"/>
  <c r="E30" i="51"/>
  <c r="AJ30" i="51"/>
  <c r="D34" i="51"/>
  <c r="D31" i="51"/>
  <c r="D16" i="59" s="1"/>
  <c r="D32" i="51"/>
  <c r="D17" i="59" s="1"/>
  <c r="E18" i="51"/>
  <c r="AJ18" i="51"/>
  <c r="AJ25" i="51" s="1"/>
  <c r="D25" i="51"/>
  <c r="L31" i="49"/>
  <c r="K5" i="26"/>
  <c r="K6" i="26" s="1"/>
  <c r="J27" i="49"/>
  <c r="O5" i="8"/>
  <c r="O6" i="8" s="1"/>
  <c r="EE7" i="59" s="1"/>
  <c r="EE16" i="59" s="1"/>
  <c r="AJ12" i="51"/>
  <c r="AJ17" i="51" s="1"/>
  <c r="O6" i="4"/>
  <c r="EE8" i="59" s="1"/>
  <c r="O5" i="4"/>
  <c r="J6" i="9"/>
  <c r="EE10" i="59" s="1"/>
  <c r="EE19" i="59" s="1"/>
  <c r="J5" i="9"/>
  <c r="S27" i="49" l="1"/>
  <c r="S28" i="49"/>
  <c r="S26" i="49"/>
  <c r="EE17" i="59"/>
  <c r="EL17" i="59" s="1"/>
  <c r="EL8" i="59"/>
  <c r="D45" i="59"/>
  <c r="D88" i="59"/>
  <c r="D115" i="59"/>
  <c r="D71" i="59"/>
  <c r="D44" i="59"/>
  <c r="D87" i="59"/>
  <c r="D114" i="59"/>
  <c r="D70" i="59"/>
  <c r="D44" i="51"/>
  <c r="D18" i="59"/>
  <c r="S36" i="52"/>
  <c r="S21" i="52"/>
  <c r="Q36" i="52"/>
  <c r="Q21" i="52"/>
  <c r="O21" i="52"/>
  <c r="M21" i="52"/>
  <c r="AA36" i="52"/>
  <c r="AA21" i="52"/>
  <c r="K36" i="52"/>
  <c r="K21" i="52"/>
  <c r="I36" i="52"/>
  <c r="I21" i="52"/>
  <c r="G36" i="52"/>
  <c r="G21" i="52"/>
  <c r="E36" i="52"/>
  <c r="E21" i="52"/>
  <c r="AF36" i="52"/>
  <c r="AF21" i="52"/>
  <c r="AD36" i="52"/>
  <c r="AD21" i="52"/>
  <c r="W21" i="52"/>
  <c r="D65" i="51"/>
  <c r="AB36" i="52"/>
  <c r="AB21" i="52"/>
  <c r="R36" i="52"/>
  <c r="R21" i="52"/>
  <c r="X36" i="52"/>
  <c r="X21" i="52"/>
  <c r="V36" i="52"/>
  <c r="V21" i="52"/>
  <c r="U36" i="52"/>
  <c r="U21" i="52"/>
  <c r="T36" i="52"/>
  <c r="T21" i="52"/>
  <c r="J36" i="52"/>
  <c r="J21" i="52"/>
  <c r="P36" i="52"/>
  <c r="P21" i="52"/>
  <c r="N36" i="52"/>
  <c r="N21" i="52"/>
  <c r="P31" i="49"/>
  <c r="Z36" i="52"/>
  <c r="Z21" i="52"/>
  <c r="L36" i="52"/>
  <c r="L21" i="52"/>
  <c r="W25" i="52"/>
  <c r="AG25" i="52" s="1"/>
  <c r="W28" i="52"/>
  <c r="AG28" i="52" s="1"/>
  <c r="W24" i="52"/>
  <c r="AG24" i="52" s="1"/>
  <c r="W27" i="52"/>
  <c r="AG27" i="52" s="1"/>
  <c r="W26" i="52"/>
  <c r="AG26" i="52" s="1"/>
  <c r="C20" i="52"/>
  <c r="H36" i="52"/>
  <c r="H21" i="52"/>
  <c r="F36" i="52"/>
  <c r="F21" i="52"/>
  <c r="Y36" i="52"/>
  <c r="Y21" i="52"/>
  <c r="D36" i="52"/>
  <c r="D21" i="52"/>
  <c r="AG21" i="52"/>
  <c r="AE36" i="52"/>
  <c r="AE21" i="52"/>
  <c r="AC36" i="52"/>
  <c r="AC21" i="52"/>
  <c r="AJ52" i="51"/>
  <c r="C37" i="54"/>
  <c r="D48" i="51"/>
  <c r="C36" i="53"/>
  <c r="C42" i="53" s="1"/>
  <c r="AJ59" i="51"/>
  <c r="C38" i="54"/>
  <c r="C43" i="53"/>
  <c r="D43" i="53"/>
  <c r="E43" i="53"/>
  <c r="F43" i="53"/>
  <c r="G43" i="53"/>
  <c r="H43" i="53"/>
  <c r="I43" i="53"/>
  <c r="J43" i="53"/>
  <c r="K43" i="53"/>
  <c r="L43" i="53"/>
  <c r="M43" i="53"/>
  <c r="N43" i="53"/>
  <c r="O43" i="53"/>
  <c r="AJ48" i="51"/>
  <c r="C36" i="54"/>
  <c r="C42" i="54" s="1"/>
  <c r="D59" i="51"/>
  <c r="C38" i="53"/>
  <c r="G46" i="53"/>
  <c r="G159" i="53" s="1"/>
  <c r="H46" i="53"/>
  <c r="H159" i="53" s="1"/>
  <c r="C46" i="53"/>
  <c r="C159" i="53" s="1"/>
  <c r="D46" i="53"/>
  <c r="D159" i="53" s="1"/>
  <c r="E46" i="53"/>
  <c r="E159" i="53" s="1"/>
  <c r="F46" i="53"/>
  <c r="F159" i="53" s="1"/>
  <c r="M30" i="49"/>
  <c r="S31" i="49"/>
  <c r="M26" i="49"/>
  <c r="E36" i="51"/>
  <c r="E37" i="51" s="1"/>
  <c r="E19" i="59" s="1"/>
  <c r="AJ36" i="51"/>
  <c r="AJ39" i="51" s="1"/>
  <c r="M29" i="49"/>
  <c r="D33" i="51"/>
  <c r="D43" i="51" s="1"/>
  <c r="J13" i="3"/>
  <c r="K7" i="26"/>
  <c r="K8" i="26"/>
  <c r="F30" i="51"/>
  <c r="AK30" i="51"/>
  <c r="E34" i="51"/>
  <c r="E18" i="59" s="1"/>
  <c r="E32" i="51"/>
  <c r="E17" i="59" s="1"/>
  <c r="E31" i="51"/>
  <c r="E16" i="59" s="1"/>
  <c r="G10" i="51"/>
  <c r="AL10" i="51"/>
  <c r="F12" i="51"/>
  <c r="J8" i="9"/>
  <c r="J10" i="9"/>
  <c r="J7" i="9"/>
  <c r="E13" i="51"/>
  <c r="E12" i="59" s="1"/>
  <c r="E14" i="51"/>
  <c r="E13" i="59" s="1"/>
  <c r="O10" i="8"/>
  <c r="O9" i="8"/>
  <c r="O7" i="8"/>
  <c r="O8" i="8"/>
  <c r="O8" i="4"/>
  <c r="O7" i="4"/>
  <c r="E23" i="51"/>
  <c r="E11" i="59" s="1"/>
  <c r="E19" i="51"/>
  <c r="E8" i="59" s="1"/>
  <c r="E22" i="51"/>
  <c r="E10" i="59" s="1"/>
  <c r="F18" i="51"/>
  <c r="E20" i="51"/>
  <c r="E9" i="59" s="1"/>
  <c r="AK18" i="51"/>
  <c r="M27" i="49"/>
  <c r="M31" i="49"/>
  <c r="M28" i="49"/>
  <c r="D35" i="51"/>
  <c r="AJ32" i="51"/>
  <c r="AJ17" i="59" s="1"/>
  <c r="AJ31" i="51"/>
  <c r="AJ16" i="59" s="1"/>
  <c r="AJ34" i="51"/>
  <c r="F26" i="51"/>
  <c r="E28" i="51"/>
  <c r="E15" i="59" s="1"/>
  <c r="E27" i="51"/>
  <c r="E14" i="59" s="1"/>
  <c r="AK26" i="51"/>
  <c r="AK12" i="51"/>
  <c r="D46" i="51" l="1"/>
  <c r="E83" i="59"/>
  <c r="E110" i="59"/>
  <c r="E40" i="59"/>
  <c r="E66" i="59"/>
  <c r="E88" i="59"/>
  <c r="E115" i="59"/>
  <c r="E45" i="59"/>
  <c r="E71" i="59"/>
  <c r="E89" i="59"/>
  <c r="E116" i="59"/>
  <c r="E46" i="59"/>
  <c r="E72" i="59"/>
  <c r="E113" i="59"/>
  <c r="E86" i="59"/>
  <c r="E69" i="59"/>
  <c r="E43" i="59"/>
  <c r="E90" i="59"/>
  <c r="E73" i="59"/>
  <c r="E47" i="59"/>
  <c r="E117" i="59"/>
  <c r="E112" i="59"/>
  <c r="E42" i="59"/>
  <c r="E85" i="59"/>
  <c r="E68" i="59"/>
  <c r="D46" i="59"/>
  <c r="D72" i="59"/>
  <c r="D89" i="59"/>
  <c r="D116" i="59"/>
  <c r="AJ44" i="51"/>
  <c r="AJ18" i="59"/>
  <c r="AJ87" i="59"/>
  <c r="AJ114" i="59"/>
  <c r="AJ44" i="59"/>
  <c r="AJ70" i="59"/>
  <c r="D75" i="59"/>
  <c r="AJ88" i="59"/>
  <c r="AJ45" i="59"/>
  <c r="AJ115" i="59"/>
  <c r="AJ71" i="59"/>
  <c r="E84" i="59"/>
  <c r="E111" i="59"/>
  <c r="E41" i="59"/>
  <c r="E67" i="59"/>
  <c r="E87" i="59"/>
  <c r="E114" i="59"/>
  <c r="E44" i="59"/>
  <c r="E70" i="59"/>
  <c r="AI20" i="52"/>
  <c r="C35" i="52"/>
  <c r="C36" i="52" s="1"/>
  <c r="E80" i="59"/>
  <c r="E107" i="59"/>
  <c r="E37" i="59"/>
  <c r="E63" i="59"/>
  <c r="E81" i="59"/>
  <c r="E108" i="59"/>
  <c r="E38" i="59"/>
  <c r="E64" i="59"/>
  <c r="E79" i="59"/>
  <c r="E36" i="59"/>
  <c r="E106" i="59"/>
  <c r="E62" i="59"/>
  <c r="E82" i="59"/>
  <c r="E109" i="59"/>
  <c r="E39" i="59"/>
  <c r="E65" i="59"/>
  <c r="M32" i="52"/>
  <c r="AG35" i="52" s="1"/>
  <c r="AG36" i="52" s="1"/>
  <c r="C21" i="52"/>
  <c r="K107" i="53"/>
  <c r="K111" i="53"/>
  <c r="K109" i="53"/>
  <c r="K113" i="53"/>
  <c r="C107" i="53"/>
  <c r="C108" i="53" s="1"/>
  <c r="D53" i="51" s="1"/>
  <c r="C109" i="53"/>
  <c r="C110" i="53" s="1"/>
  <c r="D62" i="51" s="1"/>
  <c r="AJ62" i="51" s="1"/>
  <c r="C113" i="53"/>
  <c r="C114" i="53" s="1"/>
  <c r="C111" i="53"/>
  <c r="C112" i="53" s="1"/>
  <c r="J107" i="53"/>
  <c r="J109" i="53"/>
  <c r="J111" i="53"/>
  <c r="J113" i="53"/>
  <c r="C78" i="54"/>
  <c r="C79" i="54" s="1"/>
  <c r="C72" i="54"/>
  <c r="C73" i="54" s="1"/>
  <c r="C80" i="54"/>
  <c r="C81" i="54" s="1"/>
  <c r="C74" i="54"/>
  <c r="C75" i="54" s="1"/>
  <c r="I107" i="53"/>
  <c r="I113" i="53"/>
  <c r="I109" i="53"/>
  <c r="I111" i="53"/>
  <c r="H107" i="53"/>
  <c r="H108" i="53" s="1"/>
  <c r="I53" i="51" s="1"/>
  <c r="AO53" i="51" s="1"/>
  <c r="H111" i="53"/>
  <c r="H112" i="53" s="1"/>
  <c r="H113" i="53"/>
  <c r="H114" i="53" s="1"/>
  <c r="H109" i="53"/>
  <c r="H110" i="53" s="1"/>
  <c r="I62" i="51" s="1"/>
  <c r="AO62" i="51" s="1"/>
  <c r="C74" i="53"/>
  <c r="C75" i="53" s="1"/>
  <c r="D57" i="51" s="1"/>
  <c r="AJ57" i="51" s="1"/>
  <c r="C72" i="53"/>
  <c r="C73" i="53" s="1"/>
  <c r="D49" i="51" s="1"/>
  <c r="AJ49" i="51" s="1"/>
  <c r="C78" i="53"/>
  <c r="C80" i="53"/>
  <c r="C81" i="53" s="1"/>
  <c r="D61" i="51" s="1"/>
  <c r="AJ61" i="51" s="1"/>
  <c r="AJ65" i="51"/>
  <c r="C40" i="54"/>
  <c r="O107" i="53"/>
  <c r="O109" i="53"/>
  <c r="O110" i="53" s="1"/>
  <c r="P62" i="51" s="1"/>
  <c r="AV62" i="51" s="1"/>
  <c r="O113" i="53"/>
  <c r="O114" i="53" s="1"/>
  <c r="O111" i="53"/>
  <c r="G107" i="53"/>
  <c r="G109" i="53"/>
  <c r="G111" i="53"/>
  <c r="G113" i="53"/>
  <c r="G114" i="53" s="1"/>
  <c r="N107" i="53"/>
  <c r="N113" i="53"/>
  <c r="N114" i="53" s="1"/>
  <c r="N109" i="53"/>
  <c r="N111" i="53"/>
  <c r="F107" i="53"/>
  <c r="F113" i="53"/>
  <c r="F114" i="53" s="1"/>
  <c r="F111" i="53"/>
  <c r="F109" i="53"/>
  <c r="F110" i="53" s="1"/>
  <c r="G62" i="51" s="1"/>
  <c r="AM62" i="51" s="1"/>
  <c r="M107" i="53"/>
  <c r="M113" i="53"/>
  <c r="M114" i="53" s="1"/>
  <c r="M109" i="53"/>
  <c r="M111" i="53"/>
  <c r="E107" i="53"/>
  <c r="E113" i="53"/>
  <c r="E114" i="53" s="1"/>
  <c r="E109" i="53"/>
  <c r="E111" i="53"/>
  <c r="E112" i="53" s="1"/>
  <c r="C43" i="54"/>
  <c r="D43" i="54"/>
  <c r="E43" i="54"/>
  <c r="F43" i="54"/>
  <c r="G43" i="54"/>
  <c r="H43" i="54"/>
  <c r="I43" i="54"/>
  <c r="J43" i="54"/>
  <c r="K43" i="54"/>
  <c r="L43" i="54"/>
  <c r="M43" i="54"/>
  <c r="N43" i="54"/>
  <c r="O43" i="54"/>
  <c r="L107" i="53"/>
  <c r="L111" i="53"/>
  <c r="L109" i="53"/>
  <c r="L110" i="53" s="1"/>
  <c r="M62" i="51" s="1"/>
  <c r="AS62" i="51" s="1"/>
  <c r="L113" i="53"/>
  <c r="L114" i="53" s="1"/>
  <c r="D107" i="53"/>
  <c r="D113" i="53"/>
  <c r="D114" i="53" s="1"/>
  <c r="D111" i="53"/>
  <c r="D109" i="53"/>
  <c r="F160" i="53"/>
  <c r="G66" i="51" s="1"/>
  <c r="AM66" i="51" s="1"/>
  <c r="E160" i="53"/>
  <c r="F66" i="51" s="1"/>
  <c r="AL66" i="51" s="1"/>
  <c r="D55" i="51"/>
  <c r="C39" i="53"/>
  <c r="D160" i="53"/>
  <c r="E66" i="51" s="1"/>
  <c r="AK66" i="51" s="1"/>
  <c r="C160" i="53"/>
  <c r="D66" i="51" s="1"/>
  <c r="H160" i="53"/>
  <c r="I66" i="51" s="1"/>
  <c r="AO66" i="51" s="1"/>
  <c r="G160" i="53"/>
  <c r="H66" i="51" s="1"/>
  <c r="AN66" i="51" s="1"/>
  <c r="E38" i="51"/>
  <c r="E29" i="51"/>
  <c r="O9" i="4"/>
  <c r="K9" i="26"/>
  <c r="E33" i="51"/>
  <c r="E35" i="51" s="1"/>
  <c r="J9" i="9"/>
  <c r="E24" i="51"/>
  <c r="O11" i="8"/>
  <c r="F36" i="51"/>
  <c r="F38" i="51" s="1"/>
  <c r="F20" i="59" s="1"/>
  <c r="AL12" i="51"/>
  <c r="AK28" i="51"/>
  <c r="AK15" i="59" s="1"/>
  <c r="AK27" i="51"/>
  <c r="AK14" i="59" s="1"/>
  <c r="AK36" i="51"/>
  <c r="AK19" i="51"/>
  <c r="AK8" i="59" s="1"/>
  <c r="AK23" i="51"/>
  <c r="AK11" i="59" s="1"/>
  <c r="AK20" i="51"/>
  <c r="AK9" i="59" s="1"/>
  <c r="AK22" i="51"/>
  <c r="AK10" i="59" s="1"/>
  <c r="E21" i="51"/>
  <c r="H10" i="51"/>
  <c r="AM10" i="51"/>
  <c r="G12" i="51"/>
  <c r="AK32" i="51"/>
  <c r="AK17" i="59" s="1"/>
  <c r="AK31" i="51"/>
  <c r="AK16" i="59" s="1"/>
  <c r="AK34" i="51"/>
  <c r="AK18" i="59" s="1"/>
  <c r="AJ33" i="51"/>
  <c r="G30" i="51"/>
  <c r="AL30" i="51"/>
  <c r="F31" i="51"/>
  <c r="F16" i="59" s="1"/>
  <c r="F32" i="51"/>
  <c r="F17" i="59" s="1"/>
  <c r="F34" i="51"/>
  <c r="F18" i="59" s="1"/>
  <c r="AK13" i="51"/>
  <c r="AK12" i="59" s="1"/>
  <c r="AK14" i="51"/>
  <c r="AK13" i="59" s="1"/>
  <c r="F27" i="51"/>
  <c r="F14" i="59" s="1"/>
  <c r="G26" i="51"/>
  <c r="F28" i="51"/>
  <c r="F15" i="59" s="1"/>
  <c r="AL26" i="51"/>
  <c r="F20" i="51"/>
  <c r="F9" i="59" s="1"/>
  <c r="F19" i="51"/>
  <c r="F8" i="59" s="1"/>
  <c r="F22" i="51"/>
  <c r="F10" i="59" s="1"/>
  <c r="G18" i="51"/>
  <c r="F23" i="51"/>
  <c r="F11" i="59" s="1"/>
  <c r="AL18" i="51"/>
  <c r="E15" i="51"/>
  <c r="F14" i="51"/>
  <c r="F13" i="59" s="1"/>
  <c r="F13" i="51"/>
  <c r="F12" i="59" s="1"/>
  <c r="F86" i="59" l="1"/>
  <c r="F113" i="59"/>
  <c r="F43" i="59"/>
  <c r="F69" i="59"/>
  <c r="F85" i="59"/>
  <c r="F112" i="59"/>
  <c r="F42" i="59"/>
  <c r="F68" i="59"/>
  <c r="F91" i="59"/>
  <c r="F118" i="59"/>
  <c r="F48" i="59"/>
  <c r="F74" i="59"/>
  <c r="E39" i="51"/>
  <c r="E20" i="59"/>
  <c r="AK67" i="59"/>
  <c r="AK84" i="59"/>
  <c r="AK111" i="59"/>
  <c r="AK41" i="59"/>
  <c r="AK46" i="59"/>
  <c r="AK89" i="59"/>
  <c r="AK116" i="59"/>
  <c r="AK72" i="59"/>
  <c r="AJ89" i="59"/>
  <c r="AJ116" i="59"/>
  <c r="AJ46" i="59"/>
  <c r="AJ72" i="59"/>
  <c r="AK83" i="59"/>
  <c r="AK110" i="59"/>
  <c r="AK40" i="59"/>
  <c r="AK66" i="59"/>
  <c r="AK44" i="59"/>
  <c r="AK87" i="59"/>
  <c r="AK114" i="59"/>
  <c r="AK70" i="59"/>
  <c r="F89" i="59"/>
  <c r="F116" i="59"/>
  <c r="F46" i="59"/>
  <c r="F72" i="59"/>
  <c r="AK88" i="59"/>
  <c r="AK115" i="59"/>
  <c r="AK45" i="59"/>
  <c r="AK71" i="59"/>
  <c r="F45" i="59"/>
  <c r="F88" i="59"/>
  <c r="F115" i="59"/>
  <c r="F71" i="59"/>
  <c r="F83" i="59"/>
  <c r="F110" i="59"/>
  <c r="F40" i="59"/>
  <c r="F66" i="59"/>
  <c r="F87" i="59"/>
  <c r="F114" i="59"/>
  <c r="F44" i="59"/>
  <c r="F70" i="59"/>
  <c r="AK112" i="59"/>
  <c r="AK85" i="59"/>
  <c r="AK42" i="59"/>
  <c r="AK68" i="59"/>
  <c r="AJ75" i="59"/>
  <c r="F84" i="59"/>
  <c r="F111" i="59"/>
  <c r="F41" i="59"/>
  <c r="F67" i="59"/>
  <c r="AK113" i="59"/>
  <c r="AK43" i="59"/>
  <c r="AK86" i="59"/>
  <c r="AK69" i="59"/>
  <c r="EH47" i="59"/>
  <c r="EH50" i="59" s="1"/>
  <c r="F79" i="59"/>
  <c r="F106" i="59"/>
  <c r="F36" i="59"/>
  <c r="F62" i="59"/>
  <c r="AK81" i="59"/>
  <c r="AK108" i="59"/>
  <c r="AK38" i="59"/>
  <c r="AK64" i="59"/>
  <c r="AK80" i="59"/>
  <c r="AK107" i="59"/>
  <c r="AK37" i="59"/>
  <c r="AK63" i="59"/>
  <c r="AK39" i="59"/>
  <c r="AK82" i="59"/>
  <c r="AK109" i="59"/>
  <c r="AK65" i="59"/>
  <c r="AK79" i="59"/>
  <c r="AK106" i="59"/>
  <c r="AK36" i="59"/>
  <c r="AK62" i="59"/>
  <c r="F80" i="59"/>
  <c r="F107" i="59"/>
  <c r="F37" i="59"/>
  <c r="F63" i="59"/>
  <c r="F81" i="59"/>
  <c r="F108" i="59"/>
  <c r="F38" i="59"/>
  <c r="F64" i="59"/>
  <c r="F82" i="59"/>
  <c r="F109" i="59"/>
  <c r="F39" i="59"/>
  <c r="F65" i="59"/>
  <c r="D108" i="53"/>
  <c r="E53" i="51" s="1"/>
  <c r="AK53" i="51" s="1"/>
  <c r="AI35" i="52"/>
  <c r="O35" i="52" s="1"/>
  <c r="O36" i="52" s="1"/>
  <c r="AI36" i="52"/>
  <c r="M35" i="52"/>
  <c r="M36" i="52" s="1"/>
  <c r="M108" i="53"/>
  <c r="N53" i="51" s="1"/>
  <c r="AT53" i="51" s="1"/>
  <c r="N108" i="53"/>
  <c r="O53" i="51" s="1"/>
  <c r="AU53" i="51" s="1"/>
  <c r="O108" i="53"/>
  <c r="P53" i="51" s="1"/>
  <c r="AV53" i="51" s="1"/>
  <c r="F112" i="53"/>
  <c r="G68" i="51" s="1"/>
  <c r="AM68" i="51" s="1"/>
  <c r="L108" i="53"/>
  <c r="M53" i="51" s="1"/>
  <c r="AS53" i="51" s="1"/>
  <c r="G110" i="53"/>
  <c r="H62" i="51" s="1"/>
  <c r="AN62" i="51" s="1"/>
  <c r="I112" i="53"/>
  <c r="J68" i="51" s="1"/>
  <c r="AP68" i="51" s="1"/>
  <c r="J114" i="53"/>
  <c r="G112" i="53"/>
  <c r="D110" i="53"/>
  <c r="E62" i="51" s="1"/>
  <c r="AK62" i="51" s="1"/>
  <c r="E108" i="53"/>
  <c r="F53" i="51" s="1"/>
  <c r="AL53" i="51" s="1"/>
  <c r="F108" i="53"/>
  <c r="G53" i="51" s="1"/>
  <c r="AM53" i="51" s="1"/>
  <c r="G108" i="53"/>
  <c r="H53" i="51" s="1"/>
  <c r="AN53" i="51" s="1"/>
  <c r="I110" i="53"/>
  <c r="J62" i="51" s="1"/>
  <c r="AP62" i="51" s="1"/>
  <c r="E110" i="53"/>
  <c r="F62" i="51" s="1"/>
  <c r="AL62" i="51" s="1"/>
  <c r="D112" i="53"/>
  <c r="E68" i="51" s="1"/>
  <c r="AK68" i="51" s="1"/>
  <c r="M112" i="53"/>
  <c r="N112" i="53"/>
  <c r="O68" i="51" s="1"/>
  <c r="AU68" i="51" s="1"/>
  <c r="O112" i="53"/>
  <c r="P50" i="51" s="1"/>
  <c r="I114" i="53"/>
  <c r="L112" i="53"/>
  <c r="M68" i="51" s="1"/>
  <c r="AS68" i="51" s="1"/>
  <c r="M110" i="53"/>
  <c r="N62" i="51" s="1"/>
  <c r="AT62" i="51" s="1"/>
  <c r="N110" i="53"/>
  <c r="O62" i="51" s="1"/>
  <c r="AU62" i="51" s="1"/>
  <c r="I108" i="53"/>
  <c r="J53" i="51" s="1"/>
  <c r="AP53" i="51" s="1"/>
  <c r="AJ66" i="51"/>
  <c r="N107" i="54"/>
  <c r="N109" i="54"/>
  <c r="N111" i="54"/>
  <c r="N113" i="54"/>
  <c r="F107" i="54"/>
  <c r="F109" i="54"/>
  <c r="F113" i="54"/>
  <c r="F111" i="54"/>
  <c r="N68" i="51"/>
  <c r="AT68" i="51" s="1"/>
  <c r="N50" i="51"/>
  <c r="D67" i="51"/>
  <c r="AJ67" i="51" s="1"/>
  <c r="C79" i="53"/>
  <c r="D68" i="51"/>
  <c r="AJ68" i="51" s="1"/>
  <c r="D50" i="51"/>
  <c r="D51" i="51" s="1"/>
  <c r="M113" i="54"/>
  <c r="M107" i="54"/>
  <c r="M111" i="54"/>
  <c r="M109" i="54"/>
  <c r="E107" i="54"/>
  <c r="E109" i="54"/>
  <c r="E111" i="54"/>
  <c r="E113" i="54"/>
  <c r="J50" i="51"/>
  <c r="L107" i="54"/>
  <c r="L111" i="54"/>
  <c r="L113" i="54"/>
  <c r="L109" i="54"/>
  <c r="D107" i="54"/>
  <c r="D109" i="54"/>
  <c r="D111" i="54"/>
  <c r="D113" i="54"/>
  <c r="K107" i="54"/>
  <c r="K109" i="54"/>
  <c r="K113" i="54"/>
  <c r="K111" i="54"/>
  <c r="C107" i="54"/>
  <c r="C108" i="54" s="1"/>
  <c r="C113" i="54"/>
  <c r="C114" i="54" s="1"/>
  <c r="C111" i="54"/>
  <c r="C112" i="54" s="1"/>
  <c r="C109" i="54"/>
  <c r="C110" i="54" s="1"/>
  <c r="AJ53" i="51"/>
  <c r="AJ54" i="51" s="1"/>
  <c r="D54" i="51"/>
  <c r="E59" i="51"/>
  <c r="D38" i="53"/>
  <c r="J107" i="54"/>
  <c r="J108" i="54" s="1"/>
  <c r="J109" i="54"/>
  <c r="J113" i="54"/>
  <c r="J114" i="54" s="1"/>
  <c r="J111" i="54"/>
  <c r="F68" i="51"/>
  <c r="AL68" i="51" s="1"/>
  <c r="F50" i="51"/>
  <c r="J112" i="53"/>
  <c r="K114" i="53"/>
  <c r="I107" i="54"/>
  <c r="I113" i="54"/>
  <c r="I114" i="54" s="1"/>
  <c r="I109" i="54"/>
  <c r="I111" i="54"/>
  <c r="C46" i="54"/>
  <c r="C159" i="54" s="1"/>
  <c r="D46" i="54"/>
  <c r="D159" i="54" s="1"/>
  <c r="E46" i="54"/>
  <c r="E159" i="54" s="1"/>
  <c r="F46" i="54"/>
  <c r="F159" i="54" s="1"/>
  <c r="G46" i="54"/>
  <c r="G159" i="54" s="1"/>
  <c r="H46" i="54"/>
  <c r="H159" i="54" s="1"/>
  <c r="I68" i="51"/>
  <c r="AO68" i="51" s="1"/>
  <c r="I50" i="51"/>
  <c r="J110" i="53"/>
  <c r="K62" i="51" s="1"/>
  <c r="AQ62" i="51" s="1"/>
  <c r="K110" i="53"/>
  <c r="L62" i="51" s="1"/>
  <c r="AR62" i="51" s="1"/>
  <c r="H107" i="54"/>
  <c r="H111" i="54"/>
  <c r="H109" i="54"/>
  <c r="H113" i="54"/>
  <c r="H114" i="54" s="1"/>
  <c r="H50" i="51"/>
  <c r="H68" i="51"/>
  <c r="AN68" i="51" s="1"/>
  <c r="J108" i="53"/>
  <c r="K53" i="51" s="1"/>
  <c r="AQ53" i="51" s="1"/>
  <c r="K112" i="53"/>
  <c r="O107" i="54"/>
  <c r="O113" i="54"/>
  <c r="O114" i="54" s="1"/>
  <c r="O111" i="54"/>
  <c r="O109" i="54"/>
  <c r="G107" i="54"/>
  <c r="G108" i="54" s="1"/>
  <c r="G111" i="54"/>
  <c r="G109" i="54"/>
  <c r="G113" i="54"/>
  <c r="K108" i="53"/>
  <c r="L53" i="51" s="1"/>
  <c r="AR53" i="51" s="1"/>
  <c r="E44" i="51"/>
  <c r="E65" i="51"/>
  <c r="D40" i="53"/>
  <c r="I46" i="53" s="1"/>
  <c r="I159" i="53" s="1"/>
  <c r="C45" i="53"/>
  <c r="D45" i="53"/>
  <c r="E45" i="53"/>
  <c r="F45" i="53"/>
  <c r="G45" i="53"/>
  <c r="H45" i="53"/>
  <c r="E55" i="51"/>
  <c r="D39" i="53"/>
  <c r="I45" i="53" s="1"/>
  <c r="E25" i="51"/>
  <c r="F29" i="51"/>
  <c r="F21" i="51"/>
  <c r="F37" i="51"/>
  <c r="AK21" i="51"/>
  <c r="F15" i="51"/>
  <c r="F17" i="51" s="1"/>
  <c r="AK29" i="51"/>
  <c r="AL20" i="51"/>
  <c r="AL9" i="59" s="1"/>
  <c r="AL22" i="51"/>
  <c r="AL10" i="59" s="1"/>
  <c r="AL19" i="51"/>
  <c r="AL8" i="59" s="1"/>
  <c r="AL23" i="51"/>
  <c r="AL11" i="59" s="1"/>
  <c r="G27" i="51"/>
  <c r="G14" i="59" s="1"/>
  <c r="G28" i="51"/>
  <c r="G15" i="59" s="1"/>
  <c r="H26" i="51"/>
  <c r="AM26" i="51"/>
  <c r="G36" i="51"/>
  <c r="AK15" i="51"/>
  <c r="AJ43" i="51"/>
  <c r="AJ46" i="51" s="1"/>
  <c r="AJ35" i="51"/>
  <c r="E17" i="51"/>
  <c r="E43" i="51"/>
  <c r="AL34" i="51"/>
  <c r="AL18" i="59" s="1"/>
  <c r="AL31" i="51"/>
  <c r="AL16" i="59" s="1"/>
  <c r="AL32" i="51"/>
  <c r="AL17" i="59" s="1"/>
  <c r="G14" i="51"/>
  <c r="G13" i="59" s="1"/>
  <c r="G13" i="51"/>
  <c r="G12" i="59" s="1"/>
  <c r="AK24" i="51"/>
  <c r="AK38" i="51"/>
  <c r="AK20" i="59" s="1"/>
  <c r="AK37" i="51"/>
  <c r="AK19" i="59" s="1"/>
  <c r="AL36" i="51"/>
  <c r="F33" i="51"/>
  <c r="F35" i="51" s="1"/>
  <c r="G22" i="51"/>
  <c r="G10" i="59" s="1"/>
  <c r="H18" i="51"/>
  <c r="G23" i="51"/>
  <c r="G11" i="59" s="1"/>
  <c r="G20" i="51"/>
  <c r="G9" i="59" s="1"/>
  <c r="G19" i="51"/>
  <c r="G8" i="59" s="1"/>
  <c r="AM18" i="51"/>
  <c r="F24" i="51"/>
  <c r="F25" i="51" s="1"/>
  <c r="AL28" i="51"/>
  <c r="AL15" i="59" s="1"/>
  <c r="AL27" i="51"/>
  <c r="AL14" i="59" s="1"/>
  <c r="H30" i="51"/>
  <c r="AM30" i="51"/>
  <c r="G34" i="51"/>
  <c r="G18" i="59" s="1"/>
  <c r="G31" i="51"/>
  <c r="G16" i="59" s="1"/>
  <c r="G32" i="51"/>
  <c r="G17" i="59" s="1"/>
  <c r="AK33" i="51"/>
  <c r="AK35" i="51" s="1"/>
  <c r="AM12" i="51"/>
  <c r="AL13" i="51"/>
  <c r="AL12" i="59" s="1"/>
  <c r="AL14" i="51"/>
  <c r="AL13" i="59" s="1"/>
  <c r="I10" i="51"/>
  <c r="AN10" i="51"/>
  <c r="H12" i="51"/>
  <c r="AL84" i="59" l="1"/>
  <c r="AL111" i="59"/>
  <c r="AL41" i="59"/>
  <c r="AL67" i="59"/>
  <c r="G67" i="59"/>
  <c r="G84" i="59"/>
  <c r="G111" i="59"/>
  <c r="G41" i="59"/>
  <c r="AL83" i="59"/>
  <c r="AL110" i="59"/>
  <c r="AL40" i="59"/>
  <c r="AL66" i="59"/>
  <c r="AL88" i="59"/>
  <c r="AL45" i="59"/>
  <c r="AL115" i="59"/>
  <c r="AL71" i="59"/>
  <c r="AL86" i="59"/>
  <c r="AL113" i="59"/>
  <c r="AL43" i="59"/>
  <c r="AL69" i="59"/>
  <c r="AL87" i="59"/>
  <c r="AL114" i="59"/>
  <c r="AL44" i="59"/>
  <c r="AL70" i="59"/>
  <c r="E91" i="59"/>
  <c r="E118" i="59"/>
  <c r="E48" i="59"/>
  <c r="E74" i="59"/>
  <c r="E75" i="59" s="1"/>
  <c r="AL112" i="59"/>
  <c r="AL42" i="59"/>
  <c r="AL68" i="59"/>
  <c r="AL85" i="59"/>
  <c r="AL89" i="59"/>
  <c r="AL46" i="59"/>
  <c r="AL116" i="59"/>
  <c r="AL72" i="59"/>
  <c r="G45" i="59"/>
  <c r="G88" i="59"/>
  <c r="G115" i="59"/>
  <c r="G71" i="59"/>
  <c r="AK90" i="59"/>
  <c r="AK117" i="59"/>
  <c r="AK47" i="59"/>
  <c r="AK73" i="59"/>
  <c r="G113" i="59"/>
  <c r="G86" i="59"/>
  <c r="G43" i="59"/>
  <c r="G69" i="59"/>
  <c r="AK48" i="59"/>
  <c r="AK91" i="59"/>
  <c r="AK118" i="59"/>
  <c r="AK74" i="59"/>
  <c r="G42" i="59"/>
  <c r="G68" i="59"/>
  <c r="G112" i="59"/>
  <c r="G85" i="59"/>
  <c r="F39" i="51"/>
  <c r="F19" i="59"/>
  <c r="G89" i="59"/>
  <c r="G116" i="59"/>
  <c r="G46" i="59"/>
  <c r="G72" i="59"/>
  <c r="G87" i="59"/>
  <c r="G114" i="59"/>
  <c r="G44" i="59"/>
  <c r="G70" i="59"/>
  <c r="G40" i="59"/>
  <c r="G83" i="59"/>
  <c r="G110" i="59"/>
  <c r="G66" i="59"/>
  <c r="I108" i="54"/>
  <c r="O108" i="54"/>
  <c r="H108" i="54"/>
  <c r="G114" i="54"/>
  <c r="O50" i="51"/>
  <c r="AK75" i="59"/>
  <c r="AL79" i="59"/>
  <c r="AL106" i="59"/>
  <c r="AL36" i="59"/>
  <c r="AL62" i="59"/>
  <c r="AL81" i="59"/>
  <c r="AL108" i="59"/>
  <c r="AL38" i="59"/>
  <c r="AL64" i="59"/>
  <c r="G37" i="59"/>
  <c r="G80" i="59"/>
  <c r="G107" i="59"/>
  <c r="G63" i="59"/>
  <c r="AL37" i="59"/>
  <c r="AL80" i="59"/>
  <c r="AL107" i="59"/>
  <c r="AL63" i="59"/>
  <c r="G81" i="59"/>
  <c r="G108" i="59"/>
  <c r="G38" i="59"/>
  <c r="G64" i="59"/>
  <c r="G82" i="59"/>
  <c r="G109" i="59"/>
  <c r="G39" i="59"/>
  <c r="G65" i="59"/>
  <c r="G36" i="59"/>
  <c r="G79" i="59"/>
  <c r="G106" i="59"/>
  <c r="G62" i="59"/>
  <c r="AL39" i="59"/>
  <c r="AL82" i="59"/>
  <c r="AL109" i="59"/>
  <c r="AL65" i="59"/>
  <c r="P68" i="51"/>
  <c r="AV68" i="51" s="1"/>
  <c r="J112" i="54"/>
  <c r="O112" i="54"/>
  <c r="H112" i="54"/>
  <c r="G112" i="54"/>
  <c r="G50" i="51"/>
  <c r="K108" i="54"/>
  <c r="M50" i="51"/>
  <c r="W35" i="52"/>
  <c r="W36" i="52" s="1"/>
  <c r="E46" i="51"/>
  <c r="G110" i="54"/>
  <c r="J110" i="54"/>
  <c r="D108" i="54"/>
  <c r="K112" i="54"/>
  <c r="L110" i="54"/>
  <c r="E114" i="54"/>
  <c r="E50" i="51"/>
  <c r="AK50" i="51" s="1"/>
  <c r="O110" i="54"/>
  <c r="I112" i="54"/>
  <c r="K114" i="54"/>
  <c r="L114" i="54"/>
  <c r="H110" i="54"/>
  <c r="I110" i="54"/>
  <c r="K110" i="54"/>
  <c r="K68" i="51"/>
  <c r="AQ68" i="51" s="1"/>
  <c r="K50" i="51"/>
  <c r="AV50" i="51"/>
  <c r="M114" i="54"/>
  <c r="N108" i="54"/>
  <c r="E52" i="51"/>
  <c r="E54" i="51" s="1"/>
  <c r="D37" i="53"/>
  <c r="P43" i="53" s="1"/>
  <c r="H160" i="54"/>
  <c r="AJ50" i="51"/>
  <c r="F112" i="54"/>
  <c r="AJ55" i="51"/>
  <c r="C39" i="54"/>
  <c r="G160" i="54"/>
  <c r="AL50" i="51"/>
  <c r="E112" i="54"/>
  <c r="F114" i="54"/>
  <c r="F59" i="51"/>
  <c r="E38" i="53"/>
  <c r="L68" i="51"/>
  <c r="AR68" i="51" s="1"/>
  <c r="L50" i="51"/>
  <c r="F160" i="54"/>
  <c r="L112" i="54"/>
  <c r="E110" i="54"/>
  <c r="F110" i="54"/>
  <c r="E48" i="51"/>
  <c r="D36" i="53"/>
  <c r="D42" i="53" s="1"/>
  <c r="D47" i="53" s="1"/>
  <c r="E160" i="54"/>
  <c r="L108" i="54"/>
  <c r="E108" i="54"/>
  <c r="F108" i="54"/>
  <c r="D160" i="54"/>
  <c r="AS50" i="51"/>
  <c r="D114" i="54"/>
  <c r="AP50" i="51"/>
  <c r="M110" i="54"/>
  <c r="AU50" i="51"/>
  <c r="N114" i="54"/>
  <c r="AK59" i="51"/>
  <c r="D38" i="54"/>
  <c r="C160" i="54"/>
  <c r="D112" i="54"/>
  <c r="M112" i="54"/>
  <c r="N112" i="54"/>
  <c r="AK55" i="51"/>
  <c r="D39" i="54"/>
  <c r="I45" i="54" s="1"/>
  <c r="F48" i="51"/>
  <c r="E36" i="53"/>
  <c r="E42" i="53" s="1"/>
  <c r="E47" i="53" s="1"/>
  <c r="F52" i="51"/>
  <c r="F54" i="51" s="1"/>
  <c r="E37" i="53"/>
  <c r="Q43" i="53" s="1"/>
  <c r="AN50" i="51"/>
  <c r="AO50" i="51"/>
  <c r="AM50" i="51"/>
  <c r="D110" i="54"/>
  <c r="M108" i="54"/>
  <c r="AT50" i="51"/>
  <c r="N110" i="54"/>
  <c r="D139" i="53"/>
  <c r="D137" i="53"/>
  <c r="E56" i="51" s="1"/>
  <c r="AK56" i="51" s="1"/>
  <c r="D141" i="53"/>
  <c r="I139" i="53"/>
  <c r="I137" i="53"/>
  <c r="J56" i="51" s="1"/>
  <c r="AP56" i="51" s="1"/>
  <c r="I141" i="53"/>
  <c r="C141" i="53"/>
  <c r="C137" i="53"/>
  <c r="D56" i="51" s="1"/>
  <c r="C139" i="53"/>
  <c r="C47" i="53"/>
  <c r="I160" i="53"/>
  <c r="J66" i="51" s="1"/>
  <c r="AP66" i="51" s="1"/>
  <c r="H137" i="53"/>
  <c r="I56" i="51" s="1"/>
  <c r="AO56" i="51" s="1"/>
  <c r="H141" i="53"/>
  <c r="H139" i="53"/>
  <c r="G137" i="53"/>
  <c r="H56" i="51" s="1"/>
  <c r="AN56" i="51" s="1"/>
  <c r="G139" i="53"/>
  <c r="G141" i="53"/>
  <c r="F137" i="53"/>
  <c r="G56" i="51" s="1"/>
  <c r="AM56" i="51" s="1"/>
  <c r="F139" i="53"/>
  <c r="F141" i="53"/>
  <c r="F65" i="51"/>
  <c r="E40" i="53"/>
  <c r="J46" i="53" s="1"/>
  <c r="J159" i="53" s="1"/>
  <c r="F55" i="51"/>
  <c r="E39" i="53"/>
  <c r="J45" i="53" s="1"/>
  <c r="E141" i="53"/>
  <c r="E139" i="53"/>
  <c r="E137" i="53"/>
  <c r="F56" i="51" s="1"/>
  <c r="AL56" i="51" s="1"/>
  <c r="G29" i="51"/>
  <c r="AK25" i="51"/>
  <c r="AL29" i="51"/>
  <c r="AL33" i="51"/>
  <c r="AL35" i="51" s="1"/>
  <c r="AM36" i="51"/>
  <c r="AM37" i="51" s="1"/>
  <c r="AM19" i="59" s="1"/>
  <c r="AL15" i="51"/>
  <c r="AL17" i="51" s="1"/>
  <c r="F43" i="51"/>
  <c r="AK44" i="51"/>
  <c r="AK39" i="51"/>
  <c r="G15" i="51"/>
  <c r="G17" i="51" s="1"/>
  <c r="I30" i="51"/>
  <c r="AN30" i="51"/>
  <c r="H31" i="51"/>
  <c r="H16" i="59" s="1"/>
  <c r="H32" i="51"/>
  <c r="H17" i="59" s="1"/>
  <c r="H34" i="51"/>
  <c r="H18" i="59" s="1"/>
  <c r="H36" i="51"/>
  <c r="F44" i="51"/>
  <c r="AK43" i="51"/>
  <c r="AK17" i="51"/>
  <c r="H28" i="51"/>
  <c r="H15" i="59" s="1"/>
  <c r="I26" i="51"/>
  <c r="H27" i="51"/>
  <c r="H14" i="59" s="1"/>
  <c r="AN26" i="51"/>
  <c r="G33" i="51"/>
  <c r="G35" i="51" s="1"/>
  <c r="H13" i="51"/>
  <c r="H12" i="59" s="1"/>
  <c r="H14" i="51"/>
  <c r="H13" i="59" s="1"/>
  <c r="AM14" i="51"/>
  <c r="AM13" i="59" s="1"/>
  <c r="AM13" i="51"/>
  <c r="AM12" i="59" s="1"/>
  <c r="AM22" i="51"/>
  <c r="AM10" i="59" s="1"/>
  <c r="AM19" i="51"/>
  <c r="AM8" i="59" s="1"/>
  <c r="AM20" i="51"/>
  <c r="AM9" i="59" s="1"/>
  <c r="AM23" i="51"/>
  <c r="AM11" i="59" s="1"/>
  <c r="I18" i="51"/>
  <c r="H20" i="51"/>
  <c r="H9" i="59" s="1"/>
  <c r="H22" i="51"/>
  <c r="H10" i="59" s="1"/>
  <c r="H19" i="51"/>
  <c r="H8" i="59" s="1"/>
  <c r="H23" i="51"/>
  <c r="H11" i="59" s="1"/>
  <c r="AN18" i="51"/>
  <c r="AL38" i="51"/>
  <c r="AL20" i="59" s="1"/>
  <c r="AL37" i="51"/>
  <c r="AL19" i="59" s="1"/>
  <c r="G37" i="51"/>
  <c r="G19" i="59" s="1"/>
  <c r="G38" i="51"/>
  <c r="G20" i="59" s="1"/>
  <c r="AL24" i="51"/>
  <c r="AN12" i="51"/>
  <c r="AM31" i="51"/>
  <c r="AM16" i="59" s="1"/>
  <c r="AM34" i="51"/>
  <c r="AM18" i="59" s="1"/>
  <c r="AM32" i="51"/>
  <c r="AM17" i="59" s="1"/>
  <c r="G21" i="51"/>
  <c r="G24" i="51"/>
  <c r="AL21" i="51"/>
  <c r="J10" i="51"/>
  <c r="AO10" i="51"/>
  <c r="I12" i="51"/>
  <c r="AM28" i="51"/>
  <c r="AM15" i="59" s="1"/>
  <c r="AM27" i="51"/>
  <c r="AM14" i="59" s="1"/>
  <c r="AL73" i="59" l="1"/>
  <c r="AL90" i="59"/>
  <c r="AL117" i="59"/>
  <c r="AL47" i="59"/>
  <c r="AL91" i="59"/>
  <c r="AL48" i="59"/>
  <c r="AL118" i="59"/>
  <c r="AL74" i="59"/>
  <c r="AL75" i="59" s="1"/>
  <c r="H89" i="59"/>
  <c r="H46" i="59"/>
  <c r="H116" i="59"/>
  <c r="H72" i="59"/>
  <c r="AM88" i="59"/>
  <c r="AM115" i="59"/>
  <c r="AM45" i="59"/>
  <c r="AM71" i="59"/>
  <c r="H85" i="59"/>
  <c r="H112" i="59"/>
  <c r="H42" i="59"/>
  <c r="H68" i="59"/>
  <c r="H88" i="59"/>
  <c r="H45" i="59"/>
  <c r="H115" i="59"/>
  <c r="H71" i="59"/>
  <c r="AM86" i="59"/>
  <c r="AM113" i="59"/>
  <c r="AM43" i="59"/>
  <c r="AM69" i="59"/>
  <c r="H87" i="59"/>
  <c r="H114" i="59"/>
  <c r="H44" i="59"/>
  <c r="H70" i="59"/>
  <c r="AM47" i="59"/>
  <c r="AM117" i="59"/>
  <c r="AM73" i="59"/>
  <c r="AM90" i="59"/>
  <c r="AM89" i="59"/>
  <c r="AM116" i="59"/>
  <c r="AM46" i="59"/>
  <c r="AM72" i="59"/>
  <c r="AM110" i="59"/>
  <c r="AM83" i="59"/>
  <c r="AM40" i="59"/>
  <c r="AM66" i="59"/>
  <c r="H43" i="59"/>
  <c r="H113" i="59"/>
  <c r="H69" i="59"/>
  <c r="H86" i="59"/>
  <c r="AM87" i="59"/>
  <c r="AM44" i="59"/>
  <c r="AM114" i="59"/>
  <c r="AM70" i="59"/>
  <c r="AM41" i="59"/>
  <c r="AM84" i="59"/>
  <c r="AM111" i="59"/>
  <c r="AM67" i="59"/>
  <c r="G48" i="59"/>
  <c r="G91" i="59"/>
  <c r="G118" i="59"/>
  <c r="G74" i="59"/>
  <c r="H84" i="59"/>
  <c r="H111" i="59"/>
  <c r="H41" i="59"/>
  <c r="H67" i="59"/>
  <c r="F90" i="59"/>
  <c r="F47" i="59"/>
  <c r="F117" i="59"/>
  <c r="F73" i="59"/>
  <c r="F75" i="59" s="1"/>
  <c r="AM85" i="59"/>
  <c r="AM68" i="59"/>
  <c r="AM112" i="59"/>
  <c r="AM42" i="59"/>
  <c r="G90" i="59"/>
  <c r="G47" i="59"/>
  <c r="G117" i="59"/>
  <c r="G73" i="59"/>
  <c r="G75" i="59" s="1"/>
  <c r="H40" i="59"/>
  <c r="H66" i="59"/>
  <c r="H83" i="59"/>
  <c r="H110" i="59"/>
  <c r="H80" i="59"/>
  <c r="H107" i="59"/>
  <c r="H37" i="59"/>
  <c r="H63" i="59"/>
  <c r="AM82" i="59"/>
  <c r="AM109" i="59"/>
  <c r="AM39" i="59"/>
  <c r="AM65" i="59"/>
  <c r="D162" i="53"/>
  <c r="AM80" i="59"/>
  <c r="AM107" i="59"/>
  <c r="AM37" i="59"/>
  <c r="AM63" i="59"/>
  <c r="AM79" i="59"/>
  <c r="AM106" i="59"/>
  <c r="AM36" i="59"/>
  <c r="AM62" i="59"/>
  <c r="H82" i="59"/>
  <c r="H109" i="59"/>
  <c r="H39" i="59"/>
  <c r="H65" i="59"/>
  <c r="AM38" i="59"/>
  <c r="AM81" i="59"/>
  <c r="AM108" i="59"/>
  <c r="AM64" i="59"/>
  <c r="H79" i="59"/>
  <c r="H106" i="59"/>
  <c r="H36" i="59"/>
  <c r="H62" i="59"/>
  <c r="H38" i="59"/>
  <c r="H81" i="59"/>
  <c r="H108" i="59"/>
  <c r="H64" i="59"/>
  <c r="E207" i="53"/>
  <c r="E208" i="53" s="1"/>
  <c r="F4" i="55"/>
  <c r="C207" i="53"/>
  <c r="D4" i="55"/>
  <c r="D207" i="53"/>
  <c r="D211" i="53" s="1"/>
  <c r="E4" i="55"/>
  <c r="AL52" i="51"/>
  <c r="AL54" i="51" s="1"/>
  <c r="E37" i="54"/>
  <c r="Q43" i="54" s="1"/>
  <c r="P107" i="53"/>
  <c r="P108" i="53" s="1"/>
  <c r="Q53" i="51" s="1"/>
  <c r="AW53" i="51" s="1"/>
  <c r="P111" i="53"/>
  <c r="P112" i="53" s="1"/>
  <c r="P109" i="53"/>
  <c r="P110" i="53" s="1"/>
  <c r="Q62" i="51" s="1"/>
  <c r="AW62" i="51" s="1"/>
  <c r="P113" i="53"/>
  <c r="P114" i="53" s="1"/>
  <c r="AK52" i="51"/>
  <c r="AK54" i="51" s="1"/>
  <c r="D37" i="54"/>
  <c r="P43" i="54" s="1"/>
  <c r="I139" i="54"/>
  <c r="I141" i="54"/>
  <c r="I137" i="54"/>
  <c r="AL55" i="51"/>
  <c r="E39" i="54"/>
  <c r="J45" i="54" s="1"/>
  <c r="G52" i="51"/>
  <c r="G54" i="51" s="1"/>
  <c r="F37" i="53"/>
  <c r="R43" i="53" s="1"/>
  <c r="AL59" i="51"/>
  <c r="E38" i="54"/>
  <c r="AK65" i="51"/>
  <c r="D40" i="54"/>
  <c r="I46" i="54" s="1"/>
  <c r="I159" i="54" s="1"/>
  <c r="AK48" i="51"/>
  <c r="D36" i="54"/>
  <c r="D42" i="54" s="1"/>
  <c r="D72" i="53"/>
  <c r="D73" i="53" s="1"/>
  <c r="E49" i="51" s="1"/>
  <c r="AK49" i="51" s="1"/>
  <c r="D78" i="53"/>
  <c r="D80" i="53"/>
  <c r="D81" i="53" s="1"/>
  <c r="E61" i="51" s="1"/>
  <c r="D74" i="53"/>
  <c r="D75" i="53" s="1"/>
  <c r="E57" i="51" s="1"/>
  <c r="AR50" i="51"/>
  <c r="AJ51" i="51"/>
  <c r="G59" i="51"/>
  <c r="F38" i="53"/>
  <c r="AJ56" i="51"/>
  <c r="AJ58" i="51" s="1"/>
  <c r="AJ72" i="51" s="1"/>
  <c r="D58" i="51"/>
  <c r="D72" i="51" s="1"/>
  <c r="Q107" i="53"/>
  <c r="Q108" i="53" s="1"/>
  <c r="R53" i="51" s="1"/>
  <c r="AX53" i="51" s="1"/>
  <c r="Q113" i="53"/>
  <c r="Q114" i="53" s="1"/>
  <c r="Q109" i="53"/>
  <c r="Q110" i="53" s="1"/>
  <c r="R62" i="51" s="1"/>
  <c r="AX62" i="51" s="1"/>
  <c r="Q111" i="53"/>
  <c r="Q112" i="53" s="1"/>
  <c r="C45" i="54"/>
  <c r="D45" i="54"/>
  <c r="E45" i="54"/>
  <c r="F45" i="54"/>
  <c r="G45" i="54"/>
  <c r="H45" i="54"/>
  <c r="AQ50" i="51"/>
  <c r="E80" i="53"/>
  <c r="E81" i="53" s="1"/>
  <c r="F61" i="51" s="1"/>
  <c r="E78" i="53"/>
  <c r="E72" i="53"/>
  <c r="E73" i="53" s="1"/>
  <c r="F49" i="51" s="1"/>
  <c r="AL49" i="51" s="1"/>
  <c r="E74" i="53"/>
  <c r="E75" i="53" s="1"/>
  <c r="F57" i="51" s="1"/>
  <c r="AL57" i="51" s="1"/>
  <c r="C162" i="53"/>
  <c r="E162" i="53"/>
  <c r="G55" i="51"/>
  <c r="F39" i="53"/>
  <c r="K45" i="53" s="1"/>
  <c r="J141" i="53"/>
  <c r="J137" i="53"/>
  <c r="K56" i="51" s="1"/>
  <c r="AQ56" i="51" s="1"/>
  <c r="J139" i="53"/>
  <c r="F138" i="53"/>
  <c r="H140" i="53"/>
  <c r="I63" i="51" s="1"/>
  <c r="AO63" i="51" s="1"/>
  <c r="I142" i="53"/>
  <c r="J69" i="51" s="1"/>
  <c r="AP69" i="51" s="1"/>
  <c r="H142" i="53"/>
  <c r="I69" i="51" s="1"/>
  <c r="AO69" i="51" s="1"/>
  <c r="I138" i="53"/>
  <c r="J160" i="53"/>
  <c r="K66" i="51" s="1"/>
  <c r="AQ66" i="51" s="1"/>
  <c r="H138" i="53"/>
  <c r="C208" i="53"/>
  <c r="C211" i="53"/>
  <c r="I140" i="53"/>
  <c r="J63" i="51" s="1"/>
  <c r="AP63" i="51" s="1"/>
  <c r="G142" i="53"/>
  <c r="H69" i="51" s="1"/>
  <c r="AN69" i="51" s="1"/>
  <c r="C140" i="53"/>
  <c r="D63" i="51" s="1"/>
  <c r="E211" i="53"/>
  <c r="G140" i="53"/>
  <c r="H63" i="51" s="1"/>
  <c r="AN63" i="51" s="1"/>
  <c r="C138" i="53"/>
  <c r="E138" i="53"/>
  <c r="G138" i="53"/>
  <c r="C142" i="53"/>
  <c r="D69" i="51" s="1"/>
  <c r="C165" i="53"/>
  <c r="D9" i="55" s="1"/>
  <c r="D22" i="59" s="1"/>
  <c r="D145" i="59" s="1"/>
  <c r="D142" i="53"/>
  <c r="E69" i="51" s="1"/>
  <c r="AK69" i="51" s="1"/>
  <c r="E140" i="53"/>
  <c r="F63" i="51" s="1"/>
  <c r="AL63" i="51" s="1"/>
  <c r="F142" i="53"/>
  <c r="G69" i="51" s="1"/>
  <c r="AM69" i="51" s="1"/>
  <c r="D138" i="53"/>
  <c r="E142" i="53"/>
  <c r="F69" i="51" s="1"/>
  <c r="AL69" i="51" s="1"/>
  <c r="F140" i="53"/>
  <c r="G63" i="51" s="1"/>
  <c r="AM63" i="51" s="1"/>
  <c r="D140" i="53"/>
  <c r="E63" i="51" s="1"/>
  <c r="AK63" i="51" s="1"/>
  <c r="H29" i="51"/>
  <c r="AM38" i="51"/>
  <c r="F46" i="51"/>
  <c r="AK46" i="51"/>
  <c r="AM21" i="51"/>
  <c r="H24" i="51"/>
  <c r="G44" i="51"/>
  <c r="I36" i="51"/>
  <c r="I37" i="51" s="1"/>
  <c r="I19" i="59" s="1"/>
  <c r="AL39" i="51"/>
  <c r="AM29" i="51"/>
  <c r="AL43" i="51"/>
  <c r="G39" i="51"/>
  <c r="AN13" i="51"/>
  <c r="AN12" i="59" s="1"/>
  <c r="AN14" i="51"/>
  <c r="AN13" i="59" s="1"/>
  <c r="H21" i="51"/>
  <c r="I13" i="51"/>
  <c r="I12" i="59" s="1"/>
  <c r="I14" i="51"/>
  <c r="I13" i="59" s="1"/>
  <c r="AM15" i="51"/>
  <c r="H15" i="51"/>
  <c r="AN27" i="51"/>
  <c r="AN14" i="59" s="1"/>
  <c r="AN28" i="51"/>
  <c r="AN15" i="59" s="1"/>
  <c r="H37" i="51"/>
  <c r="H19" i="59" s="1"/>
  <c r="H38" i="51"/>
  <c r="H20" i="59" s="1"/>
  <c r="H33" i="51"/>
  <c r="H35" i="51" s="1"/>
  <c r="AN32" i="51"/>
  <c r="AN17" i="59" s="1"/>
  <c r="AN34" i="51"/>
  <c r="AN18" i="59" s="1"/>
  <c r="AN31" i="51"/>
  <c r="AN16" i="59" s="1"/>
  <c r="AO12" i="51"/>
  <c r="AM33" i="51"/>
  <c r="AM35" i="51" s="1"/>
  <c r="AL25" i="51"/>
  <c r="AL44" i="51"/>
  <c r="AN23" i="51"/>
  <c r="AN11" i="59" s="1"/>
  <c r="AN22" i="51"/>
  <c r="AN10" i="59" s="1"/>
  <c r="AN19" i="51"/>
  <c r="AN8" i="59" s="1"/>
  <c r="AN20" i="51"/>
  <c r="AN9" i="59" s="1"/>
  <c r="G43" i="51"/>
  <c r="K10" i="51"/>
  <c r="AP10" i="51"/>
  <c r="J12" i="51"/>
  <c r="G25" i="51"/>
  <c r="AN36" i="51"/>
  <c r="I20" i="51"/>
  <c r="I9" i="59" s="1"/>
  <c r="I22" i="51"/>
  <c r="I10" i="59" s="1"/>
  <c r="I23" i="51"/>
  <c r="I11" i="59" s="1"/>
  <c r="AO18" i="51"/>
  <c r="J18" i="51"/>
  <c r="I19" i="51"/>
  <c r="I8" i="59" s="1"/>
  <c r="AM24" i="51"/>
  <c r="J26" i="51"/>
  <c r="I28" i="51"/>
  <c r="I15" i="59" s="1"/>
  <c r="I27" i="51"/>
  <c r="I14" i="59" s="1"/>
  <c r="AO26" i="51"/>
  <c r="J30" i="51"/>
  <c r="AO30" i="51"/>
  <c r="I34" i="51"/>
  <c r="I18" i="59" s="1"/>
  <c r="I31" i="51"/>
  <c r="I16" i="59" s="1"/>
  <c r="I32" i="51"/>
  <c r="I17" i="59" s="1"/>
  <c r="I47" i="59" l="1"/>
  <c r="I90" i="59"/>
  <c r="I117" i="59"/>
  <c r="I73" i="59"/>
  <c r="I87" i="59"/>
  <c r="I114" i="59"/>
  <c r="I44" i="59"/>
  <c r="I70" i="59"/>
  <c r="H48" i="59"/>
  <c r="H91" i="59"/>
  <c r="H118" i="59"/>
  <c r="H74" i="59"/>
  <c r="I89" i="59"/>
  <c r="I116" i="59"/>
  <c r="I46" i="59"/>
  <c r="I72" i="59"/>
  <c r="H90" i="59"/>
  <c r="H117" i="59"/>
  <c r="H47" i="59"/>
  <c r="H73" i="59"/>
  <c r="H75" i="59" s="1"/>
  <c r="AN41" i="59"/>
  <c r="AN67" i="59"/>
  <c r="AN84" i="59"/>
  <c r="AN111" i="59"/>
  <c r="I88" i="59"/>
  <c r="I115" i="59"/>
  <c r="I45" i="59"/>
  <c r="I71" i="59"/>
  <c r="I110" i="59"/>
  <c r="I40" i="59"/>
  <c r="I83" i="59"/>
  <c r="I66" i="59"/>
  <c r="AN86" i="59"/>
  <c r="AN113" i="59"/>
  <c r="AN43" i="59"/>
  <c r="AN69" i="59"/>
  <c r="AN83" i="59"/>
  <c r="AN110" i="59"/>
  <c r="AN40" i="59"/>
  <c r="AN66" i="59"/>
  <c r="AN42" i="59"/>
  <c r="AN85" i="59"/>
  <c r="AN112" i="59"/>
  <c r="AN68" i="59"/>
  <c r="I112" i="59"/>
  <c r="I42" i="59"/>
  <c r="I85" i="59"/>
  <c r="I68" i="59"/>
  <c r="AN87" i="59"/>
  <c r="AN114" i="59"/>
  <c r="AN44" i="59"/>
  <c r="AN70" i="59"/>
  <c r="I69" i="59"/>
  <c r="I86" i="59"/>
  <c r="I113" i="59"/>
  <c r="I43" i="59"/>
  <c r="AN89" i="59"/>
  <c r="AN116" i="59"/>
  <c r="AN46" i="59"/>
  <c r="AN72" i="59"/>
  <c r="AM39" i="51"/>
  <c r="AM20" i="59"/>
  <c r="AN45" i="59"/>
  <c r="AN88" i="59"/>
  <c r="AN115" i="59"/>
  <c r="AN71" i="59"/>
  <c r="I111" i="59"/>
  <c r="I41" i="59"/>
  <c r="I67" i="59"/>
  <c r="I84" i="59"/>
  <c r="D208" i="53"/>
  <c r="D49" i="59"/>
  <c r="D92" i="59"/>
  <c r="R5" i="63"/>
  <c r="J5" i="63"/>
  <c r="J7" i="63" s="1"/>
  <c r="AN81" i="59"/>
  <c r="AN108" i="59"/>
  <c r="AN38" i="59"/>
  <c r="AN64" i="59"/>
  <c r="I82" i="59"/>
  <c r="I109" i="59"/>
  <c r="I39" i="59"/>
  <c r="I65" i="59"/>
  <c r="I81" i="59"/>
  <c r="I108" i="59"/>
  <c r="I38" i="59"/>
  <c r="I64" i="59"/>
  <c r="AN80" i="59"/>
  <c r="AN107" i="59"/>
  <c r="AN37" i="59"/>
  <c r="AN63" i="59"/>
  <c r="I37" i="59"/>
  <c r="I80" i="59"/>
  <c r="I107" i="59"/>
  <c r="I63" i="59"/>
  <c r="AN79" i="59"/>
  <c r="AN106" i="59"/>
  <c r="AN36" i="59"/>
  <c r="AN62" i="59"/>
  <c r="AN39" i="59"/>
  <c r="AN82" i="59"/>
  <c r="AN109" i="59"/>
  <c r="AN65" i="59"/>
  <c r="I79" i="59"/>
  <c r="I36" i="59"/>
  <c r="I106" i="59"/>
  <c r="I62" i="59"/>
  <c r="D120" i="59"/>
  <c r="AM25" i="51"/>
  <c r="D165" i="53"/>
  <c r="E9" i="55" s="1"/>
  <c r="E165" i="53"/>
  <c r="F9" i="55" s="1"/>
  <c r="AJ9" i="55"/>
  <c r="E51" i="51"/>
  <c r="AK51" i="51"/>
  <c r="AM65" i="51"/>
  <c r="F40" i="54"/>
  <c r="K46" i="54" s="1"/>
  <c r="K159" i="54" s="1"/>
  <c r="E141" i="54"/>
  <c r="E139" i="54"/>
  <c r="E137" i="54"/>
  <c r="F58" i="51"/>
  <c r="F72" i="51" s="1"/>
  <c r="AL58" i="51"/>
  <c r="AL72" i="51" s="1"/>
  <c r="F67" i="51"/>
  <c r="F71" i="51" s="1"/>
  <c r="E79" i="53"/>
  <c r="D137" i="54"/>
  <c r="D141" i="54"/>
  <c r="D139" i="54"/>
  <c r="AL61" i="51"/>
  <c r="C137" i="54"/>
  <c r="C138" i="54" s="1"/>
  <c r="C141" i="54"/>
  <c r="C139" i="54"/>
  <c r="C140" i="54" s="1"/>
  <c r="C162" i="54"/>
  <c r="C47" i="54"/>
  <c r="D80" i="54"/>
  <c r="D81" i="54" s="1"/>
  <c r="D78" i="54"/>
  <c r="D79" i="54" s="1"/>
  <c r="D47" i="54"/>
  <c r="D74" i="54"/>
  <c r="D75" i="54" s="1"/>
  <c r="D72" i="54"/>
  <c r="D73" i="54" s="1"/>
  <c r="Q68" i="51"/>
  <c r="AW68" i="51" s="1"/>
  <c r="Q50" i="51"/>
  <c r="AM59" i="51"/>
  <c r="F38" i="54"/>
  <c r="AK57" i="51"/>
  <c r="AK58" i="51" s="1"/>
  <c r="AK72" i="51" s="1"/>
  <c r="E58" i="51"/>
  <c r="E72" i="51" s="1"/>
  <c r="R107" i="53"/>
  <c r="R108" i="53" s="1"/>
  <c r="S53" i="51" s="1"/>
  <c r="AY53" i="51" s="1"/>
  <c r="R109" i="53"/>
  <c r="R110" i="53" s="1"/>
  <c r="S62" i="51" s="1"/>
  <c r="AY62" i="51" s="1"/>
  <c r="R113" i="53"/>
  <c r="R114" i="53" s="1"/>
  <c r="R111" i="53"/>
  <c r="R112" i="53" s="1"/>
  <c r="AM48" i="51"/>
  <c r="F36" i="54"/>
  <c r="F42" i="54" s="1"/>
  <c r="G48" i="51"/>
  <c r="F36" i="53"/>
  <c r="F42" i="53" s="1"/>
  <c r="AL65" i="51"/>
  <c r="E40" i="54"/>
  <c r="J46" i="54" s="1"/>
  <c r="J159" i="54" s="1"/>
  <c r="H59" i="51"/>
  <c r="G38" i="53"/>
  <c r="AJ69" i="51"/>
  <c r="AJ70" i="51" s="1"/>
  <c r="D70" i="51"/>
  <c r="AK61" i="51"/>
  <c r="E64" i="51"/>
  <c r="I160" i="54"/>
  <c r="I142" i="54"/>
  <c r="F51" i="51"/>
  <c r="H141" i="54"/>
  <c r="H139" i="54"/>
  <c r="H137" i="54"/>
  <c r="E67" i="51"/>
  <c r="D79" i="53"/>
  <c r="AL48" i="51"/>
  <c r="AL51" i="51" s="1"/>
  <c r="E36" i="54"/>
  <c r="E42" i="54" s="1"/>
  <c r="F64" i="51"/>
  <c r="G139" i="54"/>
  <c r="G141" i="54"/>
  <c r="G137" i="54"/>
  <c r="R68" i="51"/>
  <c r="AX68" i="51" s="1"/>
  <c r="R50" i="51"/>
  <c r="P113" i="54"/>
  <c r="P114" i="54" s="1"/>
  <c r="P109" i="54"/>
  <c r="P110" i="54" s="1"/>
  <c r="P111" i="54"/>
  <c r="P112" i="54" s="1"/>
  <c r="P107" i="54"/>
  <c r="P108" i="54" s="1"/>
  <c r="Q113" i="54"/>
  <c r="Q114" i="54" s="1"/>
  <c r="Q111" i="54"/>
  <c r="Q112" i="54" s="1"/>
  <c r="Q109" i="54"/>
  <c r="Q110" i="54" s="1"/>
  <c r="Q107" i="54"/>
  <c r="Q108" i="54" s="1"/>
  <c r="AM55" i="51"/>
  <c r="F39" i="54"/>
  <c r="K45" i="54" s="1"/>
  <c r="AJ63" i="51"/>
  <c r="D64" i="51"/>
  <c r="D71" i="51"/>
  <c r="F141" i="54"/>
  <c r="F139" i="54"/>
  <c r="F137" i="54"/>
  <c r="F138" i="54" s="1"/>
  <c r="J137" i="54"/>
  <c r="J138" i="54" s="1"/>
  <c r="J141" i="54"/>
  <c r="J142" i="54" s="1"/>
  <c r="J139" i="54"/>
  <c r="I38" i="51"/>
  <c r="C215" i="53"/>
  <c r="C212" i="53"/>
  <c r="C213" i="53"/>
  <c r="C214" i="53"/>
  <c r="D215" i="53"/>
  <c r="D214" i="53"/>
  <c r="D212" i="53"/>
  <c r="D213" i="53"/>
  <c r="J140" i="53"/>
  <c r="K63" i="51" s="1"/>
  <c r="AQ63" i="51" s="1"/>
  <c r="E213" i="53"/>
  <c r="E212" i="53"/>
  <c r="E215" i="53"/>
  <c r="E214" i="53"/>
  <c r="J138" i="53"/>
  <c r="J142" i="53"/>
  <c r="K69" i="51" s="1"/>
  <c r="AQ69" i="51" s="1"/>
  <c r="C232" i="53"/>
  <c r="C233" i="53" s="1"/>
  <c r="C166" i="53"/>
  <c r="C209" i="53"/>
  <c r="K141" i="53"/>
  <c r="K137" i="53"/>
  <c r="L56" i="51" s="1"/>
  <c r="AR56" i="51" s="1"/>
  <c r="K139" i="53"/>
  <c r="H55" i="51"/>
  <c r="G39" i="53"/>
  <c r="L45" i="53" s="1"/>
  <c r="G65" i="51"/>
  <c r="F40" i="53"/>
  <c r="K46" i="53" s="1"/>
  <c r="K159" i="53" s="1"/>
  <c r="H44" i="51"/>
  <c r="H25" i="51"/>
  <c r="G46" i="51"/>
  <c r="AL46" i="51"/>
  <c r="AN29" i="51"/>
  <c r="I15" i="51"/>
  <c r="I17" i="51" s="1"/>
  <c r="I29" i="51"/>
  <c r="I21" i="51"/>
  <c r="AN33" i="51"/>
  <c r="AN35" i="51" s="1"/>
  <c r="AO36" i="51"/>
  <c r="AO37" i="51" s="1"/>
  <c r="AO19" i="59" s="1"/>
  <c r="H39" i="51"/>
  <c r="I24" i="51"/>
  <c r="AN21" i="51"/>
  <c r="AN24" i="51"/>
  <c r="K30" i="51"/>
  <c r="AP30" i="51"/>
  <c r="J34" i="51"/>
  <c r="J18" i="59" s="1"/>
  <c r="J32" i="51"/>
  <c r="J17" i="59" s="1"/>
  <c r="J31" i="51"/>
  <c r="J16" i="59" s="1"/>
  <c r="H43" i="51"/>
  <c r="H17" i="51"/>
  <c r="I33" i="51"/>
  <c r="I35" i="51" s="1"/>
  <c r="AM43" i="51"/>
  <c r="AM17" i="51"/>
  <c r="AM44" i="51"/>
  <c r="AN15" i="51"/>
  <c r="J36" i="51"/>
  <c r="K26" i="51"/>
  <c r="J28" i="51"/>
  <c r="J15" i="59" s="1"/>
  <c r="J27" i="51"/>
  <c r="J14" i="59" s="1"/>
  <c r="AP26" i="51"/>
  <c r="J20" i="51"/>
  <c r="J9" i="59" s="1"/>
  <c r="K18" i="51"/>
  <c r="J19" i="51"/>
  <c r="J8" i="59" s="1"/>
  <c r="AP18" i="51"/>
  <c r="J23" i="51"/>
  <c r="J11" i="59" s="1"/>
  <c r="J22" i="51"/>
  <c r="J10" i="59" s="1"/>
  <c r="J13" i="51"/>
  <c r="J12" i="59" s="1"/>
  <c r="J14" i="51"/>
  <c r="J13" i="59" s="1"/>
  <c r="AO28" i="51"/>
  <c r="AO15" i="59" s="1"/>
  <c r="AO27" i="51"/>
  <c r="AO14" i="59" s="1"/>
  <c r="AO19" i="51"/>
  <c r="AO8" i="59" s="1"/>
  <c r="AO22" i="51"/>
  <c r="AO10" i="59" s="1"/>
  <c r="AO23" i="51"/>
  <c r="AO11" i="59" s="1"/>
  <c r="AO20" i="51"/>
  <c r="AO9" i="59" s="1"/>
  <c r="AN38" i="51"/>
  <c r="AN20" i="59" s="1"/>
  <c r="AN37" i="51"/>
  <c r="AN19" i="59" s="1"/>
  <c r="AP12" i="51"/>
  <c r="AO13" i="51"/>
  <c r="AO12" i="59" s="1"/>
  <c r="AO14" i="51"/>
  <c r="AO13" i="59" s="1"/>
  <c r="AO31" i="51"/>
  <c r="AO16" i="59" s="1"/>
  <c r="AO32" i="51"/>
  <c r="AO17" i="59" s="1"/>
  <c r="AO34" i="51"/>
  <c r="AO18" i="59" s="1"/>
  <c r="L10" i="51"/>
  <c r="AQ10" i="51"/>
  <c r="K12" i="51"/>
  <c r="AO84" i="59" l="1"/>
  <c r="AO41" i="59"/>
  <c r="AO67" i="59"/>
  <c r="AO111" i="59"/>
  <c r="J88" i="59"/>
  <c r="J115" i="59"/>
  <c r="J45" i="59"/>
  <c r="J71" i="59"/>
  <c r="AO47" i="59"/>
  <c r="AO90" i="59"/>
  <c r="AO117" i="59"/>
  <c r="AO73" i="59"/>
  <c r="AN74" i="59"/>
  <c r="AN91" i="59"/>
  <c r="AN118" i="59"/>
  <c r="AN48" i="59"/>
  <c r="AO40" i="59"/>
  <c r="AO66" i="59"/>
  <c r="AO83" i="59"/>
  <c r="AO110" i="59"/>
  <c r="AO42" i="59"/>
  <c r="AO85" i="59"/>
  <c r="AO112" i="59"/>
  <c r="AO68" i="59"/>
  <c r="J89" i="59"/>
  <c r="J46" i="59"/>
  <c r="J116" i="59"/>
  <c r="J72" i="59"/>
  <c r="AO86" i="59"/>
  <c r="AO43" i="59"/>
  <c r="AO113" i="59"/>
  <c r="AO69" i="59"/>
  <c r="AM48" i="59"/>
  <c r="AM74" i="59"/>
  <c r="AM75" i="59" s="1"/>
  <c r="AM91" i="59"/>
  <c r="AM118" i="59"/>
  <c r="AN47" i="59"/>
  <c r="AN90" i="59"/>
  <c r="AN117" i="59"/>
  <c r="AN73" i="59"/>
  <c r="AN75" i="59" s="1"/>
  <c r="J84" i="59"/>
  <c r="J111" i="59"/>
  <c r="J41" i="59"/>
  <c r="J67" i="59"/>
  <c r="I39" i="51"/>
  <c r="I20" i="59"/>
  <c r="J83" i="59"/>
  <c r="J110" i="59"/>
  <c r="J40" i="59"/>
  <c r="J66" i="59"/>
  <c r="J85" i="59"/>
  <c r="J112" i="59"/>
  <c r="J68" i="59"/>
  <c r="J42" i="59"/>
  <c r="AO89" i="59"/>
  <c r="AO116" i="59"/>
  <c r="AO46" i="59"/>
  <c r="AO72" i="59"/>
  <c r="J43" i="59"/>
  <c r="J69" i="59"/>
  <c r="J86" i="59"/>
  <c r="J113" i="59"/>
  <c r="AO88" i="59"/>
  <c r="AO45" i="59"/>
  <c r="AO115" i="59"/>
  <c r="AO71" i="59"/>
  <c r="AO87" i="59"/>
  <c r="AO44" i="59"/>
  <c r="AO114" i="59"/>
  <c r="AO70" i="59"/>
  <c r="J44" i="59"/>
  <c r="J87" i="59"/>
  <c r="J114" i="59"/>
  <c r="J70" i="59"/>
  <c r="D73" i="51"/>
  <c r="K6" i="63"/>
  <c r="N6" i="63"/>
  <c r="K7" i="63"/>
  <c r="J21" i="63"/>
  <c r="K21" i="63" s="1"/>
  <c r="AO79" i="59"/>
  <c r="AO36" i="59"/>
  <c r="AO106" i="59"/>
  <c r="AO62" i="59"/>
  <c r="AO81" i="59"/>
  <c r="AO108" i="59"/>
  <c r="AO38" i="59"/>
  <c r="AO64" i="59"/>
  <c r="J79" i="59"/>
  <c r="J106" i="59"/>
  <c r="J36" i="59"/>
  <c r="J62" i="59"/>
  <c r="J37" i="59"/>
  <c r="J80" i="59"/>
  <c r="J107" i="59"/>
  <c r="J63" i="59"/>
  <c r="AO82" i="59"/>
  <c r="AO109" i="59"/>
  <c r="AO39" i="59"/>
  <c r="AO65" i="59"/>
  <c r="J82" i="59"/>
  <c r="J39" i="59"/>
  <c r="J109" i="59"/>
  <c r="J65" i="59"/>
  <c r="AO80" i="59"/>
  <c r="AO107" i="59"/>
  <c r="AO37" i="59"/>
  <c r="AO63" i="59"/>
  <c r="J38" i="59"/>
  <c r="J81" i="59"/>
  <c r="J108" i="59"/>
  <c r="J64" i="59"/>
  <c r="AJ22" i="59"/>
  <c r="CV9" i="55"/>
  <c r="CV22" i="59" s="1"/>
  <c r="CV145" i="59" s="1"/>
  <c r="D232" i="53"/>
  <c r="D233" i="53" s="1"/>
  <c r="D209" i="53"/>
  <c r="E172" i="55" s="1"/>
  <c r="E209" i="53"/>
  <c r="E210" i="53" s="1"/>
  <c r="E232" i="53"/>
  <c r="E233" i="53" s="1"/>
  <c r="G138" i="54"/>
  <c r="H138" i="54"/>
  <c r="AL9" i="55"/>
  <c r="F22" i="59"/>
  <c r="F145" i="59" s="1"/>
  <c r="AK9" i="55"/>
  <c r="E22" i="59"/>
  <c r="E145" i="59" s="1"/>
  <c r="F73" i="51"/>
  <c r="C210" i="53"/>
  <c r="D172" i="55"/>
  <c r="I140" i="54"/>
  <c r="H46" i="51"/>
  <c r="D210" i="53"/>
  <c r="D228" i="53" s="1"/>
  <c r="E178" i="55" s="1"/>
  <c r="G140" i="54"/>
  <c r="H140" i="54"/>
  <c r="F140" i="54"/>
  <c r="J140" i="54"/>
  <c r="D138" i="54"/>
  <c r="E138" i="54"/>
  <c r="D140" i="54"/>
  <c r="I138" i="54"/>
  <c r="C207" i="54"/>
  <c r="C211" i="54" s="1"/>
  <c r="AJ4" i="55"/>
  <c r="D207" i="54"/>
  <c r="D211" i="54" s="1"/>
  <c r="AK4" i="55"/>
  <c r="D162" i="54"/>
  <c r="AM52" i="51"/>
  <c r="AM54" i="51" s="1"/>
  <c r="F37" i="54"/>
  <c r="R43" i="54" s="1"/>
  <c r="AN55" i="51"/>
  <c r="G39" i="54"/>
  <c r="L45" i="54" s="1"/>
  <c r="G142" i="54"/>
  <c r="S68" i="51"/>
  <c r="AY68" i="51" s="1"/>
  <c r="S50" i="51"/>
  <c r="AW50" i="51"/>
  <c r="AJ64" i="51"/>
  <c r="AJ71" i="51"/>
  <c r="AJ73" i="51" s="1"/>
  <c r="AK67" i="51"/>
  <c r="AK70" i="51" s="1"/>
  <c r="E70" i="51"/>
  <c r="E71" i="51"/>
  <c r="E73" i="51" s="1"/>
  <c r="J160" i="54"/>
  <c r="I59" i="51"/>
  <c r="H38" i="53"/>
  <c r="K141" i="54"/>
  <c r="K142" i="54" s="1"/>
  <c r="K139" i="54"/>
  <c r="K140" i="54" s="1"/>
  <c r="K137" i="54"/>
  <c r="K138" i="54" s="1"/>
  <c r="AL64" i="51"/>
  <c r="H52" i="51"/>
  <c r="H54" i="51" s="1"/>
  <c r="G37" i="53"/>
  <c r="S43" i="53" s="1"/>
  <c r="I52" i="51"/>
  <c r="I54" i="51" s="1"/>
  <c r="H37" i="53"/>
  <c r="T43" i="53" s="1"/>
  <c r="AK64" i="51"/>
  <c r="F78" i="53"/>
  <c r="F72" i="53"/>
  <c r="F73" i="53" s="1"/>
  <c r="G49" i="51" s="1"/>
  <c r="AM49" i="51" s="1"/>
  <c r="AM51" i="51" s="1"/>
  <c r="F74" i="53"/>
  <c r="F75" i="53" s="1"/>
  <c r="G57" i="51" s="1"/>
  <c r="F80" i="53"/>
  <c r="F47" i="53"/>
  <c r="F162" i="53" s="1"/>
  <c r="C208" i="54"/>
  <c r="AN59" i="51"/>
  <c r="G38" i="54"/>
  <c r="E78" i="54"/>
  <c r="E79" i="54" s="1"/>
  <c r="E47" i="54"/>
  <c r="E80" i="54"/>
  <c r="E81" i="54" s="1"/>
  <c r="E74" i="54"/>
  <c r="E75" i="54" s="1"/>
  <c r="E72" i="54"/>
  <c r="E73" i="54" s="1"/>
  <c r="H142" i="54"/>
  <c r="D142" i="54"/>
  <c r="D165" i="54"/>
  <c r="E140" i="54"/>
  <c r="AX50" i="51"/>
  <c r="F80" i="54"/>
  <c r="F81" i="54" s="1"/>
  <c r="F78" i="54"/>
  <c r="F79" i="54" s="1"/>
  <c r="F47" i="54"/>
  <c r="F74" i="54"/>
  <c r="F75" i="54" s="1"/>
  <c r="F72" i="54"/>
  <c r="F73" i="54" s="1"/>
  <c r="E142" i="54"/>
  <c r="F142" i="54"/>
  <c r="C142" i="54"/>
  <c r="C165" i="54"/>
  <c r="C61" i="60" s="1"/>
  <c r="K160" i="54"/>
  <c r="H48" i="51"/>
  <c r="G36" i="53"/>
  <c r="G42" i="53" s="1"/>
  <c r="AL67" i="51"/>
  <c r="AL70" i="51" s="1"/>
  <c r="F70" i="51"/>
  <c r="K160" i="53"/>
  <c r="L66" i="51" s="1"/>
  <c r="AR66" i="51" s="1"/>
  <c r="K142" i="53"/>
  <c r="L69" i="51" s="1"/>
  <c r="AR69" i="51" s="1"/>
  <c r="I55" i="51"/>
  <c r="H39" i="53"/>
  <c r="M45" i="53" s="1"/>
  <c r="I65" i="51"/>
  <c r="H40" i="53"/>
  <c r="M46" i="53" s="1"/>
  <c r="M159" i="53" s="1"/>
  <c r="C216" i="53"/>
  <c r="C217" i="53"/>
  <c r="E216" i="53"/>
  <c r="E217" i="53"/>
  <c r="E222" i="53"/>
  <c r="E234" i="53" s="1"/>
  <c r="E235" i="53" s="1"/>
  <c r="E223" i="53"/>
  <c r="L141" i="53"/>
  <c r="L137" i="53"/>
  <c r="M56" i="51" s="1"/>
  <c r="AS56" i="51" s="1"/>
  <c r="L139" i="53"/>
  <c r="H65" i="51"/>
  <c r="G40" i="53"/>
  <c r="L46" i="53" s="1"/>
  <c r="L159" i="53" s="1"/>
  <c r="D216" i="53"/>
  <c r="D217" i="53"/>
  <c r="C222" i="53"/>
  <c r="C234" i="53" s="1"/>
  <c r="C235" i="53" s="1"/>
  <c r="C236" i="53" s="1"/>
  <c r="C223" i="53"/>
  <c r="K140" i="53"/>
  <c r="L63" i="51" s="1"/>
  <c r="AR63" i="51" s="1"/>
  <c r="C225" i="53"/>
  <c r="C230" i="53"/>
  <c r="D180" i="55" s="1"/>
  <c r="C228" i="53"/>
  <c r="D178" i="55" s="1"/>
  <c r="C229" i="53"/>
  <c r="D179" i="55" s="1"/>
  <c r="C227" i="53"/>
  <c r="D177" i="55" s="1"/>
  <c r="C226" i="53"/>
  <c r="D176" i="55" s="1"/>
  <c r="D222" i="53"/>
  <c r="D234" i="53" s="1"/>
  <c r="D235" i="53" s="1"/>
  <c r="D223" i="53"/>
  <c r="K138" i="53"/>
  <c r="D166" i="53"/>
  <c r="C199" i="53"/>
  <c r="BP172" i="55" s="1"/>
  <c r="I25" i="51"/>
  <c r="I44" i="51"/>
  <c r="K36" i="51"/>
  <c r="K38" i="51" s="1"/>
  <c r="K20" i="59" s="1"/>
  <c r="AN39" i="51"/>
  <c r="AP36" i="51"/>
  <c r="AP37" i="51" s="1"/>
  <c r="AP19" i="59" s="1"/>
  <c r="AN44" i="51"/>
  <c r="AO29" i="51"/>
  <c r="AO38" i="51"/>
  <c r="J33" i="51"/>
  <c r="J35" i="51" s="1"/>
  <c r="AN25" i="51"/>
  <c r="AO24" i="51"/>
  <c r="J29" i="51"/>
  <c r="K13" i="51"/>
  <c r="K12" i="59" s="1"/>
  <c r="K14" i="51"/>
  <c r="K13" i="59" s="1"/>
  <c r="AQ12" i="51"/>
  <c r="AO33" i="51"/>
  <c r="AO35" i="51" s="1"/>
  <c r="AO15" i="51"/>
  <c r="J15" i="51"/>
  <c r="AP19" i="51"/>
  <c r="AP8" i="59" s="1"/>
  <c r="AP23" i="51"/>
  <c r="AP11" i="59" s="1"/>
  <c r="AP20" i="51"/>
  <c r="AP9" i="59" s="1"/>
  <c r="AP22" i="51"/>
  <c r="AP10" i="59" s="1"/>
  <c r="L26" i="51"/>
  <c r="K28" i="51"/>
  <c r="K15" i="59" s="1"/>
  <c r="K27" i="51"/>
  <c r="K14" i="59" s="1"/>
  <c r="AQ26" i="51"/>
  <c r="I43" i="51"/>
  <c r="AP34" i="51"/>
  <c r="AP18" i="59" s="1"/>
  <c r="AP31" i="51"/>
  <c r="AP16" i="59" s="1"/>
  <c r="AP32" i="51"/>
  <c r="AP17" i="59" s="1"/>
  <c r="M10" i="51"/>
  <c r="N10" i="51" s="1"/>
  <c r="AR10" i="51"/>
  <c r="L12" i="51"/>
  <c r="J21" i="51"/>
  <c r="AP28" i="51"/>
  <c r="AP15" i="59" s="1"/>
  <c r="AP27" i="51"/>
  <c r="AP14" i="59" s="1"/>
  <c r="J38" i="51"/>
  <c r="J20" i="59" s="1"/>
  <c r="J37" i="51"/>
  <c r="J19" i="59" s="1"/>
  <c r="AM46" i="51"/>
  <c r="L30" i="51"/>
  <c r="AQ30" i="51"/>
  <c r="K32" i="51"/>
  <c r="K17" i="59" s="1"/>
  <c r="K31" i="51"/>
  <c r="K16" i="59" s="1"/>
  <c r="K34" i="51"/>
  <c r="K18" i="59" s="1"/>
  <c r="AP14" i="51"/>
  <c r="AP13" i="59" s="1"/>
  <c r="AP13" i="51"/>
  <c r="AP12" i="59" s="1"/>
  <c r="AO21" i="51"/>
  <c r="J24" i="51"/>
  <c r="K19" i="51"/>
  <c r="K8" i="59" s="1"/>
  <c r="L18" i="51"/>
  <c r="K20" i="51"/>
  <c r="K9" i="59" s="1"/>
  <c r="K23" i="51"/>
  <c r="K11" i="59" s="1"/>
  <c r="AQ18" i="51"/>
  <c r="K22" i="51"/>
  <c r="K10" i="59" s="1"/>
  <c r="AN43" i="51"/>
  <c r="AN17" i="51"/>
  <c r="E227" i="53" l="1"/>
  <c r="F177" i="55" s="1"/>
  <c r="E226" i="53"/>
  <c r="F176" i="55" s="1"/>
  <c r="J47" i="59"/>
  <c r="J90" i="59"/>
  <c r="J117" i="59"/>
  <c r="J73" i="59"/>
  <c r="K74" i="59"/>
  <c r="K118" i="59"/>
  <c r="K48" i="59"/>
  <c r="K91" i="59"/>
  <c r="K88" i="59"/>
  <c r="K115" i="59"/>
  <c r="K45" i="59"/>
  <c r="K71" i="59"/>
  <c r="AP113" i="59"/>
  <c r="AP43" i="59"/>
  <c r="AP86" i="59"/>
  <c r="AP69" i="59"/>
  <c r="K68" i="59"/>
  <c r="K85" i="59"/>
  <c r="K112" i="59"/>
  <c r="K42" i="59"/>
  <c r="I48" i="59"/>
  <c r="I91" i="59"/>
  <c r="I118" i="59"/>
  <c r="I74" i="59"/>
  <c r="I75" i="59" s="1"/>
  <c r="K87" i="59"/>
  <c r="K44" i="59"/>
  <c r="K114" i="59"/>
  <c r="K70" i="59"/>
  <c r="K69" i="59"/>
  <c r="K86" i="59"/>
  <c r="K43" i="59"/>
  <c r="K113" i="59"/>
  <c r="AO39" i="51"/>
  <c r="AO20" i="59"/>
  <c r="AP88" i="59"/>
  <c r="AP45" i="59"/>
  <c r="AP115" i="59"/>
  <c r="AP71" i="59"/>
  <c r="K111" i="59"/>
  <c r="K84" i="59"/>
  <c r="K41" i="59"/>
  <c r="K67" i="59"/>
  <c r="AP84" i="59"/>
  <c r="AP67" i="59"/>
  <c r="AP111" i="59"/>
  <c r="AP41" i="59"/>
  <c r="J91" i="59"/>
  <c r="J118" i="59"/>
  <c r="J48" i="59"/>
  <c r="J74" i="59"/>
  <c r="AP87" i="59"/>
  <c r="AP114" i="59"/>
  <c r="AP44" i="59"/>
  <c r="AP70" i="59"/>
  <c r="K40" i="59"/>
  <c r="K83" i="59"/>
  <c r="K110" i="59"/>
  <c r="K66" i="59"/>
  <c r="AP73" i="59"/>
  <c r="AP90" i="59"/>
  <c r="AP117" i="59"/>
  <c r="AP47" i="59"/>
  <c r="F172" i="55"/>
  <c r="AJ120" i="59"/>
  <c r="AJ145" i="59"/>
  <c r="AJ92" i="59"/>
  <c r="AP83" i="59"/>
  <c r="AP110" i="59"/>
  <c r="AP40" i="59"/>
  <c r="AP66" i="59"/>
  <c r="K89" i="59"/>
  <c r="K116" i="59"/>
  <c r="K46" i="59"/>
  <c r="K72" i="59"/>
  <c r="AP68" i="59"/>
  <c r="AP85" i="59"/>
  <c r="AP112" i="59"/>
  <c r="AP42" i="59"/>
  <c r="AP46" i="59"/>
  <c r="AP89" i="59"/>
  <c r="AP116" i="59"/>
  <c r="AP72" i="59"/>
  <c r="D208" i="54"/>
  <c r="D226" i="53"/>
  <c r="E176" i="55" s="1"/>
  <c r="E230" i="53"/>
  <c r="F180" i="55" s="1"/>
  <c r="E225" i="53"/>
  <c r="E229" i="53"/>
  <c r="F179" i="55" s="1"/>
  <c r="E228" i="53"/>
  <c r="F178" i="55" s="1"/>
  <c r="E49" i="59"/>
  <c r="F49" i="59"/>
  <c r="CV49" i="59"/>
  <c r="CV92" i="59"/>
  <c r="CV120" i="59"/>
  <c r="AJ49" i="59"/>
  <c r="N7" i="63"/>
  <c r="O6" i="63" s="1"/>
  <c r="AP81" i="59"/>
  <c r="AP108" i="59"/>
  <c r="AP38" i="59"/>
  <c r="AP64" i="59"/>
  <c r="K81" i="59"/>
  <c r="K108" i="59"/>
  <c r="K38" i="59"/>
  <c r="K64" i="59"/>
  <c r="AP80" i="59"/>
  <c r="AP107" i="59"/>
  <c r="AP37" i="59"/>
  <c r="AP63" i="59"/>
  <c r="K39" i="59"/>
  <c r="K82" i="59"/>
  <c r="K109" i="59"/>
  <c r="K65" i="59"/>
  <c r="AP82" i="59"/>
  <c r="AP109" i="59"/>
  <c r="AP39" i="59"/>
  <c r="AP65" i="59"/>
  <c r="AP36" i="59"/>
  <c r="AP79" i="59"/>
  <c r="AP106" i="59"/>
  <c r="AP62" i="59"/>
  <c r="K79" i="59"/>
  <c r="K106" i="59"/>
  <c r="K36" i="59"/>
  <c r="K62" i="59"/>
  <c r="K80" i="59"/>
  <c r="K107" i="59"/>
  <c r="K37" i="59"/>
  <c r="K63" i="59"/>
  <c r="AK22" i="59"/>
  <c r="AK145" i="59" s="1"/>
  <c r="CW9" i="55"/>
  <c r="CW22" i="59" s="1"/>
  <c r="CW145" i="59" s="1"/>
  <c r="AL22" i="59"/>
  <c r="CX9" i="55"/>
  <c r="CX22" i="59" s="1"/>
  <c r="D227" i="53"/>
  <c r="E177" i="55" s="1"/>
  <c r="D229" i="53"/>
  <c r="E179" i="55" s="1"/>
  <c r="D230" i="53"/>
  <c r="E180" i="55" s="1"/>
  <c r="D225" i="53"/>
  <c r="F120" i="59"/>
  <c r="E120" i="59"/>
  <c r="F92" i="59"/>
  <c r="E92" i="59"/>
  <c r="C200" i="53"/>
  <c r="C203" i="53" s="1"/>
  <c r="BP177" i="55" s="1"/>
  <c r="G51" i="51"/>
  <c r="F207" i="53"/>
  <c r="G4" i="55"/>
  <c r="AO25" i="51"/>
  <c r="E207" i="54"/>
  <c r="E211" i="54" s="1"/>
  <c r="AL4" i="55"/>
  <c r="C239" i="53"/>
  <c r="C244" i="53" s="1"/>
  <c r="F207" i="54"/>
  <c r="F211" i="54" s="1"/>
  <c r="AM4" i="55"/>
  <c r="F165" i="54"/>
  <c r="F232" i="54" s="1"/>
  <c r="F233" i="54" s="1"/>
  <c r="G80" i="53"/>
  <c r="G74" i="53"/>
  <c r="G75" i="53" s="1"/>
  <c r="H57" i="51" s="1"/>
  <c r="G78" i="53"/>
  <c r="G72" i="53"/>
  <c r="G73" i="53" s="1"/>
  <c r="H49" i="51" s="1"/>
  <c r="AN49" i="51" s="1"/>
  <c r="G47" i="53"/>
  <c r="G162" i="53" s="1"/>
  <c r="D232" i="54"/>
  <c r="D233" i="54" s="1"/>
  <c r="D209" i="54"/>
  <c r="CW172" i="55" s="1"/>
  <c r="F211" i="53"/>
  <c r="F208" i="53"/>
  <c r="F81" i="53"/>
  <c r="G61" i="51" s="1"/>
  <c r="F165" i="53"/>
  <c r="G9" i="55" s="1"/>
  <c r="G22" i="59" s="1"/>
  <c r="G145" i="59" s="1"/>
  <c r="T107" i="53"/>
  <c r="T108" i="53" s="1"/>
  <c r="U53" i="51" s="1"/>
  <c r="BA53" i="51" s="1"/>
  <c r="T113" i="53"/>
  <c r="T114" i="53" s="1"/>
  <c r="T109" i="53"/>
  <c r="T110" i="53" s="1"/>
  <c r="U62" i="51" s="1"/>
  <c r="BA62" i="51" s="1"/>
  <c r="T111" i="53"/>
  <c r="T112" i="53" s="1"/>
  <c r="J59" i="51"/>
  <c r="I38" i="53"/>
  <c r="AM57" i="51"/>
  <c r="AM58" i="51" s="1"/>
  <c r="AM72" i="51" s="1"/>
  <c r="G58" i="51"/>
  <c r="G72" i="51" s="1"/>
  <c r="AN65" i="51"/>
  <c r="G40" i="54"/>
  <c r="L46" i="54" s="1"/>
  <c r="L159" i="54" s="1"/>
  <c r="AN48" i="51"/>
  <c r="G36" i="54"/>
  <c r="G42" i="54" s="1"/>
  <c r="C232" i="54"/>
  <c r="C233" i="54" s="1"/>
  <c r="C209" i="54"/>
  <c r="C166" i="54"/>
  <c r="BP9" i="55" s="1"/>
  <c r="E165" i="54"/>
  <c r="S107" i="53"/>
  <c r="S108" i="53" s="1"/>
  <c r="T53" i="51" s="1"/>
  <c r="AZ53" i="51" s="1"/>
  <c r="S113" i="53"/>
  <c r="S114" i="53" s="1"/>
  <c r="S109" i="53"/>
  <c r="S110" i="53" s="1"/>
  <c r="T62" i="51" s="1"/>
  <c r="AZ62" i="51" s="1"/>
  <c r="S111" i="53"/>
  <c r="S112" i="53" s="1"/>
  <c r="L141" i="54"/>
  <c r="L142" i="54" s="1"/>
  <c r="L139" i="54"/>
  <c r="L140" i="54" s="1"/>
  <c r="L137" i="54"/>
  <c r="L138" i="54" s="1"/>
  <c r="I48" i="51"/>
  <c r="H36" i="53"/>
  <c r="H42" i="53" s="1"/>
  <c r="G67" i="51"/>
  <c r="F79" i="53"/>
  <c r="AL71" i="51"/>
  <c r="AL73" i="51" s="1"/>
  <c r="AN52" i="51"/>
  <c r="AN54" i="51" s="1"/>
  <c r="G37" i="54"/>
  <c r="S43" i="54" s="1"/>
  <c r="AO55" i="51"/>
  <c r="H39" i="54"/>
  <c r="M45" i="54" s="1"/>
  <c r="AO65" i="51"/>
  <c r="H40" i="54"/>
  <c r="M46" i="54" s="1"/>
  <c r="M159" i="54" s="1"/>
  <c r="F162" i="54"/>
  <c r="E162" i="54"/>
  <c r="AK71" i="51"/>
  <c r="AK73" i="51" s="1"/>
  <c r="R111" i="54"/>
  <c r="R112" i="54" s="1"/>
  <c r="R109" i="54"/>
  <c r="R110" i="54" s="1"/>
  <c r="R107" i="54"/>
  <c r="R108" i="54" s="1"/>
  <c r="R113" i="54"/>
  <c r="R114" i="54" s="1"/>
  <c r="AO48" i="51"/>
  <c r="H36" i="54"/>
  <c r="H42" i="54" s="1"/>
  <c r="AO59" i="51"/>
  <c r="H38" i="54"/>
  <c r="D213" i="54"/>
  <c r="D212" i="54"/>
  <c r="D214" i="54"/>
  <c r="D215" i="54"/>
  <c r="C213" i="54"/>
  <c r="C214" i="54"/>
  <c r="C215" i="54"/>
  <c r="C212" i="54"/>
  <c r="AY50" i="51"/>
  <c r="D236" i="53"/>
  <c r="D239" i="53" s="1"/>
  <c r="D244" i="53" s="1"/>
  <c r="D245" i="53" s="1"/>
  <c r="D254" i="53" s="1"/>
  <c r="E75" i="51" s="1"/>
  <c r="E236" i="53"/>
  <c r="E239" i="53" s="1"/>
  <c r="E244" i="53" s="1"/>
  <c r="C237" i="53"/>
  <c r="C238" i="53" s="1"/>
  <c r="D218" i="53"/>
  <c r="D219" i="53"/>
  <c r="L140" i="53"/>
  <c r="M63" i="51" s="1"/>
  <c r="AS63" i="51" s="1"/>
  <c r="M139" i="53"/>
  <c r="M137" i="53"/>
  <c r="N56" i="51" s="1"/>
  <c r="AT56" i="51" s="1"/>
  <c r="M141" i="53"/>
  <c r="L138" i="53"/>
  <c r="C219" i="53"/>
  <c r="C218" i="53"/>
  <c r="L142" i="53"/>
  <c r="M69" i="51" s="1"/>
  <c r="AS69" i="51" s="1"/>
  <c r="C205" i="53"/>
  <c r="BP179" i="55" s="1"/>
  <c r="E166" i="53"/>
  <c r="D199" i="53"/>
  <c r="L160" i="53"/>
  <c r="M66" i="51" s="1"/>
  <c r="AS66" i="51" s="1"/>
  <c r="J55" i="51"/>
  <c r="I39" i="53"/>
  <c r="N45" i="53" s="1"/>
  <c r="E218" i="53"/>
  <c r="E219" i="53"/>
  <c r="M160" i="53"/>
  <c r="N66" i="51" s="1"/>
  <c r="AT66" i="51" s="1"/>
  <c r="K37" i="51"/>
  <c r="AP38" i="51"/>
  <c r="I46" i="51"/>
  <c r="AN46" i="51"/>
  <c r="AO44" i="51"/>
  <c r="J39" i="51"/>
  <c r="K29" i="51"/>
  <c r="AP29" i="51"/>
  <c r="L13" i="51"/>
  <c r="L12" i="59" s="1"/>
  <c r="L14" i="51"/>
  <c r="L13" i="59" s="1"/>
  <c r="J43" i="51"/>
  <c r="J17" i="51"/>
  <c r="AQ14" i="51"/>
  <c r="AQ13" i="59" s="1"/>
  <c r="AQ13" i="51"/>
  <c r="AQ12" i="59" s="1"/>
  <c r="AQ32" i="51"/>
  <c r="AQ17" i="59" s="1"/>
  <c r="AQ31" i="51"/>
  <c r="AQ16" i="59" s="1"/>
  <c r="AQ34" i="51"/>
  <c r="AQ18" i="59" s="1"/>
  <c r="AR12" i="51"/>
  <c r="AO43" i="51"/>
  <c r="AO17" i="51"/>
  <c r="K24" i="51"/>
  <c r="K44" i="51" s="1"/>
  <c r="L22" i="51"/>
  <c r="L10" i="59" s="1"/>
  <c r="M18" i="51"/>
  <c r="AR18" i="51"/>
  <c r="L23" i="51"/>
  <c r="L11" i="59" s="1"/>
  <c r="L19" i="51"/>
  <c r="L8" i="59" s="1"/>
  <c r="L20" i="51"/>
  <c r="L9" i="59" s="1"/>
  <c r="M30" i="51"/>
  <c r="AR30" i="51"/>
  <c r="L31" i="51"/>
  <c r="L16" i="59" s="1"/>
  <c r="L32" i="51"/>
  <c r="L17" i="59" s="1"/>
  <c r="L34" i="51"/>
  <c r="L18" i="59" s="1"/>
  <c r="AS10" i="51"/>
  <c r="M12" i="51"/>
  <c r="L27" i="51"/>
  <c r="L14" i="59" s="1"/>
  <c r="M26" i="51"/>
  <c r="L28" i="51"/>
  <c r="L15" i="59" s="1"/>
  <c r="AR26" i="51"/>
  <c r="AP24" i="51"/>
  <c r="AQ19" i="51"/>
  <c r="AQ8" i="59" s="1"/>
  <c r="AQ20" i="51"/>
  <c r="AQ9" i="59" s="1"/>
  <c r="AQ23" i="51"/>
  <c r="AQ11" i="59" s="1"/>
  <c r="AQ22" i="51"/>
  <c r="AQ10" i="59" s="1"/>
  <c r="K21" i="51"/>
  <c r="AP15" i="51"/>
  <c r="K33" i="51"/>
  <c r="K35" i="51" s="1"/>
  <c r="J44" i="51"/>
  <c r="J25" i="51"/>
  <c r="L36" i="51"/>
  <c r="AP33" i="51"/>
  <c r="AP35" i="51" s="1"/>
  <c r="AQ28" i="51"/>
  <c r="AQ15" i="59" s="1"/>
  <c r="AQ27" i="51"/>
  <c r="AQ14" i="59" s="1"/>
  <c r="AP21" i="51"/>
  <c r="AQ36" i="51"/>
  <c r="K15" i="51"/>
  <c r="J75" i="59" l="1"/>
  <c r="E208" i="54"/>
  <c r="L41" i="59"/>
  <c r="L111" i="59"/>
  <c r="L84" i="59"/>
  <c r="L67" i="59"/>
  <c r="AP39" i="51"/>
  <c r="AP20" i="59"/>
  <c r="AQ46" i="59"/>
  <c r="AQ89" i="59"/>
  <c r="AQ116" i="59"/>
  <c r="AQ72" i="59"/>
  <c r="L83" i="59"/>
  <c r="L40" i="59"/>
  <c r="L110" i="59"/>
  <c r="L66" i="59"/>
  <c r="K39" i="51"/>
  <c r="J40" i="53" s="1"/>
  <c r="O46" i="53" s="1"/>
  <c r="O159" i="53" s="1"/>
  <c r="K19" i="59"/>
  <c r="AQ86" i="59"/>
  <c r="AQ113" i="59"/>
  <c r="AQ43" i="59"/>
  <c r="AQ69" i="59"/>
  <c r="L46" i="59"/>
  <c r="L89" i="59"/>
  <c r="L116" i="59"/>
  <c r="L72" i="59"/>
  <c r="AQ44" i="59"/>
  <c r="AQ87" i="59"/>
  <c r="AQ114" i="59"/>
  <c r="AQ70" i="59"/>
  <c r="L45" i="59"/>
  <c r="L88" i="59"/>
  <c r="L115" i="59"/>
  <c r="L71" i="59"/>
  <c r="AQ88" i="59"/>
  <c r="AQ115" i="59"/>
  <c r="AQ45" i="59"/>
  <c r="AQ71" i="59"/>
  <c r="L87" i="59"/>
  <c r="L114" i="59"/>
  <c r="L44" i="59"/>
  <c r="L70" i="59"/>
  <c r="AQ110" i="59"/>
  <c r="AQ40" i="59"/>
  <c r="AQ83" i="59"/>
  <c r="AQ66" i="59"/>
  <c r="AO48" i="59"/>
  <c r="AO74" i="59"/>
  <c r="AO75" i="59" s="1"/>
  <c r="AO91" i="59"/>
  <c r="AO118" i="59"/>
  <c r="L69" i="59"/>
  <c r="L113" i="59"/>
  <c r="L43" i="59"/>
  <c r="L86" i="59"/>
  <c r="AQ84" i="59"/>
  <c r="AQ111" i="59"/>
  <c r="AQ41" i="59"/>
  <c r="AQ67" i="59"/>
  <c r="AQ112" i="59"/>
  <c r="AQ42" i="59"/>
  <c r="AQ68" i="59"/>
  <c r="AQ85" i="59"/>
  <c r="CX145" i="59"/>
  <c r="L85" i="59"/>
  <c r="L112" i="59"/>
  <c r="L42" i="59"/>
  <c r="L68" i="59"/>
  <c r="AK120" i="59"/>
  <c r="AL145" i="59"/>
  <c r="CX49" i="59"/>
  <c r="CX120" i="59"/>
  <c r="CX92" i="59"/>
  <c r="C201" i="53"/>
  <c r="C202" i="53"/>
  <c r="BP176" i="55" s="1"/>
  <c r="C204" i="53"/>
  <c r="BP178" i="55" s="1"/>
  <c r="C206" i="53"/>
  <c r="BP180" i="55" s="1"/>
  <c r="CW49" i="59"/>
  <c r="CW120" i="59"/>
  <c r="CW92" i="59"/>
  <c r="AL49" i="59"/>
  <c r="AK49" i="59"/>
  <c r="G49" i="59"/>
  <c r="AL92" i="59"/>
  <c r="AK92" i="59"/>
  <c r="N21" i="63"/>
  <c r="O21" i="63" s="1"/>
  <c r="O5" i="63"/>
  <c r="O7" i="63"/>
  <c r="AQ81" i="59"/>
  <c r="AQ108" i="59"/>
  <c r="AQ38" i="59"/>
  <c r="AQ64" i="59"/>
  <c r="L80" i="59"/>
  <c r="L107" i="59"/>
  <c r="L37" i="59"/>
  <c r="L63" i="59"/>
  <c r="L79" i="59"/>
  <c r="L106" i="59"/>
  <c r="L36" i="59"/>
  <c r="L62" i="59"/>
  <c r="AQ80" i="59"/>
  <c r="AQ107" i="59"/>
  <c r="AQ37" i="59"/>
  <c r="AQ63" i="59"/>
  <c r="L82" i="59"/>
  <c r="L109" i="59"/>
  <c r="L39" i="59"/>
  <c r="L65" i="59"/>
  <c r="AQ82" i="59"/>
  <c r="AQ109" i="59"/>
  <c r="AQ39" i="59"/>
  <c r="AQ65" i="59"/>
  <c r="AQ79" i="59"/>
  <c r="AQ106" i="59"/>
  <c r="AQ36" i="59"/>
  <c r="AQ62" i="59"/>
  <c r="CV172" i="55"/>
  <c r="AJ172" i="55"/>
  <c r="L81" i="59"/>
  <c r="L108" i="59"/>
  <c r="L38" i="59"/>
  <c r="L64" i="59"/>
  <c r="AL120" i="59"/>
  <c r="BP22" i="59"/>
  <c r="BP145" i="59" s="1"/>
  <c r="BP11" i="55"/>
  <c r="G120" i="59"/>
  <c r="G92" i="59"/>
  <c r="E237" i="53"/>
  <c r="E238" i="53" s="1"/>
  <c r="E240" i="53" s="1"/>
  <c r="E261" i="53" s="1"/>
  <c r="F209" i="54"/>
  <c r="C210" i="54"/>
  <c r="C230" i="54" s="1"/>
  <c r="AJ180" i="55" s="1"/>
  <c r="CV180" i="55" s="1"/>
  <c r="D200" i="53"/>
  <c r="BQ172" i="55"/>
  <c r="C245" i="53"/>
  <c r="C252" i="53" s="1"/>
  <c r="D74" i="51" s="1"/>
  <c r="D210" i="54"/>
  <c r="D230" i="54" s="1"/>
  <c r="AK180" i="55" s="1"/>
  <c r="CW180" i="55" s="1"/>
  <c r="AK172" i="55"/>
  <c r="F208" i="54"/>
  <c r="AN51" i="51"/>
  <c r="BP16" i="55"/>
  <c r="BP30" i="59" s="1"/>
  <c r="BP14" i="55"/>
  <c r="BP28" i="59" s="1"/>
  <c r="BP151" i="59" s="1"/>
  <c r="BP12" i="55"/>
  <c r="BP26" i="59" s="1"/>
  <c r="BP53" i="59" s="1"/>
  <c r="BP13" i="55"/>
  <c r="BP27" i="59" s="1"/>
  <c r="BP150" i="59" s="1"/>
  <c r="BP15" i="55"/>
  <c r="BP29" i="59" s="1"/>
  <c r="BP152" i="59" s="1"/>
  <c r="G207" i="53"/>
  <c r="H4" i="55"/>
  <c r="AM9" i="55"/>
  <c r="H51" i="51"/>
  <c r="AO52" i="51"/>
  <c r="AO54" i="51" s="1"/>
  <c r="H37" i="54"/>
  <c r="T43" i="54" s="1"/>
  <c r="J52" i="51"/>
  <c r="J54" i="51" s="1"/>
  <c r="I37" i="53"/>
  <c r="U43" i="53" s="1"/>
  <c r="C222" i="54"/>
  <c r="C234" i="54" s="1"/>
  <c r="C235" i="54" s="1"/>
  <c r="C236" i="54" s="1"/>
  <c r="C223" i="54"/>
  <c r="G47" i="54"/>
  <c r="G162" i="54" s="1"/>
  <c r="G78" i="54"/>
  <c r="G79" i="54" s="1"/>
  <c r="G74" i="54"/>
  <c r="G75" i="54" s="1"/>
  <c r="G80" i="54"/>
  <c r="G72" i="54"/>
  <c r="G73" i="54" s="1"/>
  <c r="U68" i="51"/>
  <c r="BA68" i="51" s="1"/>
  <c r="U50" i="51"/>
  <c r="C217" i="54"/>
  <c r="C216" i="54"/>
  <c r="S109" i="54"/>
  <c r="S110" i="54" s="1"/>
  <c r="S107" i="54"/>
  <c r="S108" i="54" s="1"/>
  <c r="S113" i="54"/>
  <c r="S114" i="54" s="1"/>
  <c r="S111" i="54"/>
  <c r="S112" i="54" s="1"/>
  <c r="H78" i="53"/>
  <c r="H72" i="53"/>
  <c r="H73" i="53" s="1"/>
  <c r="I49" i="51" s="1"/>
  <c r="AO49" i="51" s="1"/>
  <c r="AO51" i="51" s="1"/>
  <c r="H80" i="53"/>
  <c r="H74" i="53"/>
  <c r="H75" i="53" s="1"/>
  <c r="I57" i="51" s="1"/>
  <c r="H47" i="53"/>
  <c r="D237" i="53"/>
  <c r="D238" i="53" s="1"/>
  <c r="D240" i="53" s="1"/>
  <c r="D261" i="53" s="1"/>
  <c r="L160" i="54"/>
  <c r="F214" i="53"/>
  <c r="F212" i="53"/>
  <c r="F213" i="53"/>
  <c r="F215" i="53"/>
  <c r="AP55" i="51"/>
  <c r="I39" i="54"/>
  <c r="N45" i="54" s="1"/>
  <c r="AP65" i="51"/>
  <c r="I40" i="54"/>
  <c r="N46" i="54" s="1"/>
  <c r="N159" i="54" s="1"/>
  <c r="D222" i="54"/>
  <c r="D234" i="54" s="1"/>
  <c r="D235" i="54" s="1"/>
  <c r="D223" i="54"/>
  <c r="H80" i="54"/>
  <c r="H47" i="54"/>
  <c r="H162" i="54" s="1"/>
  <c r="H78" i="54"/>
  <c r="H79" i="54" s="1"/>
  <c r="H72" i="54"/>
  <c r="H73" i="54" s="1"/>
  <c r="H74" i="54"/>
  <c r="H75" i="54" s="1"/>
  <c r="E232" i="54"/>
  <c r="E233" i="54" s="1"/>
  <c r="E209" i="54"/>
  <c r="CX172" i="55" s="1"/>
  <c r="D228" i="54"/>
  <c r="AK178" i="55" s="1"/>
  <c r="CW178" i="55" s="1"/>
  <c r="G211" i="53"/>
  <c r="G208" i="53"/>
  <c r="D216" i="54"/>
  <c r="D217" i="54"/>
  <c r="C199" i="54"/>
  <c r="C200" i="54" s="1"/>
  <c r="D166" i="54"/>
  <c r="BQ9" i="55" s="1"/>
  <c r="BQ22" i="59" s="1"/>
  <c r="BQ145" i="59" s="1"/>
  <c r="F209" i="53"/>
  <c r="F232" i="53"/>
  <c r="F233" i="53" s="1"/>
  <c r="J48" i="51"/>
  <c r="I36" i="53"/>
  <c r="I42" i="53" s="1"/>
  <c r="AP59" i="51"/>
  <c r="I38" i="54"/>
  <c r="M160" i="54"/>
  <c r="AM61" i="51"/>
  <c r="G71" i="51"/>
  <c r="G73" i="51" s="1"/>
  <c r="G64" i="51"/>
  <c r="F212" i="54"/>
  <c r="F213" i="54"/>
  <c r="F215" i="54"/>
  <c r="F214" i="54"/>
  <c r="H67" i="51"/>
  <c r="G79" i="53"/>
  <c r="K59" i="51"/>
  <c r="J38" i="53"/>
  <c r="E245" i="53"/>
  <c r="E252" i="53" s="1"/>
  <c r="AM67" i="51"/>
  <c r="AM70" i="51" s="1"/>
  <c r="G70" i="51"/>
  <c r="AN57" i="51"/>
  <c r="AN58" i="51" s="1"/>
  <c r="AN72" i="51" s="1"/>
  <c r="H58" i="51"/>
  <c r="H72" i="51" s="1"/>
  <c r="M141" i="54"/>
  <c r="M142" i="54" s="1"/>
  <c r="M139" i="54"/>
  <c r="M140" i="54" s="1"/>
  <c r="M137" i="54"/>
  <c r="M138" i="54" s="1"/>
  <c r="T68" i="51"/>
  <c r="AZ68" i="51" s="1"/>
  <c r="T50" i="51"/>
  <c r="E214" i="54"/>
  <c r="E213" i="54"/>
  <c r="E212" i="54"/>
  <c r="E215" i="54"/>
  <c r="G81" i="53"/>
  <c r="H61" i="51" s="1"/>
  <c r="G165" i="53"/>
  <c r="H9" i="55" s="1"/>
  <c r="H22" i="59" s="1"/>
  <c r="H145" i="59" s="1"/>
  <c r="C240" i="53"/>
  <c r="C261" i="53" s="1"/>
  <c r="C254" i="53"/>
  <c r="AP44" i="51"/>
  <c r="K65" i="51"/>
  <c r="M140" i="53"/>
  <c r="N63" i="51" s="1"/>
  <c r="AT63" i="51" s="1"/>
  <c r="J65" i="51"/>
  <c r="I40" i="53"/>
  <c r="N46" i="53" s="1"/>
  <c r="N159" i="53" s="1"/>
  <c r="N141" i="53"/>
  <c r="N137" i="53"/>
  <c r="O56" i="51" s="1"/>
  <c r="AU56" i="51" s="1"/>
  <c r="N139" i="53"/>
  <c r="D221" i="53"/>
  <c r="D220" i="53"/>
  <c r="D224" i="53" s="1"/>
  <c r="D252" i="53"/>
  <c r="E220" i="53"/>
  <c r="E224" i="53" s="1"/>
  <c r="E221" i="53"/>
  <c r="D202" i="53"/>
  <c r="BQ176" i="55" s="1"/>
  <c r="D203" i="53"/>
  <c r="BQ177" i="55" s="1"/>
  <c r="D201" i="53"/>
  <c r="D206" i="53"/>
  <c r="BQ180" i="55" s="1"/>
  <c r="D205" i="53"/>
  <c r="BQ179" i="55" s="1"/>
  <c r="D204" i="53"/>
  <c r="BQ178" i="55" s="1"/>
  <c r="C220" i="53"/>
  <c r="C224" i="53" s="1"/>
  <c r="C221" i="53"/>
  <c r="F166" i="53"/>
  <c r="E199" i="53"/>
  <c r="K55" i="51"/>
  <c r="J39" i="53"/>
  <c r="O45" i="53" s="1"/>
  <c r="M142" i="53"/>
  <c r="N69" i="51" s="1"/>
  <c r="AT69" i="51" s="1"/>
  <c r="M138" i="53"/>
  <c r="AO46" i="51"/>
  <c r="AP25" i="51"/>
  <c r="L29" i="51"/>
  <c r="AQ29" i="51"/>
  <c r="AQ15" i="51"/>
  <c r="AQ17" i="51" s="1"/>
  <c r="AQ33" i="51"/>
  <c r="AQ35" i="51" s="1"/>
  <c r="M36" i="51"/>
  <c r="M38" i="51" s="1"/>
  <c r="M20" i="59" s="1"/>
  <c r="AQ24" i="51"/>
  <c r="AQ21" i="51"/>
  <c r="K25" i="51"/>
  <c r="L15" i="51"/>
  <c r="L17" i="51" s="1"/>
  <c r="L21" i="51"/>
  <c r="K43" i="51"/>
  <c r="K46" i="51" s="1"/>
  <c r="K17" i="51"/>
  <c r="AR27" i="51"/>
  <c r="AR14" i="59" s="1"/>
  <c r="AR28" i="51"/>
  <c r="AR15" i="59" s="1"/>
  <c r="N30" i="51"/>
  <c r="AS30" i="51"/>
  <c r="M32" i="51"/>
  <c r="M17" i="59" s="1"/>
  <c r="M34" i="51"/>
  <c r="M18" i="59" s="1"/>
  <c r="M31" i="51"/>
  <c r="M16" i="59" s="1"/>
  <c r="AQ38" i="51"/>
  <c r="AQ20" i="59" s="1"/>
  <c r="AQ37" i="51"/>
  <c r="AQ19" i="59" s="1"/>
  <c r="M13" i="51"/>
  <c r="M12" i="59" s="1"/>
  <c r="M14" i="51"/>
  <c r="M13" i="59" s="1"/>
  <c r="AR20" i="51"/>
  <c r="AR9" i="59" s="1"/>
  <c r="AR19" i="51"/>
  <c r="AR8" i="59" s="1"/>
  <c r="AR22" i="51"/>
  <c r="AR10" i="59" s="1"/>
  <c r="AR23" i="51"/>
  <c r="AR11" i="59" s="1"/>
  <c r="AR36" i="51"/>
  <c r="N26" i="51"/>
  <c r="M27" i="51"/>
  <c r="M14" i="59" s="1"/>
  <c r="M28" i="51"/>
  <c r="M15" i="59" s="1"/>
  <c r="AS26" i="51"/>
  <c r="AS12" i="51"/>
  <c r="L33" i="51"/>
  <c r="L35" i="51" s="1"/>
  <c r="N18" i="51"/>
  <c r="M20" i="51"/>
  <c r="M9" i="59" s="1"/>
  <c r="M23" i="51"/>
  <c r="M11" i="59" s="1"/>
  <c r="M22" i="51"/>
  <c r="M10" i="59" s="1"/>
  <c r="M19" i="51"/>
  <c r="M8" i="59" s="1"/>
  <c r="AS18" i="51"/>
  <c r="AR14" i="51"/>
  <c r="AR13" i="59" s="1"/>
  <c r="AR13" i="51"/>
  <c r="AR12" i="59" s="1"/>
  <c r="L37" i="51"/>
  <c r="L19" i="59" s="1"/>
  <c r="L38" i="51"/>
  <c r="L20" i="59" s="1"/>
  <c r="AP43" i="51"/>
  <c r="AP46" i="51" s="1"/>
  <c r="AP17" i="51"/>
  <c r="O10" i="51"/>
  <c r="AT10" i="51"/>
  <c r="N12" i="51"/>
  <c r="AR32" i="51"/>
  <c r="AR17" i="59" s="1"/>
  <c r="AR31" i="51"/>
  <c r="AR16" i="59" s="1"/>
  <c r="AR34" i="51"/>
  <c r="AR18" i="59" s="1"/>
  <c r="L24" i="51"/>
  <c r="J46" i="51"/>
  <c r="M86" i="59" l="1"/>
  <c r="M113" i="59"/>
  <c r="M43" i="59"/>
  <c r="M69" i="59"/>
  <c r="M84" i="59"/>
  <c r="M111" i="59"/>
  <c r="M41" i="59"/>
  <c r="M67" i="59"/>
  <c r="M83" i="59"/>
  <c r="M66" i="59"/>
  <c r="M110" i="59"/>
  <c r="M40" i="59"/>
  <c r="AR43" i="59"/>
  <c r="AR69" i="59"/>
  <c r="AR86" i="59"/>
  <c r="AR113" i="59"/>
  <c r="AR112" i="59"/>
  <c r="AR42" i="59"/>
  <c r="AR85" i="59"/>
  <c r="AR68" i="59"/>
  <c r="M48" i="59"/>
  <c r="M118" i="59"/>
  <c r="M91" i="59"/>
  <c r="M74" i="59"/>
  <c r="AP48" i="59"/>
  <c r="AP118" i="59"/>
  <c r="AP74" i="59"/>
  <c r="AP75" i="59" s="1"/>
  <c r="AP91" i="59"/>
  <c r="AQ74" i="59"/>
  <c r="AQ48" i="59"/>
  <c r="AQ118" i="59"/>
  <c r="AQ91" i="59"/>
  <c r="BP101" i="59"/>
  <c r="BP153" i="59"/>
  <c r="M85" i="59"/>
  <c r="M112" i="59"/>
  <c r="M42" i="59"/>
  <c r="M68" i="59"/>
  <c r="AR46" i="59"/>
  <c r="AR89" i="59"/>
  <c r="AR116" i="59"/>
  <c r="AR72" i="59"/>
  <c r="AR44" i="59"/>
  <c r="AR87" i="59"/>
  <c r="AR114" i="59"/>
  <c r="AR70" i="59"/>
  <c r="L90" i="59"/>
  <c r="L117" i="59"/>
  <c r="L47" i="59"/>
  <c r="L73" i="59"/>
  <c r="M87" i="59"/>
  <c r="M114" i="59"/>
  <c r="M44" i="59"/>
  <c r="M70" i="59"/>
  <c r="C239" i="54"/>
  <c r="C244" i="54" s="1"/>
  <c r="AQ73" i="59"/>
  <c r="AQ75" i="59" s="1"/>
  <c r="AQ90" i="59"/>
  <c r="AQ47" i="59"/>
  <c r="AQ117" i="59"/>
  <c r="AR88" i="59"/>
  <c r="AR115" i="59"/>
  <c r="AR45" i="59"/>
  <c r="AR71" i="59"/>
  <c r="AR40" i="59"/>
  <c r="AR83" i="59"/>
  <c r="AR110" i="59"/>
  <c r="AR66" i="59"/>
  <c r="M46" i="59"/>
  <c r="M89" i="59"/>
  <c r="M116" i="59"/>
  <c r="M72" i="59"/>
  <c r="L91" i="59"/>
  <c r="L118" i="59"/>
  <c r="L48" i="59"/>
  <c r="L74" i="59"/>
  <c r="AR111" i="59"/>
  <c r="AR67" i="59"/>
  <c r="AR41" i="59"/>
  <c r="AR84" i="59"/>
  <c r="M45" i="59"/>
  <c r="M88" i="59"/>
  <c r="M115" i="59"/>
  <c r="M71" i="59"/>
  <c r="K47" i="59"/>
  <c r="K90" i="59"/>
  <c r="K117" i="59"/>
  <c r="K73" i="59"/>
  <c r="K75" i="59" s="1"/>
  <c r="C225" i="54"/>
  <c r="C226" i="54"/>
  <c r="AJ176" i="55" s="1"/>
  <c r="CV176" i="55" s="1"/>
  <c r="C227" i="54"/>
  <c r="AJ177" i="55" s="1"/>
  <c r="CV177" i="55" s="1"/>
  <c r="C229" i="54"/>
  <c r="AJ179" i="55" s="1"/>
  <c r="CV179" i="55" s="1"/>
  <c r="C228" i="54"/>
  <c r="AJ178" i="55" s="1"/>
  <c r="CV178" i="55" s="1"/>
  <c r="BQ120" i="59"/>
  <c r="BQ49" i="59"/>
  <c r="BQ31" i="59"/>
  <c r="BP24" i="59"/>
  <c r="BP49" i="59"/>
  <c r="BP31" i="59"/>
  <c r="BP154" i="59" s="1"/>
  <c r="H49" i="59"/>
  <c r="BP120" i="59"/>
  <c r="AR79" i="59"/>
  <c r="AR106" i="59"/>
  <c r="AR36" i="59"/>
  <c r="AR62" i="59"/>
  <c r="AR80" i="59"/>
  <c r="AR37" i="59"/>
  <c r="AR107" i="59"/>
  <c r="AR63" i="59"/>
  <c r="M81" i="59"/>
  <c r="M108" i="59"/>
  <c r="M38" i="59"/>
  <c r="M64" i="59"/>
  <c r="M82" i="59"/>
  <c r="M39" i="59"/>
  <c r="M109" i="59"/>
  <c r="M65" i="59"/>
  <c r="L75" i="59"/>
  <c r="M80" i="59"/>
  <c r="M107" i="59"/>
  <c r="M37" i="59"/>
  <c r="M63" i="59"/>
  <c r="AR82" i="59"/>
  <c r="AR109" i="59"/>
  <c r="AR39" i="59"/>
  <c r="AR65" i="59"/>
  <c r="F210" i="54"/>
  <c r="F225" i="54" s="1"/>
  <c r="CY172" i="55"/>
  <c r="M79" i="59"/>
  <c r="M106" i="59"/>
  <c r="M36" i="59"/>
  <c r="M62" i="59"/>
  <c r="AR81" i="59"/>
  <c r="AR108" i="59"/>
  <c r="AR38" i="59"/>
  <c r="AR64" i="59"/>
  <c r="AM22" i="59"/>
  <c r="AM145" i="59" s="1"/>
  <c r="CY9" i="55"/>
  <c r="CY22" i="59" s="1"/>
  <c r="CY145" i="59" s="1"/>
  <c r="BP92" i="59"/>
  <c r="D227" i="54"/>
  <c r="AK177" i="55" s="1"/>
  <c r="CW177" i="55" s="1"/>
  <c r="D226" i="54"/>
  <c r="AK176" i="55" s="1"/>
  <c r="CW176" i="55" s="1"/>
  <c r="D229" i="54"/>
  <c r="AK179" i="55" s="1"/>
  <c r="CW179" i="55" s="1"/>
  <c r="D225" i="54"/>
  <c r="H120" i="59"/>
  <c r="BP100" i="59"/>
  <c r="BP127" i="59"/>
  <c r="BP98" i="59"/>
  <c r="BP125" i="59"/>
  <c r="BP99" i="59"/>
  <c r="BP126" i="59"/>
  <c r="BP97" i="59"/>
  <c r="BP124" i="59"/>
  <c r="H92" i="59"/>
  <c r="BQ92" i="59"/>
  <c r="BP56" i="59"/>
  <c r="BP57" i="59"/>
  <c r="BP55" i="59"/>
  <c r="BP54" i="59"/>
  <c r="BP19" i="55"/>
  <c r="BP174" i="55" s="1"/>
  <c r="BP25" i="59"/>
  <c r="BP148" i="59" s="1"/>
  <c r="AM172" i="55"/>
  <c r="E254" i="53"/>
  <c r="F10" i="55" s="1"/>
  <c r="F23" i="59" s="1"/>
  <c r="BP6" i="55"/>
  <c r="E210" i="54"/>
  <c r="E227" i="54" s="1"/>
  <c r="AL177" i="55" s="1"/>
  <c r="CX177" i="55" s="1"/>
  <c r="AL172" i="55"/>
  <c r="E200" i="53"/>
  <c r="BR172" i="55"/>
  <c r="D10" i="55"/>
  <c r="D23" i="59" s="1"/>
  <c r="D146" i="59" s="1"/>
  <c r="F210" i="53"/>
  <c r="F226" i="53" s="1"/>
  <c r="G176" i="55" s="1"/>
  <c r="G172" i="55"/>
  <c r="C262" i="53"/>
  <c r="D78" i="51" s="1"/>
  <c r="D77" i="51"/>
  <c r="D262" i="53"/>
  <c r="E78" i="51" s="1"/>
  <c r="E77" i="51"/>
  <c r="E262" i="53"/>
  <c r="F78" i="51" s="1"/>
  <c r="F77" i="51"/>
  <c r="C256" i="53"/>
  <c r="D75" i="51"/>
  <c r="D76" i="51" s="1"/>
  <c r="F74" i="51"/>
  <c r="BP7" i="55"/>
  <c r="BQ13" i="55"/>
  <c r="BQ27" i="59" s="1"/>
  <c r="BQ150" i="59" s="1"/>
  <c r="BQ16" i="55"/>
  <c r="BQ30" i="59" s="1"/>
  <c r="BQ11" i="55"/>
  <c r="BQ12" i="55"/>
  <c r="BQ26" i="59" s="1"/>
  <c r="BQ53" i="59" s="1"/>
  <c r="BQ15" i="55"/>
  <c r="BQ29" i="59" s="1"/>
  <c r="BQ152" i="59" s="1"/>
  <c r="BQ14" i="55"/>
  <c r="BQ28" i="59" s="1"/>
  <c r="BQ151" i="59" s="1"/>
  <c r="AN9" i="55"/>
  <c r="H207" i="53"/>
  <c r="H208" i="53" s="1"/>
  <c r="I4" i="55"/>
  <c r="D256" i="53"/>
  <c r="E74" i="51"/>
  <c r="E76" i="51" s="1"/>
  <c r="E10" i="55"/>
  <c r="E23" i="59" s="1"/>
  <c r="E146" i="59" s="1"/>
  <c r="E256" i="53"/>
  <c r="H207" i="54"/>
  <c r="H208" i="54" s="1"/>
  <c r="AO4" i="55"/>
  <c r="G207" i="54"/>
  <c r="G208" i="54" s="1"/>
  <c r="AN4" i="55"/>
  <c r="C237" i="54"/>
  <c r="C238" i="54" s="1"/>
  <c r="K48" i="51"/>
  <c r="J36" i="53"/>
  <c r="J42" i="53" s="1"/>
  <c r="AP48" i="51"/>
  <c r="I36" i="54"/>
  <c r="I42" i="54" s="1"/>
  <c r="E217" i="54"/>
  <c r="E216" i="54"/>
  <c r="G215" i="53"/>
  <c r="G214" i="53"/>
  <c r="G213" i="53"/>
  <c r="G212" i="53"/>
  <c r="E226" i="54"/>
  <c r="AL176" i="55" s="1"/>
  <c r="CX176" i="55" s="1"/>
  <c r="BA50" i="51"/>
  <c r="C245" i="54"/>
  <c r="C252" i="54" s="1"/>
  <c r="AM71" i="51"/>
  <c r="AM73" i="51" s="1"/>
  <c r="AM64" i="51"/>
  <c r="F229" i="53"/>
  <c r="G179" i="55" s="1"/>
  <c r="F217" i="53"/>
  <c r="F216" i="53"/>
  <c r="AO57" i="51"/>
  <c r="AO58" i="51" s="1"/>
  <c r="AO72" i="51" s="1"/>
  <c r="I58" i="51"/>
  <c r="I72" i="51" s="1"/>
  <c r="AP52" i="51"/>
  <c r="AP54" i="51" s="1"/>
  <c r="I37" i="54"/>
  <c r="U43" i="54" s="1"/>
  <c r="AZ50" i="51"/>
  <c r="AN67" i="51"/>
  <c r="AN70" i="51" s="1"/>
  <c r="H70" i="51"/>
  <c r="D199" i="54"/>
  <c r="D200" i="54" s="1"/>
  <c r="E166" i="54"/>
  <c r="BR9" i="55" s="1"/>
  <c r="BR22" i="59" s="1"/>
  <c r="BR145" i="59" s="1"/>
  <c r="N160" i="54"/>
  <c r="H81" i="53"/>
  <c r="I61" i="51" s="1"/>
  <c r="H165" i="53"/>
  <c r="I9" i="55" s="1"/>
  <c r="I22" i="59" s="1"/>
  <c r="I145" i="59" s="1"/>
  <c r="F216" i="54"/>
  <c r="F217" i="54"/>
  <c r="C201" i="54"/>
  <c r="C206" i="54"/>
  <c r="C202" i="54"/>
  <c r="C205" i="54"/>
  <c r="C203" i="54"/>
  <c r="C204" i="54"/>
  <c r="C219" i="54"/>
  <c r="C218" i="54"/>
  <c r="U107" i="53"/>
  <c r="U108" i="53" s="1"/>
  <c r="V53" i="51" s="1"/>
  <c r="BB53" i="51" s="1"/>
  <c r="U113" i="53"/>
  <c r="U114" i="53" s="1"/>
  <c r="U109" i="53"/>
  <c r="U110" i="53" s="1"/>
  <c r="V62" i="51" s="1"/>
  <c r="BB62" i="51" s="1"/>
  <c r="U111" i="53"/>
  <c r="U112" i="53" s="1"/>
  <c r="K52" i="51"/>
  <c r="K54" i="51" s="1"/>
  <c r="J37" i="53"/>
  <c r="V43" i="53" s="1"/>
  <c r="AQ55" i="51"/>
  <c r="J39" i="54"/>
  <c r="O45" i="54" s="1"/>
  <c r="F222" i="54"/>
  <c r="F223" i="54"/>
  <c r="I78" i="53"/>
  <c r="I74" i="53"/>
  <c r="I75" i="53" s="1"/>
  <c r="J57" i="51" s="1"/>
  <c r="I72" i="53"/>
  <c r="I73" i="53" s="1"/>
  <c r="J49" i="51" s="1"/>
  <c r="AP49" i="51" s="1"/>
  <c r="I80" i="53"/>
  <c r="I47" i="53"/>
  <c r="N139" i="54"/>
  <c r="N140" i="54" s="1"/>
  <c r="N137" i="54"/>
  <c r="N138" i="54" s="1"/>
  <c r="N141" i="54"/>
  <c r="N142" i="54" s="1"/>
  <c r="I51" i="51"/>
  <c r="I67" i="51"/>
  <c r="H79" i="53"/>
  <c r="G81" i="54"/>
  <c r="G165" i="54"/>
  <c r="AQ52" i="51"/>
  <c r="AQ54" i="51" s="1"/>
  <c r="J37" i="54"/>
  <c r="V43" i="54" s="1"/>
  <c r="G209" i="53"/>
  <c r="G232" i="53"/>
  <c r="G233" i="53" s="1"/>
  <c r="E223" i="54"/>
  <c r="E222" i="54"/>
  <c r="E234" i="54" s="1"/>
  <c r="E235" i="54" s="1"/>
  <c r="D219" i="54"/>
  <c r="D218" i="54"/>
  <c r="T111" i="54"/>
  <c r="T112" i="54" s="1"/>
  <c r="T109" i="54"/>
  <c r="T110" i="54" s="1"/>
  <c r="T113" i="54"/>
  <c r="T114" i="54" s="1"/>
  <c r="T107" i="54"/>
  <c r="T108" i="54" s="1"/>
  <c r="AQ59" i="51"/>
  <c r="J38" i="54"/>
  <c r="AN61" i="51"/>
  <c r="H71" i="51"/>
  <c r="H73" i="51" s="1"/>
  <c r="H64" i="51"/>
  <c r="H211" i="54"/>
  <c r="F222" i="53"/>
  <c r="F234" i="53" s="1"/>
  <c r="F235" i="53" s="1"/>
  <c r="F223" i="53"/>
  <c r="L52" i="51"/>
  <c r="L54" i="51" s="1"/>
  <c r="K37" i="53"/>
  <c r="W43" i="53" s="1"/>
  <c r="L59" i="51"/>
  <c r="K38" i="53"/>
  <c r="D236" i="54"/>
  <c r="H81" i="54"/>
  <c r="H165" i="54"/>
  <c r="H162" i="53"/>
  <c r="N140" i="53"/>
  <c r="O63" i="51" s="1"/>
  <c r="AU63" i="51" s="1"/>
  <c r="E203" i="53"/>
  <c r="BR177" i="55" s="1"/>
  <c r="E206" i="53"/>
  <c r="BR180" i="55" s="1"/>
  <c r="E201" i="53"/>
  <c r="E204" i="53"/>
  <c r="BR178" i="55" s="1"/>
  <c r="E202" i="53"/>
  <c r="BR176" i="55" s="1"/>
  <c r="E205" i="53"/>
  <c r="BR179" i="55" s="1"/>
  <c r="N138" i="53"/>
  <c r="G166" i="53"/>
  <c r="F199" i="53"/>
  <c r="N142" i="53"/>
  <c r="O69" i="51" s="1"/>
  <c r="AU69" i="51" s="1"/>
  <c r="L55" i="51"/>
  <c r="K39" i="53"/>
  <c r="P45" i="53" s="1"/>
  <c r="O137" i="53"/>
  <c r="P56" i="51" s="1"/>
  <c r="AV56" i="51" s="1"/>
  <c r="O141" i="53"/>
  <c r="O139" i="53"/>
  <c r="O160" i="53"/>
  <c r="P66" i="51" s="1"/>
  <c r="AV66" i="51" s="1"/>
  <c r="N160" i="53"/>
  <c r="O66" i="51" s="1"/>
  <c r="AU66" i="51" s="1"/>
  <c r="L25" i="51"/>
  <c r="AR33" i="51"/>
  <c r="N36" i="51"/>
  <c r="N38" i="51" s="1"/>
  <c r="N20" i="59" s="1"/>
  <c r="M37" i="51"/>
  <c r="L43" i="51"/>
  <c r="AQ44" i="51"/>
  <c r="AQ43" i="51"/>
  <c r="M29" i="51"/>
  <c r="AQ25" i="51"/>
  <c r="M21" i="51"/>
  <c r="M24" i="51"/>
  <c r="M44" i="51" s="1"/>
  <c r="L39" i="51"/>
  <c r="AR24" i="51"/>
  <c r="AR29" i="51"/>
  <c r="AR15" i="51"/>
  <c r="AR17" i="51" s="1"/>
  <c r="AR21" i="51"/>
  <c r="AQ39" i="51"/>
  <c r="AS28" i="51"/>
  <c r="AS15" i="59" s="1"/>
  <c r="AS27" i="51"/>
  <c r="AS14" i="59" s="1"/>
  <c r="N14" i="51"/>
  <c r="N13" i="59" s="1"/>
  <c r="N13" i="51"/>
  <c r="N12" i="59" s="1"/>
  <c r="AS36" i="51"/>
  <c r="AR37" i="51"/>
  <c r="AR19" i="59" s="1"/>
  <c r="AR38" i="51"/>
  <c r="AR20" i="59" s="1"/>
  <c r="M15" i="51"/>
  <c r="AS31" i="51"/>
  <c r="AS16" i="59" s="1"/>
  <c r="AS32" i="51"/>
  <c r="AS17" i="59" s="1"/>
  <c r="AS34" i="51"/>
  <c r="AS18" i="59" s="1"/>
  <c r="AR35" i="51"/>
  <c r="AT12" i="51"/>
  <c r="P10" i="51"/>
  <c r="AU10" i="51"/>
  <c r="O12" i="51"/>
  <c r="L44" i="51"/>
  <c r="AS23" i="51"/>
  <c r="AS11" i="59" s="1"/>
  <c r="AS22" i="51"/>
  <c r="AS10" i="59" s="1"/>
  <c r="AS20" i="51"/>
  <c r="AS9" i="59" s="1"/>
  <c r="AS19" i="51"/>
  <c r="AS8" i="59" s="1"/>
  <c r="AS14" i="51"/>
  <c r="AS13" i="59" s="1"/>
  <c r="AS13" i="51"/>
  <c r="AS12" i="59" s="1"/>
  <c r="M33" i="51"/>
  <c r="M35" i="51" s="1"/>
  <c r="O30" i="51"/>
  <c r="AT30" i="51"/>
  <c r="N34" i="51"/>
  <c r="N18" i="59" s="1"/>
  <c r="N32" i="51"/>
  <c r="N17" i="59" s="1"/>
  <c r="N31" i="51"/>
  <c r="N16" i="59" s="1"/>
  <c r="N20" i="51"/>
  <c r="N9" i="59" s="1"/>
  <c r="AT18" i="51"/>
  <c r="N19" i="51"/>
  <c r="N8" i="59" s="1"/>
  <c r="O18" i="51"/>
  <c r="N22" i="51"/>
  <c r="N10" i="59" s="1"/>
  <c r="N23" i="51"/>
  <c r="N11" i="59" s="1"/>
  <c r="O26" i="51"/>
  <c r="N27" i="51"/>
  <c r="N14" i="59" s="1"/>
  <c r="N28" i="51"/>
  <c r="N15" i="59" s="1"/>
  <c r="AT26" i="51"/>
  <c r="N69" i="59" l="1"/>
  <c r="N86" i="59"/>
  <c r="N113" i="59"/>
  <c r="N43" i="59"/>
  <c r="AS111" i="59"/>
  <c r="AS41" i="59"/>
  <c r="AS84" i="59"/>
  <c r="AS67" i="59"/>
  <c r="AR90" i="59"/>
  <c r="AR47" i="59"/>
  <c r="AR117" i="59"/>
  <c r="AR73" i="59"/>
  <c r="N85" i="59"/>
  <c r="N68" i="59"/>
  <c r="N112" i="59"/>
  <c r="N42" i="59"/>
  <c r="F146" i="59"/>
  <c r="N88" i="59"/>
  <c r="N115" i="59"/>
  <c r="N45" i="59"/>
  <c r="N71" i="59"/>
  <c r="N84" i="59"/>
  <c r="N41" i="59"/>
  <c r="N111" i="59"/>
  <c r="N67" i="59"/>
  <c r="M39" i="51"/>
  <c r="M19" i="59"/>
  <c r="BP51" i="59"/>
  <c r="BP147" i="59"/>
  <c r="BP94" i="59"/>
  <c r="N87" i="59"/>
  <c r="N114" i="59"/>
  <c r="N44" i="59"/>
  <c r="N70" i="59"/>
  <c r="AS88" i="59"/>
  <c r="AS115" i="59"/>
  <c r="AS45" i="59"/>
  <c r="AS71" i="59"/>
  <c r="AS42" i="59"/>
  <c r="AS68" i="59"/>
  <c r="AS85" i="59"/>
  <c r="AS112" i="59"/>
  <c r="N118" i="59"/>
  <c r="N48" i="59"/>
  <c r="N91" i="59"/>
  <c r="N74" i="59"/>
  <c r="BQ24" i="59"/>
  <c r="BQ154" i="59"/>
  <c r="AS44" i="59"/>
  <c r="AS87" i="59"/>
  <c r="AS114" i="59"/>
  <c r="AS70" i="59"/>
  <c r="AS113" i="59"/>
  <c r="AS43" i="59"/>
  <c r="AS69" i="59"/>
  <c r="AS86" i="59"/>
  <c r="BQ101" i="59"/>
  <c r="BQ153" i="59"/>
  <c r="N89" i="59"/>
  <c r="N116" i="59"/>
  <c r="N46" i="59"/>
  <c r="N72" i="59"/>
  <c r="N83" i="59"/>
  <c r="N110" i="59"/>
  <c r="N66" i="59"/>
  <c r="N40" i="59"/>
  <c r="AS89" i="59"/>
  <c r="AS116" i="59"/>
  <c r="AS46" i="59"/>
  <c r="AS72" i="59"/>
  <c r="AS83" i="59"/>
  <c r="AS110" i="59"/>
  <c r="AS40" i="59"/>
  <c r="AS66" i="59"/>
  <c r="AR118" i="59"/>
  <c r="AR48" i="59"/>
  <c r="AR91" i="59"/>
  <c r="AR74" i="59"/>
  <c r="F230" i="53"/>
  <c r="G180" i="55" s="1"/>
  <c r="F226" i="54"/>
  <c r="AM176" i="55" s="1"/>
  <c r="CY176" i="55" s="1"/>
  <c r="F228" i="53"/>
  <c r="G178" i="55" s="1"/>
  <c r="F227" i="54"/>
  <c r="AM177" i="55" s="1"/>
  <c r="CY177" i="55" s="1"/>
  <c r="F225" i="53"/>
  <c r="F228" i="54"/>
  <c r="AM178" i="55" s="1"/>
  <c r="CY178" i="55" s="1"/>
  <c r="CY49" i="59"/>
  <c r="CY120" i="59"/>
  <c r="CY92" i="59"/>
  <c r="C60" i="60"/>
  <c r="F230" i="54"/>
  <c r="AM180" i="55" s="1"/>
  <c r="CY180" i="55" s="1"/>
  <c r="F229" i="54"/>
  <c r="AM179" i="55" s="1"/>
  <c r="CY179" i="55" s="1"/>
  <c r="F227" i="53"/>
  <c r="G177" i="55" s="1"/>
  <c r="E50" i="59"/>
  <c r="E31" i="59"/>
  <c r="D50" i="59"/>
  <c r="D31" i="59"/>
  <c r="D154" i="59" s="1"/>
  <c r="I49" i="59"/>
  <c r="BR120" i="59"/>
  <c r="BR49" i="59"/>
  <c r="BR31" i="59"/>
  <c r="BR154" i="59" s="1"/>
  <c r="AM49" i="59"/>
  <c r="F50" i="59"/>
  <c r="F31" i="59"/>
  <c r="BP96" i="59"/>
  <c r="BP52" i="59"/>
  <c r="AM92" i="59"/>
  <c r="AM120" i="59"/>
  <c r="N80" i="59"/>
  <c r="N107" i="59"/>
  <c r="N37" i="59"/>
  <c r="N63" i="59"/>
  <c r="N82" i="59"/>
  <c r="N109" i="59"/>
  <c r="N39" i="59"/>
  <c r="N65" i="59"/>
  <c r="AS81" i="59"/>
  <c r="AS108" i="59"/>
  <c r="AS38" i="59"/>
  <c r="AS64" i="59"/>
  <c r="AS82" i="59"/>
  <c r="AS109" i="59"/>
  <c r="AS39" i="59"/>
  <c r="AS65" i="59"/>
  <c r="AS37" i="59"/>
  <c r="AS80" i="59"/>
  <c r="AS107" i="59"/>
  <c r="AS63" i="59"/>
  <c r="N81" i="59"/>
  <c r="N108" i="59"/>
  <c r="N38" i="59"/>
  <c r="N64" i="59"/>
  <c r="N36" i="59"/>
  <c r="N79" i="59"/>
  <c r="N106" i="59"/>
  <c r="N62" i="59"/>
  <c r="AR75" i="59"/>
  <c r="AS79" i="59"/>
  <c r="AS106" i="59"/>
  <c r="AS36" i="59"/>
  <c r="AS62" i="59"/>
  <c r="AN22" i="59"/>
  <c r="AN145" i="59" s="1"/>
  <c r="CZ9" i="55"/>
  <c r="CZ22" i="59" s="1"/>
  <c r="CZ145" i="59" s="1"/>
  <c r="E229" i="54"/>
  <c r="AL179" i="55" s="1"/>
  <c r="CX179" i="55" s="1"/>
  <c r="G211" i="54"/>
  <c r="G213" i="54" s="1"/>
  <c r="E230" i="54"/>
  <c r="AL180" i="55" s="1"/>
  <c r="CX180" i="55" s="1"/>
  <c r="E225" i="54"/>
  <c r="E228" i="54"/>
  <c r="AL178" i="55" s="1"/>
  <c r="CX178" i="55" s="1"/>
  <c r="BP36" i="55"/>
  <c r="BP37" i="55"/>
  <c r="BP59" i="55"/>
  <c r="BP175" i="55"/>
  <c r="BP106" i="55"/>
  <c r="BP16" i="57" s="1"/>
  <c r="BP83" i="55"/>
  <c r="BP82" i="55"/>
  <c r="BP60" i="55"/>
  <c r="BP14" i="57" s="1"/>
  <c r="F121" i="59"/>
  <c r="I120" i="59"/>
  <c r="BP105" i="55"/>
  <c r="E121" i="59"/>
  <c r="BQ97" i="59"/>
  <c r="BQ124" i="59"/>
  <c r="BP95" i="59"/>
  <c r="BP123" i="59"/>
  <c r="BQ98" i="59"/>
  <c r="BQ125" i="59"/>
  <c r="D121" i="59"/>
  <c r="BQ99" i="59"/>
  <c r="BQ126" i="59"/>
  <c r="BQ100" i="59"/>
  <c r="BQ127" i="59"/>
  <c r="BP122" i="59"/>
  <c r="F93" i="59"/>
  <c r="D93" i="59"/>
  <c r="E93" i="59"/>
  <c r="BR92" i="59"/>
  <c r="I92" i="59"/>
  <c r="BQ57" i="59"/>
  <c r="BQ54" i="59"/>
  <c r="BQ56" i="59"/>
  <c r="BQ55" i="59"/>
  <c r="F75" i="51"/>
  <c r="F76" i="51" s="1"/>
  <c r="BQ19" i="55"/>
  <c r="BQ174" i="55" s="1"/>
  <c r="BQ25" i="59"/>
  <c r="BQ148" i="59" s="1"/>
  <c r="D58" i="58"/>
  <c r="E58" i="58"/>
  <c r="E5" i="58" s="1"/>
  <c r="F59" i="58"/>
  <c r="D59" i="58"/>
  <c r="E59" i="58"/>
  <c r="H211" i="53"/>
  <c r="H213" i="53" s="1"/>
  <c r="C240" i="54"/>
  <c r="C261" i="54" s="1"/>
  <c r="C262" i="54" s="1"/>
  <c r="AJ78" i="51" s="1"/>
  <c r="BP128" i="55"/>
  <c r="N37" i="51"/>
  <c r="N19" i="59" s="1"/>
  <c r="G210" i="53"/>
  <c r="G230" i="53" s="1"/>
  <c r="H180" i="55" s="1"/>
  <c r="H172" i="55"/>
  <c r="AR44" i="51"/>
  <c r="F200" i="53"/>
  <c r="F204" i="53" s="1"/>
  <c r="BS178" i="55" s="1"/>
  <c r="BS172" i="55"/>
  <c r="C254" i="54"/>
  <c r="AJ75" i="51" s="1"/>
  <c r="BP66" i="55"/>
  <c r="BP35" i="57" s="1"/>
  <c r="AJ74" i="51"/>
  <c r="I207" i="53"/>
  <c r="I211" i="53" s="1"/>
  <c r="J4" i="55"/>
  <c r="J51" i="51"/>
  <c r="BQ6" i="55"/>
  <c r="AO9" i="55"/>
  <c r="D14" i="55"/>
  <c r="D28" i="59" s="1"/>
  <c r="D11" i="55"/>
  <c r="D12" i="55"/>
  <c r="D26" i="59" s="1"/>
  <c r="D16" i="55"/>
  <c r="D30" i="59" s="1"/>
  <c r="D13" i="55"/>
  <c r="D27" i="59" s="1"/>
  <c r="D150" i="59" s="1"/>
  <c r="D15" i="55"/>
  <c r="D29" i="59" s="1"/>
  <c r="D152" i="59" s="1"/>
  <c r="F11" i="55"/>
  <c r="F15" i="55"/>
  <c r="F29" i="59" s="1"/>
  <c r="F14" i="55"/>
  <c r="F28" i="59" s="1"/>
  <c r="F12" i="55"/>
  <c r="F26" i="59" s="1"/>
  <c r="F53" i="59" s="1"/>
  <c r="F16" i="55"/>
  <c r="F30" i="59" s="1"/>
  <c r="F13" i="55"/>
  <c r="F27" i="59" s="1"/>
  <c r="BR13" i="55"/>
  <c r="BR27" i="59" s="1"/>
  <c r="BR150" i="59" s="1"/>
  <c r="BR16" i="55"/>
  <c r="BR30" i="59" s="1"/>
  <c r="BR11" i="55"/>
  <c r="BR15" i="55"/>
  <c r="BR29" i="59" s="1"/>
  <c r="BR152" i="59" s="1"/>
  <c r="BR14" i="55"/>
  <c r="BR28" i="59" s="1"/>
  <c r="BR151" i="59" s="1"/>
  <c r="BR12" i="55"/>
  <c r="BR26" i="59" s="1"/>
  <c r="BR53" i="59" s="1"/>
  <c r="E16" i="55"/>
  <c r="E30" i="59" s="1"/>
  <c r="E14" i="55"/>
  <c r="E28" i="59" s="1"/>
  <c r="E151" i="59" s="1"/>
  <c r="E13" i="55"/>
  <c r="E27" i="59" s="1"/>
  <c r="E150" i="59" s="1"/>
  <c r="E11" i="55"/>
  <c r="E12" i="55"/>
  <c r="E26" i="59" s="1"/>
  <c r="E53" i="59" s="1"/>
  <c r="E15" i="55"/>
  <c r="E29" i="59" s="1"/>
  <c r="E152" i="59" s="1"/>
  <c r="BQ7" i="55"/>
  <c r="AR59" i="51"/>
  <c r="K38" i="54"/>
  <c r="F234" i="54"/>
  <c r="F235" i="54" s="1"/>
  <c r="F236" i="54"/>
  <c r="AR55" i="51"/>
  <c r="K39" i="54"/>
  <c r="P45" i="54" s="1"/>
  <c r="H232" i="54"/>
  <c r="H233" i="54" s="1"/>
  <c r="H209" i="54"/>
  <c r="DA172" i="55" s="1"/>
  <c r="G232" i="54"/>
  <c r="G233" i="54" s="1"/>
  <c r="G209" i="54"/>
  <c r="CZ172" i="55" s="1"/>
  <c r="I208" i="53"/>
  <c r="H209" i="53"/>
  <c r="H232" i="53"/>
  <c r="H233" i="53" s="1"/>
  <c r="F219" i="53"/>
  <c r="F218" i="53"/>
  <c r="H213" i="54"/>
  <c r="H215" i="54"/>
  <c r="H214" i="54"/>
  <c r="H212" i="54"/>
  <c r="I162" i="53"/>
  <c r="O137" i="54"/>
  <c r="O138" i="54" s="1"/>
  <c r="O139" i="54"/>
  <c r="O140" i="54" s="1"/>
  <c r="O141" i="54"/>
  <c r="O142" i="54" s="1"/>
  <c r="AO61" i="51"/>
  <c r="I71" i="51"/>
  <c r="I73" i="51" s="1"/>
  <c r="I64" i="51"/>
  <c r="E236" i="54"/>
  <c r="H212" i="53"/>
  <c r="E219" i="54"/>
  <c r="E218" i="54"/>
  <c r="D237" i="54"/>
  <c r="D238" i="54" s="1"/>
  <c r="D240" i="54" s="1"/>
  <c r="D239" i="54"/>
  <c r="I81" i="53"/>
  <c r="J61" i="51" s="1"/>
  <c r="I165" i="53"/>
  <c r="J9" i="55" s="1"/>
  <c r="J22" i="59" s="1"/>
  <c r="J145" i="59" s="1"/>
  <c r="C221" i="54"/>
  <c r="C220" i="54"/>
  <c r="C224" i="54" s="1"/>
  <c r="I80" i="54"/>
  <c r="I72" i="54"/>
  <c r="I73" i="54" s="1"/>
  <c r="I74" i="54"/>
  <c r="I75" i="54" s="1"/>
  <c r="I78" i="54"/>
  <c r="I79" i="54" s="1"/>
  <c r="I47" i="54"/>
  <c r="G226" i="53"/>
  <c r="H176" i="55" s="1"/>
  <c r="AO67" i="51"/>
  <c r="AO70" i="51" s="1"/>
  <c r="I70" i="51"/>
  <c r="V107" i="53"/>
  <c r="V108" i="53" s="1"/>
  <c r="W53" i="51" s="1"/>
  <c r="BC53" i="51" s="1"/>
  <c r="V109" i="53"/>
  <c r="V110" i="53" s="1"/>
  <c r="W62" i="51" s="1"/>
  <c r="BC62" i="51" s="1"/>
  <c r="V111" i="53"/>
  <c r="V112" i="53" s="1"/>
  <c r="V113" i="53"/>
  <c r="V114" i="53" s="1"/>
  <c r="U113" i="54"/>
  <c r="U114" i="54" s="1"/>
  <c r="U111" i="54"/>
  <c r="U112" i="54" s="1"/>
  <c r="U109" i="54"/>
  <c r="U110" i="54" s="1"/>
  <c r="U107" i="54"/>
  <c r="U108" i="54" s="1"/>
  <c r="G216" i="53"/>
  <c r="G217" i="53"/>
  <c r="AP51" i="51"/>
  <c r="AQ65" i="51"/>
  <c r="J40" i="54"/>
  <c r="O46" i="54" s="1"/>
  <c r="O159" i="54" s="1"/>
  <c r="AQ48" i="51"/>
  <c r="J36" i="54"/>
  <c r="J42" i="54" s="1"/>
  <c r="L48" i="51"/>
  <c r="K36" i="53"/>
  <c r="K42" i="53" s="1"/>
  <c r="AP57" i="51"/>
  <c r="AP58" i="51" s="1"/>
  <c r="AP72" i="51" s="1"/>
  <c r="J58" i="51"/>
  <c r="J72" i="51" s="1"/>
  <c r="E199" i="54"/>
  <c r="E200" i="54" s="1"/>
  <c r="F166" i="54"/>
  <c r="BS9" i="55" s="1"/>
  <c r="BS22" i="59" s="1"/>
  <c r="BS145" i="59" s="1"/>
  <c r="G223" i="53"/>
  <c r="G222" i="53"/>
  <c r="G234" i="53" s="1"/>
  <c r="G235" i="53" s="1"/>
  <c r="J72" i="53"/>
  <c r="J73" i="53" s="1"/>
  <c r="K49" i="51" s="1"/>
  <c r="AQ49" i="51" s="1"/>
  <c r="J74" i="53"/>
  <c r="J75" i="53" s="1"/>
  <c r="K57" i="51" s="1"/>
  <c r="J80" i="53"/>
  <c r="J78" i="53"/>
  <c r="J47" i="53"/>
  <c r="J162" i="53" s="1"/>
  <c r="M59" i="51"/>
  <c r="L38" i="53"/>
  <c r="G212" i="54"/>
  <c r="G215" i="54"/>
  <c r="G214" i="54"/>
  <c r="W107" i="53"/>
  <c r="W108" i="53" s="1"/>
  <c r="X53" i="51" s="1"/>
  <c r="BD53" i="51" s="1"/>
  <c r="W113" i="53"/>
  <c r="W114" i="53" s="1"/>
  <c r="W111" i="53"/>
  <c r="W112" i="53" s="1"/>
  <c r="W109" i="53"/>
  <c r="W110" i="53" s="1"/>
  <c r="X62" i="51" s="1"/>
  <c r="BD62" i="51" s="1"/>
  <c r="AN71" i="51"/>
  <c r="AN73" i="51" s="1"/>
  <c r="AN64" i="51"/>
  <c r="D221" i="54"/>
  <c r="D220" i="54"/>
  <c r="D224" i="54" s="1"/>
  <c r="V113" i="54"/>
  <c r="V114" i="54" s="1"/>
  <c r="V107" i="54"/>
  <c r="V108" i="54" s="1"/>
  <c r="V109" i="54"/>
  <c r="V110" i="54" s="1"/>
  <c r="V111" i="54"/>
  <c r="V112" i="54" s="1"/>
  <c r="J67" i="51"/>
  <c r="I79" i="53"/>
  <c r="D203" i="54"/>
  <c r="D201" i="54"/>
  <c r="D204" i="54"/>
  <c r="D206" i="54"/>
  <c r="D205" i="54"/>
  <c r="D202" i="54"/>
  <c r="F236" i="53"/>
  <c r="F239" i="53" s="1"/>
  <c r="AR52" i="51"/>
  <c r="AR54" i="51" s="1"/>
  <c r="K37" i="54"/>
  <c r="W43" i="54" s="1"/>
  <c r="V68" i="51"/>
  <c r="BB68" i="51" s="1"/>
  <c r="V50" i="51"/>
  <c r="F219" i="54"/>
  <c r="F218" i="54"/>
  <c r="M55" i="51"/>
  <c r="L39" i="53"/>
  <c r="Q45" i="53" s="1"/>
  <c r="O140" i="53"/>
  <c r="P63" i="51" s="1"/>
  <c r="AV63" i="51" s="1"/>
  <c r="O142" i="53"/>
  <c r="P69" i="51" s="1"/>
  <c r="AV69" i="51" s="1"/>
  <c r="O138" i="53"/>
  <c r="P137" i="53"/>
  <c r="Q56" i="51" s="1"/>
  <c r="AW56" i="51" s="1"/>
  <c r="P139" i="53"/>
  <c r="P141" i="53"/>
  <c r="L65" i="51"/>
  <c r="K40" i="53"/>
  <c r="P46" i="53" s="1"/>
  <c r="P159" i="53" s="1"/>
  <c r="M65" i="51"/>
  <c r="L40" i="53"/>
  <c r="Q46" i="53" s="1"/>
  <c r="Q159" i="53" s="1"/>
  <c r="H166" i="53"/>
  <c r="G199" i="53"/>
  <c r="AQ46" i="51"/>
  <c r="L46" i="51"/>
  <c r="N15" i="51"/>
  <c r="N17" i="51" s="1"/>
  <c r="M25" i="51"/>
  <c r="AR43" i="51"/>
  <c r="AR46" i="51" s="1"/>
  <c r="AS29" i="51"/>
  <c r="N29" i="51"/>
  <c r="N39" i="51"/>
  <c r="AS21" i="51"/>
  <c r="AR39" i="51"/>
  <c r="N21" i="51"/>
  <c r="AR25" i="51"/>
  <c r="AT28" i="51"/>
  <c r="AT15" i="59" s="1"/>
  <c r="AT27" i="51"/>
  <c r="AT14" i="59" s="1"/>
  <c r="N33" i="51"/>
  <c r="N35" i="51" s="1"/>
  <c r="P30" i="51"/>
  <c r="AU30" i="51"/>
  <c r="O32" i="51"/>
  <c r="O17" i="59" s="1"/>
  <c r="O31" i="51"/>
  <c r="O16" i="59" s="1"/>
  <c r="O34" i="51"/>
  <c r="O18" i="59" s="1"/>
  <c r="AS24" i="51"/>
  <c r="O14" i="51"/>
  <c r="O13" i="59" s="1"/>
  <c r="O13" i="51"/>
  <c r="O12" i="59" s="1"/>
  <c r="AT14" i="51"/>
  <c r="AT13" i="59" s="1"/>
  <c r="AT13" i="51"/>
  <c r="AT12" i="59" s="1"/>
  <c r="AU12" i="51"/>
  <c r="AS33" i="51"/>
  <c r="AS35" i="51" s="1"/>
  <c r="AT22" i="51"/>
  <c r="AT10" i="59" s="1"/>
  <c r="AT19" i="51"/>
  <c r="AT8" i="59" s="1"/>
  <c r="AT20" i="51"/>
  <c r="AT9" i="59" s="1"/>
  <c r="AT23" i="51"/>
  <c r="AT11" i="59" s="1"/>
  <c r="N24" i="51"/>
  <c r="Q10" i="51"/>
  <c r="AV10" i="51"/>
  <c r="P12" i="51"/>
  <c r="O28" i="51"/>
  <c r="O15" i="59" s="1"/>
  <c r="P26" i="51"/>
  <c r="O27" i="51"/>
  <c r="O14" i="59" s="1"/>
  <c r="AU26" i="51"/>
  <c r="O20" i="51"/>
  <c r="O9" i="59" s="1"/>
  <c r="O22" i="51"/>
  <c r="O10" i="59" s="1"/>
  <c r="P18" i="51"/>
  <c r="O19" i="51"/>
  <c r="O8" i="59" s="1"/>
  <c r="O23" i="51"/>
  <c r="O11" i="59" s="1"/>
  <c r="AU18" i="51"/>
  <c r="AT34" i="51"/>
  <c r="AT18" i="59" s="1"/>
  <c r="AT31" i="51"/>
  <c r="AT16" i="59" s="1"/>
  <c r="AT32" i="51"/>
  <c r="AT17" i="59" s="1"/>
  <c r="AS15" i="51"/>
  <c r="O36" i="51"/>
  <c r="AT36" i="51"/>
  <c r="M43" i="51"/>
  <c r="M46" i="51" s="1"/>
  <c r="M17" i="51"/>
  <c r="AS38" i="51"/>
  <c r="AS20" i="59" s="1"/>
  <c r="AS37" i="51"/>
  <c r="AS19" i="59" s="1"/>
  <c r="G227" i="53" l="1"/>
  <c r="H177" i="55" s="1"/>
  <c r="F206" i="53"/>
  <c r="BS180" i="55" s="1"/>
  <c r="E24" i="59"/>
  <c r="E51" i="59" s="1"/>
  <c r="O44" i="59"/>
  <c r="O87" i="59"/>
  <c r="O114" i="59"/>
  <c r="O70" i="59"/>
  <c r="O88" i="59"/>
  <c r="O115" i="59"/>
  <c r="O45" i="59"/>
  <c r="O71" i="59"/>
  <c r="F150" i="59"/>
  <c r="D101" i="59"/>
  <c r="D153" i="59"/>
  <c r="AT83" i="59"/>
  <c r="AT110" i="59"/>
  <c r="AT40" i="59"/>
  <c r="AT66" i="59"/>
  <c r="E101" i="59"/>
  <c r="E153" i="59"/>
  <c r="F101" i="59"/>
  <c r="F153" i="59"/>
  <c r="N47" i="59"/>
  <c r="N73" i="59"/>
  <c r="N75" i="59" s="1"/>
  <c r="N90" i="59"/>
  <c r="N117" i="59"/>
  <c r="M47" i="59"/>
  <c r="M73" i="59"/>
  <c r="M75" i="59" s="1"/>
  <c r="M90" i="59"/>
  <c r="M117" i="59"/>
  <c r="AT41" i="59"/>
  <c r="AT84" i="59"/>
  <c r="AT67" i="59"/>
  <c r="AT111" i="59"/>
  <c r="AS90" i="59"/>
  <c r="AS73" i="59"/>
  <c r="AS117" i="59"/>
  <c r="AS47" i="59"/>
  <c r="O83" i="59"/>
  <c r="O110" i="59"/>
  <c r="O40" i="59"/>
  <c r="O66" i="59"/>
  <c r="F151" i="59"/>
  <c r="R9" i="63"/>
  <c r="D151" i="59"/>
  <c r="AT87" i="59"/>
  <c r="AT44" i="59"/>
  <c r="AT114" i="59"/>
  <c r="AT70" i="59"/>
  <c r="AT89" i="59"/>
  <c r="AT116" i="59"/>
  <c r="AT46" i="59"/>
  <c r="AT72" i="59"/>
  <c r="O41" i="59"/>
  <c r="O84" i="59"/>
  <c r="O67" i="59"/>
  <c r="O111" i="59"/>
  <c r="AT85" i="59"/>
  <c r="AT112" i="59"/>
  <c r="AT42" i="59"/>
  <c r="AT68" i="59"/>
  <c r="F152" i="59"/>
  <c r="E154" i="59"/>
  <c r="BQ51" i="59"/>
  <c r="BQ147" i="59"/>
  <c r="AS48" i="59"/>
  <c r="AS74" i="59"/>
  <c r="AS91" i="59"/>
  <c r="AS118" i="59"/>
  <c r="O112" i="59"/>
  <c r="O42" i="59"/>
  <c r="O68" i="59"/>
  <c r="O85" i="59"/>
  <c r="AT69" i="59"/>
  <c r="AT86" i="59"/>
  <c r="AT113" i="59"/>
  <c r="AT43" i="59"/>
  <c r="F24" i="59"/>
  <c r="AT88" i="59"/>
  <c r="AT115" i="59"/>
  <c r="AT45" i="59"/>
  <c r="AT71" i="59"/>
  <c r="O69" i="59"/>
  <c r="O43" i="59"/>
  <c r="O113" i="59"/>
  <c r="O86" i="59"/>
  <c r="O89" i="59"/>
  <c r="O116" i="59"/>
  <c r="O46" i="59"/>
  <c r="O72" i="59"/>
  <c r="BR101" i="59"/>
  <c r="BR153" i="59"/>
  <c r="F154" i="59"/>
  <c r="BP29" i="57"/>
  <c r="BP19" i="57"/>
  <c r="BP181" i="55"/>
  <c r="BP40" i="57" s="1"/>
  <c r="D11" i="58"/>
  <c r="D6" i="58"/>
  <c r="BP43" i="55"/>
  <c r="BP34" i="57" s="1"/>
  <c r="BP13" i="57"/>
  <c r="BR24" i="59"/>
  <c r="H214" i="53"/>
  <c r="F11" i="58"/>
  <c r="F6" i="58"/>
  <c r="BP25" i="57"/>
  <c r="BP15" i="57"/>
  <c r="E11" i="58"/>
  <c r="E6" i="58"/>
  <c r="CZ49" i="59"/>
  <c r="CZ120" i="59"/>
  <c r="CZ92" i="59"/>
  <c r="R12" i="63"/>
  <c r="BQ96" i="59"/>
  <c r="BQ52" i="59"/>
  <c r="BS120" i="59"/>
  <c r="BS49" i="59"/>
  <c r="BS31" i="59"/>
  <c r="BS154" i="59" s="1"/>
  <c r="J49" i="59"/>
  <c r="AN120" i="59"/>
  <c r="AN49" i="59"/>
  <c r="D20" i="55"/>
  <c r="D24" i="59"/>
  <c r="R11" i="63"/>
  <c r="D53" i="59"/>
  <c r="AT81" i="59"/>
  <c r="AT108" i="59"/>
  <c r="AT38" i="59"/>
  <c r="AT64" i="59"/>
  <c r="O82" i="59"/>
  <c r="O109" i="59"/>
  <c r="O39" i="59"/>
  <c r="O65" i="59"/>
  <c r="AT80" i="59"/>
  <c r="AT107" i="59"/>
  <c r="AT37" i="59"/>
  <c r="AT63" i="59"/>
  <c r="O79" i="59"/>
  <c r="O106" i="59"/>
  <c r="O36" i="59"/>
  <c r="O62" i="59"/>
  <c r="O81" i="59"/>
  <c r="O108" i="59"/>
  <c r="O38" i="59"/>
  <c r="O64" i="59"/>
  <c r="O80" i="59"/>
  <c r="O107" i="59"/>
  <c r="O37" i="59"/>
  <c r="O63" i="59"/>
  <c r="AT39" i="59"/>
  <c r="AT82" i="59"/>
  <c r="AT109" i="59"/>
  <c r="AT65" i="59"/>
  <c r="AT79" i="59"/>
  <c r="AT106" i="59"/>
  <c r="AT36" i="59"/>
  <c r="AT62" i="59"/>
  <c r="AS75" i="59"/>
  <c r="AN92" i="59"/>
  <c r="BP129" i="55"/>
  <c r="BP26" i="57"/>
  <c r="AO22" i="59"/>
  <c r="AO145" i="59" s="1"/>
  <c r="DA9" i="55"/>
  <c r="DA22" i="59" s="1"/>
  <c r="DA145" i="59" s="1"/>
  <c r="BP128" i="59"/>
  <c r="BP24" i="57"/>
  <c r="H215" i="53"/>
  <c r="BP23" i="57"/>
  <c r="G228" i="53"/>
  <c r="H178" i="55" s="1"/>
  <c r="D10" i="58"/>
  <c r="D32" i="59" s="1"/>
  <c r="D5" i="58"/>
  <c r="G225" i="53"/>
  <c r="G229" i="53"/>
  <c r="H179" i="55" s="1"/>
  <c r="BQ106" i="55"/>
  <c r="BQ37" i="55"/>
  <c r="BQ13" i="57" s="1"/>
  <c r="BQ82" i="55"/>
  <c r="BQ59" i="55"/>
  <c r="BQ83" i="55"/>
  <c r="BQ15" i="57" s="1"/>
  <c r="BP89" i="55"/>
  <c r="BP36" i="57" s="1"/>
  <c r="BP112" i="55"/>
  <c r="BP37" i="57" s="1"/>
  <c r="BQ105" i="55"/>
  <c r="BQ26" i="57" s="1"/>
  <c r="BP5" i="57"/>
  <c r="J120" i="59"/>
  <c r="BP152" i="55"/>
  <c r="BP18" i="57" s="1"/>
  <c r="E98" i="59"/>
  <c r="E125" i="59"/>
  <c r="BR98" i="59"/>
  <c r="BR125" i="59"/>
  <c r="D100" i="59"/>
  <c r="D127" i="59"/>
  <c r="E99" i="59"/>
  <c r="E126" i="59"/>
  <c r="D98" i="59"/>
  <c r="D125" i="59"/>
  <c r="BR99" i="59"/>
  <c r="BR126" i="59"/>
  <c r="F97" i="59"/>
  <c r="F124" i="59"/>
  <c r="BQ94" i="59"/>
  <c r="BQ122" i="59"/>
  <c r="E100" i="59"/>
  <c r="E127" i="59"/>
  <c r="BR100" i="59"/>
  <c r="BR127" i="59"/>
  <c r="F99" i="59"/>
  <c r="F126" i="59"/>
  <c r="D99" i="59"/>
  <c r="D126" i="59"/>
  <c r="F98" i="59"/>
  <c r="F125" i="59"/>
  <c r="BR97" i="59"/>
  <c r="BR124" i="59"/>
  <c r="D97" i="59"/>
  <c r="D124" i="59"/>
  <c r="BQ95" i="59"/>
  <c r="BQ123" i="59"/>
  <c r="E97" i="59"/>
  <c r="E124" i="59"/>
  <c r="F100" i="59"/>
  <c r="F127" i="59"/>
  <c r="E10" i="58"/>
  <c r="J92" i="59"/>
  <c r="BS92" i="59"/>
  <c r="BP102" i="59"/>
  <c r="BP58" i="59"/>
  <c r="E57" i="59"/>
  <c r="BR57" i="59"/>
  <c r="F56" i="59"/>
  <c r="D56" i="59"/>
  <c r="E54" i="59"/>
  <c r="F57" i="59"/>
  <c r="E56" i="59"/>
  <c r="D55" i="59"/>
  <c r="F55" i="59"/>
  <c r="E55" i="59"/>
  <c r="BR55" i="59"/>
  <c r="BR54" i="59"/>
  <c r="D54" i="59"/>
  <c r="D57" i="59"/>
  <c r="BR56" i="59"/>
  <c r="F54" i="59"/>
  <c r="AJ77" i="51"/>
  <c r="AJ59" i="58" s="1"/>
  <c r="D25" i="59"/>
  <c r="D148" i="59" s="1"/>
  <c r="BR19" i="55"/>
  <c r="BR105" i="55" s="1"/>
  <c r="BR25" i="59"/>
  <c r="BR148" i="59" s="1"/>
  <c r="E25" i="59"/>
  <c r="F25" i="59"/>
  <c r="BQ36" i="55"/>
  <c r="BQ60" i="55"/>
  <c r="BQ175" i="55"/>
  <c r="BQ19" i="57" s="1"/>
  <c r="F201" i="53"/>
  <c r="F203" i="53"/>
  <c r="BS177" i="55" s="1"/>
  <c r="F205" i="53"/>
  <c r="BS179" i="55" s="1"/>
  <c r="F58" i="58"/>
  <c r="F5" i="58" s="1"/>
  <c r="F202" i="53"/>
  <c r="BS176" i="55" s="1"/>
  <c r="AJ76" i="51"/>
  <c r="C256" i="54"/>
  <c r="AJ10" i="55"/>
  <c r="H210" i="53"/>
  <c r="H225" i="53" s="1"/>
  <c r="I172" i="55"/>
  <c r="BP151" i="55"/>
  <c r="G210" i="54"/>
  <c r="G226" i="54" s="1"/>
  <c r="AN176" i="55" s="1"/>
  <c r="CZ176" i="55" s="1"/>
  <c r="AN172" i="55"/>
  <c r="H210" i="54"/>
  <c r="H228" i="54" s="1"/>
  <c r="AO178" i="55" s="1"/>
  <c r="DA178" i="55" s="1"/>
  <c r="AO172" i="55"/>
  <c r="G200" i="53"/>
  <c r="G205" i="53" s="1"/>
  <c r="BT179" i="55" s="1"/>
  <c r="BT172" i="55"/>
  <c r="F6" i="55"/>
  <c r="F7" i="55"/>
  <c r="D6" i="55"/>
  <c r="E6" i="55"/>
  <c r="F20" i="55"/>
  <c r="F19" i="55"/>
  <c r="BS14" i="55"/>
  <c r="BS28" i="59" s="1"/>
  <c r="BS151" i="59" s="1"/>
  <c r="BS12" i="55"/>
  <c r="BS26" i="59" s="1"/>
  <c r="BS53" i="59" s="1"/>
  <c r="BS16" i="55"/>
  <c r="BS30" i="59" s="1"/>
  <c r="BS11" i="55"/>
  <c r="BS13" i="55"/>
  <c r="BS27" i="59" s="1"/>
  <c r="BS150" i="59" s="1"/>
  <c r="BS15" i="55"/>
  <c r="BS29" i="59" s="1"/>
  <c r="BS152" i="59" s="1"/>
  <c r="I207" i="54"/>
  <c r="I211" i="54" s="1"/>
  <c r="AP4" i="55"/>
  <c r="J207" i="53"/>
  <c r="J208" i="53" s="1"/>
  <c r="K4" i="55"/>
  <c r="BR7" i="55"/>
  <c r="D7" i="55"/>
  <c r="E19" i="55"/>
  <c r="E20" i="55"/>
  <c r="E7" i="55"/>
  <c r="BR6" i="55"/>
  <c r="I162" i="54"/>
  <c r="AP9" i="55"/>
  <c r="D19" i="55"/>
  <c r="AS59" i="51"/>
  <c r="L38" i="54"/>
  <c r="F244" i="53"/>
  <c r="F245" i="53" s="1"/>
  <c r="F254" i="53" s="1"/>
  <c r="G75" i="51" s="1"/>
  <c r="AP67" i="51"/>
  <c r="AP70" i="51" s="1"/>
  <c r="J70" i="51"/>
  <c r="K78" i="53"/>
  <c r="K80" i="53"/>
  <c r="K74" i="53"/>
  <c r="K75" i="53" s="1"/>
  <c r="L57" i="51" s="1"/>
  <c r="K72" i="53"/>
  <c r="K73" i="53" s="1"/>
  <c r="L49" i="51" s="1"/>
  <c r="AR49" i="51" s="1"/>
  <c r="K47" i="53"/>
  <c r="K162" i="53" s="1"/>
  <c r="H227" i="53"/>
  <c r="I177" i="55" s="1"/>
  <c r="F220" i="54"/>
  <c r="F224" i="54" s="1"/>
  <c r="F221" i="54"/>
  <c r="E220" i="54"/>
  <c r="E224" i="54" s="1"/>
  <c r="E221" i="54"/>
  <c r="H217" i="54"/>
  <c r="H216" i="54"/>
  <c r="I214" i="53"/>
  <c r="I212" i="53"/>
  <c r="I213" i="53"/>
  <c r="I215" i="53"/>
  <c r="F237" i="53"/>
  <c r="F238" i="53" s="1"/>
  <c r="F240" i="53" s="1"/>
  <c r="F261" i="53" s="1"/>
  <c r="AR48" i="51"/>
  <c r="K36" i="54"/>
  <c r="K42" i="54" s="1"/>
  <c r="M48" i="51"/>
  <c r="L36" i="53"/>
  <c r="L42" i="53" s="1"/>
  <c r="X50" i="51"/>
  <c r="X68" i="51"/>
  <c r="BD68" i="51" s="1"/>
  <c r="J72" i="54"/>
  <c r="J73" i="54" s="1"/>
  <c r="J74" i="54"/>
  <c r="J75" i="54" s="1"/>
  <c r="J80" i="54"/>
  <c r="J47" i="54"/>
  <c r="J78" i="54"/>
  <c r="J79" i="54" s="1"/>
  <c r="H222" i="54"/>
  <c r="H234" i="54" s="1"/>
  <c r="H235" i="54" s="1"/>
  <c r="H223" i="54"/>
  <c r="F237" i="54"/>
  <c r="F238" i="54" s="1"/>
  <c r="F240" i="54" s="1"/>
  <c r="F239" i="54"/>
  <c r="AS55" i="51"/>
  <c r="L39" i="54"/>
  <c r="Q45" i="54" s="1"/>
  <c r="N52" i="51"/>
  <c r="N54" i="51" s="1"/>
  <c r="M37" i="53"/>
  <c r="Y43" i="53" s="1"/>
  <c r="BB50" i="51"/>
  <c r="F199" i="54"/>
  <c r="F200" i="54" s="1"/>
  <c r="G166" i="54"/>
  <c r="BT9" i="55" s="1"/>
  <c r="BT22" i="59" s="1"/>
  <c r="BT145" i="59" s="1"/>
  <c r="AQ51" i="51"/>
  <c r="I232" i="53"/>
  <c r="I233" i="53" s="1"/>
  <c r="I209" i="53"/>
  <c r="AO71" i="51"/>
  <c r="AO73" i="51" s="1"/>
  <c r="AO64" i="51"/>
  <c r="G228" i="54"/>
  <c r="AN178" i="55" s="1"/>
  <c r="CZ178" i="55" s="1"/>
  <c r="AR65" i="51"/>
  <c r="K40" i="54"/>
  <c r="P46" i="54" s="1"/>
  <c r="P159" i="54" s="1"/>
  <c r="E201" i="54"/>
  <c r="E205" i="54"/>
  <c r="E202" i="54"/>
  <c r="E204" i="54"/>
  <c r="E206" i="54"/>
  <c r="E203" i="54"/>
  <c r="O160" i="54"/>
  <c r="AP61" i="51"/>
  <c r="J71" i="51"/>
  <c r="J73" i="51" s="1"/>
  <c r="J64" i="51"/>
  <c r="W113" i="54"/>
  <c r="W114" i="54" s="1"/>
  <c r="W109" i="54"/>
  <c r="W110" i="54" s="1"/>
  <c r="W107" i="54"/>
  <c r="W108" i="54" s="1"/>
  <c r="W111" i="54"/>
  <c r="W112" i="54" s="1"/>
  <c r="G217" i="54"/>
  <c r="G216" i="54"/>
  <c r="K67" i="51"/>
  <c r="J79" i="53"/>
  <c r="G236" i="53"/>
  <c r="G239" i="53" s="1"/>
  <c r="G244" i="53" s="1"/>
  <c r="H216" i="53"/>
  <c r="H217" i="53"/>
  <c r="F220" i="53"/>
  <c r="F224" i="53" s="1"/>
  <c r="F221" i="53"/>
  <c r="H225" i="54"/>
  <c r="M52" i="51"/>
  <c r="M54" i="51" s="1"/>
  <c r="L37" i="53"/>
  <c r="X43" i="53" s="1"/>
  <c r="G222" i="54"/>
  <c r="G234" i="54" s="1"/>
  <c r="G235" i="54" s="1"/>
  <c r="G223" i="54"/>
  <c r="J81" i="53"/>
  <c r="K61" i="51" s="1"/>
  <c r="J165" i="53"/>
  <c r="K9" i="55" s="1"/>
  <c r="W68" i="51"/>
  <c r="BC68" i="51" s="1"/>
  <c r="W50" i="51"/>
  <c r="I81" i="54"/>
  <c r="I165" i="54"/>
  <c r="D261" i="54"/>
  <c r="D244" i="54"/>
  <c r="H222" i="53"/>
  <c r="H234" i="53" s="1"/>
  <c r="H235" i="53" s="1"/>
  <c r="H223" i="53"/>
  <c r="N59" i="51"/>
  <c r="M38" i="53"/>
  <c r="K51" i="51"/>
  <c r="AQ57" i="51"/>
  <c r="AQ58" i="51" s="1"/>
  <c r="AQ72" i="51" s="1"/>
  <c r="K58" i="51"/>
  <c r="K72" i="51" s="1"/>
  <c r="G218" i="53"/>
  <c r="G219" i="53"/>
  <c r="E237" i="54"/>
  <c r="E238" i="54" s="1"/>
  <c r="E240" i="54" s="1"/>
  <c r="E239" i="54"/>
  <c r="P137" i="54"/>
  <c r="P138" i="54" s="1"/>
  <c r="P141" i="54"/>
  <c r="P142" i="54" s="1"/>
  <c r="P139" i="54"/>
  <c r="P140" i="54" s="1"/>
  <c r="P160" i="53"/>
  <c r="Q66" i="51" s="1"/>
  <c r="AW66" i="51" s="1"/>
  <c r="N55" i="51"/>
  <c r="M39" i="53"/>
  <c r="R45" i="53" s="1"/>
  <c r="G201" i="53"/>
  <c r="P142" i="53"/>
  <c r="Q69" i="51" s="1"/>
  <c r="AW69" i="51" s="1"/>
  <c r="N65" i="51"/>
  <c r="M40" i="53"/>
  <c r="R46" i="53" s="1"/>
  <c r="R159" i="53" s="1"/>
  <c r="I166" i="53"/>
  <c r="H199" i="53"/>
  <c r="P140" i="53"/>
  <c r="Q63" i="51" s="1"/>
  <c r="AW63" i="51" s="1"/>
  <c r="P138" i="53"/>
  <c r="Q160" i="53"/>
  <c r="R66" i="51" s="1"/>
  <c r="AX66" i="51" s="1"/>
  <c r="Q141" i="53"/>
  <c r="Q137" i="53"/>
  <c r="R56" i="51" s="1"/>
  <c r="AX56" i="51" s="1"/>
  <c r="Q139" i="53"/>
  <c r="O33" i="51"/>
  <c r="O35" i="51" s="1"/>
  <c r="AT15" i="51"/>
  <c r="AT17" i="51" s="1"/>
  <c r="O15" i="51"/>
  <c r="O17" i="51" s="1"/>
  <c r="AS44" i="51"/>
  <c r="N25" i="51"/>
  <c r="AS25" i="51"/>
  <c r="N43" i="51"/>
  <c r="AS39" i="51"/>
  <c r="AT29" i="51"/>
  <c r="O24" i="51"/>
  <c r="P36" i="51"/>
  <c r="P37" i="51" s="1"/>
  <c r="P19" i="59" s="1"/>
  <c r="O29" i="51"/>
  <c r="AU23" i="51"/>
  <c r="AU11" i="59" s="1"/>
  <c r="AU22" i="51"/>
  <c r="AU10" i="59" s="1"/>
  <c r="AU19" i="51"/>
  <c r="AU8" i="59" s="1"/>
  <c r="AU20" i="51"/>
  <c r="AU9" i="59" s="1"/>
  <c r="AV12" i="51"/>
  <c r="AT33" i="51"/>
  <c r="AT35" i="51" s="1"/>
  <c r="Q26" i="51"/>
  <c r="P28" i="51"/>
  <c r="P15" i="59" s="1"/>
  <c r="P27" i="51"/>
  <c r="P14" i="59" s="1"/>
  <c r="AV26" i="51"/>
  <c r="R10" i="51"/>
  <c r="AW10" i="51"/>
  <c r="Q12" i="51"/>
  <c r="AU36" i="51"/>
  <c r="AT38" i="51"/>
  <c r="AT20" i="59" s="1"/>
  <c r="AT37" i="51"/>
  <c r="AT19" i="59" s="1"/>
  <c r="O38" i="51"/>
  <c r="O20" i="59" s="1"/>
  <c r="O37" i="51"/>
  <c r="O19" i="59" s="1"/>
  <c r="O21" i="51"/>
  <c r="AT21" i="51"/>
  <c r="AU13" i="51"/>
  <c r="AU12" i="59" s="1"/>
  <c r="AU14" i="51"/>
  <c r="AU13" i="59" s="1"/>
  <c r="AU31" i="51"/>
  <c r="AU16" i="59" s="1"/>
  <c r="AU34" i="51"/>
  <c r="AU18" i="59" s="1"/>
  <c r="AU32" i="51"/>
  <c r="AU17" i="59" s="1"/>
  <c r="AS43" i="51"/>
  <c r="AS17" i="51"/>
  <c r="P19" i="51"/>
  <c r="P8" i="59" s="1"/>
  <c r="P20" i="51"/>
  <c r="P9" i="59" s="1"/>
  <c r="P22" i="51"/>
  <c r="P10" i="59" s="1"/>
  <c r="Q18" i="51"/>
  <c r="P23" i="51"/>
  <c r="P11" i="59" s="1"/>
  <c r="AV18" i="51"/>
  <c r="AU27" i="51"/>
  <c r="AU14" i="59" s="1"/>
  <c r="AU28" i="51"/>
  <c r="AU15" i="59" s="1"/>
  <c r="P13" i="51"/>
  <c r="P12" i="59" s="1"/>
  <c r="P14" i="51"/>
  <c r="P13" i="59" s="1"/>
  <c r="AT24" i="51"/>
  <c r="N44" i="51"/>
  <c r="Q30" i="51"/>
  <c r="AV30" i="51"/>
  <c r="P32" i="51"/>
  <c r="P17" i="59" s="1"/>
  <c r="P34" i="51"/>
  <c r="P18" i="59" s="1"/>
  <c r="P31" i="51"/>
  <c r="P16" i="59" s="1"/>
  <c r="G203" i="53" l="1"/>
  <c r="BT177" i="55" s="1"/>
  <c r="G206" i="53"/>
  <c r="BT180" i="55" s="1"/>
  <c r="G202" i="53"/>
  <c r="BT176" i="55" s="1"/>
  <c r="G204" i="53"/>
  <c r="BT178" i="55" s="1"/>
  <c r="BS24" i="59"/>
  <c r="H227" i="54"/>
  <c r="AO177" i="55" s="1"/>
  <c r="DA177" i="55" s="1"/>
  <c r="H229" i="54"/>
  <c r="AO179" i="55" s="1"/>
  <c r="DA179" i="55" s="1"/>
  <c r="BQ89" i="55"/>
  <c r="BQ6" i="57" s="1"/>
  <c r="H230" i="54"/>
  <c r="AO180" i="55" s="1"/>
  <c r="DA180" i="55" s="1"/>
  <c r="BP10" i="57"/>
  <c r="H226" i="54"/>
  <c r="AO176" i="55" s="1"/>
  <c r="DA176" i="55" s="1"/>
  <c r="BQ112" i="55"/>
  <c r="BQ128" i="55"/>
  <c r="AU45" i="59"/>
  <c r="AU88" i="59"/>
  <c r="AU115" i="59"/>
  <c r="AU71" i="59"/>
  <c r="P43" i="59"/>
  <c r="P69" i="59"/>
  <c r="P86" i="59"/>
  <c r="P113" i="59"/>
  <c r="D51" i="59"/>
  <c r="D147" i="59"/>
  <c r="AT117" i="59"/>
  <c r="AT90" i="59"/>
  <c r="AT73" i="59"/>
  <c r="AT47" i="59"/>
  <c r="AT118" i="59"/>
  <c r="AT91" i="59"/>
  <c r="AT48" i="59"/>
  <c r="AT74" i="59"/>
  <c r="P47" i="59"/>
  <c r="P117" i="59"/>
  <c r="P90" i="59"/>
  <c r="P73" i="59"/>
  <c r="AU87" i="59"/>
  <c r="AU114" i="59"/>
  <c r="AU44" i="59"/>
  <c r="AU70" i="59"/>
  <c r="AU84" i="59"/>
  <c r="AU111" i="59"/>
  <c r="AU41" i="59"/>
  <c r="AU67" i="59"/>
  <c r="BS51" i="59"/>
  <c r="BS147" i="59"/>
  <c r="AU89" i="59"/>
  <c r="AU116" i="59"/>
  <c r="AU46" i="59"/>
  <c r="AU72" i="59"/>
  <c r="P41" i="59"/>
  <c r="P67" i="59"/>
  <c r="P111" i="59"/>
  <c r="P84" i="59"/>
  <c r="AU66" i="59"/>
  <c r="AU83" i="59"/>
  <c r="AU110" i="59"/>
  <c r="AU40" i="59"/>
  <c r="BS101" i="59"/>
  <c r="BS153" i="59"/>
  <c r="F148" i="59"/>
  <c r="P85" i="59"/>
  <c r="P112" i="59"/>
  <c r="P42" i="59"/>
  <c r="P68" i="59"/>
  <c r="E148" i="59"/>
  <c r="P87" i="59"/>
  <c r="P114" i="59"/>
  <c r="P44" i="59"/>
  <c r="P70" i="59"/>
  <c r="P89" i="59"/>
  <c r="P116" i="59"/>
  <c r="P46" i="59"/>
  <c r="P72" i="59"/>
  <c r="AU113" i="59"/>
  <c r="AU43" i="59"/>
  <c r="AU86" i="59"/>
  <c r="AU69" i="59"/>
  <c r="BR51" i="59"/>
  <c r="BR147" i="59"/>
  <c r="E147" i="59"/>
  <c r="O118" i="59"/>
  <c r="O48" i="59"/>
  <c r="O91" i="59"/>
  <c r="O74" i="59"/>
  <c r="P83" i="59"/>
  <c r="P110" i="59"/>
  <c r="P40" i="59"/>
  <c r="P66" i="59"/>
  <c r="P88" i="59"/>
  <c r="P115" i="59"/>
  <c r="P45" i="59"/>
  <c r="P71" i="59"/>
  <c r="AU112" i="59"/>
  <c r="AU42" i="59"/>
  <c r="AU68" i="59"/>
  <c r="AU85" i="59"/>
  <c r="O90" i="59"/>
  <c r="O73" i="59"/>
  <c r="O47" i="59"/>
  <c r="O117" i="59"/>
  <c r="F51" i="59"/>
  <c r="F147" i="59"/>
  <c r="BP27" i="57"/>
  <c r="BP17" i="57"/>
  <c r="BP20" i="57" s="1"/>
  <c r="BP149" i="59" s="1"/>
  <c r="BP155" i="59" s="1"/>
  <c r="G227" i="54"/>
  <c r="AN177" i="55" s="1"/>
  <c r="CZ177" i="55" s="1"/>
  <c r="G225" i="54"/>
  <c r="BP158" i="55"/>
  <c r="BP39" i="57" s="1"/>
  <c r="E261" i="54"/>
  <c r="BQ129" i="55"/>
  <c r="BQ17" i="57" s="1"/>
  <c r="BQ16" i="57"/>
  <c r="I208" i="54"/>
  <c r="BP135" i="55"/>
  <c r="BP38" i="57" s="1"/>
  <c r="AJ11" i="58"/>
  <c r="AJ6" i="58"/>
  <c r="DA49" i="59"/>
  <c r="DA92" i="59"/>
  <c r="DA120" i="59"/>
  <c r="G230" i="54"/>
  <c r="AN180" i="55" s="1"/>
  <c r="CZ180" i="55" s="1"/>
  <c r="BQ24" i="57"/>
  <c r="BQ14" i="57"/>
  <c r="G229" i="54"/>
  <c r="AN179" i="55" s="1"/>
  <c r="CZ179" i="55" s="1"/>
  <c r="BP4" i="57"/>
  <c r="F96" i="59"/>
  <c r="F52" i="59"/>
  <c r="BT120" i="59"/>
  <c r="BT49" i="59"/>
  <c r="BT31" i="59"/>
  <c r="BT154" i="59" s="1"/>
  <c r="E96" i="59"/>
  <c r="E52" i="59"/>
  <c r="BR96" i="59"/>
  <c r="BR52" i="59"/>
  <c r="D52" i="59"/>
  <c r="AO120" i="59"/>
  <c r="AO49" i="59"/>
  <c r="D96" i="59"/>
  <c r="O75" i="59"/>
  <c r="AU37" i="59"/>
  <c r="AU80" i="59"/>
  <c r="AU107" i="59"/>
  <c r="AU63" i="59"/>
  <c r="P81" i="59"/>
  <c r="P108" i="59"/>
  <c r="P38" i="59"/>
  <c r="P64" i="59"/>
  <c r="P80" i="59"/>
  <c r="P107" i="59"/>
  <c r="P37" i="59"/>
  <c r="P63" i="59"/>
  <c r="AU36" i="59"/>
  <c r="AU79" i="59"/>
  <c r="AU106" i="59"/>
  <c r="AU62" i="59"/>
  <c r="AU38" i="59"/>
  <c r="AU81" i="59"/>
  <c r="AU108" i="59"/>
  <c r="AU64" i="59"/>
  <c r="AU82" i="59"/>
  <c r="AU39" i="59"/>
  <c r="AU109" i="59"/>
  <c r="AU65" i="59"/>
  <c r="P79" i="59"/>
  <c r="P106" i="59"/>
  <c r="P36" i="59"/>
  <c r="P62" i="59"/>
  <c r="P82" i="59"/>
  <c r="P39" i="59"/>
  <c r="P109" i="59"/>
  <c r="P65" i="59"/>
  <c r="AT75" i="59"/>
  <c r="AO92" i="59"/>
  <c r="AP22" i="59"/>
  <c r="AP145" i="59" s="1"/>
  <c r="DB9" i="55"/>
  <c r="DB22" i="59" s="1"/>
  <c r="DB145" i="59" s="1"/>
  <c r="BR60" i="55"/>
  <c r="BR14" i="57" s="1"/>
  <c r="BQ43" i="55"/>
  <c r="BQ34" i="57" s="1"/>
  <c r="AJ23" i="59"/>
  <c r="AJ146" i="59" s="1"/>
  <c r="CV10" i="55"/>
  <c r="CV23" i="59" s="1"/>
  <c r="CV146" i="59" s="1"/>
  <c r="AJ11" i="55"/>
  <c r="AJ25" i="59" s="1"/>
  <c r="AJ148" i="59" s="1"/>
  <c r="BQ25" i="57"/>
  <c r="AJ15" i="55"/>
  <c r="AJ29" i="59" s="1"/>
  <c r="H228" i="53"/>
  <c r="I178" i="55" s="1"/>
  <c r="H229" i="53"/>
  <c r="I179" i="55" s="1"/>
  <c r="H230" i="53"/>
  <c r="I180" i="55" s="1"/>
  <c r="H226" i="53"/>
  <c r="I176" i="55" s="1"/>
  <c r="AJ13" i="55"/>
  <c r="AJ27" i="59" s="1"/>
  <c r="BP7" i="57"/>
  <c r="AJ16" i="55"/>
  <c r="AJ30" i="59" s="1"/>
  <c r="AJ12" i="55"/>
  <c r="AJ26" i="59" s="1"/>
  <c r="BQ66" i="55"/>
  <c r="BQ35" i="57" s="1"/>
  <c r="AJ14" i="55"/>
  <c r="AJ28" i="59" s="1"/>
  <c r="BR36" i="55"/>
  <c r="BP6" i="57"/>
  <c r="E32" i="59"/>
  <c r="BR59" i="55"/>
  <c r="BR175" i="55"/>
  <c r="BR19" i="57" s="1"/>
  <c r="BR82" i="55"/>
  <c r="BR174" i="55"/>
  <c r="BR37" i="55"/>
  <c r="BQ4" i="57"/>
  <c r="BQ181" i="55"/>
  <c r="BQ29" i="57"/>
  <c r="BQ23" i="57"/>
  <c r="BP28" i="57"/>
  <c r="BP30" i="57" s="1"/>
  <c r="BR83" i="55"/>
  <c r="BR15" i="57" s="1"/>
  <c r="BR106" i="55"/>
  <c r="BR16" i="57" s="1"/>
  <c r="BQ7" i="57"/>
  <c r="BQ37" i="57"/>
  <c r="BP9" i="57"/>
  <c r="BQ128" i="59"/>
  <c r="F94" i="59"/>
  <c r="F122" i="59"/>
  <c r="BS100" i="59"/>
  <c r="BS127" i="59"/>
  <c r="F95" i="59"/>
  <c r="F123" i="59"/>
  <c r="E94" i="59"/>
  <c r="E122" i="59"/>
  <c r="D94" i="59"/>
  <c r="D122" i="59"/>
  <c r="BS97" i="59"/>
  <c r="BS124" i="59"/>
  <c r="E95" i="59"/>
  <c r="E123" i="59"/>
  <c r="BS98" i="59"/>
  <c r="BS125" i="59"/>
  <c r="D95" i="59"/>
  <c r="D123" i="59"/>
  <c r="BS99" i="59"/>
  <c r="BS126" i="59"/>
  <c r="BR94" i="59"/>
  <c r="BR122" i="59"/>
  <c r="BR95" i="59"/>
  <c r="BR123" i="59"/>
  <c r="F10" i="58"/>
  <c r="BT92" i="59"/>
  <c r="BS56" i="59"/>
  <c r="BQ102" i="59"/>
  <c r="BQ58" i="59"/>
  <c r="BS57" i="59"/>
  <c r="BS54" i="59"/>
  <c r="BS55" i="59"/>
  <c r="L51" i="51"/>
  <c r="AQ9" i="55"/>
  <c r="K22" i="59"/>
  <c r="K145" i="59" s="1"/>
  <c r="BS19" i="55"/>
  <c r="BS106" i="55" s="1"/>
  <c r="BS16" i="57" s="1"/>
  <c r="BS25" i="59"/>
  <c r="BS148" i="59" s="1"/>
  <c r="AJ58" i="58"/>
  <c r="AJ5" i="58" s="1"/>
  <c r="H236" i="53"/>
  <c r="H239" i="53" s="1"/>
  <c r="H244" i="53" s="1"/>
  <c r="J211" i="53"/>
  <c r="J214" i="53" s="1"/>
  <c r="H200" i="53"/>
  <c r="H201" i="53" s="1"/>
  <c r="BU172" i="55"/>
  <c r="I210" i="53"/>
  <c r="I229" i="53" s="1"/>
  <c r="J179" i="55" s="1"/>
  <c r="J172" i="55"/>
  <c r="F105" i="55"/>
  <c r="F128" i="55" s="1"/>
  <c r="F82" i="55"/>
  <c r="F174" i="55"/>
  <c r="F106" i="55"/>
  <c r="F83" i="55"/>
  <c r="F175" i="55"/>
  <c r="E106" i="55"/>
  <c r="E83" i="55"/>
  <c r="E175" i="55"/>
  <c r="E105" i="55"/>
  <c r="E128" i="55" s="1"/>
  <c r="E82" i="55"/>
  <c r="E174" i="55"/>
  <c r="BQ151" i="55"/>
  <c r="BR128" i="55"/>
  <c r="BR112" i="55"/>
  <c r="D83" i="55"/>
  <c r="D15" i="57" s="1"/>
  <c r="D175" i="55"/>
  <c r="D19" i="57" s="1"/>
  <c r="D106" i="55"/>
  <c r="D16" i="57" s="1"/>
  <c r="D105" i="55"/>
  <c r="D128" i="55" s="1"/>
  <c r="D82" i="55"/>
  <c r="D174" i="55"/>
  <c r="E37" i="55"/>
  <c r="E60" i="55"/>
  <c r="F60" i="55"/>
  <c r="F37" i="55"/>
  <c r="E36" i="55"/>
  <c r="E59" i="55"/>
  <c r="D60" i="55"/>
  <c r="D14" i="57" s="1"/>
  <c r="D37" i="55"/>
  <c r="D13" i="57" s="1"/>
  <c r="D36" i="55"/>
  <c r="D59" i="55"/>
  <c r="F59" i="55"/>
  <c r="F36" i="55"/>
  <c r="E262" i="54"/>
  <c r="AL78" i="51" s="1"/>
  <c r="AL77" i="51"/>
  <c r="F262" i="53"/>
  <c r="G78" i="51" s="1"/>
  <c r="G77" i="51"/>
  <c r="D262" i="54"/>
  <c r="AK78" i="51" s="1"/>
  <c r="AK77" i="51"/>
  <c r="BT13" i="55"/>
  <c r="BT27" i="59" s="1"/>
  <c r="BT150" i="59" s="1"/>
  <c r="BT14" i="55"/>
  <c r="BT28" i="59" s="1"/>
  <c r="BT151" i="59" s="1"/>
  <c r="BT12" i="55"/>
  <c r="BT26" i="59" s="1"/>
  <c r="BT53" i="59" s="1"/>
  <c r="BT16" i="55"/>
  <c r="BT30" i="59" s="1"/>
  <c r="BT11" i="55"/>
  <c r="BT15" i="55"/>
  <c r="BT29" i="59" s="1"/>
  <c r="BT152" i="59" s="1"/>
  <c r="BS7" i="55"/>
  <c r="K207" i="53"/>
  <c r="K211" i="53" s="1"/>
  <c r="L4" i="55"/>
  <c r="H236" i="54"/>
  <c r="H239" i="54" s="1"/>
  <c r="H244" i="54" s="1"/>
  <c r="J207" i="54"/>
  <c r="J211" i="54" s="1"/>
  <c r="AQ4" i="55"/>
  <c r="AR51" i="51"/>
  <c r="AJ20" i="55"/>
  <c r="BS6" i="55"/>
  <c r="AS52" i="51"/>
  <c r="AS54" i="51" s="1"/>
  <c r="L37" i="54"/>
  <c r="X43" i="54" s="1"/>
  <c r="AT59" i="51"/>
  <c r="M38" i="54"/>
  <c r="AQ61" i="51"/>
  <c r="K71" i="51"/>
  <c r="K73" i="51" s="1"/>
  <c r="K64" i="51"/>
  <c r="L80" i="53"/>
  <c r="L72" i="53"/>
  <c r="L73" i="53" s="1"/>
  <c r="M49" i="51" s="1"/>
  <c r="AS49" i="51" s="1"/>
  <c r="L78" i="53"/>
  <c r="L74" i="53"/>
  <c r="L75" i="53" s="1"/>
  <c r="M57" i="51" s="1"/>
  <c r="L47" i="53"/>
  <c r="L162" i="53" s="1"/>
  <c r="L67" i="51"/>
  <c r="K79" i="53"/>
  <c r="O52" i="51"/>
  <c r="O54" i="51" s="1"/>
  <c r="N37" i="53"/>
  <c r="Z43" i="53" s="1"/>
  <c r="AS65" i="51"/>
  <c r="L40" i="54"/>
  <c r="Q46" i="54" s="1"/>
  <c r="Q159" i="54" s="1"/>
  <c r="D245" i="54"/>
  <c r="D252" i="54" s="1"/>
  <c r="P160" i="54"/>
  <c r="I217" i="53"/>
  <c r="I216" i="53"/>
  <c r="AQ67" i="51"/>
  <c r="AQ70" i="51" s="1"/>
  <c r="K70" i="51"/>
  <c r="G236" i="54"/>
  <c r="G239" i="54" s="1"/>
  <c r="G244" i="54" s="1"/>
  <c r="J81" i="54"/>
  <c r="J165" i="54"/>
  <c r="K80" i="54"/>
  <c r="K74" i="54"/>
  <c r="K75" i="54" s="1"/>
  <c r="K78" i="54"/>
  <c r="K79" i="54" s="1"/>
  <c r="K72" i="54"/>
  <c r="K73" i="54" s="1"/>
  <c r="K47" i="54"/>
  <c r="G237" i="53"/>
  <c r="G238" i="53" s="1"/>
  <c r="G240" i="53" s="1"/>
  <c r="G261" i="53" s="1"/>
  <c r="AS48" i="51"/>
  <c r="L36" i="54"/>
  <c r="L42" i="54" s="1"/>
  <c r="E244" i="54"/>
  <c r="E245" i="54" s="1"/>
  <c r="E254" i="54" s="1"/>
  <c r="AL75" i="51" s="1"/>
  <c r="I209" i="54"/>
  <c r="DB172" i="55" s="1"/>
  <c r="I232" i="54"/>
  <c r="I233" i="54" s="1"/>
  <c r="X107" i="53"/>
  <c r="X108" i="53" s="1"/>
  <c r="Y53" i="51" s="1"/>
  <c r="BE53" i="51" s="1"/>
  <c r="X109" i="53"/>
  <c r="X110" i="53" s="1"/>
  <c r="Y62" i="51" s="1"/>
  <c r="BE62" i="51" s="1"/>
  <c r="X111" i="53"/>
  <c r="X112" i="53" s="1"/>
  <c r="X113" i="53"/>
  <c r="X114" i="53" s="1"/>
  <c r="Y107" i="53"/>
  <c r="Y108" i="53" s="1"/>
  <c r="Z53" i="51" s="1"/>
  <c r="BF53" i="51" s="1"/>
  <c r="Y111" i="53"/>
  <c r="Y112" i="53" s="1"/>
  <c r="Y113" i="53"/>
  <c r="Y114" i="53" s="1"/>
  <c r="Y109" i="53"/>
  <c r="Y110" i="53" s="1"/>
  <c r="Z62" i="51" s="1"/>
  <c r="BF62" i="51" s="1"/>
  <c r="H219" i="54"/>
  <c r="H218" i="54"/>
  <c r="O59" i="51"/>
  <c r="N38" i="53"/>
  <c r="N48" i="51"/>
  <c r="M36" i="53"/>
  <c r="M42" i="53" s="1"/>
  <c r="G219" i="54"/>
  <c r="G218" i="54"/>
  <c r="F252" i="53"/>
  <c r="BC50" i="51"/>
  <c r="H218" i="53"/>
  <c r="H219" i="53"/>
  <c r="AP71" i="51"/>
  <c r="AP73" i="51" s="1"/>
  <c r="AP64" i="51"/>
  <c r="Q139" i="54"/>
  <c r="Q140" i="54" s="1"/>
  <c r="Q141" i="54"/>
  <c r="Q142" i="54" s="1"/>
  <c r="Q137" i="54"/>
  <c r="Q138" i="54" s="1"/>
  <c r="AT55" i="51"/>
  <c r="M39" i="54"/>
  <c r="R45" i="54" s="1"/>
  <c r="G220" i="53"/>
  <c r="G224" i="53" s="1"/>
  <c r="G221" i="53"/>
  <c r="G199" i="54"/>
  <c r="G200" i="54" s="1"/>
  <c r="H166" i="54"/>
  <c r="BU9" i="55" s="1"/>
  <c r="BU22" i="59" s="1"/>
  <c r="BU145" i="59" s="1"/>
  <c r="I212" i="54"/>
  <c r="I213" i="54"/>
  <c r="I215" i="54"/>
  <c r="I214" i="54"/>
  <c r="I222" i="53"/>
  <c r="I234" i="53" s="1"/>
  <c r="I235" i="53" s="1"/>
  <c r="I223" i="53"/>
  <c r="AR57" i="51"/>
  <c r="AR58" i="51" s="1"/>
  <c r="AR72" i="51" s="1"/>
  <c r="L58" i="51"/>
  <c r="L72" i="51" s="1"/>
  <c r="AT52" i="51"/>
  <c r="AT54" i="51" s="1"/>
  <c r="M37" i="54"/>
  <c r="Y43" i="54" s="1"/>
  <c r="J209" i="53"/>
  <c r="J232" i="53"/>
  <c r="J233" i="53" s="1"/>
  <c r="G245" i="53"/>
  <c r="G254" i="53" s="1"/>
  <c r="H75" i="51" s="1"/>
  <c r="F205" i="54"/>
  <c r="F201" i="54"/>
  <c r="F202" i="54"/>
  <c r="F203" i="54"/>
  <c r="F206" i="54"/>
  <c r="F204" i="54"/>
  <c r="F261" i="54"/>
  <c r="F244" i="54"/>
  <c r="F245" i="54" s="1"/>
  <c r="F254" i="54" s="1"/>
  <c r="AM75" i="51" s="1"/>
  <c r="J162" i="54"/>
  <c r="BD50" i="51"/>
  <c r="K81" i="53"/>
  <c r="L61" i="51" s="1"/>
  <c r="K165" i="53"/>
  <c r="L9" i="55" s="1"/>
  <c r="L22" i="59" s="1"/>
  <c r="L145" i="59" s="1"/>
  <c r="Q140" i="53"/>
  <c r="R63" i="51" s="1"/>
  <c r="AX63" i="51" s="1"/>
  <c r="H206" i="53"/>
  <c r="BU180" i="55" s="1"/>
  <c r="H202" i="53"/>
  <c r="BU176" i="55" s="1"/>
  <c r="H203" i="53"/>
  <c r="BU177" i="55" s="1"/>
  <c r="Q138" i="53"/>
  <c r="I199" i="53"/>
  <c r="J166" i="53"/>
  <c r="R137" i="53"/>
  <c r="S56" i="51" s="1"/>
  <c r="AY56" i="51" s="1"/>
  <c r="R139" i="53"/>
  <c r="R141" i="53"/>
  <c r="Q142" i="53"/>
  <c r="R69" i="51" s="1"/>
  <c r="AX69" i="51" s="1"/>
  <c r="R160" i="53"/>
  <c r="S66" i="51" s="1"/>
  <c r="AY66" i="51" s="1"/>
  <c r="O55" i="51"/>
  <c r="N39" i="53"/>
  <c r="S45" i="53" s="1"/>
  <c r="AS46" i="51"/>
  <c r="N46" i="51"/>
  <c r="P29" i="51"/>
  <c r="O25" i="51"/>
  <c r="O44" i="51"/>
  <c r="P33" i="51"/>
  <c r="P35" i="51" s="1"/>
  <c r="O39" i="51"/>
  <c r="P38" i="51"/>
  <c r="AU29" i="51"/>
  <c r="AT43" i="51"/>
  <c r="AU21" i="51"/>
  <c r="AV34" i="51"/>
  <c r="AV18" i="59" s="1"/>
  <c r="AV32" i="51"/>
  <c r="AV17" i="59" s="1"/>
  <c r="AV31" i="51"/>
  <c r="AV16" i="59" s="1"/>
  <c r="P24" i="51"/>
  <c r="AT39" i="51"/>
  <c r="Q13" i="51"/>
  <c r="Q12" i="59" s="1"/>
  <c r="Q14" i="51"/>
  <c r="Q13" i="59" s="1"/>
  <c r="AV28" i="51"/>
  <c r="AV15" i="59" s="1"/>
  <c r="AV27" i="51"/>
  <c r="AV14" i="59" s="1"/>
  <c r="R30" i="51"/>
  <c r="AW30" i="51"/>
  <c r="Q31" i="51"/>
  <c r="Q16" i="59" s="1"/>
  <c r="Q32" i="51"/>
  <c r="Q17" i="59" s="1"/>
  <c r="Q34" i="51"/>
  <c r="Q18" i="59" s="1"/>
  <c r="AV22" i="51"/>
  <c r="AV10" i="59" s="1"/>
  <c r="AV20" i="51"/>
  <c r="AV9" i="59" s="1"/>
  <c r="AV19" i="51"/>
  <c r="AV8" i="59" s="1"/>
  <c r="AV23" i="51"/>
  <c r="AV11" i="59" s="1"/>
  <c r="AW12" i="51"/>
  <c r="AV36" i="51"/>
  <c r="P21" i="51"/>
  <c r="AU15" i="51"/>
  <c r="AT44" i="51"/>
  <c r="AU38" i="51"/>
  <c r="AU20" i="59" s="1"/>
  <c r="AU37" i="51"/>
  <c r="AU19" i="59" s="1"/>
  <c r="S10" i="51"/>
  <c r="AX10" i="51"/>
  <c r="R12" i="51"/>
  <c r="AV13" i="51"/>
  <c r="AV12" i="59" s="1"/>
  <c r="AV14" i="51"/>
  <c r="AV13" i="59" s="1"/>
  <c r="P15" i="51"/>
  <c r="Q20" i="51"/>
  <c r="Q9" i="59" s="1"/>
  <c r="Q23" i="51"/>
  <c r="Q11" i="59" s="1"/>
  <c r="R18" i="51"/>
  <c r="Q19" i="51"/>
  <c r="Q8" i="59" s="1"/>
  <c r="Q22" i="51"/>
  <c r="Q10" i="59" s="1"/>
  <c r="AW18" i="51"/>
  <c r="AU33" i="51"/>
  <c r="AU35" i="51" s="1"/>
  <c r="AT25" i="51"/>
  <c r="Q36" i="51"/>
  <c r="Q27" i="51"/>
  <c r="Q14" i="59" s="1"/>
  <c r="Q28" i="51"/>
  <c r="Q15" i="59" s="1"/>
  <c r="R26" i="51"/>
  <c r="AW26" i="51"/>
  <c r="O43" i="51"/>
  <c r="AU24" i="51"/>
  <c r="J215" i="53" l="1"/>
  <c r="J213" i="53"/>
  <c r="J212" i="53"/>
  <c r="BP8" i="57"/>
  <c r="BQ36" i="57"/>
  <c r="BR181" i="55"/>
  <c r="BR10" i="57" s="1"/>
  <c r="AV85" i="59"/>
  <c r="AV112" i="59"/>
  <c r="AV42" i="59"/>
  <c r="AV68" i="59"/>
  <c r="AV46" i="59"/>
  <c r="AV89" i="59"/>
  <c r="AV116" i="59"/>
  <c r="AV72" i="59"/>
  <c r="AJ125" i="59"/>
  <c r="AJ150" i="59"/>
  <c r="AV86" i="59"/>
  <c r="AV113" i="59"/>
  <c r="AV43" i="59"/>
  <c r="AV69" i="59"/>
  <c r="AU47" i="59"/>
  <c r="AU90" i="59"/>
  <c r="AU73" i="59"/>
  <c r="AU117" i="59"/>
  <c r="AV84" i="59"/>
  <c r="AV111" i="59"/>
  <c r="AV41" i="59"/>
  <c r="AV67" i="59"/>
  <c r="Q89" i="59"/>
  <c r="Q116" i="59"/>
  <c r="Q46" i="59"/>
  <c r="Q72" i="59"/>
  <c r="Q110" i="59"/>
  <c r="Q40" i="59"/>
  <c r="Q83" i="59"/>
  <c r="Q66" i="59"/>
  <c r="AJ99" i="59"/>
  <c r="AJ151" i="59"/>
  <c r="Q42" i="59"/>
  <c r="Q85" i="59"/>
  <c r="Q112" i="59"/>
  <c r="Q68" i="59"/>
  <c r="Q84" i="59"/>
  <c r="Q111" i="59"/>
  <c r="Q41" i="59"/>
  <c r="Q67" i="59"/>
  <c r="AV110" i="59"/>
  <c r="AV83" i="59"/>
  <c r="AV40" i="59"/>
  <c r="AV66" i="59"/>
  <c r="Q88" i="59"/>
  <c r="Q115" i="59"/>
  <c r="Q45" i="59"/>
  <c r="Q71" i="59"/>
  <c r="P39" i="51"/>
  <c r="P20" i="59"/>
  <c r="AU48" i="59"/>
  <c r="AU91" i="59"/>
  <c r="AU118" i="59"/>
  <c r="AU74" i="59"/>
  <c r="Q44" i="59"/>
  <c r="Q87" i="59"/>
  <c r="Q114" i="59"/>
  <c r="Q70" i="59"/>
  <c r="BT24" i="59"/>
  <c r="AJ57" i="59"/>
  <c r="AJ152" i="59"/>
  <c r="AV87" i="59"/>
  <c r="AV114" i="59"/>
  <c r="AV44" i="59"/>
  <c r="AV70" i="59"/>
  <c r="BT101" i="59"/>
  <c r="BT153" i="59"/>
  <c r="AJ101" i="59"/>
  <c r="AJ153" i="59"/>
  <c r="Q113" i="59"/>
  <c r="Q86" i="59"/>
  <c r="Q43" i="59"/>
  <c r="Q69" i="59"/>
  <c r="AV88" i="59"/>
  <c r="AV45" i="59"/>
  <c r="AV115" i="59"/>
  <c r="AV71" i="59"/>
  <c r="D89" i="55"/>
  <c r="H237" i="53"/>
  <c r="H238" i="53" s="1"/>
  <c r="BR23" i="57"/>
  <c r="BR13" i="57"/>
  <c r="DB49" i="59"/>
  <c r="DB92" i="59"/>
  <c r="DB120" i="59"/>
  <c r="BQ27" i="57"/>
  <c r="BQ152" i="55"/>
  <c r="BQ18" i="57" s="1"/>
  <c r="BQ20" i="57" s="1"/>
  <c r="BQ149" i="59" s="1"/>
  <c r="BQ155" i="59" s="1"/>
  <c r="BR24" i="57"/>
  <c r="H204" i="53"/>
  <c r="BU178" i="55" s="1"/>
  <c r="H205" i="53"/>
  <c r="BU179" i="55" s="1"/>
  <c r="CV50" i="59"/>
  <c r="CV93" i="59"/>
  <c r="CV121" i="59"/>
  <c r="CV31" i="59"/>
  <c r="CV154" i="59" s="1"/>
  <c r="H245" i="53"/>
  <c r="H252" i="53" s="1"/>
  <c r="I74" i="51" s="1"/>
  <c r="BQ135" i="55"/>
  <c r="BQ8" i="57" s="1"/>
  <c r="AP92" i="59"/>
  <c r="AP49" i="59"/>
  <c r="BS96" i="59"/>
  <c r="BS52" i="59"/>
  <c r="K49" i="59"/>
  <c r="L49" i="59"/>
  <c r="BU120" i="59"/>
  <c r="BU49" i="59"/>
  <c r="BU31" i="59"/>
  <c r="BU154" i="59" s="1"/>
  <c r="AJ121" i="59"/>
  <c r="AJ50" i="59"/>
  <c r="EH45" i="59" s="1"/>
  <c r="AJ31" i="59"/>
  <c r="AJ154" i="59" s="1"/>
  <c r="AJ52" i="59"/>
  <c r="AJ97" i="59"/>
  <c r="AJ53" i="59"/>
  <c r="AJ19" i="55"/>
  <c r="AJ96" i="59" s="1"/>
  <c r="AJ24" i="59"/>
  <c r="AJ127" i="59"/>
  <c r="AP120" i="59"/>
  <c r="Q81" i="59"/>
  <c r="Q38" i="59"/>
  <c r="Q108" i="59"/>
  <c r="Q64" i="59"/>
  <c r="Q79" i="59"/>
  <c r="Q36" i="59"/>
  <c r="Q106" i="59"/>
  <c r="Q62" i="59"/>
  <c r="AV82" i="59"/>
  <c r="AV109" i="59"/>
  <c r="AV39" i="59"/>
  <c r="AV65" i="59"/>
  <c r="Q82" i="59"/>
  <c r="Q109" i="59"/>
  <c r="Q39" i="59"/>
  <c r="Q65" i="59"/>
  <c r="AV79" i="59"/>
  <c r="AV106" i="59"/>
  <c r="AV36" i="59"/>
  <c r="AV62" i="59"/>
  <c r="Q80" i="59"/>
  <c r="Q107" i="59"/>
  <c r="Q37" i="59"/>
  <c r="Q63" i="59"/>
  <c r="AV37" i="59"/>
  <c r="AV80" i="59"/>
  <c r="AV107" i="59"/>
  <c r="AV63" i="59"/>
  <c r="AV38" i="59"/>
  <c r="AV81" i="59"/>
  <c r="AV108" i="59"/>
  <c r="AV64" i="59"/>
  <c r="AJ98" i="59"/>
  <c r="AJ55" i="59"/>
  <c r="AJ93" i="59"/>
  <c r="AJ100" i="59"/>
  <c r="AQ22" i="59"/>
  <c r="AQ145" i="59" s="1"/>
  <c r="DC9" i="55"/>
  <c r="DC22" i="59" s="1"/>
  <c r="DC145" i="59" s="1"/>
  <c r="CV11" i="55"/>
  <c r="CV16" i="55"/>
  <c r="CV30" i="59" s="1"/>
  <c r="CV13" i="55"/>
  <c r="CV27" i="59" s="1"/>
  <c r="CV150" i="59" s="1"/>
  <c r="CV12" i="55"/>
  <c r="CV15" i="55"/>
  <c r="CV29" i="59" s="1"/>
  <c r="CV152" i="59" s="1"/>
  <c r="CV14" i="55"/>
  <c r="CV28" i="59" s="1"/>
  <c r="CV151" i="59" s="1"/>
  <c r="AJ124" i="59"/>
  <c r="AJ6" i="55"/>
  <c r="AJ54" i="59"/>
  <c r="BR102" i="59"/>
  <c r="I225" i="53"/>
  <c r="BR89" i="55"/>
  <c r="BQ158" i="55"/>
  <c r="BQ9" i="57" s="1"/>
  <c r="AJ56" i="59"/>
  <c r="BQ5" i="57"/>
  <c r="BP41" i="57"/>
  <c r="AJ7" i="55"/>
  <c r="BR25" i="57"/>
  <c r="BS36" i="55"/>
  <c r="BS60" i="55"/>
  <c r="BS14" i="57" s="1"/>
  <c r="BS175" i="55"/>
  <c r="BS37" i="55"/>
  <c r="BS13" i="57" s="1"/>
  <c r="BS59" i="55"/>
  <c r="BS174" i="55"/>
  <c r="AJ126" i="59"/>
  <c r="F32" i="59"/>
  <c r="BR43" i="55"/>
  <c r="BR29" i="57"/>
  <c r="BR40" i="57"/>
  <c r="E129" i="55"/>
  <c r="E135" i="55" s="1"/>
  <c r="E26" i="57"/>
  <c r="E16" i="57"/>
  <c r="BR129" i="55"/>
  <c r="BR17" i="57" s="1"/>
  <c r="BR26" i="57"/>
  <c r="BQ38" i="57"/>
  <c r="F29" i="57"/>
  <c r="F19" i="57"/>
  <c r="BQ10" i="57"/>
  <c r="BQ40" i="57"/>
  <c r="L120" i="59"/>
  <c r="F25" i="57"/>
  <c r="F15" i="57"/>
  <c r="F13" i="57"/>
  <c r="F23" i="57"/>
  <c r="D129" i="55"/>
  <c r="D17" i="57" s="1"/>
  <c r="D26" i="57"/>
  <c r="F129" i="55"/>
  <c r="F135" i="55" s="1"/>
  <c r="F26" i="57"/>
  <c r="F16" i="57"/>
  <c r="F14" i="57"/>
  <c r="F24" i="57"/>
  <c r="D29" i="57"/>
  <c r="BS129" i="55"/>
  <c r="BS17" i="57" s="1"/>
  <c r="F128" i="59"/>
  <c r="D23" i="57"/>
  <c r="E66" i="55"/>
  <c r="E14" i="57"/>
  <c r="E24" i="57"/>
  <c r="D25" i="57"/>
  <c r="D24" i="57"/>
  <c r="E23" i="57"/>
  <c r="E13" i="57"/>
  <c r="BR7" i="57"/>
  <c r="BR37" i="57"/>
  <c r="E29" i="57"/>
  <c r="E19" i="57"/>
  <c r="K120" i="59"/>
  <c r="E128" i="59"/>
  <c r="BR6" i="57"/>
  <c r="BR36" i="57"/>
  <c r="E25" i="57"/>
  <c r="E15" i="57"/>
  <c r="BR58" i="59"/>
  <c r="AJ95" i="59"/>
  <c r="AJ123" i="59"/>
  <c r="BT100" i="59"/>
  <c r="BT127" i="59"/>
  <c r="BS94" i="59"/>
  <c r="BS122" i="59"/>
  <c r="BS95" i="59"/>
  <c r="BS123" i="59"/>
  <c r="BT97" i="59"/>
  <c r="BT124" i="59"/>
  <c r="BT99" i="59"/>
  <c r="BT126" i="59"/>
  <c r="D128" i="59"/>
  <c r="BR128" i="59"/>
  <c r="BT98" i="59"/>
  <c r="BT125" i="59"/>
  <c r="AJ10" i="58"/>
  <c r="BU92" i="59"/>
  <c r="K92" i="59"/>
  <c r="L92" i="59"/>
  <c r="F102" i="59"/>
  <c r="F58" i="59"/>
  <c r="BT56" i="59"/>
  <c r="D102" i="59"/>
  <c r="BT57" i="59"/>
  <c r="BT55" i="59"/>
  <c r="D58" i="59"/>
  <c r="E102" i="59"/>
  <c r="BT54" i="59"/>
  <c r="E58" i="59"/>
  <c r="E89" i="55"/>
  <c r="BS82" i="55"/>
  <c r="BS83" i="55"/>
  <c r="BS15" i="57" s="1"/>
  <c r="BS105" i="55"/>
  <c r="BS26" i="57" s="1"/>
  <c r="BT19" i="55"/>
  <c r="BT106" i="55" s="1"/>
  <c r="BT16" i="57" s="1"/>
  <c r="BT25" i="59"/>
  <c r="BT148" i="59" s="1"/>
  <c r="AL59" i="58"/>
  <c r="AK59" i="58"/>
  <c r="G59" i="58"/>
  <c r="D43" i="55"/>
  <c r="D181" i="55"/>
  <c r="F66" i="55"/>
  <c r="E43" i="55"/>
  <c r="I228" i="53"/>
  <c r="J178" i="55" s="1"/>
  <c r="I226" i="53"/>
  <c r="J176" i="55" s="1"/>
  <c r="M51" i="51"/>
  <c r="J208" i="54"/>
  <c r="I227" i="53"/>
  <c r="J177" i="55" s="1"/>
  <c r="I230" i="53"/>
  <c r="J180" i="55" s="1"/>
  <c r="K208" i="53"/>
  <c r="D254" i="54"/>
  <c r="AK75" i="51" s="1"/>
  <c r="I200" i="53"/>
  <c r="BV172" i="55"/>
  <c r="I210" i="54"/>
  <c r="I230" i="54" s="1"/>
  <c r="AP180" i="55" s="1"/>
  <c r="DB180" i="55" s="1"/>
  <c r="AP172" i="55"/>
  <c r="BR151" i="55"/>
  <c r="F151" i="55"/>
  <c r="F112" i="55"/>
  <c r="AJ105" i="55"/>
  <c r="AJ82" i="55"/>
  <c r="CV82" i="55" s="1"/>
  <c r="AJ174" i="55"/>
  <c r="CV174" i="55" s="1"/>
  <c r="E151" i="55"/>
  <c r="J210" i="53"/>
  <c r="J226" i="53" s="1"/>
  <c r="K176" i="55" s="1"/>
  <c r="K172" i="55"/>
  <c r="E181" i="55"/>
  <c r="F181" i="55"/>
  <c r="H237" i="54"/>
  <c r="H238" i="54" s="1"/>
  <c r="H240" i="54" s="1"/>
  <c r="H261" i="54" s="1"/>
  <c r="H262" i="54" s="1"/>
  <c r="AO78" i="51" s="1"/>
  <c r="AJ106" i="55"/>
  <c r="CV106" i="55" s="1"/>
  <c r="AJ83" i="55"/>
  <c r="CV83" i="55" s="1"/>
  <c r="AJ175" i="55"/>
  <c r="CV175" i="55" s="1"/>
  <c r="D151" i="55"/>
  <c r="D135" i="55"/>
  <c r="F43" i="55"/>
  <c r="D112" i="55"/>
  <c r="D66" i="55"/>
  <c r="E112" i="55"/>
  <c r="AJ60" i="55"/>
  <c r="AJ59" i="55"/>
  <c r="CV59" i="55" s="1"/>
  <c r="F89" i="55"/>
  <c r="AJ37" i="55"/>
  <c r="AJ36" i="55"/>
  <c r="CV36" i="55" s="1"/>
  <c r="BR66" i="55"/>
  <c r="G262" i="53"/>
  <c r="H78" i="51" s="1"/>
  <c r="H77" i="51"/>
  <c r="F262" i="54"/>
  <c r="AM78" i="51" s="1"/>
  <c r="AM77" i="51"/>
  <c r="G237" i="54"/>
  <c r="G238" i="54" s="1"/>
  <c r="G240" i="54" s="1"/>
  <c r="G261" i="54" s="1"/>
  <c r="BT6" i="55"/>
  <c r="AS51" i="51"/>
  <c r="AK74" i="51"/>
  <c r="L207" i="53"/>
  <c r="L211" i="53" s="1"/>
  <c r="M4" i="55"/>
  <c r="BU14" i="55"/>
  <c r="BU28" i="59" s="1"/>
  <c r="BU151" i="59" s="1"/>
  <c r="BU16" i="55"/>
  <c r="BU30" i="59" s="1"/>
  <c r="BU11" i="55"/>
  <c r="BU15" i="55"/>
  <c r="BU29" i="59" s="1"/>
  <c r="BU152" i="59" s="1"/>
  <c r="BU13" i="55"/>
  <c r="BU27" i="59" s="1"/>
  <c r="BU150" i="59" s="1"/>
  <c r="BU12" i="55"/>
  <c r="BU26" i="59" s="1"/>
  <c r="BU53" i="59" s="1"/>
  <c r="F256" i="53"/>
  <c r="G74" i="51"/>
  <c r="G76" i="51" s="1"/>
  <c r="G10" i="55"/>
  <c r="G23" i="59" s="1"/>
  <c r="G146" i="59" s="1"/>
  <c r="K207" i="54"/>
  <c r="K211" i="54" s="1"/>
  <c r="AR4" i="55"/>
  <c r="AR9" i="55"/>
  <c r="BT7" i="55"/>
  <c r="AR61" i="51"/>
  <c r="L71" i="51"/>
  <c r="L73" i="51" s="1"/>
  <c r="L64" i="51"/>
  <c r="J209" i="54"/>
  <c r="DC172" i="55" s="1"/>
  <c r="J232" i="54"/>
  <c r="J233" i="54" s="1"/>
  <c r="AR67" i="51"/>
  <c r="AR70" i="51" s="1"/>
  <c r="L70" i="51"/>
  <c r="O48" i="51"/>
  <c r="N36" i="53"/>
  <c r="N42" i="53" s="1"/>
  <c r="H199" i="54"/>
  <c r="H200" i="54" s="1"/>
  <c r="I166" i="54"/>
  <c r="BV9" i="55" s="1"/>
  <c r="BV22" i="59" s="1"/>
  <c r="BV145" i="59" s="1"/>
  <c r="K212" i="53"/>
  <c r="K215" i="53"/>
  <c r="K214" i="53"/>
  <c r="K213" i="53"/>
  <c r="H220" i="54"/>
  <c r="H224" i="54" s="1"/>
  <c r="H221" i="54"/>
  <c r="I218" i="53"/>
  <c r="I219" i="53"/>
  <c r="AQ71" i="51"/>
  <c r="AQ73" i="51" s="1"/>
  <c r="AQ64" i="51"/>
  <c r="P59" i="51"/>
  <c r="O38" i="53"/>
  <c r="G252" i="53"/>
  <c r="G202" i="54"/>
  <c r="G201" i="54"/>
  <c r="G203" i="54"/>
  <c r="G205" i="54"/>
  <c r="G204" i="54"/>
  <c r="G206" i="54"/>
  <c r="I236" i="53"/>
  <c r="I239" i="53" s="1"/>
  <c r="I244" i="53" s="1"/>
  <c r="K162" i="54"/>
  <c r="G220" i="54"/>
  <c r="G224" i="54" s="1"/>
  <c r="G221" i="54"/>
  <c r="G245" i="54"/>
  <c r="G254" i="54" s="1"/>
  <c r="AN75" i="51" s="1"/>
  <c r="Q160" i="54"/>
  <c r="AS57" i="51"/>
  <c r="AS58" i="51" s="1"/>
  <c r="AS72" i="51" s="1"/>
  <c r="M58" i="51"/>
  <c r="M72" i="51" s="1"/>
  <c r="AU55" i="51"/>
  <c r="N39" i="54"/>
  <c r="S45" i="54" s="1"/>
  <c r="AU59" i="51"/>
  <c r="N38" i="54"/>
  <c r="I216" i="54"/>
  <c r="I217" i="54"/>
  <c r="J212" i="54"/>
  <c r="J213" i="54"/>
  <c r="J215" i="54"/>
  <c r="J214" i="54"/>
  <c r="M67" i="51"/>
  <c r="L79" i="53"/>
  <c r="X109" i="54"/>
  <c r="X110" i="54" s="1"/>
  <c r="X111" i="54"/>
  <c r="X112" i="54" s="1"/>
  <c r="X107" i="54"/>
  <c r="X108" i="54" s="1"/>
  <c r="X113" i="54"/>
  <c r="X114" i="54" s="1"/>
  <c r="AT48" i="51"/>
  <c r="M36" i="54"/>
  <c r="M42" i="54" s="1"/>
  <c r="F252" i="54"/>
  <c r="I222" i="54"/>
  <c r="I234" i="54" s="1"/>
  <c r="I235" i="54" s="1"/>
  <c r="I223" i="54"/>
  <c r="M78" i="53"/>
  <c r="M72" i="53"/>
  <c r="M73" i="53" s="1"/>
  <c r="N49" i="51" s="1"/>
  <c r="AT49" i="51" s="1"/>
  <c r="M74" i="53"/>
  <c r="M75" i="53" s="1"/>
  <c r="N57" i="51" s="1"/>
  <c r="M80" i="53"/>
  <c r="M47" i="53"/>
  <c r="Z68" i="51"/>
  <c r="BF68" i="51" s="1"/>
  <c r="Z50" i="51"/>
  <c r="Z107" i="53"/>
  <c r="Z108" i="53" s="1"/>
  <c r="AA53" i="51" s="1"/>
  <c r="BG53" i="51" s="1"/>
  <c r="Z113" i="53"/>
  <c r="Z114" i="53" s="1"/>
  <c r="Z109" i="53"/>
  <c r="Z110" i="53" s="1"/>
  <c r="AA62" i="51" s="1"/>
  <c r="BG62" i="51" s="1"/>
  <c r="Z111" i="53"/>
  <c r="Z112" i="53" s="1"/>
  <c r="J217" i="53"/>
  <c r="J216" i="53"/>
  <c r="Y113" i="54"/>
  <c r="Y114" i="54" s="1"/>
  <c r="Y111" i="54"/>
  <c r="Y112" i="54" s="1"/>
  <c r="Y109" i="54"/>
  <c r="Y110" i="54" s="1"/>
  <c r="Y107" i="54"/>
  <c r="Y108" i="54" s="1"/>
  <c r="H240" i="53"/>
  <c r="H261" i="53" s="1"/>
  <c r="E252" i="54"/>
  <c r="L81" i="53"/>
  <c r="M61" i="51" s="1"/>
  <c r="L165" i="53"/>
  <c r="M9" i="55" s="1"/>
  <c r="M22" i="59" s="1"/>
  <c r="M145" i="59" s="1"/>
  <c r="AT65" i="51"/>
  <c r="M40" i="54"/>
  <c r="R46" i="54" s="1"/>
  <c r="R159" i="54" s="1"/>
  <c r="K232" i="53"/>
  <c r="K233" i="53" s="1"/>
  <c r="K209" i="53"/>
  <c r="J222" i="53"/>
  <c r="J234" i="53" s="1"/>
  <c r="J235" i="53" s="1"/>
  <c r="J223" i="53"/>
  <c r="R141" i="54"/>
  <c r="R142" i="54" s="1"/>
  <c r="R139" i="54"/>
  <c r="R140" i="54" s="1"/>
  <c r="R137" i="54"/>
  <c r="R138" i="54" s="1"/>
  <c r="H221" i="53"/>
  <c r="H220" i="53"/>
  <c r="H224" i="53" s="1"/>
  <c r="Y68" i="51"/>
  <c r="BE68" i="51" s="1"/>
  <c r="Y50" i="51"/>
  <c r="L74" i="54"/>
  <c r="L75" i="54" s="1"/>
  <c r="L72" i="54"/>
  <c r="L73" i="54" s="1"/>
  <c r="L47" i="54"/>
  <c r="L162" i="54" s="1"/>
  <c r="L80" i="54"/>
  <c r="L78" i="54"/>
  <c r="L79" i="54" s="1"/>
  <c r="K81" i="54"/>
  <c r="K165" i="54"/>
  <c r="H245" i="54"/>
  <c r="H254" i="54" s="1"/>
  <c r="AO75" i="51" s="1"/>
  <c r="R140" i="53"/>
  <c r="S63" i="51" s="1"/>
  <c r="AY63" i="51" s="1"/>
  <c r="R138" i="53"/>
  <c r="P65" i="51"/>
  <c r="O40" i="53"/>
  <c r="T46" i="53" s="1"/>
  <c r="T159" i="53" s="1"/>
  <c r="K166" i="53"/>
  <c r="J199" i="53"/>
  <c r="O65" i="51"/>
  <c r="N40" i="53"/>
  <c r="S46" i="53" s="1"/>
  <c r="S159" i="53" s="1"/>
  <c r="I202" i="53"/>
  <c r="BV176" i="55" s="1"/>
  <c r="I205" i="53"/>
  <c r="BV179" i="55" s="1"/>
  <c r="I203" i="53"/>
  <c r="BV177" i="55" s="1"/>
  <c r="I206" i="53"/>
  <c r="BV180" i="55" s="1"/>
  <c r="I201" i="53"/>
  <c r="I204" i="53"/>
  <c r="BV178" i="55" s="1"/>
  <c r="P55" i="51"/>
  <c r="O39" i="53"/>
  <c r="T45" i="53" s="1"/>
  <c r="S139" i="53"/>
  <c r="S141" i="53"/>
  <c r="S137" i="53"/>
  <c r="T56" i="51" s="1"/>
  <c r="AZ56" i="51" s="1"/>
  <c r="R142" i="53"/>
  <c r="S69" i="51" s="1"/>
  <c r="AY69" i="51" s="1"/>
  <c r="O46" i="51"/>
  <c r="AT46" i="51"/>
  <c r="P25" i="51"/>
  <c r="P44" i="51"/>
  <c r="AU25" i="51"/>
  <c r="AV29" i="51"/>
  <c r="Q33" i="51"/>
  <c r="Q35" i="51" s="1"/>
  <c r="AV24" i="51"/>
  <c r="AU39" i="51"/>
  <c r="Q29" i="51"/>
  <c r="Q21" i="51"/>
  <c r="AV15" i="51"/>
  <c r="AV17" i="51" s="1"/>
  <c r="S18" i="51"/>
  <c r="R19" i="51"/>
  <c r="R8" i="59" s="1"/>
  <c r="R23" i="51"/>
  <c r="R11" i="59" s="1"/>
  <c r="R20" i="51"/>
  <c r="R9" i="59" s="1"/>
  <c r="R22" i="51"/>
  <c r="R10" i="59" s="1"/>
  <c r="AX18" i="51"/>
  <c r="AU43" i="51"/>
  <c r="AU17" i="51"/>
  <c r="AW14" i="51"/>
  <c r="AW13" i="59" s="1"/>
  <c r="AW13" i="51"/>
  <c r="AW12" i="59" s="1"/>
  <c r="AW28" i="51"/>
  <c r="AW15" i="59" s="1"/>
  <c r="AW27" i="51"/>
  <c r="AW14" i="59" s="1"/>
  <c r="Q37" i="51"/>
  <c r="Q19" i="59" s="1"/>
  <c r="Q38" i="51"/>
  <c r="Q20" i="59" s="1"/>
  <c r="AW22" i="51"/>
  <c r="AW10" i="59" s="1"/>
  <c r="AW19" i="51"/>
  <c r="AW8" i="59" s="1"/>
  <c r="AW23" i="51"/>
  <c r="AW11" i="59" s="1"/>
  <c r="AW20" i="51"/>
  <c r="AW9" i="59" s="1"/>
  <c r="R14" i="51"/>
  <c r="R13" i="59" s="1"/>
  <c r="R13" i="51"/>
  <c r="R12" i="59" s="1"/>
  <c r="AW32" i="51"/>
  <c r="AW17" i="59" s="1"/>
  <c r="AW31" i="51"/>
  <c r="AW16" i="59" s="1"/>
  <c r="AW34" i="51"/>
  <c r="AW18" i="59" s="1"/>
  <c r="R36" i="51"/>
  <c r="R27" i="51"/>
  <c r="R14" i="59" s="1"/>
  <c r="S26" i="51"/>
  <c r="R28" i="51"/>
  <c r="R15" i="59" s="1"/>
  <c r="AX26" i="51"/>
  <c r="Q24" i="51"/>
  <c r="AX12" i="51"/>
  <c r="AU44" i="51"/>
  <c r="AV38" i="51"/>
  <c r="AV20" i="59" s="1"/>
  <c r="AV37" i="51"/>
  <c r="AV19" i="59" s="1"/>
  <c r="S30" i="51"/>
  <c r="AX30" i="51"/>
  <c r="R31" i="51"/>
  <c r="R16" i="59" s="1"/>
  <c r="R34" i="51"/>
  <c r="R18" i="59" s="1"/>
  <c r="R32" i="51"/>
  <c r="R17" i="59" s="1"/>
  <c r="P43" i="51"/>
  <c r="P17" i="51"/>
  <c r="T10" i="51"/>
  <c r="AY10" i="51"/>
  <c r="S12" i="51"/>
  <c r="AW36" i="51"/>
  <c r="AV21" i="51"/>
  <c r="Q15" i="51"/>
  <c r="AV33" i="51"/>
  <c r="AV35" i="51" s="1"/>
  <c r="AU75" i="59" l="1"/>
  <c r="L208" i="53"/>
  <c r="BR135" i="55"/>
  <c r="AO77" i="51"/>
  <c r="BQ28" i="57"/>
  <c r="BQ30" i="57" s="1"/>
  <c r="H254" i="53"/>
  <c r="R87" i="59"/>
  <c r="R114" i="59"/>
  <c r="R44" i="59"/>
  <c r="R70" i="59"/>
  <c r="R110" i="59"/>
  <c r="R83" i="59"/>
  <c r="R40" i="59"/>
  <c r="R66" i="59"/>
  <c r="AW85" i="59"/>
  <c r="AW68" i="59"/>
  <c r="AW112" i="59"/>
  <c r="AW42" i="59"/>
  <c r="BS89" i="55"/>
  <c r="R113" i="59"/>
  <c r="R43" i="59"/>
  <c r="R69" i="59"/>
  <c r="R86" i="59"/>
  <c r="AW43" i="59"/>
  <c r="AW69" i="59"/>
  <c r="AW86" i="59"/>
  <c r="AW113" i="59"/>
  <c r="CV101" i="59"/>
  <c r="CV153" i="59"/>
  <c r="AW88" i="59"/>
  <c r="AW115" i="59"/>
  <c r="AW45" i="59"/>
  <c r="AW71" i="59"/>
  <c r="R84" i="59"/>
  <c r="R111" i="59"/>
  <c r="R41" i="59"/>
  <c r="R67" i="59"/>
  <c r="AW83" i="59"/>
  <c r="AW110" i="59"/>
  <c r="AW40" i="59"/>
  <c r="AW66" i="59"/>
  <c r="CV60" i="55"/>
  <c r="CV66" i="55" s="1"/>
  <c r="AJ14" i="57"/>
  <c r="AV47" i="59"/>
  <c r="AV73" i="59"/>
  <c r="AV90" i="59"/>
  <c r="AV117" i="59"/>
  <c r="R85" i="59"/>
  <c r="R42" i="59"/>
  <c r="R112" i="59"/>
  <c r="R68" i="59"/>
  <c r="AW41" i="59"/>
  <c r="AW67" i="59"/>
  <c r="AW111" i="59"/>
  <c r="AW84" i="59"/>
  <c r="Q47" i="59"/>
  <c r="Q117" i="59"/>
  <c r="Q90" i="59"/>
  <c r="Q73" i="59"/>
  <c r="Q75" i="59" s="1"/>
  <c r="AV91" i="59"/>
  <c r="AV74" i="59"/>
  <c r="AV48" i="59"/>
  <c r="AV118" i="59"/>
  <c r="AJ51" i="59"/>
  <c r="AJ147" i="59"/>
  <c r="R89" i="59"/>
  <c r="R116" i="59"/>
  <c r="R46" i="59"/>
  <c r="R72" i="59"/>
  <c r="AW89" i="59"/>
  <c r="AW116" i="59"/>
  <c r="AW46" i="59"/>
  <c r="AW72" i="59"/>
  <c r="BT51" i="59"/>
  <c r="BT147" i="59"/>
  <c r="R45" i="59"/>
  <c r="R88" i="59"/>
  <c r="R115" i="59"/>
  <c r="R71" i="59"/>
  <c r="AW87" i="59"/>
  <c r="AW114" i="59"/>
  <c r="AW44" i="59"/>
  <c r="AW70" i="59"/>
  <c r="Q48" i="59"/>
  <c r="Q91" i="59"/>
  <c r="Q118" i="59"/>
  <c r="Q74" i="59"/>
  <c r="BU101" i="59"/>
  <c r="BU153" i="59"/>
  <c r="P91" i="59"/>
  <c r="P74" i="59"/>
  <c r="P75" i="59" s="1"/>
  <c r="P118" i="59"/>
  <c r="P48" i="59"/>
  <c r="BU24" i="59"/>
  <c r="G11" i="58"/>
  <c r="G6" i="58"/>
  <c r="AK11" i="58"/>
  <c r="AK6" i="58"/>
  <c r="AL11" i="58"/>
  <c r="AL6" i="58"/>
  <c r="BS181" i="55"/>
  <c r="BS19" i="57"/>
  <c r="I226" i="54"/>
  <c r="AP176" i="55" s="1"/>
  <c r="DB176" i="55" s="1"/>
  <c r="DC49" i="59"/>
  <c r="DC120" i="59"/>
  <c r="DC92" i="59"/>
  <c r="BT96" i="59"/>
  <c r="BT52" i="59"/>
  <c r="BV120" i="59"/>
  <c r="BV49" i="59"/>
  <c r="BV31" i="59"/>
  <c r="BV154" i="59" s="1"/>
  <c r="G50" i="59"/>
  <c r="G31" i="59"/>
  <c r="G154" i="59" s="1"/>
  <c r="AQ92" i="59"/>
  <c r="AQ49" i="59"/>
  <c r="M49" i="59"/>
  <c r="CV24" i="59"/>
  <c r="CV147" i="59" s="1"/>
  <c r="CV25" i="59"/>
  <c r="CV148" i="59" s="1"/>
  <c r="CV37" i="55"/>
  <c r="CV43" i="55" s="1"/>
  <c r="CV4" i="57" s="1"/>
  <c r="AJ13" i="57"/>
  <c r="EH46" i="59"/>
  <c r="EH49" i="59" s="1"/>
  <c r="CV99" i="59"/>
  <c r="CV56" i="59"/>
  <c r="CV126" i="59"/>
  <c r="CV127" i="59"/>
  <c r="CV100" i="59"/>
  <c r="CV57" i="59"/>
  <c r="CV6" i="55"/>
  <c r="CV26" i="59"/>
  <c r="CV181" i="55"/>
  <c r="CV40" i="57" s="1"/>
  <c r="CV125" i="59"/>
  <c r="CV98" i="59"/>
  <c r="CV55" i="59"/>
  <c r="CV89" i="55"/>
  <c r="CV6" i="57" s="1"/>
  <c r="R81" i="59"/>
  <c r="R108" i="59"/>
  <c r="R38" i="59"/>
  <c r="R64" i="59"/>
  <c r="R82" i="59"/>
  <c r="R109" i="59"/>
  <c r="R39" i="59"/>
  <c r="R65" i="59"/>
  <c r="R80" i="59"/>
  <c r="R107" i="59"/>
  <c r="R37" i="59"/>
  <c r="R63" i="59"/>
  <c r="AW80" i="59"/>
  <c r="AW107" i="59"/>
  <c r="AW37" i="59"/>
  <c r="AW63" i="59"/>
  <c r="R79" i="59"/>
  <c r="R106" i="59"/>
  <c r="R36" i="59"/>
  <c r="R62" i="59"/>
  <c r="AV75" i="59"/>
  <c r="AW39" i="59"/>
  <c r="AW82" i="59"/>
  <c r="AW109" i="59"/>
  <c r="AW65" i="59"/>
  <c r="AW36" i="59"/>
  <c r="AW79" i="59"/>
  <c r="AW106" i="59"/>
  <c r="AW62" i="59"/>
  <c r="AW38" i="59"/>
  <c r="AW81" i="59"/>
  <c r="AW108" i="59"/>
  <c r="AW64" i="59"/>
  <c r="AQ120" i="59"/>
  <c r="BQ39" i="57"/>
  <c r="BQ41" i="57" s="1"/>
  <c r="CV16" i="57"/>
  <c r="CV13" i="57"/>
  <c r="CV23" i="57"/>
  <c r="AJ128" i="55"/>
  <c r="CV128" i="55" s="1"/>
  <c r="CV105" i="55"/>
  <c r="CV112" i="55" s="1"/>
  <c r="CV7" i="55"/>
  <c r="CV19" i="55"/>
  <c r="CV20" i="55"/>
  <c r="CV24" i="57"/>
  <c r="CV14" i="57"/>
  <c r="CV19" i="57"/>
  <c r="CV29" i="57"/>
  <c r="AR22" i="59"/>
  <c r="AR145" i="59" s="1"/>
  <c r="DD9" i="55"/>
  <c r="DD22" i="59" s="1"/>
  <c r="DD145" i="59" s="1"/>
  <c r="CV25" i="57"/>
  <c r="CV15" i="57"/>
  <c r="AJ122" i="59"/>
  <c r="AJ128" i="59" s="1"/>
  <c r="AJ94" i="59"/>
  <c r="AJ102" i="59" s="1"/>
  <c r="BS29" i="57"/>
  <c r="BS24" i="57"/>
  <c r="J230" i="53"/>
  <c r="K180" i="55" s="1"/>
  <c r="BS23" i="57"/>
  <c r="BS43" i="55"/>
  <c r="BS4" i="57" s="1"/>
  <c r="BT175" i="55"/>
  <c r="BT19" i="57" s="1"/>
  <c r="BT174" i="55"/>
  <c r="BT181" i="55" s="1"/>
  <c r="BT59" i="55"/>
  <c r="BT82" i="55"/>
  <c r="BT60" i="55"/>
  <c r="BT14" i="57" s="1"/>
  <c r="BT83" i="55"/>
  <c r="BT15" i="57" s="1"/>
  <c r="BT37" i="55"/>
  <c r="BS112" i="55"/>
  <c r="BS7" i="57" s="1"/>
  <c r="BT105" i="55"/>
  <c r="BT26" i="57" s="1"/>
  <c r="BT36" i="55"/>
  <c r="BS128" i="55"/>
  <c r="BS135" i="55" s="1"/>
  <c r="AJ32" i="59"/>
  <c r="BS128" i="59"/>
  <c r="BR4" i="57"/>
  <c r="BR34" i="57"/>
  <c r="AJ23" i="57"/>
  <c r="E7" i="57"/>
  <c r="E37" i="57"/>
  <c r="AJ19" i="57"/>
  <c r="AJ29" i="57"/>
  <c r="E10" i="57"/>
  <c r="E40" i="57"/>
  <c r="BR8" i="57"/>
  <c r="BR38" i="57"/>
  <c r="D10" i="57"/>
  <c r="D40" i="57"/>
  <c r="D152" i="55"/>
  <c r="D18" i="57" s="1"/>
  <c r="D27" i="57"/>
  <c r="D6" i="57"/>
  <c r="D36" i="57"/>
  <c r="AJ89" i="55"/>
  <c r="AJ25" i="57"/>
  <c r="AJ15" i="57"/>
  <c r="BS10" i="57"/>
  <c r="BS40" i="57"/>
  <c r="F7" i="57"/>
  <c r="F37" i="57"/>
  <c r="D4" i="57"/>
  <c r="D34" i="57"/>
  <c r="E5" i="57"/>
  <c r="E35" i="57"/>
  <c r="BR152" i="55"/>
  <c r="BR27" i="57"/>
  <c r="M120" i="59"/>
  <c r="BS6" i="57"/>
  <c r="BS36" i="57"/>
  <c r="D5" i="57"/>
  <c r="D35" i="57"/>
  <c r="AJ129" i="55"/>
  <c r="CV129" i="55" s="1"/>
  <c r="AJ26" i="57"/>
  <c r="AJ16" i="57"/>
  <c r="BS25" i="57"/>
  <c r="G121" i="59"/>
  <c r="D7" i="57"/>
  <c r="D37" i="57"/>
  <c r="F6" i="57"/>
  <c r="F36" i="57"/>
  <c r="F4" i="57"/>
  <c r="F34" i="57"/>
  <c r="E8" i="57"/>
  <c r="E38" i="57"/>
  <c r="E6" i="57"/>
  <c r="E36" i="57"/>
  <c r="E152" i="55"/>
  <c r="E27" i="57"/>
  <c r="E17" i="57"/>
  <c r="AJ66" i="55"/>
  <c r="D8" i="57"/>
  <c r="D38" i="57"/>
  <c r="BT129" i="55"/>
  <c r="BT17" i="57" s="1"/>
  <c r="F152" i="55"/>
  <c r="F27" i="57"/>
  <c r="F17" i="57"/>
  <c r="BR5" i="57"/>
  <c r="BR35" i="57"/>
  <c r="F10" i="57"/>
  <c r="F40" i="57"/>
  <c r="F8" i="57"/>
  <c r="F38" i="57"/>
  <c r="E4" i="57"/>
  <c r="E34" i="57"/>
  <c r="BS152" i="55"/>
  <c r="BS18" i="57" s="1"/>
  <c r="BS20" i="57" s="1"/>
  <c r="AJ24" i="57"/>
  <c r="F5" i="57"/>
  <c r="F35" i="57"/>
  <c r="BT94" i="59"/>
  <c r="BT122" i="59"/>
  <c r="BU99" i="59"/>
  <c r="BU126" i="59"/>
  <c r="BT95" i="59"/>
  <c r="BT123" i="59"/>
  <c r="BU97" i="59"/>
  <c r="BU124" i="59"/>
  <c r="BU98" i="59"/>
  <c r="BU125" i="59"/>
  <c r="BU100" i="59"/>
  <c r="BU127" i="59"/>
  <c r="M92" i="59"/>
  <c r="BV92" i="59"/>
  <c r="G93" i="59"/>
  <c r="BU56" i="59"/>
  <c r="BU54" i="59"/>
  <c r="AJ58" i="59"/>
  <c r="BU55" i="59"/>
  <c r="BU57" i="59"/>
  <c r="BS58" i="59"/>
  <c r="BS102" i="59"/>
  <c r="BT89" i="55"/>
  <c r="AJ43" i="55"/>
  <c r="BU19" i="55"/>
  <c r="BU106" i="55" s="1"/>
  <c r="BU16" i="57" s="1"/>
  <c r="BU25" i="59"/>
  <c r="BU148" i="59" s="1"/>
  <c r="H59" i="58"/>
  <c r="AO59" i="58"/>
  <c r="AJ112" i="55"/>
  <c r="G58" i="58"/>
  <c r="G5" i="58" s="1"/>
  <c r="AM59" i="58"/>
  <c r="K208" i="54"/>
  <c r="Q25" i="51"/>
  <c r="AK10" i="55"/>
  <c r="AK12" i="55" s="1"/>
  <c r="AK26" i="59" s="1"/>
  <c r="AK53" i="59" s="1"/>
  <c r="AK76" i="51"/>
  <c r="D256" i="54"/>
  <c r="AJ181" i="55"/>
  <c r="AV44" i="51"/>
  <c r="H252" i="54"/>
  <c r="AO10" i="55" s="1"/>
  <c r="J229" i="53"/>
  <c r="K179" i="55" s="1"/>
  <c r="I227" i="54"/>
  <c r="AP177" i="55" s="1"/>
  <c r="DB177" i="55" s="1"/>
  <c r="J200" i="53"/>
  <c r="J202" i="53" s="1"/>
  <c r="BW176" i="55" s="1"/>
  <c r="BW172" i="55"/>
  <c r="K210" i="53"/>
  <c r="K230" i="53" s="1"/>
  <c r="L180" i="55" s="1"/>
  <c r="L172" i="55"/>
  <c r="J228" i="53"/>
  <c r="K178" i="55" s="1"/>
  <c r="J210" i="54"/>
  <c r="J229" i="54" s="1"/>
  <c r="AQ179" i="55" s="1"/>
  <c r="DC179" i="55" s="1"/>
  <c r="AQ172" i="55"/>
  <c r="I225" i="54"/>
  <c r="J225" i="53"/>
  <c r="I229" i="54"/>
  <c r="AP179" i="55" s="1"/>
  <c r="DB179" i="55" s="1"/>
  <c r="AJ151" i="55"/>
  <c r="CV151" i="55" s="1"/>
  <c r="AJ135" i="55"/>
  <c r="J227" i="53"/>
  <c r="K177" i="55" s="1"/>
  <c r="I228" i="54"/>
  <c r="AP178" i="55" s="1"/>
  <c r="DB178" i="55" s="1"/>
  <c r="BU6" i="55"/>
  <c r="BS66" i="55"/>
  <c r="G262" i="54"/>
  <c r="AN78" i="51" s="1"/>
  <c r="AN77" i="51"/>
  <c r="H262" i="53"/>
  <c r="I78" i="51" s="1"/>
  <c r="I77" i="51"/>
  <c r="F256" i="54"/>
  <c r="AM74" i="51"/>
  <c r="AM76" i="51" s="1"/>
  <c r="AM10" i="55"/>
  <c r="CY10" i="55" s="1"/>
  <c r="CY23" i="59" s="1"/>
  <c r="BV14" i="55"/>
  <c r="BV28" i="59" s="1"/>
  <c r="BV151" i="59" s="1"/>
  <c r="BV16" i="55"/>
  <c r="BV30" i="59" s="1"/>
  <c r="BV13" i="55"/>
  <c r="BV27" i="59" s="1"/>
  <c r="BV150" i="59" s="1"/>
  <c r="BV15" i="55"/>
  <c r="BV29" i="59" s="1"/>
  <c r="BV152" i="59" s="1"/>
  <c r="BV12" i="55"/>
  <c r="BV26" i="59" s="1"/>
  <c r="BV53" i="59" s="1"/>
  <c r="BV11" i="55"/>
  <c r="G13" i="55"/>
  <c r="G27" i="59" s="1"/>
  <c r="G150" i="59" s="1"/>
  <c r="G11" i="55"/>
  <c r="G16" i="55"/>
  <c r="G30" i="59" s="1"/>
  <c r="G15" i="55"/>
  <c r="G29" i="59" s="1"/>
  <c r="G152" i="59" s="1"/>
  <c r="G12" i="55"/>
  <c r="G26" i="59" s="1"/>
  <c r="G53" i="59" s="1"/>
  <c r="G14" i="55"/>
  <c r="G28" i="59" s="1"/>
  <c r="G151" i="59" s="1"/>
  <c r="H256" i="53"/>
  <c r="I75" i="51"/>
  <c r="I76" i="51" s="1"/>
  <c r="AO74" i="51"/>
  <c r="AO76" i="51" s="1"/>
  <c r="L207" i="54"/>
  <c r="L208" i="54" s="1"/>
  <c r="AS4" i="55"/>
  <c r="AS9" i="55"/>
  <c r="M207" i="53"/>
  <c r="M208" i="53" s="1"/>
  <c r="N4" i="55"/>
  <c r="G256" i="53"/>
  <c r="H74" i="51"/>
  <c r="H76" i="51" s="1"/>
  <c r="H10" i="55"/>
  <c r="H23" i="59" s="1"/>
  <c r="H146" i="59" s="1"/>
  <c r="I10" i="55"/>
  <c r="I23" i="59" s="1"/>
  <c r="BU7" i="55"/>
  <c r="E256" i="54"/>
  <c r="AL74" i="51"/>
  <c r="AL76" i="51" s="1"/>
  <c r="AL10" i="55"/>
  <c r="Q48" i="51"/>
  <c r="P36" i="53"/>
  <c r="P42" i="53" s="1"/>
  <c r="AU65" i="51"/>
  <c r="N40" i="54"/>
  <c r="S46" i="54" s="1"/>
  <c r="S159" i="54" s="1"/>
  <c r="AS61" i="51"/>
  <c r="M71" i="51"/>
  <c r="M73" i="51" s="1"/>
  <c r="M64" i="51"/>
  <c r="M162" i="53"/>
  <c r="M80" i="54"/>
  <c r="M78" i="54"/>
  <c r="M79" i="54" s="1"/>
  <c r="M74" i="54"/>
  <c r="M75" i="54" s="1"/>
  <c r="M72" i="54"/>
  <c r="M73" i="54" s="1"/>
  <c r="M47" i="54"/>
  <c r="L214" i="53"/>
  <c r="L212" i="53"/>
  <c r="L215" i="53"/>
  <c r="L213" i="53"/>
  <c r="K222" i="53"/>
  <c r="K234" i="53" s="1"/>
  <c r="K235" i="53" s="1"/>
  <c r="K223" i="53"/>
  <c r="I237" i="53"/>
  <c r="I238" i="53" s="1"/>
  <c r="I240" i="53" s="1"/>
  <c r="I261" i="53" s="1"/>
  <c r="K209" i="54"/>
  <c r="DD172" i="55" s="1"/>
  <c r="K232" i="54"/>
  <c r="K233" i="54" s="1"/>
  <c r="BE50" i="51"/>
  <c r="J218" i="53"/>
  <c r="J219" i="53"/>
  <c r="AT51" i="51"/>
  <c r="J216" i="54"/>
  <c r="J217" i="54"/>
  <c r="N51" i="51"/>
  <c r="AA68" i="51"/>
  <c r="BG68" i="51" s="1"/>
  <c r="AA50" i="51"/>
  <c r="M81" i="53"/>
  <c r="N61" i="51" s="1"/>
  <c r="M165" i="53"/>
  <c r="N9" i="55" s="1"/>
  <c r="N22" i="59" s="1"/>
  <c r="N145" i="59" s="1"/>
  <c r="J222" i="54"/>
  <c r="J234" i="54" s="1"/>
  <c r="J235" i="54" s="1"/>
  <c r="J223" i="54"/>
  <c r="S141" i="54"/>
  <c r="S142" i="54" s="1"/>
  <c r="S139" i="54"/>
  <c r="S140" i="54" s="1"/>
  <c r="S137" i="54"/>
  <c r="S138" i="54" s="1"/>
  <c r="G252" i="54"/>
  <c r="I199" i="54"/>
  <c r="I200" i="54" s="1"/>
  <c r="J166" i="54"/>
  <c r="BW9" i="55" s="1"/>
  <c r="BW22" i="59" s="1"/>
  <c r="BW145" i="59" s="1"/>
  <c r="AV59" i="51"/>
  <c r="O38" i="54"/>
  <c r="AT57" i="51"/>
  <c r="AT58" i="51" s="1"/>
  <c r="AT72" i="51" s="1"/>
  <c r="N58" i="51"/>
  <c r="N72" i="51" s="1"/>
  <c r="I236" i="54"/>
  <c r="I239" i="54" s="1"/>
  <c r="I220" i="53"/>
  <c r="I224" i="53" s="1"/>
  <c r="I221" i="53"/>
  <c r="H205" i="54"/>
  <c r="H203" i="54"/>
  <c r="H202" i="54"/>
  <c r="H206" i="54"/>
  <c r="H204" i="54"/>
  <c r="H201" i="54"/>
  <c r="AU48" i="51"/>
  <c r="N36" i="54"/>
  <c r="N42" i="54" s="1"/>
  <c r="I245" i="53"/>
  <c r="I254" i="53" s="1"/>
  <c r="J75" i="51" s="1"/>
  <c r="N78" i="53"/>
  <c r="N72" i="53"/>
  <c r="N73" i="53" s="1"/>
  <c r="O49" i="51" s="1"/>
  <c r="AU49" i="51" s="1"/>
  <c r="N74" i="53"/>
  <c r="N75" i="53" s="1"/>
  <c r="O57" i="51" s="1"/>
  <c r="N80" i="53"/>
  <c r="N47" i="53"/>
  <c r="N162" i="53" s="1"/>
  <c r="P52" i="51"/>
  <c r="P54" i="51" s="1"/>
  <c r="O37" i="53"/>
  <c r="AA43" i="53" s="1"/>
  <c r="AU52" i="51"/>
  <c r="AU54" i="51" s="1"/>
  <c r="N37" i="54"/>
  <c r="Z43" i="54" s="1"/>
  <c r="AV52" i="51"/>
  <c r="AV54" i="51" s="1"/>
  <c r="O37" i="54"/>
  <c r="AA43" i="54" s="1"/>
  <c r="L81" i="54"/>
  <c r="L165" i="54"/>
  <c r="R160" i="54"/>
  <c r="N67" i="51"/>
  <c r="M79" i="53"/>
  <c r="I219" i="54"/>
  <c r="I218" i="54"/>
  <c r="K212" i="54"/>
  <c r="K213" i="54"/>
  <c r="K215" i="54"/>
  <c r="K214" i="54"/>
  <c r="AV55" i="51"/>
  <c r="O39" i="54"/>
  <c r="T45" i="54" s="1"/>
  <c r="P48" i="51"/>
  <c r="O36" i="53"/>
  <c r="O42" i="53" s="1"/>
  <c r="L211" i="54"/>
  <c r="BF50" i="51"/>
  <c r="Q59" i="51"/>
  <c r="P38" i="53"/>
  <c r="L232" i="53"/>
  <c r="L233" i="53" s="1"/>
  <c r="L209" i="53"/>
  <c r="AS67" i="51"/>
  <c r="AS70" i="51" s="1"/>
  <c r="M70" i="51"/>
  <c r="J236" i="53"/>
  <c r="J239" i="53" s="1"/>
  <c r="K216" i="53"/>
  <c r="K217" i="53"/>
  <c r="AR71" i="51"/>
  <c r="AR73" i="51" s="1"/>
  <c r="AR64" i="51"/>
  <c r="S140" i="53"/>
  <c r="T63" i="51" s="1"/>
  <c r="AZ63" i="51" s="1"/>
  <c r="T160" i="53"/>
  <c r="U66" i="51" s="1"/>
  <c r="BA66" i="51" s="1"/>
  <c r="S160" i="53"/>
  <c r="T66" i="51" s="1"/>
  <c r="AZ66" i="51" s="1"/>
  <c r="J205" i="53"/>
  <c r="BW179" i="55" s="1"/>
  <c r="J203" i="53"/>
  <c r="BW177" i="55" s="1"/>
  <c r="J201" i="53"/>
  <c r="J206" i="53"/>
  <c r="BW180" i="55" s="1"/>
  <c r="J204" i="53"/>
  <c r="BW178" i="55" s="1"/>
  <c r="T141" i="53"/>
  <c r="T137" i="53"/>
  <c r="U56" i="51" s="1"/>
  <c r="BA56" i="51" s="1"/>
  <c r="T139" i="53"/>
  <c r="K199" i="53"/>
  <c r="L166" i="53"/>
  <c r="S138" i="53"/>
  <c r="P46" i="51"/>
  <c r="Q55" i="51"/>
  <c r="P39" i="53"/>
  <c r="U45" i="53" s="1"/>
  <c r="S142" i="53"/>
  <c r="T69" i="51" s="1"/>
  <c r="AZ69" i="51" s="1"/>
  <c r="R15" i="51"/>
  <c r="R17" i="51" s="1"/>
  <c r="AV25" i="51"/>
  <c r="R29" i="51"/>
  <c r="AW33" i="51"/>
  <c r="AW35" i="51" s="1"/>
  <c r="Q39" i="51"/>
  <c r="R21" i="51"/>
  <c r="R24" i="51"/>
  <c r="AW29" i="51"/>
  <c r="AX31" i="51"/>
  <c r="AX16" i="59" s="1"/>
  <c r="AX32" i="51"/>
  <c r="AX17" i="59" s="1"/>
  <c r="AX34" i="51"/>
  <c r="AX18" i="59" s="1"/>
  <c r="T26" i="51"/>
  <c r="S28" i="51"/>
  <c r="S15" i="59" s="1"/>
  <c r="S27" i="51"/>
  <c r="S14" i="59" s="1"/>
  <c r="AY26" i="51"/>
  <c r="AX19" i="51"/>
  <c r="AX8" i="59" s="1"/>
  <c r="AX23" i="51"/>
  <c r="AX11" i="59" s="1"/>
  <c r="AX20" i="51"/>
  <c r="AX9" i="59" s="1"/>
  <c r="AX22" i="51"/>
  <c r="AX10" i="59" s="1"/>
  <c r="AY12" i="51"/>
  <c r="U10" i="51"/>
  <c r="AZ10" i="51"/>
  <c r="T12" i="51"/>
  <c r="T30" i="51"/>
  <c r="AY30" i="51"/>
  <c r="S31" i="51"/>
  <c r="S16" i="59" s="1"/>
  <c r="S34" i="51"/>
  <c r="S18" i="59" s="1"/>
  <c r="S32" i="51"/>
  <c r="S17" i="59" s="1"/>
  <c r="Q44" i="51"/>
  <c r="S20" i="51"/>
  <c r="S9" i="59" s="1"/>
  <c r="T18" i="51"/>
  <c r="S19" i="51"/>
  <c r="S8" i="59" s="1"/>
  <c r="AY18" i="51"/>
  <c r="S23" i="51"/>
  <c r="S11" i="59" s="1"/>
  <c r="S22" i="51"/>
  <c r="S10" i="59" s="1"/>
  <c r="AW37" i="51"/>
  <c r="AW19" i="59" s="1"/>
  <c r="AW38" i="51"/>
  <c r="AW20" i="59" s="1"/>
  <c r="S36" i="51"/>
  <c r="AV43" i="51"/>
  <c r="AV46" i="51" s="1"/>
  <c r="AV39" i="51"/>
  <c r="AX36" i="51"/>
  <c r="AX28" i="51"/>
  <c r="AX15" i="59" s="1"/>
  <c r="AX27" i="51"/>
  <c r="AX14" i="59" s="1"/>
  <c r="R38" i="51"/>
  <c r="R20" i="59" s="1"/>
  <c r="R37" i="51"/>
  <c r="R19" i="59" s="1"/>
  <c r="AW21" i="51"/>
  <c r="AU46" i="51"/>
  <c r="Q43" i="51"/>
  <c r="Q17" i="51"/>
  <c r="S14" i="51"/>
  <c r="S13" i="59" s="1"/>
  <c r="S13" i="51"/>
  <c r="S12" i="59" s="1"/>
  <c r="R33" i="51"/>
  <c r="R35" i="51" s="1"/>
  <c r="AX14" i="51"/>
  <c r="AX13" i="59" s="1"/>
  <c r="AX13" i="51"/>
  <c r="AX12" i="59" s="1"/>
  <c r="AW24" i="51"/>
  <c r="AW15" i="51"/>
  <c r="K228" i="53" l="1"/>
  <c r="L178" i="55" s="1"/>
  <c r="D158" i="55"/>
  <c r="CV35" i="57"/>
  <c r="CV5" i="57"/>
  <c r="S88" i="59"/>
  <c r="S115" i="59"/>
  <c r="S45" i="59"/>
  <c r="S71" i="59"/>
  <c r="S110" i="59"/>
  <c r="S40" i="59"/>
  <c r="S66" i="59"/>
  <c r="S83" i="59"/>
  <c r="AX42" i="59"/>
  <c r="AX68" i="59"/>
  <c r="AX85" i="59"/>
  <c r="AX112" i="59"/>
  <c r="S46" i="59"/>
  <c r="S89" i="59"/>
  <c r="S116" i="59"/>
  <c r="S72" i="59"/>
  <c r="AX89" i="59"/>
  <c r="AX116" i="59"/>
  <c r="AX46" i="59"/>
  <c r="AX72" i="59"/>
  <c r="R118" i="59"/>
  <c r="R48" i="59"/>
  <c r="R91" i="59"/>
  <c r="R74" i="59"/>
  <c r="S111" i="59"/>
  <c r="S41" i="59"/>
  <c r="S84" i="59"/>
  <c r="S67" i="59"/>
  <c r="AX86" i="59"/>
  <c r="AX113" i="59"/>
  <c r="AX43" i="59"/>
  <c r="AX69" i="59"/>
  <c r="S87" i="59"/>
  <c r="S114" i="59"/>
  <c r="S44" i="59"/>
  <c r="S70" i="59"/>
  <c r="AX88" i="59"/>
  <c r="AX115" i="59"/>
  <c r="AX45" i="59"/>
  <c r="AX71" i="59"/>
  <c r="BV101" i="59"/>
  <c r="BV153" i="59"/>
  <c r="BU51" i="59"/>
  <c r="BU147" i="59"/>
  <c r="AW90" i="59"/>
  <c r="AW73" i="59"/>
  <c r="AW47" i="59"/>
  <c r="AW117" i="59"/>
  <c r="AX44" i="59"/>
  <c r="AX87" i="59"/>
  <c r="AX114" i="59"/>
  <c r="AX70" i="59"/>
  <c r="G101" i="59"/>
  <c r="G153" i="59"/>
  <c r="I146" i="59"/>
  <c r="G24" i="59"/>
  <c r="CV36" i="57"/>
  <c r="AX83" i="59"/>
  <c r="AX110" i="59"/>
  <c r="AX40" i="59"/>
  <c r="AX66" i="59"/>
  <c r="S112" i="59"/>
  <c r="S85" i="59"/>
  <c r="S42" i="59"/>
  <c r="S68" i="59"/>
  <c r="BV24" i="59"/>
  <c r="AX84" i="59"/>
  <c r="AX111" i="59"/>
  <c r="AX41" i="59"/>
  <c r="AX67" i="59"/>
  <c r="R47" i="59"/>
  <c r="R117" i="59"/>
  <c r="R90" i="59"/>
  <c r="R73" i="59"/>
  <c r="AW74" i="59"/>
  <c r="AW91" i="59"/>
  <c r="AW48" i="59"/>
  <c r="AW118" i="59"/>
  <c r="S86" i="59"/>
  <c r="S43" i="59"/>
  <c r="S69" i="59"/>
  <c r="S113" i="59"/>
  <c r="BT112" i="55"/>
  <c r="BT7" i="57" s="1"/>
  <c r="AO11" i="58"/>
  <c r="AO6" i="58"/>
  <c r="CV10" i="57"/>
  <c r="CY50" i="59"/>
  <c r="CY93" i="59"/>
  <c r="CY121" i="59"/>
  <c r="CY31" i="59"/>
  <c r="BT128" i="55"/>
  <c r="BT151" i="55" s="1"/>
  <c r="H11" i="58"/>
  <c r="H6" i="58"/>
  <c r="BR28" i="57"/>
  <c r="BR18" i="57"/>
  <c r="BR20" i="57" s="1"/>
  <c r="BR149" i="59" s="1"/>
  <c r="BR155" i="59" s="1"/>
  <c r="AM11" i="58"/>
  <c r="AM6" i="58"/>
  <c r="BT43" i="55"/>
  <c r="BT13" i="57"/>
  <c r="DD49" i="59"/>
  <c r="DD92" i="59"/>
  <c r="DD120" i="59"/>
  <c r="BW120" i="59"/>
  <c r="BW49" i="59"/>
  <c r="BW31" i="59"/>
  <c r="BW154" i="59" s="1"/>
  <c r="AR120" i="59"/>
  <c r="AR49" i="59"/>
  <c r="AW75" i="59"/>
  <c r="N49" i="59"/>
  <c r="I50" i="59"/>
  <c r="I31" i="59"/>
  <c r="R75" i="59"/>
  <c r="H50" i="59"/>
  <c r="H31" i="59"/>
  <c r="H154" i="59" s="1"/>
  <c r="BU96" i="59"/>
  <c r="BU52" i="59"/>
  <c r="CV53" i="59"/>
  <c r="CV54" i="59"/>
  <c r="CV97" i="59"/>
  <c r="CV124" i="59"/>
  <c r="CV52" i="59"/>
  <c r="CV96" i="59"/>
  <c r="CV123" i="59"/>
  <c r="CV95" i="59"/>
  <c r="CV51" i="59"/>
  <c r="CV122" i="59"/>
  <c r="CV94" i="59"/>
  <c r="CV34" i="57"/>
  <c r="S36" i="59"/>
  <c r="S79" i="59"/>
  <c r="S106" i="59"/>
  <c r="S62" i="59"/>
  <c r="AX39" i="59"/>
  <c r="AX82" i="59"/>
  <c r="AX109" i="59"/>
  <c r="AX65" i="59"/>
  <c r="S37" i="59"/>
  <c r="S80" i="59"/>
  <c r="S107" i="59"/>
  <c r="S63" i="59"/>
  <c r="CV26" i="57"/>
  <c r="AX80" i="59"/>
  <c r="AX107" i="59"/>
  <c r="AX37" i="59"/>
  <c r="AX63" i="59"/>
  <c r="S39" i="59"/>
  <c r="S82" i="59"/>
  <c r="S109" i="59"/>
  <c r="S65" i="59"/>
  <c r="AX36" i="59"/>
  <c r="AX79" i="59"/>
  <c r="AX106" i="59"/>
  <c r="AX62" i="59"/>
  <c r="M211" i="53"/>
  <c r="S38" i="59"/>
  <c r="S81" i="59"/>
  <c r="S108" i="59"/>
  <c r="S64" i="59"/>
  <c r="AX81" i="59"/>
  <c r="AX108" i="59"/>
  <c r="AX38" i="59"/>
  <c r="AX64" i="59"/>
  <c r="AR92" i="59"/>
  <c r="AK23" i="59"/>
  <c r="AK146" i="59" s="1"/>
  <c r="CW10" i="55"/>
  <c r="CW23" i="59" s="1"/>
  <c r="CW146" i="59" s="1"/>
  <c r="AL23" i="59"/>
  <c r="CX10" i="55"/>
  <c r="CX23" i="59" s="1"/>
  <c r="CX146" i="59" s="1"/>
  <c r="AO23" i="59"/>
  <c r="DA10" i="55"/>
  <c r="DA23" i="59" s="1"/>
  <c r="AS22" i="59"/>
  <c r="AS145" i="59" s="1"/>
  <c r="DE9" i="55"/>
  <c r="DE22" i="59" s="1"/>
  <c r="DE145" i="59" s="1"/>
  <c r="CV17" i="57"/>
  <c r="CV27" i="57"/>
  <c r="CV37" i="57"/>
  <c r="CV7" i="57"/>
  <c r="CY15" i="55"/>
  <c r="CY29" i="59" s="1"/>
  <c r="CY14" i="55"/>
  <c r="CY28" i="59" s="1"/>
  <c r="CY13" i="55"/>
  <c r="CY27" i="59" s="1"/>
  <c r="CY12" i="55"/>
  <c r="CY26" i="59" s="1"/>
  <c r="CY11" i="55"/>
  <c r="CY16" i="55"/>
  <c r="CY30" i="59" s="1"/>
  <c r="CV135" i="55"/>
  <c r="BS34" i="57"/>
  <c r="BU82" i="55"/>
  <c r="BT66" i="55"/>
  <c r="BT35" i="57" s="1"/>
  <c r="K229" i="53"/>
  <c r="L179" i="55" s="1"/>
  <c r="K225" i="53"/>
  <c r="BS151" i="55"/>
  <c r="BS158" i="55" s="1"/>
  <c r="BS9" i="57" s="1"/>
  <c r="BT24" i="57"/>
  <c r="K226" i="53"/>
  <c r="L176" i="55" s="1"/>
  <c r="BS27" i="57"/>
  <c r="AK11" i="55"/>
  <c r="AK6" i="55" s="1"/>
  <c r="AK15" i="55"/>
  <c r="AK29" i="59" s="1"/>
  <c r="K227" i="53"/>
  <c r="L177" i="55" s="1"/>
  <c r="AK13" i="55"/>
  <c r="AK27" i="59" s="1"/>
  <c r="AK14" i="55"/>
  <c r="AK28" i="59" s="1"/>
  <c r="AK151" i="59" s="1"/>
  <c r="BT23" i="57"/>
  <c r="AK16" i="55"/>
  <c r="AK30" i="59" s="1"/>
  <c r="BT25" i="57"/>
  <c r="BT102" i="59"/>
  <c r="BS37" i="57"/>
  <c r="BT29" i="57"/>
  <c r="BU37" i="55"/>
  <c r="BU13" i="57" s="1"/>
  <c r="BU174" i="55"/>
  <c r="BU36" i="55"/>
  <c r="BU175" i="55"/>
  <c r="BU19" i="57" s="1"/>
  <c r="BU83" i="55"/>
  <c r="BU15" i="57" s="1"/>
  <c r="BU59" i="55"/>
  <c r="BU105" i="55"/>
  <c r="BU26" i="57" s="1"/>
  <c r="BU60" i="55"/>
  <c r="BU14" i="57" s="1"/>
  <c r="BU129" i="55"/>
  <c r="BU17" i="57" s="1"/>
  <c r="BS5" i="57"/>
  <c r="BS35" i="57"/>
  <c r="F18" i="57"/>
  <c r="F20" i="57" s="1"/>
  <c r="F28" i="57"/>
  <c r="F30" i="57" s="1"/>
  <c r="BR30" i="57"/>
  <c r="BT4" i="57"/>
  <c r="BT34" i="57"/>
  <c r="AJ8" i="57"/>
  <c r="AJ38" i="57"/>
  <c r="BT10" i="57"/>
  <c r="BT40" i="57"/>
  <c r="AJ4" i="57"/>
  <c r="AJ34" i="57"/>
  <c r="D9" i="57"/>
  <c r="D39" i="57"/>
  <c r="D41" i="57" s="1"/>
  <c r="AJ152" i="55"/>
  <c r="AJ27" i="57"/>
  <c r="AJ17" i="57"/>
  <c r="AJ10" i="57"/>
  <c r="AJ40" i="57"/>
  <c r="AJ7" i="57"/>
  <c r="AJ37" i="57"/>
  <c r="BT6" i="57"/>
  <c r="BT36" i="57"/>
  <c r="BT152" i="55"/>
  <c r="BT18" i="57" s="1"/>
  <c r="E18" i="57"/>
  <c r="E20" i="57" s="1"/>
  <c r="E28" i="57"/>
  <c r="E30" i="57" s="1"/>
  <c r="N120" i="59"/>
  <c r="E158" i="55"/>
  <c r="D28" i="57"/>
  <c r="D30" i="57" s="1"/>
  <c r="D20" i="57"/>
  <c r="F158" i="55"/>
  <c r="I121" i="59"/>
  <c r="AM23" i="59"/>
  <c r="AM14" i="55"/>
  <c r="AM28" i="59" s="1"/>
  <c r="AM13" i="55"/>
  <c r="AM27" i="59" s="1"/>
  <c r="AM12" i="55"/>
  <c r="AM15" i="55"/>
  <c r="AM29" i="59" s="1"/>
  <c r="AM16" i="55"/>
  <c r="AM30" i="59" s="1"/>
  <c r="AM11" i="55"/>
  <c r="AJ5" i="57"/>
  <c r="AJ35" i="57"/>
  <c r="AJ6" i="57"/>
  <c r="AJ36" i="57"/>
  <c r="H121" i="59"/>
  <c r="BS8" i="57"/>
  <c r="BS38" i="57"/>
  <c r="BR158" i="55"/>
  <c r="BU95" i="59"/>
  <c r="BU123" i="59"/>
  <c r="BU94" i="59"/>
  <c r="BU122" i="59"/>
  <c r="BV97" i="59"/>
  <c r="BV124" i="59"/>
  <c r="G98" i="59"/>
  <c r="G125" i="59"/>
  <c r="G99" i="59"/>
  <c r="G126" i="59"/>
  <c r="BV100" i="59"/>
  <c r="BV127" i="59"/>
  <c r="G97" i="59"/>
  <c r="G124" i="59"/>
  <c r="BV98" i="59"/>
  <c r="BV125" i="59"/>
  <c r="BT128" i="59"/>
  <c r="AK97" i="59"/>
  <c r="AK124" i="59"/>
  <c r="G100" i="59"/>
  <c r="G127" i="59"/>
  <c r="BV99" i="59"/>
  <c r="BV126" i="59"/>
  <c r="G10" i="58"/>
  <c r="BW92" i="59"/>
  <c r="N92" i="59"/>
  <c r="H93" i="59"/>
  <c r="I93" i="59"/>
  <c r="BT58" i="59"/>
  <c r="BV54" i="59"/>
  <c r="AK54" i="59"/>
  <c r="G57" i="59"/>
  <c r="G56" i="59"/>
  <c r="G54" i="59"/>
  <c r="BV55" i="59"/>
  <c r="BV56" i="59"/>
  <c r="BV57" i="59"/>
  <c r="G55" i="59"/>
  <c r="G25" i="59"/>
  <c r="G148" i="59" s="1"/>
  <c r="BV19" i="55"/>
  <c r="BV105" i="55" s="1"/>
  <c r="BV25" i="59"/>
  <c r="BV148" i="59" s="1"/>
  <c r="AL58" i="58"/>
  <c r="AN59" i="58"/>
  <c r="AK58" i="58"/>
  <c r="I59" i="58"/>
  <c r="AO58" i="58"/>
  <c r="AM58" i="58"/>
  <c r="H58" i="58"/>
  <c r="H5" i="58" s="1"/>
  <c r="I58" i="58"/>
  <c r="I5" i="58" s="1"/>
  <c r="J228" i="54"/>
  <c r="AQ178" i="55" s="1"/>
  <c r="DC178" i="55" s="1"/>
  <c r="H256" i="54"/>
  <c r="K236" i="53"/>
  <c r="K237" i="53" s="1"/>
  <c r="K238" i="53" s="1"/>
  <c r="I252" i="53"/>
  <c r="J74" i="51" s="1"/>
  <c r="J76" i="51" s="1"/>
  <c r="J227" i="54"/>
  <c r="AQ177" i="55" s="1"/>
  <c r="DC177" i="55" s="1"/>
  <c r="K210" i="54"/>
  <c r="K226" i="54" s="1"/>
  <c r="AR176" i="55" s="1"/>
  <c r="DD176" i="55" s="1"/>
  <c r="AR172" i="55"/>
  <c r="J230" i="54"/>
  <c r="AQ180" i="55" s="1"/>
  <c r="DC180" i="55" s="1"/>
  <c r="L210" i="53"/>
  <c r="L225" i="53" s="1"/>
  <c r="M172" i="55"/>
  <c r="J226" i="54"/>
  <c r="AQ176" i="55" s="1"/>
  <c r="DC176" i="55" s="1"/>
  <c r="J225" i="54"/>
  <c r="K200" i="53"/>
  <c r="K201" i="53" s="1"/>
  <c r="BX172" i="55"/>
  <c r="I262" i="53"/>
  <c r="J78" i="51" s="1"/>
  <c r="J77" i="51"/>
  <c r="BV6" i="55"/>
  <c r="M207" i="54"/>
  <c r="M211" i="54" s="1"/>
  <c r="AT4" i="55"/>
  <c r="I15" i="55"/>
  <c r="I29" i="59" s="1"/>
  <c r="I13" i="55"/>
  <c r="I27" i="59" s="1"/>
  <c r="I14" i="55"/>
  <c r="I28" i="59" s="1"/>
  <c r="I16" i="55"/>
  <c r="I30" i="59" s="1"/>
  <c r="I12" i="55"/>
  <c r="I26" i="59" s="1"/>
  <c r="I53" i="59" s="1"/>
  <c r="I11" i="55"/>
  <c r="G20" i="55"/>
  <c r="G19" i="55"/>
  <c r="BV7" i="55"/>
  <c r="H16" i="55"/>
  <c r="H30" i="59" s="1"/>
  <c r="H15" i="55"/>
  <c r="H29" i="59" s="1"/>
  <c r="H152" i="59" s="1"/>
  <c r="H14" i="55"/>
  <c r="H28" i="59" s="1"/>
  <c r="H151" i="59" s="1"/>
  <c r="H11" i="55"/>
  <c r="H24" i="59" s="1"/>
  <c r="H13" i="55"/>
  <c r="H27" i="59" s="1"/>
  <c r="H150" i="59" s="1"/>
  <c r="H12" i="55"/>
  <c r="H26" i="59" s="1"/>
  <c r="H53" i="59" s="1"/>
  <c r="G7" i="55"/>
  <c r="BW14" i="55"/>
  <c r="BW28" i="59" s="1"/>
  <c r="BW151" i="59" s="1"/>
  <c r="BW11" i="55"/>
  <c r="BW13" i="55"/>
  <c r="BW27" i="59" s="1"/>
  <c r="BW150" i="59" s="1"/>
  <c r="BW12" i="55"/>
  <c r="BW26" i="59" s="1"/>
  <c r="BW53" i="59" s="1"/>
  <c r="BW16" i="55"/>
  <c r="BW30" i="59" s="1"/>
  <c r="BW15" i="55"/>
  <c r="BW29" i="59" s="1"/>
  <c r="BW152" i="59" s="1"/>
  <c r="AT9" i="55"/>
  <c r="AO16" i="55"/>
  <c r="AO30" i="59" s="1"/>
  <c r="AO14" i="55"/>
  <c r="AO28" i="59" s="1"/>
  <c r="AO11" i="55"/>
  <c r="AO12" i="55"/>
  <c r="AO26" i="59" s="1"/>
  <c r="AO53" i="59" s="1"/>
  <c r="AO13" i="55"/>
  <c r="AO27" i="59" s="1"/>
  <c r="AO15" i="55"/>
  <c r="AO29" i="59" s="1"/>
  <c r="G6" i="55"/>
  <c r="I237" i="54"/>
  <c r="I238" i="54" s="1"/>
  <c r="I240" i="54" s="1"/>
  <c r="I261" i="54" s="1"/>
  <c r="AL11" i="55"/>
  <c r="AL13" i="55"/>
  <c r="AL27" i="59" s="1"/>
  <c r="AL150" i="59" s="1"/>
  <c r="AL16" i="55"/>
  <c r="AL30" i="59" s="1"/>
  <c r="AL15" i="55"/>
  <c r="AL29" i="59" s="1"/>
  <c r="AL152" i="59" s="1"/>
  <c r="AL14" i="55"/>
  <c r="AL28" i="59" s="1"/>
  <c r="AL12" i="55"/>
  <c r="AL26" i="59" s="1"/>
  <c r="AL53" i="59" s="1"/>
  <c r="AM26" i="59"/>
  <c r="G256" i="54"/>
  <c r="AN74" i="51"/>
  <c r="AN76" i="51" s="1"/>
  <c r="AN10" i="55"/>
  <c r="N207" i="53"/>
  <c r="N208" i="53" s="1"/>
  <c r="O4" i="55"/>
  <c r="J236" i="54"/>
  <c r="J239" i="54" s="1"/>
  <c r="J244" i="54" s="1"/>
  <c r="I220" i="54"/>
  <c r="I224" i="54" s="1"/>
  <c r="I221" i="54"/>
  <c r="AA113" i="54"/>
  <c r="AA114" i="54" s="1"/>
  <c r="AA111" i="54"/>
  <c r="AA112" i="54" s="1"/>
  <c r="AA109" i="54"/>
  <c r="AA110" i="54" s="1"/>
  <c r="AA107" i="54"/>
  <c r="AA108" i="54" s="1"/>
  <c r="N81" i="53"/>
  <c r="O61" i="51" s="1"/>
  <c r="N165" i="53"/>
  <c r="O9" i="55" s="1"/>
  <c r="I244" i="54"/>
  <c r="I245" i="54" s="1"/>
  <c r="I254" i="54" s="1"/>
  <c r="AP75" i="51" s="1"/>
  <c r="BG50" i="51"/>
  <c r="M212" i="53"/>
  <c r="M215" i="53"/>
  <c r="M214" i="53"/>
  <c r="M213" i="53"/>
  <c r="M162" i="54"/>
  <c r="J244" i="53"/>
  <c r="J245" i="53" s="1"/>
  <c r="J254" i="53" s="1"/>
  <c r="K75" i="51" s="1"/>
  <c r="T139" i="54"/>
  <c r="T140" i="54" s="1"/>
  <c r="T137" i="54"/>
  <c r="T138" i="54" s="1"/>
  <c r="T141" i="54"/>
  <c r="T142" i="54" s="1"/>
  <c r="AU57" i="51"/>
  <c r="AU58" i="51" s="1"/>
  <c r="AU72" i="51" s="1"/>
  <c r="O58" i="51"/>
  <c r="O72" i="51" s="1"/>
  <c r="Z107" i="54"/>
  <c r="Z108" i="54" s="1"/>
  <c r="Z113" i="54"/>
  <c r="Z114" i="54" s="1"/>
  <c r="Z111" i="54"/>
  <c r="Z112" i="54" s="1"/>
  <c r="Z109" i="54"/>
  <c r="Z110" i="54" s="1"/>
  <c r="AS71" i="51"/>
  <c r="AS73" i="51" s="1"/>
  <c r="AS64" i="51"/>
  <c r="AW55" i="51"/>
  <c r="P39" i="54"/>
  <c r="U45" i="54" s="1"/>
  <c r="O51" i="51"/>
  <c r="AT67" i="51"/>
  <c r="AT70" i="51" s="1"/>
  <c r="N70" i="51"/>
  <c r="O67" i="51"/>
  <c r="N79" i="53"/>
  <c r="J220" i="53"/>
  <c r="J224" i="53" s="1"/>
  <c r="J221" i="53"/>
  <c r="R59" i="51"/>
  <c r="Q38" i="53"/>
  <c r="K217" i="54"/>
  <c r="K216" i="54"/>
  <c r="AA107" i="53"/>
  <c r="AA108" i="53" s="1"/>
  <c r="AB53" i="51" s="1"/>
  <c r="BH53" i="51" s="1"/>
  <c r="AA113" i="53"/>
  <c r="AA114" i="53" s="1"/>
  <c r="AA109" i="53"/>
  <c r="AA110" i="53" s="1"/>
  <c r="AB62" i="51" s="1"/>
  <c r="BH62" i="51" s="1"/>
  <c r="AA111" i="53"/>
  <c r="AA112" i="53" s="1"/>
  <c r="K239" i="53"/>
  <c r="K244" i="53" s="1"/>
  <c r="S160" i="54"/>
  <c r="AV48" i="51"/>
  <c r="O36" i="54"/>
  <c r="O42" i="54" s="1"/>
  <c r="K222" i="54"/>
  <c r="K234" i="54" s="1"/>
  <c r="K235" i="54" s="1"/>
  <c r="K223" i="54"/>
  <c r="J219" i="54"/>
  <c r="J218" i="54"/>
  <c r="L222" i="53"/>
  <c r="L234" i="53" s="1"/>
  <c r="L235" i="53" s="1"/>
  <c r="L223" i="53"/>
  <c r="M81" i="54"/>
  <c r="M165" i="54"/>
  <c r="Q52" i="51"/>
  <c r="Q54" i="51" s="1"/>
  <c r="P37" i="53"/>
  <c r="AB43" i="53" s="1"/>
  <c r="R52" i="51"/>
  <c r="R54" i="51" s="1"/>
  <c r="Q37" i="53"/>
  <c r="AC43" i="53" s="1"/>
  <c r="K218" i="53"/>
  <c r="K219" i="53"/>
  <c r="L213" i="54"/>
  <c r="L212" i="54"/>
  <c r="L215" i="54"/>
  <c r="L214" i="54"/>
  <c r="L232" i="54"/>
  <c r="L233" i="54" s="1"/>
  <c r="L209" i="54"/>
  <c r="DE172" i="55" s="1"/>
  <c r="N80" i="54"/>
  <c r="N78" i="54"/>
  <c r="N79" i="54" s="1"/>
  <c r="N72" i="54"/>
  <c r="N73" i="54" s="1"/>
  <c r="N74" i="54"/>
  <c r="N75" i="54" s="1"/>
  <c r="N47" i="54"/>
  <c r="J199" i="54"/>
  <c r="J200" i="54" s="1"/>
  <c r="K166" i="54"/>
  <c r="BX9" i="55" s="1"/>
  <c r="BX22" i="59" s="1"/>
  <c r="BX145" i="59" s="1"/>
  <c r="M232" i="53"/>
  <c r="M233" i="53" s="1"/>
  <c r="M209" i="53"/>
  <c r="P78" i="53"/>
  <c r="P74" i="53"/>
  <c r="P75" i="53" s="1"/>
  <c r="Q57" i="51" s="1"/>
  <c r="AW57" i="51" s="1"/>
  <c r="P80" i="53"/>
  <c r="P72" i="53"/>
  <c r="P73" i="53" s="1"/>
  <c r="Q49" i="51" s="1"/>
  <c r="AW49" i="51" s="1"/>
  <c r="P47" i="53"/>
  <c r="AV65" i="51"/>
  <c r="O40" i="54"/>
  <c r="T46" i="54" s="1"/>
  <c r="T159" i="54" s="1"/>
  <c r="AW59" i="51"/>
  <c r="P38" i="54"/>
  <c r="O72" i="53"/>
  <c r="O73" i="53" s="1"/>
  <c r="P49" i="51" s="1"/>
  <c r="AV49" i="51" s="1"/>
  <c r="O80" i="53"/>
  <c r="O74" i="53"/>
  <c r="O75" i="53" s="1"/>
  <c r="P57" i="51" s="1"/>
  <c r="O78" i="53"/>
  <c r="O47" i="53"/>
  <c r="AU51" i="51"/>
  <c r="I202" i="54"/>
  <c r="I205" i="54"/>
  <c r="I201" i="54"/>
  <c r="I203" i="54"/>
  <c r="I206" i="54"/>
  <c r="I204" i="54"/>
  <c r="AT61" i="51"/>
  <c r="N71" i="51"/>
  <c r="N73" i="51" s="1"/>
  <c r="N64" i="51"/>
  <c r="K227" i="54"/>
  <c r="AR177" i="55" s="1"/>
  <c r="DD177" i="55" s="1"/>
  <c r="L217" i="53"/>
  <c r="L216" i="53"/>
  <c r="J237" i="53"/>
  <c r="J238" i="53" s="1"/>
  <c r="J240" i="53" s="1"/>
  <c r="J261" i="53" s="1"/>
  <c r="Q65" i="51"/>
  <c r="P40" i="53"/>
  <c r="U46" i="53" s="1"/>
  <c r="U159" i="53" s="1"/>
  <c r="L199" i="53"/>
  <c r="M166" i="53"/>
  <c r="K205" i="53"/>
  <c r="BX179" i="55" s="1"/>
  <c r="K202" i="53"/>
  <c r="BX176" i="55" s="1"/>
  <c r="U141" i="53"/>
  <c r="U137" i="53"/>
  <c r="V56" i="51" s="1"/>
  <c r="BB56" i="51" s="1"/>
  <c r="U139" i="53"/>
  <c r="T140" i="53"/>
  <c r="U63" i="51" s="1"/>
  <c r="BA63" i="51" s="1"/>
  <c r="T138" i="53"/>
  <c r="R55" i="51"/>
  <c r="Q39" i="53"/>
  <c r="V45" i="53" s="1"/>
  <c r="T142" i="53"/>
  <c r="U69" i="51" s="1"/>
  <c r="BA69" i="51" s="1"/>
  <c r="R44" i="51"/>
  <c r="S33" i="51"/>
  <c r="S35" i="51" s="1"/>
  <c r="Q46" i="51"/>
  <c r="S29" i="51"/>
  <c r="R25" i="51"/>
  <c r="R39" i="51"/>
  <c r="AW39" i="51"/>
  <c r="AX29" i="51"/>
  <c r="S15" i="51"/>
  <c r="S17" i="51" s="1"/>
  <c r="S21" i="51"/>
  <c r="AX21" i="51"/>
  <c r="AY19" i="51"/>
  <c r="AY8" i="59" s="1"/>
  <c r="AY20" i="51"/>
  <c r="AY9" i="59" s="1"/>
  <c r="AY22" i="51"/>
  <c r="AY10" i="59" s="1"/>
  <c r="AY23" i="51"/>
  <c r="AY11" i="59" s="1"/>
  <c r="T13" i="51"/>
  <c r="T12" i="59" s="1"/>
  <c r="T14" i="51"/>
  <c r="T13" i="59" s="1"/>
  <c r="AY14" i="51"/>
  <c r="AY13" i="59" s="1"/>
  <c r="AY13" i="51"/>
  <c r="AY12" i="59" s="1"/>
  <c r="S38" i="51"/>
  <c r="S20" i="59" s="1"/>
  <c r="S37" i="51"/>
  <c r="S19" i="59" s="1"/>
  <c r="R43" i="51"/>
  <c r="AY34" i="51"/>
  <c r="AY18" i="59" s="1"/>
  <c r="AY32" i="51"/>
  <c r="AY17" i="59" s="1"/>
  <c r="AY31" i="51"/>
  <c r="AY16" i="59" s="1"/>
  <c r="AZ12" i="51"/>
  <c r="AX33" i="51"/>
  <c r="AX35" i="51" s="1"/>
  <c r="AX15" i="51"/>
  <c r="AW25" i="51"/>
  <c r="AX38" i="51"/>
  <c r="AX20" i="59" s="1"/>
  <c r="AX37" i="51"/>
  <c r="AX19" i="59" s="1"/>
  <c r="S24" i="51"/>
  <c r="T23" i="51"/>
  <c r="T11" i="59" s="1"/>
  <c r="T19" i="51"/>
  <c r="T8" i="59" s="1"/>
  <c r="AZ18" i="51"/>
  <c r="U18" i="51"/>
  <c r="T20" i="51"/>
  <c r="T9" i="59" s="1"/>
  <c r="T22" i="51"/>
  <c r="T10" i="59" s="1"/>
  <c r="U30" i="51"/>
  <c r="AZ30" i="51"/>
  <c r="T31" i="51"/>
  <c r="T16" i="59" s="1"/>
  <c r="T32" i="51"/>
  <c r="T17" i="59" s="1"/>
  <c r="T34" i="51"/>
  <c r="T18" i="59" s="1"/>
  <c r="V10" i="51"/>
  <c r="BA10" i="51"/>
  <c r="U12" i="51"/>
  <c r="AX24" i="51"/>
  <c r="U26" i="51"/>
  <c r="T28" i="51"/>
  <c r="T15" i="59" s="1"/>
  <c r="T27" i="51"/>
  <c r="T14" i="59" s="1"/>
  <c r="AZ26" i="51"/>
  <c r="AW43" i="51"/>
  <c r="AW17" i="51"/>
  <c r="AW44" i="51"/>
  <c r="T36" i="51"/>
  <c r="AY36" i="51"/>
  <c r="AY27" i="51"/>
  <c r="AY14" i="59" s="1"/>
  <c r="AY28" i="51"/>
  <c r="AY15" i="59" s="1"/>
  <c r="I151" i="59" l="1"/>
  <c r="E149" i="59"/>
  <c r="E155" i="59" s="1"/>
  <c r="K225" i="54"/>
  <c r="BV106" i="55"/>
  <c r="BV16" i="57" s="1"/>
  <c r="AK126" i="59"/>
  <c r="AM146" i="59"/>
  <c r="BS28" i="57"/>
  <c r="K228" i="54"/>
  <c r="AR178" i="55" s="1"/>
  <c r="DD178" i="55" s="1"/>
  <c r="AK56" i="59"/>
  <c r="AK99" i="59"/>
  <c r="K204" i="53"/>
  <c r="BX178" i="55" s="1"/>
  <c r="K229" i="54"/>
  <c r="AR179" i="55" s="1"/>
  <c r="DD179" i="55" s="1"/>
  <c r="K203" i="53"/>
  <c r="BX177" i="55" s="1"/>
  <c r="K230" i="54"/>
  <c r="AR180" i="55" s="1"/>
  <c r="DD180" i="55" s="1"/>
  <c r="AL151" i="59"/>
  <c r="BT37" i="57"/>
  <c r="BT27" i="57"/>
  <c r="K206" i="53"/>
  <c r="BX180" i="55" s="1"/>
  <c r="BT135" i="55"/>
  <c r="AK93" i="59"/>
  <c r="BS39" i="57"/>
  <c r="AL146" i="59"/>
  <c r="H51" i="59"/>
  <c r="H147" i="59"/>
  <c r="T110" i="59"/>
  <c r="T40" i="59"/>
  <c r="T66" i="59"/>
  <c r="T83" i="59"/>
  <c r="T46" i="59"/>
  <c r="T89" i="59"/>
  <c r="T116" i="59"/>
  <c r="T72" i="59"/>
  <c r="AY83" i="59"/>
  <c r="AY110" i="59"/>
  <c r="AY66" i="59"/>
  <c r="AY40" i="59"/>
  <c r="AO101" i="59"/>
  <c r="AM126" i="59"/>
  <c r="AM151" i="59"/>
  <c r="AK98" i="59"/>
  <c r="AK150" i="59"/>
  <c r="BS149" i="59"/>
  <c r="BS155" i="59" s="1"/>
  <c r="AY88" i="59"/>
  <c r="AY115" i="59"/>
  <c r="AY45" i="59"/>
  <c r="AY71" i="59"/>
  <c r="AY69" i="59"/>
  <c r="AY86" i="59"/>
  <c r="AY113" i="59"/>
  <c r="AY43" i="59"/>
  <c r="T85" i="59"/>
  <c r="T112" i="59"/>
  <c r="T42" i="59"/>
  <c r="T68" i="59"/>
  <c r="T45" i="59"/>
  <c r="T88" i="59"/>
  <c r="T115" i="59"/>
  <c r="T71" i="59"/>
  <c r="AY111" i="59"/>
  <c r="AY41" i="59"/>
  <c r="AY84" i="59"/>
  <c r="AY67" i="59"/>
  <c r="CY146" i="59"/>
  <c r="T87" i="59"/>
  <c r="T114" i="59"/>
  <c r="T44" i="59"/>
  <c r="T70" i="59"/>
  <c r="AY87" i="59"/>
  <c r="AY44" i="59"/>
  <c r="AY114" i="59"/>
  <c r="AY70" i="59"/>
  <c r="T84" i="59"/>
  <c r="T111" i="59"/>
  <c r="T41" i="59"/>
  <c r="T67" i="59"/>
  <c r="AM125" i="59"/>
  <c r="AM150" i="59"/>
  <c r="I24" i="59"/>
  <c r="AK57" i="59"/>
  <c r="AK152" i="59"/>
  <c r="G51" i="59"/>
  <c r="G147" i="59"/>
  <c r="BW101" i="59"/>
  <c r="BW153" i="59"/>
  <c r="BU66" i="55"/>
  <c r="AO121" i="59"/>
  <c r="BV51" i="59"/>
  <c r="BV147" i="59"/>
  <c r="T69" i="59"/>
  <c r="T86" i="59"/>
  <c r="T113" i="59"/>
  <c r="T43" i="59"/>
  <c r="AY89" i="59"/>
  <c r="AY116" i="59"/>
  <c r="AY46" i="59"/>
  <c r="AY72" i="59"/>
  <c r="I101" i="59"/>
  <c r="I153" i="59"/>
  <c r="AM101" i="59"/>
  <c r="AM153" i="59"/>
  <c r="F149" i="59"/>
  <c r="F155" i="59" s="1"/>
  <c r="AM127" i="59"/>
  <c r="AM152" i="59"/>
  <c r="AK101" i="59"/>
  <c r="AK153" i="59"/>
  <c r="I154" i="59"/>
  <c r="AX73" i="59"/>
  <c r="AX117" i="59"/>
  <c r="AX47" i="59"/>
  <c r="AX90" i="59"/>
  <c r="S47" i="59"/>
  <c r="S117" i="59"/>
  <c r="S90" i="59"/>
  <c r="S73" i="59"/>
  <c r="AL101" i="59"/>
  <c r="AL153" i="59"/>
  <c r="BW24" i="59"/>
  <c r="H101" i="59"/>
  <c r="H153" i="59"/>
  <c r="I150" i="59"/>
  <c r="D149" i="59"/>
  <c r="D155" i="59" s="1"/>
  <c r="BU23" i="57"/>
  <c r="CY101" i="59"/>
  <c r="AY68" i="59"/>
  <c r="AY112" i="59"/>
  <c r="AY85" i="59"/>
  <c r="AY42" i="59"/>
  <c r="AX74" i="59"/>
  <c r="AX118" i="59"/>
  <c r="AX48" i="59"/>
  <c r="AX91" i="59"/>
  <c r="S48" i="59"/>
  <c r="S91" i="59"/>
  <c r="S118" i="59"/>
  <c r="S74" i="59"/>
  <c r="I152" i="59"/>
  <c r="CY99" i="59"/>
  <c r="CY56" i="59"/>
  <c r="CY126" i="59"/>
  <c r="CY53" i="59"/>
  <c r="CY54" i="59"/>
  <c r="CY97" i="59"/>
  <c r="CY124" i="59"/>
  <c r="DE49" i="59"/>
  <c r="DE120" i="59"/>
  <c r="DE92" i="59"/>
  <c r="L228" i="53"/>
  <c r="M178" i="55" s="1"/>
  <c r="AN11" i="58"/>
  <c r="AN6" i="58"/>
  <c r="CY125" i="59"/>
  <c r="CY98" i="59"/>
  <c r="CY55" i="59"/>
  <c r="DA50" i="59"/>
  <c r="DA93" i="59"/>
  <c r="DA121" i="59"/>
  <c r="DA31" i="59"/>
  <c r="BT5" i="57"/>
  <c r="CX50" i="59"/>
  <c r="CX93" i="59"/>
  <c r="CX121" i="59"/>
  <c r="CX31" i="59"/>
  <c r="BT20" i="57"/>
  <c r="BT149" i="59" s="1"/>
  <c r="BT155" i="59" s="1"/>
  <c r="CY57" i="59"/>
  <c r="CY127" i="59"/>
  <c r="CY100" i="59"/>
  <c r="BU24" i="57"/>
  <c r="CW50" i="59"/>
  <c r="CW93" i="59"/>
  <c r="CW121" i="59"/>
  <c r="CW31" i="59"/>
  <c r="CW154" i="59" s="1"/>
  <c r="I11" i="58"/>
  <c r="I6" i="58"/>
  <c r="CY6" i="55"/>
  <c r="CY25" i="59"/>
  <c r="CY24" i="59"/>
  <c r="AM124" i="59"/>
  <c r="AM53" i="59"/>
  <c r="AK121" i="59"/>
  <c r="AK50" i="59"/>
  <c r="AK24" i="59"/>
  <c r="AK31" i="59"/>
  <c r="AK154" i="59" s="1"/>
  <c r="BV96" i="59"/>
  <c r="BV52" i="59"/>
  <c r="AO93" i="59"/>
  <c r="AM93" i="59"/>
  <c r="AM50" i="59"/>
  <c r="AM31" i="59"/>
  <c r="AM24" i="59"/>
  <c r="BX120" i="59"/>
  <c r="BX49" i="59"/>
  <c r="BX31" i="59"/>
  <c r="BX154" i="59" s="1"/>
  <c r="AS49" i="59"/>
  <c r="G96" i="59"/>
  <c r="G52" i="59"/>
  <c r="AO50" i="59"/>
  <c r="AO31" i="59"/>
  <c r="AO24" i="59"/>
  <c r="AK55" i="59"/>
  <c r="AL50" i="59"/>
  <c r="AL24" i="59"/>
  <c r="AL31" i="59"/>
  <c r="CV102" i="59"/>
  <c r="CV128" i="59"/>
  <c r="CV58" i="59"/>
  <c r="AY82" i="59"/>
  <c r="AY109" i="59"/>
  <c r="AY39" i="59"/>
  <c r="AY65" i="59"/>
  <c r="T38" i="59"/>
  <c r="T81" i="59"/>
  <c r="T108" i="59"/>
  <c r="T64" i="59"/>
  <c r="AY81" i="59"/>
  <c r="AY108" i="59"/>
  <c r="AY38" i="59"/>
  <c r="AY64" i="59"/>
  <c r="AY80" i="59"/>
  <c r="AY107" i="59"/>
  <c r="AY37" i="59"/>
  <c r="AY63" i="59"/>
  <c r="AY36" i="59"/>
  <c r="AY79" i="59"/>
  <c r="AY106" i="59"/>
  <c r="AY62" i="59"/>
  <c r="S75" i="59"/>
  <c r="CY7" i="55"/>
  <c r="T80" i="59"/>
  <c r="T107" i="59"/>
  <c r="T37" i="59"/>
  <c r="T63" i="59"/>
  <c r="T79" i="59"/>
  <c r="T106" i="59"/>
  <c r="T36" i="59"/>
  <c r="T62" i="59"/>
  <c r="T82" i="59"/>
  <c r="T39" i="59"/>
  <c r="T109" i="59"/>
  <c r="T65" i="59"/>
  <c r="J237" i="54"/>
  <c r="J238" i="54" s="1"/>
  <c r="AX75" i="59"/>
  <c r="AL121" i="59"/>
  <c r="AL93" i="59"/>
  <c r="AK125" i="59"/>
  <c r="AS120" i="59"/>
  <c r="BU25" i="57"/>
  <c r="DA11" i="55"/>
  <c r="DA16" i="55"/>
  <c r="DA30" i="59" s="1"/>
  <c r="DA15" i="55"/>
  <c r="DA29" i="59" s="1"/>
  <c r="DA14" i="55"/>
  <c r="DA28" i="59" s="1"/>
  <c r="DA12" i="55"/>
  <c r="DA13" i="55"/>
  <c r="DA27" i="59" s="1"/>
  <c r="AS92" i="59"/>
  <c r="AJ158" i="55"/>
  <c r="AJ9" i="57" s="1"/>
  <c r="CV152" i="55"/>
  <c r="CV38" i="57"/>
  <c r="CV8" i="57"/>
  <c r="AN23" i="59"/>
  <c r="AN146" i="59" s="1"/>
  <c r="CZ10" i="55"/>
  <c r="CZ23" i="59" s="1"/>
  <c r="CZ146" i="59" s="1"/>
  <c r="CX14" i="55"/>
  <c r="CX28" i="59" s="1"/>
  <c r="CX13" i="55"/>
  <c r="CX27" i="59" s="1"/>
  <c r="CX12" i="55"/>
  <c r="CX26" i="59" s="1"/>
  <c r="CX11" i="55"/>
  <c r="CX15" i="55"/>
  <c r="CX29" i="59" s="1"/>
  <c r="CX16" i="55"/>
  <c r="CX30" i="59" s="1"/>
  <c r="CY19" i="55"/>
  <c r="CY20" i="55"/>
  <c r="CW13" i="55"/>
  <c r="CW27" i="59" s="1"/>
  <c r="CW150" i="59" s="1"/>
  <c r="CW12" i="55"/>
  <c r="CW26" i="59" s="1"/>
  <c r="CW15" i="55"/>
  <c r="CW29" i="59" s="1"/>
  <c r="CW152" i="59" s="1"/>
  <c r="CW14" i="55"/>
  <c r="CW28" i="59" s="1"/>
  <c r="CW151" i="59" s="1"/>
  <c r="CW11" i="55"/>
  <c r="CW16" i="55"/>
  <c r="CW30" i="59" s="1"/>
  <c r="AT22" i="59"/>
  <c r="AT145" i="59" s="1"/>
  <c r="DF9" i="55"/>
  <c r="DF22" i="59" s="1"/>
  <c r="DF145" i="59" s="1"/>
  <c r="AK25" i="59"/>
  <c r="AK127" i="59"/>
  <c r="AK20" i="55"/>
  <c r="BT158" i="55"/>
  <c r="AK19" i="55"/>
  <c r="AK100" i="59"/>
  <c r="BU112" i="55"/>
  <c r="BU7" i="57" s="1"/>
  <c r="BU128" i="55"/>
  <c r="BU151" i="55" s="1"/>
  <c r="BV60" i="55"/>
  <c r="BV14" i="57" s="1"/>
  <c r="I256" i="53"/>
  <c r="BV37" i="55"/>
  <c r="BV13" i="57" s="1"/>
  <c r="AK7" i="55"/>
  <c r="M208" i="54"/>
  <c r="BU181" i="55"/>
  <c r="BU10" i="57" s="1"/>
  <c r="BU89" i="55"/>
  <c r="BU6" i="57" s="1"/>
  <c r="J10" i="55"/>
  <c r="J23" i="59" s="1"/>
  <c r="J146" i="59" s="1"/>
  <c r="BS30" i="57"/>
  <c r="BV175" i="55"/>
  <c r="BV19" i="57" s="1"/>
  <c r="BV59" i="55"/>
  <c r="BV24" i="57" s="1"/>
  <c r="BV174" i="55"/>
  <c r="BV82" i="55"/>
  <c r="BV83" i="55"/>
  <c r="BV15" i="57" s="1"/>
  <c r="BV36" i="55"/>
  <c r="BS41" i="57"/>
  <c r="BU128" i="59"/>
  <c r="BU29" i="57"/>
  <c r="BU43" i="55"/>
  <c r="BU4" i="57" s="1"/>
  <c r="G32" i="59"/>
  <c r="AM121" i="59"/>
  <c r="E9" i="57"/>
  <c r="E39" i="57"/>
  <c r="E41" i="57" s="1"/>
  <c r="AM20" i="55"/>
  <c r="AM19" i="55"/>
  <c r="BT8" i="57"/>
  <c r="BT38" i="57"/>
  <c r="BU152" i="55"/>
  <c r="BU18" i="57" s="1"/>
  <c r="BU20" i="57" s="1"/>
  <c r="BU149" i="59" s="1"/>
  <c r="BU155" i="59" s="1"/>
  <c r="BT9" i="57"/>
  <c r="BT39" i="57"/>
  <c r="BR9" i="57"/>
  <c r="BR39" i="57"/>
  <c r="BR41" i="57" s="1"/>
  <c r="F9" i="57"/>
  <c r="F39" i="57"/>
  <c r="F41" i="57" s="1"/>
  <c r="AM6" i="55"/>
  <c r="AJ28" i="57"/>
  <c r="AJ30" i="57" s="1"/>
  <c r="AJ18" i="57"/>
  <c r="AJ20" i="57" s="1"/>
  <c r="AJ149" i="59" s="1"/>
  <c r="AJ155" i="59" s="1"/>
  <c r="BU5" i="57"/>
  <c r="BU35" i="57"/>
  <c r="BV129" i="55"/>
  <c r="BV17" i="57" s="1"/>
  <c r="BV26" i="57"/>
  <c r="AM7" i="55"/>
  <c r="BT28" i="57"/>
  <c r="BT30" i="57" s="1"/>
  <c r="I98" i="59"/>
  <c r="I125" i="59"/>
  <c r="BW100" i="59"/>
  <c r="BW127" i="59"/>
  <c r="I100" i="59"/>
  <c r="I127" i="59"/>
  <c r="G95" i="59"/>
  <c r="G123" i="59"/>
  <c r="AL97" i="59"/>
  <c r="AL124" i="59"/>
  <c r="AO100" i="59"/>
  <c r="AO127" i="59"/>
  <c r="G94" i="59"/>
  <c r="G122" i="59"/>
  <c r="H100" i="59"/>
  <c r="H127" i="59"/>
  <c r="AL99" i="59"/>
  <c r="AL126" i="59"/>
  <c r="BW97" i="59"/>
  <c r="BW124" i="59"/>
  <c r="BV94" i="59"/>
  <c r="BV122" i="59"/>
  <c r="I99" i="59"/>
  <c r="I126" i="59"/>
  <c r="AO98" i="59"/>
  <c r="AO125" i="59"/>
  <c r="H97" i="59"/>
  <c r="H124" i="59"/>
  <c r="AL100" i="59"/>
  <c r="AL127" i="59"/>
  <c r="AO97" i="59"/>
  <c r="AO124" i="59"/>
  <c r="BW98" i="59"/>
  <c r="BW125" i="59"/>
  <c r="H98" i="59"/>
  <c r="H125" i="59"/>
  <c r="BV95" i="59"/>
  <c r="BV123" i="59"/>
  <c r="I97" i="59"/>
  <c r="I124" i="59"/>
  <c r="AK94" i="59"/>
  <c r="AK122" i="59"/>
  <c r="AL98" i="59"/>
  <c r="AL125" i="59"/>
  <c r="AO99" i="59"/>
  <c r="AO126" i="59"/>
  <c r="BW99" i="59"/>
  <c r="BW126" i="59"/>
  <c r="H99" i="59"/>
  <c r="H126" i="59"/>
  <c r="AK95" i="59"/>
  <c r="H10" i="58"/>
  <c r="I10" i="58"/>
  <c r="AM56" i="59"/>
  <c r="AM99" i="59"/>
  <c r="BX92" i="59"/>
  <c r="AM54" i="59"/>
  <c r="AM97" i="59"/>
  <c r="AM57" i="59"/>
  <c r="AM100" i="59"/>
  <c r="AM55" i="59"/>
  <c r="AM98" i="59"/>
  <c r="AL57" i="59"/>
  <c r="AO54" i="59"/>
  <c r="BW55" i="59"/>
  <c r="H55" i="59"/>
  <c r="I54" i="59"/>
  <c r="BW56" i="59"/>
  <c r="AO56" i="59"/>
  <c r="I56" i="59"/>
  <c r="I55" i="59"/>
  <c r="BU102" i="59"/>
  <c r="BW57" i="59"/>
  <c r="I57" i="59"/>
  <c r="BU58" i="59"/>
  <c r="H57" i="59"/>
  <c r="AL54" i="59"/>
  <c r="AO57" i="59"/>
  <c r="AL55" i="59"/>
  <c r="H56" i="59"/>
  <c r="AL56" i="59"/>
  <c r="AO55" i="59"/>
  <c r="BW54" i="59"/>
  <c r="H54" i="59"/>
  <c r="AM25" i="59"/>
  <c r="AM122" i="59"/>
  <c r="AL25" i="59"/>
  <c r="AL148" i="59" s="1"/>
  <c r="AU9" i="55"/>
  <c r="O22" i="59"/>
  <c r="O145" i="59" s="1"/>
  <c r="I25" i="59"/>
  <c r="I148" i="59" s="1"/>
  <c r="AO25" i="59"/>
  <c r="BW19" i="55"/>
  <c r="BW175" i="55" s="1"/>
  <c r="BW19" i="57" s="1"/>
  <c r="BW25" i="59"/>
  <c r="BW148" i="59" s="1"/>
  <c r="H25" i="59"/>
  <c r="H148" i="59" s="1"/>
  <c r="AN58" i="58"/>
  <c r="J59" i="58"/>
  <c r="J58" i="58"/>
  <c r="J5" i="58" s="1"/>
  <c r="K240" i="53"/>
  <c r="Q51" i="51"/>
  <c r="L227" i="53"/>
  <c r="M177" i="55" s="1"/>
  <c r="G105" i="55"/>
  <c r="G128" i="55" s="1"/>
  <c r="G82" i="55"/>
  <c r="G174" i="55"/>
  <c r="BU135" i="55"/>
  <c r="G106" i="55"/>
  <c r="G83" i="55"/>
  <c r="G175" i="55"/>
  <c r="N211" i="53"/>
  <c r="N213" i="53" s="1"/>
  <c r="L226" i="53"/>
  <c r="M176" i="55" s="1"/>
  <c r="AK105" i="55"/>
  <c r="M210" i="53"/>
  <c r="M228" i="53" s="1"/>
  <c r="N178" i="55" s="1"/>
  <c r="N172" i="55"/>
  <c r="L210" i="54"/>
  <c r="L230" i="54" s="1"/>
  <c r="AS180" i="55" s="1"/>
  <c r="DE180" i="55" s="1"/>
  <c r="AS172" i="55"/>
  <c r="L229" i="53"/>
  <c r="M179" i="55" s="1"/>
  <c r="BV128" i="55"/>
  <c r="BV112" i="55"/>
  <c r="L200" i="53"/>
  <c r="L201" i="53" s="1"/>
  <c r="BY172" i="55"/>
  <c r="L230" i="53"/>
  <c r="M180" i="55" s="1"/>
  <c r="G59" i="55"/>
  <c r="G36" i="55"/>
  <c r="G60" i="55"/>
  <c r="G37" i="55"/>
  <c r="BV66" i="55"/>
  <c r="H6" i="55"/>
  <c r="I262" i="54"/>
  <c r="AP78" i="51" s="1"/>
  <c r="AP77" i="51"/>
  <c r="J262" i="53"/>
  <c r="K78" i="51" s="1"/>
  <c r="K77" i="51"/>
  <c r="BW6" i="55"/>
  <c r="I6" i="55"/>
  <c r="AL6" i="55"/>
  <c r="AO7" i="55"/>
  <c r="I7" i="55"/>
  <c r="P207" i="53"/>
  <c r="P208" i="53" s="1"/>
  <c r="Q4" i="55"/>
  <c r="BX15" i="55"/>
  <c r="BX29" i="59" s="1"/>
  <c r="BX152" i="59" s="1"/>
  <c r="BX12" i="55"/>
  <c r="BX26" i="59" s="1"/>
  <c r="BX53" i="59" s="1"/>
  <c r="BX16" i="55"/>
  <c r="BX30" i="59" s="1"/>
  <c r="BX14" i="55"/>
  <c r="BX28" i="59" s="1"/>
  <c r="BX151" i="59" s="1"/>
  <c r="BX11" i="55"/>
  <c r="BX13" i="55"/>
  <c r="BX27" i="59" s="1"/>
  <c r="BX150" i="59" s="1"/>
  <c r="AL7" i="55"/>
  <c r="AO19" i="55"/>
  <c r="AO20" i="55"/>
  <c r="AL20" i="55"/>
  <c r="AL19" i="55"/>
  <c r="AO6" i="55"/>
  <c r="O207" i="53"/>
  <c r="O211" i="53" s="1"/>
  <c r="P4" i="55"/>
  <c r="N207" i="54"/>
  <c r="N211" i="54" s="1"/>
  <c r="AU4" i="55"/>
  <c r="AN14" i="55"/>
  <c r="AN28" i="59" s="1"/>
  <c r="AN151" i="59" s="1"/>
  <c r="AN12" i="55"/>
  <c r="AN26" i="59" s="1"/>
  <c r="AN53" i="59" s="1"/>
  <c r="AN13" i="55"/>
  <c r="AN27" i="59" s="1"/>
  <c r="AN150" i="59" s="1"/>
  <c r="AN11" i="55"/>
  <c r="AN15" i="55"/>
  <c r="AN29" i="59" s="1"/>
  <c r="AN152" i="59" s="1"/>
  <c r="AN16" i="55"/>
  <c r="AN30" i="59" s="1"/>
  <c r="BW7" i="55"/>
  <c r="H7" i="55"/>
  <c r="I19" i="55"/>
  <c r="I20" i="55"/>
  <c r="K261" i="53"/>
  <c r="H19" i="55"/>
  <c r="H20" i="55"/>
  <c r="S25" i="51"/>
  <c r="R36" i="53" s="1"/>
  <c r="R42" i="53" s="1"/>
  <c r="O162" i="53"/>
  <c r="K236" i="54"/>
  <c r="K239" i="54" s="1"/>
  <c r="K244" i="54" s="1"/>
  <c r="J15" i="55"/>
  <c r="J29" i="59" s="1"/>
  <c r="J152" i="59" s="1"/>
  <c r="J12" i="55"/>
  <c r="J26" i="59" s="1"/>
  <c r="J53" i="59" s="1"/>
  <c r="J11" i="55"/>
  <c r="P81" i="53"/>
  <c r="Q61" i="51" s="1"/>
  <c r="P165" i="53"/>
  <c r="Q9" i="55" s="1"/>
  <c r="N162" i="54"/>
  <c r="L216" i="54"/>
  <c r="L217" i="54"/>
  <c r="AB107" i="53"/>
  <c r="AB108" i="53" s="1"/>
  <c r="AC53" i="51" s="1"/>
  <c r="BI53" i="51" s="1"/>
  <c r="AB113" i="53"/>
  <c r="AB114" i="53" s="1"/>
  <c r="AB109" i="53"/>
  <c r="AB110" i="53" s="1"/>
  <c r="AC62" i="51" s="1"/>
  <c r="BI62" i="51" s="1"/>
  <c r="AB111" i="53"/>
  <c r="AB112" i="53" s="1"/>
  <c r="J220" i="54"/>
  <c r="J224" i="54" s="1"/>
  <c r="J221" i="54"/>
  <c r="K219" i="54"/>
  <c r="K218" i="54"/>
  <c r="Q58" i="51"/>
  <c r="Q72" i="51" s="1"/>
  <c r="L222" i="54"/>
  <c r="L234" i="54" s="1"/>
  <c r="L235" i="54" s="1"/>
  <c r="L223" i="54"/>
  <c r="I252" i="54"/>
  <c r="S52" i="51"/>
  <c r="S54" i="51" s="1"/>
  <c r="R37" i="53"/>
  <c r="AD43" i="53" s="1"/>
  <c r="Q67" i="51"/>
  <c r="AW67" i="51" s="1"/>
  <c r="P79" i="53"/>
  <c r="K245" i="53"/>
  <c r="K254" i="53" s="1"/>
  <c r="L75" i="51" s="1"/>
  <c r="N232" i="53"/>
  <c r="N233" i="53" s="1"/>
  <c r="N209" i="53"/>
  <c r="P51" i="51"/>
  <c r="AW52" i="51"/>
  <c r="AW54" i="51" s="1"/>
  <c r="P37" i="54"/>
  <c r="AB43" i="54" s="1"/>
  <c r="AW48" i="51"/>
  <c r="AW51" i="51" s="1"/>
  <c r="P36" i="54"/>
  <c r="P42" i="54" s="1"/>
  <c r="AX59" i="51"/>
  <c r="Q38" i="54"/>
  <c r="T160" i="54"/>
  <c r="M232" i="54"/>
  <c r="M233" i="54" s="1"/>
  <c r="M209" i="54"/>
  <c r="DF172" i="55" s="1"/>
  <c r="AB68" i="51"/>
  <c r="BH68" i="51" s="1"/>
  <c r="AB50" i="51"/>
  <c r="J240" i="54"/>
  <c r="J261" i="54" s="1"/>
  <c r="U141" i="54"/>
  <c r="U142" i="54" s="1"/>
  <c r="U139" i="54"/>
  <c r="U140" i="54" s="1"/>
  <c r="U137" i="54"/>
  <c r="U138" i="54" s="1"/>
  <c r="M216" i="53"/>
  <c r="M217" i="53"/>
  <c r="AU61" i="51"/>
  <c r="O71" i="51"/>
  <c r="O73" i="51" s="1"/>
  <c r="O64" i="51"/>
  <c r="AW65" i="51"/>
  <c r="P40" i="54"/>
  <c r="U46" i="54" s="1"/>
  <c r="U159" i="54" s="1"/>
  <c r="P67" i="51"/>
  <c r="O79" i="53"/>
  <c r="M226" i="53"/>
  <c r="N176" i="55" s="1"/>
  <c r="AW58" i="51"/>
  <c r="AW72" i="51" s="1"/>
  <c r="M223" i="53"/>
  <c r="M222" i="53"/>
  <c r="M234" i="53" s="1"/>
  <c r="M235" i="53" s="1"/>
  <c r="AX55" i="51"/>
  <c r="Q39" i="54"/>
  <c r="V45" i="54" s="1"/>
  <c r="AV57" i="51"/>
  <c r="AV58" i="51" s="1"/>
  <c r="AV72" i="51" s="1"/>
  <c r="P58" i="51"/>
  <c r="P72" i="51" s="1"/>
  <c r="P162" i="53"/>
  <c r="N81" i="54"/>
  <c r="N165" i="54"/>
  <c r="K221" i="53"/>
  <c r="K220" i="53"/>
  <c r="K224" i="53" s="1"/>
  <c r="L236" i="53"/>
  <c r="L239" i="53" s="1"/>
  <c r="R48" i="51"/>
  <c r="Q36" i="53"/>
  <c r="Q42" i="53" s="1"/>
  <c r="Q70" i="51"/>
  <c r="L219" i="53"/>
  <c r="L218" i="53"/>
  <c r="O81" i="53"/>
  <c r="P61" i="51" s="1"/>
  <c r="O165" i="53"/>
  <c r="P9" i="55" s="1"/>
  <c r="P22" i="59" s="1"/>
  <c r="P145" i="59" s="1"/>
  <c r="K199" i="54"/>
  <c r="K200" i="54" s="1"/>
  <c r="L166" i="54"/>
  <c r="BY9" i="55" s="1"/>
  <c r="BY22" i="59" s="1"/>
  <c r="BY145" i="59" s="1"/>
  <c r="L226" i="54"/>
  <c r="AS176" i="55" s="1"/>
  <c r="DE176" i="55" s="1"/>
  <c r="AC107" i="53"/>
  <c r="AC108" i="53" s="1"/>
  <c r="AD53" i="51" s="1"/>
  <c r="BJ53" i="51" s="1"/>
  <c r="AC113" i="53"/>
  <c r="AC114" i="53" s="1"/>
  <c r="AC109" i="53"/>
  <c r="AC110" i="53" s="1"/>
  <c r="AD62" i="51" s="1"/>
  <c r="BJ62" i="51" s="1"/>
  <c r="AC111" i="53"/>
  <c r="AC112" i="53" s="1"/>
  <c r="O80" i="54"/>
  <c r="O72" i="54"/>
  <c r="O73" i="54" s="1"/>
  <c r="O78" i="54"/>
  <c r="O79" i="54" s="1"/>
  <c r="O74" i="54"/>
  <c r="O75" i="54" s="1"/>
  <c r="O47" i="54"/>
  <c r="AU67" i="51"/>
  <c r="AU70" i="51" s="1"/>
  <c r="O70" i="51"/>
  <c r="J245" i="54"/>
  <c r="J252" i="54" s="1"/>
  <c r="S59" i="51"/>
  <c r="R38" i="53"/>
  <c r="AT71" i="51"/>
  <c r="AT73" i="51" s="1"/>
  <c r="AT64" i="51"/>
  <c r="J202" i="54"/>
  <c r="J203" i="54"/>
  <c r="J201" i="54"/>
  <c r="J205" i="54"/>
  <c r="J206" i="54"/>
  <c r="J204" i="54"/>
  <c r="AV51" i="51"/>
  <c r="M214" i="54"/>
  <c r="M212" i="54"/>
  <c r="M213" i="54"/>
  <c r="M215" i="54"/>
  <c r="J252" i="53"/>
  <c r="R46" i="51"/>
  <c r="V137" i="53"/>
  <c r="W56" i="51" s="1"/>
  <c r="BC56" i="51" s="1"/>
  <c r="V139" i="53"/>
  <c r="V141" i="53"/>
  <c r="R65" i="51"/>
  <c r="Q40" i="53"/>
  <c r="V46" i="53" s="1"/>
  <c r="V159" i="53" s="1"/>
  <c r="M199" i="53"/>
  <c r="N166" i="53"/>
  <c r="S55" i="51"/>
  <c r="R39" i="53"/>
  <c r="W45" i="53" s="1"/>
  <c r="U140" i="53"/>
  <c r="V63" i="51" s="1"/>
  <c r="BB63" i="51" s="1"/>
  <c r="U138" i="53"/>
  <c r="U160" i="53"/>
  <c r="V66" i="51" s="1"/>
  <c r="BB66" i="51" s="1"/>
  <c r="U142" i="53"/>
  <c r="V69" i="51" s="1"/>
  <c r="BB69" i="51" s="1"/>
  <c r="T24" i="51"/>
  <c r="AZ36" i="51"/>
  <c r="AZ38" i="51" s="1"/>
  <c r="AZ20" i="59" s="1"/>
  <c r="AY15" i="51"/>
  <c r="AY17" i="51" s="1"/>
  <c r="AX25" i="51"/>
  <c r="T29" i="51"/>
  <c r="AY29" i="51"/>
  <c r="T33" i="51"/>
  <c r="T35" i="51" s="1"/>
  <c r="AX39" i="51"/>
  <c r="AY24" i="51"/>
  <c r="S44" i="51"/>
  <c r="T21" i="51"/>
  <c r="S39" i="51"/>
  <c r="BA12" i="51"/>
  <c r="S43" i="51"/>
  <c r="U27" i="51"/>
  <c r="U14" i="59" s="1"/>
  <c r="V26" i="51"/>
  <c r="U28" i="51"/>
  <c r="U15" i="59" s="1"/>
  <c r="BA26" i="51"/>
  <c r="W10" i="51"/>
  <c r="BB10" i="51"/>
  <c r="V12" i="51"/>
  <c r="AZ31" i="51"/>
  <c r="AZ16" i="59" s="1"/>
  <c r="AZ32" i="51"/>
  <c r="AZ17" i="59" s="1"/>
  <c r="AZ34" i="51"/>
  <c r="AZ18" i="59" s="1"/>
  <c r="AX44" i="51"/>
  <c r="AY21" i="51"/>
  <c r="T37" i="51"/>
  <c r="T19" i="59" s="1"/>
  <c r="T38" i="51"/>
  <c r="AZ28" i="51"/>
  <c r="AZ15" i="59" s="1"/>
  <c r="AZ27" i="51"/>
  <c r="AZ14" i="59" s="1"/>
  <c r="U36" i="51"/>
  <c r="V30" i="51"/>
  <c r="BA30" i="51"/>
  <c r="U34" i="51"/>
  <c r="U18" i="59" s="1"/>
  <c r="U31" i="51"/>
  <c r="U16" i="59" s="1"/>
  <c r="U32" i="51"/>
  <c r="U17" i="59" s="1"/>
  <c r="U19" i="51"/>
  <c r="U8" i="59" s="1"/>
  <c r="BA18" i="51"/>
  <c r="U22" i="51"/>
  <c r="U10" i="59" s="1"/>
  <c r="U23" i="51"/>
  <c r="U11" i="59" s="1"/>
  <c r="V18" i="51"/>
  <c r="U20" i="51"/>
  <c r="U9" i="59" s="1"/>
  <c r="AZ13" i="51"/>
  <c r="AZ12" i="59" s="1"/>
  <c r="AZ14" i="51"/>
  <c r="AZ13" i="59" s="1"/>
  <c r="AY37" i="51"/>
  <c r="AY19" i="59" s="1"/>
  <c r="AY38" i="51"/>
  <c r="AY20" i="59" s="1"/>
  <c r="AW46" i="51"/>
  <c r="U13" i="51"/>
  <c r="U12" i="59" s="1"/>
  <c r="U14" i="51"/>
  <c r="U13" i="59" s="1"/>
  <c r="AZ20" i="51"/>
  <c r="AZ9" i="59" s="1"/>
  <c r="AZ23" i="51"/>
  <c r="AZ11" i="59" s="1"/>
  <c r="AZ22" i="51"/>
  <c r="AZ10" i="59" s="1"/>
  <c r="AZ19" i="51"/>
  <c r="AZ8" i="59" s="1"/>
  <c r="AX43" i="51"/>
  <c r="AX17" i="51"/>
  <c r="AY33" i="51"/>
  <c r="AY35" i="51" s="1"/>
  <c r="T15" i="51"/>
  <c r="L236" i="54" l="1"/>
  <c r="BU27" i="57"/>
  <c r="CX150" i="59"/>
  <c r="AZ83" i="59"/>
  <c r="AZ110" i="59"/>
  <c r="AZ40" i="59"/>
  <c r="AZ66" i="59"/>
  <c r="U44" i="59"/>
  <c r="U87" i="59"/>
  <c r="U114" i="59"/>
  <c r="U70" i="59"/>
  <c r="T47" i="59"/>
  <c r="T117" i="59"/>
  <c r="T90" i="59"/>
  <c r="T73" i="59"/>
  <c r="U89" i="59"/>
  <c r="U46" i="59"/>
  <c r="U116" i="59"/>
  <c r="U72" i="59"/>
  <c r="AZ118" i="59"/>
  <c r="AZ48" i="59"/>
  <c r="AZ74" i="59"/>
  <c r="AZ91" i="59"/>
  <c r="CW101" i="59"/>
  <c r="CW153" i="59"/>
  <c r="CX101" i="59"/>
  <c r="CX153" i="59"/>
  <c r="AL51" i="59"/>
  <c r="AL147" i="59"/>
  <c r="AO150" i="59"/>
  <c r="U111" i="59"/>
  <c r="U41" i="59"/>
  <c r="U84" i="59"/>
  <c r="U67" i="59"/>
  <c r="U113" i="59"/>
  <c r="U43" i="59"/>
  <c r="U69" i="59"/>
  <c r="U86" i="59"/>
  <c r="CX152" i="59"/>
  <c r="DA101" i="59"/>
  <c r="CY153" i="59"/>
  <c r="BW51" i="59"/>
  <c r="BW147" i="59"/>
  <c r="I51" i="59"/>
  <c r="I147" i="59"/>
  <c r="U40" i="59"/>
  <c r="U83" i="59"/>
  <c r="U110" i="59"/>
  <c r="U66" i="59"/>
  <c r="AZ116" i="59"/>
  <c r="AZ46" i="59"/>
  <c r="AZ89" i="59"/>
  <c r="AZ72" i="59"/>
  <c r="AO152" i="59"/>
  <c r="CY150" i="59"/>
  <c r="AZ88" i="59"/>
  <c r="AZ115" i="59"/>
  <c r="AZ45" i="59"/>
  <c r="AZ71" i="59"/>
  <c r="U42" i="59"/>
  <c r="U68" i="59"/>
  <c r="U85" i="59"/>
  <c r="U112" i="59"/>
  <c r="AN101" i="59"/>
  <c r="AN153" i="59"/>
  <c r="AO51" i="59"/>
  <c r="AO151" i="59"/>
  <c r="AY48" i="59"/>
  <c r="AY118" i="59"/>
  <c r="AY91" i="59"/>
  <c r="AY74" i="59"/>
  <c r="AZ85" i="59"/>
  <c r="AZ112" i="59"/>
  <c r="AZ42" i="59"/>
  <c r="AZ68" i="59"/>
  <c r="AZ87" i="59"/>
  <c r="AZ44" i="59"/>
  <c r="AZ114" i="59"/>
  <c r="AZ70" i="59"/>
  <c r="AM51" i="59"/>
  <c r="AM147" i="59"/>
  <c r="AK51" i="59"/>
  <c r="AK147" i="59"/>
  <c r="AO146" i="59"/>
  <c r="AY117" i="59"/>
  <c r="AY47" i="59"/>
  <c r="AY73" i="59"/>
  <c r="AY90" i="59"/>
  <c r="AZ43" i="59"/>
  <c r="AZ69" i="59"/>
  <c r="AZ113" i="59"/>
  <c r="AZ86" i="59"/>
  <c r="AM52" i="59"/>
  <c r="AM148" i="59"/>
  <c r="AK52" i="59"/>
  <c r="AK148" i="59"/>
  <c r="CX151" i="59"/>
  <c r="DA146" i="59"/>
  <c r="AZ84" i="59"/>
  <c r="AZ111" i="59"/>
  <c r="AZ41" i="59"/>
  <c r="AZ67" i="59"/>
  <c r="U88" i="59"/>
  <c r="U115" i="59"/>
  <c r="U45" i="59"/>
  <c r="U71" i="59"/>
  <c r="T44" i="51"/>
  <c r="T20" i="59"/>
  <c r="BX101" i="59"/>
  <c r="BX153" i="59"/>
  <c r="CY152" i="59"/>
  <c r="CY151" i="59"/>
  <c r="AO153" i="59"/>
  <c r="AM154" i="59"/>
  <c r="AL154" i="59"/>
  <c r="CX154" i="59"/>
  <c r="CY154" i="59"/>
  <c r="CW53" i="59"/>
  <c r="CW54" i="59"/>
  <c r="CW97" i="59"/>
  <c r="CW124" i="59"/>
  <c r="J11" i="58"/>
  <c r="J6" i="58"/>
  <c r="CW25" i="59"/>
  <c r="CW148" i="59" s="1"/>
  <c r="CW24" i="59"/>
  <c r="CW147" i="59" s="1"/>
  <c r="CX127" i="59"/>
  <c r="CX100" i="59"/>
  <c r="CX57" i="59"/>
  <c r="CW57" i="59"/>
  <c r="CW127" i="59"/>
  <c r="CW100" i="59"/>
  <c r="CX125" i="59"/>
  <c r="CX55" i="59"/>
  <c r="CX98" i="59"/>
  <c r="BV29" i="57"/>
  <c r="CW56" i="59"/>
  <c r="CW99" i="59"/>
  <c r="CW126" i="59"/>
  <c r="CX25" i="59"/>
  <c r="CX148" i="59" s="1"/>
  <c r="CX24" i="59"/>
  <c r="DA25" i="59"/>
  <c r="DA24" i="59"/>
  <c r="CY51" i="59"/>
  <c r="CY122" i="59"/>
  <c r="CY94" i="59"/>
  <c r="CX53" i="59"/>
  <c r="CX124" i="59"/>
  <c r="CX54" i="59"/>
  <c r="CX97" i="59"/>
  <c r="BV181" i="55"/>
  <c r="CW55" i="59"/>
  <c r="CW125" i="59"/>
  <c r="CW98" i="59"/>
  <c r="CX56" i="59"/>
  <c r="CX126" i="59"/>
  <c r="CX99" i="59"/>
  <c r="DA55" i="59"/>
  <c r="DA125" i="59"/>
  <c r="DA98" i="59"/>
  <c r="DF49" i="59"/>
  <c r="DF120" i="59"/>
  <c r="DF92" i="59"/>
  <c r="CZ50" i="59"/>
  <c r="CZ93" i="59"/>
  <c r="CZ121" i="59"/>
  <c r="CZ31" i="59"/>
  <c r="CZ154" i="59" s="1"/>
  <c r="DA6" i="55"/>
  <c r="DA26" i="59"/>
  <c r="BX24" i="59"/>
  <c r="BV23" i="57"/>
  <c r="DA56" i="59"/>
  <c r="DA126" i="59"/>
  <c r="DA99" i="59"/>
  <c r="CY52" i="59"/>
  <c r="CY123" i="59"/>
  <c r="CY96" i="59"/>
  <c r="CY95" i="59"/>
  <c r="DA127" i="59"/>
  <c r="DA100" i="59"/>
  <c r="DA57" i="59"/>
  <c r="P49" i="59"/>
  <c r="J50" i="59"/>
  <c r="J31" i="59"/>
  <c r="J154" i="59" s="1"/>
  <c r="I96" i="59"/>
  <c r="I52" i="59"/>
  <c r="AT120" i="59"/>
  <c r="AT49" i="59"/>
  <c r="AN121" i="59"/>
  <c r="AN50" i="59"/>
  <c r="AN24" i="59"/>
  <c r="AN31" i="59"/>
  <c r="AN154" i="59" s="1"/>
  <c r="AO96" i="59"/>
  <c r="AO52" i="59"/>
  <c r="O49" i="59"/>
  <c r="AL96" i="59"/>
  <c r="AL52" i="59"/>
  <c r="H96" i="59"/>
  <c r="H52" i="59"/>
  <c r="BY120" i="59"/>
  <c r="BY49" i="59"/>
  <c r="BY31" i="59"/>
  <c r="BY154" i="59" s="1"/>
  <c r="BW96" i="59"/>
  <c r="BW52" i="59"/>
  <c r="AJ39" i="57"/>
  <c r="AM123" i="59"/>
  <c r="AM96" i="59"/>
  <c r="AK123" i="59"/>
  <c r="AK96" i="59"/>
  <c r="AK102" i="59" s="1"/>
  <c r="U39" i="59"/>
  <c r="U82" i="59"/>
  <c r="U109" i="59"/>
  <c r="U65" i="59"/>
  <c r="AK174" i="55"/>
  <c r="CW174" i="55" s="1"/>
  <c r="AZ80" i="59"/>
  <c r="AZ107" i="59"/>
  <c r="AZ37" i="59"/>
  <c r="AZ63" i="59"/>
  <c r="U81" i="59"/>
  <c r="U108" i="59"/>
  <c r="U38" i="59"/>
  <c r="U64" i="59"/>
  <c r="U37" i="59"/>
  <c r="U80" i="59"/>
  <c r="U107" i="59"/>
  <c r="U63" i="59"/>
  <c r="AY75" i="59"/>
  <c r="AZ36" i="59"/>
  <c r="AZ79" i="59"/>
  <c r="AZ106" i="59"/>
  <c r="AZ62" i="59"/>
  <c r="U79" i="59"/>
  <c r="U106" i="59"/>
  <c r="U36" i="59"/>
  <c r="U62" i="59"/>
  <c r="AZ81" i="59"/>
  <c r="AZ108" i="59"/>
  <c r="AZ38" i="59"/>
  <c r="AZ64" i="59"/>
  <c r="AZ82" i="59"/>
  <c r="AZ109" i="59"/>
  <c r="AZ39" i="59"/>
  <c r="AZ65" i="59"/>
  <c r="AT92" i="59"/>
  <c r="AN93" i="59"/>
  <c r="AK175" i="55"/>
  <c r="CW175" i="55" s="1"/>
  <c r="AK83" i="55"/>
  <c r="CW83" i="55" s="1"/>
  <c r="CX19" i="55"/>
  <c r="CX20" i="55"/>
  <c r="CV18" i="57"/>
  <c r="CV20" i="57" s="1"/>
  <c r="CV149" i="59" s="1"/>
  <c r="CV155" i="59" s="1"/>
  <c r="CV28" i="57"/>
  <c r="CV30" i="57" s="1"/>
  <c r="CV158" i="55"/>
  <c r="AK37" i="55"/>
  <c r="CW37" i="55" s="1"/>
  <c r="AK59" i="55"/>
  <c r="CW59" i="55" s="1"/>
  <c r="AK106" i="55"/>
  <c r="CW106" i="55" s="1"/>
  <c r="AK128" i="55"/>
  <c r="CW128" i="55" s="1"/>
  <c r="CW105" i="55"/>
  <c r="CW7" i="55"/>
  <c r="CX7" i="55"/>
  <c r="DA19" i="55"/>
  <c r="DA20" i="55"/>
  <c r="CW19" i="55"/>
  <c r="CW20" i="55"/>
  <c r="AK36" i="55"/>
  <c r="CW36" i="55" s="1"/>
  <c r="AU22" i="59"/>
  <c r="AU145" i="59" s="1"/>
  <c r="DG9" i="55"/>
  <c r="DG22" i="59" s="1"/>
  <c r="DG145" i="59" s="1"/>
  <c r="BU158" i="55"/>
  <c r="CW181" i="55"/>
  <c r="AK60" i="55"/>
  <c r="CW60" i="55" s="1"/>
  <c r="CZ13" i="55"/>
  <c r="CZ27" i="59" s="1"/>
  <c r="CZ150" i="59" s="1"/>
  <c r="CZ12" i="55"/>
  <c r="CZ26" i="59" s="1"/>
  <c r="CZ16" i="55"/>
  <c r="CZ30" i="59" s="1"/>
  <c r="DA153" i="59" s="1"/>
  <c r="CZ11" i="55"/>
  <c r="CZ14" i="55"/>
  <c r="CZ28" i="59" s="1"/>
  <c r="CZ151" i="59" s="1"/>
  <c r="CZ15" i="55"/>
  <c r="CZ29" i="59" s="1"/>
  <c r="CZ152" i="59" s="1"/>
  <c r="DA7" i="55"/>
  <c r="AK82" i="55"/>
  <c r="CW82" i="55" s="1"/>
  <c r="BV89" i="55"/>
  <c r="BV6" i="57" s="1"/>
  <c r="CW6" i="55"/>
  <c r="CX6" i="55"/>
  <c r="BU34" i="57"/>
  <c r="BU37" i="57"/>
  <c r="J121" i="59"/>
  <c r="J93" i="59"/>
  <c r="BU40" i="57"/>
  <c r="BW174" i="55"/>
  <c r="BW181" i="55" s="1"/>
  <c r="BW10" i="57" s="1"/>
  <c r="J13" i="55"/>
  <c r="J27" i="59" s="1"/>
  <c r="J14" i="55"/>
  <c r="J28" i="59" s="1"/>
  <c r="J16" i="55"/>
  <c r="J30" i="59" s="1"/>
  <c r="G128" i="59"/>
  <c r="N214" i="53"/>
  <c r="N215" i="53"/>
  <c r="N222" i="53" s="1"/>
  <c r="BV25" i="57"/>
  <c r="O208" i="53"/>
  <c r="N212" i="53"/>
  <c r="BV43" i="55"/>
  <c r="BV4" i="57" s="1"/>
  <c r="BU36" i="57"/>
  <c r="BW36" i="55"/>
  <c r="BW37" i="55"/>
  <c r="BW13" i="57" s="1"/>
  <c r="BW59" i="55"/>
  <c r="BW83" i="55"/>
  <c r="BW15" i="57" s="1"/>
  <c r="BW60" i="55"/>
  <c r="BW14" i="57" s="1"/>
  <c r="BW82" i="55"/>
  <c r="BW105" i="55"/>
  <c r="BW106" i="55"/>
  <c r="BT41" i="57"/>
  <c r="H32" i="59"/>
  <c r="I32" i="59"/>
  <c r="AK129" i="55"/>
  <c r="AK26" i="57"/>
  <c r="AK16" i="57"/>
  <c r="BV10" i="57"/>
  <c r="BV40" i="57"/>
  <c r="AK66" i="55"/>
  <c r="AK24" i="57"/>
  <c r="AK14" i="57"/>
  <c r="BV36" i="57"/>
  <c r="O120" i="59"/>
  <c r="G23" i="57"/>
  <c r="G13" i="57"/>
  <c r="G19" i="57"/>
  <c r="G29" i="57"/>
  <c r="G24" i="57"/>
  <c r="G14" i="57"/>
  <c r="G15" i="57"/>
  <c r="G25" i="57"/>
  <c r="AM174" i="55"/>
  <c r="CY174" i="55" s="1"/>
  <c r="AM59" i="55"/>
  <c r="CY59" i="55" s="1"/>
  <c r="AM105" i="55"/>
  <c r="CY105" i="55" s="1"/>
  <c r="AM36" i="55"/>
  <c r="CY36" i="55" s="1"/>
  <c r="AM82" i="55"/>
  <c r="CY82" i="55" s="1"/>
  <c r="BV5" i="57"/>
  <c r="BV35" i="57"/>
  <c r="G129" i="55"/>
  <c r="G26" i="57"/>
  <c r="G16" i="57"/>
  <c r="AM60" i="55"/>
  <c r="CY60" i="55" s="1"/>
  <c r="AM37" i="55"/>
  <c r="CY37" i="55" s="1"/>
  <c r="AM175" i="55"/>
  <c r="CY175" i="55" s="1"/>
  <c r="AM106" i="55"/>
  <c r="CY106" i="55" s="1"/>
  <c r="AM83" i="55"/>
  <c r="CY83" i="55" s="1"/>
  <c r="P120" i="59"/>
  <c r="AK29" i="57"/>
  <c r="AK19" i="57"/>
  <c r="BU8" i="57"/>
  <c r="BU38" i="57"/>
  <c r="BV152" i="55"/>
  <c r="BV18" i="57" s="1"/>
  <c r="BV20" i="57" s="1"/>
  <c r="BV149" i="59" s="1"/>
  <c r="BV155" i="59" s="1"/>
  <c r="BV27" i="57"/>
  <c r="BU28" i="57"/>
  <c r="BU30" i="57" s="1"/>
  <c r="BV7" i="57"/>
  <c r="BV37" i="57"/>
  <c r="AK15" i="57"/>
  <c r="BU9" i="57"/>
  <c r="BU39" i="57"/>
  <c r="I95" i="59"/>
  <c r="I123" i="59"/>
  <c r="AL95" i="59"/>
  <c r="AL123" i="59"/>
  <c r="H95" i="59"/>
  <c r="H123" i="59"/>
  <c r="I94" i="59"/>
  <c r="I122" i="59"/>
  <c r="BW94" i="59"/>
  <c r="BW122" i="59"/>
  <c r="J100" i="59"/>
  <c r="J127" i="59"/>
  <c r="BX99" i="59"/>
  <c r="BX126" i="59"/>
  <c r="BW95" i="59"/>
  <c r="BW123" i="59"/>
  <c r="AN98" i="59"/>
  <c r="AN125" i="59"/>
  <c r="BX98" i="59"/>
  <c r="BX125" i="59"/>
  <c r="AN100" i="59"/>
  <c r="AN127" i="59"/>
  <c r="AN97" i="59"/>
  <c r="AN124" i="59"/>
  <c r="BX97" i="59"/>
  <c r="BX124" i="59"/>
  <c r="AO94" i="59"/>
  <c r="AO122" i="59"/>
  <c r="BV128" i="59"/>
  <c r="H94" i="59"/>
  <c r="H122" i="59"/>
  <c r="J97" i="59"/>
  <c r="J124" i="59"/>
  <c r="AN99" i="59"/>
  <c r="AN126" i="59"/>
  <c r="BX100" i="59"/>
  <c r="BX127" i="59"/>
  <c r="AO95" i="59"/>
  <c r="AO123" i="59"/>
  <c r="AL94" i="59"/>
  <c r="AL122" i="59"/>
  <c r="J10" i="58"/>
  <c r="O92" i="59"/>
  <c r="AM95" i="59"/>
  <c r="BY92" i="59"/>
  <c r="AM94" i="59"/>
  <c r="P92" i="59"/>
  <c r="BX54" i="59"/>
  <c r="G102" i="59"/>
  <c r="AN54" i="59"/>
  <c r="AN56" i="59"/>
  <c r="BX55" i="59"/>
  <c r="J54" i="59"/>
  <c r="AN57" i="59"/>
  <c r="BV102" i="59"/>
  <c r="AN55" i="59"/>
  <c r="BX57" i="59"/>
  <c r="J57" i="59"/>
  <c r="BX56" i="59"/>
  <c r="G58" i="59"/>
  <c r="BV58" i="59"/>
  <c r="G181" i="55"/>
  <c r="AW9" i="55"/>
  <c r="Q22" i="59"/>
  <c r="Q145" i="59" s="1"/>
  <c r="AN25" i="59"/>
  <c r="AN148" i="59" s="1"/>
  <c r="BX19" i="55"/>
  <c r="BX105" i="55" s="1"/>
  <c r="BX25" i="59"/>
  <c r="BX148" i="59" s="1"/>
  <c r="J25" i="59"/>
  <c r="J148" i="59" s="1"/>
  <c r="K59" i="58"/>
  <c r="AP59" i="58"/>
  <c r="AY44" i="51"/>
  <c r="S48" i="51"/>
  <c r="G66" i="55"/>
  <c r="L229" i="54"/>
  <c r="AS179" i="55" s="1"/>
  <c r="DE179" i="55" s="1"/>
  <c r="K237" i="54"/>
  <c r="K238" i="54" s="1"/>
  <c r="L225" i="54"/>
  <c r="L227" i="54"/>
  <c r="AS177" i="55" s="1"/>
  <c r="DE177" i="55" s="1"/>
  <c r="L228" i="54"/>
  <c r="AS178" i="55" s="1"/>
  <c r="DE178" i="55" s="1"/>
  <c r="J254" i="54"/>
  <c r="AQ75" i="51" s="1"/>
  <c r="M227" i="53"/>
  <c r="N177" i="55" s="1"/>
  <c r="N210" i="53"/>
  <c r="O172" i="55"/>
  <c r="H105" i="55"/>
  <c r="H128" i="55" s="1"/>
  <c r="H82" i="55"/>
  <c r="H174" i="55"/>
  <c r="L206" i="53"/>
  <c r="BY180" i="55" s="1"/>
  <c r="L239" i="54"/>
  <c r="L244" i="54" s="1"/>
  <c r="L245" i="54" s="1"/>
  <c r="L254" i="54" s="1"/>
  <c r="AS75" i="51" s="1"/>
  <c r="P211" i="53"/>
  <c r="P215" i="53" s="1"/>
  <c r="M230" i="53"/>
  <c r="N180" i="55" s="1"/>
  <c r="BV151" i="55"/>
  <c r="BV158" i="55" s="1"/>
  <c r="BV135" i="55"/>
  <c r="G151" i="55"/>
  <c r="G135" i="55"/>
  <c r="M229" i="53"/>
  <c r="N179" i="55" s="1"/>
  <c r="AL105" i="55"/>
  <c r="AL82" i="55"/>
  <c r="CX82" i="55" s="1"/>
  <c r="AL174" i="55"/>
  <c r="CX174" i="55" s="1"/>
  <c r="AK151" i="55"/>
  <c r="CW151" i="55" s="1"/>
  <c r="L203" i="53"/>
  <c r="BY177" i="55" s="1"/>
  <c r="AY25" i="51"/>
  <c r="L202" i="53"/>
  <c r="BY176" i="55" s="1"/>
  <c r="M200" i="53"/>
  <c r="M201" i="53" s="1"/>
  <c r="BZ172" i="55"/>
  <c r="M225" i="53"/>
  <c r="I83" i="55"/>
  <c r="I106" i="55"/>
  <c r="I175" i="55"/>
  <c r="AL106" i="55"/>
  <c r="CX106" i="55" s="1"/>
  <c r="AL83" i="55"/>
  <c r="CX83" i="55" s="1"/>
  <c r="AL175" i="55"/>
  <c r="CX175" i="55" s="1"/>
  <c r="BX175" i="55"/>
  <c r="BX19" i="57" s="1"/>
  <c r="H106" i="55"/>
  <c r="H83" i="55"/>
  <c r="H175" i="55"/>
  <c r="M210" i="54"/>
  <c r="M230" i="54" s="1"/>
  <c r="AT180" i="55" s="1"/>
  <c r="DF180" i="55" s="1"/>
  <c r="AT172" i="55"/>
  <c r="I105" i="55"/>
  <c r="I128" i="55" s="1"/>
  <c r="I82" i="55"/>
  <c r="I174" i="55"/>
  <c r="AO106" i="55"/>
  <c r="DA106" i="55" s="1"/>
  <c r="AO83" i="55"/>
  <c r="DA83" i="55" s="1"/>
  <c r="AO175" i="55"/>
  <c r="DA175" i="55" s="1"/>
  <c r="L204" i="53"/>
  <c r="BY178" i="55" s="1"/>
  <c r="L205" i="53"/>
  <c r="BY179" i="55" s="1"/>
  <c r="AO105" i="55"/>
  <c r="AO82" i="55"/>
  <c r="DA82" i="55" s="1"/>
  <c r="AO174" i="55"/>
  <c r="DA174" i="55" s="1"/>
  <c r="AK181" i="55"/>
  <c r="G112" i="55"/>
  <c r="AK112" i="55"/>
  <c r="I59" i="55"/>
  <c r="I36" i="55"/>
  <c r="H60" i="55"/>
  <c r="H37" i="55"/>
  <c r="G89" i="55"/>
  <c r="AL59" i="55"/>
  <c r="CX59" i="55" s="1"/>
  <c r="I60" i="55"/>
  <c r="I37" i="55"/>
  <c r="AL60" i="55"/>
  <c r="CX60" i="55" s="1"/>
  <c r="AK89" i="55"/>
  <c r="H59" i="55"/>
  <c r="H36" i="55"/>
  <c r="AO60" i="55"/>
  <c r="DA60" i="55" s="1"/>
  <c r="AO59" i="55"/>
  <c r="DA59" i="55" s="1"/>
  <c r="G43" i="55"/>
  <c r="AL36" i="55"/>
  <c r="CX36" i="55" s="1"/>
  <c r="AL37" i="55"/>
  <c r="CX37" i="55" s="1"/>
  <c r="AO36" i="55"/>
  <c r="DA36" i="55" s="1"/>
  <c r="BW43" i="55"/>
  <c r="AO37" i="55"/>
  <c r="DA37" i="55" s="1"/>
  <c r="AW70" i="51"/>
  <c r="J262" i="54"/>
  <c r="AQ78" i="51" s="1"/>
  <c r="AQ77" i="51"/>
  <c r="AN6" i="55"/>
  <c r="K262" i="53"/>
  <c r="L78" i="51" s="1"/>
  <c r="L77" i="51"/>
  <c r="J6" i="55"/>
  <c r="BX6" i="55"/>
  <c r="I256" i="54"/>
  <c r="AP74" i="51"/>
  <c r="AP76" i="51" s="1"/>
  <c r="AP10" i="55"/>
  <c r="O207" i="54"/>
  <c r="O208" i="54" s="1"/>
  <c r="AV4" i="55"/>
  <c r="AV9" i="55"/>
  <c r="J20" i="55"/>
  <c r="J19" i="55"/>
  <c r="J256" i="53"/>
  <c r="K74" i="51"/>
  <c r="K76" i="51" s="1"/>
  <c r="K10" i="55"/>
  <c r="K23" i="59" s="1"/>
  <c r="K146" i="59" s="1"/>
  <c r="N208" i="54"/>
  <c r="AN19" i="55"/>
  <c r="AN20" i="55"/>
  <c r="AQ74" i="51"/>
  <c r="AN7" i="55"/>
  <c r="BX7" i="55"/>
  <c r="BY13" i="55"/>
  <c r="BY27" i="59" s="1"/>
  <c r="BY150" i="59" s="1"/>
  <c r="BY16" i="55"/>
  <c r="BY30" i="59" s="1"/>
  <c r="BY12" i="55"/>
  <c r="BY26" i="59" s="1"/>
  <c r="BY53" i="59" s="1"/>
  <c r="BY15" i="55"/>
  <c r="BY29" i="59" s="1"/>
  <c r="BY152" i="59" s="1"/>
  <c r="BY11" i="55"/>
  <c r="BY14" i="55"/>
  <c r="BY28" i="59" s="1"/>
  <c r="BY151" i="59" s="1"/>
  <c r="M236" i="53"/>
  <c r="M239" i="53" s="1"/>
  <c r="M244" i="53" s="1"/>
  <c r="M216" i="54"/>
  <c r="M217" i="54"/>
  <c r="L244" i="53"/>
  <c r="L245" i="53" s="1"/>
  <c r="L254" i="53" s="1"/>
  <c r="M75" i="51" s="1"/>
  <c r="U160" i="54"/>
  <c r="AC68" i="51"/>
  <c r="BI68" i="51" s="1"/>
  <c r="AC50" i="51"/>
  <c r="AW61" i="51"/>
  <c r="Q71" i="51"/>
  <c r="Q73" i="51" s="1"/>
  <c r="Q64" i="51"/>
  <c r="AY55" i="51"/>
  <c r="R39" i="54"/>
  <c r="W45" i="54" s="1"/>
  <c r="AX52" i="51"/>
  <c r="AX54" i="51" s="1"/>
  <c r="Q37" i="54"/>
  <c r="AC43" i="54" s="1"/>
  <c r="O81" i="54"/>
  <c r="O165" i="54"/>
  <c r="O232" i="53"/>
  <c r="O233" i="53" s="1"/>
  <c r="O209" i="53"/>
  <c r="L237" i="53"/>
  <c r="L238" i="53" s="1"/>
  <c r="L240" i="53" s="1"/>
  <c r="L261" i="53" s="1"/>
  <c r="AB109" i="54"/>
  <c r="AB110" i="54" s="1"/>
  <c r="AB113" i="54"/>
  <c r="AB114" i="54" s="1"/>
  <c r="AB107" i="54"/>
  <c r="AB108" i="54" s="1"/>
  <c r="AB111" i="54"/>
  <c r="AB112" i="54" s="1"/>
  <c r="N212" i="54"/>
  <c r="N213" i="54"/>
  <c r="N215" i="54"/>
  <c r="N214" i="54"/>
  <c r="AX65" i="51"/>
  <c r="Q40" i="54"/>
  <c r="V46" i="54" s="1"/>
  <c r="V159" i="54" s="1"/>
  <c r="AD68" i="51"/>
  <c r="BJ68" i="51" s="1"/>
  <c r="AD50" i="51"/>
  <c r="AV61" i="51"/>
  <c r="P71" i="51"/>
  <c r="P73" i="51" s="1"/>
  <c r="P64" i="51"/>
  <c r="V139" i="54"/>
  <c r="V140" i="54" s="1"/>
  <c r="V137" i="54"/>
  <c r="V138" i="54" s="1"/>
  <c r="V141" i="54"/>
  <c r="V142" i="54" s="1"/>
  <c r="AY52" i="51"/>
  <c r="AY54" i="51" s="1"/>
  <c r="R37" i="54"/>
  <c r="AD43" i="54" s="1"/>
  <c r="L220" i="53"/>
  <c r="L224" i="53" s="1"/>
  <c r="L221" i="53"/>
  <c r="N232" i="54"/>
  <c r="N233" i="54" s="1"/>
  <c r="N209" i="54"/>
  <c r="DG172" i="55" s="1"/>
  <c r="BH50" i="51"/>
  <c r="AD107" i="53"/>
  <c r="AD108" i="53" s="1"/>
  <c r="AE53" i="51" s="1"/>
  <c r="BK53" i="51" s="1"/>
  <c r="AD113" i="53"/>
  <c r="AD114" i="53" s="1"/>
  <c r="AD109" i="53"/>
  <c r="AD110" i="53" s="1"/>
  <c r="AE62" i="51" s="1"/>
  <c r="BK62" i="51" s="1"/>
  <c r="AD111" i="53"/>
  <c r="AD112" i="53" s="1"/>
  <c r="N216" i="53"/>
  <c r="N217" i="53"/>
  <c r="AY59" i="51"/>
  <c r="R38" i="54"/>
  <c r="O162" i="54"/>
  <c r="L199" i="54"/>
  <c r="L200" i="54" s="1"/>
  <c r="M166" i="54"/>
  <c r="BZ9" i="55" s="1"/>
  <c r="BZ22" i="59" s="1"/>
  <c r="BZ145" i="59" s="1"/>
  <c r="AU71" i="51"/>
  <c r="AU73" i="51" s="1"/>
  <c r="AU64" i="51"/>
  <c r="O213" i="53"/>
  <c r="O214" i="53"/>
  <c r="O215" i="53"/>
  <c r="O212" i="53"/>
  <c r="N228" i="53"/>
  <c r="O178" i="55" s="1"/>
  <c r="N229" i="53"/>
  <c r="O179" i="55" s="1"/>
  <c r="N226" i="53"/>
  <c r="O176" i="55" s="1"/>
  <c r="N230" i="53"/>
  <c r="O180" i="55" s="1"/>
  <c r="N227" i="53"/>
  <c r="O177" i="55" s="1"/>
  <c r="N225" i="53"/>
  <c r="K220" i="54"/>
  <c r="K224" i="54" s="1"/>
  <c r="K221" i="54"/>
  <c r="L219" i="54"/>
  <c r="L218" i="54"/>
  <c r="T59" i="51"/>
  <c r="S38" i="53"/>
  <c r="M223" i="54"/>
  <c r="M222" i="54"/>
  <c r="M234" i="54" s="1"/>
  <c r="M235" i="54" s="1"/>
  <c r="K206" i="54"/>
  <c r="K204" i="54"/>
  <c r="K202" i="54"/>
  <c r="K203" i="54"/>
  <c r="K201" i="54"/>
  <c r="K205" i="54"/>
  <c r="M219" i="53"/>
  <c r="M218" i="53"/>
  <c r="K240" i="54"/>
  <c r="K261" i="54" s="1"/>
  <c r="L237" i="54"/>
  <c r="L238" i="54" s="1"/>
  <c r="AX48" i="51"/>
  <c r="Q36" i="54"/>
  <c r="Q42" i="54" s="1"/>
  <c r="Q78" i="53"/>
  <c r="Q80" i="53"/>
  <c r="Q74" i="53"/>
  <c r="Q75" i="53" s="1"/>
  <c r="R57" i="51" s="1"/>
  <c r="Q72" i="53"/>
  <c r="Q73" i="53" s="1"/>
  <c r="R49" i="51" s="1"/>
  <c r="AX49" i="51" s="1"/>
  <c r="Q47" i="53"/>
  <c r="Q162" i="53" s="1"/>
  <c r="K252" i="53"/>
  <c r="R80" i="53"/>
  <c r="R74" i="53"/>
  <c r="R75" i="53" s="1"/>
  <c r="S57" i="51" s="1"/>
  <c r="AY57" i="51" s="1"/>
  <c r="R78" i="53"/>
  <c r="R72" i="53"/>
  <c r="R73" i="53" s="1"/>
  <c r="S49" i="51" s="1"/>
  <c r="AY49" i="51" s="1"/>
  <c r="R47" i="53"/>
  <c r="R162" i="53" s="1"/>
  <c r="AY48" i="51"/>
  <c r="R36" i="54"/>
  <c r="R42" i="54" s="1"/>
  <c r="T25" i="51"/>
  <c r="AV67" i="51"/>
  <c r="AV70" i="51" s="1"/>
  <c r="P70" i="51"/>
  <c r="K245" i="54"/>
  <c r="K254" i="54" s="1"/>
  <c r="AR75" i="51" s="1"/>
  <c r="P47" i="54"/>
  <c r="P78" i="54"/>
  <c r="P79" i="54" s="1"/>
  <c r="P74" i="54"/>
  <c r="P75" i="54" s="1"/>
  <c r="P80" i="54"/>
  <c r="P72" i="54"/>
  <c r="P73" i="54" s="1"/>
  <c r="P232" i="53"/>
  <c r="P233" i="53" s="1"/>
  <c r="P209" i="53"/>
  <c r="V142" i="53"/>
  <c r="W69" i="51" s="1"/>
  <c r="BC69" i="51" s="1"/>
  <c r="W137" i="53"/>
  <c r="X56" i="51" s="1"/>
  <c r="BD56" i="51" s="1"/>
  <c r="W141" i="53"/>
  <c r="W139" i="53"/>
  <c r="V160" i="53"/>
  <c r="W66" i="51" s="1"/>
  <c r="BC66" i="51" s="1"/>
  <c r="V140" i="53"/>
  <c r="W63" i="51" s="1"/>
  <c r="BC63" i="51" s="1"/>
  <c r="V138" i="53"/>
  <c r="O166" i="53"/>
  <c r="N199" i="53"/>
  <c r="T55" i="51"/>
  <c r="S39" i="53"/>
  <c r="X45" i="53" s="1"/>
  <c r="AZ37" i="51"/>
  <c r="S65" i="51"/>
  <c r="R40" i="53"/>
  <c r="W46" i="53" s="1"/>
  <c r="W159" i="53" s="1"/>
  <c r="AZ15" i="51"/>
  <c r="AZ17" i="51" s="1"/>
  <c r="U29" i="51"/>
  <c r="S46" i="51"/>
  <c r="U21" i="51"/>
  <c r="AZ21" i="51"/>
  <c r="T39" i="51"/>
  <c r="AX46" i="51"/>
  <c r="AY39" i="51"/>
  <c r="AZ24" i="51"/>
  <c r="AZ44" i="51" s="1"/>
  <c r="AZ29" i="51"/>
  <c r="BA23" i="51"/>
  <c r="BA11" i="59" s="1"/>
  <c r="BA22" i="51"/>
  <c r="BA10" i="59" s="1"/>
  <c r="BA20" i="51"/>
  <c r="BA9" i="59" s="1"/>
  <c r="BA19" i="51"/>
  <c r="BA8" i="59" s="1"/>
  <c r="V13" i="51"/>
  <c r="V12" i="59" s="1"/>
  <c r="V14" i="51"/>
  <c r="V13" i="59" s="1"/>
  <c r="BA28" i="51"/>
  <c r="BA15" i="59" s="1"/>
  <c r="BA27" i="51"/>
  <c r="BA14" i="59" s="1"/>
  <c r="AY43" i="51"/>
  <c r="AY46" i="51" s="1"/>
  <c r="BA13" i="51"/>
  <c r="BA12" i="59" s="1"/>
  <c r="BA14" i="51"/>
  <c r="BA13" i="59" s="1"/>
  <c r="W18" i="51"/>
  <c r="V19" i="51"/>
  <c r="V8" i="59" s="1"/>
  <c r="BB18" i="51"/>
  <c r="V23" i="51"/>
  <c r="V11" i="59" s="1"/>
  <c r="V20" i="51"/>
  <c r="V9" i="59" s="1"/>
  <c r="V22" i="51"/>
  <c r="V10" i="59" s="1"/>
  <c r="BA31" i="51"/>
  <c r="BA16" i="59" s="1"/>
  <c r="BA32" i="51"/>
  <c r="BA17" i="59" s="1"/>
  <c r="BA34" i="51"/>
  <c r="BA18" i="59" s="1"/>
  <c r="BB12" i="51"/>
  <c r="W30" i="51"/>
  <c r="BB30" i="51"/>
  <c r="V32" i="51"/>
  <c r="V17" i="59" s="1"/>
  <c r="V34" i="51"/>
  <c r="V18" i="59" s="1"/>
  <c r="V31" i="51"/>
  <c r="V16" i="59" s="1"/>
  <c r="AZ33" i="51"/>
  <c r="AZ35" i="51" s="1"/>
  <c r="X10" i="51"/>
  <c r="BC10" i="51"/>
  <c r="W12" i="51"/>
  <c r="V27" i="51"/>
  <c r="V14" i="59" s="1"/>
  <c r="W26" i="51"/>
  <c r="V28" i="51"/>
  <c r="V15" i="59" s="1"/>
  <c r="BB26" i="51"/>
  <c r="U15" i="51"/>
  <c r="T43" i="51"/>
  <c r="T46" i="51" s="1"/>
  <c r="T17" i="51"/>
  <c r="U24" i="51"/>
  <c r="U33" i="51"/>
  <c r="U35" i="51" s="1"/>
  <c r="U38" i="51"/>
  <c r="U20" i="59" s="1"/>
  <c r="U37" i="51"/>
  <c r="U19" i="59" s="1"/>
  <c r="V36" i="51"/>
  <c r="BA36" i="51"/>
  <c r="M206" i="53" l="1"/>
  <c r="BZ180" i="55" s="1"/>
  <c r="M204" i="53"/>
  <c r="BZ178" i="55" s="1"/>
  <c r="CY181" i="55"/>
  <c r="CX43" i="55"/>
  <c r="BA45" i="59"/>
  <c r="BA88" i="59"/>
  <c r="BA115" i="59"/>
  <c r="BA71" i="59"/>
  <c r="V83" i="59"/>
  <c r="V110" i="59"/>
  <c r="V40" i="59"/>
  <c r="V66" i="59"/>
  <c r="J125" i="59"/>
  <c r="J150" i="59"/>
  <c r="CY58" i="59"/>
  <c r="DA151" i="59"/>
  <c r="AN51" i="59"/>
  <c r="AN147" i="59"/>
  <c r="CY147" i="59"/>
  <c r="BA111" i="59"/>
  <c r="BA84" i="59"/>
  <c r="BA41" i="59"/>
  <c r="BA67" i="59"/>
  <c r="BY101" i="59"/>
  <c r="BY153" i="59"/>
  <c r="DA152" i="59"/>
  <c r="V87" i="59"/>
  <c r="V114" i="59"/>
  <c r="V44" i="59"/>
  <c r="V70" i="59"/>
  <c r="BA110" i="59"/>
  <c r="BA40" i="59"/>
  <c r="BA83" i="59"/>
  <c r="BA66" i="59"/>
  <c r="AZ39" i="51"/>
  <c r="AZ19" i="59"/>
  <c r="BW66" i="55"/>
  <c r="CX147" i="59"/>
  <c r="DA150" i="59"/>
  <c r="CY148" i="59"/>
  <c r="AO148" i="59"/>
  <c r="U47" i="59"/>
  <c r="U90" i="59"/>
  <c r="U117" i="59"/>
  <c r="U73" i="59"/>
  <c r="AO147" i="59"/>
  <c r="BA89" i="59"/>
  <c r="BA116" i="59"/>
  <c r="BA46" i="59"/>
  <c r="BA72" i="59"/>
  <c r="V113" i="59"/>
  <c r="V86" i="59"/>
  <c r="V43" i="59"/>
  <c r="V69" i="59"/>
  <c r="BA85" i="59"/>
  <c r="BA112" i="59"/>
  <c r="BA42" i="59"/>
  <c r="BA68" i="59"/>
  <c r="V89" i="59"/>
  <c r="V116" i="59"/>
  <c r="V46" i="59"/>
  <c r="V72" i="59"/>
  <c r="BA86" i="59"/>
  <c r="BA113" i="59"/>
  <c r="BA43" i="59"/>
  <c r="BA69" i="59"/>
  <c r="BW29" i="57"/>
  <c r="J101" i="59"/>
  <c r="J153" i="59"/>
  <c r="CW112" i="55"/>
  <c r="BX51" i="59"/>
  <c r="BX147" i="59"/>
  <c r="BA87" i="59"/>
  <c r="BA114" i="59"/>
  <c r="BA44" i="59"/>
  <c r="BA70" i="59"/>
  <c r="U74" i="59"/>
  <c r="U48" i="59"/>
  <c r="U91" i="59"/>
  <c r="U118" i="59"/>
  <c r="V45" i="59"/>
  <c r="V88" i="59"/>
  <c r="V115" i="59"/>
  <c r="V71" i="59"/>
  <c r="V112" i="59"/>
  <c r="V42" i="59"/>
  <c r="V68" i="59"/>
  <c r="V85" i="59"/>
  <c r="V84" i="59"/>
  <c r="V111" i="59"/>
  <c r="V41" i="59"/>
  <c r="V67" i="59"/>
  <c r="BY24" i="59"/>
  <c r="J99" i="59"/>
  <c r="J151" i="59"/>
  <c r="CZ101" i="59"/>
  <c r="CZ153" i="59"/>
  <c r="CY128" i="59"/>
  <c r="T118" i="59"/>
  <c r="T91" i="59"/>
  <c r="T48" i="59"/>
  <c r="T74" i="59"/>
  <c r="T75" i="59" s="1"/>
  <c r="DA154" i="59"/>
  <c r="AO154" i="59"/>
  <c r="N234" i="53"/>
  <c r="N235" i="53" s="1"/>
  <c r="N236" i="53"/>
  <c r="N237" i="53" s="1"/>
  <c r="N238" i="53" s="1"/>
  <c r="CZ100" i="59"/>
  <c r="CZ127" i="59"/>
  <c r="CZ57" i="59"/>
  <c r="N223" i="53"/>
  <c r="DG49" i="59"/>
  <c r="DG120" i="59"/>
  <c r="DG92" i="59"/>
  <c r="BW129" i="55"/>
  <c r="BW17" i="57" s="1"/>
  <c r="BW16" i="57"/>
  <c r="CZ25" i="59"/>
  <c r="CZ148" i="59" s="1"/>
  <c r="CZ24" i="59"/>
  <c r="CZ147" i="59" s="1"/>
  <c r="DA52" i="59"/>
  <c r="DA95" i="59"/>
  <c r="DA123" i="59"/>
  <c r="DA96" i="59"/>
  <c r="AP11" i="58"/>
  <c r="AP6" i="58"/>
  <c r="M237" i="53"/>
  <c r="M238" i="53" s="1"/>
  <c r="K11" i="58"/>
  <c r="K6" i="58"/>
  <c r="DA51" i="59"/>
  <c r="DA122" i="59"/>
  <c r="DA94" i="59"/>
  <c r="CX51" i="59"/>
  <c r="CX122" i="59"/>
  <c r="CX94" i="59"/>
  <c r="CY43" i="55"/>
  <c r="M203" i="53"/>
  <c r="BZ177" i="55" s="1"/>
  <c r="CZ124" i="59"/>
  <c r="CZ53" i="59"/>
  <c r="CZ54" i="59"/>
  <c r="CZ97" i="59"/>
  <c r="CX52" i="59"/>
  <c r="CX95" i="59"/>
  <c r="CX123" i="59"/>
  <c r="CX96" i="59"/>
  <c r="M202" i="53"/>
  <c r="BZ176" i="55" s="1"/>
  <c r="DA43" i="55"/>
  <c r="DA34" i="57" s="1"/>
  <c r="CX181" i="55"/>
  <c r="CZ98" i="59"/>
  <c r="CZ55" i="59"/>
  <c r="CZ125" i="59"/>
  <c r="CW51" i="59"/>
  <c r="CW58" i="59" s="1"/>
  <c r="CW122" i="59"/>
  <c r="CW94" i="59"/>
  <c r="CZ56" i="59"/>
  <c r="CZ126" i="59"/>
  <c r="CZ99" i="59"/>
  <c r="DA53" i="59"/>
  <c r="DA97" i="59"/>
  <c r="DA54" i="59"/>
  <c r="DA124" i="59"/>
  <c r="M205" i="53"/>
  <c r="BZ179" i="55" s="1"/>
  <c r="CX89" i="55"/>
  <c r="CX36" i="57" s="1"/>
  <c r="J24" i="59"/>
  <c r="CY102" i="59"/>
  <c r="CW52" i="59"/>
  <c r="CW96" i="59"/>
  <c r="CW123" i="59"/>
  <c r="CW95" i="59"/>
  <c r="BZ120" i="59"/>
  <c r="BZ49" i="59"/>
  <c r="BZ31" i="59"/>
  <c r="BZ154" i="59" s="1"/>
  <c r="J96" i="59"/>
  <c r="J52" i="59"/>
  <c r="AU92" i="59"/>
  <c r="AU49" i="59"/>
  <c r="BX96" i="59"/>
  <c r="BX52" i="59"/>
  <c r="K50" i="59"/>
  <c r="K31" i="59"/>
  <c r="K154" i="59" s="1"/>
  <c r="AN96" i="59"/>
  <c r="AN52" i="59"/>
  <c r="Q49" i="59"/>
  <c r="V82" i="59"/>
  <c r="V109" i="59"/>
  <c r="V39" i="59"/>
  <c r="V65" i="59"/>
  <c r="CZ7" i="55"/>
  <c r="BA81" i="59"/>
  <c r="BA108" i="59"/>
  <c r="BA38" i="59"/>
  <c r="BA64" i="59"/>
  <c r="V36" i="59"/>
  <c r="V79" i="59"/>
  <c r="V106" i="59"/>
  <c r="V62" i="59"/>
  <c r="BA79" i="59"/>
  <c r="BA106" i="59"/>
  <c r="BA36" i="59"/>
  <c r="BA62" i="59"/>
  <c r="CY66" i="55"/>
  <c r="CY5" i="57" s="1"/>
  <c r="BA82" i="59"/>
  <c r="BA39" i="59"/>
  <c r="BA109" i="59"/>
  <c r="BA65" i="59"/>
  <c r="DA181" i="55"/>
  <c r="U75" i="59"/>
  <c r="BA80" i="59"/>
  <c r="BA107" i="59"/>
  <c r="BA37" i="59"/>
  <c r="BA63" i="59"/>
  <c r="V81" i="59"/>
  <c r="V108" i="59"/>
  <c r="V38" i="59"/>
  <c r="V64" i="59"/>
  <c r="V37" i="59"/>
  <c r="V80" i="59"/>
  <c r="V107" i="59"/>
  <c r="V63" i="59"/>
  <c r="CZ6" i="55"/>
  <c r="J55" i="59"/>
  <c r="J98" i="59"/>
  <c r="J56" i="59"/>
  <c r="AU120" i="59"/>
  <c r="J126" i="59"/>
  <c r="AP23" i="59"/>
  <c r="AP146" i="59" s="1"/>
  <c r="DB10" i="55"/>
  <c r="DB23" i="59" s="1"/>
  <c r="DB146" i="59" s="1"/>
  <c r="CW23" i="57"/>
  <c r="CW13" i="57"/>
  <c r="CX23" i="57"/>
  <c r="CX13" i="57"/>
  <c r="CX24" i="57"/>
  <c r="CX14" i="57"/>
  <c r="CX19" i="57"/>
  <c r="CX29" i="57"/>
  <c r="CY40" i="57"/>
  <c r="CY10" i="57"/>
  <c r="CW24" i="57"/>
  <c r="CW14" i="57"/>
  <c r="CV39" i="57"/>
  <c r="CV9" i="57"/>
  <c r="CX34" i="57"/>
  <c r="CX4" i="57"/>
  <c r="AO128" i="55"/>
  <c r="DA128" i="55" s="1"/>
  <c r="DA105" i="55"/>
  <c r="DA112" i="55" s="1"/>
  <c r="CX15" i="57"/>
  <c r="CX25" i="57"/>
  <c r="CY25" i="57"/>
  <c r="CY15" i="57"/>
  <c r="CY89" i="55"/>
  <c r="CW40" i="57"/>
  <c r="CW10" i="57"/>
  <c r="CX16" i="57"/>
  <c r="CY16" i="57"/>
  <c r="CY26" i="57"/>
  <c r="AL128" i="55"/>
  <c r="CX128" i="55" s="1"/>
  <c r="CX105" i="55"/>
  <c r="CX112" i="55" s="1"/>
  <c r="BX37" i="55"/>
  <c r="BX13" i="57" s="1"/>
  <c r="DA66" i="55"/>
  <c r="CX66" i="55"/>
  <c r="AW22" i="59"/>
  <c r="DI9" i="55"/>
  <c r="DI22" i="59" s="1"/>
  <c r="CY29" i="57"/>
  <c r="CY19" i="57"/>
  <c r="CW37" i="57"/>
  <c r="CW7" i="57"/>
  <c r="AV22" i="59"/>
  <c r="AV145" i="59" s="1"/>
  <c r="DH9" i="55"/>
  <c r="DH22" i="59" s="1"/>
  <c r="DH145" i="59" s="1"/>
  <c r="BX36" i="55"/>
  <c r="BX43" i="55" s="1"/>
  <c r="DA14" i="57"/>
  <c r="DA24" i="57"/>
  <c r="BX60" i="55"/>
  <c r="BX14" i="57" s="1"/>
  <c r="DA29" i="57"/>
  <c r="DA19" i="57"/>
  <c r="CY13" i="57"/>
  <c r="CY23" i="57"/>
  <c r="BW89" i="55"/>
  <c r="CZ19" i="55"/>
  <c r="CZ20" i="55"/>
  <c r="DA40" i="57"/>
  <c r="DA10" i="57"/>
  <c r="DA13" i="57"/>
  <c r="DA23" i="57"/>
  <c r="BX59" i="55"/>
  <c r="AK43" i="55"/>
  <c r="AK34" i="57" s="1"/>
  <c r="DA25" i="57"/>
  <c r="DA15" i="57"/>
  <c r="DA89" i="55"/>
  <c r="CX10" i="57"/>
  <c r="CX40" i="57"/>
  <c r="BX106" i="55"/>
  <c r="CY24" i="57"/>
  <c r="CY14" i="57"/>
  <c r="CY34" i="57"/>
  <c r="CY4" i="57"/>
  <c r="AK13" i="57"/>
  <c r="BW24" i="57"/>
  <c r="CW43" i="55"/>
  <c r="CW16" i="57"/>
  <c r="CW26" i="57"/>
  <c r="CW15" i="57"/>
  <c r="CW25" i="57"/>
  <c r="CW89" i="55"/>
  <c r="DA26" i="57"/>
  <c r="DA16" i="57"/>
  <c r="AK25" i="57"/>
  <c r="CY112" i="55"/>
  <c r="AK23" i="57"/>
  <c r="AK135" i="55"/>
  <c r="AK8" i="57" s="1"/>
  <c r="CW129" i="55"/>
  <c r="CW66" i="55"/>
  <c r="CW19" i="57"/>
  <c r="CW29" i="57"/>
  <c r="BW112" i="55"/>
  <c r="BW7" i="57" s="1"/>
  <c r="J7" i="55"/>
  <c r="BW40" i="57"/>
  <c r="BX174" i="55"/>
  <c r="BX29" i="57" s="1"/>
  <c r="AQ76" i="51"/>
  <c r="AQ58" i="58" s="1"/>
  <c r="BW128" i="55"/>
  <c r="BW27" i="57" s="1"/>
  <c r="J256" i="54"/>
  <c r="AO66" i="55"/>
  <c r="AO35" i="57" s="1"/>
  <c r="AL102" i="59"/>
  <c r="BV34" i="57"/>
  <c r="AO181" i="55"/>
  <c r="AO10" i="57" s="1"/>
  <c r="AQ10" i="55"/>
  <c r="BW23" i="57"/>
  <c r="BX82" i="55"/>
  <c r="BW128" i="59"/>
  <c r="I128" i="59"/>
  <c r="AM43" i="55"/>
  <c r="AM34" i="57" s="1"/>
  <c r="BW25" i="57"/>
  <c r="BU41" i="57"/>
  <c r="BW26" i="57"/>
  <c r="AM181" i="55"/>
  <c r="AM40" i="57" s="1"/>
  <c r="J32" i="59"/>
  <c r="H66" i="55"/>
  <c r="H35" i="57" s="1"/>
  <c r="AL24" i="57"/>
  <c r="AL14" i="57"/>
  <c r="H24" i="57"/>
  <c r="H14" i="57"/>
  <c r="I25" i="57"/>
  <c r="I15" i="57"/>
  <c r="BV9" i="57"/>
  <c r="BV39" i="57"/>
  <c r="AM29" i="57"/>
  <c r="AM19" i="57"/>
  <c r="BW5" i="57"/>
  <c r="BW35" i="57"/>
  <c r="G4" i="57"/>
  <c r="G34" i="57"/>
  <c r="I43" i="55"/>
  <c r="I23" i="57"/>
  <c r="I13" i="57"/>
  <c r="BW37" i="57"/>
  <c r="BX83" i="55"/>
  <c r="Q120" i="59"/>
  <c r="AM23" i="57"/>
  <c r="AM13" i="57"/>
  <c r="BW152" i="55"/>
  <c r="BW18" i="57" s="1"/>
  <c r="I66" i="55"/>
  <c r="I24" i="57"/>
  <c r="I14" i="57"/>
  <c r="AM66" i="55"/>
  <c r="AM35" i="57" s="1"/>
  <c r="AM24" i="57"/>
  <c r="AM14" i="57"/>
  <c r="AV120" i="59"/>
  <c r="AO24" i="57"/>
  <c r="AO14" i="57"/>
  <c r="AK7" i="57"/>
  <c r="AK37" i="57"/>
  <c r="AL29" i="57"/>
  <c r="AL19" i="57"/>
  <c r="AM128" i="55"/>
  <c r="CY128" i="55" s="1"/>
  <c r="AM112" i="55"/>
  <c r="AM37" i="57" s="1"/>
  <c r="AK152" i="55"/>
  <c r="CW152" i="55" s="1"/>
  <c r="CW158" i="55" s="1"/>
  <c r="AK27" i="57"/>
  <c r="AK17" i="57"/>
  <c r="AO23" i="57"/>
  <c r="AO13" i="57"/>
  <c r="G7" i="57"/>
  <c r="G37" i="57"/>
  <c r="AL25" i="57"/>
  <c r="AL15" i="57"/>
  <c r="G10" i="57"/>
  <c r="G40" i="57"/>
  <c r="BW4" i="57"/>
  <c r="BW34" i="57"/>
  <c r="AO19" i="57"/>
  <c r="AO29" i="57"/>
  <c r="H19" i="57"/>
  <c r="H29" i="57"/>
  <c r="AL129" i="55"/>
  <c r="AL26" i="57"/>
  <c r="AL16" i="57"/>
  <c r="G8" i="57"/>
  <c r="G38" i="57"/>
  <c r="G5" i="57"/>
  <c r="G35" i="57"/>
  <c r="K121" i="59"/>
  <c r="AK6" i="57"/>
  <c r="AK36" i="57"/>
  <c r="G6" i="57"/>
  <c r="G36" i="57"/>
  <c r="AK10" i="57"/>
  <c r="AK40" i="57"/>
  <c r="AO25" i="57"/>
  <c r="AO15" i="57"/>
  <c r="H15" i="57"/>
  <c r="H25" i="57"/>
  <c r="I29" i="57"/>
  <c r="I19" i="57"/>
  <c r="H128" i="59"/>
  <c r="AM25" i="57"/>
  <c r="AM15" i="57"/>
  <c r="AM89" i="55"/>
  <c r="AM36" i="57" s="1"/>
  <c r="G152" i="55"/>
  <c r="G27" i="57"/>
  <c r="G17" i="57"/>
  <c r="AK5" i="57"/>
  <c r="AK35" i="57"/>
  <c r="AL23" i="57"/>
  <c r="AL13" i="57"/>
  <c r="BW6" i="57"/>
  <c r="BW36" i="57"/>
  <c r="H23" i="57"/>
  <c r="H13" i="57"/>
  <c r="AO129" i="55"/>
  <c r="AO26" i="57"/>
  <c r="AO16" i="57"/>
  <c r="H129" i="55"/>
  <c r="H26" i="57"/>
  <c r="H16" i="57"/>
  <c r="I129" i="55"/>
  <c r="I135" i="55" s="1"/>
  <c r="I16" i="57"/>
  <c r="I26" i="57"/>
  <c r="AK38" i="57"/>
  <c r="BV8" i="57"/>
  <c r="BV38" i="57"/>
  <c r="BV28" i="57"/>
  <c r="BV30" i="57" s="1"/>
  <c r="AM129" i="55"/>
  <c r="CY129" i="55" s="1"/>
  <c r="AM26" i="57"/>
  <c r="AM16" i="57"/>
  <c r="AN94" i="59"/>
  <c r="AN122" i="59"/>
  <c r="BY99" i="59"/>
  <c r="BY126" i="59"/>
  <c r="AN95" i="59"/>
  <c r="AN123" i="59"/>
  <c r="BY98" i="59"/>
  <c r="BY125" i="59"/>
  <c r="BX95" i="59"/>
  <c r="BX123" i="59"/>
  <c r="BY100" i="59"/>
  <c r="BY127" i="59"/>
  <c r="J94" i="59"/>
  <c r="J122" i="59"/>
  <c r="BY97" i="59"/>
  <c r="BY124" i="59"/>
  <c r="J95" i="59"/>
  <c r="J123" i="59"/>
  <c r="BX94" i="59"/>
  <c r="BX122" i="59"/>
  <c r="K93" i="59"/>
  <c r="BZ92" i="59"/>
  <c r="Q92" i="59"/>
  <c r="I58" i="59"/>
  <c r="AO102" i="59"/>
  <c r="H58" i="59"/>
  <c r="I102" i="59"/>
  <c r="BW58" i="59"/>
  <c r="BW102" i="59"/>
  <c r="BY55" i="59"/>
  <c r="H102" i="59"/>
  <c r="BY54" i="59"/>
  <c r="BY56" i="59"/>
  <c r="BY57" i="59"/>
  <c r="AM102" i="59"/>
  <c r="BY19" i="55"/>
  <c r="BY175" i="55" s="1"/>
  <c r="BY19" i="57" s="1"/>
  <c r="BY25" i="59"/>
  <c r="BY148" i="59" s="1"/>
  <c r="AQ59" i="58"/>
  <c r="M226" i="54"/>
  <c r="AT176" i="55" s="1"/>
  <c r="DF176" i="55" s="1"/>
  <c r="K58" i="58"/>
  <c r="K5" i="58" s="1"/>
  <c r="AP58" i="58"/>
  <c r="P212" i="53"/>
  <c r="L59" i="58"/>
  <c r="H43" i="55"/>
  <c r="AO89" i="55"/>
  <c r="I181" i="55"/>
  <c r="H112" i="55"/>
  <c r="R51" i="51"/>
  <c r="AO112" i="55"/>
  <c r="P213" i="53"/>
  <c r="M225" i="54"/>
  <c r="P214" i="53"/>
  <c r="P217" i="53" s="1"/>
  <c r="M227" i="54"/>
  <c r="AT177" i="55" s="1"/>
  <c r="DF177" i="55" s="1"/>
  <c r="M229" i="54"/>
  <c r="AT179" i="55" s="1"/>
  <c r="DF179" i="55" s="1"/>
  <c r="M228" i="54"/>
  <c r="AT178" i="55" s="1"/>
  <c r="DF178" i="55" s="1"/>
  <c r="O211" i="54"/>
  <c r="O212" i="54" s="1"/>
  <c r="BX181" i="55"/>
  <c r="BX128" i="55"/>
  <c r="BX112" i="55"/>
  <c r="H181" i="55"/>
  <c r="J105" i="55"/>
  <c r="J128" i="55" s="1"/>
  <c r="J82" i="55"/>
  <c r="J174" i="55"/>
  <c r="I151" i="55"/>
  <c r="BW151" i="55"/>
  <c r="N210" i="54"/>
  <c r="N229" i="54" s="1"/>
  <c r="AU179" i="55" s="1"/>
  <c r="DG179" i="55" s="1"/>
  <c r="AU172" i="55"/>
  <c r="J83" i="55"/>
  <c r="J106" i="55"/>
  <c r="J175" i="55"/>
  <c r="H151" i="55"/>
  <c r="H135" i="55"/>
  <c r="N200" i="53"/>
  <c r="CA172" i="55"/>
  <c r="AN106" i="55"/>
  <c r="CZ106" i="55" s="1"/>
  <c r="AN83" i="55"/>
  <c r="CZ83" i="55" s="1"/>
  <c r="AN175" i="55"/>
  <c r="CZ175" i="55" s="1"/>
  <c r="AL181" i="55"/>
  <c r="P210" i="53"/>
  <c r="P228" i="53" s="1"/>
  <c r="Q178" i="55" s="1"/>
  <c r="Q172" i="55"/>
  <c r="M240" i="53"/>
  <c r="M261" i="53" s="1"/>
  <c r="L240" i="54"/>
  <c r="L261" i="54" s="1"/>
  <c r="AS77" i="51" s="1"/>
  <c r="O210" i="53"/>
  <c r="O227" i="53" s="1"/>
  <c r="P177" i="55" s="1"/>
  <c r="P172" i="55"/>
  <c r="AN105" i="55"/>
  <c r="AN82" i="55"/>
  <c r="CZ82" i="55" s="1"/>
  <c r="AN174" i="55"/>
  <c r="CZ174" i="55" s="1"/>
  <c r="CZ181" i="55" s="1"/>
  <c r="AO151" i="55"/>
  <c r="DA151" i="55" s="1"/>
  <c r="H89" i="55"/>
  <c r="AL89" i="55"/>
  <c r="AL66" i="55"/>
  <c r="AN60" i="55"/>
  <c r="CZ60" i="55" s="1"/>
  <c r="AO43" i="55"/>
  <c r="AN59" i="55"/>
  <c r="CZ59" i="55" s="1"/>
  <c r="AL112" i="55"/>
  <c r="I89" i="55"/>
  <c r="I112" i="55"/>
  <c r="J60" i="55"/>
  <c r="J37" i="55"/>
  <c r="BY59" i="55"/>
  <c r="J36" i="55"/>
  <c r="J59" i="55"/>
  <c r="AL43" i="55"/>
  <c r="AN37" i="55"/>
  <c r="CZ37" i="55" s="1"/>
  <c r="AN36" i="55"/>
  <c r="CZ36" i="55" s="1"/>
  <c r="L262" i="53"/>
  <c r="M78" i="51" s="1"/>
  <c r="M77" i="51"/>
  <c r="BY6" i="55"/>
  <c r="M262" i="53"/>
  <c r="N78" i="51" s="1"/>
  <c r="N77" i="51"/>
  <c r="K262" i="54"/>
  <c r="AR78" i="51" s="1"/>
  <c r="AR77" i="51"/>
  <c r="P207" i="54"/>
  <c r="P211" i="54" s="1"/>
  <c r="AW4" i="55"/>
  <c r="K256" i="53"/>
  <c r="L74" i="51"/>
  <c r="L76" i="51" s="1"/>
  <c r="L10" i="55"/>
  <c r="L23" i="59" s="1"/>
  <c r="L146" i="59" s="1"/>
  <c r="BY7" i="55"/>
  <c r="AP11" i="55"/>
  <c r="AP14" i="55"/>
  <c r="AP28" i="59" s="1"/>
  <c r="AP151" i="59" s="1"/>
  <c r="AP15" i="55"/>
  <c r="AP29" i="59" s="1"/>
  <c r="AP152" i="59" s="1"/>
  <c r="AP12" i="55"/>
  <c r="AP26" i="59" s="1"/>
  <c r="AP53" i="59" s="1"/>
  <c r="AP13" i="55"/>
  <c r="AP27" i="59" s="1"/>
  <c r="AP150" i="59" s="1"/>
  <c r="AP16" i="55"/>
  <c r="AP30" i="59" s="1"/>
  <c r="R207" i="53"/>
  <c r="R211" i="53" s="1"/>
  <c r="S4" i="55"/>
  <c r="Q207" i="53"/>
  <c r="Q208" i="53" s="1"/>
  <c r="R4" i="55"/>
  <c r="K16" i="55"/>
  <c r="K30" i="59" s="1"/>
  <c r="K15" i="55"/>
  <c r="K29" i="59" s="1"/>
  <c r="K152" i="59" s="1"/>
  <c r="K13" i="55"/>
  <c r="K27" i="59" s="1"/>
  <c r="K150" i="59" s="1"/>
  <c r="K12" i="55"/>
  <c r="K26" i="59" s="1"/>
  <c r="K53" i="59" s="1"/>
  <c r="K11" i="55"/>
  <c r="K24" i="59" s="1"/>
  <c r="K14" i="55"/>
  <c r="K28" i="59" s="1"/>
  <c r="K151" i="59" s="1"/>
  <c r="BZ11" i="55"/>
  <c r="BZ14" i="55"/>
  <c r="BZ28" i="59" s="1"/>
  <c r="BZ151" i="59" s="1"/>
  <c r="BZ13" i="55"/>
  <c r="BZ27" i="59" s="1"/>
  <c r="BZ150" i="59" s="1"/>
  <c r="BZ12" i="55"/>
  <c r="BZ26" i="59" s="1"/>
  <c r="BZ53" i="59" s="1"/>
  <c r="BZ16" i="55"/>
  <c r="BZ30" i="59" s="1"/>
  <c r="BZ15" i="55"/>
  <c r="BZ29" i="59" s="1"/>
  <c r="BZ152" i="59" s="1"/>
  <c r="AQ13" i="55"/>
  <c r="AQ27" i="59" s="1"/>
  <c r="AQ150" i="59" s="1"/>
  <c r="AQ12" i="55"/>
  <c r="AQ26" i="59" s="1"/>
  <c r="AQ53" i="59" s="1"/>
  <c r="AQ14" i="55"/>
  <c r="AQ28" i="59" s="1"/>
  <c r="AQ16" i="55"/>
  <c r="AQ30" i="59" s="1"/>
  <c r="AQ11" i="55"/>
  <c r="AQ15" i="55"/>
  <c r="AQ29" i="59" s="1"/>
  <c r="AX51" i="51"/>
  <c r="AZ65" i="51"/>
  <c r="S40" i="54"/>
  <c r="X46" i="54" s="1"/>
  <c r="X159" i="54" s="1"/>
  <c r="P81" i="54"/>
  <c r="P165" i="54"/>
  <c r="P223" i="53"/>
  <c r="P222" i="53"/>
  <c r="P234" i="53" s="1"/>
  <c r="P235" i="53" s="1"/>
  <c r="M236" i="54"/>
  <c r="L202" i="54"/>
  <c r="L205" i="54"/>
  <c r="L203" i="54"/>
  <c r="L201" i="54"/>
  <c r="L206" i="54"/>
  <c r="L204" i="54"/>
  <c r="N222" i="54"/>
  <c r="N234" i="54" s="1"/>
  <c r="N235" i="54" s="1"/>
  <c r="N223" i="54"/>
  <c r="O230" i="53"/>
  <c r="P180" i="55" s="1"/>
  <c r="O226" i="53"/>
  <c r="P176" i="55" s="1"/>
  <c r="O228" i="53"/>
  <c r="P178" i="55" s="1"/>
  <c r="AY58" i="51"/>
  <c r="AY72" i="51" s="1"/>
  <c r="Q80" i="54"/>
  <c r="Q72" i="54"/>
  <c r="Q73" i="54" s="1"/>
  <c r="Q74" i="54"/>
  <c r="Q75" i="54" s="1"/>
  <c r="Q78" i="54"/>
  <c r="Q79" i="54" s="1"/>
  <c r="Q47" i="54"/>
  <c r="Q162" i="54" s="1"/>
  <c r="AZ59" i="51"/>
  <c r="S38" i="54"/>
  <c r="S67" i="51"/>
  <c r="AY67" i="51" s="1"/>
  <c r="R79" i="53"/>
  <c r="O222" i="53"/>
  <c r="O234" i="53" s="1"/>
  <c r="O235" i="53" s="1"/>
  <c r="O223" i="53"/>
  <c r="L252" i="54"/>
  <c r="AV71" i="51"/>
  <c r="AV73" i="51" s="1"/>
  <c r="AV64" i="51"/>
  <c r="O232" i="54"/>
  <c r="O233" i="54" s="1"/>
  <c r="O209" i="54"/>
  <c r="DH172" i="55" s="1"/>
  <c r="L252" i="53"/>
  <c r="U59" i="51"/>
  <c r="T38" i="53"/>
  <c r="S51" i="51"/>
  <c r="P216" i="53"/>
  <c r="O216" i="53"/>
  <c r="O217" i="53"/>
  <c r="AD113" i="54"/>
  <c r="AD114" i="54" s="1"/>
  <c r="AD109" i="54"/>
  <c r="AD110" i="54" s="1"/>
  <c r="AD111" i="54"/>
  <c r="AD112" i="54" s="1"/>
  <c r="AD107" i="54"/>
  <c r="AD108" i="54" s="1"/>
  <c r="BJ50" i="51"/>
  <c r="AW71" i="51"/>
  <c r="AW73" i="51" s="1"/>
  <c r="AW64" i="51"/>
  <c r="M219" i="54"/>
  <c r="M218" i="54"/>
  <c r="AY65" i="51"/>
  <c r="R40" i="54"/>
  <c r="W46" i="54" s="1"/>
  <c r="W159" i="54" s="1"/>
  <c r="AZ52" i="51"/>
  <c r="AZ54" i="51" s="1"/>
  <c r="S37" i="54"/>
  <c r="AE43" i="54" s="1"/>
  <c r="P226" i="53"/>
  <c r="Q176" i="55" s="1"/>
  <c r="T48" i="51"/>
  <c r="S36" i="53"/>
  <c r="S42" i="53" s="1"/>
  <c r="R81" i="53"/>
  <c r="S61" i="51" s="1"/>
  <c r="R165" i="53"/>
  <c r="S9" i="55" s="1"/>
  <c r="S22" i="59" s="1"/>
  <c r="N219" i="53"/>
  <c r="N240" i="53" s="1"/>
  <c r="N218" i="53"/>
  <c r="BI50" i="51"/>
  <c r="T52" i="51"/>
  <c r="T54" i="51" s="1"/>
  <c r="S37" i="53"/>
  <c r="AE43" i="53" s="1"/>
  <c r="P236" i="53"/>
  <c r="R80" i="54"/>
  <c r="R47" i="54"/>
  <c r="R162" i="54" s="1"/>
  <c r="R78" i="54"/>
  <c r="R79" i="54" s="1"/>
  <c r="R74" i="54"/>
  <c r="R75" i="54" s="1"/>
  <c r="R72" i="54"/>
  <c r="R73" i="54" s="1"/>
  <c r="AX57" i="51"/>
  <c r="AX58" i="51" s="1"/>
  <c r="AX72" i="51" s="1"/>
  <c r="R58" i="51"/>
  <c r="R72" i="51" s="1"/>
  <c r="M220" i="53"/>
  <c r="M224" i="53" s="1"/>
  <c r="M221" i="53"/>
  <c r="N230" i="54"/>
  <c r="AU180" i="55" s="1"/>
  <c r="DG180" i="55" s="1"/>
  <c r="V160" i="54"/>
  <c r="AC113" i="54"/>
  <c r="AC114" i="54" s="1"/>
  <c r="AC111" i="54"/>
  <c r="AC112" i="54" s="1"/>
  <c r="AC109" i="54"/>
  <c r="AC110" i="54" s="1"/>
  <c r="AC107" i="54"/>
  <c r="AC108" i="54" s="1"/>
  <c r="P162" i="54"/>
  <c r="AY51" i="51"/>
  <c r="Q81" i="53"/>
  <c r="R61" i="51" s="1"/>
  <c r="Q165" i="53"/>
  <c r="R9" i="55" s="1"/>
  <c r="N239" i="53"/>
  <c r="AE68" i="51"/>
  <c r="BK68" i="51" s="1"/>
  <c r="AE50" i="51"/>
  <c r="K252" i="54"/>
  <c r="AZ55" i="51"/>
  <c r="S39" i="54"/>
  <c r="X45" i="54" s="1"/>
  <c r="R67" i="51"/>
  <c r="Q79" i="53"/>
  <c r="M245" i="53"/>
  <c r="M252" i="53" s="1"/>
  <c r="L220" i="54"/>
  <c r="L224" i="54" s="1"/>
  <c r="L221" i="54"/>
  <c r="M199" i="54"/>
  <c r="M200" i="54" s="1"/>
  <c r="N166" i="54"/>
  <c r="CA9" i="55" s="1"/>
  <c r="CA22" i="59" s="1"/>
  <c r="CA145" i="59" s="1"/>
  <c r="N216" i="54"/>
  <c r="N217" i="54"/>
  <c r="W139" i="54"/>
  <c r="W140" i="54" s="1"/>
  <c r="W141" i="54"/>
  <c r="W142" i="54" s="1"/>
  <c r="W137" i="54"/>
  <c r="W138" i="54" s="1"/>
  <c r="S58" i="51"/>
  <c r="S72" i="51" s="1"/>
  <c r="U55" i="51"/>
  <c r="T39" i="53"/>
  <c r="Y45" i="53" s="1"/>
  <c r="N202" i="53"/>
  <c r="CA176" i="55" s="1"/>
  <c r="N203" i="53"/>
  <c r="CA177" i="55" s="1"/>
  <c r="N201" i="53"/>
  <c r="N206" i="53"/>
  <c r="CA180" i="55" s="1"/>
  <c r="N204" i="53"/>
  <c r="CA178" i="55" s="1"/>
  <c r="N205" i="53"/>
  <c r="CA179" i="55" s="1"/>
  <c r="W140" i="53"/>
  <c r="X63" i="51" s="1"/>
  <c r="BD63" i="51" s="1"/>
  <c r="W160" i="53"/>
  <c r="X66" i="51" s="1"/>
  <c r="BD66" i="51" s="1"/>
  <c r="P166" i="53"/>
  <c r="O199" i="53"/>
  <c r="W142" i="53"/>
  <c r="X69" i="51" s="1"/>
  <c r="BD69" i="51" s="1"/>
  <c r="W138" i="53"/>
  <c r="T65" i="51"/>
  <c r="S40" i="53"/>
  <c r="X46" i="53" s="1"/>
  <c r="X159" i="53" s="1"/>
  <c r="X141" i="53"/>
  <c r="X137" i="53"/>
  <c r="Y56" i="51" s="1"/>
  <c r="BE56" i="51" s="1"/>
  <c r="X139" i="53"/>
  <c r="BA24" i="51"/>
  <c r="BA29" i="51"/>
  <c r="U39" i="51"/>
  <c r="U25" i="51"/>
  <c r="V29" i="51"/>
  <c r="V24" i="51"/>
  <c r="V15" i="51"/>
  <c r="AZ25" i="51"/>
  <c r="V38" i="51"/>
  <c r="V20" i="59" s="1"/>
  <c r="V37" i="51"/>
  <c r="V19" i="59" s="1"/>
  <c r="W28" i="51"/>
  <c r="W15" i="59" s="1"/>
  <c r="X26" i="51"/>
  <c r="W27" i="51"/>
  <c r="W14" i="59" s="1"/>
  <c r="BC26" i="51"/>
  <c r="BC12" i="51"/>
  <c r="V21" i="51"/>
  <c r="Y10" i="51"/>
  <c r="BD10" i="51"/>
  <c r="X12" i="51"/>
  <c r="W23" i="51"/>
  <c r="W11" i="59" s="1"/>
  <c r="X18" i="51"/>
  <c r="W20" i="51"/>
  <c r="W9" i="59" s="1"/>
  <c r="W22" i="51"/>
  <c r="W10" i="59" s="1"/>
  <c r="W19" i="51"/>
  <c r="W8" i="59" s="1"/>
  <c r="BC18" i="51"/>
  <c r="U43" i="51"/>
  <c r="U17" i="51"/>
  <c r="BB28" i="51"/>
  <c r="BB15" i="59" s="1"/>
  <c r="BB27" i="51"/>
  <c r="BB14" i="59" s="1"/>
  <c r="W36" i="51"/>
  <c r="BB34" i="51"/>
  <c r="BB18" i="59" s="1"/>
  <c r="BB31" i="51"/>
  <c r="BB16" i="59" s="1"/>
  <c r="BB32" i="51"/>
  <c r="BB17" i="59" s="1"/>
  <c r="BB36" i="51"/>
  <c r="BA33" i="51"/>
  <c r="BA35" i="51" s="1"/>
  <c r="AZ43" i="51"/>
  <c r="AZ46" i="51" s="1"/>
  <c r="BA15" i="51"/>
  <c r="BA38" i="51"/>
  <c r="BA20" i="59" s="1"/>
  <c r="BA37" i="51"/>
  <c r="BA19" i="59" s="1"/>
  <c r="U44" i="51"/>
  <c r="W14" i="51"/>
  <c r="W13" i="59" s="1"/>
  <c r="W13" i="51"/>
  <c r="W12" i="59" s="1"/>
  <c r="V33" i="51"/>
  <c r="V35" i="51" s="1"/>
  <c r="X30" i="51"/>
  <c r="BC30" i="51"/>
  <c r="W32" i="51"/>
  <c r="W17" i="59" s="1"/>
  <c r="W34" i="51"/>
  <c r="W18" i="59" s="1"/>
  <c r="W31" i="51"/>
  <c r="W16" i="59" s="1"/>
  <c r="BB14" i="51"/>
  <c r="BB13" i="59" s="1"/>
  <c r="BB13" i="51"/>
  <c r="BB12" i="59" s="1"/>
  <c r="BB23" i="51"/>
  <c r="BB11" i="59" s="1"/>
  <c r="BB19" i="51"/>
  <c r="BB8" i="59" s="1"/>
  <c r="BB20" i="51"/>
  <c r="BB9" i="59" s="1"/>
  <c r="BB22" i="51"/>
  <c r="BB10" i="59" s="1"/>
  <c r="V17" i="51"/>
  <c r="BA21" i="51"/>
  <c r="CZ66" i="55" l="1"/>
  <c r="DI145" i="59"/>
  <c r="AQ152" i="59"/>
  <c r="N226" i="54"/>
  <c r="AU176" i="55" s="1"/>
  <c r="DG176" i="55" s="1"/>
  <c r="AQ151" i="59"/>
  <c r="DA4" i="57"/>
  <c r="L262" i="54"/>
  <c r="AS78" i="51" s="1"/>
  <c r="AL151" i="55"/>
  <c r="CX151" i="55" s="1"/>
  <c r="BX24" i="57"/>
  <c r="CX6" i="57"/>
  <c r="N225" i="54"/>
  <c r="N228" i="54"/>
  <c r="AU178" i="55" s="1"/>
  <c r="DG178" i="55" s="1"/>
  <c r="CY35" i="57"/>
  <c r="BB83" i="59"/>
  <c r="BB110" i="59"/>
  <c r="BB40" i="59"/>
  <c r="BB66" i="59"/>
  <c r="W40" i="59"/>
  <c r="W83" i="59"/>
  <c r="W66" i="59"/>
  <c r="W110" i="59"/>
  <c r="V73" i="59"/>
  <c r="V117" i="59"/>
  <c r="V47" i="59"/>
  <c r="V90" i="59"/>
  <c r="BZ101" i="59"/>
  <c r="BZ153" i="59"/>
  <c r="BY51" i="59"/>
  <c r="BY147" i="59"/>
  <c r="AZ117" i="59"/>
  <c r="AZ47" i="59"/>
  <c r="AZ90" i="59"/>
  <c r="AZ73" i="59"/>
  <c r="AZ75" i="59" s="1"/>
  <c r="DA147" i="59"/>
  <c r="BB84" i="59"/>
  <c r="BB41" i="59"/>
  <c r="BB67" i="59"/>
  <c r="BB111" i="59"/>
  <c r="BB45" i="59"/>
  <c r="BB88" i="59"/>
  <c r="BB115" i="59"/>
  <c r="BB71" i="59"/>
  <c r="V74" i="59"/>
  <c r="V75" i="59" s="1"/>
  <c r="V91" i="59"/>
  <c r="V48" i="59"/>
  <c r="V118" i="59"/>
  <c r="W84" i="59"/>
  <c r="W111" i="59"/>
  <c r="W41" i="59"/>
  <c r="W67" i="59"/>
  <c r="W44" i="59"/>
  <c r="W87" i="59"/>
  <c r="W114" i="59"/>
  <c r="W70" i="59"/>
  <c r="BB87" i="59"/>
  <c r="BB114" i="59"/>
  <c r="BB44" i="59"/>
  <c r="BB70" i="59"/>
  <c r="K101" i="59"/>
  <c r="K153" i="59"/>
  <c r="CX58" i="59"/>
  <c r="W89" i="59"/>
  <c r="W116" i="59"/>
  <c r="W46" i="59"/>
  <c r="W72" i="59"/>
  <c r="BA117" i="59"/>
  <c r="BA47" i="59"/>
  <c r="BA73" i="59"/>
  <c r="BA90" i="59"/>
  <c r="BB46" i="59"/>
  <c r="BB89" i="59"/>
  <c r="BB116" i="59"/>
  <c r="BB72" i="59"/>
  <c r="AQ101" i="59"/>
  <c r="AQ153" i="59"/>
  <c r="BW20" i="57"/>
  <c r="BW149" i="59" s="1"/>
  <c r="BW155" i="59" s="1"/>
  <c r="W88" i="59"/>
  <c r="W115" i="59"/>
  <c r="W45" i="59"/>
  <c r="W71" i="59"/>
  <c r="BZ24" i="59"/>
  <c r="J51" i="59"/>
  <c r="J147" i="59"/>
  <c r="DA102" i="59"/>
  <c r="BA74" i="59"/>
  <c r="BA48" i="59"/>
  <c r="BA91" i="59"/>
  <c r="BA118" i="59"/>
  <c r="BB85" i="59"/>
  <c r="BB42" i="59"/>
  <c r="BB68" i="59"/>
  <c r="BB112" i="59"/>
  <c r="W85" i="59"/>
  <c r="W112" i="59"/>
  <c r="W42" i="59"/>
  <c r="W68" i="59"/>
  <c r="BB113" i="59"/>
  <c r="BB43" i="59"/>
  <c r="BB69" i="59"/>
  <c r="BB86" i="59"/>
  <c r="K51" i="59"/>
  <c r="K147" i="59"/>
  <c r="AW145" i="59"/>
  <c r="DA58" i="59"/>
  <c r="DA148" i="59"/>
  <c r="W86" i="59"/>
  <c r="W113" i="59"/>
  <c r="W43" i="59"/>
  <c r="W69" i="59"/>
  <c r="AP101" i="59"/>
  <c r="AP153" i="59"/>
  <c r="P230" i="53"/>
  <c r="Q180" i="55" s="1"/>
  <c r="CW128" i="59"/>
  <c r="P227" i="53"/>
  <c r="Q177" i="55" s="1"/>
  <c r="O229" i="53"/>
  <c r="P179" i="55" s="1"/>
  <c r="L11" i="58"/>
  <c r="L6" i="58"/>
  <c r="P229" i="53"/>
  <c r="Q179" i="55" s="1"/>
  <c r="O225" i="53"/>
  <c r="BW135" i="55"/>
  <c r="BX25" i="57"/>
  <c r="BX15" i="57"/>
  <c r="DA128" i="59"/>
  <c r="DB50" i="59"/>
  <c r="DB93" i="59"/>
  <c r="DB121" i="59"/>
  <c r="DB31" i="59"/>
  <c r="DB154" i="59" s="1"/>
  <c r="DI49" i="59"/>
  <c r="DI92" i="59"/>
  <c r="DI120" i="59"/>
  <c r="N227" i="54"/>
  <c r="AU177" i="55" s="1"/>
  <c r="DG177" i="55" s="1"/>
  <c r="P225" i="53"/>
  <c r="CX102" i="59"/>
  <c r="CZ51" i="59"/>
  <c r="CZ122" i="59"/>
  <c r="CZ94" i="59"/>
  <c r="AO40" i="57"/>
  <c r="DH49" i="59"/>
  <c r="DH92" i="59"/>
  <c r="DH120" i="59"/>
  <c r="AQ11" i="58"/>
  <c r="AQ6" i="58"/>
  <c r="AK4" i="57"/>
  <c r="BX23" i="57"/>
  <c r="BX129" i="55"/>
  <c r="BX17" i="57" s="1"/>
  <c r="BX16" i="57"/>
  <c r="CX128" i="59"/>
  <c r="CZ52" i="59"/>
  <c r="CZ123" i="59"/>
  <c r="CZ95" i="59"/>
  <c r="CZ96" i="59"/>
  <c r="CW102" i="59"/>
  <c r="AV92" i="59"/>
  <c r="AV49" i="59"/>
  <c r="BY96" i="59"/>
  <c r="BY52" i="59"/>
  <c r="S49" i="59"/>
  <c r="L50" i="59"/>
  <c r="L31" i="59"/>
  <c r="L154" i="59" s="1"/>
  <c r="AP50" i="59"/>
  <c r="AP24" i="59"/>
  <c r="AP31" i="59"/>
  <c r="AP154" i="59" s="1"/>
  <c r="CA120" i="59"/>
  <c r="CA49" i="59"/>
  <c r="CA31" i="59"/>
  <c r="CA154" i="59" s="1"/>
  <c r="AW49" i="59"/>
  <c r="W80" i="59"/>
  <c r="W107" i="59"/>
  <c r="W37" i="59"/>
  <c r="W63" i="59"/>
  <c r="BB80" i="59"/>
  <c r="BB107" i="59"/>
  <c r="BB37" i="59"/>
  <c r="BB63" i="59"/>
  <c r="W82" i="59"/>
  <c r="W109" i="59"/>
  <c r="W39" i="59"/>
  <c r="W65" i="59"/>
  <c r="BB82" i="59"/>
  <c r="BB109" i="59"/>
  <c r="BB39" i="59"/>
  <c r="BB65" i="59"/>
  <c r="BB81" i="59"/>
  <c r="BB108" i="59"/>
  <c r="BB38" i="59"/>
  <c r="BB64" i="59"/>
  <c r="CZ89" i="55"/>
  <c r="BA75" i="59"/>
  <c r="BB79" i="59"/>
  <c r="BB106" i="59"/>
  <c r="BB36" i="59"/>
  <c r="BB62" i="59"/>
  <c r="W79" i="59"/>
  <c r="W36" i="59"/>
  <c r="W106" i="59"/>
  <c r="W62" i="59"/>
  <c r="W81" i="59"/>
  <c r="W108" i="59"/>
  <c r="W38" i="59"/>
  <c r="W64" i="59"/>
  <c r="AW92" i="59"/>
  <c r="AW120" i="59"/>
  <c r="AP93" i="59"/>
  <c r="AP121" i="59"/>
  <c r="CW39" i="57"/>
  <c r="CW9" i="57"/>
  <c r="CY17" i="57"/>
  <c r="CY27" i="57"/>
  <c r="BX26" i="57"/>
  <c r="CW34" i="57"/>
  <c r="CW4" i="57"/>
  <c r="DA35" i="57"/>
  <c r="DA5" i="57"/>
  <c r="CX26" i="57"/>
  <c r="CW35" i="57"/>
  <c r="CW5" i="57"/>
  <c r="DA37" i="57"/>
  <c r="DA7" i="57"/>
  <c r="CZ13" i="57"/>
  <c r="CZ23" i="57"/>
  <c r="CZ35" i="57"/>
  <c r="CZ5" i="57"/>
  <c r="CZ40" i="57"/>
  <c r="CZ10" i="57"/>
  <c r="AQ23" i="59"/>
  <c r="AQ146" i="59" s="1"/>
  <c r="DC10" i="55"/>
  <c r="DC23" i="59" s="1"/>
  <c r="DC146" i="59" s="1"/>
  <c r="CW27" i="57"/>
  <c r="CW17" i="57"/>
  <c r="DA36" i="57"/>
  <c r="DA6" i="57"/>
  <c r="CX37" i="57"/>
  <c r="CX7" i="57"/>
  <c r="CX35" i="57"/>
  <c r="CX5" i="57"/>
  <c r="CZ36" i="57"/>
  <c r="CZ6" i="57"/>
  <c r="CW28" i="57"/>
  <c r="CW18" i="57"/>
  <c r="CW36" i="57"/>
  <c r="CW6" i="57"/>
  <c r="CW135" i="55"/>
  <c r="CZ24" i="57"/>
  <c r="CZ14" i="57"/>
  <c r="AN128" i="55"/>
  <c r="CZ128" i="55" s="1"/>
  <c r="CZ105" i="55"/>
  <c r="CZ112" i="55" s="1"/>
  <c r="CZ29" i="57"/>
  <c r="CZ19" i="57"/>
  <c r="CY36" i="57"/>
  <c r="CY6" i="57"/>
  <c r="CZ25" i="57"/>
  <c r="CZ15" i="57"/>
  <c r="AL135" i="55"/>
  <c r="AL8" i="57" s="1"/>
  <c r="CX129" i="55"/>
  <c r="CX135" i="55" s="1"/>
  <c r="CY135" i="55"/>
  <c r="CY37" i="57"/>
  <c r="CY7" i="57"/>
  <c r="DB16" i="55"/>
  <c r="DB30" i="59" s="1"/>
  <c r="DB15" i="55"/>
  <c r="DB29" i="59" s="1"/>
  <c r="DB152" i="59" s="1"/>
  <c r="DB11" i="55"/>
  <c r="DB14" i="55"/>
  <c r="DB28" i="59" s="1"/>
  <c r="DB151" i="59" s="1"/>
  <c r="DB13" i="55"/>
  <c r="DB27" i="59" s="1"/>
  <c r="DB150" i="59" s="1"/>
  <c r="DB12" i="55"/>
  <c r="DB26" i="59" s="1"/>
  <c r="CZ43" i="55"/>
  <c r="CZ16" i="57"/>
  <c r="AO135" i="55"/>
  <c r="AO8" i="57" s="1"/>
  <c r="DA129" i="55"/>
  <c r="DA135" i="55" s="1"/>
  <c r="H5" i="57"/>
  <c r="O213" i="54"/>
  <c r="BW158" i="55"/>
  <c r="BW9" i="57" s="1"/>
  <c r="AO5" i="57"/>
  <c r="R208" i="53"/>
  <c r="AM5" i="57"/>
  <c r="P208" i="54"/>
  <c r="BY36" i="55"/>
  <c r="BV41" i="57"/>
  <c r="O214" i="54"/>
  <c r="O216" i="54" s="1"/>
  <c r="BY83" i="55"/>
  <c r="O215" i="54"/>
  <c r="AM4" i="57"/>
  <c r="BY174" i="55"/>
  <c r="BY29" i="57" s="1"/>
  <c r="BY37" i="55"/>
  <c r="BY13" i="57" s="1"/>
  <c r="BY60" i="55"/>
  <c r="BY82" i="55"/>
  <c r="BY106" i="55"/>
  <c r="BY16" i="57" s="1"/>
  <c r="BX89" i="55"/>
  <c r="BX36" i="57" s="1"/>
  <c r="AN89" i="55"/>
  <c r="AN36" i="57" s="1"/>
  <c r="AM10" i="57"/>
  <c r="BY105" i="55"/>
  <c r="J58" i="59"/>
  <c r="AM6" i="57"/>
  <c r="AM7" i="57"/>
  <c r="J102" i="59"/>
  <c r="S120" i="59"/>
  <c r="BX4" i="57"/>
  <c r="BX34" i="57"/>
  <c r="I7" i="57"/>
  <c r="I37" i="57"/>
  <c r="AL5" i="57"/>
  <c r="AL35" i="57"/>
  <c r="AN129" i="55"/>
  <c r="CZ129" i="55" s="1"/>
  <c r="AN26" i="57"/>
  <c r="AN16" i="57"/>
  <c r="H4" i="57"/>
  <c r="H34" i="57"/>
  <c r="AL4" i="57"/>
  <c r="AL34" i="57"/>
  <c r="I6" i="57"/>
  <c r="I36" i="57"/>
  <c r="AL6" i="57"/>
  <c r="AL36" i="57"/>
  <c r="BX10" i="57"/>
  <c r="BX40" i="57"/>
  <c r="AK28" i="57"/>
  <c r="AK30" i="57" s="1"/>
  <c r="AK18" i="57"/>
  <c r="AK20" i="57" s="1"/>
  <c r="AK149" i="59" s="1"/>
  <c r="AK155" i="59" s="1"/>
  <c r="H6" i="57"/>
  <c r="H36" i="57"/>
  <c r="BW8" i="57"/>
  <c r="BW38" i="57"/>
  <c r="AO7" i="57"/>
  <c r="AO37" i="57"/>
  <c r="H152" i="55"/>
  <c r="H158" i="55" s="1"/>
  <c r="H27" i="57"/>
  <c r="H17" i="57"/>
  <c r="G18" i="57"/>
  <c r="G20" i="57" s="1"/>
  <c r="G149" i="59" s="1"/>
  <c r="G155" i="59" s="1"/>
  <c r="G28" i="57"/>
  <c r="G30" i="57" s="1"/>
  <c r="BW28" i="57"/>
  <c r="BW30" i="57" s="1"/>
  <c r="AL7" i="57"/>
  <c r="AL37" i="57"/>
  <c r="H8" i="57"/>
  <c r="H38" i="57"/>
  <c r="I8" i="57"/>
  <c r="I38" i="57"/>
  <c r="BX6" i="57"/>
  <c r="I4" i="57"/>
  <c r="I34" i="57"/>
  <c r="AL10" i="57"/>
  <c r="AL40" i="57"/>
  <c r="J29" i="57"/>
  <c r="J19" i="57"/>
  <c r="H10" i="57"/>
  <c r="H40" i="57"/>
  <c r="H7" i="57"/>
  <c r="H37" i="57"/>
  <c r="AO152" i="55"/>
  <c r="DA152" i="55" s="1"/>
  <c r="DA158" i="55" s="1"/>
  <c r="AO27" i="57"/>
  <c r="AO17" i="57"/>
  <c r="AM151" i="55"/>
  <c r="CY151" i="55" s="1"/>
  <c r="AM135" i="55"/>
  <c r="I5" i="57"/>
  <c r="I35" i="57"/>
  <c r="AK158" i="55"/>
  <c r="L121" i="59"/>
  <c r="J23" i="57"/>
  <c r="J13" i="57"/>
  <c r="AO4" i="57"/>
  <c r="AO34" i="57"/>
  <c r="AN29" i="57"/>
  <c r="AN19" i="57"/>
  <c r="J129" i="55"/>
  <c r="J16" i="57"/>
  <c r="J26" i="57"/>
  <c r="BX7" i="57"/>
  <c r="BX37" i="57"/>
  <c r="I10" i="57"/>
  <c r="I40" i="57"/>
  <c r="AN13" i="57"/>
  <c r="AN23" i="57"/>
  <c r="J24" i="57"/>
  <c r="J14" i="57"/>
  <c r="AN24" i="57"/>
  <c r="AN14" i="57"/>
  <c r="AN25" i="57"/>
  <c r="AN15" i="57"/>
  <c r="J15" i="57"/>
  <c r="J25" i="57"/>
  <c r="AO6" i="57"/>
  <c r="AO36" i="57"/>
  <c r="J128" i="59"/>
  <c r="AM152" i="55"/>
  <c r="CY152" i="55" s="1"/>
  <c r="AM17" i="57"/>
  <c r="AM27" i="57"/>
  <c r="I152" i="55"/>
  <c r="I27" i="57"/>
  <c r="I17" i="57"/>
  <c r="G158" i="55"/>
  <c r="AL152" i="55"/>
  <c r="AL27" i="57"/>
  <c r="AL17" i="57"/>
  <c r="BZ98" i="59"/>
  <c r="BZ125" i="59"/>
  <c r="BZ99" i="59"/>
  <c r="BZ126" i="59"/>
  <c r="AP99" i="59"/>
  <c r="AP126" i="59"/>
  <c r="AQ99" i="59"/>
  <c r="AQ126" i="59"/>
  <c r="AQ97" i="59"/>
  <c r="AQ124" i="59"/>
  <c r="K99" i="59"/>
  <c r="K126" i="59"/>
  <c r="BY94" i="59"/>
  <c r="BY122" i="59"/>
  <c r="BX128" i="59"/>
  <c r="AQ98" i="59"/>
  <c r="AQ125" i="59"/>
  <c r="BZ100" i="59"/>
  <c r="BZ127" i="59"/>
  <c r="K97" i="59"/>
  <c r="K124" i="59"/>
  <c r="AP100" i="59"/>
  <c r="AP127" i="59"/>
  <c r="K98" i="59"/>
  <c r="K125" i="59"/>
  <c r="AP98" i="59"/>
  <c r="AP125" i="59"/>
  <c r="BY95" i="59"/>
  <c r="BY123" i="59"/>
  <c r="AQ100" i="59"/>
  <c r="AQ127" i="59"/>
  <c r="BZ97" i="59"/>
  <c r="BZ124" i="59"/>
  <c r="K100" i="59"/>
  <c r="K127" i="59"/>
  <c r="AP97" i="59"/>
  <c r="AP124" i="59"/>
  <c r="K10" i="58"/>
  <c r="L93" i="59"/>
  <c r="S92" i="59"/>
  <c r="CA92" i="59"/>
  <c r="BX58" i="59"/>
  <c r="BZ57" i="59"/>
  <c r="AQ57" i="59"/>
  <c r="BZ54" i="59"/>
  <c r="K57" i="59"/>
  <c r="AP54" i="59"/>
  <c r="K55" i="59"/>
  <c r="BZ55" i="59"/>
  <c r="AP57" i="59"/>
  <c r="AP55" i="59"/>
  <c r="BZ56" i="59"/>
  <c r="AP56" i="59"/>
  <c r="BX102" i="59"/>
  <c r="AQ56" i="59"/>
  <c r="AQ54" i="59"/>
  <c r="K56" i="59"/>
  <c r="K54" i="59"/>
  <c r="AQ55" i="59"/>
  <c r="AN102" i="59"/>
  <c r="K25" i="59"/>
  <c r="K148" i="59" s="1"/>
  <c r="AX9" i="55"/>
  <c r="R22" i="59"/>
  <c r="R145" i="59" s="1"/>
  <c r="AQ25" i="59"/>
  <c r="J43" i="55"/>
  <c r="BZ19" i="55"/>
  <c r="BZ105" i="55" s="1"/>
  <c r="BZ25" i="59"/>
  <c r="BZ148" i="59" s="1"/>
  <c r="AP25" i="59"/>
  <c r="AP148" i="59" s="1"/>
  <c r="L58" i="58"/>
  <c r="L5" i="58" s="1"/>
  <c r="N59" i="58"/>
  <c r="AS59" i="58"/>
  <c r="M59" i="58"/>
  <c r="AR59" i="58"/>
  <c r="AN181" i="55"/>
  <c r="J181" i="55"/>
  <c r="Q211" i="53"/>
  <c r="Q212" i="53" s="1"/>
  <c r="AN112" i="55"/>
  <c r="O210" i="54"/>
  <c r="O226" i="54" s="1"/>
  <c r="AV176" i="55" s="1"/>
  <c r="DH176" i="55" s="1"/>
  <c r="AV172" i="55"/>
  <c r="J151" i="55"/>
  <c r="J135" i="55"/>
  <c r="BX151" i="55"/>
  <c r="O200" i="53"/>
  <c r="O206" i="53" s="1"/>
  <c r="CB180" i="55" s="1"/>
  <c r="CB172" i="55"/>
  <c r="AN43" i="55"/>
  <c r="J66" i="55"/>
  <c r="J89" i="55"/>
  <c r="J112" i="55"/>
  <c r="AN66" i="55"/>
  <c r="BX66" i="55"/>
  <c r="AQ6" i="55"/>
  <c r="BZ6" i="55"/>
  <c r="AY70" i="51"/>
  <c r="K20" i="55"/>
  <c r="K19" i="55"/>
  <c r="BA25" i="51"/>
  <c r="N236" i="54"/>
  <c r="N239" i="54" s="1"/>
  <c r="K6" i="55"/>
  <c r="AP19" i="55"/>
  <c r="AP20" i="55"/>
  <c r="AQ20" i="55"/>
  <c r="AQ19" i="55"/>
  <c r="K7" i="55"/>
  <c r="BA44" i="51"/>
  <c r="CA13" i="55"/>
  <c r="CA27" i="59" s="1"/>
  <c r="CA150" i="59" s="1"/>
  <c r="CA15" i="55"/>
  <c r="CA29" i="59" s="1"/>
  <c r="CA152" i="59" s="1"/>
  <c r="CA12" i="55"/>
  <c r="CA26" i="59" s="1"/>
  <c r="CA53" i="59" s="1"/>
  <c r="CA16" i="55"/>
  <c r="CA30" i="59" s="1"/>
  <c r="CA11" i="55"/>
  <c r="CA14" i="55"/>
  <c r="CA28" i="59" s="1"/>
  <c r="CA151" i="59" s="1"/>
  <c r="N74" i="51"/>
  <c r="L256" i="54"/>
  <c r="AS74" i="51"/>
  <c r="AS76" i="51" s="1"/>
  <c r="AS10" i="55"/>
  <c r="Q207" i="54"/>
  <c r="Q211" i="54" s="1"/>
  <c r="AX4" i="55"/>
  <c r="L12" i="55"/>
  <c r="L26" i="59" s="1"/>
  <c r="L53" i="59" s="1"/>
  <c r="L11" i="55"/>
  <c r="L14" i="55"/>
  <c r="L28" i="59" s="1"/>
  <c r="L151" i="59" s="1"/>
  <c r="L16" i="55"/>
  <c r="L30" i="59" s="1"/>
  <c r="L15" i="55"/>
  <c r="L29" i="59" s="1"/>
  <c r="L152" i="59" s="1"/>
  <c r="L13" i="55"/>
  <c r="L27" i="59" s="1"/>
  <c r="L150" i="59" s="1"/>
  <c r="R207" i="54"/>
  <c r="R211" i="54" s="1"/>
  <c r="AY4" i="55"/>
  <c r="AY9" i="55"/>
  <c r="BZ7" i="55"/>
  <c r="AP7" i="55"/>
  <c r="K256" i="54"/>
  <c r="AR74" i="51"/>
  <c r="AR76" i="51" s="1"/>
  <c r="AR10" i="55"/>
  <c r="P239" i="53"/>
  <c r="P244" i="53" s="1"/>
  <c r="L256" i="53"/>
  <c r="M74" i="51"/>
  <c r="M76" i="51" s="1"/>
  <c r="M10" i="55"/>
  <c r="M23" i="59" s="1"/>
  <c r="M146" i="59" s="1"/>
  <c r="AQ7" i="55"/>
  <c r="AP6" i="55"/>
  <c r="N244" i="54"/>
  <c r="N245" i="54" s="1"/>
  <c r="N254" i="54" s="1"/>
  <c r="AU75" i="51" s="1"/>
  <c r="V59" i="51"/>
  <c r="U38" i="53"/>
  <c r="N219" i="54"/>
  <c r="N218" i="54"/>
  <c r="N261" i="53"/>
  <c r="M220" i="54"/>
  <c r="M224" i="54" s="1"/>
  <c r="M221" i="54"/>
  <c r="BA55" i="51"/>
  <c r="T39" i="54"/>
  <c r="Y45" i="54" s="1"/>
  <c r="U52" i="51"/>
  <c r="U54" i="51" s="1"/>
  <c r="T37" i="53"/>
  <c r="AF43" i="53" s="1"/>
  <c r="U48" i="51"/>
  <c r="T36" i="53"/>
  <c r="T42" i="53" s="1"/>
  <c r="P219" i="53"/>
  <c r="P218" i="53"/>
  <c r="R212" i="53"/>
  <c r="R215" i="53"/>
  <c r="R214" i="53"/>
  <c r="R213" i="53"/>
  <c r="O166" i="54"/>
  <c r="CB9" i="55" s="1"/>
  <c r="CB22" i="59" s="1"/>
  <c r="CB145" i="59" s="1"/>
  <c r="N199" i="54"/>
  <c r="N200" i="54" s="1"/>
  <c r="R209" i="53"/>
  <c r="R232" i="53"/>
  <c r="R233" i="53" s="1"/>
  <c r="P237" i="53"/>
  <c r="P238" i="53" s="1"/>
  <c r="M201" i="54"/>
  <c r="M204" i="54"/>
  <c r="M206" i="54"/>
  <c r="M203" i="54"/>
  <c r="M202" i="54"/>
  <c r="M205" i="54"/>
  <c r="BK50" i="51"/>
  <c r="AE107" i="53"/>
  <c r="AE108" i="53" s="1"/>
  <c r="AF53" i="51" s="1"/>
  <c r="BL53" i="51" s="1"/>
  <c r="AE113" i="53"/>
  <c r="AE114" i="53" s="1"/>
  <c r="AE109" i="53"/>
  <c r="AE110" i="53" s="1"/>
  <c r="AF62" i="51" s="1"/>
  <c r="BL62" i="51" s="1"/>
  <c r="AE111" i="53"/>
  <c r="AE112" i="53" s="1"/>
  <c r="AY61" i="51"/>
  <c r="S71" i="51"/>
  <c r="S73" i="51" s="1"/>
  <c r="S64" i="51"/>
  <c r="P213" i="54"/>
  <c r="P212" i="54"/>
  <c r="P215" i="54"/>
  <c r="P214" i="54"/>
  <c r="S70" i="51"/>
  <c r="BA48" i="51"/>
  <c r="T36" i="54"/>
  <c r="T42" i="54" s="1"/>
  <c r="BA59" i="51"/>
  <c r="T38" i="54"/>
  <c r="AX67" i="51"/>
  <c r="AX70" i="51" s="1"/>
  <c r="R70" i="51"/>
  <c r="S78" i="53"/>
  <c r="S80" i="53"/>
  <c r="S74" i="53"/>
  <c r="S75" i="53" s="1"/>
  <c r="T57" i="51" s="1"/>
  <c r="S72" i="53"/>
  <c r="S73" i="53" s="1"/>
  <c r="T49" i="51" s="1"/>
  <c r="AZ49" i="51" s="1"/>
  <c r="S47" i="53"/>
  <c r="AE109" i="54"/>
  <c r="AE110" i="54" s="1"/>
  <c r="AE107" i="54"/>
  <c r="AE108" i="54" s="1"/>
  <c r="AE111" i="54"/>
  <c r="AE112" i="54" s="1"/>
  <c r="AE113" i="54"/>
  <c r="AE114" i="54" s="1"/>
  <c r="O219" i="53"/>
  <c r="O218" i="53"/>
  <c r="P232" i="54"/>
  <c r="P233" i="54" s="1"/>
  <c r="P209" i="54"/>
  <c r="DI172" i="55" s="1"/>
  <c r="AZ48" i="51"/>
  <c r="S36" i="54"/>
  <c r="S42" i="54" s="1"/>
  <c r="X141" i="54"/>
  <c r="X142" i="54" s="1"/>
  <c r="X139" i="54"/>
  <c r="X140" i="54" s="1"/>
  <c r="X137" i="54"/>
  <c r="X138" i="54" s="1"/>
  <c r="N244" i="53"/>
  <c r="N245" i="53" s="1"/>
  <c r="N252" i="53" s="1"/>
  <c r="Q81" i="54"/>
  <c r="Q165" i="54"/>
  <c r="V52" i="51"/>
  <c r="V54" i="51" s="1"/>
  <c r="U37" i="53"/>
  <c r="AG43" i="53" s="1"/>
  <c r="O217" i="54"/>
  <c r="Q209" i="53"/>
  <c r="Q232" i="53"/>
  <c r="Q233" i="53" s="1"/>
  <c r="W160" i="54"/>
  <c r="O236" i="53"/>
  <c r="O239" i="53" s="1"/>
  <c r="M254" i="53"/>
  <c r="X160" i="54"/>
  <c r="O222" i="54"/>
  <c r="O234" i="54" s="1"/>
  <c r="O235" i="54" s="1"/>
  <c r="O223" i="54"/>
  <c r="AX61" i="51"/>
  <c r="R71" i="51"/>
  <c r="R73" i="51" s="1"/>
  <c r="R64" i="51"/>
  <c r="R81" i="54"/>
  <c r="R165" i="54"/>
  <c r="N221" i="53"/>
  <c r="N220" i="53"/>
  <c r="N224" i="53" s="1"/>
  <c r="Q215" i="53"/>
  <c r="M237" i="54"/>
  <c r="M238" i="54" s="1"/>
  <c r="M240" i="54" s="1"/>
  <c r="M239" i="54"/>
  <c r="V39" i="51"/>
  <c r="V65" i="51" s="1"/>
  <c r="U65" i="51"/>
  <c r="T40" i="53"/>
  <c r="Y46" i="53" s="1"/>
  <c r="Y159" i="53" s="1"/>
  <c r="X140" i="53"/>
  <c r="Y63" i="51" s="1"/>
  <c r="BE63" i="51" s="1"/>
  <c r="P199" i="53"/>
  <c r="Q166" i="53"/>
  <c r="X138" i="53"/>
  <c r="X142" i="53"/>
  <c r="Y69" i="51" s="1"/>
  <c r="BE69" i="51" s="1"/>
  <c r="X160" i="53"/>
  <c r="Y66" i="51" s="1"/>
  <c r="BE66" i="51" s="1"/>
  <c r="Y137" i="53"/>
  <c r="Z56" i="51" s="1"/>
  <c r="BF56" i="51" s="1"/>
  <c r="Y139" i="53"/>
  <c r="Y141" i="53"/>
  <c r="V55" i="51"/>
  <c r="U39" i="53"/>
  <c r="Z45" i="53" s="1"/>
  <c r="V25" i="51"/>
  <c r="BB29" i="51"/>
  <c r="BB15" i="51"/>
  <c r="BB17" i="51" s="1"/>
  <c r="W33" i="51"/>
  <c r="W35" i="51" s="1"/>
  <c r="BA39" i="51"/>
  <c r="W29" i="51"/>
  <c r="V44" i="51"/>
  <c r="W24" i="51"/>
  <c r="Y30" i="51"/>
  <c r="BD30" i="51"/>
  <c r="X32" i="51"/>
  <c r="X17" i="59" s="1"/>
  <c r="X34" i="51"/>
  <c r="X18" i="59" s="1"/>
  <c r="X31" i="51"/>
  <c r="X16" i="59" s="1"/>
  <c r="BA43" i="51"/>
  <c r="BA46" i="51" s="1"/>
  <c r="BA17" i="51"/>
  <c r="U46" i="51"/>
  <c r="V43" i="51"/>
  <c r="X36" i="51"/>
  <c r="BB33" i="51"/>
  <c r="BB35" i="51" s="1"/>
  <c r="X14" i="51"/>
  <c r="X13" i="59" s="1"/>
  <c r="X13" i="51"/>
  <c r="X12" i="59" s="1"/>
  <c r="BC27" i="51"/>
  <c r="BC14" i="59" s="1"/>
  <c r="BC28" i="51"/>
  <c r="BC15" i="59" s="1"/>
  <c r="BB24" i="51"/>
  <c r="W15" i="51"/>
  <c r="BC23" i="51"/>
  <c r="BC11" i="59" s="1"/>
  <c r="BC22" i="51"/>
  <c r="BC10" i="59" s="1"/>
  <c r="BC20" i="51"/>
  <c r="BC9" i="59" s="1"/>
  <c r="BC19" i="51"/>
  <c r="BC8" i="59" s="1"/>
  <c r="X20" i="51"/>
  <c r="X9" i="59" s="1"/>
  <c r="X23" i="51"/>
  <c r="X11" i="59" s="1"/>
  <c r="X22" i="51"/>
  <c r="X10" i="59" s="1"/>
  <c r="X19" i="51"/>
  <c r="X8" i="59" s="1"/>
  <c r="BD18" i="51"/>
  <c r="Y18" i="51"/>
  <c r="BD12" i="51"/>
  <c r="BC36" i="51"/>
  <c r="BB21" i="51"/>
  <c r="BC34" i="51"/>
  <c r="BC18" i="59" s="1"/>
  <c r="BC32" i="51"/>
  <c r="BC17" i="59" s="1"/>
  <c r="BC31" i="51"/>
  <c r="BC16" i="59" s="1"/>
  <c r="BB37" i="51"/>
  <c r="BB19" i="59" s="1"/>
  <c r="BB38" i="51"/>
  <c r="BB20" i="59" s="1"/>
  <c r="W37" i="51"/>
  <c r="W19" i="59" s="1"/>
  <c r="W38" i="51"/>
  <c r="W20" i="59" s="1"/>
  <c r="W21" i="51"/>
  <c r="Z10" i="51"/>
  <c r="BE10" i="51"/>
  <c r="Y12" i="51"/>
  <c r="BC13" i="51"/>
  <c r="BC12" i="59" s="1"/>
  <c r="BC14" i="51"/>
  <c r="BC13" i="59" s="1"/>
  <c r="Y26" i="51"/>
  <c r="X28" i="51"/>
  <c r="X15" i="59" s="1"/>
  <c r="X27" i="51"/>
  <c r="X14" i="59" s="1"/>
  <c r="BD26" i="51"/>
  <c r="AQ148" i="59" l="1"/>
  <c r="CA24" i="59"/>
  <c r="BC43" i="59"/>
  <c r="BC113" i="59"/>
  <c r="BC86" i="59"/>
  <c r="BC69" i="59"/>
  <c r="BC112" i="59"/>
  <c r="BC68" i="59"/>
  <c r="BC42" i="59"/>
  <c r="BC85" i="59"/>
  <c r="CZ58" i="59"/>
  <c r="X86" i="59"/>
  <c r="X113" i="59"/>
  <c r="X43" i="59"/>
  <c r="X69" i="59"/>
  <c r="X83" i="59"/>
  <c r="X110" i="59"/>
  <c r="X40" i="59"/>
  <c r="X66" i="59"/>
  <c r="X87" i="59"/>
  <c r="X114" i="59"/>
  <c r="X44" i="59"/>
  <c r="X70" i="59"/>
  <c r="L101" i="59"/>
  <c r="L153" i="59"/>
  <c r="CW20" i="57"/>
  <c r="CW149" i="59" s="1"/>
  <c r="CW155" i="59" s="1"/>
  <c r="BC46" i="59"/>
  <c r="BC89" i="59"/>
  <c r="BC116" i="59"/>
  <c r="BC72" i="59"/>
  <c r="W47" i="59"/>
  <c r="W73" i="59"/>
  <c r="W75" i="59" s="1"/>
  <c r="W90" i="59"/>
  <c r="W117" i="59"/>
  <c r="X111" i="59"/>
  <c r="X84" i="59"/>
  <c r="X41" i="59"/>
  <c r="X67" i="59"/>
  <c r="X89" i="59"/>
  <c r="X116" i="59"/>
  <c r="X46" i="59"/>
  <c r="X72" i="59"/>
  <c r="N237" i="54"/>
  <c r="N238" i="54" s="1"/>
  <c r="BY89" i="55"/>
  <c r="W48" i="59"/>
  <c r="W74" i="59"/>
  <c r="W91" i="59"/>
  <c r="W118" i="59"/>
  <c r="X68" i="59"/>
  <c r="X112" i="59"/>
  <c r="X85" i="59"/>
  <c r="X42" i="59"/>
  <c r="BB48" i="59"/>
  <c r="BB91" i="59"/>
  <c r="BB118" i="59"/>
  <c r="BB74" i="59"/>
  <c r="BB75" i="59" s="1"/>
  <c r="BC40" i="59"/>
  <c r="BC66" i="59"/>
  <c r="BC83" i="59"/>
  <c r="BC110" i="59"/>
  <c r="CA51" i="59"/>
  <c r="CA147" i="59"/>
  <c r="DB101" i="59"/>
  <c r="DB153" i="59"/>
  <c r="X45" i="59"/>
  <c r="X88" i="59"/>
  <c r="X115" i="59"/>
  <c r="X71" i="59"/>
  <c r="BB117" i="59"/>
  <c r="BB90" i="59"/>
  <c r="BB73" i="59"/>
  <c r="BB47" i="59"/>
  <c r="BC87" i="59"/>
  <c r="BC114" i="59"/>
  <c r="BC44" i="59"/>
  <c r="BC70" i="59"/>
  <c r="CA101" i="59"/>
  <c r="CA153" i="59"/>
  <c r="AP51" i="59"/>
  <c r="AP147" i="59"/>
  <c r="BZ51" i="59"/>
  <c r="BZ147" i="59"/>
  <c r="BC41" i="59"/>
  <c r="BC67" i="59"/>
  <c r="BC84" i="59"/>
  <c r="BC111" i="59"/>
  <c r="BC88" i="59"/>
  <c r="BC45" i="59"/>
  <c r="BC115" i="59"/>
  <c r="BC71" i="59"/>
  <c r="S145" i="59"/>
  <c r="BY129" i="55"/>
  <c r="BY17" i="57" s="1"/>
  <c r="DB56" i="59"/>
  <c r="DB126" i="59"/>
  <c r="DB99" i="59"/>
  <c r="L24" i="59"/>
  <c r="BX135" i="55"/>
  <c r="BX8" i="57" s="1"/>
  <c r="BY24" i="57"/>
  <c r="BY14" i="57"/>
  <c r="DB6" i="55"/>
  <c r="DB25" i="59"/>
  <c r="DB148" i="59" s="1"/>
  <c r="DB24" i="59"/>
  <c r="DB147" i="59" s="1"/>
  <c r="CW30" i="57"/>
  <c r="CZ102" i="59"/>
  <c r="DB98" i="59"/>
  <c r="DB125" i="59"/>
  <c r="DB55" i="59"/>
  <c r="Q214" i="53"/>
  <c r="Q216" i="53" s="1"/>
  <c r="DB100" i="59"/>
  <c r="DB57" i="59"/>
  <c r="DB127" i="59"/>
  <c r="DC50" i="59"/>
  <c r="DC93" i="59"/>
  <c r="DC121" i="59"/>
  <c r="DC31" i="59"/>
  <c r="DC154" i="59" s="1"/>
  <c r="CZ128" i="59"/>
  <c r="BY26" i="57"/>
  <c r="Q213" i="53"/>
  <c r="M11" i="58"/>
  <c r="M6" i="58"/>
  <c r="BX27" i="57"/>
  <c r="AR11" i="58"/>
  <c r="AR6" i="58"/>
  <c r="CZ26" i="57"/>
  <c r="O201" i="53"/>
  <c r="AS11" i="58"/>
  <c r="AS6" i="58"/>
  <c r="BX152" i="55"/>
  <c r="BX18" i="57" s="1"/>
  <c r="BX20" i="57" s="1"/>
  <c r="BX149" i="59" s="1"/>
  <c r="BX155" i="59" s="1"/>
  <c r="R208" i="54"/>
  <c r="O202" i="53"/>
  <c r="CB176" i="55" s="1"/>
  <c r="N11" i="58"/>
  <c r="N6" i="58"/>
  <c r="BY25" i="57"/>
  <c r="BY15" i="57"/>
  <c r="DB53" i="59"/>
  <c r="DB124" i="59"/>
  <c r="DB97" i="59"/>
  <c r="DB54" i="59"/>
  <c r="K96" i="59"/>
  <c r="K52" i="59"/>
  <c r="AP96" i="59"/>
  <c r="AP52" i="59"/>
  <c r="BZ96" i="59"/>
  <c r="BZ52" i="59"/>
  <c r="AQ50" i="59"/>
  <c r="AQ24" i="59"/>
  <c r="AQ31" i="59"/>
  <c r="AQ154" i="59" s="1"/>
  <c r="M50" i="59"/>
  <c r="M31" i="59"/>
  <c r="M154" i="59" s="1"/>
  <c r="AQ96" i="59"/>
  <c r="AQ52" i="59"/>
  <c r="CB120" i="59"/>
  <c r="CB49" i="59"/>
  <c r="CB31" i="59"/>
  <c r="CB154" i="59" s="1"/>
  <c r="R49" i="59"/>
  <c r="CZ135" i="55"/>
  <c r="CZ38" i="57" s="1"/>
  <c r="BC82" i="59"/>
  <c r="BC109" i="59"/>
  <c r="BC39" i="59"/>
  <c r="BC65" i="59"/>
  <c r="X36" i="59"/>
  <c r="X79" i="59"/>
  <c r="X106" i="59"/>
  <c r="X62" i="59"/>
  <c r="X38" i="59"/>
  <c r="X81" i="59"/>
  <c r="X108" i="59"/>
  <c r="X64" i="59"/>
  <c r="P240" i="53"/>
  <c r="P261" i="53" s="1"/>
  <c r="AL38" i="57"/>
  <c r="X82" i="59"/>
  <c r="X109" i="59"/>
  <c r="X39" i="59"/>
  <c r="X65" i="59"/>
  <c r="X80" i="59"/>
  <c r="X107" i="59"/>
  <c r="X37" i="59"/>
  <c r="X63" i="59"/>
  <c r="BC81" i="59"/>
  <c r="BC38" i="59"/>
  <c r="BC108" i="59"/>
  <c r="BC64" i="59"/>
  <c r="BC79" i="59"/>
  <c r="BC106" i="59"/>
  <c r="BC36" i="59"/>
  <c r="BC62" i="59"/>
  <c r="BC37" i="59"/>
  <c r="BC80" i="59"/>
  <c r="BC107" i="59"/>
  <c r="BC63" i="59"/>
  <c r="DA39" i="57"/>
  <c r="DA9" i="57"/>
  <c r="DA38" i="57"/>
  <c r="DA8" i="57"/>
  <c r="CZ8" i="57"/>
  <c r="BY112" i="55"/>
  <c r="BW39" i="57"/>
  <c r="BW41" i="57" s="1"/>
  <c r="DB19" i="55"/>
  <c r="DB20" i="55"/>
  <c r="AY22" i="59"/>
  <c r="DK9" i="55"/>
  <c r="DK22" i="59" s="1"/>
  <c r="AX22" i="59"/>
  <c r="AX145" i="59" s="1"/>
  <c r="DJ9" i="55"/>
  <c r="DJ22" i="59" s="1"/>
  <c r="DJ145" i="59" s="1"/>
  <c r="CY28" i="57"/>
  <c r="CY30" i="57" s="1"/>
  <c r="CY18" i="57"/>
  <c r="CY20" i="57" s="1"/>
  <c r="CZ34" i="57"/>
  <c r="CZ4" i="57"/>
  <c r="CX38" i="57"/>
  <c r="CX8" i="57"/>
  <c r="AL158" i="55"/>
  <c r="AL9" i="57" s="1"/>
  <c r="CX152" i="55"/>
  <c r="CY158" i="55"/>
  <c r="CZ17" i="57"/>
  <c r="CZ27" i="57"/>
  <c r="CW38" i="57"/>
  <c r="CW8" i="57"/>
  <c r="DC15" i="55"/>
  <c r="DC29" i="59" s="1"/>
  <c r="DC152" i="59" s="1"/>
  <c r="DC14" i="55"/>
  <c r="DC28" i="59" s="1"/>
  <c r="DC151" i="59" s="1"/>
  <c r="DC13" i="55"/>
  <c r="DC27" i="59" s="1"/>
  <c r="DC150" i="59" s="1"/>
  <c r="DC11" i="55"/>
  <c r="DC16" i="55"/>
  <c r="DC30" i="59" s="1"/>
  <c r="DC12" i="55"/>
  <c r="DC26" i="59" s="1"/>
  <c r="AR23" i="59"/>
  <c r="AR146" i="59" s="1"/>
  <c r="DD10" i="55"/>
  <c r="DD23" i="59" s="1"/>
  <c r="DD146" i="59" s="1"/>
  <c r="AS23" i="59"/>
  <c r="DE10" i="55"/>
  <c r="DE23" i="59" s="1"/>
  <c r="AN135" i="55"/>
  <c r="AN8" i="57" s="1"/>
  <c r="AO38" i="57"/>
  <c r="DB7" i="55"/>
  <c r="CY38" i="57"/>
  <c r="CY8" i="57"/>
  <c r="AQ121" i="59"/>
  <c r="AQ93" i="59"/>
  <c r="BY181" i="55"/>
  <c r="BY40" i="57" s="1"/>
  <c r="AN151" i="55"/>
  <c r="CZ151" i="55" s="1"/>
  <c r="DA18" i="57"/>
  <c r="DA28" i="57"/>
  <c r="DA17" i="57"/>
  <c r="DA27" i="57"/>
  <c r="CX27" i="57"/>
  <c r="CX17" i="57"/>
  <c r="CZ37" i="57"/>
  <c r="CZ7" i="57"/>
  <c r="BY23" i="57"/>
  <c r="BZ174" i="55"/>
  <c r="BY66" i="55"/>
  <c r="BY5" i="57" s="1"/>
  <c r="BZ60" i="55"/>
  <c r="BZ14" i="57" s="1"/>
  <c r="BZ36" i="55"/>
  <c r="BZ37" i="55"/>
  <c r="BZ13" i="57" s="1"/>
  <c r="BZ82" i="55"/>
  <c r="BZ83" i="55"/>
  <c r="BZ15" i="57" s="1"/>
  <c r="BZ175" i="55"/>
  <c r="BZ19" i="57" s="1"/>
  <c r="BZ106" i="55"/>
  <c r="BZ16" i="57" s="1"/>
  <c r="BZ59" i="55"/>
  <c r="BY128" i="55"/>
  <c r="BY27" i="57" s="1"/>
  <c r="BY43" i="55"/>
  <c r="BY4" i="57" s="1"/>
  <c r="AN6" i="57"/>
  <c r="K32" i="59"/>
  <c r="J10" i="57"/>
  <c r="J40" i="57"/>
  <c r="AM158" i="55"/>
  <c r="H9" i="57"/>
  <c r="H39" i="57"/>
  <c r="H41" i="57" s="1"/>
  <c r="BY152" i="55"/>
  <c r="BY18" i="57" s="1"/>
  <c r="BX5" i="57"/>
  <c r="BX35" i="57"/>
  <c r="J5" i="57"/>
  <c r="J35" i="57"/>
  <c r="BY7" i="57"/>
  <c r="BY37" i="57"/>
  <c r="AN10" i="57"/>
  <c r="AN40" i="57"/>
  <c r="I28" i="57"/>
  <c r="I30" i="57" s="1"/>
  <c r="I18" i="57"/>
  <c r="I20" i="57" s="1"/>
  <c r="M121" i="59"/>
  <c r="AN5" i="57"/>
  <c r="AN35" i="57"/>
  <c r="AN4" i="57"/>
  <c r="AN34" i="57"/>
  <c r="J152" i="55"/>
  <c r="J27" i="57"/>
  <c r="J17" i="57"/>
  <c r="I158" i="55"/>
  <c r="BY6" i="57"/>
  <c r="BY36" i="57"/>
  <c r="AK9" i="57"/>
  <c r="AK39" i="57"/>
  <c r="AN152" i="55"/>
  <c r="CZ152" i="55" s="1"/>
  <c r="AN27" i="57"/>
  <c r="AN17" i="57"/>
  <c r="J7" i="57"/>
  <c r="J37" i="57"/>
  <c r="BZ29" i="57"/>
  <c r="J4" i="57"/>
  <c r="J34" i="57"/>
  <c r="AM28" i="57"/>
  <c r="AM30" i="57" s="1"/>
  <c r="AM18" i="57"/>
  <c r="AM20" i="57" s="1"/>
  <c r="BZ129" i="55"/>
  <c r="BZ17" i="57" s="1"/>
  <c r="BZ26" i="57"/>
  <c r="AL28" i="57"/>
  <c r="AL30" i="57" s="1"/>
  <c r="AL18" i="57"/>
  <c r="AL20" i="57" s="1"/>
  <c r="AL149" i="59" s="1"/>
  <c r="AL155" i="59" s="1"/>
  <c r="AO28" i="57"/>
  <c r="AO30" i="57" s="1"/>
  <c r="AO18" i="57"/>
  <c r="AO20" i="57" s="1"/>
  <c r="J6" i="57"/>
  <c r="J36" i="57"/>
  <c r="G9" i="57"/>
  <c r="G39" i="57"/>
  <c r="G41" i="57" s="1"/>
  <c r="H28" i="57"/>
  <c r="H30" i="57" s="1"/>
  <c r="H18" i="57"/>
  <c r="H20" i="57" s="1"/>
  <c r="H149" i="59" s="1"/>
  <c r="H155" i="59" s="1"/>
  <c r="J8" i="57"/>
  <c r="J38" i="57"/>
  <c r="AN7" i="57"/>
  <c r="AN37" i="57"/>
  <c r="R120" i="59"/>
  <c r="AM38" i="57"/>
  <c r="AM8" i="57"/>
  <c r="AO158" i="55"/>
  <c r="K95" i="59"/>
  <c r="K123" i="59"/>
  <c r="CA97" i="59"/>
  <c r="CA124" i="59"/>
  <c r="L98" i="59"/>
  <c r="L125" i="59"/>
  <c r="CA100" i="59"/>
  <c r="CA127" i="59"/>
  <c r="AQ95" i="59"/>
  <c r="AQ123" i="59"/>
  <c r="BY128" i="59"/>
  <c r="L100" i="59"/>
  <c r="L127" i="59"/>
  <c r="CA98" i="59"/>
  <c r="CA125" i="59"/>
  <c r="AP94" i="59"/>
  <c r="AP122" i="59"/>
  <c r="L99" i="59"/>
  <c r="L126" i="59"/>
  <c r="BZ94" i="59"/>
  <c r="BZ122" i="59"/>
  <c r="AP95" i="59"/>
  <c r="AP123" i="59"/>
  <c r="CA99" i="59"/>
  <c r="CA126" i="59"/>
  <c r="BZ95" i="59"/>
  <c r="BZ123" i="59"/>
  <c r="L97" i="59"/>
  <c r="L124" i="59"/>
  <c r="K94" i="59"/>
  <c r="K122" i="59"/>
  <c r="L10" i="58"/>
  <c r="M93" i="59"/>
  <c r="CB92" i="59"/>
  <c r="R92" i="59"/>
  <c r="BY58" i="59"/>
  <c r="CA56" i="59"/>
  <c r="L54" i="59"/>
  <c r="L56" i="59"/>
  <c r="CA54" i="59"/>
  <c r="CA57" i="59"/>
  <c r="L55" i="59"/>
  <c r="L57" i="59"/>
  <c r="CA55" i="59"/>
  <c r="BY102" i="59"/>
  <c r="L25" i="59"/>
  <c r="L148" i="59" s="1"/>
  <c r="CA19" i="55"/>
  <c r="CA175" i="55" s="1"/>
  <c r="CA19" i="57" s="1"/>
  <c r="CA25" i="59"/>
  <c r="CA148" i="59" s="1"/>
  <c r="Q208" i="54"/>
  <c r="W25" i="51"/>
  <c r="AR58" i="58"/>
  <c r="AS58" i="58"/>
  <c r="O203" i="53"/>
  <c r="CB177" i="55" s="1"/>
  <c r="O205" i="53"/>
  <c r="CB179" i="55" s="1"/>
  <c r="O204" i="53"/>
  <c r="CB178" i="55" s="1"/>
  <c r="U40" i="53"/>
  <c r="Z46" i="53" s="1"/>
  <c r="Z159" i="53" s="1"/>
  <c r="Z160" i="53" s="1"/>
  <c r="AA66" i="51" s="1"/>
  <c r="BG66" i="51" s="1"/>
  <c r="O225" i="54"/>
  <c r="M58" i="58"/>
  <c r="M5" i="58" s="1"/>
  <c r="AP106" i="55"/>
  <c r="DB106" i="55" s="1"/>
  <c r="AP83" i="55"/>
  <c r="DB83" i="55" s="1"/>
  <c r="AP175" i="55"/>
  <c r="DB175" i="55" s="1"/>
  <c r="AP105" i="55"/>
  <c r="AP82" i="55"/>
  <c r="DB82" i="55" s="1"/>
  <c r="AP174" i="55"/>
  <c r="DB174" i="55" s="1"/>
  <c r="BZ181" i="55"/>
  <c r="O227" i="54"/>
  <c r="AV177" i="55" s="1"/>
  <c r="DH177" i="55" s="1"/>
  <c r="R210" i="53"/>
  <c r="S172" i="55"/>
  <c r="N240" i="54"/>
  <c r="N261" i="54" s="1"/>
  <c r="BY135" i="55"/>
  <c r="P200" i="53"/>
  <c r="P201" i="53" s="1"/>
  <c r="CC172" i="55"/>
  <c r="P210" i="54"/>
  <c r="P226" i="54" s="1"/>
  <c r="AW176" i="55" s="1"/>
  <c r="DI176" i="55" s="1"/>
  <c r="AW172" i="55"/>
  <c r="O228" i="54"/>
  <c r="AV178" i="55" s="1"/>
  <c r="DH178" i="55" s="1"/>
  <c r="O229" i="54"/>
  <c r="AV179" i="55" s="1"/>
  <c r="DH179" i="55" s="1"/>
  <c r="K105" i="55"/>
  <c r="K128" i="55" s="1"/>
  <c r="K82" i="55"/>
  <c r="K174" i="55"/>
  <c r="Q210" i="53"/>
  <c r="Q226" i="53" s="1"/>
  <c r="R176" i="55" s="1"/>
  <c r="R172" i="55"/>
  <c r="O230" i="54"/>
  <c r="AV180" i="55" s="1"/>
  <c r="DH180" i="55" s="1"/>
  <c r="AQ105" i="55"/>
  <c r="AQ82" i="55"/>
  <c r="DC82" i="55" s="1"/>
  <c r="AQ174" i="55"/>
  <c r="DC174" i="55" s="1"/>
  <c r="K106" i="55"/>
  <c r="K83" i="55"/>
  <c r="K175" i="55"/>
  <c r="AQ106" i="55"/>
  <c r="DC106" i="55" s="1"/>
  <c r="AQ83" i="55"/>
  <c r="DC83" i="55" s="1"/>
  <c r="AQ175" i="55"/>
  <c r="DC175" i="55" s="1"/>
  <c r="BZ128" i="55"/>
  <c r="BZ112" i="55"/>
  <c r="K36" i="55"/>
  <c r="K59" i="55"/>
  <c r="AQ59" i="55"/>
  <c r="DC59" i="55" s="1"/>
  <c r="K60" i="55"/>
  <c r="K37" i="55"/>
  <c r="AQ60" i="55"/>
  <c r="DC60" i="55" s="1"/>
  <c r="AP60" i="55"/>
  <c r="DB60" i="55" s="1"/>
  <c r="AP59" i="55"/>
  <c r="DB59" i="55" s="1"/>
  <c r="AP37" i="55"/>
  <c r="DB37" i="55" s="1"/>
  <c r="AP36" i="55"/>
  <c r="DB36" i="55" s="1"/>
  <c r="AQ36" i="55"/>
  <c r="DC36" i="55" s="1"/>
  <c r="AQ37" i="55"/>
  <c r="DC37" i="55" s="1"/>
  <c r="CA6" i="55"/>
  <c r="N262" i="54"/>
  <c r="AU78" i="51" s="1"/>
  <c r="AU77" i="51"/>
  <c r="N262" i="53"/>
  <c r="O78" i="51" s="1"/>
  <c r="O77" i="51"/>
  <c r="L19" i="55"/>
  <c r="L20" i="55"/>
  <c r="P245" i="53"/>
  <c r="P254" i="53" s="1"/>
  <c r="Q75" i="51" s="1"/>
  <c r="AR12" i="55"/>
  <c r="AR26" i="59" s="1"/>
  <c r="AR53" i="59" s="1"/>
  <c r="AR16" i="55"/>
  <c r="AR30" i="59" s="1"/>
  <c r="AR13" i="55"/>
  <c r="AR27" i="59" s="1"/>
  <c r="AR150" i="59" s="1"/>
  <c r="AR11" i="55"/>
  <c r="AR15" i="55"/>
  <c r="AR29" i="59" s="1"/>
  <c r="AR152" i="59" s="1"/>
  <c r="AR14" i="55"/>
  <c r="AR28" i="59" s="1"/>
  <c r="AR151" i="59" s="1"/>
  <c r="S207" i="53"/>
  <c r="S211" i="53" s="1"/>
  <c r="T4" i="55"/>
  <c r="L7" i="55"/>
  <c r="O74" i="51"/>
  <c r="CB13" i="55"/>
  <c r="CB27" i="59" s="1"/>
  <c r="CB150" i="59" s="1"/>
  <c r="CB14" i="55"/>
  <c r="CB28" i="59" s="1"/>
  <c r="CB151" i="59" s="1"/>
  <c r="CB16" i="55"/>
  <c r="CB30" i="59" s="1"/>
  <c r="CB12" i="55"/>
  <c r="CB26" i="59" s="1"/>
  <c r="CB53" i="59" s="1"/>
  <c r="CB11" i="55"/>
  <c r="CB15" i="55"/>
  <c r="CB29" i="59" s="1"/>
  <c r="CB152" i="59" s="1"/>
  <c r="AS11" i="55"/>
  <c r="AS14" i="55"/>
  <c r="AS28" i="59" s="1"/>
  <c r="AS151" i="59" s="1"/>
  <c r="AS12" i="55"/>
  <c r="AS26" i="59" s="1"/>
  <c r="AS53" i="59" s="1"/>
  <c r="AS16" i="55"/>
  <c r="AS30" i="59" s="1"/>
  <c r="AS13" i="55"/>
  <c r="AS27" i="59" s="1"/>
  <c r="AS15" i="55"/>
  <c r="AS29" i="59" s="1"/>
  <c r="M11" i="55"/>
  <c r="M16" i="55"/>
  <c r="M30" i="59" s="1"/>
  <c r="M14" i="55"/>
  <c r="M28" i="59" s="1"/>
  <c r="M151" i="59" s="1"/>
  <c r="M15" i="55"/>
  <c r="M29" i="59" s="1"/>
  <c r="M152" i="59" s="1"/>
  <c r="M13" i="55"/>
  <c r="M27" i="59" s="1"/>
  <c r="M150" i="59" s="1"/>
  <c r="M12" i="55"/>
  <c r="M26" i="59" s="1"/>
  <c r="M53" i="59" s="1"/>
  <c r="M256" i="53"/>
  <c r="N75" i="51"/>
  <c r="N76" i="51" s="1"/>
  <c r="L6" i="55"/>
  <c r="N10" i="55"/>
  <c r="N23" i="59" s="1"/>
  <c r="N146" i="59" s="1"/>
  <c r="CA7" i="55"/>
  <c r="N252" i="54"/>
  <c r="BB52" i="51"/>
  <c r="BB54" i="51" s="1"/>
  <c r="U37" i="54"/>
  <c r="AG43" i="54" s="1"/>
  <c r="AX71" i="51"/>
  <c r="AX73" i="51" s="1"/>
  <c r="AX64" i="51"/>
  <c r="AG113" i="53"/>
  <c r="AG114" i="53" s="1"/>
  <c r="AG107" i="53"/>
  <c r="AG108" i="53" s="1"/>
  <c r="AH53" i="51" s="1"/>
  <c r="AG109" i="53"/>
  <c r="AG110" i="53" s="1"/>
  <c r="AH62" i="51" s="1"/>
  <c r="BN62" i="51" s="1"/>
  <c r="AG111" i="53"/>
  <c r="AG112" i="53" s="1"/>
  <c r="R216" i="53"/>
  <c r="R217" i="53"/>
  <c r="N220" i="54"/>
  <c r="N224" i="54" s="1"/>
  <c r="N221" i="54"/>
  <c r="BB59" i="51"/>
  <c r="U38" i="54"/>
  <c r="N254" i="53"/>
  <c r="O220" i="53"/>
  <c r="O224" i="53" s="1"/>
  <c r="O221" i="53"/>
  <c r="R223" i="53"/>
  <c r="R222" i="53"/>
  <c r="R234" i="53" s="1"/>
  <c r="R235" i="53" s="1"/>
  <c r="AF107" i="53"/>
  <c r="AF108" i="53" s="1"/>
  <c r="AG53" i="51" s="1"/>
  <c r="BM53" i="51" s="1"/>
  <c r="AF111" i="53"/>
  <c r="AF112" i="53" s="1"/>
  <c r="AF113" i="53"/>
  <c r="AF114" i="53" s="1"/>
  <c r="AF109" i="53"/>
  <c r="AF110" i="53" s="1"/>
  <c r="AG62" i="51" s="1"/>
  <c r="BM62" i="51" s="1"/>
  <c r="V48" i="51"/>
  <c r="U36" i="53"/>
  <c r="U42" i="53" s="1"/>
  <c r="M261" i="54"/>
  <c r="M244" i="54"/>
  <c r="M245" i="54" s="1"/>
  <c r="M254" i="54" s="1"/>
  <c r="AT75" i="51" s="1"/>
  <c r="R213" i="54"/>
  <c r="R215" i="54"/>
  <c r="R214" i="54"/>
  <c r="R212" i="54"/>
  <c r="Q232" i="54"/>
  <c r="Q233" i="54" s="1"/>
  <c r="Q209" i="54"/>
  <c r="DJ172" i="55" s="1"/>
  <c r="AZ57" i="51"/>
  <c r="AZ58" i="51" s="1"/>
  <c r="AZ72" i="51" s="1"/>
  <c r="T58" i="51"/>
  <c r="T72" i="51" s="1"/>
  <c r="T80" i="54"/>
  <c r="T78" i="54"/>
  <c r="T79" i="54" s="1"/>
  <c r="T47" i="54"/>
  <c r="T74" i="54"/>
  <c r="T75" i="54" s="1"/>
  <c r="T72" i="54"/>
  <c r="T73" i="54" s="1"/>
  <c r="R225" i="53"/>
  <c r="R228" i="53"/>
  <c r="S178" i="55" s="1"/>
  <c r="R229" i="53"/>
  <c r="S179" i="55" s="1"/>
  <c r="R230" i="53"/>
  <c r="S180" i="55" s="1"/>
  <c r="R227" i="53"/>
  <c r="S177" i="55" s="1"/>
  <c r="R226" i="53"/>
  <c r="S176" i="55" s="1"/>
  <c r="S81" i="53"/>
  <c r="T61" i="51" s="1"/>
  <c r="S165" i="53"/>
  <c r="T9" i="55" s="1"/>
  <c r="T22" i="59" s="1"/>
  <c r="T145" i="59" s="1"/>
  <c r="Y137" i="54"/>
  <c r="Y138" i="54" s="1"/>
  <c r="Y139" i="54"/>
  <c r="Y140" i="54" s="1"/>
  <c r="Y141" i="54"/>
  <c r="Y142" i="54" s="1"/>
  <c r="W48" i="51"/>
  <c r="V36" i="53"/>
  <c r="V42" i="53" s="1"/>
  <c r="BA52" i="51"/>
  <c r="BA54" i="51" s="1"/>
  <c r="T37" i="54"/>
  <c r="AF43" i="54" s="1"/>
  <c r="R232" i="54"/>
  <c r="R233" i="54" s="1"/>
  <c r="R209" i="54"/>
  <c r="DK172" i="55" s="1"/>
  <c r="Q225" i="53"/>
  <c r="T67" i="51"/>
  <c r="S79" i="53"/>
  <c r="AY71" i="51"/>
  <c r="AY73" i="51" s="1"/>
  <c r="AY64" i="51"/>
  <c r="Q213" i="54"/>
  <c r="Q212" i="54"/>
  <c r="Q215" i="54"/>
  <c r="Q214" i="54"/>
  <c r="W59" i="51"/>
  <c r="V38" i="53"/>
  <c r="O237" i="53"/>
  <c r="O238" i="53" s="1"/>
  <c r="O240" i="53" s="1"/>
  <c r="O261" i="53" s="1"/>
  <c r="S80" i="54"/>
  <c r="S74" i="54"/>
  <c r="S75" i="54" s="1"/>
  <c r="S78" i="54"/>
  <c r="S79" i="54" s="1"/>
  <c r="S72" i="54"/>
  <c r="S73" i="54" s="1"/>
  <c r="S47" i="54"/>
  <c r="O236" i="54"/>
  <c r="O239" i="54" s="1"/>
  <c r="AF50" i="51"/>
  <c r="AF68" i="51"/>
  <c r="BL68" i="51" s="1"/>
  <c r="N202" i="54"/>
  <c r="N205" i="54"/>
  <c r="N201" i="54"/>
  <c r="N203" i="54"/>
  <c r="N206" i="54"/>
  <c r="N204" i="54"/>
  <c r="P220" i="53"/>
  <c r="P224" i="53" s="1"/>
  <c r="P221" i="53"/>
  <c r="BA65" i="51"/>
  <c r="T40" i="54"/>
  <c r="Y46" i="54" s="1"/>
  <c r="Y159" i="54" s="1"/>
  <c r="Q217" i="53"/>
  <c r="O244" i="53"/>
  <c r="AZ51" i="51"/>
  <c r="P217" i="54"/>
  <c r="P216" i="54"/>
  <c r="O199" i="54"/>
  <c r="O200" i="54" s="1"/>
  <c r="P166" i="54"/>
  <c r="CC9" i="55" s="1"/>
  <c r="CC22" i="59" s="1"/>
  <c r="CC145" i="59" s="1"/>
  <c r="BB55" i="51"/>
  <c r="U39" i="54"/>
  <c r="Z45" i="54" s="1"/>
  <c r="Q222" i="53"/>
  <c r="Q234" i="53" s="1"/>
  <c r="Q235" i="53" s="1"/>
  <c r="Q223" i="53"/>
  <c r="O218" i="54"/>
  <c r="O219" i="54"/>
  <c r="T51" i="51"/>
  <c r="P225" i="54"/>
  <c r="S162" i="53"/>
  <c r="P223" i="54"/>
  <c r="P222" i="54"/>
  <c r="P234" i="54" s="1"/>
  <c r="P235" i="54" s="1"/>
  <c r="T78" i="53"/>
  <c r="T80" i="53"/>
  <c r="T74" i="53"/>
  <c r="T75" i="53" s="1"/>
  <c r="U57" i="51" s="1"/>
  <c r="T72" i="53"/>
  <c r="T73" i="53" s="1"/>
  <c r="U49" i="51" s="1"/>
  <c r="BA49" i="51" s="1"/>
  <c r="BA51" i="51" s="1"/>
  <c r="T47" i="53"/>
  <c r="Y36" i="51"/>
  <c r="Y38" i="51" s="1"/>
  <c r="Y20" i="59" s="1"/>
  <c r="W55" i="51"/>
  <c r="V39" i="53"/>
  <c r="AA45" i="53" s="1"/>
  <c r="Y142" i="53"/>
  <c r="Z69" i="51" s="1"/>
  <c r="BF69" i="51" s="1"/>
  <c r="Y160" i="53"/>
  <c r="Z66" i="51" s="1"/>
  <c r="BF66" i="51" s="1"/>
  <c r="Y140" i="53"/>
  <c r="Z63" i="51" s="1"/>
  <c r="BF63" i="51" s="1"/>
  <c r="Q199" i="53"/>
  <c r="R166" i="53"/>
  <c r="Y138" i="53"/>
  <c r="Z139" i="53"/>
  <c r="Z137" i="53"/>
  <c r="AA56" i="51" s="1"/>
  <c r="BG56" i="51" s="1"/>
  <c r="Z141" i="53"/>
  <c r="W44" i="51"/>
  <c r="X21" i="51"/>
  <c r="BD36" i="51"/>
  <c r="BD37" i="51" s="1"/>
  <c r="BD19" i="59" s="1"/>
  <c r="V46" i="51"/>
  <c r="X29" i="51"/>
  <c r="BB44" i="51"/>
  <c r="BC33" i="51"/>
  <c r="BC35" i="51" s="1"/>
  <c r="X15" i="51"/>
  <c r="X17" i="51" s="1"/>
  <c r="BC15" i="51"/>
  <c r="BC17" i="51" s="1"/>
  <c r="BC29" i="51"/>
  <c r="W39" i="51"/>
  <c r="BB39" i="51"/>
  <c r="BB25" i="51"/>
  <c r="BC24" i="51"/>
  <c r="BD20" i="51"/>
  <c r="BD9" i="59" s="1"/>
  <c r="BD22" i="51"/>
  <c r="BD10" i="59" s="1"/>
  <c r="BD19" i="51"/>
  <c r="BD8" i="59" s="1"/>
  <c r="BD23" i="51"/>
  <c r="BD11" i="59" s="1"/>
  <c r="BD13" i="51"/>
  <c r="BD12" i="59" s="1"/>
  <c r="BD14" i="51"/>
  <c r="BD13" i="59" s="1"/>
  <c r="Y13" i="51"/>
  <c r="Y12" i="59" s="1"/>
  <c r="Y14" i="51"/>
  <c r="Y13" i="59" s="1"/>
  <c r="BD27" i="51"/>
  <c r="BD14" i="59" s="1"/>
  <c r="BD28" i="51"/>
  <c r="BD15" i="59" s="1"/>
  <c r="BE12" i="51"/>
  <c r="X24" i="51"/>
  <c r="X25" i="51" s="1"/>
  <c r="BC21" i="51"/>
  <c r="W17" i="51"/>
  <c r="W43" i="51"/>
  <c r="X37" i="51"/>
  <c r="X19" i="59" s="1"/>
  <c r="X38" i="51"/>
  <c r="X20" i="59" s="1"/>
  <c r="BD34" i="51"/>
  <c r="BD18" i="59" s="1"/>
  <c r="BD32" i="51"/>
  <c r="BD17" i="59" s="1"/>
  <c r="BD31" i="51"/>
  <c r="BD16" i="59" s="1"/>
  <c r="Y27" i="51"/>
  <c r="Y14" i="59" s="1"/>
  <c r="Z26" i="51"/>
  <c r="Y28" i="51"/>
  <c r="Y15" i="59" s="1"/>
  <c r="BE26" i="51"/>
  <c r="AA10" i="51"/>
  <c r="BF10" i="51"/>
  <c r="Z12" i="51"/>
  <c r="BC38" i="51"/>
  <c r="BC20" i="59" s="1"/>
  <c r="BC37" i="51"/>
  <c r="BC19" i="59" s="1"/>
  <c r="Z18" i="51"/>
  <c r="Y19" i="51"/>
  <c r="Y8" i="59" s="1"/>
  <c r="Y20" i="51"/>
  <c r="Y9" i="59" s="1"/>
  <c r="Y22" i="51"/>
  <c r="Y10" i="59" s="1"/>
  <c r="Y23" i="51"/>
  <c r="Y11" i="59" s="1"/>
  <c r="BE18" i="51"/>
  <c r="BB43" i="51"/>
  <c r="X33" i="51"/>
  <c r="X35" i="51" s="1"/>
  <c r="Z30" i="51"/>
  <c r="BE30" i="51"/>
  <c r="Y31" i="51"/>
  <c r="Y16" i="59" s="1"/>
  <c r="Y34" i="51"/>
  <c r="Y18" i="59" s="1"/>
  <c r="Y32" i="51"/>
  <c r="Y17" i="59" s="1"/>
  <c r="BY151" i="55" l="1"/>
  <c r="AY145" i="59"/>
  <c r="BZ24" i="57"/>
  <c r="AY92" i="59"/>
  <c r="BX38" i="57"/>
  <c r="AY120" i="59"/>
  <c r="AS150" i="59"/>
  <c r="AM149" i="59"/>
  <c r="AM155" i="59" s="1"/>
  <c r="DE146" i="59"/>
  <c r="I149" i="59"/>
  <c r="I155" i="59" s="1"/>
  <c r="CB24" i="59"/>
  <c r="DC43" i="55"/>
  <c r="BX158" i="55"/>
  <c r="AS146" i="59"/>
  <c r="Y46" i="59"/>
  <c r="Y89" i="59"/>
  <c r="Y116" i="59"/>
  <c r="Y72" i="59"/>
  <c r="Y44" i="59"/>
  <c r="Y87" i="59"/>
  <c r="Y114" i="59"/>
  <c r="Y70" i="59"/>
  <c r="X90" i="59"/>
  <c r="X73" i="59"/>
  <c r="X47" i="59"/>
  <c r="X117" i="59"/>
  <c r="Y67" i="59"/>
  <c r="Y84" i="59"/>
  <c r="Y111" i="59"/>
  <c r="Y41" i="59"/>
  <c r="Q230" i="53"/>
  <c r="R180" i="55" s="1"/>
  <c r="AS101" i="59"/>
  <c r="AS153" i="59"/>
  <c r="DC101" i="59"/>
  <c r="DC153" i="59"/>
  <c r="Y113" i="59"/>
  <c r="Y43" i="59"/>
  <c r="Y86" i="59"/>
  <c r="Y69" i="59"/>
  <c r="Y110" i="59"/>
  <c r="Y40" i="59"/>
  <c r="Y66" i="59"/>
  <c r="Y83" i="59"/>
  <c r="Y48" i="59"/>
  <c r="Y74" i="59"/>
  <c r="Y91" i="59"/>
  <c r="Y118" i="59"/>
  <c r="BY35" i="57"/>
  <c r="BD111" i="59"/>
  <c r="BD84" i="59"/>
  <c r="BD41" i="59"/>
  <c r="BD67" i="59"/>
  <c r="AR101" i="59"/>
  <c r="AR153" i="59"/>
  <c r="CB101" i="59"/>
  <c r="CB153" i="59"/>
  <c r="L51" i="59"/>
  <c r="L147" i="59"/>
  <c r="BD110" i="59"/>
  <c r="BD83" i="59"/>
  <c r="BD66" i="59"/>
  <c r="BD40" i="59"/>
  <c r="BD42" i="59"/>
  <c r="BD85" i="59"/>
  <c r="BD112" i="59"/>
  <c r="BD68" i="59"/>
  <c r="BC90" i="59"/>
  <c r="BC117" i="59"/>
  <c r="BC73" i="59"/>
  <c r="BC47" i="59"/>
  <c r="BD47" i="59"/>
  <c r="BD117" i="59"/>
  <c r="BD73" i="59"/>
  <c r="BD90" i="59"/>
  <c r="BC91" i="59"/>
  <c r="BC118" i="59"/>
  <c r="BC48" i="59"/>
  <c r="BC74" i="59"/>
  <c r="BD44" i="59"/>
  <c r="BD87" i="59"/>
  <c r="BD114" i="59"/>
  <c r="BD70" i="59"/>
  <c r="M101" i="59"/>
  <c r="M153" i="59"/>
  <c r="DK145" i="59"/>
  <c r="AQ51" i="59"/>
  <c r="AQ147" i="59"/>
  <c r="BY20" i="57"/>
  <c r="BY149" i="59" s="1"/>
  <c r="BY155" i="59" s="1"/>
  <c r="X48" i="59"/>
  <c r="X91" i="59"/>
  <c r="X118" i="59"/>
  <c r="X74" i="59"/>
  <c r="Y42" i="59"/>
  <c r="Y85" i="59"/>
  <c r="Y112" i="59"/>
  <c r="Y68" i="59"/>
  <c r="BD115" i="59"/>
  <c r="BD45" i="59"/>
  <c r="BD88" i="59"/>
  <c r="BD71" i="59"/>
  <c r="CB51" i="59"/>
  <c r="CB147" i="59"/>
  <c r="Y45" i="59"/>
  <c r="Y88" i="59"/>
  <c r="Y115" i="59"/>
  <c r="Y71" i="59"/>
  <c r="BD46" i="59"/>
  <c r="BD89" i="59"/>
  <c r="BD116" i="59"/>
  <c r="BD72" i="59"/>
  <c r="BD86" i="59"/>
  <c r="BD113" i="59"/>
  <c r="BD69" i="59"/>
  <c r="BD43" i="59"/>
  <c r="Q229" i="53"/>
  <c r="R179" i="55" s="1"/>
  <c r="AS152" i="59"/>
  <c r="BZ66" i="55"/>
  <c r="DC55" i="59"/>
  <c r="DC98" i="59"/>
  <c r="DC125" i="59"/>
  <c r="DC126" i="59"/>
  <c r="DC99" i="59"/>
  <c r="DC56" i="59"/>
  <c r="DB51" i="59"/>
  <c r="DB122" i="59"/>
  <c r="DB94" i="59"/>
  <c r="DC57" i="59"/>
  <c r="DC100" i="59"/>
  <c r="DC127" i="59"/>
  <c r="AN38" i="57"/>
  <c r="DD50" i="59"/>
  <c r="DD93" i="59"/>
  <c r="DD121" i="59"/>
  <c r="DD31" i="59"/>
  <c r="DD154" i="59" s="1"/>
  <c r="DK49" i="59"/>
  <c r="DK92" i="59"/>
  <c r="DK120" i="59"/>
  <c r="P206" i="53"/>
  <c r="CC180" i="55" s="1"/>
  <c r="P202" i="53"/>
  <c r="CC176" i="55" s="1"/>
  <c r="BN53" i="51"/>
  <c r="EI18" i="59"/>
  <c r="DA30" i="57"/>
  <c r="DE50" i="59"/>
  <c r="DE93" i="59"/>
  <c r="DE121" i="59"/>
  <c r="DE31" i="59"/>
  <c r="DE154" i="59" s="1"/>
  <c r="BX28" i="57"/>
  <c r="BX30" i="57" s="1"/>
  <c r="DB52" i="59"/>
  <c r="DB123" i="59"/>
  <c r="DB95" i="59"/>
  <c r="DB96" i="59"/>
  <c r="P204" i="53"/>
  <c r="CC178" i="55" s="1"/>
  <c r="DA20" i="57"/>
  <c r="DC53" i="59"/>
  <c r="DC54" i="59"/>
  <c r="DC124" i="59"/>
  <c r="DC97" i="59"/>
  <c r="P203" i="53"/>
  <c r="CC177" i="55" s="1"/>
  <c r="P205" i="53"/>
  <c r="CC179" i="55" s="1"/>
  <c r="AN158" i="55"/>
  <c r="BY10" i="57"/>
  <c r="DJ49" i="59"/>
  <c r="DJ92" i="59"/>
  <c r="DJ120" i="59"/>
  <c r="M24" i="59"/>
  <c r="DC6" i="55"/>
  <c r="DC25" i="59"/>
  <c r="DC148" i="59" s="1"/>
  <c r="DC24" i="59"/>
  <c r="DC147" i="59" s="1"/>
  <c r="BC75" i="59"/>
  <c r="AQ122" i="59"/>
  <c r="AQ94" i="59"/>
  <c r="AQ102" i="59" s="1"/>
  <c r="AX120" i="59"/>
  <c r="AX49" i="59"/>
  <c r="N50" i="59"/>
  <c r="N31" i="59"/>
  <c r="N154" i="59" s="1"/>
  <c r="AS50" i="59"/>
  <c r="AS24" i="59"/>
  <c r="AS31" i="59"/>
  <c r="AS154" i="59" s="1"/>
  <c r="AY49" i="59"/>
  <c r="AR93" i="59"/>
  <c r="AR50" i="59"/>
  <c r="AR31" i="59"/>
  <c r="AR154" i="59" s="1"/>
  <c r="AR24" i="59"/>
  <c r="CA96" i="59"/>
  <c r="CA52" i="59"/>
  <c r="CC120" i="59"/>
  <c r="CC49" i="59"/>
  <c r="CC31" i="59"/>
  <c r="CC154" i="59" s="1"/>
  <c r="T49" i="59"/>
  <c r="L96" i="59"/>
  <c r="L52" i="59"/>
  <c r="Y81" i="59"/>
  <c r="Y108" i="59"/>
  <c r="Y38" i="59"/>
  <c r="Y64" i="59"/>
  <c r="Y79" i="59"/>
  <c r="Y36" i="59"/>
  <c r="Y106" i="59"/>
  <c r="Y62" i="59"/>
  <c r="BD82" i="59"/>
  <c r="BD109" i="59"/>
  <c r="BD39" i="59"/>
  <c r="BD65" i="59"/>
  <c r="BD79" i="59"/>
  <c r="BD106" i="59"/>
  <c r="BD36" i="59"/>
  <c r="BD62" i="59"/>
  <c r="Y82" i="59"/>
  <c r="Y109" i="59"/>
  <c r="Y39" i="59"/>
  <c r="Y65" i="59"/>
  <c r="BD38" i="59"/>
  <c r="BD81" i="59"/>
  <c r="BD108" i="59"/>
  <c r="BD64" i="59"/>
  <c r="BD37" i="59"/>
  <c r="BD80" i="59"/>
  <c r="BD107" i="59"/>
  <c r="BD63" i="59"/>
  <c r="Y80" i="59"/>
  <c r="Y107" i="59"/>
  <c r="Y37" i="59"/>
  <c r="Y63" i="59"/>
  <c r="DB43" i="55"/>
  <c r="DB34" i="57" s="1"/>
  <c r="BZ23" i="57"/>
  <c r="X75" i="59"/>
  <c r="AS93" i="59"/>
  <c r="AS121" i="59"/>
  <c r="AR121" i="59"/>
  <c r="AX92" i="59"/>
  <c r="DB14" i="57"/>
  <c r="DB24" i="57"/>
  <c r="DE11" i="55"/>
  <c r="DE14" i="55"/>
  <c r="DE28" i="59" s="1"/>
  <c r="DE16" i="55"/>
  <c r="DE30" i="59" s="1"/>
  <c r="DE13" i="55"/>
  <c r="DE27" i="59" s="1"/>
  <c r="DE12" i="55"/>
  <c r="DE15" i="55"/>
  <c r="DE29" i="59" s="1"/>
  <c r="CX28" i="57"/>
  <c r="CX30" i="57" s="1"/>
  <c r="CX18" i="57"/>
  <c r="CX20" i="57" s="1"/>
  <c r="CX149" i="59" s="1"/>
  <c r="CX155" i="59" s="1"/>
  <c r="CX158" i="55"/>
  <c r="DC14" i="57"/>
  <c r="DC24" i="57"/>
  <c r="DC19" i="57"/>
  <c r="DC29" i="57"/>
  <c r="AQ128" i="55"/>
  <c r="DC128" i="55" s="1"/>
  <c r="DC105" i="55"/>
  <c r="DC112" i="55" s="1"/>
  <c r="DB25" i="57"/>
  <c r="DB15" i="57"/>
  <c r="DB29" i="57"/>
  <c r="DB19" i="57"/>
  <c r="DC23" i="57"/>
  <c r="DC13" i="57"/>
  <c r="DC15" i="57"/>
  <c r="DC25" i="57"/>
  <c r="DC89" i="55"/>
  <c r="DB16" i="57"/>
  <c r="DD12" i="55"/>
  <c r="DD26" i="59" s="1"/>
  <c r="DD15" i="55"/>
  <c r="DD29" i="59" s="1"/>
  <c r="DD152" i="59" s="1"/>
  <c r="DD14" i="55"/>
  <c r="DD28" i="59" s="1"/>
  <c r="DD151" i="59" s="1"/>
  <c r="DD11" i="55"/>
  <c r="DD16" i="55"/>
  <c r="DD30" i="59" s="1"/>
  <c r="DD13" i="55"/>
  <c r="DD27" i="59" s="1"/>
  <c r="DD150" i="59" s="1"/>
  <c r="DC16" i="57"/>
  <c r="DC34" i="57"/>
  <c r="DC4" i="57"/>
  <c r="DC66" i="55"/>
  <c r="AL39" i="57"/>
  <c r="DB181" i="55"/>
  <c r="BZ43" i="55"/>
  <c r="BZ4" i="57" s="1"/>
  <c r="DB13" i="57"/>
  <c r="DB23" i="57"/>
  <c r="DB89" i="55"/>
  <c r="BZ25" i="57"/>
  <c r="CZ158" i="55"/>
  <c r="DC19" i="55"/>
  <c r="DC20" i="55"/>
  <c r="DB66" i="55"/>
  <c r="DC181" i="55"/>
  <c r="AP128" i="55"/>
  <c r="DB128" i="55" s="1"/>
  <c r="DB105" i="55"/>
  <c r="DB112" i="55" s="1"/>
  <c r="CZ28" i="57"/>
  <c r="CZ30" i="57" s="1"/>
  <c r="CZ18" i="57"/>
  <c r="CZ20" i="57" s="1"/>
  <c r="CZ149" i="59" s="1"/>
  <c r="CZ155" i="59" s="1"/>
  <c r="DC7" i="55"/>
  <c r="CY39" i="57"/>
  <c r="CY9" i="57"/>
  <c r="BY34" i="57"/>
  <c r="BZ89" i="55"/>
  <c r="BZ6" i="57" s="1"/>
  <c r="Q228" i="53"/>
  <c r="R178" i="55" s="1"/>
  <c r="Q227" i="53"/>
  <c r="R177" i="55" s="1"/>
  <c r="BY158" i="55"/>
  <c r="BY39" i="57" s="1"/>
  <c r="CA82" i="55"/>
  <c r="K128" i="59"/>
  <c r="AP102" i="59"/>
  <c r="CA83" i="55"/>
  <c r="CA15" i="57" s="1"/>
  <c r="CA36" i="55"/>
  <c r="CA105" i="55"/>
  <c r="CA128" i="55" s="1"/>
  <c r="CA37" i="55"/>
  <c r="CA13" i="57" s="1"/>
  <c r="CA59" i="55"/>
  <c r="CA106" i="55"/>
  <c r="CA16" i="57" s="1"/>
  <c r="CA60" i="55"/>
  <c r="CA14" i="57" s="1"/>
  <c r="CA174" i="55"/>
  <c r="CA181" i="55" s="1"/>
  <c r="CA40" i="57" s="1"/>
  <c r="L32" i="59"/>
  <c r="N121" i="59"/>
  <c r="AP29" i="57"/>
  <c r="AP19" i="57"/>
  <c r="AO9" i="57"/>
  <c r="AO39" i="57"/>
  <c r="AQ23" i="57"/>
  <c r="AQ13" i="57"/>
  <c r="AP24" i="57"/>
  <c r="AP14" i="57"/>
  <c r="AP15" i="57"/>
  <c r="AP25" i="57"/>
  <c r="BY28" i="57"/>
  <c r="BY30" i="57" s="1"/>
  <c r="AQ14" i="57"/>
  <c r="AQ24" i="57"/>
  <c r="BZ7" i="57"/>
  <c r="BZ37" i="57"/>
  <c r="AP129" i="55"/>
  <c r="DB129" i="55" s="1"/>
  <c r="AP26" i="57"/>
  <c r="AP16" i="57"/>
  <c r="J28" i="57"/>
  <c r="J30" i="57" s="1"/>
  <c r="J18" i="57"/>
  <c r="J20" i="57" s="1"/>
  <c r="J149" i="59" s="1"/>
  <c r="J155" i="59" s="1"/>
  <c r="BZ5" i="57"/>
  <c r="BZ35" i="57"/>
  <c r="K29" i="57"/>
  <c r="K19" i="57"/>
  <c r="BZ10" i="57"/>
  <c r="BZ40" i="57"/>
  <c r="J158" i="55"/>
  <c r="K13" i="57"/>
  <c r="K23" i="57"/>
  <c r="AQ29" i="57"/>
  <c r="AQ19" i="57"/>
  <c r="K25" i="57"/>
  <c r="K15" i="57"/>
  <c r="AM39" i="57"/>
  <c r="AM9" i="57"/>
  <c r="T120" i="59"/>
  <c r="K24" i="57"/>
  <c r="K14" i="57"/>
  <c r="AQ25" i="57"/>
  <c r="AQ15" i="57"/>
  <c r="K129" i="55"/>
  <c r="K135" i="55" s="1"/>
  <c r="K26" i="57"/>
  <c r="K16" i="57"/>
  <c r="BY8" i="57"/>
  <c r="BY38" i="57"/>
  <c r="AN9" i="57"/>
  <c r="AN39" i="57"/>
  <c r="AP13" i="57"/>
  <c r="AP23" i="57"/>
  <c r="AQ129" i="55"/>
  <c r="DC129" i="55" s="1"/>
  <c r="AQ26" i="57"/>
  <c r="AQ16" i="57"/>
  <c r="BZ152" i="55"/>
  <c r="BZ18" i="57" s="1"/>
  <c r="BZ20" i="57" s="1"/>
  <c r="BZ149" i="59" s="1"/>
  <c r="BZ155" i="59" s="1"/>
  <c r="BZ27" i="57"/>
  <c r="AN18" i="57"/>
  <c r="AN20" i="57" s="1"/>
  <c r="AN149" i="59" s="1"/>
  <c r="AN155" i="59" s="1"/>
  <c r="AN28" i="57"/>
  <c r="AN30" i="57" s="1"/>
  <c r="I9" i="57"/>
  <c r="I39" i="57"/>
  <c r="I41" i="57" s="1"/>
  <c r="CB98" i="59"/>
  <c r="CB125" i="59"/>
  <c r="M98" i="59"/>
  <c r="M125" i="59"/>
  <c r="M99" i="59"/>
  <c r="M126" i="59"/>
  <c r="BZ128" i="59"/>
  <c r="AS97" i="59"/>
  <c r="AS124" i="59"/>
  <c r="AR98" i="59"/>
  <c r="AR125" i="59"/>
  <c r="L95" i="59"/>
  <c r="L123" i="59"/>
  <c r="M100" i="59"/>
  <c r="M127" i="59"/>
  <c r="AS99" i="59"/>
  <c r="AS126" i="59"/>
  <c r="AR97" i="59"/>
  <c r="AR124" i="59"/>
  <c r="CB100" i="59"/>
  <c r="CB127" i="59"/>
  <c r="CA94" i="59"/>
  <c r="CA122" i="59"/>
  <c r="CA95" i="59"/>
  <c r="CA123" i="59"/>
  <c r="AS100" i="59"/>
  <c r="AS127" i="59"/>
  <c r="CB97" i="59"/>
  <c r="CB124" i="59"/>
  <c r="AR99" i="59"/>
  <c r="AR126" i="59"/>
  <c r="AS98" i="59"/>
  <c r="AS125" i="59"/>
  <c r="AR100" i="59"/>
  <c r="AR127" i="59"/>
  <c r="M97" i="59"/>
  <c r="M124" i="59"/>
  <c r="CB99" i="59"/>
  <c r="CB126" i="59"/>
  <c r="L94" i="59"/>
  <c r="L122" i="59"/>
  <c r="M10" i="58"/>
  <c r="CC92" i="59"/>
  <c r="T92" i="59"/>
  <c r="N93" i="59"/>
  <c r="AS55" i="59"/>
  <c r="AR57" i="59"/>
  <c r="CB54" i="59"/>
  <c r="M54" i="59"/>
  <c r="CB56" i="59"/>
  <c r="M55" i="59"/>
  <c r="CB55" i="59"/>
  <c r="M57" i="59"/>
  <c r="AS56" i="59"/>
  <c r="M56" i="59"/>
  <c r="AR54" i="59"/>
  <c r="BZ58" i="59"/>
  <c r="BZ102" i="59"/>
  <c r="CB57" i="59"/>
  <c r="K102" i="59"/>
  <c r="AS57" i="59"/>
  <c r="AR56" i="59"/>
  <c r="AS54" i="59"/>
  <c r="AR55" i="59"/>
  <c r="K58" i="59"/>
  <c r="AP181" i="55"/>
  <c r="AR25" i="59"/>
  <c r="AR148" i="59" s="1"/>
  <c r="AS25" i="59"/>
  <c r="M25" i="59"/>
  <c r="M148" i="59" s="1"/>
  <c r="CB19" i="55"/>
  <c r="CB175" i="55" s="1"/>
  <c r="CB19" i="57" s="1"/>
  <c r="CB25" i="59"/>
  <c r="CB148" i="59" s="1"/>
  <c r="O59" i="58"/>
  <c r="S208" i="53"/>
  <c r="AU59" i="58"/>
  <c r="N58" i="58"/>
  <c r="N5" i="58" s="1"/>
  <c r="AQ181" i="55"/>
  <c r="BB46" i="51"/>
  <c r="W46" i="51"/>
  <c r="Y37" i="51"/>
  <c r="Y19" i="59" s="1"/>
  <c r="P228" i="54"/>
  <c r="AW178" i="55" s="1"/>
  <c r="DI178" i="55" s="1"/>
  <c r="P227" i="54"/>
  <c r="AW177" i="55" s="1"/>
  <c r="DI177" i="55" s="1"/>
  <c r="P229" i="54"/>
  <c r="AW179" i="55" s="1"/>
  <c r="DI179" i="55" s="1"/>
  <c r="P230" i="54"/>
  <c r="AW180" i="55" s="1"/>
  <c r="DI180" i="55" s="1"/>
  <c r="AQ43" i="55"/>
  <c r="L105" i="55"/>
  <c r="L128" i="55" s="1"/>
  <c r="L82" i="55"/>
  <c r="L174" i="55"/>
  <c r="R210" i="54"/>
  <c r="R230" i="54" s="1"/>
  <c r="AY180" i="55" s="1"/>
  <c r="DK180" i="55" s="1"/>
  <c r="AY172" i="55"/>
  <c r="Q210" i="54"/>
  <c r="AX172" i="55"/>
  <c r="AQ151" i="55"/>
  <c r="DC151" i="55" s="1"/>
  <c r="Q200" i="53"/>
  <c r="Q201" i="53" s="1"/>
  <c r="CD172" i="55"/>
  <c r="BZ151" i="55"/>
  <c r="BZ135" i="55"/>
  <c r="K181" i="55"/>
  <c r="L106" i="55"/>
  <c r="L83" i="55"/>
  <c r="L175" i="55"/>
  <c r="K151" i="55"/>
  <c r="K43" i="55"/>
  <c r="AP89" i="55"/>
  <c r="AP112" i="55"/>
  <c r="K112" i="55"/>
  <c r="AQ112" i="55"/>
  <c r="K89" i="55"/>
  <c r="L37" i="55"/>
  <c r="L60" i="55"/>
  <c r="L59" i="55"/>
  <c r="L36" i="55"/>
  <c r="AQ89" i="55"/>
  <c r="AP66" i="55"/>
  <c r="AP43" i="55"/>
  <c r="K66" i="55"/>
  <c r="AQ66" i="55"/>
  <c r="O262" i="53"/>
  <c r="P78" i="51" s="1"/>
  <c r="P77" i="51"/>
  <c r="M262" i="54"/>
  <c r="AT78" i="51" s="1"/>
  <c r="AT77" i="51"/>
  <c r="P262" i="53"/>
  <c r="Q78" i="51" s="1"/>
  <c r="Q77" i="51"/>
  <c r="P252" i="53"/>
  <c r="Q74" i="51" s="1"/>
  <c r="Q76" i="51" s="1"/>
  <c r="M7" i="55"/>
  <c r="AR7" i="55"/>
  <c r="AS6" i="55"/>
  <c r="CB7" i="55"/>
  <c r="T207" i="54"/>
  <c r="T208" i="54" s="1"/>
  <c r="BA4" i="55"/>
  <c r="N256" i="53"/>
  <c r="O75" i="51"/>
  <c r="O76" i="51" s="1"/>
  <c r="AR6" i="55"/>
  <c r="AR20" i="55"/>
  <c r="AR19" i="55"/>
  <c r="N256" i="54"/>
  <c r="AU74" i="51"/>
  <c r="AU76" i="51" s="1"/>
  <c r="AU10" i="55"/>
  <c r="CC11" i="55"/>
  <c r="CC15" i="55"/>
  <c r="CC29" i="59" s="1"/>
  <c r="CC152" i="59" s="1"/>
  <c r="CC14" i="55"/>
  <c r="CC28" i="59" s="1"/>
  <c r="CC151" i="59" s="1"/>
  <c r="CC16" i="55"/>
  <c r="CC30" i="59" s="1"/>
  <c r="CC12" i="55"/>
  <c r="CC26" i="59" s="1"/>
  <c r="CC53" i="59" s="1"/>
  <c r="CC13" i="55"/>
  <c r="CC27" i="59" s="1"/>
  <c r="CC150" i="59" s="1"/>
  <c r="N12" i="55"/>
  <c r="N26" i="59" s="1"/>
  <c r="N53" i="59" s="1"/>
  <c r="N16" i="55"/>
  <c r="N30" i="59" s="1"/>
  <c r="N11" i="55"/>
  <c r="N13" i="55"/>
  <c r="N27" i="59" s="1"/>
  <c r="N150" i="59" s="1"/>
  <c r="N15" i="55"/>
  <c r="N29" i="59" s="1"/>
  <c r="N152" i="59" s="1"/>
  <c r="N14" i="55"/>
  <c r="N28" i="59" s="1"/>
  <c r="N151" i="59" s="1"/>
  <c r="AS19" i="55"/>
  <c r="AS20" i="55"/>
  <c r="O10" i="55"/>
  <c r="O23" i="59" s="1"/>
  <c r="O146" i="59" s="1"/>
  <c r="T207" i="53"/>
  <c r="T211" i="53" s="1"/>
  <c r="U4" i="55"/>
  <c r="M19" i="55"/>
  <c r="M20" i="55"/>
  <c r="AZ9" i="55"/>
  <c r="CB6" i="55"/>
  <c r="S207" i="54"/>
  <c r="S208" i="54" s="1"/>
  <c r="AZ4" i="55"/>
  <c r="M6" i="55"/>
  <c r="AS7" i="55"/>
  <c r="M252" i="54"/>
  <c r="O237" i="54"/>
  <c r="O238" i="54" s="1"/>
  <c r="O240" i="54" s="1"/>
  <c r="O261" i="54" s="1"/>
  <c r="BB65" i="51"/>
  <c r="U40" i="54"/>
  <c r="Z46" i="54" s="1"/>
  <c r="Z159" i="54" s="1"/>
  <c r="T162" i="53"/>
  <c r="O205" i="54"/>
  <c r="O202" i="54"/>
  <c r="O201" i="54"/>
  <c r="O204" i="54"/>
  <c r="O206" i="54"/>
  <c r="O203" i="54"/>
  <c r="Q218" i="53"/>
  <c r="Q219" i="53"/>
  <c r="AZ67" i="51"/>
  <c r="AZ70" i="51" s="1"/>
  <c r="T70" i="51"/>
  <c r="AH68" i="51"/>
  <c r="BN68" i="51" s="1"/>
  <c r="AH50" i="51"/>
  <c r="O220" i="54"/>
  <c r="O224" i="54" s="1"/>
  <c r="O221" i="54"/>
  <c r="Y160" i="54"/>
  <c r="Q216" i="54"/>
  <c r="Q217" i="54"/>
  <c r="R217" i="54"/>
  <c r="R216" i="54"/>
  <c r="U51" i="51"/>
  <c r="BC59" i="51"/>
  <c r="V38" i="54"/>
  <c r="P219" i="54"/>
  <c r="P218" i="54"/>
  <c r="Q223" i="54"/>
  <c r="Q222" i="54"/>
  <c r="Q234" i="54" s="1"/>
  <c r="Q235" i="54" s="1"/>
  <c r="AF113" i="54"/>
  <c r="AF114" i="54" s="1"/>
  <c r="AF111" i="54"/>
  <c r="AF112" i="54" s="1"/>
  <c r="AF107" i="54"/>
  <c r="AF108" i="54" s="1"/>
  <c r="AF109" i="54"/>
  <c r="AF110" i="54" s="1"/>
  <c r="R222" i="54"/>
  <c r="R234" i="54" s="1"/>
  <c r="R235" i="54" s="1"/>
  <c r="R223" i="54"/>
  <c r="R219" i="53"/>
  <c r="R218" i="53"/>
  <c r="BC52" i="51"/>
  <c r="BC54" i="51" s="1"/>
  <c r="V37" i="54"/>
  <c r="BA57" i="51"/>
  <c r="BA58" i="51" s="1"/>
  <c r="BA72" i="51" s="1"/>
  <c r="U58" i="51"/>
  <c r="U72" i="51" s="1"/>
  <c r="S81" i="54"/>
  <c r="S165" i="54"/>
  <c r="S232" i="53"/>
  <c r="S233" i="53" s="1"/>
  <c r="S209" i="53"/>
  <c r="T81" i="54"/>
  <c r="T165" i="54"/>
  <c r="AG68" i="51"/>
  <c r="BM68" i="51" s="1"/>
  <c r="AG50" i="51"/>
  <c r="X52" i="51"/>
  <c r="X54" i="51" s="1"/>
  <c r="W37" i="53"/>
  <c r="T81" i="53"/>
  <c r="U61" i="51" s="1"/>
  <c r="T165" i="53"/>
  <c r="U9" i="55" s="1"/>
  <c r="BL50" i="51"/>
  <c r="V72" i="53"/>
  <c r="V73" i="53" s="1"/>
  <c r="W49" i="51" s="1"/>
  <c r="BC49" i="51" s="1"/>
  <c r="V74" i="53"/>
  <c r="V75" i="53" s="1"/>
  <c r="W57" i="51" s="1"/>
  <c r="BC57" i="51" s="1"/>
  <c r="V80" i="53"/>
  <c r="V78" i="53"/>
  <c r="V47" i="53"/>
  <c r="V162" i="53" s="1"/>
  <c r="AZ61" i="51"/>
  <c r="T71" i="51"/>
  <c r="T73" i="51" s="1"/>
  <c r="T64" i="51"/>
  <c r="BC55" i="51"/>
  <c r="V39" i="54"/>
  <c r="AA45" i="54" s="1"/>
  <c r="U67" i="51"/>
  <c r="T79" i="53"/>
  <c r="Z139" i="54"/>
  <c r="Z140" i="54" s="1"/>
  <c r="Z141" i="54"/>
  <c r="Z142" i="54" s="1"/>
  <c r="Z137" i="54"/>
  <c r="Z138" i="54" s="1"/>
  <c r="O245" i="53"/>
  <c r="O254" i="53" s="1"/>
  <c r="P75" i="51" s="1"/>
  <c r="O244" i="54"/>
  <c r="O245" i="54" s="1"/>
  <c r="O254" i="54" s="1"/>
  <c r="AV75" i="51" s="1"/>
  <c r="Q236" i="53"/>
  <c r="Q239" i="53" s="1"/>
  <c r="S215" i="53"/>
  <c r="S214" i="53"/>
  <c r="S213" i="53"/>
  <c r="S212" i="53"/>
  <c r="S162" i="54"/>
  <c r="T162" i="54"/>
  <c r="Q228" i="54"/>
  <c r="AX178" i="55" s="1"/>
  <c r="DJ178" i="55" s="1"/>
  <c r="Q229" i="54"/>
  <c r="AX179" i="55" s="1"/>
  <c r="DJ179" i="55" s="1"/>
  <c r="Q226" i="54"/>
  <c r="AX176" i="55" s="1"/>
  <c r="DJ176" i="55" s="1"/>
  <c r="Q230" i="54"/>
  <c r="AX180" i="55" s="1"/>
  <c r="DJ180" i="55" s="1"/>
  <c r="Q225" i="54"/>
  <c r="Q227" i="54"/>
  <c r="AX177" i="55" s="1"/>
  <c r="DJ177" i="55" s="1"/>
  <c r="P236" i="54"/>
  <c r="P239" i="54" s="1"/>
  <c r="AG111" i="54"/>
  <c r="AG112" i="54" s="1"/>
  <c r="AG109" i="54"/>
  <c r="AG110" i="54" s="1"/>
  <c r="AG113" i="54"/>
  <c r="AG114" i="54" s="1"/>
  <c r="AG107" i="54"/>
  <c r="AG108" i="54" s="1"/>
  <c r="W52" i="51"/>
  <c r="W54" i="51" s="1"/>
  <c r="V37" i="53"/>
  <c r="X48" i="51"/>
  <c r="W36" i="53"/>
  <c r="W42" i="53" s="1"/>
  <c r="BB48" i="51"/>
  <c r="U36" i="54"/>
  <c r="U42" i="54" s="1"/>
  <c r="X59" i="51"/>
  <c r="W38" i="53"/>
  <c r="Q166" i="54"/>
  <c r="CD9" i="55" s="1"/>
  <c r="CD22" i="59" s="1"/>
  <c r="CD145" i="59" s="1"/>
  <c r="P199" i="54"/>
  <c r="P200" i="54" s="1"/>
  <c r="R225" i="54"/>
  <c r="Q236" i="54"/>
  <c r="U78" i="53"/>
  <c r="U72" i="53"/>
  <c r="U73" i="53" s="1"/>
  <c r="V49" i="51" s="1"/>
  <c r="BB49" i="51" s="1"/>
  <c r="U80" i="53"/>
  <c r="U74" i="53"/>
  <c r="U75" i="53" s="1"/>
  <c r="V57" i="51" s="1"/>
  <c r="U47" i="53"/>
  <c r="U162" i="53" s="1"/>
  <c r="R236" i="53"/>
  <c r="R239" i="53" s="1"/>
  <c r="R199" i="53"/>
  <c r="S166" i="53"/>
  <c r="Q206" i="53"/>
  <c r="CD180" i="55" s="1"/>
  <c r="Q202" i="53"/>
  <c r="CD176" i="55" s="1"/>
  <c r="W65" i="51"/>
  <c r="V40" i="53"/>
  <c r="AA46" i="53" s="1"/>
  <c r="AA159" i="53" s="1"/>
  <c r="Z142" i="53"/>
  <c r="AA69" i="51" s="1"/>
  <c r="BG69" i="51" s="1"/>
  <c r="X55" i="51"/>
  <c r="W39" i="53"/>
  <c r="AB45" i="53" s="1"/>
  <c r="Z138" i="53"/>
  <c r="Z140" i="53"/>
  <c r="AA63" i="51" s="1"/>
  <c r="BG63" i="51" s="1"/>
  <c r="AA139" i="53"/>
  <c r="AA141" i="53"/>
  <c r="AA137" i="53"/>
  <c r="AB56" i="51" s="1"/>
  <c r="BH56" i="51" s="1"/>
  <c r="BC25" i="51"/>
  <c r="BD38" i="51"/>
  <c r="Y29" i="51"/>
  <c r="X44" i="51"/>
  <c r="BD29" i="51"/>
  <c r="Z36" i="51"/>
  <c r="Z38" i="51" s="1"/>
  <c r="Z20" i="59" s="1"/>
  <c r="BC43" i="51"/>
  <c r="BC44" i="51"/>
  <c r="Y15" i="51"/>
  <c r="Y17" i="51" s="1"/>
  <c r="AA30" i="51"/>
  <c r="BF30" i="51"/>
  <c r="Z34" i="51"/>
  <c r="Z18" i="59" s="1"/>
  <c r="Z32" i="51"/>
  <c r="Z17" i="59" s="1"/>
  <c r="Z31" i="51"/>
  <c r="Z16" i="59" s="1"/>
  <c r="BC39" i="51"/>
  <c r="X39" i="51"/>
  <c r="BE14" i="51"/>
  <c r="BE13" i="59" s="1"/>
  <c r="BE13" i="51"/>
  <c r="BE12" i="59" s="1"/>
  <c r="Z13" i="51"/>
  <c r="Z12" i="59" s="1"/>
  <c r="Z14" i="51"/>
  <c r="Z13" i="59" s="1"/>
  <c r="AA26" i="51"/>
  <c r="Z28" i="51"/>
  <c r="Z15" i="59" s="1"/>
  <c r="Z27" i="51"/>
  <c r="Z14" i="59" s="1"/>
  <c r="BF26" i="51"/>
  <c r="BD15" i="51"/>
  <c r="Y33" i="51"/>
  <c r="Y35" i="51" s="1"/>
  <c r="BE23" i="51"/>
  <c r="BE11" i="59" s="1"/>
  <c r="BE20" i="51"/>
  <c r="BE9" i="59" s="1"/>
  <c r="BE22" i="51"/>
  <c r="BE10" i="59" s="1"/>
  <c r="BE19" i="51"/>
  <c r="BE8" i="59" s="1"/>
  <c r="Y21" i="51"/>
  <c r="BF12" i="51"/>
  <c r="X43" i="51"/>
  <c r="BD21" i="51"/>
  <c r="BE34" i="51"/>
  <c r="BE18" i="59" s="1"/>
  <c r="BE32" i="51"/>
  <c r="BE17" i="59" s="1"/>
  <c r="BE31" i="51"/>
  <c r="BE16" i="59" s="1"/>
  <c r="Y24" i="51"/>
  <c r="Y44" i="51" s="1"/>
  <c r="Z22" i="51"/>
  <c r="Z10" i="59" s="1"/>
  <c r="AA18" i="51"/>
  <c r="Z19" i="51"/>
  <c r="Z8" i="59" s="1"/>
  <c r="BF18" i="51"/>
  <c r="Z23" i="51"/>
  <c r="Z11" i="59" s="1"/>
  <c r="Z20" i="51"/>
  <c r="Z9" i="59" s="1"/>
  <c r="AB10" i="51"/>
  <c r="BG10" i="51"/>
  <c r="AA12" i="51"/>
  <c r="BE28" i="51"/>
  <c r="BE15" i="59" s="1"/>
  <c r="BE27" i="51"/>
  <c r="BE14" i="59" s="1"/>
  <c r="BD33" i="51"/>
  <c r="BD35" i="51" s="1"/>
  <c r="BE36" i="51"/>
  <c r="BD24" i="51"/>
  <c r="BY9" i="57" l="1"/>
  <c r="Y39" i="51"/>
  <c r="CA23" i="57"/>
  <c r="L43" i="55"/>
  <c r="N24" i="59"/>
  <c r="AO149" i="59"/>
  <c r="AO155" i="59" s="1"/>
  <c r="BX39" i="57"/>
  <c r="BX41" i="57" s="1"/>
  <c r="BX9" i="57"/>
  <c r="AS148" i="59"/>
  <c r="DE151" i="59"/>
  <c r="CY149" i="59"/>
  <c r="CY155" i="59" s="1"/>
  <c r="N51" i="59"/>
  <c r="N147" i="59"/>
  <c r="Z43" i="59"/>
  <c r="Z86" i="59"/>
  <c r="Z113" i="59"/>
  <c r="Z69" i="59"/>
  <c r="Z87" i="59"/>
  <c r="Z114" i="59"/>
  <c r="Z44" i="59"/>
  <c r="Z70" i="59"/>
  <c r="DE150" i="59"/>
  <c r="M51" i="59"/>
  <c r="M147" i="59"/>
  <c r="BE44" i="59"/>
  <c r="BE87" i="59"/>
  <c r="BE114" i="59"/>
  <c r="BE70" i="59"/>
  <c r="Z45" i="59"/>
  <c r="Z88" i="59"/>
  <c r="Z115" i="59"/>
  <c r="Z71" i="59"/>
  <c r="Z118" i="59"/>
  <c r="Z74" i="59"/>
  <c r="Z48" i="59"/>
  <c r="Z91" i="59"/>
  <c r="DE101" i="59"/>
  <c r="DE153" i="59"/>
  <c r="DB58" i="59"/>
  <c r="Z111" i="59"/>
  <c r="Z41" i="59"/>
  <c r="Z84" i="59"/>
  <c r="Z67" i="59"/>
  <c r="Z40" i="59"/>
  <c r="Z83" i="59"/>
  <c r="Z110" i="59"/>
  <c r="Z66" i="59"/>
  <c r="N101" i="59"/>
  <c r="N153" i="59"/>
  <c r="BE45" i="59"/>
  <c r="BE88" i="59"/>
  <c r="BE115" i="59"/>
  <c r="BE71" i="59"/>
  <c r="BE116" i="59"/>
  <c r="BE46" i="59"/>
  <c r="BE89" i="59"/>
  <c r="BE72" i="59"/>
  <c r="BE40" i="59"/>
  <c r="BE66" i="59"/>
  <c r="BE83" i="59"/>
  <c r="BE110" i="59"/>
  <c r="CA112" i="55"/>
  <c r="AS51" i="59"/>
  <c r="AS147" i="59"/>
  <c r="DA149" i="59"/>
  <c r="DA155" i="59" s="1"/>
  <c r="DD101" i="59"/>
  <c r="DD153" i="59"/>
  <c r="BE42" i="59"/>
  <c r="BE68" i="59"/>
  <c r="BE85" i="59"/>
  <c r="BE112" i="59"/>
  <c r="BD39" i="51"/>
  <c r="BD20" i="59"/>
  <c r="DE152" i="59"/>
  <c r="AR51" i="59"/>
  <c r="AR147" i="59"/>
  <c r="Z46" i="59"/>
  <c r="Z89" i="59"/>
  <c r="Z116" i="59"/>
  <c r="Z72" i="59"/>
  <c r="BE84" i="59"/>
  <c r="BE111" i="59"/>
  <c r="BE41" i="59"/>
  <c r="BE67" i="59"/>
  <c r="BE86" i="59"/>
  <c r="BE113" i="59"/>
  <c r="BE43" i="59"/>
  <c r="BE69" i="59"/>
  <c r="Z112" i="59"/>
  <c r="Z68" i="59"/>
  <c r="Z42" i="59"/>
  <c r="Z85" i="59"/>
  <c r="CC101" i="59"/>
  <c r="CC153" i="59"/>
  <c r="Y73" i="59"/>
  <c r="Y90" i="59"/>
  <c r="Y47" i="59"/>
  <c r="Y117" i="59"/>
  <c r="DB4" i="57"/>
  <c r="DC26" i="57"/>
  <c r="DE25" i="59"/>
  <c r="DE24" i="59"/>
  <c r="DE147" i="59" s="1"/>
  <c r="CC24" i="59"/>
  <c r="Q204" i="53"/>
  <c r="CD178" i="55" s="1"/>
  <c r="AP151" i="55"/>
  <c r="DB151" i="55" s="1"/>
  <c r="BZ36" i="57"/>
  <c r="DD98" i="59"/>
  <c r="DD125" i="59"/>
  <c r="DD55" i="59"/>
  <c r="DE99" i="59"/>
  <c r="DE126" i="59"/>
  <c r="DE56" i="59"/>
  <c r="Q203" i="53"/>
  <c r="CD177" i="55" s="1"/>
  <c r="AQ135" i="55"/>
  <c r="AQ8" i="57" s="1"/>
  <c r="CB36" i="55"/>
  <c r="AU11" i="58"/>
  <c r="AU6" i="58"/>
  <c r="DD25" i="59"/>
  <c r="DD148" i="59" s="1"/>
  <c r="DD24" i="59"/>
  <c r="DD147" i="59" s="1"/>
  <c r="DE57" i="59"/>
  <c r="DE127" i="59"/>
  <c r="DE100" i="59"/>
  <c r="DD53" i="59"/>
  <c r="DD124" i="59"/>
  <c r="DD54" i="59"/>
  <c r="DD97" i="59"/>
  <c r="Q205" i="53"/>
  <c r="CD179" i="55" s="1"/>
  <c r="CB37" i="55"/>
  <c r="CB13" i="57" s="1"/>
  <c r="CA26" i="57"/>
  <c r="DD56" i="59"/>
  <c r="DD126" i="59"/>
  <c r="DD99" i="59"/>
  <c r="DE6" i="55"/>
  <c r="DE26" i="59"/>
  <c r="DC51" i="59"/>
  <c r="DC122" i="59"/>
  <c r="DC94" i="59"/>
  <c r="DB102" i="59"/>
  <c r="AP135" i="55"/>
  <c r="EI9" i="59"/>
  <c r="EN18" i="59"/>
  <c r="P256" i="53"/>
  <c r="BZ158" i="55"/>
  <c r="O11" i="58"/>
  <c r="O6" i="58"/>
  <c r="CA129" i="55"/>
  <c r="CA17" i="57" s="1"/>
  <c r="DD127" i="59"/>
  <c r="DD100" i="59"/>
  <c r="DD57" i="59"/>
  <c r="DE55" i="59"/>
  <c r="DE125" i="59"/>
  <c r="DE98" i="59"/>
  <c r="DC52" i="59"/>
  <c r="DC95" i="59"/>
  <c r="DC123" i="59"/>
  <c r="DC96" i="59"/>
  <c r="DB128" i="59"/>
  <c r="AS96" i="59"/>
  <c r="AS52" i="59"/>
  <c r="AR96" i="59"/>
  <c r="AR52" i="59"/>
  <c r="O50" i="59"/>
  <c r="O31" i="59"/>
  <c r="O154" i="59" s="1"/>
  <c r="CB96" i="59"/>
  <c r="CB52" i="59"/>
  <c r="CD120" i="59"/>
  <c r="CD49" i="59"/>
  <c r="CD31" i="59"/>
  <c r="CD154" i="59" s="1"/>
  <c r="M96" i="59"/>
  <c r="M52" i="59"/>
  <c r="Y75" i="59"/>
  <c r="Z79" i="59"/>
  <c r="Z106" i="59"/>
  <c r="Z36" i="59"/>
  <c r="Z62" i="59"/>
  <c r="Z81" i="59"/>
  <c r="Z108" i="59"/>
  <c r="Z38" i="59"/>
  <c r="Z64" i="59"/>
  <c r="BE79" i="59"/>
  <c r="BE106" i="59"/>
  <c r="BE36" i="59"/>
  <c r="BE62" i="59"/>
  <c r="BE38" i="59"/>
  <c r="BE81" i="59"/>
  <c r="BE108" i="59"/>
  <c r="BE64" i="59"/>
  <c r="BE80" i="59"/>
  <c r="BE107" i="59"/>
  <c r="BE37" i="59"/>
  <c r="BE63" i="59"/>
  <c r="Z37" i="59"/>
  <c r="Z80" i="59"/>
  <c r="Z107" i="59"/>
  <c r="Z63" i="59"/>
  <c r="Z82" i="59"/>
  <c r="Z39" i="59"/>
  <c r="Z109" i="59"/>
  <c r="Z65" i="59"/>
  <c r="BE39" i="59"/>
  <c r="BE82" i="59"/>
  <c r="BE109" i="59"/>
  <c r="BE65" i="59"/>
  <c r="DD6" i="55"/>
  <c r="DB35" i="57"/>
  <c r="DB5" i="57"/>
  <c r="DB40" i="57"/>
  <c r="DB10" i="57"/>
  <c r="DB26" i="57"/>
  <c r="DD7" i="55"/>
  <c r="DC36" i="57"/>
  <c r="DC6" i="57"/>
  <c r="CX39" i="57"/>
  <c r="CX9" i="57"/>
  <c r="DC27" i="57"/>
  <c r="DC17" i="57"/>
  <c r="CZ39" i="57"/>
  <c r="CZ9" i="57"/>
  <c r="DE19" i="55"/>
  <c r="DE20" i="55"/>
  <c r="BZ34" i="57"/>
  <c r="DB17" i="57"/>
  <c r="DB27" i="57"/>
  <c r="DD20" i="55"/>
  <c r="DD19" i="55"/>
  <c r="AU23" i="59"/>
  <c r="DG10" i="55"/>
  <c r="DG23" i="59" s="1"/>
  <c r="DB37" i="57"/>
  <c r="DB7" i="57"/>
  <c r="DB36" i="57"/>
  <c r="DB6" i="57"/>
  <c r="DC35" i="57"/>
  <c r="DC5" i="57"/>
  <c r="DC37" i="57"/>
  <c r="DC7" i="57"/>
  <c r="AZ22" i="59"/>
  <c r="AZ145" i="59" s="1"/>
  <c r="DL9" i="55"/>
  <c r="DL22" i="59" s="1"/>
  <c r="DL145" i="59" s="1"/>
  <c r="DB135" i="55"/>
  <c r="DC135" i="55"/>
  <c r="CA25" i="57"/>
  <c r="DC40" i="57"/>
  <c r="DC10" i="57"/>
  <c r="DE7" i="55"/>
  <c r="CA89" i="55"/>
  <c r="CA6" i="57" s="1"/>
  <c r="CA43" i="55"/>
  <c r="CA4" i="57" s="1"/>
  <c r="S211" i="54"/>
  <c r="S214" i="54" s="1"/>
  <c r="R227" i="54"/>
  <c r="AY177" i="55" s="1"/>
  <c r="DK177" i="55" s="1"/>
  <c r="T211" i="54"/>
  <c r="T214" i="54" s="1"/>
  <c r="CA10" i="57"/>
  <c r="CA29" i="57"/>
  <c r="R229" i="54"/>
  <c r="AY179" i="55" s="1"/>
  <c r="DK179" i="55" s="1"/>
  <c r="R226" i="54"/>
  <c r="AY176" i="55" s="1"/>
  <c r="DK176" i="55" s="1"/>
  <c r="R228" i="54"/>
  <c r="AY178" i="55" s="1"/>
  <c r="DK178" i="55" s="1"/>
  <c r="CB83" i="55"/>
  <c r="CB15" i="57" s="1"/>
  <c r="CA24" i="57"/>
  <c r="CA128" i="59"/>
  <c r="M32" i="59"/>
  <c r="BY41" i="57"/>
  <c r="L128" i="59"/>
  <c r="AQ6" i="57"/>
  <c r="AQ36" i="57"/>
  <c r="AQ7" i="57"/>
  <c r="AQ37" i="57"/>
  <c r="L29" i="57"/>
  <c r="L19" i="57"/>
  <c r="AP8" i="57"/>
  <c r="AP38" i="57"/>
  <c r="AP10" i="57"/>
  <c r="AP40" i="57"/>
  <c r="K7" i="57"/>
  <c r="K37" i="57"/>
  <c r="L25" i="57"/>
  <c r="L15" i="57"/>
  <c r="AQ4" i="57"/>
  <c r="AQ34" i="57"/>
  <c r="AQ10" i="57"/>
  <c r="AQ40" i="57"/>
  <c r="AP7" i="57"/>
  <c r="AP37" i="57"/>
  <c r="L129" i="55"/>
  <c r="L135" i="55" s="1"/>
  <c r="L26" i="57"/>
  <c r="L16" i="57"/>
  <c r="CA7" i="57"/>
  <c r="CA37" i="57"/>
  <c r="AQ152" i="55"/>
  <c r="DC152" i="55" s="1"/>
  <c r="AQ27" i="57"/>
  <c r="AQ17" i="57"/>
  <c r="L4" i="57"/>
  <c r="L34" i="57"/>
  <c r="L24" i="57"/>
  <c r="L14" i="57"/>
  <c r="AP6" i="57"/>
  <c r="AP36" i="57"/>
  <c r="CB82" i="55"/>
  <c r="CB89" i="55" s="1"/>
  <c r="K152" i="55"/>
  <c r="K158" i="55" s="1"/>
  <c r="K17" i="57"/>
  <c r="K27" i="57"/>
  <c r="AQ5" i="57"/>
  <c r="AQ35" i="57"/>
  <c r="L23" i="57"/>
  <c r="L13" i="57"/>
  <c r="K4" i="57"/>
  <c r="K34" i="57"/>
  <c r="BZ8" i="57"/>
  <c r="BZ38" i="57"/>
  <c r="J9" i="57"/>
  <c r="J39" i="57"/>
  <c r="J41" i="57" s="1"/>
  <c r="O121" i="59"/>
  <c r="K5" i="57"/>
  <c r="K35" i="57"/>
  <c r="CB59" i="55"/>
  <c r="CB174" i="55"/>
  <c r="CB181" i="55" s="1"/>
  <c r="CB105" i="55"/>
  <c r="CB128" i="55" s="1"/>
  <c r="BZ9" i="57"/>
  <c r="BZ39" i="57"/>
  <c r="BZ28" i="57"/>
  <c r="BZ30" i="57" s="1"/>
  <c r="AP4" i="57"/>
  <c r="AP34" i="57"/>
  <c r="CB60" i="55"/>
  <c r="K8" i="57"/>
  <c r="K38" i="57"/>
  <c r="CB106" i="55"/>
  <c r="AP5" i="57"/>
  <c r="AP35" i="57"/>
  <c r="K6" i="57"/>
  <c r="K36" i="57"/>
  <c r="K10" i="57"/>
  <c r="K40" i="57"/>
  <c r="CA152" i="55"/>
  <c r="CA18" i="57" s="1"/>
  <c r="CA27" i="57"/>
  <c r="AP152" i="55"/>
  <c r="AP17" i="57"/>
  <c r="AP27" i="57"/>
  <c r="M95" i="59"/>
  <c r="M123" i="59"/>
  <c r="AS94" i="59"/>
  <c r="AS122" i="59"/>
  <c r="CC98" i="59"/>
  <c r="CC125" i="59"/>
  <c r="CB94" i="59"/>
  <c r="CB122" i="59"/>
  <c r="AR94" i="59"/>
  <c r="AR122" i="59"/>
  <c r="AS95" i="59"/>
  <c r="AS102" i="59" s="1"/>
  <c r="AS123" i="59"/>
  <c r="CC97" i="59"/>
  <c r="CC124" i="59"/>
  <c r="N99" i="59"/>
  <c r="N126" i="59"/>
  <c r="CB95" i="59"/>
  <c r="CB123" i="59"/>
  <c r="AR95" i="59"/>
  <c r="AR123" i="59"/>
  <c r="N97" i="59"/>
  <c r="N124" i="59"/>
  <c r="N100" i="59"/>
  <c r="N127" i="59"/>
  <c r="CC99" i="59"/>
  <c r="CC126" i="59"/>
  <c r="N98" i="59"/>
  <c r="N125" i="59"/>
  <c r="CC100" i="59"/>
  <c r="CC127" i="59"/>
  <c r="M94" i="59"/>
  <c r="M122" i="59"/>
  <c r="N10" i="58"/>
  <c r="AZ92" i="59"/>
  <c r="CD92" i="59"/>
  <c r="O93" i="59"/>
  <c r="CA102" i="59"/>
  <c r="CA58" i="59"/>
  <c r="CC57" i="59"/>
  <c r="L58" i="59"/>
  <c r="N54" i="59"/>
  <c r="N55" i="59"/>
  <c r="CC55" i="59"/>
  <c r="CC54" i="59"/>
  <c r="N56" i="59"/>
  <c r="N57" i="59"/>
  <c r="CC56" i="59"/>
  <c r="L102" i="59"/>
  <c r="Q10" i="55"/>
  <c r="Q23" i="59" s="1"/>
  <c r="BA9" i="55"/>
  <c r="U22" i="59"/>
  <c r="U145" i="59" s="1"/>
  <c r="N25" i="59"/>
  <c r="N148" i="59" s="1"/>
  <c r="CC19" i="55"/>
  <c r="CC174" i="55" s="1"/>
  <c r="CC25" i="59"/>
  <c r="CC148" i="59" s="1"/>
  <c r="Q58" i="58"/>
  <c r="Q5" i="58" s="1"/>
  <c r="O58" i="58"/>
  <c r="O5" i="58" s="1"/>
  <c r="Q59" i="58"/>
  <c r="AU58" i="58"/>
  <c r="AT59" i="58"/>
  <c r="P59" i="58"/>
  <c r="BC58" i="51"/>
  <c r="Q239" i="54"/>
  <c r="Q237" i="53"/>
  <c r="Q238" i="53" s="1"/>
  <c r="Q240" i="53" s="1"/>
  <c r="Q261" i="53" s="1"/>
  <c r="T208" i="53"/>
  <c r="L181" i="55"/>
  <c r="AS105" i="55"/>
  <c r="AS82" i="55"/>
  <c r="DE82" i="55" s="1"/>
  <c r="AS174" i="55"/>
  <c r="DE174" i="55" s="1"/>
  <c r="AR105" i="55"/>
  <c r="AR82" i="55"/>
  <c r="DD82" i="55" s="1"/>
  <c r="AR174" i="55"/>
  <c r="DD174" i="55" s="1"/>
  <c r="AR106" i="55"/>
  <c r="DD106" i="55" s="1"/>
  <c r="AR83" i="55"/>
  <c r="DD83" i="55" s="1"/>
  <c r="AR175" i="55"/>
  <c r="DD175" i="55" s="1"/>
  <c r="M105" i="55"/>
  <c r="M128" i="55" s="1"/>
  <c r="M82" i="55"/>
  <c r="M174" i="55"/>
  <c r="L112" i="55"/>
  <c r="R200" i="53"/>
  <c r="R201" i="53" s="1"/>
  <c r="CE172" i="55"/>
  <c r="S210" i="53"/>
  <c r="S227" i="53" s="1"/>
  <c r="T177" i="55" s="1"/>
  <c r="T172" i="55"/>
  <c r="CA151" i="55"/>
  <c r="CA135" i="55"/>
  <c r="AS106" i="55"/>
  <c r="DE106" i="55" s="1"/>
  <c r="AS83" i="55"/>
  <c r="DE83" i="55" s="1"/>
  <c r="AS175" i="55"/>
  <c r="DE175" i="55" s="1"/>
  <c r="M106" i="55"/>
  <c r="M83" i="55"/>
  <c r="M175" i="55"/>
  <c r="L151" i="55"/>
  <c r="L66" i="55"/>
  <c r="AR59" i="55"/>
  <c r="DD59" i="55" s="1"/>
  <c r="AR60" i="55"/>
  <c r="DD60" i="55" s="1"/>
  <c r="L89" i="55"/>
  <c r="AS59" i="55"/>
  <c r="DE59" i="55" s="1"/>
  <c r="M37" i="55"/>
  <c r="M60" i="55"/>
  <c r="M59" i="55"/>
  <c r="M36" i="55"/>
  <c r="AS60" i="55"/>
  <c r="DE60" i="55" s="1"/>
  <c r="AS37" i="55"/>
  <c r="DE37" i="55" s="1"/>
  <c r="AS36" i="55"/>
  <c r="DE36" i="55" s="1"/>
  <c r="AR37" i="55"/>
  <c r="DD37" i="55" s="1"/>
  <c r="CA66" i="55"/>
  <c r="CB66" i="55"/>
  <c r="AR36" i="55"/>
  <c r="DD36" i="55" s="1"/>
  <c r="O262" i="54"/>
  <c r="AV78" i="51" s="1"/>
  <c r="AV77" i="51"/>
  <c r="Q262" i="53"/>
  <c r="R78" i="51" s="1"/>
  <c r="R77" i="51"/>
  <c r="CC7" i="55"/>
  <c r="N7" i="55"/>
  <c r="CD16" i="55"/>
  <c r="CD30" i="59" s="1"/>
  <c r="CD11" i="55"/>
  <c r="CD15" i="55"/>
  <c r="CD29" i="59" s="1"/>
  <c r="CD152" i="59" s="1"/>
  <c r="CD13" i="55"/>
  <c r="CD27" i="59" s="1"/>
  <c r="CD150" i="59" s="1"/>
  <c r="CD12" i="55"/>
  <c r="CD26" i="59" s="1"/>
  <c r="CD53" i="59" s="1"/>
  <c r="CD14" i="55"/>
  <c r="CD28" i="59" s="1"/>
  <c r="CD151" i="59" s="1"/>
  <c r="N20" i="55"/>
  <c r="N19" i="55"/>
  <c r="M256" i="54"/>
  <c r="AT74" i="51"/>
  <c r="AT76" i="51" s="1"/>
  <c r="AT10" i="55"/>
  <c r="O13" i="55"/>
  <c r="O27" i="59" s="1"/>
  <c r="O150" i="59" s="1"/>
  <c r="O12" i="55"/>
  <c r="O26" i="59" s="1"/>
  <c r="O53" i="59" s="1"/>
  <c r="O11" i="55"/>
  <c r="O16" i="55"/>
  <c r="O30" i="59" s="1"/>
  <c r="O15" i="55"/>
  <c r="O29" i="59" s="1"/>
  <c r="O152" i="59" s="1"/>
  <c r="O14" i="55"/>
  <c r="O28" i="59" s="1"/>
  <c r="O151" i="59" s="1"/>
  <c r="N6" i="55"/>
  <c r="V207" i="53"/>
  <c r="V208" i="53" s="1"/>
  <c r="W4" i="55"/>
  <c r="W51" i="51"/>
  <c r="AU15" i="55"/>
  <c r="AU29" i="59" s="1"/>
  <c r="AU14" i="55"/>
  <c r="AU28" i="59" s="1"/>
  <c r="AU12" i="55"/>
  <c r="AU26" i="59" s="1"/>
  <c r="AU53" i="59" s="1"/>
  <c r="AU11" i="55"/>
  <c r="AU16" i="55"/>
  <c r="AU30" i="59" s="1"/>
  <c r="AU13" i="55"/>
  <c r="AU27" i="59" s="1"/>
  <c r="U207" i="53"/>
  <c r="U211" i="53" s="1"/>
  <c r="V4" i="55"/>
  <c r="BC72" i="51"/>
  <c r="CC6" i="55"/>
  <c r="Y59" i="51"/>
  <c r="X38" i="53"/>
  <c r="U81" i="53"/>
  <c r="V61" i="51" s="1"/>
  <c r="U165" i="53"/>
  <c r="V9" i="55" s="1"/>
  <c r="V22" i="59" s="1"/>
  <c r="O252" i="53"/>
  <c r="AA137" i="54"/>
  <c r="AA138" i="54" s="1"/>
  <c r="AA141" i="54"/>
  <c r="AA142" i="54" s="1"/>
  <c r="AA139" i="54"/>
  <c r="AA140" i="54" s="1"/>
  <c r="V81" i="53"/>
  <c r="W61" i="51" s="1"/>
  <c r="V165" i="53"/>
  <c r="W9" i="55" s="1"/>
  <c r="W22" i="59" s="1"/>
  <c r="S226" i="53"/>
  <c r="T176" i="55" s="1"/>
  <c r="R221" i="53"/>
  <c r="R220" i="53"/>
  <c r="R224" i="53" s="1"/>
  <c r="P237" i="54"/>
  <c r="P238" i="54" s="1"/>
  <c r="P240" i="54" s="1"/>
  <c r="P261" i="54" s="1"/>
  <c r="BC65" i="51"/>
  <c r="V40" i="54"/>
  <c r="AA46" i="54" s="1"/>
  <c r="AA159" i="54" s="1"/>
  <c r="BD65" i="51"/>
  <c r="W40" i="54"/>
  <c r="AB46" i="54" s="1"/>
  <c r="AB159" i="54" s="1"/>
  <c r="U72" i="54"/>
  <c r="U73" i="54" s="1"/>
  <c r="U47" i="54"/>
  <c r="U162" i="54" s="1"/>
  <c r="U80" i="54"/>
  <c r="U78" i="54"/>
  <c r="U79" i="54" s="1"/>
  <c r="U74" i="54"/>
  <c r="U75" i="54" s="1"/>
  <c r="R219" i="54"/>
  <c r="R218" i="54"/>
  <c r="R236" i="54"/>
  <c r="V67" i="51"/>
  <c r="U79" i="53"/>
  <c r="BB51" i="51"/>
  <c r="S216" i="53"/>
  <c r="S217" i="53"/>
  <c r="S209" i="54"/>
  <c r="DL172" i="55" s="1"/>
  <c r="S232" i="54"/>
  <c r="S233" i="54" s="1"/>
  <c r="BC48" i="51"/>
  <c r="BC51" i="51" s="1"/>
  <c r="V36" i="54"/>
  <c r="V42" i="54" s="1"/>
  <c r="Q244" i="54"/>
  <c r="Q245" i="54" s="1"/>
  <c r="Q254" i="54" s="1"/>
  <c r="AX75" i="51" s="1"/>
  <c r="S213" i="54"/>
  <c r="S215" i="54"/>
  <c r="W80" i="53"/>
  <c r="W74" i="53"/>
  <c r="W75" i="53" s="1"/>
  <c r="X57" i="51" s="1"/>
  <c r="BD57" i="51" s="1"/>
  <c r="W78" i="53"/>
  <c r="W72" i="53"/>
  <c r="W73" i="53" s="1"/>
  <c r="X49" i="51" s="1"/>
  <c r="BD49" i="51" s="1"/>
  <c r="W47" i="53"/>
  <c r="P244" i="54"/>
  <c r="P245" i="54" s="1"/>
  <c r="P254" i="54" s="1"/>
  <c r="AW75" i="51" s="1"/>
  <c r="S223" i="53"/>
  <c r="S222" i="53"/>
  <c r="S234" i="53" s="1"/>
  <c r="S235" i="53" s="1"/>
  <c r="R237" i="53"/>
  <c r="R238" i="53" s="1"/>
  <c r="R240" i="53" s="1"/>
  <c r="R261" i="53" s="1"/>
  <c r="P220" i="54"/>
  <c r="P224" i="54" s="1"/>
  <c r="P221" i="54"/>
  <c r="R244" i="53"/>
  <c r="R245" i="53" s="1"/>
  <c r="R252" i="53" s="1"/>
  <c r="Q244" i="53"/>
  <c r="Q245" i="53" s="1"/>
  <c r="Q254" i="53" s="1"/>
  <c r="R75" i="51" s="1"/>
  <c r="AZ71" i="51"/>
  <c r="AZ73" i="51" s="1"/>
  <c r="AZ64" i="51"/>
  <c r="BM50" i="51"/>
  <c r="Q219" i="54"/>
  <c r="Q218" i="54"/>
  <c r="T215" i="53"/>
  <c r="T214" i="53"/>
  <c r="T213" i="53"/>
  <c r="T212" i="53"/>
  <c r="Y52" i="51"/>
  <c r="Y54" i="51" s="1"/>
  <c r="X37" i="53"/>
  <c r="P201" i="54"/>
  <c r="P204" i="54"/>
  <c r="P206" i="54"/>
  <c r="P203" i="54"/>
  <c r="P202" i="54"/>
  <c r="P205" i="54"/>
  <c r="Q237" i="54"/>
  <c r="Q238" i="54" s="1"/>
  <c r="BN50" i="51"/>
  <c r="Q220" i="53"/>
  <c r="Q224" i="53" s="1"/>
  <c r="Q221" i="53"/>
  <c r="BD55" i="51"/>
  <c r="W39" i="54"/>
  <c r="AB45" i="54" s="1"/>
  <c r="BD59" i="51"/>
  <c r="W38" i="54"/>
  <c r="Q199" i="54"/>
  <c r="Q200" i="54" s="1"/>
  <c r="R166" i="54"/>
  <c r="CE9" i="55" s="1"/>
  <c r="CE22" i="59" s="1"/>
  <c r="CE145" i="59" s="1"/>
  <c r="BA67" i="51"/>
  <c r="BA70" i="51" s="1"/>
  <c r="U70" i="51"/>
  <c r="T232" i="53"/>
  <c r="T233" i="53" s="1"/>
  <c r="T209" i="53"/>
  <c r="T232" i="54"/>
  <c r="T233" i="54" s="1"/>
  <c r="T209" i="54"/>
  <c r="DM172" i="55" s="1"/>
  <c r="Z160" i="54"/>
  <c r="BB57" i="51"/>
  <c r="BB58" i="51" s="1"/>
  <c r="BB72" i="51" s="1"/>
  <c r="V58" i="51"/>
  <c r="V72" i="51" s="1"/>
  <c r="O252" i="54"/>
  <c r="W58" i="51"/>
  <c r="W72" i="51" s="1"/>
  <c r="W67" i="51"/>
  <c r="BC67" i="51" s="1"/>
  <c r="V79" i="53"/>
  <c r="BA61" i="51"/>
  <c r="U71" i="51"/>
  <c r="U73" i="51" s="1"/>
  <c r="U64" i="51"/>
  <c r="V51" i="51"/>
  <c r="BD44" i="51"/>
  <c r="AA138" i="53"/>
  <c r="Y55" i="51"/>
  <c r="X39" i="53"/>
  <c r="AC45" i="53" s="1"/>
  <c r="X65" i="51"/>
  <c r="W40" i="53"/>
  <c r="AB46" i="53" s="1"/>
  <c r="AB159" i="53" s="1"/>
  <c r="AA142" i="53"/>
  <c r="AB69" i="51" s="1"/>
  <c r="BH69" i="51" s="1"/>
  <c r="AA140" i="53"/>
  <c r="AB63" i="51" s="1"/>
  <c r="BH63" i="51" s="1"/>
  <c r="T166" i="53"/>
  <c r="S199" i="53"/>
  <c r="R202" i="53"/>
  <c r="CE176" i="55" s="1"/>
  <c r="Y65" i="51"/>
  <c r="X40" i="53"/>
  <c r="AC46" i="53" s="1"/>
  <c r="AC159" i="53" s="1"/>
  <c r="AB137" i="53"/>
  <c r="AC56" i="51" s="1"/>
  <c r="BI56" i="51" s="1"/>
  <c r="AB139" i="53"/>
  <c r="AB141" i="53"/>
  <c r="AA160" i="53"/>
  <c r="AB66" i="51" s="1"/>
  <c r="BH66" i="51" s="1"/>
  <c r="X46" i="51"/>
  <c r="Z37" i="51"/>
  <c r="BE33" i="51"/>
  <c r="BE35" i="51" s="1"/>
  <c r="AA36" i="51"/>
  <c r="AA38" i="51" s="1"/>
  <c r="AA20" i="59" s="1"/>
  <c r="BC46" i="51"/>
  <c r="Z29" i="51"/>
  <c r="Z15" i="51"/>
  <c r="Z17" i="51" s="1"/>
  <c r="BE29" i="51"/>
  <c r="BE21" i="51"/>
  <c r="Z21" i="51"/>
  <c r="BE24" i="51"/>
  <c r="BE15" i="51"/>
  <c r="BE17" i="51" s="1"/>
  <c r="AC10" i="51"/>
  <c r="BH10" i="51"/>
  <c r="AB12" i="51"/>
  <c r="BF20" i="51"/>
  <c r="BF9" i="59" s="1"/>
  <c r="BF23" i="51"/>
  <c r="BF11" i="59" s="1"/>
  <c r="BF22" i="51"/>
  <c r="BF10" i="59" s="1"/>
  <c r="BF19" i="51"/>
  <c r="BF8" i="59" s="1"/>
  <c r="BF13" i="51"/>
  <c r="BF12" i="59" s="1"/>
  <c r="BF14" i="51"/>
  <c r="BF13" i="59" s="1"/>
  <c r="BD43" i="51"/>
  <c r="BD17" i="51"/>
  <c r="BG12" i="51"/>
  <c r="BD25" i="51"/>
  <c r="Y25" i="51"/>
  <c r="AB26" i="51"/>
  <c r="AA28" i="51"/>
  <c r="AA15" i="59" s="1"/>
  <c r="AA27" i="51"/>
  <c r="AA14" i="59" s="1"/>
  <c r="BG26" i="51"/>
  <c r="Y43" i="51"/>
  <c r="Y46" i="51" s="1"/>
  <c r="BF31" i="51"/>
  <c r="BF16" i="59" s="1"/>
  <c r="BF34" i="51"/>
  <c r="BF18" i="59" s="1"/>
  <c r="BF32" i="51"/>
  <c r="BF17" i="59" s="1"/>
  <c r="BE38" i="51"/>
  <c r="BE20" i="59" s="1"/>
  <c r="BE37" i="51"/>
  <c r="BE19" i="59" s="1"/>
  <c r="AA13" i="51"/>
  <c r="AA12" i="59" s="1"/>
  <c r="AA14" i="51"/>
  <c r="AA13" i="59" s="1"/>
  <c r="AA23" i="51"/>
  <c r="AA11" i="59" s="1"/>
  <c r="BG18" i="51"/>
  <c r="AA20" i="51"/>
  <c r="AA9" i="59" s="1"/>
  <c r="AB18" i="51"/>
  <c r="AA22" i="51"/>
  <c r="AA10" i="59" s="1"/>
  <c r="AA19" i="51"/>
  <c r="AA8" i="59" s="1"/>
  <c r="BF28" i="51"/>
  <c r="BF15" i="59" s="1"/>
  <c r="BF27" i="51"/>
  <c r="BF14" i="59" s="1"/>
  <c r="Z33" i="51"/>
  <c r="Z35" i="51" s="1"/>
  <c r="AB30" i="51"/>
  <c r="BG30" i="51"/>
  <c r="AA31" i="51"/>
  <c r="AA16" i="59" s="1"/>
  <c r="AA34" i="51"/>
  <c r="AA18" i="59" s="1"/>
  <c r="AA32" i="51"/>
  <c r="AA17" i="59" s="1"/>
  <c r="Z24" i="51"/>
  <c r="BF36" i="51"/>
  <c r="DD181" i="55" l="1"/>
  <c r="O24" i="59"/>
  <c r="CD24" i="59"/>
  <c r="BF86" i="59"/>
  <c r="BF113" i="59"/>
  <c r="BF43" i="59"/>
  <c r="BF69" i="59"/>
  <c r="AA83" i="59"/>
  <c r="AA110" i="59"/>
  <c r="AA40" i="59"/>
  <c r="AA66" i="59"/>
  <c r="AA112" i="59"/>
  <c r="AA68" i="59"/>
  <c r="AA42" i="59"/>
  <c r="AA85" i="59"/>
  <c r="BF67" i="59"/>
  <c r="BF84" i="59"/>
  <c r="BF111" i="59"/>
  <c r="BF41" i="59"/>
  <c r="AA89" i="59"/>
  <c r="AA46" i="59"/>
  <c r="AA116" i="59"/>
  <c r="AA72" i="59"/>
  <c r="AA115" i="59"/>
  <c r="AA45" i="59"/>
  <c r="AA88" i="59"/>
  <c r="AA71" i="59"/>
  <c r="BE47" i="59"/>
  <c r="BE73" i="59"/>
  <c r="BE90" i="59"/>
  <c r="BE117" i="59"/>
  <c r="AA86" i="59"/>
  <c r="AA113" i="59"/>
  <c r="AA43" i="59"/>
  <c r="AA69" i="59"/>
  <c r="BF110" i="59"/>
  <c r="BF40" i="59"/>
  <c r="BF83" i="59"/>
  <c r="BF66" i="59"/>
  <c r="AA74" i="59"/>
  <c r="AA91" i="59"/>
  <c r="AA48" i="59"/>
  <c r="AA118" i="59"/>
  <c r="V145" i="59"/>
  <c r="CA20" i="57"/>
  <c r="CA149" i="59" s="1"/>
  <c r="CA155" i="59" s="1"/>
  <c r="Z39" i="51"/>
  <c r="Z19" i="59"/>
  <c r="W145" i="59"/>
  <c r="CD101" i="59"/>
  <c r="CD153" i="59"/>
  <c r="AA44" i="59"/>
  <c r="AA87" i="59"/>
  <c r="AA114" i="59"/>
  <c r="AA70" i="59"/>
  <c r="BF89" i="59"/>
  <c r="BF116" i="59"/>
  <c r="BF46" i="59"/>
  <c r="BF72" i="59"/>
  <c r="CD51" i="59"/>
  <c r="CD147" i="59"/>
  <c r="BF88" i="59"/>
  <c r="BF115" i="59"/>
  <c r="BF45" i="59"/>
  <c r="BF71" i="59"/>
  <c r="BF87" i="59"/>
  <c r="BF44" i="59"/>
  <c r="BF114" i="59"/>
  <c r="BF70" i="59"/>
  <c r="O101" i="59"/>
  <c r="O153" i="59"/>
  <c r="DC58" i="59"/>
  <c r="CC51" i="59"/>
  <c r="CC147" i="59"/>
  <c r="AU101" i="59"/>
  <c r="O51" i="59"/>
  <c r="O147" i="59"/>
  <c r="BD48" i="59"/>
  <c r="BD74" i="59"/>
  <c r="BD75" i="59" s="1"/>
  <c r="BD91" i="59"/>
  <c r="BD118" i="59"/>
  <c r="BE48" i="59"/>
  <c r="BE74" i="59"/>
  <c r="BE75" i="59" s="1"/>
  <c r="BE91" i="59"/>
  <c r="BE118" i="59"/>
  <c r="BF85" i="59"/>
  <c r="BF112" i="59"/>
  <c r="BF68" i="59"/>
  <c r="BF42" i="59"/>
  <c r="AA41" i="59"/>
  <c r="AA67" i="59"/>
  <c r="AA84" i="59"/>
  <c r="AA111" i="59"/>
  <c r="DE148" i="59"/>
  <c r="Q11" i="58"/>
  <c r="Q6" i="58"/>
  <c r="EN9" i="59"/>
  <c r="T215" i="54"/>
  <c r="S212" i="54"/>
  <c r="S225" i="53"/>
  <c r="Q11" i="55"/>
  <c r="CB43" i="55"/>
  <c r="AQ38" i="57"/>
  <c r="DL49" i="59"/>
  <c r="DL92" i="59"/>
  <c r="DL120" i="59"/>
  <c r="DD51" i="59"/>
  <c r="DD122" i="59"/>
  <c r="DD94" i="59"/>
  <c r="R205" i="53"/>
  <c r="CE179" i="55" s="1"/>
  <c r="T212" i="54"/>
  <c r="CB112" i="55"/>
  <c r="CB7" i="57" s="1"/>
  <c r="CB16" i="57"/>
  <c r="DD52" i="59"/>
  <c r="DD96" i="59"/>
  <c r="DD95" i="59"/>
  <c r="DD123" i="59"/>
  <c r="DE51" i="59"/>
  <c r="DE122" i="59"/>
  <c r="DE94" i="59"/>
  <c r="S229" i="53"/>
  <c r="T179" i="55" s="1"/>
  <c r="R203" i="53"/>
  <c r="CE177" i="55" s="1"/>
  <c r="R204" i="53"/>
  <c r="CE178" i="55" s="1"/>
  <c r="T213" i="54"/>
  <c r="P11" i="58"/>
  <c r="P6" i="58"/>
  <c r="DG50" i="59"/>
  <c r="DG93" i="59"/>
  <c r="DG121" i="59"/>
  <c r="DG31" i="59"/>
  <c r="DE52" i="59"/>
  <c r="DE95" i="59"/>
  <c r="DE123" i="59"/>
  <c r="DE96" i="59"/>
  <c r="S230" i="53"/>
  <c r="T180" i="55" s="1"/>
  <c r="S228" i="53"/>
  <c r="T178" i="55" s="1"/>
  <c r="AT11" i="58"/>
  <c r="AT6" i="58"/>
  <c r="DC102" i="59"/>
  <c r="DE53" i="59"/>
  <c r="DE97" i="59"/>
  <c r="DE124" i="59"/>
  <c r="DE54" i="59"/>
  <c r="Q15" i="55"/>
  <c r="Q29" i="59" s="1"/>
  <c r="Q57" i="59" s="1"/>
  <c r="R206" i="53"/>
  <c r="CE180" i="55" s="1"/>
  <c r="U208" i="53"/>
  <c r="CB24" i="57"/>
  <c r="CB14" i="57"/>
  <c r="CB23" i="57"/>
  <c r="DC128" i="59"/>
  <c r="V49" i="59"/>
  <c r="CC96" i="59"/>
  <c r="CC52" i="59"/>
  <c r="W49" i="59"/>
  <c r="AZ120" i="59"/>
  <c r="AZ49" i="59"/>
  <c r="N96" i="59"/>
  <c r="N52" i="59"/>
  <c r="U49" i="59"/>
  <c r="AU121" i="59"/>
  <c r="AU50" i="59"/>
  <c r="AU31" i="59"/>
  <c r="AU24" i="59"/>
  <c r="CE120" i="59"/>
  <c r="CE49" i="59"/>
  <c r="CE31" i="59"/>
  <c r="CE154" i="59" s="1"/>
  <c r="Q50" i="59"/>
  <c r="Q31" i="59"/>
  <c r="AA80" i="59"/>
  <c r="AA37" i="59"/>
  <c r="AA107" i="59"/>
  <c r="AA63" i="59"/>
  <c r="AA82" i="59"/>
  <c r="AA39" i="59"/>
  <c r="AA109" i="59"/>
  <c r="AA65" i="59"/>
  <c r="BF81" i="59"/>
  <c r="BF108" i="59"/>
  <c r="BF38" i="59"/>
  <c r="BF64" i="59"/>
  <c r="AA38" i="59"/>
  <c r="AA81" i="59"/>
  <c r="AA108" i="59"/>
  <c r="AA64" i="59"/>
  <c r="AA79" i="59"/>
  <c r="AA106" i="59"/>
  <c r="AA36" i="59"/>
  <c r="AA62" i="59"/>
  <c r="BF79" i="59"/>
  <c r="BF36" i="59"/>
  <c r="BF106" i="59"/>
  <c r="BF62" i="59"/>
  <c r="DD89" i="55"/>
  <c r="DD36" i="57" s="1"/>
  <c r="BF39" i="59"/>
  <c r="BF82" i="59"/>
  <c r="BF109" i="59"/>
  <c r="BF65" i="59"/>
  <c r="DD43" i="55"/>
  <c r="DD34" i="57" s="1"/>
  <c r="BF80" i="59"/>
  <c r="BF107" i="59"/>
  <c r="BF37" i="59"/>
  <c r="BF63" i="59"/>
  <c r="AU93" i="59"/>
  <c r="AT23" i="59"/>
  <c r="AT146" i="59" s="1"/>
  <c r="DF10" i="55"/>
  <c r="DF23" i="59" s="1"/>
  <c r="DF146" i="59" s="1"/>
  <c r="DD14" i="57"/>
  <c r="DD24" i="57"/>
  <c r="DE15" i="57"/>
  <c r="DE25" i="57"/>
  <c r="DE89" i="55"/>
  <c r="AP158" i="55"/>
  <c r="AP9" i="57" s="1"/>
  <c r="DB152" i="55"/>
  <c r="DB8" i="57"/>
  <c r="DB38" i="57"/>
  <c r="DD40" i="57"/>
  <c r="DD10" i="57"/>
  <c r="DE24" i="57"/>
  <c r="DE14" i="57"/>
  <c r="DD66" i="55"/>
  <c r="DE16" i="57"/>
  <c r="AR128" i="55"/>
  <c r="DD128" i="55" s="1"/>
  <c r="DD105" i="55"/>
  <c r="DD112" i="55" s="1"/>
  <c r="CA34" i="57"/>
  <c r="DE19" i="57"/>
  <c r="DE29" i="57"/>
  <c r="CC37" i="55"/>
  <c r="CC13" i="57" s="1"/>
  <c r="DC18" i="57"/>
  <c r="DC20" i="57" s="1"/>
  <c r="DC28" i="57"/>
  <c r="DC30" i="57" s="1"/>
  <c r="CA36" i="57"/>
  <c r="DC158" i="55"/>
  <c r="DE181" i="55"/>
  <c r="DD19" i="57"/>
  <c r="DD29" i="57"/>
  <c r="AS128" i="55"/>
  <c r="DE128" i="55" s="1"/>
  <c r="DE105" i="55"/>
  <c r="DE112" i="55" s="1"/>
  <c r="DG16" i="55"/>
  <c r="DG30" i="59" s="1"/>
  <c r="DG11" i="55"/>
  <c r="DG15" i="55"/>
  <c r="DG29" i="59" s="1"/>
  <c r="DG14" i="55"/>
  <c r="DG28" i="59" s="1"/>
  <c r="DG13" i="55"/>
  <c r="DG27" i="59" s="1"/>
  <c r="DG12" i="55"/>
  <c r="BA22" i="59"/>
  <c r="BA145" i="59" s="1"/>
  <c r="DM9" i="55"/>
  <c r="DM22" i="59" s="1"/>
  <c r="DM145" i="59" s="1"/>
  <c r="DD23" i="57"/>
  <c r="DD13" i="57"/>
  <c r="DD15" i="57"/>
  <c r="DD25" i="57"/>
  <c r="DC38" i="57"/>
  <c r="DC8" i="57"/>
  <c r="DE23" i="57"/>
  <c r="DE13" i="57"/>
  <c r="DE43" i="55"/>
  <c r="DE66" i="55"/>
  <c r="DD26" i="57"/>
  <c r="DD16" i="57"/>
  <c r="CC82" i="55"/>
  <c r="CC175" i="55"/>
  <c r="CC19" i="57" s="1"/>
  <c r="CC59" i="55"/>
  <c r="CB25" i="57"/>
  <c r="CC83" i="55"/>
  <c r="CC15" i="57" s="1"/>
  <c r="CC105" i="55"/>
  <c r="CC128" i="55" s="1"/>
  <c r="CA158" i="55"/>
  <c r="CA39" i="57" s="1"/>
  <c r="CC106" i="55"/>
  <c r="CC36" i="55"/>
  <c r="CC23" i="57" s="1"/>
  <c r="Q13" i="55"/>
  <c r="Q27" i="59" s="1"/>
  <c r="Q12" i="55"/>
  <c r="Q26" i="59" s="1"/>
  <c r="Q53" i="59" s="1"/>
  <c r="Q14" i="55"/>
  <c r="Q28" i="59" s="1"/>
  <c r="Q16" i="55"/>
  <c r="Q30" i="59" s="1"/>
  <c r="CC60" i="55"/>
  <c r="M128" i="59"/>
  <c r="BZ41" i="57"/>
  <c r="N32" i="59"/>
  <c r="AR102" i="59"/>
  <c r="AP39" i="57"/>
  <c r="AR23" i="57"/>
  <c r="AR13" i="57"/>
  <c r="M23" i="57"/>
  <c r="M13" i="57"/>
  <c r="L5" i="57"/>
  <c r="L35" i="57"/>
  <c r="AS129" i="55"/>
  <c r="AS26" i="57"/>
  <c r="AS16" i="57"/>
  <c r="CA28" i="57"/>
  <c r="CA30" i="57" s="1"/>
  <c r="L152" i="55"/>
  <c r="L158" i="55" s="1"/>
  <c r="L17" i="57"/>
  <c r="L27" i="57"/>
  <c r="L8" i="57"/>
  <c r="L38" i="57"/>
  <c r="CA8" i="57"/>
  <c r="CA38" i="57"/>
  <c r="AT121" i="59"/>
  <c r="AS23" i="57"/>
  <c r="AS13" i="57"/>
  <c r="L6" i="57"/>
  <c r="L36" i="57"/>
  <c r="AR29" i="57"/>
  <c r="AR19" i="57"/>
  <c r="CB129" i="55"/>
  <c r="CB26" i="57"/>
  <c r="CB4" i="57"/>
  <c r="CB34" i="57"/>
  <c r="M29" i="57"/>
  <c r="M19" i="57"/>
  <c r="L7" i="57"/>
  <c r="L37" i="57"/>
  <c r="AR25" i="57"/>
  <c r="AR15" i="57"/>
  <c r="L10" i="57"/>
  <c r="L40" i="57"/>
  <c r="K9" i="57"/>
  <c r="K39" i="57"/>
  <c r="K41" i="57" s="1"/>
  <c r="AQ28" i="57"/>
  <c r="AQ30" i="57" s="1"/>
  <c r="AQ18" i="57"/>
  <c r="AQ20" i="57" s="1"/>
  <c r="CB5" i="57"/>
  <c r="CB35" i="57"/>
  <c r="AS24" i="57"/>
  <c r="AS14" i="57"/>
  <c r="M25" i="57"/>
  <c r="M15" i="57"/>
  <c r="CB37" i="57"/>
  <c r="AR129" i="55"/>
  <c r="AR16" i="57"/>
  <c r="AR26" i="57"/>
  <c r="U120" i="59"/>
  <c r="CB10" i="57"/>
  <c r="CB40" i="57"/>
  <c r="AQ158" i="55"/>
  <c r="CB6" i="57"/>
  <c r="CB36" i="57"/>
  <c r="M129" i="55"/>
  <c r="M26" i="57"/>
  <c r="M16" i="57"/>
  <c r="V120" i="59"/>
  <c r="W120" i="59"/>
  <c r="AR14" i="57"/>
  <c r="AR24" i="57"/>
  <c r="AS29" i="57"/>
  <c r="AS19" i="57"/>
  <c r="Q121" i="59"/>
  <c r="AP28" i="57"/>
  <c r="AP30" i="57" s="1"/>
  <c r="AP18" i="57"/>
  <c r="AP20" i="57" s="1"/>
  <c r="AP149" i="59" s="1"/>
  <c r="AP155" i="59" s="1"/>
  <c r="K28" i="57"/>
  <c r="K30" i="57" s="1"/>
  <c r="K18" i="57"/>
  <c r="K20" i="57" s="1"/>
  <c r="K149" i="59" s="1"/>
  <c r="K155" i="59" s="1"/>
  <c r="CA5" i="57"/>
  <c r="CA35" i="57"/>
  <c r="M14" i="57"/>
  <c r="M24" i="57"/>
  <c r="AS25" i="57"/>
  <c r="AS15" i="57"/>
  <c r="CB29" i="57"/>
  <c r="O98" i="59"/>
  <c r="O125" i="59"/>
  <c r="AU98" i="59"/>
  <c r="AU125" i="59"/>
  <c r="CD100" i="59"/>
  <c r="CD127" i="59"/>
  <c r="N94" i="59"/>
  <c r="N122" i="59"/>
  <c r="CD99" i="59"/>
  <c r="CD126" i="59"/>
  <c r="Q97" i="59"/>
  <c r="Q124" i="59"/>
  <c r="CD98" i="59"/>
  <c r="CD125" i="59"/>
  <c r="CD97" i="59"/>
  <c r="CD124" i="59"/>
  <c r="O99" i="59"/>
  <c r="O126" i="59"/>
  <c r="AU100" i="59"/>
  <c r="AU127" i="59"/>
  <c r="CC95" i="59"/>
  <c r="CC123" i="59"/>
  <c r="O97" i="59"/>
  <c r="O124" i="59"/>
  <c r="N95" i="59"/>
  <c r="N123" i="59"/>
  <c r="AU97" i="59"/>
  <c r="AU124" i="59"/>
  <c r="O100" i="59"/>
  <c r="O127" i="59"/>
  <c r="CB128" i="59"/>
  <c r="AU99" i="59"/>
  <c r="AU126" i="59"/>
  <c r="CC94" i="59"/>
  <c r="CC122" i="59"/>
  <c r="Q10" i="58"/>
  <c r="O10" i="58"/>
  <c r="V92" i="59"/>
  <c r="U92" i="59"/>
  <c r="CE92" i="59"/>
  <c r="W92" i="59"/>
  <c r="Q93" i="59"/>
  <c r="M102" i="59"/>
  <c r="AU55" i="59"/>
  <c r="CD57" i="59"/>
  <c r="M58" i="59"/>
  <c r="AU54" i="59"/>
  <c r="O57" i="59"/>
  <c r="CB102" i="59"/>
  <c r="CD55" i="59"/>
  <c r="AU56" i="59"/>
  <c r="AU57" i="59"/>
  <c r="CD56" i="59"/>
  <c r="CB58" i="59"/>
  <c r="O55" i="59"/>
  <c r="O56" i="59"/>
  <c r="Q54" i="59"/>
  <c r="O54" i="59"/>
  <c r="CD54" i="59"/>
  <c r="CD19" i="55"/>
  <c r="CD175" i="55" s="1"/>
  <c r="CD19" i="57" s="1"/>
  <c r="CD25" i="59"/>
  <c r="CD148" i="59" s="1"/>
  <c r="AU25" i="59"/>
  <c r="Q25" i="59"/>
  <c r="O25" i="59"/>
  <c r="O148" i="59" s="1"/>
  <c r="R59" i="58"/>
  <c r="AV59" i="58"/>
  <c r="AT58" i="58"/>
  <c r="AS66" i="55"/>
  <c r="AR66" i="55"/>
  <c r="V211" i="53"/>
  <c r="V215" i="53" s="1"/>
  <c r="M66" i="55"/>
  <c r="BD58" i="51"/>
  <c r="BD72" i="51" s="1"/>
  <c r="AR151" i="55"/>
  <c r="DD151" i="55" s="1"/>
  <c r="S200" i="53"/>
  <c r="CF172" i="55"/>
  <c r="S210" i="54"/>
  <c r="S230" i="54" s="1"/>
  <c r="AZ180" i="55" s="1"/>
  <c r="DL180" i="55" s="1"/>
  <c r="AZ172" i="55"/>
  <c r="AS181" i="55"/>
  <c r="AS151" i="55"/>
  <c r="DE151" i="55" s="1"/>
  <c r="T210" i="54"/>
  <c r="T225" i="54" s="1"/>
  <c r="BA172" i="55"/>
  <c r="N105" i="55"/>
  <c r="N128" i="55" s="1"/>
  <c r="N82" i="55"/>
  <c r="N174" i="55"/>
  <c r="CB151" i="55"/>
  <c r="M151" i="55"/>
  <c r="M135" i="55"/>
  <c r="BD46" i="51"/>
  <c r="N106" i="55"/>
  <c r="N83" i="55"/>
  <c r="N175" i="55"/>
  <c r="M181" i="55"/>
  <c r="T210" i="53"/>
  <c r="T230" i="53" s="1"/>
  <c r="U180" i="55" s="1"/>
  <c r="U172" i="55"/>
  <c r="AR181" i="55"/>
  <c r="M43" i="55"/>
  <c r="AR43" i="55"/>
  <c r="M89" i="55"/>
  <c r="CC43" i="55"/>
  <c r="N60" i="55"/>
  <c r="N37" i="55"/>
  <c r="M112" i="55"/>
  <c r="AS112" i="55"/>
  <c r="AS89" i="55"/>
  <c r="AR89" i="55"/>
  <c r="N59" i="55"/>
  <c r="N36" i="55"/>
  <c r="AR112" i="55"/>
  <c r="AS43" i="55"/>
  <c r="P262" i="54"/>
  <c r="AW78" i="51" s="1"/>
  <c r="AW77" i="51"/>
  <c r="R262" i="53"/>
  <c r="S78" i="51" s="1"/>
  <c r="S77" i="51"/>
  <c r="CD6" i="55"/>
  <c r="O7" i="55"/>
  <c r="AU6" i="55"/>
  <c r="O256" i="53"/>
  <c r="P74" i="51"/>
  <c r="P76" i="51" s="1"/>
  <c r="P10" i="55"/>
  <c r="P23" i="59" s="1"/>
  <c r="P146" i="59" s="1"/>
  <c r="O6" i="55"/>
  <c r="O20" i="55"/>
  <c r="O19" i="55"/>
  <c r="BB9" i="55"/>
  <c r="O256" i="54"/>
  <c r="AV74" i="51"/>
  <c r="AV76" i="51" s="1"/>
  <c r="AV10" i="55"/>
  <c r="BC9" i="55"/>
  <c r="Q20" i="55"/>
  <c r="Q19" i="55"/>
  <c r="AT15" i="55"/>
  <c r="AT29" i="59" s="1"/>
  <c r="AT152" i="59" s="1"/>
  <c r="AT11" i="55"/>
  <c r="AT13" i="55"/>
  <c r="AT27" i="59" s="1"/>
  <c r="AT150" i="59" s="1"/>
  <c r="AT16" i="55"/>
  <c r="AT30" i="59" s="1"/>
  <c r="AT14" i="55"/>
  <c r="AT28" i="59" s="1"/>
  <c r="AT151" i="59" s="1"/>
  <c r="AT12" i="55"/>
  <c r="AT26" i="59" s="1"/>
  <c r="AT53" i="59" s="1"/>
  <c r="U207" i="54"/>
  <c r="U211" i="54" s="1"/>
  <c r="BB4" i="55"/>
  <c r="CE13" i="55"/>
  <c r="CE27" i="59" s="1"/>
  <c r="CE150" i="59" s="1"/>
  <c r="CE16" i="55"/>
  <c r="CE30" i="59" s="1"/>
  <c r="CE12" i="55"/>
  <c r="CE26" i="59" s="1"/>
  <c r="CE53" i="59" s="1"/>
  <c r="CE15" i="55"/>
  <c r="CE29" i="59" s="1"/>
  <c r="CE152" i="59" s="1"/>
  <c r="CE14" i="55"/>
  <c r="CE28" i="59" s="1"/>
  <c r="CE151" i="59" s="1"/>
  <c r="CE11" i="55"/>
  <c r="Q6" i="55"/>
  <c r="AU7" i="55"/>
  <c r="CD7" i="55"/>
  <c r="W207" i="53"/>
  <c r="W208" i="53" s="1"/>
  <c r="X4" i="55"/>
  <c r="S74" i="51"/>
  <c r="AU20" i="55"/>
  <c r="AU19" i="55"/>
  <c r="BD52" i="51"/>
  <c r="BD54" i="51" s="1"/>
  <c r="W37" i="54"/>
  <c r="BE59" i="51"/>
  <c r="X38" i="54"/>
  <c r="V212" i="53"/>
  <c r="X51" i="51"/>
  <c r="S216" i="54"/>
  <c r="S217" i="54"/>
  <c r="S236" i="53"/>
  <c r="S239" i="53" s="1"/>
  <c r="AB160" i="54"/>
  <c r="Z52" i="51"/>
  <c r="Z54" i="51" s="1"/>
  <c r="Y37" i="53"/>
  <c r="AB139" i="54"/>
  <c r="AB140" i="54" s="1"/>
  <c r="AB137" i="54"/>
  <c r="AB138" i="54" s="1"/>
  <c r="AB141" i="54"/>
  <c r="AB142" i="54" s="1"/>
  <c r="Z59" i="51"/>
  <c r="Y38" i="53"/>
  <c r="BA71" i="51"/>
  <c r="BA73" i="51" s="1"/>
  <c r="BA64" i="51"/>
  <c r="R199" i="54"/>
  <c r="R200" i="54" s="1"/>
  <c r="S166" i="54"/>
  <c r="CF9" i="55" s="1"/>
  <c r="CF22" i="59" s="1"/>
  <c r="CF145" i="59" s="1"/>
  <c r="R254" i="53"/>
  <c r="S10" i="55" s="1"/>
  <c r="S23" i="59" s="1"/>
  <c r="X67" i="51"/>
  <c r="BD67" i="51" s="1"/>
  <c r="BD70" i="51" s="1"/>
  <c r="W79" i="53"/>
  <c r="Q252" i="54"/>
  <c r="AA160" i="54"/>
  <c r="Q201" i="54"/>
  <c r="Q202" i="54"/>
  <c r="Q203" i="54"/>
  <c r="Q205" i="54"/>
  <c r="Q206" i="54"/>
  <c r="Q204" i="54"/>
  <c r="W70" i="51"/>
  <c r="V47" i="54"/>
  <c r="V80" i="54"/>
  <c r="V78" i="54"/>
  <c r="V79" i="54" s="1"/>
  <c r="V74" i="54"/>
  <c r="V75" i="54" s="1"/>
  <c r="V72" i="54"/>
  <c r="V73" i="54" s="1"/>
  <c r="BB67" i="51"/>
  <c r="BB70" i="51" s="1"/>
  <c r="V70" i="51"/>
  <c r="BC70" i="51"/>
  <c r="BE52" i="51"/>
  <c r="BE54" i="51" s="1"/>
  <c r="X37" i="54"/>
  <c r="T217" i="53"/>
  <c r="T216" i="53"/>
  <c r="T216" i="54"/>
  <c r="T217" i="54"/>
  <c r="W81" i="53"/>
  <c r="X61" i="51" s="1"/>
  <c r="W165" i="53"/>
  <c r="X9" i="55" s="1"/>
  <c r="R237" i="54"/>
  <c r="R238" i="54" s="1"/>
  <c r="R240" i="54" s="1"/>
  <c r="R239" i="54"/>
  <c r="R244" i="54" s="1"/>
  <c r="U81" i="54"/>
  <c r="U165" i="54"/>
  <c r="U209" i="53"/>
  <c r="U232" i="53"/>
  <c r="U233" i="53" s="1"/>
  <c r="BE55" i="51"/>
  <c r="X39" i="54"/>
  <c r="AC45" i="54" s="1"/>
  <c r="U213" i="53"/>
  <c r="U212" i="53"/>
  <c r="U215" i="53"/>
  <c r="U214" i="53"/>
  <c r="T223" i="53"/>
  <c r="T222" i="53"/>
  <c r="T234" i="53" s="1"/>
  <c r="T235" i="53" s="1"/>
  <c r="T222" i="54"/>
  <c r="T234" i="54" s="1"/>
  <c r="T235" i="54" s="1"/>
  <c r="T223" i="54"/>
  <c r="S222" i="54"/>
  <c r="S234" i="54" s="1"/>
  <c r="S235" i="54" s="1"/>
  <c r="S223" i="54"/>
  <c r="R220" i="54"/>
  <c r="R224" i="54" s="1"/>
  <c r="R221" i="54"/>
  <c r="V232" i="53"/>
  <c r="V233" i="53" s="1"/>
  <c r="V209" i="53"/>
  <c r="BB61" i="51"/>
  <c r="V71" i="51"/>
  <c r="V73" i="51" s="1"/>
  <c r="V64" i="51"/>
  <c r="Y48" i="51"/>
  <c r="X36" i="53"/>
  <c r="X42" i="53" s="1"/>
  <c r="Q220" i="54"/>
  <c r="Q224" i="54" s="1"/>
  <c r="Q221" i="54"/>
  <c r="P252" i="54"/>
  <c r="BC61" i="51"/>
  <c r="W71" i="51"/>
  <c r="W73" i="51" s="1"/>
  <c r="W64" i="51"/>
  <c r="BD48" i="51"/>
  <c r="BD51" i="51" s="1"/>
  <c r="W36" i="54"/>
  <c r="W42" i="54" s="1"/>
  <c r="X70" i="51"/>
  <c r="Q240" i="54"/>
  <c r="Q261" i="54" s="1"/>
  <c r="Q252" i="53"/>
  <c r="W162" i="53"/>
  <c r="S219" i="53"/>
  <c r="S218" i="53"/>
  <c r="X58" i="51"/>
  <c r="X72" i="51" s="1"/>
  <c r="AB140" i="53"/>
  <c r="AC63" i="51" s="1"/>
  <c r="BI63" i="51" s="1"/>
  <c r="S206" i="53"/>
  <c r="CF180" i="55" s="1"/>
  <c r="S205" i="53"/>
  <c r="CF179" i="55" s="1"/>
  <c r="S204" i="53"/>
  <c r="CF178" i="55" s="1"/>
  <c r="S202" i="53"/>
  <c r="CF176" i="55" s="1"/>
  <c r="S203" i="53"/>
  <c r="CF177" i="55" s="1"/>
  <c r="S201" i="53"/>
  <c r="AB138" i="53"/>
  <c r="T199" i="53"/>
  <c r="U166" i="53"/>
  <c r="AB160" i="53"/>
  <c r="AC66" i="51" s="1"/>
  <c r="BI66" i="51" s="1"/>
  <c r="Z65" i="51"/>
  <c r="Y40" i="53"/>
  <c r="AD46" i="53" s="1"/>
  <c r="AD159" i="53" s="1"/>
  <c r="AC160" i="53"/>
  <c r="AD66" i="51" s="1"/>
  <c r="BJ66" i="51" s="1"/>
  <c r="AC139" i="53"/>
  <c r="AC137" i="53"/>
  <c r="AD56" i="51" s="1"/>
  <c r="BJ56" i="51" s="1"/>
  <c r="AC141" i="53"/>
  <c r="Z55" i="51"/>
  <c r="Y39" i="53"/>
  <c r="AD45" i="53" s="1"/>
  <c r="AB142" i="53"/>
  <c r="AC69" i="51" s="1"/>
  <c r="BI69" i="51" s="1"/>
  <c r="AA24" i="51"/>
  <c r="AA44" i="51" s="1"/>
  <c r="AA37" i="51"/>
  <c r="AA29" i="51"/>
  <c r="BF29" i="51"/>
  <c r="BF33" i="51"/>
  <c r="BF35" i="51" s="1"/>
  <c r="BE44" i="51"/>
  <c r="AA21" i="51"/>
  <c r="BE25" i="51"/>
  <c r="BE39" i="51"/>
  <c r="Z25" i="51"/>
  <c r="BF15" i="51"/>
  <c r="BF17" i="51" s="1"/>
  <c r="BF21" i="51"/>
  <c r="BG32" i="51"/>
  <c r="BG17" i="59" s="1"/>
  <c r="BG34" i="51"/>
  <c r="BG18" i="59" s="1"/>
  <c r="BG31" i="51"/>
  <c r="BG16" i="59" s="1"/>
  <c r="AB22" i="51"/>
  <c r="AB10" i="59" s="1"/>
  <c r="AC18" i="51"/>
  <c r="AB19" i="51"/>
  <c r="AB8" i="59" s="1"/>
  <c r="AB23" i="51"/>
  <c r="AB11" i="59" s="1"/>
  <c r="BH18" i="51"/>
  <c r="AB20" i="51"/>
  <c r="AB9" i="59" s="1"/>
  <c r="BG27" i="51"/>
  <c r="BG14" i="59" s="1"/>
  <c r="BG28" i="51"/>
  <c r="BG15" i="59" s="1"/>
  <c r="BE43" i="51"/>
  <c r="AB36" i="51"/>
  <c r="AC30" i="51"/>
  <c r="BH30" i="51"/>
  <c r="AB34" i="51"/>
  <c r="AB18" i="59" s="1"/>
  <c r="AB31" i="51"/>
  <c r="AB16" i="59" s="1"/>
  <c r="AB32" i="51"/>
  <c r="AB17" i="59" s="1"/>
  <c r="Z43" i="51"/>
  <c r="AB13" i="51"/>
  <c r="AB12" i="59" s="1"/>
  <c r="AB14" i="51"/>
  <c r="AB13" i="59" s="1"/>
  <c r="BG19" i="51"/>
  <c r="BG8" i="59" s="1"/>
  <c r="BG23" i="51"/>
  <c r="BG11" i="59" s="1"/>
  <c r="BG20" i="51"/>
  <c r="BG9" i="59" s="1"/>
  <c r="BG22" i="51"/>
  <c r="BG10" i="59" s="1"/>
  <c r="AA15" i="51"/>
  <c r="Z44" i="51"/>
  <c r="BG36" i="51"/>
  <c r="BF24" i="51"/>
  <c r="BH12" i="51"/>
  <c r="BF37" i="51"/>
  <c r="BF19" i="59" s="1"/>
  <c r="BF38" i="51"/>
  <c r="BF20" i="59" s="1"/>
  <c r="AA33" i="51"/>
  <c r="AA35" i="51" s="1"/>
  <c r="AC26" i="51"/>
  <c r="AB28" i="51"/>
  <c r="AB15" i="59" s="1"/>
  <c r="AB27" i="51"/>
  <c r="AB14" i="59" s="1"/>
  <c r="BH26" i="51"/>
  <c r="BG14" i="51"/>
  <c r="BG13" i="59" s="1"/>
  <c r="BG13" i="51"/>
  <c r="BG12" i="59" s="1"/>
  <c r="AD10" i="51"/>
  <c r="BI10" i="51"/>
  <c r="AC12" i="51"/>
  <c r="AQ149" i="59" l="1"/>
  <c r="AQ155" i="59" s="1"/>
  <c r="T227" i="54"/>
  <c r="BA177" i="55" s="1"/>
  <c r="DM177" i="55" s="1"/>
  <c r="CC29" i="57"/>
  <c r="T229" i="54"/>
  <c r="BA179" i="55" s="1"/>
  <c r="DM179" i="55" s="1"/>
  <c r="CC181" i="55"/>
  <c r="DD6" i="57"/>
  <c r="CE24" i="59"/>
  <c r="Z90" i="59"/>
  <c r="Z117" i="59"/>
  <c r="Z47" i="59"/>
  <c r="Z73" i="59"/>
  <c r="Z75" i="59" s="1"/>
  <c r="AB84" i="59"/>
  <c r="AB111" i="59"/>
  <c r="AB41" i="59"/>
  <c r="AB67" i="59"/>
  <c r="Q127" i="59"/>
  <c r="AB85" i="59"/>
  <c r="AB112" i="59"/>
  <c r="AB42" i="59"/>
  <c r="AB68" i="59"/>
  <c r="AB110" i="59"/>
  <c r="AB83" i="59"/>
  <c r="AB40" i="59"/>
  <c r="AB66" i="59"/>
  <c r="Q100" i="59"/>
  <c r="BG113" i="59"/>
  <c r="BG86" i="59"/>
  <c r="BG43" i="59"/>
  <c r="BG69" i="59"/>
  <c r="BG112" i="59"/>
  <c r="BG68" i="59"/>
  <c r="BG85" i="59"/>
  <c r="BG42" i="59"/>
  <c r="BG89" i="59"/>
  <c r="BG116" i="59"/>
  <c r="BG46" i="59"/>
  <c r="BG72" i="59"/>
  <c r="Q126" i="59"/>
  <c r="BG114" i="59"/>
  <c r="BG44" i="59"/>
  <c r="BG87" i="59"/>
  <c r="BG70" i="59"/>
  <c r="CE51" i="59"/>
  <c r="CE147" i="59"/>
  <c r="DG101" i="59"/>
  <c r="Q146" i="59"/>
  <c r="AB44" i="59"/>
  <c r="AB87" i="59"/>
  <c r="AB114" i="59"/>
  <c r="AB70" i="59"/>
  <c r="BG88" i="59"/>
  <c r="BG115" i="59"/>
  <c r="BG45" i="59"/>
  <c r="BG71" i="59"/>
  <c r="AT101" i="59"/>
  <c r="AT153" i="59"/>
  <c r="Q101" i="59"/>
  <c r="BF118" i="59"/>
  <c r="BF91" i="59"/>
  <c r="BF48" i="59"/>
  <c r="BF74" i="59"/>
  <c r="Q98" i="59"/>
  <c r="AU152" i="59"/>
  <c r="AU150" i="59"/>
  <c r="AB86" i="59"/>
  <c r="AB113" i="59"/>
  <c r="AB43" i="59"/>
  <c r="AB69" i="59"/>
  <c r="AB116" i="59"/>
  <c r="AB89" i="59"/>
  <c r="AB46" i="59"/>
  <c r="AB72" i="59"/>
  <c r="BG83" i="59"/>
  <c r="BG110" i="59"/>
  <c r="BG40" i="59"/>
  <c r="BG66" i="59"/>
  <c r="BF117" i="59"/>
  <c r="BF90" i="59"/>
  <c r="BF73" i="59"/>
  <c r="BF47" i="59"/>
  <c r="CE101" i="59"/>
  <c r="CE153" i="59"/>
  <c r="CC89" i="55"/>
  <c r="DG146" i="59"/>
  <c r="AU153" i="59"/>
  <c r="AB88" i="59"/>
  <c r="AB115" i="59"/>
  <c r="AB45" i="59"/>
  <c r="AB71" i="59"/>
  <c r="BG41" i="59"/>
  <c r="BG84" i="59"/>
  <c r="BG67" i="59"/>
  <c r="BG111" i="59"/>
  <c r="AA39" i="51"/>
  <c r="AA19" i="59"/>
  <c r="AU51" i="59"/>
  <c r="DD58" i="59"/>
  <c r="AU151" i="59"/>
  <c r="AU146" i="59"/>
  <c r="DF50" i="59"/>
  <c r="DF93" i="59"/>
  <c r="DF121" i="59"/>
  <c r="DF31" i="59"/>
  <c r="DF154" i="59" s="1"/>
  <c r="Q24" i="59"/>
  <c r="S228" i="54"/>
  <c r="AZ178" i="55" s="1"/>
  <c r="DL178" i="55" s="1"/>
  <c r="T230" i="54"/>
  <c r="BA180" i="55" s="1"/>
  <c r="DM180" i="55" s="1"/>
  <c r="AV11" i="58"/>
  <c r="AV6" i="58"/>
  <c r="DE102" i="59"/>
  <c r="DM49" i="59"/>
  <c r="DM120" i="59"/>
  <c r="DM92" i="59"/>
  <c r="S229" i="54"/>
  <c r="AZ179" i="55" s="1"/>
  <c r="DL179" i="55" s="1"/>
  <c r="T226" i="54"/>
  <c r="BA176" i="55" s="1"/>
  <c r="DM176" i="55" s="1"/>
  <c r="R11" i="58"/>
  <c r="R6" i="58"/>
  <c r="DG6" i="55"/>
  <c r="DG26" i="59"/>
  <c r="DE58" i="59"/>
  <c r="DE128" i="59"/>
  <c r="T228" i="54"/>
  <c r="BA178" i="55" s="1"/>
  <c r="DM178" i="55" s="1"/>
  <c r="CD36" i="55"/>
  <c r="CC129" i="55"/>
  <c r="CC17" i="57" s="1"/>
  <c r="CC16" i="57"/>
  <c r="DG126" i="59"/>
  <c r="DG99" i="59"/>
  <c r="DG56" i="59"/>
  <c r="DG55" i="59"/>
  <c r="DG125" i="59"/>
  <c r="DG98" i="59"/>
  <c r="U208" i="54"/>
  <c r="CC25" i="57"/>
  <c r="DG57" i="59"/>
  <c r="DG127" i="59"/>
  <c r="DG100" i="59"/>
  <c r="DD102" i="59"/>
  <c r="CB135" i="55"/>
  <c r="CB8" i="57" s="1"/>
  <c r="CB17" i="57"/>
  <c r="CD60" i="55"/>
  <c r="CD14" i="57" s="1"/>
  <c r="CC24" i="57"/>
  <c r="CC14" i="57"/>
  <c r="DG25" i="59"/>
  <c r="DG24" i="59"/>
  <c r="DD128" i="59"/>
  <c r="AU96" i="59"/>
  <c r="AU52" i="59"/>
  <c r="CD96" i="59"/>
  <c r="CD52" i="59"/>
  <c r="BA49" i="59"/>
  <c r="AT50" i="59"/>
  <c r="AT24" i="59"/>
  <c r="AT31" i="59"/>
  <c r="AT154" i="59" s="1"/>
  <c r="P50" i="59"/>
  <c r="P31" i="59"/>
  <c r="P154" i="59" s="1"/>
  <c r="S50" i="59"/>
  <c r="S31" i="59"/>
  <c r="O96" i="59"/>
  <c r="O52" i="59"/>
  <c r="CF120" i="59"/>
  <c r="CF49" i="59"/>
  <c r="CF31" i="59"/>
  <c r="CF154" i="59" s="1"/>
  <c r="Q96" i="59"/>
  <c r="Q52" i="59"/>
  <c r="DD4" i="57"/>
  <c r="Q55" i="59"/>
  <c r="AT93" i="59"/>
  <c r="Q125" i="59"/>
  <c r="BG81" i="59"/>
  <c r="BG108" i="59"/>
  <c r="BG38" i="59"/>
  <c r="BG64" i="59"/>
  <c r="BG37" i="59"/>
  <c r="BG80" i="59"/>
  <c r="BG107" i="59"/>
  <c r="BG63" i="59"/>
  <c r="AB80" i="59"/>
  <c r="AB107" i="59"/>
  <c r="AB37" i="59"/>
  <c r="AB63" i="59"/>
  <c r="BG82" i="59"/>
  <c r="BG109" i="59"/>
  <c r="BG39" i="59"/>
  <c r="BG65" i="59"/>
  <c r="AB39" i="59"/>
  <c r="AB82" i="59"/>
  <c r="AB109" i="59"/>
  <c r="AB65" i="59"/>
  <c r="AB79" i="59"/>
  <c r="AB106" i="59"/>
  <c r="AB36" i="59"/>
  <c r="AB62" i="59"/>
  <c r="AB38" i="59"/>
  <c r="AB81" i="59"/>
  <c r="AB108" i="59"/>
  <c r="AB64" i="59"/>
  <c r="BG36" i="59"/>
  <c r="BG79" i="59"/>
  <c r="BG106" i="59"/>
  <c r="BG62" i="59"/>
  <c r="BA120" i="59"/>
  <c r="BA92" i="59"/>
  <c r="Q99" i="59"/>
  <c r="AS135" i="55"/>
  <c r="DE129" i="55"/>
  <c r="DE135" i="55" s="1"/>
  <c r="DE37" i="57"/>
  <c r="DE7" i="57"/>
  <c r="DD5" i="57"/>
  <c r="DD35" i="57"/>
  <c r="AR135" i="55"/>
  <c r="AR38" i="57" s="1"/>
  <c r="DD129" i="55"/>
  <c r="DB18" i="57"/>
  <c r="DB20" i="57" s="1"/>
  <c r="DB149" i="59" s="1"/>
  <c r="DB155" i="59" s="1"/>
  <c r="DB28" i="57"/>
  <c r="DB30" i="57" s="1"/>
  <c r="DB158" i="55"/>
  <c r="Q7" i="55"/>
  <c r="DG7" i="55"/>
  <c r="DF11" i="55"/>
  <c r="DF16" i="55"/>
  <c r="DF30" i="59" s="1"/>
  <c r="DF14" i="55"/>
  <c r="DF28" i="59" s="1"/>
  <c r="DF151" i="59" s="1"/>
  <c r="DF13" i="55"/>
  <c r="DF27" i="59" s="1"/>
  <c r="DF150" i="59" s="1"/>
  <c r="DF15" i="55"/>
  <c r="DF29" i="59" s="1"/>
  <c r="DF152" i="59" s="1"/>
  <c r="DF12" i="55"/>
  <c r="DF26" i="59" s="1"/>
  <c r="BB22" i="59"/>
  <c r="BB145" i="59" s="1"/>
  <c r="DN9" i="55"/>
  <c r="DN22" i="59" s="1"/>
  <c r="DN145" i="59" s="1"/>
  <c r="Q56" i="59"/>
  <c r="DE40" i="57"/>
  <c r="DE10" i="57"/>
  <c r="DD37" i="57"/>
  <c r="DD7" i="57"/>
  <c r="DE35" i="57"/>
  <c r="DE5" i="57"/>
  <c r="DC39" i="57"/>
  <c r="DC9" i="57"/>
  <c r="DD135" i="55"/>
  <c r="DE36" i="57"/>
  <c r="DE6" i="57"/>
  <c r="AV23" i="59"/>
  <c r="AV146" i="59" s="1"/>
  <c r="DH10" i="55"/>
  <c r="DH23" i="59" s="1"/>
  <c r="DH146" i="59" s="1"/>
  <c r="BC22" i="59"/>
  <c r="BC145" i="59" s="1"/>
  <c r="DO9" i="55"/>
  <c r="DO22" i="59" s="1"/>
  <c r="DO145" i="59" s="1"/>
  <c r="DE34" i="57"/>
  <c r="DE4" i="57"/>
  <c r="DG19" i="55"/>
  <c r="DG20" i="55"/>
  <c r="DE26" i="57"/>
  <c r="V214" i="53"/>
  <c r="CA9" i="57"/>
  <c r="V213" i="53"/>
  <c r="S227" i="54"/>
  <c r="AZ177" i="55" s="1"/>
  <c r="DL177" i="55" s="1"/>
  <c r="S226" i="54"/>
  <c r="AZ176" i="55" s="1"/>
  <c r="DL176" i="55" s="1"/>
  <c r="CC66" i="55"/>
  <c r="CC35" i="57" s="1"/>
  <c r="CC26" i="57"/>
  <c r="S225" i="54"/>
  <c r="CC112" i="55"/>
  <c r="CC7" i="57" s="1"/>
  <c r="CD37" i="55"/>
  <c r="CD13" i="57" s="1"/>
  <c r="CD59" i="55"/>
  <c r="CD24" i="57" s="1"/>
  <c r="CD105" i="55"/>
  <c r="CA41" i="57"/>
  <c r="Q32" i="59"/>
  <c r="O32" i="59"/>
  <c r="CD106" i="55"/>
  <c r="CD16" i="57" s="1"/>
  <c r="CD174" i="55"/>
  <c r="CD181" i="55" s="1"/>
  <c r="CD10" i="57" s="1"/>
  <c r="CD83" i="55"/>
  <c r="CD15" i="57" s="1"/>
  <c r="S121" i="59"/>
  <c r="M7" i="57"/>
  <c r="M37" i="57"/>
  <c r="AR152" i="55"/>
  <c r="DD152" i="55" s="1"/>
  <c r="AR27" i="57"/>
  <c r="AR17" i="57"/>
  <c r="N23" i="57"/>
  <c r="N13" i="57"/>
  <c r="M8" i="57"/>
  <c r="M38" i="57"/>
  <c r="AS10" i="57"/>
  <c r="AS40" i="57"/>
  <c r="M5" i="57"/>
  <c r="M35" i="57"/>
  <c r="AQ9" i="57"/>
  <c r="AQ39" i="57"/>
  <c r="L28" i="57"/>
  <c r="L30" i="57" s="1"/>
  <c r="L18" i="57"/>
  <c r="L20" i="57" s="1"/>
  <c r="L149" i="59" s="1"/>
  <c r="L155" i="59" s="1"/>
  <c r="P121" i="59"/>
  <c r="AR7" i="57"/>
  <c r="AR37" i="57"/>
  <c r="N24" i="57"/>
  <c r="N14" i="57"/>
  <c r="AS8" i="57"/>
  <c r="AS38" i="57"/>
  <c r="L9" i="57"/>
  <c r="L39" i="57"/>
  <c r="L41" i="57" s="1"/>
  <c r="CC10" i="57"/>
  <c r="CC40" i="57"/>
  <c r="CC4" i="57"/>
  <c r="CC34" i="57"/>
  <c r="AR5" i="57"/>
  <c r="AR35" i="57"/>
  <c r="CB152" i="55"/>
  <c r="CB27" i="57"/>
  <c r="M6" i="57"/>
  <c r="M36" i="57"/>
  <c r="M10" i="57"/>
  <c r="M40" i="57"/>
  <c r="AS5" i="57"/>
  <c r="AS35" i="57"/>
  <c r="CC6" i="57"/>
  <c r="CC36" i="57"/>
  <c r="AR6" i="57"/>
  <c r="AR36" i="57"/>
  <c r="AR4" i="57"/>
  <c r="AR34" i="57"/>
  <c r="N29" i="57"/>
  <c r="N19" i="57"/>
  <c r="CD82" i="55"/>
  <c r="M152" i="55"/>
  <c r="M17" i="57"/>
  <c r="M27" i="57"/>
  <c r="AS6" i="57"/>
  <c r="AS36" i="57"/>
  <c r="M4" i="57"/>
  <c r="M34" i="57"/>
  <c r="N25" i="57"/>
  <c r="N15" i="57"/>
  <c r="AS4" i="57"/>
  <c r="AS34" i="57"/>
  <c r="AS7" i="57"/>
  <c r="AS37" i="57"/>
  <c r="AR10" i="57"/>
  <c r="AR40" i="57"/>
  <c r="N129" i="55"/>
  <c r="N135" i="55" s="1"/>
  <c r="N26" i="57"/>
  <c r="N16" i="57"/>
  <c r="AS152" i="55"/>
  <c r="DE152" i="55" s="1"/>
  <c r="DE158" i="55" s="1"/>
  <c r="AS17" i="57"/>
  <c r="AS27" i="57"/>
  <c r="N128" i="59"/>
  <c r="Q95" i="59"/>
  <c r="Q123" i="59"/>
  <c r="O95" i="59"/>
  <c r="O123" i="59"/>
  <c r="AT97" i="59"/>
  <c r="AT124" i="59"/>
  <c r="CE97" i="59"/>
  <c r="CE124" i="59"/>
  <c r="O94" i="59"/>
  <c r="O122" i="59"/>
  <c r="CE100" i="59"/>
  <c r="CE127" i="59"/>
  <c r="AT99" i="59"/>
  <c r="AT126" i="59"/>
  <c r="CE98" i="59"/>
  <c r="CE125" i="59"/>
  <c r="AT98" i="59"/>
  <c r="AT125" i="59"/>
  <c r="AU94" i="59"/>
  <c r="AU122" i="59"/>
  <c r="CD95" i="59"/>
  <c r="CD123" i="59"/>
  <c r="AU95" i="59"/>
  <c r="AU123" i="59"/>
  <c r="CE99" i="59"/>
  <c r="CE126" i="59"/>
  <c r="AT100" i="59"/>
  <c r="AT127" i="59"/>
  <c r="CD94" i="59"/>
  <c r="CD122" i="59"/>
  <c r="CC128" i="59"/>
  <c r="CF92" i="59"/>
  <c r="S93" i="59"/>
  <c r="P93" i="59"/>
  <c r="N102" i="59"/>
  <c r="N58" i="59"/>
  <c r="CE54" i="59"/>
  <c r="AT56" i="59"/>
  <c r="CE55" i="59"/>
  <c r="AT55" i="59"/>
  <c r="CC58" i="59"/>
  <c r="AT57" i="59"/>
  <c r="CE57" i="59"/>
  <c r="CC102" i="59"/>
  <c r="AT54" i="59"/>
  <c r="CE56" i="59"/>
  <c r="BD9" i="55"/>
  <c r="X22" i="59"/>
  <c r="X145" i="59" s="1"/>
  <c r="AT25" i="59"/>
  <c r="AT148" i="59" s="1"/>
  <c r="CE19" i="55"/>
  <c r="CE105" i="55" s="1"/>
  <c r="CE25" i="59"/>
  <c r="CE148" i="59" s="1"/>
  <c r="P58" i="58"/>
  <c r="P5" i="58" s="1"/>
  <c r="AV58" i="58"/>
  <c r="T226" i="53"/>
  <c r="U176" i="55" s="1"/>
  <c r="T229" i="53"/>
  <c r="U179" i="55" s="1"/>
  <c r="T225" i="53"/>
  <c r="T228" i="53"/>
  <c r="U178" i="55" s="1"/>
  <c r="T227" i="53"/>
  <c r="U177" i="55" s="1"/>
  <c r="S59" i="58"/>
  <c r="AW59" i="58"/>
  <c r="N181" i="55"/>
  <c r="AU105" i="55"/>
  <c r="AU82" i="55"/>
  <c r="DG82" i="55" s="1"/>
  <c r="AU174" i="55"/>
  <c r="DG174" i="55" s="1"/>
  <c r="Q105" i="55"/>
  <c r="Q128" i="55" s="1"/>
  <c r="Q82" i="55"/>
  <c r="Q174" i="55"/>
  <c r="O106" i="55"/>
  <c r="O83" i="55"/>
  <c r="O175" i="55"/>
  <c r="AU106" i="55"/>
  <c r="DG106" i="55" s="1"/>
  <c r="AU83" i="55"/>
  <c r="DG83" i="55" s="1"/>
  <c r="AU175" i="55"/>
  <c r="DG175" i="55" s="1"/>
  <c r="Q83" i="55"/>
  <c r="Q106" i="55"/>
  <c r="Q175" i="55"/>
  <c r="CC151" i="55"/>
  <c r="N151" i="55"/>
  <c r="U210" i="53"/>
  <c r="U230" i="53" s="1"/>
  <c r="V180" i="55" s="1"/>
  <c r="V172" i="55"/>
  <c r="T200" i="53"/>
  <c r="T204" i="53" s="1"/>
  <c r="CG178" i="55" s="1"/>
  <c r="CG172" i="55"/>
  <c r="V210" i="53"/>
  <c r="V227" i="53" s="1"/>
  <c r="W177" i="55" s="1"/>
  <c r="W172" i="55"/>
  <c r="CD128" i="55"/>
  <c r="O105" i="55"/>
  <c r="O128" i="55" s="1"/>
  <c r="O82" i="55"/>
  <c r="O174" i="55"/>
  <c r="W211" i="53"/>
  <c r="W212" i="53" s="1"/>
  <c r="N112" i="55"/>
  <c r="AU59" i="55"/>
  <c r="DG59" i="55" s="1"/>
  <c r="Q59" i="55"/>
  <c r="Q36" i="55"/>
  <c r="O60" i="55"/>
  <c r="O37" i="55"/>
  <c r="AU60" i="55"/>
  <c r="DG60" i="55" s="1"/>
  <c r="Q60" i="55"/>
  <c r="Q37" i="55"/>
  <c r="O59" i="55"/>
  <c r="O36" i="55"/>
  <c r="N89" i="55"/>
  <c r="AU36" i="55"/>
  <c r="DG36" i="55" s="1"/>
  <c r="N66" i="55"/>
  <c r="N43" i="55"/>
  <c r="AU37" i="55"/>
  <c r="DG37" i="55" s="1"/>
  <c r="Q262" i="54"/>
  <c r="AX78" i="51" s="1"/>
  <c r="AX77" i="51"/>
  <c r="R261" i="54"/>
  <c r="CE6" i="55"/>
  <c r="AT7" i="55"/>
  <c r="S236" i="54"/>
  <c r="S14" i="55"/>
  <c r="S28" i="59" s="1"/>
  <c r="S16" i="55"/>
  <c r="S30" i="59" s="1"/>
  <c r="S12" i="55"/>
  <c r="S26" i="59" s="1"/>
  <c r="S53" i="59" s="1"/>
  <c r="S11" i="55"/>
  <c r="S13" i="55"/>
  <c r="S27" i="59" s="1"/>
  <c r="S15" i="55"/>
  <c r="S29" i="59" s="1"/>
  <c r="AT20" i="55"/>
  <c r="AT19" i="55"/>
  <c r="V207" i="54"/>
  <c r="BC4" i="55"/>
  <c r="Q256" i="54"/>
  <c r="AX74" i="51"/>
  <c r="AX76" i="51" s="1"/>
  <c r="AX10" i="55"/>
  <c r="P256" i="54"/>
  <c r="AW74" i="51"/>
  <c r="AW76" i="51" s="1"/>
  <c r="AW10" i="55"/>
  <c r="V162" i="54"/>
  <c r="AT6" i="55"/>
  <c r="P13" i="55"/>
  <c r="P27" i="59" s="1"/>
  <c r="P150" i="59" s="1"/>
  <c r="P16" i="55"/>
  <c r="P30" i="59" s="1"/>
  <c r="P11" i="55"/>
  <c r="P15" i="55"/>
  <c r="P29" i="59" s="1"/>
  <c r="P152" i="59" s="1"/>
  <c r="P14" i="55"/>
  <c r="P28" i="59" s="1"/>
  <c r="P151" i="59" s="1"/>
  <c r="P12" i="55"/>
  <c r="P26" i="59" s="1"/>
  <c r="P53" i="59" s="1"/>
  <c r="Q256" i="53"/>
  <c r="R74" i="51"/>
  <c r="R76" i="51" s="1"/>
  <c r="R10" i="55"/>
  <c r="R23" i="59" s="1"/>
  <c r="R146" i="59" s="1"/>
  <c r="R256" i="53"/>
  <c r="S75" i="51"/>
  <c r="S76" i="51" s="1"/>
  <c r="CF16" i="55"/>
  <c r="CF30" i="59" s="1"/>
  <c r="CF13" i="55"/>
  <c r="CF27" i="59" s="1"/>
  <c r="CF150" i="59" s="1"/>
  <c r="CF12" i="55"/>
  <c r="CF26" i="59" s="1"/>
  <c r="CF53" i="59" s="1"/>
  <c r="CF14" i="55"/>
  <c r="CF28" i="59" s="1"/>
  <c r="CF151" i="59" s="1"/>
  <c r="CF11" i="55"/>
  <c r="CF15" i="55"/>
  <c r="CF29" i="59" s="1"/>
  <c r="CF152" i="59" s="1"/>
  <c r="CE7" i="55"/>
  <c r="AV12" i="55"/>
  <c r="AV26" i="59" s="1"/>
  <c r="AV53" i="59" s="1"/>
  <c r="AV13" i="55"/>
  <c r="AV27" i="59" s="1"/>
  <c r="AV150" i="59" s="1"/>
  <c r="AV15" i="55"/>
  <c r="AV29" i="59" s="1"/>
  <c r="AV152" i="59" s="1"/>
  <c r="AV11" i="55"/>
  <c r="AV16" i="55"/>
  <c r="AV30" i="59" s="1"/>
  <c r="AV14" i="55"/>
  <c r="AV28" i="59" s="1"/>
  <c r="AV151" i="59" s="1"/>
  <c r="S237" i="53"/>
  <c r="S238" i="53" s="1"/>
  <c r="S240" i="53" s="1"/>
  <c r="S261" i="53" s="1"/>
  <c r="BE65" i="51"/>
  <c r="X40" i="54"/>
  <c r="AC46" i="54" s="1"/>
  <c r="AC159" i="54" s="1"/>
  <c r="X80" i="53"/>
  <c r="X74" i="53"/>
  <c r="X75" i="53" s="1"/>
  <c r="Y57" i="51" s="1"/>
  <c r="X78" i="53"/>
  <c r="X72" i="53"/>
  <c r="X73" i="53" s="1"/>
  <c r="Y49" i="51" s="1"/>
  <c r="BE49" i="51" s="1"/>
  <c r="X47" i="53"/>
  <c r="U212" i="54"/>
  <c r="U213" i="54"/>
  <c r="U215" i="54"/>
  <c r="U214" i="54"/>
  <c r="T236" i="54"/>
  <c r="T166" i="54"/>
  <c r="CG9" i="55" s="1"/>
  <c r="CG22" i="59" s="1"/>
  <c r="CG145" i="59" s="1"/>
  <c r="S199" i="54"/>
  <c r="S200" i="54" s="1"/>
  <c r="S244" i="53"/>
  <c r="V223" i="53"/>
  <c r="V222" i="53"/>
  <c r="V234" i="53" s="1"/>
  <c r="V235" i="53" s="1"/>
  <c r="BE48" i="51"/>
  <c r="X36" i="54"/>
  <c r="X42" i="54" s="1"/>
  <c r="AC141" i="54"/>
  <c r="AC142" i="54" s="1"/>
  <c r="AC139" i="54"/>
  <c r="AC140" i="54" s="1"/>
  <c r="AC137" i="54"/>
  <c r="AC138" i="54" s="1"/>
  <c r="W232" i="53"/>
  <c r="W233" i="53" s="1"/>
  <c r="W209" i="53"/>
  <c r="R202" i="54"/>
  <c r="R201" i="54"/>
  <c r="R203" i="54"/>
  <c r="R205" i="54"/>
  <c r="R206" i="54"/>
  <c r="R204" i="54"/>
  <c r="AA25" i="51"/>
  <c r="S221" i="53"/>
  <c r="S220" i="53"/>
  <c r="S224" i="53" s="1"/>
  <c r="W47" i="54"/>
  <c r="W80" i="54"/>
  <c r="W78" i="54"/>
  <c r="W79" i="54" s="1"/>
  <c r="W72" i="54"/>
  <c r="W73" i="54" s="1"/>
  <c r="W74" i="54"/>
  <c r="W75" i="54" s="1"/>
  <c r="BD61" i="51"/>
  <c r="X71" i="51"/>
  <c r="X73" i="51" s="1"/>
  <c r="X64" i="51"/>
  <c r="S219" i="54"/>
  <c r="S218" i="54"/>
  <c r="U217" i="53"/>
  <c r="U216" i="53"/>
  <c r="T219" i="54"/>
  <c r="T218" i="54"/>
  <c r="BF55" i="51"/>
  <c r="Y39" i="54"/>
  <c r="AD45" i="54" s="1"/>
  <c r="BB71" i="51"/>
  <c r="BB73" i="51" s="1"/>
  <c r="BB64" i="51"/>
  <c r="U222" i="53"/>
  <c r="U234" i="53" s="1"/>
  <c r="U235" i="53" s="1"/>
  <c r="U223" i="53"/>
  <c r="BF59" i="51"/>
  <c r="Y38" i="54"/>
  <c r="V229" i="53"/>
  <c r="W179" i="55" s="1"/>
  <c r="V226" i="53"/>
  <c r="W176" i="55" s="1"/>
  <c r="V230" i="53"/>
  <c r="W180" i="55" s="1"/>
  <c r="V228" i="53"/>
  <c r="W178" i="55" s="1"/>
  <c r="V225" i="53"/>
  <c r="U232" i="54"/>
  <c r="U233" i="54" s="1"/>
  <c r="U209" i="54"/>
  <c r="DN172" i="55" s="1"/>
  <c r="BF52" i="51"/>
  <c r="BF54" i="51" s="1"/>
  <c r="Y37" i="54"/>
  <c r="BC71" i="51"/>
  <c r="BC73" i="51" s="1"/>
  <c r="BC64" i="51"/>
  <c r="T219" i="53"/>
  <c r="T218" i="53"/>
  <c r="V81" i="54"/>
  <c r="V165" i="54"/>
  <c r="Z48" i="51"/>
  <c r="Y36" i="53"/>
  <c r="Y42" i="53" s="1"/>
  <c r="AA59" i="51"/>
  <c r="Z38" i="53"/>
  <c r="T236" i="53"/>
  <c r="T239" i="53" s="1"/>
  <c r="R245" i="54"/>
  <c r="R254" i="54" s="1"/>
  <c r="AY75" i="51" s="1"/>
  <c r="V208" i="54"/>
  <c r="V211" i="54"/>
  <c r="V216" i="53"/>
  <c r="V217" i="53"/>
  <c r="AD139" i="53"/>
  <c r="AD141" i="53"/>
  <c r="AD137" i="53"/>
  <c r="AE56" i="51" s="1"/>
  <c r="BK56" i="51" s="1"/>
  <c r="V166" i="53"/>
  <c r="U199" i="53"/>
  <c r="AA65" i="51"/>
  <c r="Z40" i="53"/>
  <c r="AE46" i="53" s="1"/>
  <c r="AE159" i="53" s="1"/>
  <c r="AD160" i="53"/>
  <c r="AE66" i="51" s="1"/>
  <c r="BK66" i="51" s="1"/>
  <c r="AC142" i="53"/>
  <c r="AD69" i="51" s="1"/>
  <c r="BJ69" i="51" s="1"/>
  <c r="AA55" i="51"/>
  <c r="Z39" i="53"/>
  <c r="AE45" i="53" s="1"/>
  <c r="AC138" i="53"/>
  <c r="AC140" i="53"/>
  <c r="AD63" i="51" s="1"/>
  <c r="BJ63" i="51" s="1"/>
  <c r="BF44" i="51"/>
  <c r="BG15" i="51"/>
  <c r="BG17" i="51" s="1"/>
  <c r="BE46" i="51"/>
  <c r="AC36" i="51"/>
  <c r="AC38" i="51" s="1"/>
  <c r="AC20" i="59" s="1"/>
  <c r="BG33" i="51"/>
  <c r="BG35" i="51" s="1"/>
  <c r="AB33" i="51"/>
  <c r="AB35" i="51" s="1"/>
  <c r="BG24" i="51"/>
  <c r="BF43" i="51"/>
  <c r="BG29" i="51"/>
  <c r="AB29" i="51"/>
  <c r="BF39" i="51"/>
  <c r="BF25" i="51"/>
  <c r="Z46" i="51"/>
  <c r="AB38" i="51"/>
  <c r="AB20" i="59" s="1"/>
  <c r="AB37" i="51"/>
  <c r="AB19" i="59" s="1"/>
  <c r="BH13" i="51"/>
  <c r="BH12" i="59" s="1"/>
  <c r="BH14" i="51"/>
  <c r="BH13" i="59" s="1"/>
  <c r="AE10" i="51"/>
  <c r="BJ10" i="51"/>
  <c r="AD12" i="51"/>
  <c r="AC14" i="51"/>
  <c r="AC13" i="59" s="1"/>
  <c r="AC13" i="51"/>
  <c r="AC12" i="59" s="1"/>
  <c r="AC27" i="51"/>
  <c r="AC14" i="59" s="1"/>
  <c r="AD26" i="51"/>
  <c r="AC28" i="51"/>
  <c r="AC15" i="59" s="1"/>
  <c r="BI26" i="51"/>
  <c r="BG21" i="51"/>
  <c r="BH32" i="51"/>
  <c r="BH17" i="59" s="1"/>
  <c r="BH31" i="51"/>
  <c r="BH16" i="59" s="1"/>
  <c r="BH34" i="51"/>
  <c r="BH18" i="59" s="1"/>
  <c r="AB21" i="51"/>
  <c r="AC20" i="51"/>
  <c r="AC9" i="59" s="1"/>
  <c r="AD18" i="51"/>
  <c r="AC19" i="51"/>
  <c r="AC8" i="59" s="1"/>
  <c r="BI18" i="51"/>
  <c r="AC22" i="51"/>
  <c r="AC10" i="59" s="1"/>
  <c r="AC23" i="51"/>
  <c r="AC11" i="59" s="1"/>
  <c r="BI12" i="51"/>
  <c r="BH28" i="51"/>
  <c r="BH15" i="59" s="1"/>
  <c r="BH27" i="51"/>
  <c r="BH14" i="59" s="1"/>
  <c r="BH36" i="51"/>
  <c r="BG38" i="51"/>
  <c r="BG20" i="59" s="1"/>
  <c r="BG37" i="51"/>
  <c r="BG19" i="59" s="1"/>
  <c r="AA43" i="51"/>
  <c r="AA46" i="51" s="1"/>
  <c r="AA17" i="51"/>
  <c r="AB15" i="51"/>
  <c r="AD30" i="51"/>
  <c r="BI30" i="51"/>
  <c r="AC34" i="51"/>
  <c r="AC18" i="59" s="1"/>
  <c r="AC32" i="51"/>
  <c r="AC17" i="59" s="1"/>
  <c r="AC31" i="51"/>
  <c r="AC16" i="59" s="1"/>
  <c r="BH22" i="51"/>
  <c r="BH10" i="59" s="1"/>
  <c r="BH19" i="51"/>
  <c r="BH8" i="59" s="1"/>
  <c r="BH23" i="51"/>
  <c r="BH11" i="59" s="1"/>
  <c r="BH20" i="51"/>
  <c r="BH9" i="59" s="1"/>
  <c r="AB24" i="51"/>
  <c r="CE106" i="55" l="1"/>
  <c r="CE16" i="57" s="1"/>
  <c r="CE59" i="55"/>
  <c r="CE36" i="55"/>
  <c r="CE60" i="55"/>
  <c r="CE14" i="57" s="1"/>
  <c r="CE175" i="55"/>
  <c r="CE19" i="57" s="1"/>
  <c r="CB38" i="57"/>
  <c r="CE37" i="55"/>
  <c r="CE13" i="57" s="1"/>
  <c r="BF75" i="59"/>
  <c r="P24" i="59"/>
  <c r="CF24" i="59"/>
  <c r="DG151" i="59"/>
  <c r="P51" i="59"/>
  <c r="P147" i="59"/>
  <c r="CF51" i="59"/>
  <c r="CF147" i="59"/>
  <c r="BG91" i="59"/>
  <c r="BG118" i="59"/>
  <c r="BG48" i="59"/>
  <c r="BG74" i="59"/>
  <c r="AB47" i="59"/>
  <c r="AB90" i="59"/>
  <c r="AB117" i="59"/>
  <c r="AB73" i="59"/>
  <c r="BH46" i="59"/>
  <c r="BH89" i="59"/>
  <c r="BH116" i="59"/>
  <c r="BH72" i="59"/>
  <c r="AC48" i="59"/>
  <c r="AC74" i="59"/>
  <c r="AC91" i="59"/>
  <c r="AC118" i="59"/>
  <c r="AT51" i="59"/>
  <c r="AT147" i="59"/>
  <c r="AU147" i="59"/>
  <c r="DG150" i="59"/>
  <c r="Q152" i="59"/>
  <c r="AC45" i="59"/>
  <c r="AC88" i="59"/>
  <c r="AC115" i="59"/>
  <c r="AC71" i="59"/>
  <c r="BH45" i="59"/>
  <c r="BH88" i="59"/>
  <c r="BH115" i="59"/>
  <c r="BH71" i="59"/>
  <c r="AC44" i="59"/>
  <c r="AC87" i="59"/>
  <c r="AC114" i="59"/>
  <c r="AC70" i="59"/>
  <c r="BG90" i="59"/>
  <c r="BG117" i="59"/>
  <c r="BG47" i="59"/>
  <c r="BG73" i="59"/>
  <c r="P101" i="59"/>
  <c r="P153" i="59"/>
  <c r="S24" i="59"/>
  <c r="CD89" i="55"/>
  <c r="CC37" i="57"/>
  <c r="DC149" i="59"/>
  <c r="DC155" i="59" s="1"/>
  <c r="DF101" i="59"/>
  <c r="DF153" i="59"/>
  <c r="BH41" i="59"/>
  <c r="BH111" i="59"/>
  <c r="BH84" i="59"/>
  <c r="BH67" i="59"/>
  <c r="S101" i="59"/>
  <c r="AA117" i="59"/>
  <c r="AA47" i="59"/>
  <c r="AA73" i="59"/>
  <c r="AA75" i="59" s="1"/>
  <c r="AA90" i="59"/>
  <c r="Q151" i="59"/>
  <c r="AC89" i="59"/>
  <c r="AC46" i="59"/>
  <c r="AC116" i="59"/>
  <c r="AC72" i="59"/>
  <c r="AC113" i="59"/>
  <c r="AC86" i="59"/>
  <c r="AC43" i="59"/>
  <c r="AC69" i="59"/>
  <c r="BH68" i="59"/>
  <c r="BH85" i="59"/>
  <c r="BH112" i="59"/>
  <c r="BH42" i="59"/>
  <c r="BH40" i="59"/>
  <c r="BH83" i="59"/>
  <c r="BH110" i="59"/>
  <c r="BH66" i="59"/>
  <c r="AV101" i="59"/>
  <c r="AV153" i="59"/>
  <c r="S146" i="59"/>
  <c r="BH113" i="59"/>
  <c r="BH43" i="59"/>
  <c r="BH86" i="59"/>
  <c r="BH69" i="59"/>
  <c r="CD23" i="57"/>
  <c r="AU148" i="59"/>
  <c r="AC110" i="59"/>
  <c r="AC40" i="59"/>
  <c r="AC66" i="59"/>
  <c r="AC83" i="59"/>
  <c r="AB91" i="59"/>
  <c r="AB48" i="59"/>
  <c r="AB118" i="59"/>
  <c r="AB74" i="59"/>
  <c r="Q153" i="59"/>
  <c r="DG153" i="59"/>
  <c r="AC85" i="59"/>
  <c r="AC112" i="59"/>
  <c r="AC42" i="59"/>
  <c r="AC68" i="59"/>
  <c r="BH87" i="59"/>
  <c r="BH114" i="59"/>
  <c r="BH44" i="59"/>
  <c r="BH70" i="59"/>
  <c r="AC41" i="59"/>
  <c r="AC84" i="59"/>
  <c r="AC111" i="59"/>
  <c r="AC67" i="59"/>
  <c r="CF101" i="59"/>
  <c r="CF153" i="59"/>
  <c r="Q51" i="59"/>
  <c r="Q147" i="59"/>
  <c r="Q150" i="59"/>
  <c r="DG152" i="59"/>
  <c r="Q154" i="59"/>
  <c r="DG154" i="59"/>
  <c r="AU154" i="59"/>
  <c r="DF100" i="59"/>
  <c r="DF127" i="59"/>
  <c r="DF57" i="59"/>
  <c r="AW11" i="58"/>
  <c r="AW6" i="58"/>
  <c r="CC27" i="57"/>
  <c r="T206" i="53"/>
  <c r="CG180" i="55" s="1"/>
  <c r="CD66" i="55"/>
  <c r="CD35" i="57" s="1"/>
  <c r="S11" i="58"/>
  <c r="S6" i="58"/>
  <c r="CC152" i="55"/>
  <c r="CC18" i="57" s="1"/>
  <c r="CC20" i="57" s="1"/>
  <c r="DF126" i="59"/>
  <c r="DF56" i="59"/>
  <c r="DF99" i="59"/>
  <c r="T201" i="53"/>
  <c r="CB28" i="57"/>
  <c r="CB18" i="57"/>
  <c r="CB20" i="57" s="1"/>
  <c r="CB149" i="59" s="1"/>
  <c r="CB155" i="59" s="1"/>
  <c r="DF55" i="59"/>
  <c r="DF98" i="59"/>
  <c r="DF125" i="59"/>
  <c r="T202" i="53"/>
  <c r="CG176" i="55" s="1"/>
  <c r="W214" i="53"/>
  <c r="AR158" i="55"/>
  <c r="AR39" i="57" s="1"/>
  <c r="DG51" i="59"/>
  <c r="DG122" i="59"/>
  <c r="DG94" i="59"/>
  <c r="T203" i="53"/>
  <c r="CG177" i="55" s="1"/>
  <c r="DG52" i="59"/>
  <c r="DG95" i="59"/>
  <c r="DG123" i="59"/>
  <c r="DG96" i="59"/>
  <c r="T205" i="53"/>
  <c r="CG179" i="55" s="1"/>
  <c r="CD43" i="55"/>
  <c r="CD4" i="57" s="1"/>
  <c r="CC135" i="55"/>
  <c r="CC8" i="57" s="1"/>
  <c r="DG89" i="55"/>
  <c r="AR8" i="57"/>
  <c r="DF25" i="59"/>
  <c r="DF148" i="59" s="1"/>
  <c r="DF24" i="59"/>
  <c r="DF147" i="59" s="1"/>
  <c r="DO49" i="59"/>
  <c r="DO120" i="59"/>
  <c r="DO92" i="59"/>
  <c r="DN49" i="59"/>
  <c r="DN92" i="59"/>
  <c r="DN120" i="59"/>
  <c r="DH50" i="59"/>
  <c r="DH93" i="59"/>
  <c r="DH121" i="59"/>
  <c r="DH31" i="59"/>
  <c r="DH154" i="59" s="1"/>
  <c r="DF53" i="59"/>
  <c r="DF97" i="59"/>
  <c r="DF124" i="59"/>
  <c r="DF54" i="59"/>
  <c r="DG53" i="59"/>
  <c r="DG97" i="59"/>
  <c r="DG124" i="59"/>
  <c r="DG54" i="59"/>
  <c r="R50" i="59"/>
  <c r="R31" i="59"/>
  <c r="R154" i="59" s="1"/>
  <c r="AV50" i="59"/>
  <c r="AV24" i="59"/>
  <c r="AV31" i="59"/>
  <c r="AV154" i="59" s="1"/>
  <c r="CE96" i="59"/>
  <c r="CE52" i="59"/>
  <c r="BC49" i="59"/>
  <c r="BB120" i="59"/>
  <c r="BB49" i="59"/>
  <c r="CG120" i="59"/>
  <c r="CG49" i="59"/>
  <c r="CG31" i="59"/>
  <c r="CG154" i="59" s="1"/>
  <c r="AT96" i="59"/>
  <c r="AT52" i="59"/>
  <c r="BC92" i="59"/>
  <c r="X49" i="59"/>
  <c r="AB75" i="59"/>
  <c r="BH82" i="59"/>
  <c r="BH109" i="59"/>
  <c r="BH39" i="59"/>
  <c r="BH65" i="59"/>
  <c r="BH36" i="59"/>
  <c r="BH79" i="59"/>
  <c r="BH106" i="59"/>
  <c r="BH62" i="59"/>
  <c r="AC79" i="59"/>
  <c r="AC106" i="59"/>
  <c r="AC36" i="59"/>
  <c r="AC62" i="59"/>
  <c r="AC37" i="59"/>
  <c r="AC80" i="59"/>
  <c r="AC107" i="59"/>
  <c r="AC63" i="59"/>
  <c r="BH37" i="59"/>
  <c r="BH80" i="59"/>
  <c r="BH107" i="59"/>
  <c r="BH63" i="59"/>
  <c r="AC82" i="59"/>
  <c r="AC109" i="59"/>
  <c r="AC39" i="59"/>
  <c r="AC65" i="59"/>
  <c r="DF6" i="55"/>
  <c r="BG75" i="59"/>
  <c r="BH81" i="59"/>
  <c r="BH108" i="59"/>
  <c r="BH38" i="59"/>
  <c r="BH64" i="59"/>
  <c r="AC81" i="59"/>
  <c r="AC108" i="59"/>
  <c r="AC38" i="59"/>
  <c r="AC64" i="59"/>
  <c r="O128" i="59"/>
  <c r="Q94" i="59"/>
  <c r="Q102" i="59" s="1"/>
  <c r="Q122" i="59"/>
  <c r="Q128" i="59" s="1"/>
  <c r="BB92" i="59"/>
  <c r="BC120" i="59"/>
  <c r="DE39" i="57"/>
  <c r="DE9" i="57"/>
  <c r="AV121" i="59"/>
  <c r="DG43" i="55"/>
  <c r="AV93" i="59"/>
  <c r="BD22" i="59"/>
  <c r="BD145" i="59" s="1"/>
  <c r="DP9" i="55"/>
  <c r="DP22" i="59" s="1"/>
  <c r="DP145" i="59" s="1"/>
  <c r="DF7" i="55"/>
  <c r="DB39" i="57"/>
  <c r="DB9" i="57"/>
  <c r="AX23" i="59"/>
  <c r="DJ10" i="55"/>
  <c r="DJ23" i="59" s="1"/>
  <c r="DD38" i="57"/>
  <c r="DD8" i="57"/>
  <c r="DG13" i="57"/>
  <c r="DG23" i="57"/>
  <c r="DG29" i="57"/>
  <c r="DG19" i="57"/>
  <c r="DD18" i="57"/>
  <c r="DD28" i="57"/>
  <c r="DD158" i="55"/>
  <c r="DE27" i="57"/>
  <c r="DE17" i="57"/>
  <c r="AW23" i="59"/>
  <c r="AW146" i="59" s="1"/>
  <c r="DI10" i="55"/>
  <c r="DI23" i="59" s="1"/>
  <c r="DI146" i="59" s="1"/>
  <c r="DG25" i="57"/>
  <c r="DG15" i="57"/>
  <c r="DE38" i="57"/>
  <c r="DE8" i="57"/>
  <c r="DG66" i="55"/>
  <c r="DG16" i="57"/>
  <c r="DG181" i="55"/>
  <c r="CD26" i="57"/>
  <c r="DF19" i="55"/>
  <c r="DF20" i="55"/>
  <c r="DD27" i="57"/>
  <c r="DD17" i="57"/>
  <c r="AU128" i="55"/>
  <c r="DG128" i="55" s="1"/>
  <c r="DG105" i="55"/>
  <c r="DG112" i="55" s="1"/>
  <c r="DG24" i="57"/>
  <c r="DG14" i="57"/>
  <c r="DG36" i="57"/>
  <c r="DG6" i="57"/>
  <c r="DE28" i="57"/>
  <c r="DE18" i="57"/>
  <c r="DH14" i="55"/>
  <c r="DH28" i="59" s="1"/>
  <c r="DH151" i="59" s="1"/>
  <c r="DH13" i="55"/>
  <c r="DH27" i="59" s="1"/>
  <c r="DH150" i="59" s="1"/>
  <c r="DH12" i="55"/>
  <c r="DH26" i="59" s="1"/>
  <c r="DH16" i="55"/>
  <c r="DH30" i="59" s="1"/>
  <c r="DH15" i="55"/>
  <c r="DH29" i="59" s="1"/>
  <c r="DH152" i="59" s="1"/>
  <c r="DH11" i="55"/>
  <c r="CD112" i="55"/>
  <c r="CD7" i="57" s="1"/>
  <c r="O181" i="55"/>
  <c r="O10" i="57" s="1"/>
  <c r="CD129" i="55"/>
  <c r="CD17" i="57" s="1"/>
  <c r="CC5" i="57"/>
  <c r="CE174" i="55"/>
  <c r="CE29" i="57" s="1"/>
  <c r="CE23" i="57"/>
  <c r="CD25" i="57"/>
  <c r="CE24" i="57"/>
  <c r="CD40" i="57"/>
  <c r="CD29" i="57"/>
  <c r="CC158" i="55"/>
  <c r="CC9" i="57" s="1"/>
  <c r="CB30" i="57"/>
  <c r="Q24" i="57"/>
  <c r="Q14" i="57"/>
  <c r="N8" i="57"/>
  <c r="N38" i="57"/>
  <c r="Q25" i="57"/>
  <c r="Q15" i="57"/>
  <c r="AR9" i="57"/>
  <c r="N4" i="57"/>
  <c r="N34" i="57"/>
  <c r="AU24" i="57"/>
  <c r="AU14" i="57"/>
  <c r="AU29" i="57"/>
  <c r="AU19" i="57"/>
  <c r="N5" i="57"/>
  <c r="N35" i="57"/>
  <c r="O23" i="57"/>
  <c r="O13" i="57"/>
  <c r="CD6" i="57"/>
  <c r="CD36" i="57"/>
  <c r="AU25" i="57"/>
  <c r="AU15" i="57"/>
  <c r="CE129" i="55"/>
  <c r="CE17" i="57" s="1"/>
  <c r="CE26" i="57"/>
  <c r="O24" i="57"/>
  <c r="O14" i="57"/>
  <c r="N7" i="57"/>
  <c r="N37" i="57"/>
  <c r="AU129" i="55"/>
  <c r="AU26" i="57"/>
  <c r="AU16" i="57"/>
  <c r="N152" i="55"/>
  <c r="N27" i="57"/>
  <c r="N17" i="57"/>
  <c r="R121" i="59"/>
  <c r="N6" i="57"/>
  <c r="N36" i="57"/>
  <c r="CC38" i="57"/>
  <c r="O19" i="57"/>
  <c r="O29" i="57"/>
  <c r="CD5" i="57"/>
  <c r="O15" i="57"/>
  <c r="O25" i="57"/>
  <c r="AS28" i="57"/>
  <c r="AS30" i="57" s="1"/>
  <c r="AS18" i="57"/>
  <c r="AS20" i="57" s="1"/>
  <c r="M18" i="57"/>
  <c r="M20" i="57" s="1"/>
  <c r="M149" i="59" s="1"/>
  <c r="M155" i="59" s="1"/>
  <c r="M28" i="57"/>
  <c r="M30" i="57" s="1"/>
  <c r="CB158" i="55"/>
  <c r="M158" i="55"/>
  <c r="AR28" i="57"/>
  <c r="AR30" i="57" s="1"/>
  <c r="AR18" i="57"/>
  <c r="AR20" i="57" s="1"/>
  <c r="AR149" i="59" s="1"/>
  <c r="AR155" i="59" s="1"/>
  <c r="AU23" i="57"/>
  <c r="AU13" i="57"/>
  <c r="Q19" i="57"/>
  <c r="Q29" i="57"/>
  <c r="O129" i="55"/>
  <c r="O135" i="55" s="1"/>
  <c r="O26" i="57"/>
  <c r="O16" i="57"/>
  <c r="N10" i="57"/>
  <c r="N40" i="57"/>
  <c r="X120" i="59"/>
  <c r="Q23" i="57"/>
  <c r="Q13" i="57"/>
  <c r="Q129" i="55"/>
  <c r="Q135" i="55" s="1"/>
  <c r="Q16" i="57"/>
  <c r="Q26" i="57"/>
  <c r="CC28" i="57"/>
  <c r="CC30" i="57" s="1"/>
  <c r="AS158" i="55"/>
  <c r="S99" i="59"/>
  <c r="S126" i="59"/>
  <c r="AV100" i="59"/>
  <c r="AV127" i="59"/>
  <c r="CE94" i="59"/>
  <c r="CE122" i="59"/>
  <c r="S100" i="59"/>
  <c r="S127" i="59"/>
  <c r="CE95" i="59"/>
  <c r="CE123" i="59"/>
  <c r="CF98" i="59"/>
  <c r="CF125" i="59"/>
  <c r="AV98" i="59"/>
  <c r="AV125" i="59"/>
  <c r="AV97" i="59"/>
  <c r="AV124" i="59"/>
  <c r="S98" i="59"/>
  <c r="S125" i="59"/>
  <c r="AT95" i="59"/>
  <c r="AT123" i="59"/>
  <c r="P97" i="59"/>
  <c r="P124" i="59"/>
  <c r="P100" i="59"/>
  <c r="P127" i="59"/>
  <c r="CF100" i="59"/>
  <c r="CF127" i="59"/>
  <c r="P98" i="59"/>
  <c r="P125" i="59"/>
  <c r="CF99" i="59"/>
  <c r="CF126" i="59"/>
  <c r="CF97" i="59"/>
  <c r="CF124" i="59"/>
  <c r="P99" i="59"/>
  <c r="P126" i="59"/>
  <c r="S97" i="59"/>
  <c r="S124" i="59"/>
  <c r="AV99" i="59"/>
  <c r="AV126" i="59"/>
  <c r="AT94" i="59"/>
  <c r="AT122" i="59"/>
  <c r="CD128" i="59"/>
  <c r="P10" i="58"/>
  <c r="CG92" i="59"/>
  <c r="X92" i="59"/>
  <c r="R93" i="59"/>
  <c r="CD102" i="59"/>
  <c r="S56" i="59"/>
  <c r="CF55" i="59"/>
  <c r="AV55" i="59"/>
  <c r="P57" i="59"/>
  <c r="S57" i="59"/>
  <c r="P56" i="59"/>
  <c r="AV54" i="59"/>
  <c r="S55" i="59"/>
  <c r="CF56" i="59"/>
  <c r="P54" i="59"/>
  <c r="AV57" i="59"/>
  <c r="O58" i="59"/>
  <c r="CD58" i="59"/>
  <c r="AU102" i="59"/>
  <c r="CF54" i="59"/>
  <c r="S54" i="59"/>
  <c r="O102" i="59"/>
  <c r="Q58" i="59"/>
  <c r="CF57" i="59"/>
  <c r="P55" i="59"/>
  <c r="AV56" i="59"/>
  <c r="CE83" i="55"/>
  <c r="CE15" i="57" s="1"/>
  <c r="CE82" i="55"/>
  <c r="CF19" i="55"/>
  <c r="CF174" i="55" s="1"/>
  <c r="CF25" i="59"/>
  <c r="CF148" i="59" s="1"/>
  <c r="AV25" i="59"/>
  <c r="AV148" i="59" s="1"/>
  <c r="P25" i="59"/>
  <c r="S25" i="59"/>
  <c r="AW58" i="58"/>
  <c r="U226" i="53"/>
  <c r="V176" i="55" s="1"/>
  <c r="U225" i="53"/>
  <c r="S58" i="58"/>
  <c r="S5" i="58" s="1"/>
  <c r="U229" i="53"/>
  <c r="V179" i="55" s="1"/>
  <c r="AX58" i="58"/>
  <c r="AX59" i="58"/>
  <c r="U228" i="53"/>
  <c r="V178" i="55" s="1"/>
  <c r="U227" i="53"/>
  <c r="V177" i="55" s="1"/>
  <c r="R58" i="58"/>
  <c r="R5" i="58" s="1"/>
  <c r="Q66" i="55"/>
  <c r="AU181" i="55"/>
  <c r="O89" i="55"/>
  <c r="O66" i="55"/>
  <c r="Q43" i="55"/>
  <c r="O43" i="55"/>
  <c r="V236" i="53"/>
  <c r="V237" i="53" s="1"/>
  <c r="V238" i="53" s="1"/>
  <c r="Q151" i="55"/>
  <c r="CD151" i="55"/>
  <c r="AT106" i="55"/>
  <c r="DF106" i="55" s="1"/>
  <c r="AT83" i="55"/>
  <c r="DF83" i="55" s="1"/>
  <c r="AT175" i="55"/>
  <c r="DF175" i="55" s="1"/>
  <c r="U200" i="53"/>
  <c r="CH172" i="55"/>
  <c r="U210" i="54"/>
  <c r="U226" i="54" s="1"/>
  <c r="BB176" i="55" s="1"/>
  <c r="DN176" i="55" s="1"/>
  <c r="BB172" i="55"/>
  <c r="CF175" i="55"/>
  <c r="CF19" i="57" s="1"/>
  <c r="CE128" i="55"/>
  <c r="CE112" i="55"/>
  <c r="W210" i="53"/>
  <c r="W227" i="53" s="1"/>
  <c r="X177" i="55" s="1"/>
  <c r="X172" i="55"/>
  <c r="CF106" i="55"/>
  <c r="CF16" i="57" s="1"/>
  <c r="CF105" i="55"/>
  <c r="CF82" i="55"/>
  <c r="CF83" i="55"/>
  <c r="CF15" i="57" s="1"/>
  <c r="W215" i="53"/>
  <c r="W222" i="53" s="1"/>
  <c r="W234" i="53" s="1"/>
  <c r="W235" i="53" s="1"/>
  <c r="W213" i="53"/>
  <c r="AU43" i="55"/>
  <c r="Q181" i="55"/>
  <c r="AT105" i="55"/>
  <c r="AT82" i="55"/>
  <c r="DF82" i="55" s="1"/>
  <c r="AT174" i="55"/>
  <c r="DF174" i="55" s="1"/>
  <c r="O151" i="55"/>
  <c r="Q89" i="55"/>
  <c r="AT59" i="55"/>
  <c r="DF59" i="55" s="1"/>
  <c r="Q112" i="55"/>
  <c r="AT60" i="55"/>
  <c r="DF60" i="55" s="1"/>
  <c r="CE43" i="55"/>
  <c r="AU112" i="55"/>
  <c r="AU89" i="55"/>
  <c r="O112" i="55"/>
  <c r="AT36" i="55"/>
  <c r="DF36" i="55" s="1"/>
  <c r="AU66" i="55"/>
  <c r="AT37" i="55"/>
  <c r="DF37" i="55" s="1"/>
  <c r="CE66" i="55"/>
  <c r="CF36" i="55"/>
  <c r="CF37" i="55"/>
  <c r="CF13" i="57" s="1"/>
  <c r="S262" i="53"/>
  <c r="T78" i="51" s="1"/>
  <c r="T77" i="51"/>
  <c r="R262" i="54"/>
  <c r="AY78" i="51" s="1"/>
  <c r="AY77" i="51"/>
  <c r="S7" i="55"/>
  <c r="P19" i="55"/>
  <c r="P20" i="55"/>
  <c r="CG13" i="55"/>
  <c r="CG27" i="59" s="1"/>
  <c r="CG150" i="59" s="1"/>
  <c r="CG16" i="55"/>
  <c r="CG30" i="59" s="1"/>
  <c r="CG12" i="55"/>
  <c r="CG26" i="59" s="1"/>
  <c r="CG53" i="59" s="1"/>
  <c r="CG11" i="55"/>
  <c r="CG14" i="55"/>
  <c r="CG28" i="59" s="1"/>
  <c r="CG151" i="59" s="1"/>
  <c r="CG15" i="55"/>
  <c r="CG29" i="59" s="1"/>
  <c r="CG152" i="59" s="1"/>
  <c r="AV20" i="55"/>
  <c r="AV19" i="55"/>
  <c r="R12" i="55"/>
  <c r="R26" i="59" s="1"/>
  <c r="R53" i="59" s="1"/>
  <c r="R14" i="55"/>
  <c r="R28" i="59" s="1"/>
  <c r="R151" i="59" s="1"/>
  <c r="R11" i="55"/>
  <c r="R16" i="55"/>
  <c r="R30" i="59" s="1"/>
  <c r="R15" i="55"/>
  <c r="R29" i="59" s="1"/>
  <c r="R152" i="59" s="1"/>
  <c r="R13" i="55"/>
  <c r="R27" i="59" s="1"/>
  <c r="R150" i="59" s="1"/>
  <c r="S20" i="55"/>
  <c r="S19" i="55"/>
  <c r="P7" i="55"/>
  <c r="W207" i="54"/>
  <c r="W208" i="54" s="1"/>
  <c r="BD4" i="55"/>
  <c r="AV7" i="55"/>
  <c r="AW11" i="55"/>
  <c r="AW15" i="55"/>
  <c r="AW29" i="59" s="1"/>
  <c r="AW152" i="59" s="1"/>
  <c r="AW14" i="55"/>
  <c r="AW28" i="59" s="1"/>
  <c r="AW151" i="59" s="1"/>
  <c r="AW13" i="55"/>
  <c r="AW27" i="59" s="1"/>
  <c r="AW150" i="59" s="1"/>
  <c r="AW16" i="55"/>
  <c r="AW30" i="59" s="1"/>
  <c r="AW12" i="55"/>
  <c r="AW26" i="59" s="1"/>
  <c r="AW53" i="59" s="1"/>
  <c r="CF7" i="55"/>
  <c r="AV6" i="55"/>
  <c r="P6" i="55"/>
  <c r="S6" i="55"/>
  <c r="W162" i="54"/>
  <c r="S237" i="54"/>
  <c r="S238" i="54" s="1"/>
  <c r="S240" i="54" s="1"/>
  <c r="S239" i="54"/>
  <c r="S244" i="54" s="1"/>
  <c r="S245" i="54" s="1"/>
  <c r="S254" i="54" s="1"/>
  <c r="AZ75" i="51" s="1"/>
  <c r="X207" i="53"/>
  <c r="X208" i="53" s="1"/>
  <c r="Y4" i="55"/>
  <c r="CF6" i="55"/>
  <c r="AX11" i="55"/>
  <c r="AX16" i="55"/>
  <c r="AX30" i="59" s="1"/>
  <c r="AX15" i="55"/>
  <c r="AX29" i="59" s="1"/>
  <c r="AX14" i="55"/>
  <c r="AX28" i="59" s="1"/>
  <c r="AX151" i="59" s="1"/>
  <c r="AX12" i="55"/>
  <c r="AX26" i="59" s="1"/>
  <c r="AX53" i="59" s="1"/>
  <c r="AX13" i="55"/>
  <c r="AX27" i="59" s="1"/>
  <c r="AX150" i="59" s="1"/>
  <c r="Y51" i="51"/>
  <c r="AA52" i="51"/>
  <c r="AA54" i="51" s="1"/>
  <c r="Z37" i="53"/>
  <c r="AB59" i="51"/>
  <c r="AA38" i="53"/>
  <c r="W81" i="54"/>
  <c r="W165" i="54"/>
  <c r="X162" i="53"/>
  <c r="BG59" i="51"/>
  <c r="Z38" i="54"/>
  <c r="T244" i="53"/>
  <c r="T245" i="53" s="1"/>
  <c r="T252" i="53" s="1"/>
  <c r="T221" i="53"/>
  <c r="T220" i="53"/>
  <c r="T224" i="53" s="1"/>
  <c r="W216" i="53"/>
  <c r="W217" i="53"/>
  <c r="U236" i="53"/>
  <c r="U239" i="53" s="1"/>
  <c r="S202" i="54"/>
  <c r="S201" i="54"/>
  <c r="S205" i="54"/>
  <c r="S203" i="54"/>
  <c r="S204" i="54"/>
  <c r="S206" i="54"/>
  <c r="V218" i="53"/>
  <c r="V219" i="53"/>
  <c r="BD71" i="51"/>
  <c r="BD73" i="51" s="1"/>
  <c r="BD64" i="51"/>
  <c r="X74" i="54"/>
  <c r="X75" i="54" s="1"/>
  <c r="X80" i="54"/>
  <c r="X78" i="54"/>
  <c r="X79" i="54" s="1"/>
  <c r="X72" i="54"/>
  <c r="X73" i="54" s="1"/>
  <c r="X47" i="54"/>
  <c r="T199" i="54"/>
  <c r="T200" i="54" s="1"/>
  <c r="U166" i="54"/>
  <c r="CH9" i="55" s="1"/>
  <c r="CH22" i="59" s="1"/>
  <c r="CH145" i="59" s="1"/>
  <c r="BG52" i="51"/>
  <c r="BG54" i="51" s="1"/>
  <c r="Z37" i="54"/>
  <c r="V239" i="53"/>
  <c r="T237" i="53"/>
  <c r="T238" i="53" s="1"/>
  <c r="T240" i="53" s="1"/>
  <c r="T261" i="53" s="1"/>
  <c r="U219" i="53"/>
  <c r="U218" i="53"/>
  <c r="BE51" i="51"/>
  <c r="T237" i="54"/>
  <c r="T238" i="54" s="1"/>
  <c r="T240" i="54" s="1"/>
  <c r="T239" i="54"/>
  <c r="Y67" i="51"/>
  <c r="X79" i="53"/>
  <c r="V212" i="54"/>
  <c r="V213" i="54"/>
  <c r="V215" i="54"/>
  <c r="V214" i="54"/>
  <c r="Y78" i="53"/>
  <c r="Y74" i="53"/>
  <c r="Y75" i="53" s="1"/>
  <c r="Z57" i="51" s="1"/>
  <c r="Y80" i="53"/>
  <c r="Y72" i="53"/>
  <c r="Y73" i="53" s="1"/>
  <c r="Z49" i="51" s="1"/>
  <c r="BF49" i="51" s="1"/>
  <c r="Y47" i="53"/>
  <c r="Y162" i="53" s="1"/>
  <c r="U229" i="54"/>
  <c r="BB179" i="55" s="1"/>
  <c r="DN179" i="55" s="1"/>
  <c r="AA48" i="51"/>
  <c r="Z36" i="53"/>
  <c r="Z42" i="53" s="1"/>
  <c r="U216" i="54"/>
  <c r="U217" i="54"/>
  <c r="BE57" i="51"/>
  <c r="BE58" i="51" s="1"/>
  <c r="BE72" i="51" s="1"/>
  <c r="Y58" i="51"/>
  <c r="Y72" i="51" s="1"/>
  <c r="BG55" i="51"/>
  <c r="Z39" i="54"/>
  <c r="AE45" i="54" s="1"/>
  <c r="AD139" i="54"/>
  <c r="AD140" i="54" s="1"/>
  <c r="AD137" i="54"/>
  <c r="AD138" i="54" s="1"/>
  <c r="AD141" i="54"/>
  <c r="AD142" i="54" s="1"/>
  <c r="U223" i="54"/>
  <c r="U222" i="54"/>
  <c r="U234" i="54" s="1"/>
  <c r="U235" i="54" s="1"/>
  <c r="X81" i="53"/>
  <c r="Y61" i="51" s="1"/>
  <c r="X165" i="53"/>
  <c r="Y9" i="55" s="1"/>
  <c r="Y22" i="59" s="1"/>
  <c r="Y145" i="59" s="1"/>
  <c r="BF48" i="51"/>
  <c r="Y36" i="54"/>
  <c r="Y42" i="54" s="1"/>
  <c r="R252" i="54"/>
  <c r="S220" i="54"/>
  <c r="S224" i="54" s="1"/>
  <c r="S221" i="54"/>
  <c r="S245" i="53"/>
  <c r="S252" i="53" s="1"/>
  <c r="AC160" i="54"/>
  <c r="BF65" i="51"/>
  <c r="Y40" i="54"/>
  <c r="AD46" i="54" s="1"/>
  <c r="AD159" i="54" s="1"/>
  <c r="V232" i="54"/>
  <c r="V233" i="54" s="1"/>
  <c r="V209" i="54"/>
  <c r="DO172" i="55" s="1"/>
  <c r="T220" i="54"/>
  <c r="T224" i="54" s="1"/>
  <c r="T221" i="54"/>
  <c r="BF46" i="51"/>
  <c r="AE160" i="53"/>
  <c r="AF66" i="51" s="1"/>
  <c r="BL66" i="51" s="1"/>
  <c r="AE139" i="53"/>
  <c r="AE137" i="53"/>
  <c r="AF56" i="51" s="1"/>
  <c r="BL56" i="51" s="1"/>
  <c r="AE141" i="53"/>
  <c r="U203" i="53"/>
  <c r="CH177" i="55" s="1"/>
  <c r="U202" i="53"/>
  <c r="CH176" i="55" s="1"/>
  <c r="U201" i="53"/>
  <c r="U206" i="53"/>
  <c r="CH180" i="55" s="1"/>
  <c r="U204" i="53"/>
  <c r="CH178" i="55" s="1"/>
  <c r="U205" i="53"/>
  <c r="CH179" i="55" s="1"/>
  <c r="AD138" i="53"/>
  <c r="V199" i="53"/>
  <c r="W166" i="53"/>
  <c r="AD142" i="53"/>
  <c r="AE69" i="51" s="1"/>
  <c r="BK69" i="51" s="1"/>
  <c r="AB55" i="51"/>
  <c r="AA39" i="53"/>
  <c r="AF45" i="53" s="1"/>
  <c r="AD140" i="53"/>
  <c r="AE63" i="51" s="1"/>
  <c r="BK63" i="51" s="1"/>
  <c r="BG44" i="51"/>
  <c r="BG25" i="51"/>
  <c r="AC37" i="51"/>
  <c r="BH33" i="51"/>
  <c r="BH35" i="51" s="1"/>
  <c r="AC29" i="51"/>
  <c r="AB39" i="51"/>
  <c r="BH21" i="51"/>
  <c r="AC21" i="51"/>
  <c r="BG39" i="51"/>
  <c r="BH29" i="51"/>
  <c r="AC24" i="51"/>
  <c r="AC44" i="51" s="1"/>
  <c r="AB43" i="51"/>
  <c r="AB17" i="51"/>
  <c r="BI13" i="51"/>
  <c r="BI12" i="59" s="1"/>
  <c r="BI14" i="51"/>
  <c r="BI13" i="59" s="1"/>
  <c r="BI22" i="51"/>
  <c r="BI10" i="59" s="1"/>
  <c r="BI23" i="51"/>
  <c r="BI11" i="59" s="1"/>
  <c r="BI20" i="51"/>
  <c r="BI9" i="59" s="1"/>
  <c r="BI19" i="51"/>
  <c r="BI8" i="59" s="1"/>
  <c r="AB25" i="51"/>
  <c r="AD27" i="51"/>
  <c r="AD14" i="59" s="1"/>
  <c r="AE26" i="51"/>
  <c r="AD28" i="51"/>
  <c r="AD15" i="59" s="1"/>
  <c r="BJ26" i="51"/>
  <c r="AD13" i="51"/>
  <c r="AD12" i="59" s="1"/>
  <c r="AD14" i="51"/>
  <c r="AD13" i="59" s="1"/>
  <c r="BJ12" i="51"/>
  <c r="BH15" i="51"/>
  <c r="AB44" i="51"/>
  <c r="BH38" i="51"/>
  <c r="BH20" i="59" s="1"/>
  <c r="BH37" i="51"/>
  <c r="BH19" i="59" s="1"/>
  <c r="AD20" i="51"/>
  <c r="AD9" i="59" s="1"/>
  <c r="AD22" i="51"/>
  <c r="AD10" i="59" s="1"/>
  <c r="AD23" i="51"/>
  <c r="AD11" i="59" s="1"/>
  <c r="BJ18" i="51"/>
  <c r="AE18" i="51"/>
  <c r="AD19" i="51"/>
  <c r="AD8" i="59" s="1"/>
  <c r="BI28" i="51"/>
  <c r="BI15" i="59" s="1"/>
  <c r="BI27" i="51"/>
  <c r="BI14" i="59" s="1"/>
  <c r="AF10" i="51"/>
  <c r="BK10" i="51"/>
  <c r="AE12" i="51"/>
  <c r="BG43" i="51"/>
  <c r="BH24" i="51"/>
  <c r="BI31" i="51"/>
  <c r="BI16" i="59" s="1"/>
  <c r="BI32" i="51"/>
  <c r="BI17" i="59" s="1"/>
  <c r="BI34" i="51"/>
  <c r="BI18" i="59" s="1"/>
  <c r="AC33" i="51"/>
  <c r="AC35" i="51" s="1"/>
  <c r="AE30" i="51"/>
  <c r="BJ30" i="51"/>
  <c r="AD31" i="51"/>
  <c r="AD16" i="59" s="1"/>
  <c r="AD34" i="51"/>
  <c r="AD18" i="59" s="1"/>
  <c r="AD32" i="51"/>
  <c r="AD17" i="59" s="1"/>
  <c r="BI36" i="51"/>
  <c r="AC15" i="51"/>
  <c r="AD36" i="51"/>
  <c r="CG24" i="59" l="1"/>
  <c r="DG58" i="59"/>
  <c r="DJ146" i="59"/>
  <c r="AS149" i="59"/>
  <c r="AS155" i="59" s="1"/>
  <c r="BI46" i="59"/>
  <c r="BI89" i="59"/>
  <c r="BI116" i="59"/>
  <c r="BI72" i="59"/>
  <c r="AD40" i="59"/>
  <c r="AD83" i="59"/>
  <c r="AD110" i="59"/>
  <c r="AD66" i="59"/>
  <c r="DG147" i="59"/>
  <c r="AD43" i="59"/>
  <c r="AD113" i="59"/>
  <c r="AD69" i="59"/>
  <c r="AD86" i="59"/>
  <c r="AX101" i="59"/>
  <c r="AX153" i="59"/>
  <c r="P148" i="59"/>
  <c r="Q148" i="59"/>
  <c r="S51" i="59"/>
  <c r="AX152" i="59"/>
  <c r="BI45" i="59"/>
  <c r="BI88" i="59"/>
  <c r="BI115" i="59"/>
  <c r="BI71" i="59"/>
  <c r="BI113" i="59"/>
  <c r="BI43" i="59"/>
  <c r="BI69" i="59"/>
  <c r="BI86" i="59"/>
  <c r="BH91" i="59"/>
  <c r="BH118" i="59"/>
  <c r="BH48" i="59"/>
  <c r="BH74" i="59"/>
  <c r="BI110" i="59"/>
  <c r="BI40" i="59"/>
  <c r="BI66" i="59"/>
  <c r="BI83" i="59"/>
  <c r="CD27" i="57"/>
  <c r="S152" i="59"/>
  <c r="S151" i="59"/>
  <c r="S150" i="59"/>
  <c r="BI42" i="59"/>
  <c r="BI85" i="59"/>
  <c r="BI68" i="59"/>
  <c r="BI112" i="59"/>
  <c r="AD68" i="59"/>
  <c r="AD85" i="59"/>
  <c r="AD112" i="59"/>
  <c r="AD42" i="59"/>
  <c r="R101" i="59"/>
  <c r="R153" i="59"/>
  <c r="CG51" i="59"/>
  <c r="CG147" i="59"/>
  <c r="CD152" i="55"/>
  <c r="CD18" i="57" s="1"/>
  <c r="CD20" i="57" s="1"/>
  <c r="CD149" i="59" s="1"/>
  <c r="CD155" i="59" s="1"/>
  <c r="S153" i="59"/>
  <c r="BH47" i="59"/>
  <c r="BH90" i="59"/>
  <c r="BH117" i="59"/>
  <c r="BH73" i="59"/>
  <c r="BI44" i="59"/>
  <c r="BI87" i="59"/>
  <c r="BI114" i="59"/>
  <c r="BI70" i="59"/>
  <c r="AD89" i="59"/>
  <c r="AD116" i="59"/>
  <c r="AD46" i="59"/>
  <c r="AD72" i="59"/>
  <c r="W226" i="53"/>
  <c r="X176" i="55" s="1"/>
  <c r="R24" i="59"/>
  <c r="S147" i="59" s="1"/>
  <c r="CD135" i="55"/>
  <c r="CD8" i="57" s="1"/>
  <c r="AX146" i="59"/>
  <c r="AV51" i="59"/>
  <c r="AV147" i="59"/>
  <c r="BI84" i="59"/>
  <c r="BI111" i="59"/>
  <c r="BI41" i="59"/>
  <c r="BI67" i="59"/>
  <c r="AD114" i="59"/>
  <c r="AD44" i="59"/>
  <c r="AD87" i="59"/>
  <c r="AD70" i="59"/>
  <c r="AC39" i="51"/>
  <c r="AC19" i="59"/>
  <c r="CG101" i="59"/>
  <c r="CG153" i="59"/>
  <c r="DF181" i="55"/>
  <c r="DF10" i="57" s="1"/>
  <c r="CC149" i="59"/>
  <c r="CC155" i="59" s="1"/>
  <c r="AD88" i="59"/>
  <c r="AD45" i="59"/>
  <c r="AD115" i="59"/>
  <c r="AD71" i="59"/>
  <c r="AD41" i="59"/>
  <c r="AD84" i="59"/>
  <c r="AD111" i="59"/>
  <c r="AD67" i="59"/>
  <c r="AW101" i="59"/>
  <c r="AW153" i="59"/>
  <c r="DH101" i="59"/>
  <c r="DH153" i="59"/>
  <c r="DG102" i="59"/>
  <c r="DG148" i="59"/>
  <c r="S154" i="59"/>
  <c r="DH125" i="59"/>
  <c r="DH55" i="59"/>
  <c r="DH98" i="59"/>
  <c r="DP49" i="59"/>
  <c r="DP92" i="59"/>
  <c r="DP120" i="59"/>
  <c r="DF51" i="59"/>
  <c r="DF122" i="59"/>
  <c r="DF94" i="59"/>
  <c r="DH53" i="59"/>
  <c r="DH97" i="59"/>
  <c r="DH124" i="59"/>
  <c r="DH54" i="59"/>
  <c r="DF52" i="59"/>
  <c r="DF95" i="59"/>
  <c r="DF123" i="59"/>
  <c r="DF96" i="59"/>
  <c r="CF60" i="55"/>
  <c r="CF14" i="57" s="1"/>
  <c r="CD34" i="57"/>
  <c r="DD20" i="57"/>
  <c r="DD149" i="59" s="1"/>
  <c r="DD155" i="59" s="1"/>
  <c r="DG128" i="59"/>
  <c r="DH126" i="59"/>
  <c r="DH56" i="59"/>
  <c r="DH99" i="59"/>
  <c r="CF59" i="55"/>
  <c r="CE181" i="55"/>
  <c r="CE10" i="57" s="1"/>
  <c r="DJ50" i="59"/>
  <c r="DJ93" i="59"/>
  <c r="DJ121" i="59"/>
  <c r="DJ31" i="59"/>
  <c r="DH25" i="59"/>
  <c r="DH148" i="59" s="1"/>
  <c r="DH24" i="59"/>
  <c r="DH147" i="59" s="1"/>
  <c r="X211" i="53"/>
  <c r="AU151" i="55"/>
  <c r="DG151" i="55" s="1"/>
  <c r="AX11" i="58"/>
  <c r="AX6" i="58"/>
  <c r="DH57" i="59"/>
  <c r="DH100" i="59"/>
  <c r="DH127" i="59"/>
  <c r="DI50" i="59"/>
  <c r="DI93" i="59"/>
  <c r="DI121" i="59"/>
  <c r="DI31" i="59"/>
  <c r="DI154" i="59" s="1"/>
  <c r="Y49" i="59"/>
  <c r="S96" i="59"/>
  <c r="S52" i="59"/>
  <c r="P96" i="59"/>
  <c r="P52" i="59"/>
  <c r="AX121" i="59"/>
  <c r="AX50" i="59"/>
  <c r="AX24" i="59"/>
  <c r="AX31" i="59"/>
  <c r="AV96" i="59"/>
  <c r="AV52" i="59"/>
  <c r="CF96" i="59"/>
  <c r="CF52" i="59"/>
  <c r="AW121" i="59"/>
  <c r="AW50" i="59"/>
  <c r="AW31" i="59"/>
  <c r="AW154" i="59" s="1"/>
  <c r="AW24" i="59"/>
  <c r="CH120" i="59"/>
  <c r="CH49" i="59"/>
  <c r="CH31" i="59"/>
  <c r="CH154" i="59" s="1"/>
  <c r="BD49" i="59"/>
  <c r="AD37" i="59"/>
  <c r="AD80" i="59"/>
  <c r="AD107" i="59"/>
  <c r="AD63" i="59"/>
  <c r="DG26" i="57"/>
  <c r="BH75" i="59"/>
  <c r="AD36" i="59"/>
  <c r="AD79" i="59"/>
  <c r="AD106" i="59"/>
  <c r="AD62" i="59"/>
  <c r="DE20" i="57"/>
  <c r="DE30" i="57"/>
  <c r="AD81" i="59"/>
  <c r="AD108" i="59"/>
  <c r="AD38" i="59"/>
  <c r="AD64" i="59"/>
  <c r="BI79" i="59"/>
  <c r="BI106" i="59"/>
  <c r="BI36" i="59"/>
  <c r="BI62" i="59"/>
  <c r="AD82" i="59"/>
  <c r="AD109" i="59"/>
  <c r="AD39" i="59"/>
  <c r="AD65" i="59"/>
  <c r="BI37" i="59"/>
  <c r="BI80" i="59"/>
  <c r="BI107" i="59"/>
  <c r="BI63" i="59"/>
  <c r="BI38" i="59"/>
  <c r="BI81" i="59"/>
  <c r="BI108" i="59"/>
  <c r="BI64" i="59"/>
  <c r="BI39" i="59"/>
  <c r="BI82" i="59"/>
  <c r="BI109" i="59"/>
  <c r="BI65" i="59"/>
  <c r="AX93" i="59"/>
  <c r="BD120" i="59"/>
  <c r="BD92" i="59"/>
  <c r="AW93" i="59"/>
  <c r="DF16" i="57"/>
  <c r="DH7" i="55"/>
  <c r="DG37" i="57"/>
  <c r="DG7" i="57"/>
  <c r="DF15" i="57"/>
  <c r="DF25" i="57"/>
  <c r="DG35" i="57"/>
  <c r="DG5" i="57"/>
  <c r="DD39" i="57"/>
  <c r="DD9" i="57"/>
  <c r="DJ12" i="55"/>
  <c r="DJ26" i="59" s="1"/>
  <c r="DJ11" i="55"/>
  <c r="DJ16" i="55"/>
  <c r="DJ30" i="59" s="1"/>
  <c r="DJ15" i="55"/>
  <c r="DJ29" i="59" s="1"/>
  <c r="DJ14" i="55"/>
  <c r="DJ28" i="59" s="1"/>
  <c r="DJ13" i="55"/>
  <c r="DJ27" i="59" s="1"/>
  <c r="DG34" i="57"/>
  <c r="DG4" i="57"/>
  <c r="DF23" i="57"/>
  <c r="DF13" i="57"/>
  <c r="DF89" i="55"/>
  <c r="CC39" i="57"/>
  <c r="CD37" i="57"/>
  <c r="DH19" i="55"/>
  <c r="DH20" i="55"/>
  <c r="DD30" i="57"/>
  <c r="DF24" i="57"/>
  <c r="DF14" i="57"/>
  <c r="DF66" i="55"/>
  <c r="AT128" i="55"/>
  <c r="DF128" i="55" s="1"/>
  <c r="DF105" i="55"/>
  <c r="DF112" i="55" s="1"/>
  <c r="O40" i="57"/>
  <c r="DH6" i="55"/>
  <c r="DF43" i="55"/>
  <c r="AU135" i="55"/>
  <c r="AU38" i="57" s="1"/>
  <c r="DG129" i="55"/>
  <c r="DI16" i="55"/>
  <c r="DI30" i="59" s="1"/>
  <c r="DI15" i="55"/>
  <c r="DI29" i="59" s="1"/>
  <c r="DI152" i="59" s="1"/>
  <c r="DI11" i="55"/>
  <c r="DI12" i="55"/>
  <c r="DI26" i="59" s="1"/>
  <c r="DI14" i="55"/>
  <c r="DI28" i="59" s="1"/>
  <c r="DI151" i="59" s="1"/>
  <c r="DI13" i="55"/>
  <c r="DF19" i="57"/>
  <c r="DF29" i="57"/>
  <c r="DG40" i="57"/>
  <c r="DG10" i="57"/>
  <c r="U228" i="54"/>
  <c r="BB178" i="55" s="1"/>
  <c r="DN178" i="55" s="1"/>
  <c r="U227" i="54"/>
  <c r="BB177" i="55" s="1"/>
  <c r="DN177" i="55" s="1"/>
  <c r="U225" i="54"/>
  <c r="U230" i="54"/>
  <c r="BB180" i="55" s="1"/>
  <c r="DN180" i="55" s="1"/>
  <c r="CE102" i="59"/>
  <c r="CE89" i="55"/>
  <c r="CE6" i="57" s="1"/>
  <c r="CC41" i="57"/>
  <c r="P32" i="59"/>
  <c r="AU6" i="57"/>
  <c r="AU36" i="57"/>
  <c r="CF129" i="55"/>
  <c r="CF17" i="57" s="1"/>
  <c r="CF26" i="57"/>
  <c r="Q5" i="57"/>
  <c r="Q35" i="57"/>
  <c r="N28" i="57"/>
  <c r="N30" i="57" s="1"/>
  <c r="N18" i="57"/>
  <c r="N20" i="57" s="1"/>
  <c r="N149" i="59" s="1"/>
  <c r="N155" i="59" s="1"/>
  <c r="CF23" i="57"/>
  <c r="AU7" i="57"/>
  <c r="AU37" i="57"/>
  <c r="Q6" i="57"/>
  <c r="Q36" i="57"/>
  <c r="Q10" i="57"/>
  <c r="Q40" i="57"/>
  <c r="CE4" i="57"/>
  <c r="CE34" i="57"/>
  <c r="AU4" i="57"/>
  <c r="AU34" i="57"/>
  <c r="AT29" i="57"/>
  <c r="AT19" i="57"/>
  <c r="Y120" i="59"/>
  <c r="CE5" i="57"/>
  <c r="CE35" i="57"/>
  <c r="AT24" i="57"/>
  <c r="AT14" i="57"/>
  <c r="CE7" i="57"/>
  <c r="CE37" i="57"/>
  <c r="AT25" i="57"/>
  <c r="AT15" i="57"/>
  <c r="O4" i="57"/>
  <c r="O34" i="57"/>
  <c r="Q152" i="55"/>
  <c r="Q27" i="57"/>
  <c r="Q17" i="57"/>
  <c r="AU152" i="55"/>
  <c r="DG152" i="55" s="1"/>
  <c r="AU17" i="57"/>
  <c r="AU27" i="57"/>
  <c r="CE152" i="55"/>
  <c r="CE18" i="57" s="1"/>
  <c r="CE20" i="57" s="1"/>
  <c r="CE27" i="57"/>
  <c r="N158" i="55"/>
  <c r="AT23" i="57"/>
  <c r="AT13" i="57"/>
  <c r="Q7" i="57"/>
  <c r="Q37" i="57"/>
  <c r="O8" i="57"/>
  <c r="O38" i="57"/>
  <c r="AT129" i="55"/>
  <c r="AT26" i="57"/>
  <c r="AT16" i="57"/>
  <c r="Q4" i="57"/>
  <c r="Q34" i="57"/>
  <c r="AU5" i="57"/>
  <c r="AU35" i="57"/>
  <c r="CF89" i="55"/>
  <c r="CF25" i="57"/>
  <c r="CF181" i="55"/>
  <c r="CF29" i="57"/>
  <c r="O5" i="57"/>
  <c r="O35" i="57"/>
  <c r="CE128" i="59"/>
  <c r="AS9" i="57"/>
  <c r="AS39" i="57"/>
  <c r="O6" i="57"/>
  <c r="O36" i="57"/>
  <c r="CE25" i="57"/>
  <c r="M9" i="57"/>
  <c r="M39" i="57"/>
  <c r="M41" i="57" s="1"/>
  <c r="O7" i="57"/>
  <c r="O37" i="57"/>
  <c r="Q8" i="57"/>
  <c r="Q38" i="57"/>
  <c r="AU10" i="57"/>
  <c r="AU40" i="57"/>
  <c r="O152" i="55"/>
  <c r="O27" i="57"/>
  <c r="O17" i="57"/>
  <c r="CB9" i="57"/>
  <c r="CB39" i="57"/>
  <c r="CB41" i="57" s="1"/>
  <c r="AX98" i="59"/>
  <c r="AX125" i="59"/>
  <c r="AW97" i="59"/>
  <c r="AW124" i="59"/>
  <c r="R99" i="59"/>
  <c r="R126" i="59"/>
  <c r="CG98" i="59"/>
  <c r="CG125" i="59"/>
  <c r="AV94" i="59"/>
  <c r="AV122" i="59"/>
  <c r="P94" i="59"/>
  <c r="P122" i="59"/>
  <c r="R97" i="59"/>
  <c r="R124" i="59"/>
  <c r="AX99" i="59"/>
  <c r="AX126" i="59"/>
  <c r="AW98" i="59"/>
  <c r="AW125" i="59"/>
  <c r="AV95" i="59"/>
  <c r="AV123" i="59"/>
  <c r="AX100" i="59"/>
  <c r="AX127" i="59"/>
  <c r="AW99" i="59"/>
  <c r="AW126" i="59"/>
  <c r="S94" i="59"/>
  <c r="S122" i="59"/>
  <c r="P95" i="59"/>
  <c r="P123" i="59"/>
  <c r="CG97" i="59"/>
  <c r="CG124" i="59"/>
  <c r="AX97" i="59"/>
  <c r="AX124" i="59"/>
  <c r="AW100" i="59"/>
  <c r="AW127" i="59"/>
  <c r="R98" i="59"/>
  <c r="R125" i="59"/>
  <c r="CG100" i="59"/>
  <c r="CG127" i="59"/>
  <c r="S95" i="59"/>
  <c r="S123" i="59"/>
  <c r="CF94" i="59"/>
  <c r="CF122" i="59"/>
  <c r="R100" i="59"/>
  <c r="R127" i="59"/>
  <c r="CG99" i="59"/>
  <c r="CG126" i="59"/>
  <c r="CF95" i="59"/>
  <c r="CF123" i="59"/>
  <c r="R10" i="58"/>
  <c r="S10" i="58"/>
  <c r="Y92" i="59"/>
  <c r="CH92" i="59"/>
  <c r="AT102" i="59"/>
  <c r="CG57" i="59"/>
  <c r="AX57" i="59"/>
  <c r="R57" i="59"/>
  <c r="AW56" i="59"/>
  <c r="CG56" i="59"/>
  <c r="CG54" i="59"/>
  <c r="AW57" i="59"/>
  <c r="AX55" i="59"/>
  <c r="AW54" i="59"/>
  <c r="R56" i="59"/>
  <c r="CE58" i="59"/>
  <c r="AX54" i="59"/>
  <c r="R54" i="59"/>
  <c r="CG55" i="59"/>
  <c r="R55" i="59"/>
  <c r="AX56" i="59"/>
  <c r="AW55" i="59"/>
  <c r="V240" i="53"/>
  <c r="V261" i="53" s="1"/>
  <c r="AW25" i="59"/>
  <c r="AW148" i="59" s="1"/>
  <c r="R25" i="59"/>
  <c r="R148" i="59" s="1"/>
  <c r="AX25" i="59"/>
  <c r="CG19" i="55"/>
  <c r="CG175" i="55" s="1"/>
  <c r="CG19" i="57" s="1"/>
  <c r="CG25" i="59"/>
  <c r="CG148" i="59" s="1"/>
  <c r="AY59" i="58"/>
  <c r="S252" i="54"/>
  <c r="S256" i="54" s="1"/>
  <c r="T59" i="58"/>
  <c r="S261" i="54"/>
  <c r="BG46" i="51"/>
  <c r="W211" i="54"/>
  <c r="W214" i="54" s="1"/>
  <c r="BH25" i="51"/>
  <c r="V210" i="54"/>
  <c r="V226" i="54" s="1"/>
  <c r="BC176" i="55" s="1"/>
  <c r="DO176" i="55" s="1"/>
  <c r="BC172" i="55"/>
  <c r="W223" i="53"/>
  <c r="W230" i="53"/>
  <c r="X180" i="55" s="1"/>
  <c r="V200" i="53"/>
  <c r="CI172" i="55"/>
  <c r="AT181" i="55"/>
  <c r="CE151" i="55"/>
  <c r="CE135" i="55"/>
  <c r="CF128" i="55"/>
  <c r="CF112" i="55"/>
  <c r="W229" i="53"/>
  <c r="X179" i="55" s="1"/>
  <c r="AT151" i="55"/>
  <c r="DF151" i="55" s="1"/>
  <c r="W225" i="53"/>
  <c r="S105" i="55"/>
  <c r="S128" i="55" s="1"/>
  <c r="S82" i="55"/>
  <c r="S174" i="55"/>
  <c r="AV105" i="55"/>
  <c r="AV82" i="55"/>
  <c r="DH82" i="55" s="1"/>
  <c r="AV174" i="55"/>
  <c r="DH174" i="55" s="1"/>
  <c r="P106" i="55"/>
  <c r="P83" i="55"/>
  <c r="P175" i="55"/>
  <c r="W228" i="53"/>
  <c r="X178" i="55" s="1"/>
  <c r="S106" i="55"/>
  <c r="S83" i="55"/>
  <c r="S175" i="55"/>
  <c r="AV106" i="55"/>
  <c r="DH106" i="55" s="1"/>
  <c r="AV83" i="55"/>
  <c r="DH83" i="55" s="1"/>
  <c r="AV175" i="55"/>
  <c r="DH175" i="55" s="1"/>
  <c r="P82" i="55"/>
  <c r="P105" i="55"/>
  <c r="P128" i="55" s="1"/>
  <c r="P174" i="55"/>
  <c r="AT112" i="55"/>
  <c r="S36" i="55"/>
  <c r="S59" i="55"/>
  <c r="AV59" i="55"/>
  <c r="DH59" i="55" s="1"/>
  <c r="P60" i="55"/>
  <c r="P37" i="55"/>
  <c r="AT89" i="55"/>
  <c r="S60" i="55"/>
  <c r="S37" i="55"/>
  <c r="AV60" i="55"/>
  <c r="DH60" i="55" s="1"/>
  <c r="P59" i="55"/>
  <c r="P36" i="55"/>
  <c r="AV36" i="55"/>
  <c r="DH36" i="55" s="1"/>
  <c r="CF43" i="55"/>
  <c r="AT66" i="55"/>
  <c r="AT43" i="55"/>
  <c r="AV37" i="55"/>
  <c r="DH37" i="55" s="1"/>
  <c r="BF51" i="51"/>
  <c r="S262" i="54"/>
  <c r="AZ78" i="51" s="1"/>
  <c r="AZ77" i="51"/>
  <c r="T262" i="53"/>
  <c r="U78" i="51" s="1"/>
  <c r="U77" i="51"/>
  <c r="CH14" i="55"/>
  <c r="CH28" i="59" s="1"/>
  <c r="CH151" i="59" s="1"/>
  <c r="CH12" i="55"/>
  <c r="CH26" i="59" s="1"/>
  <c r="CH53" i="59" s="1"/>
  <c r="CH16" i="55"/>
  <c r="CH30" i="59" s="1"/>
  <c r="CH11" i="55"/>
  <c r="CH15" i="55"/>
  <c r="CH29" i="59" s="1"/>
  <c r="CH152" i="59" s="1"/>
  <c r="CH13" i="55"/>
  <c r="CH27" i="59" s="1"/>
  <c r="CH150" i="59" s="1"/>
  <c r="R19" i="55"/>
  <c r="R20" i="55"/>
  <c r="AW7" i="55"/>
  <c r="AZ74" i="51"/>
  <c r="AZ76" i="51" s="1"/>
  <c r="AZ10" i="55"/>
  <c r="X207" i="54"/>
  <c r="X211" i="54" s="1"/>
  <c r="BE4" i="55"/>
  <c r="U74" i="51"/>
  <c r="R6" i="55"/>
  <c r="CG7" i="55"/>
  <c r="R256" i="54"/>
  <c r="AY74" i="51"/>
  <c r="AY76" i="51" s="1"/>
  <c r="AY10" i="55"/>
  <c r="Y207" i="53"/>
  <c r="Y208" i="53" s="1"/>
  <c r="Z4" i="55"/>
  <c r="AX19" i="55"/>
  <c r="AX20" i="55"/>
  <c r="CG6" i="55"/>
  <c r="AX6" i="55"/>
  <c r="AW19" i="55"/>
  <c r="AW20" i="55"/>
  <c r="AW6" i="55"/>
  <c r="R7" i="55"/>
  <c r="T74" i="51"/>
  <c r="BE9" i="55"/>
  <c r="AX7" i="55"/>
  <c r="Z51" i="51"/>
  <c r="AB48" i="51"/>
  <c r="AA36" i="53"/>
  <c r="AA42" i="53" s="1"/>
  <c r="AC59" i="51"/>
  <c r="AB38" i="53"/>
  <c r="Y78" i="54"/>
  <c r="Y79" i="54" s="1"/>
  <c r="Y80" i="54"/>
  <c r="Y72" i="54"/>
  <c r="Y73" i="54" s="1"/>
  <c r="Y74" i="54"/>
  <c r="Y75" i="54" s="1"/>
  <c r="Y47" i="54"/>
  <c r="Y162" i="54" s="1"/>
  <c r="AE139" i="54"/>
  <c r="AE140" i="54" s="1"/>
  <c r="AE141" i="54"/>
  <c r="AE142" i="54" s="1"/>
  <c r="AE137" i="54"/>
  <c r="AE138" i="54" s="1"/>
  <c r="Y81" i="53"/>
  <c r="Z61" i="51" s="1"/>
  <c r="Y165" i="53"/>
  <c r="Z9" i="55" s="1"/>
  <c r="BE67" i="51"/>
  <c r="BE70" i="51" s="1"/>
  <c r="Y70" i="51"/>
  <c r="V244" i="53"/>
  <c r="V245" i="53" s="1"/>
  <c r="V254" i="53" s="1"/>
  <c r="W75" i="51" s="1"/>
  <c r="BH55" i="51"/>
  <c r="AA39" i="54"/>
  <c r="AF45" i="54" s="1"/>
  <c r="V227" i="54"/>
  <c r="BC177" i="55" s="1"/>
  <c r="DO177" i="55" s="1"/>
  <c r="BF57" i="51"/>
  <c r="BF58" i="51" s="1"/>
  <c r="BF72" i="51" s="1"/>
  <c r="Z58" i="51"/>
  <c r="Z72" i="51" s="1"/>
  <c r="T261" i="54"/>
  <c r="T244" i="54"/>
  <c r="T245" i="54" s="1"/>
  <c r="T254" i="54" s="1"/>
  <c r="BA75" i="51" s="1"/>
  <c r="S254" i="53"/>
  <c r="BH59" i="51"/>
  <c r="AA38" i="54"/>
  <c r="X232" i="53"/>
  <c r="X233" i="53" s="1"/>
  <c r="X209" i="53"/>
  <c r="Z67" i="51"/>
  <c r="Y79" i="53"/>
  <c r="V221" i="53"/>
  <c r="V220" i="53"/>
  <c r="V224" i="53" s="1"/>
  <c r="W232" i="54"/>
  <c r="W233" i="54" s="1"/>
  <c r="W209" i="54"/>
  <c r="DP172" i="55" s="1"/>
  <c r="BG65" i="51"/>
  <c r="Z40" i="54"/>
  <c r="AE46" i="54" s="1"/>
  <c r="AE159" i="54" s="1"/>
  <c r="BG48" i="51"/>
  <c r="Z36" i="54"/>
  <c r="Z42" i="54" s="1"/>
  <c r="BE61" i="51"/>
  <c r="Y71" i="51"/>
  <c r="Y73" i="51" s="1"/>
  <c r="Y64" i="51"/>
  <c r="V216" i="54"/>
  <c r="V217" i="54"/>
  <c r="X81" i="54"/>
  <c r="X165" i="54"/>
  <c r="X215" i="53"/>
  <c r="X214" i="53"/>
  <c r="X213" i="53"/>
  <c r="X212" i="53"/>
  <c r="T254" i="53"/>
  <c r="U10" i="55" s="1"/>
  <c r="U23" i="59" s="1"/>
  <c r="AD160" i="54"/>
  <c r="V223" i="54"/>
  <c r="V222" i="54"/>
  <c r="V234" i="54" s="1"/>
  <c r="V235" i="54" s="1"/>
  <c r="U219" i="54"/>
  <c r="U218" i="54"/>
  <c r="Z72" i="53"/>
  <c r="Z73" i="53" s="1"/>
  <c r="AA49" i="51" s="1"/>
  <c r="BG49" i="51" s="1"/>
  <c r="Z80" i="53"/>
  <c r="Z74" i="53"/>
  <c r="Z75" i="53" s="1"/>
  <c r="AA57" i="51" s="1"/>
  <c r="Z78" i="53"/>
  <c r="Z47" i="53"/>
  <c r="U220" i="53"/>
  <c r="U224" i="53" s="1"/>
  <c r="U221" i="53"/>
  <c r="U199" i="54"/>
  <c r="U200" i="54" s="1"/>
  <c r="V166" i="54"/>
  <c r="CI9" i="55" s="1"/>
  <c r="CI22" i="59" s="1"/>
  <c r="CI145" i="59" s="1"/>
  <c r="U244" i="53"/>
  <c r="U245" i="53" s="1"/>
  <c r="U254" i="53" s="1"/>
  <c r="V75" i="51" s="1"/>
  <c r="U236" i="54"/>
  <c r="Y211" i="53"/>
  <c r="T203" i="54"/>
  <c r="T201" i="54"/>
  <c r="T205" i="54"/>
  <c r="T206" i="54"/>
  <c r="T204" i="54"/>
  <c r="T202" i="54"/>
  <c r="W219" i="53"/>
  <c r="W218" i="53"/>
  <c r="BH48" i="51"/>
  <c r="AA36" i="54"/>
  <c r="AA42" i="54" s="1"/>
  <c r="AB52" i="51"/>
  <c r="AB54" i="51" s="1"/>
  <c r="AA37" i="53"/>
  <c r="W236" i="53"/>
  <c r="X162" i="54"/>
  <c r="U237" i="53"/>
  <c r="U238" i="53" s="1"/>
  <c r="U240" i="53" s="1"/>
  <c r="U261" i="53" s="1"/>
  <c r="AC65" i="51"/>
  <c r="AB40" i="53"/>
  <c r="AG46" i="53" s="1"/>
  <c r="AG159" i="53" s="1"/>
  <c r="AC55" i="51"/>
  <c r="AB39" i="53"/>
  <c r="AG45" i="53" s="1"/>
  <c r="AE138" i="53"/>
  <c r="AE140" i="53"/>
  <c r="AF63" i="51" s="1"/>
  <c r="BL63" i="51" s="1"/>
  <c r="AB65" i="51"/>
  <c r="AA40" i="53"/>
  <c r="AF46" i="53" s="1"/>
  <c r="AF159" i="53" s="1"/>
  <c r="AF139" i="53"/>
  <c r="AF141" i="53"/>
  <c r="AF137" i="53"/>
  <c r="AG56" i="51" s="1"/>
  <c r="BM56" i="51" s="1"/>
  <c r="W199" i="53"/>
  <c r="X166" i="53"/>
  <c r="V203" i="53"/>
  <c r="CI177" i="55" s="1"/>
  <c r="V206" i="53"/>
  <c r="CI180" i="55" s="1"/>
  <c r="V201" i="53"/>
  <c r="V205" i="53"/>
  <c r="CI179" i="55" s="1"/>
  <c r="V204" i="53"/>
  <c r="CI178" i="55" s="1"/>
  <c r="V202" i="53"/>
  <c r="CI176" i="55" s="1"/>
  <c r="AE142" i="53"/>
  <c r="AF69" i="51" s="1"/>
  <c r="BL69" i="51" s="1"/>
  <c r="AE36" i="51"/>
  <c r="AE37" i="51" s="1"/>
  <c r="AE19" i="59" s="1"/>
  <c r="AD15" i="51"/>
  <c r="AD17" i="51" s="1"/>
  <c r="BI21" i="51"/>
  <c r="BI33" i="51"/>
  <c r="BI35" i="51" s="1"/>
  <c r="AC25" i="51"/>
  <c r="AD21" i="51"/>
  <c r="BI29" i="51"/>
  <c r="AD29" i="51"/>
  <c r="BH39" i="51"/>
  <c r="BI15" i="51"/>
  <c r="BI38" i="51"/>
  <c r="BI20" i="59" s="1"/>
  <c r="BI37" i="51"/>
  <c r="BI19" i="59" s="1"/>
  <c r="BJ31" i="51"/>
  <c r="BJ16" i="59" s="1"/>
  <c r="BJ32" i="51"/>
  <c r="BJ17" i="59" s="1"/>
  <c r="BJ34" i="51"/>
  <c r="BJ18" i="59" s="1"/>
  <c r="BJ28" i="51"/>
  <c r="BJ15" i="59" s="1"/>
  <c r="BJ27" i="51"/>
  <c r="BJ14" i="59" s="1"/>
  <c r="AE13" i="51"/>
  <c r="AE12" i="59" s="1"/>
  <c r="AE14" i="51"/>
  <c r="AE13" i="59" s="1"/>
  <c r="AD24" i="51"/>
  <c r="BH44" i="51"/>
  <c r="BH17" i="51"/>
  <c r="BH43" i="51"/>
  <c r="BI24" i="51"/>
  <c r="BK12" i="51"/>
  <c r="AE23" i="51"/>
  <c r="AE11" i="59" s="1"/>
  <c r="AE20" i="51"/>
  <c r="AE9" i="59" s="1"/>
  <c r="AE22" i="51"/>
  <c r="AE10" i="59" s="1"/>
  <c r="AF18" i="51"/>
  <c r="AE19" i="51"/>
  <c r="AE8" i="59" s="1"/>
  <c r="BK18" i="51"/>
  <c r="BJ36" i="51"/>
  <c r="AE28" i="51"/>
  <c r="AE15" i="59" s="1"/>
  <c r="AF26" i="51"/>
  <c r="AE27" i="51"/>
  <c r="AE14" i="59" s="1"/>
  <c r="BK26" i="51"/>
  <c r="AB46" i="51"/>
  <c r="AF30" i="51"/>
  <c r="BK30" i="51"/>
  <c r="AE32" i="51"/>
  <c r="AE17" i="59" s="1"/>
  <c r="AE34" i="51"/>
  <c r="AE18" i="59" s="1"/>
  <c r="AE31" i="51"/>
  <c r="AE16" i="59" s="1"/>
  <c r="AD37" i="51"/>
  <c r="AD19" i="59" s="1"/>
  <c r="AD38" i="51"/>
  <c r="AC43" i="51"/>
  <c r="AC46" i="51" s="1"/>
  <c r="AC17" i="51"/>
  <c r="AD33" i="51"/>
  <c r="AD35" i="51" s="1"/>
  <c r="AG10" i="51"/>
  <c r="BL10" i="51"/>
  <c r="AF12" i="51"/>
  <c r="BJ20" i="51"/>
  <c r="BJ9" i="59" s="1"/>
  <c r="BJ22" i="51"/>
  <c r="BJ10" i="59" s="1"/>
  <c r="BJ19" i="51"/>
  <c r="BJ8" i="59" s="1"/>
  <c r="BJ23" i="51"/>
  <c r="BJ11" i="59" s="1"/>
  <c r="BJ14" i="51"/>
  <c r="BJ13" i="59" s="1"/>
  <c r="BJ13" i="51"/>
  <c r="BJ12" i="59" s="1"/>
  <c r="CD38" i="57" l="1"/>
  <c r="CD28" i="57"/>
  <c r="CD30" i="57" s="1"/>
  <c r="DF40" i="57"/>
  <c r="DE149" i="59"/>
  <c r="DE155" i="59" s="1"/>
  <c r="CD158" i="55"/>
  <c r="CD9" i="57" s="1"/>
  <c r="CE149" i="59"/>
  <c r="CE155" i="59" s="1"/>
  <c r="AX148" i="59"/>
  <c r="CH24" i="59"/>
  <c r="CH51" i="59" s="1"/>
  <c r="BI47" i="59"/>
  <c r="BI117" i="59"/>
  <c r="BI73" i="59"/>
  <c r="BI90" i="59"/>
  <c r="BJ88" i="59"/>
  <c r="BJ115" i="59"/>
  <c r="BJ45" i="59"/>
  <c r="BJ71" i="59"/>
  <c r="AW51" i="59"/>
  <c r="AW147" i="59"/>
  <c r="R51" i="59"/>
  <c r="R147" i="59"/>
  <c r="S148" i="59"/>
  <c r="BJ44" i="59"/>
  <c r="BJ87" i="59"/>
  <c r="BJ114" i="59"/>
  <c r="BJ70" i="59"/>
  <c r="AX51" i="59"/>
  <c r="AX147" i="59"/>
  <c r="AC47" i="59"/>
  <c r="AC73" i="59"/>
  <c r="AC75" i="59" s="1"/>
  <c r="AC90" i="59"/>
  <c r="AC117" i="59"/>
  <c r="AD117" i="59"/>
  <c r="AD73" i="59"/>
  <c r="AD47" i="59"/>
  <c r="AD90" i="59"/>
  <c r="AE68" i="59"/>
  <c r="AE112" i="59"/>
  <c r="AE42" i="59"/>
  <c r="AE85" i="59"/>
  <c r="AE84" i="59"/>
  <c r="AE111" i="59"/>
  <c r="AE41" i="59"/>
  <c r="AE67" i="59"/>
  <c r="BI91" i="59"/>
  <c r="BI118" i="59"/>
  <c r="BI48" i="59"/>
  <c r="BI74" i="59"/>
  <c r="W215" i="54"/>
  <c r="W222" i="54" s="1"/>
  <c r="W234" i="54" s="1"/>
  <c r="W235" i="54" s="1"/>
  <c r="CF24" i="57"/>
  <c r="CF66" i="55"/>
  <c r="AE87" i="59"/>
  <c r="AE114" i="59"/>
  <c r="AE44" i="59"/>
  <c r="AE70" i="59"/>
  <c r="AE66" i="59"/>
  <c r="AE40" i="59"/>
  <c r="AE83" i="59"/>
  <c r="AE110" i="59"/>
  <c r="W212" i="54"/>
  <c r="CD39" i="57"/>
  <c r="DG158" i="55"/>
  <c r="DI101" i="59"/>
  <c r="DI153" i="59"/>
  <c r="DJ151" i="59"/>
  <c r="DF128" i="59"/>
  <c r="AE89" i="59"/>
  <c r="AE46" i="59"/>
  <c r="AE116" i="59"/>
  <c r="AE72" i="59"/>
  <c r="AE69" i="59"/>
  <c r="AE86" i="59"/>
  <c r="AE113" i="59"/>
  <c r="AE43" i="59"/>
  <c r="BJ68" i="59"/>
  <c r="BJ112" i="59"/>
  <c r="BJ42" i="59"/>
  <c r="BJ85" i="59"/>
  <c r="AE47" i="59"/>
  <c r="AE117" i="59"/>
  <c r="AE73" i="59"/>
  <c r="AE90" i="59"/>
  <c r="W213" i="54"/>
  <c r="DJ152" i="59"/>
  <c r="DF58" i="59"/>
  <c r="BJ66" i="59"/>
  <c r="BJ83" i="59"/>
  <c r="BJ40" i="59"/>
  <c r="BJ110" i="59"/>
  <c r="AE45" i="59"/>
  <c r="AE88" i="59"/>
  <c r="AE115" i="59"/>
  <c r="AE71" i="59"/>
  <c r="BJ69" i="59"/>
  <c r="BJ86" i="59"/>
  <c r="BJ113" i="59"/>
  <c r="BJ43" i="59"/>
  <c r="DJ101" i="59"/>
  <c r="DJ153" i="59"/>
  <c r="DJ154" i="59"/>
  <c r="AD44" i="51"/>
  <c r="AD20" i="59"/>
  <c r="BJ84" i="59"/>
  <c r="BJ111" i="59"/>
  <c r="BJ41" i="59"/>
  <c r="BJ67" i="59"/>
  <c r="BJ89" i="59"/>
  <c r="BJ116" i="59"/>
  <c r="BJ46" i="59"/>
  <c r="BJ72" i="59"/>
  <c r="CH101" i="59"/>
  <c r="CH153" i="59"/>
  <c r="AU8" i="57"/>
  <c r="AX154" i="59"/>
  <c r="AY11" i="58"/>
  <c r="AY6" i="58"/>
  <c r="DJ99" i="59"/>
  <c r="DJ126" i="59"/>
  <c r="DJ56" i="59"/>
  <c r="DH51" i="59"/>
  <c r="DH122" i="59"/>
  <c r="DH94" i="59"/>
  <c r="DI57" i="59"/>
  <c r="DI100" i="59"/>
  <c r="DI127" i="59"/>
  <c r="DJ100" i="59"/>
  <c r="DJ127" i="59"/>
  <c r="DJ57" i="59"/>
  <c r="DH52" i="59"/>
  <c r="DH96" i="59"/>
  <c r="DH123" i="59"/>
  <c r="DH95" i="59"/>
  <c r="DF102" i="59"/>
  <c r="T11" i="58"/>
  <c r="T6" i="58"/>
  <c r="DI25" i="59"/>
  <c r="DI148" i="59" s="1"/>
  <c r="DI24" i="59"/>
  <c r="DI147" i="59" s="1"/>
  <c r="DI7" i="55"/>
  <c r="DI27" i="59"/>
  <c r="DI150" i="59" s="1"/>
  <c r="DJ125" i="59"/>
  <c r="DJ98" i="59"/>
  <c r="DJ55" i="59"/>
  <c r="W239" i="53"/>
  <c r="W244" i="53" s="1"/>
  <c r="W245" i="53" s="1"/>
  <c r="W254" i="53" s="1"/>
  <c r="X75" i="51" s="1"/>
  <c r="DI99" i="59"/>
  <c r="DI126" i="59"/>
  <c r="DI56" i="59"/>
  <c r="DJ25" i="59"/>
  <c r="DJ148" i="59" s="1"/>
  <c r="DJ24" i="59"/>
  <c r="CE40" i="57"/>
  <c r="DI6" i="55"/>
  <c r="DJ53" i="59"/>
  <c r="DJ124" i="59"/>
  <c r="DJ97" i="59"/>
  <c r="DJ54" i="59"/>
  <c r="DI53" i="59"/>
  <c r="DI124" i="59"/>
  <c r="DI97" i="59"/>
  <c r="DI54" i="59"/>
  <c r="AW96" i="59"/>
  <c r="AW52" i="59"/>
  <c r="R96" i="59"/>
  <c r="R52" i="59"/>
  <c r="U50" i="59"/>
  <c r="U31" i="59"/>
  <c r="CG96" i="59"/>
  <c r="CG52" i="59"/>
  <c r="CI120" i="59"/>
  <c r="CI49" i="59"/>
  <c r="CI31" i="59"/>
  <c r="CI154" i="59" s="1"/>
  <c r="AX96" i="59"/>
  <c r="AX52" i="59"/>
  <c r="AE80" i="59"/>
  <c r="AE107" i="59"/>
  <c r="AE37" i="59"/>
  <c r="AE63" i="59"/>
  <c r="BJ38" i="59"/>
  <c r="BJ81" i="59"/>
  <c r="BJ108" i="59"/>
  <c r="BJ64" i="59"/>
  <c r="BJ80" i="59"/>
  <c r="BJ107" i="59"/>
  <c r="BJ37" i="59"/>
  <c r="BJ63" i="59"/>
  <c r="DH43" i="55"/>
  <c r="DH4" i="57" s="1"/>
  <c r="AE82" i="59"/>
  <c r="AE109" i="59"/>
  <c r="AE39" i="59"/>
  <c r="AE65" i="59"/>
  <c r="BI75" i="59"/>
  <c r="BJ39" i="59"/>
  <c r="BJ82" i="59"/>
  <c r="BJ109" i="59"/>
  <c r="BJ65" i="59"/>
  <c r="AE79" i="59"/>
  <c r="AE36" i="59"/>
  <c r="AE106" i="59"/>
  <c r="AE62" i="59"/>
  <c r="BJ79" i="59"/>
  <c r="BJ106" i="59"/>
  <c r="BJ36" i="59"/>
  <c r="BJ62" i="59"/>
  <c r="AE38" i="59"/>
  <c r="AE81" i="59"/>
  <c r="AE108" i="59"/>
  <c r="AE64" i="59"/>
  <c r="DG39" i="57"/>
  <c r="DG9" i="57"/>
  <c r="DH66" i="55"/>
  <c r="DH25" i="57"/>
  <c r="DH15" i="57"/>
  <c r="DH89" i="55"/>
  <c r="DJ19" i="55"/>
  <c r="DJ20" i="55"/>
  <c r="AY23" i="59"/>
  <c r="AY146" i="59" s="1"/>
  <c r="DK10" i="55"/>
  <c r="DK23" i="59" s="1"/>
  <c r="DK146" i="59" s="1"/>
  <c r="AZ23" i="59"/>
  <c r="AZ146" i="59" s="1"/>
  <c r="DL10" i="55"/>
  <c r="DL23" i="59" s="1"/>
  <c r="DH16" i="57"/>
  <c r="DH181" i="55"/>
  <c r="DI19" i="55"/>
  <c r="DI20" i="55"/>
  <c r="AV128" i="55"/>
  <c r="DH128" i="55" s="1"/>
  <c r="DH105" i="55"/>
  <c r="DH112" i="55" s="1"/>
  <c r="AT135" i="55"/>
  <c r="DF129" i="55"/>
  <c r="DJ7" i="55"/>
  <c r="DF26" i="57"/>
  <c r="DH13" i="57"/>
  <c r="DH23" i="57"/>
  <c r="DG17" i="57"/>
  <c r="DG27" i="57"/>
  <c r="DF37" i="57"/>
  <c r="DF7" i="57"/>
  <c r="DH24" i="57"/>
  <c r="DH14" i="57"/>
  <c r="BE22" i="59"/>
  <c r="BE145" i="59" s="1"/>
  <c r="DQ9" i="55"/>
  <c r="DQ22" i="59" s="1"/>
  <c r="DQ145" i="59" s="1"/>
  <c r="DF135" i="55"/>
  <c r="DJ6" i="55"/>
  <c r="DH29" i="57"/>
  <c r="DH19" i="57"/>
  <c r="DG28" i="57"/>
  <c r="DG18" i="57"/>
  <c r="CD41" i="57"/>
  <c r="DF34" i="57"/>
  <c r="DF4" i="57"/>
  <c r="DF35" i="57"/>
  <c r="DF5" i="57"/>
  <c r="DF36" i="57"/>
  <c r="DF6" i="57"/>
  <c r="DG135" i="55"/>
  <c r="V225" i="54"/>
  <c r="V229" i="54"/>
  <c r="BC179" i="55" s="1"/>
  <c r="DO179" i="55" s="1"/>
  <c r="V228" i="54"/>
  <c r="BC178" i="55" s="1"/>
  <c r="DO178" i="55" s="1"/>
  <c r="CE36" i="57"/>
  <c r="V230" i="54"/>
  <c r="BC180" i="55" s="1"/>
  <c r="DO180" i="55" s="1"/>
  <c r="P66" i="55"/>
  <c r="P5" i="57" s="1"/>
  <c r="CG37" i="55"/>
  <c r="CG13" i="57" s="1"/>
  <c r="CE158" i="55"/>
  <c r="CE9" i="57" s="1"/>
  <c r="CG36" i="55"/>
  <c r="CG60" i="55"/>
  <c r="CG14" i="57" s="1"/>
  <c r="CG59" i="55"/>
  <c r="CG174" i="55"/>
  <c r="CG181" i="55" s="1"/>
  <c r="CG10" i="57" s="1"/>
  <c r="S32" i="59"/>
  <c r="R32" i="59"/>
  <c r="CF4" i="57"/>
  <c r="CF34" i="57"/>
  <c r="P23" i="57"/>
  <c r="P13" i="57"/>
  <c r="S25" i="57"/>
  <c r="S15" i="57"/>
  <c r="CF7" i="57"/>
  <c r="CF37" i="57"/>
  <c r="AT152" i="55"/>
  <c r="DF152" i="55" s="1"/>
  <c r="DF158" i="55" s="1"/>
  <c r="AT27" i="57"/>
  <c r="AT17" i="57"/>
  <c r="Q28" i="57"/>
  <c r="Q30" i="57" s="1"/>
  <c r="Q18" i="57"/>
  <c r="Q20" i="57" s="1"/>
  <c r="P24" i="57"/>
  <c r="P14" i="57"/>
  <c r="S129" i="55"/>
  <c r="S26" i="57"/>
  <c r="S16" i="57"/>
  <c r="CE28" i="57"/>
  <c r="CE30" i="57" s="1"/>
  <c r="CF152" i="55"/>
  <c r="CF18" i="57" s="1"/>
  <c r="CF20" i="57" s="1"/>
  <c r="CF149" i="59" s="1"/>
  <c r="CF155" i="59" s="1"/>
  <c r="CF27" i="57"/>
  <c r="AV13" i="57"/>
  <c r="AV23" i="57"/>
  <c r="CE8" i="57"/>
  <c r="CE38" i="57"/>
  <c r="CF5" i="57"/>
  <c r="CF35" i="57"/>
  <c r="P19" i="57"/>
  <c r="P29" i="57"/>
  <c r="O28" i="57"/>
  <c r="O30" i="57" s="1"/>
  <c r="O18" i="57"/>
  <c r="O20" i="57" s="1"/>
  <c r="O149" i="59" s="1"/>
  <c r="O155" i="59" s="1"/>
  <c r="CF10" i="57"/>
  <c r="CF40" i="57"/>
  <c r="AV24" i="57"/>
  <c r="AV14" i="57"/>
  <c r="AV29" i="57"/>
  <c r="AV19" i="57"/>
  <c r="P25" i="57"/>
  <c r="P15" i="57"/>
  <c r="AT10" i="57"/>
  <c r="AT40" i="57"/>
  <c r="AU28" i="57"/>
  <c r="AU30" i="57" s="1"/>
  <c r="AU18" i="57"/>
  <c r="AU20" i="57" s="1"/>
  <c r="S13" i="57"/>
  <c r="S23" i="57"/>
  <c r="AT7" i="57"/>
  <c r="AT37" i="57"/>
  <c r="AV25" i="57"/>
  <c r="AV15" i="57"/>
  <c r="P129" i="55"/>
  <c r="P135" i="55" s="1"/>
  <c r="P26" i="57"/>
  <c r="P16" i="57"/>
  <c r="AT8" i="57"/>
  <c r="AT38" i="57"/>
  <c r="CF6" i="57"/>
  <c r="CF36" i="57"/>
  <c r="U121" i="59"/>
  <c r="AT4" i="57"/>
  <c r="AT34" i="57"/>
  <c r="S24" i="57"/>
  <c r="S14" i="57"/>
  <c r="AV129" i="55"/>
  <c r="DH129" i="55" s="1"/>
  <c r="AV26" i="57"/>
  <c r="AV16" i="57"/>
  <c r="AT158" i="55"/>
  <c r="O158" i="55"/>
  <c r="AT5" i="57"/>
  <c r="AT35" i="57"/>
  <c r="AT6" i="57"/>
  <c r="AT36" i="57"/>
  <c r="S29" i="57"/>
  <c r="S19" i="57"/>
  <c r="N9" i="57"/>
  <c r="N39" i="57"/>
  <c r="N41" i="57" s="1"/>
  <c r="AU158" i="55"/>
  <c r="Q158" i="55"/>
  <c r="P128" i="59"/>
  <c r="CF128" i="59"/>
  <c r="S128" i="59"/>
  <c r="AX94" i="59"/>
  <c r="AX122" i="59"/>
  <c r="CH98" i="59"/>
  <c r="CH125" i="59"/>
  <c r="AX95" i="59"/>
  <c r="AX123" i="59"/>
  <c r="CH99" i="59"/>
  <c r="CH126" i="59"/>
  <c r="CH100" i="59"/>
  <c r="CH127" i="59"/>
  <c r="R94" i="59"/>
  <c r="R122" i="59"/>
  <c r="R95" i="59"/>
  <c r="R123" i="59"/>
  <c r="CG95" i="59"/>
  <c r="CG123" i="59"/>
  <c r="AW94" i="59"/>
  <c r="AW122" i="59"/>
  <c r="CH97" i="59"/>
  <c r="CH124" i="59"/>
  <c r="CG94" i="59"/>
  <c r="CG122" i="59"/>
  <c r="AW95" i="59"/>
  <c r="AW123" i="59"/>
  <c r="BE92" i="59"/>
  <c r="U93" i="59"/>
  <c r="CI92" i="59"/>
  <c r="AY93" i="59"/>
  <c r="AZ93" i="59"/>
  <c r="CF58" i="59"/>
  <c r="CF102" i="59"/>
  <c r="CH55" i="59"/>
  <c r="AV102" i="59"/>
  <c r="CH57" i="59"/>
  <c r="P102" i="59"/>
  <c r="S102" i="59"/>
  <c r="CH56" i="59"/>
  <c r="CH54" i="59"/>
  <c r="P58" i="59"/>
  <c r="S58" i="59"/>
  <c r="CG106" i="55"/>
  <c r="CG16" i="57" s="1"/>
  <c r="CG105" i="55"/>
  <c r="CG128" i="55" s="1"/>
  <c r="CH19" i="55"/>
  <c r="CH175" i="55" s="1"/>
  <c r="CH19" i="57" s="1"/>
  <c r="CH25" i="59"/>
  <c r="CH148" i="59" s="1"/>
  <c r="BF9" i="55"/>
  <c r="Z22" i="59"/>
  <c r="Z145" i="59" s="1"/>
  <c r="CG82" i="55"/>
  <c r="CG83" i="55"/>
  <c r="CG15" i="57" s="1"/>
  <c r="AY58" i="58"/>
  <c r="AZ58" i="58"/>
  <c r="U59" i="58"/>
  <c r="AZ59" i="58"/>
  <c r="X208" i="54"/>
  <c r="S66" i="55"/>
  <c r="P112" i="55"/>
  <c r="P89" i="55"/>
  <c r="AV181" i="55"/>
  <c r="P43" i="55"/>
  <c r="CF151" i="55"/>
  <c r="CF135" i="55"/>
  <c r="S151" i="55"/>
  <c r="S135" i="55"/>
  <c r="AX106" i="55"/>
  <c r="DJ106" i="55" s="1"/>
  <c r="AX83" i="55"/>
  <c r="DJ83" i="55" s="1"/>
  <c r="AX175" i="55"/>
  <c r="DJ175" i="55" s="1"/>
  <c r="R83" i="55"/>
  <c r="R106" i="55"/>
  <c r="R175" i="55"/>
  <c r="W200" i="53"/>
  <c r="W205" i="53" s="1"/>
  <c r="CJ179" i="55" s="1"/>
  <c r="CJ172" i="55"/>
  <c r="X210" i="53"/>
  <c r="X226" i="53" s="1"/>
  <c r="Y176" i="55" s="1"/>
  <c r="Y172" i="55"/>
  <c r="AX105" i="55"/>
  <c r="AX82" i="55"/>
  <c r="DJ82" i="55" s="1"/>
  <c r="AX174" i="55"/>
  <c r="DJ174" i="55" s="1"/>
  <c r="R105" i="55"/>
  <c r="R128" i="55" s="1"/>
  <c r="R82" i="55"/>
  <c r="R174" i="55"/>
  <c r="W210" i="54"/>
  <c r="W230" i="54" s="1"/>
  <c r="BD180" i="55" s="1"/>
  <c r="DP180" i="55" s="1"/>
  <c r="BD172" i="55"/>
  <c r="AV66" i="55"/>
  <c r="AV151" i="55"/>
  <c r="DH151" i="55" s="1"/>
  <c r="AW106" i="55"/>
  <c r="DI106" i="55" s="1"/>
  <c r="AW83" i="55"/>
  <c r="DI83" i="55" s="1"/>
  <c r="AW175" i="55"/>
  <c r="DI175" i="55" s="1"/>
  <c r="P181" i="55"/>
  <c r="S181" i="55"/>
  <c r="AW105" i="55"/>
  <c r="AW82" i="55"/>
  <c r="DI82" i="55" s="1"/>
  <c r="AW174" i="55"/>
  <c r="DI174" i="55" s="1"/>
  <c r="DI181" i="55" s="1"/>
  <c r="P151" i="55"/>
  <c r="S43" i="55"/>
  <c r="S89" i="55"/>
  <c r="AV112" i="55"/>
  <c r="AX59" i="55"/>
  <c r="DJ59" i="55" s="1"/>
  <c r="R36" i="55"/>
  <c r="R59" i="55"/>
  <c r="AW60" i="55"/>
  <c r="DI60" i="55" s="1"/>
  <c r="R60" i="55"/>
  <c r="R37" i="55"/>
  <c r="AW59" i="55"/>
  <c r="DI59" i="55" s="1"/>
  <c r="S112" i="55"/>
  <c r="AV43" i="55"/>
  <c r="AV89" i="55"/>
  <c r="AX60" i="55"/>
  <c r="DJ60" i="55" s="1"/>
  <c r="AX37" i="55"/>
  <c r="DJ37" i="55" s="1"/>
  <c r="AX36" i="55"/>
  <c r="DJ36" i="55" s="1"/>
  <c r="AW37" i="55"/>
  <c r="DI37" i="55" s="1"/>
  <c r="AW36" i="55"/>
  <c r="DI36" i="55" s="1"/>
  <c r="T262" i="54"/>
  <c r="BA78" i="51" s="1"/>
  <c r="BA77" i="51"/>
  <c r="U262" i="53"/>
  <c r="V78" i="51" s="1"/>
  <c r="V77" i="51"/>
  <c r="V262" i="53"/>
  <c r="W78" i="51" s="1"/>
  <c r="W77" i="51"/>
  <c r="CH6" i="55"/>
  <c r="U13" i="55"/>
  <c r="U27" i="59" s="1"/>
  <c r="U12" i="55"/>
  <c r="U26" i="59" s="1"/>
  <c r="U53" i="59" s="1"/>
  <c r="U15" i="55"/>
  <c r="U29" i="59" s="1"/>
  <c r="U11" i="55"/>
  <c r="U16" i="55"/>
  <c r="U30" i="59" s="1"/>
  <c r="U14" i="55"/>
  <c r="U28" i="59" s="1"/>
  <c r="Z207" i="53"/>
  <c r="Z211" i="53" s="1"/>
  <c r="AA4" i="55"/>
  <c r="S256" i="53"/>
  <c r="T75" i="51"/>
  <c r="T76" i="51" s="1"/>
  <c r="AY14" i="55"/>
  <c r="AY28" i="59" s="1"/>
  <c r="AY151" i="59" s="1"/>
  <c r="AY12" i="55"/>
  <c r="AY26" i="59" s="1"/>
  <c r="AY53" i="59" s="1"/>
  <c r="AY13" i="55"/>
  <c r="AY27" i="59" s="1"/>
  <c r="AY150" i="59" s="1"/>
  <c r="AY11" i="55"/>
  <c r="AY16" i="55"/>
  <c r="AY30" i="59" s="1"/>
  <c r="AY15" i="55"/>
  <c r="AY29" i="59" s="1"/>
  <c r="AY152" i="59" s="1"/>
  <c r="T256" i="53"/>
  <c r="U75" i="51"/>
  <c r="U76" i="51" s="1"/>
  <c r="Y207" i="54"/>
  <c r="Y211" i="54" s="1"/>
  <c r="BF4" i="55"/>
  <c r="AZ14" i="55"/>
  <c r="AZ28" i="59" s="1"/>
  <c r="AZ11" i="55"/>
  <c r="AZ13" i="55"/>
  <c r="AZ27" i="59" s="1"/>
  <c r="AZ150" i="59" s="1"/>
  <c r="AZ16" i="55"/>
  <c r="AZ30" i="59" s="1"/>
  <c r="AZ15" i="55"/>
  <c r="AZ29" i="59" s="1"/>
  <c r="AZ12" i="55"/>
  <c r="AZ26" i="59" s="1"/>
  <c r="AZ53" i="59" s="1"/>
  <c r="CH7" i="55"/>
  <c r="CI11" i="55"/>
  <c r="CI15" i="55"/>
  <c r="CI29" i="59" s="1"/>
  <c r="CI152" i="59" s="1"/>
  <c r="CI13" i="55"/>
  <c r="CI27" i="59" s="1"/>
  <c r="CI150" i="59" s="1"/>
  <c r="CI14" i="55"/>
  <c r="CI28" i="59" s="1"/>
  <c r="CI151" i="59" s="1"/>
  <c r="CI16" i="55"/>
  <c r="CI30" i="59" s="1"/>
  <c r="CI12" i="55"/>
  <c r="CI26" i="59" s="1"/>
  <c r="CI53" i="59" s="1"/>
  <c r="T10" i="55"/>
  <c r="T23" i="59" s="1"/>
  <c r="T146" i="59" s="1"/>
  <c r="W237" i="53"/>
  <c r="W238" i="53" s="1"/>
  <c r="W240" i="53" s="1"/>
  <c r="AC52" i="51"/>
  <c r="AC54" i="51" s="1"/>
  <c r="AB37" i="53"/>
  <c r="BH52" i="51"/>
  <c r="BH54" i="51" s="1"/>
  <c r="AA37" i="54"/>
  <c r="U237" i="54"/>
  <c r="U238" i="54" s="1"/>
  <c r="U240" i="54" s="1"/>
  <c r="U239" i="54"/>
  <c r="Z162" i="53"/>
  <c r="V219" i="54"/>
  <c r="V218" i="54"/>
  <c r="AE160" i="54"/>
  <c r="BF67" i="51"/>
  <c r="BF70" i="51" s="1"/>
  <c r="Z70" i="51"/>
  <c r="X213" i="54"/>
  <c r="X212" i="54"/>
  <c r="X215" i="54"/>
  <c r="X214" i="54"/>
  <c r="Y81" i="54"/>
  <c r="Y165" i="54"/>
  <c r="AC48" i="51"/>
  <c r="AB36" i="53"/>
  <c r="AB42" i="53" s="1"/>
  <c r="W217" i="54"/>
  <c r="W216" i="54"/>
  <c r="AE24" i="51"/>
  <c r="BI55" i="51"/>
  <c r="AB39" i="54"/>
  <c r="AG45" i="54" s="1"/>
  <c r="AA67" i="51"/>
  <c r="Z79" i="53"/>
  <c r="T252" i="54"/>
  <c r="AA80" i="54"/>
  <c r="AA74" i="54"/>
  <c r="AA75" i="54" s="1"/>
  <c r="AA78" i="54"/>
  <c r="AA79" i="54" s="1"/>
  <c r="AA72" i="54"/>
  <c r="AA73" i="54" s="1"/>
  <c r="AA47" i="54"/>
  <c r="AA162" i="54" s="1"/>
  <c r="U252" i="53"/>
  <c r="BG57" i="51"/>
  <c r="BG58" i="51" s="1"/>
  <c r="BG72" i="51" s="1"/>
  <c r="AA58" i="51"/>
  <c r="AA72" i="51" s="1"/>
  <c r="V252" i="53"/>
  <c r="AD52" i="51"/>
  <c r="AD54" i="51" s="1"/>
  <c r="AC37" i="53"/>
  <c r="V199" i="54"/>
  <c r="V200" i="54" s="1"/>
  <c r="W166" i="54"/>
  <c r="CJ9" i="55" s="1"/>
  <c r="CJ22" i="59" s="1"/>
  <c r="CJ145" i="59" s="1"/>
  <c r="Z81" i="53"/>
  <c r="AA61" i="51" s="1"/>
  <c r="Z165" i="53"/>
  <c r="AA9" i="55" s="1"/>
  <c r="AA22" i="59" s="1"/>
  <c r="AA145" i="59" s="1"/>
  <c r="X217" i="53"/>
  <c r="X216" i="53"/>
  <c r="BE71" i="51"/>
  <c r="BE73" i="51" s="1"/>
  <c r="BE64" i="51"/>
  <c r="V236" i="54"/>
  <c r="V239" i="54" s="1"/>
  <c r="BH65" i="51"/>
  <c r="AA40" i="54"/>
  <c r="AF46" i="54" s="1"/>
  <c r="AF159" i="54" s="1"/>
  <c r="W221" i="53"/>
  <c r="W220" i="53"/>
  <c r="W224" i="53" s="1"/>
  <c r="Y212" i="53"/>
  <c r="Y213" i="53"/>
  <c r="Y215" i="53"/>
  <c r="Y214" i="53"/>
  <c r="U204" i="54"/>
  <c r="U206" i="54"/>
  <c r="U205" i="54"/>
  <c r="U202" i="54"/>
  <c r="U203" i="54"/>
  <c r="U201" i="54"/>
  <c r="X223" i="53"/>
  <c r="X222" i="53"/>
  <c r="X234" i="53" s="1"/>
  <c r="X235" i="53" s="1"/>
  <c r="AA78" i="53"/>
  <c r="AA80" i="53"/>
  <c r="AA74" i="53"/>
  <c r="AA75" i="53" s="1"/>
  <c r="AB57" i="51" s="1"/>
  <c r="AA72" i="53"/>
  <c r="AA73" i="53" s="1"/>
  <c r="AB49" i="51" s="1"/>
  <c r="BH49" i="51" s="1"/>
  <c r="BH51" i="51" s="1"/>
  <c r="AA47" i="53"/>
  <c r="BI25" i="51"/>
  <c r="AD59" i="51"/>
  <c r="AC38" i="53"/>
  <c r="U220" i="54"/>
  <c r="U224" i="54" s="1"/>
  <c r="U221" i="54"/>
  <c r="W223" i="54"/>
  <c r="X232" i="54"/>
  <c r="X233" i="54" s="1"/>
  <c r="X209" i="54"/>
  <c r="DQ172" i="55" s="1"/>
  <c r="Z47" i="54"/>
  <c r="Z162" i="54" s="1"/>
  <c r="Z72" i="54"/>
  <c r="Z73" i="54" s="1"/>
  <c r="Z80" i="54"/>
  <c r="Z78" i="54"/>
  <c r="Z79" i="54" s="1"/>
  <c r="Z74" i="54"/>
  <c r="Z75" i="54" s="1"/>
  <c r="AF141" i="54"/>
  <c r="AF142" i="54" s="1"/>
  <c r="AF137" i="54"/>
  <c r="AF138" i="54" s="1"/>
  <c r="AF139" i="54"/>
  <c r="AF140" i="54" s="1"/>
  <c r="Y232" i="53"/>
  <c r="Y233" i="53" s="1"/>
  <c r="Y209" i="53"/>
  <c r="BI59" i="51"/>
  <c r="AB38" i="54"/>
  <c r="AA51" i="51"/>
  <c r="BG51" i="51"/>
  <c r="BF61" i="51"/>
  <c r="Z71" i="51"/>
  <c r="Z73" i="51" s="1"/>
  <c r="Z64" i="51"/>
  <c r="AF138" i="53"/>
  <c r="AF160" i="53"/>
  <c r="AG66" i="51" s="1"/>
  <c r="BM66" i="51" s="1"/>
  <c r="AF142" i="53"/>
  <c r="AG69" i="51" s="1"/>
  <c r="BM69" i="51" s="1"/>
  <c r="AF140" i="53"/>
  <c r="AG63" i="51" s="1"/>
  <c r="BM63" i="51" s="1"/>
  <c r="AG137" i="53"/>
  <c r="AH56" i="51" s="1"/>
  <c r="AG139" i="53"/>
  <c r="AG141" i="53"/>
  <c r="X199" i="53"/>
  <c r="Y166" i="53"/>
  <c r="AD55" i="51"/>
  <c r="AC39" i="53"/>
  <c r="AG160" i="53"/>
  <c r="AH66" i="51" s="1"/>
  <c r="BN66" i="51" s="1"/>
  <c r="AD39" i="51"/>
  <c r="AE38" i="51"/>
  <c r="BI43" i="51"/>
  <c r="BI39" i="51"/>
  <c r="BI17" i="51"/>
  <c r="BK36" i="51"/>
  <c r="BK38" i="51" s="1"/>
  <c r="BK20" i="59" s="1"/>
  <c r="AD25" i="51"/>
  <c r="BJ29" i="51"/>
  <c r="BJ33" i="51"/>
  <c r="BJ35" i="51" s="1"/>
  <c r="BJ15" i="51"/>
  <c r="AF36" i="51"/>
  <c r="AF37" i="51" s="1"/>
  <c r="AF19" i="59" s="1"/>
  <c r="AE29" i="51"/>
  <c r="BJ21" i="51"/>
  <c r="AF13" i="51"/>
  <c r="AF12" i="59" s="1"/>
  <c r="AF14" i="51"/>
  <c r="AF13" i="59" s="1"/>
  <c r="BJ37" i="51"/>
  <c r="BJ19" i="59" s="1"/>
  <c r="BJ38" i="51"/>
  <c r="BJ20" i="59" s="1"/>
  <c r="AF19" i="51"/>
  <c r="AF8" i="59" s="1"/>
  <c r="BL18" i="51"/>
  <c r="AF22" i="51"/>
  <c r="AF10" i="59" s="1"/>
  <c r="AG18" i="51"/>
  <c r="AF23" i="51"/>
  <c r="AF11" i="59" s="1"/>
  <c r="AF20" i="51"/>
  <c r="AF9" i="59" s="1"/>
  <c r="BL12" i="51"/>
  <c r="AF28" i="51"/>
  <c r="AF15" i="59" s="1"/>
  <c r="AG26" i="51"/>
  <c r="AF27" i="51"/>
  <c r="AF14" i="59" s="1"/>
  <c r="BL26" i="51"/>
  <c r="BK13" i="51"/>
  <c r="BK12" i="59" s="1"/>
  <c r="BK14" i="51"/>
  <c r="BK13" i="59" s="1"/>
  <c r="AE15" i="51"/>
  <c r="AH10" i="51"/>
  <c r="BM10" i="51"/>
  <c r="AG12" i="51"/>
  <c r="BK31" i="51"/>
  <c r="BK16" i="59" s="1"/>
  <c r="BK34" i="51"/>
  <c r="BK18" i="59" s="1"/>
  <c r="BK32" i="51"/>
  <c r="BK17" i="59" s="1"/>
  <c r="BK23" i="51"/>
  <c r="BK11" i="59" s="1"/>
  <c r="BK22" i="51"/>
  <c r="BK10" i="59" s="1"/>
  <c r="BK19" i="51"/>
  <c r="BK8" i="59" s="1"/>
  <c r="BK20" i="51"/>
  <c r="BK9" i="59" s="1"/>
  <c r="BJ17" i="51"/>
  <c r="BJ24" i="51"/>
  <c r="AE33" i="51"/>
  <c r="AE35" i="51" s="1"/>
  <c r="AG30" i="51"/>
  <c r="BL30" i="51"/>
  <c r="AF31" i="51"/>
  <c r="AF16" i="59" s="1"/>
  <c r="AF34" i="51"/>
  <c r="AF18" i="59" s="1"/>
  <c r="AF32" i="51"/>
  <c r="AF17" i="59" s="1"/>
  <c r="BK28" i="51"/>
  <c r="BK15" i="59" s="1"/>
  <c r="BK27" i="51"/>
  <c r="BK14" i="59" s="1"/>
  <c r="AD43" i="51"/>
  <c r="AD46" i="51" s="1"/>
  <c r="AE21" i="51"/>
  <c r="BH46" i="51"/>
  <c r="BI44" i="51"/>
  <c r="DJ147" i="59" l="1"/>
  <c r="W226" i="54"/>
  <c r="BD176" i="55" s="1"/>
  <c r="DP176" i="55" s="1"/>
  <c r="Z208" i="53"/>
  <c r="W227" i="54"/>
  <c r="BD177" i="55" s="1"/>
  <c r="DP177" i="55" s="1"/>
  <c r="W229" i="54"/>
  <c r="BD179" i="55" s="1"/>
  <c r="DP179" i="55" s="1"/>
  <c r="W228" i="54"/>
  <c r="BD178" i="55" s="1"/>
  <c r="DP178" i="55" s="1"/>
  <c r="X230" i="53"/>
  <c r="Y180" i="55" s="1"/>
  <c r="AV135" i="55"/>
  <c r="W225" i="54"/>
  <c r="X228" i="53"/>
  <c r="Y178" i="55" s="1"/>
  <c r="X225" i="53"/>
  <c r="CH147" i="59"/>
  <c r="W261" i="53"/>
  <c r="AZ152" i="59"/>
  <c r="AF44" i="59"/>
  <c r="AF87" i="59"/>
  <c r="AF114" i="59"/>
  <c r="AF70" i="59"/>
  <c r="AF84" i="59"/>
  <c r="AF111" i="59"/>
  <c r="AF41" i="59"/>
  <c r="AF67" i="59"/>
  <c r="CI101" i="59"/>
  <c r="CI153" i="59"/>
  <c r="AZ101" i="59"/>
  <c r="AZ153" i="59"/>
  <c r="AD91" i="59"/>
  <c r="AD118" i="59"/>
  <c r="AD48" i="59"/>
  <c r="AD74" i="59"/>
  <c r="AD75" i="59" s="1"/>
  <c r="BK41" i="59"/>
  <c r="BK67" i="59"/>
  <c r="BK111" i="59"/>
  <c r="BK84" i="59"/>
  <c r="AF40" i="59"/>
  <c r="AF83" i="59"/>
  <c r="AF110" i="59"/>
  <c r="AF66" i="59"/>
  <c r="BK91" i="59"/>
  <c r="BK118" i="59"/>
  <c r="BK48" i="59"/>
  <c r="BK74" i="59"/>
  <c r="AY101" i="59"/>
  <c r="AY153" i="59"/>
  <c r="U146" i="59"/>
  <c r="BK83" i="59"/>
  <c r="BK110" i="59"/>
  <c r="BK40" i="59"/>
  <c r="BK66" i="59"/>
  <c r="BK46" i="59"/>
  <c r="BK89" i="59"/>
  <c r="BK116" i="59"/>
  <c r="BK72" i="59"/>
  <c r="AZ151" i="59"/>
  <c r="U101" i="59"/>
  <c r="BK85" i="59"/>
  <c r="BK112" i="59"/>
  <c r="BK42" i="59"/>
  <c r="BK68" i="59"/>
  <c r="BJ25" i="51"/>
  <c r="BK44" i="59"/>
  <c r="BK87" i="59"/>
  <c r="BK114" i="59"/>
  <c r="BK70" i="59"/>
  <c r="AF85" i="59"/>
  <c r="AF42" i="59"/>
  <c r="AF112" i="59"/>
  <c r="AF68" i="59"/>
  <c r="AF90" i="59"/>
  <c r="AF117" i="59"/>
  <c r="AF73" i="59"/>
  <c r="AF47" i="59"/>
  <c r="CI24" i="59"/>
  <c r="U24" i="59"/>
  <c r="DL146" i="59"/>
  <c r="DJ150" i="59"/>
  <c r="BK88" i="59"/>
  <c r="BK115" i="59"/>
  <c r="BK45" i="59"/>
  <c r="BK71" i="59"/>
  <c r="BK113" i="59"/>
  <c r="BK43" i="59"/>
  <c r="BK69" i="59"/>
  <c r="BK86" i="59"/>
  <c r="AE39" i="51"/>
  <c r="AE65" i="51" s="1"/>
  <c r="AE20" i="59"/>
  <c r="DH128" i="59"/>
  <c r="AF88" i="59"/>
  <c r="AF115" i="59"/>
  <c r="AF45" i="59"/>
  <c r="AF71" i="59"/>
  <c r="AF113" i="59"/>
  <c r="AF43" i="59"/>
  <c r="AF69" i="59"/>
  <c r="AF86" i="59"/>
  <c r="BJ74" i="59"/>
  <c r="BJ91" i="59"/>
  <c r="BJ118" i="59"/>
  <c r="BJ48" i="59"/>
  <c r="AF46" i="59"/>
  <c r="AF89" i="59"/>
  <c r="AF116" i="59"/>
  <c r="AF72" i="59"/>
  <c r="BJ90" i="59"/>
  <c r="BJ117" i="59"/>
  <c r="BJ73" i="59"/>
  <c r="BJ47" i="59"/>
  <c r="CH36" i="55"/>
  <c r="DQ49" i="59"/>
  <c r="DQ92" i="59"/>
  <c r="DQ120" i="59"/>
  <c r="DJ51" i="59"/>
  <c r="DJ122" i="59"/>
  <c r="DJ94" i="59"/>
  <c r="CH37" i="55"/>
  <c r="CH13" i="57" s="1"/>
  <c r="AZ11" i="58"/>
  <c r="AZ6" i="58"/>
  <c r="DJ52" i="59"/>
  <c r="DJ95" i="59"/>
  <c r="DJ123" i="59"/>
  <c r="DJ96" i="59"/>
  <c r="DI55" i="59"/>
  <c r="DI98" i="59"/>
  <c r="DI125" i="59"/>
  <c r="DJ43" i="55"/>
  <c r="DJ4" i="57" s="1"/>
  <c r="CH83" i="55"/>
  <c r="CH15" i="57" s="1"/>
  <c r="DL50" i="59"/>
  <c r="DL93" i="59"/>
  <c r="DL121" i="59"/>
  <c r="DL31" i="59"/>
  <c r="CH106" i="55"/>
  <c r="CH16" i="57" s="1"/>
  <c r="BN56" i="51"/>
  <c r="CG43" i="55"/>
  <c r="CG34" i="57" s="1"/>
  <c r="CH60" i="55"/>
  <c r="CH14" i="57" s="1"/>
  <c r="CH174" i="55"/>
  <c r="CH181" i="55" s="1"/>
  <c r="DG30" i="57"/>
  <c r="DK50" i="59"/>
  <c r="DK93" i="59"/>
  <c r="DK121" i="59"/>
  <c r="DK31" i="59"/>
  <c r="DK154" i="59" s="1"/>
  <c r="DI51" i="59"/>
  <c r="DI122" i="59"/>
  <c r="DI94" i="59"/>
  <c r="DH58" i="59"/>
  <c r="U11" i="58"/>
  <c r="U6" i="58"/>
  <c r="W206" i="53"/>
  <c r="CJ180" i="55" s="1"/>
  <c r="CG66" i="55"/>
  <c r="CG5" i="57" s="1"/>
  <c r="DG20" i="57"/>
  <c r="DI52" i="59"/>
  <c r="DI123" i="59"/>
  <c r="DI95" i="59"/>
  <c r="DI96" i="59"/>
  <c r="DH102" i="59"/>
  <c r="AZ50" i="59"/>
  <c r="AZ24" i="59"/>
  <c r="AZ31" i="59"/>
  <c r="AA49" i="59"/>
  <c r="Z49" i="59"/>
  <c r="AY50" i="59"/>
  <c r="AY24" i="59"/>
  <c r="AY31" i="59"/>
  <c r="AY154" i="59" s="1"/>
  <c r="T50" i="59"/>
  <c r="T31" i="59"/>
  <c r="T154" i="59" s="1"/>
  <c r="CJ120" i="59"/>
  <c r="CJ49" i="59"/>
  <c r="CJ31" i="59"/>
  <c r="CJ154" i="59" s="1"/>
  <c r="CH96" i="59"/>
  <c r="CH52" i="59"/>
  <c r="BE49" i="59"/>
  <c r="DH34" i="57"/>
  <c r="DI66" i="55"/>
  <c r="DI35" i="57" s="1"/>
  <c r="AF79" i="59"/>
  <c r="AF106" i="59"/>
  <c r="AF36" i="59"/>
  <c r="AF62" i="59"/>
  <c r="BK80" i="59"/>
  <c r="BK107" i="59"/>
  <c r="BK37" i="59"/>
  <c r="BK63" i="59"/>
  <c r="BK81" i="59"/>
  <c r="BK108" i="59"/>
  <c r="BK38" i="59"/>
  <c r="BK64" i="59"/>
  <c r="BK39" i="59"/>
  <c r="BK82" i="59"/>
  <c r="BK109" i="59"/>
  <c r="BK65" i="59"/>
  <c r="AF39" i="59"/>
  <c r="AF82" i="59"/>
  <c r="AF109" i="59"/>
  <c r="AF65" i="59"/>
  <c r="BK36" i="59"/>
  <c r="BK79" i="59"/>
  <c r="BK106" i="59"/>
  <c r="BK62" i="59"/>
  <c r="AF80" i="59"/>
  <c r="AF107" i="59"/>
  <c r="AF37" i="59"/>
  <c r="AF63" i="59"/>
  <c r="AF38" i="59"/>
  <c r="AF81" i="59"/>
  <c r="AF108" i="59"/>
  <c r="AF64" i="59"/>
  <c r="DJ181" i="55"/>
  <c r="DJ10" i="57" s="1"/>
  <c r="AZ121" i="59"/>
  <c r="BE120" i="59"/>
  <c r="AY121" i="59"/>
  <c r="DI13" i="57"/>
  <c r="DI23" i="57"/>
  <c r="DJ89" i="55"/>
  <c r="DF38" i="57"/>
  <c r="DF8" i="57"/>
  <c r="DH135" i="55"/>
  <c r="DL15" i="55"/>
  <c r="DL29" i="59" s="1"/>
  <c r="DL12" i="55"/>
  <c r="DL26" i="59" s="1"/>
  <c r="DL16" i="55"/>
  <c r="DL30" i="59" s="1"/>
  <c r="DL14" i="55"/>
  <c r="DL28" i="59" s="1"/>
  <c r="DL13" i="55"/>
  <c r="DL27" i="59" s="1"/>
  <c r="DL11" i="55"/>
  <c r="DH36" i="57"/>
  <c r="DH6" i="57"/>
  <c r="DF39" i="57"/>
  <c r="DF9" i="57"/>
  <c r="DJ13" i="57"/>
  <c r="DJ23" i="57"/>
  <c r="AX128" i="55"/>
  <c r="DJ128" i="55" s="1"/>
  <c r="DJ105" i="55"/>
  <c r="DJ112" i="55" s="1"/>
  <c r="DJ29" i="57"/>
  <c r="DJ19" i="57"/>
  <c r="CG29" i="57"/>
  <c r="DJ25" i="57"/>
  <c r="DJ15" i="57"/>
  <c r="DH17" i="57"/>
  <c r="DH27" i="57"/>
  <c r="DK13" i="55"/>
  <c r="DK27" i="59" s="1"/>
  <c r="DK150" i="59" s="1"/>
  <c r="DK14" i="55"/>
  <c r="DK28" i="59" s="1"/>
  <c r="DK151" i="59" s="1"/>
  <c r="DK11" i="55"/>
  <c r="DK16" i="55"/>
  <c r="DK30" i="59" s="1"/>
  <c r="DK12" i="55"/>
  <c r="DK26" i="59" s="1"/>
  <c r="DK15" i="55"/>
  <c r="DK29" i="59" s="1"/>
  <c r="DK152" i="59" s="1"/>
  <c r="DJ14" i="57"/>
  <c r="DJ24" i="57"/>
  <c r="DI14" i="57"/>
  <c r="DI24" i="57"/>
  <c r="DI29" i="57"/>
  <c r="DI19" i="57"/>
  <c r="DJ16" i="57"/>
  <c r="DG38" i="57"/>
  <c r="DG8" i="57"/>
  <c r="DH35" i="57"/>
  <c r="DH5" i="57"/>
  <c r="DI40" i="57"/>
  <c r="DI10" i="57"/>
  <c r="DI25" i="57"/>
  <c r="DI15" i="57"/>
  <c r="DF28" i="57"/>
  <c r="DF18" i="57"/>
  <c r="CG23" i="57"/>
  <c r="DH37" i="57"/>
  <c r="DH7" i="57"/>
  <c r="DI89" i="55"/>
  <c r="DI16" i="57"/>
  <c r="DF27" i="57"/>
  <c r="DF17" i="57"/>
  <c r="DH40" i="57"/>
  <c r="DH10" i="57"/>
  <c r="DI43" i="55"/>
  <c r="DJ66" i="55"/>
  <c r="AW128" i="55"/>
  <c r="DI128" i="55" s="1"/>
  <c r="DI105" i="55"/>
  <c r="DI112" i="55" s="1"/>
  <c r="BF22" i="59"/>
  <c r="BF145" i="59" s="1"/>
  <c r="DR9" i="55"/>
  <c r="DR22" i="59" s="1"/>
  <c r="DR145" i="59" s="1"/>
  <c r="DH26" i="57"/>
  <c r="CH105" i="55"/>
  <c r="CH128" i="55" s="1"/>
  <c r="CG24" i="57"/>
  <c r="CG40" i="57"/>
  <c r="W204" i="53"/>
  <c r="CJ178" i="55" s="1"/>
  <c r="W201" i="53"/>
  <c r="X229" i="53"/>
  <c r="Y179" i="55" s="1"/>
  <c r="P35" i="57"/>
  <c r="CE39" i="57"/>
  <c r="CE41" i="57" s="1"/>
  <c r="X227" i="53"/>
  <c r="Y177" i="55" s="1"/>
  <c r="W203" i="53"/>
  <c r="CJ177" i="55" s="1"/>
  <c r="W202" i="53"/>
  <c r="CJ176" i="55" s="1"/>
  <c r="CG89" i="55"/>
  <c r="CG36" i="57" s="1"/>
  <c r="CG112" i="55"/>
  <c r="CF158" i="55"/>
  <c r="CF39" i="57" s="1"/>
  <c r="CH59" i="55"/>
  <c r="CH24" i="57" s="1"/>
  <c r="CH82" i="55"/>
  <c r="R128" i="59"/>
  <c r="AW89" i="55"/>
  <c r="AW6" i="57" s="1"/>
  <c r="CG25" i="57"/>
  <c r="CG6" i="57"/>
  <c r="AX66" i="55"/>
  <c r="AX24" i="57"/>
  <c r="AX14" i="57"/>
  <c r="P8" i="57"/>
  <c r="P38" i="57"/>
  <c r="AV5" i="57"/>
  <c r="AV35" i="57"/>
  <c r="R29" i="57"/>
  <c r="R19" i="57"/>
  <c r="CF8" i="57"/>
  <c r="CF38" i="57"/>
  <c r="Z120" i="59"/>
  <c r="P152" i="55"/>
  <c r="P27" i="57"/>
  <c r="P17" i="57"/>
  <c r="CF28" i="57"/>
  <c r="CF30" i="57" s="1"/>
  <c r="AV6" i="57"/>
  <c r="AV36" i="57"/>
  <c r="AW24" i="57"/>
  <c r="AW14" i="57"/>
  <c r="P158" i="55"/>
  <c r="CH129" i="55"/>
  <c r="CH17" i="57" s="1"/>
  <c r="R129" i="55"/>
  <c r="R135" i="55" s="1"/>
  <c r="R26" i="57"/>
  <c r="R16" i="57"/>
  <c r="CF9" i="57"/>
  <c r="Q9" i="57"/>
  <c r="Q39" i="57"/>
  <c r="Q41" i="57" s="1"/>
  <c r="AV152" i="55"/>
  <c r="AV17" i="57"/>
  <c r="AV27" i="57"/>
  <c r="AT28" i="57"/>
  <c r="AT30" i="57" s="1"/>
  <c r="AT18" i="57"/>
  <c r="AT20" i="57" s="1"/>
  <c r="AT149" i="59" s="1"/>
  <c r="AT155" i="59" s="1"/>
  <c r="CH23" i="57"/>
  <c r="AV4" i="57"/>
  <c r="AV34" i="57"/>
  <c r="R25" i="57"/>
  <c r="R15" i="57"/>
  <c r="P4" i="57"/>
  <c r="P34" i="57"/>
  <c r="S7" i="57"/>
  <c r="S37" i="57"/>
  <c r="AW19" i="57"/>
  <c r="AW29" i="57"/>
  <c r="CH10" i="57"/>
  <c r="CH40" i="57"/>
  <c r="AX19" i="57"/>
  <c r="AX29" i="57"/>
  <c r="AU9" i="57"/>
  <c r="AU39" i="57"/>
  <c r="AA120" i="59"/>
  <c r="AW23" i="57"/>
  <c r="AW13" i="57"/>
  <c r="AW25" i="57"/>
  <c r="AW15" i="57"/>
  <c r="AX15" i="57"/>
  <c r="AX25" i="57"/>
  <c r="AV10" i="57"/>
  <c r="AV40" i="57"/>
  <c r="CH29" i="57"/>
  <c r="R23" i="57"/>
  <c r="R13" i="57"/>
  <c r="AV7" i="57"/>
  <c r="AV37" i="57"/>
  <c r="S10" i="57"/>
  <c r="S40" i="57"/>
  <c r="AW129" i="55"/>
  <c r="DI129" i="55" s="1"/>
  <c r="AW26" i="57"/>
  <c r="AW16" i="57"/>
  <c r="AX129" i="55"/>
  <c r="AX26" i="57"/>
  <c r="AX16" i="57"/>
  <c r="P6" i="57"/>
  <c r="P36" i="57"/>
  <c r="O9" i="57"/>
  <c r="O39" i="57"/>
  <c r="O41" i="57" s="1"/>
  <c r="S152" i="55"/>
  <c r="S158" i="55" s="1"/>
  <c r="S27" i="57"/>
  <c r="S17" i="57"/>
  <c r="AX23" i="57"/>
  <c r="AX13" i="57"/>
  <c r="R24" i="57"/>
  <c r="R14" i="57"/>
  <c r="S6" i="57"/>
  <c r="S36" i="57"/>
  <c r="P10" i="57"/>
  <c r="P40" i="57"/>
  <c r="AV8" i="57"/>
  <c r="AV38" i="57"/>
  <c r="CG7" i="57"/>
  <c r="CG37" i="57"/>
  <c r="S8" i="57"/>
  <c r="S38" i="57"/>
  <c r="P7" i="57"/>
  <c r="P37" i="57"/>
  <c r="CG129" i="55"/>
  <c r="CG26" i="57"/>
  <c r="AT9" i="57"/>
  <c r="AT39" i="57"/>
  <c r="T121" i="59"/>
  <c r="S4" i="57"/>
  <c r="S34" i="57"/>
  <c r="S5" i="57"/>
  <c r="S35" i="57"/>
  <c r="U98" i="59"/>
  <c r="U125" i="59"/>
  <c r="CG128" i="59"/>
  <c r="CH94" i="59"/>
  <c r="CH122" i="59"/>
  <c r="CI97" i="59"/>
  <c r="CI124" i="59"/>
  <c r="CI99" i="59"/>
  <c r="CI126" i="59"/>
  <c r="CI98" i="59"/>
  <c r="CI125" i="59"/>
  <c r="CI100" i="59"/>
  <c r="CI127" i="59"/>
  <c r="AZ99" i="59"/>
  <c r="AZ126" i="59"/>
  <c r="AY98" i="59"/>
  <c r="AY125" i="59"/>
  <c r="CH95" i="59"/>
  <c r="CH123" i="59"/>
  <c r="AZ100" i="59"/>
  <c r="AZ127" i="59"/>
  <c r="AZ98" i="59"/>
  <c r="AZ125" i="59"/>
  <c r="AY97" i="59"/>
  <c r="AY124" i="59"/>
  <c r="AY99" i="59"/>
  <c r="AY126" i="59"/>
  <c r="U100" i="59"/>
  <c r="U127" i="59"/>
  <c r="AY100" i="59"/>
  <c r="AY127" i="59"/>
  <c r="U99" i="59"/>
  <c r="U126" i="59"/>
  <c r="AZ97" i="59"/>
  <c r="AZ124" i="59"/>
  <c r="U97" i="59"/>
  <c r="U124" i="59"/>
  <c r="CJ92" i="59"/>
  <c r="AA92" i="59"/>
  <c r="T93" i="59"/>
  <c r="Z92" i="59"/>
  <c r="AX102" i="59"/>
  <c r="CG58" i="59"/>
  <c r="R102" i="59"/>
  <c r="CG102" i="59"/>
  <c r="U56" i="59"/>
  <c r="AZ56" i="59"/>
  <c r="AY54" i="59"/>
  <c r="AW102" i="59"/>
  <c r="R58" i="59"/>
  <c r="CI56" i="59"/>
  <c r="CI57" i="59"/>
  <c r="AZ54" i="59"/>
  <c r="U54" i="59"/>
  <c r="AZ55" i="59"/>
  <c r="AY56" i="59"/>
  <c r="CI54" i="59"/>
  <c r="AZ57" i="59"/>
  <c r="U55" i="59"/>
  <c r="CI55" i="59"/>
  <c r="AY55" i="59"/>
  <c r="U57" i="59"/>
  <c r="AY57" i="59"/>
  <c r="AX181" i="55"/>
  <c r="AZ25" i="59"/>
  <c r="AZ148" i="59" s="1"/>
  <c r="AY25" i="59"/>
  <c r="AY148" i="59" s="1"/>
  <c r="AW181" i="55"/>
  <c r="CI19" i="55"/>
  <c r="CI175" i="55" s="1"/>
  <c r="CI19" i="57" s="1"/>
  <c r="CI25" i="59"/>
  <c r="CI148" i="59" s="1"/>
  <c r="U25" i="59"/>
  <c r="W59" i="58"/>
  <c r="V59" i="58"/>
  <c r="BA59" i="58"/>
  <c r="U58" i="58"/>
  <c r="U5" i="58" s="1"/>
  <c r="T58" i="58"/>
  <c r="T5" i="58" s="1"/>
  <c r="AW112" i="55"/>
  <c r="R181" i="55"/>
  <c r="X210" i="54"/>
  <c r="BE172" i="55"/>
  <c r="AW151" i="55"/>
  <c r="DI151" i="55" s="1"/>
  <c r="R151" i="55"/>
  <c r="CG151" i="55"/>
  <c r="Y210" i="53"/>
  <c r="Y229" i="53" s="1"/>
  <c r="Z179" i="55" s="1"/>
  <c r="Z172" i="55"/>
  <c r="AX151" i="55"/>
  <c r="DJ151" i="55" s="1"/>
  <c r="X200" i="53"/>
  <c r="X206" i="53" s="1"/>
  <c r="CK180" i="55" s="1"/>
  <c r="CK172" i="55"/>
  <c r="Y208" i="54"/>
  <c r="AE25" i="51"/>
  <c r="R43" i="55"/>
  <c r="AX43" i="55"/>
  <c r="R66" i="55"/>
  <c r="R112" i="55"/>
  <c r="AX89" i="55"/>
  <c r="AX112" i="55"/>
  <c r="R89" i="55"/>
  <c r="AW66" i="55"/>
  <c r="AW43" i="55"/>
  <c r="CH43" i="55"/>
  <c r="W262" i="53"/>
  <c r="X78" i="51" s="1"/>
  <c r="X77" i="51"/>
  <c r="U256" i="53"/>
  <c r="V74" i="51"/>
  <c r="V76" i="51" s="1"/>
  <c r="V10" i="55"/>
  <c r="V23" i="59" s="1"/>
  <c r="V146" i="59" s="1"/>
  <c r="Z207" i="54"/>
  <c r="BG4" i="55"/>
  <c r="CJ13" i="55"/>
  <c r="CJ27" i="59" s="1"/>
  <c r="CJ150" i="59" s="1"/>
  <c r="CJ12" i="55"/>
  <c r="CJ26" i="59" s="1"/>
  <c r="CJ53" i="59" s="1"/>
  <c r="CJ16" i="55"/>
  <c r="CJ30" i="59" s="1"/>
  <c r="CJ14" i="55"/>
  <c r="CJ28" i="59" s="1"/>
  <c r="CJ151" i="59" s="1"/>
  <c r="CJ11" i="55"/>
  <c r="CJ15" i="55"/>
  <c r="CJ29" i="59" s="1"/>
  <c r="CJ152" i="59" s="1"/>
  <c r="AA207" i="54"/>
  <c r="BH4" i="55"/>
  <c r="AZ7" i="55"/>
  <c r="AA207" i="53"/>
  <c r="AA208" i="53" s="1"/>
  <c r="AB4" i="55"/>
  <c r="CI7" i="55"/>
  <c r="AZ19" i="55"/>
  <c r="AZ20" i="55"/>
  <c r="AY6" i="55"/>
  <c r="AY19" i="55"/>
  <c r="AY20" i="55"/>
  <c r="U19" i="55"/>
  <c r="U20" i="55"/>
  <c r="AY7" i="55"/>
  <c r="V256" i="53"/>
  <c r="W74" i="51"/>
  <c r="W76" i="51" s="1"/>
  <c r="W10" i="55"/>
  <c r="W23" i="59" s="1"/>
  <c r="T14" i="55"/>
  <c r="T28" i="59" s="1"/>
  <c r="T151" i="59" s="1"/>
  <c r="T13" i="55"/>
  <c r="T27" i="59" s="1"/>
  <c r="T150" i="59" s="1"/>
  <c r="T12" i="55"/>
  <c r="T26" i="59" s="1"/>
  <c r="T53" i="59" s="1"/>
  <c r="T16" i="55"/>
  <c r="T30" i="59" s="1"/>
  <c r="T11" i="55"/>
  <c r="T15" i="55"/>
  <c r="T29" i="59" s="1"/>
  <c r="T152" i="59" s="1"/>
  <c r="U6" i="55"/>
  <c r="AB51" i="51"/>
  <c r="U7" i="55"/>
  <c r="BG9" i="55"/>
  <c r="T256" i="54"/>
  <c r="BA74" i="51"/>
  <c r="BA76" i="51" s="1"/>
  <c r="BA10" i="55"/>
  <c r="CI6" i="55"/>
  <c r="AZ6" i="55"/>
  <c r="BJ48" i="51"/>
  <c r="AC36" i="54"/>
  <c r="AC42" i="54" s="1"/>
  <c r="AE59" i="51"/>
  <c r="AD38" i="53"/>
  <c r="BI65" i="51"/>
  <c r="AB40" i="54"/>
  <c r="AG46" i="54" s="1"/>
  <c r="AG159" i="54" s="1"/>
  <c r="AA162" i="53"/>
  <c r="Y217" i="53"/>
  <c r="Y216" i="53"/>
  <c r="BG61" i="51"/>
  <c r="AA71" i="51"/>
  <c r="AA73" i="51" s="1"/>
  <c r="AA64" i="51"/>
  <c r="V237" i="54"/>
  <c r="V238" i="54" s="1"/>
  <c r="V240" i="54" s="1"/>
  <c r="V261" i="54" s="1"/>
  <c r="Y222" i="53"/>
  <c r="Y234" i="53" s="1"/>
  <c r="Y235" i="53" s="1"/>
  <c r="Y223" i="53"/>
  <c r="X166" i="54"/>
  <c r="CK9" i="55" s="1"/>
  <c r="CK22" i="59" s="1"/>
  <c r="CK145" i="59" s="1"/>
  <c r="W199" i="54"/>
  <c r="W200" i="54" s="1"/>
  <c r="W236" i="54"/>
  <c r="W239" i="54" s="1"/>
  <c r="Y232" i="54"/>
  <c r="Y233" i="54" s="1"/>
  <c r="Y209" i="54"/>
  <c r="DR172" i="55" s="1"/>
  <c r="BF71" i="51"/>
  <c r="BF73" i="51" s="1"/>
  <c r="BF64" i="51"/>
  <c r="V244" i="54"/>
  <c r="V245" i="54" s="1"/>
  <c r="V254" i="54" s="1"/>
  <c r="BC75" i="51" s="1"/>
  <c r="V205" i="54"/>
  <c r="V202" i="54"/>
  <c r="V203" i="54"/>
  <c r="V206" i="54"/>
  <c r="V204" i="54"/>
  <c r="V201" i="54"/>
  <c r="AA81" i="54"/>
  <c r="AA165" i="54"/>
  <c r="W219" i="54"/>
  <c r="W218" i="54"/>
  <c r="BJ52" i="51"/>
  <c r="BJ54" i="51" s="1"/>
  <c r="AC37" i="54"/>
  <c r="BJ55" i="51"/>
  <c r="AC39" i="54"/>
  <c r="Z81" i="54"/>
  <c r="Z165" i="54"/>
  <c r="BH57" i="51"/>
  <c r="BH58" i="51" s="1"/>
  <c r="BH72" i="51" s="1"/>
  <c r="AB58" i="51"/>
  <c r="AB72" i="51" s="1"/>
  <c r="X217" i="54"/>
  <c r="X216" i="54"/>
  <c r="V220" i="54"/>
  <c r="V224" i="54" s="1"/>
  <c r="V221" i="54"/>
  <c r="W252" i="53"/>
  <c r="BJ59" i="51"/>
  <c r="AC38" i="54"/>
  <c r="AA81" i="53"/>
  <c r="AB61" i="51" s="1"/>
  <c r="AA165" i="53"/>
  <c r="AB9" i="55" s="1"/>
  <c r="X236" i="53"/>
  <c r="X239" i="53" s="1"/>
  <c r="X244" i="53" s="1"/>
  <c r="BG67" i="51"/>
  <c r="BG70" i="51" s="1"/>
  <c r="AA70" i="51"/>
  <c r="Z213" i="53"/>
  <c r="Z215" i="53"/>
  <c r="Z214" i="53"/>
  <c r="Z212" i="53"/>
  <c r="X223" i="54"/>
  <c r="X222" i="54"/>
  <c r="X234" i="54" s="1"/>
  <c r="X235" i="54" s="1"/>
  <c r="AE48" i="51"/>
  <c r="AD36" i="53"/>
  <c r="AD42" i="53" s="1"/>
  <c r="AD48" i="51"/>
  <c r="AC36" i="53"/>
  <c r="AC42" i="53" s="1"/>
  <c r="Z211" i="54"/>
  <c r="Z208" i="54"/>
  <c r="AB67" i="51"/>
  <c r="AA79" i="53"/>
  <c r="AB80" i="53"/>
  <c r="AB74" i="53"/>
  <c r="AB75" i="53" s="1"/>
  <c r="AC57" i="51" s="1"/>
  <c r="AB78" i="53"/>
  <c r="AB72" i="53"/>
  <c r="AB73" i="53" s="1"/>
  <c r="AC49" i="51" s="1"/>
  <c r="BI49" i="51" s="1"/>
  <c r="AB47" i="53"/>
  <c r="X228" i="54"/>
  <c r="BE178" i="55" s="1"/>
  <c r="DQ178" i="55" s="1"/>
  <c r="X227" i="54"/>
  <c r="BE177" i="55" s="1"/>
  <c r="DQ177" i="55" s="1"/>
  <c r="X226" i="54"/>
  <c r="BE176" i="55" s="1"/>
  <c r="DQ176" i="55" s="1"/>
  <c r="X230" i="54"/>
  <c r="BE180" i="55" s="1"/>
  <c r="DQ180" i="55" s="1"/>
  <c r="X229" i="54"/>
  <c r="BE179" i="55" s="1"/>
  <c r="DQ179" i="55" s="1"/>
  <c r="X225" i="54"/>
  <c r="AF160" i="54"/>
  <c r="X218" i="53"/>
  <c r="X219" i="53"/>
  <c r="AA211" i="54"/>
  <c r="AA208" i="54"/>
  <c r="AG139" i="54"/>
  <c r="AG140" i="54" s="1"/>
  <c r="AG141" i="54"/>
  <c r="AG142" i="54" s="1"/>
  <c r="AG137" i="54"/>
  <c r="AG138" i="54" s="1"/>
  <c r="U261" i="54"/>
  <c r="U244" i="54"/>
  <c r="BI52" i="51"/>
  <c r="BI54" i="51" s="1"/>
  <c r="AB37" i="54"/>
  <c r="BI48" i="51"/>
  <c r="AB36" i="54"/>
  <c r="AB42" i="54" s="1"/>
  <c r="Y214" i="54"/>
  <c r="Y213" i="54"/>
  <c r="Y212" i="54"/>
  <c r="Y215" i="54"/>
  <c r="Z209" i="53"/>
  <c r="Z232" i="53"/>
  <c r="Z233" i="53" s="1"/>
  <c r="AG142" i="53"/>
  <c r="AH69" i="51" s="1"/>
  <c r="BN69" i="51" s="1"/>
  <c r="AD65" i="51"/>
  <c r="AC40" i="53"/>
  <c r="AG140" i="53"/>
  <c r="AH63" i="51" s="1"/>
  <c r="BN63" i="51" s="1"/>
  <c r="AG138" i="53"/>
  <c r="AE55" i="51"/>
  <c r="AD39" i="53"/>
  <c r="Y199" i="53"/>
  <c r="Z166" i="53"/>
  <c r="X201" i="53"/>
  <c r="AE44" i="51"/>
  <c r="AF38" i="51"/>
  <c r="BI46" i="51"/>
  <c r="BJ43" i="51"/>
  <c r="BK29" i="51"/>
  <c r="AF29" i="51"/>
  <c r="BK37" i="51"/>
  <c r="AF33" i="51"/>
  <c r="AF35" i="51" s="1"/>
  <c r="AF15" i="51"/>
  <c r="AF17" i="51" s="1"/>
  <c r="AF24" i="51"/>
  <c r="AG36" i="51"/>
  <c r="AG37" i="51" s="1"/>
  <c r="AG19" i="59" s="1"/>
  <c r="AF21" i="51"/>
  <c r="BJ39" i="51"/>
  <c r="BK21" i="51"/>
  <c r="BL13" i="51"/>
  <c r="BL12" i="59" s="1"/>
  <c r="BL14" i="51"/>
  <c r="BL13" i="59" s="1"/>
  <c r="AG20" i="51"/>
  <c r="AG9" i="59" s="1"/>
  <c r="AG23" i="51"/>
  <c r="AG11" i="59" s="1"/>
  <c r="AH18" i="51"/>
  <c r="AG19" i="51"/>
  <c r="AG8" i="59" s="1"/>
  <c r="BM18" i="51"/>
  <c r="AG22" i="51"/>
  <c r="AG10" i="59" s="1"/>
  <c r="BL32" i="51"/>
  <c r="BL17" i="59" s="1"/>
  <c r="BL34" i="51"/>
  <c r="BL18" i="59" s="1"/>
  <c r="BL31" i="51"/>
  <c r="BL16" i="59" s="1"/>
  <c r="AG14" i="51"/>
  <c r="AG13" i="59" s="1"/>
  <c r="AG13" i="51"/>
  <c r="AG12" i="59" s="1"/>
  <c r="BK15" i="51"/>
  <c r="AG28" i="51"/>
  <c r="AG15" i="59" s="1"/>
  <c r="AG27" i="51"/>
  <c r="AG14" i="59" s="1"/>
  <c r="AH26" i="51"/>
  <c r="BM26" i="51"/>
  <c r="BJ44" i="51"/>
  <c r="AH30" i="51"/>
  <c r="BM30" i="51"/>
  <c r="AG32" i="51"/>
  <c r="AG17" i="59" s="1"/>
  <c r="AG31" i="51"/>
  <c r="AG16" i="59" s="1"/>
  <c r="AG34" i="51"/>
  <c r="AG18" i="59" s="1"/>
  <c r="BM12" i="51"/>
  <c r="AE43" i="51"/>
  <c r="AE17" i="51"/>
  <c r="BL20" i="51"/>
  <c r="BL9" i="59" s="1"/>
  <c r="BL19" i="51"/>
  <c r="BL8" i="59" s="1"/>
  <c r="BL23" i="51"/>
  <c r="BL11" i="59" s="1"/>
  <c r="BL22" i="51"/>
  <c r="BL10" i="59" s="1"/>
  <c r="BK24" i="51"/>
  <c r="BK33" i="51"/>
  <c r="BK35" i="51" s="1"/>
  <c r="AH12" i="51"/>
  <c r="BN10" i="51"/>
  <c r="BL28" i="51"/>
  <c r="BL15" i="59" s="1"/>
  <c r="BL27" i="51"/>
  <c r="BL14" i="59" s="1"/>
  <c r="BL36" i="51"/>
  <c r="AW135" i="55" l="1"/>
  <c r="DI58" i="59"/>
  <c r="DI5" i="57"/>
  <c r="BJ75" i="59"/>
  <c r="DL150" i="59"/>
  <c r="DL154" i="59"/>
  <c r="DL152" i="59"/>
  <c r="T24" i="59"/>
  <c r="T51" i="59" s="1"/>
  <c r="AF39" i="51"/>
  <c r="AF20" i="59"/>
  <c r="T101" i="59"/>
  <c r="T153" i="59"/>
  <c r="CJ101" i="59"/>
  <c r="CJ153" i="59"/>
  <c r="DK101" i="59"/>
  <c r="DK153" i="59"/>
  <c r="U152" i="59"/>
  <c r="DJ40" i="57"/>
  <c r="BL86" i="59"/>
  <c r="BL113" i="59"/>
  <c r="BL43" i="59"/>
  <c r="BL69" i="59"/>
  <c r="AG67" i="59"/>
  <c r="AG111" i="59"/>
  <c r="AG41" i="59"/>
  <c r="AG84" i="59"/>
  <c r="BL44" i="59"/>
  <c r="BL87" i="59"/>
  <c r="BL114" i="59"/>
  <c r="BL70" i="59"/>
  <c r="AY51" i="59"/>
  <c r="AY147" i="59"/>
  <c r="DJ128" i="59"/>
  <c r="AE91" i="59"/>
  <c r="AE118" i="59"/>
  <c r="AE48" i="59"/>
  <c r="AE74" i="59"/>
  <c r="AE75" i="59" s="1"/>
  <c r="U153" i="59"/>
  <c r="BL88" i="59"/>
  <c r="BL115" i="59"/>
  <c r="BL45" i="59"/>
  <c r="BL71" i="59"/>
  <c r="BL83" i="59"/>
  <c r="BL110" i="59"/>
  <c r="BL40" i="59"/>
  <c r="BL66" i="59"/>
  <c r="BK39" i="51"/>
  <c r="BK19" i="59"/>
  <c r="Y230" i="53"/>
  <c r="Z180" i="55" s="1"/>
  <c r="DI102" i="59"/>
  <c r="U151" i="59"/>
  <c r="AG46" i="59"/>
  <c r="AG89" i="59"/>
  <c r="AG116" i="59"/>
  <c r="AG72" i="59"/>
  <c r="AG85" i="59"/>
  <c r="AG112" i="59"/>
  <c r="AG42" i="59"/>
  <c r="AG68" i="59"/>
  <c r="AD40" i="53"/>
  <c r="Y226" i="53"/>
  <c r="Z176" i="55" s="1"/>
  <c r="W146" i="59"/>
  <c r="DF30" i="57"/>
  <c r="DJ58" i="59"/>
  <c r="BL84" i="59"/>
  <c r="BL111" i="59"/>
  <c r="BL41" i="59"/>
  <c r="BL67" i="59"/>
  <c r="AG86" i="59"/>
  <c r="AG43" i="59"/>
  <c r="AG113" i="59"/>
  <c r="AG69" i="59"/>
  <c r="Y225" i="53"/>
  <c r="DL151" i="59"/>
  <c r="U51" i="59"/>
  <c r="BL89" i="59"/>
  <c r="BL116" i="59"/>
  <c r="BL46" i="59"/>
  <c r="BL72" i="59"/>
  <c r="U150" i="59"/>
  <c r="AG87" i="59"/>
  <c r="AG44" i="59"/>
  <c r="AG114" i="59"/>
  <c r="AG70" i="59"/>
  <c r="AG45" i="59"/>
  <c r="AG88" i="59"/>
  <c r="AG115" i="59"/>
  <c r="AG71" i="59"/>
  <c r="Y227" i="53"/>
  <c r="Z177" i="55" s="1"/>
  <c r="CJ24" i="59"/>
  <c r="DL101" i="59"/>
  <c r="DL153" i="59"/>
  <c r="AZ51" i="59"/>
  <c r="AZ147" i="59"/>
  <c r="CI51" i="59"/>
  <c r="CI147" i="59"/>
  <c r="BL85" i="59"/>
  <c r="BL112" i="59"/>
  <c r="BL42" i="59"/>
  <c r="BL68" i="59"/>
  <c r="AG83" i="59"/>
  <c r="AG40" i="59"/>
  <c r="AG110" i="59"/>
  <c r="AG66" i="59"/>
  <c r="AG117" i="59"/>
  <c r="AG47" i="59"/>
  <c r="AG73" i="59"/>
  <c r="AG90" i="59"/>
  <c r="Y228" i="53"/>
  <c r="Z178" i="55" s="1"/>
  <c r="AU149" i="59"/>
  <c r="AU155" i="59" s="1"/>
  <c r="AZ154" i="59"/>
  <c r="U154" i="59"/>
  <c r="CG4" i="57"/>
  <c r="DK57" i="59"/>
  <c r="DK127" i="59"/>
  <c r="DK100" i="59"/>
  <c r="DJ34" i="57"/>
  <c r="BA11" i="58"/>
  <c r="BA6" i="58"/>
  <c r="DK53" i="59"/>
  <c r="DK124" i="59"/>
  <c r="DK97" i="59"/>
  <c r="DK54" i="59"/>
  <c r="DL53" i="59"/>
  <c r="DL97" i="59"/>
  <c r="DL54" i="59"/>
  <c r="DL124" i="59"/>
  <c r="DI128" i="59"/>
  <c r="W11" i="58"/>
  <c r="W6" i="58"/>
  <c r="DR49" i="59"/>
  <c r="DR92" i="59"/>
  <c r="DR120" i="59"/>
  <c r="DF20" i="57"/>
  <c r="DF149" i="59" s="1"/>
  <c r="DF155" i="59" s="1"/>
  <c r="DK99" i="59"/>
  <c r="DK126" i="59"/>
  <c r="DK56" i="59"/>
  <c r="CG135" i="55"/>
  <c r="CG17" i="57"/>
  <c r="CG35" i="57"/>
  <c r="DK125" i="59"/>
  <c r="DK98" i="59"/>
  <c r="DK55" i="59"/>
  <c r="DL25" i="59"/>
  <c r="DL24" i="59"/>
  <c r="DL57" i="59"/>
  <c r="DL127" i="59"/>
  <c r="DL100" i="59"/>
  <c r="V11" i="58"/>
  <c r="V6" i="58"/>
  <c r="DK6" i="55"/>
  <c r="DK25" i="59"/>
  <c r="DK148" i="59" s="1"/>
  <c r="DK24" i="59"/>
  <c r="DK147" i="59" s="1"/>
  <c r="DL98" i="59"/>
  <c r="DL125" i="59"/>
  <c r="DL55" i="59"/>
  <c r="CH25" i="57"/>
  <c r="DL126" i="59"/>
  <c r="DL56" i="59"/>
  <c r="DL99" i="59"/>
  <c r="DJ102" i="59"/>
  <c r="AY96" i="59"/>
  <c r="AY52" i="59"/>
  <c r="BF120" i="59"/>
  <c r="BF49" i="59"/>
  <c r="V50" i="59"/>
  <c r="V31" i="59"/>
  <c r="V154" i="59" s="1"/>
  <c r="BF92" i="59"/>
  <c r="CK120" i="59"/>
  <c r="CK49" i="59"/>
  <c r="CK31" i="59"/>
  <c r="CK154" i="59" s="1"/>
  <c r="CI96" i="59"/>
  <c r="CI52" i="59"/>
  <c r="W50" i="59"/>
  <c r="W31" i="59"/>
  <c r="W154" i="59" s="1"/>
  <c r="AZ96" i="59"/>
  <c r="AZ52" i="59"/>
  <c r="U96" i="59"/>
  <c r="U52" i="59"/>
  <c r="BL80" i="59"/>
  <c r="BL107" i="59"/>
  <c r="BL37" i="59"/>
  <c r="BL63" i="59"/>
  <c r="AG38" i="59"/>
  <c r="AG81" i="59"/>
  <c r="AG108" i="59"/>
  <c r="AG64" i="59"/>
  <c r="BL81" i="59"/>
  <c r="BL38" i="59"/>
  <c r="BL108" i="59"/>
  <c r="BL64" i="59"/>
  <c r="BL82" i="59"/>
  <c r="BL109" i="59"/>
  <c r="BL39" i="59"/>
  <c r="BL65" i="59"/>
  <c r="BL79" i="59"/>
  <c r="BL106" i="59"/>
  <c r="BL36" i="59"/>
  <c r="BL62" i="59"/>
  <c r="DK7" i="55"/>
  <c r="AG36" i="59"/>
  <c r="AG79" i="59"/>
  <c r="AG106" i="59"/>
  <c r="AG62" i="59"/>
  <c r="AG37" i="59"/>
  <c r="AG80" i="59"/>
  <c r="AG107" i="59"/>
  <c r="AG63" i="59"/>
  <c r="AG82" i="59"/>
  <c r="AG109" i="59"/>
  <c r="AG39" i="59"/>
  <c r="AG65" i="59"/>
  <c r="DJ26" i="57"/>
  <c r="DL7" i="55"/>
  <c r="DL20" i="55"/>
  <c r="DL19" i="55"/>
  <c r="BG22" i="59"/>
  <c r="BG145" i="59" s="1"/>
  <c r="DS9" i="55"/>
  <c r="DS22" i="59" s="1"/>
  <c r="DS145" i="59" s="1"/>
  <c r="DJ36" i="57"/>
  <c r="DJ6" i="57"/>
  <c r="AX135" i="55"/>
  <c r="AX38" i="57" s="1"/>
  <c r="DJ129" i="55"/>
  <c r="CI82" i="55"/>
  <c r="AV158" i="55"/>
  <c r="AV9" i="57" s="1"/>
  <c r="DH152" i="55"/>
  <c r="CH26" i="57"/>
  <c r="DI37" i="57"/>
  <c r="DI7" i="57"/>
  <c r="DJ37" i="57"/>
  <c r="DJ7" i="57"/>
  <c r="DI135" i="55"/>
  <c r="DL6" i="55"/>
  <c r="CH112" i="55"/>
  <c r="CH7" i="57" s="1"/>
  <c r="DI17" i="57"/>
  <c r="DI27" i="57"/>
  <c r="DJ35" i="57"/>
  <c r="DJ5" i="57"/>
  <c r="DI26" i="57"/>
  <c r="DK19" i="55"/>
  <c r="DK20" i="55"/>
  <c r="BA23" i="59"/>
  <c r="BA146" i="59" s="1"/>
  <c r="DM10" i="55"/>
  <c r="DM23" i="59" s="1"/>
  <c r="DM146" i="59" s="1"/>
  <c r="DI34" i="57"/>
  <c r="DI4" i="57"/>
  <c r="DI36" i="57"/>
  <c r="DI6" i="57"/>
  <c r="DH38" i="57"/>
  <c r="DH8" i="57"/>
  <c r="CH89" i="55"/>
  <c r="CH6" i="57" s="1"/>
  <c r="CF41" i="57"/>
  <c r="X203" i="53"/>
  <c r="CK177" i="55" s="1"/>
  <c r="X204" i="53"/>
  <c r="CK178" i="55" s="1"/>
  <c r="X205" i="53"/>
  <c r="CK179" i="55" s="1"/>
  <c r="Y236" i="53"/>
  <c r="Y239" i="53" s="1"/>
  <c r="X202" i="53"/>
  <c r="CK176" i="55" s="1"/>
  <c r="CI83" i="55"/>
  <c r="CI15" i="57" s="1"/>
  <c r="AW36" i="57"/>
  <c r="CI106" i="55"/>
  <c r="CI60" i="55"/>
  <c r="CI14" i="57" s="1"/>
  <c r="CI37" i="55"/>
  <c r="CI13" i="57" s="1"/>
  <c r="AX6" i="57"/>
  <c r="AX36" i="57"/>
  <c r="AX10" i="57"/>
  <c r="AX40" i="57"/>
  <c r="AV18" i="57"/>
  <c r="AV20" i="57" s="1"/>
  <c r="AV149" i="59" s="1"/>
  <c r="AV155" i="59" s="1"/>
  <c r="AV28" i="57"/>
  <c r="AV30" i="57" s="1"/>
  <c r="CH4" i="57"/>
  <c r="CH34" i="57"/>
  <c r="CI36" i="55"/>
  <c r="CI23" i="57" s="1"/>
  <c r="CI59" i="55"/>
  <c r="CI24" i="57" s="1"/>
  <c r="CI105" i="55"/>
  <c r="CI112" i="55" s="1"/>
  <c r="AX152" i="55"/>
  <c r="DJ152" i="55" s="1"/>
  <c r="AX27" i="57"/>
  <c r="AX17" i="57"/>
  <c r="R152" i="55"/>
  <c r="R158" i="55" s="1"/>
  <c r="R27" i="57"/>
  <c r="R17" i="57"/>
  <c r="W121" i="59"/>
  <c r="AW8" i="57"/>
  <c r="AW38" i="57"/>
  <c r="AX5" i="57"/>
  <c r="AX35" i="57"/>
  <c r="V121" i="59"/>
  <c r="AW4" i="57"/>
  <c r="AW34" i="57"/>
  <c r="R7" i="57"/>
  <c r="R37" i="57"/>
  <c r="CG8" i="57"/>
  <c r="CG38" i="57"/>
  <c r="AW10" i="57"/>
  <c r="AW40" i="57"/>
  <c r="CH152" i="55"/>
  <c r="CH18" i="57" s="1"/>
  <c r="CH20" i="57" s="1"/>
  <c r="CH27" i="57"/>
  <c r="AW5" i="57"/>
  <c r="AW35" i="57"/>
  <c r="R5" i="57"/>
  <c r="R35" i="57"/>
  <c r="CG152" i="55"/>
  <c r="CG27" i="57"/>
  <c r="AW152" i="55"/>
  <c r="DI152" i="55" s="1"/>
  <c r="AW27" i="57"/>
  <c r="AW17" i="57"/>
  <c r="P9" i="57"/>
  <c r="P39" i="57"/>
  <c r="P41" i="57" s="1"/>
  <c r="R6" i="57"/>
  <c r="R36" i="57"/>
  <c r="AX4" i="57"/>
  <c r="AX34" i="57"/>
  <c r="CI174" i="55"/>
  <c r="CI181" i="55" s="1"/>
  <c r="P28" i="57"/>
  <c r="P30" i="57" s="1"/>
  <c r="P18" i="57"/>
  <c r="P20" i="57" s="1"/>
  <c r="AX7" i="57"/>
  <c r="AX37" i="57"/>
  <c r="R4" i="57"/>
  <c r="R34" i="57"/>
  <c r="R8" i="57"/>
  <c r="R38" i="57"/>
  <c r="R10" i="57"/>
  <c r="R40" i="57"/>
  <c r="AX8" i="57"/>
  <c r="AW7" i="57"/>
  <c r="AW37" i="57"/>
  <c r="S9" i="57"/>
  <c r="S39" i="57"/>
  <c r="S41" i="57" s="1"/>
  <c r="S28" i="57"/>
  <c r="S30" i="57" s="1"/>
  <c r="S18" i="57"/>
  <c r="S20" i="57" s="1"/>
  <c r="T100" i="59"/>
  <c r="T127" i="59"/>
  <c r="CH128" i="59"/>
  <c r="CJ99" i="59"/>
  <c r="CJ126" i="59"/>
  <c r="AY95" i="59"/>
  <c r="AY123" i="59"/>
  <c r="AY94" i="59"/>
  <c r="AY122" i="59"/>
  <c r="CI95" i="59"/>
  <c r="CI123" i="59"/>
  <c r="T97" i="59"/>
  <c r="T124" i="59"/>
  <c r="CJ97" i="59"/>
  <c r="CJ124" i="59"/>
  <c r="U95" i="59"/>
  <c r="U123" i="59"/>
  <c r="AZ94" i="59"/>
  <c r="AZ122" i="59"/>
  <c r="CJ100" i="59"/>
  <c r="CJ127" i="59"/>
  <c r="T98" i="59"/>
  <c r="T125" i="59"/>
  <c r="CJ98" i="59"/>
  <c r="CJ125" i="59"/>
  <c r="U94" i="59"/>
  <c r="U122" i="59"/>
  <c r="AZ95" i="59"/>
  <c r="AZ123" i="59"/>
  <c r="T99" i="59"/>
  <c r="T126" i="59"/>
  <c r="CI94" i="59"/>
  <c r="CI122" i="59"/>
  <c r="T10" i="58"/>
  <c r="U10" i="58"/>
  <c r="CK92" i="59"/>
  <c r="V93" i="59"/>
  <c r="W93" i="59"/>
  <c r="CH102" i="59"/>
  <c r="CJ56" i="59"/>
  <c r="T57" i="59"/>
  <c r="T54" i="59"/>
  <c r="CJ54" i="59"/>
  <c r="T55" i="59"/>
  <c r="CJ55" i="59"/>
  <c r="CH58" i="59"/>
  <c r="T56" i="59"/>
  <c r="CJ57" i="59"/>
  <c r="AC51" i="51"/>
  <c r="BH9" i="55"/>
  <c r="AB22" i="59"/>
  <c r="AB145" i="59" s="1"/>
  <c r="CJ19" i="55"/>
  <c r="CJ175" i="55" s="1"/>
  <c r="CJ19" i="57" s="1"/>
  <c r="CJ25" i="59"/>
  <c r="CJ148" i="59" s="1"/>
  <c r="T25" i="59"/>
  <c r="T148" i="59" s="1"/>
  <c r="W58" i="58"/>
  <c r="W5" i="58" s="1"/>
  <c r="V58" i="58"/>
  <c r="V5" i="58" s="1"/>
  <c r="BA58" i="58"/>
  <c r="X59" i="58"/>
  <c r="X236" i="54"/>
  <c r="X237" i="54" s="1"/>
  <c r="X238" i="54" s="1"/>
  <c r="X237" i="53"/>
  <c r="X238" i="53" s="1"/>
  <c r="CH151" i="55"/>
  <c r="CH158" i="55" s="1"/>
  <c r="CH135" i="55"/>
  <c r="AY106" i="55"/>
  <c r="DK106" i="55" s="1"/>
  <c r="AY83" i="55"/>
  <c r="DK83" i="55" s="1"/>
  <c r="AY175" i="55"/>
  <c r="DK175" i="55" s="1"/>
  <c r="Y200" i="53"/>
  <c r="Y201" i="53" s="1"/>
  <c r="CL172" i="55"/>
  <c r="AY105" i="55"/>
  <c r="AY82" i="55"/>
  <c r="DK82" i="55" s="1"/>
  <c r="AY174" i="55"/>
  <c r="DK174" i="55" s="1"/>
  <c r="U105" i="55"/>
  <c r="U128" i="55" s="1"/>
  <c r="U82" i="55"/>
  <c r="U174" i="55"/>
  <c r="AZ106" i="55"/>
  <c r="DL106" i="55" s="1"/>
  <c r="AZ83" i="55"/>
  <c r="DL83" i="55" s="1"/>
  <c r="AZ175" i="55"/>
  <c r="DL175" i="55" s="1"/>
  <c r="AA211" i="53"/>
  <c r="AA213" i="53" s="1"/>
  <c r="AZ105" i="55"/>
  <c r="AZ82" i="55"/>
  <c r="DL82" i="55" s="1"/>
  <c r="AZ174" i="55"/>
  <c r="DL174" i="55" s="1"/>
  <c r="Z210" i="53"/>
  <c r="Z230" i="53" s="1"/>
  <c r="AA180" i="55" s="1"/>
  <c r="AA172" i="55"/>
  <c r="Y210" i="54"/>
  <c r="Y225" i="54" s="1"/>
  <c r="BF172" i="55"/>
  <c r="U106" i="55"/>
  <c r="U83" i="55"/>
  <c r="U175" i="55"/>
  <c r="AZ60" i="55"/>
  <c r="DL60" i="55" s="1"/>
  <c r="AZ59" i="55"/>
  <c r="DL59" i="55" s="1"/>
  <c r="U37" i="55"/>
  <c r="U60" i="55"/>
  <c r="U59" i="55"/>
  <c r="U36" i="55"/>
  <c r="AY60" i="55"/>
  <c r="DK60" i="55" s="1"/>
  <c r="AY59" i="55"/>
  <c r="DK59" i="55" s="1"/>
  <c r="AZ37" i="55"/>
  <c r="DL37" i="55" s="1"/>
  <c r="AZ36" i="55"/>
  <c r="DL36" i="55" s="1"/>
  <c r="AY36" i="55"/>
  <c r="DK36" i="55" s="1"/>
  <c r="AY37" i="55"/>
  <c r="DK37" i="55" s="1"/>
  <c r="CH66" i="55"/>
  <c r="V262" i="54"/>
  <c r="BC78" i="51" s="1"/>
  <c r="BC77" i="51"/>
  <c r="U262" i="54"/>
  <c r="BB78" i="51" s="1"/>
  <c r="BB77" i="51"/>
  <c r="T6" i="55"/>
  <c r="CJ6" i="55"/>
  <c r="T7" i="55"/>
  <c r="BI51" i="51"/>
  <c r="AB207" i="53"/>
  <c r="AC4" i="55"/>
  <c r="CK16" i="55"/>
  <c r="CK30" i="59" s="1"/>
  <c r="CK15" i="55"/>
  <c r="CK29" i="59" s="1"/>
  <c r="CK152" i="59" s="1"/>
  <c r="CK11" i="55"/>
  <c r="CK13" i="55"/>
  <c r="CK27" i="59" s="1"/>
  <c r="CK150" i="59" s="1"/>
  <c r="CK12" i="55"/>
  <c r="CK26" i="59" s="1"/>
  <c r="CK53" i="59" s="1"/>
  <c r="CK14" i="55"/>
  <c r="CK28" i="59" s="1"/>
  <c r="CK151" i="59" s="1"/>
  <c r="W12" i="55"/>
  <c r="W26" i="59" s="1"/>
  <c r="W53" i="59" s="1"/>
  <c r="W11" i="55"/>
  <c r="W16" i="55"/>
  <c r="W30" i="59" s="1"/>
  <c r="W13" i="55"/>
  <c r="W27" i="59" s="1"/>
  <c r="W15" i="55"/>
  <c r="W29" i="59" s="1"/>
  <c r="W14" i="55"/>
  <c r="W28" i="59" s="1"/>
  <c r="CJ7" i="55"/>
  <c r="V13" i="55"/>
  <c r="V27" i="59" s="1"/>
  <c r="V150" i="59" s="1"/>
  <c r="V12" i="55"/>
  <c r="V26" i="59" s="1"/>
  <c r="V53" i="59" s="1"/>
  <c r="V11" i="55"/>
  <c r="V15" i="55"/>
  <c r="V29" i="59" s="1"/>
  <c r="V152" i="59" s="1"/>
  <c r="V16" i="55"/>
  <c r="V30" i="59" s="1"/>
  <c r="V14" i="55"/>
  <c r="V28" i="59" s="1"/>
  <c r="V151" i="59" s="1"/>
  <c r="W256" i="53"/>
  <c r="X74" i="51"/>
  <c r="X76" i="51" s="1"/>
  <c r="X10" i="55"/>
  <c r="X23" i="59" s="1"/>
  <c r="X146" i="59" s="1"/>
  <c r="BA16" i="55"/>
  <c r="BA30" i="59" s="1"/>
  <c r="BA11" i="55"/>
  <c r="BA14" i="55"/>
  <c r="BA28" i="59" s="1"/>
  <c r="BA151" i="59" s="1"/>
  <c r="BA13" i="55"/>
  <c r="BA27" i="59" s="1"/>
  <c r="BA150" i="59" s="1"/>
  <c r="BA12" i="55"/>
  <c r="BA26" i="59" s="1"/>
  <c r="BA53" i="59" s="1"/>
  <c r="BA15" i="55"/>
  <c r="BA29" i="59" s="1"/>
  <c r="BA152" i="59" s="1"/>
  <c r="T20" i="55"/>
  <c r="T19" i="55"/>
  <c r="AB162" i="53"/>
  <c r="X239" i="54"/>
  <c r="X244" i="54" s="1"/>
  <c r="BK55" i="51"/>
  <c r="AD39" i="54"/>
  <c r="Z212" i="54"/>
  <c r="Z213" i="54"/>
  <c r="Z215" i="54"/>
  <c r="Z214" i="54"/>
  <c r="BH61" i="51"/>
  <c r="AB71" i="51"/>
  <c r="AB73" i="51" s="1"/>
  <c r="AB64" i="51"/>
  <c r="W220" i="54"/>
  <c r="W224" i="54" s="1"/>
  <c r="W221" i="54"/>
  <c r="W237" i="54"/>
  <c r="W238" i="54" s="1"/>
  <c r="W240" i="54" s="1"/>
  <c r="W261" i="54" s="1"/>
  <c r="Y219" i="53"/>
  <c r="Y218" i="53"/>
  <c r="BK65" i="51"/>
  <c r="AD40" i="54"/>
  <c r="Y223" i="54"/>
  <c r="Y222" i="54"/>
  <c r="Y234" i="54" s="1"/>
  <c r="Y235" i="54" s="1"/>
  <c r="AC67" i="51"/>
  <c r="AB79" i="53"/>
  <c r="AC72" i="53"/>
  <c r="AC73" i="53" s="1"/>
  <c r="AD49" i="51" s="1"/>
  <c r="BJ49" i="51" s="1"/>
  <c r="BJ51" i="51" s="1"/>
  <c r="AC78" i="53"/>
  <c r="AC80" i="53"/>
  <c r="AC74" i="53"/>
  <c r="AC75" i="53" s="1"/>
  <c r="AD57" i="51" s="1"/>
  <c r="AC47" i="53"/>
  <c r="AC162" i="53" s="1"/>
  <c r="Z217" i="53"/>
  <c r="Z216" i="53"/>
  <c r="Y244" i="53"/>
  <c r="X219" i="54"/>
  <c r="X218" i="54"/>
  <c r="AF59" i="51"/>
  <c r="AE38" i="53"/>
  <c r="AA215" i="54"/>
  <c r="AA214" i="54"/>
  <c r="AA213" i="54"/>
  <c r="AA212" i="54"/>
  <c r="BI57" i="51"/>
  <c r="BI58" i="51" s="1"/>
  <c r="BI72" i="51" s="1"/>
  <c r="AC58" i="51"/>
  <c r="AC72" i="51" s="1"/>
  <c r="Z222" i="53"/>
  <c r="Z234" i="53" s="1"/>
  <c r="Z235" i="53" s="1"/>
  <c r="Z223" i="53"/>
  <c r="AA209" i="54"/>
  <c r="DT172" i="55" s="1"/>
  <c r="AA232" i="54"/>
  <c r="AA233" i="54" s="1"/>
  <c r="W244" i="54"/>
  <c r="AG160" i="54"/>
  <c r="BJ65" i="51"/>
  <c r="AC40" i="54"/>
  <c r="BK59" i="51"/>
  <c r="AD38" i="54"/>
  <c r="U245" i="54"/>
  <c r="U254" i="54" s="1"/>
  <c r="BB75" i="51" s="1"/>
  <c r="AB81" i="53"/>
  <c r="AC61" i="51" s="1"/>
  <c r="AB165" i="53"/>
  <c r="AC9" i="55" s="1"/>
  <c r="AD72" i="53"/>
  <c r="AD73" i="53" s="1"/>
  <c r="AE49" i="51" s="1"/>
  <c r="BK49" i="51" s="1"/>
  <c r="AD74" i="53"/>
  <c r="AD75" i="53" s="1"/>
  <c r="AE57" i="51" s="1"/>
  <c r="BK57" i="51" s="1"/>
  <c r="AD78" i="53"/>
  <c r="AD80" i="53"/>
  <c r="AD47" i="53"/>
  <c r="AD162" i="53" s="1"/>
  <c r="V252" i="54"/>
  <c r="W206" i="54"/>
  <c r="W202" i="54"/>
  <c r="W201" i="54"/>
  <c r="W203" i="54"/>
  <c r="W205" i="54"/>
  <c r="W204" i="54"/>
  <c r="Y216" i="54"/>
  <c r="Y217" i="54"/>
  <c r="X220" i="53"/>
  <c r="X224" i="53" s="1"/>
  <c r="X221" i="53"/>
  <c r="X240" i="53"/>
  <c r="X261" i="53" s="1"/>
  <c r="Z209" i="54"/>
  <c r="DS172" i="55" s="1"/>
  <c r="Z232" i="54"/>
  <c r="Z233" i="54" s="1"/>
  <c r="X199" i="54"/>
  <c r="X200" i="54" s="1"/>
  <c r="Y166" i="54"/>
  <c r="CL9" i="55" s="1"/>
  <c r="CL22" i="59" s="1"/>
  <c r="CL145" i="59" s="1"/>
  <c r="AB80" i="54"/>
  <c r="AB78" i="54"/>
  <c r="AB79" i="54" s="1"/>
  <c r="AB47" i="54"/>
  <c r="AB162" i="54" s="1"/>
  <c r="AB74" i="54"/>
  <c r="AB75" i="54" s="1"/>
  <c r="AB72" i="54"/>
  <c r="AB73" i="54" s="1"/>
  <c r="Z236" i="53"/>
  <c r="BH67" i="51"/>
  <c r="BH70" i="51" s="1"/>
  <c r="AB70" i="51"/>
  <c r="X245" i="53"/>
  <c r="X252" i="53" s="1"/>
  <c r="Y227" i="54"/>
  <c r="BF177" i="55" s="1"/>
  <c r="DR177" i="55" s="1"/>
  <c r="BG71" i="51"/>
  <c r="BG73" i="51" s="1"/>
  <c r="BG64" i="51"/>
  <c r="AC80" i="54"/>
  <c r="AC74" i="54"/>
  <c r="AC75" i="54" s="1"/>
  <c r="AC72" i="54"/>
  <c r="AC73" i="54" s="1"/>
  <c r="AC78" i="54"/>
  <c r="AC79" i="54" s="1"/>
  <c r="AC47" i="54"/>
  <c r="AE52" i="51"/>
  <c r="AE54" i="51" s="1"/>
  <c r="AD37" i="53"/>
  <c r="AF52" i="51"/>
  <c r="AF54" i="51" s="1"/>
  <c r="AE37" i="53"/>
  <c r="Z229" i="53"/>
  <c r="AA179" i="55" s="1"/>
  <c r="AB211" i="53"/>
  <c r="AB208" i="53"/>
  <c r="AA232" i="53"/>
  <c r="AA233" i="53" s="1"/>
  <c r="AA209" i="53"/>
  <c r="Y237" i="53"/>
  <c r="Y238" i="53" s="1"/>
  <c r="Y240" i="53" s="1"/>
  <c r="Y261" i="53" s="1"/>
  <c r="BJ46" i="51"/>
  <c r="AE46" i="51"/>
  <c r="AF55" i="51"/>
  <c r="AE39" i="53"/>
  <c r="Z199" i="53"/>
  <c r="AA166" i="53"/>
  <c r="AF65" i="51"/>
  <c r="AE40" i="53"/>
  <c r="AF44" i="51"/>
  <c r="AF43" i="51"/>
  <c r="AH36" i="51"/>
  <c r="AH37" i="51" s="1"/>
  <c r="BK25" i="51"/>
  <c r="AG38" i="51"/>
  <c r="BL33" i="51"/>
  <c r="BL35" i="51" s="1"/>
  <c r="AG15" i="51"/>
  <c r="AG17" i="51" s="1"/>
  <c r="AF25" i="51"/>
  <c r="AG21" i="51"/>
  <c r="BL15" i="51"/>
  <c r="BL17" i="51" s="1"/>
  <c r="BL29" i="51"/>
  <c r="AG29" i="51"/>
  <c r="AG24" i="51"/>
  <c r="BN30" i="51"/>
  <c r="AH34" i="51"/>
  <c r="AH18" i="59" s="1"/>
  <c r="AH32" i="51"/>
  <c r="AH17" i="59" s="1"/>
  <c r="AH31" i="51"/>
  <c r="AH16" i="59" s="1"/>
  <c r="BM28" i="51"/>
  <c r="BM15" i="59" s="1"/>
  <c r="BM27" i="51"/>
  <c r="BM14" i="59" s="1"/>
  <c r="BK43" i="51"/>
  <c r="BK17" i="51"/>
  <c r="BN12" i="51"/>
  <c r="BL21" i="51"/>
  <c r="BM36" i="51"/>
  <c r="AG33" i="51"/>
  <c r="AG35" i="51" s="1"/>
  <c r="BK44" i="51"/>
  <c r="AH28" i="51"/>
  <c r="AH27" i="51"/>
  <c r="BN26" i="51"/>
  <c r="BM19" i="51"/>
  <c r="BM8" i="59" s="1"/>
  <c r="BM23" i="51"/>
  <c r="BM11" i="59" s="1"/>
  <c r="BM20" i="51"/>
  <c r="BM9" i="59" s="1"/>
  <c r="BM22" i="51"/>
  <c r="BM10" i="59" s="1"/>
  <c r="AH13" i="51"/>
  <c r="AH12" i="59" s="1"/>
  <c r="AH14" i="51"/>
  <c r="AH13" i="59" s="1"/>
  <c r="BM14" i="51"/>
  <c r="BM13" i="59" s="1"/>
  <c r="BM13" i="51"/>
  <c r="BM12" i="59" s="1"/>
  <c r="BL37" i="51"/>
  <c r="BL19" i="59" s="1"/>
  <c r="BL38" i="51"/>
  <c r="BL20" i="59" s="1"/>
  <c r="BL24" i="51"/>
  <c r="BM31" i="51"/>
  <c r="BM16" i="59" s="1"/>
  <c r="BM34" i="51"/>
  <c r="BM18" i="59" s="1"/>
  <c r="BM32" i="51"/>
  <c r="BM17" i="59" s="1"/>
  <c r="AH19" i="51"/>
  <c r="AH8" i="59" s="1"/>
  <c r="AH23" i="51"/>
  <c r="AH11" i="59" s="1"/>
  <c r="BN18" i="51"/>
  <c r="AH22" i="51"/>
  <c r="AH10" i="59" s="1"/>
  <c r="AH20" i="51"/>
  <c r="AH9" i="59" s="1"/>
  <c r="M25" i="60" s="1"/>
  <c r="CI128" i="55" l="1"/>
  <c r="DK181" i="55"/>
  <c r="U147" i="59"/>
  <c r="T147" i="59"/>
  <c r="V24" i="59"/>
  <c r="W24" i="59"/>
  <c r="BL91" i="59"/>
  <c r="BL118" i="59"/>
  <c r="BL48" i="59"/>
  <c r="BL74" i="59"/>
  <c r="EH10" i="59"/>
  <c r="EM10" i="59" s="1"/>
  <c r="AH89" i="59"/>
  <c r="AH116" i="59"/>
  <c r="AH46" i="59"/>
  <c r="AH72" i="59"/>
  <c r="V101" i="59"/>
  <c r="V153" i="59"/>
  <c r="W150" i="59"/>
  <c r="AG39" i="51"/>
  <c r="AG65" i="51" s="1"/>
  <c r="AG20" i="59"/>
  <c r="BM88" i="59"/>
  <c r="BM115" i="59"/>
  <c r="BM45" i="59"/>
  <c r="BM71" i="59"/>
  <c r="BL117" i="59"/>
  <c r="BL47" i="59"/>
  <c r="BL73" i="59"/>
  <c r="BL75" i="59" s="1"/>
  <c r="BL90" i="59"/>
  <c r="W101" i="59"/>
  <c r="W153" i="59"/>
  <c r="CK101" i="59"/>
  <c r="CK153" i="59"/>
  <c r="DK66" i="55"/>
  <c r="CH36" i="57"/>
  <c r="W51" i="59"/>
  <c r="W147" i="59"/>
  <c r="BM84" i="59"/>
  <c r="BM111" i="59"/>
  <c r="BM41" i="59"/>
  <c r="BM67" i="59"/>
  <c r="CG5" i="51"/>
  <c r="AH14" i="59"/>
  <c r="BA101" i="59"/>
  <c r="BA153" i="59"/>
  <c r="P149" i="59"/>
  <c r="P155" i="59" s="1"/>
  <c r="Q149" i="59"/>
  <c r="Q155" i="59" s="1"/>
  <c r="CJ51" i="59"/>
  <c r="CJ147" i="59"/>
  <c r="CG6" i="51"/>
  <c r="AH15" i="59"/>
  <c r="BM112" i="59"/>
  <c r="BM42" i="59"/>
  <c r="BM68" i="59"/>
  <c r="BM85" i="59"/>
  <c r="CH5" i="51"/>
  <c r="AH19" i="59"/>
  <c r="CH37" i="57"/>
  <c r="DL147" i="59"/>
  <c r="AF118" i="59"/>
  <c r="AF48" i="59"/>
  <c r="AF74" i="59"/>
  <c r="AF75" i="59" s="1"/>
  <c r="AF91" i="59"/>
  <c r="AH67" i="59"/>
  <c r="EF9" i="59"/>
  <c r="AH41" i="59"/>
  <c r="AH84" i="59"/>
  <c r="AH111" i="59"/>
  <c r="BM86" i="59"/>
  <c r="BM113" i="59"/>
  <c r="BM43" i="59"/>
  <c r="BM69" i="59"/>
  <c r="DL148" i="59"/>
  <c r="DG149" i="59"/>
  <c r="DG155" i="59" s="1"/>
  <c r="BK90" i="59"/>
  <c r="BK47" i="59"/>
  <c r="BK117" i="59"/>
  <c r="BK73" i="59"/>
  <c r="BK75" i="59" s="1"/>
  <c r="V51" i="59"/>
  <c r="V147" i="59"/>
  <c r="AH40" i="59"/>
  <c r="AH66" i="59"/>
  <c r="EG9" i="59"/>
  <c r="EL9" i="59" s="1"/>
  <c r="AH83" i="59"/>
  <c r="AH110" i="59"/>
  <c r="BM87" i="59"/>
  <c r="BM114" i="59"/>
  <c r="BM44" i="59"/>
  <c r="BM70" i="59"/>
  <c r="EF10" i="59"/>
  <c r="EK10" i="59" s="1"/>
  <c r="AH44" i="59"/>
  <c r="AH87" i="59"/>
  <c r="AH114" i="59"/>
  <c r="AH70" i="59"/>
  <c r="W151" i="59"/>
  <c r="BM40" i="59"/>
  <c r="BM66" i="59"/>
  <c r="BM110" i="59"/>
  <c r="BM83" i="59"/>
  <c r="BM46" i="59"/>
  <c r="BM89" i="59"/>
  <c r="BM116" i="59"/>
  <c r="BM72" i="59"/>
  <c r="EG10" i="59"/>
  <c r="EL10" i="59" s="1"/>
  <c r="AH88" i="59"/>
  <c r="AH115" i="59"/>
  <c r="AH45" i="59"/>
  <c r="AH71" i="59"/>
  <c r="W152" i="59"/>
  <c r="CK24" i="59"/>
  <c r="U148" i="59"/>
  <c r="DK51" i="59"/>
  <c r="DK122" i="59"/>
  <c r="DK94" i="59"/>
  <c r="DK52" i="59"/>
  <c r="DK58" i="59" s="1"/>
  <c r="DK95" i="59"/>
  <c r="DK96" i="59"/>
  <c r="DK123" i="59"/>
  <c r="DL51" i="59"/>
  <c r="DL122" i="59"/>
  <c r="DL94" i="59"/>
  <c r="DL52" i="59"/>
  <c r="DL123" i="59"/>
  <c r="DL96" i="59"/>
  <c r="DL95" i="59"/>
  <c r="X11" i="58"/>
  <c r="X6" i="58"/>
  <c r="CG28" i="57"/>
  <c r="CG18" i="57"/>
  <c r="CG20" i="57" s="1"/>
  <c r="CG149" i="59" s="1"/>
  <c r="CG155" i="59" s="1"/>
  <c r="CI129" i="55"/>
  <c r="CI17" i="57" s="1"/>
  <c r="CI16" i="57"/>
  <c r="DM50" i="59"/>
  <c r="DM93" i="59"/>
  <c r="DM121" i="59"/>
  <c r="DM31" i="59"/>
  <c r="DM154" i="59" s="1"/>
  <c r="DS49" i="59"/>
  <c r="DS120" i="59"/>
  <c r="DS92" i="59"/>
  <c r="CL120" i="59"/>
  <c r="CL49" i="59"/>
  <c r="CL31" i="59"/>
  <c r="CL154" i="59" s="1"/>
  <c r="X50" i="59"/>
  <c r="X31" i="59"/>
  <c r="X154" i="59" s="1"/>
  <c r="T96" i="59"/>
  <c r="T52" i="59"/>
  <c r="CJ96" i="59"/>
  <c r="CJ52" i="59"/>
  <c r="AB49" i="59"/>
  <c r="BA121" i="59"/>
  <c r="BA50" i="59"/>
  <c r="BA24" i="59"/>
  <c r="BA31" i="59"/>
  <c r="BA154" i="59" s="1"/>
  <c r="BG120" i="59"/>
  <c r="BG49" i="59"/>
  <c r="EG7" i="59"/>
  <c r="EL7" i="59" s="1"/>
  <c r="EH7" i="59"/>
  <c r="EM7" i="59" s="1"/>
  <c r="AH81" i="59"/>
  <c r="AH108" i="59"/>
  <c r="AH38" i="59"/>
  <c r="AH64" i="59"/>
  <c r="BM39" i="59"/>
  <c r="BM82" i="59"/>
  <c r="BM109" i="59"/>
  <c r="BM65" i="59"/>
  <c r="BM36" i="59"/>
  <c r="BM79" i="59"/>
  <c r="BM106" i="59"/>
  <c r="BM62" i="59"/>
  <c r="DL89" i="55"/>
  <c r="DL36" i="57" s="1"/>
  <c r="AH37" i="59"/>
  <c r="AH80" i="59"/>
  <c r="AH107" i="59"/>
  <c r="AH63" i="59"/>
  <c r="AH39" i="59"/>
  <c r="AH82" i="59"/>
  <c r="AH109" i="59"/>
  <c r="AH65" i="59"/>
  <c r="BM80" i="59"/>
  <c r="BM107" i="59"/>
  <c r="BM37" i="59"/>
  <c r="BM63" i="59"/>
  <c r="EF7" i="59"/>
  <c r="AH79" i="59"/>
  <c r="AH106" i="59"/>
  <c r="AH36" i="59"/>
  <c r="AH62" i="59"/>
  <c r="AV39" i="57"/>
  <c r="BM81" i="59"/>
  <c r="BM38" i="59"/>
  <c r="BM108" i="59"/>
  <c r="BM64" i="59"/>
  <c r="BA93" i="59"/>
  <c r="BG92" i="59"/>
  <c r="DJ18" i="57"/>
  <c r="DJ28" i="57"/>
  <c r="DK14" i="57"/>
  <c r="DK24" i="57"/>
  <c r="AZ128" i="55"/>
  <c r="DL128" i="55" s="1"/>
  <c r="DL105" i="55"/>
  <c r="DL112" i="55" s="1"/>
  <c r="DK19" i="57"/>
  <c r="DK29" i="57"/>
  <c r="U128" i="59"/>
  <c r="DK15" i="57"/>
  <c r="DK25" i="57"/>
  <c r="DK89" i="55"/>
  <c r="DI18" i="57"/>
  <c r="DI20" i="57" s="1"/>
  <c r="DI28" i="57"/>
  <c r="DI30" i="57" s="1"/>
  <c r="DJ17" i="57"/>
  <c r="DJ27" i="57"/>
  <c r="DJ30" i="57" s="1"/>
  <c r="DJ135" i="55"/>
  <c r="DL19" i="57"/>
  <c r="DL29" i="57"/>
  <c r="DK16" i="57"/>
  <c r="BH22" i="59"/>
  <c r="BH145" i="59" s="1"/>
  <c r="DT9" i="55"/>
  <c r="DT22" i="59" s="1"/>
  <c r="DT145" i="59" s="1"/>
  <c r="DM11" i="55"/>
  <c r="DM14" i="55"/>
  <c r="DM28" i="59" s="1"/>
  <c r="DM151" i="59" s="1"/>
  <c r="DM16" i="55"/>
  <c r="DM30" i="59" s="1"/>
  <c r="DM15" i="55"/>
  <c r="DM29" i="59" s="1"/>
  <c r="DM152" i="59" s="1"/>
  <c r="DM13" i="55"/>
  <c r="DM12" i="55"/>
  <c r="DM26" i="59" s="1"/>
  <c r="DK35" i="57"/>
  <c r="DK5" i="57"/>
  <c r="DK23" i="57"/>
  <c r="DK13" i="57"/>
  <c r="DL15" i="57"/>
  <c r="DL25" i="57"/>
  <c r="DK40" i="57"/>
  <c r="DK10" i="57"/>
  <c r="DI158" i="55"/>
  <c r="DK43" i="55"/>
  <c r="DL16" i="57"/>
  <c r="CI25" i="57"/>
  <c r="DJ158" i="55"/>
  <c r="DI38" i="57"/>
  <c r="DI8" i="57"/>
  <c r="DL43" i="55"/>
  <c r="DL66" i="55"/>
  <c r="AY128" i="55"/>
  <c r="DK128" i="55" s="1"/>
  <c r="DK105" i="55"/>
  <c r="DK112" i="55" s="1"/>
  <c r="DH28" i="57"/>
  <c r="DH30" i="57" s="1"/>
  <c r="DH18" i="57"/>
  <c r="DH20" i="57" s="1"/>
  <c r="DH149" i="59" s="1"/>
  <c r="DH155" i="59" s="1"/>
  <c r="DH158" i="55"/>
  <c r="DL23" i="57"/>
  <c r="DL13" i="57"/>
  <c r="DL14" i="57"/>
  <c r="DL24" i="57"/>
  <c r="DL181" i="55"/>
  <c r="U66" i="55"/>
  <c r="U5" i="57" s="1"/>
  <c r="CJ37" i="55"/>
  <c r="CJ13" i="57" s="1"/>
  <c r="Y230" i="54"/>
  <c r="BF180" i="55" s="1"/>
  <c r="DR180" i="55" s="1"/>
  <c r="CJ106" i="55"/>
  <c r="CJ16" i="57" s="1"/>
  <c r="Y226" i="54"/>
  <c r="BF176" i="55" s="1"/>
  <c r="DR176" i="55" s="1"/>
  <c r="CJ36" i="55"/>
  <c r="Y229" i="54"/>
  <c r="BF179" i="55" s="1"/>
  <c r="DR179" i="55" s="1"/>
  <c r="CI89" i="55"/>
  <c r="CI6" i="57" s="1"/>
  <c r="CJ82" i="55"/>
  <c r="CI26" i="57"/>
  <c r="CJ83" i="55"/>
  <c r="CG30" i="57"/>
  <c r="Y228" i="54"/>
  <c r="BF178" i="55" s="1"/>
  <c r="DR178" i="55" s="1"/>
  <c r="CJ105" i="55"/>
  <c r="CJ26" i="57" s="1"/>
  <c r="CI43" i="55"/>
  <c r="CI4" i="57" s="1"/>
  <c r="CI66" i="55"/>
  <c r="CI5" i="57" s="1"/>
  <c r="T32" i="59"/>
  <c r="U32" i="59"/>
  <c r="AY102" i="59"/>
  <c r="CH5" i="57"/>
  <c r="CH35" i="57"/>
  <c r="CH28" i="57"/>
  <c r="CH30" i="57" s="1"/>
  <c r="AY13" i="57"/>
  <c r="AY23" i="57"/>
  <c r="AY24" i="57"/>
  <c r="AY14" i="57"/>
  <c r="AZ24" i="57"/>
  <c r="AZ14" i="57"/>
  <c r="AY29" i="57"/>
  <c r="AY19" i="57"/>
  <c r="CI10" i="57"/>
  <c r="CI40" i="57"/>
  <c r="AZ29" i="57"/>
  <c r="AZ19" i="57"/>
  <c r="CI7" i="57"/>
  <c r="CI37" i="57"/>
  <c r="AY25" i="57"/>
  <c r="AY15" i="57"/>
  <c r="AB120" i="59"/>
  <c r="R9" i="57"/>
  <c r="R39" i="57"/>
  <c r="R41" i="57" s="1"/>
  <c r="CG158" i="55"/>
  <c r="AX28" i="57"/>
  <c r="AX30" i="57" s="1"/>
  <c r="AX18" i="57"/>
  <c r="AX20" i="57" s="1"/>
  <c r="U29" i="57"/>
  <c r="U19" i="57"/>
  <c r="AZ89" i="55"/>
  <c r="AZ25" i="57"/>
  <c r="AZ15" i="57"/>
  <c r="AY129" i="55"/>
  <c r="DK129" i="55" s="1"/>
  <c r="AY26" i="57"/>
  <c r="AY16" i="57"/>
  <c r="CI128" i="59"/>
  <c r="CI29" i="57"/>
  <c r="U14" i="57"/>
  <c r="U24" i="57"/>
  <c r="U25" i="57"/>
  <c r="U15" i="57"/>
  <c r="AZ129" i="55"/>
  <c r="DL129" i="55" s="1"/>
  <c r="AZ26" i="57"/>
  <c r="AZ16" i="57"/>
  <c r="CH8" i="57"/>
  <c r="CH38" i="57"/>
  <c r="AX158" i="55"/>
  <c r="U23" i="57"/>
  <c r="U13" i="57"/>
  <c r="U129" i="55"/>
  <c r="U135" i="55" s="1"/>
  <c r="U26" i="57"/>
  <c r="U16" i="57"/>
  <c r="CJ129" i="55"/>
  <c r="CJ17" i="57" s="1"/>
  <c r="CH9" i="57"/>
  <c r="CH39" i="57"/>
  <c r="AZ23" i="57"/>
  <c r="AZ13" i="57"/>
  <c r="CJ59" i="55"/>
  <c r="CJ174" i="55"/>
  <c r="CJ181" i="55" s="1"/>
  <c r="AW18" i="57"/>
  <c r="AW20" i="57" s="1"/>
  <c r="AW149" i="59" s="1"/>
  <c r="AW155" i="59" s="1"/>
  <c r="AW28" i="57"/>
  <c r="AW30" i="57" s="1"/>
  <c r="AW158" i="55"/>
  <c r="R28" i="57"/>
  <c r="R30" i="57" s="1"/>
  <c r="R18" i="57"/>
  <c r="R20" i="57" s="1"/>
  <c r="R149" i="59" s="1"/>
  <c r="R155" i="59" s="1"/>
  <c r="X121" i="59"/>
  <c r="CJ60" i="55"/>
  <c r="CJ14" i="57" s="1"/>
  <c r="CI152" i="55"/>
  <c r="CI18" i="57" s="1"/>
  <c r="CI20" i="57" s="1"/>
  <c r="CI149" i="59" s="1"/>
  <c r="CI155" i="59" s="1"/>
  <c r="CI27" i="57"/>
  <c r="CI102" i="59"/>
  <c r="BA100" i="59"/>
  <c r="BA127" i="59"/>
  <c r="W99" i="59"/>
  <c r="W126" i="59"/>
  <c r="CK98" i="59"/>
  <c r="CK125" i="59"/>
  <c r="BA97" i="59"/>
  <c r="BA124" i="59"/>
  <c r="V99" i="59"/>
  <c r="V126" i="59"/>
  <c r="W100" i="59"/>
  <c r="W127" i="59"/>
  <c r="W98" i="59"/>
  <c r="W125" i="59"/>
  <c r="T95" i="59"/>
  <c r="T123" i="59"/>
  <c r="V100" i="59"/>
  <c r="V127" i="59"/>
  <c r="V97" i="59"/>
  <c r="V124" i="59"/>
  <c r="W97" i="59"/>
  <c r="W124" i="59"/>
  <c r="BA98" i="59"/>
  <c r="BA125" i="59"/>
  <c r="V98" i="59"/>
  <c r="V125" i="59"/>
  <c r="CK99" i="59"/>
  <c r="CK126" i="59"/>
  <c r="CJ94" i="59"/>
  <c r="CJ122" i="59"/>
  <c r="CK100" i="59"/>
  <c r="CK127" i="59"/>
  <c r="BA99" i="59"/>
  <c r="BA126" i="59"/>
  <c r="T94" i="59"/>
  <c r="T122" i="59"/>
  <c r="CK97" i="59"/>
  <c r="CK124" i="59"/>
  <c r="CJ95" i="59"/>
  <c r="CJ123" i="59"/>
  <c r="V10" i="58"/>
  <c r="W10" i="58"/>
  <c r="X93" i="59"/>
  <c r="CL92" i="59"/>
  <c r="AB92" i="59"/>
  <c r="CK56" i="59"/>
  <c r="CK54" i="59"/>
  <c r="U58" i="59"/>
  <c r="BA57" i="59"/>
  <c r="CK55" i="59"/>
  <c r="W54" i="59"/>
  <c r="W56" i="59"/>
  <c r="BA54" i="59"/>
  <c r="V56" i="59"/>
  <c r="W57" i="59"/>
  <c r="U102" i="59"/>
  <c r="CI58" i="59"/>
  <c r="BA55" i="59"/>
  <c r="W55" i="59"/>
  <c r="CK57" i="59"/>
  <c r="V57" i="59"/>
  <c r="AZ102" i="59"/>
  <c r="V54" i="59"/>
  <c r="V55" i="59"/>
  <c r="BA56" i="59"/>
  <c r="BA25" i="59"/>
  <c r="BA148" i="59" s="1"/>
  <c r="V25" i="59"/>
  <c r="V148" i="59" s="1"/>
  <c r="W25" i="59"/>
  <c r="BI9" i="55"/>
  <c r="AC22" i="59"/>
  <c r="AC145" i="59" s="1"/>
  <c r="CK19" i="55"/>
  <c r="CK105" i="55" s="1"/>
  <c r="CK25" i="59"/>
  <c r="CK148" i="59" s="1"/>
  <c r="U112" i="55"/>
  <c r="BB59" i="58"/>
  <c r="AA214" i="53"/>
  <c r="AA217" i="53" s="1"/>
  <c r="Z228" i="53"/>
  <c r="AA178" i="55" s="1"/>
  <c r="BC59" i="58"/>
  <c r="AA212" i="53"/>
  <c r="Z227" i="53"/>
  <c r="AA177" i="55" s="1"/>
  <c r="AA215" i="53"/>
  <c r="Z225" i="53"/>
  <c r="AY89" i="55"/>
  <c r="Y236" i="54"/>
  <c r="Y237" i="54" s="1"/>
  <c r="Y238" i="54" s="1"/>
  <c r="Z226" i="53"/>
  <c r="AA176" i="55" s="1"/>
  <c r="X58" i="58"/>
  <c r="X5" i="58" s="1"/>
  <c r="AY181" i="55"/>
  <c r="AY112" i="55"/>
  <c r="AZ66" i="55"/>
  <c r="Y202" i="53"/>
  <c r="CL176" i="55" s="1"/>
  <c r="Y203" i="53"/>
  <c r="CL177" i="55" s="1"/>
  <c r="Y205" i="53"/>
  <c r="CL179" i="55" s="1"/>
  <c r="Y204" i="53"/>
  <c r="CL178" i="55" s="1"/>
  <c r="Y206" i="53"/>
  <c r="CL180" i="55" s="1"/>
  <c r="AZ181" i="55"/>
  <c r="AY151" i="55"/>
  <c r="DK151" i="55" s="1"/>
  <c r="U43" i="55"/>
  <c r="U181" i="55"/>
  <c r="AA210" i="53"/>
  <c r="AA227" i="53" s="1"/>
  <c r="AB177" i="55" s="1"/>
  <c r="AB172" i="55"/>
  <c r="Z210" i="54"/>
  <c r="Z227" i="54" s="1"/>
  <c r="BG177" i="55" s="1"/>
  <c r="DS177" i="55" s="1"/>
  <c r="BG172" i="55"/>
  <c r="X240" i="54"/>
  <c r="X261" i="54" s="1"/>
  <c r="T105" i="55"/>
  <c r="T128" i="55" s="1"/>
  <c r="T82" i="55"/>
  <c r="T174" i="55"/>
  <c r="T106" i="55"/>
  <c r="T83" i="55"/>
  <c r="T175" i="55"/>
  <c r="U151" i="55"/>
  <c r="CI151" i="55"/>
  <c r="CI158" i="55" s="1"/>
  <c r="CI135" i="55"/>
  <c r="Z200" i="53"/>
  <c r="CM172" i="55"/>
  <c r="AA210" i="54"/>
  <c r="AA226" i="54" s="1"/>
  <c r="BH176" i="55" s="1"/>
  <c r="DT176" i="55" s="1"/>
  <c r="BH172" i="55"/>
  <c r="CJ128" i="55"/>
  <c r="CJ112" i="55"/>
  <c r="U89" i="55"/>
  <c r="W6" i="55"/>
  <c r="AZ112" i="55"/>
  <c r="T59" i="55"/>
  <c r="T36" i="55"/>
  <c r="T37" i="55"/>
  <c r="T60" i="55"/>
  <c r="AY43" i="55"/>
  <c r="AZ43" i="55"/>
  <c r="AY66" i="55"/>
  <c r="Y262" i="53"/>
  <c r="Z78" i="51" s="1"/>
  <c r="Z77" i="51"/>
  <c r="X262" i="53"/>
  <c r="Y78" i="51" s="1"/>
  <c r="Y77" i="51"/>
  <c r="W262" i="54"/>
  <c r="BD78" i="51" s="1"/>
  <c r="BD77" i="51"/>
  <c r="AE51" i="51"/>
  <c r="X262" i="54"/>
  <c r="BE78" i="51" s="1"/>
  <c r="BE77" i="51"/>
  <c r="V7" i="55"/>
  <c r="V20" i="55"/>
  <c r="V19" i="55"/>
  <c r="AC207" i="54"/>
  <c r="BJ4" i="55"/>
  <c r="Z239" i="53"/>
  <c r="Z244" i="53" s="1"/>
  <c r="U252" i="54"/>
  <c r="U256" i="54" s="1"/>
  <c r="X14" i="55"/>
  <c r="X28" i="59" s="1"/>
  <c r="X151" i="59" s="1"/>
  <c r="X11" i="55"/>
  <c r="X13" i="55"/>
  <c r="X27" i="59" s="1"/>
  <c r="X150" i="59" s="1"/>
  <c r="X16" i="55"/>
  <c r="X30" i="59" s="1"/>
  <c r="X12" i="55"/>
  <c r="X26" i="59" s="1"/>
  <c r="X53" i="59" s="1"/>
  <c r="X15" i="55"/>
  <c r="X29" i="59" s="1"/>
  <c r="X152" i="59" s="1"/>
  <c r="V256" i="54"/>
  <c r="BC74" i="51"/>
  <c r="BC76" i="51" s="1"/>
  <c r="BC10" i="55"/>
  <c r="AF46" i="51"/>
  <c r="AC207" i="53"/>
  <c r="AC211" i="53" s="1"/>
  <c r="AD4" i="55"/>
  <c r="BA7" i="55"/>
  <c r="CL16" i="55"/>
  <c r="CL30" i="59" s="1"/>
  <c r="CL12" i="55"/>
  <c r="CL26" i="59" s="1"/>
  <c r="CL53" i="59" s="1"/>
  <c r="CL14" i="55"/>
  <c r="CL28" i="59" s="1"/>
  <c r="CL151" i="59" s="1"/>
  <c r="CL15" i="55"/>
  <c r="CL29" i="59" s="1"/>
  <c r="CL152" i="59" s="1"/>
  <c r="CL13" i="55"/>
  <c r="CL27" i="59" s="1"/>
  <c r="CL150" i="59" s="1"/>
  <c r="CL11" i="55"/>
  <c r="CK7" i="55"/>
  <c r="AD207" i="53"/>
  <c r="AE4" i="55"/>
  <c r="W7" i="55"/>
  <c r="AB207" i="54"/>
  <c r="AB208" i="54" s="1"/>
  <c r="BI4" i="55"/>
  <c r="BA19" i="55"/>
  <c r="BA20" i="55"/>
  <c r="V6" i="55"/>
  <c r="W19" i="55"/>
  <c r="W20" i="55"/>
  <c r="Y74" i="51"/>
  <c r="BA6" i="55"/>
  <c r="CK6" i="55"/>
  <c r="AG52" i="51"/>
  <c r="AG54" i="51" s="1"/>
  <c r="AF37" i="53"/>
  <c r="AB212" i="53"/>
  <c r="AB213" i="53"/>
  <c r="AB215" i="53"/>
  <c r="AB214" i="53"/>
  <c r="AB81" i="54"/>
  <c r="AB165" i="54"/>
  <c r="AE67" i="51"/>
  <c r="AD79" i="53"/>
  <c r="Z223" i="54"/>
  <c r="Z222" i="54"/>
  <c r="Z234" i="54" s="1"/>
  <c r="Z235" i="54" s="1"/>
  <c r="AG59" i="51"/>
  <c r="AF38" i="53"/>
  <c r="BL55" i="51"/>
  <c r="AE39" i="54"/>
  <c r="AC81" i="54"/>
  <c r="AC165" i="54"/>
  <c r="AA217" i="54"/>
  <c r="AA216" i="54"/>
  <c r="Z237" i="53"/>
  <c r="Z238" i="53" s="1"/>
  <c r="BK48" i="51"/>
  <c r="BK51" i="51" s="1"/>
  <c r="AD36" i="54"/>
  <c r="AD42" i="54" s="1"/>
  <c r="BK52" i="51"/>
  <c r="BK54" i="51" s="1"/>
  <c r="AD37" i="54"/>
  <c r="AA223" i="53"/>
  <c r="AA222" i="53"/>
  <c r="AA234" i="53" s="1"/>
  <c r="AA235" i="53" s="1"/>
  <c r="X254" i="53"/>
  <c r="Y10" i="55" s="1"/>
  <c r="Y23" i="59" s="1"/>
  <c r="Y146" i="59" s="1"/>
  <c r="Y199" i="54"/>
  <c r="Y200" i="54" s="1"/>
  <c r="Z166" i="54"/>
  <c r="CM9" i="55" s="1"/>
  <c r="CM22" i="59" s="1"/>
  <c r="CM145" i="59" s="1"/>
  <c r="Y219" i="54"/>
  <c r="Y218" i="54"/>
  <c r="AA222" i="54"/>
  <c r="AA234" i="54" s="1"/>
  <c r="AA235" i="54" s="1"/>
  <c r="AA223" i="54"/>
  <c r="Z218" i="53"/>
  <c r="Z219" i="53"/>
  <c r="BI67" i="51"/>
  <c r="BI70" i="51" s="1"/>
  <c r="AC70" i="51"/>
  <c r="X203" i="54"/>
  <c r="X201" i="54"/>
  <c r="X205" i="54"/>
  <c r="X202" i="54"/>
  <c r="X206" i="54"/>
  <c r="X204" i="54"/>
  <c r="AB232" i="53"/>
  <c r="AB233" i="53" s="1"/>
  <c r="AB209" i="53"/>
  <c r="BL59" i="51"/>
  <c r="AE38" i="54"/>
  <c r="AC162" i="54"/>
  <c r="BI61" i="51"/>
  <c r="AC71" i="51"/>
  <c r="AC73" i="51" s="1"/>
  <c r="AC64" i="51"/>
  <c r="AD51" i="51"/>
  <c r="BL52" i="51"/>
  <c r="BL54" i="51" s="1"/>
  <c r="AE37" i="54"/>
  <c r="AA226" i="53"/>
  <c r="AB176" i="55" s="1"/>
  <c r="AC211" i="54"/>
  <c r="AC208" i="54"/>
  <c r="X220" i="54"/>
  <c r="X224" i="54" s="1"/>
  <c r="X221" i="54"/>
  <c r="BJ57" i="51"/>
  <c r="BJ58" i="51" s="1"/>
  <c r="BJ72" i="51" s="1"/>
  <c r="AD58" i="51"/>
  <c r="AD72" i="51" s="1"/>
  <c r="X245" i="54"/>
  <c r="X252" i="54" s="1"/>
  <c r="AB211" i="54"/>
  <c r="AD208" i="53"/>
  <c r="AD211" i="53"/>
  <c r="W245" i="54"/>
  <c r="W254" i="54" s="1"/>
  <c r="BD75" i="51" s="1"/>
  <c r="AC81" i="53"/>
  <c r="AD61" i="51" s="1"/>
  <c r="AC165" i="53"/>
  <c r="AD9" i="55" s="1"/>
  <c r="AD22" i="59" s="1"/>
  <c r="AD145" i="59" s="1"/>
  <c r="BH71" i="51"/>
  <c r="BH73" i="51" s="1"/>
  <c r="BH64" i="51"/>
  <c r="AF48" i="51"/>
  <c r="AE36" i="53"/>
  <c r="AE42" i="53" s="1"/>
  <c r="AE58" i="51"/>
  <c r="AE72" i="51" s="1"/>
  <c r="AD81" i="53"/>
  <c r="AE61" i="51" s="1"/>
  <c r="AD165" i="53"/>
  <c r="AE9" i="55" s="1"/>
  <c r="Y245" i="53"/>
  <c r="Y254" i="53" s="1"/>
  <c r="Z75" i="51" s="1"/>
  <c r="AD67" i="51"/>
  <c r="AC79" i="53"/>
  <c r="Y221" i="53"/>
  <c r="Y220" i="53"/>
  <c r="Y224" i="53" s="1"/>
  <c r="Z216" i="54"/>
  <c r="Z217" i="54"/>
  <c r="BK58" i="51"/>
  <c r="BK72" i="51" s="1"/>
  <c r="AA199" i="53"/>
  <c r="AB166" i="53"/>
  <c r="Z201" i="53"/>
  <c r="Z204" i="53"/>
  <c r="CM178" i="55" s="1"/>
  <c r="Z202" i="53"/>
  <c r="CM176" i="55" s="1"/>
  <c r="Z203" i="53"/>
  <c r="CM177" i="55" s="1"/>
  <c r="Z206" i="53"/>
  <c r="CM180" i="55" s="1"/>
  <c r="Z205" i="53"/>
  <c r="CM179" i="55" s="1"/>
  <c r="AG55" i="51"/>
  <c r="AF39" i="53"/>
  <c r="AH38" i="51"/>
  <c r="AG43" i="51"/>
  <c r="BM29" i="51"/>
  <c r="BL39" i="51"/>
  <c r="AH24" i="51"/>
  <c r="CF6" i="51" s="1"/>
  <c r="AG25" i="51"/>
  <c r="BN36" i="51"/>
  <c r="BN38" i="51" s="1"/>
  <c r="BN20" i="59" s="1"/>
  <c r="BM21" i="51"/>
  <c r="AH21" i="51"/>
  <c r="BM38" i="51"/>
  <c r="BM20" i="59" s="1"/>
  <c r="BM37" i="51"/>
  <c r="BM19" i="59" s="1"/>
  <c r="BL25" i="51"/>
  <c r="BN14" i="51"/>
  <c r="BN13" i="59" s="1"/>
  <c r="BN13" i="51"/>
  <c r="BN12" i="59" s="1"/>
  <c r="BN23" i="51"/>
  <c r="BN11" i="59" s="1"/>
  <c r="BN20" i="51"/>
  <c r="BN9" i="59" s="1"/>
  <c r="EG16" i="59" s="1"/>
  <c r="EL16" i="59" s="1"/>
  <c r="BN22" i="51"/>
  <c r="BN10" i="59" s="1"/>
  <c r="BN19" i="51"/>
  <c r="BN8" i="59" s="1"/>
  <c r="BL44" i="51"/>
  <c r="AH15" i="51"/>
  <c r="BM24" i="51"/>
  <c r="AH29" i="51"/>
  <c r="BN32" i="51"/>
  <c r="BN17" i="59" s="1"/>
  <c r="BN31" i="51"/>
  <c r="BN16" i="59" s="1"/>
  <c r="BN34" i="51"/>
  <c r="BN18" i="59" s="1"/>
  <c r="AG44" i="51"/>
  <c r="AG46" i="51" s="1"/>
  <c r="BM33" i="51"/>
  <c r="BM35" i="51" s="1"/>
  <c r="BM15" i="51"/>
  <c r="BN28" i="51"/>
  <c r="BN15" i="59" s="1"/>
  <c r="BN27" i="51"/>
  <c r="BN14" i="59" s="1"/>
  <c r="BK46" i="51"/>
  <c r="AH33" i="51"/>
  <c r="AH35" i="51" s="1"/>
  <c r="BL43" i="51"/>
  <c r="J40" i="60" l="1"/>
  <c r="AA225" i="53"/>
  <c r="AA229" i="53"/>
  <c r="AB179" i="55" s="1"/>
  <c r="AC208" i="53"/>
  <c r="AA228" i="53"/>
  <c r="AB178" i="55" s="1"/>
  <c r="AA230" i="53"/>
  <c r="AB180" i="55" s="1"/>
  <c r="AA229" i="54"/>
  <c r="BH179" i="55" s="1"/>
  <c r="DT179" i="55" s="1"/>
  <c r="CL24" i="59"/>
  <c r="DJ20" i="57"/>
  <c r="DJ149" i="59" s="1"/>
  <c r="DJ155" i="59" s="1"/>
  <c r="S149" i="59"/>
  <c r="S155" i="59" s="1"/>
  <c r="AX149" i="59"/>
  <c r="AX155" i="59" s="1"/>
  <c r="DL58" i="59"/>
  <c r="W148" i="59"/>
  <c r="BN113" i="59"/>
  <c r="BN43" i="59"/>
  <c r="BN69" i="59"/>
  <c r="EH17" i="59"/>
  <c r="EM17" i="59" s="1"/>
  <c r="BN86" i="59"/>
  <c r="CL101" i="59"/>
  <c r="CL153" i="59"/>
  <c r="AH43" i="59"/>
  <c r="AH113" i="59"/>
  <c r="AH69" i="59"/>
  <c r="EH8" i="59"/>
  <c r="EM8" i="59" s="1"/>
  <c r="AH86" i="59"/>
  <c r="BM73" i="59"/>
  <c r="BM90" i="59"/>
  <c r="BM117" i="59"/>
  <c r="BM47" i="59"/>
  <c r="EF8" i="59"/>
  <c r="EK8" i="59" s="1"/>
  <c r="AH85" i="59"/>
  <c r="AH112" i="59"/>
  <c r="AH42" i="59"/>
  <c r="AH68" i="59"/>
  <c r="AG118" i="59"/>
  <c r="AG74" i="59"/>
  <c r="AG75" i="59" s="1"/>
  <c r="AG91" i="59"/>
  <c r="AG48" i="59"/>
  <c r="CL51" i="59"/>
  <c r="CL147" i="59"/>
  <c r="CH6" i="51"/>
  <c r="AH20" i="59"/>
  <c r="Z226" i="54"/>
  <c r="BG176" i="55" s="1"/>
  <c r="DS176" i="55" s="1"/>
  <c r="DI149" i="59"/>
  <c r="DI155" i="59" s="1"/>
  <c r="BM118" i="59"/>
  <c r="BM91" i="59"/>
  <c r="BM74" i="59"/>
  <c r="BM48" i="59"/>
  <c r="AH90" i="59"/>
  <c r="AH117" i="59"/>
  <c r="EF12" i="59"/>
  <c r="AH47" i="59"/>
  <c r="AH73" i="59"/>
  <c r="EH19" i="59"/>
  <c r="EM19" i="59" s="1"/>
  <c r="BN89" i="59"/>
  <c r="BN116" i="59"/>
  <c r="BN46" i="59"/>
  <c r="BN72" i="59"/>
  <c r="EF19" i="59"/>
  <c r="EK19" i="59" s="1"/>
  <c r="BN87" i="59"/>
  <c r="BN114" i="59"/>
  <c r="BN44" i="59"/>
  <c r="BN70" i="59"/>
  <c r="AF40" i="53"/>
  <c r="X24" i="59"/>
  <c r="L24" i="60"/>
  <c r="CK51" i="59"/>
  <c r="CK147" i="59"/>
  <c r="EG19" i="59"/>
  <c r="EL19" i="59" s="1"/>
  <c r="BN45" i="59"/>
  <c r="BN88" i="59"/>
  <c r="BN115" i="59"/>
  <c r="BN71" i="59"/>
  <c r="BN118" i="59"/>
  <c r="BN48" i="59"/>
  <c r="BN74" i="59"/>
  <c r="BN91" i="59"/>
  <c r="DM101" i="59"/>
  <c r="DM153" i="59"/>
  <c r="DL6" i="57"/>
  <c r="BA51" i="59"/>
  <c r="BA147" i="59"/>
  <c r="P35" i="60"/>
  <c r="X101" i="59"/>
  <c r="X153" i="59"/>
  <c r="BN68" i="59"/>
  <c r="EF17" i="59"/>
  <c r="EK17" i="59" s="1"/>
  <c r="BN85" i="59"/>
  <c r="BN112" i="59"/>
  <c r="BN42" i="59"/>
  <c r="BN83" i="59"/>
  <c r="BN110" i="59"/>
  <c r="BN66" i="59"/>
  <c r="EG18" i="59"/>
  <c r="EL18" i="59" s="1"/>
  <c r="BN40" i="59"/>
  <c r="DL26" i="57"/>
  <c r="CH149" i="59"/>
  <c r="CH155" i="59" s="1"/>
  <c r="BN84" i="59"/>
  <c r="BN111" i="59"/>
  <c r="BN41" i="59"/>
  <c r="BN67" i="59"/>
  <c r="EF18" i="59"/>
  <c r="EK9" i="59"/>
  <c r="EJ9" i="59"/>
  <c r="EO9" i="59" s="1"/>
  <c r="CJ43" i="55"/>
  <c r="CJ4" i="57" s="1"/>
  <c r="AZ135" i="55"/>
  <c r="BC11" i="58"/>
  <c r="BC6" i="58"/>
  <c r="DM7" i="55"/>
  <c r="DM27" i="59"/>
  <c r="DM150" i="59" s="1"/>
  <c r="AZ151" i="55"/>
  <c r="DL151" i="55" s="1"/>
  <c r="CJ89" i="55"/>
  <c r="CJ15" i="57"/>
  <c r="DM53" i="59"/>
  <c r="DM124" i="59"/>
  <c r="DM54" i="59"/>
  <c r="DM97" i="59"/>
  <c r="AA216" i="53"/>
  <c r="BB11" i="58"/>
  <c r="BB6" i="58"/>
  <c r="DM57" i="59"/>
  <c r="DM127" i="59"/>
  <c r="DM100" i="59"/>
  <c r="Y239" i="54"/>
  <c r="Y244" i="54" s="1"/>
  <c r="DL102" i="59"/>
  <c r="DK102" i="59"/>
  <c r="AY135" i="55"/>
  <c r="AY8" i="57" s="1"/>
  <c r="DM126" i="59"/>
  <c r="DM56" i="59"/>
  <c r="DM99" i="59"/>
  <c r="DL128" i="59"/>
  <c r="DK128" i="59"/>
  <c r="DM6" i="55"/>
  <c r="DM25" i="59"/>
  <c r="DM148" i="59" s="1"/>
  <c r="DM24" i="59"/>
  <c r="DM147" i="59" s="1"/>
  <c r="DT49" i="59"/>
  <c r="DT92" i="59"/>
  <c r="DT120" i="59"/>
  <c r="CM120" i="59"/>
  <c r="CM49" i="59"/>
  <c r="CM31" i="59"/>
  <c r="CM154" i="59" s="1"/>
  <c r="AD49" i="59"/>
  <c r="CK96" i="59"/>
  <c r="CK52" i="59"/>
  <c r="AC49" i="59"/>
  <c r="Y50" i="59"/>
  <c r="Y31" i="59"/>
  <c r="Y154" i="59" s="1"/>
  <c r="BH120" i="59"/>
  <c r="BH49" i="59"/>
  <c r="BA96" i="59"/>
  <c r="BA52" i="59"/>
  <c r="W96" i="59"/>
  <c r="W52" i="59"/>
  <c r="EH16" i="59"/>
  <c r="EM16" i="59" s="1"/>
  <c r="V96" i="59"/>
  <c r="V52" i="59"/>
  <c r="BM75" i="59"/>
  <c r="EK7" i="59"/>
  <c r="BN39" i="59"/>
  <c r="BN82" i="59"/>
  <c r="BN109" i="59"/>
  <c r="BN65" i="59"/>
  <c r="BN80" i="59"/>
  <c r="H25" i="60"/>
  <c r="BN107" i="59"/>
  <c r="BN37" i="59"/>
  <c r="BN63" i="59"/>
  <c r="EF16" i="59"/>
  <c r="BN79" i="59"/>
  <c r="BN106" i="59"/>
  <c r="BN36" i="59"/>
  <c r="BN62" i="59"/>
  <c r="H40" i="60"/>
  <c r="BN81" i="59"/>
  <c r="BN108" i="59"/>
  <c r="BN38" i="59"/>
  <c r="BN64" i="59"/>
  <c r="I26" i="60"/>
  <c r="BH92" i="59"/>
  <c r="DJ39" i="57"/>
  <c r="DJ9" i="57"/>
  <c r="DK26" i="57"/>
  <c r="DL37" i="57"/>
  <c r="DL7" i="57"/>
  <c r="BC23" i="59"/>
  <c r="DO10" i="55"/>
  <c r="DO23" i="59" s="1"/>
  <c r="CJ25" i="57"/>
  <c r="DL135" i="55"/>
  <c r="DL40" i="57"/>
  <c r="DL10" i="57"/>
  <c r="DK37" i="57"/>
  <c r="DK7" i="57"/>
  <c r="DK36" i="57"/>
  <c r="DK6" i="57"/>
  <c r="DL27" i="57"/>
  <c r="DL17" i="57"/>
  <c r="DK135" i="55"/>
  <c r="DK34" i="57"/>
  <c r="DK4" i="57"/>
  <c r="BI22" i="59"/>
  <c r="BI145" i="59" s="1"/>
  <c r="DU9" i="55"/>
  <c r="DU22" i="59" s="1"/>
  <c r="DU145" i="59" s="1"/>
  <c r="U35" i="57"/>
  <c r="CJ23" i="57"/>
  <c r="DL5" i="57"/>
  <c r="DL35" i="57"/>
  <c r="DI39" i="57"/>
  <c r="DI9" i="57"/>
  <c r="DM19" i="55"/>
  <c r="DM20" i="55"/>
  <c r="DK27" i="57"/>
  <c r="DK17" i="57"/>
  <c r="DL34" i="57"/>
  <c r="DL4" i="57"/>
  <c r="DJ8" i="57"/>
  <c r="DJ38" i="57"/>
  <c r="DH39" i="57"/>
  <c r="DH9" i="57"/>
  <c r="CK36" i="55"/>
  <c r="CJ24" i="57"/>
  <c r="CI35" i="57"/>
  <c r="CI36" i="57"/>
  <c r="Z228" i="54"/>
  <c r="BG178" i="55" s="1"/>
  <c r="DS178" i="55" s="1"/>
  <c r="CK60" i="55"/>
  <c r="CK14" i="57" s="1"/>
  <c r="CK175" i="55"/>
  <c r="CK19" i="57" s="1"/>
  <c r="Z230" i="54"/>
  <c r="BG180" i="55" s="1"/>
  <c r="DS180" i="55" s="1"/>
  <c r="CK37" i="55"/>
  <c r="CK174" i="55"/>
  <c r="CI34" i="57"/>
  <c r="CK82" i="55"/>
  <c r="CK83" i="55"/>
  <c r="CK15" i="57" s="1"/>
  <c r="Z225" i="54"/>
  <c r="CK106" i="55"/>
  <c r="CK112" i="55" s="1"/>
  <c r="Z229" i="54"/>
  <c r="BG179" i="55" s="1"/>
  <c r="DS179" i="55" s="1"/>
  <c r="CK59" i="55"/>
  <c r="T128" i="59"/>
  <c r="CH41" i="57"/>
  <c r="V32" i="59"/>
  <c r="W32" i="59"/>
  <c r="AD120" i="59"/>
  <c r="AY4" i="57"/>
  <c r="AY34" i="57"/>
  <c r="AZ7" i="57"/>
  <c r="AZ37" i="57"/>
  <c r="U10" i="57"/>
  <c r="U40" i="57"/>
  <c r="CI28" i="57"/>
  <c r="CI30" i="57" s="1"/>
  <c r="U152" i="55"/>
  <c r="U158" i="55" s="1"/>
  <c r="U27" i="57"/>
  <c r="U17" i="57"/>
  <c r="AZ152" i="55"/>
  <c r="DL152" i="55" s="1"/>
  <c r="AZ27" i="57"/>
  <c r="AZ17" i="57"/>
  <c r="AZ6" i="57"/>
  <c r="AZ36" i="57"/>
  <c r="CG9" i="57"/>
  <c r="CG39" i="57"/>
  <c r="CG41" i="57" s="1"/>
  <c r="U8" i="57"/>
  <c r="U38" i="57"/>
  <c r="U4" i="57"/>
  <c r="U34" i="57"/>
  <c r="AY6" i="57"/>
  <c r="AY36" i="57"/>
  <c r="U6" i="57"/>
  <c r="U36" i="57"/>
  <c r="U7" i="57"/>
  <c r="U37" i="57"/>
  <c r="CJ6" i="57"/>
  <c r="CJ36" i="57"/>
  <c r="CI8" i="57"/>
  <c r="CI38" i="57"/>
  <c r="T29" i="57"/>
  <c r="T19" i="57"/>
  <c r="AZ5" i="57"/>
  <c r="AZ35" i="57"/>
  <c r="AW9" i="57"/>
  <c r="AW39" i="57"/>
  <c r="AX9" i="57"/>
  <c r="AX39" i="57"/>
  <c r="CJ29" i="57"/>
  <c r="Y121" i="59"/>
  <c r="T24" i="57"/>
  <c r="T14" i="57"/>
  <c r="CJ7" i="57"/>
  <c r="CJ37" i="57"/>
  <c r="CI9" i="57"/>
  <c r="CI39" i="57"/>
  <c r="T25" i="57"/>
  <c r="T15" i="57"/>
  <c r="AY7" i="57"/>
  <c r="AY37" i="57"/>
  <c r="T13" i="57"/>
  <c r="T23" i="57"/>
  <c r="T129" i="55"/>
  <c r="T26" i="57"/>
  <c r="T16" i="57"/>
  <c r="AZ10" i="57"/>
  <c r="AZ40" i="57"/>
  <c r="AY10" i="57"/>
  <c r="AY40" i="57"/>
  <c r="CJ152" i="55"/>
  <c r="CJ18" i="57" s="1"/>
  <c r="CJ27" i="57"/>
  <c r="AY152" i="55"/>
  <c r="DK152" i="55" s="1"/>
  <c r="DK158" i="55" s="1"/>
  <c r="AY27" i="57"/>
  <c r="AY17" i="57"/>
  <c r="AY5" i="57"/>
  <c r="AY35" i="57"/>
  <c r="AZ8" i="57"/>
  <c r="AZ38" i="57"/>
  <c r="AC120" i="59"/>
  <c r="CJ10" i="57"/>
  <c r="CJ40" i="57"/>
  <c r="AZ4" i="57"/>
  <c r="AZ34" i="57"/>
  <c r="W95" i="59"/>
  <c r="W123" i="59"/>
  <c r="CL99" i="59"/>
  <c r="CL126" i="59"/>
  <c r="CK94" i="59"/>
  <c r="CK122" i="59"/>
  <c r="W94" i="59"/>
  <c r="W122" i="59"/>
  <c r="CL100" i="59"/>
  <c r="CL127" i="59"/>
  <c r="CK95" i="59"/>
  <c r="CK123" i="59"/>
  <c r="V95" i="59"/>
  <c r="V123" i="59"/>
  <c r="X100" i="59"/>
  <c r="X127" i="59"/>
  <c r="V94" i="59"/>
  <c r="V122" i="59"/>
  <c r="X99" i="59"/>
  <c r="X126" i="59"/>
  <c r="CL97" i="59"/>
  <c r="CL124" i="59"/>
  <c r="X97" i="59"/>
  <c r="X124" i="59"/>
  <c r="BA94" i="59"/>
  <c r="BA122" i="59"/>
  <c r="BA95" i="59"/>
  <c r="BA123" i="59"/>
  <c r="CJ128" i="59"/>
  <c r="X98" i="59"/>
  <c r="X125" i="59"/>
  <c r="CL98" i="59"/>
  <c r="CL125" i="59"/>
  <c r="X10" i="58"/>
  <c r="CM92" i="59"/>
  <c r="AD92" i="59"/>
  <c r="Y93" i="59"/>
  <c r="AC92" i="59"/>
  <c r="T102" i="59"/>
  <c r="T58" i="59"/>
  <c r="X55" i="59"/>
  <c r="CL55" i="59"/>
  <c r="CL57" i="59"/>
  <c r="X56" i="59"/>
  <c r="CL54" i="59"/>
  <c r="CL56" i="59"/>
  <c r="X57" i="59"/>
  <c r="CJ102" i="59"/>
  <c r="X54" i="59"/>
  <c r="CJ58" i="59"/>
  <c r="BK9" i="55"/>
  <c r="AE22" i="59"/>
  <c r="AE145" i="59" s="1"/>
  <c r="CL19" i="55"/>
  <c r="CL174" i="55" s="1"/>
  <c r="CL25" i="59"/>
  <c r="CL148" i="59" s="1"/>
  <c r="T181" i="55"/>
  <c r="X25" i="59"/>
  <c r="X148" i="59" s="1"/>
  <c r="BD59" i="58"/>
  <c r="Y59" i="58"/>
  <c r="Z59" i="58"/>
  <c r="BE59" i="58"/>
  <c r="BC58" i="58"/>
  <c r="AA236" i="53"/>
  <c r="AA239" i="53" s="1"/>
  <c r="AA244" i="53" s="1"/>
  <c r="Y240" i="54"/>
  <c r="Y261" i="54" s="1"/>
  <c r="Y262" i="54" s="1"/>
  <c r="BF78" i="51" s="1"/>
  <c r="T89" i="55"/>
  <c r="BA106" i="55"/>
  <c r="DM106" i="55" s="1"/>
  <c r="BA83" i="55"/>
  <c r="DM83" i="55" s="1"/>
  <c r="BA175" i="55"/>
  <c r="DM175" i="55" s="1"/>
  <c r="AA225" i="54"/>
  <c r="BA105" i="55"/>
  <c r="BA82" i="55"/>
  <c r="DM82" i="55" s="1"/>
  <c r="DM89" i="55" s="1"/>
  <c r="BA174" i="55"/>
  <c r="DM174" i="55" s="1"/>
  <c r="AA200" i="53"/>
  <c r="AA205" i="53" s="1"/>
  <c r="CN179" i="55" s="1"/>
  <c r="CN172" i="55"/>
  <c r="AB210" i="53"/>
  <c r="AC172" i="55"/>
  <c r="AA227" i="54"/>
  <c r="BH177" i="55" s="1"/>
  <c r="DT177" i="55" s="1"/>
  <c r="V106" i="55"/>
  <c r="V83" i="55"/>
  <c r="V175" i="55"/>
  <c r="CK128" i="55"/>
  <c r="AA228" i="54"/>
  <c r="BH178" i="55" s="1"/>
  <c r="DT178" i="55" s="1"/>
  <c r="AA230" i="54"/>
  <c r="BH180" i="55" s="1"/>
  <c r="DT180" i="55" s="1"/>
  <c r="W106" i="55"/>
  <c r="W83" i="55"/>
  <c r="W175" i="55"/>
  <c r="Z236" i="54"/>
  <c r="W82" i="55"/>
  <c r="W105" i="55"/>
  <c r="W128" i="55" s="1"/>
  <c r="W174" i="55"/>
  <c r="CJ151" i="55"/>
  <c r="CJ135" i="55"/>
  <c r="T151" i="55"/>
  <c r="T135" i="55"/>
  <c r="V105" i="55"/>
  <c r="V128" i="55" s="1"/>
  <c r="V82" i="55"/>
  <c r="V174" i="55"/>
  <c r="T43" i="55"/>
  <c r="T112" i="55"/>
  <c r="W37" i="55"/>
  <c r="W60" i="55"/>
  <c r="W59" i="55"/>
  <c r="W36" i="55"/>
  <c r="V59" i="55"/>
  <c r="V36" i="55"/>
  <c r="BA60" i="55"/>
  <c r="DM60" i="55" s="1"/>
  <c r="V60" i="55"/>
  <c r="V37" i="55"/>
  <c r="BA59" i="55"/>
  <c r="DM59" i="55" s="1"/>
  <c r="BA37" i="55"/>
  <c r="DM37" i="55" s="1"/>
  <c r="T66" i="55"/>
  <c r="CJ66" i="55"/>
  <c r="BA36" i="55"/>
  <c r="DM36" i="55" s="1"/>
  <c r="CL6" i="55"/>
  <c r="Y16" i="55"/>
  <c r="Y30" i="59" s="1"/>
  <c r="Y15" i="55"/>
  <c r="Y29" i="59" s="1"/>
  <c r="Y152" i="59" s="1"/>
  <c r="Y12" i="55"/>
  <c r="Y26" i="59" s="1"/>
  <c r="Y53" i="59" s="1"/>
  <c r="Y14" i="55"/>
  <c r="Y28" i="59" s="1"/>
  <c r="Y151" i="59" s="1"/>
  <c r="Y13" i="55"/>
  <c r="Y27" i="59" s="1"/>
  <c r="Y150" i="59" s="1"/>
  <c r="Y11" i="55"/>
  <c r="CL7" i="55"/>
  <c r="X20" i="55"/>
  <c r="X19" i="55"/>
  <c r="X256" i="53"/>
  <c r="Y75" i="51"/>
  <c r="Y76" i="51" s="1"/>
  <c r="BC11" i="55"/>
  <c r="BC13" i="55"/>
  <c r="BC27" i="59" s="1"/>
  <c r="BC14" i="55"/>
  <c r="BC28" i="59" s="1"/>
  <c r="BC12" i="55"/>
  <c r="BC26" i="59" s="1"/>
  <c r="BC53" i="59" s="1"/>
  <c r="BC16" i="55"/>
  <c r="BC30" i="59" s="1"/>
  <c r="BC15" i="55"/>
  <c r="BC29" i="59" s="1"/>
  <c r="BB74" i="51"/>
  <c r="BB76" i="51" s="1"/>
  <c r="BB10" i="55"/>
  <c r="BJ9" i="55"/>
  <c r="X254" i="54"/>
  <c r="BE75" i="51" s="1"/>
  <c r="X6" i="55"/>
  <c r="BE74" i="51"/>
  <c r="CM11" i="55"/>
  <c r="CM13" i="55"/>
  <c r="CM27" i="59" s="1"/>
  <c r="CM150" i="59" s="1"/>
  <c r="CM12" i="55"/>
  <c r="CM26" i="59" s="1"/>
  <c r="CM53" i="59" s="1"/>
  <c r="CM15" i="55"/>
  <c r="CM29" i="59" s="1"/>
  <c r="CM152" i="59" s="1"/>
  <c r="CM14" i="55"/>
  <c r="CM28" i="59" s="1"/>
  <c r="CM151" i="59" s="1"/>
  <c r="CM16" i="55"/>
  <c r="CM30" i="59" s="1"/>
  <c r="X7" i="55"/>
  <c r="Y245" i="54"/>
  <c r="Y254" i="54" s="1"/>
  <c r="BF75" i="51" s="1"/>
  <c r="W252" i="54"/>
  <c r="AB229" i="53"/>
  <c r="AC179" i="55" s="1"/>
  <c r="AB227" i="53"/>
  <c r="AC177" i="55" s="1"/>
  <c r="AB226" i="53"/>
  <c r="AC176" i="55" s="1"/>
  <c r="AB230" i="53"/>
  <c r="AC180" i="55" s="1"/>
  <c r="AB225" i="53"/>
  <c r="AB228" i="53"/>
  <c r="AC178" i="55" s="1"/>
  <c r="Z220" i="53"/>
  <c r="Z224" i="53" s="1"/>
  <c r="Z221" i="53"/>
  <c r="AA219" i="54"/>
  <c r="AA218" i="54"/>
  <c r="AC209" i="54"/>
  <c r="DV172" i="55" s="1"/>
  <c r="AC232" i="54"/>
  <c r="AC233" i="54" s="1"/>
  <c r="AB217" i="53"/>
  <c r="AB216" i="53"/>
  <c r="AH59" i="51"/>
  <c r="AG38" i="53"/>
  <c r="AG48" i="51"/>
  <c r="AF36" i="53"/>
  <c r="AF42" i="53" s="1"/>
  <c r="AE72" i="53"/>
  <c r="AE73" i="53" s="1"/>
  <c r="AF49" i="51" s="1"/>
  <c r="BL49" i="51" s="1"/>
  <c r="AE78" i="53"/>
  <c r="AE74" i="53"/>
  <c r="AE75" i="53" s="1"/>
  <c r="AF57" i="51" s="1"/>
  <c r="AE80" i="53"/>
  <c r="AE47" i="53"/>
  <c r="AE162" i="53" s="1"/>
  <c r="AC214" i="54"/>
  <c r="AC213" i="54"/>
  <c r="AC212" i="54"/>
  <c r="AC215" i="54"/>
  <c r="BI71" i="51"/>
  <c r="BI73" i="51" s="1"/>
  <c r="BI64" i="51"/>
  <c r="Y252" i="53"/>
  <c r="AB222" i="53"/>
  <c r="AB234" i="53" s="1"/>
  <c r="AB235" i="53" s="1"/>
  <c r="AB223" i="53"/>
  <c r="BL48" i="51"/>
  <c r="AE36" i="54"/>
  <c r="AE42" i="54" s="1"/>
  <c r="BL65" i="51"/>
  <c r="AE40" i="54"/>
  <c r="BJ67" i="51"/>
  <c r="BJ70" i="51" s="1"/>
  <c r="AD70" i="51"/>
  <c r="AD214" i="53"/>
  <c r="AD212" i="53"/>
  <c r="AD215" i="53"/>
  <c r="AD213" i="53"/>
  <c r="Y220" i="54"/>
  <c r="Y224" i="54" s="1"/>
  <c r="Y221" i="54"/>
  <c r="AA236" i="54"/>
  <c r="BM55" i="51"/>
  <c r="AF39" i="54"/>
  <c r="BM59" i="51"/>
  <c r="AF38" i="54"/>
  <c r="AC215" i="53"/>
  <c r="AC214" i="53"/>
  <c r="AC213" i="53"/>
  <c r="AC212" i="53"/>
  <c r="AD80" i="54"/>
  <c r="AD78" i="54"/>
  <c r="AD79" i="54" s="1"/>
  <c r="AD72" i="54"/>
  <c r="AD73" i="54" s="1"/>
  <c r="AD74" i="54"/>
  <c r="AD75" i="54" s="1"/>
  <c r="AD47" i="54"/>
  <c r="AD209" i="53"/>
  <c r="AD232" i="53"/>
  <c r="AD233" i="53" s="1"/>
  <c r="Z199" i="54"/>
  <c r="Z200" i="54" s="1"/>
  <c r="AA166" i="54"/>
  <c r="CN9" i="55" s="1"/>
  <c r="CN22" i="59" s="1"/>
  <c r="CN145" i="59" s="1"/>
  <c r="BK67" i="51"/>
  <c r="BK70" i="51" s="1"/>
  <c r="AE70" i="51"/>
  <c r="AA218" i="53"/>
  <c r="AA219" i="53"/>
  <c r="Z219" i="54"/>
  <c r="Z218" i="54"/>
  <c r="BK61" i="51"/>
  <c r="AE71" i="51"/>
  <c r="AE73" i="51" s="1"/>
  <c r="AE64" i="51"/>
  <c r="AC232" i="53"/>
  <c r="AC233" i="53" s="1"/>
  <c r="AC209" i="53"/>
  <c r="AB213" i="54"/>
  <c r="AB212" i="54"/>
  <c r="AB215" i="54"/>
  <c r="AB214" i="54"/>
  <c r="Y202" i="54"/>
  <c r="Y205" i="54"/>
  <c r="Y201" i="54"/>
  <c r="Y203" i="54"/>
  <c r="Y204" i="54"/>
  <c r="Y206" i="54"/>
  <c r="Z240" i="53"/>
  <c r="Z261" i="53" s="1"/>
  <c r="AB232" i="54"/>
  <c r="AB233" i="54" s="1"/>
  <c r="AB209" i="54"/>
  <c r="DU172" i="55" s="1"/>
  <c r="BJ61" i="51"/>
  <c r="AD71" i="51"/>
  <c r="AD73" i="51" s="1"/>
  <c r="AD64" i="51"/>
  <c r="Z245" i="53"/>
  <c r="Z254" i="53" s="1"/>
  <c r="AA75" i="51" s="1"/>
  <c r="AB199" i="53"/>
  <c r="AC166" i="53"/>
  <c r="AH55" i="51"/>
  <c r="AG39" i="53"/>
  <c r="AH39" i="51"/>
  <c r="BM25" i="51"/>
  <c r="AH44" i="51"/>
  <c r="CE12" i="51" s="1"/>
  <c r="BL46" i="51"/>
  <c r="BN29" i="51"/>
  <c r="BN37" i="51"/>
  <c r="BN24" i="51"/>
  <c r="BN44" i="51" s="1"/>
  <c r="BM39" i="51"/>
  <c r="BN15" i="51"/>
  <c r="BN17" i="51" s="1"/>
  <c r="CF5" i="51"/>
  <c r="AH25" i="51"/>
  <c r="BN21" i="51"/>
  <c r="BM43" i="51"/>
  <c r="BM17" i="51"/>
  <c r="BN33" i="51"/>
  <c r="BN35" i="51" s="1"/>
  <c r="AH17" i="51"/>
  <c r="AH43" i="51"/>
  <c r="CE5" i="51"/>
  <c r="BM44" i="51"/>
  <c r="L28" i="60" l="1"/>
  <c r="EF13" i="59"/>
  <c r="EP6" i="59" s="1"/>
  <c r="CL36" i="55"/>
  <c r="CL59" i="55"/>
  <c r="CJ20" i="57"/>
  <c r="CJ149" i="59" s="1"/>
  <c r="CJ155" i="59" s="1"/>
  <c r="CL37" i="55"/>
  <c r="CL13" i="57" s="1"/>
  <c r="CL60" i="55"/>
  <c r="CL14" i="57" s="1"/>
  <c r="CJ34" i="57"/>
  <c r="BI92" i="59"/>
  <c r="AY38" i="57"/>
  <c r="Y101" i="59"/>
  <c r="Y153" i="59"/>
  <c r="BI120" i="59"/>
  <c r="G58" i="60"/>
  <c r="CM24" i="59"/>
  <c r="BC101" i="59"/>
  <c r="AZ158" i="55"/>
  <c r="EK18" i="59"/>
  <c r="EJ18" i="59"/>
  <c r="EO18" i="59" s="1"/>
  <c r="X51" i="59"/>
  <c r="X147" i="59"/>
  <c r="N26" i="60"/>
  <c r="AH118" i="59"/>
  <c r="AH48" i="59"/>
  <c r="AH74" i="59"/>
  <c r="AH75" i="59" s="1"/>
  <c r="AH91" i="59"/>
  <c r="Y24" i="59"/>
  <c r="G2" i="61"/>
  <c r="G10" i="61" s="1"/>
  <c r="G11" i="61" s="1"/>
  <c r="BN39" i="51"/>
  <c r="BN19" i="59"/>
  <c r="AA206" i="53"/>
  <c r="CN180" i="55" s="1"/>
  <c r="CM101" i="59"/>
  <c r="CM153" i="59"/>
  <c r="DM98" i="59"/>
  <c r="DM125" i="59"/>
  <c r="DM55" i="59"/>
  <c r="BE11" i="58"/>
  <c r="BE6" i="58"/>
  <c r="Z11" i="58"/>
  <c r="Z6" i="58"/>
  <c r="DM51" i="59"/>
  <c r="DM122" i="59"/>
  <c r="DM94" i="59"/>
  <c r="Y11" i="58"/>
  <c r="Y6" i="58"/>
  <c r="DL158" i="55"/>
  <c r="DL9" i="57" s="1"/>
  <c r="CK23" i="57"/>
  <c r="CK13" i="57"/>
  <c r="DO50" i="59"/>
  <c r="DO93" i="59"/>
  <c r="DO121" i="59"/>
  <c r="DO31" i="59"/>
  <c r="DM52" i="59"/>
  <c r="DM123" i="59"/>
  <c r="DM95" i="59"/>
  <c r="DM96" i="59"/>
  <c r="BD11" i="58"/>
  <c r="BD6" i="58"/>
  <c r="DU49" i="59"/>
  <c r="DU120" i="59"/>
  <c r="DU92" i="59"/>
  <c r="CK26" i="57"/>
  <c r="CK16" i="57"/>
  <c r="DM66" i="55"/>
  <c r="DM5" i="57" s="1"/>
  <c r="DM181" i="55"/>
  <c r="DM40" i="57" s="1"/>
  <c r="BC93" i="59"/>
  <c r="BC50" i="59"/>
  <c r="BC24" i="59"/>
  <c r="BC31" i="59"/>
  <c r="X96" i="59"/>
  <c r="X52" i="59"/>
  <c r="BI49" i="59"/>
  <c r="CL96" i="59"/>
  <c r="CL52" i="59"/>
  <c r="CN120" i="59"/>
  <c r="CN49" i="59"/>
  <c r="CN31" i="59"/>
  <c r="CN154" i="59" s="1"/>
  <c r="AE49" i="59"/>
  <c r="EK16" i="59"/>
  <c r="N26" i="63"/>
  <c r="N46" i="63" s="1"/>
  <c r="F40" i="63"/>
  <c r="EP7" i="59"/>
  <c r="H21" i="61"/>
  <c r="E29" i="61"/>
  <c r="H23" i="61" s="1"/>
  <c r="EP8" i="59"/>
  <c r="EP9" i="59"/>
  <c r="EP10" i="59"/>
  <c r="EP11" i="59"/>
  <c r="EP13" i="59"/>
  <c r="EP12" i="59"/>
  <c r="CK25" i="57"/>
  <c r="BA102" i="59"/>
  <c r="BC121" i="59"/>
  <c r="DK39" i="57"/>
  <c r="DK9" i="57"/>
  <c r="CK89" i="55"/>
  <c r="BK22" i="59"/>
  <c r="DW9" i="55"/>
  <c r="DW22" i="59" s="1"/>
  <c r="DO16" i="55"/>
  <c r="DO30" i="59" s="1"/>
  <c r="DO11" i="55"/>
  <c r="DO14" i="55"/>
  <c r="DO28" i="59" s="1"/>
  <c r="DO13" i="55"/>
  <c r="DO27" i="59" s="1"/>
  <c r="DO15" i="55"/>
  <c r="DO29" i="59" s="1"/>
  <c r="DO12" i="55"/>
  <c r="DO26" i="59" s="1"/>
  <c r="DL39" i="57"/>
  <c r="DM23" i="57"/>
  <c r="DM13" i="57"/>
  <c r="DM43" i="55"/>
  <c r="DK18" i="57"/>
  <c r="DK20" i="57" s="1"/>
  <c r="DK149" i="59" s="1"/>
  <c r="DK155" i="59" s="1"/>
  <c r="DK28" i="57"/>
  <c r="DK30" i="57" s="1"/>
  <c r="DK38" i="57"/>
  <c r="DK8" i="57"/>
  <c r="BA128" i="55"/>
  <c r="DM128" i="55" s="1"/>
  <c r="DM105" i="55"/>
  <c r="DM112" i="55" s="1"/>
  <c r="DL18" i="57"/>
  <c r="DL20" i="57" s="1"/>
  <c r="DL28" i="57"/>
  <c r="DL30" i="57" s="1"/>
  <c r="DM16" i="57"/>
  <c r="DL38" i="57"/>
  <c r="DL8" i="57"/>
  <c r="DM36" i="57"/>
  <c r="DM6" i="57"/>
  <c r="BJ22" i="59"/>
  <c r="BJ145" i="59" s="1"/>
  <c r="DV9" i="55"/>
  <c r="DV22" i="59" s="1"/>
  <c r="DV145" i="59" s="1"/>
  <c r="DM19" i="57"/>
  <c r="DM29" i="57"/>
  <c r="BB23" i="59"/>
  <c r="BB146" i="59" s="1"/>
  <c r="DN10" i="55"/>
  <c r="DN23" i="59" s="1"/>
  <c r="DN146" i="59" s="1"/>
  <c r="DM24" i="57"/>
  <c r="DM14" i="57"/>
  <c r="DM15" i="57"/>
  <c r="DM25" i="57"/>
  <c r="W181" i="55"/>
  <c r="W40" i="57" s="1"/>
  <c r="CK181" i="55"/>
  <c r="CK10" i="57" s="1"/>
  <c r="CK66" i="55"/>
  <c r="CK35" i="57" s="1"/>
  <c r="CJ158" i="55"/>
  <c r="CK129" i="55"/>
  <c r="CK17" i="57" s="1"/>
  <c r="CL175" i="55"/>
  <c r="CL19" i="57" s="1"/>
  <c r="CL83" i="55"/>
  <c r="CL15" i="57" s="1"/>
  <c r="AA237" i="53"/>
  <c r="AA238" i="53" s="1"/>
  <c r="CK43" i="55"/>
  <c r="CK4" i="57" s="1"/>
  <c r="CK29" i="57"/>
  <c r="BF77" i="51"/>
  <c r="CK24" i="57"/>
  <c r="W128" i="59"/>
  <c r="W58" i="59"/>
  <c r="CI41" i="57"/>
  <c r="CK128" i="59"/>
  <c r="X32" i="59"/>
  <c r="CL23" i="57"/>
  <c r="V23" i="57"/>
  <c r="V13" i="57"/>
  <c r="T8" i="57"/>
  <c r="T38" i="57"/>
  <c r="W29" i="57"/>
  <c r="W19" i="57"/>
  <c r="V29" i="57"/>
  <c r="V19" i="57"/>
  <c r="V128" i="59"/>
  <c r="V14" i="57"/>
  <c r="V24" i="57"/>
  <c r="W24" i="57"/>
  <c r="W14" i="57"/>
  <c r="W15" i="57"/>
  <c r="W25" i="57"/>
  <c r="V25" i="57"/>
  <c r="V15" i="57"/>
  <c r="BA29" i="57"/>
  <c r="BA19" i="57"/>
  <c r="T10" i="57"/>
  <c r="T40" i="57"/>
  <c r="U18" i="57"/>
  <c r="U20" i="57" s="1"/>
  <c r="U28" i="57"/>
  <c r="U30" i="57" s="1"/>
  <c r="W23" i="57"/>
  <c r="W13" i="57"/>
  <c r="CJ8" i="57"/>
  <c r="CJ38" i="57"/>
  <c r="W129" i="55"/>
  <c r="W135" i="55" s="1"/>
  <c r="W26" i="57"/>
  <c r="W16" i="57"/>
  <c r="V129" i="55"/>
  <c r="V135" i="55" s="1"/>
  <c r="V26" i="57"/>
  <c r="V16" i="57"/>
  <c r="BA25" i="57"/>
  <c r="BA15" i="57"/>
  <c r="CJ5" i="57"/>
  <c r="CJ35" i="57"/>
  <c r="CL24" i="57"/>
  <c r="T7" i="57"/>
  <c r="T37" i="57"/>
  <c r="CJ9" i="57"/>
  <c r="CJ39" i="57"/>
  <c r="CL82" i="55"/>
  <c r="BA129" i="55"/>
  <c r="BA26" i="57"/>
  <c r="BA16" i="57"/>
  <c r="U9" i="57"/>
  <c r="U39" i="57"/>
  <c r="U41" i="57" s="1"/>
  <c r="T6" i="57"/>
  <c r="T36" i="57"/>
  <c r="AZ9" i="57"/>
  <c r="AZ39" i="57"/>
  <c r="AY18" i="57"/>
  <c r="AY20" i="57" s="1"/>
  <c r="AY149" i="59" s="1"/>
  <c r="AY155" i="59" s="1"/>
  <c r="AY28" i="57"/>
  <c r="AY30" i="57" s="1"/>
  <c r="AY158" i="55"/>
  <c r="T5" i="57"/>
  <c r="T35" i="57"/>
  <c r="BA14" i="57"/>
  <c r="BA24" i="57"/>
  <c r="CL181" i="55"/>
  <c r="BA23" i="57"/>
  <c r="BA13" i="57"/>
  <c r="CL105" i="55"/>
  <c r="CL128" i="55" s="1"/>
  <c r="AE120" i="59"/>
  <c r="T152" i="55"/>
  <c r="T27" i="57"/>
  <c r="T17" i="57"/>
  <c r="T4" i="57"/>
  <c r="T34" i="57"/>
  <c r="CK6" i="57"/>
  <c r="CK36" i="57"/>
  <c r="CK7" i="57"/>
  <c r="CK37" i="57"/>
  <c r="CL106" i="55"/>
  <c r="CJ28" i="57"/>
  <c r="CJ30" i="57" s="1"/>
  <c r="AZ28" i="57"/>
  <c r="AZ30" i="57" s="1"/>
  <c r="AZ18" i="57"/>
  <c r="AZ20" i="57" s="1"/>
  <c r="AZ149" i="59" s="1"/>
  <c r="AZ155" i="59" s="1"/>
  <c r="CK152" i="55"/>
  <c r="CK18" i="57" s="1"/>
  <c r="CK27" i="57"/>
  <c r="CM99" i="59"/>
  <c r="CM126" i="59"/>
  <c r="X94" i="59"/>
  <c r="X122" i="59"/>
  <c r="BC99" i="59"/>
  <c r="BC126" i="59"/>
  <c r="X95" i="59"/>
  <c r="X123" i="59"/>
  <c r="Y97" i="59"/>
  <c r="Y124" i="59"/>
  <c r="Y98" i="59"/>
  <c r="Y125" i="59"/>
  <c r="CM100" i="59"/>
  <c r="CM127" i="59"/>
  <c r="CM97" i="59"/>
  <c r="CM124" i="59"/>
  <c r="Y100" i="59"/>
  <c r="Y127" i="59"/>
  <c r="BC98" i="59"/>
  <c r="BC125" i="59"/>
  <c r="Y99" i="59"/>
  <c r="Y126" i="59"/>
  <c r="CM98" i="59"/>
  <c r="CM125" i="59"/>
  <c r="BC100" i="59"/>
  <c r="BC127" i="59"/>
  <c r="CL94" i="59"/>
  <c r="CL122" i="59"/>
  <c r="CL95" i="59"/>
  <c r="CL123" i="59"/>
  <c r="BC97" i="59"/>
  <c r="BC124" i="59"/>
  <c r="AE92" i="59"/>
  <c r="CN92" i="59"/>
  <c r="V102" i="59"/>
  <c r="CK58" i="59"/>
  <c r="CM55" i="59"/>
  <c r="BC57" i="59"/>
  <c r="BC54" i="59"/>
  <c r="V58" i="59"/>
  <c r="W102" i="59"/>
  <c r="BC56" i="59"/>
  <c r="Y57" i="59"/>
  <c r="Y55" i="59"/>
  <c r="CM56" i="59"/>
  <c r="Y56" i="59"/>
  <c r="CK102" i="59"/>
  <c r="CM54" i="59"/>
  <c r="BC55" i="59"/>
  <c r="CM57" i="59"/>
  <c r="Y54" i="59"/>
  <c r="Y25" i="59"/>
  <c r="Y148" i="59" s="1"/>
  <c r="BC25" i="59"/>
  <c r="CM19" i="55"/>
  <c r="CM175" i="55" s="1"/>
  <c r="CM19" i="57" s="1"/>
  <c r="CM25" i="59"/>
  <c r="CM148" i="59" s="1"/>
  <c r="AA204" i="53"/>
  <c r="CN178" i="55" s="1"/>
  <c r="AA201" i="53"/>
  <c r="BF59" i="58"/>
  <c r="AA203" i="53"/>
  <c r="CN177" i="55" s="1"/>
  <c r="AA202" i="53"/>
  <c r="CN176" i="55" s="1"/>
  <c r="Y58" i="58"/>
  <c r="Y5" i="58" s="1"/>
  <c r="BB58" i="58"/>
  <c r="BA89" i="55"/>
  <c r="CL43" i="55"/>
  <c r="W66" i="55"/>
  <c r="V181" i="55"/>
  <c r="W43" i="55"/>
  <c r="BA181" i="55"/>
  <c r="V66" i="55"/>
  <c r="W112" i="55"/>
  <c r="V151" i="55"/>
  <c r="X106" i="55"/>
  <c r="X83" i="55"/>
  <c r="X175" i="55"/>
  <c r="CK151" i="55"/>
  <c r="CK135" i="55"/>
  <c r="AD210" i="53"/>
  <c r="AD228" i="53" s="1"/>
  <c r="AE178" i="55" s="1"/>
  <c r="AE172" i="55"/>
  <c r="BA151" i="55"/>
  <c r="DM151" i="55" s="1"/>
  <c r="AC210" i="53"/>
  <c r="AC226" i="53" s="1"/>
  <c r="AD176" i="55" s="1"/>
  <c r="AD172" i="55"/>
  <c r="Z239" i="54"/>
  <c r="X82" i="55"/>
  <c r="X105" i="55"/>
  <c r="X128" i="55" s="1"/>
  <c r="X174" i="55"/>
  <c r="AB200" i="53"/>
  <c r="AB204" i="53" s="1"/>
  <c r="CO178" i="55" s="1"/>
  <c r="CO172" i="55"/>
  <c r="AC210" i="54"/>
  <c r="AC225" i="54" s="1"/>
  <c r="BJ172" i="55"/>
  <c r="Z237" i="54"/>
  <c r="Z238" i="54" s="1"/>
  <c r="Z240" i="54" s="1"/>
  <c r="Z261" i="54" s="1"/>
  <c r="AB210" i="54"/>
  <c r="AB230" i="54" s="1"/>
  <c r="BI180" i="55" s="1"/>
  <c r="DU180" i="55" s="1"/>
  <c r="BI172" i="55"/>
  <c r="BA112" i="55"/>
  <c r="W151" i="55"/>
  <c r="V112" i="55"/>
  <c r="CL89" i="55"/>
  <c r="V89" i="55"/>
  <c r="CM59" i="55"/>
  <c r="X59" i="55"/>
  <c r="X36" i="55"/>
  <c r="X60" i="55"/>
  <c r="X37" i="55"/>
  <c r="X13" i="57" s="1"/>
  <c r="W89" i="55"/>
  <c r="V43" i="55"/>
  <c r="BA43" i="55"/>
  <c r="BA66" i="55"/>
  <c r="CL66" i="55"/>
  <c r="Z262" i="53"/>
  <c r="AA78" i="51" s="1"/>
  <c r="AA77" i="51"/>
  <c r="Y7" i="55"/>
  <c r="BC7" i="55"/>
  <c r="AD207" i="54"/>
  <c r="AD208" i="54" s="1"/>
  <c r="BK4" i="55"/>
  <c r="BC19" i="55"/>
  <c r="BC20" i="55"/>
  <c r="Y20" i="55"/>
  <c r="Y19" i="55"/>
  <c r="BC6" i="55"/>
  <c r="CN13" i="55"/>
  <c r="CN27" i="59" s="1"/>
  <c r="CN150" i="59" s="1"/>
  <c r="CN11" i="55"/>
  <c r="CN12" i="55"/>
  <c r="CN26" i="59" s="1"/>
  <c r="CN53" i="59" s="1"/>
  <c r="CN15" i="55"/>
  <c r="CN29" i="59" s="1"/>
  <c r="CN152" i="59" s="1"/>
  <c r="CN16" i="55"/>
  <c r="CN30" i="59" s="1"/>
  <c r="CN14" i="55"/>
  <c r="CN28" i="59" s="1"/>
  <c r="CN151" i="59" s="1"/>
  <c r="CM7" i="55"/>
  <c r="BB15" i="55"/>
  <c r="BB29" i="59" s="1"/>
  <c r="BB152" i="59" s="1"/>
  <c r="BB12" i="55"/>
  <c r="BB26" i="59" s="1"/>
  <c r="BB53" i="59" s="1"/>
  <c r="BB11" i="55"/>
  <c r="BB13" i="55"/>
  <c r="BB27" i="59" s="1"/>
  <c r="BB150" i="59" s="1"/>
  <c r="BB14" i="55"/>
  <c r="BB28" i="59" s="1"/>
  <c r="BB151" i="59" s="1"/>
  <c r="BB16" i="55"/>
  <c r="BB30" i="59" s="1"/>
  <c r="W256" i="54"/>
  <c r="BD74" i="51"/>
  <c r="BD76" i="51" s="1"/>
  <c r="BD10" i="55"/>
  <c r="BE10" i="55"/>
  <c r="Y6" i="55"/>
  <c r="Y256" i="53"/>
  <c r="Z74" i="51"/>
  <c r="Z76" i="51" s="1"/>
  <c r="Z10" i="55"/>
  <c r="Z23" i="59" s="1"/>
  <c r="Z146" i="59" s="1"/>
  <c r="AE207" i="53"/>
  <c r="AE211" i="53" s="1"/>
  <c r="AF4" i="55"/>
  <c r="BE76" i="51"/>
  <c r="CM6" i="55"/>
  <c r="X256" i="54"/>
  <c r="AF51" i="51"/>
  <c r="Y252" i="54"/>
  <c r="BM52" i="51"/>
  <c r="BM54" i="51" s="1"/>
  <c r="AF37" i="54"/>
  <c r="BM65" i="51"/>
  <c r="AF40" i="54"/>
  <c r="BJ71" i="51"/>
  <c r="BJ73" i="51" s="1"/>
  <c r="BJ64" i="51"/>
  <c r="AC228" i="53"/>
  <c r="AD178" i="55" s="1"/>
  <c r="AC225" i="53"/>
  <c r="AC229" i="53"/>
  <c r="AD179" i="55" s="1"/>
  <c r="AA220" i="53"/>
  <c r="AA224" i="53" s="1"/>
  <c r="AA221" i="53"/>
  <c r="AA237" i="54"/>
  <c r="AA238" i="54" s="1"/>
  <c r="AA240" i="54" s="1"/>
  <c r="AA239" i="54"/>
  <c r="AC226" i="54"/>
  <c r="BJ176" i="55" s="1"/>
  <c r="DV176" i="55" s="1"/>
  <c r="AB228" i="54"/>
  <c r="BI178" i="55" s="1"/>
  <c r="DU178" i="55" s="1"/>
  <c r="AB226" i="54"/>
  <c r="BI176" i="55" s="1"/>
  <c r="DU176" i="55" s="1"/>
  <c r="AC217" i="53"/>
  <c r="AC216" i="53"/>
  <c r="AF72" i="53"/>
  <c r="AF73" i="53" s="1"/>
  <c r="AG49" i="51" s="1"/>
  <c r="BM49" i="51" s="1"/>
  <c r="AF80" i="53"/>
  <c r="AF74" i="53"/>
  <c r="AF75" i="53" s="1"/>
  <c r="AG57" i="51" s="1"/>
  <c r="AF78" i="53"/>
  <c r="AF47" i="53"/>
  <c r="AA220" i="54"/>
  <c r="AA224" i="54" s="1"/>
  <c r="AA221" i="54"/>
  <c r="BN65" i="51"/>
  <c r="AG40" i="54"/>
  <c r="AC222" i="53"/>
  <c r="AC234" i="53" s="1"/>
  <c r="AC235" i="53" s="1"/>
  <c r="AC223" i="53"/>
  <c r="AC216" i="54"/>
  <c r="AC217" i="54"/>
  <c r="BN59" i="51"/>
  <c r="AG38" i="54"/>
  <c r="AA199" i="54"/>
  <c r="AA200" i="54" s="1"/>
  <c r="AB166" i="54"/>
  <c r="CO9" i="55" s="1"/>
  <c r="CO22" i="59" s="1"/>
  <c r="CO145" i="59" s="1"/>
  <c r="Z244" i="54"/>
  <c r="Z245" i="54" s="1"/>
  <c r="Z252" i="54" s="1"/>
  <c r="Z252" i="53"/>
  <c r="AH48" i="51"/>
  <c r="AG36" i="53"/>
  <c r="AG42" i="53" s="1"/>
  <c r="AB216" i="54"/>
  <c r="AB217" i="54"/>
  <c r="BK71" i="51"/>
  <c r="BK73" i="51" s="1"/>
  <c r="BK64" i="51"/>
  <c r="Z203" i="54"/>
  <c r="Z201" i="54"/>
  <c r="Z206" i="54"/>
  <c r="Z204" i="54"/>
  <c r="Z202" i="54"/>
  <c r="Z205" i="54"/>
  <c r="AB236" i="53"/>
  <c r="AB239" i="53" s="1"/>
  <c r="AD81" i="54"/>
  <c r="AD165" i="54"/>
  <c r="AD222" i="53"/>
  <c r="AD234" i="53" s="1"/>
  <c r="AD235" i="53" s="1"/>
  <c r="AD223" i="53"/>
  <c r="AE72" i="54"/>
  <c r="AE73" i="54" s="1"/>
  <c r="AE47" i="54"/>
  <c r="AE162" i="54" s="1"/>
  <c r="AE74" i="54"/>
  <c r="AE75" i="54" s="1"/>
  <c r="AE80" i="54"/>
  <c r="AE78" i="54"/>
  <c r="AE79" i="54" s="1"/>
  <c r="AE81" i="53"/>
  <c r="AF61" i="51" s="1"/>
  <c r="AE165" i="53"/>
  <c r="AF9" i="55" s="1"/>
  <c r="AF22" i="59" s="1"/>
  <c r="AF145" i="59" s="1"/>
  <c r="Z221" i="54"/>
  <c r="Z220" i="54"/>
  <c r="Z224" i="54" s="1"/>
  <c r="AD227" i="53"/>
  <c r="AE177" i="55" s="1"/>
  <c r="AD230" i="53"/>
  <c r="AE180" i="55" s="1"/>
  <c r="AD225" i="53"/>
  <c r="AD162" i="54"/>
  <c r="BL51" i="51"/>
  <c r="BL57" i="51"/>
  <c r="BL58" i="51" s="1"/>
  <c r="BL72" i="51" s="1"/>
  <c r="AF58" i="51"/>
  <c r="AF72" i="51" s="1"/>
  <c r="AB218" i="53"/>
  <c r="AB219" i="53"/>
  <c r="AB222" i="54"/>
  <c r="AB234" i="54" s="1"/>
  <c r="AB235" i="54" s="1"/>
  <c r="AB223" i="54"/>
  <c r="AH52" i="51"/>
  <c r="AH54" i="51" s="1"/>
  <c r="AG37" i="53"/>
  <c r="BM48" i="51"/>
  <c r="AF36" i="54"/>
  <c r="AF42" i="54" s="1"/>
  <c r="BN55" i="51"/>
  <c r="AG39" i="54"/>
  <c r="BN52" i="51"/>
  <c r="BN54" i="51" s="1"/>
  <c r="AG37" i="54"/>
  <c r="AA240" i="53"/>
  <c r="AA261" i="53" s="1"/>
  <c r="AD217" i="53"/>
  <c r="AD216" i="53"/>
  <c r="AC222" i="54"/>
  <c r="AC234" i="54" s="1"/>
  <c r="AC235" i="54" s="1"/>
  <c r="AC223" i="54"/>
  <c r="AF67" i="51"/>
  <c r="AE79" i="53"/>
  <c r="AA245" i="53"/>
  <c r="AA254" i="53" s="1"/>
  <c r="AB75" i="51" s="1"/>
  <c r="AC199" i="53"/>
  <c r="AD166" i="53"/>
  <c r="AB206" i="53"/>
  <c r="CO180" i="55" s="1"/>
  <c r="AB205" i="53"/>
  <c r="CO179" i="55" s="1"/>
  <c r="AB203" i="53"/>
  <c r="CO177" i="55" s="1"/>
  <c r="AB202" i="53"/>
  <c r="CO176" i="55" s="1"/>
  <c r="AB201" i="53"/>
  <c r="AH65" i="51"/>
  <c r="AG40" i="53"/>
  <c r="BN25" i="51"/>
  <c r="CD11" i="51"/>
  <c r="AH46" i="51"/>
  <c r="BM46" i="51"/>
  <c r="BN43" i="51"/>
  <c r="BN46" i="51" s="1"/>
  <c r="DM26" i="57" l="1"/>
  <c r="CL29" i="57"/>
  <c r="AE208" i="53"/>
  <c r="CM82" i="55"/>
  <c r="DM35" i="57"/>
  <c r="BK145" i="59"/>
  <c r="I58" i="60"/>
  <c r="H58" i="60"/>
  <c r="AD211" i="54"/>
  <c r="BB101" i="59"/>
  <c r="BB153" i="59"/>
  <c r="CN101" i="59"/>
  <c r="CN153" i="59"/>
  <c r="CM36" i="55"/>
  <c r="DO101" i="59"/>
  <c r="BC150" i="59"/>
  <c r="CM37" i="55"/>
  <c r="CM13" i="57" s="1"/>
  <c r="DW145" i="59"/>
  <c r="CM51" i="59"/>
  <c r="CM147" i="59"/>
  <c r="BC146" i="59"/>
  <c r="CN24" i="59"/>
  <c r="BC151" i="59"/>
  <c r="DO146" i="59"/>
  <c r="EF21" i="59"/>
  <c r="EF22" i="59" s="1"/>
  <c r="EP16" i="59" s="1"/>
  <c r="BN90" i="59"/>
  <c r="BN117" i="59"/>
  <c r="BN47" i="59"/>
  <c r="BO47" i="59" s="1"/>
  <c r="EJ47" i="59" s="1"/>
  <c r="BN73" i="59"/>
  <c r="BN75" i="59" s="1"/>
  <c r="H2" i="61"/>
  <c r="H10" i="61" s="1"/>
  <c r="H11" i="61" s="1"/>
  <c r="Q35" i="60"/>
  <c r="G24" i="60"/>
  <c r="DL149" i="59"/>
  <c r="DL155" i="59" s="1"/>
  <c r="BC51" i="59"/>
  <c r="CM106" i="55"/>
  <c r="CM16" i="57" s="1"/>
  <c r="BK120" i="59"/>
  <c r="DM102" i="59"/>
  <c r="Y51" i="59"/>
  <c r="Y147" i="59"/>
  <c r="BC153" i="59"/>
  <c r="BC152" i="59"/>
  <c r="AC227" i="54"/>
  <c r="BJ177" i="55" s="1"/>
  <c r="DV177" i="55" s="1"/>
  <c r="AC227" i="53"/>
  <c r="AD177" i="55" s="1"/>
  <c r="X89" i="55"/>
  <c r="X36" i="57" s="1"/>
  <c r="W10" i="57"/>
  <c r="DO25" i="59"/>
  <c r="DO24" i="59"/>
  <c r="AC230" i="54"/>
  <c r="BJ180" i="55" s="1"/>
  <c r="DV180" i="55" s="1"/>
  <c r="AC230" i="53"/>
  <c r="AD180" i="55" s="1"/>
  <c r="DV49" i="59"/>
  <c r="DV92" i="59"/>
  <c r="DV120" i="59"/>
  <c r="CL112" i="55"/>
  <c r="CL16" i="57"/>
  <c r="DO53" i="59"/>
  <c r="DO97" i="59"/>
  <c r="DO124" i="59"/>
  <c r="DO54" i="59"/>
  <c r="DM128" i="59"/>
  <c r="DM58" i="59"/>
  <c r="BF11" i="58"/>
  <c r="BF6" i="58"/>
  <c r="AC229" i="54"/>
  <c r="BJ179" i="55" s="1"/>
  <c r="DV179" i="55" s="1"/>
  <c r="DO57" i="59"/>
  <c r="DO100" i="59"/>
  <c r="DO127" i="59"/>
  <c r="AC228" i="54"/>
  <c r="BJ178" i="55" s="1"/>
  <c r="DV178" i="55" s="1"/>
  <c r="CK34" i="57"/>
  <c r="CL25" i="57"/>
  <c r="DM10" i="57"/>
  <c r="DO125" i="59"/>
  <c r="DO98" i="59"/>
  <c r="DO55" i="59"/>
  <c r="CK20" i="57"/>
  <c r="CK149" i="59" s="1"/>
  <c r="CK155" i="59" s="1"/>
  <c r="DW49" i="59"/>
  <c r="DW92" i="59"/>
  <c r="DW120" i="59"/>
  <c r="DN50" i="59"/>
  <c r="DN93" i="59"/>
  <c r="DN121" i="59"/>
  <c r="DN31" i="59"/>
  <c r="DN154" i="59" s="1"/>
  <c r="DO99" i="59"/>
  <c r="DO126" i="59"/>
  <c r="DO56" i="59"/>
  <c r="AF49" i="59"/>
  <c r="Y96" i="59"/>
  <c r="Y52" i="59"/>
  <c r="BB93" i="59"/>
  <c r="BB50" i="59"/>
  <c r="BB31" i="59"/>
  <c r="BB154" i="59" s="1"/>
  <c r="BB24" i="59"/>
  <c r="Z50" i="59"/>
  <c r="Z31" i="59"/>
  <c r="Z154" i="59" s="1"/>
  <c r="BK49" i="59"/>
  <c r="BJ120" i="59"/>
  <c r="BJ49" i="59"/>
  <c r="CM96" i="59"/>
  <c r="CM52" i="59"/>
  <c r="EJ50" i="59"/>
  <c r="EK47" i="59"/>
  <c r="EK50" i="59" s="1"/>
  <c r="CO120" i="59"/>
  <c r="CO49" i="59"/>
  <c r="CO31" i="59"/>
  <c r="CO154" i="59" s="1"/>
  <c r="BC96" i="59"/>
  <c r="BC52" i="59"/>
  <c r="J40" i="63"/>
  <c r="F60" i="63"/>
  <c r="EP18" i="59"/>
  <c r="EP20" i="59"/>
  <c r="EP15" i="59"/>
  <c r="EP22" i="59"/>
  <c r="EP19" i="59"/>
  <c r="EP17" i="59"/>
  <c r="EP21" i="59"/>
  <c r="BM51" i="51"/>
  <c r="BK92" i="59"/>
  <c r="BJ92" i="59"/>
  <c r="DO19" i="55"/>
  <c r="DO20" i="55"/>
  <c r="CM105" i="55"/>
  <c r="CM128" i="55" s="1"/>
  <c r="CM174" i="55"/>
  <c r="CM181" i="55" s="1"/>
  <c r="CM10" i="57" s="1"/>
  <c r="BA135" i="55"/>
  <c r="BA38" i="57" s="1"/>
  <c r="DM129" i="55"/>
  <c r="DM135" i="55" s="1"/>
  <c r="DM34" i="57"/>
  <c r="DM4" i="57"/>
  <c r="CK5" i="57"/>
  <c r="BB121" i="59"/>
  <c r="DM37" i="57"/>
  <c r="DM7" i="57"/>
  <c r="BE23" i="59"/>
  <c r="BE146" i="59" s="1"/>
  <c r="DQ10" i="55"/>
  <c r="DQ23" i="59" s="1"/>
  <c r="DQ146" i="59" s="1"/>
  <c r="CM60" i="55"/>
  <c r="CM14" i="57" s="1"/>
  <c r="DO7" i="55"/>
  <c r="BD23" i="59"/>
  <c r="BD146" i="59" s="1"/>
  <c r="DP10" i="55"/>
  <c r="DP23" i="59" s="1"/>
  <c r="DP146" i="59" s="1"/>
  <c r="CK40" i="57"/>
  <c r="CM83" i="55"/>
  <c r="CM15" i="57" s="1"/>
  <c r="DN14" i="55"/>
  <c r="DN28" i="59" s="1"/>
  <c r="DN151" i="59" s="1"/>
  <c r="DN16" i="55"/>
  <c r="DN30" i="59" s="1"/>
  <c r="DN13" i="55"/>
  <c r="DN27" i="59" s="1"/>
  <c r="DN150" i="59" s="1"/>
  <c r="DN12" i="55"/>
  <c r="DN26" i="59" s="1"/>
  <c r="DN15" i="55"/>
  <c r="DN29" i="59" s="1"/>
  <c r="DN152" i="59" s="1"/>
  <c r="DN11" i="55"/>
  <c r="DO6" i="55"/>
  <c r="AD226" i="53"/>
  <c r="AE176" i="55" s="1"/>
  <c r="AB229" i="54"/>
  <c r="BI179" i="55" s="1"/>
  <c r="DU179" i="55" s="1"/>
  <c r="AB225" i="54"/>
  <c r="AB227" i="54"/>
  <c r="BI177" i="55" s="1"/>
  <c r="DU177" i="55" s="1"/>
  <c r="AD229" i="53"/>
  <c r="AE179" i="55" s="1"/>
  <c r="CM23" i="57"/>
  <c r="CK158" i="55"/>
  <c r="CK9" i="57" s="1"/>
  <c r="CJ41" i="57"/>
  <c r="X181" i="55"/>
  <c r="X10" i="57" s="1"/>
  <c r="CL7" i="57"/>
  <c r="CL37" i="57"/>
  <c r="V8" i="57"/>
  <c r="V38" i="57"/>
  <c r="CL4" i="57"/>
  <c r="CL34" i="57"/>
  <c r="CL129" i="55"/>
  <c r="CL26" i="57"/>
  <c r="CL5" i="57"/>
  <c r="CL35" i="57"/>
  <c r="BA6" i="57"/>
  <c r="BA36" i="57"/>
  <c r="T28" i="57"/>
  <c r="T30" i="57" s="1"/>
  <c r="T18" i="57"/>
  <c r="T20" i="57" s="1"/>
  <c r="T149" i="59" s="1"/>
  <c r="T155" i="59" s="1"/>
  <c r="CL10" i="57"/>
  <c r="CL40" i="57"/>
  <c r="BA5" i="57"/>
  <c r="BA35" i="57"/>
  <c r="W8" i="57"/>
  <c r="W38" i="57"/>
  <c r="CM129" i="55"/>
  <c r="CM17" i="57" s="1"/>
  <c r="W7" i="57"/>
  <c r="W37" i="57"/>
  <c r="BA4" i="57"/>
  <c r="BA34" i="57"/>
  <c r="CK8" i="57"/>
  <c r="CK38" i="57"/>
  <c r="V5" i="57"/>
  <c r="V35" i="57"/>
  <c r="V152" i="55"/>
  <c r="V158" i="55" s="1"/>
  <c r="V27" i="57"/>
  <c r="V17" i="57"/>
  <c r="V4" i="57"/>
  <c r="V34" i="57"/>
  <c r="BA7" i="57"/>
  <c r="BA37" i="57"/>
  <c r="BA10" i="57"/>
  <c r="BA40" i="57"/>
  <c r="CM29" i="57"/>
  <c r="CK28" i="57"/>
  <c r="CK30" i="57" s="1"/>
  <c r="AF120" i="59"/>
  <c r="W6" i="57"/>
  <c r="W36" i="57"/>
  <c r="V6" i="57"/>
  <c r="V36" i="57"/>
  <c r="X29" i="57"/>
  <c r="X19" i="57"/>
  <c r="W4" i="57"/>
  <c r="W34" i="57"/>
  <c r="BA152" i="55"/>
  <c r="DM152" i="55" s="1"/>
  <c r="DM158" i="55" s="1"/>
  <c r="BA17" i="57"/>
  <c r="BA27" i="57"/>
  <c r="X23" i="57"/>
  <c r="CL6" i="57"/>
  <c r="CL36" i="57"/>
  <c r="BA8" i="57"/>
  <c r="X15" i="57"/>
  <c r="X25" i="57"/>
  <c r="V10" i="57"/>
  <c r="V40" i="57"/>
  <c r="AY9" i="57"/>
  <c r="AY39" i="57"/>
  <c r="W152" i="55"/>
  <c r="W27" i="57"/>
  <c r="W17" i="57"/>
  <c r="T158" i="55"/>
  <c r="Z121" i="59"/>
  <c r="X24" i="57"/>
  <c r="X14" i="57"/>
  <c r="V7" i="57"/>
  <c r="V37" i="57"/>
  <c r="CM25" i="57"/>
  <c r="BA158" i="55"/>
  <c r="X129" i="55"/>
  <c r="X26" i="57"/>
  <c r="X16" i="57"/>
  <c r="W5" i="57"/>
  <c r="W35" i="57"/>
  <c r="CL128" i="59"/>
  <c r="CL102" i="59"/>
  <c r="X128" i="59"/>
  <c r="CM94" i="59"/>
  <c r="CM122" i="59"/>
  <c r="BB97" i="59"/>
  <c r="BB124" i="59"/>
  <c r="CN98" i="59"/>
  <c r="CN125" i="59"/>
  <c r="CM95" i="59"/>
  <c r="CM123" i="59"/>
  <c r="CN99" i="59"/>
  <c r="CN126" i="59"/>
  <c r="BC94" i="59"/>
  <c r="BC122" i="59"/>
  <c r="BB100" i="59"/>
  <c r="BB127" i="59"/>
  <c r="BC95" i="59"/>
  <c r="BC123" i="59"/>
  <c r="BB99" i="59"/>
  <c r="BB126" i="59"/>
  <c r="CN100" i="59"/>
  <c r="CN127" i="59"/>
  <c r="Y95" i="59"/>
  <c r="Y123" i="59"/>
  <c r="BB98" i="59"/>
  <c r="BB125" i="59"/>
  <c r="CN97" i="59"/>
  <c r="CN124" i="59"/>
  <c r="Y94" i="59"/>
  <c r="Y122" i="59"/>
  <c r="Y10" i="58"/>
  <c r="CO92" i="59"/>
  <c r="Z93" i="59"/>
  <c r="AF92" i="59"/>
  <c r="BD93" i="59"/>
  <c r="X102" i="59"/>
  <c r="X58" i="59"/>
  <c r="BB56" i="59"/>
  <c r="CN57" i="59"/>
  <c r="CL58" i="59"/>
  <c r="BB55" i="59"/>
  <c r="CN54" i="59"/>
  <c r="CN55" i="59"/>
  <c r="CN56" i="59"/>
  <c r="BB54" i="59"/>
  <c r="BB57" i="59"/>
  <c r="BB25" i="59"/>
  <c r="BB148" i="59" s="1"/>
  <c r="CN19" i="55"/>
  <c r="CN174" i="55" s="1"/>
  <c r="CN25" i="59"/>
  <c r="CN148" i="59" s="1"/>
  <c r="BE58" i="58"/>
  <c r="BD58" i="58"/>
  <c r="AA59" i="58"/>
  <c r="Z58" i="58"/>
  <c r="Z5" i="58" s="1"/>
  <c r="X43" i="55"/>
  <c r="AC236" i="54"/>
  <c r="AC239" i="54" s="1"/>
  <c r="AC244" i="54" s="1"/>
  <c r="AC245" i="54" s="1"/>
  <c r="AC254" i="54" s="1"/>
  <c r="BJ75" i="51" s="1"/>
  <c r="Y105" i="55"/>
  <c r="Y128" i="55" s="1"/>
  <c r="Y82" i="55"/>
  <c r="Y174" i="55"/>
  <c r="X151" i="55"/>
  <c r="X135" i="55"/>
  <c r="Y83" i="55"/>
  <c r="Y106" i="55"/>
  <c r="Y175" i="55"/>
  <c r="AC200" i="53"/>
  <c r="AC205" i="53" s="1"/>
  <c r="CP179" i="55" s="1"/>
  <c r="CP172" i="55"/>
  <c r="BC106" i="55"/>
  <c r="DO106" i="55" s="1"/>
  <c r="BC83" i="55"/>
  <c r="DO83" i="55" s="1"/>
  <c r="BC175" i="55"/>
  <c r="DO175" i="55" s="1"/>
  <c r="X66" i="55"/>
  <c r="BC105" i="55"/>
  <c r="BC82" i="55"/>
  <c r="DO82" i="55" s="1"/>
  <c r="BC174" i="55"/>
  <c r="DO174" i="55" s="1"/>
  <c r="CL151" i="55"/>
  <c r="X112" i="55"/>
  <c r="CM89" i="55"/>
  <c r="Y59" i="55"/>
  <c r="Y36" i="55"/>
  <c r="Y60" i="55"/>
  <c r="Y37" i="55"/>
  <c r="BC60" i="55"/>
  <c r="DO60" i="55" s="1"/>
  <c r="BC59" i="55"/>
  <c r="DO59" i="55" s="1"/>
  <c r="BC37" i="55"/>
  <c r="DO37" i="55" s="1"/>
  <c r="BC36" i="55"/>
  <c r="DO36" i="55" s="1"/>
  <c r="CM43" i="55"/>
  <c r="CM66" i="55"/>
  <c r="Z262" i="54"/>
  <c r="BG78" i="51" s="1"/>
  <c r="BG77" i="51"/>
  <c r="AA252" i="53"/>
  <c r="AA256" i="53" s="1"/>
  <c r="AA262" i="53"/>
  <c r="AB78" i="51" s="1"/>
  <c r="AB77" i="51"/>
  <c r="AB237" i="53"/>
  <c r="AB238" i="53" s="1"/>
  <c r="AB240" i="53" s="1"/>
  <c r="AB261" i="53" s="1"/>
  <c r="CN7" i="55"/>
  <c r="CO11" i="55"/>
  <c r="CO15" i="55"/>
  <c r="CO29" i="59" s="1"/>
  <c r="CO152" i="59" s="1"/>
  <c r="CO14" i="55"/>
  <c r="CO28" i="59" s="1"/>
  <c r="CO151" i="59" s="1"/>
  <c r="CO13" i="55"/>
  <c r="CO27" i="59" s="1"/>
  <c r="CO150" i="59" s="1"/>
  <c r="CO16" i="55"/>
  <c r="CO30" i="59" s="1"/>
  <c r="CO12" i="55"/>
  <c r="CO26" i="59" s="1"/>
  <c r="CO53" i="59" s="1"/>
  <c r="BB20" i="55"/>
  <c r="BB19" i="55"/>
  <c r="BL9" i="55"/>
  <c r="BE16" i="55"/>
  <c r="BE30" i="59" s="1"/>
  <c r="BE12" i="55"/>
  <c r="BE26" i="59" s="1"/>
  <c r="BE53" i="59" s="1"/>
  <c r="BE15" i="55"/>
  <c r="BE29" i="59" s="1"/>
  <c r="BE14" i="55"/>
  <c r="BE28" i="59" s="1"/>
  <c r="BE13" i="55"/>
  <c r="BE27" i="59" s="1"/>
  <c r="BE11" i="55"/>
  <c r="Y256" i="54"/>
  <c r="BF74" i="51"/>
  <c r="BF76" i="51" s="1"/>
  <c r="BF10" i="55"/>
  <c r="BD16" i="55"/>
  <c r="BD30" i="59" s="1"/>
  <c r="BD14" i="55"/>
  <c r="BD28" i="59" s="1"/>
  <c r="BD151" i="59" s="1"/>
  <c r="BD11" i="55"/>
  <c r="BD13" i="55"/>
  <c r="BD27" i="59" s="1"/>
  <c r="BD150" i="59" s="1"/>
  <c r="BD12" i="55"/>
  <c r="BD26" i="59" s="1"/>
  <c r="BD53" i="59" s="1"/>
  <c r="BD15" i="55"/>
  <c r="BD29" i="59" s="1"/>
  <c r="BD152" i="59" s="1"/>
  <c r="BB6" i="55"/>
  <c r="AF207" i="53"/>
  <c r="AF211" i="53" s="1"/>
  <c r="AG4" i="55"/>
  <c r="Z13" i="55"/>
  <c r="Z27" i="59" s="1"/>
  <c r="Z150" i="59" s="1"/>
  <c r="Z15" i="55"/>
  <c r="Z29" i="59" s="1"/>
  <c r="Z152" i="59" s="1"/>
  <c r="Z14" i="55"/>
  <c r="Z28" i="59" s="1"/>
  <c r="Z151" i="59" s="1"/>
  <c r="Z11" i="55"/>
  <c r="Z16" i="55"/>
  <c r="Z30" i="59" s="1"/>
  <c r="Z12" i="55"/>
  <c r="Z26" i="59" s="1"/>
  <c r="Z53" i="59" s="1"/>
  <c r="AD236" i="53"/>
  <c r="AD237" i="53" s="1"/>
  <c r="AD238" i="53" s="1"/>
  <c r="Z256" i="53"/>
  <c r="AA74" i="51"/>
  <c r="AA76" i="51" s="1"/>
  <c r="AA10" i="55"/>
  <c r="AA23" i="59" s="1"/>
  <c r="AA146" i="59" s="1"/>
  <c r="BG74" i="51"/>
  <c r="AE207" i="54"/>
  <c r="AE211" i="54" s="1"/>
  <c r="BL4" i="55"/>
  <c r="BB7" i="55"/>
  <c r="CN6" i="55"/>
  <c r="AG51" i="51"/>
  <c r="AE81" i="54"/>
  <c r="AE165" i="54"/>
  <c r="AB199" i="54"/>
  <c r="AB200" i="54" s="1"/>
  <c r="AC166" i="54"/>
  <c r="CP9" i="55" s="1"/>
  <c r="CP22" i="59" s="1"/>
  <c r="CP145" i="59" s="1"/>
  <c r="AA204" i="54"/>
  <c r="AA206" i="54"/>
  <c r="AA201" i="54"/>
  <c r="AA202" i="54"/>
  <c r="AA205" i="54"/>
  <c r="AA203" i="54"/>
  <c r="AF162" i="53"/>
  <c r="AD214" i="54"/>
  <c r="AD215" i="54"/>
  <c r="AD212" i="54"/>
  <c r="AD213" i="54"/>
  <c r="AG80" i="53"/>
  <c r="AG74" i="53"/>
  <c r="AG75" i="53" s="1"/>
  <c r="AH57" i="51" s="1"/>
  <c r="EI19" i="59" s="1"/>
  <c r="AG78" i="53"/>
  <c r="AG72" i="53"/>
  <c r="AG73" i="53" s="1"/>
  <c r="AH49" i="51" s="1"/>
  <c r="BN49" i="51" s="1"/>
  <c r="EI16" i="59" s="1"/>
  <c r="AG47" i="53"/>
  <c r="AB236" i="54"/>
  <c r="AG67" i="51"/>
  <c r="AF79" i="53"/>
  <c r="AC236" i="53"/>
  <c r="AC239" i="53" s="1"/>
  <c r="AE215" i="53"/>
  <c r="AE214" i="53"/>
  <c r="AE212" i="53"/>
  <c r="AE213" i="53"/>
  <c r="BM57" i="51"/>
  <c r="BM58" i="51" s="1"/>
  <c r="BM72" i="51" s="1"/>
  <c r="AG58" i="51"/>
  <c r="AG72" i="51" s="1"/>
  <c r="BL67" i="51"/>
  <c r="BL70" i="51" s="1"/>
  <c r="AF70" i="51"/>
  <c r="AE232" i="53"/>
  <c r="AE233" i="53" s="1"/>
  <c r="AE209" i="53"/>
  <c r="AB244" i="53"/>
  <c r="AB245" i="53" s="1"/>
  <c r="AB254" i="53" s="1"/>
  <c r="AC75" i="51" s="1"/>
  <c r="AF81" i="53"/>
  <c r="AG61" i="51" s="1"/>
  <c r="AF165" i="53"/>
  <c r="AG9" i="55" s="1"/>
  <c r="AG22" i="59" s="1"/>
  <c r="AG145" i="59" s="1"/>
  <c r="BN48" i="51"/>
  <c r="AG36" i="54"/>
  <c r="AG42" i="54" s="1"/>
  <c r="AF78" i="54"/>
  <c r="AF79" i="54" s="1"/>
  <c r="AF72" i="54"/>
  <c r="AF73" i="54" s="1"/>
  <c r="AF74" i="54"/>
  <c r="AF75" i="54" s="1"/>
  <c r="AF80" i="54"/>
  <c r="AF47" i="54"/>
  <c r="AF162" i="54" s="1"/>
  <c r="AB221" i="53"/>
  <c r="AB220" i="53"/>
  <c r="AB224" i="53" s="1"/>
  <c r="BL61" i="51"/>
  <c r="AF71" i="51"/>
  <c r="AF73" i="51" s="1"/>
  <c r="AF64" i="51"/>
  <c r="AC219" i="54"/>
  <c r="AC218" i="54"/>
  <c r="AD232" i="54"/>
  <c r="AD233" i="54" s="1"/>
  <c r="AD209" i="54"/>
  <c r="DW172" i="55" s="1"/>
  <c r="Z254" i="54"/>
  <c r="BG10" i="55" s="1"/>
  <c r="AD218" i="53"/>
  <c r="AD219" i="53"/>
  <c r="AB219" i="54"/>
  <c r="AB218" i="54"/>
  <c r="AC218" i="53"/>
  <c r="AC219" i="53"/>
  <c r="AA244" i="54"/>
  <c r="AA245" i="54" s="1"/>
  <c r="AA254" i="54" s="1"/>
  <c r="BH75" i="51" s="1"/>
  <c r="AA261" i="54"/>
  <c r="AD199" i="53"/>
  <c r="AE166" i="53"/>
  <c r="AC203" i="53"/>
  <c r="CP177" i="55" s="1"/>
  <c r="AC201" i="53" l="1"/>
  <c r="AC206" i="53"/>
  <c r="CP180" i="55" s="1"/>
  <c r="AC202" i="53"/>
  <c r="CP176" i="55" s="1"/>
  <c r="AC204" i="53"/>
  <c r="CP178" i="55" s="1"/>
  <c r="CM26" i="57"/>
  <c r="CM112" i="55"/>
  <c r="CO24" i="59"/>
  <c r="CO147" i="59" s="1"/>
  <c r="BE151" i="59"/>
  <c r="DO66" i="55"/>
  <c r="CN51" i="59"/>
  <c r="CN147" i="59"/>
  <c r="BD101" i="59"/>
  <c r="BD153" i="59"/>
  <c r="X6" i="57"/>
  <c r="BE101" i="59"/>
  <c r="BE153" i="59"/>
  <c r="DN101" i="59"/>
  <c r="DN153" i="59"/>
  <c r="DO150" i="59"/>
  <c r="Z101" i="59"/>
  <c r="Z153" i="59"/>
  <c r="BB51" i="59"/>
  <c r="BB147" i="59"/>
  <c r="DO153" i="59"/>
  <c r="Z24" i="59"/>
  <c r="E28" i="61"/>
  <c r="H22" i="61" s="1"/>
  <c r="F39" i="63"/>
  <c r="G28" i="60"/>
  <c r="DO152" i="59"/>
  <c r="DO151" i="59"/>
  <c r="BE150" i="59"/>
  <c r="CO101" i="59"/>
  <c r="CO153" i="59"/>
  <c r="U149" i="59"/>
  <c r="U155" i="59" s="1"/>
  <c r="BE152" i="59"/>
  <c r="BC147" i="59"/>
  <c r="BC148" i="59"/>
  <c r="DO154" i="59"/>
  <c r="BC154" i="59"/>
  <c r="AC237" i="54"/>
  <c r="AC238" i="54" s="1"/>
  <c r="DN56" i="59"/>
  <c r="DN99" i="59"/>
  <c r="DN126" i="59"/>
  <c r="DQ50" i="59"/>
  <c r="DQ93" i="59"/>
  <c r="DQ121" i="59"/>
  <c r="DQ31" i="59"/>
  <c r="DO51" i="59"/>
  <c r="DO58" i="59" s="1"/>
  <c r="DO122" i="59"/>
  <c r="DO94" i="59"/>
  <c r="EI7" i="59"/>
  <c r="EN16" i="59"/>
  <c r="EJ16" i="59"/>
  <c r="EO16" i="59" s="1"/>
  <c r="CL135" i="55"/>
  <c r="CL8" i="57" s="1"/>
  <c r="CL17" i="57"/>
  <c r="CM24" i="57"/>
  <c r="DO52" i="59"/>
  <c r="DO96" i="59"/>
  <c r="DO123" i="59"/>
  <c r="DO95" i="59"/>
  <c r="AA11" i="58"/>
  <c r="AA6" i="58"/>
  <c r="EI10" i="59"/>
  <c r="EN19" i="59"/>
  <c r="EJ19" i="59"/>
  <c r="EO19" i="59" s="1"/>
  <c r="DN6" i="55"/>
  <c r="DN25" i="59"/>
  <c r="DN148" i="59" s="1"/>
  <c r="DN24" i="59"/>
  <c r="DN147" i="59" s="1"/>
  <c r="DP50" i="59"/>
  <c r="DP93" i="59"/>
  <c r="DP121" i="59"/>
  <c r="DP31" i="59"/>
  <c r="DP154" i="59" s="1"/>
  <c r="DN100" i="59"/>
  <c r="DN127" i="59"/>
  <c r="DN57" i="59"/>
  <c r="DN54" i="59"/>
  <c r="DN53" i="59"/>
  <c r="DN97" i="59"/>
  <c r="DN124" i="59"/>
  <c r="DN125" i="59"/>
  <c r="DN55" i="59"/>
  <c r="DN98" i="59"/>
  <c r="BE121" i="59"/>
  <c r="BE50" i="59"/>
  <c r="BE31" i="59"/>
  <c r="BE24" i="59"/>
  <c r="CP120" i="59"/>
  <c r="CP49" i="59"/>
  <c r="CP31" i="59"/>
  <c r="CP154" i="59" s="1"/>
  <c r="BD121" i="59"/>
  <c r="BD50" i="59"/>
  <c r="BD24" i="59"/>
  <c r="BD31" i="59"/>
  <c r="BD154" i="59" s="1"/>
  <c r="CN96" i="59"/>
  <c r="CN52" i="59"/>
  <c r="AA50" i="59"/>
  <c r="AA31" i="59"/>
  <c r="AA154" i="59" s="1"/>
  <c r="AG49" i="59"/>
  <c r="BB96" i="59"/>
  <c r="BB52" i="59"/>
  <c r="N40" i="63"/>
  <c r="N60" i="63" s="1"/>
  <c r="J60" i="63"/>
  <c r="DO43" i="55"/>
  <c r="DO34" i="57" s="1"/>
  <c r="CM40" i="57"/>
  <c r="BE93" i="59"/>
  <c r="DM39" i="57"/>
  <c r="DM9" i="57"/>
  <c r="BF23" i="59"/>
  <c r="BF146" i="59" s="1"/>
  <c r="DR10" i="55"/>
  <c r="DR23" i="59" s="1"/>
  <c r="DR146" i="59" s="1"/>
  <c r="BL22" i="59"/>
  <c r="BL145" i="59" s="1"/>
  <c r="DX9" i="55"/>
  <c r="DX22" i="59" s="1"/>
  <c r="DX145" i="59" s="1"/>
  <c r="DM38" i="57"/>
  <c r="DM8" i="57"/>
  <c r="DO29" i="57"/>
  <c r="DO19" i="57"/>
  <c r="DM27" i="57"/>
  <c r="DM17" i="57"/>
  <c r="DO25" i="57"/>
  <c r="DO15" i="57"/>
  <c r="DN19" i="55"/>
  <c r="DN20" i="55"/>
  <c r="DQ11" i="55"/>
  <c r="DQ15" i="55"/>
  <c r="DQ29" i="59" s="1"/>
  <c r="DQ14" i="55"/>
  <c r="DQ28" i="59" s="1"/>
  <c r="DQ13" i="55"/>
  <c r="DQ27" i="59" s="1"/>
  <c r="DQ12" i="55"/>
  <c r="DQ26" i="59" s="1"/>
  <c r="DQ16" i="55"/>
  <c r="DQ30" i="59" s="1"/>
  <c r="DO13" i="57"/>
  <c r="DO23" i="57"/>
  <c r="DO16" i="57"/>
  <c r="DO35" i="57"/>
  <c r="DO5" i="57"/>
  <c r="BC128" i="55"/>
  <c r="DO128" i="55" s="1"/>
  <c r="DO105" i="55"/>
  <c r="DO112" i="55" s="1"/>
  <c r="DO24" i="57"/>
  <c r="DO14" i="57"/>
  <c r="DO181" i="55"/>
  <c r="DN7" i="55"/>
  <c r="DP14" i="55"/>
  <c r="DP28" i="59" s="1"/>
  <c r="DP151" i="59" s="1"/>
  <c r="DP13" i="55"/>
  <c r="DP27" i="59" s="1"/>
  <c r="DP150" i="59" s="1"/>
  <c r="DP12" i="55"/>
  <c r="DP26" i="59" s="1"/>
  <c r="DP16" i="55"/>
  <c r="DP30" i="59" s="1"/>
  <c r="DP15" i="55"/>
  <c r="DP29" i="59" s="1"/>
  <c r="DP152" i="59" s="1"/>
  <c r="DP11" i="55"/>
  <c r="BG23" i="59"/>
  <c r="BG146" i="59" s="1"/>
  <c r="DS10" i="55"/>
  <c r="DS23" i="59" s="1"/>
  <c r="DO89" i="55"/>
  <c r="DM28" i="57"/>
  <c r="DM18" i="57"/>
  <c r="CK39" i="57"/>
  <c r="CK41" i="57" s="1"/>
  <c r="X40" i="57"/>
  <c r="AB10" i="55"/>
  <c r="AB23" i="59" s="1"/>
  <c r="AB146" i="59" s="1"/>
  <c r="AB74" i="51"/>
  <c r="AB76" i="51" s="1"/>
  <c r="CN36" i="55"/>
  <c r="CN37" i="55"/>
  <c r="CN83" i="55"/>
  <c r="CN82" i="55"/>
  <c r="CN105" i="55"/>
  <c r="CN128" i="55" s="1"/>
  <c r="CN60" i="55"/>
  <c r="CN14" i="57" s="1"/>
  <c r="CN59" i="55"/>
  <c r="CN175" i="55"/>
  <c r="CN19" i="57" s="1"/>
  <c r="Y32" i="59"/>
  <c r="V9" i="57"/>
  <c r="V39" i="57"/>
  <c r="CM5" i="57"/>
  <c r="CM35" i="57"/>
  <c r="X7" i="57"/>
  <c r="X37" i="57"/>
  <c r="Y29" i="57"/>
  <c r="Y19" i="57"/>
  <c r="X152" i="55"/>
  <c r="X27" i="57"/>
  <c r="X17" i="57"/>
  <c r="BC24" i="57"/>
  <c r="BC14" i="57"/>
  <c r="Y129" i="55"/>
  <c r="Y135" i="55" s="1"/>
  <c r="Y16" i="57"/>
  <c r="Y26" i="57"/>
  <c r="BA9" i="57"/>
  <c r="BA39" i="57"/>
  <c r="T9" i="57"/>
  <c r="T39" i="57"/>
  <c r="T41" i="57" s="1"/>
  <c r="Y23" i="57"/>
  <c r="Y13" i="57"/>
  <c r="X5" i="57"/>
  <c r="X35" i="57"/>
  <c r="Y25" i="57"/>
  <c r="Y15" i="57"/>
  <c r="CL152" i="55"/>
  <c r="CL27" i="57"/>
  <c r="CM4" i="57"/>
  <c r="CM34" i="57"/>
  <c r="Y24" i="57"/>
  <c r="Y14" i="57"/>
  <c r="BC29" i="57"/>
  <c r="BC19" i="57"/>
  <c r="X8" i="57"/>
  <c r="X38" i="57"/>
  <c r="X4" i="57"/>
  <c r="X34" i="57"/>
  <c r="Y128" i="59"/>
  <c r="V41" i="57"/>
  <c r="AA121" i="59"/>
  <c r="BC25" i="57"/>
  <c r="BC15" i="57"/>
  <c r="X158" i="55"/>
  <c r="W28" i="57"/>
  <c r="W30" i="57" s="1"/>
  <c r="W18" i="57"/>
  <c r="W20" i="57" s="1"/>
  <c r="W158" i="55"/>
  <c r="BC23" i="57"/>
  <c r="BC13" i="57"/>
  <c r="BC129" i="55"/>
  <c r="BC26" i="57"/>
  <c r="BC16" i="57"/>
  <c r="CM7" i="57"/>
  <c r="CM37" i="57"/>
  <c r="BA28" i="57"/>
  <c r="BA30" i="57" s="1"/>
  <c r="BA18" i="57"/>
  <c r="BA20" i="57" s="1"/>
  <c r="BA149" i="59" s="1"/>
  <c r="BA155" i="59" s="1"/>
  <c r="CM6" i="57"/>
  <c r="CM36" i="57"/>
  <c r="CN106" i="55"/>
  <c r="CN16" i="57" s="1"/>
  <c r="AG120" i="59"/>
  <c r="CN181" i="55"/>
  <c r="CN29" i="57"/>
  <c r="V18" i="57"/>
  <c r="V20" i="57" s="1"/>
  <c r="V149" i="59" s="1"/>
  <c r="V155" i="59" s="1"/>
  <c r="V28" i="57"/>
  <c r="V30" i="57" s="1"/>
  <c r="CM152" i="55"/>
  <c r="CM18" i="57" s="1"/>
  <c r="CM20" i="57" s="1"/>
  <c r="CM27" i="57"/>
  <c r="BD100" i="59"/>
  <c r="BD127" i="59"/>
  <c r="BD97" i="59"/>
  <c r="BD124" i="59"/>
  <c r="BE98" i="59"/>
  <c r="BE125" i="59"/>
  <c r="BE99" i="59"/>
  <c r="BE126" i="59"/>
  <c r="CN94" i="59"/>
  <c r="CN122" i="59"/>
  <c r="Z100" i="59"/>
  <c r="Z127" i="59"/>
  <c r="Z98" i="59"/>
  <c r="Z125" i="59"/>
  <c r="BD99" i="59"/>
  <c r="BD126" i="59"/>
  <c r="BE100" i="59"/>
  <c r="BE127" i="59"/>
  <c r="CO98" i="59"/>
  <c r="CO125" i="59"/>
  <c r="CN95" i="59"/>
  <c r="CN123" i="59"/>
  <c r="BD98" i="59"/>
  <c r="BD125" i="59"/>
  <c r="BE97" i="59"/>
  <c r="BE124" i="59"/>
  <c r="CO99" i="59"/>
  <c r="CO126" i="59"/>
  <c r="Z99" i="59"/>
  <c r="Z126" i="59"/>
  <c r="CO97" i="59"/>
  <c r="CO124" i="59"/>
  <c r="CO100" i="59"/>
  <c r="CO127" i="59"/>
  <c r="BB94" i="59"/>
  <c r="BB122" i="59"/>
  <c r="CM128" i="59"/>
  <c r="Z97" i="59"/>
  <c r="Z124" i="59"/>
  <c r="BB95" i="59"/>
  <c r="BB123" i="59"/>
  <c r="Z10" i="58"/>
  <c r="CP92" i="59"/>
  <c r="AA93" i="59"/>
  <c r="AG92" i="59"/>
  <c r="CM58" i="59"/>
  <c r="Y102" i="59"/>
  <c r="CM102" i="59"/>
  <c r="CO56" i="59"/>
  <c r="CO57" i="59"/>
  <c r="BD57" i="59"/>
  <c r="BD54" i="59"/>
  <c r="Y58" i="59"/>
  <c r="BE54" i="59"/>
  <c r="Z56" i="59"/>
  <c r="BD55" i="59"/>
  <c r="BE55" i="59"/>
  <c r="CO54" i="59"/>
  <c r="BC102" i="59"/>
  <c r="Z57" i="59"/>
  <c r="BE56" i="59"/>
  <c r="Z54" i="59"/>
  <c r="Z55" i="59"/>
  <c r="BD56" i="59"/>
  <c r="BE57" i="59"/>
  <c r="CO55" i="59"/>
  <c r="CO19" i="55"/>
  <c r="CO175" i="55" s="1"/>
  <c r="CO19" i="57" s="1"/>
  <c r="CO25" i="59"/>
  <c r="CO148" i="59" s="1"/>
  <c r="Z25" i="59"/>
  <c r="Z148" i="59" s="1"/>
  <c r="BE25" i="59"/>
  <c r="BE148" i="59" s="1"/>
  <c r="BD25" i="59"/>
  <c r="BD148" i="59" s="1"/>
  <c r="BG59" i="58"/>
  <c r="BF58" i="58"/>
  <c r="BC112" i="55"/>
  <c r="AB58" i="58"/>
  <c r="AB5" i="58" s="1"/>
  <c r="AB59" i="58"/>
  <c r="AA58" i="58"/>
  <c r="AA5" i="58" s="1"/>
  <c r="BC181" i="55"/>
  <c r="AF208" i="53"/>
  <c r="AE208" i="54"/>
  <c r="AC237" i="53"/>
  <c r="AC238" i="53" s="1"/>
  <c r="AD200" i="53"/>
  <c r="CQ172" i="55"/>
  <c r="CM151" i="55"/>
  <c r="CM135" i="55"/>
  <c r="AD210" i="54"/>
  <c r="BK172" i="55"/>
  <c r="Y181" i="55"/>
  <c r="BB105" i="55"/>
  <c r="BB82" i="55"/>
  <c r="DN82" i="55" s="1"/>
  <c r="BB174" i="55"/>
  <c r="DN174" i="55" s="1"/>
  <c r="BB106" i="55"/>
  <c r="DN106" i="55" s="1"/>
  <c r="BB83" i="55"/>
  <c r="DN83" i="55" s="1"/>
  <c r="BB175" i="55"/>
  <c r="DN175" i="55" s="1"/>
  <c r="Y151" i="55"/>
  <c r="AE210" i="53"/>
  <c r="AE226" i="53" s="1"/>
  <c r="AF176" i="55" s="1"/>
  <c r="AF172" i="55"/>
  <c r="Y89" i="55"/>
  <c r="BB59" i="55"/>
  <c r="DN59" i="55" s="1"/>
  <c r="BB60" i="55"/>
  <c r="DN60" i="55" s="1"/>
  <c r="Y112" i="55"/>
  <c r="BC89" i="55"/>
  <c r="BC66" i="55"/>
  <c r="BC43" i="55"/>
  <c r="BB36" i="55"/>
  <c r="DN36" i="55" s="1"/>
  <c r="Y66" i="55"/>
  <c r="Y43" i="55"/>
  <c r="BB37" i="55"/>
  <c r="DN37" i="55" s="1"/>
  <c r="AB262" i="53"/>
  <c r="AC78" i="51" s="1"/>
  <c r="AC77" i="51"/>
  <c r="CO6" i="55"/>
  <c r="AA262" i="54"/>
  <c r="BH78" i="51" s="1"/>
  <c r="BH77" i="51"/>
  <c r="BD6" i="55"/>
  <c r="BE6" i="55"/>
  <c r="BG11" i="55"/>
  <c r="BG16" i="55"/>
  <c r="BG30" i="59" s="1"/>
  <c r="BG15" i="55"/>
  <c r="BG29" i="59" s="1"/>
  <c r="BG14" i="55"/>
  <c r="BG28" i="59" s="1"/>
  <c r="BG13" i="55"/>
  <c r="BG27" i="59" s="1"/>
  <c r="BG12" i="55"/>
  <c r="BG26" i="59" s="1"/>
  <c r="BG53" i="59" s="1"/>
  <c r="BM9" i="55"/>
  <c r="BD7" i="55"/>
  <c r="AF207" i="54"/>
  <c r="AF211" i="54" s="1"/>
  <c r="BM4" i="55"/>
  <c r="Z7" i="55"/>
  <c r="BD19" i="55"/>
  <c r="BD20" i="55"/>
  <c r="BF14" i="55"/>
  <c r="BF28" i="59" s="1"/>
  <c r="BF151" i="59" s="1"/>
  <c r="BF15" i="55"/>
  <c r="BF29" i="59" s="1"/>
  <c r="BF152" i="59" s="1"/>
  <c r="BF12" i="55"/>
  <c r="BF26" i="59" s="1"/>
  <c r="BF53" i="59" s="1"/>
  <c r="BF11" i="55"/>
  <c r="BF13" i="55"/>
  <c r="BF27" i="59" s="1"/>
  <c r="BF150" i="59" s="1"/>
  <c r="BF16" i="55"/>
  <c r="BF30" i="59" s="1"/>
  <c r="CO7" i="55"/>
  <c r="AG207" i="53"/>
  <c r="AG208" i="53" s="1"/>
  <c r="AH4" i="55"/>
  <c r="AD240" i="53"/>
  <c r="AD239" i="53"/>
  <c r="AD244" i="53" s="1"/>
  <c r="CP12" i="55"/>
  <c r="CP26" i="59" s="1"/>
  <c r="CP53" i="59" s="1"/>
  <c r="CP14" i="55"/>
  <c r="CP28" i="59" s="1"/>
  <c r="CP151" i="59" s="1"/>
  <c r="CP13" i="55"/>
  <c r="CP27" i="59" s="1"/>
  <c r="CP150" i="59" s="1"/>
  <c r="CP16" i="55"/>
  <c r="CP30" i="59" s="1"/>
  <c r="CP11" i="55"/>
  <c r="CP15" i="55"/>
  <c r="CP29" i="59" s="1"/>
  <c r="CP152" i="59" s="1"/>
  <c r="AA16" i="55"/>
  <c r="AA30" i="59" s="1"/>
  <c r="AA15" i="55"/>
  <c r="AA29" i="59" s="1"/>
  <c r="AA152" i="59" s="1"/>
  <c r="AA14" i="55"/>
  <c r="AA28" i="59" s="1"/>
  <c r="AA151" i="59" s="1"/>
  <c r="AA12" i="55"/>
  <c r="AA26" i="59" s="1"/>
  <c r="AA53" i="59" s="1"/>
  <c r="AA11" i="55"/>
  <c r="AA13" i="55"/>
  <c r="AA27" i="59" s="1"/>
  <c r="AA150" i="59" s="1"/>
  <c r="AC240" i="53"/>
  <c r="AC261" i="53" s="1"/>
  <c r="AB16" i="55"/>
  <c r="AB30" i="59" s="1"/>
  <c r="AB13" i="55"/>
  <c r="AB27" i="59" s="1"/>
  <c r="AB150" i="59" s="1"/>
  <c r="AB14" i="55"/>
  <c r="AB28" i="59" s="1"/>
  <c r="AB12" i="55"/>
  <c r="AB26" i="59" s="1"/>
  <c r="AB53" i="59" s="1"/>
  <c r="AB15" i="55"/>
  <c r="AB29" i="59" s="1"/>
  <c r="AB152" i="59" s="1"/>
  <c r="AB11" i="55"/>
  <c r="BE20" i="55"/>
  <c r="BE19" i="55"/>
  <c r="Z256" i="54"/>
  <c r="BG75" i="51"/>
  <c r="BG76" i="51" s="1"/>
  <c r="Z6" i="55"/>
  <c r="Z19" i="55"/>
  <c r="Z20" i="55"/>
  <c r="BE7" i="55"/>
  <c r="BN51" i="51"/>
  <c r="AG72" i="54"/>
  <c r="AG73" i="54" s="1"/>
  <c r="AG74" i="54"/>
  <c r="AG75" i="54" s="1"/>
  <c r="AG47" i="54"/>
  <c r="AG80" i="54"/>
  <c r="AG78" i="54"/>
  <c r="AG79" i="54" s="1"/>
  <c r="AG162" i="53"/>
  <c r="AD221" i="53"/>
  <c r="AD220" i="53"/>
  <c r="AD224" i="53" s="1"/>
  <c r="AG211" i="53"/>
  <c r="AF214" i="53"/>
  <c r="AF213" i="53"/>
  <c r="AF212" i="53"/>
  <c r="AF215" i="53"/>
  <c r="AF232" i="53"/>
  <c r="AF233" i="53" s="1"/>
  <c r="AF209" i="53"/>
  <c r="AE216" i="53"/>
  <c r="AE217" i="53"/>
  <c r="AA252" i="54"/>
  <c r="AC220" i="54"/>
  <c r="AC224" i="54" s="1"/>
  <c r="AC221" i="54"/>
  <c r="BM61" i="51"/>
  <c r="AG71" i="51"/>
  <c r="AG73" i="51" s="1"/>
  <c r="AG64" i="51"/>
  <c r="AE222" i="53"/>
  <c r="AE234" i="53" s="1"/>
  <c r="AE235" i="53" s="1"/>
  <c r="AE223" i="53"/>
  <c r="AH67" i="51"/>
  <c r="AG79" i="53"/>
  <c r="AD222" i="54"/>
  <c r="AD234" i="54" s="1"/>
  <c r="AD235" i="54" s="1"/>
  <c r="AD223" i="54"/>
  <c r="AC199" i="54"/>
  <c r="AC200" i="54" s="1"/>
  <c r="AD166" i="54"/>
  <c r="CQ9" i="55" s="1"/>
  <c r="CQ22" i="59" s="1"/>
  <c r="CQ145" i="59" s="1"/>
  <c r="AF81" i="54"/>
  <c r="AF165" i="54"/>
  <c r="AC244" i="53"/>
  <c r="AC245" i="53" s="1"/>
  <c r="AC254" i="53" s="1"/>
  <c r="AD75" i="51" s="1"/>
  <c r="BN57" i="51"/>
  <c r="BN58" i="51" s="1"/>
  <c r="BN72" i="51" s="1"/>
  <c r="AH58" i="51"/>
  <c r="AH72" i="51" s="1"/>
  <c r="EE24" i="59" s="1"/>
  <c r="AD216" i="54"/>
  <c r="AD217" i="54"/>
  <c r="AC240" i="54"/>
  <c r="AC261" i="54" s="1"/>
  <c r="AB202" i="54"/>
  <c r="AB203" i="54"/>
  <c r="AB205" i="54"/>
  <c r="AB201" i="54"/>
  <c r="AB206" i="54"/>
  <c r="AB204" i="54"/>
  <c r="AB252" i="53"/>
  <c r="AG81" i="53"/>
  <c r="AH61" i="51" s="1"/>
  <c r="EI17" i="59" s="1"/>
  <c r="AG165" i="53"/>
  <c r="AH9" i="55" s="1"/>
  <c r="AH22" i="59" s="1"/>
  <c r="AD245" i="53"/>
  <c r="AD254" i="53" s="1"/>
  <c r="AE75" i="51" s="1"/>
  <c r="AB220" i="54"/>
  <c r="AB224" i="54" s="1"/>
  <c r="AB221" i="54"/>
  <c r="AD226" i="54"/>
  <c r="BK176" i="55" s="1"/>
  <c r="DW176" i="55" s="1"/>
  <c r="AD230" i="54"/>
  <c r="BK180" i="55" s="1"/>
  <c r="DW180" i="55" s="1"/>
  <c r="AD227" i="54"/>
  <c r="BK177" i="55" s="1"/>
  <c r="DW177" i="55" s="1"/>
  <c r="AD228" i="54"/>
  <c r="BK178" i="55" s="1"/>
  <c r="DW178" i="55" s="1"/>
  <c r="AD229" i="54"/>
  <c r="BK179" i="55" s="1"/>
  <c r="DW179" i="55" s="1"/>
  <c r="AD225" i="54"/>
  <c r="BM67" i="51"/>
  <c r="BM70" i="51" s="1"/>
  <c r="AG70" i="51"/>
  <c r="AE213" i="54"/>
  <c r="AE212" i="54"/>
  <c r="AE215" i="54"/>
  <c r="AE214" i="54"/>
  <c r="AE209" i="54"/>
  <c r="DX172" i="55" s="1"/>
  <c r="AE232" i="54"/>
  <c r="AE233" i="54" s="1"/>
  <c r="AC221" i="53"/>
  <c r="AC220" i="53"/>
  <c r="AC224" i="53" s="1"/>
  <c r="BL71" i="51"/>
  <c r="BL73" i="51" s="1"/>
  <c r="BL64" i="51"/>
  <c r="AH51" i="51"/>
  <c r="AB237" i="54"/>
  <c r="AB238" i="54" s="1"/>
  <c r="AB240" i="54" s="1"/>
  <c r="AB239" i="54"/>
  <c r="AC252" i="54"/>
  <c r="AF166" i="53"/>
  <c r="AE199" i="53"/>
  <c r="AD206" i="53"/>
  <c r="CQ180" i="55" s="1"/>
  <c r="AD201" i="53"/>
  <c r="AD204" i="53"/>
  <c r="CQ178" i="55" s="1"/>
  <c r="AD205" i="53"/>
  <c r="CQ179" i="55" s="1"/>
  <c r="AD202" i="53"/>
  <c r="CQ176" i="55" s="1"/>
  <c r="AD203" i="53"/>
  <c r="CQ177" i="55" s="1"/>
  <c r="CO51" i="59" l="1"/>
  <c r="DS146" i="59"/>
  <c r="CL38" i="57"/>
  <c r="AB151" i="59"/>
  <c r="DO128" i="59"/>
  <c r="CP24" i="59"/>
  <c r="BG150" i="59"/>
  <c r="DQ151" i="59"/>
  <c r="DO148" i="59"/>
  <c r="AE228" i="53"/>
  <c r="AF178" i="55" s="1"/>
  <c r="AA101" i="59"/>
  <c r="AA153" i="59"/>
  <c r="CN66" i="55"/>
  <c r="DO147" i="59"/>
  <c r="F59" i="63"/>
  <c r="J39" i="63"/>
  <c r="AE227" i="53"/>
  <c r="AF177" i="55" s="1"/>
  <c r="AB101" i="59"/>
  <c r="AB153" i="59"/>
  <c r="DQ101" i="59"/>
  <c r="DQ153" i="59"/>
  <c r="AE225" i="53"/>
  <c r="CP101" i="59"/>
  <c r="CP153" i="59"/>
  <c r="BG151" i="59"/>
  <c r="DQ150" i="59"/>
  <c r="BE51" i="59"/>
  <c r="BE147" i="59"/>
  <c r="AE229" i="53"/>
  <c r="AF179" i="55" s="1"/>
  <c r="BF101" i="59"/>
  <c r="BF153" i="59"/>
  <c r="BG152" i="59"/>
  <c r="AH49" i="59"/>
  <c r="AH145" i="59"/>
  <c r="DP101" i="59"/>
  <c r="DP153" i="59"/>
  <c r="Z51" i="59"/>
  <c r="Z147" i="59"/>
  <c r="AE230" i="53"/>
  <c r="AF180" i="55" s="1"/>
  <c r="BG101" i="59"/>
  <c r="BG153" i="59"/>
  <c r="DQ152" i="59"/>
  <c r="BD51" i="59"/>
  <c r="BD147" i="59"/>
  <c r="CP51" i="59"/>
  <c r="CP147" i="59"/>
  <c r="AE236" i="53"/>
  <c r="AE237" i="53" s="1"/>
  <c r="AE238" i="53" s="1"/>
  <c r="W149" i="59"/>
  <c r="W155" i="59" s="1"/>
  <c r="CN23" i="57"/>
  <c r="DN181" i="55"/>
  <c r="DN40" i="57" s="1"/>
  <c r="DO102" i="59"/>
  <c r="BE154" i="59"/>
  <c r="DQ154" i="59"/>
  <c r="DQ53" i="59"/>
  <c r="DQ124" i="59"/>
  <c r="DQ97" i="59"/>
  <c r="DQ54" i="59"/>
  <c r="DX49" i="59"/>
  <c r="DX92" i="59"/>
  <c r="DX120" i="59"/>
  <c r="DP127" i="59"/>
  <c r="DP57" i="59"/>
  <c r="DP100" i="59"/>
  <c r="AA24" i="59"/>
  <c r="CN89" i="55"/>
  <c r="CN6" i="57" s="1"/>
  <c r="CN15" i="57"/>
  <c r="DP54" i="59"/>
  <c r="DP124" i="59"/>
  <c r="DP53" i="59"/>
  <c r="DP97" i="59"/>
  <c r="DQ55" i="59"/>
  <c r="DQ125" i="59"/>
  <c r="DQ98" i="59"/>
  <c r="DO4" i="57"/>
  <c r="AB11" i="58"/>
  <c r="AB6" i="58"/>
  <c r="CN43" i="55"/>
  <c r="CN4" i="57" s="1"/>
  <c r="CN13" i="57"/>
  <c r="DP98" i="59"/>
  <c r="DP125" i="59"/>
  <c r="DP55" i="59"/>
  <c r="DQ99" i="59"/>
  <c r="DQ56" i="59"/>
  <c r="DQ126" i="59"/>
  <c r="DR50" i="59"/>
  <c r="DR93" i="59"/>
  <c r="DR121" i="59"/>
  <c r="DR31" i="59"/>
  <c r="DR154" i="59" s="1"/>
  <c r="DN51" i="59"/>
  <c r="DN58" i="59" s="1"/>
  <c r="DN122" i="59"/>
  <c r="DN94" i="59"/>
  <c r="CN112" i="55"/>
  <c r="CN7" i="57" s="1"/>
  <c r="DP56" i="59"/>
  <c r="DP126" i="59"/>
  <c r="DP99" i="59"/>
  <c r="DQ57" i="59"/>
  <c r="DQ127" i="59"/>
  <c r="DQ100" i="59"/>
  <c r="DN52" i="59"/>
  <c r="DN95" i="59"/>
  <c r="DN96" i="59"/>
  <c r="DN123" i="59"/>
  <c r="DS50" i="59"/>
  <c r="DS93" i="59"/>
  <c r="DS121" i="59"/>
  <c r="DS31" i="59"/>
  <c r="DQ25" i="59"/>
  <c r="DQ24" i="59"/>
  <c r="EI8" i="59"/>
  <c r="EN17" i="59"/>
  <c r="EJ17" i="59"/>
  <c r="EO17" i="59" s="1"/>
  <c r="CL28" i="57"/>
  <c r="CL18" i="57"/>
  <c r="CL20" i="57" s="1"/>
  <c r="CL149" i="59" s="1"/>
  <c r="CL155" i="59" s="1"/>
  <c r="EN10" i="59"/>
  <c r="EJ10" i="59"/>
  <c r="EO10" i="59" s="1"/>
  <c r="BG11" i="58"/>
  <c r="BG6" i="58"/>
  <c r="DP25" i="59"/>
  <c r="DP148" i="59" s="1"/>
  <c r="DP24" i="59"/>
  <c r="DP147" i="59" s="1"/>
  <c r="EN7" i="59"/>
  <c r="EJ7" i="59"/>
  <c r="EO7" i="59" s="1"/>
  <c r="BF93" i="59"/>
  <c r="BF50" i="59"/>
  <c r="BF31" i="59"/>
  <c r="BF154" i="59" s="1"/>
  <c r="BF24" i="59"/>
  <c r="CQ120" i="59"/>
  <c r="CQ49" i="59"/>
  <c r="CQ31" i="59"/>
  <c r="CQ154" i="59" s="1"/>
  <c r="BG50" i="59"/>
  <c r="BG31" i="59"/>
  <c r="BG24" i="59"/>
  <c r="BD96" i="59"/>
  <c r="BD52" i="59"/>
  <c r="AB50" i="59"/>
  <c r="AB31" i="59"/>
  <c r="AB154" i="59" s="1"/>
  <c r="AB24" i="59"/>
  <c r="BE96" i="59"/>
  <c r="BE52" i="59"/>
  <c r="AB121" i="59"/>
  <c r="Z96" i="59"/>
  <c r="Z52" i="59"/>
  <c r="CO96" i="59"/>
  <c r="CO52" i="59"/>
  <c r="BL120" i="59"/>
  <c r="BL49" i="59"/>
  <c r="BL92" i="59"/>
  <c r="DQ6" i="55"/>
  <c r="DP7" i="55"/>
  <c r="DQ7" i="55"/>
  <c r="BG121" i="59"/>
  <c r="DO26" i="57"/>
  <c r="BG93" i="59"/>
  <c r="BF121" i="59"/>
  <c r="AB93" i="59"/>
  <c r="DO36" i="57"/>
  <c r="DO6" i="57"/>
  <c r="DN19" i="57"/>
  <c r="DN29" i="57"/>
  <c r="BC135" i="55"/>
  <c r="DO129" i="55"/>
  <c r="DS13" i="55"/>
  <c r="DS27" i="59" s="1"/>
  <c r="DS14" i="55"/>
  <c r="DS28" i="59" s="1"/>
  <c r="DS11" i="55"/>
  <c r="DS16" i="55"/>
  <c r="DS30" i="59" s="1"/>
  <c r="DS15" i="55"/>
  <c r="DS29" i="59" s="1"/>
  <c r="DS12" i="55"/>
  <c r="DS26" i="59" s="1"/>
  <c r="DS6" i="55"/>
  <c r="DN66" i="55"/>
  <c r="DN16" i="57"/>
  <c r="DP19" i="55"/>
  <c r="DP20" i="55"/>
  <c r="DO40" i="57"/>
  <c r="DO10" i="57"/>
  <c r="DM20" i="57"/>
  <c r="DM149" i="59" s="1"/>
  <c r="DM155" i="59" s="1"/>
  <c r="DR15" i="55"/>
  <c r="DR29" i="59" s="1"/>
  <c r="DR152" i="59" s="1"/>
  <c r="DR14" i="55"/>
  <c r="DR28" i="59" s="1"/>
  <c r="DR151" i="59" s="1"/>
  <c r="DR13" i="55"/>
  <c r="DR27" i="59" s="1"/>
  <c r="DR150" i="59" s="1"/>
  <c r="DR12" i="55"/>
  <c r="DR26" i="59" s="1"/>
  <c r="DR11" i="55"/>
  <c r="DR16" i="55"/>
  <c r="DR30" i="59" s="1"/>
  <c r="DN15" i="57"/>
  <c r="DN25" i="57"/>
  <c r="BM22" i="59"/>
  <c r="BM145" i="59" s="1"/>
  <c r="DY9" i="55"/>
  <c r="DY22" i="59" s="1"/>
  <c r="DY145" i="59" s="1"/>
  <c r="DN10" i="57"/>
  <c r="DP6" i="55"/>
  <c r="DQ19" i="55"/>
  <c r="DQ20" i="55"/>
  <c r="DM30" i="57"/>
  <c r="DN23" i="57"/>
  <c r="DN13" i="57"/>
  <c r="DN43" i="55"/>
  <c r="BC151" i="55"/>
  <c r="DO151" i="55" s="1"/>
  <c r="DN89" i="55"/>
  <c r="DN24" i="57"/>
  <c r="DN14" i="57"/>
  <c r="BB128" i="55"/>
  <c r="DN128" i="55" s="1"/>
  <c r="DN105" i="55"/>
  <c r="DN112" i="55" s="1"/>
  <c r="DO37" i="57"/>
  <c r="DO7" i="57"/>
  <c r="CM158" i="55"/>
  <c r="CM39" i="57" s="1"/>
  <c r="CN25" i="57"/>
  <c r="AD236" i="54"/>
  <c r="AD239" i="54" s="1"/>
  <c r="CN24" i="57"/>
  <c r="CO174" i="55"/>
  <c r="CO181" i="55" s="1"/>
  <c r="CO10" i="57" s="1"/>
  <c r="CO37" i="55"/>
  <c r="CO13" i="57" s="1"/>
  <c r="CO59" i="55"/>
  <c r="CO83" i="55"/>
  <c r="CO15" i="57" s="1"/>
  <c r="CO82" i="55"/>
  <c r="CO36" i="55"/>
  <c r="CO106" i="55"/>
  <c r="CO16" i="57" s="1"/>
  <c r="CO60" i="55"/>
  <c r="CO14" i="57" s="1"/>
  <c r="CO105" i="55"/>
  <c r="CO128" i="55" s="1"/>
  <c r="CL158" i="55"/>
  <c r="CL9" i="57" s="1"/>
  <c r="Z32" i="59"/>
  <c r="CL30" i="57"/>
  <c r="BB102" i="59"/>
  <c r="BC4" i="57"/>
  <c r="BC34" i="57"/>
  <c r="BC10" i="57"/>
  <c r="BC40" i="57"/>
  <c r="CN129" i="55"/>
  <c r="CN17" i="57" s="1"/>
  <c r="CN26" i="57"/>
  <c r="BC5" i="57"/>
  <c r="BC35" i="57"/>
  <c r="BB29" i="57"/>
  <c r="BB19" i="57"/>
  <c r="W9" i="57"/>
  <c r="W39" i="57"/>
  <c r="W41" i="57" s="1"/>
  <c r="CN34" i="57"/>
  <c r="Y6" i="57"/>
  <c r="Y36" i="57"/>
  <c r="BB25" i="57"/>
  <c r="BB15" i="57"/>
  <c r="CN5" i="57"/>
  <c r="CN35" i="57"/>
  <c r="BC6" i="57"/>
  <c r="BC36" i="57"/>
  <c r="BC8" i="57"/>
  <c r="BC38" i="57"/>
  <c r="BB129" i="55"/>
  <c r="DN129" i="55" s="1"/>
  <c r="BB26" i="57"/>
  <c r="BB16" i="57"/>
  <c r="CN10" i="57"/>
  <c r="CN40" i="57"/>
  <c r="BB23" i="57"/>
  <c r="BB13" i="57"/>
  <c r="Y7" i="57"/>
  <c r="Y37" i="57"/>
  <c r="BC7" i="57"/>
  <c r="BC37" i="57"/>
  <c r="X9" i="57"/>
  <c r="X39" i="57"/>
  <c r="X41" i="57" s="1"/>
  <c r="BN9" i="55"/>
  <c r="Y4" i="57"/>
  <c r="Y34" i="57"/>
  <c r="Y5" i="57"/>
  <c r="Y35" i="57"/>
  <c r="BB24" i="57"/>
  <c r="BB14" i="57"/>
  <c r="CM8" i="57"/>
  <c r="CM38" i="57"/>
  <c r="CM28" i="57"/>
  <c r="CM30" i="57" s="1"/>
  <c r="BC152" i="55"/>
  <c r="BC17" i="57"/>
  <c r="BC27" i="57"/>
  <c r="Y8" i="57"/>
  <c r="Y38" i="57"/>
  <c r="Y10" i="57"/>
  <c r="Y40" i="57"/>
  <c r="Y152" i="55"/>
  <c r="Y158" i="55" s="1"/>
  <c r="Y27" i="57"/>
  <c r="Y17" i="57"/>
  <c r="X18" i="57"/>
  <c r="X20" i="57" s="1"/>
  <c r="X149" i="59" s="1"/>
  <c r="X155" i="59" s="1"/>
  <c r="X28" i="57"/>
  <c r="X30" i="57" s="1"/>
  <c r="CN128" i="59"/>
  <c r="BF97" i="59"/>
  <c r="BF124" i="59"/>
  <c r="BE94" i="59"/>
  <c r="BE122" i="59"/>
  <c r="BG97" i="59"/>
  <c r="BG124" i="59"/>
  <c r="BE95" i="59"/>
  <c r="BE123" i="59"/>
  <c r="BG98" i="59"/>
  <c r="BG125" i="59"/>
  <c r="BG99" i="59"/>
  <c r="BG126" i="59"/>
  <c r="Z95" i="59"/>
  <c r="Z123" i="59"/>
  <c r="AA100" i="59"/>
  <c r="AA127" i="59"/>
  <c r="AB98" i="59"/>
  <c r="AB125" i="59"/>
  <c r="BF100" i="59"/>
  <c r="BF127" i="59"/>
  <c r="CP100" i="59"/>
  <c r="CP127" i="59"/>
  <c r="Z94" i="59"/>
  <c r="Z122" i="59"/>
  <c r="CP98" i="59"/>
  <c r="CP125" i="59"/>
  <c r="BG100" i="59"/>
  <c r="BG127" i="59"/>
  <c r="BD94" i="59"/>
  <c r="BD122" i="59"/>
  <c r="AB99" i="59"/>
  <c r="AB126" i="59"/>
  <c r="BF99" i="59"/>
  <c r="BF126" i="59"/>
  <c r="AA98" i="59"/>
  <c r="AA125" i="59"/>
  <c r="AB100" i="59"/>
  <c r="AB127" i="59"/>
  <c r="AA97" i="59"/>
  <c r="AA124" i="59"/>
  <c r="CP99" i="59"/>
  <c r="CP126" i="59"/>
  <c r="BF98" i="59"/>
  <c r="BF125" i="59"/>
  <c r="BD95" i="59"/>
  <c r="BD123" i="59"/>
  <c r="CO95" i="59"/>
  <c r="CO123" i="59"/>
  <c r="AB97" i="59"/>
  <c r="AB124" i="59"/>
  <c r="AA99" i="59"/>
  <c r="AA126" i="59"/>
  <c r="CP97" i="59"/>
  <c r="CP124" i="59"/>
  <c r="CO94" i="59"/>
  <c r="CO122" i="59"/>
  <c r="CO128" i="59" s="1"/>
  <c r="AA10" i="58"/>
  <c r="AB10" i="58"/>
  <c r="CQ92" i="59"/>
  <c r="AB54" i="59"/>
  <c r="AB56" i="59"/>
  <c r="AB55" i="59"/>
  <c r="BF57" i="59"/>
  <c r="CP57" i="59"/>
  <c r="BF56" i="59"/>
  <c r="BG54" i="59"/>
  <c r="AA57" i="59"/>
  <c r="BG55" i="59"/>
  <c r="AA56" i="59"/>
  <c r="BF54" i="59"/>
  <c r="AA55" i="59"/>
  <c r="BG56" i="59"/>
  <c r="CN102" i="59"/>
  <c r="CP54" i="59"/>
  <c r="CP55" i="59"/>
  <c r="BG57" i="59"/>
  <c r="AB57" i="59"/>
  <c r="AA54" i="59"/>
  <c r="CP56" i="59"/>
  <c r="BF55" i="59"/>
  <c r="CN58" i="59"/>
  <c r="CP19" i="55"/>
  <c r="CP175" i="55" s="1"/>
  <c r="CP19" i="57" s="1"/>
  <c r="CP25" i="59"/>
  <c r="CP148" i="59" s="1"/>
  <c r="AB25" i="59"/>
  <c r="AB148" i="59" s="1"/>
  <c r="AA25" i="59"/>
  <c r="AA148" i="59" s="1"/>
  <c r="BF25" i="59"/>
  <c r="BF148" i="59" s="1"/>
  <c r="BG25" i="59"/>
  <c r="BG148" i="59" s="1"/>
  <c r="BH59" i="58"/>
  <c r="AC59" i="58"/>
  <c r="BG58" i="58"/>
  <c r="Z105" i="55"/>
  <c r="Z128" i="55" s="1"/>
  <c r="Z82" i="55"/>
  <c r="Z174" i="55"/>
  <c r="BE105" i="55"/>
  <c r="BE82" i="55"/>
  <c r="DQ82" i="55" s="1"/>
  <c r="BE174" i="55"/>
  <c r="DQ174" i="55" s="1"/>
  <c r="CP105" i="55"/>
  <c r="BD106" i="55"/>
  <c r="DP106" i="55" s="1"/>
  <c r="BD83" i="55"/>
  <c r="DP83" i="55" s="1"/>
  <c r="BD175" i="55"/>
  <c r="DP175" i="55" s="1"/>
  <c r="BB181" i="55"/>
  <c r="AF210" i="53"/>
  <c r="AG172" i="55"/>
  <c r="BE106" i="55"/>
  <c r="DQ106" i="55" s="1"/>
  <c r="BE83" i="55"/>
  <c r="DQ83" i="55" s="1"/>
  <c r="BE175" i="55"/>
  <c r="DQ175" i="55" s="1"/>
  <c r="BD105" i="55"/>
  <c r="BD82" i="55"/>
  <c r="DP82" i="55" s="1"/>
  <c r="BD174" i="55"/>
  <c r="DP174" i="55" s="1"/>
  <c r="AF208" i="54"/>
  <c r="AE210" i="54"/>
  <c r="AE226" i="54" s="1"/>
  <c r="BL176" i="55" s="1"/>
  <c r="DX176" i="55" s="1"/>
  <c r="BL172" i="55"/>
  <c r="AE200" i="53"/>
  <c r="AE206" i="53" s="1"/>
  <c r="CR180" i="55" s="1"/>
  <c r="CR172" i="55"/>
  <c r="Z83" i="55"/>
  <c r="Z106" i="55"/>
  <c r="Z175" i="55"/>
  <c r="CN151" i="55"/>
  <c r="CN135" i="55"/>
  <c r="BB43" i="55"/>
  <c r="BB66" i="55"/>
  <c r="Z60" i="55"/>
  <c r="Z37" i="55"/>
  <c r="Z36" i="55"/>
  <c r="Z59" i="55"/>
  <c r="BE59" i="55"/>
  <c r="DQ59" i="55" s="1"/>
  <c r="BD60" i="55"/>
  <c r="DP60" i="55" s="1"/>
  <c r="BB89" i="55"/>
  <c r="BE60" i="55"/>
  <c r="DQ60" i="55" s="1"/>
  <c r="BD59" i="55"/>
  <c r="DP59" i="55" s="1"/>
  <c r="BB112" i="55"/>
  <c r="BE36" i="55"/>
  <c r="DQ36" i="55" s="1"/>
  <c r="BD37" i="55"/>
  <c r="DP37" i="55" s="1"/>
  <c r="BE37" i="55"/>
  <c r="DQ37" i="55" s="1"/>
  <c r="BD36" i="55"/>
  <c r="DP36" i="55" s="1"/>
  <c r="BG7" i="55"/>
  <c r="AC262" i="54"/>
  <c r="BJ78" i="51" s="1"/>
  <c r="BJ77" i="51"/>
  <c r="AC262" i="53"/>
  <c r="AD78" i="51" s="1"/>
  <c r="AD77" i="51"/>
  <c r="AB261" i="54"/>
  <c r="AA6" i="55"/>
  <c r="AA7" i="55"/>
  <c r="CP6" i="55"/>
  <c r="CQ14" i="55"/>
  <c r="CQ28" i="59" s="1"/>
  <c r="CQ151" i="59" s="1"/>
  <c r="CQ12" i="55"/>
  <c r="CQ26" i="59" s="1"/>
  <c r="CQ53" i="59" s="1"/>
  <c r="CQ16" i="55"/>
  <c r="CQ30" i="59" s="1"/>
  <c r="CQ11" i="55"/>
  <c r="CQ15" i="55"/>
  <c r="CQ29" i="59" s="1"/>
  <c r="CQ152" i="59" s="1"/>
  <c r="CQ13" i="55"/>
  <c r="CQ27" i="59" s="1"/>
  <c r="CQ150" i="59" s="1"/>
  <c r="AG207" i="54"/>
  <c r="AG211" i="54" s="1"/>
  <c r="BN4" i="55"/>
  <c r="BF6" i="55"/>
  <c r="BF19" i="55"/>
  <c r="BF20" i="55"/>
  <c r="AB256" i="53"/>
  <c r="AC74" i="51"/>
  <c r="AC76" i="51" s="1"/>
  <c r="AC10" i="55"/>
  <c r="AC23" i="59" s="1"/>
  <c r="AC146" i="59" s="1"/>
  <c r="AD261" i="53"/>
  <c r="AB19" i="55"/>
  <c r="AB20" i="55"/>
  <c r="AA20" i="55"/>
  <c r="AA19" i="55"/>
  <c r="AB6" i="55"/>
  <c r="AC256" i="54"/>
  <c r="BJ74" i="51"/>
  <c r="BJ76" i="51" s="1"/>
  <c r="BJ10" i="55"/>
  <c r="AG162" i="54"/>
  <c r="CP7" i="55"/>
  <c r="AA256" i="54"/>
  <c r="BH74" i="51"/>
  <c r="BH76" i="51" s="1"/>
  <c r="BH10" i="55"/>
  <c r="AB7" i="55"/>
  <c r="BF7" i="55"/>
  <c r="BG6" i="55"/>
  <c r="BG20" i="55"/>
  <c r="BG19" i="55"/>
  <c r="AD252" i="53"/>
  <c r="AF214" i="54"/>
  <c r="AF215" i="54"/>
  <c r="AF212" i="54"/>
  <c r="AF213" i="54"/>
  <c r="AF222" i="53"/>
  <c r="AF234" i="53" s="1"/>
  <c r="AF235" i="53" s="1"/>
  <c r="AF223" i="53"/>
  <c r="AE239" i="53"/>
  <c r="AC252" i="53"/>
  <c r="BN67" i="51"/>
  <c r="BN70" i="51" s="1"/>
  <c r="AH70" i="51"/>
  <c r="AJ165" i="53"/>
  <c r="AG232" i="53"/>
  <c r="AG233" i="53" s="1"/>
  <c r="AG209" i="53"/>
  <c r="AI165" i="53"/>
  <c r="AF232" i="54"/>
  <c r="AF233" i="54" s="1"/>
  <c r="AF209" i="54"/>
  <c r="DY172" i="55" s="1"/>
  <c r="AE227" i="54"/>
  <c r="BL177" i="55" s="1"/>
  <c r="DX177" i="55" s="1"/>
  <c r="BN61" i="51"/>
  <c r="AH71" i="51"/>
  <c r="AH64" i="51"/>
  <c r="AF217" i="53"/>
  <c r="AF216" i="53"/>
  <c r="AG81" i="54"/>
  <c r="AG165" i="54"/>
  <c r="D61" i="60" s="1"/>
  <c r="AE216" i="54"/>
  <c r="AE217" i="54"/>
  <c r="AD219" i="54"/>
  <c r="AD218" i="54"/>
  <c r="AD199" i="54"/>
  <c r="AD200" i="54" s="1"/>
  <c r="AE166" i="54"/>
  <c r="CR9" i="55" s="1"/>
  <c r="CR22" i="59" s="1"/>
  <c r="CR145" i="59" s="1"/>
  <c r="AE218" i="53"/>
  <c r="AE219" i="53"/>
  <c r="AE240" i="53" s="1"/>
  <c r="AD244" i="54"/>
  <c r="AD245" i="54" s="1"/>
  <c r="AD252" i="54" s="1"/>
  <c r="AE222" i="54"/>
  <c r="AE234" i="54" s="1"/>
  <c r="AE235" i="54" s="1"/>
  <c r="AE223" i="54"/>
  <c r="AC201" i="54"/>
  <c r="AC205" i="54"/>
  <c r="AC203" i="54"/>
  <c r="AC206" i="54"/>
  <c r="AC204" i="54"/>
  <c r="AC202" i="54"/>
  <c r="AG215" i="53"/>
  <c r="AG212" i="53"/>
  <c r="AG214" i="53"/>
  <c r="AG213" i="53"/>
  <c r="AB244" i="54"/>
  <c r="AB245" i="54" s="1"/>
  <c r="AB254" i="54" s="1"/>
  <c r="BI75" i="51" s="1"/>
  <c r="AD237" i="54"/>
  <c r="AD238" i="54" s="1"/>
  <c r="BM71" i="51"/>
  <c r="BM73" i="51" s="1"/>
  <c r="BM64" i="51"/>
  <c r="AF228" i="53"/>
  <c r="AG178" i="55" s="1"/>
  <c r="AF225" i="53"/>
  <c r="AF227" i="53"/>
  <c r="AG177" i="55" s="1"/>
  <c r="AF229" i="53"/>
  <c r="AG179" i="55" s="1"/>
  <c r="AF230" i="53"/>
  <c r="AG180" i="55" s="1"/>
  <c r="AF226" i="53"/>
  <c r="AG176" i="55" s="1"/>
  <c r="AF199" i="53"/>
  <c r="AG166" i="53"/>
  <c r="AG199" i="53" s="1"/>
  <c r="DS154" i="59" l="1"/>
  <c r="CM9" i="57"/>
  <c r="DQ147" i="59"/>
  <c r="DQ148" i="59"/>
  <c r="DS150" i="59"/>
  <c r="CP174" i="55"/>
  <c r="CP181" i="55" s="1"/>
  <c r="CN36" i="57"/>
  <c r="BG51" i="59"/>
  <c r="BG147" i="59"/>
  <c r="DS151" i="59"/>
  <c r="AB51" i="59"/>
  <c r="AB147" i="59"/>
  <c r="AA51" i="59"/>
  <c r="AA147" i="59"/>
  <c r="CM149" i="59"/>
  <c r="CM155" i="59" s="1"/>
  <c r="CQ24" i="59"/>
  <c r="DS152" i="59"/>
  <c r="BF51" i="59"/>
  <c r="BF147" i="59"/>
  <c r="CQ101" i="59"/>
  <c r="CQ153" i="59"/>
  <c r="DR101" i="59"/>
  <c r="DR153" i="59"/>
  <c r="DS101" i="59"/>
  <c r="DS153" i="59"/>
  <c r="J59" i="63"/>
  <c r="N39" i="63"/>
  <c r="N59" i="63" s="1"/>
  <c r="BG154" i="59"/>
  <c r="DR125" i="59"/>
  <c r="DR98" i="59"/>
  <c r="DR55" i="59"/>
  <c r="DY49" i="59"/>
  <c r="DY92" i="59"/>
  <c r="DY120" i="59"/>
  <c r="DQ51" i="59"/>
  <c r="DQ122" i="59"/>
  <c r="DQ94" i="59"/>
  <c r="DP43" i="55"/>
  <c r="BH11" i="58"/>
  <c r="BH6" i="58"/>
  <c r="DR25" i="59"/>
  <c r="DR148" i="59" s="1"/>
  <c r="DR24" i="59"/>
  <c r="DR147" i="59" s="1"/>
  <c r="DS25" i="59"/>
  <c r="DS24" i="59"/>
  <c r="DR53" i="59"/>
  <c r="DR97" i="59"/>
  <c r="DR54" i="59"/>
  <c r="DR124" i="59"/>
  <c r="DS126" i="59"/>
  <c r="DS99" i="59"/>
  <c r="DS56" i="59"/>
  <c r="EN8" i="59"/>
  <c r="EJ8" i="59"/>
  <c r="EO8" i="59" s="1"/>
  <c r="DR56" i="59"/>
  <c r="DR126" i="59"/>
  <c r="DR99" i="59"/>
  <c r="CN37" i="57"/>
  <c r="DR100" i="59"/>
  <c r="DR127" i="59"/>
  <c r="DR57" i="59"/>
  <c r="DQ52" i="59"/>
  <c r="DQ95" i="59"/>
  <c r="DQ123" i="59"/>
  <c r="DQ96" i="59"/>
  <c r="EE25" i="59"/>
  <c r="DS53" i="59"/>
  <c r="DS97" i="59"/>
  <c r="DS54" i="59"/>
  <c r="DS124" i="59"/>
  <c r="DN102" i="59"/>
  <c r="DS55" i="59"/>
  <c r="DS125" i="59"/>
  <c r="DS98" i="59"/>
  <c r="DS57" i="59"/>
  <c r="DS127" i="59"/>
  <c r="DS100" i="59"/>
  <c r="DP51" i="59"/>
  <c r="DP122" i="59"/>
  <c r="DP94" i="59"/>
  <c r="DN128" i="59"/>
  <c r="AC11" i="58"/>
  <c r="AC6" i="58"/>
  <c r="DP52" i="59"/>
  <c r="DP96" i="59"/>
  <c r="DP123" i="59"/>
  <c r="DP95" i="59"/>
  <c r="CR120" i="59"/>
  <c r="CR49" i="59"/>
  <c r="CR31" i="59"/>
  <c r="CR154" i="59" s="1"/>
  <c r="CP96" i="59"/>
  <c r="CP52" i="59"/>
  <c r="AC50" i="59"/>
  <c r="AC31" i="59"/>
  <c r="AC154" i="59" s="1"/>
  <c r="BG96" i="59"/>
  <c r="BG52" i="59"/>
  <c r="CO102" i="59"/>
  <c r="BF96" i="59"/>
  <c r="BF52" i="59"/>
  <c r="AA96" i="59"/>
  <c r="AA52" i="59"/>
  <c r="AB96" i="59"/>
  <c r="AB52" i="59"/>
  <c r="BM120" i="59"/>
  <c r="BM49" i="59"/>
  <c r="I40" i="60"/>
  <c r="DN135" i="55"/>
  <c r="DN38" i="57" s="1"/>
  <c r="DQ181" i="55"/>
  <c r="DQ40" i="57" s="1"/>
  <c r="BM92" i="59"/>
  <c r="BD128" i="55"/>
  <c r="DP128" i="55" s="1"/>
  <c r="DP105" i="55"/>
  <c r="DP112" i="55" s="1"/>
  <c r="DO17" i="57"/>
  <c r="DO27" i="57"/>
  <c r="DQ29" i="57"/>
  <c r="DQ19" i="57"/>
  <c r="DP16" i="57"/>
  <c r="DN35" i="57"/>
  <c r="DN5" i="57"/>
  <c r="BJ23" i="59"/>
  <c r="DV10" i="55"/>
  <c r="DV23" i="59" s="1"/>
  <c r="DP34" i="57"/>
  <c r="DP4" i="57"/>
  <c r="DP24" i="57"/>
  <c r="DP14" i="57"/>
  <c r="DQ25" i="57"/>
  <c r="DQ15" i="57"/>
  <c r="DN27" i="57"/>
  <c r="DN17" i="57"/>
  <c r="DQ16" i="57"/>
  <c r="BO9" i="55"/>
  <c r="DZ9" i="55"/>
  <c r="DZ22" i="59" s="1"/>
  <c r="DZ145" i="59" s="1"/>
  <c r="DN36" i="57"/>
  <c r="DN6" i="57"/>
  <c r="DR19" i="55"/>
  <c r="DR20" i="55"/>
  <c r="DQ14" i="57"/>
  <c r="DQ24" i="57"/>
  <c r="BB135" i="55"/>
  <c r="BB8" i="57" s="1"/>
  <c r="DP13" i="57"/>
  <c r="DP23" i="57"/>
  <c r="BB151" i="55"/>
  <c r="DN151" i="55" s="1"/>
  <c r="DQ89" i="55"/>
  <c r="CO29" i="57"/>
  <c r="DQ66" i="55"/>
  <c r="BH23" i="59"/>
  <c r="BH146" i="59" s="1"/>
  <c r="DT10" i="55"/>
  <c r="DT23" i="59" s="1"/>
  <c r="DT146" i="59" s="1"/>
  <c r="DQ43" i="55"/>
  <c r="BE128" i="55"/>
  <c r="DQ128" i="55" s="1"/>
  <c r="DQ105" i="55"/>
  <c r="DQ112" i="55" s="1"/>
  <c r="BC158" i="55"/>
  <c r="BC9" i="57" s="1"/>
  <c r="DO152" i="55"/>
  <c r="CL39" i="57"/>
  <c r="CL41" i="57" s="1"/>
  <c r="CO25" i="57"/>
  <c r="DN34" i="57"/>
  <c r="DN4" i="57"/>
  <c r="DR7" i="55"/>
  <c r="DS19" i="55"/>
  <c r="DS20" i="55"/>
  <c r="DP181" i="55"/>
  <c r="DP25" i="57"/>
  <c r="DP15" i="57"/>
  <c r="DQ13" i="57"/>
  <c r="DQ23" i="57"/>
  <c r="DP66" i="55"/>
  <c r="DP89" i="55"/>
  <c r="DP29" i="57"/>
  <c r="DP19" i="57"/>
  <c r="DN37" i="57"/>
  <c r="DN7" i="57"/>
  <c r="DR6" i="55"/>
  <c r="DN26" i="57"/>
  <c r="DS7" i="55"/>
  <c r="DO135" i="55"/>
  <c r="CO89" i="55"/>
  <c r="CO6" i="57" s="1"/>
  <c r="CO43" i="55"/>
  <c r="CO34" i="57" s="1"/>
  <c r="CO40" i="57"/>
  <c r="CO112" i="55"/>
  <c r="CO7" i="57" s="1"/>
  <c r="AG208" i="54"/>
  <c r="AE228" i="54"/>
  <c r="BL178" i="55" s="1"/>
  <c r="DX178" i="55" s="1"/>
  <c r="AE225" i="54"/>
  <c r="AE229" i="54"/>
  <c r="BL179" i="55" s="1"/>
  <c r="DX179" i="55" s="1"/>
  <c r="AE230" i="54"/>
  <c r="BL180" i="55" s="1"/>
  <c r="DX180" i="55" s="1"/>
  <c r="CO24" i="57"/>
  <c r="CP36" i="55"/>
  <c r="CO26" i="57"/>
  <c r="CP37" i="55"/>
  <c r="CP13" i="57" s="1"/>
  <c r="CO129" i="55"/>
  <c r="CO66" i="55"/>
  <c r="CO5" i="57" s="1"/>
  <c r="CP59" i="55"/>
  <c r="CM41" i="57"/>
  <c r="CO23" i="57"/>
  <c r="CP60" i="55"/>
  <c r="CP14" i="57" s="1"/>
  <c r="AB32" i="59"/>
  <c r="AA32" i="59"/>
  <c r="CP82" i="55"/>
  <c r="CP83" i="55"/>
  <c r="CP15" i="57" s="1"/>
  <c r="CP106" i="55"/>
  <c r="Y9" i="57"/>
  <c r="Y39" i="57"/>
  <c r="AC121" i="59"/>
  <c r="BE13" i="57"/>
  <c r="BE23" i="57"/>
  <c r="BE24" i="57"/>
  <c r="BE14" i="57"/>
  <c r="Z23" i="57"/>
  <c r="Z13" i="57"/>
  <c r="Z129" i="55"/>
  <c r="Z135" i="55" s="1"/>
  <c r="Z16" i="57"/>
  <c r="Z26" i="57"/>
  <c r="BB6" i="57"/>
  <c r="BB36" i="57"/>
  <c r="Z24" i="57"/>
  <c r="Z14" i="57"/>
  <c r="Z25" i="57"/>
  <c r="Z15" i="57"/>
  <c r="BB10" i="57"/>
  <c r="BB40" i="57"/>
  <c r="CP10" i="57"/>
  <c r="CP40" i="57"/>
  <c r="CP29" i="57"/>
  <c r="AH120" i="59"/>
  <c r="AH92" i="59"/>
  <c r="BD24" i="57"/>
  <c r="BD14" i="57"/>
  <c r="BD29" i="57"/>
  <c r="BD19" i="57"/>
  <c r="EA9" i="55"/>
  <c r="BN22" i="59"/>
  <c r="BN145" i="59" s="1"/>
  <c r="BB5" i="57"/>
  <c r="BB35" i="57"/>
  <c r="BD25" i="57"/>
  <c r="BD15" i="57"/>
  <c r="BC28" i="57"/>
  <c r="BC30" i="57" s="1"/>
  <c r="BC18" i="57"/>
  <c r="BC20" i="57" s="1"/>
  <c r="BD13" i="57"/>
  <c r="BD23" i="57"/>
  <c r="BB4" i="57"/>
  <c r="BB34" i="57"/>
  <c r="BE19" i="57"/>
  <c r="BE29" i="57"/>
  <c r="BD129" i="55"/>
  <c r="DP129" i="55" s="1"/>
  <c r="BD26" i="57"/>
  <c r="BD16" i="57"/>
  <c r="BB152" i="55"/>
  <c r="BB27" i="57"/>
  <c r="BB17" i="57"/>
  <c r="CN8" i="57"/>
  <c r="CN38" i="57"/>
  <c r="BE25" i="57"/>
  <c r="BE15" i="57"/>
  <c r="BB7" i="57"/>
  <c r="BB37" i="57"/>
  <c r="BE129" i="55"/>
  <c r="BE26" i="57"/>
  <c r="BE16" i="57"/>
  <c r="Y28" i="57"/>
  <c r="Y30" i="57" s="1"/>
  <c r="Y18" i="57"/>
  <c r="Y20" i="57" s="1"/>
  <c r="Y149" i="59" s="1"/>
  <c r="Y155" i="59" s="1"/>
  <c r="Z29" i="57"/>
  <c r="Z19" i="57"/>
  <c r="Y41" i="57"/>
  <c r="CN152" i="55"/>
  <c r="CN27" i="57"/>
  <c r="Z128" i="59"/>
  <c r="BF94" i="59"/>
  <c r="BF122" i="59"/>
  <c r="CP95" i="59"/>
  <c r="CP123" i="59"/>
  <c r="BG94" i="59"/>
  <c r="BG122" i="59"/>
  <c r="CQ100" i="59"/>
  <c r="CQ127" i="59"/>
  <c r="BF95" i="59"/>
  <c r="BF123" i="59"/>
  <c r="BG95" i="59"/>
  <c r="BG123" i="59"/>
  <c r="AA94" i="59"/>
  <c r="AA122" i="59"/>
  <c r="CQ98" i="59"/>
  <c r="CQ125" i="59"/>
  <c r="AA95" i="59"/>
  <c r="AA123" i="59"/>
  <c r="CP94" i="59"/>
  <c r="CP122" i="59"/>
  <c r="CQ97" i="59"/>
  <c r="CQ124" i="59"/>
  <c r="AB94" i="59"/>
  <c r="AB122" i="59"/>
  <c r="CQ99" i="59"/>
  <c r="CQ126" i="59"/>
  <c r="AB95" i="59"/>
  <c r="AB123" i="59"/>
  <c r="AC93" i="59"/>
  <c r="CR92" i="59"/>
  <c r="BD102" i="59"/>
  <c r="Z102" i="59"/>
  <c r="CO58" i="59"/>
  <c r="CQ55" i="59"/>
  <c r="CQ57" i="59"/>
  <c r="BE102" i="59"/>
  <c r="CQ54" i="59"/>
  <c r="CQ56" i="59"/>
  <c r="Z58" i="59"/>
  <c r="AH73" i="51"/>
  <c r="AI73" i="51" s="1"/>
  <c r="AI72" i="51"/>
  <c r="CQ19" i="55"/>
  <c r="CQ175" i="55" s="1"/>
  <c r="CQ19" i="57" s="1"/>
  <c r="CQ25" i="59"/>
  <c r="CQ148" i="59" s="1"/>
  <c r="BJ59" i="58"/>
  <c r="BH58" i="58"/>
  <c r="AC58" i="58"/>
  <c r="AC5" i="58" s="1"/>
  <c r="AD59" i="58"/>
  <c r="BJ58" i="58"/>
  <c r="BD66" i="55"/>
  <c r="AD240" i="54"/>
  <c r="AD261" i="54" s="1"/>
  <c r="BD112" i="55"/>
  <c r="BE66" i="55"/>
  <c r="AE201" i="53"/>
  <c r="Z151" i="55"/>
  <c r="BG106" i="55"/>
  <c r="DS106" i="55" s="1"/>
  <c r="BG83" i="55"/>
  <c r="DS83" i="55" s="1"/>
  <c r="BG175" i="55"/>
  <c r="DS175" i="55" s="1"/>
  <c r="AB105" i="55"/>
  <c r="AB128" i="55" s="1"/>
  <c r="AB82" i="55"/>
  <c r="AB174" i="55"/>
  <c r="BD151" i="55"/>
  <c r="DP151" i="55" s="1"/>
  <c r="BD135" i="55"/>
  <c r="AG200" i="53"/>
  <c r="CT172" i="55"/>
  <c r="AF200" i="53"/>
  <c r="AF203" i="53" s="1"/>
  <c r="CS177" i="55" s="1"/>
  <c r="CS172" i="55"/>
  <c r="AG210" i="53"/>
  <c r="AG230" i="53" s="1"/>
  <c r="AH180" i="55" s="1"/>
  <c r="AH172" i="55"/>
  <c r="CP128" i="55"/>
  <c r="CO151" i="55"/>
  <c r="BE43" i="55"/>
  <c r="BE181" i="55"/>
  <c r="AE205" i="53"/>
  <c r="CR179" i="55" s="1"/>
  <c r="AE203" i="53"/>
  <c r="CR177" i="55" s="1"/>
  <c r="BG105" i="55"/>
  <c r="BG82" i="55"/>
  <c r="DS82" i="55" s="1"/>
  <c r="BG174" i="55"/>
  <c r="DS174" i="55" s="1"/>
  <c r="AB106" i="55"/>
  <c r="AB83" i="55"/>
  <c r="AB175" i="55"/>
  <c r="BE151" i="55"/>
  <c r="DQ151" i="55" s="1"/>
  <c r="AE204" i="53"/>
  <c r="CR178" i="55" s="1"/>
  <c r="AA105" i="55"/>
  <c r="AA128" i="55" s="1"/>
  <c r="AA82" i="55"/>
  <c r="AA174" i="55"/>
  <c r="BF106" i="55"/>
  <c r="DR106" i="55" s="1"/>
  <c r="BF83" i="55"/>
  <c r="DR83" i="55" s="1"/>
  <c r="BF175" i="55"/>
  <c r="DR175" i="55" s="1"/>
  <c r="Z181" i="55"/>
  <c r="AE202" i="53"/>
  <c r="CR176" i="55" s="1"/>
  <c r="AF210" i="54"/>
  <c r="AF229" i="54" s="1"/>
  <c r="BM179" i="55" s="1"/>
  <c r="DY179" i="55" s="1"/>
  <c r="BM172" i="55"/>
  <c r="AA106" i="55"/>
  <c r="AA83" i="55"/>
  <c r="AA175" i="55"/>
  <c r="BF105" i="55"/>
  <c r="BF82" i="55"/>
  <c r="DR82" i="55" s="1"/>
  <c r="BF174" i="55"/>
  <c r="DR174" i="55" s="1"/>
  <c r="BD181" i="55"/>
  <c r="Z112" i="55"/>
  <c r="BD89" i="55"/>
  <c r="BD43" i="55"/>
  <c r="AA60" i="55"/>
  <c r="AA37" i="55"/>
  <c r="BF59" i="55"/>
  <c r="DR59" i="55" s="1"/>
  <c r="BG59" i="55"/>
  <c r="DS59" i="55" s="1"/>
  <c r="AB37" i="55"/>
  <c r="AB60" i="55"/>
  <c r="BG60" i="55"/>
  <c r="DS60" i="55" s="1"/>
  <c r="AB59" i="55"/>
  <c r="AB36" i="55"/>
  <c r="BE89" i="55"/>
  <c r="BE112" i="55"/>
  <c r="CQ59" i="55"/>
  <c r="CQ60" i="55"/>
  <c r="CQ14" i="57" s="1"/>
  <c r="AA36" i="55"/>
  <c r="AA59" i="55"/>
  <c r="BF60" i="55"/>
  <c r="DR60" i="55" s="1"/>
  <c r="Z89" i="55"/>
  <c r="Z43" i="55"/>
  <c r="BF37" i="55"/>
  <c r="DR37" i="55" s="1"/>
  <c r="BG36" i="55"/>
  <c r="DS36" i="55" s="1"/>
  <c r="Z66" i="55"/>
  <c r="CQ37" i="55"/>
  <c r="CQ13" i="57" s="1"/>
  <c r="BF36" i="55"/>
  <c r="DR36" i="55" s="1"/>
  <c r="BG37" i="55"/>
  <c r="DS37" i="55" s="1"/>
  <c r="AD262" i="53"/>
  <c r="AE78" i="51" s="1"/>
  <c r="AE77" i="51"/>
  <c r="AD262" i="54"/>
  <c r="BK78" i="51" s="1"/>
  <c r="BK77" i="51"/>
  <c r="AB262" i="54"/>
  <c r="BI78" i="51" s="1"/>
  <c r="BI77" i="51"/>
  <c r="CQ7" i="55"/>
  <c r="CQ6" i="55"/>
  <c r="BJ11" i="55"/>
  <c r="BJ13" i="55"/>
  <c r="BJ27" i="59" s="1"/>
  <c r="BJ16" i="55"/>
  <c r="BJ30" i="59" s="1"/>
  <c r="BJ14" i="55"/>
  <c r="BJ28" i="59" s="1"/>
  <c r="BJ15" i="55"/>
  <c r="BJ29" i="59" s="1"/>
  <c r="BJ12" i="55"/>
  <c r="BJ26" i="59" s="1"/>
  <c r="BJ53" i="59" s="1"/>
  <c r="AC14" i="55"/>
  <c r="AC28" i="59" s="1"/>
  <c r="AC151" i="59" s="1"/>
  <c r="AC11" i="55"/>
  <c r="AC13" i="55"/>
  <c r="AC27" i="59" s="1"/>
  <c r="AC150" i="59" s="1"/>
  <c r="AC12" i="55"/>
  <c r="AC26" i="59" s="1"/>
  <c r="AC53" i="59" s="1"/>
  <c r="AC16" i="55"/>
  <c r="AC30" i="59" s="1"/>
  <c r="AC15" i="55"/>
  <c r="AC29" i="59" s="1"/>
  <c r="AC152" i="59" s="1"/>
  <c r="CR14" i="55"/>
  <c r="CR28" i="59" s="1"/>
  <c r="CR151" i="59" s="1"/>
  <c r="CR12" i="55"/>
  <c r="CR26" i="59" s="1"/>
  <c r="CR53" i="59" s="1"/>
  <c r="CR13" i="55"/>
  <c r="CR27" i="59" s="1"/>
  <c r="CR150" i="59" s="1"/>
  <c r="CR11" i="55"/>
  <c r="CR15" i="55"/>
  <c r="CR29" i="59" s="1"/>
  <c r="CR152" i="59" s="1"/>
  <c r="CR16" i="55"/>
  <c r="CR30" i="59" s="1"/>
  <c r="BH11" i="55"/>
  <c r="BH16" i="55"/>
  <c r="BH30" i="59" s="1"/>
  <c r="BH13" i="55"/>
  <c r="BH27" i="59" s="1"/>
  <c r="BH150" i="59" s="1"/>
  <c r="BH15" i="55"/>
  <c r="BH29" i="59" s="1"/>
  <c r="BH152" i="59" s="1"/>
  <c r="BH12" i="55"/>
  <c r="BH26" i="59" s="1"/>
  <c r="BH53" i="59" s="1"/>
  <c r="BH14" i="55"/>
  <c r="BH28" i="59" s="1"/>
  <c r="BH151" i="59" s="1"/>
  <c r="BK74" i="51"/>
  <c r="AC256" i="53"/>
  <c r="AD74" i="51"/>
  <c r="AD76" i="51" s="1"/>
  <c r="AD10" i="55"/>
  <c r="AD23" i="59" s="1"/>
  <c r="AD146" i="59" s="1"/>
  <c r="AD256" i="53"/>
  <c r="AE74" i="51"/>
  <c r="AE76" i="51" s="1"/>
  <c r="AE10" i="55"/>
  <c r="AE23" i="59" s="1"/>
  <c r="CF13" i="51"/>
  <c r="AD254" i="54"/>
  <c r="AE221" i="53"/>
  <c r="AE220" i="53"/>
  <c r="AE224" i="53" s="1"/>
  <c r="AE244" i="53"/>
  <c r="AE261" i="53"/>
  <c r="AG222" i="53"/>
  <c r="AG234" i="53" s="1"/>
  <c r="AG235" i="53" s="1"/>
  <c r="AG223" i="53"/>
  <c r="AE199" i="54"/>
  <c r="AE200" i="54" s="1"/>
  <c r="AF166" i="54"/>
  <c r="CS9" i="55" s="1"/>
  <c r="CS22" i="59" s="1"/>
  <c r="CS145" i="59" s="1"/>
  <c r="AD206" i="54"/>
  <c r="AD204" i="54"/>
  <c r="AD205" i="54"/>
  <c r="AD201" i="54"/>
  <c r="AD202" i="54"/>
  <c r="AD203" i="54"/>
  <c r="AF218" i="53"/>
  <c r="AF219" i="53"/>
  <c r="AD220" i="54"/>
  <c r="AD224" i="54" s="1"/>
  <c r="AD221" i="54"/>
  <c r="AE236" i="54"/>
  <c r="AB252" i="54"/>
  <c r="AE219" i="54"/>
  <c r="AE218" i="54"/>
  <c r="BN71" i="51"/>
  <c r="BN64" i="51"/>
  <c r="AF223" i="54"/>
  <c r="AF222" i="54"/>
  <c r="AF234" i="54" s="1"/>
  <c r="AF235" i="54" s="1"/>
  <c r="AG213" i="54"/>
  <c r="AG215" i="54"/>
  <c r="AG214" i="54"/>
  <c r="AG212" i="54"/>
  <c r="AF216" i="54"/>
  <c r="AF217" i="54"/>
  <c r="AG216" i="53"/>
  <c r="AG217" i="53"/>
  <c r="AG232" i="54"/>
  <c r="AG233" i="54" s="1"/>
  <c r="AI165" i="54"/>
  <c r="AG209" i="54"/>
  <c r="DZ172" i="55" s="1"/>
  <c r="AJ165" i="54"/>
  <c r="AF236" i="53"/>
  <c r="AF239" i="53" s="1"/>
  <c r="AF244" i="53" s="1"/>
  <c r="AG206" i="53"/>
  <c r="CT180" i="55" s="1"/>
  <c r="AG205" i="53"/>
  <c r="CT179" i="55" s="1"/>
  <c r="AG204" i="53"/>
  <c r="CT178" i="55" s="1"/>
  <c r="AG202" i="53"/>
  <c r="CT176" i="55" s="1"/>
  <c r="AG201" i="53"/>
  <c r="AG203" i="53"/>
  <c r="CT177" i="55" s="1"/>
  <c r="BB38" i="57" l="1"/>
  <c r="AF204" i="53"/>
  <c r="CS178" i="55" s="1"/>
  <c r="AF201" i="53"/>
  <c r="DQ10" i="57"/>
  <c r="AF206" i="53"/>
  <c r="CS180" i="55" s="1"/>
  <c r="AF205" i="53"/>
  <c r="CS179" i="55" s="1"/>
  <c r="AF202" i="53"/>
  <c r="CS176" i="55" s="1"/>
  <c r="CP66" i="55"/>
  <c r="DQ58" i="59"/>
  <c r="AC24" i="59"/>
  <c r="AC51" i="59" s="1"/>
  <c r="DP58" i="59"/>
  <c r="DS43" i="55"/>
  <c r="BH101" i="59"/>
  <c r="BH153" i="59"/>
  <c r="CQ174" i="55"/>
  <c r="CQ181" i="55" s="1"/>
  <c r="DP102" i="59"/>
  <c r="AC101" i="59"/>
  <c r="AC153" i="59"/>
  <c r="BJ101" i="59"/>
  <c r="CR101" i="59"/>
  <c r="CR153" i="59"/>
  <c r="DS147" i="59"/>
  <c r="CQ51" i="59"/>
  <c r="CQ147" i="59"/>
  <c r="CR24" i="59"/>
  <c r="CO4" i="57"/>
  <c r="DS148" i="59"/>
  <c r="AE146" i="59"/>
  <c r="DR43" i="55"/>
  <c r="DR52" i="59"/>
  <c r="DR95" i="59"/>
  <c r="DR96" i="59"/>
  <c r="DR123" i="59"/>
  <c r="BJ11" i="58"/>
  <c r="BJ6" i="58"/>
  <c r="CO37" i="57"/>
  <c r="DT50" i="59"/>
  <c r="DT93" i="59"/>
  <c r="DT121" i="59"/>
  <c r="DT31" i="59"/>
  <c r="DT154" i="59" s="1"/>
  <c r="DV50" i="59"/>
  <c r="DV93" i="59"/>
  <c r="DV121" i="59"/>
  <c r="DV31" i="59"/>
  <c r="DP128" i="59"/>
  <c r="CP112" i="55"/>
  <c r="CP16" i="57"/>
  <c r="DQ102" i="59"/>
  <c r="DN8" i="57"/>
  <c r="DS51" i="59"/>
  <c r="DS122" i="59"/>
  <c r="DS94" i="59"/>
  <c r="DQ128" i="59"/>
  <c r="AG227" i="53"/>
  <c r="AH177" i="55" s="1"/>
  <c r="BN73" i="51"/>
  <c r="H42" i="60"/>
  <c r="I42" i="60" s="1"/>
  <c r="AD11" i="58"/>
  <c r="AD6" i="58"/>
  <c r="CO135" i="55"/>
  <c r="CO17" i="57"/>
  <c r="DS52" i="59"/>
  <c r="DS96" i="59"/>
  <c r="DS123" i="59"/>
  <c r="DS95" i="59"/>
  <c r="CN28" i="57"/>
  <c r="CN18" i="57"/>
  <c r="CN20" i="57" s="1"/>
  <c r="CN149" i="59" s="1"/>
  <c r="CN155" i="59" s="1"/>
  <c r="DR51" i="59"/>
  <c r="DR122" i="59"/>
  <c r="DR128" i="59" s="1"/>
  <c r="DR94" i="59"/>
  <c r="CQ96" i="59"/>
  <c r="CQ52" i="59"/>
  <c r="BJ93" i="59"/>
  <c r="BJ50" i="59"/>
  <c r="BJ24" i="59"/>
  <c r="BJ31" i="59"/>
  <c r="CS120" i="59"/>
  <c r="CS49" i="59"/>
  <c r="CS31" i="59"/>
  <c r="CS154" i="59" s="1"/>
  <c r="AD50" i="59"/>
  <c r="AD31" i="59"/>
  <c r="AD154" i="59" s="1"/>
  <c r="AE50" i="59"/>
  <c r="AE31" i="59"/>
  <c r="BH121" i="59"/>
  <c r="BH50" i="59"/>
  <c r="BH24" i="59"/>
  <c r="BH31" i="59"/>
  <c r="BH154" i="59" s="1"/>
  <c r="R26" i="63"/>
  <c r="J26" i="63" s="1"/>
  <c r="BN49" i="59"/>
  <c r="DZ49" i="59"/>
  <c r="DZ92" i="59"/>
  <c r="DZ120" i="59"/>
  <c r="DS66" i="55"/>
  <c r="DS35" i="57" s="1"/>
  <c r="BC39" i="57"/>
  <c r="DP26" i="57"/>
  <c r="DQ26" i="57"/>
  <c r="DS181" i="55"/>
  <c r="DS10" i="57" s="1"/>
  <c r="BJ121" i="59"/>
  <c r="BH93" i="59"/>
  <c r="DS34" i="57"/>
  <c r="DS4" i="57"/>
  <c r="BG128" i="55"/>
  <c r="DS128" i="55" s="1"/>
  <c r="DS105" i="55"/>
  <c r="DS112" i="55" s="1"/>
  <c r="BB158" i="55"/>
  <c r="BB9" i="57" s="1"/>
  <c r="DN152" i="55"/>
  <c r="DN158" i="55" s="1"/>
  <c r="DO38" i="57"/>
  <c r="DO8" i="57"/>
  <c r="DP36" i="57"/>
  <c r="DP6" i="57"/>
  <c r="DR13" i="57"/>
  <c r="DR23" i="57"/>
  <c r="DR66" i="55"/>
  <c r="DR181" i="55"/>
  <c r="DP35" i="57"/>
  <c r="DP5" i="57"/>
  <c r="DQ37" i="57"/>
  <c r="DQ7" i="57"/>
  <c r="DQ36" i="57"/>
  <c r="DQ6" i="57"/>
  <c r="DV12" i="55"/>
  <c r="DV26" i="59" s="1"/>
  <c r="DV11" i="55"/>
  <c r="DV15" i="55"/>
  <c r="DV29" i="59" s="1"/>
  <c r="DV16" i="55"/>
  <c r="DV30" i="59" s="1"/>
  <c r="DV14" i="55"/>
  <c r="DV28" i="59" s="1"/>
  <c r="DV13" i="55"/>
  <c r="CO36" i="57"/>
  <c r="DS23" i="57"/>
  <c r="DS13" i="57"/>
  <c r="BF128" i="55"/>
  <c r="DR128" i="55" s="1"/>
  <c r="DR105" i="55"/>
  <c r="DR112" i="55" s="1"/>
  <c r="DR29" i="57"/>
  <c r="DR19" i="57"/>
  <c r="DS19" i="57"/>
  <c r="DS29" i="57"/>
  <c r="DP17" i="57"/>
  <c r="DP27" i="57"/>
  <c r="DQ34" i="57"/>
  <c r="DQ4" i="57"/>
  <c r="DO28" i="57"/>
  <c r="DO30" i="57" s="1"/>
  <c r="DO18" i="57"/>
  <c r="DR34" i="57"/>
  <c r="DR4" i="57"/>
  <c r="DR14" i="57"/>
  <c r="DR24" i="57"/>
  <c r="DR25" i="57"/>
  <c r="DR15" i="57"/>
  <c r="DR89" i="55"/>
  <c r="DS15" i="57"/>
  <c r="DS25" i="57"/>
  <c r="DS89" i="55"/>
  <c r="CP26" i="57"/>
  <c r="DT14" i="55"/>
  <c r="DT28" i="59" s="1"/>
  <c r="DT151" i="59" s="1"/>
  <c r="DT13" i="55"/>
  <c r="DT27" i="59" s="1"/>
  <c r="DT150" i="59" s="1"/>
  <c r="DT11" i="55"/>
  <c r="DT16" i="55"/>
  <c r="DT30" i="59" s="1"/>
  <c r="DT15" i="55"/>
  <c r="DT29" i="59" s="1"/>
  <c r="DT152" i="59" s="1"/>
  <c r="DT12" i="55"/>
  <c r="DO20" i="57"/>
  <c r="DS14" i="57"/>
  <c r="DS24" i="57"/>
  <c r="DR16" i="57"/>
  <c r="DS16" i="57"/>
  <c r="CP129" i="55"/>
  <c r="CP17" i="57" s="1"/>
  <c r="BE135" i="55"/>
  <c r="BE38" i="57" s="1"/>
  <c r="DQ129" i="55"/>
  <c r="DP40" i="57"/>
  <c r="DP10" i="57"/>
  <c r="DP37" i="57"/>
  <c r="DP7" i="57"/>
  <c r="DO158" i="55"/>
  <c r="DQ35" i="57"/>
  <c r="DQ5" i="57"/>
  <c r="DP135" i="55"/>
  <c r="CO35" i="57"/>
  <c r="AF225" i="54"/>
  <c r="AF227" i="54"/>
  <c r="BM177" i="55" s="1"/>
  <c r="DY177" i="55" s="1"/>
  <c r="AF230" i="54"/>
  <c r="BM180" i="55" s="1"/>
  <c r="DY180" i="55" s="1"/>
  <c r="AF226" i="54"/>
  <c r="BM176" i="55" s="1"/>
  <c r="DY176" i="55" s="1"/>
  <c r="CP25" i="57"/>
  <c r="AF228" i="54"/>
  <c r="BM178" i="55" s="1"/>
  <c r="DY178" i="55" s="1"/>
  <c r="CP23" i="57"/>
  <c r="CP24" i="57"/>
  <c r="CP89" i="55"/>
  <c r="CP36" i="57" s="1"/>
  <c r="CO152" i="55"/>
  <c r="CO27" i="57"/>
  <c r="BG181" i="55"/>
  <c r="BG10" i="57" s="1"/>
  <c r="CP43" i="55"/>
  <c r="CP34" i="57" s="1"/>
  <c r="CQ36" i="55"/>
  <c r="CQ43" i="55" s="1"/>
  <c r="CQ82" i="55"/>
  <c r="G40" i="60"/>
  <c r="CQ83" i="55"/>
  <c r="CQ15" i="57" s="1"/>
  <c r="CN30" i="57"/>
  <c r="CQ29" i="57"/>
  <c r="CN158" i="55"/>
  <c r="CN9" i="57" s="1"/>
  <c r="BF29" i="57"/>
  <c r="BF19" i="57"/>
  <c r="BG23" i="57"/>
  <c r="BG13" i="57"/>
  <c r="Z4" i="57"/>
  <c r="Z34" i="57"/>
  <c r="BE6" i="57"/>
  <c r="BE36" i="57"/>
  <c r="AA13" i="57"/>
  <c r="AA23" i="57"/>
  <c r="AB25" i="57"/>
  <c r="AB15" i="57"/>
  <c r="BE4" i="57"/>
  <c r="BE34" i="57"/>
  <c r="BG29" i="57"/>
  <c r="BG19" i="57"/>
  <c r="CP152" i="55"/>
  <c r="CP18" i="57" s="1"/>
  <c r="CP27" i="57"/>
  <c r="BD152" i="55"/>
  <c r="BD27" i="57"/>
  <c r="BD17" i="57"/>
  <c r="BN120" i="59"/>
  <c r="BN92" i="59"/>
  <c r="Z6" i="57"/>
  <c r="Z36" i="57"/>
  <c r="AA24" i="57"/>
  <c r="AA14" i="57"/>
  <c r="Z10" i="57"/>
  <c r="Z40" i="57"/>
  <c r="AB129" i="55"/>
  <c r="AB135" i="55" s="1"/>
  <c r="AB26" i="57"/>
  <c r="AB16" i="57"/>
  <c r="CO8" i="57"/>
  <c r="CO38" i="57"/>
  <c r="BG25" i="57"/>
  <c r="BG15" i="57"/>
  <c r="BD5" i="57"/>
  <c r="BD35" i="57"/>
  <c r="BF66" i="55"/>
  <c r="BF24" i="57"/>
  <c r="BF14" i="57"/>
  <c r="BG129" i="55"/>
  <c r="BG16" i="57"/>
  <c r="BG26" i="57"/>
  <c r="CP6" i="57"/>
  <c r="AA29" i="57"/>
  <c r="AA19" i="57"/>
  <c r="BF25" i="57"/>
  <c r="BF15" i="57"/>
  <c r="CP7" i="57"/>
  <c r="CP37" i="57"/>
  <c r="BD8" i="57"/>
  <c r="BD38" i="57"/>
  <c r="Z8" i="57"/>
  <c r="Z38" i="57"/>
  <c r="CP5" i="57"/>
  <c r="CP35" i="57"/>
  <c r="AD121" i="59"/>
  <c r="AB24" i="57"/>
  <c r="AB14" i="57"/>
  <c r="BD6" i="57"/>
  <c r="BD36" i="57"/>
  <c r="AA25" i="57"/>
  <c r="AA15" i="57"/>
  <c r="BF129" i="55"/>
  <c r="DR129" i="55" s="1"/>
  <c r="BF26" i="57"/>
  <c r="BF16" i="57"/>
  <c r="AB128" i="59"/>
  <c r="BB28" i="57"/>
  <c r="BB30" i="57" s="1"/>
  <c r="BB18" i="57"/>
  <c r="BB20" i="57" s="1"/>
  <c r="BB149" i="59" s="1"/>
  <c r="BB155" i="59" s="1"/>
  <c r="BG14" i="57"/>
  <c r="BG24" i="57"/>
  <c r="Z5" i="57"/>
  <c r="Z35" i="57"/>
  <c r="CQ24" i="57"/>
  <c r="AB23" i="57"/>
  <c r="AB13" i="57"/>
  <c r="Z7" i="57"/>
  <c r="Z37" i="57"/>
  <c r="AA129" i="55"/>
  <c r="AA135" i="55" s="1"/>
  <c r="AA26" i="57"/>
  <c r="AA16" i="57"/>
  <c r="CQ105" i="55"/>
  <c r="AE121" i="59"/>
  <c r="BD4" i="57"/>
  <c r="BD34" i="57"/>
  <c r="CQ10" i="57"/>
  <c r="CQ40" i="57"/>
  <c r="CQ106" i="55"/>
  <c r="BE5" i="57"/>
  <c r="BE35" i="57"/>
  <c r="BE152" i="55"/>
  <c r="DQ152" i="55" s="1"/>
  <c r="DQ158" i="55" s="1"/>
  <c r="BE27" i="57"/>
  <c r="BE17" i="57"/>
  <c r="CP4" i="57"/>
  <c r="BF23" i="57"/>
  <c r="BF13" i="57"/>
  <c r="BE7" i="57"/>
  <c r="BE37" i="57"/>
  <c r="BD10" i="57"/>
  <c r="BD40" i="57"/>
  <c r="AB29" i="57"/>
  <c r="AB19" i="57"/>
  <c r="BE10" i="57"/>
  <c r="BE40" i="57"/>
  <c r="BD7" i="57"/>
  <c r="BD37" i="57"/>
  <c r="Z152" i="55"/>
  <c r="Z27" i="57"/>
  <c r="Z17" i="57"/>
  <c r="AA128" i="59"/>
  <c r="AA102" i="59"/>
  <c r="BJ99" i="59"/>
  <c r="BJ126" i="59"/>
  <c r="AC97" i="59"/>
  <c r="AC124" i="59"/>
  <c r="AC98" i="59"/>
  <c r="AC125" i="59"/>
  <c r="BH99" i="59"/>
  <c r="BH126" i="59"/>
  <c r="CQ94" i="59"/>
  <c r="CQ122" i="59"/>
  <c r="BJ98" i="59"/>
  <c r="BJ125" i="59"/>
  <c r="CR100" i="59"/>
  <c r="CR127" i="59"/>
  <c r="BH97" i="59"/>
  <c r="BH124" i="59"/>
  <c r="CR98" i="59"/>
  <c r="CR125" i="59"/>
  <c r="AC99" i="59"/>
  <c r="AC126" i="59"/>
  <c r="CQ95" i="59"/>
  <c r="CQ123" i="59"/>
  <c r="CR97" i="59"/>
  <c r="CR124" i="59"/>
  <c r="BJ97" i="59"/>
  <c r="BJ124" i="59"/>
  <c r="CP128" i="59"/>
  <c r="AC100" i="59"/>
  <c r="AC127" i="59"/>
  <c r="BH100" i="59"/>
  <c r="BH127" i="59"/>
  <c r="BH98" i="59"/>
  <c r="BH125" i="59"/>
  <c r="CR99" i="59"/>
  <c r="CR126" i="59"/>
  <c r="BJ100" i="59"/>
  <c r="BJ127" i="59"/>
  <c r="AC10" i="58"/>
  <c r="AD93" i="59"/>
  <c r="CS92" i="59"/>
  <c r="AE93" i="59"/>
  <c r="CP58" i="59"/>
  <c r="AA58" i="59"/>
  <c r="AC55" i="59"/>
  <c r="AC57" i="59"/>
  <c r="BJ55" i="59"/>
  <c r="CR57" i="59"/>
  <c r="BH56" i="59"/>
  <c r="AC54" i="59"/>
  <c r="BH54" i="59"/>
  <c r="CR55" i="59"/>
  <c r="AC56" i="59"/>
  <c r="AB102" i="59"/>
  <c r="AB58" i="59"/>
  <c r="BF102" i="59"/>
  <c r="BG102" i="59"/>
  <c r="BJ56" i="59"/>
  <c r="BH57" i="59"/>
  <c r="CR54" i="59"/>
  <c r="BJ54" i="59"/>
  <c r="BH55" i="59"/>
  <c r="CR56" i="59"/>
  <c r="BJ57" i="59"/>
  <c r="CP102" i="59"/>
  <c r="BJ25" i="59"/>
  <c r="CR19" i="55"/>
  <c r="CR175" i="55" s="1"/>
  <c r="CR19" i="57" s="1"/>
  <c r="CR25" i="59"/>
  <c r="CR148" i="59" s="1"/>
  <c r="AC25" i="59"/>
  <c r="AC148" i="59" s="1"/>
  <c r="BH25" i="59"/>
  <c r="BH148" i="59" s="1"/>
  <c r="AD58" i="58"/>
  <c r="AD5" i="58" s="1"/>
  <c r="AE59" i="58"/>
  <c r="AE58" i="58"/>
  <c r="AE5" i="58" s="1"/>
  <c r="BI59" i="58"/>
  <c r="BK59" i="58"/>
  <c r="AA43" i="55"/>
  <c r="AB43" i="55"/>
  <c r="AB66" i="55"/>
  <c r="AA181" i="55"/>
  <c r="AB181" i="55"/>
  <c r="BG66" i="55"/>
  <c r="AG226" i="53"/>
  <c r="AH176" i="55" s="1"/>
  <c r="AA151" i="55"/>
  <c r="BG151" i="55"/>
  <c r="DS151" i="55" s="1"/>
  <c r="AB151" i="55"/>
  <c r="BF181" i="55"/>
  <c r="CQ128" i="55"/>
  <c r="AG210" i="54"/>
  <c r="BN172" i="55"/>
  <c r="AG229" i="53"/>
  <c r="AH179" i="55" s="1"/>
  <c r="AG225" i="53"/>
  <c r="AA112" i="55"/>
  <c r="CP151" i="55"/>
  <c r="CP158" i="55" s="1"/>
  <c r="CP135" i="55"/>
  <c r="AG228" i="53"/>
  <c r="AH178" i="55" s="1"/>
  <c r="AA89" i="55"/>
  <c r="BG43" i="55"/>
  <c r="AB89" i="55"/>
  <c r="BF43" i="55"/>
  <c r="BF112" i="55"/>
  <c r="CR60" i="55"/>
  <c r="CR14" i="57" s="1"/>
  <c r="CR59" i="55"/>
  <c r="BG89" i="55"/>
  <c r="BG112" i="55"/>
  <c r="AB112" i="55"/>
  <c r="BF89" i="55"/>
  <c r="AA66" i="55"/>
  <c r="CR37" i="55"/>
  <c r="CR13" i="57" s="1"/>
  <c r="BJ6" i="55"/>
  <c r="CQ66" i="55"/>
  <c r="CR6" i="55"/>
  <c r="AE262" i="53"/>
  <c r="AF78" i="51" s="1"/>
  <c r="AF77" i="51"/>
  <c r="BH6" i="55"/>
  <c r="CR7" i="55"/>
  <c r="BH7" i="55"/>
  <c r="AB256" i="54"/>
  <c r="BI74" i="51"/>
  <c r="BI76" i="51" s="1"/>
  <c r="BI10" i="55"/>
  <c r="CS11" i="55"/>
  <c r="CS15" i="55"/>
  <c r="CS29" i="59" s="1"/>
  <c r="CS152" i="59" s="1"/>
  <c r="CS13" i="55"/>
  <c r="CS27" i="59" s="1"/>
  <c r="CS150" i="59" s="1"/>
  <c r="CS14" i="55"/>
  <c r="CS28" i="59" s="1"/>
  <c r="CS151" i="59" s="1"/>
  <c r="CS16" i="55"/>
  <c r="CS30" i="59" s="1"/>
  <c r="CS12" i="55"/>
  <c r="CS26" i="59" s="1"/>
  <c r="CS53" i="59" s="1"/>
  <c r="AD256" i="54"/>
  <c r="BK75" i="51"/>
  <c r="BK76" i="51" s="1"/>
  <c r="BK10" i="55"/>
  <c r="BH19" i="55"/>
  <c r="BH20" i="55"/>
  <c r="AE12" i="55"/>
  <c r="AE26" i="59" s="1"/>
  <c r="AE53" i="59" s="1"/>
  <c r="AE11" i="55"/>
  <c r="AE16" i="55"/>
  <c r="AE30" i="59" s="1"/>
  <c r="AE15" i="55"/>
  <c r="AE29" i="59" s="1"/>
  <c r="AE14" i="55"/>
  <c r="AE28" i="59" s="1"/>
  <c r="AE13" i="55"/>
  <c r="AE27" i="59" s="1"/>
  <c r="AC7" i="55"/>
  <c r="BJ7" i="55"/>
  <c r="AD16" i="55"/>
  <c r="AD30" i="59" s="1"/>
  <c r="AD15" i="55"/>
  <c r="AD29" i="59" s="1"/>
  <c r="AD152" i="59" s="1"/>
  <c r="AD12" i="55"/>
  <c r="AD26" i="59" s="1"/>
  <c r="AD53" i="59" s="1"/>
  <c r="AD14" i="55"/>
  <c r="AD28" i="59" s="1"/>
  <c r="AD151" i="59" s="1"/>
  <c r="AD11" i="55"/>
  <c r="AD13" i="55"/>
  <c r="AD27" i="59" s="1"/>
  <c r="AD150" i="59" s="1"/>
  <c r="AC6" i="55"/>
  <c r="AC19" i="55"/>
  <c r="AC20" i="55"/>
  <c r="BJ20" i="55"/>
  <c r="BJ19" i="55"/>
  <c r="AG217" i="54"/>
  <c r="AG216" i="54"/>
  <c r="AG218" i="53"/>
  <c r="AG219" i="53"/>
  <c r="AE245" i="53"/>
  <c r="AE254" i="53" s="1"/>
  <c r="AF75" i="51" s="1"/>
  <c r="AG222" i="54"/>
  <c r="AG234" i="54" s="1"/>
  <c r="AG235" i="54" s="1"/>
  <c r="AG223" i="54"/>
  <c r="AF218" i="54"/>
  <c r="AF219" i="54"/>
  <c r="AE239" i="54"/>
  <c r="AF237" i="53"/>
  <c r="AF238" i="53" s="1"/>
  <c r="AF240" i="53" s="1"/>
  <c r="AF261" i="53" s="1"/>
  <c r="AG236" i="53"/>
  <c r="AG239" i="53" s="1"/>
  <c r="AE237" i="54"/>
  <c r="AE238" i="54" s="1"/>
  <c r="AE240" i="54" s="1"/>
  <c r="AF236" i="54"/>
  <c r="AF220" i="53"/>
  <c r="AF224" i="53" s="1"/>
  <c r="AF221" i="53"/>
  <c r="AF199" i="54"/>
  <c r="AF200" i="54" s="1"/>
  <c r="AG166" i="54"/>
  <c r="AE220" i="54"/>
  <c r="AE224" i="54" s="1"/>
  <c r="AE221" i="54"/>
  <c r="AF245" i="53"/>
  <c r="AF254" i="53" s="1"/>
  <c r="AG75" i="51" s="1"/>
  <c r="AG225" i="54"/>
  <c r="AG227" i="54"/>
  <c r="BN177" i="55" s="1"/>
  <c r="DZ177" i="55" s="1"/>
  <c r="AG228" i="54"/>
  <c r="BN178" i="55" s="1"/>
  <c r="DZ178" i="55" s="1"/>
  <c r="AG226" i="54"/>
  <c r="BN176" i="55" s="1"/>
  <c r="DZ176" i="55" s="1"/>
  <c r="AG229" i="54"/>
  <c r="BN179" i="55" s="1"/>
  <c r="DZ179" i="55" s="1"/>
  <c r="AG230" i="54"/>
  <c r="BN180" i="55" s="1"/>
  <c r="DZ180" i="55" s="1"/>
  <c r="AE205" i="54"/>
  <c r="AE202" i="54"/>
  <c r="AE203" i="54"/>
  <c r="AE201" i="54"/>
  <c r="AE206" i="54"/>
  <c r="AE204" i="54"/>
  <c r="AC147" i="59" l="1"/>
  <c r="AE152" i="59"/>
  <c r="AD24" i="59"/>
  <c r="CR174" i="55"/>
  <c r="CR181" i="55" s="1"/>
  <c r="DR26" i="57"/>
  <c r="AD101" i="59"/>
  <c r="AD153" i="59"/>
  <c r="CP20" i="57"/>
  <c r="BC149" i="59"/>
  <c r="BC155" i="59" s="1"/>
  <c r="AE150" i="59"/>
  <c r="CS24" i="59"/>
  <c r="DS5" i="57"/>
  <c r="BH51" i="59"/>
  <c r="BH147" i="59"/>
  <c r="DR102" i="59"/>
  <c r="CR51" i="59"/>
  <c r="CR147" i="59"/>
  <c r="AD51" i="59"/>
  <c r="AD147" i="59"/>
  <c r="AE151" i="59"/>
  <c r="DT101" i="59"/>
  <c r="DT153" i="59"/>
  <c r="DV101" i="59"/>
  <c r="AE101" i="59"/>
  <c r="AE153" i="59"/>
  <c r="BJ51" i="59"/>
  <c r="DS58" i="59"/>
  <c r="AE24" i="59"/>
  <c r="CS101" i="59"/>
  <c r="CS153" i="59"/>
  <c r="AE154" i="59"/>
  <c r="DS40" i="57"/>
  <c r="DT6" i="55"/>
  <c r="DT26" i="59"/>
  <c r="BE8" i="57"/>
  <c r="CO158" i="55"/>
  <c r="CO18" i="57"/>
  <c r="CO20" i="57" s="1"/>
  <c r="CO149" i="59" s="1"/>
  <c r="CO155" i="59" s="1"/>
  <c r="DT127" i="59"/>
  <c r="DT57" i="59"/>
  <c r="DT100" i="59"/>
  <c r="DV7" i="55"/>
  <c r="DV27" i="59"/>
  <c r="DS26" i="57"/>
  <c r="DV99" i="59"/>
  <c r="DV126" i="59"/>
  <c r="DV56" i="59"/>
  <c r="DS102" i="59"/>
  <c r="BK11" i="58"/>
  <c r="BK6" i="58"/>
  <c r="DT25" i="59"/>
  <c r="DT148" i="59" s="1"/>
  <c r="DT24" i="59"/>
  <c r="DT147" i="59" s="1"/>
  <c r="DS128" i="59"/>
  <c r="BI11" i="58"/>
  <c r="BI6" i="58"/>
  <c r="CQ112" i="55"/>
  <c r="CQ16" i="57"/>
  <c r="DT55" i="59"/>
  <c r="DT125" i="59"/>
  <c r="DT98" i="59"/>
  <c r="DV57" i="59"/>
  <c r="DV100" i="59"/>
  <c r="DV127" i="59"/>
  <c r="DR58" i="59"/>
  <c r="DT126" i="59"/>
  <c r="DT99" i="59"/>
  <c r="DT56" i="59"/>
  <c r="DV6" i="55"/>
  <c r="DV25" i="59"/>
  <c r="DV24" i="59"/>
  <c r="AE11" i="58"/>
  <c r="AE6" i="58"/>
  <c r="DV53" i="59"/>
  <c r="DV97" i="59"/>
  <c r="DV54" i="59"/>
  <c r="DV124" i="59"/>
  <c r="R46" i="63"/>
  <c r="J46" i="63" s="1"/>
  <c r="CR96" i="59"/>
  <c r="CR52" i="59"/>
  <c r="AC96" i="59"/>
  <c r="AC52" i="59"/>
  <c r="BJ96" i="59"/>
  <c r="BJ52" i="59"/>
  <c r="BH96" i="59"/>
  <c r="BH52" i="59"/>
  <c r="BG40" i="57"/>
  <c r="DR135" i="55"/>
  <c r="DR8" i="57" s="1"/>
  <c r="AG236" i="54"/>
  <c r="DQ39" i="57"/>
  <c r="DQ9" i="57"/>
  <c r="DQ17" i="57"/>
  <c r="DQ27" i="57"/>
  <c r="DO39" i="57"/>
  <c r="DO9" i="57"/>
  <c r="DS36" i="57"/>
  <c r="DS6" i="57"/>
  <c r="DS37" i="57"/>
  <c r="DS7" i="57"/>
  <c r="BB39" i="57"/>
  <c r="BD158" i="55"/>
  <c r="DP152" i="55"/>
  <c r="DR17" i="57"/>
  <c r="DR27" i="57"/>
  <c r="CO28" i="57"/>
  <c r="CO30" i="57" s="1"/>
  <c r="CQ25" i="57"/>
  <c r="DP38" i="57"/>
  <c r="DP8" i="57"/>
  <c r="DR36" i="57"/>
  <c r="DR6" i="57"/>
  <c r="DN39" i="57"/>
  <c r="DN9" i="57"/>
  <c r="BF135" i="55"/>
  <c r="BF8" i="57" s="1"/>
  <c r="BG135" i="55"/>
  <c r="BG8" i="57" s="1"/>
  <c r="DS129" i="55"/>
  <c r="DS135" i="55" s="1"/>
  <c r="DT20" i="55"/>
  <c r="DT19" i="55"/>
  <c r="DQ135" i="55"/>
  <c r="DQ18" i="57"/>
  <c r="DQ28" i="57"/>
  <c r="BF151" i="55"/>
  <c r="DR151" i="55" s="1"/>
  <c r="DT7" i="55"/>
  <c r="DV19" i="55"/>
  <c r="DV20" i="55"/>
  <c r="DR35" i="57"/>
  <c r="DR5" i="57"/>
  <c r="BK23" i="59"/>
  <c r="DW10" i="55"/>
  <c r="DW23" i="59" s="1"/>
  <c r="BI23" i="59"/>
  <c r="DU10" i="55"/>
  <c r="DU23" i="59" s="1"/>
  <c r="CR105" i="55"/>
  <c r="DR37" i="57"/>
  <c r="DR7" i="57"/>
  <c r="DR40" i="57"/>
  <c r="DR10" i="57"/>
  <c r="DN28" i="57"/>
  <c r="DN30" i="57" s="1"/>
  <c r="DN18" i="57"/>
  <c r="DN20" i="57" s="1"/>
  <c r="DN149" i="59" s="1"/>
  <c r="DN155" i="59" s="1"/>
  <c r="CR82" i="55"/>
  <c r="CR83" i="55"/>
  <c r="CR15" i="57" s="1"/>
  <c r="CR36" i="55"/>
  <c r="CR23" i="57" s="1"/>
  <c r="CR106" i="55"/>
  <c r="CQ23" i="57"/>
  <c r="CO9" i="57"/>
  <c r="CO39" i="57"/>
  <c r="CO41" i="57" s="1"/>
  <c r="CN39" i="57"/>
  <c r="CN41" i="57" s="1"/>
  <c r="CQ89" i="55"/>
  <c r="CQ6" i="57" s="1"/>
  <c r="AC32" i="59"/>
  <c r="BG7" i="57"/>
  <c r="BG37" i="57"/>
  <c r="AA6" i="57"/>
  <c r="AA36" i="57"/>
  <c r="AA7" i="57"/>
  <c r="AA37" i="57"/>
  <c r="CQ7" i="57"/>
  <c r="CQ37" i="57"/>
  <c r="BE28" i="57"/>
  <c r="BE30" i="57" s="1"/>
  <c r="BE18" i="57"/>
  <c r="BE20" i="57" s="1"/>
  <c r="AA152" i="55"/>
  <c r="AA158" i="55" s="1"/>
  <c r="AA17" i="57"/>
  <c r="AA27" i="57"/>
  <c r="BD9" i="57"/>
  <c r="BD39" i="57"/>
  <c r="BG152" i="55"/>
  <c r="DS152" i="55" s="1"/>
  <c r="DS158" i="55" s="1"/>
  <c r="BG27" i="57"/>
  <c r="BG17" i="57"/>
  <c r="BF5" i="57"/>
  <c r="BF35" i="57"/>
  <c r="BD18" i="57"/>
  <c r="BD20" i="57" s="1"/>
  <c r="BD149" i="59" s="1"/>
  <c r="BD155" i="59" s="1"/>
  <c r="BD28" i="57"/>
  <c r="BD30" i="57" s="1"/>
  <c r="BG6" i="57"/>
  <c r="BG36" i="57"/>
  <c r="BF10" i="57"/>
  <c r="BF40" i="57"/>
  <c r="BG5" i="57"/>
  <c r="BG35" i="57"/>
  <c r="AA5" i="57"/>
  <c r="AA35" i="57"/>
  <c r="CR24" i="57"/>
  <c r="AB8" i="57"/>
  <c r="AB38" i="57"/>
  <c r="AB10" i="57"/>
  <c r="AB40" i="57"/>
  <c r="CR29" i="57"/>
  <c r="CP28" i="57"/>
  <c r="CP30" i="57" s="1"/>
  <c r="CQ4" i="57"/>
  <c r="CQ34" i="57"/>
  <c r="BF7" i="57"/>
  <c r="BF37" i="57"/>
  <c r="CR26" i="57"/>
  <c r="AA10" i="57"/>
  <c r="AA40" i="57"/>
  <c r="Z28" i="57"/>
  <c r="Z30" i="57" s="1"/>
  <c r="Z18" i="57"/>
  <c r="Z20" i="57" s="1"/>
  <c r="Z149" i="59" s="1"/>
  <c r="Z155" i="59" s="1"/>
  <c r="CQ129" i="55"/>
  <c r="CQ26" i="57"/>
  <c r="BF152" i="55"/>
  <c r="BF27" i="57"/>
  <c r="BF17" i="57"/>
  <c r="BF6" i="57"/>
  <c r="BF36" i="57"/>
  <c r="BF4" i="57"/>
  <c r="BF34" i="57"/>
  <c r="AB5" i="57"/>
  <c r="AB35" i="57"/>
  <c r="BE158" i="55"/>
  <c r="AB6" i="57"/>
  <c r="AB36" i="57"/>
  <c r="CP8" i="57"/>
  <c r="CP38" i="57"/>
  <c r="BG158" i="55"/>
  <c r="AB4" i="57"/>
  <c r="AB34" i="57"/>
  <c r="CQ5" i="57"/>
  <c r="CQ35" i="57"/>
  <c r="AB7" i="57"/>
  <c r="AB37" i="57"/>
  <c r="BG4" i="57"/>
  <c r="BG34" i="57"/>
  <c r="CP9" i="57"/>
  <c r="CP39" i="57"/>
  <c r="CR10" i="57"/>
  <c r="CR40" i="57"/>
  <c r="AA8" i="57"/>
  <c r="AA38" i="57"/>
  <c r="AA4" i="57"/>
  <c r="AA34" i="57"/>
  <c r="Z158" i="55"/>
  <c r="AB152" i="55"/>
  <c r="AB158" i="55" s="1"/>
  <c r="AB17" i="57"/>
  <c r="AB27" i="57"/>
  <c r="AD98" i="59"/>
  <c r="AD125" i="59"/>
  <c r="BH94" i="59"/>
  <c r="BH122" i="59"/>
  <c r="AE99" i="59"/>
  <c r="AE126" i="59"/>
  <c r="BH95" i="59"/>
  <c r="BH123" i="59"/>
  <c r="BJ94" i="59"/>
  <c r="BJ122" i="59"/>
  <c r="AD100" i="59"/>
  <c r="AD127" i="59"/>
  <c r="AC94" i="59"/>
  <c r="AC122" i="59"/>
  <c r="CS97" i="59"/>
  <c r="CS124" i="59"/>
  <c r="AE97" i="59"/>
  <c r="AE124" i="59"/>
  <c r="CS99" i="59"/>
  <c r="CS126" i="59"/>
  <c r="AC95" i="59"/>
  <c r="AC123" i="59"/>
  <c r="AD99" i="59"/>
  <c r="AD126" i="59"/>
  <c r="AD97" i="59"/>
  <c r="AD124" i="59"/>
  <c r="CS98" i="59"/>
  <c r="CS125" i="59"/>
  <c r="CR94" i="59"/>
  <c r="CR122" i="59"/>
  <c r="CQ128" i="59"/>
  <c r="AE98" i="59"/>
  <c r="AE125" i="59"/>
  <c r="AE100" i="59"/>
  <c r="AE127" i="59"/>
  <c r="BJ95" i="59"/>
  <c r="BJ123" i="59"/>
  <c r="CS100" i="59"/>
  <c r="CS127" i="59"/>
  <c r="CR95" i="59"/>
  <c r="CR123" i="59"/>
  <c r="AD10" i="58"/>
  <c r="AE10" i="58"/>
  <c r="AE55" i="59"/>
  <c r="AD54" i="59"/>
  <c r="CS54" i="59"/>
  <c r="CQ58" i="59"/>
  <c r="AE57" i="59"/>
  <c r="AE56" i="59"/>
  <c r="AD56" i="59"/>
  <c r="AD57" i="59"/>
  <c r="AE54" i="59"/>
  <c r="CS56" i="59"/>
  <c r="AD55" i="59"/>
  <c r="CS55" i="59"/>
  <c r="CS57" i="59"/>
  <c r="CQ102" i="59"/>
  <c r="AE25" i="59"/>
  <c r="CS19" i="55"/>
  <c r="CS106" i="55" s="1"/>
  <c r="CS16" i="57" s="1"/>
  <c r="CS25" i="59"/>
  <c r="CS148" i="59" s="1"/>
  <c r="AD25" i="59"/>
  <c r="AD148" i="59" s="1"/>
  <c r="AF59" i="58"/>
  <c r="BK58" i="58"/>
  <c r="BI58" i="58"/>
  <c r="CQ151" i="55"/>
  <c r="BJ105" i="55"/>
  <c r="BJ82" i="55"/>
  <c r="DV82" i="55" s="1"/>
  <c r="BJ174" i="55"/>
  <c r="DV174" i="55" s="1"/>
  <c r="BH105" i="55"/>
  <c r="BH82" i="55"/>
  <c r="DT82" i="55" s="1"/>
  <c r="BH174" i="55"/>
  <c r="DT174" i="55" s="1"/>
  <c r="CR128" i="55"/>
  <c r="CR112" i="55"/>
  <c r="BJ106" i="55"/>
  <c r="DV106" i="55" s="1"/>
  <c r="BJ83" i="55"/>
  <c r="DV83" i="55" s="1"/>
  <c r="BJ175" i="55"/>
  <c r="DV175" i="55" s="1"/>
  <c r="AE261" i="54"/>
  <c r="AC106" i="55"/>
  <c r="AC83" i="55"/>
  <c r="AC175" i="55"/>
  <c r="AC105" i="55"/>
  <c r="AC128" i="55" s="1"/>
  <c r="AC82" i="55"/>
  <c r="AC174" i="55"/>
  <c r="BH106" i="55"/>
  <c r="DT106" i="55" s="1"/>
  <c r="BH83" i="55"/>
  <c r="DT83" i="55" s="1"/>
  <c r="BH175" i="55"/>
  <c r="DT175" i="55" s="1"/>
  <c r="CR43" i="55"/>
  <c r="BH59" i="55"/>
  <c r="DT59" i="55" s="1"/>
  <c r="BH60" i="55"/>
  <c r="DT60" i="55" s="1"/>
  <c r="AC36" i="55"/>
  <c r="AC59" i="55"/>
  <c r="BJ59" i="55"/>
  <c r="DV59" i="55" s="1"/>
  <c r="BJ60" i="55"/>
  <c r="DV60" i="55" s="1"/>
  <c r="AC37" i="55"/>
  <c r="AC60" i="55"/>
  <c r="BH36" i="55"/>
  <c r="DT36" i="55" s="1"/>
  <c r="BJ36" i="55"/>
  <c r="DV36" i="55" s="1"/>
  <c r="BJ37" i="55"/>
  <c r="DV37" i="55" s="1"/>
  <c r="CR66" i="55"/>
  <c r="BH37" i="55"/>
  <c r="DT37" i="55" s="1"/>
  <c r="AG237" i="53"/>
  <c r="AG238" i="53" s="1"/>
  <c r="AG240" i="53" s="1"/>
  <c r="AG261" i="53" s="1"/>
  <c r="AE262" i="54"/>
  <c r="BL78" i="51" s="1"/>
  <c r="BL77" i="51"/>
  <c r="AF262" i="53"/>
  <c r="AG78" i="51" s="1"/>
  <c r="AG77" i="51"/>
  <c r="AE7" i="55"/>
  <c r="AD7" i="55"/>
  <c r="AD19" i="55"/>
  <c r="AD20" i="55"/>
  <c r="AD6" i="55"/>
  <c r="CS7" i="55"/>
  <c r="BK15" i="55"/>
  <c r="BK29" i="59" s="1"/>
  <c r="BK11" i="55"/>
  <c r="BK14" i="55"/>
  <c r="BK28" i="59" s="1"/>
  <c r="BK12" i="55"/>
  <c r="BK26" i="59" s="1"/>
  <c r="BK53" i="59" s="1"/>
  <c r="BK16" i="55"/>
  <c r="BK30" i="59" s="1"/>
  <c r="BK13" i="55"/>
  <c r="BK27" i="59" s="1"/>
  <c r="BI13" i="55"/>
  <c r="BI27" i="59" s="1"/>
  <c r="BI12" i="55"/>
  <c r="BI26" i="59" s="1"/>
  <c r="BI53" i="59" s="1"/>
  <c r="BI16" i="55"/>
  <c r="BI30" i="59" s="1"/>
  <c r="BI14" i="55"/>
  <c r="BI28" i="59" s="1"/>
  <c r="BI15" i="55"/>
  <c r="BI29" i="59" s="1"/>
  <c r="BI11" i="55"/>
  <c r="AG199" i="54"/>
  <c r="AG200" i="54" s="1"/>
  <c r="AG206" i="54" s="1"/>
  <c r="CT9" i="55"/>
  <c r="CT22" i="59" s="1"/>
  <c r="CT145" i="59" s="1"/>
  <c r="CS6" i="55"/>
  <c r="AE6" i="55"/>
  <c r="AE20" i="55"/>
  <c r="AE19" i="55"/>
  <c r="AF252" i="53"/>
  <c r="AE252" i="53"/>
  <c r="AF237" i="54"/>
  <c r="AF238" i="54" s="1"/>
  <c r="AF240" i="54" s="1"/>
  <c r="AF239" i="54"/>
  <c r="AE244" i="54"/>
  <c r="AE245" i="54" s="1"/>
  <c r="AE254" i="54" s="1"/>
  <c r="BL75" i="51" s="1"/>
  <c r="AG221" i="53"/>
  <c r="AG220" i="53"/>
  <c r="AG224" i="53" s="1"/>
  <c r="AG244" i="53"/>
  <c r="AF220" i="54"/>
  <c r="AF224" i="54" s="1"/>
  <c r="AF221" i="54"/>
  <c r="AG237" i="54"/>
  <c r="AG238" i="54" s="1"/>
  <c r="AF205" i="54"/>
  <c r="AF202" i="54"/>
  <c r="AF201" i="54"/>
  <c r="AF206" i="54"/>
  <c r="AF203" i="54"/>
  <c r="AF204" i="54"/>
  <c r="AG239" i="54"/>
  <c r="AG219" i="54"/>
  <c r="AG218" i="54"/>
  <c r="BK152" i="59" l="1"/>
  <c r="CS37" i="55"/>
  <c r="CS13" i="57" s="1"/>
  <c r="DV43" i="55"/>
  <c r="CS175" i="55"/>
  <c r="CS19" i="57" s="1"/>
  <c r="BG38" i="57"/>
  <c r="BK150" i="59"/>
  <c r="BF38" i="57"/>
  <c r="AE148" i="59"/>
  <c r="DW146" i="59"/>
  <c r="CR89" i="55"/>
  <c r="BI93" i="59"/>
  <c r="BI146" i="59"/>
  <c r="BJ146" i="59"/>
  <c r="DR38" i="57"/>
  <c r="CS51" i="59"/>
  <c r="CS147" i="59"/>
  <c r="BK146" i="59"/>
  <c r="BK101" i="59"/>
  <c r="BK153" i="59"/>
  <c r="BI152" i="59"/>
  <c r="BJ152" i="59"/>
  <c r="BK151" i="59"/>
  <c r="BI151" i="59"/>
  <c r="BJ151" i="59"/>
  <c r="BE149" i="59"/>
  <c r="BE155" i="59" s="1"/>
  <c r="CP149" i="59"/>
  <c r="CP155" i="59" s="1"/>
  <c r="DO149" i="59"/>
  <c r="DO155" i="59" s="1"/>
  <c r="DT66" i="55"/>
  <c r="DT5" i="57" s="1"/>
  <c r="BI101" i="59"/>
  <c r="BI153" i="59"/>
  <c r="BJ153" i="59"/>
  <c r="BI150" i="59"/>
  <c r="BJ150" i="59"/>
  <c r="DU146" i="59"/>
  <c r="DV146" i="59"/>
  <c r="DQ30" i="57"/>
  <c r="AE51" i="59"/>
  <c r="AE147" i="59"/>
  <c r="CQ36" i="57"/>
  <c r="CQ135" i="55"/>
  <c r="CQ17" i="57"/>
  <c r="DT51" i="59"/>
  <c r="DT122" i="59"/>
  <c r="DT94" i="59"/>
  <c r="DT52" i="59"/>
  <c r="DT123" i="59"/>
  <c r="DT95" i="59"/>
  <c r="DT96" i="59"/>
  <c r="AF11" i="58"/>
  <c r="AF6" i="58"/>
  <c r="DV51" i="59"/>
  <c r="DV122" i="59"/>
  <c r="DV94" i="59"/>
  <c r="DW50" i="59"/>
  <c r="DW93" i="59"/>
  <c r="DW121" i="59"/>
  <c r="DW31" i="59"/>
  <c r="DV52" i="59"/>
  <c r="DV96" i="59"/>
  <c r="DV123" i="59"/>
  <c r="DV95" i="59"/>
  <c r="DT53" i="59"/>
  <c r="DT97" i="59"/>
  <c r="DT124" i="59"/>
  <c r="DT54" i="59"/>
  <c r="DT58" i="59" s="1"/>
  <c r="DV125" i="59"/>
  <c r="DV55" i="59"/>
  <c r="DV98" i="59"/>
  <c r="DU50" i="59"/>
  <c r="DU93" i="59"/>
  <c r="DU121" i="59"/>
  <c r="DU31" i="59"/>
  <c r="DT43" i="55"/>
  <c r="DT4" i="57" s="1"/>
  <c r="CR129" i="55"/>
  <c r="CR17" i="57" s="1"/>
  <c r="CR16" i="57"/>
  <c r="BK121" i="59"/>
  <c r="BK50" i="59"/>
  <c r="BK24" i="59"/>
  <c r="BK31" i="59"/>
  <c r="AE96" i="59"/>
  <c r="AE52" i="59"/>
  <c r="CS96" i="59"/>
  <c r="CS52" i="59"/>
  <c r="CT120" i="59"/>
  <c r="CT49" i="59"/>
  <c r="CU45" i="59" s="1"/>
  <c r="EI45" i="59" s="1"/>
  <c r="CT31" i="59"/>
  <c r="CT154" i="59" s="1"/>
  <c r="AD96" i="59"/>
  <c r="AD52" i="59"/>
  <c r="BI50" i="59"/>
  <c r="BI31" i="59"/>
  <c r="BI24" i="59"/>
  <c r="BI121" i="59"/>
  <c r="BK93" i="59"/>
  <c r="DS38" i="57"/>
  <c r="DS8" i="57"/>
  <c r="DS39" i="57"/>
  <c r="DS9" i="57"/>
  <c r="BF158" i="55"/>
  <c r="BF9" i="57" s="1"/>
  <c r="DR152" i="55"/>
  <c r="DR158" i="55" s="1"/>
  <c r="DW13" i="55"/>
  <c r="DW27" i="59" s="1"/>
  <c r="DW12" i="55"/>
  <c r="DW26" i="59" s="1"/>
  <c r="DW15" i="55"/>
  <c r="DW29" i="59" s="1"/>
  <c r="DW14" i="55"/>
  <c r="DW28" i="59" s="1"/>
  <c r="DW16" i="55"/>
  <c r="DW30" i="59" s="1"/>
  <c r="DW11" i="55"/>
  <c r="DS27" i="57"/>
  <c r="DS17" i="57"/>
  <c r="BJ128" i="55"/>
  <c r="DV128" i="55" s="1"/>
  <c r="DV105" i="55"/>
  <c r="DV112" i="55" s="1"/>
  <c r="DV24" i="57"/>
  <c r="DV14" i="57"/>
  <c r="DT181" i="55"/>
  <c r="DV66" i="55"/>
  <c r="DT15" i="57"/>
  <c r="DT25" i="57"/>
  <c r="DT89" i="55"/>
  <c r="DQ38" i="57"/>
  <c r="DQ8" i="57"/>
  <c r="DQ20" i="57"/>
  <c r="DT23" i="57"/>
  <c r="DT13" i="57"/>
  <c r="DT16" i="57"/>
  <c r="BH128" i="55"/>
  <c r="DT128" i="55" s="1"/>
  <c r="DT105" i="55"/>
  <c r="DT112" i="55" s="1"/>
  <c r="DS18" i="57"/>
  <c r="DS28" i="57"/>
  <c r="CR25" i="57"/>
  <c r="DP28" i="57"/>
  <c r="DP30" i="57" s="1"/>
  <c r="DP18" i="57"/>
  <c r="DP20" i="57" s="1"/>
  <c r="DP149" i="59" s="1"/>
  <c r="DP155" i="59" s="1"/>
  <c r="DP158" i="55"/>
  <c r="DT19" i="57"/>
  <c r="DT29" i="57"/>
  <c r="DV23" i="57"/>
  <c r="DV13" i="57"/>
  <c r="DV19" i="57"/>
  <c r="DV29" i="57"/>
  <c r="DV181" i="55"/>
  <c r="DU13" i="55"/>
  <c r="DU27" i="59" s="1"/>
  <c r="DU150" i="59" s="1"/>
  <c r="DU12" i="55"/>
  <c r="DU26" i="59" s="1"/>
  <c r="DU11" i="55"/>
  <c r="DU14" i="55"/>
  <c r="DU28" i="59" s="1"/>
  <c r="DU16" i="55"/>
  <c r="DU30" i="59" s="1"/>
  <c r="DU15" i="55"/>
  <c r="DU29" i="59" s="1"/>
  <c r="DV16" i="57"/>
  <c r="DV34" i="57"/>
  <c r="DV4" i="57"/>
  <c r="DT14" i="57"/>
  <c r="DT24" i="57"/>
  <c r="DV15" i="57"/>
  <c r="DV25" i="57"/>
  <c r="DV89" i="55"/>
  <c r="CS36" i="55"/>
  <c r="CS23" i="57" s="1"/>
  <c r="CS174" i="55"/>
  <c r="CS29" i="57" s="1"/>
  <c r="CS59" i="55"/>
  <c r="CS66" i="55" s="1"/>
  <c r="CS60" i="55"/>
  <c r="CS14" i="57" s="1"/>
  <c r="AD32" i="59"/>
  <c r="AE32" i="59"/>
  <c r="CP41" i="57"/>
  <c r="BJ24" i="57"/>
  <c r="BJ14" i="57"/>
  <c r="CR6" i="57"/>
  <c r="CR36" i="57"/>
  <c r="BJ129" i="55"/>
  <c r="BJ26" i="57"/>
  <c r="BJ16" i="57"/>
  <c r="CR4" i="57"/>
  <c r="CR34" i="57"/>
  <c r="CR7" i="57"/>
  <c r="CR37" i="57"/>
  <c r="CQ8" i="57"/>
  <c r="CQ38" i="57"/>
  <c r="BF28" i="57"/>
  <c r="BF30" i="57" s="1"/>
  <c r="BF18" i="57"/>
  <c r="BF20" i="57" s="1"/>
  <c r="BF149" i="59" s="1"/>
  <c r="BF155" i="59" s="1"/>
  <c r="AB9" i="57"/>
  <c r="AB39" i="57"/>
  <c r="AB41" i="57" s="1"/>
  <c r="BG28" i="57"/>
  <c r="BG30" i="57" s="1"/>
  <c r="BG18" i="57"/>
  <c r="BG20" i="57" s="1"/>
  <c r="AC29" i="57"/>
  <c r="AC19" i="57"/>
  <c r="CS129" i="55"/>
  <c r="CS17" i="57" s="1"/>
  <c r="BG9" i="57"/>
  <c r="BG39" i="57"/>
  <c r="AA9" i="57"/>
  <c r="AA39" i="57"/>
  <c r="AA41" i="57" s="1"/>
  <c r="BH29" i="57"/>
  <c r="BH19" i="57"/>
  <c r="AC25" i="57"/>
  <c r="AC15" i="57"/>
  <c r="BH102" i="59"/>
  <c r="CR5" i="57"/>
  <c r="CR35" i="57"/>
  <c r="BH24" i="57"/>
  <c r="BH14" i="57"/>
  <c r="BH25" i="57"/>
  <c r="BH15" i="57"/>
  <c r="AC129" i="55"/>
  <c r="AC26" i="57"/>
  <c r="AC16" i="57"/>
  <c r="AC128" i="59"/>
  <c r="BE9" i="57"/>
  <c r="BE39" i="57"/>
  <c r="CQ152" i="55"/>
  <c r="CQ27" i="57"/>
  <c r="BJ23" i="57"/>
  <c r="BJ13" i="57"/>
  <c r="BH129" i="55"/>
  <c r="BH26" i="57"/>
  <c r="BH16" i="57"/>
  <c r="AB28" i="57"/>
  <c r="AB30" i="57" s="1"/>
  <c r="AB18" i="57"/>
  <c r="AB20" i="57" s="1"/>
  <c r="AC14" i="57"/>
  <c r="AC24" i="57"/>
  <c r="BJ29" i="57"/>
  <c r="BJ19" i="57"/>
  <c r="BJ102" i="59"/>
  <c r="Z9" i="57"/>
  <c r="Z39" i="57"/>
  <c r="Z41" i="57" s="1"/>
  <c r="AA28" i="57"/>
  <c r="AA30" i="57" s="1"/>
  <c r="AA18" i="57"/>
  <c r="AA20" i="57" s="1"/>
  <c r="AA149" i="59" s="1"/>
  <c r="AA155" i="59" s="1"/>
  <c r="BH23" i="57"/>
  <c r="BH13" i="57"/>
  <c r="AC23" i="57"/>
  <c r="AC13" i="57"/>
  <c r="BJ25" i="57"/>
  <c r="BJ15" i="57"/>
  <c r="BI98" i="59"/>
  <c r="BI125" i="59"/>
  <c r="AE95" i="59"/>
  <c r="AE123" i="59"/>
  <c r="BK98" i="59"/>
  <c r="BK125" i="59"/>
  <c r="AD94" i="59"/>
  <c r="AD122" i="59"/>
  <c r="BI100" i="59"/>
  <c r="BI127" i="59"/>
  <c r="CS94" i="59"/>
  <c r="CS122" i="59"/>
  <c r="BI97" i="59"/>
  <c r="BI124" i="59"/>
  <c r="BK97" i="59"/>
  <c r="BK124" i="59"/>
  <c r="BK99" i="59"/>
  <c r="BK126" i="59"/>
  <c r="BI99" i="59"/>
  <c r="BI126" i="59"/>
  <c r="CS95" i="59"/>
  <c r="CS123" i="59"/>
  <c r="CR128" i="59"/>
  <c r="AE94" i="59"/>
  <c r="AE122" i="59"/>
  <c r="AD95" i="59"/>
  <c r="AD123" i="59"/>
  <c r="BK100" i="59"/>
  <c r="BK127" i="59"/>
  <c r="CT92" i="59"/>
  <c r="AC102" i="59"/>
  <c r="CR58" i="59"/>
  <c r="BK54" i="59"/>
  <c r="CR102" i="59"/>
  <c r="BI57" i="59"/>
  <c r="BK56" i="59"/>
  <c r="BI56" i="59"/>
  <c r="AC58" i="59"/>
  <c r="BK57" i="59"/>
  <c r="BI54" i="59"/>
  <c r="BK55" i="59"/>
  <c r="BI55" i="59"/>
  <c r="CS82" i="55"/>
  <c r="CS83" i="55"/>
  <c r="BK25" i="59"/>
  <c r="CS105" i="55"/>
  <c r="CS26" i="57" s="1"/>
  <c r="BI25" i="59"/>
  <c r="AG59" i="58"/>
  <c r="BL59" i="58"/>
  <c r="BH181" i="55"/>
  <c r="BH66" i="55"/>
  <c r="AG201" i="54"/>
  <c r="AG205" i="54"/>
  <c r="BJ181" i="55"/>
  <c r="CR151" i="55"/>
  <c r="AD106" i="55"/>
  <c r="AD83" i="55"/>
  <c r="AD175" i="55"/>
  <c r="AC181" i="55"/>
  <c r="AD105" i="55"/>
  <c r="AD128" i="55" s="1"/>
  <c r="AD82" i="55"/>
  <c r="AD174" i="55"/>
  <c r="BH151" i="55"/>
  <c r="DT151" i="55" s="1"/>
  <c r="AC151" i="55"/>
  <c r="AE82" i="55"/>
  <c r="AE105" i="55"/>
  <c r="AE128" i="55" s="1"/>
  <c r="AE174" i="55"/>
  <c r="AG202" i="54"/>
  <c r="AE106" i="55"/>
  <c r="AE83" i="55"/>
  <c r="AE175" i="55"/>
  <c r="BJ151" i="55"/>
  <c r="DV151" i="55" s="1"/>
  <c r="AC43" i="55"/>
  <c r="BH43" i="55"/>
  <c r="BJ43" i="55"/>
  <c r="AC89" i="55"/>
  <c r="AC66" i="55"/>
  <c r="BJ112" i="55"/>
  <c r="AE60" i="55"/>
  <c r="AE37" i="55"/>
  <c r="BJ89" i="55"/>
  <c r="AD60" i="55"/>
  <c r="AD37" i="55"/>
  <c r="AC112" i="55"/>
  <c r="BH89" i="55"/>
  <c r="AD59" i="55"/>
  <c r="AD36" i="55"/>
  <c r="BH112" i="55"/>
  <c r="AE59" i="55"/>
  <c r="AE36" i="55"/>
  <c r="CS43" i="55"/>
  <c r="BJ66" i="55"/>
  <c r="AG262" i="53"/>
  <c r="AH78" i="51" s="1"/>
  <c r="AH77" i="51"/>
  <c r="AG203" i="54"/>
  <c r="AG204" i="54"/>
  <c r="BI6" i="55"/>
  <c r="BK6" i="55"/>
  <c r="BI7" i="55"/>
  <c r="BK7" i="55"/>
  <c r="CT15" i="55"/>
  <c r="CT29" i="59" s="1"/>
  <c r="CT152" i="59" s="1"/>
  <c r="CT13" i="55"/>
  <c r="CT27" i="59" s="1"/>
  <c r="CT150" i="59" s="1"/>
  <c r="CT14" i="55"/>
  <c r="CT28" i="59" s="1"/>
  <c r="CT151" i="59" s="1"/>
  <c r="CT11" i="55"/>
  <c r="CT12" i="55"/>
  <c r="CT26" i="59" s="1"/>
  <c r="CT53" i="59" s="1"/>
  <c r="CT16" i="55"/>
  <c r="CT30" i="59" s="1"/>
  <c r="AE256" i="53"/>
  <c r="AF74" i="51"/>
  <c r="AF76" i="51" s="1"/>
  <c r="AF10" i="55"/>
  <c r="AF23" i="59" s="1"/>
  <c r="AF146" i="59" s="1"/>
  <c r="BI20" i="55"/>
  <c r="BI19" i="55"/>
  <c r="BK20" i="55"/>
  <c r="BK19" i="55"/>
  <c r="AF256" i="53"/>
  <c r="AG74" i="51"/>
  <c r="AG76" i="51" s="1"/>
  <c r="AG10" i="55"/>
  <c r="AG23" i="59" s="1"/>
  <c r="AG240" i="54"/>
  <c r="AG261" i="54" s="1"/>
  <c r="AG245" i="53"/>
  <c r="AG254" i="53" s="1"/>
  <c r="AH75" i="51" s="1"/>
  <c r="AG220" i="54"/>
  <c r="AG224" i="54" s="1"/>
  <c r="AG221" i="54"/>
  <c r="AF261" i="54"/>
  <c r="AF244" i="54"/>
  <c r="AE252" i="54"/>
  <c r="AG244" i="54"/>
  <c r="AG245" i="54" s="1"/>
  <c r="AG254" i="54" s="1"/>
  <c r="BN75" i="51" s="1"/>
  <c r="DQ149" i="59" l="1"/>
  <c r="DQ155" i="59" s="1"/>
  <c r="CS181" i="55"/>
  <c r="BF39" i="57"/>
  <c r="DT35" i="57"/>
  <c r="DW152" i="59"/>
  <c r="DU101" i="59"/>
  <c r="DU153" i="59"/>
  <c r="DV153" i="59"/>
  <c r="DU151" i="59"/>
  <c r="DV151" i="59"/>
  <c r="CT24" i="59"/>
  <c r="AB149" i="59"/>
  <c r="AB155" i="59" s="1"/>
  <c r="DW150" i="59"/>
  <c r="BG149" i="59"/>
  <c r="BG155" i="59" s="1"/>
  <c r="DT34" i="57"/>
  <c r="BK51" i="59"/>
  <c r="BK147" i="59"/>
  <c r="DV150" i="59"/>
  <c r="CT101" i="59"/>
  <c r="CT153" i="59"/>
  <c r="BI148" i="59"/>
  <c r="BJ148" i="59"/>
  <c r="AG146" i="59"/>
  <c r="BK148" i="59"/>
  <c r="DW101" i="59"/>
  <c r="DW153" i="59"/>
  <c r="BI51" i="59"/>
  <c r="BI147" i="59"/>
  <c r="BJ147" i="59"/>
  <c r="DT128" i="59"/>
  <c r="DU152" i="59"/>
  <c r="DV152" i="59"/>
  <c r="DW151" i="59"/>
  <c r="DW154" i="59"/>
  <c r="BK154" i="59"/>
  <c r="BI154" i="59"/>
  <c r="BJ154" i="59"/>
  <c r="DU154" i="59"/>
  <c r="DV154" i="59"/>
  <c r="DU127" i="59"/>
  <c r="DU100" i="59"/>
  <c r="DU57" i="59"/>
  <c r="DW126" i="59"/>
  <c r="DW99" i="59"/>
  <c r="DW56" i="59"/>
  <c r="DV102" i="59"/>
  <c r="CR135" i="55"/>
  <c r="BL11" i="58"/>
  <c r="BL6" i="58"/>
  <c r="CQ28" i="57"/>
  <c r="CQ30" i="57" s="1"/>
  <c r="CQ18" i="57"/>
  <c r="CQ20" i="57" s="1"/>
  <c r="CQ149" i="59" s="1"/>
  <c r="CQ155" i="59" s="1"/>
  <c r="DW100" i="59"/>
  <c r="DW127" i="59"/>
  <c r="DW57" i="59"/>
  <c r="DV58" i="59"/>
  <c r="DV128" i="59"/>
  <c r="DT102" i="59"/>
  <c r="DU25" i="59"/>
  <c r="DU24" i="59"/>
  <c r="DW55" i="59"/>
  <c r="DW125" i="59"/>
  <c r="DW98" i="59"/>
  <c r="DU53" i="59"/>
  <c r="DU124" i="59"/>
  <c r="DU97" i="59"/>
  <c r="DU54" i="59"/>
  <c r="DU98" i="59"/>
  <c r="DU125" i="59"/>
  <c r="DU55" i="59"/>
  <c r="DW53" i="59"/>
  <c r="DW54" i="59"/>
  <c r="DW124" i="59"/>
  <c r="DW97" i="59"/>
  <c r="CS89" i="55"/>
  <c r="CS6" i="57" s="1"/>
  <c r="CS15" i="57"/>
  <c r="CR27" i="57"/>
  <c r="DW6" i="55"/>
  <c r="DW25" i="59"/>
  <c r="DW24" i="59"/>
  <c r="DW147" i="59" s="1"/>
  <c r="AG11" i="58"/>
  <c r="AG6" i="58"/>
  <c r="DU99" i="59"/>
  <c r="DU126" i="59"/>
  <c r="DU56" i="59"/>
  <c r="CR152" i="55"/>
  <c r="CR18" i="57" s="1"/>
  <c r="CR20" i="57" s="1"/>
  <c r="CR149" i="59" s="1"/>
  <c r="CR155" i="59" s="1"/>
  <c r="CU33" i="59"/>
  <c r="AF50" i="59"/>
  <c r="AF31" i="59"/>
  <c r="AF154" i="59" s="1"/>
  <c r="BI96" i="59"/>
  <c r="BI52" i="59"/>
  <c r="AG50" i="59"/>
  <c r="AG31" i="59"/>
  <c r="BK96" i="59"/>
  <c r="BK52" i="59"/>
  <c r="DU7" i="55"/>
  <c r="DS30" i="57"/>
  <c r="DR39" i="57"/>
  <c r="DR9" i="57"/>
  <c r="DT37" i="57"/>
  <c r="DT7" i="57"/>
  <c r="DT36" i="57"/>
  <c r="DT6" i="57"/>
  <c r="DU19" i="55"/>
  <c r="DU20" i="55"/>
  <c r="DV26" i="57"/>
  <c r="DP39" i="57"/>
  <c r="DP9" i="57"/>
  <c r="DS20" i="57"/>
  <c r="DW7" i="55"/>
  <c r="BJ135" i="55"/>
  <c r="BJ38" i="57" s="1"/>
  <c r="DV129" i="55"/>
  <c r="DV135" i="55" s="1"/>
  <c r="DV36" i="57"/>
  <c r="DV6" i="57"/>
  <c r="DV40" i="57"/>
  <c r="DV10" i="57"/>
  <c r="DT26" i="57"/>
  <c r="DU6" i="55"/>
  <c r="DV35" i="57"/>
  <c r="DV5" i="57"/>
  <c r="DT40" i="57"/>
  <c r="DT10" i="57"/>
  <c r="DW19" i="55"/>
  <c r="DW20" i="55"/>
  <c r="BH135" i="55"/>
  <c r="DT129" i="55"/>
  <c r="DT135" i="55" s="1"/>
  <c r="DR18" i="57"/>
  <c r="DR20" i="57" s="1"/>
  <c r="DR149" i="59" s="1"/>
  <c r="DR155" i="59" s="1"/>
  <c r="DR28" i="57"/>
  <c r="DR30" i="57" s="1"/>
  <c r="DV37" i="57"/>
  <c r="DV7" i="57"/>
  <c r="CS24" i="57"/>
  <c r="AE112" i="55"/>
  <c r="AE7" i="57" s="1"/>
  <c r="CS128" i="55"/>
  <c r="AE89" i="55"/>
  <c r="AE36" i="57" s="1"/>
  <c r="AE128" i="59"/>
  <c r="CQ158" i="55"/>
  <c r="CQ39" i="57" s="1"/>
  <c r="CQ41" i="57" s="1"/>
  <c r="CR28" i="57"/>
  <c r="CR30" i="57" s="1"/>
  <c r="AD25" i="57"/>
  <c r="AD15" i="57"/>
  <c r="AC152" i="55"/>
  <c r="AC17" i="57"/>
  <c r="AC27" i="57"/>
  <c r="AD24" i="57"/>
  <c r="AD14" i="57"/>
  <c r="AD129" i="55"/>
  <c r="AD135" i="55" s="1"/>
  <c r="AD26" i="57"/>
  <c r="AD16" i="57"/>
  <c r="BJ6" i="57"/>
  <c r="BJ36" i="57"/>
  <c r="BH4" i="57"/>
  <c r="BH34" i="57"/>
  <c r="CS112" i="55"/>
  <c r="CR8" i="57"/>
  <c r="CR38" i="57"/>
  <c r="CS25" i="57"/>
  <c r="AC6" i="57"/>
  <c r="AC36" i="57"/>
  <c r="BH8" i="57"/>
  <c r="BH38" i="57"/>
  <c r="AE23" i="57"/>
  <c r="AE13" i="57"/>
  <c r="CR158" i="55"/>
  <c r="CS152" i="55"/>
  <c r="CS18" i="57" s="1"/>
  <c r="CS27" i="57"/>
  <c r="BJ152" i="55"/>
  <c r="DV152" i="55" s="1"/>
  <c r="DV158" i="55" s="1"/>
  <c r="BJ27" i="57"/>
  <c r="BJ17" i="57"/>
  <c r="AE129" i="55"/>
  <c r="AE135" i="55" s="1"/>
  <c r="AE26" i="57"/>
  <c r="AE16" i="57"/>
  <c r="CS10" i="57"/>
  <c r="CS40" i="57"/>
  <c r="AF121" i="59"/>
  <c r="AC4" i="57"/>
  <c r="AC34" i="57"/>
  <c r="AG121" i="59"/>
  <c r="AE24" i="57"/>
  <c r="AE14" i="57"/>
  <c r="BJ10" i="57"/>
  <c r="BJ40" i="57"/>
  <c r="BH10" i="57"/>
  <c r="BH40" i="57"/>
  <c r="BJ4" i="57"/>
  <c r="BJ34" i="57"/>
  <c r="BH7" i="57"/>
  <c r="BH37" i="57"/>
  <c r="CS5" i="57"/>
  <c r="CS35" i="57"/>
  <c r="CQ9" i="57"/>
  <c r="BJ5" i="57"/>
  <c r="BJ35" i="57"/>
  <c r="BJ7" i="57"/>
  <c r="BJ37" i="57"/>
  <c r="BJ158" i="55"/>
  <c r="AD128" i="59"/>
  <c r="AD23" i="57"/>
  <c r="AD13" i="57"/>
  <c r="CS4" i="57"/>
  <c r="CS34" i="57"/>
  <c r="BH6" i="57"/>
  <c r="BH36" i="57"/>
  <c r="AC5" i="57"/>
  <c r="AC35" i="57"/>
  <c r="AE19" i="57"/>
  <c r="AE29" i="57"/>
  <c r="AC10" i="57"/>
  <c r="AC40" i="57"/>
  <c r="BH152" i="55"/>
  <c r="DT152" i="55" s="1"/>
  <c r="DT158" i="55" s="1"/>
  <c r="BH27" i="57"/>
  <c r="BH17" i="57"/>
  <c r="AC7" i="57"/>
  <c r="AC37" i="57"/>
  <c r="AE15" i="57"/>
  <c r="AE25" i="57"/>
  <c r="AC135" i="55"/>
  <c r="AD29" i="57"/>
  <c r="AD19" i="57"/>
  <c r="BH5" i="57"/>
  <c r="BH35" i="57"/>
  <c r="CS128" i="59"/>
  <c r="CT100" i="59"/>
  <c r="CT127" i="59"/>
  <c r="BI94" i="59"/>
  <c r="BI122" i="59"/>
  <c r="CT97" i="59"/>
  <c r="CT124" i="59"/>
  <c r="BI95" i="59"/>
  <c r="BI123" i="59"/>
  <c r="BK94" i="59"/>
  <c r="BK122" i="59"/>
  <c r="BK95" i="59"/>
  <c r="BK123" i="59"/>
  <c r="CT99" i="59"/>
  <c r="CT126" i="59"/>
  <c r="CT98" i="59"/>
  <c r="CT125" i="59"/>
  <c r="AG93" i="59"/>
  <c r="AF93" i="59"/>
  <c r="AE102" i="59"/>
  <c r="AD58" i="59"/>
  <c r="CS102" i="59"/>
  <c r="AD102" i="59"/>
  <c r="CT55" i="59"/>
  <c r="CT56" i="59"/>
  <c r="CT57" i="59"/>
  <c r="CT54" i="59"/>
  <c r="CS58" i="59"/>
  <c r="AE58" i="59"/>
  <c r="CT19" i="55"/>
  <c r="CT82" i="55" s="1"/>
  <c r="CT25" i="59"/>
  <c r="CT148" i="59" s="1"/>
  <c r="AD43" i="55"/>
  <c r="AH59" i="58"/>
  <c r="AF58" i="58"/>
  <c r="AF5" i="58" s="1"/>
  <c r="AE181" i="55"/>
  <c r="AG58" i="58"/>
  <c r="AG5" i="58" s="1"/>
  <c r="AG252" i="53"/>
  <c r="AD89" i="55"/>
  <c r="AD66" i="55"/>
  <c r="AE151" i="55"/>
  <c r="AD151" i="55"/>
  <c r="BK106" i="55"/>
  <c r="DW106" i="55" s="1"/>
  <c r="BK83" i="55"/>
  <c r="DW83" i="55" s="1"/>
  <c r="BK175" i="55"/>
  <c r="DW175" i="55" s="1"/>
  <c r="BI105" i="55"/>
  <c r="BI82" i="55"/>
  <c r="DU82" i="55" s="1"/>
  <c r="BI174" i="55"/>
  <c r="DU174" i="55" s="1"/>
  <c r="BK105" i="55"/>
  <c r="BK82" i="55"/>
  <c r="DW82" i="55" s="1"/>
  <c r="BK174" i="55"/>
  <c r="DW174" i="55" s="1"/>
  <c r="BI106" i="55"/>
  <c r="DU106" i="55" s="1"/>
  <c r="BI83" i="55"/>
  <c r="DU83" i="55" s="1"/>
  <c r="BI175" i="55"/>
  <c r="DU175" i="55" s="1"/>
  <c r="CS151" i="55"/>
  <c r="CS135" i="55"/>
  <c r="AD181" i="55"/>
  <c r="AD112" i="55"/>
  <c r="BI59" i="55"/>
  <c r="DU59" i="55" s="1"/>
  <c r="BI60" i="55"/>
  <c r="DU60" i="55" s="1"/>
  <c r="BK59" i="55"/>
  <c r="DW59" i="55" s="1"/>
  <c r="BK60" i="55"/>
  <c r="DW60" i="55" s="1"/>
  <c r="AE66" i="55"/>
  <c r="BK36" i="55"/>
  <c r="DW36" i="55" s="1"/>
  <c r="BK37" i="55"/>
  <c r="DW37" i="55" s="1"/>
  <c r="BI36" i="55"/>
  <c r="DU36" i="55" s="1"/>
  <c r="AE43" i="55"/>
  <c r="BI37" i="55"/>
  <c r="DU37" i="55" s="1"/>
  <c r="AF262" i="54"/>
  <c r="BM78" i="51" s="1"/>
  <c r="BM77" i="51"/>
  <c r="AG262" i="54"/>
  <c r="BN78" i="51" s="1"/>
  <c r="BN77" i="51"/>
  <c r="CT6" i="55"/>
  <c r="AF15" i="55"/>
  <c r="AF29" i="59" s="1"/>
  <c r="AF152" i="59" s="1"/>
  <c r="AF16" i="55"/>
  <c r="AF30" i="59" s="1"/>
  <c r="AF11" i="55"/>
  <c r="AF12" i="55"/>
  <c r="AF26" i="59" s="1"/>
  <c r="AF53" i="59" s="1"/>
  <c r="AF13" i="55"/>
  <c r="AF27" i="59" s="1"/>
  <c r="AF150" i="59" s="1"/>
  <c r="AF14" i="55"/>
  <c r="AF28" i="59" s="1"/>
  <c r="AF151" i="59" s="1"/>
  <c r="CT7" i="55"/>
  <c r="AG11" i="55"/>
  <c r="AG16" i="55"/>
  <c r="AG30" i="59" s="1"/>
  <c r="AG12" i="55"/>
  <c r="AG26" i="59" s="1"/>
  <c r="AG53" i="59" s="1"/>
  <c r="AG13" i="55"/>
  <c r="AG27" i="59" s="1"/>
  <c r="AG15" i="55"/>
  <c r="AG29" i="59" s="1"/>
  <c r="AG152" i="59" s="1"/>
  <c r="AG14" i="55"/>
  <c r="AG28" i="59" s="1"/>
  <c r="AG151" i="59" s="1"/>
  <c r="AE256" i="54"/>
  <c r="BL74" i="51"/>
  <c r="BL76" i="51" s="1"/>
  <c r="BL10" i="55"/>
  <c r="AF245" i="54"/>
  <c r="AF254" i="54" s="1"/>
  <c r="BM75" i="51" s="1"/>
  <c r="AF252" i="54"/>
  <c r="AG252" i="54"/>
  <c r="AG150" i="59" l="1"/>
  <c r="AF24" i="59"/>
  <c r="CS36" i="57"/>
  <c r="DW148" i="59"/>
  <c r="AG24" i="59"/>
  <c r="AG51" i="59" s="1"/>
  <c r="DS149" i="59"/>
  <c r="DS155" i="59" s="1"/>
  <c r="CT51" i="59"/>
  <c r="CT147" i="59"/>
  <c r="CS20" i="57"/>
  <c r="CS149" i="59" s="1"/>
  <c r="CS155" i="59" s="1"/>
  <c r="DU147" i="59"/>
  <c r="DV147" i="59"/>
  <c r="AF51" i="59"/>
  <c r="AF147" i="59"/>
  <c r="DU148" i="59"/>
  <c r="DV148" i="59"/>
  <c r="AF101" i="59"/>
  <c r="AF153" i="59"/>
  <c r="DU66" i="55"/>
  <c r="AG101" i="59"/>
  <c r="AG153" i="59"/>
  <c r="AG154" i="59"/>
  <c r="CS158" i="55"/>
  <c r="DW51" i="59"/>
  <c r="DW122" i="59"/>
  <c r="DW94" i="59"/>
  <c r="DU52" i="59"/>
  <c r="DU123" i="59"/>
  <c r="DU96" i="59"/>
  <c r="DU95" i="59"/>
  <c r="DW181" i="55"/>
  <c r="DW40" i="57" s="1"/>
  <c r="DW52" i="59"/>
  <c r="DW58" i="59" s="1"/>
  <c r="DW96" i="59"/>
  <c r="DW95" i="59"/>
  <c r="DW123" i="59"/>
  <c r="DU51" i="59"/>
  <c r="DU122" i="59"/>
  <c r="DU94" i="59"/>
  <c r="AH74" i="51"/>
  <c r="D60" i="60" s="1"/>
  <c r="AH10" i="55"/>
  <c r="AH11" i="55" s="1"/>
  <c r="AH11" i="58"/>
  <c r="AH6" i="58"/>
  <c r="CT96" i="59"/>
  <c r="CT52" i="59"/>
  <c r="CU46" i="59" s="1"/>
  <c r="EI46" i="59" s="1"/>
  <c r="EI49" i="59" s="1"/>
  <c r="AE37" i="57"/>
  <c r="DW43" i="55"/>
  <c r="DW4" i="57" s="1"/>
  <c r="DV39" i="57"/>
  <c r="DV9" i="57"/>
  <c r="DW66" i="55"/>
  <c r="DU15" i="57"/>
  <c r="DU25" i="57"/>
  <c r="DU89" i="55"/>
  <c r="DW29" i="57"/>
  <c r="DW19" i="57"/>
  <c r="DW24" i="57"/>
  <c r="DW14" i="57"/>
  <c r="DV38" i="57"/>
  <c r="DV8" i="57"/>
  <c r="DU23" i="57"/>
  <c r="DU13" i="57"/>
  <c r="DU24" i="57"/>
  <c r="DU14" i="57"/>
  <c r="DU16" i="57"/>
  <c r="DW25" i="57"/>
  <c r="DW15" i="57"/>
  <c r="DW89" i="55"/>
  <c r="DT18" i="57"/>
  <c r="DT28" i="57"/>
  <c r="DV28" i="57"/>
  <c r="DV18" i="57"/>
  <c r="DU19" i="57"/>
  <c r="DU29" i="57"/>
  <c r="DU35" i="57"/>
  <c r="DU5" i="57"/>
  <c r="DW16" i="57"/>
  <c r="DT38" i="57"/>
  <c r="DT8" i="57"/>
  <c r="DU43" i="55"/>
  <c r="BI128" i="55"/>
  <c r="DU128" i="55" s="1"/>
  <c r="DU105" i="55"/>
  <c r="DU112" i="55" s="1"/>
  <c r="BJ8" i="57"/>
  <c r="BL23" i="59"/>
  <c r="BL146" i="59" s="1"/>
  <c r="DX10" i="55"/>
  <c r="DX23" i="59" s="1"/>
  <c r="DX146" i="59" s="1"/>
  <c r="DW13" i="57"/>
  <c r="DW23" i="57"/>
  <c r="BK128" i="55"/>
  <c r="DW128" i="55" s="1"/>
  <c r="DW105" i="55"/>
  <c r="DW112" i="55" s="1"/>
  <c r="DT39" i="57"/>
  <c r="DT9" i="57"/>
  <c r="DW34" i="57"/>
  <c r="DU181" i="55"/>
  <c r="DT27" i="57"/>
  <c r="DT17" i="57"/>
  <c r="DV27" i="57"/>
  <c r="DV17" i="57"/>
  <c r="DV20" i="57" s="1"/>
  <c r="AE6" i="57"/>
  <c r="CT105" i="55"/>
  <c r="CT128" i="55" s="1"/>
  <c r="CT106" i="55"/>
  <c r="CT16" i="57" s="1"/>
  <c r="CT59" i="55"/>
  <c r="CT36" i="55"/>
  <c r="CT60" i="55"/>
  <c r="CT14" i="57" s="1"/>
  <c r="AG256" i="53"/>
  <c r="CT37" i="55"/>
  <c r="CT13" i="57" s="1"/>
  <c r="CT174" i="55"/>
  <c r="CT83" i="55"/>
  <c r="CT89" i="55" s="1"/>
  <c r="CT175" i="55"/>
  <c r="CT19" i="57" s="1"/>
  <c r="BK23" i="57"/>
  <c r="BK13" i="57"/>
  <c r="BH28" i="57"/>
  <c r="BH30" i="57" s="1"/>
  <c r="BH18" i="57"/>
  <c r="BH20" i="57" s="1"/>
  <c r="BH149" i="59" s="1"/>
  <c r="BH155" i="59" s="1"/>
  <c r="BJ9" i="57"/>
  <c r="BJ39" i="57"/>
  <c r="AD7" i="57"/>
  <c r="AD37" i="57"/>
  <c r="AE8" i="57"/>
  <c r="AE38" i="57"/>
  <c r="CR9" i="57"/>
  <c r="CR39" i="57"/>
  <c r="CR41" i="57" s="1"/>
  <c r="AE5" i="57"/>
  <c r="AE35" i="57"/>
  <c r="AD10" i="57"/>
  <c r="AD40" i="57"/>
  <c r="AD4" i="57"/>
  <c r="AD34" i="57"/>
  <c r="AE152" i="55"/>
  <c r="AE158" i="55" s="1"/>
  <c r="AE27" i="57"/>
  <c r="AE17" i="57"/>
  <c r="BI23" i="57"/>
  <c r="BI13" i="57"/>
  <c r="CS8" i="57"/>
  <c r="CS38" i="57"/>
  <c r="AD5" i="57"/>
  <c r="AD35" i="57"/>
  <c r="BH158" i="55"/>
  <c r="AD152" i="55"/>
  <c r="AD27" i="57"/>
  <c r="AD17" i="57"/>
  <c r="AC18" i="57"/>
  <c r="AC20" i="57" s="1"/>
  <c r="AC149" i="59" s="1"/>
  <c r="AC155" i="59" s="1"/>
  <c r="AC28" i="57"/>
  <c r="AC30" i="57" s="1"/>
  <c r="CS9" i="57"/>
  <c r="CS39" i="57"/>
  <c r="BK29" i="57"/>
  <c r="BK19" i="57"/>
  <c r="AD6" i="57"/>
  <c r="AD36" i="57"/>
  <c r="CS7" i="57"/>
  <c r="CS37" i="57"/>
  <c r="BK24" i="57"/>
  <c r="BK14" i="57"/>
  <c r="BI29" i="57"/>
  <c r="BI19" i="57"/>
  <c r="BK25" i="57"/>
  <c r="BK15" i="57"/>
  <c r="BJ28" i="57"/>
  <c r="BJ30" i="57" s="1"/>
  <c r="BJ18" i="57"/>
  <c r="BJ20" i="57" s="1"/>
  <c r="AE4" i="57"/>
  <c r="AE34" i="57"/>
  <c r="BI25" i="57"/>
  <c r="BI15" i="57"/>
  <c r="BK129" i="55"/>
  <c r="BK26" i="57"/>
  <c r="BK16" i="57"/>
  <c r="AC158" i="55"/>
  <c r="BI24" i="57"/>
  <c r="BI14" i="57"/>
  <c r="BI129" i="55"/>
  <c r="DU129" i="55" s="1"/>
  <c r="BI26" i="57"/>
  <c r="BI16" i="57"/>
  <c r="AD8" i="57"/>
  <c r="AD38" i="57"/>
  <c r="AE10" i="57"/>
  <c r="AE40" i="57"/>
  <c r="AC8" i="57"/>
  <c r="AC38" i="57"/>
  <c r="CS28" i="57"/>
  <c r="CS30" i="57" s="1"/>
  <c r="AG99" i="59"/>
  <c r="AG126" i="59"/>
  <c r="CT95" i="59"/>
  <c r="CT123" i="59"/>
  <c r="AF99" i="59"/>
  <c r="AF126" i="59"/>
  <c r="AG98" i="59"/>
  <c r="AG125" i="59"/>
  <c r="AG97" i="59"/>
  <c r="AG124" i="59"/>
  <c r="AF98" i="59"/>
  <c r="AF125" i="59"/>
  <c r="AF97" i="59"/>
  <c r="AF124" i="59"/>
  <c r="AF100" i="59"/>
  <c r="AF127" i="59"/>
  <c r="AG100" i="59"/>
  <c r="AG127" i="59"/>
  <c r="CT94" i="59"/>
  <c r="CT122" i="59"/>
  <c r="CT128" i="59" s="1"/>
  <c r="AG10" i="58"/>
  <c r="AF10" i="58"/>
  <c r="BK102" i="59"/>
  <c r="AF55" i="59"/>
  <c r="AG55" i="59"/>
  <c r="AG54" i="59"/>
  <c r="AF54" i="59"/>
  <c r="AG56" i="59"/>
  <c r="AG57" i="59"/>
  <c r="AF57" i="59"/>
  <c r="AF56" i="59"/>
  <c r="BI102" i="59"/>
  <c r="BK181" i="55"/>
  <c r="AG25" i="59"/>
  <c r="AF25" i="59"/>
  <c r="AF148" i="59" s="1"/>
  <c r="BN59" i="58"/>
  <c r="BM59" i="58"/>
  <c r="BL58" i="58"/>
  <c r="BI66" i="55"/>
  <c r="BI181" i="55"/>
  <c r="BI151" i="55"/>
  <c r="DU151" i="55" s="1"/>
  <c r="BI135" i="55"/>
  <c r="BK151" i="55"/>
  <c r="DW151" i="55" s="1"/>
  <c r="BI43" i="55"/>
  <c r="BI112" i="55"/>
  <c r="BK112" i="55"/>
  <c r="BK89" i="55"/>
  <c r="BI89" i="55"/>
  <c r="BK66" i="55"/>
  <c r="BK43" i="55"/>
  <c r="CT66" i="55"/>
  <c r="AG6" i="55"/>
  <c r="AF6" i="55"/>
  <c r="BL13" i="55"/>
  <c r="BL27" i="59" s="1"/>
  <c r="BL150" i="59" s="1"/>
  <c r="BL16" i="55"/>
  <c r="BL30" i="59" s="1"/>
  <c r="BL14" i="55"/>
  <c r="BL28" i="59" s="1"/>
  <c r="BL151" i="59" s="1"/>
  <c r="BL12" i="55"/>
  <c r="BL26" i="59" s="1"/>
  <c r="BL53" i="59" s="1"/>
  <c r="BL15" i="55"/>
  <c r="BL29" i="59" s="1"/>
  <c r="BL152" i="59" s="1"/>
  <c r="BL11" i="55"/>
  <c r="AF256" i="54"/>
  <c r="BM74" i="51"/>
  <c r="BM76" i="51" s="1"/>
  <c r="BM10" i="55"/>
  <c r="AG7" i="55"/>
  <c r="AG20" i="55"/>
  <c r="AG19" i="55"/>
  <c r="CF14" i="51"/>
  <c r="AH76" i="51"/>
  <c r="AF20" i="55"/>
  <c r="AF19" i="55"/>
  <c r="AG256" i="54"/>
  <c r="BN74" i="51"/>
  <c r="BN10" i="55"/>
  <c r="DZ10" i="55" s="1"/>
  <c r="DZ23" i="59" s="1"/>
  <c r="AF7" i="55"/>
  <c r="AH23" i="59" l="1"/>
  <c r="AH146" i="59" s="1"/>
  <c r="CT112" i="55"/>
  <c r="CT43" i="55"/>
  <c r="CT26" i="57"/>
  <c r="AG147" i="59"/>
  <c r="CT23" i="57"/>
  <c r="DT20" i="57"/>
  <c r="DT149" i="59" s="1"/>
  <c r="DT155" i="59" s="1"/>
  <c r="CT129" i="55"/>
  <c r="CT17" i="57" s="1"/>
  <c r="AG148" i="59"/>
  <c r="DU102" i="59"/>
  <c r="BL101" i="59"/>
  <c r="BL153" i="59"/>
  <c r="DW10" i="57"/>
  <c r="BN76" i="51"/>
  <c r="G56" i="60"/>
  <c r="S8" i="60"/>
  <c r="DX50" i="59"/>
  <c r="DX93" i="59"/>
  <c r="DX121" i="59"/>
  <c r="DX31" i="59"/>
  <c r="DX154" i="59" s="1"/>
  <c r="DU128" i="59"/>
  <c r="CT25" i="57"/>
  <c r="CT15" i="57"/>
  <c r="DU58" i="59"/>
  <c r="BM11" i="58"/>
  <c r="BM6" i="58"/>
  <c r="DW102" i="59"/>
  <c r="DZ50" i="59"/>
  <c r="DZ93" i="59"/>
  <c r="DZ121" i="59"/>
  <c r="DZ31" i="59"/>
  <c r="DW128" i="59"/>
  <c r="BN11" i="58"/>
  <c r="BN6" i="58"/>
  <c r="DV30" i="57"/>
  <c r="AF96" i="59"/>
  <c r="AF52" i="59"/>
  <c r="AG96" i="59"/>
  <c r="AG52" i="59"/>
  <c r="BL121" i="59"/>
  <c r="BL50" i="59"/>
  <c r="BL24" i="59"/>
  <c r="BL31" i="59"/>
  <c r="BL154" i="59" s="1"/>
  <c r="O27" i="60"/>
  <c r="I37" i="60" s="1"/>
  <c r="AH50" i="59"/>
  <c r="AH31" i="59"/>
  <c r="AH154" i="59" s="1"/>
  <c r="D13" i="61"/>
  <c r="D15" i="61" s="1"/>
  <c r="H34" i="60"/>
  <c r="H35" i="60"/>
  <c r="DT30" i="57"/>
  <c r="BL93" i="59"/>
  <c r="DU37" i="57"/>
  <c r="DU7" i="57"/>
  <c r="DU36" i="57"/>
  <c r="DU6" i="57"/>
  <c r="DW37" i="57"/>
  <c r="DW7" i="57"/>
  <c r="DU135" i="55"/>
  <c r="DW36" i="57"/>
  <c r="DW6" i="57"/>
  <c r="BM23" i="59"/>
  <c r="BM146" i="59" s="1"/>
  <c r="DY10" i="55"/>
  <c r="DY23" i="59" s="1"/>
  <c r="DY146" i="59" s="1"/>
  <c r="BK135" i="55"/>
  <c r="BK8" i="57" s="1"/>
  <c r="DW129" i="55"/>
  <c r="DW135" i="55" s="1"/>
  <c r="DU34" i="57"/>
  <c r="DU4" i="57"/>
  <c r="DZ13" i="55"/>
  <c r="DZ27" i="59" s="1"/>
  <c r="DZ12" i="55"/>
  <c r="DZ26" i="59" s="1"/>
  <c r="DZ11" i="55"/>
  <c r="DZ16" i="55"/>
  <c r="DZ15" i="55"/>
  <c r="DZ29" i="59" s="1"/>
  <c r="DZ14" i="55"/>
  <c r="DZ28" i="59" s="1"/>
  <c r="DW35" i="57"/>
  <c r="DW5" i="57"/>
  <c r="DU27" i="57"/>
  <c r="DU17" i="57"/>
  <c r="DU40" i="57"/>
  <c r="DU10" i="57"/>
  <c r="DU26" i="57"/>
  <c r="DX13" i="55"/>
  <c r="DX27" i="59" s="1"/>
  <c r="DX150" i="59" s="1"/>
  <c r="DX12" i="55"/>
  <c r="DX26" i="59" s="1"/>
  <c r="DX16" i="55"/>
  <c r="DX30" i="59" s="1"/>
  <c r="DX15" i="55"/>
  <c r="DX29" i="59" s="1"/>
  <c r="DX152" i="59" s="1"/>
  <c r="DX11" i="55"/>
  <c r="DX14" i="55"/>
  <c r="DX28" i="59" s="1"/>
  <c r="DX151" i="59" s="1"/>
  <c r="DW26" i="57"/>
  <c r="CT181" i="55"/>
  <c r="CT10" i="57" s="1"/>
  <c r="CT29" i="57"/>
  <c r="CT24" i="57"/>
  <c r="BN23" i="59"/>
  <c r="BO10" i="55"/>
  <c r="K20" i="61"/>
  <c r="CS41" i="57"/>
  <c r="AH14" i="55"/>
  <c r="AH13" i="55"/>
  <c r="AH12" i="55"/>
  <c r="AH15" i="55"/>
  <c r="AH29" i="59" s="1"/>
  <c r="AH16" i="55"/>
  <c r="AH30" i="59" s="1"/>
  <c r="AF32" i="59"/>
  <c r="AG32" i="59"/>
  <c r="BK5" i="57"/>
  <c r="BK35" i="57"/>
  <c r="CT7" i="57"/>
  <c r="CT37" i="57"/>
  <c r="BI5" i="57"/>
  <c r="BI35" i="57"/>
  <c r="BK152" i="55"/>
  <c r="BK17" i="57"/>
  <c r="BK27" i="57"/>
  <c r="CT4" i="57"/>
  <c r="CT34" i="57"/>
  <c r="BK10" i="57"/>
  <c r="BK40" i="57"/>
  <c r="BI152" i="55"/>
  <c r="BI17" i="57"/>
  <c r="BI27" i="57"/>
  <c r="AD18" i="57"/>
  <c r="AD20" i="57" s="1"/>
  <c r="AD149" i="59" s="1"/>
  <c r="AD155" i="59" s="1"/>
  <c r="AD28" i="57"/>
  <c r="AD30" i="57" s="1"/>
  <c r="BH9" i="57"/>
  <c r="BH39" i="57"/>
  <c r="AE9" i="57"/>
  <c r="AE39" i="57"/>
  <c r="AE41" i="57" s="1"/>
  <c r="BK6" i="57"/>
  <c r="BK36" i="57"/>
  <c r="AH121" i="59"/>
  <c r="AH93" i="59"/>
  <c r="AD158" i="55"/>
  <c r="BK7" i="57"/>
  <c r="BK37" i="57"/>
  <c r="AC9" i="57"/>
  <c r="AC39" i="57"/>
  <c r="AC41" i="57" s="1"/>
  <c r="BI6" i="57"/>
  <c r="BI36" i="57"/>
  <c r="BI7" i="57"/>
  <c r="BI37" i="57"/>
  <c r="BI8" i="57"/>
  <c r="BI38" i="57"/>
  <c r="CT5" i="57"/>
  <c r="CT35" i="57"/>
  <c r="CT6" i="57"/>
  <c r="CT36" i="57"/>
  <c r="CT152" i="55"/>
  <c r="CT18" i="57" s="1"/>
  <c r="CT27" i="57"/>
  <c r="AE18" i="57"/>
  <c r="AE20" i="57" s="1"/>
  <c r="AE28" i="57"/>
  <c r="AE30" i="57" s="1"/>
  <c r="BK4" i="57"/>
  <c r="BK34" i="57"/>
  <c r="BI4" i="57"/>
  <c r="BI34" i="57"/>
  <c r="BI10" i="57"/>
  <c r="BI40" i="57"/>
  <c r="AF95" i="59"/>
  <c r="AF123" i="59"/>
  <c r="AF94" i="59"/>
  <c r="AF122" i="59"/>
  <c r="BL98" i="59"/>
  <c r="BL125" i="59"/>
  <c r="BL100" i="59"/>
  <c r="BL127" i="59"/>
  <c r="AG95" i="59"/>
  <c r="AG123" i="59"/>
  <c r="BL97" i="59"/>
  <c r="BL124" i="59"/>
  <c r="AG94" i="59"/>
  <c r="AG122" i="59"/>
  <c r="BL99" i="59"/>
  <c r="BL126" i="59"/>
  <c r="CT58" i="59"/>
  <c r="BL54" i="59"/>
  <c r="BL55" i="59"/>
  <c r="CT102" i="59"/>
  <c r="BL57" i="59"/>
  <c r="BL56" i="59"/>
  <c r="BL25" i="59"/>
  <c r="BL148" i="59" s="1"/>
  <c r="BN58" i="58"/>
  <c r="S9" i="60" s="1"/>
  <c r="BM58" i="58"/>
  <c r="AH58" i="58"/>
  <c r="P16" i="60" s="1"/>
  <c r="AF106" i="55"/>
  <c r="AF83" i="55"/>
  <c r="AF175" i="55"/>
  <c r="CT151" i="55"/>
  <c r="CT135" i="55"/>
  <c r="AG105" i="55"/>
  <c r="AG128" i="55" s="1"/>
  <c r="AG82" i="55"/>
  <c r="AG174" i="55"/>
  <c r="AG83" i="55"/>
  <c r="AG106" i="55"/>
  <c r="AG175" i="55"/>
  <c r="AF82" i="55"/>
  <c r="AF105" i="55"/>
  <c r="AF128" i="55" s="1"/>
  <c r="AF174" i="55"/>
  <c r="AF59" i="55"/>
  <c r="AF36" i="55"/>
  <c r="AG59" i="55"/>
  <c r="AG36" i="55"/>
  <c r="AG60" i="55"/>
  <c r="AG37" i="55"/>
  <c r="AF60" i="55"/>
  <c r="AF37" i="55"/>
  <c r="BL19" i="55"/>
  <c r="BL20" i="55"/>
  <c r="BM15" i="55"/>
  <c r="BM29" i="59" s="1"/>
  <c r="BM152" i="59" s="1"/>
  <c r="BM13" i="55"/>
  <c r="BM27" i="59" s="1"/>
  <c r="BM150" i="59" s="1"/>
  <c r="BM16" i="55"/>
  <c r="BM30" i="59" s="1"/>
  <c r="BM11" i="55"/>
  <c r="BM14" i="55"/>
  <c r="BM28" i="59" s="1"/>
  <c r="BM151" i="59" s="1"/>
  <c r="BM12" i="55"/>
  <c r="BM26" i="59" s="1"/>
  <c r="BM53" i="59" s="1"/>
  <c r="BL6" i="55"/>
  <c r="BN16" i="55"/>
  <c r="BN15" i="55"/>
  <c r="BN13" i="55"/>
  <c r="BN12" i="55"/>
  <c r="BN14" i="55"/>
  <c r="R30" i="63" s="1"/>
  <c r="R50" i="63" s="1"/>
  <c r="BN11" i="55"/>
  <c r="BL7" i="55"/>
  <c r="BN93" i="59" l="1"/>
  <c r="DZ146" i="59"/>
  <c r="AH101" i="59"/>
  <c r="AH153" i="59"/>
  <c r="I35" i="60"/>
  <c r="BN146" i="59"/>
  <c r="DX101" i="59"/>
  <c r="DX153" i="59"/>
  <c r="BL51" i="59"/>
  <c r="BL147" i="59"/>
  <c r="BM101" i="59"/>
  <c r="BM153" i="59"/>
  <c r="AE149" i="59"/>
  <c r="AE155" i="59" s="1"/>
  <c r="AH100" i="59"/>
  <c r="AH152" i="59"/>
  <c r="AA8" i="63"/>
  <c r="CT20" i="57"/>
  <c r="CT149" i="59" s="1"/>
  <c r="CT155" i="59" s="1"/>
  <c r="J27" i="60"/>
  <c r="J30" i="60" s="1"/>
  <c r="DX127" i="59"/>
  <c r="DX100" i="59"/>
  <c r="DX57" i="59"/>
  <c r="AA11" i="63"/>
  <c r="DX53" i="59"/>
  <c r="DX54" i="59"/>
  <c r="DX97" i="59"/>
  <c r="DX124" i="59"/>
  <c r="CT158" i="55"/>
  <c r="DX125" i="59"/>
  <c r="DX55" i="59"/>
  <c r="DX98" i="59"/>
  <c r="AA12" i="63"/>
  <c r="AA9" i="63"/>
  <c r="DY50" i="59"/>
  <c r="DY93" i="59"/>
  <c r="DY121" i="59"/>
  <c r="DY31" i="59"/>
  <c r="DY154" i="59" s="1"/>
  <c r="DX56" i="59"/>
  <c r="DX99" i="59"/>
  <c r="DX126" i="59"/>
  <c r="H55" i="60"/>
  <c r="I55" i="60"/>
  <c r="DX25" i="59"/>
  <c r="DX148" i="59" s="1"/>
  <c r="DX24" i="59"/>
  <c r="DX147" i="59" s="1"/>
  <c r="BL96" i="59"/>
  <c r="BL52" i="59"/>
  <c r="BN50" i="59"/>
  <c r="BO45" i="59" s="1"/>
  <c r="EJ45" i="59" s="1"/>
  <c r="EK45" i="59" s="1"/>
  <c r="BN31" i="59"/>
  <c r="BM50" i="59"/>
  <c r="BM24" i="59"/>
  <c r="BM31" i="59"/>
  <c r="BM154" i="59" s="1"/>
  <c r="D14" i="61"/>
  <c r="DZ56" i="59"/>
  <c r="DZ99" i="59"/>
  <c r="DZ126" i="59"/>
  <c r="EC13" i="55"/>
  <c r="AH27" i="59"/>
  <c r="AH150" i="59" s="1"/>
  <c r="AH28" i="59"/>
  <c r="EB16" i="55"/>
  <c r="DZ30" i="59"/>
  <c r="AH26" i="59"/>
  <c r="AH97" i="59" s="1"/>
  <c r="AH24" i="59"/>
  <c r="DZ125" i="59"/>
  <c r="DZ98" i="59"/>
  <c r="DZ55" i="59"/>
  <c r="DZ127" i="59"/>
  <c r="DZ57" i="59"/>
  <c r="DZ100" i="59"/>
  <c r="DZ6" i="55"/>
  <c r="DZ24" i="59"/>
  <c r="DZ25" i="59"/>
  <c r="R33" i="63"/>
  <c r="R53" i="63" s="1"/>
  <c r="BN24" i="59"/>
  <c r="DZ53" i="59"/>
  <c r="DZ124" i="59"/>
  <c r="DZ97" i="59"/>
  <c r="DZ54" i="59"/>
  <c r="BN121" i="59"/>
  <c r="R27" i="63"/>
  <c r="BM93" i="59"/>
  <c r="BM121" i="59"/>
  <c r="AH55" i="59"/>
  <c r="DU38" i="57"/>
  <c r="DU8" i="57"/>
  <c r="BK158" i="55"/>
  <c r="BK39" i="57" s="1"/>
  <c r="DW152" i="55"/>
  <c r="EB14" i="55"/>
  <c r="DW38" i="57"/>
  <c r="DW8" i="57"/>
  <c r="DX19" i="55"/>
  <c r="DX20" i="55"/>
  <c r="EC15" i="55"/>
  <c r="EC16" i="55"/>
  <c r="BI158" i="55"/>
  <c r="DU152" i="55"/>
  <c r="EB15" i="55"/>
  <c r="DW17" i="57"/>
  <c r="DW27" i="57"/>
  <c r="AH7" i="55"/>
  <c r="BK38" i="57"/>
  <c r="DX7" i="55"/>
  <c r="DZ19" i="55"/>
  <c r="DZ20" i="55"/>
  <c r="EB11" i="55"/>
  <c r="DY14" i="55"/>
  <c r="DY28" i="59" s="1"/>
  <c r="DY151" i="59" s="1"/>
  <c r="DY13" i="55"/>
  <c r="DY27" i="59" s="1"/>
  <c r="DY150" i="59" s="1"/>
  <c r="DY12" i="55"/>
  <c r="DY26" i="59" s="1"/>
  <c r="DY11" i="55"/>
  <c r="DY16" i="55"/>
  <c r="DY30" i="59" s="1"/>
  <c r="DY15" i="55"/>
  <c r="DY29" i="59" s="1"/>
  <c r="DY152" i="59" s="1"/>
  <c r="EC11" i="55"/>
  <c r="CT40" i="57"/>
  <c r="EB12" i="55"/>
  <c r="EC14" i="55"/>
  <c r="EB13" i="55"/>
  <c r="DZ7" i="55"/>
  <c r="EC12" i="55"/>
  <c r="DX6" i="55"/>
  <c r="E30" i="61"/>
  <c r="BN28" i="59"/>
  <c r="BO14" i="55"/>
  <c r="K23" i="61"/>
  <c r="BN26" i="59"/>
  <c r="BN97" i="59" s="1"/>
  <c r="K25" i="61"/>
  <c r="BO12" i="55"/>
  <c r="AH57" i="59"/>
  <c r="BN27" i="59"/>
  <c r="BN150" i="59" s="1"/>
  <c r="BO13" i="55"/>
  <c r="BN29" i="59"/>
  <c r="K26" i="61"/>
  <c r="BO15" i="55"/>
  <c r="K22" i="61"/>
  <c r="K24" i="61"/>
  <c r="BO11" i="55"/>
  <c r="BN30" i="59"/>
  <c r="BO16" i="55"/>
  <c r="K16" i="60"/>
  <c r="DF20" i="58"/>
  <c r="AH6" i="55"/>
  <c r="AF102" i="59"/>
  <c r="AF128" i="59"/>
  <c r="AH127" i="59"/>
  <c r="G36" i="60"/>
  <c r="G37" i="60"/>
  <c r="G39" i="60"/>
  <c r="AH20" i="55"/>
  <c r="AH25" i="59"/>
  <c r="AH19" i="55"/>
  <c r="AF181" i="55"/>
  <c r="AF10" i="57" s="1"/>
  <c r="AG128" i="59"/>
  <c r="I39" i="60"/>
  <c r="I36" i="60"/>
  <c r="I38" i="60"/>
  <c r="G38" i="60"/>
  <c r="CT9" i="57"/>
  <c r="CT39" i="57"/>
  <c r="BK28" i="57"/>
  <c r="BK30" i="57" s="1"/>
  <c r="BK18" i="57"/>
  <c r="BK20" i="57" s="1"/>
  <c r="BK149" i="59" s="1"/>
  <c r="BK155" i="59" s="1"/>
  <c r="AG24" i="57"/>
  <c r="AG14" i="57"/>
  <c r="AG19" i="57"/>
  <c r="AG29" i="57"/>
  <c r="AF19" i="57"/>
  <c r="AF29" i="57"/>
  <c r="BI28" i="57"/>
  <c r="BI30" i="57" s="1"/>
  <c r="BI18" i="57"/>
  <c r="BI20" i="57" s="1"/>
  <c r="AG129" i="55"/>
  <c r="AG16" i="57"/>
  <c r="AG26" i="57"/>
  <c r="AF25" i="57"/>
  <c r="AF15" i="57"/>
  <c r="CT28" i="57"/>
  <c r="CT30" i="57" s="1"/>
  <c r="BK9" i="57"/>
  <c r="AG25" i="57"/>
  <c r="AG15" i="57"/>
  <c r="AF129" i="55"/>
  <c r="AF135" i="55" s="1"/>
  <c r="AF26" i="57"/>
  <c r="AF16" i="57"/>
  <c r="BI9" i="57"/>
  <c r="BI39" i="57"/>
  <c r="AG23" i="57"/>
  <c r="AG13" i="57"/>
  <c r="BN25" i="59"/>
  <c r="AD9" i="57"/>
  <c r="AD39" i="57"/>
  <c r="AD41" i="57" s="1"/>
  <c r="AF23" i="57"/>
  <c r="AF13" i="57"/>
  <c r="AF24" i="57"/>
  <c r="AF14" i="57"/>
  <c r="CT8" i="57"/>
  <c r="CT38" i="57"/>
  <c r="BM97" i="59"/>
  <c r="BM124" i="59"/>
  <c r="BL94" i="59"/>
  <c r="BL122" i="59"/>
  <c r="BM98" i="59"/>
  <c r="BM125" i="59"/>
  <c r="BL95" i="59"/>
  <c r="BL123" i="59"/>
  <c r="BM99" i="59"/>
  <c r="BM126" i="59"/>
  <c r="BM100" i="59"/>
  <c r="BM127" i="59"/>
  <c r="AG58" i="59"/>
  <c r="BM57" i="59"/>
  <c r="AF58" i="59"/>
  <c r="BM55" i="59"/>
  <c r="BM54" i="59"/>
  <c r="BM56" i="59"/>
  <c r="AG102" i="59"/>
  <c r="AG181" i="55"/>
  <c r="BM25" i="59"/>
  <c r="BM148" i="59" s="1"/>
  <c r="AF66" i="55"/>
  <c r="AG43" i="55"/>
  <c r="AG112" i="55"/>
  <c r="AG151" i="55"/>
  <c r="AG135" i="55"/>
  <c r="AF151" i="55"/>
  <c r="BL106" i="55"/>
  <c r="DX106" i="55" s="1"/>
  <c r="BL83" i="55"/>
  <c r="DX83" i="55" s="1"/>
  <c r="BL175" i="55"/>
  <c r="DX175" i="55" s="1"/>
  <c r="BL105" i="55"/>
  <c r="BL82" i="55"/>
  <c r="DX82" i="55" s="1"/>
  <c r="BL174" i="55"/>
  <c r="DX174" i="55" s="1"/>
  <c r="AF43" i="55"/>
  <c r="BL60" i="55"/>
  <c r="DX60" i="55" s="1"/>
  <c r="AF89" i="55"/>
  <c r="AG89" i="55"/>
  <c r="AF112" i="55"/>
  <c r="BL59" i="55"/>
  <c r="DX59" i="55" s="1"/>
  <c r="BL37" i="55"/>
  <c r="DX37" i="55" s="1"/>
  <c r="BL36" i="55"/>
  <c r="DX36" i="55" s="1"/>
  <c r="AG66" i="55"/>
  <c r="BN7" i="55"/>
  <c r="BM6" i="55"/>
  <c r="BM7" i="55"/>
  <c r="BN20" i="55"/>
  <c r="BN19" i="55"/>
  <c r="R29" i="63" s="1"/>
  <c r="R49" i="63" s="1"/>
  <c r="BN6" i="55"/>
  <c r="BM20" i="55"/>
  <c r="BM19" i="55"/>
  <c r="AH54" i="59" l="1"/>
  <c r="AH94" i="59"/>
  <c r="CT41" i="57"/>
  <c r="R8" i="63"/>
  <c r="AH125" i="59"/>
  <c r="DZ101" i="59"/>
  <c r="DZ153" i="59"/>
  <c r="BN148" i="59"/>
  <c r="BI149" i="59"/>
  <c r="BI155" i="59" s="1"/>
  <c r="BJ149" i="59"/>
  <c r="BJ155" i="59" s="1"/>
  <c r="BN124" i="59"/>
  <c r="BN100" i="59"/>
  <c r="BN152" i="59"/>
  <c r="AH126" i="59"/>
  <c r="AH151" i="59"/>
  <c r="BM51" i="59"/>
  <c r="BM147" i="59"/>
  <c r="BN126" i="59"/>
  <c r="BN151" i="59"/>
  <c r="BN51" i="59"/>
  <c r="BN147" i="59"/>
  <c r="DZ152" i="59"/>
  <c r="BN101" i="59"/>
  <c r="BN153" i="59"/>
  <c r="BN154" i="59"/>
  <c r="DZ151" i="59"/>
  <c r="DZ150" i="59"/>
  <c r="AH52" i="59"/>
  <c r="AH148" i="59"/>
  <c r="DY101" i="59"/>
  <c r="DY153" i="59"/>
  <c r="AH51" i="59"/>
  <c r="AH147" i="59"/>
  <c r="DX181" i="55"/>
  <c r="DX40" i="57" s="1"/>
  <c r="AH106" i="55"/>
  <c r="DZ154" i="59"/>
  <c r="DY25" i="59"/>
  <c r="DY148" i="59" s="1"/>
  <c r="DY24" i="59"/>
  <c r="DY147" i="59" s="1"/>
  <c r="DX89" i="55"/>
  <c r="DY53" i="59"/>
  <c r="DY97" i="59"/>
  <c r="DY54" i="59"/>
  <c r="DY124" i="59"/>
  <c r="DY55" i="59"/>
  <c r="DY125" i="59"/>
  <c r="DY98" i="59"/>
  <c r="DX51" i="59"/>
  <c r="DX122" i="59"/>
  <c r="DX94" i="59"/>
  <c r="E20" i="61"/>
  <c r="E27" i="61" s="1"/>
  <c r="E31" i="61" s="1"/>
  <c r="F27" i="63"/>
  <c r="DY56" i="59"/>
  <c r="DY126" i="59"/>
  <c r="DY99" i="59"/>
  <c r="DX52" i="59"/>
  <c r="DX123" i="59"/>
  <c r="DX95" i="59"/>
  <c r="DX96" i="59"/>
  <c r="DY57" i="59"/>
  <c r="DY127" i="59"/>
  <c r="DY100" i="59"/>
  <c r="DX43" i="55"/>
  <c r="DX34" i="57" s="1"/>
  <c r="AH99" i="59"/>
  <c r="BM96" i="59"/>
  <c r="BM52" i="59"/>
  <c r="DZ52" i="59"/>
  <c r="DZ96" i="59"/>
  <c r="DZ123" i="59"/>
  <c r="DZ95" i="59"/>
  <c r="DZ51" i="59"/>
  <c r="DZ122" i="59"/>
  <c r="DZ94" i="59"/>
  <c r="AH98" i="59"/>
  <c r="AI33" i="59"/>
  <c r="AJ33" i="59" s="1"/>
  <c r="BN54" i="59"/>
  <c r="BN53" i="59"/>
  <c r="AH56" i="59"/>
  <c r="BN98" i="59"/>
  <c r="BO33" i="59"/>
  <c r="BP33" i="59" s="1"/>
  <c r="AH124" i="59"/>
  <c r="AH53" i="59"/>
  <c r="BN96" i="59"/>
  <c r="BN52" i="59"/>
  <c r="I41" i="60"/>
  <c r="AH96" i="59"/>
  <c r="F26" i="63"/>
  <c r="R47" i="63"/>
  <c r="AH175" i="55"/>
  <c r="BN57" i="59"/>
  <c r="BN99" i="59"/>
  <c r="DX13" i="57"/>
  <c r="DX23" i="57"/>
  <c r="AH59" i="55"/>
  <c r="AH83" i="55"/>
  <c r="AH122" i="59"/>
  <c r="DU28" i="57"/>
  <c r="DU30" i="57" s="1"/>
  <c r="DU18" i="57"/>
  <c r="DU20" i="57" s="1"/>
  <c r="DU158" i="55"/>
  <c r="AH37" i="55"/>
  <c r="AH36" i="55"/>
  <c r="DW28" i="57"/>
  <c r="DW30" i="57" s="1"/>
  <c r="DW18" i="57"/>
  <c r="DW158" i="55"/>
  <c r="DX24" i="57"/>
  <c r="DX14" i="57"/>
  <c r="AH60" i="55"/>
  <c r="AH66" i="55" s="1"/>
  <c r="DY19" i="55"/>
  <c r="DY20" i="55"/>
  <c r="DX66" i="55"/>
  <c r="AH174" i="55"/>
  <c r="BL128" i="55"/>
  <c r="DX128" i="55" s="1"/>
  <c r="DX105" i="55"/>
  <c r="DX112" i="55" s="1"/>
  <c r="BN55" i="59"/>
  <c r="BN125" i="59"/>
  <c r="AH82" i="55"/>
  <c r="AH89" i="55" s="1"/>
  <c r="DX29" i="57"/>
  <c r="DX19" i="57"/>
  <c r="DY7" i="55"/>
  <c r="DX36" i="57"/>
  <c r="DX6" i="57"/>
  <c r="AH105" i="55"/>
  <c r="AH128" i="55" s="1"/>
  <c r="DX25" i="57"/>
  <c r="DX15" i="57"/>
  <c r="DX16" i="57"/>
  <c r="DY6" i="55"/>
  <c r="DW20" i="57"/>
  <c r="DW149" i="59" s="1"/>
  <c r="DW155" i="59" s="1"/>
  <c r="BN127" i="59"/>
  <c r="BN56" i="59"/>
  <c r="G41" i="60"/>
  <c r="H24" i="61"/>
  <c r="AH123" i="59"/>
  <c r="AH95" i="59"/>
  <c r="AF40" i="57"/>
  <c r="AG7" i="57"/>
  <c r="AG37" i="57"/>
  <c r="BN94" i="59"/>
  <c r="BN122" i="59"/>
  <c r="AF152" i="55"/>
  <c r="AF158" i="55" s="1"/>
  <c r="AF27" i="57"/>
  <c r="AF17" i="57"/>
  <c r="BL29" i="57"/>
  <c r="BL19" i="57"/>
  <c r="AG4" i="57"/>
  <c r="AG34" i="57"/>
  <c r="BL25" i="57"/>
  <c r="BL15" i="57"/>
  <c r="AF5" i="57"/>
  <c r="AF35" i="57"/>
  <c r="AG152" i="55"/>
  <c r="AG158" i="55" s="1"/>
  <c r="AG27" i="57"/>
  <c r="AG17" i="57"/>
  <c r="AG5" i="57"/>
  <c r="AG35" i="57"/>
  <c r="AF6" i="57"/>
  <c r="AF36" i="57"/>
  <c r="BL129" i="55"/>
  <c r="DX129" i="55" s="1"/>
  <c r="BL26" i="57"/>
  <c r="BL16" i="57"/>
  <c r="BL24" i="57"/>
  <c r="BL14" i="57"/>
  <c r="AF8" i="57"/>
  <c r="AF38" i="57"/>
  <c r="AG6" i="57"/>
  <c r="AG36" i="57"/>
  <c r="AG10" i="57"/>
  <c r="AG40" i="57"/>
  <c r="BL23" i="57"/>
  <c r="BL13" i="57"/>
  <c r="AG8" i="57"/>
  <c r="AG38" i="57"/>
  <c r="AF7" i="57"/>
  <c r="AF37" i="57"/>
  <c r="AF4" i="57"/>
  <c r="AF34" i="57"/>
  <c r="BL102" i="59"/>
  <c r="BN123" i="59"/>
  <c r="BN95" i="59"/>
  <c r="BM95" i="59"/>
  <c r="BM123" i="59"/>
  <c r="BM94" i="59"/>
  <c r="BM122" i="59"/>
  <c r="BL151" i="55"/>
  <c r="DX151" i="55" s="1"/>
  <c r="BM105" i="55"/>
  <c r="BM82" i="55"/>
  <c r="DY82" i="55" s="1"/>
  <c r="BM174" i="55"/>
  <c r="DY174" i="55" s="1"/>
  <c r="BM106" i="55"/>
  <c r="DY106" i="55" s="1"/>
  <c r="BM83" i="55"/>
  <c r="DY83" i="55" s="1"/>
  <c r="BM175" i="55"/>
  <c r="DY175" i="55" s="1"/>
  <c r="BN105" i="55"/>
  <c r="BN82" i="55"/>
  <c r="DZ82" i="55" s="1"/>
  <c r="BN174" i="55"/>
  <c r="DZ174" i="55" s="1"/>
  <c r="BL181" i="55"/>
  <c r="BN106" i="55"/>
  <c r="DZ106" i="55" s="1"/>
  <c r="BN83" i="55"/>
  <c r="DZ83" i="55" s="1"/>
  <c r="BN175" i="55"/>
  <c r="DZ175" i="55" s="1"/>
  <c r="BL112" i="55"/>
  <c r="BL89" i="55"/>
  <c r="BM60" i="55"/>
  <c r="DY60" i="55" s="1"/>
  <c r="BL43" i="55"/>
  <c r="BN59" i="55"/>
  <c r="DZ59" i="55" s="1"/>
  <c r="BN60" i="55"/>
  <c r="DZ60" i="55" s="1"/>
  <c r="BM59" i="55"/>
  <c r="DY59" i="55" s="1"/>
  <c r="BL66" i="55"/>
  <c r="BM36" i="55"/>
  <c r="DY36" i="55" s="1"/>
  <c r="BN37" i="55"/>
  <c r="DZ37" i="55" s="1"/>
  <c r="BM37" i="55"/>
  <c r="DY37" i="55" s="1"/>
  <c r="BN36" i="55"/>
  <c r="DZ36" i="55" s="1"/>
  <c r="BO46" i="59" l="1"/>
  <c r="EJ46" i="59" s="1"/>
  <c r="AH29" i="57"/>
  <c r="AH129" i="55"/>
  <c r="AH16" i="57"/>
  <c r="AH15" i="57"/>
  <c r="AH13" i="57"/>
  <c r="AH112" i="55"/>
  <c r="AH25" i="57"/>
  <c r="AH23" i="57"/>
  <c r="AH151" i="55"/>
  <c r="AH43" i="55"/>
  <c r="AH181" i="55"/>
  <c r="AH19" i="57"/>
  <c r="H20" i="61"/>
  <c r="K27" i="61" s="1"/>
  <c r="DX10" i="57"/>
  <c r="DX58" i="59"/>
  <c r="DZ147" i="59"/>
  <c r="DU149" i="59"/>
  <c r="DU155" i="59" s="1"/>
  <c r="DV149" i="59"/>
  <c r="DV155" i="59" s="1"/>
  <c r="DZ43" i="55"/>
  <c r="DZ148" i="59"/>
  <c r="DX4" i="57"/>
  <c r="DX102" i="59"/>
  <c r="DX128" i="59"/>
  <c r="DY51" i="59"/>
  <c r="DY122" i="59"/>
  <c r="DY128" i="59" s="1"/>
  <c r="DY94" i="59"/>
  <c r="BL135" i="55"/>
  <c r="F47" i="63"/>
  <c r="B51" i="63" s="1"/>
  <c r="B31" i="63"/>
  <c r="DY52" i="59"/>
  <c r="DY123" i="59"/>
  <c r="DY95" i="59"/>
  <c r="DY96" i="59"/>
  <c r="AH135" i="55"/>
  <c r="DZ102" i="59"/>
  <c r="DZ128" i="59"/>
  <c r="DZ58" i="59"/>
  <c r="AH24" i="57"/>
  <c r="EK46" i="59"/>
  <c r="EK49" i="59" s="1"/>
  <c r="EJ49" i="59"/>
  <c r="F46" i="63"/>
  <c r="AH58" i="59"/>
  <c r="F28" i="63"/>
  <c r="J27" i="63" s="1"/>
  <c r="DZ181" i="55"/>
  <c r="DZ40" i="57" s="1"/>
  <c r="DX26" i="57"/>
  <c r="AH26" i="57"/>
  <c r="DY13" i="57"/>
  <c r="DY23" i="57"/>
  <c r="DZ13" i="57"/>
  <c r="DZ23" i="57"/>
  <c r="DZ66" i="55"/>
  <c r="DZ16" i="57"/>
  <c r="DY181" i="55"/>
  <c r="DZ14" i="57"/>
  <c r="DZ24" i="57"/>
  <c r="DX35" i="57"/>
  <c r="DX5" i="57"/>
  <c r="DY43" i="55"/>
  <c r="DY89" i="55"/>
  <c r="DY14" i="57"/>
  <c r="DY24" i="57"/>
  <c r="DZ89" i="55"/>
  <c r="AH128" i="59"/>
  <c r="DZ25" i="57"/>
  <c r="DZ15" i="57"/>
  <c r="BM128" i="55"/>
  <c r="DY128" i="55" s="1"/>
  <c r="DY105" i="55"/>
  <c r="DY112" i="55" s="1"/>
  <c r="DY66" i="55"/>
  <c r="BN128" i="55"/>
  <c r="DZ128" i="55" s="1"/>
  <c r="DZ105" i="55"/>
  <c r="DZ112" i="55" s="1"/>
  <c r="DX37" i="57"/>
  <c r="DX7" i="57"/>
  <c r="DU39" i="57"/>
  <c r="DU9" i="57"/>
  <c r="DY29" i="57"/>
  <c r="DY19" i="57"/>
  <c r="AH14" i="57"/>
  <c r="DX135" i="55"/>
  <c r="DW39" i="57"/>
  <c r="DW9" i="57"/>
  <c r="DY16" i="57"/>
  <c r="DZ4" i="57"/>
  <c r="DZ34" i="57"/>
  <c r="DZ29" i="57"/>
  <c r="DZ19" i="57"/>
  <c r="DY25" i="57"/>
  <c r="DY15" i="57"/>
  <c r="DX17" i="57"/>
  <c r="DX27" i="57"/>
  <c r="F28" i="61"/>
  <c r="F25" i="61"/>
  <c r="F23" i="61"/>
  <c r="F20" i="61"/>
  <c r="F22" i="61"/>
  <c r="F31" i="61"/>
  <c r="F29" i="61"/>
  <c r="F21" i="61"/>
  <c r="F24" i="61"/>
  <c r="F26" i="61"/>
  <c r="F27" i="61"/>
  <c r="F30" i="61"/>
  <c r="BM181" i="55"/>
  <c r="BM10" i="57" s="1"/>
  <c r="BN102" i="59"/>
  <c r="BM66" i="55"/>
  <c r="BM5" i="57" s="1"/>
  <c r="BL7" i="57"/>
  <c r="BL37" i="57"/>
  <c r="AF28" i="57"/>
  <c r="AF30" i="57" s="1"/>
  <c r="AF18" i="57"/>
  <c r="AF20" i="57" s="1"/>
  <c r="AF149" i="59" s="1"/>
  <c r="AF155" i="59" s="1"/>
  <c r="AH5" i="57"/>
  <c r="AH35" i="57"/>
  <c r="BM19" i="57"/>
  <c r="BM29" i="57"/>
  <c r="BL8" i="57"/>
  <c r="BL38" i="57"/>
  <c r="BL152" i="55"/>
  <c r="DX152" i="55" s="1"/>
  <c r="DX158" i="55" s="1"/>
  <c r="BL27" i="57"/>
  <c r="BL17" i="57"/>
  <c r="AH6" i="57"/>
  <c r="AH36" i="57"/>
  <c r="BN19" i="57"/>
  <c r="BN29" i="57"/>
  <c r="BM15" i="57"/>
  <c r="BM25" i="57"/>
  <c r="AF9" i="57"/>
  <c r="AF39" i="57"/>
  <c r="AF41" i="57" s="1"/>
  <c r="AG28" i="57"/>
  <c r="AG30" i="57" s="1"/>
  <c r="AG18" i="57"/>
  <c r="AG20" i="57" s="1"/>
  <c r="BM23" i="57"/>
  <c r="BM13" i="57"/>
  <c r="BN24" i="57"/>
  <c r="BN14" i="57"/>
  <c r="BN25" i="57"/>
  <c r="BN15" i="57"/>
  <c r="BM129" i="55"/>
  <c r="BM26" i="57"/>
  <c r="BM16" i="57"/>
  <c r="AG9" i="57"/>
  <c r="AG39" i="57"/>
  <c r="AG41" i="57" s="1"/>
  <c r="AH152" i="55"/>
  <c r="AH27" i="57"/>
  <c r="AH17" i="57"/>
  <c r="BN23" i="57"/>
  <c r="BN13" i="57"/>
  <c r="BN129" i="55"/>
  <c r="BN26" i="57"/>
  <c r="BN16" i="57"/>
  <c r="BL4" i="57"/>
  <c r="BL34" i="57"/>
  <c r="BL10" i="57"/>
  <c r="BL40" i="57"/>
  <c r="BM89" i="55"/>
  <c r="BL6" i="57"/>
  <c r="BL36" i="57"/>
  <c r="BL5" i="57"/>
  <c r="BL35" i="57"/>
  <c r="BM24" i="57"/>
  <c r="BM14" i="57"/>
  <c r="BN181" i="55"/>
  <c r="BM102" i="59"/>
  <c r="BM151" i="55"/>
  <c r="DY151" i="55" s="1"/>
  <c r="BM112" i="55"/>
  <c r="BN43" i="55"/>
  <c r="BN112" i="55"/>
  <c r="BN89" i="55"/>
  <c r="BM43" i="55"/>
  <c r="BN66" i="55"/>
  <c r="BN35" i="57" s="1"/>
  <c r="H25" i="61" l="1"/>
  <c r="I24" i="61" s="1"/>
  <c r="K28" i="61"/>
  <c r="AH8" i="57"/>
  <c r="AH38" i="57"/>
  <c r="AH4" i="57"/>
  <c r="AH34" i="57"/>
  <c r="AH7" i="57"/>
  <c r="AH37" i="57"/>
  <c r="AH40" i="57"/>
  <c r="AH10" i="57"/>
  <c r="AG149" i="59"/>
  <c r="AG155" i="59" s="1"/>
  <c r="BM40" i="57"/>
  <c r="BM35" i="57"/>
  <c r="BN151" i="55"/>
  <c r="DZ151" i="55" s="1"/>
  <c r="BL158" i="55"/>
  <c r="DY58" i="59"/>
  <c r="DY26" i="57"/>
  <c r="DY102" i="59"/>
  <c r="DZ10" i="57"/>
  <c r="B8" i="63"/>
  <c r="B29" i="63"/>
  <c r="B27" i="63"/>
  <c r="B7" i="63"/>
  <c r="B9" i="63"/>
  <c r="R7" i="63" s="1"/>
  <c r="R13" i="63" s="1"/>
  <c r="AA13" i="63" s="1"/>
  <c r="AB13" i="63" s="1"/>
  <c r="B28" i="63"/>
  <c r="B30" i="63"/>
  <c r="R28" i="63" s="1"/>
  <c r="B26" i="63"/>
  <c r="G47" i="63"/>
  <c r="G27" i="63"/>
  <c r="G5" i="63"/>
  <c r="G28" i="63"/>
  <c r="F48" i="63"/>
  <c r="G46" i="63"/>
  <c r="G26" i="63"/>
  <c r="DX39" i="57"/>
  <c r="DX9" i="57"/>
  <c r="DY40" i="57"/>
  <c r="DY10" i="57"/>
  <c r="DY36" i="57"/>
  <c r="DY6" i="57"/>
  <c r="DZ26" i="57"/>
  <c r="DZ37" i="57"/>
  <c r="DZ7" i="57"/>
  <c r="DY34" i="57"/>
  <c r="DY4" i="57"/>
  <c r="DZ35" i="57"/>
  <c r="DZ5" i="57"/>
  <c r="DX38" i="57"/>
  <c r="DX8" i="57"/>
  <c r="BN135" i="55"/>
  <c r="BN8" i="57" s="1"/>
  <c r="DZ129" i="55"/>
  <c r="DX28" i="57"/>
  <c r="DX30" i="57" s="1"/>
  <c r="DX18" i="57"/>
  <c r="DX20" i="57" s="1"/>
  <c r="DX149" i="59" s="1"/>
  <c r="DX155" i="59" s="1"/>
  <c r="DZ36" i="57"/>
  <c r="DZ6" i="57"/>
  <c r="DY35" i="57"/>
  <c r="DY5" i="57"/>
  <c r="DY37" i="57"/>
  <c r="DY7" i="57"/>
  <c r="BM135" i="55"/>
  <c r="BM38" i="57" s="1"/>
  <c r="DY129" i="55"/>
  <c r="DY135" i="55" s="1"/>
  <c r="I22" i="61"/>
  <c r="I21" i="61"/>
  <c r="I25" i="61"/>
  <c r="L21" i="61"/>
  <c r="L20" i="61"/>
  <c r="L23" i="61"/>
  <c r="L25" i="61"/>
  <c r="L26" i="61"/>
  <c r="L24" i="61"/>
  <c r="L22" i="61"/>
  <c r="L27" i="61"/>
  <c r="BM4" i="57"/>
  <c r="BM34" i="57"/>
  <c r="BN6" i="57"/>
  <c r="BN36" i="57"/>
  <c r="BN152" i="55"/>
  <c r="DZ152" i="55" s="1"/>
  <c r="BN27" i="57"/>
  <c r="BN17" i="57"/>
  <c r="BL9" i="57"/>
  <c r="BL39" i="57"/>
  <c r="BN7" i="57"/>
  <c r="BN37" i="57"/>
  <c r="BL18" i="57"/>
  <c r="BL20" i="57" s="1"/>
  <c r="BL149" i="59" s="1"/>
  <c r="BL155" i="59" s="1"/>
  <c r="BL28" i="57"/>
  <c r="BL30" i="57" s="1"/>
  <c r="BN4" i="57"/>
  <c r="BN34" i="57"/>
  <c r="BN10" i="57"/>
  <c r="BN40" i="57"/>
  <c r="BM6" i="57"/>
  <c r="BM36" i="57"/>
  <c r="BM152" i="55"/>
  <c r="DY152" i="55" s="1"/>
  <c r="BM27" i="57"/>
  <c r="BM17" i="57"/>
  <c r="BM7" i="57"/>
  <c r="BM37" i="57"/>
  <c r="AH28" i="57"/>
  <c r="AH30" i="57" s="1"/>
  <c r="AH18" i="57"/>
  <c r="BN5" i="57"/>
  <c r="BM8" i="57"/>
  <c r="AH158" i="55"/>
  <c r="I23" i="61" l="1"/>
  <c r="I20" i="61"/>
  <c r="R31" i="63"/>
  <c r="F32" i="63" s="1"/>
  <c r="F41" i="63" s="1"/>
  <c r="K5" i="63" s="1"/>
  <c r="R32" i="63"/>
  <c r="R36" i="63" s="1"/>
  <c r="J47" i="63"/>
  <c r="J28" i="63"/>
  <c r="N27" i="63" s="1"/>
  <c r="R34" i="63" s="1"/>
  <c r="DY38" i="57"/>
  <c r="DY8" i="57"/>
  <c r="DY18" i="57"/>
  <c r="DY28" i="57"/>
  <c r="DZ18" i="57"/>
  <c r="DZ28" i="57"/>
  <c r="DZ158" i="55"/>
  <c r="DZ9" i="57" s="1"/>
  <c r="DZ17" i="57"/>
  <c r="DZ20" i="57" s="1"/>
  <c r="DZ27" i="57"/>
  <c r="BN38" i="57"/>
  <c r="DY17" i="57"/>
  <c r="DY20" i="57" s="1"/>
  <c r="DY149" i="59" s="1"/>
  <c r="DY155" i="59" s="1"/>
  <c r="DY27" i="57"/>
  <c r="DY30" i="57" s="1"/>
  <c r="DY158" i="55"/>
  <c r="DZ135" i="55"/>
  <c r="BN28" i="57"/>
  <c r="BN30" i="57" s="1"/>
  <c r="BN18" i="57"/>
  <c r="BN20" i="57" s="1"/>
  <c r="BN149" i="59" s="1"/>
  <c r="BN155" i="59" s="1"/>
  <c r="BM18" i="57"/>
  <c r="BM20" i="57" s="1"/>
  <c r="BM149" i="59" s="1"/>
  <c r="BM155" i="59" s="1"/>
  <c r="BM28" i="57"/>
  <c r="BM30" i="57" s="1"/>
  <c r="BN158" i="55"/>
  <c r="AH20" i="57"/>
  <c r="AH149" i="59" s="1"/>
  <c r="AH155" i="59" s="1"/>
  <c r="BM158" i="55"/>
  <c r="AH9" i="57"/>
  <c r="AH39" i="57"/>
  <c r="DZ149" i="59" l="1"/>
  <c r="DZ155" i="59" s="1"/>
  <c r="G19" i="63"/>
  <c r="G20" i="63"/>
  <c r="G59" i="63"/>
  <c r="F61" i="63"/>
  <c r="G61" i="63" s="1"/>
  <c r="G60" i="63"/>
  <c r="DZ30" i="57"/>
  <c r="K28" i="63"/>
  <c r="K26" i="63"/>
  <c r="K27" i="63"/>
  <c r="J48" i="63"/>
  <c r="DZ39" i="57"/>
  <c r="DY39" i="57"/>
  <c r="DY9" i="57"/>
  <c r="DZ38" i="57"/>
  <c r="DZ8" i="57"/>
  <c r="BN9" i="57"/>
  <c r="BN39" i="57"/>
  <c r="BM9" i="57"/>
  <c r="BM39" i="57"/>
  <c r="G48" i="63" l="1"/>
  <c r="N47" i="63"/>
  <c r="K48" i="63"/>
  <c r="K46" i="63"/>
  <c r="K47" i="63"/>
  <c r="N28" i="63"/>
  <c r="O27" i="63" s="1"/>
  <c r="K34" i="60"/>
  <c r="L34" i="60"/>
  <c r="O26" i="63" l="1"/>
  <c r="O28" i="63"/>
  <c r="O46" i="63"/>
  <c r="N41" i="63"/>
  <c r="U34" i="63"/>
  <c r="R35" i="63"/>
  <c r="S34" i="63" s="1"/>
  <c r="O47" i="63"/>
  <c r="N48" i="63"/>
  <c r="O48" i="63" s="1"/>
  <c r="O30" i="60"/>
  <c r="S10" i="63" l="1"/>
  <c r="S50" i="63"/>
  <c r="S6" i="63"/>
  <c r="S28" i="63"/>
  <c r="S30" i="63"/>
  <c r="S29" i="63"/>
  <c r="S33" i="63"/>
  <c r="S49" i="63"/>
  <c r="S32" i="63"/>
  <c r="S31" i="63"/>
  <c r="S53" i="63"/>
  <c r="S7" i="63"/>
  <c r="S5" i="63"/>
  <c r="S11" i="63"/>
  <c r="S9" i="63"/>
  <c r="S12" i="63"/>
  <c r="S26" i="63"/>
  <c r="S46" i="63"/>
  <c r="S27" i="63"/>
  <c r="S47" i="63"/>
  <c r="O20" i="63"/>
  <c r="O41" i="63"/>
  <c r="O40" i="63"/>
  <c r="O60" i="63"/>
  <c r="N61" i="63"/>
  <c r="O61" i="63" s="1"/>
  <c r="O39" i="63"/>
  <c r="O59" i="63"/>
  <c r="O19" i="63"/>
  <c r="BN5" i="58"/>
  <c r="AW5" i="58"/>
  <c r="AX5" i="58"/>
  <c r="AN5" i="58"/>
  <c r="BD5" i="58"/>
  <c r="AM5" i="58"/>
  <c r="BA5" i="58"/>
  <c r="AV5" i="58"/>
  <c r="BG5" i="58"/>
  <c r="BL5" i="58"/>
  <c r="BJ5" i="58"/>
  <c r="AS5" i="58"/>
  <c r="AZ5" i="58"/>
  <c r="AO5" i="58"/>
  <c r="BE5" i="58"/>
  <c r="BC5" i="58"/>
  <c r="AP5" i="58"/>
  <c r="AK5" i="58"/>
  <c r="BM5" i="58"/>
  <c r="AY5" i="58"/>
  <c r="AT5" i="58"/>
  <c r="AQ5" i="58"/>
  <c r="BK5" i="58"/>
  <c r="BF5" i="58"/>
  <c r="AL5" i="58"/>
  <c r="CV3" i="57"/>
  <c r="AJ33" i="57"/>
  <c r="CY3" i="57"/>
  <c r="AY58" i="59"/>
  <c r="AY119" i="59"/>
  <c r="AY128" i="59" s="1"/>
  <c r="AT119" i="59"/>
  <c r="AT128" i="59" s="1"/>
  <c r="AT58" i="59"/>
  <c r="BN58" i="59"/>
  <c r="BN119" i="59"/>
  <c r="BN128" i="59" s="1"/>
  <c r="I34" i="60"/>
  <c r="AW58" i="59"/>
  <c r="AW119" i="59"/>
  <c r="AW128" i="59" s="1"/>
  <c r="AX58" i="59"/>
  <c r="AX119" i="59"/>
  <c r="AX128" i="59" s="1"/>
  <c r="AN119" i="59"/>
  <c r="AN128" i="59" s="1"/>
  <c r="AN58" i="59"/>
  <c r="BD58" i="59"/>
  <c r="BD119" i="59"/>
  <c r="BD128" i="59" s="1"/>
  <c r="AM119" i="59"/>
  <c r="AM128" i="59" s="1"/>
  <c r="AM58" i="59"/>
  <c r="AL58" i="59"/>
  <c r="AL119" i="59"/>
  <c r="AL128" i="59" s="1"/>
  <c r="BA58" i="59"/>
  <c r="BA119" i="59"/>
  <c r="BA128" i="59" s="1"/>
  <c r="AV58" i="59"/>
  <c r="AV119" i="59"/>
  <c r="AV128" i="59" s="1"/>
  <c r="BG58" i="59"/>
  <c r="BG119" i="59"/>
  <c r="BG128" i="59" s="1"/>
  <c r="BL58" i="59"/>
  <c r="BL119" i="59"/>
  <c r="BL128" i="59" s="1"/>
  <c r="BJ58" i="59"/>
  <c r="BJ119" i="59"/>
  <c r="BJ128" i="59" s="1"/>
  <c r="AS58" i="59"/>
  <c r="AS119" i="59"/>
  <c r="AS128" i="59" s="1"/>
  <c r="AQ58" i="59"/>
  <c r="AQ119" i="59"/>
  <c r="AQ128" i="59" s="1"/>
  <c r="BF58" i="59"/>
  <c r="BF119" i="59"/>
  <c r="BF128" i="59" s="1"/>
  <c r="AZ58" i="59"/>
  <c r="AZ119" i="59"/>
  <c r="AZ128" i="59" s="1"/>
  <c r="AO58" i="59"/>
  <c r="AO119" i="59"/>
  <c r="AO128" i="59" s="1"/>
  <c r="BE58" i="59"/>
  <c r="BE119" i="59"/>
  <c r="BE128" i="59" s="1"/>
  <c r="BC58" i="59"/>
  <c r="BC119" i="59"/>
  <c r="BC128" i="59" s="1"/>
  <c r="AP119" i="59"/>
  <c r="AP128" i="59" s="1"/>
  <c r="AP58" i="59"/>
  <c r="AK58" i="59"/>
  <c r="AK119" i="59"/>
  <c r="AK128" i="59" s="1"/>
  <c r="BM119" i="59"/>
  <c r="BM128" i="59" s="1"/>
  <c r="BM58" i="59"/>
  <c r="BK58" i="59"/>
  <c r="BK119" i="59"/>
  <c r="BK128" i="59" s="1"/>
  <c r="DF3" i="57"/>
  <c r="DN3" i="57"/>
  <c r="DB3" i="57"/>
  <c r="DM3" i="57"/>
  <c r="DW3" i="57"/>
  <c r="DG3" i="57"/>
  <c r="DU3" i="57"/>
  <c r="DK3" i="57"/>
  <c r="DC3" i="57"/>
  <c r="DH3" i="57"/>
  <c r="DR3" i="57"/>
  <c r="DT3" i="57"/>
  <c r="DI3" i="57"/>
  <c r="DP3" i="57"/>
  <c r="DD3" i="57"/>
  <c r="DO3" i="57"/>
  <c r="DA3" i="57"/>
  <c r="DZ3" i="57"/>
  <c r="DX3" i="57"/>
  <c r="P23" i="60" l="1"/>
  <c r="P30" i="60" s="1"/>
  <c r="AS10" i="58"/>
  <c r="AS32" i="59" s="1"/>
  <c r="BJ10" i="58"/>
  <c r="BJ32" i="59" s="1"/>
  <c r="AL10" i="58"/>
  <c r="AL32" i="59" s="1"/>
  <c r="BK10" i="58"/>
  <c r="BK32" i="59" s="1"/>
  <c r="AX10" i="58"/>
  <c r="AX32" i="59" s="1"/>
  <c r="BC10" i="58"/>
  <c r="BC32" i="59" s="1"/>
  <c r="BD10" i="58"/>
  <c r="BD32" i="59" s="1"/>
  <c r="AP10" i="58"/>
  <c r="AP32" i="59" s="1"/>
  <c r="AH5" i="58"/>
  <c r="AQ10" i="58"/>
  <c r="AQ32" i="59" s="1"/>
  <c r="BB5" i="58"/>
  <c r="AV10" i="58"/>
  <c r="AV32" i="59" s="1"/>
  <c r="BH5" i="58"/>
  <c r="AR5" i="58"/>
  <c r="BF10" i="58"/>
  <c r="BF32" i="59" s="1"/>
  <c r="BI5" i="58"/>
  <c r="BM10" i="58"/>
  <c r="BM32" i="59" s="1"/>
  <c r="BA10" i="58"/>
  <c r="BA32" i="59" s="1"/>
  <c r="BE10" i="58"/>
  <c r="BE32" i="59" s="1"/>
  <c r="AN10" i="58"/>
  <c r="AN32" i="59" s="1"/>
  <c r="AK10" i="58"/>
  <c r="AK32" i="59" s="1"/>
  <c r="BG10" i="58"/>
  <c r="BG32" i="59" s="1"/>
  <c r="AM10" i="58"/>
  <c r="AM32" i="59" s="1"/>
  <c r="AU5" i="58"/>
  <c r="CW3" i="57"/>
  <c r="AX33" i="57"/>
  <c r="DJ3" i="57"/>
  <c r="AS33" i="57"/>
  <c r="DE3" i="57"/>
  <c r="BM33" i="57"/>
  <c r="DY3" i="57"/>
  <c r="BE33" i="57"/>
  <c r="DQ3" i="57"/>
  <c r="BG33" i="57"/>
  <c r="DS3" i="57"/>
  <c r="AJ41" i="57"/>
  <c r="CV33" i="57"/>
  <c r="CV41" i="57" s="1"/>
  <c r="AV33" i="57"/>
  <c r="BA33" i="57"/>
  <c r="BD33" i="57"/>
  <c r="AH33" i="57"/>
  <c r="AH41" i="57" s="1"/>
  <c r="CW9" i="58"/>
  <c r="CW10" i="58" s="1"/>
  <c r="AH10" i="58"/>
  <c r="AQ33" i="57"/>
  <c r="AK33" i="57"/>
  <c r="AP33" i="57"/>
  <c r="BC33" i="57"/>
  <c r="BH119" i="59"/>
  <c r="BH128" i="59" s="1"/>
  <c r="BH58" i="59"/>
  <c r="AW33" i="57"/>
  <c r="AW10" i="58"/>
  <c r="AW32" i="59" s="1"/>
  <c r="BF33" i="57"/>
  <c r="AR58" i="59"/>
  <c r="AR119" i="59"/>
  <c r="AR128" i="59" s="1"/>
  <c r="BI58" i="59"/>
  <c r="BI119" i="59"/>
  <c r="BI128" i="59" s="1"/>
  <c r="BK33" i="57"/>
  <c r="BB58" i="59"/>
  <c r="BB119" i="59"/>
  <c r="BB128" i="59" s="1"/>
  <c r="AU58" i="59"/>
  <c r="AU119" i="59"/>
  <c r="AU128" i="59" s="1"/>
  <c r="BL33" i="57"/>
  <c r="BL10" i="58"/>
  <c r="BL32" i="59" s="1"/>
  <c r="AM33" i="57"/>
  <c r="DL3" i="57"/>
  <c r="K23" i="60" l="1"/>
  <c r="BN10" i="58"/>
  <c r="BN32" i="59" s="1"/>
  <c r="BN33" i="59" s="1"/>
  <c r="BB10" i="58"/>
  <c r="BB32" i="59" s="1"/>
  <c r="BH10" i="58"/>
  <c r="BH32" i="59" s="1"/>
  <c r="AR10" i="58"/>
  <c r="AR32" i="59" s="1"/>
  <c r="AZ10" i="58"/>
  <c r="AZ32" i="59" s="1"/>
  <c r="AO33" i="57"/>
  <c r="AO41" i="57" s="1"/>
  <c r="AU10" i="58"/>
  <c r="AU32" i="59" s="1"/>
  <c r="BI10" i="58"/>
  <c r="BI32" i="59" s="1"/>
  <c r="AY10" i="58"/>
  <c r="AY32" i="59" s="1"/>
  <c r="AT10" i="58"/>
  <c r="AT32" i="59" s="1"/>
  <c r="CX3" i="57"/>
  <c r="AM41" i="57"/>
  <c r="CY33" i="57"/>
  <c r="CY41" i="57" s="1"/>
  <c r="BC41" i="57"/>
  <c r="DO33" i="57"/>
  <c r="DO41" i="57" s="1"/>
  <c r="AP41" i="57"/>
  <c r="DB33" i="57"/>
  <c r="DB41" i="57" s="1"/>
  <c r="BD41" i="57"/>
  <c r="DP33" i="57"/>
  <c r="DP41" i="57" s="1"/>
  <c r="BE41" i="57"/>
  <c r="DQ33" i="57"/>
  <c r="DQ41" i="57" s="1"/>
  <c r="BL41" i="57"/>
  <c r="DX33" i="57"/>
  <c r="DX41" i="57" s="1"/>
  <c r="BK41" i="57"/>
  <c r="DW33" i="57"/>
  <c r="DW41" i="57" s="1"/>
  <c r="AK41" i="57"/>
  <c r="CW33" i="57"/>
  <c r="CW41" i="57" s="1"/>
  <c r="AV41" i="57"/>
  <c r="DH33" i="57"/>
  <c r="DH41" i="57" s="1"/>
  <c r="BM41" i="57"/>
  <c r="DY33" i="57"/>
  <c r="DY41" i="57" s="1"/>
  <c r="AQ41" i="57"/>
  <c r="DC33" i="57"/>
  <c r="DC41" i="57" s="1"/>
  <c r="BA41" i="57"/>
  <c r="DM33" i="57"/>
  <c r="DM41" i="57" s="1"/>
  <c r="BF41" i="57"/>
  <c r="DR33" i="57"/>
  <c r="DR41" i="57" s="1"/>
  <c r="AS41" i="57"/>
  <c r="DE33" i="57"/>
  <c r="DE41" i="57" s="1"/>
  <c r="BJ33" i="57"/>
  <c r="DV3" i="57"/>
  <c r="AN33" i="57"/>
  <c r="CZ3" i="57"/>
  <c r="AW41" i="57"/>
  <c r="DI33" i="57"/>
  <c r="DI41" i="57" s="1"/>
  <c r="BG41" i="57"/>
  <c r="DS33" i="57"/>
  <c r="DS41" i="57" s="1"/>
  <c r="AX41" i="57"/>
  <c r="DJ33" i="57"/>
  <c r="DJ41" i="57" s="1"/>
  <c r="AZ33" i="57"/>
  <c r="AT33" i="57"/>
  <c r="AO10" i="58"/>
  <c r="AO32" i="59" s="1"/>
  <c r="CY20" i="58"/>
  <c r="BN33" i="57"/>
  <c r="AL33" i="57"/>
  <c r="AH32" i="59"/>
  <c r="AH102" i="59" s="1"/>
  <c r="CW4" i="58"/>
  <c r="CW5" i="58" s="1"/>
  <c r="AY33" i="57"/>
  <c r="BH33" i="57"/>
  <c r="AR33" i="57"/>
  <c r="BB33" i="57"/>
  <c r="AU33" i="57"/>
  <c r="BI33" i="57"/>
  <c r="K30" i="60" l="1"/>
  <c r="DA33" i="57"/>
  <c r="DA41" i="57" s="1"/>
  <c r="BH41" i="57"/>
  <c r="DT33" i="57"/>
  <c r="DT41" i="57" s="1"/>
  <c r="BJ41" i="57"/>
  <c r="DV33" i="57"/>
  <c r="DV41" i="57" s="1"/>
  <c r="AT41" i="57"/>
  <c r="DF33" i="57"/>
  <c r="DF41" i="57" s="1"/>
  <c r="AZ41" i="57"/>
  <c r="DL33" i="57"/>
  <c r="DL41" i="57" s="1"/>
  <c r="BI41" i="57"/>
  <c r="DU33" i="57"/>
  <c r="DU41" i="57" s="1"/>
  <c r="AR41" i="57"/>
  <c r="DD33" i="57"/>
  <c r="DD41" i="57" s="1"/>
  <c r="AY41" i="57"/>
  <c r="DK33" i="57"/>
  <c r="DK41" i="57" s="1"/>
  <c r="AU41" i="57"/>
  <c r="DG33" i="57"/>
  <c r="DG41" i="57" s="1"/>
  <c r="AL41" i="57"/>
  <c r="CX33" i="57"/>
  <c r="CX41" i="57" s="1"/>
  <c r="BN41" i="57"/>
  <c r="DZ33" i="57"/>
  <c r="DZ41" i="57" s="1"/>
  <c r="BB41" i="57"/>
  <c r="DN33" i="57"/>
  <c r="DN41" i="57" s="1"/>
  <c r="AN41" i="57"/>
  <c r="CZ33" i="57"/>
  <c r="CZ41" i="57" s="1"/>
  <c r="CV7" i="58"/>
  <c r="CV12" i="58"/>
  <c r="G40" i="63" l="1"/>
  <c r="G39" i="63"/>
  <c r="G41" i="63"/>
  <c r="J41" i="63" l="1"/>
  <c r="K20" i="63" l="1"/>
  <c r="K19" i="63"/>
  <c r="K40" i="63"/>
  <c r="J61" i="63"/>
  <c r="K61" i="63" s="1"/>
  <c r="K60" i="63"/>
  <c r="K59" i="63"/>
  <c r="K41" i="63"/>
  <c r="K39" i="63"/>
  <c r="S8" i="63" l="1"/>
  <c r="R14" i="63" l="1"/>
  <c r="S13" i="63"/>
  <c r="B50" i="63"/>
  <c r="R48" i="63" s="1"/>
  <c r="B47" i="63"/>
  <c r="B49" i="63"/>
  <c r="B48" i="63"/>
  <c r="B46" i="63"/>
  <c r="R52" i="63" l="1"/>
  <c r="S52" i="63" s="1"/>
  <c r="R51" i="63"/>
  <c r="S51" i="63" s="1"/>
  <c r="S48" i="63"/>
  <c r="R54" i="63" l="1"/>
  <c r="R55" i="63" s="1"/>
  <c r="S54" i="63" l="1"/>
  <c r="U54" i="63"/>
  <c r="EC13" i="59" l="1"/>
  <c r="ED10" i="59" l="1"/>
  <c r="ED11" i="59"/>
  <c r="ED6" i="59"/>
  <c r="ED8" i="59"/>
  <c r="ED12" i="59"/>
  <c r="ED9" i="59"/>
  <c r="ED7" i="5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tc={6ABB56AA-F2C7-4804-8D1E-BDF5F359084E}</author>
  </authors>
  <commentList>
    <comment ref="A8" authorId="0" shapeId="0" xr:uid="{6ABB56AA-F2C7-4804-8D1E-BDF5F359084E}">
      <text>
        <t>[Threaded comment]
Your version of Excel allows you to read this threaded comment; however, any edits to it will get removed if the file is opened in a newer version of Excel. Learn more: https://go.microsoft.com/fwlink/?linkid=870924
Comment:
    What is NBM?</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<sst xmlns="http://schemas.openxmlformats.org/spreadsheetml/2006/main" count="13163" uniqueCount="1984">
  <si>
    <t>% polymers</t>
  </si>
  <si>
    <t>Demand 2020</t>
  </si>
  <si>
    <t>Demand 2050 BAU</t>
  </si>
  <si>
    <t>R&amp;S</t>
  </si>
  <si>
    <t>Ethylene</t>
  </si>
  <si>
    <t>Propylene</t>
  </si>
  <si>
    <t>Methanol</t>
  </si>
  <si>
    <t>Benzene</t>
  </si>
  <si>
    <t>Toluene</t>
  </si>
  <si>
    <t>Xylene</t>
  </si>
  <si>
    <t>Butadiene</t>
  </si>
  <si>
    <t>Increase demand</t>
  </si>
  <si>
    <t>Post R&amp;S demand</t>
  </si>
  <si>
    <t>Polymer associated demand</t>
  </si>
  <si>
    <t>Recycled</t>
  </si>
  <si>
    <t>Sankey</t>
  </si>
  <si>
    <t>Production</t>
  </si>
  <si>
    <t>Use Phase</t>
  </si>
  <si>
    <t>End-of-use</t>
  </si>
  <si>
    <t>Fossil</t>
  </si>
  <si>
    <t>Use</t>
  </si>
  <si>
    <t>Biomass</t>
  </si>
  <si>
    <t>Resuse</t>
  </si>
  <si>
    <t>Waste feedstock</t>
  </si>
  <si>
    <t>Point Source</t>
  </si>
  <si>
    <t>Elimination</t>
  </si>
  <si>
    <t>Incineration without CCS</t>
  </si>
  <si>
    <t>DAC</t>
  </si>
  <si>
    <t>Substitution</t>
  </si>
  <si>
    <t>openburning</t>
  </si>
  <si>
    <t>Waste</t>
  </si>
  <si>
    <t>Incineration with CCS</t>
  </si>
  <si>
    <t>Total utility</t>
  </si>
  <si>
    <t>Landfill</t>
  </si>
  <si>
    <t>Leakage</t>
  </si>
  <si>
    <t>Total production:</t>
  </si>
  <si>
    <t>Accumulate in the economy</t>
  </si>
  <si>
    <t xml:space="preserve">Elimination </t>
  </si>
  <si>
    <t>Exhibit 3.1 – without circularity, demand for all base chemicals will increase, particularly methanol and ammonia as they enable a net zero economy</t>
  </si>
  <si>
    <t>Label</t>
  </si>
  <si>
    <t>2050 BAU</t>
  </si>
  <si>
    <t>2050 decarbonized BAU</t>
  </si>
  <si>
    <t xml:space="preserve">Ammonia </t>
  </si>
  <si>
    <t>Text</t>
  </si>
  <si>
    <t>Total chem 2020</t>
  </si>
  <si>
    <t>Total chem 2050</t>
  </si>
  <si>
    <t>CAGR</t>
  </si>
  <si>
    <t>Exhibit 3.2c – without circularity, demand for all base chemicals will increase, particularly methanol and ammonia as they enable a net zero economy</t>
  </si>
  <si>
    <t>2050 NZ + Low circularity</t>
  </si>
  <si>
    <t>2050 NZ + High circularity</t>
  </si>
  <si>
    <t>Reuse</t>
  </si>
  <si>
    <t>Recycling</t>
  </si>
  <si>
    <t>Series</t>
  </si>
  <si>
    <t>Check</t>
  </si>
  <si>
    <t>Numbers in the text</t>
  </si>
  <si>
    <t>Plastic and fetilizer per capita</t>
  </si>
  <si>
    <t>Mt chemicals</t>
  </si>
  <si>
    <t>HC</t>
  </si>
  <si>
    <t>LC</t>
  </si>
  <si>
    <t>Circular levers for all chemicals</t>
  </si>
  <si>
    <t>Circular levers for carbon-based chemicals</t>
  </si>
  <si>
    <t>Excld. Recycling</t>
  </si>
  <si>
    <t>Ratio mechanical vs total production</t>
  </si>
  <si>
    <t>Mechanical Recycling rates</t>
  </si>
  <si>
    <t>HIGH CIRCULARITY</t>
  </si>
  <si>
    <t>LOW CIRCULARITY</t>
  </si>
  <si>
    <t>BUSINESS-AS-USUAL</t>
  </si>
  <si>
    <t>Total</t>
  </si>
  <si>
    <t>Production BAU</t>
  </si>
  <si>
    <t>mTons</t>
  </si>
  <si>
    <t>Fertilizer reduction (food waste, new tech, diet shift)</t>
  </si>
  <si>
    <t>Fertilizer subsitution (Switch to organic farming)</t>
  </si>
  <si>
    <t>Fuel additive elimination</t>
  </si>
  <si>
    <t>Packaging reduction</t>
  </si>
  <si>
    <t>Packaging reuse</t>
  </si>
  <si>
    <t>Packaging substitution Paper</t>
  </si>
  <si>
    <t>Packaging Substitution Compostables</t>
  </si>
  <si>
    <t>MaaS</t>
  </si>
  <si>
    <t>Vehicle life extension</t>
  </si>
  <si>
    <t>Building reduction</t>
  </si>
  <si>
    <t>Building substitution</t>
  </si>
  <si>
    <t>Apparel - waste reduction</t>
  </si>
  <si>
    <t>Apparel - NBM</t>
  </si>
  <si>
    <t>Apparel - substitution</t>
  </si>
  <si>
    <t>Others Reduction</t>
  </si>
  <si>
    <t>Others Substitution</t>
  </si>
  <si>
    <t>Increase Demand</t>
  </si>
  <si>
    <t>Mecahnical Recycling</t>
  </si>
  <si>
    <t>Chemical Recycling</t>
  </si>
  <si>
    <t>Waste management (collection + MRF)</t>
  </si>
  <si>
    <t>Incineration</t>
  </si>
  <si>
    <t>Production Circular</t>
  </si>
  <si>
    <t>ASSUMPTIONS</t>
  </si>
  <si>
    <t>Job creation</t>
  </si>
  <si>
    <t>Job factor</t>
  </si>
  <si>
    <t>job/1000 tons of plastic/year</t>
  </si>
  <si>
    <t>Source</t>
  </si>
  <si>
    <t>job</t>
  </si>
  <si>
    <t>None</t>
  </si>
  <si>
    <t>BPW</t>
  </si>
  <si>
    <t>Job/1000 ton</t>
  </si>
  <si>
    <t>Chemical production (include upstream</t>
  </si>
  <si>
    <t>Job/EJ</t>
  </si>
  <si>
    <t>H2</t>
  </si>
  <si>
    <t>Power</t>
  </si>
  <si>
    <t>BPWE</t>
  </si>
  <si>
    <t>CO2</t>
  </si>
  <si>
    <t>Additonal job creation from circular levers</t>
  </si>
  <si>
    <t>Emission factor</t>
  </si>
  <si>
    <t>mT CO2 / mT of plastic</t>
  </si>
  <si>
    <t>mT CO2eq</t>
  </si>
  <si>
    <t>Additonal CO2 emissions from circular levers</t>
  </si>
  <si>
    <t>Annualized CAPEX</t>
  </si>
  <si>
    <t>$/T</t>
  </si>
  <si>
    <t>m$</t>
  </si>
  <si>
    <t>Annualized CAPEX from circular levers and end-of-life</t>
  </si>
  <si>
    <t>OPEX</t>
  </si>
  <si>
    <t>OPEX from circular levers and end-of-life</t>
  </si>
  <si>
    <t>Total - inlcuding derivatives total weight</t>
  </si>
  <si>
    <t>Waste availability (pyrolysis only)</t>
  </si>
  <si>
    <t>Total - per ton of basic chemical</t>
  </si>
  <si>
    <t>Ammonia</t>
  </si>
  <si>
    <t>Ammonia Production BAU</t>
  </si>
  <si>
    <t>m Tons of NH3</t>
  </si>
  <si>
    <t>Ammonia Production Circular</t>
  </si>
  <si>
    <t>Ammonia Production BAU (minus deritavies)</t>
  </si>
  <si>
    <t>Ammonia Production Circular (minus derivatives)</t>
  </si>
  <si>
    <t>Urea Production BAU</t>
  </si>
  <si>
    <t>m Tons of UREA</t>
  </si>
  <si>
    <t>2050 Most Economic</t>
  </si>
  <si>
    <t>Urea Production Circular</t>
  </si>
  <si>
    <t>AN Production BAU</t>
  </si>
  <si>
    <t>m Tons of AN</t>
  </si>
  <si>
    <t>AN Production Circular</t>
  </si>
  <si>
    <t>Ethylene Production BAU</t>
  </si>
  <si>
    <t>Ethylene Production Circular</t>
  </si>
  <si>
    <t>Propylene Production BAU</t>
  </si>
  <si>
    <t>Propylene Production Circular</t>
  </si>
  <si>
    <t>Methanol+ Production BAU</t>
  </si>
  <si>
    <t>Methanol Production Circular</t>
  </si>
  <si>
    <t>Benzene - post toluene conversion</t>
  </si>
  <si>
    <t>Benzene Production BAU</t>
  </si>
  <si>
    <t>Benzene Production Circular</t>
  </si>
  <si>
    <t>Toluene - post toluene conversion</t>
  </si>
  <si>
    <t>Toluene Production BAU</t>
  </si>
  <si>
    <t>Toluene Production Circular</t>
  </si>
  <si>
    <t>Xylene - post toluene conversion</t>
  </si>
  <si>
    <t>Xylenes Production BAU</t>
  </si>
  <si>
    <t>Xylenes Production Circular</t>
  </si>
  <si>
    <t>Butadiene Production BAU</t>
  </si>
  <si>
    <t>Butadiene Production Circular</t>
  </si>
  <si>
    <t>BTX</t>
  </si>
  <si>
    <t>Baseline BTX Production (total) - pre toluene conversion</t>
  </si>
  <si>
    <t>m Tons</t>
  </si>
  <si>
    <t>Demand 2020 (excl. MTO)</t>
  </si>
  <si>
    <t>Demand growth by 2050 (excl. MTO)</t>
  </si>
  <si>
    <t>Demand Business As Usual 2050 (excl. MTO)</t>
  </si>
  <si>
    <t>Additional MTO growth by 2050</t>
  </si>
  <si>
    <t>2050 Demand</t>
  </si>
  <si>
    <t>R&amp;S Transportation</t>
  </si>
  <si>
    <t>R&amp;S packaging and HH Goods</t>
  </si>
  <si>
    <t>R&amp;S buildings and construction</t>
  </si>
  <si>
    <t>R&amp;S Others</t>
  </si>
  <si>
    <t>F: Renewable Energy Systems</t>
  </si>
  <si>
    <t>2050 Net Zero + Circular</t>
  </si>
  <si>
    <t>pre conversion</t>
  </si>
  <si>
    <t>Xylenes</t>
  </si>
  <si>
    <t>e</t>
  </si>
  <si>
    <t>Reduce</t>
  </si>
  <si>
    <t>R&amp;S Automotive fuel</t>
  </si>
  <si>
    <t>Sector demand BAU (fuel)</t>
  </si>
  <si>
    <t>Waterfall</t>
  </si>
  <si>
    <t>Substitute</t>
  </si>
  <si>
    <t>R&amp;S automotive fuel (BEV penetration)</t>
  </si>
  <si>
    <t>2050-2020 excl MTO</t>
  </si>
  <si>
    <t>Increase</t>
  </si>
  <si>
    <t>Fuel demand after R&amp;S</t>
  </si>
  <si>
    <t>BTX demand minus fuel</t>
  </si>
  <si>
    <t>Check Sum 2050 BAU</t>
  </si>
  <si>
    <t>MTO</t>
  </si>
  <si>
    <t>Demand growth by 2050</t>
  </si>
  <si>
    <t>Demand Business As Usual 2050</t>
  </si>
  <si>
    <t>Additional Demand</t>
  </si>
  <si>
    <t>Reduction</t>
  </si>
  <si>
    <t>Circular demand 2050</t>
  </si>
  <si>
    <t>R&amp;S Automotive</t>
  </si>
  <si>
    <t>Sector demand BAU (PU &amp; other polymers)</t>
  </si>
  <si>
    <t>Fuel</t>
  </si>
  <si>
    <t>Series 1</t>
  </si>
  <si>
    <t>ICE to EV switch new polymer demand</t>
  </si>
  <si>
    <t>Other polymer (excl ethylene/propylene)</t>
  </si>
  <si>
    <t>Ad. Sector demand BAU</t>
  </si>
  <si>
    <t>Other</t>
  </si>
  <si>
    <t>Mechanical Recycling</t>
  </si>
  <si>
    <t>Life extension</t>
  </si>
  <si>
    <t>Chemical recycling</t>
  </si>
  <si>
    <t>Check Sum of sub-sectors</t>
  </si>
  <si>
    <t>Sector demand Post R&amp;S</t>
  </si>
  <si>
    <t>R&amp;S Packaging &amp; consumer goods industry</t>
  </si>
  <si>
    <t>Sector demand BAU</t>
  </si>
  <si>
    <t>Reuse and NBM</t>
  </si>
  <si>
    <t>Check Sum 2020 BAU</t>
  </si>
  <si>
    <t>Paper and coatings</t>
  </si>
  <si>
    <t>Compostables</t>
  </si>
  <si>
    <t>R&amp;S Construction industry</t>
  </si>
  <si>
    <t>R&amp;S Textile industry</t>
  </si>
  <si>
    <t>Waste reduction</t>
  </si>
  <si>
    <t>New Business Models</t>
  </si>
  <si>
    <t>R&amp;S Other industry</t>
  </si>
  <si>
    <t>Sector demand BAU for other in niche polymers</t>
  </si>
  <si>
    <t>Wind increase</t>
  </si>
  <si>
    <t>Solar increase</t>
  </si>
  <si>
    <t>Solar and Wind</t>
  </si>
  <si>
    <t>Add. Energy Sector demand</t>
  </si>
  <si>
    <t>Additional demand</t>
  </si>
  <si>
    <t>Post R&amp;S BTX Production</t>
  </si>
  <si>
    <t>Recycling Packaging and Consumer goods</t>
  </si>
  <si>
    <t>Closed Loop Recycling</t>
  </si>
  <si>
    <t>Open Loop Recycling from Automotive</t>
  </si>
  <si>
    <t>Sector Demand Post R&amp;S and Recycling</t>
  </si>
  <si>
    <t>Recycling Automotive</t>
  </si>
  <si>
    <t>Recycling Apparel</t>
  </si>
  <si>
    <t>Open Loop Recycling from Packaging</t>
  </si>
  <si>
    <t>Recycling  Construction</t>
  </si>
  <si>
    <t>Open Loop Recycling from Apparel</t>
  </si>
  <si>
    <t>Recycling Other</t>
  </si>
  <si>
    <t>Open Loop Recycling from Textile</t>
  </si>
  <si>
    <t>Open Loop</t>
  </si>
  <si>
    <t>Closed Loop</t>
  </si>
  <si>
    <t>Post R&amp;S and Recycling BTX Demand for PU &amp; other polymers &amp; other category</t>
  </si>
  <si>
    <t>Depolymerization</t>
  </si>
  <si>
    <t>Dissolution</t>
  </si>
  <si>
    <t>Post R&amp;S and Recycling and chem. Recycling BTX Demand</t>
  </si>
  <si>
    <t>Waste available for pyrolysis</t>
  </si>
  <si>
    <t>Waste available for gasification (incl. pyrolysis)</t>
  </si>
  <si>
    <t>post conversion</t>
  </si>
  <si>
    <t>Butadienne</t>
  </si>
  <si>
    <t>Baseline Butadiene Production (total)</t>
  </si>
  <si>
    <t>C4 demand minus fuel</t>
  </si>
  <si>
    <t>Post R&amp;S Butadiene Production</t>
  </si>
  <si>
    <t>Post R&amp;S and Recycling Butadiene Demand for PU &amp; other polymers &amp; other category</t>
  </si>
  <si>
    <t>Post R&amp;S and Recycling and chem. Recycling Butadiene Demand</t>
  </si>
  <si>
    <t>Baseline Methanol Production (total)</t>
  </si>
  <si>
    <t>MTO demand</t>
  </si>
  <si>
    <t>Baseline Methanol demand for BAU minus MTO - input for supply model</t>
  </si>
  <si>
    <t>Assuming the supply model will be calculating the MTO demand</t>
  </si>
  <si>
    <t>Acetic Acid</t>
  </si>
  <si>
    <t>Methanol (fuel)</t>
  </si>
  <si>
    <t>Others</t>
  </si>
  <si>
    <t>Methanol demand minus MTO minus fuel</t>
  </si>
  <si>
    <t>R&amp;S Automotive PU &amp; other polymers</t>
  </si>
  <si>
    <t>Post R&amp;S Methanol Production</t>
  </si>
  <si>
    <t>Post R&amp;S and Recycling Methanol Demand for PU &amp; other polymers &amp; other category</t>
  </si>
  <si>
    <t>Post R&amp;S and Recycling and chem. Recycling Methanol Demand</t>
  </si>
  <si>
    <t>Post R&amp;S and Recycling and chem. Recycling Methanol Demand (plus MTO in 2020, excl after)</t>
  </si>
  <si>
    <t>Ethylene - High circularity</t>
  </si>
  <si>
    <t>Baseline Ethylene Demand</t>
  </si>
  <si>
    <t>Tiers 1</t>
  </si>
  <si>
    <t>PE</t>
  </si>
  <si>
    <t>Deivatives</t>
  </si>
  <si>
    <t>Ethylene Oxide</t>
  </si>
  <si>
    <t>Polyethylene</t>
  </si>
  <si>
    <t>Ethyelene Dichloride</t>
  </si>
  <si>
    <t>Tiers 2</t>
  </si>
  <si>
    <t>Vinyl Chloride</t>
  </si>
  <si>
    <t>Polypropylene</t>
  </si>
  <si>
    <t>Etylene Glycol</t>
  </si>
  <si>
    <t>Ethylene Benzene</t>
  </si>
  <si>
    <t>Automotive industry</t>
  </si>
  <si>
    <t>Terephtalic acid</t>
  </si>
  <si>
    <t>ICE to EV switch</t>
  </si>
  <si>
    <t>Packaging &amp; consumer goods industry</t>
  </si>
  <si>
    <t>Construction industry</t>
  </si>
  <si>
    <t>Apparel industry</t>
  </si>
  <si>
    <t>Post R&amp;S Ethylene Demand</t>
  </si>
  <si>
    <t>Post R&amp;S and Recycling Ethylene Demand</t>
  </si>
  <si>
    <t>Post R&amp;S and Recycling and chem. Recycling Ethylene Demand</t>
  </si>
  <si>
    <t>check 1</t>
  </si>
  <si>
    <t>check 2</t>
  </si>
  <si>
    <t>check 3</t>
  </si>
  <si>
    <t>check 4</t>
  </si>
  <si>
    <t>Ethylene Shares</t>
  </si>
  <si>
    <t>2050 HC - Post R&amp;S</t>
  </si>
  <si>
    <t>2051 HC - Post R&amp;S</t>
  </si>
  <si>
    <t>2052 HC - Post R&amp;S</t>
  </si>
  <si>
    <t>2053 HC - Post R&amp;S</t>
  </si>
  <si>
    <t>2054 HC - Post R&amp;S</t>
  </si>
  <si>
    <t>2055 HC - Post R&amp;S</t>
  </si>
  <si>
    <t>2056 HC - Post R&amp;S</t>
  </si>
  <si>
    <t>2057 HC - Post R&amp;S</t>
  </si>
  <si>
    <t>2058 HC - Post R&amp;S</t>
  </si>
  <si>
    <t>2059 HC - Post R&amp;S</t>
  </si>
  <si>
    <t>2050 HC - Post R&amp;S - Post recyl</t>
  </si>
  <si>
    <t>2051 HC - Post R&amp;S - Post recyl</t>
  </si>
  <si>
    <t>2052 HC - Post R&amp;S - Post recyl</t>
  </si>
  <si>
    <t>2053 HC - Post R&amp;S - Post recyl</t>
  </si>
  <si>
    <t>2054 HC - Post R&amp;S - Post recyl</t>
  </si>
  <si>
    <t>2055 HC - Post R&amp;S - Post recyl</t>
  </si>
  <si>
    <t>2056 HC - Post R&amp;S - Post recyl</t>
  </si>
  <si>
    <t>2057 HC - Post R&amp;S - Post recyl</t>
  </si>
  <si>
    <t>2058 HC - Post R&amp;S - Post recyl</t>
  </si>
  <si>
    <t>2059 HC - Post R&amp;S - Post recyl</t>
  </si>
  <si>
    <t>For overall R&amp;S waterfall plot:</t>
  </si>
  <si>
    <t>A: R&amp;S: Packaging and household goods</t>
  </si>
  <si>
    <t>B: R&amp;S: Buildings and Construction</t>
  </si>
  <si>
    <t>C: R&amp;S: Transportation</t>
  </si>
  <si>
    <t>D: R&amp;S: Apparel</t>
  </si>
  <si>
    <t>E: R&amp;S: Others</t>
  </si>
  <si>
    <t>Post R&amp;S Demand 2050</t>
  </si>
  <si>
    <t>Packaging</t>
  </si>
  <si>
    <t>Building &amp; Construction</t>
  </si>
  <si>
    <t>Transportation</t>
  </si>
  <si>
    <t>Electrical &amp; Electronics</t>
  </si>
  <si>
    <t>Household, leisure &amp; sports</t>
  </si>
  <si>
    <t>Packaging plot LOW AND HIGH</t>
  </si>
  <si>
    <t>Reuse and new business models</t>
  </si>
  <si>
    <t>Post Reduce Demand 2050 (High Scenario)</t>
  </si>
  <si>
    <t>Paper and paper coating substitution</t>
  </si>
  <si>
    <t>Compostable substitution</t>
  </si>
  <si>
    <t>Post R&amp;S Demand 2050 (High Scenario)</t>
  </si>
  <si>
    <t>Apparel</t>
  </si>
  <si>
    <t>Energy</t>
  </si>
  <si>
    <t>Buildings and Construction plot LOW AND HIGH</t>
  </si>
  <si>
    <t>Ethylene Shares - PIE CHART - same as above re-organized</t>
  </si>
  <si>
    <t>Packaging and hh goods</t>
  </si>
  <si>
    <t>Transportation plot LOW AND HIGH</t>
  </si>
  <si>
    <t>Switch to electric cars</t>
  </si>
  <si>
    <t>Mobility as a Service</t>
  </si>
  <si>
    <t>Lifetime Extension</t>
  </si>
  <si>
    <t>Textiles</t>
  </si>
  <si>
    <t>Apparel plot LOW AND HIGH</t>
  </si>
  <si>
    <t>Reduce textile waste in value chain</t>
  </si>
  <si>
    <t>Reuse and  New business Models</t>
  </si>
  <si>
    <t>Ethylene Shares - GRAPH CHART - same as above re-organized</t>
  </si>
  <si>
    <t>2050 - BAU</t>
  </si>
  <si>
    <t>OTHER plot LOW AND HIGH</t>
  </si>
  <si>
    <t>For overall recycling waterfall plot:</t>
  </si>
  <si>
    <t>Reduction and  substitution (A-F)</t>
  </si>
  <si>
    <t>G: Recycling: Packaging and household goods</t>
  </si>
  <si>
    <t>H: Recycling: Buildings and Construction</t>
  </si>
  <si>
    <t>I: Recycling: Transportation</t>
  </si>
  <si>
    <t>J: Recycling: Apparel</t>
  </si>
  <si>
    <t>K: Recycling: Other sectors</t>
  </si>
  <si>
    <t>Packaging plot</t>
  </si>
  <si>
    <t>Reduction and  substitution</t>
  </si>
  <si>
    <t>Additional closed-loop recycling</t>
  </si>
  <si>
    <t xml:space="preserve">Additional transportation to packaging and household goods open-loop recycling </t>
  </si>
  <si>
    <t>Total additional recycled ethylene content to packaging and household goods</t>
  </si>
  <si>
    <t>Construction plot</t>
  </si>
  <si>
    <t xml:space="preserve">Additional packaging and household goods to building and construction open-loop recycling </t>
  </si>
  <si>
    <t xml:space="preserve">Additional transportation to building and construction open-loop recycling </t>
  </si>
  <si>
    <t xml:space="preserve">Additional textile to building and construction open-loop recycling </t>
  </si>
  <si>
    <t>Total additional recycled ethylene content to building and construction</t>
  </si>
  <si>
    <t>Automotive plot</t>
  </si>
  <si>
    <t>Textile plot</t>
  </si>
  <si>
    <t xml:space="preserve">Additional packaging and household goods to apparel open-loop recycling </t>
  </si>
  <si>
    <t>Total additional recycled ethylene content to apparel</t>
  </si>
  <si>
    <t>Post R&amp;S wedge</t>
  </si>
  <si>
    <t>Other plot</t>
  </si>
  <si>
    <t xml:space="preserve">Additional packaging and household goods to other sectors open-loop recycling </t>
  </si>
  <si>
    <t xml:space="preserve">Additional transportation goods to other sectors open-loop recycling </t>
  </si>
  <si>
    <t xml:space="preserve">Additional apparel to other sectors open-loop recycling </t>
  </si>
  <si>
    <t>Total additional recycled ethylene content to other sectors</t>
  </si>
  <si>
    <t>Overall plot</t>
  </si>
  <si>
    <t>TOTAL</t>
  </si>
  <si>
    <t>Post R&amp;S and recycling wedge</t>
  </si>
  <si>
    <t>check</t>
  </si>
  <si>
    <t>--&gt; must be 0</t>
  </si>
  <si>
    <t>Combined  Ethylene and propylene</t>
  </si>
  <si>
    <t>Construction</t>
  </si>
  <si>
    <t>Automotive</t>
  </si>
  <si>
    <t>2050 - HC</t>
  </si>
  <si>
    <t>Ethyelene</t>
  </si>
  <si>
    <t>Waste gen.</t>
  </si>
  <si>
    <t>Waste collected</t>
  </si>
  <si>
    <t>Waste sorted</t>
  </si>
  <si>
    <t>Recycled input</t>
  </si>
  <si>
    <t>Recycled output</t>
  </si>
  <si>
    <t>Recycling rates</t>
  </si>
  <si>
    <t>Recycled content</t>
  </si>
  <si>
    <t>Ethylene - Low circularity</t>
  </si>
  <si>
    <t>Baseline Ethylene Production</t>
  </si>
  <si>
    <t>R&amp;S Automotive industry</t>
  </si>
  <si>
    <t>Post R&amp;S Ethylene Production</t>
  </si>
  <si>
    <t>corrected to adjust for negative flow</t>
  </si>
  <si>
    <t>Total exclude negative from construction</t>
  </si>
  <si>
    <t>Propylene - High circularity</t>
  </si>
  <si>
    <t>Baseline Propylene Production</t>
  </si>
  <si>
    <t>Textile industry</t>
  </si>
  <si>
    <t>Post R&amp;S Propylene Production</t>
  </si>
  <si>
    <t>Post R&amp;S and Recycling Propylene Demand</t>
  </si>
  <si>
    <t>Post R&amp;S and Recycling and chem. Recycling Propylene Demand</t>
  </si>
  <si>
    <t>Propylene Shares</t>
  </si>
  <si>
    <t>D: R&amp;S: Others</t>
  </si>
  <si>
    <t>Propylene Shares - PIE CHART - same as above re-organized</t>
  </si>
  <si>
    <t>Propylene Shares - GRAPH CHART - same as above re-organized</t>
  </si>
  <si>
    <t>Reduction and  substitution (A-D)</t>
  </si>
  <si>
    <t>E: Recycling: Packaging and household goods</t>
  </si>
  <si>
    <t>F: Recycling: Buildings and Construction</t>
  </si>
  <si>
    <t>G: Recycling: Transportation</t>
  </si>
  <si>
    <t>H: Recycling: Other sectors</t>
  </si>
  <si>
    <t>Total additional recycled Propylene content to packaging and household goods</t>
  </si>
  <si>
    <t>Total additional recycled Propylene content to building and construction</t>
  </si>
  <si>
    <t>Total additional recycled Propylene content to apparel</t>
  </si>
  <si>
    <t>Total additional recycled Propylene content to other sectors</t>
  </si>
  <si>
    <t>Propylene - Low circularity</t>
  </si>
  <si>
    <t>HIGH CIRCULARITY // LOW DEMAND</t>
  </si>
  <si>
    <t>LOW CIRCULARITY // HIGH DEMAND</t>
  </si>
  <si>
    <t>Virgin plastic production</t>
  </si>
  <si>
    <t>Box A - Arrow I1 - Arrow K1</t>
  </si>
  <si>
    <t>tCO2e/metric tonne</t>
  </si>
  <si>
    <t>Midpoint assessed by material economics based on 3 sources</t>
  </si>
  <si>
    <t>Emission factor for scope 3 end of life</t>
  </si>
  <si>
    <t>Tons of CO2eq/ton of X produced</t>
  </si>
  <si>
    <t>Total CO2 captured by CCS from end-of-life incineration</t>
  </si>
  <si>
    <t>MTons of CO2eq</t>
  </si>
  <si>
    <t>Total CO2 residual emissions from incineration (non-CCS, CCS, and open burning)</t>
  </si>
  <si>
    <t>Total CO2 from end of life</t>
  </si>
  <si>
    <r>
      <rPr>
        <b/>
        <u/>
        <sz val="11"/>
        <color theme="1"/>
        <rFont val="Calibri"/>
        <family val="2"/>
        <scheme val="minor"/>
      </rPr>
      <t>Plastic</t>
    </r>
    <r>
      <rPr>
        <b/>
        <sz val="11"/>
        <color theme="1"/>
        <rFont val="Calibri"/>
        <family val="2"/>
        <scheme val="minor"/>
      </rPr>
      <t xml:space="preserve"> Waste Generation Summary</t>
    </r>
  </si>
  <si>
    <t>Plastic conversion</t>
  </si>
  <si>
    <t>Box A</t>
  </si>
  <si>
    <t>Formal collection</t>
  </si>
  <si>
    <t>Box C</t>
  </si>
  <si>
    <t>Extensive explanation provided in report (page 32)</t>
  </si>
  <si>
    <t>Baseline plastic waste generation</t>
  </si>
  <si>
    <t>Sorting</t>
  </si>
  <si>
    <t>Box F</t>
  </si>
  <si>
    <t>Assumed combination of sorting and transport to recyclers, Extensive explanation provided in report (page 32)</t>
  </si>
  <si>
    <t>Closed loop MR</t>
  </si>
  <si>
    <t>Box I</t>
  </si>
  <si>
    <t>Based on APR report, average value of PP, PET and HDPE, it includes flake to pellet energy, bale to flake energy, transport to reclaimer and collect and sort. Collect and sort has been substracted (page 34). It has been adjusted to account for loss rate of 15% during in recycling process so it reflects kg of input</t>
  </si>
  <si>
    <t>Total Managed</t>
  </si>
  <si>
    <t>Open loop MR</t>
  </si>
  <si>
    <t>Box J</t>
  </si>
  <si>
    <t>Total Mismanaged</t>
  </si>
  <si>
    <t>Chemical conversion P2P</t>
  </si>
  <si>
    <t>Arrow K1</t>
  </si>
  <si>
    <t>Based on reverse engineering done by Mats Linder of figures given by Benavides paper for the process of converting plastic waste into fuel. To this the emissions of producing virgin plastic has been added</t>
  </si>
  <si>
    <t>Chemical conversion P2F</t>
  </si>
  <si>
    <t>Arrow K2</t>
  </si>
  <si>
    <t xml:space="preserve">Based on reverse engineering done by Mats Linder of figures given by Benavides paper for the process of converting plastic waste into fuel. </t>
  </si>
  <si>
    <t>Thermal treatment</t>
  </si>
  <si>
    <t>Box O</t>
  </si>
  <si>
    <t>value given for incinerating mixed plastics, offset of displacing normal US energy mix assumed</t>
  </si>
  <si>
    <t>Engineered landfills</t>
  </si>
  <si>
    <t>Box N</t>
  </si>
  <si>
    <t>as given in report, based on multiple provided pieces of research</t>
  </si>
  <si>
    <t>Energy Recovery</t>
  </si>
  <si>
    <t>Open burning</t>
  </si>
  <si>
    <t>Box S</t>
  </si>
  <si>
    <t xml:space="preserve">As given in the appendix </t>
  </si>
  <si>
    <t>Dumpsite</t>
  </si>
  <si>
    <t>Open Burning</t>
  </si>
  <si>
    <t>Leakage Environment</t>
  </si>
  <si>
    <t>Leakage Ocean</t>
  </si>
  <si>
    <t>Energy Recovery breakdown</t>
  </si>
  <si>
    <t>Without CCS</t>
  </si>
  <si>
    <t>With CCS</t>
  </si>
  <si>
    <t>Tons of CO2ea/ton of plastic waste</t>
  </si>
  <si>
    <t>Energy Recovery without CCS</t>
  </si>
  <si>
    <t>Energy Recovery with CCS</t>
  </si>
  <si>
    <t xml:space="preserve">Waste management </t>
  </si>
  <si>
    <t>%</t>
  </si>
  <si>
    <t>Emission Factor scope 3</t>
  </si>
  <si>
    <t>Without energy recovery</t>
  </si>
  <si>
    <t>Scope 3 Emissions considered</t>
  </si>
  <si>
    <t>T of CO2/ton of plastic</t>
  </si>
  <si>
    <t>From EPA</t>
  </si>
  <si>
    <t>MTCO2E / short ton</t>
  </si>
  <si>
    <t>MTCO2E / MT</t>
  </si>
  <si>
    <t>MTCO2/MT</t>
  </si>
  <si>
    <t>MTCO2E/MT</t>
  </si>
  <si>
    <t>HDPE</t>
  </si>
  <si>
    <t>LDPE</t>
  </si>
  <si>
    <t>PET</t>
  </si>
  <si>
    <t>LLDPE</t>
  </si>
  <si>
    <t>used mixed plastic as default given no value for PUR</t>
  </si>
  <si>
    <t>PP</t>
  </si>
  <si>
    <t>PS</t>
  </si>
  <si>
    <t>used PE as default given no value for rubber</t>
  </si>
  <si>
    <t>PVC</t>
  </si>
  <si>
    <t>Mixed</t>
  </si>
  <si>
    <t>Values in this column assume 100% green electricity and therefore no avoided emissions can be claimed from incineration of waste by 2050 due to energy substitution</t>
  </si>
  <si>
    <t>Values in this column assume no offset from energy recovery</t>
  </si>
  <si>
    <t>https://www.epa.gov/sites/default/files/2019-10/documents/warm_v15_management_practices_updated_10-08-2019.pdf (page 64 pdf)</t>
  </si>
  <si>
    <t>From C-Thru Project (Through Per)</t>
  </si>
  <si>
    <t>From Pew/BPWE</t>
  </si>
  <si>
    <t>Table 5-7</t>
  </si>
  <si>
    <t>Assuming no energy recovery and 100% burnt</t>
  </si>
  <si>
    <t>CCS capture rate</t>
  </si>
  <si>
    <t>from supply model</t>
  </si>
  <si>
    <t>S-Curve for technology ramp-up applied to deplzment of CCS</t>
  </si>
  <si>
    <t>x</t>
  </si>
  <si>
    <t>a</t>
  </si>
  <si>
    <t>S curve formular from supply model</t>
  </si>
  <si>
    <t>b</t>
  </si>
  <si>
    <t>assuming non-hig oncome country S-Curve only start in 2035</t>
  </si>
  <si>
    <t>c</t>
  </si>
  <si>
    <t>M</t>
  </si>
  <si>
    <t>Baseline - IEA</t>
  </si>
  <si>
    <t>Ehtylene</t>
  </si>
  <si>
    <t>% going to plastic</t>
  </si>
  <si>
    <t>Total polymer production</t>
  </si>
  <si>
    <t>Total recycling production</t>
  </si>
  <si>
    <t>Population</t>
  </si>
  <si>
    <t>Plastic per capita</t>
  </si>
  <si>
    <t>Plastic waste per capita</t>
  </si>
  <si>
    <t>ratio prod/waste used</t>
  </si>
  <si>
    <t>Polymer production</t>
  </si>
  <si>
    <t>Per capita consumption</t>
  </si>
  <si>
    <t>Africa + ME</t>
  </si>
  <si>
    <t>East and South Asia + Oceania</t>
  </si>
  <si>
    <t>Europe + CA</t>
  </si>
  <si>
    <t>Lat Am</t>
  </si>
  <si>
    <t>North Am</t>
  </si>
  <si>
    <t>South + Oceania</t>
  </si>
  <si>
    <t>Average high income</t>
  </si>
  <si>
    <t>Data from IEA report: The future of Petrochemicals - 2018</t>
  </si>
  <si>
    <t>Yearly projection using 5-year CAGR from IEA scenarios</t>
  </si>
  <si>
    <t>Ethylene RTS</t>
  </si>
  <si>
    <t>Scenario used for BAU</t>
  </si>
  <si>
    <t>Ethylene CTS</t>
  </si>
  <si>
    <t>Propylene RTS</t>
  </si>
  <si>
    <t>Propylene CTS</t>
  </si>
  <si>
    <t>https://www.iea.org/reports/the-future-of-petrochemicals</t>
  </si>
  <si>
    <t>Baseline - RTS Core</t>
  </si>
  <si>
    <t>Source/note</t>
  </si>
  <si>
    <t>Web-Digitizer</t>
  </si>
  <si>
    <t>Year</t>
  </si>
  <si>
    <t>Methanol Demand</t>
  </si>
  <si>
    <t>Methanol IEA</t>
  </si>
  <si>
    <t>IEA Reference technology scenario (core)</t>
  </si>
  <si>
    <t>Ref</t>
  </si>
  <si>
    <t>Methanol IEA interpolate</t>
  </si>
  <si>
    <t>Methanol IEA excl. IEA MTO</t>
  </si>
  <si>
    <t>CTS Core</t>
  </si>
  <si>
    <t>Methanol MMSA</t>
  </si>
  <si>
    <t>MMSA (see other sheet)</t>
  </si>
  <si>
    <t>CTS High</t>
  </si>
  <si>
    <t>Methanol MMSA excl. MTO</t>
  </si>
  <si>
    <t>RTS Core</t>
  </si>
  <si>
    <t>Suggested baseline</t>
  </si>
  <si>
    <t>Use historic MMSA data and interpolate towards 2030 IEA data and use IEA data thereafter; ignore 2025 data</t>
  </si>
  <si>
    <t>RTS High</t>
  </si>
  <si>
    <t>Suggested baseline MTO demand</t>
  </si>
  <si>
    <t>Use historic MMSA data and interpolate towards 2050 IEA data; ignore 2030 number</t>
  </si>
  <si>
    <t>Suggested baseline excl MTO demand</t>
  </si>
  <si>
    <t>used before: mixed methanol demand incl MTO from IEA and MMSA</t>
  </si>
  <si>
    <t>IEA Reference technology scenario (=BAU) Project Demand for 2015 and 2025 onwards. Rest from MMSA; 2021 = estimated</t>
  </si>
  <si>
    <t>Difference IEA excl. MTO - MMSA excl. MTO</t>
  </si>
  <si>
    <t>Difference IEA vs. MMSA overall demand</t>
  </si>
  <si>
    <t>IEA RTS data on MTO</t>
  </si>
  <si>
    <t>2017e</t>
  </si>
  <si>
    <t>IEA, Future of Petrochemicals, Appendix, page 14</t>
  </si>
  <si>
    <t xml:space="preserve">MTO/MTA in t HVC </t>
  </si>
  <si>
    <t>MMSA MTO in t Methanol</t>
  </si>
  <si>
    <t>t MeOH / t ethylene by stochiometry</t>
  </si>
  <si>
    <t>"2.28 tons of methanol are required per ton of ethylene".
Note that this is also in line with Table 1 in Jasper paper (https://www.mdpi.com/2227-9717/3/3/684), where 1560 kt/annum methanol gives 386 kt/annum propylene and 214 kt/annum ethylene. 1560 tonnes * (214/(214+386)) proportion of total product = 556 tonnes methanol went to ethylene. 556/214 = 2.6 t methanol/t ethylene.</t>
  </si>
  <si>
    <t>https://cefic.org/app/uploads/2019/01/Low-carbon-energy-and-feedstock-for-the-chemical-industry-DECHEMA_Report-energy_climate.pdf</t>
  </si>
  <si>
    <t>calculate Methanol Demand for MTO (t MeOH)</t>
  </si>
  <si>
    <t>Methanol MTO demand (interpolate linearly)</t>
  </si>
  <si>
    <t>Fuel demand MMSA</t>
  </si>
  <si>
    <t>Propylene Derivatives</t>
  </si>
  <si>
    <t>(applications)</t>
  </si>
  <si>
    <t>Sources</t>
  </si>
  <si>
    <t>J. S. Plotkin, The Propylene Quandary, American Chemical Society, 2016</t>
  </si>
  <si>
    <t>LDPE/LLDPE</t>
  </si>
  <si>
    <t>Polystyrene</t>
  </si>
  <si>
    <t>Expanded Polystyrene</t>
  </si>
  <si>
    <t>Polyvinyl-chloride</t>
  </si>
  <si>
    <t>Polyethylene Terephthalate</t>
  </si>
  <si>
    <t>SAN &amp; ABS</t>
  </si>
  <si>
    <t>SAN/ABS %</t>
  </si>
  <si>
    <t>Propenic Acid</t>
  </si>
  <si>
    <t>Fortune business Insights</t>
  </si>
  <si>
    <t>Propenonitrile</t>
  </si>
  <si>
    <t>Cumene</t>
  </si>
  <si>
    <t>(50% to ethylbenzene of which 100% to polystyrene)</t>
  </si>
  <si>
    <t>Epoxypropane</t>
  </si>
  <si>
    <t>Polyurethane, into furnishings</t>
  </si>
  <si>
    <t>https://polyurethane.americanchemistry.com/Applications/#:~:text=Polyurethane%2C%20mostly%20in%20the%20form,more%20durable%2C%20comfortable%20and%20supportive.</t>
  </si>
  <si>
    <t xml:space="preserve"> </t>
  </si>
  <si>
    <t>Electricl &amp; Electronics</t>
  </si>
  <si>
    <t>Butanol</t>
  </si>
  <si>
    <t>Paint</t>
  </si>
  <si>
    <t>Agriculture</t>
  </si>
  <si>
    <t>Derivative Shares</t>
  </si>
  <si>
    <t>Uses of Polypropylene</t>
  </si>
  <si>
    <t>Plastics Europe</t>
  </si>
  <si>
    <t>Uses of Propenic Acid</t>
  </si>
  <si>
    <t>Animal feed additives</t>
  </si>
  <si>
    <t>https://ihsmarkit.com/products/propionic-acid-chemical-economics-handbook.html</t>
  </si>
  <si>
    <t>Food preservative</t>
  </si>
  <si>
    <t>Herbicides</t>
  </si>
  <si>
    <t>Uses of Propenonitrile</t>
  </si>
  <si>
    <t>https://www.essentialchemicalindustry.org/polymers/polypropenonitrile.html</t>
  </si>
  <si>
    <t>Acrylic fibres</t>
  </si>
  <si>
    <t>Nylon</t>
  </si>
  <si>
    <t>SAN/ABS</t>
  </si>
  <si>
    <t>Carbon fibre</t>
  </si>
  <si>
    <t>Propenamide</t>
  </si>
  <si>
    <t>Water treatment</t>
  </si>
  <si>
    <t>Propylene Demand by Sector</t>
  </si>
  <si>
    <t>Volumes -2020</t>
  </si>
  <si>
    <t>Volumes -2050</t>
  </si>
  <si>
    <t>WATERFALL</t>
  </si>
  <si>
    <t>Impact on Propylene Demand</t>
  </si>
  <si>
    <t>Share of Propylene Demand</t>
  </si>
  <si>
    <t>Potential +/- in demand</t>
  </si>
  <si>
    <t>Notes</t>
  </si>
  <si>
    <t>Packaging: Reduce and Reuse</t>
  </si>
  <si>
    <t>Packaging: Substitution</t>
  </si>
  <si>
    <t>Auto: Electrification &amp; Lightweighting?</t>
  </si>
  <si>
    <t>https://auto.howstuffworks.com/fuel-efficiency/fuel-economy/carbon-fiber-oil-crisis2.htm</t>
  </si>
  <si>
    <t xml:space="preserve">There's been expectation for years that carbon fibre will become cheap enough to use in lightweighting cars but still not in sight.  Ten years ago, carbon fiber cost $150 a pound. Now, the price is around $10 a pound [source: Zoltek]. Steel, on the other hand, costs less than a dollar per pound. Many analysts say that for carbon fiber to make it into widespread use in cars, the price will have to drop to about $5 per pound [source: Oak Ridge National Laboratory]. </t>
  </si>
  <si>
    <t>XaaS Impact on Car Parc</t>
  </si>
  <si>
    <t>Auto: MaaS</t>
  </si>
  <si>
    <t xml:space="preserve">SYSTEMIQ, XaaS Report. (Contact Achim.Teuber@systemiq.earth) </t>
  </si>
  <si>
    <t>Savings from Higher Utilization</t>
  </si>
  <si>
    <t xml:space="preserve">UNFCC Fashion Industry Charter for Climate Action targets  </t>
  </si>
  <si>
    <t>Note this is textiles, not fibres (so apparel, not carpets)</t>
  </si>
  <si>
    <t>Savings from Life Extension</t>
  </si>
  <si>
    <t>Building &amp; Consruction</t>
  </si>
  <si>
    <t>?</t>
  </si>
  <si>
    <t>Total Savings</t>
  </si>
  <si>
    <t>Ethylene deivatives</t>
  </si>
  <si>
    <t>Plastics Europe Chart</t>
  </si>
  <si>
    <t>Ethylene Dichloride</t>
  </si>
  <si>
    <t>Ethyl Benzene</t>
  </si>
  <si>
    <t>Atzo Plastics &amp; Merchant Consulting Limited, 2021</t>
  </si>
  <si>
    <t xml:space="preserve">Uses of Polyethylene </t>
  </si>
  <si>
    <t>World</t>
  </si>
  <si>
    <t>Nexant and ChemVision, 2014</t>
  </si>
  <si>
    <t>Volumes</t>
  </si>
  <si>
    <t>PS/EPS</t>
  </si>
  <si>
    <t>US</t>
  </si>
  <si>
    <t>2015 Guide to the Business of Chemistry, American Chemistry Council</t>
  </si>
  <si>
    <t>Europe</t>
  </si>
  <si>
    <t>Plastics- the Facts 2016, PlasticsEurope, 2016</t>
  </si>
  <si>
    <t>Share</t>
  </si>
  <si>
    <t>LDPE &amp; LLDPE</t>
  </si>
  <si>
    <t>Uses of Ethylene Oxide</t>
  </si>
  <si>
    <t>Polyester</t>
  </si>
  <si>
    <t xml:space="preserve"> Of total global PET production, 30% goes into bottles and 60% into fibres</t>
  </si>
  <si>
    <t xml:space="preserve"> Ji, Li Na (June 2013). "Study on Preparation Process and Properties of Polyethylene Terephthalate (PET)". Applied Mechanics and Materials. 312: 406–410. Bibcode:2013AMM...312..406J. </t>
  </si>
  <si>
    <t>Antifreeze</t>
  </si>
  <si>
    <t>IHS Markit</t>
  </si>
  <si>
    <t>Uses of Ethylene Dichloride</t>
  </si>
  <si>
    <t>https://www.marketresearchfuture.com/reports/ethylene-dichloride-market-2509</t>
  </si>
  <si>
    <t>Ethylene Second Derivatives</t>
  </si>
  <si>
    <t>Ethylene Demand by Sector</t>
  </si>
  <si>
    <t>IEA Reference technology scenario (=BAU) Project Demand</t>
  </si>
  <si>
    <t>Ethylene breakdown by tiers 1 chemicals</t>
  </si>
  <si>
    <t>2020 Volumes</t>
  </si>
  <si>
    <t>Merchant Consulting Limited, 2021 (analyzed usng plotdigitizer): https://mcgroup.co.uk/researches/ethylene</t>
  </si>
  <si>
    <t>Numbers adjusted based on: https://mcgroup.co.uk/news/20200827/increased-volatility-of-global-ethylene-market.html (analyzed via ppt: PE: 60%, EO: 13%, ED: 11%, EB:7%, Other 9%)</t>
  </si>
  <si>
    <t>Average of both above % (15% and 13%) --&gt; PET total size ok</t>
  </si>
  <si>
    <t>Adjusted high based on ethylene dichloride production wasadjusted  ~48mT in 2018 so it is the equivalent of  ~21mT of ethylene: https://www.statista.com/statistics/1063227/global-ethylene-dichloride-production-capacity/ (correspond to total PVC market estimated - see triangulation)</t>
  </si>
  <si>
    <t>Ethylbenzene</t>
  </si>
  <si>
    <t>Source to estimate ethylene to styrene out of other (7%/16%): Atzo Plastics  http://atozplastics.com/upload/literature/16_art_ethylene_scenario.asp = 7% adjusted to 6% to match global values given above source is old (see triangulation cell C76)</t>
  </si>
  <si>
    <t>Other source that confirms that Ehtylbenzene is ~6%: https://mcgroup.co.uk/news/20200827/increased-volatility-of-global-ethylene-market.html</t>
  </si>
  <si>
    <t>Other includes vinylacetate, ethanol, acetaldehyde, alpha olefins (http://atozplastics.com/upload/literature/16_art_ethylene_scenario.asp); https://www.pbl.nl/sites/default/files/downloads/pbl-2021-decarbonisation-options-for-large-volume-organic-chemicals-production-sabic-geleen_3718.pdf page 33/34</t>
  </si>
  <si>
    <t>Polyethylene breakdown</t>
  </si>
  <si>
    <t>Out of total</t>
  </si>
  <si>
    <t>Ethylene Oxide Breakdown</t>
  </si>
  <si>
    <t>Ethylene dichloride Breakdown</t>
  </si>
  <si>
    <t>Ethylbenzen breakdown</t>
  </si>
  <si>
    <t>Ethylene glycol</t>
  </si>
  <si>
    <t>Styrene</t>
  </si>
  <si>
    <t>Ethoxylates</t>
  </si>
  <si>
    <t>Ethanolamines</t>
  </si>
  <si>
    <t>Glycol Ethers</t>
  </si>
  <si>
    <t>Polyethylene Glycol (PEG)</t>
  </si>
  <si>
    <t>Styrene breakdown</t>
  </si>
  <si>
    <t>Polyether Polyols</t>
  </si>
  <si>
    <t>Ethylene Glycol Breakdown</t>
  </si>
  <si>
    <t>PET fibres</t>
  </si>
  <si>
    <t>check sources: 87% PET according to https://www.essentialchemicalindustry.org/chemicals/ethane-1-2-diol.html</t>
  </si>
  <si>
    <t>Triangulation: HDPE: 42mT (2020): https://www.globenewswire.com/news-release/2020/07/08/2059505/0/en/Global-High-Density-Polyethylene-Industry.html</t>
  </si>
  <si>
    <t>Ethylene oxide: Pie chart for 2016: https://www.essentialchemicalindustry.org/chemicals/epoxyethane.html 
DO NOT USE: (analyzed usng plotdigitizer) https://www.marketresearchfuture.com/reports/ethylene-oxide-market-6989 --&gt; lead to a PET market size of 35mT which is too low (actual market is closer to 80mT) !!!</t>
  </si>
  <si>
    <t>https://www.expertmarketresearch.com/reports/styrenics-market (pie chart analyzed using plotdigitizer)</t>
  </si>
  <si>
    <t>Glycol: Pie chart for 2019 (analyzed usng plotdigitizer) https://pmrpressrelease.com/mono-ethylene-glycol-market-2019-industry-sales-supply-and-consumption-analysis-and-forecasts-to-2023/</t>
  </si>
  <si>
    <t>99% ethylbenzen is used to make styrene https://mcgroup.co.uk/researches/ethylbenzene-eb (pie chart analyzed using plotdigitizer)</t>
  </si>
  <si>
    <t>Triangulation 64% of PET production is fibres - ok - https://www.woodmac.com/news/opinion/ppe-is-giving-the-fibres-industry-some-protection-from-coronavirus/</t>
  </si>
  <si>
    <t>Ethylene breakdown by end products</t>
  </si>
  <si>
    <t>% ethylene by end products</t>
  </si>
  <si>
    <t>calculated based on molar mass assuming 100% ethylene</t>
  </si>
  <si>
    <t>calculated based on molar mass assuming 1 ethylene per unit (28) divided by average PET unit (192)</t>
  </si>
  <si>
    <t>calculated based on molar mass assuming 1 ethylene per unit (28) divided by average PVC unit (62.5)</t>
  </si>
  <si>
    <t>calculated based on molar mass assuming 1 ethylene per unit (28) divided by average PS unit (104.2)</t>
  </si>
  <si>
    <t>Other polymers</t>
  </si>
  <si>
    <t xml:space="preserve">estimated </t>
  </si>
  <si>
    <t>Market share</t>
  </si>
  <si>
    <t>CAGR methodology</t>
  </si>
  <si>
    <t>PET fibre breakdown</t>
  </si>
  <si>
    <t>CAGR from BPW divided by 2</t>
  </si>
  <si>
    <t>CAGR from ODI divided by 2</t>
  </si>
  <si>
    <t>Assuming 25% of textile is used by the construction industry: https://www.marketresearchfuture.com/reports/polyester-fiber-market-7295</t>
  </si>
  <si>
    <t>CAGR calculated from IEA demand projection</t>
  </si>
  <si>
    <t>Assuming 25% of textile is used by others: https://www.marketresearchfuture.com/reports/polyester-fiber-market-7295</t>
  </si>
  <si>
    <t>CAGR from Fashion on Climate divided by 2</t>
  </si>
  <si>
    <t>Assuming 50% of textile is used by the apparel industry: https://www.marketresearchfuture.com/reports/polyester-fiber-market-7295: Clothing+hh textiles: match with EMF estimation of pET fibres.</t>
  </si>
  <si>
    <t>Packaging &amp; HH goods</t>
  </si>
  <si>
    <t>Triangulation</t>
  </si>
  <si>
    <t>mT</t>
  </si>
  <si>
    <t>mT from Geyer et Al</t>
  </si>
  <si>
    <t>mT from market research</t>
  </si>
  <si>
    <t>Delta</t>
  </si>
  <si>
    <t>ok</t>
  </si>
  <si>
    <t>Wood MacKensie, https://www.woodmac.com/news/opinion/why-polyolefins-are-the-polymers-to-watch/</t>
  </si>
  <si>
    <t>https://www.statista.com/statistics/720296/global-polyvinyl-chloride-market-size-in-tons/ //  https://www.businesswire.com/news/home/20181024005331/en/Global-Polyvinyl-Chloride-PVC-Market-Size-Demand-Forecasts-Industry-Trends-and-Updates-2018-2025---ResearchAndMarkets.com</t>
  </si>
  <si>
    <t>number ranges from 71 (https://www.businesswire.com/news/home/20170914005775/en/Global-Polyethylene-Terephtalate-Market-Report-2017---By-End-Use-Industries-Products-Regions---Research-and-Markets, 2020 projected using CAGR and 2016 value) to 80mT (https://www.mordorintelligence.com/industry-reports/polyethylene-terephtalate-market)</t>
  </si>
  <si>
    <t>reycled</t>
  </si>
  <si>
    <t>bio</t>
  </si>
  <si>
    <t xml:space="preserve">other </t>
  </si>
  <si>
    <t>propylene</t>
  </si>
  <si>
    <t>propylene breakdown by tiers 1 chemicals</t>
  </si>
  <si>
    <t>Propylene oxide</t>
  </si>
  <si>
    <t>include Acrylic Acid, Acrylates, Isopropanol; page 228 in https://publications.jrc.ec.europa.eu/repository/handle/JRC105767</t>
  </si>
  <si>
    <t>more niche: allyl chloride, allyl alcohol (via allyl chloride or propylene oxide), Epichlorohydrin, Propylene chlorohydrin, propylene carbonate (via propylene oxide), propylene glycol dinitrate (via propylene glycol), ethylene proplyene rubber</t>
  </si>
  <si>
    <t>Polypropylene breakdown</t>
  </si>
  <si>
    <t>Propenic Acid Breakdown</t>
  </si>
  <si>
    <t>Cumene breakdown</t>
  </si>
  <si>
    <t>PP (ex-fibre)</t>
  </si>
  <si>
    <t>Phenol + Acetone</t>
  </si>
  <si>
    <t>Polyether Polyol (--&gt; PUR)</t>
  </si>
  <si>
    <t>PP fibres</t>
  </si>
  <si>
    <t>Propylene glycol</t>
  </si>
  <si>
    <t>Glycol ether</t>
  </si>
  <si>
    <t>http://article.sapub.org/10.5923.j.ajps.20160601.01.html</t>
  </si>
  <si>
    <t>https://www.chemicalsafetyfacts.org/cumene/</t>
  </si>
  <si>
    <t>https://www.researchgate.net/figure/Common-propylene-oxide-uses_fig1_269517484</t>
  </si>
  <si>
    <t>propylene breakdown by end products</t>
  </si>
  <si>
    <t>% propylene by end products</t>
  </si>
  <si>
    <t>calculated based on molar mass assuming 100% propylene</t>
  </si>
  <si>
    <t>assuming 0% goes to apparel</t>
  </si>
  <si>
    <t>(left over is PE, PS, PET, PVC)</t>
  </si>
  <si>
    <t>propylene Shares</t>
  </si>
  <si>
    <t>Methanol Demand 2020</t>
  </si>
  <si>
    <t>PU</t>
  </si>
  <si>
    <t>Minor polymers</t>
  </si>
  <si>
    <t>Sum of polymers</t>
  </si>
  <si>
    <t>Total Methanol Demand (2020) Mt</t>
  </si>
  <si>
    <t>Market Sector</t>
  </si>
  <si>
    <t>LDPE, LLDPE</t>
  </si>
  <si>
    <t>PUR</t>
  </si>
  <si>
    <t>Consumer goods and institutional Products</t>
  </si>
  <si>
    <t>Methanol Share</t>
  </si>
  <si>
    <t>Total plus others and fuel</t>
  </si>
  <si>
    <t>Automotive (Plastic)</t>
  </si>
  <si>
    <t>Other polymer use sector</t>
  </si>
  <si>
    <t>Automotive (Fuel)</t>
  </si>
  <si>
    <t>Other non-polymer use sector</t>
  </si>
  <si>
    <t>CAGRs from Olefin work; assumption for others and fuel to tweak to get to 182 in cell AN 25 in the Yearly HC Methanol sheet</t>
  </si>
  <si>
    <t>Interior</t>
  </si>
  <si>
    <t>Exterior</t>
  </si>
  <si>
    <t>Under the hood</t>
  </si>
  <si>
    <t>Electric/light</t>
  </si>
  <si>
    <t>Ethylene in Transportation</t>
  </si>
  <si>
    <t>Methanol Demand IEA for files</t>
  </si>
  <si>
    <t>Fuel Demand WEO 2017</t>
  </si>
  <si>
    <t>LCV</t>
  </si>
  <si>
    <t>MFT</t>
  </si>
  <si>
    <t>HFT</t>
  </si>
  <si>
    <t>CAGR ethylene</t>
  </si>
  <si>
    <t>CAGR BTX</t>
  </si>
  <si>
    <t>C4</t>
  </si>
  <si>
    <t>From the supply model assuming 95% of the production comes from crackers i.e. 14.2 Mt in 2020.</t>
  </si>
  <si>
    <t>1-Butene</t>
  </si>
  <si>
    <t>https://www.mdpi.com/1996-1073/14/13/3772/pdf</t>
  </si>
  <si>
    <t>2-Butene</t>
  </si>
  <si>
    <t>Isobutene</t>
  </si>
  <si>
    <t>https://www.grandviewresearch.com/press-release/global-isobutene-market</t>
  </si>
  <si>
    <t>% Production from crackers</t>
  </si>
  <si>
    <t>% production from on-purpose or refinery</t>
  </si>
  <si>
    <t>From Peter Levi / J. Cullen paper: https://pubs.acs.org/doi/suppl/10.1021/acs.est.7b04573/suppl_file/es7b04573_si_001.pdf</t>
  </si>
  <si>
    <t>Ratio 1 vs 2 butene</t>
  </si>
  <si>
    <t>Butadiene Tiers 1 chemicals</t>
  </si>
  <si>
    <t>Total volumes 2020</t>
  </si>
  <si>
    <t>1_butene Tiers 1 chemicals</t>
  </si>
  <si>
    <t>2_butene Tiers 1 chemicals</t>
  </si>
  <si>
    <t>Isobutene Tiers 1 chemicals</t>
  </si>
  <si>
    <t>Butane Tiers 1 chemicals</t>
  </si>
  <si>
    <t>Polybutadiene (PBR)</t>
  </si>
  <si>
    <t>Fuel additives</t>
  </si>
  <si>
    <t xml:space="preserve">Fuel additives </t>
  </si>
  <si>
    <t>Fuel additives (MTBE and ETBE)</t>
  </si>
  <si>
    <t>No data found given butane market is mostly driven by energy demand</t>
  </si>
  <si>
    <t>Styrene-Butadiene (SBR)</t>
  </si>
  <si>
    <t>Polyethylene co-monomer</t>
  </si>
  <si>
    <t>Butyl rubber</t>
  </si>
  <si>
    <t>Acrylonitrile Butadiene Styrene (ABS)</t>
  </si>
  <si>
    <t>Valeradehyde</t>
  </si>
  <si>
    <t>Chemical &amp; cosmetics</t>
  </si>
  <si>
    <t>Styrene Butadiene Latex</t>
  </si>
  <si>
    <t>Polybutene-1</t>
  </si>
  <si>
    <t>Source: for fuel addtivies levi/Cullen paper,</t>
  </si>
  <si>
    <t>Lubricant</t>
  </si>
  <si>
    <t>Adiponitrile</t>
  </si>
  <si>
    <t>1,2-butylene Oxide</t>
  </si>
  <si>
    <t>No other data found</t>
  </si>
  <si>
    <t>Nitirle Rubber (AB NRB)</t>
  </si>
  <si>
    <t>Sulfolane</t>
  </si>
  <si>
    <t>Source: https://www.factmr.com/report/3786/isobutylene-market</t>
  </si>
  <si>
    <t>Chloroprene</t>
  </si>
  <si>
    <t>Source: for fuel addtivies levi/Cullen paper, for the rest 2014 https://prismaneconsulting.com/report_details/8/Global-Butene-1-Market-Study-Report,-2014---2030</t>
  </si>
  <si>
    <t>Ethylidene Norbornene</t>
  </si>
  <si>
    <t>Source : for 2020 https://www.mordorintelligence.com/industry-reports/butadiene-market</t>
  </si>
  <si>
    <t>Volumes are ok according to other sources</t>
  </si>
  <si>
    <t>C4 demand split</t>
  </si>
  <si>
    <t>Butadiene demand split</t>
  </si>
  <si>
    <t>Buildings</t>
  </si>
  <si>
    <t>Rubbers</t>
  </si>
  <si>
    <t>According to global production numbers this should be ~15mT total (this is just the C4 portion!)</t>
  </si>
  <si>
    <t>Others polymers</t>
  </si>
  <si>
    <t>Demand for C4</t>
  </si>
  <si>
    <t>Demand for Butadiene</t>
  </si>
  <si>
    <t>Rubber</t>
  </si>
  <si>
    <t>Other Polymers</t>
  </si>
  <si>
    <t>Source: https://marketersmedia.com/synthetic-rubber-market-production-demand-by-2023-lanxess-the-dow-chemical-company-versalis-spa-kumho-petrochemical-jsr-corporation/88922283</t>
  </si>
  <si>
    <t>Apparel adjusted to match waste gen</t>
  </si>
  <si>
    <t>BTX RTS</t>
  </si>
  <si>
    <t>Post Toluene Conversion</t>
  </si>
  <si>
    <t>p-Xylene</t>
  </si>
  <si>
    <t>o-Xylene</t>
  </si>
  <si>
    <t>m-Xylene</t>
  </si>
  <si>
    <t>Pre Toluene Conversion</t>
  </si>
  <si>
    <t>Table S11 and S12</t>
  </si>
  <si>
    <t>Difference of ~3mT between Pre and post due to the formation of by-products</t>
  </si>
  <si>
    <t>m-Xylene adjusted so it is only produced from Cracker so difference rise to 3mT</t>
  </si>
  <si>
    <t>Toluene conversion</t>
  </si>
  <si>
    <t>Mt</t>
  </si>
  <si>
    <t xml:space="preserve">converted </t>
  </si>
  <si>
    <t>share of toluene converted - assumed constant</t>
  </si>
  <si>
    <t>Conversion product</t>
  </si>
  <si>
    <t>Share of toluene converted into Benzene</t>
  </si>
  <si>
    <t>Share of toluene converted into Xylene</t>
  </si>
  <si>
    <t>Benzene Tiers 1 chemicals</t>
  </si>
  <si>
    <t>Toluene - Tiers 1 chemicals</t>
  </si>
  <si>
    <t>p-Xylene - Tiers 1 chemicals</t>
  </si>
  <si>
    <t>o-Xylene - Tiers 1 chemicals</t>
  </si>
  <si>
    <t>m-Xylene - Tiers 1 chemicals</t>
  </si>
  <si>
    <t>Ehtyl benzene</t>
  </si>
  <si>
    <t>Calculated based on ethylene - from source number is 52.1% which is ok</t>
  </si>
  <si>
    <t>Toluene for gasoline blend</t>
  </si>
  <si>
    <t>Terephthalic acid</t>
  </si>
  <si>
    <t>Isophthalic Acid</t>
  </si>
  <si>
    <t>Phtalic Anhydride</t>
  </si>
  <si>
    <t>Calculated based on propylene - from source number is 18.9% which is not great but not use for the model</t>
  </si>
  <si>
    <t>Toluene as solvent</t>
  </si>
  <si>
    <t>Xylidine</t>
  </si>
  <si>
    <t>Bactericides</t>
  </si>
  <si>
    <t>Cyclohexane</t>
  </si>
  <si>
    <t>Conversion to B and X</t>
  </si>
  <si>
    <t>Solvents</t>
  </si>
  <si>
    <t>Aniline</t>
  </si>
  <si>
    <t>Calculated based on methanol MDI production - from source number is 9.3% which is not great but ok</t>
  </si>
  <si>
    <t xml:space="preserve">  </t>
  </si>
  <si>
    <t>Toluene diisocyanate</t>
  </si>
  <si>
    <t>https://icrowdnewswire.com/2020/07/07/paraxylene-market-top-companies-business-application-growth-driver-price-trends-covid-19-outbreak-and-forecast-2025/</t>
  </si>
  <si>
    <t>Oil Additives</t>
  </si>
  <si>
    <t>https://www.mordorintelligence.com/industry-reports/ortho-xylene-market</t>
  </si>
  <si>
    <t>Source : for 2021 https://mcgroup.co.uk/researches/benzene</t>
  </si>
  <si>
    <t>https://marketersmedia.com/toluene-market-global-price-trend-2019-demand-overview-report-size-estimation-industry-share-business-opportunity-and-growth-forecast-2023/467668</t>
  </si>
  <si>
    <t>--&gt; calculated from ethylene (external source says 80/20 split which is ok)</t>
  </si>
  <si>
    <t>https://www.mordorintelligence.com/industry-reports/meta-xylene-market</t>
  </si>
  <si>
    <t>DMT to PET</t>
  </si>
  <si>
    <t>Isophthalic acid</t>
  </si>
  <si>
    <t>DMT to PBT</t>
  </si>
  <si>
    <t>DMT split is 50:50</t>
  </si>
  <si>
    <t>PET copolymers</t>
  </si>
  <si>
    <t>DMT to others</t>
  </si>
  <si>
    <t>Polyester resins</t>
  </si>
  <si>
    <t>Plasticizer</t>
  </si>
  <si>
    <t>Polyamide</t>
  </si>
  <si>
    <t>Source DMT: https://www.marketintellica.com/report/MI44945-dimethyl-terephthalate-dmt-market-research-global</t>
  </si>
  <si>
    <t>Adhesives</t>
  </si>
  <si>
    <t>Alkyd resin</t>
  </si>
  <si>
    <t>https://www.mordorintelligence.com/industry-reports/toluene-diisocyanate-market</t>
  </si>
  <si>
    <t>Mass balance assumptions</t>
  </si>
  <si>
    <t>Flame retardant</t>
  </si>
  <si>
    <t>% ethylene in PET</t>
  </si>
  <si>
    <t>Dyes/pigments</t>
  </si>
  <si>
    <t>% Methanol in PET</t>
  </si>
  <si>
    <t>https://www.marketintellica.com/report/MI19276-purifed-isophthalic-acid-market-research-global</t>
  </si>
  <si>
    <t>% xylene in PET</t>
  </si>
  <si>
    <t>% others in PET</t>
  </si>
  <si>
    <t>--&gt; come from oxygene</t>
  </si>
  <si>
    <t>https://marketersmedia.com/phthalic-anhydride-market-size-industry-survey-competitive-trends-outlook-and-forecasts-2019-to-2023/88920301</t>
  </si>
  <si>
    <t>1 unit of PET C10H8O4</t>
  </si>
  <si>
    <t>DMI</t>
  </si>
  <si>
    <t>https://mcgroup.co.uk/researches/aniline</t>
  </si>
  <si>
    <t>t benzene / t nitrobenzene</t>
  </si>
  <si>
    <t>% ethylene in ehtyl-benzene</t>
  </si>
  <si>
    <t>% benzene in ethyl-benzene</t>
  </si>
  <si>
    <t>t nitrobenzene / t aniline</t>
  </si>
  <si>
    <t>% propylene in cumene</t>
  </si>
  <si>
    <t>% benzene in cumene</t>
  </si>
  <si>
    <t>t aniline / t MDI</t>
  </si>
  <si>
    <t>PUR - MDI</t>
  </si>
  <si>
    <t>PUR - TDI</t>
  </si>
  <si>
    <t>% benzene in MDI</t>
  </si>
  <si>
    <t>% toluene in TDI</t>
  </si>
  <si>
    <t>% methanol in MDI</t>
  </si>
  <si>
    <t>% others</t>
  </si>
  <si>
    <t>% others in MDI</t>
  </si>
  <si>
    <t>TRIANGULATION PUR</t>
  </si>
  <si>
    <t>90% of PUR is made from polyether alcohol</t>
  </si>
  <si>
    <t>from propylene</t>
  </si>
  <si>
    <t>MDI mass</t>
  </si>
  <si>
    <t>from ethylene</t>
  </si>
  <si>
    <t>TDI mass</t>
  </si>
  <si>
    <t>to account for other alcohol used (i.e. 1,4-butanediol)</t>
  </si>
  <si>
    <t>to account for other isocyante used</t>
  </si>
  <si>
    <t>Global polyurethane production</t>
  </si>
  <si>
    <t>% benzene in PUR</t>
  </si>
  <si>
    <t>Global polyurethane production from model</t>
  </si>
  <si>
    <t>% toluene in PUR</t>
  </si>
  <si>
    <t>Demand by polymer type</t>
  </si>
  <si>
    <t>Toulene</t>
  </si>
  <si>
    <t>Solvent</t>
  </si>
  <si>
    <t>% x in minor polymers</t>
  </si>
  <si>
    <t>Benzene Shares</t>
  </si>
  <si>
    <t>CAGR from BPW divided by 3</t>
  </si>
  <si>
    <t>CAGR from ODI divided by 3</t>
  </si>
  <si>
    <t>CAGR from Fashion on Climate divided by 3</t>
  </si>
  <si>
    <t>Toluene Shares</t>
  </si>
  <si>
    <t>Xylene Shares</t>
  </si>
  <si>
    <t>Analysis of additional demand driven by solar energy growth</t>
  </si>
  <si>
    <t>Source:</t>
  </si>
  <si>
    <t>From Data tab</t>
  </si>
  <si>
    <t>Average</t>
  </si>
  <si>
    <t>PV Panel Power</t>
  </si>
  <si>
    <t>MW</t>
  </si>
  <si>
    <t>Weight</t>
  </si>
  <si>
    <t>tons</t>
  </si>
  <si>
    <t>% Ethyl Vinyl Acetate</t>
  </si>
  <si>
    <t>Same numbers reported by CEFIC</t>
  </si>
  <si>
    <t>%Poly Vinyl Fluoride</t>
  </si>
  <si>
    <t>https://windeurope.org/wp-content/uploads/files/about-wind/reports/WindEurope-Accelerating-wind-turbine-blade-circularity.pdf</t>
  </si>
  <si>
    <t>% Aluminimum and other metals</t>
  </si>
  <si>
    <t>% Other (mostly glass)</t>
  </si>
  <si>
    <t>Source :ETC - SYSTEMIQ</t>
  </si>
  <si>
    <t>Annual Delta</t>
  </si>
  <si>
    <t>PV Capacity</t>
  </si>
  <si>
    <t>IEA 2020, ETC for Projections</t>
  </si>
  <si>
    <t>Total reosurce needed</t>
  </si>
  <si>
    <t>Total polymer composites needed</t>
  </si>
  <si>
    <t>Total ethylene needed</t>
  </si>
  <si>
    <t>Assumptions</t>
  </si>
  <si>
    <t>Eth Ox</t>
  </si>
  <si>
    <t>Eth Cl2</t>
  </si>
  <si>
    <t>% ethylene in Ethyl Vinyl Acetate</t>
  </si>
  <si>
    <t>https://www.plasticsinsight.com/resin-intelligence/resin-prices/ethylene-vinyl-acetate/</t>
  </si>
  <si>
    <t>% ethylene in Poly Vinyl Fluoride</t>
  </si>
  <si>
    <t>calculated based on molar mass of poly(vinyl fluoride) assuming 1 ethylene per unit</t>
  </si>
  <si>
    <t>% methanol in Ethyl Vinyl Acetate</t>
  </si>
  <si>
    <t>PV capacity</t>
  </si>
  <si>
    <t>Add. PV capacity installed</t>
  </si>
  <si>
    <t>Add. resource needed</t>
  </si>
  <si>
    <t>Add. polymer composite needed</t>
  </si>
  <si>
    <t>Additional ethylene demand</t>
  </si>
  <si>
    <t>Additional methanol demand</t>
  </si>
  <si>
    <t>t methanol / t acetic acid</t>
  </si>
  <si>
    <t>Vinyl Acetate</t>
  </si>
  <si>
    <t>t acetic acid / t vinylacetate</t>
  </si>
  <si>
    <t>t vinyl acetate / t PVA</t>
  </si>
  <si>
    <t xml:space="preserve">t ethylene / t PVA </t>
  </si>
  <si>
    <t>Oxygen</t>
  </si>
  <si>
    <t>t methanol / t PVA</t>
  </si>
  <si>
    <t>t ethylene / t vinyl acetate</t>
  </si>
  <si>
    <t>t oxygen / t vinyl acetate</t>
  </si>
  <si>
    <t>t oxygen / t PVA</t>
  </si>
  <si>
    <t>check O2+methanol+ethylene</t>
  </si>
  <si>
    <t>Analysis of additional demand driven by wind energy growth</t>
  </si>
  <si>
    <t>https://eitrawmaterials.eu/wp-content/uploads/2020/04/rms_for_wind_and_solar_published_v2.pdf</t>
  </si>
  <si>
    <t>Turbine Power</t>
  </si>
  <si>
    <t>% polymer composite</t>
  </si>
  <si>
    <t>% carbon fibre glass</t>
  </si>
  <si>
    <t>% steel and Aluminum</t>
  </si>
  <si>
    <t>% Other</t>
  </si>
  <si>
    <t>Δ</t>
  </si>
  <si>
    <t>Wind Turbine capacity</t>
  </si>
  <si>
    <t>IRENA for 2019, ETC for Projections</t>
  </si>
  <si>
    <t>Total resource needed</t>
  </si>
  <si>
    <t>Total polymer composite needed</t>
  </si>
  <si>
    <t>% ethylene in polymer composite</t>
  </si>
  <si>
    <t>% methanol in polymer compostive</t>
  </si>
  <si>
    <t>Assuming only methanol contribution is in resins (as very little in PET and none in PVC)</t>
  </si>
  <si>
    <t>% Benzene</t>
  </si>
  <si>
    <t>Assuming only benzene contribution is PUR (so 25% of polymer composite is PUR and 50% of PUR is benzene)</t>
  </si>
  <si>
    <t>% Toluene</t>
  </si>
  <si>
    <t>% Xylenes</t>
  </si>
  <si>
    <t>Assuming only xylene contribution is PET (so 25% of polymer composite is PET and 52% of PET is Xylene)</t>
  </si>
  <si>
    <t>% Butadiene</t>
  </si>
  <si>
    <t>Assuming all turbines have the same ratio of polymer composite (~35%) regardless the core material of the blade (fibres, wood, etc …)</t>
  </si>
  <si>
    <t>Composite includes: epoxy, PET, PVC, PUR, etc …</t>
  </si>
  <si>
    <t>Assuming overall ethylene content is 30% (PET is 12.6%, PVC is 43.2%, epoxy &gt;30%, PUR &lt; 20%)</t>
  </si>
  <si>
    <t>Add. wind turbine capacity installed</t>
  </si>
  <si>
    <t>Additional Benzene demand</t>
  </si>
  <si>
    <t>Additional xylene demand</t>
  </si>
  <si>
    <t>PRODUCTION</t>
  </si>
  <si>
    <t>Source: Production, use, and fate of all plastics ever made, Roland Geyer, Jenna R. Jambeck, Kara Lavender Law, 2017</t>
  </si>
  <si>
    <t>https://advances.sciencemag.org/content/advances/suppl/2017/07/17/3.7.e1700782.DC1/1700782_SM.pdf</t>
  </si>
  <si>
    <t>Transportation numbers adjusted based on CPA numbers to account for low rubber content in this paper</t>
  </si>
  <si>
    <r>
      <rPr>
        <sz val="11"/>
        <rFont val="Calibri"/>
        <family val="2"/>
        <scheme val="minor"/>
      </rPr>
      <t>Building and
Construction</t>
    </r>
  </si>
  <si>
    <r>
      <rPr>
        <sz val="11"/>
        <rFont val="Calibri"/>
        <family val="2"/>
        <scheme val="minor"/>
      </rPr>
      <t>Electrical
/Electronic</t>
    </r>
  </si>
  <si>
    <r>
      <rPr>
        <sz val="11"/>
        <rFont val="Calibri"/>
        <family val="2"/>
        <scheme val="minor"/>
      </rPr>
      <t>Consumer &amp;
Institutional Products</t>
    </r>
  </si>
  <si>
    <t>Sum of minor polymers</t>
  </si>
  <si>
    <r>
      <rPr>
        <sz val="11"/>
        <rFont val="Calibri"/>
        <family val="2"/>
        <scheme val="minor"/>
      </rPr>
      <t>Industrial
Machinery</t>
    </r>
  </si>
  <si>
    <t>in 2015</t>
  </si>
  <si>
    <t>from Supplementary information</t>
  </si>
  <si>
    <t>Data excluding fibers</t>
  </si>
  <si>
    <t>in 2019</t>
  </si>
  <si>
    <t>Assuming a 3% CAGR</t>
  </si>
  <si>
    <t>Source: PlasticEurope facts (2020) = 368mT in 2019</t>
  </si>
  <si>
    <t>Same data re-organized</t>
  </si>
  <si>
    <t>Source for 2019: Textile exchange: https://www.google.com/url?sa=i&amp;url=https%3A%2F%2Fwww.eionet.europa.eu%2Fetcs%2Fetc-wmge%2Fproducts%2Fplastic-in-textiles-potentials-for-circularity-and-reduced-environmental-and-climate-impacts%2F%40%40download%2Ffile%2FETC_2.1.2.2._plastic%2520in%2520textiles_final_edited%2520for%2520website.pdf&amp;psig=AOvVaw2fSZcfQfIfe-D9DOy0aBnZ&amp;ust=1634650809630000&amp;source=images&amp;cd=vfe&amp;ved=2ahUKEwi7u_73itTzAhUH_IUKHcxmCIkQr4kDegQIARBo</t>
  </si>
  <si>
    <t>Fibre breakdown</t>
  </si>
  <si>
    <t>from PE model</t>
  </si>
  <si>
    <t>From Textile excange 2019</t>
  </si>
  <si>
    <t>From P model</t>
  </si>
  <si>
    <t>Packaging &amp; consumer goods</t>
  </si>
  <si>
    <t>Normalized to include fibres</t>
  </si>
  <si>
    <t>Fibres</t>
  </si>
  <si>
    <t>Same data as above reorganized to include apparel</t>
  </si>
  <si>
    <t>PP fibre breakdown could not be found - adjusted to be 40% auto, 40% building, 10% hh, and 10% others</t>
  </si>
  <si>
    <t>% ethylene per industry</t>
  </si>
  <si>
    <t>% ethylene per polymer</t>
  </si>
  <si>
    <t>Normalized</t>
  </si>
  <si>
    <t>Packaging + hh goods</t>
  </si>
  <si>
    <t>% propylene per polymer</t>
  </si>
  <si>
    <t>Molar Masses</t>
  </si>
  <si>
    <t>Check polyurethane</t>
  </si>
  <si>
    <t>Formaldehyde</t>
  </si>
  <si>
    <t>Demand Polyurethane 2019 (Mt)</t>
  </si>
  <si>
    <t>https://en.wikipedia.org/wiki/Polyurethane</t>
  </si>
  <si>
    <t>If all from ethylene glycol, ethylene glycol demand (Mt)</t>
  </si>
  <si>
    <t>Other category ethylene glycol</t>
  </si>
  <si>
    <t>&gt; how much of it is antifreeze?</t>
  </si>
  <si>
    <t>MDI</t>
  </si>
  <si>
    <t>Ethylene Glycol</t>
  </si>
  <si>
    <t>Water</t>
  </si>
  <si>
    <t>Ethylene glycol for PU missing in olefin demand?</t>
  </si>
  <si>
    <t>Check methanol in all uses on right hand side</t>
  </si>
  <si>
    <t>Volumes -2020 (Mt methanol)</t>
  </si>
  <si>
    <t>Major pol</t>
  </si>
  <si>
    <t>Terephthalic Acid</t>
  </si>
  <si>
    <t>% methanol per polymer</t>
  </si>
  <si>
    <t>% methanol per industry (EXCL MTO/MTX)</t>
  </si>
  <si>
    <t>other</t>
  </si>
  <si>
    <t>Dimethylterephthalate</t>
  </si>
  <si>
    <t>MMA</t>
  </si>
  <si>
    <t>Phenol</t>
  </si>
  <si>
    <t>Urea</t>
  </si>
  <si>
    <t>Major polymers</t>
  </si>
  <si>
    <t>based on share that does not stem from ethylene glycol assuming half of fibres goes to apparal</t>
  </si>
  <si>
    <t>Polyurethane</t>
  </si>
  <si>
    <t>Route - methylene-diphenyl-diisocyanate  (2020 Volume Mt methanol)</t>
  </si>
  <si>
    <t>Apparal</t>
  </si>
  <si>
    <t>F</t>
  </si>
  <si>
    <t>t Methanol/ t Formaldehyde</t>
  </si>
  <si>
    <r>
      <t>2 CH</t>
    </r>
    <r>
      <rPr>
        <vertAlign val="subscript"/>
        <sz val="11"/>
        <color rgb="FF202122"/>
        <rFont val="Arial"/>
        <family val="2"/>
      </rPr>
      <t>3</t>
    </r>
    <r>
      <rPr>
        <sz val="11"/>
        <color rgb="FF202122"/>
        <rFont val="Arial"/>
        <family val="2"/>
      </rPr>
      <t>OH + O</t>
    </r>
    <r>
      <rPr>
        <vertAlign val="subscript"/>
        <sz val="11"/>
        <color rgb="FF202122"/>
        <rFont val="Arial"/>
        <family val="2"/>
      </rPr>
      <t>2</t>
    </r>
    <r>
      <rPr>
        <sz val="11"/>
        <color rgb="FF202122"/>
        <rFont val="Arial"/>
        <family val="2"/>
      </rPr>
      <t> → 2 CH</t>
    </r>
    <r>
      <rPr>
        <vertAlign val="subscript"/>
        <sz val="11"/>
        <color rgb="FF202122"/>
        <rFont val="Arial"/>
        <family val="2"/>
      </rPr>
      <t>2</t>
    </r>
    <r>
      <rPr>
        <sz val="11"/>
        <color rgb="FF202122"/>
        <rFont val="Arial"/>
        <family val="2"/>
      </rPr>
      <t>O + 2 H</t>
    </r>
    <r>
      <rPr>
        <vertAlign val="subscript"/>
        <sz val="11"/>
        <color rgb="FF202122"/>
        <rFont val="Arial"/>
        <family val="2"/>
      </rPr>
      <t>2</t>
    </r>
    <r>
      <rPr>
        <sz val="11"/>
        <color rgb="FF202122"/>
        <rFont val="Arial"/>
        <family val="2"/>
      </rPr>
      <t>O</t>
    </r>
  </si>
  <si>
    <t>t Formaldehyde / t methylene-diphenyl-diisocyanate</t>
  </si>
  <si>
    <t>Over-stochiometry for MDI vs. Ethylene glycol</t>
  </si>
  <si>
    <t>Volumes -2020 (Mt benzene)</t>
  </si>
  <si>
    <t>t methylene-diphenyl-diisocyanate / t Polyurethane</t>
  </si>
  <si>
    <t>% benzene per polymer</t>
  </si>
  <si>
    <t>t methanol / t Polyurethane</t>
  </si>
  <si>
    <t>PVA  (2020 Volume Mt methanol)</t>
  </si>
  <si>
    <t>assuming no PUR or PS fibres</t>
  </si>
  <si>
    <t>2 Ethylene + 2 acetic acid + 1 O2 --&gt; 2 Vinyl Acetate + 2 H2O</t>
  </si>
  <si>
    <t>free radical polymerisation</t>
  </si>
  <si>
    <t>PMMA  (2020 Volume Mt methanol)</t>
  </si>
  <si>
    <t>t methanol / t MMA</t>
  </si>
  <si>
    <t>(CH3)2C(OSO3H)C(O)NH2 + CH3OH → CH2 =C(CH3)C(O)OCH3 + NH4HSO4</t>
  </si>
  <si>
    <t>MMA / PMMA</t>
  </si>
  <si>
    <t>radical polymerisation</t>
  </si>
  <si>
    <t>Volumes -2020 (Mt toluene)</t>
  </si>
  <si>
    <t>t methanol / t PPMA</t>
  </si>
  <si>
    <t>% Toluene per polymer</t>
  </si>
  <si>
    <t>Phenolic Resins  (2020 Volume Mt methanol)</t>
  </si>
  <si>
    <t>t Formaldehyde / t resin</t>
  </si>
  <si>
    <t>t methanol / t phenolic resin</t>
  </si>
  <si>
    <t>based on fibre production and 50% going to apparel</t>
  </si>
  <si>
    <t>Carbamide - Methanal Resins (2020 Volume Mt methanol)</t>
  </si>
  <si>
    <t>t Methanol / t mixed methylol carbamide</t>
  </si>
  <si>
    <t>t mixed methylol carbamide / t resin</t>
  </si>
  <si>
    <t>t Methanol / t resin</t>
  </si>
  <si>
    <t>Melamine Resins  (2020 Volume Mt methanol)</t>
  </si>
  <si>
    <t>t Methanol / t resin same as for carbamide-methanal resins</t>
  </si>
  <si>
    <t>https://www.essentialchemicalindustry.org/polymers/methanal-plastics.html</t>
  </si>
  <si>
    <t>Volumes -2020 (Mt xylenel)</t>
  </si>
  <si>
    <t>% Xylenes per polymer</t>
  </si>
  <si>
    <t>Polyacetal resins  (2020 Volume Mt methanol)</t>
  </si>
  <si>
    <t>t formaldeyhde / t polyacetal</t>
  </si>
  <si>
    <t>weighed average t methanol / t other polymers</t>
  </si>
  <si>
    <t>PET from non-ethylene routes</t>
  </si>
  <si>
    <t>Acid Acid Route</t>
  </si>
  <si>
    <t>t methanol to acetic acid</t>
  </si>
  <si>
    <t>acetic acid to terephthalic acd (solvent use)</t>
  </si>
  <si>
    <t>"Approximately 5% of the acetic acid solvent is lost by decomposition or "burning"."</t>
  </si>
  <si>
    <t>https://en.wikipedia.org/wiki/Terephthalic_acid</t>
  </si>
  <si>
    <t>terephthalic acid to PET</t>
  </si>
  <si>
    <t>t methanol / t PET</t>
  </si>
  <si>
    <t>Dimethylterephthalate route</t>
  </si>
  <si>
    <t>t methanol to DMT</t>
  </si>
  <si>
    <t>Xylol, 2 O2, 2 MeOH --&gt; DMT + 4H2O</t>
  </si>
  <si>
    <t>weighed average t methanol / t PET</t>
  </si>
  <si>
    <t>% methanol in PET</t>
  </si>
  <si>
    <t>FINAL NUMBERS</t>
  </si>
  <si>
    <t>% change Prop</t>
  </si>
  <si>
    <t>% change Eth</t>
  </si>
  <si>
    <t>% change Meth</t>
  </si>
  <si>
    <t>% change Benzene</t>
  </si>
  <si>
    <t>% change Toluene</t>
  </si>
  <si>
    <t>% change Xylene</t>
  </si>
  <si>
    <t>% change C4 (=PE)</t>
  </si>
  <si>
    <t>% change PE</t>
  </si>
  <si>
    <t>% change PET</t>
  </si>
  <si>
    <t>% change PVC</t>
  </si>
  <si>
    <t>% change Others</t>
  </si>
  <si>
    <t>% change others</t>
  </si>
  <si>
    <t>Economic &amp; Population Growth</t>
  </si>
  <si>
    <t>BPW extrapolated to 2050 - separate model</t>
  </si>
  <si>
    <t>BAU 2050</t>
  </si>
  <si>
    <t>NBM and reuse</t>
  </si>
  <si>
    <t>Switch to paper</t>
  </si>
  <si>
    <t>Switch to compostables</t>
  </si>
  <si>
    <t>NZ/CE 2050</t>
  </si>
  <si>
    <t>Ethylene - R</t>
  </si>
  <si>
    <t>Ehtylene - S</t>
  </si>
  <si>
    <t>Propylene - R</t>
  </si>
  <si>
    <t>Propylene - S</t>
  </si>
  <si>
    <t>Methanol - R</t>
  </si>
  <si>
    <t>Methanol - S</t>
  </si>
  <si>
    <t>Benzene - R</t>
  </si>
  <si>
    <t>Benzene - S</t>
  </si>
  <si>
    <t>Toluene - R</t>
  </si>
  <si>
    <t>Toluene - S</t>
  </si>
  <si>
    <t>Xylenes - R</t>
  </si>
  <si>
    <t>Xylenes - S</t>
  </si>
  <si>
    <t>Source: BPW extrapolated to 2050 - separate model</t>
  </si>
  <si>
    <t>High scenario</t>
  </si>
  <si>
    <t>Limiting factors G: 50/80/90, Y 20/50/70, O: 1/10/15, R: 0</t>
  </si>
  <si>
    <t>S-curve - separate model</t>
  </si>
  <si>
    <t>Low scenario</t>
  </si>
  <si>
    <t>Limiting factors G: 40/70/80, Y 10/35/50, O: 1/7/10, R: 0</t>
  </si>
  <si>
    <t>Eliminate</t>
  </si>
  <si>
    <t>Paper</t>
  </si>
  <si>
    <t>2020-2030 growth</t>
  </si>
  <si>
    <t>2030-2040 growth</t>
  </si>
  <si>
    <t>2040-2050 growth</t>
  </si>
  <si>
    <t>Source: BPW extrapolated to 2050 - separate model - calculated based on averages of low and high scenarios - separate model</t>
  </si>
  <si>
    <t>For methodology</t>
  </si>
  <si>
    <t>High</t>
  </si>
  <si>
    <t>Elim</t>
  </si>
  <si>
    <t>NBM</t>
  </si>
  <si>
    <t>Comp.</t>
  </si>
  <si>
    <t>Low</t>
  </si>
  <si>
    <t>https://cdn.odi.org/media/documents/odi-et-cp-construction-report-sep20-proof04_final2.pdf</t>
  </si>
  <si>
    <t>Adjusted to account for the fact we are not considering substitution with metals (see below): https://cdn.odi.org/media/documents/odi-et-cp-construction-report-sep20-proof04_final2.pdf</t>
  </si>
  <si>
    <t>R</t>
  </si>
  <si>
    <t>S</t>
  </si>
  <si>
    <t>Red</t>
  </si>
  <si>
    <t>Sub</t>
  </si>
  <si>
    <t>--&gt; reduction of building material is assumed to be only 22% in a circular scenario compare to BAU in the IRP scenario (based on minerals analysis) - assuming all material are equally impacted by this lever given it's densification. Consider low scenario as IRP does not reach net zero by 2050.</t>
  </si>
  <si>
    <t>R&amp;S analysis</t>
  </si>
  <si>
    <t>Source: Sam Pickard and Samuel Sharp, Phasing out plastics, The construction sector, (2020)</t>
  </si>
  <si>
    <t>Reduction potential</t>
  </si>
  <si>
    <t>Volumes post reduce</t>
  </si>
  <si>
    <t>Substitution potential</t>
  </si>
  <si>
    <t>Substituted volumes</t>
  </si>
  <si>
    <t>Profiles</t>
  </si>
  <si>
    <t>Adjusted based on ODI paper to remove metal substitution (from 100% to 50%)</t>
  </si>
  <si>
    <t>Pipes, tubes, fittings</t>
  </si>
  <si>
    <t>Adjusted based on ODI paper to remove metal substitution (from 100% to 0%)</t>
  </si>
  <si>
    <t>Flooring Insulation</t>
  </si>
  <si>
    <t>Adjusted based on ODI paper toassume only 90% penetration (more conservative - based on Breaking the plastic wave penetration technology rates) (from 100% to 0%)</t>
  </si>
  <si>
    <t>Cabling</t>
  </si>
  <si>
    <t>Liners</t>
  </si>
  <si>
    <t>PUR &amp; Additives &amp; Other</t>
  </si>
  <si>
    <t>Additives</t>
  </si>
  <si>
    <t>ADDITIONAL DATA - NOT USED</t>
  </si>
  <si>
    <t>Decrease in Building Activity</t>
  </si>
  <si>
    <t>NZ 2050</t>
  </si>
  <si>
    <t>Waterproof Liners</t>
  </si>
  <si>
    <t>Numbers are aligned with global demand!!!</t>
  </si>
  <si>
    <t>Residential</t>
  </si>
  <si>
    <t xml:space="preserve">Split </t>
  </si>
  <si>
    <t>Commercial</t>
  </si>
  <si>
    <t>Buildings' share of Propylene Demand</t>
  </si>
  <si>
    <t>Buildings' share of Ethylene Demand</t>
  </si>
  <si>
    <t xml:space="preserve"> Grubler et al. (2018)</t>
  </si>
  <si>
    <t xml:space="preserve"> "Residential floorspace is assumed to grow from 180 billion m2 in 2020 to 260 billion m2 in 2050.  Total global floorspace for the residential and commercial sectors in 2050 is 264 billion m2  and 104 billion m2 , respectively, corresponding to compound average growth rates of 1.3% and 1.7%"</t>
  </si>
  <si>
    <t>Economic &amp; Demographic Growth</t>
  </si>
  <si>
    <t>Reduced Activity</t>
  </si>
  <si>
    <t>NZ2050</t>
  </si>
  <si>
    <t>Plastics use in buildings</t>
  </si>
  <si>
    <t>Pipes &amp; Ducts</t>
  </si>
  <si>
    <t>Insulation</t>
  </si>
  <si>
    <t>Roofing</t>
  </si>
  <si>
    <t>Windows</t>
  </si>
  <si>
    <t>Wall Coverings</t>
  </si>
  <si>
    <t>% change</t>
  </si>
  <si>
    <t>Methanol - Plastics (excl ethylene propylene)</t>
  </si>
  <si>
    <t>Methanol - Fuel</t>
  </si>
  <si>
    <t>C4 (fuel)</t>
  </si>
  <si>
    <t>ODI Check based on car numbers</t>
  </si>
  <si>
    <t>https://cdn.odi.org/media/documents/odi-et-cp-automotive-report-sep20-proof02_final2.pdf</t>
  </si>
  <si>
    <t>Fuel demand growth</t>
  </si>
  <si>
    <t>Switch from ICE to EV (Plastics increase)</t>
  </si>
  <si>
    <t>WEF (http://www3.weforum.org/docs/WEF_Forging_Ahead_2020.pdf)</t>
  </si>
  <si>
    <t>Switch from ICE to EV (Fuel demand reduction)</t>
  </si>
  <si>
    <t>Assumption that all fuel in ICE, some fuel actually in home heating/cooking but assume same rate of decline towards 0 by 2050</t>
  </si>
  <si>
    <t>XaaS</t>
  </si>
  <si>
    <t>Share of methanol fuel in ICE</t>
  </si>
  <si>
    <t>Assumption</t>
  </si>
  <si>
    <t>Life Extension</t>
  </si>
  <si>
    <t>Share of methanol fuel in heating combustion</t>
  </si>
  <si>
    <t>Substitution in cars</t>
  </si>
  <si>
    <t>Substitution in cars due to BEV</t>
  </si>
  <si>
    <t>Substitution in heating due to electrification &amp; development</t>
  </si>
  <si>
    <t>NZ/CE 2050 demand for fuel application</t>
  </si>
  <si>
    <t>assumption</t>
  </si>
  <si>
    <t>Life Ext.</t>
  </si>
  <si>
    <t>Demand reduction for methanol for fuel applications</t>
  </si>
  <si>
    <t>ICE to EV - LC</t>
  </si>
  <si>
    <t>ICE to EV - HC</t>
  </si>
  <si>
    <t>Electrification of cooking appliances</t>
  </si>
  <si>
    <t>Estimated in conjuction with XaaS team - SYSTEMIQ</t>
  </si>
  <si>
    <t>separate model from ETC</t>
  </si>
  <si>
    <t>Total 2020</t>
  </si>
  <si>
    <t>ethylene</t>
  </si>
  <si>
    <t>--&gt; total deamnd for ehtylene and porpylene in car match with previously calculated</t>
  </si>
  <si>
    <t>White</t>
  </si>
  <si>
    <t>Blue</t>
  </si>
  <si>
    <t>Numberes from</t>
  </si>
  <si>
    <t>Plastics used in cars</t>
  </si>
  <si>
    <t>Source: The Plastics Industry Trade Association, Automotive Recycling – Devalued is now Revalued (2016)</t>
  </si>
  <si>
    <t>Growth in NZ/CE</t>
  </si>
  <si>
    <t>Autmotive share of Propylene Demand</t>
  </si>
  <si>
    <t>Autmotive share of Ethylene Demand</t>
  </si>
  <si>
    <t>Methanol (excl MTO)</t>
  </si>
  <si>
    <t>calculation in a seaparate excel</t>
  </si>
  <si>
    <t>https://www.mckinsey.com/~/media/mckinsey/industries/retail/our%20insights/fashion%20on%20climate/fashion-on-climate-full-report.pdf</t>
  </si>
  <si>
    <t xml:space="preserve">Man made cellulosic fibres (including lyocel, viscose, etc … to substitute polyester): CAGR expected 5% from 6.5mT - assumed growth over 30 years and will substitute current fibres equally. So total market by 2050: 28mT. </t>
  </si>
  <si>
    <t>47mt of textile (53-6) growing at 2.1CAGR =  (source EMF)</t>
  </si>
  <si>
    <t>--&gt; 20% used</t>
  </si>
  <si>
    <t>Waste red.</t>
  </si>
  <si>
    <t>Sub.</t>
  </si>
  <si>
    <t>Fashion on Climate (separate excel)</t>
  </si>
  <si>
    <t>% change for all chemicals</t>
  </si>
  <si>
    <t>%change methanol</t>
  </si>
  <si>
    <t>Blanket R&amp;S: Estimated based on most conservative asusmptions from other sectors</t>
  </si>
  <si>
    <t>estimated</t>
  </si>
  <si>
    <t>Ethylene CAGR</t>
  </si>
  <si>
    <t>IEA</t>
  </si>
  <si>
    <t>Propylene CAGR</t>
  </si>
  <si>
    <t>Weighted average CAGR</t>
  </si>
  <si>
    <t>Plastic waste generation</t>
  </si>
  <si>
    <t>Weighted average CAGR from Eth and Prop from IEA</t>
  </si>
  <si>
    <t>% share of packaging and consumer goods in plastic waste generation</t>
  </si>
  <si>
    <t>Assumed constant overtime</t>
  </si>
  <si>
    <t>% share of automotive in plastic waste generation</t>
  </si>
  <si>
    <t>% share of building in plastic waste generation</t>
  </si>
  <si>
    <t>% share of apparel in plastic waste generation</t>
  </si>
  <si>
    <t>% share of others waste generation</t>
  </si>
  <si>
    <t>Total (check)</t>
  </si>
  <si>
    <t>Packaging and consumer goods plastic waste generation</t>
  </si>
  <si>
    <t>mT plastic waste</t>
  </si>
  <si>
    <t>Automotive plastic waste generation</t>
  </si>
  <si>
    <t>Construction plastic waste generation</t>
  </si>
  <si>
    <t>Apparel plastic waste generation</t>
  </si>
  <si>
    <t>Other plastic waste generation</t>
  </si>
  <si>
    <t>Plastic waste generation (check)</t>
  </si>
  <si>
    <t>% ethylene in packaging and consumer goods plastic waste</t>
  </si>
  <si>
    <t>% ethylene in automotive plastic waste</t>
  </si>
  <si>
    <t>% ethylene in construction plastic waste</t>
  </si>
  <si>
    <t>% ethylene in apparel plastic waste</t>
  </si>
  <si>
    <t>Assuming 100% of apparel fibres are PET</t>
  </si>
  <si>
    <t>% ethylene in other plastic waste</t>
  </si>
  <si>
    <t>Max Ethylene-derived from packaging and consumer goods waste generation</t>
  </si>
  <si>
    <t>mT ethylene</t>
  </si>
  <si>
    <t>Max Ethylene-derived from Automotive waste generation</t>
  </si>
  <si>
    <t>Max Ethylene-derived from Construction waste generation</t>
  </si>
  <si>
    <t>Max Ethylene-derived from apparel waste generation</t>
  </si>
  <si>
    <t>Max Ethylene-derived from other waste generation</t>
  </si>
  <si>
    <t>Total ethylene-derived plastic waste generated</t>
  </si>
  <si>
    <t>Total Ethylene-derived waste generation</t>
  </si>
  <si>
    <t>Total Ethylene production</t>
  </si>
  <si>
    <t>Total Ethylene remains in stock</t>
  </si>
  <si>
    <t>Ratio waste/production</t>
  </si>
  <si>
    <t>--&gt; means that the ratio is in average 80% - TRIANGULATION: Geyer et Al. estimated it at (4900 + 600 + 800)/8300 = 76% - So good !</t>
  </si>
  <si>
    <t>Ethylene R&amp;S reduction ratio for packaging production</t>
  </si>
  <si>
    <t>Ethylene R&amp;S reduction ratio for automotive production</t>
  </si>
  <si>
    <t>Ethylene R&amp;S reduction ratio for construction production</t>
  </si>
  <si>
    <t>Ethylene R&amp;S reduction ratio for apparel production</t>
  </si>
  <si>
    <t>Ethylene R&amp;S reduction ratio for other production</t>
  </si>
  <si>
    <t>Manual calculation - each row and each cell is different C42:AG46</t>
  </si>
  <si>
    <t>Ethylene-derived packaging waste generation post R&amp;S</t>
  </si>
  <si>
    <t>Assuming no delay between production and waste</t>
  </si>
  <si>
    <t>Geyer et al (2017)</t>
  </si>
  <si>
    <t>Ethylene-derived Automotive waste generation  post R&amp;S</t>
  </si>
  <si>
    <t>Assuming 12 year delay between production and waste</t>
  </si>
  <si>
    <t>Ethylene-derived Construction waste generation post R&amp;S</t>
  </si>
  <si>
    <t>Assuming 30 year delay between production and waste</t>
  </si>
  <si>
    <t>Ethylene-derived Textile waste generation post R&amp;S</t>
  </si>
  <si>
    <t>Assuming 5 year delay between production and waste</t>
  </si>
  <si>
    <t>Ethylene-derived other waste generation post R&amp;S</t>
  </si>
  <si>
    <t>Total Ethylene-derived waste geenration post R&amp;S</t>
  </si>
  <si>
    <t>PACKAGING AND CONSUMMER GOODS RECYCLING RATES</t>
  </si>
  <si>
    <t>Recycling rate adjusted for ethylene</t>
  </si>
  <si>
    <t>Closed Loop recycling rates from packaging and consummer goods</t>
  </si>
  <si>
    <t xml:space="preserve">assuming absolute volumes are the same as HC </t>
  </si>
  <si>
    <t>Open Loop recycling rates from packaging and consummer goods</t>
  </si>
  <si>
    <t>Overall recycling rates from packaging and consummer goods</t>
  </si>
  <si>
    <t>% recycling rate of Packaging and consummer goods to textile (via Open loop)</t>
  </si>
  <si>
    <t>% recycling rate of Packaging and consummer goods to other (via Open Loop)</t>
  </si>
  <si>
    <t>% recycling rate of Packaging and consummer goods to construction (via Open Loop)</t>
  </si>
  <si>
    <t>Ethylene-adjusted Closed Loop recycling rates from packaging and consummer goods</t>
  </si>
  <si>
    <t>Ethylene-adjusted Open Loop recycling rates from packaging and consummer goods</t>
  </si>
  <si>
    <t>Ethylene-adjusted Overall recycling rates from packaging and consummer goods</t>
  </si>
  <si>
    <t>% Ethylene-adjusted recycling rate of Packaging and consummer goods to textile (via Open loop)</t>
  </si>
  <si>
    <t>% Ethylene-adjusted recycling rate of Packaging and consummer goods to other (via Open Loop)</t>
  </si>
  <si>
    <t>% Ethylene-adjusted recycling rate of Packaging and consummer goods to construction (via Open Loop)</t>
  </si>
  <si>
    <t>Open Loop to apparel</t>
  </si>
  <si>
    <t>Open Loop to automotive</t>
  </si>
  <si>
    <t>Open Loop to construction</t>
  </si>
  <si>
    <t>Open Loop to others</t>
  </si>
  <si>
    <t>AUTOMOTIVE RECYCLING RATES</t>
  </si>
  <si>
    <t>No adjusting factor necessary given no data available for that sector</t>
  </si>
  <si>
    <t>Overall recycling rates from automotive</t>
  </si>
  <si>
    <t>Closed Loop recycling rates from automotive</t>
  </si>
  <si>
    <t>Open Loop recycling rates from automotive</t>
  </si>
  <si>
    <t>% recycling rate of Automotive to construction (via Open loop)</t>
  </si>
  <si>
    <t>% recycling rate of Automotive to packaging and consummer goods (via Open Loop)</t>
  </si>
  <si>
    <t>% recycling rate of Automotive to others</t>
  </si>
  <si>
    <t>Open Loop to packaging</t>
  </si>
  <si>
    <t>APPAREL RECYCLING RATES</t>
  </si>
  <si>
    <t>No adjusting factor necessary given 100% of fibres are assumed to be PET</t>
  </si>
  <si>
    <t>Apparel overall recycling rates</t>
  </si>
  <si>
    <t>EMF - A New Textile industry - 2018 // 2050 estimation from internal systemiq team</t>
  </si>
  <si>
    <t>Closed Loop recycling rates from apparel</t>
  </si>
  <si>
    <t>Open Loop recycling rates from apparel</t>
  </si>
  <si>
    <t>% recycling rate of apparel to construction (via Open loop)</t>
  </si>
  <si>
    <t>% recycling rate of apparel to others</t>
  </si>
  <si>
    <t>CONSTRUCTION RECYCLING RATES</t>
  </si>
  <si>
    <t>Construction Closed Loop recycling rate</t>
  </si>
  <si>
    <t>Recycling rate from OECD report: Improving Markets for Recycled Plastics, 2018. 2.5% for Australia, and xx% from EU (BPWE team). Confirmed by ODI paper (recycling rate &lt;2%). For 2050, assumed an average recycling from packaging and cars.</t>
  </si>
  <si>
    <t>Ethylene adjusted construction recycling rate</t>
  </si>
  <si>
    <t>OTHER RECYCLING RATES</t>
  </si>
  <si>
    <t>Other recycling rates</t>
  </si>
  <si>
    <t>Recycling rate from OECD report: Improving Markets for Recycled Plastics, 2018. ~5% for Australia used for 2020. Assuming 20% by 2050 as default value.</t>
  </si>
  <si>
    <t>OVERALL ETHYLENE-DERIVED RECYCLING RATES</t>
  </si>
  <si>
    <t>Ethyelene derived recyclin is higher than average --&gt; realistic</t>
  </si>
  <si>
    <t>OVERALL PLASTIC RECYCLING RATES</t>
  </si>
  <si>
    <t>--&gt; triangulation - OECD report through Geyer et Al. estimate a global plastic recycling rate of of 18% globally which is assumed to be a high estimate and not account for losses (~20% for sorting and 20% for recycling) which leads to ~11.5% ! So we are in good ranges</t>
  </si>
  <si>
    <t>Ethyelene recycling volumes</t>
  </si>
  <si>
    <t>Ethyelene recycling rates volumes (BAU)</t>
  </si>
  <si>
    <t>CAGR from BPW</t>
  </si>
  <si>
    <t>BAU - Plastic waste breakdown</t>
  </si>
  <si>
    <t>Collection rate</t>
  </si>
  <si>
    <t>from BPW - assuming assuming goal achieved by 2040 are achieved by 2050.</t>
  </si>
  <si>
    <t>Environmental leakage</t>
  </si>
  <si>
    <t>Ocean Leakage</t>
  </si>
  <si>
    <t>HC - Plastic waste breakdown</t>
  </si>
  <si>
    <t>Collection rate (A1+V1)</t>
  </si>
  <si>
    <t xml:space="preserve">% waste collected from high income </t>
  </si>
  <si>
    <t>% waste collected from others</t>
  </si>
  <si>
    <t>Formal Collection (B1)</t>
  </si>
  <si>
    <t>Unformal Collection (B2+V1)</t>
  </si>
  <si>
    <t>Collected for recycling  (C1)</t>
  </si>
  <si>
    <t>Collected as mixed (C2)</t>
  </si>
  <si>
    <t>Mixed sent to MRF (E3)</t>
  </si>
  <si>
    <t>Mixed un-sorted (E1+E2)</t>
  </si>
  <si>
    <t>Sent to recycling (F1+F2)</t>
  </si>
  <si>
    <t>Losses from MRF (F3)</t>
  </si>
  <si>
    <t>Unformal to recycling (D1+D2)</t>
  </si>
  <si>
    <t>Unformal  to unsorted (D4)</t>
  </si>
  <si>
    <t>Losses from Recycling  (J1+I2)</t>
  </si>
  <si>
    <t>Incineration (O)</t>
  </si>
  <si>
    <t>Landfill (N)</t>
  </si>
  <si>
    <t>Dumpsite (V0)</t>
  </si>
  <si>
    <t>Open Burning (S)</t>
  </si>
  <si>
    <t>Environmental leakage (T0)</t>
  </si>
  <si>
    <t>Ocean Leakage (W)</t>
  </si>
  <si>
    <t>Total Disposal + Leakage</t>
  </si>
  <si>
    <t>Mixed sent disposal (E1+E2)</t>
  </si>
  <si>
    <t>Unformal  to disposal (D4)</t>
  </si>
  <si>
    <t>Etylene adjusted actual recycling TOTAL</t>
  </si>
  <si>
    <t>BPW assumes that unsorted waste at source cannot be recycled. Here we are taking the reverse approach to say that if we want to meet the above recycling rates, x mT of waste would need to come from unsorted waste. And recalculate the amont of unsorted waste sent to disposal without going through sorting facilities.</t>
  </si>
  <si>
    <t>Ethylene adjusted sent to recycling TOTAL</t>
  </si>
  <si>
    <t>Ethylene adjusted sent to recycling from unformal</t>
  </si>
  <si>
    <t>Ethylene adjusted sent to recycling from MRF</t>
  </si>
  <si>
    <t>Ethylene adjusted sent to MRF TOTAL</t>
  </si>
  <si>
    <t>Ethylene adjusted sent to MRF from sorted at source</t>
  </si>
  <si>
    <t>Ethylene adjusted sent to MRF from mixed waste</t>
  </si>
  <si>
    <t>Ethylene adjusted losses from MRF, unformal and recycling</t>
  </si>
  <si>
    <t>Ethylene-adjusted mixed waste to disposal</t>
  </si>
  <si>
    <t>Waste assumed available for chemical recycling</t>
  </si>
  <si>
    <t>Assumption from BPWE: 80% of losses from recycling, MRF etc. would fit depol. and diss. Technologies given high quality required</t>
  </si>
  <si>
    <t>Available waste from high income</t>
  </si>
  <si>
    <t>Available waste from low income</t>
  </si>
  <si>
    <t>S-Curve for technology ramp-up applied to diss. and depol.</t>
  </si>
  <si>
    <t>% PET from packaging and textile out of total recycling volumes</t>
  </si>
  <si>
    <t>To be calculated by the matrix</t>
  </si>
  <si>
    <t>Depolymerization technologies</t>
  </si>
  <si>
    <t>% high value grades out of total</t>
  </si>
  <si>
    <t>Assuming half of HC</t>
  </si>
  <si>
    <t>Estimated - assuming only high value grades are applicable for such technologies</t>
  </si>
  <si>
    <t>Dissolutions technologies</t>
  </si>
  <si>
    <t>Waste available for other technologies</t>
  </si>
  <si>
    <t>Tons of waste collected as sorted</t>
  </si>
  <si>
    <t>Tons of waste collected as mixed</t>
  </si>
  <si>
    <t>Assuming only 'sorted waste' can be applicable to pyrolysis</t>
  </si>
  <si>
    <t>Assuming sorted AND unsorted waste can be applicable for pyrolysis</t>
  </si>
  <si>
    <t>TRIANGULATION</t>
  </si>
  <si>
    <t>From Plastics Europe facts 2020 (EU data for 2019)</t>
  </si>
  <si>
    <t>Volume to construction</t>
  </si>
  <si>
    <t>Volume to packaging</t>
  </si>
  <si>
    <t>Volume to other</t>
  </si>
  <si>
    <t>Volume to apparel</t>
  </si>
  <si>
    <t>Volumes to car</t>
  </si>
  <si>
    <t>Total volumes</t>
  </si>
  <si>
    <t>total check</t>
  </si>
  <si>
    <t>Seems about correct assuming textile downcycling does not happen in EU and car recycling is bigger in EU than globally</t>
  </si>
  <si>
    <t>Overall recycling rate for low scenario</t>
  </si>
  <si>
    <t>IEA adjusted - Plastic waste generation</t>
  </si>
  <si>
    <t>Assuming CAGR is same as production</t>
  </si>
  <si>
    <t>Assuming 100% fibres are PET</t>
  </si>
  <si>
    <t>BPW extrapolated to 2050 (same growth rate used for 2040-2050 than 2030-2040) - data obtained for each decade and extrapolated (Scenario X master)</t>
  </si>
  <si>
    <t>From CLP - assuming constant</t>
  </si>
  <si>
    <t>% recycling rate of Packaging and consummer goods to automotive (via Open Loop)</t>
  </si>
  <si>
    <t>Adjusting factor for ethylene recycling rates</t>
  </si>
  <si>
    <t>% Ethylene-adjusted recycling rate of Packaging and consummer goods to automotive (via Open Loop)</t>
  </si>
  <si>
    <t>Recycling rate from OECD report: Improving Markets for Recycled Plastics, 2018. 2.5% for Australia, and xx% from EU (BPWE team). Target of 44% from EMF (via ODI report). Assuming growth rate is similar as packaging</t>
  </si>
  <si>
    <t>% recycling which is closed Loop from automotive</t>
  </si>
  <si>
    <t>Share of CL/OL for 2020 from WRAP - Plastic Market report for 2019 - share by 2050 from BPWE team. Assuming linear ramp up</t>
  </si>
  <si>
    <t>NOTE: these recycling rates are based on total polymers, not pure ethylene</t>
  </si>
  <si>
    <t>% recycling which is open Loop from automotive</t>
  </si>
  <si>
    <t>% Open Loop to construction</t>
  </si>
  <si>
    <t>Assuming constant overtime</t>
  </si>
  <si>
    <t>https://wrap.org.uk/sites/default/files/2020-10/WRAP_Plastics_market_situation_report.pdf</t>
  </si>
  <si>
    <t>% open Loop to packaging and consummer goods (via Open Loop)</t>
  </si>
  <si>
    <t>% open loop to others</t>
  </si>
  <si>
    <t>Adjusting factor</t>
  </si>
  <si>
    <t>Ethylene-adjusted CL</t>
  </si>
  <si>
    <t>Ethylene-adjusted OL</t>
  </si>
  <si>
    <t>Ethylene adjusted overall</t>
  </si>
  <si>
    <t>Ethylene adjusted OL to construction</t>
  </si>
  <si>
    <t>Ethylene adjusted OL to packaging</t>
  </si>
  <si>
    <t>Ethylene adjusted OL to others</t>
  </si>
  <si>
    <t>% recycling which is closed Loop from apparel</t>
  </si>
  <si>
    <t>EMF - A New Textile industry - 2018 (&lt;10% - estimated at 5% - EuraTex In EU has estimated at 10%: https://euratex.eu/wp-content/uploads/Recycling-Hubs-FIN-LQ.pdf // 2050: in EU the industry is targetting a 30% recycling rates for textiles</t>
  </si>
  <si>
    <t>% recycling which is open Loop from apparel</t>
  </si>
  <si>
    <t>Assumptions per decade then extrapolated for individual years</t>
  </si>
  <si>
    <t>Estimated - based on EMF, WRAP and other reports saying that textiles are being recycled for insulation, matresses, industrial and cars textile/fillers.</t>
  </si>
  <si>
    <t>Recycling rate from OECD report: Improving Markets for Recycled Plastics, 2018. 2.5% for Australia, and 26% from EU (BPWE team). Confirmed by ODI paper (recycling rate &lt;2%). For 2050, assumed an average recycling from packaging and cars. Plastic Europe data likely to be over-estimated (based on BPWE analysis) and therefore only used for polymer breakdown. 2% used instead</t>
  </si>
  <si>
    <t>51% of recycled construction plastic is PE while only 18% of construction lastic is PE according to Plastic Europe (2018). So Adjusting factor is based on the ratio of those two numbers assuming to flatten overtime but remain higher than average: https://www.plasticseurope.org/application/files/6315/5730/5565/BC_Table.pdf</t>
  </si>
  <si>
    <t>% PET from packaging and textile out of total waste volumes</t>
  </si>
  <si>
    <t>Ethylene recycld content per industry</t>
  </si>
  <si>
    <t>Transport</t>
  </si>
  <si>
    <t>% propylene in packaging and consumer goods plastic waste</t>
  </si>
  <si>
    <t>% propylene in automotive plastic waste</t>
  </si>
  <si>
    <t>% propylene in construction plastic waste</t>
  </si>
  <si>
    <t>% propylene in apparel plastic waste</t>
  </si>
  <si>
    <t>Assuming 0% of apparel fibres are PP</t>
  </si>
  <si>
    <t>% propylene in other plastic waste</t>
  </si>
  <si>
    <t>Max propylene-derived from packaging and consumer goods waste generation</t>
  </si>
  <si>
    <t>mT propylene</t>
  </si>
  <si>
    <t>Max propylene-derived from Automotive waste generation</t>
  </si>
  <si>
    <t>Max propylene-derived from Construction waste generation</t>
  </si>
  <si>
    <t>Max propylene-derived from apparel waste generation</t>
  </si>
  <si>
    <t>Max propylene-derived from other waste generation</t>
  </si>
  <si>
    <t>Total propylene-derived plastic waste generated</t>
  </si>
  <si>
    <t>Total propylene-derived waste generation</t>
  </si>
  <si>
    <t>Total propylene production</t>
  </si>
  <si>
    <t>Total propylene remains in stock</t>
  </si>
  <si>
    <t>propylene R&amp;S reduction ratio for packaging production</t>
  </si>
  <si>
    <t>propylene R&amp;S reduction ratio for automotive production</t>
  </si>
  <si>
    <t>propylene R&amp;S reduction ratio for construction production</t>
  </si>
  <si>
    <t>propylene R&amp;S reduction ratio for apparel production</t>
  </si>
  <si>
    <t>n/a</t>
  </si>
  <si>
    <t>propylene R&amp;S reduction ratio for other production</t>
  </si>
  <si>
    <t>propylene-derived packaging waste generation post R&amp;S</t>
  </si>
  <si>
    <t>propylene-derived Automotive waste generation  post R&amp;S</t>
  </si>
  <si>
    <t>propylene-derived Construction waste generation post R&amp;S</t>
  </si>
  <si>
    <t>propylene-derived Textile waste generation post R&amp;S</t>
  </si>
  <si>
    <t>propylene-derived other waste generation post R&amp;S</t>
  </si>
  <si>
    <t>Total propylene-derived waste geenration post R&amp;S</t>
  </si>
  <si>
    <t>Recycling rate adjusted for propylene</t>
  </si>
  <si>
    <t>propylene-adjusted Closed Loop recycling rates from packaging and consummer goods</t>
  </si>
  <si>
    <t>propylene-adjusted Open Loop recycling rates from packaging and consummer goods</t>
  </si>
  <si>
    <t>propylene-adjusted Overall recycling rates from packaging and consummer goods</t>
  </si>
  <si>
    <t>% propylene-adjusted recycling rate of Packaging and consummer goods to other (via Open Loop)</t>
  </si>
  <si>
    <t>% propylene-adjusted recycling rate of Packaging and consummer goods to construction (via Open Loop)</t>
  </si>
  <si>
    <t>Propylene-adjusted overall recycling rates from automotive</t>
  </si>
  <si>
    <t>Propylene-adjusted closed-loop recycling rates from automotive</t>
  </si>
  <si>
    <t>Propylene-adjusted open-loop recycling rates from automotive</t>
  </si>
  <si>
    <t>% propylene-adjusted recycling rate of automotive to construction (via Open Loop)</t>
  </si>
  <si>
    <t>% propylene-adjusted recycling rate of automotive to packaging and consummer goods (via Open Loop)</t>
  </si>
  <si>
    <t>% propylene-adjusted recycling rate of automotive to other (via Open Loop)</t>
  </si>
  <si>
    <t>propylene adjusted construction recycling rate</t>
  </si>
  <si>
    <t>OVERALL propylene-DERIVED RECYCLING RATES</t>
  </si>
  <si>
    <t>Propylene recycling volumes</t>
  </si>
  <si>
    <t>2020 unformal sector value adjusted to match recycling rate</t>
  </si>
  <si>
    <t>Propylene adjusted actual recycling TOTAL</t>
  </si>
  <si>
    <t>Propylene adjusted sent to recycling TOTAL</t>
  </si>
  <si>
    <t>Propylene adjusted sent to recycling from unformal</t>
  </si>
  <si>
    <t>Propylene adjusted sent to recycling from MRF</t>
  </si>
  <si>
    <t>Propylene adjusted sent to MRF TOTAL</t>
  </si>
  <si>
    <t>Propylene adjusted sent to MRF from sorted at source</t>
  </si>
  <si>
    <t>Propylene adjusted sent to MRF from mixed waste</t>
  </si>
  <si>
    <t>Propylene adjusted losses from MRF, unformal and recycling</t>
  </si>
  <si>
    <t>Propylene-adjusted mixed waste to disposal</t>
  </si>
  <si>
    <t>Technology not relevant for PP</t>
  </si>
  <si>
    <t>Assuming half og HC</t>
  </si>
  <si>
    <t>estimated and assumed constant</t>
  </si>
  <si>
    <t>Assuming left over</t>
  </si>
  <si>
    <t>Adjusting factor for propylene recycling rates</t>
  </si>
  <si>
    <t>NOTE: these recycling rates are based on total polymers, not pure propylene</t>
  </si>
  <si>
    <t>propylene-adjusted overall recycling rates from automotive</t>
  </si>
  <si>
    <t>propylene-adjusted Closed Loop recycling rates from automotive</t>
  </si>
  <si>
    <t>propylene-adjusted Open-Loop recycling rates from automotive</t>
  </si>
  <si>
    <t>EMF - A New Textile industry - 2018 (&lt;10% - estimated at 5%) // 2050 assuming ratio is the same as packaging for OL and CL (40/60)</t>
  </si>
  <si>
    <t>23% of recycled construction plastic is PP while only 8% of construction plastic is PP according to Plastic Europe (2018). So Adjusting factor is based on the ratio of those two numbers assuming to flatten overtime but remain higher than average: https://www.plasticseurope.org/application/files/6315/5730/5565/BC_Table.pdf</t>
  </si>
  <si>
    <t>Ethyelene derived recyclin is much lower than average --&gt; realistic</t>
  </si>
  <si>
    <t>Propylene recycld content per industry</t>
  </si>
  <si>
    <t>% methanol in packaging and consumer goods plastic waste</t>
  </si>
  <si>
    <t>% methanol in automotive plastic waste</t>
  </si>
  <si>
    <t>% methanol in construction plastic waste</t>
  </si>
  <si>
    <t>% methanol in apparel plastic waste</t>
  </si>
  <si>
    <t>% methanol in other plastic waste</t>
  </si>
  <si>
    <t>Max methanol-derived from packaging and consumer goods waste generation</t>
  </si>
  <si>
    <t>mT methanol</t>
  </si>
  <si>
    <t>Max methanol-derived from Automotive waste generation</t>
  </si>
  <si>
    <t>Max methanol-derived from Construction waste generation</t>
  </si>
  <si>
    <t>Max methanol-derived from apparel waste generation</t>
  </si>
  <si>
    <t>Max methanol-derived from other waste generation</t>
  </si>
  <si>
    <t>Total methanol-derived plastic waste generated</t>
  </si>
  <si>
    <t>Total methanol-derived waste generation</t>
  </si>
  <si>
    <t>methanol R&amp;S reduction ratio for packaging production</t>
  </si>
  <si>
    <t>methanol R&amp;S reduction ratio for automotive production</t>
  </si>
  <si>
    <t>methanol R&amp;S reduction ratio for construction production</t>
  </si>
  <si>
    <t>methanol R&amp;S reduction ratio for apparel production</t>
  </si>
  <si>
    <t>methanol R&amp;S reduction ratio for other production</t>
  </si>
  <si>
    <t>methanol-derived packaging waste generation post R&amp;S</t>
  </si>
  <si>
    <t>methanol-derived Automotive waste generation  post R&amp;S</t>
  </si>
  <si>
    <t>methanol-derived Construction waste generation post R&amp;S</t>
  </si>
  <si>
    <t>methanol-derived Textile waste generation post R&amp;S</t>
  </si>
  <si>
    <t>methanol-derived other waste generation post R&amp;S</t>
  </si>
  <si>
    <t>Total methanol-derived waste geenration post R&amp;S</t>
  </si>
  <si>
    <t>Adjusting factor for methanol recycling rates</t>
  </si>
  <si>
    <t>methanol-adjusted Closed Loop recycling rates from packaging and consummer goods</t>
  </si>
  <si>
    <t>methanol-adjusted Open Loop recycling rates from packaging and consummer goods</t>
  </si>
  <si>
    <t>methanol-adjusted Overall recycling rates from packaging and consummer goods</t>
  </si>
  <si>
    <t>% methanol-adjusted recycling rate of Packaging and consummer goods to textile (via Open loop)</t>
  </si>
  <si>
    <t>% methanol-adjusted recycling rate of Packaging and consummer goods to other (via Open Loop)</t>
  </si>
  <si>
    <t>% methanol-adjusted recycling rate of Packaging and consummer goods to automotive (via Open Loop)</t>
  </si>
  <si>
    <t>% methanol-adjusted recycling rate of Packaging and consummer goods to construction (via Open Loop)</t>
  </si>
  <si>
    <t>OTHERs</t>
  </si>
  <si>
    <t>Add. Closed Loop</t>
  </si>
  <si>
    <t>OL - to textiles</t>
  </si>
  <si>
    <t>Add. OL - to textiles</t>
  </si>
  <si>
    <t>OL - to automotive</t>
  </si>
  <si>
    <t>Add. OL - to automotive</t>
  </si>
  <si>
    <t>OL - to others</t>
  </si>
  <si>
    <t>Add. OL - to others</t>
  </si>
  <si>
    <t>OL - to construction</t>
  </si>
  <si>
    <t>Add. OL - to construction</t>
  </si>
  <si>
    <t>used construction as proxy with optimistic assumption that recycling rates of all polymers will be around the same average by 2050</t>
  </si>
  <si>
    <t>methanol-adjusted Closed Loop recycling rates from tranportation</t>
  </si>
  <si>
    <t>methanol-adjusted Open Loop recycling rates from transportation</t>
  </si>
  <si>
    <t>methanol-adjusted Overall recycling rates from transportation</t>
  </si>
  <si>
    <t>methanol-adjusted % recycling rate of Automotive to construction (via Open loop)</t>
  </si>
  <si>
    <t>methanol adjusted % recycling rate of Automotive to packaging and consummer goods (via Open Loop)</t>
  </si>
  <si>
    <t>methanol adjusted % recycling rate of Automotive to others</t>
  </si>
  <si>
    <t>OL - to packaging</t>
  </si>
  <si>
    <t>Add. OL - to packaging</t>
  </si>
  <si>
    <t>methanol-adjusted % recycling rate of Apparel to construction (via Open loop)</t>
  </si>
  <si>
    <t>methanol adjusted % recycling rate of Apparel to others</t>
  </si>
  <si>
    <t>7.5% of PU and other plastics are mechanically recycled (compared to the average of 26%), ODI &amp; Plastics Europe https://www.plasticseurope.org/application/files/6315/5730/5565/BC_Table.pdf assumed increasing to 70% linearly by 2050</t>
  </si>
  <si>
    <t>methanol adjusted construction recycling rate</t>
  </si>
  <si>
    <t>OVERALL methanol-DERIVED RECYCLING RATES</t>
  </si>
  <si>
    <t>methanol derived recycling is lower than average --&gt; realistic</t>
  </si>
  <si>
    <t>Methanol recycling volumes</t>
  </si>
  <si>
    <t>Methanol recycling rates volumes (BAU)</t>
  </si>
  <si>
    <t>methanol adjusted actual recycling TOTAL</t>
  </si>
  <si>
    <t>methanol adjusted sent to recycling TOTAL</t>
  </si>
  <si>
    <t>methanol adjusted sent to recycling from unformal</t>
  </si>
  <si>
    <t>methanol adjusted sent to recycling from MRF</t>
  </si>
  <si>
    <t>methanol adjusted sent to MRF TOTAL</t>
  </si>
  <si>
    <t>methanol adjusted sent to MRF from sorted at source</t>
  </si>
  <si>
    <t>methanol adjusted sent to MRF from mixed waste</t>
  </si>
  <si>
    <t>methanol adjusted losses from MRF, unformal and recycling</t>
  </si>
  <si>
    <t>methanol-adjusted mixed waste to disposal</t>
  </si>
  <si>
    <t>% BTX in packaging and consumer goods plastic waste</t>
  </si>
  <si>
    <t>% BTX in automotive plastic waste</t>
  </si>
  <si>
    <t>% BTX in construction plastic waste</t>
  </si>
  <si>
    <t>% BTX in apparel plastic waste</t>
  </si>
  <si>
    <t>% BTX in other plastic waste</t>
  </si>
  <si>
    <t>Max BTX-derived from packaging and consumer goods waste generation</t>
  </si>
  <si>
    <t>mT BTX</t>
  </si>
  <si>
    <t>Max BTX-derived from Automotive waste generation</t>
  </si>
  <si>
    <t>Max BTX-derived from Construction waste generation</t>
  </si>
  <si>
    <t>Max BTX-derived from apparel waste generation</t>
  </si>
  <si>
    <t>Max BTX-derived from other waste generation</t>
  </si>
  <si>
    <t>Total BTX-derived plastic waste generated</t>
  </si>
  <si>
    <t>Total BTX-derived waste generation</t>
  </si>
  <si>
    <t>BTX R&amp;S reduction ratio for packaging production</t>
  </si>
  <si>
    <t>BTX R&amp;S reduction ratio for automotive production</t>
  </si>
  <si>
    <t>BTX R&amp;S reduction ratio for construction production</t>
  </si>
  <si>
    <t>BTX R&amp;S reduction ratio for apparel production</t>
  </si>
  <si>
    <t>BTX R&amp;S reduction ratio for other production</t>
  </si>
  <si>
    <t>BTX-derived packaging waste generation post R&amp;S</t>
  </si>
  <si>
    <t>BTX-derived Automotive waste generation  post R&amp;S</t>
  </si>
  <si>
    <t>BTX-derived Construction waste generation post R&amp;S</t>
  </si>
  <si>
    <t>BTX-derived Textile waste generation post R&amp;S</t>
  </si>
  <si>
    <t>BTX-derived other waste generation post R&amp;S</t>
  </si>
  <si>
    <t>Total BTX-derived waste geenration post R&amp;S</t>
  </si>
  <si>
    <t>Adjusting factor for BTX recycling rates</t>
  </si>
  <si>
    <t>BTX-adjusted Closed Loop recycling rates from packaging and consummer goods</t>
  </si>
  <si>
    <t>BTX-adjusted Open Loop recycling rates from packaging and consummer goods</t>
  </si>
  <si>
    <t>BTX-adjusted Overall recycling rates from packaging and consummer goods</t>
  </si>
  <si>
    <t>% BTX-adjusted recycling rate of Packaging and consummer goods to textile (via Open loop)</t>
  </si>
  <si>
    <t>% BTX-adjusted recycling rate of Packaging and consummer goods to other (via Open Loop)</t>
  </si>
  <si>
    <t>% BTX-adjusted recycling rate of Packaging and consummer goods to automotive (via Open Loop)</t>
  </si>
  <si>
    <t>% BTX-adjusted recycling rate of Packaging and consummer goods to construction (via Open Loop)</t>
  </si>
  <si>
    <t>BTX-adjusted Closed Loop recycling rates from tranportation</t>
  </si>
  <si>
    <t>BTX-adjusted Open Loop recycling rates from transportation</t>
  </si>
  <si>
    <t>BTX-adjusted Overall recycling rates from transportation</t>
  </si>
  <si>
    <t>BTX-adjusted % recycling rate of Automotive to construction (via Open loop)</t>
  </si>
  <si>
    <t>BTX adjusted % recycling rate of Automotive to packaging and consummer goods (via Open Loop)</t>
  </si>
  <si>
    <t>BTX adjusted % recycling rate of Automotive to others</t>
  </si>
  <si>
    <t>BTX-adjusted % recycling rate of Apparel to construction (via Open loop)</t>
  </si>
  <si>
    <t>BTX adjusted % recycling rate of Apparel to others</t>
  </si>
  <si>
    <t>OL - to Others</t>
  </si>
  <si>
    <t>Add. OL - to Others</t>
  </si>
  <si>
    <t>BTX adjusted construction recycling rate</t>
  </si>
  <si>
    <t>OVERALL BTX-DERIVED RECYCLING RATES</t>
  </si>
  <si>
    <t>BTX recycling volumes</t>
  </si>
  <si>
    <t>BTX recycling rates volumes (BAU)</t>
  </si>
  <si>
    <t>BTX adjusted actual recycling TOTAL</t>
  </si>
  <si>
    <t>BTX adjusted sent to recycling TOTAL</t>
  </si>
  <si>
    <t>BTX adjusted sent to recycling from unformal</t>
  </si>
  <si>
    <t>BTX adjusted sent to recycling from MRF</t>
  </si>
  <si>
    <t>BTX adjusted sent to MRF TOTAL</t>
  </si>
  <si>
    <t>BTX adjusted sent to MRF from sorted at source</t>
  </si>
  <si>
    <t>BTX adjusted sent to MRF from mixed waste</t>
  </si>
  <si>
    <t>BTX adjusted losses from MRF, unformal and recycling</t>
  </si>
  <si>
    <t>BTX-adjusted mixed waste to disposal</t>
  </si>
  <si>
    <t>% C4 in packaging and consumer goods plastic waste</t>
  </si>
  <si>
    <t>% C4 in automotive plastic waste</t>
  </si>
  <si>
    <t>% C4 in construction plastic waste</t>
  </si>
  <si>
    <t>% C4 in apparel plastic waste</t>
  </si>
  <si>
    <t>% C4 in other plastic waste</t>
  </si>
  <si>
    <t>Max C4-derived from packaging and consumer goods waste generation</t>
  </si>
  <si>
    <t>mT C4</t>
  </si>
  <si>
    <t>Max C4-derived from Automotive waste generation</t>
  </si>
  <si>
    <t>Max C4-derived from Construction waste generation</t>
  </si>
  <si>
    <t>Max C4-derived from apparel waste generation</t>
  </si>
  <si>
    <t>Max C4-derived from other waste generation</t>
  </si>
  <si>
    <t>Total C4-derived plastic waste generated</t>
  </si>
  <si>
    <t>Total C4-derived waste generation</t>
  </si>
  <si>
    <t>C4 R&amp;S reduction ratio for packaging production</t>
  </si>
  <si>
    <t>C4 R&amp;S reduction ratio for automotive production</t>
  </si>
  <si>
    <t>C4 R&amp;S reduction ratio for construction production</t>
  </si>
  <si>
    <t>C4 R&amp;S reduction ratio for apparel production</t>
  </si>
  <si>
    <t>C4 R&amp;S reduction ratio for other production</t>
  </si>
  <si>
    <t>C4-derived packaging waste generation post R&amp;S</t>
  </si>
  <si>
    <t>C4-derived Automotive waste generation  post R&amp;S</t>
  </si>
  <si>
    <t>C4-derived Construction waste generation post R&amp;S</t>
  </si>
  <si>
    <t>C4-derived Textile waste generation post R&amp;S</t>
  </si>
  <si>
    <t>C4-derived other waste generation post R&amp;S</t>
  </si>
  <si>
    <t>Total C4-derived waste geenration post R&amp;S</t>
  </si>
  <si>
    <t>Adjusting factor for C4 recycling rates</t>
  </si>
  <si>
    <t>C4-adjusted Closed Loop recycling rates from packaging and consummer goods</t>
  </si>
  <si>
    <t>C4-adjusted Open Loop recycling rates from packaging and consummer goods</t>
  </si>
  <si>
    <t>C4-adjusted Overall recycling rates from packaging and consummer goods</t>
  </si>
  <si>
    <t>% C4-adjusted recycling rate of Packaging and consummer goods to textile (via Open loop)</t>
  </si>
  <si>
    <t>% C4-adjusted recycling rate of Packaging and consummer goods to other (via Open Loop)</t>
  </si>
  <si>
    <t>% C4-adjusted recycling rate of Packaging and consummer goods to automotive (via Open Loop)</t>
  </si>
  <si>
    <t>% C4-adjusted recycling rate of Packaging and consummer goods to construction (via Open Loop)</t>
  </si>
  <si>
    <t>Recycling rate from https://www.goldsteinresearch.com/report/global-tire-recycling-industry-market-trends-analysis (100 millions/ 1 billion) the EPA says 18.2% in the US https://www.epa.gov/facts-and-figures-about-materials-waste-and-recycling/rubber-and-leather-material-specific-data</t>
  </si>
  <si>
    <t xml:space="preserve">https://www.goldsteinresearch.com/report/global-tire-recycling-industry-market-trends-analysis </t>
  </si>
  <si>
    <t>Assuming this is already only rubber</t>
  </si>
  <si>
    <t>C4-adjusted Closed Loop recycling rates from tranportation</t>
  </si>
  <si>
    <t>C4-adjusted Open Loop recycling rates from transportation</t>
  </si>
  <si>
    <t>C4-adjusted Overall recycling rates from transportation</t>
  </si>
  <si>
    <t>C4-adjusted % recycling rate of Automotive to construction (via Open loop)</t>
  </si>
  <si>
    <t>C4 adjusted % recycling rate of Automotive to packaging and consummer goods (via Open Loop)</t>
  </si>
  <si>
    <t>C4 adjusted % recycling rate of Automotive to others</t>
  </si>
  <si>
    <t>C4-adjusted % recycling rate of Apparel to construction (via Open loop)</t>
  </si>
  <si>
    <t>C4 adjusted % recycling rate of Apparel to others</t>
  </si>
  <si>
    <t>C4 adjusted construction recycling rate</t>
  </si>
  <si>
    <t>OVERALL C4-DERIVED RECYCLING RATES</t>
  </si>
  <si>
    <t>C4 recycling volumes</t>
  </si>
  <si>
    <t>C4 recycling rates volumes (BAU)</t>
  </si>
  <si>
    <t>C4 adjusted actual recycling TOTAL</t>
  </si>
  <si>
    <t>C4 adjusted sent to recycling TOTAL</t>
  </si>
  <si>
    <t>C4 adjusted sent to recycling from unformal</t>
  </si>
  <si>
    <t>C4 adjusted sent to recycling from MRF</t>
  </si>
  <si>
    <t>C4 adjusted sent to MRF TOTAL</t>
  </si>
  <si>
    <t>C4 adjusted sent to MRF from sorted at source</t>
  </si>
  <si>
    <t>C4 adjusted sent to MRF from mixed waste</t>
  </si>
  <si>
    <t>C4 adjusted losses from MRF, unformal and recycling</t>
  </si>
  <si>
    <t>C4-adjusted mixed waste to disposal</t>
  </si>
  <si>
    <t>Waste generation</t>
  </si>
  <si>
    <t>Data from closed LooP Partners</t>
  </si>
  <si>
    <t>Films</t>
  </si>
  <si>
    <t>Strapping</t>
  </si>
  <si>
    <t>Food Bottles</t>
  </si>
  <si>
    <t>Non-food bottles</t>
  </si>
  <si>
    <t>Lumber/decking</t>
  </si>
  <si>
    <t>B2B packaging (crates etc.)</t>
  </si>
  <si>
    <t>hh goods</t>
  </si>
  <si>
    <t>Exported</t>
  </si>
  <si>
    <t>same data reorganized</t>
  </si>
  <si>
    <t>Textile</t>
  </si>
  <si>
    <t>Recyclate breakdown</t>
  </si>
  <si>
    <t>Overall from BPW: breakdown for the US from https://www.closedlooppartners.com/research/us-and-canada-recycling-infrastructure-and-plastic-waste-map/?preview=true</t>
  </si>
  <si>
    <t>Overall comes from OECD, breakdown from PlasticsEurope https://www.plasticseurope.org/application/files/6315/5730/5565/BC_Table.pdf assuming recycling rates for others is evenly spread for PU</t>
  </si>
  <si>
    <t>Overall comes from OECD, From CPA data EU state of Pay Collection and Sorting (infographics) https://ec.europa.eu/docsroom/documents/43694 p22</t>
  </si>
  <si>
    <t>EMF - A New Textile industry - 2018 // No information - so evenly split based on waste generation / negligible given PET is the wider share</t>
  </si>
  <si>
    <t>Overall comes from OECD (for all other secotrs), No data so evenly split based on waste generation</t>
  </si>
  <si>
    <t>Recyclate production</t>
  </si>
  <si>
    <t>2020 - Adjusting factors</t>
  </si>
  <si>
    <t>Molar mass ratios</t>
  </si>
  <si>
    <t>Other (transportation)</t>
  </si>
  <si>
    <t>Other (apparel)</t>
  </si>
  <si>
    <t>%E</t>
  </si>
  <si>
    <t>Adjusted total</t>
  </si>
  <si>
    <t>Recyclates</t>
  </si>
  <si>
    <t>Adjusted recyclates</t>
  </si>
  <si>
    <t>Adjusted recycling rates</t>
  </si>
  <si>
    <t>A category can be higher than 100% when atoms are lost i.e. Methanol the OH is typically not present in the end molecule</t>
  </si>
  <si>
    <t>Share of chemical pr waste generated</t>
  </si>
  <si>
    <t>2020 - Adjusting factors by chemical</t>
  </si>
  <si>
    <t>2050 - Adjusting factors by chemical</t>
  </si>
  <si>
    <t>If 0</t>
  </si>
  <si>
    <t>0-0.5</t>
  </si>
  <si>
    <t>0.5-0.9</t>
  </si>
  <si>
    <t>0.9-1.1</t>
  </si>
  <si>
    <t>&gt;1.1</t>
  </si>
  <si>
    <t>2050 - Recycling rates</t>
  </si>
  <si>
    <t>CL</t>
  </si>
  <si>
    <t>OL to textiles</t>
  </si>
  <si>
    <t>OL automotive</t>
  </si>
  <si>
    <t>OL to constrution</t>
  </si>
  <si>
    <t>OL to others</t>
  </si>
  <si>
    <t>Unknown so assumed it is the same as recyclate production</t>
  </si>
  <si>
    <t>Assuming it's will be same as production</t>
  </si>
  <si>
    <t>OL to construction</t>
  </si>
  <si>
    <t>OL packaging</t>
  </si>
  <si>
    <t>From CLP</t>
  </si>
  <si>
    <t>Molar mass</t>
  </si>
  <si>
    <t>via OECD report: Improving Markets for Recycled Plastics, 2018: https://www.oecd.org/env/improving-markets-for-recycled-plastics-9789264301016-en.htm</t>
  </si>
  <si>
    <t>Consumer</t>
  </si>
  <si>
    <t>Electrical</t>
  </si>
  <si>
    <t>Industrial Machinary</t>
  </si>
  <si>
    <t>from EMF report : A New Textile Economy, 2017: 54*0.63 - given textile in OECD report is 100% PPA, we assumed it includes no apparel</t>
  </si>
  <si>
    <t>Assumption waste growth 2015-2020 from BPW</t>
  </si>
  <si>
    <t>Ethylene [99.2] Polyethylene</t>
  </si>
  <si>
    <t>Ethylene [22.8] Ethylene Oxide</t>
  </si>
  <si>
    <t>Ethylene [19.5] Ethylene Dichloride</t>
  </si>
  <si>
    <t>Ethylene [9.8] Ethylbenzene</t>
  </si>
  <si>
    <t>Ethylene [11.4] Others</t>
  </si>
  <si>
    <t>Polyethylene [44.6] HDPE</t>
  </si>
  <si>
    <t>Polyethylene [54.6] LDPE</t>
  </si>
  <si>
    <t>Ethylene Oxide [3.8] PET</t>
  </si>
  <si>
    <t>Ethylene Oxide [6.9] PET fibres</t>
  </si>
  <si>
    <t>Ethylene Oxide [12.1] Others</t>
  </si>
  <si>
    <t>Ethylene Dichloride [18.7] PVC</t>
  </si>
  <si>
    <t>Ethylene Dichloride [0.8] Others</t>
  </si>
  <si>
    <t>Ethylbenzene [4.5] PS</t>
  </si>
  <si>
    <t>Ethylbenzene [5.3] Others</t>
  </si>
  <si>
    <t>Simplied?</t>
  </si>
  <si>
    <t>From</t>
  </si>
  <si>
    <t>To</t>
  </si>
  <si>
    <t>Alternative description (if other)</t>
  </si>
  <si>
    <t>Classification</t>
  </si>
  <si>
    <t>Classification 2.0</t>
  </si>
  <si>
    <t>Final or intermediate</t>
  </si>
  <si>
    <t>Percentage</t>
  </si>
  <si>
    <t>Amount (Mt Methanol)</t>
  </si>
  <si>
    <t>Stochiometry</t>
  </si>
  <si>
    <t>Mt starting material</t>
  </si>
  <si>
    <t>t starting material / t product</t>
  </si>
  <si>
    <t>Mt end product</t>
  </si>
  <si>
    <t>Colour</t>
  </si>
  <si>
    <t>Sankey Code</t>
  </si>
  <si>
    <t>I</t>
  </si>
  <si>
    <t>Flows</t>
  </si>
  <si>
    <t>#0000FF</t>
  </si>
  <si>
    <t>Yellow</t>
  </si>
  <si>
    <t>#FFFF00</t>
  </si>
  <si>
    <t>Methyl tert-Butyl Ether (MTBE)</t>
  </si>
  <si>
    <t>Default Flow</t>
  </si>
  <si>
    <t>Dark Grey</t>
  </si>
  <si>
    <t>#A9A9A9</t>
  </si>
  <si>
    <t>Brown</t>
  </si>
  <si>
    <t>#964B00</t>
  </si>
  <si>
    <t>Methyl Methacrylate (MMA)</t>
  </si>
  <si>
    <t>Purple</t>
  </si>
  <si>
    <t>#CC66FF</t>
  </si>
  <si>
    <t>Biodiesel</t>
  </si>
  <si>
    <t>Dimethylether (DME)</t>
  </si>
  <si>
    <t>Gasoline Blending &amp; Combustion</t>
  </si>
  <si>
    <t>Fuel Cells</t>
  </si>
  <si>
    <t>Row Labels</t>
  </si>
  <si>
    <t>Sum of Amount (Mt Methanol)</t>
  </si>
  <si>
    <t>Fuel blend</t>
  </si>
  <si>
    <t>(blank)</t>
  </si>
  <si>
    <t>Grand Total</t>
  </si>
  <si>
    <t>Carbamide-methanal resins (UF)</t>
  </si>
  <si>
    <t>Phenolic Resins (PF)</t>
  </si>
  <si>
    <t>Corrected</t>
  </si>
  <si>
    <t>Melamine Resins</t>
  </si>
  <si>
    <t>Major Polymers</t>
  </si>
  <si>
    <t>Polyacetal resins (polyoxymethylene)</t>
  </si>
  <si>
    <t>Minor Polymers</t>
  </si>
  <si>
    <t>Methylene diphenyl diisocyanate</t>
  </si>
  <si>
    <t>1,4-butanediol</t>
  </si>
  <si>
    <t>Polyethylene (PE)</t>
  </si>
  <si>
    <t>High-density Polyethylene (HDPE)</t>
  </si>
  <si>
    <t>Low-density Polyethylene (LDPE)</t>
  </si>
  <si>
    <t>Polyurethane (PU)</t>
  </si>
  <si>
    <t>Polyvinylchloride (PVC)</t>
  </si>
  <si>
    <t>Polystyrene (PS)</t>
  </si>
  <si>
    <t>Polypropylene (PP)</t>
  </si>
  <si>
    <t>Vinyl acetate monomer (VAM)</t>
  </si>
  <si>
    <t>Acetate esters</t>
  </si>
  <si>
    <t>Acetic anhydride</t>
  </si>
  <si>
    <t>Methyl Chlorides</t>
  </si>
  <si>
    <t>Methylamines</t>
  </si>
  <si>
    <t>Dimethyl terephthalate (DMT)</t>
  </si>
  <si>
    <t>Methanethiol</t>
  </si>
  <si>
    <t>Polymethyl methacrylate (PMMA)</t>
  </si>
  <si>
    <t>Polyvinyl acetate (PVA)</t>
  </si>
  <si>
    <t>Polyethylene terephthalate (PET)</t>
  </si>
  <si>
    <t>THF</t>
  </si>
  <si>
    <t>Polypropylene PP (ex-fibre)</t>
  </si>
  <si>
    <t>Polypropylene fibres</t>
  </si>
  <si>
    <t>Polyethylene terephthalate fibres (PET)</t>
  </si>
  <si>
    <t>Polyethylene terephthalate other (PET)</t>
  </si>
  <si>
    <t xml:space="preserve">Packaging and Household goods [7.9] Packaging and household goods </t>
  </si>
  <si>
    <t xml:space="preserve">Packaging and Household goods [14.5] Packaging and household goods </t>
  </si>
  <si>
    <t xml:space="preserve">Packaging and Household goods [8.6] Packaging and household goods </t>
  </si>
  <si>
    <t xml:space="preserve">Packaging and Household goods [23.6] Packaging and household goods </t>
  </si>
  <si>
    <t>Packaging and Household goods [13.8] Buildings and construction</t>
  </si>
  <si>
    <t>Packaging and Household goods [17.2] Buildings and construction</t>
  </si>
  <si>
    <t>Packaging and Household goods [14.8] Buildings and construction</t>
  </si>
  <si>
    <t>Packaging and Household goods [26.7] Buildings and construction</t>
  </si>
  <si>
    <t>Packaging and Household goods [1.4] textile</t>
  </si>
  <si>
    <t>Packaging and Household goods [0.9] textile</t>
  </si>
  <si>
    <t>Packaging and Household goods [0.8] others</t>
  </si>
  <si>
    <t>Packaging and Household goods [0.9] others</t>
  </si>
  <si>
    <t>Packaging and Household goods [1.1] others</t>
  </si>
  <si>
    <t>Packaging and Household goods [3.3] others</t>
  </si>
  <si>
    <t>Transportation [0.1] transportation</t>
  </si>
  <si>
    <t>Transportation [1.9] transportation</t>
  </si>
  <si>
    <t>Transportation [5.0] transportation</t>
  </si>
  <si>
    <t>Transportation [0.1] Packaging and household goods</t>
  </si>
  <si>
    <t>Transportation [0.1] Buildings and construction</t>
  </si>
  <si>
    <t>Transportation [0.4] Buildings and construction</t>
  </si>
  <si>
    <t>Transportation [0.5] Buildings and construction</t>
  </si>
  <si>
    <t>Transportation [0.1] others</t>
  </si>
  <si>
    <t>Transportation [0.3] others</t>
  </si>
  <si>
    <t>Textile [0.1] textile</t>
  </si>
  <si>
    <t>Textile [0.4] textile</t>
  </si>
  <si>
    <t>Textile [0.3] others</t>
  </si>
  <si>
    <t>Textile [0.4] others</t>
  </si>
  <si>
    <t>Textile [0.3] Buildings and construction</t>
  </si>
  <si>
    <t>Textile [0.5] Buildings and construction</t>
  </si>
  <si>
    <t>Textile [0.4] Buildings and construction</t>
  </si>
  <si>
    <t>Others [1.4] others</t>
  </si>
  <si>
    <t>Others [7.0] others</t>
  </si>
  <si>
    <t>Others [2.9] others</t>
  </si>
  <si>
    <t>Others [14.4] others</t>
  </si>
  <si>
    <t>Buildings and Construction [0.3] Buildings and construction</t>
  </si>
  <si>
    <t>Buildings and Construction [5.0] Buildings and construction</t>
  </si>
  <si>
    <t>Buildings and Construction [5.8] Buildings and construction</t>
  </si>
  <si>
    <t>BUSINESS-AS-USUAL - BUSINESS-AS-USUAL</t>
  </si>
  <si>
    <t>BUSINESS-AS-USUAL - MOST ECONOMIC</t>
  </si>
  <si>
    <t>BAU Most Economic</t>
  </si>
  <si>
    <t>Production Sceanrio</t>
  </si>
  <si>
    <t>RR</t>
  </si>
  <si>
    <t>Pack</t>
  </si>
  <si>
    <t>Building</t>
  </si>
  <si>
    <t>Subsitution</t>
  </si>
  <si>
    <t>Fashion</t>
  </si>
  <si>
    <t>Ferti</t>
  </si>
  <si>
    <t>Remaining demand</t>
  </si>
  <si>
    <t>Total demand 2050</t>
  </si>
  <si>
    <t>Closed loop</t>
  </si>
  <si>
    <t>METHANOL DEMAND</t>
  </si>
  <si>
    <t>Increase in food demand</t>
  </si>
  <si>
    <t>2050 Net Zero</t>
  </si>
  <si>
    <t>Reduced fertilizer demand</t>
  </si>
  <si>
    <t>Base</t>
  </si>
  <si>
    <t>Olefins DEMAND</t>
  </si>
  <si>
    <t>Eth</t>
  </si>
  <si>
    <t>Prop</t>
  </si>
  <si>
    <t>Olefins</t>
  </si>
  <si>
    <t>But</t>
  </si>
  <si>
    <t>Aromatics DEMAND</t>
  </si>
  <si>
    <t>Mech</t>
  </si>
  <si>
    <t>% PET  in xylenes</t>
  </si>
  <si>
    <t>Box #1 Feedstock</t>
  </si>
  <si>
    <t>Note Point source can come from within or other industries</t>
  </si>
  <si>
    <t>No quanitfication has been made but it must be shown visually</t>
  </si>
  <si>
    <t>For Most Economic / Low circularity - 2050</t>
  </si>
  <si>
    <t>Mt in 2050</t>
  </si>
  <si>
    <t>Total utility:</t>
  </si>
  <si>
    <t>Sankey - For Carbon only !!</t>
  </si>
  <si>
    <t>Box #2: Chemical Production</t>
  </si>
  <si>
    <t>Box #3: Product Manufacturing</t>
  </si>
  <si>
    <t>Not shown</t>
  </si>
  <si>
    <t>Chemical production</t>
  </si>
  <si>
    <t>Mechanical recycling</t>
  </si>
  <si>
    <t>Product Manufacturing</t>
  </si>
  <si>
    <t>Box #4: Use Phase</t>
  </si>
  <si>
    <t>Total use:</t>
  </si>
  <si>
    <t>Total manufacturing:</t>
  </si>
  <si>
    <t>Box #5: End-of-use</t>
  </si>
  <si>
    <t>Total end-of-use</t>
  </si>
  <si>
    <t>Note Point source /waste can come from within or other industries</t>
  </si>
  <si>
    <t>Number in yellow estimated from the demand model (feedstock in t of C for Ar&amp;Ol excluding hydrogen)</t>
  </si>
  <si>
    <t>For No fossil after X / Low circularity - 2050</t>
  </si>
  <si>
    <t>For 2020</t>
  </si>
  <si>
    <t>Ammonia &amp; derivatives</t>
  </si>
  <si>
    <t>Ammonium nitrate</t>
  </si>
  <si>
    <t>Other Fertilizers</t>
  </si>
  <si>
    <t>Marine Transport</t>
  </si>
  <si>
    <t>Power Generation</t>
  </si>
  <si>
    <t>Reduced  demand</t>
  </si>
  <si>
    <t>Reduced demand</t>
  </si>
  <si>
    <t>R&amp;S&amp;Recycling(mech&amp;chem)</t>
  </si>
  <si>
    <t>CSS</t>
  </si>
  <si>
    <t>BUSINESS-AS-USUAL MOST ECONOMIC</t>
  </si>
  <si>
    <t>Open loop out of total recycling</t>
  </si>
  <si>
    <t>Total demand 2020</t>
  </si>
  <si>
    <t>% of 2020 demand</t>
  </si>
  <si>
    <t>Required Investment</t>
  </si>
  <si>
    <t xml:space="preserve">This workbook describes all the demand side input data for the Python model. </t>
  </si>
  <si>
    <t>In an effort to create this model with as much open-source data as possible, numerous simplifications and assumption had to be taken. These are tracked as far as possible, but a few sub-models that feed into this input workbook could not directly be included herein.</t>
  </si>
  <si>
    <t>Sheet name</t>
  </si>
  <si>
    <t>Discription</t>
  </si>
  <si>
    <t>Final Exhibits</t>
  </si>
  <si>
    <t>Job + CO2 Analysis</t>
  </si>
  <si>
    <t>Side calc.</t>
  </si>
  <si>
    <t>Yearly Summary</t>
  </si>
  <si>
    <t xml:space="preserve">Yearly XX </t>
  </si>
  <si>
    <t>Scope 3 Summary</t>
  </si>
  <si>
    <t>Scope 3 Yearly</t>
  </si>
  <si>
    <t>Per Capita Plastic</t>
  </si>
  <si>
    <t>Demand Breakdown</t>
  </si>
  <si>
    <t>Demand Solar/Wind</t>
  </si>
  <si>
    <t>Demand Industry Shares</t>
  </si>
  <si>
    <t>R&amp;S - XX</t>
  </si>
  <si>
    <t>XX - Recycling</t>
  </si>
  <si>
    <t>XX - Recycling rates</t>
  </si>
  <si>
    <t>Waste gen. - Industry shares</t>
  </si>
  <si>
    <t>Sankey XX</t>
  </si>
  <si>
    <t>Material flow Sankey across life cycle stage</t>
  </si>
  <si>
    <t>Demand side summary figures as shown in Planet Positive Chemicals</t>
  </si>
  <si>
    <t>Jobs creation &amp; CO2 emissions of demand side measures</t>
  </si>
  <si>
    <t>Useful side calculation</t>
  </si>
  <si>
    <t>Yearly demand by chemical and pyrolysis oil availability across scenarios</t>
  </si>
  <si>
    <t>Yearly mass flow breakdown and demand evolution by chemical</t>
  </si>
  <si>
    <t>Scope 3 emissions factors by chemical/year</t>
  </si>
  <si>
    <t>Scope 3 emissions factors by end of life treatment</t>
  </si>
  <si>
    <t>Geographical per capita plastics demand analysis &amp; comparison</t>
  </si>
  <si>
    <t>Yearly Demand XX</t>
  </si>
  <si>
    <t>Demand baseline assumptions per chemical</t>
  </si>
  <si>
    <t>Demand breakdown by sub chemicals &amp; applications</t>
  </si>
  <si>
    <t>Increased demand due to new use cases</t>
  </si>
  <si>
    <t>Demand by sectors</t>
  </si>
  <si>
    <t>Reduction and Substitution levers across different sectors</t>
  </si>
  <si>
    <t>Recycling levers across different sectors</t>
  </si>
  <si>
    <t>Recycling rates across different sectors</t>
  </si>
  <si>
    <t>Waste by different sectors</t>
  </si>
  <si>
    <t>Sankey of demand breakdown by chemical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</si>
</sst>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8">
    <numFmt numFmtId="43" formatCode="_(* #,##0.00_);_(* \(#,##0.00\);_(* &quot;-&quot;??_);_(@_)"/>
    <numFmt numFmtId="164" formatCode="_-* #,##0.00_-;\-* #,##0.00_-;_-* &quot;-&quot;??_-;_-@_-"/>
    <numFmt numFmtId="165" formatCode="0.0%"/>
    <numFmt numFmtId="166" formatCode="0.0"/>
    <numFmt numFmtId="167" formatCode="_-* #,##0_-;\-* #,##0_-;_-* &quot;-&quot;??_-;_-@_-"/>
    <numFmt numFmtId="168" formatCode="_-* #,##0.0_-;\-* #,##0.0_-;_-* &quot;-&quot;??_-;_-@_-"/>
    <numFmt numFmtId="169" formatCode="0.0000"/>
    <numFmt numFmtId="170" formatCode="0.000000"/>
    <numFmt numFmtId="171" formatCode="0.0000000000000000%"/>
    <numFmt numFmtId="172" formatCode="0.000000000000000%"/>
    <numFmt numFmtId="173" formatCode="_-* #,##0.0_-;\-* #,##0.0_-;_-* &quot;-&quot;?_-;_-@_-"/>
    <numFmt numFmtId="174" formatCode="#,##0.0"/>
    <numFmt numFmtId="175" formatCode="#,##0.000"/>
    <numFmt numFmtId="176" formatCode="0.000"/>
    <numFmt numFmtId="177" formatCode="0.000%"/>
    <numFmt numFmtId="178" formatCode="_-* #,##0.000_-;\-* #,##0.000_-;_-* &quot;-&quot;??_-;_-@_-"/>
    <numFmt numFmtId="179" formatCode="_(* #,##0.0_);_(* \(#,##0.0\);_(* &quot;-&quot;??_);_(@_)"/>
    <numFmt numFmtId="180" formatCode="0.00000000000000"/>
  </numFmts>
  <fonts count="49" x14ac:knownFonts="1">
    <font>
      <sz val="11"/>
      <color theme="1"/>
      <name val="Calibri"/>
      <family val="2"/>
      <scheme val="minor"/>
    </font>
    <font>
      <sz val="11"/>
      <color theme="1"/>
      <name val="Calibri"/>
      <family val="2"/>
      <scheme val="minor"/>
    </font>
    <font>
      <b/>
      <sz val="11"/>
      <color rgb="FFFA7D00"/>
      <name val="Calibri"/>
      <family val="2"/>
      <scheme val="minor"/>
    </font>
    <font>
      <b/>
      <sz val="11"/>
      <color theme="1"/>
      <name val="Calibri"/>
      <family val="2"/>
      <scheme val="minor"/>
    </font>
    <font>
      <u/>
      <sz val="11"/>
      <color theme="10"/>
      <name val="Calibri"/>
      <family val="2"/>
      <scheme val="minor"/>
    </font>
    <font>
      <sz val="11"/>
      <color theme="1" tint="0.499984740745262"/>
      <name val="Calibri"/>
      <family val="2"/>
      <scheme val="minor"/>
    </font>
    <font>
      <b/>
      <sz val="14"/>
      <color theme="1"/>
      <name val="Calibri"/>
      <family val="2"/>
      <scheme val="minor"/>
    </font>
    <font>
      <sz val="7"/>
      <color rgb="FF000000"/>
      <name val="Century Gothic"/>
      <family val="2"/>
    </font>
    <font>
      <sz val="11"/>
      <name val="Calibri"/>
      <family val="2"/>
      <scheme val="minor"/>
    </font>
    <font>
      <sz val="11"/>
      <color rgb="FFFF0000"/>
      <name val="Calibri"/>
      <family val="2"/>
      <scheme val="minor"/>
    </font>
    <font>
      <sz val="11"/>
      <color rgb="FF4472C4"/>
      <name val="Calibri"/>
      <family val="2"/>
      <scheme val="minor"/>
    </font>
    <font>
      <b/>
      <sz val="11"/>
      <color rgb="FF4472C4"/>
      <name val="Calibri"/>
      <family val="2"/>
      <scheme val="minor"/>
    </font>
    <font>
      <sz val="11"/>
      <color rgb="FF000000"/>
      <name val="Calibri"/>
      <family val="2"/>
      <scheme val="minor"/>
    </font>
    <font>
      <sz val="11"/>
      <color theme="4"/>
      <name val="Calibri"/>
      <family val="2"/>
      <scheme val="minor"/>
    </font>
    <font>
      <i/>
      <sz val="11"/>
      <color theme="1"/>
      <name val="Calibri"/>
      <family val="2"/>
      <scheme val="minor"/>
    </font>
    <font>
      <b/>
      <i/>
      <sz val="11"/>
      <color theme="1"/>
      <name val="Calibri"/>
      <family val="2"/>
      <scheme val="minor"/>
    </font>
    <font>
      <b/>
      <sz val="11"/>
      <color theme="1"/>
      <name val="Calibri"/>
      <family val="2"/>
    </font>
    <font>
      <sz val="11"/>
      <color theme="0"/>
      <name val="Calibri"/>
      <family val="2"/>
      <scheme val="minor"/>
    </font>
    <font>
      <sz val="11"/>
      <color theme="8"/>
      <name val="Calibri"/>
      <family val="2"/>
      <scheme val="minor"/>
    </font>
    <font>
      <sz val="11"/>
      <color theme="10"/>
      <name val="Calibri"/>
      <family val="2"/>
      <scheme val="minor"/>
    </font>
    <font>
      <sz val="8"/>
      <name val="Calibri"/>
      <family val="2"/>
      <scheme val="minor"/>
    </font>
    <font>
      <sz val="11"/>
      <color theme="9"/>
      <name val="Calibri"/>
      <family val="2"/>
      <scheme val="minor"/>
    </font>
    <font>
      <i/>
      <sz val="11"/>
      <color rgb="FFFF0000"/>
      <name val="Calibri"/>
      <family val="2"/>
      <scheme val="minor"/>
    </font>
    <font>
      <b/>
      <i/>
      <sz val="11"/>
      <color rgb="FFFF0000"/>
      <name val="Calibri"/>
      <family val="2"/>
      <scheme val="minor"/>
    </font>
    <font>
      <b/>
      <sz val="11"/>
      <name val="Calibri"/>
      <family val="2"/>
      <scheme val="minor"/>
    </font>
    <font>
      <sz val="10"/>
      <color rgb="FF000000"/>
      <name val="Times New Roman"/>
      <family val="1"/>
    </font>
    <font>
      <i/>
      <sz val="10"/>
      <color rgb="FF000000"/>
      <name val="Times New Roman"/>
      <family val="1"/>
    </font>
    <font>
      <sz val="10"/>
      <color rgb="FF000000"/>
      <name val="Calibri"/>
      <family val="2"/>
      <scheme val="minor"/>
    </font>
    <font>
      <i/>
      <u/>
      <sz val="11"/>
      <color theme="10"/>
      <name val="Calibri"/>
      <family val="2"/>
      <scheme val="minor"/>
    </font>
    <font>
      <b/>
      <sz val="11"/>
      <color theme="4"/>
      <name val="Calibri"/>
      <family val="2"/>
      <scheme val="minor"/>
    </font>
    <font>
      <i/>
      <sz val="11"/>
      <name val="Calibri"/>
      <family val="2"/>
      <scheme val="minor"/>
    </font>
    <font>
      <b/>
      <i/>
      <sz val="11"/>
      <name val="Calibri"/>
      <family val="2"/>
      <scheme val="minor"/>
    </font>
    <font>
      <i/>
      <sz val="11"/>
      <color theme="4"/>
      <name val="Calibri"/>
      <family val="2"/>
      <scheme val="minor"/>
    </font>
    <font>
      <b/>
      <sz val="11"/>
      <color theme="8"/>
      <name val="Calibri"/>
      <family val="2"/>
      <scheme val="minor"/>
    </font>
    <font>
      <b/>
      <sz val="11"/>
      <color theme="9"/>
      <name val="Calibri"/>
      <family val="2"/>
      <scheme val="minor"/>
    </font>
    <font>
      <b/>
      <sz val="11"/>
      <color rgb="FFFF0000"/>
      <name val="Calibri"/>
      <family val="2"/>
      <scheme val="minor"/>
    </font>
    <font>
      <sz val="11"/>
      <color rgb="FF202122"/>
      <name val="Arial"/>
      <family val="2"/>
    </font>
    <font>
      <vertAlign val="subscript"/>
      <sz val="11"/>
      <color rgb="FF202122"/>
      <name val="Arial"/>
      <family val="2"/>
    </font>
    <font>
      <sz val="10"/>
      <name val="Arial"/>
      <family val="2"/>
    </font>
    <font>
      <sz val="11"/>
      <color theme="1"/>
      <name val="Calibri"/>
      <family val="2"/>
    </font>
    <font>
      <sz val="11"/>
      <name val="Calibri"/>
      <family val="2"/>
    </font>
    <font>
      <b/>
      <sz val="11"/>
      <color rgb="FF000000"/>
      <name val="Calibri"/>
      <family val="2"/>
    </font>
    <font>
      <sz val="11"/>
      <color rgb="FF4472C4"/>
      <name val="Calibri"/>
      <family val="2"/>
    </font>
    <font>
      <sz val="11"/>
      <color rgb="FF000000"/>
      <name val="Calibri"/>
      <family val="2"/>
    </font>
    <font>
      <sz val="11"/>
      <color rgb="FF3C383A"/>
      <name val="Calibri"/>
      <family val="2"/>
      <scheme val="minor"/>
    </font>
    <font>
      <b/>
      <sz val="10"/>
      <name val="Arial"/>
      <family val="2"/>
    </font>
    <font>
      <b/>
      <u/>
      <sz val="11"/>
      <color theme="10"/>
      <name val="Calibri"/>
      <family val="2"/>
      <scheme val="minor"/>
    </font>
    <font>
      <b/>
      <u/>
      <sz val="11"/>
      <color theme="1"/>
      <name val="Calibri"/>
      <family val="2"/>
      <scheme val="minor"/>
    </font>
    <font>
      <sz val="12"/>
      <color rgb="FF3F3F76"/>
      <name val="Calibri"/>
      <family val="2"/>
      <scheme val="minor"/>
    </font>
  </fonts>
  <fills count="17">
    <fill>
      <patternFill patternType="none"/>
    </fill>
    <fill>
      <patternFill patternType="gray125"/>
    </fill>
    <fill>
      <patternFill patternType="solid">
        <fgColor rgb="FFF2F2F2"/>
      </patternFill>
    </fill>
    <fill>
      <patternFill patternType="solid">
        <fgColor theme="7"/>
        <bgColor indexed="64"/>
      </patternFill>
    </fill>
    <fill>
      <patternFill patternType="solid">
        <fgColor theme="5"/>
        <bgColor indexed="64"/>
      </patternFill>
    </fill>
    <fill>
      <patternFill patternType="solid">
        <fgColor theme="9"/>
        <bgColor indexed="64"/>
      </patternFill>
    </fill>
    <fill>
      <patternFill patternType="solid">
        <fgColor rgb="FFFFFF00"/>
        <bgColor indexed="64"/>
      </patternFill>
    </fill>
    <fill>
      <patternFill patternType="solid">
        <fgColor theme="4"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5" tint="0.59999389629810485"/>
        <bgColor indexed="64"/>
      </patternFill>
    </fill>
    <fill>
      <patternFill patternType="solid">
        <fgColor rgb="FFFFC000"/>
        <bgColor indexed="64"/>
      </patternFill>
    </fill>
    <fill>
      <patternFill patternType="solid">
        <fgColor theme="0"/>
        <bgColor indexed="64"/>
      </patternFill>
    </fill>
    <fill>
      <patternFill patternType="solid">
        <fgColor rgb="FFFFCC99"/>
      </patternFill>
    </fill>
  </fills>
  <borders count="50">
    <border>
      <left/>
      <right/>
      <top/>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thin">
        <color rgb="FF000000"/>
      </bottom>
      <diagonal/>
    </border>
    <border>
      <left/>
      <right/>
      <top style="thin">
        <color rgb="FF000000"/>
      </top>
      <bottom style="double">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style="medium">
        <color rgb="FF000000"/>
      </left>
      <right/>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top style="thin">
        <color rgb="FF000000"/>
      </top>
      <bottom/>
      <diagonal/>
    </border>
    <border>
      <left/>
      <right/>
      <top style="thin">
        <color indexed="64"/>
      </top>
      <bottom/>
      <diagonal/>
    </border>
    <border>
      <left/>
      <right/>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top style="thin">
        <color indexed="64"/>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medium">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right/>
      <top style="thin">
        <color indexed="64"/>
      </top>
      <bottom style="double">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
      <left style="thin">
        <color rgb="FF000000"/>
      </left>
      <right style="thin">
        <color rgb="FF000000"/>
      </right>
      <top style="thin">
        <color indexed="64"/>
      </top>
      <bottom style="thin">
        <color indexed="64"/>
      </bottom>
      <diagonal/>
    </border>
    <border>
      <left/>
      <right style="thin">
        <color rgb="FF000000"/>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rgb="FF000000"/>
      </left>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s>
  <cellStyleXfs count="23">
    <xf numFmtId="0" fontId="0" fillId="0" borderId="0"/>
    <xf numFmtId="9" fontId="1" fillId="0" borderId="0" applyFont="0" applyFill="0" applyBorder="0" applyAlignment="0" applyProtection="0"/>
    <xf numFmtId="0" fontId="2" fillId="2" borderId="1" applyNumberFormat="0" applyAlignment="0" applyProtection="0"/>
    <xf numFmtId="0" fontId="4" fillId="0" borderId="0" applyNumberFormat="0" applyFill="0" applyBorder="0" applyAlignment="0" applyProtection="0"/>
    <xf numFmtId="0" fontId="8" fillId="0" borderId="0"/>
    <xf numFmtId="0" fontId="1" fillId="0" borderId="0"/>
    <xf numFmtId="9" fontId="1" fillId="0" borderId="0" applyFont="0" applyFill="0" applyBorder="0" applyAlignment="0" applyProtection="0"/>
    <xf numFmtId="0" fontId="8" fillId="0" borderId="0"/>
    <xf numFmtId="164" fontId="1" fillId="0" borderId="0" applyFont="0" applyFill="0" applyBorder="0" applyAlignment="0" applyProtection="0"/>
    <xf numFmtId="0" fontId="1" fillId="0" borderId="0"/>
    <xf numFmtId="0" fontId="1" fillId="0" borderId="0"/>
    <xf numFmtId="0" fontId="25" fillId="0" borderId="0"/>
    <xf numFmtId="0" fontId="1" fillId="0" borderId="0"/>
    <xf numFmtId="0" fontId="1" fillId="0" borderId="0"/>
    <xf numFmtId="0" fontId="38" fillId="0" borderId="0"/>
    <xf numFmtId="9" fontId="1" fillId="0" borderId="0" applyFont="0" applyFill="0" applyBorder="0" applyAlignment="0" applyProtection="0"/>
    <xf numFmtId="0" fontId="1" fillId="0" borderId="0"/>
    <xf numFmtId="0" fontId="1" fillId="0" borderId="0"/>
    <xf numFmtId="0" fontId="1" fillId="0" borderId="0"/>
    <xf numFmtId="9" fontId="1" fillId="0" borderId="0" applyFont="0" applyFill="0" applyBorder="0" applyAlignment="0" applyProtection="0"/>
    <xf numFmtId="164" fontId="1" fillId="0" borderId="0" applyFont="0" applyFill="0" applyBorder="0" applyAlignment="0" applyProtection="0"/>
    <xf numFmtId="0" fontId="1" fillId="0" borderId="0"/>
    <xf numFmtId="0" fontId="48" fillId="16" borderId="1" applyNumberFormat="0" applyAlignment="0" applyProtection="0"/>
  </cellStyleXfs>
  <cellXfs count="698">
    <xf numFmtId="0" fontId="0" fillId="0" borderId="0" xfId="0"/>
    <xf numFmtId="0" fontId="3" fillId="0" borderId="0" xfId="0" applyFont="1"/>
    <xf numFmtId="9" fontId="0" fillId="0" borderId="0" xfId="1" applyFont="1"/>
    <xf numFmtId="0" fontId="0" fillId="0" borderId="0" xfId="0" applyAlignment="1">
      <alignment horizontal="left"/>
    </xf>
    <xf numFmtId="0" fontId="0" fillId="0" borderId="0" xfId="0" applyAlignment="1">
      <alignment horizontal="right"/>
    </xf>
    <xf numFmtId="0" fontId="4" fillId="0" borderId="0" xfId="3"/>
    <xf numFmtId="9" fontId="0" fillId="0" borderId="0" xfId="0" applyNumberFormat="1"/>
    <xf numFmtId="0" fontId="5" fillId="0" borderId="0" xfId="0" applyFont="1"/>
    <xf numFmtId="9" fontId="3" fillId="0" borderId="0" xfId="0" applyNumberFormat="1" applyFont="1"/>
    <xf numFmtId="0" fontId="0" fillId="3" borderId="0" xfId="0" applyFill="1"/>
    <xf numFmtId="0" fontId="0" fillId="4" borderId="0" xfId="0" applyFill="1"/>
    <xf numFmtId="0" fontId="0" fillId="0" borderId="2" xfId="0" applyBorder="1"/>
    <xf numFmtId="0" fontId="3" fillId="0" borderId="3" xfId="0" applyFont="1" applyBorder="1"/>
    <xf numFmtId="0" fontId="0" fillId="0" borderId="4" xfId="0" applyBorder="1" applyAlignment="1">
      <alignment horizontal="left"/>
    </xf>
    <xf numFmtId="9" fontId="0" fillId="0" borderId="5" xfId="0" applyNumberFormat="1" applyBorder="1"/>
    <xf numFmtId="0" fontId="0" fillId="0" borderId="4" xfId="0" applyBorder="1"/>
    <xf numFmtId="0" fontId="0" fillId="0" borderId="6" xfId="0" applyBorder="1" applyAlignment="1">
      <alignment horizontal="left"/>
    </xf>
    <xf numFmtId="9" fontId="0" fillId="0" borderId="7" xfId="0" applyNumberFormat="1" applyBorder="1"/>
    <xf numFmtId="0" fontId="0" fillId="0" borderId="6" xfId="0" applyBorder="1"/>
    <xf numFmtId="0" fontId="6" fillId="4" borderId="0" xfId="0" applyFont="1" applyFill="1" applyAlignment="1">
      <alignment vertical="center"/>
    </xf>
    <xf numFmtId="9" fontId="4" fillId="0" borderId="0" xfId="3" applyNumberFormat="1"/>
    <xf numFmtId="9" fontId="2" fillId="2" borderId="1" xfId="2" applyNumberFormat="1"/>
    <xf numFmtId="0" fontId="7" fillId="0" borderId="0" xfId="0" applyFont="1" applyAlignment="1">
      <alignment horizontal="left" vertical="center" readingOrder="1"/>
    </xf>
    <xf numFmtId="165" fontId="0" fillId="0" borderId="0" xfId="1" applyNumberFormat="1" applyFont="1"/>
    <xf numFmtId="10" fontId="0" fillId="0" borderId="0" xfId="1" applyNumberFormat="1" applyFont="1"/>
    <xf numFmtId="0" fontId="0" fillId="5" borderId="0" xfId="0" applyFill="1"/>
    <xf numFmtId="1" fontId="0" fillId="0" borderId="0" xfId="0" applyNumberFormat="1"/>
    <xf numFmtId="1" fontId="3" fillId="0" borderId="0" xfId="0" applyNumberFormat="1" applyFont="1"/>
    <xf numFmtId="0" fontId="0" fillId="0" borderId="0" xfId="0" applyAlignment="1">
      <alignment horizontal="center" vertical="center" wrapText="1"/>
    </xf>
    <xf numFmtId="0" fontId="3" fillId="0" borderId="0" xfId="0" applyFont="1" applyAlignment="1">
      <alignment horizontal="center" vertical="center" wrapText="1"/>
    </xf>
    <xf numFmtId="0" fontId="8" fillId="0" borderId="0" xfId="7" applyAlignment="1">
      <alignment horizontal="left"/>
    </xf>
    <xf numFmtId="0" fontId="3" fillId="0" borderId="8" xfId="0" applyFont="1" applyBorder="1"/>
    <xf numFmtId="0" fontId="3" fillId="0" borderId="9" xfId="0" applyFont="1" applyBorder="1"/>
    <xf numFmtId="9" fontId="3" fillId="0" borderId="9" xfId="1" applyFont="1" applyBorder="1"/>
    <xf numFmtId="0" fontId="3" fillId="0" borderId="13" xfId="0" applyFont="1" applyBorder="1"/>
    <xf numFmtId="9" fontId="3" fillId="0" borderId="14" xfId="0" applyNumberFormat="1" applyFont="1" applyBorder="1"/>
    <xf numFmtId="9" fontId="3" fillId="0" borderId="15" xfId="0" applyNumberFormat="1" applyFont="1" applyBorder="1"/>
    <xf numFmtId="0" fontId="3" fillId="0" borderId="10" xfId="0" applyFont="1" applyBorder="1" applyAlignment="1">
      <alignment horizontal="left"/>
    </xf>
    <xf numFmtId="1" fontId="0" fillId="0" borderId="11" xfId="0" applyNumberFormat="1" applyBorder="1" applyAlignment="1">
      <alignment horizontal="right"/>
    </xf>
    <xf numFmtId="1" fontId="3" fillId="0" borderId="12" xfId="0" applyNumberFormat="1" applyFont="1" applyBorder="1" applyAlignment="1">
      <alignment horizontal="right"/>
    </xf>
    <xf numFmtId="165" fontId="0" fillId="0" borderId="11" xfId="0" applyNumberFormat="1" applyBorder="1" applyAlignment="1">
      <alignment horizontal="right"/>
    </xf>
    <xf numFmtId="165" fontId="0" fillId="0" borderId="0" xfId="0" applyNumberFormat="1"/>
    <xf numFmtId="165" fontId="3" fillId="0" borderId="12" xfId="0" applyNumberFormat="1" applyFont="1" applyBorder="1" applyAlignment="1">
      <alignment horizontal="right"/>
    </xf>
    <xf numFmtId="2" fontId="0" fillId="0" borderId="0" xfId="0" applyNumberFormat="1"/>
    <xf numFmtId="166" fontId="0" fillId="0" borderId="0" xfId="0" applyNumberFormat="1"/>
    <xf numFmtId="0" fontId="0" fillId="0" borderId="16" xfId="0" applyBorder="1"/>
    <xf numFmtId="0" fontId="3" fillId="0" borderId="17" xfId="0" applyFont="1" applyBorder="1"/>
    <xf numFmtId="165" fontId="11" fillId="0" borderId="0" xfId="0" applyNumberFormat="1" applyFont="1"/>
    <xf numFmtId="9" fontId="10" fillId="0" borderId="0" xfId="0" applyNumberFormat="1" applyFont="1"/>
    <xf numFmtId="166" fontId="0" fillId="0" borderId="0" xfId="0" applyNumberFormat="1" applyAlignment="1">
      <alignment horizontal="right"/>
    </xf>
    <xf numFmtId="0" fontId="12" fillId="0" borderId="0" xfId="0" applyFont="1"/>
    <xf numFmtId="0" fontId="13" fillId="0" borderId="0" xfId="0" applyFont="1"/>
    <xf numFmtId="0" fontId="3" fillId="7" borderId="0" xfId="0" applyFont="1" applyFill="1"/>
    <xf numFmtId="0" fontId="0" fillId="7" borderId="0" xfId="0" applyFill="1"/>
    <xf numFmtId="0" fontId="14" fillId="0" borderId="0" xfId="0" applyFont="1"/>
    <xf numFmtId="9" fontId="13" fillId="0" borderId="0" xfId="0" applyNumberFormat="1" applyFont="1"/>
    <xf numFmtId="9" fontId="13" fillId="0" borderId="0" xfId="1" applyFont="1"/>
    <xf numFmtId="165" fontId="10" fillId="0" borderId="0" xfId="0" applyNumberFormat="1" applyFont="1"/>
    <xf numFmtId="0" fontId="3" fillId="0" borderId="18" xfId="0" applyFont="1" applyBorder="1"/>
    <xf numFmtId="0" fontId="14" fillId="0" borderId="18" xfId="0" applyFont="1" applyBorder="1"/>
    <xf numFmtId="166" fontId="0" fillId="0" borderId="18" xfId="0" applyNumberFormat="1" applyBorder="1"/>
    <xf numFmtId="0" fontId="0" fillId="0" borderId="0" xfId="0" applyAlignment="1">
      <alignment horizontal="left" indent="1"/>
    </xf>
    <xf numFmtId="0" fontId="3" fillId="0" borderId="19" xfId="0" applyFont="1" applyBorder="1"/>
    <xf numFmtId="0" fontId="15" fillId="0" borderId="19" xfId="0" applyFont="1" applyBorder="1"/>
    <xf numFmtId="166" fontId="3" fillId="0" borderId="19" xfId="0" applyNumberFormat="1" applyFont="1" applyBorder="1"/>
    <xf numFmtId="0" fontId="15" fillId="0" borderId="0" xfId="0" applyFont="1"/>
    <xf numFmtId="166" fontId="3" fillId="0" borderId="0" xfId="0" applyNumberFormat="1" applyFont="1"/>
    <xf numFmtId="0" fontId="0" fillId="0" borderId="18" xfId="0" applyBorder="1"/>
    <xf numFmtId="0" fontId="0" fillId="0" borderId="19" xfId="0" applyBorder="1"/>
    <xf numFmtId="0" fontId="3" fillId="8" borderId="0" xfId="0" applyFont="1" applyFill="1"/>
    <xf numFmtId="0" fontId="15" fillId="8" borderId="0" xfId="0" applyFont="1" applyFill="1"/>
    <xf numFmtId="166" fontId="3" fillId="8" borderId="0" xfId="0" applyNumberFormat="1" applyFont="1" applyFill="1"/>
    <xf numFmtId="0" fontId="8" fillId="0" borderId="0" xfId="3" applyFont="1"/>
    <xf numFmtId="0" fontId="3" fillId="0" borderId="20" xfId="0" applyFont="1" applyBorder="1"/>
    <xf numFmtId="1" fontId="0" fillId="0" borderId="21" xfId="0" applyNumberFormat="1" applyBorder="1"/>
    <xf numFmtId="1" fontId="0" fillId="0" borderId="20" xfId="0" applyNumberFormat="1" applyBorder="1"/>
    <xf numFmtId="10" fontId="13" fillId="0" borderId="0" xfId="0" applyNumberFormat="1" applyFont="1"/>
    <xf numFmtId="9" fontId="3" fillId="0" borderId="21" xfId="1" applyFont="1" applyBorder="1"/>
    <xf numFmtId="166" fontId="3" fillId="0" borderId="21" xfId="0" applyNumberFormat="1" applyFont="1" applyBorder="1"/>
    <xf numFmtId="9" fontId="3" fillId="0" borderId="22" xfId="1" applyFont="1" applyBorder="1"/>
    <xf numFmtId="166" fontId="3" fillId="0" borderId="22" xfId="0" applyNumberFormat="1" applyFont="1" applyBorder="1"/>
    <xf numFmtId="0" fontId="3" fillId="0" borderId="23" xfId="0" applyFont="1" applyBorder="1"/>
    <xf numFmtId="0" fontId="0" fillId="0" borderId="23" xfId="0" applyBorder="1"/>
    <xf numFmtId="0" fontId="16" fillId="0" borderId="23" xfId="0" applyFont="1" applyBorder="1" applyAlignment="1">
      <alignment horizontal="center"/>
    </xf>
    <xf numFmtId="167" fontId="13" fillId="0" borderId="0" xfId="8" applyNumberFormat="1" applyFont="1"/>
    <xf numFmtId="167" fontId="0" fillId="0" borderId="0" xfId="0" applyNumberFormat="1"/>
    <xf numFmtId="0" fontId="3" fillId="8" borderId="23" xfId="0" applyFont="1" applyFill="1" applyBorder="1"/>
    <xf numFmtId="0" fontId="15" fillId="8" borderId="23" xfId="0" applyFont="1" applyFill="1" applyBorder="1"/>
    <xf numFmtId="167" fontId="3" fillId="8" borderId="23" xfId="0" applyNumberFormat="1" applyFont="1" applyFill="1" applyBorder="1"/>
    <xf numFmtId="0" fontId="3" fillId="8" borderId="24" xfId="0" applyFont="1" applyFill="1" applyBorder="1"/>
    <xf numFmtId="0" fontId="15" fillId="8" borderId="24" xfId="0" applyFont="1" applyFill="1" applyBorder="1"/>
    <xf numFmtId="167" fontId="3" fillId="8" borderId="24" xfId="0" applyNumberFormat="1" applyFont="1" applyFill="1" applyBorder="1"/>
    <xf numFmtId="0" fontId="3" fillId="0" borderId="13" xfId="0" applyFont="1" applyBorder="1" applyAlignment="1">
      <alignment horizontal="left"/>
    </xf>
    <xf numFmtId="1" fontId="0" fillId="0" borderId="14" xfId="0" applyNumberFormat="1" applyBorder="1" applyAlignment="1">
      <alignment horizontal="right"/>
    </xf>
    <xf numFmtId="1" fontId="3" fillId="0" borderId="15" xfId="0" applyNumberFormat="1" applyFont="1" applyBorder="1" applyAlignment="1">
      <alignment horizontal="right"/>
    </xf>
    <xf numFmtId="0" fontId="3" fillId="0" borderId="25" xfId="0" applyFont="1" applyBorder="1"/>
    <xf numFmtId="9" fontId="3" fillId="0" borderId="21" xfId="0" applyNumberFormat="1" applyFont="1" applyBorder="1"/>
    <xf numFmtId="9" fontId="3" fillId="0" borderId="26" xfId="0" applyNumberFormat="1" applyFont="1" applyBorder="1"/>
    <xf numFmtId="166" fontId="0" fillId="7" borderId="0" xfId="0" applyNumberFormat="1" applyFill="1"/>
    <xf numFmtId="1" fontId="8" fillId="0" borderId="0" xfId="0" applyNumberFormat="1" applyFont="1"/>
    <xf numFmtId="0" fontId="15" fillId="0" borderId="18" xfId="0" applyFont="1" applyBorder="1"/>
    <xf numFmtId="166" fontId="3" fillId="0" borderId="18" xfId="0" applyNumberFormat="1" applyFont="1" applyBorder="1"/>
    <xf numFmtId="0" fontId="3" fillId="8" borderId="27" xfId="0" applyFont="1" applyFill="1" applyBorder="1"/>
    <xf numFmtId="0" fontId="15" fillId="8" borderId="27" xfId="0" applyFont="1" applyFill="1" applyBorder="1"/>
    <xf numFmtId="0" fontId="0" fillId="8" borderId="27" xfId="0" applyFill="1" applyBorder="1"/>
    <xf numFmtId="166" fontId="3" fillId="8" borderId="27" xfId="0" applyNumberFormat="1" applyFont="1" applyFill="1" applyBorder="1"/>
    <xf numFmtId="165" fontId="9" fillId="0" borderId="0" xfId="1" applyNumberFormat="1" applyFont="1"/>
    <xf numFmtId="167" fontId="0" fillId="0" borderId="0" xfId="8" applyNumberFormat="1" applyFont="1"/>
    <xf numFmtId="0" fontId="1" fillId="0" borderId="0" xfId="10"/>
    <xf numFmtId="0" fontId="17" fillId="0" borderId="0" xfId="0" applyFont="1"/>
    <xf numFmtId="165" fontId="8" fillId="0" borderId="0" xfId="1" applyNumberFormat="1" applyFont="1"/>
    <xf numFmtId="167" fontId="9" fillId="0" borderId="0" xfId="8" applyNumberFormat="1" applyFont="1"/>
    <xf numFmtId="0" fontId="14" fillId="0" borderId="0" xfId="0" applyFont="1" applyAlignment="1">
      <alignment horizontal="right"/>
    </xf>
    <xf numFmtId="165" fontId="18" fillId="0" borderId="0" xfId="1" applyNumberFormat="1" applyFont="1"/>
    <xf numFmtId="0" fontId="19" fillId="0" borderId="0" xfId="3" applyFont="1"/>
    <xf numFmtId="0" fontId="1" fillId="0" borderId="0" xfId="0" applyFont="1"/>
    <xf numFmtId="9" fontId="1" fillId="0" borderId="0" xfId="1" applyFont="1"/>
    <xf numFmtId="167" fontId="1" fillId="0" borderId="0" xfId="8" applyNumberFormat="1" applyFont="1"/>
    <xf numFmtId="165" fontId="3" fillId="0" borderId="0" xfId="0" applyNumberFormat="1" applyFont="1"/>
    <xf numFmtId="0" fontId="3" fillId="0" borderId="0" xfId="8" applyNumberFormat="1" applyFont="1"/>
    <xf numFmtId="9" fontId="1" fillId="0" borderId="0" xfId="0" applyNumberFormat="1" applyFont="1"/>
    <xf numFmtId="165" fontId="1" fillId="0" borderId="0" xfId="1" applyNumberFormat="1" applyFont="1"/>
    <xf numFmtId="9" fontId="18" fillId="0" borderId="0" xfId="1" applyFont="1"/>
    <xf numFmtId="9" fontId="18" fillId="0" borderId="0" xfId="0" applyNumberFormat="1" applyFont="1"/>
    <xf numFmtId="9" fontId="3" fillId="0" borderId="0" xfId="1" applyFont="1"/>
    <xf numFmtId="9" fontId="21" fillId="0" borderId="0" xfId="1" applyFont="1"/>
    <xf numFmtId="165" fontId="21" fillId="0" borderId="0" xfId="1" applyNumberFormat="1" applyFont="1"/>
    <xf numFmtId="9" fontId="8" fillId="0" borderId="0" xfId="1" applyFont="1"/>
    <xf numFmtId="167" fontId="8" fillId="0" borderId="0" xfId="8" applyNumberFormat="1" applyFont="1"/>
    <xf numFmtId="165" fontId="8" fillId="0" borderId="0" xfId="0" applyNumberFormat="1" applyFont="1" applyAlignment="1">
      <alignment horizontal="left"/>
    </xf>
    <xf numFmtId="0" fontId="22" fillId="0" borderId="0" xfId="0" applyFont="1"/>
    <xf numFmtId="0" fontId="9" fillId="0" borderId="0" xfId="0" applyFont="1"/>
    <xf numFmtId="9" fontId="9" fillId="0" borderId="0" xfId="1" applyFont="1"/>
    <xf numFmtId="0" fontId="14" fillId="0" borderId="0" xfId="0" applyFont="1" applyAlignment="1">
      <alignment horizontal="right" wrapText="1"/>
    </xf>
    <xf numFmtId="0" fontId="0" fillId="0" borderId="0" xfId="0" applyAlignment="1">
      <alignment wrapText="1"/>
    </xf>
    <xf numFmtId="0" fontId="14" fillId="0" borderId="0" xfId="0" applyFont="1" applyAlignment="1">
      <alignment wrapText="1"/>
    </xf>
    <xf numFmtId="0" fontId="8" fillId="0" borderId="0" xfId="7" applyAlignment="1">
      <alignment horizontal="center" vertical="top" wrapText="1"/>
    </xf>
    <xf numFmtId="0" fontId="8" fillId="0" borderId="0" xfId="7"/>
    <xf numFmtId="0" fontId="24" fillId="0" borderId="0" xfId="7" applyFont="1" applyAlignment="1">
      <alignment horizontal="left" vertical="center" wrapText="1"/>
    </xf>
    <xf numFmtId="0" fontId="8" fillId="0" borderId="0" xfId="7" applyAlignment="1">
      <alignment horizontal="center" vertical="center" wrapText="1"/>
    </xf>
    <xf numFmtId="166" fontId="8" fillId="0" borderId="0" xfId="7" applyNumberFormat="1"/>
    <xf numFmtId="0" fontId="8" fillId="0" borderId="0" xfId="7" applyAlignment="1">
      <alignment wrapText="1"/>
    </xf>
    <xf numFmtId="0" fontId="3" fillId="0" borderId="0" xfId="0" applyFont="1" applyAlignment="1">
      <alignment vertical="center"/>
    </xf>
    <xf numFmtId="166" fontId="8" fillId="0" borderId="0" xfId="7" applyNumberFormat="1" applyAlignment="1">
      <alignment wrapText="1"/>
    </xf>
    <xf numFmtId="0" fontId="26" fillId="0" borderId="29" xfId="11" applyFont="1" applyBorder="1" applyAlignment="1">
      <alignment horizontal="left" vertical="top" wrapText="1"/>
    </xf>
    <xf numFmtId="0" fontId="24" fillId="0" borderId="28" xfId="11" applyFont="1" applyBorder="1" applyAlignment="1">
      <alignment horizontal="left" vertical="top" wrapText="1"/>
    </xf>
    <xf numFmtId="0" fontId="24" fillId="0" borderId="28" xfId="11" applyFont="1" applyBorder="1" applyAlignment="1">
      <alignment horizontal="left" vertical="top" wrapText="1" indent="1"/>
    </xf>
    <xf numFmtId="0" fontId="24" fillId="0" borderId="28" xfId="11" applyFont="1" applyBorder="1" applyAlignment="1">
      <alignment horizontal="center" vertical="top" wrapText="1"/>
    </xf>
    <xf numFmtId="0" fontId="24" fillId="0" borderId="28" xfId="11" applyFont="1" applyBorder="1" applyAlignment="1">
      <alignment horizontal="left" vertical="top" wrapText="1" indent="2"/>
    </xf>
    <xf numFmtId="0" fontId="24" fillId="0" borderId="28" xfId="11" applyFont="1" applyBorder="1" applyAlignment="1">
      <alignment horizontal="right" vertical="top" wrapText="1" indent="1"/>
    </xf>
    <xf numFmtId="0" fontId="8" fillId="0" borderId="28" xfId="11" applyFont="1" applyBorder="1" applyAlignment="1">
      <alignment horizontal="left" vertical="top" wrapText="1"/>
    </xf>
    <xf numFmtId="165" fontId="12" fillId="0" borderId="28" xfId="11" applyNumberFormat="1" applyFont="1" applyBorder="1" applyAlignment="1">
      <alignment horizontal="center" vertical="top" shrinkToFit="1"/>
    </xf>
    <xf numFmtId="165" fontId="12" fillId="0" borderId="28" xfId="11" applyNumberFormat="1" applyFont="1" applyBorder="1" applyAlignment="1">
      <alignment horizontal="right" vertical="top" indent="1" shrinkToFit="1"/>
    </xf>
    <xf numFmtId="0" fontId="27" fillId="0" borderId="28" xfId="11" applyFont="1" applyBorder="1" applyAlignment="1">
      <alignment horizontal="left" vertical="top" wrapText="1"/>
    </xf>
    <xf numFmtId="165" fontId="13" fillId="0" borderId="28" xfId="11" applyNumberFormat="1" applyFont="1" applyBorder="1" applyAlignment="1">
      <alignment horizontal="center" vertical="top" shrinkToFit="1"/>
    </xf>
    <xf numFmtId="165" fontId="13" fillId="0" borderId="28" xfId="11" applyNumberFormat="1" applyFont="1" applyBorder="1" applyAlignment="1">
      <alignment horizontal="right" vertical="top" indent="1" shrinkToFit="1"/>
    </xf>
    <xf numFmtId="0" fontId="26" fillId="0" borderId="0" xfId="11" applyFont="1" applyAlignment="1">
      <alignment horizontal="left" vertical="top" wrapText="1"/>
    </xf>
    <xf numFmtId="1" fontId="13" fillId="0" borderId="0" xfId="0" applyNumberFormat="1" applyFont="1"/>
    <xf numFmtId="0" fontId="28" fillId="0" borderId="0" xfId="3" applyFont="1"/>
    <xf numFmtId="165" fontId="8" fillId="0" borderId="0" xfId="1" applyNumberFormat="1" applyFont="1" applyFill="1"/>
    <xf numFmtId="9" fontId="13" fillId="0" borderId="0" xfId="0" applyNumberFormat="1" applyFont="1" applyAlignment="1">
      <alignment horizontal="right"/>
    </xf>
    <xf numFmtId="165" fontId="13" fillId="0" borderId="11" xfId="0" applyNumberFormat="1" applyFont="1" applyBorder="1" applyAlignment="1">
      <alignment horizontal="right"/>
    </xf>
    <xf numFmtId="0" fontId="3" fillId="0" borderId="0" xfId="0" applyFont="1" applyAlignment="1">
      <alignment horizontal="left"/>
    </xf>
    <xf numFmtId="1" fontId="0" fillId="0" borderId="0" xfId="0" applyNumberFormat="1" applyAlignment="1">
      <alignment horizontal="right"/>
    </xf>
    <xf numFmtId="165" fontId="0" fillId="0" borderId="0" xfId="0" applyNumberFormat="1" applyAlignment="1">
      <alignment horizontal="right"/>
    </xf>
    <xf numFmtId="1" fontId="3" fillId="0" borderId="0" xfId="0" applyNumberFormat="1" applyFont="1" applyAlignment="1">
      <alignment horizontal="right"/>
    </xf>
    <xf numFmtId="165" fontId="3" fillId="0" borderId="0" xfId="0" applyNumberFormat="1" applyFont="1" applyAlignment="1">
      <alignment horizontal="right"/>
    </xf>
    <xf numFmtId="165" fontId="8" fillId="0" borderId="0" xfId="1" applyNumberFormat="1" applyFont="1" applyFill="1" applyBorder="1"/>
    <xf numFmtId="165" fontId="0" fillId="0" borderId="0" xfId="1" applyNumberFormat="1" applyFont="1" applyBorder="1"/>
    <xf numFmtId="9" fontId="0" fillId="0" borderId="0" xfId="1" applyFont="1" applyBorder="1"/>
    <xf numFmtId="0" fontId="14" fillId="0" borderId="23" xfId="0" applyFont="1" applyBorder="1"/>
    <xf numFmtId="0" fontId="3" fillId="9" borderId="30" xfId="0" applyFont="1" applyFill="1" applyBorder="1"/>
    <xf numFmtId="9" fontId="29" fillId="9" borderId="31" xfId="0" applyNumberFormat="1" applyFont="1" applyFill="1" applyBorder="1"/>
    <xf numFmtId="0" fontId="3" fillId="9" borderId="31" xfId="0" applyFont="1" applyFill="1" applyBorder="1"/>
    <xf numFmtId="0" fontId="0" fillId="0" borderId="24" xfId="0" applyBorder="1"/>
    <xf numFmtId="9" fontId="14" fillId="0" borderId="0" xfId="0" applyNumberFormat="1" applyFont="1"/>
    <xf numFmtId="0" fontId="30" fillId="0" borderId="0" xfId="0" applyFont="1"/>
    <xf numFmtId="0" fontId="30" fillId="0" borderId="0" xfId="3" applyFont="1"/>
    <xf numFmtId="0" fontId="24" fillId="0" borderId="0" xfId="0" applyFont="1"/>
    <xf numFmtId="0" fontId="31" fillId="0" borderId="0" xfId="0" applyFont="1"/>
    <xf numFmtId="166" fontId="24" fillId="0" borderId="0" xfId="0" applyNumberFormat="1" applyFont="1"/>
    <xf numFmtId="0" fontId="8" fillId="0" borderId="0" xfId="0" applyFont="1"/>
    <xf numFmtId="167" fontId="14" fillId="0" borderId="0" xfId="8" applyNumberFormat="1" applyFont="1"/>
    <xf numFmtId="9" fontId="0" fillId="0" borderId="4" xfId="0" applyNumberFormat="1" applyBorder="1"/>
    <xf numFmtId="9" fontId="1" fillId="0" borderId="0" xfId="1" applyFont="1" applyBorder="1"/>
    <xf numFmtId="0" fontId="3" fillId="0" borderId="30" xfId="0" applyFont="1" applyBorder="1"/>
    <xf numFmtId="0" fontId="3" fillId="0" borderId="31" xfId="0" applyFont="1" applyBorder="1" applyAlignment="1">
      <alignment wrapText="1"/>
    </xf>
    <xf numFmtId="168" fontId="3" fillId="0" borderId="31" xfId="8" applyNumberFormat="1" applyFont="1" applyBorder="1"/>
    <xf numFmtId="0" fontId="0" fillId="0" borderId="31" xfId="0" applyBorder="1"/>
    <xf numFmtId="0" fontId="3" fillId="0" borderId="33" xfId="0" applyFont="1" applyBorder="1"/>
    <xf numFmtId="0" fontId="3" fillId="0" borderId="27" xfId="0" applyFont="1" applyBorder="1"/>
    <xf numFmtId="0" fontId="15" fillId="0" borderId="27" xfId="0" applyFont="1" applyBorder="1"/>
    <xf numFmtId="166" fontId="3" fillId="0" borderId="27" xfId="0" applyNumberFormat="1" applyFont="1" applyBorder="1"/>
    <xf numFmtId="0" fontId="0" fillId="0" borderId="27" xfId="0" applyBorder="1"/>
    <xf numFmtId="9" fontId="0" fillId="0" borderId="5" xfId="1" applyFont="1" applyBorder="1"/>
    <xf numFmtId="0" fontId="0" fillId="0" borderId="34" xfId="0" applyBorder="1"/>
    <xf numFmtId="0" fontId="14" fillId="0" borderId="34" xfId="0" applyFont="1" applyBorder="1"/>
    <xf numFmtId="9" fontId="8" fillId="0" borderId="34" xfId="1" applyFont="1" applyBorder="1"/>
    <xf numFmtId="167" fontId="14" fillId="0" borderId="34" xfId="8" applyNumberFormat="1" applyFont="1" applyBorder="1"/>
    <xf numFmtId="167" fontId="8" fillId="0" borderId="34" xfId="8" applyNumberFormat="1" applyFont="1" applyBorder="1"/>
    <xf numFmtId="0" fontId="3" fillId="0" borderId="34" xfId="0" applyFont="1" applyBorder="1"/>
    <xf numFmtId="165" fontId="0" fillId="0" borderId="18" xfId="1" applyNumberFormat="1" applyFont="1" applyBorder="1"/>
    <xf numFmtId="165" fontId="3" fillId="0" borderId="34" xfId="0" applyNumberFormat="1" applyFont="1" applyBorder="1"/>
    <xf numFmtId="0" fontId="0" fillId="0" borderId="0" xfId="0" applyAlignment="1">
      <alignment horizontal="center"/>
    </xf>
    <xf numFmtId="167" fontId="0" fillId="0" borderId="0" xfId="8" applyNumberFormat="1" applyFont="1" applyFill="1"/>
    <xf numFmtId="165" fontId="0" fillId="0" borderId="0" xfId="1" applyNumberFormat="1" applyFont="1" applyFill="1"/>
    <xf numFmtId="9" fontId="4" fillId="0" borderId="0" xfId="3" applyNumberFormat="1" applyFill="1"/>
    <xf numFmtId="9" fontId="0" fillId="0" borderId="0" xfId="1" applyFont="1" applyFill="1"/>
    <xf numFmtId="0" fontId="0" fillId="0" borderId="0" xfId="0" quotePrefix="1"/>
    <xf numFmtId="167" fontId="0" fillId="0" borderId="0" xfId="8" applyNumberFormat="1" applyFont="1" applyBorder="1"/>
    <xf numFmtId="0" fontId="32" fillId="0" borderId="0" xfId="0" applyFont="1"/>
    <xf numFmtId="0" fontId="14" fillId="0" borderId="0" xfId="0" applyFont="1" applyAlignment="1">
      <alignment horizontal="left"/>
    </xf>
    <xf numFmtId="165" fontId="30" fillId="0" borderId="0" xfId="3" applyNumberFormat="1" applyFont="1" applyAlignment="1">
      <alignment horizontal="left"/>
    </xf>
    <xf numFmtId="9" fontId="13" fillId="0" borderId="0" xfId="0" applyNumberFormat="1" applyFont="1" applyAlignment="1">
      <alignment horizontal="left"/>
    </xf>
    <xf numFmtId="165" fontId="13" fillId="0" borderId="0" xfId="1" applyNumberFormat="1" applyFont="1"/>
    <xf numFmtId="0" fontId="31" fillId="0" borderId="34" xfId="0" applyFont="1" applyBorder="1"/>
    <xf numFmtId="167" fontId="3" fillId="0" borderId="34" xfId="8" applyNumberFormat="1" applyFont="1" applyBorder="1"/>
    <xf numFmtId="0" fontId="3" fillId="0" borderId="34" xfId="10" applyFont="1" applyBorder="1"/>
    <xf numFmtId="9" fontId="3" fillId="0" borderId="34" xfId="1" applyFont="1" applyBorder="1"/>
    <xf numFmtId="0" fontId="15" fillId="0" borderId="34" xfId="0" applyFont="1" applyBorder="1"/>
    <xf numFmtId="167" fontId="24" fillId="0" borderId="34" xfId="8" applyNumberFormat="1" applyFont="1" applyBorder="1"/>
    <xf numFmtId="0" fontId="3" fillId="0" borderId="0" xfId="10" applyFont="1"/>
    <xf numFmtId="165" fontId="3" fillId="0" borderId="34" xfId="1" applyNumberFormat="1" applyFont="1" applyBorder="1"/>
    <xf numFmtId="0" fontId="22" fillId="0" borderId="0" xfId="0" applyFont="1" applyAlignment="1">
      <alignment horizontal="left"/>
    </xf>
    <xf numFmtId="165" fontId="3" fillId="0" borderId="34" xfId="1" applyNumberFormat="1" applyFont="1" applyFill="1" applyBorder="1"/>
    <xf numFmtId="9" fontId="3" fillId="0" borderId="34" xfId="1" applyFont="1" applyFill="1" applyBorder="1"/>
    <xf numFmtId="0" fontId="3" fillId="0" borderId="34" xfId="0" quotePrefix="1" applyFont="1" applyBorder="1" applyAlignment="1">
      <alignment horizontal="left"/>
    </xf>
    <xf numFmtId="0" fontId="3" fillId="8" borderId="34" xfId="0" applyFont="1" applyFill="1" applyBorder="1"/>
    <xf numFmtId="0" fontId="31" fillId="8" borderId="34" xfId="0" applyFont="1" applyFill="1" applyBorder="1"/>
    <xf numFmtId="165" fontId="3" fillId="8" borderId="34" xfId="1" applyNumberFormat="1" applyFont="1" applyFill="1" applyBorder="1"/>
    <xf numFmtId="168" fontId="8" fillId="0" borderId="0" xfId="8" applyNumberFormat="1" applyFont="1"/>
    <xf numFmtId="0" fontId="14" fillId="0" borderId="34" xfId="0" applyFont="1" applyBorder="1" applyAlignment="1">
      <alignment horizontal="left"/>
    </xf>
    <xf numFmtId="0" fontId="28" fillId="0" borderId="0" xfId="3" applyFont="1" applyAlignment="1">
      <alignment horizontal="left"/>
    </xf>
    <xf numFmtId="164" fontId="8" fillId="0" borderId="0" xfId="1" applyNumberFormat="1" applyFont="1"/>
    <xf numFmtId="164" fontId="8" fillId="0" borderId="0" xfId="8" applyFont="1"/>
    <xf numFmtId="0" fontId="23" fillId="0" borderId="34" xfId="0" applyFont="1" applyBorder="1"/>
    <xf numFmtId="165" fontId="33" fillId="0" borderId="34" xfId="1" applyNumberFormat="1" applyFont="1" applyBorder="1"/>
    <xf numFmtId="165" fontId="34" fillId="0" borderId="34" xfId="1" applyNumberFormat="1" applyFont="1" applyBorder="1"/>
    <xf numFmtId="166" fontId="8" fillId="0" borderId="0" xfId="0" applyNumberFormat="1" applyFont="1"/>
    <xf numFmtId="0" fontId="24" fillId="0" borderId="19" xfId="0" applyFont="1" applyBorder="1"/>
    <xf numFmtId="0" fontId="31" fillId="0" borderId="19" xfId="0" applyFont="1" applyBorder="1"/>
    <xf numFmtId="166" fontId="24" fillId="0" borderId="19" xfId="0" applyNumberFormat="1" applyFont="1" applyBorder="1"/>
    <xf numFmtId="0" fontId="24" fillId="0" borderId="18" xfId="0" applyFont="1" applyBorder="1"/>
    <xf numFmtId="0" fontId="31" fillId="0" borderId="18" xfId="0" applyFont="1" applyBorder="1"/>
    <xf numFmtId="169" fontId="0" fillId="0" borderId="0" xfId="0" applyNumberFormat="1"/>
    <xf numFmtId="164" fontId="0" fillId="0" borderId="0" xfId="0" applyNumberFormat="1"/>
    <xf numFmtId="165" fontId="3" fillId="0" borderId="31" xfId="1" applyNumberFormat="1" applyFont="1" applyBorder="1"/>
    <xf numFmtId="165" fontId="3" fillId="0" borderId="30" xfId="0" applyNumberFormat="1" applyFont="1" applyBorder="1"/>
    <xf numFmtId="9" fontId="0" fillId="0" borderId="32" xfId="0" applyNumberFormat="1" applyBorder="1"/>
    <xf numFmtId="168" fontId="8" fillId="0" borderId="0" xfId="8" applyNumberFormat="1" applyFont="1" applyBorder="1"/>
    <xf numFmtId="0" fontId="3" fillId="0" borderId="8" xfId="0" applyFont="1" applyBorder="1" applyAlignment="1">
      <alignment wrapText="1"/>
    </xf>
    <xf numFmtId="165" fontId="0" fillId="0" borderId="30" xfId="0" applyNumberFormat="1" applyBorder="1"/>
    <xf numFmtId="165" fontId="1" fillId="0" borderId="31" xfId="1" applyNumberFormat="1" applyFont="1" applyBorder="1"/>
    <xf numFmtId="165" fontId="0" fillId="0" borderId="32" xfId="0" applyNumberFormat="1" applyBorder="1"/>
    <xf numFmtId="0" fontId="3" fillId="0" borderId="30" xfId="0" applyFont="1" applyBorder="1" applyAlignment="1">
      <alignment wrapText="1"/>
    </xf>
    <xf numFmtId="0" fontId="3" fillId="0" borderId="32" xfId="0" applyFont="1" applyBorder="1" applyAlignment="1">
      <alignment wrapText="1"/>
    </xf>
    <xf numFmtId="164" fontId="0" fillId="0" borderId="0" xfId="8" applyFont="1"/>
    <xf numFmtId="9" fontId="8" fillId="0" borderId="0" xfId="0" applyNumberFormat="1" applyFont="1" applyAlignment="1">
      <alignment horizontal="right"/>
    </xf>
    <xf numFmtId="9" fontId="8" fillId="0" borderId="0" xfId="0" applyNumberFormat="1" applyFont="1"/>
    <xf numFmtId="165" fontId="0" fillId="6" borderId="0" xfId="0" applyNumberFormat="1" applyFill="1"/>
    <xf numFmtId="0" fontId="3" fillId="0" borderId="0" xfId="0" applyFont="1" applyAlignment="1">
      <alignment vertical="center" wrapText="1"/>
    </xf>
    <xf numFmtId="164" fontId="0" fillId="0" borderId="4" xfId="8" applyFont="1" applyBorder="1"/>
    <xf numFmtId="168" fontId="0" fillId="0" borderId="0" xfId="8" applyNumberFormat="1" applyFont="1"/>
    <xf numFmtId="0" fontId="3" fillId="0" borderId="0" xfId="12" applyFont="1" applyAlignment="1">
      <alignment horizontal="center" vertical="center" wrapText="1"/>
    </xf>
    <xf numFmtId="164" fontId="0" fillId="0" borderId="30" xfId="8" applyFont="1" applyBorder="1"/>
    <xf numFmtId="2" fontId="8" fillId="0" borderId="0" xfId="0" applyNumberFormat="1" applyFont="1"/>
    <xf numFmtId="9" fontId="24" fillId="6" borderId="0" xfId="1" applyFont="1" applyFill="1"/>
    <xf numFmtId="0" fontId="24" fillId="6" borderId="0" xfId="0" applyFont="1" applyFill="1"/>
    <xf numFmtId="2" fontId="8" fillId="0" borderId="0" xfId="7" applyNumberFormat="1" applyAlignment="1">
      <alignment wrapText="1"/>
    </xf>
    <xf numFmtId="170" fontId="8" fillId="0" borderId="0" xfId="7" applyNumberFormat="1" applyAlignment="1">
      <alignment wrapText="1"/>
    </xf>
    <xf numFmtId="171" fontId="0" fillId="0" borderId="0" xfId="0" applyNumberFormat="1"/>
    <xf numFmtId="172" fontId="0" fillId="0" borderId="0" xfId="0" applyNumberFormat="1"/>
    <xf numFmtId="166" fontId="0" fillId="0" borderId="0" xfId="0" quotePrefix="1" applyNumberFormat="1"/>
    <xf numFmtId="0" fontId="3" fillId="0" borderId="24" xfId="0" applyFont="1" applyBorder="1"/>
    <xf numFmtId="9" fontId="3" fillId="0" borderId="24" xfId="1" applyFont="1" applyBorder="1"/>
    <xf numFmtId="9" fontId="3" fillId="0" borderId="0" xfId="1" applyFont="1" applyBorder="1"/>
    <xf numFmtId="0" fontId="0" fillId="0" borderId="35" xfId="0" applyBorder="1" applyAlignment="1">
      <alignment horizontal="center"/>
    </xf>
    <xf numFmtId="9" fontId="3" fillId="0" borderId="23" xfId="1" applyFont="1" applyBorder="1"/>
    <xf numFmtId="164" fontId="13" fillId="0" borderId="0" xfId="0" applyNumberFormat="1" applyFont="1"/>
    <xf numFmtId="166" fontId="35" fillId="0" borderId="0" xfId="0" applyNumberFormat="1" applyFont="1"/>
    <xf numFmtId="0" fontId="0" fillId="9" borderId="0" xfId="0" applyFill="1"/>
    <xf numFmtId="164" fontId="0" fillId="9" borderId="0" xfId="8" applyFont="1" applyFill="1"/>
    <xf numFmtId="0" fontId="13" fillId="4" borderId="0" xfId="0" applyFont="1" applyFill="1"/>
    <xf numFmtId="0" fontId="14" fillId="0" borderId="19" xfId="0" applyFont="1" applyBorder="1"/>
    <xf numFmtId="166" fontId="0" fillId="0" borderId="19" xfId="0" applyNumberFormat="1" applyBorder="1"/>
    <xf numFmtId="10" fontId="3" fillId="0" borderId="15" xfId="0" applyNumberFormat="1" applyFont="1" applyBorder="1"/>
    <xf numFmtId="165" fontId="13" fillId="0" borderId="0" xfId="0" applyNumberFormat="1" applyFont="1"/>
    <xf numFmtId="165" fontId="3" fillId="0" borderId="9" xfId="1" applyNumberFormat="1" applyFont="1" applyBorder="1"/>
    <xf numFmtId="0" fontId="24" fillId="0" borderId="0" xfId="11" applyFont="1" applyAlignment="1">
      <alignment horizontal="left" vertical="top" wrapText="1"/>
    </xf>
    <xf numFmtId="0" fontId="24" fillId="0" borderId="0" xfId="11" applyFont="1" applyAlignment="1">
      <alignment horizontal="left" vertical="top" wrapText="1" indent="1"/>
    </xf>
    <xf numFmtId="0" fontId="24" fillId="0" borderId="0" xfId="11" applyFont="1" applyAlignment="1">
      <alignment horizontal="center" vertical="top" wrapText="1"/>
    </xf>
    <xf numFmtId="0" fontId="24" fillId="0" borderId="0" xfId="11" applyFont="1" applyAlignment="1">
      <alignment horizontal="left" vertical="top" wrapText="1" indent="2"/>
    </xf>
    <xf numFmtId="0" fontId="24" fillId="0" borderId="0" xfId="11" applyFont="1" applyAlignment="1">
      <alignment horizontal="right" vertical="top" wrapText="1" indent="1"/>
    </xf>
    <xf numFmtId="10" fontId="0" fillId="0" borderId="0" xfId="1" applyNumberFormat="1" applyFont="1" applyBorder="1"/>
    <xf numFmtId="165" fontId="13" fillId="0" borderId="0" xfId="0" applyNumberFormat="1" applyFont="1" applyAlignment="1">
      <alignment horizontal="right"/>
    </xf>
    <xf numFmtId="10" fontId="3" fillId="0" borderId="0" xfId="0" applyNumberFormat="1" applyFont="1"/>
    <xf numFmtId="165" fontId="13" fillId="0" borderId="0" xfId="1" applyNumberFormat="1" applyFont="1" applyBorder="1"/>
    <xf numFmtId="165" fontId="3" fillId="0" borderId="0" xfId="1" applyNumberFormat="1" applyFont="1" applyBorder="1"/>
    <xf numFmtId="0" fontId="3" fillId="0" borderId="0" xfId="0" applyFont="1" applyAlignment="1">
      <alignment horizontal="center" vertical="center"/>
    </xf>
    <xf numFmtId="168" fontId="0" fillId="0" borderId="0" xfId="8" applyNumberFormat="1" applyFont="1" applyBorder="1"/>
    <xf numFmtId="168" fontId="24" fillId="0" borderId="0" xfId="8" applyNumberFormat="1" applyFont="1"/>
    <xf numFmtId="168" fontId="24" fillId="0" borderId="24" xfId="8" applyNumberFormat="1" applyFont="1" applyBorder="1"/>
    <xf numFmtId="0" fontId="14" fillId="0" borderId="0" xfId="0" applyFont="1" applyAlignment="1">
      <alignment horizontal="center"/>
    </xf>
    <xf numFmtId="0" fontId="23" fillId="0" borderId="18" xfId="0" applyFont="1" applyBorder="1"/>
    <xf numFmtId="168" fontId="24" fillId="0" borderId="18" xfId="8" applyNumberFormat="1" applyFont="1" applyBorder="1"/>
    <xf numFmtId="165" fontId="29" fillId="0" borderId="18" xfId="1" applyNumberFormat="1" applyFont="1" applyBorder="1"/>
    <xf numFmtId="0" fontId="3" fillId="0" borderId="18" xfId="0" applyFont="1" applyBorder="1" applyAlignment="1">
      <alignment horizontal="left"/>
    </xf>
    <xf numFmtId="0" fontId="0" fillId="0" borderId="37" xfId="0" applyBorder="1"/>
    <xf numFmtId="0" fontId="14" fillId="0" borderId="18" xfId="0" applyFont="1" applyBorder="1" applyAlignment="1">
      <alignment horizontal="center"/>
    </xf>
    <xf numFmtId="168" fontId="8" fillId="0" borderId="18" xfId="8" applyNumberFormat="1" applyFont="1" applyBorder="1"/>
    <xf numFmtId="0" fontId="0" fillId="0" borderId="38" xfId="0" applyBorder="1"/>
    <xf numFmtId="0" fontId="0" fillId="0" borderId="39" xfId="0" applyBorder="1"/>
    <xf numFmtId="0" fontId="14" fillId="0" borderId="19" xfId="0" applyFont="1" applyBorder="1" applyAlignment="1">
      <alignment horizontal="center"/>
    </xf>
    <xf numFmtId="168" fontId="8" fillId="0" borderId="19" xfId="8" applyNumberFormat="1" applyFont="1" applyBorder="1"/>
    <xf numFmtId="165" fontId="13" fillId="0" borderId="19" xfId="1" applyNumberFormat="1" applyFont="1" applyBorder="1"/>
    <xf numFmtId="0" fontId="0" fillId="0" borderId="19" xfId="0" applyBorder="1" applyAlignment="1">
      <alignment horizontal="left"/>
    </xf>
    <xf numFmtId="165" fontId="29" fillId="0" borderId="0" xfId="1" applyNumberFormat="1" applyFont="1" applyBorder="1"/>
    <xf numFmtId="165" fontId="8" fillId="0" borderId="0" xfId="1" applyNumberFormat="1" applyFont="1" applyBorder="1"/>
    <xf numFmtId="0" fontId="14" fillId="0" borderId="27" xfId="0" applyFont="1" applyBorder="1" applyAlignment="1">
      <alignment horizontal="center"/>
    </xf>
    <xf numFmtId="165" fontId="13" fillId="0" borderId="27" xfId="1" applyNumberFormat="1" applyFont="1" applyBorder="1"/>
    <xf numFmtId="165" fontId="8" fillId="0" borderId="27" xfId="1" applyNumberFormat="1" applyFont="1" applyBorder="1"/>
    <xf numFmtId="165" fontId="29" fillId="0" borderId="27" xfId="1" applyNumberFormat="1" applyFont="1" applyBorder="1"/>
    <xf numFmtId="0" fontId="14" fillId="0" borderId="27" xfId="0" applyFont="1" applyBorder="1" applyAlignment="1">
      <alignment horizontal="left"/>
    </xf>
    <xf numFmtId="0" fontId="8" fillId="0" borderId="0" xfId="0" applyFont="1" applyAlignment="1">
      <alignment horizontal="left"/>
    </xf>
    <xf numFmtId="168" fontId="30" fillId="0" borderId="0" xfId="8" applyNumberFormat="1" applyFont="1"/>
    <xf numFmtId="168" fontId="8" fillId="0" borderId="0" xfId="8" applyNumberFormat="1" applyFont="1" applyAlignment="1">
      <alignment horizontal="left"/>
    </xf>
    <xf numFmtId="168" fontId="24" fillId="0" borderId="0" xfId="8" applyNumberFormat="1" applyFont="1" applyAlignment="1">
      <alignment horizontal="left"/>
    </xf>
    <xf numFmtId="164" fontId="8" fillId="0" borderId="0" xfId="8" applyFont="1" applyBorder="1"/>
    <xf numFmtId="9" fontId="8" fillId="0" borderId="0" xfId="8" applyNumberFormat="1" applyFont="1" applyBorder="1"/>
    <xf numFmtId="9" fontId="8" fillId="0" borderId="0" xfId="1" applyFont="1" applyBorder="1"/>
    <xf numFmtId="9" fontId="13" fillId="0" borderId="0" xfId="8" applyNumberFormat="1" applyFont="1"/>
    <xf numFmtId="1" fontId="13" fillId="0" borderId="0" xfId="8" applyNumberFormat="1" applyFont="1" applyFill="1" applyBorder="1"/>
    <xf numFmtId="9" fontId="13" fillId="0" borderId="0" xfId="1" applyFont="1" applyBorder="1"/>
    <xf numFmtId="165" fontId="1" fillId="0" borderId="0" xfId="1" applyNumberFormat="1" applyFont="1" applyBorder="1"/>
    <xf numFmtId="168" fontId="24" fillId="0" borderId="24" xfId="8" applyNumberFormat="1" applyFont="1" applyBorder="1" applyAlignment="1">
      <alignment horizontal="left"/>
    </xf>
    <xf numFmtId="168" fontId="31" fillId="0" borderId="24" xfId="8" applyNumberFormat="1" applyFont="1" applyBorder="1"/>
    <xf numFmtId="164" fontId="24" fillId="0" borderId="24" xfId="8" applyFont="1" applyBorder="1"/>
    <xf numFmtId="165" fontId="13" fillId="0" borderId="18" xfId="1" applyNumberFormat="1" applyFont="1" applyBorder="1"/>
    <xf numFmtId="165" fontId="8" fillId="0" borderId="18" xfId="1" applyNumberFormat="1" applyFont="1" applyBorder="1"/>
    <xf numFmtId="0" fontId="14" fillId="0" borderId="18" xfId="0" applyFont="1" applyBorder="1" applyAlignment="1">
      <alignment horizontal="left"/>
    </xf>
    <xf numFmtId="165" fontId="8" fillId="0" borderId="19" xfId="1" applyNumberFormat="1" applyFont="1" applyBorder="1"/>
    <xf numFmtId="0" fontId="14" fillId="0" borderId="19" xfId="0" applyFont="1" applyBorder="1" applyAlignment="1">
      <alignment horizontal="left"/>
    </xf>
    <xf numFmtId="165" fontId="29" fillId="0" borderId="19" xfId="1" applyNumberFormat="1" applyFont="1" applyBorder="1"/>
    <xf numFmtId="9" fontId="13" fillId="0" borderId="18" xfId="1" applyFont="1" applyBorder="1"/>
    <xf numFmtId="0" fontId="0" fillId="0" borderId="33" xfId="0" applyBorder="1"/>
    <xf numFmtId="0" fontId="0" fillId="0" borderId="37" xfId="0" applyBorder="1" applyAlignment="1">
      <alignment horizontal="left"/>
    </xf>
    <xf numFmtId="0" fontId="0" fillId="0" borderId="38" xfId="0" applyBorder="1" applyAlignment="1">
      <alignment horizontal="left"/>
    </xf>
    <xf numFmtId="0" fontId="0" fillId="0" borderId="39" xfId="0" applyBorder="1" applyAlignment="1">
      <alignment horizontal="left"/>
    </xf>
    <xf numFmtId="0" fontId="0" fillId="0" borderId="18" xfId="0" applyBorder="1" applyAlignment="1">
      <alignment horizontal="left"/>
    </xf>
    <xf numFmtId="168" fontId="30" fillId="0" borderId="0" xfId="8" applyNumberFormat="1" applyFont="1" applyAlignment="1">
      <alignment horizontal="center"/>
    </xf>
    <xf numFmtId="0" fontId="30" fillId="0" borderId="0" xfId="0" applyFont="1" applyAlignment="1">
      <alignment horizontal="center"/>
    </xf>
    <xf numFmtId="168" fontId="24" fillId="0" borderId="37" xfId="8" applyNumberFormat="1" applyFont="1" applyBorder="1"/>
    <xf numFmtId="168" fontId="31" fillId="0" borderId="18" xfId="8" applyNumberFormat="1" applyFont="1" applyBorder="1"/>
    <xf numFmtId="164" fontId="24" fillId="0" borderId="18" xfId="8" applyFont="1" applyBorder="1"/>
    <xf numFmtId="164" fontId="24" fillId="0" borderId="40" xfId="8" applyFont="1" applyBorder="1"/>
    <xf numFmtId="168" fontId="24" fillId="0" borderId="39" xfId="8" applyNumberFormat="1" applyFont="1" applyBorder="1"/>
    <xf numFmtId="168" fontId="31" fillId="0" borderId="19" xfId="8" applyNumberFormat="1" applyFont="1" applyBorder="1"/>
    <xf numFmtId="168" fontId="24" fillId="0" borderId="19" xfId="8" applyNumberFormat="1" applyFont="1" applyBorder="1"/>
    <xf numFmtId="168" fontId="24" fillId="0" borderId="41" xfId="8" applyNumberFormat="1" applyFont="1" applyBorder="1"/>
    <xf numFmtId="2" fontId="0" fillId="0" borderId="0" xfId="8" applyNumberFormat="1" applyFont="1" applyBorder="1"/>
    <xf numFmtId="168" fontId="0" fillId="0" borderId="0" xfId="0" applyNumberFormat="1"/>
    <xf numFmtId="0" fontId="24" fillId="0" borderId="42" xfId="11" applyFont="1" applyBorder="1" applyAlignment="1">
      <alignment horizontal="center" vertical="top" wrapText="1"/>
    </xf>
    <xf numFmtId="0" fontId="24" fillId="0" borderId="42" xfId="11" applyFont="1" applyBorder="1" applyAlignment="1">
      <alignment horizontal="left" vertical="top" wrapText="1" indent="2"/>
    </xf>
    <xf numFmtId="0" fontId="24" fillId="0" borderId="43" xfId="11" applyFont="1" applyBorder="1" applyAlignment="1">
      <alignment horizontal="left" vertical="top" wrapText="1" indent="1"/>
    </xf>
    <xf numFmtId="0" fontId="3" fillId="0" borderId="36" xfId="0" applyFont="1" applyBorder="1"/>
    <xf numFmtId="0" fontId="3" fillId="0" borderId="44" xfId="0" applyFont="1" applyBorder="1"/>
    <xf numFmtId="0" fontId="3" fillId="0" borderId="45" xfId="0" applyFont="1" applyBorder="1"/>
    <xf numFmtId="0" fontId="24" fillId="0" borderId="47" xfId="11" applyFont="1" applyBorder="1" applyAlignment="1">
      <alignment horizontal="right" vertical="top" wrapText="1" indent="1"/>
    </xf>
    <xf numFmtId="0" fontId="24" fillId="0" borderId="36" xfId="11" applyFont="1" applyBorder="1" applyAlignment="1">
      <alignment horizontal="center" vertical="top" wrapText="1"/>
    </xf>
    <xf numFmtId="168" fontId="3" fillId="0" borderId="27" xfId="8" applyNumberFormat="1" applyFont="1" applyBorder="1"/>
    <xf numFmtId="168" fontId="3" fillId="0" borderId="36" xfId="8" applyNumberFormat="1" applyFont="1" applyBorder="1"/>
    <xf numFmtId="168" fontId="3" fillId="0" borderId="44" xfId="8" applyNumberFormat="1" applyFont="1" applyBorder="1"/>
    <xf numFmtId="10" fontId="8" fillId="0" borderId="0" xfId="0" applyNumberFormat="1" applyFont="1" applyAlignment="1">
      <alignment horizontal="left"/>
    </xf>
    <xf numFmtId="165" fontId="14" fillId="0" borderId="0" xfId="1" applyNumberFormat="1" applyFont="1"/>
    <xf numFmtId="165" fontId="3" fillId="0" borderId="0" xfId="1" applyNumberFormat="1" applyFont="1"/>
    <xf numFmtId="165" fontId="3" fillId="0" borderId="0" xfId="1" applyNumberFormat="1" applyFont="1" applyAlignment="1">
      <alignment horizontal="left"/>
    </xf>
    <xf numFmtId="165" fontId="3" fillId="0" borderId="0" xfId="1" applyNumberFormat="1" applyFont="1" applyFill="1" applyBorder="1"/>
    <xf numFmtId="165" fontId="3" fillId="0" borderId="44" xfId="1" applyNumberFormat="1" applyFont="1" applyBorder="1"/>
    <xf numFmtId="165" fontId="3" fillId="0" borderId="36" xfId="1" applyNumberFormat="1" applyFont="1" applyBorder="1"/>
    <xf numFmtId="165" fontId="3" fillId="0" borderId="27" xfId="1" applyNumberFormat="1" applyFont="1" applyBorder="1"/>
    <xf numFmtId="165" fontId="29" fillId="0" borderId="44" xfId="1" applyNumberFormat="1" applyFont="1" applyBorder="1"/>
    <xf numFmtId="164" fontId="1" fillId="0" borderId="0" xfId="8" applyFont="1"/>
    <xf numFmtId="168" fontId="1" fillId="0" borderId="0" xfId="8" applyNumberFormat="1" applyFont="1"/>
    <xf numFmtId="165" fontId="24" fillId="0" borderId="44" xfId="1" applyNumberFormat="1" applyFont="1" applyBorder="1"/>
    <xf numFmtId="10" fontId="0" fillId="0" borderId="0" xfId="0" applyNumberFormat="1"/>
    <xf numFmtId="0" fontId="24" fillId="0" borderId="42" xfId="11" applyFont="1" applyBorder="1" applyAlignment="1">
      <alignment horizontal="left" vertical="top" wrapText="1"/>
    </xf>
    <xf numFmtId="0" fontId="24" fillId="0" borderId="47" xfId="11" applyFont="1" applyBorder="1" applyAlignment="1">
      <alignment horizontal="center" vertical="center" wrapText="1"/>
    </xf>
    <xf numFmtId="0" fontId="24" fillId="0" borderId="0" xfId="11" applyFont="1" applyAlignment="1">
      <alignment horizontal="center" vertical="center" wrapText="1"/>
    </xf>
    <xf numFmtId="0" fontId="24" fillId="0" borderId="47" xfId="11" applyFont="1" applyBorder="1" applyAlignment="1">
      <alignment vertical="center" wrapText="1"/>
    </xf>
    <xf numFmtId="0" fontId="24" fillId="0" borderId="27" xfId="11" applyFont="1" applyBorder="1" applyAlignment="1">
      <alignment vertical="top" wrapText="1"/>
    </xf>
    <xf numFmtId="0" fontId="24" fillId="0" borderId="47" xfId="11" applyFont="1" applyBorder="1" applyAlignment="1">
      <alignment vertical="top" wrapText="1"/>
    </xf>
    <xf numFmtId="9" fontId="0" fillId="0" borderId="38" xfId="1" applyFont="1" applyFill="1" applyBorder="1"/>
    <xf numFmtId="9" fontId="13" fillId="0" borderId="37" xfId="1" applyFont="1" applyBorder="1"/>
    <xf numFmtId="9" fontId="13" fillId="0" borderId="40" xfId="1" applyFont="1" applyBorder="1"/>
    <xf numFmtId="9" fontId="13" fillId="0" borderId="38" xfId="1" applyFont="1" applyBorder="1"/>
    <xf numFmtId="9" fontId="13" fillId="0" borderId="48" xfId="1" applyFont="1" applyBorder="1"/>
    <xf numFmtId="9" fontId="9" fillId="0" borderId="39" xfId="1" applyFont="1" applyBorder="1"/>
    <xf numFmtId="9" fontId="9" fillId="0" borderId="19" xfId="1" applyFont="1" applyBorder="1"/>
    <xf numFmtId="0" fontId="24" fillId="0" borderId="0" xfId="11" applyFont="1" applyAlignment="1">
      <alignment vertical="center" wrapText="1"/>
    </xf>
    <xf numFmtId="168" fontId="3" fillId="0" borderId="33" xfId="8" applyNumberFormat="1" applyFont="1" applyBorder="1"/>
    <xf numFmtId="0" fontId="0" fillId="0" borderId="46" xfId="0" applyBorder="1"/>
    <xf numFmtId="0" fontId="3" fillId="0" borderId="49" xfId="0" applyFont="1" applyBorder="1"/>
    <xf numFmtId="168" fontId="1" fillId="0" borderId="37" xfId="8" applyNumberFormat="1" applyFont="1" applyBorder="1"/>
    <xf numFmtId="168" fontId="1" fillId="0" borderId="18" xfId="8" applyNumberFormat="1" applyFont="1" applyBorder="1"/>
    <xf numFmtId="168" fontId="1" fillId="0" borderId="40" xfId="8" applyNumberFormat="1" applyFont="1" applyBorder="1"/>
    <xf numFmtId="168" fontId="1" fillId="0" borderId="38" xfId="8" applyNumberFormat="1" applyFont="1" applyBorder="1"/>
    <xf numFmtId="168" fontId="1" fillId="0" borderId="0" xfId="8" applyNumberFormat="1" applyFont="1" applyBorder="1"/>
    <xf numFmtId="168" fontId="1" fillId="0" borderId="48" xfId="8" applyNumberFormat="1" applyFont="1" applyBorder="1"/>
    <xf numFmtId="168" fontId="1" fillId="0" borderId="39" xfId="8" applyNumberFormat="1" applyFont="1" applyBorder="1"/>
    <xf numFmtId="168" fontId="1" fillId="0" borderId="19" xfId="8" applyNumberFormat="1" applyFont="1" applyBorder="1"/>
    <xf numFmtId="173" fontId="0" fillId="0" borderId="0" xfId="0" applyNumberFormat="1"/>
    <xf numFmtId="165" fontId="1" fillId="0" borderId="37" xfId="1" applyNumberFormat="1" applyFont="1" applyBorder="1"/>
    <xf numFmtId="165" fontId="1" fillId="0" borderId="18" xfId="1" applyNumberFormat="1" applyFont="1" applyBorder="1"/>
    <xf numFmtId="165" fontId="1" fillId="0" borderId="40" xfId="1" applyNumberFormat="1" applyFont="1" applyBorder="1"/>
    <xf numFmtId="165" fontId="1" fillId="0" borderId="38" xfId="1" applyNumberFormat="1" applyFont="1" applyBorder="1"/>
    <xf numFmtId="165" fontId="1" fillId="0" borderId="48" xfId="1" applyNumberFormat="1" applyFont="1" applyBorder="1"/>
    <xf numFmtId="165" fontId="1" fillId="0" borderId="39" xfId="1" applyNumberFormat="1" applyFont="1" applyBorder="1"/>
    <xf numFmtId="165" fontId="1" fillId="0" borderId="19" xfId="1" applyNumberFormat="1" applyFont="1" applyBorder="1"/>
    <xf numFmtId="168" fontId="1" fillId="0" borderId="41" xfId="8" applyNumberFormat="1" applyFont="1" applyBorder="1"/>
    <xf numFmtId="165" fontId="1" fillId="0" borderId="41" xfId="1" applyNumberFormat="1" applyFont="1" applyBorder="1"/>
    <xf numFmtId="10" fontId="13" fillId="0" borderId="0" xfId="1" applyNumberFormat="1" applyFont="1"/>
    <xf numFmtId="165" fontId="0" fillId="0" borderId="19" xfId="1" applyNumberFormat="1" applyFont="1" applyBorder="1"/>
    <xf numFmtId="164" fontId="3" fillId="0" borderId="0" xfId="0" applyNumberFormat="1" applyFont="1"/>
    <xf numFmtId="0" fontId="15" fillId="0" borderId="0" xfId="0" applyFont="1" applyAlignment="1">
      <alignment horizontal="right" wrapText="1"/>
    </xf>
    <xf numFmtId="0" fontId="15" fillId="0" borderId="0" xfId="0" applyFont="1" applyAlignment="1">
      <alignment horizontal="left"/>
    </xf>
    <xf numFmtId="0" fontId="3" fillId="10" borderId="37" xfId="0" applyFont="1" applyFill="1" applyBorder="1" applyAlignment="1">
      <alignment horizontal="left" vertical="center"/>
    </xf>
    <xf numFmtId="0" fontId="3" fillId="10" borderId="18" xfId="0" applyFont="1" applyFill="1" applyBorder="1"/>
    <xf numFmtId="0" fontId="3" fillId="10" borderId="39" xfId="0" applyFont="1" applyFill="1" applyBorder="1" applyAlignment="1">
      <alignment horizontal="left" vertical="center"/>
    </xf>
    <xf numFmtId="0" fontId="3" fillId="10" borderId="19" xfId="0" applyFont="1" applyFill="1" applyBorder="1"/>
    <xf numFmtId="0" fontId="15" fillId="10" borderId="18" xfId="0" applyFont="1" applyFill="1" applyBorder="1"/>
    <xf numFmtId="166" fontId="3" fillId="10" borderId="18" xfId="0" applyNumberFormat="1" applyFont="1" applyFill="1" applyBorder="1"/>
    <xf numFmtId="0" fontId="15" fillId="10" borderId="19" xfId="0" applyFont="1" applyFill="1" applyBorder="1"/>
    <xf numFmtId="166" fontId="3" fillId="10" borderId="19" xfId="0" applyNumberFormat="1" applyFont="1" applyFill="1" applyBorder="1"/>
    <xf numFmtId="168" fontId="24" fillId="0" borderId="0" xfId="8" applyNumberFormat="1" applyFont="1" applyBorder="1"/>
    <xf numFmtId="168" fontId="31" fillId="0" borderId="0" xfId="8" applyNumberFormat="1" applyFont="1" applyBorder="1"/>
    <xf numFmtId="165" fontId="31" fillId="0" borderId="0" xfId="1" applyNumberFormat="1" applyFont="1" applyBorder="1"/>
    <xf numFmtId="2" fontId="0" fillId="0" borderId="18" xfId="0" applyNumberFormat="1" applyBorder="1"/>
    <xf numFmtId="2" fontId="0" fillId="0" borderId="19" xfId="0" applyNumberFormat="1" applyBorder="1"/>
    <xf numFmtId="2" fontId="3" fillId="0" borderId="19" xfId="0" applyNumberFormat="1" applyFont="1" applyBorder="1"/>
    <xf numFmtId="165" fontId="11" fillId="9" borderId="0" xfId="0" applyNumberFormat="1" applyFont="1" applyFill="1"/>
    <xf numFmtId="2" fontId="0" fillId="0" borderId="0" xfId="0" applyNumberFormat="1" applyAlignment="1">
      <alignment horizontal="right"/>
    </xf>
    <xf numFmtId="2" fontId="0" fillId="9" borderId="0" xfId="0" applyNumberFormat="1" applyFill="1"/>
    <xf numFmtId="166" fontId="3" fillId="3" borderId="0" xfId="0" applyNumberFormat="1" applyFont="1" applyFill="1"/>
    <xf numFmtId="2" fontId="3" fillId="0" borderId="0" xfId="0" applyNumberFormat="1" applyFont="1"/>
    <xf numFmtId="0" fontId="3" fillId="3" borderId="10" xfId="0" applyFont="1" applyFill="1" applyBorder="1" applyAlignment="1">
      <alignment horizontal="left"/>
    </xf>
    <xf numFmtId="9" fontId="0" fillId="9" borderId="0" xfId="0" applyNumberFormat="1" applyFill="1"/>
    <xf numFmtId="9" fontId="0" fillId="9" borderId="0" xfId="1" applyFont="1" applyFill="1"/>
    <xf numFmtId="2" fontId="3" fillId="0" borderId="34" xfId="0" applyNumberFormat="1" applyFont="1" applyBorder="1"/>
    <xf numFmtId="10" fontId="3" fillId="0" borderId="0" xfId="1" applyNumberFormat="1" applyFont="1"/>
    <xf numFmtId="9" fontId="0" fillId="0" borderId="18" xfId="1" applyFont="1" applyBorder="1"/>
    <xf numFmtId="166" fontId="0" fillId="9" borderId="0" xfId="0" applyNumberFormat="1" applyFill="1"/>
    <xf numFmtId="2" fontId="0" fillId="11" borderId="0" xfId="0" applyNumberFormat="1" applyFill="1"/>
    <xf numFmtId="0" fontId="0" fillId="8" borderId="0" xfId="0" applyFill="1"/>
    <xf numFmtId="2" fontId="0" fillId="8" borderId="0" xfId="0" applyNumberFormat="1" applyFill="1"/>
    <xf numFmtId="2" fontId="0" fillId="7" borderId="0" xfId="0" applyNumberFormat="1" applyFill="1"/>
    <xf numFmtId="2" fontId="0" fillId="8" borderId="0" xfId="0" applyNumberFormat="1" applyFill="1" applyAlignment="1">
      <alignment horizontal="right"/>
    </xf>
    <xf numFmtId="0" fontId="3" fillId="0" borderId="0" xfId="0" applyFont="1" applyAlignment="1">
      <alignment horizontal="center"/>
    </xf>
    <xf numFmtId="0" fontId="38" fillId="0" borderId="0" xfId="14" applyAlignment="1">
      <alignment horizontal="left" vertical="top"/>
    </xf>
    <xf numFmtId="174" fontId="0" fillId="0" borderId="0" xfId="0" applyNumberFormat="1"/>
    <xf numFmtId="174" fontId="0" fillId="9" borderId="0" xfId="0" applyNumberFormat="1" applyFill="1"/>
    <xf numFmtId="0" fontId="38" fillId="0" borderId="0" xfId="14" applyAlignment="1">
      <alignment horizontal="left"/>
    </xf>
    <xf numFmtId="0" fontId="39" fillId="0" borderId="0" xfId="0" applyFont="1"/>
    <xf numFmtId="166" fontId="39" fillId="0" borderId="0" xfId="0" applyNumberFormat="1" applyFont="1"/>
    <xf numFmtId="9" fontId="40" fillId="0" borderId="0" xfId="0" applyNumberFormat="1" applyFont="1"/>
    <xf numFmtId="9" fontId="39" fillId="0" borderId="0" xfId="0" applyNumberFormat="1" applyFont="1"/>
    <xf numFmtId="168" fontId="39" fillId="0" borderId="0" xfId="8" applyNumberFormat="1" applyFont="1" applyFill="1" applyBorder="1"/>
    <xf numFmtId="0" fontId="41" fillId="0" borderId="0" xfId="0" applyFont="1"/>
    <xf numFmtId="9" fontId="42" fillId="0" borderId="0" xfId="0" applyNumberFormat="1" applyFont="1"/>
    <xf numFmtId="0" fontId="43" fillId="0" borderId="0" xfId="0" applyFont="1"/>
    <xf numFmtId="0" fontId="44" fillId="0" borderId="0" xfId="0" applyFont="1"/>
    <xf numFmtId="0" fontId="0" fillId="12" borderId="0" xfId="0" applyFill="1"/>
    <xf numFmtId="0" fontId="39" fillId="12" borderId="0" xfId="0" applyFont="1" applyFill="1"/>
    <xf numFmtId="9" fontId="39" fillId="12" borderId="0" xfId="0" applyNumberFormat="1" applyFont="1" applyFill="1"/>
    <xf numFmtId="168" fontId="39" fillId="12" borderId="0" xfId="8" applyNumberFormat="1" applyFont="1" applyFill="1" applyBorder="1"/>
    <xf numFmtId="174" fontId="0" fillId="12" borderId="0" xfId="0" applyNumberFormat="1" applyFill="1"/>
    <xf numFmtId="166" fontId="0" fillId="13" borderId="0" xfId="0" applyNumberFormat="1" applyFill="1"/>
    <xf numFmtId="2" fontId="3" fillId="4" borderId="0" xfId="0" applyNumberFormat="1" applyFont="1" applyFill="1"/>
    <xf numFmtId="9" fontId="1" fillId="0" borderId="0" xfId="1" applyFont="1" applyFill="1"/>
    <xf numFmtId="167" fontId="1" fillId="0" borderId="0" xfId="8" applyNumberFormat="1" applyFont="1" applyFill="1"/>
    <xf numFmtId="0" fontId="14" fillId="8" borderId="34" xfId="0" applyFont="1" applyFill="1" applyBorder="1" applyAlignment="1">
      <alignment horizontal="left"/>
    </xf>
    <xf numFmtId="1" fontId="8" fillId="3" borderId="0" xfId="0" applyNumberFormat="1" applyFont="1" applyFill="1"/>
    <xf numFmtId="3" fontId="0" fillId="0" borderId="0" xfId="0" applyNumberFormat="1"/>
    <xf numFmtId="3" fontId="0" fillId="3" borderId="0" xfId="0" applyNumberFormat="1" applyFill="1"/>
    <xf numFmtId="3" fontId="0" fillId="10" borderId="0" xfId="0" applyNumberFormat="1" applyFill="1"/>
    <xf numFmtId="1" fontId="24" fillId="0" borderId="31" xfId="0" applyNumberFormat="1" applyFont="1" applyBorder="1"/>
    <xf numFmtId="3" fontId="45" fillId="0" borderId="31" xfId="14" applyNumberFormat="1" applyFont="1" applyBorder="1"/>
    <xf numFmtId="4" fontId="45" fillId="0" borderId="31" xfId="14" applyNumberFormat="1" applyFont="1" applyBorder="1"/>
    <xf numFmtId="165" fontId="3" fillId="0" borderId="31" xfId="0" applyNumberFormat="1" applyFont="1" applyBorder="1"/>
    <xf numFmtId="0" fontId="3" fillId="0" borderId="31" xfId="0" applyFont="1" applyBorder="1"/>
    <xf numFmtId="0" fontId="46" fillId="0" borderId="31" xfId="3" applyFont="1" applyBorder="1"/>
    <xf numFmtId="1" fontId="3" fillId="0" borderId="31" xfId="0" applyNumberFormat="1" applyFont="1" applyBorder="1"/>
    <xf numFmtId="1" fontId="14" fillId="0" borderId="0" xfId="0" applyNumberFormat="1" applyFont="1"/>
    <xf numFmtId="0" fontId="3" fillId="11" borderId="0" xfId="0" applyFont="1" applyFill="1"/>
    <xf numFmtId="1" fontId="0" fillId="14" borderId="0" xfId="0" applyNumberFormat="1" applyFill="1"/>
    <xf numFmtId="0" fontId="8" fillId="0" borderId="0" xfId="3" applyFont="1" applyBorder="1"/>
    <xf numFmtId="166" fontId="0" fillId="14" borderId="0" xfId="0" applyNumberFormat="1" applyFill="1"/>
    <xf numFmtId="1" fontId="38" fillId="0" borderId="0" xfId="14" applyNumberFormat="1" applyAlignment="1">
      <alignment horizontal="right"/>
    </xf>
    <xf numFmtId="3" fontId="38" fillId="0" borderId="0" xfId="14" applyNumberFormat="1"/>
    <xf numFmtId="165" fontId="0" fillId="9" borderId="11" xfId="0" applyNumberFormat="1" applyFill="1" applyBorder="1" applyAlignment="1">
      <alignment horizontal="right"/>
    </xf>
    <xf numFmtId="9" fontId="0" fillId="0" borderId="0" xfId="1" applyFont="1" applyFill="1" applyBorder="1"/>
    <xf numFmtId="9" fontId="3" fillId="0" borderId="0" xfId="1" applyFont="1" applyFill="1" applyBorder="1"/>
    <xf numFmtId="0" fontId="1" fillId="0" borderId="0" xfId="9"/>
    <xf numFmtId="9" fontId="1" fillId="0" borderId="0" xfId="15" applyFont="1"/>
    <xf numFmtId="0" fontId="0" fillId="0" borderId="0" xfId="0" applyAlignment="1">
      <alignment horizontal="center" vertical="center"/>
    </xf>
    <xf numFmtId="168" fontId="8" fillId="0" borderId="0" xfId="8" applyNumberFormat="1" applyFont="1" applyFill="1"/>
    <xf numFmtId="166" fontId="0" fillId="0" borderId="11" xfId="0" applyNumberFormat="1" applyBorder="1" applyAlignment="1">
      <alignment horizontal="right"/>
    </xf>
    <xf numFmtId="10" fontId="3" fillId="6" borderId="15" xfId="0" applyNumberFormat="1" applyFont="1" applyFill="1" applyBorder="1"/>
    <xf numFmtId="166" fontId="3" fillId="0" borderId="12" xfId="0" applyNumberFormat="1" applyFont="1" applyBorder="1" applyAlignment="1">
      <alignment horizontal="right"/>
    </xf>
    <xf numFmtId="166" fontId="3" fillId="0" borderId="15" xfId="0" applyNumberFormat="1" applyFont="1" applyBorder="1" applyAlignment="1">
      <alignment horizontal="right"/>
    </xf>
    <xf numFmtId="10" fontId="3" fillId="0" borderId="26" xfId="0" applyNumberFormat="1" applyFont="1" applyBorder="1"/>
    <xf numFmtId="165" fontId="3" fillId="0" borderId="14" xfId="0" applyNumberFormat="1" applyFont="1" applyBorder="1"/>
    <xf numFmtId="175" fontId="0" fillId="0" borderId="0" xfId="0" applyNumberFormat="1"/>
    <xf numFmtId="0" fontId="3" fillId="0" borderId="0" xfId="0" applyFont="1" applyAlignment="1">
      <alignment horizontal="left" vertical="center"/>
    </xf>
    <xf numFmtId="166" fontId="0" fillId="0" borderId="14" xfId="0" applyNumberFormat="1" applyBorder="1" applyAlignment="1">
      <alignment horizontal="right"/>
    </xf>
    <xf numFmtId="165" fontId="24" fillId="0" borderId="0" xfId="0" applyNumberFormat="1" applyFont="1"/>
    <xf numFmtId="169" fontId="0" fillId="0" borderId="0" xfId="0" applyNumberFormat="1" applyAlignment="1">
      <alignment horizontal="right"/>
    </xf>
    <xf numFmtId="9" fontId="3" fillId="8" borderId="0" xfId="1" applyFont="1" applyFill="1"/>
    <xf numFmtId="164" fontId="0" fillId="0" borderId="0" xfId="0" applyNumberFormat="1" applyAlignment="1">
      <alignment horizontal="left"/>
    </xf>
    <xf numFmtId="0" fontId="3" fillId="0" borderId="37" xfId="0" applyFont="1" applyBorder="1"/>
    <xf numFmtId="0" fontId="3" fillId="0" borderId="38" xfId="0" applyFont="1" applyBorder="1"/>
    <xf numFmtId="0" fontId="3" fillId="0" borderId="39" xfId="0" applyFont="1" applyBorder="1"/>
    <xf numFmtId="4" fontId="0" fillId="0" borderId="0" xfId="0" applyNumberFormat="1"/>
    <xf numFmtId="0" fontId="0" fillId="0" borderId="0" xfId="0" applyAlignment="1">
      <alignment vertical="center"/>
    </xf>
    <xf numFmtId="0" fontId="36" fillId="0" borderId="0" xfId="0" applyFont="1" applyAlignment="1">
      <alignment horizontal="left" vertical="center"/>
    </xf>
    <xf numFmtId="0" fontId="0" fillId="11" borderId="0" xfId="0" applyFill="1"/>
    <xf numFmtId="9" fontId="0" fillId="11" borderId="0" xfId="1" applyFont="1" applyFill="1"/>
    <xf numFmtId="0" fontId="3" fillId="9" borderId="34" xfId="0" applyFont="1" applyFill="1" applyBorder="1"/>
    <xf numFmtId="0" fontId="3" fillId="9" borderId="18" xfId="0" applyFont="1" applyFill="1" applyBorder="1"/>
    <xf numFmtId="9" fontId="13" fillId="9" borderId="0" xfId="0" applyNumberFormat="1" applyFont="1" applyFill="1"/>
    <xf numFmtId="165" fontId="0" fillId="9" borderId="18" xfId="1" applyNumberFormat="1" applyFont="1" applyFill="1" applyBorder="1"/>
    <xf numFmtId="165" fontId="0" fillId="9" borderId="0" xfId="1" applyNumberFormat="1" applyFont="1" applyFill="1" applyBorder="1"/>
    <xf numFmtId="165" fontId="3" fillId="9" borderId="34" xfId="0" applyNumberFormat="1" applyFont="1" applyFill="1" applyBorder="1"/>
    <xf numFmtId="0" fontId="1" fillId="0" borderId="0" xfId="5"/>
    <xf numFmtId="166" fontId="1" fillId="0" borderId="0" xfId="5" applyNumberFormat="1"/>
    <xf numFmtId="166" fontId="1" fillId="0" borderId="0" xfId="16" applyNumberFormat="1"/>
    <xf numFmtId="0" fontId="1" fillId="0" borderId="0" xfId="17"/>
    <xf numFmtId="0" fontId="1" fillId="0" borderId="0" xfId="18" applyAlignment="1">
      <alignment wrapText="1"/>
    </xf>
    <xf numFmtId="0" fontId="1" fillId="0" borderId="0" xfId="18" applyAlignment="1">
      <alignment vertical="center" wrapText="1"/>
    </xf>
    <xf numFmtId="0" fontId="1" fillId="0" borderId="0" xfId="16"/>
    <xf numFmtId="1" fontId="1" fillId="0" borderId="0" xfId="16" applyNumberFormat="1"/>
    <xf numFmtId="2" fontId="1" fillId="0" borderId="0" xfId="16" applyNumberFormat="1"/>
    <xf numFmtId="1" fontId="1" fillId="0" borderId="0" xfId="19" applyNumberFormat="1" applyFont="1" applyAlignment="1">
      <alignment vertical="center"/>
    </xf>
    <xf numFmtId="1" fontId="8" fillId="0" borderId="0" xfId="7" applyNumberFormat="1" applyAlignment="1">
      <alignment vertical="center"/>
    </xf>
    <xf numFmtId="0" fontId="8" fillId="0" borderId="0" xfId="7" applyAlignment="1">
      <alignment vertical="center"/>
    </xf>
    <xf numFmtId="9" fontId="8" fillId="0" borderId="0" xfId="7" applyNumberFormat="1" applyAlignment="1">
      <alignment vertical="center"/>
    </xf>
    <xf numFmtId="166" fontId="1" fillId="0" borderId="0" xfId="16" applyNumberFormat="1" applyAlignment="1">
      <alignment vertical="center"/>
    </xf>
    <xf numFmtId="2" fontId="8" fillId="0" borderId="0" xfId="7" applyNumberFormat="1" applyAlignment="1">
      <alignment vertical="center"/>
    </xf>
    <xf numFmtId="166" fontId="8" fillId="0" borderId="0" xfId="7" applyNumberFormat="1" applyAlignment="1">
      <alignment vertical="center"/>
    </xf>
    <xf numFmtId="0" fontId="1" fillId="0" borderId="0" xfId="18"/>
    <xf numFmtId="166" fontId="1" fillId="0" borderId="0" xfId="18" applyNumberFormat="1"/>
    <xf numFmtId="0" fontId="3" fillId="0" borderId="2" xfId="0" applyFont="1" applyBorder="1"/>
    <xf numFmtId="0" fontId="3" fillId="0" borderId="35" xfId="0" applyFont="1" applyBorder="1"/>
    <xf numFmtId="0" fontId="14" fillId="0" borderId="35" xfId="0" applyFont="1" applyBorder="1"/>
    <xf numFmtId="166" fontId="0" fillId="0" borderId="35" xfId="0" applyNumberFormat="1" applyBorder="1"/>
    <xf numFmtId="0" fontId="0" fillId="0" borderId="35" xfId="0" applyBorder="1"/>
    <xf numFmtId="0" fontId="8" fillId="0" borderId="18" xfId="7" applyBorder="1" applyAlignment="1">
      <alignment horizontal="left"/>
    </xf>
    <xf numFmtId="0" fontId="8" fillId="0" borderId="18" xfId="7" applyBorder="1" applyAlignment="1">
      <alignment horizontal="center" vertical="center" wrapText="1"/>
    </xf>
    <xf numFmtId="0" fontId="1" fillId="0" borderId="18" xfId="17" applyBorder="1"/>
    <xf numFmtId="0" fontId="1" fillId="0" borderId="18" xfId="18" applyBorder="1" applyAlignment="1">
      <alignment wrapText="1"/>
    </xf>
    <xf numFmtId="0" fontId="1" fillId="0" borderId="18" xfId="18" applyBorder="1" applyAlignment="1">
      <alignment vertical="center" wrapText="1"/>
    </xf>
    <xf numFmtId="0" fontId="8" fillId="0" borderId="19" xfId="7" applyBorder="1" applyAlignment="1">
      <alignment horizontal="left"/>
    </xf>
    <xf numFmtId="166" fontId="1" fillId="0" borderId="19" xfId="16" applyNumberFormat="1" applyBorder="1"/>
    <xf numFmtId="1" fontId="1" fillId="0" borderId="19" xfId="19" applyNumberFormat="1" applyFont="1" applyBorder="1" applyAlignment="1">
      <alignment vertical="center"/>
    </xf>
    <xf numFmtId="0" fontId="1" fillId="0" borderId="19" xfId="16" applyBorder="1"/>
    <xf numFmtId="1" fontId="8" fillId="0" borderId="19" xfId="7" applyNumberFormat="1" applyBorder="1" applyAlignment="1">
      <alignment vertical="center"/>
    </xf>
    <xf numFmtId="0" fontId="8" fillId="0" borderId="19" xfId="7" applyBorder="1" applyAlignment="1">
      <alignment vertical="center"/>
    </xf>
    <xf numFmtId="166" fontId="8" fillId="0" borderId="19" xfId="7" applyNumberFormat="1" applyBorder="1" applyAlignment="1">
      <alignment vertical="center"/>
    </xf>
    <xf numFmtId="9" fontId="13" fillId="9" borderId="0" xfId="1" applyFont="1" applyFill="1"/>
    <xf numFmtId="9" fontId="8" fillId="9" borderId="0" xfId="0" applyNumberFormat="1" applyFont="1" applyFill="1"/>
    <xf numFmtId="2" fontId="13" fillId="0" borderId="0" xfId="0" applyNumberFormat="1" applyFont="1"/>
    <xf numFmtId="2" fontId="3" fillId="0" borderId="12" xfId="0" applyNumberFormat="1" applyFont="1" applyBorder="1" applyAlignment="1">
      <alignment horizontal="right"/>
    </xf>
    <xf numFmtId="165" fontId="8" fillId="0" borderId="11" xfId="0" applyNumberFormat="1" applyFont="1" applyBorder="1" applyAlignment="1">
      <alignment horizontal="right"/>
    </xf>
    <xf numFmtId="165" fontId="0" fillId="9" borderId="0" xfId="0" applyNumberFormat="1" applyFill="1"/>
    <xf numFmtId="10" fontId="0" fillId="0" borderId="18" xfId="1" applyNumberFormat="1" applyFont="1" applyBorder="1"/>
    <xf numFmtId="10" fontId="0" fillId="9" borderId="0" xfId="0" applyNumberFormat="1" applyFill="1"/>
    <xf numFmtId="2" fontId="0" fillId="0" borderId="14" xfId="0" applyNumberFormat="1" applyBorder="1" applyAlignment="1">
      <alignment horizontal="right"/>
    </xf>
    <xf numFmtId="2" fontId="3" fillId="0" borderId="15" xfId="0" applyNumberFormat="1" applyFont="1" applyBorder="1" applyAlignment="1">
      <alignment horizontal="right"/>
    </xf>
    <xf numFmtId="9" fontId="8" fillId="0" borderId="38" xfId="1" applyFont="1" applyBorder="1"/>
    <xf numFmtId="9" fontId="18" fillId="0" borderId="0" xfId="1" applyFont="1" applyFill="1"/>
    <xf numFmtId="2" fontId="3" fillId="8" borderId="27" xfId="0" applyNumberFormat="1" applyFont="1" applyFill="1" applyBorder="1"/>
    <xf numFmtId="2" fontId="3" fillId="0" borderId="18" xfId="0" applyNumberFormat="1" applyFont="1" applyBorder="1"/>
    <xf numFmtId="176" fontId="3" fillId="0" borderId="19" xfId="0" applyNumberFormat="1" applyFont="1" applyBorder="1"/>
    <xf numFmtId="176" fontId="0" fillId="0" borderId="18" xfId="0" applyNumberFormat="1" applyBorder="1"/>
    <xf numFmtId="10" fontId="8" fillId="0" borderId="0" xfId="0" applyNumberFormat="1" applyFont="1"/>
    <xf numFmtId="177" fontId="0" fillId="0" borderId="0" xfId="0" applyNumberFormat="1"/>
    <xf numFmtId="166" fontId="13" fillId="0" borderId="0" xfId="0" applyNumberFormat="1" applyFont="1"/>
    <xf numFmtId="166" fontId="13" fillId="0" borderId="19" xfId="0" applyNumberFormat="1" applyFont="1" applyBorder="1"/>
    <xf numFmtId="0" fontId="4" fillId="0" borderId="0" xfId="3" applyBorder="1"/>
    <xf numFmtId="0" fontId="4" fillId="0" borderId="19" xfId="3" applyBorder="1"/>
    <xf numFmtId="2" fontId="24" fillId="0" borderId="0" xfId="0" applyNumberFormat="1" applyFont="1"/>
    <xf numFmtId="165" fontId="3" fillId="0" borderId="15" xfId="0" applyNumberFormat="1" applyFont="1" applyBorder="1"/>
    <xf numFmtId="168" fontId="1" fillId="0" borderId="0" xfId="0" applyNumberFormat="1" applyFont="1"/>
    <xf numFmtId="3" fontId="12" fillId="0" borderId="0" xfId="0" applyNumberFormat="1" applyFont="1"/>
    <xf numFmtId="165" fontId="21" fillId="0" borderId="28" xfId="11" applyNumberFormat="1" applyFont="1" applyBorder="1" applyAlignment="1">
      <alignment horizontal="right" vertical="top" indent="1" shrinkToFit="1"/>
    </xf>
    <xf numFmtId="165" fontId="21" fillId="0" borderId="28" xfId="11" applyNumberFormat="1" applyFont="1" applyBorder="1" applyAlignment="1">
      <alignment horizontal="center" vertical="top" shrinkToFit="1"/>
    </xf>
    <xf numFmtId="43" fontId="1" fillId="0" borderId="38" xfId="8" applyNumberFormat="1" applyFont="1" applyBorder="1"/>
    <xf numFmtId="166" fontId="3" fillId="11" borderId="0" xfId="0" applyNumberFormat="1" applyFont="1" applyFill="1"/>
    <xf numFmtId="0" fontId="4" fillId="0" borderId="0" xfId="3" applyAlignment="1">
      <alignment horizontal="left"/>
    </xf>
    <xf numFmtId="168" fontId="0" fillId="0" borderId="0" xfId="8" applyNumberFormat="1" applyFont="1" applyFill="1"/>
    <xf numFmtId="164" fontId="0" fillId="0" borderId="0" xfId="8" applyFont="1" applyFill="1"/>
    <xf numFmtId="0" fontId="3" fillId="0" borderId="6" xfId="0" applyFont="1" applyBorder="1"/>
    <xf numFmtId="0" fontId="3" fillId="0" borderId="4" xfId="0" applyFont="1" applyBorder="1"/>
    <xf numFmtId="168" fontId="0" fillId="0" borderId="35" xfId="8" applyNumberFormat="1" applyFont="1" applyBorder="1"/>
    <xf numFmtId="168" fontId="0" fillId="0" borderId="35" xfId="0" applyNumberFormat="1" applyBorder="1"/>
    <xf numFmtId="166" fontId="0" fillId="0" borderId="23" xfId="0" applyNumberFormat="1" applyBorder="1"/>
    <xf numFmtId="0" fontId="3" fillId="0" borderId="0" xfId="0" applyFont="1" applyAlignment="1">
      <alignment horizontal="right"/>
    </xf>
    <xf numFmtId="0" fontId="14" fillId="0" borderId="4" xfId="0" applyFont="1" applyBorder="1" applyAlignment="1">
      <alignment horizontal="right"/>
    </xf>
    <xf numFmtId="0" fontId="14" fillId="0" borderId="6" xfId="0" applyFont="1" applyBorder="1" applyAlignment="1">
      <alignment horizontal="right"/>
    </xf>
    <xf numFmtId="0" fontId="14" fillId="0" borderId="31" xfId="0" applyFont="1" applyBorder="1"/>
    <xf numFmtId="43" fontId="0" fillId="0" borderId="0" xfId="0" applyNumberFormat="1"/>
    <xf numFmtId="0" fontId="9" fillId="6" borderId="0" xfId="0" applyFont="1" applyFill="1"/>
    <xf numFmtId="165" fontId="13" fillId="0" borderId="28" xfId="11" applyNumberFormat="1" applyFont="1" applyBorder="1" applyAlignment="1">
      <alignment horizontal="left" vertical="center" shrinkToFit="1"/>
    </xf>
    <xf numFmtId="0" fontId="24" fillId="0" borderId="28" xfId="11" applyFont="1" applyBorder="1" applyAlignment="1">
      <alignment horizontal="center" vertical="center" wrapText="1"/>
    </xf>
    <xf numFmtId="2" fontId="0" fillId="0" borderId="35" xfId="0" applyNumberFormat="1" applyBorder="1"/>
    <xf numFmtId="2" fontId="0" fillId="0" borderId="23" xfId="0" applyNumberFormat="1" applyBorder="1"/>
    <xf numFmtId="2" fontId="0" fillId="0" borderId="31" xfId="0" applyNumberFormat="1" applyBorder="1"/>
    <xf numFmtId="0" fontId="14" fillId="0" borderId="2" xfId="0" applyFont="1" applyBorder="1"/>
    <xf numFmtId="0" fontId="14" fillId="0" borderId="4" xfId="0" applyFont="1" applyBorder="1"/>
    <xf numFmtId="0" fontId="14" fillId="0" borderId="6" xfId="0" applyFont="1" applyBorder="1"/>
    <xf numFmtId="0" fontId="15" fillId="0" borderId="0" xfId="0" applyFont="1" applyAlignment="1">
      <alignment horizontal="right"/>
    </xf>
    <xf numFmtId="166" fontId="4" fillId="0" borderId="0" xfId="3" applyNumberFormat="1" applyBorder="1"/>
    <xf numFmtId="0" fontId="3" fillId="8" borderId="0" xfId="0" applyFont="1" applyFill="1" applyAlignment="1">
      <alignment horizontal="left"/>
    </xf>
    <xf numFmtId="2" fontId="3" fillId="8" borderId="0" xfId="0" applyNumberFormat="1" applyFont="1" applyFill="1"/>
    <xf numFmtId="0" fontId="3" fillId="11" borderId="30" xfId="0" applyFont="1" applyFill="1" applyBorder="1" applyAlignment="1">
      <alignment horizontal="left"/>
    </xf>
    <xf numFmtId="0" fontId="3" fillId="11" borderId="31" xfId="0" applyFont="1" applyFill="1" applyBorder="1"/>
    <xf numFmtId="0" fontId="15" fillId="11" borderId="31" xfId="0" applyFont="1" applyFill="1" applyBorder="1"/>
    <xf numFmtId="166" fontId="3" fillId="11" borderId="31" xfId="0" applyNumberFormat="1" applyFont="1" applyFill="1" applyBorder="1"/>
    <xf numFmtId="2" fontId="3" fillId="11" borderId="31" xfId="0" applyNumberFormat="1" applyFont="1" applyFill="1" applyBorder="1"/>
    <xf numFmtId="1" fontId="3" fillId="11" borderId="31" xfId="0" applyNumberFormat="1" applyFont="1" applyFill="1" applyBorder="1"/>
    <xf numFmtId="0" fontId="0" fillId="0" borderId="3" xfId="0" applyBorder="1"/>
    <xf numFmtId="0" fontId="0" fillId="0" borderId="5" xfId="0" applyBorder="1"/>
    <xf numFmtId="2" fontId="0" fillId="0" borderId="5" xfId="0" applyNumberFormat="1" applyBorder="1"/>
    <xf numFmtId="0" fontId="0" fillId="0" borderId="7" xfId="0" applyBorder="1"/>
    <xf numFmtId="178" fontId="8" fillId="0" borderId="0" xfId="8" applyNumberFormat="1" applyFont="1" applyFill="1" applyBorder="1"/>
    <xf numFmtId="43" fontId="1" fillId="0" borderId="0" xfId="0" applyNumberFormat="1" applyFont="1"/>
    <xf numFmtId="0" fontId="15" fillId="7" borderId="0" xfId="0" applyFont="1" applyFill="1"/>
    <xf numFmtId="166" fontId="3" fillId="7" borderId="0" xfId="0" applyNumberFormat="1" applyFont="1" applyFill="1"/>
    <xf numFmtId="0" fontId="3" fillId="7" borderId="23" xfId="0" applyFont="1" applyFill="1" applyBorder="1"/>
    <xf numFmtId="0" fontId="15" fillId="7" borderId="23" xfId="0" applyFont="1" applyFill="1" applyBorder="1"/>
    <xf numFmtId="0" fontId="15" fillId="0" borderId="31" xfId="0" applyFont="1" applyBorder="1"/>
    <xf numFmtId="166" fontId="3" fillId="0" borderId="31" xfId="0" applyNumberFormat="1" applyFont="1" applyBorder="1"/>
    <xf numFmtId="166" fontId="0" fillId="8" borderId="27" xfId="0" applyNumberFormat="1" applyFill="1" applyBorder="1"/>
    <xf numFmtId="166" fontId="9" fillId="6" borderId="0" xfId="0" applyNumberFormat="1" applyFont="1" applyFill="1"/>
    <xf numFmtId="2" fontId="3" fillId="0" borderId="31" xfId="0" applyNumberFormat="1" applyFont="1" applyBorder="1"/>
    <xf numFmtId="0" fontId="3" fillId="8" borderId="30" xfId="0" applyFont="1" applyFill="1" applyBorder="1"/>
    <xf numFmtId="0" fontId="3" fillId="8" borderId="31" xfId="0" applyFont="1" applyFill="1" applyBorder="1"/>
    <xf numFmtId="2" fontId="3" fillId="8" borderId="31" xfId="0" applyNumberFormat="1" applyFont="1" applyFill="1" applyBorder="1"/>
    <xf numFmtId="167" fontId="3" fillId="0" borderId="31" xfId="8" applyNumberFormat="1" applyFont="1" applyBorder="1"/>
    <xf numFmtId="167" fontId="0" fillId="0" borderId="0" xfId="8" applyNumberFormat="1" applyFont="1" applyFill="1" applyBorder="1"/>
    <xf numFmtId="0" fontId="3" fillId="8" borderId="30" xfId="0" applyFont="1" applyFill="1" applyBorder="1" applyAlignment="1">
      <alignment horizontal="left"/>
    </xf>
    <xf numFmtId="0" fontId="15" fillId="8" borderId="31" xfId="0" applyFont="1" applyFill="1" applyBorder="1"/>
    <xf numFmtId="166" fontId="3" fillId="8" borderId="31" xfId="0" applyNumberFormat="1" applyFont="1" applyFill="1" applyBorder="1"/>
    <xf numFmtId="0" fontId="8" fillId="0" borderId="0" xfId="7" applyAlignment="1">
      <alignment horizontal="center" vertical="top"/>
    </xf>
    <xf numFmtId="1" fontId="8" fillId="0" borderId="0" xfId="7" applyNumberFormat="1"/>
    <xf numFmtId="0" fontId="12" fillId="0" borderId="0" xfId="7" applyFont="1"/>
    <xf numFmtId="165" fontId="0" fillId="0" borderId="35" xfId="1" applyNumberFormat="1" applyFont="1" applyBorder="1"/>
    <xf numFmtId="166" fontId="0" fillId="6" borderId="0" xfId="0" applyNumberFormat="1" applyFill="1"/>
    <xf numFmtId="0" fontId="0" fillId="0" borderId="0" xfId="0" pivotButton="1"/>
    <xf numFmtId="9" fontId="0" fillId="0" borderId="35" xfId="1" applyFont="1" applyBorder="1"/>
    <xf numFmtId="9" fontId="0" fillId="0" borderId="23" xfId="1" applyFont="1" applyBorder="1"/>
    <xf numFmtId="9" fontId="8" fillId="0" borderId="0" xfId="1" applyFont="1" applyAlignment="1">
      <alignment horizontal="left"/>
    </xf>
    <xf numFmtId="1" fontId="0" fillId="0" borderId="0" xfId="1" applyNumberFormat="1" applyFont="1"/>
    <xf numFmtId="9" fontId="8" fillId="0" borderId="0" xfId="7" applyNumberFormat="1"/>
    <xf numFmtId="1" fontId="1" fillId="0" borderId="0" xfId="6" applyNumberFormat="1" applyFont="1"/>
    <xf numFmtId="1" fontId="3" fillId="0" borderId="24" xfId="0" applyNumberFormat="1" applyFont="1" applyBorder="1"/>
    <xf numFmtId="165" fontId="13" fillId="6" borderId="0" xfId="1" applyNumberFormat="1" applyFont="1" applyFill="1"/>
    <xf numFmtId="1" fontId="9" fillId="6" borderId="0" xfId="7" applyNumberFormat="1" applyFont="1" applyFill="1"/>
    <xf numFmtId="179" fontId="1" fillId="0" borderId="0" xfId="21" applyNumberFormat="1"/>
    <xf numFmtId="2" fontId="8" fillId="0" borderId="0" xfId="7" applyNumberFormat="1"/>
    <xf numFmtId="180" fontId="0" fillId="0" borderId="0" xfId="0" applyNumberFormat="1"/>
    <xf numFmtId="49" fontId="0" fillId="0" borderId="0" xfId="0" applyNumberFormat="1" applyAlignment="1">
      <alignment horizontal="left"/>
    </xf>
    <xf numFmtId="49" fontId="0" fillId="0" borderId="0" xfId="0" applyNumberFormat="1"/>
    <xf numFmtId="9" fontId="13" fillId="6" borderId="0" xfId="1" applyFont="1" applyFill="1"/>
    <xf numFmtId="9" fontId="3" fillId="6" borderId="0" xfId="1" applyFont="1" applyFill="1"/>
    <xf numFmtId="1" fontId="8" fillId="3" borderId="0" xfId="7" applyNumberFormat="1" applyFill="1"/>
    <xf numFmtId="0" fontId="3" fillId="11" borderId="0" xfId="0" applyFont="1" applyFill="1" applyAlignment="1">
      <alignment wrapText="1"/>
    </xf>
    <xf numFmtId="0" fontId="0" fillId="15" borderId="0" xfId="0" applyFill="1" applyAlignment="1">
      <alignment wrapText="1"/>
    </xf>
    <xf numFmtId="0" fontId="3" fillId="15" borderId="0" xfId="0" applyFont="1" applyFill="1" applyAlignment="1">
      <alignment wrapText="1"/>
    </xf>
    <xf numFmtId="0" fontId="0" fillId="15" borderId="0" xfId="0" applyFill="1"/>
    <xf numFmtId="9" fontId="48" fillId="16" borderId="1" xfId="22" applyNumberFormat="1"/>
    <xf numFmtId="165" fontId="48" fillId="16" borderId="1" xfId="22" applyNumberFormat="1"/>
    <xf numFmtId="0" fontId="3" fillId="0" borderId="37" xfId="0" applyFont="1" applyBorder="1" applyAlignment="1">
      <alignment horizontal="left" vertical="center"/>
    </xf>
    <xf numFmtId="0" fontId="3" fillId="0" borderId="38" xfId="0" applyFont="1" applyBorder="1" applyAlignment="1">
      <alignment horizontal="left" vertical="center"/>
    </xf>
    <xf numFmtId="0" fontId="3" fillId="0" borderId="39" xfId="0" applyFont="1" applyBorder="1" applyAlignment="1">
      <alignment horizontal="left" vertical="center"/>
    </xf>
    <xf numFmtId="0" fontId="3" fillId="0" borderId="0" xfId="0" applyFont="1" applyAlignment="1">
      <alignment horizontal="center"/>
    </xf>
    <xf numFmtId="0" fontId="0" fillId="0" borderId="0" xfId="0" applyAlignment="1">
      <alignment horizontal="center" vertical="center"/>
    </xf>
    <xf numFmtId="0" fontId="0" fillId="0" borderId="0" xfId="0" applyAlignment="1">
      <alignment horizontal="center"/>
    </xf>
    <xf numFmtId="0" fontId="3" fillId="0" borderId="18" xfId="0" applyFont="1" applyBorder="1" applyAlignment="1">
      <alignment horizontal="center" vertical="center"/>
    </xf>
    <xf numFmtId="0" fontId="3" fillId="0" borderId="0" xfId="0" applyFont="1" applyAlignment="1">
      <alignment horizontal="center" vertical="center"/>
    </xf>
    <xf numFmtId="0" fontId="3" fillId="0" borderId="19" xfId="0" applyFont="1" applyBorder="1" applyAlignment="1">
      <alignment horizontal="center" vertical="center"/>
    </xf>
    <xf numFmtId="0" fontId="3" fillId="0" borderId="37" xfId="0" applyFont="1" applyBorder="1" applyAlignment="1">
      <alignment horizontal="center" vertical="center"/>
    </xf>
    <xf numFmtId="0" fontId="3" fillId="0" borderId="39" xfId="0" applyFont="1" applyBorder="1" applyAlignment="1">
      <alignment horizontal="center" vertical="center"/>
    </xf>
    <xf numFmtId="9" fontId="0" fillId="0" borderId="0" xfId="1" applyFont="1" applyAlignment="1">
      <alignment horizontal="center"/>
    </xf>
    <xf numFmtId="9" fontId="0" fillId="0" borderId="0" xfId="0" applyNumberFormat="1" applyAlignment="1">
      <alignment horizontal="center"/>
    </xf>
    <xf numFmtId="0" fontId="8" fillId="0" borderId="0" xfId="0" applyFont="1" applyAlignment="1">
      <alignment horizontal="center" vertical="center" wrapText="1"/>
    </xf>
    <xf numFmtId="0" fontId="0" fillId="0" borderId="0" xfId="0" applyAlignment="1">
      <alignment horizontal="center" wrapText="1"/>
    </xf>
    <xf numFmtId="0" fontId="0" fillId="0" borderId="0" xfId="0" applyAlignment="1">
      <alignment horizontal="center" vertical="center" wrapText="1"/>
    </xf>
    <xf numFmtId="166" fontId="48" fillId="16" borderId="1" xfId="22" applyNumberFormat="1"/>
  </cellXfs>
  <cellStyles count="23">
    <cellStyle name="Calculation" xfId="2" builtinId="22"/>
    <cellStyle name="Comma" xfId="8" builtinId="3"/>
    <cellStyle name="Comma 2 2 4" xfId="20" xr:uid="{2AD32827-17C4-41FC-BB3C-A73CAACF8E4E}"/>
    <cellStyle name="Hyperlink" xfId="3" builtinId="8"/>
    <cellStyle name="Input" xfId="22" builtinId="20"/>
    <cellStyle name="Normal" xfId="0" builtinId="0"/>
    <cellStyle name="Normal 11" xfId="17" xr:uid="{35DE4019-F2E6-47F3-8BAE-E4A827DD37C7}"/>
    <cellStyle name="Normal 2" xfId="5" xr:uid="{00000000-0005-0000-0000-000003000000}"/>
    <cellStyle name="Normal 2 2" xfId="7" xr:uid="{00000000-0005-0000-0000-000004000000}"/>
    <cellStyle name="Normal 2 2 2" xfId="12" xr:uid="{78A7D675-D46A-47B9-8084-A003B11B69AC}"/>
    <cellStyle name="Normal 2 3" xfId="18" xr:uid="{C1236883-BDC6-4CCD-88A3-774D4689F538}"/>
    <cellStyle name="Normal 3" xfId="4" xr:uid="{00000000-0005-0000-0000-000005000000}"/>
    <cellStyle name="Normal 4" xfId="9" xr:uid="{972DDD5A-B401-41B0-8F36-F4AEC615C465}"/>
    <cellStyle name="Normal 4 2" xfId="13" xr:uid="{D55E0F10-91F7-4A1B-9CBF-71F6BD597F51}"/>
    <cellStyle name="Normal 5" xfId="10" xr:uid="{B674FEEB-7DCC-4688-9741-F488D1E81596}"/>
    <cellStyle name="Normal 6" xfId="11" xr:uid="{89C5C829-24F0-4188-B8CF-3C5D3008848B}"/>
    <cellStyle name="Normal 7" xfId="14" xr:uid="{EA1BF793-0323-4EB2-8877-3118440C98B8}"/>
    <cellStyle name="Normal 8" xfId="16" xr:uid="{AC8564A9-BDF9-4EE5-A270-05F39EEED5E7}"/>
    <cellStyle name="Normal 96" xfId="21" xr:uid="{C21526E5-C4E6-4DE6-B02F-2FF7F1AD05C8}"/>
    <cellStyle name="Per cent" xfId="1" builtinId="5"/>
    <cellStyle name="Percent 2" xfId="6" xr:uid="{00000000-0005-0000-0000-000007000000}"/>
    <cellStyle name="Percent 2 3" xfId="19" xr:uid="{7DC0F0D0-242B-4685-8412-B691EBD59D8D}"/>
    <cellStyle name="Percent 3 2" xfId="15" xr:uid="{B69910E9-9159-4DAA-BCE8-3CF2868D2182}"/>
  </cellStyles>
  <dxfs count="23">
    <dxf>
      <fill>
        <patternFill>
          <bgColor theme="0" tint="-0.14996795556505021"/>
        </patternFill>
      </fill>
    </dxf>
    <dxf>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ont>
        <b/>
        <color rgb="FF000000"/>
      </font>
    </dxf>
    <dxf>
      <font>
        <b/>
        <color rgb="FF000000"/>
      </font>
      <border>
        <bottom style="thin">
          <color rgb="FF95B3D7"/>
        </bottom>
      </border>
    </dxf>
    <dxf>
      <font>
        <b/>
        <color rgb="FF000000"/>
      </font>
    </dxf>
    <dxf>
      <font>
        <b/>
        <color rgb="FF000000"/>
      </font>
      <border>
        <top style="thin">
          <color rgb="FF4F81BD"/>
        </top>
        <bottom style="thin">
          <color rgb="FF4F81BD"/>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CE6F1"/>
          <bgColor rgb="FFDCE6F1"/>
        </patternFill>
      </fill>
      <border>
        <top style="thin">
          <color rgb="FF95B3D7"/>
        </top>
      </border>
    </dxf>
    <dxf>
      <font>
        <b/>
        <color rgb="FF000000"/>
      </font>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ill>
        <patternFill patternType="solid">
          <fgColor rgb="FFDCE6F1"/>
          <bgColor rgb="FFDCE6F1"/>
        </patternFill>
      </fill>
      <border>
        <bottom style="thin">
          <color rgb="FF95B3D7"/>
        </bottom>
      </border>
    </dxf>
    <dxf>
      <font>
        <b/>
        <color rgb="FF000000"/>
      </font>
    </dxf>
    <dxf>
      <font>
        <b/>
        <color rgb="FF000000"/>
      </font>
      <border>
        <bottom style="thin">
          <color rgb="FF95B3D7"/>
        </bottom>
      </border>
    </dxf>
    <dxf>
      <font>
        <b/>
        <color rgb="FF000000"/>
      </font>
    </dxf>
    <dxf>
      <font>
        <b/>
        <color rgb="FF000000"/>
      </font>
      <border>
        <top style="thin">
          <color rgb="FF4F81BD"/>
        </top>
        <bottom style="thin">
          <color rgb="FF4F81BD"/>
        </bottom>
      </border>
    </dxf>
    <dxf>
      <fill>
        <patternFill patternType="solid">
          <fgColor rgb="FFD9D9D9"/>
          <bgColor rgb="FFD9D9D9"/>
        </patternFill>
      </fill>
    </dxf>
    <dxf>
      <fill>
        <patternFill patternType="solid">
          <fgColor rgb="FFD9D9D9"/>
          <bgColor rgb="FFD9D9D9"/>
        </patternFill>
      </fill>
      <border>
        <left style="thin">
          <color rgb="FFBFBFBF"/>
        </left>
        <right style="thin">
          <color rgb="FFBFBFBF"/>
        </right>
      </border>
    </dxf>
    <dxf>
      <fill>
        <patternFill patternType="solid">
          <fgColor rgb="FFD9D9D9"/>
          <bgColor rgb="FFD9D9D9"/>
        </patternFill>
      </fill>
    </dxf>
    <dxf>
      <font>
        <b/>
        <color rgb="FF000000"/>
      </font>
      <fill>
        <patternFill patternType="solid">
          <fgColor rgb="FFDCE6F1"/>
          <bgColor rgb="FFDCE6F1"/>
        </patternFill>
      </fill>
      <border>
        <top style="thin">
          <color rgb="FF95B3D7"/>
        </top>
      </border>
    </dxf>
    <dxf>
      <font>
        <b/>
        <color rgb="FF000000"/>
      </font>
      <fill>
        <patternFill patternType="solid">
          <fgColor rgb="FFDCE6F1"/>
          <bgColor rgb="FFDCE6F1"/>
        </patternFill>
      </fill>
      <border>
        <bottom style="thin">
          <color rgb="FF95B3D7"/>
        </bottom>
      </border>
    </dxf>
  </dxfs>
  <tableStyles count="2" defaultTableStyle="TableStyleMedium2" defaultPivotStyle="PivotStyleLight16">
    <tableStyle name="PivotStyleLight16 2" table="0" count="11" xr9:uid="{B6B43669-8B9A-4E51-890E-8CA94D58D5C0}">
      <tableStyleElement type="headerRow" dxfId="22"/>
      <tableStyleElement type="totalRow" dxfId="21"/>
      <tableStyleElement type="firstRowStripe" dxfId="20"/>
      <tableStyleElement type="firstColumnStripe" dxfId="19"/>
      <tableStyleElement type="firstSubtotalColumn" dxfId="18"/>
      <tableStyleElement type="firstSubtotalRow" dxfId="17"/>
      <tableStyleElement type="secondSubtotalRow" dxfId="16"/>
      <tableStyleElement type="firstRowSubheading" dxfId="15"/>
      <tableStyleElement type="secondRowSubheading" dxfId="14"/>
      <tableStyleElement type="pageFieldLabels" dxfId="13"/>
      <tableStyleElement type="pageFieldValues" dxfId="12"/>
    </tableStyle>
    <tableStyle name="PivotStyleLight16 3" table="0" count="11" xr9:uid="{9DA79079-7B78-436F-9B3A-4DB5BCB42ECC}">
      <tableStyleElement type="headerRow" dxfId="11"/>
      <tableStyleElement type="totalRow" dxfId="10"/>
      <tableStyleElement type="firstRowStripe" dxfId="9"/>
      <tableStyleElement type="firstColumnStripe" dxfId="8"/>
      <tableStyleElement type="firstSubtotalColumn" dxfId="7"/>
      <tableStyleElement type="firstSubtotalRow" dxfId="6"/>
      <tableStyleElement type="secondSubtotalRow" dxfId="5"/>
      <tableStyleElement type="firstRowSubheading" dxfId="4"/>
      <tableStyleElement type="secondRowSubheading" dxfId="3"/>
      <tableStyleElement type="pageFieldLabels" dxfId="2"/>
      <tableStyleElement type="pageFieldValues"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pivotCacheDefinition" Target="pivotCache/pivotCacheDefinition2.xml"/><Relationship Id="rId63" Type="http://schemas.openxmlformats.org/officeDocument/2006/relationships/customXml" Target="../customXml/item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64" Type="http://schemas.openxmlformats.org/officeDocument/2006/relationships/customXml" Target="../customXml/item3.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sheetMetadata" Target="metadata.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pivotCacheDefinition" Target="pivotCache/pivotCacheDefinition1.xml"/><Relationship Id="rId62"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Butadiene'!$B$8</c:f>
              <c:strCache>
                <c:ptCount val="1"/>
                <c:pt idx="0">
                  <c:v>Fuel demand after R&amp;S</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Butadiene'!$D$8:$AH$8</c:f>
              <c:numCache>
                <c:formatCode>0.0</c:formatCode>
                <c:ptCount val="4"/>
                <c:pt idx="0">
                  <c:v>0</c:v>
                </c:pt>
                <c:pt idx="1">
                  <c:v>0</c:v>
                </c:pt>
                <c:pt idx="2">
                  <c:v>0</c:v>
                </c:pt>
                <c:pt idx="3">
                  <c:v>0</c:v>
                </c:pt>
              </c:numCache>
            </c:numRef>
          </c:val>
          <c:extLst>
            <c:ext xmlns:c16="http://schemas.microsoft.com/office/drawing/2014/chart" uri="{C3380CC4-5D6E-409C-BE32-E72D297353CC}">
              <c16:uniqueId val="{00000000-61C7-43B6-B93C-C40C72743644}"/>
            </c:ext>
          </c:extLst>
        </c:ser>
        <c:ser>
          <c:idx val="2"/>
          <c:order val="1"/>
          <c:tx>
            <c:strRef>
              <c:f>'Yearly Butadiene'!$A$73</c:f>
              <c:strCache>
                <c:ptCount val="1"/>
                <c:pt idx="0">
                  <c:v>Post R&amp;S and Recycling Butadiene Demand for PU &amp; other polymers &amp; other category</c:v>
                </c:pt>
              </c:strCache>
            </c:strRef>
          </c:tx>
          <c:spPr>
            <a:solidFill>
              <a:schemeClr val="accent3"/>
            </a:solidFill>
            <a:ln>
              <a:noFill/>
            </a:ln>
            <a:effectLst/>
          </c:spPr>
          <c:cat>
            <c:numRef>
              <c:f>'Yearly Butadiene'!$D$3:$AH$3</c:f>
              <c:numCache>
                <c:formatCode>General</c:formatCode>
                <c:ptCount val="4"/>
                <c:pt idx="0">
                  <c:v>2020</c:v>
                </c:pt>
                <c:pt idx="1">
                  <c:v>2030</c:v>
                </c:pt>
                <c:pt idx="2">
                  <c:v>2040</c:v>
                </c:pt>
                <c:pt idx="3">
                  <c:v>2050</c:v>
                </c:pt>
              </c:numCache>
            </c:numRef>
          </c:cat>
          <c:val>
            <c:numRef>
              <c:f>'Yearly Butadiene'!$D$73:$AH$73</c:f>
              <c:numCache>
                <c:formatCode>0.0</c:formatCode>
                <c:ptCount val="4"/>
                <c:pt idx="0">
                  <c:v>14.947368421052632</c:v>
                </c:pt>
                <c:pt idx="1">
                  <c:v>17.145668095397166</c:v>
                </c:pt>
                <c:pt idx="2">
                  <c:v>16.864432332244352</c:v>
                </c:pt>
                <c:pt idx="3" formatCode="0.00">
                  <c:v>13.066196717936394</c:v>
                </c:pt>
              </c:numCache>
            </c:numRef>
          </c:val>
          <c:extLst>
            <c:ext xmlns:c16="http://schemas.microsoft.com/office/drawing/2014/chart" uri="{C3380CC4-5D6E-409C-BE32-E72D297353CC}">
              <c16:uniqueId val="{00000001-61C7-43B6-B93C-C40C72743644}"/>
            </c:ext>
          </c:extLst>
        </c:ser>
        <c:ser>
          <c:idx val="0"/>
          <c:order val="2"/>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2-61C7-43B6-B93C-C40C72743644}"/>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Butadiene'!$B$6</c:f>
              <c:strCache>
                <c:ptCount val="1"/>
                <c:pt idx="0">
                  <c:v>Sector demand BAU (fuel)</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Butadiene'!$D$6:$AH$6</c:f>
              <c:numCache>
                <c:formatCode>0.0</c:formatCode>
                <c:ptCount val="4"/>
                <c:pt idx="0">
                  <c:v>0</c:v>
                </c:pt>
                <c:pt idx="1">
                  <c:v>0</c:v>
                </c:pt>
                <c:pt idx="2">
                  <c:v>0</c:v>
                </c:pt>
                <c:pt idx="3">
                  <c:v>0</c:v>
                </c:pt>
              </c:numCache>
            </c:numRef>
          </c:val>
          <c:extLst>
            <c:ext xmlns:c16="http://schemas.microsoft.com/office/drawing/2014/chart" uri="{C3380CC4-5D6E-409C-BE32-E72D297353CC}">
              <c16:uniqueId val="{00000000-1429-41EA-89C3-A54EE1A72C9A}"/>
            </c:ext>
          </c:extLst>
        </c:ser>
        <c:ser>
          <c:idx val="2"/>
          <c:order val="1"/>
          <c:tx>
            <c:strRef>
              <c:f>'Yearly Butadiene'!$A$73</c:f>
              <c:strCache>
                <c:ptCount val="1"/>
                <c:pt idx="0">
                  <c:v>Post R&amp;S and Recycling Butadiene Demand for PU &amp; other polymers &amp; other category</c:v>
                </c:pt>
              </c:strCache>
            </c:strRef>
          </c:tx>
          <c:spPr>
            <a:solidFill>
              <a:schemeClr val="accent3"/>
            </a:solidFill>
            <a:ln w="25400">
              <a:noFill/>
            </a:ln>
            <a:effectLst/>
          </c:spPr>
          <c:cat>
            <c:numRef>
              <c:f>'Yearly Butadiene'!$D$3:$AH$3</c:f>
              <c:numCache>
                <c:formatCode>General</c:formatCode>
                <c:ptCount val="4"/>
                <c:pt idx="0">
                  <c:v>2020</c:v>
                </c:pt>
                <c:pt idx="1">
                  <c:v>2030</c:v>
                </c:pt>
                <c:pt idx="2">
                  <c:v>2040</c:v>
                </c:pt>
                <c:pt idx="3">
                  <c:v>2050</c:v>
                </c:pt>
              </c:numCache>
            </c:numRef>
          </c:cat>
          <c:val>
            <c:numRef>
              <c:f>'[2]Yearly HC Methanol'!#REF!</c:f>
              <c:numCache>
                <c:formatCode>General</c:formatCode>
                <c:ptCount val="1"/>
                <c:pt idx="0">
                  <c:v>1</c:v>
                </c:pt>
              </c:numCache>
            </c:numRef>
          </c:val>
          <c:extLst>
            <c:ext xmlns:c16="http://schemas.microsoft.com/office/drawing/2014/chart" uri="{C3380CC4-5D6E-409C-BE32-E72D297353CC}">
              <c16:uniqueId val="{00000001-1429-41EA-89C3-A54EE1A72C9A}"/>
            </c:ext>
          </c:extLst>
        </c:ser>
        <c:ser>
          <c:idx val="0"/>
          <c:order val="2"/>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2-1429-41EA-89C3-A54EE1A72C9A}"/>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235891399712517E-2"/>
          <c:y val="0.11280843608380876"/>
          <c:w val="0.53801144990606564"/>
          <c:h val="0.8384170778022253"/>
        </c:manualLayout>
      </c:layout>
      <c:areaChart>
        <c:grouping val="stacked"/>
        <c:varyColors val="0"/>
        <c:ser>
          <c:idx val="1"/>
          <c:order val="0"/>
          <c:tx>
            <c:strRef>
              <c:f>'Yearly Butadiene'!$B$8</c:f>
              <c:strCache>
                <c:ptCount val="1"/>
                <c:pt idx="0">
                  <c:v>Fuel demand after R&amp;S</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Butadiene'!$D$8:$AH$8</c:f>
              <c:numCache>
                <c:formatCode>0.0</c:formatCode>
                <c:ptCount val="4"/>
                <c:pt idx="0">
                  <c:v>0</c:v>
                </c:pt>
                <c:pt idx="1">
                  <c:v>0</c:v>
                </c:pt>
                <c:pt idx="2">
                  <c:v>0</c:v>
                </c:pt>
                <c:pt idx="3">
                  <c:v>0</c:v>
                </c:pt>
              </c:numCache>
            </c:numRef>
          </c:val>
          <c:extLst>
            <c:ext xmlns:c16="http://schemas.microsoft.com/office/drawing/2014/chart" uri="{C3380CC4-5D6E-409C-BE32-E72D297353CC}">
              <c16:uniqueId val="{00000000-8F4B-4F5A-AC28-24B00EB6617E}"/>
            </c:ext>
          </c:extLst>
        </c:ser>
        <c:ser>
          <c:idx val="2"/>
          <c:order val="1"/>
          <c:tx>
            <c:strRef>
              <c:f>'Yearly Butadiene'!$A$65</c:f>
              <c:strCache>
                <c:ptCount val="1"/>
                <c:pt idx="0">
                  <c:v>Recycling Other</c:v>
                </c:pt>
              </c:strCache>
            </c:strRef>
          </c:tx>
          <c:spPr>
            <a:solidFill>
              <a:schemeClr val="accent3"/>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Butadiene'!$D$70:$AH$70</c:f>
              <c:numCache>
                <c:formatCode>0.0</c:formatCode>
                <c:ptCount val="4"/>
                <c:pt idx="0">
                  <c:v>4.696762105263157</c:v>
                </c:pt>
                <c:pt idx="1">
                  <c:v>6.8394377406413831</c:v>
                </c:pt>
                <c:pt idx="2">
                  <c:v>7.762578895262795</c:v>
                </c:pt>
                <c:pt idx="3">
                  <c:v>7.4921077830386436</c:v>
                </c:pt>
              </c:numCache>
            </c:numRef>
          </c:val>
          <c:extLst>
            <c:ext xmlns:c16="http://schemas.microsoft.com/office/drawing/2014/chart" uri="{C3380CC4-5D6E-409C-BE32-E72D297353CC}">
              <c16:uniqueId val="{00000001-8F4B-4F5A-AC28-24B00EB6617E}"/>
            </c:ext>
          </c:extLst>
        </c:ser>
        <c:ser>
          <c:idx val="3"/>
          <c:order val="2"/>
          <c:tx>
            <c:strRef>
              <c:f>'Yearly Butadiene'!$A$59</c:f>
              <c:strCache>
                <c:ptCount val="1"/>
                <c:pt idx="0">
                  <c:v>Recycling  Construction</c:v>
                </c:pt>
              </c:strCache>
            </c:strRef>
          </c:tx>
          <c:spPr>
            <a:solidFill>
              <a:schemeClr val="accent4"/>
            </a:solidFill>
            <a:ln w="25400">
              <a:noFill/>
            </a:ln>
            <a:effectLst/>
          </c:spPr>
          <c:val>
            <c:numRef>
              <c:f>'Yearly Butadiene'!$D$64:$AH$64</c:f>
              <c:numCache>
                <c:formatCode>0.0</c:formatCode>
                <c:ptCount val="4"/>
                <c:pt idx="0">
                  <c:v>1.8779766917293235</c:v>
                </c:pt>
                <c:pt idx="1">
                  <c:v>1.3178963123321914</c:v>
                </c:pt>
                <c:pt idx="2">
                  <c:v>0.75961526870042773</c:v>
                </c:pt>
                <c:pt idx="3">
                  <c:v>0.32133352221682687</c:v>
                </c:pt>
              </c:numCache>
            </c:numRef>
          </c:val>
          <c:extLst>
            <c:ext xmlns:c16="http://schemas.microsoft.com/office/drawing/2014/chart" uri="{C3380CC4-5D6E-409C-BE32-E72D297353CC}">
              <c16:uniqueId val="{00000002-8F4B-4F5A-AC28-24B00EB6617E}"/>
            </c:ext>
          </c:extLst>
        </c:ser>
        <c:ser>
          <c:idx val="4"/>
          <c:order val="3"/>
          <c:tx>
            <c:strRef>
              <c:f>'[2]Yearly HC Methanol'!#REF!</c:f>
              <c:strCache>
                <c:ptCount val="1"/>
                <c:pt idx="0">
                  <c:v>#REF!</c:v>
                </c:pt>
              </c:strCache>
            </c:strRef>
          </c:tx>
          <c:spPr>
            <a:solidFill>
              <a:schemeClr val="accent5"/>
            </a:solidFill>
            <a:ln w="25400">
              <a:noFill/>
            </a:ln>
            <a:effectLst/>
          </c:spPr>
          <c:val>
            <c:numRef>
              <c:f>'Yearly Butadiene'!$D$58:$AH$58</c:f>
              <c:numCache>
                <c:formatCode>0.0</c:formatCode>
                <c:ptCount val="4"/>
                <c:pt idx="0">
                  <c:v>0.15963789473684212</c:v>
                </c:pt>
                <c:pt idx="1">
                  <c:v>0.12712673171944386</c:v>
                </c:pt>
                <c:pt idx="2">
                  <c:v>0.10028657928886422</c:v>
                </c:pt>
                <c:pt idx="3" formatCode="0.000">
                  <c:v>5.1312575659097068E-2</c:v>
                </c:pt>
              </c:numCache>
            </c:numRef>
          </c:val>
          <c:extLst>
            <c:ext xmlns:c16="http://schemas.microsoft.com/office/drawing/2014/chart" uri="{C3380CC4-5D6E-409C-BE32-E72D297353CC}">
              <c16:uniqueId val="{00000003-8F4B-4F5A-AC28-24B00EB6617E}"/>
            </c:ext>
          </c:extLst>
        </c:ser>
        <c:ser>
          <c:idx val="5"/>
          <c:order val="4"/>
          <c:tx>
            <c:strRef>
              <c:f>'Yearly Butadiene'!$A$52</c:f>
              <c:strCache>
                <c:ptCount val="1"/>
                <c:pt idx="0">
                  <c:v>Recycling Automotive</c:v>
                </c:pt>
              </c:strCache>
            </c:strRef>
          </c:tx>
          <c:spPr>
            <a:solidFill>
              <a:schemeClr val="accent6"/>
            </a:solidFill>
            <a:ln w="25400">
              <a:noFill/>
            </a:ln>
            <a:effectLst/>
          </c:spPr>
          <c:val>
            <c:numRef>
              <c:f>'Yearly Butadiene'!$D$54:$AH$54</c:f>
              <c:numCache>
                <c:formatCode>0.0</c:formatCode>
                <c:ptCount val="4"/>
                <c:pt idx="0">
                  <c:v>8.1566721804511282</c:v>
                </c:pt>
                <c:pt idx="1">
                  <c:v>8.8049341760834938</c:v>
                </c:pt>
                <c:pt idx="2">
                  <c:v>8.1947341090967143</c:v>
                </c:pt>
                <c:pt idx="3">
                  <c:v>5.1691163163698208</c:v>
                </c:pt>
              </c:numCache>
            </c:numRef>
          </c:val>
          <c:extLst>
            <c:ext xmlns:c16="http://schemas.microsoft.com/office/drawing/2014/chart" uri="{C3380CC4-5D6E-409C-BE32-E72D297353CC}">
              <c16:uniqueId val="{00000004-8F4B-4F5A-AC28-24B00EB6617E}"/>
            </c:ext>
          </c:extLst>
        </c:ser>
        <c:ser>
          <c:idx val="6"/>
          <c:order val="5"/>
          <c:tx>
            <c:strRef>
              <c:f>'Yearly Butadiene'!$A$48</c:f>
              <c:strCache>
                <c:ptCount val="1"/>
                <c:pt idx="0">
                  <c:v>Recycling Packaging and Consumer goods</c:v>
                </c:pt>
              </c:strCache>
            </c:strRef>
          </c:tx>
          <c:spPr>
            <a:solidFill>
              <a:schemeClr val="accent1">
                <a:lumMod val="60000"/>
              </a:schemeClr>
            </a:solidFill>
            <a:ln w="25400">
              <a:noFill/>
            </a:ln>
            <a:effectLst/>
          </c:spPr>
          <c:val>
            <c:numRef>
              <c:f>'Yearly Butadiene'!$D$51:$AH$51</c:f>
              <c:numCache>
                <c:formatCode>0.0</c:formatCode>
                <c:ptCount val="4"/>
                <c:pt idx="0">
                  <c:v>5.631954887218045E-2</c:v>
                </c:pt>
                <c:pt idx="1">
                  <c:v>5.627313462065562E-2</c:v>
                </c:pt>
                <c:pt idx="2">
                  <c:v>4.7217479895549495E-2</c:v>
                </c:pt>
                <c:pt idx="3">
                  <c:v>3.2326520652007494E-2</c:v>
                </c:pt>
              </c:numCache>
            </c:numRef>
          </c:val>
          <c:extLst>
            <c:ext xmlns:c16="http://schemas.microsoft.com/office/drawing/2014/chart" uri="{C3380CC4-5D6E-409C-BE32-E72D297353CC}">
              <c16:uniqueId val="{00000005-8F4B-4F5A-AC28-24B00EB6617E}"/>
            </c:ext>
          </c:extLst>
        </c:ser>
        <c:ser>
          <c:idx val="0"/>
          <c:order val="6"/>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6-8F4B-4F5A-AC28-24B00EB6617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layout>
        <c:manualLayout>
          <c:xMode val="edge"/>
          <c:yMode val="edge"/>
          <c:x val="1.9372161546896673E-2"/>
          <c:y val="0.555167573432626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Butadiene'!$B$8</c:f>
              <c:strCache>
                <c:ptCount val="1"/>
                <c:pt idx="0">
                  <c:v>Fuel demand after R&amp;S</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Butadiene'!$D$8:$AH$8</c:f>
              <c:numCache>
                <c:formatCode>0.0</c:formatCode>
                <c:ptCount val="4"/>
                <c:pt idx="0">
                  <c:v>0</c:v>
                </c:pt>
                <c:pt idx="1">
                  <c:v>0</c:v>
                </c:pt>
                <c:pt idx="2">
                  <c:v>0</c:v>
                </c:pt>
                <c:pt idx="3">
                  <c:v>0</c:v>
                </c:pt>
              </c:numCache>
            </c:numRef>
          </c:val>
          <c:extLst>
            <c:ext xmlns:c16="http://schemas.microsoft.com/office/drawing/2014/chart" uri="{C3380CC4-5D6E-409C-BE32-E72D297353CC}">
              <c16:uniqueId val="{00000000-CAC2-4D82-9966-7BA24C9300BF}"/>
            </c:ext>
          </c:extLst>
        </c:ser>
        <c:ser>
          <c:idx val="2"/>
          <c:order val="1"/>
          <c:tx>
            <c:strRef>
              <c:f>'Yearly Butadiene'!$A$73</c:f>
              <c:strCache>
                <c:ptCount val="1"/>
                <c:pt idx="0">
                  <c:v>Post R&amp;S and Recycling Butadiene Demand for PU &amp; other polymers &amp; other category</c:v>
                </c:pt>
              </c:strCache>
            </c:strRef>
          </c:tx>
          <c:spPr>
            <a:solidFill>
              <a:schemeClr val="accent3"/>
            </a:solidFill>
            <a:ln>
              <a:noFill/>
            </a:ln>
            <a:effectLst/>
          </c:spPr>
          <c:cat>
            <c:numRef>
              <c:f>'Yearly Butadiene'!$D$3:$AH$3</c:f>
              <c:numCache>
                <c:formatCode>General</c:formatCode>
                <c:ptCount val="4"/>
                <c:pt idx="0">
                  <c:v>2020</c:v>
                </c:pt>
                <c:pt idx="1">
                  <c:v>2030</c:v>
                </c:pt>
                <c:pt idx="2">
                  <c:v>2040</c:v>
                </c:pt>
                <c:pt idx="3">
                  <c:v>2050</c:v>
                </c:pt>
              </c:numCache>
            </c:numRef>
          </c:cat>
          <c:val>
            <c:numRef>
              <c:f>'Yearly Butadiene'!$D$73:$AH$73</c:f>
              <c:numCache>
                <c:formatCode>0.0</c:formatCode>
                <c:ptCount val="4"/>
                <c:pt idx="0">
                  <c:v>14.947368421052632</c:v>
                </c:pt>
                <c:pt idx="1">
                  <c:v>17.145668095397166</c:v>
                </c:pt>
                <c:pt idx="2">
                  <c:v>16.864432332244352</c:v>
                </c:pt>
                <c:pt idx="3" formatCode="0.00">
                  <c:v>13.066196717936394</c:v>
                </c:pt>
              </c:numCache>
            </c:numRef>
          </c:val>
          <c:extLst>
            <c:ext xmlns:c16="http://schemas.microsoft.com/office/drawing/2014/chart" uri="{C3380CC4-5D6E-409C-BE32-E72D297353CC}">
              <c16:uniqueId val="{00000001-CAC2-4D82-9966-7BA24C9300BF}"/>
            </c:ext>
          </c:extLst>
        </c:ser>
        <c:ser>
          <c:idx val="0"/>
          <c:order val="2"/>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2-CAC2-4D82-9966-7BA24C9300BF}"/>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Butadiene'!$B$6</c:f>
              <c:strCache>
                <c:ptCount val="1"/>
                <c:pt idx="0">
                  <c:v>Sector demand BAU (fuel)</c:v>
                </c:pt>
              </c:strCache>
            </c:strRef>
          </c:tx>
          <c:spPr>
            <a:solidFill>
              <a:schemeClr val="accent2"/>
            </a:solidFill>
            <a:ln w="25400">
              <a:noFill/>
            </a:ln>
            <a:effectLst/>
          </c:spPr>
          <c:cat>
            <c:numRef>
              <c:f>'Yearly Butadiene'!$D$3:$AH$3</c:f>
              <c:numCache>
                <c:formatCode>General</c:formatCode>
                <c:ptCount val="4"/>
                <c:pt idx="0">
                  <c:v>2020</c:v>
                </c:pt>
                <c:pt idx="1">
                  <c:v>2030</c:v>
                </c:pt>
                <c:pt idx="2">
                  <c:v>2040</c:v>
                </c:pt>
                <c:pt idx="3">
                  <c:v>2050</c:v>
                </c:pt>
              </c:numCache>
            </c:numRef>
          </c:cat>
          <c:val>
            <c:numRef>
              <c:f>'Yearly Butadiene'!$D$6:$AH$6</c:f>
              <c:numCache>
                <c:formatCode>0.0</c:formatCode>
                <c:ptCount val="4"/>
                <c:pt idx="0">
                  <c:v>0</c:v>
                </c:pt>
                <c:pt idx="1">
                  <c:v>0</c:v>
                </c:pt>
                <c:pt idx="2">
                  <c:v>0</c:v>
                </c:pt>
                <c:pt idx="3">
                  <c:v>0</c:v>
                </c:pt>
              </c:numCache>
            </c:numRef>
          </c:val>
          <c:extLst>
            <c:ext xmlns:c16="http://schemas.microsoft.com/office/drawing/2014/chart" uri="{C3380CC4-5D6E-409C-BE32-E72D297353CC}">
              <c16:uniqueId val="{00000000-0362-4F2D-A3D0-83DABAE509D8}"/>
            </c:ext>
          </c:extLst>
        </c:ser>
        <c:ser>
          <c:idx val="2"/>
          <c:order val="1"/>
          <c:tx>
            <c:strRef>
              <c:f>'Yearly Butadiene'!$A$73</c:f>
              <c:strCache>
                <c:ptCount val="1"/>
                <c:pt idx="0">
                  <c:v>Post R&amp;S and Recycling Butadiene Demand for PU &amp; other polymers &amp; other category</c:v>
                </c:pt>
              </c:strCache>
            </c:strRef>
          </c:tx>
          <c:spPr>
            <a:solidFill>
              <a:schemeClr val="accent3"/>
            </a:solidFill>
            <a:ln w="25400">
              <a:noFill/>
            </a:ln>
            <a:effectLst/>
          </c:spPr>
          <c:cat>
            <c:numRef>
              <c:f>'Yearly Butadiene'!$D$3:$AH$3</c:f>
              <c:numCache>
                <c:formatCode>General</c:formatCode>
                <c:ptCount val="4"/>
                <c:pt idx="0">
                  <c:v>2020</c:v>
                </c:pt>
                <c:pt idx="1">
                  <c:v>2030</c:v>
                </c:pt>
                <c:pt idx="2">
                  <c:v>2040</c:v>
                </c:pt>
                <c:pt idx="3">
                  <c:v>2050</c:v>
                </c:pt>
              </c:numCache>
            </c:numRef>
          </c:cat>
          <c:val>
            <c:numRef>
              <c:f>'[2]Yearly HC Methanol'!#REF!</c:f>
              <c:numCache>
                <c:formatCode>General</c:formatCode>
                <c:ptCount val="1"/>
                <c:pt idx="0">
                  <c:v>1</c:v>
                </c:pt>
              </c:numCache>
            </c:numRef>
          </c:val>
          <c:extLst>
            <c:ext xmlns:c16="http://schemas.microsoft.com/office/drawing/2014/chart" uri="{C3380CC4-5D6E-409C-BE32-E72D297353CC}">
              <c16:uniqueId val="{00000001-0362-4F2D-A3D0-83DABAE509D8}"/>
            </c:ext>
          </c:extLst>
        </c:ser>
        <c:ser>
          <c:idx val="0"/>
          <c:order val="2"/>
          <c:tx>
            <c:strRef>
              <c:f>'Yearly BTX'!#REF!</c:f>
              <c:strCache>
                <c:ptCount val="1"/>
                <c:pt idx="0">
                  <c:v>#REF!</c:v>
                </c:pt>
              </c:strCache>
            </c:strRef>
          </c:tx>
          <c:spPr>
            <a:solidFill>
              <a:schemeClr val="accent1"/>
            </a:solidFill>
            <a:ln w="25400">
              <a:noFill/>
            </a:ln>
            <a:effectLst/>
          </c:spPr>
          <c:val>
            <c:numRef>
              <c:f>'Yearly BTX'!#REF!</c:f>
              <c:numCache>
                <c:formatCode>General</c:formatCode>
                <c:ptCount val="1"/>
                <c:pt idx="0">
                  <c:v>1</c:v>
                </c:pt>
              </c:numCache>
            </c:numRef>
          </c:val>
          <c:extLst>
            <c:ext xmlns:c16="http://schemas.microsoft.com/office/drawing/2014/chart" uri="{C3380CC4-5D6E-409C-BE32-E72D297353CC}">
              <c16:uniqueId val="{00000002-0362-4F2D-A3D0-83DABAE509D8}"/>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Methanol'!$B$13</c:f>
              <c:strCache>
                <c:ptCount val="1"/>
                <c:pt idx="0">
                  <c:v>Fuel demand after R&amp;S</c:v>
                </c:pt>
              </c:strCache>
            </c:strRef>
          </c:tx>
          <c:spPr>
            <a:solidFill>
              <a:schemeClr val="accent2"/>
            </a:solidFill>
            <a:ln>
              <a:noFill/>
            </a:ln>
            <a:effectLst/>
          </c:spPr>
          <c:cat>
            <c:numRef>
              <c:f>'Yearly Methanol'!$D$3:$AH$3</c:f>
              <c:numCache>
                <c:formatCode>General</c:formatCode>
                <c:ptCount val="4"/>
                <c:pt idx="0">
                  <c:v>2020</c:v>
                </c:pt>
                <c:pt idx="1">
                  <c:v>2030</c:v>
                </c:pt>
                <c:pt idx="2">
                  <c:v>2040</c:v>
                </c:pt>
                <c:pt idx="3">
                  <c:v>2050</c:v>
                </c:pt>
              </c:numCache>
            </c:numRef>
          </c:cat>
          <c:val>
            <c:numRef>
              <c:f>'Yearly Methanol'!$D$13:$AH$13</c:f>
              <c:numCache>
                <c:formatCode>0.0</c:formatCode>
                <c:ptCount val="4"/>
                <c:pt idx="0">
                  <c:v>28.065001267929215</c:v>
                </c:pt>
                <c:pt idx="1">
                  <c:v>28.184568502779875</c:v>
                </c:pt>
                <c:pt idx="2">
                  <c:v>13.26780240846481</c:v>
                </c:pt>
                <c:pt idx="3">
                  <c:v>0</c:v>
                </c:pt>
              </c:numCache>
            </c:numRef>
          </c:val>
          <c:extLst>
            <c:ext xmlns:c16="http://schemas.microsoft.com/office/drawing/2014/chart" uri="{C3380CC4-5D6E-409C-BE32-E72D297353CC}">
              <c16:uniqueId val="{00000000-F8DC-4C30-9689-4152E647D60E}"/>
            </c:ext>
          </c:extLst>
        </c:ser>
        <c:ser>
          <c:idx val="2"/>
          <c:order val="1"/>
          <c:tx>
            <c:strRef>
              <c:f>'Yearly Methanol'!$A$116</c:f>
              <c:strCache>
                <c:ptCount val="1"/>
                <c:pt idx="0">
                  <c:v>Post R&amp;S and Recycling Methanol Demand for PU &amp; other polymers &amp; other category</c:v>
                </c:pt>
              </c:strCache>
            </c:strRef>
          </c:tx>
          <c:spPr>
            <a:solidFill>
              <a:schemeClr val="accent3"/>
            </a:solidFill>
            <a:ln>
              <a:noFill/>
            </a:ln>
            <a:effectLst/>
          </c:spPr>
          <c:cat>
            <c:numRef>
              <c:f>'Yearly Methanol'!$D$3:$AH$3</c:f>
              <c:numCache>
                <c:formatCode>General</c:formatCode>
                <c:ptCount val="4"/>
                <c:pt idx="0">
                  <c:v>2020</c:v>
                </c:pt>
                <c:pt idx="1">
                  <c:v>2030</c:v>
                </c:pt>
                <c:pt idx="2">
                  <c:v>2040</c:v>
                </c:pt>
                <c:pt idx="3">
                  <c:v>2050</c:v>
                </c:pt>
              </c:numCache>
            </c:numRef>
          </c:cat>
          <c:val>
            <c:numRef>
              <c:f>'Yearly Methanol'!$D$116:$AH$116</c:f>
              <c:numCache>
                <c:formatCode>0.0</c:formatCode>
                <c:ptCount val="4"/>
                <c:pt idx="0">
                  <c:v>70.960266702016895</c:v>
                </c:pt>
                <c:pt idx="1">
                  <c:v>102.30494610652059</c:v>
                </c:pt>
                <c:pt idx="2">
                  <c:v>86.434737218204233</c:v>
                </c:pt>
                <c:pt idx="3">
                  <c:v>61.994426733108149</c:v>
                </c:pt>
              </c:numCache>
            </c:numRef>
          </c:val>
          <c:extLst>
            <c:ext xmlns:c16="http://schemas.microsoft.com/office/drawing/2014/chart" uri="{C3380CC4-5D6E-409C-BE32-E72D297353CC}">
              <c16:uniqueId val="{00000001-F8DC-4C30-9689-4152E647D60E}"/>
            </c:ext>
          </c:extLst>
        </c:ser>
        <c:ser>
          <c:idx val="0"/>
          <c:order val="2"/>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4"/>
                <c:pt idx="0">
                  <c:v>31.201972235932139</c:v>
                </c:pt>
                <c:pt idx="1">
                  <c:v>33.753695776335711</c:v>
                </c:pt>
                <c:pt idx="2">
                  <c:v>36.305419316739282</c:v>
                </c:pt>
                <c:pt idx="3">
                  <c:v>38.857142857142854</c:v>
                </c:pt>
              </c:numCache>
            </c:numRef>
          </c:val>
          <c:extLst>
            <c:ext xmlns:c16="http://schemas.microsoft.com/office/drawing/2014/chart" uri="{C3380CC4-5D6E-409C-BE32-E72D297353CC}">
              <c16:uniqueId val="{00000002-F8DC-4C30-9689-4152E647D60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Methanol'!$B$11</c:f>
              <c:strCache>
                <c:ptCount val="1"/>
                <c:pt idx="0">
                  <c:v>Sector demand BAU (fuel)</c:v>
                </c:pt>
              </c:strCache>
            </c:strRef>
          </c:tx>
          <c:spPr>
            <a:solidFill>
              <a:schemeClr val="accent2"/>
            </a:solidFill>
            <a:ln w="25400">
              <a:noFill/>
            </a:ln>
            <a:effectLst/>
          </c:spPr>
          <c:cat>
            <c:numRef>
              <c:f>'Yearly Methanol'!$D$3:$AH$3</c:f>
              <c:numCache>
                <c:formatCode>General</c:formatCode>
                <c:ptCount val="4"/>
                <c:pt idx="0">
                  <c:v>2020</c:v>
                </c:pt>
                <c:pt idx="1">
                  <c:v>2030</c:v>
                </c:pt>
                <c:pt idx="2">
                  <c:v>2040</c:v>
                </c:pt>
                <c:pt idx="3">
                  <c:v>2050</c:v>
                </c:pt>
              </c:numCache>
            </c:numRef>
          </c:cat>
          <c:val>
            <c:numRef>
              <c:f>'Yearly Methanol'!$D$11:$AH$11</c:f>
              <c:numCache>
                <c:formatCode>0.0</c:formatCode>
                <c:ptCount val="4"/>
                <c:pt idx="0">
                  <c:v>28.065001267929215</c:v>
                </c:pt>
                <c:pt idx="1">
                  <c:v>35.230710628474846</c:v>
                </c:pt>
                <c:pt idx="2">
                  <c:v>44.226008028216022</c:v>
                </c:pt>
                <c:pt idx="3">
                  <c:v>55.518033874995439</c:v>
                </c:pt>
              </c:numCache>
            </c:numRef>
          </c:val>
          <c:extLst>
            <c:ext xmlns:c16="http://schemas.microsoft.com/office/drawing/2014/chart" uri="{C3380CC4-5D6E-409C-BE32-E72D297353CC}">
              <c16:uniqueId val="{00000000-7087-4B96-8CF8-B3528C5C6A6E}"/>
            </c:ext>
          </c:extLst>
        </c:ser>
        <c:ser>
          <c:idx val="2"/>
          <c:order val="1"/>
          <c:tx>
            <c:strRef>
              <c:f>'Yearly Methanol'!$A$116</c:f>
              <c:strCache>
                <c:ptCount val="1"/>
                <c:pt idx="0">
                  <c:v>Post R&amp;S and Recycling Methanol Demand for PU &amp; other polymers &amp; other category</c:v>
                </c:pt>
              </c:strCache>
            </c:strRef>
          </c:tx>
          <c:spPr>
            <a:solidFill>
              <a:schemeClr val="accent3"/>
            </a:solidFill>
            <a:ln w="25400">
              <a:noFill/>
            </a:ln>
            <a:effectLst/>
          </c:spPr>
          <c:cat>
            <c:numRef>
              <c:f>'Yearly Methanol'!$D$3:$AH$3</c:f>
              <c:numCache>
                <c:formatCode>General</c:formatCode>
                <c:ptCount val="4"/>
                <c:pt idx="0">
                  <c:v>2020</c:v>
                </c:pt>
                <c:pt idx="1">
                  <c:v>2030</c:v>
                </c:pt>
                <c:pt idx="2">
                  <c:v>2040</c:v>
                </c:pt>
                <c:pt idx="3">
                  <c:v>2050</c:v>
                </c:pt>
              </c:numCache>
            </c:numRef>
          </c:cat>
          <c:val>
            <c:numRef>
              <c:f>'[2]Yearly HC Methanol'!#REF!</c:f>
              <c:numCache>
                <c:formatCode>General</c:formatCode>
                <c:ptCount val="1"/>
                <c:pt idx="0">
                  <c:v>1</c:v>
                </c:pt>
              </c:numCache>
            </c:numRef>
          </c:val>
          <c:extLst>
            <c:ext xmlns:c16="http://schemas.microsoft.com/office/drawing/2014/chart" uri="{C3380CC4-5D6E-409C-BE32-E72D297353CC}">
              <c16:uniqueId val="{00000001-7087-4B96-8CF8-B3528C5C6A6E}"/>
            </c:ext>
          </c:extLst>
        </c:ser>
        <c:ser>
          <c:idx val="0"/>
          <c:order val="2"/>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4"/>
                <c:pt idx="0">
                  <c:v>31.201972235932139</c:v>
                </c:pt>
                <c:pt idx="1">
                  <c:v>33.753695776335711</c:v>
                </c:pt>
                <c:pt idx="2">
                  <c:v>36.305419316739282</c:v>
                </c:pt>
                <c:pt idx="3">
                  <c:v>38.857142857142854</c:v>
                </c:pt>
              </c:numCache>
            </c:numRef>
          </c:val>
          <c:extLst>
            <c:ext xmlns:c16="http://schemas.microsoft.com/office/drawing/2014/chart" uri="{C3380CC4-5D6E-409C-BE32-E72D297353CC}">
              <c16:uniqueId val="{00000002-7087-4B96-8CF8-B3528C5C6A6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5235891399712517E-2"/>
          <c:y val="0.11280843608380876"/>
          <c:w val="0.53801144990606564"/>
          <c:h val="0.8384170778022253"/>
        </c:manualLayout>
      </c:layout>
      <c:areaChart>
        <c:grouping val="stacked"/>
        <c:varyColors val="0"/>
        <c:ser>
          <c:idx val="1"/>
          <c:order val="0"/>
          <c:tx>
            <c:strRef>
              <c:f>'Yearly Methanol'!$B$13</c:f>
              <c:strCache>
                <c:ptCount val="1"/>
                <c:pt idx="0">
                  <c:v>Fuel demand after R&amp;S</c:v>
                </c:pt>
              </c:strCache>
            </c:strRef>
          </c:tx>
          <c:spPr>
            <a:solidFill>
              <a:schemeClr val="accent2"/>
            </a:solidFill>
            <a:ln>
              <a:noFill/>
            </a:ln>
            <a:effectLst/>
          </c:spPr>
          <c:cat>
            <c:numRef>
              <c:f>'Yearly Methanol'!$D$3:$AH$3</c:f>
              <c:numCache>
                <c:formatCode>General</c:formatCode>
                <c:ptCount val="4"/>
                <c:pt idx="0">
                  <c:v>2020</c:v>
                </c:pt>
                <c:pt idx="1">
                  <c:v>2030</c:v>
                </c:pt>
                <c:pt idx="2">
                  <c:v>2040</c:v>
                </c:pt>
                <c:pt idx="3">
                  <c:v>2050</c:v>
                </c:pt>
              </c:numCache>
            </c:numRef>
          </c:cat>
          <c:val>
            <c:numRef>
              <c:f>'Yearly Methanol'!$D$13:$AH$13</c:f>
              <c:numCache>
                <c:formatCode>0.0</c:formatCode>
                <c:ptCount val="4"/>
                <c:pt idx="0">
                  <c:v>28.065001267929215</c:v>
                </c:pt>
                <c:pt idx="1">
                  <c:v>28.184568502779875</c:v>
                </c:pt>
                <c:pt idx="2">
                  <c:v>13.26780240846481</c:v>
                </c:pt>
                <c:pt idx="3">
                  <c:v>0</c:v>
                </c:pt>
              </c:numCache>
            </c:numRef>
          </c:val>
          <c:extLst>
            <c:ext xmlns:c16="http://schemas.microsoft.com/office/drawing/2014/chart" uri="{C3380CC4-5D6E-409C-BE32-E72D297353CC}">
              <c16:uniqueId val="{00000000-E698-4836-A43C-3AFC2BFECB2E}"/>
            </c:ext>
          </c:extLst>
        </c:ser>
        <c:ser>
          <c:idx val="2"/>
          <c:order val="1"/>
          <c:tx>
            <c:strRef>
              <c:f>'Yearly Methanol'!$A$106</c:f>
              <c:strCache>
                <c:ptCount val="1"/>
                <c:pt idx="0">
                  <c:v>Recycling Other</c:v>
                </c:pt>
              </c:strCache>
            </c:strRef>
          </c:tx>
          <c:spPr>
            <a:solidFill>
              <a:schemeClr val="accent3"/>
            </a:solidFill>
            <a:ln w="25400">
              <a:noFill/>
            </a:ln>
            <a:effectLst/>
          </c:spPr>
          <c:cat>
            <c:numRef>
              <c:f>'Yearly Methanol'!$D$3:$AH$3</c:f>
              <c:numCache>
                <c:formatCode>General</c:formatCode>
                <c:ptCount val="4"/>
                <c:pt idx="0">
                  <c:v>2020</c:v>
                </c:pt>
                <c:pt idx="1">
                  <c:v>2030</c:v>
                </c:pt>
                <c:pt idx="2">
                  <c:v>2040</c:v>
                </c:pt>
                <c:pt idx="3">
                  <c:v>2050</c:v>
                </c:pt>
              </c:numCache>
            </c:numRef>
          </c:cat>
          <c:val>
            <c:numRef>
              <c:f>'Yearly Methanol'!$D$110:$AH$110</c:f>
              <c:numCache>
                <c:formatCode>0.0</c:formatCode>
                <c:ptCount val="4"/>
                <c:pt idx="0">
                  <c:v>27.787294919531671</c:v>
                </c:pt>
                <c:pt idx="1">
                  <c:v>58.051096424938109</c:v>
                </c:pt>
                <c:pt idx="2">
                  <c:v>57.541150422929114</c:v>
                </c:pt>
                <c:pt idx="3">
                  <c:v>50.27101868323647</c:v>
                </c:pt>
              </c:numCache>
            </c:numRef>
          </c:val>
          <c:extLst>
            <c:ext xmlns:c16="http://schemas.microsoft.com/office/drawing/2014/chart" uri="{C3380CC4-5D6E-409C-BE32-E72D297353CC}">
              <c16:uniqueId val="{00000001-E698-4836-A43C-3AFC2BFECB2E}"/>
            </c:ext>
          </c:extLst>
        </c:ser>
        <c:ser>
          <c:idx val="3"/>
          <c:order val="2"/>
          <c:tx>
            <c:strRef>
              <c:f>'Yearly Methanol'!$A$97</c:f>
              <c:strCache>
                <c:ptCount val="1"/>
                <c:pt idx="0">
                  <c:v>Recycling  Construction</c:v>
                </c:pt>
              </c:strCache>
            </c:strRef>
          </c:tx>
          <c:spPr>
            <a:solidFill>
              <a:schemeClr val="accent4"/>
            </a:solidFill>
            <a:ln w="25400">
              <a:noFill/>
            </a:ln>
            <a:effectLst/>
          </c:spPr>
          <c:val>
            <c:numRef>
              <c:f>'Yearly Methanol'!$D$102:$AH$102</c:f>
              <c:numCache>
                <c:formatCode>0.0</c:formatCode>
                <c:ptCount val="4"/>
                <c:pt idx="0">
                  <c:v>3.219812080101577</c:v>
                </c:pt>
                <c:pt idx="1">
                  <c:v>2.7167350266634354</c:v>
                </c:pt>
                <c:pt idx="2">
                  <c:v>1.8233221153714729</c:v>
                </c:pt>
                <c:pt idx="3">
                  <c:v>0.43257234723307397</c:v>
                </c:pt>
              </c:numCache>
            </c:numRef>
          </c:val>
          <c:extLst>
            <c:ext xmlns:c16="http://schemas.microsoft.com/office/drawing/2014/chart" uri="{C3380CC4-5D6E-409C-BE32-E72D297353CC}">
              <c16:uniqueId val="{00000002-E698-4836-A43C-3AFC2BFECB2E}"/>
            </c:ext>
          </c:extLst>
        </c:ser>
        <c:ser>
          <c:idx val="4"/>
          <c:order val="3"/>
          <c:tx>
            <c:strRef>
              <c:f>'[2]Yearly HC Methanol'!#REF!</c:f>
              <c:strCache>
                <c:ptCount val="1"/>
                <c:pt idx="0">
                  <c:v>#REF!</c:v>
                </c:pt>
              </c:strCache>
            </c:strRef>
          </c:tx>
          <c:spPr>
            <a:solidFill>
              <a:schemeClr val="accent5"/>
            </a:solidFill>
            <a:ln w="25400">
              <a:noFill/>
            </a:ln>
            <a:effectLst/>
          </c:spPr>
          <c:val>
            <c:numRef>
              <c:f>'Yearly Methanol'!$D$93:$AH$93</c:f>
              <c:numCache>
                <c:formatCode>0.0</c:formatCode>
                <c:ptCount val="4"/>
                <c:pt idx="0">
                  <c:v>1.4464073070604898E-2</c:v>
                </c:pt>
                <c:pt idx="1">
                  <c:v>0</c:v>
                </c:pt>
                <c:pt idx="2">
                  <c:v>0</c:v>
                </c:pt>
                <c:pt idx="3">
                  <c:v>0</c:v>
                </c:pt>
              </c:numCache>
            </c:numRef>
          </c:val>
          <c:extLst>
            <c:ext xmlns:c16="http://schemas.microsoft.com/office/drawing/2014/chart" uri="{C3380CC4-5D6E-409C-BE32-E72D297353CC}">
              <c16:uniqueId val="{00000003-E698-4836-A43C-3AFC2BFECB2E}"/>
            </c:ext>
          </c:extLst>
        </c:ser>
        <c:ser>
          <c:idx val="5"/>
          <c:order val="4"/>
          <c:tx>
            <c:strRef>
              <c:f>'Yearly Methanol'!$A$84</c:f>
              <c:strCache>
                <c:ptCount val="1"/>
                <c:pt idx="0">
                  <c:v>Recycling Automotive</c:v>
                </c:pt>
              </c:strCache>
            </c:strRef>
          </c:tx>
          <c:spPr>
            <a:solidFill>
              <a:schemeClr val="accent6"/>
            </a:solidFill>
            <a:ln w="25400">
              <a:noFill/>
            </a:ln>
            <a:effectLst/>
          </c:spPr>
          <c:val>
            <c:numRef>
              <c:f>'Yearly Methanol'!$D$86:$AH$86</c:f>
              <c:numCache>
                <c:formatCode>0.0</c:formatCode>
                <c:ptCount val="4"/>
                <c:pt idx="0">
                  <c:v>7.4818743268684171</c:v>
                </c:pt>
                <c:pt idx="1">
                  <c:v>8.531364200073936</c:v>
                </c:pt>
                <c:pt idx="2">
                  <c:v>8.7134060667307818</c:v>
                </c:pt>
                <c:pt idx="3">
                  <c:v>6.0220147285096708</c:v>
                </c:pt>
              </c:numCache>
            </c:numRef>
          </c:val>
          <c:extLst>
            <c:ext xmlns:c16="http://schemas.microsoft.com/office/drawing/2014/chart" uri="{C3380CC4-5D6E-409C-BE32-E72D297353CC}">
              <c16:uniqueId val="{00000004-E698-4836-A43C-3AFC2BFECB2E}"/>
            </c:ext>
          </c:extLst>
        </c:ser>
        <c:ser>
          <c:idx val="6"/>
          <c:order val="5"/>
          <c:tx>
            <c:strRef>
              <c:f>'Yearly Methanol'!$A$77</c:f>
              <c:strCache>
                <c:ptCount val="1"/>
                <c:pt idx="0">
                  <c:v>Recycling Packaging and Consumer goods</c:v>
                </c:pt>
              </c:strCache>
            </c:strRef>
          </c:tx>
          <c:spPr>
            <a:solidFill>
              <a:schemeClr val="accent1">
                <a:lumMod val="60000"/>
              </a:schemeClr>
            </a:solidFill>
            <a:ln w="25400">
              <a:noFill/>
            </a:ln>
            <a:effectLst/>
          </c:spPr>
          <c:val>
            <c:numRef>
              <c:f>'Yearly Methanol'!$D$80:$AH$80</c:f>
              <c:numCache>
                <c:formatCode>0.0</c:formatCode>
                <c:ptCount val="4"/>
                <c:pt idx="0">
                  <c:v>4.3918200345154137</c:v>
                </c:pt>
                <c:pt idx="1">
                  <c:v>4.8177894516437654</c:v>
                </c:pt>
                <c:pt idx="2">
                  <c:v>5.0969059783956236</c:v>
                </c:pt>
                <c:pt idx="3">
                  <c:v>5.2849395197174305</c:v>
                </c:pt>
              </c:numCache>
            </c:numRef>
          </c:val>
          <c:extLst>
            <c:ext xmlns:c16="http://schemas.microsoft.com/office/drawing/2014/chart" uri="{C3380CC4-5D6E-409C-BE32-E72D297353CC}">
              <c16:uniqueId val="{00000005-E698-4836-A43C-3AFC2BFECB2E}"/>
            </c:ext>
          </c:extLst>
        </c:ser>
        <c:ser>
          <c:idx val="0"/>
          <c:order val="6"/>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4"/>
                <c:pt idx="0">
                  <c:v>31.201972235932139</c:v>
                </c:pt>
                <c:pt idx="1">
                  <c:v>33.753695776335711</c:v>
                </c:pt>
                <c:pt idx="2">
                  <c:v>36.305419316739282</c:v>
                </c:pt>
                <c:pt idx="3">
                  <c:v>38.857142857142854</c:v>
                </c:pt>
              </c:numCache>
            </c:numRef>
          </c:val>
          <c:extLst>
            <c:ext xmlns:c16="http://schemas.microsoft.com/office/drawing/2014/chart" uri="{C3380CC4-5D6E-409C-BE32-E72D297353CC}">
              <c16:uniqueId val="{00000006-E698-4836-A43C-3AFC2BFECB2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With R&amp;S and Recycling</a:t>
            </a:r>
          </a:p>
        </c:rich>
      </c:tx>
      <c:layout>
        <c:manualLayout>
          <c:xMode val="edge"/>
          <c:yMode val="edge"/>
          <c:x val="1.9372161546896673E-2"/>
          <c:y val="0.5551675734326266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Methanol'!$B$13</c:f>
              <c:strCache>
                <c:ptCount val="1"/>
                <c:pt idx="0">
                  <c:v>Fuel demand after R&amp;S</c:v>
                </c:pt>
              </c:strCache>
            </c:strRef>
          </c:tx>
          <c:spPr>
            <a:solidFill>
              <a:schemeClr val="accent2"/>
            </a:solidFill>
            <a:ln>
              <a:noFill/>
            </a:ln>
            <a:effectLst/>
          </c:spPr>
          <c:cat>
            <c:numRef>
              <c:f>'Yearly Methanol'!$D$3:$AH$3</c:f>
              <c:numCache>
                <c:formatCode>General</c:formatCode>
                <c:ptCount val="4"/>
                <c:pt idx="0">
                  <c:v>2020</c:v>
                </c:pt>
                <c:pt idx="1">
                  <c:v>2030</c:v>
                </c:pt>
                <c:pt idx="2">
                  <c:v>2040</c:v>
                </c:pt>
                <c:pt idx="3">
                  <c:v>2050</c:v>
                </c:pt>
              </c:numCache>
            </c:numRef>
          </c:cat>
          <c:val>
            <c:numRef>
              <c:f>'Yearly Methanol'!$D$13:$AH$13</c:f>
              <c:numCache>
                <c:formatCode>0.0</c:formatCode>
                <c:ptCount val="4"/>
                <c:pt idx="0">
                  <c:v>28.065001267929215</c:v>
                </c:pt>
                <c:pt idx="1">
                  <c:v>28.184568502779875</c:v>
                </c:pt>
                <c:pt idx="2">
                  <c:v>13.26780240846481</c:v>
                </c:pt>
                <c:pt idx="3">
                  <c:v>0</c:v>
                </c:pt>
              </c:numCache>
            </c:numRef>
          </c:val>
          <c:extLst>
            <c:ext xmlns:c16="http://schemas.microsoft.com/office/drawing/2014/chart" uri="{C3380CC4-5D6E-409C-BE32-E72D297353CC}">
              <c16:uniqueId val="{00000000-9CF4-4CE3-8E59-23817B559467}"/>
            </c:ext>
          </c:extLst>
        </c:ser>
        <c:ser>
          <c:idx val="2"/>
          <c:order val="1"/>
          <c:tx>
            <c:strRef>
              <c:f>'Yearly Methanol'!$A$116</c:f>
              <c:strCache>
                <c:ptCount val="1"/>
                <c:pt idx="0">
                  <c:v>Post R&amp;S and Recycling Methanol Demand for PU &amp; other polymers &amp; other category</c:v>
                </c:pt>
              </c:strCache>
            </c:strRef>
          </c:tx>
          <c:spPr>
            <a:solidFill>
              <a:schemeClr val="accent3"/>
            </a:solidFill>
            <a:ln>
              <a:noFill/>
            </a:ln>
            <a:effectLst/>
          </c:spPr>
          <c:cat>
            <c:numRef>
              <c:f>'Yearly Methanol'!$D$3:$AH$3</c:f>
              <c:numCache>
                <c:formatCode>General</c:formatCode>
                <c:ptCount val="4"/>
                <c:pt idx="0">
                  <c:v>2020</c:v>
                </c:pt>
                <c:pt idx="1">
                  <c:v>2030</c:v>
                </c:pt>
                <c:pt idx="2">
                  <c:v>2040</c:v>
                </c:pt>
                <c:pt idx="3">
                  <c:v>2050</c:v>
                </c:pt>
              </c:numCache>
            </c:numRef>
          </c:cat>
          <c:val>
            <c:numRef>
              <c:f>'Yearly Methanol'!$D$116:$AH$116</c:f>
              <c:numCache>
                <c:formatCode>0.0</c:formatCode>
                <c:ptCount val="4"/>
                <c:pt idx="0">
                  <c:v>70.960266702016895</c:v>
                </c:pt>
                <c:pt idx="1">
                  <c:v>102.30494610652059</c:v>
                </c:pt>
                <c:pt idx="2">
                  <c:v>86.434737218204233</c:v>
                </c:pt>
                <c:pt idx="3">
                  <c:v>61.994426733108149</c:v>
                </c:pt>
              </c:numCache>
            </c:numRef>
          </c:val>
          <c:extLst>
            <c:ext xmlns:c16="http://schemas.microsoft.com/office/drawing/2014/chart" uri="{C3380CC4-5D6E-409C-BE32-E72D297353CC}">
              <c16:uniqueId val="{00000001-9CF4-4CE3-8E59-23817B559467}"/>
            </c:ext>
          </c:extLst>
        </c:ser>
        <c:ser>
          <c:idx val="0"/>
          <c:order val="2"/>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4"/>
                <c:pt idx="0">
                  <c:v>31.201972235932139</c:v>
                </c:pt>
                <c:pt idx="1">
                  <c:v>33.753695776335711</c:v>
                </c:pt>
                <c:pt idx="2">
                  <c:v>36.305419316739282</c:v>
                </c:pt>
                <c:pt idx="3">
                  <c:v>38.857142857142854</c:v>
                </c:pt>
              </c:numCache>
            </c:numRef>
          </c:val>
          <c:extLst>
            <c:ext xmlns:c16="http://schemas.microsoft.com/office/drawing/2014/chart" uri="{C3380CC4-5D6E-409C-BE32-E72D297353CC}">
              <c16:uniqueId val="{00000002-9CF4-4CE3-8E59-23817B559467}"/>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max val="200"/>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BAU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areaChart>
        <c:grouping val="stacked"/>
        <c:varyColors val="0"/>
        <c:ser>
          <c:idx val="1"/>
          <c:order val="0"/>
          <c:tx>
            <c:strRef>
              <c:f>'Yearly Methanol'!$B$11</c:f>
              <c:strCache>
                <c:ptCount val="1"/>
                <c:pt idx="0">
                  <c:v>Sector demand BAU (fuel)</c:v>
                </c:pt>
              </c:strCache>
            </c:strRef>
          </c:tx>
          <c:spPr>
            <a:solidFill>
              <a:schemeClr val="accent2"/>
            </a:solidFill>
            <a:ln w="25400">
              <a:noFill/>
            </a:ln>
            <a:effectLst/>
          </c:spPr>
          <c:cat>
            <c:numRef>
              <c:f>'Yearly Methanol'!$D$3:$AH$3</c:f>
              <c:numCache>
                <c:formatCode>General</c:formatCode>
                <c:ptCount val="4"/>
                <c:pt idx="0">
                  <c:v>2020</c:v>
                </c:pt>
                <c:pt idx="1">
                  <c:v>2030</c:v>
                </c:pt>
                <c:pt idx="2">
                  <c:v>2040</c:v>
                </c:pt>
                <c:pt idx="3">
                  <c:v>2050</c:v>
                </c:pt>
              </c:numCache>
            </c:numRef>
          </c:cat>
          <c:val>
            <c:numRef>
              <c:f>'Yearly Methanol'!$D$11:$AH$11</c:f>
              <c:numCache>
                <c:formatCode>0.0</c:formatCode>
                <c:ptCount val="4"/>
                <c:pt idx="0">
                  <c:v>28.065001267929215</c:v>
                </c:pt>
                <c:pt idx="1">
                  <c:v>35.230710628474846</c:v>
                </c:pt>
                <c:pt idx="2">
                  <c:v>44.226008028216022</c:v>
                </c:pt>
                <c:pt idx="3">
                  <c:v>55.518033874995439</c:v>
                </c:pt>
              </c:numCache>
            </c:numRef>
          </c:val>
          <c:extLst>
            <c:ext xmlns:c16="http://schemas.microsoft.com/office/drawing/2014/chart" uri="{C3380CC4-5D6E-409C-BE32-E72D297353CC}">
              <c16:uniqueId val="{00000000-3188-40D7-B530-5F1F0555568E}"/>
            </c:ext>
          </c:extLst>
        </c:ser>
        <c:ser>
          <c:idx val="2"/>
          <c:order val="1"/>
          <c:tx>
            <c:strRef>
              <c:f>'Yearly Methanol'!$A$116</c:f>
              <c:strCache>
                <c:ptCount val="1"/>
                <c:pt idx="0">
                  <c:v>Post R&amp;S and Recycling Methanol Demand for PU &amp; other polymers &amp; other category</c:v>
                </c:pt>
              </c:strCache>
            </c:strRef>
          </c:tx>
          <c:spPr>
            <a:solidFill>
              <a:schemeClr val="accent3"/>
            </a:solidFill>
            <a:ln w="25400">
              <a:noFill/>
            </a:ln>
            <a:effectLst/>
          </c:spPr>
          <c:cat>
            <c:numRef>
              <c:f>'Yearly Methanol'!$D$3:$AH$3</c:f>
              <c:numCache>
                <c:formatCode>General</c:formatCode>
                <c:ptCount val="4"/>
                <c:pt idx="0">
                  <c:v>2020</c:v>
                </c:pt>
                <c:pt idx="1">
                  <c:v>2030</c:v>
                </c:pt>
                <c:pt idx="2">
                  <c:v>2040</c:v>
                </c:pt>
                <c:pt idx="3">
                  <c:v>2050</c:v>
                </c:pt>
              </c:numCache>
            </c:numRef>
          </c:cat>
          <c:val>
            <c:numRef>
              <c:f>'[2]Yearly HC Methanol'!#REF!</c:f>
              <c:numCache>
                <c:formatCode>General</c:formatCode>
                <c:ptCount val="1"/>
                <c:pt idx="0">
                  <c:v>1</c:v>
                </c:pt>
              </c:numCache>
            </c:numRef>
          </c:val>
          <c:extLst>
            <c:ext xmlns:c16="http://schemas.microsoft.com/office/drawing/2014/chart" uri="{C3380CC4-5D6E-409C-BE32-E72D297353CC}">
              <c16:uniqueId val="{00000001-3188-40D7-B530-5F1F0555568E}"/>
            </c:ext>
          </c:extLst>
        </c:ser>
        <c:ser>
          <c:idx val="0"/>
          <c:order val="2"/>
          <c:tx>
            <c:strRef>
              <c:f>'Yearly Methanol'!$A$5</c:f>
              <c:strCache>
                <c:ptCount val="1"/>
                <c:pt idx="0">
                  <c:v>MTO demand</c:v>
                </c:pt>
              </c:strCache>
            </c:strRef>
          </c:tx>
          <c:spPr>
            <a:solidFill>
              <a:schemeClr val="accent1"/>
            </a:solidFill>
            <a:ln w="25400">
              <a:noFill/>
            </a:ln>
            <a:effectLst/>
          </c:spPr>
          <c:val>
            <c:numRef>
              <c:f>'Yearly Methanol'!$D$5:$AH$5</c:f>
              <c:numCache>
                <c:formatCode>0.0</c:formatCode>
                <c:ptCount val="4"/>
                <c:pt idx="0">
                  <c:v>31.201972235932139</c:v>
                </c:pt>
                <c:pt idx="1">
                  <c:v>33.753695776335711</c:v>
                </c:pt>
                <c:pt idx="2">
                  <c:v>36.305419316739282</c:v>
                </c:pt>
                <c:pt idx="3">
                  <c:v>38.857142857142854</c:v>
                </c:pt>
              </c:numCache>
            </c:numRef>
          </c:val>
          <c:extLst>
            <c:ext xmlns:c16="http://schemas.microsoft.com/office/drawing/2014/chart" uri="{C3380CC4-5D6E-409C-BE32-E72D297353CC}">
              <c16:uniqueId val="{00000002-3188-40D7-B530-5F1F0555568E}"/>
            </c:ext>
          </c:extLst>
        </c:ser>
        <c:dLbls>
          <c:showLegendKey val="0"/>
          <c:showVal val="0"/>
          <c:showCatName val="0"/>
          <c:showSerName val="0"/>
          <c:showPercent val="0"/>
          <c:showBubbleSize val="0"/>
        </c:dLbls>
        <c:axId val="385098640"/>
        <c:axId val="385091568"/>
      </c:areaChart>
      <c:catAx>
        <c:axId val="38509864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1568"/>
        <c:crosses val="autoZero"/>
        <c:auto val="1"/>
        <c:lblAlgn val="ctr"/>
        <c:lblOffset val="100"/>
        <c:noMultiLvlLbl val="1"/>
      </c:catAx>
      <c:valAx>
        <c:axId val="38509156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850986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Auto</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LC Ethylene'!$B$12:$C$12</c:f>
              <c:strCache>
                <c:ptCount val="2"/>
                <c:pt idx="0">
                  <c:v>Sector demand BAU</c:v>
                </c:pt>
                <c:pt idx="1">
                  <c:v>m Tons</c:v>
                </c:pt>
              </c:strCache>
            </c:strRef>
          </c:tx>
          <c:spPr>
            <a:ln w="28575" cap="rnd">
              <a:solidFill>
                <a:schemeClr val="accent1"/>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Ethylene'!$D$12:$AH$12</c:f>
              <c:numCache>
                <c:formatCode>0.0</c:formatCode>
                <c:ptCount val="4"/>
                <c:pt idx="0">
                  <c:v>8.4778361655826675</c:v>
                </c:pt>
                <c:pt idx="1">
                  <c:v>10.034472539196042</c:v>
                </c:pt>
                <c:pt idx="2">
                  <c:v>11.87692675032476</c:v>
                </c:pt>
                <c:pt idx="3">
                  <c:v>14.057678515893537</c:v>
                </c:pt>
              </c:numCache>
            </c:numRef>
          </c:val>
          <c:smooth val="0"/>
          <c:extLst>
            <c:ext xmlns:c16="http://schemas.microsoft.com/office/drawing/2014/chart" uri="{C3380CC4-5D6E-409C-BE32-E72D297353CC}">
              <c16:uniqueId val="{00000000-9504-416C-B23A-A219019CC417}"/>
            </c:ext>
          </c:extLst>
        </c:ser>
        <c:ser>
          <c:idx val="1"/>
          <c:order val="1"/>
          <c:tx>
            <c:strRef>
              <c:f>'Yearly LC Ethylene'!$B$19:$C$19</c:f>
              <c:strCache>
                <c:ptCount val="2"/>
                <c:pt idx="0">
                  <c:v>Sector demand Post R&amp;S</c:v>
                </c:pt>
                <c:pt idx="1">
                  <c:v>m Tons</c:v>
                </c:pt>
              </c:strCache>
            </c:strRef>
          </c:tx>
          <c:spPr>
            <a:ln w="28575" cap="rnd">
              <a:solidFill>
                <a:schemeClr val="accent2"/>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Ethylene'!$D$19:$AH$19</c:f>
              <c:numCache>
                <c:formatCode>0.0</c:formatCode>
                <c:ptCount val="4"/>
                <c:pt idx="0">
                  <c:v>8.4778361655826675</c:v>
                </c:pt>
                <c:pt idx="1">
                  <c:v>9.8629330555352155</c:v>
                </c:pt>
                <c:pt idx="2">
                  <c:v>11.158498577353665</c:v>
                </c:pt>
                <c:pt idx="3">
                  <c:v>11.556220056579152</c:v>
                </c:pt>
              </c:numCache>
            </c:numRef>
          </c:val>
          <c:smooth val="0"/>
          <c:extLst>
            <c:ext xmlns:c16="http://schemas.microsoft.com/office/drawing/2014/chart" uri="{C3380CC4-5D6E-409C-BE32-E72D297353CC}">
              <c16:uniqueId val="{00000001-9504-416C-B23A-A219019CC417}"/>
            </c:ext>
          </c:extLst>
        </c:ser>
        <c:dLbls>
          <c:showLegendKey val="0"/>
          <c:showVal val="0"/>
          <c:showCatName val="0"/>
          <c:showSerName val="0"/>
          <c:showPercent val="0"/>
          <c:showBubbleSize val="0"/>
        </c:dLbls>
        <c:smooth val="0"/>
        <c:axId val="1353520304"/>
        <c:axId val="1353512816"/>
      </c:lineChart>
      <c:catAx>
        <c:axId val="13535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2816"/>
        <c:crosses val="autoZero"/>
        <c:auto val="1"/>
        <c:lblAlgn val="ctr"/>
        <c:lblOffset val="100"/>
        <c:noMultiLvlLbl val="0"/>
      </c:catAx>
      <c:valAx>
        <c:axId val="135351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2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Packaging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LC Ethylene'!$B$26:$C$26</c:f>
              <c:strCache>
                <c:ptCount val="2"/>
                <c:pt idx="0">
                  <c:v>Sector demand BAU</c:v>
                </c:pt>
                <c:pt idx="1">
                  <c:v>m Tons</c:v>
                </c:pt>
              </c:strCache>
            </c:strRef>
          </c:tx>
          <c:spPr>
            <a:ln w="28575" cap="rnd">
              <a:solidFill>
                <a:schemeClr val="accent1"/>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Ethylene'!$D$26:$AH$26</c:f>
              <c:numCache>
                <c:formatCode>0.0</c:formatCode>
                <c:ptCount val="4"/>
                <c:pt idx="0">
                  <c:v>89.109936202323638</c:v>
                </c:pt>
                <c:pt idx="1">
                  <c:v>102.4013501289316</c:v>
                </c:pt>
                <c:pt idx="2">
                  <c:v>117.67527792208882</c:v>
                </c:pt>
                <c:pt idx="3">
                  <c:v>135.22742636308757</c:v>
                </c:pt>
              </c:numCache>
            </c:numRef>
          </c:val>
          <c:smooth val="0"/>
          <c:extLst>
            <c:ext xmlns:c16="http://schemas.microsoft.com/office/drawing/2014/chart" uri="{C3380CC4-5D6E-409C-BE32-E72D297353CC}">
              <c16:uniqueId val="{00000000-9504-416C-B23A-A219019CC417}"/>
            </c:ext>
          </c:extLst>
        </c:ser>
        <c:ser>
          <c:idx val="1"/>
          <c:order val="1"/>
          <c:tx>
            <c:strRef>
              <c:f>'Yearly LC Ethylene'!$B$33:$C$33</c:f>
              <c:strCache>
                <c:ptCount val="2"/>
                <c:pt idx="0">
                  <c:v>Sector demand Post R&amp;S</c:v>
                </c:pt>
                <c:pt idx="1">
                  <c:v>m Tons</c:v>
                </c:pt>
              </c:strCache>
            </c:strRef>
          </c:tx>
          <c:spPr>
            <a:ln w="28575" cap="rnd">
              <a:solidFill>
                <a:schemeClr val="accent2"/>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Ethylene'!$D$33:$AH$33</c:f>
              <c:numCache>
                <c:formatCode>0.0</c:formatCode>
                <c:ptCount val="4"/>
                <c:pt idx="0">
                  <c:v>89.109936202323638</c:v>
                </c:pt>
                <c:pt idx="1">
                  <c:v>91.464107684900725</c:v>
                </c:pt>
                <c:pt idx="2">
                  <c:v>83.599429898980475</c:v>
                </c:pt>
                <c:pt idx="3">
                  <c:v>69.045771626728879</c:v>
                </c:pt>
              </c:numCache>
            </c:numRef>
          </c:val>
          <c:smooth val="0"/>
          <c:extLst>
            <c:ext xmlns:c16="http://schemas.microsoft.com/office/drawing/2014/chart" uri="{C3380CC4-5D6E-409C-BE32-E72D297353CC}">
              <c16:uniqueId val="{00000001-9504-416C-B23A-A219019CC417}"/>
            </c:ext>
          </c:extLst>
        </c:ser>
        <c:dLbls>
          <c:showLegendKey val="0"/>
          <c:showVal val="0"/>
          <c:showCatName val="0"/>
          <c:showSerName val="0"/>
          <c:showPercent val="0"/>
          <c:showBubbleSize val="0"/>
        </c:dLbls>
        <c:smooth val="0"/>
        <c:axId val="1353520304"/>
        <c:axId val="1353512816"/>
      </c:lineChart>
      <c:catAx>
        <c:axId val="13535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2816"/>
        <c:crosses val="autoZero"/>
        <c:auto val="1"/>
        <c:lblAlgn val="ctr"/>
        <c:lblOffset val="100"/>
        <c:noMultiLvlLbl val="0"/>
      </c:catAx>
      <c:valAx>
        <c:axId val="135351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2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Consturction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LC Ethylene'!$B$40:$C$40</c:f>
              <c:strCache>
                <c:ptCount val="2"/>
                <c:pt idx="0">
                  <c:v>Sector demand BAU</c:v>
                </c:pt>
                <c:pt idx="1">
                  <c:v>m Tons</c:v>
                </c:pt>
              </c:strCache>
            </c:strRef>
          </c:tx>
          <c:spPr>
            <a:ln w="28575" cap="rnd">
              <a:solidFill>
                <a:schemeClr val="accent1"/>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Ethylene'!$D$40:$AH$40</c:f>
              <c:numCache>
                <c:formatCode>0.0</c:formatCode>
                <c:ptCount val="4"/>
                <c:pt idx="0">
                  <c:v>34.871127768537121</c:v>
                </c:pt>
                <c:pt idx="1">
                  <c:v>41.27390140242624</c:v>
                </c:pt>
                <c:pt idx="2">
                  <c:v>48.852304068990755</c:v>
                </c:pt>
                <c:pt idx="3">
                  <c:v>57.822195909709656</c:v>
                </c:pt>
              </c:numCache>
            </c:numRef>
          </c:val>
          <c:smooth val="0"/>
          <c:extLst>
            <c:ext xmlns:c16="http://schemas.microsoft.com/office/drawing/2014/chart" uri="{C3380CC4-5D6E-409C-BE32-E72D297353CC}">
              <c16:uniqueId val="{00000000-9504-416C-B23A-A219019CC417}"/>
            </c:ext>
          </c:extLst>
        </c:ser>
        <c:ser>
          <c:idx val="1"/>
          <c:order val="1"/>
          <c:tx>
            <c:strRef>
              <c:f>'Yearly LC Ethylene'!$B$43:$C$43</c:f>
              <c:strCache>
                <c:ptCount val="2"/>
                <c:pt idx="0">
                  <c:v>Sector demand Post R&amp;S</c:v>
                </c:pt>
                <c:pt idx="1">
                  <c:v>m Tons</c:v>
                </c:pt>
              </c:strCache>
            </c:strRef>
          </c:tx>
          <c:spPr>
            <a:ln w="28575" cap="rnd">
              <a:solidFill>
                <a:schemeClr val="accent2"/>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Ethylene'!$D$43:$AH$43</c:f>
              <c:numCache>
                <c:formatCode>0.0</c:formatCode>
                <c:ptCount val="4"/>
                <c:pt idx="0">
                  <c:v>34.871127768537121</c:v>
                </c:pt>
                <c:pt idx="1">
                  <c:v>36.958062099048902</c:v>
                </c:pt>
                <c:pt idx="2">
                  <c:v>38.635741699187882</c:v>
                </c:pt>
                <c:pt idx="3">
                  <c:v>39.50030114744451</c:v>
                </c:pt>
              </c:numCache>
            </c:numRef>
          </c:val>
          <c:smooth val="0"/>
          <c:extLst>
            <c:ext xmlns:c16="http://schemas.microsoft.com/office/drawing/2014/chart" uri="{C3380CC4-5D6E-409C-BE32-E72D297353CC}">
              <c16:uniqueId val="{00000001-9504-416C-B23A-A219019CC417}"/>
            </c:ext>
          </c:extLst>
        </c:ser>
        <c:dLbls>
          <c:showLegendKey val="0"/>
          <c:showVal val="0"/>
          <c:showCatName val="0"/>
          <c:showSerName val="0"/>
          <c:showPercent val="0"/>
          <c:showBubbleSize val="0"/>
        </c:dLbls>
        <c:smooth val="0"/>
        <c:axId val="1353520304"/>
        <c:axId val="1353512816"/>
      </c:lineChart>
      <c:catAx>
        <c:axId val="13535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2816"/>
        <c:crosses val="autoZero"/>
        <c:auto val="1"/>
        <c:lblAlgn val="ctr"/>
        <c:lblOffset val="100"/>
        <c:noMultiLvlLbl val="0"/>
      </c:catAx>
      <c:valAx>
        <c:axId val="135351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2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Textile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'Yearly LC Ethylene'!$B$50:$C$50</c:f>
              <c:strCache>
                <c:ptCount val="2"/>
                <c:pt idx="0">
                  <c:v>Sector demand BAU</c:v>
                </c:pt>
                <c:pt idx="1">
                  <c:v>m Tons</c:v>
                </c:pt>
              </c:strCache>
            </c:strRef>
          </c:tx>
          <c:spPr>
            <a:ln w="28575" cap="rnd">
              <a:solidFill>
                <a:schemeClr val="accent1"/>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Ethylene'!$D$50:$AH$50</c:f>
              <c:numCache>
                <c:formatCode>0.0</c:formatCode>
                <c:ptCount val="4"/>
                <c:pt idx="0">
                  <c:v>3.4336211538461541</c:v>
                </c:pt>
                <c:pt idx="1">
                  <c:v>4.2267814888194408</c:v>
                </c:pt>
                <c:pt idx="2">
                  <c:v>5.203160440171021</c:v>
                </c:pt>
                <c:pt idx="3">
                  <c:v>6.4050811800357046</c:v>
                </c:pt>
              </c:numCache>
            </c:numRef>
          </c:val>
          <c:smooth val="0"/>
          <c:extLst>
            <c:ext xmlns:c16="http://schemas.microsoft.com/office/drawing/2014/chart" uri="{C3380CC4-5D6E-409C-BE32-E72D297353CC}">
              <c16:uniqueId val="{00000000-9504-416C-B23A-A219019CC417}"/>
            </c:ext>
          </c:extLst>
        </c:ser>
        <c:ser>
          <c:idx val="1"/>
          <c:order val="1"/>
          <c:tx>
            <c:strRef>
              <c:f>'Yearly LC Ethylene'!$B$55:$C$55</c:f>
              <c:strCache>
                <c:ptCount val="2"/>
                <c:pt idx="0">
                  <c:v>Sector demand Post R&amp;S</c:v>
                </c:pt>
                <c:pt idx="1">
                  <c:v>m Tons</c:v>
                </c:pt>
              </c:strCache>
            </c:strRef>
          </c:tx>
          <c:spPr>
            <a:ln w="28575" cap="rnd">
              <a:solidFill>
                <a:schemeClr val="accent2"/>
              </a:solidFill>
              <a:round/>
            </a:ln>
            <a:effectLst/>
          </c:spPr>
          <c:marker>
            <c:symbol val="none"/>
          </c:marker>
          <c:cat>
            <c:numRef>
              <c:f>'Yearly LC Ethylene'!$D$3:$AH$3</c:f>
              <c:numCache>
                <c:formatCode>General</c:formatCode>
                <c:ptCount val="4"/>
                <c:pt idx="0">
                  <c:v>2020</c:v>
                </c:pt>
                <c:pt idx="1">
                  <c:v>2030</c:v>
                </c:pt>
                <c:pt idx="2">
                  <c:v>2040</c:v>
                </c:pt>
                <c:pt idx="3">
                  <c:v>2050</c:v>
                </c:pt>
              </c:numCache>
            </c:numRef>
          </c:cat>
          <c:val>
            <c:numRef>
              <c:f>'Yearly LC Ethylene'!$D$55:$AH$55</c:f>
              <c:numCache>
                <c:formatCode>0.0</c:formatCode>
                <c:ptCount val="4"/>
                <c:pt idx="0">
                  <c:v>3.4336211538461541</c:v>
                </c:pt>
                <c:pt idx="1">
                  <c:v>3.5737437487968373</c:v>
                </c:pt>
                <c:pt idx="2">
                  <c:v>3.8321276641859563</c:v>
                </c:pt>
                <c:pt idx="3">
                  <c:v>3.8750741139216012</c:v>
                </c:pt>
              </c:numCache>
            </c:numRef>
          </c:val>
          <c:smooth val="0"/>
          <c:extLst>
            <c:ext xmlns:c16="http://schemas.microsoft.com/office/drawing/2014/chart" uri="{C3380CC4-5D6E-409C-BE32-E72D297353CC}">
              <c16:uniqueId val="{00000001-9504-416C-B23A-A219019CC417}"/>
            </c:ext>
          </c:extLst>
        </c:ser>
        <c:dLbls>
          <c:showLegendKey val="0"/>
          <c:showVal val="0"/>
          <c:showCatName val="0"/>
          <c:showSerName val="0"/>
          <c:showPercent val="0"/>
          <c:showBubbleSize val="0"/>
        </c:dLbls>
        <c:smooth val="0"/>
        <c:axId val="1353520304"/>
        <c:axId val="1353512816"/>
      </c:lineChart>
      <c:catAx>
        <c:axId val="1353520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12816"/>
        <c:crosses val="autoZero"/>
        <c:auto val="1"/>
        <c:lblAlgn val="ctr"/>
        <c:lblOffset val="100"/>
        <c:noMultiLvlLbl val="0"/>
      </c:catAx>
      <c:valAx>
        <c:axId val="1353512816"/>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352030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'R&amp;S - Transportation'!$V$28</c:f>
              <c:strCache>
                <c:ptCount val="1"/>
                <c:pt idx="0">
                  <c:v>White</c:v>
                </c:pt>
              </c:strCache>
            </c:strRef>
          </c:tx>
          <c:spPr>
            <a:noFill/>
            <a:ln>
              <a:noFill/>
            </a:ln>
            <a:effectLst/>
          </c:spPr>
          <c:invertIfNegative val="0"/>
          <c:cat>
            <c:strRef>
              <c:f>'R&amp;S - Transportation'!$A$4:$A$13</c:f>
              <c:strCache>
                <c:ptCount val="10"/>
                <c:pt idx="0">
                  <c:v>Demand 2020</c:v>
                </c:pt>
                <c:pt idx="1">
                  <c:v>Economic &amp; Population Growth</c:v>
                </c:pt>
                <c:pt idx="2">
                  <c:v>Fuel demand growth</c:v>
                </c:pt>
                <c:pt idx="3">
                  <c:v>BAU 2050</c:v>
                </c:pt>
                <c:pt idx="4">
                  <c:v>Switch from ICE to EV (Plastics increase)</c:v>
                </c:pt>
                <c:pt idx="5">
                  <c:v>Switch from ICE to EV (Fuel demand reduction)</c:v>
                </c:pt>
                <c:pt idx="6">
                  <c:v>MaaS</c:v>
                </c:pt>
                <c:pt idx="7">
                  <c:v>Life Extension</c:v>
                </c:pt>
                <c:pt idx="8">
                  <c:v>Substitution in cars</c:v>
                </c:pt>
                <c:pt idx="9">
                  <c:v>NZ/CE 2050</c:v>
                </c:pt>
              </c:strCache>
            </c:strRef>
          </c:cat>
          <c:val>
            <c:numRef>
              <c:f>'R&amp;S - Transportation'!$V$29:$V$36</c:f>
              <c:numCache>
                <c:formatCode>General</c:formatCode>
                <c:ptCount val="8"/>
                <c:pt idx="1">
                  <c:v>100</c:v>
                </c:pt>
                <c:pt idx="3">
                  <c:v>200</c:v>
                </c:pt>
                <c:pt idx="4">
                  <c:v>147.39999999999998</c:v>
                </c:pt>
                <c:pt idx="5">
                  <c:v>101.19999999999999</c:v>
                </c:pt>
                <c:pt idx="6">
                  <c:v>0</c:v>
                </c:pt>
              </c:numCache>
            </c:numRef>
          </c:val>
          <c:extLst>
            <c:ext xmlns:c16="http://schemas.microsoft.com/office/drawing/2014/chart" uri="{C3380CC4-5D6E-409C-BE32-E72D297353CC}">
              <c16:uniqueId val="{00000000-C3DE-4828-9CD4-25E778DE3D89}"/>
            </c:ext>
          </c:extLst>
        </c:ser>
        <c:ser>
          <c:idx val="1"/>
          <c:order val="1"/>
          <c:tx>
            <c:strRef>
              <c:f>'R&amp;S - Transportation'!$W$28</c:f>
              <c:strCache>
                <c:ptCount val="1"/>
                <c:pt idx="0">
                  <c:v>Blue</c:v>
                </c:pt>
              </c:strCache>
            </c:strRef>
          </c:tx>
          <c:spPr>
            <a:solidFill>
              <a:schemeClr val="accent1"/>
            </a:solidFill>
            <a:ln>
              <a:noFill/>
            </a:ln>
            <a:effectLst/>
          </c:spPr>
          <c:invertIfNegative val="0"/>
          <c:cat>
            <c:strRef>
              <c:f>'R&amp;S - Transportation'!$A$4:$A$13</c:f>
              <c:strCache>
                <c:ptCount val="10"/>
                <c:pt idx="0">
                  <c:v>Demand 2020</c:v>
                </c:pt>
                <c:pt idx="1">
                  <c:v>Economic &amp; Population Growth</c:v>
                </c:pt>
                <c:pt idx="2">
                  <c:v>Fuel demand growth</c:v>
                </c:pt>
                <c:pt idx="3">
                  <c:v>BAU 2050</c:v>
                </c:pt>
                <c:pt idx="4">
                  <c:v>Switch from ICE to EV (Plastics increase)</c:v>
                </c:pt>
                <c:pt idx="5">
                  <c:v>Switch from ICE to EV (Fuel demand reduction)</c:v>
                </c:pt>
                <c:pt idx="6">
                  <c:v>MaaS</c:v>
                </c:pt>
                <c:pt idx="7">
                  <c:v>Life Extension</c:v>
                </c:pt>
                <c:pt idx="8">
                  <c:v>Substitution in cars</c:v>
                </c:pt>
                <c:pt idx="9">
                  <c:v>NZ/CE 2050</c:v>
                </c:pt>
              </c:strCache>
            </c:strRef>
          </c:cat>
          <c:val>
            <c:numRef>
              <c:f>'R&amp;S - Transportation'!$W$29:$W$36</c:f>
              <c:numCache>
                <c:formatCode>General</c:formatCode>
                <c:ptCount val="8"/>
                <c:pt idx="0">
                  <c:v>100</c:v>
                </c:pt>
                <c:pt idx="1">
                  <c:v>100</c:v>
                </c:pt>
                <c:pt idx="2">
                  <c:v>200</c:v>
                </c:pt>
                <c:pt idx="3">
                  <c:v>20</c:v>
                </c:pt>
                <c:pt idx="4">
                  <c:v>72.600000000000009</c:v>
                </c:pt>
                <c:pt idx="5">
                  <c:v>46.199999999999996</c:v>
                </c:pt>
                <c:pt idx="6">
                  <c:v>0</c:v>
                </c:pt>
                <c:pt idx="7">
                  <c:v>101.19999999999999</c:v>
                </c:pt>
              </c:numCache>
            </c:numRef>
          </c:val>
          <c:extLst>
            <c:ext xmlns:c16="http://schemas.microsoft.com/office/drawing/2014/chart" uri="{C3380CC4-5D6E-409C-BE32-E72D297353CC}">
              <c16:uniqueId val="{00000001-C3DE-4828-9CD4-25E778DE3D89}"/>
            </c:ext>
          </c:extLst>
        </c:ser>
        <c:dLbls>
          <c:showLegendKey val="0"/>
          <c:showVal val="0"/>
          <c:showCatName val="0"/>
          <c:showSerName val="0"/>
          <c:showPercent val="0"/>
          <c:showBubbleSize val="0"/>
        </c:dLbls>
        <c:gapWidth val="150"/>
        <c:overlap val="100"/>
        <c:axId val="108960976"/>
        <c:axId val="108961392"/>
      </c:barChart>
      <c:catAx>
        <c:axId val="108960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61392"/>
        <c:crosses val="autoZero"/>
        <c:auto val="1"/>
        <c:lblAlgn val="ctr"/>
        <c:lblOffset val="100"/>
        <c:noMultiLvlLbl val="0"/>
      </c:catAx>
      <c:valAx>
        <c:axId val="108961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96097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3.xml"/><Relationship Id="rId2" Type="http://schemas.openxmlformats.org/officeDocument/2006/relationships/chart" Target="../charts/chart12.xml"/><Relationship Id="rId1" Type="http://schemas.openxmlformats.org/officeDocument/2006/relationships/chart" Target="../charts/chart11.xml"/><Relationship Id="rId4" Type="http://schemas.openxmlformats.org/officeDocument/2006/relationships/chart" Target="../charts/chart14.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4.emf"/><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7.xml.rels><?xml version="1.0" encoding="UTF-8" standalone="yes"?>
<Relationships xmlns="http://schemas.openxmlformats.org/package/2006/relationships"><Relationship Id="rId3" Type="http://schemas.openxmlformats.org/officeDocument/2006/relationships/image" Target="../media/image9.jpeg"/><Relationship Id="rId2" Type="http://schemas.openxmlformats.org/officeDocument/2006/relationships/image" Target="../media/image8.jpeg"/><Relationship Id="rId1" Type="http://schemas.openxmlformats.org/officeDocument/2006/relationships/image" Target="../media/image7.jpeg"/></Relationships>
</file>

<file path=xl/drawings/_rels/drawing8.xml.rels><?xml version="1.0" encoding="UTF-8" standalone="yes"?>
<Relationships xmlns="http://schemas.openxmlformats.org/package/2006/relationships"><Relationship Id="rId3" Type="http://schemas.openxmlformats.org/officeDocument/2006/relationships/image" Target="../media/image11.gif"/><Relationship Id="rId2" Type="http://schemas.openxmlformats.org/officeDocument/2006/relationships/image" Target="../media/image10.jpeg"/><Relationship Id="rId1" Type="http://schemas.openxmlformats.org/officeDocument/2006/relationships/image" Target="../media/image8.jpeg"/><Relationship Id="rId4" Type="http://schemas.openxmlformats.org/officeDocument/2006/relationships/image" Target="../media/image12.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1.xml.rels><?xml version="1.0" encoding="UTF-8" standalone="yes"?>
<Relationships xmlns="http://schemas.openxmlformats.org/package/2006/relationships"><Relationship Id="rId8" Type="http://schemas.openxmlformats.org/officeDocument/2006/relationships/image" Target="../media/image22.jpeg"/><Relationship Id="rId3" Type="http://schemas.openxmlformats.org/officeDocument/2006/relationships/image" Target="../media/image17.png"/><Relationship Id="rId7" Type="http://schemas.openxmlformats.org/officeDocument/2006/relationships/image" Target="../media/image21.jpeg"/><Relationship Id="rId2" Type="http://schemas.openxmlformats.org/officeDocument/2006/relationships/image" Target="../media/image16.png"/><Relationship Id="rId1" Type="http://schemas.openxmlformats.org/officeDocument/2006/relationships/image" Target="../media/image15.png"/><Relationship Id="rId6" Type="http://schemas.openxmlformats.org/officeDocument/2006/relationships/image" Target="../media/image20.png"/><Relationship Id="rId11" Type="http://schemas.openxmlformats.org/officeDocument/2006/relationships/image" Target="../media/image25.jpeg"/><Relationship Id="rId5" Type="http://schemas.openxmlformats.org/officeDocument/2006/relationships/image" Target="../media/image19.png"/><Relationship Id="rId10" Type="http://schemas.openxmlformats.org/officeDocument/2006/relationships/image" Target="../media/image24.jpeg"/><Relationship Id="rId4" Type="http://schemas.openxmlformats.org/officeDocument/2006/relationships/image" Target="../media/image18.png"/><Relationship Id="rId9" Type="http://schemas.openxmlformats.org/officeDocument/2006/relationships/image" Target="../media/image23.jpeg"/></Relationships>
</file>

<file path=xl/drawings/_rels/drawing12.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3.xml.rels><?xml version="1.0" encoding="UTF-8" standalone="yes"?>
<Relationships xmlns="http://schemas.openxmlformats.org/package/2006/relationships"><Relationship Id="rId2" Type="http://schemas.openxmlformats.org/officeDocument/2006/relationships/image" Target="../media/image27.png"/><Relationship Id="rId1" Type="http://schemas.openxmlformats.org/officeDocument/2006/relationships/image" Target="../media/image26.png"/></Relationships>
</file>

<file path=xl/drawings/_rels/drawing14.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jpeg"/><Relationship Id="rId4" Type="http://schemas.openxmlformats.org/officeDocument/2006/relationships/image" Target="../media/image3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16.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9.png"/><Relationship Id="rId1" Type="http://schemas.openxmlformats.org/officeDocument/2006/relationships/image" Target="../media/image28.jpeg"/><Relationship Id="rId4" Type="http://schemas.openxmlformats.org/officeDocument/2006/relationships/image" Target="../media/image3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8.jpeg"/></Relationships>
</file>

<file path=xl/drawings/_rels/drawing18.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8.jpeg"/><Relationship Id="rId1" Type="http://schemas.openxmlformats.org/officeDocument/2006/relationships/image" Target="../media/image32.png"/></Relationships>
</file>

<file path=xl/drawings/_rels/drawing24.xml.rels><?xml version="1.0" encoding="UTF-8" standalone="yes"?>
<Relationships xmlns="http://schemas.openxmlformats.org/package/2006/relationships"><Relationship Id="rId2" Type="http://schemas.openxmlformats.org/officeDocument/2006/relationships/image" Target="../media/image31.png"/><Relationship Id="rId1" Type="http://schemas.openxmlformats.org/officeDocument/2006/relationships/image" Target="../media/image33.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35.png"/><Relationship Id="rId1" Type="http://schemas.openxmlformats.org/officeDocument/2006/relationships/image" Target="../media/image34.png"/></Relationships>
</file>

<file path=xl/drawings/drawing1.xml><?xml version="1.0" encoding="utf-8"?>
<xdr:wsDr xmlns:xdr="http://schemas.openxmlformats.org/drawingml/2006/spreadsheetDrawing" xmlns:a="http://schemas.openxmlformats.org/drawingml/2006/main">
  <xdr:twoCellAnchor>
    <xdr:from>
      <xdr:col>4</xdr:col>
      <xdr:colOff>0</xdr:colOff>
      <xdr:row>82</xdr:row>
      <xdr:rowOff>80818</xdr:rowOff>
    </xdr:from>
    <xdr:to>
      <xdr:col>14</xdr:col>
      <xdr:colOff>0</xdr:colOff>
      <xdr:row>95</xdr:row>
      <xdr:rowOff>51254</xdr:rowOff>
    </xdr:to>
    <xdr:graphicFrame macro="">
      <xdr:nvGraphicFramePr>
        <xdr:cNvPr id="2" name="Chart 1">
          <a:extLst>
            <a:ext uri="{FF2B5EF4-FFF2-40B4-BE49-F238E27FC236}">
              <a16:creationId xmlns:a16="http://schemas.microsoft.com/office/drawing/2014/main" id="{53394267-16BF-4C2A-8256-53FAF94A7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334818</xdr:colOff>
      <xdr:row>81</xdr:row>
      <xdr:rowOff>154585</xdr:rowOff>
    </xdr:from>
    <xdr:to>
      <xdr:col>33</xdr:col>
      <xdr:colOff>334818</xdr:colOff>
      <xdr:row>107</xdr:row>
      <xdr:rowOff>99703</xdr:rowOff>
    </xdr:to>
    <xdr:graphicFrame macro="">
      <xdr:nvGraphicFramePr>
        <xdr:cNvPr id="3" name="Chart 2">
          <a:extLst>
            <a:ext uri="{FF2B5EF4-FFF2-40B4-BE49-F238E27FC236}">
              <a16:creationId xmlns:a16="http://schemas.microsoft.com/office/drawing/2014/main" id="{C2E4C9ED-3847-44FF-8154-3E21A585F9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523748</xdr:colOff>
      <xdr:row>85</xdr:row>
      <xdr:rowOff>68530</xdr:rowOff>
    </xdr:from>
    <xdr:to>
      <xdr:col>3</xdr:col>
      <xdr:colOff>1258454</xdr:colOff>
      <xdr:row>111</xdr:row>
      <xdr:rowOff>4123</xdr:rowOff>
    </xdr:to>
    <xdr:graphicFrame macro="">
      <xdr:nvGraphicFramePr>
        <xdr:cNvPr id="4" name="Chart 3">
          <a:extLst>
            <a:ext uri="{FF2B5EF4-FFF2-40B4-BE49-F238E27FC236}">
              <a16:creationId xmlns:a16="http://schemas.microsoft.com/office/drawing/2014/main" id="{9FACC855-12A0-4DA0-8B78-5E7C550E87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230910</xdr:colOff>
      <xdr:row>82</xdr:row>
      <xdr:rowOff>61109</xdr:rowOff>
    </xdr:from>
    <xdr:to>
      <xdr:col>35</xdr:col>
      <xdr:colOff>230910</xdr:colOff>
      <xdr:row>107</xdr:row>
      <xdr:rowOff>178254</xdr:rowOff>
    </xdr:to>
    <xdr:graphicFrame macro="">
      <xdr:nvGraphicFramePr>
        <xdr:cNvPr id="5" name="Chart 4">
          <a:extLst>
            <a:ext uri="{FF2B5EF4-FFF2-40B4-BE49-F238E27FC236}">
              <a16:creationId xmlns:a16="http://schemas.microsoft.com/office/drawing/2014/main" id="{3493F456-1DFD-4FF9-98C0-EF0D37B705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600363</xdr:colOff>
      <xdr:row>82</xdr:row>
      <xdr:rowOff>16040</xdr:rowOff>
    </xdr:from>
    <xdr:to>
      <xdr:col>35</xdr:col>
      <xdr:colOff>1212272</xdr:colOff>
      <xdr:row>107</xdr:row>
      <xdr:rowOff>145885</xdr:rowOff>
    </xdr:to>
    <xdr:graphicFrame macro="">
      <xdr:nvGraphicFramePr>
        <xdr:cNvPr id="6" name="Chart 5">
          <a:extLst>
            <a:ext uri="{FF2B5EF4-FFF2-40B4-BE49-F238E27FC236}">
              <a16:creationId xmlns:a16="http://schemas.microsoft.com/office/drawing/2014/main" id="{6E729578-B025-4130-89A0-F4995783D5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132</xdr:row>
      <xdr:rowOff>80818</xdr:rowOff>
    </xdr:from>
    <xdr:to>
      <xdr:col>14</xdr:col>
      <xdr:colOff>0</xdr:colOff>
      <xdr:row>145</xdr:row>
      <xdr:rowOff>51254</xdr:rowOff>
    </xdr:to>
    <xdr:graphicFrame macro="">
      <xdr:nvGraphicFramePr>
        <xdr:cNvPr id="2" name="Chart 1">
          <a:extLst>
            <a:ext uri="{FF2B5EF4-FFF2-40B4-BE49-F238E27FC236}">
              <a16:creationId xmlns:a16="http://schemas.microsoft.com/office/drawing/2014/main" id="{93525421-2458-4324-B274-14A212BB62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23</xdr:col>
      <xdr:colOff>334818</xdr:colOff>
      <xdr:row>131</xdr:row>
      <xdr:rowOff>154585</xdr:rowOff>
    </xdr:from>
    <xdr:to>
      <xdr:col>33</xdr:col>
      <xdr:colOff>334818</xdr:colOff>
      <xdr:row>157</xdr:row>
      <xdr:rowOff>99703</xdr:rowOff>
    </xdr:to>
    <xdr:graphicFrame macro="">
      <xdr:nvGraphicFramePr>
        <xdr:cNvPr id="3" name="Chart 2">
          <a:extLst>
            <a:ext uri="{FF2B5EF4-FFF2-40B4-BE49-F238E27FC236}">
              <a16:creationId xmlns:a16="http://schemas.microsoft.com/office/drawing/2014/main" id="{5227AA4F-1B68-40DF-9FEA-84EC481475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523748</xdr:colOff>
      <xdr:row>135</xdr:row>
      <xdr:rowOff>68530</xdr:rowOff>
    </xdr:from>
    <xdr:to>
      <xdr:col>3</xdr:col>
      <xdr:colOff>1258454</xdr:colOff>
      <xdr:row>161</xdr:row>
      <xdr:rowOff>4123</xdr:rowOff>
    </xdr:to>
    <xdr:graphicFrame macro="">
      <xdr:nvGraphicFramePr>
        <xdr:cNvPr id="4" name="Chart 3">
          <a:extLst>
            <a:ext uri="{FF2B5EF4-FFF2-40B4-BE49-F238E27FC236}">
              <a16:creationId xmlns:a16="http://schemas.microsoft.com/office/drawing/2014/main" id="{751C9467-BC72-4D89-9E4C-CDFB3857F4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34</xdr:col>
      <xdr:colOff>230910</xdr:colOff>
      <xdr:row>132</xdr:row>
      <xdr:rowOff>61109</xdr:rowOff>
    </xdr:from>
    <xdr:to>
      <xdr:col>35</xdr:col>
      <xdr:colOff>230910</xdr:colOff>
      <xdr:row>157</xdr:row>
      <xdr:rowOff>178254</xdr:rowOff>
    </xdr:to>
    <xdr:graphicFrame macro="">
      <xdr:nvGraphicFramePr>
        <xdr:cNvPr id="5" name="Chart 4">
          <a:extLst>
            <a:ext uri="{FF2B5EF4-FFF2-40B4-BE49-F238E27FC236}">
              <a16:creationId xmlns:a16="http://schemas.microsoft.com/office/drawing/2014/main" id="{44B21095-07C6-44BD-8338-C770367D0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35</xdr:col>
      <xdr:colOff>600363</xdr:colOff>
      <xdr:row>132</xdr:row>
      <xdr:rowOff>16040</xdr:rowOff>
    </xdr:from>
    <xdr:to>
      <xdr:col>35</xdr:col>
      <xdr:colOff>1212272</xdr:colOff>
      <xdr:row>157</xdr:row>
      <xdr:rowOff>145885</xdr:rowOff>
    </xdr:to>
    <xdr:graphicFrame macro="">
      <xdr:nvGraphicFramePr>
        <xdr:cNvPr id="6" name="Chart 5">
          <a:extLst>
            <a:ext uri="{FF2B5EF4-FFF2-40B4-BE49-F238E27FC236}">
              <a16:creationId xmlns:a16="http://schemas.microsoft.com/office/drawing/2014/main" id="{54E31061-712C-4B70-BC87-4C4865FA1B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73</xdr:col>
      <xdr:colOff>206838</xdr:colOff>
      <xdr:row>10</xdr:row>
      <xdr:rowOff>108858</xdr:rowOff>
    </xdr:from>
    <xdr:to>
      <xdr:col>80</xdr:col>
      <xdr:colOff>511638</xdr:colOff>
      <xdr:row>31</xdr:row>
      <xdr:rowOff>76201</xdr:rowOff>
    </xdr:to>
    <xdr:graphicFrame macro="">
      <xdr:nvGraphicFramePr>
        <xdr:cNvPr id="67" name="Chart 8">
          <a:extLst>
            <a:ext uri="{FF2B5EF4-FFF2-40B4-BE49-F238E27FC236}">
              <a16:creationId xmlns:a16="http://schemas.microsoft.com/office/drawing/2014/main" id="{5B12B90C-B853-405D-8621-A73DCF9921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49</xdr:col>
      <xdr:colOff>43553</xdr:colOff>
      <xdr:row>11</xdr:row>
      <xdr:rowOff>21771</xdr:rowOff>
    </xdr:from>
    <xdr:to>
      <xdr:col>56</xdr:col>
      <xdr:colOff>348353</xdr:colOff>
      <xdr:row>31</xdr:row>
      <xdr:rowOff>174171</xdr:rowOff>
    </xdr:to>
    <xdr:graphicFrame macro="">
      <xdr:nvGraphicFramePr>
        <xdr:cNvPr id="35" name="Chart 9">
          <a:extLst>
            <a:ext uri="{FF2B5EF4-FFF2-40B4-BE49-F238E27FC236}">
              <a16:creationId xmlns:a16="http://schemas.microsoft.com/office/drawing/2014/main" id="{677E1165-F4CE-43E7-8593-7092AA0BC0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57</xdr:col>
      <xdr:colOff>10</xdr:colOff>
      <xdr:row>10</xdr:row>
      <xdr:rowOff>163285</xdr:rowOff>
    </xdr:from>
    <xdr:to>
      <xdr:col>64</xdr:col>
      <xdr:colOff>304810</xdr:colOff>
      <xdr:row>31</xdr:row>
      <xdr:rowOff>130628</xdr:rowOff>
    </xdr:to>
    <xdr:graphicFrame macro="">
      <xdr:nvGraphicFramePr>
        <xdr:cNvPr id="55" name="Chart 10">
          <a:extLst>
            <a:ext uri="{FF2B5EF4-FFF2-40B4-BE49-F238E27FC236}">
              <a16:creationId xmlns:a16="http://schemas.microsoft.com/office/drawing/2014/main" id="{F8AE1E52-C7EF-4A42-A67F-C6F6C6D647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64</xdr:col>
      <xdr:colOff>533410</xdr:colOff>
      <xdr:row>10</xdr:row>
      <xdr:rowOff>119742</xdr:rowOff>
    </xdr:from>
    <xdr:to>
      <xdr:col>72</xdr:col>
      <xdr:colOff>228610</xdr:colOff>
      <xdr:row>31</xdr:row>
      <xdr:rowOff>87085</xdr:rowOff>
    </xdr:to>
    <xdr:graphicFrame macro="">
      <xdr:nvGraphicFramePr>
        <xdr:cNvPr id="66" name="Chart 11">
          <a:extLst>
            <a:ext uri="{FF2B5EF4-FFF2-40B4-BE49-F238E27FC236}">
              <a16:creationId xmlns:a16="http://schemas.microsoft.com/office/drawing/2014/main" id="{05534BEB-C8A7-4244-AD1C-E8C97555C1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36</xdr:col>
      <xdr:colOff>477931</xdr:colOff>
      <xdr:row>0</xdr:row>
      <xdr:rowOff>169769</xdr:rowOff>
    </xdr:from>
    <xdr:to>
      <xdr:col>45</xdr:col>
      <xdr:colOff>286450</xdr:colOff>
      <xdr:row>20</xdr:row>
      <xdr:rowOff>9091</xdr:rowOff>
    </xdr:to>
    <xdr:pic>
      <xdr:nvPicPr>
        <xdr:cNvPr id="2" name="Picture 1">
          <a:extLst>
            <a:ext uri="{FF2B5EF4-FFF2-40B4-BE49-F238E27FC236}">
              <a16:creationId xmlns:a16="http://schemas.microsoft.com/office/drawing/2014/main" id="{FCEB6A1F-03D0-423F-B644-3764BDDD2890}"/>
            </a:ext>
          </a:extLst>
        </xdr:cNvPr>
        <xdr:cNvPicPr>
          <a:picLocks noChangeAspect="1"/>
        </xdr:cNvPicPr>
      </xdr:nvPicPr>
      <xdr:blipFill>
        <a:blip xmlns:r="http://schemas.openxmlformats.org/officeDocument/2006/relationships" r:embed="rId1"/>
        <a:stretch>
          <a:fillRect/>
        </a:stretch>
      </xdr:blipFill>
      <xdr:spPr>
        <a:xfrm>
          <a:off x="7862607" y="169769"/>
          <a:ext cx="5254578" cy="3649322"/>
        </a:xfrm>
        <a:prstGeom prst="rect">
          <a:avLst/>
        </a:prstGeom>
      </xdr:spPr>
    </xdr:pic>
    <xdr:clientData/>
  </xdr:twoCellAnchor>
  <xdr:twoCellAnchor editAs="oneCell">
    <xdr:from>
      <xdr:col>43</xdr:col>
      <xdr:colOff>584200</xdr:colOff>
      <xdr:row>2</xdr:row>
      <xdr:rowOff>88302</xdr:rowOff>
    </xdr:from>
    <xdr:to>
      <xdr:col>54</xdr:col>
      <xdr:colOff>179808</xdr:colOff>
      <xdr:row>27</xdr:row>
      <xdr:rowOff>37227</xdr:rowOff>
    </xdr:to>
    <xdr:pic>
      <xdr:nvPicPr>
        <xdr:cNvPr id="3" name="Picture 2">
          <a:extLst>
            <a:ext uri="{FF2B5EF4-FFF2-40B4-BE49-F238E27FC236}">
              <a16:creationId xmlns:a16="http://schemas.microsoft.com/office/drawing/2014/main" id="{5A28F405-1BFF-4131-AD67-C493795FC180}"/>
            </a:ext>
          </a:extLst>
        </xdr:cNvPr>
        <xdr:cNvPicPr>
          <a:picLocks noChangeAspect="1"/>
        </xdr:cNvPicPr>
      </xdr:nvPicPr>
      <xdr:blipFill>
        <a:blip xmlns:r="http://schemas.openxmlformats.org/officeDocument/2006/relationships" r:embed="rId2"/>
        <a:stretch>
          <a:fillRect/>
        </a:stretch>
      </xdr:blipFill>
      <xdr:spPr>
        <a:xfrm>
          <a:off x="11417300" y="469302"/>
          <a:ext cx="6301209" cy="471142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15</xdr:col>
      <xdr:colOff>700434</xdr:colOff>
      <xdr:row>33</xdr:row>
      <xdr:rowOff>0</xdr:rowOff>
    </xdr:from>
    <xdr:to>
      <xdr:col>21</xdr:col>
      <xdr:colOff>180340</xdr:colOff>
      <xdr:row>45</xdr:row>
      <xdr:rowOff>152400</xdr:rowOff>
    </xdr:to>
    <xdr:pic>
      <xdr:nvPicPr>
        <xdr:cNvPr id="4" name="Picture 3">
          <a:extLst>
            <a:ext uri="{FF2B5EF4-FFF2-40B4-BE49-F238E27FC236}">
              <a16:creationId xmlns:a16="http://schemas.microsoft.com/office/drawing/2014/main" id="{C4C3F359-AED2-484F-9E7C-442D0E79E57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2701934" y="5852160"/>
          <a:ext cx="3140046" cy="23469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15</xdr:col>
      <xdr:colOff>609600</xdr:colOff>
      <xdr:row>48</xdr:row>
      <xdr:rowOff>138422</xdr:rowOff>
    </xdr:from>
    <xdr:to>
      <xdr:col>44</xdr:col>
      <xdr:colOff>201930</xdr:colOff>
      <xdr:row>65</xdr:row>
      <xdr:rowOff>22860</xdr:rowOff>
    </xdr:to>
    <xdr:pic>
      <xdr:nvPicPr>
        <xdr:cNvPr id="5" name="Picture 4">
          <a:extLst>
            <a:ext uri="{FF2B5EF4-FFF2-40B4-BE49-F238E27FC236}">
              <a16:creationId xmlns:a16="http://schemas.microsoft.com/office/drawing/2014/main" id="{0ED7F1B1-4389-4E46-8C08-0D857B89F47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2611100" y="8733782"/>
          <a:ext cx="6309360" cy="2993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22</xdr:col>
      <xdr:colOff>313978</xdr:colOff>
      <xdr:row>33</xdr:row>
      <xdr:rowOff>154346</xdr:rowOff>
    </xdr:from>
    <xdr:to>
      <xdr:col>33</xdr:col>
      <xdr:colOff>403630</xdr:colOff>
      <xdr:row>51</xdr:row>
      <xdr:rowOff>1434</xdr:rowOff>
    </xdr:to>
    <xdr:pic>
      <xdr:nvPicPr>
        <xdr:cNvPr id="2" name="Picture 1">
          <a:extLst>
            <a:ext uri="{FF2B5EF4-FFF2-40B4-BE49-F238E27FC236}">
              <a16:creationId xmlns:a16="http://schemas.microsoft.com/office/drawing/2014/main" id="{C0300903-E68D-47F4-ACA9-56F4263874CC}"/>
            </a:ext>
          </a:extLst>
        </xdr:cNvPr>
        <xdr:cNvPicPr>
          <a:picLocks noChangeAspect="1"/>
        </xdr:cNvPicPr>
      </xdr:nvPicPr>
      <xdr:blipFill>
        <a:blip xmlns:r="http://schemas.openxmlformats.org/officeDocument/2006/relationships" r:embed="rId1"/>
        <a:stretch>
          <a:fillRect/>
        </a:stretch>
      </xdr:blipFill>
      <xdr:spPr>
        <a:xfrm>
          <a:off x="21367403" y="6136046"/>
          <a:ext cx="6795252" cy="3161788"/>
        </a:xfrm>
        <a:prstGeom prst="rect">
          <a:avLst/>
        </a:prstGeom>
      </xdr:spPr>
    </xdr:pic>
    <xdr:clientData/>
  </xdr:twoCellAnchor>
  <xdr:twoCellAnchor editAs="oneCell">
    <xdr:from>
      <xdr:col>14</xdr:col>
      <xdr:colOff>287300</xdr:colOff>
      <xdr:row>28</xdr:row>
      <xdr:rowOff>119048</xdr:rowOff>
    </xdr:from>
    <xdr:to>
      <xdr:col>21</xdr:col>
      <xdr:colOff>332836</xdr:colOff>
      <xdr:row>57</xdr:row>
      <xdr:rowOff>148247</xdr:rowOff>
    </xdr:to>
    <xdr:pic>
      <xdr:nvPicPr>
        <xdr:cNvPr id="3" name="Picture 2">
          <a:extLst>
            <a:ext uri="{FF2B5EF4-FFF2-40B4-BE49-F238E27FC236}">
              <a16:creationId xmlns:a16="http://schemas.microsoft.com/office/drawing/2014/main" id="{19B8DFE8-37B8-4D09-843C-A9B9297D7E90}"/>
            </a:ext>
          </a:extLst>
        </xdr:cNvPr>
        <xdr:cNvPicPr>
          <a:picLocks noChangeAspect="1"/>
        </xdr:cNvPicPr>
      </xdr:nvPicPr>
      <xdr:blipFill>
        <a:blip xmlns:r="http://schemas.openxmlformats.org/officeDocument/2006/relationships" r:embed="rId2"/>
        <a:stretch>
          <a:fillRect/>
        </a:stretch>
      </xdr:blipFill>
      <xdr:spPr>
        <a:xfrm>
          <a:off x="13508000" y="5208573"/>
          <a:ext cx="4312736" cy="535684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1107292</xdr:colOff>
      <xdr:row>5</xdr:row>
      <xdr:rowOff>44450</xdr:rowOff>
    </xdr:from>
    <xdr:to>
      <xdr:col>8</xdr:col>
      <xdr:colOff>695325</xdr:colOff>
      <xdr:row>26</xdr:row>
      <xdr:rowOff>6350</xdr:rowOff>
    </xdr:to>
    <xdr:pic>
      <xdr:nvPicPr>
        <xdr:cNvPr id="8" name="Picture 1">
          <a:extLst>
            <a:ext uri="{FF2B5EF4-FFF2-40B4-BE49-F238E27FC236}">
              <a16:creationId xmlns:a16="http://schemas.microsoft.com/office/drawing/2014/main" id="{B0E7B293-D2EC-4D01-BF30-97D94F4578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35092" y="965200"/>
          <a:ext cx="4071133" cy="3829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26</xdr:col>
      <xdr:colOff>203005</xdr:colOff>
      <xdr:row>0</xdr:row>
      <xdr:rowOff>0</xdr:rowOff>
    </xdr:from>
    <xdr:to>
      <xdr:col>33</xdr:col>
      <xdr:colOff>190807</xdr:colOff>
      <xdr:row>17</xdr:row>
      <xdr:rowOff>45720</xdr:rowOff>
    </xdr:to>
    <xdr:pic>
      <xdr:nvPicPr>
        <xdr:cNvPr id="3" name="Picture 2">
          <a:extLst>
            <a:ext uri="{FF2B5EF4-FFF2-40B4-BE49-F238E27FC236}">
              <a16:creationId xmlns:a16="http://schemas.microsoft.com/office/drawing/2014/main" id="{4281D3D0-9024-4A92-805C-5BABD8B093C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551185" y="0"/>
          <a:ext cx="4255002" cy="3154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246964</xdr:colOff>
      <xdr:row>5</xdr:row>
      <xdr:rowOff>6350</xdr:rowOff>
    </xdr:from>
    <xdr:to>
      <xdr:col>11</xdr:col>
      <xdr:colOff>9526</xdr:colOff>
      <xdr:row>14</xdr:row>
      <xdr:rowOff>44450</xdr:rowOff>
    </xdr:to>
    <xdr:pic>
      <xdr:nvPicPr>
        <xdr:cNvPr id="7" name="Picture 3" descr="Benzene and methylbenzenes">
          <a:extLst>
            <a:ext uri="{FF2B5EF4-FFF2-40B4-BE49-F238E27FC236}">
              <a16:creationId xmlns:a16="http://schemas.microsoft.com/office/drawing/2014/main" id="{4CB23C9F-CBE8-4168-900A-23CF98D16A15}"/>
            </a:ext>
            <a:ext uri="{147F2762-F138-4A5C-976F-8EAC2B608ADB}">
              <a16:predDERef xmlns:a16="http://schemas.microsoft.com/office/drawing/2014/main" pred="{4281D3D0-9024-4A92-805C-5BABD8B093C3}"/>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2048439" y="911225"/>
          <a:ext cx="1826312" cy="167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xdr:from>
      <xdr:col>24</xdr:col>
      <xdr:colOff>601673</xdr:colOff>
      <xdr:row>2</xdr:row>
      <xdr:rowOff>83820</xdr:rowOff>
    </xdr:from>
    <xdr:to>
      <xdr:col>35</xdr:col>
      <xdr:colOff>350520</xdr:colOff>
      <xdr:row>28</xdr:row>
      <xdr:rowOff>114300</xdr:rowOff>
    </xdr:to>
    <xdr:pic>
      <xdr:nvPicPr>
        <xdr:cNvPr id="2" name="Picture 2">
          <a:extLst>
            <a:ext uri="{FF2B5EF4-FFF2-40B4-BE49-F238E27FC236}">
              <a16:creationId xmlns:a16="http://schemas.microsoft.com/office/drawing/2014/main" id="{81A68F39-13E5-4E32-A4BD-F6AA8FE0729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814473" y="449580"/>
          <a:ext cx="6454447" cy="4785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1809750</xdr:colOff>
      <xdr:row>1</xdr:row>
      <xdr:rowOff>25401</xdr:rowOff>
    </xdr:from>
    <xdr:to>
      <xdr:col>9</xdr:col>
      <xdr:colOff>476250</xdr:colOff>
      <xdr:row>12</xdr:row>
      <xdr:rowOff>66676</xdr:rowOff>
    </xdr:to>
    <xdr:pic>
      <xdr:nvPicPr>
        <xdr:cNvPr id="6" name="Picture 5" descr="Ethylene (ET) Global Demand by Application">
          <a:extLst>
            <a:ext uri="{FF2B5EF4-FFF2-40B4-BE49-F238E27FC236}">
              <a16:creationId xmlns:a16="http://schemas.microsoft.com/office/drawing/2014/main" id="{1639F8D8-E790-446A-95AF-D094B9B5AD10}"/>
            </a:ext>
            <a:ext uri="{147F2762-F138-4A5C-976F-8EAC2B608ADB}">
              <a16:predDERef xmlns:a16="http://schemas.microsoft.com/office/drawing/2014/main" pred="{81A68F39-13E5-4E32-A4BD-F6AA8FE07296}"/>
            </a:ext>
          </a:extLst>
        </xdr:cNvPr>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629650" y="206376"/>
          <a:ext cx="3981450" cy="2032000"/>
        </a:xfrm>
        <a:prstGeom prst="rect">
          <a:avLst/>
        </a:prstGeom>
        <a:noFill/>
        <a:ln>
          <a:noFill/>
        </a:ln>
      </xdr:spPr>
    </xdr:pic>
    <xdr:clientData/>
  </xdr:twoCellAnchor>
  <xdr:twoCellAnchor editAs="oneCell">
    <xdr:from>
      <xdr:col>6</xdr:col>
      <xdr:colOff>341971</xdr:colOff>
      <xdr:row>0</xdr:row>
      <xdr:rowOff>124943</xdr:rowOff>
    </xdr:from>
    <xdr:to>
      <xdr:col>13</xdr:col>
      <xdr:colOff>19050</xdr:colOff>
      <xdr:row>14</xdr:row>
      <xdr:rowOff>87946</xdr:rowOff>
    </xdr:to>
    <xdr:pic>
      <xdr:nvPicPr>
        <xdr:cNvPr id="7" name="Picture 6">
          <a:extLst>
            <a:ext uri="{FF2B5EF4-FFF2-40B4-BE49-F238E27FC236}">
              <a16:creationId xmlns:a16="http://schemas.microsoft.com/office/drawing/2014/main" id="{DF24471C-F58E-4A8D-B18C-7D2A5BA96F19}"/>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10648021" y="124943"/>
          <a:ext cx="3944279" cy="24966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155352</xdr:colOff>
      <xdr:row>13</xdr:row>
      <xdr:rowOff>91439</xdr:rowOff>
    </xdr:from>
    <xdr:to>
      <xdr:col>7</xdr:col>
      <xdr:colOff>389889</xdr:colOff>
      <xdr:row>21</xdr:row>
      <xdr:rowOff>47204</xdr:rowOff>
    </xdr:to>
    <xdr:pic>
      <xdr:nvPicPr>
        <xdr:cNvPr id="8" name="Picture 7">
          <a:extLst>
            <a:ext uri="{FF2B5EF4-FFF2-40B4-BE49-F238E27FC236}">
              <a16:creationId xmlns:a16="http://schemas.microsoft.com/office/drawing/2014/main" id="{7F7B9DD7-18A5-426D-886D-58D319B9DF25}"/>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9680352" y="2468879"/>
          <a:ext cx="1460087" cy="14251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3</xdr:col>
      <xdr:colOff>773206</xdr:colOff>
      <xdr:row>67</xdr:row>
      <xdr:rowOff>100852</xdr:rowOff>
    </xdr:from>
    <xdr:to>
      <xdr:col>10</xdr:col>
      <xdr:colOff>726899</xdr:colOff>
      <xdr:row>91</xdr:row>
      <xdr:rowOff>84654</xdr:rowOff>
    </xdr:to>
    <xdr:pic>
      <xdr:nvPicPr>
        <xdr:cNvPr id="2" name="Picture 1">
          <a:extLst>
            <a:ext uri="{FF2B5EF4-FFF2-40B4-BE49-F238E27FC236}">
              <a16:creationId xmlns:a16="http://schemas.microsoft.com/office/drawing/2014/main" id="{41054459-1D40-4E2A-9D38-C9508CE10AF0}"/>
            </a:ext>
          </a:extLst>
        </xdr:cNvPr>
        <xdr:cNvPicPr>
          <a:picLocks noChangeAspect="1"/>
        </xdr:cNvPicPr>
      </xdr:nvPicPr>
      <xdr:blipFill>
        <a:blip xmlns:r="http://schemas.openxmlformats.org/officeDocument/2006/relationships" r:embed="rId1"/>
        <a:stretch>
          <a:fillRect/>
        </a:stretch>
      </xdr:blipFill>
      <xdr:spPr>
        <a:xfrm>
          <a:off x="6094506" y="12257927"/>
          <a:ext cx="6773593" cy="440340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3</xdr:col>
      <xdr:colOff>561975</xdr:colOff>
      <xdr:row>34</xdr:row>
      <xdr:rowOff>73025</xdr:rowOff>
    </xdr:from>
    <xdr:to>
      <xdr:col>4</xdr:col>
      <xdr:colOff>596900</xdr:colOff>
      <xdr:row>40</xdr:row>
      <xdr:rowOff>73025</xdr:rowOff>
    </xdr:to>
    <xdr:pic>
      <xdr:nvPicPr>
        <xdr:cNvPr id="2" name="Picture 1">
          <a:extLst>
            <a:ext uri="{FF2B5EF4-FFF2-40B4-BE49-F238E27FC236}">
              <a16:creationId xmlns:a16="http://schemas.microsoft.com/office/drawing/2014/main" id="{8CFB2A94-4BEF-4533-AD58-0D665C0420D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959350" y="6502400"/>
          <a:ext cx="1428750" cy="1104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0</xdr:colOff>
      <xdr:row>37</xdr:row>
      <xdr:rowOff>0</xdr:rowOff>
    </xdr:from>
    <xdr:to>
      <xdr:col>5</xdr:col>
      <xdr:colOff>304800</xdr:colOff>
      <xdr:row>38</xdr:row>
      <xdr:rowOff>123825</xdr:rowOff>
    </xdr:to>
    <xdr:sp macro="" textlink="">
      <xdr:nvSpPr>
        <xdr:cNvPr id="3" name="AutoShape 36" descr="{\displaystyle {\ce {2 C2H4 + 2 CH3CO2H + O2 -&gt; 2 CH3CO2CHCH2 + 2 H2O}}}">
          <a:extLst>
            <a:ext uri="{FF2B5EF4-FFF2-40B4-BE49-F238E27FC236}">
              <a16:creationId xmlns:a16="http://schemas.microsoft.com/office/drawing/2014/main" id="{08D62BE7-950E-4090-8E98-F3BBC71E6833}"/>
            </a:ext>
          </a:extLst>
        </xdr:cNvPr>
        <xdr:cNvSpPr>
          <a:spLocks noChangeAspect="1" noChangeArrowheads="1"/>
        </xdr:cNvSpPr>
      </xdr:nvSpPr>
      <xdr:spPr bwMode="auto">
        <a:xfrm>
          <a:off x="6781800" y="69723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27</xdr:col>
      <xdr:colOff>467473</xdr:colOff>
      <xdr:row>92</xdr:row>
      <xdr:rowOff>30444</xdr:rowOff>
    </xdr:from>
    <xdr:to>
      <xdr:col>29</xdr:col>
      <xdr:colOff>190953</xdr:colOff>
      <xdr:row>94</xdr:row>
      <xdr:rowOff>163094</xdr:rowOff>
    </xdr:to>
    <xdr:pic>
      <xdr:nvPicPr>
        <xdr:cNvPr id="2" name="Picture 1">
          <a:extLst>
            <a:ext uri="{FF2B5EF4-FFF2-40B4-BE49-F238E27FC236}">
              <a16:creationId xmlns:a16="http://schemas.microsoft.com/office/drawing/2014/main" id="{2882A602-69E9-405E-B5A1-547C2FA4AB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7991548" y="8209244"/>
          <a:ext cx="2155983" cy="5068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31</xdr:col>
      <xdr:colOff>436064</xdr:colOff>
      <xdr:row>91</xdr:row>
      <xdr:rowOff>85273</xdr:rowOff>
    </xdr:from>
    <xdr:to>
      <xdr:col>38</xdr:col>
      <xdr:colOff>247649</xdr:colOff>
      <xdr:row>93</xdr:row>
      <xdr:rowOff>181429</xdr:rowOff>
    </xdr:to>
    <xdr:pic>
      <xdr:nvPicPr>
        <xdr:cNvPr id="3" name="Picture 2">
          <a:extLst>
            <a:ext uri="{FF2B5EF4-FFF2-40B4-BE49-F238E27FC236}">
              <a16:creationId xmlns:a16="http://schemas.microsoft.com/office/drawing/2014/main" id="{B337A43E-2611-4D57-BDBB-3498DCEE093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890493" y="17865273"/>
          <a:ext cx="4066085" cy="5406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530677</xdr:colOff>
      <xdr:row>95</xdr:row>
      <xdr:rowOff>6252</xdr:rowOff>
    </xdr:from>
    <xdr:to>
      <xdr:col>32</xdr:col>
      <xdr:colOff>334737</xdr:colOff>
      <xdr:row>97</xdr:row>
      <xdr:rowOff>86052</xdr:rowOff>
    </xdr:to>
    <xdr:pic>
      <xdr:nvPicPr>
        <xdr:cNvPr id="4" name="Picture 3">
          <a:extLst>
            <a:ext uri="{FF2B5EF4-FFF2-40B4-BE49-F238E27FC236}">
              <a16:creationId xmlns:a16="http://schemas.microsoft.com/office/drawing/2014/main" id="{C6FAD244-D57C-4979-A1D4-D6B453BB6C93}"/>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8057927" y="8753377"/>
          <a:ext cx="4062188" cy="4603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201706</xdr:colOff>
      <xdr:row>98</xdr:row>
      <xdr:rowOff>116541</xdr:rowOff>
    </xdr:from>
    <xdr:to>
      <xdr:col>29</xdr:col>
      <xdr:colOff>428173</xdr:colOff>
      <xdr:row>100</xdr:row>
      <xdr:rowOff>133668</xdr:rowOff>
    </xdr:to>
    <xdr:pic>
      <xdr:nvPicPr>
        <xdr:cNvPr id="5" name="Picture 4">
          <a:extLst>
            <a:ext uri="{FF2B5EF4-FFF2-40B4-BE49-F238E27FC236}">
              <a16:creationId xmlns:a16="http://schemas.microsoft.com/office/drawing/2014/main" id="{AB95DCE4-71E4-4BEE-9850-D5C878122E3C}"/>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8335381" y="9403416"/>
          <a:ext cx="2055719" cy="38542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30</xdr:col>
      <xdr:colOff>187592</xdr:colOff>
      <xdr:row>136</xdr:row>
      <xdr:rowOff>121962</xdr:rowOff>
    </xdr:from>
    <xdr:to>
      <xdr:col>32</xdr:col>
      <xdr:colOff>476250</xdr:colOff>
      <xdr:row>140</xdr:row>
      <xdr:rowOff>85580</xdr:rowOff>
    </xdr:to>
    <xdr:pic>
      <xdr:nvPicPr>
        <xdr:cNvPr id="6" name="Picture 5">
          <a:extLst>
            <a:ext uri="{FF2B5EF4-FFF2-40B4-BE49-F238E27FC236}">
              <a16:creationId xmlns:a16="http://schemas.microsoft.com/office/drawing/2014/main" id="{7634C45A-DB42-40F9-AA69-1091D012236C}"/>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24476342" y="25608141"/>
          <a:ext cx="1513302" cy="67754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26</xdr:col>
      <xdr:colOff>578678</xdr:colOff>
      <xdr:row>136</xdr:row>
      <xdr:rowOff>15204</xdr:rowOff>
    </xdr:from>
    <xdr:to>
      <xdr:col>28</xdr:col>
      <xdr:colOff>752079</xdr:colOff>
      <xdr:row>140</xdr:row>
      <xdr:rowOff>19956</xdr:rowOff>
    </xdr:to>
    <xdr:pic>
      <xdr:nvPicPr>
        <xdr:cNvPr id="7" name="Picture 6">
          <a:extLst>
            <a:ext uri="{FF2B5EF4-FFF2-40B4-BE49-F238E27FC236}">
              <a16:creationId xmlns:a16="http://schemas.microsoft.com/office/drawing/2014/main" id="{3AF1090A-A201-4EBF-ADB0-3D7BBD808266}"/>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22418142" y="25501383"/>
          <a:ext cx="1408930" cy="70914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0</xdr:colOff>
      <xdr:row>109</xdr:row>
      <xdr:rowOff>1</xdr:rowOff>
    </xdr:from>
    <xdr:to>
      <xdr:col>29</xdr:col>
      <xdr:colOff>274887</xdr:colOff>
      <xdr:row>111</xdr:row>
      <xdr:rowOff>170412</xdr:rowOff>
    </xdr:to>
    <xdr:pic>
      <xdr:nvPicPr>
        <xdr:cNvPr id="8" name="Picture 7">
          <a:extLst>
            <a:ext uri="{FF2B5EF4-FFF2-40B4-BE49-F238E27FC236}">
              <a16:creationId xmlns:a16="http://schemas.microsoft.com/office/drawing/2014/main" id="{886752CA-38DB-4E50-8CAB-5E1A9AAE61A4}"/>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8136850" y="11325226"/>
          <a:ext cx="2094614" cy="55095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563470</xdr:colOff>
      <xdr:row>108</xdr:row>
      <xdr:rowOff>114281</xdr:rowOff>
    </xdr:from>
    <xdr:to>
      <xdr:col>33</xdr:col>
      <xdr:colOff>448846</xdr:colOff>
      <xdr:row>112</xdr:row>
      <xdr:rowOff>39565</xdr:rowOff>
    </xdr:to>
    <xdr:pic>
      <xdr:nvPicPr>
        <xdr:cNvPr id="9" name="Picture 8">
          <a:extLst>
            <a:ext uri="{FF2B5EF4-FFF2-40B4-BE49-F238E27FC236}">
              <a16:creationId xmlns:a16="http://schemas.microsoft.com/office/drawing/2014/main" id="{0B45221F-5CE6-41EA-AAF1-D9182041E296}"/>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2364270" y="11258531"/>
          <a:ext cx="2317427" cy="6768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2173940</xdr:colOff>
      <xdr:row>108</xdr:row>
      <xdr:rowOff>129258</xdr:rowOff>
    </xdr:from>
    <xdr:to>
      <xdr:col>32</xdr:col>
      <xdr:colOff>47252</xdr:colOff>
      <xdr:row>111</xdr:row>
      <xdr:rowOff>172250</xdr:rowOff>
    </xdr:to>
    <xdr:pic>
      <xdr:nvPicPr>
        <xdr:cNvPr id="10" name="Picture 9">
          <a:extLst>
            <a:ext uri="{FF2B5EF4-FFF2-40B4-BE49-F238E27FC236}">
              <a16:creationId xmlns:a16="http://schemas.microsoft.com/office/drawing/2014/main" id="{73B792CC-6E10-4100-8B95-2575EC301B8E}"/>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0310790" y="11270333"/>
          <a:ext cx="1876987" cy="6163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28</xdr:col>
      <xdr:colOff>2270826</xdr:colOff>
      <xdr:row>114</xdr:row>
      <xdr:rowOff>41649</xdr:rowOff>
    </xdr:from>
    <xdr:to>
      <xdr:col>32</xdr:col>
      <xdr:colOff>10086</xdr:colOff>
      <xdr:row>122</xdr:row>
      <xdr:rowOff>66169</xdr:rowOff>
    </xdr:to>
    <xdr:pic>
      <xdr:nvPicPr>
        <xdr:cNvPr id="11" name="Picture 10">
          <a:extLst>
            <a:ext uri="{FF2B5EF4-FFF2-40B4-BE49-F238E27FC236}">
              <a16:creationId xmlns:a16="http://schemas.microsoft.com/office/drawing/2014/main" id="{A721BF71-B1C6-43AE-BEF1-74A3B33C2E38}"/>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30410851" y="12274924"/>
          <a:ext cx="1841360" cy="152810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27</xdr:col>
      <xdr:colOff>259667</xdr:colOff>
      <xdr:row>124</xdr:row>
      <xdr:rowOff>8032</xdr:rowOff>
    </xdr:from>
    <xdr:to>
      <xdr:col>28</xdr:col>
      <xdr:colOff>1466955</xdr:colOff>
      <xdr:row>126</xdr:row>
      <xdr:rowOff>171263</xdr:rowOff>
    </xdr:to>
    <xdr:pic>
      <xdr:nvPicPr>
        <xdr:cNvPr id="12" name="Picture 11">
          <a:extLst>
            <a:ext uri="{FF2B5EF4-FFF2-40B4-BE49-F238E27FC236}">
              <a16:creationId xmlns:a16="http://schemas.microsoft.com/office/drawing/2014/main" id="{5456A7C1-E109-4680-AD15-3CFED06A5BA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7783742" y="14070107"/>
          <a:ext cx="1817341" cy="534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27</xdr:col>
      <xdr:colOff>530677</xdr:colOff>
      <xdr:row>109</xdr:row>
      <xdr:rowOff>6252</xdr:rowOff>
    </xdr:from>
    <xdr:ext cx="4046313" cy="451729"/>
    <xdr:pic>
      <xdr:nvPicPr>
        <xdr:cNvPr id="13" name="Picture 12">
          <a:extLst>
            <a:ext uri="{FF2B5EF4-FFF2-40B4-BE49-F238E27FC236}">
              <a16:creationId xmlns:a16="http://schemas.microsoft.com/office/drawing/2014/main" id="{20F08072-C20E-4A7C-8110-158D6505B79E}"/>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553963" y="18620823"/>
          <a:ext cx="4046313" cy="4517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201706</xdr:colOff>
      <xdr:row>112</xdr:row>
      <xdr:rowOff>116541</xdr:rowOff>
    </xdr:from>
    <xdr:ext cx="2043927" cy="379984"/>
    <xdr:pic>
      <xdr:nvPicPr>
        <xdr:cNvPr id="14" name="Picture 13">
          <a:extLst>
            <a:ext uri="{FF2B5EF4-FFF2-40B4-BE49-F238E27FC236}">
              <a16:creationId xmlns:a16="http://schemas.microsoft.com/office/drawing/2014/main" id="{04D2BF18-B679-41C9-8580-CB9A378583AF}"/>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832777" y="19284470"/>
          <a:ext cx="2043927" cy="3799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27</xdr:col>
      <xdr:colOff>530677</xdr:colOff>
      <xdr:row>123</xdr:row>
      <xdr:rowOff>6252</xdr:rowOff>
    </xdr:from>
    <xdr:ext cx="4046313" cy="451729"/>
    <xdr:pic>
      <xdr:nvPicPr>
        <xdr:cNvPr id="15" name="Picture 14">
          <a:extLst>
            <a:ext uri="{FF2B5EF4-FFF2-40B4-BE49-F238E27FC236}">
              <a16:creationId xmlns:a16="http://schemas.microsoft.com/office/drawing/2014/main" id="{1EDC946E-E092-4AF7-AC4D-BFD6071E3F87}"/>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23553963" y="18620823"/>
          <a:ext cx="4046313" cy="451729"/>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28</xdr:col>
      <xdr:colOff>201706</xdr:colOff>
      <xdr:row>126</xdr:row>
      <xdr:rowOff>116541</xdr:rowOff>
    </xdr:from>
    <xdr:ext cx="2043927" cy="379984"/>
    <xdr:pic>
      <xdr:nvPicPr>
        <xdr:cNvPr id="16" name="Picture 15">
          <a:extLst>
            <a:ext uri="{FF2B5EF4-FFF2-40B4-BE49-F238E27FC236}">
              <a16:creationId xmlns:a16="http://schemas.microsoft.com/office/drawing/2014/main" id="{96242843-FA52-477B-A873-8FC8A5A22535}"/>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23832777" y="19284470"/>
          <a:ext cx="2043927" cy="379984"/>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wsDr>
</file>

<file path=xl/drawings/drawing12.xml><?xml version="1.0" encoding="utf-8"?>
<xdr:wsDr xmlns:xdr="http://schemas.openxmlformats.org/drawingml/2006/spreadsheetDrawing" xmlns:a="http://schemas.openxmlformats.org/drawingml/2006/main">
  <xdr:twoCellAnchor>
    <xdr:from>
      <xdr:col>25</xdr:col>
      <xdr:colOff>492760</xdr:colOff>
      <xdr:row>27</xdr:row>
      <xdr:rowOff>78740</xdr:rowOff>
    </xdr:from>
    <xdr:to>
      <xdr:col>33</xdr:col>
      <xdr:colOff>187960</xdr:colOff>
      <xdr:row>43</xdr:row>
      <xdr:rowOff>78740</xdr:rowOff>
    </xdr:to>
    <xdr:graphicFrame macro="">
      <xdr:nvGraphicFramePr>
        <xdr:cNvPr id="2" name="Chart 1">
          <a:extLst>
            <a:ext uri="{FF2B5EF4-FFF2-40B4-BE49-F238E27FC236}">
              <a16:creationId xmlns:a16="http://schemas.microsoft.com/office/drawing/2014/main" id="{30DB8EE8-4573-4ED1-8D1D-A9F1486FE9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editAs="oneCell">
    <xdr:from>
      <xdr:col>15</xdr:col>
      <xdr:colOff>30480</xdr:colOff>
      <xdr:row>88</xdr:row>
      <xdr:rowOff>137160</xdr:rowOff>
    </xdr:from>
    <xdr:to>
      <xdr:col>19</xdr:col>
      <xdr:colOff>446405</xdr:colOff>
      <xdr:row>104</xdr:row>
      <xdr:rowOff>65405</xdr:rowOff>
    </xdr:to>
    <xdr:pic>
      <xdr:nvPicPr>
        <xdr:cNvPr id="2" name="Picture 1" descr="Global building &amp; construction plastics market">
          <a:extLst>
            <a:ext uri="{FF2B5EF4-FFF2-40B4-BE49-F238E27FC236}">
              <a16:creationId xmlns:a16="http://schemas.microsoft.com/office/drawing/2014/main" id="{60A96542-970E-42CD-82F7-2E22CC7530F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265920" y="11658600"/>
          <a:ext cx="5715000" cy="285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29</xdr:col>
      <xdr:colOff>349885</xdr:colOff>
      <xdr:row>19</xdr:row>
      <xdr:rowOff>113030</xdr:rowOff>
    </xdr:from>
    <xdr:to>
      <xdr:col>39</xdr:col>
      <xdr:colOff>408940</xdr:colOff>
      <xdr:row>39</xdr:row>
      <xdr:rowOff>125095</xdr:rowOff>
    </xdr:to>
    <xdr:pic>
      <xdr:nvPicPr>
        <xdr:cNvPr id="4" name="Picture 3">
          <a:extLst>
            <a:ext uri="{FF2B5EF4-FFF2-40B4-BE49-F238E27FC236}">
              <a16:creationId xmlns:a16="http://schemas.microsoft.com/office/drawing/2014/main" id="{37AC20CF-DB7A-4554-9C47-583CB9A4A65C}"/>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0857210" y="3570605"/>
          <a:ext cx="6158230" cy="3669665"/>
        </a:xfrm>
        <a:prstGeom prst="rect">
          <a:avLst/>
        </a:prstGeom>
        <a:noFill/>
        <a:ln>
          <a:noFill/>
        </a:ln>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55</xdr:col>
      <xdr:colOff>374670</xdr:colOff>
      <xdr:row>0</xdr:row>
      <xdr:rowOff>152968</xdr:rowOff>
    </xdr:from>
    <xdr:to>
      <xdr:col>63</xdr:col>
      <xdr:colOff>65986</xdr:colOff>
      <xdr:row>2</xdr:row>
      <xdr:rowOff>10432</xdr:rowOff>
    </xdr:to>
    <xdr:pic>
      <xdr:nvPicPr>
        <xdr:cNvPr id="5" name="Picture 1">
          <a:extLst>
            <a:ext uri="{FF2B5EF4-FFF2-40B4-BE49-F238E27FC236}">
              <a16:creationId xmlns:a16="http://schemas.microsoft.com/office/drawing/2014/main" id="{2C20687A-4929-4BDE-B4AF-51F0745AC9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8435099" y="152968"/>
          <a:ext cx="4559499" cy="2986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40</xdr:col>
      <xdr:colOff>999860</xdr:colOff>
      <xdr:row>59</xdr:row>
      <xdr:rowOff>0</xdr:rowOff>
    </xdr:from>
    <xdr:to>
      <xdr:col>45</xdr:col>
      <xdr:colOff>311443</xdr:colOff>
      <xdr:row>101</xdr:row>
      <xdr:rowOff>0</xdr:rowOff>
    </xdr:to>
    <xdr:pic>
      <xdr:nvPicPr>
        <xdr:cNvPr id="10" name="Picture 2">
          <a:extLst>
            <a:ext uri="{FF2B5EF4-FFF2-40B4-BE49-F238E27FC236}">
              <a16:creationId xmlns:a16="http://schemas.microsoft.com/office/drawing/2014/main" id="{EE3559E2-D5FD-4166-A5EB-06132885280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609753" y="10749643"/>
          <a:ext cx="3856369" cy="25078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67</xdr:col>
      <xdr:colOff>0</xdr:colOff>
      <xdr:row>32</xdr:row>
      <xdr:rowOff>0</xdr:rowOff>
    </xdr:from>
    <xdr:to>
      <xdr:col>78</xdr:col>
      <xdr:colOff>144192</xdr:colOff>
      <xdr:row>34</xdr:row>
      <xdr:rowOff>86312</xdr:rowOff>
    </xdr:to>
    <xdr:pic>
      <xdr:nvPicPr>
        <xdr:cNvPr id="7" name="Picture 6">
          <a:extLst>
            <a:ext uri="{FF2B5EF4-FFF2-40B4-BE49-F238E27FC236}">
              <a16:creationId xmlns:a16="http://schemas.microsoft.com/office/drawing/2014/main" id="{6B86F70B-2781-4E07-BF0E-D2040D41284B}"/>
            </a:ext>
          </a:extLst>
        </xdr:cNvPr>
        <xdr:cNvPicPr>
          <a:picLocks noChangeAspect="1"/>
        </xdr:cNvPicPr>
      </xdr:nvPicPr>
      <xdr:blipFill rotWithShape="1">
        <a:blip xmlns:r="http://schemas.openxmlformats.org/officeDocument/2006/relationships" r:embed="rId3"/>
        <a:srcRect l="42242" t="42803" r="31336" b="23338"/>
        <a:stretch/>
      </xdr:blipFill>
      <xdr:spPr>
        <a:xfrm>
          <a:off x="34236212" y="5199529"/>
          <a:ext cx="6843442" cy="3471583"/>
        </a:xfrm>
        <a:prstGeom prst="rect">
          <a:avLst/>
        </a:prstGeom>
      </xdr:spPr>
    </xdr:pic>
    <xdr:clientData/>
  </xdr:twoCellAnchor>
  <xdr:twoCellAnchor editAs="oneCell">
    <xdr:from>
      <xdr:col>67</xdr:col>
      <xdr:colOff>502024</xdr:colOff>
      <xdr:row>55</xdr:row>
      <xdr:rowOff>0</xdr:rowOff>
    </xdr:from>
    <xdr:to>
      <xdr:col>77</xdr:col>
      <xdr:colOff>124200</xdr:colOff>
      <xdr:row>56</xdr:row>
      <xdr:rowOff>18143</xdr:rowOff>
    </xdr:to>
    <xdr:pic>
      <xdr:nvPicPr>
        <xdr:cNvPr id="13" name="Picture 12" descr="Global post-consumer recycled plastics market share">
          <a:extLst>
            <a:ext uri="{FF2B5EF4-FFF2-40B4-BE49-F238E27FC236}">
              <a16:creationId xmlns:a16="http://schemas.microsoft.com/office/drawing/2014/main" id="{5D242DE5-EB10-4718-B985-2984BEEFE148}"/>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7490400" y="9843246"/>
          <a:ext cx="5715000" cy="280371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65986</xdr:colOff>
      <xdr:row>2</xdr:row>
      <xdr:rowOff>10432</xdr:rowOff>
    </xdr:to>
    <xdr:pic>
      <xdr:nvPicPr>
        <xdr:cNvPr id="6" name="Picture 5">
          <a:extLst>
            <a:ext uri="{FF2B5EF4-FFF2-40B4-BE49-F238E27FC236}">
              <a16:creationId xmlns:a16="http://schemas.microsoft.com/office/drawing/2014/main" id="{F7D2C41F-26B3-440C-B26D-BD4C7C71D7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004520" y="152968"/>
          <a:ext cx="4580817" cy="2162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55</xdr:col>
      <xdr:colOff>374670</xdr:colOff>
      <xdr:row>0</xdr:row>
      <xdr:rowOff>152968</xdr:rowOff>
    </xdr:from>
    <xdr:to>
      <xdr:col>63</xdr:col>
      <xdr:colOff>65987</xdr:colOff>
      <xdr:row>2</xdr:row>
      <xdr:rowOff>10432</xdr:rowOff>
    </xdr:to>
    <xdr:pic>
      <xdr:nvPicPr>
        <xdr:cNvPr id="2" name="Picture 1">
          <a:extLst>
            <a:ext uri="{FF2B5EF4-FFF2-40B4-BE49-F238E27FC236}">
              <a16:creationId xmlns:a16="http://schemas.microsoft.com/office/drawing/2014/main" id="{31B31864-D3F5-4C3F-9133-7FFA62AEB6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149020" y="152968"/>
          <a:ext cx="4583992" cy="219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55</xdr:col>
      <xdr:colOff>374670</xdr:colOff>
      <xdr:row>0</xdr:row>
      <xdr:rowOff>152968</xdr:rowOff>
    </xdr:from>
    <xdr:to>
      <xdr:col>63</xdr:col>
      <xdr:colOff>65987</xdr:colOff>
      <xdr:row>2</xdr:row>
      <xdr:rowOff>9072</xdr:rowOff>
    </xdr:to>
    <xdr:pic>
      <xdr:nvPicPr>
        <xdr:cNvPr id="2" name="Picture 1">
          <a:extLst>
            <a:ext uri="{FF2B5EF4-FFF2-40B4-BE49-F238E27FC236}">
              <a16:creationId xmlns:a16="http://schemas.microsoft.com/office/drawing/2014/main" id="{3BFD2549-5A7D-4BB8-A91D-1FE10455A6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435820" y="152968"/>
          <a:ext cx="4571292" cy="2216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40</xdr:col>
      <xdr:colOff>999860</xdr:colOff>
      <xdr:row>58</xdr:row>
      <xdr:rowOff>0</xdr:rowOff>
    </xdr:from>
    <xdr:to>
      <xdr:col>45</xdr:col>
      <xdr:colOff>311443</xdr:colOff>
      <xdr:row>68</xdr:row>
      <xdr:rowOff>0</xdr:rowOff>
    </xdr:to>
    <xdr:pic>
      <xdr:nvPicPr>
        <xdr:cNvPr id="3" name="Picture 2">
          <a:extLst>
            <a:ext uri="{FF2B5EF4-FFF2-40B4-BE49-F238E27FC236}">
              <a16:creationId xmlns:a16="http://schemas.microsoft.com/office/drawing/2014/main" id="{F409A576-EB3E-4BF6-AE80-E26E54B5611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8887810" y="10388600"/>
          <a:ext cx="3775633" cy="2038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67</xdr:col>
      <xdr:colOff>0</xdr:colOff>
      <xdr:row>32</xdr:row>
      <xdr:rowOff>0</xdr:rowOff>
    </xdr:from>
    <xdr:to>
      <xdr:col>78</xdr:col>
      <xdr:colOff>144193</xdr:colOff>
      <xdr:row>34</xdr:row>
      <xdr:rowOff>86311</xdr:rowOff>
    </xdr:to>
    <xdr:pic>
      <xdr:nvPicPr>
        <xdr:cNvPr id="4" name="Picture 3">
          <a:extLst>
            <a:ext uri="{FF2B5EF4-FFF2-40B4-BE49-F238E27FC236}">
              <a16:creationId xmlns:a16="http://schemas.microsoft.com/office/drawing/2014/main" id="{B8D4BB1A-7DA1-4A7E-891C-8591DF793A44}"/>
            </a:ext>
          </a:extLst>
        </xdr:cNvPr>
        <xdr:cNvPicPr>
          <a:picLocks noChangeAspect="1"/>
        </xdr:cNvPicPr>
      </xdr:nvPicPr>
      <xdr:blipFill rotWithShape="1">
        <a:blip xmlns:r="http://schemas.openxmlformats.org/officeDocument/2006/relationships" r:embed="rId3"/>
        <a:srcRect l="42242" t="42803" r="31336" b="23338"/>
        <a:stretch/>
      </xdr:blipFill>
      <xdr:spPr>
        <a:xfrm>
          <a:off x="39382700" y="5384800"/>
          <a:ext cx="6846618" cy="460962"/>
        </a:xfrm>
        <a:prstGeom prst="rect">
          <a:avLst/>
        </a:prstGeom>
      </xdr:spPr>
    </xdr:pic>
    <xdr:clientData/>
  </xdr:twoCellAnchor>
  <xdr:twoCellAnchor editAs="oneCell">
    <xdr:from>
      <xdr:col>67</xdr:col>
      <xdr:colOff>502024</xdr:colOff>
      <xdr:row>55</xdr:row>
      <xdr:rowOff>0</xdr:rowOff>
    </xdr:from>
    <xdr:to>
      <xdr:col>77</xdr:col>
      <xdr:colOff>124201</xdr:colOff>
      <xdr:row>56</xdr:row>
      <xdr:rowOff>18143</xdr:rowOff>
    </xdr:to>
    <xdr:pic>
      <xdr:nvPicPr>
        <xdr:cNvPr id="5" name="Picture 4" descr="Global post-consumer recycled plastics market share">
          <a:extLst>
            <a:ext uri="{FF2B5EF4-FFF2-40B4-BE49-F238E27FC236}">
              <a16:creationId xmlns:a16="http://schemas.microsoft.com/office/drawing/2014/main" id="{5862E913-23A9-4FCF-811C-B326796052D7}"/>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9884724" y="9652000"/>
          <a:ext cx="5718177" cy="20229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10432</xdr:rowOff>
    </xdr:to>
    <xdr:pic>
      <xdr:nvPicPr>
        <xdr:cNvPr id="7" name="Picture 6">
          <a:extLst>
            <a:ext uri="{FF2B5EF4-FFF2-40B4-BE49-F238E27FC236}">
              <a16:creationId xmlns:a16="http://schemas.microsoft.com/office/drawing/2014/main" id="{7594EF29-1CE5-4C65-A106-1C58919DCE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0045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55</xdr:col>
      <xdr:colOff>374670</xdr:colOff>
      <xdr:row>0</xdr:row>
      <xdr:rowOff>152968</xdr:rowOff>
    </xdr:from>
    <xdr:to>
      <xdr:col>63</xdr:col>
      <xdr:colOff>65987</xdr:colOff>
      <xdr:row>2</xdr:row>
      <xdr:rowOff>10432</xdr:rowOff>
    </xdr:to>
    <xdr:pic>
      <xdr:nvPicPr>
        <xdr:cNvPr id="2" name="Picture 1">
          <a:extLst>
            <a:ext uri="{FF2B5EF4-FFF2-40B4-BE49-F238E27FC236}">
              <a16:creationId xmlns:a16="http://schemas.microsoft.com/office/drawing/2014/main" id="{A748B9D6-E3D8-4532-A272-8D632F8A40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60045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583575</xdr:colOff>
      <xdr:row>79</xdr:row>
      <xdr:rowOff>107330</xdr:rowOff>
    </xdr:to>
    <xdr:pic>
      <xdr:nvPicPr>
        <xdr:cNvPr id="2" name="Picture 1">
          <a:extLst>
            <a:ext uri="{FF2B5EF4-FFF2-40B4-BE49-F238E27FC236}">
              <a16:creationId xmlns:a16="http://schemas.microsoft.com/office/drawing/2014/main" id="{67B50B23-F348-4D39-AE49-FE6361ADF7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70556" y="12782550"/>
          <a:ext cx="3601844" cy="17361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69162</xdr:colOff>
      <xdr:row>2</xdr:row>
      <xdr:rowOff>12247</xdr:rowOff>
    </xdr:to>
    <xdr:pic>
      <xdr:nvPicPr>
        <xdr:cNvPr id="3" name="Picture 2">
          <a:extLst>
            <a:ext uri="{FF2B5EF4-FFF2-40B4-BE49-F238E27FC236}">
              <a16:creationId xmlns:a16="http://schemas.microsoft.com/office/drawing/2014/main" id="{FD23FA74-B33D-4B84-9F8F-6FF9115C5A4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56695" y="152968"/>
          <a:ext cx="4583992" cy="22122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69162</xdr:colOff>
      <xdr:row>2</xdr:row>
      <xdr:rowOff>10432</xdr:rowOff>
    </xdr:to>
    <xdr:pic>
      <xdr:nvPicPr>
        <xdr:cNvPr id="4" name="Picture 3">
          <a:extLst>
            <a:ext uri="{FF2B5EF4-FFF2-40B4-BE49-F238E27FC236}">
              <a16:creationId xmlns:a16="http://schemas.microsoft.com/office/drawing/2014/main" id="{03ED768A-3CBE-43A3-9D01-626FBD39F0E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56695" y="152968"/>
          <a:ext cx="4583992" cy="21941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4889152F-B182-45DE-B105-3258637F63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70556" y="9970368"/>
          <a:ext cx="3601842" cy="177193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2F79193F-2C97-450A-9F34-B4B7D4F3BF1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435820" y="152968"/>
          <a:ext cx="4574467" cy="224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CE9BF67E-B674-4BC8-97B8-B5E5AA27814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4358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AB68F060-6AA0-4263-91C5-8DD3FA3E24D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76906" y="12966700"/>
          <a:ext cx="3595494" cy="1761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2E14C33C-91FC-4F7C-849B-8D9F28CF62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66220" y="152968"/>
          <a:ext cx="4574467" cy="224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75F864DB-13CA-4136-8577-0ECE04062B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662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A2A419A7-352A-4F2C-AE04-7A77C02FE2E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76906" y="12966700"/>
          <a:ext cx="3595494" cy="176150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CC681F7C-BF19-494D-8B1F-47B63F7B8DA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66220" y="152968"/>
          <a:ext cx="4574467" cy="22440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7C2D5B44-1A4E-43DC-8538-C3CE7E0A2AF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66220" y="152968"/>
          <a:ext cx="4574467" cy="22258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C0B5CBD1-D3E6-41AC-811C-A30B22A3B15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61031" y="13227050"/>
          <a:ext cx="3589144" cy="1790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3117EDCD-6627-478E-8D3F-38EDAB1D657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40820" y="152968"/>
          <a:ext cx="4577642" cy="230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E1F59A2D-A6D2-4954-A8E9-DFD64A99FE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40820" y="152968"/>
          <a:ext cx="4577642" cy="228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41</xdr:col>
      <xdr:colOff>813956</xdr:colOff>
      <xdr:row>70</xdr:row>
      <xdr:rowOff>0</xdr:rowOff>
    </xdr:from>
    <xdr:to>
      <xdr:col>46</xdr:col>
      <xdr:colOff>580400</xdr:colOff>
      <xdr:row>79</xdr:row>
      <xdr:rowOff>104155</xdr:rowOff>
    </xdr:to>
    <xdr:pic>
      <xdr:nvPicPr>
        <xdr:cNvPr id="2" name="Picture 1">
          <a:extLst>
            <a:ext uri="{FF2B5EF4-FFF2-40B4-BE49-F238E27FC236}">
              <a16:creationId xmlns:a16="http://schemas.microsoft.com/office/drawing/2014/main" id="{8CAF6206-3001-4FCF-AEF4-984DCB58169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1861031" y="13227050"/>
          <a:ext cx="3589144" cy="17900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9072</xdr:rowOff>
    </xdr:to>
    <xdr:pic>
      <xdr:nvPicPr>
        <xdr:cNvPr id="3" name="Picture 2">
          <a:extLst>
            <a:ext uri="{FF2B5EF4-FFF2-40B4-BE49-F238E27FC236}">
              <a16:creationId xmlns:a16="http://schemas.microsoft.com/office/drawing/2014/main" id="{F977D49E-C3BD-4F1E-8253-53B8B5E18C1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40820" y="152968"/>
          <a:ext cx="4577642" cy="2307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55</xdr:col>
      <xdr:colOff>374670</xdr:colOff>
      <xdr:row>0</xdr:row>
      <xdr:rowOff>152968</xdr:rowOff>
    </xdr:from>
    <xdr:to>
      <xdr:col>63</xdr:col>
      <xdr:colOff>65987</xdr:colOff>
      <xdr:row>2</xdr:row>
      <xdr:rowOff>7257</xdr:rowOff>
    </xdr:to>
    <xdr:pic>
      <xdr:nvPicPr>
        <xdr:cNvPr id="4" name="Picture 3">
          <a:extLst>
            <a:ext uri="{FF2B5EF4-FFF2-40B4-BE49-F238E27FC236}">
              <a16:creationId xmlns:a16="http://schemas.microsoft.com/office/drawing/2014/main" id="{B2318F4C-12A4-4450-964E-65EF3BDCCA7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340820" y="152968"/>
          <a:ext cx="4577642" cy="22893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587375</xdr:colOff>
      <xdr:row>3</xdr:row>
      <xdr:rowOff>57150</xdr:rowOff>
    </xdr:from>
    <xdr:to>
      <xdr:col>15</xdr:col>
      <xdr:colOff>554541</xdr:colOff>
      <xdr:row>20</xdr:row>
      <xdr:rowOff>2003</xdr:rowOff>
    </xdr:to>
    <xdr:pic>
      <xdr:nvPicPr>
        <xdr:cNvPr id="2" name="Picture 2">
          <a:extLst>
            <a:ext uri="{FF2B5EF4-FFF2-40B4-BE49-F238E27FC236}">
              <a16:creationId xmlns:a16="http://schemas.microsoft.com/office/drawing/2014/main" id="{8288DD58-BDB0-4FBD-864A-1B7F64DFE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083050" y="609600"/>
          <a:ext cx="6063166" cy="302142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14</xdr:col>
      <xdr:colOff>76200</xdr:colOff>
      <xdr:row>4</xdr:row>
      <xdr:rowOff>19050</xdr:rowOff>
    </xdr:from>
    <xdr:to>
      <xdr:col>23</xdr:col>
      <xdr:colOff>288471</xdr:colOff>
      <xdr:row>19</xdr:row>
      <xdr:rowOff>39915</xdr:rowOff>
    </xdr:to>
    <xdr:pic>
      <xdr:nvPicPr>
        <xdr:cNvPr id="5" name="Picture 4" descr="Global post-consumer recycled plastics market share">
          <a:extLst>
            <a:ext uri="{FF2B5EF4-FFF2-40B4-BE49-F238E27FC236}">
              <a16:creationId xmlns:a16="http://schemas.microsoft.com/office/drawing/2014/main" id="{CDE8E320-F9EA-4C40-B7AD-418BF4B39C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610600" y="762000"/>
          <a:ext cx="5698671" cy="2783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25</xdr:col>
      <xdr:colOff>96943</xdr:colOff>
      <xdr:row>3</xdr:row>
      <xdr:rowOff>88446</xdr:rowOff>
    </xdr:from>
    <xdr:to>
      <xdr:col>33</xdr:col>
      <xdr:colOff>13480</xdr:colOff>
      <xdr:row>35</xdr:row>
      <xdr:rowOff>149869</xdr:rowOff>
    </xdr:to>
    <xdr:pic>
      <xdr:nvPicPr>
        <xdr:cNvPr id="2" name="Picture 1">
          <a:extLst>
            <a:ext uri="{FF2B5EF4-FFF2-40B4-BE49-F238E27FC236}">
              <a16:creationId xmlns:a16="http://schemas.microsoft.com/office/drawing/2014/main" id="{F91B5340-127E-4C26-8F68-94D3432264F2}"/>
            </a:ext>
          </a:extLst>
        </xdr:cNvPr>
        <xdr:cNvPicPr>
          <a:picLocks noChangeAspect="1"/>
        </xdr:cNvPicPr>
      </xdr:nvPicPr>
      <xdr:blipFill>
        <a:blip xmlns:r="http://schemas.openxmlformats.org/officeDocument/2006/relationships" r:embed="rId1"/>
        <a:stretch>
          <a:fillRect/>
        </a:stretch>
      </xdr:blipFill>
      <xdr:spPr>
        <a:xfrm>
          <a:off x="37787368" y="628196"/>
          <a:ext cx="7990561" cy="5954223"/>
        </a:xfrm>
        <a:prstGeom prst="rect">
          <a:avLst/>
        </a:prstGeom>
      </xdr:spPr>
    </xdr:pic>
    <xdr:clientData/>
  </xdr:twoCellAnchor>
  <xdr:twoCellAnchor editAs="oneCell">
    <xdr:from>
      <xdr:col>25</xdr:col>
      <xdr:colOff>299810</xdr:colOff>
      <xdr:row>39</xdr:row>
      <xdr:rowOff>13835</xdr:rowOff>
    </xdr:from>
    <xdr:to>
      <xdr:col>36</xdr:col>
      <xdr:colOff>451768</xdr:colOff>
      <xdr:row>83</xdr:row>
      <xdr:rowOff>56670</xdr:rowOff>
    </xdr:to>
    <xdr:pic>
      <xdr:nvPicPr>
        <xdr:cNvPr id="3" name="Picture 2">
          <a:extLst>
            <a:ext uri="{FF2B5EF4-FFF2-40B4-BE49-F238E27FC236}">
              <a16:creationId xmlns:a16="http://schemas.microsoft.com/office/drawing/2014/main" id="{6FC471BC-B27C-4408-8E33-3F40A3366A78}"/>
            </a:ext>
          </a:extLst>
        </xdr:cNvPr>
        <xdr:cNvPicPr>
          <a:picLocks noChangeAspect="1"/>
        </xdr:cNvPicPr>
      </xdr:nvPicPr>
      <xdr:blipFill>
        <a:blip xmlns:r="http://schemas.openxmlformats.org/officeDocument/2006/relationships" r:embed="rId2"/>
        <a:stretch>
          <a:fillRect/>
        </a:stretch>
      </xdr:blipFill>
      <xdr:spPr>
        <a:xfrm>
          <a:off x="37987060" y="7068685"/>
          <a:ext cx="10448482" cy="814543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Min Guan" id="{A0EE1085-424D-4793-96CE-2B3CC27F8D15}" userId="S::Min.Guan@systemiq.earth::e1e1ee1a-b686-405a-8b6d-b6b27952a0bc" providerId="AD"/>
</personList>
</file>

<file path=xl/pivotCache/_rels/pivotCacheDefinition1.xml.rels><?xml version="1.0" encoding="UTF-8" standalone="yes"?>
<Relationships xmlns="http://schemas.openxmlformats.org/package/2006/relationships"><Relationship Id="rId2" Type="http://schemas.openxmlformats.org/officeDocument/2006/relationships/externalLinkPath" Target="https://systemiq.sharepoint.com/Projects/UOT0002/Shared%20Documents/8_Demand%20Analysis/Methanol/Methanol%20Demand%20v6.xlsx" TargetMode="External"/><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2" Type="http://schemas.openxmlformats.org/officeDocument/2006/relationships/externalLinkPath" Target="https://systemiq.sharepoint.com/Projects/UOT0002/Shared%20Documents/8_Demand%20Analysis/Methanol/Methanol%20Demand%20v6.xlsx" TargetMode="External"/><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Kremer" refreshedDate="44665.702391550927" createdVersion="7" refreshedVersion="7" minRefreshableVersion="3" recordCount="84" xr:uid="{BF3D9EF9-A1BB-4485-9F6F-D3BDD4F60AE6}">
  <cacheSource type="worksheet">
    <worksheetSource ref="A4:L88" sheet="Sankey Methanol_detailed" r:id="rId2"/>
  </cacheSource>
  <cacheFields count="12">
    <cacheField name="From" numFmtId="0">
      <sharedItems/>
    </cacheField>
    <cacheField name="To" numFmtId="0">
      <sharedItems/>
    </cacheField>
    <cacheField name="Alternative description (if other)" numFmtId="0">
      <sharedItems containsBlank="1"/>
    </cacheField>
    <cacheField name="Classification" numFmtId="0">
      <sharedItems containsBlank="1" count="4">
        <m/>
        <s v="Fuel"/>
        <s v="Minor polymers"/>
        <s v="Major polymers"/>
      </sharedItems>
    </cacheField>
    <cacheField name="Percentage" numFmtId="0">
      <sharedItems containsString="0" containsBlank="1" containsNumber="1" minValue="1.2248167496215287E-4" maxValue="1"/>
    </cacheField>
    <cacheField name="Amount (Mt Methanol)" numFmtId="0">
      <sharedItems containsSemiMixedTypes="0" containsString="0" containsNumber="1" minValue="1.2480788894372841E-2" maxValue="23.787217209972287"/>
    </cacheField>
    <cacheField name="Stochiometry" numFmtId="174">
      <sharedItems containsSemiMixedTypes="0" containsString="0" containsNumber="1" containsInteger="1" minValue="1" maxValue="3"/>
    </cacheField>
    <cacheField name="Mt starting material" numFmtId="174">
      <sharedItems containsSemiMixedTypes="0" containsString="0" containsNumber="1" minValue="1.2480788894372841E-2" maxValue="23.787217209972287"/>
    </cacheField>
    <cacheField name="t starting material / t product" numFmtId="174">
      <sharedItems containsMixedTypes="1" containsNumber="1" minValue="0.93714107365792754" maxValue="6.0608614232209739"/>
    </cacheField>
    <cacheField name="Mt end product" numFmtId="174">
      <sharedItems containsMixedTypes="1" containsNumber="1" minValue="0.42004014480204049" maxValue="27.316333371345049"/>
    </cacheField>
    <cacheField name="Colour" numFmtId="174">
      <sharedItems/>
    </cacheField>
    <cacheField name="Sankey Cod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lexandre Kremer" refreshedDate="44665.702439351851" createdVersion="7" refreshedVersion="7" minRefreshableVersion="3" recordCount="84" xr:uid="{BD76A976-4548-4EF3-85AC-3460D5979673}">
  <cacheSource type="worksheet">
    <worksheetSource ref="A4:J88" sheet="Sankey Methanol_detailed" r:id="rId2"/>
  </cacheSource>
  <cacheFields count="10">
    <cacheField name="From" numFmtId="0">
      <sharedItems/>
    </cacheField>
    <cacheField name="To" numFmtId="0">
      <sharedItems count="61">
        <s v="Ethylene"/>
        <s v="Propylene"/>
        <s v="Formaldehyde"/>
        <s v="Methyl tert-Butyl Ether (MTBE)"/>
        <s v="Acetic Acid"/>
        <s v="Methyl Methacrylate (MMA)"/>
        <s v="Biodiesel"/>
        <s v="Dimethylether (DME)"/>
        <s v="Gasoline Blending &amp; Combustion"/>
        <s v="Fuel Cells"/>
        <s v="Other"/>
        <s v="Fuel blend"/>
        <s v="Solvent"/>
        <s v="Fuel"/>
        <s v="Carbamide-methanal resins (UF)"/>
        <s v="Phenolic Resins (PF)"/>
        <s v="Melamine Resins"/>
        <s v="Polyacetal resins (polyoxymethylene)"/>
        <s v="Methylene diphenyl diisocyanate"/>
        <s v="1,4-butanediol"/>
        <s v="Polyethylene (PE)"/>
        <s v="Ethylene Oxide"/>
        <s v="Ethylene Dichloride"/>
        <s v="Ethylbenzene"/>
        <s v="High-density Polyethylene (HDPE)"/>
        <s v="Low-density Polyethylene (LDPE)"/>
        <s v="Ethylene glycol"/>
        <s v="Ethoxylates"/>
        <s v="Ethanolamines"/>
        <s v="Glycol Ethers"/>
        <s v="Polyethylene Glycol (PEG)"/>
        <s v="Polyurethane (PU)"/>
        <s v="Polyvinylchloride (PVC)"/>
        <s v="Polystyrene (PS)"/>
        <s v="Polypropylene (PP)"/>
        <s v="Propenic Acid"/>
        <s v="Propenonitrile"/>
        <s v="Cumene"/>
        <s v="Propylene oxide"/>
        <s v="Butanol"/>
        <s v="Animal feed additives"/>
        <s v="Food preservative"/>
        <s v="Herbicides"/>
        <s v="Acrylic fibres"/>
        <s v="SAN/ABS"/>
        <s v="Propenamide"/>
        <s v="Phenol + Acetone"/>
        <s v="Propylene glycol"/>
        <s v="Glycol ether"/>
        <s v="Vinyl acetate monomer (VAM)"/>
        <s v="Terephthalic acid"/>
        <s v="Acetate esters"/>
        <s v="Acetic anhydride"/>
        <s v="Methyl Chlorides"/>
        <s v="Methylamines"/>
        <s v="Dimethyl terephthalate (DMT)"/>
        <s v="Methanethiol"/>
        <s v="Polymethyl methacrylate (PMMA)"/>
        <s v="Polyvinyl acetate (PVA)"/>
        <s v="Polyethylene terephthalate (PET)"/>
        <s v="THF"/>
      </sharedItems>
    </cacheField>
    <cacheField name="Alternative description (if other)" numFmtId="0">
      <sharedItems containsBlank="1"/>
    </cacheField>
    <cacheField name="Classification" numFmtId="0">
      <sharedItems containsBlank="1"/>
    </cacheField>
    <cacheField name="Percentage" numFmtId="0">
      <sharedItems containsString="0" containsBlank="1" containsNumber="1" minValue="1.2248167496215287E-4" maxValue="1"/>
    </cacheField>
    <cacheField name="Amount (Mt Methanol)" numFmtId="0">
      <sharedItems containsSemiMixedTypes="0" containsString="0" containsNumber="1" minValue="1.2480788894372841E-2" maxValue="23.787217209972287"/>
    </cacheField>
    <cacheField name="Stochiometry" numFmtId="174">
      <sharedItems containsSemiMixedTypes="0" containsString="0" containsNumber="1" containsInteger="1" minValue="1" maxValue="3"/>
    </cacheField>
    <cacheField name="Mt starting material" numFmtId="174">
      <sharedItems containsSemiMixedTypes="0" containsString="0" containsNumber="1" minValue="1.2480788894372841E-2" maxValue="23.787217209972287"/>
    </cacheField>
    <cacheField name="t starting material / t product" numFmtId="174">
      <sharedItems containsMixedTypes="1" containsNumber="1" minValue="0.93714107365792754" maxValue="6.0608614232209739"/>
    </cacheField>
    <cacheField name="Mt end product" numFmtId="174">
      <sharedItems containsMixedTypes="1" containsNumber="1" minValue="0.42004014480204049" maxValue="27.31633337134504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s v="Methanol"/>
    <s v="Ethylene"/>
    <m/>
    <x v="0"/>
    <n v="0.15257253124401302"/>
    <n v="15.60098611796605"/>
    <n v="2"/>
    <n v="15.60098611796605"/>
    <n v="1.7509363295880149"/>
    <n v="27.316333371345049"/>
    <s v="#A9A9A9"/>
    <s v="Methanol [15.6] Ethylene #A9A9A9"/>
  </r>
  <r>
    <s v="Methanol"/>
    <s v="Propylene"/>
    <m/>
    <x v="0"/>
    <n v="0.15257253124401302"/>
    <n v="15.60098611796605"/>
    <n v="3"/>
    <n v="15.60098611796605"/>
    <e v="#N/A"/>
    <e v="#N/A"/>
    <s v="#A9A9A9"/>
    <s v="Methanol [15.6] Propylene #A9A9A9"/>
  </r>
  <r>
    <s v="Methanol"/>
    <s v="Formaldehyde"/>
    <m/>
    <x v="0"/>
    <n v="0.23263118840911975"/>
    <n v="23.787217209972287"/>
    <n v="1"/>
    <n v="23.787217209972287"/>
    <n v="0.93714107365792754"/>
    <n v="22.291978275487761"/>
    <s v="#A9A9A9"/>
    <s v="Methanol [23.8] Formaldehyde #A9A9A9"/>
  </r>
  <r>
    <s v="Methanol"/>
    <s v="Methyl tert-Butyl Ether (MTBE)"/>
    <m/>
    <x v="0"/>
    <n v="0.1021547725875792"/>
    <n v="10.445623311275693"/>
    <n v="1"/>
    <n v="10.445623311275693"/>
    <e v="#N/A"/>
    <e v="#N/A"/>
    <s v="#A9A9A9"/>
    <s v="Methanol [10.4] Methyl tert-Butyl Ether (MTBE) #A9A9A9"/>
  </r>
  <r>
    <s v="Methanol"/>
    <s v="Acetic Acid"/>
    <m/>
    <x v="0"/>
    <n v="7.0342979835361516E-2"/>
    <n v="7.192774760698633"/>
    <n v="1"/>
    <n v="7.192774760698633"/>
    <n v="1.8742821473158551"/>
    <n v="13.481289323641519"/>
    <s v="#A9A9A9"/>
    <s v="Methanol [7.2] Acetic Acid #A9A9A9"/>
  </r>
  <r>
    <s v="Methanol"/>
    <s v="Methyl Methacrylate (MMA)"/>
    <m/>
    <x v="0"/>
    <n v="1.733781708100687E-2"/>
    <n v="1.772842341876246"/>
    <n v="1"/>
    <n v="1.772842341876246"/>
    <e v="#N/A"/>
    <e v="#N/A"/>
    <s v="#A9A9A9"/>
    <s v="Methanol [1.8] Methyl Methacrylate (MMA) #A9A9A9"/>
  </r>
  <r>
    <s v="Methanol"/>
    <s v="Biodiesel"/>
    <m/>
    <x v="1"/>
    <n v="2.9805719753632672E-2"/>
    <n v="3.0477217381202508"/>
    <n v="1"/>
    <n v="3.0477217381202508"/>
    <e v="#N/A"/>
    <e v="#N/A"/>
    <s v="#CC66FF"/>
    <s v="Methanol [3] Biodiesel #CC66FF"/>
  </r>
  <r>
    <s v="Methanol"/>
    <s v="Dimethylether (DME)"/>
    <m/>
    <x v="0"/>
    <n v="2.8522886298573059E-2"/>
    <n v="2.9165482774660565"/>
    <n v="1"/>
    <n v="2.9165482774660565"/>
    <e v="#N/A"/>
    <e v="#N/A"/>
    <s v="#A9A9A9"/>
    <s v="Methanol [2.9] Dimethylether (DME) #A9A9A9"/>
  </r>
  <r>
    <s v="Methanol"/>
    <s v="Gasoline Blending &amp; Combustion"/>
    <m/>
    <x v="1"/>
    <n v="0.12836023848013775"/>
    <n v="13.125208596196902"/>
    <n v="1"/>
    <n v="13.125208596196902"/>
    <e v="#N/A"/>
    <e v="#N/A"/>
    <s v="#CC66FF"/>
    <s v="Methanol [13.1] Gasoline Blending &amp; Combustion #CC66FF"/>
  </r>
  <r>
    <s v="Methanol"/>
    <s v="Fuel Cells"/>
    <s v="Other"/>
    <x v="1"/>
    <n v="1.2248167496215287E-4"/>
    <n v="1.2524108338569352E-2"/>
    <n v="1"/>
    <n v="1.2524108338569352E-2"/>
    <e v="#N/A"/>
    <e v="#N/A"/>
    <s v="#964B00"/>
    <s v="Methanol [0.01] Other #964B00"/>
  </r>
  <r>
    <s v="Methanol"/>
    <s v="Other"/>
    <m/>
    <x v="0"/>
    <n v="3.7085809133041631E-2"/>
    <n v="3.7921321009795088"/>
    <n v="1"/>
    <n v="3.7921321009795088"/>
    <e v="#N/A"/>
    <e v="#N/A"/>
    <s v="#964B00"/>
    <s v="Methanol [3.8] Other #964B00"/>
  </r>
  <r>
    <s v="Methyl tert-Butyl Ether (MTBE)"/>
    <s v="Fuel blend"/>
    <m/>
    <x v="1"/>
    <n v="0.95"/>
    <n v="9.9233421457119082"/>
    <n v="1"/>
    <n v="9.9233421457119082"/>
    <e v="#N/A"/>
    <e v="#N/A"/>
    <s v="#CC66FF"/>
    <s v="Methyl tert-Butyl Ether (MTBE) [9.9] Fuel blend #CC66FF"/>
  </r>
  <r>
    <s v="Methyl tert-Butyl Ether (MTBE)"/>
    <s v="Solvent"/>
    <s v="Other"/>
    <x v="0"/>
    <n v="0.05"/>
    <n v="0.52228116556378501"/>
    <n v="1"/>
    <n v="0.52228116556378501"/>
    <e v="#N/A"/>
    <e v="#N/A"/>
    <s v="#964B00"/>
    <s v="Methyl tert-Butyl Ether (MTBE) [0.52] Other #964B00"/>
  </r>
  <r>
    <s v="Dimethylether (DME)"/>
    <s v="Fuel"/>
    <m/>
    <x v="1"/>
    <n v="0.85"/>
    <n v="2.4790660358461478"/>
    <n v="1"/>
    <n v="2.4790660358461478"/>
    <e v="#N/A"/>
    <e v="#N/A"/>
    <s v="#CC66FF"/>
    <s v="Dimethylether (DME) [2.5] Fuel #CC66FF"/>
  </r>
  <r>
    <s v="Dimethylether (DME)"/>
    <s v="Other"/>
    <m/>
    <x v="0"/>
    <n v="0.15"/>
    <n v="0.43748224161990845"/>
    <n v="1"/>
    <n v="0.43748224161990845"/>
    <e v="#N/A"/>
    <e v="#N/A"/>
    <s v="#964B00"/>
    <s v="Dimethylether (DME) [0.44] Other #964B00"/>
  </r>
  <r>
    <s v="Formaldehyde"/>
    <s v="Carbamide-methanal resins (UF)"/>
    <m/>
    <x v="2"/>
    <n v="0.38"/>
    <n v="9.0391425397894682"/>
    <n v="1"/>
    <n v="9.0391425397894682"/>
    <e v="#N/A"/>
    <e v="#N/A"/>
    <s v="#FFFF00"/>
    <s v="Formaldehyde [9] Carbamide-methanal resins (UF) #FFFF00"/>
  </r>
  <r>
    <s v="Formaldehyde"/>
    <s v="Phenolic Resins (PF)"/>
    <m/>
    <x v="2"/>
    <n v="0.16"/>
    <n v="3.8059547535955658"/>
    <n v="1"/>
    <n v="3.8059547535955658"/>
    <e v="#N/A"/>
    <e v="#N/A"/>
    <s v="#FFFF00"/>
    <s v="Formaldehyde [3.8] Phenolic Resins (PF) #FFFF00"/>
  </r>
  <r>
    <s v="Formaldehyde"/>
    <s v="Melamine Resins"/>
    <m/>
    <x v="2"/>
    <n v="0.21"/>
    <n v="4.9953156140941797"/>
    <n v="1"/>
    <n v="4.9953156140941797"/>
    <e v="#N/A"/>
    <e v="#N/A"/>
    <s v="#FFFF00"/>
    <s v="Formaldehyde [5] Melamine Resins #FFFF00"/>
  </r>
  <r>
    <s v="Formaldehyde"/>
    <s v="Polyacetal resins (polyoxymethylene)"/>
    <m/>
    <x v="2"/>
    <n v="0.08"/>
    <n v="1.9029773767977829"/>
    <n v="1"/>
    <n v="1.9029773767977829"/>
    <e v="#N/A"/>
    <e v="#N/A"/>
    <s v="#FFFF00"/>
    <s v="Formaldehyde [1.9] Polyacetal resins (polyoxymethylene) #FFFF00"/>
  </r>
  <r>
    <s v="Formaldehyde"/>
    <s v="Methylene diphenyl diisocyanate"/>
    <m/>
    <x v="0"/>
    <n v="0.05"/>
    <n v="1.1893608604986143"/>
    <n v="1"/>
    <n v="1.1893608604986143"/>
    <e v="#N/A"/>
    <e v="#N/A"/>
    <s v="#A9A9A9"/>
    <s v="Formaldehyde [1.2] Methylene diphenyl diisocyanate #A9A9A9"/>
  </r>
  <r>
    <s v="Formaldehyde"/>
    <s v="1,4-butanediol"/>
    <m/>
    <x v="0"/>
    <n v="0.05"/>
    <n v="1.1893608604986143"/>
    <n v="1"/>
    <n v="1.1893608604986143"/>
    <e v="#N/A"/>
    <e v="#N/A"/>
    <s v="#A9A9A9"/>
    <s v="Formaldehyde [1.2] 1,4-butanediol #A9A9A9"/>
  </r>
  <r>
    <s v="Formaldehyde"/>
    <s v="Other"/>
    <m/>
    <x v="0"/>
    <n v="7.0000000000000007E-2"/>
    <n v="1.6651052046980603"/>
    <n v="1"/>
    <n v="1.6651052046980603"/>
    <e v="#N/A"/>
    <e v="#N/A"/>
    <s v="#964B00"/>
    <s v="Formaldehyde [1.7] Other #964B00"/>
  </r>
  <r>
    <s v="Ethylene"/>
    <s v="Polyethylene (PE)"/>
    <m/>
    <x v="3"/>
    <n v="0.61"/>
    <n v="9.5166015319592905"/>
    <n v="1"/>
    <n v="9.5166015319592905"/>
    <e v="#N/A"/>
    <e v="#N/A"/>
    <s v="#0000FF"/>
    <s v="Ethylene [9.5] Polyethylene (PE) #0000FF"/>
  </r>
  <r>
    <s v="Ethylene"/>
    <s v="Ethylene Oxide"/>
    <m/>
    <x v="0"/>
    <n v="0.14000000000000001"/>
    <n v="2.1841380565152471"/>
    <n v="1"/>
    <n v="2.1841380565152471"/>
    <n v="1.572192513368984"/>
    <n v="3.4338855006175542"/>
    <s v="#A9A9A9"/>
    <s v="Ethylene [2.2] Ethylene Oxide #A9A9A9"/>
  </r>
  <r>
    <s v="Ethylene"/>
    <s v="Ethylene Dichloride"/>
    <m/>
    <x v="0"/>
    <n v="0.12"/>
    <n v="1.872118334155926"/>
    <n v="1"/>
    <n v="1.872118334155926"/>
    <e v="#N/A"/>
    <e v="#N/A"/>
    <s v="#A9A9A9"/>
    <s v="Ethylene [1.9] Ethylene Dichloride #A9A9A9"/>
  </r>
  <r>
    <s v="Ethylene"/>
    <s v="Ethylbenzene"/>
    <m/>
    <x v="0"/>
    <n v="0.06"/>
    <n v="0.93605916707796299"/>
    <n v="1"/>
    <n v="0.93605916707796299"/>
    <e v="#N/A"/>
    <e v="#N/A"/>
    <s v="#A9A9A9"/>
    <s v="Ethylene [0.94] Ethylbenzene #A9A9A9"/>
  </r>
  <r>
    <s v="Ethylene"/>
    <s v="Other"/>
    <m/>
    <x v="0"/>
    <n v="7.0000000000000007E-2"/>
    <n v="1.0920690282576235"/>
    <n v="1"/>
    <n v="1.0920690282576235"/>
    <e v="#N/A"/>
    <e v="#N/A"/>
    <s v="#964B00"/>
    <s v="Ethylene [1.1] Other #964B00"/>
  </r>
  <r>
    <s v="Polyethylene (PE)"/>
    <s v="High-density Polyethylene (HDPE)"/>
    <m/>
    <x v="3"/>
    <n v="0.44903581267217635"/>
    <n v="4.2732949027806182"/>
    <n v="1"/>
    <n v="4.2732949027806182"/>
    <e v="#N/A"/>
    <e v="#N/A"/>
    <s v="#0000FF"/>
    <s v="Polyethylene (PE) [4.3] High-density Polyethylene (HDPE) #0000FF"/>
  </r>
  <r>
    <s v="Polyethylene (PE)"/>
    <s v="Low-density Polyethylene (LDPE)"/>
    <m/>
    <x v="3"/>
    <n v="0.55096418732782371"/>
    <n v="5.2433066291786723"/>
    <n v="1"/>
    <n v="5.2433066291786723"/>
    <e v="#N/A"/>
    <e v="#N/A"/>
    <s v="#0000FF"/>
    <s v="Polyethylene (PE) [5.2] Low-density Polyethylene (LDPE) #0000FF"/>
  </r>
  <r>
    <s v="Ethylene Oxide"/>
    <s v="Ethylene glycol"/>
    <m/>
    <x v="0"/>
    <n v="0.67"/>
    <n v="1.4633724978652156"/>
    <n v="1"/>
    <n v="1.4633724978652156"/>
    <n v="1.407482993197279"/>
    <n v="2.0596719034579123"/>
    <s v="#A9A9A9"/>
    <s v="Ethylene Oxide [1.5] Ethylene glycol #A9A9A9"/>
  </r>
  <r>
    <s v="Ethylene Oxide"/>
    <s v="Ethoxylates"/>
    <s v="Other"/>
    <x v="0"/>
    <n v="0.13"/>
    <n v="0.28393794734698213"/>
    <n v="1"/>
    <n v="0.28393794734698213"/>
    <e v="#N/A"/>
    <e v="#N/A"/>
    <s v="#964B00"/>
    <s v="Ethylene Oxide [0.28] Other #964B00"/>
  </r>
  <r>
    <s v="Ethylene Oxide"/>
    <s v="Ethanolamines"/>
    <s v="Other"/>
    <x v="0"/>
    <n v="0.06"/>
    <n v="0.13104828339091482"/>
    <n v="1"/>
    <n v="0.13104828339091482"/>
    <e v="#N/A"/>
    <e v="#N/A"/>
    <s v="#964B00"/>
    <s v="Ethylene Oxide [0.13] Other #964B00"/>
  </r>
  <r>
    <s v="Ethylene Oxide"/>
    <s v="Glycol Ethers"/>
    <s v="Other"/>
    <x v="0"/>
    <n v="0.03"/>
    <n v="6.5524141695457408E-2"/>
    <n v="1"/>
    <n v="6.5524141695457408E-2"/>
    <e v="#N/A"/>
    <e v="#N/A"/>
    <s v="#964B00"/>
    <s v="Ethylene Oxide [0.07] Other #964B00"/>
  </r>
  <r>
    <s v="Ethylene Oxide"/>
    <s v="Polyethylene Glycol (PEG)"/>
    <s v="Other"/>
    <x v="0"/>
    <n v="0.02"/>
    <n v="4.3682761130304941E-2"/>
    <n v="1"/>
    <n v="4.3682761130304941E-2"/>
    <e v="#N/A"/>
    <e v="#N/A"/>
    <s v="#964B00"/>
    <s v="Ethylene Oxide [0.04] Other #964B00"/>
  </r>
  <r>
    <s v="Ethylene Oxide"/>
    <s v="Polyurethane (PU)"/>
    <m/>
    <x v="3"/>
    <n v="0.03"/>
    <n v="6.5524141695457408E-2"/>
    <n v="1"/>
    <n v="6.5524141695457408E-2"/>
    <e v="#N/A"/>
    <e v="#N/A"/>
    <s v="#0000FF"/>
    <s v="Ethylene Oxide [0.07] Polyurethane (PU) #0000FF"/>
  </r>
  <r>
    <s v="Ethylene Oxide"/>
    <s v="Other"/>
    <m/>
    <x v="0"/>
    <n v="0.06"/>
    <n v="0.13104828339091482"/>
    <n v="1"/>
    <n v="0.13104828339091482"/>
    <e v="#N/A"/>
    <e v="#N/A"/>
    <s v="#964B00"/>
    <s v="Ethylene Oxide [0.13] Other #964B00"/>
  </r>
  <r>
    <s v="Ethylene Dichloride"/>
    <s v="Polyvinylchloride (PVC)"/>
    <m/>
    <x v="3"/>
    <n v="0.96"/>
    <n v="1.797233600789689"/>
    <n v="1"/>
    <n v="1.797233600789689"/>
    <e v="#N/A"/>
    <e v="#N/A"/>
    <s v="#0000FF"/>
    <s v="Ethylene Dichloride [1.8] Polyvinylchloride (PVC) #0000FF"/>
  </r>
  <r>
    <s v="Ethylene Dichloride"/>
    <s v="Other"/>
    <m/>
    <x v="0"/>
    <n v="0.04"/>
    <n v="7.4884733366237036E-2"/>
    <n v="1"/>
    <n v="7.4884733366237036E-2"/>
    <e v="#N/A"/>
    <e v="#N/A"/>
    <s v="#964B00"/>
    <s v="Ethylene Dichloride [0.07] Other #964B00"/>
  </r>
  <r>
    <s v="Ethylbenzene"/>
    <s v="Polystyrene (PS)"/>
    <m/>
    <x v="3"/>
    <n v="0.46529999999999999"/>
    <n v="0.4355483304413762"/>
    <n v="1"/>
    <n v="0.4355483304413762"/>
    <e v="#N/A"/>
    <e v="#N/A"/>
    <s v="#0000FF"/>
    <s v="Ethylbenzene [0.44] Polystyrene (PS) #0000FF"/>
  </r>
  <r>
    <s v="Ethylbenzene"/>
    <s v="Other"/>
    <m/>
    <x v="0"/>
    <n v="0.53469999999999995"/>
    <n v="0.5005108366365868"/>
    <n v="1"/>
    <n v="0.5005108366365868"/>
    <e v="#N/A"/>
    <e v="#N/A"/>
    <s v="#964B00"/>
    <s v="Ethylbenzene [0.5] Other #964B00"/>
  </r>
  <r>
    <s v="Propylene"/>
    <s v="Polypropylene (PP)"/>
    <m/>
    <x v="3"/>
    <n v="0.67"/>
    <n v="10.452660699037255"/>
    <n v="1"/>
    <n v="10.452660699037255"/>
    <e v="#N/A"/>
    <e v="#N/A"/>
    <s v="#0000FF"/>
    <s v="Propylene [10.5] Polypropylene (PP) #0000FF"/>
  </r>
  <r>
    <s v="Propylene"/>
    <s v="Propenic Acid"/>
    <m/>
    <x v="0"/>
    <n v="0.05"/>
    <n v="0.78004930589830257"/>
    <n v="1"/>
    <n v="0.78004930589830257"/>
    <e v="#N/A"/>
    <e v="#N/A"/>
    <s v="#A9A9A9"/>
    <s v="Propylene [0.78] Propenic Acid #A9A9A9"/>
  </r>
  <r>
    <s v="Propylene"/>
    <s v="Propenonitrile"/>
    <m/>
    <x v="0"/>
    <n v="0.06"/>
    <n v="0.93605916707796299"/>
    <n v="1"/>
    <n v="0.93605916707796299"/>
    <e v="#N/A"/>
    <e v="#N/A"/>
    <s v="#A9A9A9"/>
    <s v="Propylene [0.94] Propenonitrile #A9A9A9"/>
  </r>
  <r>
    <s v="Propylene"/>
    <s v="Cumene"/>
    <m/>
    <x v="0"/>
    <n v="0.04"/>
    <n v="0.62403944471864203"/>
    <n v="1"/>
    <n v="0.62403944471864203"/>
    <e v="#N/A"/>
    <e v="#N/A"/>
    <s v="#A9A9A9"/>
    <s v="Propylene [0.62] Cumene #A9A9A9"/>
  </r>
  <r>
    <s v="Propylene"/>
    <s v="Propylene oxide"/>
    <m/>
    <x v="0"/>
    <n v="7.0000000000000007E-2"/>
    <n v="1.0920690282576235"/>
    <n v="1"/>
    <n v="1.0920690282576235"/>
    <e v="#N/A"/>
    <e v="#N/A"/>
    <s v="#A9A9A9"/>
    <s v="Propylene [1.1] Propylene oxide #A9A9A9"/>
  </r>
  <r>
    <s v="Propylene"/>
    <s v="Butanol"/>
    <m/>
    <x v="0"/>
    <n v="0.03"/>
    <n v="0.4680295835389815"/>
    <n v="1"/>
    <n v="0.4680295835389815"/>
    <e v="#N/A"/>
    <e v="#N/A"/>
    <s v="#A9A9A9"/>
    <s v="Propylene [0.47] Butanol #A9A9A9"/>
  </r>
  <r>
    <s v="Propylene"/>
    <s v="Other"/>
    <m/>
    <x v="0"/>
    <n v="0.08"/>
    <n v="1.2480788894372841"/>
    <n v="1"/>
    <n v="1.2480788894372841"/>
    <e v="#N/A"/>
    <e v="#N/A"/>
    <s v="#964B00"/>
    <s v="Propylene [1.2] Other #964B00"/>
  </r>
  <r>
    <s v="Propenic Acid"/>
    <s v="Animal feed additives"/>
    <s v="Other"/>
    <x v="0"/>
    <n v="0.5"/>
    <n v="0.39002465294915128"/>
    <n v="1"/>
    <n v="0.39002465294915128"/>
    <e v="#N/A"/>
    <e v="#N/A"/>
    <s v="#964B00"/>
    <s v="Propenic Acid [0.39] Other #964B00"/>
  </r>
  <r>
    <s v="Propenic Acid"/>
    <s v="Food preservative"/>
    <s v="Other"/>
    <x v="0"/>
    <n v="0.35"/>
    <n v="0.27301725706440588"/>
    <n v="1"/>
    <n v="0.27301725706440588"/>
    <e v="#N/A"/>
    <e v="#N/A"/>
    <s v="#964B00"/>
    <s v="Propenic Acid [0.27] Other #964B00"/>
  </r>
  <r>
    <s v="Propenic Acid"/>
    <s v="Herbicides"/>
    <s v="Other"/>
    <x v="0"/>
    <n v="0.1"/>
    <n v="7.8004930589830268E-2"/>
    <n v="1"/>
    <n v="7.8004930589830268E-2"/>
    <e v="#N/A"/>
    <e v="#N/A"/>
    <s v="#964B00"/>
    <s v="Propenic Acid [0.08] Other #964B00"/>
  </r>
  <r>
    <s v="Propenic Acid"/>
    <s v="Other"/>
    <m/>
    <x v="0"/>
    <n v="0.05"/>
    <n v="3.9002465294915134E-2"/>
    <n v="1"/>
    <n v="3.9002465294915134E-2"/>
    <e v="#N/A"/>
    <e v="#N/A"/>
    <s v="#964B00"/>
    <s v="Propenic Acid [0.04] Other #964B00"/>
  </r>
  <r>
    <s v="Propenonitrile"/>
    <s v="Acrylic fibres"/>
    <s v="Other"/>
    <x v="0"/>
    <n v="0.3"/>
    <n v="0.28081775012338889"/>
    <n v="1"/>
    <n v="0.28081775012338889"/>
    <e v="#N/A"/>
    <e v="#N/A"/>
    <s v="#964B00"/>
    <s v="Propenonitrile [0.28] Other #964B00"/>
  </r>
  <r>
    <s v="Propenonitrile"/>
    <s v="SAN/ABS"/>
    <s v="Other"/>
    <x v="0"/>
    <n v="0.35"/>
    <n v="0.32762070847728703"/>
    <n v="1"/>
    <n v="0.32762070847728703"/>
    <e v="#N/A"/>
    <e v="#N/A"/>
    <s v="#964B00"/>
    <s v="Propenonitrile [0.33] Other #964B00"/>
  </r>
  <r>
    <s v="Propenonitrile"/>
    <s v="Propenamide"/>
    <s v="Other"/>
    <x v="0"/>
    <n v="0.15"/>
    <n v="0.14040887506169444"/>
    <n v="1"/>
    <n v="0.14040887506169444"/>
    <e v="#N/A"/>
    <e v="#N/A"/>
    <s v="#964B00"/>
    <s v="Propenonitrile [0.14] Other #964B00"/>
  </r>
  <r>
    <s v="Propenonitrile"/>
    <s v="Other"/>
    <m/>
    <x v="0"/>
    <n v="0.2"/>
    <n v="0.18721183341559261"/>
    <n v="1"/>
    <n v="0.18721183341559261"/>
    <e v="#N/A"/>
    <e v="#N/A"/>
    <s v="#964B00"/>
    <s v="Propenonitrile [0.19] Other #964B00"/>
  </r>
  <r>
    <s v="Cumene"/>
    <s v="Phenol + Acetone"/>
    <s v="Other"/>
    <x v="0"/>
    <n v="0.98"/>
    <n v="0.61155865582426916"/>
    <n v="1"/>
    <n v="0.61155865582426916"/>
    <e v="#N/A"/>
    <e v="#N/A"/>
    <s v="#964B00"/>
    <s v="Cumene [0.61] Other #964B00"/>
  </r>
  <r>
    <s v="Cumene"/>
    <s v="Other"/>
    <m/>
    <x v="0"/>
    <n v="0.02"/>
    <n v="1.2480788894372841E-2"/>
    <n v="1"/>
    <n v="1.2480788894372841E-2"/>
    <e v="#N/A"/>
    <e v="#N/A"/>
    <s v="#964B00"/>
    <s v="Cumene [0.01] Other #964B00"/>
  </r>
  <r>
    <s v="Propylene oxide"/>
    <s v="Polyurethane (PU)"/>
    <m/>
    <x v="3"/>
    <n v="0.68"/>
    <n v="0.74260693921518406"/>
    <n v="1"/>
    <n v="0.74260693921518406"/>
    <e v="#N/A"/>
    <e v="#N/A"/>
    <s v="#0000FF"/>
    <s v="Propylene oxide [0.74] Polyurethane (PU) #0000FF"/>
  </r>
  <r>
    <s v="Propylene oxide"/>
    <s v="Propylene glycol"/>
    <s v="Other"/>
    <x v="0"/>
    <n v="0.22"/>
    <n v="0.24025518621667719"/>
    <n v="1"/>
    <n v="0.24025518621667719"/>
    <e v="#N/A"/>
    <e v="#N/A"/>
    <s v="#964B00"/>
    <s v="Propylene oxide [0.24] Other #964B00"/>
  </r>
  <r>
    <s v="Propylene oxide"/>
    <s v="Glycol ether"/>
    <s v="Other"/>
    <x v="0"/>
    <n v="0.04"/>
    <n v="4.3682761130304941E-2"/>
    <n v="1"/>
    <n v="4.3682761130304941E-2"/>
    <e v="#N/A"/>
    <e v="#N/A"/>
    <s v="#964B00"/>
    <s v="Propylene oxide [0.04] Other #964B00"/>
  </r>
  <r>
    <s v="Propylene oxide"/>
    <s v="Other"/>
    <m/>
    <x v="0"/>
    <n v="0.06"/>
    <n v="6.5524141695457408E-2"/>
    <n v="1"/>
    <n v="6.5524141695457408E-2"/>
    <e v="#N/A"/>
    <e v="#N/A"/>
    <s v="#964B00"/>
    <s v="Propylene oxide [0.07] Other #964B00"/>
  </r>
  <r>
    <s v="Butanol"/>
    <s v="Other"/>
    <m/>
    <x v="0"/>
    <n v="1"/>
    <n v="0.4680295835389815"/>
    <n v="1"/>
    <n v="0.4680295835389815"/>
    <e v="#N/A"/>
    <e v="#N/A"/>
    <s v="#964B00"/>
    <s v="Butanol [0.47] Other #964B00"/>
  </r>
  <r>
    <s v="Acetic Acid"/>
    <s v="Vinyl acetate monomer (VAM)"/>
    <m/>
    <x v="0"/>
    <m/>
    <n v="2.8771099042794535"/>
    <n v="1"/>
    <n v="2.8771099042794535"/>
    <e v="#N/A"/>
    <e v="#N/A"/>
    <s v="#A9A9A9"/>
    <s v="Acetic Acid [2.9] Vinyl acetate monomer (VAM) #A9A9A9"/>
  </r>
  <r>
    <s v="Acetic Acid"/>
    <s v="Terephthalic acid"/>
    <m/>
    <x v="0"/>
    <m/>
    <n v="1.5104826997467129"/>
    <n v="1"/>
    <n v="1.5104826997467129"/>
    <n v="2.7664690601478719"/>
    <n v="4.1787036547379088"/>
    <s v="#A9A9A9"/>
    <s v="Acetic Acid [1.5] Terephthalic acid #A9A9A9"/>
  </r>
  <r>
    <s v="Acetic Acid"/>
    <s v="Acetate esters"/>
    <s v="Other"/>
    <x v="0"/>
    <m/>
    <n v="0.71927747606986336"/>
    <n v="1"/>
    <n v="0.71927747606986336"/>
    <e v="#N/A"/>
    <e v="#N/A"/>
    <s v="#964B00"/>
    <s v="Acetic Acid [0.72] Other #964B00"/>
  </r>
  <r>
    <s v="Acetic Acid"/>
    <s v="Acetic anhydride"/>
    <s v="Other"/>
    <x v="0"/>
    <m/>
    <n v="0.79120522367684964"/>
    <n v="1"/>
    <n v="0.79120522367684964"/>
    <e v="#N/A"/>
    <e v="#N/A"/>
    <s v="#964B00"/>
    <s v="Acetic Acid [0.79] Other #964B00"/>
  </r>
  <r>
    <s v="Acetic Acid"/>
    <s v="Other"/>
    <m/>
    <x v="0"/>
    <m/>
    <n v="1.2946994569257539"/>
    <n v="1"/>
    <n v="1.2946994569257539"/>
    <e v="#N/A"/>
    <e v="#N/A"/>
    <s v="#964B00"/>
    <s v="Acetic Acid [1.3] Other #964B00"/>
  </r>
  <r>
    <s v="Methanol"/>
    <s v="Methyl Chlorides"/>
    <s v="Other"/>
    <x v="0"/>
    <n v="2.2216780422383169E-2"/>
    <n v="2.2717305672878156"/>
    <n v="1"/>
    <n v="2.2717305672878156"/>
    <e v="#N/A"/>
    <e v="#N/A"/>
    <s v="#964B00"/>
    <s v="Methanol [2.3] Other #964B00"/>
  </r>
  <r>
    <s v="Methanol"/>
    <s v="Methylamines"/>
    <s v="Other"/>
    <x v="0"/>
    <n v="1.5781321174464437E-2"/>
    <n v="1.6136860977433933"/>
    <n v="1"/>
    <n v="1.6136860977433933"/>
    <e v="#N/A"/>
    <e v="#N/A"/>
    <s v="#964B00"/>
    <s v="Methanol [1.6] Other #964B00"/>
  </r>
  <r>
    <s v="Methanol"/>
    <s v="Dimethyl terephthalate (DMT)"/>
    <m/>
    <x v="0"/>
    <n v="4.662655189360548E-3"/>
    <n v="0.47677008625974848"/>
    <n v="1"/>
    <n v="0.47677008625974848"/>
    <n v="6.0608614232209739"/>
    <n v="2.8896374235574456"/>
    <s v="#A9A9A9"/>
    <s v="Methanol [0.48] Dimethyl terephthalate (DMT) #A9A9A9"/>
  </r>
  <r>
    <s v="Methanol"/>
    <s v="Methanethiol"/>
    <s v="Other"/>
    <x v="0"/>
    <n v="4.9435021407774277E-3"/>
    <n v="0.50548750580180479"/>
    <n v="1"/>
    <n v="0.50548750580180479"/>
    <e v="#N/A"/>
    <e v="#N/A"/>
    <s v="#964B00"/>
    <s v="Methanol [0.51] Other #964B00"/>
  </r>
  <r>
    <s v="Methyl Methacrylate (MMA)"/>
    <s v="Polymethyl methacrylate (PMMA)"/>
    <m/>
    <x v="2"/>
    <m/>
    <n v="1.772842341876246"/>
    <n v="1"/>
    <n v="1.772842341876246"/>
    <e v="#N/A"/>
    <e v="#N/A"/>
    <s v="#FFFF00"/>
    <s v="Methyl Methacrylate (MMA) [1.8] Polymethyl methacrylate (PMMA) #FFFF00"/>
  </r>
  <r>
    <s v="Vinyl acetate monomer (VAM)"/>
    <s v="Polyvinyl acetate (PVA)"/>
    <m/>
    <x v="2"/>
    <n v="0.37"/>
    <n v="1.0645306645833978"/>
    <n v="1"/>
    <n v="1.0645306645833978"/>
    <e v="#N/A"/>
    <e v="#N/A"/>
    <s v="#FFFF00"/>
    <s v="Vinyl acetate monomer (VAM) [1.1] Polyvinyl acetate (PVA) #FFFF00"/>
  </r>
  <r>
    <s v="Vinyl acetate monomer (VAM)"/>
    <s v="Other"/>
    <m/>
    <x v="0"/>
    <n v="0.63"/>
    <n v="1.8125792396960556"/>
    <n v="1"/>
    <n v="1.8125792396960556"/>
    <e v="#N/A"/>
    <e v="#N/A"/>
    <s v="#964B00"/>
    <s v="Vinyl acetate monomer (VAM) [1.8] Other #964B00"/>
  </r>
  <r>
    <s v="Terephthalic acid"/>
    <s v="Polyethylene terephthalate (PET)"/>
    <m/>
    <x v="3"/>
    <n v="0.9"/>
    <n v="1.3594344297720415"/>
    <n v="1"/>
    <n v="1.3594344297720415"/>
    <n v="1.1569113716803505"/>
    <n v="1.5727451508570678"/>
    <s v="#0000FF"/>
    <s v="Terephthalic acid [1.4] Polyethylene terephthalate (PET) #0000FF"/>
  </r>
  <r>
    <s v="Terephthalic acid"/>
    <s v="Other"/>
    <m/>
    <x v="0"/>
    <n v="9.9999999999999978E-2"/>
    <n v="0.15104826997467125"/>
    <n v="1"/>
    <n v="0.15104826997467125"/>
    <e v="#N/A"/>
    <e v="#N/A"/>
    <s v="#964B00"/>
    <s v="Terephthalic acid [0.15] Other #964B00"/>
  </r>
  <r>
    <s v="Dimethyl terephthalate (DMT)"/>
    <s v="Polyethylene terephthalate (PET)"/>
    <m/>
    <x v="3"/>
    <m/>
    <n v="0.42438915566653618"/>
    <n v="1"/>
    <n v="0.42438915566653618"/>
    <n v="0.98975230444410101"/>
    <n v="0.42004014480204049"/>
    <s v="#0000FF"/>
    <s v="Dimethyl terephthalate (DMT) [0.42] Polyethylene terephthalate (PET) #0000FF"/>
  </r>
  <r>
    <s v="Dimethyl terephthalate (DMT)"/>
    <s v="Other"/>
    <m/>
    <x v="0"/>
    <m/>
    <n v="5.2380930593212353E-2"/>
    <n v="1"/>
    <n v="5.2380930593212353E-2"/>
    <e v="#N/A"/>
    <e v="#N/A"/>
    <s v="#964B00"/>
    <s v="Dimethyl terephthalate (DMT) [0.05] Other #964B00"/>
  </r>
  <r>
    <s v="Methylene diphenyl diisocyanate"/>
    <s v="Polyurethane (PU)"/>
    <m/>
    <x v="3"/>
    <n v="0.95"/>
    <n v="1.1298928174736835"/>
    <n v="1"/>
    <n v="1.1298928174736835"/>
    <e v="#N/A"/>
    <e v="#N/A"/>
    <s v="#0000FF"/>
    <s v="Methylene diphenyl diisocyanate [1.1] Polyurethane (PU) #0000FF"/>
  </r>
  <r>
    <s v="Methylene diphenyl diisocyanate"/>
    <s v="Other"/>
    <m/>
    <x v="0"/>
    <n v="0.05"/>
    <n v="5.9468043024930722E-2"/>
    <n v="1"/>
    <n v="5.9468043024930722E-2"/>
    <e v="#N/A"/>
    <e v="#N/A"/>
    <s v="#964B00"/>
    <s v="Methylene diphenyl diisocyanate [0.06] Other #964B00"/>
  </r>
  <r>
    <s v="1,4-butanediol"/>
    <s v="THF"/>
    <s v="Other"/>
    <x v="0"/>
    <n v="0.5"/>
    <n v="0.59468043024930717"/>
    <n v="1"/>
    <n v="0.59468043024930717"/>
    <e v="#N/A"/>
    <e v="#N/A"/>
    <s v="#964B00"/>
    <s v="1,4-butanediol [0.59] Other #964B00"/>
  </r>
  <r>
    <s v="1,4-butanediol"/>
    <s v="Other"/>
    <m/>
    <x v="0"/>
    <n v="0.5"/>
    <n v="0.59468043024930717"/>
    <n v="1"/>
    <n v="0.59468043024930717"/>
    <e v="#N/A"/>
    <e v="#N/A"/>
    <s v="#964B00"/>
    <s v="1,4-butanediol [0.59] Other #964B00"/>
  </r>
  <r>
    <s v="Ethylene glycol"/>
    <s v="Polyethylene terephthalate (PET)"/>
    <m/>
    <x v="3"/>
    <n v="0.7"/>
    <n v="1.024360748505651"/>
    <n v="1"/>
    <n v="1.024360748505651"/>
    <n v="3.0965039471564362"/>
    <n v="3.1719371010598696"/>
    <s v="#0000FF"/>
    <s v="Ethylene glycol [1] Polyethylene terephthalate (PET) #0000FF"/>
  </r>
  <r>
    <s v="Ethylene glycol"/>
    <s v="Other"/>
    <m/>
    <x v="0"/>
    <n v="0.30000000000000004"/>
    <n v="0.43901174935956477"/>
    <n v="1"/>
    <n v="0.43901174935956477"/>
    <e v="#N/A"/>
    <e v="#N/A"/>
    <s v="#964B00"/>
    <s v="Ethylene glycol [0.44] Other #964B0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4">
  <r>
    <s v="Methanol"/>
    <x v="0"/>
    <m/>
    <m/>
    <n v="0.15257253124401302"/>
    <n v="15.60098611796605"/>
    <n v="2"/>
    <n v="15.60098611796605"/>
    <n v="1.7509363295880149"/>
    <n v="27.316333371345049"/>
  </r>
  <r>
    <s v="Methanol"/>
    <x v="1"/>
    <m/>
    <m/>
    <n v="0.15257253124401302"/>
    <n v="15.60098611796605"/>
    <n v="3"/>
    <n v="15.60098611796605"/>
    <e v="#N/A"/>
    <e v="#N/A"/>
  </r>
  <r>
    <s v="Methanol"/>
    <x v="2"/>
    <m/>
    <m/>
    <n v="0.23263118840911975"/>
    <n v="23.787217209972287"/>
    <n v="1"/>
    <n v="23.787217209972287"/>
    <n v="0.93714107365792754"/>
    <n v="22.291978275487761"/>
  </r>
  <r>
    <s v="Methanol"/>
    <x v="3"/>
    <m/>
    <m/>
    <n v="0.1021547725875792"/>
    <n v="10.445623311275693"/>
    <n v="1"/>
    <n v="10.445623311275693"/>
    <e v="#N/A"/>
    <e v="#N/A"/>
  </r>
  <r>
    <s v="Methanol"/>
    <x v="4"/>
    <m/>
    <m/>
    <n v="7.0342979835361516E-2"/>
    <n v="7.192774760698633"/>
    <n v="1"/>
    <n v="7.192774760698633"/>
    <n v="1.8742821473158551"/>
    <n v="13.481289323641519"/>
  </r>
  <r>
    <s v="Methanol"/>
    <x v="5"/>
    <m/>
    <m/>
    <n v="1.733781708100687E-2"/>
    <n v="1.772842341876246"/>
    <n v="1"/>
    <n v="1.772842341876246"/>
    <e v="#N/A"/>
    <e v="#N/A"/>
  </r>
  <r>
    <s v="Methanol"/>
    <x v="6"/>
    <m/>
    <s v="Fuel"/>
    <n v="2.9805719753632672E-2"/>
    <n v="3.0477217381202508"/>
    <n v="1"/>
    <n v="3.0477217381202508"/>
    <e v="#N/A"/>
    <e v="#N/A"/>
  </r>
  <r>
    <s v="Methanol"/>
    <x v="7"/>
    <m/>
    <m/>
    <n v="2.8522886298573059E-2"/>
    <n v="2.9165482774660565"/>
    <n v="1"/>
    <n v="2.9165482774660565"/>
    <e v="#N/A"/>
    <e v="#N/A"/>
  </r>
  <r>
    <s v="Methanol"/>
    <x v="8"/>
    <m/>
    <s v="Fuel"/>
    <n v="0.12836023848013775"/>
    <n v="13.125208596196902"/>
    <n v="1"/>
    <n v="13.125208596196902"/>
    <e v="#N/A"/>
    <e v="#N/A"/>
  </r>
  <r>
    <s v="Methanol"/>
    <x v="9"/>
    <s v="Other"/>
    <s v="Fuel"/>
    <n v="1.2248167496215287E-4"/>
    <n v="1.2524108338569352E-2"/>
    <n v="1"/>
    <n v="1.2524108338569352E-2"/>
    <e v="#N/A"/>
    <e v="#N/A"/>
  </r>
  <r>
    <s v="Methanol"/>
    <x v="10"/>
    <m/>
    <m/>
    <n v="3.7085809133041631E-2"/>
    <n v="3.7921321009795088"/>
    <n v="1"/>
    <n v="3.7921321009795088"/>
    <e v="#N/A"/>
    <e v="#N/A"/>
  </r>
  <r>
    <s v="Methyl tert-Butyl Ether (MTBE)"/>
    <x v="11"/>
    <m/>
    <s v="Fuel"/>
    <n v="0.95"/>
    <n v="9.9233421457119082"/>
    <n v="1"/>
    <n v="9.9233421457119082"/>
    <e v="#N/A"/>
    <e v="#N/A"/>
  </r>
  <r>
    <s v="Methyl tert-Butyl Ether (MTBE)"/>
    <x v="12"/>
    <s v="Other"/>
    <m/>
    <n v="0.05"/>
    <n v="0.52228116556378501"/>
    <n v="1"/>
    <n v="0.52228116556378501"/>
    <e v="#N/A"/>
    <e v="#N/A"/>
  </r>
  <r>
    <s v="Dimethylether (DME)"/>
    <x v="13"/>
    <m/>
    <s v="Fuel"/>
    <n v="0.85"/>
    <n v="2.4790660358461478"/>
    <n v="1"/>
    <n v="2.4790660358461478"/>
    <e v="#N/A"/>
    <e v="#N/A"/>
  </r>
  <r>
    <s v="Dimethylether (DME)"/>
    <x v="10"/>
    <m/>
    <m/>
    <n v="0.15"/>
    <n v="0.43748224161990845"/>
    <n v="1"/>
    <n v="0.43748224161990845"/>
    <e v="#N/A"/>
    <e v="#N/A"/>
  </r>
  <r>
    <s v="Formaldehyde"/>
    <x v="14"/>
    <m/>
    <s v="Minor polymers"/>
    <n v="0.38"/>
    <n v="9.0391425397894682"/>
    <n v="1"/>
    <n v="9.0391425397894682"/>
    <e v="#N/A"/>
    <e v="#N/A"/>
  </r>
  <r>
    <s v="Formaldehyde"/>
    <x v="15"/>
    <m/>
    <s v="Minor polymers"/>
    <n v="0.16"/>
    <n v="3.8059547535955658"/>
    <n v="1"/>
    <n v="3.8059547535955658"/>
    <e v="#N/A"/>
    <e v="#N/A"/>
  </r>
  <r>
    <s v="Formaldehyde"/>
    <x v="16"/>
    <m/>
    <s v="Minor polymers"/>
    <n v="0.21"/>
    <n v="4.9953156140941797"/>
    <n v="1"/>
    <n v="4.9953156140941797"/>
    <e v="#N/A"/>
    <e v="#N/A"/>
  </r>
  <r>
    <s v="Formaldehyde"/>
    <x v="17"/>
    <m/>
    <s v="Minor polymers"/>
    <n v="0.08"/>
    <n v="1.9029773767977829"/>
    <n v="1"/>
    <n v="1.9029773767977829"/>
    <e v="#N/A"/>
    <e v="#N/A"/>
  </r>
  <r>
    <s v="Formaldehyde"/>
    <x v="18"/>
    <m/>
    <m/>
    <n v="0.05"/>
    <n v="1.1893608604986143"/>
    <n v="1"/>
    <n v="1.1893608604986143"/>
    <e v="#N/A"/>
    <e v="#N/A"/>
  </r>
  <r>
    <s v="Formaldehyde"/>
    <x v="19"/>
    <m/>
    <m/>
    <n v="0.05"/>
    <n v="1.1893608604986143"/>
    <n v="1"/>
    <n v="1.1893608604986143"/>
    <e v="#N/A"/>
    <e v="#N/A"/>
  </r>
  <r>
    <s v="Formaldehyde"/>
    <x v="10"/>
    <m/>
    <m/>
    <n v="7.0000000000000007E-2"/>
    <n v="1.6651052046980603"/>
    <n v="1"/>
    <n v="1.6651052046980603"/>
    <e v="#N/A"/>
    <e v="#N/A"/>
  </r>
  <r>
    <s v="Ethylene"/>
    <x v="20"/>
    <m/>
    <s v="Major polymers"/>
    <n v="0.61"/>
    <n v="9.5166015319592905"/>
    <n v="1"/>
    <n v="9.5166015319592905"/>
    <e v="#N/A"/>
    <e v="#N/A"/>
  </r>
  <r>
    <s v="Ethylene"/>
    <x v="21"/>
    <m/>
    <m/>
    <n v="0.14000000000000001"/>
    <n v="2.1841380565152471"/>
    <n v="1"/>
    <n v="2.1841380565152471"/>
    <n v="1.572192513368984"/>
    <n v="3.4338855006175542"/>
  </r>
  <r>
    <s v="Ethylene"/>
    <x v="22"/>
    <m/>
    <m/>
    <n v="0.12"/>
    <n v="1.872118334155926"/>
    <n v="1"/>
    <n v="1.872118334155926"/>
    <e v="#N/A"/>
    <e v="#N/A"/>
  </r>
  <r>
    <s v="Ethylene"/>
    <x v="23"/>
    <m/>
    <m/>
    <n v="0.06"/>
    <n v="0.93605916707796299"/>
    <n v="1"/>
    <n v="0.93605916707796299"/>
    <e v="#N/A"/>
    <e v="#N/A"/>
  </r>
  <r>
    <s v="Ethylene"/>
    <x v="10"/>
    <m/>
    <m/>
    <n v="7.0000000000000007E-2"/>
    <n v="1.0920690282576235"/>
    <n v="1"/>
    <n v="1.0920690282576235"/>
    <e v="#N/A"/>
    <e v="#N/A"/>
  </r>
  <r>
    <s v="Polyethylene (PE)"/>
    <x v="24"/>
    <m/>
    <s v="Major polymers"/>
    <n v="0.44903581267217635"/>
    <n v="4.2732949027806182"/>
    <n v="1"/>
    <n v="4.2732949027806182"/>
    <e v="#N/A"/>
    <e v="#N/A"/>
  </r>
  <r>
    <s v="Polyethylene (PE)"/>
    <x v="25"/>
    <m/>
    <s v="Major polymers"/>
    <n v="0.55096418732782371"/>
    <n v="5.2433066291786723"/>
    <n v="1"/>
    <n v="5.2433066291786723"/>
    <e v="#N/A"/>
    <e v="#N/A"/>
  </r>
  <r>
    <s v="Ethylene Oxide"/>
    <x v="26"/>
    <m/>
    <m/>
    <n v="0.67"/>
    <n v="1.4633724978652156"/>
    <n v="1"/>
    <n v="1.4633724978652156"/>
    <n v="1.407482993197279"/>
    <n v="2.0596719034579123"/>
  </r>
  <r>
    <s v="Ethylene Oxide"/>
    <x v="27"/>
    <s v="Other"/>
    <m/>
    <n v="0.13"/>
    <n v="0.28393794734698213"/>
    <n v="1"/>
    <n v="0.28393794734698213"/>
    <e v="#N/A"/>
    <e v="#N/A"/>
  </r>
  <r>
    <s v="Ethylene Oxide"/>
    <x v="28"/>
    <s v="Other"/>
    <m/>
    <n v="0.06"/>
    <n v="0.13104828339091482"/>
    <n v="1"/>
    <n v="0.13104828339091482"/>
    <e v="#N/A"/>
    <e v="#N/A"/>
  </r>
  <r>
    <s v="Ethylene Oxide"/>
    <x v="29"/>
    <s v="Other"/>
    <m/>
    <n v="0.03"/>
    <n v="6.5524141695457408E-2"/>
    <n v="1"/>
    <n v="6.5524141695457408E-2"/>
    <e v="#N/A"/>
    <e v="#N/A"/>
  </r>
  <r>
    <s v="Ethylene Oxide"/>
    <x v="30"/>
    <s v="Other"/>
    <m/>
    <n v="0.02"/>
    <n v="4.3682761130304941E-2"/>
    <n v="1"/>
    <n v="4.3682761130304941E-2"/>
    <e v="#N/A"/>
    <e v="#N/A"/>
  </r>
  <r>
    <s v="Ethylene Oxide"/>
    <x v="31"/>
    <m/>
    <s v="Major polymers"/>
    <n v="0.03"/>
    <n v="6.5524141695457408E-2"/>
    <n v="1"/>
    <n v="6.5524141695457408E-2"/>
    <e v="#N/A"/>
    <e v="#N/A"/>
  </r>
  <r>
    <s v="Ethylene Oxide"/>
    <x v="10"/>
    <m/>
    <m/>
    <n v="0.06"/>
    <n v="0.13104828339091482"/>
    <n v="1"/>
    <n v="0.13104828339091482"/>
    <e v="#N/A"/>
    <e v="#N/A"/>
  </r>
  <r>
    <s v="Ethylene Dichloride"/>
    <x v="32"/>
    <m/>
    <s v="Major polymers"/>
    <n v="0.96"/>
    <n v="1.797233600789689"/>
    <n v="1"/>
    <n v="1.797233600789689"/>
    <e v="#N/A"/>
    <e v="#N/A"/>
  </r>
  <r>
    <s v="Ethylene Dichloride"/>
    <x v="10"/>
    <m/>
    <m/>
    <n v="0.04"/>
    <n v="7.4884733366237036E-2"/>
    <n v="1"/>
    <n v="7.4884733366237036E-2"/>
    <e v="#N/A"/>
    <e v="#N/A"/>
  </r>
  <r>
    <s v="Ethylbenzene"/>
    <x v="33"/>
    <m/>
    <s v="Major polymers"/>
    <n v="0.46529999999999999"/>
    <n v="0.4355483304413762"/>
    <n v="1"/>
    <n v="0.4355483304413762"/>
    <e v="#N/A"/>
    <e v="#N/A"/>
  </r>
  <r>
    <s v="Ethylbenzene"/>
    <x v="10"/>
    <m/>
    <m/>
    <n v="0.53469999999999995"/>
    <n v="0.5005108366365868"/>
    <n v="1"/>
    <n v="0.5005108366365868"/>
    <e v="#N/A"/>
    <e v="#N/A"/>
  </r>
  <r>
    <s v="Propylene"/>
    <x v="34"/>
    <m/>
    <s v="Major polymers"/>
    <n v="0.67"/>
    <n v="10.452660699037255"/>
    <n v="1"/>
    <n v="10.452660699037255"/>
    <e v="#N/A"/>
    <e v="#N/A"/>
  </r>
  <r>
    <s v="Propylene"/>
    <x v="35"/>
    <m/>
    <m/>
    <n v="0.05"/>
    <n v="0.78004930589830257"/>
    <n v="1"/>
    <n v="0.78004930589830257"/>
    <e v="#N/A"/>
    <e v="#N/A"/>
  </r>
  <r>
    <s v="Propylene"/>
    <x v="36"/>
    <m/>
    <m/>
    <n v="0.06"/>
    <n v="0.93605916707796299"/>
    <n v="1"/>
    <n v="0.93605916707796299"/>
    <e v="#N/A"/>
    <e v="#N/A"/>
  </r>
  <r>
    <s v="Propylene"/>
    <x v="37"/>
    <m/>
    <m/>
    <n v="0.04"/>
    <n v="0.62403944471864203"/>
    <n v="1"/>
    <n v="0.62403944471864203"/>
    <e v="#N/A"/>
    <e v="#N/A"/>
  </r>
  <r>
    <s v="Propylene"/>
    <x v="38"/>
    <m/>
    <m/>
    <n v="7.0000000000000007E-2"/>
    <n v="1.0920690282576235"/>
    <n v="1"/>
    <n v="1.0920690282576235"/>
    <e v="#N/A"/>
    <e v="#N/A"/>
  </r>
  <r>
    <s v="Propylene"/>
    <x v="39"/>
    <m/>
    <m/>
    <n v="0.03"/>
    <n v="0.4680295835389815"/>
    <n v="1"/>
    <n v="0.4680295835389815"/>
    <e v="#N/A"/>
    <e v="#N/A"/>
  </r>
  <r>
    <s v="Propylene"/>
    <x v="10"/>
    <m/>
    <m/>
    <n v="0.08"/>
    <n v="1.2480788894372841"/>
    <n v="1"/>
    <n v="1.2480788894372841"/>
    <e v="#N/A"/>
    <e v="#N/A"/>
  </r>
  <r>
    <s v="Propenic Acid"/>
    <x v="40"/>
    <s v="Other"/>
    <m/>
    <n v="0.5"/>
    <n v="0.39002465294915128"/>
    <n v="1"/>
    <n v="0.39002465294915128"/>
    <e v="#N/A"/>
    <e v="#N/A"/>
  </r>
  <r>
    <s v="Propenic Acid"/>
    <x v="41"/>
    <s v="Other"/>
    <m/>
    <n v="0.35"/>
    <n v="0.27301725706440588"/>
    <n v="1"/>
    <n v="0.27301725706440588"/>
    <e v="#N/A"/>
    <e v="#N/A"/>
  </r>
  <r>
    <s v="Propenic Acid"/>
    <x v="42"/>
    <s v="Other"/>
    <m/>
    <n v="0.1"/>
    <n v="7.8004930589830268E-2"/>
    <n v="1"/>
    <n v="7.8004930589830268E-2"/>
    <e v="#N/A"/>
    <e v="#N/A"/>
  </r>
  <r>
    <s v="Propenic Acid"/>
    <x v="10"/>
    <m/>
    <m/>
    <n v="0.05"/>
    <n v="3.9002465294915134E-2"/>
    <n v="1"/>
    <n v="3.9002465294915134E-2"/>
    <e v="#N/A"/>
    <e v="#N/A"/>
  </r>
  <r>
    <s v="Propenonitrile"/>
    <x v="43"/>
    <s v="Other"/>
    <m/>
    <n v="0.3"/>
    <n v="0.28081775012338889"/>
    <n v="1"/>
    <n v="0.28081775012338889"/>
    <e v="#N/A"/>
    <e v="#N/A"/>
  </r>
  <r>
    <s v="Propenonitrile"/>
    <x v="44"/>
    <s v="Other"/>
    <m/>
    <n v="0.35"/>
    <n v="0.32762070847728703"/>
    <n v="1"/>
    <n v="0.32762070847728703"/>
    <e v="#N/A"/>
    <e v="#N/A"/>
  </r>
  <r>
    <s v="Propenonitrile"/>
    <x v="45"/>
    <s v="Other"/>
    <m/>
    <n v="0.15"/>
    <n v="0.14040887506169444"/>
    <n v="1"/>
    <n v="0.14040887506169444"/>
    <e v="#N/A"/>
    <e v="#N/A"/>
  </r>
  <r>
    <s v="Propenonitrile"/>
    <x v="10"/>
    <m/>
    <m/>
    <n v="0.2"/>
    <n v="0.18721183341559261"/>
    <n v="1"/>
    <n v="0.18721183341559261"/>
    <e v="#N/A"/>
    <e v="#N/A"/>
  </r>
  <r>
    <s v="Cumene"/>
    <x v="46"/>
    <s v="Other"/>
    <m/>
    <n v="0.98"/>
    <n v="0.61155865582426916"/>
    <n v="1"/>
    <n v="0.61155865582426916"/>
    <e v="#N/A"/>
    <e v="#N/A"/>
  </r>
  <r>
    <s v="Cumene"/>
    <x v="10"/>
    <m/>
    <m/>
    <n v="0.02"/>
    <n v="1.2480788894372841E-2"/>
    <n v="1"/>
    <n v="1.2480788894372841E-2"/>
    <e v="#N/A"/>
    <e v="#N/A"/>
  </r>
  <r>
    <s v="Propylene oxide"/>
    <x v="31"/>
    <m/>
    <s v="Major polymers"/>
    <n v="0.68"/>
    <n v="0.74260693921518406"/>
    <n v="1"/>
    <n v="0.74260693921518406"/>
    <e v="#N/A"/>
    <e v="#N/A"/>
  </r>
  <r>
    <s v="Propylene oxide"/>
    <x v="47"/>
    <s v="Other"/>
    <m/>
    <n v="0.22"/>
    <n v="0.24025518621667719"/>
    <n v="1"/>
    <n v="0.24025518621667719"/>
    <e v="#N/A"/>
    <e v="#N/A"/>
  </r>
  <r>
    <s v="Propylene oxide"/>
    <x v="48"/>
    <s v="Other"/>
    <m/>
    <n v="0.04"/>
    <n v="4.3682761130304941E-2"/>
    <n v="1"/>
    <n v="4.3682761130304941E-2"/>
    <e v="#N/A"/>
    <e v="#N/A"/>
  </r>
  <r>
    <s v="Propylene oxide"/>
    <x v="10"/>
    <m/>
    <m/>
    <n v="0.06"/>
    <n v="6.5524141695457408E-2"/>
    <n v="1"/>
    <n v="6.5524141695457408E-2"/>
    <e v="#N/A"/>
    <e v="#N/A"/>
  </r>
  <r>
    <s v="Butanol"/>
    <x v="10"/>
    <m/>
    <m/>
    <n v="1"/>
    <n v="0.4680295835389815"/>
    <n v="1"/>
    <n v="0.4680295835389815"/>
    <e v="#N/A"/>
    <e v="#N/A"/>
  </r>
  <r>
    <s v="Acetic Acid"/>
    <x v="49"/>
    <m/>
    <m/>
    <m/>
    <n v="2.8771099042794535"/>
    <n v="1"/>
    <n v="2.8771099042794535"/>
    <e v="#N/A"/>
    <e v="#N/A"/>
  </r>
  <r>
    <s v="Acetic Acid"/>
    <x v="50"/>
    <m/>
    <m/>
    <m/>
    <n v="1.5104826997467129"/>
    <n v="1"/>
    <n v="1.5104826997467129"/>
    <n v="2.7664690601478719"/>
    <n v="4.1787036547379088"/>
  </r>
  <r>
    <s v="Acetic Acid"/>
    <x v="51"/>
    <s v="Other"/>
    <m/>
    <m/>
    <n v="0.71927747606986336"/>
    <n v="1"/>
    <n v="0.71927747606986336"/>
    <e v="#N/A"/>
    <e v="#N/A"/>
  </r>
  <r>
    <s v="Acetic Acid"/>
    <x v="52"/>
    <s v="Other"/>
    <m/>
    <m/>
    <n v="0.79120522367684964"/>
    <n v="1"/>
    <n v="0.79120522367684964"/>
    <e v="#N/A"/>
    <e v="#N/A"/>
  </r>
  <r>
    <s v="Acetic Acid"/>
    <x v="10"/>
    <m/>
    <m/>
    <m/>
    <n v="1.2946994569257539"/>
    <n v="1"/>
    <n v="1.2946994569257539"/>
    <e v="#N/A"/>
    <e v="#N/A"/>
  </r>
  <r>
    <s v="Methanol"/>
    <x v="53"/>
    <s v="Other"/>
    <m/>
    <n v="2.2216780422383169E-2"/>
    <n v="2.2717305672878156"/>
    <n v="1"/>
    <n v="2.2717305672878156"/>
    <e v="#N/A"/>
    <e v="#N/A"/>
  </r>
  <r>
    <s v="Methanol"/>
    <x v="54"/>
    <s v="Other"/>
    <m/>
    <n v="1.5781321174464437E-2"/>
    <n v="1.6136860977433933"/>
    <n v="1"/>
    <n v="1.6136860977433933"/>
    <e v="#N/A"/>
    <e v="#N/A"/>
  </r>
  <r>
    <s v="Methanol"/>
    <x v="55"/>
    <m/>
    <m/>
    <n v="4.662655189360548E-3"/>
    <n v="0.47677008625974848"/>
    <n v="1"/>
    <n v="0.47677008625974848"/>
    <n v="6.0608614232209739"/>
    <n v="2.8896374235574456"/>
  </r>
  <r>
    <s v="Methanol"/>
    <x v="56"/>
    <s v="Other"/>
    <m/>
    <n v="4.9435021407774277E-3"/>
    <n v="0.50548750580180479"/>
    <n v="1"/>
    <n v="0.50548750580180479"/>
    <e v="#N/A"/>
    <e v="#N/A"/>
  </r>
  <r>
    <s v="Methyl Methacrylate (MMA)"/>
    <x v="57"/>
    <m/>
    <s v="Minor polymers"/>
    <m/>
    <n v="1.772842341876246"/>
    <n v="1"/>
    <n v="1.772842341876246"/>
    <e v="#N/A"/>
    <e v="#N/A"/>
  </r>
  <r>
    <s v="Vinyl acetate monomer (VAM)"/>
    <x v="58"/>
    <m/>
    <s v="Minor polymers"/>
    <n v="0.37"/>
    <n v="1.0645306645833978"/>
    <n v="1"/>
    <n v="1.0645306645833978"/>
    <e v="#N/A"/>
    <e v="#N/A"/>
  </r>
  <r>
    <s v="Vinyl acetate monomer (VAM)"/>
    <x v="10"/>
    <m/>
    <m/>
    <n v="0.63"/>
    <n v="1.8125792396960556"/>
    <n v="1"/>
    <n v="1.8125792396960556"/>
    <e v="#N/A"/>
    <e v="#N/A"/>
  </r>
  <r>
    <s v="Terephthalic acid"/>
    <x v="59"/>
    <m/>
    <s v="Major polymers"/>
    <n v="0.9"/>
    <n v="1.3594344297720415"/>
    <n v="1"/>
    <n v="1.3594344297720415"/>
    <n v="1.1569113716803505"/>
    <n v="1.5727451508570678"/>
  </r>
  <r>
    <s v="Terephthalic acid"/>
    <x v="10"/>
    <m/>
    <m/>
    <n v="9.9999999999999978E-2"/>
    <n v="0.15104826997467125"/>
    <n v="1"/>
    <n v="0.15104826997467125"/>
    <e v="#N/A"/>
    <e v="#N/A"/>
  </r>
  <r>
    <s v="Dimethyl terephthalate (DMT)"/>
    <x v="59"/>
    <m/>
    <s v="Major polymers"/>
    <m/>
    <n v="0.42438915566653618"/>
    <n v="1"/>
    <n v="0.42438915566653618"/>
    <n v="0.98975230444410101"/>
    <n v="0.42004014480204049"/>
  </r>
  <r>
    <s v="Dimethyl terephthalate (DMT)"/>
    <x v="10"/>
    <m/>
    <m/>
    <m/>
    <n v="5.2380930593212353E-2"/>
    <n v="1"/>
    <n v="5.2380930593212353E-2"/>
    <e v="#N/A"/>
    <e v="#N/A"/>
  </r>
  <r>
    <s v="Methylene diphenyl diisocyanate"/>
    <x v="31"/>
    <m/>
    <s v="Major polymers"/>
    <n v="0.95"/>
    <n v="1.1298928174736835"/>
    <n v="1"/>
    <n v="1.1298928174736835"/>
    <e v="#N/A"/>
    <e v="#N/A"/>
  </r>
  <r>
    <s v="Methylene diphenyl diisocyanate"/>
    <x v="10"/>
    <m/>
    <m/>
    <n v="0.05"/>
    <n v="5.9468043024930722E-2"/>
    <n v="1"/>
    <n v="5.9468043024930722E-2"/>
    <e v="#N/A"/>
    <e v="#N/A"/>
  </r>
  <r>
    <s v="1,4-butanediol"/>
    <x v="60"/>
    <s v="Other"/>
    <m/>
    <n v="0.5"/>
    <n v="0.59468043024930717"/>
    <n v="1"/>
    <n v="0.59468043024930717"/>
    <e v="#N/A"/>
    <e v="#N/A"/>
  </r>
  <r>
    <s v="1,4-butanediol"/>
    <x v="10"/>
    <m/>
    <m/>
    <n v="0.5"/>
    <n v="0.59468043024930717"/>
    <n v="1"/>
    <n v="0.59468043024930717"/>
    <e v="#N/A"/>
    <e v="#N/A"/>
  </r>
  <r>
    <s v="Ethylene glycol"/>
    <x v="59"/>
    <m/>
    <s v="Major polymers"/>
    <n v="0.7"/>
    <n v="1.024360748505651"/>
    <n v="1"/>
    <n v="1.024360748505651"/>
    <n v="3.0965039471564362"/>
    <n v="3.1719371010598696"/>
  </r>
  <r>
    <s v="Ethylene glycol"/>
    <x v="10"/>
    <m/>
    <m/>
    <n v="0.30000000000000004"/>
    <n v="0.43901174935956477"/>
    <n v="1"/>
    <n v="0.43901174935956477"/>
    <e v="#N/A"/>
    <e v="#N/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C9CA6D-AD38-49CA-86D7-ED3C4D4F1BED}" name="PivotTable2" cacheId="39"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Q31:R93" firstHeaderRow="1" firstDataRow="1" firstDataCol="1"/>
  <pivotFields count="10">
    <pivotField showAll="0"/>
    <pivotField axis="axisRow" showAll="0">
      <items count="62">
        <item x="0"/>
        <item x="2"/>
        <item x="3"/>
        <item x="1"/>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showAll="0"/>
    <pivotField showAll="0"/>
    <pivotField showAll="0"/>
    <pivotField dataField="1" showAll="0"/>
    <pivotField numFmtId="174" showAll="0"/>
    <pivotField numFmtId="174" showAll="0"/>
    <pivotField showAll="0"/>
    <pivotField showAll="0"/>
  </pivotFields>
  <rowFields count="1">
    <field x="1"/>
  </rowFields>
  <rowItems count="6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Sum of Amount (Mt Methano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3E2FB62-8BA0-4631-8994-1D7EACB6C0E6}" name="PivotTable1" cacheId="38"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
  <location ref="Q14:R19" firstHeaderRow="1" firstDataRow="1" firstDataCol="1"/>
  <pivotFields count="12">
    <pivotField showAll="0"/>
    <pivotField showAll="0"/>
    <pivotField showAll="0"/>
    <pivotField axis="axisRow" showAll="0">
      <items count="5">
        <item x="1"/>
        <item x="3"/>
        <item x="2"/>
        <item x="0"/>
        <item t="default"/>
      </items>
    </pivotField>
    <pivotField showAll="0"/>
    <pivotField dataField="1" showAll="0"/>
    <pivotField numFmtId="174" showAll="0"/>
    <pivotField numFmtId="174" showAll="0"/>
    <pivotField showAll="0"/>
    <pivotField showAll="0"/>
    <pivotField showAll="0"/>
    <pivotField showAll="0"/>
  </pivotFields>
  <rowFields count="1">
    <field x="3"/>
  </rowFields>
  <rowItems count="5">
    <i>
      <x/>
    </i>
    <i>
      <x v="1"/>
    </i>
    <i>
      <x v="2"/>
    </i>
    <i>
      <x v="3"/>
    </i>
    <i t="grand">
      <x/>
    </i>
  </rowItems>
  <colItems count="1">
    <i/>
  </colItems>
  <dataFields count="1">
    <dataField name="Sum of Amount (Mt Methano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8" dT="2021-08-23T15:21:28.51" personId="{A0EE1085-424D-4793-96CE-2B3CC27F8D15}" id="{6ABB56AA-F2C7-4804-8D1E-BDF5F359084E}">
    <text>What is NBM?</text>
  </threadedComment>
</ThreadedComment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printerSettings" Target="../printerSettings/printerSettings13.bin"/><Relationship Id="rId1" Type="http://schemas.openxmlformats.org/officeDocument/2006/relationships/hyperlink" Target="https://www.epa.gov/sites/default/files/2019-10/documents/warm_v15_management_practices_updated_10-08-2019.pdf%20(page%2064%20pdf)" TargetMode="External"/></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5.bin"/><Relationship Id="rId1" Type="http://schemas.openxmlformats.org/officeDocument/2006/relationships/hyperlink" Target="https://www.iea.org/reports/the-future-of-petrochemicals" TargetMode="External"/></Relationships>
</file>

<file path=xl/worksheets/_rels/sheet18.xml.rels><?xml version="1.0" encoding="UTF-8" standalone="yes"?>
<Relationships xmlns="http://schemas.openxmlformats.org/package/2006/relationships"><Relationship Id="rId3" Type="http://schemas.openxmlformats.org/officeDocument/2006/relationships/printerSettings" Target="../printerSettings/printerSettings16.bin"/><Relationship Id="rId2" Type="http://schemas.openxmlformats.org/officeDocument/2006/relationships/hyperlink" Target="https://cefic.org/app/uploads/2019/01/Low-carbon-energy-and-feedstock-for-the-chemical-industry-DECHEMA_Report-energy_climate.pdf" TargetMode="External"/><Relationship Id="rId1" Type="http://schemas.openxmlformats.org/officeDocument/2006/relationships/hyperlink" Target="https://www.iea.org/reports/the-future-of-petrochemicals" TargetMode="External"/><Relationship Id="rId4" Type="http://schemas.openxmlformats.org/officeDocument/2006/relationships/drawing" Target="../drawings/drawing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https://www.marketresearchfuture.com/reports/ethylene-dichloride-market-2509" TargetMode="External"/></Relationships>
</file>

<file path=xl/worksheets/_rels/sheet2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s://www.iea.org/reports/the-future-of-petrochemicals" TargetMode="External"/></Relationships>
</file>

<file path=xl/worksheets/_rels/sheet22.xml.rels><?xml version="1.0" encoding="UTF-8" standalone="yes"?>
<Relationships xmlns="http://schemas.openxmlformats.org/package/2006/relationships"><Relationship Id="rId3" Type="http://schemas.openxmlformats.org/officeDocument/2006/relationships/hyperlink" Target="https://www.mdpi.com/1996-1073/14/13/3772/pdf" TargetMode="External"/><Relationship Id="rId2" Type="http://schemas.openxmlformats.org/officeDocument/2006/relationships/hyperlink" Target="https://www.mdpi.com/1996-1073/14/13/3772/pdf" TargetMode="External"/><Relationship Id="rId1" Type="http://schemas.openxmlformats.org/officeDocument/2006/relationships/hyperlink" Target="https://www.mdpi.com/1996-1073/14/13/3772/pdf" TargetMode="External"/><Relationship Id="rId5" Type="http://schemas.openxmlformats.org/officeDocument/2006/relationships/printerSettings" Target="../printerSettings/printerSettings18.bin"/><Relationship Id="rId4" Type="http://schemas.openxmlformats.org/officeDocument/2006/relationships/hyperlink" Target="https://www.grandviewresearch.com/press-release/global-isobutene-market" TargetMode="External"/></Relationships>
</file>

<file path=xl/worksheets/_rels/sheet23.xml.rels><?xml version="1.0" encoding="UTF-8" standalone="yes"?>
<Relationships xmlns="http://schemas.openxmlformats.org/package/2006/relationships"><Relationship Id="rId3" Type="http://schemas.openxmlformats.org/officeDocument/2006/relationships/hyperlink" Target="http://atozplastics.com/upload/literature/16_art_ethylene_scenario.asp" TargetMode="External"/><Relationship Id="rId2" Type="http://schemas.openxmlformats.org/officeDocument/2006/relationships/hyperlink" Target="https://www.marketresearchfuture.com/reports/ethylene-dichloride-market-2509" TargetMode="External"/><Relationship Id="rId1" Type="http://schemas.openxmlformats.org/officeDocument/2006/relationships/hyperlink" Target="https://www.iea.org/reports/the-future-of-petrochemicals" TargetMode="External"/><Relationship Id="rId5" Type="http://schemas.openxmlformats.org/officeDocument/2006/relationships/printerSettings" Target="../printerSettings/printerSettings19.bin"/><Relationship Id="rId4" Type="http://schemas.openxmlformats.org/officeDocument/2006/relationships/hyperlink" Target="https://www.statista.com/statistics/720296/global-polyvinyl-chloride-market-size-in-tons/" TargetMode="External"/></Relationships>
</file>

<file path=xl/worksheets/_rels/sheet24.xml.rels><?xml version="1.0" encoding="UTF-8" standalone="yes"?>
<Relationships xmlns="http://schemas.openxmlformats.org/package/2006/relationships"><Relationship Id="rId3" Type="http://schemas.openxmlformats.org/officeDocument/2006/relationships/hyperlink" Target="https://www.essentialchemicalindustry.org/polymers/polypropenonitrile.html" TargetMode="External"/><Relationship Id="rId7" Type="http://schemas.openxmlformats.org/officeDocument/2006/relationships/printerSettings" Target="../printerSettings/printerSettings20.bin"/><Relationship Id="rId2" Type="http://schemas.openxmlformats.org/officeDocument/2006/relationships/hyperlink" Target="https://ihsmarkit.com/products/propionic-acid-chemical-economics-handbook.html" TargetMode="External"/><Relationship Id="rId1" Type="http://schemas.openxmlformats.org/officeDocument/2006/relationships/hyperlink" Target="https://www.iea.org/reports/the-future-of-petrochemicals" TargetMode="External"/><Relationship Id="rId6" Type="http://schemas.openxmlformats.org/officeDocument/2006/relationships/hyperlink" Target="http://article.sapub.org/10.5923.j.ajps.20160601.01.html" TargetMode="External"/><Relationship Id="rId5" Type="http://schemas.openxmlformats.org/officeDocument/2006/relationships/hyperlink" Target="https://www.researchgate.net/figure/Common-propylene-oxide-uses_fig1_269517484" TargetMode="External"/><Relationship Id="rId4" Type="http://schemas.openxmlformats.org/officeDocument/2006/relationships/hyperlink" Target="https://www.chemicalsafetyfacts.org/cumene/" TargetMode="Externa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7.xml.rels><?xml version="1.0" encoding="UTF-8" standalone="yes"?>
<Relationships xmlns="http://schemas.openxmlformats.org/package/2006/relationships"><Relationship Id="rId3" Type="http://schemas.openxmlformats.org/officeDocument/2006/relationships/hyperlink" Target="https://marketersmedia.com/phthalic-anhydride-market-size-industry-survey-competitive-trends-outlook-and-forecasts-2019-to-2023/88920301" TargetMode="External"/><Relationship Id="rId2" Type="http://schemas.openxmlformats.org/officeDocument/2006/relationships/hyperlink" Target="https://www.mordorintelligence.com/industry-reports/ortho-xylene-market" TargetMode="External"/><Relationship Id="rId1" Type="http://schemas.openxmlformats.org/officeDocument/2006/relationships/hyperlink" Target="https://marketersmedia.com/toluene-market-global-price-trend-2019-demand-overview-report-size-estimation-industry-share-business-opportunity-and-growth-forecast-2023/467668" TargetMode="External"/><Relationship Id="rId4" Type="http://schemas.openxmlformats.org/officeDocument/2006/relationships/hyperlink" Target="https://www.mordorintelligence.com/industry-reports/meta-xylene-market" TargetMode="External"/></Relationships>
</file>

<file path=xl/worksheets/_rels/sheet28.xml.rels><?xml version="1.0" encoding="UTF-8" standalone="yes"?>
<Relationships xmlns="http://schemas.openxmlformats.org/package/2006/relationships"><Relationship Id="rId3" Type="http://schemas.openxmlformats.org/officeDocument/2006/relationships/hyperlink" Target="https://windeurope.org/wp-content/uploads/files/about-wind/reports/WindEurope-Accelerating-wind-turbine-blade-circularity.pdf" TargetMode="External"/><Relationship Id="rId2" Type="http://schemas.openxmlformats.org/officeDocument/2006/relationships/hyperlink" Target="https://www.plasticsinsight.com/resin-intelligence/resin-prices/ethylene-vinyl-acetate/" TargetMode="External"/><Relationship Id="rId1" Type="http://schemas.openxmlformats.org/officeDocument/2006/relationships/hyperlink" Target="https://eitrawmaterials.eu/wp-content/uploads/2020/04/rms_for_wind_and_solar_published_v2.pdf" TargetMode="External"/><Relationship Id="rId4" Type="http://schemas.openxmlformats.org/officeDocument/2006/relationships/drawing" Target="../drawings/drawing10.xml"/></Relationships>
</file>

<file path=xl/worksheets/_rels/sheet29.xml.rels><?xml version="1.0" encoding="UTF-8" standalone="yes"?>
<Relationships xmlns="http://schemas.openxmlformats.org/package/2006/relationships"><Relationship Id="rId1" Type="http://schemas.openxmlformats.org/officeDocument/2006/relationships/hyperlink" Target="https://eitrawmaterials.eu/wp-content/uploads/2020/04/rms_for_wind_and_solar_published_v2.pdf" TargetMode="External"/></Relationships>
</file>

<file path=xl/worksheets/_rels/sheet30.xml.rels><?xml version="1.0" encoding="UTF-8" standalone="yes"?>
<Relationships xmlns="http://schemas.openxmlformats.org/package/2006/relationships"><Relationship Id="rId3" Type="http://schemas.openxmlformats.org/officeDocument/2006/relationships/drawing" Target="../drawings/drawing11.xml"/><Relationship Id="rId2" Type="http://schemas.openxmlformats.org/officeDocument/2006/relationships/printerSettings" Target="../printerSettings/printerSettings22.bin"/><Relationship Id="rId1" Type="http://schemas.openxmlformats.org/officeDocument/2006/relationships/hyperlink" Target="https://advances.sciencemag.org/content/advances/suppl/2017/07/17/3.7.e1700782.DC1/1700782_SM.pdf" TargetMode="Externa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2.xml.rels><?xml version="1.0" encoding="UTF-8" standalone="yes"?>
<Relationships xmlns="http://schemas.openxmlformats.org/package/2006/relationships"><Relationship Id="rId3" Type="http://schemas.openxmlformats.org/officeDocument/2006/relationships/hyperlink" Target="https://cdn.odi.org/media/documents/odi-et-cp-automotive-report-sep20-proof02_final2.pdf" TargetMode="External"/><Relationship Id="rId2" Type="http://schemas.openxmlformats.org/officeDocument/2006/relationships/hyperlink" Target="https://cdn.odi.org/media/documents/odi-et-cp-automotive-report-sep20-proof02_final2.pdf" TargetMode="External"/><Relationship Id="rId1" Type="http://schemas.openxmlformats.org/officeDocument/2006/relationships/hyperlink" Target="https://cdn.odi.org/media/documents/odi-et-cp-automotive-report-sep20-proof02_final2.pdf" TargetMode="External"/><Relationship Id="rId6" Type="http://schemas.openxmlformats.org/officeDocument/2006/relationships/drawing" Target="../drawings/drawing12.xml"/><Relationship Id="rId5" Type="http://schemas.openxmlformats.org/officeDocument/2006/relationships/hyperlink" Target="https://cdn.odi.org/media/documents/odi-et-cp-automotive-report-sep20-proof02_final2.pdf" TargetMode="External"/><Relationship Id="rId4" Type="http://schemas.openxmlformats.org/officeDocument/2006/relationships/hyperlink" Target="https://cdn.odi.org/media/documents/odi-et-cp-automotive-report-sep20-proof02_final2.pdf" TargetMode="External"/></Relationships>
</file>

<file path=xl/worksheets/_rels/sheet33.xml.rels><?xml version="1.0" encoding="UTF-8" standalone="yes"?>
<Relationships xmlns="http://schemas.openxmlformats.org/package/2006/relationships"><Relationship Id="rId3" Type="http://schemas.openxmlformats.org/officeDocument/2006/relationships/hyperlink" Target="https://cdn.odi.org/media/documents/odi-et-cp-construction-report-sep20-proof04_final2.pdf" TargetMode="External"/><Relationship Id="rId2" Type="http://schemas.openxmlformats.org/officeDocument/2006/relationships/hyperlink" Target="https://cdn.odi.org/media/documents/odi-et-cp-construction-report-sep20-proof04_final2.pdf" TargetMode="External"/><Relationship Id="rId1" Type="http://schemas.openxmlformats.org/officeDocument/2006/relationships/hyperlink" Target="https://cdn.odi.org/media/documents/odi-et-cp-construction-report-sep20-proof04_final2.pdf" TargetMode="External"/><Relationship Id="rId4" Type="http://schemas.openxmlformats.org/officeDocument/2006/relationships/drawing" Target="../drawings/drawing13.xml"/></Relationships>
</file>

<file path=xl/worksheets/_rels/sheet34.xml.rels><?xml version="1.0" encoding="UTF-8" standalone="yes"?>
<Relationships xmlns="http://schemas.openxmlformats.org/package/2006/relationships"><Relationship Id="rId3" Type="http://schemas.openxmlformats.org/officeDocument/2006/relationships/hyperlink" Target="https://www.mckinsey.com/~/media/mckinsey/industries/retail/our%20insights/fashion%20on%20climate/fashion-on-climate-full-report.pdf" TargetMode="External"/><Relationship Id="rId2" Type="http://schemas.openxmlformats.org/officeDocument/2006/relationships/hyperlink" Target="https://www.mckinsey.com/~/media/mckinsey/industries/retail/our%20insights/fashion%20on%20climate/fashion-on-climate-full-report.pdf" TargetMode="External"/><Relationship Id="rId1" Type="http://schemas.openxmlformats.org/officeDocument/2006/relationships/hyperlink" Target="https://www.mckinsey.com/~/media/mckinsey/industries/retail/our%20insights/fashion%20on%20climate/fashion-on-climate-full-report.pdf"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4.bin"/></Relationships>
</file>

<file path=xl/worksheets/_rels/sheet37.xml.rels><?xml version="1.0" encoding="UTF-8" standalone="yes"?>
<Relationships xmlns="http://schemas.openxmlformats.org/package/2006/relationships"><Relationship Id="rId3" Type="http://schemas.openxmlformats.org/officeDocument/2006/relationships/printerSettings" Target="../printerSettings/printerSettings25.bin"/><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 Id="rId4" Type="http://schemas.openxmlformats.org/officeDocument/2006/relationships/drawing" Target="../drawings/drawing15.xml"/></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6.bin"/></Relationships>
</file>

<file path=xl/worksheets/_rels/sheet39.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 Id="rId4" Type="http://schemas.openxmlformats.org/officeDocument/2006/relationships/drawing" Target="../drawings/drawing17.xml"/></Relationships>
</file>

<file path=xl/worksheets/_rels/sheet40.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s>
</file>

<file path=xl/worksheets/_rels/sheet41.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s>
</file>

<file path=xl/worksheets/_rels/sheet42.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s>
</file>

<file path=xl/worksheets/_rels/sheet43.xml.rels><?xml version="1.0" encoding="UTF-8" standalone="yes"?>
<Relationships xmlns="http://schemas.openxmlformats.org/package/2006/relationships"><Relationship Id="rId3" Type="http://schemas.openxmlformats.org/officeDocument/2006/relationships/drawing" Target="../drawings/drawing21.xml"/><Relationship Id="rId2" Type="http://schemas.openxmlformats.org/officeDocument/2006/relationships/hyperlink" Target="https://wrap.org.uk/sites/default/files/2020-10/WRAP_Plastics_market_situation_report.pdf" TargetMode="External"/><Relationship Id="rId1" Type="http://schemas.openxmlformats.org/officeDocument/2006/relationships/hyperlink" Target="https://wrap.org.uk/sites/default/files/2020-10/WRAP_Plastics_market_situation_report.pdf"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hyperlink" Target="https://www.goldsteinresearch.com/report/global-tire-recycling-industry-market-trends-analysis" TargetMode="External"/></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hyperlink" Target="https://www.goldsteinresearch.com/report/global-tire-recycling-industry-market-trends-analysis" TargetMode="External"/></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50.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hyperlink" Target="https://advances.sciencemag.org/content/advances/suppl/2017/07/17/3.7.e1700782.DC1/1700782_SM.pdf" TargetMode="External"/></Relationships>
</file>

<file path=xl/worksheets/_rels/sheet52.xml.rels><?xml version="1.0" encoding="UTF-8" standalone="yes"?>
<Relationships xmlns="http://schemas.openxmlformats.org/package/2006/relationships"><Relationship Id="rId3" Type="http://schemas.openxmlformats.org/officeDocument/2006/relationships/drawing" Target="../drawings/drawing25.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91F4F-EBA0-401B-B429-BDBF2D8625D5}">
  <sheetPr>
    <tabColor rgb="FFFF0000"/>
  </sheetPr>
  <dimension ref="A1:B23"/>
  <sheetViews>
    <sheetView workbookViewId="0">
      <selection activeCell="B24" sqref="B24"/>
    </sheetView>
  </sheetViews>
  <sheetFormatPr baseColWidth="10" defaultColWidth="8.83203125" defaultRowHeight="15" x14ac:dyDescent="0.2"/>
  <cols>
    <col min="1" max="1" width="87" customWidth="1"/>
    <col min="2" max="2" width="66.33203125" bestFit="1" customWidth="1"/>
  </cols>
  <sheetData>
    <row r="1" spans="1:2" ht="30" customHeight="1" x14ac:dyDescent="0.2">
      <c r="A1" s="675" t="s">
        <v>1945</v>
      </c>
    </row>
    <row r="2" spans="1:2" ht="48" x14ac:dyDescent="0.2">
      <c r="A2" s="676" t="s">
        <v>1946</v>
      </c>
    </row>
    <row r="4" spans="1:2" x14ac:dyDescent="0.2">
      <c r="A4" s="677"/>
      <c r="B4" s="678"/>
    </row>
    <row r="5" spans="1:2" x14ac:dyDescent="0.2">
      <c r="A5" s="1" t="s">
        <v>1947</v>
      </c>
      <c r="B5" s="1" t="s">
        <v>1948</v>
      </c>
    </row>
    <row r="6" spans="1:2" x14ac:dyDescent="0.2">
      <c r="A6" t="s">
        <v>15</v>
      </c>
      <c r="B6" t="s">
        <v>1965</v>
      </c>
    </row>
    <row r="7" spans="1:2" x14ac:dyDescent="0.2">
      <c r="A7" t="s">
        <v>1949</v>
      </c>
      <c r="B7" t="s">
        <v>1966</v>
      </c>
    </row>
    <row r="8" spans="1:2" x14ac:dyDescent="0.2">
      <c r="A8" t="s">
        <v>1950</v>
      </c>
      <c r="B8" t="s">
        <v>1967</v>
      </c>
    </row>
    <row r="9" spans="1:2" x14ac:dyDescent="0.2">
      <c r="A9" t="s">
        <v>1951</v>
      </c>
      <c r="B9" t="s">
        <v>1968</v>
      </c>
    </row>
    <row r="10" spans="1:2" x14ac:dyDescent="0.2">
      <c r="A10" t="s">
        <v>1952</v>
      </c>
      <c r="B10" t="s">
        <v>1969</v>
      </c>
    </row>
    <row r="11" spans="1:2" x14ac:dyDescent="0.2">
      <c r="A11" t="s">
        <v>1953</v>
      </c>
      <c r="B11" t="s">
        <v>1970</v>
      </c>
    </row>
    <row r="12" spans="1:2" x14ac:dyDescent="0.2">
      <c r="A12" t="s">
        <v>1954</v>
      </c>
      <c r="B12" t="s">
        <v>1971</v>
      </c>
    </row>
    <row r="13" spans="1:2" x14ac:dyDescent="0.2">
      <c r="A13" t="s">
        <v>1955</v>
      </c>
      <c r="B13" t="s">
        <v>1972</v>
      </c>
    </row>
    <row r="14" spans="1:2" x14ac:dyDescent="0.2">
      <c r="A14" t="s">
        <v>1956</v>
      </c>
      <c r="B14" t="s">
        <v>1973</v>
      </c>
    </row>
    <row r="15" spans="1:2" x14ac:dyDescent="0.2">
      <c r="A15" t="s">
        <v>1974</v>
      </c>
      <c r="B15" t="s">
        <v>1975</v>
      </c>
    </row>
    <row r="16" spans="1:2" x14ac:dyDescent="0.2">
      <c r="A16" t="s">
        <v>1957</v>
      </c>
      <c r="B16" t="s">
        <v>1976</v>
      </c>
    </row>
    <row r="17" spans="1:2" x14ac:dyDescent="0.2">
      <c r="A17" t="s">
        <v>1958</v>
      </c>
      <c r="B17" t="s">
        <v>1977</v>
      </c>
    </row>
    <row r="18" spans="1:2" x14ac:dyDescent="0.2">
      <c r="A18" t="s">
        <v>1959</v>
      </c>
      <c r="B18" t="s">
        <v>1978</v>
      </c>
    </row>
    <row r="19" spans="1:2" x14ac:dyDescent="0.2">
      <c r="A19" t="s">
        <v>1960</v>
      </c>
      <c r="B19" t="s">
        <v>1979</v>
      </c>
    </row>
    <row r="20" spans="1:2" x14ac:dyDescent="0.2">
      <c r="A20" t="s">
        <v>1961</v>
      </c>
      <c r="B20" t="s">
        <v>1980</v>
      </c>
    </row>
    <row r="21" spans="1:2" x14ac:dyDescent="0.2">
      <c r="A21" t="s">
        <v>1962</v>
      </c>
      <c r="B21" t="s">
        <v>1981</v>
      </c>
    </row>
    <row r="22" spans="1:2" x14ac:dyDescent="0.2">
      <c r="A22" t="s">
        <v>1963</v>
      </c>
      <c r="B22" t="s">
        <v>1982</v>
      </c>
    </row>
    <row r="23" spans="1:2" x14ac:dyDescent="0.2">
      <c r="A23" t="s">
        <v>1964</v>
      </c>
      <c r="B23" t="s">
        <v>1983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9E2B3-226C-4E57-96C6-C11626632AC1}">
  <sheetPr>
    <tabColor rgb="FF00B0F0"/>
  </sheetPr>
  <dimension ref="A1:AB61"/>
  <sheetViews>
    <sheetView zoomScale="55" zoomScaleNormal="55" workbookViewId="0">
      <selection activeCell="C23" sqref="C23"/>
    </sheetView>
  </sheetViews>
  <sheetFormatPr baseColWidth="10" defaultColWidth="8.83203125" defaultRowHeight="15" x14ac:dyDescent="0.2"/>
  <cols>
    <col min="1" max="1" width="20.5" customWidth="1"/>
    <col min="2" max="2" width="32.1640625" customWidth="1"/>
    <col min="3" max="3" width="11.83203125" customWidth="1"/>
    <col min="4" max="4" width="3.5" customWidth="1"/>
    <col min="5" max="5" width="15.1640625" customWidth="1"/>
    <col min="6" max="6" width="19.5" customWidth="1"/>
    <col min="7" max="7" width="15.33203125" customWidth="1"/>
    <col min="8" max="8" width="3.5" customWidth="1"/>
    <col min="9" max="9" width="15.1640625" customWidth="1"/>
    <col min="10" max="10" width="19.5" customWidth="1"/>
    <col min="11" max="11" width="15.33203125" customWidth="1"/>
    <col min="12" max="12" width="2.6640625" customWidth="1"/>
    <col min="14" max="14" width="16.33203125" customWidth="1"/>
    <col min="16" max="16" width="4.33203125" customWidth="1"/>
    <col min="17" max="17" width="23.5" customWidth="1"/>
    <col min="18" max="18" width="18.6640625" customWidth="1"/>
    <col min="23" max="23" width="0" hidden="1" customWidth="1"/>
  </cols>
  <sheetData>
    <row r="1" spans="1:28" x14ac:dyDescent="0.2">
      <c r="A1" t="s">
        <v>1915</v>
      </c>
    </row>
    <row r="2" spans="1:28" s="89" customFormat="1" ht="16" thickBot="1" x14ac:dyDescent="0.25">
      <c r="A2" s="89" t="s">
        <v>1930</v>
      </c>
    </row>
    <row r="3" spans="1:28" x14ac:dyDescent="0.2">
      <c r="B3" t="s">
        <v>1909</v>
      </c>
      <c r="F3" t="s">
        <v>1916</v>
      </c>
      <c r="J3" t="s">
        <v>1917</v>
      </c>
      <c r="N3" t="s">
        <v>1922</v>
      </c>
      <c r="R3" t="s">
        <v>1925</v>
      </c>
    </row>
    <row r="4" spans="1:28" x14ac:dyDescent="0.2">
      <c r="B4" t="s">
        <v>1913</v>
      </c>
      <c r="C4" t="s">
        <v>462</v>
      </c>
      <c r="F4" t="s">
        <v>1913</v>
      </c>
      <c r="G4" t="s">
        <v>462</v>
      </c>
      <c r="J4" t="s">
        <v>1913</v>
      </c>
      <c r="K4" t="s">
        <v>462</v>
      </c>
      <c r="N4" t="s">
        <v>1913</v>
      </c>
      <c r="O4" t="s">
        <v>462</v>
      </c>
      <c r="R4" t="s">
        <v>1913</v>
      </c>
      <c r="S4" t="s">
        <v>462</v>
      </c>
    </row>
    <row r="5" spans="1:28" x14ac:dyDescent="0.2">
      <c r="A5" t="s">
        <v>19</v>
      </c>
      <c r="B5" s="49">
        <f>C5*$B$10</f>
        <v>486.1890454181987</v>
      </c>
      <c r="C5" s="665">
        <v>0.995</v>
      </c>
      <c r="E5" t="s">
        <v>230</v>
      </c>
      <c r="F5" s="44">
        <f>R6</f>
        <v>0</v>
      </c>
      <c r="G5" s="2">
        <f>F5/$F$28</f>
        <v>0</v>
      </c>
      <c r="H5" s="2"/>
      <c r="I5" t="s">
        <v>1920</v>
      </c>
      <c r="J5" s="26">
        <f>'Job + CO2 Analysis'!D22</f>
        <v>30.315500465033136</v>
      </c>
      <c r="K5" s="2">
        <f>J5/$F$41</f>
        <v>5.4564390975926733E-2</v>
      </c>
      <c r="L5" s="2"/>
      <c r="M5" t="s">
        <v>22</v>
      </c>
      <c r="N5" s="26">
        <f>'Final Exhibits'!H5</f>
        <v>0</v>
      </c>
      <c r="O5" s="2">
        <f>N5/$N$7</f>
        <v>0</v>
      </c>
      <c r="P5" s="2"/>
      <c r="Q5" t="s">
        <v>1920</v>
      </c>
      <c r="R5" s="44">
        <f>'Job + CO2 Analysis'!D22</f>
        <v>30.315500465033136</v>
      </c>
      <c r="S5" s="2">
        <f t="shared" ref="S5:S13" si="0">R5/SUM($R$35)</f>
        <v>5.8549884678887561E-2</v>
      </c>
      <c r="V5" s="44"/>
    </row>
    <row r="6" spans="1:28" x14ac:dyDescent="0.2">
      <c r="A6" t="s">
        <v>21</v>
      </c>
      <c r="B6" s="49">
        <f>C6*$B$10</f>
        <v>2.443161032252255</v>
      </c>
      <c r="C6" s="665">
        <v>5.0000000000000001E-3</v>
      </c>
      <c r="E6" t="s">
        <v>1919</v>
      </c>
      <c r="F6" s="26">
        <f>SUM('Final Exhibits'!B4:B10)-19</f>
        <v>488.63220645045095</v>
      </c>
      <c r="G6" s="2">
        <f>F6/$F$7</f>
        <v>1</v>
      </c>
      <c r="H6" s="2"/>
      <c r="I6" t="s">
        <v>1921</v>
      </c>
      <c r="J6" s="26">
        <f>F7</f>
        <v>488.63220645045095</v>
      </c>
      <c r="K6" s="2">
        <f>J6/$J$7</f>
        <v>0.9415827451185359</v>
      </c>
      <c r="L6" s="2"/>
      <c r="M6" t="s">
        <v>20</v>
      </c>
      <c r="N6" s="26">
        <f>J7</f>
        <v>518.9477069154841</v>
      </c>
      <c r="O6" s="2">
        <f>N6/$N$7</f>
        <v>1</v>
      </c>
      <c r="P6" s="2"/>
      <c r="Q6" t="s">
        <v>230</v>
      </c>
      <c r="R6" s="44">
        <f>'Job + CO2 Analysis'!BN3</f>
        <v>0</v>
      </c>
      <c r="S6" s="2">
        <f t="shared" si="0"/>
        <v>0</v>
      </c>
    </row>
    <row r="7" spans="1:28" ht="16" thickBot="1" x14ac:dyDescent="0.25">
      <c r="A7" t="s">
        <v>24</v>
      </c>
      <c r="B7" s="49">
        <f>C7*$B$31</f>
        <v>0</v>
      </c>
      <c r="C7" s="665">
        <v>0</v>
      </c>
      <c r="E7" s="273" t="s">
        <v>35</v>
      </c>
      <c r="F7" s="664">
        <f>SUM(F5:F6)</f>
        <v>488.63220645045095</v>
      </c>
      <c r="G7" s="274">
        <f>F7/$F$7</f>
        <v>1</v>
      </c>
      <c r="H7" s="2"/>
      <c r="I7" s="273" t="s">
        <v>1924</v>
      </c>
      <c r="J7" s="664">
        <f>SUM(J5:J6)</f>
        <v>518.9477069154841</v>
      </c>
      <c r="K7" s="274">
        <f>J7/$J$7</f>
        <v>1</v>
      </c>
      <c r="L7" s="2"/>
      <c r="M7" s="273" t="s">
        <v>1923</v>
      </c>
      <c r="N7" s="664">
        <f>SUM(N5:N6)</f>
        <v>518.9477069154841</v>
      </c>
      <c r="O7" s="274">
        <f>N7/$N$7</f>
        <v>1</v>
      </c>
      <c r="P7" s="275"/>
      <c r="Q7" t="s">
        <v>23</v>
      </c>
      <c r="R7" s="44">
        <f>B9</f>
        <v>0</v>
      </c>
      <c r="S7" s="2">
        <f t="shared" si="0"/>
        <v>0</v>
      </c>
    </row>
    <row r="8" spans="1:28" x14ac:dyDescent="0.2">
      <c r="A8" t="s">
        <v>27</v>
      </c>
      <c r="B8" s="49">
        <f>C8*$B$31</f>
        <v>0</v>
      </c>
      <c r="C8" s="665">
        <v>0</v>
      </c>
      <c r="F8" s="26"/>
      <c r="G8" s="2"/>
      <c r="H8" s="2"/>
      <c r="J8" s="26"/>
      <c r="K8" s="2"/>
      <c r="L8" s="2"/>
      <c r="Q8" t="s">
        <v>26</v>
      </c>
      <c r="R8" s="44">
        <f>'Job + CO2 Analysis'!D25+0.27*N6*AA8/SUM(AA8:AA12)</f>
        <v>91.891808508082178</v>
      </c>
      <c r="S8" s="2">
        <f t="shared" si="0"/>
        <v>0.17747537426566282</v>
      </c>
      <c r="AA8" s="2">
        <f>'Scope 3 Yearly'!AH11/SUM('Scope 3 Yearly'!$AH$11:$AH$16)</f>
        <v>0.32000000000000006</v>
      </c>
    </row>
    <row r="9" spans="1:28" x14ac:dyDescent="0.2">
      <c r="A9" t="s">
        <v>30</v>
      </c>
      <c r="B9" s="49">
        <f>C9*$B$31</f>
        <v>0</v>
      </c>
      <c r="C9" s="665">
        <v>0</v>
      </c>
      <c r="G9" s="2"/>
      <c r="H9" s="2"/>
      <c r="J9" s="26"/>
      <c r="K9" s="2"/>
      <c r="L9" s="2"/>
      <c r="N9" s="26"/>
      <c r="O9" s="2"/>
      <c r="P9" s="2"/>
      <c r="Q9" t="s">
        <v>448</v>
      </c>
      <c r="R9" s="44">
        <f>'Job + CO2 Analysis'!D28</f>
        <v>79.404851189111085</v>
      </c>
      <c r="S9" s="2">
        <f t="shared" si="0"/>
        <v>0.1533586715953825</v>
      </c>
      <c r="AA9" s="2">
        <f>'Scope 3 Yearly'!AH14/SUM('Scope 3 Yearly'!$AH$11:$AH$16)</f>
        <v>0.16000000000000003</v>
      </c>
    </row>
    <row r="10" spans="1:28" ht="16" thickBot="1" x14ac:dyDescent="0.25">
      <c r="A10" s="273" t="s">
        <v>67</v>
      </c>
      <c r="B10" s="664">
        <f>F6</f>
        <v>488.63220645045095</v>
      </c>
      <c r="C10" s="664"/>
      <c r="D10" s="27"/>
      <c r="F10" s="23"/>
      <c r="G10" s="2"/>
      <c r="H10" s="2"/>
      <c r="J10" s="26"/>
      <c r="K10" s="2"/>
      <c r="L10" s="2"/>
      <c r="N10" s="26"/>
      <c r="O10" s="2"/>
      <c r="P10" s="2"/>
      <c r="Q10" t="s">
        <v>31</v>
      </c>
      <c r="R10" s="44">
        <f>0</f>
        <v>0</v>
      </c>
      <c r="S10" s="2">
        <f t="shared" si="0"/>
        <v>0</v>
      </c>
      <c r="AA10" s="2">
        <f>0</f>
        <v>0</v>
      </c>
    </row>
    <row r="11" spans="1:28" x14ac:dyDescent="0.2">
      <c r="G11" s="2"/>
      <c r="H11" s="2"/>
      <c r="J11" s="26"/>
      <c r="K11" s="2"/>
      <c r="L11" s="2"/>
      <c r="Q11" t="s">
        <v>33</v>
      </c>
      <c r="R11" s="44">
        <f>'Job + CO2 Analysis'!D26</f>
        <v>108.81405533322629</v>
      </c>
      <c r="S11" s="2">
        <f t="shared" si="0"/>
        <v>0.21015817959367231</v>
      </c>
      <c r="AA11" s="2">
        <f>'Scope 3 Yearly'!AH12/SUM('Scope 3 Yearly'!$AH$11:$AH$16)</f>
        <v>0.42000000000000004</v>
      </c>
    </row>
    <row r="12" spans="1:28" x14ac:dyDescent="0.2">
      <c r="A12" t="s">
        <v>1927</v>
      </c>
      <c r="G12" s="2"/>
      <c r="H12" s="275"/>
      <c r="L12" s="275"/>
      <c r="Q12" t="s">
        <v>34</v>
      </c>
      <c r="R12" s="44">
        <f>'Job + CO2 Analysis'!D27+'Job + CO2 Analysis'!D29+'Job + CO2 Analysis'!D30</f>
        <v>58.818408288230437</v>
      </c>
      <c r="S12" s="2">
        <f t="shared" si="0"/>
        <v>0.11359901599657964</v>
      </c>
      <c r="AA12" s="2">
        <f>SUM('Scope 3 Yearly'!AH13,'Scope 3 Yearly'!AH15,'Scope 3 Yearly'!AH16)/SUM('Scope 3 Yearly'!$AH$11:$AH$16)</f>
        <v>0.10000000000000002</v>
      </c>
    </row>
    <row r="13" spans="1:28" x14ac:dyDescent="0.2">
      <c r="A13" t="s">
        <v>1911</v>
      </c>
      <c r="H13" s="2"/>
      <c r="L13" s="2"/>
      <c r="Q13" t="s">
        <v>36</v>
      </c>
      <c r="R13" s="44">
        <f>N6-SUM(R5:R12)</f>
        <v>149.70308313180095</v>
      </c>
      <c r="S13" s="2">
        <f t="shared" si="0"/>
        <v>0.28912926123554539</v>
      </c>
      <c r="T13" s="2"/>
      <c r="AA13" s="2">
        <f>R13/N7</f>
        <v>0.28847431280042563</v>
      </c>
      <c r="AB13" s="6">
        <f>1-AA13</f>
        <v>0.71152568719957432</v>
      </c>
    </row>
    <row r="14" spans="1:28" ht="16" thickBot="1" x14ac:dyDescent="0.25">
      <c r="A14" t="s">
        <v>1928</v>
      </c>
      <c r="H14" s="2"/>
      <c r="L14" s="2"/>
      <c r="Q14" s="273" t="s">
        <v>1926</v>
      </c>
      <c r="R14" s="664">
        <f>SUM(R5:R13)</f>
        <v>518.9477069154841</v>
      </c>
      <c r="S14" s="273"/>
    </row>
    <row r="15" spans="1:28" x14ac:dyDescent="0.2">
      <c r="F15" s="23"/>
      <c r="H15" s="275"/>
      <c r="L15" s="275"/>
      <c r="O15" s="26"/>
      <c r="P15" s="26"/>
    </row>
    <row r="16" spans="1:28" x14ac:dyDescent="0.2">
      <c r="F16" s="23"/>
      <c r="H16" s="275"/>
      <c r="L16" s="275"/>
      <c r="O16" s="26"/>
      <c r="P16" s="26"/>
    </row>
    <row r="18" spans="1:19" s="273" customFormat="1" ht="16" thickBot="1" x14ac:dyDescent="0.25">
      <c r="A18" s="273" t="s">
        <v>1918</v>
      </c>
    </row>
    <row r="19" spans="1:19" x14ac:dyDescent="0.2">
      <c r="E19" t="s">
        <v>37</v>
      </c>
      <c r="F19" s="26">
        <v>0</v>
      </c>
      <c r="G19" s="2">
        <f>F19/$F$41</f>
        <v>0</v>
      </c>
      <c r="I19" t="s">
        <v>37</v>
      </c>
      <c r="J19" s="26">
        <f>F19</f>
        <v>0</v>
      </c>
      <c r="K19" s="2">
        <f>J19/$J$41</f>
        <v>0</v>
      </c>
      <c r="M19" t="s">
        <v>37</v>
      </c>
      <c r="N19" s="26">
        <f>J19</f>
        <v>0</v>
      </c>
      <c r="O19" s="2">
        <f>N19/$N$41</f>
        <v>0</v>
      </c>
      <c r="P19" s="2"/>
    </row>
    <row r="20" spans="1:19" x14ac:dyDescent="0.2">
      <c r="E20" t="s">
        <v>28</v>
      </c>
      <c r="F20" s="26">
        <v>0</v>
      </c>
      <c r="G20" s="2">
        <f>F20/$F$41</f>
        <v>0</v>
      </c>
      <c r="I20" t="s">
        <v>28</v>
      </c>
      <c r="J20" s="26">
        <f>F20</f>
        <v>0</v>
      </c>
      <c r="K20" s="2">
        <f>J20/$J$41</f>
        <v>0</v>
      </c>
      <c r="M20" t="s">
        <v>28</v>
      </c>
      <c r="N20" s="26">
        <f>J20</f>
        <v>0</v>
      </c>
      <c r="O20" s="2">
        <f t="shared" ref="O20" si="1">N20/$N$41</f>
        <v>0</v>
      </c>
      <c r="P20" s="2"/>
    </row>
    <row r="21" spans="1:19" ht="16" thickBot="1" x14ac:dyDescent="0.25">
      <c r="E21" s="273" t="s">
        <v>1914</v>
      </c>
      <c r="F21" s="664">
        <f>SUM(F7:F20)</f>
        <v>488.63220645045095</v>
      </c>
      <c r="G21" s="274">
        <f>F21/$F$21</f>
        <v>1</v>
      </c>
      <c r="I21" s="273" t="s">
        <v>1914</v>
      </c>
      <c r="J21" s="664">
        <f>SUM(J7,J19,J20)</f>
        <v>518.9477069154841</v>
      </c>
      <c r="K21" s="274">
        <f>J21/$J$21</f>
        <v>1</v>
      </c>
      <c r="M21" s="273" t="s">
        <v>1914</v>
      </c>
      <c r="N21" s="664">
        <f>SUM(N7,N19,N20)</f>
        <v>518.9477069154841</v>
      </c>
      <c r="O21" s="274">
        <f>N21/$N$21</f>
        <v>1</v>
      </c>
      <c r="P21" s="275"/>
    </row>
    <row r="23" spans="1:19" s="89" customFormat="1" ht="16" thickBot="1" x14ac:dyDescent="0.25">
      <c r="A23" s="89" t="s">
        <v>1912</v>
      </c>
    </row>
    <row r="24" spans="1:19" x14ac:dyDescent="0.2">
      <c r="B24" t="s">
        <v>1909</v>
      </c>
      <c r="F24" t="s">
        <v>1916</v>
      </c>
      <c r="J24" t="s">
        <v>1917</v>
      </c>
      <c r="N24" t="s">
        <v>1922</v>
      </c>
      <c r="R24" t="s">
        <v>1925</v>
      </c>
    </row>
    <row r="25" spans="1:19" x14ac:dyDescent="0.2">
      <c r="B25" t="s">
        <v>1913</v>
      </c>
      <c r="C25" t="s">
        <v>462</v>
      </c>
      <c r="F25" t="s">
        <v>1913</v>
      </c>
      <c r="G25" t="s">
        <v>462</v>
      </c>
      <c r="J25" t="s">
        <v>1913</v>
      </c>
      <c r="K25" t="s">
        <v>462</v>
      </c>
      <c r="N25" t="s">
        <v>1913</v>
      </c>
      <c r="O25" t="s">
        <v>462</v>
      </c>
      <c r="R25" t="s">
        <v>1913</v>
      </c>
      <c r="S25" t="s">
        <v>462</v>
      </c>
    </row>
    <row r="26" spans="1:19" x14ac:dyDescent="0.2">
      <c r="A26" t="s">
        <v>19</v>
      </c>
      <c r="B26" s="49">
        <f>C26*$B$31</f>
        <v>288.42852007145314</v>
      </c>
      <c r="C26" s="665">
        <v>0.74100508984231517</v>
      </c>
      <c r="E26" t="s">
        <v>230</v>
      </c>
      <c r="F26" s="44">
        <f>R27</f>
        <v>6.3205161009635695</v>
      </c>
      <c r="G26" s="2">
        <f>F26/$F$28</f>
        <v>1.5978648870221875E-2</v>
      </c>
      <c r="H26" s="2"/>
      <c r="I26" t="s">
        <v>1920</v>
      </c>
      <c r="J26" s="26">
        <f>R26</f>
        <v>122.21205377442766</v>
      </c>
      <c r="K26" s="2">
        <f>J26/$J$28</f>
        <v>0.2360344228232725</v>
      </c>
      <c r="L26" s="2"/>
      <c r="M26" t="s">
        <v>22</v>
      </c>
      <c r="N26" s="26">
        <f>'Final Exhibits'!H25</f>
        <v>69.008255037137332</v>
      </c>
      <c r="O26" s="2">
        <f>N26/$N$28</f>
        <v>0.11760490441180432</v>
      </c>
      <c r="P26" s="2"/>
      <c r="Q26" t="s">
        <v>1920</v>
      </c>
      <c r="R26" s="44">
        <f>'Job + CO2 Analysis'!BN22</f>
        <v>122.21205377442766</v>
      </c>
      <c r="S26" s="2">
        <f>R26/SUM($R$35)</f>
        <v>0.2360344228232725</v>
      </c>
    </row>
    <row r="27" spans="1:19" x14ac:dyDescent="0.2">
      <c r="A27" t="s">
        <v>21</v>
      </c>
      <c r="B27" s="49">
        <f t="shared" ref="B27:B30" si="2">C27*$B$31</f>
        <v>59.925313388907753</v>
      </c>
      <c r="C27" s="665">
        <v>0.15395482464971191</v>
      </c>
      <c r="E27" t="s">
        <v>1919</v>
      </c>
      <c r="F27" s="26">
        <f>SUM('Final Exhibits'!K16:K22)-'Final Exhibits'!E10-'Final Exhibits'!B10+'Yearly Summary'!D37</f>
        <v>389.23959366167151</v>
      </c>
      <c r="G27" s="2">
        <f>F27/$F$28</f>
        <v>0.98402135112977807</v>
      </c>
      <c r="H27" s="2"/>
      <c r="I27" t="s">
        <v>1921</v>
      </c>
      <c r="J27" s="26">
        <f>F28</f>
        <v>395.56010976263508</v>
      </c>
      <c r="K27" s="2">
        <f>J27/$J$28</f>
        <v>0.76396557717672753</v>
      </c>
      <c r="L27" s="2"/>
      <c r="M27" t="s">
        <v>20</v>
      </c>
      <c r="N27" s="26">
        <f>J28</f>
        <v>517.77216353706274</v>
      </c>
      <c r="O27" s="2">
        <f t="shared" ref="O27:O28" si="3">N27/$N$28</f>
        <v>0.88239509558819562</v>
      </c>
      <c r="P27" s="2"/>
      <c r="Q27" t="s">
        <v>230</v>
      </c>
      <c r="R27" s="44">
        <f>'Job + CO2 Analysis'!BN23</f>
        <v>6.3205161009635695</v>
      </c>
      <c r="S27" s="2">
        <f>R27/SUM($R$35)</f>
        <v>1.2207137706643318E-2</v>
      </c>
    </row>
    <row r="28" spans="1:19" ht="16" thickBot="1" x14ac:dyDescent="0.25">
      <c r="A28" t="s">
        <v>24</v>
      </c>
      <c r="B28" s="49">
        <f>C28*$B$31</f>
        <v>29.571366367176676</v>
      </c>
      <c r="C28" s="665">
        <v>7.597214376110005E-2</v>
      </c>
      <c r="E28" s="273" t="s">
        <v>35</v>
      </c>
      <c r="F28" s="664">
        <f>SUM(F26:F27)</f>
        <v>395.56010976263508</v>
      </c>
      <c r="G28" s="274">
        <f>F28/$F$28</f>
        <v>1</v>
      </c>
      <c r="H28" s="2"/>
      <c r="I28" s="273" t="s">
        <v>1924</v>
      </c>
      <c r="J28" s="664">
        <f>SUM(J26:J27)</f>
        <v>517.77216353706274</v>
      </c>
      <c r="K28" s="274">
        <f>J28/$J$28</f>
        <v>1</v>
      </c>
      <c r="L28" s="2"/>
      <c r="M28" s="273" t="s">
        <v>1923</v>
      </c>
      <c r="N28" s="664">
        <f>SUM(N26:N27)</f>
        <v>586.7804185742001</v>
      </c>
      <c r="O28" s="274">
        <f t="shared" si="3"/>
        <v>1</v>
      </c>
      <c r="P28" s="275"/>
      <c r="Q28" t="s">
        <v>23</v>
      </c>
      <c r="R28" s="44">
        <f>B30</f>
        <v>11.314393834133934</v>
      </c>
      <c r="S28" s="2">
        <f>R28/SUM($R$35)</f>
        <v>2.1852070526236462E-2</v>
      </c>
    </row>
    <row r="29" spans="1:19" x14ac:dyDescent="0.2">
      <c r="A29" t="s">
        <v>27</v>
      </c>
      <c r="B29" s="49">
        <f>C29*$B$31</f>
        <v>0</v>
      </c>
      <c r="C29" s="665">
        <v>0</v>
      </c>
      <c r="F29" s="26"/>
      <c r="G29" s="2"/>
      <c r="H29" s="2"/>
      <c r="J29" s="26"/>
      <c r="K29" s="2"/>
      <c r="L29" s="2"/>
      <c r="Q29" t="s">
        <v>26</v>
      </c>
      <c r="R29" s="44">
        <f>'Scope 3 Yearly'!BN19</f>
        <v>0.77678339923983986</v>
      </c>
      <c r="S29" s="2">
        <f t="shared" ref="S29:S34" si="4">R29/SUM($R$35)</f>
        <v>1.5002417162278303E-3</v>
      </c>
    </row>
    <row r="30" spans="1:19" x14ac:dyDescent="0.2">
      <c r="A30" t="s">
        <v>30</v>
      </c>
      <c r="B30" s="49">
        <f t="shared" si="2"/>
        <v>11.314393834133934</v>
      </c>
      <c r="C30" s="665">
        <v>2.9067941746872872E-2</v>
      </c>
      <c r="G30" s="2"/>
      <c r="H30" s="2"/>
      <c r="J30" s="26"/>
      <c r="K30" s="2"/>
      <c r="L30" s="2"/>
      <c r="N30" s="26"/>
      <c r="O30" s="2"/>
      <c r="P30" s="2"/>
      <c r="Q30" t="s">
        <v>448</v>
      </c>
      <c r="R30" s="44">
        <f>'Scope 3 Yearly'!BN14</f>
        <v>39.251561571846977</v>
      </c>
      <c r="S30" s="2">
        <f t="shared" si="4"/>
        <v>7.5808558930065592E-2</v>
      </c>
    </row>
    <row r="31" spans="1:19" ht="16" thickBot="1" x14ac:dyDescent="0.25">
      <c r="A31" s="273" t="s">
        <v>67</v>
      </c>
      <c r="B31" s="664">
        <f>F27</f>
        <v>389.23959366167151</v>
      </c>
      <c r="C31" s="664"/>
      <c r="D31" s="27"/>
      <c r="F31" s="23"/>
      <c r="G31" s="2"/>
      <c r="H31" s="2"/>
      <c r="J31" s="26"/>
      <c r="K31" s="2"/>
      <c r="L31" s="2"/>
      <c r="N31" s="26"/>
      <c r="O31" s="2"/>
      <c r="P31" s="2"/>
      <c r="Q31" t="s">
        <v>31</v>
      </c>
      <c r="R31" s="44">
        <f>'Scope 3 Yearly'!BN20-R28*'Scope 3 Yearly'!BN20/('Scope 3 Yearly'!BN20+'Scope 3 Yearly'!BN12)</f>
        <v>72.861224660337868</v>
      </c>
      <c r="S31" s="2">
        <f t="shared" si="4"/>
        <v>0.14072062924858719</v>
      </c>
    </row>
    <row r="32" spans="1:19" x14ac:dyDescent="0.2">
      <c r="F32" s="44">
        <f>B28-R31</f>
        <v>-43.289858293161188</v>
      </c>
      <c r="G32" s="2"/>
      <c r="H32" s="2"/>
      <c r="J32" s="26"/>
      <c r="K32" s="2"/>
      <c r="L32" s="2"/>
      <c r="Q32" t="s">
        <v>33</v>
      </c>
      <c r="R32" s="44">
        <f>'Scope 3 Yearly'!BN12-R28*'Scope 3 Yearly'!BN12/('Scope 3 Yearly'!BN20+'Scope 3 Yearly'!BN12)</f>
        <v>96.586070376080613</v>
      </c>
      <c r="S32" s="2">
        <f t="shared" si="4"/>
        <v>0.18654164356050182</v>
      </c>
    </row>
    <row r="33" spans="1:21" x14ac:dyDescent="0.2">
      <c r="A33" t="s">
        <v>1927</v>
      </c>
      <c r="G33" s="2"/>
      <c r="H33" s="275"/>
      <c r="L33" s="275"/>
      <c r="Q33" t="s">
        <v>34</v>
      </c>
      <c r="R33" s="44">
        <f>'Scope 3 Yearly'!BN15+'Scope 3 Yearly'!BN13+'Scope 3 Yearly'!BN16</f>
        <v>24.532225982404359</v>
      </c>
      <c r="S33" s="2">
        <f t="shared" si="4"/>
        <v>4.738034933129099E-2</v>
      </c>
    </row>
    <row r="34" spans="1:21" x14ac:dyDescent="0.2">
      <c r="A34" t="s">
        <v>1911</v>
      </c>
      <c r="H34" s="2"/>
      <c r="L34" s="2"/>
      <c r="Q34" t="s">
        <v>36</v>
      </c>
      <c r="R34" s="44">
        <f>N27-SUM(R26:R33)</f>
        <v>143.91733383762789</v>
      </c>
      <c r="S34" s="2">
        <f t="shared" si="4"/>
        <v>0.27795494615717425</v>
      </c>
      <c r="U34" s="2">
        <f>R34/N28</f>
        <v>0.24526608128357155</v>
      </c>
    </row>
    <row r="35" spans="1:21" ht="16" thickBot="1" x14ac:dyDescent="0.25">
      <c r="A35" t="s">
        <v>1928</v>
      </c>
      <c r="H35" s="2"/>
      <c r="L35" s="2"/>
      <c r="Q35" s="273" t="s">
        <v>1926</v>
      </c>
      <c r="R35" s="664">
        <f>SUM(R26:R34)</f>
        <v>517.77216353706274</v>
      </c>
      <c r="S35" s="273"/>
    </row>
    <row r="36" spans="1:21" x14ac:dyDescent="0.2">
      <c r="F36" s="23"/>
      <c r="H36" s="275"/>
      <c r="L36" s="275"/>
      <c r="O36" s="26"/>
      <c r="P36" s="26"/>
      <c r="Q36" s="2"/>
      <c r="R36" s="44">
        <f>B31-SUM(R28:R33)</f>
        <v>143.91733383762792</v>
      </c>
    </row>
    <row r="38" spans="1:21" s="273" customFormat="1" ht="16" thickBot="1" x14ac:dyDescent="0.25">
      <c r="A38" s="273" t="s">
        <v>1918</v>
      </c>
    </row>
    <row r="39" spans="1:21" x14ac:dyDescent="0.2">
      <c r="E39" t="s">
        <v>37</v>
      </c>
      <c r="F39" s="26">
        <f>'Final Exhibits'!G24-'Job + CO2 Analysis'!BN5</f>
        <v>134.31278522810328</v>
      </c>
      <c r="G39" s="2">
        <f>F39/$F$41</f>
        <v>0.24174746297541927</v>
      </c>
      <c r="I39" t="s">
        <v>37</v>
      </c>
      <c r="J39" s="26">
        <f>F39</f>
        <v>134.31278522810328</v>
      </c>
      <c r="K39" s="2">
        <f>J39/$J$41</f>
        <v>0.18626272515102887</v>
      </c>
      <c r="M39" t="s">
        <v>37</v>
      </c>
      <c r="N39" s="26">
        <f>J39</f>
        <v>134.31278522810328</v>
      </c>
      <c r="O39" s="2">
        <f>N39/$N$41</f>
        <v>0.16999435164363802</v>
      </c>
      <c r="P39" s="2"/>
    </row>
    <row r="40" spans="1:21" x14ac:dyDescent="0.2">
      <c r="E40" t="s">
        <v>28</v>
      </c>
      <c r="F40" s="26">
        <f>'Final Exhibits'!H25-'Job + CO2 Analysis'!BN6</f>
        <v>69.008255037137332</v>
      </c>
      <c r="G40" s="2">
        <f>F40/$F$41</f>
        <v>0.12420686944475653</v>
      </c>
      <c r="I40" t="s">
        <v>28</v>
      </c>
      <c r="J40" s="26">
        <f>F40</f>
        <v>69.008255037137332</v>
      </c>
      <c r="K40" s="2">
        <f>J40/$J$41</f>
        <v>9.5699494424935388E-2</v>
      </c>
      <c r="M40" t="s">
        <v>28</v>
      </c>
      <c r="N40" s="26">
        <f>J40</f>
        <v>69.008255037137332</v>
      </c>
      <c r="O40" s="2">
        <f t="shared" ref="O40:O41" si="5">N40/$N$41</f>
        <v>8.7341004455936261E-2</v>
      </c>
      <c r="P40" s="2"/>
    </row>
    <row r="41" spans="1:21" ht="16" thickBot="1" x14ac:dyDescent="0.25">
      <c r="E41" s="273" t="s">
        <v>1914</v>
      </c>
      <c r="F41" s="664">
        <f>SUM(F28:F40)</f>
        <v>555.59129173471456</v>
      </c>
      <c r="G41" s="274">
        <f>F41/$F$41</f>
        <v>1</v>
      </c>
      <c r="I41" s="273" t="s">
        <v>1914</v>
      </c>
      <c r="J41" s="664">
        <f>SUM(J28,J39,J40)</f>
        <v>721.09320380230338</v>
      </c>
      <c r="K41" s="274">
        <f>J41/$J$41</f>
        <v>1</v>
      </c>
      <c r="M41" s="273" t="s">
        <v>1914</v>
      </c>
      <c r="N41" s="664">
        <f>SUM(N28,N39,N40)</f>
        <v>790.10145883944074</v>
      </c>
      <c r="O41" s="274">
        <f t="shared" si="5"/>
        <v>1</v>
      </c>
      <c r="P41" s="275"/>
    </row>
    <row r="43" spans="1:21" s="89" customFormat="1" ht="16" thickBot="1" x14ac:dyDescent="0.25">
      <c r="A43" s="89" t="s">
        <v>1929</v>
      </c>
    </row>
    <row r="44" spans="1:21" x14ac:dyDescent="0.2">
      <c r="B44" t="s">
        <v>1909</v>
      </c>
      <c r="F44" t="s">
        <v>1916</v>
      </c>
      <c r="J44" t="s">
        <v>1917</v>
      </c>
      <c r="N44" t="s">
        <v>1922</v>
      </c>
      <c r="R44" t="s">
        <v>1925</v>
      </c>
    </row>
    <row r="45" spans="1:21" x14ac:dyDescent="0.2">
      <c r="B45" t="s">
        <v>1913</v>
      </c>
      <c r="C45" t="s">
        <v>462</v>
      </c>
      <c r="F45" t="s">
        <v>1913</v>
      </c>
      <c r="G45" t="s">
        <v>462</v>
      </c>
      <c r="J45" t="s">
        <v>1913</v>
      </c>
      <c r="K45" t="s">
        <v>462</v>
      </c>
      <c r="N45" t="s">
        <v>1913</v>
      </c>
      <c r="O45" t="s">
        <v>462</v>
      </c>
      <c r="R45" t="s">
        <v>1913</v>
      </c>
      <c r="S45" t="s">
        <v>462</v>
      </c>
    </row>
    <row r="46" spans="1:21" x14ac:dyDescent="0.2">
      <c r="A46" t="s">
        <v>19</v>
      </c>
      <c r="B46" s="49">
        <f>C46*$B$51</f>
        <v>69.299147830188119</v>
      </c>
      <c r="C46" s="672">
        <v>0.17803725252684133</v>
      </c>
      <c r="E46" t="s">
        <v>230</v>
      </c>
      <c r="F46" s="44">
        <f>R47</f>
        <v>6.3205161009635695</v>
      </c>
      <c r="G46" s="2">
        <f>F46/$F$28</f>
        <v>1.5978648870221875E-2</v>
      </c>
      <c r="H46" s="2"/>
      <c r="I46" t="s">
        <v>1920</v>
      </c>
      <c r="J46" s="26">
        <f>R46</f>
        <v>122.21205377442766</v>
      </c>
      <c r="K46" s="2">
        <f>J46/$J$48</f>
        <v>0.2360344228232725</v>
      </c>
      <c r="L46" s="2"/>
      <c r="M46" t="s">
        <v>22</v>
      </c>
      <c r="N46" s="26">
        <f>N26</f>
        <v>69.008255037137332</v>
      </c>
      <c r="O46" s="2">
        <f>N46/$N$28</f>
        <v>0.11760490441180432</v>
      </c>
      <c r="P46" s="2"/>
      <c r="Q46" t="s">
        <v>1920</v>
      </c>
      <c r="R46" s="44">
        <f>R26</f>
        <v>122.21205377442766</v>
      </c>
      <c r="S46" s="2">
        <f>R46/SUM($R$35)</f>
        <v>0.2360344228232725</v>
      </c>
    </row>
    <row r="47" spans="1:21" x14ac:dyDescent="0.2">
      <c r="A47" t="s">
        <v>21</v>
      </c>
      <c r="B47" s="49">
        <f t="shared" ref="B47:B49" si="6">C47*$B$51</f>
        <v>168.47397755947557</v>
      </c>
      <c r="C47" s="672">
        <v>0.43282846941288755</v>
      </c>
      <c r="E47" t="s">
        <v>1919</v>
      </c>
      <c r="F47" s="26">
        <f>F27</f>
        <v>389.23959366167151</v>
      </c>
      <c r="G47" s="2">
        <f>F47/$F$28</f>
        <v>0.98402135112977807</v>
      </c>
      <c r="H47" s="2"/>
      <c r="I47" t="s">
        <v>1921</v>
      </c>
      <c r="J47" s="26">
        <f>F48</f>
        <v>395.56010976263508</v>
      </c>
      <c r="K47" s="2">
        <f>J47/$J$48</f>
        <v>0.76396557717672753</v>
      </c>
      <c r="L47" s="2"/>
      <c r="M47" t="s">
        <v>20</v>
      </c>
      <c r="N47" s="26">
        <f>J48</f>
        <v>517.77216353706274</v>
      </c>
      <c r="O47" s="2">
        <f t="shared" ref="O47:O48" si="7">N47/$N$28</f>
        <v>0.88239509558819562</v>
      </c>
      <c r="P47" s="2"/>
      <c r="Q47" t="s">
        <v>230</v>
      </c>
      <c r="R47" s="44">
        <f>R27</f>
        <v>6.3205161009635695</v>
      </c>
      <c r="S47" s="2">
        <f>R47/SUM($R$35)</f>
        <v>1.2207137706643318E-2</v>
      </c>
    </row>
    <row r="48" spans="1:21" ht="16" thickBot="1" x14ac:dyDescent="0.25">
      <c r="A48" t="s">
        <v>24</v>
      </c>
      <c r="B48" s="49">
        <f t="shared" si="6"/>
        <v>71.753479278287756</v>
      </c>
      <c r="C48" s="672">
        <v>0.18434270420253326</v>
      </c>
      <c r="E48" s="273" t="s">
        <v>35</v>
      </c>
      <c r="F48" s="664">
        <f>SUM(F46:F47)</f>
        <v>395.56010976263508</v>
      </c>
      <c r="G48" s="274">
        <f>F48/$F$61</f>
        <v>0.71196240050412518</v>
      </c>
      <c r="H48" s="2"/>
      <c r="I48" s="273" t="s">
        <v>1924</v>
      </c>
      <c r="J48" s="664">
        <f>SUM(J46:J47)</f>
        <v>517.77216353706274</v>
      </c>
      <c r="K48" s="274">
        <f>J48/$J$48</f>
        <v>1</v>
      </c>
      <c r="L48" s="2"/>
      <c r="M48" s="273" t="s">
        <v>1923</v>
      </c>
      <c r="N48" s="664">
        <f>SUM(N46:N47)</f>
        <v>586.7804185742001</v>
      </c>
      <c r="O48" s="274">
        <f t="shared" si="7"/>
        <v>1</v>
      </c>
      <c r="P48" s="275"/>
      <c r="Q48" t="s">
        <v>23</v>
      </c>
      <c r="R48" s="44">
        <f>B50</f>
        <v>9.4971270423076568</v>
      </c>
      <c r="S48" s="2">
        <f>R48/SUM($R$35)</f>
        <v>1.8342289738849278E-2</v>
      </c>
    </row>
    <row r="49" spans="1:21" x14ac:dyDescent="0.2">
      <c r="A49" t="s">
        <v>27</v>
      </c>
      <c r="B49" s="49">
        <f t="shared" si="6"/>
        <v>70.215861951412379</v>
      </c>
      <c r="C49" s="672">
        <v>0.18039239351494202</v>
      </c>
      <c r="F49" s="26"/>
      <c r="G49" s="2"/>
      <c r="H49" s="2"/>
      <c r="J49" s="26"/>
      <c r="K49" s="2"/>
      <c r="L49" s="2"/>
      <c r="Q49" t="s">
        <v>26</v>
      </c>
      <c r="R49" s="44">
        <f>R29</f>
        <v>0.77678339923983986</v>
      </c>
      <c r="S49" s="2">
        <f t="shared" ref="S49:S54" si="8">R49/SUM($R$35)</f>
        <v>1.5002417162278303E-3</v>
      </c>
    </row>
    <row r="50" spans="1:21" x14ac:dyDescent="0.2">
      <c r="A50" t="s">
        <v>30</v>
      </c>
      <c r="B50" s="49">
        <f>C50*$B$51</f>
        <v>9.4971270423076568</v>
      </c>
      <c r="C50" s="672">
        <v>2.4399180342795739E-2</v>
      </c>
      <c r="G50" s="2"/>
      <c r="H50" s="2"/>
      <c r="J50" s="26"/>
      <c r="K50" s="2"/>
      <c r="L50" s="2"/>
      <c r="N50" s="26"/>
      <c r="O50" s="2"/>
      <c r="P50" s="2"/>
      <c r="Q50" t="s">
        <v>448</v>
      </c>
      <c r="R50" s="44">
        <f>R30</f>
        <v>39.251561571846977</v>
      </c>
      <c r="S50" s="2">
        <f t="shared" si="8"/>
        <v>7.5808558930065592E-2</v>
      </c>
    </row>
    <row r="51" spans="1:21" ht="16" thickBot="1" x14ac:dyDescent="0.25">
      <c r="A51" s="273" t="s">
        <v>67</v>
      </c>
      <c r="B51" s="664">
        <f>F47</f>
        <v>389.23959366167151</v>
      </c>
      <c r="C51" s="664"/>
      <c r="D51" s="27"/>
      <c r="E51" s="3"/>
      <c r="F51" s="23"/>
      <c r="G51" s="2"/>
      <c r="H51" s="2"/>
      <c r="J51" s="26"/>
      <c r="K51" s="2"/>
      <c r="L51" s="2"/>
      <c r="N51" s="26"/>
      <c r="O51" s="2"/>
      <c r="P51" s="2"/>
      <c r="Q51" t="s">
        <v>31</v>
      </c>
      <c r="R51" s="44">
        <f>'Scope 3 Yearly'!BN20-R48*'Scope 3 Yearly'!BN20/('Scope 3 Yearly'!BN20+'Scope 3 Yearly'!BN12)</f>
        <v>73.642637452785038</v>
      </c>
      <c r="S51" s="2">
        <f t="shared" si="8"/>
        <v>0.1422298119499304</v>
      </c>
    </row>
    <row r="52" spans="1:21" x14ac:dyDescent="0.2">
      <c r="E52" s="3"/>
      <c r="H52" s="2"/>
      <c r="J52" s="26"/>
      <c r="K52" s="2"/>
      <c r="L52" s="2"/>
      <c r="Q52" t="s">
        <v>33</v>
      </c>
      <c r="R52" s="44">
        <f>'Scope 3 Yearly'!BN12-R48*'Scope 3 Yearly'!BN12/('Scope 3 Yearly'!BN20+'Scope 3 Yearly'!BN12)</f>
        <v>97.621924375459727</v>
      </c>
      <c r="S52" s="2">
        <f t="shared" si="8"/>
        <v>0.18854224164654582</v>
      </c>
    </row>
    <row r="53" spans="1:21" x14ac:dyDescent="0.2">
      <c r="A53" t="s">
        <v>1927</v>
      </c>
      <c r="E53" s="670"/>
      <c r="G53" s="2"/>
      <c r="H53" s="275"/>
      <c r="L53" s="275"/>
      <c r="Q53" t="s">
        <v>34</v>
      </c>
      <c r="R53" s="44">
        <f>R33</f>
        <v>24.532225982404359</v>
      </c>
      <c r="S53" s="2">
        <f t="shared" si="8"/>
        <v>4.738034933129099E-2</v>
      </c>
    </row>
    <row r="54" spans="1:21" x14ac:dyDescent="0.2">
      <c r="A54" t="s">
        <v>1911</v>
      </c>
      <c r="E54" s="3"/>
      <c r="H54" s="2"/>
      <c r="L54" s="2"/>
      <c r="Q54" t="s">
        <v>36</v>
      </c>
      <c r="R54" s="44">
        <f>N47-SUM(R46:R53)</f>
        <v>143.91733383762789</v>
      </c>
      <c r="S54" s="2">
        <f t="shared" si="8"/>
        <v>0.27795494615717425</v>
      </c>
      <c r="U54" s="2">
        <f>R54/N48</f>
        <v>0.24526608128357155</v>
      </c>
    </row>
    <row r="55" spans="1:21" ht="16" thickBot="1" x14ac:dyDescent="0.25">
      <c r="A55" t="s">
        <v>1928</v>
      </c>
      <c r="E55" s="670"/>
      <c r="H55" s="2"/>
      <c r="L55" s="2"/>
      <c r="Q55" s="273" t="s">
        <v>1926</v>
      </c>
      <c r="R55" s="664">
        <f>SUM(R46:R54)</f>
        <v>517.77216353706274</v>
      </c>
      <c r="S55" s="273"/>
    </row>
    <row r="56" spans="1:21" x14ac:dyDescent="0.2">
      <c r="E56" s="671"/>
      <c r="F56" s="23"/>
      <c r="H56" s="275"/>
      <c r="L56" s="275"/>
      <c r="O56" s="26"/>
      <c r="P56" s="26"/>
      <c r="Q56" s="2"/>
    </row>
    <row r="58" spans="1:21" s="273" customFormat="1" ht="16" thickBot="1" x14ac:dyDescent="0.25">
      <c r="A58" s="273" t="s">
        <v>1918</v>
      </c>
    </row>
    <row r="59" spans="1:21" x14ac:dyDescent="0.2">
      <c r="E59" t="s">
        <v>37</v>
      </c>
      <c r="F59" s="26">
        <f>F39</f>
        <v>134.31278522810328</v>
      </c>
      <c r="G59" s="2">
        <f>F59/$F$41</f>
        <v>0.24174746297541927</v>
      </c>
      <c r="I59" t="s">
        <v>37</v>
      </c>
      <c r="J59" s="26">
        <f>J39</f>
        <v>134.31278522810328</v>
      </c>
      <c r="K59" s="2">
        <f>J59/$J$41</f>
        <v>0.18626272515102887</v>
      </c>
      <c r="M59" t="s">
        <v>37</v>
      </c>
      <c r="N59" s="26">
        <f>N39</f>
        <v>134.31278522810328</v>
      </c>
      <c r="O59" s="2">
        <f>N59/$N$41</f>
        <v>0.16999435164363802</v>
      </c>
      <c r="P59" s="2"/>
    </row>
    <row r="60" spans="1:21" x14ac:dyDescent="0.2">
      <c r="E60" t="s">
        <v>28</v>
      </c>
      <c r="F60" s="26">
        <f t="shared" ref="F60:F61" si="9">F40</f>
        <v>69.008255037137332</v>
      </c>
      <c r="G60" s="2">
        <f>F60/$F$41</f>
        <v>0.12420686944475653</v>
      </c>
      <c r="I60" t="s">
        <v>28</v>
      </c>
      <c r="J60" s="26">
        <f t="shared" ref="J60:J61" si="10">J40</f>
        <v>69.008255037137332</v>
      </c>
      <c r="K60" s="2">
        <f>J60/$J$41</f>
        <v>9.5699494424935388E-2</v>
      </c>
      <c r="M60" t="s">
        <v>28</v>
      </c>
      <c r="N60" s="26">
        <f t="shared" ref="N60:N61" si="11">N40</f>
        <v>69.008255037137332</v>
      </c>
      <c r="O60" s="2">
        <f t="shared" ref="O60:O61" si="12">N60/$N$41</f>
        <v>8.7341004455936261E-2</v>
      </c>
      <c r="P60" s="2"/>
    </row>
    <row r="61" spans="1:21" ht="16" thickBot="1" x14ac:dyDescent="0.25">
      <c r="E61" s="273" t="s">
        <v>1914</v>
      </c>
      <c r="F61" s="664">
        <f t="shared" si="9"/>
        <v>555.59129173471456</v>
      </c>
      <c r="G61" s="274">
        <f>F61/$F$41</f>
        <v>1</v>
      </c>
      <c r="I61" s="273" t="s">
        <v>1914</v>
      </c>
      <c r="J61" s="664">
        <f t="shared" si="10"/>
        <v>721.09320380230338</v>
      </c>
      <c r="K61" s="274">
        <f>J61/$J$41</f>
        <v>1</v>
      </c>
      <c r="M61" s="273" t="s">
        <v>1914</v>
      </c>
      <c r="N61" s="664">
        <f t="shared" si="11"/>
        <v>790.10145883944074</v>
      </c>
      <c r="O61" s="274">
        <f t="shared" si="12"/>
        <v>1</v>
      </c>
      <c r="P61" s="275"/>
    </row>
  </sheetData>
  <phoneticPr fontId="20"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3A10D-A103-493C-8794-EFF392CA9648}">
  <sheetPr>
    <tabColor rgb="FF00B0F0"/>
  </sheetPr>
  <dimension ref="A1:S85"/>
  <sheetViews>
    <sheetView zoomScale="90" zoomScaleNormal="90" workbookViewId="0">
      <selection activeCell="C23" sqref="C23"/>
    </sheetView>
  </sheetViews>
  <sheetFormatPr baseColWidth="10" defaultColWidth="8.83203125" defaultRowHeight="15" x14ac:dyDescent="0.2"/>
  <cols>
    <col min="3" max="3" width="14.5" customWidth="1"/>
    <col min="8" max="8" width="20.5" bestFit="1" customWidth="1"/>
    <col min="13" max="14" width="16.5" bestFit="1" customWidth="1"/>
    <col min="19" max="19" width="17.5" bestFit="1" customWidth="1"/>
  </cols>
  <sheetData>
    <row r="1" spans="1:19" s="645" customFormat="1" ht="16" thickBot="1" x14ac:dyDescent="0.25">
      <c r="A1" s="644" t="s">
        <v>38</v>
      </c>
    </row>
    <row r="2" spans="1:19" x14ac:dyDescent="0.2">
      <c r="A2" s="30"/>
      <c r="B2" s="652">
        <v>2020</v>
      </c>
      <c r="C2" s="652" t="s">
        <v>39</v>
      </c>
      <c r="D2" s="652" t="s">
        <v>40</v>
      </c>
      <c r="E2" s="652" t="s">
        <v>39</v>
      </c>
      <c r="F2" s="652" t="s">
        <v>41</v>
      </c>
    </row>
    <row r="4" spans="1:19" x14ac:dyDescent="0.2">
      <c r="A4" s="30" t="s">
        <v>10</v>
      </c>
      <c r="B4" s="653">
        <f>'Yearly Summary'!D57</f>
        <v>14.947368421052632</v>
      </c>
      <c r="C4" s="140">
        <f>D4-B4</f>
        <v>10.107590694893696</v>
      </c>
      <c r="D4" s="653">
        <f>'Yearly Summary'!AH57-E4</f>
        <v>25.054959115946328</v>
      </c>
      <c r="E4" s="137">
        <f>'Yearly Butadiene'!AH42</f>
        <v>0</v>
      </c>
      <c r="F4" s="653">
        <f>D4+E4</f>
        <v>25.054959115946328</v>
      </c>
      <c r="L4" s="30" t="s">
        <v>42</v>
      </c>
      <c r="M4" s="30" t="s">
        <v>4</v>
      </c>
      <c r="N4" s="30" t="s">
        <v>5</v>
      </c>
      <c r="O4" s="30" t="s">
        <v>6</v>
      </c>
      <c r="P4" s="30" t="s">
        <v>7</v>
      </c>
      <c r="Q4" s="30" t="s">
        <v>8</v>
      </c>
      <c r="R4" s="30" t="s">
        <v>9</v>
      </c>
      <c r="S4" s="30" t="s">
        <v>10</v>
      </c>
    </row>
    <row r="5" spans="1:19" x14ac:dyDescent="0.2">
      <c r="A5" s="30" t="s">
        <v>9</v>
      </c>
      <c r="B5" s="653">
        <f>'Yearly Summary'!D52</f>
        <v>50.26162504910581</v>
      </c>
      <c r="C5" s="140">
        <f t="shared" ref="C5:C10" si="0">D5-B5</f>
        <v>18.121485319254141</v>
      </c>
      <c r="D5" s="653">
        <f>'Yearly Summary'!AH52-E5</f>
        <v>68.383110368359951</v>
      </c>
      <c r="E5" s="137">
        <f>'Yearly BTX'!AH66+'Yearly BTX'!AH17*'Yearly BTX'!AH24/SUM('Yearly BTX'!AH24:AH26)</f>
        <v>1.3109583100999971</v>
      </c>
      <c r="F5" s="653">
        <f t="shared" ref="F5:F11" si="1">D5+E5</f>
        <v>69.694068678459942</v>
      </c>
      <c r="I5" t="s">
        <v>43</v>
      </c>
      <c r="K5">
        <v>2020</v>
      </c>
      <c r="L5" s="26">
        <f>B11</f>
        <v>185.16</v>
      </c>
      <c r="M5" s="26">
        <f>B9</f>
        <v>162.69230769230768</v>
      </c>
      <c r="N5" s="26">
        <f>B8</f>
        <v>111.92307692307692</v>
      </c>
      <c r="O5" s="26">
        <f>B10</f>
        <v>101.9602667020169</v>
      </c>
      <c r="P5" s="26">
        <f>B7</f>
        <v>51.832300831890365</v>
      </c>
      <c r="Q5" s="26">
        <f>B6</f>
        <v>14.015260831000658</v>
      </c>
      <c r="R5" s="26">
        <f>B5</f>
        <v>50.26162504910581</v>
      </c>
      <c r="S5" s="26">
        <f>B4</f>
        <v>14.947368421052632</v>
      </c>
    </row>
    <row r="6" spans="1:19" x14ac:dyDescent="0.2">
      <c r="A6" s="30" t="s">
        <v>8</v>
      </c>
      <c r="B6" s="653">
        <f>'Yearly Summary'!D47</f>
        <v>14.015260831000658</v>
      </c>
      <c r="C6" s="140">
        <f t="shared" si="0"/>
        <v>5.259672628658004</v>
      </c>
      <c r="D6" s="653">
        <f>'Yearly Summary'!AH47-E6</f>
        <v>19.274933459658662</v>
      </c>
      <c r="E6" s="137">
        <f>'Yearly BTX'!AH65+'Yearly BTX'!AH17*'Yearly BTX'!AH25/SUM('Yearly BTX'!AH24:AH26)</f>
        <v>0.15898953721959136</v>
      </c>
      <c r="F6" s="653">
        <f t="shared" si="1"/>
        <v>19.433922996878252</v>
      </c>
      <c r="K6">
        <v>2050</v>
      </c>
      <c r="L6" s="26">
        <f>D11</f>
        <v>227.54</v>
      </c>
      <c r="M6" s="26">
        <f>D9</f>
        <v>255</v>
      </c>
      <c r="N6" s="26">
        <f>D8</f>
        <v>160</v>
      </c>
      <c r="O6" s="26">
        <f>D10</f>
        <v>145.59945711418746</v>
      </c>
      <c r="P6" s="26">
        <f>D7</f>
        <v>70.854945324211641</v>
      </c>
      <c r="Q6" s="26">
        <f>D6</f>
        <v>19.274933459658662</v>
      </c>
      <c r="R6" s="26">
        <f>D5</f>
        <v>68.383110368359951</v>
      </c>
      <c r="S6" s="26">
        <f>D4</f>
        <v>25.054959115946328</v>
      </c>
    </row>
    <row r="7" spans="1:19" x14ac:dyDescent="0.2">
      <c r="A7" s="30" t="s">
        <v>7</v>
      </c>
      <c r="B7" s="653">
        <f>'Yearly Summary'!D42</f>
        <v>51.832300831890365</v>
      </c>
      <c r="C7" s="140">
        <f t="shared" si="0"/>
        <v>19.022644492321277</v>
      </c>
      <c r="D7" s="653">
        <f>'Yearly Summary'!AH42-E7</f>
        <v>70.854945324211641</v>
      </c>
      <c r="E7" s="140">
        <f>'Yearly BTX'!AH64+'Yearly BTX'!AH17*'Yearly BTX'!AH26/SUM('Yearly BTX'!AH24:AH26)</f>
        <v>1.0170630004501851</v>
      </c>
      <c r="F7" s="653">
        <f t="shared" si="1"/>
        <v>71.87200832466182</v>
      </c>
      <c r="H7" t="s">
        <v>44</v>
      </c>
      <c r="I7" s="26">
        <f>SUM(B4:B11)</f>
        <v>692.79220645045098</v>
      </c>
    </row>
    <row r="8" spans="1:19" x14ac:dyDescent="0.2">
      <c r="A8" s="30" t="s">
        <v>5</v>
      </c>
      <c r="B8" s="653">
        <f>'Yearly Summary'!D32</f>
        <v>111.92307692307692</v>
      </c>
      <c r="C8" s="140">
        <f t="shared" si="0"/>
        <v>48.07692307692308</v>
      </c>
      <c r="D8" s="653">
        <f>'Yearly Summary'!AH32-E8</f>
        <v>160</v>
      </c>
      <c r="E8" s="137">
        <f>'Yearly HC Propylene'!AH41</f>
        <v>2.924099258717086</v>
      </c>
      <c r="F8" s="653">
        <f t="shared" si="1"/>
        <v>162.92409925871709</v>
      </c>
      <c r="H8" t="s">
        <v>45</v>
      </c>
      <c r="I8" s="26">
        <f>SUM(D4:D11)</f>
        <v>971.70740538236396</v>
      </c>
      <c r="K8" t="s">
        <v>1938</v>
      </c>
      <c r="M8">
        <f>SUM('Yearly LC Ethylene'!AH81:AH82,'Yearly LC Ethylene'!AH146:AH147,'Yearly LC Ethylene'!AH155:AH156)</f>
        <v>130.04179651462934</v>
      </c>
      <c r="N8">
        <f>SUM('Yearly LC Propylene'!AH39:AH40,'Yearly LC Propylene'!AH66:AH67,'Yearly LC Propylene'!AH69:AH70)</f>
        <v>68.364854882281435</v>
      </c>
      <c r="S8" s="43">
        <f>SUM('Yearly Butadiene'!BN43:BN44,'Yearly Butadiene'!BN71:BN72,'Yearly Butadiene'!BN74:BN75)</f>
        <v>6.6245712522976872</v>
      </c>
    </row>
    <row r="9" spans="1:19" x14ac:dyDescent="0.2">
      <c r="A9" s="30" t="s">
        <v>4</v>
      </c>
      <c r="B9" s="653">
        <f>'Yearly Summary'!D27</f>
        <v>162.69230769230768</v>
      </c>
      <c r="C9" s="140">
        <f>D9-B9</f>
        <v>92.307692307692321</v>
      </c>
      <c r="D9" s="653">
        <f>'Yearly Summary'!AH27-E9</f>
        <v>255</v>
      </c>
      <c r="E9" s="137">
        <f>'Yearly HC Ethylene'!AH83</f>
        <v>25.104592840330554</v>
      </c>
      <c r="F9" s="653">
        <f t="shared" si="1"/>
        <v>280.10459284033055</v>
      </c>
      <c r="H9" t="s">
        <v>46</v>
      </c>
      <c r="I9" s="23">
        <f>(I8/I7)^(1/30)-1</f>
        <v>1.1341318188496707E-2</v>
      </c>
      <c r="K9" t="s">
        <v>366</v>
      </c>
      <c r="M9" s="669">
        <f>M6-'Yearly Summary'!BN28-'Final Exhibits'!M8</f>
        <v>-25.104592840330554</v>
      </c>
      <c r="N9" s="669">
        <f>N6-'Yearly Summary'!BN33-'Final Exhibits'!N8</f>
        <v>-2.9240992587170496</v>
      </c>
      <c r="S9" s="669">
        <f>S6-'Yearly Summary'!BN58-'Final Exhibits'!S8</f>
        <v>0</v>
      </c>
    </row>
    <row r="10" spans="1:19" x14ac:dyDescent="0.2">
      <c r="A10" s="30" t="s">
        <v>6</v>
      </c>
      <c r="B10" s="674">
        <f>'Yearly Summary'!D37+31</f>
        <v>101.9602667020169</v>
      </c>
      <c r="C10" s="140">
        <f t="shared" si="0"/>
        <v>43.639190412170564</v>
      </c>
      <c r="D10" s="653">
        <f>'Yearly Summary'!AH37</f>
        <v>145.59945711418746</v>
      </c>
      <c r="E10" s="666">
        <f>290</f>
        <v>290</v>
      </c>
      <c r="F10" s="653">
        <f>D10+E10</f>
        <v>435.59945711418743</v>
      </c>
    </row>
    <row r="11" spans="1:19" x14ac:dyDescent="0.2">
      <c r="A11" s="30" t="s">
        <v>42</v>
      </c>
      <c r="B11" s="653">
        <f>'Yearly Summary'!D14</f>
        <v>185.16</v>
      </c>
      <c r="C11" s="140">
        <f>D11-B11</f>
        <v>42.379999999999995</v>
      </c>
      <c r="D11" s="653">
        <v>227.54</v>
      </c>
      <c r="E11" s="653">
        <v>786</v>
      </c>
      <c r="F11" s="653">
        <f t="shared" si="1"/>
        <v>1013.54</v>
      </c>
    </row>
    <row r="12" spans="1:19" ht="16" thickBot="1" x14ac:dyDescent="0.25"/>
    <row r="13" spans="1:19" s="645" customFormat="1" ht="16" thickBot="1" x14ac:dyDescent="0.25">
      <c r="A13" s="644" t="s">
        <v>47</v>
      </c>
    </row>
    <row r="14" spans="1:19" s="115" customFormat="1" x14ac:dyDescent="0.2">
      <c r="A14" s="30"/>
      <c r="B14" s="652">
        <f>B2</f>
        <v>2020</v>
      </c>
      <c r="C14" s="652" t="str">
        <f>C2</f>
        <v>Label</v>
      </c>
      <c r="D14" s="652" t="str">
        <f>D2</f>
        <v>2050 BAU</v>
      </c>
      <c r="E14" s="652" t="str">
        <f>E2</f>
        <v>Label</v>
      </c>
      <c r="F14" s="652" t="str">
        <f>F2</f>
        <v>2050 decarbonized BAU</v>
      </c>
      <c r="G14" s="652" t="s">
        <v>39</v>
      </c>
      <c r="H14" s="652"/>
      <c r="I14" s="652" t="s">
        <v>39</v>
      </c>
      <c r="J14" s="652" t="s">
        <v>39</v>
      </c>
      <c r="K14" s="652" t="s">
        <v>48</v>
      </c>
      <c r="L14" s="652" t="s">
        <v>39</v>
      </c>
      <c r="M14" s="652"/>
      <c r="N14" s="652" t="s">
        <v>39</v>
      </c>
      <c r="O14" s="652" t="s">
        <v>39</v>
      </c>
      <c r="P14" s="654" t="s">
        <v>49</v>
      </c>
    </row>
    <row r="16" spans="1:19" x14ac:dyDescent="0.2">
      <c r="A16" s="30" t="s">
        <v>10</v>
      </c>
      <c r="B16" s="653">
        <f t="shared" ref="B16:F22" si="2">B4</f>
        <v>14.947368421052632</v>
      </c>
      <c r="C16" s="653">
        <f t="shared" si="2"/>
        <v>10.107590694893696</v>
      </c>
      <c r="D16" s="653">
        <f t="shared" si="2"/>
        <v>25.054959115946328</v>
      </c>
      <c r="E16" s="653">
        <f t="shared" si="2"/>
        <v>0</v>
      </c>
      <c r="F16" s="653">
        <f t="shared" si="2"/>
        <v>25.054959115946328</v>
      </c>
      <c r="G16" s="653"/>
      <c r="H16" s="653"/>
      <c r="I16" s="653"/>
      <c r="J16" s="653"/>
      <c r="K16" s="653">
        <f>'Yearly Summary'!BN58</f>
        <v>18.43038786364864</v>
      </c>
      <c r="L16" s="653"/>
      <c r="M16" s="653"/>
      <c r="N16" s="653"/>
      <c r="O16" s="653"/>
      <c r="P16" s="653">
        <f>'Yearly Summary'!AH58</f>
        <v>13.066196717936394</v>
      </c>
      <c r="S16" s="2">
        <f>E16/F16</f>
        <v>0</v>
      </c>
    </row>
    <row r="17" spans="1:19" x14ac:dyDescent="0.2">
      <c r="A17" s="30" t="s">
        <v>9</v>
      </c>
      <c r="B17" s="653">
        <f t="shared" si="2"/>
        <v>50.26162504910581</v>
      </c>
      <c r="C17" s="653">
        <f t="shared" si="2"/>
        <v>18.121485319254141</v>
      </c>
      <c r="D17" s="653">
        <f t="shared" si="2"/>
        <v>68.383110368359951</v>
      </c>
      <c r="E17" s="653">
        <f t="shared" si="2"/>
        <v>1.3109583100999971</v>
      </c>
      <c r="F17" s="653">
        <f t="shared" si="2"/>
        <v>69.694068678459942</v>
      </c>
      <c r="G17" s="653"/>
      <c r="H17" s="653"/>
      <c r="I17" s="653"/>
      <c r="J17" s="653"/>
      <c r="K17" s="653">
        <f>'Yearly Summary'!BN53</f>
        <v>36.996858591015354</v>
      </c>
      <c r="L17" s="653"/>
      <c r="M17" s="653"/>
      <c r="N17" s="653"/>
      <c r="O17" s="653"/>
      <c r="P17" s="653">
        <f>'Yearly Summary'!AH53</f>
        <v>23.482732950270574</v>
      </c>
      <c r="S17" s="2">
        <f t="shared" ref="S17:S23" si="3">E17/F17</f>
        <v>1.8810184782699729E-2</v>
      </c>
    </row>
    <row r="18" spans="1:19" x14ac:dyDescent="0.2">
      <c r="A18" s="30" t="s">
        <v>8</v>
      </c>
      <c r="B18" s="653">
        <f t="shared" si="2"/>
        <v>14.015260831000658</v>
      </c>
      <c r="C18" s="653">
        <f t="shared" si="2"/>
        <v>5.259672628658004</v>
      </c>
      <c r="D18" s="653">
        <f t="shared" si="2"/>
        <v>19.274933459658662</v>
      </c>
      <c r="E18" s="653">
        <f t="shared" si="2"/>
        <v>0.15898953721959136</v>
      </c>
      <c r="F18" s="653">
        <f t="shared" si="2"/>
        <v>19.433922996878252</v>
      </c>
      <c r="G18" s="653"/>
      <c r="H18" s="653"/>
      <c r="I18" s="653"/>
      <c r="J18" s="653"/>
      <c r="K18" s="653">
        <f>'Yearly Summary'!BN48</f>
        <v>10.316431722494666</v>
      </c>
      <c r="L18" s="653"/>
      <c r="M18" s="653"/>
      <c r="N18" s="653"/>
      <c r="O18" s="653"/>
      <c r="P18" s="653">
        <f>'Yearly Summary'!AH48</f>
        <v>6.548069764979294</v>
      </c>
      <c r="S18" s="2">
        <f t="shared" si="3"/>
        <v>8.1810315521539563E-3</v>
      </c>
    </row>
    <row r="19" spans="1:19" x14ac:dyDescent="0.2">
      <c r="A19" s="30" t="s">
        <v>7</v>
      </c>
      <c r="B19" s="653">
        <f t="shared" si="2"/>
        <v>51.832300831890365</v>
      </c>
      <c r="C19" s="653">
        <f t="shared" si="2"/>
        <v>19.022644492321277</v>
      </c>
      <c r="D19" s="653">
        <f t="shared" si="2"/>
        <v>70.854945324211641</v>
      </c>
      <c r="E19" s="653">
        <f t="shared" si="2"/>
        <v>1.0170630004501851</v>
      </c>
      <c r="F19" s="653">
        <f t="shared" si="2"/>
        <v>71.87200832466182</v>
      </c>
      <c r="G19" s="653"/>
      <c r="H19" s="653"/>
      <c r="I19" s="653"/>
      <c r="J19" s="653"/>
      <c r="K19" s="653">
        <f>'Yearly Summary'!BN43</f>
        <v>38.153010421984582</v>
      </c>
      <c r="L19" s="653"/>
      <c r="M19" s="653"/>
      <c r="N19" s="653"/>
      <c r="O19" s="653"/>
      <c r="P19" s="653">
        <f>'Yearly Summary'!AH43</f>
        <v>24.216568354966526</v>
      </c>
      <c r="S19" s="2">
        <f t="shared" si="3"/>
        <v>1.4151030758120542E-2</v>
      </c>
    </row>
    <row r="20" spans="1:19" x14ac:dyDescent="0.2">
      <c r="A20" s="30" t="s">
        <v>5</v>
      </c>
      <c r="B20" s="653">
        <f t="shared" si="2"/>
        <v>111.92307692307692</v>
      </c>
      <c r="C20" s="653">
        <f t="shared" si="2"/>
        <v>48.07692307692308</v>
      </c>
      <c r="D20" s="653">
        <f t="shared" si="2"/>
        <v>160</v>
      </c>
      <c r="E20" s="653">
        <f t="shared" si="2"/>
        <v>2.924099258717086</v>
      </c>
      <c r="F20" s="653">
        <f t="shared" si="2"/>
        <v>162.92409925871709</v>
      </c>
      <c r="G20" s="653"/>
      <c r="H20" s="653"/>
      <c r="I20" s="653"/>
      <c r="J20" s="653"/>
      <c r="K20" s="653">
        <f>'Yearly Summary'!BN33</f>
        <v>94.559244376435615</v>
      </c>
      <c r="L20" s="653"/>
      <c r="M20" s="653"/>
      <c r="N20" s="653"/>
      <c r="O20" s="653"/>
      <c r="P20" s="653">
        <f>'Yearly Summary'!AH33</f>
        <v>72.466496393309839</v>
      </c>
      <c r="S20" s="2">
        <f t="shared" si="3"/>
        <v>1.7947616540593733E-2</v>
      </c>
    </row>
    <row r="21" spans="1:19" x14ac:dyDescent="0.2">
      <c r="A21" s="30" t="s">
        <v>4</v>
      </c>
      <c r="B21" s="653">
        <f t="shared" si="2"/>
        <v>162.69230769230768</v>
      </c>
      <c r="C21" s="653">
        <f t="shared" si="2"/>
        <v>92.307692307692321</v>
      </c>
      <c r="D21" s="653">
        <f t="shared" si="2"/>
        <v>255</v>
      </c>
      <c r="E21" s="653">
        <f t="shared" si="2"/>
        <v>25.104592840330554</v>
      </c>
      <c r="F21" s="653">
        <f t="shared" si="2"/>
        <v>280.10459284033055</v>
      </c>
      <c r="G21" s="653"/>
      <c r="H21" s="653"/>
      <c r="I21" s="653"/>
      <c r="J21" s="653"/>
      <c r="K21" s="653">
        <f>'Yearly Summary'!BN28</f>
        <v>150.06279632570121</v>
      </c>
      <c r="L21" s="653"/>
      <c r="M21" s="653"/>
      <c r="N21" s="653"/>
      <c r="O21" s="653"/>
      <c r="P21" s="653">
        <f>'Yearly Summary'!AH28</f>
        <v>95.249512216363968</v>
      </c>
      <c r="S21" s="2">
        <f t="shared" si="3"/>
        <v>8.9625780804819047E-2</v>
      </c>
    </row>
    <row r="22" spans="1:19" x14ac:dyDescent="0.2">
      <c r="A22" s="30" t="s">
        <v>6</v>
      </c>
      <c r="B22" s="653">
        <f t="shared" si="2"/>
        <v>101.9602667020169</v>
      </c>
      <c r="C22" s="653">
        <f t="shared" si="2"/>
        <v>43.639190412170564</v>
      </c>
      <c r="D22" s="653">
        <f t="shared" si="2"/>
        <v>145.59945711418746</v>
      </c>
      <c r="E22" s="653">
        <f>E10</f>
        <v>290</v>
      </c>
      <c r="F22" s="653">
        <f t="shared" si="2"/>
        <v>435.59945711418743</v>
      </c>
      <c r="G22" s="653"/>
      <c r="H22" s="653"/>
      <c r="I22" s="653"/>
      <c r="J22" s="653"/>
      <c r="K22" s="653">
        <f>'Yearly Summary'!BN38+E10-'Yearly Methanol'!AH71</f>
        <v>361.72086436039149</v>
      </c>
      <c r="L22" s="653"/>
      <c r="M22" s="653"/>
      <c r="N22" s="653"/>
      <c r="O22" s="653"/>
      <c r="P22" s="653">
        <f>'Yearly Summary'!AH38+E10-'Yearly Methanol'!AH71</f>
        <v>349.07224641921903</v>
      </c>
      <c r="S22" s="2"/>
    </row>
    <row r="23" spans="1:19" x14ac:dyDescent="0.2">
      <c r="A23" s="30" t="s">
        <v>42</v>
      </c>
      <c r="B23" s="653">
        <f>B11</f>
        <v>185.16</v>
      </c>
      <c r="C23" s="653">
        <f>C11</f>
        <v>42.379999999999995</v>
      </c>
      <c r="D23" s="653">
        <f>D11</f>
        <v>227.54</v>
      </c>
      <c r="E23" s="653">
        <f>E11</f>
        <v>786</v>
      </c>
      <c r="F23" s="653">
        <f>D23+E23</f>
        <v>1013.54</v>
      </c>
      <c r="G23" s="653"/>
      <c r="H23" s="653"/>
      <c r="I23" s="653"/>
      <c r="J23" s="653"/>
      <c r="K23" s="653">
        <f>'Yearly Summary'!BN15</f>
        <v>995.54</v>
      </c>
      <c r="L23" s="653"/>
      <c r="M23" s="653"/>
      <c r="N23" s="653"/>
      <c r="O23" s="653"/>
      <c r="P23" s="653">
        <f>'Yearly Summary'!AH15</f>
        <v>967.54</v>
      </c>
      <c r="S23" s="2">
        <f t="shared" si="3"/>
        <v>0.77549973360696178</v>
      </c>
    </row>
    <row r="24" spans="1:19" x14ac:dyDescent="0.2">
      <c r="A24" s="30" t="s">
        <v>25</v>
      </c>
      <c r="B24" s="137"/>
      <c r="C24" s="137"/>
      <c r="D24" s="137"/>
      <c r="E24" s="137"/>
      <c r="F24" s="653"/>
      <c r="G24" s="653">
        <f>SUM('Job + CO2 Analysis'!BN5,'Job + CO2 Analysis'!BN7,'Job + CO2 Analysis'!BN8,'Job + CO2 Analysis'!BN13,'Job + CO2 Analysis'!BN14,'Job + CO2 Analysis'!BN16,'Job + CO2 Analysis'!BN19)</f>
        <v>152.31278522810328</v>
      </c>
      <c r="H24" s="653"/>
      <c r="I24" s="653"/>
      <c r="J24" s="653"/>
      <c r="K24" s="653"/>
      <c r="L24" s="653">
        <f>SUM('Job + CO2 Analysis'!AH5,'Job + CO2 Analysis'!AH7,'Job + CO2 Analysis'!AH8,'Job + CO2 Analysis'!AH13,'Job + CO2 Analysis'!AH14,'Job + CO2 Analysis'!AH16,'Job + CO2 Analysis'!AH19)</f>
        <v>246.15143483645798</v>
      </c>
      <c r="M24" s="653"/>
      <c r="N24" s="653"/>
      <c r="O24" s="653"/>
      <c r="P24" s="26"/>
    </row>
    <row r="25" spans="1:19" x14ac:dyDescent="0.2">
      <c r="A25" s="30" t="s">
        <v>50</v>
      </c>
      <c r="B25" s="137"/>
      <c r="C25" s="137"/>
      <c r="D25" s="137"/>
      <c r="E25" s="137"/>
      <c r="F25" s="653"/>
      <c r="G25" s="653"/>
      <c r="H25" s="653">
        <f>SUM('Job + CO2 Analysis'!BN9,'Job + CO2 Analysis'!BN12,'Job + CO2 Analysis'!BN17)</f>
        <v>69.008255037137332</v>
      </c>
      <c r="I25" s="653"/>
      <c r="J25" s="653"/>
      <c r="K25" s="653"/>
      <c r="L25" s="653"/>
      <c r="M25" s="653">
        <f>SUM('Job + CO2 Analysis'!AH9,'Job + CO2 Analysis'!AH12,'Job + CO2 Analysis'!AH17)</f>
        <v>104.54799151519759</v>
      </c>
      <c r="N25" s="653"/>
      <c r="O25" s="653"/>
      <c r="P25" s="26"/>
    </row>
    <row r="26" spans="1:19" x14ac:dyDescent="0.2">
      <c r="A26" s="30" t="s">
        <v>28</v>
      </c>
      <c r="B26" s="137"/>
      <c r="C26" s="137"/>
      <c r="D26" s="137"/>
      <c r="E26" s="137"/>
      <c r="F26" s="653"/>
      <c r="G26" s="653"/>
      <c r="H26" s="653"/>
      <c r="I26" s="653">
        <f>SUM('Job + CO2 Analysis'!BN6,'Job + CO2 Analysis'!BN10,'Job + CO2 Analysis'!BN11,'Job + CO2 Analysis'!BN15,'Job + CO2 Analysis'!BN18,'Job + CO2 Analysis'!BN20)</f>
        <v>53.266936556635912</v>
      </c>
      <c r="J26" s="653"/>
      <c r="K26" s="653"/>
      <c r="L26" s="653"/>
      <c r="M26" s="653"/>
      <c r="N26" s="653">
        <f>SUM('Job + CO2 Analysis'!AH6,'Job + CO2 Analysis'!AH10,'Job + CO2 Analysis'!AH11,'Job + CO2 Analysis'!AH15,'Job + CO2 Analysis'!AH18,'Job + CO2 Analysis'!AH20)</f>
        <v>75.014286980489487</v>
      </c>
      <c r="O26" s="653"/>
      <c r="P26" s="26"/>
    </row>
    <row r="27" spans="1:19" x14ac:dyDescent="0.2">
      <c r="A27" s="30" t="s">
        <v>51</v>
      </c>
      <c r="B27" s="137"/>
      <c r="C27" s="137"/>
      <c r="D27" s="137"/>
      <c r="E27" s="137"/>
      <c r="F27" s="653"/>
      <c r="G27" s="653"/>
      <c r="H27" s="653"/>
      <c r="I27" s="653"/>
      <c r="J27" s="653">
        <f>'Job + CO2 Analysis'!BN22+'Job + CO2 Analysis'!BN23-'Job + CO2 Analysis'!AJ22-'Job + CO2 Analysis'!AJ23</f>
        <v>98.216990093470613</v>
      </c>
      <c r="K27" s="653"/>
      <c r="L27" s="653"/>
      <c r="M27" s="653"/>
      <c r="N27" s="653"/>
      <c r="O27" s="653">
        <f>'Job + CO2 Analysis'!AH22+'Job + CO2 Analysis'!AH23-'Job + CO2 Analysis'!D22-'Job + CO2 Analysis'!D23</f>
        <v>101.18589371184025</v>
      </c>
      <c r="P27" s="26"/>
    </row>
    <row r="28" spans="1:19" x14ac:dyDescent="0.2">
      <c r="A28" s="30" t="s">
        <v>52</v>
      </c>
      <c r="B28" s="137"/>
      <c r="C28" s="137"/>
      <c r="D28" s="137"/>
      <c r="E28" s="137"/>
      <c r="F28" s="653"/>
      <c r="G28" s="653">
        <f>G24</f>
        <v>152.31278522810328</v>
      </c>
      <c r="H28" s="653"/>
      <c r="I28" s="653"/>
      <c r="J28" s="653"/>
      <c r="K28" s="653"/>
      <c r="L28" s="653">
        <f>L24</f>
        <v>246.15143483645798</v>
      </c>
      <c r="M28" s="653"/>
      <c r="N28" s="653"/>
      <c r="O28" s="653"/>
      <c r="P28" s="26"/>
    </row>
    <row r="29" spans="1:19" x14ac:dyDescent="0.2">
      <c r="F29" s="26"/>
      <c r="G29" s="26"/>
      <c r="H29" s="26"/>
      <c r="I29" s="26"/>
      <c r="J29" s="26"/>
      <c r="K29" s="26"/>
      <c r="L29" s="26"/>
      <c r="M29" s="26"/>
      <c r="N29" s="26"/>
      <c r="O29" s="26"/>
      <c r="P29" s="26"/>
    </row>
    <row r="30" spans="1:19" x14ac:dyDescent="0.2">
      <c r="A30" s="30" t="s">
        <v>53</v>
      </c>
      <c r="B30" s="26">
        <f>SUM(B16:B23)</f>
        <v>692.79220645045098</v>
      </c>
      <c r="D30" s="26">
        <f>SUM(D16:D23)</f>
        <v>971.70740538236396</v>
      </c>
      <c r="F30" s="26">
        <f>SUM(F16:F23)</f>
        <v>2078.2231083291813</v>
      </c>
      <c r="G30" s="26"/>
      <c r="H30" s="26"/>
      <c r="I30" s="26"/>
      <c r="J30" s="26">
        <f>F30-G24-I26-J27-H25</f>
        <v>1705.4181414138341</v>
      </c>
      <c r="K30" s="26">
        <f>SUM(K16:K23)</f>
        <v>1705.7795936616715</v>
      </c>
      <c r="L30" s="26"/>
      <c r="M30" s="26"/>
      <c r="N30" s="26"/>
      <c r="O30" s="26">
        <f>F30-L24-N26-O27-M25</f>
        <v>1551.323501285196</v>
      </c>
      <c r="P30" s="26">
        <f>SUM(P16:P23)</f>
        <v>1551.6418228170455</v>
      </c>
    </row>
    <row r="31" spans="1:19" ht="16" thickBot="1" x14ac:dyDescent="0.25">
      <c r="B31" s="26">
        <f>B30-B23</f>
        <v>507.63220645045101</v>
      </c>
      <c r="D31" s="26">
        <f>D30-D23</f>
        <v>744.167405382364</v>
      </c>
      <c r="F31" s="26">
        <f>'Yearly Summary'!AH9+'Final Exhibits'!E22</f>
        <v>2078.2231083291813</v>
      </c>
      <c r="G31" s="26"/>
      <c r="H31" s="26"/>
      <c r="I31" s="26"/>
      <c r="J31" s="26"/>
      <c r="K31" s="26"/>
      <c r="L31" s="26"/>
      <c r="M31" s="26"/>
      <c r="N31" s="26"/>
      <c r="O31" s="26"/>
      <c r="P31" s="26"/>
      <c r="Q31" s="26"/>
      <c r="R31" s="26"/>
    </row>
    <row r="32" spans="1:19" s="645" customFormat="1" ht="16" thickBot="1" x14ac:dyDescent="0.25">
      <c r="A32" s="644" t="s">
        <v>54</v>
      </c>
    </row>
    <row r="33" spans="1:17" x14ac:dyDescent="0.2">
      <c r="A33" t="s">
        <v>55</v>
      </c>
      <c r="F33" t="s">
        <v>56</v>
      </c>
      <c r="G33">
        <v>2161.7746358608824</v>
      </c>
      <c r="H33" t="s">
        <v>57</v>
      </c>
      <c r="I33" t="s">
        <v>58</v>
      </c>
    </row>
    <row r="34" spans="1:17" x14ac:dyDescent="0.2">
      <c r="A34" t="s">
        <v>59</v>
      </c>
      <c r="H34" s="2">
        <f>(SUM('Job + CO2 Analysis'!AH5:AH20,'Job + CO2 Analysis'!AH22:AH23)-SUM('Job + CO2 Analysis'!D22:D23))/SUM('Job + CO2 Analysis'!AH4,'Job + CO2 Analysis'!AH21+E10)</f>
        <v>0.18186540162202572</v>
      </c>
      <c r="I34" s="2">
        <f>(SUM('Job + CO2 Analysis'!BN5:BN20,'Job + CO2 Analysis'!BN22:BN23)-SUM('Job + CO2 Analysis'!AJ22:AJ23))/SUM('Job + CO2 Analysis'!BN21,'Job + CO2 Analysis'!BN4,E10)</f>
        <v>0.12867788119091472</v>
      </c>
      <c r="K34" s="2">
        <f>SUM(L24:O27)/SUM(F16:F23)</f>
        <v>0.25353370623791888</v>
      </c>
      <c r="L34" s="2">
        <f>(SUM(G24:J27))/SUM(F16:F23)</f>
        <v>0.17938640246141294</v>
      </c>
      <c r="M34" t="s">
        <v>53</v>
      </c>
    </row>
    <row r="35" spans="1:17" x14ac:dyDescent="0.2">
      <c r="A35" t="s">
        <v>60</v>
      </c>
      <c r="H35" s="2">
        <f>(SUM('Job + CO2 Analysis'!AH7:AH20,'Job + CO2 Analysis'!AH22:AH23)-SUM('Job + CO2 Analysis'!D22:D23))/SUM(F16:F22)</f>
        <v>0.45168332556592006</v>
      </c>
      <c r="I35" s="2">
        <f>(SUM('Job + CO2 Analysis'!BN7:BN20,'Job + CO2 Analysis'!BN22:BN23)-SUM('Job + CO2 Analysis'!AJ22:AJ23))/SUM(F16:F22)</f>
        <v>0.33324936231227181</v>
      </c>
      <c r="N35" t="s">
        <v>61</v>
      </c>
      <c r="P35" s="2">
        <f>(SUM('Job + CO2 Analysis'!AH7:AH20))/SUM(F16:F22)</f>
        <v>0.35664481793839475</v>
      </c>
      <c r="Q35" s="2">
        <f>(SUM('Job + CO2 Analysis'!BN7:BN20))/SUM(F16:F22)</f>
        <v>0.24099938734309667</v>
      </c>
    </row>
    <row r="36" spans="1:17" x14ac:dyDescent="0.2">
      <c r="A36" t="s">
        <v>25</v>
      </c>
      <c r="G36" s="2">
        <f>G24/SUM(G24:J27)</f>
        <v>0.40855889471743267</v>
      </c>
      <c r="H36" s="2"/>
      <c r="I36" s="2">
        <f>L24/SUM(L24:O27)</f>
        <v>0.46716951682203361</v>
      </c>
      <c r="J36" s="2"/>
    </row>
    <row r="37" spans="1:17" x14ac:dyDescent="0.2">
      <c r="A37" t="s">
        <v>50</v>
      </c>
      <c r="G37" s="2">
        <f>H25/SUM(G24:J27)</f>
        <v>0.18510551403894532</v>
      </c>
      <c r="H37" s="2"/>
      <c r="I37" s="2">
        <f>M25/SUM(L24:O27)</f>
        <v>0.19842108461938934</v>
      </c>
      <c r="J37" s="2"/>
      <c r="K37" s="6"/>
      <c r="L37" s="6"/>
      <c r="M37" s="6"/>
    </row>
    <row r="38" spans="1:17" x14ac:dyDescent="0.2">
      <c r="A38" t="s">
        <v>28</v>
      </c>
      <c r="G38" s="2">
        <f>I26/SUM(G24:J27)</f>
        <v>0.14288150986124401</v>
      </c>
      <c r="H38" s="2"/>
      <c r="I38" s="2">
        <f>N26/SUM(L24:O27)</f>
        <v>0.14236922172201835</v>
      </c>
      <c r="J38" s="2"/>
    </row>
    <row r="39" spans="1:17" x14ac:dyDescent="0.2">
      <c r="A39" t="s">
        <v>51</v>
      </c>
      <c r="G39" s="2">
        <f>J27/SUM(G24:J27)</f>
        <v>0.26345408138237802</v>
      </c>
      <c r="H39" s="2"/>
      <c r="I39" s="2">
        <f>O27/SUM(L24:O27)</f>
        <v>0.19204017683655875</v>
      </c>
      <c r="J39" s="2"/>
    </row>
    <row r="40" spans="1:17" x14ac:dyDescent="0.2">
      <c r="A40" t="s">
        <v>62</v>
      </c>
      <c r="G40" s="2">
        <f>('Job + CO2 Analysis'!BN22-'Job + CO2 Analysis'!AJ22)/SUM(H40)</f>
        <v>0.23322102638185682</v>
      </c>
      <c r="H40" s="43">
        <f>F16*SUM('Demand Breakdown - C4'!G18:G20)+SUM(F17:F19)*SUM('Demand Breakdown - BTX'!I20:I22)+D22*SUM('Demand Breakdown - Methanol'!C3:C11)+F20*SUM('Demand Breakdown - Propylene'!C25:C27)+F21*SUM('Demand Breakdown - Ethylene'!C34:C40)-SUM('Job + CO2 Analysis'!BN8:BN18)</f>
        <v>394.03202504962269</v>
      </c>
      <c r="I40" s="2">
        <f>('Job + CO2 Analysis'!AH22-'Job + CO2 Analysis'!D22)/SUM(J40)</f>
        <v>0.31629705493529642</v>
      </c>
      <c r="J40" s="43">
        <f>F16*SUM('Demand Breakdown - C4'!G18:G20)+SUM(F17:F19)*SUM('Demand Breakdown - BTX'!I20:I22)+D22*SUM('Demand Breakdown - Methanol'!C3:C11)+F20*SUM('Demand Breakdown - Propylene'!C25:C27)+F21*SUM('Demand Breakdown - Ethylene'!C34:C40)-SUM('Job + CO2 Analysis'!AH8:AH18)</f>
        <v>290.53875739751487</v>
      </c>
    </row>
    <row r="41" spans="1:17" x14ac:dyDescent="0.2">
      <c r="A41" t="s">
        <v>63</v>
      </c>
      <c r="G41" s="2">
        <f>'Job + CO2 Analysis'!BN22/SUM('Job + CO2 Analysis'!BN22:BN23,'Job + CO2 Analysis'!BN25:BN30)</f>
        <v>0.32689708428451103</v>
      </c>
      <c r="I41" s="2">
        <f>'Job + CO2 Analysis'!AH22/SUM('Job + CO2 Analysis'!AH22:AH23,'Job + CO2 Analysis'!AH25:AH30)</f>
        <v>0.3902851748224288</v>
      </c>
    </row>
    <row r="42" spans="1:17" x14ac:dyDescent="0.2">
      <c r="A42" t="s">
        <v>1941</v>
      </c>
      <c r="G42" s="2"/>
      <c r="H42">
        <f>'Yearly BTX'!BN113+'Yearly Butadiene'!BN71+'Yearly Methanol'!BN114+'Yearly LC Ethylene'!AH146+'Yearly LC Propylene'!AH66</f>
        <v>30.745315156608772</v>
      </c>
      <c r="I42" s="2">
        <f>H42/'Job + CO2 Analysis'!BN22</f>
        <v>0.25157350856206701</v>
      </c>
      <c r="N42" s="2"/>
    </row>
    <row r="45" spans="1:17" x14ac:dyDescent="0.2">
      <c r="A45" t="s">
        <v>1896</v>
      </c>
    </row>
    <row r="46" spans="1:17" x14ac:dyDescent="0.2">
      <c r="A46" s="30"/>
      <c r="B46" s="652">
        <v>2020</v>
      </c>
      <c r="C46" s="652" t="s">
        <v>1897</v>
      </c>
      <c r="D46" s="532" t="s">
        <v>40</v>
      </c>
      <c r="E46" s="532" t="s">
        <v>214</v>
      </c>
      <c r="F46" s="532" t="s">
        <v>1898</v>
      </c>
      <c r="G46" s="532" t="s">
        <v>1937</v>
      </c>
      <c r="H46" s="652" t="s">
        <v>164</v>
      </c>
    </row>
    <row r="48" spans="1:17" x14ac:dyDescent="0.2">
      <c r="A48" s="30" t="s">
        <v>1900</v>
      </c>
      <c r="B48" s="663">
        <f>B10</f>
        <v>101.9602667020169</v>
      </c>
      <c r="C48" s="653">
        <f>C10</f>
        <v>43.639190412170564</v>
      </c>
      <c r="D48" s="663">
        <f>D10</f>
        <v>145.59945711418746</v>
      </c>
      <c r="E48" s="137"/>
      <c r="F48" s="653">
        <f>SUM(D48:E49)</f>
        <v>435.59945711418743</v>
      </c>
      <c r="G48" s="663"/>
      <c r="H48" s="653">
        <f>SUM(F48:G49)</f>
        <v>364.17746433172181</v>
      </c>
    </row>
    <row r="49" spans="1:15" x14ac:dyDescent="0.2">
      <c r="A49" s="30" t="s">
        <v>52</v>
      </c>
      <c r="B49" s="137"/>
      <c r="C49" s="137"/>
      <c r="D49" s="137"/>
      <c r="E49" s="653">
        <f>E10</f>
        <v>290</v>
      </c>
      <c r="F49" s="137"/>
      <c r="G49" s="668">
        <f>-SUM('Yearly Methanol'!BN69:BN70,'Yearly Methanol'!BN12,'Yearly Methanol'!BN114:BN115,'Yearly Methanol'!BN120:BN121)</f>
        <v>-71.421992782465651</v>
      </c>
      <c r="H49" s="137"/>
    </row>
    <row r="50" spans="1:15" x14ac:dyDescent="0.2">
      <c r="A50" s="30" t="s">
        <v>52</v>
      </c>
      <c r="B50" s="137"/>
      <c r="C50" s="137"/>
      <c r="D50" s="662"/>
      <c r="E50" s="663"/>
      <c r="F50" s="137"/>
      <c r="G50" s="137"/>
      <c r="H50" s="137"/>
    </row>
    <row r="52" spans="1:15" x14ac:dyDescent="0.2">
      <c r="A52" t="s">
        <v>1901</v>
      </c>
      <c r="K52" t="s">
        <v>1902</v>
      </c>
      <c r="L52" t="s">
        <v>1903</v>
      </c>
      <c r="M52" t="s">
        <v>1905</v>
      </c>
      <c r="N52" t="s">
        <v>1904</v>
      </c>
    </row>
    <row r="53" spans="1:15" x14ac:dyDescent="0.2">
      <c r="A53" s="30"/>
      <c r="B53" s="652">
        <v>2020</v>
      </c>
      <c r="C53" s="652" t="s">
        <v>1897</v>
      </c>
      <c r="D53" s="532" t="s">
        <v>40</v>
      </c>
      <c r="E53" s="532" t="s">
        <v>214</v>
      </c>
      <c r="F53" s="532" t="s">
        <v>1898</v>
      </c>
      <c r="G53" s="532" t="s">
        <v>1936</v>
      </c>
      <c r="H53" s="652" t="s">
        <v>164</v>
      </c>
      <c r="J53" t="s">
        <v>258</v>
      </c>
      <c r="K53" s="6">
        <f>'Demand Breakdown - Ethylene'!C34+'Demand Breakdown - Ethylene'!C35</f>
        <v>0.6100000000000001</v>
      </c>
      <c r="L53" s="6"/>
      <c r="N53">
        <f>SUMPRODUCT(K53:M53,K$61:M$61)</f>
        <v>99.242307692307705</v>
      </c>
      <c r="O53" s="2">
        <f>N53/N$61</f>
        <v>0.34273160705796823</v>
      </c>
    </row>
    <row r="54" spans="1:15" x14ac:dyDescent="0.2">
      <c r="J54" t="s">
        <v>478</v>
      </c>
      <c r="K54" s="6">
        <f>'Demand Breakdown - Ethylene'!C39</f>
        <v>5.9399999999999994E-2</v>
      </c>
      <c r="L54" s="6"/>
      <c r="M54" s="6"/>
      <c r="N54">
        <f t="shared" ref="N54:N60" si="4">SUMPRODUCT(K54:M54,K$61:M$61)</f>
        <v>9.6639230769230746</v>
      </c>
      <c r="O54" s="2">
        <f t="shared" ref="O54:O60" si="5">N54/N$61</f>
        <v>3.3374192556136564E-2</v>
      </c>
    </row>
    <row r="55" spans="1:15" x14ac:dyDescent="0.2">
      <c r="A55" s="30" t="s">
        <v>1900</v>
      </c>
      <c r="B55" s="663">
        <f>B4+B8+B9</f>
        <v>289.56275303643724</v>
      </c>
      <c r="C55" s="653">
        <f>C4+C8+C9</f>
        <v>150.49220607950909</v>
      </c>
      <c r="D55" s="653">
        <f>D4+D8+D9</f>
        <v>440.0549591159463</v>
      </c>
      <c r="E55" s="653"/>
      <c r="F55" s="653">
        <f>SUM(D55:E56)</f>
        <v>468.08365121499395</v>
      </c>
      <c r="G55" s="663"/>
      <c r="H55" s="653">
        <f>SUM(F55:G56)</f>
        <v>263.05242856578548</v>
      </c>
      <c r="I55" s="2">
        <f>-G56/F55</f>
        <v>0.43802261009760468</v>
      </c>
      <c r="J55" t="s">
        <v>474</v>
      </c>
      <c r="K55" s="6">
        <f>'Demand Breakdown - Ethylene'!C36+'Demand Breakdown - Ethylene'!C37</f>
        <v>6.566000000000001E-2</v>
      </c>
      <c r="N55">
        <f t="shared" si="4"/>
        <v>10.682376923076923</v>
      </c>
      <c r="O55" s="2">
        <f t="shared" si="5"/>
        <v>3.6891405441682283E-2</v>
      </c>
    </row>
    <row r="56" spans="1:15" x14ac:dyDescent="0.2">
      <c r="A56" s="30" t="s">
        <v>52</v>
      </c>
      <c r="B56" s="137"/>
      <c r="C56" s="137"/>
      <c r="D56" s="137"/>
      <c r="E56" s="137">
        <f>E4+E8+E9</f>
        <v>28.028692099047639</v>
      </c>
      <c r="F56" s="137"/>
      <c r="G56" s="668">
        <f>-SUM('Yearly Butadiene'!BN43:BN44,'Yearly Butadiene'!BN71:BN72,'Yearly Butadiene'!BN74:BN75,'Yearly LC Ethylene'!AH81:AH82,'Yearly LC Ethylene'!AH146:AH147,'Yearly LC Ethylene'!AH155:AH156,'Yearly LC Propylene'!AH39:AH40,'Yearly LC Propylene'!AH66:AH67,'Yearly LC Propylene'!AH69:AH70)</f>
        <v>-205.03122264920847</v>
      </c>
      <c r="H56" s="137"/>
      <c r="J56" t="s">
        <v>477</v>
      </c>
      <c r="K56" s="6">
        <v>0</v>
      </c>
      <c r="L56" s="6">
        <f>'Demand Breakdown - Propylene'!C25+'Demand Breakdown - Propylene'!C26</f>
        <v>0.67000000000000015</v>
      </c>
      <c r="M56" s="6"/>
      <c r="N56">
        <f t="shared" si="4"/>
        <v>74.98846153846155</v>
      </c>
      <c r="O56" s="2">
        <f t="shared" si="5"/>
        <v>0.25897136545398625</v>
      </c>
    </row>
    <row r="57" spans="1:15" x14ac:dyDescent="0.2">
      <c r="A57" s="30" t="s">
        <v>52</v>
      </c>
      <c r="B57" s="137"/>
      <c r="C57" s="137"/>
      <c r="D57" s="662"/>
      <c r="E57" s="663"/>
      <c r="F57" s="137"/>
      <c r="G57" s="137"/>
      <c r="H57" s="137"/>
      <c r="J57" t="s">
        <v>480</v>
      </c>
      <c r="K57" s="6">
        <f>'Demand Breakdown - Ethylene'!C38</f>
        <v>0.1152</v>
      </c>
      <c r="L57" s="6"/>
      <c r="N57">
        <f t="shared" si="4"/>
        <v>18.742153846153844</v>
      </c>
      <c r="O57" s="2">
        <f t="shared" si="5"/>
        <v>6.4725706775537586E-2</v>
      </c>
    </row>
    <row r="58" spans="1:15" x14ac:dyDescent="0.2">
      <c r="G58" s="10">
        <f>-SUM('Yearly Butadiene'!AH43:AH44,'Yearly HC Ethylene'!AH81:AH82,'Yearly HC Propylene'!AH39:AH40)</f>
        <v>-208.71154683673899</v>
      </c>
      <c r="H58" s="26">
        <f>F55+G58</f>
        <v>259.37210437825496</v>
      </c>
      <c r="I58" s="2">
        <f>-G58/F55</f>
        <v>0.44588514530467199</v>
      </c>
      <c r="J58" t="s">
        <v>817</v>
      </c>
      <c r="K58" s="6">
        <v>0</v>
      </c>
      <c r="L58" s="6"/>
      <c r="M58" s="6">
        <f>'Demand Breakdown - C4'!G18</f>
        <v>0.71200000000000019</v>
      </c>
      <c r="N58">
        <f t="shared" si="4"/>
        <v>10.642526315789476</v>
      </c>
      <c r="O58" s="2">
        <f t="shared" si="5"/>
        <v>3.6753782053074592E-2</v>
      </c>
    </row>
    <row r="59" spans="1:15" x14ac:dyDescent="0.2">
      <c r="C59">
        <v>2020</v>
      </c>
      <c r="D59">
        <v>2050</v>
      </c>
      <c r="J59" t="s">
        <v>690</v>
      </c>
      <c r="K59" s="6">
        <f>'Demand Breakdown - Ethylene'!C40</f>
        <v>3.1354000000000007E-2</v>
      </c>
      <c r="L59" s="6">
        <f>'Demand Breakdown - Propylene'!C27</f>
        <v>0.10200000000000001</v>
      </c>
      <c r="M59" s="6">
        <f>'Demand Breakdown - C4'!G20</f>
        <v>0.21100000000000002</v>
      </c>
      <c r="N59">
        <f t="shared" si="4"/>
        <v>19.671103198380568</v>
      </c>
      <c r="O59" s="2">
        <f t="shared" si="5"/>
        <v>6.7933817426805737E-2</v>
      </c>
    </row>
    <row r="60" spans="1:15" x14ac:dyDescent="0.2">
      <c r="B60" t="s">
        <v>1907</v>
      </c>
      <c r="C60" s="43">
        <f>SUM('Yearly Butadiene'!D71:D72,'Yearly Butadiene'!D74:D75,'Yearly HC Ethylene'!D146:D147,'Yearly HC Ethylene'!D155:D156,'Yearly HC Propylene'!D66:D67,'Yearly HC Propylene'!D69:D70)</f>
        <v>1.1431675180962307E-4</v>
      </c>
      <c r="D60" s="43">
        <f>SUM('Yearly Butadiene'!AH71:AH72,'Yearly Butadiene'!AH74:AH75,'Yearly HC Ethylene'!AH146:AH147,'Yearly HC Ethylene'!AH155:AH156,'Yearly HC Propylene'!AH66:AH67,'Yearly HC Propylene'!AH69:AH70)</f>
        <v>78.58989905064476</v>
      </c>
      <c r="J60" t="s">
        <v>248</v>
      </c>
      <c r="K60" s="6">
        <f>'Demand Breakdown - Ethylene'!C41</f>
        <v>0.11838599999999999</v>
      </c>
      <c r="L60" s="6">
        <f>'Demand Breakdown - Propylene'!C28</f>
        <v>0.22799999999999987</v>
      </c>
      <c r="M60" s="6">
        <f>'Demand Breakdown - C4'!G22</f>
        <v>7.6999999999999888E-2</v>
      </c>
      <c r="N60">
        <f t="shared" si="4"/>
        <v>45.92990044534411</v>
      </c>
      <c r="O60" s="2">
        <f t="shared" si="5"/>
        <v>0.15861812323480881</v>
      </c>
    </row>
    <row r="61" spans="1:15" x14ac:dyDescent="0.2">
      <c r="C61" s="44">
        <f>'Ethylene Recycling LC'!C182+'Propylene Recycling LC'!C103+'Butadiene Recycling LC'!C165</f>
        <v>22.978578932757539</v>
      </c>
      <c r="D61" s="44">
        <f>'Ethylene Recycling LC'!AG182+'Propylene Recycling LC'!AG103+'Butadiene Recycling LC'!AG165</f>
        <v>94.903229260622695</v>
      </c>
      <c r="J61" t="s">
        <v>67</v>
      </c>
      <c r="K61" s="661">
        <f>B9</f>
        <v>162.69230769230768</v>
      </c>
      <c r="L61" s="26">
        <f>B8</f>
        <v>111.92307692307692</v>
      </c>
      <c r="M61" s="26">
        <f>B4</f>
        <v>14.947368421052632</v>
      </c>
      <c r="N61" s="26">
        <f>SUM(K61:M61)</f>
        <v>289.56275303643724</v>
      </c>
      <c r="O61" s="2">
        <f>SUM(O53:O60)</f>
        <v>1</v>
      </c>
    </row>
    <row r="62" spans="1:15" x14ac:dyDescent="0.2">
      <c r="K62" s="2">
        <f>K61/$N$61</f>
        <v>0.56185509353765273</v>
      </c>
      <c r="L62" s="2">
        <f t="shared" ref="L62:M62" si="6">L61/$N$61</f>
        <v>0.38652442605072562</v>
      </c>
      <c r="M62" s="2">
        <f t="shared" si="6"/>
        <v>5.1620480411621601E-2</v>
      </c>
    </row>
    <row r="63" spans="1:15" x14ac:dyDescent="0.2">
      <c r="J63" t="s">
        <v>581</v>
      </c>
      <c r="K63" s="6"/>
    </row>
    <row r="64" spans="1:15" x14ac:dyDescent="0.2">
      <c r="K64" s="6"/>
    </row>
    <row r="65" spans="1:16" x14ac:dyDescent="0.2">
      <c r="A65" t="s">
        <v>1906</v>
      </c>
    </row>
    <row r="66" spans="1:16" x14ac:dyDescent="0.2">
      <c r="A66" s="30"/>
      <c r="B66" s="652">
        <v>2020</v>
      </c>
      <c r="C66" s="652" t="s">
        <v>1897</v>
      </c>
      <c r="D66" s="532" t="s">
        <v>40</v>
      </c>
      <c r="E66" s="532" t="s">
        <v>214</v>
      </c>
      <c r="F66" s="532" t="s">
        <v>1898</v>
      </c>
      <c r="G66" s="532" t="s">
        <v>1899</v>
      </c>
      <c r="H66" s="652" t="s">
        <v>164</v>
      </c>
    </row>
    <row r="68" spans="1:16" x14ac:dyDescent="0.2">
      <c r="A68" s="30" t="s">
        <v>1900</v>
      </c>
      <c r="B68" s="663">
        <f>SUM(B5:B7)</f>
        <v>116.10918671199683</v>
      </c>
      <c r="C68" s="663">
        <f t="shared" ref="C68:D68" si="7">SUM(C5:C7)</f>
        <v>42.40380244023342</v>
      </c>
      <c r="D68" s="663">
        <f t="shared" si="7"/>
        <v>158.51298915223026</v>
      </c>
      <c r="E68" s="653"/>
      <c r="F68" s="653">
        <f>SUM(D68:E69)</f>
        <v>161.00000000000003</v>
      </c>
      <c r="G68" s="663"/>
      <c r="H68" s="653">
        <f>SUM(F68:G69)</f>
        <v>111.9846544175617</v>
      </c>
    </row>
    <row r="69" spans="1:16" x14ac:dyDescent="0.2">
      <c r="A69" s="30" t="s">
        <v>52</v>
      </c>
      <c r="B69" s="137"/>
      <c r="C69" s="137"/>
      <c r="D69" s="137"/>
      <c r="E69" s="137">
        <f>SUM('Yearly BTX'!BN69)</f>
        <v>2.4870108477697737</v>
      </c>
      <c r="F69" s="137"/>
      <c r="G69" s="137">
        <f>-SUM('Yearly BTX'!BN67:BN68)</f>
        <v>-49.015345582438336</v>
      </c>
      <c r="H69" s="137"/>
    </row>
    <row r="70" spans="1:16" x14ac:dyDescent="0.2">
      <c r="A70" s="30" t="s">
        <v>52</v>
      </c>
      <c r="B70" s="137"/>
      <c r="C70" s="137"/>
      <c r="D70" s="662"/>
      <c r="E70" s="663"/>
      <c r="F70" s="137"/>
      <c r="G70" s="137"/>
      <c r="H70" s="137"/>
    </row>
    <row r="73" spans="1:16" x14ac:dyDescent="0.2">
      <c r="A73" t="s">
        <v>1931</v>
      </c>
    </row>
    <row r="74" spans="1:16" x14ac:dyDescent="0.2">
      <c r="A74" s="30"/>
      <c r="B74" s="652">
        <v>2020</v>
      </c>
      <c r="C74" s="652" t="s">
        <v>175</v>
      </c>
      <c r="D74" s="532" t="s">
        <v>40</v>
      </c>
      <c r="E74" s="532" t="s">
        <v>214</v>
      </c>
      <c r="F74" s="532" t="s">
        <v>1898</v>
      </c>
      <c r="G74" s="532" t="s">
        <v>1899</v>
      </c>
      <c r="H74" s="652" t="s">
        <v>164</v>
      </c>
    </row>
    <row r="76" spans="1:16" x14ac:dyDescent="0.2">
      <c r="A76" s="30" t="s">
        <v>1900</v>
      </c>
      <c r="B76" s="663">
        <v>185.16</v>
      </c>
      <c r="C76" s="663">
        <v>42.379999999999995</v>
      </c>
      <c r="D76" s="663">
        <f>SUM(B76:C76)</f>
        <v>227.54</v>
      </c>
      <c r="E76" s="653"/>
      <c r="F76" s="653">
        <f>SUM(D76:E78)</f>
        <v>1013.54</v>
      </c>
      <c r="G76" s="663"/>
      <c r="H76" s="653">
        <f>SUM(F76:G77)</f>
        <v>995.54</v>
      </c>
      <c r="J76">
        <v>185.16</v>
      </c>
      <c r="K76">
        <v>42.379999999999995</v>
      </c>
      <c r="L76">
        <v>227.54</v>
      </c>
      <c r="N76">
        <v>1013.54</v>
      </c>
      <c r="P76">
        <v>995.54</v>
      </c>
    </row>
    <row r="77" spans="1:16" x14ac:dyDescent="0.2">
      <c r="A77" s="30" t="s">
        <v>52</v>
      </c>
      <c r="B77" s="137"/>
      <c r="C77" s="137"/>
      <c r="D77" s="137"/>
      <c r="E77" s="137">
        <v>625</v>
      </c>
      <c r="F77" s="137"/>
      <c r="G77" s="137">
        <v>-18</v>
      </c>
      <c r="H77" s="137"/>
      <c r="M77">
        <v>625</v>
      </c>
      <c r="O77">
        <v>-18</v>
      </c>
    </row>
    <row r="78" spans="1:16" x14ac:dyDescent="0.2">
      <c r="A78" s="30" t="s">
        <v>52</v>
      </c>
      <c r="B78" s="137"/>
      <c r="C78" s="137"/>
      <c r="D78" s="662"/>
      <c r="E78" s="663">
        <v>161</v>
      </c>
      <c r="F78" s="137"/>
      <c r="G78" s="137"/>
      <c r="H78" s="137"/>
      <c r="M78">
        <v>161</v>
      </c>
    </row>
    <row r="80" spans="1:16" x14ac:dyDescent="0.2">
      <c r="A80" s="30" t="s">
        <v>1932</v>
      </c>
      <c r="B80" s="667">
        <v>40.047040000000003</v>
      </c>
    </row>
    <row r="81" spans="1:2" x14ac:dyDescent="0.2">
      <c r="A81" s="30" t="s">
        <v>1054</v>
      </c>
      <c r="B81" s="667">
        <v>66.778439200000008</v>
      </c>
    </row>
    <row r="82" spans="1:2" x14ac:dyDescent="0.2">
      <c r="A82" s="30" t="s">
        <v>1933</v>
      </c>
      <c r="B82" s="667">
        <v>33.360328799999998</v>
      </c>
    </row>
    <row r="83" spans="1:2" x14ac:dyDescent="0.2">
      <c r="A83" s="190" t="s">
        <v>1934</v>
      </c>
      <c r="B83" s="667">
        <v>625</v>
      </c>
    </row>
    <row r="84" spans="1:2" x14ac:dyDescent="0.2">
      <c r="A84" s="190" t="s">
        <v>1935</v>
      </c>
      <c r="B84" s="667">
        <v>161</v>
      </c>
    </row>
    <row r="85" spans="1:2" x14ac:dyDescent="0.2">
      <c r="A85" s="30" t="s">
        <v>248</v>
      </c>
      <c r="B85" s="667">
        <v>69.354192000000012</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ED5C81-30C3-4138-BC26-055A55386B30}">
  <sheetPr>
    <tabColor rgb="FF00B0F0"/>
  </sheetPr>
  <dimension ref="A1:EU155"/>
  <sheetViews>
    <sheetView zoomScale="80" zoomScaleNormal="80" workbookViewId="0">
      <pane xSplit="2" topLeftCell="C1" activePane="topRight" state="frozen"/>
      <selection activeCell="C23" sqref="C23"/>
      <selection pane="topRight" activeCell="AH5" sqref="AH5"/>
    </sheetView>
  </sheetViews>
  <sheetFormatPr baseColWidth="10" defaultColWidth="8.83203125" defaultRowHeight="15" outlineLevelCol="2" x14ac:dyDescent="0.2"/>
  <cols>
    <col min="1" max="1" width="6.33203125" customWidth="1"/>
    <col min="2" max="2" width="32.5" bestFit="1" customWidth="1"/>
    <col min="3" max="3" width="20.1640625" style="54" bestFit="1" customWidth="1"/>
    <col min="4" max="4" width="13" customWidth="1"/>
    <col min="5" max="6" width="9.1640625" hidden="1" customWidth="1" outlineLevel="1"/>
    <col min="7" max="13" width="10.1640625" hidden="1" customWidth="1" outlineLevel="1"/>
    <col min="14" max="14" width="14.1640625" customWidth="1" collapsed="1"/>
    <col min="15" max="22" width="10.1640625" hidden="1" customWidth="1" outlineLevel="1"/>
    <col min="23" max="23" width="3.33203125" hidden="1" customWidth="1" outlineLevel="1"/>
    <col min="24" max="24" width="13.5" customWidth="1" collapsed="1"/>
    <col min="25" max="26" width="10.1640625" hidden="1" customWidth="1" outlineLevel="1"/>
    <col min="27" max="33" width="11.1640625" hidden="1" customWidth="1" outlineLevel="1"/>
    <col min="34" max="34" width="12.6640625" customWidth="1" collapsed="1"/>
    <col min="36" max="36" width="12.5" customWidth="1"/>
    <col min="37" max="41" width="9.1640625" hidden="1" customWidth="1" outlineLevel="1"/>
    <col min="42" max="45" width="10.1640625" hidden="1" customWidth="1" outlineLevel="1"/>
    <col min="46" max="46" width="11.83203125" customWidth="1" collapsed="1"/>
    <col min="47" max="55" width="10.1640625" hidden="1" customWidth="1" outlineLevel="1"/>
    <col min="56" max="56" width="12.33203125" customWidth="1" collapsed="1"/>
    <col min="57" max="65" width="10.1640625" hidden="1" customWidth="1" outlineLevel="1"/>
    <col min="66" max="66" width="12.6640625" customWidth="1" collapsed="1"/>
    <col min="67" max="67" width="9.83203125" bestFit="1" customWidth="1"/>
    <col min="68" max="68" width="13.83203125" customWidth="1"/>
    <col min="69" max="77" width="9.1640625" hidden="1" customWidth="1" outlineLevel="2"/>
    <col min="78" max="78" width="13" customWidth="1" collapsed="1"/>
    <col min="79" max="87" width="9.1640625" hidden="1" customWidth="1" outlineLevel="1"/>
    <col min="88" max="88" width="11.33203125" customWidth="1" collapsed="1"/>
    <col min="89" max="97" width="9.1640625" hidden="1" customWidth="1" outlineLevel="1"/>
    <col min="98" max="98" width="12.5" customWidth="1" collapsed="1"/>
    <col min="99" max="99" width="10.5" customWidth="1"/>
    <col min="100" max="100" width="13.83203125" customWidth="1"/>
    <col min="101" max="109" width="9.1640625" hidden="1" customWidth="1" outlineLevel="2"/>
    <col min="110" max="110" width="13" customWidth="1" collapsed="1"/>
    <col min="111" max="119" width="9.1640625" hidden="1" customWidth="1" outlineLevel="1"/>
    <col min="120" max="120" width="11.33203125" customWidth="1" collapsed="1"/>
    <col min="121" max="129" width="9.1640625" hidden="1" customWidth="1" outlineLevel="1"/>
    <col min="130" max="130" width="12.5" customWidth="1" collapsed="1"/>
    <col min="133" max="133" width="18.5" customWidth="1"/>
    <col min="134" max="134" width="12.33203125" customWidth="1"/>
    <col min="135" max="135" width="16.5" customWidth="1"/>
    <col min="136" max="136" width="18.6640625" customWidth="1"/>
    <col min="138" max="138" width="12.1640625" customWidth="1"/>
    <col min="146" max="146" width="15.1640625" customWidth="1"/>
  </cols>
  <sheetData>
    <row r="1" spans="1:151" x14ac:dyDescent="0.2">
      <c r="A1" s="1"/>
      <c r="B1" s="1"/>
      <c r="D1" s="684" t="s">
        <v>64</v>
      </c>
      <c r="E1" s="684"/>
      <c r="F1" s="684"/>
      <c r="G1" s="684"/>
      <c r="H1" s="684"/>
      <c r="I1" s="684"/>
      <c r="J1" s="684"/>
      <c r="K1" s="684"/>
      <c r="L1" s="684"/>
      <c r="M1" s="684"/>
      <c r="N1" s="684"/>
      <c r="O1" s="684"/>
      <c r="P1" s="684"/>
      <c r="Q1" s="684"/>
      <c r="R1" s="684"/>
      <c r="S1" s="684"/>
      <c r="T1" s="684"/>
      <c r="U1" s="684"/>
      <c r="V1" s="684"/>
      <c r="W1" s="684"/>
      <c r="X1" s="684"/>
      <c r="Y1" s="684"/>
      <c r="Z1" s="684"/>
      <c r="AA1" s="684"/>
      <c r="AB1" s="684"/>
      <c r="AC1" s="684"/>
      <c r="AD1" s="684"/>
      <c r="AE1" s="684"/>
      <c r="AF1" s="684"/>
      <c r="AG1" s="684"/>
      <c r="AH1" s="684"/>
      <c r="AJ1" s="684" t="s">
        <v>65</v>
      </c>
      <c r="AK1" s="684"/>
      <c r="AL1" s="684"/>
      <c r="AM1" s="684"/>
      <c r="AN1" s="684"/>
      <c r="AO1" s="684"/>
      <c r="AP1" s="684"/>
      <c r="AQ1" s="684"/>
      <c r="AR1" s="684"/>
      <c r="AS1" s="684"/>
      <c r="AT1" s="684"/>
      <c r="AU1" s="684"/>
      <c r="AV1" s="684"/>
      <c r="AW1" s="684"/>
      <c r="AX1" s="684"/>
      <c r="AY1" s="684"/>
      <c r="AZ1" s="684"/>
      <c r="BA1" s="684"/>
      <c r="BB1" s="684"/>
      <c r="BC1" s="684"/>
      <c r="BD1" s="684"/>
      <c r="BE1" s="684"/>
      <c r="BF1" s="684"/>
      <c r="BG1" s="684"/>
      <c r="BH1" s="684"/>
      <c r="BI1" s="684"/>
      <c r="BJ1" s="684"/>
      <c r="BK1" s="684"/>
      <c r="BL1" s="684"/>
      <c r="BM1" s="684"/>
      <c r="BN1" s="684"/>
      <c r="BP1" s="684" t="s">
        <v>66</v>
      </c>
      <c r="BQ1" s="684"/>
      <c r="BR1" s="684"/>
      <c r="BS1" s="684"/>
      <c r="BT1" s="684"/>
      <c r="BU1" s="684"/>
      <c r="BV1" s="684"/>
      <c r="BW1" s="684"/>
      <c r="BX1" s="684"/>
      <c r="BY1" s="684"/>
      <c r="BZ1" s="684"/>
      <c r="CA1" s="684"/>
      <c r="CB1" s="684"/>
      <c r="CC1" s="684"/>
      <c r="CD1" s="684"/>
      <c r="CE1" s="684"/>
      <c r="CF1" s="684"/>
      <c r="CG1" s="684"/>
      <c r="CH1" s="684"/>
      <c r="CI1" s="684"/>
      <c r="CJ1" s="684"/>
      <c r="CK1" s="684"/>
      <c r="CL1" s="684"/>
      <c r="CM1" s="684"/>
      <c r="CN1" s="684"/>
      <c r="CO1" s="684"/>
      <c r="CP1" s="684"/>
      <c r="CQ1" s="684"/>
      <c r="CR1" s="684"/>
      <c r="CS1" s="684"/>
      <c r="CT1" s="684"/>
      <c r="CV1" s="684" t="s">
        <v>1940</v>
      </c>
      <c r="CW1" s="684"/>
      <c r="CX1" s="684"/>
      <c r="CY1" s="684"/>
      <c r="CZ1" s="684"/>
      <c r="DA1" s="684"/>
      <c r="DB1" s="684"/>
      <c r="DC1" s="684"/>
      <c r="DD1" s="684"/>
      <c r="DE1" s="684"/>
      <c r="DF1" s="684"/>
      <c r="DG1" s="684"/>
      <c r="DH1" s="684"/>
      <c r="DI1" s="684"/>
      <c r="DJ1" s="684"/>
      <c r="DK1" s="684"/>
      <c r="DL1" s="684"/>
      <c r="DM1" s="684"/>
      <c r="DN1" s="684"/>
      <c r="DO1" s="684"/>
      <c r="DP1" s="684"/>
      <c r="DQ1" s="684"/>
      <c r="DR1" s="684"/>
      <c r="DS1" s="684"/>
      <c r="DT1" s="684"/>
      <c r="DU1" s="684"/>
      <c r="DV1" s="684"/>
      <c r="DW1" s="684"/>
      <c r="DX1" s="684"/>
      <c r="DY1" s="684"/>
      <c r="DZ1" s="684"/>
    </row>
    <row r="2" spans="1:151" x14ac:dyDescent="0.2">
      <c r="A2" s="1"/>
      <c r="B2" s="1"/>
      <c r="C2" s="65"/>
      <c r="D2" s="1">
        <v>2020</v>
      </c>
      <c r="E2" s="1">
        <f>D2+1</f>
        <v>2021</v>
      </c>
      <c r="F2" s="1">
        <f t="shared" ref="F2:AH2" si="0">E2+1</f>
        <v>2022</v>
      </c>
      <c r="G2" s="1">
        <f t="shared" si="0"/>
        <v>2023</v>
      </c>
      <c r="H2" s="1">
        <f t="shared" si="0"/>
        <v>2024</v>
      </c>
      <c r="I2" s="1">
        <f t="shared" si="0"/>
        <v>2025</v>
      </c>
      <c r="J2" s="1">
        <f t="shared" si="0"/>
        <v>2026</v>
      </c>
      <c r="K2" s="1">
        <f t="shared" si="0"/>
        <v>2027</v>
      </c>
      <c r="L2" s="1">
        <f t="shared" si="0"/>
        <v>2028</v>
      </c>
      <c r="M2" s="1">
        <f t="shared" si="0"/>
        <v>2029</v>
      </c>
      <c r="N2" s="1">
        <f t="shared" si="0"/>
        <v>2030</v>
      </c>
      <c r="O2" s="1">
        <f t="shared" si="0"/>
        <v>2031</v>
      </c>
      <c r="P2" s="1">
        <f t="shared" si="0"/>
        <v>2032</v>
      </c>
      <c r="Q2" s="1">
        <f t="shared" si="0"/>
        <v>2033</v>
      </c>
      <c r="R2" s="1">
        <f>Q2+1</f>
        <v>2034</v>
      </c>
      <c r="S2" s="1">
        <f t="shared" si="0"/>
        <v>2035</v>
      </c>
      <c r="T2" s="1">
        <f t="shared" si="0"/>
        <v>2036</v>
      </c>
      <c r="U2" s="1">
        <f t="shared" si="0"/>
        <v>2037</v>
      </c>
      <c r="V2" s="1">
        <f t="shared" si="0"/>
        <v>2038</v>
      </c>
      <c r="W2" s="1">
        <f t="shared" si="0"/>
        <v>2039</v>
      </c>
      <c r="X2" s="1">
        <f t="shared" si="0"/>
        <v>2040</v>
      </c>
      <c r="Y2" s="1">
        <f t="shared" si="0"/>
        <v>2041</v>
      </c>
      <c r="Z2" s="1">
        <f t="shared" si="0"/>
        <v>2042</v>
      </c>
      <c r="AA2" s="1">
        <f t="shared" si="0"/>
        <v>2043</v>
      </c>
      <c r="AB2" s="1">
        <f t="shared" si="0"/>
        <v>2044</v>
      </c>
      <c r="AC2" s="1">
        <f>AB2+1</f>
        <v>2045</v>
      </c>
      <c r="AD2" s="1">
        <f t="shared" si="0"/>
        <v>2046</v>
      </c>
      <c r="AE2" s="1">
        <f t="shared" si="0"/>
        <v>2047</v>
      </c>
      <c r="AF2" s="1">
        <f t="shared" si="0"/>
        <v>2048</v>
      </c>
      <c r="AG2" s="1">
        <f>AF2+1</f>
        <v>2049</v>
      </c>
      <c r="AH2" s="1">
        <f t="shared" si="0"/>
        <v>2050</v>
      </c>
      <c r="AI2" s="1"/>
      <c r="AJ2" s="1">
        <v>2020</v>
      </c>
      <c r="AK2" s="1">
        <f>AJ2+1</f>
        <v>2021</v>
      </c>
      <c r="AL2" s="1">
        <f t="shared" ref="AL2:AW2" si="1">AK2+1</f>
        <v>2022</v>
      </c>
      <c r="AM2" s="1">
        <f t="shared" si="1"/>
        <v>2023</v>
      </c>
      <c r="AN2" s="1">
        <f t="shared" si="1"/>
        <v>2024</v>
      </c>
      <c r="AO2" s="1">
        <f t="shared" si="1"/>
        <v>2025</v>
      </c>
      <c r="AP2" s="1">
        <f t="shared" si="1"/>
        <v>2026</v>
      </c>
      <c r="AQ2" s="1">
        <f t="shared" si="1"/>
        <v>2027</v>
      </c>
      <c r="AR2" s="1">
        <f t="shared" si="1"/>
        <v>2028</v>
      </c>
      <c r="AS2" s="1">
        <f t="shared" si="1"/>
        <v>2029</v>
      </c>
      <c r="AT2" s="1">
        <f t="shared" si="1"/>
        <v>2030</v>
      </c>
      <c r="AU2" s="1">
        <f t="shared" si="1"/>
        <v>2031</v>
      </c>
      <c r="AV2" s="1">
        <f t="shared" si="1"/>
        <v>2032</v>
      </c>
      <c r="AW2" s="1">
        <f t="shared" si="1"/>
        <v>2033</v>
      </c>
      <c r="AX2" s="1">
        <f>AW2+1</f>
        <v>2034</v>
      </c>
      <c r="AY2" s="1">
        <f t="shared" ref="AY2:BH2" si="2">AX2+1</f>
        <v>2035</v>
      </c>
      <c r="AZ2" s="1">
        <f t="shared" si="2"/>
        <v>2036</v>
      </c>
      <c r="BA2" s="1">
        <f t="shared" si="2"/>
        <v>2037</v>
      </c>
      <c r="BB2" s="1">
        <f t="shared" si="2"/>
        <v>2038</v>
      </c>
      <c r="BC2" s="1">
        <f t="shared" si="2"/>
        <v>2039</v>
      </c>
      <c r="BD2" s="1">
        <f t="shared" si="2"/>
        <v>2040</v>
      </c>
      <c r="BE2" s="1">
        <f t="shared" si="2"/>
        <v>2041</v>
      </c>
      <c r="BF2" s="1">
        <f t="shared" si="2"/>
        <v>2042</v>
      </c>
      <c r="BG2" s="1">
        <f t="shared" si="2"/>
        <v>2043</v>
      </c>
      <c r="BH2" s="1">
        <f t="shared" si="2"/>
        <v>2044</v>
      </c>
      <c r="BI2" s="1">
        <f>BH2+1</f>
        <v>2045</v>
      </c>
      <c r="BJ2" s="1">
        <f t="shared" ref="BJ2:BL2" si="3">BI2+1</f>
        <v>2046</v>
      </c>
      <c r="BK2" s="1">
        <f t="shared" si="3"/>
        <v>2047</v>
      </c>
      <c r="BL2" s="1">
        <f t="shared" si="3"/>
        <v>2048</v>
      </c>
      <c r="BM2" s="1">
        <f>BL2+1</f>
        <v>2049</v>
      </c>
      <c r="BN2" s="1">
        <f t="shared" ref="BN2" si="4">BM2+1</f>
        <v>2050</v>
      </c>
      <c r="BO2" s="1"/>
      <c r="BP2" s="1">
        <v>2020</v>
      </c>
      <c r="BQ2" s="1">
        <f>BP2+1</f>
        <v>2021</v>
      </c>
      <c r="BR2" s="1">
        <f t="shared" ref="BR2" si="5">BQ2+1</f>
        <v>2022</v>
      </c>
      <c r="BS2" s="1">
        <f t="shared" ref="BS2" si="6">BR2+1</f>
        <v>2023</v>
      </c>
      <c r="BT2" s="1">
        <f t="shared" ref="BT2" si="7">BS2+1</f>
        <v>2024</v>
      </c>
      <c r="BU2" s="1">
        <f t="shared" ref="BU2" si="8">BT2+1</f>
        <v>2025</v>
      </c>
      <c r="BV2" s="1">
        <f t="shared" ref="BV2" si="9">BU2+1</f>
        <v>2026</v>
      </c>
      <c r="BW2" s="1">
        <f t="shared" ref="BW2" si="10">BV2+1</f>
        <v>2027</v>
      </c>
      <c r="BX2" s="1">
        <f t="shared" ref="BX2" si="11">BW2+1</f>
        <v>2028</v>
      </c>
      <c r="BY2" s="1">
        <f t="shared" ref="BY2" si="12">BX2+1</f>
        <v>2029</v>
      </c>
      <c r="BZ2" s="1">
        <f t="shared" ref="BZ2" si="13">BY2+1</f>
        <v>2030</v>
      </c>
      <c r="CA2" s="1">
        <f t="shared" ref="CA2" si="14">BZ2+1</f>
        <v>2031</v>
      </c>
      <c r="CB2" s="1">
        <f t="shared" ref="CB2" si="15">CA2+1</f>
        <v>2032</v>
      </c>
      <c r="CC2" s="1">
        <f t="shared" ref="CC2" si="16">CB2+1</f>
        <v>2033</v>
      </c>
      <c r="CD2" s="1">
        <f>CC2+1</f>
        <v>2034</v>
      </c>
      <c r="CE2" s="1">
        <f t="shared" ref="CE2" si="17">CD2+1</f>
        <v>2035</v>
      </c>
      <c r="CF2" s="1">
        <f t="shared" ref="CF2" si="18">CE2+1</f>
        <v>2036</v>
      </c>
      <c r="CG2" s="1">
        <f t="shared" ref="CG2" si="19">CF2+1</f>
        <v>2037</v>
      </c>
      <c r="CH2" s="1">
        <f t="shared" ref="CH2" si="20">CG2+1</f>
        <v>2038</v>
      </c>
      <c r="CI2" s="1">
        <f t="shared" ref="CI2" si="21">CH2+1</f>
        <v>2039</v>
      </c>
      <c r="CJ2" s="1">
        <f t="shared" ref="CJ2" si="22">CI2+1</f>
        <v>2040</v>
      </c>
      <c r="CK2" s="1">
        <f t="shared" ref="CK2" si="23">CJ2+1</f>
        <v>2041</v>
      </c>
      <c r="CL2" s="1">
        <f t="shared" ref="CL2" si="24">CK2+1</f>
        <v>2042</v>
      </c>
      <c r="CM2" s="1">
        <f t="shared" ref="CM2" si="25">CL2+1</f>
        <v>2043</v>
      </c>
      <c r="CN2" s="1">
        <f t="shared" ref="CN2" si="26">CM2+1</f>
        <v>2044</v>
      </c>
      <c r="CO2" s="1">
        <f>CN2+1</f>
        <v>2045</v>
      </c>
      <c r="CP2" s="1">
        <f t="shared" ref="CP2" si="27">CO2+1</f>
        <v>2046</v>
      </c>
      <c r="CQ2" s="1">
        <f t="shared" ref="CQ2" si="28">CP2+1</f>
        <v>2047</v>
      </c>
      <c r="CR2" s="1">
        <f t="shared" ref="CR2" si="29">CQ2+1</f>
        <v>2048</v>
      </c>
      <c r="CS2" s="1">
        <f>CR2+1</f>
        <v>2049</v>
      </c>
      <c r="CT2" s="1">
        <f t="shared" ref="CT2" si="30">CS2+1</f>
        <v>2050</v>
      </c>
      <c r="CU2" s="1"/>
      <c r="CV2" s="1">
        <v>2020</v>
      </c>
      <c r="CW2" s="1">
        <f>CV2+1</f>
        <v>2021</v>
      </c>
      <c r="CX2" s="1">
        <f t="shared" ref="CX2" si="31">CW2+1</f>
        <v>2022</v>
      </c>
      <c r="CY2" s="1">
        <f t="shared" ref="CY2" si="32">CX2+1</f>
        <v>2023</v>
      </c>
      <c r="CZ2" s="1">
        <f t="shared" ref="CZ2" si="33">CY2+1</f>
        <v>2024</v>
      </c>
      <c r="DA2" s="1">
        <f t="shared" ref="DA2" si="34">CZ2+1</f>
        <v>2025</v>
      </c>
      <c r="DB2" s="1">
        <f t="shared" ref="DB2" si="35">DA2+1</f>
        <v>2026</v>
      </c>
      <c r="DC2" s="1">
        <f t="shared" ref="DC2" si="36">DB2+1</f>
        <v>2027</v>
      </c>
      <c r="DD2" s="1">
        <f t="shared" ref="DD2" si="37">DC2+1</f>
        <v>2028</v>
      </c>
      <c r="DE2" s="1">
        <f t="shared" ref="DE2" si="38">DD2+1</f>
        <v>2029</v>
      </c>
      <c r="DF2" s="1">
        <f t="shared" ref="DF2" si="39">DE2+1</f>
        <v>2030</v>
      </c>
      <c r="DG2" s="1">
        <f t="shared" ref="DG2" si="40">DF2+1</f>
        <v>2031</v>
      </c>
      <c r="DH2" s="1">
        <f t="shared" ref="DH2" si="41">DG2+1</f>
        <v>2032</v>
      </c>
      <c r="DI2" s="1">
        <f t="shared" ref="DI2" si="42">DH2+1</f>
        <v>2033</v>
      </c>
      <c r="DJ2" s="1">
        <f>DI2+1</f>
        <v>2034</v>
      </c>
      <c r="DK2" s="1">
        <f t="shared" ref="DK2" si="43">DJ2+1</f>
        <v>2035</v>
      </c>
      <c r="DL2" s="1">
        <f t="shared" ref="DL2" si="44">DK2+1</f>
        <v>2036</v>
      </c>
      <c r="DM2" s="1">
        <f t="shared" ref="DM2" si="45">DL2+1</f>
        <v>2037</v>
      </c>
      <c r="DN2" s="1">
        <f t="shared" ref="DN2" si="46">DM2+1</f>
        <v>2038</v>
      </c>
      <c r="DO2" s="1">
        <f t="shared" ref="DO2" si="47">DN2+1</f>
        <v>2039</v>
      </c>
      <c r="DP2" s="1">
        <f t="shared" ref="DP2" si="48">DO2+1</f>
        <v>2040</v>
      </c>
      <c r="DQ2" s="1">
        <f t="shared" ref="DQ2" si="49">DP2+1</f>
        <v>2041</v>
      </c>
      <c r="DR2" s="1">
        <f t="shared" ref="DR2" si="50">DQ2+1</f>
        <v>2042</v>
      </c>
      <c r="DS2" s="1">
        <f t="shared" ref="DS2" si="51">DR2+1</f>
        <v>2043</v>
      </c>
      <c r="DT2" s="1">
        <f t="shared" ref="DT2" si="52">DS2+1</f>
        <v>2044</v>
      </c>
      <c r="DU2" s="1">
        <f>DT2+1</f>
        <v>2045</v>
      </c>
      <c r="DV2" s="1">
        <f t="shared" ref="DV2" si="53">DU2+1</f>
        <v>2046</v>
      </c>
      <c r="DW2" s="1">
        <f t="shared" ref="DW2" si="54">DV2+1</f>
        <v>2047</v>
      </c>
      <c r="DX2" s="1">
        <f t="shared" ref="DX2" si="55">DW2+1</f>
        <v>2048</v>
      </c>
      <c r="DY2" s="1">
        <f>DX2+1</f>
        <v>2049</v>
      </c>
      <c r="DZ2" s="1">
        <f t="shared" ref="DZ2" si="56">DY2+1</f>
        <v>2050</v>
      </c>
    </row>
    <row r="3" spans="1:151" ht="16" thickBot="1" x14ac:dyDescent="0.25">
      <c r="A3" s="637" t="s">
        <v>67</v>
      </c>
      <c r="B3" s="637"/>
      <c r="C3" s="638"/>
      <c r="D3" s="637"/>
      <c r="E3" s="637"/>
      <c r="F3" s="637"/>
      <c r="G3" s="637"/>
      <c r="H3" s="637"/>
      <c r="I3" s="637"/>
      <c r="J3" s="637"/>
      <c r="K3" s="637"/>
      <c r="L3" s="637"/>
      <c r="M3" s="637"/>
      <c r="N3" s="637"/>
      <c r="O3" s="637"/>
      <c r="P3" s="637"/>
      <c r="Q3" s="637"/>
      <c r="R3" s="637"/>
      <c r="S3" s="637"/>
      <c r="T3" s="637"/>
      <c r="U3" s="637"/>
      <c r="V3" s="637"/>
      <c r="W3" s="637"/>
      <c r="X3" s="637"/>
      <c r="Y3" s="637"/>
      <c r="Z3" s="637"/>
      <c r="AA3" s="637"/>
      <c r="AB3" s="637"/>
      <c r="AC3" s="637"/>
      <c r="AD3" s="637"/>
      <c r="AE3" s="637"/>
      <c r="AF3" s="637"/>
      <c r="AG3" s="637"/>
      <c r="AH3" s="637"/>
      <c r="AI3" s="637"/>
      <c r="AJ3" s="637"/>
      <c r="AK3" s="637"/>
      <c r="AL3" s="637"/>
      <c r="AM3" s="637"/>
      <c r="AN3" s="637"/>
      <c r="AO3" s="637"/>
      <c r="AP3" s="637"/>
      <c r="AQ3" s="637"/>
      <c r="AR3" s="637"/>
      <c r="AS3" s="637"/>
      <c r="AT3" s="637"/>
      <c r="AU3" s="637"/>
      <c r="AV3" s="637"/>
      <c r="AW3" s="637"/>
      <c r="AX3" s="637"/>
      <c r="AY3" s="637"/>
      <c r="AZ3" s="637"/>
      <c r="BA3" s="637"/>
      <c r="BB3" s="637"/>
      <c r="BC3" s="637"/>
      <c r="BD3" s="637"/>
      <c r="BE3" s="637"/>
      <c r="BF3" s="637"/>
      <c r="BG3" s="637"/>
      <c r="BH3" s="637"/>
      <c r="BI3" s="637"/>
      <c r="BJ3" s="637"/>
      <c r="BK3" s="637"/>
      <c r="BL3" s="637"/>
      <c r="BM3" s="637"/>
      <c r="BN3" s="637"/>
      <c r="BO3" s="637"/>
      <c r="BP3" s="637"/>
      <c r="BQ3" s="637"/>
      <c r="BR3" s="637"/>
      <c r="BS3" s="637"/>
      <c r="BT3" s="637"/>
      <c r="BU3" s="637"/>
      <c r="BV3" s="637"/>
      <c r="BW3" s="637"/>
      <c r="BX3" s="637"/>
      <c r="BY3" s="637"/>
      <c r="BZ3" s="637"/>
      <c r="CA3" s="637"/>
      <c r="CB3" s="637"/>
      <c r="CC3" s="637"/>
      <c r="CD3" s="637"/>
      <c r="CE3" s="637"/>
      <c r="CF3" s="637"/>
      <c r="CG3" s="637"/>
      <c r="CH3" s="637"/>
      <c r="CI3" s="637"/>
      <c r="CJ3" s="637"/>
      <c r="CK3" s="637"/>
      <c r="CL3" s="637"/>
      <c r="CM3" s="637"/>
      <c r="CN3" s="637"/>
      <c r="CO3" s="637"/>
      <c r="CP3" s="637"/>
      <c r="CQ3" s="637"/>
      <c r="CR3" s="637"/>
      <c r="CS3" s="637"/>
      <c r="CT3" s="637"/>
      <c r="CU3" s="637"/>
      <c r="CV3" s="637"/>
      <c r="CW3" s="637"/>
      <c r="CX3" s="637"/>
      <c r="CY3" s="637"/>
      <c r="CZ3" s="637"/>
      <c r="DA3" s="637"/>
      <c r="DB3" s="637"/>
      <c r="DC3" s="637"/>
      <c r="DD3" s="637"/>
      <c r="DE3" s="637"/>
      <c r="DF3" s="637"/>
      <c r="DG3" s="637"/>
      <c r="DH3" s="637"/>
      <c r="DI3" s="637"/>
      <c r="DJ3" s="637"/>
      <c r="DK3" s="637"/>
      <c r="DL3" s="637"/>
      <c r="DM3" s="637"/>
      <c r="DN3" s="637"/>
      <c r="DO3" s="637"/>
      <c r="DP3" s="637"/>
      <c r="DQ3" s="637"/>
      <c r="DR3" s="637"/>
      <c r="DS3" s="637"/>
      <c r="DT3" s="637"/>
      <c r="DU3" s="637"/>
      <c r="DV3" s="637"/>
      <c r="DW3" s="637"/>
      <c r="DX3" s="637"/>
      <c r="DY3" s="637"/>
      <c r="DZ3" s="637"/>
    </row>
    <row r="4" spans="1:151" x14ac:dyDescent="0.2">
      <c r="A4" s="601" t="s">
        <v>68</v>
      </c>
      <c r="B4" s="1"/>
      <c r="C4" s="54" t="s">
        <v>69</v>
      </c>
      <c r="D4" s="44">
        <f>'Yearly Summary'!D9</f>
        <v>661.79220645045098</v>
      </c>
      <c r="E4" s="44">
        <f>'Yearly Summary'!E9</f>
        <v>685.15794250211343</v>
      </c>
      <c r="F4" s="44">
        <f>'Yearly Summary'!F9</f>
        <v>707.04741340625935</v>
      </c>
      <c r="G4" s="44">
        <f>'Yearly Summary'!G9</f>
        <v>730.06922077094691</v>
      </c>
      <c r="H4" s="44">
        <f>'Yearly Summary'!H9</f>
        <v>752.29039122540712</v>
      </c>
      <c r="I4" s="44">
        <f>'Yearly Summary'!I9</f>
        <v>774.69828626000276</v>
      </c>
      <c r="J4" s="44">
        <f>'Yearly Summary'!J9</f>
        <v>796.32682727329097</v>
      </c>
      <c r="K4" s="44">
        <f>'Yearly Summary'!K9</f>
        <v>819.04537738381669</v>
      </c>
      <c r="L4" s="44">
        <f>'Yearly Summary'!L9</f>
        <v>840.85004687442279</v>
      </c>
      <c r="M4" s="44">
        <f>'Yearly Summary'!M9</f>
        <v>864.7473539898092</v>
      </c>
      <c r="N4" s="44">
        <f>'Yearly Summary'!N9</f>
        <v>889.75427062408028</v>
      </c>
      <c r="O4" s="44">
        <f>'Yearly Summary'!O9</f>
        <v>930.75697065840609</v>
      </c>
      <c r="P4" s="44">
        <f>'Yearly Summary'!P9</f>
        <v>972.98664018641546</v>
      </c>
      <c r="Q4" s="44">
        <f>'Yearly Summary'!Q9</f>
        <v>1014.4189521435972</v>
      </c>
      <c r="R4" s="44">
        <f>'Yearly Summary'!R9</f>
        <v>1057.0902165595924</v>
      </c>
      <c r="S4" s="44">
        <f>'Yearly Summary'!S9</f>
        <v>1097.9874630826666</v>
      </c>
      <c r="T4" s="44">
        <f>'Yearly Summary'!T9</f>
        <v>1173.7928675910778</v>
      </c>
      <c r="U4" s="44">
        <f>'Yearly Summary'!U9</f>
        <v>1246.2984880440069</v>
      </c>
      <c r="V4" s="44">
        <f>'Yearly Summary'!V9</f>
        <v>1316.5338608547138</v>
      </c>
      <c r="W4" s="44">
        <f>'Yearly Summary'!W9</f>
        <v>1382.4896914848182</v>
      </c>
      <c r="X4" s="44">
        <f>'Yearly Summary'!X9</f>
        <v>1447.1980080346973</v>
      </c>
      <c r="Y4" s="44">
        <f>'Yearly Summary'!Y9</f>
        <v>1506.6021527317894</v>
      </c>
      <c r="Z4" s="44">
        <f>'Yearly Summary'!Z9</f>
        <v>1564.4798665525279</v>
      </c>
      <c r="AA4" s="44">
        <f>'Yearly Summary'!AA9</f>
        <v>1620.8280506736785</v>
      </c>
      <c r="AB4" s="44">
        <f>'Yearly Summary'!AB9</f>
        <v>1673.685772936931</v>
      </c>
      <c r="AC4" s="44">
        <f>'Yearly Summary'!AC9</f>
        <v>1725.0645543673452</v>
      </c>
      <c r="AD4" s="44">
        <f>'Yearly Summary'!AD9</f>
        <v>1737.3739748989549</v>
      </c>
      <c r="AE4" s="44">
        <f>'Yearly Summary'!AE9</f>
        <v>1749.9095268974675</v>
      </c>
      <c r="AF4" s="44">
        <f>'Yearly Summary'!AF9</f>
        <v>1761.7121535452188</v>
      </c>
      <c r="AG4" s="44">
        <f>'Yearly Summary'!AG9</f>
        <v>1774.7968319509012</v>
      </c>
      <c r="AH4" s="44">
        <f>'Yearly Summary'!AH9</f>
        <v>1788.2231083291813</v>
      </c>
      <c r="AI4" s="44"/>
      <c r="AJ4" s="44">
        <f>'Yearly Summary'!AJ9</f>
        <v>661.79220645045098</v>
      </c>
      <c r="AK4" s="44">
        <f>'Yearly Summary'!AK9</f>
        <v>685.15794250211343</v>
      </c>
      <c r="AL4" s="44">
        <f>'Yearly Summary'!AL9</f>
        <v>707.04741340625935</v>
      </c>
      <c r="AM4" s="44">
        <f>'Yearly Summary'!AM9</f>
        <v>730.06922077094691</v>
      </c>
      <c r="AN4" s="44">
        <f>'Yearly Summary'!AN9</f>
        <v>752.29039122540712</v>
      </c>
      <c r="AO4" s="44">
        <f>'Yearly Summary'!AO9</f>
        <v>774.69828626000276</v>
      </c>
      <c r="AP4" s="44">
        <f>'Yearly Summary'!AP9</f>
        <v>796.32682727329097</v>
      </c>
      <c r="AQ4" s="44">
        <f>'Yearly Summary'!AQ9</f>
        <v>819.04537738381669</v>
      </c>
      <c r="AR4" s="44">
        <f>'Yearly Summary'!AR9</f>
        <v>840.85004687442279</v>
      </c>
      <c r="AS4" s="44">
        <f>'Yearly Summary'!AS9</f>
        <v>864.7473539898092</v>
      </c>
      <c r="AT4" s="44">
        <f>'Yearly Summary'!AT9</f>
        <v>889.75427062408028</v>
      </c>
      <c r="AU4" s="44">
        <f>'Yearly Summary'!AU9</f>
        <v>930.75697065840609</v>
      </c>
      <c r="AV4" s="44">
        <f>'Yearly Summary'!AV9</f>
        <v>972.98664018641546</v>
      </c>
      <c r="AW4" s="44">
        <f>'Yearly Summary'!AW9</f>
        <v>1014.4189521435972</v>
      </c>
      <c r="AX4" s="44">
        <f>'Yearly Summary'!AX9</f>
        <v>1057.0902165595924</v>
      </c>
      <c r="AY4" s="44">
        <f>'Yearly Summary'!AY9</f>
        <v>1097.9874630826666</v>
      </c>
      <c r="AZ4" s="44">
        <f>'Yearly Summary'!AZ9</f>
        <v>1173.7928675910778</v>
      </c>
      <c r="BA4" s="44">
        <f>'Yearly Summary'!BA9</f>
        <v>1246.2984880440069</v>
      </c>
      <c r="BB4" s="44">
        <f>'Yearly Summary'!BB9</f>
        <v>1316.5338608547138</v>
      </c>
      <c r="BC4" s="44">
        <f>'Yearly Summary'!BC9</f>
        <v>1382.4896914848182</v>
      </c>
      <c r="BD4" s="44">
        <f>'Yearly Summary'!BD9</f>
        <v>1447.1980080346973</v>
      </c>
      <c r="BE4" s="44">
        <f>'Yearly Summary'!BE9</f>
        <v>1506.6021527317894</v>
      </c>
      <c r="BF4" s="44">
        <f>'Yearly Summary'!BF9</f>
        <v>1564.4798665525279</v>
      </c>
      <c r="BG4" s="44">
        <f>'Yearly Summary'!BG9</f>
        <v>1620.8280506736785</v>
      </c>
      <c r="BH4" s="44">
        <f>'Yearly Summary'!BH9</f>
        <v>1673.685772936931</v>
      </c>
      <c r="BI4" s="44">
        <f>'Yearly Summary'!BI9</f>
        <v>1725.0645543673452</v>
      </c>
      <c r="BJ4" s="44">
        <f>'Yearly Summary'!BJ9</f>
        <v>1737.3739748989549</v>
      </c>
      <c r="BK4" s="44">
        <f>'Yearly Summary'!BK9</f>
        <v>1749.9095268974675</v>
      </c>
      <c r="BL4" s="44">
        <f>'Yearly Summary'!BL9</f>
        <v>1761.7121535452188</v>
      </c>
      <c r="BM4" s="44">
        <f>'Yearly Summary'!BM9</f>
        <v>1774.7968319509012</v>
      </c>
      <c r="BN4" s="44">
        <f>'Yearly Summary'!BN9</f>
        <v>1788.2231083291813</v>
      </c>
      <c r="BO4" s="554"/>
      <c r="BP4" s="553">
        <f>AJ4</f>
        <v>661.79220645045098</v>
      </c>
      <c r="BQ4" s="553">
        <f t="shared" ref="BQ4:CT4" si="57">AK4</f>
        <v>685.15794250211343</v>
      </c>
      <c r="BR4" s="553">
        <f t="shared" si="57"/>
        <v>707.04741340625935</v>
      </c>
      <c r="BS4" s="553">
        <f t="shared" si="57"/>
        <v>730.06922077094691</v>
      </c>
      <c r="BT4" s="553">
        <f t="shared" si="57"/>
        <v>752.29039122540712</v>
      </c>
      <c r="BU4" s="553">
        <f t="shared" si="57"/>
        <v>774.69828626000276</v>
      </c>
      <c r="BV4" s="553">
        <f t="shared" si="57"/>
        <v>796.32682727329097</v>
      </c>
      <c r="BW4" s="553">
        <f t="shared" si="57"/>
        <v>819.04537738381669</v>
      </c>
      <c r="BX4" s="553">
        <f t="shared" si="57"/>
        <v>840.85004687442279</v>
      </c>
      <c r="BY4" s="553">
        <f t="shared" si="57"/>
        <v>864.7473539898092</v>
      </c>
      <c r="BZ4" s="553">
        <f t="shared" si="57"/>
        <v>889.75427062408028</v>
      </c>
      <c r="CA4" s="553">
        <f t="shared" si="57"/>
        <v>930.75697065840609</v>
      </c>
      <c r="CB4" s="553">
        <f t="shared" si="57"/>
        <v>972.98664018641546</v>
      </c>
      <c r="CC4" s="553">
        <f t="shared" si="57"/>
        <v>1014.4189521435972</v>
      </c>
      <c r="CD4" s="553">
        <f t="shared" si="57"/>
        <v>1057.0902165595924</v>
      </c>
      <c r="CE4" s="553">
        <f t="shared" si="57"/>
        <v>1097.9874630826666</v>
      </c>
      <c r="CF4" s="553">
        <f t="shared" si="57"/>
        <v>1173.7928675910778</v>
      </c>
      <c r="CG4" s="553">
        <f t="shared" si="57"/>
        <v>1246.2984880440069</v>
      </c>
      <c r="CH4" s="553">
        <f t="shared" si="57"/>
        <v>1316.5338608547138</v>
      </c>
      <c r="CI4" s="553">
        <f t="shared" si="57"/>
        <v>1382.4896914848182</v>
      </c>
      <c r="CJ4" s="553">
        <f t="shared" si="57"/>
        <v>1447.1980080346973</v>
      </c>
      <c r="CK4" s="553">
        <f t="shared" si="57"/>
        <v>1506.6021527317894</v>
      </c>
      <c r="CL4" s="553">
        <f t="shared" si="57"/>
        <v>1564.4798665525279</v>
      </c>
      <c r="CM4" s="553">
        <f t="shared" si="57"/>
        <v>1620.8280506736785</v>
      </c>
      <c r="CN4" s="553">
        <f t="shared" si="57"/>
        <v>1673.685772936931</v>
      </c>
      <c r="CO4" s="553">
        <f t="shared" si="57"/>
        <v>1725.0645543673452</v>
      </c>
      <c r="CP4" s="553">
        <f t="shared" si="57"/>
        <v>1737.3739748989549</v>
      </c>
      <c r="CQ4" s="553">
        <f t="shared" si="57"/>
        <v>1749.9095268974675</v>
      </c>
      <c r="CR4" s="553">
        <f t="shared" si="57"/>
        <v>1761.7121535452188</v>
      </c>
      <c r="CS4" s="553">
        <f t="shared" si="57"/>
        <v>1774.7968319509012</v>
      </c>
      <c r="CT4" s="553">
        <f t="shared" si="57"/>
        <v>1788.2231083291813</v>
      </c>
      <c r="CU4" s="554"/>
      <c r="CV4" s="553">
        <f>BP4</f>
        <v>661.79220645045098</v>
      </c>
      <c r="CW4" s="553">
        <f t="shared" ref="CW4" si="58">BQ4</f>
        <v>685.15794250211343</v>
      </c>
      <c r="CX4" s="553">
        <f t="shared" ref="CX4" si="59">BR4</f>
        <v>707.04741340625935</v>
      </c>
      <c r="CY4" s="553">
        <f t="shared" ref="CY4" si="60">BS4</f>
        <v>730.06922077094691</v>
      </c>
      <c r="CZ4" s="553">
        <f t="shared" ref="CZ4" si="61">BT4</f>
        <v>752.29039122540712</v>
      </c>
      <c r="DA4" s="553">
        <f t="shared" ref="DA4" si="62">BU4</f>
        <v>774.69828626000276</v>
      </c>
      <c r="DB4" s="553">
        <f t="shared" ref="DB4" si="63">BV4</f>
        <v>796.32682727329097</v>
      </c>
      <c r="DC4" s="553">
        <f t="shared" ref="DC4" si="64">BW4</f>
        <v>819.04537738381669</v>
      </c>
      <c r="DD4" s="553">
        <f t="shared" ref="DD4" si="65">BX4</f>
        <v>840.85004687442279</v>
      </c>
      <c r="DE4" s="553">
        <f t="shared" ref="DE4" si="66">BY4</f>
        <v>864.7473539898092</v>
      </c>
      <c r="DF4" s="553">
        <f t="shared" ref="DF4" si="67">BZ4</f>
        <v>889.75427062408028</v>
      </c>
      <c r="DG4" s="553">
        <f t="shared" ref="DG4" si="68">CA4</f>
        <v>930.75697065840609</v>
      </c>
      <c r="DH4" s="553">
        <f t="shared" ref="DH4" si="69">CB4</f>
        <v>972.98664018641546</v>
      </c>
      <c r="DI4" s="553">
        <f t="shared" ref="DI4" si="70">CC4</f>
        <v>1014.4189521435972</v>
      </c>
      <c r="DJ4" s="553">
        <f t="shared" ref="DJ4" si="71">CD4</f>
        <v>1057.0902165595924</v>
      </c>
      <c r="DK4" s="553">
        <f t="shared" ref="DK4" si="72">CE4</f>
        <v>1097.9874630826666</v>
      </c>
      <c r="DL4" s="553">
        <f t="shared" ref="DL4" si="73">CF4</f>
        <v>1173.7928675910778</v>
      </c>
      <c r="DM4" s="553">
        <f t="shared" ref="DM4" si="74">CG4</f>
        <v>1246.2984880440069</v>
      </c>
      <c r="DN4" s="553">
        <f t="shared" ref="DN4" si="75">CH4</f>
        <v>1316.5338608547138</v>
      </c>
      <c r="DO4" s="553">
        <f t="shared" ref="DO4" si="76">CI4</f>
        <v>1382.4896914848182</v>
      </c>
      <c r="DP4" s="553">
        <f t="shared" ref="DP4" si="77">CJ4</f>
        <v>1447.1980080346973</v>
      </c>
      <c r="DQ4" s="553">
        <f t="shared" ref="DQ4" si="78">CK4</f>
        <v>1506.6021527317894</v>
      </c>
      <c r="DR4" s="553">
        <f t="shared" ref="DR4" si="79">CL4</f>
        <v>1564.4798665525279</v>
      </c>
      <c r="DS4" s="553">
        <f t="shared" ref="DS4" si="80">CM4</f>
        <v>1620.8280506736785</v>
      </c>
      <c r="DT4" s="553">
        <f t="shared" ref="DT4" si="81">CN4</f>
        <v>1673.685772936931</v>
      </c>
      <c r="DU4" s="553">
        <f t="shared" ref="DU4" si="82">CO4</f>
        <v>1725.0645543673452</v>
      </c>
      <c r="DV4" s="553">
        <f t="shared" ref="DV4" si="83">CP4</f>
        <v>1737.3739748989549</v>
      </c>
      <c r="DW4" s="553">
        <f t="shared" ref="DW4" si="84">CQ4</f>
        <v>1749.9095268974675</v>
      </c>
      <c r="DX4" s="553">
        <f t="shared" ref="DX4" si="85">CR4</f>
        <v>1761.7121535452188</v>
      </c>
      <c r="DY4" s="553">
        <f t="shared" ref="DY4" si="86">CS4</f>
        <v>1774.7968319509012</v>
      </c>
      <c r="DZ4" s="553">
        <f t="shared" ref="DZ4" si="87">CT4</f>
        <v>1788.2231083291813</v>
      </c>
      <c r="EK4" s="30"/>
      <c r="EL4" s="139"/>
      <c r="EM4" s="139"/>
      <c r="EN4" s="139"/>
      <c r="EO4" s="139"/>
      <c r="EP4" s="139"/>
      <c r="EQ4" s="263"/>
      <c r="ER4" s="139"/>
      <c r="ES4" s="139"/>
    </row>
    <row r="5" spans="1:151" x14ac:dyDescent="0.2">
      <c r="A5" s="1" t="s">
        <v>1162</v>
      </c>
      <c r="B5" t="s">
        <v>70</v>
      </c>
      <c r="C5" s="54" t="s">
        <v>69</v>
      </c>
      <c r="D5" s="44">
        <v>0</v>
      </c>
      <c r="E5" s="44">
        <v>1.3016511215721702</v>
      </c>
      <c r="F5" s="44">
        <v>2.6347665069928392</v>
      </c>
      <c r="G5" s="44">
        <v>3.9965538627839479</v>
      </c>
      <c r="H5" s="44">
        <v>5.3873627078690483</v>
      </c>
      <c r="I5" s="44">
        <v>6.8051382397085831</v>
      </c>
      <c r="J5" s="44">
        <v>8.2211837992444909</v>
      </c>
      <c r="K5" s="44">
        <v>9.6512896681603682</v>
      </c>
      <c r="L5" s="44">
        <v>11.096188452000698</v>
      </c>
      <c r="M5" s="44">
        <v>12.553308863207244</v>
      </c>
      <c r="N5" s="44">
        <v>14.019939159143776</v>
      </c>
      <c r="O5" s="44">
        <v>15.536888015052941</v>
      </c>
      <c r="P5" s="44">
        <v>17.068963698690336</v>
      </c>
      <c r="Q5" s="44">
        <v>18.617303799255275</v>
      </c>
      <c r="R5" s="44">
        <v>20.178249844849116</v>
      </c>
      <c r="S5" s="44">
        <v>21.754440587995095</v>
      </c>
      <c r="T5" s="44">
        <v>23.329793873796813</v>
      </c>
      <c r="U5" s="44">
        <v>24.913578535439786</v>
      </c>
      <c r="V5" s="44">
        <v>26.506989226239554</v>
      </c>
      <c r="W5" s="44">
        <v>28.110611495564754</v>
      </c>
      <c r="X5" s="44">
        <v>29.71812321705454</v>
      </c>
      <c r="Y5" s="44">
        <v>31.316178890080955</v>
      </c>
      <c r="Z5" s="44">
        <v>32.923263837507669</v>
      </c>
      <c r="AA5" s="44">
        <v>34.52623119262379</v>
      </c>
      <c r="AB5" s="44">
        <v>36.131568060770647</v>
      </c>
      <c r="AC5" s="44">
        <v>37.742179089795457</v>
      </c>
      <c r="AD5" s="44">
        <v>39.391729907906772</v>
      </c>
      <c r="AE5" s="44">
        <v>41.042894796225958</v>
      </c>
      <c r="AF5" s="44">
        <v>42.6965491417536</v>
      </c>
      <c r="AG5" s="44">
        <v>44.347973867120459</v>
      </c>
      <c r="AH5" s="44">
        <v>46</v>
      </c>
      <c r="AI5" s="44"/>
      <c r="AJ5" s="44">
        <v>0</v>
      </c>
      <c r="AK5" s="44">
        <v>0.5093417432238927</v>
      </c>
      <c r="AL5" s="44">
        <v>1.0309955896928502</v>
      </c>
      <c r="AM5" s="44">
        <v>1.5638689028285013</v>
      </c>
      <c r="AN5" s="44">
        <v>2.1080984509052798</v>
      </c>
      <c r="AO5" s="44">
        <v>2.6628801807555327</v>
      </c>
      <c r="AP5" s="44">
        <v>3.2169849649217577</v>
      </c>
      <c r="AQ5" s="44">
        <v>3.7765916092801444</v>
      </c>
      <c r="AR5" s="44">
        <v>4.3419867855654912</v>
      </c>
      <c r="AS5" s="44">
        <v>4.9121643377767477</v>
      </c>
      <c r="AT5" s="44">
        <v>5.4860631492301746</v>
      </c>
      <c r="AU5" s="44">
        <v>6.0796518319772392</v>
      </c>
      <c r="AV5" s="44">
        <v>6.6791597081831755</v>
      </c>
      <c r="AW5" s="44">
        <v>7.2850319214477182</v>
      </c>
      <c r="AX5" s="44">
        <v>7.8958368958105245</v>
      </c>
      <c r="AY5" s="44">
        <v>8.5126071866067772</v>
      </c>
      <c r="AZ5" s="44">
        <v>9.129049776703102</v>
      </c>
      <c r="BA5" s="44">
        <v>9.7487916008242657</v>
      </c>
      <c r="BB5" s="44">
        <v>10.372300132006783</v>
      </c>
      <c r="BC5" s="44">
        <v>10.999804498264471</v>
      </c>
      <c r="BD5" s="44">
        <v>11.628830824064822</v>
      </c>
      <c r="BE5" s="44">
        <v>12.254156956988201</v>
      </c>
      <c r="BF5" s="44">
        <v>12.883016284242135</v>
      </c>
      <c r="BG5" s="44">
        <v>13.510264379722356</v>
      </c>
      <c r="BH5" s="44">
        <v>14.138439675953734</v>
      </c>
      <c r="BI5" s="44">
        <v>14.768678774267789</v>
      </c>
      <c r="BJ5" s="44">
        <v>15.414155181354827</v>
      </c>
      <c r="BK5" s="44">
        <v>16.060263181131898</v>
      </c>
      <c r="BL5" s="44">
        <v>16.707345316338365</v>
      </c>
      <c r="BM5" s="44">
        <v>17.353554991481914</v>
      </c>
      <c r="BN5" s="44">
        <v>18</v>
      </c>
      <c r="BP5" s="26">
        <v>0</v>
      </c>
      <c r="BQ5" s="26">
        <v>0</v>
      </c>
      <c r="BR5" s="26">
        <v>0</v>
      </c>
      <c r="BS5" s="26">
        <v>0</v>
      </c>
      <c r="BT5" s="26">
        <v>0</v>
      </c>
      <c r="BU5" s="26">
        <v>0</v>
      </c>
      <c r="BV5" s="26">
        <v>0</v>
      </c>
      <c r="BW5" s="26">
        <v>0</v>
      </c>
      <c r="BX5" s="26">
        <v>0</v>
      </c>
      <c r="BY5" s="26">
        <v>0</v>
      </c>
      <c r="BZ5" s="26">
        <v>0</v>
      </c>
      <c r="CA5" s="26">
        <v>0</v>
      </c>
      <c r="CB5" s="26">
        <v>0</v>
      </c>
      <c r="CC5" s="26">
        <v>0</v>
      </c>
      <c r="CD5" s="26">
        <v>0</v>
      </c>
      <c r="CE5" s="26">
        <v>0</v>
      </c>
      <c r="CF5" s="26">
        <v>0</v>
      </c>
      <c r="CG5" s="26">
        <v>0</v>
      </c>
      <c r="CH5" s="26">
        <v>0</v>
      </c>
      <c r="CI5" s="26">
        <v>0</v>
      </c>
      <c r="CJ5" s="26">
        <v>0</v>
      </c>
      <c r="CK5" s="26">
        <v>0</v>
      </c>
      <c r="CL5" s="26">
        <v>0</v>
      </c>
      <c r="CM5" s="26">
        <v>0</v>
      </c>
      <c r="CN5" s="26">
        <v>0</v>
      </c>
      <c r="CO5" s="26">
        <v>0</v>
      </c>
      <c r="CP5" s="26">
        <v>0</v>
      </c>
      <c r="CQ5" s="26">
        <v>0</v>
      </c>
      <c r="CR5" s="26">
        <v>0</v>
      </c>
      <c r="CS5" s="26">
        <v>0</v>
      </c>
      <c r="CT5" s="26">
        <v>0</v>
      </c>
      <c r="CV5" s="26">
        <v>0</v>
      </c>
      <c r="CW5" s="26">
        <v>0</v>
      </c>
      <c r="CX5" s="26">
        <v>0</v>
      </c>
      <c r="CY5" s="26">
        <v>0</v>
      </c>
      <c r="CZ5" s="26">
        <v>0</v>
      </c>
      <c r="DA5" s="26">
        <v>0</v>
      </c>
      <c r="DB5" s="26">
        <v>0</v>
      </c>
      <c r="DC5" s="26">
        <v>0</v>
      </c>
      <c r="DD5" s="26">
        <v>0</v>
      </c>
      <c r="DE5" s="26">
        <v>0</v>
      </c>
      <c r="DF5" s="26">
        <v>0</v>
      </c>
      <c r="DG5" s="26">
        <v>0</v>
      </c>
      <c r="DH5" s="26">
        <v>0</v>
      </c>
      <c r="DI5" s="26">
        <v>0</v>
      </c>
      <c r="DJ5" s="26">
        <v>0</v>
      </c>
      <c r="DK5" s="26">
        <v>0</v>
      </c>
      <c r="DL5" s="26">
        <v>0</v>
      </c>
      <c r="DM5" s="26">
        <v>0</v>
      </c>
      <c r="DN5" s="26">
        <v>0</v>
      </c>
      <c r="DO5" s="26">
        <v>0</v>
      </c>
      <c r="DP5" s="26">
        <v>0</v>
      </c>
      <c r="DQ5" s="26">
        <v>0</v>
      </c>
      <c r="DR5" s="26">
        <v>0</v>
      </c>
      <c r="DS5" s="26">
        <v>0</v>
      </c>
      <c r="DT5" s="26">
        <v>0</v>
      </c>
      <c r="DU5" s="26">
        <v>0</v>
      </c>
      <c r="DV5" s="26">
        <v>0</v>
      </c>
      <c r="DW5" s="26">
        <v>0</v>
      </c>
      <c r="DX5" s="26">
        <v>0</v>
      </c>
      <c r="DY5" s="26">
        <v>0</v>
      </c>
      <c r="DZ5" s="26">
        <v>0</v>
      </c>
      <c r="EC5" t="s">
        <v>1942</v>
      </c>
      <c r="ED5" t="s">
        <v>1943</v>
      </c>
      <c r="EE5" t="s">
        <v>1894</v>
      </c>
      <c r="EF5" t="s">
        <v>25</v>
      </c>
      <c r="EG5" t="s">
        <v>50</v>
      </c>
      <c r="EH5" t="s">
        <v>1890</v>
      </c>
      <c r="EI5" t="s">
        <v>51</v>
      </c>
      <c r="EJ5" t="s">
        <v>1893</v>
      </c>
      <c r="EK5" t="s">
        <v>25</v>
      </c>
      <c r="EL5" t="s">
        <v>50</v>
      </c>
      <c r="EM5" t="s">
        <v>1890</v>
      </c>
      <c r="EN5" t="s">
        <v>51</v>
      </c>
      <c r="EO5" t="s">
        <v>1893</v>
      </c>
    </row>
    <row r="6" spans="1:151" x14ac:dyDescent="0.2">
      <c r="A6" s="1" t="s">
        <v>1887</v>
      </c>
      <c r="B6" t="s">
        <v>71</v>
      </c>
      <c r="C6" s="54" t="s">
        <v>69</v>
      </c>
      <c r="D6" s="44">
        <v>0</v>
      </c>
      <c r="E6" s="44">
        <v>0</v>
      </c>
      <c r="F6" s="44">
        <v>0</v>
      </c>
      <c r="G6" s="44">
        <v>0</v>
      </c>
      <c r="H6" s="44">
        <v>0</v>
      </c>
      <c r="I6" s="44">
        <v>0</v>
      </c>
      <c r="J6" s="44">
        <v>0</v>
      </c>
      <c r="K6" s="44">
        <v>0</v>
      </c>
      <c r="L6" s="44">
        <v>0</v>
      </c>
      <c r="M6" s="44">
        <v>0</v>
      </c>
      <c r="N6" s="44">
        <v>0</v>
      </c>
      <c r="O6" s="44">
        <v>0</v>
      </c>
      <c r="P6" s="44">
        <v>0</v>
      </c>
      <c r="Q6" s="44">
        <v>0</v>
      </c>
      <c r="R6" s="44">
        <v>0</v>
      </c>
      <c r="S6" s="44">
        <v>0</v>
      </c>
      <c r="T6" s="44">
        <v>0</v>
      </c>
      <c r="U6" s="44">
        <v>0</v>
      </c>
      <c r="V6" s="44">
        <v>0</v>
      </c>
      <c r="W6" s="44">
        <v>0</v>
      </c>
      <c r="X6" s="44">
        <v>0</v>
      </c>
      <c r="Y6" s="44">
        <v>0</v>
      </c>
      <c r="Z6" s="44">
        <v>0</v>
      </c>
      <c r="AA6" s="44">
        <v>0</v>
      </c>
      <c r="AB6" s="44">
        <v>0</v>
      </c>
      <c r="AC6" s="44">
        <v>0</v>
      </c>
      <c r="AD6" s="44">
        <v>0</v>
      </c>
      <c r="AE6" s="44">
        <v>0</v>
      </c>
      <c r="AF6" s="44">
        <v>0</v>
      </c>
      <c r="AG6" s="44">
        <v>0</v>
      </c>
      <c r="AH6" s="44">
        <v>0</v>
      </c>
      <c r="AI6" s="44"/>
      <c r="AJ6" s="44">
        <v>0</v>
      </c>
      <c r="AK6" s="44">
        <v>0</v>
      </c>
      <c r="AL6" s="44">
        <v>0</v>
      </c>
      <c r="AM6" s="44">
        <v>0</v>
      </c>
      <c r="AN6" s="44">
        <v>0</v>
      </c>
      <c r="AO6" s="44">
        <v>0</v>
      </c>
      <c r="AP6" s="44">
        <v>0</v>
      </c>
      <c r="AQ6" s="44">
        <v>0</v>
      </c>
      <c r="AR6" s="44">
        <v>0</v>
      </c>
      <c r="AS6" s="44">
        <v>0</v>
      </c>
      <c r="AT6" s="44">
        <v>0</v>
      </c>
      <c r="AU6" s="44">
        <v>0</v>
      </c>
      <c r="AV6" s="44">
        <v>0</v>
      </c>
      <c r="AW6" s="44">
        <v>0</v>
      </c>
      <c r="AX6" s="44">
        <v>0</v>
      </c>
      <c r="AY6" s="44">
        <v>0</v>
      </c>
      <c r="AZ6" s="44">
        <v>0</v>
      </c>
      <c r="BA6" s="44">
        <v>0</v>
      </c>
      <c r="BB6" s="44">
        <v>0</v>
      </c>
      <c r="BC6" s="44">
        <v>0</v>
      </c>
      <c r="BD6" s="44">
        <v>0</v>
      </c>
      <c r="BE6" s="44">
        <v>0</v>
      </c>
      <c r="BF6" s="44">
        <v>0</v>
      </c>
      <c r="BG6" s="44">
        <v>0</v>
      </c>
      <c r="BH6" s="44">
        <v>0</v>
      </c>
      <c r="BI6" s="44">
        <v>0</v>
      </c>
      <c r="BJ6" s="44">
        <v>0</v>
      </c>
      <c r="BK6" s="44">
        <v>0</v>
      </c>
      <c r="BL6" s="44">
        <v>0</v>
      </c>
      <c r="BM6" s="44">
        <v>0</v>
      </c>
      <c r="BN6" s="44">
        <v>0</v>
      </c>
      <c r="BP6" s="26">
        <v>0</v>
      </c>
      <c r="BQ6" s="26">
        <v>0</v>
      </c>
      <c r="BR6" s="26">
        <v>0</v>
      </c>
      <c r="BS6" s="26">
        <v>0</v>
      </c>
      <c r="BT6" s="26">
        <v>0</v>
      </c>
      <c r="BU6" s="26">
        <v>0</v>
      </c>
      <c r="BV6" s="26">
        <v>0</v>
      </c>
      <c r="BW6" s="26">
        <v>0</v>
      </c>
      <c r="BX6" s="26">
        <v>0</v>
      </c>
      <c r="BY6" s="26">
        <v>0</v>
      </c>
      <c r="BZ6" s="26">
        <v>0</v>
      </c>
      <c r="CA6" s="26">
        <v>0</v>
      </c>
      <c r="CB6" s="26">
        <v>0</v>
      </c>
      <c r="CC6" s="26">
        <v>0</v>
      </c>
      <c r="CD6" s="26">
        <v>0</v>
      </c>
      <c r="CE6" s="26">
        <v>0</v>
      </c>
      <c r="CF6" s="26">
        <v>0</v>
      </c>
      <c r="CG6" s="26">
        <v>0</v>
      </c>
      <c r="CH6" s="26">
        <v>0</v>
      </c>
      <c r="CI6" s="26">
        <v>0</v>
      </c>
      <c r="CJ6" s="26">
        <v>0</v>
      </c>
      <c r="CK6" s="26">
        <v>0</v>
      </c>
      <c r="CL6" s="26">
        <v>0</v>
      </c>
      <c r="CM6" s="26">
        <v>0</v>
      </c>
      <c r="CN6" s="26">
        <v>0</v>
      </c>
      <c r="CO6" s="26">
        <v>0</v>
      </c>
      <c r="CP6" s="26">
        <v>0</v>
      </c>
      <c r="CQ6" s="26">
        <v>0</v>
      </c>
      <c r="CR6" s="26">
        <v>0</v>
      </c>
      <c r="CS6" s="26">
        <v>0</v>
      </c>
      <c r="CT6" s="26">
        <v>0</v>
      </c>
      <c r="CV6" s="26">
        <v>0</v>
      </c>
      <c r="CW6" s="26">
        <v>0</v>
      </c>
      <c r="CX6" s="26">
        <v>0</v>
      </c>
      <c r="CY6" s="26">
        <v>0</v>
      </c>
      <c r="CZ6" s="26">
        <v>0</v>
      </c>
      <c r="DA6" s="26">
        <v>0</v>
      </c>
      <c r="DB6" s="26">
        <v>0</v>
      </c>
      <c r="DC6" s="26">
        <v>0</v>
      </c>
      <c r="DD6" s="26">
        <v>0</v>
      </c>
      <c r="DE6" s="26">
        <v>0</v>
      </c>
      <c r="DF6" s="26">
        <v>0</v>
      </c>
      <c r="DG6" s="26">
        <v>0</v>
      </c>
      <c r="DH6" s="26">
        <v>0</v>
      </c>
      <c r="DI6" s="26">
        <v>0</v>
      </c>
      <c r="DJ6" s="26">
        <v>0</v>
      </c>
      <c r="DK6" s="26">
        <v>0</v>
      </c>
      <c r="DL6" s="26">
        <v>0</v>
      </c>
      <c r="DM6" s="26">
        <v>0</v>
      </c>
      <c r="DN6" s="26">
        <v>0</v>
      </c>
      <c r="DO6" s="26">
        <v>0</v>
      </c>
      <c r="DP6" s="26">
        <v>0</v>
      </c>
      <c r="DQ6" s="26">
        <v>0</v>
      </c>
      <c r="DR6" s="26">
        <v>0</v>
      </c>
      <c r="DS6" s="26">
        <v>0</v>
      </c>
      <c r="DT6" s="26">
        <v>0</v>
      </c>
      <c r="DU6" s="26">
        <v>0</v>
      </c>
      <c r="DV6" s="26">
        <v>0</v>
      </c>
      <c r="DW6" s="26">
        <v>0</v>
      </c>
      <c r="DX6" s="26">
        <v>0</v>
      </c>
      <c r="DY6" s="26">
        <v>0</v>
      </c>
      <c r="DZ6" s="26">
        <v>0</v>
      </c>
      <c r="EB6" t="s">
        <v>1892</v>
      </c>
      <c r="EC6">
        <v>131.907984</v>
      </c>
      <c r="ED6" s="2">
        <f t="shared" ref="ED6:ED12" si="88">EC6/$EC$13</f>
        <v>0.19803019284983969</v>
      </c>
      <c r="EE6">
        <v>158.18580800000001</v>
      </c>
      <c r="EF6" s="44">
        <f>AH5</f>
        <v>46</v>
      </c>
      <c r="EG6" s="44">
        <f>AH6</f>
        <v>0</v>
      </c>
      <c r="EH6">
        <v>0</v>
      </c>
      <c r="EI6" s="44">
        <v>0</v>
      </c>
      <c r="EJ6" s="44">
        <f>EE6-SUM(EF6:EI6)</f>
        <v>112.18580800000001</v>
      </c>
      <c r="EK6" s="2">
        <f>EF6/$EE6</f>
        <v>0.29079726292512914</v>
      </c>
      <c r="EL6" s="2">
        <f t="shared" ref="EL6:EO6" si="89">EG6/$EE6</f>
        <v>0</v>
      </c>
      <c r="EM6" s="2">
        <f t="shared" si="89"/>
        <v>0</v>
      </c>
      <c r="EN6" s="2">
        <f t="shared" si="89"/>
        <v>0</v>
      </c>
      <c r="EO6" s="2">
        <f t="shared" si="89"/>
        <v>0.7092027370748708</v>
      </c>
      <c r="EP6" s="660">
        <f>EF6/EF$13</f>
        <v>0.18687683064111413</v>
      </c>
      <c r="EQ6" s="137"/>
      <c r="ER6" s="137"/>
      <c r="ES6" s="532"/>
    </row>
    <row r="7" spans="1:151" x14ac:dyDescent="0.2">
      <c r="A7" s="1" t="s">
        <v>1162</v>
      </c>
      <c r="B7" t="s">
        <v>72</v>
      </c>
      <c r="C7" s="54" t="s">
        <v>69</v>
      </c>
      <c r="D7" s="44">
        <f>'Yearly BTX'!D10+'Yearly Methanol'!D12</f>
        <v>0</v>
      </c>
      <c r="E7" s="44">
        <f>'Yearly BTX'!E10+'Yearly Methanol'!E12</f>
        <v>0.72809656581331306</v>
      </c>
      <c r="F7" s="44">
        <f>'Yearly BTX'!F10+'Yearly Methanol'!F12</f>
        <v>1.4859785533170244</v>
      </c>
      <c r="G7" s="44">
        <f>'Yearly BTX'!G10+'Yearly Methanol'!G12</f>
        <v>2.2746126419817627</v>
      </c>
      <c r="H7" s="44">
        <f>'Yearly BTX'!H10+'Yearly Methanol'!H12</f>
        <v>3.0949942662837868</v>
      </c>
      <c r="I7" s="44">
        <f>'Yearly BTX'!I10+'Yearly Methanol'!I12</f>
        <v>3.9481484302258729</v>
      </c>
      <c r="J7" s="44">
        <f>'Yearly BTX'!J10+'Yearly Methanol'!J12</f>
        <v>4.8351305441787904</v>
      </c>
      <c r="K7" s="44">
        <f>'Yearly BTX'!K10+'Yearly Methanol'!K12</f>
        <v>5.7570272846402268</v>
      </c>
      <c r="L7" s="44">
        <f>'Yearly BTX'!L10+'Yearly Methanol'!L12</f>
        <v>6.7149574775237646</v>
      </c>
      <c r="M7" s="44">
        <f>'Yearly BTX'!M10+'Yearly Methanol'!M12</f>
        <v>7.7100730056064641</v>
      </c>
      <c r="N7" s="44">
        <f>'Yearly BTX'!N10+'Yearly Methanol'!N12</f>
        <v>8.7435597407802206</v>
      </c>
      <c r="O7" s="44">
        <f>'Yearly BTX'!O10+'Yearly Methanol'!O12</f>
        <v>11.155271024737354</v>
      </c>
      <c r="P7" s="44">
        <f>'Yearly BTX'!P10+'Yearly Methanol'!P12</f>
        <v>13.663207547488044</v>
      </c>
      <c r="Q7" s="44">
        <f>'Yearly BTX'!Q10+'Yearly Methanol'!Q12</f>
        <v>16.270471592659867</v>
      </c>
      <c r="R7" s="44">
        <f>'Yearly BTX'!R10+'Yearly Methanol'!R12</f>
        <v>18.980257398657212</v>
      </c>
      <c r="S7" s="44">
        <f>'Yearly BTX'!S10+'Yearly Methanol'!S12</f>
        <v>21.795853756617433</v>
      </c>
      <c r="T7" s="44">
        <f>'Yearly BTX'!T10+'Yearly Methanol'!T12</f>
        <v>24.720646679411125</v>
      </c>
      <c r="U7" s="44">
        <f>'Yearly BTX'!U10+'Yearly Methanol'!U12</f>
        <v>27.758122143582703</v>
      </c>
      <c r="V7" s="44">
        <f>'Yearly BTX'!V10+'Yearly Methanol'!V12</f>
        <v>30.911868906177897</v>
      </c>
      <c r="W7" s="44">
        <f>'Yearly BTX'!W10+'Yearly Methanol'!W12</f>
        <v>34.185581398455383</v>
      </c>
      <c r="X7" s="44">
        <f>'Yearly BTX'!X10+'Yearly Methanol'!X12</f>
        <v>37.583062698532025</v>
      </c>
      <c r="Y7" s="44">
        <f>'Yearly BTX'!Y10+'Yearly Methanol'!Y12</f>
        <v>40.012008182796578</v>
      </c>
      <c r="Z7" s="44">
        <f>'Yearly BTX'!Z10+'Yearly Methanol'!Z12</f>
        <v>42.526850390422666</v>
      </c>
      <c r="AA7" s="44">
        <f>'Yearly BTX'!AA10+'Yearly Methanol'!AA12</f>
        <v>45.130232078574529</v>
      </c>
      <c r="AB7" s="44">
        <f>'Yearly BTX'!AB10+'Yearly Methanol'!AB12</f>
        <v>47.824872329743158</v>
      </c>
      <c r="AC7" s="44">
        <f>'Yearly BTX'!AC10+'Yearly Methanol'!AC12</f>
        <v>50.613568671858083</v>
      </c>
      <c r="AD7" s="44">
        <f>'Yearly BTX'!AD10+'Yearly Methanol'!AD12</f>
        <v>53.499199255681589</v>
      </c>
      <c r="AE7" s="44">
        <f>'Yearly BTX'!AE10+'Yearly Methanol'!AE12</f>
        <v>56.484725091000747</v>
      </c>
      <c r="AF7" s="44">
        <f>'Yearly BTX'!AF10+'Yearly Methanol'!AF12</f>
        <v>59.573192343172096</v>
      </c>
      <c r="AG7" s="44">
        <f>'Yearly BTX'!AG10+'Yearly Methanol'!AG12</f>
        <v>62.767734691614585</v>
      </c>
      <c r="AH7" s="44">
        <f>'Yearly BTX'!AH10+'Yearly Methanol'!AH12</f>
        <v>66.07157575188748</v>
      </c>
      <c r="AI7" s="44"/>
      <c r="AJ7" s="44">
        <f>'Yearly BTX'!AJ10+'Yearly Methanol'!AJ12</f>
        <v>0</v>
      </c>
      <c r="AK7" s="44">
        <f>'Yearly BTX'!AK10+'Yearly Methanol'!AK12</f>
        <v>0.72809656581331306</v>
      </c>
      <c r="AL7" s="44">
        <f>'Yearly BTX'!AL10+'Yearly Methanol'!AL12</f>
        <v>1.4859785533170244</v>
      </c>
      <c r="AM7" s="44">
        <f>'Yearly BTX'!AM10+'Yearly Methanol'!AM12</f>
        <v>2.2746126419817627</v>
      </c>
      <c r="AN7" s="44">
        <f>'Yearly BTX'!AN10+'Yearly Methanol'!AN12</f>
        <v>3.0949942662837868</v>
      </c>
      <c r="AO7" s="44">
        <f>'Yearly BTX'!AO10+'Yearly Methanol'!AO12</f>
        <v>3.9481484302258729</v>
      </c>
      <c r="AP7" s="44">
        <f>'Yearly BTX'!AP10+'Yearly Methanol'!AP12</f>
        <v>4.8351305441787904</v>
      </c>
      <c r="AQ7" s="44">
        <f>'Yearly BTX'!AQ10+'Yearly Methanol'!AQ12</f>
        <v>5.7570272846402268</v>
      </c>
      <c r="AR7" s="44">
        <f>'Yearly BTX'!AR10+'Yearly Methanol'!AR12</f>
        <v>6.7149574775237646</v>
      </c>
      <c r="AS7" s="44">
        <f>'Yearly BTX'!AS10+'Yearly Methanol'!AS12</f>
        <v>7.7100730056064641</v>
      </c>
      <c r="AT7" s="44">
        <f>'Yearly BTX'!AT10+'Yearly Methanol'!AT12</f>
        <v>8.7435597407802206</v>
      </c>
      <c r="AU7" s="44">
        <f>'Yearly BTX'!AU10+'Yearly Methanol'!AU12</f>
        <v>11.155271024737354</v>
      </c>
      <c r="AV7" s="44">
        <f>'Yearly BTX'!AV10+'Yearly Methanol'!AV12</f>
        <v>13.663207547488044</v>
      </c>
      <c r="AW7" s="44">
        <f>'Yearly BTX'!AW10+'Yearly Methanol'!AW12</f>
        <v>16.270471592659867</v>
      </c>
      <c r="AX7" s="44">
        <f>'Yearly BTX'!AX10+'Yearly Methanol'!AX12</f>
        <v>18.980257398657212</v>
      </c>
      <c r="AY7" s="44">
        <f>'Yearly BTX'!AY10+'Yearly Methanol'!AY12</f>
        <v>21.795853756617433</v>
      </c>
      <c r="AZ7" s="44">
        <f>'Yearly BTX'!AZ10+'Yearly Methanol'!AZ12</f>
        <v>24.720646679411125</v>
      </c>
      <c r="BA7" s="44">
        <f>'Yearly BTX'!BA10+'Yearly Methanol'!BA12</f>
        <v>27.758122143582703</v>
      </c>
      <c r="BB7" s="44">
        <f>'Yearly BTX'!BB10+'Yearly Methanol'!BB12</f>
        <v>30.911868906177897</v>
      </c>
      <c r="BC7" s="44">
        <f>'Yearly BTX'!BC10+'Yearly Methanol'!BC12</f>
        <v>34.185581398455383</v>
      </c>
      <c r="BD7" s="44">
        <f>'Yearly BTX'!BD10+'Yearly Methanol'!BD12</f>
        <v>37.583062698532025</v>
      </c>
      <c r="BE7" s="44">
        <f>'Yearly BTX'!BE10+'Yearly Methanol'!BE12</f>
        <v>40.012008182796578</v>
      </c>
      <c r="BF7" s="44">
        <f>'Yearly BTX'!BF10+'Yearly Methanol'!BF12</f>
        <v>42.526850390422666</v>
      </c>
      <c r="BG7" s="44">
        <f>'Yearly BTX'!BG10+'Yearly Methanol'!BG12</f>
        <v>45.130232078574529</v>
      </c>
      <c r="BH7" s="44">
        <f>'Yearly BTX'!BH10+'Yearly Methanol'!BH12</f>
        <v>47.824872329743158</v>
      </c>
      <c r="BI7" s="44">
        <f>'Yearly BTX'!BI10+'Yearly Methanol'!BI12</f>
        <v>50.613568671858083</v>
      </c>
      <c r="BJ7" s="44">
        <f>'Yearly BTX'!BJ10+'Yearly Methanol'!BJ12</f>
        <v>53.499199255681589</v>
      </c>
      <c r="BK7" s="44">
        <f>'Yearly BTX'!BK10+'Yearly Methanol'!BK12</f>
        <v>56.484725091000747</v>
      </c>
      <c r="BL7" s="44">
        <f>'Yearly BTX'!BL10+'Yearly Methanol'!BL12</f>
        <v>59.573192343172096</v>
      </c>
      <c r="BM7" s="44">
        <f>'Yearly BTX'!BM10+'Yearly Methanol'!BM12</f>
        <v>62.767734691614585</v>
      </c>
      <c r="BN7" s="44">
        <f>'Yearly BTX'!BN10+'Yearly Methanol'!BN12</f>
        <v>66.07157575188748</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B7" t="s">
        <v>1888</v>
      </c>
      <c r="EC7">
        <f>SUM('R&amp;S - Packaging and hh goods'!I4:O4)</f>
        <v>187.00626736755632</v>
      </c>
      <c r="ED7" s="2">
        <f t="shared" si="88"/>
        <v>0.28074788248545945</v>
      </c>
      <c r="EE7" s="44">
        <f>SUM('R&amp;S - Packaging and hh goods'!I6:O6)</f>
        <v>277.98913120134648</v>
      </c>
      <c r="EF7" s="44">
        <f>AH8</f>
        <v>25.978461573423097</v>
      </c>
      <c r="EG7" s="44">
        <f>AH9</f>
        <v>69.542167910008914</v>
      </c>
      <c r="EH7" s="44">
        <f>AH10+AH11</f>
        <v>44.436283553131688</v>
      </c>
      <c r="EI7" s="44">
        <f>EI16</f>
        <v>23.962811056246689</v>
      </c>
      <c r="EJ7" s="44">
        <f t="shared" ref="EJ7:EJ19" si="90">EE7-SUM(EF7:EI7)</f>
        <v>114.0694071085361</v>
      </c>
      <c r="EK7" s="2">
        <f t="shared" ref="EK7:EK19" si="91">EF7/$EE7</f>
        <v>9.345135711297646E-2</v>
      </c>
      <c r="EL7" s="2">
        <f t="shared" ref="EL7:EL19" si="92">EG7/$EE7</f>
        <v>0.2501614635416799</v>
      </c>
      <c r="EM7" s="2">
        <f t="shared" ref="EM7:EM19" si="93">EH7/$EE7</f>
        <v>0.15984899611397632</v>
      </c>
      <c r="EN7" s="2">
        <f t="shared" ref="EN7:EN19" si="94">EI7/$EE7</f>
        <v>8.6200532203147592E-2</v>
      </c>
      <c r="EO7" s="2">
        <f t="shared" ref="EO7:EO19" si="95">EJ7/$EE7</f>
        <v>0.41033765102821973</v>
      </c>
      <c r="EP7" s="660">
        <f t="shared" ref="EP7:EP13" si="96">EF7/EF$13</f>
        <v>0.10553853399507129</v>
      </c>
      <c r="EQ7" s="137"/>
      <c r="ER7" s="137"/>
      <c r="ES7" s="137"/>
    </row>
    <row r="8" spans="1:151" x14ac:dyDescent="0.2">
      <c r="A8" s="1" t="s">
        <v>1162</v>
      </c>
      <c r="B8" t="s">
        <v>73</v>
      </c>
      <c r="C8" s="54" t="s">
        <v>69</v>
      </c>
      <c r="D8" s="44">
        <f>'Yearly Butadiene'!D19+'Yearly BTX'!D28+'Yearly Methanol'!D30+'Yearly HC Ethylene'!D27+'Yearly HC Propylene'!D15</f>
        <v>0</v>
      </c>
      <c r="E8" s="44">
        <f>'Yearly Butadiene'!E19+'Yearly BTX'!E28+'Yearly Methanol'!E30+'Yearly HC Ethylene'!E27+'Yearly HC Propylene'!E15</f>
        <v>0.13488854082518076</v>
      </c>
      <c r="F8" s="44">
        <f>'Yearly Butadiene'!F19+'Yearly BTX'!F28+'Yearly Methanol'!F30+'Yearly HC Ethylene'!F27+'Yearly HC Propylene'!F15</f>
        <v>0.27340018339880978</v>
      </c>
      <c r="G8" s="44">
        <f>'Yearly Butadiene'!G19+'Yearly BTX'!G28+'Yearly Methanol'!G30+'Yearly HC Ethylene'!G27+'Yearly HC Propylene'!G15</f>
        <v>0.41560847569561071</v>
      </c>
      <c r="H8" s="44">
        <f>'Yearly Butadiene'!H19+'Yearly BTX'!H28+'Yearly Methanol'!H30+'Yearly HC Ethylene'!H27+'Yearly HC Propylene'!H15</f>
        <v>0.56158830137727045</v>
      </c>
      <c r="I8" s="44">
        <f>'Yearly Butadiene'!I19+'Yearly BTX'!I28+'Yearly Methanol'!I30+'Yearly HC Ethylene'!I27+'Yearly HC Propylene'!I15</f>
        <v>0.71141590265539922</v>
      </c>
      <c r="J8" s="44">
        <f>'Yearly Butadiene'!J19+'Yearly BTX'!J28+'Yearly Methanol'!J30+'Yearly HC Ethylene'!J27+'Yearly HC Propylene'!J15</f>
        <v>0.86516890353183706</v>
      </c>
      <c r="K8" s="44">
        <f>'Yearly Butadiene'!K19+'Yearly BTX'!K28+'Yearly Methanol'!K30+'Yearly HC Ethylene'!K27+'Yearly HC Propylene'!K15</f>
        <v>1.022926333422383</v>
      </c>
      <c r="L8" s="44">
        <f>'Yearly Butadiene'!L19+'Yearly BTX'!L28+'Yearly Methanol'!L30+'Yearly HC Ethylene'!L27+'Yearly HC Propylene'!L15</f>
        <v>1.1847686511701192</v>
      </c>
      <c r="M8" s="44">
        <f>'Yearly Butadiene'!M19+'Yearly BTX'!M28+'Yearly Methanol'!M30+'Yearly HC Ethylene'!M27+'Yearly HC Propylene'!M15</f>
        <v>1.3507777694546024</v>
      </c>
      <c r="N8" s="44">
        <f>'Yearly Butadiene'!N19+'Yearly BTX'!N28+'Yearly Methanol'!N30+'Yearly HC Ethylene'!N27+'Yearly HC Propylene'!N15</f>
        <v>1.5210370796032902</v>
      </c>
      <c r="O8" s="44">
        <f>'Yearly Butadiene'!O19+'Yearly BTX'!O28+'Yearly Methanol'!O30+'Yearly HC Ethylene'!O27+'Yearly HC Propylene'!O15</f>
        <v>2.47513165594891</v>
      </c>
      <c r="P8" s="44">
        <f>'Yearly Butadiene'!P19+'Yearly BTX'!P28+'Yearly Methanol'!P30+'Yearly HC Ethylene'!P27+'Yearly HC Propylene'!P15</f>
        <v>3.4543063261801557</v>
      </c>
      <c r="Q8" s="44">
        <f>'Yearly Butadiene'!Q19+'Yearly BTX'!Q28+'Yearly Methanol'!Q30+'Yearly HC Ethylene'!Q27+'Yearly HC Propylene'!Q15</f>
        <v>4.4590636392071064</v>
      </c>
      <c r="R8" s="44">
        <f>'Yearly Butadiene'!R19+'Yearly BTX'!R28+'Yearly Methanol'!R30+'Yearly HC Ethylene'!R27+'Yearly HC Propylene'!R15</f>
        <v>5.4899151821156842</v>
      </c>
      <c r="S8" s="44">
        <f>'Yearly Butadiene'!S19+'Yearly BTX'!S28+'Yearly Methanol'!S30+'Yearly HC Ethylene'!S27+'Yearly HC Propylene'!S15</f>
        <v>6.5473817336877698</v>
      </c>
      <c r="T8" s="44">
        <f>'Yearly Butadiene'!T19+'Yearly BTX'!T28+'Yearly Methanol'!T30+'Yearly HC Ethylene'!T27+'Yearly HC Propylene'!T15</f>
        <v>7.6319934204395201</v>
      </c>
      <c r="U8" s="44">
        <f>'Yearly Butadiene'!U19+'Yearly BTX'!U28+'Yearly Methanol'!U30+'Yearly HC Ethylene'!U27+'Yearly HC Propylene'!U15</f>
        <v>8.7442898752182714</v>
      </c>
      <c r="V8" s="44">
        <f>'Yearly Butadiene'!V19+'Yearly BTX'!V28+'Yearly Methanol'!V30+'Yearly HC Ethylene'!V27+'Yearly HC Propylene'!V15</f>
        <v>9.884820398398988</v>
      </c>
      <c r="W8" s="44">
        <f>'Yearly Butadiene'!W19+'Yearly BTX'!W28+'Yearly Methanol'!W30+'Yearly HC Ethylene'!W27+'Yearly HC Propylene'!W15</f>
        <v>11.054144121721908</v>
      </c>
      <c r="X8" s="44">
        <f>'Yearly Butadiene'!X19+'Yearly BTX'!X28+'Yearly Methanol'!X30+'Yearly HC Ethylene'!X27+'Yearly HC Propylene'!X15</f>
        <v>12.25283017481364</v>
      </c>
      <c r="Y8" s="44">
        <f>'Yearly Butadiene'!Y19+'Yearly BTX'!Y28+'Yearly Methanol'!Y30+'Yearly HC Ethylene'!Y27+'Yearly HC Propylene'!Y15</f>
        <v>13.480724293566217</v>
      </c>
      <c r="Z8" s="44">
        <f>'Yearly Butadiene'!Z19+'Yearly BTX'!Z28+'Yearly Methanol'!Z30+'Yearly HC Ethylene'!Z27+'Yearly HC Propylene'!Z15</f>
        <v>14.739118105511551</v>
      </c>
      <c r="AA8" s="44">
        <f>'Yearly Butadiene'!AA19+'Yearly BTX'!AA28+'Yearly Methanol'!AA30+'Yearly HC Ethylene'!AA27+'Yearly HC Propylene'!AA15</f>
        <v>16.028610915603586</v>
      </c>
      <c r="AB8" s="44">
        <f>'Yearly Butadiene'!AB19+'Yearly BTX'!AB28+'Yearly Methanol'!AB30+'Yearly HC Ethylene'!AB27+'Yearly HC Propylene'!AB15</f>
        <v>17.349812702029826</v>
      </c>
      <c r="AC8" s="44">
        <f>'Yearly Butadiene'!AC19+'Yearly BTX'!AC28+'Yearly Methanol'!AC30+'Yearly HC Ethylene'!AC27+'Yearly HC Propylene'!AC15</f>
        <v>18.703344296448417</v>
      </c>
      <c r="AD8" s="44">
        <f>'Yearly Butadiene'!AD19+'Yearly BTX'!AD28+'Yearly Methanol'!AD30+'Yearly HC Ethylene'!AD27+'Yearly HC Propylene'!AD15</f>
        <v>20.089837567170324</v>
      </c>
      <c r="AE8" s="44">
        <f>'Yearly Butadiene'!AE19+'Yearly BTX'!AE28+'Yearly Methanol'!AE30+'Yearly HC Ethylene'!AE27+'Yearly HC Propylene'!AE15</f>
        <v>21.509935605333546</v>
      </c>
      <c r="AF8" s="44">
        <f>'Yearly Butadiene'!AF19+'Yearly BTX'!AF28+'Yearly Methanol'!AF30+'Yearly HC Ethylene'!AF27+'Yearly HC Propylene'!AF15</f>
        <v>22.964292914117326</v>
      </c>
      <c r="AG8" s="44">
        <f>'Yearly Butadiene'!AG19+'Yearly BTX'!AG28+'Yearly Methanol'!AG30+'Yearly HC Ethylene'!AG27+'Yearly HC Propylene'!AG15</f>
        <v>24.453575601044733</v>
      </c>
      <c r="AH8" s="44">
        <f>'Yearly Butadiene'!AH19+'Yearly BTX'!AH28+'Yearly Methanol'!AH30+'Yearly HC Ethylene'!AH27+'Yearly HC Propylene'!AH15</f>
        <v>25.978461573423097</v>
      </c>
      <c r="AI8" s="44"/>
      <c r="AJ8" s="44">
        <f>'Yearly Butadiene'!AJ19+'Yearly BTX'!AJ28+'Yearly Methanol'!AJ30+'Yearly LC Ethylene'!D27+'Yearly LC Propylene'!D15</f>
        <v>0</v>
      </c>
      <c r="AK8" s="44">
        <f>'Yearly Butadiene'!AK19+'Yearly BTX'!AK28+'Yearly Methanol'!AK30+'Yearly LC Ethylene'!E27+'Yearly LC Propylene'!E15</f>
        <v>0.10007524159359739</v>
      </c>
      <c r="AL8" s="44">
        <f>'Yearly Butadiene'!AL19+'Yearly BTX'!AL28+'Yearly Methanol'!AL30+'Yearly LC Ethylene'!F27+'Yearly LC Propylene'!F15</f>
        <v>0.20284033278806593</v>
      </c>
      <c r="AM8" s="44">
        <f>'Yearly Butadiene'!AM19+'Yearly BTX'!AM28+'Yearly Methanol'!AM30+'Yearly LC Ethylene'!G27+'Yearly LC Propylene'!G15</f>
        <v>0.30834990830393544</v>
      </c>
      <c r="AN8" s="44">
        <f>'Yearly Butadiene'!AN19+'Yearly BTX'!AN28+'Yearly Methanol'!AN30+'Yearly LC Ethylene'!H27+'Yearly LC Propylene'!H15</f>
        <v>0.41665959554773646</v>
      </c>
      <c r="AO8" s="44">
        <f>'Yearly Butadiene'!AO19+'Yearly BTX'!AO28+'Yearly Methanol'!AO30+'Yearly LC Ethylene'!I27+'Yearly LC Propylene'!I15</f>
        <v>0.52782603161056763</v>
      </c>
      <c r="AP8" s="44">
        <f>'Yearly Butadiene'!AP19+'Yearly BTX'!AP28+'Yearly Methanol'!AP30+'Yearly LC Ethylene'!J27+'Yearly LC Propylene'!J15</f>
        <v>0.64190688054731038</v>
      </c>
      <c r="AQ8" s="44">
        <f>'Yearly Butadiene'!AQ19+'Yearly BTX'!AQ28+'Yearly Methanol'!AQ30+'Yearly LC Ethylene'!K27+'Yearly LC Propylene'!K15</f>
        <v>0.75896085094101173</v>
      </c>
      <c r="AR8" s="44">
        <f>'Yearly Butadiene'!AR19+'Yearly BTX'!AR28+'Yearly Methanol'!AR30+'Yearly LC Ethylene'!L27+'Yearly LC Propylene'!L15</f>
        <v>0.87904771375702739</v>
      </c>
      <c r="AS8" s="44">
        <f>'Yearly Butadiene'!AS19+'Yearly BTX'!AS28+'Yearly Methanol'!AS30+'Yearly LC Ethylene'!M27+'Yearly LC Propylene'!M15</f>
        <v>1.0022283204915889</v>
      </c>
      <c r="AT8" s="44">
        <f>'Yearly Butadiene'!AT19+'Yearly BTX'!AT28+'Yearly Methanol'!AT30+'Yearly LC Ethylene'!N27+'Yearly LC Propylene'!N15</f>
        <v>1.1285646216195353</v>
      </c>
      <c r="AU8" s="44">
        <f>'Yearly Butadiene'!AU19+'Yearly BTX'!AU28+'Yearly Methanol'!AU30+'Yearly LC Ethylene'!O27+'Yearly LC Propylene'!O15</f>
        <v>1.8353956711416042</v>
      </c>
      <c r="AV8" s="44">
        <f>'Yearly Butadiene'!AV19+'Yearly BTX'!AV28+'Yearly Methanol'!AV30+'Yearly LC Ethylene'!P27+'Yearly LC Propylene'!P15</f>
        <v>2.5608211989819587</v>
      </c>
      <c r="AW8" s="44">
        <f>'Yearly Butadiene'!AW19+'Yearly BTX'!AW28+'Yearly Methanol'!AW30+'Yearly LC Ethylene'!Q27+'Yearly LC Propylene'!Q15</f>
        <v>3.3052140471171172</v>
      </c>
      <c r="AX8" s="44">
        <f>'Yearly Butadiene'!AX19+'Yearly BTX'!AX28+'Yearly Methanol'!AX30+'Yearly LC Ethylene'!R27+'Yearly LC Propylene'!R15</f>
        <v>4.0689537668101243</v>
      </c>
      <c r="AY8" s="44">
        <f>'Yearly Butadiene'!AY19+'Yearly BTX'!AY28+'Yearly Methanol'!AY30+'Yearly LC Ethylene'!S27+'Yearly LC Propylene'!S15</f>
        <v>4.8524267326276265</v>
      </c>
      <c r="AZ8" s="44">
        <f>'Yearly Butadiene'!AZ19+'Yearly BTX'!AZ28+'Yearly Methanol'!AZ30+'Yearly LC Ethylene'!T27+'Yearly LC Propylene'!T15</f>
        <v>5.6560262583279197</v>
      </c>
      <c r="BA8" s="44">
        <f>'Yearly Butadiene'!BA19+'Yearly BTX'!BA28+'Yearly Methanol'!BA30+'Yearly LC Ethylene'!U27+'Yearly LC Propylene'!U15</f>
        <v>6.4801527146499822</v>
      </c>
      <c r="BB8" s="44">
        <f>'Yearly Butadiene'!BB19+'Yearly BTX'!BB28+'Yearly Methanol'!BB30+'Yearly LC Ethylene'!V27+'Yearly LC Propylene'!V15</f>
        <v>7.3252136490339481</v>
      </c>
      <c r="BC8" s="44">
        <f>'Yearly Butadiene'!BC19+'Yearly BTX'!BC28+'Yearly Methanol'!BC30+'Yearly LC Ethylene'!W27+'Yearly LC Propylene'!W15</f>
        <v>8.1916239073039598</v>
      </c>
      <c r="BD8" s="44">
        <f>'Yearly Butadiene'!BD19+'Yearly BTX'!BD28+'Yearly Methanol'!BD30+'Yearly LC Ethylene'!X27+'Yearly LC Propylene'!X15</f>
        <v>9.079805757344829</v>
      </c>
      <c r="BE8" s="44">
        <f>'Yearly Butadiene'!BE19+'Yearly BTX'!BE28+'Yearly Methanol'!BE30+'Yearly LC Ethylene'!Y27+'Yearly LC Propylene'!Y15</f>
        <v>9.9895506426397827</v>
      </c>
      <c r="BF8" s="44">
        <f>'Yearly Butadiene'!BF19+'Yearly BTX'!BF28+'Yearly Methanol'!BF30+'Yearly LC Ethylene'!Z27+'Yearly LC Propylene'!Z15</f>
        <v>10.921908500537047</v>
      </c>
      <c r="BG8" s="44">
        <f>'Yearly Butadiene'!BG19+'Yearly BTX'!BG28+'Yearly Methanol'!BG30+'Yearly LC Ethylene'!AA27+'Yearly LC Propylene'!AA15</f>
        <v>11.877323950286915</v>
      </c>
      <c r="BH8" s="44">
        <f>'Yearly Butadiene'!BH19+'Yearly BTX'!BH28+'Yearly Methanol'!BH30+'Yearly LC Ethylene'!AB27+'Yearly LC Propylene'!AB15</f>
        <v>12.856249533899938</v>
      </c>
      <c r="BI8" s="44">
        <f>'Yearly Butadiene'!BI19+'Yearly BTX'!BI28+'Yearly Methanol'!BI30+'Yearly LC Ethylene'!AC27+'Yearly LC Propylene'!AC15</f>
        <v>13.859145849999569</v>
      </c>
      <c r="BJ8" s="44">
        <f>'Yearly Butadiene'!BJ19+'Yearly BTX'!BJ28+'Yearly Methanol'!BJ30+'Yearly LC Ethylene'!AD27+'Yearly LC Propylene'!AD15</f>
        <v>14.886481689862837</v>
      </c>
      <c r="BK8" s="44">
        <f>'Yearly Butadiene'!BK19+'Yearly BTX'!BK28+'Yearly Methanol'!BK30+'Yearly LC Ethylene'!AE27+'Yearly LC Propylene'!AE15</f>
        <v>15.938734175683891</v>
      </c>
      <c r="BL8" s="44">
        <f>'Yearly Butadiene'!BL19+'Yearly BTX'!BL28+'Yearly Methanol'!BL30+'Yearly LC Ethylene'!AF27+'Yearly LC Propylene'!AF15</f>
        <v>17.016388901096121</v>
      </c>
      <c r="BM8" s="44">
        <f>'Yearly Butadiene'!BM19+'Yearly BTX'!BM28+'Yearly Methanol'!BM30+'Yearly LC Ethylene'!AG27+'Yearly LC Propylene'!AG15</f>
        <v>18.119940073988751</v>
      </c>
      <c r="BN8" s="44">
        <f>'Yearly Butadiene'!BN19+'Yearly BTX'!BN28+'Yearly Methanol'!BN30+'Yearly LC Ethylene'!AH27+'Yearly LC Propylene'!AH15</f>
        <v>19.249890661654703</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V8">
        <v>0</v>
      </c>
      <c r="CW8">
        <v>0</v>
      </c>
      <c r="CX8">
        <v>0</v>
      </c>
      <c r="CY8">
        <v>0</v>
      </c>
      <c r="CZ8">
        <v>0</v>
      </c>
      <c r="DA8">
        <v>0</v>
      </c>
      <c r="DB8">
        <v>0</v>
      </c>
      <c r="DC8">
        <v>0</v>
      </c>
      <c r="DD8">
        <v>0</v>
      </c>
      <c r="DE8">
        <v>0</v>
      </c>
      <c r="DF8">
        <v>0</v>
      </c>
      <c r="DG8">
        <v>0</v>
      </c>
      <c r="DH8">
        <v>0</v>
      </c>
      <c r="DI8">
        <v>0</v>
      </c>
      <c r="DJ8">
        <v>0</v>
      </c>
      <c r="DK8">
        <v>0</v>
      </c>
      <c r="DL8">
        <v>0</v>
      </c>
      <c r="DM8">
        <v>0</v>
      </c>
      <c r="DN8">
        <v>0</v>
      </c>
      <c r="DO8">
        <v>0</v>
      </c>
      <c r="DP8">
        <v>0</v>
      </c>
      <c r="DQ8">
        <v>0</v>
      </c>
      <c r="DR8">
        <v>0</v>
      </c>
      <c r="DS8">
        <v>0</v>
      </c>
      <c r="DT8">
        <v>0</v>
      </c>
      <c r="DU8">
        <v>0</v>
      </c>
      <c r="DV8">
        <v>0</v>
      </c>
      <c r="DW8">
        <v>0</v>
      </c>
      <c r="DX8">
        <v>0</v>
      </c>
      <c r="DY8">
        <v>0</v>
      </c>
      <c r="DZ8">
        <v>0</v>
      </c>
      <c r="EB8" t="s">
        <v>1889</v>
      </c>
      <c r="EC8">
        <f>SUM('R&amp;S - Buildings'!I4:O4)</f>
        <v>68.497698971786861</v>
      </c>
      <c r="ED8" s="2">
        <f t="shared" si="88"/>
        <v>0.10283390076792637</v>
      </c>
      <c r="EE8" s="44">
        <f>SUM('R&amp;S - Buildings'!I6:O6)</f>
        <v>109.15985274663207</v>
      </c>
      <c r="EF8" s="44">
        <f>AH14</f>
        <v>58.845443655592717</v>
      </c>
      <c r="EG8">
        <f>0</f>
        <v>0</v>
      </c>
      <c r="EH8" s="44">
        <f>AH15</f>
        <v>15.81786321709831</v>
      </c>
      <c r="EI8" s="44">
        <f t="shared" ref="EI8:EI10" si="97">EI17</f>
        <v>31.002061030457849</v>
      </c>
      <c r="EJ8" s="44">
        <f t="shared" si="90"/>
        <v>3.4944848434831925</v>
      </c>
      <c r="EK8" s="2">
        <f t="shared" si="91"/>
        <v>0.53907587977584814</v>
      </c>
      <c r="EL8" s="2">
        <f t="shared" si="92"/>
        <v>0</v>
      </c>
      <c r="EM8" s="2">
        <f t="shared" si="93"/>
        <v>0.14490550160243176</v>
      </c>
      <c r="EN8" s="2">
        <f t="shared" si="94"/>
        <v>0.28400607229121022</v>
      </c>
      <c r="EO8" s="2">
        <f t="shared" si="95"/>
        <v>3.2012546330509851E-2</v>
      </c>
      <c r="EP8" s="660">
        <f t="shared" si="96"/>
        <v>0.23906195669624836</v>
      </c>
      <c r="EQ8" s="143"/>
      <c r="ER8" s="137"/>
      <c r="ES8" s="137"/>
    </row>
    <row r="9" spans="1:151" x14ac:dyDescent="0.2">
      <c r="A9" s="1" t="s">
        <v>1887</v>
      </c>
      <c r="B9" t="s">
        <v>74</v>
      </c>
      <c r="C9" s="54" t="s">
        <v>69</v>
      </c>
      <c r="D9" s="44">
        <f>'Yearly Butadiene'!D20+'Yearly BTX'!D29+'Yearly Methanol'!D31+'Yearly HC Ethylene'!D28+'Yearly HC Propylene'!D16</f>
        <v>0</v>
      </c>
      <c r="E9" s="44">
        <f>'Yearly Butadiene'!E20+'Yearly BTX'!E29+'Yearly Methanol'!E31+'Yearly HC Ethylene'!E28+'Yearly HC Propylene'!E16</f>
        <v>0.96556305664096576</v>
      </c>
      <c r="F9" s="44">
        <f>'Yearly Butadiene'!F20+'Yearly BTX'!F29+'Yearly Methanol'!F31+'Yearly HC Ethylene'!F28+'Yearly HC Propylene'!F16</f>
        <v>1.9563881157157881</v>
      </c>
      <c r="G9" s="44">
        <f>'Yearly Butadiene'!G20+'Yearly BTX'!G29+'Yearly Methanol'!G31+'Yearly HC Ethylene'!G28+'Yearly HC Propylene'!G16</f>
        <v>2.9729764131396261</v>
      </c>
      <c r="H9" s="44">
        <f>'Yearly Butadiene'!H20+'Yearly BTX'!H29+'Yearly Methanol'!H31+'Yearly HC Ethylene'!H28+'Yearly HC Propylene'!H16</f>
        <v>4.0158381120129434</v>
      </c>
      <c r="I9" s="44">
        <f>'Yearly Butadiene'!I20+'Yearly BTX'!I29+'Yearly Methanol'!I31+'Yearly HC Ethylene'!I28+'Yearly HC Propylene'!I16</f>
        <v>5.085492452945827</v>
      </c>
      <c r="J9" s="44">
        <f>'Yearly Butadiene'!J20+'Yearly BTX'!J29+'Yearly Methanol'!J31+'Yearly HC Ethylene'!J28+'Yearly HC Propylene'!J16</f>
        <v>6.1824679068298494</v>
      </c>
      <c r="K9" s="44">
        <f>'Yearly Butadiene'!K20+'Yearly BTX'!K29+'Yearly Methanol'!K31+'Yearly HC Ethylene'!K28+'Yearly HC Propylene'!K16</f>
        <v>7.3073023300964772</v>
      </c>
      <c r="L9" s="44">
        <f>'Yearly Butadiene'!L20+'Yearly BTX'!L29+'Yearly Methanol'!L31+'Yearly HC Ethylene'!L28+'Yearly HC Propylene'!L16</f>
        <v>8.4605431225015924</v>
      </c>
      <c r="M9" s="44">
        <f>'Yearly Butadiene'!M20+'Yearly BTX'!M29+'Yearly Methanol'!M31+'Yearly HC Ethylene'!M28+'Yearly HC Propylene'!M16</f>
        <v>9.6427473874763461</v>
      </c>
      <c r="N9" s="44">
        <f>'Yearly Butadiene'!N20+'Yearly BTX'!N29+'Yearly Methanol'!N31+'Yearly HC Ethylene'!N28+'Yearly HC Propylene'!N16</f>
        <v>10.854482095085178</v>
      </c>
      <c r="O9" s="44">
        <f>'Yearly Butadiene'!O20+'Yearly BTX'!O29+'Yearly Methanol'!O31+'Yearly HC Ethylene'!O28+'Yearly HC Propylene'!O16</f>
        <v>13.1093278793627</v>
      </c>
      <c r="P9" s="44">
        <f>'Yearly Butadiene'!P20+'Yearly BTX'!P29+'Yearly Methanol'!P31+'Yearly HC Ethylene'!P28+'Yearly HC Propylene'!P16</f>
        <v>15.421198775166294</v>
      </c>
      <c r="Q9" s="44">
        <f>'Yearly Butadiene'!Q20+'Yearly BTX'!Q29+'Yearly Methanol'!Q31+'Yearly HC Ethylene'!Q28+'Yearly HC Propylene'!Q16</f>
        <v>17.791211742665492</v>
      </c>
      <c r="R9" s="44">
        <f>'Yearly Butadiene'!R20+'Yearly BTX'!R29+'Yearly Methanol'!R31+'Yearly HC Ethylene'!R28+'Yearly HC Propylene'!R16</f>
        <v>20.220503490502022</v>
      </c>
      <c r="S9" s="44">
        <f>'Yearly Butadiene'!S20+'Yearly BTX'!S29+'Yearly Methanol'!S31+'Yearly HC Ethylene'!S28+'Yearly HC Propylene'!S16</f>
        <v>22.710230806707095</v>
      </c>
      <c r="T9" s="44">
        <f>'Yearly Butadiene'!T20+'Yearly BTX'!T29+'Yearly Methanol'!T31+'Yearly HC Ethylene'!T28+'Yearly HC Propylene'!T16</f>
        <v>25.261570894987415</v>
      </c>
      <c r="U9" s="44">
        <f>'Yearly Butadiene'!U20+'Yearly BTX'!U29+'Yearly Methanol'!U31+'Yearly HC Ethylene'!U28+'Yearly HC Propylene'!U16</f>
        <v>27.875721716465147</v>
      </c>
      <c r="V9" s="44">
        <f>'Yearly Butadiene'!V20+'Yearly BTX'!V29+'Yearly Methanol'!V31+'Yearly HC Ethylene'!V28+'Yearly HC Propylene'!V16</f>
        <v>30.553902336958551</v>
      </c>
      <c r="W9" s="44">
        <f>'Yearly Butadiene'!W20+'Yearly BTX'!W29+'Yearly Methanol'!W31+'Yearly HC Ethylene'!W28+'Yearly HC Propylene'!W16</f>
        <v>33.297353279891084</v>
      </c>
      <c r="X9" s="44">
        <f>'Yearly Butadiene'!X20+'Yearly BTX'!X29+'Yearly Methanol'!X31+'Yearly HC Ethylene'!X28+'Yearly HC Propylene'!X16</f>
        <v>36.107336884918389</v>
      </c>
      <c r="Y9" s="44">
        <f>'Yearly Butadiene'!Y20+'Yearly BTX'!Y29+'Yearly Methanol'!Y31+'Yearly HC Ethylene'!Y28+'Yearly HC Propylene'!Y16</f>
        <v>39.108443942001443</v>
      </c>
      <c r="Z9" s="44">
        <f>'Yearly Butadiene'!Z20+'Yearly BTX'!Z29+'Yearly Methanol'!Z31+'Yearly HC Ethylene'!Z28+'Yearly HC Propylene'!Z16</f>
        <v>42.181810305848323</v>
      </c>
      <c r="AA9" s="44">
        <f>'Yearly Butadiene'!AA20+'Yearly BTX'!AA29+'Yearly Methanol'!AA31+'Yearly HC Ethylene'!AA28+'Yearly HC Propylene'!AA16</f>
        <v>45.32882657223989</v>
      </c>
      <c r="AB9" s="44">
        <f>'Yearly Butadiene'!AB20+'Yearly BTX'!AB29+'Yearly Methanol'!AB31+'Yearly HC Ethylene'!AB28+'Yearly HC Propylene'!AB16</f>
        <v>48.550907701021785</v>
      </c>
      <c r="AC9" s="44">
        <f>'Yearly Butadiene'!AC20+'Yearly BTX'!AC29+'Yearly Methanol'!AC31+'Yearly HC Ethylene'!AC28+'Yearly HC Propylene'!AC16</f>
        <v>51.849493422104352</v>
      </c>
      <c r="AD9" s="44">
        <f>'Yearly Butadiene'!AD20+'Yearly BTX'!AD29+'Yearly Methanol'!AD31+'Yearly HC Ethylene'!AD28+'Yearly HC Propylene'!AD16</f>
        <v>55.22604864802468</v>
      </c>
      <c r="AE9" s="44">
        <f>'Yearly Butadiene'!AE20+'Yearly BTX'!AE29+'Yearly Methanol'!AE31+'Yearly HC Ethylene'!AE28+'Yearly HC Propylene'!AE16</f>
        <v>58.682063893174785</v>
      </c>
      <c r="AF9" s="44">
        <f>'Yearly Butadiene'!AF20+'Yearly BTX'!AF29+'Yearly Methanol'!AF31+'Yearly HC Ethylene'!AF28+'Yearly HC Propylene'!AF16</f>
        <v>62.219055699801658</v>
      </c>
      <c r="AG9" s="44">
        <f>'Yearly Butadiene'!AG20+'Yearly BTX'!AG29+'Yearly Methanol'!AG31+'Yearly HC Ethylene'!AG28+'Yearly HC Propylene'!AG16</f>
        <v>65.838567070886</v>
      </c>
      <c r="AH9" s="44">
        <f>'Yearly Butadiene'!AH20+'Yearly BTX'!AH29+'Yearly Methanol'!AH31+'Yearly HC Ethylene'!AH28+'Yearly HC Propylene'!AH16</f>
        <v>69.542167910008914</v>
      </c>
      <c r="AI9" s="44"/>
      <c r="AJ9" s="44">
        <f>'Yearly Butadiene'!AJ20+'Yearly BTX'!AJ29+'Yearly Methanol'!AJ31+'Yearly LC Ethylene'!D28+'Yearly LC Propylene'!D16</f>
        <v>0</v>
      </c>
      <c r="AK9" s="44">
        <f>'Yearly Butadiene'!AK20+'Yearly BTX'!AK29+'Yearly Methanol'!AK31+'Yearly LC Ethylene'!E28+'Yearly LC Propylene'!E16</f>
        <v>0.715676480205657</v>
      </c>
      <c r="AL9" s="44">
        <f>'Yearly Butadiene'!AL20+'Yearly BTX'!AL29+'Yearly Methanol'!AL31+'Yearly LC Ethylene'!F28+'Yearly LC Propylene'!F16</f>
        <v>1.4500970566931533</v>
      </c>
      <c r="AM9" s="44">
        <f>'Yearly Butadiene'!AM20+'Yearly BTX'!AM29+'Yearly Methanol'!AM31+'Yearly LC Ethylene'!G28+'Yearly LC Propylene'!G16</f>
        <v>2.2036339912466842</v>
      </c>
      <c r="AN9" s="44">
        <f>'Yearly Butadiene'!AN20+'Yearly BTX'!AN29+'Yearly Methanol'!AN31+'Yearly LC Ethylene'!H28+'Yearly LC Propylene'!H16</f>
        <v>2.976666181208413</v>
      </c>
      <c r="AO9" s="44">
        <f>'Yearly Butadiene'!AO20+'Yearly BTX'!AO29+'Yearly Methanol'!AO31+'Yearly LC Ethylene'!I28+'Yearly LC Propylene'!I16</f>
        <v>3.7695792712927023</v>
      </c>
      <c r="AP9" s="44">
        <f>'Yearly Butadiene'!AP20+'Yearly BTX'!AP29+'Yearly Methanol'!AP31+'Yearly LC Ethylene'!J28+'Yearly LC Propylene'!J16</f>
        <v>4.5827657672219688</v>
      </c>
      <c r="AQ9" s="44">
        <f>'Yearly Butadiene'!AQ20+'Yearly BTX'!AQ29+'Yearly Methanol'!AQ31+'Yearly LC Ethylene'!K28+'Yearly LC Propylene'!K16</f>
        <v>5.4166251512131787</v>
      </c>
      <c r="AR9" s="44">
        <f>'Yearly Butadiene'!AR20+'Yearly BTX'!AR29+'Yearly Methanol'!AR31+'Yearly LC Ethylene'!L28+'Yearly LC Propylene'!L16</f>
        <v>6.2715639993444601</v>
      </c>
      <c r="AS9" s="44">
        <f>'Yearly Butadiene'!AS20+'Yearly BTX'!AS29+'Yearly Methanol'!AS31+'Yearly LC Ethylene'!M28+'Yearly LC Propylene'!M16</f>
        <v>7.1479961008317776</v>
      </c>
      <c r="AT9" s="44">
        <f>'Yearly Butadiene'!AT20+'Yearly BTX'!AT29+'Yearly Methanol'!AT31+'Yearly LC Ethylene'!N28+'Yearly LC Propylene'!N16</f>
        <v>8.0463425792460708</v>
      </c>
      <c r="AU9" s="44">
        <f>'Yearly Butadiene'!AU20+'Yearly BTX'!AU29+'Yearly Methanol'!AU31+'Yearly LC Ethylene'!O28+'Yearly LC Propylene'!O16</f>
        <v>9.7159748107504971</v>
      </c>
      <c r="AV9" s="44">
        <f>'Yearly Butadiene'!AV20+'Yearly BTX'!AV29+'Yearly Methanol'!AV31+'Yearly LC Ethylene'!P28+'Yearly LC Propylene'!P16</f>
        <v>11.4278720088295</v>
      </c>
      <c r="AW9" s="44">
        <f>'Yearly Butadiene'!AW20+'Yearly BTX'!AW29+'Yearly Methanol'!AW31+'Yearly LC Ethylene'!Q28+'Yearly LC Propylene'!Q16</f>
        <v>13.182862755671653</v>
      </c>
      <c r="AX9" s="44">
        <f>'Yearly Butadiene'!AX20+'Yearly BTX'!AX29+'Yearly Methanol'!AX31+'Yearly LC Ethylene'!R28+'Yearly LC Propylene'!R16</f>
        <v>14.981790294706078</v>
      </c>
      <c r="AY9" s="44">
        <f>'Yearly Butadiene'!AY20+'Yearly BTX'!AY29+'Yearly Methanol'!AY31+'Yearly LC Ethylene'!S28+'Yearly LC Propylene'!S16</f>
        <v>16.825512776440569</v>
      </c>
      <c r="AZ9" s="44">
        <f>'Yearly Butadiene'!AZ20+'Yearly BTX'!AZ29+'Yearly Methanol'!AZ31+'Yearly LC Ethylene'!T28+'Yearly LC Propylene'!T16</f>
        <v>18.71490350829044</v>
      </c>
      <c r="BA9" s="44">
        <f>'Yearly Butadiene'!BA20+'Yearly BTX'!BA29+'Yearly Methanol'!BA31+'Yearly LC Ethylene'!U28+'Yearly LC Propylene'!U16</f>
        <v>20.650851208461482</v>
      </c>
      <c r="BB9" s="44">
        <f>'Yearly Butadiene'!BB20+'Yearly BTX'!BB29+'Yearly Methanol'!BB31+'Yearly LC Ethylene'!V28+'Yearly LC Propylene'!V16</f>
        <v>22.63426026395139</v>
      </c>
      <c r="BC9" s="44">
        <f>'Yearly Butadiene'!BC20+'Yearly BTX'!BC29+'Yearly Methanol'!BC31+'Yearly LC Ethylene'!W28+'Yearly LC Propylene'!W16</f>
        <v>24.66605099273518</v>
      </c>
      <c r="BD9" s="44">
        <f>'Yearly Butadiene'!BD20+'Yearly BTX'!BD29+'Yearly Methanol'!BD31+'Yearly LC Ethylene'!X28+'Yearly LC Propylene'!X16</f>
        <v>26.747159910200867</v>
      </c>
      <c r="BE9" s="44">
        <f>'Yearly Butadiene'!BE20+'Yearly BTX'!BE29+'Yearly Methanol'!BE31+'Yearly LC Ethylene'!Y28+'Yearly LC Propylene'!Y16</f>
        <v>28.969244336804163</v>
      </c>
      <c r="BF9" s="44">
        <f>'Yearly Butadiene'!BF20+'Yearly BTX'!BF29+'Yearly Methanol'!BF31+'Yearly LC Ethylene'!Z28+'Yearly LC Propylene'!Z16</f>
        <v>31.244877592747272</v>
      </c>
      <c r="BG9" s="44">
        <f>'Yearly Butadiene'!BG20+'Yearly BTX'!BG29+'Yearly Methanol'!BG31+'Yearly LC Ethylene'!AA28+'Yearly LC Propylene'!AA16</f>
        <v>33.575091069867902</v>
      </c>
      <c r="BH9" s="44">
        <f>'Yearly Butadiene'!BH20+'Yearly BTX'!BH29+'Yearly Methanol'!BH31+'Yearly LC Ethylene'!AB28+'Yearly LC Propylene'!AB16</f>
        <v>35.96093424425689</v>
      </c>
      <c r="BI9" s="44">
        <f>'Yearly Butadiene'!BI20+'Yearly BTX'!BI29+'Yearly Methanol'!BI31+'Yearly LC Ethylene'!AC28+'Yearly LC Propylene'!AC16</f>
        <v>38.403474977809424</v>
      </c>
      <c r="BJ9" s="44">
        <f>'Yearly Butadiene'!BJ20+'Yearly BTX'!BJ29+'Yearly Methanol'!BJ31+'Yearly LC Ethylene'!AD28+'Yearly LC Propylene'!AD16</f>
        <v>40.9037998246529</v>
      </c>
      <c r="BK9" s="44">
        <f>'Yearly Butadiene'!BK20+'Yearly BTX'!BK29+'Yearly Methanol'!BK31+'Yearly LC Ethylene'!AE28+'Yearly LC Propylene'!AE16</f>
        <v>43.463014342528759</v>
      </c>
      <c r="BL9" s="44">
        <f>'Yearly Butadiene'!BL20+'Yearly BTX'!BL29+'Yearly Methanol'!BL31+'Yearly LC Ethylene'!AF28+'Yearly LC Propylene'!AF16</f>
        <v>46.082243409206839</v>
      </c>
      <c r="BM9" s="44">
        <f>'Yearly Butadiene'!BM20+'Yearly BTX'!BM29+'Yearly Methanol'!BM31+'Yearly LC Ethylene'!AG28+'Yearly LC Propylene'!AG16</f>
        <v>48.762631544011846</v>
      </c>
      <c r="BN9" s="44">
        <f>'Yearly Butadiene'!BN20+'Yearly BTX'!BN29+'Yearly Methanol'!BN31+'Yearly LC Ethylene'!AH28+'Yearly LC Propylene'!AH16</f>
        <v>51.505343234542984</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B9" t="s">
        <v>1462</v>
      </c>
      <c r="EC9">
        <f>SUM('R&amp;S - Transportation'!C4:K4)</f>
        <v>106.90046790338437</v>
      </c>
      <c r="ED9" s="2">
        <f t="shared" si="88"/>
        <v>0.16048702764379527</v>
      </c>
      <c r="EE9" s="44">
        <f>SUM('R&amp;S - Transportation'!C7:J7)</f>
        <v>135.62387247256368</v>
      </c>
      <c r="EF9" s="44">
        <f>AH13</f>
        <v>13.627368341839691</v>
      </c>
      <c r="EG9" s="44">
        <f>AH12</f>
        <v>26.601183777184168</v>
      </c>
      <c r="EH9">
        <f>0</f>
        <v>0</v>
      </c>
      <c r="EI9" s="44">
        <f t="shared" si="97"/>
        <v>10.117576786097512</v>
      </c>
      <c r="EJ9" s="44">
        <f t="shared" si="90"/>
        <v>85.2777435674423</v>
      </c>
      <c r="EK9" s="2">
        <f t="shared" si="91"/>
        <v>0.10047912726129</v>
      </c>
      <c r="EL9" s="2">
        <f t="shared" si="92"/>
        <v>0.19613939118694249</v>
      </c>
      <c r="EM9" s="2">
        <f t="shared" si="93"/>
        <v>0</v>
      </c>
      <c r="EN9" s="2">
        <f t="shared" si="94"/>
        <v>7.4600264700038471E-2</v>
      </c>
      <c r="EO9" s="2">
        <f t="shared" si="95"/>
        <v>0.62878121685172905</v>
      </c>
      <c r="EP9" s="660">
        <f t="shared" si="96"/>
        <v>5.5361726210914265E-2</v>
      </c>
      <c r="EQ9" s="137"/>
      <c r="ER9" s="143"/>
      <c r="ES9" s="137"/>
    </row>
    <row r="10" spans="1:151" x14ac:dyDescent="0.2">
      <c r="A10" s="1" t="s">
        <v>1163</v>
      </c>
      <c r="B10" t="s">
        <v>75</v>
      </c>
      <c r="C10" s="54" t="s">
        <v>69</v>
      </c>
      <c r="D10" s="44">
        <f>'Yearly Butadiene'!D22+'Yearly BTX'!D31+'Yearly Methanol'!D33+'Yearly HC Ethylene'!D30+'Yearly HC Propylene'!D18</f>
        <v>0</v>
      </c>
      <c r="E10" s="44">
        <f>'Yearly Butadiene'!E22+'Yearly BTX'!E31+'Yearly Methanol'!E33+'Yearly HC Ethylene'!E30+'Yearly HC Propylene'!E18</f>
        <v>0.36852277614167028</v>
      </c>
      <c r="F10" s="44">
        <f>'Yearly Butadiene'!F22+'Yearly BTX'!F31+'Yearly Methanol'!F33+'Yearly HC Ethylene'!F30+'Yearly HC Propylene'!F18</f>
        <v>0.74682926312361919</v>
      </c>
      <c r="G10" s="44">
        <f>'Yearly Butadiene'!G22+'Yearly BTX'!G31+'Yearly Methanol'!G33+'Yearly HC Ethylene'!G30+'Yearly HC Propylene'!G18</f>
        <v>1.1351160930021476</v>
      </c>
      <c r="H10" s="44">
        <f>'Yearly Butadiene'!H22+'Yearly BTX'!H31+'Yearly Methanol'!H33+'Yearly HC Ethylene'!H30+'Yearly HC Propylene'!H18</f>
        <v>1.5335834388605418</v>
      </c>
      <c r="I10" s="44">
        <f>'Yearly Butadiene'!I22+'Yearly BTX'!I31+'Yearly Methanol'!I33+'Yearly HC Ethylene'!I30+'Yearly HC Propylene'!I18</f>
        <v>1.9424350749974166</v>
      </c>
      <c r="J10" s="44">
        <f>'Yearly Butadiene'!J22+'Yearly BTX'!J31+'Yearly Methanol'!J33+'Yearly HC Ethylene'!J30+'Yearly HC Propylene'!J18</f>
        <v>2.3618784381027327</v>
      </c>
      <c r="K10" s="44">
        <f>'Yearly Butadiene'!K22+'Yearly BTX'!K31+'Yearly Methanol'!K33+'Yearly HC Ethylene'!K30+'Yearly HC Propylene'!K18</f>
        <v>2.7921246894373222</v>
      </c>
      <c r="L10" s="44">
        <f>'Yearly Butadiene'!L22+'Yearly BTX'!L31+'Yearly Methanol'!L33+'Yearly HC Ethylene'!L30+'Yearly HC Propylene'!L18</f>
        <v>3.2333887780319968</v>
      </c>
      <c r="M10" s="44">
        <f>'Yearly Butadiene'!M22+'Yearly BTX'!M31+'Yearly Methanol'!M33+'Yearly HC Ethylene'!M30+'Yearly HC Propylene'!M18</f>
        <v>3.6858895049225815</v>
      </c>
      <c r="N10" s="44">
        <f>'Yearly Butadiene'!N22+'Yearly BTX'!N31+'Yearly Methanol'!N33+'Yearly HC Ethylene'!N30+'Yearly HC Propylene'!N18</f>
        <v>4.1498495884374522</v>
      </c>
      <c r="O10" s="44">
        <f>'Yearly Butadiene'!O22+'Yearly BTX'!O31+'Yearly Methanol'!O33+'Yearly HC Ethylene'!O30+'Yearly HC Propylene'!O18</f>
        <v>4.6994494395437361</v>
      </c>
      <c r="P10" s="44">
        <f>'Yearly Butadiene'!P22+'Yearly BTX'!P31+'Yearly Methanol'!P33+'Yearly HC Ethylene'!P30+'Yearly HC Propylene'!P18</f>
        <v>5.2626008216552167</v>
      </c>
      <c r="Q10" s="44">
        <f>'Yearly Butadiene'!Q22+'Yearly BTX'!Q31+'Yearly Methanol'!Q33+'Yearly HC Ethylene'!Q30+'Yearly HC Propylene'!Q18</f>
        <v>5.8395657428440675</v>
      </c>
      <c r="R10" s="44">
        <f>'Yearly Butadiene'!R22+'Yearly BTX'!R31+'Yearly Methanol'!R33+'Yearly HC Ethylene'!R30+'Yearly HC Propylene'!R18</f>
        <v>6.4306108015098351</v>
      </c>
      <c r="S10" s="44">
        <f>'Yearly Butadiene'!S22+'Yearly BTX'!S31+'Yearly Methanol'!S33+'Yearly HC Ethylene'!S30+'Yearly HC Propylene'!S18</f>
        <v>7.0360072627547581</v>
      </c>
      <c r="T10" s="44">
        <f>'Yearly Butadiene'!T22+'Yearly BTX'!T31+'Yearly Methanol'!T33+'Yearly HC Ethylene'!T30+'Yearly HC Propylene'!T18</f>
        <v>7.6560311359911735</v>
      </c>
      <c r="U10" s="44">
        <f>'Yearly Butadiene'!U22+'Yearly BTX'!U31+'Yearly Methanol'!U33+'Yearly HC Ethylene'!U30+'Yearly HC Propylene'!U18</f>
        <v>8.2909632538004541</v>
      </c>
      <c r="V10" s="44">
        <f>'Yearly Butadiene'!V22+'Yearly BTX'!V31+'Yearly Methanol'!V33+'Yearly HC Ethylene'!V30+'Yearly HC Propylene'!V18</f>
        <v>8.9410893520632673</v>
      </c>
      <c r="W10" s="44">
        <f>'Yearly Butadiene'!W22+'Yearly BTX'!W31+'Yearly Methanol'!W33+'Yearly HC Ethylene'!W30+'Yearly HC Propylene'!W18</f>
        <v>9.6067001513812578</v>
      </c>
      <c r="X10" s="44">
        <f>'Yearly Butadiene'!X22+'Yearly BTX'!X31+'Yearly Methanol'!X33+'Yearly HC Ethylene'!X30+'Yearly HC Propylene'!X18</f>
        <v>10.288091439810525</v>
      </c>
      <c r="Y10" s="44">
        <f>'Yearly Butadiene'!Y22+'Yearly BTX'!Y31+'Yearly Methanol'!Y33+'Yearly HC Ethylene'!Y30+'Yearly HC Propylene'!Y18</f>
        <v>12.041076273242123</v>
      </c>
      <c r="Z10" s="44">
        <f>'Yearly Butadiene'!Z22+'Yearly BTX'!Z31+'Yearly Methanol'!Z33+'Yearly HC Ethylene'!Z30+'Yearly HC Propylene'!Z18</f>
        <v>12.762969702133534</v>
      </c>
      <c r="AA10" s="44">
        <f>'Yearly Butadiene'!AA22+'Yearly BTX'!AA31+'Yearly Methanol'!AA33+'Yearly HC Ethylene'!AA30+'Yearly HC Propylene'!AA18</f>
        <v>13.501756242194656</v>
      </c>
      <c r="AB10" s="44">
        <f>'Yearly Butadiene'!AB22+'Yearly BTX'!AB31+'Yearly Methanol'!AB33+'Yearly HC Ethylene'!AB30+'Yearly HC Propylene'!AB18</f>
        <v>14.257758334531129</v>
      </c>
      <c r="AC10" s="44">
        <f>'Yearly Butadiene'!AC22+'Yearly BTX'!AC31+'Yearly Methanol'!AC33+'Yearly HC Ethylene'!AC30+'Yearly HC Propylene'!AC18</f>
        <v>15.031304054045846</v>
      </c>
      <c r="AD10" s="44">
        <f>'Yearly Butadiene'!AD22+'Yearly BTX'!AD31+'Yearly Methanol'!AD33+'Yearly HC Ethylene'!AD30+'Yearly HC Propylene'!AD18</f>
        <v>15.822727203247805</v>
      </c>
      <c r="AE10" s="44">
        <f>'Yearly Butadiene'!AE22+'Yearly BTX'!AE31+'Yearly Methanol'!AE33+'Yearly HC Ethylene'!AE30+'Yearly HC Propylene'!AE18</f>
        <v>16.632367407577274</v>
      </c>
      <c r="AF10" s="44">
        <f>'Yearly Butadiene'!AF22+'Yearly BTX'!AF31+'Yearly Methanol'!AF33+'Yearly HC Ethylene'!AF30+'Yearly HC Propylene'!AF18</f>
        <v>17.460570212271172</v>
      </c>
      <c r="AG10" s="44">
        <f>'Yearly Butadiene'!AG22+'Yearly BTX'!AG31+'Yearly Methanol'!AG33+'Yearly HC Ethylene'!AG30+'Yearly HC Propylene'!AG18</f>
        <v>18.30768718079322</v>
      </c>
      <c r="AH10" s="44">
        <f>'Yearly Butadiene'!AH22+'Yearly BTX'!AH31+'Yearly Methanol'!AH33+'Yearly HC Ethylene'!AH30+'Yearly HC Propylene'!AH18</f>
        <v>19.174075994853538</v>
      </c>
      <c r="AI10" s="44"/>
      <c r="AJ10" s="44">
        <f>'Yearly Butadiene'!AJ22+'Yearly BTX'!AJ31+'Yearly Methanol'!AJ33+'Yearly LC Ethylene'!D30+'Yearly LC Propylene'!D18</f>
        <v>0</v>
      </c>
      <c r="AK10" s="44">
        <f>'Yearly Butadiene'!AK22+'Yearly BTX'!AK31+'Yearly Methanol'!AK33+'Yearly LC Ethylene'!E30+'Yearly LC Propylene'!E18</f>
        <v>0.31520719167264744</v>
      </c>
      <c r="AL10" s="44">
        <f>'Yearly Butadiene'!AL22+'Yearly BTX'!AL31+'Yearly Methanol'!AL33+'Yearly LC Ethylene'!F30+'Yearly LC Propylene'!F18</f>
        <v>0.63880399803894417</v>
      </c>
      <c r="AM10" s="44">
        <f>'Yearly Butadiene'!AM22+'Yearly BTX'!AM31+'Yearly Methanol'!AM33+'Yearly LC Ethylene'!G30+'Yearly LC Propylene'!G18</f>
        <v>0.97095940429480909</v>
      </c>
      <c r="AN10" s="44">
        <f>'Yearly Butadiene'!AN22+'Yearly BTX'!AN31+'Yearly Methanol'!AN33+'Yearly LC Ethylene'!H30+'Yearly LC Propylene'!H18</f>
        <v>1.3118454444817016</v>
      </c>
      <c r="AO10" s="44">
        <f>'Yearly Butadiene'!AO22+'Yearly BTX'!AO31+'Yearly Methanol'!AO33+'Yearly LC Ethylene'!I30+'Yearly LC Propylene'!I18</f>
        <v>1.6616372533903012</v>
      </c>
      <c r="AP10" s="44">
        <f>'Yearly Butadiene'!AP22+'Yearly BTX'!AP31+'Yearly Methanol'!AP33+'Yearly LC Ethylene'!J30+'Yearly LC Propylene'!J18</f>
        <v>2.02051311931702</v>
      </c>
      <c r="AQ10" s="44">
        <f>'Yearly Butadiene'!AQ22+'Yearly BTX'!AQ31+'Yearly Methanol'!AQ33+'Yearly LC Ethylene'!K30+'Yearly LC Propylene'!K18</f>
        <v>2.3886545376870241</v>
      </c>
      <c r="AR10" s="44">
        <f>'Yearly Butadiene'!AR22+'Yearly BTX'!AR31+'Yearly Methanol'!AR33+'Yearly LC Ethylene'!L30+'Yearly LC Propylene'!L18</f>
        <v>2.7662462655576721</v>
      </c>
      <c r="AS10" s="44">
        <f>'Yearly Butadiene'!AS22+'Yearly BTX'!AS31+'Yearly Methanol'!AS33+'Yearly LC Ethylene'!M30+'Yearly LC Propylene'!M18</f>
        <v>3.1534763770164802</v>
      </c>
      <c r="AT10" s="44">
        <f>'Yearly Butadiene'!AT22+'Yearly BTX'!AT31+'Yearly Methanol'!AT33+'Yearly LC Ethylene'!N30+'Yearly LC Propylene'!N18</f>
        <v>3.5505363194879664</v>
      </c>
      <c r="AU10" s="44">
        <f>'Yearly Butadiene'!AU22+'Yearly BTX'!AU31+'Yearly Methanol'!AU33+'Yearly LC Ethylene'!O30+'Yearly LC Propylene'!O18</f>
        <v>4.017982783190055</v>
      </c>
      <c r="AV10" s="44">
        <f>'Yearly Butadiene'!AV22+'Yearly BTX'!AV31+'Yearly Methanol'!AV33+'Yearly LC Ethylene'!P30+'Yearly LC Propylene'!P18</f>
        <v>4.4969866274355947</v>
      </c>
      <c r="AW10" s="44">
        <f>'Yearly Butadiene'!AW22+'Yearly BTX'!AW31+'Yearly Methanol'!AW33+'Yearly LC Ethylene'!Q30+'Yearly LC Propylene'!Q18</f>
        <v>4.9877719160829521</v>
      </c>
      <c r="AX10" s="44">
        <f>'Yearly Butadiene'!AX22+'Yearly BTX'!AX31+'Yearly Methanol'!AX33+'Yearly LC Ethylene'!R30+'Yearly LC Propylene'!R18</f>
        <v>5.490566648281626</v>
      </c>
      <c r="AY10" s="44">
        <f>'Yearly Butadiene'!AY22+'Yearly BTX'!AY31+'Yearly Methanol'!AY33+'Yearly LC Ethylene'!S30+'Yearly LC Propylene'!S18</f>
        <v>6.0056028240911132</v>
      </c>
      <c r="AZ10" s="44">
        <f>'Yearly Butadiene'!AZ22+'Yearly BTX'!AZ31+'Yearly Methanol'!AZ33+'Yearly LC Ethylene'!T30+'Yearly LC Propylene'!T18</f>
        <v>6.5331165111602783</v>
      </c>
      <c r="BA10" s="44">
        <f>'Yearly Butadiene'!BA22+'Yearly BTX'!BA31+'Yearly Methanol'!BA33+'Yearly LC Ethylene'!U30+'Yearly LC Propylene'!U18</f>
        <v>7.0733479124840395</v>
      </c>
      <c r="BB10" s="44">
        <f>'Yearly Butadiene'!BB22+'Yearly BTX'!BB31+'Yearly Methanol'!BB33+'Yearly LC Ethylene'!V30+'Yearly LC Propylene'!V18</f>
        <v>7.6265414352543992</v>
      </c>
      <c r="BC10" s="44">
        <f>'Yearly Butadiene'!BC22+'Yearly BTX'!BC31+'Yearly Methanol'!BC33+'Yearly LC Ethylene'!W30+'Yearly LC Propylene'!W18</f>
        <v>8.1929457608231662</v>
      </c>
      <c r="BD10" s="44">
        <f>'Yearly Butadiene'!BD22+'Yearly BTX'!BD31+'Yearly Methanol'!BD33+'Yearly LC Ethylene'!X30+'Yearly LC Propylene'!X18</f>
        <v>8.7728139157939218</v>
      </c>
      <c r="BE10" s="44">
        <f>'Yearly Butadiene'!BE22+'Yearly BTX'!BE31+'Yearly Methanol'!BE33+'Yearly LC Ethylene'!Y30+'Yearly LC Propylene'!Y18</f>
        <v>10.283933817919854</v>
      </c>
      <c r="BF10" s="44">
        <f>'Yearly Butadiene'!BF22+'Yearly BTX'!BF31+'Yearly Methanol'!BF33+'Yearly LC Ethylene'!Z30+'Yearly LC Propylene'!Z18</f>
        <v>10.900141330572808</v>
      </c>
      <c r="BG10" s="44">
        <f>'Yearly Butadiene'!BG22+'Yearly BTX'!BG31+'Yearly Methanol'!BG33+'Yearly LC Ethylene'!AA30+'Yearly LC Propylene'!AA18</f>
        <v>11.530803596100156</v>
      </c>
      <c r="BH10" s="44">
        <f>'Yearly Butadiene'!BH22+'Yearly BTX'!BH31+'Yearly Methanol'!BH33+'Yearly LC Ethylene'!AB30+'Yearly LC Propylene'!AB18</f>
        <v>12.176197164239106</v>
      </c>
      <c r="BI10" s="44">
        <f>'Yearly Butadiene'!BI22+'Yearly BTX'!BI31+'Yearly Methanol'!BI33+'Yearly LC Ethylene'!AC30+'Yearly LC Propylene'!AC18</f>
        <v>12.836603426834625</v>
      </c>
      <c r="BJ10" s="44">
        <f>'Yearly Butadiene'!BJ22+'Yearly BTX'!BJ31+'Yearly Methanol'!BJ33+'Yearly LC Ethylene'!AD30+'Yearly LC Propylene'!AD18</f>
        <v>13.512308698611564</v>
      </c>
      <c r="BK10" s="44">
        <f>'Yearly Butadiene'!BK22+'Yearly BTX'!BK31+'Yearly Methanol'!BK33+'Yearly LC Ethylene'!AE30+'Yearly LC Propylene'!AE18</f>
        <v>14.203604299254339</v>
      </c>
      <c r="BL10" s="44">
        <f>'Yearly Butadiene'!BL22+'Yearly BTX'!BL31+'Yearly Methanol'!BL33+'Yearly LC Ethylene'!AF30+'Yearly LC Propylene'!AF18</f>
        <v>14.910786636814855</v>
      </c>
      <c r="BM10" s="44">
        <f>'Yearly Butadiene'!BM22+'Yearly BTX'!BM31+'Yearly Methanol'!BM33+'Yearly LC Ethylene'!AG30+'Yearly LC Propylene'!AG18</f>
        <v>15.634157292469833</v>
      </c>
      <c r="BN10" s="44">
        <f>'Yearly Butadiene'!BN22+'Yearly BTX'!BN31+'Yearly Methanol'!BN33+'Yearly LC Ethylene'!AH30+'Yearly LC Propylene'!AH18</f>
        <v>16.37402310664886</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B10" t="s">
        <v>1891</v>
      </c>
      <c r="EC10">
        <f>'Demand - Industry shares'!L16</f>
        <v>83.333905576923073</v>
      </c>
      <c r="ED10" s="2">
        <f t="shared" si="88"/>
        <v>0.12510713068231266</v>
      </c>
      <c r="EE10" s="44">
        <f>SUM('R&amp;S - Apparel'!D6:J6)</f>
        <v>24.934952757904412</v>
      </c>
      <c r="EF10" s="44">
        <f>AH16</f>
        <v>6.1798822264739055</v>
      </c>
      <c r="EG10" s="44">
        <f>AH17</f>
        <v>8.4046398280045125</v>
      </c>
      <c r="EH10" s="44">
        <f>AH18</f>
        <v>4.943905781179124</v>
      </c>
      <c r="EI10" s="44">
        <f t="shared" si="97"/>
        <v>1.6046711936539459</v>
      </c>
      <c r="EJ10" s="44">
        <f t="shared" si="90"/>
        <v>3.8018537285929241</v>
      </c>
      <c r="EK10" s="2">
        <f t="shared" si="91"/>
        <v>0.24784014176705729</v>
      </c>
      <c r="EL10" s="2">
        <f t="shared" si="92"/>
        <v>0.33706259280319795</v>
      </c>
      <c r="EM10" s="2">
        <f t="shared" si="93"/>
        <v>0.19827211341364581</v>
      </c>
      <c r="EN10" s="2">
        <f t="shared" si="94"/>
        <v>6.4354290510747536E-2</v>
      </c>
      <c r="EO10" s="2">
        <f t="shared" si="95"/>
        <v>0.15247086150535141</v>
      </c>
      <c r="EP10" s="660">
        <f t="shared" si="96"/>
        <v>2.5106017483017291E-2</v>
      </c>
      <c r="EQ10" s="137"/>
      <c r="ER10" s="137"/>
      <c r="ES10" s="137"/>
    </row>
    <row r="11" spans="1:151" x14ac:dyDescent="0.2">
      <c r="A11" s="1" t="s">
        <v>1163</v>
      </c>
      <c r="B11" t="s">
        <v>76</v>
      </c>
      <c r="C11" s="54" t="s">
        <v>69</v>
      </c>
      <c r="D11" s="44">
        <f>'Yearly Butadiene'!D23+'Yearly BTX'!D32+'Yearly Methanol'!D34+'Yearly HC Ethylene'!D31+'Yearly HC Propylene'!D19</f>
        <v>0</v>
      </c>
      <c r="E11" s="44">
        <f>'Yearly Butadiene'!E23+'Yearly BTX'!E32+'Yearly Methanol'!E34+'Yearly HC Ethylene'!E31+'Yearly HC Propylene'!E19</f>
        <v>0.39153934539454865</v>
      </c>
      <c r="F11" s="44">
        <f>'Yearly Butadiene'!F23+'Yearly BTX'!F32+'Yearly Methanol'!F34+'Yearly HC Ethylene'!F31+'Yearly HC Propylene'!F19</f>
        <v>1.0124569143985309</v>
      </c>
      <c r="G11" s="44">
        <f>'Yearly Butadiene'!G23+'Yearly BTX'!G32+'Yearly Methanol'!G34+'Yearly HC Ethylene'!G31+'Yearly HC Propylene'!G19</f>
        <v>1.5389623627337217</v>
      </c>
      <c r="H11" s="44">
        <f>'Yearly Butadiene'!H23+'Yearly BTX'!H32+'Yearly Methanol'!H34+'Yearly HC Ethylene'!H31+'Yearly HC Propylene'!H19</f>
        <v>2.0793498689916761</v>
      </c>
      <c r="I11" s="44">
        <f>'Yearly Butadiene'!I23+'Yearly BTX'!I32+'Yearly Methanol'!I34+'Yearly HC Ethylene'!I31+'Yearly HC Propylene'!I19</f>
        <v>2.6338986536288456</v>
      </c>
      <c r="J11" s="44">
        <f>'Yearly Butadiene'!J23+'Yearly BTX'!J32+'Yearly Methanol'!J34+'Yearly HC Ethylene'!J31+'Yearly HC Propylene'!J19</f>
        <v>3.2028929762465439</v>
      </c>
      <c r="K11" s="44">
        <f>'Yearly Butadiene'!K23+'Yearly BTX'!K32+'Yearly Methanol'!K34+'Yearly HC Ethylene'!K31+'Yearly HC Propylene'!K19</f>
        <v>3.7866222214407705</v>
      </c>
      <c r="L11" s="44">
        <f>'Yearly Butadiene'!L23+'Yearly BTX'!L32+'Yearly Methanol'!L34+'Yearly HC Ethylene'!L31+'Yearly HC Propylene'!L19</f>
        <v>4.3853809860637698</v>
      </c>
      <c r="M11" s="44">
        <f>'Yearly Butadiene'!M23+'Yearly BTX'!M32+'Yearly Methanol'!M34+'Yearly HC Ethylene'!M31+'Yearly HC Propylene'!M19</f>
        <v>4.9994691679200045</v>
      </c>
      <c r="N11" s="44">
        <f>'Yearly Butadiene'!N23+'Yearly BTX'!N32+'Yearly Methanol'!N34+'Yearly HC Ethylene'!N31+'Yearly HC Propylene'!N19</f>
        <v>5.6291920559195594</v>
      </c>
      <c r="O11" s="44">
        <f>'Yearly Butadiene'!O23+'Yearly BTX'!O32+'Yearly Methanol'!O34+'Yearly HC Ethylene'!O31+'Yearly HC Propylene'!O19</f>
        <v>6.3751106776454316</v>
      </c>
      <c r="P11" s="44">
        <f>'Yearly Butadiene'!P23+'Yearly BTX'!P32+'Yearly Methanol'!P34+'Yearly HC Ethylene'!P31+'Yearly HC Propylene'!P19</f>
        <v>6.7388201321275183</v>
      </c>
      <c r="Q11" s="44">
        <f>'Yearly Butadiene'!Q23+'Yearly BTX'!Q32+'Yearly Methanol'!Q34+'Yearly HC Ethylene'!Q31+'Yearly HC Propylene'!Q19</f>
        <v>7.5693684141723985</v>
      </c>
      <c r="R11" s="44">
        <f>'Yearly Butadiene'!R23+'Yearly BTX'!R32+'Yearly Methanol'!R34+'Yearly HC Ethylene'!R31+'Yearly HC Propylene'!R19</f>
        <v>8.4205228511343915</v>
      </c>
      <c r="S11" s="44">
        <f>'Yearly Butadiene'!S23+'Yearly BTX'!S32+'Yearly Methanol'!S34+'Yearly HC Ethylene'!S31+'Yearly HC Propylene'!S19</f>
        <v>9.2926850314826801</v>
      </c>
      <c r="T11" s="44">
        <f>'Yearly Butadiene'!T23+'Yearly BTX'!T32+'Yearly Methanol'!T34+'Yearly HC Ethylene'!T31+'Yearly HC Propylene'!T19</f>
        <v>10.186263632973237</v>
      </c>
      <c r="U11" s="44">
        <f>'Yearly Butadiene'!U23+'Yearly BTX'!U32+'Yearly Methanol'!U34+'Yearly HC Ethylene'!U31+'Yearly HC Propylene'!U19</f>
        <v>11.101674541401277</v>
      </c>
      <c r="V11" s="44">
        <f>'Yearly Butadiene'!V23+'Yearly BTX'!V32+'Yearly Methanol'!V34+'Yearly HC Ethylene'!V31+'Yearly HC Propylene'!V19</f>
        <v>12.03934097128054</v>
      </c>
      <c r="W11" s="44">
        <f>'Yearly Butadiene'!W23+'Yearly BTX'!W32+'Yearly Methanol'!W34+'Yearly HC Ethylene'!W31+'Yearly HC Propylene'!W19</f>
        <v>12.99969358848004</v>
      </c>
      <c r="X11" s="44">
        <f>'Yearly Butadiene'!X23+'Yearly BTX'!X32+'Yearly Methanol'!X34+'Yearly HC Ethylene'!X31+'Yearly HC Propylene'!X19</f>
        <v>13.983170634849378</v>
      </c>
      <c r="Y11" s="44">
        <f>'Yearly Butadiene'!Y23+'Yearly BTX'!Y32+'Yearly Methanol'!Y34+'Yearly HC Ethylene'!Y31+'Yearly HC Propylene'!Y19</f>
        <v>15.511226472924061</v>
      </c>
      <c r="Z11" s="44">
        <f>'Yearly Butadiene'!Z23+'Yearly BTX'!Z32+'Yearly Methanol'!Z34+'Yearly HC Ethylene'!Z31+'Yearly HC Propylene'!Z19</f>
        <v>16.497566850274946</v>
      </c>
      <c r="AA11" s="44">
        <f>'Yearly Butadiene'!AA23+'Yearly BTX'!AA32+'Yearly Methanol'!AA34+'Yearly HC Ethylene'!AA31+'Yearly HC Propylene'!AA19</f>
        <v>17.50711977481177</v>
      </c>
      <c r="AB11" s="44">
        <f>'Yearly Butadiene'!AB23+'Yearly BTX'!AB32+'Yearly Methanol'!AB34+'Yearly HC Ethylene'!AB31+'Yearly HC Propylene'!AB19</f>
        <v>18.540328964884047</v>
      </c>
      <c r="AC11" s="44">
        <f>'Yearly Butadiene'!AC23+'Yearly BTX'!AC32+'Yearly Methanol'!AC34+'Yearly HC Ethylene'!AC31+'Yearly HC Propylene'!AC19</f>
        <v>19.59764589441102</v>
      </c>
      <c r="AD11" s="44">
        <f>'Yearly Butadiene'!AD23+'Yearly BTX'!AD32+'Yearly Methanol'!AD34+'Yearly HC Ethylene'!AD31+'Yearly HC Propylene'!AD19</f>
        <v>20.679529922015504</v>
      </c>
      <c r="AE11" s="44">
        <f>'Yearly Butadiene'!AE23+'Yearly BTX'!AE32+'Yearly Methanol'!AE34+'Yearly HC Ethylene'!AE31+'Yearly HC Propylene'!AE19</f>
        <v>21.786448422244629</v>
      </c>
      <c r="AF11" s="44">
        <f>'Yearly Butadiene'!AF23+'Yearly BTX'!AF32+'Yearly Methanol'!AF34+'Yearly HC Ethylene'!AF31+'Yearly HC Propylene'!AF19</f>
        <v>22.918876918910485</v>
      </c>
      <c r="AG11" s="44">
        <f>'Yearly Butadiene'!AG23+'Yearly BTX'!AG32+'Yearly Methanol'!AG34+'Yearly HC Ethylene'!AG31+'Yearly HC Propylene'!AG19</f>
        <v>24.077299220584301</v>
      </c>
      <c r="AH11" s="44">
        <f>'Yearly Butadiene'!AH23+'Yearly BTX'!AH32+'Yearly Methanol'!AH34+'Yearly HC Ethylene'!AH31+'Yearly HC Propylene'!AH19</f>
        <v>25.262207558278149</v>
      </c>
      <c r="AI11" s="44"/>
      <c r="AJ11" s="44">
        <f>'Yearly Butadiene'!AJ23+'Yearly BTX'!AJ32+'Yearly Methanol'!AJ34+'Yearly LC Ethylene'!D31+'Yearly LC Propylene'!D19</f>
        <v>0</v>
      </c>
      <c r="AK11" s="44">
        <f>'Yearly Butadiene'!AK23+'Yearly BTX'!AK32+'Yearly Methanol'!AK34+'Yearly LC Ethylene'!E31+'Yearly LC Propylene'!E19</f>
        <v>0.34007706166468105</v>
      </c>
      <c r="AL11" s="44">
        <f>'Yearly Butadiene'!AL23+'Yearly BTX'!AL32+'Yearly Methanol'!AL34+'Yearly LC Ethylene'!F31+'Yearly LC Propylene'!F19</f>
        <v>0.86853882137933203</v>
      </c>
      <c r="AM11" s="44">
        <f>'Yearly Butadiene'!AM23+'Yearly BTX'!AM32+'Yearly Methanol'!AM34+'Yearly LC Ethylene'!G31+'Yearly LC Propylene'!G19</f>
        <v>1.3202415467495658</v>
      </c>
      <c r="AN11" s="44">
        <f>'Yearly Butadiene'!AN23+'Yearly BTX'!AN32+'Yearly Methanol'!AN34+'Yearly LC Ethylene'!H31+'Yearly LC Propylene'!H19</f>
        <v>1.7838800831850199</v>
      </c>
      <c r="AO11" s="44">
        <f>'Yearly Butadiene'!AO23+'Yearly BTX'!AO32+'Yearly Methanol'!AO34+'Yearly LC Ethylene'!I31+'Yearly LC Propylene'!I19</f>
        <v>2.2596949571468228</v>
      </c>
      <c r="AP11" s="44">
        <f>'Yearly Butadiene'!AP23+'Yearly BTX'!AP32+'Yearly Methanol'!AP34+'Yearly LC Ethylene'!J31+'Yearly LC Propylene'!J19</f>
        <v>2.7479310428215085</v>
      </c>
      <c r="AQ11" s="44">
        <f>'Yearly Butadiene'!AQ23+'Yearly BTX'!AQ32+'Yearly Methanol'!AQ34+'Yearly LC Ethylene'!K31+'Yearly LC Propylene'!K19</f>
        <v>3.2488376362892826</v>
      </c>
      <c r="AR11" s="44">
        <f>'Yearly Butadiene'!AR23+'Yearly BTX'!AR32+'Yearly Methanol'!AR34+'Yearly LC Ethylene'!L31+'Yearly LC Propylene'!L19</f>
        <v>3.7626685309132561</v>
      </c>
      <c r="AS11" s="44">
        <f>'Yearly Butadiene'!AS23+'Yearly BTX'!AS32+'Yearly Methanol'!AS34+'Yearly LC Ethylene'!M31+'Yearly LC Propylene'!M19</f>
        <v>4.2896820939692732</v>
      </c>
      <c r="AT11" s="44">
        <f>'Yearly Butadiene'!AT23+'Yearly BTX'!AT32+'Yearly Methanol'!AT34+'Yearly LC Ethylene'!N31+'Yearly LC Propylene'!N19</f>
        <v>4.8301413445362611</v>
      </c>
      <c r="AU11" s="44">
        <f>'Yearly Butadiene'!AU23+'Yearly BTX'!AU32+'Yearly Methanol'!AU34+'Yearly LC Ethylene'!O31+'Yearly LC Propylene'!O19</f>
        <v>5.4663670979208607</v>
      </c>
      <c r="AV11" s="44">
        <f>'Yearly Butadiene'!AV23+'Yearly BTX'!AV32+'Yearly Methanol'!AV34+'Yearly LC Ethylene'!P31+'Yearly LC Propylene'!P19</f>
        <v>5.7701048466513631</v>
      </c>
      <c r="AW11" s="44">
        <f>'Yearly Butadiene'!AW23+'Yearly BTX'!AW32+'Yearly Methanol'!AW34+'Yearly LC Ethylene'!Q31+'Yearly LC Propylene'!Q19</f>
        <v>6.4792647384385251</v>
      </c>
      <c r="AX11" s="44">
        <f>'Yearly Butadiene'!AX23+'Yearly BTX'!AX32+'Yearly Methanol'!AX34+'Yearly LC Ethylene'!R31+'Yearly LC Propylene'!R19</f>
        <v>7.206062835019452</v>
      </c>
      <c r="AY11" s="44">
        <f>'Yearly Butadiene'!AY23+'Yearly BTX'!AY32+'Yearly Methanol'!AY34+'Yearly LC Ethylene'!S31+'Yearly LC Propylene'!S19</f>
        <v>7.9508437002407888</v>
      </c>
      <c r="AZ11" s="44">
        <f>'Yearly Butadiene'!AZ23+'Yearly BTX'!AZ32+'Yearly Methanol'!AZ34+'Yearly LC Ethylene'!T31+'Yearly LC Propylene'!T19</f>
        <v>8.713957993385506</v>
      </c>
      <c r="BA11" s="44">
        <f>'Yearly Butadiene'!BA23+'Yearly BTX'!BA32+'Yearly Methanol'!BA34+'Yearly LC Ethylene'!U31+'Yearly LC Propylene'!U19</f>
        <v>9.4957625714624232</v>
      </c>
      <c r="BB11" s="44">
        <f>'Yearly Butadiene'!BB23+'Yearly BTX'!BB32+'Yearly Methanol'!BB34+'Yearly LC Ethylene'!V31+'Yearly LC Propylene'!V19</f>
        <v>10.296620593157975</v>
      </c>
      <c r="BC11" s="44">
        <f>'Yearly Butadiene'!BC23+'Yearly BTX'!BC32+'Yearly Methanol'!BC34+'Yearly LC Ethylene'!W31+'Yearly LC Propylene'!W19</f>
        <v>11.116901624476711</v>
      </c>
      <c r="BD11" s="44">
        <f>'Yearly Butadiene'!BD23+'Yearly BTX'!BD32+'Yearly Methanol'!BD34+'Yearly LC Ethylene'!X31+'Yearly LC Propylene'!X19</f>
        <v>11.956981746097346</v>
      </c>
      <c r="BE11" s="44">
        <f>'Yearly Butadiene'!BE23+'Yearly BTX'!BE32+'Yearly Methanol'!BE34+'Yearly LC Ethylene'!Y31+'Yearly LC Propylene'!Y19</f>
        <v>13.270677816222403</v>
      </c>
      <c r="BF11" s="44">
        <f>'Yearly Butadiene'!BF23+'Yearly BTX'!BF32+'Yearly Methanol'!BF34+'Yearly LC Ethylene'!Z31+'Yearly LC Propylene'!Z19</f>
        <v>14.113428482281167</v>
      </c>
      <c r="BG11" s="44">
        <f>'Yearly Butadiene'!BG23+'Yearly BTX'!BG32+'Yearly Methanol'!BG34+'Yearly LC Ethylene'!AA31+'Yearly LC Propylene'!AA19</f>
        <v>14.976057802688659</v>
      </c>
      <c r="BH11" s="44">
        <f>'Yearly Butadiene'!BH23+'Yearly BTX'!BH32+'Yearly Methanol'!BH34+'Yearly LC Ethylene'!AB31+'Yearly LC Propylene'!AB19</f>
        <v>15.858946631392211</v>
      </c>
      <c r="BI11" s="44">
        <f>'Yearly Butadiene'!BI23+'Yearly BTX'!BI32+'Yearly Methanol'!BI34+'Yearly LC Ethylene'!AC31+'Yearly LC Propylene'!AC19</f>
        <v>16.762482492706575</v>
      </c>
      <c r="BJ11" s="44">
        <f>'Yearly Butadiene'!BJ23+'Yearly BTX'!BJ32+'Yearly Methanol'!BJ34+'Yearly LC Ethylene'!AD31+'Yearly LC Propylene'!AD19</f>
        <v>17.687059692574564</v>
      </c>
      <c r="BK11" s="44">
        <f>'Yearly Butadiene'!BK23+'Yearly BTX'!BK32+'Yearly Methanol'!BK34+'Yearly LC Ethylene'!AE31+'Yearly LC Propylene'!AE19</f>
        <v>18.633079431628389</v>
      </c>
      <c r="BL11" s="44">
        <f>'Yearly Butadiene'!BL23+'Yearly BTX'!BL32+'Yearly Methanol'!BL34+'Yearly LC Ethylene'!AF31+'Yearly LC Propylene'!AF19</f>
        <v>19.600949920080264</v>
      </c>
      <c r="BM11" s="44">
        <f>'Yearly Butadiene'!BM23+'Yearly BTX'!BM32+'Yearly Methanol'!BM34+'Yearly LC Ethylene'!AG31+'Yearly LC Propylene'!AG19</f>
        <v>20.591086494471305</v>
      </c>
      <c r="BN11" s="44">
        <f>'Yearly Butadiene'!BN23+'Yearly BTX'!BN32+'Yearly Methanol'!BN34+'Yearly LC Ethylene'!AH31+'Yearly LC Propylene'!AH19</f>
        <v>21.603911736308145</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B11" t="s">
        <v>1182</v>
      </c>
      <c r="ED11" s="2">
        <f t="shared" si="88"/>
        <v>0</v>
      </c>
      <c r="EF11" s="44">
        <f>AH7</f>
        <v>66.07157575188748</v>
      </c>
      <c r="EI11" s="44"/>
      <c r="EJ11" s="44"/>
      <c r="EK11" s="2"/>
      <c r="EL11" s="2"/>
      <c r="EM11" s="2"/>
      <c r="EN11" s="2"/>
      <c r="EO11" s="2"/>
      <c r="EP11" s="660">
        <f t="shared" si="96"/>
        <v>0.2684184059125439</v>
      </c>
    </row>
    <row r="12" spans="1:151" x14ac:dyDescent="0.2">
      <c r="A12" s="1" t="s">
        <v>1887</v>
      </c>
      <c r="B12" t="s">
        <v>77</v>
      </c>
      <c r="C12" s="54" t="s">
        <v>69</v>
      </c>
      <c r="D12" s="44">
        <f>'Yearly Butadiene'!D13+'Yearly BTX'!D19+'Yearly Methanol'!D21+'Yearly HC Ethylene'!D15+'Yearly HC Propylene'!D9</f>
        <v>0</v>
      </c>
      <c r="E12" s="44">
        <f>'Yearly Butadiene'!E13+'Yearly BTX'!E19+'Yearly Methanol'!E21+'Yearly HC Ethylene'!E15+'Yearly HC Propylene'!E9</f>
        <v>0.15528408539490529</v>
      </c>
      <c r="F12" s="44">
        <f>'Yearly Butadiene'!F13+'Yearly BTX'!F19+'Yearly Methanol'!F21+'Yearly HC Ethylene'!F15+'Yearly HC Propylene'!F9</f>
        <v>0.31603762708721994</v>
      </c>
      <c r="G12" s="44">
        <f>'Yearly Butadiene'!G13+'Yearly BTX'!G19+'Yearly Methanol'!G21+'Yearly HC Ethylene'!G15+'Yearly HC Propylene'!G9</f>
        <v>0.4824060842703054</v>
      </c>
      <c r="H12" s="44">
        <f>'Yearly Butadiene'!H13+'Yearly BTX'!H19+'Yearly Methanol'!H21+'Yearly HC Ethylene'!H15+'Yearly HC Propylene'!H9</f>
        <v>0.65453837281529825</v>
      </c>
      <c r="I12" s="44">
        <f>'Yearly Butadiene'!I13+'Yearly BTX'!I19+'Yearly Methanol'!I21+'Yearly HC Ethylene'!I15+'Yearly HC Propylene'!I9</f>
        <v>0.83258694255239063</v>
      </c>
      <c r="J12" s="44">
        <f>'Yearly Butadiene'!J13+'Yearly BTX'!J19+'Yearly Methanol'!J21+'Yearly HC Ethylene'!J15+'Yearly HC Propylene'!J9</f>
        <v>1.0167078562140546</v>
      </c>
      <c r="K12" s="44">
        <f>'Yearly Butadiene'!K13+'Yearly BTX'!K19+'Yearly Methanol'!K21+'Yearly HC Ethylene'!K15+'Yearly HC Propylene'!K9</f>
        <v>1.2070608700749867</v>
      </c>
      <c r="L12" s="44">
        <f>'Yearly Butadiene'!L13+'Yearly BTX'!L19+'Yearly Methanol'!L21+'Yearly HC Ethylene'!L15+'Yearly HC Propylene'!L9</f>
        <v>1.403809516324257</v>
      </c>
      <c r="M12" s="44">
        <f>'Yearly Butadiene'!M13+'Yearly BTX'!M19+'Yearly Methanol'!M21+'Yearly HC Ethylene'!M15+'Yearly HC Propylene'!M9</f>
        <v>1.6071211872058768</v>
      </c>
      <c r="N12" s="44">
        <f>'Yearly Butadiene'!N13+'Yearly BTX'!N19+'Yearly Methanol'!N21+'Yearly HC Ethylene'!N15+'Yearly HC Propylene'!N9</f>
        <v>1.8171672209647358</v>
      </c>
      <c r="O12" s="44">
        <f>'Yearly Butadiene'!O13+'Yearly BTX'!O19+'Yearly Methanol'!O21+'Yearly HC Ethylene'!O15+'Yearly HC Propylene'!O9</f>
        <v>2.4098195017479571</v>
      </c>
      <c r="P12" s="44">
        <f>'Yearly Butadiene'!P13+'Yearly BTX'!P19+'Yearly Methanol'!P21+'Yearly HC Ethylene'!P15+'Yearly HC Propylene'!P9</f>
        <v>3.0255406989364944</v>
      </c>
      <c r="Q12" s="44">
        <f>'Yearly Butadiene'!Q13+'Yearly BTX'!Q19+'Yearly Methanol'!Q21+'Yearly HC Ethylene'!Q15+'Yearly HC Propylene'!Q9</f>
        <v>3.6650009958142844</v>
      </c>
      <c r="R12" s="44">
        <f>'Yearly Butadiene'!R13+'Yearly BTX'!R19+'Yearly Methanol'!R21+'Yearly HC Ethylene'!R15+'Yearly HC Propylene'!R9</f>
        <v>4.3288876993433476</v>
      </c>
      <c r="S12" s="44">
        <f>'Yearly Butadiene'!S13+'Yearly BTX'!S19+'Yearly Methanol'!S21+'Yearly HC Ethylene'!S15+'Yearly HC Propylene'!S9</f>
        <v>5.017905646561645</v>
      </c>
      <c r="T12" s="44">
        <f>'Yearly Butadiene'!T13+'Yearly BTX'!T19+'Yearly Methanol'!T21+'Yearly HC Ethylene'!T15+'Yearly HC Propylene'!T9</f>
        <v>5.7327776201660861</v>
      </c>
      <c r="U12" s="44">
        <f>'Yearly Butadiene'!U13+'Yearly BTX'!U19+'Yearly Methanol'!U21+'Yearly HC Ethylene'!U15+'Yearly HC Propylene'!U9</f>
        <v>6.4742447734810469</v>
      </c>
      <c r="V12" s="44">
        <f>'Yearly Butadiene'!V13+'Yearly BTX'!V19+'Yearly Methanol'!V21+'Yearly HC Ethylene'!V15+'Yearly HC Propylene'!V9</f>
        <v>7.2430670650170654</v>
      </c>
      <c r="W12" s="44">
        <f>'Yearly Butadiene'!W13+'Yearly BTX'!W19+'Yearly Methanol'!W21+'Yearly HC Ethylene'!W15+'Yearly HC Propylene'!W9</f>
        <v>8.0400237028286767</v>
      </c>
      <c r="X12" s="44">
        <f>'Yearly Butadiene'!X13+'Yearly BTX'!X19+'Yearly Methanol'!X21+'Yearly HC Ethylene'!X15+'Yearly HC Propylene'!X9</f>
        <v>8.8659135988848377</v>
      </c>
      <c r="Y12" s="44">
        <f>'Yearly Butadiene'!Y13+'Yearly BTX'!Y19+'Yearly Methanol'!Y21+'Yearly HC Ethylene'!Y15+'Yearly HC Propylene'!Y9</f>
        <v>10.383558674945778</v>
      </c>
      <c r="Z12" s="44">
        <f>'Yearly Butadiene'!Z13+'Yearly BTX'!Z19+'Yearly Methanol'!Z21+'Yearly HC Ethylene'!Z15+'Yearly HC Propylene'!Z9</f>
        <v>11.954085601758223</v>
      </c>
      <c r="AA12" s="44">
        <f>'Yearly Butadiene'!AA13+'Yearly BTX'!AA19+'Yearly Methanol'!AA21+'Yearly HC Ethylene'!AA15+'Yearly HC Propylene'!AA9</f>
        <v>13.578924799984456</v>
      </c>
      <c r="AB12" s="44">
        <f>'Yearly Butadiene'!AB13+'Yearly BTX'!AB19+'Yearly Methanol'!AB21+'Yearly HC Ethylene'!AB15+'Yearly HC Propylene'!AB9</f>
        <v>15.259541370555592</v>
      </c>
      <c r="AC12" s="44">
        <f>'Yearly Butadiene'!AC13+'Yearly BTX'!AC19+'Yearly Methanol'!AC21+'Yearly HC Ethylene'!AC15+'Yearly HC Propylene'!AC9</f>
        <v>16.997435884846379</v>
      </c>
      <c r="AD12" s="44">
        <f>'Yearly Butadiene'!AD13+'Yearly BTX'!AD19+'Yearly Methanol'!AD21+'Yearly HC Ethylene'!AD15+'Yearly HC Propylene'!AD9</f>
        <v>18.794145192133335</v>
      </c>
      <c r="AE12" s="44">
        <f>'Yearly Butadiene'!AE13+'Yearly BTX'!AE19+'Yearly Methanol'!AE21+'Yearly HC Ethylene'!AE15+'Yearly HC Propylene'!AE9</f>
        <v>20.651243244703274</v>
      </c>
      <c r="AF12" s="44">
        <f>'Yearly Butadiene'!AF13+'Yearly BTX'!AF19+'Yearly Methanol'!AF21+'Yearly HC Ethylene'!AF15+'Yearly HC Propylene'!AF9</f>
        <v>22.570341940987014</v>
      </c>
      <c r="AG12" s="44">
        <f>'Yearly Butadiene'!AG13+'Yearly BTX'!AG19+'Yearly Methanol'!AG21+'Yearly HC Ethylene'!AG15+'Yearly HC Propylene'!AG9</f>
        <v>24.553091987100537</v>
      </c>
      <c r="AH12" s="44">
        <f>'Yearly Butadiene'!AH13+'Yearly BTX'!AH19+'Yearly Methanol'!AH21+'Yearly HC Ethylene'!AH15+'Yearly HC Propylene'!AH9</f>
        <v>26.601183777184168</v>
      </c>
      <c r="AI12" s="44"/>
      <c r="AJ12" s="44">
        <f>'Yearly Butadiene'!AJ13+'Yearly BTX'!AJ19+'Yearly Methanol'!AJ21+'Yearly LC Ethylene'!D15+'Yearly LC Propylene'!D9</f>
        <v>0</v>
      </c>
      <c r="AK12" s="44">
        <f>'Yearly Butadiene'!AK13+'Yearly BTX'!AK19+'Yearly Methanol'!AK21+'Yearly LC Ethylene'!E15+'Yearly LC Propylene'!E9</f>
        <v>7.7598224866362059E-2</v>
      </c>
      <c r="AL12" s="44">
        <f>'Yearly Butadiene'!AL13+'Yearly BTX'!AL19+'Yearly Methanol'!AL21+'Yearly LC Ethylene'!F15+'Yearly LC Propylene'!F9</f>
        <v>0.15784056260673351</v>
      </c>
      <c r="AM12" s="44">
        <f>'Yearly Butadiene'!AM13+'Yearly BTX'!AM19+'Yearly Methanol'!AM21+'Yearly LC Ethylene'!G15+'Yearly LC Propylene'!G9</f>
        <v>0.24079515942884511</v>
      </c>
      <c r="AN12" s="44">
        <f>'Yearly Butadiene'!AN13+'Yearly BTX'!AN19+'Yearly Methanol'!AN21+'Yearly LC Ethylene'!H15+'Yearly LC Propylene'!H9</f>
        <v>0.32653173447464501</v>
      </c>
      <c r="AO12" s="44">
        <f>'Yearly Butadiene'!AO13+'Yearly BTX'!AO19+'Yearly Methanol'!AO21+'Yearly LC Ethylene'!I15+'Yearly LC Propylene'!I9</f>
        <v>0.41512161406390591</v>
      </c>
      <c r="AP12" s="44">
        <f>'Yearly Butadiene'!AP13+'Yearly BTX'!AP19+'Yearly Methanol'!AP21+'Yearly LC Ethylene'!J15+'Yearly LC Propylene'!J9</f>
        <v>0.50663776665677374</v>
      </c>
      <c r="AQ12" s="44">
        <f>'Yearly Butadiene'!AQ13+'Yearly BTX'!AQ19+'Yearly Methanol'!AQ21+'Yearly LC Ethylene'!K15+'Yearly LC Propylene'!K9</f>
        <v>0.60115483854997986</v>
      </c>
      <c r="AR12" s="44">
        <f>'Yearly Butadiene'!AR13+'Yearly BTX'!AR19+'Yearly Methanol'!AR21+'Yearly LC Ethylene'!L15+'Yearly LC Propylene'!L9</f>
        <v>0.6987491903217351</v>
      </c>
      <c r="AS12" s="44">
        <f>'Yearly Butadiene'!AS13+'Yearly BTX'!AS19+'Yearly Methanol'!AS21+'Yearly LC Ethylene'!M15+'Yearly LC Propylene'!M9</f>
        <v>0.79949893404062444</v>
      </c>
      <c r="AT12" s="44">
        <f>'Yearly Butadiene'!AT13+'Yearly BTX'!AT19+'Yearly Methanol'!AT21+'Yearly LC Ethylene'!N15+'Yearly LC Propylene'!N9</f>
        <v>0.90348397125412916</v>
      </c>
      <c r="AU12" s="44">
        <f>'Yearly Butadiene'!AU13+'Yearly BTX'!AU19+'Yearly Methanol'!AU21+'Yearly LC Ethylene'!O15+'Yearly LC Propylene'!O9</f>
        <v>1.1974932945479588</v>
      </c>
      <c r="AV12" s="44">
        <f>'Yearly Butadiene'!AV13+'Yearly BTX'!AV19+'Yearly Methanol'!AV21+'Yearly LC Ethylene'!P15+'Yearly LC Propylene'!P9</f>
        <v>1.5026433080133947</v>
      </c>
      <c r="AW12" s="44">
        <f>'Yearly Butadiene'!AW13+'Yearly BTX'!AW19+'Yearly Methanol'!AW21+'Yearly LC Ethylene'!Q15+'Yearly LC Propylene'!Q9</f>
        <v>1.8192510047487178</v>
      </c>
      <c r="AX12" s="44">
        <f>'Yearly Butadiene'!AX13+'Yearly BTX'!AX19+'Yearly Methanol'!AX21+'Yearly LC Ethylene'!R15+'Yearly LC Propylene'!R9</f>
        <v>2.1476413466798836</v>
      </c>
      <c r="AY12" s="44">
        <f>'Yearly Butadiene'!AY13+'Yearly BTX'!AY19+'Yearly Methanol'!AY21+'Yearly LC Ethylene'!S15+'Yearly LC Propylene'!S9</f>
        <v>2.4881474512727246</v>
      </c>
      <c r="AZ12" s="44">
        <f>'Yearly Butadiene'!AZ13+'Yearly BTX'!AZ19+'Yearly Methanol'!AZ21+'Yearly LC Ethylene'!T15+'Yearly LC Propylene'!T9</f>
        <v>2.841110782422132</v>
      </c>
      <c r="BA12" s="44">
        <f>'Yearly Butadiene'!BA13+'Yearly BTX'!BA19+'Yearly Methanol'!BA21+'Yearly LC Ethylene'!U15+'Yearly LC Propylene'!U9</f>
        <v>3.206881345608573</v>
      </c>
      <c r="BB12" s="44">
        <f>'Yearly Butadiene'!BB13+'Yearly BTX'!BB19+'Yearly Methanol'!BB21+'Yearly LC Ethylene'!V15+'Yearly LC Propylene'!V9</f>
        <v>3.585817887414243</v>
      </c>
      <c r="BC12" s="44">
        <f>'Yearly Butadiene'!BC13+'Yearly BTX'!BC19+'Yearly Methanol'!BC21+'Yearly LC Ethylene'!W15+'Yearly LC Propylene'!W9</f>
        <v>3.978288099493084</v>
      </c>
      <c r="BD12" s="44">
        <f>'Yearly Butadiene'!BD13+'Yearly BTX'!BD19+'Yearly Methanol'!BD21+'Yearly LC Ethylene'!X15+'Yearly LC Propylene'!X9</f>
        <v>4.3846688270908789</v>
      </c>
      <c r="BE12" s="44">
        <f>'Yearly Butadiene'!BE13+'Yearly BTX'!BE19+'Yearly Methanol'!BE21+'Yearly LC Ethylene'!Y15+'Yearly LC Propylene'!Y9</f>
        <v>5.1409516592155198</v>
      </c>
      <c r="BF12" s="44">
        <f>'Yearly Butadiene'!BF13+'Yearly BTX'!BF19+'Yearly Methanol'!BF21+'Yearly LC Ethylene'!Z15+'Yearly LC Propylene'!Z9</f>
        <v>5.9251013334981897</v>
      </c>
      <c r="BG12" s="44">
        <f>'Yearly Butadiene'!BG13+'Yearly BTX'!BG19+'Yearly Methanol'!BG21+'Yearly LC Ethylene'!AA15+'Yearly LC Propylene'!AA9</f>
        <v>6.7379077467121391</v>
      </c>
      <c r="BH12" s="44">
        <f>'Yearly Butadiene'!BH13+'Yearly BTX'!BH19+'Yearly Methanol'!BH21+'Yearly LC Ethylene'!AB15+'Yearly LC Propylene'!AB9</f>
        <v>7.5801806960261544</v>
      </c>
      <c r="BI12" s="44">
        <f>'Yearly Butadiene'!BI13+'Yearly BTX'!BI19+'Yearly Methanol'!BI21+'Yearly LC Ethylene'!AC15+'Yearly LC Propylene'!AC9</f>
        <v>8.4527503469176644</v>
      </c>
      <c r="BJ12" s="44">
        <f>'Yearly Butadiene'!BJ13+'Yearly BTX'!BJ19+'Yearly Methanol'!BJ21+'Yearly LC Ethylene'!AD15+'Yearly LC Propylene'!AD9</f>
        <v>9.3564677115888024</v>
      </c>
      <c r="BK12" s="44">
        <f>'Yearly Butadiene'!BK13+'Yearly BTX'!BK19+'Yearly Methanol'!BK21+'Yearly LC Ethylene'!AE15+'Yearly LC Propylene'!AE9</f>
        <v>10.292205138113346</v>
      </c>
      <c r="BL12" s="44">
        <f>'Yearly Butadiene'!BL13+'Yearly BTX'!BL19+'Yearly Methanol'!BL21+'Yearly LC Ethylene'!AF15+'Yearly LC Propylene'!AF9</f>
        <v>11.260856810547244</v>
      </c>
      <c r="BM12" s="44">
        <f>'Yearly Butadiene'!BM13+'Yearly BTX'!BM19+'Yearly Methanol'!BM21+'Yearly LC Ethylene'!AG15+'Yearly LC Propylene'!AG9</f>
        <v>12.263339260240368</v>
      </c>
      <c r="BN12" s="44">
        <f>'Yearly Butadiene'!BN13+'Yearly BTX'!BN19+'Yearly Methanol'!BN21+'Yearly LC Ethylene'!AH15+'Yearly LC Propylene'!AH9</f>
        <v>13.300591888592084</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B12" t="s">
        <v>248</v>
      </c>
      <c r="EC12">
        <v>88.454042501872067</v>
      </c>
      <c r="ED12" s="2">
        <f t="shared" si="88"/>
        <v>0.13279386557066661</v>
      </c>
      <c r="EF12" s="44">
        <f>AH19</f>
        <v>29.448703287241123</v>
      </c>
      <c r="EI12" s="44"/>
      <c r="EJ12" s="44"/>
      <c r="EK12" s="2"/>
      <c r="EL12" s="2"/>
      <c r="EM12" s="2"/>
      <c r="EN12" s="2"/>
      <c r="EO12" s="2"/>
      <c r="EP12" s="660">
        <f t="shared" si="96"/>
        <v>0.11963652906109089</v>
      </c>
    </row>
    <row r="13" spans="1:151" x14ac:dyDescent="0.2">
      <c r="A13" s="1" t="s">
        <v>1162</v>
      </c>
      <c r="B13" t="s">
        <v>78</v>
      </c>
      <c r="C13" s="54" t="s">
        <v>69</v>
      </c>
      <c r="D13" s="44">
        <f>'Yearly Butadiene'!D14+'Yearly BTX'!D20+'Yearly Methanol'!D22+'Yearly HC Ethylene'!D16+'Yearly HC Propylene'!D10</f>
        <v>0</v>
      </c>
      <c r="E13" s="44">
        <f>'Yearly Butadiene'!E14+'Yearly BTX'!E20+'Yearly Methanol'!E22+'Yearly HC Ethylene'!E16+'Yearly HC Propylene'!E10</f>
        <v>9.8632742290941794E-2</v>
      </c>
      <c r="F13" s="44">
        <f>'Yearly Butadiene'!F14+'Yearly BTX'!F20+'Yearly Methanol'!F22+'Yearly HC Ethylene'!F16+'Yearly HC Propylene'!F10</f>
        <v>0.20036320505033745</v>
      </c>
      <c r="G13" s="44">
        <f>'Yearly Butadiene'!G14+'Yearly BTX'!G20+'Yearly Methanol'!G22+'Yearly HC Ethylene'!G16+'Yearly HC Propylene'!G10</f>
        <v>0.30526230397950349</v>
      </c>
      <c r="H13" s="44">
        <f>'Yearly Butadiene'!H14+'Yearly BTX'!H20+'Yearly Methanol'!H22+'Yearly HC Ethylene'!H16+'Yearly HC Propylene'!H10</f>
        <v>0.4134023425607144</v>
      </c>
      <c r="I13" s="44">
        <f>'Yearly Butadiene'!I14+'Yearly BTX'!I20+'Yearly Methanol'!I22+'Yearly HC Ethylene'!I16+'Yearly HC Propylene'!I10</f>
        <v>0.52485703605698975</v>
      </c>
      <c r="J13" s="44">
        <f>'Yearly Butadiene'!J14+'Yearly BTX'!J20+'Yearly Methanol'!J22+'Yearly HC Ethylene'!J16+'Yearly HC Propylene'!J10</f>
        <v>0.63970153587169509</v>
      </c>
      <c r="K13" s="44">
        <f>'Yearly Butadiene'!K14+'Yearly BTX'!K20+'Yearly Methanol'!K22+'Yearly HC Ethylene'!K16+'Yearly HC Propylene'!K10</f>
        <v>0.7580124542721508</v>
      </c>
      <c r="L13" s="44">
        <f>'Yearly Butadiene'!L14+'Yearly BTX'!L20+'Yearly Methanol'!L22+'Yearly HC Ethylene'!L16+'Yearly HC Propylene'!L10</f>
        <v>0.879867889481455</v>
      </c>
      <c r="M13" s="44">
        <f>'Yearly Butadiene'!M14+'Yearly BTX'!M20+'Yearly Methanol'!M22+'Yearly HC Ethylene'!M16+'Yearly HC Propylene'!M10</f>
        <v>1.0053474511427467</v>
      </c>
      <c r="N13" s="44">
        <f>'Yearly Butadiene'!N14+'Yearly BTX'!N20+'Yearly Methanol'!N22+'Yearly HC Ethylene'!N16+'Yearly HC Propylene'!N10</f>
        <v>1.1345322861601486</v>
      </c>
      <c r="O13" s="44">
        <f>'Yearly Butadiene'!O14+'Yearly BTX'!O20+'Yearly Methanol'!O22+'Yearly HC Ethylene'!O16+'Yearly HC Propylene'!O10</f>
        <v>1.4957885939954552</v>
      </c>
      <c r="P13" s="44">
        <f>'Yearly Butadiene'!P14+'Yearly BTX'!P20+'Yearly Methanol'!P22+'Yearly HC Ethylene'!P16+'Yearly HC Propylene'!P10</f>
        <v>1.8669313060298158</v>
      </c>
      <c r="Q13" s="44">
        <f>'Yearly Butadiene'!Q14+'Yearly BTX'!Q20+'Yearly Methanol'!Q22+'Yearly HC Ethylene'!Q16+'Yearly HC Propylene'!Q10</f>
        <v>2.24809525417013</v>
      </c>
      <c r="R13" s="44">
        <f>'Yearly Butadiene'!R14+'Yearly BTX'!R20+'Yearly Methanol'!R22+'Yearly HC Ethylene'!R16+'Yearly HC Propylene'!R10</f>
        <v>2.6394143372282985</v>
      </c>
      <c r="S13" s="44">
        <f>'Yearly Butadiene'!S14+'Yearly BTX'!S20+'Yearly Methanol'!S22+'Yearly HC Ethylene'!S16+'Yearly HC Propylene'!S10</f>
        <v>3.0410213879363575</v>
      </c>
      <c r="T13" s="44">
        <f>'Yearly Butadiene'!T14+'Yearly BTX'!T20+'Yearly Methanol'!T22+'Yearly HC Ethylene'!T16+'Yearly HC Propylene'!T10</f>
        <v>3.4530480343598864</v>
      </c>
      <c r="U13" s="44">
        <f>'Yearly Butadiene'!U14+'Yearly BTX'!U20+'Yearly Methanol'!U22+'Yearly HC Ethylene'!U16+'Yearly HC Propylene'!U10</f>
        <v>3.8756245555297308</v>
      </c>
      <c r="V13" s="44">
        <f>'Yearly Butadiene'!V14+'Yearly BTX'!V20+'Yearly Methanol'!V22+'Yearly HC Ethylene'!V16+'Yearly HC Propylene'!V10</f>
        <v>4.3088797311070364</v>
      </c>
      <c r="W13" s="44">
        <f>'Yearly Butadiene'!W14+'Yearly BTX'!W20+'Yearly Methanol'!W22+'Yearly HC Ethylene'!W16+'Yearly HC Propylene'!W10</f>
        <v>4.7529406848913851</v>
      </c>
      <c r="X13" s="44">
        <f>'Yearly Butadiene'!X14+'Yearly BTX'!X20+'Yearly Methanol'!X22+'Yearly HC Ethylene'!X16+'Yearly HC Propylene'!X10</f>
        <v>5.2079327219765315</v>
      </c>
      <c r="Y13" s="44">
        <f>'Yearly Butadiene'!Y14+'Yearly BTX'!Y20+'Yearly Methanol'!Y22+'Yearly HC Ethylene'!Y16+'Yearly HC Propylene'!Y10</f>
        <v>6.0223435633173272</v>
      </c>
      <c r="Z13" s="44">
        <f>'Yearly Butadiene'!Z14+'Yearly BTX'!Z20+'Yearly Methanol'!Z22+'Yearly HC Ethylene'!Z16+'Yearly HC Propylene'!Z10</f>
        <v>6.8442602749265049</v>
      </c>
      <c r="AA13" s="44">
        <f>'Yearly Butadiene'!AA14+'Yearly BTX'!AA20+'Yearly Methanol'!AA22+'Yearly HC Ethylene'!AA16+'Yearly HC Propylene'!AA10</f>
        <v>7.6732159701541001</v>
      </c>
      <c r="AB13" s="44">
        <f>'Yearly Butadiene'!AB14+'Yearly BTX'!AB20+'Yearly Methanol'!AB22+'Yearly HC Ethylene'!AB16+'Yearly HC Propylene'!AB10</f>
        <v>8.5087145843138963</v>
      </c>
      <c r="AC13" s="44">
        <f>'Yearly Butadiene'!AC14+'Yearly BTX'!AC20+'Yearly Methanol'!AC22+'Yearly HC Ethylene'!AC16+'Yearly HC Propylene'!AC10</f>
        <v>9.3502297795078206</v>
      </c>
      <c r="AD13" s="44">
        <f>'Yearly Butadiene'!AD14+'Yearly BTX'!AD20+'Yearly Methanol'!AD22+'Yearly HC Ethylene'!AD16+'Yearly HC Propylene'!AD10</f>
        <v>10.197203815766649</v>
      </c>
      <c r="AE13" s="44">
        <f>'Yearly Butadiene'!AE14+'Yearly BTX'!AE20+'Yearly Methanol'!AE22+'Yearly HC Ethylene'!AE16+'Yearly HC Propylene'!AE10</f>
        <v>11.049046387581035</v>
      </c>
      <c r="AF13" s="44">
        <f>'Yearly Butadiene'!AF14+'Yearly BTX'!AF20+'Yearly Methanol'!AF22+'Yearly HC Ethylene'!AF16+'Yearly HC Propylene'!AF10</f>
        <v>11.905133424873288</v>
      </c>
      <c r="AG13" s="44">
        <f>'Yearly Butadiene'!AG14+'Yearly BTX'!AG20+'Yearly Methanol'!AG22+'Yearly HC Ethylene'!AG16+'Yearly HC Propylene'!AG10</f>
        <v>12.764805857436112</v>
      </c>
      <c r="AH13" s="44">
        <f>'Yearly Butadiene'!AH14+'Yearly BTX'!AH20+'Yearly Methanol'!AH22+'Yearly HC Ethylene'!AH16+'Yearly HC Propylene'!AH10</f>
        <v>13.627368341839691</v>
      </c>
      <c r="AI13" s="44"/>
      <c r="AJ13" s="44">
        <f>'Yearly Butadiene'!AJ14+'Yearly BTX'!AJ20+'Yearly Methanol'!AJ22+'Yearly LC Ethylene'!D16+'Yearly LC Propylene'!D10</f>
        <v>0</v>
      </c>
      <c r="AK13" s="44">
        <f>'Yearly Butadiene'!AK14+'Yearly BTX'!AK20+'Yearly Methanol'!AK22+'Yearly LC Ethylene'!E16+'Yearly LC Propylene'!E10</f>
        <v>4.9334633819953566E-2</v>
      </c>
      <c r="AL13" s="44">
        <f>'Yearly Butadiene'!AL14+'Yearly BTX'!AL20+'Yearly Methanol'!AL22+'Yearly LC Ethylene'!F16+'Yearly LC Propylene'!F10</f>
        <v>0.1002564565754154</v>
      </c>
      <c r="AM13" s="44">
        <f>'Yearly Butadiene'!AM14+'Yearly BTX'!AM20+'Yearly Methanol'!AM22+'Yearly LC Ethylene'!G16+'Yearly LC Propylene'!G10</f>
        <v>0.15280372160075356</v>
      </c>
      <c r="AN13" s="44">
        <f>'Yearly Butadiene'!AN14+'Yearly BTX'!AN20+'Yearly Methanol'!AN22+'Yearly LC Ethylene'!H16+'Yearly LC Propylene'!H10</f>
        <v>0.20701550011063752</v>
      </c>
      <c r="AO13" s="44">
        <f>'Yearly Butadiene'!AO14+'Yearly BTX'!AO20+'Yearly Methanol'!AO22+'Yearly LC Ethylene'!I16+'Yearly LC Propylene'!I10</f>
        <v>0.26293169753558082</v>
      </c>
      <c r="AP13" s="44">
        <f>'Yearly Butadiene'!AP14+'Yearly BTX'!AP20+'Yearly Methanol'!AP22+'Yearly LC Ethylene'!J16+'Yearly LC Propylene'!J10</f>
        <v>0.32059307016895311</v>
      </c>
      <c r="AQ13" s="44">
        <f>'Yearly Butadiene'!AQ14+'Yearly BTX'!AQ20+'Yearly Methanol'!AQ22+'Yearly LC Ethylene'!K16+'Yearly LC Propylene'!K10</f>
        <v>0.38004124213118751</v>
      </c>
      <c r="AR13" s="44">
        <f>'Yearly Butadiene'!AR14+'Yearly BTX'!AR20+'Yearly Methanol'!AR22+'Yearly LC Ethylene'!L16+'Yearly LC Propylene'!L10</f>
        <v>0.44131872265701355</v>
      </c>
      <c r="AS13" s="44">
        <f>'Yearly Butadiene'!AS14+'Yearly BTX'!AS20+'Yearly Methanol'!AS22+'Yearly LC Ethylene'!M16+'Yearly LC Propylene'!M10</f>
        <v>0.50446892371164931</v>
      </c>
      <c r="AT13" s="44">
        <f>'Yearly Butadiene'!AT14+'Yearly BTX'!AT20+'Yearly Methanol'!AT22+'Yearly LC Ethylene'!N16+'Yearly LC Propylene'!N10</f>
        <v>0.56953617794198974</v>
      </c>
      <c r="AU13" s="44">
        <f>'Yearly Butadiene'!AU14+'Yearly BTX'!AU20+'Yearly Methanol'!AU22+'Yearly LC Ethylene'!O16+'Yearly LC Propylene'!O10</f>
        <v>0.75270919528924007</v>
      </c>
      <c r="AV13" s="44">
        <f>'Yearly Butadiene'!AV14+'Yearly BTX'!AV20+'Yearly Methanol'!AV22+'Yearly LC Ethylene'!P16+'Yearly LC Propylene'!P10</f>
        <v>0.94179450016343136</v>
      </c>
      <c r="AW13" s="44">
        <f>'Yearly Butadiene'!AW14+'Yearly BTX'!AW20+'Yearly Methanol'!AW22+'Yearly LC Ethylene'!Q16+'Yearly LC Propylene'!Q10</f>
        <v>1.1369249855279546</v>
      </c>
      <c r="AX13" s="44">
        <f>'Yearly Butadiene'!AX14+'Yearly BTX'!AX20+'Yearly Methanol'!AX22+'Yearly LC Ethylene'!R16+'Yearly LC Propylene'!R10</f>
        <v>1.3382358996633055</v>
      </c>
      <c r="AY13" s="44">
        <f>'Yearly Butadiene'!AY14+'Yearly BTX'!AY20+'Yearly Methanol'!AY22+'Yearly LC Ethylene'!S16+'Yearly LC Propylene'!S10</f>
        <v>1.5458648768562289</v>
      </c>
      <c r="AZ13" s="44">
        <f>'Yearly Butadiene'!AZ14+'Yearly BTX'!AZ20+'Yearly Methanol'!AZ22+'Yearly LC Ethylene'!T16+'Yearly LC Propylene'!T10</f>
        <v>1.7599519682090454</v>
      </c>
      <c r="BA13" s="44">
        <f>'Yearly Butadiene'!BA14+'Yearly BTX'!BA20+'Yearly Methanol'!BA22+'Yearly LC Ethylene'!U16+'Yearly LC Propylene'!U10</f>
        <v>1.9806396725592936</v>
      </c>
      <c r="BB13" s="44">
        <f>'Yearly Butadiene'!BB14+'Yearly BTX'!BB20+'Yearly Methanol'!BB22+'Yearly LC Ethylene'!V16+'Yearly LC Propylene'!V10</f>
        <v>2.208072967499338</v>
      </c>
      <c r="BC13" s="44">
        <f>'Yearly Butadiene'!BC14+'Yearly BTX'!BC20+'Yearly Methanol'!BC22+'Yearly LC Ethylene'!W16+'Yearly LC Propylene'!W10</f>
        <v>2.4423993404851148</v>
      </c>
      <c r="BD13" s="44">
        <f>'Yearly Butadiene'!BD14+'Yearly BTX'!BD20+'Yearly Methanol'!BD22+'Yearly LC Ethylene'!X16+'Yearly LC Propylene'!X10</f>
        <v>2.6837688200226877</v>
      </c>
      <c r="BE13" s="44">
        <f>'Yearly Butadiene'!BE14+'Yearly BTX'!BE20+'Yearly Methanol'!BE22+'Yearly LC Ethylene'!Y16+'Yearly LC Propylene'!Y10</f>
        <v>3.127625770721302</v>
      </c>
      <c r="BF13" s="44">
        <f>'Yearly Butadiene'!BF14+'Yearly BTX'!BF20+'Yearly Methanol'!BF22+'Yearly LC Ethylene'!Z16+'Yearly LC Propylene'!Z10</f>
        <v>3.5826337575243006</v>
      </c>
      <c r="BG13" s="44">
        <f>'Yearly Butadiene'!BG14+'Yearly BTX'!BG20+'Yearly Methanol'!BG22+'Yearly LC Ethylene'!AA16+'Yearly LC Propylene'!AA10</f>
        <v>4.0489196551971158</v>
      </c>
      <c r="BH13" s="44">
        <f>'Yearly Butadiene'!BH14+'Yearly BTX'!BH20+'Yearly Methanol'!BH22+'Yearly LC Ethylene'!AB16+'Yearly LC Propylene'!AB10</f>
        <v>4.5266081364208013</v>
      </c>
      <c r="BI13" s="44">
        <f>'Yearly Butadiene'!BI14+'Yearly BTX'!BI20+'Yearly Methanol'!BI22+'Yearly LC Ethylene'!AC16+'Yearly LC Propylene'!AC10</f>
        <v>5.0158214840504733</v>
      </c>
      <c r="BJ13" s="44">
        <f>'Yearly Butadiene'!BJ14+'Yearly BTX'!BJ20+'Yearly Methanol'!BJ22+'Yearly LC Ethylene'!AD16+'Yearly LC Propylene'!AD10</f>
        <v>5.5166793959855669</v>
      </c>
      <c r="BK13" s="44">
        <f>'Yearly Butadiene'!BK14+'Yearly BTX'!BK20+'Yearly Methanol'!BK22+'Yearly LC Ethylene'!AE16+'Yearly LC Propylene'!AE10</f>
        <v>6.0292987824211473</v>
      </c>
      <c r="BL13" s="44">
        <f>'Yearly Butadiene'!BL14+'Yearly BTX'!BL20+'Yearly Methanol'!BL22+'Yearly LC Ethylene'!AF16+'Yearly LC Propylene'!AF10</f>
        <v>6.5537935552431232</v>
      </c>
      <c r="BM13" s="44">
        <f>'Yearly Butadiene'!BM14+'Yearly BTX'!BM20+'Yearly Methanol'!BM22+'Yearly LC Ethylene'!AG16+'Yearly LC Propylene'!AG10</f>
        <v>7.0902744093236816</v>
      </c>
      <c r="BN13" s="44">
        <f>'Yearly Butadiene'!BN14+'Yearly BTX'!BN20+'Yearly Methanol'!BN22+'Yearly LC Ethylene'!AH16+'Yearly LC Propylene'!AH10</f>
        <v>7.6388485954664951</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C13">
        <f>SUM(EC6:EC12)</f>
        <v>666.10036632152264</v>
      </c>
      <c r="EF13" s="44">
        <f>SUM(EF6:EF12)</f>
        <v>246.15143483645798</v>
      </c>
      <c r="EI13" s="44"/>
      <c r="EJ13" s="44"/>
      <c r="EK13" s="2"/>
      <c r="EL13" s="2"/>
      <c r="EM13" s="2"/>
      <c r="EN13" s="2"/>
      <c r="EO13" s="2"/>
      <c r="EP13" s="660">
        <f t="shared" si="96"/>
        <v>1</v>
      </c>
    </row>
    <row r="14" spans="1:151" x14ac:dyDescent="0.2">
      <c r="A14" s="1" t="s">
        <v>1162</v>
      </c>
      <c r="B14" t="s">
        <v>79</v>
      </c>
      <c r="C14" s="54" t="s">
        <v>69</v>
      </c>
      <c r="D14" s="44">
        <f>'Yearly Butadiene'!D27+'Yearly BTX'!D39+'Yearly Methanol'!D41+'Yearly HC Ethylene'!D41+'Yearly HC Propylene'!D23</f>
        <v>0</v>
      </c>
      <c r="E14" s="44">
        <f>'Yearly Butadiene'!E27+'Yearly BTX'!E39+'Yearly Methanol'!E41+'Yearly HC Ethylene'!E41+'Yearly HC Propylene'!E23</f>
        <v>1.2365128339794906</v>
      </c>
      <c r="F14" s="44">
        <f>'Yearly Butadiene'!F27+'Yearly BTX'!F39+'Yearly Methanol'!F41+'Yearly HC Ethylene'!F41+'Yearly HC Propylene'!F23</f>
        <v>2.5116115806348578</v>
      </c>
      <c r="G14" s="44">
        <f>'Yearly Butadiene'!G27+'Yearly BTX'!G39+'Yearly Methanol'!G41+'Yearly HC Ethylene'!G41+'Yearly HC Propylene'!G23</f>
        <v>3.8262224587549092</v>
      </c>
      <c r="H14" s="44">
        <f>'Yearly Butadiene'!H27+'Yearly BTX'!H39+'Yearly Methanol'!H41+'Yearly HC Ethylene'!H41+'Yearly HC Propylene'!H23</f>
        <v>5.1812918204096841</v>
      </c>
      <c r="I14" s="44">
        <f>'Yearly Butadiene'!I27+'Yearly BTX'!I39+'Yearly Methanol'!I41+'Yearly HC Ethylene'!I41+'Yearly HC Propylene'!I23</f>
        <v>6.5777865666728257</v>
      </c>
      <c r="J14" s="44">
        <f>'Yearly Butadiene'!J27+'Yearly BTX'!J39+'Yearly Methanol'!J41+'Yearly HC Ethylene'!J41+'Yearly HC Propylene'!J23</f>
        <v>8.0166945716600129</v>
      </c>
      <c r="K14" s="44">
        <f>'Yearly Butadiene'!K27+'Yearly BTX'!K39+'Yearly Methanol'!K41+'Yearly HC Ethylene'!K41+'Yearly HC Propylene'!K23</f>
        <v>9.4990251150462051</v>
      </c>
      <c r="L14" s="44">
        <f>'Yearly Butadiene'!L27+'Yearly BTX'!L39+'Yearly Methanol'!L41+'Yearly HC Ethylene'!L41+'Yearly HC Propylene'!L23</f>
        <v>11.025809323227547</v>
      </c>
      <c r="M14" s="44">
        <f>'Yearly Butadiene'!M27+'Yearly BTX'!M39+'Yearly Methanol'!M41+'Yearly HC Ethylene'!M41+'Yearly HC Propylene'!M23</f>
        <v>12.598100619297039</v>
      </c>
      <c r="N14" s="44">
        <f>'Yearly Butadiene'!N27+'Yearly BTX'!N39+'Yearly Methanol'!N41+'Yearly HC Ethylene'!N41+'Yearly HC Propylene'!N23</f>
        <v>14.216975182006241</v>
      </c>
      <c r="O14" s="44">
        <f>'Yearly Butadiene'!O27+'Yearly BTX'!O39+'Yearly Methanol'!O41+'Yearly HC Ethylene'!O41+'Yearly HC Propylene'!O23</f>
        <v>15.88353241388868</v>
      </c>
      <c r="P14" s="44">
        <f>'Yearly Butadiene'!P27+'Yearly BTX'!P39+'Yearly Methanol'!P41+'Yearly HC Ethylene'!P41+'Yearly HC Propylene'!P23</f>
        <v>17.598895418723966</v>
      </c>
      <c r="Q14" s="44">
        <f>'Yearly Butadiene'!Q27+'Yearly BTX'!Q39+'Yearly Methanol'!Q41+'Yearly HC Ethylene'!Q41+'Yearly HC Propylene'!Q23</f>
        <v>19.364211488525026</v>
      </c>
      <c r="R14" s="44">
        <f>'Yearly Butadiene'!R27+'Yearly BTX'!R39+'Yearly Methanol'!R41+'Yearly HC Ethylene'!R41+'Yearly HC Propylene'!R23</f>
        <v>21.180652600234499</v>
      </c>
      <c r="S14" s="44">
        <f>'Yearly Butadiene'!S27+'Yearly BTX'!S39+'Yearly Methanol'!S41+'Yearly HC Ethylene'!S41+'Yearly HC Propylene'!S23</f>
        <v>23.049415922319739</v>
      </c>
      <c r="T14" s="44">
        <f>'Yearly Butadiene'!T27+'Yearly BTX'!T39+'Yearly Methanol'!T41+'Yearly HC Ethylene'!T41+'Yearly HC Propylene'!T23</f>
        <v>24.971724331459662</v>
      </c>
      <c r="U14" s="44">
        <f>'Yearly Butadiene'!U27+'Yearly BTX'!U39+'Yearly Methanol'!U41+'Yearly HC Ethylene'!U41+'Yearly HC Propylene'!U23</f>
        <v>26.948826939520256</v>
      </c>
      <c r="V14" s="44">
        <f>'Yearly Butadiene'!V27+'Yearly BTX'!V39+'Yearly Methanol'!V41+'Yearly HC Ethylene'!V41+'Yearly HC Propylene'!V23</f>
        <v>28.981999631019523</v>
      </c>
      <c r="W14" s="44">
        <f>'Yearly Butadiene'!W27+'Yearly BTX'!W39+'Yearly Methanol'!W41+'Yearly HC Ethylene'!W41+'Yearly HC Propylene'!W23</f>
        <v>31.072545611286266</v>
      </c>
      <c r="X14" s="44">
        <f>'Yearly Butadiene'!X27+'Yearly BTX'!X39+'Yearly Methanol'!X41+'Yearly HC Ethylene'!X41+'Yearly HC Propylene'!X23</f>
        <v>33.221795965521224</v>
      </c>
      <c r="Y14" s="44">
        <f>'Yearly Butadiene'!Y27+'Yearly BTX'!Y39+'Yearly Methanol'!Y41+'Yearly HC Ethylene'!Y41+'Yearly HC Propylene'!Y23</f>
        <v>35.48223737216054</v>
      </c>
      <c r="Z14" s="44">
        <f>'Yearly Butadiene'!Z27+'Yearly BTX'!Z39+'Yearly Methanol'!Z41+'Yearly HC Ethylene'!Z41+'Yearly HC Propylene'!Z23</f>
        <v>37.805738888468511</v>
      </c>
      <c r="AA14" s="44">
        <f>'Yearly Butadiene'!AA27+'Yearly BTX'!AA39+'Yearly Methanol'!AA41+'Yearly HC Ethylene'!AA41+'Yearly HC Propylene'!AA23</f>
        <v>40.193757515179449</v>
      </c>
      <c r="AB14" s="44">
        <f>'Yearly Butadiene'!AB27+'Yearly BTX'!AB39+'Yearly Methanol'!AB41+'Yearly HC Ethylene'!AB41+'Yearly HC Propylene'!AB23</f>
        <v>42.647781329515581</v>
      </c>
      <c r="AC14" s="44">
        <f>'Yearly Butadiene'!AC27+'Yearly BTX'!AC39+'Yearly Methanol'!AC41+'Yearly HC Ethylene'!AC41+'Yearly HC Propylene'!AC23</f>
        <v>45.16933011956889</v>
      </c>
      <c r="AD14" s="44">
        <f>'Yearly Butadiene'!AD27+'Yearly BTX'!AD39+'Yearly Methanol'!AD41+'Yearly HC Ethylene'!AD41+'Yearly HC Propylene'!AD23</f>
        <v>47.759956031274314</v>
      </c>
      <c r="AE14" s="44">
        <f>'Yearly Butadiene'!AE27+'Yearly BTX'!AE39+'Yearly Methanol'!AE41+'Yearly HC Ethylene'!AE41+'Yearly HC Propylene'!AE23</f>
        <v>50.421244228219145</v>
      </c>
      <c r="AF14" s="44">
        <f>'Yearly Butadiene'!AF27+'Yearly BTX'!AF39+'Yearly Methanol'!AF41+'Yearly HC Ethylene'!AF41+'Yearly HC Propylene'!AF23</f>
        <v>53.154813564538401</v>
      </c>
      <c r="AG14" s="44">
        <f>'Yearly Butadiene'!AG27+'Yearly BTX'!AG39+'Yearly Methanol'!AG41+'Yearly HC Ethylene'!AG41+'Yearly HC Propylene'!AG23</f>
        <v>55.962317271150511</v>
      </c>
      <c r="AH14" s="44">
        <f>'Yearly Butadiene'!AH27+'Yearly BTX'!AH39+'Yearly Methanol'!AH41+'Yearly HC Ethylene'!AH41+'Yearly HC Propylene'!AH23</f>
        <v>58.845443655592717</v>
      </c>
      <c r="AI14" s="44"/>
      <c r="AJ14" s="44">
        <f>'Yearly Butadiene'!AJ27+'Yearly BTX'!AJ39+'Yearly Methanol'!AJ41+'Yearly LC Ethylene'!D41+'Yearly LC Propylene'!D23</f>
        <v>0</v>
      </c>
      <c r="AK14" s="44">
        <f>'Yearly Butadiene'!AK27+'Yearly BTX'!AK39+'Yearly Methanol'!AK41+'Yearly LC Ethylene'!E41+'Yearly LC Propylene'!E23</f>
        <v>0.49460513359179614</v>
      </c>
      <c r="AL14" s="44">
        <f>'Yearly Butadiene'!AL27+'Yearly BTX'!AL39+'Yearly Methanol'!AL41+'Yearly LC Ethylene'!F41+'Yearly LC Propylene'!F23</f>
        <v>1.0046446322539431</v>
      </c>
      <c r="AM14" s="44">
        <f>'Yearly Butadiene'!AM27+'Yearly BTX'!AM39+'Yearly Methanol'!AM41+'Yearly LC Ethylene'!G41+'Yearly LC Propylene'!G23</f>
        <v>1.5304889835019635</v>
      </c>
      <c r="AN14" s="44">
        <f>'Yearly Butadiene'!AN27+'Yearly BTX'!AN39+'Yearly Methanol'!AN41+'Yearly LC Ethylene'!H41+'Yearly LC Propylene'!H23</f>
        <v>2.0725167281638734</v>
      </c>
      <c r="AO14" s="44">
        <f>'Yearly Butadiene'!AO27+'Yearly BTX'!AO39+'Yearly Methanol'!AO41+'Yearly LC Ethylene'!I41+'Yearly LC Propylene'!I23</f>
        <v>2.6311146266691301</v>
      </c>
      <c r="AP14" s="44">
        <f>'Yearly Butadiene'!AP27+'Yearly BTX'!AP39+'Yearly Methanol'!AP41+'Yearly LC Ethylene'!J41+'Yearly LC Propylene'!J23</f>
        <v>3.206677828664005</v>
      </c>
      <c r="AQ14" s="44">
        <f>'Yearly Butadiene'!AQ27+'Yearly BTX'!AQ39+'Yearly Methanol'!AQ41+'Yearly LC Ethylene'!K41+'Yearly LC Propylene'!K23</f>
        <v>3.799610046018481</v>
      </c>
      <c r="AR14" s="44">
        <f>'Yearly Butadiene'!AR27+'Yearly BTX'!AR39+'Yearly Methanol'!AR41+'Yearly LC Ethylene'!L41+'Yearly LC Propylene'!L23</f>
        <v>4.4103237292910187</v>
      </c>
      <c r="AS14" s="44">
        <f>'Yearly Butadiene'!AS27+'Yearly BTX'!AS39+'Yearly Methanol'!AS41+'Yearly LC Ethylene'!M41+'Yearly LC Propylene'!M23</f>
        <v>5.0392402477188156</v>
      </c>
      <c r="AT14" s="44">
        <f>'Yearly Butadiene'!AT27+'Yearly BTX'!AT39+'Yearly Methanol'!AT41+'Yearly LC Ethylene'!N41+'Yearly LC Propylene'!N23</f>
        <v>5.6867900728024958</v>
      </c>
      <c r="AU14" s="44">
        <f>'Yearly Butadiene'!AU27+'Yearly BTX'!AU39+'Yearly Methanol'!AU41+'Yearly LC Ethylene'!O41+'Yearly LC Propylene'!O23</f>
        <v>6.3534129655554725</v>
      </c>
      <c r="AV14" s="44">
        <f>'Yearly Butadiene'!AV27+'Yearly BTX'!AV39+'Yearly Methanol'!AV41+'Yearly LC Ethylene'!P41+'Yearly LC Propylene'!P23</f>
        <v>7.0395581674895862</v>
      </c>
      <c r="AW14" s="44">
        <f>'Yearly Butadiene'!AW27+'Yearly BTX'!AW39+'Yearly Methanol'!AW41+'Yearly LC Ethylene'!Q41+'Yearly LC Propylene'!Q23</f>
        <v>7.74568459541001</v>
      </c>
      <c r="AX14" s="44">
        <f>'Yearly Butadiene'!AX27+'Yearly BTX'!AX39+'Yearly Methanol'!AX41+'Yearly LC Ethylene'!R41+'Yearly LC Propylene'!R23</f>
        <v>8.4722610400937981</v>
      </c>
      <c r="AY14" s="44">
        <f>'Yearly Butadiene'!AY27+'Yearly BTX'!AY39+'Yearly Methanol'!AY41+'Yearly LC Ethylene'!S41+'Yearly LC Propylene'!S23</f>
        <v>9.2197663689278944</v>
      </c>
      <c r="AZ14" s="44">
        <f>'Yearly Butadiene'!AZ27+'Yearly BTX'!AZ39+'Yearly Methanol'!AZ41+'Yearly LC Ethylene'!T41+'Yearly LC Propylene'!T23</f>
        <v>9.9886897325838646</v>
      </c>
      <c r="BA14" s="44">
        <f>'Yearly Butadiene'!BA27+'Yearly BTX'!BA39+'Yearly Methanol'!BA41+'Yearly LC Ethylene'!U41+'Yearly LC Propylene'!U23</f>
        <v>10.779530775808102</v>
      </c>
      <c r="BB14" s="44">
        <f>'Yearly Butadiene'!BB27+'Yearly BTX'!BB39+'Yearly Methanol'!BB41+'Yearly LC Ethylene'!V41+'Yearly LC Propylene'!V23</f>
        <v>11.592799852407808</v>
      </c>
      <c r="BC14" s="44">
        <f>'Yearly Butadiene'!BC27+'Yearly BTX'!BC39+'Yearly Methanol'!BC41+'Yearly LC Ethylene'!W41+'Yearly LC Propylene'!W23</f>
        <v>12.429018244514504</v>
      </c>
      <c r="BD14" s="44">
        <f>'Yearly Butadiene'!BD27+'Yearly BTX'!BD39+'Yearly Methanol'!BD41+'Yearly LC Ethylene'!X41+'Yearly LC Propylene'!X23</f>
        <v>13.28871838620849</v>
      </c>
      <c r="BE14" s="44">
        <f>'Yearly Butadiene'!BE27+'Yearly BTX'!BE39+'Yearly Methanol'!BE41+'Yearly LC Ethylene'!Y41+'Yearly LC Propylene'!Y23</f>
        <v>14.192894948864216</v>
      </c>
      <c r="BF14" s="44">
        <f>'Yearly Butadiene'!BF27+'Yearly BTX'!BF39+'Yearly Methanol'!BF41+'Yearly LC Ethylene'!Z41+'Yearly LC Propylene'!Z23</f>
        <v>15.122295555387399</v>
      </c>
      <c r="BG14" s="44">
        <f>'Yearly Butadiene'!BG27+'Yearly BTX'!BG39+'Yearly Methanol'!BG41+'Yearly LC Ethylene'!AA41+'Yearly LC Propylene'!AA23</f>
        <v>16.077503006071776</v>
      </c>
      <c r="BH14" s="44">
        <f>'Yearly Butadiene'!BH27+'Yearly BTX'!BH39+'Yearly Methanol'!BH41+'Yearly LC Ethylene'!AB41+'Yearly LC Propylene'!AB23</f>
        <v>17.059112531806235</v>
      </c>
      <c r="BI14" s="44">
        <f>'Yearly Butadiene'!BI27+'Yearly BTX'!BI39+'Yearly Methanol'!BI41+'Yearly LC Ethylene'!AC41+'Yearly LC Propylene'!AC23</f>
        <v>18.067732047827555</v>
      </c>
      <c r="BJ14" s="44">
        <f>'Yearly Butadiene'!BJ27+'Yearly BTX'!BJ39+'Yearly Methanol'!BJ41+'Yearly LC Ethylene'!AD41+'Yearly LC Propylene'!AD23</f>
        <v>19.103982412509723</v>
      </c>
      <c r="BK14" s="44">
        <f>'Yearly Butadiene'!BK27+'Yearly BTX'!BK39+'Yearly Methanol'!BK41+'Yearly LC Ethylene'!AE41+'Yearly LC Propylene'!AE23</f>
        <v>20.168497691287655</v>
      </c>
      <c r="BL14" s="44">
        <f>'Yearly Butadiene'!BL27+'Yearly BTX'!BL39+'Yearly Methanol'!BL41+'Yearly LC Ethylene'!AF41+'Yearly LC Propylene'!AF23</f>
        <v>21.26192542581536</v>
      </c>
      <c r="BM14" s="44">
        <f>'Yearly Butadiene'!BM27+'Yearly BTX'!BM39+'Yearly Methanol'!BM41+'Yearly LC Ethylene'!AG41+'Yearly LC Propylene'!AG23</f>
        <v>22.384926908460201</v>
      </c>
      <c r="BN14" s="44">
        <f>'Yearly Butadiene'!BN27+'Yearly BTX'!BN39+'Yearly Methanol'!BN41+'Yearly LC Ethylene'!AH41+'Yearly LC Propylene'!AH23</f>
        <v>23.538177462237087</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C14">
        <f>SUM('Yearly Summary'!D9)</f>
        <v>661.79220645045098</v>
      </c>
      <c r="EI14" s="44"/>
      <c r="EJ14" s="44"/>
      <c r="EK14" s="2"/>
      <c r="EL14" s="2"/>
      <c r="EM14" s="2"/>
      <c r="EN14" s="2"/>
      <c r="EO14" s="2"/>
    </row>
    <row r="15" spans="1:151" x14ac:dyDescent="0.2">
      <c r="A15" s="1" t="s">
        <v>1163</v>
      </c>
      <c r="B15" t="s">
        <v>80</v>
      </c>
      <c r="C15" s="54" t="s">
        <v>69</v>
      </c>
      <c r="D15" s="44">
        <f>'Yearly Butadiene'!D28+'Yearly BTX'!D40+'Yearly Methanol'!D42+'Yearly HC Ethylene'!D42+'Yearly HC Propylene'!D24</f>
        <v>0</v>
      </c>
      <c r="E15" s="44">
        <f>'Yearly Butadiene'!E28+'Yearly BTX'!E40+'Yearly Methanol'!E42+'Yearly HC Ethylene'!E42+'Yearly HC Propylene'!E24</f>
        <v>0.33412853574638918</v>
      </c>
      <c r="F15" s="44">
        <f>'Yearly Butadiene'!F28+'Yearly BTX'!F40+'Yearly Methanol'!F42+'Yearly HC Ethylene'!F42+'Yearly HC Propylene'!F24</f>
        <v>0.67855303849316906</v>
      </c>
      <c r="G15" s="44">
        <f>'Yearly Butadiene'!G28+'Yearly BTX'!G40+'Yearly Methanol'!G42+'Yearly HC Ethylene'!G42+'Yearly HC Propylene'!G24</f>
        <v>1.0335185640285178</v>
      </c>
      <c r="H15" s="44">
        <f>'Yearly Butadiene'!H28+'Yearly BTX'!H40+'Yearly Methanol'!H42+'Yearly HC Ethylene'!H42+'Yearly HC Propylene'!H24</f>
        <v>1.399275467239617</v>
      </c>
      <c r="I15" s="44">
        <f>'Yearly Butadiene'!I28+'Yearly BTX'!I40+'Yearly Methanol'!I42+'Yearly HC Ethylene'!I42+'Yearly HC Propylene'!I24</f>
        <v>1.7760795112196552</v>
      </c>
      <c r="J15" s="44">
        <f>'Yearly Butadiene'!J28+'Yearly BTX'!J40+'Yearly Methanol'!J42+'Yearly HC Ethylene'!J42+'Yearly HC Propylene'!J24</f>
        <v>2.1641919785546171</v>
      </c>
      <c r="K15" s="44">
        <f>'Yearly Butadiene'!K28+'Yearly BTX'!K40+'Yearly Methanol'!K42+'Yearly HC Ethylene'!K42+'Yearly HC Propylene'!K24</f>
        <v>2.5638797848325021</v>
      </c>
      <c r="L15" s="44">
        <f>'Yearly Butadiene'!L28+'Yearly BTX'!L40+'Yearly Methanol'!L42+'Yearly HC Ethylene'!L42+'Yearly HC Propylene'!L24</f>
        <v>2.9754155944184384</v>
      </c>
      <c r="M15" s="44">
        <f>'Yearly Butadiene'!M28+'Yearly BTX'!M40+'Yearly Methanol'!M42+'Yearly HC Ethylene'!M42+'Yearly HC Propylene'!M24</f>
        <v>3.3990779385399978</v>
      </c>
      <c r="N15" s="44">
        <f>'Yearly Butadiene'!N28+'Yearly BTX'!N40+'Yearly Methanol'!N42+'Yearly HC Ethylene'!N42+'Yearly HC Propylene'!N24</f>
        <v>3.8351513357278568</v>
      </c>
      <c r="O15" s="44">
        <f>'Yearly Butadiene'!O28+'Yearly BTX'!O40+'Yearly Methanol'!O42+'Yearly HC Ethylene'!O42+'Yearly HC Propylene'!O24</f>
        <v>4.2839264146578451</v>
      </c>
      <c r="P15" s="44">
        <f>'Yearly Butadiene'!P28+'Yearly BTX'!P40+'Yearly Methanol'!P42+'Yearly HC Ethylene'!P42+'Yearly HC Propylene'!P24</f>
        <v>4.7457000394412745</v>
      </c>
      <c r="Q15" s="44">
        <f>'Yearly Butadiene'!Q28+'Yearly BTX'!Q40+'Yearly Methanol'!Q42+'Yearly HC Ethylene'!Q42+'Yearly HC Propylene'!Q24</f>
        <v>5.2207754374113646</v>
      </c>
      <c r="R15" s="44">
        <f>'Yearly Butadiene'!R28+'Yearly BTX'!R40+'Yearly Methanol'!R42+'Yearly HC Ethylene'!R42+'Yearly HC Propylene'!R24</f>
        <v>5.7094623294544977</v>
      </c>
      <c r="S15" s="44">
        <f>'Yearly Butadiene'!S28+'Yearly BTX'!S40+'Yearly Methanol'!S42+'Yearly HC Ethylene'!S42+'Yearly HC Propylene'!S24</f>
        <v>6.2120770629359852</v>
      </c>
      <c r="T15" s="44">
        <f>'Yearly Butadiene'!T28+'Yearly BTX'!T40+'Yearly Methanol'!T42+'Yearly HC Ethylene'!T42+'Yearly HC Propylene'!T24</f>
        <v>6.7289427472709296</v>
      </c>
      <c r="U15" s="44">
        <f>'Yearly Butadiene'!U28+'Yearly BTX'!U40+'Yearly Methanol'!U42+'Yearly HC Ethylene'!U42+'Yearly HC Propylene'!U24</f>
        <v>7.260389392191815</v>
      </c>
      <c r="V15" s="44">
        <f>'Yearly Butadiene'!V28+'Yearly BTX'!V40+'Yearly Methanol'!V42+'Yearly HC Ethylene'!V42+'Yearly HC Propylene'!V24</f>
        <v>7.8067540487654092</v>
      </c>
      <c r="W15" s="44">
        <f>'Yearly Butadiene'!W28+'Yearly BTX'!W40+'Yearly Methanol'!W42+'Yearly HC Ethylene'!W42+'Yearly HC Propylene'!W24</f>
        <v>8.3683809532125348</v>
      </c>
      <c r="X15" s="44">
        <f>'Yearly Butadiene'!X28+'Yearly BTX'!X40+'Yearly Methanol'!X42+'Yearly HC Ethylene'!X42+'Yearly HC Propylene'!X24</f>
        <v>8.9456216735853911</v>
      </c>
      <c r="Y15" s="44">
        <f>'Yearly Butadiene'!Y28+'Yearly BTX'!Y40+'Yearly Methanol'!Y42+'Yearly HC Ethylene'!Y42+'Yearly HC Propylene'!Y24</f>
        <v>9.5525998124018692</v>
      </c>
      <c r="Z15" s="44">
        <f>'Yearly Butadiene'!Z28+'Yearly BTX'!Z40+'Yearly Methanol'!Z42+'Yearly HC Ethylene'!Z42+'Yearly HC Propylene'!Z24</f>
        <v>10.176345386807862</v>
      </c>
      <c r="AA15" s="44">
        <f>'Yearly Butadiene'!AA28+'Yearly BTX'!AA40+'Yearly Methanol'!AA42+'Yearly HC Ethylene'!AA42+'Yearly HC Propylene'!AA24</f>
        <v>10.8172431218449</v>
      </c>
      <c r="AB15" s="44">
        <f>'Yearly Butadiene'!AB28+'Yearly BTX'!AB40+'Yearly Methanol'!AB42+'Yearly HC Ethylene'!AB42+'Yearly HC Propylene'!AB24</f>
        <v>11.475685913551473</v>
      </c>
      <c r="AC15" s="44">
        <f>'Yearly Butadiene'!AC28+'Yearly BTX'!AC40+'Yearly Methanol'!AC42+'Yearly HC Ethylene'!AC42+'Yearly HC Propylene'!AC24</f>
        <v>12.152074995386378</v>
      </c>
      <c r="AD15" s="44">
        <f>'Yearly Butadiene'!AD28+'Yearly BTX'!AD40+'Yearly Methanol'!AD42+'Yearly HC Ethylene'!AD42+'Yearly HC Propylene'!AD24</f>
        <v>12.846820107952219</v>
      </c>
      <c r="AE15" s="44">
        <f>'Yearly Butadiene'!AE28+'Yearly BTX'!AE40+'Yearly Methanol'!AE42+'Yearly HC Ethylene'!AE42+'Yearly HC Propylene'!AE24</f>
        <v>13.560339672083245</v>
      </c>
      <c r="AF15" s="44">
        <f>'Yearly Butadiene'!AF28+'Yearly BTX'!AF40+'Yearly Methanol'!AF42+'Yearly HC Ethylene'!AF42+'Yearly HC Propylene'!AF24</f>
        <v>14.293060965362997</v>
      </c>
      <c r="AG15" s="44">
        <f>'Yearly Butadiene'!AG28+'Yearly BTX'!AG40+'Yearly Methanol'!AG42+'Yearly HC Ethylene'!AG42+'Yearly HC Propylene'!AG24</f>
        <v>15.045420302138396</v>
      </c>
      <c r="AH15" s="44">
        <f>'Yearly Butadiene'!AH28+'Yearly BTX'!AH40+'Yearly Methanol'!AH42+'Yearly HC Ethylene'!AH42+'Yearly HC Propylene'!AH24</f>
        <v>15.81786321709831</v>
      </c>
      <c r="AI15" s="44"/>
      <c r="AJ15" s="44">
        <f>'Yearly Butadiene'!AJ28+'Yearly BTX'!AJ40+'Yearly Methanol'!AJ42+'Yearly LC Ethylene'!D42+'Yearly LC Propylene'!D24</f>
        <v>0</v>
      </c>
      <c r="AK15" s="44">
        <f>'Yearly Butadiene'!AK28+'Yearly BTX'!AK40+'Yearly Methanol'!AK42+'Yearly LC Ethylene'!E42+'Yearly LC Propylene'!E24</f>
        <v>0.16706426787319459</v>
      </c>
      <c r="AL15" s="44">
        <f>'Yearly Butadiene'!AL28+'Yearly BTX'!AL40+'Yearly Methanol'!AL42+'Yearly LC Ethylene'!F42+'Yearly LC Propylene'!F24</f>
        <v>0.33927651924658453</v>
      </c>
      <c r="AM15" s="44">
        <f>'Yearly Butadiene'!AM28+'Yearly BTX'!AM40+'Yearly Methanol'!AM42+'Yearly LC Ethylene'!G42+'Yearly LC Propylene'!G24</f>
        <v>0.51675928201425891</v>
      </c>
      <c r="AN15" s="44">
        <f>'Yearly Butadiene'!AN28+'Yearly BTX'!AN40+'Yearly Methanol'!AN42+'Yearly LC Ethylene'!H42+'Yearly LC Propylene'!H24</f>
        <v>0.69963773361980852</v>
      </c>
      <c r="AO15" s="44">
        <f>'Yearly Butadiene'!AO28+'Yearly BTX'!AO40+'Yearly Methanol'!AO42+'Yearly LC Ethylene'!I42+'Yearly LC Propylene'!I24</f>
        <v>0.88803975560982762</v>
      </c>
      <c r="AP15" s="44">
        <f>'Yearly Butadiene'!AP28+'Yearly BTX'!AP40+'Yearly Methanol'!AP42+'Yearly LC Ethylene'!J42+'Yearly LC Propylene'!J24</f>
        <v>1.0820959892773085</v>
      </c>
      <c r="AQ15" s="44">
        <f>'Yearly Butadiene'!AQ28+'Yearly BTX'!AQ40+'Yearly Methanol'!AQ42+'Yearly LC Ethylene'!K42+'Yearly LC Propylene'!K24</f>
        <v>1.2819398924162511</v>
      </c>
      <c r="AR15" s="44">
        <f>'Yearly Butadiene'!AR28+'Yearly BTX'!AR40+'Yearly Methanol'!AR42+'Yearly LC Ethylene'!L42+'Yearly LC Propylene'!L24</f>
        <v>1.4877077972092192</v>
      </c>
      <c r="AS15" s="44">
        <f>'Yearly Butadiene'!AS28+'Yearly BTX'!AS40+'Yearly Methanol'!AS42+'Yearly LC Ethylene'!M42+'Yearly LC Propylene'!M24</f>
        <v>1.6995389692699989</v>
      </c>
      <c r="AT15" s="44">
        <f>'Yearly Butadiene'!AT28+'Yearly BTX'!AT40+'Yearly Methanol'!AT42+'Yearly LC Ethylene'!N42+'Yearly LC Propylene'!N24</f>
        <v>1.9175756678639284</v>
      </c>
      <c r="AU15" s="44">
        <f>'Yearly Butadiene'!AU28+'Yearly BTX'!AU40+'Yearly Methanol'!AU42+'Yearly LC Ethylene'!O42+'Yearly LC Propylene'!O24</f>
        <v>2.1419632073289225</v>
      </c>
      <c r="AV15" s="44">
        <f>'Yearly Butadiene'!AV28+'Yearly BTX'!AV40+'Yearly Methanol'!AV42+'Yearly LC Ethylene'!P42+'Yearly LC Propylene'!P24</f>
        <v>2.3728500197206372</v>
      </c>
      <c r="AW15" s="44">
        <f>'Yearly Butadiene'!AW28+'Yearly BTX'!AW40+'Yearly Methanol'!AW42+'Yearly LC Ethylene'!Q42+'Yearly LC Propylene'!Q24</f>
        <v>2.6103877187056823</v>
      </c>
      <c r="AX15" s="44">
        <f>'Yearly Butadiene'!AX28+'Yearly BTX'!AX40+'Yearly Methanol'!AX42+'Yearly LC Ethylene'!R42+'Yearly LC Propylene'!R24</f>
        <v>2.8547311647272489</v>
      </c>
      <c r="AY15" s="44">
        <f>'Yearly Butadiene'!AY28+'Yearly BTX'!AY40+'Yearly Methanol'!AY42+'Yearly LC Ethylene'!S42+'Yearly LC Propylene'!S24</f>
        <v>3.1060385314679926</v>
      </c>
      <c r="AZ15" s="44">
        <f>'Yearly Butadiene'!AZ28+'Yearly BTX'!AZ40+'Yearly Methanol'!AZ42+'Yearly LC Ethylene'!T42+'Yearly LC Propylene'!T24</f>
        <v>3.3644713736354648</v>
      </c>
      <c r="BA15" s="44">
        <f>'Yearly Butadiene'!BA28+'Yearly BTX'!BA40+'Yearly Methanol'!BA42+'Yearly LC Ethylene'!U42+'Yearly LC Propylene'!U24</f>
        <v>3.6301946960959075</v>
      </c>
      <c r="BB15" s="44">
        <f>'Yearly Butadiene'!BB28+'Yearly BTX'!BB40+'Yearly Methanol'!BB42+'Yearly LC Ethylene'!V42+'Yearly LC Propylene'!V24</f>
        <v>3.9033770243827046</v>
      </c>
      <c r="BC15" s="44">
        <f>'Yearly Butadiene'!BC28+'Yearly BTX'!BC40+'Yearly Methanol'!BC42+'Yearly LC Ethylene'!W42+'Yearly LC Propylene'!W24</f>
        <v>4.1841904766062674</v>
      </c>
      <c r="BD15" s="44">
        <f>'Yearly Butadiene'!BD28+'Yearly BTX'!BD40+'Yearly Methanol'!BD42+'Yearly LC Ethylene'!X42+'Yearly LC Propylene'!X24</f>
        <v>4.4728108367926955</v>
      </c>
      <c r="BE15" s="44">
        <f>'Yearly Butadiene'!BE28+'Yearly BTX'!BE40+'Yearly Methanol'!BE42+'Yearly LC Ethylene'!Y42+'Yearly LC Propylene'!Y24</f>
        <v>4.7762999062009346</v>
      </c>
      <c r="BF15" s="44">
        <f>'Yearly Butadiene'!BF28+'Yearly BTX'!BF40+'Yearly Methanol'!BF42+'Yearly LC Ethylene'!Z42+'Yearly LC Propylene'!Z24</f>
        <v>5.0881726934039309</v>
      </c>
      <c r="BG15" s="44">
        <f>'Yearly Butadiene'!BG28+'Yearly BTX'!BG40+'Yearly Methanol'!BG42+'Yearly LC Ethylene'!AA42+'Yearly LC Propylene'!AA24</f>
        <v>5.4086215609224499</v>
      </c>
      <c r="BH15" s="44">
        <f>'Yearly Butadiene'!BH28+'Yearly BTX'!BH40+'Yearly Methanol'!BH42+'Yearly LC Ethylene'!AB42+'Yearly LC Propylene'!AB24</f>
        <v>5.7378429567757365</v>
      </c>
      <c r="BI15" s="44">
        <f>'Yearly Butadiene'!BI28+'Yearly BTX'!BI40+'Yearly Methanol'!BI42+'Yearly LC Ethylene'!AC42+'Yearly LC Propylene'!AC24</f>
        <v>6.0760374976931892</v>
      </c>
      <c r="BJ15" s="44">
        <f>'Yearly Butadiene'!BJ28+'Yearly BTX'!BJ40+'Yearly Methanol'!BJ42+'Yearly LC Ethylene'!AD42+'Yearly LC Propylene'!AD24</f>
        <v>6.4234100539761094</v>
      </c>
      <c r="BK15" s="44">
        <f>'Yearly Butadiene'!BK28+'Yearly BTX'!BK40+'Yearly Methanol'!BK42+'Yearly LC Ethylene'!AE42+'Yearly LC Propylene'!AE24</f>
        <v>6.7801698360416225</v>
      </c>
      <c r="BL15" s="44">
        <f>'Yearly Butadiene'!BL28+'Yearly BTX'!BL40+'Yearly Methanol'!BL42+'Yearly LC Ethylene'!AF42+'Yearly LC Propylene'!AF24</f>
        <v>7.1465304826814986</v>
      </c>
      <c r="BM15" s="44">
        <f>'Yearly Butadiene'!BM28+'Yearly BTX'!BM40+'Yearly Methanol'!BM42+'Yearly LC Ethylene'!AG42+'Yearly LC Propylene'!AG24</f>
        <v>7.522710151069198</v>
      </c>
      <c r="BN15" s="44">
        <f>'Yearly Butadiene'!BN28+'Yearly BTX'!BN40+'Yearly Methanol'!BN42+'Yearly LC Ethylene'!AH42+'Yearly LC Propylene'!AH24</f>
        <v>7.908931608549155</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B15" t="s">
        <v>1892</v>
      </c>
      <c r="EE15">
        <f>EE6</f>
        <v>158.18580800000001</v>
      </c>
      <c r="EF15" s="44">
        <f>BN5</f>
        <v>18</v>
      </c>
      <c r="EG15" s="44">
        <f>BN6</f>
        <v>0</v>
      </c>
      <c r="EH15">
        <f>0</f>
        <v>0</v>
      </c>
      <c r="EI15" s="44">
        <v>0</v>
      </c>
      <c r="EJ15" s="44">
        <f t="shared" si="90"/>
        <v>140.18580800000001</v>
      </c>
      <c r="EK15" s="2">
        <f t="shared" si="91"/>
        <v>0.11379023331852879</v>
      </c>
      <c r="EL15" s="2">
        <f t="shared" si="92"/>
        <v>0</v>
      </c>
      <c r="EM15" s="2">
        <f t="shared" si="93"/>
        <v>0</v>
      </c>
      <c r="EN15" s="2">
        <f t="shared" si="94"/>
        <v>0</v>
      </c>
      <c r="EO15" s="2">
        <f t="shared" si="95"/>
        <v>0.88620976668147122</v>
      </c>
      <c r="EP15" s="660">
        <f t="shared" ref="EP15:EP22" si="98">EF15/EF$22</f>
        <v>0.11817786650702528</v>
      </c>
      <c r="EQ15">
        <v>0.11379023331852879</v>
      </c>
      <c r="ER15">
        <v>0</v>
      </c>
      <c r="ES15">
        <v>0</v>
      </c>
      <c r="ET15">
        <v>0</v>
      </c>
      <c r="EU15">
        <v>0.88620976668147122</v>
      </c>
    </row>
    <row r="16" spans="1:151" x14ac:dyDescent="0.2">
      <c r="A16" s="1" t="s">
        <v>1162</v>
      </c>
      <c r="B16" t="s">
        <v>81</v>
      </c>
      <c r="C16" s="54" t="s">
        <v>69</v>
      </c>
      <c r="D16" s="44">
        <f>'Yearly Butadiene'!D31+'Yearly BTX'!D46+'Yearly Methanol'!D48+'Yearly HC Ethylene'!D51+'Yearly HC Propylene'!D27</f>
        <v>0</v>
      </c>
      <c r="E16" s="44">
        <f>'Yearly Butadiene'!E31+'Yearly BTX'!E46+'Yearly Methanol'!E48+'Yearly HC Ethylene'!E51+'Yearly HC Propylene'!E27</f>
        <v>0.29465129667529716</v>
      </c>
      <c r="F16" s="44">
        <f>'Yearly Butadiene'!F31+'Yearly BTX'!F46+'Yearly Methanol'!F48+'Yearly HC Ethylene'!F51+'Yearly HC Propylene'!F27</f>
        <v>0.59701518595882153</v>
      </c>
      <c r="G16" s="44">
        <f>'Yearly Butadiene'!G31+'Yearly BTX'!G46+'Yearly Methanol'!G48+'Yearly HC Ethylene'!G51+'Yearly HC Propylene'!G27</f>
        <v>0.90725780099281739</v>
      </c>
      <c r="H16" s="44">
        <f>'Yearly Butadiene'!H31+'Yearly BTX'!H46+'Yearly Methanol'!H48+'Yearly HC Ethylene'!H51+'Yearly HC Propylene'!H27</f>
        <v>1.2255488009973774</v>
      </c>
      <c r="I16" s="44">
        <f>'Yearly Butadiene'!I31+'Yearly BTX'!I46+'Yearly Methanol'!I48+'Yearly HC Ethylene'!I51+'Yearly HC Propylene'!I27</f>
        <v>1.5520614483503778</v>
      </c>
      <c r="J16" s="44">
        <f>'Yearly Butadiene'!J31+'Yearly BTX'!J46+'Yearly Methanol'!J48+'Yearly HC Ethylene'!J51+'Yearly HC Propylene'!J27</f>
        <v>1.8869726874052102</v>
      </c>
      <c r="K16" s="44">
        <f>'Yearly Butadiene'!K31+'Yearly BTX'!K46+'Yearly Methanol'!K48+'Yearly HC Ethylene'!K51+'Yearly HC Propylene'!K27</f>
        <v>2.2304632250862659</v>
      </c>
      <c r="L16" s="44">
        <f>'Yearly Butadiene'!L31+'Yearly BTX'!L46+'Yearly Methanol'!L48+'Yearly HC Ethylene'!L51+'Yearly HC Propylene'!L27</f>
        <v>2.582717613303025</v>
      </c>
      <c r="M16" s="44">
        <f>'Yearly Butadiene'!M31+'Yearly BTX'!M46+'Yearly Methanol'!M48+'Yearly HC Ethylene'!M51+'Yearly HC Propylene'!M27</f>
        <v>2.9439243332245804</v>
      </c>
      <c r="N16" s="44">
        <f>'Yearly Butadiene'!N31+'Yearly BTX'!N46+'Yearly Methanol'!N48+'Yearly HC Ethylene'!N51+'Yearly HC Propylene'!N27</f>
        <v>3.3142758814573678</v>
      </c>
      <c r="O16" s="44">
        <f>'Yearly Butadiene'!O31+'Yearly BTX'!O46+'Yearly Methanol'!O48+'Yearly HC Ethylene'!O51+'Yearly HC Propylene'!O27</f>
        <v>3.4541007504965124</v>
      </c>
      <c r="P16" s="44">
        <f>'Yearly Butadiene'!P31+'Yearly BTX'!P46+'Yearly Methanol'!P48+'Yearly HC Ethylene'!P51+'Yearly HC Propylene'!P27</f>
        <v>3.5971083361128353</v>
      </c>
      <c r="Q16" s="44">
        <f>'Yearly Butadiene'!Q31+'Yearly BTX'!Q46+'Yearly Methanol'!Q48+'Yearly HC Ethylene'!Q51+'Yearly HC Propylene'!Q27</f>
        <v>3.7433645981029953</v>
      </c>
      <c r="R16" s="44">
        <f>'Yearly Butadiene'!R31+'Yearly BTX'!R46+'Yearly Methanol'!R48+'Yearly HC Ethylene'!R51+'Yearly HC Propylene'!R27</f>
        <v>3.8929368779849374</v>
      </c>
      <c r="S16" s="44">
        <f>'Yearly Butadiene'!S31+'Yearly BTX'!S46+'Yearly Methanol'!S48+'Yearly HC Ethylene'!S51+'Yearly HC Propylene'!S27</f>
        <v>4.045893928999325</v>
      </c>
      <c r="T16" s="44">
        <f>'Yearly Butadiene'!T31+'Yearly BTX'!T46+'Yearly Methanol'!T48+'Yearly HC Ethylene'!T51+'Yearly HC Propylene'!T27</f>
        <v>4.2023059467831114</v>
      </c>
      <c r="U16" s="44">
        <f>'Yearly Butadiene'!U31+'Yearly BTX'!U46+'Yearly Methanol'!U48+'Yearly HC Ethylene'!U51+'Yearly HC Propylene'!U27</f>
        <v>4.3622446007305857</v>
      </c>
      <c r="V16" s="44">
        <f>'Yearly Butadiene'!V31+'Yearly BTX'!V46+'Yearly Methanol'!V48+'Yearly HC Ethylene'!V51+'Yearly HC Propylene'!V27</f>
        <v>4.525783066057592</v>
      </c>
      <c r="W16" s="44">
        <f>'Yearly Butadiene'!W31+'Yearly BTX'!W46+'Yearly Methanol'!W48+'Yearly HC Ethylene'!W51+'Yearly HC Propylene'!W27</f>
        <v>4.692996056584982</v>
      </c>
      <c r="X16" s="44">
        <f>'Yearly Butadiene'!X31+'Yearly BTX'!X46+'Yearly Methanol'!X48+'Yearly HC Ethylene'!X51+'Yearly HC Propylene'!X27</f>
        <v>4.8639598582577195</v>
      </c>
      <c r="Y16" s="44">
        <f>'Yearly Butadiene'!Y31+'Yearly BTX'!Y46+'Yearly Methanol'!Y48+'Yearly HC Ethylene'!Y51+'Yearly HC Propylene'!Y27</f>
        <v>4.9839833159880031</v>
      </c>
      <c r="Z16" s="44">
        <f>'Yearly Butadiene'!Z31+'Yearly BTX'!Z46+'Yearly Methanol'!Z48+'Yearly HC Ethylene'!Z51+'Yearly HC Propylene'!Z27</f>
        <v>5.1064434652889181</v>
      </c>
      <c r="AA16" s="44">
        <f>'Yearly Butadiene'!AA31+'Yearly BTX'!AA46+'Yearly Methanol'!AA48+'Yearly HC Ethylene'!AA51+'Yearly HC Propylene'!AA27</f>
        <v>5.2313888185495552</v>
      </c>
      <c r="AB16" s="44">
        <f>'Yearly Butadiene'!AB31+'Yearly BTX'!AB46+'Yearly Methanol'!AB48+'Yearly HC Ethylene'!AB51+'Yearly HC Propylene'!AB27</f>
        <v>5.3588688866443572</v>
      </c>
      <c r="AC16" s="44">
        <f>'Yearly Butadiene'!AC31+'Yearly BTX'!AC46+'Yearly Methanol'!AC48+'Yearly HC Ethylene'!AC51+'Yearly HC Propylene'!AC27</f>
        <v>5.4889342003639703</v>
      </c>
      <c r="AD16" s="44">
        <f>'Yearly Butadiene'!AD31+'Yearly BTX'!AD46+'Yearly Methanol'!AD48+'Yearly HC Ethylene'!AD51+'Yearly HC Propylene'!AD27</f>
        <v>5.621636332321077</v>
      </c>
      <c r="AE16" s="44">
        <f>'Yearly Butadiene'!AE31+'Yearly BTX'!AE46+'Yearly Methanol'!AE48+'Yearly HC Ethylene'!AE51+'Yearly HC Propylene'!AE27</f>
        <v>5.7570279193419562</v>
      </c>
      <c r="AF16" s="44">
        <f>'Yearly Butadiene'!AF31+'Yearly BTX'!AF46+'Yearly Methanol'!AF48+'Yearly HC Ethylene'!AF51+'Yearly HC Propylene'!AF27</f>
        <v>5.8951626853547232</v>
      </c>
      <c r="AG16" s="44">
        <f>'Yearly Butadiene'!AG31+'Yearly BTX'!AG46+'Yearly Methanol'!AG48+'Yearly HC Ethylene'!AG51+'Yearly HC Propylene'!AG27</f>
        <v>6.0360954647854905</v>
      </c>
      <c r="AH16" s="44">
        <f>'Yearly Butadiene'!AH31+'Yearly BTX'!AH46+'Yearly Methanol'!AH48+'Yearly HC Ethylene'!AH51+'Yearly HC Propylene'!AH27</f>
        <v>6.1798822264739055</v>
      </c>
      <c r="AI16" s="44"/>
      <c r="AJ16" s="44">
        <f>'Yearly Butadiene'!AJ31+'Yearly BTX'!AJ46+'Yearly Methanol'!AJ48+'Yearly LC Ethylene'!D51+'Yearly LC Propylene'!D27</f>
        <v>0</v>
      </c>
      <c r="AK16" s="44">
        <f>'Yearly Butadiene'!AK31+'Yearly BTX'!AK46+'Yearly Methanol'!AK48+'Yearly LC Ethylene'!E51+'Yearly LC Propylene'!E27</f>
        <v>0.14732564833764858</v>
      </c>
      <c r="AL16" s="44">
        <f>'Yearly Butadiene'!AL31+'Yearly BTX'!AL46+'Yearly Methanol'!AL48+'Yearly LC Ethylene'!F51+'Yearly LC Propylene'!F27</f>
        <v>0.29850759297941076</v>
      </c>
      <c r="AM16" s="44">
        <f>'Yearly Butadiene'!AM31+'Yearly BTX'!AM46+'Yearly Methanol'!AM48+'Yearly LC Ethylene'!G51+'Yearly LC Propylene'!G27</f>
        <v>0.45362890049640869</v>
      </c>
      <c r="AN16" s="44">
        <f>'Yearly Butadiene'!AN31+'Yearly BTX'!AN46+'Yearly Methanol'!AN48+'Yearly LC Ethylene'!H51+'Yearly LC Propylene'!H27</f>
        <v>0.6127744004986887</v>
      </c>
      <c r="AO16" s="44">
        <f>'Yearly Butadiene'!AO31+'Yearly BTX'!AO46+'Yearly Methanol'!AO48+'Yearly LC Ethylene'!I51+'Yearly LC Propylene'!I27</f>
        <v>0.77603072417518892</v>
      </c>
      <c r="AP16" s="44">
        <f>'Yearly Butadiene'!AP31+'Yearly BTX'!AP46+'Yearly Methanol'!AP48+'Yearly LC Ethylene'!J51+'Yearly LC Propylene'!J27</f>
        <v>0.94348634370260509</v>
      </c>
      <c r="AQ16" s="44">
        <f>'Yearly Butadiene'!AQ31+'Yearly BTX'!AQ46+'Yearly Methanol'!AQ48+'Yearly LC Ethylene'!K51+'Yearly LC Propylene'!K27</f>
        <v>1.115231612543133</v>
      </c>
      <c r="AR16" s="44">
        <f>'Yearly Butadiene'!AR31+'Yearly BTX'!AR46+'Yearly Methanol'!AR48+'Yearly LC Ethylene'!L51+'Yearly LC Propylene'!L27</f>
        <v>1.2913588066515125</v>
      </c>
      <c r="AS16" s="44">
        <f>'Yearly Butadiene'!AS31+'Yearly BTX'!AS46+'Yearly Methanol'!AS48+'Yearly LC Ethylene'!M51+'Yearly LC Propylene'!M27</f>
        <v>1.4719621666122902</v>
      </c>
      <c r="AT16" s="44">
        <f>'Yearly Butadiene'!AT31+'Yearly BTX'!AT46+'Yearly Methanol'!AT48+'Yearly LC Ethylene'!N51+'Yearly LC Propylene'!N27</f>
        <v>1.6571379407286839</v>
      </c>
      <c r="AU16" s="44">
        <f>'Yearly Butadiene'!AU31+'Yearly BTX'!AU46+'Yearly Methanol'!AU48+'Yearly LC Ethylene'!O51+'Yearly LC Propylene'!O27</f>
        <v>1.7270503752482562</v>
      </c>
      <c r="AV16" s="44">
        <f>'Yearly Butadiene'!AV31+'Yearly BTX'!AV46+'Yearly Methanol'!AV48+'Yearly LC Ethylene'!P51+'Yearly LC Propylene'!P27</f>
        <v>1.7985541680564177</v>
      </c>
      <c r="AW16" s="44">
        <f>'Yearly Butadiene'!AW31+'Yearly BTX'!AW46+'Yearly Methanol'!AW48+'Yearly LC Ethylene'!Q51+'Yearly LC Propylene'!Q27</f>
        <v>1.8716822990514976</v>
      </c>
      <c r="AX16" s="44">
        <f>'Yearly Butadiene'!AX31+'Yearly BTX'!AX46+'Yearly Methanol'!AX48+'Yearly LC Ethylene'!R51+'Yearly LC Propylene'!R27</f>
        <v>1.9464684389924687</v>
      </c>
      <c r="AY16" s="44">
        <f>'Yearly Butadiene'!AY31+'Yearly BTX'!AY46+'Yearly Methanol'!AY48+'Yearly LC Ethylene'!S51+'Yearly LC Propylene'!S27</f>
        <v>2.0229469644996625</v>
      </c>
      <c r="AZ16" s="44">
        <f>'Yearly Butadiene'!AZ31+'Yearly BTX'!AZ46+'Yearly Methanol'!AZ48+'Yearly LC Ethylene'!T51+'Yearly LC Propylene'!T27</f>
        <v>2.1011529733915557</v>
      </c>
      <c r="BA16" s="44">
        <f>'Yearly Butadiene'!BA31+'Yearly BTX'!BA46+'Yearly Methanol'!BA48+'Yearly LC Ethylene'!U51+'Yearly LC Propylene'!U27</f>
        <v>2.1811223003652929</v>
      </c>
      <c r="BB16" s="44">
        <f>'Yearly Butadiene'!BB31+'Yearly BTX'!BB46+'Yearly Methanol'!BB48+'Yearly LC Ethylene'!V51+'Yearly LC Propylene'!V27</f>
        <v>2.262891533028796</v>
      </c>
      <c r="BC16" s="44">
        <f>'Yearly Butadiene'!BC31+'Yearly BTX'!BC46+'Yearly Methanol'!BC48+'Yearly LC Ethylene'!W51+'Yearly LC Propylene'!W27</f>
        <v>2.346498028292491</v>
      </c>
      <c r="BD16" s="44">
        <f>'Yearly Butadiene'!BD31+'Yearly BTX'!BD46+'Yearly Methanol'!BD48+'Yearly LC Ethylene'!X51+'Yearly LC Propylene'!X27</f>
        <v>2.4319799291288597</v>
      </c>
      <c r="BE16" s="44">
        <f>'Yearly Butadiene'!BE31+'Yearly BTX'!BE46+'Yearly Methanol'!BE48+'Yearly LC Ethylene'!Y51+'Yearly LC Propylene'!Y27</f>
        <v>2.4919916579940016</v>
      </c>
      <c r="BF16" s="44">
        <f>'Yearly Butadiene'!BF31+'Yearly BTX'!BF46+'Yearly Methanol'!BF48+'Yearly LC Ethylene'!Z51+'Yearly LC Propylene'!Z27</f>
        <v>2.5532217326444591</v>
      </c>
      <c r="BG16" s="44">
        <f>'Yearly Butadiene'!BG31+'Yearly BTX'!BG46+'Yearly Methanol'!BG48+'Yearly LC Ethylene'!AA51+'Yearly LC Propylene'!AA27</f>
        <v>2.6156944092747776</v>
      </c>
      <c r="BH16" s="44">
        <f>'Yearly Butadiene'!BH31+'Yearly BTX'!BH46+'Yearly Methanol'!BH48+'Yearly LC Ethylene'!AB51+'Yearly LC Propylene'!AB27</f>
        <v>2.6794344433221786</v>
      </c>
      <c r="BI16" s="44">
        <f>'Yearly Butadiene'!BI31+'Yearly BTX'!BI46+'Yearly Methanol'!BI48+'Yearly LC Ethylene'!AC51+'Yearly LC Propylene'!AC27</f>
        <v>2.7444671001819851</v>
      </c>
      <c r="BJ16" s="44">
        <f>'Yearly Butadiene'!BJ31+'Yearly BTX'!BJ46+'Yearly Methanol'!BJ48+'Yearly LC Ethylene'!AD51+'Yearly LC Propylene'!AD27</f>
        <v>2.8108181661605385</v>
      </c>
      <c r="BK16" s="44">
        <f>'Yearly Butadiene'!BK31+'Yearly BTX'!BK46+'Yearly Methanol'!BK48+'Yearly LC Ethylene'!AE51+'Yearly LC Propylene'!AE27</f>
        <v>2.8785139596709781</v>
      </c>
      <c r="BL16" s="44">
        <f>'Yearly Butadiene'!BL31+'Yearly BTX'!BL46+'Yearly Methanol'!BL48+'Yearly LC Ethylene'!AF51+'Yearly LC Propylene'!AF27</f>
        <v>2.9475813426773616</v>
      </c>
      <c r="BM16" s="44">
        <f>'Yearly Butadiene'!BM31+'Yearly BTX'!BM46+'Yearly Methanol'!BM48+'Yearly LC Ethylene'!AG51+'Yearly LC Propylene'!AG27</f>
        <v>3.0180477323927453</v>
      </c>
      <c r="BN16" s="44">
        <f>'Yearly Butadiene'!BN31+'Yearly BTX'!BN46+'Yearly Methanol'!BN48+'Yearly LC Ethylene'!AH51+'Yearly LC Propylene'!AH27</f>
        <v>3.0899411132369528</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V16">
        <v>0</v>
      </c>
      <c r="CW16">
        <v>0</v>
      </c>
      <c r="CX16">
        <v>0</v>
      </c>
      <c r="CY16">
        <v>0</v>
      </c>
      <c r="CZ16">
        <v>0</v>
      </c>
      <c r="DA16">
        <v>0</v>
      </c>
      <c r="DB16">
        <v>0</v>
      </c>
      <c r="DC16">
        <v>0</v>
      </c>
      <c r="DD16">
        <v>0</v>
      </c>
      <c r="DE16">
        <v>0</v>
      </c>
      <c r="DF16">
        <v>0</v>
      </c>
      <c r="DG16">
        <v>0</v>
      </c>
      <c r="DH16">
        <v>0</v>
      </c>
      <c r="DI16">
        <v>0</v>
      </c>
      <c r="DJ16">
        <v>0</v>
      </c>
      <c r="DK16">
        <v>0</v>
      </c>
      <c r="DL16">
        <v>0</v>
      </c>
      <c r="DM16">
        <v>0</v>
      </c>
      <c r="DN16">
        <v>0</v>
      </c>
      <c r="DO16">
        <v>0</v>
      </c>
      <c r="DP16">
        <v>0</v>
      </c>
      <c r="DQ16">
        <v>0</v>
      </c>
      <c r="DR16">
        <v>0</v>
      </c>
      <c r="DS16">
        <v>0</v>
      </c>
      <c r="DT16">
        <v>0</v>
      </c>
      <c r="DU16">
        <v>0</v>
      </c>
      <c r="DV16">
        <v>0</v>
      </c>
      <c r="DW16">
        <v>0</v>
      </c>
      <c r="DX16">
        <v>0</v>
      </c>
      <c r="DY16">
        <v>0</v>
      </c>
      <c r="DZ16">
        <v>0</v>
      </c>
      <c r="EB16" t="s">
        <v>1888</v>
      </c>
      <c r="EE16" s="44">
        <f t="shared" ref="EE16:EE19" si="99">EE7</f>
        <v>277.98913120134648</v>
      </c>
      <c r="EF16" s="44">
        <f>BN8</f>
        <v>19.249890661654703</v>
      </c>
      <c r="EG16" s="44">
        <f>BN9</f>
        <v>51.505343234542984</v>
      </c>
      <c r="EH16" s="44">
        <f>BN10+BN11</f>
        <v>37.977934842957005</v>
      </c>
      <c r="EI16" s="44">
        <f>SUM('Yearly BTX'!BN76:BN77,'Yearly Butadiene'!BN49:BN50,'Yearly Methanol'!BN78:BN79,'Yearly LC Ethylene'!AH93:AH94,'Yearly HC Propylene'!AH44:AH45)</f>
        <v>23.962811056246689</v>
      </c>
      <c r="EJ16" s="44">
        <f t="shared" si="90"/>
        <v>145.29315140594508</v>
      </c>
      <c r="EK16" s="2">
        <f t="shared" si="91"/>
        <v>6.9246918318227629E-2</v>
      </c>
      <c r="EL16" s="2">
        <f t="shared" si="92"/>
        <v>0.18527826254199076</v>
      </c>
      <c r="EM16" s="2">
        <f t="shared" si="93"/>
        <v>0.13661661763117541</v>
      </c>
      <c r="EN16" s="2">
        <f t="shared" si="94"/>
        <v>8.6200532203147592E-2</v>
      </c>
      <c r="EO16" s="2">
        <f t="shared" si="95"/>
        <v>0.52265766930545854</v>
      </c>
      <c r="EP16" s="660">
        <f t="shared" si="98"/>
        <v>0.12638394493821456</v>
      </c>
      <c r="EQ16">
        <v>6.9246918318227629E-2</v>
      </c>
      <c r="ER16">
        <v>0.18527826254199076</v>
      </c>
      <c r="ES16">
        <v>0.13661661763117541</v>
      </c>
      <c r="ET16">
        <v>8.6200532203147592E-2</v>
      </c>
      <c r="EU16">
        <v>0.52265766930545854</v>
      </c>
    </row>
    <row r="17" spans="1:151" x14ac:dyDescent="0.2">
      <c r="A17" s="1" t="s">
        <v>1887</v>
      </c>
      <c r="B17" t="s">
        <v>82</v>
      </c>
      <c r="C17" s="54" t="s">
        <v>69</v>
      </c>
      <c r="D17" s="44">
        <f>'Yearly Butadiene'!D32+'Yearly BTX'!D47+'Yearly Methanol'!D49+'Yearly HC Ethylene'!D52+'Yearly HC Propylene'!D28</f>
        <v>0</v>
      </c>
      <c r="E17" s="44">
        <f>'Yearly Butadiene'!E32+'Yearly BTX'!E47+'Yearly Methanol'!E49+'Yearly HC Ethylene'!E52+'Yearly HC Propylene'!E28</f>
        <v>0.11449307527954407</v>
      </c>
      <c r="F17" s="44">
        <f>'Yearly Butadiene'!F32+'Yearly BTX'!F47+'Yearly Methanol'!F49+'Yearly HC Ethylene'!F52+'Yearly HC Propylene'!F28</f>
        <v>0.2319830436868564</v>
      </c>
      <c r="G17" s="44">
        <f>'Yearly Butadiene'!G32+'Yearly BTX'!G47+'Yearly Methanol'!G49+'Yearly HC Ethylene'!G52+'Yearly HC Propylene'!G28</f>
        <v>0.35253445981435194</v>
      </c>
      <c r="H17" s="44">
        <f>'Yearly Butadiene'!H32+'Yearly BTX'!H47+'Yearly Methanol'!H49+'Yearly HC Ethylene'!H52+'Yearly HC Propylene'!H28</f>
        <v>0.47621324838755252</v>
      </c>
      <c r="I17" s="44">
        <f>'Yearly Butadiene'!I32+'Yearly BTX'!I47+'Yearly Methanol'!I49+'Yearly HC Ethylene'!I52+'Yearly HC Propylene'!I28</f>
        <v>0.60308673421614689</v>
      </c>
      <c r="J17" s="44">
        <f>'Yearly Butadiene'!J32+'Yearly BTX'!J47+'Yearly Methanol'!J49+'Yearly HC Ethylene'!J52+'Yearly HC Propylene'!J28</f>
        <v>0.73322367282031053</v>
      </c>
      <c r="K17" s="44">
        <f>'Yearly Butadiene'!K32+'Yearly BTX'!K47+'Yearly Methanol'!K49+'Yearly HC Ethylene'!K52+'Yearly HC Propylene'!K28</f>
        <v>0.86669428174780627</v>
      </c>
      <c r="L17" s="44">
        <f>'Yearly Butadiene'!L32+'Yearly BTX'!L47+'Yearly Methanol'!L49+'Yearly HC Ethylene'!L52+'Yearly HC Propylene'!L28</f>
        <v>1.0035702725977471</v>
      </c>
      <c r="M17" s="44">
        <f>'Yearly Butadiene'!M32+'Yearly BTX'!M47+'Yearly Methanol'!M49+'Yearly HC Ethylene'!M52+'Yearly HC Propylene'!M28</f>
        <v>1.1439248837672658</v>
      </c>
      <c r="N17" s="44">
        <f>'Yearly Butadiene'!N32+'Yearly BTX'!N47+'Yearly Methanol'!N49+'Yearly HC Ethylene'!N52+'Yearly HC Propylene'!N28</f>
        <v>1.2878329139377203</v>
      </c>
      <c r="O17" s="44">
        <f>'Yearly Butadiene'!O32+'Yearly BTX'!O47+'Yearly Methanol'!O49+'Yearly HC Ethylene'!O52+'Yearly HC Propylene'!O28</f>
        <v>1.5006148816045959</v>
      </c>
      <c r="P17" s="44">
        <f>'Yearly Butadiene'!P32+'Yearly BTX'!P47+'Yearly Methanol'!P49+'Yearly HC Ethylene'!P52+'Yearly HC Propylene'!P28</f>
        <v>1.7188344697966198</v>
      </c>
      <c r="Q17" s="44">
        <f>'Yearly Butadiene'!Q32+'Yearly BTX'!Q47+'Yearly Methanol'!Q49+'Yearly HC Ethylene'!Q52+'Yearly HC Propylene'!Q28</f>
        <v>1.9426092072260812</v>
      </c>
      <c r="R17" s="44">
        <f>'Yearly Butadiene'!R32+'Yearly BTX'!R47+'Yearly Methanol'!R49+'Yearly HC Ethylene'!R52+'Yearly HC Propylene'!R28</f>
        <v>2.1720591401269806</v>
      </c>
      <c r="S17" s="44">
        <f>'Yearly Butadiene'!S32+'Yearly BTX'!S47+'Yearly Methanol'!S49+'Yearly HC Ethylene'!S52+'Yearly HC Propylene'!S28</f>
        <v>2.407306887754598</v>
      </c>
      <c r="T17" s="44">
        <f>'Yearly Butadiene'!T32+'Yearly BTX'!T47+'Yearly Methanol'!T49+'Yearly HC Ethylene'!T52+'Yearly HC Propylene'!T28</f>
        <v>2.6484776991433079</v>
      </c>
      <c r="U17" s="44">
        <f>'Yearly Butadiene'!U32+'Yearly BTX'!U47+'Yearly Methanol'!U49+'Yearly HC Ethylene'!U52+'Yearly HC Propylene'!U28</f>
        <v>2.895699511151637</v>
      </c>
      <c r="V17" s="44">
        <f>'Yearly Butadiene'!V32+'Yearly BTX'!V47+'Yearly Methanol'!V49+'Yearly HC Ethylene'!V52+'Yearly HC Propylene'!V28</f>
        <v>3.1491030078242601</v>
      </c>
      <c r="W17" s="44">
        <f>'Yearly Butadiene'!W32+'Yearly BTX'!W47+'Yearly Methanol'!W49+'Yearly HC Ethylene'!W52+'Yearly HC Propylene'!W28</f>
        <v>3.4088216811012733</v>
      </c>
      <c r="X17" s="44">
        <f>'Yearly Butadiene'!X32+'Yearly BTX'!X47+'Yearly Methanol'!X49+'Yearly HC Ethylene'!X52+'Yearly HC Propylene'!X28</f>
        <v>3.6749918929058327</v>
      </c>
      <c r="Y17" s="44">
        <f>'Yearly Butadiene'!Y32+'Yearly BTX'!Y47+'Yearly Methanol'!Y49+'Yearly HC Ethylene'!Y52+'Yearly HC Propylene'!Y28</f>
        <v>4.0967247476472828</v>
      </c>
      <c r="Z17" s="44">
        <f>'Yearly Butadiene'!Z32+'Yearly BTX'!Z47+'Yearly Methanol'!Z49+'Yearly HC Ethylene'!Z52+'Yearly HC Propylene'!Z28</f>
        <v>4.52919333443017</v>
      </c>
      <c r="AA17" s="44">
        <f>'Yearly Butadiene'!AA32+'Yearly BTX'!AA47+'Yearly Methanol'!AA49+'Yearly HC Ethylene'!AA52+'Yearly HC Propylene'!AA28</f>
        <v>4.972631952255707</v>
      </c>
      <c r="AB17" s="44">
        <f>'Yearly Butadiene'!AB32+'Yearly BTX'!AB47+'Yearly Methanol'!AB49+'Yearly HC Ethylene'!AB52+'Yearly HC Propylene'!AB28</f>
        <v>5.4272799788142851</v>
      </c>
      <c r="AC17" s="44">
        <f>'Yearly Butadiene'!AC32+'Yearly BTX'!AC47+'Yearly Methanol'!AC49+'Yearly HC Ethylene'!AC52+'Yearly HC Propylene'!AC28</f>
        <v>5.893381983548684</v>
      </c>
      <c r="AD17" s="44">
        <f>'Yearly Butadiene'!AD32+'Yearly BTX'!AD47+'Yearly Methanol'!AD49+'Yearly HC Ethylene'!AD52+'Yearly HC Propylene'!AD28</f>
        <v>6.3711878432972213</v>
      </c>
      <c r="AE17" s="44">
        <f>'Yearly Butadiene'!AE32+'Yearly BTX'!AE47+'Yearly Methanol'!AE49+'Yearly HC Ethylene'!AE52+'Yearly HC Propylene'!AE28</f>
        <v>6.8609528605765986</v>
      </c>
      <c r="AF17" s="44">
        <f>'Yearly Butadiene'!AF32+'Yearly BTX'!AF47+'Yearly Methanol'!AF49+'Yearly HC Ethylene'!AF52+'Yearly HC Propylene'!AF28</f>
        <v>7.3629378845654916</v>
      </c>
      <c r="AG17" s="44">
        <f>'Yearly Butadiene'!AG32+'Yearly BTX'!AG47+'Yearly Methanol'!AG49+'Yearly HC Ethylene'!AG52+'Yearly HC Propylene'!AG28</f>
        <v>7.8774094348513692</v>
      </c>
      <c r="AH17" s="44">
        <f>'Yearly Butadiene'!AH32+'Yearly BTX'!AH47+'Yearly Methanol'!AH49+'Yearly HC Ethylene'!AH52+'Yearly HC Propylene'!AH28</f>
        <v>8.4046398280045125</v>
      </c>
      <c r="AI17" s="44"/>
      <c r="AJ17" s="44">
        <f>'Yearly Butadiene'!AJ32+'Yearly BTX'!AJ47+'Yearly Methanol'!AJ49+'Yearly LC Ethylene'!D52+'Yearly LC Propylene'!D28</f>
        <v>0</v>
      </c>
      <c r="AK17" s="44">
        <f>'Yearly Butadiene'!AK32+'Yearly BTX'!AK47+'Yearly Methanol'!AK49+'Yearly LC Ethylene'!E52+'Yearly LC Propylene'!E28</f>
        <v>5.7246537639772034E-2</v>
      </c>
      <c r="AL17" s="44">
        <f>'Yearly Butadiene'!AL32+'Yearly BTX'!AL47+'Yearly Methanol'!AL49+'Yearly LC Ethylene'!F52+'Yearly LC Propylene'!F28</f>
        <v>0.1159915218434282</v>
      </c>
      <c r="AM17" s="44">
        <f>'Yearly Butadiene'!AM32+'Yearly BTX'!AM47+'Yearly Methanol'!AM49+'Yearly LC Ethylene'!G52+'Yearly LC Propylene'!G28</f>
        <v>0.17626722990717597</v>
      </c>
      <c r="AN17" s="44">
        <f>'Yearly Butadiene'!AN32+'Yearly BTX'!AN47+'Yearly Methanol'!AN49+'Yearly LC Ethylene'!H52+'Yearly LC Propylene'!H28</f>
        <v>0.23810662419377626</v>
      </c>
      <c r="AO17" s="44">
        <f>'Yearly Butadiene'!AO32+'Yearly BTX'!AO47+'Yearly Methanol'!AO49+'Yearly LC Ethylene'!I52+'Yearly LC Propylene'!I28</f>
        <v>0.30154336710807345</v>
      </c>
      <c r="AP17" s="44">
        <f>'Yearly Butadiene'!AP32+'Yearly BTX'!AP47+'Yearly Methanol'!AP49+'Yearly LC Ethylene'!J52+'Yearly LC Propylene'!J28</f>
        <v>0.36661183641015527</v>
      </c>
      <c r="AQ17" s="44">
        <f>'Yearly Butadiene'!AQ32+'Yearly BTX'!AQ47+'Yearly Methanol'!AQ49+'Yearly LC Ethylene'!K52+'Yearly LC Propylene'!K28</f>
        <v>0.43334714087390314</v>
      </c>
      <c r="AR17" s="44">
        <f>'Yearly Butadiene'!AR32+'Yearly BTX'!AR47+'Yearly Methanol'!AR49+'Yearly LC Ethylene'!L52+'Yearly LC Propylene'!L28</f>
        <v>0.50178513629887356</v>
      </c>
      <c r="AS17" s="44">
        <f>'Yearly Butadiene'!AS32+'Yearly BTX'!AS47+'Yearly Methanol'!AS49+'Yearly LC Ethylene'!M52+'Yearly LC Propylene'!M28</f>
        <v>0.57196244188363288</v>
      </c>
      <c r="AT17" s="44">
        <f>'Yearly Butadiene'!AT32+'Yearly BTX'!AT47+'Yearly Methanol'!AT49+'Yearly LC Ethylene'!N52+'Yearly LC Propylene'!N28</f>
        <v>0.64391645696886013</v>
      </c>
      <c r="AU17" s="44">
        <f>'Yearly Butadiene'!AU32+'Yearly BTX'!AU47+'Yearly Methanol'!AU49+'Yearly LC Ethylene'!O52+'Yearly LC Propylene'!O28</f>
        <v>0.75030744080229794</v>
      </c>
      <c r="AV17" s="44">
        <f>'Yearly Butadiene'!AV32+'Yearly BTX'!AV47+'Yearly Methanol'!AV49+'Yearly LC Ethylene'!P52+'Yearly LC Propylene'!P28</f>
        <v>0.8594172348983099</v>
      </c>
      <c r="AW17" s="44">
        <f>'Yearly Butadiene'!AW32+'Yearly BTX'!AW47+'Yearly Methanol'!AW49+'Yearly LC Ethylene'!Q52+'Yearly LC Propylene'!Q28</f>
        <v>0.97130460361304061</v>
      </c>
      <c r="AX17" s="44">
        <f>'Yearly Butadiene'!AX32+'Yearly BTX'!AX47+'Yearly Methanol'!AX49+'Yearly LC Ethylene'!R52+'Yearly LC Propylene'!R28</f>
        <v>1.0860295700634903</v>
      </c>
      <c r="AY17" s="44">
        <f>'Yearly Butadiene'!AY32+'Yearly BTX'!AY47+'Yearly Methanol'!AY49+'Yearly LC Ethylene'!S52+'Yearly LC Propylene'!S28</f>
        <v>1.203653443877299</v>
      </c>
      <c r="AZ17" s="44">
        <f>'Yearly Butadiene'!AZ32+'Yearly BTX'!AZ47+'Yearly Methanol'!AZ49+'Yearly LC Ethylene'!T52+'Yearly LC Propylene'!T28</f>
        <v>1.3242388495716539</v>
      </c>
      <c r="BA17" s="44">
        <f>'Yearly Butadiene'!BA32+'Yearly BTX'!BA47+'Yearly Methanol'!BA49+'Yearly LC Ethylene'!U52+'Yearly LC Propylene'!U28</f>
        <v>1.4478497555758185</v>
      </c>
      <c r="BB17" s="44">
        <f>'Yearly Butadiene'!BB32+'Yearly BTX'!BB47+'Yearly Methanol'!BB49+'Yearly LC Ethylene'!V52+'Yearly LC Propylene'!V28</f>
        <v>1.5745515039121301</v>
      </c>
      <c r="BC17" s="44">
        <f>'Yearly Butadiene'!BC32+'Yearly BTX'!BC47+'Yearly Methanol'!BC49+'Yearly LC Ethylene'!W52+'Yearly LC Propylene'!W28</f>
        <v>1.7044108405506366</v>
      </c>
      <c r="BD17" s="44">
        <f>'Yearly Butadiene'!BD32+'Yearly BTX'!BD47+'Yearly Methanol'!BD49+'Yearly LC Ethylene'!X52+'Yearly LC Propylene'!X28</f>
        <v>1.8374959464529164</v>
      </c>
      <c r="BE17" s="44">
        <f>'Yearly Butadiene'!BE32+'Yearly BTX'!BE47+'Yearly Methanol'!BE49+'Yearly LC Ethylene'!Y52+'Yearly LC Propylene'!Y28</f>
        <v>2.0483623738236414</v>
      </c>
      <c r="BF17" s="44">
        <f>'Yearly Butadiene'!BF32+'Yearly BTX'!BF47+'Yearly Methanol'!BF49+'Yearly LC Ethylene'!Z52+'Yearly LC Propylene'!Z28</f>
        <v>2.264596667215085</v>
      </c>
      <c r="BG17" s="44">
        <f>'Yearly Butadiene'!BG32+'Yearly BTX'!BG47+'Yearly Methanol'!BG49+'Yearly LC Ethylene'!AA52+'Yearly LC Propylene'!AA28</f>
        <v>2.4863159761278535</v>
      </c>
      <c r="BH17" s="44">
        <f>'Yearly Butadiene'!BH32+'Yearly BTX'!BH47+'Yearly Methanol'!BH49+'Yearly LC Ethylene'!AB52+'Yearly LC Propylene'!AB28</f>
        <v>2.7136399894071426</v>
      </c>
      <c r="BI17" s="44">
        <f>'Yearly Butadiene'!BI32+'Yearly BTX'!BI47+'Yearly Methanol'!BI49+'Yearly LC Ethylene'!AC52+'Yearly LC Propylene'!AC28</f>
        <v>2.946690991774342</v>
      </c>
      <c r="BJ17" s="44">
        <f>'Yearly Butadiene'!BJ32+'Yearly BTX'!BJ47+'Yearly Methanol'!BJ49+'Yearly LC Ethylene'!AD52+'Yearly LC Propylene'!AD28</f>
        <v>3.1855939216486107</v>
      </c>
      <c r="BK17" s="44">
        <f>'Yearly Butadiene'!BK32+'Yearly BTX'!BK47+'Yearly Methanol'!BK49+'Yearly LC Ethylene'!AE52+'Yearly LC Propylene'!AE28</f>
        <v>3.4304764302882993</v>
      </c>
      <c r="BL17" s="44">
        <f>'Yearly Butadiene'!BL32+'Yearly BTX'!BL47+'Yearly Methanol'!BL49+'Yearly LC Ethylene'!AF52+'Yearly LC Propylene'!AF28</f>
        <v>3.6814689422827458</v>
      </c>
      <c r="BM17" s="44">
        <f>'Yearly Butadiene'!BM32+'Yearly BTX'!BM47+'Yearly Methanol'!BM49+'Yearly LC Ethylene'!AG52+'Yearly LC Propylene'!AG28</f>
        <v>3.9387047174256846</v>
      </c>
      <c r="BN17" s="44">
        <f>'Yearly Butadiene'!BN32+'Yearly BTX'!BN47+'Yearly Methanol'!BN49+'Yearly LC Ethylene'!AH52+'Yearly LC Propylene'!AH28</f>
        <v>4.2023199140022562</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V17">
        <v>0</v>
      </c>
      <c r="CW17">
        <v>0</v>
      </c>
      <c r="CX17">
        <v>0</v>
      </c>
      <c r="CY17">
        <v>0</v>
      </c>
      <c r="CZ17">
        <v>0</v>
      </c>
      <c r="DA17">
        <v>0</v>
      </c>
      <c r="DB17">
        <v>0</v>
      </c>
      <c r="DC17">
        <v>0</v>
      </c>
      <c r="DD17">
        <v>0</v>
      </c>
      <c r="DE17">
        <v>0</v>
      </c>
      <c r="DF17">
        <v>0</v>
      </c>
      <c r="DG17">
        <v>0</v>
      </c>
      <c r="DH17">
        <v>0</v>
      </c>
      <c r="DI17">
        <v>0</v>
      </c>
      <c r="DJ17">
        <v>0</v>
      </c>
      <c r="DK17">
        <v>0</v>
      </c>
      <c r="DL17">
        <v>0</v>
      </c>
      <c r="DM17">
        <v>0</v>
      </c>
      <c r="DN17">
        <v>0</v>
      </c>
      <c r="DO17">
        <v>0</v>
      </c>
      <c r="DP17">
        <v>0</v>
      </c>
      <c r="DQ17">
        <v>0</v>
      </c>
      <c r="DR17">
        <v>0</v>
      </c>
      <c r="DS17">
        <v>0</v>
      </c>
      <c r="DT17">
        <v>0</v>
      </c>
      <c r="DU17">
        <v>0</v>
      </c>
      <c r="DV17">
        <v>0</v>
      </c>
      <c r="DW17">
        <v>0</v>
      </c>
      <c r="DX17">
        <v>0</v>
      </c>
      <c r="DY17">
        <v>0</v>
      </c>
      <c r="DZ17">
        <v>0</v>
      </c>
      <c r="EB17" t="s">
        <v>1889</v>
      </c>
      <c r="EE17" s="44">
        <f t="shared" si="99"/>
        <v>109.15985274663207</v>
      </c>
      <c r="EF17" s="44">
        <f>BN14</f>
        <v>23.538177462237087</v>
      </c>
      <c r="EG17">
        <v>0</v>
      </c>
      <c r="EH17" s="44">
        <f>BN15</f>
        <v>7.908931608549155</v>
      </c>
      <c r="EI17" s="44">
        <f>SUM('Yearly BTX'!AH96:AH99,'Yearly Butadiene'!AH60:AH63,'Yearly Methanol'!AH98:AH101,'Yearly HC Ethylene'!AH123:AH126,'Yearly HC Propylene'!AH55:AH58)</f>
        <v>31.002061030457849</v>
      </c>
      <c r="EJ17" s="44">
        <f t="shared" si="90"/>
        <v>46.710682645387976</v>
      </c>
      <c r="EK17" s="2">
        <f t="shared" si="91"/>
        <v>0.21563035191033927</v>
      </c>
      <c r="EL17" s="2">
        <f t="shared" si="92"/>
        <v>0</v>
      </c>
      <c r="EM17" s="2">
        <f t="shared" si="93"/>
        <v>7.2452750801215882E-2</v>
      </c>
      <c r="EN17" s="2">
        <f t="shared" si="94"/>
        <v>0.28400607229121022</v>
      </c>
      <c r="EO17" s="2">
        <f t="shared" si="95"/>
        <v>0.4279108249972346</v>
      </c>
      <c r="EP17" s="660">
        <f t="shared" si="98"/>
        <v>0.15453842188616251</v>
      </c>
      <c r="EQ17">
        <v>0.21563035191033927</v>
      </c>
      <c r="ER17">
        <v>0</v>
      </c>
      <c r="ES17">
        <v>7.2452750801215882E-2</v>
      </c>
      <c r="ET17">
        <v>0.28400607229121022</v>
      </c>
      <c r="EU17">
        <v>0.4279108249972346</v>
      </c>
    </row>
    <row r="18" spans="1:151" x14ac:dyDescent="0.2">
      <c r="A18" s="1" t="s">
        <v>1163</v>
      </c>
      <c r="B18" t="s">
        <v>83</v>
      </c>
      <c r="C18" s="54" t="s">
        <v>69</v>
      </c>
      <c r="D18" s="44">
        <f>'Yearly Butadiene'!D34+'Yearly BTX'!D49+'Yearly Methanol'!D51+'Yearly HC Ethylene'!D54+'Yearly HC Propylene'!D30</f>
        <v>0</v>
      </c>
      <c r="E18" s="44">
        <f>'Yearly Butadiene'!E34+'Yearly BTX'!E49+'Yearly Methanol'!E51+'Yearly HC Ethylene'!E54+'Yearly HC Propylene'!E30</f>
        <v>0.11112563188896925</v>
      </c>
      <c r="F18" s="44">
        <f>'Yearly Butadiene'!F34+'Yearly BTX'!F49+'Yearly Methanol'!F51+'Yearly HC Ethylene'!F54+'Yearly HC Propylene'!F30</f>
        <v>0.22516001299018418</v>
      </c>
      <c r="G18" s="44">
        <f>'Yearly Butadiene'!G34+'Yearly BTX'!G49+'Yearly Methanol'!G51+'Yearly HC Ethylene'!G54+'Yearly HC Propylene'!G30</f>
        <v>0.34216579923157686</v>
      </c>
      <c r="H18" s="44">
        <f>'Yearly Butadiene'!H34+'Yearly BTX'!H49+'Yearly Methanol'!H51+'Yearly HC Ethylene'!H54+'Yearly HC Propylene'!H30</f>
        <v>0.46220697637615388</v>
      </c>
      <c r="I18" s="44">
        <f>'Yearly Butadiene'!I34+'Yearly BTX'!I49+'Yearly Methanol'!I51+'Yearly HC Ethylene'!I54+'Yearly HC Propylene'!I30</f>
        <v>0.58534888909214255</v>
      </c>
      <c r="J18" s="44">
        <f>'Yearly Butadiene'!J34+'Yearly BTX'!J49+'Yearly Methanol'!J51+'Yearly HC Ethylene'!J54+'Yearly HC Propylene'!J30</f>
        <v>0.71165827067853682</v>
      </c>
      <c r="K18" s="44">
        <f>'Yearly Butadiene'!K34+'Yearly BTX'!K49+'Yearly Methanol'!K51+'Yearly HC Ethylene'!K54+'Yearly HC Propylene'!K30</f>
        <v>0.84120327346110602</v>
      </c>
      <c r="L18" s="44">
        <f>'Yearly Butadiene'!L34+'Yearly BTX'!L49+'Yearly Methanol'!L51+'Yearly HC Ethylene'!L54+'Yearly HC Propylene'!L30</f>
        <v>0.9740534998742838</v>
      </c>
      <c r="M18" s="44">
        <f>'Yearly Butadiene'!M34+'Yearly BTX'!M49+'Yearly Methanol'!M51+'Yearly HC Ethylene'!M54+'Yearly HC Propylene'!M30</f>
        <v>1.110280034244699</v>
      </c>
      <c r="N18" s="44">
        <f>'Yearly Butadiene'!N34+'Yearly BTX'!N49+'Yearly Methanol'!N51+'Yearly HC Ethylene'!N54+'Yearly HC Propylene'!N30</f>
        <v>1.2499554752924931</v>
      </c>
      <c r="O18" s="44">
        <f>'Yearly Butadiene'!O34+'Yearly BTX'!O49+'Yearly Methanol'!O51+'Yearly HC Ethylene'!O54+'Yearly HC Propylene'!O30</f>
        <v>1.3931539693669266</v>
      </c>
      <c r="P18" s="44">
        <f>'Yearly Butadiene'!P34+'Yearly BTX'!P49+'Yearly Methanol'!P51+'Yearly HC Ethylene'!P54+'Yearly HC Propylene'!P30</f>
        <v>1.5399512444331707</v>
      </c>
      <c r="Q18" s="44">
        <f>'Yearly Butadiene'!Q34+'Yearly BTX'!Q49+'Yearly Methanol'!Q51+'Yearly HC Ethylene'!Q54+'Yearly HC Propylene'!Q30</f>
        <v>1.6904246448275635</v>
      </c>
      <c r="R18" s="44">
        <f>'Yearly Butadiene'!R34+'Yearly BTX'!R49+'Yearly Methanol'!R51+'Yearly HC Ethylene'!R54+'Yearly HC Propylene'!R30</f>
        <v>1.8446531667990165</v>
      </c>
      <c r="S18" s="44">
        <f>'Yearly Butadiene'!S34+'Yearly BTX'!S49+'Yearly Methanol'!S51+'Yearly HC Ethylene'!S54+'Yearly HC Propylene'!S30</f>
        <v>2.0027174948546658</v>
      </c>
      <c r="T18" s="44">
        <f>'Yearly Butadiene'!T34+'Yearly BTX'!T49+'Yearly Methanol'!T51+'Yearly HC Ethylene'!T54+'Yearly HC Propylene'!T30</f>
        <v>2.164700038928276</v>
      </c>
      <c r="U18" s="44">
        <f>'Yearly Butadiene'!U34+'Yearly BTX'!U49+'Yearly Methanol'!U51+'Yearly HC Ethylene'!U54+'Yearly HC Propylene'!U30</f>
        <v>2.3306849723903418</v>
      </c>
      <c r="V18" s="44">
        <f>'Yearly Butadiene'!V34+'Yearly BTX'!V49+'Yearly Methanol'!V51+'Yearly HC Ethylene'!V54+'Yearly HC Propylene'!V30</f>
        <v>2.5007582709192651</v>
      </c>
      <c r="W18" s="44">
        <f>'Yearly Butadiene'!W34+'Yearly BTX'!W49+'Yearly Methanol'!W51+'Yearly HC Ethylene'!W54+'Yearly HC Propylene'!W30</f>
        <v>2.6750077522534399</v>
      </c>
      <c r="X18" s="44">
        <f>'Yearly Butadiene'!X34+'Yearly BTX'!X49+'Yearly Methanol'!X51+'Yearly HC Ethylene'!X54+'Yearly HC Propylene'!X30</f>
        <v>2.8535231168445288</v>
      </c>
      <c r="Y18" s="44">
        <f>'Yearly Butadiene'!Y34+'Yearly BTX'!Y49+'Yearly Methanol'!Y51+'Yearly HC Ethylene'!Y54+'Yearly HC Propylene'!Y30</f>
        <v>3.0407775132269665</v>
      </c>
      <c r="Z18" s="44">
        <f>'Yearly Butadiene'!Z34+'Yearly BTX'!Z49+'Yearly Methanol'!Z51+'Yearly HC Ethylene'!Z54+'Yearly HC Propylene'!Z30</f>
        <v>3.2326007328089843</v>
      </c>
      <c r="AA18" s="44">
        <f>'Yearly Butadiene'!AA34+'Yearly BTX'!AA49+'Yearly Methanol'!AA51+'Yearly HC Ethylene'!AA54+'Yearly HC Propylene'!AA30</f>
        <v>3.4290909933202247</v>
      </c>
      <c r="AB18" s="44">
        <f>'Yearly Butadiene'!AB34+'Yearly BTX'!AB49+'Yearly Methanol'!AB51+'Yearly HC Ethylene'!AB54+'Yearly HC Propylene'!AB30</f>
        <v>3.6303486244841778</v>
      </c>
      <c r="AC18" s="44">
        <f>'Yearly Butadiene'!AC34+'Yearly BTX'!AC49+'Yearly Methanol'!AC51+'Yearly HC Ethylene'!AC54+'Yearly HC Propylene'!AC30</f>
        <v>3.8364761147807123</v>
      </c>
      <c r="AD18" s="44">
        <f>'Yearly Butadiene'!AD34+'Yearly BTX'!AD49+'Yearly Methanol'!AD51+'Yearly HC Ethylene'!AD54+'Yearly HC Propylene'!AD30</f>
        <v>4.0475781592711764</v>
      </c>
      <c r="AE18" s="44">
        <f>'Yearly Butadiene'!AE34+'Yearly BTX'!AE49+'Yearly Methanol'!AE51+'Yearly HC Ethylene'!AE54+'Yearly HC Propylene'!AE30</f>
        <v>4.2637617085105788</v>
      </c>
      <c r="AF18" s="44">
        <f>'Yearly Butadiene'!AF34+'Yearly BTX'!AF49+'Yearly Methanol'!AF51+'Yearly HC Ethylene'!AF54+'Yearly HC Propylene'!AF30</f>
        <v>4.4851360185719198</v>
      </c>
      <c r="AG18" s="44">
        <f>'Yearly Butadiene'!AG34+'Yearly BTX'!AG49+'Yearly Methanol'!AG51+'Yearly HC Ethylene'!AG54+'Yearly HC Propylene'!AG30</f>
        <v>4.7118127022083112</v>
      </c>
      <c r="AH18" s="44">
        <f>'Yearly Butadiene'!AH34+'Yearly BTX'!AH49+'Yearly Methanol'!AH51+'Yearly HC Ethylene'!AH54+'Yearly HC Propylene'!AH30</f>
        <v>4.943905781179124</v>
      </c>
      <c r="AI18" s="44"/>
      <c r="AJ18" s="44">
        <f>'Yearly Butadiene'!AJ34+'Yearly BTX'!AJ49+'Yearly Methanol'!AJ51+'Yearly LC Ethylene'!D54+'Yearly LC Propylene'!D30</f>
        <v>0</v>
      </c>
      <c r="AK18" s="44">
        <f>'Yearly Butadiene'!AK34+'Yearly BTX'!AK49+'Yearly Methanol'!AK51+'Yearly LC Ethylene'!E54+'Yearly LC Propylene'!E30</f>
        <v>5.5562815944484624E-2</v>
      </c>
      <c r="AL18" s="44">
        <f>'Yearly Butadiene'!AL34+'Yearly BTX'!AL49+'Yearly Methanol'!AL51+'Yearly LC Ethylene'!F54+'Yearly LC Propylene'!F30</f>
        <v>0.11258000649509209</v>
      </c>
      <c r="AM18" s="44">
        <f>'Yearly Butadiene'!AM34+'Yearly BTX'!AM49+'Yearly Methanol'!AM51+'Yearly LC Ethylene'!G54+'Yearly LC Propylene'!G30</f>
        <v>0.17108289961578843</v>
      </c>
      <c r="AN18" s="44">
        <f>'Yearly Butadiene'!AN34+'Yearly BTX'!AN49+'Yearly Methanol'!AN51+'Yearly LC Ethylene'!H54+'Yearly LC Propylene'!H30</f>
        <v>0.23110348818807694</v>
      </c>
      <c r="AO18" s="44">
        <f>'Yearly Butadiene'!AO34+'Yearly BTX'!AO49+'Yearly Methanol'!AO51+'Yearly LC Ethylene'!I54+'Yearly LC Propylene'!I30</f>
        <v>0.29267444454607128</v>
      </c>
      <c r="AP18" s="44">
        <f>'Yearly Butadiene'!AP34+'Yearly BTX'!AP49+'Yearly Methanol'!AP51+'Yearly LC Ethylene'!J54+'Yearly LC Propylene'!J30</f>
        <v>0.35582913533926841</v>
      </c>
      <c r="AQ18" s="44">
        <f>'Yearly Butadiene'!AQ34+'Yearly BTX'!AQ49+'Yearly Methanol'!AQ51+'Yearly LC Ethylene'!K54+'Yearly LC Propylene'!K30</f>
        <v>0.42060163673055301</v>
      </c>
      <c r="AR18" s="44">
        <f>'Yearly Butadiene'!AR34+'Yearly BTX'!AR49+'Yearly Methanol'!AR51+'Yearly LC Ethylene'!L54+'Yearly LC Propylene'!L30</f>
        <v>0.4870267499371419</v>
      </c>
      <c r="AS18" s="44">
        <f>'Yearly Butadiene'!AS34+'Yearly BTX'!AS49+'Yearly Methanol'!AS51+'Yearly LC Ethylene'!M54+'Yearly LC Propylene'!M30</f>
        <v>0.55514001712234951</v>
      </c>
      <c r="AT18" s="44">
        <f>'Yearly Butadiene'!AT34+'Yearly BTX'!AT49+'Yearly Methanol'!AT51+'Yearly LC Ethylene'!N54+'Yearly LC Propylene'!N30</f>
        <v>0.62497773764624653</v>
      </c>
      <c r="AU18" s="44">
        <f>'Yearly Butadiene'!AU34+'Yearly BTX'!AU49+'Yearly Methanol'!AU51+'Yearly LC Ethylene'!O54+'Yearly LC Propylene'!O30</f>
        <v>0.6965769846834633</v>
      </c>
      <c r="AV18" s="44">
        <f>'Yearly Butadiene'!AV34+'Yearly BTX'!AV49+'Yearly Methanol'!AV51+'Yearly LC Ethylene'!P54+'Yearly LC Propylene'!P30</f>
        <v>0.76997562221658533</v>
      </c>
      <c r="AW18" s="44">
        <f>'Yearly Butadiene'!AW34+'Yearly BTX'!AW49+'Yearly Methanol'!AW51+'Yearly LC Ethylene'!Q54+'Yearly LC Propylene'!Q30</f>
        <v>0.84521232241378175</v>
      </c>
      <c r="AX18" s="44">
        <f>'Yearly Butadiene'!AX34+'Yearly BTX'!AX49+'Yearly Methanol'!AX51+'Yearly LC Ethylene'!R54+'Yearly LC Propylene'!R30</f>
        <v>0.92232658339950824</v>
      </c>
      <c r="AY18" s="44">
        <f>'Yearly Butadiene'!AY34+'Yearly BTX'!AY49+'Yearly Methanol'!AY51+'Yearly LC Ethylene'!S54+'Yearly LC Propylene'!S30</f>
        <v>1.0013587474273329</v>
      </c>
      <c r="AZ18" s="44">
        <f>'Yearly Butadiene'!AZ34+'Yearly BTX'!AZ49+'Yearly Methanol'!AZ51+'Yearly LC Ethylene'!T54+'Yearly LC Propylene'!T30</f>
        <v>1.082350019464138</v>
      </c>
      <c r="BA18" s="44">
        <f>'Yearly Butadiene'!BA34+'Yearly BTX'!BA49+'Yearly Methanol'!BA51+'Yearly LC Ethylene'!U54+'Yearly LC Propylene'!U30</f>
        <v>1.1653424861951709</v>
      </c>
      <c r="BB18" s="44">
        <f>'Yearly Butadiene'!BB34+'Yearly BTX'!BB49+'Yearly Methanol'!BB51+'Yearly LC Ethylene'!V54+'Yearly LC Propylene'!V30</f>
        <v>1.2503791354596325</v>
      </c>
      <c r="BC18" s="44">
        <f>'Yearly Butadiene'!BC34+'Yearly BTX'!BC49+'Yearly Methanol'!BC51+'Yearly LC Ethylene'!W54+'Yearly LC Propylene'!W30</f>
        <v>1.3375038761267199</v>
      </c>
      <c r="BD18" s="44">
        <f>'Yearly Butadiene'!BD34+'Yearly BTX'!BD49+'Yearly Methanol'!BD51+'Yearly LC Ethylene'!X54+'Yearly LC Propylene'!X30</f>
        <v>1.4267615584222644</v>
      </c>
      <c r="BE18" s="44">
        <f>'Yearly Butadiene'!BE34+'Yearly BTX'!BE49+'Yearly Methanol'!BE51+'Yearly LC Ethylene'!Y54+'Yearly LC Propylene'!Y30</f>
        <v>1.5203887566134833</v>
      </c>
      <c r="BF18" s="44">
        <f>'Yearly Butadiene'!BF34+'Yearly BTX'!BF49+'Yearly Methanol'!BF51+'Yearly LC Ethylene'!Z54+'Yearly LC Propylene'!Z30</f>
        <v>1.6163003664044922</v>
      </c>
      <c r="BG18" s="44">
        <f>'Yearly Butadiene'!BG34+'Yearly BTX'!BG49+'Yearly Methanol'!BG51+'Yearly LC Ethylene'!AA54+'Yearly LC Propylene'!AA30</f>
        <v>1.7145454966601124</v>
      </c>
      <c r="BH18" s="44">
        <f>'Yearly Butadiene'!BH34+'Yearly BTX'!BH49+'Yearly Methanol'!BH51+'Yearly LC Ethylene'!AB54+'Yearly LC Propylene'!AB30</f>
        <v>1.8151743122420889</v>
      </c>
      <c r="BI18" s="44">
        <f>'Yearly Butadiene'!BI34+'Yearly BTX'!BI49+'Yearly Methanol'!BI51+'Yearly LC Ethylene'!AC54+'Yearly LC Propylene'!AC30</f>
        <v>1.9182380573903561</v>
      </c>
      <c r="BJ18" s="44">
        <f>'Yearly Butadiene'!BJ34+'Yearly BTX'!BJ49+'Yearly Methanol'!BJ51+'Yearly LC Ethylene'!AD54+'Yearly LC Propylene'!AD30</f>
        <v>2.0237890796355882</v>
      </c>
      <c r="BK18" s="44">
        <f>'Yearly Butadiene'!BK34+'Yearly BTX'!BK49+'Yearly Methanol'!BK51+'Yearly LC Ethylene'!AE54+'Yearly LC Propylene'!AE30</f>
        <v>2.1318808542552894</v>
      </c>
      <c r="BL18" s="44">
        <f>'Yearly Butadiene'!BL34+'Yearly BTX'!BL49+'Yearly Methanol'!BL51+'Yearly LC Ethylene'!AF54+'Yearly LC Propylene'!AF30</f>
        <v>2.2425680092859599</v>
      </c>
      <c r="BM18" s="44">
        <f>'Yearly Butadiene'!BM34+'Yearly BTX'!BM49+'Yearly Methanol'!BM51+'Yearly LC Ethylene'!AG54+'Yearly LC Propylene'!AG30</f>
        <v>2.3559063511041556</v>
      </c>
      <c r="BN18" s="44">
        <f>'Yearly Butadiene'!BN34+'Yearly BTX'!BN49+'Yearly Methanol'!BN51+'Yearly LC Ethylene'!AH54+'Yearly LC Propylene'!AH30</f>
        <v>2.471952890589562</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B18" t="s">
        <v>1462</v>
      </c>
      <c r="EE18" s="44">
        <f t="shared" si="99"/>
        <v>135.62387247256368</v>
      </c>
      <c r="EF18" s="44">
        <f>BN13</f>
        <v>7.6388485954664951</v>
      </c>
      <c r="EG18" s="44">
        <f>BN12</f>
        <v>13.300591888592084</v>
      </c>
      <c r="EH18">
        <v>0</v>
      </c>
      <c r="EI18" s="44">
        <f>SUM('Yearly BTX'!AH83,'Yearly Butadiene'!AH53,'Yearly Methanol'!AH85,'Yearly HC Ethylene'!AH103,'Yearly HC Ethylene'!AH104,'Yearly HC Propylene'!AH48)</f>
        <v>10.117576786097512</v>
      </c>
      <c r="EJ18" s="44">
        <f t="shared" si="90"/>
        <v>104.56685520240758</v>
      </c>
      <c r="EK18" s="2">
        <f t="shared" si="91"/>
        <v>5.6323775867790624E-2</v>
      </c>
      <c r="EL18" s="2">
        <f t="shared" si="92"/>
        <v>9.8069695593471243E-2</v>
      </c>
      <c r="EM18" s="2">
        <f t="shared" si="93"/>
        <v>0</v>
      </c>
      <c r="EN18" s="2">
        <f t="shared" si="94"/>
        <v>7.4600264700038471E-2</v>
      </c>
      <c r="EO18" s="2">
        <f t="shared" si="95"/>
        <v>0.77100626383869963</v>
      </c>
      <c r="EP18" s="660">
        <f t="shared" si="98"/>
        <v>5.0152379421245383E-2</v>
      </c>
      <c r="EQ18">
        <v>5.6323775867790624E-2</v>
      </c>
      <c r="ER18">
        <v>9.8069695593471243E-2</v>
      </c>
      <c r="ES18">
        <v>0</v>
      </c>
      <c r="ET18">
        <v>7.4600264700038471E-2</v>
      </c>
      <c r="EU18">
        <v>0.77100626383869963</v>
      </c>
    </row>
    <row r="19" spans="1:151" x14ac:dyDescent="0.2">
      <c r="A19" s="1" t="s">
        <v>1162</v>
      </c>
      <c r="B19" t="s">
        <v>84</v>
      </c>
      <c r="C19" s="54" t="s">
        <v>69</v>
      </c>
      <c r="D19" s="44">
        <f>'Yearly Butadiene'!D37+'Yearly BTX'!D55+'Yearly Methanol'!D57+'Yearly HC Ethylene'!D63+'Yearly HC Propylene'!D33</f>
        <v>0</v>
      </c>
      <c r="E19" s="44">
        <f>'Yearly Butadiene'!E37+'Yearly BTX'!E55+'Yearly Methanol'!E57+'Yearly HC Ethylene'!E63+'Yearly HC Propylene'!E33</f>
        <v>0.66440091635978327</v>
      </c>
      <c r="F19" s="44">
        <f>'Yearly Butadiene'!F37+'Yearly BTX'!F55+'Yearly Methanol'!F57+'Yearly HC Ethylene'!F63+'Yearly HC Propylene'!F33</f>
        <v>1.4163643434354887</v>
      </c>
      <c r="G19" s="44">
        <f>'Yearly Butadiene'!G37+'Yearly BTX'!G55+'Yearly Methanol'!G57+'Yearly HC Ethylene'!G63+'Yearly HC Propylene'!G33</f>
        <v>2.2580616558245032</v>
      </c>
      <c r="H19" s="44">
        <f>'Yearly Butadiene'!H37+'Yearly BTX'!H55+'Yearly Methanol'!H57+'Yearly HC Ethylene'!H63+'Yearly HC Propylene'!H33</f>
        <v>3.1917448701871827</v>
      </c>
      <c r="I19" s="44">
        <f>'Yearly Butadiene'!I37+'Yearly BTX'!I55+'Yearly Methanol'!I57+'Yearly HC Ethylene'!I63+'Yearly HC Propylene'!I33</f>
        <v>4.219749273006391</v>
      </c>
      <c r="J19" s="44">
        <f>'Yearly Butadiene'!J37+'Yearly BTX'!J55+'Yearly Methanol'!J57+'Yearly HC Ethylene'!J63+'Yearly HC Propylene'!J33</f>
        <v>5.2905719121276524</v>
      </c>
      <c r="K19" s="44">
        <f>'Yearly Butadiene'!K37+'Yearly BTX'!K55+'Yearly Methanol'!K57+'Yearly HC Ethylene'!K63+'Yearly HC Propylene'!K33</f>
        <v>6.4400212774440551</v>
      </c>
      <c r="L19" s="44">
        <f>'Yearly Butadiene'!L37+'Yearly BTX'!L55+'Yearly Methanol'!L57+'Yearly HC Ethylene'!L63+'Yearly HC Propylene'!L33</f>
        <v>7.6694658362757906</v>
      </c>
      <c r="M19" s="44">
        <f>'Yearly Butadiene'!M37+'Yearly BTX'!M55+'Yearly Methanol'!M57+'Yearly HC Ethylene'!M63+'Yearly HC Propylene'!M33</f>
        <v>8.9803169826143296</v>
      </c>
      <c r="N19" s="44">
        <f>'Yearly Butadiene'!N37+'Yearly BTX'!N55+'Yearly Methanol'!N57+'Yearly HC Ethylene'!N63+'Yearly HC Propylene'!N33</f>
        <v>10.374030242770228</v>
      </c>
      <c r="O19" s="44">
        <f>'Yearly Butadiene'!O37+'Yearly BTX'!O55+'Yearly Methanol'!O57+'Yearly HC Ethylene'!O63+'Yearly HC Propylene'!O33</f>
        <v>11.473435198838541</v>
      </c>
      <c r="P19" s="44">
        <f>'Yearly Butadiene'!P37+'Yearly BTX'!P55+'Yearly Methanol'!P57+'Yearly HC Ethylene'!P63+'Yearly HC Propylene'!P33</f>
        <v>12.582187492372999</v>
      </c>
      <c r="Q19" s="44">
        <f>'Yearly Butadiene'!Q37+'Yearly BTX'!Q55+'Yearly Methanol'!Q57+'Yearly HC Ethylene'!Q63+'Yearly HC Propylene'!Q33</f>
        <v>13.699754520233396</v>
      </c>
      <c r="R19" s="44">
        <f>'Yearly Butadiene'!R37+'Yearly BTX'!R55+'Yearly Methanol'!R57+'Yearly HC Ethylene'!R63+'Yearly HC Propylene'!R33</f>
        <v>14.825586774782495</v>
      </c>
      <c r="S19" s="44">
        <f>'Yearly Butadiene'!S37+'Yearly BTX'!S55+'Yearly Methanol'!S57+'Yearly HC Ethylene'!S63+'Yearly HC Propylene'!S33</f>
        <v>15.959117404273261</v>
      </c>
      <c r="T19" s="44">
        <f>'Yearly Butadiene'!T37+'Yearly BTX'!T55+'Yearly Methanol'!T57+'Yearly HC Ethylene'!T63+'Yearly HC Propylene'!T33</f>
        <v>17.046455473299552</v>
      </c>
      <c r="U19" s="44">
        <f>'Yearly Butadiene'!U37+'Yearly BTX'!U55+'Yearly Methanol'!U57+'Yearly HC Ethylene'!U63+'Yearly HC Propylene'!U33</f>
        <v>18.132595200080484</v>
      </c>
      <c r="V19" s="44">
        <f>'Yearly Butadiene'!V37+'Yearly BTX'!V55+'Yearly Methanol'!V57+'Yearly HC Ethylene'!V63+'Yearly HC Propylene'!V33</f>
        <v>19.216706877863956</v>
      </c>
      <c r="W19" s="44">
        <f>'Yearly Butadiene'!W37+'Yearly BTX'!W55+'Yearly Methanol'!W57+'Yearly HC Ethylene'!W63+'Yearly HC Propylene'!W33</f>
        <v>20.297935860960905</v>
      </c>
      <c r="X19" s="44">
        <f>'Yearly Butadiene'!X37+'Yearly BTX'!X55+'Yearly Methanol'!X57+'Yearly HC Ethylene'!X63+'Yearly HC Propylene'!X33</f>
        <v>21.375401926378252</v>
      </c>
      <c r="Y19" s="44">
        <f>'Yearly Butadiene'!Y37+'Yearly BTX'!Y55+'Yearly Methanol'!Y57+'Yearly HC Ethylene'!Y63+'Yearly HC Propylene'!Y33</f>
        <v>22.329135516446421</v>
      </c>
      <c r="Z19" s="44">
        <f>'Yearly Butadiene'!Z37+'Yearly BTX'!Z55+'Yearly Methanol'!Z57+'Yearly HC Ethylene'!Z63+'Yearly HC Propylene'!Z33</f>
        <v>23.260741766977308</v>
      </c>
      <c r="AA19" s="44">
        <f>'Yearly Butadiene'!AA37+'Yearly BTX'!AA55+'Yearly Methanol'!AA57+'Yearly HC Ethylene'!AA63+'Yearly HC Propylene'!AA33</f>
        <v>24.168978214783984</v>
      </c>
      <c r="AB19" s="44">
        <f>'Yearly Butadiene'!AB37+'Yearly BTX'!AB55+'Yearly Methanol'!AB57+'Yearly HC Ethylene'!AB63+'Yearly HC Propylene'!AB33</f>
        <v>25.05256935817351</v>
      </c>
      <c r="AC19" s="44">
        <f>'Yearly Butadiene'!AC37+'Yearly BTX'!AC55+'Yearly Methanol'!AC57+'Yearly HC Ethylene'!AC63+'Yearly HC Propylene'!AC33</f>
        <v>25.910205862304274</v>
      </c>
      <c r="AD19" s="44">
        <f>'Yearly Butadiene'!AD37+'Yearly BTX'!AD55+'Yearly Methanol'!AD57+'Yearly HC Ethylene'!AD63+'Yearly HC Propylene'!AD33</f>
        <v>26.687978030060002</v>
      </c>
      <c r="AE19" s="44">
        <f>'Yearly Butadiene'!AE37+'Yearly BTX'!AE55+'Yearly Methanol'!AE57+'Yearly HC Ethylene'!AE63+'Yearly HC Propylene'!AE33</f>
        <v>27.432237213670341</v>
      </c>
      <c r="AF19" s="44">
        <f>'Yearly Butadiene'!AF37+'Yearly BTX'!AF55+'Yearly Methanol'!AF57+'Yearly HC Ethylene'!AF63+'Yearly HC Propylene'!AF33</f>
        <v>28.141479455162234</v>
      </c>
      <c r="AG19" s="44">
        <f>'Yearly Butadiene'!AG37+'Yearly BTX'!AG55+'Yearly Methanol'!AG57+'Yearly HC Ethylene'!AG63+'Yearly HC Propylene'!AG33</f>
        <v>28.814162180653195</v>
      </c>
      <c r="AH19" s="44">
        <f>'Yearly Butadiene'!AH37+'Yearly BTX'!AH55+'Yearly Methanol'!AH57+'Yearly HC Ethylene'!AH63+'Yearly HC Propylene'!AH33</f>
        <v>29.448703287241123</v>
      </c>
      <c r="AI19" s="44"/>
      <c r="AJ19" s="44">
        <f>'Yearly Butadiene'!AJ37+'Yearly BTX'!AJ55+'Yearly Methanol'!AJ57+'Yearly LC Ethylene'!D63+'Yearly LC Propylene'!D33</f>
        <v>0</v>
      </c>
      <c r="AK19" s="44">
        <f>'Yearly Butadiene'!AK37+'Yearly BTX'!AK55+'Yearly Methanol'!AK57+'Yearly LC Ethylene'!E63+'Yearly LC Propylene'!E33</f>
        <v>0.33220045817989163</v>
      </c>
      <c r="AL19" s="44">
        <f>'Yearly Butadiene'!AL37+'Yearly BTX'!AL55+'Yearly Methanol'!AL57+'Yearly LC Ethylene'!F63+'Yearly LC Propylene'!F33</f>
        <v>0.70818217171774434</v>
      </c>
      <c r="AM19" s="44">
        <f>'Yearly Butadiene'!AM37+'Yearly BTX'!AM55+'Yearly Methanol'!AM57+'Yearly LC Ethylene'!G63+'Yearly LC Propylene'!G33</f>
        <v>1.1290308279122516</v>
      </c>
      <c r="AN19" s="44">
        <f>'Yearly Butadiene'!AN37+'Yearly BTX'!AN55+'Yearly Methanol'!AN57+'Yearly LC Ethylene'!H63+'Yearly LC Propylene'!H33</f>
        <v>1.5958724350935913</v>
      </c>
      <c r="AO19" s="44">
        <f>'Yearly Butadiene'!AO37+'Yearly BTX'!AO55+'Yearly Methanol'!AO57+'Yearly LC Ethylene'!I63+'Yearly LC Propylene'!I33</f>
        <v>2.1098746365031955</v>
      </c>
      <c r="AP19" s="44">
        <f>'Yearly Butadiene'!AP37+'Yearly BTX'!AP55+'Yearly Methanol'!AP57+'Yearly LC Ethylene'!J63+'Yearly LC Propylene'!J33</f>
        <v>2.6452859560638262</v>
      </c>
      <c r="AQ19" s="44">
        <f>'Yearly Butadiene'!AQ37+'Yearly BTX'!AQ55+'Yearly Methanol'!AQ57+'Yearly LC Ethylene'!K63+'Yearly LC Propylene'!K33</f>
        <v>3.2200106387220275</v>
      </c>
      <c r="AR19" s="44">
        <f>'Yearly Butadiene'!AR37+'Yearly BTX'!AR55+'Yearly Methanol'!AR57+'Yearly LC Ethylene'!L63+'Yearly LC Propylene'!L33</f>
        <v>3.8347329181378953</v>
      </c>
      <c r="AS19" s="44">
        <f>'Yearly Butadiene'!AS37+'Yearly BTX'!AS55+'Yearly Methanol'!AS57+'Yearly LC Ethylene'!M63+'Yearly LC Propylene'!M33</f>
        <v>4.4901584913071648</v>
      </c>
      <c r="AT19" s="44">
        <f>'Yearly Butadiene'!AT37+'Yearly BTX'!AT55+'Yearly Methanol'!AT57+'Yearly LC Ethylene'!N63+'Yearly LC Propylene'!N33</f>
        <v>5.1870151213851141</v>
      </c>
      <c r="AU19" s="44">
        <f>'Yearly Butadiene'!AU37+'Yearly BTX'!AU55+'Yearly Methanol'!AU57+'Yearly LC Ethylene'!O63+'Yearly LC Propylene'!O33</f>
        <v>5.7367175994192703</v>
      </c>
      <c r="AV19" s="44">
        <f>'Yearly Butadiene'!AV37+'Yearly BTX'!AV55+'Yearly Methanol'!AV57+'Yearly LC Ethylene'!P63+'Yearly LC Propylene'!P33</f>
        <v>6.2910937461864993</v>
      </c>
      <c r="AW19" s="44">
        <f>'Yearly Butadiene'!AW37+'Yearly BTX'!AW55+'Yearly Methanol'!AW57+'Yearly LC Ethylene'!Q63+'Yearly LC Propylene'!Q33</f>
        <v>6.8498772601166982</v>
      </c>
      <c r="AX19" s="44">
        <f>'Yearly Butadiene'!AX37+'Yearly BTX'!AX55+'Yearly Methanol'!AX57+'Yearly LC Ethylene'!R63+'Yearly LC Propylene'!R33</f>
        <v>7.4127933873912477</v>
      </c>
      <c r="AY19" s="44">
        <f>'Yearly Butadiene'!AY37+'Yearly BTX'!AY55+'Yearly Methanol'!AY57+'Yearly LC Ethylene'!S63+'Yearly LC Propylene'!S33</f>
        <v>7.9795587021366305</v>
      </c>
      <c r="AZ19" s="44">
        <f>'Yearly Butadiene'!AZ37+'Yearly BTX'!AZ55+'Yearly Methanol'!AZ57+'Yearly LC Ethylene'!T63+'Yearly LC Propylene'!T33</f>
        <v>8.5232277366497762</v>
      </c>
      <c r="BA19" s="44">
        <f>'Yearly Butadiene'!BA37+'Yearly BTX'!BA55+'Yearly Methanol'!BA57+'Yearly LC Ethylene'!U63+'Yearly LC Propylene'!U33</f>
        <v>9.066297600040242</v>
      </c>
      <c r="BB19" s="44">
        <f>'Yearly Butadiene'!BB37+'Yearly BTX'!BB55+'Yearly Methanol'!BB57+'Yearly LC Ethylene'!V63+'Yearly LC Propylene'!V33</f>
        <v>9.608353438931978</v>
      </c>
      <c r="BC19" s="44">
        <f>'Yearly Butadiene'!BC37+'Yearly BTX'!BC55+'Yearly Methanol'!BC57+'Yearly LC Ethylene'!W63+'Yearly LC Propylene'!W33</f>
        <v>10.148967930480453</v>
      </c>
      <c r="BD19" s="44">
        <f>'Yearly Butadiene'!BD37+'Yearly BTX'!BD55+'Yearly Methanol'!BD57+'Yearly LC Ethylene'!X63+'Yearly LC Propylene'!X33</f>
        <v>10.687700963189126</v>
      </c>
      <c r="BE19" s="44">
        <f>'Yearly Butadiene'!BE37+'Yearly BTX'!BE55+'Yearly Methanol'!BE57+'Yearly LC Ethylene'!Y63+'Yearly LC Propylene'!Y33</f>
        <v>11.16456775822321</v>
      </c>
      <c r="BF19" s="44">
        <f>'Yearly Butadiene'!BF37+'Yearly BTX'!BF55+'Yearly Methanol'!BF57+'Yearly LC Ethylene'!Z63+'Yearly LC Propylene'!Z33</f>
        <v>11.630370883488654</v>
      </c>
      <c r="BG19" s="44">
        <f>'Yearly Butadiene'!BG37+'Yearly BTX'!BG55+'Yearly Methanol'!BG57+'Yearly LC Ethylene'!AA63+'Yearly LC Propylene'!AA33</f>
        <v>12.084489107391992</v>
      </c>
      <c r="BH19" s="44">
        <f>'Yearly Butadiene'!BH37+'Yearly BTX'!BH55+'Yearly Methanol'!BH57+'Yearly LC Ethylene'!AB63+'Yearly LC Propylene'!AB33</f>
        <v>12.526284679086755</v>
      </c>
      <c r="BI19" s="44">
        <f>'Yearly Butadiene'!BI37+'Yearly BTX'!BI55+'Yearly Methanol'!BI57+'Yearly LC Ethylene'!AC63+'Yearly LC Propylene'!AC33</f>
        <v>12.955102931152137</v>
      </c>
      <c r="BJ19" s="44">
        <f>'Yearly Butadiene'!BJ37+'Yearly BTX'!BJ55+'Yearly Methanol'!BJ57+'Yearly LC Ethylene'!AD63+'Yearly LC Propylene'!AD33</f>
        <v>13.343989015030001</v>
      </c>
      <c r="BK19" s="44">
        <f>'Yearly Butadiene'!BK37+'Yearly BTX'!BK55+'Yearly Methanol'!BK57+'Yearly LC Ethylene'!AE63+'Yearly LC Propylene'!AE33</f>
        <v>13.71611860683517</v>
      </c>
      <c r="BL19" s="44">
        <f>'Yearly Butadiene'!BL37+'Yearly BTX'!BL55+'Yearly Methanol'!BL57+'Yearly LC Ethylene'!AF63+'Yearly LC Propylene'!AF33</f>
        <v>14.070739727581117</v>
      </c>
      <c r="BM19" s="44">
        <f>'Yearly Butadiene'!BM37+'Yearly BTX'!BM55+'Yearly Methanol'!BM57+'Yearly LC Ethylene'!AG63+'Yearly LC Propylene'!AG33</f>
        <v>14.407081090326598</v>
      </c>
      <c r="BN19" s="44">
        <f>'Yearly Butadiene'!BN37+'Yearly BTX'!BN55+'Yearly Methanol'!BN57+'Yearly LC Ethylene'!AH63+'Yearly LC Propylene'!AH33</f>
        <v>14.724351643620562</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B19" t="s">
        <v>1891</v>
      </c>
      <c r="EE19" s="44">
        <f t="shared" si="99"/>
        <v>24.934952757904412</v>
      </c>
      <c r="EF19" s="44">
        <f>BN16</f>
        <v>3.0899411132369528</v>
      </c>
      <c r="EG19" s="44">
        <f>BN17</f>
        <v>4.2023199140022562</v>
      </c>
      <c r="EH19" s="44">
        <f>BN18</f>
        <v>2.471952890589562</v>
      </c>
      <c r="EI19" s="44">
        <f>SUM('Yearly BTX'!AH89:AH90,'Yearly Butadiene'!AH56:AH57,'Yearly Methanol'!AH91:AH92,'Yearly HC Ethylene'!AH113:AH114,'Yearly HC Propylene'!AH51:AH52)</f>
        <v>1.6046711936539459</v>
      </c>
      <c r="EJ19" s="44">
        <f t="shared" si="90"/>
        <v>13.566067646421695</v>
      </c>
      <c r="EK19" s="2">
        <f t="shared" si="91"/>
        <v>0.12392007088352865</v>
      </c>
      <c r="EL19" s="2">
        <f t="shared" si="92"/>
        <v>0.16853129640159897</v>
      </c>
      <c r="EM19" s="2">
        <f t="shared" si="93"/>
        <v>9.9136056706822906E-2</v>
      </c>
      <c r="EN19" s="2">
        <f t="shared" si="94"/>
        <v>6.4354290510747536E-2</v>
      </c>
      <c r="EO19" s="2">
        <f t="shared" si="95"/>
        <v>0.54405828549730195</v>
      </c>
      <c r="EP19" s="660">
        <f t="shared" si="98"/>
        <v>2.0286813799704758E-2</v>
      </c>
      <c r="EQ19">
        <v>0.12392007088352865</v>
      </c>
      <c r="ER19">
        <v>0.16853129640159897</v>
      </c>
      <c r="ES19">
        <v>9.9136056706822906E-2</v>
      </c>
      <c r="ET19">
        <v>6.4354290510747536E-2</v>
      </c>
      <c r="EU19">
        <v>0.54405828549730195</v>
      </c>
    </row>
    <row r="20" spans="1:151" x14ac:dyDescent="0.2">
      <c r="A20" s="1" t="s">
        <v>1163</v>
      </c>
      <c r="B20" t="s">
        <v>85</v>
      </c>
      <c r="C20" s="54" t="s">
        <v>69</v>
      </c>
      <c r="D20" s="44">
        <f>'Yearly Butadiene'!D38+'Yearly BTX'!D56+'Yearly Methanol'!D58+'Yearly HC Ethylene'!D64+'Yearly HC Propylene'!D34</f>
        <v>0</v>
      </c>
      <c r="E20" s="44">
        <f>'Yearly Butadiene'!E38+'Yearly BTX'!E56+'Yearly Methanol'!E58+'Yearly HC Ethylene'!E64+'Yearly HC Propylene'!E34</f>
        <v>0.22146697211992777</v>
      </c>
      <c r="F20" s="44">
        <f>'Yearly Butadiene'!F38+'Yearly BTX'!F56+'Yearly Methanol'!F58+'Yearly HC Ethylene'!F64+'Yearly HC Propylene'!F34</f>
        <v>0.47212144781182952</v>
      </c>
      <c r="G20" s="44">
        <f>'Yearly Butadiene'!G38+'Yearly BTX'!G56+'Yearly Methanol'!G58+'Yearly HC Ethylene'!G64+'Yearly HC Propylene'!G34</f>
        <v>0.7526872186081679</v>
      </c>
      <c r="H20" s="44">
        <f>'Yearly Butadiene'!H38+'Yearly BTX'!H56+'Yearly Methanol'!H58+'Yearly HC Ethylene'!H64+'Yearly HC Propylene'!H34</f>
        <v>1.0639149567290609</v>
      </c>
      <c r="I20" s="44">
        <f>'Yearly Butadiene'!I38+'Yearly BTX'!I56+'Yearly Methanol'!I58+'Yearly HC Ethylene'!I64+'Yearly HC Propylene'!I34</f>
        <v>1.4065830910021304</v>
      </c>
      <c r="J20" s="44">
        <f>'Yearly Butadiene'!J38+'Yearly BTX'!J56+'Yearly Methanol'!J58+'Yearly HC Ethylene'!J64+'Yearly HC Propylene'!J34</f>
        <v>1.7635239707092181</v>
      </c>
      <c r="K20" s="44">
        <f>'Yearly Butadiene'!K38+'Yearly BTX'!K56+'Yearly Methanol'!K58+'Yearly HC Ethylene'!K64+'Yearly HC Propylene'!K34</f>
        <v>2.1466737591480185</v>
      </c>
      <c r="L20" s="44">
        <f>'Yearly Butadiene'!L38+'Yearly BTX'!L56+'Yearly Methanol'!L58+'Yearly HC Ethylene'!L64+'Yearly HC Propylene'!L34</f>
        <v>2.5564886120919308</v>
      </c>
      <c r="M20" s="44">
        <f>'Yearly Butadiene'!M38+'Yearly BTX'!M56+'Yearly Methanol'!M58+'Yearly HC Ethylene'!M64+'Yearly HC Propylene'!M34</f>
        <v>2.9934389942047765</v>
      </c>
      <c r="N20" s="44">
        <f>'Yearly Butadiene'!N38+'Yearly BTX'!N56+'Yearly Methanol'!N58+'Yearly HC Ethylene'!N64+'Yearly HC Propylene'!N34</f>
        <v>3.4580100809234096</v>
      </c>
      <c r="O20" s="44">
        <f>'Yearly Butadiene'!O38+'Yearly BTX'!O56+'Yearly Methanol'!O58+'Yearly HC Ethylene'!O64+'Yearly HC Propylene'!O34</f>
        <v>3.8244783996128473</v>
      </c>
      <c r="P20" s="44">
        <f>'Yearly Butadiene'!P38+'Yearly BTX'!P56+'Yearly Methanol'!P58+'Yearly HC Ethylene'!P64+'Yearly HC Propylene'!P34</f>
        <v>4.1940624974576668</v>
      </c>
      <c r="Q20" s="44">
        <f>'Yearly Butadiene'!Q38+'Yearly BTX'!Q56+'Yearly Methanol'!Q58+'Yearly HC Ethylene'!Q64+'Yearly HC Propylene'!Q34</f>
        <v>4.5665848400777991</v>
      </c>
      <c r="R20" s="44">
        <f>'Yearly Butadiene'!R38+'Yearly BTX'!R56+'Yearly Methanol'!R58+'Yearly HC Ethylene'!R64+'Yearly HC Propylene'!R34</f>
        <v>4.9418622582608318</v>
      </c>
      <c r="S20" s="44">
        <f>'Yearly Butadiene'!S38+'Yearly BTX'!S56+'Yearly Methanol'!S58+'Yearly HC Ethylene'!S64+'Yearly HC Propylene'!S34</f>
        <v>5.3197058014244201</v>
      </c>
      <c r="T20" s="44">
        <f>'Yearly Butadiene'!T38+'Yearly BTX'!T56+'Yearly Methanol'!T58+'Yearly HC Ethylene'!T64+'Yearly HC Propylene'!T34</f>
        <v>5.682151824433185</v>
      </c>
      <c r="U20" s="44">
        <f>'Yearly Butadiene'!U38+'Yearly BTX'!U56+'Yearly Methanol'!U58+'Yearly HC Ethylene'!U64+'Yearly HC Propylene'!U34</f>
        <v>6.0441984000268292</v>
      </c>
      <c r="V20" s="44">
        <f>'Yearly Butadiene'!V38+'Yearly BTX'!V56+'Yearly Methanol'!V58+'Yearly HC Ethylene'!V64+'Yearly HC Propylene'!V34</f>
        <v>6.4055689592879865</v>
      </c>
      <c r="W20" s="44">
        <f>'Yearly Butadiene'!W38+'Yearly BTX'!W56+'Yearly Methanol'!W58+'Yearly HC Ethylene'!W64+'Yearly HC Propylene'!W34</f>
        <v>6.7659786203203023</v>
      </c>
      <c r="X20" s="44">
        <f>'Yearly Butadiene'!X38+'Yearly BTX'!X56+'Yearly Methanol'!X58+'Yearly HC Ethylene'!X64+'Yearly HC Propylene'!X34</f>
        <v>7.1251339754594181</v>
      </c>
      <c r="Y20" s="44">
        <f>'Yearly Butadiene'!Y38+'Yearly BTX'!Y56+'Yearly Methanol'!Y58+'Yearly HC Ethylene'!Y64+'Yearly HC Propylene'!Y34</f>
        <v>7.4430451721488087</v>
      </c>
      <c r="Z20" s="44">
        <f>'Yearly Butadiene'!Z38+'Yearly BTX'!Z56+'Yearly Methanol'!Z58+'Yearly HC Ethylene'!Z64+'Yearly HC Propylene'!Z34</f>
        <v>7.7535805889924374</v>
      </c>
      <c r="AA20" s="44">
        <f>'Yearly Butadiene'!AA38+'Yearly BTX'!AA56+'Yearly Methanol'!AA58+'Yearly HC Ethylene'!AA64+'Yearly HC Propylene'!AA34</f>
        <v>8.0563260715946612</v>
      </c>
      <c r="AB20" s="44">
        <f>'Yearly Butadiene'!AB38+'Yearly BTX'!AB56+'Yearly Methanol'!AB58+'Yearly HC Ethylene'!AB64+'Yearly HC Propylene'!AB34</f>
        <v>8.3508564527245035</v>
      </c>
      <c r="AC20" s="44">
        <f>'Yearly Butadiene'!AC38+'Yearly BTX'!AC56+'Yearly Methanol'!AC58+'Yearly HC Ethylene'!AC64+'Yearly HC Propylene'!AC34</f>
        <v>8.6367352874347603</v>
      </c>
      <c r="AD20" s="44">
        <f>'Yearly Butadiene'!AD38+'Yearly BTX'!AD56+'Yearly Methanol'!AD58+'Yearly HC Ethylene'!AD64+'Yearly HC Propylene'!AD34</f>
        <v>8.895992676686669</v>
      </c>
      <c r="AE20" s="44">
        <f>'Yearly Butadiene'!AE38+'Yearly BTX'!AE56+'Yearly Methanol'!AE58+'Yearly HC Ethylene'!AE64+'Yearly HC Propylene'!AE34</f>
        <v>9.1440790712234463</v>
      </c>
      <c r="AF20" s="44">
        <f>'Yearly Butadiene'!AF38+'Yearly BTX'!AF56+'Yearly Methanol'!AF58+'Yearly HC Ethylene'!AF64+'Yearly HC Propylene'!AF34</f>
        <v>9.3804931517207457</v>
      </c>
      <c r="AG20" s="44">
        <f>'Yearly Butadiene'!AG38+'Yearly BTX'!AG56+'Yearly Methanol'!AG58+'Yearly HC Ethylene'!AG64+'Yearly HC Propylene'!AG34</f>
        <v>9.6047207268843984</v>
      </c>
      <c r="AH20" s="44">
        <f>'Yearly Butadiene'!AH38+'Yearly BTX'!AH56+'Yearly Methanol'!AH58+'Yearly HC Ethylene'!AH64+'Yearly HC Propylene'!AH34</f>
        <v>9.8162344290803745</v>
      </c>
      <c r="AI20" s="44"/>
      <c r="AJ20" s="44">
        <f>'Yearly Butadiene'!AJ38+'Yearly BTX'!AJ56+'Yearly Methanol'!AJ58+'Yearly LC Ethylene'!D64+'Yearly LC Propylene'!D34</f>
        <v>0</v>
      </c>
      <c r="AK20" s="44">
        <f>'Yearly Butadiene'!AK38+'Yearly BTX'!AK56+'Yearly Methanol'!AK58+'Yearly LC Ethylene'!E64+'Yearly LC Propylene'!E34</f>
        <v>0.11073348605996389</v>
      </c>
      <c r="AL20" s="44">
        <f>'Yearly Butadiene'!AL38+'Yearly BTX'!AL56+'Yearly Methanol'!AL58+'Yearly LC Ethylene'!F64+'Yearly LC Propylene'!F34</f>
        <v>0.23606072390591476</v>
      </c>
      <c r="AM20" s="44">
        <f>'Yearly Butadiene'!AM38+'Yearly BTX'!AM56+'Yearly Methanol'!AM58+'Yearly LC Ethylene'!G64+'Yearly LC Propylene'!G34</f>
        <v>0.37634360930408395</v>
      </c>
      <c r="AN20" s="44">
        <f>'Yearly Butadiene'!AN38+'Yearly BTX'!AN56+'Yearly Methanol'!AN58+'Yearly LC Ethylene'!H64+'Yearly LC Propylene'!H34</f>
        <v>0.53195747836453044</v>
      </c>
      <c r="AO20" s="44">
        <f>'Yearly Butadiene'!AO38+'Yearly BTX'!AO56+'Yearly Methanol'!AO58+'Yearly LC Ethylene'!I64+'Yearly LC Propylene'!I34</f>
        <v>0.70329154550106521</v>
      </c>
      <c r="AP20" s="44">
        <f>'Yearly Butadiene'!AP38+'Yearly BTX'!AP56+'Yearly Methanol'!AP58+'Yearly LC Ethylene'!J64+'Yearly LC Propylene'!J34</f>
        <v>0.88176198535460903</v>
      </c>
      <c r="AQ20" s="44">
        <f>'Yearly Butadiene'!AQ38+'Yearly BTX'!AQ56+'Yearly Methanol'!AQ58+'Yearly LC Ethylene'!K64+'Yearly LC Propylene'!K34</f>
        <v>1.0733368795740093</v>
      </c>
      <c r="AR20" s="44">
        <f>'Yearly Butadiene'!AR38+'Yearly BTX'!AR56+'Yearly Methanol'!AR58+'Yearly LC Ethylene'!L64+'Yearly LC Propylene'!L34</f>
        <v>1.2782443060459654</v>
      </c>
      <c r="AS20" s="44">
        <f>'Yearly Butadiene'!AS38+'Yearly BTX'!AS56+'Yearly Methanol'!AS58+'Yearly LC Ethylene'!M64+'Yearly LC Propylene'!M34</f>
        <v>1.4967194971023883</v>
      </c>
      <c r="AT20" s="44">
        <f>'Yearly Butadiene'!AT38+'Yearly BTX'!AT56+'Yearly Methanol'!AT58+'Yearly LC Ethylene'!N64+'Yearly LC Propylene'!N34</f>
        <v>1.7290050404617048</v>
      </c>
      <c r="AU20" s="44">
        <f>'Yearly Butadiene'!AU38+'Yearly BTX'!AU56+'Yearly Methanol'!AU58+'Yearly LC Ethylene'!O64+'Yearly LC Propylene'!O34</f>
        <v>1.9122391998064237</v>
      </c>
      <c r="AV20" s="44">
        <f>'Yearly Butadiene'!AV38+'Yearly BTX'!AV56+'Yearly Methanol'!AV58+'Yearly LC Ethylene'!P64+'Yearly LC Propylene'!P34</f>
        <v>2.0970312487288334</v>
      </c>
      <c r="AW20" s="44">
        <f>'Yearly Butadiene'!AW38+'Yearly BTX'!AW56+'Yearly Methanol'!AW58+'Yearly LC Ethylene'!Q64+'Yearly LC Propylene'!Q34</f>
        <v>2.2832924200388995</v>
      </c>
      <c r="AX20" s="44">
        <f>'Yearly Butadiene'!AX38+'Yearly BTX'!AX56+'Yearly Methanol'!AX58+'Yearly LC Ethylene'!R64+'Yearly LC Propylene'!R34</f>
        <v>2.4709311291304159</v>
      </c>
      <c r="AY20" s="44">
        <f>'Yearly Butadiene'!AY38+'Yearly BTX'!AY56+'Yearly Methanol'!AY58+'Yearly LC Ethylene'!S64+'Yearly LC Propylene'!S34</f>
        <v>2.65985290071221</v>
      </c>
      <c r="AZ20" s="44">
        <f>'Yearly Butadiene'!AZ38+'Yearly BTX'!AZ56+'Yearly Methanol'!AZ58+'Yearly LC Ethylene'!T64+'Yearly LC Propylene'!T34</f>
        <v>2.8410759122165925</v>
      </c>
      <c r="BA20" s="44">
        <f>'Yearly Butadiene'!BA38+'Yearly BTX'!BA56+'Yearly Methanol'!BA58+'Yearly LC Ethylene'!U64+'Yearly LC Propylene'!U34</f>
        <v>3.0220992000134146</v>
      </c>
      <c r="BB20" s="44">
        <f>'Yearly Butadiene'!BB38+'Yearly BTX'!BB56+'Yearly Methanol'!BB58+'Yearly LC Ethylene'!V64+'Yearly LC Propylene'!V34</f>
        <v>3.2027844796439933</v>
      </c>
      <c r="BC20" s="44">
        <f>'Yearly Butadiene'!BC38+'Yearly BTX'!BC56+'Yearly Methanol'!BC58+'Yearly LC Ethylene'!W64+'Yearly LC Propylene'!W34</f>
        <v>3.3829893101601511</v>
      </c>
      <c r="BD20" s="44">
        <f>'Yearly Butadiene'!BD38+'Yearly BTX'!BD56+'Yearly Methanol'!BD58+'Yearly LC Ethylene'!X64+'Yearly LC Propylene'!X34</f>
        <v>3.562566987729709</v>
      </c>
      <c r="BE20" s="44">
        <f>'Yearly Butadiene'!BE38+'Yearly BTX'!BE56+'Yearly Methanol'!BE58+'Yearly LC Ethylene'!Y64+'Yearly LC Propylene'!Y34</f>
        <v>3.7215225860744043</v>
      </c>
      <c r="BF20" s="44">
        <f>'Yearly Butadiene'!BF38+'Yearly BTX'!BF56+'Yearly Methanol'!BF58+'Yearly LC Ethylene'!Z64+'Yearly LC Propylene'!Z34</f>
        <v>3.8767902944962187</v>
      </c>
      <c r="BG20" s="44">
        <f>'Yearly Butadiene'!BG38+'Yearly BTX'!BG56+'Yearly Methanol'!BG58+'Yearly LC Ethylene'!AA64+'Yearly LC Propylene'!AA34</f>
        <v>4.0281630357973306</v>
      </c>
      <c r="BH20" s="44">
        <f>'Yearly Butadiene'!BH38+'Yearly BTX'!BH56+'Yearly Methanol'!BH58+'Yearly LC Ethylene'!AB64+'Yearly LC Propylene'!AB34</f>
        <v>4.1754282263622517</v>
      </c>
      <c r="BI20" s="44">
        <f>'Yearly Butadiene'!BI38+'Yearly BTX'!BI56+'Yearly Methanol'!BI58+'Yearly LC Ethylene'!AC64+'Yearly LC Propylene'!AC34</f>
        <v>4.3183676437173801</v>
      </c>
      <c r="BJ20" s="44">
        <f>'Yearly Butadiene'!BJ38+'Yearly BTX'!BJ56+'Yearly Methanol'!BJ58+'Yearly LC Ethylene'!AD64+'Yearly LC Propylene'!AD34</f>
        <v>4.4479963383433345</v>
      </c>
      <c r="BK20" s="44">
        <f>'Yearly Butadiene'!BK38+'Yearly BTX'!BK56+'Yearly Methanol'!BK58+'Yearly LC Ethylene'!AE64+'Yearly LC Propylene'!AE34</f>
        <v>4.5720395356117232</v>
      </c>
      <c r="BL20" s="44">
        <f>'Yearly Butadiene'!BL38+'Yearly BTX'!BL56+'Yearly Methanol'!BL58+'Yearly LC Ethylene'!AF64+'Yearly LC Propylene'!AF34</f>
        <v>4.6902465758603729</v>
      </c>
      <c r="BM20" s="44">
        <f>'Yearly Butadiene'!BM38+'Yearly BTX'!BM56+'Yearly Methanol'!BM58+'Yearly LC Ethylene'!AG64+'Yearly LC Propylene'!AG34</f>
        <v>4.8023603634421992</v>
      </c>
      <c r="BN20" s="44">
        <f>'Yearly Butadiene'!BN38+'Yearly BTX'!BN56+'Yearly Methanol'!BN58+'Yearly LC Ethylene'!AH64+'Yearly LC Propylene'!AH34</f>
        <v>4.9081172145401872</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B20" t="s">
        <v>1182</v>
      </c>
      <c r="EF20" s="44">
        <f>BN7</f>
        <v>66.07157575188748</v>
      </c>
      <c r="EI20" s="26"/>
      <c r="EJ20" s="44"/>
      <c r="EP20" s="660">
        <f t="shared" si="98"/>
        <v>0.43378876995085369</v>
      </c>
    </row>
    <row r="21" spans="1:151" x14ac:dyDescent="0.2">
      <c r="A21" s="1"/>
      <c r="B21" t="s">
        <v>86</v>
      </c>
      <c r="C21" s="54" t="s">
        <v>69</v>
      </c>
      <c r="D21" s="44">
        <v>0</v>
      </c>
      <c r="E21" s="44">
        <v>6.3621974334373697</v>
      </c>
      <c r="F21" s="44">
        <v>11.994547967578823</v>
      </c>
      <c r="G21" s="44">
        <v>18.642835339273319</v>
      </c>
      <c r="H21" s="44">
        <v>24.308807250517091</v>
      </c>
      <c r="I21" s="44">
        <v>29.99442988395505</v>
      </c>
      <c r="J21" s="44">
        <v>36.533741344637804</v>
      </c>
      <c r="K21" s="44">
        <v>44.041349722264513</v>
      </c>
      <c r="L21" s="44">
        <v>50.520061338437962</v>
      </c>
      <c r="M21" s="44">
        <v>58.973038117933065</v>
      </c>
      <c r="N21" s="44">
        <v>68.403843778577482</v>
      </c>
      <c r="O21" s="44">
        <v>100.68485784979023</v>
      </c>
      <c r="P21" s="44">
        <v>134.17428781486961</v>
      </c>
      <c r="Q21" s="44">
        <v>166.87735522090742</v>
      </c>
      <c r="R21" s="44">
        <v>200.79993972388243</v>
      </c>
      <c r="S21" s="44">
        <v>232.94866472814718</v>
      </c>
      <c r="T21" s="44">
        <v>300.66838666308672</v>
      </c>
      <c r="U21" s="44">
        <v>365.10018584154017</v>
      </c>
      <c r="V21" s="44">
        <v>427.25355097335495</v>
      </c>
      <c r="W21" s="44">
        <v>485.13918555507081</v>
      </c>
      <c r="X21" s="44">
        <v>541.7691667931872</v>
      </c>
      <c r="Y21" s="44">
        <v>594.51432379189214</v>
      </c>
      <c r="Z21" s="44">
        <v>645.7390886143944</v>
      </c>
      <c r="AA21" s="44">
        <v>695.4607498733219</v>
      </c>
      <c r="AB21" s="44">
        <v>741.69884284543571</v>
      </c>
      <c r="AC21" s="44">
        <v>786.47544482969204</v>
      </c>
      <c r="AD21" s="44">
        <v>792.6063903088766</v>
      </c>
      <c r="AE21" s="44">
        <v>798.98751661130143</v>
      </c>
      <c r="AF21" s="44">
        <v>804.65071634491608</v>
      </c>
      <c r="AG21" s="44">
        <v>811.63205143283471</v>
      </c>
      <c r="AH21" s="44">
        <v>818.97230291814776</v>
      </c>
      <c r="AI21" s="44"/>
      <c r="AJ21" s="44">
        <v>0</v>
      </c>
      <c r="AK21" s="44">
        <v>6.3356411721703516</v>
      </c>
      <c r="AL21" s="44">
        <v>11.940532532161708</v>
      </c>
      <c r="AM21" s="44">
        <v>18.560434792544509</v>
      </c>
      <c r="AN21" s="44">
        <v>24.197072109152828</v>
      </c>
      <c r="AO21" s="44">
        <v>29.852386585495729</v>
      </c>
      <c r="AP21" s="44">
        <v>36.36039170319804</v>
      </c>
      <c r="AQ21" s="44">
        <v>43.835670372696242</v>
      </c>
      <c r="AR21" s="44">
        <v>50.281003168711187</v>
      </c>
      <c r="AS21" s="44">
        <v>58.699525689494415</v>
      </c>
      <c r="AT21" s="44">
        <v>68.094774734441813</v>
      </c>
      <c r="AU21" s="44">
        <v>100.33910231011565</v>
      </c>
      <c r="AV21" s="44">
        <v>133.79068775976157</v>
      </c>
      <c r="AW21" s="44">
        <v>166.45472386019213</v>
      </c>
      <c r="AX21" s="44">
        <v>200.33706085358517</v>
      </c>
      <c r="AY21" s="44">
        <v>232.44429207340542</v>
      </c>
      <c r="AZ21" s="44">
        <v>300.12124320722285</v>
      </c>
      <c r="BA21" s="44">
        <v>364.50896314101328</v>
      </c>
      <c r="BB21" s="44">
        <v>426.6169084583052</v>
      </c>
      <c r="BC21" s="44">
        <v>484.45574981516495</v>
      </c>
      <c r="BD21" s="44">
        <v>541.03753084846687</v>
      </c>
      <c r="BE21" s="44">
        <v>593.84465741168958</v>
      </c>
      <c r="BF21" s="44">
        <v>645.13371020669126</v>
      </c>
      <c r="BG21" s="44">
        <v>694.92203876276722</v>
      </c>
      <c r="BH21" s="44">
        <v>741.22924067449208</v>
      </c>
      <c r="BI21" s="44">
        <v>786.07745698981728</v>
      </c>
      <c r="BJ21" s="44">
        <v>792.28258740235458</v>
      </c>
      <c r="BK21" s="44">
        <v>798.74053594435179</v>
      </c>
      <c r="BL21" s="44">
        <v>804.48326345272426</v>
      </c>
      <c r="BM21" s="44">
        <v>811.5469016371552</v>
      </c>
      <c r="BN21" s="44">
        <v>818.97230291814776</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B21" t="s">
        <v>248</v>
      </c>
      <c r="EF21" s="44">
        <f>BN19</f>
        <v>14.724351643620562</v>
      </c>
      <c r="EI21" s="26"/>
      <c r="EJ21" s="44"/>
      <c r="EP21" s="660">
        <f t="shared" si="98"/>
        <v>9.6671803496793829E-2</v>
      </c>
      <c r="EQ21">
        <v>0.11379023331852879</v>
      </c>
      <c r="ER21">
        <v>6.9246918318227629E-2</v>
      </c>
      <c r="ES21">
        <v>0.21563035191033927</v>
      </c>
      <c r="ET21">
        <v>5.6323775867790624E-2</v>
      </c>
      <c r="EU21">
        <v>0.12392007088352865</v>
      </c>
    </row>
    <row r="22" spans="1:151" x14ac:dyDescent="0.2">
      <c r="A22" s="1" t="s">
        <v>498</v>
      </c>
      <c r="B22" t="s">
        <v>87</v>
      </c>
      <c r="C22" s="54" t="s">
        <v>69</v>
      </c>
      <c r="D22" s="44">
        <f>'Scope 3 Yearly'!D9</f>
        <v>30.315500465033136</v>
      </c>
      <c r="E22" s="44">
        <f>'Scope 3 Yearly'!E9</f>
        <v>32.279589825706054</v>
      </c>
      <c r="F22" s="44">
        <f>'Scope 3 Yearly'!F9</f>
        <v>34.660519477716882</v>
      </c>
      <c r="G22" s="44">
        <f>'Scope 3 Yearly'!G9</f>
        <v>37.055561310664309</v>
      </c>
      <c r="H22" s="44">
        <f>'Scope 3 Yearly'!H9</f>
        <v>39.436409530541461</v>
      </c>
      <c r="I22" s="44">
        <f>'Scope 3 Yearly'!I9</f>
        <v>41.786670146054433</v>
      </c>
      <c r="J22" s="44">
        <f>'Scope 3 Yearly'!J9</f>
        <v>44.081059144578973</v>
      </c>
      <c r="K22" s="44">
        <f>'Scope 3 Yearly'!K9</f>
        <v>46.403657156147275</v>
      </c>
      <c r="L22" s="44">
        <f>'Scope 3 Yearly'!L9</f>
        <v>48.751046182982535</v>
      </c>
      <c r="M22" s="44">
        <f>'Scope 3 Yearly'!M9</f>
        <v>51.119614788239282</v>
      </c>
      <c r="N22" s="44">
        <f>'Scope 3 Yearly'!N9</f>
        <v>53.505560772653432</v>
      </c>
      <c r="O22" s="44">
        <f>'Scope 3 Yearly'!O9</f>
        <v>57.319944304595595</v>
      </c>
      <c r="P22" s="44">
        <f>'Scope 3 Yearly'!P9</f>
        <v>61.128515470842402</v>
      </c>
      <c r="Q22" s="44">
        <f>'Scope 3 Yearly'!Q9</f>
        <v>64.641036535553511</v>
      </c>
      <c r="R22" s="44">
        <f>'Scope 3 Yearly'!R9</f>
        <v>67.969971616162965</v>
      </c>
      <c r="S22" s="44">
        <f>'Scope 3 Yearly'!S9</f>
        <v>71.090982498022896</v>
      </c>
      <c r="T22" s="44">
        <f>'Scope 3 Yearly'!T9</f>
        <v>74.162981132277153</v>
      </c>
      <c r="U22" s="44">
        <f>'Scope 3 Yearly'!U9</f>
        <v>77.140429198634578</v>
      </c>
      <c r="V22" s="44">
        <f>'Scope 3 Yearly'!V9</f>
        <v>80.018009536150544</v>
      </c>
      <c r="W22" s="44">
        <f>'Scope 3 Yearly'!W9</f>
        <v>82.790317471988104</v>
      </c>
      <c r="X22" s="44">
        <f>'Scope 3 Yearly'!X9</f>
        <v>85.451862064571174</v>
      </c>
      <c r="Y22" s="44">
        <f>'Scope 3 Yearly'!Y9</f>
        <v>89.596474402754652</v>
      </c>
      <c r="Z22" s="44">
        <f>'Scope 3 Yearly'!Z9</f>
        <v>94.215644265987166</v>
      </c>
      <c r="AA22" s="44">
        <f>'Scope 3 Yearly'!AA9</f>
        <v>98.570107231582128</v>
      </c>
      <c r="AB22" s="44">
        <f>'Scope 3 Yearly'!AB9</f>
        <v>102.7150721538132</v>
      </c>
      <c r="AC22" s="44">
        <f>'Scope 3 Yearly'!AC9</f>
        <v>106.64078712980417</v>
      </c>
      <c r="AD22" s="44">
        <f>'Scope 3 Yearly'!AD9</f>
        <v>110.27469679484446</v>
      </c>
      <c r="AE22" s="44">
        <f>'Scope 3 Yearly'!AE9</f>
        <v>113.65981115903084</v>
      </c>
      <c r="AF22" s="44">
        <f>'Scope 3 Yearly'!AF9</f>
        <v>116.78519082295739</v>
      </c>
      <c r="AG22" s="44">
        <f>'Scope 3 Yearly'!AG9</f>
        <v>119.63970920977371</v>
      </c>
      <c r="AH22" s="44">
        <f>'Scope 3 Yearly'!AH9</f>
        <v>122.21205377442766</v>
      </c>
      <c r="AI22" s="44"/>
      <c r="AJ22" s="44">
        <f>'Scope 3 Yearly'!AJ9</f>
        <v>30.315500465033136</v>
      </c>
      <c r="AK22" s="44">
        <f>'Scope 3 Yearly'!AK9</f>
        <v>32.279589825706054</v>
      </c>
      <c r="AL22" s="44">
        <f>'Scope 3 Yearly'!AL9</f>
        <v>34.660519477716882</v>
      </c>
      <c r="AM22" s="44">
        <f>'Scope 3 Yearly'!AM9</f>
        <v>37.055561310664309</v>
      </c>
      <c r="AN22" s="44">
        <f>'Scope 3 Yearly'!AN9</f>
        <v>39.436409530541461</v>
      </c>
      <c r="AO22" s="44">
        <f>'Scope 3 Yearly'!AO9</f>
        <v>41.786670146054433</v>
      </c>
      <c r="AP22" s="44">
        <f>'Scope 3 Yearly'!AP9</f>
        <v>44.081059144578973</v>
      </c>
      <c r="AQ22" s="44">
        <f>'Scope 3 Yearly'!AQ9</f>
        <v>46.403657156147275</v>
      </c>
      <c r="AR22" s="44">
        <f>'Scope 3 Yearly'!AR9</f>
        <v>48.751046182982535</v>
      </c>
      <c r="AS22" s="44">
        <f>'Scope 3 Yearly'!AS9</f>
        <v>51.119614788239282</v>
      </c>
      <c r="AT22" s="44">
        <f>'Scope 3 Yearly'!AT9</f>
        <v>53.505560772653432</v>
      </c>
      <c r="AU22" s="44">
        <f>'Scope 3 Yearly'!AU9</f>
        <v>57.319944304595595</v>
      </c>
      <c r="AV22" s="44">
        <f>'Scope 3 Yearly'!AV9</f>
        <v>61.128515470842402</v>
      </c>
      <c r="AW22" s="44">
        <f>'Scope 3 Yearly'!AW9</f>
        <v>64.641036535553511</v>
      </c>
      <c r="AX22" s="44">
        <f>'Scope 3 Yearly'!AX9</f>
        <v>67.969971616162965</v>
      </c>
      <c r="AY22" s="44">
        <f>'Scope 3 Yearly'!AY9</f>
        <v>71.090982498022896</v>
      </c>
      <c r="AZ22" s="44">
        <f>'Scope 3 Yearly'!AZ9</f>
        <v>74.162981132277153</v>
      </c>
      <c r="BA22" s="44">
        <f>'Scope 3 Yearly'!BA9</f>
        <v>77.140429198634578</v>
      </c>
      <c r="BB22" s="44">
        <f>'Scope 3 Yearly'!BB9</f>
        <v>80.018009536150544</v>
      </c>
      <c r="BC22" s="44">
        <f>'Scope 3 Yearly'!BC9</f>
        <v>82.790317471988104</v>
      </c>
      <c r="BD22" s="44">
        <f>'Scope 3 Yearly'!BD9</f>
        <v>85.451862064571174</v>
      </c>
      <c r="BE22" s="44">
        <f>'Scope 3 Yearly'!BE9</f>
        <v>89.596474402754652</v>
      </c>
      <c r="BF22" s="44">
        <f>'Scope 3 Yearly'!BF9</f>
        <v>94.215644265987166</v>
      </c>
      <c r="BG22" s="44">
        <f>'Scope 3 Yearly'!BG9</f>
        <v>98.570107231582128</v>
      </c>
      <c r="BH22" s="44">
        <f>'Scope 3 Yearly'!BH9</f>
        <v>102.7150721538132</v>
      </c>
      <c r="BI22" s="44">
        <f>'Scope 3 Yearly'!BI9</f>
        <v>106.64078712980417</v>
      </c>
      <c r="BJ22" s="44">
        <f>'Scope 3 Yearly'!BJ9</f>
        <v>110.27469679484446</v>
      </c>
      <c r="BK22" s="44">
        <f>'Scope 3 Yearly'!BK9</f>
        <v>113.65981115903084</v>
      </c>
      <c r="BL22" s="44">
        <f>'Scope 3 Yearly'!BL9</f>
        <v>116.78519082295739</v>
      </c>
      <c r="BM22" s="44">
        <f>'Scope 3 Yearly'!BM9</f>
        <v>119.63970920977371</v>
      </c>
      <c r="BN22" s="44">
        <f>'Scope 3 Yearly'!BN9</f>
        <v>122.21205377442766</v>
      </c>
      <c r="BO22" s="44"/>
      <c r="BP22" s="44">
        <f>'Scope 3 Yearly'!BP9</f>
        <v>30.315500465033136</v>
      </c>
      <c r="BQ22" s="44">
        <f>'Scope 3 Yearly'!BQ9</f>
        <v>30.821769322799181</v>
      </c>
      <c r="BR22" s="44">
        <f>'Scope 3 Yearly'!BR9</f>
        <v>31.336492870489923</v>
      </c>
      <c r="BS22" s="44">
        <f>'Scope 3 Yearly'!BS9</f>
        <v>31.859812301427105</v>
      </c>
      <c r="BT22" s="44">
        <f>'Scope 3 Yearly'!BT9</f>
        <v>32.391871166860938</v>
      </c>
      <c r="BU22" s="44">
        <f>'Scope 3 Yearly'!BU9</f>
        <v>32.932815415347505</v>
      </c>
      <c r="BV22" s="44">
        <f>'Scope 3 Yearly'!BV9</f>
        <v>33.482793432783815</v>
      </c>
      <c r="BW22" s="44">
        <f>'Scope 3 Yearly'!BW9</f>
        <v>34.041956083111295</v>
      </c>
      <c r="BX22" s="44">
        <f>'Scope 3 Yearly'!BX9</f>
        <v>34.610456749699253</v>
      </c>
      <c r="BY22" s="44">
        <f>'Scope 3 Yearly'!BY9</f>
        <v>35.188451377419227</v>
      </c>
      <c r="BZ22" s="44">
        <f>'Scope 3 Yearly'!BZ9</f>
        <v>35.776098515422127</v>
      </c>
      <c r="CA22" s="44">
        <f>'Scope 3 Yearly'!CA9</f>
        <v>36.373559360629685</v>
      </c>
      <c r="CB22" s="44">
        <f>'Scope 3 Yearly'!CB9</f>
        <v>36.980997801952192</v>
      </c>
      <c r="CC22" s="44">
        <f>'Scope 3 Yearly'!CC9</f>
        <v>37.598580465244787</v>
      </c>
      <c r="CD22" s="44">
        <f>'Scope 3 Yearly'!CD9</f>
        <v>38.226476759014382</v>
      </c>
      <c r="CE22" s="44">
        <f>'Scope 3 Yearly'!CE9</f>
        <v>38.864858920889915</v>
      </c>
      <c r="CF22" s="44">
        <f>'Scope 3 Yearly'!CF9</f>
        <v>39.51390206486878</v>
      </c>
      <c r="CG22" s="44">
        <f>'Scope 3 Yearly'!CG9</f>
        <v>40.17378422935208</v>
      </c>
      <c r="CH22" s="44">
        <f>'Scope 3 Yearly'!CH9</f>
        <v>40.844686425982253</v>
      </c>
      <c r="CI22" s="44">
        <f>'Scope 3 Yearly'!CI9</f>
        <v>41.526792689296158</v>
      </c>
      <c r="CJ22" s="44">
        <f>'Scope 3 Yearly'!CJ9</f>
        <v>42.220290127207399</v>
      </c>
      <c r="CK22" s="44">
        <f>'Scope 3 Yearly'!CK9</f>
        <v>42.925368972331761</v>
      </c>
      <c r="CL22" s="44">
        <f>'Scope 3 Yearly'!CL9</f>
        <v>43.642222634169691</v>
      </c>
      <c r="CM22" s="44">
        <f>'Scope 3 Yearly'!CM9</f>
        <v>44.371047752160322</v>
      </c>
      <c r="CN22" s="44">
        <f>'Scope 3 Yearly'!CN9</f>
        <v>45.112044249621398</v>
      </c>
      <c r="CO22" s="44">
        <f>'Scope 3 Yearly'!CO9</f>
        <v>45.865415388590073</v>
      </c>
      <c r="CP22" s="44">
        <f>'Scope 3 Yearly'!CP9</f>
        <v>46.631367825579531</v>
      </c>
      <c r="CQ22" s="44">
        <f>'Scope 3 Yearly'!CQ9</f>
        <v>47.410111668266701</v>
      </c>
      <c r="CR22" s="44">
        <f>'Scope 3 Yearly'!CR9</f>
        <v>48.201860533126748</v>
      </c>
      <c r="CS22" s="44">
        <f>'Scope 3 Yearly'!CS9</f>
        <v>49.006831604029962</v>
      </c>
      <c r="CT22" s="44">
        <f>'Scope 3 Yearly'!CT9</f>
        <v>49.825245691817265</v>
      </c>
      <c r="CU22" s="44"/>
      <c r="CV22" s="44">
        <f>'Scope 3 Yearly'!CV9</f>
        <v>30.315500465033136</v>
      </c>
      <c r="CW22" s="44">
        <f>'Scope 3 Yearly'!CW9</f>
        <v>32.279589825706054</v>
      </c>
      <c r="CX22" s="44">
        <f>'Scope 3 Yearly'!CX9</f>
        <v>34.660519477716882</v>
      </c>
      <c r="CY22" s="44">
        <f>'Scope 3 Yearly'!CY9</f>
        <v>37.055561310664309</v>
      </c>
      <c r="CZ22" s="44">
        <f>'Scope 3 Yearly'!CZ9</f>
        <v>39.436409530541461</v>
      </c>
      <c r="DA22" s="44">
        <f>'Scope 3 Yearly'!DA9</f>
        <v>41.786670146054433</v>
      </c>
      <c r="DB22" s="44">
        <f>'Scope 3 Yearly'!DB9</f>
        <v>44.081059144578973</v>
      </c>
      <c r="DC22" s="44">
        <f>'Scope 3 Yearly'!DC9</f>
        <v>46.403657156147275</v>
      </c>
      <c r="DD22" s="44">
        <f>'Scope 3 Yearly'!DD9</f>
        <v>48.751046182982535</v>
      </c>
      <c r="DE22" s="44">
        <f>'Scope 3 Yearly'!DE9</f>
        <v>51.119614788239282</v>
      </c>
      <c r="DF22" s="44">
        <f>'Scope 3 Yearly'!DF9</f>
        <v>53.505560772653432</v>
      </c>
      <c r="DG22" s="44">
        <f>'Scope 3 Yearly'!DG9</f>
        <v>57.319944304595595</v>
      </c>
      <c r="DH22" s="44">
        <f>'Scope 3 Yearly'!DH9</f>
        <v>61.128515470842402</v>
      </c>
      <c r="DI22" s="44">
        <f>'Scope 3 Yearly'!DI9</f>
        <v>64.641036535553511</v>
      </c>
      <c r="DJ22" s="44">
        <f>'Scope 3 Yearly'!DJ9</f>
        <v>67.969971616162965</v>
      </c>
      <c r="DK22" s="44">
        <f>'Scope 3 Yearly'!DK9</f>
        <v>71.090982498022896</v>
      </c>
      <c r="DL22" s="44">
        <f>'Scope 3 Yearly'!DL9</f>
        <v>74.162981132277153</v>
      </c>
      <c r="DM22" s="44">
        <f>'Scope 3 Yearly'!DM9</f>
        <v>77.140429198634578</v>
      </c>
      <c r="DN22" s="44">
        <f>'Scope 3 Yearly'!DN9</f>
        <v>80.018009536150544</v>
      </c>
      <c r="DO22" s="44">
        <f>'Scope 3 Yearly'!DO9</f>
        <v>82.790317471988104</v>
      </c>
      <c r="DP22" s="44">
        <f>'Scope 3 Yearly'!DP9</f>
        <v>85.451862064571174</v>
      </c>
      <c r="DQ22" s="44">
        <f>'Scope 3 Yearly'!DQ9</f>
        <v>89.596474402754652</v>
      </c>
      <c r="DR22" s="44">
        <f>'Scope 3 Yearly'!DR9</f>
        <v>94.215644265987166</v>
      </c>
      <c r="DS22" s="44">
        <f>'Scope 3 Yearly'!DS9</f>
        <v>98.570107231582128</v>
      </c>
      <c r="DT22" s="44">
        <f>'Scope 3 Yearly'!DT9</f>
        <v>102.7150721538132</v>
      </c>
      <c r="DU22" s="44">
        <f>'Scope 3 Yearly'!DU9</f>
        <v>106.64078712980417</v>
      </c>
      <c r="DV22" s="44">
        <f>'Scope 3 Yearly'!DV9</f>
        <v>110.27469679484446</v>
      </c>
      <c r="DW22" s="44">
        <f>'Scope 3 Yearly'!DW9</f>
        <v>113.65981115903084</v>
      </c>
      <c r="DX22" s="44">
        <f>'Scope 3 Yearly'!DX9</f>
        <v>116.78519082295739</v>
      </c>
      <c r="DY22" s="44">
        <f>'Scope 3 Yearly'!DY9</f>
        <v>119.63970920977371</v>
      </c>
      <c r="DZ22" s="44">
        <f>'Scope 3 Yearly'!DZ9</f>
        <v>122.21205377442766</v>
      </c>
      <c r="EF22" s="44">
        <f>SUM(EF15:EF21)</f>
        <v>152.31278522810328</v>
      </c>
      <c r="EI22" s="26"/>
      <c r="EP22" s="660">
        <f t="shared" si="98"/>
        <v>1</v>
      </c>
      <c r="EQ22">
        <v>0</v>
      </c>
      <c r="ER22">
        <v>0.18527826254199076</v>
      </c>
      <c r="ES22">
        <v>0</v>
      </c>
      <c r="ET22">
        <v>9.8069695593471243E-2</v>
      </c>
      <c r="EU22">
        <v>0.16853129640159897</v>
      </c>
    </row>
    <row r="23" spans="1:151" x14ac:dyDescent="0.2">
      <c r="A23" s="1" t="s">
        <v>498</v>
      </c>
      <c r="B23" t="s">
        <v>88</v>
      </c>
      <c r="C23" s="54" t="s">
        <v>69</v>
      </c>
      <c r="D23" s="44">
        <f>'Scope 3 Yearly'!D10</f>
        <v>1.4354770303603507E-4</v>
      </c>
      <c r="E23" s="44">
        <f>'Scope 3 Yearly'!E10</f>
        <v>3.1454028883825863E-4</v>
      </c>
      <c r="F23" s="44">
        <f>'Scope 3 Yearly'!F10</f>
        <v>6.6233010264466104E-4</v>
      </c>
      <c r="G23" s="44">
        <f>'Scope 3 Yearly'!G10</f>
        <v>1.385524406450346E-3</v>
      </c>
      <c r="H23" s="44">
        <f>'Scope 3 Yearly'!H10</f>
        <v>2.8766419411587578E-3</v>
      </c>
      <c r="I23" s="44">
        <f>'Scope 3 Yearly'!I10</f>
        <v>5.9199937680074312E-3</v>
      </c>
      <c r="J23" s="44">
        <f>'Scope 3 Yearly'!J10</f>
        <v>1.2004732565003295E-2</v>
      </c>
      <c r="K23" s="44">
        <f>'Scope 3 Yearly'!K10</f>
        <v>2.4074163411016897E-2</v>
      </c>
      <c r="L23" s="44">
        <f>'Scope 3 Yearly'!L10</f>
        <v>4.7583765091499933E-2</v>
      </c>
      <c r="M23" s="44">
        <f>'Scope 3 Yearly'!M10</f>
        <v>9.2292542867465688E-2</v>
      </c>
      <c r="N23" s="44">
        <f>'Scope 3 Yearly'!N10</f>
        <v>0.17201351468973924</v>
      </c>
      <c r="O23" s="44">
        <f>'Scope 3 Yearly'!O10</f>
        <v>0.30707646148423862</v>
      </c>
      <c r="P23" s="44">
        <f>'Scope 3 Yearly'!P10</f>
        <v>0.51936820419270968</v>
      </c>
      <c r="Q23" s="44">
        <f>'Scope 3 Yearly'!Q10</f>
        <v>0.83710234900855807</v>
      </c>
      <c r="R23" s="44">
        <f>'Scope 3 Yearly'!R10</f>
        <v>1.2785950922619631</v>
      </c>
      <c r="S23" s="44">
        <f>'Scope 3 Yearly'!S10</f>
        <v>1.8427002367958303</v>
      </c>
      <c r="T23" s="44">
        <f>'Scope 3 Yearly'!T10</f>
        <v>2.5151672307499369</v>
      </c>
      <c r="U23" s="44">
        <f>'Scope 3 Yearly'!U10</f>
        <v>3.2969082218592485</v>
      </c>
      <c r="V23" s="44">
        <f>'Scope 3 Yearly'!V10</f>
        <v>4.0963860739681923</v>
      </c>
      <c r="W23" s="44">
        <f>'Scope 3 Yearly'!W10</f>
        <v>4.8584443125867827</v>
      </c>
      <c r="X23" s="44">
        <f>'Scope 3 Yearly'!X10</f>
        <v>5.3962591599708585</v>
      </c>
      <c r="Y23" s="44">
        <f>'Scope 3 Yearly'!Y10</f>
        <v>6.0133032926349133</v>
      </c>
      <c r="Z23" s="44">
        <f>'Scope 3 Yearly'!Z10</f>
        <v>6.3999568202651211</v>
      </c>
      <c r="AA23" s="44">
        <f>'Scope 3 Yearly'!AA10</f>
        <v>6.6881050521731993</v>
      </c>
      <c r="AB23" s="44">
        <f>'Scope 3 Yearly'!AB10</f>
        <v>6.9853583124363068</v>
      </c>
      <c r="AC23" s="44">
        <f>'Scope 3 Yearly'!AC10</f>
        <v>7.2801016339071634</v>
      </c>
      <c r="AD23" s="44">
        <f>'Scope 3 Yearly'!AD10</f>
        <v>7.5765382130665886</v>
      </c>
      <c r="AE23" s="44">
        <f>'Scope 3 Yearly'!AE10</f>
        <v>7.9170163584993229</v>
      </c>
      <c r="AF23" s="44">
        <f>'Scope 3 Yearly'!AF10</f>
        <v>8.3320465658718739</v>
      </c>
      <c r="AG23" s="44">
        <f>'Scope 3 Yearly'!AG10</f>
        <v>8.8321472330560447</v>
      </c>
      <c r="AH23" s="44">
        <f>'Scope 3 Yearly'!AH10</f>
        <v>9.2894839501487585</v>
      </c>
      <c r="AI23" s="44"/>
      <c r="AJ23" s="44">
        <f>'Scope 3 Yearly'!AJ10</f>
        <v>7.9316887475859034E-5</v>
      </c>
      <c r="AK23" s="44">
        <f>'Scope 3 Yearly'!AK10</f>
        <v>1.7515621581097864E-4</v>
      </c>
      <c r="AL23" s="44">
        <f>'Scope 3 Yearly'!AL10</f>
        <v>3.6976159655348188E-4</v>
      </c>
      <c r="AM23" s="44">
        <f>'Scope 3 Yearly'!AM10</f>
        <v>7.754805745338357E-4</v>
      </c>
      <c r="AN23" s="44">
        <f>'Scope 3 Yearly'!AN10</f>
        <v>1.6143290373667426E-3</v>
      </c>
      <c r="AO23" s="44">
        <f>'Scope 3 Yearly'!AO10</f>
        <v>3.3313050412476885E-3</v>
      </c>
      <c r="AP23" s="44">
        <f>'Scope 3 Yearly'!AP10</f>
        <v>6.803234951804054E-3</v>
      </c>
      <c r="AQ23" s="44">
        <f>'Scope 3 Yearly'!AQ10</f>
        <v>1.374299278077061E-2</v>
      </c>
      <c r="AR23" s="44">
        <f>'Scope 3 Yearly'!AR10</f>
        <v>2.7368435548949827E-2</v>
      </c>
      <c r="AS23" s="44">
        <f>'Scope 3 Yearly'!AS10</f>
        <v>5.3494576262467286E-2</v>
      </c>
      <c r="AT23" s="44">
        <f>'Scope 3 Yearly'!AT10</f>
        <v>9.9004313971453706E-2</v>
      </c>
      <c r="AU23" s="44">
        <f>'Scope 3 Yearly'!AU10</f>
        <v>0.18174626447307707</v>
      </c>
      <c r="AV23" s="44">
        <f>'Scope 3 Yearly'!AV10</f>
        <v>0.31164931590265194</v>
      </c>
      <c r="AW23" s="44">
        <f>'Scope 3 Yearly'!AW10</f>
        <v>0.51026654738600208</v>
      </c>
      <c r="AX23" s="44">
        <f>'Scope 3 Yearly'!AX10</f>
        <v>0.79277546972359558</v>
      </c>
      <c r="AY23" s="44">
        <f>'Scope 3 Yearly'!AY10</f>
        <v>1.163723517737151</v>
      </c>
      <c r="AZ23" s="44">
        <f>'Scope 3 Yearly'!AZ10</f>
        <v>1.6134021770154718</v>
      </c>
      <c r="BA23" s="44">
        <f>'Scope 3 Yearly'!BA10</f>
        <v>2.1167073178901674</v>
      </c>
      <c r="BB23" s="44">
        <f>'Scope 3 Yearly'!BB10</f>
        <v>2.6406835796847021</v>
      </c>
      <c r="BC23" s="44">
        <f>'Scope 3 Yearly'!BC10</f>
        <v>3.1545335608216885</v>
      </c>
      <c r="BD23" s="44">
        <f>'Scope 3 Yearly'!BD10</f>
        <v>3.4788639724409958</v>
      </c>
      <c r="BE23" s="44">
        <f>'Scope 3 Yearly'!BE10</f>
        <v>3.9137870431835919</v>
      </c>
      <c r="BF23" s="44">
        <f>'Scope 3 Yearly'!BF10</f>
        <v>4.1271731367011508</v>
      </c>
      <c r="BG23" s="44">
        <f>'Scope 3 Yearly'!BG10</f>
        <v>4.3394506753057849</v>
      </c>
      <c r="BH23" s="44">
        <f>'Scope 3 Yearly'!BH10</f>
        <v>4.5696271639416519</v>
      </c>
      <c r="BI23" s="44">
        <f>'Scope 3 Yearly'!BI10</f>
        <v>4.7930579595710734</v>
      </c>
      <c r="BJ23" s="44">
        <f>'Scope 3 Yearly'!BJ10</f>
        <v>5.0378280516131531</v>
      </c>
      <c r="BK23" s="44">
        <f>'Scope 3 Yearly'!BK10</f>
        <v>5.3335273718790273</v>
      </c>
      <c r="BL23" s="44">
        <f>'Scope 3 Yearly'!BL10</f>
        <v>5.7069663518041116</v>
      </c>
      <c r="BM23" s="44">
        <f>'Scope 3 Yearly'!BM10</f>
        <v>6.184855703398294</v>
      </c>
      <c r="BN23" s="44">
        <f>'Scope 3 Yearly'!BN10</f>
        <v>6.3205161009635695</v>
      </c>
      <c r="BO23" s="44"/>
      <c r="BP23" s="44">
        <f>'Scope 3 Yearly'!BP10</f>
        <v>0</v>
      </c>
      <c r="BQ23" s="44">
        <f>'Scope 3 Yearly'!BQ10</f>
        <v>0</v>
      </c>
      <c r="BR23" s="44">
        <f>'Scope 3 Yearly'!BR10</f>
        <v>0</v>
      </c>
      <c r="BS23" s="44">
        <f>'Scope 3 Yearly'!BS10</f>
        <v>0</v>
      </c>
      <c r="BT23" s="44">
        <f>'Scope 3 Yearly'!BT10</f>
        <v>0</v>
      </c>
      <c r="BU23" s="44">
        <f>'Scope 3 Yearly'!BU10</f>
        <v>0</v>
      </c>
      <c r="BV23" s="44">
        <f>'Scope 3 Yearly'!BV10</f>
        <v>0</v>
      </c>
      <c r="BW23" s="44">
        <f>'Scope 3 Yearly'!BW10</f>
        <v>0</v>
      </c>
      <c r="BX23" s="44">
        <f>'Scope 3 Yearly'!BX10</f>
        <v>0</v>
      </c>
      <c r="BY23" s="44">
        <f>'Scope 3 Yearly'!BY10</f>
        <v>0</v>
      </c>
      <c r="BZ23" s="44">
        <f>'Scope 3 Yearly'!BZ10</f>
        <v>0</v>
      </c>
      <c r="CA23" s="44">
        <f>'Scope 3 Yearly'!CA10</f>
        <v>0</v>
      </c>
      <c r="CB23" s="44">
        <f>'Scope 3 Yearly'!CB10</f>
        <v>0</v>
      </c>
      <c r="CC23" s="44">
        <f>'Scope 3 Yearly'!CC10</f>
        <v>0</v>
      </c>
      <c r="CD23" s="44">
        <f>'Scope 3 Yearly'!CD10</f>
        <v>0</v>
      </c>
      <c r="CE23" s="44">
        <f>'Scope 3 Yearly'!CE10</f>
        <v>0</v>
      </c>
      <c r="CF23" s="44">
        <f>'Scope 3 Yearly'!CF10</f>
        <v>0</v>
      </c>
      <c r="CG23" s="44">
        <f>'Scope 3 Yearly'!CG10</f>
        <v>0</v>
      </c>
      <c r="CH23" s="44">
        <f>'Scope 3 Yearly'!CH10</f>
        <v>0</v>
      </c>
      <c r="CI23" s="44">
        <f>'Scope 3 Yearly'!CI10</f>
        <v>0</v>
      </c>
      <c r="CJ23" s="44">
        <f>'Scope 3 Yearly'!CJ10</f>
        <v>0</v>
      </c>
      <c r="CK23" s="44">
        <f>'Scope 3 Yearly'!CK10</f>
        <v>0</v>
      </c>
      <c r="CL23" s="44">
        <f>'Scope 3 Yearly'!CL10</f>
        <v>0</v>
      </c>
      <c r="CM23" s="44">
        <f>'Scope 3 Yearly'!CM10</f>
        <v>0</v>
      </c>
      <c r="CN23" s="44">
        <f>'Scope 3 Yearly'!CN10</f>
        <v>0</v>
      </c>
      <c r="CO23" s="44">
        <f>'Scope 3 Yearly'!CO10</f>
        <v>0</v>
      </c>
      <c r="CP23" s="44">
        <f>'Scope 3 Yearly'!CP10</f>
        <v>0</v>
      </c>
      <c r="CQ23" s="44">
        <f>'Scope 3 Yearly'!CQ10</f>
        <v>0</v>
      </c>
      <c r="CR23" s="44">
        <f>'Scope 3 Yearly'!CR10</f>
        <v>0</v>
      </c>
      <c r="CS23" s="44">
        <f>'Scope 3 Yearly'!CS10</f>
        <v>0</v>
      </c>
      <c r="CT23" s="44">
        <f>'Scope 3 Yearly'!CT10</f>
        <v>0</v>
      </c>
      <c r="CU23" s="44"/>
      <c r="CV23" s="44">
        <f>'Scope 3 Yearly'!CV10</f>
        <v>7.9316887475859034E-5</v>
      </c>
      <c r="CW23" s="44">
        <f>'Scope 3 Yearly'!CW10</f>
        <v>1.7515621581097864E-4</v>
      </c>
      <c r="CX23" s="44">
        <f>'Scope 3 Yearly'!CX10</f>
        <v>3.6976159655348188E-4</v>
      </c>
      <c r="CY23" s="44">
        <f>'Scope 3 Yearly'!CY10</f>
        <v>7.754805745338357E-4</v>
      </c>
      <c r="CZ23" s="44">
        <f>'Scope 3 Yearly'!CZ10</f>
        <v>1.6143290373667426E-3</v>
      </c>
      <c r="DA23" s="44">
        <f>'Scope 3 Yearly'!DA10</f>
        <v>3.3313050412476885E-3</v>
      </c>
      <c r="DB23" s="44">
        <f>'Scope 3 Yearly'!DB10</f>
        <v>6.803234951804054E-3</v>
      </c>
      <c r="DC23" s="44">
        <f>'Scope 3 Yearly'!DC10</f>
        <v>1.374299278077061E-2</v>
      </c>
      <c r="DD23" s="44">
        <f>'Scope 3 Yearly'!DD10</f>
        <v>2.7368435548949827E-2</v>
      </c>
      <c r="DE23" s="44">
        <f>'Scope 3 Yearly'!DE10</f>
        <v>5.3494576262467286E-2</v>
      </c>
      <c r="DF23" s="44">
        <f>'Scope 3 Yearly'!DF10</f>
        <v>9.9004313971453706E-2</v>
      </c>
      <c r="DG23" s="44">
        <f>'Scope 3 Yearly'!DG10</f>
        <v>0.18174626447307707</v>
      </c>
      <c r="DH23" s="44">
        <f>'Scope 3 Yearly'!DH10</f>
        <v>0.31164931590265194</v>
      </c>
      <c r="DI23" s="44">
        <f>'Scope 3 Yearly'!DI10</f>
        <v>0.51026654738600208</v>
      </c>
      <c r="DJ23" s="44">
        <f>'Scope 3 Yearly'!DJ10</f>
        <v>0.79277546972359558</v>
      </c>
      <c r="DK23" s="44">
        <f>'Scope 3 Yearly'!DK10</f>
        <v>1.163723517737151</v>
      </c>
      <c r="DL23" s="44">
        <f>'Scope 3 Yearly'!DL10</f>
        <v>1.6134021770154718</v>
      </c>
      <c r="DM23" s="44">
        <f>'Scope 3 Yearly'!DM10</f>
        <v>2.1167073178901674</v>
      </c>
      <c r="DN23" s="44">
        <f>'Scope 3 Yearly'!DN10</f>
        <v>2.6406835796847021</v>
      </c>
      <c r="DO23" s="44">
        <f>'Scope 3 Yearly'!DO10</f>
        <v>3.1545335608216885</v>
      </c>
      <c r="DP23" s="44">
        <f>'Scope 3 Yearly'!DP10</f>
        <v>3.4788639724409958</v>
      </c>
      <c r="DQ23" s="44">
        <f>'Scope 3 Yearly'!DQ10</f>
        <v>3.9137870431835919</v>
      </c>
      <c r="DR23" s="44">
        <f>'Scope 3 Yearly'!DR10</f>
        <v>4.1271731367011508</v>
      </c>
      <c r="DS23" s="44">
        <f>'Scope 3 Yearly'!DS10</f>
        <v>4.3394506753057849</v>
      </c>
      <c r="DT23" s="44">
        <f>'Scope 3 Yearly'!DT10</f>
        <v>4.5696271639416519</v>
      </c>
      <c r="DU23" s="44">
        <f>'Scope 3 Yearly'!DU10</f>
        <v>4.7930579595710734</v>
      </c>
      <c r="DV23" s="44">
        <f>'Scope 3 Yearly'!DV10</f>
        <v>5.0378280516131531</v>
      </c>
      <c r="DW23" s="44">
        <f>'Scope 3 Yearly'!DW10</f>
        <v>5.3335273718790273</v>
      </c>
      <c r="DX23" s="44">
        <f>'Scope 3 Yearly'!DX10</f>
        <v>5.7069663518041116</v>
      </c>
      <c r="DY23" s="44">
        <f>'Scope 3 Yearly'!DY10</f>
        <v>6.184855703398294</v>
      </c>
      <c r="DZ23" s="44">
        <f>'Scope 3 Yearly'!DZ10</f>
        <v>6.3205161009635695</v>
      </c>
      <c r="EI23" s="26"/>
      <c r="EQ23">
        <v>0</v>
      </c>
      <c r="ER23">
        <v>0.13661661763117541</v>
      </c>
      <c r="ES23">
        <v>7.2452750801215882E-2</v>
      </c>
      <c r="ET23">
        <v>0</v>
      </c>
      <c r="EU23">
        <v>9.9136056706822906E-2</v>
      </c>
    </row>
    <row r="24" spans="1:151" x14ac:dyDescent="0.2">
      <c r="A24" s="1"/>
      <c r="B24" t="s">
        <v>89</v>
      </c>
      <c r="C24" s="54" t="s">
        <v>69</v>
      </c>
      <c r="D24" s="44">
        <f>SUM(D22:D23)+'Scope 3 Yearly'!D11+'Scope 3 Yearly'!D12+'Scope 3 Yearly'!D13+0.5*'Scope 3 Yearly'!D14</f>
        <v>249.41421488639452</v>
      </c>
      <c r="E24" s="44">
        <f>SUM(E22:E23)+'Scope 3 Yearly'!E11+'Scope 3 Yearly'!E12+'Scope 3 Yearly'!E13+0.5*'Scope 3 Yearly'!E14</f>
        <v>257.42899796969465</v>
      </c>
      <c r="F24" s="44">
        <f>SUM(F22:F23)+'Scope 3 Yearly'!F11+'Scope 3 Yearly'!F12+'Scope 3 Yearly'!F13+0.5*'Scope 3 Yearly'!F14</f>
        <v>264.97269077018188</v>
      </c>
      <c r="G24" s="44">
        <f>SUM(G22:G23)+'Scope 3 Yearly'!G11+'Scope 3 Yearly'!G12+'Scope 3 Yearly'!G13+0.5*'Scope 3 Yearly'!G14</f>
        <v>272.0639256407859</v>
      </c>
      <c r="H24" s="44">
        <f>SUM(H22:H23)+'Scope 3 Yearly'!H11+'Scope 3 Yearly'!H12+'Scope 3 Yearly'!H13+0.5*'Scope 3 Yearly'!H14</f>
        <v>278.59028495475673</v>
      </c>
      <c r="I24" s="44">
        <f>SUM(I22:I23)+'Scope 3 Yearly'!I11+'Scope 3 Yearly'!I12+'Scope 3 Yearly'!I13+0.5*'Scope 3 Yearly'!I14</f>
        <v>284.50331619381956</v>
      </c>
      <c r="J24" s="44">
        <f>SUM(J22:J23)+'Scope 3 Yearly'!J11+'Scope 3 Yearly'!J12+'Scope 3 Yearly'!J13+0.5*'Scope 3 Yearly'!J14</f>
        <v>289.12257114563045</v>
      </c>
      <c r="K24" s="44">
        <f>SUM(K22:K23)+'Scope 3 Yearly'!K11+'Scope 3 Yearly'!K12+'Scope 3 Yearly'!K13+0.5*'Scope 3 Yearly'!K14</f>
        <v>293.63567894822955</v>
      </c>
      <c r="L24" s="44">
        <f>SUM(L22:L23)+'Scope 3 Yearly'!L11+'Scope 3 Yearly'!L12+'Scope 3 Yearly'!L13+0.5*'Scope 3 Yearly'!L14</f>
        <v>298.035687508786</v>
      </c>
      <c r="M24" s="44">
        <f>SUM(M22:M23)+'Scope 3 Yearly'!M11+'Scope 3 Yearly'!M12+'Scope 3 Yearly'!M13+0.5*'Scope 3 Yearly'!M14</f>
        <v>302.31659437401515</v>
      </c>
      <c r="N24" s="44">
        <f>SUM(N22:N23)+'Scope 3 Yearly'!N11+'Scope 3 Yearly'!N12+'Scope 3 Yearly'!N13+0.5*'Scope 3 Yearly'!N14</f>
        <v>306.47324944656822</v>
      </c>
      <c r="O24" s="44">
        <f>SUM(O22:O23)+'Scope 3 Yearly'!O11+'Scope 3 Yearly'!O12+'Scope 3 Yearly'!O13+0.5*'Scope 3 Yearly'!O14</f>
        <v>308.7352351797274</v>
      </c>
      <c r="P24" s="44">
        <f>SUM(P22:P23)+'Scope 3 Yearly'!P11+'Scope 3 Yearly'!P12+'Scope 3 Yearly'!P13+0.5*'Scope 3 Yearly'!P14</f>
        <v>310.74361027554573</v>
      </c>
      <c r="Q24" s="44">
        <f>SUM(Q22:Q23)+'Scope 3 Yearly'!Q11+'Scope 3 Yearly'!Q12+'Scope 3 Yearly'!Q13+0.5*'Scope 3 Yearly'!Q14</f>
        <v>311.52084302356479</v>
      </c>
      <c r="R24" s="44">
        <f>SUM(R22:R23)+'Scope 3 Yearly'!R11+'Scope 3 Yearly'!R12+'Scope 3 Yearly'!R13+0.5*'Scope 3 Yearly'!R14</f>
        <v>311.59894854335744</v>
      </c>
      <c r="S24" s="44">
        <f>SUM(S22:S23)+'Scope 3 Yearly'!S11+'Scope 3 Yearly'!S12+'Scope 3 Yearly'!S13+0.5*'Scope 3 Yearly'!S14</f>
        <v>310.97203958940293</v>
      </c>
      <c r="T24" s="44">
        <f>SUM(T22:T23)+'Scope 3 Yearly'!T11+'Scope 3 Yearly'!T12+'Scope 3 Yearly'!T13+0.5*'Scope 3 Yearly'!T14</f>
        <v>310.45455142586371</v>
      </c>
      <c r="U24" s="44">
        <f>SUM(U22:U23)+'Scope 3 Yearly'!U11+'Scope 3 Yearly'!U12+'Scope 3 Yearly'!U13+0.5*'Scope 3 Yearly'!U14</f>
        <v>309.79079347113725</v>
      </c>
      <c r="V24" s="44">
        <f>SUM(V22:V23)+'Scope 3 Yearly'!V11+'Scope 3 Yearly'!V12+'Scope 3 Yearly'!V13+0.5*'Scope 3 Yearly'!V14</f>
        <v>308.95895194868382</v>
      </c>
      <c r="W24" s="44">
        <f>SUM(W22:W23)+'Scope 3 Yearly'!W11+'Scope 3 Yearly'!W12+'Scope 3 Yearly'!W13+0.5*'Scope 3 Yearly'!W14</f>
        <v>307.94564511056774</v>
      </c>
      <c r="X24" s="44">
        <f>SUM(X22:X23)+'Scope 3 Yearly'!X11+'Scope 3 Yearly'!X12+'Scope 3 Yearly'!X13+0.5*'Scope 3 Yearly'!X14</f>
        <v>306.71208155635838</v>
      </c>
      <c r="Y24" s="44">
        <f>SUM(Y22:Y23)+'Scope 3 Yearly'!Y11+'Scope 3 Yearly'!Y12+'Scope 3 Yearly'!Y13+0.5*'Scope 3 Yearly'!Y14</f>
        <v>303.9786614425534</v>
      </c>
      <c r="Z24" s="44">
        <f>SUM(Z22:Z23)+'Scope 3 Yearly'!Z11+'Scope 3 Yearly'!Z12+'Scope 3 Yearly'!Z13+0.5*'Scope 3 Yearly'!Z14</f>
        <v>302.69954285731149</v>
      </c>
      <c r="AA24" s="44">
        <f>SUM(AA22:AA23)+'Scope 3 Yearly'!AA11+'Scope 3 Yearly'!AA12+'Scope 3 Yearly'!AA13+0.5*'Scope 3 Yearly'!AA14</f>
        <v>300.99552215131285</v>
      </c>
      <c r="AB24" s="44">
        <f>SUM(AB22:AB23)+'Scope 3 Yearly'!AB11+'Scope 3 Yearly'!AB12+'Scope 3 Yearly'!AB13+0.5*'Scope 3 Yearly'!AB14</f>
        <v>299.08202746585619</v>
      </c>
      <c r="AC24" s="44">
        <f>SUM(AC22:AC23)+'Scope 3 Yearly'!AC11+'Scope 3 Yearly'!AC12+'Scope 3 Yearly'!AC13+0.5*'Scope 3 Yearly'!AC14</f>
        <v>296.95502757625997</v>
      </c>
      <c r="AD24" s="44">
        <f>SUM(AD22:AD23)+'Scope 3 Yearly'!AD11+'Scope 3 Yearly'!AD12+'Scope 3 Yearly'!AD13+0.5*'Scope 3 Yearly'!AD14</f>
        <v>294.43961413399927</v>
      </c>
      <c r="AE24" s="44">
        <f>SUM(AE22:AE23)+'Scope 3 Yearly'!AE11+'Scope 3 Yearly'!AE12+'Scope 3 Yearly'!AE13+0.5*'Scope 3 Yearly'!AE14</f>
        <v>291.71259752528175</v>
      </c>
      <c r="AF24" s="44">
        <f>SUM(AF22:AF23)+'Scope 3 Yearly'!AF11+'Scope 3 Yearly'!AF12+'Scope 3 Yearly'!AF13+0.5*'Scope 3 Yearly'!AF14</f>
        <v>288.7773584918005</v>
      </c>
      <c r="AG24" s="44">
        <f>SUM(AG22:AG23)+'Scope 3 Yearly'!AG11+'Scope 3 Yearly'!AG12+'Scope 3 Yearly'!AG13+0.5*'Scope 3 Yearly'!AG14</f>
        <v>285.63360448494728</v>
      </c>
      <c r="AH24" s="44">
        <f>SUM(AH22:AH23)+'Scope 3 Yearly'!AH11+'Scope 3 Yearly'!AH12+'Scope 3 Yearly'!AH13+0.5*'Scope 3 Yearly'!AH14</f>
        <v>282.25753589471867</v>
      </c>
      <c r="AI24" s="44"/>
      <c r="AJ24" s="44">
        <f>'Scope 3 Yearly'!AJ11+'Scope 3 Yearly'!AJ12+'Scope 3 Yearly'!AJ13+0.5*'Scope 3 Yearly'!AJ14+SUM(AJ22:AJ23)</f>
        <v>249.41419850753655</v>
      </c>
      <c r="AK24" s="44">
        <f>'Scope 3 Yearly'!AK11+'Scope 3 Yearly'!AK12+'Scope 3 Yearly'!AK13+0.5*'Scope 3 Yearly'!AK14+SUM(AK22:AK23)</f>
        <v>257.72607923756698</v>
      </c>
      <c r="AL24" s="44">
        <f>'Scope 3 Yearly'!AL11+'Scope 3 Yearly'!AL12+'Scope 3 Yearly'!AL13+0.5*'Scope 3 Yearly'!AL14+SUM(AL22:AL23)</f>
        <v>265.6089962539437</v>
      </c>
      <c r="AM24" s="44">
        <f>'Scope 3 Yearly'!AM11+'Scope 3 Yearly'!AM12+'Scope 3 Yearly'!AM13+0.5*'Scope 3 Yearly'!AM14+SUM(AM22:AM23)</f>
        <v>273.04889626655921</v>
      </c>
      <c r="AN24" s="44">
        <f>'Scope 3 Yearly'!AN11+'Scope 3 Yearly'!AN12+'Scope 3 Yearly'!AN13+0.5*'Scope 3 Yearly'!AN14+SUM(AN22:AN23)</f>
        <v>279.94195588798385</v>
      </c>
      <c r="AO24" s="44">
        <f>'Scope 3 Yearly'!AO11+'Scope 3 Yearly'!AO12+'Scope 3 Yearly'!AO13+0.5*'Scope 3 Yearly'!AO14+SUM(AO22:AO23)</f>
        <v>286.23761774493704</v>
      </c>
      <c r="AP24" s="44">
        <f>'Scope 3 Yearly'!AP11+'Scope 3 Yearly'!AP12+'Scope 3 Yearly'!AP13+0.5*'Scope 3 Yearly'!AP14+SUM(AP22:AP23)</f>
        <v>291.87589768688781</v>
      </c>
      <c r="AQ24" s="44">
        <f>'Scope 3 Yearly'!AQ11+'Scope 3 Yearly'!AQ12+'Scope 3 Yearly'!AQ13+0.5*'Scope 3 Yearly'!AQ14+SUM(AQ22:AQ23)</f>
        <v>297.45773411319306</v>
      </c>
      <c r="AR24" s="44">
        <f>'Scope 3 Yearly'!AR11+'Scope 3 Yearly'!AR12+'Scope 3 Yearly'!AR13+0.5*'Scope 3 Yearly'!AR14+SUM(AR22:AR23)</f>
        <v>302.97611620194755</v>
      </c>
      <c r="AS24" s="44">
        <f>'Scope 3 Yearly'!AS11+'Scope 3 Yearly'!AS12+'Scope 3 Yearly'!AS13+0.5*'Scope 3 Yearly'!AS14+SUM(AS22:AS23)</f>
        <v>308.42453345500405</v>
      </c>
      <c r="AT24" s="44">
        <f>'Scope 3 Yearly'!AT11+'Scope 3 Yearly'!AT12+'Scope 3 Yearly'!AT13+0.5*'Scope 3 Yearly'!AT14+SUM(AT22:AT23)</f>
        <v>313.79660883300062</v>
      </c>
      <c r="AU24" s="44">
        <f>'Scope 3 Yearly'!AU11+'Scope 3 Yearly'!AU12+'Scope 3 Yearly'!AU13+0.5*'Scope 3 Yearly'!AU14+SUM(AU22:AU23)</f>
        <v>317.73109167985234</v>
      </c>
      <c r="AV24" s="44">
        <f>'Scope 3 Yearly'!AV11+'Scope 3 Yearly'!AV12+'Scope 3 Yearly'!AV13+0.5*'Scope 3 Yearly'!AV14+SUM(AV22:AV23)</f>
        <v>321.4045072419708</v>
      </c>
      <c r="AW24" s="44">
        <f>'Scope 3 Yearly'!AW11+'Scope 3 Yearly'!AW12+'Scope 3 Yearly'!AW13+0.5*'Scope 3 Yearly'!AW14+SUM(AW22:AW23)</f>
        <v>323.97927683800276</v>
      </c>
      <c r="AX24" s="44">
        <f>'Scope 3 Yearly'!AX11+'Scope 3 Yearly'!AX12+'Scope 3 Yearly'!AX13+0.5*'Scope 3 Yearly'!AX14+SUM(AX22:AX23)</f>
        <v>325.88282825257863</v>
      </c>
      <c r="AY24" s="44">
        <f>'Scope 3 Yearly'!AY11+'Scope 3 Yearly'!AY12+'Scope 3 Yearly'!AY13+0.5*'Scope 3 Yearly'!AY14+SUM(AY22:AY23)</f>
        <v>327.10145479929673</v>
      </c>
      <c r="AZ24" s="44">
        <f>'Scope 3 Yearly'!AZ11+'Scope 3 Yearly'!AZ12+'Scope 3 Yearly'!AZ13+0.5*'Scope 3 Yearly'!AZ14+SUM(AZ22:AZ23)</f>
        <v>328.34821291972077</v>
      </c>
      <c r="BA24" s="44">
        <f>'Scope 3 Yearly'!BA11+'Scope 3 Yearly'!BA12+'Scope 3 Yearly'!BA13+0.5*'Scope 3 Yearly'!BA14+SUM(BA22:BA23)</f>
        <v>329.48461869766612</v>
      </c>
      <c r="BB24" s="44">
        <f>'Scope 3 Yearly'!BB11+'Scope 3 Yearly'!BB12+'Scope 3 Yearly'!BB13+0.5*'Scope 3 Yearly'!BB14+SUM(BB22:BB23)</f>
        <v>330.5016049916681</v>
      </c>
      <c r="BC24" s="44">
        <f>'Scope 3 Yearly'!BC11+'Scope 3 Yearly'!BC12+'Scope 3 Yearly'!BC13+0.5*'Scope 3 Yearly'!BC14+SUM(BC22:BC23)</f>
        <v>331.3909718921368</v>
      </c>
      <c r="BD24" s="44">
        <f>'Scope 3 Yearly'!BD11+'Scope 3 Yearly'!BD12+'Scope 3 Yearly'!BD13+0.5*'Scope 3 Yearly'!BD14+SUM(BD22:BD23)</f>
        <v>332.11545937695678</v>
      </c>
      <c r="BE24" s="44">
        <f>'Scope 3 Yearly'!BE11+'Scope 3 Yearly'!BE12+'Scope 3 Yearly'!BE13+0.5*'Scope 3 Yearly'!BE14+SUM(BE22:BE23)</f>
        <v>331.6250669542215</v>
      </c>
      <c r="BF24" s="44">
        <f>'Scope 3 Yearly'!BF11+'Scope 3 Yearly'!BF12+'Scope 3 Yearly'!BF13+0.5*'Scope 3 Yearly'!BF14+SUM(BF22:BF23)</f>
        <v>332.43370677974923</v>
      </c>
      <c r="BG24" s="44">
        <f>'Scope 3 Yearly'!BG11+'Scope 3 Yearly'!BG12+'Scope 3 Yearly'!BG13+0.5*'Scope 3 Yearly'!BG14+SUM(BG22:BG23)</f>
        <v>333.00865359248371</v>
      </c>
      <c r="BH24" s="44">
        <f>'Scope 3 Yearly'!BH11+'Scope 3 Yearly'!BH12+'Scope 3 Yearly'!BH13+0.5*'Scope 3 Yearly'!BH14+SUM(BH22:BH23)</f>
        <v>333.42880774388902</v>
      </c>
      <c r="BI24" s="44">
        <f>'Scope 3 Yearly'!BI11+'Scope 3 Yearly'!BI12+'Scope 3 Yearly'!BI13+0.5*'Scope 3 Yearly'!BI14+SUM(BI22:BI23)</f>
        <v>333.68795261167202</v>
      </c>
      <c r="BJ24" s="44">
        <f>'Scope 3 Yearly'!BJ11+'Scope 3 Yearly'!BJ12+'Scope 3 Yearly'!BJ13+0.5*'Scope 3 Yearly'!BJ14+SUM(BJ22:BJ23)</f>
        <v>333.69880227046451</v>
      </c>
      <c r="BK24" s="44">
        <f>'Scope 3 Yearly'!BK11+'Scope 3 Yearly'!BK12+'Scope 3 Yearly'!BK13+0.5*'Scope 3 Yearly'!BK14+SUM(BK22:BK23)</f>
        <v>333.55559223292744</v>
      </c>
      <c r="BL24" s="44">
        <f>'Scope 3 Yearly'!BL11+'Scope 3 Yearly'!BL12+'Scope 3 Yearly'!BL13+0.5*'Scope 3 Yearly'!BL14+SUM(BL22:BL23)</f>
        <v>333.26131741127398</v>
      </c>
      <c r="BM24" s="44">
        <f>'Scope 3 Yearly'!BM11+'Scope 3 Yearly'!BM12+'Scope 3 Yearly'!BM13+0.5*'Scope 3 Yearly'!BM14+SUM(BM22:BM23)</f>
        <v>332.81876202238385</v>
      </c>
      <c r="BN24" s="44">
        <f>'Scope 3 Yearly'!BN11+'Scope 3 Yearly'!BN12+'Scope 3 Yearly'!BN13+0.5*'Scope 3 Yearly'!BN14+SUM(BN22:BN23)</f>
        <v>332.15004552934744</v>
      </c>
      <c r="BO24" s="44"/>
      <c r="BP24" s="44">
        <f>'Scope 3 Yearly'!BP11+'Scope 3 Yearly'!BP12+'Scope 3 Yearly'!BP13+0.5*'Scope 3 Yearly'!BP14+SUM(BP22:BP23)</f>
        <v>249.41417828173027</v>
      </c>
      <c r="BQ24" s="44">
        <f>'Scope 3 Yearly'!BQ11+'Scope 3 Yearly'!BQ12+'Scope 3 Yearly'!BQ13+0.5*'Scope 3 Yearly'!BQ14+SUM(BQ22:BQ23)</f>
        <v>256.55896847017323</v>
      </c>
      <c r="BR24" s="44">
        <f>'Scope 3 Yearly'!BR11+'Scope 3 Yearly'!BR12+'Scope 3 Yearly'!BR13+0.5*'Scope 3 Yearly'!BR14+SUM(BR22:BR23)</f>
        <v>263.23260865338978</v>
      </c>
      <c r="BS24" s="44">
        <f>'Scope 3 Yearly'!BS11+'Scope 3 Yearly'!BS12+'Scope 3 Yearly'!BS13+0.5*'Scope 3 Yearly'!BS14+SUM(BS22:BS23)</f>
        <v>269.38893903613621</v>
      </c>
      <c r="BT24" s="44">
        <f>'Scope 3 Yearly'!BT11+'Scope 3 Yearly'!BT12+'Scope 3 Yearly'!BT13+0.5*'Scope 3 Yearly'!BT14+SUM(BT22:BT23)</f>
        <v>274.98488827720877</v>
      </c>
      <c r="BU24" s="44">
        <f>'Scope 3 Yearly'!BU11+'Scope 3 Yearly'!BU12+'Scope 3 Yearly'!BU13+0.5*'Scope 3 Yearly'!BU14+SUM(BU22:BU23)</f>
        <v>279.98100054140946</v>
      </c>
      <c r="BV24" s="44">
        <f>'Scope 3 Yearly'!BV11+'Scope 3 Yearly'!BV12+'Scope 3 Yearly'!BV13+0.5*'Scope 3 Yearly'!BV14+SUM(BV22:BV23)</f>
        <v>284.93541370043704</v>
      </c>
      <c r="BW24" s="44">
        <f>'Scope 3 Yearly'!BW11+'Scope 3 Yearly'!BW12+'Scope 3 Yearly'!BW13+0.5*'Scope 3 Yearly'!BW14+SUM(BW22:BW23)</f>
        <v>289.84268375700003</v>
      </c>
      <c r="BX24" s="44">
        <f>'Scope 3 Yearly'!BX11+'Scope 3 Yearly'!BX12+'Scope 3 Yearly'!BX13+0.5*'Scope 3 Yearly'!BX14+SUM(BX22:BX23)</f>
        <v>294.69734005910578</v>
      </c>
      <c r="BY24" s="44">
        <f>'Scope 3 Yearly'!BY11+'Scope 3 Yearly'!BY12+'Scope 3 Yearly'!BY13+0.5*'Scope 3 Yearly'!BY14+SUM(BY22:BY23)</f>
        <v>299.4938959179384</v>
      </c>
      <c r="BZ24" s="44">
        <f>'Scope 3 Yearly'!BZ11+'Scope 3 Yearly'!BZ12+'Scope 3 Yearly'!BZ13+0.5*'Scope 3 Yearly'!BZ14+SUM(BZ22:BZ23)</f>
        <v>304.22685949317037</v>
      </c>
      <c r="CA24" s="44">
        <f>'Scope 3 Yearly'!CA11+'Scope 3 Yearly'!CA12+'Scope 3 Yearly'!CA13+0.5*'Scope 3 Yearly'!CA14+SUM(CA22:CA23)</f>
        <v>308.46409969917852</v>
      </c>
      <c r="CB24" s="44">
        <f>'Scope 3 Yearly'!CB11+'Scope 3 Yearly'!CB12+'Scope 3 Yearly'!CB13+0.5*'Scope 3 Yearly'!CB14+SUM(CB22:CB23)</f>
        <v>312.18263587396734</v>
      </c>
      <c r="CC24" s="44">
        <f>'Scope 3 Yearly'!CC11+'Scope 3 Yearly'!CC12+'Scope 3 Yearly'!CC13+0.5*'Scope 3 Yearly'!CC14+SUM(CC22:CC23)</f>
        <v>315.36219555617242</v>
      </c>
      <c r="CD24" s="44">
        <f>'Scope 3 Yearly'!CD11+'Scope 3 Yearly'!CD12+'Scope 3 Yearly'!CD13+0.5*'Scope 3 Yearly'!CD14+SUM(CD22:CD23)</f>
        <v>317.98541628968161</v>
      </c>
      <c r="CE24" s="44">
        <f>'Scope 3 Yearly'!CE11+'Scope 3 Yearly'!CE12+'Scope 3 Yearly'!CE13+0.5*'Scope 3 Yearly'!CE14+SUM(CE22:CE23)</f>
        <v>320.03802238184045</v>
      </c>
      <c r="CF24" s="44">
        <f>'Scope 3 Yearly'!CF11+'Scope 3 Yearly'!CF12+'Scope 3 Yearly'!CF13+0.5*'Scope 3 Yearly'!CF14+SUM(CF22:CF23)</f>
        <v>322.06601083477386</v>
      </c>
      <c r="CG24" s="44">
        <f>'Scope 3 Yearly'!CG11+'Scope 3 Yearly'!CG12+'Scope 3 Yearly'!CG13+0.5*'Scope 3 Yearly'!CG14+SUM(CG22:CG23)</f>
        <v>324.06880328242551</v>
      </c>
      <c r="CH24" s="44">
        <f>'Scope 3 Yearly'!CH11+'Scope 3 Yearly'!CH12+'Scope 3 Yearly'!CH13+0.5*'Scope 3 Yearly'!CH14+SUM(CH22:CH23)</f>
        <v>326.04583131213059</v>
      </c>
      <c r="CI24" s="44">
        <f>'Scope 3 Yearly'!CI11+'Scope 3 Yearly'!CI12+'Scope 3 Yearly'!CI13+0.5*'Scope 3 Yearly'!CI14+SUM(CI22:CI23)</f>
        <v>327.99653699018188</v>
      </c>
      <c r="CJ24" s="44">
        <f>'Scope 3 Yearly'!CJ11+'Scope 3 Yearly'!CJ12+'Scope 3 Yearly'!CJ13+0.5*'Scope 3 Yearly'!CJ14+SUM(CJ22:CJ23)</f>
        <v>329.92037338906027</v>
      </c>
      <c r="CK24" s="44">
        <f>'Scope 3 Yearly'!CK11+'Scope 3 Yearly'!CK12+'Scope 3 Yearly'!CK13+0.5*'Scope 3 Yearly'!CK14+SUM(CK22:CK23)</f>
        <v>331.82030390696508</v>
      </c>
      <c r="CL24" s="44">
        <f>'Scope 3 Yearly'!CL11+'Scope 3 Yearly'!CL12+'Scope 3 Yearly'!CL13+0.5*'Scope 3 Yearly'!CL14+SUM(CL22:CL23)</f>
        <v>333.69585943668028</v>
      </c>
      <c r="CM24" s="44">
        <f>'Scope 3 Yearly'!CM11+'Scope 3 Yearly'!CM12+'Scope 3 Yearly'!CM13+0.5*'Scope 3 Yearly'!CM14+SUM(CM22:CM23)</f>
        <v>335.54658119460629</v>
      </c>
      <c r="CN24" s="44">
        <f>'Scope 3 Yearly'!CN11+'Scope 3 Yearly'!CN12+'Scope 3 Yearly'!CN13+0.5*'Scope 3 Yearly'!CN14+SUM(CN22:CN23)</f>
        <v>337.37202117151361</v>
      </c>
      <c r="CO24" s="44">
        <f>'Scope 3 Yearly'!CO11+'Scope 3 Yearly'!CO12+'Scope 3 Yearly'!CO13+0.5*'Scope 3 Yearly'!CO14+SUM(CO22:CO23)</f>
        <v>339.1717425844916</v>
      </c>
      <c r="CP24" s="44">
        <f>'Scope 3 Yearly'!CP11+'Scope 3 Yearly'!CP12+'Scope 3 Yearly'!CP13+0.5*'Scope 3 Yearly'!CP14+SUM(CP22:CP23)</f>
        <v>340.94839040459897</v>
      </c>
      <c r="CQ24" s="44">
        <f>'Scope 3 Yearly'!CQ11+'Scope 3 Yearly'!CQ12+'Scope 3 Yearly'!CQ13+0.5*'Scope 3 Yearly'!CQ14+SUM(CQ22:CQ23)</f>
        <v>342.7015929005932</v>
      </c>
      <c r="CR24" s="44">
        <f>'Scope 3 Yearly'!CR11+'Scope 3 Yearly'!CR12+'Scope 3 Yearly'!CR13+0.5*'Scope 3 Yearly'!CR14+SUM(CR22:CR23)</f>
        <v>344.43098897347517</v>
      </c>
      <c r="CS24" s="44">
        <f>'Scope 3 Yearly'!CS11+'Scope 3 Yearly'!CS12+'Scope 3 Yearly'!CS13+0.5*'Scope 3 Yearly'!CS14+SUM(CS22:CS23)</f>
        <v>346.13622855086817</v>
      </c>
      <c r="CT24" s="44">
        <f>'Scope 3 Yearly'!CT11+'Scope 3 Yearly'!CT12+'Scope 3 Yearly'!CT13+0.5*'Scope 3 Yearly'!CT14+SUM(CT22:CT23)</f>
        <v>347.81697298238674</v>
      </c>
      <c r="CU24" s="44"/>
      <c r="CV24" s="44">
        <f>'Scope 3 Yearly'!CV11+'Scope 3 Yearly'!CV12+'Scope 3 Yearly'!CV13+0.5*'Scope 3 Yearly'!CV14+SUM(CV22:CV23)</f>
        <v>249.41419850753655</v>
      </c>
      <c r="CW24" s="44">
        <f>'Scope 3 Yearly'!CW11+'Scope 3 Yearly'!CW12+'Scope 3 Yearly'!CW13+0.5*'Scope 3 Yearly'!CW14+SUM(CW22:CW23)</f>
        <v>258.87517388426136</v>
      </c>
      <c r="CX24" s="44">
        <f>'Scope 3 Yearly'!CX11+'Scope 3 Yearly'!CX12+'Scope 3 Yearly'!CX13+0.5*'Scope 3 Yearly'!CX14+SUM(CX22:CX23)</f>
        <v>268.0842647222529</v>
      </c>
      <c r="CY24" s="44">
        <f>'Scope 3 Yearly'!CY11+'Scope 3 Yearly'!CY12+'Scope 3 Yearly'!CY13+0.5*'Scope 3 Yearly'!CY14+SUM(CY22:CY23)</f>
        <v>276.88063982431345</v>
      </c>
      <c r="CZ24" s="44">
        <f>'Scope 3 Yearly'!CZ11+'Scope 3 Yearly'!CZ12+'Scope 3 Yearly'!CZ13+0.5*'Scope 3 Yearly'!CZ14+SUM(CZ22:CZ23)</f>
        <v>285.20063473422749</v>
      </c>
      <c r="DA24" s="44">
        <f>'Scope 3 Yearly'!DA11+'Scope 3 Yearly'!DA12+'Scope 3 Yearly'!DA13+0.5*'Scope 3 Yearly'!DA14+SUM(DA22:DA23)</f>
        <v>292.98581178096583</v>
      </c>
      <c r="DB24" s="44">
        <f>'Scope 3 Yearly'!DB11+'Scope 3 Yearly'!DB12+'Scope 3 Yearly'!DB13+0.5*'Scope 3 Yearly'!DB14+SUM(DB22:DB23)</f>
        <v>300.80350609411573</v>
      </c>
      <c r="DC24" s="44">
        <f>'Scope 3 Yearly'!DC11+'Scope 3 Yearly'!DC12+'Scope 3 Yearly'!DC13+0.5*'Scope 3 Yearly'!DC14+SUM(DC22:DC23)</f>
        <v>308.66872856799756</v>
      </c>
      <c r="DD24" s="44">
        <f>'Scope 3 Yearly'!DD11+'Scope 3 Yearly'!DD12+'Scope 3 Yearly'!DD13+0.5*'Scope 3 Yearly'!DD14+SUM(DD22:DD23)</f>
        <v>316.57530663168905</v>
      </c>
      <c r="DE24" s="44">
        <f>'Scope 3 Yearly'!DE11+'Scope 3 Yearly'!DE12+'Scope 3 Yearly'!DE13+0.5*'Scope 3 Yearly'!DE14+SUM(DE22:DE23)</f>
        <v>324.51739471210618</v>
      </c>
      <c r="DF24" s="44">
        <f>'Scope 3 Yearly'!DF11+'Scope 3 Yearly'!DF12+'Scope 3 Yearly'!DF13+0.5*'Scope 3 Yearly'!DF14+SUM(DF22:DF23)</f>
        <v>332.48909987386821</v>
      </c>
      <c r="DG24" s="44">
        <f>'Scope 3 Yearly'!DG11+'Scope 3 Yearly'!DG12+'Scope 3 Yearly'!DG13+0.5*'Scope 3 Yearly'!DG14+SUM(DG22:DG23)</f>
        <v>340.33422439036156</v>
      </c>
      <c r="DH24" s="44">
        <f>'Scope 3 Yearly'!DH11+'Scope 3 Yearly'!DH12+'Scope 3 Yearly'!DH13+0.5*'Scope 3 Yearly'!DH14+SUM(DH22:DH23)</f>
        <v>347.68706621214181</v>
      </c>
      <c r="DI24" s="44">
        <f>'Scope 3 Yearly'!DI11+'Scope 3 Yearly'!DI12+'Scope 3 Yearly'!DI13+0.5*'Scope 3 Yearly'!DI14+SUM(DI22:DI23)</f>
        <v>354.45205325111135</v>
      </c>
      <c r="DJ24" s="44">
        <f>'Scope 3 Yearly'!DJ11+'Scope 3 Yearly'!DJ12+'Scope 3 Yearly'!DJ13+0.5*'Scope 3 Yearly'!DJ14+SUM(DJ22:DJ23)</f>
        <v>360.62419785973441</v>
      </c>
      <c r="DK24" s="44">
        <f>'Scope 3 Yearly'!DK11+'Scope 3 Yearly'!DK12+'Scope 3 Yearly'!DK13+0.5*'Scope 3 Yearly'!DK14+SUM(DK22:DK23)</f>
        <v>366.1682509231245</v>
      </c>
      <c r="DL24" s="44">
        <f>'Scope 3 Yearly'!DL11+'Scope 3 Yearly'!DL12+'Scope 3 Yearly'!DL13+0.5*'Scope 3 Yearly'!DL14+SUM(DL22:DL23)</f>
        <v>371.7273871749656</v>
      </c>
      <c r="DM24" s="44">
        <f>'Scope 3 Yearly'!DM11+'Scope 3 Yearly'!DM12+'Scope 3 Yearly'!DM13+0.5*'Scope 3 Yearly'!DM14+SUM(DM22:DM23)</f>
        <v>377.28591929108723</v>
      </c>
      <c r="DN24" s="44">
        <f>'Scope 3 Yearly'!DN11+'Scope 3 Yearly'!DN12+'Scope 3 Yearly'!DN13+0.5*'Scope 3 Yearly'!DN14+SUM(DN22:DN23)</f>
        <v>382.8355418655857</v>
      </c>
      <c r="DO24" s="44">
        <f>'Scope 3 Yearly'!DO11+'Scope 3 Yearly'!DO12+'Scope 3 Yearly'!DO13+0.5*'Scope 3 Yearly'!DO14+SUM(DO22:DO23)</f>
        <v>388.36877768135605</v>
      </c>
      <c r="DP24" s="44">
        <f>'Scope 3 Yearly'!DP11+'Scope 3 Yearly'!DP12+'Scope 3 Yearly'!DP13+0.5*'Scope 3 Yearly'!DP14+SUM(DP22:DP23)</f>
        <v>393.84904921736529</v>
      </c>
      <c r="DQ24" s="44">
        <f>'Scope 3 Yearly'!DQ11+'Scope 3 Yearly'!DQ12+'Scope 3 Yearly'!DQ13+0.5*'Scope 3 Yearly'!DQ14+SUM(DQ22:DQ23)</f>
        <v>399.65246377939866</v>
      </c>
      <c r="DR24" s="44">
        <f>'Scope 3 Yearly'!DR11+'Scope 3 Yearly'!DR12+'Scope 3 Yearly'!DR13+0.5*'Scope 3 Yearly'!DR14+SUM(DR22:DR23)</f>
        <v>405.50642310458664</v>
      </c>
      <c r="DS24" s="44">
        <f>'Scope 3 Yearly'!DS11+'Scope 3 Yearly'!DS12+'Scope 3 Yearly'!DS13+0.5*'Scope 3 Yearly'!DS14+SUM(DS22:DS23)</f>
        <v>411.30950902837833</v>
      </c>
      <c r="DT24" s="44">
        <f>'Scope 3 Yearly'!DT11+'Scope 3 Yearly'!DT12+'Scope 3 Yearly'!DT13+0.5*'Scope 3 Yearly'!DT14+SUM(DT22:DT23)</f>
        <v>417.07706480483614</v>
      </c>
      <c r="DU24" s="44">
        <f>'Scope 3 Yearly'!DU11+'Scope 3 Yearly'!DU12+'Scope 3 Yearly'!DU13+0.5*'Scope 3 Yearly'!DU14+SUM(DU22:DU23)</f>
        <v>422.80357026185698</v>
      </c>
      <c r="DV24" s="44">
        <f>'Scope 3 Yearly'!DV11+'Scope 3 Yearly'!DV12+'Scope 3 Yearly'!DV13+0.5*'Scope 3 Yearly'!DV14+SUM(DV22:DV23)</f>
        <v>428.48590228081474</v>
      </c>
      <c r="DW24" s="44">
        <f>'Scope 3 Yearly'!DW11+'Scope 3 Yearly'!DW12+'Scope 3 Yearly'!DW13+0.5*'Scope 3 Yearly'!DW14+SUM(DW22:DW23)</f>
        <v>434.13862229151431</v>
      </c>
      <c r="DX24" s="44">
        <f>'Scope 3 Yearly'!DX11+'Scope 3 Yearly'!DX12+'Scope 3 Yearly'!DX13+0.5*'Scope 3 Yearly'!DX14+SUM(DX22:DX23)</f>
        <v>439.76548611307567</v>
      </c>
      <c r="DY24" s="44">
        <f>'Scope 3 Yearly'!DY11+'Scope 3 Yearly'!DY12+'Scope 3 Yearly'!DY13+0.5*'Scope 3 Yearly'!DY14+SUM(DY22:DY23)</f>
        <v>445.37000273197032</v>
      </c>
      <c r="DZ24" s="44">
        <f>'Scope 3 Yearly'!DZ11+'Scope 3 Yearly'!DZ12+'Scope 3 Yearly'!DZ13+0.5*'Scope 3 Yearly'!DZ14+SUM(DZ22:DZ23)</f>
        <v>450.87497928448664</v>
      </c>
      <c r="EB24" t="s">
        <v>1895</v>
      </c>
      <c r="EE24" s="43">
        <f>'Yearly BTX'!AH114+'Yearly Butadiene'!AH72+'Yearly Methanol'!AH115+'Yearly HC Ethylene'!AH147+'Yearly HC Propylene'!AH67</f>
        <v>60.871387138836027</v>
      </c>
      <c r="EI24" s="26"/>
      <c r="EQ24">
        <v>0</v>
      </c>
      <c r="ER24">
        <v>8.6200532203147592E-2</v>
      </c>
      <c r="ES24">
        <v>0.28400607229121022</v>
      </c>
      <c r="ET24">
        <v>7.4600264700038471E-2</v>
      </c>
      <c r="EU24">
        <v>6.4354290510747536E-2</v>
      </c>
    </row>
    <row r="25" spans="1:151" x14ac:dyDescent="0.2">
      <c r="A25" s="1"/>
      <c r="B25" t="s">
        <v>90</v>
      </c>
      <c r="C25" s="54" t="s">
        <v>69</v>
      </c>
      <c r="D25" s="44">
        <f>'Scope 3 Yearly'!D11</f>
        <v>47.054726630584348</v>
      </c>
      <c r="E25" s="44">
        <f>'Scope 3 Yearly'!E11</f>
        <v>49.776666114301349</v>
      </c>
      <c r="F25" s="44">
        <f>'Scope 3 Yearly'!F11</f>
        <v>52.362119266753794</v>
      </c>
      <c r="G25" s="44">
        <f>'Scope 3 Yearly'!G11</f>
        <v>54.892141034911567</v>
      </c>
      <c r="H25" s="44">
        <f>'Scope 3 Yearly'!H11</f>
        <v>57.337216102933951</v>
      </c>
      <c r="I25" s="44">
        <f>'Scope 3 Yearly'!I11</f>
        <v>59.678597844232009</v>
      </c>
      <c r="J25" s="44">
        <f>'Scope 3 Yearly'!J11</f>
        <v>61.739718366862732</v>
      </c>
      <c r="K25" s="44">
        <f>'Scope 3 Yearly'!K11</f>
        <v>63.781697535922163</v>
      </c>
      <c r="L25" s="44">
        <f>'Scope 3 Yearly'!L11</f>
        <v>65.799448978251363</v>
      </c>
      <c r="M25" s="44">
        <f>'Scope 3 Yearly'!M11</f>
        <v>67.786859058955159</v>
      </c>
      <c r="N25" s="44">
        <f>'Scope 3 Yearly'!N11</f>
        <v>69.736737974958658</v>
      </c>
      <c r="O25" s="44">
        <f>'Scope 3 Yearly'!O11</f>
        <v>70.743821625661511</v>
      </c>
      <c r="P25" s="44">
        <f>'Scope 3 Yearly'!P11</f>
        <v>71.627012526976088</v>
      </c>
      <c r="Q25" s="44">
        <f>'Scope 3 Yearly'!Q11</f>
        <v>72.171127882171788</v>
      </c>
      <c r="R25" s="44">
        <f>'Scope 3 Yearly'!R11</f>
        <v>72.478618866521899</v>
      </c>
      <c r="S25" s="44">
        <f>'Scope 3 Yearly'!S11</f>
        <v>72.545023041397101</v>
      </c>
      <c r="T25" s="44">
        <f>'Scope 3 Yearly'!T11</f>
        <v>72.568297197067835</v>
      </c>
      <c r="U25" s="44">
        <f>'Scope 3 Yearly'!U11</f>
        <v>72.483210317328812</v>
      </c>
      <c r="V25" s="44">
        <f>'Scope 3 Yearly'!V11</f>
        <v>72.311817113910408</v>
      </c>
      <c r="W25" s="44">
        <f>'Scope 3 Yearly'!W11</f>
        <v>72.06874881184163</v>
      </c>
      <c r="X25" s="44">
        <f>'Scope 3 Yearly'!X11</f>
        <v>71.805059569835009</v>
      </c>
      <c r="Y25" s="44">
        <f>'Scope 3 Yearly'!Y11</f>
        <v>70.449144038817408</v>
      </c>
      <c r="Z25" s="44">
        <f>'Scope 3 Yearly'!Z11</f>
        <v>69.419421780974957</v>
      </c>
      <c r="AA25" s="44">
        <f>'Scope 3 Yearly'!AA11</f>
        <v>68.292630638835178</v>
      </c>
      <c r="AB25" s="44">
        <f>'Scope 3 Yearly'!AB11</f>
        <v>67.087207793218667</v>
      </c>
      <c r="AC25" s="44">
        <f>'Scope 3 Yearly'!AC11</f>
        <v>65.810027438219777</v>
      </c>
      <c r="AD25" s="44">
        <f>'Scope 3 Yearly'!AD11</f>
        <v>64.423122026455687</v>
      </c>
      <c r="AE25" s="44">
        <f>'Scope 3 Yearly'!AE11</f>
        <v>62.959554573775463</v>
      </c>
      <c r="AF25" s="44">
        <f>'Scope 3 Yearly'!AF11</f>
        <v>61.413907150650012</v>
      </c>
      <c r="AG25" s="44">
        <f>'Scope 3 Yearly'!AG11</f>
        <v>59.786697623114691</v>
      </c>
      <c r="AH25" s="44">
        <f>'Scope 3 Yearly'!AH11</f>
        <v>58.122794475235558</v>
      </c>
      <c r="AI25" s="44"/>
      <c r="AJ25" s="44">
        <f>'Scope 3 Yearly'!AJ11</f>
        <v>47.054736907514837</v>
      </c>
      <c r="AK25" s="44">
        <f>'Scope 3 Yearly'!AK11</f>
        <v>49.842376586048573</v>
      </c>
      <c r="AL25" s="44">
        <f>'Scope 3 Yearly'!AL11</f>
        <v>52.506852038850219</v>
      </c>
      <c r="AM25" s="44">
        <f>'Scope 3 Yearly'!AM11</f>
        <v>55.122349658468998</v>
      </c>
      <c r="AN25" s="44">
        <f>'Scope 3 Yearly'!AN11</f>
        <v>57.661586171640522</v>
      </c>
      <c r="AO25" s="44">
        <f>'Scope 3 Yearly'!AO11</f>
        <v>60.105670746235418</v>
      </c>
      <c r="AP25" s="44">
        <f>'Scope 3 Yearly'!AP11</f>
        <v>62.434780549885247</v>
      </c>
      <c r="AQ25" s="44">
        <f>'Scope 3 Yearly'!AQ11</f>
        <v>64.77048494523639</v>
      </c>
      <c r="AR25" s="44">
        <f>'Scope 3 Yearly'!AR11</f>
        <v>67.109076232182801</v>
      </c>
      <c r="AS25" s="44">
        <f>'Scope 3 Yearly'!AS11</f>
        <v>69.446198845975971</v>
      </c>
      <c r="AT25" s="44">
        <f>'Scope 3 Yearly'!AT11</f>
        <v>71.777115516241579</v>
      </c>
      <c r="AU25" s="44">
        <f>'Scope 3 Yearly'!AU11</f>
        <v>73.313501021547822</v>
      </c>
      <c r="AV25" s="44">
        <f>'Scope 3 Yearly'!AV11</f>
        <v>74.752262785584819</v>
      </c>
      <c r="AW25" s="44">
        <f>'Scope 3 Yearly'!AW11</f>
        <v>75.921400956505465</v>
      </c>
      <c r="AX25" s="44">
        <f>'Scope 3 Yearly'!AX11</f>
        <v>76.895725208730369</v>
      </c>
      <c r="AY25" s="44">
        <f>'Scope 3 Yearly'!AY11</f>
        <v>77.66758058164929</v>
      </c>
      <c r="AZ25" s="44">
        <f>'Scope 3 Yearly'!AZ11</f>
        <v>78.402727369580418</v>
      </c>
      <c r="BA25" s="44">
        <f>'Scope 3 Yearly'!BA11</f>
        <v>79.080086825054991</v>
      </c>
      <c r="BB25" s="44">
        <f>'Scope 3 Yearly'!BB11</f>
        <v>79.70827316609703</v>
      </c>
      <c r="BC25" s="44">
        <f>'Scope 3 Yearly'!BC11</f>
        <v>80.296164720931543</v>
      </c>
      <c r="BD25" s="44">
        <f>'Scope 3 Yearly'!BD11</f>
        <v>80.893050591249832</v>
      </c>
      <c r="BE25" s="44">
        <f>'Scope 3 Yearly'!BE11</f>
        <v>80.50618657334131</v>
      </c>
      <c r="BF25" s="44">
        <f>'Scope 3 Yearly'!BF11</f>
        <v>80.414376532499915</v>
      </c>
      <c r="BG25" s="44">
        <f>'Scope 3 Yearly'!BG11</f>
        <v>80.281437211020531</v>
      </c>
      <c r="BH25" s="44">
        <f>'Scope 3 Yearly'!BH11</f>
        <v>80.110090069774529</v>
      </c>
      <c r="BI25" s="44">
        <f>'Scope 3 Yearly'!BI11</f>
        <v>79.911589221500023</v>
      </c>
      <c r="BJ25" s="44">
        <f>'Scope 3 Yearly'!BJ11</f>
        <v>79.671866682373931</v>
      </c>
      <c r="BK25" s="44">
        <f>'Scope 3 Yearly'!BK11</f>
        <v>79.399787127709587</v>
      </c>
      <c r="BL25" s="44">
        <f>'Scope 3 Yearly'!BL11</f>
        <v>79.091702668614559</v>
      </c>
      <c r="BM25" s="44">
        <f>'Scope 3 Yearly'!BM11</f>
        <v>78.743712299454444</v>
      </c>
      <c r="BN25" s="44">
        <f>'Scope 3 Yearly'!BN11</f>
        <v>78.503123143693955</v>
      </c>
      <c r="BO25" s="44"/>
      <c r="BP25" s="44">
        <f>'Scope 3 Yearly'!BP11</f>
        <v>47.05474959821683</v>
      </c>
      <c r="BQ25" s="44">
        <f>'Scope 3 Yearly'!BQ11</f>
        <v>49.342906184171767</v>
      </c>
      <c r="BR25" s="44">
        <f>'Scope 3 Yearly'!BR11</f>
        <v>51.583686036998493</v>
      </c>
      <c r="BS25" s="44">
        <f>'Scope 3 Yearly'!BS11</f>
        <v>53.761869621828474</v>
      </c>
      <c r="BT25" s="44">
        <f>'Scope 3 Yearly'!BT11</f>
        <v>55.862127103961114</v>
      </c>
      <c r="BU25" s="44">
        <f>'Scope 3 Yearly'!BU11</f>
        <v>57.869182947246216</v>
      </c>
      <c r="BV25" s="44">
        <f>'Scope 3 Yearly'!BV11</f>
        <v>59.909386033918459</v>
      </c>
      <c r="BW25" s="44">
        <f>'Scope 3 Yearly'!BW11</f>
        <v>61.981436444846686</v>
      </c>
      <c r="BX25" s="44">
        <f>'Scope 3 Yearly'!BX11</f>
        <v>64.083936633786934</v>
      </c>
      <c r="BY25" s="44">
        <f>'Scope 3 Yearly'!BY11</f>
        <v>66.215391211862396</v>
      </c>
      <c r="BZ25" s="44">
        <f>'Scope 3 Yearly'!BZ11</f>
        <v>68.374206978355019</v>
      </c>
      <c r="CA25" s="44">
        <f>'Scope 3 Yearly'!CA11</f>
        <v>70.44822850497917</v>
      </c>
      <c r="CB25" s="44">
        <f>'Scope 3 Yearly'!CB11</f>
        <v>72.425609108100787</v>
      </c>
      <c r="CC25" s="44">
        <f>'Scope 3 Yearly'!CC11</f>
        <v>74.294709967066154</v>
      </c>
      <c r="CD25" s="44">
        <f>'Scope 3 Yearly'!CD11</f>
        <v>76.04420052080475</v>
      </c>
      <c r="CE25" s="44">
        <f>'Scope 3 Yearly'!CE11</f>
        <v>77.663158671065091</v>
      </c>
      <c r="CF25" s="44">
        <f>'Scope 3 Yearly'!CF11</f>
        <v>79.297500435860499</v>
      </c>
      <c r="CG25" s="44">
        <f>'Scope 3 Yearly'!CG11</f>
        <v>80.946931057264152</v>
      </c>
      <c r="CH25" s="44">
        <f>'Scope 3 Yearly'!CH11</f>
        <v>82.611142437644531</v>
      </c>
      <c r="CI25" s="44">
        <f>'Scope 3 Yearly'!CI11</f>
        <v>84.289813034931029</v>
      </c>
      <c r="CJ25" s="44">
        <f>'Scope 3 Yearly'!CJ11</f>
        <v>85.982607763562072</v>
      </c>
      <c r="CK25" s="44">
        <f>'Scope 3 Yearly'!CK11</f>
        <v>87.690239913004589</v>
      </c>
      <c r="CL25" s="44">
        <f>'Scope 3 Yearly'!CL11</f>
        <v>89.412413345202737</v>
      </c>
      <c r="CM25" s="44">
        <f>'Scope 3 Yearly'!CM11</f>
        <v>91.148819508907764</v>
      </c>
      <c r="CN25" s="44">
        <f>'Scope 3 Yearly'!CN11</f>
        <v>92.899137341262588</v>
      </c>
      <c r="CO25" s="44">
        <f>'Scope 3 Yearly'!CO11</f>
        <v>94.663033173772448</v>
      </c>
      <c r="CP25" s="44">
        <f>'Scope 3 Yearly'!CP11</f>
        <v>96.441166638219059</v>
      </c>
      <c r="CQ25" s="44">
        <f>'Scope 3 Yearly'!CQ11</f>
        <v>98.233238245623539</v>
      </c>
      <c r="CR25" s="44">
        <f>'Scope 3 Yearly'!CR11</f>
        <v>100.03893683404544</v>
      </c>
      <c r="CS25" s="44">
        <f>'Scope 3 Yearly'!CS11</f>
        <v>101.85793947395628</v>
      </c>
      <c r="CT25" s="44">
        <f>'Scope 3 Yearly'!CT11</f>
        <v>103.68991137696932</v>
      </c>
      <c r="CU25" s="44"/>
      <c r="CV25" s="44">
        <f>'Scope 3 Yearly'!CV11</f>
        <v>47.054736907514837</v>
      </c>
      <c r="CW25" s="44">
        <f>'Scope 3 Yearly'!CW11</f>
        <v>50.096422026102246</v>
      </c>
      <c r="CX25" s="44">
        <f>'Scope 3 Yearly'!CX11</f>
        <v>53.069612898430293</v>
      </c>
      <c r="CY25" s="44">
        <f>'Scope 3 Yearly'!CY11</f>
        <v>56.017355452980929</v>
      </c>
      <c r="CZ25" s="44">
        <f>'Scope 3 Yearly'!CZ11</f>
        <v>58.922371227769446</v>
      </c>
      <c r="DA25" s="44">
        <f>'Scope 3 Yearly'!DA11</f>
        <v>61.764941288574001</v>
      </c>
      <c r="DB25" s="44">
        <f>'Scope 3 Yearly'!DB11</f>
        <v>64.684256683989915</v>
      </c>
      <c r="DC25" s="44">
        <f>'Scope 3 Yearly'!DC11</f>
        <v>67.663014349134528</v>
      </c>
      <c r="DD25" s="44">
        <f>'Scope 3 Yearly'!DD11</f>
        <v>70.699309745549201</v>
      </c>
      <c r="DE25" s="44">
        <f>'Scope 3 Yearly'!DE11</f>
        <v>73.790540366387717</v>
      </c>
      <c r="DF25" s="44">
        <f>'Scope 3 Yearly'!DF11</f>
        <v>76.933664768894729</v>
      </c>
      <c r="DG25" s="44">
        <f>'Scope 3 Yearly'!DG11</f>
        <v>79.681400982077804</v>
      </c>
      <c r="DH25" s="44">
        <f>'Scope 3 Yearly'!DH11</f>
        <v>82.309763696134638</v>
      </c>
      <c r="DI25" s="44">
        <f>'Scope 3 Yearly'!DI11</f>
        <v>84.859908810787587</v>
      </c>
      <c r="DJ25" s="44">
        <f>'Scope 3 Yearly'!DJ11</f>
        <v>87.285667521150771</v>
      </c>
      <c r="DK25" s="44">
        <f>'Scope 3 Yearly'!DK11</f>
        <v>89.573651781292043</v>
      </c>
      <c r="DL25" s="44">
        <f>'Scope 3 Yearly'!DL11</f>
        <v>91.868384160748775</v>
      </c>
      <c r="DM25" s="44">
        <f>'Scope 3 Yearly'!DM11</f>
        <v>94.186864739008627</v>
      </c>
      <c r="DN25" s="44">
        <f>'Scope 3 Yearly'!DN11</f>
        <v>96.539288040120795</v>
      </c>
      <c r="DO25" s="44">
        <f>'Scope 3 Yearly'!DO11</f>
        <v>98.936097847886657</v>
      </c>
      <c r="DP25" s="44">
        <f>'Scope 3 Yearly'!DP11</f>
        <v>101.42813245084517</v>
      </c>
      <c r="DQ25" s="44">
        <f>'Scope 3 Yearly'!DQ11</f>
        <v>103.50612682995809</v>
      </c>
      <c r="DR25" s="44">
        <f>'Scope 3 Yearly'!DR11</f>
        <v>105.5161519174152</v>
      </c>
      <c r="DS25" s="44">
        <f>'Scope 3 Yearly'!DS11</f>
        <v>107.60055895948325</v>
      </c>
      <c r="DT25" s="44">
        <f>'Scope 3 Yearly'!DT11</f>
        <v>109.74194496959346</v>
      </c>
      <c r="DU25" s="44">
        <f>'Scope 3 Yearly'!DU11</f>
        <v>111.95315961257782</v>
      </c>
      <c r="DV25" s="44">
        <f>'Scope 3 Yearly'!DV11</f>
        <v>114.25217678386981</v>
      </c>
      <c r="DW25" s="44">
        <f>'Scope 3 Yearly'!DW11</f>
        <v>116.62101797105764</v>
      </c>
      <c r="DX25" s="44">
        <f>'Scope 3 Yearly'!DX11</f>
        <v>119.05768267479007</v>
      </c>
      <c r="DY25" s="44">
        <f>'Scope 3 Yearly'!DY11</f>
        <v>121.55990058470519</v>
      </c>
      <c r="DZ25" s="44">
        <f>'Scope 3 Yearly'!DZ11</f>
        <v>124.27659157941031</v>
      </c>
      <c r="EB25" t="s">
        <v>227</v>
      </c>
      <c r="EE25" s="43">
        <f>'Yearly BTX'!AH113+'Yearly Butadiene'!AH71+'Yearly Methanol'!AH114+'Yearly HC Ethylene'!AH146+'Yearly HC Propylene'!AH66</f>
        <v>30.737111967445411</v>
      </c>
      <c r="EI25" s="26"/>
      <c r="EQ25">
        <v>0.88620976668147122</v>
      </c>
      <c r="ER25">
        <v>0.52265766930545854</v>
      </c>
      <c r="ES25">
        <v>0.4279108249972346</v>
      </c>
      <c r="ET25">
        <v>0.77100626383869963</v>
      </c>
      <c r="EU25">
        <v>0.54405828549730195</v>
      </c>
    </row>
    <row r="26" spans="1:151" x14ac:dyDescent="0.2">
      <c r="A26" s="1"/>
      <c r="B26" t="s">
        <v>33</v>
      </c>
      <c r="C26" s="54" t="s">
        <v>69</v>
      </c>
      <c r="D26" s="44">
        <f>'Scope 3 Yearly'!D12</f>
        <v>108.81405533322629</v>
      </c>
      <c r="E26" s="44">
        <f>'Scope 3 Yearly'!E12</f>
        <v>111.89714257549598</v>
      </c>
      <c r="F26" s="44">
        <f>'Scope 3 Yearly'!F12</f>
        <v>114.54213589602391</v>
      </c>
      <c r="G26" s="44">
        <f>'Scope 3 Yearly'!G12</f>
        <v>116.95768686415815</v>
      </c>
      <c r="H26" s="44">
        <f>'Scope 3 Yearly'!H12</f>
        <v>119.10120256675617</v>
      </c>
      <c r="I26" s="44">
        <f>'Scope 3 Yearly'!I12</f>
        <v>120.95572955929164</v>
      </c>
      <c r="J26" s="44">
        <f>'Scope 3 Yearly'!J12</f>
        <v>122.19319260108247</v>
      </c>
      <c r="K26" s="44">
        <f>'Scope 3 Yearly'!K12</f>
        <v>123.36156026795753</v>
      </c>
      <c r="L26" s="44">
        <f>'Scope 3 Yearly'!L12</f>
        <v>124.45619461346884</v>
      </c>
      <c r="M26" s="44">
        <f>'Scope 3 Yearly'!M12</f>
        <v>125.47086893123908</v>
      </c>
      <c r="N26" s="44">
        <f>'Scope 3 Yearly'!N12</f>
        <v>126.39783757961253</v>
      </c>
      <c r="O26" s="44">
        <f>'Scope 3 Yearly'!O12</f>
        <v>125.63498810045066</v>
      </c>
      <c r="P26" s="44">
        <f>'Scope 3 Yearly'!P12</f>
        <v>124.70774502464583</v>
      </c>
      <c r="Q26" s="44">
        <f>'Scope 3 Yearly'!Q12</f>
        <v>123.25737683365089</v>
      </c>
      <c r="R26" s="44">
        <f>'Scope 3 Yearly'!R12</f>
        <v>121.48404866831791</v>
      </c>
      <c r="S26" s="44">
        <f>'Scope 3 Yearly'!S12</f>
        <v>119.39701708896602</v>
      </c>
      <c r="T26" s="44">
        <f>'Scope 3 Yearly'!T12</f>
        <v>117.33189356591124</v>
      </c>
      <c r="U26" s="44">
        <f>'Scope 3 Yearly'!U12</f>
        <v>115.18276107607433</v>
      </c>
      <c r="V26" s="44">
        <f>'Scope 3 Yearly'!V12</f>
        <v>112.98721424048495</v>
      </c>
      <c r="W26" s="44">
        <f>'Scope 3 Yearly'!W12</f>
        <v>110.76893152840447</v>
      </c>
      <c r="X26" s="44">
        <f>'Scope 3 Yearly'!X12</f>
        <v>108.60515259937536</v>
      </c>
      <c r="Y26" s="44">
        <f>'Scope 3 Yearly'!Y12</f>
        <v>104.89670344015082</v>
      </c>
      <c r="Z26" s="44">
        <f>'Scope 3 Yearly'!Z12</f>
        <v>101.79290213075645</v>
      </c>
      <c r="AA26" s="44">
        <f>'Scope 3 Yearly'!AA12</f>
        <v>98.653859118600224</v>
      </c>
      <c r="AB26" s="44">
        <f>'Scope 3 Yearly'!AB12</f>
        <v>95.506094427845895</v>
      </c>
      <c r="AC26" s="44">
        <f>'Scope 3 Yearly'!AC12</f>
        <v>92.358390779774226</v>
      </c>
      <c r="AD26" s="44">
        <f>'Scope 3 Yearly'!AD12</f>
        <v>89.156999233041219</v>
      </c>
      <c r="AE26" s="44">
        <f>'Scope 3 Yearly'!AE12</f>
        <v>85.948076145120964</v>
      </c>
      <c r="AF26" s="44">
        <f>'Scope 3 Yearly'!AF12</f>
        <v>82.723474071457304</v>
      </c>
      <c r="AG26" s="44">
        <f>'Scope 3 Yearly'!AG12</f>
        <v>79.483374488356787</v>
      </c>
      <c r="AH26" s="44">
        <f>'Scope 3 Yearly'!AH12</f>
        <v>76.286167748746664</v>
      </c>
      <c r="AI26" s="44"/>
      <c r="AJ26" s="44">
        <f>'Scope 3 Yearly'!AJ12</f>
        <v>108.81407909862806</v>
      </c>
      <c r="AK26" s="44">
        <f>'Scope 3 Yearly'!AK12</f>
        <v>112.04485865613742</v>
      </c>
      <c r="AL26" s="44">
        <f>'Scope 3 Yearly'!AL12</f>
        <v>114.85873883498485</v>
      </c>
      <c r="AM26" s="44">
        <f>'Scope 3 Yearly'!AM12</f>
        <v>117.44818819276064</v>
      </c>
      <c r="AN26" s="44">
        <f>'Scope 3 Yearly'!AN12</f>
        <v>119.77498598153269</v>
      </c>
      <c r="AO26" s="44">
        <f>'Scope 3 Yearly'!AO12</f>
        <v>121.82131481603069</v>
      </c>
      <c r="AP26" s="44">
        <f>'Scope 3 Yearly'!AP12</f>
        <v>123.56883650498119</v>
      </c>
      <c r="AQ26" s="44">
        <f>'Scope 3 Yearly'!AQ12</f>
        <v>125.27399537549941</v>
      </c>
      <c r="AR26" s="44">
        <f>'Scope 3 Yearly'!AR12</f>
        <v>126.93328563652994</v>
      </c>
      <c r="AS26" s="44">
        <f>'Scope 3 Yearly'!AS12</f>
        <v>128.54224305625357</v>
      </c>
      <c r="AT26" s="44">
        <f>'Scope 3 Yearly'!AT12</f>
        <v>130.09602187318785</v>
      </c>
      <c r="AU26" s="44">
        <f>'Scope 3 Yearly'!AU12</f>
        <v>130.19851934466948</v>
      </c>
      <c r="AV26" s="44">
        <f>'Scope 3 Yearly'!AV12</f>
        <v>130.14902895704495</v>
      </c>
      <c r="AW26" s="44">
        <f>'Scope 3 Yearly'!AW12</f>
        <v>129.66227634286903</v>
      </c>
      <c r="AX26" s="44">
        <f>'Scope 3 Yearly'!AX12</f>
        <v>128.88772123054233</v>
      </c>
      <c r="AY26" s="44">
        <f>'Scope 3 Yearly'!AY12</f>
        <v>127.82789304063108</v>
      </c>
      <c r="AZ26" s="44">
        <f>'Scope 3 Yearly'!AZ12</f>
        <v>126.76527930679437</v>
      </c>
      <c r="BA26" s="44">
        <f>'Scope 3 Yearly'!BA12</f>
        <v>125.66582946268707</v>
      </c>
      <c r="BB26" s="44">
        <f>'Scope 3 Yearly'!BB12</f>
        <v>124.54417682202654</v>
      </c>
      <c r="BC26" s="44">
        <f>'Scope 3 Yearly'!BC12</f>
        <v>123.41438582745208</v>
      </c>
      <c r="BD26" s="44">
        <f>'Scope 3 Yearly'!BD12</f>
        <v>122.35073901926526</v>
      </c>
      <c r="BE26" s="44">
        <f>'Scope 3 Yearly'!BE12</f>
        <v>119.87134397868823</v>
      </c>
      <c r="BF26" s="44">
        <f>'Scope 3 Yearly'!BF12</f>
        <v>117.91531174236754</v>
      </c>
      <c r="BG26" s="44">
        <f>'Scope 3 Yearly'!BG12</f>
        <v>115.9725950277123</v>
      </c>
      <c r="BH26" s="44">
        <f>'Scope 3 Yearly'!BH12</f>
        <v>114.04561433544275</v>
      </c>
      <c r="BI26" s="44">
        <f>'Scope 3 Yearly'!BI12</f>
        <v>112.14865078244588</v>
      </c>
      <c r="BJ26" s="44">
        <f>'Scope 3 Yearly'!BJ12</f>
        <v>110.26017264078519</v>
      </c>
      <c r="BK26" s="44">
        <f>'Scope 3 Yearly'!BK12</f>
        <v>108.39115676973493</v>
      </c>
      <c r="BL26" s="44">
        <f>'Scope 3 Yearly'!BL12</f>
        <v>106.53515984457762</v>
      </c>
      <c r="BM26" s="44">
        <f>'Scope 3 Yearly'!BM12</f>
        <v>104.68576158454994</v>
      </c>
      <c r="BN26" s="44">
        <f>'Scope 3 Yearly'!BN12</f>
        <v>103.03534912609831</v>
      </c>
      <c r="BO26" s="44"/>
      <c r="BP26" s="44">
        <f>'Scope 3 Yearly'!BP12</f>
        <v>108.81410844587641</v>
      </c>
      <c r="BQ26" s="44">
        <f>'Scope 3 Yearly'!BQ12</f>
        <v>110.42784084532559</v>
      </c>
      <c r="BR26" s="44">
        <f>'Scope 3 Yearly'!BR12</f>
        <v>111.6948132669533</v>
      </c>
      <c r="BS26" s="44">
        <f>'Scope 3 Yearly'!BS12</f>
        <v>112.60232740889589</v>
      </c>
      <c r="BT26" s="44">
        <f>'Scope 3 Yearly'!BT12</f>
        <v>113.14072652751558</v>
      </c>
      <c r="BU26" s="44">
        <f>'Scope 3 Yearly'!BU12</f>
        <v>113.30355682724046</v>
      </c>
      <c r="BV26" s="44">
        <f>'Scope 3 Yearly'!BV12</f>
        <v>113.35523041916598</v>
      </c>
      <c r="BW26" s="44">
        <f>'Scope 3 Yearly'!BW12</f>
        <v>113.29316057849613</v>
      </c>
      <c r="BX26" s="44">
        <f>'Scope 3 Yearly'!BX12</f>
        <v>113.11492440571011</v>
      </c>
      <c r="BY26" s="44">
        <f>'Scope 3 Yearly'!BY12</f>
        <v>112.81827293264138</v>
      </c>
      <c r="BZ26" s="44">
        <f>'Scope 3 Yearly'!BZ12</f>
        <v>112.40114099209298</v>
      </c>
      <c r="CA26" s="44">
        <f>'Scope 3 Yearly'!CA12</f>
        <v>111.68652935731025</v>
      </c>
      <c r="CB26" s="44">
        <f>'Scope 3 Yearly'!CB12</f>
        <v>110.67636370198967</v>
      </c>
      <c r="CC26" s="44">
        <f>'Scope 3 Yearly'!CC12</f>
        <v>109.37464169785906</v>
      </c>
      <c r="CD26" s="44">
        <f>'Scope 3 Yearly'!CD12</f>
        <v>107.78742183912253</v>
      </c>
      <c r="CE26" s="44">
        <f>'Scope 3 Yearly'!CE12</f>
        <v>105.92278970582458</v>
      </c>
      <c r="CF26" s="44">
        <f>'Scope 3 Yearly'!CF12</f>
        <v>103.99582412133935</v>
      </c>
      <c r="CG26" s="44">
        <f>'Scope 3 Yearly'!CG12</f>
        <v>102.00640765449931</v>
      </c>
      <c r="CH26" s="44">
        <f>'Scope 3 Yearly'!CH12</f>
        <v>99.95445530234295</v>
      </c>
      <c r="CI26" s="44">
        <f>'Scope 3 Yearly'!CI12</f>
        <v>97.839915130375999</v>
      </c>
      <c r="CJ26" s="44">
        <f>'Scope 3 Yearly'!CJ12</f>
        <v>95.662768902506386</v>
      </c>
      <c r="CK26" s="44">
        <f>'Scope 3 Yearly'!CK12</f>
        <v>93.424164155103938</v>
      </c>
      <c r="CL26" s="44">
        <f>'Scope 3 Yearly'!CL12</f>
        <v>91.124072134095556</v>
      </c>
      <c r="CM26" s="44">
        <f>'Scope 3 Yearly'!CM12</f>
        <v>88.762494809269072</v>
      </c>
      <c r="CN26" s="44">
        <f>'Scope 3 Yearly'!CN12</f>
        <v>86.339465429761461</v>
      </c>
      <c r="CO26" s="44">
        <f>'Scope 3 Yearly'!CO12</f>
        <v>83.855049071255351</v>
      </c>
      <c r="CP26" s="44">
        <f>'Scope 3 Yearly'!CP12</f>
        <v>81.310191335965968</v>
      </c>
      <c r="CQ26" s="44">
        <f>'Scope 3 Yearly'!CQ12</f>
        <v>78.704943895590191</v>
      </c>
      <c r="CR26" s="44">
        <f>'Scope 3 Yearly'!CR12</f>
        <v>76.039387728203693</v>
      </c>
      <c r="CS26" s="44">
        <f>'Scope 3 Yearly'!CS12</f>
        <v>73.313633610460741</v>
      </c>
      <c r="CT26" s="44">
        <f>'Scope 3 Yearly'!CT12</f>
        <v>70.52782260325391</v>
      </c>
      <c r="CU26" s="44"/>
      <c r="CV26" s="44">
        <f>'Scope 3 Yearly'!CV12</f>
        <v>108.81407909862806</v>
      </c>
      <c r="CW26" s="44">
        <f>'Scope 3 Yearly'!CW12</f>
        <v>112.61594870787097</v>
      </c>
      <c r="CX26" s="44">
        <f>'Scope 3 Yearly'!CX12</f>
        <v>116.08977821531626</v>
      </c>
      <c r="CY26" s="44">
        <f>'Scope 3 Yearly'!CY12</f>
        <v>119.35516076629459</v>
      </c>
      <c r="CZ26" s="44">
        <f>'Scope 3 Yearly'!CZ12</f>
        <v>122.39389611650637</v>
      </c>
      <c r="DA26" s="44">
        <f>'Scope 3 Yearly'!DA12</f>
        <v>125.18430064737764</v>
      </c>
      <c r="DB26" s="44">
        <f>'Scope 3 Yearly'!DB12</f>
        <v>128.02092468706334</v>
      </c>
      <c r="DC26" s="44">
        <f>'Scope 3 Yearly'!DC12</f>
        <v>130.86849903675508</v>
      </c>
      <c r="DD26" s="44">
        <f>'Scope 3 Yearly'!DD12</f>
        <v>133.7240233674039</v>
      </c>
      <c r="DE26" s="44">
        <f>'Scope 3 Yearly'!DE12</f>
        <v>136.58345212047723</v>
      </c>
      <c r="DF26" s="44">
        <f>'Scope 3 Yearly'!DF12</f>
        <v>139.44226739362165</v>
      </c>
      <c r="DG26" s="44">
        <f>'Scope 3 Yearly'!DG12</f>
        <v>141.5073660733546</v>
      </c>
      <c r="DH26" s="44">
        <f>'Scope 3 Yearly'!DH12</f>
        <v>143.3071778638058</v>
      </c>
      <c r="DI26" s="44">
        <f>'Scope 3 Yearly'!DI12</f>
        <v>144.92789658819095</v>
      </c>
      <c r="DJ26" s="44">
        <f>'Scope 3 Yearly'!DJ12</f>
        <v>146.30268135647424</v>
      </c>
      <c r="DK26" s="44">
        <f>'Scope 3 Yearly'!DK12</f>
        <v>147.42330189004309</v>
      </c>
      <c r="DL26" s="44">
        <f>'Scope 3 Yearly'!DL12</f>
        <v>148.53719721642798</v>
      </c>
      <c r="DM26" s="44">
        <f>'Scope 3 Yearly'!DM12</f>
        <v>149.67194596158944</v>
      </c>
      <c r="DN26" s="44">
        <f>'Scope 3 Yearly'!DN12</f>
        <v>150.84263756268865</v>
      </c>
      <c r="DO26" s="44">
        <f>'Scope 3 Yearly'!DO12</f>
        <v>152.06377284018282</v>
      </c>
      <c r="DP26" s="44">
        <f>'Scope 3 Yearly'!DP12</f>
        <v>153.41005033190319</v>
      </c>
      <c r="DQ26" s="44">
        <f>'Scope 3 Yearly'!DQ12</f>
        <v>154.1175785519595</v>
      </c>
      <c r="DR26" s="44">
        <f>'Scope 3 Yearly'!DR12</f>
        <v>154.72320353274807</v>
      </c>
      <c r="DS26" s="44">
        <f>'Scope 3 Yearly'!DS12</f>
        <v>155.43712821387598</v>
      </c>
      <c r="DT26" s="44">
        <f>'Scope 3 Yearly'!DT12</f>
        <v>156.22985221365715</v>
      </c>
      <c r="DU26" s="44">
        <f>'Scope 3 Yearly'!DU12</f>
        <v>157.11608195628796</v>
      </c>
      <c r="DV26" s="44">
        <f>'Scope 3 Yearly'!DV12</f>
        <v>158.11685179910529</v>
      </c>
      <c r="DW26" s="44">
        <f>'Scope 3 Yearly'!DW12</f>
        <v>159.20303440127907</v>
      </c>
      <c r="DX26" s="44">
        <f>'Scope 3 Yearly'!DX12</f>
        <v>160.36864584427514</v>
      </c>
      <c r="DY26" s="44">
        <f>'Scope 3 Yearly'!DY12</f>
        <v>161.60770681547112</v>
      </c>
      <c r="DZ26" s="44">
        <f>'Scope 3 Yearly'!DZ12</f>
        <v>163.11302644797601</v>
      </c>
      <c r="EI26" s="26"/>
    </row>
    <row r="27" spans="1:151" x14ac:dyDescent="0.2">
      <c r="A27" s="1"/>
      <c r="B27" t="str">
        <f>'Scope 3 Yearly'!A13</f>
        <v>Dumpsite</v>
      </c>
      <c r="C27" s="54" t="s">
        <v>69</v>
      </c>
      <c r="D27" s="44">
        <f>'Scope 3 Yearly'!D13</f>
        <v>23.527363315292174</v>
      </c>
      <c r="E27" s="44">
        <f>'Scope 3 Yearly'!E13</f>
        <v>23.382990331919785</v>
      </c>
      <c r="F27" s="44">
        <f>'Scope 3 Yearly'!F13</f>
        <v>23.112966707590537</v>
      </c>
      <c r="G27" s="44">
        <f>'Scope 3 Yearly'!G13</f>
        <v>22.767763042889452</v>
      </c>
      <c r="H27" s="44">
        <f>'Scope 3 Yearly'!H13</f>
        <v>22.344650393055137</v>
      </c>
      <c r="I27" s="44">
        <f>'Scope 3 Yearly'!I13</f>
        <v>21.846629567977782</v>
      </c>
      <c r="J27" s="44">
        <f>'Scope 3 Yearly'!J13</f>
        <v>21.223028188609053</v>
      </c>
      <c r="K27" s="44">
        <f>'Scope 3 Yearly'!K13</f>
        <v>20.578216603650549</v>
      </c>
      <c r="L27" s="44">
        <f>'Scope 3 Yearly'!L13</f>
        <v>19.912991138155007</v>
      </c>
      <c r="M27" s="44">
        <f>'Scope 3 Yearly'!M13</f>
        <v>19.228003290761308</v>
      </c>
      <c r="N27" s="44">
        <f>'Scope 3 Yearly'!N13</f>
        <v>18.523821024598384</v>
      </c>
      <c r="O27" s="44">
        <f>'Scope 3 Yearly'!O13</f>
        <v>17.578114214912834</v>
      </c>
      <c r="P27" s="44">
        <f>'Scope 3 Yearly'!P13</f>
        <v>16.62769933661944</v>
      </c>
      <c r="Q27" s="44">
        <f>'Scope 3 Yearly'!Q13</f>
        <v>15.630084381458705</v>
      </c>
      <c r="R27" s="44">
        <f>'Scope 3 Yearly'!R13</f>
        <v>14.619266873645033</v>
      </c>
      <c r="S27" s="44">
        <f>'Scope 3 Yearly'!S13</f>
        <v>13.602191820261949</v>
      </c>
      <c r="T27" s="44">
        <f>'Scope 3 Yearly'!T13</f>
        <v>12.620573425577005</v>
      </c>
      <c r="U27" s="44">
        <f>'Scope 3 Yearly'!U13</f>
        <v>11.662856979251037</v>
      </c>
      <c r="V27" s="44">
        <f>'Scope 3 Yearly'!V13</f>
        <v>10.733785352846066</v>
      </c>
      <c r="W27" s="44">
        <f>'Scope 3 Yearly'!W13</f>
        <v>9.8359134220242925</v>
      </c>
      <c r="X27" s="44">
        <f>'Scope 3 Yearly'!X13</f>
        <v>8.9756324462293637</v>
      </c>
      <c r="Y27" s="44">
        <f>'Scope 3 Yearly'!Y13</f>
        <v>8.0291303867769717</v>
      </c>
      <c r="Z27" s="44">
        <f>'Scope 3 Yearly'!Z13</f>
        <v>7.175565232168073</v>
      </c>
      <c r="AA27" s="44">
        <f>'Scope 3 Yearly'!AA13</f>
        <v>6.3621672411178878</v>
      </c>
      <c r="AB27" s="44">
        <f>'Scope 3 Yearly'!AB13</f>
        <v>5.5906006494348777</v>
      </c>
      <c r="AC27" s="44">
        <f>'Scope 3 Yearly'!AC13</f>
        <v>4.8609679357775866</v>
      </c>
      <c r="AD27" s="44">
        <f>'Scope 3 Yearly'!AD13</f>
        <v>4.1702467383196655</v>
      </c>
      <c r="AE27" s="44">
        <f>'Scope 3 Yearly'!AE13</f>
        <v>3.5207645649808543</v>
      </c>
      <c r="AF27" s="44">
        <f>'Scope 3 Yearly'!AF13</f>
        <v>2.9118662873152923</v>
      </c>
      <c r="AG27" s="44">
        <f>'Scope 3 Yearly'!AG13</f>
        <v>2.343334546668681</v>
      </c>
      <c r="AH27" s="44">
        <f>'Scope 3 Yearly'!AH13</f>
        <v>1.8163373273511112</v>
      </c>
      <c r="AI27" s="44"/>
      <c r="AJ27" s="44">
        <f>'Scope 3 Yearly'!AJ13</f>
        <v>23.527368453757418</v>
      </c>
      <c r="AK27" s="44">
        <f>'Scope 3 Yearly'!AK13</f>
        <v>23.413858355946203</v>
      </c>
      <c r="AL27" s="44">
        <f>'Scope 3 Yearly'!AL13</f>
        <v>23.176852657773725</v>
      </c>
      <c r="AM27" s="44">
        <f>'Scope 3 Yearly'!AM13</f>
        <v>22.863247301524069</v>
      </c>
      <c r="AN27" s="44">
        <f>'Scope 3 Yearly'!AN13</f>
        <v>22.471059316889313</v>
      </c>
      <c r="AO27" s="44">
        <f>'Scope 3 Yearly'!AO13</f>
        <v>22.002968755318314</v>
      </c>
      <c r="AP27" s="44">
        <f>'Scope 3 Yearly'!AP13</f>
        <v>21.461955814023042</v>
      </c>
      <c r="AQ27" s="44">
        <f>'Scope 3 Yearly'!AQ13</f>
        <v>20.897234163074565</v>
      </c>
      <c r="AR27" s="44">
        <f>'Scope 3 Yearly'!AR13</f>
        <v>20.309325701844784</v>
      </c>
      <c r="AS27" s="44">
        <f>'Scope 3 Yearly'!AS13</f>
        <v>19.698681403425866</v>
      </c>
      <c r="AT27" s="44">
        <f>'Scope 3 Yearly'!AT13</f>
        <v>19.065796309001659</v>
      </c>
      <c r="AU27" s="44">
        <f>'Scope 3 Yearly'!AU13</f>
        <v>18.216616869683364</v>
      </c>
      <c r="AV27" s="44">
        <f>'Scope 3 Yearly'!AV13</f>
        <v>17.353203860939324</v>
      </c>
      <c r="AW27" s="44">
        <f>'Scope 3 Yearly'!AW13</f>
        <v>16.442280149010621</v>
      </c>
      <c r="AX27" s="44">
        <f>'Scope 3 Yearly'!AX13</f>
        <v>15.510217300624582</v>
      </c>
      <c r="AY27" s="44">
        <f>'Scope 3 Yearly'!AY13</f>
        <v>14.562671359059234</v>
      </c>
      <c r="AZ27" s="44">
        <f>'Scope 3 Yearly'!AZ13</f>
        <v>13.635256933840063</v>
      </c>
      <c r="BA27" s="44">
        <f>'Scope 3 Yearly'!BA13</f>
        <v>12.724322481159104</v>
      </c>
      <c r="BB27" s="44">
        <f>'Scope 3 Yearly'!BB13</f>
        <v>11.831696798092517</v>
      </c>
      <c r="BC27" s="44">
        <f>'Scope 3 Yearly'!BC13</f>
        <v>10.958787787167941</v>
      </c>
      <c r="BD27" s="44">
        <f>'Scope 3 Yearly'!BD13</f>
        <v>10.111631323906215</v>
      </c>
      <c r="BE27" s="44">
        <f>'Scope 3 Yearly'!BE13</f>
        <v>9.175337440344034</v>
      </c>
      <c r="BF27" s="44">
        <f>'Scope 3 Yearly'!BF13</f>
        <v>8.3120629588881982</v>
      </c>
      <c r="BG27" s="44">
        <f>'Scope 3 Yearly'!BG13</f>
        <v>7.4790489854606257</v>
      </c>
      <c r="BH27" s="44">
        <f>'Scope 3 Yearly'!BH13</f>
        <v>6.6758408391478641</v>
      </c>
      <c r="BI27" s="44">
        <f>'Scope 3 Yearly'!BI13</f>
        <v>5.9025605674971473</v>
      </c>
      <c r="BJ27" s="44">
        <f>'Scope 3 Yearly'!BJ13</f>
        <v>5.1573306557786571</v>
      </c>
      <c r="BK27" s="44">
        <f>'Scope 3 Yearly'!BK13</f>
        <v>4.4401196749047989</v>
      </c>
      <c r="BL27" s="44">
        <f>'Scope 3 Yearly'!BL13</f>
        <v>3.7500376265291262</v>
      </c>
      <c r="BM27" s="44">
        <f>'Scope 3 Yearly'!BM13</f>
        <v>3.0863531303811471</v>
      </c>
      <c r="BN27" s="44">
        <f>'Scope 3 Yearly'!BN13</f>
        <v>2.4532225982404361</v>
      </c>
      <c r="BO27" s="44"/>
      <c r="BP27" s="44">
        <f>'Scope 3 Yearly'!BP13</f>
        <v>23.527374799108415</v>
      </c>
      <c r="BQ27" s="44">
        <f>'Scope 3 Yearly'!BQ13</f>
        <v>24.387289913731955</v>
      </c>
      <c r="BR27" s="44">
        <f>'Scope 3 Yearly'!BR13</f>
        <v>25.205188587534199</v>
      </c>
      <c r="BS27" s="44">
        <f>'Scope 3 Yearly'!BS13</f>
        <v>25.975199341954436</v>
      </c>
      <c r="BT27" s="44">
        <f>'Scope 3 Yearly'!BT13</f>
        <v>26.691650272336421</v>
      </c>
      <c r="BU27" s="44">
        <f>'Scope 3 Yearly'!BU13</f>
        <v>27.349134406575278</v>
      </c>
      <c r="BV27" s="44">
        <f>'Scope 3 Yearly'!BV13</f>
        <v>28.008680477574419</v>
      </c>
      <c r="BW27" s="44">
        <f>'Scope 3 Yearly'!BW13</f>
        <v>28.669670927201739</v>
      </c>
      <c r="BX27" s="44">
        <f>'Scope 3 Yearly'!BX13</f>
        <v>29.331469486461408</v>
      </c>
      <c r="BY27" s="44">
        <f>'Scope 3 Yearly'!BY13</f>
        <v>29.993421887120221</v>
      </c>
      <c r="BZ27" s="44">
        <f>'Scope 3 Yearly'!BZ13</f>
        <v>30.65485663420716</v>
      </c>
      <c r="CA27" s="44">
        <f>'Scope 3 Yearly'!CA13</f>
        <v>31.266059823534192</v>
      </c>
      <c r="CB27" s="44">
        <f>'Scope 3 Yearly'!CB13</f>
        <v>31.823373699014006</v>
      </c>
      <c r="CC27" s="44">
        <f>'Scope 3 Yearly'!CC13</f>
        <v>32.323367393805654</v>
      </c>
      <c r="CD27" s="44">
        <f>'Scope 3 Yearly'!CD13</f>
        <v>32.762868326006597</v>
      </c>
      <c r="CE27" s="44">
        <f>'Scope 3 Yearly'!CE13</f>
        <v>33.138991788962365</v>
      </c>
      <c r="CF27" s="44">
        <f>'Scope 3 Yearly'!CF13</f>
        <v>33.515241896924493</v>
      </c>
      <c r="CG27" s="44">
        <f>'Scope 3 Yearly'!CG13</f>
        <v>33.891514865280946</v>
      </c>
      <c r="CH27" s="44">
        <f>'Scope 3 Yearly'!CH13</f>
        <v>34.267705128799847</v>
      </c>
      <c r="CI27" s="44">
        <f>'Scope 3 Yearly'!CI13</f>
        <v>34.643705357448269</v>
      </c>
      <c r="CJ27" s="44">
        <f>'Scope 3 Yearly'!CJ13</f>
        <v>35.019406473238902</v>
      </c>
      <c r="CK27" s="44">
        <f>'Scope 3 Yearly'!CK13</f>
        <v>35.395126336566797</v>
      </c>
      <c r="CL27" s="44">
        <f>'Scope 3 Yearly'!CL13</f>
        <v>35.770767571263832</v>
      </c>
      <c r="CM27" s="44">
        <f>'Scope 3 Yearly'!CM13</f>
        <v>36.146231186555347</v>
      </c>
      <c r="CN27" s="44">
        <f>'Scope 3 Yearly'!CN13</f>
        <v>36.52141658835901</v>
      </c>
      <c r="CO27" s="44">
        <f>'Scope 3 Yearly'!CO13</f>
        <v>36.896221591352308</v>
      </c>
      <c r="CP27" s="44">
        <f>'Scope 3 Yearly'!CP13</f>
        <v>37.270931211713538</v>
      </c>
      <c r="CQ27" s="44">
        <f>'Scope 3 Yearly'!CQ13</f>
        <v>37.645453210903987</v>
      </c>
      <c r="CR27" s="44">
        <f>'Scope 3 Yearly'!CR13</f>
        <v>38.019693864101789</v>
      </c>
      <c r="CS27" s="44">
        <f>'Scope 3 Yearly'!CS13</f>
        <v>38.393557967828087</v>
      </c>
      <c r="CT27" s="44">
        <f>'Scope 3 Yearly'!CT13</f>
        <v>38.766948848146193</v>
      </c>
      <c r="CU27" s="44"/>
      <c r="CV27" s="44">
        <f>'Scope 3 Yearly'!CV13</f>
        <v>23.527368453757418</v>
      </c>
      <c r="CW27" s="44">
        <f>'Scope 3 Yearly'!CW13</f>
        <v>23.533198250164965</v>
      </c>
      <c r="CX27" s="44">
        <f>'Scope 3 Yearly'!CX13</f>
        <v>23.425258818447741</v>
      </c>
      <c r="CY27" s="44">
        <f>'Scope 3 Yearly'!CY13</f>
        <v>23.234471295838677</v>
      </c>
      <c r="CZ27" s="44">
        <f>'Scope 3 Yearly'!CZ13</f>
        <v>22.962394669645441</v>
      </c>
      <c r="DA27" s="44">
        <f>'Scope 3 Yearly'!DA13</f>
        <v>22.610380293138689</v>
      </c>
      <c r="DB27" s="44">
        <f>'Scope 3 Yearly'!DB13</f>
        <v>22.235213235121524</v>
      </c>
      <c r="DC27" s="44">
        <f>'Scope 3 Yearly'!DC13</f>
        <v>21.830465778183591</v>
      </c>
      <c r="DD27" s="44">
        <f>'Scope 3 Yearly'!DD13</f>
        <v>21.395843738784617</v>
      </c>
      <c r="DE27" s="44">
        <f>'Scope 3 Yearly'!DE13</f>
        <v>20.930970584696507</v>
      </c>
      <c r="DF27" s="44">
        <f>'Scope 3 Yearly'!DF13</f>
        <v>20.435504704237651</v>
      </c>
      <c r="DG27" s="44">
        <f>'Scope 3 Yearly'!DG13</f>
        <v>19.798884695241881</v>
      </c>
      <c r="DH27" s="44">
        <f>'Scope 3 Yearly'!DH13</f>
        <v>19.1076237151741</v>
      </c>
      <c r="DI27" s="44">
        <f>'Scope 3 Yearly'!DI13</f>
        <v>18.378090716289741</v>
      </c>
      <c r="DJ27" s="44">
        <f>'Scope 3 Yearly'!DJ13</f>
        <v>17.605915892050284</v>
      </c>
      <c r="DK27" s="44">
        <f>'Scope 3 Yearly'!DK13</f>
        <v>16.795059708992245</v>
      </c>
      <c r="DL27" s="44">
        <f>'Scope 3 Yearly'!DL13</f>
        <v>15.977110288825862</v>
      </c>
      <c r="DM27" s="44">
        <f>'Scope 3 Yearly'!DM13</f>
        <v>15.155067331675578</v>
      </c>
      <c r="DN27" s="44">
        <f>'Scope 3 Yearly'!DN13</f>
        <v>14.330050568455416</v>
      </c>
      <c r="DO27" s="44">
        <f>'Scope 3 Yearly'!DO13</f>
        <v>13.502758252198802</v>
      </c>
      <c r="DP27" s="44">
        <f>'Scope 3 Yearly'!DP13</f>
        <v>12.67851655635563</v>
      </c>
      <c r="DQ27" s="44">
        <f>'Scope 3 Yearly'!DQ13</f>
        <v>11.796654160767265</v>
      </c>
      <c r="DR27" s="44">
        <f>'Scope 3 Yearly'!DR13</f>
        <v>10.906717626078958</v>
      </c>
      <c r="DS27" s="44">
        <f>'Scope 3 Yearly'!DS13</f>
        <v>10.024108676649956</v>
      </c>
      <c r="DT27" s="44">
        <f>'Scope 3 Yearly'!DT13</f>
        <v>9.1451620807994356</v>
      </c>
      <c r="DU27" s="44">
        <f>'Scope 3 Yearly'!DU13</f>
        <v>8.2692674713835697</v>
      </c>
      <c r="DV27" s="44">
        <f>'Scope 3 Yearly'!DV13</f>
        <v>7.3957882293129824</v>
      </c>
      <c r="DW27" s="44">
        <f>'Scope 3 Yearly'!DW13</f>
        <v>6.5215700839078092</v>
      </c>
      <c r="DX27" s="44">
        <f>'Scope 3 Yearly'!DX13</f>
        <v>5.6449763337184766</v>
      </c>
      <c r="DY27" s="44">
        <f>'Scope 3 Yearly'!DY13</f>
        <v>4.7645300017310106</v>
      </c>
      <c r="DZ27" s="44">
        <f>'Scope 3 Yearly'!DZ13</f>
        <v>3.8836434868565721</v>
      </c>
      <c r="EI27" s="26"/>
    </row>
    <row r="28" spans="1:151" x14ac:dyDescent="0.2">
      <c r="A28" s="1"/>
      <c r="B28" t="str">
        <f>'Scope 3 Yearly'!A14</f>
        <v>Open Burning</v>
      </c>
      <c r="C28" s="54" t="s">
        <v>69</v>
      </c>
      <c r="D28" s="44">
        <f>'Scope 3 Yearly'!D14</f>
        <v>79.404851189111085</v>
      </c>
      <c r="E28" s="44">
        <f>'Scope 3 Yearly'!E14</f>
        <v>80.184589163965285</v>
      </c>
      <c r="F28" s="44">
        <f>'Scope 3 Yearly'!F14</f>
        <v>80.588574183988271</v>
      </c>
      <c r="G28" s="44">
        <f>'Scope 3 Yearly'!G14</f>
        <v>80.778775727511928</v>
      </c>
      <c r="H28" s="44">
        <f>'Scope 3 Yearly'!H14</f>
        <v>80.735859439057762</v>
      </c>
      <c r="I28" s="44">
        <f>'Scope 3 Yearly'!I14</f>
        <v>80.459538164991415</v>
      </c>
      <c r="J28" s="44">
        <f>'Scope 3 Yearly'!J14</f>
        <v>79.747136223864388</v>
      </c>
      <c r="K28" s="44">
        <f>'Scope 3 Yearly'!K14</f>
        <v>78.972946442282037</v>
      </c>
      <c r="L28" s="44">
        <f>'Scope 3 Yearly'!L14</f>
        <v>78.136845661673533</v>
      </c>
      <c r="M28" s="44">
        <f>'Scope 3 Yearly'!M14</f>
        <v>77.237911523905666</v>
      </c>
      <c r="N28" s="44">
        <f>'Scope 3 Yearly'!N14</f>
        <v>76.274557160111058</v>
      </c>
      <c r="O28" s="44">
        <f>'Scope 3 Yearly'!O14</f>
        <v>74.302580945245111</v>
      </c>
      <c r="P28" s="44">
        <f>'Scope 3 Yearly'!P14</f>
        <v>72.266539424538394</v>
      </c>
      <c r="Q28" s="44">
        <f>'Scope 3 Yearly'!Q14</f>
        <v>69.96823008344272</v>
      </c>
      <c r="R28" s="44">
        <f>'Scope 3 Yearly'!R14</f>
        <v>67.536894852895415</v>
      </c>
      <c r="S28" s="44">
        <f>'Scope 3 Yearly'!S14</f>
        <v>64.988249807918251</v>
      </c>
      <c r="T28" s="44">
        <f>'Scope 3 Yearly'!T14</f>
        <v>62.511277748561149</v>
      </c>
      <c r="U28" s="44">
        <f>'Scope 3 Yearly'!U14</f>
        <v>60.049255355978524</v>
      </c>
      <c r="V28" s="44">
        <f>'Scope 3 Yearly'!V14</f>
        <v>57.623479262647351</v>
      </c>
      <c r="W28" s="44">
        <f>'Scope 3 Yearly'!W14</f>
        <v>55.246579127444903</v>
      </c>
      <c r="X28" s="44">
        <f>'Scope 3 Yearly'!X14</f>
        <v>52.956231432753292</v>
      </c>
      <c r="Y28" s="44">
        <f>'Scope 3 Yearly'!Y14</f>
        <v>49.987811762837318</v>
      </c>
      <c r="Z28" s="44">
        <f>'Scope 3 Yearly'!Z14</f>
        <v>47.392105254319404</v>
      </c>
      <c r="AA28" s="44">
        <f>'Scope 3 Yearly'!AA14</f>
        <v>44.857305738008442</v>
      </c>
      <c r="AB28" s="44">
        <f>'Scope 3 Yearly'!AB14</f>
        <v>42.395388258214524</v>
      </c>
      <c r="AC28" s="44">
        <f>'Scope 3 Yearly'!AC14</f>
        <v>40.009505317554023</v>
      </c>
      <c r="AD28" s="44">
        <f>'Scope 3 Yearly'!AD14</f>
        <v>37.676022256543234</v>
      </c>
      <c r="AE28" s="44">
        <f>'Scope 3 Yearly'!AE14</f>
        <v>35.41474944774864</v>
      </c>
      <c r="AF28" s="44">
        <f>'Scope 3 Yearly'!AF14</f>
        <v>33.22174718709725</v>
      </c>
      <c r="AG28" s="44">
        <f>'Scope 3 Yearly'!AG14</f>
        <v>31.096682767954722</v>
      </c>
      <c r="AH28" s="44">
        <f>'Scope 3 Yearly'!AH14</f>
        <v>29.061397237617779</v>
      </c>
      <c r="AI28" s="44"/>
      <c r="AJ28" s="44">
        <f>'Scope 3 Yearly'!AJ14</f>
        <v>79.404868531431291</v>
      </c>
      <c r="AK28" s="44">
        <f>'Scope 3 Yearly'!AK14</f>
        <v>80.290441315025845</v>
      </c>
      <c r="AL28" s="44">
        <f>'Scope 3 Yearly'!AL14</f>
        <v>80.811326966042941</v>
      </c>
      <c r="AM28" s="44">
        <f>'Scope 3 Yearly'!AM14</f>
        <v>81.117548645133382</v>
      </c>
      <c r="AN28" s="44">
        <f>'Scope 3 Yearly'!AN14</f>
        <v>81.192601116685026</v>
      </c>
      <c r="AO28" s="44">
        <f>'Scope 3 Yearly'!AO14</f>
        <v>81.035323952513863</v>
      </c>
      <c r="AP28" s="44">
        <f>'Scope 3 Yearly'!AP14</f>
        <v>80.64492487693515</v>
      </c>
      <c r="AQ28" s="44">
        <f>'Scope 3 Yearly'!AQ14</f>
        <v>80.197238960909274</v>
      </c>
      <c r="AR28" s="44">
        <f>'Scope 3 Yearly'!AR14</f>
        <v>79.692028025717107</v>
      </c>
      <c r="AS28" s="44">
        <f>'Scope 3 Yearly'!AS14</f>
        <v>79.128601569693814</v>
      </c>
      <c r="AT28" s="44">
        <f>'Scope 3 Yearly'!AT14</f>
        <v>78.506220095889262</v>
      </c>
      <c r="AU28" s="44">
        <f>'Scope 3 Yearly'!AU14</f>
        <v>77.001527749765941</v>
      </c>
      <c r="AV28" s="44">
        <f>'Scope 3 Yearly'!AV14</f>
        <v>75.419693703313271</v>
      </c>
      <c r="AW28" s="44">
        <f>'Scope 3 Yearly'!AW14</f>
        <v>73.604032613356338</v>
      </c>
      <c r="AX28" s="44">
        <f>'Scope 3 Yearly'!AX14</f>
        <v>71.652834853589681</v>
      </c>
      <c r="AY28" s="44">
        <f>'Scope 3 Yearly'!AY14</f>
        <v>69.577207604394175</v>
      </c>
      <c r="AZ28" s="44">
        <f>'Scope 3 Yearly'!AZ14</f>
        <v>67.53713200042661</v>
      </c>
      <c r="BA28" s="44">
        <f>'Scope 3 Yearly'!BA14</f>
        <v>65.5144868244804</v>
      </c>
      <c r="BB28" s="44">
        <f>'Scope 3 Yearly'!BB14</f>
        <v>63.51753017923356</v>
      </c>
      <c r="BC28" s="44">
        <f>'Scope 3 Yearly'!BC14</f>
        <v>61.553565047550819</v>
      </c>
      <c r="BD28" s="44">
        <f>'Scope 3 Yearly'!BD14</f>
        <v>59.658624811046721</v>
      </c>
      <c r="BE28" s="44">
        <f>'Scope 3 Yearly'!BE14</f>
        <v>57.123875031819352</v>
      </c>
      <c r="BF28" s="44">
        <f>'Scope 3 Yearly'!BF14</f>
        <v>54.898276286610475</v>
      </c>
      <c r="BG28" s="44">
        <f>'Scope 3 Yearly'!BG14</f>
        <v>52.732028922804709</v>
      </c>
      <c r="BH28" s="44">
        <f>'Scope 3 Yearly'!BH14</f>
        <v>50.625126363538016</v>
      </c>
      <c r="BI28" s="44">
        <f>'Scope 3 Yearly'!BI14</f>
        <v>48.582613901707333</v>
      </c>
      <c r="BJ28" s="44">
        <f>'Scope 3 Yearly'!BJ14</f>
        <v>46.593814890138262</v>
      </c>
      <c r="BK28" s="44">
        <f>'Scope 3 Yearly'!BK14</f>
        <v>44.662380259336565</v>
      </c>
      <c r="BL28" s="44">
        <f>'Scope 3 Yearly'!BL14</f>
        <v>42.784520193582374</v>
      </c>
      <c r="BM28" s="44">
        <f>'Scope 3 Yearly'!BM14</f>
        <v>40.956740189652599</v>
      </c>
      <c r="BN28" s="44">
        <f>'Scope 3 Yearly'!BN14</f>
        <v>39.251561571846977</v>
      </c>
      <c r="BO28" s="44"/>
      <c r="BP28" s="44">
        <f>'Scope 3 Yearly'!BP14</f>
        <v>79.404889946990906</v>
      </c>
      <c r="BQ28" s="44">
        <f>'Scope 3 Yearly'!BQ14</f>
        <v>83.158324408289488</v>
      </c>
      <c r="BR28" s="44">
        <f>'Scope 3 Yearly'!BR14</f>
        <v>86.824855782827683</v>
      </c>
      <c r="BS28" s="44">
        <f>'Scope 3 Yearly'!BS14</f>
        <v>90.379460724060621</v>
      </c>
      <c r="BT28" s="44">
        <f>'Scope 3 Yearly'!BT14</f>
        <v>93.797026413069418</v>
      </c>
      <c r="BU28" s="44">
        <f>'Scope 3 Yearly'!BU14</f>
        <v>97.052621890000012</v>
      </c>
      <c r="BV28" s="44">
        <f>'Scope 3 Yearly'!BV14</f>
        <v>100.35864667398869</v>
      </c>
      <c r="BW28" s="44">
        <f>'Scope 3 Yearly'!BW14</f>
        <v>103.71291944668843</v>
      </c>
      <c r="BX28" s="44">
        <f>'Scope 3 Yearly'!BX14</f>
        <v>107.11310556689614</v>
      </c>
      <c r="BY28" s="44">
        <f>'Scope 3 Yearly'!BY14</f>
        <v>110.5567170177904</v>
      </c>
      <c r="BZ28" s="44">
        <f>'Scope 3 Yearly'!BZ14</f>
        <v>114.04111274618623</v>
      </c>
      <c r="CA28" s="44">
        <f>'Scope 3 Yearly'!CA14</f>
        <v>117.37944530545052</v>
      </c>
      <c r="CB28" s="44">
        <f>'Scope 3 Yearly'!CB14</f>
        <v>120.55258312582143</v>
      </c>
      <c r="CC28" s="44">
        <f>'Scope 3 Yearly'!CC14</f>
        <v>123.54179206439362</v>
      </c>
      <c r="CD28" s="44">
        <f>'Scope 3 Yearly'!CD14</f>
        <v>126.32889768946674</v>
      </c>
      <c r="CE28" s="44">
        <f>'Scope 3 Yearly'!CE14</f>
        <v>128.89644659019703</v>
      </c>
      <c r="CF28" s="44">
        <f>'Scope 3 Yearly'!CF14</f>
        <v>131.48708463156149</v>
      </c>
      <c r="CG28" s="44">
        <f>'Scope 3 Yearly'!CG14</f>
        <v>134.10033095205802</v>
      </c>
      <c r="CH28" s="44">
        <f>'Scope 3 Yearly'!CH14</f>
        <v>136.73568403472197</v>
      </c>
      <c r="CI28" s="44">
        <f>'Scope 3 Yearly'!CI14</f>
        <v>139.39262155626096</v>
      </c>
      <c r="CJ28" s="44">
        <f>'Scope 3 Yearly'!CJ14</f>
        <v>142.07060024509096</v>
      </c>
      <c r="CK28" s="44">
        <f>'Scope 3 Yearly'!CK14</f>
        <v>144.7708090599161</v>
      </c>
      <c r="CL28" s="44">
        <f>'Scope 3 Yearly'!CL14</f>
        <v>147.49276750389703</v>
      </c>
      <c r="CM28" s="44">
        <f>'Scope 3 Yearly'!CM14</f>
        <v>150.23597587542747</v>
      </c>
      <c r="CN28" s="44">
        <f>'Scope 3 Yearly'!CN14</f>
        <v>152.99991512501833</v>
      </c>
      <c r="CO28" s="44">
        <f>'Scope 3 Yearly'!CO14</f>
        <v>155.78404671904281</v>
      </c>
      <c r="CP28" s="44">
        <f>'Scope 3 Yearly'!CP14</f>
        <v>158.58946678624167</v>
      </c>
      <c r="CQ28" s="44">
        <f>'Scope 3 Yearly'!CQ14</f>
        <v>161.4156917604175</v>
      </c>
      <c r="CR28" s="44">
        <f>'Scope 3 Yearly'!CR14</f>
        <v>164.26222002799503</v>
      </c>
      <c r="CS28" s="44">
        <f>'Scope 3 Yearly'!CS14</f>
        <v>167.12853178918618</v>
      </c>
      <c r="CT28" s="44">
        <f>'Scope 3 Yearly'!CT14</f>
        <v>170.01408892440014</v>
      </c>
      <c r="CU28" s="44"/>
      <c r="CV28" s="44">
        <f>'Scope 3 Yearly'!CV14</f>
        <v>79.404868531431291</v>
      </c>
      <c r="CW28" s="44">
        <f>'Scope 3 Yearly'!CW14</f>
        <v>80.699679836402623</v>
      </c>
      <c r="CX28" s="44">
        <f>'Scope 3 Yearly'!CX14</f>
        <v>81.677451101490391</v>
      </c>
      <c r="CY28" s="44">
        <f>'Scope 3 Yearly'!CY14</f>
        <v>82.43463103592083</v>
      </c>
      <c r="CZ28" s="44">
        <f>'Scope 3 Yearly'!CZ14</f>
        <v>82.967897721454804</v>
      </c>
      <c r="DA28" s="44">
        <f>'Scope 3 Yearly'!DA14</f>
        <v>83.272376201559624</v>
      </c>
      <c r="DB28" s="44">
        <f>'Scope 3 Yearly'!DB14</f>
        <v>83.550498216820344</v>
      </c>
      <c r="DC28" s="44">
        <f>'Scope 3 Yearly'!DC14</f>
        <v>83.778698509992608</v>
      </c>
      <c r="DD28" s="44">
        <f>'Scope 3 Yearly'!DD14</f>
        <v>83.955430322839717</v>
      </c>
      <c r="DE28" s="44">
        <f>'Scope 3 Yearly'!DE14</f>
        <v>84.078644552086047</v>
      </c>
      <c r="DF28" s="44">
        <f>'Scope 3 Yearly'!DF14</f>
        <v>84.146195840978635</v>
      </c>
      <c r="DG28" s="44">
        <f>'Scope 3 Yearly'!DG14</f>
        <v>83.689764141237234</v>
      </c>
      <c r="DH28" s="44">
        <f>'Scope 3 Yearly'!DH14</f>
        <v>83.044672300564429</v>
      </c>
      <c r="DI28" s="44">
        <f>'Scope 3 Yearly'!DI14</f>
        <v>82.269708105807169</v>
      </c>
      <c r="DJ28" s="44">
        <f>'Scope 3 Yearly'!DJ14</f>
        <v>81.334372008345042</v>
      </c>
      <c r="DK28" s="44">
        <f>'Scope 3 Yearly'!DK14</f>
        <v>80.243063054074128</v>
      </c>
      <c r="DL28" s="44">
        <f>'Scope 3 Yearly'!DL14</f>
        <v>79.136624399340661</v>
      </c>
      <c r="DM28" s="44">
        <f>'Scope 3 Yearly'!DM14</f>
        <v>78.029809484577626</v>
      </c>
      <c r="DN28" s="44">
        <f>'Scope 3 Yearly'!DN14</f>
        <v>76.929745156971251</v>
      </c>
      <c r="DO28" s="44">
        <f>'Scope 3 Yearly'!DO14</f>
        <v>75.842595416555952</v>
      </c>
      <c r="DP28" s="44">
        <f>'Scope 3 Yearly'!DP14</f>
        <v>74.803247682498281</v>
      </c>
      <c r="DQ28" s="44">
        <f>'Scope 3 Yearly'!DQ14</f>
        <v>73.443685581551094</v>
      </c>
      <c r="DR28" s="44">
        <f>'Scope 3 Yearly'!DR14</f>
        <v>72.035065251312247</v>
      </c>
      <c r="DS28" s="44">
        <f>'Scope 3 Yearly'!DS14</f>
        <v>70.676310542962398</v>
      </c>
      <c r="DT28" s="44">
        <f>'Scope 3 Yearly'!DT14</f>
        <v>69.350812446062449</v>
      </c>
      <c r="DU28" s="44">
        <f>'Scope 3 Yearly'!DU14</f>
        <v>68.062432264464846</v>
      </c>
      <c r="DV28" s="44">
        <f>'Scope 3 Yearly'!DV14</f>
        <v>66.81712124413805</v>
      </c>
      <c r="DW28" s="44">
        <f>'Scope 3 Yearly'!DW14</f>
        <v>65.599322608719817</v>
      </c>
      <c r="DX28" s="44">
        <f>'Scope 3 Yearly'!DX14</f>
        <v>64.404048171060893</v>
      </c>
      <c r="DY28" s="44">
        <f>'Scope 3 Yearly'!DY14</f>
        <v>63.226600833781916</v>
      </c>
      <c r="DZ28" s="44">
        <f>'Scope 3 Yearly'!DZ14</f>
        <v>62.138295789705154</v>
      </c>
      <c r="EI28" s="26"/>
    </row>
    <row r="29" spans="1:151" x14ac:dyDescent="0.2">
      <c r="A29" s="1"/>
      <c r="B29" t="str">
        <f>'Scope 3 Yearly'!A15</f>
        <v>Leakage Environment</v>
      </c>
      <c r="C29" s="54" t="s">
        <v>69</v>
      </c>
      <c r="D29" s="44">
        <f>'Scope 3 Yearly'!D15</f>
        <v>20.586442900880652</v>
      </c>
      <c r="E29" s="44">
        <f>'Scope 3 Yearly'!E15</f>
        <v>20.974441971550366</v>
      </c>
      <c r="F29" s="44">
        <f>'Scope 3 Yearly'!F15</f>
        <v>21.272110952118727</v>
      </c>
      <c r="G29" s="44">
        <f>'Scope 3 Yearly'!G15</f>
        <v>21.520214383005101</v>
      </c>
      <c r="H29" s="44">
        <f>'Scope 3 Yearly'!H15</f>
        <v>21.712254627213959</v>
      </c>
      <c r="I29" s="44">
        <f>'Scope 3 Yearly'!I15</f>
        <v>21.846629567977786</v>
      </c>
      <c r="J29" s="44">
        <f>'Scope 3 Yearly'!J15</f>
        <v>21.866150254930545</v>
      </c>
      <c r="K29" s="44">
        <f>'Scope 3 Yearly'!K15</f>
        <v>21.87108885100033</v>
      </c>
      <c r="L29" s="44">
        <f>'Scope 3 Yearly'!L15</f>
        <v>21.86100114080061</v>
      </c>
      <c r="M29" s="44">
        <f>'Scope 3 Yearly'!M15</f>
        <v>21.835190177644201</v>
      </c>
      <c r="N29" s="44">
        <f>'Scope 3 Yearly'!N15</f>
        <v>21.79273061717457</v>
      </c>
      <c r="O29" s="44">
        <f>'Scope 3 Yearly'!O15</f>
        <v>21.460397109004013</v>
      </c>
      <c r="P29" s="44">
        <f>'Scope 3 Yearly'!P15</f>
        <v>21.104387619555443</v>
      </c>
      <c r="Q29" s="44">
        <f>'Scope 3 Yearly'!Q15</f>
        <v>20.665279349982313</v>
      </c>
      <c r="R29" s="44">
        <f>'Scope 3 Yearly'!R15</f>
        <v>20.178706388974835</v>
      </c>
      <c r="S29" s="44">
        <f>'Scope 3 Yearly'!S15</f>
        <v>19.647610407045036</v>
      </c>
      <c r="T29" s="44">
        <f>'Scope 3 Yearly'!T15</f>
        <v>19.128056598140144</v>
      </c>
      <c r="U29" s="44">
        <f>'Scope 3 Yearly'!U15</f>
        <v>18.602738818144214</v>
      </c>
      <c r="V29" s="44">
        <f>'Scope 3 Yearly'!V15</f>
        <v>18.077954278477584</v>
      </c>
      <c r="W29" s="44">
        <f>'Scope 3 Yearly'!W15</f>
        <v>17.557565080435882</v>
      </c>
      <c r="X29" s="44">
        <f>'Scope 3 Yearly'!X15</f>
        <v>17.053701647835791</v>
      </c>
      <c r="Y29" s="44">
        <f>'Scope 3 Yearly'!Y15</f>
        <v>16.317264979579004</v>
      </c>
      <c r="Z29" s="44">
        <f>'Scope 3 Yearly'!Z15</f>
        <v>15.686119344739506</v>
      </c>
      <c r="AA29" s="44">
        <f>'Scope 3 Yearly'!AA15</f>
        <v>15.059813596063861</v>
      </c>
      <c r="AB29" s="44">
        <f>'Scope 3 Yearly'!AB15</f>
        <v>14.442385011040102</v>
      </c>
      <c r="AC29" s="44">
        <f>'Scope 3 Yearly'!AC15</f>
        <v>13.835062586443906</v>
      </c>
      <c r="AD29" s="44">
        <f>'Scope 3 Yearly'!AD15</f>
        <v>13.229748273289982</v>
      </c>
      <c r="AE29" s="44">
        <f>'Scope 3 Yearly'!AE15</f>
        <v>12.633331674343077</v>
      </c>
      <c r="AF29" s="44">
        <f>'Scope 3 Yearly'!AF15</f>
        <v>12.044537824804179</v>
      </c>
      <c r="AG29" s="44">
        <f>'Scope 3 Yearly'!AG15</f>
        <v>11.463339268838704</v>
      </c>
      <c r="AH29" s="44">
        <f>'Scope 3 Yearly'!AH15</f>
        <v>10.898023964106667</v>
      </c>
      <c r="AI29" s="44"/>
      <c r="AJ29" s="44">
        <f>'Scope 3 Yearly'!AJ15</f>
        <v>20.586447397037741</v>
      </c>
      <c r="AK29" s="44">
        <f>'Scope 3 Yearly'!AK15</f>
        <v>21.002130456621273</v>
      </c>
      <c r="AL29" s="44">
        <f>'Scope 3 Yearly'!AL15</f>
        <v>21.330908640782901</v>
      </c>
      <c r="AM29" s="44">
        <f>'Scope 3 Yearly'!AM15</f>
        <v>21.610466627467957</v>
      </c>
      <c r="AN29" s="44">
        <f>'Scope 3 Yearly'!AN15</f>
        <v>21.835085939996226</v>
      </c>
      <c r="AO29" s="44">
        <f>'Scope 3 Yearly'!AO15</f>
        <v>22.002968755318317</v>
      </c>
      <c r="AP29" s="44">
        <f>'Scope 3 Yearly'!AP15</f>
        <v>22.112318111417686</v>
      </c>
      <c r="AQ29" s="44">
        <f>'Scope 3 Yearly'!AQ15</f>
        <v>22.210149398450984</v>
      </c>
      <c r="AR29" s="44">
        <f>'Scope 3 Yearly'!AR15</f>
        <v>22.296107563981778</v>
      </c>
      <c r="AS29" s="44">
        <f>'Scope 3 Yearly'!AS15</f>
        <v>22.369689051348022</v>
      </c>
      <c r="AT29" s="44">
        <f>'Scope 3 Yearly'!AT15</f>
        <v>22.430348598825486</v>
      </c>
      <c r="AU29" s="44">
        <f>'Scope 3 Yearly'!AU15</f>
        <v>22.239918755012209</v>
      </c>
      <c r="AV29" s="44">
        <f>'Scope 3 Yearly'!AV15</f>
        <v>22.025220285038372</v>
      </c>
      <c r="AW29" s="44">
        <f>'Scope 3 Yearly'!AW15</f>
        <v>21.739122076208677</v>
      </c>
      <c r="AX29" s="44">
        <f>'Scope 3 Yearly'!AX15</f>
        <v>21.408468950157872</v>
      </c>
      <c r="AY29" s="44">
        <f>'Scope 3 Yearly'!AY15</f>
        <v>21.034969740863335</v>
      </c>
      <c r="AZ29" s="44">
        <f>'Scope 3 Yearly'!AZ15</f>
        <v>20.665936290351343</v>
      </c>
      <c r="BA29" s="44">
        <f>'Scope 3 Yearly'!BA15</f>
        <v>20.295820155898404</v>
      </c>
      <c r="BB29" s="44">
        <f>'Scope 3 Yearly'!BB15</f>
        <v>19.927068291524236</v>
      </c>
      <c r="BC29" s="44">
        <f>'Scope 3 Yearly'!BC15</f>
        <v>19.56194829298202</v>
      </c>
      <c r="BD29" s="44">
        <f>'Scope 3 Yearly'!BD15</f>
        <v>19.212099515421805</v>
      </c>
      <c r="BE29" s="44">
        <f>'Scope 3 Yearly'!BE15</f>
        <v>18.646653507795936</v>
      </c>
      <c r="BF29" s="44">
        <f>'Scope 3 Yearly'!BF15</f>
        <v>18.170556235709082</v>
      </c>
      <c r="BG29" s="44">
        <f>'Scope 3 Yearly'!BG15</f>
        <v>17.703571649128317</v>
      </c>
      <c r="BH29" s="44">
        <f>'Scope 3 Yearly'!BH15</f>
        <v>17.24592216779865</v>
      </c>
      <c r="BI29" s="44">
        <f>'Scope 3 Yearly'!BI15</f>
        <v>16.79959546133804</v>
      </c>
      <c r="BJ29" s="44">
        <f>'Scope 3 Yearly'!BJ15</f>
        <v>16.361186907987474</v>
      </c>
      <c r="BK29" s="44">
        <f>'Scope 3 Yearly'!BK15</f>
        <v>15.932194127599587</v>
      </c>
      <c r="BL29" s="44">
        <f>'Scope 3 Yearly'!BL15</f>
        <v>15.511519273370496</v>
      </c>
      <c r="BM29" s="44">
        <f>'Scope 3 Yearly'!BM15</f>
        <v>15.09810585402672</v>
      </c>
      <c r="BN29" s="44">
        <f>'Scope 3 Yearly'!BN15</f>
        <v>14.719335589442617</v>
      </c>
      <c r="BO29" s="44"/>
      <c r="BP29" s="44">
        <f>'Scope 3 Yearly'!BP15</f>
        <v>20.586452949219865</v>
      </c>
      <c r="BQ29" s="44">
        <f>'Scope 3 Yearly'!BQ15</f>
        <v>21.697888404310831</v>
      </c>
      <c r="BR29" s="44">
        <f>'Scope 3 Yearly'!BR15</f>
        <v>22.795715031784876</v>
      </c>
      <c r="BS29" s="44">
        <f>'Scope 3 Yearly'!BS15</f>
        <v>23.872599146154887</v>
      </c>
      <c r="BT29" s="44">
        <f>'Scope 3 Yearly'!BT15</f>
        <v>24.921059872844779</v>
      </c>
      <c r="BU29" s="44">
        <f>'Scope 3 Yearly'!BU15</f>
        <v>25.933547739568272</v>
      </c>
      <c r="BV29" s="44">
        <f>'Scope 3 Yearly'!BV15</f>
        <v>26.966173760046829</v>
      </c>
      <c r="BW29" s="44">
        <f>'Scope 3 Yearly'!BW15</f>
        <v>28.018356635175259</v>
      </c>
      <c r="BX29" s="44">
        <f>'Scope 3 Yearly'!BX15</f>
        <v>29.089460662315677</v>
      </c>
      <c r="BY29" s="44">
        <f>'Scope 3 Yearly'!BY15</f>
        <v>30.178795322763722</v>
      </c>
      <c r="BZ29" s="44">
        <f>'Scope 3 Yearly'!BZ15</f>
        <v>31.285615001166143</v>
      </c>
      <c r="CA29" s="44">
        <f>'Scope 3 Yearly'!CA15</f>
        <v>32.358380039317332</v>
      </c>
      <c r="CB29" s="44">
        <f>'Scope 3 Yearly'!CB15</f>
        <v>33.391027575812707</v>
      </c>
      <c r="CC29" s="44">
        <f>'Scope 3 Yearly'!CC15</f>
        <v>34.37753793338738</v>
      </c>
      <c r="CD29" s="44">
        <f>'Scope 3 Yearly'!CD15</f>
        <v>35.311985845229039</v>
      </c>
      <c r="CE29" s="44">
        <f>'Scope 3 Yearly'!CE15</f>
        <v>36.188592260339242</v>
      </c>
      <c r="CF29" s="44">
        <f>'Scope 3 Yearly'!CF15</f>
        <v>37.074867261793905</v>
      </c>
      <c r="CG29" s="44">
        <f>'Scope 3 Yearly'!CG15</f>
        <v>37.970664961265364</v>
      </c>
      <c r="CH29" s="44">
        <f>'Scope 3 Yearly'!CH15</f>
        <v>38.875831735362148</v>
      </c>
      <c r="CI29" s="44">
        <f>'Scope 3 Yearly'!CI15</f>
        <v>39.790206153324768</v>
      </c>
      <c r="CJ29" s="44">
        <f>'Scope 3 Yearly'!CJ15</f>
        <v>40.713618907911865</v>
      </c>
      <c r="CK29" s="44">
        <f>'Scope 3 Yearly'!CK15</f>
        <v>41.646397126825207</v>
      </c>
      <c r="CL29" s="44">
        <f>'Scope 3 Yearly'!CL15</f>
        <v>42.588391560920726</v>
      </c>
      <c r="CM29" s="44">
        <f>'Scope 3 Yearly'!CM15</f>
        <v>43.539445746786356</v>
      </c>
      <c r="CN29" s="44">
        <f>'Scope 3 Yearly'!CN15</f>
        <v>44.499395940184968</v>
      </c>
      <c r="CO29" s="44">
        <f>'Scope 3 Yearly'!CO15</f>
        <v>45.468071051969467</v>
      </c>
      <c r="CP29" s="44">
        <f>'Scope 3 Yearly'!CP15</f>
        <v>46.445777070932721</v>
      </c>
      <c r="CQ29" s="44">
        <f>'Scope 3 Yearly'!CQ15</f>
        <v>47.432360635745958</v>
      </c>
      <c r="CR29" s="44">
        <f>'Scope 3 Yearly'!CR15</f>
        <v>48.427661588574047</v>
      </c>
      <c r="CS29" s="44">
        <f>'Scope 3 Yearly'!CS15</f>
        <v>49.431512912338313</v>
      </c>
      <c r="CT29" s="44">
        <f>'Scope 3 Yearly'!CT15</f>
        <v>50.443740669876966</v>
      </c>
      <c r="CU29" s="44"/>
      <c r="CV29" s="44">
        <f>'Scope 3 Yearly'!CV15</f>
        <v>20.586447397037741</v>
      </c>
      <c r="CW29" s="44">
        <f>'Scope 3 Yearly'!CW15</f>
        <v>21.109177829547114</v>
      </c>
      <c r="CX29" s="44">
        <f>'Scope 3 Yearly'!CX15</f>
        <v>21.559530239987307</v>
      </c>
      <c r="CY29" s="44">
        <f>'Scope 3 Yearly'!CY15</f>
        <v>21.961349580998203</v>
      </c>
      <c r="CZ29" s="44">
        <f>'Scope 3 Yearly'!CZ15</f>
        <v>22.312515575221514</v>
      </c>
      <c r="DA29" s="44">
        <f>'Scope 3 Yearly'!DA15</f>
        <v>22.610380293138693</v>
      </c>
      <c r="DB29" s="44">
        <f>'Scope 3 Yearly'!DB15</f>
        <v>22.909007575579757</v>
      </c>
      <c r="DC29" s="44">
        <f>'Scope 3 Yearly'!DC15</f>
        <v>23.202013366341731</v>
      </c>
      <c r="DD29" s="44">
        <f>'Scope 3 Yearly'!DD15</f>
        <v>23.488915408883116</v>
      </c>
      <c r="DE29" s="44">
        <f>'Scope 3 Yearly'!DE15</f>
        <v>23.769068291096037</v>
      </c>
      <c r="DF29" s="44">
        <f>'Scope 3 Yearly'!DF15</f>
        <v>24.04177024027959</v>
      </c>
      <c r="DG29" s="44">
        <f>'Scope 3 Yearly'!DG15</f>
        <v>24.171644505233957</v>
      </c>
      <c r="DH29" s="44">
        <f>'Scope 3 Yearly'!DH15</f>
        <v>24.251983946182513</v>
      </c>
      <c r="DI29" s="44">
        <f>'Scope 3 Yearly'!DI15</f>
        <v>24.29854947053073</v>
      </c>
      <c r="DJ29" s="44">
        <f>'Scope 3 Yearly'!DJ15</f>
        <v>24.301123343956732</v>
      </c>
      <c r="DK29" s="44">
        <f>'Scope 3 Yearly'!DK15</f>
        <v>24.259530690766574</v>
      </c>
      <c r="DL29" s="44">
        <f>'Scope 3 Yearly'!DL15</f>
        <v>24.215307781501693</v>
      </c>
      <c r="DM29" s="44">
        <f>'Scope 3 Yearly'!DM15</f>
        <v>24.172958636474267</v>
      </c>
      <c r="DN29" s="44">
        <f>'Scope 3 Yearly'!DN15</f>
        <v>24.13482201003017</v>
      </c>
      <c r="DO29" s="44">
        <f>'Scope 3 Yearly'!DO15</f>
        <v>24.103054450186644</v>
      </c>
      <c r="DP29" s="44">
        <f>'Scope 3 Yearly'!DP15</f>
        <v>24.089181457075693</v>
      </c>
      <c r="DQ29" s="44">
        <f>'Scope 3 Yearly'!DQ15</f>
        <v>23.973845552527017</v>
      </c>
      <c r="DR29" s="44">
        <f>'Scope 3 Yearly'!DR15</f>
        <v>23.842592019800506</v>
      </c>
      <c r="DS29" s="44">
        <f>'Scope 3 Yearly'!DS15</f>
        <v>23.727953449791666</v>
      </c>
      <c r="DT29" s="44">
        <f>'Scope 3 Yearly'!DT15</f>
        <v>23.625002042065212</v>
      </c>
      <c r="DU29" s="44">
        <f>'Scope 3 Yearly'!DU15</f>
        <v>23.535607418553248</v>
      </c>
      <c r="DV29" s="44">
        <f>'Scope 3 Yearly'!DV15</f>
        <v>23.462500589544646</v>
      </c>
      <c r="DW29" s="44">
        <f>'Scope 3 Yearly'!DW15</f>
        <v>23.40092794813981</v>
      </c>
      <c r="DX29" s="44">
        <f>'Scope 3 Yearly'!DX15</f>
        <v>23.349674834926454</v>
      </c>
      <c r="DY29" s="44">
        <f>'Scope 3 Yearly'!DY15</f>
        <v>23.307565684143636</v>
      </c>
      <c r="DZ29" s="44">
        <f>'Scope 3 Yearly'!DZ15</f>
        <v>23.301860921139433</v>
      </c>
      <c r="EI29" s="26"/>
    </row>
    <row r="30" spans="1:151" ht="16" thickBot="1" x14ac:dyDescent="0.25">
      <c r="A30" s="1"/>
      <c r="B30" t="str">
        <f>'Scope 3 Yearly'!A16</f>
        <v>Leakage Ocean</v>
      </c>
      <c r="C30" s="54" t="s">
        <v>69</v>
      </c>
      <c r="D30" s="44">
        <f>'Scope 3 Yearly'!D16</f>
        <v>14.704602072057609</v>
      </c>
      <c r="E30" s="44">
        <f>'Scope 3 Yearly'!E16</f>
        <v>14.852714888944758</v>
      </c>
      <c r="F30" s="44">
        <f>'Scope 3 Yearly'!F16</f>
        <v>14.931385572160261</v>
      </c>
      <c r="G30" s="44">
        <f>'Scope 3 Yearly'!G16</f>
        <v>14.970583918612244</v>
      </c>
      <c r="H30" s="44">
        <f>'Scope 3 Yearly'!H16</f>
        <v>14.966699791574669</v>
      </c>
      <c r="I30" s="44">
        <f>'Scope 3 Yearly'!I16</f>
        <v>14.919649461058</v>
      </c>
      <c r="J30" s="44">
        <f>'Scope 3 Yearly'!J16</f>
        <v>14.791807525394193</v>
      </c>
      <c r="K30" s="44">
        <f>'Scope 3 Yearly'!K16</f>
        <v>14.652552136630764</v>
      </c>
      <c r="L30" s="44">
        <f>'Scope 3 Yearly'!L16</f>
        <v>14.501852241917238</v>
      </c>
      <c r="M30" s="44">
        <f>'Scope 3 Yearly'!M16</f>
        <v>14.339527877855893</v>
      </c>
      <c r="N30" s="44">
        <f>'Scope 3 Yearly'!N16</f>
        <v>14.165274901163471</v>
      </c>
      <c r="O30" s="44">
        <f>'Scope 3 Yearly'!O16</f>
        <v>13.803672512324191</v>
      </c>
      <c r="P30" s="44">
        <f>'Scope 3 Yearly'!P16</f>
        <v>13.430064848808009</v>
      </c>
      <c r="Q30" s="44">
        <f>'Scope 3 Yearly'!Q16</f>
        <v>13.007587002019326</v>
      </c>
      <c r="R30" s="44">
        <f>'Scope 3 Yearly'!R16</f>
        <v>12.560215201300663</v>
      </c>
      <c r="S30" s="44">
        <f>'Scope 3 Yearly'!S16</f>
        <v>12.090837173566175</v>
      </c>
      <c r="T30" s="44">
        <f>'Scope 3 Yearly'!T16</f>
        <v>11.6345911267038</v>
      </c>
      <c r="U30" s="44">
        <f>'Scope 3 Yearly'!U16</f>
        <v>11.180920740439008</v>
      </c>
      <c r="V30" s="44">
        <f>'Scope 3 Yearly'!V16</f>
        <v>10.733785352846064</v>
      </c>
      <c r="W30" s="44">
        <f>'Scope 3 Yearly'!W16</f>
        <v>10.295535544548789</v>
      </c>
      <c r="X30" s="44">
        <f>'Scope 3 Yearly'!X16</f>
        <v>9.8731956908522989</v>
      </c>
      <c r="Y30" s="44">
        <f>'Scope 3 Yearly'!Y16</f>
        <v>9.3241514169022874</v>
      </c>
      <c r="Z30" s="44">
        <f>'Scope 3 Yearly'!Z16</f>
        <v>8.8443013326722735</v>
      </c>
      <c r="AA30" s="44">
        <f>'Scope 3 Yearly'!AA16</f>
        <v>8.3755113047627869</v>
      </c>
      <c r="AB30" s="44">
        <f>'Scope 3 Yearly'!AB16</f>
        <v>7.9200175866994078</v>
      </c>
      <c r="AC30" s="44">
        <f>'Scope 3 Yearly'!AC16</f>
        <v>7.4784122088885931</v>
      </c>
      <c r="AD30" s="44">
        <f>'Scope 3 Yearly'!AD16</f>
        <v>7.0462789716435728</v>
      </c>
      <c r="AE30" s="44">
        <f>'Scope 3 Yearly'!AE16</f>
        <v>6.6273215340816085</v>
      </c>
      <c r="AF30" s="44">
        <f>'Scope 3 Yearly'!AF16</f>
        <v>6.2208052501735809</v>
      </c>
      <c r="AG30" s="44">
        <f>'Scope 3 Yearly'!AG16</f>
        <v>5.8266696836086167</v>
      </c>
      <c r="AH30" s="44">
        <f>'Scope 3 Yearly'!AH16</f>
        <v>5.4490119820533334</v>
      </c>
      <c r="AI30" s="44"/>
      <c r="AJ30" s="44">
        <f>'Scope 3 Yearly'!AJ16</f>
        <v>14.704605283598386</v>
      </c>
      <c r="AK30" s="44">
        <f>'Scope 3 Yearly'!AK16</f>
        <v>14.872322045837075</v>
      </c>
      <c r="AL30" s="44">
        <f>'Scope 3 Yearly'!AL16</f>
        <v>14.972657026703382</v>
      </c>
      <c r="AM30" s="44">
        <f>'Scope 3 Yearly'!AM16</f>
        <v>15.033368088673361</v>
      </c>
      <c r="AN30" s="44">
        <f>'Scope 3 Yearly'!AN16</f>
        <v>15.051369919803223</v>
      </c>
      <c r="AO30" s="44">
        <f>'Scope 3 Yearly'!AO16</f>
        <v>15.026417686558851</v>
      </c>
      <c r="AP30" s="44">
        <f>'Scope 3 Yearly'!AP16</f>
        <v>14.95833284007667</v>
      </c>
      <c r="AQ30" s="44">
        <f>'Scope 3 Yearly'!AQ16</f>
        <v>14.87970600093268</v>
      </c>
      <c r="AR30" s="44">
        <f>'Scope 3 Yearly'!AR16</f>
        <v>14.790487195908705</v>
      </c>
      <c r="AS30" s="44">
        <f>'Scope 3 Yearly'!AS16</f>
        <v>14.690542063571836</v>
      </c>
      <c r="AT30" s="44">
        <f>'Scope 3 Yearly'!AT16</f>
        <v>14.579726589236566</v>
      </c>
      <c r="AU30" s="44">
        <f>'Scope 3 Yearly'!AU16</f>
        <v>14.305073370058103</v>
      </c>
      <c r="AV30" s="44">
        <f>'Scope 3 Yearly'!AV16</f>
        <v>14.016049272297145</v>
      </c>
      <c r="AW30" s="44">
        <f>'Scope 3 Yearly'!AW16</f>
        <v>13.683508311928303</v>
      </c>
      <c r="AX30" s="44">
        <f>'Scope 3 Yearly'!AX16</f>
        <v>13.325679652649288</v>
      </c>
      <c r="AY30" s="44">
        <f>'Scope 3 Yearly'!AY16</f>
        <v>12.944596763608207</v>
      </c>
      <c r="AZ30" s="44">
        <f>'Scope 3 Yearly'!AZ16</f>
        <v>12.570002485883807</v>
      </c>
      <c r="BA30" s="44">
        <f>'Scope 3 Yearly'!BA16</f>
        <v>12.19852403152443</v>
      </c>
      <c r="BB30" s="44">
        <f>'Scope 3 Yearly'!BB16</f>
        <v>11.831696798092516</v>
      </c>
      <c r="BC30" s="44">
        <f>'Scope 3 Yearly'!BC16</f>
        <v>11.470880674418776</v>
      </c>
      <c r="BD30" s="44">
        <f>'Scope 3 Yearly'!BD16</f>
        <v>11.122794456296834</v>
      </c>
      <c r="BE30" s="44">
        <f>'Scope 3 Yearly'!BE16</f>
        <v>10.65523057588339</v>
      </c>
      <c r="BF30" s="44">
        <f>'Scope 3 Yearly'!BF16</f>
        <v>10.245100856304056</v>
      </c>
      <c r="BG30" s="44">
        <f>'Scope 3 Yearly'!BG16</f>
        <v>9.8458366390874037</v>
      </c>
      <c r="BH30" s="44">
        <f>'Scope 3 Yearly'!BH16</f>
        <v>9.4574411887928047</v>
      </c>
      <c r="BI30" s="44">
        <f>'Scope 3 Yearly'!BI16</f>
        <v>9.0808624115340706</v>
      </c>
      <c r="BJ30" s="44">
        <f>'Scope 3 Yearly'!BJ16</f>
        <v>8.7141104183846263</v>
      </c>
      <c r="BK30" s="44">
        <f>'Scope 3 Yearly'!BK16</f>
        <v>8.3578723292325634</v>
      </c>
      <c r="BL30" s="44">
        <f>'Scope 3 Yearly'!BL16</f>
        <v>8.0114440203122257</v>
      </c>
      <c r="BM30" s="44">
        <f>'Scope 3 Yearly'!BM16</f>
        <v>7.6741753512179924</v>
      </c>
      <c r="BN30" s="44">
        <f>'Scope 3 Yearly'!BN16</f>
        <v>7.3596677947213083</v>
      </c>
      <c r="BO30" s="44"/>
      <c r="BP30" s="44">
        <f>'Scope 3 Yearly'!BP16</f>
        <v>14.704609249442761</v>
      </c>
      <c r="BQ30" s="44">
        <f>'Scope 3 Yearly'!BQ16</f>
        <v>15.44629848052436</v>
      </c>
      <c r="BR30" s="44">
        <f>'Scope 3 Yearly'!BR16</f>
        <v>16.174900739465006</v>
      </c>
      <c r="BS30" s="44">
        <f>'Scope 3 Yearly'!BS16</f>
        <v>16.885496957036384</v>
      </c>
      <c r="BT30" s="44">
        <f>'Scope 3 Yearly'!BT16</f>
        <v>17.573109714954494</v>
      </c>
      <c r="BU30" s="44">
        <f>'Scope 3 Yearly'!BU16</f>
        <v>18.232756271050185</v>
      </c>
      <c r="BV30" s="44">
        <f>'Scope 3 Yearly'!BV16</f>
        <v>18.904121811166853</v>
      </c>
      <c r="BW30" s="44">
        <f>'Scope 3 Yearly'!BW16</f>
        <v>19.586797072941629</v>
      </c>
      <c r="BX30" s="44">
        <f>'Scope 3 Yearly'!BX16</f>
        <v>20.280339463411437</v>
      </c>
      <c r="BY30" s="44">
        <f>'Scope 3 Yearly'!BY16</f>
        <v>20.984272914845548</v>
      </c>
      <c r="BZ30" s="44">
        <f>'Scope 3 Yearly'!BZ16</f>
        <v>21.698087823389432</v>
      </c>
      <c r="CA30" s="44">
        <f>'Scope 3 Yearly'!CA16</f>
        <v>22.38613901052058</v>
      </c>
      <c r="CB30" s="44">
        <f>'Scope 3 Yearly'!CB16</f>
        <v>23.044511988941178</v>
      </c>
      <c r="CC30" s="44">
        <f>'Scope 3 Yearly'!CC16</f>
        <v>23.669345701245142</v>
      </c>
      <c r="CD30" s="44">
        <f>'Scope 3 Yearly'!CD16</f>
        <v>24.256865656601118</v>
      </c>
      <c r="CE30" s="44">
        <f>'Scope 3 Yearly'!CE16</f>
        <v>24.803417167198827</v>
      </c>
      <c r="CF30" s="44">
        <f>'Scope 3 Yearly'!CF16</f>
        <v>25.355485291300724</v>
      </c>
      <c r="CG30" s="44">
        <f>'Scope 3 Yearly'!CG16</f>
        <v>25.912973830084251</v>
      </c>
      <c r="CH30" s="44">
        <f>'Scope 3 Yearly'!CH16</f>
        <v>26.475781957703553</v>
      </c>
      <c r="CI30" s="44">
        <f>'Scope 3 Yearly'!CI16</f>
        <v>27.043804182167598</v>
      </c>
      <c r="CJ30" s="44">
        <f>'Scope 3 Yearly'!CJ16</f>
        <v>27.616930308164015</v>
      </c>
      <c r="CK30" s="44">
        <f>'Scope 3 Yearly'!CK16</f>
        <v>28.195386874682931</v>
      </c>
      <c r="CL30" s="44">
        <f>'Scope 3 Yearly'!CL16</f>
        <v>28.779076586126294</v>
      </c>
      <c r="CM30" s="44">
        <f>'Scope 3 Yearly'!CM16</f>
        <v>29.367897837274214</v>
      </c>
      <c r="CN30" s="44">
        <f>'Scope 3 Yearly'!CN16</f>
        <v>29.961744676857638</v>
      </c>
      <c r="CO30" s="44">
        <f>'Scope 3 Yearly'!CO16</f>
        <v>30.560506772635247</v>
      </c>
      <c r="CP30" s="44">
        <f>'Scope 3 Yearly'!CP16</f>
        <v>31.164394459511886</v>
      </c>
      <c r="CQ30" s="44">
        <f>'Scope 3 Yearly'!CQ16</f>
        <v>31.773308755998769</v>
      </c>
      <c r="CR30" s="44">
        <f>'Scope 3 Yearly'!CR16</f>
        <v>32.3871466249756</v>
      </c>
      <c r="CS30" s="44">
        <f>'Scope 3 Yearly'!CS16</f>
        <v>33.005800938969216</v>
      </c>
      <c r="CT30" s="44">
        <f>'Scope 3 Yearly'!CT16</f>
        <v>33.629160446584642</v>
      </c>
      <c r="CU30" s="44"/>
      <c r="CV30" s="44">
        <f>'Scope 3 Yearly'!CV16</f>
        <v>14.704605283598386</v>
      </c>
      <c r="CW30" s="44">
        <f>'Scope 3 Yearly'!CW16</f>
        <v>14.948125927143412</v>
      </c>
      <c r="CX30" s="44">
        <f>'Scope 3 Yearly'!CX16</f>
        <v>15.133131803068013</v>
      </c>
      <c r="CY30" s="44">
        <f>'Scope 3 Yearly'!CY16</f>
        <v>15.277460578085707</v>
      </c>
      <c r="CZ30" s="44">
        <f>'Scope 3 Yearly'!CZ16</f>
        <v>15.380471901366288</v>
      </c>
      <c r="DA30" s="44">
        <f>'Scope 3 Yearly'!DA16</f>
        <v>15.441235322143498</v>
      </c>
      <c r="DB30" s="44">
        <f>'Scope 3 Yearly'!DB16</f>
        <v>15.497269830539247</v>
      </c>
      <c r="DC30" s="44">
        <f>'Scope 3 Yearly'!DC16</f>
        <v>15.544205999125495</v>
      </c>
      <c r="DD30" s="44">
        <f>'Scope 3 Yearly'!DD16</f>
        <v>15.581755766288801</v>
      </c>
      <c r="DE30" s="44">
        <f>'Scope 3 Yearly'!DE16</f>
        <v>15.609537385197397</v>
      </c>
      <c r="DF30" s="44">
        <f>'Scope 3 Yearly'!DF16</f>
        <v>15.627150656181735</v>
      </c>
      <c r="DG30" s="44">
        <f>'Scope 3 Yearly'!DG16</f>
        <v>15.547590435527368</v>
      </c>
      <c r="DH30" s="44">
        <f>'Scope 3 Yearly'!DH16</f>
        <v>15.433080693025236</v>
      </c>
      <c r="DI30" s="44">
        <f>'Scope 3 Yearly'!DI16</f>
        <v>15.294518448455891</v>
      </c>
      <c r="DJ30" s="44">
        <f>'Scope 3 Yearly'!DJ16</f>
        <v>15.12620942838123</v>
      </c>
      <c r="DK30" s="44">
        <f>'Scope 3 Yearly'!DK16</f>
        <v>14.928941963548663</v>
      </c>
      <c r="DL30" s="44">
        <f>'Scope 3 Yearly'!DL16</f>
        <v>14.72889854751134</v>
      </c>
      <c r="DM30" s="44">
        <f>'Scope 3 Yearly'!DM16</f>
        <v>14.528824879953445</v>
      </c>
      <c r="DN30" s="44">
        <f>'Scope 3 Yearly'!DN16</f>
        <v>14.330050568455414</v>
      </c>
      <c r="DO30" s="44">
        <f>'Scope 3 Yearly'!DO16</f>
        <v>14.133728263983789</v>
      </c>
      <c r="DP30" s="44">
        <f>'Scope 3 Yearly'!DP16</f>
        <v>13.94636821199119</v>
      </c>
      <c r="DQ30" s="44">
        <f>'Scope 3 Yearly'!DQ16</f>
        <v>13.699340315729724</v>
      </c>
      <c r="DR30" s="44">
        <f>'Scope 3 Yearly'!DR16</f>
        <v>13.443163585632199</v>
      </c>
      <c r="DS30" s="44">
        <f>'Scope 3 Yearly'!DS16</f>
        <v>13.196294966729051</v>
      </c>
      <c r="DT30" s="44">
        <f>'Scope 3 Yearly'!DT16</f>
        <v>12.95564628113253</v>
      </c>
      <c r="DU30" s="44">
        <f>'Scope 3 Yearly'!DU16</f>
        <v>12.72194995597472</v>
      </c>
      <c r="DV30" s="44">
        <f>'Scope 3 Yearly'!DV16</f>
        <v>12.496331835735727</v>
      </c>
      <c r="DW30" s="44">
        <f>'Scope 3 Yearly'!DW16</f>
        <v>12.275896628532347</v>
      </c>
      <c r="DX30" s="44">
        <f>'Scope 3 Yearly'!DX16</f>
        <v>12.059722167489475</v>
      </c>
      <c r="DY30" s="44">
        <f>'Scope 3 Yearly'!DY16</f>
        <v>11.846939463763603</v>
      </c>
      <c r="DZ30" s="44">
        <f>'Scope 3 Yearly'!DZ16</f>
        <v>11.650930460569716</v>
      </c>
      <c r="EI30" s="26"/>
    </row>
    <row r="31" spans="1:151" s="488" customFormat="1" ht="16" thickBot="1" x14ac:dyDescent="0.25">
      <c r="A31" s="185" t="s">
        <v>91</v>
      </c>
      <c r="C31" s="639" t="str">
        <f>'Yearly HC Ethylene'!C152</f>
        <v>m Tons</v>
      </c>
      <c r="D31" s="640">
        <f>D4-SUM(D5:D20)-D22+$D$22-D23</f>
        <v>661.79206290274794</v>
      </c>
      <c r="E31" s="640">
        <f t="shared" ref="E31:AH31" si="100">E4-SUM(E5:E20)-E22+$D$22-E23</f>
        <v>676.07258110502858</v>
      </c>
      <c r="F31" s="640">
        <f t="shared" si="100"/>
        <v>687.94270304137763</v>
      </c>
      <c r="G31" s="640">
        <f t="shared" si="100"/>
        <v>700.73382820606776</v>
      </c>
      <c r="H31" s="640">
        <f t="shared" si="100"/>
        <v>712.42575196685971</v>
      </c>
      <c r="I31" s="640">
        <f t="shared" si="100"/>
        <v>724.01652833888238</v>
      </c>
      <c r="J31" s="640">
        <f t="shared" si="100"/>
        <v>734.65729483700466</v>
      </c>
      <c r="K31" s="640">
        <f t="shared" si="100"/>
        <v>746.06281996098096</v>
      </c>
      <c r="L31" s="640">
        <f t="shared" si="100"/>
        <v>756.22049176649534</v>
      </c>
      <c r="M31" s="640">
        <f t="shared" si="100"/>
        <v>768.12714900090702</v>
      </c>
      <c r="N31" s="640">
        <f t="shared" si="100"/>
        <v>780.78620646356046</v>
      </c>
      <c r="O31" s="640">
        <f t="shared" si="100"/>
        <v>804.37542154085884</v>
      </c>
      <c r="P31" s="640">
        <f t="shared" si="100"/>
        <v>829.175948171801</v>
      </c>
      <c r="Q31" s="640">
        <f t="shared" si="100"/>
        <v>852.56850780687535</v>
      </c>
      <c r="R31" s="640">
        <f t="shared" si="100"/>
        <v>876.90157556321731</v>
      </c>
      <c r="S31" s="640">
        <f t="shared" si="100"/>
        <v>899.17752009657625</v>
      </c>
      <c r="T31" s="640">
        <f t="shared" si="100"/>
        <v>956.01333633964043</v>
      </c>
      <c r="U31" s="640">
        <f t="shared" si="100"/>
        <v>1009.1677926775359</v>
      </c>
      <c r="V31" s="640">
        <f t="shared" si="100"/>
        <v>1059.7583338606473</v>
      </c>
      <c r="W31" s="640">
        <f t="shared" si="100"/>
        <v>1105.8277152063424</v>
      </c>
      <c r="X31" s="640">
        <f t="shared" si="100"/>
        <v>1150.5984974953963</v>
      </c>
      <c r="Y31" s="640">
        <f t="shared" si="100"/>
        <v>1186.5038117585386</v>
      </c>
      <c r="Z31" s="640">
        <f t="shared" si="100"/>
        <v>1221.8851966991513</v>
      </c>
      <c r="AA31" s="640">
        <f t="shared" si="100"/>
        <v>1255.7410046212412</v>
      </c>
      <c r="AB31" s="640">
        <f t="shared" si="100"/>
        <v>1285.9339483439567</v>
      </c>
      <c r="AC31" s="640">
        <f t="shared" si="100"/>
        <v>1314.4868264122617</v>
      </c>
      <c r="AD31" s="640">
        <f t="shared" si="100"/>
        <v>1303.9066696632676</v>
      </c>
      <c r="AE31" s="640">
        <f t="shared" si="100"/>
        <v>1293.3698323235039</v>
      </c>
      <c r="AF31" s="640">
        <f t="shared" si="100"/>
        <v>1281.8893203002594</v>
      </c>
      <c r="AG31" s="640">
        <f t="shared" si="100"/>
        <v>1271.4778024138532</v>
      </c>
      <c r="AH31" s="640">
        <f t="shared" si="100"/>
        <v>1261.3233577374929</v>
      </c>
      <c r="AI31" s="640"/>
      <c r="AJ31" s="640">
        <f>AJ4-SUM(AJ5:AJ20)-AJ22+$D$22-AJ23</f>
        <v>661.79212713356355</v>
      </c>
      <c r="AK31" s="640">
        <f t="shared" ref="AK31:BN31" si="101">AK4-SUM(AK5:AK20)-AK22+$D$22-AK23</f>
        <v>678.99353249473779</v>
      </c>
      <c r="AL31" s="640">
        <f t="shared" si="101"/>
        <v>693.95143009244543</v>
      </c>
      <c r="AM31" s="640">
        <f t="shared" si="101"/>
        <v>709.93951743555431</v>
      </c>
      <c r="AN31" s="640">
        <f t="shared" si="101"/>
        <v>724.96020768654182</v>
      </c>
      <c r="AO31" s="640">
        <f t="shared" si="101"/>
        <v>740.01339673780637</v>
      </c>
      <c r="AP31" s="640">
        <f t="shared" si="101"/>
        <v>754.20025312814744</v>
      </c>
      <c r="AQ31" s="640">
        <f t="shared" si="101"/>
        <v>769.2715067023114</v>
      </c>
      <c r="AR31" s="640">
        <f t="shared" si="101"/>
        <v>783.21941459171228</v>
      </c>
      <c r="AS31" s="640">
        <f t="shared" si="101"/>
        <v>799.04543516587933</v>
      </c>
      <c r="AT31" s="640">
        <f t="shared" si="101"/>
        <v>815.76056006053511</v>
      </c>
      <c r="AU31" s="640">
        <f t="shared" si="101"/>
        <v>844.03166707197158</v>
      </c>
      <c r="AV31" s="640">
        <f t="shared" si="101"/>
        <v>873.59090591166012</v>
      </c>
      <c r="AW31" s="640">
        <f t="shared" si="101"/>
        <v>901.9389153446466</v>
      </c>
      <c r="AX31" s="640">
        <f t="shared" si="101"/>
        <v>931.36808353931258</v>
      </c>
      <c r="AY31" s="640">
        <f t="shared" si="101"/>
        <v>958.8782225681374</v>
      </c>
      <c r="AZ31" s="640">
        <f t="shared" si="101"/>
        <v>1021.0380146713957</v>
      </c>
      <c r="BA31" s="640">
        <f t="shared" si="101"/>
        <v>1079.6698660087886</v>
      </c>
      <c r="BB31" s="640">
        <f t="shared" si="101"/>
        <v>1135.8348354016487</v>
      </c>
      <c r="BC31" s="640">
        <f t="shared" si="101"/>
        <v>1187.5531665882734</v>
      </c>
      <c r="BD31" s="640">
        <f t="shared" si="101"/>
        <v>1238.0376553556468</v>
      </c>
      <c r="BE31" s="640">
        <f t="shared" si="101"/>
        <v>1280.4432145797825</v>
      </c>
      <c r="BF31" s="640">
        <f t="shared" si="101"/>
        <v>1322.2028437500071</v>
      </c>
      <c r="BG31" s="640">
        <f t="shared" si="101"/>
        <v>1362.4320603604276</v>
      </c>
      <c r="BH31" s="640">
        <f t="shared" si="101"/>
        <v>1399.0872285332748</v>
      </c>
      <c r="BI31" s="640">
        <f t="shared" si="101"/>
        <v>1434.2070474488219</v>
      </c>
      <c r="BJ31" s="640">
        <f t="shared" si="101"/>
        <v>1430.261220079914</v>
      </c>
      <c r="BK31" s="640">
        <f t="shared" si="101"/>
        <v>1426.4490674758376</v>
      </c>
      <c r="BL31" s="640">
        <f t="shared" si="101"/>
        <v>1421.7888794368071</v>
      </c>
      <c r="BM31" s="640">
        <f t="shared" si="101"/>
        <v>1418.2753114309394</v>
      </c>
      <c r="BN31" s="640">
        <f t="shared" si="101"/>
        <v>1415.4180620969469</v>
      </c>
      <c r="BP31" s="640">
        <f>BP4-SUM(BP5:BP20)-BP22+$D$22-BP23</f>
        <v>661.79220645045098</v>
      </c>
      <c r="BQ31" s="640">
        <f t="shared" ref="BQ31:CT31" si="102">BQ4-SUM(BQ5:BQ20)-BQ22+$D$22-BQ23</f>
        <v>684.6516736443474</v>
      </c>
      <c r="BR31" s="640">
        <f t="shared" si="102"/>
        <v>706.02642100080254</v>
      </c>
      <c r="BS31" s="640">
        <f t="shared" si="102"/>
        <v>728.52490893455285</v>
      </c>
      <c r="BT31" s="640">
        <f t="shared" si="102"/>
        <v>750.21402052357928</v>
      </c>
      <c r="BU31" s="640">
        <f t="shared" si="102"/>
        <v>772.08097130968838</v>
      </c>
      <c r="BV31" s="640">
        <f t="shared" si="102"/>
        <v>793.15953430554021</v>
      </c>
      <c r="BW31" s="640">
        <f t="shared" si="102"/>
        <v>815.31892176573854</v>
      </c>
      <c r="BX31" s="640">
        <f t="shared" si="102"/>
        <v>836.55509058975667</v>
      </c>
      <c r="BY31" s="640">
        <f t="shared" si="102"/>
        <v>859.87440307742304</v>
      </c>
      <c r="BZ31" s="640">
        <f t="shared" si="102"/>
        <v>884.2936725736912</v>
      </c>
      <c r="CA31" s="640">
        <f t="shared" si="102"/>
        <v>924.69891176280953</v>
      </c>
      <c r="CB31" s="640">
        <f t="shared" si="102"/>
        <v>966.32114284949637</v>
      </c>
      <c r="CC31" s="640">
        <f t="shared" si="102"/>
        <v>1007.1358721433854</v>
      </c>
      <c r="CD31" s="640">
        <f t="shared" si="102"/>
        <v>1049.179240265611</v>
      </c>
      <c r="CE31" s="640">
        <f t="shared" si="102"/>
        <v>1089.4381046268099</v>
      </c>
      <c r="CF31" s="640">
        <f t="shared" si="102"/>
        <v>1164.5944659912423</v>
      </c>
      <c r="CG31" s="640">
        <f t="shared" si="102"/>
        <v>1236.440204279688</v>
      </c>
      <c r="CH31" s="640">
        <f t="shared" si="102"/>
        <v>1306.0046748937648</v>
      </c>
      <c r="CI31" s="640">
        <f t="shared" si="102"/>
        <v>1371.2783992605553</v>
      </c>
      <c r="CJ31" s="640">
        <f t="shared" si="102"/>
        <v>1435.2932183725231</v>
      </c>
      <c r="CK31" s="640">
        <f t="shared" si="102"/>
        <v>1493.9922842244907</v>
      </c>
      <c r="CL31" s="640">
        <f t="shared" si="102"/>
        <v>1551.1531443833915</v>
      </c>
      <c r="CM31" s="640">
        <f t="shared" si="102"/>
        <v>1606.7725033865513</v>
      </c>
      <c r="CN31" s="640">
        <f t="shared" si="102"/>
        <v>1658.8892291523428</v>
      </c>
      <c r="CO31" s="640">
        <f t="shared" si="102"/>
        <v>1709.5146394437884</v>
      </c>
      <c r="CP31" s="640">
        <f t="shared" si="102"/>
        <v>1721.0581075384086</v>
      </c>
      <c r="CQ31" s="640">
        <f t="shared" si="102"/>
        <v>1732.8149156942341</v>
      </c>
      <c r="CR31" s="640">
        <f t="shared" si="102"/>
        <v>1743.8257934771252</v>
      </c>
      <c r="CS31" s="640">
        <f t="shared" si="102"/>
        <v>1756.1055008119044</v>
      </c>
      <c r="CT31" s="640">
        <f t="shared" si="102"/>
        <v>1768.7133631023971</v>
      </c>
      <c r="CV31" s="640">
        <f>CV4-SUM(CV5:CV20)-CV22+$D$22-CV23</f>
        <v>661.79212713356355</v>
      </c>
      <c r="CW31" s="640">
        <f t="shared" ref="CW31:DZ31" si="103">CW4-SUM(CW5:CW20)-CW22+$D$22-CW23</f>
        <v>683.19367798522467</v>
      </c>
      <c r="CX31" s="640">
        <f t="shared" si="103"/>
        <v>702.70202463197904</v>
      </c>
      <c r="CY31" s="640">
        <f t="shared" si="103"/>
        <v>723.32838444474112</v>
      </c>
      <c r="CZ31" s="640">
        <f t="shared" si="103"/>
        <v>743.16786783086138</v>
      </c>
      <c r="DA31" s="640">
        <f t="shared" si="103"/>
        <v>763.22378527394017</v>
      </c>
      <c r="DB31" s="640">
        <f t="shared" si="103"/>
        <v>782.55446535879332</v>
      </c>
      <c r="DC31" s="640">
        <f t="shared" si="103"/>
        <v>802.9434776999218</v>
      </c>
      <c r="DD31" s="640">
        <f t="shared" si="103"/>
        <v>822.38713272092434</v>
      </c>
      <c r="DE31" s="640">
        <f t="shared" si="103"/>
        <v>843.88974509034063</v>
      </c>
      <c r="DF31" s="640">
        <f t="shared" si="103"/>
        <v>866.46520600248846</v>
      </c>
      <c r="DG31" s="640">
        <f t="shared" si="103"/>
        <v>903.57078055437057</v>
      </c>
      <c r="DH31" s="640">
        <f t="shared" si="103"/>
        <v>941.86197586470348</v>
      </c>
      <c r="DI31" s="640">
        <f t="shared" si="103"/>
        <v>979.58314952569071</v>
      </c>
      <c r="DJ31" s="640">
        <f t="shared" si="103"/>
        <v>1018.6429699387389</v>
      </c>
      <c r="DK31" s="640">
        <f t="shared" si="103"/>
        <v>1056.0482575319397</v>
      </c>
      <c r="DL31" s="640">
        <f t="shared" si="103"/>
        <v>1128.3319847468185</v>
      </c>
      <c r="DM31" s="640">
        <f t="shared" si="103"/>
        <v>1197.3568519925154</v>
      </c>
      <c r="DN31" s="640">
        <f t="shared" si="103"/>
        <v>1264.1906682039119</v>
      </c>
      <c r="DO31" s="640">
        <f t="shared" si="103"/>
        <v>1326.8603409170416</v>
      </c>
      <c r="DP31" s="640">
        <f t="shared" si="103"/>
        <v>1388.5827824627183</v>
      </c>
      <c r="DQ31" s="640">
        <f t="shared" si="103"/>
        <v>1443.4073917508842</v>
      </c>
      <c r="DR31" s="640">
        <f t="shared" si="103"/>
        <v>1496.4525496148729</v>
      </c>
      <c r="DS31" s="640">
        <f t="shared" si="103"/>
        <v>1548.2339932318237</v>
      </c>
      <c r="DT31" s="640">
        <f t="shared" si="103"/>
        <v>1596.7165740842092</v>
      </c>
      <c r="DU31" s="640">
        <f t="shared" si="103"/>
        <v>1643.946209743003</v>
      </c>
      <c r="DV31" s="640">
        <f t="shared" si="103"/>
        <v>1652.3769505175305</v>
      </c>
      <c r="DW31" s="640">
        <f t="shared" si="103"/>
        <v>1661.2316888315909</v>
      </c>
      <c r="DX31" s="640">
        <f t="shared" si="103"/>
        <v>1669.5354968354904</v>
      </c>
      <c r="DY31" s="640">
        <f t="shared" si="103"/>
        <v>1679.2877675027623</v>
      </c>
      <c r="DZ31" s="640">
        <f t="shared" si="103"/>
        <v>1690.0060389188234</v>
      </c>
      <c r="EI31" s="490"/>
    </row>
    <row r="32" spans="1:151" x14ac:dyDescent="0.2">
      <c r="A32" t="s">
        <v>53</v>
      </c>
      <c r="C32" s="54" t="str">
        <f>'Yearly HC Ethylene'!C153</f>
        <v>m Tons</v>
      </c>
      <c r="D32" s="44">
        <f>'Yearly Summary'!D10</f>
        <v>661.79206290274794</v>
      </c>
      <c r="E32" s="44">
        <f>'Yearly Summary'!E10</f>
        <v>675.90946830152075</v>
      </c>
      <c r="F32" s="44">
        <f>'Yearly Summary'!F10</f>
        <v>687.83612375772043</v>
      </c>
      <c r="G32" s="44">
        <f>'Yearly Summary'!G10</f>
        <v>700.68645570704257</v>
      </c>
      <c r="H32" s="44">
        <f>'Yearly Summary'!H10</f>
        <v>712.4402253807923</v>
      </c>
      <c r="I32" s="44">
        <f>'Yearly Summary'!I10</f>
        <v>724.10858655355617</v>
      </c>
      <c r="J32" s="44">
        <f>'Yearly Summary'!J10</f>
        <v>734.81540552737783</v>
      </c>
      <c r="K32" s="44">
        <f>'Yearly Summary'!K10</f>
        <v>746.28909416452268</v>
      </c>
      <c r="L32" s="44">
        <f>'Yearly Summary'!L10</f>
        <v>756.51708788374015</v>
      </c>
      <c r="M32" s="44">
        <f>'Yearly Summary'!M10</f>
        <v>768.49628453803723</v>
      </c>
      <c r="N32" s="44">
        <f>'Yearly Summary'!N10</f>
        <v>781.23017197408967</v>
      </c>
      <c r="O32" s="44">
        <f>'Yearly Summary'!O10</f>
        <v>804.91386219491517</v>
      </c>
      <c r="P32" s="44">
        <f>'Yearly Summary'!P10</f>
        <v>829.81077099420509</v>
      </c>
      <c r="Q32" s="44">
        <f>'Yearly Summary'!Q10</f>
        <v>853.30106726637132</v>
      </c>
      <c r="R32" s="44">
        <f>'Yearly Summary'!R10</f>
        <v>877.73380711010691</v>
      </c>
      <c r="S32" s="44">
        <f>'Yearly Summary'!S10</f>
        <v>900.11147947648431</v>
      </c>
      <c r="T32" s="44">
        <f>'Yearly Summary'!T10</f>
        <v>957.05816693767417</v>
      </c>
      <c r="U32" s="44">
        <f>'Yearly Summary'!U10</f>
        <v>1010.3279955192794</v>
      </c>
      <c r="V32" s="44">
        <f>'Yearly Summary'!V10</f>
        <v>1061.0388258917344</v>
      </c>
      <c r="W32" s="44">
        <f>'Yearly Summary'!W10</f>
        <v>1107.2338788009479</v>
      </c>
      <c r="X32" s="44">
        <f>'Yearly Summary'!X10</f>
        <v>1152.1362353859588</v>
      </c>
      <c r="Y32" s="44">
        <f>'Yearly Summary'!Y10</f>
        <v>1188.1348069238263</v>
      </c>
      <c r="Z32" s="44">
        <f>'Yearly Summary'!Z10</f>
        <v>1223.6149918461456</v>
      </c>
      <c r="AA32" s="44">
        <f>'Yearly Summary'!AA10</f>
        <v>1257.5741729767974</v>
      </c>
      <c r="AB32" s="44">
        <f>'Yearly Summary'!AB10</f>
        <v>1287.8774184719448</v>
      </c>
      <c r="AC32" s="44">
        <f>'Yearly Summary'!AC10</f>
        <v>1316.5484013661783</v>
      </c>
      <c r="AD32" s="44">
        <f>'Yearly Summary'!AD10</f>
        <v>1306.0898419880866</v>
      </c>
      <c r="AE32" s="44">
        <f>'Yearly Summary'!AE10</f>
        <v>1295.6887278248437</v>
      </c>
      <c r="AF32" s="44">
        <f>'Yearly Summary'!AF10</f>
        <v>1285.2160290783727</v>
      </c>
      <c r="AG32" s="44">
        <f>'Yearly Summary'!AG10</f>
        <v>1276.0227160954871</v>
      </c>
      <c r="AH32" s="44">
        <f>'Yearly Summary'!AH10</f>
        <v>1264.0984227883757</v>
      </c>
      <c r="AJ32" s="44">
        <f>'Yearly Summary'!AJ10</f>
        <v>661.79212743149321</v>
      </c>
      <c r="AK32" s="44">
        <f>'Yearly Summary'!AK10</f>
        <v>678.80251401342741</v>
      </c>
      <c r="AL32" s="44">
        <f>'Yearly Summary'!AL10</f>
        <v>693.78819963817932</v>
      </c>
      <c r="AM32" s="44">
        <f>'Yearly Summary'!AM10</f>
        <v>709.80589830604254</v>
      </c>
      <c r="AN32" s="44">
        <f>'Yearly Summary'!AN10</f>
        <v>724.85797760430864</v>
      </c>
      <c r="AO32" s="44">
        <f>'Yearly Summary'!AO10</f>
        <v>739.95741967077038</v>
      </c>
      <c r="AP32" s="44">
        <f>'Yearly Summary'!AP10</f>
        <v>754.17808116810784</v>
      </c>
      <c r="AQ32" s="44">
        <f>'Yearly Summary'!AQ10</f>
        <v>769.28431419416734</v>
      </c>
      <c r="AR32" s="44">
        <f>'Yearly Summary'!AR10</f>
        <v>783.26840611595139</v>
      </c>
      <c r="AS32" s="44">
        <f>'Yearly Summary'!AS10</f>
        <v>799.13186651248577</v>
      </c>
      <c r="AT32" s="44">
        <f>'Yearly Summary'!AT10</f>
        <v>815.88577278424179</v>
      </c>
      <c r="AU32" s="44">
        <f>'Yearly Summary'!AU10</f>
        <v>844.21314411343315</v>
      </c>
      <c r="AV32" s="44">
        <f>'Yearly Summary'!AV10</f>
        <v>873.82973650468091</v>
      </c>
      <c r="AW32" s="44">
        <f>'Yearly Summary'!AW10</f>
        <v>902.23577514339627</v>
      </c>
      <c r="AX32" s="44">
        <f>'Yearly Summary'!AX10</f>
        <v>931.72426427588596</v>
      </c>
      <c r="AY32" s="44">
        <f>'Yearly Summary'!AY10</f>
        <v>959.29523759986898</v>
      </c>
      <c r="AZ32" s="44">
        <f>'Yearly Summary'!AZ10</f>
        <v>1021.5243729411629</v>
      </c>
      <c r="BA32" s="44">
        <f>'Yearly Summary'!BA10</f>
        <v>1080.2294952208781</v>
      </c>
      <c r="BB32" s="44">
        <f>'Yearly Summary'!BB10</f>
        <v>1136.4720132215098</v>
      </c>
      <c r="BC32" s="44">
        <f>'Yearly Summary'!BC10</f>
        <v>1188.2725217627615</v>
      </c>
      <c r="BD32" s="44">
        <f>'Yearly Summary'!BD10</f>
        <v>1238.844204701833</v>
      </c>
      <c r="BE32" s="44">
        <f>'Yearly Summary'!BE10</f>
        <v>1281.4055033105451</v>
      </c>
      <c r="BF32" s="44">
        <f>'Yearly Summary'!BF10</f>
        <v>1323.3287288663671</v>
      </c>
      <c r="BG32" s="44">
        <f>'Yearly Summary'!BG10</f>
        <v>1363.7288007170664</v>
      </c>
      <c r="BH32" s="44">
        <f>'Yearly Summary'!BH10</f>
        <v>1400.5643461456614</v>
      </c>
      <c r="BI32" s="44">
        <f>'Yearly Summary'!BI10</f>
        <v>1435.8750822602619</v>
      </c>
      <c r="BJ32" s="44">
        <f>'Yearly Summary'!BJ10</f>
        <v>1432.1267739018424</v>
      </c>
      <c r="BK32" s="44">
        <f>'Yearly Summary'!BK10</f>
        <v>1428.4936861743258</v>
      </c>
      <c r="BL32" s="44">
        <f>'Yearly Summary'!BL10</f>
        <v>1424.0028638537522</v>
      </c>
      <c r="BM32" s="44">
        <f>'Yearly Summary'!BM10</f>
        <v>1420.6807687685227</v>
      </c>
      <c r="BN32" s="44">
        <f>'Yearly Summary'!BN10</f>
        <v>1418.2361936330017</v>
      </c>
      <c r="BP32" s="44"/>
      <c r="BQ32" s="44"/>
      <c r="BR32" s="44"/>
      <c r="BS32" s="44"/>
      <c r="BT32" s="44"/>
      <c r="BU32" s="44"/>
      <c r="BV32" s="44"/>
      <c r="BW32" s="44"/>
      <c r="BX32" s="44"/>
      <c r="BY32" s="44"/>
      <c r="BZ32" s="44"/>
      <c r="CA32" s="44"/>
      <c r="CB32" s="44"/>
      <c r="CC32" s="44"/>
      <c r="CD32" s="44"/>
      <c r="CE32" s="44"/>
      <c r="CF32" s="44"/>
      <c r="CG32" s="44"/>
      <c r="CH32" s="44"/>
      <c r="CI32" s="44"/>
      <c r="CJ32" s="44"/>
      <c r="CK32" s="44"/>
      <c r="CL32" s="44"/>
      <c r="CM32" s="44"/>
      <c r="CN32" s="44"/>
      <c r="CO32" s="44"/>
      <c r="CP32" s="44"/>
      <c r="CQ32" s="44"/>
      <c r="CR32" s="44"/>
      <c r="CS32" s="44"/>
      <c r="CT32" s="44"/>
      <c r="CV32" s="44"/>
      <c r="CW32" s="44"/>
      <c r="CX32" s="44"/>
      <c r="CY32" s="44"/>
      <c r="CZ32" s="44"/>
      <c r="DA32" s="44"/>
      <c r="DB32" s="44"/>
      <c r="DC32" s="44"/>
      <c r="DD32" s="44"/>
      <c r="DE32" s="44"/>
      <c r="DF32" s="44"/>
      <c r="DG32" s="44"/>
      <c r="DH32" s="44"/>
      <c r="DI32" s="44"/>
      <c r="DJ32" s="44"/>
      <c r="DK32" s="44"/>
      <c r="DL32" s="44"/>
      <c r="DM32" s="44"/>
      <c r="DN32" s="44"/>
      <c r="DO32" s="44"/>
      <c r="DP32" s="44"/>
      <c r="DQ32" s="44"/>
      <c r="DR32" s="44"/>
      <c r="DS32" s="44"/>
      <c r="DT32" s="44"/>
      <c r="DU32" s="44"/>
      <c r="DV32" s="44"/>
      <c r="DW32" s="44"/>
      <c r="DX32" s="44"/>
      <c r="DY32" s="44"/>
      <c r="DZ32" s="44"/>
      <c r="EI32" s="26"/>
    </row>
    <row r="33" spans="1:147" x14ac:dyDescent="0.2">
      <c r="AH33" s="44"/>
      <c r="AI33" s="44">
        <f>SUM(AH27:AH30)</f>
        <v>47.224770511128895</v>
      </c>
      <c r="AJ33" s="2">
        <f>(CU33-AI33)/CU33</f>
        <v>0.83874292184600885</v>
      </c>
      <c r="BN33" s="44">
        <f>BN32+675+150</f>
        <v>2243.2361936330017</v>
      </c>
      <c r="BO33" s="44">
        <f>SUM(BN27:BN30)</f>
        <v>63.78378755425134</v>
      </c>
      <c r="BP33" s="2">
        <f>(CU33-BO33)/CU33</f>
        <v>0.78219931821225908</v>
      </c>
      <c r="CU33" s="44">
        <f>SUM(CT27:CT30)</f>
        <v>292.85393888900796</v>
      </c>
      <c r="EF33" s="1" t="s">
        <v>92</v>
      </c>
      <c r="EI33" s="26"/>
    </row>
    <row r="34" spans="1:147" ht="16" thickBot="1" x14ac:dyDescent="0.25">
      <c r="A34" s="637" t="s">
        <v>93</v>
      </c>
      <c r="B34" s="637"/>
      <c r="C34" s="638"/>
      <c r="D34" s="637"/>
      <c r="E34" s="637"/>
      <c r="F34" s="637"/>
      <c r="G34" s="637"/>
      <c r="H34" s="637"/>
      <c r="I34" s="637"/>
      <c r="J34" s="637"/>
      <c r="K34" s="637"/>
      <c r="L34" s="637"/>
      <c r="M34" s="637"/>
      <c r="N34" s="637"/>
      <c r="O34" s="637"/>
      <c r="P34" s="637"/>
      <c r="Q34" s="637"/>
      <c r="R34" s="637"/>
      <c r="S34" s="637"/>
      <c r="T34" s="637"/>
      <c r="U34" s="637"/>
      <c r="V34" s="637"/>
      <c r="W34" s="637"/>
      <c r="X34" s="637"/>
      <c r="Y34" s="637"/>
      <c r="Z34" s="637"/>
      <c r="AA34" s="637"/>
      <c r="AB34" s="637"/>
      <c r="AC34" s="637"/>
      <c r="AD34" s="637"/>
      <c r="AE34" s="637"/>
      <c r="AF34" s="637"/>
      <c r="AG34" s="637"/>
      <c r="AH34" s="637"/>
      <c r="AI34" s="637"/>
      <c r="AJ34" s="637"/>
      <c r="AK34" s="637"/>
      <c r="AL34" s="637"/>
      <c r="AM34" s="637"/>
      <c r="AN34" s="637"/>
      <c r="AO34" s="637"/>
      <c r="AP34" s="637"/>
      <c r="AQ34" s="637"/>
      <c r="AR34" s="637"/>
      <c r="AS34" s="637"/>
      <c r="AT34" s="637"/>
      <c r="AU34" s="637"/>
      <c r="AV34" s="637"/>
      <c r="AW34" s="637"/>
      <c r="AX34" s="637"/>
      <c r="AY34" s="637"/>
      <c r="AZ34" s="637"/>
      <c r="BA34" s="637"/>
      <c r="BB34" s="637"/>
      <c r="BC34" s="637"/>
      <c r="BD34" s="637"/>
      <c r="BE34" s="637"/>
      <c r="BF34" s="637"/>
      <c r="BG34" s="637"/>
      <c r="BH34" s="637"/>
      <c r="BI34" s="637"/>
      <c r="BJ34" s="637"/>
      <c r="BK34" s="637"/>
      <c r="BL34" s="637"/>
      <c r="BM34" s="637"/>
      <c r="BN34" s="637"/>
      <c r="BO34" s="637"/>
      <c r="BP34" s="637"/>
      <c r="BQ34" s="637"/>
      <c r="BR34" s="637"/>
      <c r="BS34" s="637"/>
      <c r="BT34" s="637"/>
      <c r="BU34" s="637"/>
      <c r="BV34" s="637"/>
      <c r="BW34" s="637"/>
      <c r="BX34" s="637"/>
      <c r="BY34" s="637"/>
      <c r="BZ34" s="637"/>
      <c r="CA34" s="637"/>
      <c r="CB34" s="637"/>
      <c r="CC34" s="637"/>
      <c r="CD34" s="637"/>
      <c r="CE34" s="637"/>
      <c r="CF34" s="637"/>
      <c r="CG34" s="637"/>
      <c r="CH34" s="637"/>
      <c r="CI34" s="637"/>
      <c r="CJ34" s="637"/>
      <c r="CK34" s="637"/>
      <c r="CL34" s="637"/>
      <c r="CM34" s="637"/>
      <c r="CN34" s="637"/>
      <c r="CO34" s="637"/>
      <c r="CP34" s="637"/>
      <c r="CQ34" s="637"/>
      <c r="CR34" s="637"/>
      <c r="CS34" s="637"/>
      <c r="CT34" s="637"/>
      <c r="CU34" s="637"/>
      <c r="CV34" s="637"/>
      <c r="CW34" s="637"/>
      <c r="CX34" s="637"/>
      <c r="CY34" s="637"/>
      <c r="CZ34" s="637"/>
      <c r="DA34" s="637"/>
      <c r="DB34" s="637"/>
      <c r="DC34" s="637"/>
      <c r="DD34" s="637"/>
      <c r="DE34" s="637"/>
      <c r="DF34" s="637"/>
      <c r="DG34" s="637"/>
      <c r="DH34" s="637"/>
      <c r="DI34" s="637"/>
      <c r="DJ34" s="637"/>
      <c r="DK34" s="637"/>
      <c r="DL34" s="637"/>
      <c r="DM34" s="637"/>
      <c r="DN34" s="637"/>
      <c r="DO34" s="637"/>
      <c r="DP34" s="637"/>
      <c r="DQ34" s="637"/>
      <c r="DR34" s="637"/>
      <c r="DS34" s="637"/>
      <c r="DT34" s="637"/>
      <c r="DU34" s="637"/>
      <c r="DV34" s="637"/>
      <c r="DW34" s="637"/>
      <c r="DX34" s="637"/>
      <c r="DY34" s="637"/>
      <c r="DZ34" s="637"/>
      <c r="EF34" s="1" t="s">
        <v>94</v>
      </c>
      <c r="EG34" s="54" t="s">
        <v>95</v>
      </c>
      <c r="EH34" s="54"/>
      <c r="EI34" s="491"/>
      <c r="EJ34" s="54"/>
      <c r="EM34" t="s">
        <v>96</v>
      </c>
    </row>
    <row r="35" spans="1:147" x14ac:dyDescent="0.2">
      <c r="B35" t="str">
        <f>B7</f>
        <v>Fuel additive elimination</v>
      </c>
      <c r="C35" s="54" t="s">
        <v>97</v>
      </c>
      <c r="D35" s="209">
        <f t="shared" ref="D35:D48" si="104">D7*$EF35*1000</f>
        <v>0</v>
      </c>
      <c r="E35" s="209">
        <f t="shared" ref="E35:AH35" si="105">E7*$EF35*1000</f>
        <v>0</v>
      </c>
      <c r="F35" s="209">
        <f t="shared" si="105"/>
        <v>0</v>
      </c>
      <c r="G35" s="209">
        <f t="shared" si="105"/>
        <v>0</v>
      </c>
      <c r="H35" s="209">
        <f t="shared" si="105"/>
        <v>0</v>
      </c>
      <c r="I35" s="209">
        <f t="shared" si="105"/>
        <v>0</v>
      </c>
      <c r="J35" s="209">
        <f t="shared" si="105"/>
        <v>0</v>
      </c>
      <c r="K35" s="209">
        <f t="shared" si="105"/>
        <v>0</v>
      </c>
      <c r="L35" s="209">
        <f t="shared" si="105"/>
        <v>0</v>
      </c>
      <c r="M35" s="209">
        <f t="shared" si="105"/>
        <v>0</v>
      </c>
      <c r="N35" s="209">
        <f t="shared" si="105"/>
        <v>0</v>
      </c>
      <c r="O35" s="209">
        <f t="shared" si="105"/>
        <v>0</v>
      </c>
      <c r="P35" s="209">
        <f t="shared" si="105"/>
        <v>0</v>
      </c>
      <c r="Q35" s="209">
        <f t="shared" si="105"/>
        <v>0</v>
      </c>
      <c r="R35" s="209">
        <f t="shared" si="105"/>
        <v>0</v>
      </c>
      <c r="S35" s="209">
        <f t="shared" si="105"/>
        <v>0</v>
      </c>
      <c r="T35" s="209">
        <f t="shared" si="105"/>
        <v>0</v>
      </c>
      <c r="U35" s="209">
        <f t="shared" si="105"/>
        <v>0</v>
      </c>
      <c r="V35" s="209">
        <f t="shared" si="105"/>
        <v>0</v>
      </c>
      <c r="W35" s="209">
        <f t="shared" si="105"/>
        <v>0</v>
      </c>
      <c r="X35" s="209">
        <f t="shared" si="105"/>
        <v>0</v>
      </c>
      <c r="Y35" s="209">
        <f t="shared" si="105"/>
        <v>0</v>
      </c>
      <c r="Z35" s="209">
        <f t="shared" si="105"/>
        <v>0</v>
      </c>
      <c r="AA35" s="209">
        <f t="shared" si="105"/>
        <v>0</v>
      </c>
      <c r="AB35" s="209">
        <f t="shared" si="105"/>
        <v>0</v>
      </c>
      <c r="AC35" s="209">
        <f t="shared" si="105"/>
        <v>0</v>
      </c>
      <c r="AD35" s="209">
        <f t="shared" si="105"/>
        <v>0</v>
      </c>
      <c r="AE35" s="209">
        <f t="shared" si="105"/>
        <v>0</v>
      </c>
      <c r="AF35" s="209">
        <f t="shared" si="105"/>
        <v>0</v>
      </c>
      <c r="AG35" s="209">
        <f t="shared" si="105"/>
        <v>0</v>
      </c>
      <c r="AH35" s="209">
        <f t="shared" si="105"/>
        <v>0</v>
      </c>
      <c r="AI35" s="209"/>
      <c r="AJ35" s="209">
        <f t="shared" ref="AJ35:BN35" si="106">AJ7*$EF35*1000</f>
        <v>0</v>
      </c>
      <c r="AK35" s="209">
        <f t="shared" si="106"/>
        <v>0</v>
      </c>
      <c r="AL35" s="209">
        <f t="shared" si="106"/>
        <v>0</v>
      </c>
      <c r="AM35" s="209">
        <f t="shared" si="106"/>
        <v>0</v>
      </c>
      <c r="AN35" s="209">
        <f t="shared" si="106"/>
        <v>0</v>
      </c>
      <c r="AO35" s="209">
        <f t="shared" si="106"/>
        <v>0</v>
      </c>
      <c r="AP35" s="209">
        <f t="shared" si="106"/>
        <v>0</v>
      </c>
      <c r="AQ35" s="209">
        <f t="shared" si="106"/>
        <v>0</v>
      </c>
      <c r="AR35" s="209">
        <f t="shared" si="106"/>
        <v>0</v>
      </c>
      <c r="AS35" s="209">
        <f t="shared" si="106"/>
        <v>0</v>
      </c>
      <c r="AT35" s="209">
        <f t="shared" si="106"/>
        <v>0</v>
      </c>
      <c r="AU35" s="209">
        <f t="shared" si="106"/>
        <v>0</v>
      </c>
      <c r="AV35" s="209">
        <f t="shared" si="106"/>
        <v>0</v>
      </c>
      <c r="AW35" s="209">
        <f t="shared" si="106"/>
        <v>0</v>
      </c>
      <c r="AX35" s="209">
        <f t="shared" si="106"/>
        <v>0</v>
      </c>
      <c r="AY35" s="209">
        <f t="shared" si="106"/>
        <v>0</v>
      </c>
      <c r="AZ35" s="209">
        <f t="shared" si="106"/>
        <v>0</v>
      </c>
      <c r="BA35" s="209">
        <f t="shared" si="106"/>
        <v>0</v>
      </c>
      <c r="BB35" s="209">
        <f t="shared" si="106"/>
        <v>0</v>
      </c>
      <c r="BC35" s="209">
        <f t="shared" si="106"/>
        <v>0</v>
      </c>
      <c r="BD35" s="209">
        <f t="shared" si="106"/>
        <v>0</v>
      </c>
      <c r="BE35" s="209">
        <f t="shared" si="106"/>
        <v>0</v>
      </c>
      <c r="BF35" s="209">
        <f t="shared" si="106"/>
        <v>0</v>
      </c>
      <c r="BG35" s="209">
        <f t="shared" si="106"/>
        <v>0</v>
      </c>
      <c r="BH35" s="209">
        <f t="shared" si="106"/>
        <v>0</v>
      </c>
      <c r="BI35" s="209">
        <f t="shared" si="106"/>
        <v>0</v>
      </c>
      <c r="BJ35" s="209">
        <f t="shared" si="106"/>
        <v>0</v>
      </c>
      <c r="BK35" s="209">
        <f t="shared" si="106"/>
        <v>0</v>
      </c>
      <c r="BL35" s="209">
        <f t="shared" si="106"/>
        <v>0</v>
      </c>
      <c r="BM35" s="209">
        <f t="shared" si="106"/>
        <v>0</v>
      </c>
      <c r="BN35" s="209">
        <f t="shared" si="106"/>
        <v>0</v>
      </c>
      <c r="BO35" s="209"/>
      <c r="BP35" s="209">
        <f t="shared" ref="BP35:CT35" si="107">BP7*$EF35*1000</f>
        <v>0</v>
      </c>
      <c r="BQ35" s="209">
        <f t="shared" si="107"/>
        <v>0</v>
      </c>
      <c r="BR35" s="209">
        <f t="shared" si="107"/>
        <v>0</v>
      </c>
      <c r="BS35" s="209">
        <f t="shared" si="107"/>
        <v>0</v>
      </c>
      <c r="BT35" s="209">
        <f t="shared" si="107"/>
        <v>0</v>
      </c>
      <c r="BU35" s="209">
        <f t="shared" si="107"/>
        <v>0</v>
      </c>
      <c r="BV35" s="209">
        <f t="shared" si="107"/>
        <v>0</v>
      </c>
      <c r="BW35" s="209">
        <f t="shared" si="107"/>
        <v>0</v>
      </c>
      <c r="BX35" s="209">
        <f t="shared" si="107"/>
        <v>0</v>
      </c>
      <c r="BY35" s="209">
        <f t="shared" si="107"/>
        <v>0</v>
      </c>
      <c r="BZ35" s="209">
        <f t="shared" si="107"/>
        <v>0</v>
      </c>
      <c r="CA35" s="209">
        <f t="shared" si="107"/>
        <v>0</v>
      </c>
      <c r="CB35" s="209">
        <f t="shared" si="107"/>
        <v>0</v>
      </c>
      <c r="CC35" s="209">
        <f t="shared" si="107"/>
        <v>0</v>
      </c>
      <c r="CD35" s="209">
        <f t="shared" si="107"/>
        <v>0</v>
      </c>
      <c r="CE35" s="209">
        <f t="shared" si="107"/>
        <v>0</v>
      </c>
      <c r="CF35" s="209">
        <f t="shared" si="107"/>
        <v>0</v>
      </c>
      <c r="CG35" s="209">
        <f t="shared" si="107"/>
        <v>0</v>
      </c>
      <c r="CH35" s="209">
        <f t="shared" si="107"/>
        <v>0</v>
      </c>
      <c r="CI35" s="209">
        <f t="shared" si="107"/>
        <v>0</v>
      </c>
      <c r="CJ35" s="209">
        <f t="shared" si="107"/>
        <v>0</v>
      </c>
      <c r="CK35" s="209">
        <f t="shared" si="107"/>
        <v>0</v>
      </c>
      <c r="CL35" s="209">
        <f t="shared" si="107"/>
        <v>0</v>
      </c>
      <c r="CM35" s="209">
        <f t="shared" si="107"/>
        <v>0</v>
      </c>
      <c r="CN35" s="209">
        <f t="shared" si="107"/>
        <v>0</v>
      </c>
      <c r="CO35" s="209">
        <f t="shared" si="107"/>
        <v>0</v>
      </c>
      <c r="CP35" s="209">
        <f t="shared" si="107"/>
        <v>0</v>
      </c>
      <c r="CQ35" s="209">
        <f t="shared" si="107"/>
        <v>0</v>
      </c>
      <c r="CR35" s="209">
        <f t="shared" si="107"/>
        <v>0</v>
      </c>
      <c r="CS35" s="209">
        <f t="shared" si="107"/>
        <v>0</v>
      </c>
      <c r="CT35" s="209">
        <f t="shared" si="107"/>
        <v>0</v>
      </c>
      <c r="CU35" s="209"/>
      <c r="CV35" s="209">
        <f t="shared" ref="CV35:DZ35" si="108">CV7*$EF35*1000</f>
        <v>0</v>
      </c>
      <c r="CW35" s="209">
        <f t="shared" si="108"/>
        <v>0</v>
      </c>
      <c r="CX35" s="209">
        <f t="shared" si="108"/>
        <v>0</v>
      </c>
      <c r="CY35" s="209">
        <f t="shared" si="108"/>
        <v>0</v>
      </c>
      <c r="CZ35" s="209">
        <f t="shared" si="108"/>
        <v>0</v>
      </c>
      <c r="DA35" s="209">
        <f t="shared" si="108"/>
        <v>0</v>
      </c>
      <c r="DB35" s="209">
        <f t="shared" si="108"/>
        <v>0</v>
      </c>
      <c r="DC35" s="209">
        <f t="shared" si="108"/>
        <v>0</v>
      </c>
      <c r="DD35" s="209">
        <f t="shared" si="108"/>
        <v>0</v>
      </c>
      <c r="DE35" s="209">
        <f t="shared" si="108"/>
        <v>0</v>
      </c>
      <c r="DF35" s="209">
        <f t="shared" si="108"/>
        <v>0</v>
      </c>
      <c r="DG35" s="209">
        <f t="shared" si="108"/>
        <v>0</v>
      </c>
      <c r="DH35" s="209">
        <f t="shared" si="108"/>
        <v>0</v>
      </c>
      <c r="DI35" s="209">
        <f t="shared" si="108"/>
        <v>0</v>
      </c>
      <c r="DJ35" s="209">
        <f t="shared" si="108"/>
        <v>0</v>
      </c>
      <c r="DK35" s="209">
        <f t="shared" si="108"/>
        <v>0</v>
      </c>
      <c r="DL35" s="209">
        <f t="shared" si="108"/>
        <v>0</v>
      </c>
      <c r="DM35" s="209">
        <f t="shared" si="108"/>
        <v>0</v>
      </c>
      <c r="DN35" s="209">
        <f t="shared" si="108"/>
        <v>0</v>
      </c>
      <c r="DO35" s="209">
        <f t="shared" si="108"/>
        <v>0</v>
      </c>
      <c r="DP35" s="209">
        <f t="shared" si="108"/>
        <v>0</v>
      </c>
      <c r="DQ35" s="209">
        <f t="shared" si="108"/>
        <v>0</v>
      </c>
      <c r="DR35" s="209">
        <f t="shared" si="108"/>
        <v>0</v>
      </c>
      <c r="DS35" s="209">
        <f t="shared" si="108"/>
        <v>0</v>
      </c>
      <c r="DT35" s="209">
        <f t="shared" si="108"/>
        <v>0</v>
      </c>
      <c r="DU35" s="209">
        <f t="shared" si="108"/>
        <v>0</v>
      </c>
      <c r="DV35" s="209">
        <f t="shared" si="108"/>
        <v>0</v>
      </c>
      <c r="DW35" s="209">
        <f t="shared" si="108"/>
        <v>0</v>
      </c>
      <c r="DX35" s="209">
        <f t="shared" si="108"/>
        <v>0</v>
      </c>
      <c r="DY35" s="209">
        <f t="shared" si="108"/>
        <v>0</v>
      </c>
      <c r="DZ35" s="209">
        <f t="shared" si="108"/>
        <v>0</v>
      </c>
      <c r="EF35" s="51">
        <v>0</v>
      </c>
      <c r="EI35" s="26"/>
      <c r="EM35" t="s">
        <v>98</v>
      </c>
    </row>
    <row r="36" spans="1:147" x14ac:dyDescent="0.2">
      <c r="A36" s="1"/>
      <c r="B36" t="str">
        <f t="shared" ref="B36:B48" si="109">B8</f>
        <v>Packaging reduction</v>
      </c>
      <c r="C36" s="54" t="s">
        <v>97</v>
      </c>
      <c r="D36" s="209">
        <f t="shared" si="104"/>
        <v>0</v>
      </c>
      <c r="E36" s="209">
        <f t="shared" ref="E36:AH36" si="110">E8*$EF36*1000</f>
        <v>0</v>
      </c>
      <c r="F36" s="209">
        <f t="shared" si="110"/>
        <v>0</v>
      </c>
      <c r="G36" s="209">
        <f t="shared" si="110"/>
        <v>0</v>
      </c>
      <c r="H36" s="209">
        <f t="shared" si="110"/>
        <v>0</v>
      </c>
      <c r="I36" s="209">
        <f t="shared" si="110"/>
        <v>0</v>
      </c>
      <c r="J36" s="209">
        <f t="shared" si="110"/>
        <v>0</v>
      </c>
      <c r="K36" s="209">
        <f t="shared" si="110"/>
        <v>0</v>
      </c>
      <c r="L36" s="209">
        <f t="shared" si="110"/>
        <v>0</v>
      </c>
      <c r="M36" s="209">
        <f t="shared" si="110"/>
        <v>0</v>
      </c>
      <c r="N36" s="209">
        <f t="shared" si="110"/>
        <v>0</v>
      </c>
      <c r="O36" s="209">
        <f t="shared" si="110"/>
        <v>0</v>
      </c>
      <c r="P36" s="209">
        <f t="shared" si="110"/>
        <v>0</v>
      </c>
      <c r="Q36" s="209">
        <f t="shared" si="110"/>
        <v>0</v>
      </c>
      <c r="R36" s="209">
        <f t="shared" si="110"/>
        <v>0</v>
      </c>
      <c r="S36" s="209">
        <f t="shared" si="110"/>
        <v>0</v>
      </c>
      <c r="T36" s="209">
        <f t="shared" si="110"/>
        <v>0</v>
      </c>
      <c r="U36" s="209">
        <f t="shared" si="110"/>
        <v>0</v>
      </c>
      <c r="V36" s="209">
        <f t="shared" si="110"/>
        <v>0</v>
      </c>
      <c r="W36" s="209">
        <f t="shared" si="110"/>
        <v>0</v>
      </c>
      <c r="X36" s="209">
        <f t="shared" si="110"/>
        <v>0</v>
      </c>
      <c r="Y36" s="209">
        <f t="shared" si="110"/>
        <v>0</v>
      </c>
      <c r="Z36" s="209">
        <f t="shared" si="110"/>
        <v>0</v>
      </c>
      <c r="AA36" s="209">
        <f t="shared" si="110"/>
        <v>0</v>
      </c>
      <c r="AB36" s="209">
        <f t="shared" si="110"/>
        <v>0</v>
      </c>
      <c r="AC36" s="209">
        <f t="shared" si="110"/>
        <v>0</v>
      </c>
      <c r="AD36" s="209">
        <f t="shared" si="110"/>
        <v>0</v>
      </c>
      <c r="AE36" s="209">
        <f t="shared" si="110"/>
        <v>0</v>
      </c>
      <c r="AF36" s="209">
        <f t="shared" si="110"/>
        <v>0</v>
      </c>
      <c r="AG36" s="209">
        <f t="shared" si="110"/>
        <v>0</v>
      </c>
      <c r="AH36" s="209">
        <f t="shared" si="110"/>
        <v>0</v>
      </c>
      <c r="AI36" s="209"/>
      <c r="AJ36" s="209">
        <f t="shared" ref="AJ36:BN36" si="111">AJ8*$EF36*1000</f>
        <v>0</v>
      </c>
      <c r="AK36" s="209">
        <f t="shared" si="111"/>
        <v>0</v>
      </c>
      <c r="AL36" s="209">
        <f t="shared" si="111"/>
        <v>0</v>
      </c>
      <c r="AM36" s="209">
        <f t="shared" si="111"/>
        <v>0</v>
      </c>
      <c r="AN36" s="209">
        <f t="shared" si="111"/>
        <v>0</v>
      </c>
      <c r="AO36" s="209">
        <f t="shared" si="111"/>
        <v>0</v>
      </c>
      <c r="AP36" s="209">
        <f t="shared" si="111"/>
        <v>0</v>
      </c>
      <c r="AQ36" s="209">
        <f t="shared" si="111"/>
        <v>0</v>
      </c>
      <c r="AR36" s="209">
        <f t="shared" si="111"/>
        <v>0</v>
      </c>
      <c r="AS36" s="209">
        <f t="shared" si="111"/>
        <v>0</v>
      </c>
      <c r="AT36" s="209">
        <f t="shared" si="111"/>
        <v>0</v>
      </c>
      <c r="AU36" s="209">
        <f t="shared" si="111"/>
        <v>0</v>
      </c>
      <c r="AV36" s="209">
        <f t="shared" si="111"/>
        <v>0</v>
      </c>
      <c r="AW36" s="209">
        <f t="shared" si="111"/>
        <v>0</v>
      </c>
      <c r="AX36" s="209">
        <f t="shared" si="111"/>
        <v>0</v>
      </c>
      <c r="AY36" s="209">
        <f t="shared" si="111"/>
        <v>0</v>
      </c>
      <c r="AZ36" s="209">
        <f t="shared" si="111"/>
        <v>0</v>
      </c>
      <c r="BA36" s="209">
        <f t="shared" si="111"/>
        <v>0</v>
      </c>
      <c r="BB36" s="209">
        <f t="shared" si="111"/>
        <v>0</v>
      </c>
      <c r="BC36" s="209">
        <f t="shared" si="111"/>
        <v>0</v>
      </c>
      <c r="BD36" s="209">
        <f t="shared" si="111"/>
        <v>0</v>
      </c>
      <c r="BE36" s="209">
        <f t="shared" si="111"/>
        <v>0</v>
      </c>
      <c r="BF36" s="209">
        <f t="shared" si="111"/>
        <v>0</v>
      </c>
      <c r="BG36" s="209">
        <f t="shared" si="111"/>
        <v>0</v>
      </c>
      <c r="BH36" s="209">
        <f t="shared" si="111"/>
        <v>0</v>
      </c>
      <c r="BI36" s="209">
        <f t="shared" si="111"/>
        <v>0</v>
      </c>
      <c r="BJ36" s="209">
        <f t="shared" si="111"/>
        <v>0</v>
      </c>
      <c r="BK36" s="209">
        <f t="shared" si="111"/>
        <v>0</v>
      </c>
      <c r="BL36" s="209">
        <f t="shared" si="111"/>
        <v>0</v>
      </c>
      <c r="BM36" s="209">
        <f t="shared" si="111"/>
        <v>0</v>
      </c>
      <c r="BN36" s="209">
        <f t="shared" si="111"/>
        <v>0</v>
      </c>
      <c r="BO36" s="209"/>
      <c r="BP36" s="209">
        <f t="shared" ref="BP36:CT36" si="112">BP8*$EF36*1000</f>
        <v>0</v>
      </c>
      <c r="BQ36" s="209">
        <f t="shared" si="112"/>
        <v>0</v>
      </c>
      <c r="BR36" s="209">
        <f t="shared" si="112"/>
        <v>0</v>
      </c>
      <c r="BS36" s="209">
        <f t="shared" si="112"/>
        <v>0</v>
      </c>
      <c r="BT36" s="209">
        <f t="shared" si="112"/>
        <v>0</v>
      </c>
      <c r="BU36" s="209">
        <f t="shared" si="112"/>
        <v>0</v>
      </c>
      <c r="BV36" s="209">
        <f t="shared" si="112"/>
        <v>0</v>
      </c>
      <c r="BW36" s="209">
        <f t="shared" si="112"/>
        <v>0</v>
      </c>
      <c r="BX36" s="209">
        <f t="shared" si="112"/>
        <v>0</v>
      </c>
      <c r="BY36" s="209">
        <f t="shared" si="112"/>
        <v>0</v>
      </c>
      <c r="BZ36" s="209">
        <f t="shared" si="112"/>
        <v>0</v>
      </c>
      <c r="CA36" s="209">
        <f t="shared" si="112"/>
        <v>0</v>
      </c>
      <c r="CB36" s="209">
        <f t="shared" si="112"/>
        <v>0</v>
      </c>
      <c r="CC36" s="209">
        <f t="shared" si="112"/>
        <v>0</v>
      </c>
      <c r="CD36" s="209">
        <f t="shared" si="112"/>
        <v>0</v>
      </c>
      <c r="CE36" s="209">
        <f t="shared" si="112"/>
        <v>0</v>
      </c>
      <c r="CF36" s="209">
        <f t="shared" si="112"/>
        <v>0</v>
      </c>
      <c r="CG36" s="209">
        <f t="shared" si="112"/>
        <v>0</v>
      </c>
      <c r="CH36" s="209">
        <f t="shared" si="112"/>
        <v>0</v>
      </c>
      <c r="CI36" s="209">
        <f t="shared" si="112"/>
        <v>0</v>
      </c>
      <c r="CJ36" s="209">
        <f t="shared" si="112"/>
        <v>0</v>
      </c>
      <c r="CK36" s="209">
        <f t="shared" si="112"/>
        <v>0</v>
      </c>
      <c r="CL36" s="209">
        <f t="shared" si="112"/>
        <v>0</v>
      </c>
      <c r="CM36" s="209">
        <f t="shared" si="112"/>
        <v>0</v>
      </c>
      <c r="CN36" s="209">
        <f t="shared" si="112"/>
        <v>0</v>
      </c>
      <c r="CO36" s="209">
        <f t="shared" si="112"/>
        <v>0</v>
      </c>
      <c r="CP36" s="209">
        <f t="shared" si="112"/>
        <v>0</v>
      </c>
      <c r="CQ36" s="209">
        <f t="shared" si="112"/>
        <v>0</v>
      </c>
      <c r="CR36" s="209">
        <f t="shared" si="112"/>
        <v>0</v>
      </c>
      <c r="CS36" s="209">
        <f t="shared" si="112"/>
        <v>0</v>
      </c>
      <c r="CT36" s="209">
        <f t="shared" si="112"/>
        <v>0</v>
      </c>
      <c r="CU36" s="209"/>
      <c r="CV36" s="209">
        <f t="shared" ref="CV36:DZ36" si="113">CV8*$EF36*1000</f>
        <v>0</v>
      </c>
      <c r="CW36" s="209">
        <f t="shared" si="113"/>
        <v>0</v>
      </c>
      <c r="CX36" s="209">
        <f t="shared" si="113"/>
        <v>0</v>
      </c>
      <c r="CY36" s="209">
        <f t="shared" si="113"/>
        <v>0</v>
      </c>
      <c r="CZ36" s="209">
        <f t="shared" si="113"/>
        <v>0</v>
      </c>
      <c r="DA36" s="209">
        <f t="shared" si="113"/>
        <v>0</v>
      </c>
      <c r="DB36" s="209">
        <f t="shared" si="113"/>
        <v>0</v>
      </c>
      <c r="DC36" s="209">
        <f t="shared" si="113"/>
        <v>0</v>
      </c>
      <c r="DD36" s="209">
        <f t="shared" si="113"/>
        <v>0</v>
      </c>
      <c r="DE36" s="209">
        <f t="shared" si="113"/>
        <v>0</v>
      </c>
      <c r="DF36" s="209">
        <f t="shared" si="113"/>
        <v>0</v>
      </c>
      <c r="DG36" s="209">
        <f t="shared" si="113"/>
        <v>0</v>
      </c>
      <c r="DH36" s="209">
        <f t="shared" si="113"/>
        <v>0</v>
      </c>
      <c r="DI36" s="209">
        <f t="shared" si="113"/>
        <v>0</v>
      </c>
      <c r="DJ36" s="209">
        <f t="shared" si="113"/>
        <v>0</v>
      </c>
      <c r="DK36" s="209">
        <f t="shared" si="113"/>
        <v>0</v>
      </c>
      <c r="DL36" s="209">
        <f t="shared" si="113"/>
        <v>0</v>
      </c>
      <c r="DM36" s="209">
        <f t="shared" si="113"/>
        <v>0</v>
      </c>
      <c r="DN36" s="209">
        <f t="shared" si="113"/>
        <v>0</v>
      </c>
      <c r="DO36" s="209">
        <f t="shared" si="113"/>
        <v>0</v>
      </c>
      <c r="DP36" s="209">
        <f t="shared" si="113"/>
        <v>0</v>
      </c>
      <c r="DQ36" s="209">
        <f t="shared" si="113"/>
        <v>0</v>
      </c>
      <c r="DR36" s="209">
        <f t="shared" si="113"/>
        <v>0</v>
      </c>
      <c r="DS36" s="209">
        <f t="shared" si="113"/>
        <v>0</v>
      </c>
      <c r="DT36" s="209">
        <f t="shared" si="113"/>
        <v>0</v>
      </c>
      <c r="DU36" s="209">
        <f t="shared" si="113"/>
        <v>0</v>
      </c>
      <c r="DV36" s="209">
        <f t="shared" si="113"/>
        <v>0</v>
      </c>
      <c r="DW36" s="209">
        <f t="shared" si="113"/>
        <v>0</v>
      </c>
      <c r="DX36" s="209">
        <f t="shared" si="113"/>
        <v>0</v>
      </c>
      <c r="DY36" s="209">
        <f t="shared" si="113"/>
        <v>0</v>
      </c>
      <c r="DZ36" s="209">
        <f t="shared" si="113"/>
        <v>0</v>
      </c>
      <c r="EF36" s="51">
        <v>0</v>
      </c>
      <c r="EI36" s="26"/>
      <c r="EM36" t="s">
        <v>99</v>
      </c>
    </row>
    <row r="37" spans="1:147" x14ac:dyDescent="0.2">
      <c r="A37" s="1"/>
      <c r="B37" t="str">
        <f t="shared" si="109"/>
        <v>Packaging reuse</v>
      </c>
      <c r="C37" s="54" t="s">
        <v>97</v>
      </c>
      <c r="D37" s="209">
        <f t="shared" si="104"/>
        <v>0</v>
      </c>
      <c r="E37" s="209">
        <f t="shared" ref="E37:AH37" si="114">E9*$EF37*1000</f>
        <v>9172.8490380891744</v>
      </c>
      <c r="F37" s="209">
        <f t="shared" si="114"/>
        <v>18585.687099299987</v>
      </c>
      <c r="G37" s="209">
        <f t="shared" si="114"/>
        <v>28243.275924826448</v>
      </c>
      <c r="H37" s="209">
        <f t="shared" si="114"/>
        <v>38150.462064122963</v>
      </c>
      <c r="I37" s="209">
        <f t="shared" si="114"/>
        <v>48312.178302985361</v>
      </c>
      <c r="J37" s="209">
        <f t="shared" si="114"/>
        <v>58733.445114883565</v>
      </c>
      <c r="K37" s="209">
        <f t="shared" si="114"/>
        <v>69419.372135916536</v>
      </c>
      <c r="L37" s="209">
        <f t="shared" si="114"/>
        <v>80375.159663765138</v>
      </c>
      <c r="M37" s="209">
        <f t="shared" si="114"/>
        <v>91606.100181025278</v>
      </c>
      <c r="N37" s="209">
        <f t="shared" si="114"/>
        <v>103117.57990330919</v>
      </c>
      <c r="O37" s="209">
        <f t="shared" si="114"/>
        <v>124538.61485394566</v>
      </c>
      <c r="P37" s="209">
        <f t="shared" si="114"/>
        <v>146501.38836407979</v>
      </c>
      <c r="Q37" s="209">
        <f t="shared" si="114"/>
        <v>169016.51155532218</v>
      </c>
      <c r="R37" s="209">
        <f t="shared" si="114"/>
        <v>192094.7831597692</v>
      </c>
      <c r="S37" s="209">
        <f t="shared" si="114"/>
        <v>215747.1926637174</v>
      </c>
      <c r="T37" s="209">
        <f t="shared" si="114"/>
        <v>239984.92350238044</v>
      </c>
      <c r="U37" s="209">
        <f t="shared" si="114"/>
        <v>264819.35630641889</v>
      </c>
      <c r="V37" s="209">
        <f t="shared" si="114"/>
        <v>290262.07220110623</v>
      </c>
      <c r="W37" s="209">
        <f t="shared" si="114"/>
        <v>316324.85615896533</v>
      </c>
      <c r="X37" s="209">
        <f t="shared" si="114"/>
        <v>343019.7004067247</v>
      </c>
      <c r="Y37" s="209">
        <f t="shared" si="114"/>
        <v>371530.21744901373</v>
      </c>
      <c r="Z37" s="209">
        <f t="shared" si="114"/>
        <v>400727.19790555909</v>
      </c>
      <c r="AA37" s="209">
        <f t="shared" si="114"/>
        <v>430623.852436279</v>
      </c>
      <c r="AB37" s="209">
        <f t="shared" si="114"/>
        <v>461233.62315970694</v>
      </c>
      <c r="AC37" s="209">
        <f t="shared" si="114"/>
        <v>492570.18750999134</v>
      </c>
      <c r="AD37" s="209">
        <f t="shared" si="114"/>
        <v>524647.46215623454</v>
      </c>
      <c r="AE37" s="209">
        <f t="shared" si="114"/>
        <v>557479.6069851605</v>
      </c>
      <c r="AF37" s="209">
        <f t="shared" si="114"/>
        <v>591081.02914811566</v>
      </c>
      <c r="AG37" s="209">
        <f t="shared" si="114"/>
        <v>625466.38717341702</v>
      </c>
      <c r="AH37" s="209">
        <f t="shared" si="114"/>
        <v>660650.59514508466</v>
      </c>
      <c r="AI37" s="209"/>
      <c r="AJ37" s="209">
        <f t="shared" ref="AJ37:BN37" si="115">AJ9*$EF37*1000</f>
        <v>0</v>
      </c>
      <c r="AK37" s="209">
        <f t="shared" si="115"/>
        <v>6798.9265619537409</v>
      </c>
      <c r="AL37" s="209">
        <f t="shared" si="115"/>
        <v>13775.922038584955</v>
      </c>
      <c r="AM37" s="209">
        <f t="shared" si="115"/>
        <v>20934.522916843503</v>
      </c>
      <c r="AN37" s="209">
        <f t="shared" si="115"/>
        <v>28278.328721479924</v>
      </c>
      <c r="AO37" s="209">
        <f t="shared" si="115"/>
        <v>35811.003077280671</v>
      </c>
      <c r="AP37" s="209">
        <f t="shared" si="115"/>
        <v>43536.274788608702</v>
      </c>
      <c r="AQ37" s="209">
        <f t="shared" si="115"/>
        <v>51457.938936525199</v>
      </c>
      <c r="AR37" s="209">
        <f t="shared" si="115"/>
        <v>59579.85799377237</v>
      </c>
      <c r="AS37" s="209">
        <f t="shared" si="115"/>
        <v>67905.962957901895</v>
      </c>
      <c r="AT37" s="209">
        <f t="shared" si="115"/>
        <v>76440.254502837677</v>
      </c>
      <c r="AU37" s="209">
        <f t="shared" si="115"/>
        <v>92301.76070212973</v>
      </c>
      <c r="AV37" s="209">
        <f t="shared" si="115"/>
        <v>108564.78408388024</v>
      </c>
      <c r="AW37" s="209">
        <f t="shared" si="115"/>
        <v>125237.19617888071</v>
      </c>
      <c r="AX37" s="209">
        <f t="shared" si="115"/>
        <v>142327.00779970776</v>
      </c>
      <c r="AY37" s="209">
        <f t="shared" si="115"/>
        <v>159842.37137618542</v>
      </c>
      <c r="AZ37" s="209">
        <f t="shared" si="115"/>
        <v>177791.58332875918</v>
      </c>
      <c r="BA37" s="209">
        <f t="shared" si="115"/>
        <v>196183.08648038408</v>
      </c>
      <c r="BB37" s="209">
        <f t="shared" si="115"/>
        <v>215025.47250753822</v>
      </c>
      <c r="BC37" s="209">
        <f t="shared" si="115"/>
        <v>234327.48443098422</v>
      </c>
      <c r="BD37" s="209">
        <f t="shared" si="115"/>
        <v>254098.01914690822</v>
      </c>
      <c r="BE37" s="209">
        <f t="shared" si="115"/>
        <v>275207.82119963958</v>
      </c>
      <c r="BF37" s="209">
        <f t="shared" si="115"/>
        <v>296826.33713109908</v>
      </c>
      <c r="BG37" s="209">
        <f t="shared" si="115"/>
        <v>318963.36516374507</v>
      </c>
      <c r="BH37" s="209">
        <f t="shared" si="115"/>
        <v>341628.87532044045</v>
      </c>
      <c r="BI37" s="209">
        <f t="shared" si="115"/>
        <v>364833.0122891895</v>
      </c>
      <c r="BJ37" s="209">
        <f t="shared" si="115"/>
        <v>388586.0983342026</v>
      </c>
      <c r="BK37" s="209">
        <f t="shared" si="115"/>
        <v>412898.63625402318</v>
      </c>
      <c r="BL37" s="209">
        <f t="shared" si="115"/>
        <v>437781.31238746498</v>
      </c>
      <c r="BM37" s="209">
        <f t="shared" si="115"/>
        <v>463244.99966811255</v>
      </c>
      <c r="BN37" s="209">
        <f t="shared" si="115"/>
        <v>489300.76072815835</v>
      </c>
      <c r="BO37" s="209"/>
      <c r="BP37" s="209">
        <f t="shared" ref="BP37:CT37" si="116">BP9*$EF37*1000</f>
        <v>0</v>
      </c>
      <c r="BQ37" s="209">
        <f t="shared" si="116"/>
        <v>0</v>
      </c>
      <c r="BR37" s="209">
        <f t="shared" si="116"/>
        <v>0</v>
      </c>
      <c r="BS37" s="209">
        <f t="shared" si="116"/>
        <v>0</v>
      </c>
      <c r="BT37" s="209">
        <f t="shared" si="116"/>
        <v>0</v>
      </c>
      <c r="BU37" s="209">
        <f t="shared" si="116"/>
        <v>0</v>
      </c>
      <c r="BV37" s="209">
        <f t="shared" si="116"/>
        <v>0</v>
      </c>
      <c r="BW37" s="209">
        <f t="shared" si="116"/>
        <v>0</v>
      </c>
      <c r="BX37" s="209">
        <f t="shared" si="116"/>
        <v>0</v>
      </c>
      <c r="BY37" s="209">
        <f t="shared" si="116"/>
        <v>0</v>
      </c>
      <c r="BZ37" s="209">
        <f t="shared" si="116"/>
        <v>0</v>
      </c>
      <c r="CA37" s="209">
        <f t="shared" si="116"/>
        <v>0</v>
      </c>
      <c r="CB37" s="209">
        <f t="shared" si="116"/>
        <v>0</v>
      </c>
      <c r="CC37" s="209">
        <f t="shared" si="116"/>
        <v>0</v>
      </c>
      <c r="CD37" s="209">
        <f t="shared" si="116"/>
        <v>0</v>
      </c>
      <c r="CE37" s="209">
        <f t="shared" si="116"/>
        <v>0</v>
      </c>
      <c r="CF37" s="209">
        <f t="shared" si="116"/>
        <v>0</v>
      </c>
      <c r="CG37" s="209">
        <f t="shared" si="116"/>
        <v>0</v>
      </c>
      <c r="CH37" s="209">
        <f t="shared" si="116"/>
        <v>0</v>
      </c>
      <c r="CI37" s="209">
        <f t="shared" si="116"/>
        <v>0</v>
      </c>
      <c r="CJ37" s="209">
        <f t="shared" si="116"/>
        <v>0</v>
      </c>
      <c r="CK37" s="209">
        <f t="shared" si="116"/>
        <v>0</v>
      </c>
      <c r="CL37" s="209">
        <f t="shared" si="116"/>
        <v>0</v>
      </c>
      <c r="CM37" s="209">
        <f t="shared" si="116"/>
        <v>0</v>
      </c>
      <c r="CN37" s="209">
        <f t="shared" si="116"/>
        <v>0</v>
      </c>
      <c r="CO37" s="209">
        <f t="shared" si="116"/>
        <v>0</v>
      </c>
      <c r="CP37" s="209">
        <f t="shared" si="116"/>
        <v>0</v>
      </c>
      <c r="CQ37" s="209">
        <f t="shared" si="116"/>
        <v>0</v>
      </c>
      <c r="CR37" s="209">
        <f t="shared" si="116"/>
        <v>0</v>
      </c>
      <c r="CS37" s="209">
        <f t="shared" si="116"/>
        <v>0</v>
      </c>
      <c r="CT37" s="209">
        <f t="shared" si="116"/>
        <v>0</v>
      </c>
      <c r="CU37" s="209"/>
      <c r="CV37" s="209">
        <f t="shared" ref="CV37:DZ37" si="117">CV9*$EF37*1000</f>
        <v>0</v>
      </c>
      <c r="CW37" s="209">
        <f t="shared" si="117"/>
        <v>0</v>
      </c>
      <c r="CX37" s="209">
        <f t="shared" si="117"/>
        <v>0</v>
      </c>
      <c r="CY37" s="209">
        <f t="shared" si="117"/>
        <v>0</v>
      </c>
      <c r="CZ37" s="209">
        <f t="shared" si="117"/>
        <v>0</v>
      </c>
      <c r="DA37" s="209">
        <f t="shared" si="117"/>
        <v>0</v>
      </c>
      <c r="DB37" s="209">
        <f t="shared" si="117"/>
        <v>0</v>
      </c>
      <c r="DC37" s="209">
        <f t="shared" si="117"/>
        <v>0</v>
      </c>
      <c r="DD37" s="209">
        <f t="shared" si="117"/>
        <v>0</v>
      </c>
      <c r="DE37" s="209">
        <f t="shared" si="117"/>
        <v>0</v>
      </c>
      <c r="DF37" s="209">
        <f t="shared" si="117"/>
        <v>0</v>
      </c>
      <c r="DG37" s="209">
        <f t="shared" si="117"/>
        <v>0</v>
      </c>
      <c r="DH37" s="209">
        <f t="shared" si="117"/>
        <v>0</v>
      </c>
      <c r="DI37" s="209">
        <f t="shared" si="117"/>
        <v>0</v>
      </c>
      <c r="DJ37" s="209">
        <f t="shared" si="117"/>
        <v>0</v>
      </c>
      <c r="DK37" s="209">
        <f t="shared" si="117"/>
        <v>0</v>
      </c>
      <c r="DL37" s="209">
        <f t="shared" si="117"/>
        <v>0</v>
      </c>
      <c r="DM37" s="209">
        <f t="shared" si="117"/>
        <v>0</v>
      </c>
      <c r="DN37" s="209">
        <f t="shared" si="117"/>
        <v>0</v>
      </c>
      <c r="DO37" s="209">
        <f t="shared" si="117"/>
        <v>0</v>
      </c>
      <c r="DP37" s="209">
        <f t="shared" si="117"/>
        <v>0</v>
      </c>
      <c r="DQ37" s="209">
        <f t="shared" si="117"/>
        <v>0</v>
      </c>
      <c r="DR37" s="209">
        <f t="shared" si="117"/>
        <v>0</v>
      </c>
      <c r="DS37" s="209">
        <f t="shared" si="117"/>
        <v>0</v>
      </c>
      <c r="DT37" s="209">
        <f t="shared" si="117"/>
        <v>0</v>
      </c>
      <c r="DU37" s="209">
        <f t="shared" si="117"/>
        <v>0</v>
      </c>
      <c r="DV37" s="209">
        <f t="shared" si="117"/>
        <v>0</v>
      </c>
      <c r="DW37" s="209">
        <f t="shared" si="117"/>
        <v>0</v>
      </c>
      <c r="DX37" s="209">
        <f t="shared" si="117"/>
        <v>0</v>
      </c>
      <c r="DY37" s="209">
        <f t="shared" si="117"/>
        <v>0</v>
      </c>
      <c r="DZ37" s="209">
        <f t="shared" si="117"/>
        <v>0</v>
      </c>
      <c r="EF37" s="51">
        <v>9.5</v>
      </c>
      <c r="EI37" s="26"/>
      <c r="EM37" t="s">
        <v>99</v>
      </c>
    </row>
    <row r="38" spans="1:147" x14ac:dyDescent="0.2">
      <c r="A38" s="1"/>
      <c r="B38" t="str">
        <f t="shared" si="109"/>
        <v>Packaging substitution Paper</v>
      </c>
      <c r="C38" s="54" t="s">
        <v>97</v>
      </c>
      <c r="D38" s="209">
        <f t="shared" si="104"/>
        <v>0</v>
      </c>
      <c r="E38" s="209">
        <f t="shared" ref="E38:AH38" si="118">E10*$EF38*1000</f>
        <v>6817.6713586208998</v>
      </c>
      <c r="F38" s="209">
        <f t="shared" si="118"/>
        <v>13816.341367786954</v>
      </c>
      <c r="G38" s="209">
        <f t="shared" si="118"/>
        <v>20999.647720539731</v>
      </c>
      <c r="H38" s="209">
        <f t="shared" si="118"/>
        <v>28371.293618920023</v>
      </c>
      <c r="I38" s="209">
        <f t="shared" si="118"/>
        <v>35935.048887452205</v>
      </c>
      <c r="J38" s="209">
        <f t="shared" si="118"/>
        <v>43694.751104900555</v>
      </c>
      <c r="K38" s="209">
        <f t="shared" si="118"/>
        <v>51654.306754590456</v>
      </c>
      <c r="L38" s="209">
        <f t="shared" si="118"/>
        <v>59817.69239359194</v>
      </c>
      <c r="M38" s="209">
        <f t="shared" si="118"/>
        <v>68188.955841067756</v>
      </c>
      <c r="N38" s="209">
        <f t="shared" si="118"/>
        <v>76772.21738609286</v>
      </c>
      <c r="O38" s="209">
        <f t="shared" si="118"/>
        <v>86939.814631559115</v>
      </c>
      <c r="P38" s="209">
        <f t="shared" si="118"/>
        <v>97358.115200621512</v>
      </c>
      <c r="Q38" s="209">
        <f t="shared" si="118"/>
        <v>108031.96624261525</v>
      </c>
      <c r="R38" s="209">
        <f t="shared" si="118"/>
        <v>118966.29982793194</v>
      </c>
      <c r="S38" s="209">
        <f t="shared" si="118"/>
        <v>130166.13436096301</v>
      </c>
      <c r="T38" s="209">
        <f t="shared" si="118"/>
        <v>141636.5760158367</v>
      </c>
      <c r="U38" s="209">
        <f t="shared" si="118"/>
        <v>153382.82019530839</v>
      </c>
      <c r="V38" s="209">
        <f t="shared" si="118"/>
        <v>165410.15301317046</v>
      </c>
      <c r="W38" s="209">
        <f t="shared" si="118"/>
        <v>177723.95280055326</v>
      </c>
      <c r="X38" s="209">
        <f t="shared" si="118"/>
        <v>190329.69163649471</v>
      </c>
      <c r="Y38" s="209">
        <f t="shared" si="118"/>
        <v>222759.91105497925</v>
      </c>
      <c r="Z38" s="209">
        <f t="shared" si="118"/>
        <v>236114.93948947039</v>
      </c>
      <c r="AA38" s="209">
        <f t="shared" si="118"/>
        <v>249782.49048060112</v>
      </c>
      <c r="AB38" s="209">
        <f t="shared" si="118"/>
        <v>263768.52918882587</v>
      </c>
      <c r="AC38" s="209">
        <f t="shared" si="118"/>
        <v>278079.12499984814</v>
      </c>
      <c r="AD38" s="209">
        <f t="shared" si="118"/>
        <v>292720.45326008444</v>
      </c>
      <c r="AE38" s="209">
        <f t="shared" si="118"/>
        <v>307698.79704017955</v>
      </c>
      <c r="AF38" s="209">
        <f t="shared" si="118"/>
        <v>323020.54892701673</v>
      </c>
      <c r="AG38" s="209">
        <f t="shared" si="118"/>
        <v>338692.21284467453</v>
      </c>
      <c r="AH38" s="209">
        <f t="shared" si="118"/>
        <v>354720.4059047905</v>
      </c>
      <c r="AI38" s="209"/>
      <c r="AJ38" s="209">
        <f t="shared" ref="AJ38:BN38" si="119">AJ10*$EF38*1000</f>
        <v>0</v>
      </c>
      <c r="AK38" s="209">
        <f t="shared" si="119"/>
        <v>5831.3330459439776</v>
      </c>
      <c r="AL38" s="209">
        <f t="shared" si="119"/>
        <v>11817.873963720467</v>
      </c>
      <c r="AM38" s="209">
        <f t="shared" si="119"/>
        <v>17962.748979453969</v>
      </c>
      <c r="AN38" s="209">
        <f t="shared" si="119"/>
        <v>24269.140722911481</v>
      </c>
      <c r="AO38" s="209">
        <f t="shared" si="119"/>
        <v>30740.289187720573</v>
      </c>
      <c r="AP38" s="209">
        <f t="shared" si="119"/>
        <v>37379.492707364865</v>
      </c>
      <c r="AQ38" s="209">
        <f t="shared" si="119"/>
        <v>44190.108947209941</v>
      </c>
      <c r="AR38" s="209">
        <f t="shared" si="119"/>
        <v>51175.555912816933</v>
      </c>
      <c r="AS38" s="209">
        <f t="shared" si="119"/>
        <v>58339.312974804881</v>
      </c>
      <c r="AT38" s="209">
        <f t="shared" si="119"/>
        <v>65684.921910527381</v>
      </c>
      <c r="AU38" s="209">
        <f t="shared" si="119"/>
        <v>74332.681489016017</v>
      </c>
      <c r="AV38" s="209">
        <f t="shared" si="119"/>
        <v>83194.25260755849</v>
      </c>
      <c r="AW38" s="209">
        <f t="shared" si="119"/>
        <v>92273.78044753462</v>
      </c>
      <c r="AX38" s="209">
        <f t="shared" si="119"/>
        <v>101575.48299321008</v>
      </c>
      <c r="AY38" s="209">
        <f t="shared" si="119"/>
        <v>111103.65224568559</v>
      </c>
      <c r="AZ38" s="209">
        <f t="shared" si="119"/>
        <v>120862.65545646515</v>
      </c>
      <c r="BA38" s="209">
        <f t="shared" si="119"/>
        <v>130856.93638095472</v>
      </c>
      <c r="BB38" s="209">
        <f t="shared" si="119"/>
        <v>141091.01655220639</v>
      </c>
      <c r="BC38" s="209">
        <f t="shared" si="119"/>
        <v>151569.49657522858</v>
      </c>
      <c r="BD38" s="209">
        <f t="shared" si="119"/>
        <v>162297.05744218756</v>
      </c>
      <c r="BE38" s="209">
        <f t="shared" si="119"/>
        <v>190252.77563151729</v>
      </c>
      <c r="BF38" s="209">
        <f t="shared" si="119"/>
        <v>201652.61461559695</v>
      </c>
      <c r="BG38" s="209">
        <f t="shared" si="119"/>
        <v>213319.86652785289</v>
      </c>
      <c r="BH38" s="209">
        <f t="shared" si="119"/>
        <v>225259.64753842345</v>
      </c>
      <c r="BI38" s="209">
        <f t="shared" si="119"/>
        <v>237477.16339644053</v>
      </c>
      <c r="BJ38" s="209">
        <f t="shared" si="119"/>
        <v>249977.71092431393</v>
      </c>
      <c r="BK38" s="209">
        <f t="shared" si="119"/>
        <v>262766.67953620531</v>
      </c>
      <c r="BL38" s="209">
        <f t="shared" si="119"/>
        <v>275849.55278107483</v>
      </c>
      <c r="BM38" s="209">
        <f t="shared" si="119"/>
        <v>289231.9099106919</v>
      </c>
      <c r="BN38" s="209">
        <f t="shared" si="119"/>
        <v>302919.42747300392</v>
      </c>
      <c r="BO38" s="209"/>
      <c r="BP38" s="209">
        <f t="shared" ref="BP38:CT38" si="120">BP10*$EF38*1000</f>
        <v>0</v>
      </c>
      <c r="BQ38" s="209">
        <f t="shared" si="120"/>
        <v>0</v>
      </c>
      <c r="BR38" s="209">
        <f t="shared" si="120"/>
        <v>0</v>
      </c>
      <c r="BS38" s="209">
        <f t="shared" si="120"/>
        <v>0</v>
      </c>
      <c r="BT38" s="209">
        <f t="shared" si="120"/>
        <v>0</v>
      </c>
      <c r="BU38" s="209">
        <f t="shared" si="120"/>
        <v>0</v>
      </c>
      <c r="BV38" s="209">
        <f t="shared" si="120"/>
        <v>0</v>
      </c>
      <c r="BW38" s="209">
        <f t="shared" si="120"/>
        <v>0</v>
      </c>
      <c r="BX38" s="209">
        <f t="shared" si="120"/>
        <v>0</v>
      </c>
      <c r="BY38" s="209">
        <f t="shared" si="120"/>
        <v>0</v>
      </c>
      <c r="BZ38" s="209">
        <f t="shared" si="120"/>
        <v>0</v>
      </c>
      <c r="CA38" s="209">
        <f t="shared" si="120"/>
        <v>0</v>
      </c>
      <c r="CB38" s="209">
        <f t="shared" si="120"/>
        <v>0</v>
      </c>
      <c r="CC38" s="209">
        <f t="shared" si="120"/>
        <v>0</v>
      </c>
      <c r="CD38" s="209">
        <f t="shared" si="120"/>
        <v>0</v>
      </c>
      <c r="CE38" s="209">
        <f t="shared" si="120"/>
        <v>0</v>
      </c>
      <c r="CF38" s="209">
        <f t="shared" si="120"/>
        <v>0</v>
      </c>
      <c r="CG38" s="209">
        <f t="shared" si="120"/>
        <v>0</v>
      </c>
      <c r="CH38" s="209">
        <f t="shared" si="120"/>
        <v>0</v>
      </c>
      <c r="CI38" s="209">
        <f t="shared" si="120"/>
        <v>0</v>
      </c>
      <c r="CJ38" s="209">
        <f t="shared" si="120"/>
        <v>0</v>
      </c>
      <c r="CK38" s="209">
        <f t="shared" si="120"/>
        <v>0</v>
      </c>
      <c r="CL38" s="209">
        <f t="shared" si="120"/>
        <v>0</v>
      </c>
      <c r="CM38" s="209">
        <f t="shared" si="120"/>
        <v>0</v>
      </c>
      <c r="CN38" s="209">
        <f t="shared" si="120"/>
        <v>0</v>
      </c>
      <c r="CO38" s="209">
        <f t="shared" si="120"/>
        <v>0</v>
      </c>
      <c r="CP38" s="209">
        <f t="shared" si="120"/>
        <v>0</v>
      </c>
      <c r="CQ38" s="209">
        <f t="shared" si="120"/>
        <v>0</v>
      </c>
      <c r="CR38" s="209">
        <f t="shared" si="120"/>
        <v>0</v>
      </c>
      <c r="CS38" s="209">
        <f t="shared" si="120"/>
        <v>0</v>
      </c>
      <c r="CT38" s="209">
        <f t="shared" si="120"/>
        <v>0</v>
      </c>
      <c r="CU38" s="209"/>
      <c r="CV38" s="209">
        <f t="shared" ref="CV38:DZ38" si="121">CV10*$EF38*1000</f>
        <v>0</v>
      </c>
      <c r="CW38" s="209">
        <f t="shared" si="121"/>
        <v>0</v>
      </c>
      <c r="CX38" s="209">
        <f t="shared" si="121"/>
        <v>0</v>
      </c>
      <c r="CY38" s="209">
        <f t="shared" si="121"/>
        <v>0</v>
      </c>
      <c r="CZ38" s="209">
        <f t="shared" si="121"/>
        <v>0</v>
      </c>
      <c r="DA38" s="209">
        <f t="shared" si="121"/>
        <v>0</v>
      </c>
      <c r="DB38" s="209">
        <f t="shared" si="121"/>
        <v>0</v>
      </c>
      <c r="DC38" s="209">
        <f t="shared" si="121"/>
        <v>0</v>
      </c>
      <c r="DD38" s="209">
        <f t="shared" si="121"/>
        <v>0</v>
      </c>
      <c r="DE38" s="209">
        <f t="shared" si="121"/>
        <v>0</v>
      </c>
      <c r="DF38" s="209">
        <f t="shared" si="121"/>
        <v>0</v>
      </c>
      <c r="DG38" s="209">
        <f t="shared" si="121"/>
        <v>0</v>
      </c>
      <c r="DH38" s="209">
        <f t="shared" si="121"/>
        <v>0</v>
      </c>
      <c r="DI38" s="209">
        <f t="shared" si="121"/>
        <v>0</v>
      </c>
      <c r="DJ38" s="209">
        <f t="shared" si="121"/>
        <v>0</v>
      </c>
      <c r="DK38" s="209">
        <f t="shared" si="121"/>
        <v>0</v>
      </c>
      <c r="DL38" s="209">
        <f t="shared" si="121"/>
        <v>0</v>
      </c>
      <c r="DM38" s="209">
        <f t="shared" si="121"/>
        <v>0</v>
      </c>
      <c r="DN38" s="209">
        <f t="shared" si="121"/>
        <v>0</v>
      </c>
      <c r="DO38" s="209">
        <f t="shared" si="121"/>
        <v>0</v>
      </c>
      <c r="DP38" s="209">
        <f t="shared" si="121"/>
        <v>0</v>
      </c>
      <c r="DQ38" s="209">
        <f t="shared" si="121"/>
        <v>0</v>
      </c>
      <c r="DR38" s="209">
        <f t="shared" si="121"/>
        <v>0</v>
      </c>
      <c r="DS38" s="209">
        <f t="shared" si="121"/>
        <v>0</v>
      </c>
      <c r="DT38" s="209">
        <f t="shared" si="121"/>
        <v>0</v>
      </c>
      <c r="DU38" s="209">
        <f t="shared" si="121"/>
        <v>0</v>
      </c>
      <c r="DV38" s="209">
        <f t="shared" si="121"/>
        <v>0</v>
      </c>
      <c r="DW38" s="209">
        <f t="shared" si="121"/>
        <v>0</v>
      </c>
      <c r="DX38" s="209">
        <f t="shared" si="121"/>
        <v>0</v>
      </c>
      <c r="DY38" s="209">
        <f t="shared" si="121"/>
        <v>0</v>
      </c>
      <c r="DZ38" s="209">
        <f t="shared" si="121"/>
        <v>0</v>
      </c>
      <c r="EF38" s="51">
        <v>18.5</v>
      </c>
      <c r="EI38" s="26"/>
      <c r="EM38" t="s">
        <v>99</v>
      </c>
      <c r="EQ38" t="s">
        <v>100</v>
      </c>
    </row>
    <row r="39" spans="1:147" x14ac:dyDescent="0.2">
      <c r="A39" s="1"/>
      <c r="B39" t="str">
        <f t="shared" si="109"/>
        <v>Packaging Substitution Compostables</v>
      </c>
      <c r="C39" s="54" t="s">
        <v>97</v>
      </c>
      <c r="D39" s="209">
        <f t="shared" si="104"/>
        <v>0</v>
      </c>
      <c r="E39" s="209">
        <f t="shared" ref="E39:AH39" si="122">E11*$EF39*1000</f>
        <v>7400.0936279569687</v>
      </c>
      <c r="F39" s="209">
        <f t="shared" si="122"/>
        <v>19135.435682132233</v>
      </c>
      <c r="G39" s="209">
        <f t="shared" si="122"/>
        <v>29086.388655667339</v>
      </c>
      <c r="H39" s="209">
        <f t="shared" si="122"/>
        <v>39299.712523942675</v>
      </c>
      <c r="I39" s="209">
        <f t="shared" si="122"/>
        <v>49780.684553585175</v>
      </c>
      <c r="J39" s="209">
        <f t="shared" si="122"/>
        <v>60534.677251059678</v>
      </c>
      <c r="K39" s="209">
        <f t="shared" si="122"/>
        <v>71567.159985230566</v>
      </c>
      <c r="L39" s="209">
        <f t="shared" si="122"/>
        <v>82883.700636605237</v>
      </c>
      <c r="M39" s="209">
        <f t="shared" si="122"/>
        <v>94489.967273688075</v>
      </c>
      <c r="N39" s="209">
        <f t="shared" si="122"/>
        <v>106391.72985687967</v>
      </c>
      <c r="O39" s="209">
        <f t="shared" si="122"/>
        <v>120489.59180749864</v>
      </c>
      <c r="P39" s="209">
        <f t="shared" si="122"/>
        <v>127363.70049721008</v>
      </c>
      <c r="Q39" s="209">
        <f t="shared" si="122"/>
        <v>143061.06302785833</v>
      </c>
      <c r="R39" s="209">
        <f t="shared" si="122"/>
        <v>159147.88188643998</v>
      </c>
      <c r="S39" s="209">
        <f t="shared" si="122"/>
        <v>175631.74709502264</v>
      </c>
      <c r="T39" s="209">
        <f t="shared" si="122"/>
        <v>192520.38266319418</v>
      </c>
      <c r="U39" s="209">
        <f t="shared" si="122"/>
        <v>209821.64883248409</v>
      </c>
      <c r="V39" s="209">
        <f t="shared" si="122"/>
        <v>227543.54435720219</v>
      </c>
      <c r="W39" s="209">
        <f t="shared" si="122"/>
        <v>245694.20882227275</v>
      </c>
      <c r="X39" s="209">
        <f t="shared" si="122"/>
        <v>264281.92499865324</v>
      </c>
      <c r="Y39" s="209">
        <f t="shared" si="122"/>
        <v>293162.18033826473</v>
      </c>
      <c r="Z39" s="209">
        <f t="shared" si="122"/>
        <v>311804.01347019646</v>
      </c>
      <c r="AA39" s="209">
        <f t="shared" si="122"/>
        <v>330884.56374394242</v>
      </c>
      <c r="AB39" s="209">
        <f t="shared" si="122"/>
        <v>350412.21743630851</v>
      </c>
      <c r="AC39" s="209">
        <f t="shared" si="122"/>
        <v>370395.50740436825</v>
      </c>
      <c r="AD39" s="209">
        <f t="shared" si="122"/>
        <v>390843.115526093</v>
      </c>
      <c r="AE39" s="209">
        <f t="shared" si="122"/>
        <v>411763.87518042343</v>
      </c>
      <c r="AF39" s="209">
        <f t="shared" si="122"/>
        <v>433166.77376740816</v>
      </c>
      <c r="AG39" s="209">
        <f t="shared" si="122"/>
        <v>455060.95526904322</v>
      </c>
      <c r="AH39" s="209">
        <f t="shared" si="122"/>
        <v>477455.72285145696</v>
      </c>
      <c r="AI39" s="209"/>
      <c r="AJ39" s="209">
        <f t="shared" ref="AJ39:BN39" si="123">AJ11*$EF39*1000</f>
        <v>0</v>
      </c>
      <c r="AK39" s="209">
        <f t="shared" si="123"/>
        <v>6427.4564654624719</v>
      </c>
      <c r="AL39" s="209">
        <f t="shared" si="123"/>
        <v>16415.383724069376</v>
      </c>
      <c r="AM39" s="209">
        <f t="shared" si="123"/>
        <v>24952.565233566795</v>
      </c>
      <c r="AN39" s="209">
        <f t="shared" si="123"/>
        <v>33715.333572196876</v>
      </c>
      <c r="AO39" s="209">
        <f t="shared" si="123"/>
        <v>42708.234690074947</v>
      </c>
      <c r="AP39" s="209">
        <f t="shared" si="123"/>
        <v>51935.896709326509</v>
      </c>
      <c r="AQ39" s="209">
        <f t="shared" si="123"/>
        <v>61403.031325867436</v>
      </c>
      <c r="AR39" s="209">
        <f t="shared" si="123"/>
        <v>71114.435234260542</v>
      </c>
      <c r="AS39" s="209">
        <f t="shared" si="123"/>
        <v>81074.991576019253</v>
      </c>
      <c r="AT39" s="209">
        <f t="shared" si="123"/>
        <v>91289.671411735326</v>
      </c>
      <c r="AU39" s="209">
        <f t="shared" si="123"/>
        <v>103314.33815070426</v>
      </c>
      <c r="AV39" s="209">
        <f t="shared" si="123"/>
        <v>109054.98160171075</v>
      </c>
      <c r="AW39" s="209">
        <f t="shared" si="123"/>
        <v>122458.10355648812</v>
      </c>
      <c r="AX39" s="209">
        <f t="shared" si="123"/>
        <v>136194.58758186764</v>
      </c>
      <c r="AY39" s="209">
        <f t="shared" si="123"/>
        <v>150270.94593455089</v>
      </c>
      <c r="AZ39" s="209">
        <f t="shared" si="123"/>
        <v>164693.80607498603</v>
      </c>
      <c r="BA39" s="209">
        <f t="shared" si="123"/>
        <v>179469.9126006398</v>
      </c>
      <c r="BB39" s="209">
        <f t="shared" si="123"/>
        <v>194606.1292106857</v>
      </c>
      <c r="BC39" s="209">
        <f t="shared" si="123"/>
        <v>210109.44070260981</v>
      </c>
      <c r="BD39" s="209">
        <f t="shared" si="123"/>
        <v>225986.95500123984</v>
      </c>
      <c r="BE39" s="209">
        <f t="shared" si="123"/>
        <v>250815.81072660338</v>
      </c>
      <c r="BF39" s="209">
        <f t="shared" si="123"/>
        <v>266743.79831511399</v>
      </c>
      <c r="BG39" s="209">
        <f t="shared" si="123"/>
        <v>283047.49247081566</v>
      </c>
      <c r="BH39" s="209">
        <f t="shared" si="123"/>
        <v>299734.0913333128</v>
      </c>
      <c r="BI39" s="209">
        <f t="shared" si="123"/>
        <v>316810.91911215422</v>
      </c>
      <c r="BJ39" s="209">
        <f t="shared" si="123"/>
        <v>334285.4281896592</v>
      </c>
      <c r="BK39" s="209">
        <f t="shared" si="123"/>
        <v>352165.20125777653</v>
      </c>
      <c r="BL39" s="209">
        <f t="shared" si="123"/>
        <v>370457.95348951698</v>
      </c>
      <c r="BM39" s="209">
        <f t="shared" si="123"/>
        <v>389171.53474550764</v>
      </c>
      <c r="BN39" s="209">
        <f t="shared" si="123"/>
        <v>408313.93181622395</v>
      </c>
      <c r="BO39" s="209"/>
      <c r="BP39" s="209">
        <f t="shared" ref="BP39:CT39" si="124">BP11*$EF39*1000</f>
        <v>0</v>
      </c>
      <c r="BQ39" s="209">
        <f t="shared" si="124"/>
        <v>0</v>
      </c>
      <c r="BR39" s="209">
        <f t="shared" si="124"/>
        <v>0</v>
      </c>
      <c r="BS39" s="209">
        <f t="shared" si="124"/>
        <v>0</v>
      </c>
      <c r="BT39" s="209">
        <f t="shared" si="124"/>
        <v>0</v>
      </c>
      <c r="BU39" s="209">
        <f t="shared" si="124"/>
        <v>0</v>
      </c>
      <c r="BV39" s="209">
        <f t="shared" si="124"/>
        <v>0</v>
      </c>
      <c r="BW39" s="209">
        <f t="shared" si="124"/>
        <v>0</v>
      </c>
      <c r="BX39" s="209">
        <f t="shared" si="124"/>
        <v>0</v>
      </c>
      <c r="BY39" s="209">
        <f t="shared" si="124"/>
        <v>0</v>
      </c>
      <c r="BZ39" s="209">
        <f t="shared" si="124"/>
        <v>0</v>
      </c>
      <c r="CA39" s="209">
        <f t="shared" si="124"/>
        <v>0</v>
      </c>
      <c r="CB39" s="209">
        <f t="shared" si="124"/>
        <v>0</v>
      </c>
      <c r="CC39" s="209">
        <f t="shared" si="124"/>
        <v>0</v>
      </c>
      <c r="CD39" s="209">
        <f t="shared" si="124"/>
        <v>0</v>
      </c>
      <c r="CE39" s="209">
        <f t="shared" si="124"/>
        <v>0</v>
      </c>
      <c r="CF39" s="209">
        <f t="shared" si="124"/>
        <v>0</v>
      </c>
      <c r="CG39" s="209">
        <f t="shared" si="124"/>
        <v>0</v>
      </c>
      <c r="CH39" s="209">
        <f t="shared" si="124"/>
        <v>0</v>
      </c>
      <c r="CI39" s="209">
        <f t="shared" si="124"/>
        <v>0</v>
      </c>
      <c r="CJ39" s="209">
        <f t="shared" si="124"/>
        <v>0</v>
      </c>
      <c r="CK39" s="209">
        <f t="shared" si="124"/>
        <v>0</v>
      </c>
      <c r="CL39" s="209">
        <f t="shared" si="124"/>
        <v>0</v>
      </c>
      <c r="CM39" s="209">
        <f t="shared" si="124"/>
        <v>0</v>
      </c>
      <c r="CN39" s="209">
        <f t="shared" si="124"/>
        <v>0</v>
      </c>
      <c r="CO39" s="209">
        <f t="shared" si="124"/>
        <v>0</v>
      </c>
      <c r="CP39" s="209">
        <f t="shared" si="124"/>
        <v>0</v>
      </c>
      <c r="CQ39" s="209">
        <f t="shared" si="124"/>
        <v>0</v>
      </c>
      <c r="CR39" s="209">
        <f t="shared" si="124"/>
        <v>0</v>
      </c>
      <c r="CS39" s="209">
        <f t="shared" si="124"/>
        <v>0</v>
      </c>
      <c r="CT39" s="209">
        <f t="shared" si="124"/>
        <v>0</v>
      </c>
      <c r="CU39" s="209"/>
      <c r="CV39" s="209">
        <f t="shared" ref="CV39:DZ39" si="125">CV11*$EF39*1000</f>
        <v>0</v>
      </c>
      <c r="CW39" s="209">
        <f t="shared" si="125"/>
        <v>0</v>
      </c>
      <c r="CX39" s="209">
        <f t="shared" si="125"/>
        <v>0</v>
      </c>
      <c r="CY39" s="209">
        <f t="shared" si="125"/>
        <v>0</v>
      </c>
      <c r="CZ39" s="209">
        <f t="shared" si="125"/>
        <v>0</v>
      </c>
      <c r="DA39" s="209">
        <f t="shared" si="125"/>
        <v>0</v>
      </c>
      <c r="DB39" s="209">
        <f t="shared" si="125"/>
        <v>0</v>
      </c>
      <c r="DC39" s="209">
        <f t="shared" si="125"/>
        <v>0</v>
      </c>
      <c r="DD39" s="209">
        <f t="shared" si="125"/>
        <v>0</v>
      </c>
      <c r="DE39" s="209">
        <f t="shared" si="125"/>
        <v>0</v>
      </c>
      <c r="DF39" s="209">
        <f t="shared" si="125"/>
        <v>0</v>
      </c>
      <c r="DG39" s="209">
        <f t="shared" si="125"/>
        <v>0</v>
      </c>
      <c r="DH39" s="209">
        <f t="shared" si="125"/>
        <v>0</v>
      </c>
      <c r="DI39" s="209">
        <f t="shared" si="125"/>
        <v>0</v>
      </c>
      <c r="DJ39" s="209">
        <f t="shared" si="125"/>
        <v>0</v>
      </c>
      <c r="DK39" s="209">
        <f t="shared" si="125"/>
        <v>0</v>
      </c>
      <c r="DL39" s="209">
        <f t="shared" si="125"/>
        <v>0</v>
      </c>
      <c r="DM39" s="209">
        <f t="shared" si="125"/>
        <v>0</v>
      </c>
      <c r="DN39" s="209">
        <f t="shared" si="125"/>
        <v>0</v>
      </c>
      <c r="DO39" s="209">
        <f t="shared" si="125"/>
        <v>0</v>
      </c>
      <c r="DP39" s="209">
        <f t="shared" si="125"/>
        <v>0</v>
      </c>
      <c r="DQ39" s="209">
        <f t="shared" si="125"/>
        <v>0</v>
      </c>
      <c r="DR39" s="209">
        <f t="shared" si="125"/>
        <v>0</v>
      </c>
      <c r="DS39" s="209">
        <f t="shared" si="125"/>
        <v>0</v>
      </c>
      <c r="DT39" s="209">
        <f t="shared" si="125"/>
        <v>0</v>
      </c>
      <c r="DU39" s="209">
        <f t="shared" si="125"/>
        <v>0</v>
      </c>
      <c r="DV39" s="209">
        <f t="shared" si="125"/>
        <v>0</v>
      </c>
      <c r="DW39" s="209">
        <f t="shared" si="125"/>
        <v>0</v>
      </c>
      <c r="DX39" s="209">
        <f t="shared" si="125"/>
        <v>0</v>
      </c>
      <c r="DY39" s="209">
        <f t="shared" si="125"/>
        <v>0</v>
      </c>
      <c r="DZ39" s="209">
        <f t="shared" si="125"/>
        <v>0</v>
      </c>
      <c r="EF39" s="51">
        <v>18.899999999999999</v>
      </c>
      <c r="EI39" s="26"/>
      <c r="EM39" t="s">
        <v>99</v>
      </c>
      <c r="EP39" t="s">
        <v>101</v>
      </c>
      <c r="EQ39">
        <v>8</v>
      </c>
    </row>
    <row r="40" spans="1:147" x14ac:dyDescent="0.2">
      <c r="A40" s="1"/>
      <c r="B40" t="str">
        <f t="shared" si="109"/>
        <v>MaaS</v>
      </c>
      <c r="C40" s="54" t="s">
        <v>97</v>
      </c>
      <c r="D40" s="209">
        <f t="shared" si="104"/>
        <v>0</v>
      </c>
      <c r="E40" s="209">
        <f t="shared" ref="E40:AH40" si="126">E12*$EF40*1000</f>
        <v>1552.8408539490531</v>
      </c>
      <c r="F40" s="209">
        <f t="shared" si="126"/>
        <v>3160.3762708721997</v>
      </c>
      <c r="G40" s="209">
        <f t="shared" si="126"/>
        <v>4824.0608427030538</v>
      </c>
      <c r="H40" s="209">
        <f t="shared" si="126"/>
        <v>6545.3837281529823</v>
      </c>
      <c r="I40" s="209">
        <f t="shared" si="126"/>
        <v>8325.8694255239061</v>
      </c>
      <c r="J40" s="209">
        <f t="shared" si="126"/>
        <v>10167.078562140545</v>
      </c>
      <c r="K40" s="209">
        <f t="shared" si="126"/>
        <v>12070.608700749866</v>
      </c>
      <c r="L40" s="209">
        <f t="shared" si="126"/>
        <v>14038.095163242569</v>
      </c>
      <c r="M40" s="209">
        <f t="shared" si="126"/>
        <v>16071.211872058768</v>
      </c>
      <c r="N40" s="209">
        <f t="shared" si="126"/>
        <v>18171.672209647357</v>
      </c>
      <c r="O40" s="209">
        <f t="shared" si="126"/>
        <v>24098.195017479571</v>
      </c>
      <c r="P40" s="209">
        <f t="shared" si="126"/>
        <v>30255.406989364943</v>
      </c>
      <c r="Q40" s="209">
        <f t="shared" si="126"/>
        <v>36650.009958142844</v>
      </c>
      <c r="R40" s="209">
        <f t="shared" si="126"/>
        <v>43288.876993433478</v>
      </c>
      <c r="S40" s="209">
        <f t="shared" si="126"/>
        <v>50179.05646561645</v>
      </c>
      <c r="T40" s="209">
        <f t="shared" si="126"/>
        <v>57327.776201660861</v>
      </c>
      <c r="U40" s="209">
        <f t="shared" si="126"/>
        <v>64742.44773481047</v>
      </c>
      <c r="V40" s="209">
        <f t="shared" si="126"/>
        <v>72430.67065017065</v>
      </c>
      <c r="W40" s="209">
        <f t="shared" si="126"/>
        <v>80400.237028286763</v>
      </c>
      <c r="X40" s="209">
        <f t="shared" si="126"/>
        <v>88659.135988848371</v>
      </c>
      <c r="Y40" s="209">
        <f t="shared" si="126"/>
        <v>103835.58674945777</v>
      </c>
      <c r="Z40" s="209">
        <f t="shared" si="126"/>
        <v>119540.85601758223</v>
      </c>
      <c r="AA40" s="209">
        <f t="shared" si="126"/>
        <v>135789.24799984458</v>
      </c>
      <c r="AB40" s="209">
        <f t="shared" si="126"/>
        <v>152595.41370555593</v>
      </c>
      <c r="AC40" s="209">
        <f t="shared" si="126"/>
        <v>169974.3588484638</v>
      </c>
      <c r="AD40" s="209">
        <f t="shared" si="126"/>
        <v>187941.45192133333</v>
      </c>
      <c r="AE40" s="209">
        <f t="shared" si="126"/>
        <v>206512.43244703271</v>
      </c>
      <c r="AF40" s="209">
        <f t="shared" si="126"/>
        <v>225703.41940987014</v>
      </c>
      <c r="AG40" s="209">
        <f t="shared" si="126"/>
        <v>245530.91987100538</v>
      </c>
      <c r="AH40" s="209">
        <f t="shared" si="126"/>
        <v>266011.83777184167</v>
      </c>
      <c r="AI40" s="209"/>
      <c r="AJ40" s="209">
        <f t="shared" ref="AJ40:BN40" si="127">AJ12*$EF40*1000</f>
        <v>0</v>
      </c>
      <c r="AK40" s="209">
        <f t="shared" si="127"/>
        <v>775.98224866362057</v>
      </c>
      <c r="AL40" s="209">
        <f t="shared" si="127"/>
        <v>1578.4056260673351</v>
      </c>
      <c r="AM40" s="209">
        <f t="shared" si="127"/>
        <v>2407.9515942884509</v>
      </c>
      <c r="AN40" s="209">
        <f t="shared" si="127"/>
        <v>3265.3173447464501</v>
      </c>
      <c r="AO40" s="209">
        <f t="shared" si="127"/>
        <v>4151.2161406390596</v>
      </c>
      <c r="AP40" s="209">
        <f t="shared" si="127"/>
        <v>5066.3776665677369</v>
      </c>
      <c r="AQ40" s="209">
        <f t="shared" si="127"/>
        <v>6011.5483854997983</v>
      </c>
      <c r="AR40" s="209">
        <f t="shared" si="127"/>
        <v>6987.4919032173511</v>
      </c>
      <c r="AS40" s="209">
        <f t="shared" si="127"/>
        <v>7994.9893404062441</v>
      </c>
      <c r="AT40" s="209">
        <f t="shared" si="127"/>
        <v>9034.8397125412921</v>
      </c>
      <c r="AU40" s="209">
        <f t="shared" si="127"/>
        <v>11974.932945479588</v>
      </c>
      <c r="AV40" s="209">
        <f t="shared" si="127"/>
        <v>15026.433080133947</v>
      </c>
      <c r="AW40" s="209">
        <f t="shared" si="127"/>
        <v>18192.51004748718</v>
      </c>
      <c r="AX40" s="209">
        <f t="shared" si="127"/>
        <v>21476.413466798836</v>
      </c>
      <c r="AY40" s="209">
        <f t="shared" si="127"/>
        <v>24881.474512727244</v>
      </c>
      <c r="AZ40" s="209">
        <f t="shared" si="127"/>
        <v>28411.107824221319</v>
      </c>
      <c r="BA40" s="209">
        <f t="shared" si="127"/>
        <v>32068.813456085729</v>
      </c>
      <c r="BB40" s="209">
        <f t="shared" si="127"/>
        <v>35858.178874142432</v>
      </c>
      <c r="BC40" s="209">
        <f t="shared" si="127"/>
        <v>39782.880994930842</v>
      </c>
      <c r="BD40" s="209">
        <f t="shared" si="127"/>
        <v>43846.688270908788</v>
      </c>
      <c r="BE40" s="209">
        <f t="shared" si="127"/>
        <v>51409.516592155196</v>
      </c>
      <c r="BF40" s="209">
        <f t="shared" si="127"/>
        <v>59251.013334981901</v>
      </c>
      <c r="BG40" s="209">
        <f t="shared" si="127"/>
        <v>67379.077467121388</v>
      </c>
      <c r="BH40" s="209">
        <f t="shared" si="127"/>
        <v>75801.806960261543</v>
      </c>
      <c r="BI40" s="209">
        <f t="shared" si="127"/>
        <v>84527.503469176649</v>
      </c>
      <c r="BJ40" s="209">
        <f t="shared" si="127"/>
        <v>93564.677115888029</v>
      </c>
      <c r="BK40" s="209">
        <f t="shared" si="127"/>
        <v>102922.05138113345</v>
      </c>
      <c r="BL40" s="209">
        <f t="shared" si="127"/>
        <v>112608.56810547244</v>
      </c>
      <c r="BM40" s="209">
        <f t="shared" si="127"/>
        <v>122633.39260240369</v>
      </c>
      <c r="BN40" s="209">
        <f t="shared" si="127"/>
        <v>133005.91888592084</v>
      </c>
      <c r="BO40" s="209"/>
      <c r="BP40" s="209">
        <f t="shared" ref="BP40:CT40" si="128">BP12*$EF40*1000</f>
        <v>0</v>
      </c>
      <c r="BQ40" s="209">
        <f t="shared" si="128"/>
        <v>0</v>
      </c>
      <c r="BR40" s="209">
        <f t="shared" si="128"/>
        <v>0</v>
      </c>
      <c r="BS40" s="209">
        <f t="shared" si="128"/>
        <v>0</v>
      </c>
      <c r="BT40" s="209">
        <f t="shared" si="128"/>
        <v>0</v>
      </c>
      <c r="BU40" s="209">
        <f t="shared" si="128"/>
        <v>0</v>
      </c>
      <c r="BV40" s="209">
        <f t="shared" si="128"/>
        <v>0</v>
      </c>
      <c r="BW40" s="209">
        <f t="shared" si="128"/>
        <v>0</v>
      </c>
      <c r="BX40" s="209">
        <f t="shared" si="128"/>
        <v>0</v>
      </c>
      <c r="BY40" s="209">
        <f t="shared" si="128"/>
        <v>0</v>
      </c>
      <c r="BZ40" s="209">
        <f t="shared" si="128"/>
        <v>0</v>
      </c>
      <c r="CA40" s="209">
        <f t="shared" si="128"/>
        <v>0</v>
      </c>
      <c r="CB40" s="209">
        <f t="shared" si="128"/>
        <v>0</v>
      </c>
      <c r="CC40" s="209">
        <f t="shared" si="128"/>
        <v>0</v>
      </c>
      <c r="CD40" s="209">
        <f t="shared" si="128"/>
        <v>0</v>
      </c>
      <c r="CE40" s="209">
        <f t="shared" si="128"/>
        <v>0</v>
      </c>
      <c r="CF40" s="209">
        <f t="shared" si="128"/>
        <v>0</v>
      </c>
      <c r="CG40" s="209">
        <f t="shared" si="128"/>
        <v>0</v>
      </c>
      <c r="CH40" s="209">
        <f t="shared" si="128"/>
        <v>0</v>
      </c>
      <c r="CI40" s="209">
        <f t="shared" si="128"/>
        <v>0</v>
      </c>
      <c r="CJ40" s="209">
        <f t="shared" si="128"/>
        <v>0</v>
      </c>
      <c r="CK40" s="209">
        <f t="shared" si="128"/>
        <v>0</v>
      </c>
      <c r="CL40" s="209">
        <f t="shared" si="128"/>
        <v>0</v>
      </c>
      <c r="CM40" s="209">
        <f t="shared" si="128"/>
        <v>0</v>
      </c>
      <c r="CN40" s="209">
        <f t="shared" si="128"/>
        <v>0</v>
      </c>
      <c r="CO40" s="209">
        <f t="shared" si="128"/>
        <v>0</v>
      </c>
      <c r="CP40" s="209">
        <f t="shared" si="128"/>
        <v>0</v>
      </c>
      <c r="CQ40" s="209">
        <f t="shared" si="128"/>
        <v>0</v>
      </c>
      <c r="CR40" s="209">
        <f t="shared" si="128"/>
        <v>0</v>
      </c>
      <c r="CS40" s="209">
        <f t="shared" si="128"/>
        <v>0</v>
      </c>
      <c r="CT40" s="209">
        <f t="shared" si="128"/>
        <v>0</v>
      </c>
      <c r="CU40" s="209"/>
      <c r="CV40" s="209">
        <f t="shared" ref="CV40:DZ40" si="129">CV12*$EF40*1000</f>
        <v>0</v>
      </c>
      <c r="CW40" s="209">
        <f t="shared" si="129"/>
        <v>0</v>
      </c>
      <c r="CX40" s="209">
        <f t="shared" si="129"/>
        <v>0</v>
      </c>
      <c r="CY40" s="209">
        <f t="shared" si="129"/>
        <v>0</v>
      </c>
      <c r="CZ40" s="209">
        <f t="shared" si="129"/>
        <v>0</v>
      </c>
      <c r="DA40" s="209">
        <f t="shared" si="129"/>
        <v>0</v>
      </c>
      <c r="DB40" s="209">
        <f t="shared" si="129"/>
        <v>0</v>
      </c>
      <c r="DC40" s="209">
        <f t="shared" si="129"/>
        <v>0</v>
      </c>
      <c r="DD40" s="209">
        <f t="shared" si="129"/>
        <v>0</v>
      </c>
      <c r="DE40" s="209">
        <f t="shared" si="129"/>
        <v>0</v>
      </c>
      <c r="DF40" s="209">
        <f t="shared" si="129"/>
        <v>0</v>
      </c>
      <c r="DG40" s="209">
        <f t="shared" si="129"/>
        <v>0</v>
      </c>
      <c r="DH40" s="209">
        <f t="shared" si="129"/>
        <v>0</v>
      </c>
      <c r="DI40" s="209">
        <f t="shared" si="129"/>
        <v>0</v>
      </c>
      <c r="DJ40" s="209">
        <f t="shared" si="129"/>
        <v>0</v>
      </c>
      <c r="DK40" s="209">
        <f t="shared" si="129"/>
        <v>0</v>
      </c>
      <c r="DL40" s="209">
        <f t="shared" si="129"/>
        <v>0</v>
      </c>
      <c r="DM40" s="209">
        <f t="shared" si="129"/>
        <v>0</v>
      </c>
      <c r="DN40" s="209">
        <f t="shared" si="129"/>
        <v>0</v>
      </c>
      <c r="DO40" s="209">
        <f t="shared" si="129"/>
        <v>0</v>
      </c>
      <c r="DP40" s="209">
        <f t="shared" si="129"/>
        <v>0</v>
      </c>
      <c r="DQ40" s="209">
        <f t="shared" si="129"/>
        <v>0</v>
      </c>
      <c r="DR40" s="209">
        <f t="shared" si="129"/>
        <v>0</v>
      </c>
      <c r="DS40" s="209">
        <f t="shared" si="129"/>
        <v>0</v>
      </c>
      <c r="DT40" s="209">
        <f t="shared" si="129"/>
        <v>0</v>
      </c>
      <c r="DU40" s="209">
        <f t="shared" si="129"/>
        <v>0</v>
      </c>
      <c r="DV40" s="209">
        <f t="shared" si="129"/>
        <v>0</v>
      </c>
      <c r="DW40" s="209">
        <f t="shared" si="129"/>
        <v>0</v>
      </c>
      <c r="DX40" s="209">
        <f t="shared" si="129"/>
        <v>0</v>
      </c>
      <c r="DY40" s="209">
        <f t="shared" si="129"/>
        <v>0</v>
      </c>
      <c r="DZ40" s="209">
        <f t="shared" si="129"/>
        <v>0</v>
      </c>
      <c r="EF40" s="610">
        <v>10</v>
      </c>
      <c r="EI40" s="26"/>
    </row>
    <row r="41" spans="1:147" x14ac:dyDescent="0.2">
      <c r="A41" s="1"/>
      <c r="B41" t="str">
        <f t="shared" si="109"/>
        <v>Vehicle life extension</v>
      </c>
      <c r="C41" s="54" t="s">
        <v>97</v>
      </c>
      <c r="D41" s="209">
        <f t="shared" si="104"/>
        <v>0</v>
      </c>
      <c r="E41" s="209">
        <f t="shared" ref="E41:AH41" si="130">E13*$EF41*1000</f>
        <v>986.32742290941792</v>
      </c>
      <c r="F41" s="209">
        <f t="shared" si="130"/>
        <v>2003.6320505033746</v>
      </c>
      <c r="G41" s="209">
        <f t="shared" si="130"/>
        <v>3052.6230397950349</v>
      </c>
      <c r="H41" s="209">
        <f t="shared" si="130"/>
        <v>4134.0234256071444</v>
      </c>
      <c r="I41" s="209">
        <f t="shared" si="130"/>
        <v>5248.5703605698973</v>
      </c>
      <c r="J41" s="209">
        <f t="shared" si="130"/>
        <v>6397.0153587169507</v>
      </c>
      <c r="K41" s="209">
        <f t="shared" si="130"/>
        <v>7580.1245427215081</v>
      </c>
      <c r="L41" s="209">
        <f t="shared" si="130"/>
        <v>8798.6788948145495</v>
      </c>
      <c r="M41" s="209">
        <f t="shared" si="130"/>
        <v>10053.474511427466</v>
      </c>
      <c r="N41" s="209">
        <f t="shared" si="130"/>
        <v>11345.322861601484</v>
      </c>
      <c r="O41" s="209">
        <f t="shared" si="130"/>
        <v>14957.885939954551</v>
      </c>
      <c r="P41" s="209">
        <f t="shared" si="130"/>
        <v>18669.313060298158</v>
      </c>
      <c r="Q41" s="209">
        <f t="shared" si="130"/>
        <v>22480.952541701299</v>
      </c>
      <c r="R41" s="209">
        <f t="shared" si="130"/>
        <v>26394.143372282986</v>
      </c>
      <c r="S41" s="209">
        <f t="shared" si="130"/>
        <v>30410.213879363575</v>
      </c>
      <c r="T41" s="209">
        <f t="shared" si="130"/>
        <v>34530.480343598865</v>
      </c>
      <c r="U41" s="209">
        <f t="shared" si="130"/>
        <v>38756.245555297312</v>
      </c>
      <c r="V41" s="209">
        <f t="shared" si="130"/>
        <v>43088.797311070368</v>
      </c>
      <c r="W41" s="209">
        <f t="shared" si="130"/>
        <v>47529.406848913852</v>
      </c>
      <c r="X41" s="209">
        <f t="shared" si="130"/>
        <v>52079.32721976532</v>
      </c>
      <c r="Y41" s="209">
        <f t="shared" si="130"/>
        <v>60223.435633173271</v>
      </c>
      <c r="Z41" s="209">
        <f t="shared" si="130"/>
        <v>68442.602749265046</v>
      </c>
      <c r="AA41" s="209">
        <f t="shared" si="130"/>
        <v>76732.159701541008</v>
      </c>
      <c r="AB41" s="209">
        <f t="shared" si="130"/>
        <v>85087.145843138962</v>
      </c>
      <c r="AC41" s="209">
        <f t="shared" si="130"/>
        <v>93502.297795078208</v>
      </c>
      <c r="AD41" s="209">
        <f t="shared" si="130"/>
        <v>101972.03815766649</v>
      </c>
      <c r="AE41" s="209">
        <f t="shared" si="130"/>
        <v>110490.46387581035</v>
      </c>
      <c r="AF41" s="209">
        <f t="shared" si="130"/>
        <v>119051.33424873288</v>
      </c>
      <c r="AG41" s="209">
        <f t="shared" si="130"/>
        <v>127648.05857436113</v>
      </c>
      <c r="AH41" s="209">
        <f t="shared" si="130"/>
        <v>136273.68341839689</v>
      </c>
      <c r="AI41" s="209"/>
      <c r="AJ41" s="209">
        <f t="shared" ref="AJ41:BN41" si="131">AJ13*$EF41*1000</f>
        <v>0</v>
      </c>
      <c r="AK41" s="209">
        <f t="shared" si="131"/>
        <v>493.34633819953564</v>
      </c>
      <c r="AL41" s="209">
        <f t="shared" si="131"/>
        <v>1002.5645657541539</v>
      </c>
      <c r="AM41" s="209">
        <f t="shared" si="131"/>
        <v>1528.0372160075358</v>
      </c>
      <c r="AN41" s="209">
        <f t="shared" si="131"/>
        <v>2070.155001106375</v>
      </c>
      <c r="AO41" s="209">
        <f t="shared" si="131"/>
        <v>2629.3169753558082</v>
      </c>
      <c r="AP41" s="209">
        <f t="shared" si="131"/>
        <v>3205.9307016895309</v>
      </c>
      <c r="AQ41" s="209">
        <f t="shared" si="131"/>
        <v>3800.4124213118748</v>
      </c>
      <c r="AR41" s="209">
        <f t="shared" si="131"/>
        <v>4413.1872265701359</v>
      </c>
      <c r="AS41" s="209">
        <f t="shared" si="131"/>
        <v>5044.6892371164931</v>
      </c>
      <c r="AT41" s="209">
        <f t="shared" si="131"/>
        <v>5695.3617794198981</v>
      </c>
      <c r="AU41" s="209">
        <f t="shared" si="131"/>
        <v>7527.0919528924005</v>
      </c>
      <c r="AV41" s="209">
        <f t="shared" si="131"/>
        <v>9417.9450016343144</v>
      </c>
      <c r="AW41" s="209">
        <f t="shared" si="131"/>
        <v>11369.249855279546</v>
      </c>
      <c r="AX41" s="209">
        <f t="shared" si="131"/>
        <v>13382.358996633055</v>
      </c>
      <c r="AY41" s="209">
        <f t="shared" si="131"/>
        <v>15458.648768562287</v>
      </c>
      <c r="AZ41" s="209">
        <f t="shared" si="131"/>
        <v>17599.519682090453</v>
      </c>
      <c r="BA41" s="209">
        <f t="shared" si="131"/>
        <v>19806.396725592935</v>
      </c>
      <c r="BB41" s="209">
        <f t="shared" si="131"/>
        <v>22080.729674993378</v>
      </c>
      <c r="BC41" s="209">
        <f t="shared" si="131"/>
        <v>24423.993404851146</v>
      </c>
      <c r="BD41" s="209">
        <f t="shared" si="131"/>
        <v>26837.688200226879</v>
      </c>
      <c r="BE41" s="209">
        <f t="shared" si="131"/>
        <v>31276.257707213019</v>
      </c>
      <c r="BF41" s="209">
        <f t="shared" si="131"/>
        <v>35826.337575243</v>
      </c>
      <c r="BG41" s="209">
        <f t="shared" si="131"/>
        <v>40489.196551971159</v>
      </c>
      <c r="BH41" s="209">
        <f t="shared" si="131"/>
        <v>45266.08136420801</v>
      </c>
      <c r="BI41" s="209">
        <f t="shared" si="131"/>
        <v>50158.214840504734</v>
      </c>
      <c r="BJ41" s="209">
        <f t="shared" si="131"/>
        <v>55166.79395985567</v>
      </c>
      <c r="BK41" s="209">
        <f t="shared" si="131"/>
        <v>60292.987824211472</v>
      </c>
      <c r="BL41" s="209">
        <f t="shared" si="131"/>
        <v>65537.935552431241</v>
      </c>
      <c r="BM41" s="209">
        <f t="shared" si="131"/>
        <v>70902.744093236819</v>
      </c>
      <c r="BN41" s="209">
        <f t="shared" si="131"/>
        <v>76388.485954664953</v>
      </c>
      <c r="BO41" s="209"/>
      <c r="BP41" s="209">
        <f t="shared" ref="BP41:CT41" si="132">BP13*$EF41*1000</f>
        <v>0</v>
      </c>
      <c r="BQ41" s="209">
        <f t="shared" si="132"/>
        <v>0</v>
      </c>
      <c r="BR41" s="209">
        <f t="shared" si="132"/>
        <v>0</v>
      </c>
      <c r="BS41" s="209">
        <f t="shared" si="132"/>
        <v>0</v>
      </c>
      <c r="BT41" s="209">
        <f t="shared" si="132"/>
        <v>0</v>
      </c>
      <c r="BU41" s="209">
        <f t="shared" si="132"/>
        <v>0</v>
      </c>
      <c r="BV41" s="209">
        <f t="shared" si="132"/>
        <v>0</v>
      </c>
      <c r="BW41" s="209">
        <f t="shared" si="132"/>
        <v>0</v>
      </c>
      <c r="BX41" s="209">
        <f t="shared" si="132"/>
        <v>0</v>
      </c>
      <c r="BY41" s="209">
        <f t="shared" si="132"/>
        <v>0</v>
      </c>
      <c r="BZ41" s="209">
        <f t="shared" si="132"/>
        <v>0</v>
      </c>
      <c r="CA41" s="209">
        <f t="shared" si="132"/>
        <v>0</v>
      </c>
      <c r="CB41" s="209">
        <f t="shared" si="132"/>
        <v>0</v>
      </c>
      <c r="CC41" s="209">
        <f t="shared" si="132"/>
        <v>0</v>
      </c>
      <c r="CD41" s="209">
        <f t="shared" si="132"/>
        <v>0</v>
      </c>
      <c r="CE41" s="209">
        <f t="shared" si="132"/>
        <v>0</v>
      </c>
      <c r="CF41" s="209">
        <f t="shared" si="132"/>
        <v>0</v>
      </c>
      <c r="CG41" s="209">
        <f t="shared" si="132"/>
        <v>0</v>
      </c>
      <c r="CH41" s="209">
        <f t="shared" si="132"/>
        <v>0</v>
      </c>
      <c r="CI41" s="209">
        <f t="shared" si="132"/>
        <v>0</v>
      </c>
      <c r="CJ41" s="209">
        <f t="shared" si="132"/>
        <v>0</v>
      </c>
      <c r="CK41" s="209">
        <f t="shared" si="132"/>
        <v>0</v>
      </c>
      <c r="CL41" s="209">
        <f t="shared" si="132"/>
        <v>0</v>
      </c>
      <c r="CM41" s="209">
        <f t="shared" si="132"/>
        <v>0</v>
      </c>
      <c r="CN41" s="209">
        <f t="shared" si="132"/>
        <v>0</v>
      </c>
      <c r="CO41" s="209">
        <f t="shared" si="132"/>
        <v>0</v>
      </c>
      <c r="CP41" s="209">
        <f t="shared" si="132"/>
        <v>0</v>
      </c>
      <c r="CQ41" s="209">
        <f t="shared" si="132"/>
        <v>0</v>
      </c>
      <c r="CR41" s="209">
        <f t="shared" si="132"/>
        <v>0</v>
      </c>
      <c r="CS41" s="209">
        <f t="shared" si="132"/>
        <v>0</v>
      </c>
      <c r="CT41" s="209">
        <f t="shared" si="132"/>
        <v>0</v>
      </c>
      <c r="CU41" s="209"/>
      <c r="CV41" s="209">
        <f t="shared" ref="CV41:DZ41" si="133">CV13*$EF41*1000</f>
        <v>0</v>
      </c>
      <c r="CW41" s="209">
        <f t="shared" si="133"/>
        <v>0</v>
      </c>
      <c r="CX41" s="209">
        <f t="shared" si="133"/>
        <v>0</v>
      </c>
      <c r="CY41" s="209">
        <f t="shared" si="133"/>
        <v>0</v>
      </c>
      <c r="CZ41" s="209">
        <f t="shared" si="133"/>
        <v>0</v>
      </c>
      <c r="DA41" s="209">
        <f t="shared" si="133"/>
        <v>0</v>
      </c>
      <c r="DB41" s="209">
        <f t="shared" si="133"/>
        <v>0</v>
      </c>
      <c r="DC41" s="209">
        <f t="shared" si="133"/>
        <v>0</v>
      </c>
      <c r="DD41" s="209">
        <f t="shared" si="133"/>
        <v>0</v>
      </c>
      <c r="DE41" s="209">
        <f t="shared" si="133"/>
        <v>0</v>
      </c>
      <c r="DF41" s="209">
        <f t="shared" si="133"/>
        <v>0</v>
      </c>
      <c r="DG41" s="209">
        <f t="shared" si="133"/>
        <v>0</v>
      </c>
      <c r="DH41" s="209">
        <f t="shared" si="133"/>
        <v>0</v>
      </c>
      <c r="DI41" s="209">
        <f t="shared" si="133"/>
        <v>0</v>
      </c>
      <c r="DJ41" s="209">
        <f t="shared" si="133"/>
        <v>0</v>
      </c>
      <c r="DK41" s="209">
        <f t="shared" si="133"/>
        <v>0</v>
      </c>
      <c r="DL41" s="209">
        <f t="shared" si="133"/>
        <v>0</v>
      </c>
      <c r="DM41" s="209">
        <f t="shared" si="133"/>
        <v>0</v>
      </c>
      <c r="DN41" s="209">
        <f t="shared" si="133"/>
        <v>0</v>
      </c>
      <c r="DO41" s="209">
        <f t="shared" si="133"/>
        <v>0</v>
      </c>
      <c r="DP41" s="209">
        <f t="shared" si="133"/>
        <v>0</v>
      </c>
      <c r="DQ41" s="209">
        <f t="shared" si="133"/>
        <v>0</v>
      </c>
      <c r="DR41" s="209">
        <f t="shared" si="133"/>
        <v>0</v>
      </c>
      <c r="DS41" s="209">
        <f t="shared" si="133"/>
        <v>0</v>
      </c>
      <c r="DT41" s="209">
        <f t="shared" si="133"/>
        <v>0</v>
      </c>
      <c r="DU41" s="209">
        <f t="shared" si="133"/>
        <v>0</v>
      </c>
      <c r="DV41" s="209">
        <f t="shared" si="133"/>
        <v>0</v>
      </c>
      <c r="DW41" s="209">
        <f t="shared" si="133"/>
        <v>0</v>
      </c>
      <c r="DX41" s="209">
        <f t="shared" si="133"/>
        <v>0</v>
      </c>
      <c r="DY41" s="209">
        <f t="shared" si="133"/>
        <v>0</v>
      </c>
      <c r="DZ41" s="209">
        <f t="shared" si="133"/>
        <v>0</v>
      </c>
      <c r="EF41" s="610">
        <v>10</v>
      </c>
      <c r="EI41" s="26"/>
      <c r="EQ41" t="s">
        <v>102</v>
      </c>
    </row>
    <row r="42" spans="1:147" x14ac:dyDescent="0.2">
      <c r="A42" s="1"/>
      <c r="B42" t="str">
        <f t="shared" si="109"/>
        <v>Building reduction</v>
      </c>
      <c r="C42" s="54" t="s">
        <v>97</v>
      </c>
      <c r="D42" s="209">
        <f t="shared" si="104"/>
        <v>0</v>
      </c>
      <c r="E42" s="209">
        <f t="shared" ref="E42:AH42" si="134">E14*$EF42*1000</f>
        <v>0</v>
      </c>
      <c r="F42" s="209">
        <f t="shared" si="134"/>
        <v>0</v>
      </c>
      <c r="G42" s="209">
        <f t="shared" si="134"/>
        <v>0</v>
      </c>
      <c r="H42" s="209">
        <f t="shared" si="134"/>
        <v>0</v>
      </c>
      <c r="I42" s="209">
        <f t="shared" si="134"/>
        <v>0</v>
      </c>
      <c r="J42" s="209">
        <f t="shared" si="134"/>
        <v>0</v>
      </c>
      <c r="K42" s="209">
        <f t="shared" si="134"/>
        <v>0</v>
      </c>
      <c r="L42" s="209">
        <f t="shared" si="134"/>
        <v>0</v>
      </c>
      <c r="M42" s="209">
        <f t="shared" si="134"/>
        <v>0</v>
      </c>
      <c r="N42" s="209">
        <f t="shared" si="134"/>
        <v>0</v>
      </c>
      <c r="O42" s="209">
        <f t="shared" si="134"/>
        <v>0</v>
      </c>
      <c r="P42" s="209">
        <f t="shared" si="134"/>
        <v>0</v>
      </c>
      <c r="Q42" s="209">
        <f t="shared" si="134"/>
        <v>0</v>
      </c>
      <c r="R42" s="209">
        <f t="shared" si="134"/>
        <v>0</v>
      </c>
      <c r="S42" s="209">
        <f t="shared" si="134"/>
        <v>0</v>
      </c>
      <c r="T42" s="209">
        <f t="shared" si="134"/>
        <v>0</v>
      </c>
      <c r="U42" s="209">
        <f t="shared" si="134"/>
        <v>0</v>
      </c>
      <c r="V42" s="209">
        <f t="shared" si="134"/>
        <v>0</v>
      </c>
      <c r="W42" s="209">
        <f t="shared" si="134"/>
        <v>0</v>
      </c>
      <c r="X42" s="209">
        <f t="shared" si="134"/>
        <v>0</v>
      </c>
      <c r="Y42" s="209">
        <f t="shared" si="134"/>
        <v>0</v>
      </c>
      <c r="Z42" s="209">
        <f t="shared" si="134"/>
        <v>0</v>
      </c>
      <c r="AA42" s="209">
        <f t="shared" si="134"/>
        <v>0</v>
      </c>
      <c r="AB42" s="209">
        <f t="shared" si="134"/>
        <v>0</v>
      </c>
      <c r="AC42" s="209">
        <f t="shared" si="134"/>
        <v>0</v>
      </c>
      <c r="AD42" s="209">
        <f t="shared" si="134"/>
        <v>0</v>
      </c>
      <c r="AE42" s="209">
        <f t="shared" si="134"/>
        <v>0</v>
      </c>
      <c r="AF42" s="209">
        <f t="shared" si="134"/>
        <v>0</v>
      </c>
      <c r="AG42" s="209">
        <f t="shared" si="134"/>
        <v>0</v>
      </c>
      <c r="AH42" s="209">
        <f t="shared" si="134"/>
        <v>0</v>
      </c>
      <c r="AI42" s="209"/>
      <c r="AJ42" s="209">
        <f t="shared" ref="AJ42:BN42" si="135">AJ14*$EF42*1000</f>
        <v>0</v>
      </c>
      <c r="AK42" s="209">
        <f t="shared" si="135"/>
        <v>0</v>
      </c>
      <c r="AL42" s="209">
        <f t="shared" si="135"/>
        <v>0</v>
      </c>
      <c r="AM42" s="209">
        <f t="shared" si="135"/>
        <v>0</v>
      </c>
      <c r="AN42" s="209">
        <f t="shared" si="135"/>
        <v>0</v>
      </c>
      <c r="AO42" s="209">
        <f t="shared" si="135"/>
        <v>0</v>
      </c>
      <c r="AP42" s="209">
        <f t="shared" si="135"/>
        <v>0</v>
      </c>
      <c r="AQ42" s="209">
        <f t="shared" si="135"/>
        <v>0</v>
      </c>
      <c r="AR42" s="209">
        <f t="shared" si="135"/>
        <v>0</v>
      </c>
      <c r="AS42" s="209">
        <f t="shared" si="135"/>
        <v>0</v>
      </c>
      <c r="AT42" s="209">
        <f t="shared" si="135"/>
        <v>0</v>
      </c>
      <c r="AU42" s="209">
        <f t="shared" si="135"/>
        <v>0</v>
      </c>
      <c r="AV42" s="209">
        <f t="shared" si="135"/>
        <v>0</v>
      </c>
      <c r="AW42" s="209">
        <f t="shared" si="135"/>
        <v>0</v>
      </c>
      <c r="AX42" s="209">
        <f t="shared" si="135"/>
        <v>0</v>
      </c>
      <c r="AY42" s="209">
        <f t="shared" si="135"/>
        <v>0</v>
      </c>
      <c r="AZ42" s="209">
        <f t="shared" si="135"/>
        <v>0</v>
      </c>
      <c r="BA42" s="209">
        <f t="shared" si="135"/>
        <v>0</v>
      </c>
      <c r="BB42" s="209">
        <f t="shared" si="135"/>
        <v>0</v>
      </c>
      <c r="BC42" s="209">
        <f t="shared" si="135"/>
        <v>0</v>
      </c>
      <c r="BD42" s="209">
        <f t="shared" si="135"/>
        <v>0</v>
      </c>
      <c r="BE42" s="209">
        <f t="shared" si="135"/>
        <v>0</v>
      </c>
      <c r="BF42" s="209">
        <f t="shared" si="135"/>
        <v>0</v>
      </c>
      <c r="BG42" s="209">
        <f t="shared" si="135"/>
        <v>0</v>
      </c>
      <c r="BH42" s="209">
        <f t="shared" si="135"/>
        <v>0</v>
      </c>
      <c r="BI42" s="209">
        <f t="shared" si="135"/>
        <v>0</v>
      </c>
      <c r="BJ42" s="209">
        <f t="shared" si="135"/>
        <v>0</v>
      </c>
      <c r="BK42" s="209">
        <f t="shared" si="135"/>
        <v>0</v>
      </c>
      <c r="BL42" s="209">
        <f t="shared" si="135"/>
        <v>0</v>
      </c>
      <c r="BM42" s="209">
        <f t="shared" si="135"/>
        <v>0</v>
      </c>
      <c r="BN42" s="209">
        <f t="shared" si="135"/>
        <v>0</v>
      </c>
      <c r="BO42" s="209"/>
      <c r="BP42" s="209">
        <f t="shared" ref="BP42:CT42" si="136">BP14*$EF42*1000</f>
        <v>0</v>
      </c>
      <c r="BQ42" s="209">
        <f t="shared" si="136"/>
        <v>0</v>
      </c>
      <c r="BR42" s="209">
        <f t="shared" si="136"/>
        <v>0</v>
      </c>
      <c r="BS42" s="209">
        <f t="shared" si="136"/>
        <v>0</v>
      </c>
      <c r="BT42" s="209">
        <f t="shared" si="136"/>
        <v>0</v>
      </c>
      <c r="BU42" s="209">
        <f t="shared" si="136"/>
        <v>0</v>
      </c>
      <c r="BV42" s="209">
        <f t="shared" si="136"/>
        <v>0</v>
      </c>
      <c r="BW42" s="209">
        <f t="shared" si="136"/>
        <v>0</v>
      </c>
      <c r="BX42" s="209">
        <f t="shared" si="136"/>
        <v>0</v>
      </c>
      <c r="BY42" s="209">
        <f t="shared" si="136"/>
        <v>0</v>
      </c>
      <c r="BZ42" s="209">
        <f t="shared" si="136"/>
        <v>0</v>
      </c>
      <c r="CA42" s="209">
        <f t="shared" si="136"/>
        <v>0</v>
      </c>
      <c r="CB42" s="209">
        <f t="shared" si="136"/>
        <v>0</v>
      </c>
      <c r="CC42" s="209">
        <f t="shared" si="136"/>
        <v>0</v>
      </c>
      <c r="CD42" s="209">
        <f t="shared" si="136"/>
        <v>0</v>
      </c>
      <c r="CE42" s="209">
        <f t="shared" si="136"/>
        <v>0</v>
      </c>
      <c r="CF42" s="209">
        <f t="shared" si="136"/>
        <v>0</v>
      </c>
      <c r="CG42" s="209">
        <f t="shared" si="136"/>
        <v>0</v>
      </c>
      <c r="CH42" s="209">
        <f t="shared" si="136"/>
        <v>0</v>
      </c>
      <c r="CI42" s="209">
        <f t="shared" si="136"/>
        <v>0</v>
      </c>
      <c r="CJ42" s="209">
        <f t="shared" si="136"/>
        <v>0</v>
      </c>
      <c r="CK42" s="209">
        <f t="shared" si="136"/>
        <v>0</v>
      </c>
      <c r="CL42" s="209">
        <f t="shared" si="136"/>
        <v>0</v>
      </c>
      <c r="CM42" s="209">
        <f t="shared" si="136"/>
        <v>0</v>
      </c>
      <c r="CN42" s="209">
        <f t="shared" si="136"/>
        <v>0</v>
      </c>
      <c r="CO42" s="209">
        <f t="shared" si="136"/>
        <v>0</v>
      </c>
      <c r="CP42" s="209">
        <f t="shared" si="136"/>
        <v>0</v>
      </c>
      <c r="CQ42" s="209">
        <f t="shared" si="136"/>
        <v>0</v>
      </c>
      <c r="CR42" s="209">
        <f t="shared" si="136"/>
        <v>0</v>
      </c>
      <c r="CS42" s="209">
        <f t="shared" si="136"/>
        <v>0</v>
      </c>
      <c r="CT42" s="209">
        <f t="shared" si="136"/>
        <v>0</v>
      </c>
      <c r="CU42" s="209"/>
      <c r="CV42" s="209">
        <f t="shared" ref="CV42:DZ42" si="137">CV14*$EF42*1000</f>
        <v>0</v>
      </c>
      <c r="CW42" s="209">
        <f t="shared" si="137"/>
        <v>0</v>
      </c>
      <c r="CX42" s="209">
        <f t="shared" si="137"/>
        <v>0</v>
      </c>
      <c r="CY42" s="209">
        <f t="shared" si="137"/>
        <v>0</v>
      </c>
      <c r="CZ42" s="209">
        <f t="shared" si="137"/>
        <v>0</v>
      </c>
      <c r="DA42" s="209">
        <f t="shared" si="137"/>
        <v>0</v>
      </c>
      <c r="DB42" s="209">
        <f t="shared" si="137"/>
        <v>0</v>
      </c>
      <c r="DC42" s="209">
        <f t="shared" si="137"/>
        <v>0</v>
      </c>
      <c r="DD42" s="209">
        <f t="shared" si="137"/>
        <v>0</v>
      </c>
      <c r="DE42" s="209">
        <f t="shared" si="137"/>
        <v>0</v>
      </c>
      <c r="DF42" s="209">
        <f t="shared" si="137"/>
        <v>0</v>
      </c>
      <c r="DG42" s="209">
        <f t="shared" si="137"/>
        <v>0</v>
      </c>
      <c r="DH42" s="209">
        <f t="shared" si="137"/>
        <v>0</v>
      </c>
      <c r="DI42" s="209">
        <f t="shared" si="137"/>
        <v>0</v>
      </c>
      <c r="DJ42" s="209">
        <f t="shared" si="137"/>
        <v>0</v>
      </c>
      <c r="DK42" s="209">
        <f t="shared" si="137"/>
        <v>0</v>
      </c>
      <c r="DL42" s="209">
        <f t="shared" si="137"/>
        <v>0</v>
      </c>
      <c r="DM42" s="209">
        <f t="shared" si="137"/>
        <v>0</v>
      </c>
      <c r="DN42" s="209">
        <f t="shared" si="137"/>
        <v>0</v>
      </c>
      <c r="DO42" s="209">
        <f t="shared" si="137"/>
        <v>0</v>
      </c>
      <c r="DP42" s="209">
        <f t="shared" si="137"/>
        <v>0</v>
      </c>
      <c r="DQ42" s="209">
        <f t="shared" si="137"/>
        <v>0</v>
      </c>
      <c r="DR42" s="209">
        <f t="shared" si="137"/>
        <v>0</v>
      </c>
      <c r="DS42" s="209">
        <f t="shared" si="137"/>
        <v>0</v>
      </c>
      <c r="DT42" s="209">
        <f t="shared" si="137"/>
        <v>0</v>
      </c>
      <c r="DU42" s="209">
        <f t="shared" si="137"/>
        <v>0</v>
      </c>
      <c r="DV42" s="209">
        <f t="shared" si="137"/>
        <v>0</v>
      </c>
      <c r="DW42" s="209">
        <f t="shared" si="137"/>
        <v>0</v>
      </c>
      <c r="DX42" s="209">
        <f t="shared" si="137"/>
        <v>0</v>
      </c>
      <c r="DY42" s="209">
        <f t="shared" si="137"/>
        <v>0</v>
      </c>
      <c r="DZ42" s="209">
        <f t="shared" si="137"/>
        <v>0</v>
      </c>
      <c r="EF42" s="51">
        <v>0</v>
      </c>
      <c r="EI42" s="26"/>
      <c r="EM42" t="s">
        <v>99</v>
      </c>
      <c r="EP42" t="s">
        <v>21</v>
      </c>
    </row>
    <row r="43" spans="1:147" x14ac:dyDescent="0.2">
      <c r="A43" s="1"/>
      <c r="B43" t="str">
        <f t="shared" si="109"/>
        <v>Building substitution</v>
      </c>
      <c r="C43" s="54" t="s">
        <v>97</v>
      </c>
      <c r="D43" s="209">
        <f t="shared" si="104"/>
        <v>0</v>
      </c>
      <c r="E43" s="209">
        <f t="shared" ref="E43:AH43" si="138">E15*$EF43*1000</f>
        <v>6181.3779113082001</v>
      </c>
      <c r="F43" s="209">
        <f t="shared" si="138"/>
        <v>12553.231212123628</v>
      </c>
      <c r="G43" s="209">
        <f t="shared" si="138"/>
        <v>19120.093434527578</v>
      </c>
      <c r="H43" s="209">
        <f t="shared" si="138"/>
        <v>25886.596143932915</v>
      </c>
      <c r="I43" s="209">
        <f t="shared" si="138"/>
        <v>32857.470957563623</v>
      </c>
      <c r="J43" s="209">
        <f t="shared" si="138"/>
        <v>40037.551603260421</v>
      </c>
      <c r="K43" s="209">
        <f t="shared" si="138"/>
        <v>47431.776019401288</v>
      </c>
      <c r="L43" s="209">
        <f t="shared" si="138"/>
        <v>55045.18849674111</v>
      </c>
      <c r="M43" s="209">
        <f t="shared" si="138"/>
        <v>62882.941862989959</v>
      </c>
      <c r="N43" s="209">
        <f t="shared" si="138"/>
        <v>70950.299710965352</v>
      </c>
      <c r="O43" s="209">
        <f t="shared" si="138"/>
        <v>79252.638671170134</v>
      </c>
      <c r="P43" s="209">
        <f t="shared" si="138"/>
        <v>87795.450729663571</v>
      </c>
      <c r="Q43" s="209">
        <f t="shared" si="138"/>
        <v>96584.345592110243</v>
      </c>
      <c r="R43" s="209">
        <f t="shared" si="138"/>
        <v>105625.05309490822</v>
      </c>
      <c r="S43" s="209">
        <f t="shared" si="138"/>
        <v>114923.42566431573</v>
      </c>
      <c r="T43" s="209">
        <f t="shared" si="138"/>
        <v>124485.4408245122</v>
      </c>
      <c r="U43" s="209">
        <f t="shared" si="138"/>
        <v>134317.20375554857</v>
      </c>
      <c r="V43" s="209">
        <f t="shared" si="138"/>
        <v>144424.94990216009</v>
      </c>
      <c r="W43" s="209">
        <f t="shared" si="138"/>
        <v>154815.04763443189</v>
      </c>
      <c r="X43" s="209">
        <f t="shared" si="138"/>
        <v>165494.00096132973</v>
      </c>
      <c r="Y43" s="209">
        <f t="shared" si="138"/>
        <v>176723.09652943458</v>
      </c>
      <c r="Z43" s="209">
        <f t="shared" si="138"/>
        <v>188262.38965594544</v>
      </c>
      <c r="AA43" s="209">
        <f t="shared" si="138"/>
        <v>200118.99775413066</v>
      </c>
      <c r="AB43" s="209">
        <f t="shared" si="138"/>
        <v>212300.18940070228</v>
      </c>
      <c r="AC43" s="209">
        <f t="shared" si="138"/>
        <v>224813.38741464799</v>
      </c>
      <c r="AD43" s="209">
        <f t="shared" si="138"/>
        <v>237666.17199711603</v>
      </c>
      <c r="AE43" s="209">
        <f t="shared" si="138"/>
        <v>250866.28393354005</v>
      </c>
      <c r="AF43" s="209">
        <f t="shared" si="138"/>
        <v>264421.62785921543</v>
      </c>
      <c r="AG43" s="209">
        <f t="shared" si="138"/>
        <v>278340.27558956033</v>
      </c>
      <c r="AH43" s="209">
        <f t="shared" si="138"/>
        <v>292630.4695163187</v>
      </c>
      <c r="AI43" s="209"/>
      <c r="AJ43" s="209">
        <f t="shared" ref="AJ43:BN43" si="139">AJ15*$EF43*1000</f>
        <v>0</v>
      </c>
      <c r="AK43" s="209">
        <f t="shared" si="139"/>
        <v>3090.6889556541</v>
      </c>
      <c r="AL43" s="209">
        <f t="shared" si="139"/>
        <v>6276.6156060618141</v>
      </c>
      <c r="AM43" s="209">
        <f t="shared" si="139"/>
        <v>9560.0467172637891</v>
      </c>
      <c r="AN43" s="209">
        <f t="shared" si="139"/>
        <v>12943.298071966457</v>
      </c>
      <c r="AO43" s="209">
        <f t="shared" si="139"/>
        <v>16428.735478781811</v>
      </c>
      <c r="AP43" s="209">
        <f t="shared" si="139"/>
        <v>20018.77580163021</v>
      </c>
      <c r="AQ43" s="209">
        <f t="shared" si="139"/>
        <v>23715.888009700644</v>
      </c>
      <c r="AR43" s="209">
        <f t="shared" si="139"/>
        <v>27522.594248370555</v>
      </c>
      <c r="AS43" s="209">
        <f t="shared" si="139"/>
        <v>31441.47093149498</v>
      </c>
      <c r="AT43" s="209">
        <f t="shared" si="139"/>
        <v>35475.149855482676</v>
      </c>
      <c r="AU43" s="209">
        <f t="shared" si="139"/>
        <v>39626.319335585067</v>
      </c>
      <c r="AV43" s="209">
        <f t="shared" si="139"/>
        <v>43897.725364831786</v>
      </c>
      <c r="AW43" s="209">
        <f t="shared" si="139"/>
        <v>48292.172796055122</v>
      </c>
      <c r="AX43" s="209">
        <f t="shared" si="139"/>
        <v>52812.526547454108</v>
      </c>
      <c r="AY43" s="209">
        <f t="shared" si="139"/>
        <v>57461.712832157864</v>
      </c>
      <c r="AZ43" s="209">
        <f t="shared" si="139"/>
        <v>62242.720412256102</v>
      </c>
      <c r="BA43" s="209">
        <f t="shared" si="139"/>
        <v>67158.601877774287</v>
      </c>
      <c r="BB43" s="209">
        <f t="shared" si="139"/>
        <v>72212.474951080047</v>
      </c>
      <c r="BC43" s="209">
        <f t="shared" si="139"/>
        <v>77407.523817215944</v>
      </c>
      <c r="BD43" s="209">
        <f t="shared" si="139"/>
        <v>82747.000480664865</v>
      </c>
      <c r="BE43" s="209">
        <f t="shared" si="139"/>
        <v>88361.54826471729</v>
      </c>
      <c r="BF43" s="209">
        <f t="shared" si="139"/>
        <v>94131.194827972722</v>
      </c>
      <c r="BG43" s="209">
        <f t="shared" si="139"/>
        <v>100059.49887706533</v>
      </c>
      <c r="BH43" s="209">
        <f t="shared" si="139"/>
        <v>106150.09470035114</v>
      </c>
      <c r="BI43" s="209">
        <f t="shared" si="139"/>
        <v>112406.693707324</v>
      </c>
      <c r="BJ43" s="209">
        <f t="shared" si="139"/>
        <v>118833.08599855802</v>
      </c>
      <c r="BK43" s="209">
        <f t="shared" si="139"/>
        <v>125433.14196677002</v>
      </c>
      <c r="BL43" s="209">
        <f t="shared" si="139"/>
        <v>132210.81392960771</v>
      </c>
      <c r="BM43" s="209">
        <f t="shared" si="139"/>
        <v>139170.13779478017</v>
      </c>
      <c r="BN43" s="209">
        <f t="shared" si="139"/>
        <v>146315.23475815935</v>
      </c>
      <c r="BO43" s="209"/>
      <c r="BP43" s="209">
        <f t="shared" ref="BP43:CT43" si="140">BP15*$EF43*1000</f>
        <v>0</v>
      </c>
      <c r="BQ43" s="209">
        <f t="shared" si="140"/>
        <v>0</v>
      </c>
      <c r="BR43" s="209">
        <f t="shared" si="140"/>
        <v>0</v>
      </c>
      <c r="BS43" s="209">
        <f t="shared" si="140"/>
        <v>0</v>
      </c>
      <c r="BT43" s="209">
        <f t="shared" si="140"/>
        <v>0</v>
      </c>
      <c r="BU43" s="209">
        <f t="shared" si="140"/>
        <v>0</v>
      </c>
      <c r="BV43" s="209">
        <f t="shared" si="140"/>
        <v>0</v>
      </c>
      <c r="BW43" s="209">
        <f t="shared" si="140"/>
        <v>0</v>
      </c>
      <c r="BX43" s="209">
        <f t="shared" si="140"/>
        <v>0</v>
      </c>
      <c r="BY43" s="209">
        <f t="shared" si="140"/>
        <v>0</v>
      </c>
      <c r="BZ43" s="209">
        <f t="shared" si="140"/>
        <v>0</v>
      </c>
      <c r="CA43" s="209">
        <f t="shared" si="140"/>
        <v>0</v>
      </c>
      <c r="CB43" s="209">
        <f t="shared" si="140"/>
        <v>0</v>
      </c>
      <c r="CC43" s="209">
        <f t="shared" si="140"/>
        <v>0</v>
      </c>
      <c r="CD43" s="209">
        <f t="shared" si="140"/>
        <v>0</v>
      </c>
      <c r="CE43" s="209">
        <f t="shared" si="140"/>
        <v>0</v>
      </c>
      <c r="CF43" s="209">
        <f t="shared" si="140"/>
        <v>0</v>
      </c>
      <c r="CG43" s="209">
        <f t="shared" si="140"/>
        <v>0</v>
      </c>
      <c r="CH43" s="209">
        <f t="shared" si="140"/>
        <v>0</v>
      </c>
      <c r="CI43" s="209">
        <f t="shared" si="140"/>
        <v>0</v>
      </c>
      <c r="CJ43" s="209">
        <f t="shared" si="140"/>
        <v>0</v>
      </c>
      <c r="CK43" s="209">
        <f t="shared" si="140"/>
        <v>0</v>
      </c>
      <c r="CL43" s="209">
        <f t="shared" si="140"/>
        <v>0</v>
      </c>
      <c r="CM43" s="209">
        <f t="shared" si="140"/>
        <v>0</v>
      </c>
      <c r="CN43" s="209">
        <f t="shared" si="140"/>
        <v>0</v>
      </c>
      <c r="CO43" s="209">
        <f t="shared" si="140"/>
        <v>0</v>
      </c>
      <c r="CP43" s="209">
        <f t="shared" si="140"/>
        <v>0</v>
      </c>
      <c r="CQ43" s="209">
        <f t="shared" si="140"/>
        <v>0</v>
      </c>
      <c r="CR43" s="209">
        <f t="shared" si="140"/>
        <v>0</v>
      </c>
      <c r="CS43" s="209">
        <f t="shared" si="140"/>
        <v>0</v>
      </c>
      <c r="CT43" s="209">
        <f t="shared" si="140"/>
        <v>0</v>
      </c>
      <c r="CU43" s="209"/>
      <c r="CV43" s="209">
        <f t="shared" ref="CV43:DZ43" si="141">CV15*$EF43*1000</f>
        <v>0</v>
      </c>
      <c r="CW43" s="209">
        <f t="shared" si="141"/>
        <v>0</v>
      </c>
      <c r="CX43" s="209">
        <f t="shared" si="141"/>
        <v>0</v>
      </c>
      <c r="CY43" s="209">
        <f t="shared" si="141"/>
        <v>0</v>
      </c>
      <c r="CZ43" s="209">
        <f t="shared" si="141"/>
        <v>0</v>
      </c>
      <c r="DA43" s="209">
        <f t="shared" si="141"/>
        <v>0</v>
      </c>
      <c r="DB43" s="209">
        <f t="shared" si="141"/>
        <v>0</v>
      </c>
      <c r="DC43" s="209">
        <f t="shared" si="141"/>
        <v>0</v>
      </c>
      <c r="DD43" s="209">
        <f t="shared" si="141"/>
        <v>0</v>
      </c>
      <c r="DE43" s="209">
        <f t="shared" si="141"/>
        <v>0</v>
      </c>
      <c r="DF43" s="209">
        <f t="shared" si="141"/>
        <v>0</v>
      </c>
      <c r="DG43" s="209">
        <f t="shared" si="141"/>
        <v>0</v>
      </c>
      <c r="DH43" s="209">
        <f t="shared" si="141"/>
        <v>0</v>
      </c>
      <c r="DI43" s="209">
        <f t="shared" si="141"/>
        <v>0</v>
      </c>
      <c r="DJ43" s="209">
        <f t="shared" si="141"/>
        <v>0</v>
      </c>
      <c r="DK43" s="209">
        <f t="shared" si="141"/>
        <v>0</v>
      </c>
      <c r="DL43" s="209">
        <f t="shared" si="141"/>
        <v>0</v>
      </c>
      <c r="DM43" s="209">
        <f t="shared" si="141"/>
        <v>0</v>
      </c>
      <c r="DN43" s="209">
        <f t="shared" si="141"/>
        <v>0</v>
      </c>
      <c r="DO43" s="209">
        <f t="shared" si="141"/>
        <v>0</v>
      </c>
      <c r="DP43" s="209">
        <f t="shared" si="141"/>
        <v>0</v>
      </c>
      <c r="DQ43" s="209">
        <f t="shared" si="141"/>
        <v>0</v>
      </c>
      <c r="DR43" s="209">
        <f t="shared" si="141"/>
        <v>0</v>
      </c>
      <c r="DS43" s="209">
        <f t="shared" si="141"/>
        <v>0</v>
      </c>
      <c r="DT43" s="209">
        <f t="shared" si="141"/>
        <v>0</v>
      </c>
      <c r="DU43" s="209">
        <f t="shared" si="141"/>
        <v>0</v>
      </c>
      <c r="DV43" s="209">
        <f t="shared" si="141"/>
        <v>0</v>
      </c>
      <c r="DW43" s="209">
        <f t="shared" si="141"/>
        <v>0</v>
      </c>
      <c r="DX43" s="209">
        <f t="shared" si="141"/>
        <v>0</v>
      </c>
      <c r="DY43" s="209">
        <f t="shared" si="141"/>
        <v>0</v>
      </c>
      <c r="DZ43" s="209">
        <f t="shared" si="141"/>
        <v>0</v>
      </c>
      <c r="EF43" s="51">
        <v>18.5</v>
      </c>
      <c r="EI43" s="26"/>
      <c r="EM43" t="s">
        <v>99</v>
      </c>
      <c r="EP43" t="s">
        <v>103</v>
      </c>
    </row>
    <row r="44" spans="1:147" x14ac:dyDescent="0.2">
      <c r="A44" s="1"/>
      <c r="B44" t="str">
        <f t="shared" si="109"/>
        <v>Apparel - waste reduction</v>
      </c>
      <c r="C44" s="54" t="s">
        <v>97</v>
      </c>
      <c r="D44" s="209">
        <f t="shared" si="104"/>
        <v>0</v>
      </c>
      <c r="E44" s="209">
        <f t="shared" ref="E44:AH44" si="142">E16*$EF44*1000</f>
        <v>0</v>
      </c>
      <c r="F44" s="209">
        <f t="shared" si="142"/>
        <v>0</v>
      </c>
      <c r="G44" s="209">
        <f t="shared" si="142"/>
        <v>0</v>
      </c>
      <c r="H44" s="209">
        <f t="shared" si="142"/>
        <v>0</v>
      </c>
      <c r="I44" s="209">
        <f t="shared" si="142"/>
        <v>0</v>
      </c>
      <c r="J44" s="209">
        <f t="shared" si="142"/>
        <v>0</v>
      </c>
      <c r="K44" s="209">
        <f t="shared" si="142"/>
        <v>0</v>
      </c>
      <c r="L44" s="209">
        <f t="shared" si="142"/>
        <v>0</v>
      </c>
      <c r="M44" s="209">
        <f t="shared" si="142"/>
        <v>0</v>
      </c>
      <c r="N44" s="209">
        <f t="shared" si="142"/>
        <v>0</v>
      </c>
      <c r="O44" s="209">
        <f t="shared" si="142"/>
        <v>0</v>
      </c>
      <c r="P44" s="209">
        <f t="shared" si="142"/>
        <v>0</v>
      </c>
      <c r="Q44" s="209">
        <f t="shared" si="142"/>
        <v>0</v>
      </c>
      <c r="R44" s="209">
        <f t="shared" si="142"/>
        <v>0</v>
      </c>
      <c r="S44" s="209">
        <f t="shared" si="142"/>
        <v>0</v>
      </c>
      <c r="T44" s="209">
        <f t="shared" si="142"/>
        <v>0</v>
      </c>
      <c r="U44" s="209">
        <f t="shared" si="142"/>
        <v>0</v>
      </c>
      <c r="V44" s="209">
        <f t="shared" si="142"/>
        <v>0</v>
      </c>
      <c r="W44" s="209">
        <f t="shared" si="142"/>
        <v>0</v>
      </c>
      <c r="X44" s="209">
        <f t="shared" si="142"/>
        <v>0</v>
      </c>
      <c r="Y44" s="209">
        <f t="shared" si="142"/>
        <v>0</v>
      </c>
      <c r="Z44" s="209">
        <f t="shared" si="142"/>
        <v>0</v>
      </c>
      <c r="AA44" s="209">
        <f t="shared" si="142"/>
        <v>0</v>
      </c>
      <c r="AB44" s="209">
        <f t="shared" si="142"/>
        <v>0</v>
      </c>
      <c r="AC44" s="209">
        <f t="shared" si="142"/>
        <v>0</v>
      </c>
      <c r="AD44" s="209">
        <f t="shared" si="142"/>
        <v>0</v>
      </c>
      <c r="AE44" s="209">
        <f t="shared" si="142"/>
        <v>0</v>
      </c>
      <c r="AF44" s="209">
        <f t="shared" si="142"/>
        <v>0</v>
      </c>
      <c r="AG44" s="209">
        <f t="shared" si="142"/>
        <v>0</v>
      </c>
      <c r="AH44" s="209">
        <f t="shared" si="142"/>
        <v>0</v>
      </c>
      <c r="AI44" s="209"/>
      <c r="AJ44" s="209">
        <f t="shared" ref="AJ44:BN44" si="143">AJ16*$EF44*1000</f>
        <v>0</v>
      </c>
      <c r="AK44" s="209">
        <f t="shared" si="143"/>
        <v>0</v>
      </c>
      <c r="AL44" s="209">
        <f t="shared" si="143"/>
        <v>0</v>
      </c>
      <c r="AM44" s="209">
        <f t="shared" si="143"/>
        <v>0</v>
      </c>
      <c r="AN44" s="209">
        <f t="shared" si="143"/>
        <v>0</v>
      </c>
      <c r="AO44" s="209">
        <f t="shared" si="143"/>
        <v>0</v>
      </c>
      <c r="AP44" s="209">
        <f t="shared" si="143"/>
        <v>0</v>
      </c>
      <c r="AQ44" s="209">
        <f t="shared" si="143"/>
        <v>0</v>
      </c>
      <c r="AR44" s="209">
        <f t="shared" si="143"/>
        <v>0</v>
      </c>
      <c r="AS44" s="209">
        <f t="shared" si="143"/>
        <v>0</v>
      </c>
      <c r="AT44" s="209">
        <f t="shared" si="143"/>
        <v>0</v>
      </c>
      <c r="AU44" s="209">
        <f t="shared" si="143"/>
        <v>0</v>
      </c>
      <c r="AV44" s="209">
        <f t="shared" si="143"/>
        <v>0</v>
      </c>
      <c r="AW44" s="209">
        <f t="shared" si="143"/>
        <v>0</v>
      </c>
      <c r="AX44" s="209">
        <f t="shared" si="143"/>
        <v>0</v>
      </c>
      <c r="AY44" s="209">
        <f t="shared" si="143"/>
        <v>0</v>
      </c>
      <c r="AZ44" s="209">
        <f t="shared" si="143"/>
        <v>0</v>
      </c>
      <c r="BA44" s="209">
        <f t="shared" si="143"/>
        <v>0</v>
      </c>
      <c r="BB44" s="209">
        <f t="shared" si="143"/>
        <v>0</v>
      </c>
      <c r="BC44" s="209">
        <f t="shared" si="143"/>
        <v>0</v>
      </c>
      <c r="BD44" s="209">
        <f t="shared" si="143"/>
        <v>0</v>
      </c>
      <c r="BE44" s="209">
        <f t="shared" si="143"/>
        <v>0</v>
      </c>
      <c r="BF44" s="209">
        <f t="shared" si="143"/>
        <v>0</v>
      </c>
      <c r="BG44" s="209">
        <f t="shared" si="143"/>
        <v>0</v>
      </c>
      <c r="BH44" s="209">
        <f t="shared" si="143"/>
        <v>0</v>
      </c>
      <c r="BI44" s="209">
        <f t="shared" si="143"/>
        <v>0</v>
      </c>
      <c r="BJ44" s="209">
        <f t="shared" si="143"/>
        <v>0</v>
      </c>
      <c r="BK44" s="209">
        <f t="shared" si="143"/>
        <v>0</v>
      </c>
      <c r="BL44" s="209">
        <f t="shared" si="143"/>
        <v>0</v>
      </c>
      <c r="BM44" s="209">
        <f t="shared" si="143"/>
        <v>0</v>
      </c>
      <c r="BN44" s="209">
        <f t="shared" si="143"/>
        <v>0</v>
      </c>
      <c r="BO44" s="209"/>
      <c r="BP44" s="209">
        <f t="shared" ref="BP44:CT44" si="144">BP16*$EF44*1000</f>
        <v>0</v>
      </c>
      <c r="BQ44" s="209">
        <f t="shared" si="144"/>
        <v>0</v>
      </c>
      <c r="BR44" s="209">
        <f t="shared" si="144"/>
        <v>0</v>
      </c>
      <c r="BS44" s="209">
        <f t="shared" si="144"/>
        <v>0</v>
      </c>
      <c r="BT44" s="209">
        <f t="shared" si="144"/>
        <v>0</v>
      </c>
      <c r="BU44" s="209">
        <f t="shared" si="144"/>
        <v>0</v>
      </c>
      <c r="BV44" s="209">
        <f t="shared" si="144"/>
        <v>0</v>
      </c>
      <c r="BW44" s="209">
        <f t="shared" si="144"/>
        <v>0</v>
      </c>
      <c r="BX44" s="209">
        <f t="shared" si="144"/>
        <v>0</v>
      </c>
      <c r="BY44" s="209">
        <f t="shared" si="144"/>
        <v>0</v>
      </c>
      <c r="BZ44" s="209">
        <f t="shared" si="144"/>
        <v>0</v>
      </c>
      <c r="CA44" s="209">
        <f t="shared" si="144"/>
        <v>0</v>
      </c>
      <c r="CB44" s="209">
        <f t="shared" si="144"/>
        <v>0</v>
      </c>
      <c r="CC44" s="209">
        <f t="shared" si="144"/>
        <v>0</v>
      </c>
      <c r="CD44" s="209">
        <f t="shared" si="144"/>
        <v>0</v>
      </c>
      <c r="CE44" s="209">
        <f t="shared" si="144"/>
        <v>0</v>
      </c>
      <c r="CF44" s="209">
        <f t="shared" si="144"/>
        <v>0</v>
      </c>
      <c r="CG44" s="209">
        <f t="shared" si="144"/>
        <v>0</v>
      </c>
      <c r="CH44" s="209">
        <f t="shared" si="144"/>
        <v>0</v>
      </c>
      <c r="CI44" s="209">
        <f t="shared" si="144"/>
        <v>0</v>
      </c>
      <c r="CJ44" s="209">
        <f t="shared" si="144"/>
        <v>0</v>
      </c>
      <c r="CK44" s="209">
        <f t="shared" si="144"/>
        <v>0</v>
      </c>
      <c r="CL44" s="209">
        <f t="shared" si="144"/>
        <v>0</v>
      </c>
      <c r="CM44" s="209">
        <f t="shared" si="144"/>
        <v>0</v>
      </c>
      <c r="CN44" s="209">
        <f t="shared" si="144"/>
        <v>0</v>
      </c>
      <c r="CO44" s="209">
        <f t="shared" si="144"/>
        <v>0</v>
      </c>
      <c r="CP44" s="209">
        <f t="shared" si="144"/>
        <v>0</v>
      </c>
      <c r="CQ44" s="209">
        <f t="shared" si="144"/>
        <v>0</v>
      </c>
      <c r="CR44" s="209">
        <f t="shared" si="144"/>
        <v>0</v>
      </c>
      <c r="CS44" s="209">
        <f t="shared" si="144"/>
        <v>0</v>
      </c>
      <c r="CT44" s="209">
        <f t="shared" si="144"/>
        <v>0</v>
      </c>
      <c r="CU44" s="209"/>
      <c r="CV44" s="209">
        <f t="shared" ref="CV44:DZ44" si="145">CV16*$EF44*1000</f>
        <v>0</v>
      </c>
      <c r="CW44" s="209">
        <f t="shared" si="145"/>
        <v>0</v>
      </c>
      <c r="CX44" s="209">
        <f t="shared" si="145"/>
        <v>0</v>
      </c>
      <c r="CY44" s="209">
        <f t="shared" si="145"/>
        <v>0</v>
      </c>
      <c r="CZ44" s="209">
        <f t="shared" si="145"/>
        <v>0</v>
      </c>
      <c r="DA44" s="209">
        <f t="shared" si="145"/>
        <v>0</v>
      </c>
      <c r="DB44" s="209">
        <f t="shared" si="145"/>
        <v>0</v>
      </c>
      <c r="DC44" s="209">
        <f t="shared" si="145"/>
        <v>0</v>
      </c>
      <c r="DD44" s="209">
        <f t="shared" si="145"/>
        <v>0</v>
      </c>
      <c r="DE44" s="209">
        <f t="shared" si="145"/>
        <v>0</v>
      </c>
      <c r="DF44" s="209">
        <f t="shared" si="145"/>
        <v>0</v>
      </c>
      <c r="DG44" s="209">
        <f t="shared" si="145"/>
        <v>0</v>
      </c>
      <c r="DH44" s="209">
        <f t="shared" si="145"/>
        <v>0</v>
      </c>
      <c r="DI44" s="209">
        <f t="shared" si="145"/>
        <v>0</v>
      </c>
      <c r="DJ44" s="209">
        <f t="shared" si="145"/>
        <v>0</v>
      </c>
      <c r="DK44" s="209">
        <f t="shared" si="145"/>
        <v>0</v>
      </c>
      <c r="DL44" s="209">
        <f t="shared" si="145"/>
        <v>0</v>
      </c>
      <c r="DM44" s="209">
        <f t="shared" si="145"/>
        <v>0</v>
      </c>
      <c r="DN44" s="209">
        <f t="shared" si="145"/>
        <v>0</v>
      </c>
      <c r="DO44" s="209">
        <f t="shared" si="145"/>
        <v>0</v>
      </c>
      <c r="DP44" s="209">
        <f t="shared" si="145"/>
        <v>0</v>
      </c>
      <c r="DQ44" s="209">
        <f t="shared" si="145"/>
        <v>0</v>
      </c>
      <c r="DR44" s="209">
        <f t="shared" si="145"/>
        <v>0</v>
      </c>
      <c r="DS44" s="209">
        <f t="shared" si="145"/>
        <v>0</v>
      </c>
      <c r="DT44" s="209">
        <f t="shared" si="145"/>
        <v>0</v>
      </c>
      <c r="DU44" s="209">
        <f t="shared" si="145"/>
        <v>0</v>
      </c>
      <c r="DV44" s="209">
        <f t="shared" si="145"/>
        <v>0</v>
      </c>
      <c r="DW44" s="209">
        <f t="shared" si="145"/>
        <v>0</v>
      </c>
      <c r="DX44" s="209">
        <f t="shared" si="145"/>
        <v>0</v>
      </c>
      <c r="DY44" s="209">
        <f t="shared" si="145"/>
        <v>0</v>
      </c>
      <c r="DZ44" s="209">
        <f t="shared" si="145"/>
        <v>0</v>
      </c>
      <c r="EF44" s="51">
        <v>0</v>
      </c>
      <c r="EI44" s="26"/>
      <c r="EM44" t="s">
        <v>99</v>
      </c>
      <c r="EP44" t="s">
        <v>104</v>
      </c>
    </row>
    <row r="45" spans="1:147" x14ac:dyDescent="0.2">
      <c r="A45" s="1"/>
      <c r="B45" t="str">
        <f t="shared" si="109"/>
        <v>Apparel - NBM</v>
      </c>
      <c r="C45" s="54" t="s">
        <v>97</v>
      </c>
      <c r="D45" s="209">
        <f t="shared" si="104"/>
        <v>0</v>
      </c>
      <c r="E45" s="209">
        <f t="shared" ref="E45:AH45" si="146">E17*$EF45*1000</f>
        <v>1081.9595613916915</v>
      </c>
      <c r="F45" s="209">
        <f t="shared" si="146"/>
        <v>2192.239762840793</v>
      </c>
      <c r="G45" s="209">
        <f t="shared" si="146"/>
        <v>3331.4506452456258</v>
      </c>
      <c r="H45" s="209">
        <f t="shared" si="146"/>
        <v>4500.2151972623706</v>
      </c>
      <c r="I45" s="209">
        <f t="shared" si="146"/>
        <v>5699.1696383425879</v>
      </c>
      <c r="J45" s="209">
        <f t="shared" si="146"/>
        <v>6928.963708151934</v>
      </c>
      <c r="K45" s="209">
        <f t="shared" si="146"/>
        <v>8190.2609625167688</v>
      </c>
      <c r="L45" s="209">
        <f t="shared" si="146"/>
        <v>9483.7390760487106</v>
      </c>
      <c r="M45" s="209">
        <f t="shared" si="146"/>
        <v>10810.09015160066</v>
      </c>
      <c r="N45" s="209">
        <f t="shared" si="146"/>
        <v>12170.021036711456</v>
      </c>
      <c r="O45" s="209">
        <f t="shared" si="146"/>
        <v>14180.810631163429</v>
      </c>
      <c r="P45" s="209">
        <f t="shared" si="146"/>
        <v>16242.985739578056</v>
      </c>
      <c r="Q45" s="209">
        <f t="shared" si="146"/>
        <v>18357.657008286467</v>
      </c>
      <c r="R45" s="209">
        <f t="shared" si="146"/>
        <v>20525.958874199965</v>
      </c>
      <c r="S45" s="209">
        <f t="shared" si="146"/>
        <v>22749.05008928095</v>
      </c>
      <c r="T45" s="209">
        <f t="shared" si="146"/>
        <v>25028.114256904257</v>
      </c>
      <c r="U45" s="209">
        <f t="shared" si="146"/>
        <v>27364.360380382968</v>
      </c>
      <c r="V45" s="209">
        <f t="shared" si="146"/>
        <v>29759.023423939256</v>
      </c>
      <c r="W45" s="209">
        <f t="shared" si="146"/>
        <v>32213.364886407027</v>
      </c>
      <c r="X45" s="209">
        <f t="shared" si="146"/>
        <v>34728.673387960116</v>
      </c>
      <c r="Y45" s="209">
        <f t="shared" si="146"/>
        <v>38714.048865266821</v>
      </c>
      <c r="Z45" s="209">
        <f t="shared" si="146"/>
        <v>42800.877010365104</v>
      </c>
      <c r="AA45" s="209">
        <f t="shared" si="146"/>
        <v>46991.371948816428</v>
      </c>
      <c r="AB45" s="209">
        <f t="shared" si="146"/>
        <v>51287.795799794992</v>
      </c>
      <c r="AC45" s="209">
        <f t="shared" si="146"/>
        <v>55692.459744535059</v>
      </c>
      <c r="AD45" s="209">
        <f t="shared" si="146"/>
        <v>60207.725119158735</v>
      </c>
      <c r="AE45" s="209">
        <f t="shared" si="146"/>
        <v>64836.004532448853</v>
      </c>
      <c r="AF45" s="209">
        <f t="shared" si="146"/>
        <v>69579.763009143891</v>
      </c>
      <c r="AG45" s="209">
        <f t="shared" si="146"/>
        <v>74441.519159345436</v>
      </c>
      <c r="AH45" s="209">
        <f t="shared" si="146"/>
        <v>79423.846374642642</v>
      </c>
      <c r="AI45" s="209"/>
      <c r="AJ45" s="209">
        <f t="shared" ref="AJ45:BN45" si="147">AJ17*$EF45*1000</f>
        <v>0</v>
      </c>
      <c r="AK45" s="209">
        <f t="shared" si="147"/>
        <v>540.97978069584576</v>
      </c>
      <c r="AL45" s="209">
        <f t="shared" si="147"/>
        <v>1096.1198814203965</v>
      </c>
      <c r="AM45" s="209">
        <f t="shared" si="147"/>
        <v>1665.7253226228129</v>
      </c>
      <c r="AN45" s="209">
        <f t="shared" si="147"/>
        <v>2250.1075986311853</v>
      </c>
      <c r="AO45" s="209">
        <f t="shared" si="147"/>
        <v>2849.5848191712939</v>
      </c>
      <c r="AP45" s="209">
        <f t="shared" si="147"/>
        <v>3464.481854075967</v>
      </c>
      <c r="AQ45" s="209">
        <f t="shared" si="147"/>
        <v>4095.1304812583844</v>
      </c>
      <c r="AR45" s="209">
        <f t="shared" si="147"/>
        <v>4741.8695380243553</v>
      </c>
      <c r="AS45" s="209">
        <f t="shared" si="147"/>
        <v>5405.0450758003299</v>
      </c>
      <c r="AT45" s="209">
        <f t="shared" si="147"/>
        <v>6085.010518355728</v>
      </c>
      <c r="AU45" s="209">
        <f t="shared" si="147"/>
        <v>7090.4053155817146</v>
      </c>
      <c r="AV45" s="209">
        <f t="shared" si="147"/>
        <v>8121.4928697890282</v>
      </c>
      <c r="AW45" s="209">
        <f t="shared" si="147"/>
        <v>9178.8285041432337</v>
      </c>
      <c r="AX45" s="209">
        <f t="shared" si="147"/>
        <v>10262.979437099983</v>
      </c>
      <c r="AY45" s="209">
        <f t="shared" si="147"/>
        <v>11374.525044640475</v>
      </c>
      <c r="AZ45" s="209">
        <f t="shared" si="147"/>
        <v>12514.057128452128</v>
      </c>
      <c r="BA45" s="209">
        <f t="shared" si="147"/>
        <v>13682.180190191484</v>
      </c>
      <c r="BB45" s="209">
        <f t="shared" si="147"/>
        <v>14879.511711969628</v>
      </c>
      <c r="BC45" s="209">
        <f t="shared" si="147"/>
        <v>16106.682443203514</v>
      </c>
      <c r="BD45" s="209">
        <f t="shared" si="147"/>
        <v>17364.336693980058</v>
      </c>
      <c r="BE45" s="209">
        <f t="shared" si="147"/>
        <v>19357.02443263341</v>
      </c>
      <c r="BF45" s="209">
        <f t="shared" si="147"/>
        <v>21400.438505182552</v>
      </c>
      <c r="BG45" s="209">
        <f t="shared" si="147"/>
        <v>23495.685974408214</v>
      </c>
      <c r="BH45" s="209">
        <f t="shared" si="147"/>
        <v>25643.897899897496</v>
      </c>
      <c r="BI45" s="209">
        <f t="shared" si="147"/>
        <v>27846.22987226753</v>
      </c>
      <c r="BJ45" s="209">
        <f t="shared" si="147"/>
        <v>30103.862559579367</v>
      </c>
      <c r="BK45" s="209">
        <f t="shared" si="147"/>
        <v>32418.002266224426</v>
      </c>
      <c r="BL45" s="209">
        <f t="shared" si="147"/>
        <v>34789.881504571946</v>
      </c>
      <c r="BM45" s="209">
        <f t="shared" si="147"/>
        <v>37220.759579672718</v>
      </c>
      <c r="BN45" s="209">
        <f t="shared" si="147"/>
        <v>39711.923187321321</v>
      </c>
      <c r="BO45" s="209">
        <f>SUM(BN49:BN50)</f>
        <v>406455.41275935346</v>
      </c>
      <c r="BP45" s="209">
        <f t="shared" ref="BP45:CT45" si="148">BP17*$EF45*1000</f>
        <v>0</v>
      </c>
      <c r="BQ45" s="209">
        <f t="shared" si="148"/>
        <v>0</v>
      </c>
      <c r="BR45" s="209">
        <f t="shared" si="148"/>
        <v>0</v>
      </c>
      <c r="BS45" s="209">
        <f t="shared" si="148"/>
        <v>0</v>
      </c>
      <c r="BT45" s="209">
        <f t="shared" si="148"/>
        <v>0</v>
      </c>
      <c r="BU45" s="209">
        <f t="shared" si="148"/>
        <v>0</v>
      </c>
      <c r="BV45" s="209">
        <f t="shared" si="148"/>
        <v>0</v>
      </c>
      <c r="BW45" s="209">
        <f t="shared" si="148"/>
        <v>0</v>
      </c>
      <c r="BX45" s="209">
        <f t="shared" si="148"/>
        <v>0</v>
      </c>
      <c r="BY45" s="209">
        <f t="shared" si="148"/>
        <v>0</v>
      </c>
      <c r="BZ45" s="209">
        <f t="shared" si="148"/>
        <v>0</v>
      </c>
      <c r="CA45" s="209">
        <f t="shared" si="148"/>
        <v>0</v>
      </c>
      <c r="CB45" s="209">
        <f t="shared" si="148"/>
        <v>0</v>
      </c>
      <c r="CC45" s="209">
        <f t="shared" si="148"/>
        <v>0</v>
      </c>
      <c r="CD45" s="209">
        <f t="shared" si="148"/>
        <v>0</v>
      </c>
      <c r="CE45" s="209">
        <f t="shared" si="148"/>
        <v>0</v>
      </c>
      <c r="CF45" s="209">
        <f t="shared" si="148"/>
        <v>0</v>
      </c>
      <c r="CG45" s="209">
        <f t="shared" si="148"/>
        <v>0</v>
      </c>
      <c r="CH45" s="209">
        <f t="shared" si="148"/>
        <v>0</v>
      </c>
      <c r="CI45" s="209">
        <f t="shared" si="148"/>
        <v>0</v>
      </c>
      <c r="CJ45" s="209">
        <f t="shared" si="148"/>
        <v>0</v>
      </c>
      <c r="CK45" s="209">
        <f t="shared" si="148"/>
        <v>0</v>
      </c>
      <c r="CL45" s="209">
        <f t="shared" si="148"/>
        <v>0</v>
      </c>
      <c r="CM45" s="209">
        <f t="shared" si="148"/>
        <v>0</v>
      </c>
      <c r="CN45" s="209">
        <f t="shared" si="148"/>
        <v>0</v>
      </c>
      <c r="CO45" s="209">
        <f t="shared" si="148"/>
        <v>0</v>
      </c>
      <c r="CP45" s="209">
        <f t="shared" si="148"/>
        <v>0</v>
      </c>
      <c r="CQ45" s="209">
        <f t="shared" si="148"/>
        <v>0</v>
      </c>
      <c r="CR45" s="209">
        <f t="shared" si="148"/>
        <v>0</v>
      </c>
      <c r="CS45" s="209">
        <f t="shared" si="148"/>
        <v>0</v>
      </c>
      <c r="CT45" s="209">
        <f t="shared" si="148"/>
        <v>0</v>
      </c>
      <c r="CU45" s="209">
        <f>SUM(CT49:CT50)</f>
        <v>149475.73707545179</v>
      </c>
      <c r="CV45" s="209">
        <f t="shared" ref="CV45:DZ45" si="149">CV17*$EF45*1000</f>
        <v>0</v>
      </c>
      <c r="CW45" s="209">
        <f t="shared" si="149"/>
        <v>0</v>
      </c>
      <c r="CX45" s="209">
        <f t="shared" si="149"/>
        <v>0</v>
      </c>
      <c r="CY45" s="209">
        <f t="shared" si="149"/>
        <v>0</v>
      </c>
      <c r="CZ45" s="209">
        <f t="shared" si="149"/>
        <v>0</v>
      </c>
      <c r="DA45" s="209">
        <f t="shared" si="149"/>
        <v>0</v>
      </c>
      <c r="DB45" s="209">
        <f t="shared" si="149"/>
        <v>0</v>
      </c>
      <c r="DC45" s="209">
        <f t="shared" si="149"/>
        <v>0</v>
      </c>
      <c r="DD45" s="209">
        <f t="shared" si="149"/>
        <v>0</v>
      </c>
      <c r="DE45" s="209">
        <f t="shared" si="149"/>
        <v>0</v>
      </c>
      <c r="DF45" s="209">
        <f t="shared" si="149"/>
        <v>0</v>
      </c>
      <c r="DG45" s="209">
        <f t="shared" si="149"/>
        <v>0</v>
      </c>
      <c r="DH45" s="209">
        <f t="shared" si="149"/>
        <v>0</v>
      </c>
      <c r="DI45" s="209">
        <f t="shared" si="149"/>
        <v>0</v>
      </c>
      <c r="DJ45" s="209">
        <f t="shared" si="149"/>
        <v>0</v>
      </c>
      <c r="DK45" s="209">
        <f t="shared" si="149"/>
        <v>0</v>
      </c>
      <c r="DL45" s="209">
        <f t="shared" si="149"/>
        <v>0</v>
      </c>
      <c r="DM45" s="209">
        <f t="shared" si="149"/>
        <v>0</v>
      </c>
      <c r="DN45" s="209">
        <f t="shared" si="149"/>
        <v>0</v>
      </c>
      <c r="DO45" s="209">
        <f t="shared" si="149"/>
        <v>0</v>
      </c>
      <c r="DP45" s="209">
        <f t="shared" si="149"/>
        <v>0</v>
      </c>
      <c r="DQ45" s="209">
        <f t="shared" si="149"/>
        <v>0</v>
      </c>
      <c r="DR45" s="209">
        <f t="shared" si="149"/>
        <v>0</v>
      </c>
      <c r="DS45" s="209">
        <f t="shared" si="149"/>
        <v>0</v>
      </c>
      <c r="DT45" s="209">
        <f t="shared" si="149"/>
        <v>0</v>
      </c>
      <c r="DU45" s="209">
        <f t="shared" si="149"/>
        <v>0</v>
      </c>
      <c r="DV45" s="209">
        <f t="shared" si="149"/>
        <v>0</v>
      </c>
      <c r="DW45" s="209">
        <f t="shared" si="149"/>
        <v>0</v>
      </c>
      <c r="DX45" s="209">
        <f t="shared" si="149"/>
        <v>0</v>
      </c>
      <c r="DY45" s="209">
        <f t="shared" si="149"/>
        <v>0</v>
      </c>
      <c r="DZ45" s="209">
        <f t="shared" si="149"/>
        <v>0</v>
      </c>
      <c r="EF45" s="585">
        <f>AVERAGE(5.6,13.3)</f>
        <v>9.4499999999999993</v>
      </c>
      <c r="EH45" s="209">
        <f>SUM(AJ49:AJ50)</f>
        <v>90947.0010914905</v>
      </c>
      <c r="EI45" s="26">
        <f>CU45</f>
        <v>149475.73707545179</v>
      </c>
      <c r="EJ45" s="85">
        <f>BO45</f>
        <v>406455.41275935346</v>
      </c>
      <c r="EK45" s="85">
        <f>EJ45</f>
        <v>406455.41275935346</v>
      </c>
      <c r="EM45" t="s">
        <v>99</v>
      </c>
      <c r="EP45" t="s">
        <v>19</v>
      </c>
    </row>
    <row r="46" spans="1:147" x14ac:dyDescent="0.2">
      <c r="A46" s="1"/>
      <c r="B46" t="str">
        <f t="shared" si="109"/>
        <v>Apparel - substitution</v>
      </c>
      <c r="C46" s="54" t="s">
        <v>97</v>
      </c>
      <c r="D46" s="209">
        <f t="shared" si="104"/>
        <v>0</v>
      </c>
      <c r="E46" s="209">
        <f t="shared" ref="E46:AH46" si="150">E18*$EF46*1000</f>
        <v>2055.8241899459313</v>
      </c>
      <c r="F46" s="209">
        <f t="shared" si="150"/>
        <v>4165.4602403184072</v>
      </c>
      <c r="G46" s="209">
        <f t="shared" si="150"/>
        <v>6330.0672857841719</v>
      </c>
      <c r="H46" s="209">
        <f t="shared" si="150"/>
        <v>8550.8290629588464</v>
      </c>
      <c r="I46" s="209">
        <f t="shared" si="150"/>
        <v>10828.954448204637</v>
      </c>
      <c r="J46" s="209">
        <f t="shared" si="150"/>
        <v>13165.678007552931</v>
      </c>
      <c r="K46" s="209">
        <f t="shared" si="150"/>
        <v>15562.260559030461</v>
      </c>
      <c r="L46" s="209">
        <f t="shared" si="150"/>
        <v>18019.989747674252</v>
      </c>
      <c r="M46" s="209">
        <f t="shared" si="150"/>
        <v>20540.180633526928</v>
      </c>
      <c r="N46" s="209">
        <f t="shared" si="150"/>
        <v>23124.176292911125</v>
      </c>
      <c r="O46" s="209">
        <f t="shared" si="150"/>
        <v>25773.348433288142</v>
      </c>
      <c r="P46" s="209">
        <f t="shared" si="150"/>
        <v>28489.098022013655</v>
      </c>
      <c r="Q46" s="209">
        <f t="shared" si="150"/>
        <v>31272.855929309924</v>
      </c>
      <c r="R46" s="209">
        <f t="shared" si="150"/>
        <v>34126.083585781809</v>
      </c>
      <c r="S46" s="209">
        <f t="shared" si="150"/>
        <v>37050.27365481131</v>
      </c>
      <c r="T46" s="209">
        <f t="shared" si="150"/>
        <v>40046.95072017311</v>
      </c>
      <c r="U46" s="209">
        <f t="shared" si="150"/>
        <v>43117.671989221322</v>
      </c>
      <c r="V46" s="209">
        <f t="shared" si="150"/>
        <v>46264.028012006405</v>
      </c>
      <c r="W46" s="209">
        <f t="shared" si="150"/>
        <v>49487.643416688639</v>
      </c>
      <c r="X46" s="209">
        <f t="shared" si="150"/>
        <v>52790.177661623777</v>
      </c>
      <c r="Y46" s="209">
        <f t="shared" si="150"/>
        <v>56254.383994698881</v>
      </c>
      <c r="Z46" s="209">
        <f t="shared" si="150"/>
        <v>59803.113556966207</v>
      </c>
      <c r="AA46" s="209">
        <f t="shared" si="150"/>
        <v>63438.183376424153</v>
      </c>
      <c r="AB46" s="209">
        <f t="shared" si="150"/>
        <v>67161.449552957289</v>
      </c>
      <c r="AC46" s="209">
        <f t="shared" si="150"/>
        <v>70974.808123443188</v>
      </c>
      <c r="AD46" s="209">
        <f t="shared" si="150"/>
        <v>74880.19594651676</v>
      </c>
      <c r="AE46" s="209">
        <f t="shared" si="150"/>
        <v>78879.591607445705</v>
      </c>
      <c r="AF46" s="209">
        <f t="shared" si="150"/>
        <v>82975.016343580515</v>
      </c>
      <c r="AG46" s="209">
        <f t="shared" si="150"/>
        <v>87168.534990853761</v>
      </c>
      <c r="AH46" s="209">
        <f t="shared" si="150"/>
        <v>91462.256951813804</v>
      </c>
      <c r="AI46" s="209"/>
      <c r="AJ46" s="209">
        <f t="shared" ref="AJ46:BN46" si="151">AJ18*$EF46*1000</f>
        <v>0</v>
      </c>
      <c r="AK46" s="209">
        <f t="shared" si="151"/>
        <v>1027.9120949729656</v>
      </c>
      <c r="AL46" s="209">
        <f t="shared" si="151"/>
        <v>2082.7301201592036</v>
      </c>
      <c r="AM46" s="209">
        <f t="shared" si="151"/>
        <v>3165.0336428920859</v>
      </c>
      <c r="AN46" s="209">
        <f t="shared" si="151"/>
        <v>4275.4145314794232</v>
      </c>
      <c r="AO46" s="209">
        <f t="shared" si="151"/>
        <v>5414.4772241023184</v>
      </c>
      <c r="AP46" s="209">
        <f t="shared" si="151"/>
        <v>6582.8390037764657</v>
      </c>
      <c r="AQ46" s="209">
        <f t="shared" si="151"/>
        <v>7781.1302795152305</v>
      </c>
      <c r="AR46" s="209">
        <f t="shared" si="151"/>
        <v>9009.9948738371259</v>
      </c>
      <c r="AS46" s="209">
        <f t="shared" si="151"/>
        <v>10270.090316763464</v>
      </c>
      <c r="AT46" s="209">
        <f t="shared" si="151"/>
        <v>11562.088146455562</v>
      </c>
      <c r="AU46" s="209">
        <f t="shared" si="151"/>
        <v>12886.674216644071</v>
      </c>
      <c r="AV46" s="209">
        <f t="shared" si="151"/>
        <v>14244.549011006828</v>
      </c>
      <c r="AW46" s="209">
        <f t="shared" si="151"/>
        <v>15636.427964654962</v>
      </c>
      <c r="AX46" s="209">
        <f t="shared" si="151"/>
        <v>17063.041792890905</v>
      </c>
      <c r="AY46" s="209">
        <f t="shared" si="151"/>
        <v>18525.136827405655</v>
      </c>
      <c r="AZ46" s="209">
        <f t="shared" si="151"/>
        <v>20023.475360086555</v>
      </c>
      <c r="BA46" s="209">
        <f t="shared" si="151"/>
        <v>21558.835994610661</v>
      </c>
      <c r="BB46" s="209">
        <f t="shared" si="151"/>
        <v>23132.014006003203</v>
      </c>
      <c r="BC46" s="209">
        <f t="shared" si="151"/>
        <v>24743.82170834432</v>
      </c>
      <c r="BD46" s="209">
        <f t="shared" si="151"/>
        <v>26395.088830811888</v>
      </c>
      <c r="BE46" s="209">
        <f t="shared" si="151"/>
        <v>28127.19199734944</v>
      </c>
      <c r="BF46" s="209">
        <f t="shared" si="151"/>
        <v>29901.556778483104</v>
      </c>
      <c r="BG46" s="209">
        <f t="shared" si="151"/>
        <v>31719.091688212076</v>
      </c>
      <c r="BH46" s="209">
        <f t="shared" si="151"/>
        <v>33580.724776478644</v>
      </c>
      <c r="BI46" s="209">
        <f t="shared" si="151"/>
        <v>35487.404061721594</v>
      </c>
      <c r="BJ46" s="209">
        <f t="shared" si="151"/>
        <v>37440.09797325838</v>
      </c>
      <c r="BK46" s="209">
        <f t="shared" si="151"/>
        <v>39439.795803722853</v>
      </c>
      <c r="BL46" s="209">
        <f t="shared" si="151"/>
        <v>41487.508171790258</v>
      </c>
      <c r="BM46" s="209">
        <f t="shared" si="151"/>
        <v>43584.26749542688</v>
      </c>
      <c r="BN46" s="209">
        <f t="shared" si="151"/>
        <v>45731.128475906902</v>
      </c>
      <c r="BO46" s="209">
        <f>SUM(BN51:BN53)</f>
        <v>1512829.0521090426</v>
      </c>
      <c r="BP46" s="209">
        <f t="shared" ref="BP46:CT46" si="152">BP18*$EF46*1000</f>
        <v>0</v>
      </c>
      <c r="BQ46" s="209">
        <f t="shared" si="152"/>
        <v>0</v>
      </c>
      <c r="BR46" s="209">
        <f t="shared" si="152"/>
        <v>0</v>
      </c>
      <c r="BS46" s="209">
        <f t="shared" si="152"/>
        <v>0</v>
      </c>
      <c r="BT46" s="209">
        <f t="shared" si="152"/>
        <v>0</v>
      </c>
      <c r="BU46" s="209">
        <f t="shared" si="152"/>
        <v>0</v>
      </c>
      <c r="BV46" s="209">
        <f t="shared" si="152"/>
        <v>0</v>
      </c>
      <c r="BW46" s="209">
        <f t="shared" si="152"/>
        <v>0</v>
      </c>
      <c r="BX46" s="209">
        <f t="shared" si="152"/>
        <v>0</v>
      </c>
      <c r="BY46" s="209">
        <f t="shared" si="152"/>
        <v>0</v>
      </c>
      <c r="BZ46" s="209">
        <f t="shared" si="152"/>
        <v>0</v>
      </c>
      <c r="CA46" s="209">
        <f t="shared" si="152"/>
        <v>0</v>
      </c>
      <c r="CB46" s="209">
        <f t="shared" si="152"/>
        <v>0</v>
      </c>
      <c r="CC46" s="209">
        <f t="shared" si="152"/>
        <v>0</v>
      </c>
      <c r="CD46" s="209">
        <f t="shared" si="152"/>
        <v>0</v>
      </c>
      <c r="CE46" s="209">
        <f t="shared" si="152"/>
        <v>0</v>
      </c>
      <c r="CF46" s="209">
        <f t="shared" si="152"/>
        <v>0</v>
      </c>
      <c r="CG46" s="209">
        <f t="shared" si="152"/>
        <v>0</v>
      </c>
      <c r="CH46" s="209">
        <f t="shared" si="152"/>
        <v>0</v>
      </c>
      <c r="CI46" s="209">
        <f t="shared" si="152"/>
        <v>0</v>
      </c>
      <c r="CJ46" s="209">
        <f t="shared" si="152"/>
        <v>0</v>
      </c>
      <c r="CK46" s="209">
        <f t="shared" si="152"/>
        <v>0</v>
      </c>
      <c r="CL46" s="209">
        <f t="shared" si="152"/>
        <v>0</v>
      </c>
      <c r="CM46" s="209">
        <f t="shared" si="152"/>
        <v>0</v>
      </c>
      <c r="CN46" s="209">
        <f t="shared" si="152"/>
        <v>0</v>
      </c>
      <c r="CO46" s="209">
        <f t="shared" si="152"/>
        <v>0</v>
      </c>
      <c r="CP46" s="209">
        <f t="shared" si="152"/>
        <v>0</v>
      </c>
      <c r="CQ46" s="209">
        <f t="shared" si="152"/>
        <v>0</v>
      </c>
      <c r="CR46" s="209">
        <f t="shared" si="152"/>
        <v>0</v>
      </c>
      <c r="CS46" s="209">
        <f t="shared" si="152"/>
        <v>0</v>
      </c>
      <c r="CT46" s="209">
        <f t="shared" si="152"/>
        <v>0</v>
      </c>
      <c r="CU46" s="209">
        <f>SUM(CT51:CT53)</f>
        <v>1582598.1518187628</v>
      </c>
      <c r="CV46" s="209">
        <f t="shared" ref="CV46:DZ46" si="153">CV18*$EF46*1000</f>
        <v>0</v>
      </c>
      <c r="CW46" s="209">
        <f t="shared" si="153"/>
        <v>0</v>
      </c>
      <c r="CX46" s="209">
        <f t="shared" si="153"/>
        <v>0</v>
      </c>
      <c r="CY46" s="209">
        <f t="shared" si="153"/>
        <v>0</v>
      </c>
      <c r="CZ46" s="209">
        <f t="shared" si="153"/>
        <v>0</v>
      </c>
      <c r="DA46" s="209">
        <f t="shared" si="153"/>
        <v>0</v>
      </c>
      <c r="DB46" s="209">
        <f t="shared" si="153"/>
        <v>0</v>
      </c>
      <c r="DC46" s="209">
        <f t="shared" si="153"/>
        <v>0</v>
      </c>
      <c r="DD46" s="209">
        <f t="shared" si="153"/>
        <v>0</v>
      </c>
      <c r="DE46" s="209">
        <f t="shared" si="153"/>
        <v>0</v>
      </c>
      <c r="DF46" s="209">
        <f t="shared" si="153"/>
        <v>0</v>
      </c>
      <c r="DG46" s="209">
        <f t="shared" si="153"/>
        <v>0</v>
      </c>
      <c r="DH46" s="209">
        <f t="shared" si="153"/>
        <v>0</v>
      </c>
      <c r="DI46" s="209">
        <f t="shared" si="153"/>
        <v>0</v>
      </c>
      <c r="DJ46" s="209">
        <f t="shared" si="153"/>
        <v>0</v>
      </c>
      <c r="DK46" s="209">
        <f t="shared" si="153"/>
        <v>0</v>
      </c>
      <c r="DL46" s="209">
        <f t="shared" si="153"/>
        <v>0</v>
      </c>
      <c r="DM46" s="209">
        <f t="shared" si="153"/>
        <v>0</v>
      </c>
      <c r="DN46" s="209">
        <f t="shared" si="153"/>
        <v>0</v>
      </c>
      <c r="DO46" s="209">
        <f t="shared" si="153"/>
        <v>0</v>
      </c>
      <c r="DP46" s="209">
        <f t="shared" si="153"/>
        <v>0</v>
      </c>
      <c r="DQ46" s="209">
        <f t="shared" si="153"/>
        <v>0</v>
      </c>
      <c r="DR46" s="209">
        <f t="shared" si="153"/>
        <v>0</v>
      </c>
      <c r="DS46" s="209">
        <f t="shared" si="153"/>
        <v>0</v>
      </c>
      <c r="DT46" s="209">
        <f t="shared" si="153"/>
        <v>0</v>
      </c>
      <c r="DU46" s="209">
        <f t="shared" si="153"/>
        <v>0</v>
      </c>
      <c r="DV46" s="209">
        <f t="shared" si="153"/>
        <v>0</v>
      </c>
      <c r="DW46" s="209">
        <f t="shared" si="153"/>
        <v>0</v>
      </c>
      <c r="DX46" s="209">
        <f t="shared" si="153"/>
        <v>0</v>
      </c>
      <c r="DY46" s="209">
        <f t="shared" si="153"/>
        <v>0</v>
      </c>
      <c r="DZ46" s="209">
        <f t="shared" si="153"/>
        <v>0</v>
      </c>
      <c r="EF46" s="51">
        <v>18.5</v>
      </c>
      <c r="EH46" s="209">
        <f>SUM(AJ51:AJ53)</f>
        <v>1137950.7748845285</v>
      </c>
      <c r="EI46" s="26">
        <f t="shared" ref="EI46:EI47" si="154">CU46</f>
        <v>1582598.1518187628</v>
      </c>
      <c r="EJ46" s="85">
        <f t="shared" ref="EJ46:EJ47" si="155">BO46</f>
        <v>1512829.0521090426</v>
      </c>
      <c r="EK46" s="85">
        <f t="shared" ref="EK46:EK47" si="156">EJ46</f>
        <v>1512829.0521090426</v>
      </c>
      <c r="EM46" t="s">
        <v>99</v>
      </c>
      <c r="EQ46" t="s">
        <v>100</v>
      </c>
    </row>
    <row r="47" spans="1:147" x14ac:dyDescent="0.2">
      <c r="A47" s="1"/>
      <c r="B47" t="str">
        <f t="shared" si="109"/>
        <v>Others Reduction</v>
      </c>
      <c r="C47" s="54" t="s">
        <v>97</v>
      </c>
      <c r="D47" s="209">
        <f t="shared" si="104"/>
        <v>0</v>
      </c>
      <c r="E47" s="209">
        <f t="shared" ref="E47:AH47" si="157">E19*$EF47*1000</f>
        <v>0</v>
      </c>
      <c r="F47" s="209">
        <f t="shared" si="157"/>
        <v>0</v>
      </c>
      <c r="G47" s="209">
        <f t="shared" si="157"/>
        <v>0</v>
      </c>
      <c r="H47" s="209">
        <f t="shared" si="157"/>
        <v>0</v>
      </c>
      <c r="I47" s="209">
        <f t="shared" si="157"/>
        <v>0</v>
      </c>
      <c r="J47" s="209">
        <f t="shared" si="157"/>
        <v>0</v>
      </c>
      <c r="K47" s="209">
        <f t="shared" si="157"/>
        <v>0</v>
      </c>
      <c r="L47" s="209">
        <f t="shared" si="157"/>
        <v>0</v>
      </c>
      <c r="M47" s="209">
        <f t="shared" si="157"/>
        <v>0</v>
      </c>
      <c r="N47" s="209">
        <f t="shared" si="157"/>
        <v>0</v>
      </c>
      <c r="O47" s="209">
        <f t="shared" si="157"/>
        <v>0</v>
      </c>
      <c r="P47" s="209">
        <f t="shared" si="157"/>
        <v>0</v>
      </c>
      <c r="Q47" s="209">
        <f t="shared" si="157"/>
        <v>0</v>
      </c>
      <c r="R47" s="209">
        <f t="shared" si="157"/>
        <v>0</v>
      </c>
      <c r="S47" s="209">
        <f t="shared" si="157"/>
        <v>0</v>
      </c>
      <c r="T47" s="209">
        <f t="shared" si="157"/>
        <v>0</v>
      </c>
      <c r="U47" s="209">
        <f t="shared" si="157"/>
        <v>0</v>
      </c>
      <c r="V47" s="209">
        <f t="shared" si="157"/>
        <v>0</v>
      </c>
      <c r="W47" s="209">
        <f t="shared" si="157"/>
        <v>0</v>
      </c>
      <c r="X47" s="209">
        <f t="shared" si="157"/>
        <v>0</v>
      </c>
      <c r="Y47" s="209">
        <f t="shared" si="157"/>
        <v>0</v>
      </c>
      <c r="Z47" s="209">
        <f t="shared" si="157"/>
        <v>0</v>
      </c>
      <c r="AA47" s="209">
        <f t="shared" si="157"/>
        <v>0</v>
      </c>
      <c r="AB47" s="209">
        <f t="shared" si="157"/>
        <v>0</v>
      </c>
      <c r="AC47" s="209">
        <f t="shared" si="157"/>
        <v>0</v>
      </c>
      <c r="AD47" s="209">
        <f t="shared" si="157"/>
        <v>0</v>
      </c>
      <c r="AE47" s="209">
        <f t="shared" si="157"/>
        <v>0</v>
      </c>
      <c r="AF47" s="209">
        <f t="shared" si="157"/>
        <v>0</v>
      </c>
      <c r="AG47" s="209">
        <f t="shared" si="157"/>
        <v>0</v>
      </c>
      <c r="AH47" s="209">
        <f t="shared" si="157"/>
        <v>0</v>
      </c>
      <c r="AI47" s="209"/>
      <c r="AJ47" s="209">
        <f t="shared" ref="AJ47:BN47" si="158">AJ19*$EF47*1000</f>
        <v>0</v>
      </c>
      <c r="AK47" s="209">
        <f t="shared" si="158"/>
        <v>0</v>
      </c>
      <c r="AL47" s="209">
        <f t="shared" si="158"/>
        <v>0</v>
      </c>
      <c r="AM47" s="209">
        <f t="shared" si="158"/>
        <v>0</v>
      </c>
      <c r="AN47" s="209">
        <f t="shared" si="158"/>
        <v>0</v>
      </c>
      <c r="AO47" s="209">
        <f t="shared" si="158"/>
        <v>0</v>
      </c>
      <c r="AP47" s="209">
        <f t="shared" si="158"/>
        <v>0</v>
      </c>
      <c r="AQ47" s="209">
        <f t="shared" si="158"/>
        <v>0</v>
      </c>
      <c r="AR47" s="209">
        <f t="shared" si="158"/>
        <v>0</v>
      </c>
      <c r="AS47" s="209">
        <f t="shared" si="158"/>
        <v>0</v>
      </c>
      <c r="AT47" s="209">
        <f t="shared" si="158"/>
        <v>0</v>
      </c>
      <c r="AU47" s="209">
        <f t="shared" si="158"/>
        <v>0</v>
      </c>
      <c r="AV47" s="209">
        <f t="shared" si="158"/>
        <v>0</v>
      </c>
      <c r="AW47" s="209">
        <f t="shared" si="158"/>
        <v>0</v>
      </c>
      <c r="AX47" s="209">
        <f t="shared" si="158"/>
        <v>0</v>
      </c>
      <c r="AY47" s="209">
        <f t="shared" si="158"/>
        <v>0</v>
      </c>
      <c r="AZ47" s="209">
        <f t="shared" si="158"/>
        <v>0</v>
      </c>
      <c r="BA47" s="209">
        <f t="shared" si="158"/>
        <v>0</v>
      </c>
      <c r="BB47" s="209">
        <f t="shared" si="158"/>
        <v>0</v>
      </c>
      <c r="BC47" s="209">
        <f t="shared" si="158"/>
        <v>0</v>
      </c>
      <c r="BD47" s="209">
        <f t="shared" si="158"/>
        <v>0</v>
      </c>
      <c r="BE47" s="209">
        <f t="shared" si="158"/>
        <v>0</v>
      </c>
      <c r="BF47" s="209">
        <f t="shared" si="158"/>
        <v>0</v>
      </c>
      <c r="BG47" s="209">
        <f t="shared" si="158"/>
        <v>0</v>
      </c>
      <c r="BH47" s="209">
        <f t="shared" si="158"/>
        <v>0</v>
      </c>
      <c r="BI47" s="209">
        <f t="shared" si="158"/>
        <v>0</v>
      </c>
      <c r="BJ47" s="209">
        <f t="shared" si="158"/>
        <v>0</v>
      </c>
      <c r="BK47" s="209">
        <f t="shared" si="158"/>
        <v>0</v>
      </c>
      <c r="BL47" s="209">
        <f t="shared" si="158"/>
        <v>0</v>
      </c>
      <c r="BM47" s="209">
        <f t="shared" si="158"/>
        <v>0</v>
      </c>
      <c r="BN47" s="209">
        <f t="shared" si="158"/>
        <v>0</v>
      </c>
      <c r="BO47" s="209">
        <f>SUM(BN37:BN48)</f>
        <v>1732486.9797483529</v>
      </c>
      <c r="BP47" s="209">
        <f t="shared" ref="BP47:CT47" si="159">BP19*$EF47*1000</f>
        <v>0</v>
      </c>
      <c r="BQ47" s="209">
        <f t="shared" si="159"/>
        <v>0</v>
      </c>
      <c r="BR47" s="209">
        <f t="shared" si="159"/>
        <v>0</v>
      </c>
      <c r="BS47" s="209">
        <f t="shared" si="159"/>
        <v>0</v>
      </c>
      <c r="BT47" s="209">
        <f t="shared" si="159"/>
        <v>0</v>
      </c>
      <c r="BU47" s="209">
        <f t="shared" si="159"/>
        <v>0</v>
      </c>
      <c r="BV47" s="209">
        <f t="shared" si="159"/>
        <v>0</v>
      </c>
      <c r="BW47" s="209">
        <f t="shared" si="159"/>
        <v>0</v>
      </c>
      <c r="BX47" s="209">
        <f t="shared" si="159"/>
        <v>0</v>
      </c>
      <c r="BY47" s="209">
        <f t="shared" si="159"/>
        <v>0</v>
      </c>
      <c r="BZ47" s="209">
        <f t="shared" si="159"/>
        <v>0</v>
      </c>
      <c r="CA47" s="209">
        <f t="shared" si="159"/>
        <v>0</v>
      </c>
      <c r="CB47" s="209">
        <f t="shared" si="159"/>
        <v>0</v>
      </c>
      <c r="CC47" s="209">
        <f t="shared" si="159"/>
        <v>0</v>
      </c>
      <c r="CD47" s="209">
        <f t="shared" si="159"/>
        <v>0</v>
      </c>
      <c r="CE47" s="209">
        <f t="shared" si="159"/>
        <v>0</v>
      </c>
      <c r="CF47" s="209">
        <f t="shared" si="159"/>
        <v>0</v>
      </c>
      <c r="CG47" s="209">
        <f t="shared" si="159"/>
        <v>0</v>
      </c>
      <c r="CH47" s="209">
        <f t="shared" si="159"/>
        <v>0</v>
      </c>
      <c r="CI47" s="209">
        <f t="shared" si="159"/>
        <v>0</v>
      </c>
      <c r="CJ47" s="209">
        <f t="shared" si="159"/>
        <v>0</v>
      </c>
      <c r="CK47" s="209">
        <f t="shared" si="159"/>
        <v>0</v>
      </c>
      <c r="CL47" s="209">
        <f t="shared" si="159"/>
        <v>0</v>
      </c>
      <c r="CM47" s="209">
        <f t="shared" si="159"/>
        <v>0</v>
      </c>
      <c r="CN47" s="209">
        <f t="shared" si="159"/>
        <v>0</v>
      </c>
      <c r="CO47" s="209">
        <f t="shared" si="159"/>
        <v>0</v>
      </c>
      <c r="CP47" s="209">
        <f t="shared" si="159"/>
        <v>0</v>
      </c>
      <c r="CQ47" s="209">
        <f t="shared" si="159"/>
        <v>0</v>
      </c>
      <c r="CR47" s="209">
        <f t="shared" si="159"/>
        <v>0</v>
      </c>
      <c r="CS47" s="209">
        <f t="shared" si="159"/>
        <v>0</v>
      </c>
      <c r="CT47" s="209">
        <f t="shared" si="159"/>
        <v>0</v>
      </c>
      <c r="CU47" s="209">
        <f>SUM(CT37:CT48)</f>
        <v>0</v>
      </c>
      <c r="CV47" s="209">
        <f t="shared" ref="CV47:DZ47" si="160">CV19*$EF47*1000</f>
        <v>0</v>
      </c>
      <c r="CW47" s="209">
        <f t="shared" si="160"/>
        <v>0</v>
      </c>
      <c r="CX47" s="209">
        <f t="shared" si="160"/>
        <v>0</v>
      </c>
      <c r="CY47" s="209">
        <f t="shared" si="160"/>
        <v>0</v>
      </c>
      <c r="CZ47" s="209">
        <f t="shared" si="160"/>
        <v>0</v>
      </c>
      <c r="DA47" s="209">
        <f t="shared" si="160"/>
        <v>0</v>
      </c>
      <c r="DB47" s="209">
        <f t="shared" si="160"/>
        <v>0</v>
      </c>
      <c r="DC47" s="209">
        <f t="shared" si="160"/>
        <v>0</v>
      </c>
      <c r="DD47" s="209">
        <f t="shared" si="160"/>
        <v>0</v>
      </c>
      <c r="DE47" s="209">
        <f t="shared" si="160"/>
        <v>0</v>
      </c>
      <c r="DF47" s="209">
        <f t="shared" si="160"/>
        <v>0</v>
      </c>
      <c r="DG47" s="209">
        <f t="shared" si="160"/>
        <v>0</v>
      </c>
      <c r="DH47" s="209">
        <f t="shared" si="160"/>
        <v>0</v>
      </c>
      <c r="DI47" s="209">
        <f t="shared" si="160"/>
        <v>0</v>
      </c>
      <c r="DJ47" s="209">
        <f t="shared" si="160"/>
        <v>0</v>
      </c>
      <c r="DK47" s="209">
        <f t="shared" si="160"/>
        <v>0</v>
      </c>
      <c r="DL47" s="209">
        <f t="shared" si="160"/>
        <v>0</v>
      </c>
      <c r="DM47" s="209">
        <f t="shared" si="160"/>
        <v>0</v>
      </c>
      <c r="DN47" s="209">
        <f t="shared" si="160"/>
        <v>0</v>
      </c>
      <c r="DO47" s="209">
        <f t="shared" si="160"/>
        <v>0</v>
      </c>
      <c r="DP47" s="209">
        <f t="shared" si="160"/>
        <v>0</v>
      </c>
      <c r="DQ47" s="209">
        <f t="shared" si="160"/>
        <v>0</v>
      </c>
      <c r="DR47" s="209">
        <f t="shared" si="160"/>
        <v>0</v>
      </c>
      <c r="DS47" s="209">
        <f t="shared" si="160"/>
        <v>0</v>
      </c>
      <c r="DT47" s="209">
        <f t="shared" si="160"/>
        <v>0</v>
      </c>
      <c r="DU47" s="209">
        <f t="shared" si="160"/>
        <v>0</v>
      </c>
      <c r="DV47" s="209">
        <f t="shared" si="160"/>
        <v>0</v>
      </c>
      <c r="DW47" s="209">
        <f t="shared" si="160"/>
        <v>0</v>
      </c>
      <c r="DX47" s="209">
        <f t="shared" si="160"/>
        <v>0</v>
      </c>
      <c r="DY47" s="209">
        <f t="shared" si="160"/>
        <v>0</v>
      </c>
      <c r="DZ47" s="209">
        <f t="shared" si="160"/>
        <v>0</v>
      </c>
      <c r="EF47" s="51">
        <v>0</v>
      </c>
      <c r="EH47" s="209">
        <f>SUM(AJ37:AJ48)</f>
        <v>0</v>
      </c>
      <c r="EI47" s="26">
        <f t="shared" si="154"/>
        <v>0</v>
      </c>
      <c r="EJ47" s="85">
        <f t="shared" si="155"/>
        <v>1732486.9797483529</v>
      </c>
      <c r="EK47" s="85">
        <f t="shared" si="156"/>
        <v>1732486.9797483529</v>
      </c>
      <c r="EM47" t="s">
        <v>99</v>
      </c>
      <c r="EP47" t="s">
        <v>21</v>
      </c>
    </row>
    <row r="48" spans="1:147" x14ac:dyDescent="0.2">
      <c r="A48" s="1"/>
      <c r="B48" t="str">
        <f t="shared" si="109"/>
        <v>Others Substitution</v>
      </c>
      <c r="C48" s="54" t="s">
        <v>97</v>
      </c>
      <c r="D48" s="209">
        <f t="shared" si="104"/>
        <v>0</v>
      </c>
      <c r="E48" s="209">
        <f t="shared" ref="E48:AH48" si="161">E20*$EF48*1000</f>
        <v>4097.1389842186645</v>
      </c>
      <c r="F48" s="209">
        <f t="shared" si="161"/>
        <v>8734.2467845188476</v>
      </c>
      <c r="G48" s="209">
        <f t="shared" si="161"/>
        <v>13924.713544251104</v>
      </c>
      <c r="H48" s="209">
        <f t="shared" si="161"/>
        <v>19682.426699487627</v>
      </c>
      <c r="I48" s="209">
        <f t="shared" si="161"/>
        <v>26021.787183539414</v>
      </c>
      <c r="J48" s="209">
        <f t="shared" si="161"/>
        <v>32625.193458120535</v>
      </c>
      <c r="K48" s="209">
        <f t="shared" si="161"/>
        <v>39713.464544238341</v>
      </c>
      <c r="L48" s="209">
        <f t="shared" si="161"/>
        <v>47295.039323700723</v>
      </c>
      <c r="M48" s="209">
        <f t="shared" si="161"/>
        <v>55378.621392788365</v>
      </c>
      <c r="N48" s="209">
        <f t="shared" si="161"/>
        <v>63973.186497083079</v>
      </c>
      <c r="O48" s="209">
        <f t="shared" si="161"/>
        <v>70752.850392837674</v>
      </c>
      <c r="P48" s="209">
        <f t="shared" si="161"/>
        <v>77590.156202966842</v>
      </c>
      <c r="Q48" s="209">
        <f t="shared" si="161"/>
        <v>84481.819541439283</v>
      </c>
      <c r="R48" s="209">
        <f t="shared" si="161"/>
        <v>91424.451777825379</v>
      </c>
      <c r="S48" s="209">
        <f t="shared" si="161"/>
        <v>98414.557326351773</v>
      </c>
      <c r="T48" s="209">
        <f t="shared" si="161"/>
        <v>105119.80875201392</v>
      </c>
      <c r="U48" s="209">
        <f t="shared" si="161"/>
        <v>111817.67040049634</v>
      </c>
      <c r="V48" s="209">
        <f t="shared" si="161"/>
        <v>118503.02574682774</v>
      </c>
      <c r="W48" s="209">
        <f t="shared" si="161"/>
        <v>125170.60447592559</v>
      </c>
      <c r="X48" s="209">
        <f t="shared" si="161"/>
        <v>131814.97854599921</v>
      </c>
      <c r="Y48" s="209">
        <f t="shared" si="161"/>
        <v>137696.33568475296</v>
      </c>
      <c r="Z48" s="209">
        <f t="shared" si="161"/>
        <v>143441.24089636008</v>
      </c>
      <c r="AA48" s="209">
        <f t="shared" si="161"/>
        <v>149042.03232450123</v>
      </c>
      <c r="AB48" s="209">
        <f t="shared" si="161"/>
        <v>154490.84437540334</v>
      </c>
      <c r="AC48" s="209">
        <f t="shared" si="161"/>
        <v>159779.60281754305</v>
      </c>
      <c r="AD48" s="209">
        <f t="shared" si="161"/>
        <v>164575.86451870337</v>
      </c>
      <c r="AE48" s="209">
        <f t="shared" si="161"/>
        <v>169165.46281763376</v>
      </c>
      <c r="AF48" s="209">
        <f t="shared" si="161"/>
        <v>173539.12330683379</v>
      </c>
      <c r="AG48" s="209">
        <f t="shared" si="161"/>
        <v>177687.33344736136</v>
      </c>
      <c r="AH48" s="209">
        <f t="shared" si="161"/>
        <v>181600.33693798693</v>
      </c>
      <c r="AI48" s="209"/>
      <c r="AJ48" s="209">
        <f t="shared" ref="AJ48:BN48" si="162">AJ20*$EF48*1000</f>
        <v>0</v>
      </c>
      <c r="AK48" s="209">
        <f t="shared" si="162"/>
        <v>2048.5694921093323</v>
      </c>
      <c r="AL48" s="209">
        <f t="shared" si="162"/>
        <v>4367.1233922594238</v>
      </c>
      <c r="AM48" s="209">
        <f t="shared" si="162"/>
        <v>6962.3567721255522</v>
      </c>
      <c r="AN48" s="209">
        <f t="shared" si="162"/>
        <v>9841.2133497438135</v>
      </c>
      <c r="AO48" s="209">
        <f t="shared" si="162"/>
        <v>13010.893591769707</v>
      </c>
      <c r="AP48" s="209">
        <f t="shared" si="162"/>
        <v>16312.596729060268</v>
      </c>
      <c r="AQ48" s="209">
        <f t="shared" si="162"/>
        <v>19856.73227211917</v>
      </c>
      <c r="AR48" s="209">
        <f t="shared" si="162"/>
        <v>23647.519661850361</v>
      </c>
      <c r="AS48" s="209">
        <f t="shared" si="162"/>
        <v>27689.310696394183</v>
      </c>
      <c r="AT48" s="209">
        <f t="shared" si="162"/>
        <v>31986.59324854154</v>
      </c>
      <c r="AU48" s="209">
        <f t="shared" si="162"/>
        <v>35376.425196418837</v>
      </c>
      <c r="AV48" s="209">
        <f t="shared" si="162"/>
        <v>38795.078101483421</v>
      </c>
      <c r="AW48" s="209">
        <f t="shared" si="162"/>
        <v>42240.909770719642</v>
      </c>
      <c r="AX48" s="209">
        <f t="shared" si="162"/>
        <v>45712.22588891269</v>
      </c>
      <c r="AY48" s="209">
        <f t="shared" si="162"/>
        <v>49207.278663175886</v>
      </c>
      <c r="AZ48" s="209">
        <f t="shared" si="162"/>
        <v>52559.904376006962</v>
      </c>
      <c r="BA48" s="209">
        <f t="shared" si="162"/>
        <v>55908.83520024817</v>
      </c>
      <c r="BB48" s="209">
        <f t="shared" si="162"/>
        <v>59251.512873413871</v>
      </c>
      <c r="BC48" s="209">
        <f t="shared" si="162"/>
        <v>62585.302237962795</v>
      </c>
      <c r="BD48" s="209">
        <f t="shared" si="162"/>
        <v>65907.489272999606</v>
      </c>
      <c r="BE48" s="209">
        <f t="shared" si="162"/>
        <v>68848.167842376482</v>
      </c>
      <c r="BF48" s="209">
        <f t="shared" si="162"/>
        <v>71720.620448180038</v>
      </c>
      <c r="BG48" s="209">
        <f t="shared" si="162"/>
        <v>74521.016162250613</v>
      </c>
      <c r="BH48" s="209">
        <f t="shared" si="162"/>
        <v>77245.422187701668</v>
      </c>
      <c r="BI48" s="209">
        <f t="shared" si="162"/>
        <v>79889.801408771527</v>
      </c>
      <c r="BJ48" s="209">
        <f t="shared" si="162"/>
        <v>82287.932259351684</v>
      </c>
      <c r="BK48" s="209">
        <f t="shared" si="162"/>
        <v>84582.731408816879</v>
      </c>
      <c r="BL48" s="209">
        <f t="shared" si="162"/>
        <v>86769.561653416895</v>
      </c>
      <c r="BM48" s="209">
        <f t="shared" si="162"/>
        <v>88843.666723680682</v>
      </c>
      <c r="BN48" s="209">
        <f t="shared" si="162"/>
        <v>90800.168468993463</v>
      </c>
      <c r="BO48" s="209"/>
      <c r="BP48" s="209">
        <f t="shared" ref="BP48:CT48" si="163">BP20*$EF48*1000</f>
        <v>0</v>
      </c>
      <c r="BQ48" s="209">
        <f t="shared" si="163"/>
        <v>0</v>
      </c>
      <c r="BR48" s="209">
        <f t="shared" si="163"/>
        <v>0</v>
      </c>
      <c r="BS48" s="209">
        <f t="shared" si="163"/>
        <v>0</v>
      </c>
      <c r="BT48" s="209">
        <f t="shared" si="163"/>
        <v>0</v>
      </c>
      <c r="BU48" s="209">
        <f t="shared" si="163"/>
        <v>0</v>
      </c>
      <c r="BV48" s="209">
        <f t="shared" si="163"/>
        <v>0</v>
      </c>
      <c r="BW48" s="209">
        <f t="shared" si="163"/>
        <v>0</v>
      </c>
      <c r="BX48" s="209">
        <f t="shared" si="163"/>
        <v>0</v>
      </c>
      <c r="BY48" s="209">
        <f t="shared" si="163"/>
        <v>0</v>
      </c>
      <c r="BZ48" s="209">
        <f t="shared" si="163"/>
        <v>0</v>
      </c>
      <c r="CA48" s="209">
        <f t="shared" si="163"/>
        <v>0</v>
      </c>
      <c r="CB48" s="209">
        <f t="shared" si="163"/>
        <v>0</v>
      </c>
      <c r="CC48" s="209">
        <f t="shared" si="163"/>
        <v>0</v>
      </c>
      <c r="CD48" s="209">
        <f t="shared" si="163"/>
        <v>0</v>
      </c>
      <c r="CE48" s="209">
        <f t="shared" si="163"/>
        <v>0</v>
      </c>
      <c r="CF48" s="209">
        <f t="shared" si="163"/>
        <v>0</v>
      </c>
      <c r="CG48" s="209">
        <f t="shared" si="163"/>
        <v>0</v>
      </c>
      <c r="CH48" s="209">
        <f t="shared" si="163"/>
        <v>0</v>
      </c>
      <c r="CI48" s="209">
        <f t="shared" si="163"/>
        <v>0</v>
      </c>
      <c r="CJ48" s="209">
        <f t="shared" si="163"/>
        <v>0</v>
      </c>
      <c r="CK48" s="209">
        <f t="shared" si="163"/>
        <v>0</v>
      </c>
      <c r="CL48" s="209">
        <f t="shared" si="163"/>
        <v>0</v>
      </c>
      <c r="CM48" s="209">
        <f t="shared" si="163"/>
        <v>0</v>
      </c>
      <c r="CN48" s="209">
        <f t="shared" si="163"/>
        <v>0</v>
      </c>
      <c r="CO48" s="209">
        <f t="shared" si="163"/>
        <v>0</v>
      </c>
      <c r="CP48" s="209">
        <f t="shared" si="163"/>
        <v>0</v>
      </c>
      <c r="CQ48" s="209">
        <f t="shared" si="163"/>
        <v>0</v>
      </c>
      <c r="CR48" s="209">
        <f t="shared" si="163"/>
        <v>0</v>
      </c>
      <c r="CS48" s="209">
        <f t="shared" si="163"/>
        <v>0</v>
      </c>
      <c r="CT48" s="209">
        <f t="shared" si="163"/>
        <v>0</v>
      </c>
      <c r="CU48" s="209"/>
      <c r="CV48" s="209">
        <f t="shared" ref="CV48:DZ48" si="164">CV20*$EF48*1000</f>
        <v>0</v>
      </c>
      <c r="CW48" s="209">
        <f t="shared" si="164"/>
        <v>0</v>
      </c>
      <c r="CX48" s="209">
        <f t="shared" si="164"/>
        <v>0</v>
      </c>
      <c r="CY48" s="209">
        <f t="shared" si="164"/>
        <v>0</v>
      </c>
      <c r="CZ48" s="209">
        <f t="shared" si="164"/>
        <v>0</v>
      </c>
      <c r="DA48" s="209">
        <f t="shared" si="164"/>
        <v>0</v>
      </c>
      <c r="DB48" s="209">
        <f t="shared" si="164"/>
        <v>0</v>
      </c>
      <c r="DC48" s="209">
        <f t="shared" si="164"/>
        <v>0</v>
      </c>
      <c r="DD48" s="209">
        <f t="shared" si="164"/>
        <v>0</v>
      </c>
      <c r="DE48" s="209">
        <f t="shared" si="164"/>
        <v>0</v>
      </c>
      <c r="DF48" s="209">
        <f t="shared" si="164"/>
        <v>0</v>
      </c>
      <c r="DG48" s="209">
        <f t="shared" si="164"/>
        <v>0</v>
      </c>
      <c r="DH48" s="209">
        <f t="shared" si="164"/>
        <v>0</v>
      </c>
      <c r="DI48" s="209">
        <f t="shared" si="164"/>
        <v>0</v>
      </c>
      <c r="DJ48" s="209">
        <f t="shared" si="164"/>
        <v>0</v>
      </c>
      <c r="DK48" s="209">
        <f t="shared" si="164"/>
        <v>0</v>
      </c>
      <c r="DL48" s="209">
        <f t="shared" si="164"/>
        <v>0</v>
      </c>
      <c r="DM48" s="209">
        <f t="shared" si="164"/>
        <v>0</v>
      </c>
      <c r="DN48" s="209">
        <f t="shared" si="164"/>
        <v>0</v>
      </c>
      <c r="DO48" s="209">
        <f t="shared" si="164"/>
        <v>0</v>
      </c>
      <c r="DP48" s="209">
        <f t="shared" si="164"/>
        <v>0</v>
      </c>
      <c r="DQ48" s="209">
        <f t="shared" si="164"/>
        <v>0</v>
      </c>
      <c r="DR48" s="209">
        <f t="shared" si="164"/>
        <v>0</v>
      </c>
      <c r="DS48" s="209">
        <f t="shared" si="164"/>
        <v>0</v>
      </c>
      <c r="DT48" s="209">
        <f t="shared" si="164"/>
        <v>0</v>
      </c>
      <c r="DU48" s="209">
        <f t="shared" si="164"/>
        <v>0</v>
      </c>
      <c r="DV48" s="209">
        <f t="shared" si="164"/>
        <v>0</v>
      </c>
      <c r="DW48" s="209">
        <f t="shared" si="164"/>
        <v>0</v>
      </c>
      <c r="DX48" s="209">
        <f t="shared" si="164"/>
        <v>0</v>
      </c>
      <c r="DY48" s="209">
        <f t="shared" si="164"/>
        <v>0</v>
      </c>
      <c r="DZ48" s="209">
        <f t="shared" si="164"/>
        <v>0</v>
      </c>
      <c r="EF48" s="51">
        <v>18.5</v>
      </c>
      <c r="EI48" s="26"/>
      <c r="EM48" t="s">
        <v>99</v>
      </c>
      <c r="EP48" t="s">
        <v>19</v>
      </c>
    </row>
    <row r="49" spans="1:146" x14ac:dyDescent="0.2">
      <c r="A49" s="1"/>
      <c r="B49" t="str">
        <f t="shared" ref="B49:B57" si="165">B22</f>
        <v>Mecahnical Recycling</v>
      </c>
      <c r="C49" s="54" t="s">
        <v>97</v>
      </c>
      <c r="D49" s="209">
        <f>D22*$EF49*1000</f>
        <v>90946.501395099403</v>
      </c>
      <c r="E49" s="209">
        <f t="shared" ref="E49:AH49" si="166">E22*$EF49*1000</f>
        <v>96838.769477118156</v>
      </c>
      <c r="F49" s="209">
        <f t="shared" si="166"/>
        <v>103981.55843315064</v>
      </c>
      <c r="G49" s="209">
        <f t="shared" si="166"/>
        <v>111166.68393199294</v>
      </c>
      <c r="H49" s="209">
        <f t="shared" si="166"/>
        <v>118309.22859162439</v>
      </c>
      <c r="I49" s="209">
        <f t="shared" si="166"/>
        <v>125360.0104381633</v>
      </c>
      <c r="J49" s="209">
        <f t="shared" si="166"/>
        <v>132243.17743373691</v>
      </c>
      <c r="K49" s="209">
        <f t="shared" si="166"/>
        <v>139210.9714684418</v>
      </c>
      <c r="L49" s="209">
        <f t="shared" si="166"/>
        <v>146253.13854894761</v>
      </c>
      <c r="M49" s="209">
        <f t="shared" si="166"/>
        <v>153358.84436471784</v>
      </c>
      <c r="N49" s="209">
        <f t="shared" si="166"/>
        <v>160516.68231796028</v>
      </c>
      <c r="O49" s="209">
        <f t="shared" si="166"/>
        <v>171959.83291378678</v>
      </c>
      <c r="P49" s="209">
        <f t="shared" si="166"/>
        <v>183385.54641252721</v>
      </c>
      <c r="Q49" s="209">
        <f t="shared" si="166"/>
        <v>193923.10960666055</v>
      </c>
      <c r="R49" s="209">
        <f t="shared" si="166"/>
        <v>203909.91484848887</v>
      </c>
      <c r="S49" s="209">
        <f t="shared" si="166"/>
        <v>213272.94749406868</v>
      </c>
      <c r="T49" s="209">
        <f t="shared" si="166"/>
        <v>222488.94339683148</v>
      </c>
      <c r="U49" s="209">
        <f t="shared" si="166"/>
        <v>231421.28759590373</v>
      </c>
      <c r="V49" s="209">
        <f t="shared" si="166"/>
        <v>240054.02860845163</v>
      </c>
      <c r="W49" s="209">
        <f t="shared" si="166"/>
        <v>248370.95241596433</v>
      </c>
      <c r="X49" s="209">
        <f t="shared" si="166"/>
        <v>256355.58619371353</v>
      </c>
      <c r="Y49" s="209">
        <f t="shared" si="166"/>
        <v>268789.42320826394</v>
      </c>
      <c r="Z49" s="209">
        <f t="shared" si="166"/>
        <v>282646.93279796146</v>
      </c>
      <c r="AA49" s="209">
        <f t="shared" si="166"/>
        <v>295710.32169474638</v>
      </c>
      <c r="AB49" s="209">
        <f t="shared" si="166"/>
        <v>308145.21646143962</v>
      </c>
      <c r="AC49" s="209">
        <f t="shared" si="166"/>
        <v>319922.36138941249</v>
      </c>
      <c r="AD49" s="209">
        <f t="shared" si="166"/>
        <v>330824.0903845334</v>
      </c>
      <c r="AE49" s="209">
        <f t="shared" si="166"/>
        <v>340979.43347709253</v>
      </c>
      <c r="AF49" s="209">
        <f t="shared" si="166"/>
        <v>350355.57246887218</v>
      </c>
      <c r="AG49" s="209">
        <f t="shared" si="166"/>
        <v>358919.12762932113</v>
      </c>
      <c r="AH49" s="209">
        <f t="shared" si="166"/>
        <v>366636.16132328298</v>
      </c>
      <c r="AI49" s="209"/>
      <c r="AJ49" s="209">
        <f>AJ22*$EF49*1000</f>
        <v>90946.501395099403</v>
      </c>
      <c r="AK49" s="209">
        <f t="shared" ref="AK49:BN49" si="167">AK22*$EF49*1000</f>
        <v>96838.769477118156</v>
      </c>
      <c r="AL49" s="209">
        <f t="shared" si="167"/>
        <v>103981.55843315064</v>
      </c>
      <c r="AM49" s="209">
        <f t="shared" si="167"/>
        <v>111166.68393199294</v>
      </c>
      <c r="AN49" s="209">
        <f t="shared" si="167"/>
        <v>118309.22859162439</v>
      </c>
      <c r="AO49" s="209">
        <f t="shared" si="167"/>
        <v>125360.0104381633</v>
      </c>
      <c r="AP49" s="209">
        <f t="shared" si="167"/>
        <v>132243.17743373691</v>
      </c>
      <c r="AQ49" s="209">
        <f t="shared" si="167"/>
        <v>139210.9714684418</v>
      </c>
      <c r="AR49" s="209">
        <f t="shared" si="167"/>
        <v>146253.13854894761</v>
      </c>
      <c r="AS49" s="209">
        <f t="shared" si="167"/>
        <v>153358.84436471784</v>
      </c>
      <c r="AT49" s="209">
        <f t="shared" si="167"/>
        <v>160516.68231796028</v>
      </c>
      <c r="AU49" s="209">
        <f t="shared" si="167"/>
        <v>171959.83291378678</v>
      </c>
      <c r="AV49" s="209">
        <f t="shared" si="167"/>
        <v>183385.54641252721</v>
      </c>
      <c r="AW49" s="209">
        <f t="shared" si="167"/>
        <v>193923.10960666055</v>
      </c>
      <c r="AX49" s="209">
        <f t="shared" si="167"/>
        <v>203909.91484848887</v>
      </c>
      <c r="AY49" s="209">
        <f t="shared" si="167"/>
        <v>213272.94749406868</v>
      </c>
      <c r="AZ49" s="209">
        <f t="shared" si="167"/>
        <v>222488.94339683148</v>
      </c>
      <c r="BA49" s="209">
        <f t="shared" si="167"/>
        <v>231421.28759590373</v>
      </c>
      <c r="BB49" s="209">
        <f t="shared" si="167"/>
        <v>240054.02860845163</v>
      </c>
      <c r="BC49" s="209">
        <f t="shared" si="167"/>
        <v>248370.95241596433</v>
      </c>
      <c r="BD49" s="209">
        <f t="shared" si="167"/>
        <v>256355.58619371353</v>
      </c>
      <c r="BE49" s="209">
        <f t="shared" si="167"/>
        <v>268789.42320826394</v>
      </c>
      <c r="BF49" s="209">
        <f t="shared" si="167"/>
        <v>282646.93279796146</v>
      </c>
      <c r="BG49" s="209">
        <f t="shared" si="167"/>
        <v>295710.32169474638</v>
      </c>
      <c r="BH49" s="209">
        <f t="shared" si="167"/>
        <v>308145.21646143962</v>
      </c>
      <c r="BI49" s="209">
        <f t="shared" si="167"/>
        <v>319922.36138941249</v>
      </c>
      <c r="BJ49" s="209">
        <f t="shared" si="167"/>
        <v>330824.0903845334</v>
      </c>
      <c r="BK49" s="209">
        <f t="shared" si="167"/>
        <v>340979.43347709253</v>
      </c>
      <c r="BL49" s="209">
        <f t="shared" si="167"/>
        <v>350355.57246887218</v>
      </c>
      <c r="BM49" s="209">
        <f t="shared" si="167"/>
        <v>358919.12762932113</v>
      </c>
      <c r="BN49" s="209">
        <f t="shared" si="167"/>
        <v>366636.16132328298</v>
      </c>
      <c r="BO49" s="209"/>
      <c r="BP49" s="209">
        <f>BP22*$EF49*1000</f>
        <v>90946.501395099403</v>
      </c>
      <c r="BQ49" s="209">
        <f t="shared" ref="BQ49:CT49" si="168">BQ22*$EF49*1000</f>
        <v>92465.307968397537</v>
      </c>
      <c r="BR49" s="209">
        <f t="shared" si="168"/>
        <v>94009.478611469778</v>
      </c>
      <c r="BS49" s="209">
        <f t="shared" si="168"/>
        <v>95579.43690428132</v>
      </c>
      <c r="BT49" s="209">
        <f t="shared" si="168"/>
        <v>97175.613500582811</v>
      </c>
      <c r="BU49" s="209">
        <f t="shared" si="168"/>
        <v>98798.446246042513</v>
      </c>
      <c r="BV49" s="209">
        <f t="shared" si="168"/>
        <v>100448.38029835145</v>
      </c>
      <c r="BW49" s="209">
        <f t="shared" si="168"/>
        <v>102125.86824933387</v>
      </c>
      <c r="BX49" s="209">
        <f t="shared" si="168"/>
        <v>103831.37024909776</v>
      </c>
      <c r="BY49" s="209">
        <f t="shared" si="168"/>
        <v>105565.35413225768</v>
      </c>
      <c r="BZ49" s="209">
        <f t="shared" si="168"/>
        <v>107328.2955462664</v>
      </c>
      <c r="CA49" s="209">
        <f t="shared" si="168"/>
        <v>109120.67808188905</v>
      </c>
      <c r="CB49" s="209">
        <f t="shared" si="168"/>
        <v>110942.99340585659</v>
      </c>
      <c r="CC49" s="209">
        <f t="shared" si="168"/>
        <v>112795.74139573435</v>
      </c>
      <c r="CD49" s="209">
        <f t="shared" si="168"/>
        <v>114679.43027704314</v>
      </c>
      <c r="CE49" s="209">
        <f t="shared" si="168"/>
        <v>116594.57676266975</v>
      </c>
      <c r="CF49" s="209">
        <f t="shared" si="168"/>
        <v>118541.70619460635</v>
      </c>
      <c r="CG49" s="209">
        <f t="shared" si="168"/>
        <v>120521.35268805624</v>
      </c>
      <c r="CH49" s="209">
        <f t="shared" si="168"/>
        <v>122534.05927794677</v>
      </c>
      <c r="CI49" s="209">
        <f t="shared" si="168"/>
        <v>124580.37806788848</v>
      </c>
      <c r="CJ49" s="209">
        <f t="shared" si="168"/>
        <v>126660.8703816222</v>
      </c>
      <c r="CK49" s="209">
        <f t="shared" si="168"/>
        <v>128776.10691699527</v>
      </c>
      <c r="CL49" s="209">
        <f t="shared" si="168"/>
        <v>130926.66790250909</v>
      </c>
      <c r="CM49" s="209">
        <f t="shared" si="168"/>
        <v>133113.14325648095</v>
      </c>
      <c r="CN49" s="209">
        <f t="shared" si="168"/>
        <v>135336.13274886421</v>
      </c>
      <c r="CO49" s="209">
        <f t="shared" si="168"/>
        <v>137596.24616577022</v>
      </c>
      <c r="CP49" s="209">
        <f t="shared" si="168"/>
        <v>139894.10347673859</v>
      </c>
      <c r="CQ49" s="209">
        <f t="shared" si="168"/>
        <v>142230.33500480012</v>
      </c>
      <c r="CR49" s="209">
        <f t="shared" si="168"/>
        <v>144605.58159938024</v>
      </c>
      <c r="CS49" s="209">
        <f t="shared" si="168"/>
        <v>147020.49481208989</v>
      </c>
      <c r="CT49" s="209">
        <f t="shared" si="168"/>
        <v>149475.73707545179</v>
      </c>
      <c r="CU49" s="209"/>
      <c r="CV49" s="209">
        <f>CV22*$EF49*1000</f>
        <v>90946.501395099403</v>
      </c>
      <c r="CW49" s="209">
        <f t="shared" ref="CW49:DZ49" si="169">CW22*$EF49*1000</f>
        <v>96838.769477118156</v>
      </c>
      <c r="CX49" s="209">
        <f t="shared" si="169"/>
        <v>103981.55843315064</v>
      </c>
      <c r="CY49" s="209">
        <f t="shared" si="169"/>
        <v>111166.68393199294</v>
      </c>
      <c r="CZ49" s="209">
        <f t="shared" si="169"/>
        <v>118309.22859162439</v>
      </c>
      <c r="DA49" s="209">
        <f t="shared" si="169"/>
        <v>125360.0104381633</v>
      </c>
      <c r="DB49" s="209">
        <f t="shared" si="169"/>
        <v>132243.17743373691</v>
      </c>
      <c r="DC49" s="209">
        <f t="shared" si="169"/>
        <v>139210.9714684418</v>
      </c>
      <c r="DD49" s="209">
        <f t="shared" si="169"/>
        <v>146253.13854894761</v>
      </c>
      <c r="DE49" s="209">
        <f t="shared" si="169"/>
        <v>153358.84436471784</v>
      </c>
      <c r="DF49" s="209">
        <f t="shared" si="169"/>
        <v>160516.68231796028</v>
      </c>
      <c r="DG49" s="209">
        <f t="shared" si="169"/>
        <v>171959.83291378678</v>
      </c>
      <c r="DH49" s="209">
        <f t="shared" si="169"/>
        <v>183385.54641252721</v>
      </c>
      <c r="DI49" s="209">
        <f t="shared" si="169"/>
        <v>193923.10960666055</v>
      </c>
      <c r="DJ49" s="209">
        <f t="shared" si="169"/>
        <v>203909.91484848887</v>
      </c>
      <c r="DK49" s="209">
        <f t="shared" si="169"/>
        <v>213272.94749406868</v>
      </c>
      <c r="DL49" s="209">
        <f t="shared" si="169"/>
        <v>222488.94339683148</v>
      </c>
      <c r="DM49" s="209">
        <f t="shared" si="169"/>
        <v>231421.28759590373</v>
      </c>
      <c r="DN49" s="209">
        <f t="shared" si="169"/>
        <v>240054.02860845163</v>
      </c>
      <c r="DO49" s="209">
        <f t="shared" si="169"/>
        <v>248370.95241596433</v>
      </c>
      <c r="DP49" s="209">
        <f t="shared" si="169"/>
        <v>256355.58619371353</v>
      </c>
      <c r="DQ49" s="209">
        <f t="shared" si="169"/>
        <v>268789.42320826394</v>
      </c>
      <c r="DR49" s="209">
        <f t="shared" si="169"/>
        <v>282646.93279796146</v>
      </c>
      <c r="DS49" s="209">
        <f t="shared" si="169"/>
        <v>295710.32169474638</v>
      </c>
      <c r="DT49" s="209">
        <f t="shared" si="169"/>
        <v>308145.21646143962</v>
      </c>
      <c r="DU49" s="209">
        <f t="shared" si="169"/>
        <v>319922.36138941249</v>
      </c>
      <c r="DV49" s="209">
        <f t="shared" si="169"/>
        <v>330824.0903845334</v>
      </c>
      <c r="DW49" s="209">
        <f t="shared" si="169"/>
        <v>340979.43347709253</v>
      </c>
      <c r="DX49" s="209">
        <f t="shared" si="169"/>
        <v>350355.57246887218</v>
      </c>
      <c r="DY49" s="209">
        <f t="shared" si="169"/>
        <v>358919.12762932113</v>
      </c>
      <c r="DZ49" s="209">
        <f t="shared" si="169"/>
        <v>366636.16132328298</v>
      </c>
      <c r="EF49" s="51">
        <v>3</v>
      </c>
      <c r="EH49" s="85">
        <f>SUM(EH45:EH46)</f>
        <v>1228897.775976019</v>
      </c>
      <c r="EI49" s="85">
        <f t="shared" ref="EI49:EK49" si="170">SUM(EI45:EI46)</f>
        <v>1732073.8888942145</v>
      </c>
      <c r="EJ49" s="85">
        <f t="shared" si="170"/>
        <v>1919284.4648683961</v>
      </c>
      <c r="EK49" s="85">
        <f t="shared" si="170"/>
        <v>1919284.4648683961</v>
      </c>
      <c r="EM49" t="s">
        <v>99</v>
      </c>
      <c r="EP49" t="s">
        <v>103</v>
      </c>
    </row>
    <row r="50" spans="1:146" x14ac:dyDescent="0.2">
      <c r="A50" s="1"/>
      <c r="B50" t="str">
        <f t="shared" si="165"/>
        <v>Chemical Recycling</v>
      </c>
      <c r="C50" s="54" t="s">
        <v>97</v>
      </c>
      <c r="D50" s="209">
        <f>D23*$EF50*1000</f>
        <v>0.90435052912702085</v>
      </c>
      <c r="E50" s="209">
        <f t="shared" ref="E50:AH50" si="171">E23*$EF50*1000</f>
        <v>1.9816038196810295</v>
      </c>
      <c r="F50" s="209">
        <f t="shared" si="171"/>
        <v>4.1726796466613649</v>
      </c>
      <c r="G50" s="209">
        <f t="shared" si="171"/>
        <v>8.7288037606371809</v>
      </c>
      <c r="H50" s="209">
        <f t="shared" si="171"/>
        <v>18.122844229300174</v>
      </c>
      <c r="I50" s="209">
        <f t="shared" si="171"/>
        <v>37.295960738446816</v>
      </c>
      <c r="J50" s="209">
        <f t="shared" si="171"/>
        <v>75.62981515952076</v>
      </c>
      <c r="K50" s="209">
        <f t="shared" si="171"/>
        <v>151.66722948940645</v>
      </c>
      <c r="L50" s="209">
        <f t="shared" si="171"/>
        <v>299.77772007644961</v>
      </c>
      <c r="M50" s="209">
        <f t="shared" si="171"/>
        <v>581.44302006503381</v>
      </c>
      <c r="N50" s="209">
        <f t="shared" si="171"/>
        <v>1083.6851425453574</v>
      </c>
      <c r="O50" s="209">
        <f t="shared" si="171"/>
        <v>1934.5817073507033</v>
      </c>
      <c r="P50" s="209">
        <f t="shared" si="171"/>
        <v>3272.0196864140707</v>
      </c>
      <c r="Q50" s="209">
        <f t="shared" si="171"/>
        <v>5273.7447987539163</v>
      </c>
      <c r="R50" s="209">
        <f t="shared" si="171"/>
        <v>8055.1490812503662</v>
      </c>
      <c r="S50" s="209">
        <f t="shared" si="171"/>
        <v>11609.01149181373</v>
      </c>
      <c r="T50" s="209">
        <f t="shared" si="171"/>
        <v>15845.553553724601</v>
      </c>
      <c r="U50" s="209">
        <f t="shared" si="171"/>
        <v>20770.521797713263</v>
      </c>
      <c r="V50" s="209">
        <f t="shared" si="171"/>
        <v>25807.232265999613</v>
      </c>
      <c r="W50" s="209">
        <f t="shared" si="171"/>
        <v>30608.199169296728</v>
      </c>
      <c r="X50" s="209">
        <f t="shared" si="171"/>
        <v>33996.432707816413</v>
      </c>
      <c r="Y50" s="209">
        <f t="shared" si="171"/>
        <v>37883.810743599955</v>
      </c>
      <c r="Z50" s="209">
        <f t="shared" si="171"/>
        <v>40319.72796767026</v>
      </c>
      <c r="AA50" s="209">
        <f t="shared" si="171"/>
        <v>42135.061828691156</v>
      </c>
      <c r="AB50" s="209">
        <f t="shared" si="171"/>
        <v>44007.757368348735</v>
      </c>
      <c r="AC50" s="209">
        <f t="shared" si="171"/>
        <v>45864.640293615128</v>
      </c>
      <c r="AD50" s="209">
        <f t="shared" si="171"/>
        <v>47732.190742319508</v>
      </c>
      <c r="AE50" s="209">
        <f t="shared" si="171"/>
        <v>49877.203058545732</v>
      </c>
      <c r="AF50" s="209">
        <f t="shared" si="171"/>
        <v>52491.893364992808</v>
      </c>
      <c r="AG50" s="209">
        <f t="shared" si="171"/>
        <v>55642.527568253077</v>
      </c>
      <c r="AH50" s="209">
        <f t="shared" si="171"/>
        <v>58523.748885937173</v>
      </c>
      <c r="AI50" s="209"/>
      <c r="AJ50" s="209">
        <f>AJ23*$EF50*1000</f>
        <v>0.49969639109791186</v>
      </c>
      <c r="AK50" s="209">
        <f t="shared" ref="AK50:BN50" si="172">AK23*$EF50*1000</f>
        <v>1.1034841596091653</v>
      </c>
      <c r="AL50" s="209">
        <f t="shared" si="172"/>
        <v>2.3294980582869358</v>
      </c>
      <c r="AM50" s="209">
        <f t="shared" si="172"/>
        <v>4.8855276195631641</v>
      </c>
      <c r="AN50" s="209">
        <f t="shared" si="172"/>
        <v>10.170272935410477</v>
      </c>
      <c r="AO50" s="209">
        <f t="shared" si="172"/>
        <v>20.987221759860439</v>
      </c>
      <c r="AP50" s="209">
        <f t="shared" si="172"/>
        <v>42.86038019636554</v>
      </c>
      <c r="AQ50" s="209">
        <f t="shared" si="172"/>
        <v>86.580854518854849</v>
      </c>
      <c r="AR50" s="209">
        <f t="shared" si="172"/>
        <v>172.42114395838391</v>
      </c>
      <c r="AS50" s="209">
        <f t="shared" si="172"/>
        <v>337.01583045354391</v>
      </c>
      <c r="AT50" s="209">
        <f t="shared" si="172"/>
        <v>623.72717802015836</v>
      </c>
      <c r="AU50" s="209">
        <f t="shared" si="172"/>
        <v>1145.0014661803855</v>
      </c>
      <c r="AV50" s="209">
        <f t="shared" si="172"/>
        <v>1963.3906901867072</v>
      </c>
      <c r="AW50" s="209">
        <f t="shared" si="172"/>
        <v>3214.6792485318133</v>
      </c>
      <c r="AX50" s="209">
        <f t="shared" si="172"/>
        <v>4994.4854592586516</v>
      </c>
      <c r="AY50" s="209">
        <f t="shared" si="172"/>
        <v>7331.4581617440508</v>
      </c>
      <c r="AZ50" s="209">
        <f t="shared" si="172"/>
        <v>10164.433715197472</v>
      </c>
      <c r="BA50" s="209">
        <f t="shared" si="172"/>
        <v>13335.256102708056</v>
      </c>
      <c r="BB50" s="209">
        <f t="shared" si="172"/>
        <v>16636.306552013622</v>
      </c>
      <c r="BC50" s="209">
        <f t="shared" si="172"/>
        <v>19873.561433176637</v>
      </c>
      <c r="BD50" s="209">
        <f t="shared" si="172"/>
        <v>21916.843026378272</v>
      </c>
      <c r="BE50" s="209">
        <f t="shared" si="172"/>
        <v>24656.858372056628</v>
      </c>
      <c r="BF50" s="209">
        <f t="shared" si="172"/>
        <v>26001.190761217247</v>
      </c>
      <c r="BG50" s="209">
        <f t="shared" si="172"/>
        <v>27338.539254426443</v>
      </c>
      <c r="BH50" s="209">
        <f t="shared" si="172"/>
        <v>28788.651132832405</v>
      </c>
      <c r="BI50" s="209">
        <f t="shared" si="172"/>
        <v>30196.265145297763</v>
      </c>
      <c r="BJ50" s="209">
        <f t="shared" si="172"/>
        <v>31738.316725162866</v>
      </c>
      <c r="BK50" s="209">
        <f t="shared" si="172"/>
        <v>33601.222442837876</v>
      </c>
      <c r="BL50" s="209">
        <f t="shared" si="172"/>
        <v>35953.888016365905</v>
      </c>
      <c r="BM50" s="209">
        <f t="shared" si="172"/>
        <v>38964.590931409257</v>
      </c>
      <c r="BN50" s="209">
        <f t="shared" si="172"/>
        <v>39819.251436070488</v>
      </c>
      <c r="BO50" s="209"/>
      <c r="BP50" s="209">
        <f>BP23*$EF50*1000</f>
        <v>0</v>
      </c>
      <c r="BQ50" s="209">
        <f t="shared" ref="BQ50:CT50" si="173">BQ23*$EF50*1000</f>
        <v>0</v>
      </c>
      <c r="BR50" s="209">
        <f t="shared" si="173"/>
        <v>0</v>
      </c>
      <c r="BS50" s="209">
        <f t="shared" si="173"/>
        <v>0</v>
      </c>
      <c r="BT50" s="209">
        <f t="shared" si="173"/>
        <v>0</v>
      </c>
      <c r="BU50" s="209">
        <f t="shared" si="173"/>
        <v>0</v>
      </c>
      <c r="BV50" s="209">
        <f t="shared" si="173"/>
        <v>0</v>
      </c>
      <c r="BW50" s="209">
        <f t="shared" si="173"/>
        <v>0</v>
      </c>
      <c r="BX50" s="209">
        <f t="shared" si="173"/>
        <v>0</v>
      </c>
      <c r="BY50" s="209">
        <f t="shared" si="173"/>
        <v>0</v>
      </c>
      <c r="BZ50" s="209">
        <f t="shared" si="173"/>
        <v>0</v>
      </c>
      <c r="CA50" s="209">
        <f t="shared" si="173"/>
        <v>0</v>
      </c>
      <c r="CB50" s="209">
        <f t="shared" si="173"/>
        <v>0</v>
      </c>
      <c r="CC50" s="209">
        <f t="shared" si="173"/>
        <v>0</v>
      </c>
      <c r="CD50" s="209">
        <f t="shared" si="173"/>
        <v>0</v>
      </c>
      <c r="CE50" s="209">
        <f t="shared" si="173"/>
        <v>0</v>
      </c>
      <c r="CF50" s="209">
        <f t="shared" si="173"/>
        <v>0</v>
      </c>
      <c r="CG50" s="209">
        <f t="shared" si="173"/>
        <v>0</v>
      </c>
      <c r="CH50" s="209">
        <f t="shared" si="173"/>
        <v>0</v>
      </c>
      <c r="CI50" s="209">
        <f t="shared" si="173"/>
        <v>0</v>
      </c>
      <c r="CJ50" s="209">
        <f t="shared" si="173"/>
        <v>0</v>
      </c>
      <c r="CK50" s="209">
        <f t="shared" si="173"/>
        <v>0</v>
      </c>
      <c r="CL50" s="209">
        <f t="shared" si="173"/>
        <v>0</v>
      </c>
      <c r="CM50" s="209">
        <f t="shared" si="173"/>
        <v>0</v>
      </c>
      <c r="CN50" s="209">
        <f t="shared" si="173"/>
        <v>0</v>
      </c>
      <c r="CO50" s="209">
        <f t="shared" si="173"/>
        <v>0</v>
      </c>
      <c r="CP50" s="209">
        <f t="shared" si="173"/>
        <v>0</v>
      </c>
      <c r="CQ50" s="209">
        <f t="shared" si="173"/>
        <v>0</v>
      </c>
      <c r="CR50" s="209">
        <f t="shared" si="173"/>
        <v>0</v>
      </c>
      <c r="CS50" s="209">
        <f t="shared" si="173"/>
        <v>0</v>
      </c>
      <c r="CT50" s="209">
        <f t="shared" si="173"/>
        <v>0</v>
      </c>
      <c r="CU50" s="209"/>
      <c r="CV50" s="209">
        <f>CV23*$EF50*1000</f>
        <v>0.49969639109791186</v>
      </c>
      <c r="CW50" s="209">
        <f t="shared" ref="CW50:DZ50" si="174">CW23*$EF50*1000</f>
        <v>1.1034841596091653</v>
      </c>
      <c r="CX50" s="209">
        <f t="shared" si="174"/>
        <v>2.3294980582869358</v>
      </c>
      <c r="CY50" s="209">
        <f t="shared" si="174"/>
        <v>4.8855276195631641</v>
      </c>
      <c r="CZ50" s="209">
        <f t="shared" si="174"/>
        <v>10.170272935410477</v>
      </c>
      <c r="DA50" s="209">
        <f t="shared" si="174"/>
        <v>20.987221759860439</v>
      </c>
      <c r="DB50" s="209">
        <f t="shared" si="174"/>
        <v>42.86038019636554</v>
      </c>
      <c r="DC50" s="209">
        <f t="shared" si="174"/>
        <v>86.580854518854849</v>
      </c>
      <c r="DD50" s="209">
        <f t="shared" si="174"/>
        <v>172.42114395838391</v>
      </c>
      <c r="DE50" s="209">
        <f t="shared" si="174"/>
        <v>337.01583045354391</v>
      </c>
      <c r="DF50" s="209">
        <f t="shared" si="174"/>
        <v>623.72717802015836</v>
      </c>
      <c r="DG50" s="209">
        <f t="shared" si="174"/>
        <v>1145.0014661803855</v>
      </c>
      <c r="DH50" s="209">
        <f t="shared" si="174"/>
        <v>1963.3906901867072</v>
      </c>
      <c r="DI50" s="209">
        <f t="shared" si="174"/>
        <v>3214.6792485318133</v>
      </c>
      <c r="DJ50" s="209">
        <f t="shared" si="174"/>
        <v>4994.4854592586516</v>
      </c>
      <c r="DK50" s="209">
        <f t="shared" si="174"/>
        <v>7331.4581617440508</v>
      </c>
      <c r="DL50" s="209">
        <f t="shared" si="174"/>
        <v>10164.433715197472</v>
      </c>
      <c r="DM50" s="209">
        <f t="shared" si="174"/>
        <v>13335.256102708056</v>
      </c>
      <c r="DN50" s="209">
        <f t="shared" si="174"/>
        <v>16636.306552013622</v>
      </c>
      <c r="DO50" s="209">
        <f t="shared" si="174"/>
        <v>19873.561433176637</v>
      </c>
      <c r="DP50" s="209">
        <f t="shared" si="174"/>
        <v>21916.843026378272</v>
      </c>
      <c r="DQ50" s="209">
        <f t="shared" si="174"/>
        <v>24656.858372056628</v>
      </c>
      <c r="DR50" s="209">
        <f t="shared" si="174"/>
        <v>26001.190761217247</v>
      </c>
      <c r="DS50" s="209">
        <f t="shared" si="174"/>
        <v>27338.539254426443</v>
      </c>
      <c r="DT50" s="209">
        <f t="shared" si="174"/>
        <v>28788.651132832405</v>
      </c>
      <c r="DU50" s="209">
        <f t="shared" si="174"/>
        <v>30196.265145297763</v>
      </c>
      <c r="DV50" s="209">
        <f t="shared" si="174"/>
        <v>31738.316725162866</v>
      </c>
      <c r="DW50" s="209">
        <f t="shared" si="174"/>
        <v>33601.222442837876</v>
      </c>
      <c r="DX50" s="209">
        <f t="shared" si="174"/>
        <v>35953.888016365905</v>
      </c>
      <c r="DY50" s="209">
        <f t="shared" si="174"/>
        <v>38964.590931409257</v>
      </c>
      <c r="DZ50" s="209">
        <f t="shared" si="174"/>
        <v>39819.251436070488</v>
      </c>
      <c r="EF50" s="51">
        <v>6.3</v>
      </c>
      <c r="EH50" s="85">
        <f>EH47</f>
        <v>0</v>
      </c>
      <c r="EI50" s="85">
        <f t="shared" ref="EI50:EK50" si="175">EI47</f>
        <v>0</v>
      </c>
      <c r="EJ50" s="85">
        <f t="shared" si="175"/>
        <v>1732486.9797483529</v>
      </c>
      <c r="EK50" s="85">
        <f t="shared" si="175"/>
        <v>1732486.9797483529</v>
      </c>
      <c r="EM50" t="s">
        <v>105</v>
      </c>
      <c r="EP50" t="s">
        <v>106</v>
      </c>
    </row>
    <row r="51" spans="1:146" x14ac:dyDescent="0.2">
      <c r="A51" s="1"/>
      <c r="B51" t="str">
        <f t="shared" si="165"/>
        <v>Waste management (collection + MRF)</v>
      </c>
      <c r="C51" s="54" t="s">
        <v>97</v>
      </c>
      <c r="D51" s="209">
        <f>D24*$EF51*1000</f>
        <v>1122363.9669887752</v>
      </c>
      <c r="E51" s="209">
        <f t="shared" ref="E51:AG51" si="176">E24*$EF51*1000</f>
        <v>1158430.4908636259</v>
      </c>
      <c r="F51" s="209">
        <f t="shared" si="176"/>
        <v>1192377.1084658185</v>
      </c>
      <c r="G51" s="209">
        <f t="shared" si="176"/>
        <v>1224287.6653835364</v>
      </c>
      <c r="H51" s="209">
        <f t="shared" si="176"/>
        <v>1253656.2822964052</v>
      </c>
      <c r="I51" s="209">
        <f t="shared" si="176"/>
        <v>1280264.922872188</v>
      </c>
      <c r="J51" s="209">
        <f t="shared" si="176"/>
        <v>1301051.570155337</v>
      </c>
      <c r="K51" s="209">
        <f t="shared" si="176"/>
        <v>1321360.5552670332</v>
      </c>
      <c r="L51" s="209">
        <f t="shared" si="176"/>
        <v>1341160.593789537</v>
      </c>
      <c r="M51" s="209">
        <f t="shared" si="176"/>
        <v>1360424.6746830682</v>
      </c>
      <c r="N51" s="209">
        <f t="shared" si="176"/>
        <v>1379129.6225095571</v>
      </c>
      <c r="O51" s="209">
        <f t="shared" si="176"/>
        <v>1389308.5583087732</v>
      </c>
      <c r="P51" s="209">
        <f t="shared" si="176"/>
        <v>1398346.2462399558</v>
      </c>
      <c r="Q51" s="209">
        <f t="shared" si="176"/>
        <v>1401843.7936060415</v>
      </c>
      <c r="R51" s="209">
        <f t="shared" si="176"/>
        <v>1402195.2684451086</v>
      </c>
      <c r="S51" s="209">
        <f t="shared" si="176"/>
        <v>1399374.178152313</v>
      </c>
      <c r="T51" s="209">
        <f t="shared" si="176"/>
        <v>1397045.4814163868</v>
      </c>
      <c r="U51" s="209">
        <f t="shared" si="176"/>
        <v>1394058.5706201177</v>
      </c>
      <c r="V51" s="209">
        <f t="shared" si="176"/>
        <v>1390315.2837690772</v>
      </c>
      <c r="W51" s="209">
        <f t="shared" si="176"/>
        <v>1385755.402997555</v>
      </c>
      <c r="X51" s="209">
        <f t="shared" si="176"/>
        <v>1380204.3670036127</v>
      </c>
      <c r="Y51" s="209">
        <f t="shared" si="176"/>
        <v>1367903.9764914904</v>
      </c>
      <c r="Z51" s="209">
        <f t="shared" si="176"/>
        <v>1362147.9428579016</v>
      </c>
      <c r="AA51" s="209">
        <f t="shared" si="176"/>
        <v>1354479.8496809078</v>
      </c>
      <c r="AB51" s="209">
        <f t="shared" si="176"/>
        <v>1345869.123596353</v>
      </c>
      <c r="AC51" s="209">
        <f t="shared" si="176"/>
        <v>1336297.6240931698</v>
      </c>
      <c r="AD51" s="209">
        <f t="shared" si="176"/>
        <v>1324978.2636029967</v>
      </c>
      <c r="AE51" s="209">
        <f t="shared" si="176"/>
        <v>1312706.6888637678</v>
      </c>
      <c r="AF51" s="209">
        <f t="shared" si="176"/>
        <v>1299498.1132131021</v>
      </c>
      <c r="AG51" s="209">
        <f t="shared" si="176"/>
        <v>1285351.2201822628</v>
      </c>
      <c r="AH51" s="209">
        <f>AH24*$EF51*1000</f>
        <v>1270158.9115262341</v>
      </c>
      <c r="AI51" s="209"/>
      <c r="AJ51" s="209">
        <f>AJ24*$EF51*1000</f>
        <v>1122363.8932839143</v>
      </c>
      <c r="AK51" s="209">
        <f t="shared" ref="AK51:BM51" si="177">AK24*$EF51*1000</f>
        <v>1159767.3565690513</v>
      </c>
      <c r="AL51" s="209">
        <f t="shared" si="177"/>
        <v>1195240.4831427466</v>
      </c>
      <c r="AM51" s="209">
        <f t="shared" si="177"/>
        <v>1228720.0331995164</v>
      </c>
      <c r="AN51" s="209">
        <f t="shared" si="177"/>
        <v>1259738.8014959274</v>
      </c>
      <c r="AO51" s="209">
        <f t="shared" si="177"/>
        <v>1288069.2798522166</v>
      </c>
      <c r="AP51" s="209">
        <f t="shared" si="177"/>
        <v>1313441.5395909951</v>
      </c>
      <c r="AQ51" s="209">
        <f t="shared" si="177"/>
        <v>1338559.8035093688</v>
      </c>
      <c r="AR51" s="209">
        <f t="shared" si="177"/>
        <v>1363392.522908764</v>
      </c>
      <c r="AS51" s="209">
        <f t="shared" si="177"/>
        <v>1387910.4005475184</v>
      </c>
      <c r="AT51" s="209">
        <f t="shared" si="177"/>
        <v>1412084.7397485026</v>
      </c>
      <c r="AU51" s="209">
        <f t="shared" si="177"/>
        <v>1429789.9125593356</v>
      </c>
      <c r="AV51" s="209">
        <f t="shared" si="177"/>
        <v>1446320.2825888686</v>
      </c>
      <c r="AW51" s="209">
        <f t="shared" si="177"/>
        <v>1457906.7457710125</v>
      </c>
      <c r="AX51" s="209">
        <f t="shared" si="177"/>
        <v>1466472.727136604</v>
      </c>
      <c r="AY51" s="209">
        <f t="shared" si="177"/>
        <v>1471956.5465968354</v>
      </c>
      <c r="AZ51" s="209">
        <f t="shared" si="177"/>
        <v>1477566.9581387434</v>
      </c>
      <c r="BA51" s="209">
        <f t="shared" si="177"/>
        <v>1482680.7841394974</v>
      </c>
      <c r="BB51" s="209">
        <f t="shared" si="177"/>
        <v>1487257.2224625065</v>
      </c>
      <c r="BC51" s="209">
        <f t="shared" si="177"/>
        <v>1491259.3735146157</v>
      </c>
      <c r="BD51" s="209">
        <f t="shared" si="177"/>
        <v>1494519.5671963056</v>
      </c>
      <c r="BE51" s="209">
        <f t="shared" si="177"/>
        <v>1492312.8012939966</v>
      </c>
      <c r="BF51" s="209">
        <f t="shared" si="177"/>
        <v>1495951.6805088716</v>
      </c>
      <c r="BG51" s="209">
        <f t="shared" si="177"/>
        <v>1498538.9411661767</v>
      </c>
      <c r="BH51" s="209">
        <f t="shared" si="177"/>
        <v>1500429.6348475006</v>
      </c>
      <c r="BI51" s="209">
        <f t="shared" si="177"/>
        <v>1501595.7867525239</v>
      </c>
      <c r="BJ51" s="209">
        <f t="shared" si="177"/>
        <v>1501644.6102170902</v>
      </c>
      <c r="BK51" s="209">
        <f t="shared" si="177"/>
        <v>1501000.1650481736</v>
      </c>
      <c r="BL51" s="209">
        <f t="shared" si="177"/>
        <v>1499675.9283507329</v>
      </c>
      <c r="BM51" s="209">
        <f t="shared" si="177"/>
        <v>1497684.4291007274</v>
      </c>
      <c r="BN51" s="209">
        <f>BN24*$EF51*1000</f>
        <v>1494675.2048820634</v>
      </c>
      <c r="BO51" s="209"/>
      <c r="BP51" s="209">
        <f>BP24*$EF51*1000</f>
        <v>1122363.8022677863</v>
      </c>
      <c r="BQ51" s="209">
        <f t="shared" ref="BQ51:CS51" si="178">BQ24*$EF51*1000</f>
        <v>1154515.3581157795</v>
      </c>
      <c r="BR51" s="209">
        <f t="shared" si="178"/>
        <v>1184546.7389402541</v>
      </c>
      <c r="BS51" s="209">
        <f t="shared" si="178"/>
        <v>1212250.2256626131</v>
      </c>
      <c r="BT51" s="209">
        <f t="shared" si="178"/>
        <v>1237431.9972474396</v>
      </c>
      <c r="BU51" s="209">
        <f t="shared" si="178"/>
        <v>1259914.5024363424</v>
      </c>
      <c r="BV51" s="209">
        <f t="shared" si="178"/>
        <v>1282209.3616519666</v>
      </c>
      <c r="BW51" s="209">
        <f t="shared" si="178"/>
        <v>1304292.0769065002</v>
      </c>
      <c r="BX51" s="209">
        <f t="shared" si="178"/>
        <v>1326138.0302659762</v>
      </c>
      <c r="BY51" s="209">
        <f t="shared" si="178"/>
        <v>1347722.5316307228</v>
      </c>
      <c r="BZ51" s="209">
        <f t="shared" si="178"/>
        <v>1369020.8677192666</v>
      </c>
      <c r="CA51" s="209">
        <f t="shared" si="178"/>
        <v>1388088.4486463033</v>
      </c>
      <c r="CB51" s="209">
        <f t="shared" si="178"/>
        <v>1404821.8614328529</v>
      </c>
      <c r="CC51" s="209">
        <f t="shared" si="178"/>
        <v>1419129.8800027759</v>
      </c>
      <c r="CD51" s="209">
        <f t="shared" si="178"/>
        <v>1430934.3733035673</v>
      </c>
      <c r="CE51" s="209">
        <f t="shared" si="178"/>
        <v>1440171.1007182822</v>
      </c>
      <c r="CF51" s="209">
        <f t="shared" si="178"/>
        <v>1449297.0487564823</v>
      </c>
      <c r="CG51" s="209">
        <f t="shared" si="178"/>
        <v>1458309.6147709149</v>
      </c>
      <c r="CH51" s="209">
        <f t="shared" si="178"/>
        <v>1467206.2409045878</v>
      </c>
      <c r="CI51" s="209">
        <f t="shared" si="178"/>
        <v>1475984.4164558186</v>
      </c>
      <c r="CJ51" s="209">
        <f t="shared" si="178"/>
        <v>1484641.6802507713</v>
      </c>
      <c r="CK51" s="209">
        <f t="shared" si="178"/>
        <v>1493191.3675813428</v>
      </c>
      <c r="CL51" s="209">
        <f t="shared" si="178"/>
        <v>1501631.3674650611</v>
      </c>
      <c r="CM51" s="209">
        <f t="shared" si="178"/>
        <v>1509959.6153757283</v>
      </c>
      <c r="CN51" s="209">
        <f t="shared" si="178"/>
        <v>1518174.0952718111</v>
      </c>
      <c r="CO51" s="209">
        <f t="shared" si="178"/>
        <v>1526272.8416302123</v>
      </c>
      <c r="CP51" s="209">
        <f t="shared" si="178"/>
        <v>1534267.7568206955</v>
      </c>
      <c r="CQ51" s="209">
        <f t="shared" si="178"/>
        <v>1542157.1680526694</v>
      </c>
      <c r="CR51" s="209">
        <f t="shared" si="178"/>
        <v>1549939.4503806382</v>
      </c>
      <c r="CS51" s="209">
        <f t="shared" si="178"/>
        <v>1557613.0284789067</v>
      </c>
      <c r="CT51" s="209">
        <f>CT24*$EF51*1000</f>
        <v>1565176.3784207404</v>
      </c>
      <c r="CU51" s="209"/>
      <c r="CV51" s="209">
        <f>CV24*$EF51*1000</f>
        <v>1122363.8932839143</v>
      </c>
      <c r="CW51" s="209">
        <f t="shared" ref="CW51:DY51" si="179">CW24*$EF51*1000</f>
        <v>1164938.2824791761</v>
      </c>
      <c r="CX51" s="209">
        <f t="shared" si="179"/>
        <v>1206379.191250138</v>
      </c>
      <c r="CY51" s="209">
        <f t="shared" si="179"/>
        <v>1245962.8792094104</v>
      </c>
      <c r="CZ51" s="209">
        <f t="shared" si="179"/>
        <v>1283402.8563040239</v>
      </c>
      <c r="DA51" s="209">
        <f t="shared" si="179"/>
        <v>1318436.1530143463</v>
      </c>
      <c r="DB51" s="209">
        <f t="shared" si="179"/>
        <v>1353615.7774235208</v>
      </c>
      <c r="DC51" s="209">
        <f t="shared" si="179"/>
        <v>1389009.278555989</v>
      </c>
      <c r="DD51" s="209">
        <f t="shared" si="179"/>
        <v>1424588.8798426008</v>
      </c>
      <c r="DE51" s="209">
        <f t="shared" si="179"/>
        <v>1460328.2762044778</v>
      </c>
      <c r="DF51" s="209">
        <f t="shared" si="179"/>
        <v>1496200.949432407</v>
      </c>
      <c r="DG51" s="209">
        <f t="shared" si="179"/>
        <v>1531504.009756627</v>
      </c>
      <c r="DH51" s="209">
        <f t="shared" si="179"/>
        <v>1564591.7979546383</v>
      </c>
      <c r="DI51" s="209">
        <f t="shared" si="179"/>
        <v>1595034.2396300011</v>
      </c>
      <c r="DJ51" s="209">
        <f t="shared" si="179"/>
        <v>1622808.8903688048</v>
      </c>
      <c r="DK51" s="209">
        <f t="shared" si="179"/>
        <v>1647757.1291540603</v>
      </c>
      <c r="DL51" s="209">
        <f t="shared" si="179"/>
        <v>1672773.2422873452</v>
      </c>
      <c r="DM51" s="209">
        <f t="shared" si="179"/>
        <v>1697786.6368098925</v>
      </c>
      <c r="DN51" s="209">
        <f t="shared" si="179"/>
        <v>1722759.9383951356</v>
      </c>
      <c r="DO51" s="209">
        <f t="shared" si="179"/>
        <v>1747659.4995661022</v>
      </c>
      <c r="DP51" s="209">
        <f t="shared" si="179"/>
        <v>1772320.7214781437</v>
      </c>
      <c r="DQ51" s="209">
        <f t="shared" si="179"/>
        <v>1798436.0870072939</v>
      </c>
      <c r="DR51" s="209">
        <f t="shared" si="179"/>
        <v>1824778.9039706399</v>
      </c>
      <c r="DS51" s="209">
        <f t="shared" si="179"/>
        <v>1850892.7906277024</v>
      </c>
      <c r="DT51" s="209">
        <f t="shared" si="179"/>
        <v>1876846.7916217626</v>
      </c>
      <c r="DU51" s="209">
        <f t="shared" si="179"/>
        <v>1902616.0661783565</v>
      </c>
      <c r="DV51" s="209">
        <f t="shared" si="179"/>
        <v>1928186.5602636663</v>
      </c>
      <c r="DW51" s="209">
        <f t="shared" si="179"/>
        <v>1953623.8003118145</v>
      </c>
      <c r="DX51" s="209">
        <f t="shared" si="179"/>
        <v>1978944.6875088406</v>
      </c>
      <c r="DY51" s="209">
        <f t="shared" si="179"/>
        <v>2004165.0122938664</v>
      </c>
      <c r="DZ51" s="209">
        <f>DZ24*$EF51*1000</f>
        <v>2028937.4067801898</v>
      </c>
      <c r="EF51" s="51">
        <v>4.5</v>
      </c>
      <c r="EI51" s="26"/>
      <c r="EM51" t="s">
        <v>105</v>
      </c>
      <c r="EP51" t="s">
        <v>30</v>
      </c>
    </row>
    <row r="52" spans="1:146" x14ac:dyDescent="0.2">
      <c r="A52" s="1"/>
      <c r="B52" t="str">
        <f t="shared" si="165"/>
        <v>Incineration</v>
      </c>
      <c r="C52" s="54" t="s">
        <v>97</v>
      </c>
      <c r="D52" s="209">
        <f>D25*$EF52*1000</f>
        <v>4705.4726630584355</v>
      </c>
      <c r="E52" s="209">
        <f t="shared" ref="E52:AH52" si="180">E25*$EF52*1000</f>
        <v>4977.6666114301352</v>
      </c>
      <c r="F52" s="209">
        <f t="shared" si="180"/>
        <v>5236.2119266753798</v>
      </c>
      <c r="G52" s="209">
        <f t="shared" si="180"/>
        <v>5489.2141034911574</v>
      </c>
      <c r="H52" s="209">
        <f t="shared" si="180"/>
        <v>5733.7216102933953</v>
      </c>
      <c r="I52" s="209">
        <f t="shared" si="180"/>
        <v>5967.8597844232008</v>
      </c>
      <c r="J52" s="209">
        <f t="shared" si="180"/>
        <v>6173.9718366862735</v>
      </c>
      <c r="K52" s="209">
        <f t="shared" si="180"/>
        <v>6378.1697535922167</v>
      </c>
      <c r="L52" s="209">
        <f t="shared" si="180"/>
        <v>6579.9448978251366</v>
      </c>
      <c r="M52" s="209">
        <f t="shared" si="180"/>
        <v>6778.685905895516</v>
      </c>
      <c r="N52" s="209">
        <f t="shared" si="180"/>
        <v>6973.6737974958669</v>
      </c>
      <c r="O52" s="209">
        <f t="shared" si="180"/>
        <v>7074.3821625661512</v>
      </c>
      <c r="P52" s="209">
        <f t="shared" si="180"/>
        <v>7162.7012526976087</v>
      </c>
      <c r="Q52" s="209">
        <f t="shared" si="180"/>
        <v>7217.1127882171786</v>
      </c>
      <c r="R52" s="209">
        <f t="shared" si="180"/>
        <v>7247.8618866521902</v>
      </c>
      <c r="S52" s="209">
        <f t="shared" si="180"/>
        <v>7254.5023041397108</v>
      </c>
      <c r="T52" s="209">
        <f t="shared" si="180"/>
        <v>7256.8297197067841</v>
      </c>
      <c r="U52" s="209">
        <f t="shared" si="180"/>
        <v>7248.3210317328821</v>
      </c>
      <c r="V52" s="209">
        <f t="shared" si="180"/>
        <v>7231.1817113910411</v>
      </c>
      <c r="W52" s="209">
        <f t="shared" si="180"/>
        <v>7206.8748811841633</v>
      </c>
      <c r="X52" s="209">
        <f t="shared" si="180"/>
        <v>7180.5059569835012</v>
      </c>
      <c r="Y52" s="209">
        <f t="shared" si="180"/>
        <v>7044.9144038817412</v>
      </c>
      <c r="Z52" s="209">
        <f t="shared" si="180"/>
        <v>6941.9421780974963</v>
      </c>
      <c r="AA52" s="209">
        <f t="shared" si="180"/>
        <v>6829.263063883518</v>
      </c>
      <c r="AB52" s="209">
        <f t="shared" si="180"/>
        <v>6708.7207793218668</v>
      </c>
      <c r="AC52" s="209">
        <f t="shared" si="180"/>
        <v>6581.0027438219777</v>
      </c>
      <c r="AD52" s="209">
        <f t="shared" si="180"/>
        <v>6442.3122026455694</v>
      </c>
      <c r="AE52" s="209">
        <f t="shared" si="180"/>
        <v>6295.9554573775467</v>
      </c>
      <c r="AF52" s="209">
        <f t="shared" si="180"/>
        <v>6141.3907150650011</v>
      </c>
      <c r="AG52" s="209">
        <f t="shared" si="180"/>
        <v>5978.6697623114687</v>
      </c>
      <c r="AH52" s="209">
        <f t="shared" si="180"/>
        <v>5812.279447523556</v>
      </c>
      <c r="AI52" s="209"/>
      <c r="AJ52" s="209">
        <f>AJ25*$EF52*1000</f>
        <v>4705.4736907514844</v>
      </c>
      <c r="AK52" s="209">
        <f t="shared" ref="AK52:BN52" si="181">AK25*$EF52*1000</f>
        <v>4984.2376586048576</v>
      </c>
      <c r="AL52" s="209">
        <f t="shared" si="181"/>
        <v>5250.685203885022</v>
      </c>
      <c r="AM52" s="209">
        <f t="shared" si="181"/>
        <v>5512.2349658469002</v>
      </c>
      <c r="AN52" s="209">
        <f t="shared" si="181"/>
        <v>5766.158617164052</v>
      </c>
      <c r="AO52" s="209">
        <f t="shared" si="181"/>
        <v>6010.5670746235419</v>
      </c>
      <c r="AP52" s="209">
        <f t="shared" si="181"/>
        <v>6243.4780549885254</v>
      </c>
      <c r="AQ52" s="209">
        <f t="shared" si="181"/>
        <v>6477.0484945236394</v>
      </c>
      <c r="AR52" s="209">
        <f t="shared" si="181"/>
        <v>6710.9076232182806</v>
      </c>
      <c r="AS52" s="209">
        <f t="shared" si="181"/>
        <v>6944.6198845975969</v>
      </c>
      <c r="AT52" s="209">
        <f t="shared" si="181"/>
        <v>7177.7115516241583</v>
      </c>
      <c r="AU52" s="209">
        <f t="shared" si="181"/>
        <v>7331.3501021547827</v>
      </c>
      <c r="AV52" s="209">
        <f t="shared" si="181"/>
        <v>7475.2262785584826</v>
      </c>
      <c r="AW52" s="209">
        <f t="shared" si="181"/>
        <v>7592.1400956505468</v>
      </c>
      <c r="AX52" s="209">
        <f t="shared" si="181"/>
        <v>7689.5725208730373</v>
      </c>
      <c r="AY52" s="209">
        <f t="shared" si="181"/>
        <v>7766.758058164929</v>
      </c>
      <c r="AZ52" s="209">
        <f t="shared" si="181"/>
        <v>7840.2727369580416</v>
      </c>
      <c r="BA52" s="209">
        <f t="shared" si="181"/>
        <v>7908.0086825054996</v>
      </c>
      <c r="BB52" s="209">
        <f t="shared" si="181"/>
        <v>7970.8273166097033</v>
      </c>
      <c r="BC52" s="209">
        <f t="shared" si="181"/>
        <v>8029.6164720931547</v>
      </c>
      <c r="BD52" s="209">
        <f t="shared" si="181"/>
        <v>8089.3050591249839</v>
      </c>
      <c r="BE52" s="209">
        <f t="shared" si="181"/>
        <v>8050.618657334132</v>
      </c>
      <c r="BF52" s="209">
        <f t="shared" si="181"/>
        <v>8041.4376532499909</v>
      </c>
      <c r="BG52" s="209">
        <f t="shared" si="181"/>
        <v>8028.143721102053</v>
      </c>
      <c r="BH52" s="209">
        <f t="shared" si="181"/>
        <v>8011.0090069774533</v>
      </c>
      <c r="BI52" s="209">
        <f t="shared" si="181"/>
        <v>7991.1589221500026</v>
      </c>
      <c r="BJ52" s="209">
        <f t="shared" si="181"/>
        <v>7967.186668237393</v>
      </c>
      <c r="BK52" s="209">
        <f t="shared" si="181"/>
        <v>7939.9787127709587</v>
      </c>
      <c r="BL52" s="209">
        <f t="shared" si="181"/>
        <v>7909.1702668614562</v>
      </c>
      <c r="BM52" s="209">
        <f t="shared" si="181"/>
        <v>7874.3712299454446</v>
      </c>
      <c r="BN52" s="209">
        <f t="shared" si="181"/>
        <v>7850.3123143693956</v>
      </c>
      <c r="BO52" s="209"/>
      <c r="BP52" s="209">
        <f>BP25*$EF52*1000</f>
        <v>4705.4749598216831</v>
      </c>
      <c r="BQ52" s="209">
        <f t="shared" ref="BQ52:CT52" si="182">BQ25*$EF52*1000</f>
        <v>4934.290618417177</v>
      </c>
      <c r="BR52" s="209">
        <f t="shared" si="182"/>
        <v>5158.3686036998497</v>
      </c>
      <c r="BS52" s="209">
        <f t="shared" si="182"/>
        <v>5376.1869621828473</v>
      </c>
      <c r="BT52" s="209">
        <f t="shared" si="182"/>
        <v>5586.2127103961111</v>
      </c>
      <c r="BU52" s="209">
        <f t="shared" si="182"/>
        <v>5786.9182947246218</v>
      </c>
      <c r="BV52" s="209">
        <f t="shared" si="182"/>
        <v>5990.9386033918463</v>
      </c>
      <c r="BW52" s="209">
        <f t="shared" si="182"/>
        <v>6198.1436444846695</v>
      </c>
      <c r="BX52" s="209">
        <f t="shared" si="182"/>
        <v>6408.3936633786934</v>
      </c>
      <c r="BY52" s="209">
        <f t="shared" si="182"/>
        <v>6621.5391211862398</v>
      </c>
      <c r="BZ52" s="209">
        <f t="shared" si="182"/>
        <v>6837.4206978355023</v>
      </c>
      <c r="CA52" s="209">
        <f t="shared" si="182"/>
        <v>7044.822850497917</v>
      </c>
      <c r="CB52" s="209">
        <f t="shared" si="182"/>
        <v>7242.5609108100789</v>
      </c>
      <c r="CC52" s="209">
        <f t="shared" si="182"/>
        <v>7429.4709967066165</v>
      </c>
      <c r="CD52" s="209">
        <f t="shared" si="182"/>
        <v>7604.4200520804752</v>
      </c>
      <c r="CE52" s="209">
        <f t="shared" si="182"/>
        <v>7766.3158671065094</v>
      </c>
      <c r="CF52" s="209">
        <f t="shared" si="182"/>
        <v>7929.7500435860502</v>
      </c>
      <c r="CG52" s="209">
        <f t="shared" si="182"/>
        <v>8094.6931057264155</v>
      </c>
      <c r="CH52" s="209">
        <f t="shared" si="182"/>
        <v>8261.1142437644539</v>
      </c>
      <c r="CI52" s="209">
        <f t="shared" si="182"/>
        <v>8428.981303493103</v>
      </c>
      <c r="CJ52" s="209">
        <f t="shared" si="182"/>
        <v>8598.2607763562082</v>
      </c>
      <c r="CK52" s="209">
        <f t="shared" si="182"/>
        <v>8769.0239913004589</v>
      </c>
      <c r="CL52" s="209">
        <f t="shared" si="182"/>
        <v>8941.2413345202749</v>
      </c>
      <c r="CM52" s="209">
        <f t="shared" si="182"/>
        <v>9114.8819508907764</v>
      </c>
      <c r="CN52" s="209">
        <f t="shared" si="182"/>
        <v>9289.9137341262594</v>
      </c>
      <c r="CO52" s="209">
        <f t="shared" si="182"/>
        <v>9466.3033173772437</v>
      </c>
      <c r="CP52" s="209">
        <f t="shared" si="182"/>
        <v>9644.1166638219056</v>
      </c>
      <c r="CQ52" s="209">
        <f t="shared" si="182"/>
        <v>9823.3238245623543</v>
      </c>
      <c r="CR52" s="209">
        <f t="shared" si="182"/>
        <v>10003.893683404545</v>
      </c>
      <c r="CS52" s="209">
        <f t="shared" si="182"/>
        <v>10185.793947395628</v>
      </c>
      <c r="CT52" s="209">
        <f t="shared" si="182"/>
        <v>10368.991137696932</v>
      </c>
      <c r="CU52" s="209"/>
      <c r="CV52" s="209">
        <f>CV25*$EF52*1000</f>
        <v>4705.4736907514844</v>
      </c>
      <c r="CW52" s="209">
        <f t="shared" ref="CW52:DZ52" si="183">CW25*$EF52*1000</f>
        <v>5009.6422026102246</v>
      </c>
      <c r="CX52" s="209">
        <f t="shared" si="183"/>
        <v>5306.9612898430296</v>
      </c>
      <c r="CY52" s="209">
        <f t="shared" si="183"/>
        <v>5601.7355452980937</v>
      </c>
      <c r="CZ52" s="209">
        <f t="shared" si="183"/>
        <v>5892.2371227769445</v>
      </c>
      <c r="DA52" s="209">
        <f t="shared" si="183"/>
        <v>6176.4941288574</v>
      </c>
      <c r="DB52" s="209">
        <f t="shared" si="183"/>
        <v>6468.4256683989925</v>
      </c>
      <c r="DC52" s="209">
        <f t="shared" si="183"/>
        <v>6766.3014349134528</v>
      </c>
      <c r="DD52" s="209">
        <f t="shared" si="183"/>
        <v>7069.9309745549208</v>
      </c>
      <c r="DE52" s="209">
        <f t="shared" si="183"/>
        <v>7379.0540366387722</v>
      </c>
      <c r="DF52" s="209">
        <f t="shared" si="183"/>
        <v>7693.3664768894732</v>
      </c>
      <c r="DG52" s="209">
        <f t="shared" si="183"/>
        <v>7968.1400982077803</v>
      </c>
      <c r="DH52" s="209">
        <f t="shared" si="183"/>
        <v>8230.9763696134632</v>
      </c>
      <c r="DI52" s="209">
        <f t="shared" si="183"/>
        <v>8485.9908810787601</v>
      </c>
      <c r="DJ52" s="209">
        <f t="shared" si="183"/>
        <v>8728.5667521150772</v>
      </c>
      <c r="DK52" s="209">
        <f t="shared" si="183"/>
        <v>8957.3651781292047</v>
      </c>
      <c r="DL52" s="209">
        <f t="shared" si="183"/>
        <v>9186.8384160748774</v>
      </c>
      <c r="DM52" s="209">
        <f t="shared" si="183"/>
        <v>9418.6864739008633</v>
      </c>
      <c r="DN52" s="209">
        <f t="shared" si="183"/>
        <v>9653.9288040120809</v>
      </c>
      <c r="DO52" s="209">
        <f t="shared" si="183"/>
        <v>9893.6097847886649</v>
      </c>
      <c r="DP52" s="209">
        <f t="shared" si="183"/>
        <v>10142.813245084519</v>
      </c>
      <c r="DQ52" s="209">
        <f t="shared" si="183"/>
        <v>10350.612682995808</v>
      </c>
      <c r="DR52" s="209">
        <f t="shared" si="183"/>
        <v>10551.615191741521</v>
      </c>
      <c r="DS52" s="209">
        <f t="shared" si="183"/>
        <v>10760.055895948326</v>
      </c>
      <c r="DT52" s="209">
        <f t="shared" si="183"/>
        <v>10974.194496959348</v>
      </c>
      <c r="DU52" s="209">
        <f t="shared" si="183"/>
        <v>11195.315961257784</v>
      </c>
      <c r="DV52" s="209">
        <f t="shared" si="183"/>
        <v>11425.217678386982</v>
      </c>
      <c r="DW52" s="209">
        <f t="shared" si="183"/>
        <v>11662.101797105764</v>
      </c>
      <c r="DX52" s="209">
        <f t="shared" si="183"/>
        <v>11905.768267479009</v>
      </c>
      <c r="DY52" s="209">
        <f t="shared" si="183"/>
        <v>12155.990058470519</v>
      </c>
      <c r="DZ52" s="209">
        <f t="shared" si="183"/>
        <v>12427.659157941031</v>
      </c>
      <c r="EF52" s="51">
        <v>0.1</v>
      </c>
      <c r="EI52" s="26"/>
      <c r="EM52" t="s">
        <v>99</v>
      </c>
    </row>
    <row r="53" spans="1:146" x14ac:dyDescent="0.2">
      <c r="A53" s="1"/>
      <c r="B53" t="str">
        <f t="shared" si="165"/>
        <v>Landfill</v>
      </c>
      <c r="C53" s="54" t="s">
        <v>97</v>
      </c>
      <c r="D53" s="209">
        <f>D26*$EF53*1000</f>
        <v>10881.40553332263</v>
      </c>
      <c r="E53" s="209">
        <f t="shared" ref="E53:AH53" si="184">E26*$EF53*1000</f>
        <v>11189.714257549598</v>
      </c>
      <c r="F53" s="209">
        <f t="shared" si="184"/>
        <v>11454.213589602392</v>
      </c>
      <c r="G53" s="209">
        <f t="shared" si="184"/>
        <v>11695.768686415817</v>
      </c>
      <c r="H53" s="209">
        <f t="shared" si="184"/>
        <v>11910.120256675618</v>
      </c>
      <c r="I53" s="209">
        <f t="shared" si="184"/>
        <v>12095.572955929165</v>
      </c>
      <c r="J53" s="209">
        <f t="shared" si="184"/>
        <v>12219.319260108248</v>
      </c>
      <c r="K53" s="209">
        <f t="shared" si="184"/>
        <v>12336.156026795754</v>
      </c>
      <c r="L53" s="209">
        <f t="shared" si="184"/>
        <v>12445.619461346885</v>
      </c>
      <c r="M53" s="209">
        <f t="shared" si="184"/>
        <v>12547.086893123909</v>
      </c>
      <c r="N53" s="209">
        <f t="shared" si="184"/>
        <v>12639.783757961253</v>
      </c>
      <c r="O53" s="209">
        <f t="shared" si="184"/>
        <v>12563.498810045066</v>
      </c>
      <c r="P53" s="209">
        <f t="shared" si="184"/>
        <v>12470.774502464585</v>
      </c>
      <c r="Q53" s="209">
        <f t="shared" si="184"/>
        <v>12325.737683365091</v>
      </c>
      <c r="R53" s="209">
        <f t="shared" si="184"/>
        <v>12148.404866831792</v>
      </c>
      <c r="S53" s="209">
        <f t="shared" si="184"/>
        <v>11939.701708896602</v>
      </c>
      <c r="T53" s="209">
        <f t="shared" si="184"/>
        <v>11733.189356591125</v>
      </c>
      <c r="U53" s="209">
        <f t="shared" si="184"/>
        <v>11518.276107607435</v>
      </c>
      <c r="V53" s="209">
        <f t="shared" si="184"/>
        <v>11298.721424048494</v>
      </c>
      <c r="W53" s="209">
        <f t="shared" si="184"/>
        <v>11076.893152840448</v>
      </c>
      <c r="X53" s="209">
        <f t="shared" si="184"/>
        <v>10860.515259937536</v>
      </c>
      <c r="Y53" s="209">
        <f t="shared" si="184"/>
        <v>10489.670344015081</v>
      </c>
      <c r="Z53" s="209">
        <f t="shared" si="184"/>
        <v>10179.290213075647</v>
      </c>
      <c r="AA53" s="209">
        <f t="shared" si="184"/>
        <v>9865.385911860023</v>
      </c>
      <c r="AB53" s="209">
        <f t="shared" si="184"/>
        <v>9550.6094427845892</v>
      </c>
      <c r="AC53" s="209">
        <f t="shared" si="184"/>
        <v>9235.8390779774218</v>
      </c>
      <c r="AD53" s="209">
        <f t="shared" si="184"/>
        <v>8915.6999233041224</v>
      </c>
      <c r="AE53" s="209">
        <f t="shared" si="184"/>
        <v>8594.8076145120976</v>
      </c>
      <c r="AF53" s="209">
        <f t="shared" si="184"/>
        <v>8272.3474071457313</v>
      </c>
      <c r="AG53" s="209">
        <f t="shared" si="184"/>
        <v>7948.3374488356794</v>
      </c>
      <c r="AH53" s="209">
        <f t="shared" si="184"/>
        <v>7628.6167748746666</v>
      </c>
      <c r="AI53" s="209"/>
      <c r="AJ53" s="209">
        <f>AJ26*$EF53*1000</f>
        <v>10881.407909862806</v>
      </c>
      <c r="AK53" s="209">
        <f t="shared" ref="AK53:BN53" si="185">AK26*$EF53*1000</f>
        <v>11204.485865613742</v>
      </c>
      <c r="AL53" s="209">
        <f t="shared" si="185"/>
        <v>11485.873883498485</v>
      </c>
      <c r="AM53" s="209">
        <f t="shared" si="185"/>
        <v>11744.818819276064</v>
      </c>
      <c r="AN53" s="209">
        <f t="shared" si="185"/>
        <v>11977.49859815327</v>
      </c>
      <c r="AO53" s="209">
        <f t="shared" si="185"/>
        <v>12182.13148160307</v>
      </c>
      <c r="AP53" s="209">
        <f t="shared" si="185"/>
        <v>12356.883650498119</v>
      </c>
      <c r="AQ53" s="209">
        <f t="shared" si="185"/>
        <v>12527.399537549942</v>
      </c>
      <c r="AR53" s="209">
        <f t="shared" si="185"/>
        <v>12693.328563652996</v>
      </c>
      <c r="AS53" s="209">
        <f t="shared" si="185"/>
        <v>12854.224305625357</v>
      </c>
      <c r="AT53" s="209">
        <f t="shared" si="185"/>
        <v>13009.602187318786</v>
      </c>
      <c r="AU53" s="209">
        <f t="shared" si="185"/>
        <v>13019.851934466949</v>
      </c>
      <c r="AV53" s="209">
        <f t="shared" si="185"/>
        <v>13014.902895704494</v>
      </c>
      <c r="AW53" s="209">
        <f t="shared" si="185"/>
        <v>12966.227634286905</v>
      </c>
      <c r="AX53" s="209">
        <f t="shared" si="185"/>
        <v>12888.772123054234</v>
      </c>
      <c r="AY53" s="209">
        <f t="shared" si="185"/>
        <v>12782.789304063108</v>
      </c>
      <c r="AZ53" s="209">
        <f t="shared" si="185"/>
        <v>12676.527930679438</v>
      </c>
      <c r="BA53" s="209">
        <f t="shared" si="185"/>
        <v>12566.582946268709</v>
      </c>
      <c r="BB53" s="209">
        <f t="shared" si="185"/>
        <v>12454.417682202655</v>
      </c>
      <c r="BC53" s="209">
        <f t="shared" si="185"/>
        <v>12341.438582745208</v>
      </c>
      <c r="BD53" s="209">
        <f t="shared" si="185"/>
        <v>12235.073901926526</v>
      </c>
      <c r="BE53" s="209">
        <f t="shared" si="185"/>
        <v>11987.134397868824</v>
      </c>
      <c r="BF53" s="209">
        <f t="shared" si="185"/>
        <v>11791.531174236754</v>
      </c>
      <c r="BG53" s="209">
        <f t="shared" si="185"/>
        <v>11597.25950277123</v>
      </c>
      <c r="BH53" s="209">
        <f t="shared" si="185"/>
        <v>11404.561433544275</v>
      </c>
      <c r="BI53" s="209">
        <f t="shared" si="185"/>
        <v>11214.865078244589</v>
      </c>
      <c r="BJ53" s="209">
        <f t="shared" si="185"/>
        <v>11026.017264078519</v>
      </c>
      <c r="BK53" s="209">
        <f t="shared" si="185"/>
        <v>10839.115676973493</v>
      </c>
      <c r="BL53" s="209">
        <f t="shared" si="185"/>
        <v>10653.515984457763</v>
      </c>
      <c r="BM53" s="209">
        <f t="shared" si="185"/>
        <v>10468.576158454995</v>
      </c>
      <c r="BN53" s="209">
        <f t="shared" si="185"/>
        <v>10303.534912609832</v>
      </c>
      <c r="BO53" s="209"/>
      <c r="BP53" s="209">
        <f>BP26*$EF53*1000</f>
        <v>10881.410844587641</v>
      </c>
      <c r="BQ53" s="209">
        <f t="shared" ref="BQ53:CT53" si="186">BQ26*$EF53*1000</f>
        <v>11042.784084532559</v>
      </c>
      <c r="BR53" s="209">
        <f t="shared" si="186"/>
        <v>11169.481326695332</v>
      </c>
      <c r="BS53" s="209">
        <f t="shared" si="186"/>
        <v>11260.232740889591</v>
      </c>
      <c r="BT53" s="209">
        <f t="shared" si="186"/>
        <v>11314.072652751558</v>
      </c>
      <c r="BU53" s="209">
        <f t="shared" si="186"/>
        <v>11330.355682724046</v>
      </c>
      <c r="BV53" s="209">
        <f t="shared" si="186"/>
        <v>11335.523041916598</v>
      </c>
      <c r="BW53" s="209">
        <f t="shared" si="186"/>
        <v>11329.316057849614</v>
      </c>
      <c r="BX53" s="209">
        <f t="shared" si="186"/>
        <v>11311.492440571012</v>
      </c>
      <c r="BY53" s="209">
        <f t="shared" si="186"/>
        <v>11281.827293264138</v>
      </c>
      <c r="BZ53" s="209">
        <f t="shared" si="186"/>
        <v>11240.114099209299</v>
      </c>
      <c r="CA53" s="209">
        <f t="shared" si="186"/>
        <v>11168.652935731025</v>
      </c>
      <c r="CB53" s="209">
        <f t="shared" si="186"/>
        <v>11067.636370198969</v>
      </c>
      <c r="CC53" s="209">
        <f t="shared" si="186"/>
        <v>10937.464169785906</v>
      </c>
      <c r="CD53" s="209">
        <f t="shared" si="186"/>
        <v>10778.742183912254</v>
      </c>
      <c r="CE53" s="209">
        <f t="shared" si="186"/>
        <v>10592.27897058246</v>
      </c>
      <c r="CF53" s="209">
        <f t="shared" si="186"/>
        <v>10399.582412133936</v>
      </c>
      <c r="CG53" s="209">
        <f t="shared" si="186"/>
        <v>10200.640765449933</v>
      </c>
      <c r="CH53" s="209">
        <f t="shared" si="186"/>
        <v>9995.4455302342958</v>
      </c>
      <c r="CI53" s="209">
        <f t="shared" si="186"/>
        <v>9783.9915130376012</v>
      </c>
      <c r="CJ53" s="209">
        <f t="shared" si="186"/>
        <v>9566.2768902506396</v>
      </c>
      <c r="CK53" s="209">
        <f t="shared" si="186"/>
        <v>9342.4164155103936</v>
      </c>
      <c r="CL53" s="209">
        <f t="shared" si="186"/>
        <v>9112.4072134095568</v>
      </c>
      <c r="CM53" s="209">
        <f t="shared" si="186"/>
        <v>8876.2494809269065</v>
      </c>
      <c r="CN53" s="209">
        <f t="shared" si="186"/>
        <v>8633.9465429761458</v>
      </c>
      <c r="CO53" s="209">
        <f t="shared" si="186"/>
        <v>8385.5049071255344</v>
      </c>
      <c r="CP53" s="209">
        <f t="shared" si="186"/>
        <v>8131.0191335965974</v>
      </c>
      <c r="CQ53" s="209">
        <f t="shared" si="186"/>
        <v>7870.4943895590195</v>
      </c>
      <c r="CR53" s="209">
        <f t="shared" si="186"/>
        <v>7603.9387728203701</v>
      </c>
      <c r="CS53" s="209">
        <f t="shared" si="186"/>
        <v>7331.3633610460747</v>
      </c>
      <c r="CT53" s="209">
        <f t="shared" si="186"/>
        <v>7052.7822603253908</v>
      </c>
      <c r="CU53" s="209"/>
      <c r="CV53" s="209">
        <f>CV26*$EF53*1000</f>
        <v>10881.407909862806</v>
      </c>
      <c r="CW53" s="209">
        <f t="shared" ref="CW53:DZ53" si="187">CW26*$EF53*1000</f>
        <v>11261.594870787098</v>
      </c>
      <c r="CX53" s="209">
        <f t="shared" si="187"/>
        <v>11608.977821531626</v>
      </c>
      <c r="CY53" s="209">
        <f t="shared" si="187"/>
        <v>11935.516076629459</v>
      </c>
      <c r="CZ53" s="209">
        <f t="shared" si="187"/>
        <v>12239.389611650637</v>
      </c>
      <c r="DA53" s="209">
        <f t="shared" si="187"/>
        <v>12518.430064737764</v>
      </c>
      <c r="DB53" s="209">
        <f t="shared" si="187"/>
        <v>12802.092468706334</v>
      </c>
      <c r="DC53" s="209">
        <f t="shared" si="187"/>
        <v>13086.849903675509</v>
      </c>
      <c r="DD53" s="209">
        <f t="shared" si="187"/>
        <v>13372.402336740392</v>
      </c>
      <c r="DE53" s="209">
        <f t="shared" si="187"/>
        <v>13658.345212047723</v>
      </c>
      <c r="DF53" s="209">
        <f t="shared" si="187"/>
        <v>13944.226739362164</v>
      </c>
      <c r="DG53" s="209">
        <f t="shared" si="187"/>
        <v>14150.736607335461</v>
      </c>
      <c r="DH53" s="209">
        <f t="shared" si="187"/>
        <v>14330.717786380583</v>
      </c>
      <c r="DI53" s="209">
        <f t="shared" si="187"/>
        <v>14492.789658819096</v>
      </c>
      <c r="DJ53" s="209">
        <f t="shared" si="187"/>
        <v>14630.268135647424</v>
      </c>
      <c r="DK53" s="209">
        <f t="shared" si="187"/>
        <v>14742.330189004309</v>
      </c>
      <c r="DL53" s="209">
        <f t="shared" si="187"/>
        <v>14853.719721642799</v>
      </c>
      <c r="DM53" s="209">
        <f t="shared" si="187"/>
        <v>14967.194596158946</v>
      </c>
      <c r="DN53" s="209">
        <f t="shared" si="187"/>
        <v>15084.263756268867</v>
      </c>
      <c r="DO53" s="209">
        <f t="shared" si="187"/>
        <v>15206.377284018283</v>
      </c>
      <c r="DP53" s="209">
        <f t="shared" si="187"/>
        <v>15341.00503319032</v>
      </c>
      <c r="DQ53" s="209">
        <f t="shared" si="187"/>
        <v>15411.75785519595</v>
      </c>
      <c r="DR53" s="209">
        <f t="shared" si="187"/>
        <v>15472.320353274808</v>
      </c>
      <c r="DS53" s="209">
        <f t="shared" si="187"/>
        <v>15543.712821387599</v>
      </c>
      <c r="DT53" s="209">
        <f t="shared" si="187"/>
        <v>15622.985221365716</v>
      </c>
      <c r="DU53" s="209">
        <f t="shared" si="187"/>
        <v>15711.608195628796</v>
      </c>
      <c r="DV53" s="209">
        <f t="shared" si="187"/>
        <v>15811.68517991053</v>
      </c>
      <c r="DW53" s="209">
        <f t="shared" si="187"/>
        <v>15920.303440127907</v>
      </c>
      <c r="DX53" s="209">
        <f t="shared" si="187"/>
        <v>16036.864584427516</v>
      </c>
      <c r="DY53" s="209">
        <f t="shared" si="187"/>
        <v>16160.770681547114</v>
      </c>
      <c r="DZ53" s="209">
        <f t="shared" si="187"/>
        <v>16311.302644797603</v>
      </c>
      <c r="EF53" s="51">
        <v>0.1</v>
      </c>
      <c r="EI53" s="26"/>
      <c r="EM53" t="s">
        <v>99</v>
      </c>
    </row>
    <row r="54" spans="1:146" x14ac:dyDescent="0.2">
      <c r="A54" s="1"/>
      <c r="B54" t="str">
        <f t="shared" si="165"/>
        <v>Dumpsite</v>
      </c>
      <c r="C54" s="54" t="s">
        <v>97</v>
      </c>
      <c r="D54" s="209">
        <f t="shared" ref="D54:AH54" si="188">D26*$EF54*1000</f>
        <v>0</v>
      </c>
      <c r="E54" s="209">
        <f t="shared" si="188"/>
        <v>0</v>
      </c>
      <c r="F54" s="209">
        <f t="shared" si="188"/>
        <v>0</v>
      </c>
      <c r="G54" s="209">
        <f t="shared" si="188"/>
        <v>0</v>
      </c>
      <c r="H54" s="209">
        <f t="shared" si="188"/>
        <v>0</v>
      </c>
      <c r="I54" s="209">
        <f t="shared" si="188"/>
        <v>0</v>
      </c>
      <c r="J54" s="209">
        <f t="shared" si="188"/>
        <v>0</v>
      </c>
      <c r="K54" s="209">
        <f t="shared" si="188"/>
        <v>0</v>
      </c>
      <c r="L54" s="209">
        <f t="shared" si="188"/>
        <v>0</v>
      </c>
      <c r="M54" s="209">
        <f t="shared" si="188"/>
        <v>0</v>
      </c>
      <c r="N54" s="209">
        <f t="shared" si="188"/>
        <v>0</v>
      </c>
      <c r="O54" s="209">
        <f t="shared" si="188"/>
        <v>0</v>
      </c>
      <c r="P54" s="209">
        <f t="shared" si="188"/>
        <v>0</v>
      </c>
      <c r="Q54" s="209">
        <f t="shared" si="188"/>
        <v>0</v>
      </c>
      <c r="R54" s="209">
        <f t="shared" si="188"/>
        <v>0</v>
      </c>
      <c r="S54" s="209">
        <f t="shared" si="188"/>
        <v>0</v>
      </c>
      <c r="T54" s="209">
        <f t="shared" si="188"/>
        <v>0</v>
      </c>
      <c r="U54" s="209">
        <f t="shared" si="188"/>
        <v>0</v>
      </c>
      <c r="V54" s="209">
        <f t="shared" si="188"/>
        <v>0</v>
      </c>
      <c r="W54" s="209">
        <f t="shared" si="188"/>
        <v>0</v>
      </c>
      <c r="X54" s="209">
        <f t="shared" si="188"/>
        <v>0</v>
      </c>
      <c r="Y54" s="209">
        <f t="shared" si="188"/>
        <v>0</v>
      </c>
      <c r="Z54" s="209">
        <f t="shared" si="188"/>
        <v>0</v>
      </c>
      <c r="AA54" s="209">
        <f t="shared" si="188"/>
        <v>0</v>
      </c>
      <c r="AB54" s="209">
        <f t="shared" si="188"/>
        <v>0</v>
      </c>
      <c r="AC54" s="209">
        <f t="shared" si="188"/>
        <v>0</v>
      </c>
      <c r="AD54" s="209">
        <f t="shared" si="188"/>
        <v>0</v>
      </c>
      <c r="AE54" s="209">
        <f t="shared" si="188"/>
        <v>0</v>
      </c>
      <c r="AF54" s="209">
        <f t="shared" si="188"/>
        <v>0</v>
      </c>
      <c r="AG54" s="209">
        <f t="shared" si="188"/>
        <v>0</v>
      </c>
      <c r="AH54" s="209">
        <f t="shared" si="188"/>
        <v>0</v>
      </c>
      <c r="AI54" s="209"/>
      <c r="AJ54" s="209">
        <f t="shared" ref="AJ54:BN54" si="189">AJ26*$EF54*1000</f>
        <v>0</v>
      </c>
      <c r="AK54" s="209">
        <f t="shared" si="189"/>
        <v>0</v>
      </c>
      <c r="AL54" s="209">
        <f t="shared" si="189"/>
        <v>0</v>
      </c>
      <c r="AM54" s="209">
        <f t="shared" si="189"/>
        <v>0</v>
      </c>
      <c r="AN54" s="209">
        <f t="shared" si="189"/>
        <v>0</v>
      </c>
      <c r="AO54" s="209">
        <f t="shared" si="189"/>
        <v>0</v>
      </c>
      <c r="AP54" s="209">
        <f t="shared" si="189"/>
        <v>0</v>
      </c>
      <c r="AQ54" s="209">
        <f t="shared" si="189"/>
        <v>0</v>
      </c>
      <c r="AR54" s="209">
        <f t="shared" si="189"/>
        <v>0</v>
      </c>
      <c r="AS54" s="209">
        <f t="shared" si="189"/>
        <v>0</v>
      </c>
      <c r="AT54" s="209">
        <f t="shared" si="189"/>
        <v>0</v>
      </c>
      <c r="AU54" s="209">
        <f t="shared" si="189"/>
        <v>0</v>
      </c>
      <c r="AV54" s="209">
        <f t="shared" si="189"/>
        <v>0</v>
      </c>
      <c r="AW54" s="209">
        <f t="shared" si="189"/>
        <v>0</v>
      </c>
      <c r="AX54" s="209">
        <f t="shared" si="189"/>
        <v>0</v>
      </c>
      <c r="AY54" s="209">
        <f t="shared" si="189"/>
        <v>0</v>
      </c>
      <c r="AZ54" s="209">
        <f t="shared" si="189"/>
        <v>0</v>
      </c>
      <c r="BA54" s="209">
        <f t="shared" si="189"/>
        <v>0</v>
      </c>
      <c r="BB54" s="209">
        <f t="shared" si="189"/>
        <v>0</v>
      </c>
      <c r="BC54" s="209">
        <f t="shared" si="189"/>
        <v>0</v>
      </c>
      <c r="BD54" s="209">
        <f t="shared" si="189"/>
        <v>0</v>
      </c>
      <c r="BE54" s="209">
        <f t="shared" si="189"/>
        <v>0</v>
      </c>
      <c r="BF54" s="209">
        <f t="shared" si="189"/>
        <v>0</v>
      </c>
      <c r="BG54" s="209">
        <f t="shared" si="189"/>
        <v>0</v>
      </c>
      <c r="BH54" s="209">
        <f t="shared" si="189"/>
        <v>0</v>
      </c>
      <c r="BI54" s="209">
        <f t="shared" si="189"/>
        <v>0</v>
      </c>
      <c r="BJ54" s="209">
        <f t="shared" si="189"/>
        <v>0</v>
      </c>
      <c r="BK54" s="209">
        <f t="shared" si="189"/>
        <v>0</v>
      </c>
      <c r="BL54" s="209">
        <f t="shared" si="189"/>
        <v>0</v>
      </c>
      <c r="BM54" s="209">
        <f t="shared" si="189"/>
        <v>0</v>
      </c>
      <c r="BN54" s="209">
        <f t="shared" si="189"/>
        <v>0</v>
      </c>
      <c r="BO54" s="209"/>
      <c r="BP54" s="209">
        <f t="shared" ref="BP54:CT54" si="190">BP26*$EF54*1000</f>
        <v>0</v>
      </c>
      <c r="BQ54" s="209">
        <f t="shared" si="190"/>
        <v>0</v>
      </c>
      <c r="BR54" s="209">
        <f t="shared" si="190"/>
        <v>0</v>
      </c>
      <c r="BS54" s="209">
        <f t="shared" si="190"/>
        <v>0</v>
      </c>
      <c r="BT54" s="209">
        <f t="shared" si="190"/>
        <v>0</v>
      </c>
      <c r="BU54" s="209">
        <f t="shared" si="190"/>
        <v>0</v>
      </c>
      <c r="BV54" s="209">
        <f t="shared" si="190"/>
        <v>0</v>
      </c>
      <c r="BW54" s="209">
        <f t="shared" si="190"/>
        <v>0</v>
      </c>
      <c r="BX54" s="209">
        <f t="shared" si="190"/>
        <v>0</v>
      </c>
      <c r="BY54" s="209">
        <f t="shared" si="190"/>
        <v>0</v>
      </c>
      <c r="BZ54" s="209">
        <f t="shared" si="190"/>
        <v>0</v>
      </c>
      <c r="CA54" s="209">
        <f t="shared" si="190"/>
        <v>0</v>
      </c>
      <c r="CB54" s="209">
        <f t="shared" si="190"/>
        <v>0</v>
      </c>
      <c r="CC54" s="209">
        <f t="shared" si="190"/>
        <v>0</v>
      </c>
      <c r="CD54" s="209">
        <f t="shared" si="190"/>
        <v>0</v>
      </c>
      <c r="CE54" s="209">
        <f t="shared" si="190"/>
        <v>0</v>
      </c>
      <c r="CF54" s="209">
        <f t="shared" si="190"/>
        <v>0</v>
      </c>
      <c r="CG54" s="209">
        <f t="shared" si="190"/>
        <v>0</v>
      </c>
      <c r="CH54" s="209">
        <f t="shared" si="190"/>
        <v>0</v>
      </c>
      <c r="CI54" s="209">
        <f t="shared" si="190"/>
        <v>0</v>
      </c>
      <c r="CJ54" s="209">
        <f t="shared" si="190"/>
        <v>0</v>
      </c>
      <c r="CK54" s="209">
        <f t="shared" si="190"/>
        <v>0</v>
      </c>
      <c r="CL54" s="209">
        <f t="shared" si="190"/>
        <v>0</v>
      </c>
      <c r="CM54" s="209">
        <f t="shared" si="190"/>
        <v>0</v>
      </c>
      <c r="CN54" s="209">
        <f t="shared" si="190"/>
        <v>0</v>
      </c>
      <c r="CO54" s="209">
        <f t="shared" si="190"/>
        <v>0</v>
      </c>
      <c r="CP54" s="209">
        <f t="shared" si="190"/>
        <v>0</v>
      </c>
      <c r="CQ54" s="209">
        <f t="shared" si="190"/>
        <v>0</v>
      </c>
      <c r="CR54" s="209">
        <f t="shared" si="190"/>
        <v>0</v>
      </c>
      <c r="CS54" s="209">
        <f t="shared" si="190"/>
        <v>0</v>
      </c>
      <c r="CT54" s="209">
        <f t="shared" si="190"/>
        <v>0</v>
      </c>
      <c r="CU54" s="209"/>
      <c r="CV54" s="209">
        <f t="shared" ref="CV54:DZ54" si="191">CV26*$EF54*1000</f>
        <v>0</v>
      </c>
      <c r="CW54" s="209">
        <f t="shared" si="191"/>
        <v>0</v>
      </c>
      <c r="CX54" s="209">
        <f t="shared" si="191"/>
        <v>0</v>
      </c>
      <c r="CY54" s="209">
        <f t="shared" si="191"/>
        <v>0</v>
      </c>
      <c r="CZ54" s="209">
        <f t="shared" si="191"/>
        <v>0</v>
      </c>
      <c r="DA54" s="209">
        <f t="shared" si="191"/>
        <v>0</v>
      </c>
      <c r="DB54" s="209">
        <f t="shared" si="191"/>
        <v>0</v>
      </c>
      <c r="DC54" s="209">
        <f t="shared" si="191"/>
        <v>0</v>
      </c>
      <c r="DD54" s="209">
        <f t="shared" si="191"/>
        <v>0</v>
      </c>
      <c r="DE54" s="209">
        <f t="shared" si="191"/>
        <v>0</v>
      </c>
      <c r="DF54" s="209">
        <f t="shared" si="191"/>
        <v>0</v>
      </c>
      <c r="DG54" s="209">
        <f t="shared" si="191"/>
        <v>0</v>
      </c>
      <c r="DH54" s="209">
        <f t="shared" si="191"/>
        <v>0</v>
      </c>
      <c r="DI54" s="209">
        <f t="shared" si="191"/>
        <v>0</v>
      </c>
      <c r="DJ54" s="209">
        <f t="shared" si="191"/>
        <v>0</v>
      </c>
      <c r="DK54" s="209">
        <f t="shared" si="191"/>
        <v>0</v>
      </c>
      <c r="DL54" s="209">
        <f t="shared" si="191"/>
        <v>0</v>
      </c>
      <c r="DM54" s="209">
        <f t="shared" si="191"/>
        <v>0</v>
      </c>
      <c r="DN54" s="209">
        <f t="shared" si="191"/>
        <v>0</v>
      </c>
      <c r="DO54" s="209">
        <f t="shared" si="191"/>
        <v>0</v>
      </c>
      <c r="DP54" s="209">
        <f t="shared" si="191"/>
        <v>0</v>
      </c>
      <c r="DQ54" s="209">
        <f t="shared" si="191"/>
        <v>0</v>
      </c>
      <c r="DR54" s="209">
        <f t="shared" si="191"/>
        <v>0</v>
      </c>
      <c r="DS54" s="209">
        <f t="shared" si="191"/>
        <v>0</v>
      </c>
      <c r="DT54" s="209">
        <f t="shared" si="191"/>
        <v>0</v>
      </c>
      <c r="DU54" s="209">
        <f t="shared" si="191"/>
        <v>0</v>
      </c>
      <c r="DV54" s="209">
        <f t="shared" si="191"/>
        <v>0</v>
      </c>
      <c r="DW54" s="209">
        <f t="shared" si="191"/>
        <v>0</v>
      </c>
      <c r="DX54" s="209">
        <f t="shared" si="191"/>
        <v>0</v>
      </c>
      <c r="DY54" s="209">
        <f t="shared" si="191"/>
        <v>0</v>
      </c>
      <c r="DZ54" s="209">
        <f t="shared" si="191"/>
        <v>0</v>
      </c>
      <c r="EF54" s="51">
        <v>0</v>
      </c>
      <c r="EI54" s="26"/>
      <c r="EM54" t="s">
        <v>99</v>
      </c>
    </row>
    <row r="55" spans="1:146" x14ac:dyDescent="0.2">
      <c r="A55" s="1"/>
      <c r="B55" t="str">
        <f t="shared" si="165"/>
        <v>Open Burning</v>
      </c>
      <c r="C55" s="54" t="s">
        <v>97</v>
      </c>
      <c r="D55" s="209">
        <f t="shared" ref="D55:AH55" si="192">D27*$EF55*1000</f>
        <v>0</v>
      </c>
      <c r="E55" s="209">
        <f t="shared" si="192"/>
        <v>0</v>
      </c>
      <c r="F55" s="209">
        <f t="shared" si="192"/>
        <v>0</v>
      </c>
      <c r="G55" s="209">
        <f t="shared" si="192"/>
        <v>0</v>
      </c>
      <c r="H55" s="209">
        <f t="shared" si="192"/>
        <v>0</v>
      </c>
      <c r="I55" s="209">
        <f t="shared" si="192"/>
        <v>0</v>
      </c>
      <c r="J55" s="209">
        <f t="shared" si="192"/>
        <v>0</v>
      </c>
      <c r="K55" s="209">
        <f t="shared" si="192"/>
        <v>0</v>
      </c>
      <c r="L55" s="209">
        <f t="shared" si="192"/>
        <v>0</v>
      </c>
      <c r="M55" s="209">
        <f t="shared" si="192"/>
        <v>0</v>
      </c>
      <c r="N55" s="209">
        <f t="shared" si="192"/>
        <v>0</v>
      </c>
      <c r="O55" s="209">
        <f t="shared" si="192"/>
        <v>0</v>
      </c>
      <c r="P55" s="209">
        <f t="shared" si="192"/>
        <v>0</v>
      </c>
      <c r="Q55" s="209">
        <f t="shared" si="192"/>
        <v>0</v>
      </c>
      <c r="R55" s="209">
        <f t="shared" si="192"/>
        <v>0</v>
      </c>
      <c r="S55" s="209">
        <f t="shared" si="192"/>
        <v>0</v>
      </c>
      <c r="T55" s="209">
        <f t="shared" si="192"/>
        <v>0</v>
      </c>
      <c r="U55" s="209">
        <f t="shared" si="192"/>
        <v>0</v>
      </c>
      <c r="V55" s="209">
        <f t="shared" si="192"/>
        <v>0</v>
      </c>
      <c r="W55" s="209">
        <f t="shared" si="192"/>
        <v>0</v>
      </c>
      <c r="X55" s="209">
        <f t="shared" si="192"/>
        <v>0</v>
      </c>
      <c r="Y55" s="209">
        <f t="shared" si="192"/>
        <v>0</v>
      </c>
      <c r="Z55" s="209">
        <f t="shared" si="192"/>
        <v>0</v>
      </c>
      <c r="AA55" s="209">
        <f t="shared" si="192"/>
        <v>0</v>
      </c>
      <c r="AB55" s="209">
        <f t="shared" si="192"/>
        <v>0</v>
      </c>
      <c r="AC55" s="209">
        <f t="shared" si="192"/>
        <v>0</v>
      </c>
      <c r="AD55" s="209">
        <f t="shared" si="192"/>
        <v>0</v>
      </c>
      <c r="AE55" s="209">
        <f t="shared" si="192"/>
        <v>0</v>
      </c>
      <c r="AF55" s="209">
        <f t="shared" si="192"/>
        <v>0</v>
      </c>
      <c r="AG55" s="209">
        <f t="shared" si="192"/>
        <v>0</v>
      </c>
      <c r="AH55" s="209">
        <f t="shared" si="192"/>
        <v>0</v>
      </c>
      <c r="AI55" s="209"/>
      <c r="AJ55" s="209">
        <f t="shared" ref="AJ55:BN55" si="193">AJ27*$EF55*1000</f>
        <v>0</v>
      </c>
      <c r="AK55" s="209">
        <f t="shared" si="193"/>
        <v>0</v>
      </c>
      <c r="AL55" s="209">
        <f t="shared" si="193"/>
        <v>0</v>
      </c>
      <c r="AM55" s="209">
        <f t="shared" si="193"/>
        <v>0</v>
      </c>
      <c r="AN55" s="209">
        <f t="shared" si="193"/>
        <v>0</v>
      </c>
      <c r="AO55" s="209">
        <f t="shared" si="193"/>
        <v>0</v>
      </c>
      <c r="AP55" s="209">
        <f t="shared" si="193"/>
        <v>0</v>
      </c>
      <c r="AQ55" s="209">
        <f t="shared" si="193"/>
        <v>0</v>
      </c>
      <c r="AR55" s="209">
        <f t="shared" si="193"/>
        <v>0</v>
      </c>
      <c r="AS55" s="209">
        <f t="shared" si="193"/>
        <v>0</v>
      </c>
      <c r="AT55" s="209">
        <f t="shared" si="193"/>
        <v>0</v>
      </c>
      <c r="AU55" s="209">
        <f t="shared" si="193"/>
        <v>0</v>
      </c>
      <c r="AV55" s="209">
        <f t="shared" si="193"/>
        <v>0</v>
      </c>
      <c r="AW55" s="209">
        <f t="shared" si="193"/>
        <v>0</v>
      </c>
      <c r="AX55" s="209">
        <f t="shared" si="193"/>
        <v>0</v>
      </c>
      <c r="AY55" s="209">
        <f t="shared" si="193"/>
        <v>0</v>
      </c>
      <c r="AZ55" s="209">
        <f t="shared" si="193"/>
        <v>0</v>
      </c>
      <c r="BA55" s="209">
        <f t="shared" si="193"/>
        <v>0</v>
      </c>
      <c r="BB55" s="209">
        <f t="shared" si="193"/>
        <v>0</v>
      </c>
      <c r="BC55" s="209">
        <f t="shared" si="193"/>
        <v>0</v>
      </c>
      <c r="BD55" s="209">
        <f t="shared" si="193"/>
        <v>0</v>
      </c>
      <c r="BE55" s="209">
        <f t="shared" si="193"/>
        <v>0</v>
      </c>
      <c r="BF55" s="209">
        <f t="shared" si="193"/>
        <v>0</v>
      </c>
      <c r="BG55" s="209">
        <f t="shared" si="193"/>
        <v>0</v>
      </c>
      <c r="BH55" s="209">
        <f t="shared" si="193"/>
        <v>0</v>
      </c>
      <c r="BI55" s="209">
        <f t="shared" si="193"/>
        <v>0</v>
      </c>
      <c r="BJ55" s="209">
        <f t="shared" si="193"/>
        <v>0</v>
      </c>
      <c r="BK55" s="209">
        <f t="shared" si="193"/>
        <v>0</v>
      </c>
      <c r="BL55" s="209">
        <f t="shared" si="193"/>
        <v>0</v>
      </c>
      <c r="BM55" s="209">
        <f t="shared" si="193"/>
        <v>0</v>
      </c>
      <c r="BN55" s="209">
        <f t="shared" si="193"/>
        <v>0</v>
      </c>
      <c r="BO55" s="209"/>
      <c r="BP55" s="209">
        <f t="shared" ref="BP55:CT55" si="194">BP27*$EF55*1000</f>
        <v>0</v>
      </c>
      <c r="BQ55" s="209">
        <f t="shared" si="194"/>
        <v>0</v>
      </c>
      <c r="BR55" s="209">
        <f t="shared" si="194"/>
        <v>0</v>
      </c>
      <c r="BS55" s="209">
        <f t="shared" si="194"/>
        <v>0</v>
      </c>
      <c r="BT55" s="209">
        <f t="shared" si="194"/>
        <v>0</v>
      </c>
      <c r="BU55" s="209">
        <f t="shared" si="194"/>
        <v>0</v>
      </c>
      <c r="BV55" s="209">
        <f t="shared" si="194"/>
        <v>0</v>
      </c>
      <c r="BW55" s="209">
        <f t="shared" si="194"/>
        <v>0</v>
      </c>
      <c r="BX55" s="209">
        <f t="shared" si="194"/>
        <v>0</v>
      </c>
      <c r="BY55" s="209">
        <f t="shared" si="194"/>
        <v>0</v>
      </c>
      <c r="BZ55" s="209">
        <f t="shared" si="194"/>
        <v>0</v>
      </c>
      <c r="CA55" s="209">
        <f t="shared" si="194"/>
        <v>0</v>
      </c>
      <c r="CB55" s="209">
        <f t="shared" si="194"/>
        <v>0</v>
      </c>
      <c r="CC55" s="209">
        <f t="shared" si="194"/>
        <v>0</v>
      </c>
      <c r="CD55" s="209">
        <f t="shared" si="194"/>
        <v>0</v>
      </c>
      <c r="CE55" s="209">
        <f t="shared" si="194"/>
        <v>0</v>
      </c>
      <c r="CF55" s="209">
        <f t="shared" si="194"/>
        <v>0</v>
      </c>
      <c r="CG55" s="209">
        <f t="shared" si="194"/>
        <v>0</v>
      </c>
      <c r="CH55" s="209">
        <f t="shared" si="194"/>
        <v>0</v>
      </c>
      <c r="CI55" s="209">
        <f t="shared" si="194"/>
        <v>0</v>
      </c>
      <c r="CJ55" s="209">
        <f t="shared" si="194"/>
        <v>0</v>
      </c>
      <c r="CK55" s="209">
        <f t="shared" si="194"/>
        <v>0</v>
      </c>
      <c r="CL55" s="209">
        <f t="shared" si="194"/>
        <v>0</v>
      </c>
      <c r="CM55" s="209">
        <f t="shared" si="194"/>
        <v>0</v>
      </c>
      <c r="CN55" s="209">
        <f t="shared" si="194"/>
        <v>0</v>
      </c>
      <c r="CO55" s="209">
        <f t="shared" si="194"/>
        <v>0</v>
      </c>
      <c r="CP55" s="209">
        <f t="shared" si="194"/>
        <v>0</v>
      </c>
      <c r="CQ55" s="209">
        <f t="shared" si="194"/>
        <v>0</v>
      </c>
      <c r="CR55" s="209">
        <f t="shared" si="194"/>
        <v>0</v>
      </c>
      <c r="CS55" s="209">
        <f t="shared" si="194"/>
        <v>0</v>
      </c>
      <c r="CT55" s="209">
        <f t="shared" si="194"/>
        <v>0</v>
      </c>
      <c r="CU55" s="209"/>
      <c r="CV55" s="209">
        <f t="shared" ref="CV55:DZ55" si="195">CV27*$EF55*1000</f>
        <v>0</v>
      </c>
      <c r="CW55" s="209">
        <f t="shared" si="195"/>
        <v>0</v>
      </c>
      <c r="CX55" s="209">
        <f t="shared" si="195"/>
        <v>0</v>
      </c>
      <c r="CY55" s="209">
        <f t="shared" si="195"/>
        <v>0</v>
      </c>
      <c r="CZ55" s="209">
        <f t="shared" si="195"/>
        <v>0</v>
      </c>
      <c r="DA55" s="209">
        <f t="shared" si="195"/>
        <v>0</v>
      </c>
      <c r="DB55" s="209">
        <f t="shared" si="195"/>
        <v>0</v>
      </c>
      <c r="DC55" s="209">
        <f t="shared" si="195"/>
        <v>0</v>
      </c>
      <c r="DD55" s="209">
        <f t="shared" si="195"/>
        <v>0</v>
      </c>
      <c r="DE55" s="209">
        <f t="shared" si="195"/>
        <v>0</v>
      </c>
      <c r="DF55" s="209">
        <f t="shared" si="195"/>
        <v>0</v>
      </c>
      <c r="DG55" s="209">
        <f t="shared" si="195"/>
        <v>0</v>
      </c>
      <c r="DH55" s="209">
        <f t="shared" si="195"/>
        <v>0</v>
      </c>
      <c r="DI55" s="209">
        <f t="shared" si="195"/>
        <v>0</v>
      </c>
      <c r="DJ55" s="209">
        <f t="shared" si="195"/>
        <v>0</v>
      </c>
      <c r="DK55" s="209">
        <f t="shared" si="195"/>
        <v>0</v>
      </c>
      <c r="DL55" s="209">
        <f t="shared" si="195"/>
        <v>0</v>
      </c>
      <c r="DM55" s="209">
        <f t="shared" si="195"/>
        <v>0</v>
      </c>
      <c r="DN55" s="209">
        <f t="shared" si="195"/>
        <v>0</v>
      </c>
      <c r="DO55" s="209">
        <f t="shared" si="195"/>
        <v>0</v>
      </c>
      <c r="DP55" s="209">
        <f t="shared" si="195"/>
        <v>0</v>
      </c>
      <c r="DQ55" s="209">
        <f t="shared" si="195"/>
        <v>0</v>
      </c>
      <c r="DR55" s="209">
        <f t="shared" si="195"/>
        <v>0</v>
      </c>
      <c r="DS55" s="209">
        <f t="shared" si="195"/>
        <v>0</v>
      </c>
      <c r="DT55" s="209">
        <f t="shared" si="195"/>
        <v>0</v>
      </c>
      <c r="DU55" s="209">
        <f t="shared" si="195"/>
        <v>0</v>
      </c>
      <c r="DV55" s="209">
        <f t="shared" si="195"/>
        <v>0</v>
      </c>
      <c r="DW55" s="209">
        <f t="shared" si="195"/>
        <v>0</v>
      </c>
      <c r="DX55" s="209">
        <f t="shared" si="195"/>
        <v>0</v>
      </c>
      <c r="DY55" s="209">
        <f t="shared" si="195"/>
        <v>0</v>
      </c>
      <c r="DZ55" s="209">
        <f t="shared" si="195"/>
        <v>0</v>
      </c>
      <c r="EF55" s="51">
        <v>0</v>
      </c>
      <c r="EI55" s="26"/>
      <c r="EM55" t="s">
        <v>99</v>
      </c>
    </row>
    <row r="56" spans="1:146" x14ac:dyDescent="0.2">
      <c r="A56" s="1"/>
      <c r="B56" t="str">
        <f t="shared" si="165"/>
        <v>Leakage Environment</v>
      </c>
      <c r="C56" s="54" t="s">
        <v>97</v>
      </c>
      <c r="D56" s="209">
        <f t="shared" ref="D56:AH56" si="196">D28*$EF56*1000</f>
        <v>0</v>
      </c>
      <c r="E56" s="209">
        <f t="shared" si="196"/>
        <v>0</v>
      </c>
      <c r="F56" s="209">
        <f t="shared" si="196"/>
        <v>0</v>
      </c>
      <c r="G56" s="209">
        <f t="shared" si="196"/>
        <v>0</v>
      </c>
      <c r="H56" s="209">
        <f t="shared" si="196"/>
        <v>0</v>
      </c>
      <c r="I56" s="209">
        <f t="shared" si="196"/>
        <v>0</v>
      </c>
      <c r="J56" s="209">
        <f t="shared" si="196"/>
        <v>0</v>
      </c>
      <c r="K56" s="209">
        <f t="shared" si="196"/>
        <v>0</v>
      </c>
      <c r="L56" s="209">
        <f t="shared" si="196"/>
        <v>0</v>
      </c>
      <c r="M56" s="209">
        <f t="shared" si="196"/>
        <v>0</v>
      </c>
      <c r="N56" s="209">
        <f t="shared" si="196"/>
        <v>0</v>
      </c>
      <c r="O56" s="209">
        <f t="shared" si="196"/>
        <v>0</v>
      </c>
      <c r="P56" s="209">
        <f t="shared" si="196"/>
        <v>0</v>
      </c>
      <c r="Q56" s="209">
        <f t="shared" si="196"/>
        <v>0</v>
      </c>
      <c r="R56" s="209">
        <f t="shared" si="196"/>
        <v>0</v>
      </c>
      <c r="S56" s="209">
        <f t="shared" si="196"/>
        <v>0</v>
      </c>
      <c r="T56" s="209">
        <f t="shared" si="196"/>
        <v>0</v>
      </c>
      <c r="U56" s="209">
        <f t="shared" si="196"/>
        <v>0</v>
      </c>
      <c r="V56" s="209">
        <f t="shared" si="196"/>
        <v>0</v>
      </c>
      <c r="W56" s="209">
        <f t="shared" si="196"/>
        <v>0</v>
      </c>
      <c r="X56" s="209">
        <f t="shared" si="196"/>
        <v>0</v>
      </c>
      <c r="Y56" s="209">
        <f t="shared" si="196"/>
        <v>0</v>
      </c>
      <c r="Z56" s="209">
        <f t="shared" si="196"/>
        <v>0</v>
      </c>
      <c r="AA56" s="209">
        <f t="shared" si="196"/>
        <v>0</v>
      </c>
      <c r="AB56" s="209">
        <f t="shared" si="196"/>
        <v>0</v>
      </c>
      <c r="AC56" s="209">
        <f t="shared" si="196"/>
        <v>0</v>
      </c>
      <c r="AD56" s="209">
        <f t="shared" si="196"/>
        <v>0</v>
      </c>
      <c r="AE56" s="209">
        <f t="shared" si="196"/>
        <v>0</v>
      </c>
      <c r="AF56" s="209">
        <f t="shared" si="196"/>
        <v>0</v>
      </c>
      <c r="AG56" s="209">
        <f t="shared" si="196"/>
        <v>0</v>
      </c>
      <c r="AH56" s="209">
        <f t="shared" si="196"/>
        <v>0</v>
      </c>
      <c r="AI56" s="209"/>
      <c r="AJ56" s="209">
        <f t="shared" ref="AJ56:BN56" si="197">AJ28*$EF56*1000</f>
        <v>0</v>
      </c>
      <c r="AK56" s="209">
        <f t="shared" si="197"/>
        <v>0</v>
      </c>
      <c r="AL56" s="209">
        <f t="shared" si="197"/>
        <v>0</v>
      </c>
      <c r="AM56" s="209">
        <f t="shared" si="197"/>
        <v>0</v>
      </c>
      <c r="AN56" s="209">
        <f t="shared" si="197"/>
        <v>0</v>
      </c>
      <c r="AO56" s="209">
        <f t="shared" si="197"/>
        <v>0</v>
      </c>
      <c r="AP56" s="209">
        <f t="shared" si="197"/>
        <v>0</v>
      </c>
      <c r="AQ56" s="209">
        <f t="shared" si="197"/>
        <v>0</v>
      </c>
      <c r="AR56" s="209">
        <f t="shared" si="197"/>
        <v>0</v>
      </c>
      <c r="AS56" s="209">
        <f t="shared" si="197"/>
        <v>0</v>
      </c>
      <c r="AT56" s="209">
        <f t="shared" si="197"/>
        <v>0</v>
      </c>
      <c r="AU56" s="209">
        <f t="shared" si="197"/>
        <v>0</v>
      </c>
      <c r="AV56" s="209">
        <f t="shared" si="197"/>
        <v>0</v>
      </c>
      <c r="AW56" s="209">
        <f t="shared" si="197"/>
        <v>0</v>
      </c>
      <c r="AX56" s="209">
        <f t="shared" si="197"/>
        <v>0</v>
      </c>
      <c r="AY56" s="209">
        <f t="shared" si="197"/>
        <v>0</v>
      </c>
      <c r="AZ56" s="209">
        <f t="shared" si="197"/>
        <v>0</v>
      </c>
      <c r="BA56" s="209">
        <f t="shared" si="197"/>
        <v>0</v>
      </c>
      <c r="BB56" s="209">
        <f t="shared" si="197"/>
        <v>0</v>
      </c>
      <c r="BC56" s="209">
        <f t="shared" si="197"/>
        <v>0</v>
      </c>
      <c r="BD56" s="209">
        <f t="shared" si="197"/>
        <v>0</v>
      </c>
      <c r="BE56" s="209">
        <f t="shared" si="197"/>
        <v>0</v>
      </c>
      <c r="BF56" s="209">
        <f t="shared" si="197"/>
        <v>0</v>
      </c>
      <c r="BG56" s="209">
        <f t="shared" si="197"/>
        <v>0</v>
      </c>
      <c r="BH56" s="209">
        <f t="shared" si="197"/>
        <v>0</v>
      </c>
      <c r="BI56" s="209">
        <f t="shared" si="197"/>
        <v>0</v>
      </c>
      <c r="BJ56" s="209">
        <f t="shared" si="197"/>
        <v>0</v>
      </c>
      <c r="BK56" s="209">
        <f t="shared" si="197"/>
        <v>0</v>
      </c>
      <c r="BL56" s="209">
        <f t="shared" si="197"/>
        <v>0</v>
      </c>
      <c r="BM56" s="209">
        <f t="shared" si="197"/>
        <v>0</v>
      </c>
      <c r="BN56" s="209">
        <f t="shared" si="197"/>
        <v>0</v>
      </c>
      <c r="BO56" s="209"/>
      <c r="BP56" s="209">
        <f t="shared" ref="BP56:CT56" si="198">BP28*$EF56*1000</f>
        <v>0</v>
      </c>
      <c r="BQ56" s="209">
        <f t="shared" si="198"/>
        <v>0</v>
      </c>
      <c r="BR56" s="209">
        <f t="shared" si="198"/>
        <v>0</v>
      </c>
      <c r="BS56" s="209">
        <f t="shared" si="198"/>
        <v>0</v>
      </c>
      <c r="BT56" s="209">
        <f t="shared" si="198"/>
        <v>0</v>
      </c>
      <c r="BU56" s="209">
        <f t="shared" si="198"/>
        <v>0</v>
      </c>
      <c r="BV56" s="209">
        <f t="shared" si="198"/>
        <v>0</v>
      </c>
      <c r="BW56" s="209">
        <f t="shared" si="198"/>
        <v>0</v>
      </c>
      <c r="BX56" s="209">
        <f t="shared" si="198"/>
        <v>0</v>
      </c>
      <c r="BY56" s="209">
        <f t="shared" si="198"/>
        <v>0</v>
      </c>
      <c r="BZ56" s="209">
        <f t="shared" si="198"/>
        <v>0</v>
      </c>
      <c r="CA56" s="209">
        <f t="shared" si="198"/>
        <v>0</v>
      </c>
      <c r="CB56" s="209">
        <f t="shared" si="198"/>
        <v>0</v>
      </c>
      <c r="CC56" s="209">
        <f t="shared" si="198"/>
        <v>0</v>
      </c>
      <c r="CD56" s="209">
        <f t="shared" si="198"/>
        <v>0</v>
      </c>
      <c r="CE56" s="209">
        <f t="shared" si="198"/>
        <v>0</v>
      </c>
      <c r="CF56" s="209">
        <f t="shared" si="198"/>
        <v>0</v>
      </c>
      <c r="CG56" s="209">
        <f t="shared" si="198"/>
        <v>0</v>
      </c>
      <c r="CH56" s="209">
        <f t="shared" si="198"/>
        <v>0</v>
      </c>
      <c r="CI56" s="209">
        <f t="shared" si="198"/>
        <v>0</v>
      </c>
      <c r="CJ56" s="209">
        <f t="shared" si="198"/>
        <v>0</v>
      </c>
      <c r="CK56" s="209">
        <f t="shared" si="198"/>
        <v>0</v>
      </c>
      <c r="CL56" s="209">
        <f t="shared" si="198"/>
        <v>0</v>
      </c>
      <c r="CM56" s="209">
        <f t="shared" si="198"/>
        <v>0</v>
      </c>
      <c r="CN56" s="209">
        <f t="shared" si="198"/>
        <v>0</v>
      </c>
      <c r="CO56" s="209">
        <f t="shared" si="198"/>
        <v>0</v>
      </c>
      <c r="CP56" s="209">
        <f t="shared" si="198"/>
        <v>0</v>
      </c>
      <c r="CQ56" s="209">
        <f t="shared" si="198"/>
        <v>0</v>
      </c>
      <c r="CR56" s="209">
        <f t="shared" si="198"/>
        <v>0</v>
      </c>
      <c r="CS56" s="209">
        <f t="shared" si="198"/>
        <v>0</v>
      </c>
      <c r="CT56" s="209">
        <f t="shared" si="198"/>
        <v>0</v>
      </c>
      <c r="CU56" s="209"/>
      <c r="CV56" s="209">
        <f t="shared" ref="CV56:DZ56" si="199">CV28*$EF56*1000</f>
        <v>0</v>
      </c>
      <c r="CW56" s="209">
        <f t="shared" si="199"/>
        <v>0</v>
      </c>
      <c r="CX56" s="209">
        <f t="shared" si="199"/>
        <v>0</v>
      </c>
      <c r="CY56" s="209">
        <f t="shared" si="199"/>
        <v>0</v>
      </c>
      <c r="CZ56" s="209">
        <f t="shared" si="199"/>
        <v>0</v>
      </c>
      <c r="DA56" s="209">
        <f t="shared" si="199"/>
        <v>0</v>
      </c>
      <c r="DB56" s="209">
        <f t="shared" si="199"/>
        <v>0</v>
      </c>
      <c r="DC56" s="209">
        <f t="shared" si="199"/>
        <v>0</v>
      </c>
      <c r="DD56" s="209">
        <f t="shared" si="199"/>
        <v>0</v>
      </c>
      <c r="DE56" s="209">
        <f t="shared" si="199"/>
        <v>0</v>
      </c>
      <c r="DF56" s="209">
        <f t="shared" si="199"/>
        <v>0</v>
      </c>
      <c r="DG56" s="209">
        <f t="shared" si="199"/>
        <v>0</v>
      </c>
      <c r="DH56" s="209">
        <f t="shared" si="199"/>
        <v>0</v>
      </c>
      <c r="DI56" s="209">
        <f t="shared" si="199"/>
        <v>0</v>
      </c>
      <c r="DJ56" s="209">
        <f t="shared" si="199"/>
        <v>0</v>
      </c>
      <c r="DK56" s="209">
        <f t="shared" si="199"/>
        <v>0</v>
      </c>
      <c r="DL56" s="209">
        <f t="shared" si="199"/>
        <v>0</v>
      </c>
      <c r="DM56" s="209">
        <f t="shared" si="199"/>
        <v>0</v>
      </c>
      <c r="DN56" s="209">
        <f t="shared" si="199"/>
        <v>0</v>
      </c>
      <c r="DO56" s="209">
        <f t="shared" si="199"/>
        <v>0</v>
      </c>
      <c r="DP56" s="209">
        <f t="shared" si="199"/>
        <v>0</v>
      </c>
      <c r="DQ56" s="209">
        <f t="shared" si="199"/>
        <v>0</v>
      </c>
      <c r="DR56" s="209">
        <f t="shared" si="199"/>
        <v>0</v>
      </c>
      <c r="DS56" s="209">
        <f t="shared" si="199"/>
        <v>0</v>
      </c>
      <c r="DT56" s="209">
        <f t="shared" si="199"/>
        <v>0</v>
      </c>
      <c r="DU56" s="209">
        <f t="shared" si="199"/>
        <v>0</v>
      </c>
      <c r="DV56" s="209">
        <f t="shared" si="199"/>
        <v>0</v>
      </c>
      <c r="DW56" s="209">
        <f t="shared" si="199"/>
        <v>0</v>
      </c>
      <c r="DX56" s="209">
        <f t="shared" si="199"/>
        <v>0</v>
      </c>
      <c r="DY56" s="209">
        <f t="shared" si="199"/>
        <v>0</v>
      </c>
      <c r="DZ56" s="209">
        <f t="shared" si="199"/>
        <v>0</v>
      </c>
      <c r="EF56" s="51">
        <v>0</v>
      </c>
      <c r="EI56" s="26"/>
      <c r="EM56" t="s">
        <v>99</v>
      </c>
    </row>
    <row r="57" spans="1:146" ht="16" thickBot="1" x14ac:dyDescent="0.25">
      <c r="A57" s="1"/>
      <c r="B57" t="str">
        <f t="shared" si="165"/>
        <v>Leakage Ocean</v>
      </c>
      <c r="C57" s="54" t="s">
        <v>97</v>
      </c>
      <c r="D57" s="209">
        <f t="shared" ref="D57:AH57" si="200">D29*$EF57*1000</f>
        <v>0</v>
      </c>
      <c r="E57" s="209">
        <f t="shared" si="200"/>
        <v>0</v>
      </c>
      <c r="F57" s="209">
        <f t="shared" si="200"/>
        <v>0</v>
      </c>
      <c r="G57" s="209">
        <f t="shared" si="200"/>
        <v>0</v>
      </c>
      <c r="H57" s="209">
        <f t="shared" si="200"/>
        <v>0</v>
      </c>
      <c r="I57" s="209">
        <f t="shared" si="200"/>
        <v>0</v>
      </c>
      <c r="J57" s="209">
        <f t="shared" si="200"/>
        <v>0</v>
      </c>
      <c r="K57" s="209">
        <f t="shared" si="200"/>
        <v>0</v>
      </c>
      <c r="L57" s="209">
        <f t="shared" si="200"/>
        <v>0</v>
      </c>
      <c r="M57" s="209">
        <f t="shared" si="200"/>
        <v>0</v>
      </c>
      <c r="N57" s="209">
        <f t="shared" si="200"/>
        <v>0</v>
      </c>
      <c r="O57" s="209">
        <f t="shared" si="200"/>
        <v>0</v>
      </c>
      <c r="P57" s="209">
        <f t="shared" si="200"/>
        <v>0</v>
      </c>
      <c r="Q57" s="209">
        <f t="shared" si="200"/>
        <v>0</v>
      </c>
      <c r="R57" s="209">
        <f t="shared" si="200"/>
        <v>0</v>
      </c>
      <c r="S57" s="209">
        <f t="shared" si="200"/>
        <v>0</v>
      </c>
      <c r="T57" s="209">
        <f t="shared" si="200"/>
        <v>0</v>
      </c>
      <c r="U57" s="209">
        <f t="shared" si="200"/>
        <v>0</v>
      </c>
      <c r="V57" s="209">
        <f t="shared" si="200"/>
        <v>0</v>
      </c>
      <c r="W57" s="209">
        <f t="shared" si="200"/>
        <v>0</v>
      </c>
      <c r="X57" s="209">
        <f t="shared" si="200"/>
        <v>0</v>
      </c>
      <c r="Y57" s="209">
        <f t="shared" si="200"/>
        <v>0</v>
      </c>
      <c r="Z57" s="209">
        <f t="shared" si="200"/>
        <v>0</v>
      </c>
      <c r="AA57" s="209">
        <f t="shared" si="200"/>
        <v>0</v>
      </c>
      <c r="AB57" s="209">
        <f t="shared" si="200"/>
        <v>0</v>
      </c>
      <c r="AC57" s="209">
        <f t="shared" si="200"/>
        <v>0</v>
      </c>
      <c r="AD57" s="209">
        <f t="shared" si="200"/>
        <v>0</v>
      </c>
      <c r="AE57" s="209">
        <f t="shared" si="200"/>
        <v>0</v>
      </c>
      <c r="AF57" s="209">
        <f t="shared" si="200"/>
        <v>0</v>
      </c>
      <c r="AG57" s="209">
        <f t="shared" si="200"/>
        <v>0</v>
      </c>
      <c r="AH57" s="209">
        <f t="shared" si="200"/>
        <v>0</v>
      </c>
      <c r="AI57" s="209"/>
      <c r="AJ57" s="209">
        <f t="shared" ref="AJ57:BN57" si="201">AJ29*$EF57*1000</f>
        <v>0</v>
      </c>
      <c r="AK57" s="209">
        <f t="shared" si="201"/>
        <v>0</v>
      </c>
      <c r="AL57" s="209">
        <f t="shared" si="201"/>
        <v>0</v>
      </c>
      <c r="AM57" s="209">
        <f t="shared" si="201"/>
        <v>0</v>
      </c>
      <c r="AN57" s="209">
        <f t="shared" si="201"/>
        <v>0</v>
      </c>
      <c r="AO57" s="209">
        <f t="shared" si="201"/>
        <v>0</v>
      </c>
      <c r="AP57" s="209">
        <f t="shared" si="201"/>
        <v>0</v>
      </c>
      <c r="AQ57" s="209">
        <f t="shared" si="201"/>
        <v>0</v>
      </c>
      <c r="AR57" s="209">
        <f t="shared" si="201"/>
        <v>0</v>
      </c>
      <c r="AS57" s="209">
        <f t="shared" si="201"/>
        <v>0</v>
      </c>
      <c r="AT57" s="209">
        <f t="shared" si="201"/>
        <v>0</v>
      </c>
      <c r="AU57" s="209">
        <f t="shared" si="201"/>
        <v>0</v>
      </c>
      <c r="AV57" s="209">
        <f t="shared" si="201"/>
        <v>0</v>
      </c>
      <c r="AW57" s="209">
        <f t="shared" si="201"/>
        <v>0</v>
      </c>
      <c r="AX57" s="209">
        <f t="shared" si="201"/>
        <v>0</v>
      </c>
      <c r="AY57" s="209">
        <f t="shared" si="201"/>
        <v>0</v>
      </c>
      <c r="AZ57" s="209">
        <f t="shared" si="201"/>
        <v>0</v>
      </c>
      <c r="BA57" s="209">
        <f t="shared" si="201"/>
        <v>0</v>
      </c>
      <c r="BB57" s="209">
        <f t="shared" si="201"/>
        <v>0</v>
      </c>
      <c r="BC57" s="209">
        <f t="shared" si="201"/>
        <v>0</v>
      </c>
      <c r="BD57" s="209">
        <f t="shared" si="201"/>
        <v>0</v>
      </c>
      <c r="BE57" s="209">
        <f t="shared" si="201"/>
        <v>0</v>
      </c>
      <c r="BF57" s="209">
        <f t="shared" si="201"/>
        <v>0</v>
      </c>
      <c r="BG57" s="209">
        <f t="shared" si="201"/>
        <v>0</v>
      </c>
      <c r="BH57" s="209">
        <f t="shared" si="201"/>
        <v>0</v>
      </c>
      <c r="BI57" s="209">
        <f t="shared" si="201"/>
        <v>0</v>
      </c>
      <c r="BJ57" s="209">
        <f t="shared" si="201"/>
        <v>0</v>
      </c>
      <c r="BK57" s="209">
        <f t="shared" si="201"/>
        <v>0</v>
      </c>
      <c r="BL57" s="209">
        <f t="shared" si="201"/>
        <v>0</v>
      </c>
      <c r="BM57" s="209">
        <f t="shared" si="201"/>
        <v>0</v>
      </c>
      <c r="BN57" s="209">
        <f t="shared" si="201"/>
        <v>0</v>
      </c>
      <c r="BO57" s="209"/>
      <c r="BP57" s="209">
        <f t="shared" ref="BP57:CT57" si="202">BP29*$EF57*1000</f>
        <v>0</v>
      </c>
      <c r="BQ57" s="209">
        <f t="shared" si="202"/>
        <v>0</v>
      </c>
      <c r="BR57" s="209">
        <f t="shared" si="202"/>
        <v>0</v>
      </c>
      <c r="BS57" s="209">
        <f t="shared" si="202"/>
        <v>0</v>
      </c>
      <c r="BT57" s="209">
        <f t="shared" si="202"/>
        <v>0</v>
      </c>
      <c r="BU57" s="209">
        <f t="shared" si="202"/>
        <v>0</v>
      </c>
      <c r="BV57" s="209">
        <f t="shared" si="202"/>
        <v>0</v>
      </c>
      <c r="BW57" s="209">
        <f t="shared" si="202"/>
        <v>0</v>
      </c>
      <c r="BX57" s="209">
        <f t="shared" si="202"/>
        <v>0</v>
      </c>
      <c r="BY57" s="209">
        <f t="shared" si="202"/>
        <v>0</v>
      </c>
      <c r="BZ57" s="209">
        <f t="shared" si="202"/>
        <v>0</v>
      </c>
      <c r="CA57" s="209">
        <f t="shared" si="202"/>
        <v>0</v>
      </c>
      <c r="CB57" s="209">
        <f t="shared" si="202"/>
        <v>0</v>
      </c>
      <c r="CC57" s="209">
        <f t="shared" si="202"/>
        <v>0</v>
      </c>
      <c r="CD57" s="209">
        <f t="shared" si="202"/>
        <v>0</v>
      </c>
      <c r="CE57" s="209">
        <f t="shared" si="202"/>
        <v>0</v>
      </c>
      <c r="CF57" s="209">
        <f t="shared" si="202"/>
        <v>0</v>
      </c>
      <c r="CG57" s="209">
        <f t="shared" si="202"/>
        <v>0</v>
      </c>
      <c r="CH57" s="209">
        <f t="shared" si="202"/>
        <v>0</v>
      </c>
      <c r="CI57" s="209">
        <f t="shared" si="202"/>
        <v>0</v>
      </c>
      <c r="CJ57" s="209">
        <f t="shared" si="202"/>
        <v>0</v>
      </c>
      <c r="CK57" s="209">
        <f t="shared" si="202"/>
        <v>0</v>
      </c>
      <c r="CL57" s="209">
        <f t="shared" si="202"/>
        <v>0</v>
      </c>
      <c r="CM57" s="209">
        <f t="shared" si="202"/>
        <v>0</v>
      </c>
      <c r="CN57" s="209">
        <f t="shared" si="202"/>
        <v>0</v>
      </c>
      <c r="CO57" s="209">
        <f t="shared" si="202"/>
        <v>0</v>
      </c>
      <c r="CP57" s="209">
        <f t="shared" si="202"/>
        <v>0</v>
      </c>
      <c r="CQ57" s="209">
        <f t="shared" si="202"/>
        <v>0</v>
      </c>
      <c r="CR57" s="209">
        <f t="shared" si="202"/>
        <v>0</v>
      </c>
      <c r="CS57" s="209">
        <f t="shared" si="202"/>
        <v>0</v>
      </c>
      <c r="CT57" s="209">
        <f t="shared" si="202"/>
        <v>0</v>
      </c>
      <c r="CU57" s="209"/>
      <c r="CV57" s="209">
        <f t="shared" ref="CV57:DZ57" si="203">CV29*$EF57*1000</f>
        <v>0</v>
      </c>
      <c r="CW57" s="209">
        <f t="shared" si="203"/>
        <v>0</v>
      </c>
      <c r="CX57" s="209">
        <f t="shared" si="203"/>
        <v>0</v>
      </c>
      <c r="CY57" s="209">
        <f t="shared" si="203"/>
        <v>0</v>
      </c>
      <c r="CZ57" s="209">
        <f t="shared" si="203"/>
        <v>0</v>
      </c>
      <c r="DA57" s="209">
        <f t="shared" si="203"/>
        <v>0</v>
      </c>
      <c r="DB57" s="209">
        <f t="shared" si="203"/>
        <v>0</v>
      </c>
      <c r="DC57" s="209">
        <f t="shared" si="203"/>
        <v>0</v>
      </c>
      <c r="DD57" s="209">
        <f t="shared" si="203"/>
        <v>0</v>
      </c>
      <c r="DE57" s="209">
        <f t="shared" si="203"/>
        <v>0</v>
      </c>
      <c r="DF57" s="209">
        <f t="shared" si="203"/>
        <v>0</v>
      </c>
      <c r="DG57" s="209">
        <f t="shared" si="203"/>
        <v>0</v>
      </c>
      <c r="DH57" s="209">
        <f t="shared" si="203"/>
        <v>0</v>
      </c>
      <c r="DI57" s="209">
        <f t="shared" si="203"/>
        <v>0</v>
      </c>
      <c r="DJ57" s="209">
        <f t="shared" si="203"/>
        <v>0</v>
      </c>
      <c r="DK57" s="209">
        <f t="shared" si="203"/>
        <v>0</v>
      </c>
      <c r="DL57" s="209">
        <f t="shared" si="203"/>
        <v>0</v>
      </c>
      <c r="DM57" s="209">
        <f t="shared" si="203"/>
        <v>0</v>
      </c>
      <c r="DN57" s="209">
        <f t="shared" si="203"/>
        <v>0</v>
      </c>
      <c r="DO57" s="209">
        <f t="shared" si="203"/>
        <v>0</v>
      </c>
      <c r="DP57" s="209">
        <f t="shared" si="203"/>
        <v>0</v>
      </c>
      <c r="DQ57" s="209">
        <f t="shared" si="203"/>
        <v>0</v>
      </c>
      <c r="DR57" s="209">
        <f t="shared" si="203"/>
        <v>0</v>
      </c>
      <c r="DS57" s="209">
        <f t="shared" si="203"/>
        <v>0</v>
      </c>
      <c r="DT57" s="209">
        <f t="shared" si="203"/>
        <v>0</v>
      </c>
      <c r="DU57" s="209">
        <f t="shared" si="203"/>
        <v>0</v>
      </c>
      <c r="DV57" s="209">
        <f t="shared" si="203"/>
        <v>0</v>
      </c>
      <c r="DW57" s="209">
        <f t="shared" si="203"/>
        <v>0</v>
      </c>
      <c r="DX57" s="209">
        <f t="shared" si="203"/>
        <v>0</v>
      </c>
      <c r="DY57" s="209">
        <f t="shared" si="203"/>
        <v>0</v>
      </c>
      <c r="DZ57" s="209">
        <f t="shared" si="203"/>
        <v>0</v>
      </c>
      <c r="EF57" s="51">
        <v>0</v>
      </c>
      <c r="EI57" s="26"/>
      <c r="EM57" t="s">
        <v>99</v>
      </c>
    </row>
    <row r="58" spans="1:146" ht="16" thickBot="1" x14ac:dyDescent="0.25">
      <c r="A58" s="185" t="s">
        <v>107</v>
      </c>
      <c r="B58" s="488"/>
      <c r="C58" s="639" t="s">
        <v>97</v>
      </c>
      <c r="D58" s="647">
        <f>SUM(D35:D57)</f>
        <v>1228898.2509307847</v>
      </c>
      <c r="E58" s="647">
        <f t="shared" ref="E58:AH58" si="204">SUM(E35:E57)</f>
        <v>1310784.7057619335</v>
      </c>
      <c r="F58" s="647">
        <f t="shared" si="204"/>
        <v>1397399.91556529</v>
      </c>
      <c r="G58" s="647">
        <f t="shared" si="204"/>
        <v>1481560.3820025369</v>
      </c>
      <c r="H58" s="647">
        <f t="shared" si="204"/>
        <v>1564748.4180636154</v>
      </c>
      <c r="I58" s="647">
        <f t="shared" si="204"/>
        <v>1646735.3957692089</v>
      </c>
      <c r="J58" s="647">
        <f t="shared" si="204"/>
        <v>1724048.0226698152</v>
      </c>
      <c r="K58" s="647">
        <f t="shared" si="204"/>
        <v>1802626.8539497482</v>
      </c>
      <c r="L58" s="647">
        <f t="shared" si="204"/>
        <v>1882496.3578139173</v>
      </c>
      <c r="M58" s="647">
        <f t="shared" si="204"/>
        <v>1963712.2785870435</v>
      </c>
      <c r="N58" s="647">
        <f t="shared" si="204"/>
        <v>2046359.6532807217</v>
      </c>
      <c r="O58" s="647">
        <f t="shared" si="204"/>
        <v>2143824.604281419</v>
      </c>
      <c r="P58" s="647">
        <f t="shared" si="204"/>
        <v>2234902.9028998557</v>
      </c>
      <c r="Q58" s="647">
        <f t="shared" si="204"/>
        <v>2330520.6798798242</v>
      </c>
      <c r="R58" s="647">
        <f t="shared" si="204"/>
        <v>2425150.131700905</v>
      </c>
      <c r="S58" s="647">
        <f t="shared" si="204"/>
        <v>2518721.9923506747</v>
      </c>
      <c r="T58" s="647">
        <f t="shared" si="204"/>
        <v>2615050.4507235154</v>
      </c>
      <c r="U58" s="647">
        <f t="shared" si="204"/>
        <v>2713156.4023030433</v>
      </c>
      <c r="V58" s="647">
        <f t="shared" si="204"/>
        <v>2812392.7123966212</v>
      </c>
      <c r="W58" s="647">
        <f t="shared" si="204"/>
        <v>2912377.6446892857</v>
      </c>
      <c r="X58" s="647">
        <f t="shared" si="204"/>
        <v>3011795.0179294627</v>
      </c>
      <c r="Y58" s="647">
        <f t="shared" si="204"/>
        <v>3153010.9914902933</v>
      </c>
      <c r="Z58" s="647">
        <f t="shared" si="204"/>
        <v>3273173.0667664157</v>
      </c>
      <c r="AA58" s="647">
        <f t="shared" si="204"/>
        <v>3392422.7819461697</v>
      </c>
      <c r="AB58" s="647">
        <f t="shared" si="204"/>
        <v>3512618.6361106415</v>
      </c>
      <c r="AC58" s="647">
        <f t="shared" si="204"/>
        <v>3633683.2022559159</v>
      </c>
      <c r="AD58" s="647">
        <f t="shared" si="204"/>
        <v>3754347.0354587054</v>
      </c>
      <c r="AE58" s="647">
        <f t="shared" si="204"/>
        <v>3876146.6068909713</v>
      </c>
      <c r="AF58" s="647">
        <f t="shared" si="204"/>
        <v>3999297.9531890955</v>
      </c>
      <c r="AG58" s="647">
        <f t="shared" si="204"/>
        <v>4123876.0795106068</v>
      </c>
      <c r="AH58" s="647">
        <f t="shared" si="204"/>
        <v>4248988.8728301851</v>
      </c>
      <c r="AI58" s="647"/>
      <c r="AJ58" s="647">
        <f t="shared" ref="AJ58" si="205">SUM(AJ35:AJ57)</f>
        <v>1228897.775976019</v>
      </c>
      <c r="AK58" s="647">
        <f t="shared" ref="AK58" si="206">SUM(AK35:AK57)</f>
        <v>1299831.1480382031</v>
      </c>
      <c r="AL58" s="647">
        <f t="shared" ref="AL58" si="207">SUM(AL35:AL57)</f>
        <v>1374373.6690794362</v>
      </c>
      <c r="AM58" s="647">
        <f t="shared" ref="AM58" si="208">SUM(AM35:AM57)</f>
        <v>1446287.6448393164</v>
      </c>
      <c r="AN58" s="647">
        <f t="shared" ref="AN58" si="209">SUM(AN35:AN57)</f>
        <v>1516710.1664900663</v>
      </c>
      <c r="AO58" s="647">
        <f t="shared" ref="AO58" si="210">SUM(AO35:AO57)</f>
        <v>1585386.7272532627</v>
      </c>
      <c r="AP58" s="647">
        <f t="shared" ref="AP58" si="211">SUM(AP35:AP57)</f>
        <v>1651830.6050725153</v>
      </c>
      <c r="AQ58" s="647">
        <f t="shared" ref="AQ58" si="212">SUM(AQ35:AQ57)</f>
        <v>1719173.7249234109</v>
      </c>
      <c r="AR58" s="647">
        <f t="shared" ref="AR58" si="213">SUM(AR35:AR57)</f>
        <v>1787414.8253812611</v>
      </c>
      <c r="AS58" s="647">
        <f t="shared" ref="AS58" si="214">SUM(AS35:AS57)</f>
        <v>1856570.9680396144</v>
      </c>
      <c r="AT58" s="647">
        <f t="shared" ref="AT58" si="215">SUM(AT35:AT57)</f>
        <v>1926666.354069323</v>
      </c>
      <c r="AU58" s="647">
        <f t="shared" ref="AU58" si="216">SUM(AU35:AU57)</f>
        <v>2007676.5782803763</v>
      </c>
      <c r="AV58" s="647">
        <f t="shared" ref="AV58" si="217">SUM(AV35:AV57)</f>
        <v>2082476.5905878744</v>
      </c>
      <c r="AW58" s="647">
        <f t="shared" ref="AW58" si="218">SUM(AW35:AW57)</f>
        <v>2160482.0814773859</v>
      </c>
      <c r="AX58" s="647">
        <f t="shared" ref="AX58" si="219">SUM(AX35:AX57)</f>
        <v>2236762.0965928538</v>
      </c>
      <c r="AY58" s="647">
        <f t="shared" ref="AY58" si="220">SUM(AY35:AY57)</f>
        <v>2311236.2458199672</v>
      </c>
      <c r="AZ58" s="647">
        <f t="shared" ref="AZ58" si="221">SUM(AZ35:AZ57)</f>
        <v>2387435.9655617336</v>
      </c>
      <c r="BA58" s="647">
        <f t="shared" ref="BA58" si="222">SUM(BA35:BA57)</f>
        <v>2464605.5183733655</v>
      </c>
      <c r="BB58" s="647">
        <f t="shared" ref="BB58" si="223">SUM(BB35:BB57)</f>
        <v>2542509.8429838168</v>
      </c>
      <c r="BC58" s="647">
        <f t="shared" ref="BC58" si="224">SUM(BC35:BC57)</f>
        <v>2620931.5687339264</v>
      </c>
      <c r="BD58" s="647">
        <f t="shared" ref="BD58" si="225">SUM(BD35:BD57)</f>
        <v>2698596.6987173767</v>
      </c>
      <c r="BE58" s="647">
        <f t="shared" ref="BE58" si="226">SUM(BE35:BE57)</f>
        <v>2809452.9503237256</v>
      </c>
      <c r="BF58" s="647">
        <f t="shared" ref="BF58" si="227">SUM(BF35:BF57)</f>
        <v>2901886.6844273903</v>
      </c>
      <c r="BG58" s="647">
        <f t="shared" ref="BG58" si="228">SUM(BG35:BG57)</f>
        <v>2994207.4962226655</v>
      </c>
      <c r="BH58" s="647">
        <f t="shared" ref="BH58" si="229">SUM(BH35:BH57)</f>
        <v>3087089.71496337</v>
      </c>
      <c r="BI58" s="647">
        <f t="shared" ref="BI58" si="230">SUM(BI35:BI57)</f>
        <v>3180357.3794451784</v>
      </c>
      <c r="BJ58" s="647">
        <f t="shared" ref="BJ58" si="231">SUM(BJ35:BJ57)</f>
        <v>3273445.9085737686</v>
      </c>
      <c r="BK58" s="647">
        <f t="shared" ref="BK58" si="232">SUM(BK35:BK57)</f>
        <v>3367279.1430567326</v>
      </c>
      <c r="BL58" s="647">
        <f t="shared" ref="BL58" si="233">SUM(BL35:BL57)</f>
        <v>3462041.1626626379</v>
      </c>
      <c r="BM58" s="647">
        <f t="shared" ref="BM58:BN58" si="234">SUM(BM35:BM57)</f>
        <v>3557914.507663371</v>
      </c>
      <c r="BN58" s="647">
        <f t="shared" si="234"/>
        <v>3651771.444616749</v>
      </c>
      <c r="BO58" s="647"/>
      <c r="BP58" s="647">
        <f t="shared" ref="BP58" si="235">SUM(BP35:BP57)</f>
        <v>1228897.1894672951</v>
      </c>
      <c r="BQ58" s="647">
        <f t="shared" ref="BQ58" si="236">SUM(BQ35:BQ57)</f>
        <v>1262957.7407871268</v>
      </c>
      <c r="BR58" s="647">
        <f t="shared" ref="BR58" si="237">SUM(BR35:BR57)</f>
        <v>1294884.067482119</v>
      </c>
      <c r="BS58" s="647">
        <f t="shared" ref="BS58" si="238">SUM(BS35:BS57)</f>
        <v>1324466.0822699668</v>
      </c>
      <c r="BT58" s="647">
        <f t="shared" ref="BT58" si="239">SUM(BT35:BT57)</f>
        <v>1351507.8961111701</v>
      </c>
      <c r="BU58" s="647">
        <f t="shared" ref="BU58" si="240">SUM(BU35:BU57)</f>
        <v>1375830.2226598337</v>
      </c>
      <c r="BV58" s="647">
        <f t="shared" ref="BV58" si="241">SUM(BV35:BV57)</f>
        <v>1399984.2035956264</v>
      </c>
      <c r="BW58" s="647">
        <f t="shared" ref="BW58" si="242">SUM(BW35:BW57)</f>
        <v>1423945.4048581684</v>
      </c>
      <c r="BX58" s="647">
        <f t="shared" ref="BX58" si="243">SUM(BX35:BX57)</f>
        <v>1447689.2866190237</v>
      </c>
      <c r="BY58" s="647">
        <f t="shared" ref="BY58" si="244">SUM(BY35:BY57)</f>
        <v>1471191.2521774308</v>
      </c>
      <c r="BZ58" s="647">
        <f t="shared" ref="BZ58" si="245">SUM(BZ35:BZ57)</f>
        <v>1494426.6980625778</v>
      </c>
      <c r="CA58" s="647">
        <f t="shared" ref="CA58" si="246">SUM(CA35:CA57)</f>
        <v>1515422.6025144213</v>
      </c>
      <c r="CB58" s="647">
        <f t="shared" ref="CB58" si="247">SUM(CB35:CB57)</f>
        <v>1534075.0521197186</v>
      </c>
      <c r="CC58" s="647">
        <f t="shared" ref="CC58" si="248">SUM(CC35:CC57)</f>
        <v>1550292.5565650025</v>
      </c>
      <c r="CD58" s="647">
        <f t="shared" ref="CD58" si="249">SUM(CD35:CD57)</f>
        <v>1563996.9658166033</v>
      </c>
      <c r="CE58" s="647">
        <f t="shared" ref="CE58" si="250">SUM(CE35:CE57)</f>
        <v>1575124.2723186407</v>
      </c>
      <c r="CF58" s="647">
        <f t="shared" ref="CF58" si="251">SUM(CF35:CF57)</f>
        <v>1586168.0874068087</v>
      </c>
      <c r="CG58" s="647">
        <f t="shared" ref="CG58" si="252">SUM(CG35:CG57)</f>
        <v>1597126.3013301475</v>
      </c>
      <c r="CH58" s="647">
        <f t="shared" ref="CH58" si="253">SUM(CH35:CH57)</f>
        <v>1607996.8599565334</v>
      </c>
      <c r="CI58" s="647">
        <f t="shared" ref="CI58" si="254">SUM(CI35:CI57)</f>
        <v>1618777.7673402377</v>
      </c>
      <c r="CJ58" s="647">
        <f t="shared" ref="CJ58" si="255">SUM(CJ35:CJ57)</f>
        <v>1629467.0882990002</v>
      </c>
      <c r="CK58" s="647">
        <f t="shared" ref="CK58" si="256">SUM(CK35:CK57)</f>
        <v>1640078.914905149</v>
      </c>
      <c r="CL58" s="647">
        <f t="shared" ref="CL58" si="257">SUM(CL35:CL57)</f>
        <v>1650611.6839155001</v>
      </c>
      <c r="CM58" s="647">
        <f t="shared" ref="CM58" si="258">SUM(CM35:CM57)</f>
        <v>1661063.8900640272</v>
      </c>
      <c r="CN58" s="647">
        <f t="shared" ref="CN58" si="259">SUM(CN35:CN57)</f>
        <v>1671434.0882977778</v>
      </c>
      <c r="CO58" s="647">
        <f t="shared" ref="CO58" si="260">SUM(CO35:CO57)</f>
        <v>1681720.8960204856</v>
      </c>
      <c r="CP58" s="647">
        <f t="shared" ref="CP58" si="261">SUM(CP35:CP57)</f>
        <v>1691936.9960948527</v>
      </c>
      <c r="CQ58" s="647">
        <f t="shared" ref="CQ58" si="262">SUM(CQ35:CQ57)</f>
        <v>1702081.3212715909</v>
      </c>
      <c r="CR58" s="647">
        <f t="shared" ref="CR58:CS58" si="263">SUM(CR35:CR57)</f>
        <v>1712152.8644362437</v>
      </c>
      <c r="CS58" s="647">
        <f t="shared" si="263"/>
        <v>1722150.6805994385</v>
      </c>
      <c r="CT58" s="647">
        <f t="shared" ref="CT58" si="264">SUM(CT35:CT57)</f>
        <v>1732073.8888942145</v>
      </c>
      <c r="CU58" s="647"/>
      <c r="CV58" s="647">
        <f t="shared" ref="CV58:DZ58" si="265">SUM(CV35:CV57)</f>
        <v>1228897.775976019</v>
      </c>
      <c r="CW58" s="647">
        <f t="shared" si="265"/>
        <v>1278049.3925138512</v>
      </c>
      <c r="CX58" s="647">
        <f t="shared" si="265"/>
        <v>1327279.0182927216</v>
      </c>
      <c r="CY58" s="647">
        <f t="shared" si="265"/>
        <v>1374671.7002909505</v>
      </c>
      <c r="CZ58" s="647">
        <f t="shared" si="265"/>
        <v>1419853.8819030114</v>
      </c>
      <c r="DA58" s="647">
        <f t="shared" si="265"/>
        <v>1462512.0748678648</v>
      </c>
      <c r="DB58" s="647">
        <f t="shared" si="265"/>
        <v>1505172.3333745596</v>
      </c>
      <c r="DC58" s="647">
        <f t="shared" si="265"/>
        <v>1548159.9822175386</v>
      </c>
      <c r="DD58" s="647">
        <f t="shared" si="265"/>
        <v>1591456.7728468021</v>
      </c>
      <c r="DE58" s="647">
        <f t="shared" si="265"/>
        <v>1635061.5356483355</v>
      </c>
      <c r="DF58" s="647">
        <f t="shared" si="265"/>
        <v>1678978.9521446391</v>
      </c>
      <c r="DG58" s="647">
        <f t="shared" si="265"/>
        <v>1726727.7208421375</v>
      </c>
      <c r="DH58" s="647">
        <f t="shared" si="265"/>
        <v>1772502.4292133462</v>
      </c>
      <c r="DI58" s="647">
        <f t="shared" si="265"/>
        <v>1815150.8090250914</v>
      </c>
      <c r="DJ58" s="647">
        <f t="shared" si="265"/>
        <v>1855072.1255643149</v>
      </c>
      <c r="DK58" s="647">
        <f t="shared" si="265"/>
        <v>1892061.2301770065</v>
      </c>
      <c r="DL58" s="647">
        <f t="shared" si="265"/>
        <v>1929467.1775370918</v>
      </c>
      <c r="DM58" s="647">
        <f t="shared" si="265"/>
        <v>1966929.0615785641</v>
      </c>
      <c r="DN58" s="647">
        <f t="shared" si="265"/>
        <v>2004188.4661158817</v>
      </c>
      <c r="DO58" s="647">
        <f t="shared" si="265"/>
        <v>2041004.00048405</v>
      </c>
      <c r="DP58" s="647">
        <f t="shared" si="265"/>
        <v>2076076.9689765105</v>
      </c>
      <c r="DQ58" s="647">
        <f t="shared" si="265"/>
        <v>2117644.7391258064</v>
      </c>
      <c r="DR58" s="647">
        <f t="shared" si="265"/>
        <v>2159450.9630748346</v>
      </c>
      <c r="DS58" s="647">
        <f t="shared" si="265"/>
        <v>2200245.4202942112</v>
      </c>
      <c r="DT58" s="647">
        <f t="shared" si="265"/>
        <v>2240377.8389343601</v>
      </c>
      <c r="DU58" s="647">
        <f t="shared" si="265"/>
        <v>2279641.6168699535</v>
      </c>
      <c r="DV58" s="647">
        <f t="shared" si="265"/>
        <v>2317985.8702316605</v>
      </c>
      <c r="DW58" s="647">
        <f t="shared" si="265"/>
        <v>2355786.8614689787</v>
      </c>
      <c r="DX58" s="647">
        <f t="shared" si="265"/>
        <v>2393196.7808459848</v>
      </c>
      <c r="DY58" s="647">
        <f t="shared" si="265"/>
        <v>2430365.4915946145</v>
      </c>
      <c r="DZ58" s="647">
        <f t="shared" si="265"/>
        <v>2464131.781342282</v>
      </c>
      <c r="EI58" s="26"/>
    </row>
    <row r="59" spans="1:146" x14ac:dyDescent="0.2">
      <c r="D59" s="44"/>
      <c r="E59" s="44"/>
      <c r="F59" s="44"/>
      <c r="G59" s="44"/>
      <c r="H59" s="44"/>
      <c r="I59" s="44"/>
      <c r="J59" s="44"/>
      <c r="K59" s="44"/>
      <c r="L59" s="44"/>
      <c r="M59" s="44"/>
      <c r="N59" s="44"/>
      <c r="O59" s="44"/>
      <c r="P59" s="44"/>
      <c r="Q59" s="44"/>
      <c r="R59" s="44"/>
      <c r="S59" s="44"/>
      <c r="T59" s="44"/>
      <c r="U59" s="44"/>
      <c r="V59" s="44"/>
      <c r="W59" s="44"/>
      <c r="X59" s="44"/>
      <c r="Y59" s="44"/>
      <c r="Z59" s="44"/>
      <c r="AA59" s="44"/>
      <c r="AB59" s="44"/>
      <c r="AC59" s="44"/>
      <c r="AD59" s="44"/>
      <c r="AE59" s="44"/>
      <c r="AF59" s="44"/>
      <c r="AG59" s="44"/>
      <c r="AH59" s="44"/>
      <c r="AJ59" s="44"/>
      <c r="AK59" s="44"/>
      <c r="AL59" s="44"/>
      <c r="AM59" s="44"/>
      <c r="AN59" s="44"/>
      <c r="AO59" s="44"/>
      <c r="AP59" s="44"/>
      <c r="AQ59" s="44"/>
      <c r="AR59" s="44"/>
      <c r="AS59" s="44"/>
      <c r="AT59" s="44"/>
      <c r="AU59" s="44"/>
      <c r="AV59" s="44"/>
      <c r="AW59" s="44"/>
      <c r="AX59" s="44"/>
      <c r="AY59" s="44"/>
      <c r="AZ59" s="44"/>
      <c r="BA59" s="44"/>
      <c r="BB59" s="44"/>
      <c r="BC59" s="44"/>
      <c r="BD59" s="44"/>
      <c r="BE59" s="44"/>
      <c r="BF59" s="44"/>
      <c r="BG59" s="44"/>
      <c r="BH59" s="44"/>
      <c r="BI59" s="44"/>
      <c r="BJ59" s="44"/>
      <c r="BK59" s="44"/>
      <c r="BL59" s="44"/>
      <c r="BM59" s="44"/>
      <c r="BN59" s="44"/>
      <c r="BP59" s="44"/>
      <c r="BQ59" s="44"/>
      <c r="BR59" s="44"/>
      <c r="BS59" s="44"/>
      <c r="BT59" s="44"/>
      <c r="BU59" s="44"/>
      <c r="BV59" s="44"/>
      <c r="BW59" s="44"/>
      <c r="BX59" s="44"/>
      <c r="BY59" s="44"/>
      <c r="BZ59" s="44"/>
      <c r="CA59" s="44"/>
      <c r="CB59" s="44"/>
      <c r="CC59" s="44"/>
      <c r="CD59" s="44"/>
      <c r="CE59" s="44"/>
      <c r="CF59" s="44"/>
      <c r="CG59" s="44"/>
      <c r="CH59" s="44"/>
      <c r="CI59" s="44"/>
      <c r="CJ59" s="44"/>
      <c r="CK59" s="44"/>
      <c r="CL59" s="44"/>
      <c r="CM59" s="44"/>
      <c r="CN59" s="44"/>
      <c r="CO59" s="44"/>
      <c r="CP59" s="44"/>
      <c r="CQ59" s="44"/>
      <c r="CR59" s="44"/>
      <c r="CS59" s="44"/>
      <c r="CT59" s="44"/>
      <c r="CV59" s="44"/>
      <c r="CW59" s="44"/>
      <c r="CX59" s="44"/>
      <c r="CY59" s="44"/>
      <c r="CZ59" s="44"/>
      <c r="DA59" s="44"/>
      <c r="DB59" s="44"/>
      <c r="DC59" s="44"/>
      <c r="DD59" s="44"/>
      <c r="DE59" s="44"/>
      <c r="DF59" s="44"/>
      <c r="DG59" s="44"/>
      <c r="DH59" s="44"/>
      <c r="DI59" s="44"/>
      <c r="DJ59" s="44"/>
      <c r="DK59" s="44"/>
      <c r="DL59" s="44"/>
      <c r="DM59" s="44"/>
      <c r="DN59" s="44"/>
      <c r="DO59" s="44"/>
      <c r="DP59" s="44"/>
      <c r="DQ59" s="44"/>
      <c r="DR59" s="44"/>
      <c r="DS59" s="44"/>
      <c r="DT59" s="44"/>
      <c r="DU59" s="44"/>
      <c r="DV59" s="44"/>
      <c r="DW59" s="44"/>
      <c r="DX59" s="44"/>
      <c r="DY59" s="44"/>
      <c r="DZ59" s="44"/>
      <c r="EF59" s="1" t="s">
        <v>108</v>
      </c>
      <c r="EG59" s="54" t="s">
        <v>109</v>
      </c>
      <c r="EH59" s="54"/>
      <c r="EI59" s="491"/>
      <c r="EJ59" s="54"/>
    </row>
    <row r="60" spans="1:146" ht="16" thickBot="1" x14ac:dyDescent="0.25">
      <c r="A60" s="637" t="s">
        <v>106</v>
      </c>
      <c r="B60" s="637"/>
      <c r="C60" s="638"/>
      <c r="D60" s="637"/>
      <c r="E60" s="637"/>
      <c r="F60" s="637"/>
      <c r="G60" s="637"/>
      <c r="H60" s="637"/>
      <c r="I60" s="637"/>
      <c r="J60" s="637"/>
      <c r="K60" s="637"/>
      <c r="L60" s="637"/>
      <c r="M60" s="637"/>
      <c r="N60" s="637"/>
      <c r="O60" s="637"/>
      <c r="P60" s="637"/>
      <c r="Q60" s="637"/>
      <c r="R60" s="637"/>
      <c r="S60" s="637"/>
      <c r="T60" s="637"/>
      <c r="U60" s="637"/>
      <c r="V60" s="637"/>
      <c r="W60" s="637"/>
      <c r="X60" s="637"/>
      <c r="Y60" s="637"/>
      <c r="Z60" s="637"/>
      <c r="AA60" s="637"/>
      <c r="AB60" s="637"/>
      <c r="AC60" s="637"/>
      <c r="AD60" s="637"/>
      <c r="AE60" s="637"/>
      <c r="AF60" s="637"/>
      <c r="AG60" s="637"/>
      <c r="AH60" s="637"/>
      <c r="AI60" s="637"/>
      <c r="AJ60" s="637"/>
      <c r="AK60" s="637"/>
      <c r="AL60" s="637"/>
      <c r="AM60" s="637"/>
      <c r="AN60" s="637"/>
      <c r="AO60" s="637"/>
      <c r="AP60" s="637"/>
      <c r="AQ60" s="637"/>
      <c r="AR60" s="637"/>
      <c r="AS60" s="637"/>
      <c r="AT60" s="637"/>
      <c r="AU60" s="637"/>
      <c r="AV60" s="637"/>
      <c r="AW60" s="637"/>
      <c r="AX60" s="637"/>
      <c r="AY60" s="637"/>
      <c r="AZ60" s="637"/>
      <c r="BA60" s="637"/>
      <c r="BB60" s="637"/>
      <c r="BC60" s="637"/>
      <c r="BD60" s="637"/>
      <c r="BE60" s="637"/>
      <c r="BF60" s="637"/>
      <c r="BG60" s="637"/>
      <c r="BH60" s="637"/>
      <c r="BI60" s="637"/>
      <c r="BJ60" s="637"/>
      <c r="BK60" s="637"/>
      <c r="BL60" s="637"/>
      <c r="BM60" s="637"/>
      <c r="BN60" s="637"/>
      <c r="BO60" s="637"/>
      <c r="BP60" s="637"/>
      <c r="BQ60" s="637"/>
      <c r="BR60" s="637"/>
      <c r="BS60" s="637"/>
      <c r="BT60" s="637"/>
      <c r="BU60" s="637"/>
      <c r="BV60" s="637"/>
      <c r="BW60" s="637"/>
      <c r="BX60" s="637"/>
      <c r="BY60" s="637"/>
      <c r="BZ60" s="637"/>
      <c r="CA60" s="637"/>
      <c r="CB60" s="637"/>
      <c r="CC60" s="637"/>
      <c r="CD60" s="637"/>
      <c r="CE60" s="637"/>
      <c r="CF60" s="637"/>
      <c r="CG60" s="637"/>
      <c r="CH60" s="637"/>
      <c r="CI60" s="637"/>
      <c r="CJ60" s="637"/>
      <c r="CK60" s="637"/>
      <c r="CL60" s="637"/>
      <c r="CM60" s="637"/>
      <c r="CN60" s="637"/>
      <c r="CO60" s="637"/>
      <c r="CP60" s="637"/>
      <c r="CQ60" s="637"/>
      <c r="CR60" s="637"/>
      <c r="CS60" s="637"/>
      <c r="CT60" s="637"/>
      <c r="CU60" s="637"/>
      <c r="CV60" s="637"/>
      <c r="CW60" s="637"/>
      <c r="CX60" s="637"/>
      <c r="CY60" s="637"/>
      <c r="CZ60" s="637"/>
      <c r="DA60" s="637"/>
      <c r="DB60" s="637"/>
      <c r="DC60" s="637"/>
      <c r="DD60" s="637"/>
      <c r="DE60" s="637"/>
      <c r="DF60" s="637"/>
      <c r="DG60" s="637"/>
      <c r="DH60" s="637"/>
      <c r="DI60" s="637"/>
      <c r="DJ60" s="637"/>
      <c r="DK60" s="637"/>
      <c r="DL60" s="637"/>
      <c r="DM60" s="637"/>
      <c r="DN60" s="637"/>
      <c r="DO60" s="637"/>
      <c r="DP60" s="637"/>
      <c r="DQ60" s="637"/>
      <c r="DR60" s="637"/>
      <c r="DS60" s="637"/>
      <c r="DT60" s="637"/>
      <c r="DU60" s="637"/>
      <c r="DV60" s="637"/>
      <c r="DW60" s="637"/>
      <c r="DX60" s="637"/>
      <c r="DY60" s="637"/>
      <c r="DZ60" s="637"/>
      <c r="EF60" s="181">
        <v>2020</v>
      </c>
      <c r="EG60">
        <v>2050</v>
      </c>
      <c r="EI60" s="26"/>
      <c r="EM60" t="s">
        <v>96</v>
      </c>
    </row>
    <row r="61" spans="1:146" x14ac:dyDescent="0.2">
      <c r="B61" t="str">
        <f>B35</f>
        <v>Fuel additive elimination</v>
      </c>
      <c r="C61" s="54" t="s">
        <v>110</v>
      </c>
      <c r="D61" s="44">
        <f t="shared" ref="D61:AH61" si="266">D7*($EF61-$EG61)/30*(D$2-$D$2)</f>
        <v>0</v>
      </c>
      <c r="E61" s="44">
        <f t="shared" si="266"/>
        <v>0</v>
      </c>
      <c r="F61" s="44">
        <f t="shared" si="266"/>
        <v>0</v>
      </c>
      <c r="G61" s="44">
        <f t="shared" si="266"/>
        <v>0</v>
      </c>
      <c r="H61" s="44">
        <f t="shared" si="266"/>
        <v>0</v>
      </c>
      <c r="I61" s="44">
        <f t="shared" si="266"/>
        <v>0</v>
      </c>
      <c r="J61" s="44">
        <f t="shared" si="266"/>
        <v>0</v>
      </c>
      <c r="K61" s="44">
        <f t="shared" si="266"/>
        <v>0</v>
      </c>
      <c r="L61" s="44">
        <f t="shared" si="266"/>
        <v>0</v>
      </c>
      <c r="M61" s="44">
        <f t="shared" si="266"/>
        <v>0</v>
      </c>
      <c r="N61" s="44">
        <f t="shared" si="266"/>
        <v>0</v>
      </c>
      <c r="O61" s="44">
        <f t="shared" si="266"/>
        <v>0</v>
      </c>
      <c r="P61" s="44">
        <f t="shared" si="266"/>
        <v>0</v>
      </c>
      <c r="Q61" s="44">
        <f t="shared" si="266"/>
        <v>0</v>
      </c>
      <c r="R61" s="44">
        <f t="shared" si="266"/>
        <v>0</v>
      </c>
      <c r="S61" s="44">
        <f t="shared" si="266"/>
        <v>0</v>
      </c>
      <c r="T61" s="44">
        <f t="shared" si="266"/>
        <v>0</v>
      </c>
      <c r="U61" s="44">
        <f t="shared" si="266"/>
        <v>0</v>
      </c>
      <c r="V61" s="44">
        <f t="shared" si="266"/>
        <v>0</v>
      </c>
      <c r="W61" s="44">
        <f t="shared" si="266"/>
        <v>0</v>
      </c>
      <c r="X61" s="44">
        <f t="shared" si="266"/>
        <v>0</v>
      </c>
      <c r="Y61" s="44">
        <f t="shared" si="266"/>
        <v>0</v>
      </c>
      <c r="Z61" s="44">
        <f t="shared" si="266"/>
        <v>0</v>
      </c>
      <c r="AA61" s="44">
        <f t="shared" si="266"/>
        <v>0</v>
      </c>
      <c r="AB61" s="44">
        <f t="shared" si="266"/>
        <v>0</v>
      </c>
      <c r="AC61" s="44">
        <f t="shared" si="266"/>
        <v>0</v>
      </c>
      <c r="AD61" s="44">
        <f t="shared" si="266"/>
        <v>0</v>
      </c>
      <c r="AE61" s="44">
        <f t="shared" si="266"/>
        <v>0</v>
      </c>
      <c r="AF61" s="44">
        <f t="shared" si="266"/>
        <v>0</v>
      </c>
      <c r="AG61" s="44">
        <f t="shared" si="266"/>
        <v>0</v>
      </c>
      <c r="AH61" s="44">
        <f t="shared" si="266"/>
        <v>0</v>
      </c>
      <c r="AI61" s="44"/>
      <c r="AJ61" s="44">
        <f t="shared" ref="AJ61:BN61" si="267">AJ7*($EF61-$EG61)/30*(AJ$2-$D$2)</f>
        <v>0</v>
      </c>
      <c r="AK61" s="44">
        <f t="shared" si="267"/>
        <v>0</v>
      </c>
      <c r="AL61" s="44">
        <f t="shared" si="267"/>
        <v>0</v>
      </c>
      <c r="AM61" s="44">
        <f t="shared" si="267"/>
        <v>0</v>
      </c>
      <c r="AN61" s="44">
        <f t="shared" si="267"/>
        <v>0</v>
      </c>
      <c r="AO61" s="44">
        <f t="shared" si="267"/>
        <v>0</v>
      </c>
      <c r="AP61" s="44">
        <f t="shared" si="267"/>
        <v>0</v>
      </c>
      <c r="AQ61" s="44">
        <f t="shared" si="267"/>
        <v>0</v>
      </c>
      <c r="AR61" s="44">
        <f t="shared" si="267"/>
        <v>0</v>
      </c>
      <c r="AS61" s="44">
        <f t="shared" si="267"/>
        <v>0</v>
      </c>
      <c r="AT61" s="44">
        <f t="shared" si="267"/>
        <v>0</v>
      </c>
      <c r="AU61" s="44">
        <f t="shared" si="267"/>
        <v>0</v>
      </c>
      <c r="AV61" s="44">
        <f t="shared" si="267"/>
        <v>0</v>
      </c>
      <c r="AW61" s="44">
        <f t="shared" si="267"/>
        <v>0</v>
      </c>
      <c r="AX61" s="44">
        <f t="shared" si="267"/>
        <v>0</v>
      </c>
      <c r="AY61" s="44">
        <f t="shared" si="267"/>
        <v>0</v>
      </c>
      <c r="AZ61" s="44">
        <f t="shared" si="267"/>
        <v>0</v>
      </c>
      <c r="BA61" s="44">
        <f t="shared" si="267"/>
        <v>0</v>
      </c>
      <c r="BB61" s="44">
        <f t="shared" si="267"/>
        <v>0</v>
      </c>
      <c r="BC61" s="44">
        <f t="shared" si="267"/>
        <v>0</v>
      </c>
      <c r="BD61" s="44">
        <f t="shared" si="267"/>
        <v>0</v>
      </c>
      <c r="BE61" s="44">
        <f t="shared" si="267"/>
        <v>0</v>
      </c>
      <c r="BF61" s="44">
        <f t="shared" si="267"/>
        <v>0</v>
      </c>
      <c r="BG61" s="44">
        <f t="shared" si="267"/>
        <v>0</v>
      </c>
      <c r="BH61" s="44">
        <f t="shared" si="267"/>
        <v>0</v>
      </c>
      <c r="BI61" s="44">
        <f t="shared" si="267"/>
        <v>0</v>
      </c>
      <c r="BJ61" s="44">
        <f t="shared" si="267"/>
        <v>0</v>
      </c>
      <c r="BK61" s="44">
        <f t="shared" si="267"/>
        <v>0</v>
      </c>
      <c r="BL61" s="44">
        <f t="shared" si="267"/>
        <v>0</v>
      </c>
      <c r="BM61" s="44">
        <f t="shared" si="267"/>
        <v>0</v>
      </c>
      <c r="BN61" s="44">
        <f t="shared" si="267"/>
        <v>0</v>
      </c>
      <c r="BO61" s="44"/>
      <c r="BP61" s="44">
        <f t="shared" ref="BP61:CT61" si="268">BP7*($EF61-$EG61)/30*(BP$2-$D$2)</f>
        <v>0</v>
      </c>
      <c r="BQ61" s="44">
        <f t="shared" si="268"/>
        <v>0</v>
      </c>
      <c r="BR61" s="44">
        <f t="shared" si="268"/>
        <v>0</v>
      </c>
      <c r="BS61" s="44">
        <f t="shared" si="268"/>
        <v>0</v>
      </c>
      <c r="BT61" s="44">
        <f t="shared" si="268"/>
        <v>0</v>
      </c>
      <c r="BU61" s="44">
        <f t="shared" si="268"/>
        <v>0</v>
      </c>
      <c r="BV61" s="44">
        <f t="shared" si="268"/>
        <v>0</v>
      </c>
      <c r="BW61" s="44">
        <f t="shared" si="268"/>
        <v>0</v>
      </c>
      <c r="BX61" s="44">
        <f t="shared" si="268"/>
        <v>0</v>
      </c>
      <c r="BY61" s="44">
        <f t="shared" si="268"/>
        <v>0</v>
      </c>
      <c r="BZ61" s="44">
        <f t="shared" si="268"/>
        <v>0</v>
      </c>
      <c r="CA61" s="44">
        <f t="shared" si="268"/>
        <v>0</v>
      </c>
      <c r="CB61" s="44">
        <f t="shared" si="268"/>
        <v>0</v>
      </c>
      <c r="CC61" s="44">
        <f t="shared" si="268"/>
        <v>0</v>
      </c>
      <c r="CD61" s="44">
        <f t="shared" si="268"/>
        <v>0</v>
      </c>
      <c r="CE61" s="44">
        <f t="shared" si="268"/>
        <v>0</v>
      </c>
      <c r="CF61" s="44">
        <f t="shared" si="268"/>
        <v>0</v>
      </c>
      <c r="CG61" s="44">
        <f t="shared" si="268"/>
        <v>0</v>
      </c>
      <c r="CH61" s="44">
        <f t="shared" si="268"/>
        <v>0</v>
      </c>
      <c r="CI61" s="44">
        <f t="shared" si="268"/>
        <v>0</v>
      </c>
      <c r="CJ61" s="44">
        <f t="shared" si="268"/>
        <v>0</v>
      </c>
      <c r="CK61" s="44">
        <f t="shared" si="268"/>
        <v>0</v>
      </c>
      <c r="CL61" s="44">
        <f t="shared" si="268"/>
        <v>0</v>
      </c>
      <c r="CM61" s="44">
        <f t="shared" si="268"/>
        <v>0</v>
      </c>
      <c r="CN61" s="44">
        <f t="shared" si="268"/>
        <v>0</v>
      </c>
      <c r="CO61" s="44">
        <f t="shared" si="268"/>
        <v>0</v>
      </c>
      <c r="CP61" s="44">
        <f t="shared" si="268"/>
        <v>0</v>
      </c>
      <c r="CQ61" s="44">
        <f t="shared" si="268"/>
        <v>0</v>
      </c>
      <c r="CR61" s="44">
        <f t="shared" si="268"/>
        <v>0</v>
      </c>
      <c r="CS61" s="44">
        <f t="shared" si="268"/>
        <v>0</v>
      </c>
      <c r="CT61" s="44">
        <f t="shared" si="268"/>
        <v>0</v>
      </c>
      <c r="CU61" s="44"/>
      <c r="CV61" s="44">
        <f t="shared" ref="CV61:DZ61" si="269">CV7*($EF61-$EG61)/30*(CV$2-$D$2)</f>
        <v>0</v>
      </c>
      <c r="CW61" s="44">
        <f t="shared" si="269"/>
        <v>0</v>
      </c>
      <c r="CX61" s="44">
        <f t="shared" si="269"/>
        <v>0</v>
      </c>
      <c r="CY61" s="44">
        <f t="shared" si="269"/>
        <v>0</v>
      </c>
      <c r="CZ61" s="44">
        <f t="shared" si="269"/>
        <v>0</v>
      </c>
      <c r="DA61" s="44">
        <f t="shared" si="269"/>
        <v>0</v>
      </c>
      <c r="DB61" s="44">
        <f t="shared" si="269"/>
        <v>0</v>
      </c>
      <c r="DC61" s="44">
        <f t="shared" si="269"/>
        <v>0</v>
      </c>
      <c r="DD61" s="44">
        <f t="shared" si="269"/>
        <v>0</v>
      </c>
      <c r="DE61" s="44">
        <f t="shared" si="269"/>
        <v>0</v>
      </c>
      <c r="DF61" s="44">
        <f t="shared" si="269"/>
        <v>0</v>
      </c>
      <c r="DG61" s="44">
        <f t="shared" si="269"/>
        <v>0</v>
      </c>
      <c r="DH61" s="44">
        <f t="shared" si="269"/>
        <v>0</v>
      </c>
      <c r="DI61" s="44">
        <f t="shared" si="269"/>
        <v>0</v>
      </c>
      <c r="DJ61" s="44">
        <f t="shared" si="269"/>
        <v>0</v>
      </c>
      <c r="DK61" s="44">
        <f t="shared" si="269"/>
        <v>0</v>
      </c>
      <c r="DL61" s="44">
        <f t="shared" si="269"/>
        <v>0</v>
      </c>
      <c r="DM61" s="44">
        <f t="shared" si="269"/>
        <v>0</v>
      </c>
      <c r="DN61" s="44">
        <f t="shared" si="269"/>
        <v>0</v>
      </c>
      <c r="DO61" s="44">
        <f t="shared" si="269"/>
        <v>0</v>
      </c>
      <c r="DP61" s="44">
        <f t="shared" si="269"/>
        <v>0</v>
      </c>
      <c r="DQ61" s="44">
        <f t="shared" si="269"/>
        <v>0</v>
      </c>
      <c r="DR61" s="44">
        <f t="shared" si="269"/>
        <v>0</v>
      </c>
      <c r="DS61" s="44">
        <f t="shared" si="269"/>
        <v>0</v>
      </c>
      <c r="DT61" s="44">
        <f t="shared" si="269"/>
        <v>0</v>
      </c>
      <c r="DU61" s="44">
        <f t="shared" si="269"/>
        <v>0</v>
      </c>
      <c r="DV61" s="44">
        <f t="shared" si="269"/>
        <v>0</v>
      </c>
      <c r="DW61" s="44">
        <f t="shared" si="269"/>
        <v>0</v>
      </c>
      <c r="DX61" s="44">
        <f t="shared" si="269"/>
        <v>0</v>
      </c>
      <c r="DY61" s="44">
        <f t="shared" si="269"/>
        <v>0</v>
      </c>
      <c r="DZ61" s="44">
        <f t="shared" si="269"/>
        <v>0</v>
      </c>
      <c r="EF61" s="51">
        <v>0</v>
      </c>
      <c r="EG61" s="51">
        <v>0</v>
      </c>
      <c r="EH61" s="51"/>
      <c r="EI61" s="157"/>
      <c r="EJ61" s="51"/>
      <c r="EM61" t="s">
        <v>98</v>
      </c>
    </row>
    <row r="62" spans="1:146" x14ac:dyDescent="0.2">
      <c r="A62" s="1"/>
      <c r="B62" t="str">
        <f t="shared" ref="B62:B74" si="270">B36</f>
        <v>Packaging reduction</v>
      </c>
      <c r="C62" s="54" t="s">
        <v>110</v>
      </c>
      <c r="D62" s="44">
        <f t="shared" ref="D62:AH62" si="271">D8*($EF62-$EG62)/30*(D$2-$D$2)</f>
        <v>0</v>
      </c>
      <c r="E62" s="44">
        <f t="shared" si="271"/>
        <v>0</v>
      </c>
      <c r="F62" s="44">
        <f t="shared" si="271"/>
        <v>0</v>
      </c>
      <c r="G62" s="44">
        <f t="shared" si="271"/>
        <v>0</v>
      </c>
      <c r="H62" s="44">
        <f t="shared" si="271"/>
        <v>0</v>
      </c>
      <c r="I62" s="44">
        <f t="shared" si="271"/>
        <v>0</v>
      </c>
      <c r="J62" s="44">
        <f t="shared" si="271"/>
        <v>0</v>
      </c>
      <c r="K62" s="44">
        <f t="shared" si="271"/>
        <v>0</v>
      </c>
      <c r="L62" s="44">
        <f t="shared" si="271"/>
        <v>0</v>
      </c>
      <c r="M62" s="44">
        <f t="shared" si="271"/>
        <v>0</v>
      </c>
      <c r="N62" s="44">
        <f t="shared" si="271"/>
        <v>0</v>
      </c>
      <c r="O62" s="44">
        <f t="shared" si="271"/>
        <v>0</v>
      </c>
      <c r="P62" s="44">
        <f t="shared" si="271"/>
        <v>0</v>
      </c>
      <c r="Q62" s="44">
        <f t="shared" si="271"/>
        <v>0</v>
      </c>
      <c r="R62" s="44">
        <f t="shared" si="271"/>
        <v>0</v>
      </c>
      <c r="S62" s="44">
        <f t="shared" si="271"/>
        <v>0</v>
      </c>
      <c r="T62" s="44">
        <f t="shared" si="271"/>
        <v>0</v>
      </c>
      <c r="U62" s="44">
        <f t="shared" si="271"/>
        <v>0</v>
      </c>
      <c r="V62" s="44">
        <f t="shared" si="271"/>
        <v>0</v>
      </c>
      <c r="W62" s="44">
        <f t="shared" si="271"/>
        <v>0</v>
      </c>
      <c r="X62" s="44">
        <f t="shared" si="271"/>
        <v>0</v>
      </c>
      <c r="Y62" s="44">
        <f t="shared" si="271"/>
        <v>0</v>
      </c>
      <c r="Z62" s="44">
        <f t="shared" si="271"/>
        <v>0</v>
      </c>
      <c r="AA62" s="44">
        <f t="shared" si="271"/>
        <v>0</v>
      </c>
      <c r="AB62" s="44">
        <f t="shared" si="271"/>
        <v>0</v>
      </c>
      <c r="AC62" s="44">
        <f t="shared" si="271"/>
        <v>0</v>
      </c>
      <c r="AD62" s="44">
        <f t="shared" si="271"/>
        <v>0</v>
      </c>
      <c r="AE62" s="44">
        <f t="shared" si="271"/>
        <v>0</v>
      </c>
      <c r="AF62" s="44">
        <f t="shared" si="271"/>
        <v>0</v>
      </c>
      <c r="AG62" s="44">
        <f t="shared" si="271"/>
        <v>0</v>
      </c>
      <c r="AH62" s="44">
        <f t="shared" si="271"/>
        <v>0</v>
      </c>
      <c r="AI62" s="44"/>
      <c r="AJ62" s="44">
        <f t="shared" ref="AJ62:BN62" si="272">AJ8*($EF62-$EG62)/30*(AJ$2-$D$2)</f>
        <v>0</v>
      </c>
      <c r="AK62" s="44">
        <f t="shared" si="272"/>
        <v>0</v>
      </c>
      <c r="AL62" s="44">
        <f t="shared" si="272"/>
        <v>0</v>
      </c>
      <c r="AM62" s="44">
        <f t="shared" si="272"/>
        <v>0</v>
      </c>
      <c r="AN62" s="44">
        <f t="shared" si="272"/>
        <v>0</v>
      </c>
      <c r="AO62" s="44">
        <f t="shared" si="272"/>
        <v>0</v>
      </c>
      <c r="AP62" s="44">
        <f t="shared" si="272"/>
        <v>0</v>
      </c>
      <c r="AQ62" s="44">
        <f t="shared" si="272"/>
        <v>0</v>
      </c>
      <c r="AR62" s="44">
        <f t="shared" si="272"/>
        <v>0</v>
      </c>
      <c r="AS62" s="44">
        <f t="shared" si="272"/>
        <v>0</v>
      </c>
      <c r="AT62" s="44">
        <f t="shared" si="272"/>
        <v>0</v>
      </c>
      <c r="AU62" s="44">
        <f t="shared" si="272"/>
        <v>0</v>
      </c>
      <c r="AV62" s="44">
        <f t="shared" si="272"/>
        <v>0</v>
      </c>
      <c r="AW62" s="44">
        <f t="shared" si="272"/>
        <v>0</v>
      </c>
      <c r="AX62" s="44">
        <f t="shared" si="272"/>
        <v>0</v>
      </c>
      <c r="AY62" s="44">
        <f t="shared" si="272"/>
        <v>0</v>
      </c>
      <c r="AZ62" s="44">
        <f t="shared" si="272"/>
        <v>0</v>
      </c>
      <c r="BA62" s="44">
        <f t="shared" si="272"/>
        <v>0</v>
      </c>
      <c r="BB62" s="44">
        <f t="shared" si="272"/>
        <v>0</v>
      </c>
      <c r="BC62" s="44">
        <f t="shared" si="272"/>
        <v>0</v>
      </c>
      <c r="BD62" s="44">
        <f t="shared" si="272"/>
        <v>0</v>
      </c>
      <c r="BE62" s="44">
        <f t="shared" si="272"/>
        <v>0</v>
      </c>
      <c r="BF62" s="44">
        <f t="shared" si="272"/>
        <v>0</v>
      </c>
      <c r="BG62" s="44">
        <f t="shared" si="272"/>
        <v>0</v>
      </c>
      <c r="BH62" s="44">
        <f t="shared" si="272"/>
        <v>0</v>
      </c>
      <c r="BI62" s="44">
        <f t="shared" si="272"/>
        <v>0</v>
      </c>
      <c r="BJ62" s="44">
        <f t="shared" si="272"/>
        <v>0</v>
      </c>
      <c r="BK62" s="44">
        <f t="shared" si="272"/>
        <v>0</v>
      </c>
      <c r="BL62" s="44">
        <f t="shared" si="272"/>
        <v>0</v>
      </c>
      <c r="BM62" s="44">
        <f t="shared" si="272"/>
        <v>0</v>
      </c>
      <c r="BN62" s="44">
        <f t="shared" si="272"/>
        <v>0</v>
      </c>
      <c r="BO62" s="44"/>
      <c r="BP62" s="44">
        <f t="shared" ref="BP62:CT62" si="273">BP8*($EF62-$EG62)/30*(BP$2-$D$2)</f>
        <v>0</v>
      </c>
      <c r="BQ62" s="44">
        <f t="shared" si="273"/>
        <v>0</v>
      </c>
      <c r="BR62" s="44">
        <f t="shared" si="273"/>
        <v>0</v>
      </c>
      <c r="BS62" s="44">
        <f t="shared" si="273"/>
        <v>0</v>
      </c>
      <c r="BT62" s="44">
        <f t="shared" si="273"/>
        <v>0</v>
      </c>
      <c r="BU62" s="44">
        <f t="shared" si="273"/>
        <v>0</v>
      </c>
      <c r="BV62" s="44">
        <f t="shared" si="273"/>
        <v>0</v>
      </c>
      <c r="BW62" s="44">
        <f t="shared" si="273"/>
        <v>0</v>
      </c>
      <c r="BX62" s="44">
        <f t="shared" si="273"/>
        <v>0</v>
      </c>
      <c r="BY62" s="44">
        <f t="shared" si="273"/>
        <v>0</v>
      </c>
      <c r="BZ62" s="44">
        <f t="shared" si="273"/>
        <v>0</v>
      </c>
      <c r="CA62" s="44">
        <f t="shared" si="273"/>
        <v>0</v>
      </c>
      <c r="CB62" s="44">
        <f t="shared" si="273"/>
        <v>0</v>
      </c>
      <c r="CC62" s="44">
        <f t="shared" si="273"/>
        <v>0</v>
      </c>
      <c r="CD62" s="44">
        <f t="shared" si="273"/>
        <v>0</v>
      </c>
      <c r="CE62" s="44">
        <f t="shared" si="273"/>
        <v>0</v>
      </c>
      <c r="CF62" s="44">
        <f t="shared" si="273"/>
        <v>0</v>
      </c>
      <c r="CG62" s="44">
        <f t="shared" si="273"/>
        <v>0</v>
      </c>
      <c r="CH62" s="44">
        <f t="shared" si="273"/>
        <v>0</v>
      </c>
      <c r="CI62" s="44">
        <f t="shared" si="273"/>
        <v>0</v>
      </c>
      <c r="CJ62" s="44">
        <f t="shared" si="273"/>
        <v>0</v>
      </c>
      <c r="CK62" s="44">
        <f t="shared" si="273"/>
        <v>0</v>
      </c>
      <c r="CL62" s="44">
        <f t="shared" si="273"/>
        <v>0</v>
      </c>
      <c r="CM62" s="44">
        <f t="shared" si="273"/>
        <v>0</v>
      </c>
      <c r="CN62" s="44">
        <f t="shared" si="273"/>
        <v>0</v>
      </c>
      <c r="CO62" s="44">
        <f t="shared" si="273"/>
        <v>0</v>
      </c>
      <c r="CP62" s="44">
        <f t="shared" si="273"/>
        <v>0</v>
      </c>
      <c r="CQ62" s="44">
        <f t="shared" si="273"/>
        <v>0</v>
      </c>
      <c r="CR62" s="44">
        <f t="shared" si="273"/>
        <v>0</v>
      </c>
      <c r="CS62" s="44">
        <f t="shared" si="273"/>
        <v>0</v>
      </c>
      <c r="CT62" s="44">
        <f t="shared" si="273"/>
        <v>0</v>
      </c>
      <c r="CU62" s="44"/>
      <c r="CV62" s="44">
        <f t="shared" ref="CV62:DZ62" si="274">CV8*($EF62-$EG62)/30*(CV$2-$D$2)</f>
        <v>0</v>
      </c>
      <c r="CW62" s="44">
        <f t="shared" si="274"/>
        <v>0</v>
      </c>
      <c r="CX62" s="44">
        <f t="shared" si="274"/>
        <v>0</v>
      </c>
      <c r="CY62" s="44">
        <f t="shared" si="274"/>
        <v>0</v>
      </c>
      <c r="CZ62" s="44">
        <f t="shared" si="274"/>
        <v>0</v>
      </c>
      <c r="DA62" s="44">
        <f t="shared" si="274"/>
        <v>0</v>
      </c>
      <c r="DB62" s="44">
        <f t="shared" si="274"/>
        <v>0</v>
      </c>
      <c r="DC62" s="44">
        <f t="shared" si="274"/>
        <v>0</v>
      </c>
      <c r="DD62" s="44">
        <f t="shared" si="274"/>
        <v>0</v>
      </c>
      <c r="DE62" s="44">
        <f t="shared" si="274"/>
        <v>0</v>
      </c>
      <c r="DF62" s="44">
        <f t="shared" si="274"/>
        <v>0</v>
      </c>
      <c r="DG62" s="44">
        <f t="shared" si="274"/>
        <v>0</v>
      </c>
      <c r="DH62" s="44">
        <f t="shared" si="274"/>
        <v>0</v>
      </c>
      <c r="DI62" s="44">
        <f t="shared" si="274"/>
        <v>0</v>
      </c>
      <c r="DJ62" s="44">
        <f t="shared" si="274"/>
        <v>0</v>
      </c>
      <c r="DK62" s="44">
        <f t="shared" si="274"/>
        <v>0</v>
      </c>
      <c r="DL62" s="44">
        <f t="shared" si="274"/>
        <v>0</v>
      </c>
      <c r="DM62" s="44">
        <f t="shared" si="274"/>
        <v>0</v>
      </c>
      <c r="DN62" s="44">
        <f t="shared" si="274"/>
        <v>0</v>
      </c>
      <c r="DO62" s="44">
        <f t="shared" si="274"/>
        <v>0</v>
      </c>
      <c r="DP62" s="44">
        <f t="shared" si="274"/>
        <v>0</v>
      </c>
      <c r="DQ62" s="44">
        <f t="shared" si="274"/>
        <v>0</v>
      </c>
      <c r="DR62" s="44">
        <f t="shared" si="274"/>
        <v>0</v>
      </c>
      <c r="DS62" s="44">
        <f t="shared" si="274"/>
        <v>0</v>
      </c>
      <c r="DT62" s="44">
        <f t="shared" si="274"/>
        <v>0</v>
      </c>
      <c r="DU62" s="44">
        <f t="shared" si="274"/>
        <v>0</v>
      </c>
      <c r="DV62" s="44">
        <f t="shared" si="274"/>
        <v>0</v>
      </c>
      <c r="DW62" s="44">
        <f t="shared" si="274"/>
        <v>0</v>
      </c>
      <c r="DX62" s="44">
        <f t="shared" si="274"/>
        <v>0</v>
      </c>
      <c r="DY62" s="44">
        <f t="shared" si="274"/>
        <v>0</v>
      </c>
      <c r="DZ62" s="44">
        <f t="shared" si="274"/>
        <v>0</v>
      </c>
      <c r="EF62" s="51">
        <v>0</v>
      </c>
      <c r="EG62" s="51">
        <v>0</v>
      </c>
      <c r="EH62" s="51"/>
      <c r="EI62" s="157"/>
      <c r="EJ62" s="51"/>
      <c r="EM62" t="s">
        <v>99</v>
      </c>
    </row>
    <row r="63" spans="1:146" x14ac:dyDescent="0.2">
      <c r="A63" s="1"/>
      <c r="B63" t="str">
        <f t="shared" si="270"/>
        <v>Packaging reuse</v>
      </c>
      <c r="C63" s="54" t="s">
        <v>110</v>
      </c>
      <c r="D63" s="44">
        <f t="shared" ref="D63:AH63" si="275">D9*($EF63-$EG63)/30*(D$2-$D$2)</f>
        <v>0</v>
      </c>
      <c r="E63" s="44">
        <f t="shared" si="275"/>
        <v>9.8165577425164852E-2</v>
      </c>
      <c r="F63" s="44">
        <f t="shared" si="275"/>
        <v>0.39779891686221019</v>
      </c>
      <c r="G63" s="44">
        <f t="shared" si="275"/>
        <v>0.90675780600758604</v>
      </c>
      <c r="H63" s="44">
        <f t="shared" si="275"/>
        <v>1.6331074988852634</v>
      </c>
      <c r="I63" s="44">
        <f t="shared" si="275"/>
        <v>2.5851253302474619</v>
      </c>
      <c r="J63" s="44">
        <f t="shared" si="275"/>
        <v>3.7713054231662078</v>
      </c>
      <c r="K63" s="44">
        <f t="shared" si="275"/>
        <v>5.2003634915853256</v>
      </c>
      <c r="L63" s="44">
        <f t="shared" si="275"/>
        <v>6.8812417396346284</v>
      </c>
      <c r="M63" s="44">
        <f t="shared" si="275"/>
        <v>8.8231138595408556</v>
      </c>
      <c r="N63" s="44">
        <f t="shared" si="275"/>
        <v>11.035390130003265</v>
      </c>
      <c r="O63" s="44">
        <f t="shared" si="275"/>
        <v>14.660598345087285</v>
      </c>
      <c r="P63" s="44">
        <f t="shared" si="275"/>
        <v>18.813862505702879</v>
      </c>
      <c r="Q63" s="44">
        <f t="shared" si="275"/>
        <v>23.514051519889559</v>
      </c>
      <c r="R63" s="44">
        <f t="shared" si="275"/>
        <v>28.780516634814539</v>
      </c>
      <c r="S63" s="44">
        <f t="shared" si="275"/>
        <v>34.633101980228318</v>
      </c>
      <c r="T63" s="44">
        <f t="shared" si="275"/>
        <v>41.092155322512859</v>
      </c>
      <c r="U63" s="44">
        <f t="shared" si="275"/>
        <v>48.178539033290591</v>
      </c>
      <c r="V63" s="44">
        <f t="shared" si="275"/>
        <v>55.913641276634138</v>
      </c>
      <c r="W63" s="44">
        <f t="shared" si="275"/>
        <v>64.319387418989606</v>
      </c>
      <c r="X63" s="44">
        <f t="shared" si="275"/>
        <v>73.418251666000728</v>
      </c>
      <c r="Y63" s="44">
        <f t="shared" si="275"/>
        <v>83.496527816173071</v>
      </c>
      <c r="Z63" s="44">
        <f t="shared" si="275"/>
        <v>94.346649050747416</v>
      </c>
      <c r="AA63" s="44">
        <f t="shared" si="275"/>
        <v>105.99390613475425</v>
      </c>
      <c r="AB63" s="44">
        <f t="shared" si="275"/>
        <v>118.46421479049317</v>
      </c>
      <c r="AC63" s="44">
        <f t="shared" si="275"/>
        <v>131.78412911451522</v>
      </c>
      <c r="AD63" s="44">
        <f t="shared" si="275"/>
        <v>145.9808552596119</v>
      </c>
      <c r="AE63" s="44">
        <f t="shared" si="275"/>
        <v>161.08226538676476</v>
      </c>
      <c r="AF63" s="44">
        <f t="shared" si="275"/>
        <v>177.11691189210205</v>
      </c>
      <c r="AG63" s="44">
        <f t="shared" si="275"/>
        <v>194.11404191399555</v>
      </c>
      <c r="AH63" s="44">
        <f t="shared" si="275"/>
        <v>212.10361212552718</v>
      </c>
      <c r="AI63" s="44"/>
      <c r="AJ63" s="44">
        <f t="shared" ref="AJ63:BN63" si="276">AJ9*($EF63-$EG63)/30*(AJ$2-$D$2)</f>
        <v>0</v>
      </c>
      <c r="AK63" s="44">
        <f t="shared" si="276"/>
        <v>7.2760442154241795E-2</v>
      </c>
      <c r="AL63" s="44">
        <f t="shared" si="276"/>
        <v>0.29485306819427443</v>
      </c>
      <c r="AM63" s="44">
        <f t="shared" si="276"/>
        <v>0.67210836733023871</v>
      </c>
      <c r="AN63" s="44">
        <f t="shared" si="276"/>
        <v>1.2105109136914212</v>
      </c>
      <c r="AO63" s="44">
        <f t="shared" si="276"/>
        <v>1.9162027962404569</v>
      </c>
      <c r="AP63" s="44">
        <f t="shared" si="276"/>
        <v>2.7954871180054006</v>
      </c>
      <c r="AQ63" s="44">
        <f t="shared" si="276"/>
        <v>3.8548315659467125</v>
      </c>
      <c r="AR63" s="44">
        <f t="shared" si="276"/>
        <v>5.1008720528001605</v>
      </c>
      <c r="AS63" s="44">
        <f t="shared" si="276"/>
        <v>6.5404164322610754</v>
      </c>
      <c r="AT63" s="44">
        <f t="shared" si="276"/>
        <v>8.1804482889001697</v>
      </c>
      <c r="AU63" s="44">
        <f t="shared" si="276"/>
        <v>10.865698496689307</v>
      </c>
      <c r="AV63" s="44">
        <f t="shared" si="276"/>
        <v>13.942003850771989</v>
      </c>
      <c r="AW63" s="44">
        <f t="shared" si="276"/>
        <v>17.423350275412698</v>
      </c>
      <c r="AX63" s="44">
        <f t="shared" si="276"/>
        <v>21.324081519464983</v>
      </c>
      <c r="AY63" s="44">
        <f t="shared" si="276"/>
        <v>25.658906984071866</v>
      </c>
      <c r="AZ63" s="44">
        <f t="shared" si="276"/>
        <v>30.442909706819115</v>
      </c>
      <c r="BA63" s="44">
        <f t="shared" si="276"/>
        <v>35.691554505290924</v>
      </c>
      <c r="BB63" s="44">
        <f t="shared" si="276"/>
        <v>41.420696283031042</v>
      </c>
      <c r="BC63" s="44">
        <f t="shared" si="276"/>
        <v>47.646588500966786</v>
      </c>
      <c r="BD63" s="44">
        <f t="shared" si="276"/>
        <v>54.385891817408421</v>
      </c>
      <c r="BE63" s="44">
        <f t="shared" si="276"/>
        <v>61.849336659076883</v>
      </c>
      <c r="BF63" s="44">
        <f t="shared" si="276"/>
        <v>69.884376215778076</v>
      </c>
      <c r="BG63" s="44">
        <f t="shared" si="276"/>
        <v>78.509754618374444</v>
      </c>
      <c r="BH63" s="44">
        <f t="shared" si="276"/>
        <v>87.744679555986806</v>
      </c>
      <c r="BI63" s="44">
        <f t="shared" si="276"/>
        <v>97.608832235265609</v>
      </c>
      <c r="BJ63" s="44">
        <f t="shared" si="276"/>
        <v>108.12237753649916</v>
      </c>
      <c r="BK63" s="44">
        <f t="shared" si="276"/>
        <v>119.30597437024144</v>
      </c>
      <c r="BL63" s="44">
        <f t="shared" si="276"/>
        <v>131.18078623820878</v>
      </c>
      <c r="BM63" s="44">
        <f t="shared" si="276"/>
        <v>143.76849200226161</v>
      </c>
      <c r="BN63" s="44">
        <f t="shared" si="276"/>
        <v>157.0912968653561</v>
      </c>
      <c r="BO63" s="44"/>
      <c r="BP63" s="44">
        <f t="shared" ref="BP63:CT63" si="277">BP9*($EF63-$EG63)/30*(BP$2-$D$2)</f>
        <v>0</v>
      </c>
      <c r="BQ63" s="44">
        <f t="shared" si="277"/>
        <v>0</v>
      </c>
      <c r="BR63" s="44">
        <f t="shared" si="277"/>
        <v>0</v>
      </c>
      <c r="BS63" s="44">
        <f t="shared" si="277"/>
        <v>0</v>
      </c>
      <c r="BT63" s="44">
        <f t="shared" si="277"/>
        <v>0</v>
      </c>
      <c r="BU63" s="44">
        <f t="shared" si="277"/>
        <v>0</v>
      </c>
      <c r="BV63" s="44">
        <f t="shared" si="277"/>
        <v>0</v>
      </c>
      <c r="BW63" s="44">
        <f t="shared" si="277"/>
        <v>0</v>
      </c>
      <c r="BX63" s="44">
        <f t="shared" si="277"/>
        <v>0</v>
      </c>
      <c r="BY63" s="44">
        <f t="shared" si="277"/>
        <v>0</v>
      </c>
      <c r="BZ63" s="44">
        <f t="shared" si="277"/>
        <v>0</v>
      </c>
      <c r="CA63" s="44">
        <f t="shared" si="277"/>
        <v>0</v>
      </c>
      <c r="CB63" s="44">
        <f t="shared" si="277"/>
        <v>0</v>
      </c>
      <c r="CC63" s="44">
        <f t="shared" si="277"/>
        <v>0</v>
      </c>
      <c r="CD63" s="44">
        <f t="shared" si="277"/>
        <v>0</v>
      </c>
      <c r="CE63" s="44">
        <f t="shared" si="277"/>
        <v>0</v>
      </c>
      <c r="CF63" s="44">
        <f t="shared" si="277"/>
        <v>0</v>
      </c>
      <c r="CG63" s="44">
        <f t="shared" si="277"/>
        <v>0</v>
      </c>
      <c r="CH63" s="44">
        <f t="shared" si="277"/>
        <v>0</v>
      </c>
      <c r="CI63" s="44">
        <f t="shared" si="277"/>
        <v>0</v>
      </c>
      <c r="CJ63" s="44">
        <f t="shared" si="277"/>
        <v>0</v>
      </c>
      <c r="CK63" s="44">
        <f t="shared" si="277"/>
        <v>0</v>
      </c>
      <c r="CL63" s="44">
        <f t="shared" si="277"/>
        <v>0</v>
      </c>
      <c r="CM63" s="44">
        <f t="shared" si="277"/>
        <v>0</v>
      </c>
      <c r="CN63" s="44">
        <f t="shared" si="277"/>
        <v>0</v>
      </c>
      <c r="CO63" s="44">
        <f t="shared" si="277"/>
        <v>0</v>
      </c>
      <c r="CP63" s="44">
        <f t="shared" si="277"/>
        <v>0</v>
      </c>
      <c r="CQ63" s="44">
        <f t="shared" si="277"/>
        <v>0</v>
      </c>
      <c r="CR63" s="44">
        <f t="shared" si="277"/>
        <v>0</v>
      </c>
      <c r="CS63" s="44">
        <f t="shared" si="277"/>
        <v>0</v>
      </c>
      <c r="CT63" s="44">
        <f t="shared" si="277"/>
        <v>0</v>
      </c>
      <c r="CU63" s="44"/>
      <c r="CV63" s="44">
        <f t="shared" ref="CV63:DZ63" si="278">CV9*($EF63-$EG63)/30*(CV$2-$D$2)</f>
        <v>0</v>
      </c>
      <c r="CW63" s="44">
        <f t="shared" si="278"/>
        <v>0</v>
      </c>
      <c r="CX63" s="44">
        <f t="shared" si="278"/>
        <v>0</v>
      </c>
      <c r="CY63" s="44">
        <f t="shared" si="278"/>
        <v>0</v>
      </c>
      <c r="CZ63" s="44">
        <f t="shared" si="278"/>
        <v>0</v>
      </c>
      <c r="DA63" s="44">
        <f t="shared" si="278"/>
        <v>0</v>
      </c>
      <c r="DB63" s="44">
        <f t="shared" si="278"/>
        <v>0</v>
      </c>
      <c r="DC63" s="44">
        <f t="shared" si="278"/>
        <v>0</v>
      </c>
      <c r="DD63" s="44">
        <f t="shared" si="278"/>
        <v>0</v>
      </c>
      <c r="DE63" s="44">
        <f t="shared" si="278"/>
        <v>0</v>
      </c>
      <c r="DF63" s="44">
        <f t="shared" si="278"/>
        <v>0</v>
      </c>
      <c r="DG63" s="44">
        <f t="shared" si="278"/>
        <v>0</v>
      </c>
      <c r="DH63" s="44">
        <f t="shared" si="278"/>
        <v>0</v>
      </c>
      <c r="DI63" s="44">
        <f t="shared" si="278"/>
        <v>0</v>
      </c>
      <c r="DJ63" s="44">
        <f t="shared" si="278"/>
        <v>0</v>
      </c>
      <c r="DK63" s="44">
        <f t="shared" si="278"/>
        <v>0</v>
      </c>
      <c r="DL63" s="44">
        <f t="shared" si="278"/>
        <v>0</v>
      </c>
      <c r="DM63" s="44">
        <f t="shared" si="278"/>
        <v>0</v>
      </c>
      <c r="DN63" s="44">
        <f t="shared" si="278"/>
        <v>0</v>
      </c>
      <c r="DO63" s="44">
        <f t="shared" si="278"/>
        <v>0</v>
      </c>
      <c r="DP63" s="44">
        <f t="shared" si="278"/>
        <v>0</v>
      </c>
      <c r="DQ63" s="44">
        <f t="shared" si="278"/>
        <v>0</v>
      </c>
      <c r="DR63" s="44">
        <f t="shared" si="278"/>
        <v>0</v>
      </c>
      <c r="DS63" s="44">
        <f t="shared" si="278"/>
        <v>0</v>
      </c>
      <c r="DT63" s="44">
        <f t="shared" si="278"/>
        <v>0</v>
      </c>
      <c r="DU63" s="44">
        <f t="shared" si="278"/>
        <v>0</v>
      </c>
      <c r="DV63" s="44">
        <f t="shared" si="278"/>
        <v>0</v>
      </c>
      <c r="DW63" s="44">
        <f t="shared" si="278"/>
        <v>0</v>
      </c>
      <c r="DX63" s="44">
        <f t="shared" si="278"/>
        <v>0</v>
      </c>
      <c r="DY63" s="44">
        <f t="shared" si="278"/>
        <v>0</v>
      </c>
      <c r="DZ63" s="44">
        <f t="shared" si="278"/>
        <v>0</v>
      </c>
      <c r="EF63" s="585">
        <f>AVERAGE(1.6,4.5)</f>
        <v>3.05</v>
      </c>
      <c r="EG63" s="51">
        <v>0</v>
      </c>
      <c r="EH63" s="51"/>
      <c r="EI63" s="157"/>
      <c r="EJ63" s="51"/>
      <c r="EM63" t="s">
        <v>99</v>
      </c>
    </row>
    <row r="64" spans="1:146" x14ac:dyDescent="0.2">
      <c r="A64" s="1"/>
      <c r="B64" t="str">
        <f t="shared" si="270"/>
        <v>Packaging substitution Paper</v>
      </c>
      <c r="C64" s="54" t="s">
        <v>110</v>
      </c>
      <c r="D64" s="44">
        <f t="shared" ref="D64:AH64" si="279">D10*($EF64-$EG64)/30*(D$2-$D$2)</f>
        <v>0</v>
      </c>
      <c r="E64" s="44">
        <f t="shared" si="279"/>
        <v>3.0710231345139189E-2</v>
      </c>
      <c r="F64" s="44">
        <f t="shared" si="279"/>
        <v>0.12447154385393654</v>
      </c>
      <c r="G64" s="44">
        <f t="shared" si="279"/>
        <v>0.28377902325053683</v>
      </c>
      <c r="H64" s="44">
        <f t="shared" si="279"/>
        <v>0.51119447962018061</v>
      </c>
      <c r="I64" s="44">
        <f t="shared" si="279"/>
        <v>0.80934794791559028</v>
      </c>
      <c r="J64" s="44">
        <f t="shared" si="279"/>
        <v>1.1809392190513661</v>
      </c>
      <c r="K64" s="44">
        <f t="shared" si="279"/>
        <v>1.6287394021717714</v>
      </c>
      <c r="L64" s="44">
        <f t="shared" si="279"/>
        <v>2.1555925186879978</v>
      </c>
      <c r="M64" s="44">
        <f t="shared" si="279"/>
        <v>2.7644171286919361</v>
      </c>
      <c r="N64" s="44">
        <f t="shared" si="279"/>
        <v>3.4582079903645435</v>
      </c>
      <c r="O64" s="44">
        <f t="shared" si="279"/>
        <v>4.3078286529150907</v>
      </c>
      <c r="P64" s="44">
        <f t="shared" si="279"/>
        <v>5.2626008216552167</v>
      </c>
      <c r="Q64" s="44">
        <f t="shared" si="279"/>
        <v>6.3261962214144063</v>
      </c>
      <c r="R64" s="44">
        <f t="shared" si="279"/>
        <v>7.5023792684281414</v>
      </c>
      <c r="S64" s="44">
        <f t="shared" si="279"/>
        <v>8.7950090784434476</v>
      </c>
      <c r="T64" s="44">
        <f t="shared" si="279"/>
        <v>10.208041514654898</v>
      </c>
      <c r="U64" s="44">
        <f t="shared" si="279"/>
        <v>11.745531276217312</v>
      </c>
      <c r="V64" s="44">
        <f t="shared" si="279"/>
        <v>13.4116340280949</v>
      </c>
      <c r="W64" s="44">
        <f t="shared" si="279"/>
        <v>15.210608573020327</v>
      </c>
      <c r="X64" s="44">
        <f t="shared" si="279"/>
        <v>17.146819066350879</v>
      </c>
      <c r="Y64" s="44">
        <f t="shared" si="279"/>
        <v>21.071883478173717</v>
      </c>
      <c r="Z64" s="44">
        <f t="shared" si="279"/>
        <v>23.398777787244811</v>
      </c>
      <c r="AA64" s="44">
        <f t="shared" si="279"/>
        <v>25.878366130873093</v>
      </c>
      <c r="AB64" s="44">
        <f t="shared" si="279"/>
        <v>28.515516669062261</v>
      </c>
      <c r="AC64" s="44">
        <f t="shared" si="279"/>
        <v>31.31521677926218</v>
      </c>
      <c r="AD64" s="44">
        <f t="shared" si="279"/>
        <v>34.282575607036911</v>
      </c>
      <c r="AE64" s="44">
        <f t="shared" si="279"/>
        <v>37.422826667048867</v>
      </c>
      <c r="AF64" s="44">
        <f t="shared" si="279"/>
        <v>40.741330495299394</v>
      </c>
      <c r="AG64" s="44">
        <f t="shared" si="279"/>
        <v>44.243577353583618</v>
      </c>
      <c r="AH64" s="44">
        <f t="shared" si="279"/>
        <v>47.935189987133846</v>
      </c>
      <c r="AI64" s="44"/>
      <c r="AJ64" s="44">
        <f t="shared" ref="AJ64:BN64" si="280">AJ10*($EF64-$EG64)/30*(AJ$2-$D$2)</f>
        <v>0</v>
      </c>
      <c r="AK64" s="44">
        <f t="shared" si="280"/>
        <v>2.6267265972720621E-2</v>
      </c>
      <c r="AL64" s="44">
        <f t="shared" si="280"/>
        <v>0.10646733300649069</v>
      </c>
      <c r="AM64" s="44">
        <f t="shared" si="280"/>
        <v>0.24273985107370227</v>
      </c>
      <c r="AN64" s="44">
        <f t="shared" si="280"/>
        <v>0.43728181482723383</v>
      </c>
      <c r="AO64" s="44">
        <f t="shared" si="280"/>
        <v>0.69234885557929216</v>
      </c>
      <c r="AP64" s="44">
        <f t="shared" si="280"/>
        <v>1.01025655965851</v>
      </c>
      <c r="AQ64" s="44">
        <f t="shared" si="280"/>
        <v>1.3933818136507641</v>
      </c>
      <c r="AR64" s="44">
        <f t="shared" si="280"/>
        <v>1.844164177038448</v>
      </c>
      <c r="AS64" s="44">
        <f t="shared" si="280"/>
        <v>2.3651072827623603</v>
      </c>
      <c r="AT64" s="44">
        <f t="shared" si="280"/>
        <v>2.9587802662399723</v>
      </c>
      <c r="AU64" s="44">
        <f t="shared" si="280"/>
        <v>3.683150884590884</v>
      </c>
      <c r="AV64" s="44">
        <f t="shared" si="280"/>
        <v>4.4969866274355947</v>
      </c>
      <c r="AW64" s="44">
        <f t="shared" si="280"/>
        <v>5.4034195757565318</v>
      </c>
      <c r="AX64" s="44">
        <f t="shared" si="280"/>
        <v>6.4056610896618968</v>
      </c>
      <c r="AY64" s="44">
        <f t="shared" si="280"/>
        <v>7.5070035301138924</v>
      </c>
      <c r="AZ64" s="44">
        <f t="shared" si="280"/>
        <v>8.710822014880371</v>
      </c>
      <c r="BA64" s="44">
        <f t="shared" si="280"/>
        <v>10.02057620935239</v>
      </c>
      <c r="BB64" s="44">
        <f t="shared" si="280"/>
        <v>11.439812152881597</v>
      </c>
      <c r="BC64" s="44">
        <f t="shared" si="280"/>
        <v>12.972164121303345</v>
      </c>
      <c r="BD64" s="44">
        <f t="shared" si="280"/>
        <v>14.621356526323201</v>
      </c>
      <c r="BE64" s="44">
        <f t="shared" si="280"/>
        <v>17.996884181359743</v>
      </c>
      <c r="BF64" s="44">
        <f t="shared" si="280"/>
        <v>19.983592439383479</v>
      </c>
      <c r="BG64" s="44">
        <f t="shared" si="280"/>
        <v>22.100706892525299</v>
      </c>
      <c r="BH64" s="44">
        <f t="shared" si="280"/>
        <v>24.352394328478212</v>
      </c>
      <c r="BI64" s="44">
        <f t="shared" si="280"/>
        <v>26.742923805905473</v>
      </c>
      <c r="BJ64" s="44">
        <f t="shared" si="280"/>
        <v>29.276668846991726</v>
      </c>
      <c r="BK64" s="44">
        <f t="shared" si="280"/>
        <v>31.958109673322262</v>
      </c>
      <c r="BL64" s="44">
        <f t="shared" si="280"/>
        <v>34.791835485901331</v>
      </c>
      <c r="BM64" s="44">
        <f t="shared" si="280"/>
        <v>37.782546790135434</v>
      </c>
      <c r="BN64" s="44">
        <f t="shared" si="280"/>
        <v>40.935057766622151</v>
      </c>
      <c r="BO64" s="44"/>
      <c r="BP64" s="44">
        <f t="shared" ref="BP64:CT64" si="281">BP10*($EF64-$EG64)/30*(BP$2-$D$2)</f>
        <v>0</v>
      </c>
      <c r="BQ64" s="44">
        <f t="shared" si="281"/>
        <v>0</v>
      </c>
      <c r="BR64" s="44">
        <f t="shared" si="281"/>
        <v>0</v>
      </c>
      <c r="BS64" s="44">
        <f t="shared" si="281"/>
        <v>0</v>
      </c>
      <c r="BT64" s="44">
        <f t="shared" si="281"/>
        <v>0</v>
      </c>
      <c r="BU64" s="44">
        <f t="shared" si="281"/>
        <v>0</v>
      </c>
      <c r="BV64" s="44">
        <f t="shared" si="281"/>
        <v>0</v>
      </c>
      <c r="BW64" s="44">
        <f t="shared" si="281"/>
        <v>0</v>
      </c>
      <c r="BX64" s="44">
        <f t="shared" si="281"/>
        <v>0</v>
      </c>
      <c r="BY64" s="44">
        <f t="shared" si="281"/>
        <v>0</v>
      </c>
      <c r="BZ64" s="44">
        <f t="shared" si="281"/>
        <v>0</v>
      </c>
      <c r="CA64" s="44">
        <f t="shared" si="281"/>
        <v>0</v>
      </c>
      <c r="CB64" s="44">
        <f t="shared" si="281"/>
        <v>0</v>
      </c>
      <c r="CC64" s="44">
        <f t="shared" si="281"/>
        <v>0</v>
      </c>
      <c r="CD64" s="44">
        <f t="shared" si="281"/>
        <v>0</v>
      </c>
      <c r="CE64" s="44">
        <f t="shared" si="281"/>
        <v>0</v>
      </c>
      <c r="CF64" s="44">
        <f t="shared" si="281"/>
        <v>0</v>
      </c>
      <c r="CG64" s="44">
        <f t="shared" si="281"/>
        <v>0</v>
      </c>
      <c r="CH64" s="44">
        <f t="shared" si="281"/>
        <v>0</v>
      </c>
      <c r="CI64" s="44">
        <f t="shared" si="281"/>
        <v>0</v>
      </c>
      <c r="CJ64" s="44">
        <f t="shared" si="281"/>
        <v>0</v>
      </c>
      <c r="CK64" s="44">
        <f t="shared" si="281"/>
        <v>0</v>
      </c>
      <c r="CL64" s="44">
        <f t="shared" si="281"/>
        <v>0</v>
      </c>
      <c r="CM64" s="44">
        <f t="shared" si="281"/>
        <v>0</v>
      </c>
      <c r="CN64" s="44">
        <f t="shared" si="281"/>
        <v>0</v>
      </c>
      <c r="CO64" s="44">
        <f t="shared" si="281"/>
        <v>0</v>
      </c>
      <c r="CP64" s="44">
        <f t="shared" si="281"/>
        <v>0</v>
      </c>
      <c r="CQ64" s="44">
        <f t="shared" si="281"/>
        <v>0</v>
      </c>
      <c r="CR64" s="44">
        <f t="shared" si="281"/>
        <v>0</v>
      </c>
      <c r="CS64" s="44">
        <f t="shared" si="281"/>
        <v>0</v>
      </c>
      <c r="CT64" s="44">
        <f t="shared" si="281"/>
        <v>0</v>
      </c>
      <c r="CU64" s="44"/>
      <c r="CV64" s="44">
        <f t="shared" ref="CV64:DZ64" si="282">CV10*($EF64-$EG64)/30*(CV$2-$D$2)</f>
        <v>0</v>
      </c>
      <c r="CW64" s="44">
        <f t="shared" si="282"/>
        <v>0</v>
      </c>
      <c r="CX64" s="44">
        <f t="shared" si="282"/>
        <v>0</v>
      </c>
      <c r="CY64" s="44">
        <f t="shared" si="282"/>
        <v>0</v>
      </c>
      <c r="CZ64" s="44">
        <f t="shared" si="282"/>
        <v>0</v>
      </c>
      <c r="DA64" s="44">
        <f t="shared" si="282"/>
        <v>0</v>
      </c>
      <c r="DB64" s="44">
        <f t="shared" si="282"/>
        <v>0</v>
      </c>
      <c r="DC64" s="44">
        <f t="shared" si="282"/>
        <v>0</v>
      </c>
      <c r="DD64" s="44">
        <f t="shared" si="282"/>
        <v>0</v>
      </c>
      <c r="DE64" s="44">
        <f t="shared" si="282"/>
        <v>0</v>
      </c>
      <c r="DF64" s="44">
        <f t="shared" si="282"/>
        <v>0</v>
      </c>
      <c r="DG64" s="44">
        <f t="shared" si="282"/>
        <v>0</v>
      </c>
      <c r="DH64" s="44">
        <f t="shared" si="282"/>
        <v>0</v>
      </c>
      <c r="DI64" s="44">
        <f t="shared" si="282"/>
        <v>0</v>
      </c>
      <c r="DJ64" s="44">
        <f t="shared" si="282"/>
        <v>0</v>
      </c>
      <c r="DK64" s="44">
        <f t="shared" si="282"/>
        <v>0</v>
      </c>
      <c r="DL64" s="44">
        <f t="shared" si="282"/>
        <v>0</v>
      </c>
      <c r="DM64" s="44">
        <f t="shared" si="282"/>
        <v>0</v>
      </c>
      <c r="DN64" s="44">
        <f t="shared" si="282"/>
        <v>0</v>
      </c>
      <c r="DO64" s="44">
        <f t="shared" si="282"/>
        <v>0</v>
      </c>
      <c r="DP64" s="44">
        <f t="shared" si="282"/>
        <v>0</v>
      </c>
      <c r="DQ64" s="44">
        <f t="shared" si="282"/>
        <v>0</v>
      </c>
      <c r="DR64" s="44">
        <f t="shared" si="282"/>
        <v>0</v>
      </c>
      <c r="DS64" s="44">
        <f t="shared" si="282"/>
        <v>0</v>
      </c>
      <c r="DT64" s="44">
        <f t="shared" si="282"/>
        <v>0</v>
      </c>
      <c r="DU64" s="44">
        <f t="shared" si="282"/>
        <v>0</v>
      </c>
      <c r="DV64" s="44">
        <f t="shared" si="282"/>
        <v>0</v>
      </c>
      <c r="DW64" s="44">
        <f t="shared" si="282"/>
        <v>0</v>
      </c>
      <c r="DX64" s="44">
        <f t="shared" si="282"/>
        <v>0</v>
      </c>
      <c r="DY64" s="44">
        <f t="shared" si="282"/>
        <v>0</v>
      </c>
      <c r="DZ64" s="44">
        <f t="shared" si="282"/>
        <v>0</v>
      </c>
      <c r="EF64" s="51">
        <v>2.5</v>
      </c>
      <c r="EG64" s="51">
        <v>0</v>
      </c>
      <c r="EH64" s="51"/>
      <c r="EI64" s="157"/>
      <c r="EJ64" s="51"/>
      <c r="EM64" t="s">
        <v>99</v>
      </c>
    </row>
    <row r="65" spans="1:143" x14ac:dyDescent="0.2">
      <c r="A65" s="1"/>
      <c r="B65" t="str">
        <f t="shared" si="270"/>
        <v>Packaging Substitution Compostables</v>
      </c>
      <c r="C65" s="54" t="s">
        <v>110</v>
      </c>
      <c r="D65" s="44">
        <f t="shared" ref="D65:AH65" si="283">D11*($EF65-$EG65)/30*(D$2-$D$2)</f>
        <v>0</v>
      </c>
      <c r="E65" s="44">
        <f t="shared" si="283"/>
        <v>6.7866819868388439E-2</v>
      </c>
      <c r="F65" s="44">
        <f t="shared" si="283"/>
        <v>0.3509850636581574</v>
      </c>
      <c r="G65" s="44">
        <f t="shared" si="283"/>
        <v>0.80026042862153535</v>
      </c>
      <c r="H65" s="44">
        <f t="shared" si="283"/>
        <v>1.4416825758342289</v>
      </c>
      <c r="I65" s="44">
        <f t="shared" si="283"/>
        <v>2.282712166478333</v>
      </c>
      <c r="J65" s="44">
        <f t="shared" si="283"/>
        <v>3.331008695296406</v>
      </c>
      <c r="K65" s="44">
        <f t="shared" si="283"/>
        <v>4.5944349620148017</v>
      </c>
      <c r="L65" s="44">
        <f t="shared" si="283"/>
        <v>6.0810616340084271</v>
      </c>
      <c r="M65" s="44">
        <f t="shared" si="283"/>
        <v>7.7991719019552068</v>
      </c>
      <c r="N65" s="44">
        <f t="shared" si="283"/>
        <v>9.757266230260571</v>
      </c>
      <c r="O65" s="44">
        <f t="shared" si="283"/>
        <v>12.155211025377289</v>
      </c>
      <c r="P65" s="44">
        <f t="shared" si="283"/>
        <v>14.016745874825238</v>
      </c>
      <c r="Q65" s="44">
        <f t="shared" si="283"/>
        <v>17.056310159935137</v>
      </c>
      <c r="R65" s="44">
        <f t="shared" si="283"/>
        <v>20.433802118752791</v>
      </c>
      <c r="S65" s="44">
        <f t="shared" si="283"/>
        <v>24.16098108185497</v>
      </c>
      <c r="T65" s="44">
        <f t="shared" si="283"/>
        <v>28.249904475445778</v>
      </c>
      <c r="U65" s="44">
        <f t="shared" si="283"/>
        <v>32.712934315329093</v>
      </c>
      <c r="V65" s="44">
        <f t="shared" si="283"/>
        <v>37.562743830395284</v>
      </c>
      <c r="W65" s="44">
        <f t="shared" si="283"/>
        <v>42.812324218060937</v>
      </c>
      <c r="X65" s="44">
        <f t="shared" si="283"/>
        <v>48.474991534144507</v>
      </c>
      <c r="Y65" s="44">
        <f t="shared" si="283"/>
        <v>56.460864361443576</v>
      </c>
      <c r="Z65" s="44">
        <f t="shared" si="283"/>
        <v>62.910721589048464</v>
      </c>
      <c r="AA65" s="44">
        <f t="shared" si="283"/>
        <v>69.795050835582927</v>
      </c>
      <c r="AB65" s="44">
        <f t="shared" si="283"/>
        <v>77.127768493917642</v>
      </c>
      <c r="AC65" s="44">
        <f t="shared" si="283"/>
        <v>84.923132209114428</v>
      </c>
      <c r="AD65" s="44">
        <f t="shared" si="283"/>
        <v>93.195748181883218</v>
      </c>
      <c r="AE65" s="44">
        <f t="shared" si="283"/>
        <v>101.96057861610487</v>
      </c>
      <c r="AF65" s="44">
        <f t="shared" si="283"/>
        <v>111.23294931311221</v>
      </c>
      <c r="AG65" s="44">
        <f t="shared" si="283"/>
        <v>121.02855741547043</v>
      </c>
      <c r="AH65" s="44">
        <f t="shared" si="283"/>
        <v>131.36347930304638</v>
      </c>
      <c r="AI65" s="44"/>
      <c r="AJ65" s="44">
        <f t="shared" ref="AJ65:BN65" si="284">AJ11*($EF65-$EG65)/30*(AJ$2-$D$2)</f>
        <v>0</v>
      </c>
      <c r="AK65" s="44">
        <f t="shared" si="284"/>
        <v>5.8946690688544717E-2</v>
      </c>
      <c r="AL65" s="44">
        <f t="shared" si="284"/>
        <v>0.30109345807816845</v>
      </c>
      <c r="AM65" s="44">
        <f t="shared" si="284"/>
        <v>0.68652560430977427</v>
      </c>
      <c r="AN65" s="44">
        <f t="shared" si="284"/>
        <v>1.2368235243416137</v>
      </c>
      <c r="AO65" s="44">
        <f t="shared" si="284"/>
        <v>1.9584022961939132</v>
      </c>
      <c r="AP65" s="44">
        <f t="shared" si="284"/>
        <v>2.8578482845343687</v>
      </c>
      <c r="AQ65" s="44">
        <f t="shared" si="284"/>
        <v>3.9419229986976632</v>
      </c>
      <c r="AR65" s="44">
        <f t="shared" si="284"/>
        <v>5.2175670295330487</v>
      </c>
      <c r="AS65" s="44">
        <f t="shared" si="284"/>
        <v>6.6919040665920662</v>
      </c>
      <c r="AT65" s="44">
        <f t="shared" si="284"/>
        <v>8.3722449971961872</v>
      </c>
      <c r="AU65" s="44">
        <f t="shared" si="284"/>
        <v>10.422539933369109</v>
      </c>
      <c r="AV65" s="44">
        <f t="shared" si="284"/>
        <v>12.001818081034836</v>
      </c>
      <c r="AW65" s="44">
        <f t="shared" si="284"/>
        <v>14.599943210614809</v>
      </c>
      <c r="AX65" s="44">
        <f t="shared" si="284"/>
        <v>17.486712479647206</v>
      </c>
      <c r="AY65" s="44">
        <f t="shared" si="284"/>
        <v>20.67219362062605</v>
      </c>
      <c r="AZ65" s="44">
        <f t="shared" si="284"/>
        <v>24.166710168322471</v>
      </c>
      <c r="BA65" s="44">
        <f t="shared" si="284"/>
        <v>27.980847043909272</v>
      </c>
      <c r="BB65" s="44">
        <f t="shared" si="284"/>
        <v>32.125456250652881</v>
      </c>
      <c r="BC65" s="44">
        <f t="shared" si="284"/>
        <v>36.611662683276634</v>
      </c>
      <c r="BD65" s="44">
        <f t="shared" si="284"/>
        <v>41.450870053137471</v>
      </c>
      <c r="BE65" s="44">
        <f t="shared" si="284"/>
        <v>48.305267251049543</v>
      </c>
      <c r="BF65" s="44">
        <f t="shared" si="284"/>
        <v>53.819207279098848</v>
      </c>
      <c r="BG65" s="44">
        <f t="shared" si="284"/>
        <v>59.704550440052117</v>
      </c>
      <c r="BH65" s="44">
        <f t="shared" si="284"/>
        <v>65.973217986591607</v>
      </c>
      <c r="BI65" s="44">
        <f t="shared" si="284"/>
        <v>72.637424135061821</v>
      </c>
      <c r="BJ65" s="44">
        <f t="shared" si="284"/>
        <v>79.709682347869375</v>
      </c>
      <c r="BK65" s="44">
        <f t="shared" si="284"/>
        <v>87.202811740020849</v>
      </c>
      <c r="BL65" s="44">
        <f t="shared" si="284"/>
        <v>95.129943612122872</v>
      </c>
      <c r="BM65" s="44">
        <f t="shared" si="284"/>
        <v>103.50452811220909</v>
      </c>
      <c r="BN65" s="44">
        <f t="shared" si="284"/>
        <v>112.34034102880236</v>
      </c>
      <c r="BO65" s="44"/>
      <c r="BP65" s="44">
        <f t="shared" ref="BP65:CT65" si="285">BP11*($EF65-$EG65)/30*(BP$2-$D$2)</f>
        <v>0</v>
      </c>
      <c r="BQ65" s="44">
        <f t="shared" si="285"/>
        <v>0</v>
      </c>
      <c r="BR65" s="44">
        <f t="shared" si="285"/>
        <v>0</v>
      </c>
      <c r="BS65" s="44">
        <f t="shared" si="285"/>
        <v>0</v>
      </c>
      <c r="BT65" s="44">
        <f t="shared" si="285"/>
        <v>0</v>
      </c>
      <c r="BU65" s="44">
        <f t="shared" si="285"/>
        <v>0</v>
      </c>
      <c r="BV65" s="44">
        <f t="shared" si="285"/>
        <v>0</v>
      </c>
      <c r="BW65" s="44">
        <f t="shared" si="285"/>
        <v>0</v>
      </c>
      <c r="BX65" s="44">
        <f t="shared" si="285"/>
        <v>0</v>
      </c>
      <c r="BY65" s="44">
        <f t="shared" si="285"/>
        <v>0</v>
      </c>
      <c r="BZ65" s="44">
        <f t="shared" si="285"/>
        <v>0</v>
      </c>
      <c r="CA65" s="44">
        <f t="shared" si="285"/>
        <v>0</v>
      </c>
      <c r="CB65" s="44">
        <f t="shared" si="285"/>
        <v>0</v>
      </c>
      <c r="CC65" s="44">
        <f t="shared" si="285"/>
        <v>0</v>
      </c>
      <c r="CD65" s="44">
        <f t="shared" si="285"/>
        <v>0</v>
      </c>
      <c r="CE65" s="44">
        <f t="shared" si="285"/>
        <v>0</v>
      </c>
      <c r="CF65" s="44">
        <f t="shared" si="285"/>
        <v>0</v>
      </c>
      <c r="CG65" s="44">
        <f t="shared" si="285"/>
        <v>0</v>
      </c>
      <c r="CH65" s="44">
        <f t="shared" si="285"/>
        <v>0</v>
      </c>
      <c r="CI65" s="44">
        <f t="shared" si="285"/>
        <v>0</v>
      </c>
      <c r="CJ65" s="44">
        <f t="shared" si="285"/>
        <v>0</v>
      </c>
      <c r="CK65" s="44">
        <f t="shared" si="285"/>
        <v>0</v>
      </c>
      <c r="CL65" s="44">
        <f t="shared" si="285"/>
        <v>0</v>
      </c>
      <c r="CM65" s="44">
        <f t="shared" si="285"/>
        <v>0</v>
      </c>
      <c r="CN65" s="44">
        <f t="shared" si="285"/>
        <v>0</v>
      </c>
      <c r="CO65" s="44">
        <f t="shared" si="285"/>
        <v>0</v>
      </c>
      <c r="CP65" s="44">
        <f t="shared" si="285"/>
        <v>0</v>
      </c>
      <c r="CQ65" s="44">
        <f t="shared" si="285"/>
        <v>0</v>
      </c>
      <c r="CR65" s="44">
        <f t="shared" si="285"/>
        <v>0</v>
      </c>
      <c r="CS65" s="44">
        <f t="shared" si="285"/>
        <v>0</v>
      </c>
      <c r="CT65" s="44">
        <f t="shared" si="285"/>
        <v>0</v>
      </c>
      <c r="CU65" s="44"/>
      <c r="CV65" s="44">
        <f t="shared" ref="CV65:DZ65" si="286">CV11*($EF65-$EG65)/30*(CV$2-$D$2)</f>
        <v>0</v>
      </c>
      <c r="CW65" s="44">
        <f t="shared" si="286"/>
        <v>0</v>
      </c>
      <c r="CX65" s="44">
        <f t="shared" si="286"/>
        <v>0</v>
      </c>
      <c r="CY65" s="44">
        <f t="shared" si="286"/>
        <v>0</v>
      </c>
      <c r="CZ65" s="44">
        <f t="shared" si="286"/>
        <v>0</v>
      </c>
      <c r="DA65" s="44">
        <f t="shared" si="286"/>
        <v>0</v>
      </c>
      <c r="DB65" s="44">
        <f t="shared" si="286"/>
        <v>0</v>
      </c>
      <c r="DC65" s="44">
        <f t="shared" si="286"/>
        <v>0</v>
      </c>
      <c r="DD65" s="44">
        <f t="shared" si="286"/>
        <v>0</v>
      </c>
      <c r="DE65" s="44">
        <f t="shared" si="286"/>
        <v>0</v>
      </c>
      <c r="DF65" s="44">
        <f t="shared" si="286"/>
        <v>0</v>
      </c>
      <c r="DG65" s="44">
        <f t="shared" si="286"/>
        <v>0</v>
      </c>
      <c r="DH65" s="44">
        <f t="shared" si="286"/>
        <v>0</v>
      </c>
      <c r="DI65" s="44">
        <f t="shared" si="286"/>
        <v>0</v>
      </c>
      <c r="DJ65" s="44">
        <f t="shared" si="286"/>
        <v>0</v>
      </c>
      <c r="DK65" s="44">
        <f t="shared" si="286"/>
        <v>0</v>
      </c>
      <c r="DL65" s="44">
        <f t="shared" si="286"/>
        <v>0</v>
      </c>
      <c r="DM65" s="44">
        <f t="shared" si="286"/>
        <v>0</v>
      </c>
      <c r="DN65" s="44">
        <f t="shared" si="286"/>
        <v>0</v>
      </c>
      <c r="DO65" s="44">
        <f t="shared" si="286"/>
        <v>0</v>
      </c>
      <c r="DP65" s="44">
        <f t="shared" si="286"/>
        <v>0</v>
      </c>
      <c r="DQ65" s="44">
        <f t="shared" si="286"/>
        <v>0</v>
      </c>
      <c r="DR65" s="44">
        <f t="shared" si="286"/>
        <v>0</v>
      </c>
      <c r="DS65" s="44">
        <f t="shared" si="286"/>
        <v>0</v>
      </c>
      <c r="DT65" s="44">
        <f t="shared" si="286"/>
        <v>0</v>
      </c>
      <c r="DU65" s="44">
        <f t="shared" si="286"/>
        <v>0</v>
      </c>
      <c r="DV65" s="44">
        <f t="shared" si="286"/>
        <v>0</v>
      </c>
      <c r="DW65" s="44">
        <f t="shared" si="286"/>
        <v>0</v>
      </c>
      <c r="DX65" s="44">
        <f t="shared" si="286"/>
        <v>0</v>
      </c>
      <c r="DY65" s="44">
        <f t="shared" si="286"/>
        <v>0</v>
      </c>
      <c r="DZ65" s="44">
        <f t="shared" si="286"/>
        <v>0</v>
      </c>
      <c r="EF65" s="51">
        <v>5.2</v>
      </c>
      <c r="EG65" s="51">
        <v>0</v>
      </c>
      <c r="EH65" s="51"/>
      <c r="EI65" s="157"/>
      <c r="EJ65" s="51"/>
      <c r="EM65" t="s">
        <v>99</v>
      </c>
    </row>
    <row r="66" spans="1:143" x14ac:dyDescent="0.2">
      <c r="A66" s="1"/>
      <c r="B66" t="str">
        <f t="shared" si="270"/>
        <v>MaaS</v>
      </c>
      <c r="C66" s="54" t="s">
        <v>110</v>
      </c>
      <c r="D66" s="44">
        <f t="shared" ref="D66:AH66" si="287">D12*($EF66-$EG66)/30*(D$2-$D$2)</f>
        <v>0</v>
      </c>
      <c r="E66" s="44">
        <f t="shared" si="287"/>
        <v>5.1761361798301764E-3</v>
      </c>
      <c r="F66" s="44">
        <f t="shared" si="287"/>
        <v>2.1069175139147998E-2</v>
      </c>
      <c r="G66" s="44">
        <f t="shared" si="287"/>
        <v>4.824060842703054E-2</v>
      </c>
      <c r="H66" s="44">
        <f t="shared" si="287"/>
        <v>8.7271783042039766E-2</v>
      </c>
      <c r="I66" s="44">
        <f t="shared" si="287"/>
        <v>0.13876449042539843</v>
      </c>
      <c r="J66" s="44">
        <f t="shared" si="287"/>
        <v>0.20334157124281094</v>
      </c>
      <c r="K66" s="44">
        <f t="shared" si="287"/>
        <v>0.28164753635083023</v>
      </c>
      <c r="L66" s="44">
        <f t="shared" si="287"/>
        <v>0.37434920435313518</v>
      </c>
      <c r="M66" s="44">
        <f t="shared" si="287"/>
        <v>0.48213635616176304</v>
      </c>
      <c r="N66" s="44">
        <f t="shared" si="287"/>
        <v>0.6057224069882452</v>
      </c>
      <c r="O66" s="44">
        <f t="shared" si="287"/>
        <v>0.88360048397425095</v>
      </c>
      <c r="P66" s="44">
        <f t="shared" si="287"/>
        <v>1.2102162795745979</v>
      </c>
      <c r="Q66" s="44">
        <f t="shared" si="287"/>
        <v>1.58816709818619</v>
      </c>
      <c r="R66" s="44">
        <f t="shared" si="287"/>
        <v>2.0201475930268953</v>
      </c>
      <c r="S66" s="44">
        <f t="shared" si="287"/>
        <v>2.5089528232808225</v>
      </c>
      <c r="T66" s="44">
        <f t="shared" si="287"/>
        <v>3.0574813974219124</v>
      </c>
      <c r="U66" s="44">
        <f t="shared" si="287"/>
        <v>3.6687387049725935</v>
      </c>
      <c r="V66" s="44">
        <f t="shared" si="287"/>
        <v>4.3458402390102391</v>
      </c>
      <c r="W66" s="44">
        <f t="shared" si="287"/>
        <v>5.0920150117914957</v>
      </c>
      <c r="X66" s="44">
        <f t="shared" si="287"/>
        <v>5.9106090659232251</v>
      </c>
      <c r="Y66" s="44">
        <f t="shared" si="287"/>
        <v>7.2684910724620444</v>
      </c>
      <c r="Z66" s="44">
        <f t="shared" si="287"/>
        <v>8.7663294412893631</v>
      </c>
      <c r="AA66" s="44">
        <f t="shared" si="287"/>
        <v>10.410509013321416</v>
      </c>
      <c r="AB66" s="44">
        <f t="shared" si="287"/>
        <v>12.207633096444475</v>
      </c>
      <c r="AC66" s="44">
        <f t="shared" si="287"/>
        <v>14.16452990403865</v>
      </c>
      <c r="AD66" s="44">
        <f t="shared" si="287"/>
        <v>16.288259166515555</v>
      </c>
      <c r="AE66" s="44">
        <f t="shared" si="287"/>
        <v>18.586118920232945</v>
      </c>
      <c r="AF66" s="44">
        <f t="shared" si="287"/>
        <v>21.065652478254545</v>
      </c>
      <c r="AG66" s="44">
        <f t="shared" si="287"/>
        <v>23.734655587530519</v>
      </c>
      <c r="AH66" s="44">
        <f t="shared" si="287"/>
        <v>26.601183777184168</v>
      </c>
      <c r="AI66" s="44"/>
      <c r="AJ66" s="44">
        <f t="shared" ref="AJ66:BN66" si="288">AJ12*($EF66-$EG66)/30*(AJ$2-$D$2)</f>
        <v>0</v>
      </c>
      <c r="AK66" s="44">
        <f t="shared" si="288"/>
        <v>2.5866074955454019E-3</v>
      </c>
      <c r="AL66" s="44">
        <f t="shared" si="288"/>
        <v>1.0522704173782234E-2</v>
      </c>
      <c r="AM66" s="44">
        <f t="shared" si="288"/>
        <v>2.4079515942884509E-2</v>
      </c>
      <c r="AN66" s="44">
        <f t="shared" si="288"/>
        <v>4.3537564596619331E-2</v>
      </c>
      <c r="AO66" s="44">
        <f t="shared" si="288"/>
        <v>6.9186935677317651E-2</v>
      </c>
      <c r="AP66" s="44">
        <f t="shared" si="288"/>
        <v>0.10132755333135474</v>
      </c>
      <c r="AQ66" s="44">
        <f t="shared" si="288"/>
        <v>0.14026946232832865</v>
      </c>
      <c r="AR66" s="44">
        <f t="shared" si="288"/>
        <v>0.18633311741912936</v>
      </c>
      <c r="AS66" s="44">
        <f t="shared" si="288"/>
        <v>0.23984968021218733</v>
      </c>
      <c r="AT66" s="44">
        <f t="shared" si="288"/>
        <v>0.30116132375137639</v>
      </c>
      <c r="AU66" s="44">
        <f t="shared" si="288"/>
        <v>0.43908087466758489</v>
      </c>
      <c r="AV66" s="44">
        <f t="shared" si="288"/>
        <v>0.60105732320535787</v>
      </c>
      <c r="AW66" s="44">
        <f t="shared" si="288"/>
        <v>0.78834210205777777</v>
      </c>
      <c r="AX66" s="44">
        <f t="shared" si="288"/>
        <v>1.0022326284506122</v>
      </c>
      <c r="AY66" s="44">
        <f t="shared" si="288"/>
        <v>1.2440737256363623</v>
      </c>
      <c r="AZ66" s="44">
        <f t="shared" si="288"/>
        <v>1.5152590839584703</v>
      </c>
      <c r="BA66" s="44">
        <f t="shared" si="288"/>
        <v>1.8172327625115248</v>
      </c>
      <c r="BB66" s="44">
        <f t="shared" si="288"/>
        <v>2.1514907324485457</v>
      </c>
      <c r="BC66" s="44">
        <f t="shared" si="288"/>
        <v>2.5195824630122869</v>
      </c>
      <c r="BD66" s="44">
        <f t="shared" si="288"/>
        <v>2.9231125513939196</v>
      </c>
      <c r="BE66" s="44">
        <f t="shared" si="288"/>
        <v>3.5986661614508639</v>
      </c>
      <c r="BF66" s="44">
        <f t="shared" si="288"/>
        <v>4.3450743112320058</v>
      </c>
      <c r="BG66" s="44">
        <f t="shared" si="288"/>
        <v>5.1657292724793065</v>
      </c>
      <c r="BH66" s="44">
        <f t="shared" si="288"/>
        <v>6.0641445568209242</v>
      </c>
      <c r="BI66" s="44">
        <f t="shared" si="288"/>
        <v>7.0439586224313873</v>
      </c>
      <c r="BJ66" s="44">
        <f t="shared" si="288"/>
        <v>8.1089386833769623</v>
      </c>
      <c r="BK66" s="44">
        <f t="shared" si="288"/>
        <v>9.2629846243020104</v>
      </c>
      <c r="BL66" s="44">
        <f t="shared" si="288"/>
        <v>10.510133023177428</v>
      </c>
      <c r="BM66" s="44">
        <f t="shared" si="288"/>
        <v>11.854561284899022</v>
      </c>
      <c r="BN66" s="44">
        <f t="shared" si="288"/>
        <v>13.300591888592084</v>
      </c>
      <c r="BO66" s="44"/>
      <c r="BP66" s="44">
        <f t="shared" ref="BP66:CT66" si="289">BP12*($EF66-$EG66)/30*(BP$2-$D$2)</f>
        <v>0</v>
      </c>
      <c r="BQ66" s="44">
        <f t="shared" si="289"/>
        <v>0</v>
      </c>
      <c r="BR66" s="44">
        <f t="shared" si="289"/>
        <v>0</v>
      </c>
      <c r="BS66" s="44">
        <f t="shared" si="289"/>
        <v>0</v>
      </c>
      <c r="BT66" s="44">
        <f t="shared" si="289"/>
        <v>0</v>
      </c>
      <c r="BU66" s="44">
        <f t="shared" si="289"/>
        <v>0</v>
      </c>
      <c r="BV66" s="44">
        <f t="shared" si="289"/>
        <v>0</v>
      </c>
      <c r="BW66" s="44">
        <f t="shared" si="289"/>
        <v>0</v>
      </c>
      <c r="BX66" s="44">
        <f t="shared" si="289"/>
        <v>0</v>
      </c>
      <c r="BY66" s="44">
        <f t="shared" si="289"/>
        <v>0</v>
      </c>
      <c r="BZ66" s="44">
        <f t="shared" si="289"/>
        <v>0</v>
      </c>
      <c r="CA66" s="44">
        <f t="shared" si="289"/>
        <v>0</v>
      </c>
      <c r="CB66" s="44">
        <f t="shared" si="289"/>
        <v>0</v>
      </c>
      <c r="CC66" s="44">
        <f t="shared" si="289"/>
        <v>0</v>
      </c>
      <c r="CD66" s="44">
        <f t="shared" si="289"/>
        <v>0</v>
      </c>
      <c r="CE66" s="44">
        <f t="shared" si="289"/>
        <v>0</v>
      </c>
      <c r="CF66" s="44">
        <f t="shared" si="289"/>
        <v>0</v>
      </c>
      <c r="CG66" s="44">
        <f t="shared" si="289"/>
        <v>0</v>
      </c>
      <c r="CH66" s="44">
        <f t="shared" si="289"/>
        <v>0</v>
      </c>
      <c r="CI66" s="44">
        <f t="shared" si="289"/>
        <v>0</v>
      </c>
      <c r="CJ66" s="44">
        <f t="shared" si="289"/>
        <v>0</v>
      </c>
      <c r="CK66" s="44">
        <f t="shared" si="289"/>
        <v>0</v>
      </c>
      <c r="CL66" s="44">
        <f t="shared" si="289"/>
        <v>0</v>
      </c>
      <c r="CM66" s="44">
        <f t="shared" si="289"/>
        <v>0</v>
      </c>
      <c r="CN66" s="44">
        <f t="shared" si="289"/>
        <v>0</v>
      </c>
      <c r="CO66" s="44">
        <f t="shared" si="289"/>
        <v>0</v>
      </c>
      <c r="CP66" s="44">
        <f t="shared" si="289"/>
        <v>0</v>
      </c>
      <c r="CQ66" s="44">
        <f t="shared" si="289"/>
        <v>0</v>
      </c>
      <c r="CR66" s="44">
        <f t="shared" si="289"/>
        <v>0</v>
      </c>
      <c r="CS66" s="44">
        <f t="shared" si="289"/>
        <v>0</v>
      </c>
      <c r="CT66" s="44">
        <f t="shared" si="289"/>
        <v>0</v>
      </c>
      <c r="CU66" s="44"/>
      <c r="CV66" s="44">
        <f t="shared" ref="CV66:DZ66" si="290">CV12*($EF66-$EG66)/30*(CV$2-$D$2)</f>
        <v>0</v>
      </c>
      <c r="CW66" s="44">
        <f t="shared" si="290"/>
        <v>0</v>
      </c>
      <c r="CX66" s="44">
        <f t="shared" si="290"/>
        <v>0</v>
      </c>
      <c r="CY66" s="44">
        <f t="shared" si="290"/>
        <v>0</v>
      </c>
      <c r="CZ66" s="44">
        <f t="shared" si="290"/>
        <v>0</v>
      </c>
      <c r="DA66" s="44">
        <f t="shared" si="290"/>
        <v>0</v>
      </c>
      <c r="DB66" s="44">
        <f t="shared" si="290"/>
        <v>0</v>
      </c>
      <c r="DC66" s="44">
        <f t="shared" si="290"/>
        <v>0</v>
      </c>
      <c r="DD66" s="44">
        <f t="shared" si="290"/>
        <v>0</v>
      </c>
      <c r="DE66" s="44">
        <f t="shared" si="290"/>
        <v>0</v>
      </c>
      <c r="DF66" s="44">
        <f t="shared" si="290"/>
        <v>0</v>
      </c>
      <c r="DG66" s="44">
        <f t="shared" si="290"/>
        <v>0</v>
      </c>
      <c r="DH66" s="44">
        <f t="shared" si="290"/>
        <v>0</v>
      </c>
      <c r="DI66" s="44">
        <f t="shared" si="290"/>
        <v>0</v>
      </c>
      <c r="DJ66" s="44">
        <f t="shared" si="290"/>
        <v>0</v>
      </c>
      <c r="DK66" s="44">
        <f t="shared" si="290"/>
        <v>0</v>
      </c>
      <c r="DL66" s="44">
        <f t="shared" si="290"/>
        <v>0</v>
      </c>
      <c r="DM66" s="44">
        <f t="shared" si="290"/>
        <v>0</v>
      </c>
      <c r="DN66" s="44">
        <f t="shared" si="290"/>
        <v>0</v>
      </c>
      <c r="DO66" s="44">
        <f t="shared" si="290"/>
        <v>0</v>
      </c>
      <c r="DP66" s="44">
        <f t="shared" si="290"/>
        <v>0</v>
      </c>
      <c r="DQ66" s="44">
        <f t="shared" si="290"/>
        <v>0</v>
      </c>
      <c r="DR66" s="44">
        <f t="shared" si="290"/>
        <v>0</v>
      </c>
      <c r="DS66" s="44">
        <f t="shared" si="290"/>
        <v>0</v>
      </c>
      <c r="DT66" s="44">
        <f t="shared" si="290"/>
        <v>0</v>
      </c>
      <c r="DU66" s="44">
        <f t="shared" si="290"/>
        <v>0</v>
      </c>
      <c r="DV66" s="44">
        <f t="shared" si="290"/>
        <v>0</v>
      </c>
      <c r="DW66" s="44">
        <f t="shared" si="290"/>
        <v>0</v>
      </c>
      <c r="DX66" s="44">
        <f t="shared" si="290"/>
        <v>0</v>
      </c>
      <c r="DY66" s="44">
        <f t="shared" si="290"/>
        <v>0</v>
      </c>
      <c r="DZ66" s="44">
        <f t="shared" si="290"/>
        <v>0</v>
      </c>
      <c r="EF66" s="610">
        <v>1</v>
      </c>
      <c r="EG66" s="51">
        <v>0</v>
      </c>
      <c r="EH66" s="51"/>
      <c r="EI66" s="51"/>
      <c r="EJ66" s="51"/>
    </row>
    <row r="67" spans="1:143" x14ac:dyDescent="0.2">
      <c r="A67" s="1"/>
      <c r="B67" t="str">
        <f t="shared" si="270"/>
        <v>Vehicle life extension</v>
      </c>
      <c r="C67" s="54" t="s">
        <v>110</v>
      </c>
      <c r="D67" s="44">
        <f t="shared" ref="D67:AH67" si="291">D13*($EF67-$EG67)/30*(D$2-$D$2)</f>
        <v>0</v>
      </c>
      <c r="E67" s="44">
        <f t="shared" si="291"/>
        <v>3.2877580763647266E-3</v>
      </c>
      <c r="F67" s="44">
        <f t="shared" si="291"/>
        <v>1.335754700335583E-2</v>
      </c>
      <c r="G67" s="44">
        <f t="shared" si="291"/>
        <v>3.0526230397950348E-2</v>
      </c>
      <c r="H67" s="44">
        <f t="shared" si="291"/>
        <v>5.5120312341428584E-2</v>
      </c>
      <c r="I67" s="44">
        <f t="shared" si="291"/>
        <v>8.7476172676164962E-2</v>
      </c>
      <c r="J67" s="44">
        <f t="shared" si="291"/>
        <v>0.12794030717433902</v>
      </c>
      <c r="K67" s="44">
        <f t="shared" si="291"/>
        <v>0.17686957266350184</v>
      </c>
      <c r="L67" s="44">
        <f t="shared" si="291"/>
        <v>0.23463143719505467</v>
      </c>
      <c r="M67" s="44">
        <f t="shared" si="291"/>
        <v>0.30160423534282399</v>
      </c>
      <c r="N67" s="44">
        <f t="shared" si="291"/>
        <v>0.3781774287200495</v>
      </c>
      <c r="O67" s="44">
        <f t="shared" si="291"/>
        <v>0.54845581779833363</v>
      </c>
      <c r="P67" s="44">
        <f t="shared" si="291"/>
        <v>0.74677252241192638</v>
      </c>
      <c r="Q67" s="44">
        <f t="shared" si="291"/>
        <v>0.97417461014038964</v>
      </c>
      <c r="R67" s="44">
        <f t="shared" si="291"/>
        <v>1.2317266907065392</v>
      </c>
      <c r="S67" s="44">
        <f t="shared" si="291"/>
        <v>1.5205106939681787</v>
      </c>
      <c r="T67" s="44">
        <f t="shared" si="291"/>
        <v>1.8416256183252728</v>
      </c>
      <c r="U67" s="44">
        <f t="shared" si="291"/>
        <v>2.1961872481335138</v>
      </c>
      <c r="V67" s="44">
        <f t="shared" si="291"/>
        <v>2.5853278386642216</v>
      </c>
      <c r="W67" s="44">
        <f t="shared" si="291"/>
        <v>3.0101957670978776</v>
      </c>
      <c r="X67" s="44">
        <f t="shared" si="291"/>
        <v>3.471955147984354</v>
      </c>
      <c r="Y67" s="44">
        <f t="shared" si="291"/>
        <v>4.2156404943221295</v>
      </c>
      <c r="Z67" s="44">
        <f t="shared" si="291"/>
        <v>5.0191242016127706</v>
      </c>
      <c r="AA67" s="44">
        <f t="shared" si="291"/>
        <v>5.8827989104514762</v>
      </c>
      <c r="AB67" s="44">
        <f t="shared" si="291"/>
        <v>6.8069716674511174</v>
      </c>
      <c r="AC67" s="44">
        <f t="shared" si="291"/>
        <v>7.7918581495898502</v>
      </c>
      <c r="AD67" s="44">
        <f t="shared" si="291"/>
        <v>8.8375766403310951</v>
      </c>
      <c r="AE67" s="44">
        <f t="shared" si="291"/>
        <v>9.9441417488229309</v>
      </c>
      <c r="AF67" s="44">
        <f t="shared" si="291"/>
        <v>11.111457863215069</v>
      </c>
      <c r="AG67" s="44">
        <f t="shared" si="291"/>
        <v>12.339312328854909</v>
      </c>
      <c r="AH67" s="44">
        <f t="shared" si="291"/>
        <v>13.627368341839691</v>
      </c>
      <c r="AI67" s="44"/>
      <c r="AJ67" s="44">
        <f t="shared" ref="AJ67:BN67" si="292">AJ13*($EF67-$EG67)/30*(AJ$2-$D$2)</f>
        <v>0</v>
      </c>
      <c r="AK67" s="44">
        <f t="shared" si="292"/>
        <v>1.6444877939984523E-3</v>
      </c>
      <c r="AL67" s="44">
        <f t="shared" si="292"/>
        <v>6.68376377169436E-3</v>
      </c>
      <c r="AM67" s="44">
        <f t="shared" si="292"/>
        <v>1.5280372160075356E-2</v>
      </c>
      <c r="AN67" s="44">
        <f t="shared" si="292"/>
        <v>2.7602066681418336E-2</v>
      </c>
      <c r="AO67" s="44">
        <f t="shared" si="292"/>
        <v>4.382194958926347E-2</v>
      </c>
      <c r="AP67" s="44">
        <f t="shared" si="292"/>
        <v>6.4118614033790627E-2</v>
      </c>
      <c r="AQ67" s="44">
        <f t="shared" si="292"/>
        <v>8.8676289830610419E-2</v>
      </c>
      <c r="AR67" s="44">
        <f t="shared" si="292"/>
        <v>0.11768499270853695</v>
      </c>
      <c r="AS67" s="44">
        <f t="shared" si="292"/>
        <v>0.1513406771134948</v>
      </c>
      <c r="AT67" s="44">
        <f t="shared" si="292"/>
        <v>0.18984539264732991</v>
      </c>
      <c r="AU67" s="44">
        <f t="shared" si="292"/>
        <v>0.27599337160605469</v>
      </c>
      <c r="AV67" s="44">
        <f t="shared" si="292"/>
        <v>0.37671780006537259</v>
      </c>
      <c r="AW67" s="44">
        <f t="shared" si="292"/>
        <v>0.49266749372878033</v>
      </c>
      <c r="AX67" s="44">
        <f t="shared" si="292"/>
        <v>0.62451008650954254</v>
      </c>
      <c r="AY67" s="44">
        <f t="shared" si="292"/>
        <v>0.77293243842811443</v>
      </c>
      <c r="AZ67" s="44">
        <f t="shared" si="292"/>
        <v>0.93864104971149087</v>
      </c>
      <c r="BA67" s="44">
        <f t="shared" si="292"/>
        <v>1.1223624811169333</v>
      </c>
      <c r="BB67" s="44">
        <f t="shared" si="292"/>
        <v>1.3248437804996029</v>
      </c>
      <c r="BC67" s="44">
        <f t="shared" si="292"/>
        <v>1.5468529156405728</v>
      </c>
      <c r="BD67" s="44">
        <f t="shared" si="292"/>
        <v>1.7891792133484585</v>
      </c>
      <c r="BE67" s="44">
        <f t="shared" si="292"/>
        <v>2.1893380395049116</v>
      </c>
      <c r="BF67" s="44">
        <f t="shared" si="292"/>
        <v>2.6272647555178201</v>
      </c>
      <c r="BG67" s="44">
        <f t="shared" si="292"/>
        <v>3.1041717356511218</v>
      </c>
      <c r="BH67" s="44">
        <f t="shared" si="292"/>
        <v>3.6212865091366409</v>
      </c>
      <c r="BI67" s="44">
        <f t="shared" si="292"/>
        <v>4.1798512367087284</v>
      </c>
      <c r="BJ67" s="44">
        <f t="shared" si="292"/>
        <v>4.7811221431874911</v>
      </c>
      <c r="BK67" s="44">
        <f t="shared" si="292"/>
        <v>5.4263689041790322</v>
      </c>
      <c r="BL67" s="44">
        <f t="shared" si="292"/>
        <v>6.1168739848935818</v>
      </c>
      <c r="BM67" s="44">
        <f t="shared" si="292"/>
        <v>6.8539319290128926</v>
      </c>
      <c r="BN67" s="44">
        <f t="shared" si="292"/>
        <v>7.638848595466496</v>
      </c>
      <c r="BO67" s="44"/>
      <c r="BP67" s="44">
        <f t="shared" ref="BP67:CT67" si="293">BP13*($EF67-$EG67)/30*(BP$2-$D$2)</f>
        <v>0</v>
      </c>
      <c r="BQ67" s="44">
        <f t="shared" si="293"/>
        <v>0</v>
      </c>
      <c r="BR67" s="44">
        <f t="shared" si="293"/>
        <v>0</v>
      </c>
      <c r="BS67" s="44">
        <f t="shared" si="293"/>
        <v>0</v>
      </c>
      <c r="BT67" s="44">
        <f t="shared" si="293"/>
        <v>0</v>
      </c>
      <c r="BU67" s="44">
        <f t="shared" si="293"/>
        <v>0</v>
      </c>
      <c r="BV67" s="44">
        <f t="shared" si="293"/>
        <v>0</v>
      </c>
      <c r="BW67" s="44">
        <f t="shared" si="293"/>
        <v>0</v>
      </c>
      <c r="BX67" s="44">
        <f t="shared" si="293"/>
        <v>0</v>
      </c>
      <c r="BY67" s="44">
        <f t="shared" si="293"/>
        <v>0</v>
      </c>
      <c r="BZ67" s="44">
        <f t="shared" si="293"/>
        <v>0</v>
      </c>
      <c r="CA67" s="44">
        <f t="shared" si="293"/>
        <v>0</v>
      </c>
      <c r="CB67" s="44">
        <f t="shared" si="293"/>
        <v>0</v>
      </c>
      <c r="CC67" s="44">
        <f t="shared" si="293"/>
        <v>0</v>
      </c>
      <c r="CD67" s="44">
        <f t="shared" si="293"/>
        <v>0</v>
      </c>
      <c r="CE67" s="44">
        <f t="shared" si="293"/>
        <v>0</v>
      </c>
      <c r="CF67" s="44">
        <f t="shared" si="293"/>
        <v>0</v>
      </c>
      <c r="CG67" s="44">
        <f t="shared" si="293"/>
        <v>0</v>
      </c>
      <c r="CH67" s="44">
        <f t="shared" si="293"/>
        <v>0</v>
      </c>
      <c r="CI67" s="44">
        <f t="shared" si="293"/>
        <v>0</v>
      </c>
      <c r="CJ67" s="44">
        <f t="shared" si="293"/>
        <v>0</v>
      </c>
      <c r="CK67" s="44">
        <f t="shared" si="293"/>
        <v>0</v>
      </c>
      <c r="CL67" s="44">
        <f t="shared" si="293"/>
        <v>0</v>
      </c>
      <c r="CM67" s="44">
        <f t="shared" si="293"/>
        <v>0</v>
      </c>
      <c r="CN67" s="44">
        <f t="shared" si="293"/>
        <v>0</v>
      </c>
      <c r="CO67" s="44">
        <f t="shared" si="293"/>
        <v>0</v>
      </c>
      <c r="CP67" s="44">
        <f t="shared" si="293"/>
        <v>0</v>
      </c>
      <c r="CQ67" s="44">
        <f t="shared" si="293"/>
        <v>0</v>
      </c>
      <c r="CR67" s="44">
        <f t="shared" si="293"/>
        <v>0</v>
      </c>
      <c r="CS67" s="44">
        <f t="shared" si="293"/>
        <v>0</v>
      </c>
      <c r="CT67" s="44">
        <f t="shared" si="293"/>
        <v>0</v>
      </c>
      <c r="CU67" s="44"/>
      <c r="CV67" s="44">
        <f t="shared" ref="CV67:DZ67" si="294">CV13*($EF67-$EG67)/30*(CV$2-$D$2)</f>
        <v>0</v>
      </c>
      <c r="CW67" s="44">
        <f t="shared" si="294"/>
        <v>0</v>
      </c>
      <c r="CX67" s="44">
        <f t="shared" si="294"/>
        <v>0</v>
      </c>
      <c r="CY67" s="44">
        <f t="shared" si="294"/>
        <v>0</v>
      </c>
      <c r="CZ67" s="44">
        <f t="shared" si="294"/>
        <v>0</v>
      </c>
      <c r="DA67" s="44">
        <f t="shared" si="294"/>
        <v>0</v>
      </c>
      <c r="DB67" s="44">
        <f t="shared" si="294"/>
        <v>0</v>
      </c>
      <c r="DC67" s="44">
        <f t="shared" si="294"/>
        <v>0</v>
      </c>
      <c r="DD67" s="44">
        <f t="shared" si="294"/>
        <v>0</v>
      </c>
      <c r="DE67" s="44">
        <f t="shared" si="294"/>
        <v>0</v>
      </c>
      <c r="DF67" s="44">
        <f t="shared" si="294"/>
        <v>0</v>
      </c>
      <c r="DG67" s="44">
        <f t="shared" si="294"/>
        <v>0</v>
      </c>
      <c r="DH67" s="44">
        <f t="shared" si="294"/>
        <v>0</v>
      </c>
      <c r="DI67" s="44">
        <f t="shared" si="294"/>
        <v>0</v>
      </c>
      <c r="DJ67" s="44">
        <f t="shared" si="294"/>
        <v>0</v>
      </c>
      <c r="DK67" s="44">
        <f t="shared" si="294"/>
        <v>0</v>
      </c>
      <c r="DL67" s="44">
        <f t="shared" si="294"/>
        <v>0</v>
      </c>
      <c r="DM67" s="44">
        <f t="shared" si="294"/>
        <v>0</v>
      </c>
      <c r="DN67" s="44">
        <f t="shared" si="294"/>
        <v>0</v>
      </c>
      <c r="DO67" s="44">
        <f t="shared" si="294"/>
        <v>0</v>
      </c>
      <c r="DP67" s="44">
        <f t="shared" si="294"/>
        <v>0</v>
      </c>
      <c r="DQ67" s="44">
        <f t="shared" si="294"/>
        <v>0</v>
      </c>
      <c r="DR67" s="44">
        <f t="shared" si="294"/>
        <v>0</v>
      </c>
      <c r="DS67" s="44">
        <f t="shared" si="294"/>
        <v>0</v>
      </c>
      <c r="DT67" s="44">
        <f t="shared" si="294"/>
        <v>0</v>
      </c>
      <c r="DU67" s="44">
        <f t="shared" si="294"/>
        <v>0</v>
      </c>
      <c r="DV67" s="44">
        <f t="shared" si="294"/>
        <v>0</v>
      </c>
      <c r="DW67" s="44">
        <f t="shared" si="294"/>
        <v>0</v>
      </c>
      <c r="DX67" s="44">
        <f t="shared" si="294"/>
        <v>0</v>
      </c>
      <c r="DY67" s="44">
        <f t="shared" si="294"/>
        <v>0</v>
      </c>
      <c r="DZ67" s="44">
        <f t="shared" si="294"/>
        <v>0</v>
      </c>
      <c r="EF67" s="610">
        <v>1</v>
      </c>
      <c r="EG67" s="51">
        <v>0</v>
      </c>
      <c r="EH67" s="51"/>
      <c r="EI67" s="51"/>
      <c r="EJ67" s="51"/>
    </row>
    <row r="68" spans="1:143" x14ac:dyDescent="0.2">
      <c r="A68" s="1"/>
      <c r="B68" t="str">
        <f t="shared" si="270"/>
        <v>Building reduction</v>
      </c>
      <c r="C68" s="54" t="s">
        <v>110</v>
      </c>
      <c r="D68" s="44">
        <f t="shared" ref="D68:AH68" si="295">D14*($EF68-$EG68)/30*(D$2-$D$2)</f>
        <v>0</v>
      </c>
      <c r="E68" s="44">
        <f t="shared" si="295"/>
        <v>0</v>
      </c>
      <c r="F68" s="44">
        <f t="shared" si="295"/>
        <v>0</v>
      </c>
      <c r="G68" s="44">
        <f t="shared" si="295"/>
        <v>0</v>
      </c>
      <c r="H68" s="44">
        <f t="shared" si="295"/>
        <v>0</v>
      </c>
      <c r="I68" s="44">
        <f t="shared" si="295"/>
        <v>0</v>
      </c>
      <c r="J68" s="44">
        <f t="shared" si="295"/>
        <v>0</v>
      </c>
      <c r="K68" s="44">
        <f t="shared" si="295"/>
        <v>0</v>
      </c>
      <c r="L68" s="44">
        <f t="shared" si="295"/>
        <v>0</v>
      </c>
      <c r="M68" s="44">
        <f t="shared" si="295"/>
        <v>0</v>
      </c>
      <c r="N68" s="44">
        <f t="shared" si="295"/>
        <v>0</v>
      </c>
      <c r="O68" s="44">
        <f t="shared" si="295"/>
        <v>0</v>
      </c>
      <c r="P68" s="44">
        <f t="shared" si="295"/>
        <v>0</v>
      </c>
      <c r="Q68" s="44">
        <f t="shared" si="295"/>
        <v>0</v>
      </c>
      <c r="R68" s="44">
        <f t="shared" si="295"/>
        <v>0</v>
      </c>
      <c r="S68" s="44">
        <f t="shared" si="295"/>
        <v>0</v>
      </c>
      <c r="T68" s="44">
        <f t="shared" si="295"/>
        <v>0</v>
      </c>
      <c r="U68" s="44">
        <f t="shared" si="295"/>
        <v>0</v>
      </c>
      <c r="V68" s="44">
        <f t="shared" si="295"/>
        <v>0</v>
      </c>
      <c r="W68" s="44">
        <f t="shared" si="295"/>
        <v>0</v>
      </c>
      <c r="X68" s="44">
        <f t="shared" si="295"/>
        <v>0</v>
      </c>
      <c r="Y68" s="44">
        <f t="shared" si="295"/>
        <v>0</v>
      </c>
      <c r="Z68" s="44">
        <f t="shared" si="295"/>
        <v>0</v>
      </c>
      <c r="AA68" s="44">
        <f t="shared" si="295"/>
        <v>0</v>
      </c>
      <c r="AB68" s="44">
        <f t="shared" si="295"/>
        <v>0</v>
      </c>
      <c r="AC68" s="44">
        <f t="shared" si="295"/>
        <v>0</v>
      </c>
      <c r="AD68" s="44">
        <f t="shared" si="295"/>
        <v>0</v>
      </c>
      <c r="AE68" s="44">
        <f t="shared" si="295"/>
        <v>0</v>
      </c>
      <c r="AF68" s="44">
        <f t="shared" si="295"/>
        <v>0</v>
      </c>
      <c r="AG68" s="44">
        <f t="shared" si="295"/>
        <v>0</v>
      </c>
      <c r="AH68" s="44">
        <f t="shared" si="295"/>
        <v>0</v>
      </c>
      <c r="AI68" s="44"/>
      <c r="AJ68" s="44">
        <f t="shared" ref="AJ68:BN68" si="296">AJ14*($EF68-$EG68)/30*(AJ$2-$D$2)</f>
        <v>0</v>
      </c>
      <c r="AK68" s="44">
        <f t="shared" si="296"/>
        <v>0</v>
      </c>
      <c r="AL68" s="44">
        <f t="shared" si="296"/>
        <v>0</v>
      </c>
      <c r="AM68" s="44">
        <f t="shared" si="296"/>
        <v>0</v>
      </c>
      <c r="AN68" s="44">
        <f t="shared" si="296"/>
        <v>0</v>
      </c>
      <c r="AO68" s="44">
        <f t="shared" si="296"/>
        <v>0</v>
      </c>
      <c r="AP68" s="44">
        <f t="shared" si="296"/>
        <v>0</v>
      </c>
      <c r="AQ68" s="44">
        <f t="shared" si="296"/>
        <v>0</v>
      </c>
      <c r="AR68" s="44">
        <f t="shared" si="296"/>
        <v>0</v>
      </c>
      <c r="AS68" s="44">
        <f t="shared" si="296"/>
        <v>0</v>
      </c>
      <c r="AT68" s="44">
        <f t="shared" si="296"/>
        <v>0</v>
      </c>
      <c r="AU68" s="44">
        <f t="shared" si="296"/>
        <v>0</v>
      </c>
      <c r="AV68" s="44">
        <f t="shared" si="296"/>
        <v>0</v>
      </c>
      <c r="AW68" s="44">
        <f t="shared" si="296"/>
        <v>0</v>
      </c>
      <c r="AX68" s="44">
        <f t="shared" si="296"/>
        <v>0</v>
      </c>
      <c r="AY68" s="44">
        <f t="shared" si="296"/>
        <v>0</v>
      </c>
      <c r="AZ68" s="44">
        <f t="shared" si="296"/>
        <v>0</v>
      </c>
      <c r="BA68" s="44">
        <f t="shared" si="296"/>
        <v>0</v>
      </c>
      <c r="BB68" s="44">
        <f t="shared" si="296"/>
        <v>0</v>
      </c>
      <c r="BC68" s="44">
        <f t="shared" si="296"/>
        <v>0</v>
      </c>
      <c r="BD68" s="44">
        <f t="shared" si="296"/>
        <v>0</v>
      </c>
      <c r="BE68" s="44">
        <f t="shared" si="296"/>
        <v>0</v>
      </c>
      <c r="BF68" s="44">
        <f t="shared" si="296"/>
        <v>0</v>
      </c>
      <c r="BG68" s="44">
        <f t="shared" si="296"/>
        <v>0</v>
      </c>
      <c r="BH68" s="44">
        <f t="shared" si="296"/>
        <v>0</v>
      </c>
      <c r="BI68" s="44">
        <f t="shared" si="296"/>
        <v>0</v>
      </c>
      <c r="BJ68" s="44">
        <f t="shared" si="296"/>
        <v>0</v>
      </c>
      <c r="BK68" s="44">
        <f t="shared" si="296"/>
        <v>0</v>
      </c>
      <c r="BL68" s="44">
        <f t="shared" si="296"/>
        <v>0</v>
      </c>
      <c r="BM68" s="44">
        <f t="shared" si="296"/>
        <v>0</v>
      </c>
      <c r="BN68" s="44">
        <f t="shared" si="296"/>
        <v>0</v>
      </c>
      <c r="BO68" s="44"/>
      <c r="BP68" s="44">
        <f t="shared" ref="BP68:CT68" si="297">BP14*($EF68-$EG68)/30*(BP$2-$D$2)</f>
        <v>0</v>
      </c>
      <c r="BQ68" s="44">
        <f t="shared" si="297"/>
        <v>0</v>
      </c>
      <c r="BR68" s="44">
        <f t="shared" si="297"/>
        <v>0</v>
      </c>
      <c r="BS68" s="44">
        <f t="shared" si="297"/>
        <v>0</v>
      </c>
      <c r="BT68" s="44">
        <f t="shared" si="297"/>
        <v>0</v>
      </c>
      <c r="BU68" s="44">
        <f t="shared" si="297"/>
        <v>0</v>
      </c>
      <c r="BV68" s="44">
        <f t="shared" si="297"/>
        <v>0</v>
      </c>
      <c r="BW68" s="44">
        <f t="shared" si="297"/>
        <v>0</v>
      </c>
      <c r="BX68" s="44">
        <f t="shared" si="297"/>
        <v>0</v>
      </c>
      <c r="BY68" s="44">
        <f t="shared" si="297"/>
        <v>0</v>
      </c>
      <c r="BZ68" s="44">
        <f t="shared" si="297"/>
        <v>0</v>
      </c>
      <c r="CA68" s="44">
        <f t="shared" si="297"/>
        <v>0</v>
      </c>
      <c r="CB68" s="44">
        <f t="shared" si="297"/>
        <v>0</v>
      </c>
      <c r="CC68" s="44">
        <f t="shared" si="297"/>
        <v>0</v>
      </c>
      <c r="CD68" s="44">
        <f t="shared" si="297"/>
        <v>0</v>
      </c>
      <c r="CE68" s="44">
        <f t="shared" si="297"/>
        <v>0</v>
      </c>
      <c r="CF68" s="44">
        <f t="shared" si="297"/>
        <v>0</v>
      </c>
      <c r="CG68" s="44">
        <f t="shared" si="297"/>
        <v>0</v>
      </c>
      <c r="CH68" s="44">
        <f t="shared" si="297"/>
        <v>0</v>
      </c>
      <c r="CI68" s="44">
        <f t="shared" si="297"/>
        <v>0</v>
      </c>
      <c r="CJ68" s="44">
        <f t="shared" si="297"/>
        <v>0</v>
      </c>
      <c r="CK68" s="44">
        <f t="shared" si="297"/>
        <v>0</v>
      </c>
      <c r="CL68" s="44">
        <f t="shared" si="297"/>
        <v>0</v>
      </c>
      <c r="CM68" s="44">
        <f t="shared" si="297"/>
        <v>0</v>
      </c>
      <c r="CN68" s="44">
        <f t="shared" si="297"/>
        <v>0</v>
      </c>
      <c r="CO68" s="44">
        <f t="shared" si="297"/>
        <v>0</v>
      </c>
      <c r="CP68" s="44">
        <f t="shared" si="297"/>
        <v>0</v>
      </c>
      <c r="CQ68" s="44">
        <f t="shared" si="297"/>
        <v>0</v>
      </c>
      <c r="CR68" s="44">
        <f t="shared" si="297"/>
        <v>0</v>
      </c>
      <c r="CS68" s="44">
        <f t="shared" si="297"/>
        <v>0</v>
      </c>
      <c r="CT68" s="44">
        <f t="shared" si="297"/>
        <v>0</v>
      </c>
      <c r="CU68" s="44"/>
      <c r="CV68" s="44">
        <f t="shared" ref="CV68:DZ68" si="298">CV14*($EF68-$EG68)/30*(CV$2-$D$2)</f>
        <v>0</v>
      </c>
      <c r="CW68" s="44">
        <f t="shared" si="298"/>
        <v>0</v>
      </c>
      <c r="CX68" s="44">
        <f t="shared" si="298"/>
        <v>0</v>
      </c>
      <c r="CY68" s="44">
        <f t="shared" si="298"/>
        <v>0</v>
      </c>
      <c r="CZ68" s="44">
        <f t="shared" si="298"/>
        <v>0</v>
      </c>
      <c r="DA68" s="44">
        <f t="shared" si="298"/>
        <v>0</v>
      </c>
      <c r="DB68" s="44">
        <f t="shared" si="298"/>
        <v>0</v>
      </c>
      <c r="DC68" s="44">
        <f t="shared" si="298"/>
        <v>0</v>
      </c>
      <c r="DD68" s="44">
        <f t="shared" si="298"/>
        <v>0</v>
      </c>
      <c r="DE68" s="44">
        <f t="shared" si="298"/>
        <v>0</v>
      </c>
      <c r="DF68" s="44">
        <f t="shared" si="298"/>
        <v>0</v>
      </c>
      <c r="DG68" s="44">
        <f t="shared" si="298"/>
        <v>0</v>
      </c>
      <c r="DH68" s="44">
        <f t="shared" si="298"/>
        <v>0</v>
      </c>
      <c r="DI68" s="44">
        <f t="shared" si="298"/>
        <v>0</v>
      </c>
      <c r="DJ68" s="44">
        <f t="shared" si="298"/>
        <v>0</v>
      </c>
      <c r="DK68" s="44">
        <f t="shared" si="298"/>
        <v>0</v>
      </c>
      <c r="DL68" s="44">
        <f t="shared" si="298"/>
        <v>0</v>
      </c>
      <c r="DM68" s="44">
        <f t="shared" si="298"/>
        <v>0</v>
      </c>
      <c r="DN68" s="44">
        <f t="shared" si="298"/>
        <v>0</v>
      </c>
      <c r="DO68" s="44">
        <f t="shared" si="298"/>
        <v>0</v>
      </c>
      <c r="DP68" s="44">
        <f t="shared" si="298"/>
        <v>0</v>
      </c>
      <c r="DQ68" s="44">
        <f t="shared" si="298"/>
        <v>0</v>
      </c>
      <c r="DR68" s="44">
        <f t="shared" si="298"/>
        <v>0</v>
      </c>
      <c r="DS68" s="44">
        <f t="shared" si="298"/>
        <v>0</v>
      </c>
      <c r="DT68" s="44">
        <f t="shared" si="298"/>
        <v>0</v>
      </c>
      <c r="DU68" s="44">
        <f t="shared" si="298"/>
        <v>0</v>
      </c>
      <c r="DV68" s="44">
        <f t="shared" si="298"/>
        <v>0</v>
      </c>
      <c r="DW68" s="44">
        <f t="shared" si="298"/>
        <v>0</v>
      </c>
      <c r="DX68" s="44">
        <f t="shared" si="298"/>
        <v>0</v>
      </c>
      <c r="DY68" s="44">
        <f t="shared" si="298"/>
        <v>0</v>
      </c>
      <c r="DZ68" s="44">
        <f t="shared" si="298"/>
        <v>0</v>
      </c>
      <c r="EF68" s="51">
        <v>0</v>
      </c>
      <c r="EG68" s="51">
        <v>0</v>
      </c>
      <c r="EH68" s="51"/>
      <c r="EI68" s="51"/>
      <c r="EJ68" s="51"/>
      <c r="EM68" t="s">
        <v>99</v>
      </c>
    </row>
    <row r="69" spans="1:143" x14ac:dyDescent="0.2">
      <c r="A69" s="1"/>
      <c r="B69" t="str">
        <f t="shared" si="270"/>
        <v>Building substitution</v>
      </c>
      <c r="C69" s="54" t="s">
        <v>110</v>
      </c>
      <c r="D69" s="44">
        <f t="shared" ref="D69:AH69" si="299">D15*($EF69-$EG69)/30*(D$2-$D$2)</f>
        <v>0</v>
      </c>
      <c r="E69" s="44">
        <f t="shared" si="299"/>
        <v>2.7844044645532431E-2</v>
      </c>
      <c r="F69" s="44">
        <f t="shared" si="299"/>
        <v>0.11309217308219484</v>
      </c>
      <c r="G69" s="44">
        <f t="shared" si="299"/>
        <v>0.25837964100712946</v>
      </c>
      <c r="H69" s="44">
        <f t="shared" si="299"/>
        <v>0.46642515574653903</v>
      </c>
      <c r="I69" s="44">
        <f t="shared" si="299"/>
        <v>0.74003312967485646</v>
      </c>
      <c r="J69" s="44">
        <f t="shared" si="299"/>
        <v>1.0820959892773085</v>
      </c>
      <c r="K69" s="44">
        <f t="shared" si="299"/>
        <v>1.4955965411522927</v>
      </c>
      <c r="L69" s="44">
        <f t="shared" si="299"/>
        <v>1.9836103962789589</v>
      </c>
      <c r="M69" s="44">
        <f t="shared" si="299"/>
        <v>2.5493084539049979</v>
      </c>
      <c r="N69" s="44">
        <f t="shared" si="299"/>
        <v>3.1959594464398808</v>
      </c>
      <c r="O69" s="44">
        <f t="shared" si="299"/>
        <v>3.9269325467696912</v>
      </c>
      <c r="P69" s="44">
        <f t="shared" si="299"/>
        <v>4.7457000394412745</v>
      </c>
      <c r="Q69" s="44">
        <f t="shared" si="299"/>
        <v>5.6558400571956451</v>
      </c>
      <c r="R69" s="44">
        <f t="shared" si="299"/>
        <v>6.6610393843635798</v>
      </c>
      <c r="S69" s="44">
        <f t="shared" si="299"/>
        <v>7.7650963286699817</v>
      </c>
      <c r="T69" s="44">
        <f t="shared" si="299"/>
        <v>8.9719236630279049</v>
      </c>
      <c r="U69" s="44">
        <f t="shared" si="299"/>
        <v>10.285551638938404</v>
      </c>
      <c r="V69" s="44">
        <f t="shared" si="299"/>
        <v>11.710131073148116</v>
      </c>
      <c r="W69" s="44">
        <f t="shared" si="299"/>
        <v>13.249936509253182</v>
      </c>
      <c r="X69" s="44">
        <f t="shared" si="299"/>
        <v>14.909369455975652</v>
      </c>
      <c r="Y69" s="44">
        <f t="shared" si="299"/>
        <v>16.717049671703272</v>
      </c>
      <c r="Z69" s="44">
        <f t="shared" si="299"/>
        <v>18.656633209147746</v>
      </c>
      <c r="AA69" s="44">
        <f t="shared" si="299"/>
        <v>20.733049316869391</v>
      </c>
      <c r="AB69" s="44">
        <f t="shared" si="299"/>
        <v>22.951371827102946</v>
      </c>
      <c r="AC69" s="44">
        <f t="shared" si="299"/>
        <v>25.316822907054952</v>
      </c>
      <c r="AD69" s="44">
        <f t="shared" si="299"/>
        <v>27.834776900563146</v>
      </c>
      <c r="AE69" s="44">
        <f t="shared" si="299"/>
        <v>30.510764262187305</v>
      </c>
      <c r="AF69" s="44">
        <f t="shared" si="299"/>
        <v>33.350475585846993</v>
      </c>
      <c r="AG69" s="44">
        <f t="shared" si="299"/>
        <v>36.359765730167794</v>
      </c>
      <c r="AH69" s="44">
        <f t="shared" si="299"/>
        <v>39.544658042745773</v>
      </c>
      <c r="AI69" s="44"/>
      <c r="AJ69" s="44">
        <f t="shared" ref="AJ69:BN69" si="300">AJ15*($EF69-$EG69)/30*(AJ$2-$D$2)</f>
        <v>0</v>
      </c>
      <c r="AK69" s="44">
        <f t="shared" si="300"/>
        <v>1.3922022322766216E-2</v>
      </c>
      <c r="AL69" s="44">
        <f t="shared" si="300"/>
        <v>5.6546086541097419E-2</v>
      </c>
      <c r="AM69" s="44">
        <f t="shared" si="300"/>
        <v>0.12918982050356473</v>
      </c>
      <c r="AN69" s="44">
        <f t="shared" si="300"/>
        <v>0.23321257787326952</v>
      </c>
      <c r="AO69" s="44">
        <f t="shared" si="300"/>
        <v>0.37001656483742823</v>
      </c>
      <c r="AP69" s="44">
        <f t="shared" si="300"/>
        <v>0.54104799463865427</v>
      </c>
      <c r="AQ69" s="44">
        <f t="shared" si="300"/>
        <v>0.74779827057614634</v>
      </c>
      <c r="AR69" s="44">
        <f t="shared" si="300"/>
        <v>0.99180519813947943</v>
      </c>
      <c r="AS69" s="44">
        <f t="shared" si="300"/>
        <v>1.274654226952499</v>
      </c>
      <c r="AT69" s="44">
        <f t="shared" si="300"/>
        <v>1.5979797232199404</v>
      </c>
      <c r="AU69" s="44">
        <f t="shared" si="300"/>
        <v>1.9634662733848456</v>
      </c>
      <c r="AV69" s="44">
        <f t="shared" si="300"/>
        <v>2.3728500197206372</v>
      </c>
      <c r="AW69" s="44">
        <f t="shared" si="300"/>
        <v>2.8279200285978225</v>
      </c>
      <c r="AX69" s="44">
        <f t="shared" si="300"/>
        <v>3.3305196921817899</v>
      </c>
      <c r="AY69" s="44">
        <f t="shared" si="300"/>
        <v>3.8825481643349908</v>
      </c>
      <c r="AZ69" s="44">
        <f t="shared" si="300"/>
        <v>4.4859618315139524</v>
      </c>
      <c r="BA69" s="44">
        <f t="shared" si="300"/>
        <v>5.1427758194692021</v>
      </c>
      <c r="BB69" s="44">
        <f t="shared" si="300"/>
        <v>5.8550655365740578</v>
      </c>
      <c r="BC69" s="44">
        <f t="shared" si="300"/>
        <v>6.6249682546265909</v>
      </c>
      <c r="BD69" s="44">
        <f t="shared" si="300"/>
        <v>7.4546847279878259</v>
      </c>
      <c r="BE69" s="44">
        <f t="shared" si="300"/>
        <v>8.358524835851636</v>
      </c>
      <c r="BF69" s="44">
        <f t="shared" si="300"/>
        <v>9.3283166045738728</v>
      </c>
      <c r="BG69" s="44">
        <f t="shared" si="300"/>
        <v>10.366524658434695</v>
      </c>
      <c r="BH69" s="44">
        <f t="shared" si="300"/>
        <v>11.475685913551473</v>
      </c>
      <c r="BI69" s="44">
        <f t="shared" si="300"/>
        <v>12.658411453527476</v>
      </c>
      <c r="BJ69" s="44">
        <f t="shared" si="300"/>
        <v>13.917388450281573</v>
      </c>
      <c r="BK69" s="44">
        <f t="shared" si="300"/>
        <v>15.255382131093652</v>
      </c>
      <c r="BL69" s="44">
        <f t="shared" si="300"/>
        <v>16.675237792923497</v>
      </c>
      <c r="BM69" s="44">
        <f t="shared" si="300"/>
        <v>18.179882865083897</v>
      </c>
      <c r="BN69" s="44">
        <f t="shared" si="300"/>
        <v>19.772329021372887</v>
      </c>
      <c r="BO69" s="44"/>
      <c r="BP69" s="44">
        <f t="shared" ref="BP69:CT69" si="301">BP15*($EF69-$EG69)/30*(BP$2-$D$2)</f>
        <v>0</v>
      </c>
      <c r="BQ69" s="44">
        <f t="shared" si="301"/>
        <v>0</v>
      </c>
      <c r="BR69" s="44">
        <f t="shared" si="301"/>
        <v>0</v>
      </c>
      <c r="BS69" s="44">
        <f t="shared" si="301"/>
        <v>0</v>
      </c>
      <c r="BT69" s="44">
        <f t="shared" si="301"/>
        <v>0</v>
      </c>
      <c r="BU69" s="44">
        <f t="shared" si="301"/>
        <v>0</v>
      </c>
      <c r="BV69" s="44">
        <f t="shared" si="301"/>
        <v>0</v>
      </c>
      <c r="BW69" s="44">
        <f t="shared" si="301"/>
        <v>0</v>
      </c>
      <c r="BX69" s="44">
        <f t="shared" si="301"/>
        <v>0</v>
      </c>
      <c r="BY69" s="44">
        <f t="shared" si="301"/>
        <v>0</v>
      </c>
      <c r="BZ69" s="44">
        <f t="shared" si="301"/>
        <v>0</v>
      </c>
      <c r="CA69" s="44">
        <f t="shared" si="301"/>
        <v>0</v>
      </c>
      <c r="CB69" s="44">
        <f t="shared" si="301"/>
        <v>0</v>
      </c>
      <c r="CC69" s="44">
        <f t="shared" si="301"/>
        <v>0</v>
      </c>
      <c r="CD69" s="44">
        <f t="shared" si="301"/>
        <v>0</v>
      </c>
      <c r="CE69" s="44">
        <f t="shared" si="301"/>
        <v>0</v>
      </c>
      <c r="CF69" s="44">
        <f t="shared" si="301"/>
        <v>0</v>
      </c>
      <c r="CG69" s="44">
        <f t="shared" si="301"/>
        <v>0</v>
      </c>
      <c r="CH69" s="44">
        <f t="shared" si="301"/>
        <v>0</v>
      </c>
      <c r="CI69" s="44">
        <f t="shared" si="301"/>
        <v>0</v>
      </c>
      <c r="CJ69" s="44">
        <f t="shared" si="301"/>
        <v>0</v>
      </c>
      <c r="CK69" s="44">
        <f t="shared" si="301"/>
        <v>0</v>
      </c>
      <c r="CL69" s="44">
        <f t="shared" si="301"/>
        <v>0</v>
      </c>
      <c r="CM69" s="44">
        <f t="shared" si="301"/>
        <v>0</v>
      </c>
      <c r="CN69" s="44">
        <f t="shared" si="301"/>
        <v>0</v>
      </c>
      <c r="CO69" s="44">
        <f t="shared" si="301"/>
        <v>0</v>
      </c>
      <c r="CP69" s="44">
        <f t="shared" si="301"/>
        <v>0</v>
      </c>
      <c r="CQ69" s="44">
        <f t="shared" si="301"/>
        <v>0</v>
      </c>
      <c r="CR69" s="44">
        <f t="shared" si="301"/>
        <v>0</v>
      </c>
      <c r="CS69" s="44">
        <f t="shared" si="301"/>
        <v>0</v>
      </c>
      <c r="CT69" s="44">
        <f t="shared" si="301"/>
        <v>0</v>
      </c>
      <c r="CU69" s="44"/>
      <c r="CV69" s="44">
        <f t="shared" ref="CV69:DZ69" si="302">CV15*($EF69-$EG69)/30*(CV$2-$D$2)</f>
        <v>0</v>
      </c>
      <c r="CW69" s="44">
        <f t="shared" si="302"/>
        <v>0</v>
      </c>
      <c r="CX69" s="44">
        <f t="shared" si="302"/>
        <v>0</v>
      </c>
      <c r="CY69" s="44">
        <f t="shared" si="302"/>
        <v>0</v>
      </c>
      <c r="CZ69" s="44">
        <f t="shared" si="302"/>
        <v>0</v>
      </c>
      <c r="DA69" s="44">
        <f t="shared" si="302"/>
        <v>0</v>
      </c>
      <c r="DB69" s="44">
        <f t="shared" si="302"/>
        <v>0</v>
      </c>
      <c r="DC69" s="44">
        <f t="shared" si="302"/>
        <v>0</v>
      </c>
      <c r="DD69" s="44">
        <f t="shared" si="302"/>
        <v>0</v>
      </c>
      <c r="DE69" s="44">
        <f t="shared" si="302"/>
        <v>0</v>
      </c>
      <c r="DF69" s="44">
        <f t="shared" si="302"/>
        <v>0</v>
      </c>
      <c r="DG69" s="44">
        <f t="shared" si="302"/>
        <v>0</v>
      </c>
      <c r="DH69" s="44">
        <f t="shared" si="302"/>
        <v>0</v>
      </c>
      <c r="DI69" s="44">
        <f t="shared" si="302"/>
        <v>0</v>
      </c>
      <c r="DJ69" s="44">
        <f t="shared" si="302"/>
        <v>0</v>
      </c>
      <c r="DK69" s="44">
        <f t="shared" si="302"/>
        <v>0</v>
      </c>
      <c r="DL69" s="44">
        <f t="shared" si="302"/>
        <v>0</v>
      </c>
      <c r="DM69" s="44">
        <f t="shared" si="302"/>
        <v>0</v>
      </c>
      <c r="DN69" s="44">
        <f t="shared" si="302"/>
        <v>0</v>
      </c>
      <c r="DO69" s="44">
        <f t="shared" si="302"/>
        <v>0</v>
      </c>
      <c r="DP69" s="44">
        <f t="shared" si="302"/>
        <v>0</v>
      </c>
      <c r="DQ69" s="44">
        <f t="shared" si="302"/>
        <v>0</v>
      </c>
      <c r="DR69" s="44">
        <f t="shared" si="302"/>
        <v>0</v>
      </c>
      <c r="DS69" s="44">
        <f t="shared" si="302"/>
        <v>0</v>
      </c>
      <c r="DT69" s="44">
        <f t="shared" si="302"/>
        <v>0</v>
      </c>
      <c r="DU69" s="44">
        <f t="shared" si="302"/>
        <v>0</v>
      </c>
      <c r="DV69" s="44">
        <f t="shared" si="302"/>
        <v>0</v>
      </c>
      <c r="DW69" s="44">
        <f t="shared" si="302"/>
        <v>0</v>
      </c>
      <c r="DX69" s="44">
        <f t="shared" si="302"/>
        <v>0</v>
      </c>
      <c r="DY69" s="44">
        <f t="shared" si="302"/>
        <v>0</v>
      </c>
      <c r="DZ69" s="44">
        <f t="shared" si="302"/>
        <v>0</v>
      </c>
      <c r="EF69" s="610">
        <v>2.5</v>
      </c>
      <c r="EG69" s="51">
        <v>0</v>
      </c>
      <c r="EH69" s="51"/>
      <c r="EI69" s="51"/>
      <c r="EJ69" s="51"/>
      <c r="EM69" t="s">
        <v>99</v>
      </c>
    </row>
    <row r="70" spans="1:143" x14ac:dyDescent="0.2">
      <c r="A70" s="1"/>
      <c r="B70" t="str">
        <f t="shared" si="270"/>
        <v>Apparel - waste reduction</v>
      </c>
      <c r="C70" s="54" t="s">
        <v>110</v>
      </c>
      <c r="D70" s="44">
        <f t="shared" ref="D70:AH70" si="303">D16*($EF70-$EG70)/30*(D$2-$D$2)</f>
        <v>0</v>
      </c>
      <c r="E70" s="44">
        <f t="shared" si="303"/>
        <v>0</v>
      </c>
      <c r="F70" s="44">
        <f t="shared" si="303"/>
        <v>0</v>
      </c>
      <c r="G70" s="44">
        <f t="shared" si="303"/>
        <v>0</v>
      </c>
      <c r="H70" s="44">
        <f t="shared" si="303"/>
        <v>0</v>
      </c>
      <c r="I70" s="44">
        <f t="shared" si="303"/>
        <v>0</v>
      </c>
      <c r="J70" s="44">
        <f t="shared" si="303"/>
        <v>0</v>
      </c>
      <c r="K70" s="44">
        <f t="shared" si="303"/>
        <v>0</v>
      </c>
      <c r="L70" s="44">
        <f t="shared" si="303"/>
        <v>0</v>
      </c>
      <c r="M70" s="44">
        <f t="shared" si="303"/>
        <v>0</v>
      </c>
      <c r="N70" s="44">
        <f t="shared" si="303"/>
        <v>0</v>
      </c>
      <c r="O70" s="44">
        <f t="shared" si="303"/>
        <v>0</v>
      </c>
      <c r="P70" s="44">
        <f t="shared" si="303"/>
        <v>0</v>
      </c>
      <c r="Q70" s="44">
        <f t="shared" si="303"/>
        <v>0</v>
      </c>
      <c r="R70" s="44">
        <f t="shared" si="303"/>
        <v>0</v>
      </c>
      <c r="S70" s="44">
        <f t="shared" si="303"/>
        <v>0</v>
      </c>
      <c r="T70" s="44">
        <f t="shared" si="303"/>
        <v>0</v>
      </c>
      <c r="U70" s="44">
        <f t="shared" si="303"/>
        <v>0</v>
      </c>
      <c r="V70" s="44">
        <f t="shared" si="303"/>
        <v>0</v>
      </c>
      <c r="W70" s="44">
        <f t="shared" si="303"/>
        <v>0</v>
      </c>
      <c r="X70" s="44">
        <f t="shared" si="303"/>
        <v>0</v>
      </c>
      <c r="Y70" s="44">
        <f t="shared" si="303"/>
        <v>0</v>
      </c>
      <c r="Z70" s="44">
        <f t="shared" si="303"/>
        <v>0</v>
      </c>
      <c r="AA70" s="44">
        <f t="shared" si="303"/>
        <v>0</v>
      </c>
      <c r="AB70" s="44">
        <f t="shared" si="303"/>
        <v>0</v>
      </c>
      <c r="AC70" s="44">
        <f t="shared" si="303"/>
        <v>0</v>
      </c>
      <c r="AD70" s="44">
        <f t="shared" si="303"/>
        <v>0</v>
      </c>
      <c r="AE70" s="44">
        <f t="shared" si="303"/>
        <v>0</v>
      </c>
      <c r="AF70" s="44">
        <f t="shared" si="303"/>
        <v>0</v>
      </c>
      <c r="AG70" s="44">
        <f t="shared" si="303"/>
        <v>0</v>
      </c>
      <c r="AH70" s="44">
        <f t="shared" si="303"/>
        <v>0</v>
      </c>
      <c r="AI70" s="44"/>
      <c r="AJ70" s="44">
        <f t="shared" ref="AJ70:BN70" si="304">AJ16*($EF70-$EG70)/30*(AJ$2-$D$2)</f>
        <v>0</v>
      </c>
      <c r="AK70" s="44">
        <f t="shared" si="304"/>
        <v>0</v>
      </c>
      <c r="AL70" s="44">
        <f t="shared" si="304"/>
        <v>0</v>
      </c>
      <c r="AM70" s="44">
        <f t="shared" si="304"/>
        <v>0</v>
      </c>
      <c r="AN70" s="44">
        <f t="shared" si="304"/>
        <v>0</v>
      </c>
      <c r="AO70" s="44">
        <f t="shared" si="304"/>
        <v>0</v>
      </c>
      <c r="AP70" s="44">
        <f t="shared" si="304"/>
        <v>0</v>
      </c>
      <c r="AQ70" s="44">
        <f t="shared" si="304"/>
        <v>0</v>
      </c>
      <c r="AR70" s="44">
        <f t="shared" si="304"/>
        <v>0</v>
      </c>
      <c r="AS70" s="44">
        <f t="shared" si="304"/>
        <v>0</v>
      </c>
      <c r="AT70" s="44">
        <f t="shared" si="304"/>
        <v>0</v>
      </c>
      <c r="AU70" s="44">
        <f t="shared" si="304"/>
        <v>0</v>
      </c>
      <c r="AV70" s="44">
        <f t="shared" si="304"/>
        <v>0</v>
      </c>
      <c r="AW70" s="44">
        <f t="shared" si="304"/>
        <v>0</v>
      </c>
      <c r="AX70" s="44">
        <f t="shared" si="304"/>
        <v>0</v>
      </c>
      <c r="AY70" s="44">
        <f t="shared" si="304"/>
        <v>0</v>
      </c>
      <c r="AZ70" s="44">
        <f t="shared" si="304"/>
        <v>0</v>
      </c>
      <c r="BA70" s="44">
        <f t="shared" si="304"/>
        <v>0</v>
      </c>
      <c r="BB70" s="44">
        <f t="shared" si="304"/>
        <v>0</v>
      </c>
      <c r="BC70" s="44">
        <f t="shared" si="304"/>
        <v>0</v>
      </c>
      <c r="BD70" s="44">
        <f t="shared" si="304"/>
        <v>0</v>
      </c>
      <c r="BE70" s="44">
        <f t="shared" si="304"/>
        <v>0</v>
      </c>
      <c r="BF70" s="44">
        <f t="shared" si="304"/>
        <v>0</v>
      </c>
      <c r="BG70" s="44">
        <f t="shared" si="304"/>
        <v>0</v>
      </c>
      <c r="BH70" s="44">
        <f t="shared" si="304"/>
        <v>0</v>
      </c>
      <c r="BI70" s="44">
        <f t="shared" si="304"/>
        <v>0</v>
      </c>
      <c r="BJ70" s="44">
        <f t="shared" si="304"/>
        <v>0</v>
      </c>
      <c r="BK70" s="44">
        <f t="shared" si="304"/>
        <v>0</v>
      </c>
      <c r="BL70" s="44">
        <f t="shared" si="304"/>
        <v>0</v>
      </c>
      <c r="BM70" s="44">
        <f t="shared" si="304"/>
        <v>0</v>
      </c>
      <c r="BN70" s="44">
        <f t="shared" si="304"/>
        <v>0</v>
      </c>
      <c r="BO70" s="44"/>
      <c r="BP70" s="44">
        <f t="shared" ref="BP70:CT70" si="305">BP16*($EF70-$EG70)/30*(BP$2-$D$2)</f>
        <v>0</v>
      </c>
      <c r="BQ70" s="44">
        <f t="shared" si="305"/>
        <v>0</v>
      </c>
      <c r="BR70" s="44">
        <f t="shared" si="305"/>
        <v>0</v>
      </c>
      <c r="BS70" s="44">
        <f t="shared" si="305"/>
        <v>0</v>
      </c>
      <c r="BT70" s="44">
        <f t="shared" si="305"/>
        <v>0</v>
      </c>
      <c r="BU70" s="44">
        <f t="shared" si="305"/>
        <v>0</v>
      </c>
      <c r="BV70" s="44">
        <f t="shared" si="305"/>
        <v>0</v>
      </c>
      <c r="BW70" s="44">
        <f t="shared" si="305"/>
        <v>0</v>
      </c>
      <c r="BX70" s="44">
        <f t="shared" si="305"/>
        <v>0</v>
      </c>
      <c r="BY70" s="44">
        <f t="shared" si="305"/>
        <v>0</v>
      </c>
      <c r="BZ70" s="44">
        <f t="shared" si="305"/>
        <v>0</v>
      </c>
      <c r="CA70" s="44">
        <f t="shared" si="305"/>
        <v>0</v>
      </c>
      <c r="CB70" s="44">
        <f t="shared" si="305"/>
        <v>0</v>
      </c>
      <c r="CC70" s="44">
        <f t="shared" si="305"/>
        <v>0</v>
      </c>
      <c r="CD70" s="44">
        <f t="shared" si="305"/>
        <v>0</v>
      </c>
      <c r="CE70" s="44">
        <f t="shared" si="305"/>
        <v>0</v>
      </c>
      <c r="CF70" s="44">
        <f t="shared" si="305"/>
        <v>0</v>
      </c>
      <c r="CG70" s="44">
        <f t="shared" si="305"/>
        <v>0</v>
      </c>
      <c r="CH70" s="44">
        <f t="shared" si="305"/>
        <v>0</v>
      </c>
      <c r="CI70" s="44">
        <f t="shared" si="305"/>
        <v>0</v>
      </c>
      <c r="CJ70" s="44">
        <f t="shared" si="305"/>
        <v>0</v>
      </c>
      <c r="CK70" s="44">
        <f t="shared" si="305"/>
        <v>0</v>
      </c>
      <c r="CL70" s="44">
        <f t="shared" si="305"/>
        <v>0</v>
      </c>
      <c r="CM70" s="44">
        <f t="shared" si="305"/>
        <v>0</v>
      </c>
      <c r="CN70" s="44">
        <f t="shared" si="305"/>
        <v>0</v>
      </c>
      <c r="CO70" s="44">
        <f t="shared" si="305"/>
        <v>0</v>
      </c>
      <c r="CP70" s="44">
        <f t="shared" si="305"/>
        <v>0</v>
      </c>
      <c r="CQ70" s="44">
        <f t="shared" si="305"/>
        <v>0</v>
      </c>
      <c r="CR70" s="44">
        <f t="shared" si="305"/>
        <v>0</v>
      </c>
      <c r="CS70" s="44">
        <f t="shared" si="305"/>
        <v>0</v>
      </c>
      <c r="CT70" s="44">
        <f t="shared" si="305"/>
        <v>0</v>
      </c>
      <c r="CU70" s="44"/>
      <c r="CV70" s="44">
        <f t="shared" ref="CV70:DZ70" si="306">CV16*($EF70-$EG70)/30*(CV$2-$D$2)</f>
        <v>0</v>
      </c>
      <c r="CW70" s="44">
        <f t="shared" si="306"/>
        <v>0</v>
      </c>
      <c r="CX70" s="44">
        <f t="shared" si="306"/>
        <v>0</v>
      </c>
      <c r="CY70" s="44">
        <f t="shared" si="306"/>
        <v>0</v>
      </c>
      <c r="CZ70" s="44">
        <f t="shared" si="306"/>
        <v>0</v>
      </c>
      <c r="DA70" s="44">
        <f t="shared" si="306"/>
        <v>0</v>
      </c>
      <c r="DB70" s="44">
        <f t="shared" si="306"/>
        <v>0</v>
      </c>
      <c r="DC70" s="44">
        <f t="shared" si="306"/>
        <v>0</v>
      </c>
      <c r="DD70" s="44">
        <f t="shared" si="306"/>
        <v>0</v>
      </c>
      <c r="DE70" s="44">
        <f t="shared" si="306"/>
        <v>0</v>
      </c>
      <c r="DF70" s="44">
        <f t="shared" si="306"/>
        <v>0</v>
      </c>
      <c r="DG70" s="44">
        <f t="shared" si="306"/>
        <v>0</v>
      </c>
      <c r="DH70" s="44">
        <f t="shared" si="306"/>
        <v>0</v>
      </c>
      <c r="DI70" s="44">
        <f t="shared" si="306"/>
        <v>0</v>
      </c>
      <c r="DJ70" s="44">
        <f t="shared" si="306"/>
        <v>0</v>
      </c>
      <c r="DK70" s="44">
        <f t="shared" si="306"/>
        <v>0</v>
      </c>
      <c r="DL70" s="44">
        <f t="shared" si="306"/>
        <v>0</v>
      </c>
      <c r="DM70" s="44">
        <f t="shared" si="306"/>
        <v>0</v>
      </c>
      <c r="DN70" s="44">
        <f t="shared" si="306"/>
        <v>0</v>
      </c>
      <c r="DO70" s="44">
        <f t="shared" si="306"/>
        <v>0</v>
      </c>
      <c r="DP70" s="44">
        <f t="shared" si="306"/>
        <v>0</v>
      </c>
      <c r="DQ70" s="44">
        <f t="shared" si="306"/>
        <v>0</v>
      </c>
      <c r="DR70" s="44">
        <f t="shared" si="306"/>
        <v>0</v>
      </c>
      <c r="DS70" s="44">
        <f t="shared" si="306"/>
        <v>0</v>
      </c>
      <c r="DT70" s="44">
        <f t="shared" si="306"/>
        <v>0</v>
      </c>
      <c r="DU70" s="44">
        <f t="shared" si="306"/>
        <v>0</v>
      </c>
      <c r="DV70" s="44">
        <f t="shared" si="306"/>
        <v>0</v>
      </c>
      <c r="DW70" s="44">
        <f t="shared" si="306"/>
        <v>0</v>
      </c>
      <c r="DX70" s="44">
        <f t="shared" si="306"/>
        <v>0</v>
      </c>
      <c r="DY70" s="44">
        <f t="shared" si="306"/>
        <v>0</v>
      </c>
      <c r="DZ70" s="44">
        <f t="shared" si="306"/>
        <v>0</v>
      </c>
      <c r="EF70" s="51">
        <v>0</v>
      </c>
      <c r="EG70" s="51">
        <v>0</v>
      </c>
      <c r="EH70" s="51"/>
      <c r="EI70" s="51"/>
      <c r="EJ70" s="51"/>
      <c r="EM70" t="s">
        <v>99</v>
      </c>
    </row>
    <row r="71" spans="1:143" x14ac:dyDescent="0.2">
      <c r="A71" s="1"/>
      <c r="B71" t="str">
        <f t="shared" si="270"/>
        <v>Apparel - NBM</v>
      </c>
      <c r="C71" s="54" t="s">
        <v>110</v>
      </c>
      <c r="D71" s="44">
        <f t="shared" ref="D71:AH71" si="307">D17*($EF71-$EG71)/30*(D$2-$D$2)</f>
        <v>0</v>
      </c>
      <c r="E71" s="44">
        <f t="shared" si="307"/>
        <v>1.164012932008698E-2</v>
      </c>
      <c r="F71" s="44">
        <f t="shared" si="307"/>
        <v>4.7169885549660805E-2</v>
      </c>
      <c r="G71" s="44">
        <f t="shared" si="307"/>
        <v>0.10752301024337732</v>
      </c>
      <c r="H71" s="44">
        <f t="shared" si="307"/>
        <v>0.19366005434427133</v>
      </c>
      <c r="I71" s="44">
        <f t="shared" si="307"/>
        <v>0.30656908989320797</v>
      </c>
      <c r="J71" s="44">
        <f t="shared" si="307"/>
        <v>0.44726644042038943</v>
      </c>
      <c r="K71" s="44">
        <f t="shared" si="307"/>
        <v>0.61679743051052216</v>
      </c>
      <c r="L71" s="44">
        <f t="shared" si="307"/>
        <v>0.81623715504616756</v>
      </c>
      <c r="M71" s="44">
        <f t="shared" si="307"/>
        <v>1.0466912686470482</v>
      </c>
      <c r="N71" s="44">
        <f t="shared" si="307"/>
        <v>1.3092967958366821</v>
      </c>
      <c r="O71" s="44">
        <f t="shared" si="307"/>
        <v>1.6781876425944728</v>
      </c>
      <c r="P71" s="44">
        <f t="shared" si="307"/>
        <v>2.0969780531518758</v>
      </c>
      <c r="Q71" s="44">
        <f t="shared" si="307"/>
        <v>2.5674818355504705</v>
      </c>
      <c r="R71" s="44">
        <f t="shared" si="307"/>
        <v>3.0915641761140691</v>
      </c>
      <c r="S71" s="44">
        <f t="shared" si="307"/>
        <v>3.6711430038257618</v>
      </c>
      <c r="T71" s="44">
        <f t="shared" si="307"/>
        <v>4.3081903906064465</v>
      </c>
      <c r="U71" s="44">
        <f t="shared" si="307"/>
        <v>5.0047339884404121</v>
      </c>
      <c r="V71" s="44">
        <f t="shared" si="307"/>
        <v>5.7628585043183955</v>
      </c>
      <c r="W71" s="44">
        <f t="shared" si="307"/>
        <v>6.5847072139939584</v>
      </c>
      <c r="X71" s="44">
        <f t="shared" si="307"/>
        <v>7.4724835155751936</v>
      </c>
      <c r="Y71" s="44">
        <f t="shared" si="307"/>
        <v>8.7465073362269479</v>
      </c>
      <c r="Z71" s="44">
        <f t="shared" si="307"/>
        <v>10.130295758008813</v>
      </c>
      <c r="AA71" s="44">
        <f t="shared" si="307"/>
        <v>11.627671048357927</v>
      </c>
      <c r="AB71" s="44">
        <f t="shared" si="307"/>
        <v>13.242563148306855</v>
      </c>
      <c r="AC71" s="44">
        <f t="shared" si="307"/>
        <v>14.979012541519571</v>
      </c>
      <c r="AD71" s="44">
        <f t="shared" si="307"/>
        <v>16.841173199115655</v>
      </c>
      <c r="AE71" s="44">
        <f t="shared" si="307"/>
        <v>18.833315602282763</v>
      </c>
      <c r="AF71" s="44">
        <f t="shared" si="307"/>
        <v>20.959829844729764</v>
      </c>
      <c r="AG71" s="44">
        <f t="shared" si="307"/>
        <v>23.225228817086784</v>
      </c>
      <c r="AH71" s="44">
        <f t="shared" si="307"/>
        <v>25.634151475413763</v>
      </c>
      <c r="AI71" s="44"/>
      <c r="AJ71" s="44">
        <f t="shared" ref="AJ71:BN71" si="308">AJ17*($EF71-$EG71)/30*(AJ$2-$D$2)</f>
        <v>0</v>
      </c>
      <c r="AK71" s="44">
        <f t="shared" si="308"/>
        <v>5.8200646600434901E-3</v>
      </c>
      <c r="AL71" s="44">
        <f t="shared" si="308"/>
        <v>2.3584942774830402E-2</v>
      </c>
      <c r="AM71" s="44">
        <f t="shared" si="308"/>
        <v>5.376150512168866E-2</v>
      </c>
      <c r="AN71" s="44">
        <f t="shared" si="308"/>
        <v>9.6830027172135666E-2</v>
      </c>
      <c r="AO71" s="44">
        <f t="shared" si="308"/>
        <v>0.15328454494660398</v>
      </c>
      <c r="AP71" s="44">
        <f t="shared" si="308"/>
        <v>0.22363322021019472</v>
      </c>
      <c r="AQ71" s="44">
        <f t="shared" si="308"/>
        <v>0.30839871525526108</v>
      </c>
      <c r="AR71" s="44">
        <f t="shared" si="308"/>
        <v>0.40811857752308378</v>
      </c>
      <c r="AS71" s="44">
        <f t="shared" si="308"/>
        <v>0.5233456343235241</v>
      </c>
      <c r="AT71" s="44">
        <f t="shared" si="308"/>
        <v>0.65464839791834106</v>
      </c>
      <c r="AU71" s="44">
        <f t="shared" si="308"/>
        <v>0.83909382129723642</v>
      </c>
      <c r="AV71" s="44">
        <f t="shared" si="308"/>
        <v>1.0484890265759379</v>
      </c>
      <c r="AW71" s="44">
        <f t="shared" si="308"/>
        <v>1.2837409177752352</v>
      </c>
      <c r="AX71" s="44">
        <f t="shared" si="308"/>
        <v>1.5457820880570345</v>
      </c>
      <c r="AY71" s="44">
        <f t="shared" si="308"/>
        <v>1.8355715019128809</v>
      </c>
      <c r="AZ71" s="44">
        <f t="shared" si="308"/>
        <v>2.1540951953032232</v>
      </c>
      <c r="BA71" s="44">
        <f t="shared" si="308"/>
        <v>2.502366994220206</v>
      </c>
      <c r="BB71" s="44">
        <f t="shared" si="308"/>
        <v>2.8814292521591978</v>
      </c>
      <c r="BC71" s="44">
        <f t="shared" si="308"/>
        <v>3.2923536069969792</v>
      </c>
      <c r="BD71" s="44">
        <f t="shared" si="308"/>
        <v>3.7362417577875968</v>
      </c>
      <c r="BE71" s="44">
        <f t="shared" si="308"/>
        <v>4.3732536681134739</v>
      </c>
      <c r="BF71" s="44">
        <f t="shared" si="308"/>
        <v>5.0651478790044067</v>
      </c>
      <c r="BG71" s="44">
        <f t="shared" si="308"/>
        <v>5.8138355241789634</v>
      </c>
      <c r="BH71" s="44">
        <f t="shared" si="308"/>
        <v>6.6212815741534277</v>
      </c>
      <c r="BI71" s="44">
        <f t="shared" si="308"/>
        <v>7.4895062707597857</v>
      </c>
      <c r="BJ71" s="44">
        <f t="shared" si="308"/>
        <v>8.4205865995578275</v>
      </c>
      <c r="BK71" s="44">
        <f t="shared" si="308"/>
        <v>9.4166578011413815</v>
      </c>
      <c r="BL71" s="44">
        <f t="shared" si="308"/>
        <v>10.479914922364882</v>
      </c>
      <c r="BM71" s="44">
        <f t="shared" si="308"/>
        <v>11.612614408543392</v>
      </c>
      <c r="BN71" s="44">
        <f t="shared" si="308"/>
        <v>12.817075737706881</v>
      </c>
      <c r="BO71" s="44"/>
      <c r="BP71" s="44">
        <f t="shared" ref="BP71:CT71" si="309">BP17*($EF71-$EG71)/30*(BP$2-$D$2)</f>
        <v>0</v>
      </c>
      <c r="BQ71" s="44">
        <f t="shared" si="309"/>
        <v>0</v>
      </c>
      <c r="BR71" s="44">
        <f t="shared" si="309"/>
        <v>0</v>
      </c>
      <c r="BS71" s="44">
        <f t="shared" si="309"/>
        <v>0</v>
      </c>
      <c r="BT71" s="44">
        <f t="shared" si="309"/>
        <v>0</v>
      </c>
      <c r="BU71" s="44">
        <f t="shared" si="309"/>
        <v>0</v>
      </c>
      <c r="BV71" s="44">
        <f t="shared" si="309"/>
        <v>0</v>
      </c>
      <c r="BW71" s="44">
        <f t="shared" si="309"/>
        <v>0</v>
      </c>
      <c r="BX71" s="44">
        <f t="shared" si="309"/>
        <v>0</v>
      </c>
      <c r="BY71" s="44">
        <f t="shared" si="309"/>
        <v>0</v>
      </c>
      <c r="BZ71" s="44">
        <f t="shared" si="309"/>
        <v>0</v>
      </c>
      <c r="CA71" s="44">
        <f t="shared" si="309"/>
        <v>0</v>
      </c>
      <c r="CB71" s="44">
        <f t="shared" si="309"/>
        <v>0</v>
      </c>
      <c r="CC71" s="44">
        <f t="shared" si="309"/>
        <v>0</v>
      </c>
      <c r="CD71" s="44">
        <f t="shared" si="309"/>
        <v>0</v>
      </c>
      <c r="CE71" s="44">
        <f t="shared" si="309"/>
        <v>0</v>
      </c>
      <c r="CF71" s="44">
        <f t="shared" si="309"/>
        <v>0</v>
      </c>
      <c r="CG71" s="44">
        <f t="shared" si="309"/>
        <v>0</v>
      </c>
      <c r="CH71" s="44">
        <f t="shared" si="309"/>
        <v>0</v>
      </c>
      <c r="CI71" s="44">
        <f t="shared" si="309"/>
        <v>0</v>
      </c>
      <c r="CJ71" s="44">
        <f t="shared" si="309"/>
        <v>0</v>
      </c>
      <c r="CK71" s="44">
        <f t="shared" si="309"/>
        <v>0</v>
      </c>
      <c r="CL71" s="44">
        <f t="shared" si="309"/>
        <v>0</v>
      </c>
      <c r="CM71" s="44">
        <f t="shared" si="309"/>
        <v>0</v>
      </c>
      <c r="CN71" s="44">
        <f t="shared" si="309"/>
        <v>0</v>
      </c>
      <c r="CO71" s="44">
        <f t="shared" si="309"/>
        <v>0</v>
      </c>
      <c r="CP71" s="44">
        <f t="shared" si="309"/>
        <v>0</v>
      </c>
      <c r="CQ71" s="44">
        <f t="shared" si="309"/>
        <v>0</v>
      </c>
      <c r="CR71" s="44">
        <f t="shared" si="309"/>
        <v>0</v>
      </c>
      <c r="CS71" s="44">
        <f t="shared" si="309"/>
        <v>0</v>
      </c>
      <c r="CT71" s="44">
        <f t="shared" si="309"/>
        <v>0</v>
      </c>
      <c r="CU71" s="44"/>
      <c r="CV71" s="44">
        <f t="shared" ref="CV71:DZ71" si="310">CV17*($EF71-$EG71)/30*(CV$2-$D$2)</f>
        <v>0</v>
      </c>
      <c r="CW71" s="44">
        <f t="shared" si="310"/>
        <v>0</v>
      </c>
      <c r="CX71" s="44">
        <f t="shared" si="310"/>
        <v>0</v>
      </c>
      <c r="CY71" s="44">
        <f t="shared" si="310"/>
        <v>0</v>
      </c>
      <c r="CZ71" s="44">
        <f t="shared" si="310"/>
        <v>0</v>
      </c>
      <c r="DA71" s="44">
        <f t="shared" si="310"/>
        <v>0</v>
      </c>
      <c r="DB71" s="44">
        <f t="shared" si="310"/>
        <v>0</v>
      </c>
      <c r="DC71" s="44">
        <f t="shared" si="310"/>
        <v>0</v>
      </c>
      <c r="DD71" s="44">
        <f t="shared" si="310"/>
        <v>0</v>
      </c>
      <c r="DE71" s="44">
        <f t="shared" si="310"/>
        <v>0</v>
      </c>
      <c r="DF71" s="44">
        <f t="shared" si="310"/>
        <v>0</v>
      </c>
      <c r="DG71" s="44">
        <f t="shared" si="310"/>
        <v>0</v>
      </c>
      <c r="DH71" s="44">
        <f t="shared" si="310"/>
        <v>0</v>
      </c>
      <c r="DI71" s="44">
        <f t="shared" si="310"/>
        <v>0</v>
      </c>
      <c r="DJ71" s="44">
        <f t="shared" si="310"/>
        <v>0</v>
      </c>
      <c r="DK71" s="44">
        <f t="shared" si="310"/>
        <v>0</v>
      </c>
      <c r="DL71" s="44">
        <f t="shared" si="310"/>
        <v>0</v>
      </c>
      <c r="DM71" s="44">
        <f t="shared" si="310"/>
        <v>0</v>
      </c>
      <c r="DN71" s="44">
        <f t="shared" si="310"/>
        <v>0</v>
      </c>
      <c r="DO71" s="44">
        <f t="shared" si="310"/>
        <v>0</v>
      </c>
      <c r="DP71" s="44">
        <f t="shared" si="310"/>
        <v>0</v>
      </c>
      <c r="DQ71" s="44">
        <f t="shared" si="310"/>
        <v>0</v>
      </c>
      <c r="DR71" s="44">
        <f t="shared" si="310"/>
        <v>0</v>
      </c>
      <c r="DS71" s="44">
        <f t="shared" si="310"/>
        <v>0</v>
      </c>
      <c r="DT71" s="44">
        <f t="shared" si="310"/>
        <v>0</v>
      </c>
      <c r="DU71" s="44">
        <f t="shared" si="310"/>
        <v>0</v>
      </c>
      <c r="DV71" s="44">
        <f t="shared" si="310"/>
        <v>0</v>
      </c>
      <c r="DW71" s="44">
        <f t="shared" si="310"/>
        <v>0</v>
      </c>
      <c r="DX71" s="44">
        <f t="shared" si="310"/>
        <v>0</v>
      </c>
      <c r="DY71" s="44">
        <f t="shared" si="310"/>
        <v>0</v>
      </c>
      <c r="DZ71" s="44">
        <f t="shared" si="310"/>
        <v>0</v>
      </c>
      <c r="EF71" s="642">
        <f>EF63</f>
        <v>3.05</v>
      </c>
      <c r="EG71" s="51">
        <v>0</v>
      </c>
      <c r="EH71" s="51"/>
      <c r="EI71" s="51"/>
      <c r="EJ71" s="51"/>
      <c r="EM71" t="s">
        <v>99</v>
      </c>
    </row>
    <row r="72" spans="1:143" x14ac:dyDescent="0.2">
      <c r="A72" s="1"/>
      <c r="B72" t="str">
        <f t="shared" si="270"/>
        <v>Apparel - substitution</v>
      </c>
      <c r="C72" s="54" t="s">
        <v>110</v>
      </c>
      <c r="D72" s="44">
        <f t="shared" ref="D72:AH72" si="311">D18*($EF72-$EG72)/30*(D$2-$D$2)</f>
        <v>0</v>
      </c>
      <c r="E72" s="44">
        <f t="shared" si="311"/>
        <v>1.9261776194088E-2</v>
      </c>
      <c r="F72" s="44">
        <f t="shared" si="311"/>
        <v>7.8055471169930529E-2</v>
      </c>
      <c r="G72" s="44">
        <f t="shared" si="311"/>
        <v>0.17792621560041996</v>
      </c>
      <c r="H72" s="44">
        <f t="shared" si="311"/>
        <v>0.32046350362080006</v>
      </c>
      <c r="I72" s="44">
        <f t="shared" si="311"/>
        <v>0.50730237054652361</v>
      </c>
      <c r="J72" s="44">
        <f t="shared" si="311"/>
        <v>0.74012460150567827</v>
      </c>
      <c r="K72" s="44">
        <f t="shared" si="311"/>
        <v>1.0206599717994753</v>
      </c>
      <c r="L72" s="44">
        <f t="shared" si="311"/>
        <v>1.3506875198256736</v>
      </c>
      <c r="M72" s="44">
        <f t="shared" si="311"/>
        <v>1.7320368534217305</v>
      </c>
      <c r="N72" s="44">
        <f t="shared" si="311"/>
        <v>2.166589490506988</v>
      </c>
      <c r="O72" s="44">
        <f t="shared" si="311"/>
        <v>2.6562802349262737</v>
      </c>
      <c r="P72" s="44">
        <f t="shared" si="311"/>
        <v>3.2030985884209953</v>
      </c>
      <c r="Q72" s="44">
        <f t="shared" si="311"/>
        <v>3.8090901996781095</v>
      </c>
      <c r="R72" s="44">
        <f t="shared" si="311"/>
        <v>4.47635835143228</v>
      </c>
      <c r="S72" s="44">
        <f t="shared" si="311"/>
        <v>5.2070654866221311</v>
      </c>
      <c r="T72" s="44">
        <f t="shared" si="311"/>
        <v>6.0034347746277525</v>
      </c>
      <c r="U72" s="44">
        <f t="shared" si="311"/>
        <v>6.8677517186435404</v>
      </c>
      <c r="V72" s="44">
        <f t="shared" si="311"/>
        <v>7.8023658052681073</v>
      </c>
      <c r="W72" s="44">
        <f t="shared" si="311"/>
        <v>8.8096921974213291</v>
      </c>
      <c r="X72" s="44">
        <f t="shared" si="311"/>
        <v>9.8922134717277004</v>
      </c>
      <c r="Y72" s="44">
        <f t="shared" si="311"/>
        <v>11.068430148146158</v>
      </c>
      <c r="Z72" s="44">
        <f t="shared" si="311"/>
        <v>12.326984127778262</v>
      </c>
      <c r="AA72" s="44">
        <f t="shared" si="311"/>
        <v>13.67064276003663</v>
      </c>
      <c r="AB72" s="44">
        <f t="shared" si="311"/>
        <v>15.102250277854179</v>
      </c>
      <c r="AC72" s="44">
        <f t="shared" si="311"/>
        <v>16.624729830716419</v>
      </c>
      <c r="AD72" s="44">
        <f t="shared" si="311"/>
        <v>18.241085571115434</v>
      </c>
      <c r="AE72" s="44">
        <f t="shared" si="311"/>
        <v>19.954404795829511</v>
      </c>
      <c r="AF72" s="44">
        <f t="shared" si="311"/>
        <v>21.767860143469054</v>
      </c>
      <c r="AG72" s="44">
        <f t="shared" si="311"/>
        <v>23.684711849767112</v>
      </c>
      <c r="AH72" s="44">
        <f t="shared" si="311"/>
        <v>25.708310062131446</v>
      </c>
      <c r="AI72" s="44"/>
      <c r="AJ72" s="44">
        <f t="shared" ref="AJ72:BN72" si="312">AJ18*($EF72-$EG72)/30*(AJ$2-$D$2)</f>
        <v>0</v>
      </c>
      <c r="AK72" s="44">
        <f t="shared" si="312"/>
        <v>9.6308880970440002E-3</v>
      </c>
      <c r="AL72" s="44">
        <f t="shared" si="312"/>
        <v>3.9027735584965265E-2</v>
      </c>
      <c r="AM72" s="44">
        <f t="shared" si="312"/>
        <v>8.8963107800209981E-2</v>
      </c>
      <c r="AN72" s="44">
        <f t="shared" si="312"/>
        <v>0.16023175181040003</v>
      </c>
      <c r="AO72" s="44">
        <f t="shared" si="312"/>
        <v>0.2536511852732618</v>
      </c>
      <c r="AP72" s="44">
        <f t="shared" si="312"/>
        <v>0.37006230075283914</v>
      </c>
      <c r="AQ72" s="44">
        <f t="shared" si="312"/>
        <v>0.51032998589973766</v>
      </c>
      <c r="AR72" s="44">
        <f t="shared" si="312"/>
        <v>0.67534375991283679</v>
      </c>
      <c r="AS72" s="44">
        <f t="shared" si="312"/>
        <v>0.86601842671086526</v>
      </c>
      <c r="AT72" s="44">
        <f t="shared" si="312"/>
        <v>1.083294745253494</v>
      </c>
      <c r="AU72" s="44">
        <f t="shared" si="312"/>
        <v>1.3281401174631369</v>
      </c>
      <c r="AV72" s="44">
        <f t="shared" si="312"/>
        <v>1.6015492942104976</v>
      </c>
      <c r="AW72" s="44">
        <f t="shared" si="312"/>
        <v>1.9045450998390547</v>
      </c>
      <c r="AX72" s="44">
        <f t="shared" si="312"/>
        <v>2.23817917571614</v>
      </c>
      <c r="AY72" s="44">
        <f t="shared" si="312"/>
        <v>2.6035327433110655</v>
      </c>
      <c r="AZ72" s="44">
        <f t="shared" si="312"/>
        <v>3.0017173873138763</v>
      </c>
      <c r="BA72" s="44">
        <f t="shared" si="312"/>
        <v>3.4338758593217702</v>
      </c>
      <c r="BB72" s="44">
        <f t="shared" si="312"/>
        <v>3.9011829026340537</v>
      </c>
      <c r="BC72" s="44">
        <f t="shared" si="312"/>
        <v>4.4048460987106646</v>
      </c>
      <c r="BD72" s="44">
        <f t="shared" si="312"/>
        <v>4.9461067358638502</v>
      </c>
      <c r="BE72" s="44">
        <f t="shared" si="312"/>
        <v>5.5342150740730789</v>
      </c>
      <c r="BF72" s="44">
        <f t="shared" si="312"/>
        <v>6.1634920638891311</v>
      </c>
      <c r="BG72" s="44">
        <f t="shared" si="312"/>
        <v>6.835321380018315</v>
      </c>
      <c r="BH72" s="44">
        <f t="shared" si="312"/>
        <v>7.5511251389270893</v>
      </c>
      <c r="BI72" s="44">
        <f t="shared" si="312"/>
        <v>8.3123649153582093</v>
      </c>
      <c r="BJ72" s="44">
        <f t="shared" si="312"/>
        <v>9.120542785557717</v>
      </c>
      <c r="BK72" s="44">
        <f t="shared" si="312"/>
        <v>9.9772023979147555</v>
      </c>
      <c r="BL72" s="44">
        <f t="shared" si="312"/>
        <v>10.883930071734527</v>
      </c>
      <c r="BM72" s="44">
        <f t="shared" si="312"/>
        <v>11.842355924883556</v>
      </c>
      <c r="BN72" s="44">
        <f t="shared" si="312"/>
        <v>12.854155031065723</v>
      </c>
      <c r="BO72" s="44"/>
      <c r="BP72" s="44">
        <f t="shared" ref="BP72:CT72" si="313">BP18*($EF72-$EG72)/30*(BP$2-$D$2)</f>
        <v>0</v>
      </c>
      <c r="BQ72" s="44">
        <f t="shared" si="313"/>
        <v>0</v>
      </c>
      <c r="BR72" s="44">
        <f t="shared" si="313"/>
        <v>0</v>
      </c>
      <c r="BS72" s="44">
        <f t="shared" si="313"/>
        <v>0</v>
      </c>
      <c r="BT72" s="44">
        <f t="shared" si="313"/>
        <v>0</v>
      </c>
      <c r="BU72" s="44">
        <f t="shared" si="313"/>
        <v>0</v>
      </c>
      <c r="BV72" s="44">
        <f t="shared" si="313"/>
        <v>0</v>
      </c>
      <c r="BW72" s="44">
        <f t="shared" si="313"/>
        <v>0</v>
      </c>
      <c r="BX72" s="44">
        <f t="shared" si="313"/>
        <v>0</v>
      </c>
      <c r="BY72" s="44">
        <f t="shared" si="313"/>
        <v>0</v>
      </c>
      <c r="BZ72" s="44">
        <f t="shared" si="313"/>
        <v>0</v>
      </c>
      <c r="CA72" s="44">
        <f t="shared" si="313"/>
        <v>0</v>
      </c>
      <c r="CB72" s="44">
        <f t="shared" si="313"/>
        <v>0</v>
      </c>
      <c r="CC72" s="44">
        <f t="shared" si="313"/>
        <v>0</v>
      </c>
      <c r="CD72" s="44">
        <f t="shared" si="313"/>
        <v>0</v>
      </c>
      <c r="CE72" s="44">
        <f t="shared" si="313"/>
        <v>0</v>
      </c>
      <c r="CF72" s="44">
        <f t="shared" si="313"/>
        <v>0</v>
      </c>
      <c r="CG72" s="44">
        <f t="shared" si="313"/>
        <v>0</v>
      </c>
      <c r="CH72" s="44">
        <f t="shared" si="313"/>
        <v>0</v>
      </c>
      <c r="CI72" s="44">
        <f t="shared" si="313"/>
        <v>0</v>
      </c>
      <c r="CJ72" s="44">
        <f t="shared" si="313"/>
        <v>0</v>
      </c>
      <c r="CK72" s="44">
        <f t="shared" si="313"/>
        <v>0</v>
      </c>
      <c r="CL72" s="44">
        <f t="shared" si="313"/>
        <v>0</v>
      </c>
      <c r="CM72" s="44">
        <f t="shared" si="313"/>
        <v>0</v>
      </c>
      <c r="CN72" s="44">
        <f t="shared" si="313"/>
        <v>0</v>
      </c>
      <c r="CO72" s="44">
        <f t="shared" si="313"/>
        <v>0</v>
      </c>
      <c r="CP72" s="44">
        <f t="shared" si="313"/>
        <v>0</v>
      </c>
      <c r="CQ72" s="44">
        <f t="shared" si="313"/>
        <v>0</v>
      </c>
      <c r="CR72" s="44">
        <f t="shared" si="313"/>
        <v>0</v>
      </c>
      <c r="CS72" s="44">
        <f t="shared" si="313"/>
        <v>0</v>
      </c>
      <c r="CT72" s="44">
        <f t="shared" si="313"/>
        <v>0</v>
      </c>
      <c r="CU72" s="44"/>
      <c r="CV72" s="44">
        <f t="shared" ref="CV72:DZ72" si="314">CV18*($EF72-$EG72)/30*(CV$2-$D$2)</f>
        <v>0</v>
      </c>
      <c r="CW72" s="44">
        <f t="shared" si="314"/>
        <v>0</v>
      </c>
      <c r="CX72" s="44">
        <f t="shared" si="314"/>
        <v>0</v>
      </c>
      <c r="CY72" s="44">
        <f t="shared" si="314"/>
        <v>0</v>
      </c>
      <c r="CZ72" s="44">
        <f t="shared" si="314"/>
        <v>0</v>
      </c>
      <c r="DA72" s="44">
        <f t="shared" si="314"/>
        <v>0</v>
      </c>
      <c r="DB72" s="44">
        <f t="shared" si="314"/>
        <v>0</v>
      </c>
      <c r="DC72" s="44">
        <f t="shared" si="314"/>
        <v>0</v>
      </c>
      <c r="DD72" s="44">
        <f t="shared" si="314"/>
        <v>0</v>
      </c>
      <c r="DE72" s="44">
        <f t="shared" si="314"/>
        <v>0</v>
      </c>
      <c r="DF72" s="44">
        <f t="shared" si="314"/>
        <v>0</v>
      </c>
      <c r="DG72" s="44">
        <f t="shared" si="314"/>
        <v>0</v>
      </c>
      <c r="DH72" s="44">
        <f t="shared" si="314"/>
        <v>0</v>
      </c>
      <c r="DI72" s="44">
        <f t="shared" si="314"/>
        <v>0</v>
      </c>
      <c r="DJ72" s="44">
        <f t="shared" si="314"/>
        <v>0</v>
      </c>
      <c r="DK72" s="44">
        <f t="shared" si="314"/>
        <v>0</v>
      </c>
      <c r="DL72" s="44">
        <f t="shared" si="314"/>
        <v>0</v>
      </c>
      <c r="DM72" s="44">
        <f t="shared" si="314"/>
        <v>0</v>
      </c>
      <c r="DN72" s="44">
        <f t="shared" si="314"/>
        <v>0</v>
      </c>
      <c r="DO72" s="44">
        <f t="shared" si="314"/>
        <v>0</v>
      </c>
      <c r="DP72" s="44">
        <f t="shared" si="314"/>
        <v>0</v>
      </c>
      <c r="DQ72" s="44">
        <f t="shared" si="314"/>
        <v>0</v>
      </c>
      <c r="DR72" s="44">
        <f t="shared" si="314"/>
        <v>0</v>
      </c>
      <c r="DS72" s="44">
        <f t="shared" si="314"/>
        <v>0</v>
      </c>
      <c r="DT72" s="44">
        <f t="shared" si="314"/>
        <v>0</v>
      </c>
      <c r="DU72" s="44">
        <f t="shared" si="314"/>
        <v>0</v>
      </c>
      <c r="DV72" s="44">
        <f t="shared" si="314"/>
        <v>0</v>
      </c>
      <c r="DW72" s="44">
        <f t="shared" si="314"/>
        <v>0</v>
      </c>
      <c r="DX72" s="44">
        <f t="shared" si="314"/>
        <v>0</v>
      </c>
      <c r="DY72" s="44">
        <f t="shared" si="314"/>
        <v>0</v>
      </c>
      <c r="DZ72" s="44">
        <f t="shared" si="314"/>
        <v>0</v>
      </c>
      <c r="EF72" s="610">
        <f>EF65</f>
        <v>5.2</v>
      </c>
      <c r="EG72" s="51">
        <v>0</v>
      </c>
      <c r="EH72" s="51"/>
      <c r="EI72" s="51"/>
      <c r="EJ72" s="51"/>
      <c r="EM72" t="s">
        <v>99</v>
      </c>
    </row>
    <row r="73" spans="1:143" x14ac:dyDescent="0.2">
      <c r="A73" s="1"/>
      <c r="B73" t="str">
        <f t="shared" si="270"/>
        <v>Others Reduction</v>
      </c>
      <c r="C73" s="54" t="s">
        <v>110</v>
      </c>
      <c r="D73" s="44">
        <f t="shared" ref="D73:AH73" si="315">D19*($EF73-$EG73)/30*(D$2-$D$2)</f>
        <v>0</v>
      </c>
      <c r="E73" s="44">
        <f t="shared" si="315"/>
        <v>0</v>
      </c>
      <c r="F73" s="44">
        <f t="shared" si="315"/>
        <v>0</v>
      </c>
      <c r="G73" s="44">
        <f t="shared" si="315"/>
        <v>0</v>
      </c>
      <c r="H73" s="44">
        <f t="shared" si="315"/>
        <v>0</v>
      </c>
      <c r="I73" s="44">
        <f t="shared" si="315"/>
        <v>0</v>
      </c>
      <c r="J73" s="44">
        <f t="shared" si="315"/>
        <v>0</v>
      </c>
      <c r="K73" s="44">
        <f t="shared" si="315"/>
        <v>0</v>
      </c>
      <c r="L73" s="44">
        <f t="shared" si="315"/>
        <v>0</v>
      </c>
      <c r="M73" s="44">
        <f t="shared" si="315"/>
        <v>0</v>
      </c>
      <c r="N73" s="44">
        <f t="shared" si="315"/>
        <v>0</v>
      </c>
      <c r="O73" s="44">
        <f t="shared" si="315"/>
        <v>0</v>
      </c>
      <c r="P73" s="44">
        <f t="shared" si="315"/>
        <v>0</v>
      </c>
      <c r="Q73" s="44">
        <f t="shared" si="315"/>
        <v>0</v>
      </c>
      <c r="R73" s="44">
        <f t="shared" si="315"/>
        <v>0</v>
      </c>
      <c r="S73" s="44">
        <f t="shared" si="315"/>
        <v>0</v>
      </c>
      <c r="T73" s="44">
        <f t="shared" si="315"/>
        <v>0</v>
      </c>
      <c r="U73" s="44">
        <f t="shared" si="315"/>
        <v>0</v>
      </c>
      <c r="V73" s="44">
        <f t="shared" si="315"/>
        <v>0</v>
      </c>
      <c r="W73" s="44">
        <f t="shared" si="315"/>
        <v>0</v>
      </c>
      <c r="X73" s="44">
        <f t="shared" si="315"/>
        <v>0</v>
      </c>
      <c r="Y73" s="44">
        <f t="shared" si="315"/>
        <v>0</v>
      </c>
      <c r="Z73" s="44">
        <f t="shared" si="315"/>
        <v>0</v>
      </c>
      <c r="AA73" s="44">
        <f t="shared" si="315"/>
        <v>0</v>
      </c>
      <c r="AB73" s="44">
        <f t="shared" si="315"/>
        <v>0</v>
      </c>
      <c r="AC73" s="44">
        <f t="shared" si="315"/>
        <v>0</v>
      </c>
      <c r="AD73" s="44">
        <f t="shared" si="315"/>
        <v>0</v>
      </c>
      <c r="AE73" s="44">
        <f t="shared" si="315"/>
        <v>0</v>
      </c>
      <c r="AF73" s="44">
        <f t="shared" si="315"/>
        <v>0</v>
      </c>
      <c r="AG73" s="44">
        <f t="shared" si="315"/>
        <v>0</v>
      </c>
      <c r="AH73" s="44">
        <f t="shared" si="315"/>
        <v>0</v>
      </c>
      <c r="AI73" s="44"/>
      <c r="AJ73" s="44">
        <f t="shared" ref="AJ73:BN73" si="316">AJ19*($EF73-$EG73)/30*(AJ$2-$D$2)</f>
        <v>0</v>
      </c>
      <c r="AK73" s="44">
        <f t="shared" si="316"/>
        <v>0</v>
      </c>
      <c r="AL73" s="44">
        <f t="shared" si="316"/>
        <v>0</v>
      </c>
      <c r="AM73" s="44">
        <f t="shared" si="316"/>
        <v>0</v>
      </c>
      <c r="AN73" s="44">
        <f t="shared" si="316"/>
        <v>0</v>
      </c>
      <c r="AO73" s="44">
        <f t="shared" si="316"/>
        <v>0</v>
      </c>
      <c r="AP73" s="44">
        <f t="shared" si="316"/>
        <v>0</v>
      </c>
      <c r="AQ73" s="44">
        <f t="shared" si="316"/>
        <v>0</v>
      </c>
      <c r="AR73" s="44">
        <f t="shared" si="316"/>
        <v>0</v>
      </c>
      <c r="AS73" s="44">
        <f t="shared" si="316"/>
        <v>0</v>
      </c>
      <c r="AT73" s="44">
        <f t="shared" si="316"/>
        <v>0</v>
      </c>
      <c r="AU73" s="44">
        <f t="shared" si="316"/>
        <v>0</v>
      </c>
      <c r="AV73" s="44">
        <f t="shared" si="316"/>
        <v>0</v>
      </c>
      <c r="AW73" s="44">
        <f t="shared" si="316"/>
        <v>0</v>
      </c>
      <c r="AX73" s="44">
        <f t="shared" si="316"/>
        <v>0</v>
      </c>
      <c r="AY73" s="44">
        <f t="shared" si="316"/>
        <v>0</v>
      </c>
      <c r="AZ73" s="44">
        <f t="shared" si="316"/>
        <v>0</v>
      </c>
      <c r="BA73" s="44">
        <f t="shared" si="316"/>
        <v>0</v>
      </c>
      <c r="BB73" s="44">
        <f t="shared" si="316"/>
        <v>0</v>
      </c>
      <c r="BC73" s="44">
        <f t="shared" si="316"/>
        <v>0</v>
      </c>
      <c r="BD73" s="44">
        <f t="shared" si="316"/>
        <v>0</v>
      </c>
      <c r="BE73" s="44">
        <f t="shared" si="316"/>
        <v>0</v>
      </c>
      <c r="BF73" s="44">
        <f t="shared" si="316"/>
        <v>0</v>
      </c>
      <c r="BG73" s="44">
        <f t="shared" si="316"/>
        <v>0</v>
      </c>
      <c r="BH73" s="44">
        <f t="shared" si="316"/>
        <v>0</v>
      </c>
      <c r="BI73" s="44">
        <f t="shared" si="316"/>
        <v>0</v>
      </c>
      <c r="BJ73" s="44">
        <f t="shared" si="316"/>
        <v>0</v>
      </c>
      <c r="BK73" s="44">
        <f t="shared" si="316"/>
        <v>0</v>
      </c>
      <c r="BL73" s="44">
        <f t="shared" si="316"/>
        <v>0</v>
      </c>
      <c r="BM73" s="44">
        <f t="shared" si="316"/>
        <v>0</v>
      </c>
      <c r="BN73" s="44">
        <f t="shared" si="316"/>
        <v>0</v>
      </c>
      <c r="BO73" s="44"/>
      <c r="BP73" s="44">
        <f t="shared" ref="BP73:CT73" si="317">BP19*($EF73-$EG73)/30*(BP$2-$D$2)</f>
        <v>0</v>
      </c>
      <c r="BQ73" s="44">
        <f t="shared" si="317"/>
        <v>0</v>
      </c>
      <c r="BR73" s="44">
        <f t="shared" si="317"/>
        <v>0</v>
      </c>
      <c r="BS73" s="44">
        <f t="shared" si="317"/>
        <v>0</v>
      </c>
      <c r="BT73" s="44">
        <f t="shared" si="317"/>
        <v>0</v>
      </c>
      <c r="BU73" s="44">
        <f t="shared" si="317"/>
        <v>0</v>
      </c>
      <c r="BV73" s="44">
        <f t="shared" si="317"/>
        <v>0</v>
      </c>
      <c r="BW73" s="44">
        <f t="shared" si="317"/>
        <v>0</v>
      </c>
      <c r="BX73" s="44">
        <f t="shared" si="317"/>
        <v>0</v>
      </c>
      <c r="BY73" s="44">
        <f t="shared" si="317"/>
        <v>0</v>
      </c>
      <c r="BZ73" s="44">
        <f t="shared" si="317"/>
        <v>0</v>
      </c>
      <c r="CA73" s="44">
        <f t="shared" si="317"/>
        <v>0</v>
      </c>
      <c r="CB73" s="44">
        <f t="shared" si="317"/>
        <v>0</v>
      </c>
      <c r="CC73" s="44">
        <f t="shared" si="317"/>
        <v>0</v>
      </c>
      <c r="CD73" s="44">
        <f t="shared" si="317"/>
        <v>0</v>
      </c>
      <c r="CE73" s="44">
        <f t="shared" si="317"/>
        <v>0</v>
      </c>
      <c r="CF73" s="44">
        <f t="shared" si="317"/>
        <v>0</v>
      </c>
      <c r="CG73" s="44">
        <f t="shared" si="317"/>
        <v>0</v>
      </c>
      <c r="CH73" s="44">
        <f t="shared" si="317"/>
        <v>0</v>
      </c>
      <c r="CI73" s="44">
        <f t="shared" si="317"/>
        <v>0</v>
      </c>
      <c r="CJ73" s="44">
        <f t="shared" si="317"/>
        <v>0</v>
      </c>
      <c r="CK73" s="44">
        <f t="shared" si="317"/>
        <v>0</v>
      </c>
      <c r="CL73" s="44">
        <f t="shared" si="317"/>
        <v>0</v>
      </c>
      <c r="CM73" s="44">
        <f t="shared" si="317"/>
        <v>0</v>
      </c>
      <c r="CN73" s="44">
        <f t="shared" si="317"/>
        <v>0</v>
      </c>
      <c r="CO73" s="44">
        <f t="shared" si="317"/>
        <v>0</v>
      </c>
      <c r="CP73" s="44">
        <f t="shared" si="317"/>
        <v>0</v>
      </c>
      <c r="CQ73" s="44">
        <f t="shared" si="317"/>
        <v>0</v>
      </c>
      <c r="CR73" s="44">
        <f t="shared" si="317"/>
        <v>0</v>
      </c>
      <c r="CS73" s="44">
        <f t="shared" si="317"/>
        <v>0</v>
      </c>
      <c r="CT73" s="44">
        <f t="shared" si="317"/>
        <v>0</v>
      </c>
      <c r="CU73" s="44"/>
      <c r="CV73" s="44">
        <f t="shared" ref="CV73:DZ73" si="318">CV19*($EF73-$EG73)/30*(CV$2-$D$2)</f>
        <v>0</v>
      </c>
      <c r="CW73" s="44">
        <f t="shared" si="318"/>
        <v>0</v>
      </c>
      <c r="CX73" s="44">
        <f t="shared" si="318"/>
        <v>0</v>
      </c>
      <c r="CY73" s="44">
        <f t="shared" si="318"/>
        <v>0</v>
      </c>
      <c r="CZ73" s="44">
        <f t="shared" si="318"/>
        <v>0</v>
      </c>
      <c r="DA73" s="44">
        <f t="shared" si="318"/>
        <v>0</v>
      </c>
      <c r="DB73" s="44">
        <f t="shared" si="318"/>
        <v>0</v>
      </c>
      <c r="DC73" s="44">
        <f t="shared" si="318"/>
        <v>0</v>
      </c>
      <c r="DD73" s="44">
        <f t="shared" si="318"/>
        <v>0</v>
      </c>
      <c r="DE73" s="44">
        <f t="shared" si="318"/>
        <v>0</v>
      </c>
      <c r="DF73" s="44">
        <f t="shared" si="318"/>
        <v>0</v>
      </c>
      <c r="DG73" s="44">
        <f t="shared" si="318"/>
        <v>0</v>
      </c>
      <c r="DH73" s="44">
        <f t="shared" si="318"/>
        <v>0</v>
      </c>
      <c r="DI73" s="44">
        <f t="shared" si="318"/>
        <v>0</v>
      </c>
      <c r="DJ73" s="44">
        <f t="shared" si="318"/>
        <v>0</v>
      </c>
      <c r="DK73" s="44">
        <f t="shared" si="318"/>
        <v>0</v>
      </c>
      <c r="DL73" s="44">
        <f t="shared" si="318"/>
        <v>0</v>
      </c>
      <c r="DM73" s="44">
        <f t="shared" si="318"/>
        <v>0</v>
      </c>
      <c r="DN73" s="44">
        <f t="shared" si="318"/>
        <v>0</v>
      </c>
      <c r="DO73" s="44">
        <f t="shared" si="318"/>
        <v>0</v>
      </c>
      <c r="DP73" s="44">
        <f t="shared" si="318"/>
        <v>0</v>
      </c>
      <c r="DQ73" s="44">
        <f t="shared" si="318"/>
        <v>0</v>
      </c>
      <c r="DR73" s="44">
        <f t="shared" si="318"/>
        <v>0</v>
      </c>
      <c r="DS73" s="44">
        <f t="shared" si="318"/>
        <v>0</v>
      </c>
      <c r="DT73" s="44">
        <f t="shared" si="318"/>
        <v>0</v>
      </c>
      <c r="DU73" s="44">
        <f t="shared" si="318"/>
        <v>0</v>
      </c>
      <c r="DV73" s="44">
        <f t="shared" si="318"/>
        <v>0</v>
      </c>
      <c r="DW73" s="44">
        <f t="shared" si="318"/>
        <v>0</v>
      </c>
      <c r="DX73" s="44">
        <f t="shared" si="318"/>
        <v>0</v>
      </c>
      <c r="DY73" s="44">
        <f t="shared" si="318"/>
        <v>0</v>
      </c>
      <c r="DZ73" s="44">
        <f t="shared" si="318"/>
        <v>0</v>
      </c>
      <c r="EF73" s="51">
        <v>0</v>
      </c>
      <c r="EG73" s="51">
        <v>0</v>
      </c>
      <c r="EH73" s="51"/>
      <c r="EI73" s="51"/>
      <c r="EJ73" s="51"/>
      <c r="EM73" t="s">
        <v>99</v>
      </c>
    </row>
    <row r="74" spans="1:143" ht="16" thickBot="1" x14ac:dyDescent="0.25">
      <c r="A74" s="1"/>
      <c r="B74" t="str">
        <f t="shared" si="270"/>
        <v>Others Substitution</v>
      </c>
      <c r="C74" s="54" t="s">
        <v>110</v>
      </c>
      <c r="D74" s="44">
        <f t="shared" ref="D74:AH74" si="319">D20*($EF74-$EG74)/30*(D$2-$D$2)</f>
        <v>0</v>
      </c>
      <c r="E74" s="44">
        <f t="shared" si="319"/>
        <v>2.8421594755390734E-2</v>
      </c>
      <c r="F74" s="44">
        <f t="shared" si="319"/>
        <v>0.12117783827170291</v>
      </c>
      <c r="G74" s="44">
        <f t="shared" si="319"/>
        <v>0.28978457916414463</v>
      </c>
      <c r="H74" s="44">
        <f t="shared" si="319"/>
        <v>0.54614301112091801</v>
      </c>
      <c r="I74" s="44">
        <f t="shared" si="319"/>
        <v>0.90255748339303377</v>
      </c>
      <c r="J74" s="44">
        <f t="shared" si="319"/>
        <v>1.357913457446098</v>
      </c>
      <c r="K74" s="44">
        <f t="shared" si="319"/>
        <v>1.9284285936346368</v>
      </c>
      <c r="L74" s="44">
        <f t="shared" si="319"/>
        <v>2.6246616417477155</v>
      </c>
      <c r="M74" s="44">
        <f t="shared" si="319"/>
        <v>3.4574220383065168</v>
      </c>
      <c r="N74" s="44">
        <f t="shared" si="319"/>
        <v>4.437779603851709</v>
      </c>
      <c r="O74" s="44">
        <f t="shared" si="319"/>
        <v>5.3988886741201361</v>
      </c>
      <c r="P74" s="44">
        <f t="shared" si="319"/>
        <v>6.4588562460848067</v>
      </c>
      <c r="Q74" s="44">
        <f t="shared" si="319"/>
        <v>7.6185857081964619</v>
      </c>
      <c r="R74" s="44">
        <f t="shared" si="319"/>
        <v>8.8788791906752937</v>
      </c>
      <c r="S74" s="44">
        <f t="shared" si="319"/>
        <v>10.240433667742009</v>
      </c>
      <c r="T74" s="44">
        <f t="shared" si="319"/>
        <v>11.667351746169475</v>
      </c>
      <c r="U74" s="44">
        <f t="shared" si="319"/>
        <v>13.186426176058532</v>
      </c>
      <c r="V74" s="44">
        <f t="shared" si="319"/>
        <v>14.796864295955249</v>
      </c>
      <c r="W74" s="44">
        <f t="shared" si="319"/>
        <v>16.49771120254767</v>
      </c>
      <c r="X74" s="44">
        <f t="shared" si="319"/>
        <v>18.287843870345842</v>
      </c>
      <c r="Y74" s="44">
        <f t="shared" si="319"/>
        <v>20.05900673894104</v>
      </c>
      <c r="Z74" s="44">
        <f t="shared" si="319"/>
        <v>21.890942529588649</v>
      </c>
      <c r="AA74" s="44">
        <f t="shared" si="319"/>
        <v>23.779589121323575</v>
      </c>
      <c r="AB74" s="44">
        <f t="shared" si="319"/>
        <v>25.720637874391475</v>
      </c>
      <c r="AC74" s="44">
        <f t="shared" si="319"/>
        <v>27.709525713853189</v>
      </c>
      <c r="AD74" s="44">
        <f t="shared" si="319"/>
        <v>29.682962231211182</v>
      </c>
      <c r="AE74" s="44">
        <f t="shared" si="319"/>
        <v>31.684233981789241</v>
      </c>
      <c r="AF74" s="44">
        <f t="shared" si="319"/>
        <v>33.707238725183217</v>
      </c>
      <c r="AG74" s="44">
        <f t="shared" si="319"/>
        <v>35.745568971888105</v>
      </c>
      <c r="AH74" s="44">
        <f t="shared" si="319"/>
        <v>37.792502551959444</v>
      </c>
      <c r="AI74" s="44"/>
      <c r="AJ74" s="44">
        <f t="shared" ref="AJ74:BN74" si="320">AJ20*($EF74-$EG74)/30*(AJ$2-$D$2)</f>
        <v>0</v>
      </c>
      <c r="AK74" s="44">
        <f t="shared" si="320"/>
        <v>1.4210797377695367E-2</v>
      </c>
      <c r="AL74" s="44">
        <f t="shared" si="320"/>
        <v>6.0588919135851453E-2</v>
      </c>
      <c r="AM74" s="44">
        <f t="shared" si="320"/>
        <v>0.14489228958207231</v>
      </c>
      <c r="AN74" s="44">
        <f t="shared" si="320"/>
        <v>0.273071505560459</v>
      </c>
      <c r="AO74" s="44">
        <f t="shared" si="320"/>
        <v>0.45127874169651688</v>
      </c>
      <c r="AP74" s="44">
        <f t="shared" si="320"/>
        <v>0.67895672872304902</v>
      </c>
      <c r="AQ74" s="44">
        <f t="shared" si="320"/>
        <v>0.96421429681731841</v>
      </c>
      <c r="AR74" s="44">
        <f t="shared" si="320"/>
        <v>1.3123308208738578</v>
      </c>
      <c r="AS74" s="44">
        <f t="shared" si="320"/>
        <v>1.7287110191532584</v>
      </c>
      <c r="AT74" s="44">
        <f t="shared" si="320"/>
        <v>2.2188898019258545</v>
      </c>
      <c r="AU74" s="44">
        <f t="shared" si="320"/>
        <v>2.699444337060068</v>
      </c>
      <c r="AV74" s="44">
        <f t="shared" si="320"/>
        <v>3.2294281230424033</v>
      </c>
      <c r="AW74" s="44">
        <f t="shared" si="320"/>
        <v>3.8092928540982309</v>
      </c>
      <c r="AX74" s="44">
        <f t="shared" si="320"/>
        <v>4.4394395953376469</v>
      </c>
      <c r="AY74" s="44">
        <f t="shared" si="320"/>
        <v>5.1202168338710043</v>
      </c>
      <c r="AZ74" s="44">
        <f t="shared" si="320"/>
        <v>5.8336758730847373</v>
      </c>
      <c r="BA74" s="44">
        <f t="shared" si="320"/>
        <v>6.5932130880292661</v>
      </c>
      <c r="BB74" s="44">
        <f t="shared" si="320"/>
        <v>7.3984321479776245</v>
      </c>
      <c r="BC74" s="44">
        <f t="shared" si="320"/>
        <v>8.248855601273835</v>
      </c>
      <c r="BD74" s="44">
        <f t="shared" si="320"/>
        <v>9.1439219351729211</v>
      </c>
      <c r="BE74" s="44">
        <f t="shared" si="320"/>
        <v>10.02950336947052</v>
      </c>
      <c r="BF74" s="44">
        <f t="shared" si="320"/>
        <v>10.945471264794325</v>
      </c>
      <c r="BG74" s="44">
        <f t="shared" si="320"/>
        <v>11.889794560661787</v>
      </c>
      <c r="BH74" s="44">
        <f t="shared" si="320"/>
        <v>12.860318937195737</v>
      </c>
      <c r="BI74" s="44">
        <f t="shared" si="320"/>
        <v>13.854762856926595</v>
      </c>
      <c r="BJ74" s="44">
        <f t="shared" si="320"/>
        <v>14.841481115605591</v>
      </c>
      <c r="BK74" s="44">
        <f t="shared" si="320"/>
        <v>15.84211699089462</v>
      </c>
      <c r="BL74" s="44">
        <f t="shared" si="320"/>
        <v>16.853619362591608</v>
      </c>
      <c r="BM74" s="44">
        <f t="shared" si="320"/>
        <v>17.872784485944052</v>
      </c>
      <c r="BN74" s="44">
        <f t="shared" si="320"/>
        <v>18.896251275979722</v>
      </c>
      <c r="BO74" s="44"/>
      <c r="BP74" s="44">
        <f t="shared" ref="BP74:CT74" si="321">BP20*($EF74-$EG74)/30*(BP$2-$D$2)</f>
        <v>0</v>
      </c>
      <c r="BQ74" s="44">
        <f t="shared" si="321"/>
        <v>0</v>
      </c>
      <c r="BR74" s="44">
        <f t="shared" si="321"/>
        <v>0</v>
      </c>
      <c r="BS74" s="44">
        <f t="shared" si="321"/>
        <v>0</v>
      </c>
      <c r="BT74" s="44">
        <f t="shared" si="321"/>
        <v>0</v>
      </c>
      <c r="BU74" s="44">
        <f t="shared" si="321"/>
        <v>0</v>
      </c>
      <c r="BV74" s="44">
        <f t="shared" si="321"/>
        <v>0</v>
      </c>
      <c r="BW74" s="44">
        <f t="shared" si="321"/>
        <v>0</v>
      </c>
      <c r="BX74" s="44">
        <f t="shared" si="321"/>
        <v>0</v>
      </c>
      <c r="BY74" s="44">
        <f t="shared" si="321"/>
        <v>0</v>
      </c>
      <c r="BZ74" s="44">
        <f t="shared" si="321"/>
        <v>0</v>
      </c>
      <c r="CA74" s="44">
        <f t="shared" si="321"/>
        <v>0</v>
      </c>
      <c r="CB74" s="44">
        <f t="shared" si="321"/>
        <v>0</v>
      </c>
      <c r="CC74" s="44">
        <f t="shared" si="321"/>
        <v>0</v>
      </c>
      <c r="CD74" s="44">
        <f t="shared" si="321"/>
        <v>0</v>
      </c>
      <c r="CE74" s="44">
        <f t="shared" si="321"/>
        <v>0</v>
      </c>
      <c r="CF74" s="44">
        <f t="shared" si="321"/>
        <v>0</v>
      </c>
      <c r="CG74" s="44">
        <f t="shared" si="321"/>
        <v>0</v>
      </c>
      <c r="CH74" s="44">
        <f t="shared" si="321"/>
        <v>0</v>
      </c>
      <c r="CI74" s="44">
        <f t="shared" si="321"/>
        <v>0</v>
      </c>
      <c r="CJ74" s="44">
        <f t="shared" si="321"/>
        <v>0</v>
      </c>
      <c r="CK74" s="44">
        <f t="shared" si="321"/>
        <v>0</v>
      </c>
      <c r="CL74" s="44">
        <f t="shared" si="321"/>
        <v>0</v>
      </c>
      <c r="CM74" s="44">
        <f t="shared" si="321"/>
        <v>0</v>
      </c>
      <c r="CN74" s="44">
        <f t="shared" si="321"/>
        <v>0</v>
      </c>
      <c r="CO74" s="44">
        <f t="shared" si="321"/>
        <v>0</v>
      </c>
      <c r="CP74" s="44">
        <f t="shared" si="321"/>
        <v>0</v>
      </c>
      <c r="CQ74" s="44">
        <f t="shared" si="321"/>
        <v>0</v>
      </c>
      <c r="CR74" s="44">
        <f t="shared" si="321"/>
        <v>0</v>
      </c>
      <c r="CS74" s="44">
        <f t="shared" si="321"/>
        <v>0</v>
      </c>
      <c r="CT74" s="44">
        <f t="shared" si="321"/>
        <v>0</v>
      </c>
      <c r="CU74" s="44"/>
      <c r="CV74" s="44">
        <f t="shared" ref="CV74:DZ74" si="322">CV20*($EF74-$EG74)/30*(CV$2-$D$2)</f>
        <v>0</v>
      </c>
      <c r="CW74" s="44">
        <f t="shared" si="322"/>
        <v>0</v>
      </c>
      <c r="CX74" s="44">
        <f t="shared" si="322"/>
        <v>0</v>
      </c>
      <c r="CY74" s="44">
        <f t="shared" si="322"/>
        <v>0</v>
      </c>
      <c r="CZ74" s="44">
        <f t="shared" si="322"/>
        <v>0</v>
      </c>
      <c r="DA74" s="44">
        <f t="shared" si="322"/>
        <v>0</v>
      </c>
      <c r="DB74" s="44">
        <f t="shared" si="322"/>
        <v>0</v>
      </c>
      <c r="DC74" s="44">
        <f t="shared" si="322"/>
        <v>0</v>
      </c>
      <c r="DD74" s="44">
        <f t="shared" si="322"/>
        <v>0</v>
      </c>
      <c r="DE74" s="44">
        <f t="shared" si="322"/>
        <v>0</v>
      </c>
      <c r="DF74" s="44">
        <f t="shared" si="322"/>
        <v>0</v>
      </c>
      <c r="DG74" s="44">
        <f t="shared" si="322"/>
        <v>0</v>
      </c>
      <c r="DH74" s="44">
        <f t="shared" si="322"/>
        <v>0</v>
      </c>
      <c r="DI74" s="44">
        <f t="shared" si="322"/>
        <v>0</v>
      </c>
      <c r="DJ74" s="44">
        <f t="shared" si="322"/>
        <v>0</v>
      </c>
      <c r="DK74" s="44">
        <f t="shared" si="322"/>
        <v>0</v>
      </c>
      <c r="DL74" s="44">
        <f t="shared" si="322"/>
        <v>0</v>
      </c>
      <c r="DM74" s="44">
        <f t="shared" si="322"/>
        <v>0</v>
      </c>
      <c r="DN74" s="44">
        <f t="shared" si="322"/>
        <v>0</v>
      </c>
      <c r="DO74" s="44">
        <f t="shared" si="322"/>
        <v>0</v>
      </c>
      <c r="DP74" s="44">
        <f t="shared" si="322"/>
        <v>0</v>
      </c>
      <c r="DQ74" s="44">
        <f t="shared" si="322"/>
        <v>0</v>
      </c>
      <c r="DR74" s="44">
        <f t="shared" si="322"/>
        <v>0</v>
      </c>
      <c r="DS74" s="44">
        <f t="shared" si="322"/>
        <v>0</v>
      </c>
      <c r="DT74" s="44">
        <f t="shared" si="322"/>
        <v>0</v>
      </c>
      <c r="DU74" s="44">
        <f t="shared" si="322"/>
        <v>0</v>
      </c>
      <c r="DV74" s="44">
        <f t="shared" si="322"/>
        <v>0</v>
      </c>
      <c r="DW74" s="44">
        <f t="shared" si="322"/>
        <v>0</v>
      </c>
      <c r="DX74" s="44">
        <f t="shared" si="322"/>
        <v>0</v>
      </c>
      <c r="DY74" s="44">
        <f t="shared" si="322"/>
        <v>0</v>
      </c>
      <c r="DZ74" s="44">
        <f t="shared" si="322"/>
        <v>0</v>
      </c>
      <c r="EF74" s="610">
        <f>AVERAGE(EF64:EF65)</f>
        <v>3.85</v>
      </c>
      <c r="EG74" s="51">
        <v>0</v>
      </c>
      <c r="EH74" s="51"/>
      <c r="EI74" s="51"/>
      <c r="EJ74" s="51"/>
      <c r="EM74" t="s">
        <v>99</v>
      </c>
    </row>
    <row r="75" spans="1:143" ht="16" thickBot="1" x14ac:dyDescent="0.25">
      <c r="A75" s="185" t="s">
        <v>111</v>
      </c>
      <c r="B75" s="488"/>
      <c r="C75" s="639" t="s">
        <v>110</v>
      </c>
      <c r="D75" s="640">
        <f t="shared" ref="D75:AH75" si="323">SUM(D61:D74)</f>
        <v>0</v>
      </c>
      <c r="E75" s="640">
        <f t="shared" si="323"/>
        <v>0.29237406780998554</v>
      </c>
      <c r="F75" s="640">
        <f t="shared" si="323"/>
        <v>1.2671776145902969</v>
      </c>
      <c r="G75" s="640">
        <f t="shared" si="323"/>
        <v>2.9031775427197104</v>
      </c>
      <c r="H75" s="640">
        <f t="shared" si="323"/>
        <v>5.2550683745556714</v>
      </c>
      <c r="I75" s="640">
        <f t="shared" si="323"/>
        <v>8.3598881812505681</v>
      </c>
      <c r="J75" s="640">
        <f t="shared" si="323"/>
        <v>12.241935704580605</v>
      </c>
      <c r="K75" s="640">
        <f t="shared" si="323"/>
        <v>16.943537501883156</v>
      </c>
      <c r="L75" s="640">
        <f t="shared" si="323"/>
        <v>22.502073246777758</v>
      </c>
      <c r="M75" s="640">
        <f t="shared" si="323"/>
        <v>28.955902095972881</v>
      </c>
      <c r="N75" s="640">
        <f t="shared" si="323"/>
        <v>36.344389522971937</v>
      </c>
      <c r="O75" s="640">
        <f t="shared" si="323"/>
        <v>46.215983423562818</v>
      </c>
      <c r="P75" s="640">
        <f t="shared" si="323"/>
        <v>56.554830931268803</v>
      </c>
      <c r="Q75" s="640">
        <f t="shared" si="323"/>
        <v>69.109897410186377</v>
      </c>
      <c r="R75" s="640">
        <f t="shared" si="323"/>
        <v>83.076413408314124</v>
      </c>
      <c r="S75" s="640">
        <f t="shared" si="323"/>
        <v>98.502294144635613</v>
      </c>
      <c r="T75" s="640">
        <f t="shared" si="323"/>
        <v>115.40010890279228</v>
      </c>
      <c r="U75" s="640">
        <f t="shared" si="323"/>
        <v>133.84639410002399</v>
      </c>
      <c r="V75" s="640">
        <f t="shared" si="323"/>
        <v>153.89140689148866</v>
      </c>
      <c r="W75" s="640">
        <f t="shared" si="323"/>
        <v>175.5865781121764</v>
      </c>
      <c r="X75" s="640">
        <f t="shared" si="323"/>
        <v>198.98453679402809</v>
      </c>
      <c r="Y75" s="640">
        <f t="shared" si="323"/>
        <v>229.10440111759195</v>
      </c>
      <c r="Z75" s="640">
        <f t="shared" si="323"/>
        <v>257.44645769446635</v>
      </c>
      <c r="AA75" s="640">
        <f t="shared" si="323"/>
        <v>287.77158327157071</v>
      </c>
      <c r="AB75" s="640">
        <f t="shared" si="323"/>
        <v>320.13892784502411</v>
      </c>
      <c r="AC75" s="640">
        <f t="shared" si="323"/>
        <v>354.60895714966449</v>
      </c>
      <c r="AD75" s="640">
        <f t="shared" si="323"/>
        <v>391.18501275738413</v>
      </c>
      <c r="AE75" s="640">
        <f t="shared" si="323"/>
        <v>429.9786499810632</v>
      </c>
      <c r="AF75" s="640">
        <f t="shared" si="323"/>
        <v>471.05370634121238</v>
      </c>
      <c r="AG75" s="640">
        <f t="shared" si="323"/>
        <v>514.4754199683448</v>
      </c>
      <c r="AH75" s="640">
        <f t="shared" si="323"/>
        <v>560.31045566698185</v>
      </c>
      <c r="AI75" s="640"/>
      <c r="AJ75" s="640">
        <f t="shared" ref="AJ75:BN75" si="324">SUM(AJ61:AJ74)</f>
        <v>0</v>
      </c>
      <c r="AK75" s="640">
        <f t="shared" si="324"/>
        <v>0.20578926656260002</v>
      </c>
      <c r="AL75" s="640">
        <f t="shared" si="324"/>
        <v>0.89936801126115451</v>
      </c>
      <c r="AM75" s="640">
        <f t="shared" si="324"/>
        <v>2.0575404338242107</v>
      </c>
      <c r="AN75" s="640">
        <f t="shared" si="324"/>
        <v>3.7191017465545717</v>
      </c>
      <c r="AO75" s="640">
        <f t="shared" si="324"/>
        <v>5.9081938700340544</v>
      </c>
      <c r="AP75" s="640">
        <f t="shared" si="324"/>
        <v>8.6427383738881609</v>
      </c>
      <c r="AQ75" s="640">
        <f t="shared" si="324"/>
        <v>11.949823399002543</v>
      </c>
      <c r="AR75" s="640">
        <f t="shared" si="324"/>
        <v>15.85421972594858</v>
      </c>
      <c r="AS75" s="640">
        <f t="shared" si="324"/>
        <v>20.381347446081328</v>
      </c>
      <c r="AT75" s="640">
        <f t="shared" si="324"/>
        <v>25.557292937052665</v>
      </c>
      <c r="AU75" s="640">
        <f t="shared" si="324"/>
        <v>32.516608110128224</v>
      </c>
      <c r="AV75" s="640">
        <f t="shared" si="324"/>
        <v>39.670900146062628</v>
      </c>
      <c r="AW75" s="640">
        <f t="shared" si="324"/>
        <v>48.533221557880942</v>
      </c>
      <c r="AX75" s="640">
        <f t="shared" si="324"/>
        <v>58.397118355026848</v>
      </c>
      <c r="AY75" s="640">
        <f t="shared" si="324"/>
        <v>69.296979542306232</v>
      </c>
      <c r="AZ75" s="640">
        <f t="shared" si="324"/>
        <v>81.249792310907708</v>
      </c>
      <c r="BA75" s="640">
        <f t="shared" si="324"/>
        <v>94.304804763221512</v>
      </c>
      <c r="BB75" s="640">
        <f t="shared" si="324"/>
        <v>108.49840903885861</v>
      </c>
      <c r="BC75" s="640">
        <f t="shared" si="324"/>
        <v>123.86787424580768</v>
      </c>
      <c r="BD75" s="640">
        <f t="shared" si="324"/>
        <v>140.45136531842365</v>
      </c>
      <c r="BE75" s="640">
        <f t="shared" si="324"/>
        <v>162.23498923995064</v>
      </c>
      <c r="BF75" s="640">
        <f t="shared" si="324"/>
        <v>182.16194281327191</v>
      </c>
      <c r="BG75" s="640">
        <f t="shared" si="324"/>
        <v>203.49038908237603</v>
      </c>
      <c r="BH75" s="640">
        <f t="shared" si="324"/>
        <v>226.26413450084189</v>
      </c>
      <c r="BI75" s="640">
        <f t="shared" si="324"/>
        <v>250.52803553194508</v>
      </c>
      <c r="BJ75" s="640">
        <f t="shared" si="324"/>
        <v>276.29878850892737</v>
      </c>
      <c r="BK75" s="640">
        <f t="shared" si="324"/>
        <v>303.64760863311</v>
      </c>
      <c r="BL75" s="640">
        <f t="shared" si="324"/>
        <v>332.6222744939185</v>
      </c>
      <c r="BM75" s="640">
        <f t="shared" si="324"/>
        <v>363.27169780297294</v>
      </c>
      <c r="BN75" s="640">
        <f t="shared" si="324"/>
        <v>395.64594721096432</v>
      </c>
      <c r="BO75" s="640"/>
      <c r="BP75" s="640">
        <f t="shared" ref="BP75:CT75" si="325">SUM(BP61:BP74)</f>
        <v>0</v>
      </c>
      <c r="BQ75" s="640">
        <f t="shared" si="325"/>
        <v>0</v>
      </c>
      <c r="BR75" s="640">
        <f t="shared" si="325"/>
        <v>0</v>
      </c>
      <c r="BS75" s="640">
        <f t="shared" si="325"/>
        <v>0</v>
      </c>
      <c r="BT75" s="640">
        <f t="shared" si="325"/>
        <v>0</v>
      </c>
      <c r="BU75" s="640">
        <f t="shared" si="325"/>
        <v>0</v>
      </c>
      <c r="BV75" s="640">
        <f t="shared" si="325"/>
        <v>0</v>
      </c>
      <c r="BW75" s="640">
        <f t="shared" si="325"/>
        <v>0</v>
      </c>
      <c r="BX75" s="640">
        <f t="shared" si="325"/>
        <v>0</v>
      </c>
      <c r="BY75" s="640">
        <f t="shared" si="325"/>
        <v>0</v>
      </c>
      <c r="BZ75" s="640">
        <f t="shared" si="325"/>
        <v>0</v>
      </c>
      <c r="CA75" s="640">
        <f t="shared" si="325"/>
        <v>0</v>
      </c>
      <c r="CB75" s="640">
        <f t="shared" si="325"/>
        <v>0</v>
      </c>
      <c r="CC75" s="640">
        <f t="shared" si="325"/>
        <v>0</v>
      </c>
      <c r="CD75" s="640">
        <f t="shared" si="325"/>
        <v>0</v>
      </c>
      <c r="CE75" s="640">
        <f t="shared" si="325"/>
        <v>0</v>
      </c>
      <c r="CF75" s="640">
        <f t="shared" si="325"/>
        <v>0</v>
      </c>
      <c r="CG75" s="640">
        <f t="shared" si="325"/>
        <v>0</v>
      </c>
      <c r="CH75" s="640">
        <f t="shared" si="325"/>
        <v>0</v>
      </c>
      <c r="CI75" s="640">
        <f t="shared" si="325"/>
        <v>0</v>
      </c>
      <c r="CJ75" s="640">
        <f t="shared" si="325"/>
        <v>0</v>
      </c>
      <c r="CK75" s="640">
        <f t="shared" si="325"/>
        <v>0</v>
      </c>
      <c r="CL75" s="640">
        <f t="shared" si="325"/>
        <v>0</v>
      </c>
      <c r="CM75" s="640">
        <f t="shared" si="325"/>
        <v>0</v>
      </c>
      <c r="CN75" s="640">
        <f t="shared" si="325"/>
        <v>0</v>
      </c>
      <c r="CO75" s="640">
        <f t="shared" si="325"/>
        <v>0</v>
      </c>
      <c r="CP75" s="640">
        <f t="shared" si="325"/>
        <v>0</v>
      </c>
      <c r="CQ75" s="640">
        <f t="shared" si="325"/>
        <v>0</v>
      </c>
      <c r="CR75" s="640">
        <f t="shared" si="325"/>
        <v>0</v>
      </c>
      <c r="CS75" s="640">
        <f t="shared" si="325"/>
        <v>0</v>
      </c>
      <c r="CT75" s="640">
        <f t="shared" si="325"/>
        <v>0</v>
      </c>
      <c r="CU75" s="640"/>
      <c r="CV75" s="640">
        <f t="shared" ref="CV75:DZ75" si="326">SUM(CV61:CV74)</f>
        <v>0</v>
      </c>
      <c r="CW75" s="640">
        <f t="shared" si="326"/>
        <v>0</v>
      </c>
      <c r="CX75" s="640">
        <f t="shared" si="326"/>
        <v>0</v>
      </c>
      <c r="CY75" s="640">
        <f t="shared" si="326"/>
        <v>0</v>
      </c>
      <c r="CZ75" s="640">
        <f t="shared" si="326"/>
        <v>0</v>
      </c>
      <c r="DA75" s="640">
        <f t="shared" si="326"/>
        <v>0</v>
      </c>
      <c r="DB75" s="640">
        <f t="shared" si="326"/>
        <v>0</v>
      </c>
      <c r="DC75" s="640">
        <f t="shared" si="326"/>
        <v>0</v>
      </c>
      <c r="DD75" s="640">
        <f t="shared" si="326"/>
        <v>0</v>
      </c>
      <c r="DE75" s="640">
        <f t="shared" si="326"/>
        <v>0</v>
      </c>
      <c r="DF75" s="640">
        <f t="shared" si="326"/>
        <v>0</v>
      </c>
      <c r="DG75" s="640">
        <f t="shared" si="326"/>
        <v>0</v>
      </c>
      <c r="DH75" s="640">
        <f t="shared" si="326"/>
        <v>0</v>
      </c>
      <c r="DI75" s="640">
        <f t="shared" si="326"/>
        <v>0</v>
      </c>
      <c r="DJ75" s="640">
        <f t="shared" si="326"/>
        <v>0</v>
      </c>
      <c r="DK75" s="640">
        <f t="shared" si="326"/>
        <v>0</v>
      </c>
      <c r="DL75" s="640">
        <f t="shared" si="326"/>
        <v>0</v>
      </c>
      <c r="DM75" s="640">
        <f t="shared" si="326"/>
        <v>0</v>
      </c>
      <c r="DN75" s="640">
        <f t="shared" si="326"/>
        <v>0</v>
      </c>
      <c r="DO75" s="640">
        <f t="shared" si="326"/>
        <v>0</v>
      </c>
      <c r="DP75" s="640">
        <f t="shared" si="326"/>
        <v>0</v>
      </c>
      <c r="DQ75" s="640">
        <f t="shared" si="326"/>
        <v>0</v>
      </c>
      <c r="DR75" s="640">
        <f t="shared" si="326"/>
        <v>0</v>
      </c>
      <c r="DS75" s="640">
        <f t="shared" si="326"/>
        <v>0</v>
      </c>
      <c r="DT75" s="640">
        <f t="shared" si="326"/>
        <v>0</v>
      </c>
      <c r="DU75" s="640">
        <f t="shared" si="326"/>
        <v>0</v>
      </c>
      <c r="DV75" s="640">
        <f t="shared" si="326"/>
        <v>0</v>
      </c>
      <c r="DW75" s="640">
        <f t="shared" si="326"/>
        <v>0</v>
      </c>
      <c r="DX75" s="640">
        <f t="shared" si="326"/>
        <v>0</v>
      </c>
      <c r="DY75" s="640">
        <f t="shared" si="326"/>
        <v>0</v>
      </c>
      <c r="DZ75" s="640">
        <f t="shared" si="326"/>
        <v>0</v>
      </c>
    </row>
    <row r="77" spans="1:143" ht="16" thickBot="1" x14ac:dyDescent="0.25">
      <c r="A77" s="637" t="s">
        <v>112</v>
      </c>
      <c r="B77" s="637"/>
      <c r="C77" s="638"/>
      <c r="D77" s="637"/>
      <c r="E77" s="637"/>
      <c r="F77" s="637"/>
      <c r="G77" s="637"/>
      <c r="H77" s="637"/>
      <c r="I77" s="637"/>
      <c r="J77" s="637"/>
      <c r="K77" s="637"/>
      <c r="L77" s="637"/>
      <c r="M77" s="637"/>
      <c r="N77" s="637"/>
      <c r="O77" s="637"/>
      <c r="P77" s="637"/>
      <c r="Q77" s="637"/>
      <c r="R77" s="637"/>
      <c r="S77" s="637"/>
      <c r="T77" s="637"/>
      <c r="U77" s="637"/>
      <c r="V77" s="637"/>
      <c r="W77" s="637"/>
      <c r="X77" s="637"/>
      <c r="Y77" s="637"/>
      <c r="Z77" s="637"/>
      <c r="AA77" s="637"/>
      <c r="AB77" s="637"/>
      <c r="AC77" s="637"/>
      <c r="AD77" s="637"/>
      <c r="AE77" s="637"/>
      <c r="AF77" s="637"/>
      <c r="AG77" s="637"/>
      <c r="AH77" s="637"/>
      <c r="AI77" s="637"/>
      <c r="AJ77" s="637"/>
      <c r="AK77" s="637"/>
      <c r="AL77" s="637"/>
      <c r="AM77" s="637"/>
      <c r="AN77" s="637"/>
      <c r="AO77" s="637"/>
      <c r="AP77" s="637"/>
      <c r="AQ77" s="637"/>
      <c r="AR77" s="637"/>
      <c r="AS77" s="637"/>
      <c r="AT77" s="637"/>
      <c r="AU77" s="637"/>
      <c r="AV77" s="637"/>
      <c r="AW77" s="637"/>
      <c r="AX77" s="637"/>
      <c r="AY77" s="637"/>
      <c r="AZ77" s="637"/>
      <c r="BA77" s="637"/>
      <c r="BB77" s="637"/>
      <c r="BC77" s="637"/>
      <c r="BD77" s="637"/>
      <c r="BE77" s="637"/>
      <c r="BF77" s="637"/>
      <c r="BG77" s="637"/>
      <c r="BH77" s="637"/>
      <c r="BI77" s="637"/>
      <c r="BJ77" s="637"/>
      <c r="BK77" s="637"/>
      <c r="BL77" s="637"/>
      <c r="BM77" s="637"/>
      <c r="BN77" s="637"/>
      <c r="BO77" s="637"/>
      <c r="BP77" s="637"/>
      <c r="BQ77" s="637"/>
      <c r="BR77" s="637"/>
      <c r="BS77" s="637"/>
      <c r="BT77" s="637"/>
      <c r="BU77" s="637"/>
      <c r="BV77" s="637"/>
      <c r="BW77" s="637"/>
      <c r="BX77" s="637"/>
      <c r="BY77" s="637"/>
      <c r="BZ77" s="637"/>
      <c r="CA77" s="637"/>
      <c r="CB77" s="637"/>
      <c r="CC77" s="637"/>
      <c r="CD77" s="637"/>
      <c r="CE77" s="637"/>
      <c r="CF77" s="637"/>
      <c r="CG77" s="637"/>
      <c r="CH77" s="637"/>
      <c r="CI77" s="637"/>
      <c r="CJ77" s="637"/>
      <c r="CK77" s="637"/>
      <c r="CL77" s="637"/>
      <c r="CM77" s="637"/>
      <c r="CN77" s="637"/>
      <c r="CO77" s="637"/>
      <c r="CP77" s="637"/>
      <c r="CQ77" s="637"/>
      <c r="CR77" s="637"/>
      <c r="CS77" s="637"/>
      <c r="CT77" s="637"/>
      <c r="CU77" s="637"/>
      <c r="CV77" s="637"/>
      <c r="CW77" s="637"/>
      <c r="CX77" s="637"/>
      <c r="CY77" s="637"/>
      <c r="CZ77" s="637"/>
      <c r="DA77" s="637"/>
      <c r="DB77" s="637"/>
      <c r="DC77" s="637"/>
      <c r="DD77" s="637"/>
      <c r="DE77" s="637"/>
      <c r="DF77" s="637"/>
      <c r="DG77" s="637"/>
      <c r="DH77" s="637"/>
      <c r="DI77" s="637"/>
      <c r="DJ77" s="637"/>
      <c r="DK77" s="637"/>
      <c r="DL77" s="637"/>
      <c r="DM77" s="637"/>
      <c r="DN77" s="637"/>
      <c r="DO77" s="637"/>
      <c r="DP77" s="637"/>
      <c r="DQ77" s="637"/>
      <c r="DR77" s="637"/>
      <c r="DS77" s="637"/>
      <c r="DT77" s="637"/>
      <c r="DU77" s="637"/>
      <c r="DV77" s="637"/>
      <c r="DW77" s="637"/>
      <c r="DX77" s="637"/>
      <c r="DY77" s="637"/>
      <c r="DZ77" s="637"/>
      <c r="EF77" s="181">
        <v>2020</v>
      </c>
      <c r="EK77" t="s">
        <v>113</v>
      </c>
      <c r="EM77" t="s">
        <v>96</v>
      </c>
    </row>
    <row r="78" spans="1:143" x14ac:dyDescent="0.2">
      <c r="B78" t="str">
        <f>B7</f>
        <v>Fuel additive elimination</v>
      </c>
      <c r="C78" s="54" t="s">
        <v>114</v>
      </c>
      <c r="D78" s="648">
        <f t="shared" ref="D78:AH78" si="327">D7*$EF78</f>
        <v>0</v>
      </c>
      <c r="E78" s="648">
        <f t="shared" si="327"/>
        <v>0</v>
      </c>
      <c r="F78" s="648">
        <f t="shared" si="327"/>
        <v>0</v>
      </c>
      <c r="G78" s="648">
        <f t="shared" si="327"/>
        <v>0</v>
      </c>
      <c r="H78" s="648">
        <f t="shared" si="327"/>
        <v>0</v>
      </c>
      <c r="I78" s="648">
        <f t="shared" si="327"/>
        <v>0</v>
      </c>
      <c r="J78" s="648">
        <f t="shared" si="327"/>
        <v>0</v>
      </c>
      <c r="K78" s="648">
        <f t="shared" si="327"/>
        <v>0</v>
      </c>
      <c r="L78" s="648">
        <f t="shared" si="327"/>
        <v>0</v>
      </c>
      <c r="M78" s="648">
        <f t="shared" si="327"/>
        <v>0</v>
      </c>
      <c r="N78" s="648">
        <f t="shared" si="327"/>
        <v>0</v>
      </c>
      <c r="O78" s="648">
        <f t="shared" si="327"/>
        <v>0</v>
      </c>
      <c r="P78" s="648">
        <f t="shared" si="327"/>
        <v>0</v>
      </c>
      <c r="Q78" s="648">
        <f t="shared" si="327"/>
        <v>0</v>
      </c>
      <c r="R78" s="648">
        <f t="shared" si="327"/>
        <v>0</v>
      </c>
      <c r="S78" s="648">
        <f t="shared" si="327"/>
        <v>0</v>
      </c>
      <c r="T78" s="648">
        <f t="shared" si="327"/>
        <v>0</v>
      </c>
      <c r="U78" s="648">
        <f t="shared" si="327"/>
        <v>0</v>
      </c>
      <c r="V78" s="648">
        <f t="shared" si="327"/>
        <v>0</v>
      </c>
      <c r="W78" s="648">
        <f t="shared" si="327"/>
        <v>0</v>
      </c>
      <c r="X78" s="648">
        <f t="shared" si="327"/>
        <v>0</v>
      </c>
      <c r="Y78" s="648">
        <f t="shared" si="327"/>
        <v>0</v>
      </c>
      <c r="Z78" s="648">
        <f t="shared" si="327"/>
        <v>0</v>
      </c>
      <c r="AA78" s="648">
        <f t="shared" si="327"/>
        <v>0</v>
      </c>
      <c r="AB78" s="648">
        <f t="shared" si="327"/>
        <v>0</v>
      </c>
      <c r="AC78" s="648">
        <f t="shared" si="327"/>
        <v>0</v>
      </c>
      <c r="AD78" s="648">
        <f t="shared" si="327"/>
        <v>0</v>
      </c>
      <c r="AE78" s="648">
        <f t="shared" si="327"/>
        <v>0</v>
      </c>
      <c r="AF78" s="648">
        <f t="shared" si="327"/>
        <v>0</v>
      </c>
      <c r="AG78" s="648">
        <f t="shared" si="327"/>
        <v>0</v>
      </c>
      <c r="AH78" s="648">
        <f t="shared" si="327"/>
        <v>0</v>
      </c>
      <c r="AI78" s="648"/>
      <c r="AJ78" s="648">
        <f t="shared" ref="AJ78:BN78" si="328">AJ7*$EF78</f>
        <v>0</v>
      </c>
      <c r="AK78" s="648">
        <f t="shared" si="328"/>
        <v>0</v>
      </c>
      <c r="AL78" s="648">
        <f t="shared" si="328"/>
        <v>0</v>
      </c>
      <c r="AM78" s="648">
        <f t="shared" si="328"/>
        <v>0</v>
      </c>
      <c r="AN78" s="648">
        <f t="shared" si="328"/>
        <v>0</v>
      </c>
      <c r="AO78" s="648">
        <f t="shared" si="328"/>
        <v>0</v>
      </c>
      <c r="AP78" s="648">
        <f t="shared" si="328"/>
        <v>0</v>
      </c>
      <c r="AQ78" s="648">
        <f t="shared" si="328"/>
        <v>0</v>
      </c>
      <c r="AR78" s="648">
        <f t="shared" si="328"/>
        <v>0</v>
      </c>
      <c r="AS78" s="648">
        <f t="shared" si="328"/>
        <v>0</v>
      </c>
      <c r="AT78" s="648">
        <f t="shared" si="328"/>
        <v>0</v>
      </c>
      <c r="AU78" s="648">
        <f t="shared" si="328"/>
        <v>0</v>
      </c>
      <c r="AV78" s="648">
        <f t="shared" si="328"/>
        <v>0</v>
      </c>
      <c r="AW78" s="648">
        <f t="shared" si="328"/>
        <v>0</v>
      </c>
      <c r="AX78" s="648">
        <f t="shared" si="328"/>
        <v>0</v>
      </c>
      <c r="AY78" s="648">
        <f t="shared" si="328"/>
        <v>0</v>
      </c>
      <c r="AZ78" s="648">
        <f t="shared" si="328"/>
        <v>0</v>
      </c>
      <c r="BA78" s="648">
        <f t="shared" si="328"/>
        <v>0</v>
      </c>
      <c r="BB78" s="648">
        <f t="shared" si="328"/>
        <v>0</v>
      </c>
      <c r="BC78" s="648">
        <f t="shared" si="328"/>
        <v>0</v>
      </c>
      <c r="BD78" s="648">
        <f t="shared" si="328"/>
        <v>0</v>
      </c>
      <c r="BE78" s="648">
        <f t="shared" si="328"/>
        <v>0</v>
      </c>
      <c r="BF78" s="648">
        <f t="shared" si="328"/>
        <v>0</v>
      </c>
      <c r="BG78" s="648">
        <f t="shared" si="328"/>
        <v>0</v>
      </c>
      <c r="BH78" s="648">
        <f t="shared" si="328"/>
        <v>0</v>
      </c>
      <c r="BI78" s="648">
        <f t="shared" si="328"/>
        <v>0</v>
      </c>
      <c r="BJ78" s="648">
        <f t="shared" si="328"/>
        <v>0</v>
      </c>
      <c r="BK78" s="648">
        <f t="shared" si="328"/>
        <v>0</v>
      </c>
      <c r="BL78" s="648">
        <f t="shared" si="328"/>
        <v>0</v>
      </c>
      <c r="BM78" s="648">
        <f t="shared" si="328"/>
        <v>0</v>
      </c>
      <c r="BN78" s="648">
        <f t="shared" si="328"/>
        <v>0</v>
      </c>
      <c r="BO78" s="648"/>
      <c r="BP78" s="648">
        <f t="shared" ref="BP78:CT78" si="329">BP7*$EF78</f>
        <v>0</v>
      </c>
      <c r="BQ78" s="648">
        <f t="shared" si="329"/>
        <v>0</v>
      </c>
      <c r="BR78" s="648">
        <f t="shared" si="329"/>
        <v>0</v>
      </c>
      <c r="BS78" s="648">
        <f t="shared" si="329"/>
        <v>0</v>
      </c>
      <c r="BT78" s="648">
        <f t="shared" si="329"/>
        <v>0</v>
      </c>
      <c r="BU78" s="648">
        <f t="shared" si="329"/>
        <v>0</v>
      </c>
      <c r="BV78" s="648">
        <f t="shared" si="329"/>
        <v>0</v>
      </c>
      <c r="BW78" s="648">
        <f t="shared" si="329"/>
        <v>0</v>
      </c>
      <c r="BX78" s="648">
        <f t="shared" si="329"/>
        <v>0</v>
      </c>
      <c r="BY78" s="648">
        <f t="shared" si="329"/>
        <v>0</v>
      </c>
      <c r="BZ78" s="648">
        <f t="shared" si="329"/>
        <v>0</v>
      </c>
      <c r="CA78" s="648">
        <f t="shared" si="329"/>
        <v>0</v>
      </c>
      <c r="CB78" s="648">
        <f t="shared" si="329"/>
        <v>0</v>
      </c>
      <c r="CC78" s="648">
        <f t="shared" si="329"/>
        <v>0</v>
      </c>
      <c r="CD78" s="648">
        <f t="shared" si="329"/>
        <v>0</v>
      </c>
      <c r="CE78" s="648">
        <f t="shared" si="329"/>
        <v>0</v>
      </c>
      <c r="CF78" s="648">
        <f t="shared" si="329"/>
        <v>0</v>
      </c>
      <c r="CG78" s="648">
        <f t="shared" si="329"/>
        <v>0</v>
      </c>
      <c r="CH78" s="648">
        <f t="shared" si="329"/>
        <v>0</v>
      </c>
      <c r="CI78" s="648">
        <f t="shared" si="329"/>
        <v>0</v>
      </c>
      <c r="CJ78" s="648">
        <f t="shared" si="329"/>
        <v>0</v>
      </c>
      <c r="CK78" s="648">
        <f t="shared" si="329"/>
        <v>0</v>
      </c>
      <c r="CL78" s="648">
        <f t="shared" si="329"/>
        <v>0</v>
      </c>
      <c r="CM78" s="648">
        <f t="shared" si="329"/>
        <v>0</v>
      </c>
      <c r="CN78" s="648">
        <f t="shared" si="329"/>
        <v>0</v>
      </c>
      <c r="CO78" s="648">
        <f t="shared" si="329"/>
        <v>0</v>
      </c>
      <c r="CP78" s="648">
        <f t="shared" si="329"/>
        <v>0</v>
      </c>
      <c r="CQ78" s="648">
        <f t="shared" si="329"/>
        <v>0</v>
      </c>
      <c r="CR78" s="648">
        <f t="shared" si="329"/>
        <v>0</v>
      </c>
      <c r="CS78" s="648">
        <f t="shared" si="329"/>
        <v>0</v>
      </c>
      <c r="CT78" s="648">
        <f t="shared" si="329"/>
        <v>0</v>
      </c>
      <c r="CU78" s="648"/>
      <c r="CV78" s="648">
        <f t="shared" ref="CV78:DZ78" si="330">CV7*$EF78</f>
        <v>0</v>
      </c>
      <c r="CW78" s="648">
        <f t="shared" si="330"/>
        <v>0</v>
      </c>
      <c r="CX78" s="648">
        <f t="shared" si="330"/>
        <v>0</v>
      </c>
      <c r="CY78" s="648">
        <f t="shared" si="330"/>
        <v>0</v>
      </c>
      <c r="CZ78" s="648">
        <f t="shared" si="330"/>
        <v>0</v>
      </c>
      <c r="DA78" s="648">
        <f t="shared" si="330"/>
        <v>0</v>
      </c>
      <c r="DB78" s="648">
        <f t="shared" si="330"/>
        <v>0</v>
      </c>
      <c r="DC78" s="648">
        <f t="shared" si="330"/>
        <v>0</v>
      </c>
      <c r="DD78" s="648">
        <f t="shared" si="330"/>
        <v>0</v>
      </c>
      <c r="DE78" s="648">
        <f t="shared" si="330"/>
        <v>0</v>
      </c>
      <c r="DF78" s="648">
        <f t="shared" si="330"/>
        <v>0</v>
      </c>
      <c r="DG78" s="648">
        <f t="shared" si="330"/>
        <v>0</v>
      </c>
      <c r="DH78" s="648">
        <f t="shared" si="330"/>
        <v>0</v>
      </c>
      <c r="DI78" s="648">
        <f t="shared" si="330"/>
        <v>0</v>
      </c>
      <c r="DJ78" s="648">
        <f t="shared" si="330"/>
        <v>0</v>
      </c>
      <c r="DK78" s="648">
        <f t="shared" si="330"/>
        <v>0</v>
      </c>
      <c r="DL78" s="648">
        <f t="shared" si="330"/>
        <v>0</v>
      </c>
      <c r="DM78" s="648">
        <f t="shared" si="330"/>
        <v>0</v>
      </c>
      <c r="DN78" s="648">
        <f t="shared" si="330"/>
        <v>0</v>
      </c>
      <c r="DO78" s="648">
        <f t="shared" si="330"/>
        <v>0</v>
      </c>
      <c r="DP78" s="648">
        <f t="shared" si="330"/>
        <v>0</v>
      </c>
      <c r="DQ78" s="648">
        <f t="shared" si="330"/>
        <v>0</v>
      </c>
      <c r="DR78" s="648">
        <f t="shared" si="330"/>
        <v>0</v>
      </c>
      <c r="DS78" s="648">
        <f t="shared" si="330"/>
        <v>0</v>
      </c>
      <c r="DT78" s="648">
        <f t="shared" si="330"/>
        <v>0</v>
      </c>
      <c r="DU78" s="648">
        <f t="shared" si="330"/>
        <v>0</v>
      </c>
      <c r="DV78" s="648">
        <f t="shared" si="330"/>
        <v>0</v>
      </c>
      <c r="DW78" s="648">
        <f t="shared" si="330"/>
        <v>0</v>
      </c>
      <c r="DX78" s="648">
        <f t="shared" si="330"/>
        <v>0</v>
      </c>
      <c r="DY78" s="648">
        <f t="shared" si="330"/>
        <v>0</v>
      </c>
      <c r="DZ78" s="648">
        <f t="shared" si="330"/>
        <v>0</v>
      </c>
      <c r="EF78" s="51">
        <v>0</v>
      </c>
      <c r="EG78" s="51"/>
      <c r="EH78" s="51"/>
      <c r="EI78" s="51"/>
      <c r="EJ78" s="51"/>
      <c r="EM78" t="s">
        <v>98</v>
      </c>
    </row>
    <row r="79" spans="1:143" x14ac:dyDescent="0.2">
      <c r="A79" s="1"/>
      <c r="B79" t="str">
        <f t="shared" ref="B79:B91" si="331">B8</f>
        <v>Packaging reduction</v>
      </c>
      <c r="C79" s="54" t="s">
        <v>114</v>
      </c>
      <c r="D79" s="648">
        <f t="shared" ref="D79:AH79" si="332">D8*$EF79</f>
        <v>0</v>
      </c>
      <c r="E79" s="648">
        <f t="shared" si="332"/>
        <v>0</v>
      </c>
      <c r="F79" s="648">
        <f t="shared" si="332"/>
        <v>0</v>
      </c>
      <c r="G79" s="648">
        <f t="shared" si="332"/>
        <v>0</v>
      </c>
      <c r="H79" s="648">
        <f t="shared" si="332"/>
        <v>0</v>
      </c>
      <c r="I79" s="648">
        <f t="shared" si="332"/>
        <v>0</v>
      </c>
      <c r="J79" s="648">
        <f t="shared" si="332"/>
        <v>0</v>
      </c>
      <c r="K79" s="648">
        <f t="shared" si="332"/>
        <v>0</v>
      </c>
      <c r="L79" s="648">
        <f t="shared" si="332"/>
        <v>0</v>
      </c>
      <c r="M79" s="648">
        <f t="shared" si="332"/>
        <v>0</v>
      </c>
      <c r="N79" s="648">
        <f t="shared" si="332"/>
        <v>0</v>
      </c>
      <c r="O79" s="648">
        <f t="shared" si="332"/>
        <v>0</v>
      </c>
      <c r="P79" s="648">
        <f t="shared" si="332"/>
        <v>0</v>
      </c>
      <c r="Q79" s="648">
        <f t="shared" si="332"/>
        <v>0</v>
      </c>
      <c r="R79" s="648">
        <f t="shared" si="332"/>
        <v>0</v>
      </c>
      <c r="S79" s="648">
        <f t="shared" si="332"/>
        <v>0</v>
      </c>
      <c r="T79" s="648">
        <f t="shared" si="332"/>
        <v>0</v>
      </c>
      <c r="U79" s="648">
        <f t="shared" si="332"/>
        <v>0</v>
      </c>
      <c r="V79" s="648">
        <f t="shared" si="332"/>
        <v>0</v>
      </c>
      <c r="W79" s="648">
        <f t="shared" si="332"/>
        <v>0</v>
      </c>
      <c r="X79" s="648">
        <f t="shared" si="332"/>
        <v>0</v>
      </c>
      <c r="Y79" s="648">
        <f t="shared" si="332"/>
        <v>0</v>
      </c>
      <c r="Z79" s="648">
        <f t="shared" si="332"/>
        <v>0</v>
      </c>
      <c r="AA79" s="648">
        <f t="shared" si="332"/>
        <v>0</v>
      </c>
      <c r="AB79" s="648">
        <f t="shared" si="332"/>
        <v>0</v>
      </c>
      <c r="AC79" s="648">
        <f t="shared" si="332"/>
        <v>0</v>
      </c>
      <c r="AD79" s="648">
        <f t="shared" si="332"/>
        <v>0</v>
      </c>
      <c r="AE79" s="648">
        <f t="shared" si="332"/>
        <v>0</v>
      </c>
      <c r="AF79" s="648">
        <f t="shared" si="332"/>
        <v>0</v>
      </c>
      <c r="AG79" s="648">
        <f t="shared" si="332"/>
        <v>0</v>
      </c>
      <c r="AH79" s="648">
        <f t="shared" si="332"/>
        <v>0</v>
      </c>
      <c r="AI79" s="648"/>
      <c r="AJ79" s="648">
        <f t="shared" ref="AJ79:BN79" si="333">AJ8*$EF79</f>
        <v>0</v>
      </c>
      <c r="AK79" s="648">
        <f t="shared" si="333"/>
        <v>0</v>
      </c>
      <c r="AL79" s="648">
        <f t="shared" si="333"/>
        <v>0</v>
      </c>
      <c r="AM79" s="648">
        <f t="shared" si="333"/>
        <v>0</v>
      </c>
      <c r="AN79" s="648">
        <f t="shared" si="333"/>
        <v>0</v>
      </c>
      <c r="AO79" s="648">
        <f t="shared" si="333"/>
        <v>0</v>
      </c>
      <c r="AP79" s="648">
        <f t="shared" si="333"/>
        <v>0</v>
      </c>
      <c r="AQ79" s="648">
        <f t="shared" si="333"/>
        <v>0</v>
      </c>
      <c r="AR79" s="648">
        <f t="shared" si="333"/>
        <v>0</v>
      </c>
      <c r="AS79" s="648">
        <f t="shared" si="333"/>
        <v>0</v>
      </c>
      <c r="AT79" s="648">
        <f t="shared" si="333"/>
        <v>0</v>
      </c>
      <c r="AU79" s="648">
        <f t="shared" si="333"/>
        <v>0</v>
      </c>
      <c r="AV79" s="648">
        <f t="shared" si="333"/>
        <v>0</v>
      </c>
      <c r="AW79" s="648">
        <f t="shared" si="333"/>
        <v>0</v>
      </c>
      <c r="AX79" s="648">
        <f t="shared" si="333"/>
        <v>0</v>
      </c>
      <c r="AY79" s="648">
        <f t="shared" si="333"/>
        <v>0</v>
      </c>
      <c r="AZ79" s="648">
        <f t="shared" si="333"/>
        <v>0</v>
      </c>
      <c r="BA79" s="648">
        <f t="shared" si="333"/>
        <v>0</v>
      </c>
      <c r="BB79" s="648">
        <f t="shared" si="333"/>
        <v>0</v>
      </c>
      <c r="BC79" s="648">
        <f t="shared" si="333"/>
        <v>0</v>
      </c>
      <c r="BD79" s="648">
        <f t="shared" si="333"/>
        <v>0</v>
      </c>
      <c r="BE79" s="648">
        <f t="shared" si="333"/>
        <v>0</v>
      </c>
      <c r="BF79" s="648">
        <f t="shared" si="333"/>
        <v>0</v>
      </c>
      <c r="BG79" s="648">
        <f t="shared" si="333"/>
        <v>0</v>
      </c>
      <c r="BH79" s="648">
        <f t="shared" si="333"/>
        <v>0</v>
      </c>
      <c r="BI79" s="648">
        <f t="shared" si="333"/>
        <v>0</v>
      </c>
      <c r="BJ79" s="648">
        <f t="shared" si="333"/>
        <v>0</v>
      </c>
      <c r="BK79" s="648">
        <f t="shared" si="333"/>
        <v>0</v>
      </c>
      <c r="BL79" s="648">
        <f t="shared" si="333"/>
        <v>0</v>
      </c>
      <c r="BM79" s="648">
        <f t="shared" si="333"/>
        <v>0</v>
      </c>
      <c r="BN79" s="648">
        <f t="shared" si="333"/>
        <v>0</v>
      </c>
      <c r="BO79" s="648"/>
      <c r="BP79" s="648">
        <f t="shared" ref="BP79:CT79" si="334">BP8*$EF79</f>
        <v>0</v>
      </c>
      <c r="BQ79" s="648">
        <f t="shared" si="334"/>
        <v>0</v>
      </c>
      <c r="BR79" s="648">
        <f t="shared" si="334"/>
        <v>0</v>
      </c>
      <c r="BS79" s="648">
        <f t="shared" si="334"/>
        <v>0</v>
      </c>
      <c r="BT79" s="648">
        <f t="shared" si="334"/>
        <v>0</v>
      </c>
      <c r="BU79" s="648">
        <f t="shared" si="334"/>
        <v>0</v>
      </c>
      <c r="BV79" s="648">
        <f t="shared" si="334"/>
        <v>0</v>
      </c>
      <c r="BW79" s="648">
        <f t="shared" si="334"/>
        <v>0</v>
      </c>
      <c r="BX79" s="648">
        <f t="shared" si="334"/>
        <v>0</v>
      </c>
      <c r="BY79" s="648">
        <f t="shared" si="334"/>
        <v>0</v>
      </c>
      <c r="BZ79" s="648">
        <f t="shared" si="334"/>
        <v>0</v>
      </c>
      <c r="CA79" s="648">
        <f t="shared" si="334"/>
        <v>0</v>
      </c>
      <c r="CB79" s="648">
        <f t="shared" si="334"/>
        <v>0</v>
      </c>
      <c r="CC79" s="648">
        <f t="shared" si="334"/>
        <v>0</v>
      </c>
      <c r="CD79" s="648">
        <f t="shared" si="334"/>
        <v>0</v>
      </c>
      <c r="CE79" s="648">
        <f t="shared" si="334"/>
        <v>0</v>
      </c>
      <c r="CF79" s="648">
        <f t="shared" si="334"/>
        <v>0</v>
      </c>
      <c r="CG79" s="648">
        <f t="shared" si="334"/>
        <v>0</v>
      </c>
      <c r="CH79" s="648">
        <f t="shared" si="334"/>
        <v>0</v>
      </c>
      <c r="CI79" s="648">
        <f t="shared" si="334"/>
        <v>0</v>
      </c>
      <c r="CJ79" s="648">
        <f t="shared" si="334"/>
        <v>0</v>
      </c>
      <c r="CK79" s="648">
        <f t="shared" si="334"/>
        <v>0</v>
      </c>
      <c r="CL79" s="648">
        <f t="shared" si="334"/>
        <v>0</v>
      </c>
      <c r="CM79" s="648">
        <f t="shared" si="334"/>
        <v>0</v>
      </c>
      <c r="CN79" s="648">
        <f t="shared" si="334"/>
        <v>0</v>
      </c>
      <c r="CO79" s="648">
        <f t="shared" si="334"/>
        <v>0</v>
      </c>
      <c r="CP79" s="648">
        <f t="shared" si="334"/>
        <v>0</v>
      </c>
      <c r="CQ79" s="648">
        <f t="shared" si="334"/>
        <v>0</v>
      </c>
      <c r="CR79" s="648">
        <f t="shared" si="334"/>
        <v>0</v>
      </c>
      <c r="CS79" s="648">
        <f t="shared" si="334"/>
        <v>0</v>
      </c>
      <c r="CT79" s="648">
        <f t="shared" si="334"/>
        <v>0</v>
      </c>
      <c r="CU79" s="648"/>
      <c r="CV79" s="648">
        <f t="shared" ref="CV79:DZ79" si="335">CV8*$EF79</f>
        <v>0</v>
      </c>
      <c r="CW79" s="648">
        <f t="shared" si="335"/>
        <v>0</v>
      </c>
      <c r="CX79" s="648">
        <f t="shared" si="335"/>
        <v>0</v>
      </c>
      <c r="CY79" s="648">
        <f t="shared" si="335"/>
        <v>0</v>
      </c>
      <c r="CZ79" s="648">
        <f t="shared" si="335"/>
        <v>0</v>
      </c>
      <c r="DA79" s="648">
        <f t="shared" si="335"/>
        <v>0</v>
      </c>
      <c r="DB79" s="648">
        <f t="shared" si="335"/>
        <v>0</v>
      </c>
      <c r="DC79" s="648">
        <f t="shared" si="335"/>
        <v>0</v>
      </c>
      <c r="DD79" s="648">
        <f t="shared" si="335"/>
        <v>0</v>
      </c>
      <c r="DE79" s="648">
        <f t="shared" si="335"/>
        <v>0</v>
      </c>
      <c r="DF79" s="648">
        <f t="shared" si="335"/>
        <v>0</v>
      </c>
      <c r="DG79" s="648">
        <f t="shared" si="335"/>
        <v>0</v>
      </c>
      <c r="DH79" s="648">
        <f t="shared" si="335"/>
        <v>0</v>
      </c>
      <c r="DI79" s="648">
        <f t="shared" si="335"/>
        <v>0</v>
      </c>
      <c r="DJ79" s="648">
        <f t="shared" si="335"/>
        <v>0</v>
      </c>
      <c r="DK79" s="648">
        <f t="shared" si="335"/>
        <v>0</v>
      </c>
      <c r="DL79" s="648">
        <f t="shared" si="335"/>
        <v>0</v>
      </c>
      <c r="DM79" s="648">
        <f t="shared" si="335"/>
        <v>0</v>
      </c>
      <c r="DN79" s="648">
        <f t="shared" si="335"/>
        <v>0</v>
      </c>
      <c r="DO79" s="648">
        <f t="shared" si="335"/>
        <v>0</v>
      </c>
      <c r="DP79" s="648">
        <f t="shared" si="335"/>
        <v>0</v>
      </c>
      <c r="DQ79" s="648">
        <f t="shared" si="335"/>
        <v>0</v>
      </c>
      <c r="DR79" s="648">
        <f t="shared" si="335"/>
        <v>0</v>
      </c>
      <c r="DS79" s="648">
        <f t="shared" si="335"/>
        <v>0</v>
      </c>
      <c r="DT79" s="648">
        <f t="shared" si="335"/>
        <v>0</v>
      </c>
      <c r="DU79" s="648">
        <f t="shared" si="335"/>
        <v>0</v>
      </c>
      <c r="DV79" s="648">
        <f t="shared" si="335"/>
        <v>0</v>
      </c>
      <c r="DW79" s="648">
        <f t="shared" si="335"/>
        <v>0</v>
      </c>
      <c r="DX79" s="648">
        <f t="shared" si="335"/>
        <v>0</v>
      </c>
      <c r="DY79" s="648">
        <f t="shared" si="335"/>
        <v>0</v>
      </c>
      <c r="DZ79" s="648">
        <f t="shared" si="335"/>
        <v>0</v>
      </c>
      <c r="EF79" s="51">
        <v>0</v>
      </c>
      <c r="EG79" s="51"/>
      <c r="EH79" s="51"/>
      <c r="EI79" s="51"/>
      <c r="EJ79" s="51"/>
      <c r="EM79" t="s">
        <v>99</v>
      </c>
    </row>
    <row r="80" spans="1:143" x14ac:dyDescent="0.2">
      <c r="A80" s="1"/>
      <c r="B80" t="str">
        <f t="shared" si="331"/>
        <v>Packaging reuse</v>
      </c>
      <c r="C80" s="54" t="s">
        <v>114</v>
      </c>
      <c r="D80" s="648">
        <f t="shared" ref="D80:AH80" si="336">D9*$EF80</f>
        <v>0</v>
      </c>
      <c r="E80" s="648">
        <f t="shared" si="336"/>
        <v>250.08083167001013</v>
      </c>
      <c r="F80" s="648">
        <f t="shared" si="336"/>
        <v>506.70452197038912</v>
      </c>
      <c r="G80" s="648">
        <f t="shared" si="336"/>
        <v>770.00089100316313</v>
      </c>
      <c r="H80" s="648">
        <f t="shared" si="336"/>
        <v>1040.1020710113523</v>
      </c>
      <c r="I80" s="648">
        <f t="shared" si="336"/>
        <v>1317.1425453129691</v>
      </c>
      <c r="J80" s="648">
        <f t="shared" si="336"/>
        <v>1601.2591878689309</v>
      </c>
      <c r="K80" s="648">
        <f t="shared" si="336"/>
        <v>1892.5913034949876</v>
      </c>
      <c r="L80" s="648">
        <f t="shared" si="336"/>
        <v>2191.2806687279126</v>
      </c>
      <c r="M80" s="648">
        <f t="shared" si="336"/>
        <v>2497.4715733563735</v>
      </c>
      <c r="N80" s="648">
        <f t="shared" si="336"/>
        <v>2811.3108626270609</v>
      </c>
      <c r="O80" s="648">
        <f t="shared" si="336"/>
        <v>3395.3159207549393</v>
      </c>
      <c r="P80" s="648">
        <f t="shared" si="336"/>
        <v>3994.0904827680702</v>
      </c>
      <c r="Q80" s="648">
        <f t="shared" si="336"/>
        <v>4607.9238413503626</v>
      </c>
      <c r="R80" s="648">
        <f t="shared" si="336"/>
        <v>5237.1104040400242</v>
      </c>
      <c r="S80" s="648">
        <f t="shared" si="336"/>
        <v>5881.949778937138</v>
      </c>
      <c r="T80" s="648">
        <f t="shared" si="336"/>
        <v>6542.7468618017401</v>
      </c>
      <c r="U80" s="648">
        <f t="shared" si="336"/>
        <v>7219.811924564473</v>
      </c>
      <c r="V80" s="648">
        <f t="shared" si="336"/>
        <v>7913.4607052722649</v>
      </c>
      <c r="W80" s="648">
        <f t="shared" si="336"/>
        <v>8624.01449949179</v>
      </c>
      <c r="X80" s="648">
        <f t="shared" si="336"/>
        <v>9351.8002531938637</v>
      </c>
      <c r="Y80" s="648">
        <f t="shared" si="336"/>
        <v>10129.086980978374</v>
      </c>
      <c r="Z80" s="648">
        <f t="shared" si="336"/>
        <v>10925.088869214716</v>
      </c>
      <c r="AA80" s="648">
        <f t="shared" si="336"/>
        <v>11740.166082210131</v>
      </c>
      <c r="AB80" s="648">
        <f t="shared" si="336"/>
        <v>12574.685094564642</v>
      </c>
      <c r="AC80" s="648">
        <f t="shared" si="336"/>
        <v>13429.018796325026</v>
      </c>
      <c r="AD80" s="648">
        <f t="shared" si="336"/>
        <v>14303.546599838392</v>
      </c>
      <c r="AE80" s="648">
        <f t="shared" si="336"/>
        <v>15198.65454833227</v>
      </c>
      <c r="AF80" s="648">
        <f t="shared" si="336"/>
        <v>16114.73542624863</v>
      </c>
      <c r="AG80" s="648">
        <f t="shared" si="336"/>
        <v>17052.188871359474</v>
      </c>
      <c r="AH80" s="648">
        <f t="shared" si="336"/>
        <v>18011.421488692307</v>
      </c>
      <c r="AI80" s="648"/>
      <c r="AJ80" s="648">
        <f t="shared" ref="AJ80:BN80" si="337">AJ9*$EF80</f>
        <v>0</v>
      </c>
      <c r="AK80" s="648">
        <f t="shared" si="337"/>
        <v>185.36020837326515</v>
      </c>
      <c r="AL80" s="648">
        <f t="shared" si="337"/>
        <v>375.57513768352669</v>
      </c>
      <c r="AM80" s="648">
        <f t="shared" si="337"/>
        <v>570.74120373289122</v>
      </c>
      <c r="AN80" s="648">
        <f t="shared" si="337"/>
        <v>770.95654093297901</v>
      </c>
      <c r="AO80" s="648">
        <f t="shared" si="337"/>
        <v>976.3210312648099</v>
      </c>
      <c r="AP80" s="648">
        <f t="shared" si="337"/>
        <v>1186.9363337104899</v>
      </c>
      <c r="AQ80" s="648">
        <f t="shared" si="337"/>
        <v>1402.9059141642133</v>
      </c>
      <c r="AR80" s="648">
        <f t="shared" si="337"/>
        <v>1624.3350758302151</v>
      </c>
      <c r="AS80" s="648">
        <f t="shared" si="337"/>
        <v>1851.3309901154305</v>
      </c>
      <c r="AT80" s="648">
        <f t="shared" si="337"/>
        <v>2084.0027280247323</v>
      </c>
      <c r="AU80" s="648">
        <f t="shared" si="337"/>
        <v>2516.4374759843786</v>
      </c>
      <c r="AV80" s="648">
        <f t="shared" si="337"/>
        <v>2959.8188502868402</v>
      </c>
      <c r="AW80" s="648">
        <f t="shared" si="337"/>
        <v>3414.3614537189583</v>
      </c>
      <c r="AX80" s="648">
        <f t="shared" si="337"/>
        <v>3880.2836863288744</v>
      </c>
      <c r="AY80" s="648">
        <f t="shared" si="337"/>
        <v>4357.8078090981071</v>
      </c>
      <c r="AZ80" s="648">
        <f t="shared" si="337"/>
        <v>4847.1600086472245</v>
      </c>
      <c r="BA80" s="648">
        <f t="shared" si="337"/>
        <v>5348.5704629915235</v>
      </c>
      <c r="BB80" s="648">
        <f t="shared" si="337"/>
        <v>5862.2734083634095</v>
      </c>
      <c r="BC80" s="648">
        <f t="shared" si="337"/>
        <v>6388.5072071184113</v>
      </c>
      <c r="BD80" s="648">
        <f t="shared" si="337"/>
        <v>6927.5144167420249</v>
      </c>
      <c r="BE80" s="648">
        <f t="shared" si="337"/>
        <v>7503.0342832322785</v>
      </c>
      <c r="BF80" s="648">
        <f t="shared" si="337"/>
        <v>8092.4232965215433</v>
      </c>
      <c r="BG80" s="648">
        <f t="shared" si="337"/>
        <v>8695.9485870957869</v>
      </c>
      <c r="BH80" s="648">
        <f t="shared" si="337"/>
        <v>9313.8819692625348</v>
      </c>
      <c r="BI80" s="648">
        <f t="shared" si="337"/>
        <v>9946.5000192526404</v>
      </c>
      <c r="BJ80" s="648">
        <f t="shared" si="337"/>
        <v>10594.084154585102</v>
      </c>
      <c r="BK80" s="648">
        <f t="shared" si="337"/>
        <v>11256.920714714948</v>
      </c>
      <c r="BL80" s="648">
        <f t="shared" si="337"/>
        <v>11935.301042984571</v>
      </c>
      <c r="BM80" s="648">
        <f t="shared" si="337"/>
        <v>12629.521569899069</v>
      </c>
      <c r="BN80" s="648">
        <f t="shared" si="337"/>
        <v>13339.883897746633</v>
      </c>
      <c r="BO80" s="648"/>
      <c r="BP80" s="648">
        <f t="shared" ref="BP80:CT80" si="338">BP9*$EF80</f>
        <v>0</v>
      </c>
      <c r="BQ80" s="648">
        <f t="shared" si="338"/>
        <v>0</v>
      </c>
      <c r="BR80" s="648">
        <f t="shared" si="338"/>
        <v>0</v>
      </c>
      <c r="BS80" s="648">
        <f t="shared" si="338"/>
        <v>0</v>
      </c>
      <c r="BT80" s="648">
        <f t="shared" si="338"/>
        <v>0</v>
      </c>
      <c r="BU80" s="648">
        <f t="shared" si="338"/>
        <v>0</v>
      </c>
      <c r="BV80" s="648">
        <f t="shared" si="338"/>
        <v>0</v>
      </c>
      <c r="BW80" s="648">
        <f t="shared" si="338"/>
        <v>0</v>
      </c>
      <c r="BX80" s="648">
        <f t="shared" si="338"/>
        <v>0</v>
      </c>
      <c r="BY80" s="648">
        <f t="shared" si="338"/>
        <v>0</v>
      </c>
      <c r="BZ80" s="648">
        <f t="shared" si="338"/>
        <v>0</v>
      </c>
      <c r="CA80" s="648">
        <f t="shared" si="338"/>
        <v>0</v>
      </c>
      <c r="CB80" s="648">
        <f t="shared" si="338"/>
        <v>0</v>
      </c>
      <c r="CC80" s="648">
        <f t="shared" si="338"/>
        <v>0</v>
      </c>
      <c r="CD80" s="648">
        <f t="shared" si="338"/>
        <v>0</v>
      </c>
      <c r="CE80" s="648">
        <f t="shared" si="338"/>
        <v>0</v>
      </c>
      <c r="CF80" s="648">
        <f t="shared" si="338"/>
        <v>0</v>
      </c>
      <c r="CG80" s="648">
        <f t="shared" si="338"/>
        <v>0</v>
      </c>
      <c r="CH80" s="648">
        <f t="shared" si="338"/>
        <v>0</v>
      </c>
      <c r="CI80" s="648">
        <f t="shared" si="338"/>
        <v>0</v>
      </c>
      <c r="CJ80" s="648">
        <f t="shared" si="338"/>
        <v>0</v>
      </c>
      <c r="CK80" s="648">
        <f t="shared" si="338"/>
        <v>0</v>
      </c>
      <c r="CL80" s="648">
        <f t="shared" si="338"/>
        <v>0</v>
      </c>
      <c r="CM80" s="648">
        <f t="shared" si="338"/>
        <v>0</v>
      </c>
      <c r="CN80" s="648">
        <f t="shared" si="338"/>
        <v>0</v>
      </c>
      <c r="CO80" s="648">
        <f t="shared" si="338"/>
        <v>0</v>
      </c>
      <c r="CP80" s="648">
        <f t="shared" si="338"/>
        <v>0</v>
      </c>
      <c r="CQ80" s="648">
        <f t="shared" si="338"/>
        <v>0</v>
      </c>
      <c r="CR80" s="648">
        <f t="shared" si="338"/>
        <v>0</v>
      </c>
      <c r="CS80" s="648">
        <f t="shared" si="338"/>
        <v>0</v>
      </c>
      <c r="CT80" s="648">
        <f t="shared" si="338"/>
        <v>0</v>
      </c>
      <c r="CU80" s="648"/>
      <c r="CV80" s="648">
        <f t="shared" ref="CV80:DZ80" si="339">CV9*$EF80</f>
        <v>0</v>
      </c>
      <c r="CW80" s="648">
        <f t="shared" si="339"/>
        <v>0</v>
      </c>
      <c r="CX80" s="648">
        <f t="shared" si="339"/>
        <v>0</v>
      </c>
      <c r="CY80" s="648">
        <f t="shared" si="339"/>
        <v>0</v>
      </c>
      <c r="CZ80" s="648">
        <f t="shared" si="339"/>
        <v>0</v>
      </c>
      <c r="DA80" s="648">
        <f t="shared" si="339"/>
        <v>0</v>
      </c>
      <c r="DB80" s="648">
        <f t="shared" si="339"/>
        <v>0</v>
      </c>
      <c r="DC80" s="648">
        <f t="shared" si="339"/>
        <v>0</v>
      </c>
      <c r="DD80" s="648">
        <f t="shared" si="339"/>
        <v>0</v>
      </c>
      <c r="DE80" s="648">
        <f t="shared" si="339"/>
        <v>0</v>
      </c>
      <c r="DF80" s="648">
        <f t="shared" si="339"/>
        <v>0</v>
      </c>
      <c r="DG80" s="648">
        <f t="shared" si="339"/>
        <v>0</v>
      </c>
      <c r="DH80" s="648">
        <f t="shared" si="339"/>
        <v>0</v>
      </c>
      <c r="DI80" s="648">
        <f t="shared" si="339"/>
        <v>0</v>
      </c>
      <c r="DJ80" s="648">
        <f t="shared" si="339"/>
        <v>0</v>
      </c>
      <c r="DK80" s="648">
        <f t="shared" si="339"/>
        <v>0</v>
      </c>
      <c r="DL80" s="648">
        <f t="shared" si="339"/>
        <v>0</v>
      </c>
      <c r="DM80" s="648">
        <f t="shared" si="339"/>
        <v>0</v>
      </c>
      <c r="DN80" s="648">
        <f t="shared" si="339"/>
        <v>0</v>
      </c>
      <c r="DO80" s="648">
        <f t="shared" si="339"/>
        <v>0</v>
      </c>
      <c r="DP80" s="648">
        <f t="shared" si="339"/>
        <v>0</v>
      </c>
      <c r="DQ80" s="648">
        <f t="shared" si="339"/>
        <v>0</v>
      </c>
      <c r="DR80" s="648">
        <f t="shared" si="339"/>
        <v>0</v>
      </c>
      <c r="DS80" s="648">
        <f t="shared" si="339"/>
        <v>0</v>
      </c>
      <c r="DT80" s="648">
        <f t="shared" si="339"/>
        <v>0</v>
      </c>
      <c r="DU80" s="648">
        <f t="shared" si="339"/>
        <v>0</v>
      </c>
      <c r="DV80" s="648">
        <f t="shared" si="339"/>
        <v>0</v>
      </c>
      <c r="DW80" s="648">
        <f t="shared" si="339"/>
        <v>0</v>
      </c>
      <c r="DX80" s="648">
        <f t="shared" si="339"/>
        <v>0</v>
      </c>
      <c r="DY80" s="648">
        <f t="shared" si="339"/>
        <v>0</v>
      </c>
      <c r="DZ80" s="648">
        <f t="shared" si="339"/>
        <v>0</v>
      </c>
      <c r="EF80" s="157">
        <f>AVERAGE(196,322)</f>
        <v>259</v>
      </c>
      <c r="EG80" s="51"/>
      <c r="EH80" s="51"/>
      <c r="EI80" s="51"/>
      <c r="EJ80" s="51"/>
      <c r="EM80" t="s">
        <v>99</v>
      </c>
    </row>
    <row r="81" spans="1:143" x14ac:dyDescent="0.2">
      <c r="A81" s="1"/>
      <c r="B81" t="str">
        <f t="shared" si="331"/>
        <v>Packaging substitution Paper</v>
      </c>
      <c r="C81" s="54" t="s">
        <v>114</v>
      </c>
      <c r="D81" s="648">
        <f t="shared" ref="D81:AH81" si="340">D10*$EF81</f>
        <v>0</v>
      </c>
      <c r="E81" s="648">
        <f t="shared" si="340"/>
        <v>110.55683284250108</v>
      </c>
      <c r="F81" s="648">
        <f t="shared" si="340"/>
        <v>224.04877893708576</v>
      </c>
      <c r="G81" s="648">
        <f t="shared" si="340"/>
        <v>340.53482790064425</v>
      </c>
      <c r="H81" s="648">
        <f t="shared" si="340"/>
        <v>460.07503165816257</v>
      </c>
      <c r="I81" s="648">
        <f t="shared" si="340"/>
        <v>582.730522499225</v>
      </c>
      <c r="J81" s="648">
        <f t="shared" si="340"/>
        <v>708.56353143081981</v>
      </c>
      <c r="K81" s="648">
        <f t="shared" si="340"/>
        <v>837.6374068311967</v>
      </c>
      <c r="L81" s="648">
        <f t="shared" si="340"/>
        <v>970.01663340959908</v>
      </c>
      <c r="M81" s="648">
        <f t="shared" si="340"/>
        <v>1105.7668514767745</v>
      </c>
      <c r="N81" s="648">
        <f t="shared" si="340"/>
        <v>1244.9548765312356</v>
      </c>
      <c r="O81" s="648">
        <f t="shared" si="340"/>
        <v>1409.8348318631208</v>
      </c>
      <c r="P81" s="648">
        <f t="shared" si="340"/>
        <v>1578.780246496565</v>
      </c>
      <c r="Q81" s="648">
        <f t="shared" si="340"/>
        <v>1751.8697228532203</v>
      </c>
      <c r="R81" s="648">
        <f t="shared" si="340"/>
        <v>1929.1832404529505</v>
      </c>
      <c r="S81" s="648">
        <f t="shared" si="340"/>
        <v>2110.8021788264273</v>
      </c>
      <c r="T81" s="648">
        <f t="shared" si="340"/>
        <v>2296.809340797352</v>
      </c>
      <c r="U81" s="648">
        <f t="shared" si="340"/>
        <v>2487.2889761401361</v>
      </c>
      <c r="V81" s="648">
        <f t="shared" si="340"/>
        <v>2682.32680561898</v>
      </c>
      <c r="W81" s="648">
        <f t="shared" si="340"/>
        <v>2882.0100454143771</v>
      </c>
      <c r="X81" s="648">
        <f t="shared" si="340"/>
        <v>3086.4274319431574</v>
      </c>
      <c r="Y81" s="648">
        <f t="shared" si="340"/>
        <v>3612.3228819726369</v>
      </c>
      <c r="Z81" s="648">
        <f t="shared" si="340"/>
        <v>3828.8909106400602</v>
      </c>
      <c r="AA81" s="648">
        <f t="shared" si="340"/>
        <v>4050.5268726583968</v>
      </c>
      <c r="AB81" s="648">
        <f t="shared" si="340"/>
        <v>4277.327500359339</v>
      </c>
      <c r="AC81" s="648">
        <f t="shared" si="340"/>
        <v>4509.391216213754</v>
      </c>
      <c r="AD81" s="648">
        <f t="shared" si="340"/>
        <v>4746.8181609743415</v>
      </c>
      <c r="AE81" s="648">
        <f t="shared" si="340"/>
        <v>4989.7102222731819</v>
      </c>
      <c r="AF81" s="648">
        <f t="shared" si="340"/>
        <v>5238.1710636813514</v>
      </c>
      <c r="AG81" s="648">
        <f t="shared" si="340"/>
        <v>5492.3061542379664</v>
      </c>
      <c r="AH81" s="648">
        <f t="shared" si="340"/>
        <v>5752.2227984560614</v>
      </c>
      <c r="AI81" s="648"/>
      <c r="AJ81" s="648">
        <f t="shared" ref="AJ81:BN81" si="341">AJ10*$EF81</f>
        <v>0</v>
      </c>
      <c r="AK81" s="648">
        <f t="shared" si="341"/>
        <v>94.562157501794232</v>
      </c>
      <c r="AL81" s="648">
        <f t="shared" si="341"/>
        <v>191.64119941168326</v>
      </c>
      <c r="AM81" s="648">
        <f t="shared" si="341"/>
        <v>291.28782128844273</v>
      </c>
      <c r="AN81" s="648">
        <f t="shared" si="341"/>
        <v>393.5536333445105</v>
      </c>
      <c r="AO81" s="648">
        <f t="shared" si="341"/>
        <v>498.49117601709037</v>
      </c>
      <c r="AP81" s="648">
        <f t="shared" si="341"/>
        <v>606.15393579510601</v>
      </c>
      <c r="AQ81" s="648">
        <f t="shared" si="341"/>
        <v>716.59636130610727</v>
      </c>
      <c r="AR81" s="648">
        <f t="shared" si="341"/>
        <v>829.87387966730159</v>
      </c>
      <c r="AS81" s="648">
        <f t="shared" si="341"/>
        <v>946.04291310494409</v>
      </c>
      <c r="AT81" s="648">
        <f t="shared" si="341"/>
        <v>1065.1608958463898</v>
      </c>
      <c r="AU81" s="648">
        <f t="shared" si="341"/>
        <v>1205.3948349570164</v>
      </c>
      <c r="AV81" s="648">
        <f t="shared" si="341"/>
        <v>1349.0959882306784</v>
      </c>
      <c r="AW81" s="648">
        <f t="shared" si="341"/>
        <v>1496.3315748248856</v>
      </c>
      <c r="AX81" s="648">
        <f t="shared" si="341"/>
        <v>1647.1699944844877</v>
      </c>
      <c r="AY81" s="648">
        <f t="shared" si="341"/>
        <v>1801.680847227334</v>
      </c>
      <c r="AZ81" s="648">
        <f t="shared" si="341"/>
        <v>1959.9349533480836</v>
      </c>
      <c r="BA81" s="648">
        <f t="shared" si="341"/>
        <v>2122.004373745212</v>
      </c>
      <c r="BB81" s="648">
        <f t="shared" si="341"/>
        <v>2287.9624305763195</v>
      </c>
      <c r="BC81" s="648">
        <f t="shared" si="341"/>
        <v>2457.8837282469499</v>
      </c>
      <c r="BD81" s="648">
        <f t="shared" si="341"/>
        <v>2631.8441747381767</v>
      </c>
      <c r="BE81" s="648">
        <f t="shared" si="341"/>
        <v>3085.1801453759563</v>
      </c>
      <c r="BF81" s="648">
        <f t="shared" si="341"/>
        <v>3270.0423991718426</v>
      </c>
      <c r="BG81" s="648">
        <f t="shared" si="341"/>
        <v>3459.2410788300467</v>
      </c>
      <c r="BH81" s="648">
        <f t="shared" si="341"/>
        <v>3652.8591492717319</v>
      </c>
      <c r="BI81" s="648">
        <f t="shared" si="341"/>
        <v>3850.9810280503875</v>
      </c>
      <c r="BJ81" s="648">
        <f t="shared" si="341"/>
        <v>4053.6926095834692</v>
      </c>
      <c r="BK81" s="648">
        <f t="shared" si="341"/>
        <v>4261.0812897763017</v>
      </c>
      <c r="BL81" s="648">
        <f t="shared" si="341"/>
        <v>4473.2359910444566</v>
      </c>
      <c r="BM81" s="648">
        <f t="shared" si="341"/>
        <v>4690.2471877409498</v>
      </c>
      <c r="BN81" s="648">
        <f t="shared" si="341"/>
        <v>4912.2069319946577</v>
      </c>
      <c r="BO81" s="648"/>
      <c r="BP81" s="648">
        <f t="shared" ref="BP81:CT81" si="342">BP10*$EF81</f>
        <v>0</v>
      </c>
      <c r="BQ81" s="648">
        <f t="shared" si="342"/>
        <v>0</v>
      </c>
      <c r="BR81" s="648">
        <f t="shared" si="342"/>
        <v>0</v>
      </c>
      <c r="BS81" s="648">
        <f t="shared" si="342"/>
        <v>0</v>
      </c>
      <c r="BT81" s="648">
        <f t="shared" si="342"/>
        <v>0</v>
      </c>
      <c r="BU81" s="648">
        <f t="shared" si="342"/>
        <v>0</v>
      </c>
      <c r="BV81" s="648">
        <f t="shared" si="342"/>
        <v>0</v>
      </c>
      <c r="BW81" s="648">
        <f t="shared" si="342"/>
        <v>0</v>
      </c>
      <c r="BX81" s="648">
        <f t="shared" si="342"/>
        <v>0</v>
      </c>
      <c r="BY81" s="648">
        <f t="shared" si="342"/>
        <v>0</v>
      </c>
      <c r="BZ81" s="648">
        <f t="shared" si="342"/>
        <v>0</v>
      </c>
      <c r="CA81" s="648">
        <f t="shared" si="342"/>
        <v>0</v>
      </c>
      <c r="CB81" s="648">
        <f t="shared" si="342"/>
        <v>0</v>
      </c>
      <c r="CC81" s="648">
        <f t="shared" si="342"/>
        <v>0</v>
      </c>
      <c r="CD81" s="648">
        <f t="shared" si="342"/>
        <v>0</v>
      </c>
      <c r="CE81" s="648">
        <f t="shared" si="342"/>
        <v>0</v>
      </c>
      <c r="CF81" s="648">
        <f t="shared" si="342"/>
        <v>0</v>
      </c>
      <c r="CG81" s="648">
        <f t="shared" si="342"/>
        <v>0</v>
      </c>
      <c r="CH81" s="648">
        <f t="shared" si="342"/>
        <v>0</v>
      </c>
      <c r="CI81" s="648">
        <f t="shared" si="342"/>
        <v>0</v>
      </c>
      <c r="CJ81" s="648">
        <f t="shared" si="342"/>
        <v>0</v>
      </c>
      <c r="CK81" s="648">
        <f t="shared" si="342"/>
        <v>0</v>
      </c>
      <c r="CL81" s="648">
        <f t="shared" si="342"/>
        <v>0</v>
      </c>
      <c r="CM81" s="648">
        <f t="shared" si="342"/>
        <v>0</v>
      </c>
      <c r="CN81" s="648">
        <f t="shared" si="342"/>
        <v>0</v>
      </c>
      <c r="CO81" s="648">
        <f t="shared" si="342"/>
        <v>0</v>
      </c>
      <c r="CP81" s="648">
        <f t="shared" si="342"/>
        <v>0</v>
      </c>
      <c r="CQ81" s="648">
        <f t="shared" si="342"/>
        <v>0</v>
      </c>
      <c r="CR81" s="648">
        <f t="shared" si="342"/>
        <v>0</v>
      </c>
      <c r="CS81" s="648">
        <f t="shared" si="342"/>
        <v>0</v>
      </c>
      <c r="CT81" s="648">
        <f t="shared" si="342"/>
        <v>0</v>
      </c>
      <c r="CU81" s="648"/>
      <c r="CV81" s="648">
        <f t="shared" ref="CV81:DZ81" si="343">CV10*$EF81</f>
        <v>0</v>
      </c>
      <c r="CW81" s="648">
        <f t="shared" si="343"/>
        <v>0</v>
      </c>
      <c r="CX81" s="648">
        <f t="shared" si="343"/>
        <v>0</v>
      </c>
      <c r="CY81" s="648">
        <f t="shared" si="343"/>
        <v>0</v>
      </c>
      <c r="CZ81" s="648">
        <f t="shared" si="343"/>
        <v>0</v>
      </c>
      <c r="DA81" s="648">
        <f t="shared" si="343"/>
        <v>0</v>
      </c>
      <c r="DB81" s="648">
        <f t="shared" si="343"/>
        <v>0</v>
      </c>
      <c r="DC81" s="648">
        <f t="shared" si="343"/>
        <v>0</v>
      </c>
      <c r="DD81" s="648">
        <f t="shared" si="343"/>
        <v>0</v>
      </c>
      <c r="DE81" s="648">
        <f t="shared" si="343"/>
        <v>0</v>
      </c>
      <c r="DF81" s="648">
        <f t="shared" si="343"/>
        <v>0</v>
      </c>
      <c r="DG81" s="648">
        <f t="shared" si="343"/>
        <v>0</v>
      </c>
      <c r="DH81" s="648">
        <f t="shared" si="343"/>
        <v>0</v>
      </c>
      <c r="DI81" s="648">
        <f t="shared" si="343"/>
        <v>0</v>
      </c>
      <c r="DJ81" s="648">
        <f t="shared" si="343"/>
        <v>0</v>
      </c>
      <c r="DK81" s="648">
        <f t="shared" si="343"/>
        <v>0</v>
      </c>
      <c r="DL81" s="648">
        <f t="shared" si="343"/>
        <v>0</v>
      </c>
      <c r="DM81" s="648">
        <f t="shared" si="343"/>
        <v>0</v>
      </c>
      <c r="DN81" s="648">
        <f t="shared" si="343"/>
        <v>0</v>
      </c>
      <c r="DO81" s="648">
        <f t="shared" si="343"/>
        <v>0</v>
      </c>
      <c r="DP81" s="648">
        <f t="shared" si="343"/>
        <v>0</v>
      </c>
      <c r="DQ81" s="648">
        <f t="shared" si="343"/>
        <v>0</v>
      </c>
      <c r="DR81" s="648">
        <f t="shared" si="343"/>
        <v>0</v>
      </c>
      <c r="DS81" s="648">
        <f t="shared" si="343"/>
        <v>0</v>
      </c>
      <c r="DT81" s="648">
        <f t="shared" si="343"/>
        <v>0</v>
      </c>
      <c r="DU81" s="648">
        <f t="shared" si="343"/>
        <v>0</v>
      </c>
      <c r="DV81" s="648">
        <f t="shared" si="343"/>
        <v>0</v>
      </c>
      <c r="DW81" s="648">
        <f t="shared" si="343"/>
        <v>0</v>
      </c>
      <c r="DX81" s="648">
        <f t="shared" si="343"/>
        <v>0</v>
      </c>
      <c r="DY81" s="648">
        <f t="shared" si="343"/>
        <v>0</v>
      </c>
      <c r="DZ81" s="648">
        <f t="shared" si="343"/>
        <v>0</v>
      </c>
      <c r="EF81" s="51">
        <v>300</v>
      </c>
      <c r="EG81" s="51"/>
      <c r="EH81" s="51"/>
      <c r="EI81" s="51"/>
      <c r="EJ81" s="51"/>
      <c r="EM81" t="s">
        <v>99</v>
      </c>
    </row>
    <row r="82" spans="1:143" x14ac:dyDescent="0.2">
      <c r="A82" s="1"/>
      <c r="B82" t="str">
        <f t="shared" si="331"/>
        <v>Packaging Substitution Compostables</v>
      </c>
      <c r="C82" s="54" t="s">
        <v>114</v>
      </c>
      <c r="D82" s="648">
        <f t="shared" ref="D82:AH82" si="344">D11*$EF82</f>
        <v>0</v>
      </c>
      <c r="E82" s="648">
        <f t="shared" si="344"/>
        <v>284.64910410183688</v>
      </c>
      <c r="F82" s="648">
        <f t="shared" si="344"/>
        <v>736.05617676773193</v>
      </c>
      <c r="G82" s="648">
        <f t="shared" si="344"/>
        <v>1118.8256377074156</v>
      </c>
      <c r="H82" s="648">
        <f t="shared" si="344"/>
        <v>1511.6873547569485</v>
      </c>
      <c r="I82" s="648">
        <f t="shared" si="344"/>
        <v>1914.8443211881706</v>
      </c>
      <c r="J82" s="648">
        <f t="shared" si="344"/>
        <v>2328.5031937312374</v>
      </c>
      <c r="K82" s="648">
        <f t="shared" si="344"/>
        <v>2752.8743549874403</v>
      </c>
      <c r="L82" s="648">
        <f t="shared" si="344"/>
        <v>3188.1719768683606</v>
      </c>
      <c r="M82" s="648">
        <f t="shared" si="344"/>
        <v>3634.6140850778434</v>
      </c>
      <c r="N82" s="648">
        <f t="shared" si="344"/>
        <v>4092.4226246535195</v>
      </c>
      <c r="O82" s="648">
        <f t="shared" si="344"/>
        <v>4634.7054626482286</v>
      </c>
      <c r="P82" s="648">
        <f t="shared" si="344"/>
        <v>4899.1222360567062</v>
      </c>
      <c r="Q82" s="648">
        <f t="shared" si="344"/>
        <v>5502.9308371033339</v>
      </c>
      <c r="R82" s="648">
        <f t="shared" si="344"/>
        <v>6121.720112774703</v>
      </c>
      <c r="S82" s="648">
        <f t="shared" si="344"/>
        <v>6755.7820178879083</v>
      </c>
      <c r="T82" s="648">
        <f t="shared" si="344"/>
        <v>7405.413661171543</v>
      </c>
      <c r="U82" s="648">
        <f t="shared" si="344"/>
        <v>8070.9173915987285</v>
      </c>
      <c r="V82" s="648">
        <f t="shared" si="344"/>
        <v>8752.6008861209521</v>
      </c>
      <c r="W82" s="648">
        <f t="shared" si="344"/>
        <v>9450.7772388249887</v>
      </c>
      <c r="X82" s="648">
        <f t="shared" si="344"/>
        <v>10165.765051535498</v>
      </c>
      <c r="Y82" s="648">
        <f t="shared" si="344"/>
        <v>11276.661645815793</v>
      </c>
      <c r="Z82" s="648">
        <f t="shared" si="344"/>
        <v>11993.731100149886</v>
      </c>
      <c r="AA82" s="648">
        <f t="shared" si="344"/>
        <v>12727.676076288157</v>
      </c>
      <c r="AB82" s="648">
        <f t="shared" si="344"/>
        <v>13478.819157470702</v>
      </c>
      <c r="AC82" s="648">
        <f t="shared" si="344"/>
        <v>14247.488565236812</v>
      </c>
      <c r="AD82" s="648">
        <f t="shared" si="344"/>
        <v>15034.018253305272</v>
      </c>
      <c r="AE82" s="648">
        <f t="shared" si="344"/>
        <v>15838.748002971844</v>
      </c>
      <c r="AF82" s="648">
        <f t="shared" si="344"/>
        <v>16662.023520047922</v>
      </c>
      <c r="AG82" s="648">
        <f t="shared" si="344"/>
        <v>17504.196533364786</v>
      </c>
      <c r="AH82" s="648">
        <f t="shared" si="344"/>
        <v>18365.624894868215</v>
      </c>
      <c r="AI82" s="648"/>
      <c r="AJ82" s="648">
        <f t="shared" ref="AJ82:BN82" si="345">AJ11*$EF82</f>
        <v>0</v>
      </c>
      <c r="AK82" s="648">
        <f t="shared" si="345"/>
        <v>247.23602383022313</v>
      </c>
      <c r="AL82" s="648">
        <f t="shared" si="345"/>
        <v>631.42772314277443</v>
      </c>
      <c r="AM82" s="648">
        <f t="shared" si="345"/>
        <v>959.81560448693438</v>
      </c>
      <c r="AN82" s="648">
        <f t="shared" si="345"/>
        <v>1296.8808204755094</v>
      </c>
      <c r="AO82" s="648">
        <f t="shared" si="345"/>
        <v>1642.7982338457402</v>
      </c>
      <c r="AP82" s="648">
        <f t="shared" si="345"/>
        <v>1997.7458681312366</v>
      </c>
      <c r="AQ82" s="648">
        <f t="shared" si="345"/>
        <v>2361.9049615823083</v>
      </c>
      <c r="AR82" s="648">
        <f t="shared" si="345"/>
        <v>2735.4600219739373</v>
      </c>
      <c r="AS82" s="648">
        <f t="shared" si="345"/>
        <v>3118.5988823156617</v>
      </c>
      <c r="AT82" s="648">
        <f t="shared" si="345"/>
        <v>3511.5127574778617</v>
      </c>
      <c r="AU82" s="648">
        <f t="shared" si="345"/>
        <v>3974.0488801884658</v>
      </c>
      <c r="AV82" s="648">
        <f t="shared" si="345"/>
        <v>4194.8662235155407</v>
      </c>
      <c r="AW82" s="648">
        <f t="shared" si="345"/>
        <v>4710.4254648448077</v>
      </c>
      <c r="AX82" s="648">
        <f t="shared" si="345"/>
        <v>5238.8076810591419</v>
      </c>
      <c r="AY82" s="648">
        <f t="shared" si="345"/>
        <v>5780.2633700750539</v>
      </c>
      <c r="AZ82" s="648">
        <f t="shared" si="345"/>
        <v>6335.0474611912632</v>
      </c>
      <c r="BA82" s="648">
        <f t="shared" si="345"/>
        <v>6903.4193894531818</v>
      </c>
      <c r="BB82" s="648">
        <f t="shared" si="345"/>
        <v>7485.6431712258482</v>
      </c>
      <c r="BC82" s="648">
        <f t="shared" si="345"/>
        <v>8081.9874809945686</v>
      </c>
      <c r="BD82" s="648">
        <f t="shared" si="345"/>
        <v>8692.7257294127703</v>
      </c>
      <c r="BE82" s="648">
        <f t="shared" si="345"/>
        <v>9647.7827723936862</v>
      </c>
      <c r="BF82" s="648">
        <f t="shared" si="345"/>
        <v>10260.462506618409</v>
      </c>
      <c r="BG82" s="648">
        <f t="shared" si="345"/>
        <v>10887.594022554655</v>
      </c>
      <c r="BH82" s="648">
        <f t="shared" si="345"/>
        <v>11529.454201022138</v>
      </c>
      <c r="BI82" s="648">
        <f t="shared" si="345"/>
        <v>12186.32477219768</v>
      </c>
      <c r="BJ82" s="648">
        <f t="shared" si="345"/>
        <v>12858.492396501708</v>
      </c>
      <c r="BK82" s="648">
        <f t="shared" si="345"/>
        <v>13546.248746793839</v>
      </c>
      <c r="BL82" s="648">
        <f t="shared" si="345"/>
        <v>14249.890591898353</v>
      </c>
      <c r="BM82" s="648">
        <f t="shared" si="345"/>
        <v>14969.71988148064</v>
      </c>
      <c r="BN82" s="648">
        <f t="shared" si="345"/>
        <v>15706.043832296022</v>
      </c>
      <c r="BO82" s="648"/>
      <c r="BP82" s="648">
        <f t="shared" ref="BP82:CT82" si="346">BP11*$EF82</f>
        <v>0</v>
      </c>
      <c r="BQ82" s="648">
        <f t="shared" si="346"/>
        <v>0</v>
      </c>
      <c r="BR82" s="648">
        <f t="shared" si="346"/>
        <v>0</v>
      </c>
      <c r="BS82" s="648">
        <f t="shared" si="346"/>
        <v>0</v>
      </c>
      <c r="BT82" s="648">
        <f t="shared" si="346"/>
        <v>0</v>
      </c>
      <c r="BU82" s="648">
        <f t="shared" si="346"/>
        <v>0</v>
      </c>
      <c r="BV82" s="648">
        <f t="shared" si="346"/>
        <v>0</v>
      </c>
      <c r="BW82" s="648">
        <f t="shared" si="346"/>
        <v>0</v>
      </c>
      <c r="BX82" s="648">
        <f t="shared" si="346"/>
        <v>0</v>
      </c>
      <c r="BY82" s="648">
        <f t="shared" si="346"/>
        <v>0</v>
      </c>
      <c r="BZ82" s="648">
        <f t="shared" si="346"/>
        <v>0</v>
      </c>
      <c r="CA82" s="648">
        <f t="shared" si="346"/>
        <v>0</v>
      </c>
      <c r="CB82" s="648">
        <f t="shared" si="346"/>
        <v>0</v>
      </c>
      <c r="CC82" s="648">
        <f t="shared" si="346"/>
        <v>0</v>
      </c>
      <c r="CD82" s="648">
        <f t="shared" si="346"/>
        <v>0</v>
      </c>
      <c r="CE82" s="648">
        <f t="shared" si="346"/>
        <v>0</v>
      </c>
      <c r="CF82" s="648">
        <f t="shared" si="346"/>
        <v>0</v>
      </c>
      <c r="CG82" s="648">
        <f t="shared" si="346"/>
        <v>0</v>
      </c>
      <c r="CH82" s="648">
        <f t="shared" si="346"/>
        <v>0</v>
      </c>
      <c r="CI82" s="648">
        <f t="shared" si="346"/>
        <v>0</v>
      </c>
      <c r="CJ82" s="648">
        <f t="shared" si="346"/>
        <v>0</v>
      </c>
      <c r="CK82" s="648">
        <f t="shared" si="346"/>
        <v>0</v>
      </c>
      <c r="CL82" s="648">
        <f t="shared" si="346"/>
        <v>0</v>
      </c>
      <c r="CM82" s="648">
        <f t="shared" si="346"/>
        <v>0</v>
      </c>
      <c r="CN82" s="648">
        <f t="shared" si="346"/>
        <v>0</v>
      </c>
      <c r="CO82" s="648">
        <f t="shared" si="346"/>
        <v>0</v>
      </c>
      <c r="CP82" s="648">
        <f t="shared" si="346"/>
        <v>0</v>
      </c>
      <c r="CQ82" s="648">
        <f t="shared" si="346"/>
        <v>0</v>
      </c>
      <c r="CR82" s="648">
        <f t="shared" si="346"/>
        <v>0</v>
      </c>
      <c r="CS82" s="648">
        <f t="shared" si="346"/>
        <v>0</v>
      </c>
      <c r="CT82" s="648">
        <f t="shared" si="346"/>
        <v>0</v>
      </c>
      <c r="CU82" s="648"/>
      <c r="CV82" s="648">
        <f t="shared" ref="CV82:DZ82" si="347">CV11*$EF82</f>
        <v>0</v>
      </c>
      <c r="CW82" s="648">
        <f t="shared" si="347"/>
        <v>0</v>
      </c>
      <c r="CX82" s="648">
        <f t="shared" si="347"/>
        <v>0</v>
      </c>
      <c r="CY82" s="648">
        <f t="shared" si="347"/>
        <v>0</v>
      </c>
      <c r="CZ82" s="648">
        <f t="shared" si="347"/>
        <v>0</v>
      </c>
      <c r="DA82" s="648">
        <f t="shared" si="347"/>
        <v>0</v>
      </c>
      <c r="DB82" s="648">
        <f t="shared" si="347"/>
        <v>0</v>
      </c>
      <c r="DC82" s="648">
        <f t="shared" si="347"/>
        <v>0</v>
      </c>
      <c r="DD82" s="648">
        <f t="shared" si="347"/>
        <v>0</v>
      </c>
      <c r="DE82" s="648">
        <f t="shared" si="347"/>
        <v>0</v>
      </c>
      <c r="DF82" s="648">
        <f t="shared" si="347"/>
        <v>0</v>
      </c>
      <c r="DG82" s="648">
        <f t="shared" si="347"/>
        <v>0</v>
      </c>
      <c r="DH82" s="648">
        <f t="shared" si="347"/>
        <v>0</v>
      </c>
      <c r="DI82" s="648">
        <f t="shared" si="347"/>
        <v>0</v>
      </c>
      <c r="DJ82" s="648">
        <f t="shared" si="347"/>
        <v>0</v>
      </c>
      <c r="DK82" s="648">
        <f t="shared" si="347"/>
        <v>0</v>
      </c>
      <c r="DL82" s="648">
        <f t="shared" si="347"/>
        <v>0</v>
      </c>
      <c r="DM82" s="648">
        <f t="shared" si="347"/>
        <v>0</v>
      </c>
      <c r="DN82" s="648">
        <f t="shared" si="347"/>
        <v>0</v>
      </c>
      <c r="DO82" s="648">
        <f t="shared" si="347"/>
        <v>0</v>
      </c>
      <c r="DP82" s="648">
        <f t="shared" si="347"/>
        <v>0</v>
      </c>
      <c r="DQ82" s="648">
        <f t="shared" si="347"/>
        <v>0</v>
      </c>
      <c r="DR82" s="648">
        <f t="shared" si="347"/>
        <v>0</v>
      </c>
      <c r="DS82" s="648">
        <f t="shared" si="347"/>
        <v>0</v>
      </c>
      <c r="DT82" s="648">
        <f t="shared" si="347"/>
        <v>0</v>
      </c>
      <c r="DU82" s="648">
        <f t="shared" si="347"/>
        <v>0</v>
      </c>
      <c r="DV82" s="648">
        <f t="shared" si="347"/>
        <v>0</v>
      </c>
      <c r="DW82" s="648">
        <f t="shared" si="347"/>
        <v>0</v>
      </c>
      <c r="DX82" s="648">
        <f t="shared" si="347"/>
        <v>0</v>
      </c>
      <c r="DY82" s="648">
        <f t="shared" si="347"/>
        <v>0</v>
      </c>
      <c r="DZ82" s="648">
        <f t="shared" si="347"/>
        <v>0</v>
      </c>
      <c r="EF82" s="51">
        <v>727</v>
      </c>
      <c r="EG82" s="51"/>
      <c r="EH82" s="51"/>
      <c r="EI82" s="51"/>
      <c r="EJ82" s="51"/>
      <c r="EM82" t="s">
        <v>99</v>
      </c>
    </row>
    <row r="83" spans="1:143" x14ac:dyDescent="0.2">
      <c r="A83" s="1"/>
      <c r="B83" t="str">
        <f t="shared" si="331"/>
        <v>MaaS</v>
      </c>
      <c r="C83" s="54" t="s">
        <v>114</v>
      </c>
      <c r="D83" s="648">
        <f t="shared" ref="D83:AH83" si="348">D12*$EF83</f>
        <v>0</v>
      </c>
      <c r="E83" s="648">
        <f t="shared" si="348"/>
        <v>15.528408539490529</v>
      </c>
      <c r="F83" s="648">
        <f t="shared" si="348"/>
        <v>31.603762708721995</v>
      </c>
      <c r="G83" s="648">
        <f t="shared" si="348"/>
        <v>48.240608427030537</v>
      </c>
      <c r="H83" s="648">
        <f t="shared" si="348"/>
        <v>65.453837281529829</v>
      </c>
      <c r="I83" s="648">
        <f t="shared" si="348"/>
        <v>83.258694255239064</v>
      </c>
      <c r="J83" s="648">
        <f t="shared" si="348"/>
        <v>101.67078562140546</v>
      </c>
      <c r="K83" s="648">
        <f t="shared" si="348"/>
        <v>120.70608700749868</v>
      </c>
      <c r="L83" s="648">
        <f t="shared" si="348"/>
        <v>140.38095163242571</v>
      </c>
      <c r="M83" s="648">
        <f t="shared" si="348"/>
        <v>160.71211872058768</v>
      </c>
      <c r="N83" s="648">
        <f t="shared" si="348"/>
        <v>181.71672209647357</v>
      </c>
      <c r="O83" s="648">
        <f t="shared" si="348"/>
        <v>240.98195017479571</v>
      </c>
      <c r="P83" s="648">
        <f t="shared" si="348"/>
        <v>302.55406989364946</v>
      </c>
      <c r="Q83" s="648">
        <f t="shared" si="348"/>
        <v>366.50009958142846</v>
      </c>
      <c r="R83" s="648">
        <f t="shared" si="348"/>
        <v>432.88876993433473</v>
      </c>
      <c r="S83" s="648">
        <f t="shared" si="348"/>
        <v>501.79056465616452</v>
      </c>
      <c r="T83" s="648">
        <f t="shared" si="348"/>
        <v>573.27776201660856</v>
      </c>
      <c r="U83" s="648">
        <f t="shared" si="348"/>
        <v>647.42447734810469</v>
      </c>
      <c r="V83" s="648">
        <f t="shared" si="348"/>
        <v>724.30670650170657</v>
      </c>
      <c r="W83" s="648">
        <f t="shared" si="348"/>
        <v>804.00237028286767</v>
      </c>
      <c r="X83" s="648">
        <f t="shared" si="348"/>
        <v>886.59135988848379</v>
      </c>
      <c r="Y83" s="648">
        <f t="shared" si="348"/>
        <v>1038.3558674945778</v>
      </c>
      <c r="Z83" s="648">
        <f t="shared" si="348"/>
        <v>1195.4085601758222</v>
      </c>
      <c r="AA83" s="648">
        <f t="shared" si="348"/>
        <v>1357.8924799984457</v>
      </c>
      <c r="AB83" s="648">
        <f t="shared" si="348"/>
        <v>1525.9541370555592</v>
      </c>
      <c r="AC83" s="648">
        <f t="shared" si="348"/>
        <v>1699.7435884846379</v>
      </c>
      <c r="AD83" s="648">
        <f t="shared" si="348"/>
        <v>1879.4145192133335</v>
      </c>
      <c r="AE83" s="648">
        <f t="shared" si="348"/>
        <v>2065.1243244703273</v>
      </c>
      <c r="AF83" s="648">
        <f t="shared" si="348"/>
        <v>2257.0341940987014</v>
      </c>
      <c r="AG83" s="648">
        <f t="shared" si="348"/>
        <v>2455.3091987100538</v>
      </c>
      <c r="AH83" s="648">
        <f t="shared" si="348"/>
        <v>2660.1183777184169</v>
      </c>
      <c r="AI83" s="648"/>
      <c r="AJ83" s="648">
        <f t="shared" ref="AJ83:BN83" si="349">AJ12*$EF83</f>
        <v>0</v>
      </c>
      <c r="AK83" s="648">
        <f t="shared" si="349"/>
        <v>7.7598224866362058</v>
      </c>
      <c r="AL83" s="648">
        <f t="shared" si="349"/>
        <v>15.784056260673351</v>
      </c>
      <c r="AM83" s="648">
        <f t="shared" si="349"/>
        <v>24.079515942884512</v>
      </c>
      <c r="AN83" s="648">
        <f t="shared" si="349"/>
        <v>32.653173447464503</v>
      </c>
      <c r="AO83" s="648">
        <f t="shared" si="349"/>
        <v>41.512161406390589</v>
      </c>
      <c r="AP83" s="648">
        <f t="shared" si="349"/>
        <v>50.663776665677375</v>
      </c>
      <c r="AQ83" s="648">
        <f t="shared" si="349"/>
        <v>60.11548385499799</v>
      </c>
      <c r="AR83" s="648">
        <f t="shared" si="349"/>
        <v>69.874919032173509</v>
      </c>
      <c r="AS83" s="648">
        <f t="shared" si="349"/>
        <v>79.94989340406245</v>
      </c>
      <c r="AT83" s="648">
        <f t="shared" si="349"/>
        <v>90.348397125412916</v>
      </c>
      <c r="AU83" s="648">
        <f t="shared" si="349"/>
        <v>119.74932945479588</v>
      </c>
      <c r="AV83" s="648">
        <f t="shared" si="349"/>
        <v>150.26433080133947</v>
      </c>
      <c r="AW83" s="648">
        <f t="shared" si="349"/>
        <v>181.92510047487178</v>
      </c>
      <c r="AX83" s="648">
        <f t="shared" si="349"/>
        <v>214.76413466798837</v>
      </c>
      <c r="AY83" s="648">
        <f t="shared" si="349"/>
        <v>248.81474512727246</v>
      </c>
      <c r="AZ83" s="648">
        <f t="shared" si="349"/>
        <v>284.11107824221318</v>
      </c>
      <c r="BA83" s="648">
        <f t="shared" si="349"/>
        <v>320.68813456085729</v>
      </c>
      <c r="BB83" s="648">
        <f t="shared" si="349"/>
        <v>358.5817887414243</v>
      </c>
      <c r="BC83" s="648">
        <f t="shared" si="349"/>
        <v>397.82880994930838</v>
      </c>
      <c r="BD83" s="648">
        <f t="shared" si="349"/>
        <v>438.46688270908788</v>
      </c>
      <c r="BE83" s="648">
        <f t="shared" si="349"/>
        <v>514.09516592155194</v>
      </c>
      <c r="BF83" s="648">
        <f t="shared" si="349"/>
        <v>592.51013334981894</v>
      </c>
      <c r="BG83" s="648">
        <f t="shared" si="349"/>
        <v>673.79077467121397</v>
      </c>
      <c r="BH83" s="648">
        <f t="shared" si="349"/>
        <v>758.01806960261547</v>
      </c>
      <c r="BI83" s="648">
        <f t="shared" si="349"/>
        <v>845.27503469176645</v>
      </c>
      <c r="BJ83" s="648">
        <f t="shared" si="349"/>
        <v>935.64677115888026</v>
      </c>
      <c r="BK83" s="648">
        <f t="shared" si="349"/>
        <v>1029.2205138113345</v>
      </c>
      <c r="BL83" s="648">
        <f t="shared" si="349"/>
        <v>1126.0856810547243</v>
      </c>
      <c r="BM83" s="648">
        <f t="shared" si="349"/>
        <v>1226.3339260240368</v>
      </c>
      <c r="BN83" s="648">
        <f t="shared" si="349"/>
        <v>1330.0591888592085</v>
      </c>
      <c r="BO83" s="648"/>
      <c r="BP83" s="648">
        <f t="shared" ref="BP83:CT83" si="350">BP12*$EF83</f>
        <v>0</v>
      </c>
      <c r="BQ83" s="648">
        <f t="shared" si="350"/>
        <v>0</v>
      </c>
      <c r="BR83" s="648">
        <f t="shared" si="350"/>
        <v>0</v>
      </c>
      <c r="BS83" s="648">
        <f t="shared" si="350"/>
        <v>0</v>
      </c>
      <c r="BT83" s="648">
        <f t="shared" si="350"/>
        <v>0</v>
      </c>
      <c r="BU83" s="648">
        <f t="shared" si="350"/>
        <v>0</v>
      </c>
      <c r="BV83" s="648">
        <f t="shared" si="350"/>
        <v>0</v>
      </c>
      <c r="BW83" s="648">
        <f t="shared" si="350"/>
        <v>0</v>
      </c>
      <c r="BX83" s="648">
        <f t="shared" si="350"/>
        <v>0</v>
      </c>
      <c r="BY83" s="648">
        <f t="shared" si="350"/>
        <v>0</v>
      </c>
      <c r="BZ83" s="648">
        <f t="shared" si="350"/>
        <v>0</v>
      </c>
      <c r="CA83" s="648">
        <f t="shared" si="350"/>
        <v>0</v>
      </c>
      <c r="CB83" s="648">
        <f t="shared" si="350"/>
        <v>0</v>
      </c>
      <c r="CC83" s="648">
        <f t="shared" si="350"/>
        <v>0</v>
      </c>
      <c r="CD83" s="648">
        <f t="shared" si="350"/>
        <v>0</v>
      </c>
      <c r="CE83" s="648">
        <f t="shared" si="350"/>
        <v>0</v>
      </c>
      <c r="CF83" s="648">
        <f t="shared" si="350"/>
        <v>0</v>
      </c>
      <c r="CG83" s="648">
        <f t="shared" si="350"/>
        <v>0</v>
      </c>
      <c r="CH83" s="648">
        <f t="shared" si="350"/>
        <v>0</v>
      </c>
      <c r="CI83" s="648">
        <f t="shared" si="350"/>
        <v>0</v>
      </c>
      <c r="CJ83" s="648">
        <f t="shared" si="350"/>
        <v>0</v>
      </c>
      <c r="CK83" s="648">
        <f t="shared" si="350"/>
        <v>0</v>
      </c>
      <c r="CL83" s="648">
        <f t="shared" si="350"/>
        <v>0</v>
      </c>
      <c r="CM83" s="648">
        <f t="shared" si="350"/>
        <v>0</v>
      </c>
      <c r="CN83" s="648">
        <f t="shared" si="350"/>
        <v>0</v>
      </c>
      <c r="CO83" s="648">
        <f t="shared" si="350"/>
        <v>0</v>
      </c>
      <c r="CP83" s="648">
        <f t="shared" si="350"/>
        <v>0</v>
      </c>
      <c r="CQ83" s="648">
        <f t="shared" si="350"/>
        <v>0</v>
      </c>
      <c r="CR83" s="648">
        <f t="shared" si="350"/>
        <v>0</v>
      </c>
      <c r="CS83" s="648">
        <f t="shared" si="350"/>
        <v>0</v>
      </c>
      <c r="CT83" s="648">
        <f t="shared" si="350"/>
        <v>0</v>
      </c>
      <c r="CU83" s="648"/>
      <c r="CV83" s="648">
        <f t="shared" ref="CV83:DZ83" si="351">CV12*$EF83</f>
        <v>0</v>
      </c>
      <c r="CW83" s="648">
        <f t="shared" si="351"/>
        <v>0</v>
      </c>
      <c r="CX83" s="648">
        <f t="shared" si="351"/>
        <v>0</v>
      </c>
      <c r="CY83" s="648">
        <f t="shared" si="351"/>
        <v>0</v>
      </c>
      <c r="CZ83" s="648">
        <f t="shared" si="351"/>
        <v>0</v>
      </c>
      <c r="DA83" s="648">
        <f t="shared" si="351"/>
        <v>0</v>
      </c>
      <c r="DB83" s="648">
        <f t="shared" si="351"/>
        <v>0</v>
      </c>
      <c r="DC83" s="648">
        <f t="shared" si="351"/>
        <v>0</v>
      </c>
      <c r="DD83" s="648">
        <f t="shared" si="351"/>
        <v>0</v>
      </c>
      <c r="DE83" s="648">
        <f t="shared" si="351"/>
        <v>0</v>
      </c>
      <c r="DF83" s="648">
        <f t="shared" si="351"/>
        <v>0</v>
      </c>
      <c r="DG83" s="648">
        <f t="shared" si="351"/>
        <v>0</v>
      </c>
      <c r="DH83" s="648">
        <f t="shared" si="351"/>
        <v>0</v>
      </c>
      <c r="DI83" s="648">
        <f t="shared" si="351"/>
        <v>0</v>
      </c>
      <c r="DJ83" s="648">
        <f t="shared" si="351"/>
        <v>0</v>
      </c>
      <c r="DK83" s="648">
        <f t="shared" si="351"/>
        <v>0</v>
      </c>
      <c r="DL83" s="648">
        <f t="shared" si="351"/>
        <v>0</v>
      </c>
      <c r="DM83" s="648">
        <f t="shared" si="351"/>
        <v>0</v>
      </c>
      <c r="DN83" s="648">
        <f t="shared" si="351"/>
        <v>0</v>
      </c>
      <c r="DO83" s="648">
        <f t="shared" si="351"/>
        <v>0</v>
      </c>
      <c r="DP83" s="648">
        <f t="shared" si="351"/>
        <v>0</v>
      </c>
      <c r="DQ83" s="648">
        <f t="shared" si="351"/>
        <v>0</v>
      </c>
      <c r="DR83" s="648">
        <f t="shared" si="351"/>
        <v>0</v>
      </c>
      <c r="DS83" s="648">
        <f t="shared" si="351"/>
        <v>0</v>
      </c>
      <c r="DT83" s="648">
        <f t="shared" si="351"/>
        <v>0</v>
      </c>
      <c r="DU83" s="648">
        <f t="shared" si="351"/>
        <v>0</v>
      </c>
      <c r="DV83" s="648">
        <f t="shared" si="351"/>
        <v>0</v>
      </c>
      <c r="DW83" s="648">
        <f t="shared" si="351"/>
        <v>0</v>
      </c>
      <c r="DX83" s="648">
        <f t="shared" si="351"/>
        <v>0</v>
      </c>
      <c r="DY83" s="648">
        <f t="shared" si="351"/>
        <v>0</v>
      </c>
      <c r="DZ83" s="648">
        <f t="shared" si="351"/>
        <v>0</v>
      </c>
      <c r="EF83" s="610">
        <v>100</v>
      </c>
      <c r="EG83" s="51"/>
      <c r="EH83" s="51"/>
      <c r="EI83" s="51"/>
      <c r="EJ83" s="51"/>
    </row>
    <row r="84" spans="1:143" x14ac:dyDescent="0.2">
      <c r="A84" s="1"/>
      <c r="B84" t="str">
        <f t="shared" si="331"/>
        <v>Vehicle life extension</v>
      </c>
      <c r="C84" s="54" t="s">
        <v>114</v>
      </c>
      <c r="D84" s="648">
        <f t="shared" ref="D84:AH84" si="352">D13*$EF84</f>
        <v>0</v>
      </c>
      <c r="E84" s="648">
        <f t="shared" si="352"/>
        <v>9.8632742290941788</v>
      </c>
      <c r="F84" s="648">
        <f t="shared" si="352"/>
        <v>20.036320505033743</v>
      </c>
      <c r="G84" s="648">
        <f t="shared" si="352"/>
        <v>30.52623039795035</v>
      </c>
      <c r="H84" s="648">
        <f t="shared" si="352"/>
        <v>41.34023425607144</v>
      </c>
      <c r="I84" s="648">
        <f t="shared" si="352"/>
        <v>52.485703605698973</v>
      </c>
      <c r="J84" s="648">
        <f t="shared" si="352"/>
        <v>63.970153587169506</v>
      </c>
      <c r="K84" s="648">
        <f t="shared" si="352"/>
        <v>75.801245427215079</v>
      </c>
      <c r="L84" s="648">
        <f t="shared" si="352"/>
        <v>87.986788948145502</v>
      </c>
      <c r="M84" s="648">
        <f t="shared" si="352"/>
        <v>100.53474511427467</v>
      </c>
      <c r="N84" s="648">
        <f t="shared" si="352"/>
        <v>113.45322861601485</v>
      </c>
      <c r="O84" s="648">
        <f t="shared" si="352"/>
        <v>149.57885939954551</v>
      </c>
      <c r="P84" s="648">
        <f t="shared" si="352"/>
        <v>186.69313060298157</v>
      </c>
      <c r="Q84" s="648">
        <f t="shared" si="352"/>
        <v>224.80952541701299</v>
      </c>
      <c r="R84" s="648">
        <f t="shared" si="352"/>
        <v>263.94143372282986</v>
      </c>
      <c r="S84" s="648">
        <f t="shared" si="352"/>
        <v>304.10213879363573</v>
      </c>
      <c r="T84" s="648">
        <f t="shared" si="352"/>
        <v>345.30480343598862</v>
      </c>
      <c r="U84" s="648">
        <f t="shared" si="352"/>
        <v>387.56245555297306</v>
      </c>
      <c r="V84" s="648">
        <f t="shared" si="352"/>
        <v>430.88797311070363</v>
      </c>
      <c r="W84" s="648">
        <f t="shared" si="352"/>
        <v>475.29406848913851</v>
      </c>
      <c r="X84" s="648">
        <f t="shared" si="352"/>
        <v>520.7932721976531</v>
      </c>
      <c r="Y84" s="648">
        <f t="shared" si="352"/>
        <v>602.23435633173267</v>
      </c>
      <c r="Z84" s="648">
        <f t="shared" si="352"/>
        <v>684.42602749265052</v>
      </c>
      <c r="AA84" s="648">
        <f t="shared" si="352"/>
        <v>767.32159701541002</v>
      </c>
      <c r="AB84" s="648">
        <f t="shared" si="352"/>
        <v>850.87145843138967</v>
      </c>
      <c r="AC84" s="648">
        <f t="shared" si="352"/>
        <v>935.02297795078209</v>
      </c>
      <c r="AD84" s="648">
        <f t="shared" si="352"/>
        <v>1019.7203815766649</v>
      </c>
      <c r="AE84" s="648">
        <f t="shared" si="352"/>
        <v>1104.9046387581034</v>
      </c>
      <c r="AF84" s="648">
        <f t="shared" si="352"/>
        <v>1190.5133424873288</v>
      </c>
      <c r="AG84" s="648">
        <f t="shared" si="352"/>
        <v>1276.4805857436113</v>
      </c>
      <c r="AH84" s="648">
        <f t="shared" si="352"/>
        <v>1362.7368341839692</v>
      </c>
      <c r="AI84" s="648"/>
      <c r="AJ84" s="648">
        <f t="shared" ref="AJ84:BN84" si="353">AJ13*$EF84</f>
        <v>0</v>
      </c>
      <c r="AK84" s="648">
        <f t="shared" si="353"/>
        <v>4.9334633819953568</v>
      </c>
      <c r="AL84" s="648">
        <f t="shared" si="353"/>
        <v>10.02564565754154</v>
      </c>
      <c r="AM84" s="648">
        <f t="shared" si="353"/>
        <v>15.280372160075355</v>
      </c>
      <c r="AN84" s="648">
        <f t="shared" si="353"/>
        <v>20.701550011063752</v>
      </c>
      <c r="AO84" s="648">
        <f t="shared" si="353"/>
        <v>26.293169753558082</v>
      </c>
      <c r="AP84" s="648">
        <f t="shared" si="353"/>
        <v>32.05930701689531</v>
      </c>
      <c r="AQ84" s="648">
        <f t="shared" si="353"/>
        <v>38.00412421311875</v>
      </c>
      <c r="AR84" s="648">
        <f t="shared" si="353"/>
        <v>44.131872265701354</v>
      </c>
      <c r="AS84" s="648">
        <f t="shared" si="353"/>
        <v>50.446892371164928</v>
      </c>
      <c r="AT84" s="648">
        <f t="shared" si="353"/>
        <v>56.953617794198976</v>
      </c>
      <c r="AU84" s="648">
        <f t="shared" si="353"/>
        <v>75.270919528924011</v>
      </c>
      <c r="AV84" s="648">
        <f t="shared" si="353"/>
        <v>94.179450016343139</v>
      </c>
      <c r="AW84" s="648">
        <f t="shared" si="353"/>
        <v>113.69249855279546</v>
      </c>
      <c r="AX84" s="648">
        <f t="shared" si="353"/>
        <v>133.82358996633056</v>
      </c>
      <c r="AY84" s="648">
        <f t="shared" si="353"/>
        <v>154.5864876856229</v>
      </c>
      <c r="AZ84" s="648">
        <f t="shared" si="353"/>
        <v>175.99519682090454</v>
      </c>
      <c r="BA84" s="648">
        <f t="shared" si="353"/>
        <v>198.06396725592936</v>
      </c>
      <c r="BB84" s="648">
        <f t="shared" si="353"/>
        <v>220.80729674993381</v>
      </c>
      <c r="BC84" s="648">
        <f t="shared" si="353"/>
        <v>244.23993404851149</v>
      </c>
      <c r="BD84" s="648">
        <f t="shared" si="353"/>
        <v>268.37688200226876</v>
      </c>
      <c r="BE84" s="648">
        <f t="shared" si="353"/>
        <v>312.76257707213017</v>
      </c>
      <c r="BF84" s="648">
        <f t="shared" si="353"/>
        <v>358.26337575243008</v>
      </c>
      <c r="BG84" s="648">
        <f t="shared" si="353"/>
        <v>404.89196551971156</v>
      </c>
      <c r="BH84" s="648">
        <f t="shared" si="353"/>
        <v>452.66081364208014</v>
      </c>
      <c r="BI84" s="648">
        <f t="shared" si="353"/>
        <v>501.58214840504735</v>
      </c>
      <c r="BJ84" s="648">
        <f t="shared" si="353"/>
        <v>551.6679395985567</v>
      </c>
      <c r="BK84" s="648">
        <f t="shared" si="353"/>
        <v>602.92987824211468</v>
      </c>
      <c r="BL84" s="648">
        <f t="shared" si="353"/>
        <v>655.37935552431236</v>
      </c>
      <c r="BM84" s="648">
        <f t="shared" si="353"/>
        <v>709.02744093236811</v>
      </c>
      <c r="BN84" s="648">
        <f t="shared" si="353"/>
        <v>763.88485954664952</v>
      </c>
      <c r="BO84" s="648"/>
      <c r="BP84" s="648">
        <f t="shared" ref="BP84:CT84" si="354">BP13*$EF84</f>
        <v>0</v>
      </c>
      <c r="BQ84" s="648">
        <f t="shared" si="354"/>
        <v>0</v>
      </c>
      <c r="BR84" s="648">
        <f t="shared" si="354"/>
        <v>0</v>
      </c>
      <c r="BS84" s="648">
        <f t="shared" si="354"/>
        <v>0</v>
      </c>
      <c r="BT84" s="648">
        <f t="shared" si="354"/>
        <v>0</v>
      </c>
      <c r="BU84" s="648">
        <f t="shared" si="354"/>
        <v>0</v>
      </c>
      <c r="BV84" s="648">
        <f t="shared" si="354"/>
        <v>0</v>
      </c>
      <c r="BW84" s="648">
        <f t="shared" si="354"/>
        <v>0</v>
      </c>
      <c r="BX84" s="648">
        <f t="shared" si="354"/>
        <v>0</v>
      </c>
      <c r="BY84" s="648">
        <f t="shared" si="354"/>
        <v>0</v>
      </c>
      <c r="BZ84" s="648">
        <f t="shared" si="354"/>
        <v>0</v>
      </c>
      <c r="CA84" s="648">
        <f t="shared" si="354"/>
        <v>0</v>
      </c>
      <c r="CB84" s="648">
        <f t="shared" si="354"/>
        <v>0</v>
      </c>
      <c r="CC84" s="648">
        <f t="shared" si="354"/>
        <v>0</v>
      </c>
      <c r="CD84" s="648">
        <f t="shared" si="354"/>
        <v>0</v>
      </c>
      <c r="CE84" s="648">
        <f t="shared" si="354"/>
        <v>0</v>
      </c>
      <c r="CF84" s="648">
        <f t="shared" si="354"/>
        <v>0</v>
      </c>
      <c r="CG84" s="648">
        <f t="shared" si="354"/>
        <v>0</v>
      </c>
      <c r="CH84" s="648">
        <f t="shared" si="354"/>
        <v>0</v>
      </c>
      <c r="CI84" s="648">
        <f t="shared" si="354"/>
        <v>0</v>
      </c>
      <c r="CJ84" s="648">
        <f t="shared" si="354"/>
        <v>0</v>
      </c>
      <c r="CK84" s="648">
        <f t="shared" si="354"/>
        <v>0</v>
      </c>
      <c r="CL84" s="648">
        <f t="shared" si="354"/>
        <v>0</v>
      </c>
      <c r="CM84" s="648">
        <f t="shared" si="354"/>
        <v>0</v>
      </c>
      <c r="CN84" s="648">
        <f t="shared" si="354"/>
        <v>0</v>
      </c>
      <c r="CO84" s="648">
        <f t="shared" si="354"/>
        <v>0</v>
      </c>
      <c r="CP84" s="648">
        <f t="shared" si="354"/>
        <v>0</v>
      </c>
      <c r="CQ84" s="648">
        <f t="shared" si="354"/>
        <v>0</v>
      </c>
      <c r="CR84" s="648">
        <f t="shared" si="354"/>
        <v>0</v>
      </c>
      <c r="CS84" s="648">
        <f t="shared" si="354"/>
        <v>0</v>
      </c>
      <c r="CT84" s="648">
        <f t="shared" si="354"/>
        <v>0</v>
      </c>
      <c r="CU84" s="648"/>
      <c r="CV84" s="648">
        <f t="shared" ref="CV84:DZ84" si="355">CV13*$EF84</f>
        <v>0</v>
      </c>
      <c r="CW84" s="648">
        <f t="shared" si="355"/>
        <v>0</v>
      </c>
      <c r="CX84" s="648">
        <f t="shared" si="355"/>
        <v>0</v>
      </c>
      <c r="CY84" s="648">
        <f t="shared" si="355"/>
        <v>0</v>
      </c>
      <c r="CZ84" s="648">
        <f t="shared" si="355"/>
        <v>0</v>
      </c>
      <c r="DA84" s="648">
        <f t="shared" si="355"/>
        <v>0</v>
      </c>
      <c r="DB84" s="648">
        <f t="shared" si="355"/>
        <v>0</v>
      </c>
      <c r="DC84" s="648">
        <f t="shared" si="355"/>
        <v>0</v>
      </c>
      <c r="DD84" s="648">
        <f t="shared" si="355"/>
        <v>0</v>
      </c>
      <c r="DE84" s="648">
        <f t="shared" si="355"/>
        <v>0</v>
      </c>
      <c r="DF84" s="648">
        <f t="shared" si="355"/>
        <v>0</v>
      </c>
      <c r="DG84" s="648">
        <f t="shared" si="355"/>
        <v>0</v>
      </c>
      <c r="DH84" s="648">
        <f t="shared" si="355"/>
        <v>0</v>
      </c>
      <c r="DI84" s="648">
        <f t="shared" si="355"/>
        <v>0</v>
      </c>
      <c r="DJ84" s="648">
        <f t="shared" si="355"/>
        <v>0</v>
      </c>
      <c r="DK84" s="648">
        <f t="shared" si="355"/>
        <v>0</v>
      </c>
      <c r="DL84" s="648">
        <f t="shared" si="355"/>
        <v>0</v>
      </c>
      <c r="DM84" s="648">
        <f t="shared" si="355"/>
        <v>0</v>
      </c>
      <c r="DN84" s="648">
        <f t="shared" si="355"/>
        <v>0</v>
      </c>
      <c r="DO84" s="648">
        <f t="shared" si="355"/>
        <v>0</v>
      </c>
      <c r="DP84" s="648">
        <f t="shared" si="355"/>
        <v>0</v>
      </c>
      <c r="DQ84" s="648">
        <f t="shared" si="355"/>
        <v>0</v>
      </c>
      <c r="DR84" s="648">
        <f t="shared" si="355"/>
        <v>0</v>
      </c>
      <c r="DS84" s="648">
        <f t="shared" si="355"/>
        <v>0</v>
      </c>
      <c r="DT84" s="648">
        <f t="shared" si="355"/>
        <v>0</v>
      </c>
      <c r="DU84" s="648">
        <f t="shared" si="355"/>
        <v>0</v>
      </c>
      <c r="DV84" s="648">
        <f t="shared" si="355"/>
        <v>0</v>
      </c>
      <c r="DW84" s="648">
        <f t="shared" si="355"/>
        <v>0</v>
      </c>
      <c r="DX84" s="648">
        <f t="shared" si="355"/>
        <v>0</v>
      </c>
      <c r="DY84" s="648">
        <f t="shared" si="355"/>
        <v>0</v>
      </c>
      <c r="DZ84" s="648">
        <f t="shared" si="355"/>
        <v>0</v>
      </c>
      <c r="EF84" s="610">
        <v>100</v>
      </c>
      <c r="EG84" s="51"/>
      <c r="EH84" s="51"/>
      <c r="EI84" s="51"/>
      <c r="EJ84" s="51"/>
    </row>
    <row r="85" spans="1:143" x14ac:dyDescent="0.2">
      <c r="A85" s="1"/>
      <c r="B85" t="str">
        <f t="shared" si="331"/>
        <v>Building reduction</v>
      </c>
      <c r="C85" s="54" t="s">
        <v>114</v>
      </c>
      <c r="D85" s="648">
        <f t="shared" ref="D85:AH85" si="356">D14*$EF85</f>
        <v>0</v>
      </c>
      <c r="E85" s="648">
        <f t="shared" si="356"/>
        <v>0</v>
      </c>
      <c r="F85" s="648">
        <f t="shared" si="356"/>
        <v>0</v>
      </c>
      <c r="G85" s="648">
        <f t="shared" si="356"/>
        <v>0</v>
      </c>
      <c r="H85" s="648">
        <f t="shared" si="356"/>
        <v>0</v>
      </c>
      <c r="I85" s="648">
        <f t="shared" si="356"/>
        <v>0</v>
      </c>
      <c r="J85" s="648">
        <f t="shared" si="356"/>
        <v>0</v>
      </c>
      <c r="K85" s="648">
        <f t="shared" si="356"/>
        <v>0</v>
      </c>
      <c r="L85" s="648">
        <f t="shared" si="356"/>
        <v>0</v>
      </c>
      <c r="M85" s="648">
        <f t="shared" si="356"/>
        <v>0</v>
      </c>
      <c r="N85" s="648">
        <f t="shared" si="356"/>
        <v>0</v>
      </c>
      <c r="O85" s="648">
        <f t="shared" si="356"/>
        <v>0</v>
      </c>
      <c r="P85" s="648">
        <f t="shared" si="356"/>
        <v>0</v>
      </c>
      <c r="Q85" s="648">
        <f t="shared" si="356"/>
        <v>0</v>
      </c>
      <c r="R85" s="648">
        <f t="shared" si="356"/>
        <v>0</v>
      </c>
      <c r="S85" s="648">
        <f t="shared" si="356"/>
        <v>0</v>
      </c>
      <c r="T85" s="648">
        <f t="shared" si="356"/>
        <v>0</v>
      </c>
      <c r="U85" s="648">
        <f t="shared" si="356"/>
        <v>0</v>
      </c>
      <c r="V85" s="648">
        <f t="shared" si="356"/>
        <v>0</v>
      </c>
      <c r="W85" s="648">
        <f t="shared" si="356"/>
        <v>0</v>
      </c>
      <c r="X85" s="648">
        <f t="shared" si="356"/>
        <v>0</v>
      </c>
      <c r="Y85" s="648">
        <f t="shared" si="356"/>
        <v>0</v>
      </c>
      <c r="Z85" s="648">
        <f t="shared" si="356"/>
        <v>0</v>
      </c>
      <c r="AA85" s="648">
        <f t="shared" si="356"/>
        <v>0</v>
      </c>
      <c r="AB85" s="648">
        <f t="shared" si="356"/>
        <v>0</v>
      </c>
      <c r="AC85" s="648">
        <f t="shared" si="356"/>
        <v>0</v>
      </c>
      <c r="AD85" s="648">
        <f t="shared" si="356"/>
        <v>0</v>
      </c>
      <c r="AE85" s="648">
        <f t="shared" si="356"/>
        <v>0</v>
      </c>
      <c r="AF85" s="648">
        <f t="shared" si="356"/>
        <v>0</v>
      </c>
      <c r="AG85" s="648">
        <f t="shared" si="356"/>
        <v>0</v>
      </c>
      <c r="AH85" s="648">
        <f t="shared" si="356"/>
        <v>0</v>
      </c>
      <c r="AI85" s="648"/>
      <c r="AJ85" s="648">
        <f t="shared" ref="AJ85:BN85" si="357">AJ14*$EF85</f>
        <v>0</v>
      </c>
      <c r="AK85" s="648">
        <f t="shared" si="357"/>
        <v>0</v>
      </c>
      <c r="AL85" s="648">
        <f t="shared" si="357"/>
        <v>0</v>
      </c>
      <c r="AM85" s="648">
        <f t="shared" si="357"/>
        <v>0</v>
      </c>
      <c r="AN85" s="648">
        <f t="shared" si="357"/>
        <v>0</v>
      </c>
      <c r="AO85" s="648">
        <f t="shared" si="357"/>
        <v>0</v>
      </c>
      <c r="AP85" s="648">
        <f t="shared" si="357"/>
        <v>0</v>
      </c>
      <c r="AQ85" s="648">
        <f t="shared" si="357"/>
        <v>0</v>
      </c>
      <c r="AR85" s="648">
        <f t="shared" si="357"/>
        <v>0</v>
      </c>
      <c r="AS85" s="648">
        <f t="shared" si="357"/>
        <v>0</v>
      </c>
      <c r="AT85" s="648">
        <f t="shared" si="357"/>
        <v>0</v>
      </c>
      <c r="AU85" s="648">
        <f t="shared" si="357"/>
        <v>0</v>
      </c>
      <c r="AV85" s="648">
        <f t="shared" si="357"/>
        <v>0</v>
      </c>
      <c r="AW85" s="648">
        <f t="shared" si="357"/>
        <v>0</v>
      </c>
      <c r="AX85" s="648">
        <f t="shared" si="357"/>
        <v>0</v>
      </c>
      <c r="AY85" s="648">
        <f t="shared" si="357"/>
        <v>0</v>
      </c>
      <c r="AZ85" s="648">
        <f t="shared" si="357"/>
        <v>0</v>
      </c>
      <c r="BA85" s="648">
        <f t="shared" si="357"/>
        <v>0</v>
      </c>
      <c r="BB85" s="648">
        <f t="shared" si="357"/>
        <v>0</v>
      </c>
      <c r="BC85" s="648">
        <f t="shared" si="357"/>
        <v>0</v>
      </c>
      <c r="BD85" s="648">
        <f t="shared" si="357"/>
        <v>0</v>
      </c>
      <c r="BE85" s="648">
        <f t="shared" si="357"/>
        <v>0</v>
      </c>
      <c r="BF85" s="648">
        <f t="shared" si="357"/>
        <v>0</v>
      </c>
      <c r="BG85" s="648">
        <f t="shared" si="357"/>
        <v>0</v>
      </c>
      <c r="BH85" s="648">
        <f t="shared" si="357"/>
        <v>0</v>
      </c>
      <c r="BI85" s="648">
        <f t="shared" si="357"/>
        <v>0</v>
      </c>
      <c r="BJ85" s="648">
        <f t="shared" si="357"/>
        <v>0</v>
      </c>
      <c r="BK85" s="648">
        <f t="shared" si="357"/>
        <v>0</v>
      </c>
      <c r="BL85" s="648">
        <f t="shared" si="357"/>
        <v>0</v>
      </c>
      <c r="BM85" s="648">
        <f t="shared" si="357"/>
        <v>0</v>
      </c>
      <c r="BN85" s="648">
        <f t="shared" si="357"/>
        <v>0</v>
      </c>
      <c r="BO85" s="648"/>
      <c r="BP85" s="648">
        <f t="shared" ref="BP85:CT85" si="358">BP14*$EF85</f>
        <v>0</v>
      </c>
      <c r="BQ85" s="648">
        <f t="shared" si="358"/>
        <v>0</v>
      </c>
      <c r="BR85" s="648">
        <f t="shared" si="358"/>
        <v>0</v>
      </c>
      <c r="BS85" s="648">
        <f t="shared" si="358"/>
        <v>0</v>
      </c>
      <c r="BT85" s="648">
        <f t="shared" si="358"/>
        <v>0</v>
      </c>
      <c r="BU85" s="648">
        <f t="shared" si="358"/>
        <v>0</v>
      </c>
      <c r="BV85" s="648">
        <f t="shared" si="358"/>
        <v>0</v>
      </c>
      <c r="BW85" s="648">
        <f t="shared" si="358"/>
        <v>0</v>
      </c>
      <c r="BX85" s="648">
        <f t="shared" si="358"/>
        <v>0</v>
      </c>
      <c r="BY85" s="648">
        <f t="shared" si="358"/>
        <v>0</v>
      </c>
      <c r="BZ85" s="648">
        <f t="shared" si="358"/>
        <v>0</v>
      </c>
      <c r="CA85" s="648">
        <f t="shared" si="358"/>
        <v>0</v>
      </c>
      <c r="CB85" s="648">
        <f t="shared" si="358"/>
        <v>0</v>
      </c>
      <c r="CC85" s="648">
        <f t="shared" si="358"/>
        <v>0</v>
      </c>
      <c r="CD85" s="648">
        <f t="shared" si="358"/>
        <v>0</v>
      </c>
      <c r="CE85" s="648">
        <f t="shared" si="358"/>
        <v>0</v>
      </c>
      <c r="CF85" s="648">
        <f t="shared" si="358"/>
        <v>0</v>
      </c>
      <c r="CG85" s="648">
        <f t="shared" si="358"/>
        <v>0</v>
      </c>
      <c r="CH85" s="648">
        <f t="shared" si="358"/>
        <v>0</v>
      </c>
      <c r="CI85" s="648">
        <f t="shared" si="358"/>
        <v>0</v>
      </c>
      <c r="CJ85" s="648">
        <f t="shared" si="358"/>
        <v>0</v>
      </c>
      <c r="CK85" s="648">
        <f t="shared" si="358"/>
        <v>0</v>
      </c>
      <c r="CL85" s="648">
        <f t="shared" si="358"/>
        <v>0</v>
      </c>
      <c r="CM85" s="648">
        <f t="shared" si="358"/>
        <v>0</v>
      </c>
      <c r="CN85" s="648">
        <f t="shared" si="358"/>
        <v>0</v>
      </c>
      <c r="CO85" s="648">
        <f t="shared" si="358"/>
        <v>0</v>
      </c>
      <c r="CP85" s="648">
        <f t="shared" si="358"/>
        <v>0</v>
      </c>
      <c r="CQ85" s="648">
        <f t="shared" si="358"/>
        <v>0</v>
      </c>
      <c r="CR85" s="648">
        <f t="shared" si="358"/>
        <v>0</v>
      </c>
      <c r="CS85" s="648">
        <f t="shared" si="358"/>
        <v>0</v>
      </c>
      <c r="CT85" s="648">
        <f t="shared" si="358"/>
        <v>0</v>
      </c>
      <c r="CU85" s="648"/>
      <c r="CV85" s="648">
        <f t="shared" ref="CV85:DZ85" si="359">CV14*$EF85</f>
        <v>0</v>
      </c>
      <c r="CW85" s="648">
        <f t="shared" si="359"/>
        <v>0</v>
      </c>
      <c r="CX85" s="648">
        <f t="shared" si="359"/>
        <v>0</v>
      </c>
      <c r="CY85" s="648">
        <f t="shared" si="359"/>
        <v>0</v>
      </c>
      <c r="CZ85" s="648">
        <f t="shared" si="359"/>
        <v>0</v>
      </c>
      <c r="DA85" s="648">
        <f t="shared" si="359"/>
        <v>0</v>
      </c>
      <c r="DB85" s="648">
        <f t="shared" si="359"/>
        <v>0</v>
      </c>
      <c r="DC85" s="648">
        <f t="shared" si="359"/>
        <v>0</v>
      </c>
      <c r="DD85" s="648">
        <f t="shared" si="359"/>
        <v>0</v>
      </c>
      <c r="DE85" s="648">
        <f t="shared" si="359"/>
        <v>0</v>
      </c>
      <c r="DF85" s="648">
        <f t="shared" si="359"/>
        <v>0</v>
      </c>
      <c r="DG85" s="648">
        <f t="shared" si="359"/>
        <v>0</v>
      </c>
      <c r="DH85" s="648">
        <f t="shared" si="359"/>
        <v>0</v>
      </c>
      <c r="DI85" s="648">
        <f t="shared" si="359"/>
        <v>0</v>
      </c>
      <c r="DJ85" s="648">
        <f t="shared" si="359"/>
        <v>0</v>
      </c>
      <c r="DK85" s="648">
        <f t="shared" si="359"/>
        <v>0</v>
      </c>
      <c r="DL85" s="648">
        <f t="shared" si="359"/>
        <v>0</v>
      </c>
      <c r="DM85" s="648">
        <f t="shared" si="359"/>
        <v>0</v>
      </c>
      <c r="DN85" s="648">
        <f t="shared" si="359"/>
        <v>0</v>
      </c>
      <c r="DO85" s="648">
        <f t="shared" si="359"/>
        <v>0</v>
      </c>
      <c r="DP85" s="648">
        <f t="shared" si="359"/>
        <v>0</v>
      </c>
      <c r="DQ85" s="648">
        <f t="shared" si="359"/>
        <v>0</v>
      </c>
      <c r="DR85" s="648">
        <f t="shared" si="359"/>
        <v>0</v>
      </c>
      <c r="DS85" s="648">
        <f t="shared" si="359"/>
        <v>0</v>
      </c>
      <c r="DT85" s="648">
        <f t="shared" si="359"/>
        <v>0</v>
      </c>
      <c r="DU85" s="648">
        <f t="shared" si="359"/>
        <v>0</v>
      </c>
      <c r="DV85" s="648">
        <f t="shared" si="359"/>
        <v>0</v>
      </c>
      <c r="DW85" s="648">
        <f t="shared" si="359"/>
        <v>0</v>
      </c>
      <c r="DX85" s="648">
        <f t="shared" si="359"/>
        <v>0</v>
      </c>
      <c r="DY85" s="648">
        <f t="shared" si="359"/>
        <v>0</v>
      </c>
      <c r="DZ85" s="648">
        <f t="shared" si="359"/>
        <v>0</v>
      </c>
      <c r="EF85" s="51">
        <v>0</v>
      </c>
      <c r="EG85" s="51"/>
      <c r="EH85" s="51"/>
      <c r="EI85" s="51"/>
      <c r="EJ85" s="51"/>
      <c r="EM85" t="s">
        <v>99</v>
      </c>
    </row>
    <row r="86" spans="1:143" x14ac:dyDescent="0.2">
      <c r="A86" s="1"/>
      <c r="B86" t="str">
        <f t="shared" si="331"/>
        <v>Building substitution</v>
      </c>
      <c r="C86" s="54" t="s">
        <v>114</v>
      </c>
      <c r="D86" s="648">
        <f t="shared" ref="D86:AH86" si="360">D15*$EF86</f>
        <v>0</v>
      </c>
      <c r="E86" s="648">
        <f t="shared" si="360"/>
        <v>33.412853574638916</v>
      </c>
      <c r="F86" s="648">
        <f t="shared" si="360"/>
        <v>67.855303849316911</v>
      </c>
      <c r="G86" s="648">
        <f t="shared" si="360"/>
        <v>103.35185640285178</v>
      </c>
      <c r="H86" s="648">
        <f t="shared" si="360"/>
        <v>139.92754672396171</v>
      </c>
      <c r="I86" s="648">
        <f t="shared" si="360"/>
        <v>177.60795112196553</v>
      </c>
      <c r="J86" s="648">
        <f t="shared" si="360"/>
        <v>216.4191978554617</v>
      </c>
      <c r="K86" s="648">
        <f t="shared" si="360"/>
        <v>256.38797848325021</v>
      </c>
      <c r="L86" s="648">
        <f t="shared" si="360"/>
        <v>297.54155944184384</v>
      </c>
      <c r="M86" s="648">
        <f t="shared" si="360"/>
        <v>339.90779385399981</v>
      </c>
      <c r="N86" s="648">
        <f t="shared" si="360"/>
        <v>383.51513357278566</v>
      </c>
      <c r="O86" s="648">
        <f t="shared" si="360"/>
        <v>428.39264146578449</v>
      </c>
      <c r="P86" s="648">
        <f t="shared" si="360"/>
        <v>474.57000394412745</v>
      </c>
      <c r="Q86" s="648">
        <f t="shared" si="360"/>
        <v>522.07754374113642</v>
      </c>
      <c r="R86" s="648">
        <f t="shared" si="360"/>
        <v>570.94623294544976</v>
      </c>
      <c r="S86" s="648">
        <f t="shared" si="360"/>
        <v>621.20770629359856</v>
      </c>
      <c r="T86" s="648">
        <f t="shared" si="360"/>
        <v>672.89427472709292</v>
      </c>
      <c r="U86" s="648">
        <f t="shared" si="360"/>
        <v>726.03893921918154</v>
      </c>
      <c r="V86" s="648">
        <f t="shared" si="360"/>
        <v>780.67540487654094</v>
      </c>
      <c r="W86" s="648">
        <f t="shared" si="360"/>
        <v>836.83809532125349</v>
      </c>
      <c r="X86" s="648">
        <f t="shared" si="360"/>
        <v>894.56216735853911</v>
      </c>
      <c r="Y86" s="648">
        <f t="shared" si="360"/>
        <v>955.2599812401869</v>
      </c>
      <c r="Z86" s="648">
        <f t="shared" si="360"/>
        <v>1017.6345386807861</v>
      </c>
      <c r="AA86" s="648">
        <f t="shared" si="360"/>
        <v>1081.7243121844899</v>
      </c>
      <c r="AB86" s="648">
        <f t="shared" si="360"/>
        <v>1147.5685913551474</v>
      </c>
      <c r="AC86" s="648">
        <f t="shared" si="360"/>
        <v>1215.2074995386379</v>
      </c>
      <c r="AD86" s="648">
        <f t="shared" si="360"/>
        <v>1284.6820107952219</v>
      </c>
      <c r="AE86" s="648">
        <f t="shared" si="360"/>
        <v>1356.0339672083246</v>
      </c>
      <c r="AF86" s="648">
        <f t="shared" si="360"/>
        <v>1429.3060965362997</v>
      </c>
      <c r="AG86" s="648">
        <f t="shared" si="360"/>
        <v>1504.5420302138396</v>
      </c>
      <c r="AH86" s="648">
        <f t="shared" si="360"/>
        <v>1581.7863217098311</v>
      </c>
      <c r="AI86" s="648"/>
      <c r="AJ86" s="648">
        <f t="shared" ref="AJ86:BN86" si="361">AJ15*$EF86</f>
        <v>0</v>
      </c>
      <c r="AK86" s="648">
        <f t="shared" si="361"/>
        <v>16.706426787319458</v>
      </c>
      <c r="AL86" s="648">
        <f t="shared" si="361"/>
        <v>33.927651924658456</v>
      </c>
      <c r="AM86" s="648">
        <f t="shared" si="361"/>
        <v>51.67592820142589</v>
      </c>
      <c r="AN86" s="648">
        <f t="shared" si="361"/>
        <v>69.963773361980856</v>
      </c>
      <c r="AO86" s="648">
        <f t="shared" si="361"/>
        <v>88.803975560982764</v>
      </c>
      <c r="AP86" s="648">
        <f t="shared" si="361"/>
        <v>108.20959892773085</v>
      </c>
      <c r="AQ86" s="648">
        <f t="shared" si="361"/>
        <v>128.1939892416251</v>
      </c>
      <c r="AR86" s="648">
        <f t="shared" si="361"/>
        <v>148.77077972092192</v>
      </c>
      <c r="AS86" s="648">
        <f t="shared" si="361"/>
        <v>169.9538969269999</v>
      </c>
      <c r="AT86" s="648">
        <f t="shared" si="361"/>
        <v>191.75756678639283</v>
      </c>
      <c r="AU86" s="648">
        <f t="shared" si="361"/>
        <v>214.19632073289225</v>
      </c>
      <c r="AV86" s="648">
        <f t="shared" si="361"/>
        <v>237.28500197206372</v>
      </c>
      <c r="AW86" s="648">
        <f t="shared" si="361"/>
        <v>261.03877187056821</v>
      </c>
      <c r="AX86" s="648">
        <f t="shared" si="361"/>
        <v>285.47311647272488</v>
      </c>
      <c r="AY86" s="648">
        <f t="shared" si="361"/>
        <v>310.60385314679928</v>
      </c>
      <c r="AZ86" s="648">
        <f t="shared" si="361"/>
        <v>336.44713736354646</v>
      </c>
      <c r="BA86" s="648">
        <f t="shared" si="361"/>
        <v>363.01946960959077</v>
      </c>
      <c r="BB86" s="648">
        <f t="shared" si="361"/>
        <v>390.33770243827047</v>
      </c>
      <c r="BC86" s="648">
        <f t="shared" si="361"/>
        <v>418.41904766062675</v>
      </c>
      <c r="BD86" s="648">
        <f t="shared" si="361"/>
        <v>447.28108367926956</v>
      </c>
      <c r="BE86" s="648">
        <f t="shared" si="361"/>
        <v>477.62999062009345</v>
      </c>
      <c r="BF86" s="648">
        <f t="shared" si="361"/>
        <v>508.81726934039307</v>
      </c>
      <c r="BG86" s="648">
        <f t="shared" si="361"/>
        <v>540.86215609224496</v>
      </c>
      <c r="BH86" s="648">
        <f t="shared" si="361"/>
        <v>573.78429567757371</v>
      </c>
      <c r="BI86" s="648">
        <f t="shared" si="361"/>
        <v>607.60374976931894</v>
      </c>
      <c r="BJ86" s="648">
        <f t="shared" si="361"/>
        <v>642.34100539761096</v>
      </c>
      <c r="BK86" s="648">
        <f t="shared" si="361"/>
        <v>678.01698360416231</v>
      </c>
      <c r="BL86" s="648">
        <f t="shared" si="361"/>
        <v>714.65304826814986</v>
      </c>
      <c r="BM86" s="648">
        <f t="shared" si="361"/>
        <v>752.27101510691978</v>
      </c>
      <c r="BN86" s="648">
        <f t="shared" si="361"/>
        <v>790.89316085491555</v>
      </c>
      <c r="BO86" s="648"/>
      <c r="BP86" s="648">
        <f t="shared" ref="BP86:CT86" si="362">BP15*$EF86</f>
        <v>0</v>
      </c>
      <c r="BQ86" s="648">
        <f t="shared" si="362"/>
        <v>0</v>
      </c>
      <c r="BR86" s="648">
        <f t="shared" si="362"/>
        <v>0</v>
      </c>
      <c r="BS86" s="648">
        <f t="shared" si="362"/>
        <v>0</v>
      </c>
      <c r="BT86" s="648">
        <f t="shared" si="362"/>
        <v>0</v>
      </c>
      <c r="BU86" s="648">
        <f t="shared" si="362"/>
        <v>0</v>
      </c>
      <c r="BV86" s="648">
        <f t="shared" si="362"/>
        <v>0</v>
      </c>
      <c r="BW86" s="648">
        <f t="shared" si="362"/>
        <v>0</v>
      </c>
      <c r="BX86" s="648">
        <f t="shared" si="362"/>
        <v>0</v>
      </c>
      <c r="BY86" s="648">
        <f t="shared" si="362"/>
        <v>0</v>
      </c>
      <c r="BZ86" s="648">
        <f t="shared" si="362"/>
        <v>0</v>
      </c>
      <c r="CA86" s="648">
        <f t="shared" si="362"/>
        <v>0</v>
      </c>
      <c r="CB86" s="648">
        <f t="shared" si="362"/>
        <v>0</v>
      </c>
      <c r="CC86" s="648">
        <f t="shared" si="362"/>
        <v>0</v>
      </c>
      <c r="CD86" s="648">
        <f t="shared" si="362"/>
        <v>0</v>
      </c>
      <c r="CE86" s="648">
        <f t="shared" si="362"/>
        <v>0</v>
      </c>
      <c r="CF86" s="648">
        <f t="shared" si="362"/>
        <v>0</v>
      </c>
      <c r="CG86" s="648">
        <f t="shared" si="362"/>
        <v>0</v>
      </c>
      <c r="CH86" s="648">
        <f t="shared" si="362"/>
        <v>0</v>
      </c>
      <c r="CI86" s="648">
        <f t="shared" si="362"/>
        <v>0</v>
      </c>
      <c r="CJ86" s="648">
        <f t="shared" si="362"/>
        <v>0</v>
      </c>
      <c r="CK86" s="648">
        <f t="shared" si="362"/>
        <v>0</v>
      </c>
      <c r="CL86" s="648">
        <f t="shared" si="362"/>
        <v>0</v>
      </c>
      <c r="CM86" s="648">
        <f t="shared" si="362"/>
        <v>0</v>
      </c>
      <c r="CN86" s="648">
        <f t="shared" si="362"/>
        <v>0</v>
      </c>
      <c r="CO86" s="648">
        <f t="shared" si="362"/>
        <v>0</v>
      </c>
      <c r="CP86" s="648">
        <f t="shared" si="362"/>
        <v>0</v>
      </c>
      <c r="CQ86" s="648">
        <f t="shared" si="362"/>
        <v>0</v>
      </c>
      <c r="CR86" s="648">
        <f t="shared" si="362"/>
        <v>0</v>
      </c>
      <c r="CS86" s="648">
        <f t="shared" si="362"/>
        <v>0</v>
      </c>
      <c r="CT86" s="648">
        <f t="shared" si="362"/>
        <v>0</v>
      </c>
      <c r="CU86" s="648"/>
      <c r="CV86" s="648">
        <f t="shared" ref="CV86:DZ86" si="363">CV15*$EF86</f>
        <v>0</v>
      </c>
      <c r="CW86" s="648">
        <f t="shared" si="363"/>
        <v>0</v>
      </c>
      <c r="CX86" s="648">
        <f t="shared" si="363"/>
        <v>0</v>
      </c>
      <c r="CY86" s="648">
        <f t="shared" si="363"/>
        <v>0</v>
      </c>
      <c r="CZ86" s="648">
        <f t="shared" si="363"/>
        <v>0</v>
      </c>
      <c r="DA86" s="648">
        <f t="shared" si="363"/>
        <v>0</v>
      </c>
      <c r="DB86" s="648">
        <f t="shared" si="363"/>
        <v>0</v>
      </c>
      <c r="DC86" s="648">
        <f t="shared" si="363"/>
        <v>0</v>
      </c>
      <c r="DD86" s="648">
        <f t="shared" si="363"/>
        <v>0</v>
      </c>
      <c r="DE86" s="648">
        <f t="shared" si="363"/>
        <v>0</v>
      </c>
      <c r="DF86" s="648">
        <f t="shared" si="363"/>
        <v>0</v>
      </c>
      <c r="DG86" s="648">
        <f t="shared" si="363"/>
        <v>0</v>
      </c>
      <c r="DH86" s="648">
        <f t="shared" si="363"/>
        <v>0</v>
      </c>
      <c r="DI86" s="648">
        <f t="shared" si="363"/>
        <v>0</v>
      </c>
      <c r="DJ86" s="648">
        <f t="shared" si="363"/>
        <v>0</v>
      </c>
      <c r="DK86" s="648">
        <f t="shared" si="363"/>
        <v>0</v>
      </c>
      <c r="DL86" s="648">
        <f t="shared" si="363"/>
        <v>0</v>
      </c>
      <c r="DM86" s="648">
        <f t="shared" si="363"/>
        <v>0</v>
      </c>
      <c r="DN86" s="648">
        <f t="shared" si="363"/>
        <v>0</v>
      </c>
      <c r="DO86" s="648">
        <f t="shared" si="363"/>
        <v>0</v>
      </c>
      <c r="DP86" s="648">
        <f t="shared" si="363"/>
        <v>0</v>
      </c>
      <c r="DQ86" s="648">
        <f t="shared" si="363"/>
        <v>0</v>
      </c>
      <c r="DR86" s="648">
        <f t="shared" si="363"/>
        <v>0</v>
      </c>
      <c r="DS86" s="648">
        <f t="shared" si="363"/>
        <v>0</v>
      </c>
      <c r="DT86" s="648">
        <f t="shared" si="363"/>
        <v>0</v>
      </c>
      <c r="DU86" s="648">
        <f t="shared" si="363"/>
        <v>0</v>
      </c>
      <c r="DV86" s="648">
        <f t="shared" si="363"/>
        <v>0</v>
      </c>
      <c r="DW86" s="648">
        <f t="shared" si="363"/>
        <v>0</v>
      </c>
      <c r="DX86" s="648">
        <f t="shared" si="363"/>
        <v>0</v>
      </c>
      <c r="DY86" s="648">
        <f t="shared" si="363"/>
        <v>0</v>
      </c>
      <c r="DZ86" s="648">
        <f t="shared" si="363"/>
        <v>0</v>
      </c>
      <c r="EF86" s="610">
        <v>100</v>
      </c>
      <c r="EG86" s="51"/>
      <c r="EH86" s="51"/>
      <c r="EI86" s="51"/>
      <c r="EJ86" s="51"/>
      <c r="EM86" t="s">
        <v>99</v>
      </c>
    </row>
    <row r="87" spans="1:143" x14ac:dyDescent="0.2">
      <c r="A87" s="1"/>
      <c r="B87" t="str">
        <f t="shared" si="331"/>
        <v>Apparel - waste reduction</v>
      </c>
      <c r="C87" s="54" t="s">
        <v>114</v>
      </c>
      <c r="D87" s="648">
        <f t="shared" ref="D87:AH87" si="364">D16*$EF87</f>
        <v>0</v>
      </c>
      <c r="E87" s="648">
        <f t="shared" si="364"/>
        <v>0</v>
      </c>
      <c r="F87" s="648">
        <f t="shared" si="364"/>
        <v>0</v>
      </c>
      <c r="G87" s="648">
        <f t="shared" si="364"/>
        <v>0</v>
      </c>
      <c r="H87" s="648">
        <f t="shared" si="364"/>
        <v>0</v>
      </c>
      <c r="I87" s="648">
        <f t="shared" si="364"/>
        <v>0</v>
      </c>
      <c r="J87" s="648">
        <f t="shared" si="364"/>
        <v>0</v>
      </c>
      <c r="K87" s="648">
        <f t="shared" si="364"/>
        <v>0</v>
      </c>
      <c r="L87" s="648">
        <f t="shared" si="364"/>
        <v>0</v>
      </c>
      <c r="M87" s="648">
        <f t="shared" si="364"/>
        <v>0</v>
      </c>
      <c r="N87" s="648">
        <f t="shared" si="364"/>
        <v>0</v>
      </c>
      <c r="O87" s="648">
        <f t="shared" si="364"/>
        <v>0</v>
      </c>
      <c r="P87" s="648">
        <f t="shared" si="364"/>
        <v>0</v>
      </c>
      <c r="Q87" s="648">
        <f t="shared" si="364"/>
        <v>0</v>
      </c>
      <c r="R87" s="648">
        <f t="shared" si="364"/>
        <v>0</v>
      </c>
      <c r="S87" s="648">
        <f t="shared" si="364"/>
        <v>0</v>
      </c>
      <c r="T87" s="648">
        <f t="shared" si="364"/>
        <v>0</v>
      </c>
      <c r="U87" s="648">
        <f t="shared" si="364"/>
        <v>0</v>
      </c>
      <c r="V87" s="648">
        <f t="shared" si="364"/>
        <v>0</v>
      </c>
      <c r="W87" s="648">
        <f t="shared" si="364"/>
        <v>0</v>
      </c>
      <c r="X87" s="648">
        <f t="shared" si="364"/>
        <v>0</v>
      </c>
      <c r="Y87" s="648">
        <f t="shared" si="364"/>
        <v>0</v>
      </c>
      <c r="Z87" s="648">
        <f t="shared" si="364"/>
        <v>0</v>
      </c>
      <c r="AA87" s="648">
        <f t="shared" si="364"/>
        <v>0</v>
      </c>
      <c r="AB87" s="648">
        <f t="shared" si="364"/>
        <v>0</v>
      </c>
      <c r="AC87" s="648">
        <f t="shared" si="364"/>
        <v>0</v>
      </c>
      <c r="AD87" s="648">
        <f t="shared" si="364"/>
        <v>0</v>
      </c>
      <c r="AE87" s="648">
        <f t="shared" si="364"/>
        <v>0</v>
      </c>
      <c r="AF87" s="648">
        <f t="shared" si="364"/>
        <v>0</v>
      </c>
      <c r="AG87" s="648">
        <f t="shared" si="364"/>
        <v>0</v>
      </c>
      <c r="AH87" s="648">
        <f t="shared" si="364"/>
        <v>0</v>
      </c>
      <c r="AI87" s="648"/>
      <c r="AJ87" s="648">
        <f t="shared" ref="AJ87:BN87" si="365">AJ16*$EF87</f>
        <v>0</v>
      </c>
      <c r="AK87" s="648">
        <f t="shared" si="365"/>
        <v>0</v>
      </c>
      <c r="AL87" s="648">
        <f t="shared" si="365"/>
        <v>0</v>
      </c>
      <c r="AM87" s="648">
        <f t="shared" si="365"/>
        <v>0</v>
      </c>
      <c r="AN87" s="648">
        <f t="shared" si="365"/>
        <v>0</v>
      </c>
      <c r="AO87" s="648">
        <f t="shared" si="365"/>
        <v>0</v>
      </c>
      <c r="AP87" s="648">
        <f t="shared" si="365"/>
        <v>0</v>
      </c>
      <c r="AQ87" s="648">
        <f t="shared" si="365"/>
        <v>0</v>
      </c>
      <c r="AR87" s="648">
        <f t="shared" si="365"/>
        <v>0</v>
      </c>
      <c r="AS87" s="648">
        <f t="shared" si="365"/>
        <v>0</v>
      </c>
      <c r="AT87" s="648">
        <f t="shared" si="365"/>
        <v>0</v>
      </c>
      <c r="AU87" s="648">
        <f t="shared" si="365"/>
        <v>0</v>
      </c>
      <c r="AV87" s="648">
        <f t="shared" si="365"/>
        <v>0</v>
      </c>
      <c r="AW87" s="648">
        <f t="shared" si="365"/>
        <v>0</v>
      </c>
      <c r="AX87" s="648">
        <f t="shared" si="365"/>
        <v>0</v>
      </c>
      <c r="AY87" s="648">
        <f t="shared" si="365"/>
        <v>0</v>
      </c>
      <c r="AZ87" s="648">
        <f t="shared" si="365"/>
        <v>0</v>
      </c>
      <c r="BA87" s="648">
        <f t="shared" si="365"/>
        <v>0</v>
      </c>
      <c r="BB87" s="648">
        <f t="shared" si="365"/>
        <v>0</v>
      </c>
      <c r="BC87" s="648">
        <f t="shared" si="365"/>
        <v>0</v>
      </c>
      <c r="BD87" s="648">
        <f t="shared" si="365"/>
        <v>0</v>
      </c>
      <c r="BE87" s="648">
        <f t="shared" si="365"/>
        <v>0</v>
      </c>
      <c r="BF87" s="648">
        <f t="shared" si="365"/>
        <v>0</v>
      </c>
      <c r="BG87" s="648">
        <f t="shared" si="365"/>
        <v>0</v>
      </c>
      <c r="BH87" s="648">
        <f t="shared" si="365"/>
        <v>0</v>
      </c>
      <c r="BI87" s="648">
        <f t="shared" si="365"/>
        <v>0</v>
      </c>
      <c r="BJ87" s="648">
        <f t="shared" si="365"/>
        <v>0</v>
      </c>
      <c r="BK87" s="648">
        <f t="shared" si="365"/>
        <v>0</v>
      </c>
      <c r="BL87" s="648">
        <f t="shared" si="365"/>
        <v>0</v>
      </c>
      <c r="BM87" s="648">
        <f t="shared" si="365"/>
        <v>0</v>
      </c>
      <c r="BN87" s="648">
        <f t="shared" si="365"/>
        <v>0</v>
      </c>
      <c r="BO87" s="648"/>
      <c r="BP87" s="648">
        <f t="shared" ref="BP87:CT87" si="366">BP16*$EF87</f>
        <v>0</v>
      </c>
      <c r="BQ87" s="648">
        <f t="shared" si="366"/>
        <v>0</v>
      </c>
      <c r="BR87" s="648">
        <f t="shared" si="366"/>
        <v>0</v>
      </c>
      <c r="BS87" s="648">
        <f t="shared" si="366"/>
        <v>0</v>
      </c>
      <c r="BT87" s="648">
        <f t="shared" si="366"/>
        <v>0</v>
      </c>
      <c r="BU87" s="648">
        <f t="shared" si="366"/>
        <v>0</v>
      </c>
      <c r="BV87" s="648">
        <f t="shared" si="366"/>
        <v>0</v>
      </c>
      <c r="BW87" s="648">
        <f t="shared" si="366"/>
        <v>0</v>
      </c>
      <c r="BX87" s="648">
        <f t="shared" si="366"/>
        <v>0</v>
      </c>
      <c r="BY87" s="648">
        <f t="shared" si="366"/>
        <v>0</v>
      </c>
      <c r="BZ87" s="648">
        <f t="shared" si="366"/>
        <v>0</v>
      </c>
      <c r="CA87" s="648">
        <f t="shared" si="366"/>
        <v>0</v>
      </c>
      <c r="CB87" s="648">
        <f t="shared" si="366"/>
        <v>0</v>
      </c>
      <c r="CC87" s="648">
        <f t="shared" si="366"/>
        <v>0</v>
      </c>
      <c r="CD87" s="648">
        <f t="shared" si="366"/>
        <v>0</v>
      </c>
      <c r="CE87" s="648">
        <f t="shared" si="366"/>
        <v>0</v>
      </c>
      <c r="CF87" s="648">
        <f t="shared" si="366"/>
        <v>0</v>
      </c>
      <c r="CG87" s="648">
        <f t="shared" si="366"/>
        <v>0</v>
      </c>
      <c r="CH87" s="648">
        <f t="shared" si="366"/>
        <v>0</v>
      </c>
      <c r="CI87" s="648">
        <f t="shared" si="366"/>
        <v>0</v>
      </c>
      <c r="CJ87" s="648">
        <f t="shared" si="366"/>
        <v>0</v>
      </c>
      <c r="CK87" s="648">
        <f t="shared" si="366"/>
        <v>0</v>
      </c>
      <c r="CL87" s="648">
        <f t="shared" si="366"/>
        <v>0</v>
      </c>
      <c r="CM87" s="648">
        <f t="shared" si="366"/>
        <v>0</v>
      </c>
      <c r="CN87" s="648">
        <f t="shared" si="366"/>
        <v>0</v>
      </c>
      <c r="CO87" s="648">
        <f t="shared" si="366"/>
        <v>0</v>
      </c>
      <c r="CP87" s="648">
        <f t="shared" si="366"/>
        <v>0</v>
      </c>
      <c r="CQ87" s="648">
        <f t="shared" si="366"/>
        <v>0</v>
      </c>
      <c r="CR87" s="648">
        <f t="shared" si="366"/>
        <v>0</v>
      </c>
      <c r="CS87" s="648">
        <f t="shared" si="366"/>
        <v>0</v>
      </c>
      <c r="CT87" s="648">
        <f t="shared" si="366"/>
        <v>0</v>
      </c>
      <c r="CU87" s="648"/>
      <c r="CV87" s="648">
        <f t="shared" ref="CV87:DZ87" si="367">CV16*$EF87</f>
        <v>0</v>
      </c>
      <c r="CW87" s="648">
        <f t="shared" si="367"/>
        <v>0</v>
      </c>
      <c r="CX87" s="648">
        <f t="shared" si="367"/>
        <v>0</v>
      </c>
      <c r="CY87" s="648">
        <f t="shared" si="367"/>
        <v>0</v>
      </c>
      <c r="CZ87" s="648">
        <f t="shared" si="367"/>
        <v>0</v>
      </c>
      <c r="DA87" s="648">
        <f t="shared" si="367"/>
        <v>0</v>
      </c>
      <c r="DB87" s="648">
        <f t="shared" si="367"/>
        <v>0</v>
      </c>
      <c r="DC87" s="648">
        <f t="shared" si="367"/>
        <v>0</v>
      </c>
      <c r="DD87" s="648">
        <f t="shared" si="367"/>
        <v>0</v>
      </c>
      <c r="DE87" s="648">
        <f t="shared" si="367"/>
        <v>0</v>
      </c>
      <c r="DF87" s="648">
        <f t="shared" si="367"/>
        <v>0</v>
      </c>
      <c r="DG87" s="648">
        <f t="shared" si="367"/>
        <v>0</v>
      </c>
      <c r="DH87" s="648">
        <f t="shared" si="367"/>
        <v>0</v>
      </c>
      <c r="DI87" s="648">
        <f t="shared" si="367"/>
        <v>0</v>
      </c>
      <c r="DJ87" s="648">
        <f t="shared" si="367"/>
        <v>0</v>
      </c>
      <c r="DK87" s="648">
        <f t="shared" si="367"/>
        <v>0</v>
      </c>
      <c r="DL87" s="648">
        <f t="shared" si="367"/>
        <v>0</v>
      </c>
      <c r="DM87" s="648">
        <f t="shared" si="367"/>
        <v>0</v>
      </c>
      <c r="DN87" s="648">
        <f t="shared" si="367"/>
        <v>0</v>
      </c>
      <c r="DO87" s="648">
        <f t="shared" si="367"/>
        <v>0</v>
      </c>
      <c r="DP87" s="648">
        <f t="shared" si="367"/>
        <v>0</v>
      </c>
      <c r="DQ87" s="648">
        <f t="shared" si="367"/>
        <v>0</v>
      </c>
      <c r="DR87" s="648">
        <f t="shared" si="367"/>
        <v>0</v>
      </c>
      <c r="DS87" s="648">
        <f t="shared" si="367"/>
        <v>0</v>
      </c>
      <c r="DT87" s="648">
        <f t="shared" si="367"/>
        <v>0</v>
      </c>
      <c r="DU87" s="648">
        <f t="shared" si="367"/>
        <v>0</v>
      </c>
      <c r="DV87" s="648">
        <f t="shared" si="367"/>
        <v>0</v>
      </c>
      <c r="DW87" s="648">
        <f t="shared" si="367"/>
        <v>0</v>
      </c>
      <c r="DX87" s="648">
        <f t="shared" si="367"/>
        <v>0</v>
      </c>
      <c r="DY87" s="648">
        <f t="shared" si="367"/>
        <v>0</v>
      </c>
      <c r="DZ87" s="648">
        <f t="shared" si="367"/>
        <v>0</v>
      </c>
      <c r="EF87" s="51">
        <v>0</v>
      </c>
      <c r="EG87" s="51"/>
      <c r="EH87" s="51"/>
      <c r="EI87" s="51"/>
      <c r="EJ87" s="51"/>
      <c r="EM87" t="s">
        <v>99</v>
      </c>
    </row>
    <row r="88" spans="1:143" x14ac:dyDescent="0.2">
      <c r="A88" s="1"/>
      <c r="B88" t="str">
        <f t="shared" si="331"/>
        <v>Apparel - NBM</v>
      </c>
      <c r="C88" s="54" t="s">
        <v>114</v>
      </c>
      <c r="D88" s="648">
        <f t="shared" ref="D88:AH88" si="368">D17*$EF88</f>
        <v>0</v>
      </c>
      <c r="E88" s="648">
        <f t="shared" si="368"/>
        <v>11.449307527954407</v>
      </c>
      <c r="F88" s="648">
        <f t="shared" si="368"/>
        <v>23.19830436868564</v>
      </c>
      <c r="G88" s="648">
        <f t="shared" si="368"/>
        <v>35.253445981435192</v>
      </c>
      <c r="H88" s="648">
        <f t="shared" si="368"/>
        <v>47.62132483875525</v>
      </c>
      <c r="I88" s="648">
        <f t="shared" si="368"/>
        <v>60.308673421614692</v>
      </c>
      <c r="J88" s="648">
        <f t="shared" si="368"/>
        <v>73.322367282031053</v>
      </c>
      <c r="K88" s="648">
        <f t="shared" si="368"/>
        <v>86.66942817478062</v>
      </c>
      <c r="L88" s="648">
        <f t="shared" si="368"/>
        <v>100.35702725977471</v>
      </c>
      <c r="M88" s="648">
        <f t="shared" si="368"/>
        <v>114.39248837672658</v>
      </c>
      <c r="N88" s="648">
        <f t="shared" si="368"/>
        <v>128.78329139377203</v>
      </c>
      <c r="O88" s="648">
        <f t="shared" si="368"/>
        <v>150.06148816045959</v>
      </c>
      <c r="P88" s="648">
        <f t="shared" si="368"/>
        <v>171.88344697966198</v>
      </c>
      <c r="Q88" s="648">
        <f t="shared" si="368"/>
        <v>194.26092072260812</v>
      </c>
      <c r="R88" s="648">
        <f t="shared" si="368"/>
        <v>217.20591401269806</v>
      </c>
      <c r="S88" s="648">
        <f t="shared" si="368"/>
        <v>240.73068877545981</v>
      </c>
      <c r="T88" s="648">
        <f t="shared" si="368"/>
        <v>264.8477699143308</v>
      </c>
      <c r="U88" s="648">
        <f t="shared" si="368"/>
        <v>289.56995111516369</v>
      </c>
      <c r="V88" s="648">
        <f t="shared" si="368"/>
        <v>314.91030078242602</v>
      </c>
      <c r="W88" s="648">
        <f t="shared" si="368"/>
        <v>340.88216811012734</v>
      </c>
      <c r="X88" s="648">
        <f t="shared" si="368"/>
        <v>367.49918929058327</v>
      </c>
      <c r="Y88" s="648">
        <f t="shared" si="368"/>
        <v>409.67247476472829</v>
      </c>
      <c r="Z88" s="648">
        <f t="shared" si="368"/>
        <v>452.91933344301702</v>
      </c>
      <c r="AA88" s="648">
        <f t="shared" si="368"/>
        <v>497.26319522557071</v>
      </c>
      <c r="AB88" s="648">
        <f t="shared" si="368"/>
        <v>542.72799788142856</v>
      </c>
      <c r="AC88" s="648">
        <f t="shared" si="368"/>
        <v>589.33819835486838</v>
      </c>
      <c r="AD88" s="648">
        <f t="shared" si="368"/>
        <v>637.11878432972208</v>
      </c>
      <c r="AE88" s="648">
        <f t="shared" si="368"/>
        <v>686.09528605765991</v>
      </c>
      <c r="AF88" s="648">
        <f t="shared" si="368"/>
        <v>736.29378845654912</v>
      </c>
      <c r="AG88" s="648">
        <f t="shared" si="368"/>
        <v>787.74094348513688</v>
      </c>
      <c r="AH88" s="648">
        <f t="shared" si="368"/>
        <v>840.46398280045128</v>
      </c>
      <c r="AI88" s="648"/>
      <c r="AJ88" s="648">
        <f t="shared" ref="AJ88:BN88" si="369">AJ17*$EF88</f>
        <v>0</v>
      </c>
      <c r="AK88" s="648">
        <f t="shared" si="369"/>
        <v>5.7246537639772033</v>
      </c>
      <c r="AL88" s="648">
        <f t="shared" si="369"/>
        <v>11.59915218434282</v>
      </c>
      <c r="AM88" s="648">
        <f t="shared" si="369"/>
        <v>17.626722990717596</v>
      </c>
      <c r="AN88" s="648">
        <f t="shared" si="369"/>
        <v>23.810662419377625</v>
      </c>
      <c r="AO88" s="648">
        <f t="shared" si="369"/>
        <v>30.154336710807346</v>
      </c>
      <c r="AP88" s="648">
        <f t="shared" si="369"/>
        <v>36.661183641015526</v>
      </c>
      <c r="AQ88" s="648">
        <f t="shared" si="369"/>
        <v>43.33471408739031</v>
      </c>
      <c r="AR88" s="648">
        <f t="shared" si="369"/>
        <v>50.178513629887355</v>
      </c>
      <c r="AS88" s="648">
        <f t="shared" si="369"/>
        <v>57.196244188363288</v>
      </c>
      <c r="AT88" s="648">
        <f t="shared" si="369"/>
        <v>64.391645696886016</v>
      </c>
      <c r="AU88" s="648">
        <f t="shared" si="369"/>
        <v>75.030744080229795</v>
      </c>
      <c r="AV88" s="648">
        <f t="shared" si="369"/>
        <v>85.941723489830991</v>
      </c>
      <c r="AW88" s="648">
        <f t="shared" si="369"/>
        <v>97.13046036130406</v>
      </c>
      <c r="AX88" s="648">
        <f t="shared" si="369"/>
        <v>108.60295700634903</v>
      </c>
      <c r="AY88" s="648">
        <f t="shared" si="369"/>
        <v>120.36534438772991</v>
      </c>
      <c r="AZ88" s="648">
        <f t="shared" si="369"/>
        <v>132.4238849571654</v>
      </c>
      <c r="BA88" s="648">
        <f t="shared" si="369"/>
        <v>144.78497555758184</v>
      </c>
      <c r="BB88" s="648">
        <f t="shared" si="369"/>
        <v>157.45515039121301</v>
      </c>
      <c r="BC88" s="648">
        <f t="shared" si="369"/>
        <v>170.44108405506367</v>
      </c>
      <c r="BD88" s="648">
        <f t="shared" si="369"/>
        <v>183.74959464529164</v>
      </c>
      <c r="BE88" s="648">
        <f t="shared" si="369"/>
        <v>204.83623738236415</v>
      </c>
      <c r="BF88" s="648">
        <f t="shared" si="369"/>
        <v>226.45966672150851</v>
      </c>
      <c r="BG88" s="648">
        <f t="shared" si="369"/>
        <v>248.63159761278536</v>
      </c>
      <c r="BH88" s="648">
        <f t="shared" si="369"/>
        <v>271.36399894071428</v>
      </c>
      <c r="BI88" s="648">
        <f t="shared" si="369"/>
        <v>294.66909917743419</v>
      </c>
      <c r="BJ88" s="648">
        <f t="shared" si="369"/>
        <v>318.55939216486104</v>
      </c>
      <c r="BK88" s="648">
        <f t="shared" si="369"/>
        <v>343.04764302882995</v>
      </c>
      <c r="BL88" s="648">
        <f t="shared" si="369"/>
        <v>368.14689422827456</v>
      </c>
      <c r="BM88" s="648">
        <f t="shared" si="369"/>
        <v>393.87047174256844</v>
      </c>
      <c r="BN88" s="648">
        <f t="shared" si="369"/>
        <v>420.23199140022564</v>
      </c>
      <c r="BO88" s="648"/>
      <c r="BP88" s="648">
        <f t="shared" ref="BP88:CT88" si="370">BP17*$EF88</f>
        <v>0</v>
      </c>
      <c r="BQ88" s="648">
        <f t="shared" si="370"/>
        <v>0</v>
      </c>
      <c r="BR88" s="648">
        <f t="shared" si="370"/>
        <v>0</v>
      </c>
      <c r="BS88" s="648">
        <f t="shared" si="370"/>
        <v>0</v>
      </c>
      <c r="BT88" s="648">
        <f t="shared" si="370"/>
        <v>0</v>
      </c>
      <c r="BU88" s="648">
        <f t="shared" si="370"/>
        <v>0</v>
      </c>
      <c r="BV88" s="648">
        <f t="shared" si="370"/>
        <v>0</v>
      </c>
      <c r="BW88" s="648">
        <f t="shared" si="370"/>
        <v>0</v>
      </c>
      <c r="BX88" s="648">
        <f t="shared" si="370"/>
        <v>0</v>
      </c>
      <c r="BY88" s="648">
        <f t="shared" si="370"/>
        <v>0</v>
      </c>
      <c r="BZ88" s="648">
        <f t="shared" si="370"/>
        <v>0</v>
      </c>
      <c r="CA88" s="648">
        <f t="shared" si="370"/>
        <v>0</v>
      </c>
      <c r="CB88" s="648">
        <f t="shared" si="370"/>
        <v>0</v>
      </c>
      <c r="CC88" s="648">
        <f t="shared" si="370"/>
        <v>0</v>
      </c>
      <c r="CD88" s="648">
        <f t="shared" si="370"/>
        <v>0</v>
      </c>
      <c r="CE88" s="648">
        <f t="shared" si="370"/>
        <v>0</v>
      </c>
      <c r="CF88" s="648">
        <f t="shared" si="370"/>
        <v>0</v>
      </c>
      <c r="CG88" s="648">
        <f t="shared" si="370"/>
        <v>0</v>
      </c>
      <c r="CH88" s="648">
        <f t="shared" si="370"/>
        <v>0</v>
      </c>
      <c r="CI88" s="648">
        <f t="shared" si="370"/>
        <v>0</v>
      </c>
      <c r="CJ88" s="648">
        <f t="shared" si="370"/>
        <v>0</v>
      </c>
      <c r="CK88" s="648">
        <f t="shared" si="370"/>
        <v>0</v>
      </c>
      <c r="CL88" s="648">
        <f t="shared" si="370"/>
        <v>0</v>
      </c>
      <c r="CM88" s="648">
        <f t="shared" si="370"/>
        <v>0</v>
      </c>
      <c r="CN88" s="648">
        <f t="shared" si="370"/>
        <v>0</v>
      </c>
      <c r="CO88" s="648">
        <f t="shared" si="370"/>
        <v>0</v>
      </c>
      <c r="CP88" s="648">
        <f t="shared" si="370"/>
        <v>0</v>
      </c>
      <c r="CQ88" s="648">
        <f t="shared" si="370"/>
        <v>0</v>
      </c>
      <c r="CR88" s="648">
        <f t="shared" si="370"/>
        <v>0</v>
      </c>
      <c r="CS88" s="648">
        <f t="shared" si="370"/>
        <v>0</v>
      </c>
      <c r="CT88" s="648">
        <f t="shared" si="370"/>
        <v>0</v>
      </c>
      <c r="CU88" s="648"/>
      <c r="CV88" s="648">
        <f t="shared" ref="CV88:DZ88" si="371">CV17*$EF88</f>
        <v>0</v>
      </c>
      <c r="CW88" s="648">
        <f t="shared" si="371"/>
        <v>0</v>
      </c>
      <c r="CX88" s="648">
        <f t="shared" si="371"/>
        <v>0</v>
      </c>
      <c r="CY88" s="648">
        <f t="shared" si="371"/>
        <v>0</v>
      </c>
      <c r="CZ88" s="648">
        <f t="shared" si="371"/>
        <v>0</v>
      </c>
      <c r="DA88" s="648">
        <f t="shared" si="371"/>
        <v>0</v>
      </c>
      <c r="DB88" s="648">
        <f t="shared" si="371"/>
        <v>0</v>
      </c>
      <c r="DC88" s="648">
        <f t="shared" si="371"/>
        <v>0</v>
      </c>
      <c r="DD88" s="648">
        <f t="shared" si="371"/>
        <v>0</v>
      </c>
      <c r="DE88" s="648">
        <f t="shared" si="371"/>
        <v>0</v>
      </c>
      <c r="DF88" s="648">
        <f t="shared" si="371"/>
        <v>0</v>
      </c>
      <c r="DG88" s="648">
        <f t="shared" si="371"/>
        <v>0</v>
      </c>
      <c r="DH88" s="648">
        <f t="shared" si="371"/>
        <v>0</v>
      </c>
      <c r="DI88" s="648">
        <f t="shared" si="371"/>
        <v>0</v>
      </c>
      <c r="DJ88" s="648">
        <f t="shared" si="371"/>
        <v>0</v>
      </c>
      <c r="DK88" s="648">
        <f t="shared" si="371"/>
        <v>0</v>
      </c>
      <c r="DL88" s="648">
        <f t="shared" si="371"/>
        <v>0</v>
      </c>
      <c r="DM88" s="648">
        <f t="shared" si="371"/>
        <v>0</v>
      </c>
      <c r="DN88" s="648">
        <f t="shared" si="371"/>
        <v>0</v>
      </c>
      <c r="DO88" s="648">
        <f t="shared" si="371"/>
        <v>0</v>
      </c>
      <c r="DP88" s="648">
        <f t="shared" si="371"/>
        <v>0</v>
      </c>
      <c r="DQ88" s="648">
        <f t="shared" si="371"/>
        <v>0</v>
      </c>
      <c r="DR88" s="648">
        <f t="shared" si="371"/>
        <v>0</v>
      </c>
      <c r="DS88" s="648">
        <f t="shared" si="371"/>
        <v>0</v>
      </c>
      <c r="DT88" s="648">
        <f t="shared" si="371"/>
        <v>0</v>
      </c>
      <c r="DU88" s="648">
        <f t="shared" si="371"/>
        <v>0</v>
      </c>
      <c r="DV88" s="648">
        <f t="shared" si="371"/>
        <v>0</v>
      </c>
      <c r="DW88" s="648">
        <f t="shared" si="371"/>
        <v>0</v>
      </c>
      <c r="DX88" s="648">
        <f t="shared" si="371"/>
        <v>0</v>
      </c>
      <c r="DY88" s="648">
        <f t="shared" si="371"/>
        <v>0</v>
      </c>
      <c r="DZ88" s="648">
        <f t="shared" si="371"/>
        <v>0</v>
      </c>
      <c r="EF88" s="610">
        <v>100</v>
      </c>
      <c r="EG88" s="51"/>
      <c r="EH88" s="51"/>
      <c r="EI88" s="51"/>
      <c r="EJ88" s="51"/>
      <c r="EM88" t="s">
        <v>99</v>
      </c>
    </row>
    <row r="89" spans="1:143" x14ac:dyDescent="0.2">
      <c r="A89" s="1"/>
      <c r="B89" t="str">
        <f t="shared" si="331"/>
        <v>Apparel - substitution</v>
      </c>
      <c r="C89" s="54" t="s">
        <v>114</v>
      </c>
      <c r="D89" s="648">
        <f t="shared" ref="D89:AH89" si="372">D18*$EF89</f>
        <v>0</v>
      </c>
      <c r="E89" s="648">
        <f t="shared" si="372"/>
        <v>11.112563188896925</v>
      </c>
      <c r="F89" s="648">
        <f t="shared" si="372"/>
        <v>22.516001299018416</v>
      </c>
      <c r="G89" s="648">
        <f t="shared" si="372"/>
        <v>34.216579923157688</v>
      </c>
      <c r="H89" s="648">
        <f t="shared" si="372"/>
        <v>46.220697637615388</v>
      </c>
      <c r="I89" s="648">
        <f t="shared" si="372"/>
        <v>58.534888909214253</v>
      </c>
      <c r="J89" s="648">
        <f t="shared" si="372"/>
        <v>71.165827067853684</v>
      </c>
      <c r="K89" s="648">
        <f t="shared" si="372"/>
        <v>84.120327346110599</v>
      </c>
      <c r="L89" s="648">
        <f t="shared" si="372"/>
        <v>97.40534998742838</v>
      </c>
      <c r="M89" s="648">
        <f t="shared" si="372"/>
        <v>111.0280034244699</v>
      </c>
      <c r="N89" s="648">
        <f t="shared" si="372"/>
        <v>124.99554752924931</v>
      </c>
      <c r="O89" s="648">
        <f t="shared" si="372"/>
        <v>139.31539693669265</v>
      </c>
      <c r="P89" s="648">
        <f t="shared" si="372"/>
        <v>153.99512444331705</v>
      </c>
      <c r="Q89" s="648">
        <f t="shared" si="372"/>
        <v>169.04246448275634</v>
      </c>
      <c r="R89" s="648">
        <f t="shared" si="372"/>
        <v>184.46531667990166</v>
      </c>
      <c r="S89" s="648">
        <f t="shared" si="372"/>
        <v>200.27174948546659</v>
      </c>
      <c r="T89" s="648">
        <f t="shared" si="372"/>
        <v>216.47000389282761</v>
      </c>
      <c r="U89" s="648">
        <f t="shared" si="372"/>
        <v>233.06849723903417</v>
      </c>
      <c r="V89" s="648">
        <f t="shared" si="372"/>
        <v>250.0758270919265</v>
      </c>
      <c r="W89" s="648">
        <f t="shared" si="372"/>
        <v>267.500775225344</v>
      </c>
      <c r="X89" s="648">
        <f t="shared" si="372"/>
        <v>285.3523116844529</v>
      </c>
      <c r="Y89" s="648">
        <f t="shared" si="372"/>
        <v>304.07775132269666</v>
      </c>
      <c r="Z89" s="648">
        <f t="shared" si="372"/>
        <v>323.26007328089844</v>
      </c>
      <c r="AA89" s="648">
        <f t="shared" si="372"/>
        <v>342.90909933202249</v>
      </c>
      <c r="AB89" s="648">
        <f t="shared" si="372"/>
        <v>363.03486244841781</v>
      </c>
      <c r="AC89" s="648">
        <f t="shared" si="372"/>
        <v>383.64761147807121</v>
      </c>
      <c r="AD89" s="648">
        <f t="shared" si="372"/>
        <v>404.75781592711763</v>
      </c>
      <c r="AE89" s="648">
        <f t="shared" si="372"/>
        <v>426.37617085105785</v>
      </c>
      <c r="AF89" s="648">
        <f t="shared" si="372"/>
        <v>448.51360185719199</v>
      </c>
      <c r="AG89" s="648">
        <f t="shared" si="372"/>
        <v>471.1812702208311</v>
      </c>
      <c r="AH89" s="648">
        <f t="shared" si="372"/>
        <v>494.39057811791241</v>
      </c>
      <c r="AI89" s="648"/>
      <c r="AJ89" s="648">
        <f t="shared" ref="AJ89:BN89" si="373">AJ18*$EF89</f>
        <v>0</v>
      </c>
      <c r="AK89" s="648">
        <f t="shared" si="373"/>
        <v>5.5562815944484623</v>
      </c>
      <c r="AL89" s="648">
        <f t="shared" si="373"/>
        <v>11.258000649509208</v>
      </c>
      <c r="AM89" s="648">
        <f t="shared" si="373"/>
        <v>17.108289961578844</v>
      </c>
      <c r="AN89" s="648">
        <f t="shared" si="373"/>
        <v>23.110348818807694</v>
      </c>
      <c r="AO89" s="648">
        <f t="shared" si="373"/>
        <v>29.267444454607126</v>
      </c>
      <c r="AP89" s="648">
        <f t="shared" si="373"/>
        <v>35.582913533926842</v>
      </c>
      <c r="AQ89" s="648">
        <f t="shared" si="373"/>
        <v>42.0601636730553</v>
      </c>
      <c r="AR89" s="648">
        <f t="shared" si="373"/>
        <v>48.70267499371419</v>
      </c>
      <c r="AS89" s="648">
        <f t="shared" si="373"/>
        <v>55.514001712234951</v>
      </c>
      <c r="AT89" s="648">
        <f t="shared" si="373"/>
        <v>62.497773764624654</v>
      </c>
      <c r="AU89" s="648">
        <f t="shared" si="373"/>
        <v>69.657698468346325</v>
      </c>
      <c r="AV89" s="648">
        <f t="shared" si="373"/>
        <v>76.997562221658526</v>
      </c>
      <c r="AW89" s="648">
        <f t="shared" si="373"/>
        <v>84.521232241378172</v>
      </c>
      <c r="AX89" s="648">
        <f t="shared" si="373"/>
        <v>92.232658339950831</v>
      </c>
      <c r="AY89" s="648">
        <f t="shared" si="373"/>
        <v>100.13587474273329</v>
      </c>
      <c r="AZ89" s="648">
        <f t="shared" si="373"/>
        <v>108.2350019464138</v>
      </c>
      <c r="BA89" s="648">
        <f t="shared" si="373"/>
        <v>116.53424861951709</v>
      </c>
      <c r="BB89" s="648">
        <f t="shared" si="373"/>
        <v>125.03791354596325</v>
      </c>
      <c r="BC89" s="648">
        <f t="shared" si="373"/>
        <v>133.750387612672</v>
      </c>
      <c r="BD89" s="648">
        <f t="shared" si="373"/>
        <v>142.67615584222645</v>
      </c>
      <c r="BE89" s="648">
        <f t="shared" si="373"/>
        <v>152.03887566134833</v>
      </c>
      <c r="BF89" s="648">
        <f t="shared" si="373"/>
        <v>161.63003664044922</v>
      </c>
      <c r="BG89" s="648">
        <f t="shared" si="373"/>
        <v>171.45454966601125</v>
      </c>
      <c r="BH89" s="648">
        <f t="shared" si="373"/>
        <v>181.51743122420891</v>
      </c>
      <c r="BI89" s="648">
        <f t="shared" si="373"/>
        <v>191.82380573903561</v>
      </c>
      <c r="BJ89" s="648">
        <f t="shared" si="373"/>
        <v>202.37890796355882</v>
      </c>
      <c r="BK89" s="648">
        <f t="shared" si="373"/>
        <v>213.18808542552893</v>
      </c>
      <c r="BL89" s="648">
        <f t="shared" si="373"/>
        <v>224.25680092859599</v>
      </c>
      <c r="BM89" s="648">
        <f t="shared" si="373"/>
        <v>235.59063511041555</v>
      </c>
      <c r="BN89" s="648">
        <f t="shared" si="373"/>
        <v>247.19528905895621</v>
      </c>
      <c r="BO89" s="648"/>
      <c r="BP89" s="648">
        <f t="shared" ref="BP89:CT89" si="374">BP18*$EF89</f>
        <v>0</v>
      </c>
      <c r="BQ89" s="648">
        <f t="shared" si="374"/>
        <v>0</v>
      </c>
      <c r="BR89" s="648">
        <f t="shared" si="374"/>
        <v>0</v>
      </c>
      <c r="BS89" s="648">
        <f t="shared" si="374"/>
        <v>0</v>
      </c>
      <c r="BT89" s="648">
        <f t="shared" si="374"/>
        <v>0</v>
      </c>
      <c r="BU89" s="648">
        <f t="shared" si="374"/>
        <v>0</v>
      </c>
      <c r="BV89" s="648">
        <f t="shared" si="374"/>
        <v>0</v>
      </c>
      <c r="BW89" s="648">
        <f t="shared" si="374"/>
        <v>0</v>
      </c>
      <c r="BX89" s="648">
        <f t="shared" si="374"/>
        <v>0</v>
      </c>
      <c r="BY89" s="648">
        <f t="shared" si="374"/>
        <v>0</v>
      </c>
      <c r="BZ89" s="648">
        <f t="shared" si="374"/>
        <v>0</v>
      </c>
      <c r="CA89" s="648">
        <f t="shared" si="374"/>
        <v>0</v>
      </c>
      <c r="CB89" s="648">
        <f t="shared" si="374"/>
        <v>0</v>
      </c>
      <c r="CC89" s="648">
        <f t="shared" si="374"/>
        <v>0</v>
      </c>
      <c r="CD89" s="648">
        <f t="shared" si="374"/>
        <v>0</v>
      </c>
      <c r="CE89" s="648">
        <f t="shared" si="374"/>
        <v>0</v>
      </c>
      <c r="CF89" s="648">
        <f t="shared" si="374"/>
        <v>0</v>
      </c>
      <c r="CG89" s="648">
        <f t="shared" si="374"/>
        <v>0</v>
      </c>
      <c r="CH89" s="648">
        <f t="shared" si="374"/>
        <v>0</v>
      </c>
      <c r="CI89" s="648">
        <f t="shared" si="374"/>
        <v>0</v>
      </c>
      <c r="CJ89" s="648">
        <f t="shared" si="374"/>
        <v>0</v>
      </c>
      <c r="CK89" s="648">
        <f t="shared" si="374"/>
        <v>0</v>
      </c>
      <c r="CL89" s="648">
        <f t="shared" si="374"/>
        <v>0</v>
      </c>
      <c r="CM89" s="648">
        <f t="shared" si="374"/>
        <v>0</v>
      </c>
      <c r="CN89" s="648">
        <f t="shared" si="374"/>
        <v>0</v>
      </c>
      <c r="CO89" s="648">
        <f t="shared" si="374"/>
        <v>0</v>
      </c>
      <c r="CP89" s="648">
        <f t="shared" si="374"/>
        <v>0</v>
      </c>
      <c r="CQ89" s="648">
        <f t="shared" si="374"/>
        <v>0</v>
      </c>
      <c r="CR89" s="648">
        <f t="shared" si="374"/>
        <v>0</v>
      </c>
      <c r="CS89" s="648">
        <f t="shared" si="374"/>
        <v>0</v>
      </c>
      <c r="CT89" s="648">
        <f t="shared" si="374"/>
        <v>0</v>
      </c>
      <c r="CU89" s="648"/>
      <c r="CV89" s="648">
        <f t="shared" ref="CV89:DZ89" si="375">CV18*$EF89</f>
        <v>0</v>
      </c>
      <c r="CW89" s="648">
        <f t="shared" si="375"/>
        <v>0</v>
      </c>
      <c r="CX89" s="648">
        <f t="shared" si="375"/>
        <v>0</v>
      </c>
      <c r="CY89" s="648">
        <f t="shared" si="375"/>
        <v>0</v>
      </c>
      <c r="CZ89" s="648">
        <f t="shared" si="375"/>
        <v>0</v>
      </c>
      <c r="DA89" s="648">
        <f t="shared" si="375"/>
        <v>0</v>
      </c>
      <c r="DB89" s="648">
        <f t="shared" si="375"/>
        <v>0</v>
      </c>
      <c r="DC89" s="648">
        <f t="shared" si="375"/>
        <v>0</v>
      </c>
      <c r="DD89" s="648">
        <f t="shared" si="375"/>
        <v>0</v>
      </c>
      <c r="DE89" s="648">
        <f t="shared" si="375"/>
        <v>0</v>
      </c>
      <c r="DF89" s="648">
        <f t="shared" si="375"/>
        <v>0</v>
      </c>
      <c r="DG89" s="648">
        <f t="shared" si="375"/>
        <v>0</v>
      </c>
      <c r="DH89" s="648">
        <f t="shared" si="375"/>
        <v>0</v>
      </c>
      <c r="DI89" s="648">
        <f t="shared" si="375"/>
        <v>0</v>
      </c>
      <c r="DJ89" s="648">
        <f t="shared" si="375"/>
        <v>0</v>
      </c>
      <c r="DK89" s="648">
        <f t="shared" si="375"/>
        <v>0</v>
      </c>
      <c r="DL89" s="648">
        <f t="shared" si="375"/>
        <v>0</v>
      </c>
      <c r="DM89" s="648">
        <f t="shared" si="375"/>
        <v>0</v>
      </c>
      <c r="DN89" s="648">
        <f t="shared" si="375"/>
        <v>0</v>
      </c>
      <c r="DO89" s="648">
        <f t="shared" si="375"/>
        <v>0</v>
      </c>
      <c r="DP89" s="648">
        <f t="shared" si="375"/>
        <v>0</v>
      </c>
      <c r="DQ89" s="648">
        <f t="shared" si="375"/>
        <v>0</v>
      </c>
      <c r="DR89" s="648">
        <f t="shared" si="375"/>
        <v>0</v>
      </c>
      <c r="DS89" s="648">
        <f t="shared" si="375"/>
        <v>0</v>
      </c>
      <c r="DT89" s="648">
        <f t="shared" si="375"/>
        <v>0</v>
      </c>
      <c r="DU89" s="648">
        <f t="shared" si="375"/>
        <v>0</v>
      </c>
      <c r="DV89" s="648">
        <f t="shared" si="375"/>
        <v>0</v>
      </c>
      <c r="DW89" s="648">
        <f t="shared" si="375"/>
        <v>0</v>
      </c>
      <c r="DX89" s="648">
        <f t="shared" si="375"/>
        <v>0</v>
      </c>
      <c r="DY89" s="648">
        <f t="shared" si="375"/>
        <v>0</v>
      </c>
      <c r="DZ89" s="648">
        <f t="shared" si="375"/>
        <v>0</v>
      </c>
      <c r="EF89" s="610">
        <v>100</v>
      </c>
      <c r="EG89" s="51"/>
      <c r="EH89" s="51"/>
      <c r="EI89" s="51"/>
      <c r="EJ89" s="51"/>
      <c r="EM89" t="s">
        <v>99</v>
      </c>
    </row>
    <row r="90" spans="1:143" x14ac:dyDescent="0.2">
      <c r="A90" s="1"/>
      <c r="B90" t="str">
        <f t="shared" si="331"/>
        <v>Others Reduction</v>
      </c>
      <c r="C90" s="54" t="s">
        <v>114</v>
      </c>
      <c r="D90" s="648">
        <f t="shared" ref="D90:AH90" si="376">D19*$EF90</f>
        <v>0</v>
      </c>
      <c r="E90" s="648">
        <f t="shared" si="376"/>
        <v>0</v>
      </c>
      <c r="F90" s="648">
        <f t="shared" si="376"/>
        <v>0</v>
      </c>
      <c r="G90" s="648">
        <f t="shared" si="376"/>
        <v>0</v>
      </c>
      <c r="H90" s="648">
        <f t="shared" si="376"/>
        <v>0</v>
      </c>
      <c r="I90" s="648">
        <f t="shared" si="376"/>
        <v>0</v>
      </c>
      <c r="J90" s="648">
        <f t="shared" si="376"/>
        <v>0</v>
      </c>
      <c r="K90" s="648">
        <f t="shared" si="376"/>
        <v>0</v>
      </c>
      <c r="L90" s="648">
        <f t="shared" si="376"/>
        <v>0</v>
      </c>
      <c r="M90" s="648">
        <f t="shared" si="376"/>
        <v>0</v>
      </c>
      <c r="N90" s="648">
        <f t="shared" si="376"/>
        <v>0</v>
      </c>
      <c r="O90" s="648">
        <f t="shared" si="376"/>
        <v>0</v>
      </c>
      <c r="P90" s="648">
        <f t="shared" si="376"/>
        <v>0</v>
      </c>
      <c r="Q90" s="648">
        <f t="shared" si="376"/>
        <v>0</v>
      </c>
      <c r="R90" s="648">
        <f t="shared" si="376"/>
        <v>0</v>
      </c>
      <c r="S90" s="648">
        <f t="shared" si="376"/>
        <v>0</v>
      </c>
      <c r="T90" s="648">
        <f t="shared" si="376"/>
        <v>0</v>
      </c>
      <c r="U90" s="648">
        <f t="shared" si="376"/>
        <v>0</v>
      </c>
      <c r="V90" s="648">
        <f t="shared" si="376"/>
        <v>0</v>
      </c>
      <c r="W90" s="648">
        <f t="shared" si="376"/>
        <v>0</v>
      </c>
      <c r="X90" s="648">
        <f t="shared" si="376"/>
        <v>0</v>
      </c>
      <c r="Y90" s="648">
        <f t="shared" si="376"/>
        <v>0</v>
      </c>
      <c r="Z90" s="648">
        <f t="shared" si="376"/>
        <v>0</v>
      </c>
      <c r="AA90" s="648">
        <f t="shared" si="376"/>
        <v>0</v>
      </c>
      <c r="AB90" s="648">
        <f t="shared" si="376"/>
        <v>0</v>
      </c>
      <c r="AC90" s="648">
        <f t="shared" si="376"/>
        <v>0</v>
      </c>
      <c r="AD90" s="648">
        <f t="shared" si="376"/>
        <v>0</v>
      </c>
      <c r="AE90" s="648">
        <f t="shared" si="376"/>
        <v>0</v>
      </c>
      <c r="AF90" s="648">
        <f t="shared" si="376"/>
        <v>0</v>
      </c>
      <c r="AG90" s="648">
        <f t="shared" si="376"/>
        <v>0</v>
      </c>
      <c r="AH90" s="648">
        <f t="shared" si="376"/>
        <v>0</v>
      </c>
      <c r="AI90" s="648"/>
      <c r="AJ90" s="648">
        <f t="shared" ref="AJ90:BN90" si="377">AJ19*$EF90</f>
        <v>0</v>
      </c>
      <c r="AK90" s="648">
        <f t="shared" si="377"/>
        <v>0</v>
      </c>
      <c r="AL90" s="648">
        <f t="shared" si="377"/>
        <v>0</v>
      </c>
      <c r="AM90" s="648">
        <f t="shared" si="377"/>
        <v>0</v>
      </c>
      <c r="AN90" s="648">
        <f t="shared" si="377"/>
        <v>0</v>
      </c>
      <c r="AO90" s="648">
        <f t="shared" si="377"/>
        <v>0</v>
      </c>
      <c r="AP90" s="648">
        <f t="shared" si="377"/>
        <v>0</v>
      </c>
      <c r="AQ90" s="648">
        <f t="shared" si="377"/>
        <v>0</v>
      </c>
      <c r="AR90" s="648">
        <f t="shared" si="377"/>
        <v>0</v>
      </c>
      <c r="AS90" s="648">
        <f t="shared" si="377"/>
        <v>0</v>
      </c>
      <c r="AT90" s="648">
        <f t="shared" si="377"/>
        <v>0</v>
      </c>
      <c r="AU90" s="648">
        <f t="shared" si="377"/>
        <v>0</v>
      </c>
      <c r="AV90" s="648">
        <f t="shared" si="377"/>
        <v>0</v>
      </c>
      <c r="AW90" s="648">
        <f t="shared" si="377"/>
        <v>0</v>
      </c>
      <c r="AX90" s="648">
        <f t="shared" si="377"/>
        <v>0</v>
      </c>
      <c r="AY90" s="648">
        <f t="shared" si="377"/>
        <v>0</v>
      </c>
      <c r="AZ90" s="648">
        <f t="shared" si="377"/>
        <v>0</v>
      </c>
      <c r="BA90" s="648">
        <f t="shared" si="377"/>
        <v>0</v>
      </c>
      <c r="BB90" s="648">
        <f t="shared" si="377"/>
        <v>0</v>
      </c>
      <c r="BC90" s="648">
        <f t="shared" si="377"/>
        <v>0</v>
      </c>
      <c r="BD90" s="648">
        <f t="shared" si="377"/>
        <v>0</v>
      </c>
      <c r="BE90" s="648">
        <f t="shared" si="377"/>
        <v>0</v>
      </c>
      <c r="BF90" s="648">
        <f t="shared" si="377"/>
        <v>0</v>
      </c>
      <c r="BG90" s="648">
        <f t="shared" si="377"/>
        <v>0</v>
      </c>
      <c r="BH90" s="648">
        <f t="shared" si="377"/>
        <v>0</v>
      </c>
      <c r="BI90" s="648">
        <f t="shared" si="377"/>
        <v>0</v>
      </c>
      <c r="BJ90" s="648">
        <f t="shared" si="377"/>
        <v>0</v>
      </c>
      <c r="BK90" s="648">
        <f t="shared" si="377"/>
        <v>0</v>
      </c>
      <c r="BL90" s="648">
        <f t="shared" si="377"/>
        <v>0</v>
      </c>
      <c r="BM90" s="648">
        <f t="shared" si="377"/>
        <v>0</v>
      </c>
      <c r="BN90" s="648">
        <f t="shared" si="377"/>
        <v>0</v>
      </c>
      <c r="BO90" s="648"/>
      <c r="BP90" s="648">
        <f t="shared" ref="BP90:CT90" si="378">BP19*$EF90</f>
        <v>0</v>
      </c>
      <c r="BQ90" s="648">
        <f t="shared" si="378"/>
        <v>0</v>
      </c>
      <c r="BR90" s="648">
        <f t="shared" si="378"/>
        <v>0</v>
      </c>
      <c r="BS90" s="648">
        <f t="shared" si="378"/>
        <v>0</v>
      </c>
      <c r="BT90" s="648">
        <f t="shared" si="378"/>
        <v>0</v>
      </c>
      <c r="BU90" s="648">
        <f t="shared" si="378"/>
        <v>0</v>
      </c>
      <c r="BV90" s="648">
        <f t="shared" si="378"/>
        <v>0</v>
      </c>
      <c r="BW90" s="648">
        <f t="shared" si="378"/>
        <v>0</v>
      </c>
      <c r="BX90" s="648">
        <f t="shared" si="378"/>
        <v>0</v>
      </c>
      <c r="BY90" s="648">
        <f t="shared" si="378"/>
        <v>0</v>
      </c>
      <c r="BZ90" s="648">
        <f t="shared" si="378"/>
        <v>0</v>
      </c>
      <c r="CA90" s="648">
        <f t="shared" si="378"/>
        <v>0</v>
      </c>
      <c r="CB90" s="648">
        <f t="shared" si="378"/>
        <v>0</v>
      </c>
      <c r="CC90" s="648">
        <f t="shared" si="378"/>
        <v>0</v>
      </c>
      <c r="CD90" s="648">
        <f t="shared" si="378"/>
        <v>0</v>
      </c>
      <c r="CE90" s="648">
        <f t="shared" si="378"/>
        <v>0</v>
      </c>
      <c r="CF90" s="648">
        <f t="shared" si="378"/>
        <v>0</v>
      </c>
      <c r="CG90" s="648">
        <f t="shared" si="378"/>
        <v>0</v>
      </c>
      <c r="CH90" s="648">
        <f t="shared" si="378"/>
        <v>0</v>
      </c>
      <c r="CI90" s="648">
        <f t="shared" si="378"/>
        <v>0</v>
      </c>
      <c r="CJ90" s="648">
        <f t="shared" si="378"/>
        <v>0</v>
      </c>
      <c r="CK90" s="648">
        <f t="shared" si="378"/>
        <v>0</v>
      </c>
      <c r="CL90" s="648">
        <f t="shared" si="378"/>
        <v>0</v>
      </c>
      <c r="CM90" s="648">
        <f t="shared" si="378"/>
        <v>0</v>
      </c>
      <c r="CN90" s="648">
        <f t="shared" si="378"/>
        <v>0</v>
      </c>
      <c r="CO90" s="648">
        <f t="shared" si="378"/>
        <v>0</v>
      </c>
      <c r="CP90" s="648">
        <f t="shared" si="378"/>
        <v>0</v>
      </c>
      <c r="CQ90" s="648">
        <f t="shared" si="378"/>
        <v>0</v>
      </c>
      <c r="CR90" s="648">
        <f t="shared" si="378"/>
        <v>0</v>
      </c>
      <c r="CS90" s="648">
        <f t="shared" si="378"/>
        <v>0</v>
      </c>
      <c r="CT90" s="648">
        <f t="shared" si="378"/>
        <v>0</v>
      </c>
      <c r="CU90" s="648"/>
      <c r="CV90" s="648">
        <f t="shared" ref="CV90:DZ90" si="379">CV19*$EF90</f>
        <v>0</v>
      </c>
      <c r="CW90" s="648">
        <f t="shared" si="379"/>
        <v>0</v>
      </c>
      <c r="CX90" s="648">
        <f t="shared" si="379"/>
        <v>0</v>
      </c>
      <c r="CY90" s="648">
        <f t="shared" si="379"/>
        <v>0</v>
      </c>
      <c r="CZ90" s="648">
        <f t="shared" si="379"/>
        <v>0</v>
      </c>
      <c r="DA90" s="648">
        <f t="shared" si="379"/>
        <v>0</v>
      </c>
      <c r="DB90" s="648">
        <f t="shared" si="379"/>
        <v>0</v>
      </c>
      <c r="DC90" s="648">
        <f t="shared" si="379"/>
        <v>0</v>
      </c>
      <c r="DD90" s="648">
        <f t="shared" si="379"/>
        <v>0</v>
      </c>
      <c r="DE90" s="648">
        <f t="shared" si="379"/>
        <v>0</v>
      </c>
      <c r="DF90" s="648">
        <f t="shared" si="379"/>
        <v>0</v>
      </c>
      <c r="DG90" s="648">
        <f t="shared" si="379"/>
        <v>0</v>
      </c>
      <c r="DH90" s="648">
        <f t="shared" si="379"/>
        <v>0</v>
      </c>
      <c r="DI90" s="648">
        <f t="shared" si="379"/>
        <v>0</v>
      </c>
      <c r="DJ90" s="648">
        <f t="shared" si="379"/>
        <v>0</v>
      </c>
      <c r="DK90" s="648">
        <f t="shared" si="379"/>
        <v>0</v>
      </c>
      <c r="DL90" s="648">
        <f t="shared" si="379"/>
        <v>0</v>
      </c>
      <c r="DM90" s="648">
        <f t="shared" si="379"/>
        <v>0</v>
      </c>
      <c r="DN90" s="648">
        <f t="shared" si="379"/>
        <v>0</v>
      </c>
      <c r="DO90" s="648">
        <f t="shared" si="379"/>
        <v>0</v>
      </c>
      <c r="DP90" s="648">
        <f t="shared" si="379"/>
        <v>0</v>
      </c>
      <c r="DQ90" s="648">
        <f t="shared" si="379"/>
        <v>0</v>
      </c>
      <c r="DR90" s="648">
        <f t="shared" si="379"/>
        <v>0</v>
      </c>
      <c r="DS90" s="648">
        <f t="shared" si="379"/>
        <v>0</v>
      </c>
      <c r="DT90" s="648">
        <f t="shared" si="379"/>
        <v>0</v>
      </c>
      <c r="DU90" s="648">
        <f t="shared" si="379"/>
        <v>0</v>
      </c>
      <c r="DV90" s="648">
        <f t="shared" si="379"/>
        <v>0</v>
      </c>
      <c r="DW90" s="648">
        <f t="shared" si="379"/>
        <v>0</v>
      </c>
      <c r="DX90" s="648">
        <f t="shared" si="379"/>
        <v>0</v>
      </c>
      <c r="DY90" s="648">
        <f t="shared" si="379"/>
        <v>0</v>
      </c>
      <c r="DZ90" s="648">
        <f t="shared" si="379"/>
        <v>0</v>
      </c>
      <c r="EF90" s="51">
        <v>0</v>
      </c>
      <c r="EG90" s="51"/>
      <c r="EH90" s="51"/>
      <c r="EI90" s="51"/>
      <c r="EJ90" s="51"/>
      <c r="EM90" t="s">
        <v>99</v>
      </c>
    </row>
    <row r="91" spans="1:143" x14ac:dyDescent="0.2">
      <c r="A91" s="1"/>
      <c r="B91" t="str">
        <f t="shared" si="331"/>
        <v>Others Substitution</v>
      </c>
      <c r="C91" s="54" t="s">
        <v>114</v>
      </c>
      <c r="D91" s="648">
        <f t="shared" ref="D91:AH91" si="380">D20*$EF91</f>
        <v>0</v>
      </c>
      <c r="E91" s="648">
        <f t="shared" si="380"/>
        <v>22.146697211992777</v>
      </c>
      <c r="F91" s="648">
        <f t="shared" si="380"/>
        <v>47.21214478118295</v>
      </c>
      <c r="G91" s="648">
        <f t="shared" si="380"/>
        <v>75.268721860816783</v>
      </c>
      <c r="H91" s="648">
        <f t="shared" si="380"/>
        <v>106.39149567290609</v>
      </c>
      <c r="I91" s="648">
        <f t="shared" si="380"/>
        <v>140.65830910021305</v>
      </c>
      <c r="J91" s="648">
        <f t="shared" si="380"/>
        <v>176.3523970709218</v>
      </c>
      <c r="K91" s="648">
        <f t="shared" si="380"/>
        <v>214.66737591480185</v>
      </c>
      <c r="L91" s="648">
        <f t="shared" si="380"/>
        <v>255.64886120919309</v>
      </c>
      <c r="M91" s="648">
        <f t="shared" si="380"/>
        <v>299.34389942047767</v>
      </c>
      <c r="N91" s="648">
        <f t="shared" si="380"/>
        <v>345.80100809234096</v>
      </c>
      <c r="O91" s="648">
        <f t="shared" si="380"/>
        <v>382.44783996128473</v>
      </c>
      <c r="P91" s="648">
        <f t="shared" si="380"/>
        <v>419.40624974576667</v>
      </c>
      <c r="Q91" s="648">
        <f t="shared" si="380"/>
        <v>456.65848400777992</v>
      </c>
      <c r="R91" s="648">
        <f t="shared" si="380"/>
        <v>494.18622582608316</v>
      </c>
      <c r="S91" s="648">
        <f t="shared" si="380"/>
        <v>531.97058014244203</v>
      </c>
      <c r="T91" s="648">
        <f t="shared" si="380"/>
        <v>568.21518244331855</v>
      </c>
      <c r="U91" s="648">
        <f t="shared" si="380"/>
        <v>604.41984000268292</v>
      </c>
      <c r="V91" s="648">
        <f t="shared" si="380"/>
        <v>640.55689592879867</v>
      </c>
      <c r="W91" s="648">
        <f t="shared" si="380"/>
        <v>676.59786203203021</v>
      </c>
      <c r="X91" s="648">
        <f t="shared" si="380"/>
        <v>712.51339754594176</v>
      </c>
      <c r="Y91" s="648">
        <f t="shared" si="380"/>
        <v>744.30451721488089</v>
      </c>
      <c r="Z91" s="648">
        <f t="shared" si="380"/>
        <v>775.3580588992437</v>
      </c>
      <c r="AA91" s="648">
        <f t="shared" si="380"/>
        <v>805.63260715946615</v>
      </c>
      <c r="AB91" s="648">
        <f t="shared" si="380"/>
        <v>835.08564527245039</v>
      </c>
      <c r="AC91" s="648">
        <f t="shared" si="380"/>
        <v>863.67352874347603</v>
      </c>
      <c r="AD91" s="648">
        <f t="shared" si="380"/>
        <v>889.59926766866693</v>
      </c>
      <c r="AE91" s="648">
        <f t="shared" si="380"/>
        <v>914.40790712234468</v>
      </c>
      <c r="AF91" s="648">
        <f t="shared" si="380"/>
        <v>938.04931517207456</v>
      </c>
      <c r="AG91" s="648">
        <f t="shared" si="380"/>
        <v>960.47207268843988</v>
      </c>
      <c r="AH91" s="648">
        <f t="shared" si="380"/>
        <v>981.62344290803742</v>
      </c>
      <c r="AI91" s="648"/>
      <c r="AJ91" s="648">
        <f t="shared" ref="AJ91:BN91" si="381">AJ20*$EF91</f>
        <v>0</v>
      </c>
      <c r="AK91" s="648">
        <f t="shared" si="381"/>
        <v>11.073348605996388</v>
      </c>
      <c r="AL91" s="648">
        <f t="shared" si="381"/>
        <v>23.606072390591475</v>
      </c>
      <c r="AM91" s="648">
        <f t="shared" si="381"/>
        <v>37.634360930408391</v>
      </c>
      <c r="AN91" s="648">
        <f t="shared" si="381"/>
        <v>53.195747836453044</v>
      </c>
      <c r="AO91" s="648">
        <f t="shared" si="381"/>
        <v>70.329154550106523</v>
      </c>
      <c r="AP91" s="648">
        <f t="shared" si="381"/>
        <v>88.176198535460898</v>
      </c>
      <c r="AQ91" s="648">
        <f t="shared" si="381"/>
        <v>107.33368795740093</v>
      </c>
      <c r="AR91" s="648">
        <f t="shared" si="381"/>
        <v>127.82443060459654</v>
      </c>
      <c r="AS91" s="648">
        <f t="shared" si="381"/>
        <v>149.67194971023883</v>
      </c>
      <c r="AT91" s="648">
        <f t="shared" si="381"/>
        <v>172.90050404617048</v>
      </c>
      <c r="AU91" s="648">
        <f t="shared" si="381"/>
        <v>191.22391998064236</v>
      </c>
      <c r="AV91" s="648">
        <f t="shared" si="381"/>
        <v>209.70312487288334</v>
      </c>
      <c r="AW91" s="648">
        <f t="shared" si="381"/>
        <v>228.32924200388996</v>
      </c>
      <c r="AX91" s="648">
        <f t="shared" si="381"/>
        <v>247.09311291304158</v>
      </c>
      <c r="AY91" s="648">
        <f t="shared" si="381"/>
        <v>265.98529007122102</v>
      </c>
      <c r="AZ91" s="648">
        <f t="shared" si="381"/>
        <v>284.10759122165928</v>
      </c>
      <c r="BA91" s="648">
        <f t="shared" si="381"/>
        <v>302.20992000134146</v>
      </c>
      <c r="BB91" s="648">
        <f t="shared" si="381"/>
        <v>320.27844796439933</v>
      </c>
      <c r="BC91" s="648">
        <f t="shared" si="381"/>
        <v>338.2989310160151</v>
      </c>
      <c r="BD91" s="648">
        <f t="shared" si="381"/>
        <v>356.25669877297088</v>
      </c>
      <c r="BE91" s="648">
        <f t="shared" si="381"/>
        <v>372.15225860744044</v>
      </c>
      <c r="BF91" s="648">
        <f t="shared" si="381"/>
        <v>387.67902944962185</v>
      </c>
      <c r="BG91" s="648">
        <f t="shared" si="381"/>
        <v>402.81630357973307</v>
      </c>
      <c r="BH91" s="648">
        <f t="shared" si="381"/>
        <v>417.5428226362252</v>
      </c>
      <c r="BI91" s="648">
        <f t="shared" si="381"/>
        <v>431.83676437173801</v>
      </c>
      <c r="BJ91" s="648">
        <f t="shared" si="381"/>
        <v>444.79963383433346</v>
      </c>
      <c r="BK91" s="648">
        <f t="shared" si="381"/>
        <v>457.20395356117234</v>
      </c>
      <c r="BL91" s="648">
        <f t="shared" si="381"/>
        <v>469.02465758603728</v>
      </c>
      <c r="BM91" s="648">
        <f t="shared" si="381"/>
        <v>480.23603634421994</v>
      </c>
      <c r="BN91" s="648">
        <f t="shared" si="381"/>
        <v>490.81172145401871</v>
      </c>
      <c r="BO91" s="648"/>
      <c r="BP91" s="648">
        <f t="shared" ref="BP91:CT91" si="382">BP20*$EF91</f>
        <v>0</v>
      </c>
      <c r="BQ91" s="648">
        <f t="shared" si="382"/>
        <v>0</v>
      </c>
      <c r="BR91" s="648">
        <f t="shared" si="382"/>
        <v>0</v>
      </c>
      <c r="BS91" s="648">
        <f t="shared" si="382"/>
        <v>0</v>
      </c>
      <c r="BT91" s="648">
        <f t="shared" si="382"/>
        <v>0</v>
      </c>
      <c r="BU91" s="648">
        <f t="shared" si="382"/>
        <v>0</v>
      </c>
      <c r="BV91" s="648">
        <f t="shared" si="382"/>
        <v>0</v>
      </c>
      <c r="BW91" s="648">
        <f t="shared" si="382"/>
        <v>0</v>
      </c>
      <c r="BX91" s="648">
        <f t="shared" si="382"/>
        <v>0</v>
      </c>
      <c r="BY91" s="648">
        <f t="shared" si="382"/>
        <v>0</v>
      </c>
      <c r="BZ91" s="648">
        <f t="shared" si="382"/>
        <v>0</v>
      </c>
      <c r="CA91" s="648">
        <f t="shared" si="382"/>
        <v>0</v>
      </c>
      <c r="CB91" s="648">
        <f t="shared" si="382"/>
        <v>0</v>
      </c>
      <c r="CC91" s="648">
        <f t="shared" si="382"/>
        <v>0</v>
      </c>
      <c r="CD91" s="648">
        <f t="shared" si="382"/>
        <v>0</v>
      </c>
      <c r="CE91" s="648">
        <f t="shared" si="382"/>
        <v>0</v>
      </c>
      <c r="CF91" s="648">
        <f t="shared" si="382"/>
        <v>0</v>
      </c>
      <c r="CG91" s="648">
        <f t="shared" si="382"/>
        <v>0</v>
      </c>
      <c r="CH91" s="648">
        <f t="shared" si="382"/>
        <v>0</v>
      </c>
      <c r="CI91" s="648">
        <f t="shared" si="382"/>
        <v>0</v>
      </c>
      <c r="CJ91" s="648">
        <f t="shared" si="382"/>
        <v>0</v>
      </c>
      <c r="CK91" s="648">
        <f t="shared" si="382"/>
        <v>0</v>
      </c>
      <c r="CL91" s="648">
        <f t="shared" si="382"/>
        <v>0</v>
      </c>
      <c r="CM91" s="648">
        <f t="shared" si="382"/>
        <v>0</v>
      </c>
      <c r="CN91" s="648">
        <f t="shared" si="382"/>
        <v>0</v>
      </c>
      <c r="CO91" s="648">
        <f t="shared" si="382"/>
        <v>0</v>
      </c>
      <c r="CP91" s="648">
        <f t="shared" si="382"/>
        <v>0</v>
      </c>
      <c r="CQ91" s="648">
        <f t="shared" si="382"/>
        <v>0</v>
      </c>
      <c r="CR91" s="648">
        <f t="shared" si="382"/>
        <v>0</v>
      </c>
      <c r="CS91" s="648">
        <f t="shared" si="382"/>
        <v>0</v>
      </c>
      <c r="CT91" s="648">
        <f t="shared" si="382"/>
        <v>0</v>
      </c>
      <c r="CU91" s="648"/>
      <c r="CV91" s="648">
        <f t="shared" ref="CV91:DZ91" si="383">CV20*$EF91</f>
        <v>0</v>
      </c>
      <c r="CW91" s="648">
        <f t="shared" si="383"/>
        <v>0</v>
      </c>
      <c r="CX91" s="648">
        <f t="shared" si="383"/>
        <v>0</v>
      </c>
      <c r="CY91" s="648">
        <f t="shared" si="383"/>
        <v>0</v>
      </c>
      <c r="CZ91" s="648">
        <f t="shared" si="383"/>
        <v>0</v>
      </c>
      <c r="DA91" s="648">
        <f t="shared" si="383"/>
        <v>0</v>
      </c>
      <c r="DB91" s="648">
        <f t="shared" si="383"/>
        <v>0</v>
      </c>
      <c r="DC91" s="648">
        <f t="shared" si="383"/>
        <v>0</v>
      </c>
      <c r="DD91" s="648">
        <f t="shared" si="383"/>
        <v>0</v>
      </c>
      <c r="DE91" s="648">
        <f t="shared" si="383"/>
        <v>0</v>
      </c>
      <c r="DF91" s="648">
        <f t="shared" si="383"/>
        <v>0</v>
      </c>
      <c r="DG91" s="648">
        <f t="shared" si="383"/>
        <v>0</v>
      </c>
      <c r="DH91" s="648">
        <f t="shared" si="383"/>
        <v>0</v>
      </c>
      <c r="DI91" s="648">
        <f t="shared" si="383"/>
        <v>0</v>
      </c>
      <c r="DJ91" s="648">
        <f t="shared" si="383"/>
        <v>0</v>
      </c>
      <c r="DK91" s="648">
        <f t="shared" si="383"/>
        <v>0</v>
      </c>
      <c r="DL91" s="648">
        <f t="shared" si="383"/>
        <v>0</v>
      </c>
      <c r="DM91" s="648">
        <f t="shared" si="383"/>
        <v>0</v>
      </c>
      <c r="DN91" s="648">
        <f t="shared" si="383"/>
        <v>0</v>
      </c>
      <c r="DO91" s="648">
        <f t="shared" si="383"/>
        <v>0</v>
      </c>
      <c r="DP91" s="648">
        <f t="shared" si="383"/>
        <v>0</v>
      </c>
      <c r="DQ91" s="648">
        <f t="shared" si="383"/>
        <v>0</v>
      </c>
      <c r="DR91" s="648">
        <f t="shared" si="383"/>
        <v>0</v>
      </c>
      <c r="DS91" s="648">
        <f t="shared" si="383"/>
        <v>0</v>
      </c>
      <c r="DT91" s="648">
        <f t="shared" si="383"/>
        <v>0</v>
      </c>
      <c r="DU91" s="648">
        <f t="shared" si="383"/>
        <v>0</v>
      </c>
      <c r="DV91" s="648">
        <f t="shared" si="383"/>
        <v>0</v>
      </c>
      <c r="DW91" s="648">
        <f t="shared" si="383"/>
        <v>0</v>
      </c>
      <c r="DX91" s="648">
        <f t="shared" si="383"/>
        <v>0</v>
      </c>
      <c r="DY91" s="648">
        <f t="shared" si="383"/>
        <v>0</v>
      </c>
      <c r="DZ91" s="648">
        <f t="shared" si="383"/>
        <v>0</v>
      </c>
      <c r="EF91" s="610">
        <v>100</v>
      </c>
      <c r="EG91" s="51"/>
      <c r="EH91" s="51"/>
      <c r="EI91" s="51"/>
      <c r="EJ91" s="51"/>
      <c r="EM91" t="s">
        <v>99</v>
      </c>
    </row>
    <row r="92" spans="1:143" x14ac:dyDescent="0.2">
      <c r="A92" s="1"/>
      <c r="B92" t="str">
        <f t="shared" ref="B92:B95" si="384">B22</f>
        <v>Mecahnical Recycling</v>
      </c>
      <c r="C92" s="54" t="s">
        <v>114</v>
      </c>
      <c r="D92" s="648">
        <f>D22*$EF92</f>
        <v>4244.1700651046394</v>
      </c>
      <c r="E92" s="648">
        <f t="shared" ref="E92:AH92" si="385">E22*$EF92</f>
        <v>4519.1425755988475</v>
      </c>
      <c r="F92" s="648">
        <f t="shared" si="385"/>
        <v>4852.4727268803636</v>
      </c>
      <c r="G92" s="648">
        <f t="shared" si="385"/>
        <v>5187.7785834930037</v>
      </c>
      <c r="H92" s="648">
        <f t="shared" si="385"/>
        <v>5521.0973342758043</v>
      </c>
      <c r="I92" s="648">
        <f t="shared" si="385"/>
        <v>5850.1338204476206</v>
      </c>
      <c r="J92" s="648">
        <f t="shared" si="385"/>
        <v>6171.3482802410563</v>
      </c>
      <c r="K92" s="648">
        <f t="shared" si="385"/>
        <v>6496.5120018606185</v>
      </c>
      <c r="L92" s="648">
        <f t="shared" si="385"/>
        <v>6825.1464656175549</v>
      </c>
      <c r="M92" s="648">
        <f t="shared" si="385"/>
        <v>7156.7460703534998</v>
      </c>
      <c r="N92" s="648">
        <f t="shared" si="385"/>
        <v>7490.7785081714801</v>
      </c>
      <c r="O92" s="648">
        <f t="shared" si="385"/>
        <v>8024.7922026433835</v>
      </c>
      <c r="P92" s="648">
        <f t="shared" si="385"/>
        <v>8557.9921659179363</v>
      </c>
      <c r="Q92" s="648">
        <f t="shared" si="385"/>
        <v>9049.7451149774915</v>
      </c>
      <c r="R92" s="648">
        <f t="shared" si="385"/>
        <v>9515.7960262628148</v>
      </c>
      <c r="S92" s="648">
        <f t="shared" si="385"/>
        <v>9952.737549723206</v>
      </c>
      <c r="T92" s="648">
        <f t="shared" si="385"/>
        <v>10382.817358518801</v>
      </c>
      <c r="U92" s="648">
        <f t="shared" si="385"/>
        <v>10799.660087808841</v>
      </c>
      <c r="V92" s="648">
        <f t="shared" si="385"/>
        <v>11202.521335061076</v>
      </c>
      <c r="W92" s="648">
        <f t="shared" si="385"/>
        <v>11590.644446078335</v>
      </c>
      <c r="X92" s="648">
        <f t="shared" si="385"/>
        <v>11963.260689039964</v>
      </c>
      <c r="Y92" s="648">
        <f t="shared" si="385"/>
        <v>12543.506416385651</v>
      </c>
      <c r="Z92" s="648">
        <f t="shared" si="385"/>
        <v>13190.190197238204</v>
      </c>
      <c r="AA92" s="648">
        <f t="shared" si="385"/>
        <v>13799.815012421497</v>
      </c>
      <c r="AB92" s="648">
        <f t="shared" si="385"/>
        <v>14380.110101533848</v>
      </c>
      <c r="AC92" s="648">
        <f t="shared" si="385"/>
        <v>14929.710198172583</v>
      </c>
      <c r="AD92" s="648">
        <f t="shared" si="385"/>
        <v>15438.457551278225</v>
      </c>
      <c r="AE92" s="648">
        <f t="shared" si="385"/>
        <v>15912.373562264318</v>
      </c>
      <c r="AF92" s="648">
        <f t="shared" si="385"/>
        <v>16349.926715214035</v>
      </c>
      <c r="AG92" s="648">
        <f t="shared" si="385"/>
        <v>16749.559289368321</v>
      </c>
      <c r="AH92" s="648">
        <f t="shared" si="385"/>
        <v>17109.687528419872</v>
      </c>
      <c r="AI92" s="648"/>
      <c r="AJ92" s="648">
        <f>AJ22*$EF92</f>
        <v>4244.1700651046394</v>
      </c>
      <c r="AK92" s="648">
        <f t="shared" ref="AK92:BN92" si="386">AK22*$EF92</f>
        <v>4519.1425755988475</v>
      </c>
      <c r="AL92" s="648">
        <f t="shared" si="386"/>
        <v>4852.4727268803636</v>
      </c>
      <c r="AM92" s="648">
        <f t="shared" si="386"/>
        <v>5187.7785834930037</v>
      </c>
      <c r="AN92" s="648">
        <f t="shared" si="386"/>
        <v>5521.0973342758043</v>
      </c>
      <c r="AO92" s="648">
        <f t="shared" si="386"/>
        <v>5850.1338204476206</v>
      </c>
      <c r="AP92" s="648">
        <f t="shared" si="386"/>
        <v>6171.3482802410563</v>
      </c>
      <c r="AQ92" s="648">
        <f t="shared" si="386"/>
        <v>6496.5120018606185</v>
      </c>
      <c r="AR92" s="648">
        <f t="shared" si="386"/>
        <v>6825.1464656175549</v>
      </c>
      <c r="AS92" s="648">
        <f t="shared" si="386"/>
        <v>7156.7460703534998</v>
      </c>
      <c r="AT92" s="648">
        <f t="shared" si="386"/>
        <v>7490.7785081714801</v>
      </c>
      <c r="AU92" s="648">
        <f t="shared" si="386"/>
        <v>8024.7922026433835</v>
      </c>
      <c r="AV92" s="648">
        <f t="shared" si="386"/>
        <v>8557.9921659179363</v>
      </c>
      <c r="AW92" s="648">
        <f t="shared" si="386"/>
        <v>9049.7451149774915</v>
      </c>
      <c r="AX92" s="648">
        <f t="shared" si="386"/>
        <v>9515.7960262628148</v>
      </c>
      <c r="AY92" s="648">
        <f t="shared" si="386"/>
        <v>9952.737549723206</v>
      </c>
      <c r="AZ92" s="648">
        <f t="shared" si="386"/>
        <v>10382.817358518801</v>
      </c>
      <c r="BA92" s="648">
        <f t="shared" si="386"/>
        <v>10799.660087808841</v>
      </c>
      <c r="BB92" s="648">
        <f t="shared" si="386"/>
        <v>11202.521335061076</v>
      </c>
      <c r="BC92" s="648">
        <f t="shared" si="386"/>
        <v>11590.644446078335</v>
      </c>
      <c r="BD92" s="648">
        <f t="shared" si="386"/>
        <v>11963.260689039964</v>
      </c>
      <c r="BE92" s="648">
        <f t="shared" si="386"/>
        <v>12543.506416385651</v>
      </c>
      <c r="BF92" s="648">
        <f t="shared" si="386"/>
        <v>13190.190197238204</v>
      </c>
      <c r="BG92" s="648">
        <f t="shared" si="386"/>
        <v>13799.815012421497</v>
      </c>
      <c r="BH92" s="648">
        <f t="shared" si="386"/>
        <v>14380.110101533848</v>
      </c>
      <c r="BI92" s="648">
        <f t="shared" si="386"/>
        <v>14929.710198172583</v>
      </c>
      <c r="BJ92" s="648">
        <f t="shared" si="386"/>
        <v>15438.457551278225</v>
      </c>
      <c r="BK92" s="648">
        <f t="shared" si="386"/>
        <v>15912.373562264318</v>
      </c>
      <c r="BL92" s="648">
        <f t="shared" si="386"/>
        <v>16349.926715214035</v>
      </c>
      <c r="BM92" s="648">
        <f t="shared" si="386"/>
        <v>16749.559289368321</v>
      </c>
      <c r="BN92" s="648">
        <f t="shared" si="386"/>
        <v>17109.687528419872</v>
      </c>
      <c r="BO92" s="648"/>
      <c r="BP92" s="648">
        <f t="shared" ref="BP92:CT92" si="387">BP22*$EF92</f>
        <v>4244.1700651046394</v>
      </c>
      <c r="BQ92" s="648">
        <f t="shared" si="387"/>
        <v>4315.0477051918851</v>
      </c>
      <c r="BR92" s="648">
        <f t="shared" si="387"/>
        <v>4387.1090018685891</v>
      </c>
      <c r="BS92" s="648">
        <f t="shared" si="387"/>
        <v>4460.3737221997944</v>
      </c>
      <c r="BT92" s="648">
        <f t="shared" si="387"/>
        <v>4534.8619633605313</v>
      </c>
      <c r="BU92" s="648">
        <f t="shared" si="387"/>
        <v>4610.5941581486504</v>
      </c>
      <c r="BV92" s="648">
        <f t="shared" si="387"/>
        <v>4687.5910805897338</v>
      </c>
      <c r="BW92" s="648">
        <f t="shared" si="387"/>
        <v>4765.8738516355816</v>
      </c>
      <c r="BX92" s="648">
        <f t="shared" si="387"/>
        <v>4845.4639449578954</v>
      </c>
      <c r="BY92" s="648">
        <f t="shared" si="387"/>
        <v>4926.3831928386917</v>
      </c>
      <c r="BZ92" s="648">
        <f t="shared" si="387"/>
        <v>5008.653792159098</v>
      </c>
      <c r="CA92" s="648">
        <f t="shared" si="387"/>
        <v>5092.2983104881559</v>
      </c>
      <c r="CB92" s="648">
        <f t="shared" si="387"/>
        <v>5177.3396922733073</v>
      </c>
      <c r="CC92" s="648">
        <f t="shared" si="387"/>
        <v>5263.8012651342706</v>
      </c>
      <c r="CD92" s="648">
        <f t="shared" si="387"/>
        <v>5351.7067462620134</v>
      </c>
      <c r="CE92" s="648">
        <f t="shared" si="387"/>
        <v>5441.080248924588</v>
      </c>
      <c r="CF92" s="648">
        <f t="shared" si="387"/>
        <v>5531.9462890816294</v>
      </c>
      <c r="CG92" s="648">
        <f t="shared" si="387"/>
        <v>5624.3297921092908</v>
      </c>
      <c r="CH92" s="648">
        <f t="shared" si="387"/>
        <v>5718.256099637515</v>
      </c>
      <c r="CI92" s="648">
        <f t="shared" si="387"/>
        <v>5813.750976501462</v>
      </c>
      <c r="CJ92" s="648">
        <f t="shared" si="387"/>
        <v>5910.8406178090354</v>
      </c>
      <c r="CK92" s="648">
        <f t="shared" si="387"/>
        <v>6009.5516561264467</v>
      </c>
      <c r="CL92" s="648">
        <f t="shared" si="387"/>
        <v>6109.9111687837567</v>
      </c>
      <c r="CM92" s="648">
        <f t="shared" si="387"/>
        <v>6211.9466853024451</v>
      </c>
      <c r="CN92" s="648">
        <f t="shared" si="387"/>
        <v>6315.6861949469958</v>
      </c>
      <c r="CO92" s="648">
        <f t="shared" si="387"/>
        <v>6421.1581544026103</v>
      </c>
      <c r="CP92" s="648">
        <f t="shared" si="387"/>
        <v>6528.3914955811342</v>
      </c>
      <c r="CQ92" s="648">
        <f t="shared" si="387"/>
        <v>6637.415633557338</v>
      </c>
      <c r="CR92" s="648">
        <f t="shared" si="387"/>
        <v>6748.2604746377447</v>
      </c>
      <c r="CS92" s="648">
        <f t="shared" si="387"/>
        <v>6860.956424564195</v>
      </c>
      <c r="CT92" s="648">
        <f t="shared" si="387"/>
        <v>6975.5343968544175</v>
      </c>
      <c r="CU92" s="648"/>
      <c r="CV92" s="648">
        <f t="shared" ref="CV92:DZ92" si="388">CV22*$EF92</f>
        <v>4244.1700651046394</v>
      </c>
      <c r="CW92" s="648">
        <f t="shared" si="388"/>
        <v>4519.1425755988475</v>
      </c>
      <c r="CX92" s="648">
        <f t="shared" si="388"/>
        <v>4852.4727268803636</v>
      </c>
      <c r="CY92" s="648">
        <f t="shared" si="388"/>
        <v>5187.7785834930037</v>
      </c>
      <c r="CZ92" s="648">
        <f t="shared" si="388"/>
        <v>5521.0973342758043</v>
      </c>
      <c r="DA92" s="648">
        <f t="shared" si="388"/>
        <v>5850.1338204476206</v>
      </c>
      <c r="DB92" s="648">
        <f t="shared" si="388"/>
        <v>6171.3482802410563</v>
      </c>
      <c r="DC92" s="648">
        <f t="shared" si="388"/>
        <v>6496.5120018606185</v>
      </c>
      <c r="DD92" s="648">
        <f t="shared" si="388"/>
        <v>6825.1464656175549</v>
      </c>
      <c r="DE92" s="648">
        <f t="shared" si="388"/>
        <v>7156.7460703534998</v>
      </c>
      <c r="DF92" s="648">
        <f t="shared" si="388"/>
        <v>7490.7785081714801</v>
      </c>
      <c r="DG92" s="648">
        <f t="shared" si="388"/>
        <v>8024.7922026433835</v>
      </c>
      <c r="DH92" s="648">
        <f t="shared" si="388"/>
        <v>8557.9921659179363</v>
      </c>
      <c r="DI92" s="648">
        <f t="shared" si="388"/>
        <v>9049.7451149774915</v>
      </c>
      <c r="DJ92" s="648">
        <f t="shared" si="388"/>
        <v>9515.7960262628148</v>
      </c>
      <c r="DK92" s="648">
        <f t="shared" si="388"/>
        <v>9952.737549723206</v>
      </c>
      <c r="DL92" s="648">
        <f t="shared" si="388"/>
        <v>10382.817358518801</v>
      </c>
      <c r="DM92" s="648">
        <f t="shared" si="388"/>
        <v>10799.660087808841</v>
      </c>
      <c r="DN92" s="648">
        <f t="shared" si="388"/>
        <v>11202.521335061076</v>
      </c>
      <c r="DO92" s="648">
        <f t="shared" si="388"/>
        <v>11590.644446078335</v>
      </c>
      <c r="DP92" s="648">
        <f t="shared" si="388"/>
        <v>11963.260689039964</v>
      </c>
      <c r="DQ92" s="648">
        <f t="shared" si="388"/>
        <v>12543.506416385651</v>
      </c>
      <c r="DR92" s="648">
        <f t="shared" si="388"/>
        <v>13190.190197238204</v>
      </c>
      <c r="DS92" s="648">
        <f t="shared" si="388"/>
        <v>13799.815012421497</v>
      </c>
      <c r="DT92" s="648">
        <f t="shared" si="388"/>
        <v>14380.110101533848</v>
      </c>
      <c r="DU92" s="648">
        <f t="shared" si="388"/>
        <v>14929.710198172583</v>
      </c>
      <c r="DV92" s="648">
        <f t="shared" si="388"/>
        <v>15438.457551278225</v>
      </c>
      <c r="DW92" s="648">
        <f t="shared" si="388"/>
        <v>15912.373562264318</v>
      </c>
      <c r="DX92" s="648">
        <f t="shared" si="388"/>
        <v>16349.926715214035</v>
      </c>
      <c r="DY92" s="648">
        <f t="shared" si="388"/>
        <v>16749.559289368321</v>
      </c>
      <c r="DZ92" s="648">
        <f t="shared" si="388"/>
        <v>17109.687528419872</v>
      </c>
      <c r="EF92" s="157">
        <f>AVERAGE(160,120)</f>
        <v>140</v>
      </c>
      <c r="EG92" s="51"/>
      <c r="EH92" s="51"/>
      <c r="EI92" s="51"/>
      <c r="EJ92" s="51"/>
    </row>
    <row r="93" spans="1:143" x14ac:dyDescent="0.2">
      <c r="A93" s="1"/>
      <c r="B93" t="str">
        <f t="shared" si="384"/>
        <v>Chemical Recycling</v>
      </c>
      <c r="C93" s="54" t="s">
        <v>114</v>
      </c>
      <c r="D93" s="648">
        <f t="shared" ref="D93:AH93" si="389">D23*$EF93</f>
        <v>2.1962798564513365E-2</v>
      </c>
      <c r="E93" s="648">
        <f t="shared" si="389"/>
        <v>4.8124664192253572E-2</v>
      </c>
      <c r="F93" s="648">
        <f t="shared" si="389"/>
        <v>0.10133650570463314</v>
      </c>
      <c r="G93" s="648">
        <f t="shared" si="389"/>
        <v>0.21198523418690293</v>
      </c>
      <c r="H93" s="648">
        <f t="shared" si="389"/>
        <v>0.44012621699728993</v>
      </c>
      <c r="I93" s="648">
        <f t="shared" si="389"/>
        <v>0.90575904650513694</v>
      </c>
      <c r="J93" s="648">
        <f t="shared" si="389"/>
        <v>1.836724082445504</v>
      </c>
      <c r="K93" s="648">
        <f t="shared" si="389"/>
        <v>3.6833470018855854</v>
      </c>
      <c r="L93" s="648">
        <f t="shared" si="389"/>
        <v>7.2803160589994897</v>
      </c>
      <c r="M93" s="648">
        <f t="shared" si="389"/>
        <v>14.12075905872225</v>
      </c>
      <c r="N93" s="648">
        <f t="shared" si="389"/>
        <v>26.318067747530105</v>
      </c>
      <c r="O93" s="648">
        <f t="shared" si="389"/>
        <v>46.982698607088508</v>
      </c>
      <c r="P93" s="648">
        <f t="shared" si="389"/>
        <v>79.463335241484586</v>
      </c>
      <c r="Q93" s="648">
        <f t="shared" si="389"/>
        <v>128.07665939830937</v>
      </c>
      <c r="R93" s="648">
        <f t="shared" si="389"/>
        <v>195.62504911608036</v>
      </c>
      <c r="S93" s="648">
        <f t="shared" si="389"/>
        <v>281.93313622976206</v>
      </c>
      <c r="T93" s="648">
        <f t="shared" si="389"/>
        <v>384.82058630474035</v>
      </c>
      <c r="U93" s="648">
        <f t="shared" si="389"/>
        <v>504.42695794446502</v>
      </c>
      <c r="V93" s="648">
        <f t="shared" si="389"/>
        <v>626.74706931713342</v>
      </c>
      <c r="W93" s="648">
        <f t="shared" si="389"/>
        <v>743.3419798257778</v>
      </c>
      <c r="X93" s="648">
        <f t="shared" si="389"/>
        <v>825.62765147554137</v>
      </c>
      <c r="Y93" s="648">
        <f t="shared" si="389"/>
        <v>920.03540377314175</v>
      </c>
      <c r="Z93" s="648">
        <f t="shared" si="389"/>
        <v>979.1933935005635</v>
      </c>
      <c r="AA93" s="648">
        <f t="shared" si="389"/>
        <v>1023.2800729824995</v>
      </c>
      <c r="AB93" s="648">
        <f t="shared" si="389"/>
        <v>1068.7598218027549</v>
      </c>
      <c r="AC93" s="648">
        <f t="shared" si="389"/>
        <v>1113.8555499877959</v>
      </c>
      <c r="AD93" s="648">
        <f t="shared" si="389"/>
        <v>1159.2103465991881</v>
      </c>
      <c r="AE93" s="648">
        <f t="shared" si="389"/>
        <v>1211.3035028503964</v>
      </c>
      <c r="AF93" s="648">
        <f t="shared" si="389"/>
        <v>1274.8031245783966</v>
      </c>
      <c r="AG93" s="648">
        <f t="shared" si="389"/>
        <v>1351.3185266575749</v>
      </c>
      <c r="AH93" s="648">
        <f t="shared" si="389"/>
        <v>1421.2910443727601</v>
      </c>
      <c r="AI93" s="648"/>
      <c r="AJ93" s="648">
        <f t="shared" ref="AJ93:BN93" si="390">AJ23*$EF93</f>
        <v>1.2135483783806432E-2</v>
      </c>
      <c r="AK93" s="648">
        <f t="shared" si="390"/>
        <v>2.6798901019079731E-2</v>
      </c>
      <c r="AL93" s="648">
        <f t="shared" si="390"/>
        <v>5.6573524272682731E-2</v>
      </c>
      <c r="AM93" s="648">
        <f t="shared" si="390"/>
        <v>0.11864852790367686</v>
      </c>
      <c r="AN93" s="648">
        <f t="shared" si="390"/>
        <v>0.24699234271711162</v>
      </c>
      <c r="AO93" s="648">
        <f t="shared" si="390"/>
        <v>0.50968967131089638</v>
      </c>
      <c r="AP93" s="648">
        <f t="shared" si="390"/>
        <v>1.0408949476260203</v>
      </c>
      <c r="AQ93" s="648">
        <f t="shared" si="390"/>
        <v>2.1026778954579033</v>
      </c>
      <c r="AR93" s="648">
        <f t="shared" si="390"/>
        <v>4.1873706389893233</v>
      </c>
      <c r="AS93" s="648">
        <f t="shared" si="390"/>
        <v>8.1846701681574956</v>
      </c>
      <c r="AT93" s="648">
        <f t="shared" si="390"/>
        <v>15.147660037632416</v>
      </c>
      <c r="AU93" s="648">
        <f t="shared" si="390"/>
        <v>27.80717846438079</v>
      </c>
      <c r="AV93" s="648">
        <f t="shared" si="390"/>
        <v>47.682345333105744</v>
      </c>
      <c r="AW93" s="648">
        <f t="shared" si="390"/>
        <v>78.070781750058316</v>
      </c>
      <c r="AX93" s="648">
        <f t="shared" si="390"/>
        <v>121.29464686771013</v>
      </c>
      <c r="AY93" s="648">
        <f t="shared" si="390"/>
        <v>178.0496982137841</v>
      </c>
      <c r="AZ93" s="648">
        <f t="shared" si="390"/>
        <v>246.8505330833672</v>
      </c>
      <c r="BA93" s="648">
        <f t="shared" si="390"/>
        <v>323.85621963719564</v>
      </c>
      <c r="BB93" s="648">
        <f t="shared" si="390"/>
        <v>404.02458769175945</v>
      </c>
      <c r="BC93" s="648">
        <f t="shared" si="390"/>
        <v>482.64363480571831</v>
      </c>
      <c r="BD93" s="648">
        <f t="shared" si="390"/>
        <v>532.26618778347233</v>
      </c>
      <c r="BE93" s="648">
        <f t="shared" si="390"/>
        <v>598.80941760708959</v>
      </c>
      <c r="BF93" s="648">
        <f t="shared" si="390"/>
        <v>631.45748991527603</v>
      </c>
      <c r="BG93" s="648">
        <f t="shared" si="390"/>
        <v>663.93595332178506</v>
      </c>
      <c r="BH93" s="648">
        <f t="shared" si="390"/>
        <v>699.1529560830727</v>
      </c>
      <c r="BI93" s="648">
        <f t="shared" si="390"/>
        <v>733.33786781437425</v>
      </c>
      <c r="BJ93" s="648">
        <f t="shared" si="390"/>
        <v>770.78769189681236</v>
      </c>
      <c r="BK93" s="648">
        <f t="shared" si="390"/>
        <v>816.02968789749116</v>
      </c>
      <c r="BL93" s="648">
        <f t="shared" si="390"/>
        <v>873.1658518260291</v>
      </c>
      <c r="BM93" s="648">
        <f t="shared" si="390"/>
        <v>946.28292261993897</v>
      </c>
      <c r="BN93" s="648">
        <f t="shared" si="390"/>
        <v>967.03896344742611</v>
      </c>
      <c r="BO93" s="648"/>
      <c r="BP93" s="648">
        <f t="shared" ref="BP93:CT93" si="391">BP23*$EF93</f>
        <v>0</v>
      </c>
      <c r="BQ93" s="648">
        <f t="shared" si="391"/>
        <v>0</v>
      </c>
      <c r="BR93" s="648">
        <f t="shared" si="391"/>
        <v>0</v>
      </c>
      <c r="BS93" s="648">
        <f t="shared" si="391"/>
        <v>0</v>
      </c>
      <c r="BT93" s="648">
        <f t="shared" si="391"/>
        <v>0</v>
      </c>
      <c r="BU93" s="648">
        <f t="shared" si="391"/>
        <v>0</v>
      </c>
      <c r="BV93" s="648">
        <f t="shared" si="391"/>
        <v>0</v>
      </c>
      <c r="BW93" s="648">
        <f t="shared" si="391"/>
        <v>0</v>
      </c>
      <c r="BX93" s="648">
        <f t="shared" si="391"/>
        <v>0</v>
      </c>
      <c r="BY93" s="648">
        <f t="shared" si="391"/>
        <v>0</v>
      </c>
      <c r="BZ93" s="648">
        <f t="shared" si="391"/>
        <v>0</v>
      </c>
      <c r="CA93" s="648">
        <f t="shared" si="391"/>
        <v>0</v>
      </c>
      <c r="CB93" s="648">
        <f t="shared" si="391"/>
        <v>0</v>
      </c>
      <c r="CC93" s="648">
        <f t="shared" si="391"/>
        <v>0</v>
      </c>
      <c r="CD93" s="648">
        <f t="shared" si="391"/>
        <v>0</v>
      </c>
      <c r="CE93" s="648">
        <f t="shared" si="391"/>
        <v>0</v>
      </c>
      <c r="CF93" s="648">
        <f t="shared" si="391"/>
        <v>0</v>
      </c>
      <c r="CG93" s="648">
        <f t="shared" si="391"/>
        <v>0</v>
      </c>
      <c r="CH93" s="648">
        <f t="shared" si="391"/>
        <v>0</v>
      </c>
      <c r="CI93" s="648">
        <f t="shared" si="391"/>
        <v>0</v>
      </c>
      <c r="CJ93" s="648">
        <f t="shared" si="391"/>
        <v>0</v>
      </c>
      <c r="CK93" s="648">
        <f t="shared" si="391"/>
        <v>0</v>
      </c>
      <c r="CL93" s="648">
        <f t="shared" si="391"/>
        <v>0</v>
      </c>
      <c r="CM93" s="648">
        <f t="shared" si="391"/>
        <v>0</v>
      </c>
      <c r="CN93" s="648">
        <f t="shared" si="391"/>
        <v>0</v>
      </c>
      <c r="CO93" s="648">
        <f t="shared" si="391"/>
        <v>0</v>
      </c>
      <c r="CP93" s="648">
        <f t="shared" si="391"/>
        <v>0</v>
      </c>
      <c r="CQ93" s="648">
        <f t="shared" si="391"/>
        <v>0</v>
      </c>
      <c r="CR93" s="648">
        <f t="shared" si="391"/>
        <v>0</v>
      </c>
      <c r="CS93" s="648">
        <f t="shared" si="391"/>
        <v>0</v>
      </c>
      <c r="CT93" s="648">
        <f t="shared" si="391"/>
        <v>0</v>
      </c>
      <c r="CU93" s="648"/>
      <c r="CV93" s="648">
        <f t="shared" ref="CV93:DZ93" si="392">CV23*$EF93</f>
        <v>1.2135483783806432E-2</v>
      </c>
      <c r="CW93" s="648">
        <f t="shared" si="392"/>
        <v>2.6798901019079731E-2</v>
      </c>
      <c r="CX93" s="648">
        <f t="shared" si="392"/>
        <v>5.6573524272682731E-2</v>
      </c>
      <c r="CY93" s="648">
        <f t="shared" si="392"/>
        <v>0.11864852790367686</v>
      </c>
      <c r="CZ93" s="648">
        <f t="shared" si="392"/>
        <v>0.24699234271711162</v>
      </c>
      <c r="DA93" s="648">
        <f t="shared" si="392"/>
        <v>0.50968967131089638</v>
      </c>
      <c r="DB93" s="648">
        <f t="shared" si="392"/>
        <v>1.0408949476260203</v>
      </c>
      <c r="DC93" s="648">
        <f t="shared" si="392"/>
        <v>2.1026778954579033</v>
      </c>
      <c r="DD93" s="648">
        <f t="shared" si="392"/>
        <v>4.1873706389893233</v>
      </c>
      <c r="DE93" s="648">
        <f t="shared" si="392"/>
        <v>8.1846701681574956</v>
      </c>
      <c r="DF93" s="648">
        <f t="shared" si="392"/>
        <v>15.147660037632416</v>
      </c>
      <c r="DG93" s="648">
        <f t="shared" si="392"/>
        <v>27.80717846438079</v>
      </c>
      <c r="DH93" s="648">
        <f t="shared" si="392"/>
        <v>47.682345333105744</v>
      </c>
      <c r="DI93" s="648">
        <f t="shared" si="392"/>
        <v>78.070781750058316</v>
      </c>
      <c r="DJ93" s="648">
        <f t="shared" si="392"/>
        <v>121.29464686771013</v>
      </c>
      <c r="DK93" s="648">
        <f t="shared" si="392"/>
        <v>178.0496982137841</v>
      </c>
      <c r="DL93" s="648">
        <f t="shared" si="392"/>
        <v>246.8505330833672</v>
      </c>
      <c r="DM93" s="648">
        <f t="shared" si="392"/>
        <v>323.85621963719564</v>
      </c>
      <c r="DN93" s="648">
        <f t="shared" si="392"/>
        <v>404.02458769175945</v>
      </c>
      <c r="DO93" s="648">
        <f t="shared" si="392"/>
        <v>482.64363480571831</v>
      </c>
      <c r="DP93" s="648">
        <f t="shared" si="392"/>
        <v>532.26618778347233</v>
      </c>
      <c r="DQ93" s="648">
        <f t="shared" si="392"/>
        <v>598.80941760708959</v>
      </c>
      <c r="DR93" s="648">
        <f t="shared" si="392"/>
        <v>631.45748991527603</v>
      </c>
      <c r="DS93" s="648">
        <f t="shared" si="392"/>
        <v>663.93595332178506</v>
      </c>
      <c r="DT93" s="648">
        <f t="shared" si="392"/>
        <v>699.1529560830727</v>
      </c>
      <c r="DU93" s="648">
        <f t="shared" si="392"/>
        <v>733.33786781437425</v>
      </c>
      <c r="DV93" s="648">
        <f t="shared" si="392"/>
        <v>770.78769189681236</v>
      </c>
      <c r="DW93" s="648">
        <f t="shared" si="392"/>
        <v>816.02968789749116</v>
      </c>
      <c r="DX93" s="648">
        <f t="shared" si="392"/>
        <v>873.1658518260291</v>
      </c>
      <c r="DY93" s="648">
        <f t="shared" si="392"/>
        <v>946.28292261993897</v>
      </c>
      <c r="DZ93" s="648">
        <f t="shared" si="392"/>
        <v>967.03896344742611</v>
      </c>
      <c r="EF93" s="157">
        <v>153</v>
      </c>
      <c r="EG93" s="51"/>
      <c r="EH93" s="51"/>
      <c r="EI93" s="51"/>
      <c r="EJ93" s="51"/>
    </row>
    <row r="94" spans="1:143" x14ac:dyDescent="0.2">
      <c r="A94" s="1"/>
      <c r="B94" t="str">
        <f t="shared" si="384"/>
        <v>Waste management (collection + MRF)</v>
      </c>
      <c r="C94" s="54" t="s">
        <v>114</v>
      </c>
      <c r="D94" s="648">
        <f t="shared" ref="D94:AH94" si="393">D24*$EF94</f>
        <v>28932.048926821764</v>
      </c>
      <c r="E94" s="648">
        <f t="shared" si="393"/>
        <v>29861.763764484578</v>
      </c>
      <c r="F94" s="648">
        <f t="shared" si="393"/>
        <v>30736.832129341099</v>
      </c>
      <c r="G94" s="648">
        <f t="shared" si="393"/>
        <v>31559.415374331165</v>
      </c>
      <c r="H94" s="648">
        <f t="shared" si="393"/>
        <v>32316.473054751779</v>
      </c>
      <c r="I94" s="648">
        <f t="shared" si="393"/>
        <v>33002.384678483068</v>
      </c>
      <c r="J94" s="648">
        <f t="shared" si="393"/>
        <v>33538.21825289313</v>
      </c>
      <c r="K94" s="648">
        <f t="shared" si="393"/>
        <v>34061.73875799463</v>
      </c>
      <c r="L94" s="648">
        <f t="shared" si="393"/>
        <v>34572.139751019175</v>
      </c>
      <c r="M94" s="648">
        <f t="shared" si="393"/>
        <v>35068.724947385759</v>
      </c>
      <c r="N94" s="648">
        <f t="shared" si="393"/>
        <v>35550.896935801917</v>
      </c>
      <c r="O94" s="648">
        <f t="shared" si="393"/>
        <v>35813.287280848381</v>
      </c>
      <c r="P94" s="648">
        <f t="shared" si="393"/>
        <v>36046.258791963308</v>
      </c>
      <c r="Q94" s="648">
        <f t="shared" si="393"/>
        <v>36136.417790733518</v>
      </c>
      <c r="R94" s="648">
        <f t="shared" si="393"/>
        <v>36145.478031029459</v>
      </c>
      <c r="S94" s="648">
        <f t="shared" si="393"/>
        <v>36072.756592370737</v>
      </c>
      <c r="T94" s="648">
        <f t="shared" si="393"/>
        <v>36012.72796540019</v>
      </c>
      <c r="U94" s="648">
        <f t="shared" si="393"/>
        <v>35935.732042651922</v>
      </c>
      <c r="V94" s="648">
        <f t="shared" si="393"/>
        <v>35839.238426047326</v>
      </c>
      <c r="W94" s="648">
        <f t="shared" si="393"/>
        <v>35721.694832825859</v>
      </c>
      <c r="X94" s="648">
        <f t="shared" si="393"/>
        <v>35578.601460537575</v>
      </c>
      <c r="Y94" s="648">
        <f t="shared" si="393"/>
        <v>35261.524727336197</v>
      </c>
      <c r="Z94" s="648">
        <f t="shared" si="393"/>
        <v>35113.146971448135</v>
      </c>
      <c r="AA94" s="648">
        <f t="shared" si="393"/>
        <v>34915.480569552288</v>
      </c>
      <c r="AB94" s="648">
        <f t="shared" si="393"/>
        <v>34693.515186039316</v>
      </c>
      <c r="AC94" s="648">
        <f t="shared" si="393"/>
        <v>34446.783198846155</v>
      </c>
      <c r="AD94" s="648">
        <f t="shared" si="393"/>
        <v>34154.995239543918</v>
      </c>
      <c r="AE94" s="648">
        <f t="shared" si="393"/>
        <v>33838.66131293268</v>
      </c>
      <c r="AF94" s="648">
        <f t="shared" si="393"/>
        <v>33498.173585048855</v>
      </c>
      <c r="AG94" s="648">
        <f t="shared" si="393"/>
        <v>33133.498120253884</v>
      </c>
      <c r="AH94" s="648">
        <f t="shared" si="393"/>
        <v>32741.874163787365</v>
      </c>
      <c r="AI94" s="648"/>
      <c r="AJ94" s="648">
        <f t="shared" ref="AJ94:BN94" si="394">AJ24*$EF94</f>
        <v>28932.047026874239</v>
      </c>
      <c r="AK94" s="648">
        <f t="shared" si="394"/>
        <v>29896.225191557769</v>
      </c>
      <c r="AL94" s="648">
        <f t="shared" si="394"/>
        <v>30810.643565457471</v>
      </c>
      <c r="AM94" s="648">
        <f t="shared" si="394"/>
        <v>31673.671966920869</v>
      </c>
      <c r="AN94" s="648">
        <f t="shared" si="394"/>
        <v>32473.266883006127</v>
      </c>
      <c r="AO94" s="648">
        <f t="shared" si="394"/>
        <v>33203.563658412699</v>
      </c>
      <c r="AP94" s="648">
        <f t="shared" si="394"/>
        <v>33857.604131678985</v>
      </c>
      <c r="AQ94" s="648">
        <f t="shared" si="394"/>
        <v>34505.097157130396</v>
      </c>
      <c r="AR94" s="648">
        <f t="shared" si="394"/>
        <v>35145.229479425914</v>
      </c>
      <c r="AS94" s="648">
        <f t="shared" si="394"/>
        <v>35777.245880780472</v>
      </c>
      <c r="AT94" s="648">
        <f t="shared" si="394"/>
        <v>36400.406624628071</v>
      </c>
      <c r="AU94" s="648">
        <f t="shared" si="394"/>
        <v>36856.806634862871</v>
      </c>
      <c r="AV94" s="648">
        <f t="shared" si="394"/>
        <v>37282.922840068612</v>
      </c>
      <c r="AW94" s="648">
        <f t="shared" si="394"/>
        <v>37581.596113208318</v>
      </c>
      <c r="AX94" s="648">
        <f t="shared" si="394"/>
        <v>37802.408077299122</v>
      </c>
      <c r="AY94" s="648">
        <f t="shared" si="394"/>
        <v>37943.768756718418</v>
      </c>
      <c r="AZ94" s="648">
        <f t="shared" si="394"/>
        <v>38088.39269868761</v>
      </c>
      <c r="BA94" s="648">
        <f t="shared" si="394"/>
        <v>38220.215768929273</v>
      </c>
      <c r="BB94" s="648">
        <f t="shared" si="394"/>
        <v>38338.186179033502</v>
      </c>
      <c r="BC94" s="648">
        <f t="shared" si="394"/>
        <v>38441.352739487869</v>
      </c>
      <c r="BD94" s="648">
        <f t="shared" si="394"/>
        <v>38525.393287726984</v>
      </c>
      <c r="BE94" s="648">
        <f t="shared" si="394"/>
        <v>38468.50776668969</v>
      </c>
      <c r="BF94" s="648">
        <f t="shared" si="394"/>
        <v>38562.309986450913</v>
      </c>
      <c r="BG94" s="648">
        <f t="shared" si="394"/>
        <v>38629.003816728109</v>
      </c>
      <c r="BH94" s="648">
        <f t="shared" si="394"/>
        <v>38677.741698291124</v>
      </c>
      <c r="BI94" s="648">
        <f t="shared" si="394"/>
        <v>38707.802502953957</v>
      </c>
      <c r="BJ94" s="648">
        <f t="shared" si="394"/>
        <v>38709.061063373883</v>
      </c>
      <c r="BK94" s="648">
        <f t="shared" si="394"/>
        <v>38692.44869901958</v>
      </c>
      <c r="BL94" s="648">
        <f t="shared" si="394"/>
        <v>38658.312819707782</v>
      </c>
      <c r="BM94" s="648">
        <f t="shared" si="394"/>
        <v>38606.976394596524</v>
      </c>
      <c r="BN94" s="648">
        <f t="shared" si="394"/>
        <v>38529.405281404303</v>
      </c>
      <c r="BO94" s="648"/>
      <c r="BP94" s="648">
        <f>BP24*$EF94</f>
        <v>28932.044680680712</v>
      </c>
      <c r="BQ94" s="648">
        <f t="shared" ref="BQ94:CT94" si="395">BQ24*$EF94</f>
        <v>29760.840342540094</v>
      </c>
      <c r="BR94" s="648">
        <f t="shared" si="395"/>
        <v>30534.982603793214</v>
      </c>
      <c r="BS94" s="648">
        <f t="shared" si="395"/>
        <v>31249.116928191801</v>
      </c>
      <c r="BT94" s="648">
        <f t="shared" si="395"/>
        <v>31898.247040156217</v>
      </c>
      <c r="BU94" s="648">
        <f t="shared" si="395"/>
        <v>32477.796062803496</v>
      </c>
      <c r="BV94" s="648">
        <f t="shared" si="395"/>
        <v>33052.507989250698</v>
      </c>
      <c r="BW94" s="648">
        <f t="shared" si="395"/>
        <v>33621.751315812005</v>
      </c>
      <c r="BX94" s="648">
        <f t="shared" si="395"/>
        <v>34184.891446856273</v>
      </c>
      <c r="BY94" s="648">
        <f t="shared" si="395"/>
        <v>34741.291926480852</v>
      </c>
      <c r="BZ94" s="648">
        <f t="shared" si="395"/>
        <v>35290.315701207765</v>
      </c>
      <c r="CA94" s="648">
        <f t="shared" si="395"/>
        <v>35781.83556510471</v>
      </c>
      <c r="CB94" s="648">
        <f t="shared" si="395"/>
        <v>36213.185761380213</v>
      </c>
      <c r="CC94" s="648">
        <f t="shared" si="395"/>
        <v>36582.014684515998</v>
      </c>
      <c r="CD94" s="648">
        <f t="shared" si="395"/>
        <v>36886.308289603068</v>
      </c>
      <c r="CE94" s="648">
        <f t="shared" si="395"/>
        <v>37124.410596293492</v>
      </c>
      <c r="CF94" s="648">
        <f t="shared" si="395"/>
        <v>37359.657256833765</v>
      </c>
      <c r="CG94" s="648">
        <f t="shared" si="395"/>
        <v>37591.981180761359</v>
      </c>
      <c r="CH94" s="648">
        <f t="shared" si="395"/>
        <v>37821.316432207146</v>
      </c>
      <c r="CI94" s="648">
        <f t="shared" si="395"/>
        <v>38047.598290861097</v>
      </c>
      <c r="CJ94" s="648">
        <f t="shared" si="395"/>
        <v>38270.763313130992</v>
      </c>
      <c r="CK94" s="648">
        <f t="shared" si="395"/>
        <v>38491.155253207951</v>
      </c>
      <c r="CL94" s="648">
        <f t="shared" si="395"/>
        <v>38708.719694654916</v>
      </c>
      <c r="CM94" s="648">
        <f t="shared" si="395"/>
        <v>38923.403418574329</v>
      </c>
      <c r="CN94" s="648">
        <f t="shared" si="395"/>
        <v>39135.154455895579</v>
      </c>
      <c r="CO94" s="648">
        <f t="shared" si="395"/>
        <v>39343.922139801027</v>
      </c>
      <c r="CP94" s="648">
        <f t="shared" si="395"/>
        <v>39550.013286933478</v>
      </c>
      <c r="CQ94" s="648">
        <f t="shared" si="395"/>
        <v>39753.384776468811</v>
      </c>
      <c r="CR94" s="648">
        <f t="shared" si="395"/>
        <v>39953.994720923118</v>
      </c>
      <c r="CS94" s="648">
        <f t="shared" si="395"/>
        <v>40151.802511900707</v>
      </c>
      <c r="CT94" s="648">
        <f t="shared" si="395"/>
        <v>40346.768865956859</v>
      </c>
      <c r="CU94" s="648"/>
      <c r="CV94" s="648">
        <f t="shared" ref="CV94:DZ94" si="396">CV24*$EF94</f>
        <v>28932.047026874239</v>
      </c>
      <c r="CW94" s="648">
        <f t="shared" si="396"/>
        <v>30029.520170574317</v>
      </c>
      <c r="CX94" s="648">
        <f t="shared" si="396"/>
        <v>31097.774707781336</v>
      </c>
      <c r="CY94" s="648">
        <f t="shared" si="396"/>
        <v>32118.154219620359</v>
      </c>
      <c r="CZ94" s="648">
        <f t="shared" si="396"/>
        <v>33083.273629170391</v>
      </c>
      <c r="DA94" s="648">
        <f t="shared" si="396"/>
        <v>33986.354166592035</v>
      </c>
      <c r="DB94" s="648">
        <f t="shared" si="396"/>
        <v>34893.206706917423</v>
      </c>
      <c r="DC94" s="648">
        <f t="shared" si="396"/>
        <v>35805.572513887717</v>
      </c>
      <c r="DD94" s="648">
        <f t="shared" si="396"/>
        <v>36722.73556927593</v>
      </c>
      <c r="DE94" s="648">
        <f t="shared" si="396"/>
        <v>37644.017786604316</v>
      </c>
      <c r="DF94" s="648">
        <f t="shared" si="396"/>
        <v>38568.735585368711</v>
      </c>
      <c r="DG94" s="648">
        <f t="shared" si="396"/>
        <v>39478.770029281943</v>
      </c>
      <c r="DH94" s="648">
        <f t="shared" si="396"/>
        <v>40331.69968060845</v>
      </c>
      <c r="DI94" s="648">
        <f t="shared" si="396"/>
        <v>41116.438177128919</v>
      </c>
      <c r="DJ94" s="648">
        <f t="shared" si="396"/>
        <v>41832.406951729194</v>
      </c>
      <c r="DK94" s="648">
        <f t="shared" si="396"/>
        <v>42475.517107082444</v>
      </c>
      <c r="DL94" s="648">
        <f t="shared" si="396"/>
        <v>43120.376912296008</v>
      </c>
      <c r="DM94" s="648">
        <f t="shared" si="396"/>
        <v>43765.166637766117</v>
      </c>
      <c r="DN94" s="648">
        <f t="shared" si="396"/>
        <v>44408.922856407939</v>
      </c>
      <c r="DO94" s="648">
        <f t="shared" si="396"/>
        <v>45050.778211037301</v>
      </c>
      <c r="DP94" s="648">
        <f t="shared" si="396"/>
        <v>45686.489709214373</v>
      </c>
      <c r="DQ94" s="648">
        <f t="shared" si="396"/>
        <v>46359.685798410246</v>
      </c>
      <c r="DR94" s="648">
        <f t="shared" si="396"/>
        <v>47038.745080132052</v>
      </c>
      <c r="DS94" s="648">
        <f t="shared" si="396"/>
        <v>47711.903047291889</v>
      </c>
      <c r="DT94" s="648">
        <f t="shared" si="396"/>
        <v>48380.939517360996</v>
      </c>
      <c r="DU94" s="648">
        <f t="shared" si="396"/>
        <v>49045.21415037541</v>
      </c>
      <c r="DV94" s="648">
        <f t="shared" si="396"/>
        <v>49704.36466457451</v>
      </c>
      <c r="DW94" s="648">
        <f t="shared" si="396"/>
        <v>50360.080185815663</v>
      </c>
      <c r="DX94" s="648">
        <f t="shared" si="396"/>
        <v>51012.796389116775</v>
      </c>
      <c r="DY94" s="648">
        <f t="shared" si="396"/>
        <v>51662.920316908559</v>
      </c>
      <c r="DZ94" s="648">
        <f t="shared" si="396"/>
        <v>52301.497597000453</v>
      </c>
      <c r="EF94" s="157">
        <f>52+64</f>
        <v>116</v>
      </c>
      <c r="EG94" s="51"/>
      <c r="EH94" s="51"/>
      <c r="EI94" s="51"/>
      <c r="EJ94" s="51"/>
    </row>
    <row r="95" spans="1:143" x14ac:dyDescent="0.2">
      <c r="A95" s="1"/>
      <c r="B95" t="str">
        <f t="shared" si="384"/>
        <v>Incineration</v>
      </c>
      <c r="C95" s="54" t="s">
        <v>114</v>
      </c>
      <c r="D95" s="648">
        <f t="shared" ref="D95:AH95" si="397">D25*$EF95</f>
        <v>1270.4776190257774</v>
      </c>
      <c r="E95" s="648">
        <f t="shared" si="397"/>
        <v>1343.9699850861364</v>
      </c>
      <c r="F95" s="648">
        <f t="shared" si="397"/>
        <v>1413.7772202023525</v>
      </c>
      <c r="G95" s="648">
        <f t="shared" si="397"/>
        <v>1482.0878079426122</v>
      </c>
      <c r="H95" s="648">
        <f t="shared" si="397"/>
        <v>1548.1048347792166</v>
      </c>
      <c r="I95" s="648">
        <f t="shared" si="397"/>
        <v>1611.3221417942643</v>
      </c>
      <c r="J95" s="648">
        <f t="shared" si="397"/>
        <v>1666.9723959052938</v>
      </c>
      <c r="K95" s="648">
        <f t="shared" si="397"/>
        <v>1722.1058334698985</v>
      </c>
      <c r="L95" s="648">
        <f t="shared" si="397"/>
        <v>1776.5851224127869</v>
      </c>
      <c r="M95" s="648">
        <f t="shared" si="397"/>
        <v>1830.2451945917892</v>
      </c>
      <c r="N95" s="648">
        <f t="shared" si="397"/>
        <v>1882.8919253238837</v>
      </c>
      <c r="O95" s="648">
        <f t="shared" si="397"/>
        <v>1910.0831838928607</v>
      </c>
      <c r="P95" s="648">
        <f t="shared" si="397"/>
        <v>1933.9293382283545</v>
      </c>
      <c r="Q95" s="648">
        <f t="shared" si="397"/>
        <v>1948.6204528186383</v>
      </c>
      <c r="R95" s="648">
        <f t="shared" si="397"/>
        <v>1956.9227093960912</v>
      </c>
      <c r="S95" s="648">
        <f t="shared" si="397"/>
        <v>1958.7156221177218</v>
      </c>
      <c r="T95" s="648">
        <f t="shared" si="397"/>
        <v>1959.3440243208315</v>
      </c>
      <c r="U95" s="648">
        <f t="shared" si="397"/>
        <v>1957.046678567878</v>
      </c>
      <c r="V95" s="648">
        <f t="shared" si="397"/>
        <v>1952.419062075581</v>
      </c>
      <c r="W95" s="648">
        <f t="shared" si="397"/>
        <v>1945.856217919724</v>
      </c>
      <c r="X95" s="648">
        <f t="shared" si="397"/>
        <v>1938.7366083855452</v>
      </c>
      <c r="Y95" s="648">
        <f t="shared" si="397"/>
        <v>1902.1268890480701</v>
      </c>
      <c r="Z95" s="648">
        <f t="shared" si="397"/>
        <v>1874.3243880863238</v>
      </c>
      <c r="AA95" s="648">
        <f t="shared" si="397"/>
        <v>1843.9010272485498</v>
      </c>
      <c r="AB95" s="648">
        <f t="shared" si="397"/>
        <v>1811.3546104169041</v>
      </c>
      <c r="AC95" s="648">
        <f t="shared" si="397"/>
        <v>1776.870740831934</v>
      </c>
      <c r="AD95" s="648">
        <f t="shared" si="397"/>
        <v>1739.4242947143036</v>
      </c>
      <c r="AE95" s="648">
        <f t="shared" si="397"/>
        <v>1699.9079734919376</v>
      </c>
      <c r="AF95" s="648">
        <f t="shared" si="397"/>
        <v>1658.1754930675504</v>
      </c>
      <c r="AG95" s="648">
        <f t="shared" si="397"/>
        <v>1614.2408358240966</v>
      </c>
      <c r="AH95" s="648">
        <f t="shared" si="397"/>
        <v>1569.3154508313601</v>
      </c>
      <c r="AI95" s="648"/>
      <c r="AJ95" s="648">
        <f t="shared" ref="AJ95:BN95" si="398">AJ25*$EF95</f>
        <v>1270.4778965029006</v>
      </c>
      <c r="AK95" s="648">
        <f t="shared" si="398"/>
        <v>1345.7441678233115</v>
      </c>
      <c r="AL95" s="648">
        <f t="shared" si="398"/>
        <v>1417.6850050489559</v>
      </c>
      <c r="AM95" s="648">
        <f t="shared" si="398"/>
        <v>1488.3034407786629</v>
      </c>
      <c r="AN95" s="648">
        <f t="shared" si="398"/>
        <v>1556.8628266342942</v>
      </c>
      <c r="AO95" s="648">
        <f t="shared" si="398"/>
        <v>1622.8531101483563</v>
      </c>
      <c r="AP95" s="648">
        <f t="shared" si="398"/>
        <v>1685.7390748469018</v>
      </c>
      <c r="AQ95" s="648">
        <f t="shared" si="398"/>
        <v>1748.8030935213826</v>
      </c>
      <c r="AR95" s="648">
        <f t="shared" si="398"/>
        <v>1811.9450582689356</v>
      </c>
      <c r="AS95" s="648">
        <f t="shared" si="398"/>
        <v>1875.0473688413513</v>
      </c>
      <c r="AT95" s="648">
        <f t="shared" si="398"/>
        <v>1937.9821189385227</v>
      </c>
      <c r="AU95" s="648">
        <f t="shared" si="398"/>
        <v>1979.4645275817911</v>
      </c>
      <c r="AV95" s="648">
        <f t="shared" si="398"/>
        <v>2018.3110952107902</v>
      </c>
      <c r="AW95" s="648">
        <f t="shared" si="398"/>
        <v>2049.8778258256475</v>
      </c>
      <c r="AX95" s="648">
        <f t="shared" si="398"/>
        <v>2076.1845806357201</v>
      </c>
      <c r="AY95" s="648">
        <f t="shared" si="398"/>
        <v>2097.0246757045306</v>
      </c>
      <c r="AZ95" s="648">
        <f t="shared" si="398"/>
        <v>2116.8736389786714</v>
      </c>
      <c r="BA95" s="648">
        <f t="shared" si="398"/>
        <v>2135.1623442764849</v>
      </c>
      <c r="BB95" s="648">
        <f t="shared" si="398"/>
        <v>2152.1233754846198</v>
      </c>
      <c r="BC95" s="648">
        <f t="shared" si="398"/>
        <v>2167.9964474651515</v>
      </c>
      <c r="BD95" s="648">
        <f t="shared" si="398"/>
        <v>2184.1123659637456</v>
      </c>
      <c r="BE95" s="648">
        <f t="shared" si="398"/>
        <v>2173.6670374802152</v>
      </c>
      <c r="BF95" s="648">
        <f t="shared" si="398"/>
        <v>2171.1881663774975</v>
      </c>
      <c r="BG95" s="648">
        <f t="shared" si="398"/>
        <v>2167.5988046975544</v>
      </c>
      <c r="BH95" s="648">
        <f t="shared" si="398"/>
        <v>2162.9724318839121</v>
      </c>
      <c r="BI95" s="648">
        <f t="shared" si="398"/>
        <v>2157.6129089805008</v>
      </c>
      <c r="BJ95" s="648">
        <f t="shared" si="398"/>
        <v>2151.1404004240962</v>
      </c>
      <c r="BK95" s="648">
        <f t="shared" si="398"/>
        <v>2143.7942524481587</v>
      </c>
      <c r="BL95" s="648">
        <f t="shared" si="398"/>
        <v>2135.4759720525931</v>
      </c>
      <c r="BM95" s="648">
        <f t="shared" si="398"/>
        <v>2126.0802320852699</v>
      </c>
      <c r="BN95" s="648">
        <f t="shared" si="398"/>
        <v>2119.5843248797369</v>
      </c>
      <c r="BO95" s="648"/>
      <c r="BP95" s="648">
        <f t="shared" ref="BP95:CT95" si="399">BP25*$EF95</f>
        <v>1270.4782391518545</v>
      </c>
      <c r="BQ95" s="648">
        <f t="shared" si="399"/>
        <v>1332.2584669726377</v>
      </c>
      <c r="BR95" s="648">
        <f t="shared" si="399"/>
        <v>1392.7595229989593</v>
      </c>
      <c r="BS95" s="648">
        <f t="shared" si="399"/>
        <v>1451.5704797893688</v>
      </c>
      <c r="BT95" s="648">
        <f t="shared" si="399"/>
        <v>1508.2774318069501</v>
      </c>
      <c r="BU95" s="648">
        <f t="shared" si="399"/>
        <v>1562.4679395756477</v>
      </c>
      <c r="BV95" s="648">
        <f t="shared" si="399"/>
        <v>1617.5534229157984</v>
      </c>
      <c r="BW95" s="648">
        <f t="shared" si="399"/>
        <v>1673.4987840108606</v>
      </c>
      <c r="BX95" s="648">
        <f t="shared" si="399"/>
        <v>1730.2662891122473</v>
      </c>
      <c r="BY95" s="648">
        <f t="shared" si="399"/>
        <v>1787.8155627202848</v>
      </c>
      <c r="BZ95" s="648">
        <f t="shared" si="399"/>
        <v>1846.1035884155856</v>
      </c>
      <c r="CA95" s="648">
        <f t="shared" si="399"/>
        <v>1902.1021696344376</v>
      </c>
      <c r="CB95" s="648">
        <f t="shared" si="399"/>
        <v>1955.4914459187212</v>
      </c>
      <c r="CC95" s="648">
        <f t="shared" si="399"/>
        <v>2005.9571691107863</v>
      </c>
      <c r="CD95" s="648">
        <f t="shared" si="399"/>
        <v>2053.1934140617282</v>
      </c>
      <c r="CE95" s="648">
        <f t="shared" si="399"/>
        <v>2096.9052841187577</v>
      </c>
      <c r="CF95" s="648">
        <f t="shared" si="399"/>
        <v>2141.0325117682337</v>
      </c>
      <c r="CG95" s="648">
        <f t="shared" si="399"/>
        <v>2185.5671385461319</v>
      </c>
      <c r="CH95" s="648">
        <f t="shared" si="399"/>
        <v>2230.5008458164025</v>
      </c>
      <c r="CI95" s="648">
        <f t="shared" si="399"/>
        <v>2275.8249519431379</v>
      </c>
      <c r="CJ95" s="648">
        <f t="shared" si="399"/>
        <v>2321.5304096161758</v>
      </c>
      <c r="CK95" s="648">
        <f t="shared" si="399"/>
        <v>2367.6364776511241</v>
      </c>
      <c r="CL95" s="648">
        <f t="shared" si="399"/>
        <v>2414.1351603204739</v>
      </c>
      <c r="CM95" s="648">
        <f t="shared" si="399"/>
        <v>2461.0181267405096</v>
      </c>
      <c r="CN95" s="648">
        <f t="shared" si="399"/>
        <v>2508.2767082140899</v>
      </c>
      <c r="CO95" s="648">
        <f t="shared" si="399"/>
        <v>2555.9018956918562</v>
      </c>
      <c r="CP95" s="648">
        <f t="shared" si="399"/>
        <v>2603.9114992319146</v>
      </c>
      <c r="CQ95" s="648">
        <f t="shared" si="399"/>
        <v>2652.2974326318354</v>
      </c>
      <c r="CR95" s="648">
        <f t="shared" si="399"/>
        <v>2701.0512945192268</v>
      </c>
      <c r="CS95" s="648">
        <f t="shared" si="399"/>
        <v>2750.1643657968193</v>
      </c>
      <c r="CT95" s="648">
        <f t="shared" si="399"/>
        <v>2799.6276071781717</v>
      </c>
      <c r="CU95" s="648"/>
      <c r="CV95" s="648">
        <f t="shared" ref="CV95:DZ95" si="400">CV25*$EF95</f>
        <v>1270.4778965029006</v>
      </c>
      <c r="CW95" s="648">
        <f t="shared" si="400"/>
        <v>1352.6033947047606</v>
      </c>
      <c r="CX95" s="648">
        <f t="shared" si="400"/>
        <v>1432.8795482576179</v>
      </c>
      <c r="CY95" s="648">
        <f t="shared" si="400"/>
        <v>1512.4685972304851</v>
      </c>
      <c r="CZ95" s="648">
        <f t="shared" si="400"/>
        <v>1590.904023149775</v>
      </c>
      <c r="DA95" s="648">
        <f t="shared" si="400"/>
        <v>1667.6534147914981</v>
      </c>
      <c r="DB95" s="648">
        <f t="shared" si="400"/>
        <v>1746.4749304677277</v>
      </c>
      <c r="DC95" s="648">
        <f t="shared" si="400"/>
        <v>1826.9013874266323</v>
      </c>
      <c r="DD95" s="648">
        <f t="shared" si="400"/>
        <v>1908.8813631298285</v>
      </c>
      <c r="DE95" s="648">
        <f t="shared" si="400"/>
        <v>1992.3445898924683</v>
      </c>
      <c r="DF95" s="648">
        <f t="shared" si="400"/>
        <v>2077.2089487601579</v>
      </c>
      <c r="DG95" s="648">
        <f t="shared" si="400"/>
        <v>2151.3978265161008</v>
      </c>
      <c r="DH95" s="648">
        <f t="shared" si="400"/>
        <v>2222.3636197956353</v>
      </c>
      <c r="DI95" s="648">
        <f t="shared" si="400"/>
        <v>2291.2175378912648</v>
      </c>
      <c r="DJ95" s="648">
        <f t="shared" si="400"/>
        <v>2356.7130230710709</v>
      </c>
      <c r="DK95" s="648">
        <f t="shared" si="400"/>
        <v>2418.4885980948852</v>
      </c>
      <c r="DL95" s="648">
        <f t="shared" si="400"/>
        <v>2480.4463723402168</v>
      </c>
      <c r="DM95" s="648">
        <f t="shared" si="400"/>
        <v>2543.045347953233</v>
      </c>
      <c r="DN95" s="648">
        <f t="shared" si="400"/>
        <v>2606.5607770832617</v>
      </c>
      <c r="DO95" s="648">
        <f t="shared" si="400"/>
        <v>2671.2746418929396</v>
      </c>
      <c r="DP95" s="648">
        <f t="shared" si="400"/>
        <v>2738.5595761728196</v>
      </c>
      <c r="DQ95" s="648">
        <f t="shared" si="400"/>
        <v>2794.6654244088686</v>
      </c>
      <c r="DR95" s="648">
        <f t="shared" si="400"/>
        <v>2848.9361017702104</v>
      </c>
      <c r="DS95" s="648">
        <f t="shared" si="400"/>
        <v>2905.2150919060477</v>
      </c>
      <c r="DT95" s="648">
        <f t="shared" si="400"/>
        <v>2963.0325141790236</v>
      </c>
      <c r="DU95" s="648">
        <f t="shared" si="400"/>
        <v>3022.7353095396011</v>
      </c>
      <c r="DV95" s="648">
        <f t="shared" si="400"/>
        <v>3084.808773164485</v>
      </c>
      <c r="DW95" s="648">
        <f t="shared" si="400"/>
        <v>3148.7674852185564</v>
      </c>
      <c r="DX95" s="648">
        <f t="shared" si="400"/>
        <v>3214.557432219332</v>
      </c>
      <c r="DY95" s="648">
        <f t="shared" si="400"/>
        <v>3282.1173157870403</v>
      </c>
      <c r="DZ95" s="648">
        <f t="shared" si="400"/>
        <v>3355.4679726440781</v>
      </c>
      <c r="EF95" s="157">
        <v>27</v>
      </c>
      <c r="EG95" s="51"/>
      <c r="EH95" s="51"/>
      <c r="EI95" s="51"/>
      <c r="EJ95" s="51"/>
    </row>
    <row r="96" spans="1:143" x14ac:dyDescent="0.2">
      <c r="A96" s="1"/>
      <c r="B96" t="s">
        <v>1939</v>
      </c>
      <c r="C96" s="54" t="s">
        <v>114</v>
      </c>
      <c r="D96" s="648">
        <f>D25*$EF96*('Scope 3 Yearly'!D20/SUM('Scope 3 Yearly'!D19:D20))</f>
        <v>0.14530209698913724</v>
      </c>
      <c r="E96" s="648">
        <f>E25*$EF96*('Scope 3 Yearly'!E20/SUM('Scope 3 Yearly'!E19:E20))</f>
        <v>0.2976439971134926</v>
      </c>
      <c r="F96" s="648">
        <f>F25*$EF96*('Scope 3 Yearly'!F20/SUM('Scope 3 Yearly'!F19:F20))</f>
        <v>0.60526051354287391</v>
      </c>
      <c r="G96" s="648">
        <f>G25*$EF96*('Scope 3 Yearly'!G20/SUM('Scope 3 Yearly'!G19:G20))</f>
        <v>1.2235821232613209</v>
      </c>
      <c r="H96" s="648">
        <f>H25*$EF96*('Scope 3 Yearly'!H20/SUM('Scope 3 Yearly'!H19:H20))</f>
        <v>2.4562485529439515</v>
      </c>
      <c r="I96" s="648">
        <f>I25*$EF96*('Scope 3 Yearly'!I20/SUM('Scope 3 Yearly'!I19:I20))</f>
        <v>4.8897456397622046</v>
      </c>
      <c r="J96" s="648">
        <f>J25*$EF96*('Scope 3 Yearly'!J20/SUM('Scope 3 Yearly'!J19:J20))</f>
        <v>9.610893909270791</v>
      </c>
      <c r="K96" s="648">
        <f>K25*$EF96*('Scope 3 Yearly'!K20/SUM('Scope 3 Yearly'!K19:K20))</f>
        <v>18.690147739307371</v>
      </c>
      <c r="L96" s="648">
        <f>L25*$EF96*('Scope 3 Yearly'!L20/SUM('Scope 3 Yearly'!L19:L20))</f>
        <v>35.839053934257862</v>
      </c>
      <c r="M96" s="648">
        <f>M25*$EF96*('Scope 3 Yearly'!M20/SUM('Scope 3 Yearly'!M19:M20))</f>
        <v>67.462634545738723</v>
      </c>
      <c r="N96" s="648">
        <f>N25*$EF96*('Scope 3 Yearly'!N20/SUM('Scope 3 Yearly'!N19:N20))</f>
        <v>123.96434694466396</v>
      </c>
      <c r="O96" s="648">
        <f>O25*$EF96*('Scope 3 Yearly'!O20/SUM('Scope 3 Yearly'!O19:O20))</f>
        <v>218.10241507887761</v>
      </c>
      <c r="P96" s="648">
        <f>P25*$EF96*('Scope 3 Yearly'!P20/SUM('Scope 3 Yearly'!P19:P20))</f>
        <v>369.09489568846976</v>
      </c>
      <c r="Q96" s="648">
        <f>Q25*$EF96*('Scope 3 Yearly'!Q20/SUM('Scope 3 Yearly'!Q19:Q20))</f>
        <v>594.47532012434499</v>
      </c>
      <c r="R96" s="648">
        <f>R25*$EF96*('Scope 3 Yearly'!R20/SUM('Scope 3 Yearly'!R19:R20))</f>
        <v>906.47017671307628</v>
      </c>
      <c r="S96" s="648">
        <f>S25*$EF96*('Scope 3 Yearly'!S20/SUM('Scope 3 Yearly'!S19:S20))</f>
        <v>1302.3431614587935</v>
      </c>
      <c r="T96" s="648">
        <f>T25*$EF96*('Scope 3 Yearly'!T20/SUM('Scope 3 Yearly'!T19:T20))</f>
        <v>1764.8035725394004</v>
      </c>
      <c r="U96" s="648">
        <f>U25*$EF96*('Scope 3 Yearly'!U20/SUM('Scope 3 Yearly'!U19:U20))</f>
        <v>2257.4566438396387</v>
      </c>
      <c r="V96" s="648">
        <f>V25*$EF96*('Scope 3 Yearly'!V20/SUM('Scope 3 Yearly'!V19:V20))</f>
        <v>2739.6051125410054</v>
      </c>
      <c r="W96" s="648">
        <f>W25*$EF96*('Scope 3 Yearly'!W20/SUM('Scope 3 Yearly'!W19:W20))</f>
        <v>3176.4517426296384</v>
      </c>
      <c r="X96" s="648">
        <f>X25*$EF96*('Scope 3 Yearly'!X20/SUM('Scope 3 Yearly'!X19:X20))</f>
        <v>3548.2921232897579</v>
      </c>
      <c r="Y96" s="648">
        <f>Y25*$EF96*('Scope 3 Yearly'!Y20/SUM('Scope 3 Yearly'!Y19:Y20))</f>
        <v>3789.9064474056522</v>
      </c>
      <c r="Z96" s="648">
        <f>Z25*$EF96*('Scope 3 Yearly'!Z20/SUM('Scope 3 Yearly'!Z19:Z20))</f>
        <v>3974.258257710464</v>
      </c>
      <c r="AA96" s="648">
        <f>AA25*$EF96*('Scope 3 Yearly'!AA20/SUM('Scope 3 Yearly'!AA19:AA20))</f>
        <v>4090.1303267363305</v>
      </c>
      <c r="AB96" s="648">
        <f>AB25*$EF96*('Scope 3 Yearly'!AB20/SUM('Scope 3 Yearly'!AB19:AB20))</f>
        <v>4150.4131468729474</v>
      </c>
      <c r="AC96" s="648">
        <f>AC25*$EF96*('Scope 3 Yearly'!AC20/SUM('Scope 3 Yearly'!AC19:AC20))</f>
        <v>4166.9475488398793</v>
      </c>
      <c r="AD96" s="648">
        <f>AD25*$EF96*('Scope 3 Yearly'!AD20/SUM('Scope 3 Yearly'!AD19:AD20))</f>
        <v>4147.0723451637123</v>
      </c>
      <c r="AE96" s="648">
        <f>AE25*$EF96*('Scope 3 Yearly'!AE20/SUM('Scope 3 Yearly'!AE19:AE20))</f>
        <v>4100.667584186026</v>
      </c>
      <c r="AF96" s="648">
        <f>AF25*$EF96*('Scope 3 Yearly'!AF20/SUM('Scope 3 Yearly'!AF19:AF20))</f>
        <v>4033.3661629303942</v>
      </c>
      <c r="AG96" s="648">
        <f>AG25*$EF96*('Scope 3 Yearly'!AG20/SUM('Scope 3 Yearly'!AG19:AG20))</f>
        <v>3949.6400175547342</v>
      </c>
      <c r="AH96" s="648">
        <f>AH25*$EF96*('Scope 3 Yearly'!AH20/SUM('Scope 3 Yearly'!AH19:AH20))</f>
        <v>3855.6940996432604</v>
      </c>
      <c r="AI96" s="648"/>
      <c r="AJ96" s="648">
        <f>AJ25*$EF96*('Scope 3 Yearly'!AJ20/SUM('Scope 3 Yearly'!AJ19:AJ20))</f>
        <v>0.14530212872366544</v>
      </c>
      <c r="AK96" s="648">
        <f>AK25*$EF96*('Scope 3 Yearly'!AK20/SUM('Scope 3 Yearly'!AK19:AK20))</f>
        <v>0.29803691871692312</v>
      </c>
      <c r="AL96" s="648">
        <f>AL25*$EF96*('Scope 3 Yearly'!AL20/SUM('Scope 3 Yearly'!AL19:AL20))</f>
        <v>0.60693349838749588</v>
      </c>
      <c r="AM96" s="648">
        <f>AM25*$EF96*('Scope 3 Yearly'!AM20/SUM('Scope 3 Yearly'!AM19:AM20))</f>
        <v>1.2287136257149476</v>
      </c>
      <c r="AN96" s="648">
        <f>AN25*$EF96*('Scope 3 Yearly'!AN20/SUM('Scope 3 Yearly'!AN19:AN20))</f>
        <v>2.4701441266399002</v>
      </c>
      <c r="AO96" s="648">
        <f>AO25*$EF96*('Scope 3 Yearly'!AO20/SUM('Scope 3 Yearly'!AO19:AO20))</f>
        <v>4.9247377128984136</v>
      </c>
      <c r="AP96" s="648">
        <f>AP25*$EF96*('Scope 3 Yearly'!AP20/SUM('Scope 3 Yearly'!AP19:AP20))</f>
        <v>9.7190927977348025</v>
      </c>
      <c r="AQ96" s="648">
        <f>AQ25*$EF96*('Scope 3 Yearly'!AQ20/SUM('Scope 3 Yearly'!AQ19:AQ20))</f>
        <v>18.979895166497453</v>
      </c>
      <c r="AR96" s="648">
        <f>AR25*$EF96*('Scope 3 Yearly'!AR20/SUM('Scope 3 Yearly'!AR19:AR20))</f>
        <v>36.55236996526196</v>
      </c>
      <c r="AS96" s="648">
        <f>AS25*$EF96*('Scope 3 Yearly'!AS20/SUM('Scope 3 Yearly'!AS19:AS20))</f>
        <v>69.114037711382224</v>
      </c>
      <c r="AT96" s="648">
        <f>AT25*$EF96*('Scope 3 Yearly'!AT20/SUM('Scope 3 Yearly'!AT19:AT20))</f>
        <v>127.59133146918415</v>
      </c>
      <c r="AU96" s="648">
        <f>AU25*$EF96*('Scope 3 Yearly'!AU20/SUM('Scope 3 Yearly'!AU19:AU20))</f>
        <v>226.02470806987338</v>
      </c>
      <c r="AV96" s="648">
        <f>AV25*$EF96*('Scope 3 Yearly'!AV20/SUM('Scope 3 Yearly'!AV19:AV20))</f>
        <v>385.19934954611347</v>
      </c>
      <c r="AW96" s="648">
        <f>AW25*$EF96*('Scope 3 Yearly'!AW20/SUM('Scope 3 Yearly'!AW19:AW20))</f>
        <v>625.3664098418019</v>
      </c>
      <c r="AX96" s="648">
        <f>AX25*$EF96*('Scope 3 Yearly'!AX20/SUM('Scope 3 Yearly'!AX19:AX20))</f>
        <v>961.71371238193285</v>
      </c>
      <c r="AY96" s="648">
        <f>AY25*$EF96*('Scope 3 Yearly'!AY20/SUM('Scope 3 Yearly'!AY19:AY20))</f>
        <v>1394.3043670940815</v>
      </c>
      <c r="AZ96" s="648">
        <f>AZ25*$EF96*('Scope 3 Yearly'!AZ20/SUM('Scope 3 Yearly'!AZ19:AZ20))</f>
        <v>1906.6922981935268</v>
      </c>
      <c r="BA96" s="648">
        <f>BA25*$EF96*('Scope 3 Yearly'!BA20/SUM('Scope 3 Yearly'!BA19:BA20))</f>
        <v>2462.9133645858465</v>
      </c>
      <c r="BB96" s="648">
        <f>BB25*$EF96*('Scope 3 Yearly'!BB20/SUM('Scope 3 Yearly'!BB19:BB20))</f>
        <v>3019.8272065776564</v>
      </c>
      <c r="BC96" s="648">
        <f>BC25*$EF96*('Scope 3 Yearly'!BC20/SUM('Scope 3 Yearly'!BC19:BC20))</f>
        <v>3539.0775691164913</v>
      </c>
      <c r="BD96" s="648">
        <f>BD25*$EF96*('Scope 3 Yearly'!BD20/SUM('Scope 3 Yearly'!BD19:BD20))</f>
        <v>3997.3809082722719</v>
      </c>
      <c r="BE96" s="648">
        <f>BE25*$EF96*('Scope 3 Yearly'!BE20/SUM('Scope 3 Yearly'!BE19:BE20))</f>
        <v>4330.9385758077169</v>
      </c>
      <c r="BF96" s="648">
        <f>BF25*$EF96*('Scope 3 Yearly'!BF20/SUM('Scope 3 Yearly'!BF19:BF20))</f>
        <v>4603.7188408347165</v>
      </c>
      <c r="BG96" s="648">
        <f>BG25*$EF96*('Scope 3 Yearly'!BG20/SUM('Scope 3 Yearly'!BG19:BG20))</f>
        <v>4808.1548175718999</v>
      </c>
      <c r="BH96" s="648">
        <f>BH25*$EF96*('Scope 3 Yearly'!BH20/SUM('Scope 3 Yearly'!BH19:BH20))</f>
        <v>4956.0859955238293</v>
      </c>
      <c r="BI96" s="648">
        <f>BI25*$EF96*('Scope 3 Yearly'!BI20/SUM('Scope 3 Yearly'!BI19:BI20))</f>
        <v>5059.8277161185833</v>
      </c>
      <c r="BJ96" s="648">
        <f>BJ25*$EF96*('Scope 3 Yearly'!BJ20/SUM('Scope 3 Yearly'!BJ19:BJ20))</f>
        <v>5128.6709587026926</v>
      </c>
      <c r="BK96" s="648">
        <f>BK25*$EF96*('Scope 3 Yearly'!BK20/SUM('Scope 3 Yearly'!BK19:BK20))</f>
        <v>5171.4491226958025</v>
      </c>
      <c r="BL96" s="648">
        <f>BL25*$EF96*('Scope 3 Yearly'!BL20/SUM('Scope 3 Yearly'!BL19:BL20))</f>
        <v>5194.3576318896548</v>
      </c>
      <c r="BM96" s="648">
        <f>BM25*$EF96*('Scope 3 Yearly'!BM20/SUM('Scope 3 Yearly'!BM19:BM20))</f>
        <v>5201.9818721096253</v>
      </c>
      <c r="BN96" s="648">
        <f>BN25*$EF96*('Scope 3 Yearly'!BN20/SUM('Scope 3 Yearly'!BN19:BN20))</f>
        <v>5207.6647628784249</v>
      </c>
      <c r="BO96" s="648"/>
      <c r="BP96" s="648">
        <f>BP25*$EF96*('Scope 3 Yearly'!BP20/SUM('Scope 3 Yearly'!BP19:BP20))</f>
        <v>0</v>
      </c>
      <c r="BQ96" s="648">
        <f>BQ25*$EF96*('Scope 3 Yearly'!BQ20/SUM('Scope 3 Yearly'!BQ19:BQ20))</f>
        <v>0</v>
      </c>
      <c r="BR96" s="648">
        <f>BR25*$EF96*('Scope 3 Yearly'!BR20/SUM('Scope 3 Yearly'!BR19:BR20))</f>
        <v>0</v>
      </c>
      <c r="BS96" s="648">
        <f>BS25*$EF96*('Scope 3 Yearly'!BS20/SUM('Scope 3 Yearly'!BS19:BS20))</f>
        <v>0</v>
      </c>
      <c r="BT96" s="648">
        <f>BT25*$EF96*('Scope 3 Yearly'!BT20/SUM('Scope 3 Yearly'!BT19:BT20))</f>
        <v>0</v>
      </c>
      <c r="BU96" s="648">
        <f>BU25*$EF96*('Scope 3 Yearly'!BU20/SUM('Scope 3 Yearly'!BU19:BU20))</f>
        <v>0</v>
      </c>
      <c r="BV96" s="648">
        <f>BV25*$EF96*('Scope 3 Yearly'!BV20/SUM('Scope 3 Yearly'!BV19:BV20))</f>
        <v>0</v>
      </c>
      <c r="BW96" s="648">
        <f>BW25*$EF96*('Scope 3 Yearly'!BW20/SUM('Scope 3 Yearly'!BW19:BW20))</f>
        <v>0</v>
      </c>
      <c r="BX96" s="648">
        <f>BX25*$EF96*('Scope 3 Yearly'!BX20/SUM('Scope 3 Yearly'!BX19:BX20))</f>
        <v>0</v>
      </c>
      <c r="BY96" s="648">
        <f>BY25*$EF96*('Scope 3 Yearly'!BY20/SUM('Scope 3 Yearly'!BY19:BY20))</f>
        <v>0</v>
      </c>
      <c r="BZ96" s="648">
        <f>BZ25*$EF96*('Scope 3 Yearly'!BZ20/SUM('Scope 3 Yearly'!BZ19:BZ20))</f>
        <v>0</v>
      </c>
      <c r="CA96" s="648">
        <f>CA25*$EF96*('Scope 3 Yearly'!CA20/SUM('Scope 3 Yearly'!CA19:CA20))</f>
        <v>0</v>
      </c>
      <c r="CB96" s="648">
        <f>CB25*$EF96*('Scope 3 Yearly'!CB20/SUM('Scope 3 Yearly'!CB19:CB20))</f>
        <v>0</v>
      </c>
      <c r="CC96" s="648">
        <f>CC25*$EF96*('Scope 3 Yearly'!CC20/SUM('Scope 3 Yearly'!CC19:CC20))</f>
        <v>0</v>
      </c>
      <c r="CD96" s="648">
        <f>CD25*$EF96*('Scope 3 Yearly'!CD20/SUM('Scope 3 Yearly'!CD19:CD20))</f>
        <v>0</v>
      </c>
      <c r="CE96" s="648">
        <f>CE25*$EF96*('Scope 3 Yearly'!CE20/SUM('Scope 3 Yearly'!CE19:CE20))</f>
        <v>0</v>
      </c>
      <c r="CF96" s="648">
        <f>CF25*$EF96*('Scope 3 Yearly'!CF20/SUM('Scope 3 Yearly'!CF19:CF20))</f>
        <v>0</v>
      </c>
      <c r="CG96" s="648">
        <f>CG25*$EF96*('Scope 3 Yearly'!CG20/SUM('Scope 3 Yearly'!CG19:CG20))</f>
        <v>0</v>
      </c>
      <c r="CH96" s="648">
        <f>CH25*$EF96*('Scope 3 Yearly'!CH20/SUM('Scope 3 Yearly'!CH19:CH20))</f>
        <v>0</v>
      </c>
      <c r="CI96" s="648">
        <f>CI25*$EF96*('Scope 3 Yearly'!CI20/SUM('Scope 3 Yearly'!CI19:CI20))</f>
        <v>0</v>
      </c>
      <c r="CJ96" s="648">
        <f>CJ25*$EF96*('Scope 3 Yearly'!CJ20/SUM('Scope 3 Yearly'!CJ19:CJ20))</f>
        <v>0</v>
      </c>
      <c r="CK96" s="648">
        <f>CK25*$EF96*('Scope 3 Yearly'!CK20/SUM('Scope 3 Yearly'!CK19:CK20))</f>
        <v>0</v>
      </c>
      <c r="CL96" s="648">
        <f>CL25*$EF96*('Scope 3 Yearly'!CL20/SUM('Scope 3 Yearly'!CL19:CL20))</f>
        <v>0</v>
      </c>
      <c r="CM96" s="648">
        <f>CM25*$EF96*('Scope 3 Yearly'!CM20/SUM('Scope 3 Yearly'!CM19:CM20))</f>
        <v>0</v>
      </c>
      <c r="CN96" s="648">
        <f>CN25*$EF96*('Scope 3 Yearly'!CN20/SUM('Scope 3 Yearly'!CN19:CN20))</f>
        <v>0</v>
      </c>
      <c r="CO96" s="648">
        <f>CO25*$EF96*('Scope 3 Yearly'!CO20/SUM('Scope 3 Yearly'!CO19:CO20))</f>
        <v>0</v>
      </c>
      <c r="CP96" s="648">
        <f>CP25*$EF96*('Scope 3 Yearly'!CP20/SUM('Scope 3 Yearly'!CP19:CP20))</f>
        <v>0</v>
      </c>
      <c r="CQ96" s="648">
        <f>CQ25*$EF96*('Scope 3 Yearly'!CQ20/SUM('Scope 3 Yearly'!CQ19:CQ20))</f>
        <v>0</v>
      </c>
      <c r="CR96" s="648">
        <f>CR25*$EF96*('Scope 3 Yearly'!CR20/SUM('Scope 3 Yearly'!CR19:CR20))</f>
        <v>0</v>
      </c>
      <c r="CS96" s="648">
        <f>CS25*$EF96*('Scope 3 Yearly'!CS20/SUM('Scope 3 Yearly'!CS19:CS20))</f>
        <v>0</v>
      </c>
      <c r="CT96" s="648">
        <f>CT25*$EF96*('Scope 3 Yearly'!CT20/SUM('Scope 3 Yearly'!CT19:CT20))</f>
        <v>0</v>
      </c>
      <c r="CU96" s="648"/>
      <c r="CV96" s="648">
        <f>CV25*$EF96*('Scope 3 Yearly'!CV20/SUM('Scope 3 Yearly'!CV19:CV20))</f>
        <v>0.14530212872366544</v>
      </c>
      <c r="CW96" s="648">
        <f>CW25*$EF96*('Scope 3 Yearly'!CW20/SUM('Scope 3 Yearly'!CW19:CW20))</f>
        <v>0.29955600599473314</v>
      </c>
      <c r="CX96" s="648">
        <f>CX25*$EF96*('Scope 3 Yearly'!CX20/SUM('Scope 3 Yearly'!CX19:CX20))</f>
        <v>0.61343852399839638</v>
      </c>
      <c r="CY96" s="648">
        <f>CY25*$EF96*('Scope 3 Yearly'!CY20/SUM('Scope 3 Yearly'!CY19:CY20))</f>
        <v>1.2486638967324979</v>
      </c>
      <c r="CZ96" s="648">
        <f>CZ25*$EF96*('Scope 3 Yearly'!CZ20/SUM('Scope 3 Yearly'!CZ19:CZ20))</f>
        <v>2.5241544480362257</v>
      </c>
      <c r="DA96" s="648">
        <f>DA25*$EF96*('Scope 3 Yearly'!DA20/SUM('Scope 3 Yearly'!DA19:DA20))</f>
        <v>5.0606894810810852</v>
      </c>
      <c r="DB96" s="648">
        <f>DB25*$EF96*('Scope 3 Yearly'!DB20/SUM('Scope 3 Yearly'!DB19:DB20))</f>
        <v>10.069264082091037</v>
      </c>
      <c r="DC96" s="648">
        <f>DC25*$EF96*('Scope 3 Yearly'!DC20/SUM('Scope 3 Yearly'!DC19:DC20))</f>
        <v>19.827501987697207</v>
      </c>
      <c r="DD96" s="648">
        <f>DD25*$EF96*('Scope 3 Yearly'!DD20/SUM('Scope 3 Yearly'!DD19:DD20))</f>
        <v>38.507866166524188</v>
      </c>
      <c r="DE96" s="648">
        <f>DE25*$EF96*('Scope 3 Yearly'!DE20/SUM('Scope 3 Yearly'!DE19:DE20))</f>
        <v>73.437600248459219</v>
      </c>
      <c r="DF96" s="648">
        <f>DF25*$EF96*('Scope 3 Yearly'!DF20/SUM('Scope 3 Yearly'!DF19:DF20))</f>
        <v>136.75763719490766</v>
      </c>
      <c r="DG96" s="648">
        <f>DG25*$EF96*('Scope 3 Yearly'!DG20/SUM('Scope 3 Yearly'!DG19:DG20))</f>
        <v>245.65687280817883</v>
      </c>
      <c r="DH96" s="648">
        <f>DH25*$EF96*('Scope 3 Yearly'!DH20/SUM('Scope 3 Yearly'!DH19:DH20))</f>
        <v>424.14324671332184</v>
      </c>
      <c r="DI96" s="648">
        <f>DI25*$EF96*('Scope 3 Yearly'!DI20/SUM('Scope 3 Yearly'!DI19:DI20))</f>
        <v>698.99311450940297</v>
      </c>
      <c r="DJ96" s="648">
        <f>DJ25*$EF96*('Scope 3 Yearly'!DJ20/SUM('Scope 3 Yearly'!DJ19:DJ20))</f>
        <v>1091.6578668273025</v>
      </c>
      <c r="DK96" s="648">
        <f>DK25*$EF96*('Scope 3 Yearly'!DK20/SUM('Scope 3 Yearly'!DK19:DK20))</f>
        <v>1608.0446039377312</v>
      </c>
      <c r="DL96" s="648">
        <f>DL25*$EF96*('Scope 3 Yearly'!DL20/SUM('Scope 3 Yearly'!DL19:DL20))</f>
        <v>2234.1664174650418</v>
      </c>
      <c r="DM96" s="648">
        <f>DM25*$EF96*('Scope 3 Yearly'!DM20/SUM('Scope 3 Yearly'!DM19:DM20))</f>
        <v>2933.4070971283672</v>
      </c>
      <c r="DN96" s="648">
        <f>DN25*$EF96*('Scope 3 Yearly'!DN20/SUM('Scope 3 Yearly'!DN19:DN20))</f>
        <v>3657.4869451718773</v>
      </c>
      <c r="DO96" s="648">
        <f>DO25*$EF96*('Scope 3 Yearly'!DO20/SUM('Scope 3 Yearly'!DO19:DO20))</f>
        <v>4360.6382183543456</v>
      </c>
      <c r="DP96" s="648">
        <f>DP25*$EF96*('Scope 3 Yearly'!DP20/SUM('Scope 3 Yearly'!DP19:DP20))</f>
        <v>5012.1348775611241</v>
      </c>
      <c r="DQ96" s="648">
        <f>DQ25*$EF96*('Scope 3 Yearly'!DQ20/SUM('Scope 3 Yearly'!DQ19:DQ20))</f>
        <v>5568.2512934820079</v>
      </c>
      <c r="DR96" s="648">
        <f>DR25*$EF96*('Scope 3 Yearly'!DR20/SUM('Scope 3 Yearly'!DR19:DR20))</f>
        <v>6040.7941656832636</v>
      </c>
      <c r="DS96" s="648">
        <f>DS25*$EF96*('Scope 3 Yearly'!DS20/SUM('Scope 3 Yearly'!DS19:DS20))</f>
        <v>6444.3308927639446</v>
      </c>
      <c r="DT96" s="648">
        <f>DT25*$EF96*('Scope 3 Yearly'!DT20/SUM('Scope 3 Yearly'!DT19:DT20))</f>
        <v>6789.2885417009211</v>
      </c>
      <c r="DU96" s="648">
        <f>DU25*$EF96*('Scope 3 Yearly'!DU20/SUM('Scope 3 Yearly'!DU19:DU20))</f>
        <v>7088.6301402996378</v>
      </c>
      <c r="DV96" s="648">
        <f>DV25*$EF96*('Scope 3 Yearly'!DV20/SUM('Scope 3 Yearly'!DV19:DV20))</f>
        <v>7354.689245277008</v>
      </c>
      <c r="DW96" s="648">
        <f>DW25*$EF96*('Scope 3 Yearly'!DW20/SUM('Scope 3 Yearly'!DW19:DW20))</f>
        <v>7595.7339797935401</v>
      </c>
      <c r="DX96" s="648">
        <f>DX25*$EF96*('Scope 3 Yearly'!DX20/SUM('Scope 3 Yearly'!DX19:DX20))</f>
        <v>7819.1284517926988</v>
      </c>
      <c r="DY96" s="648">
        <f>DY25*$EF96*('Scope 3 Yearly'!DY20/SUM('Scope 3 Yearly'!DY19:DY20))</f>
        <v>8030.5129228897895</v>
      </c>
      <c r="DZ96" s="648">
        <f>DZ25*$EF96*('Scope 3 Yearly'!DZ20/SUM('Scope 3 Yearly'!DZ19:DZ20))</f>
        <v>8244.1411360678667</v>
      </c>
      <c r="EF96" s="157">
        <v>67</v>
      </c>
      <c r="EG96" s="51"/>
      <c r="EH96" s="51"/>
      <c r="EI96" s="51"/>
      <c r="EJ96" s="51"/>
    </row>
    <row r="97" spans="1:143" x14ac:dyDescent="0.2">
      <c r="A97" s="1"/>
      <c r="B97" t="str">
        <f>B26</f>
        <v>Landfill</v>
      </c>
      <c r="C97" s="54" t="s">
        <v>114</v>
      </c>
      <c r="D97" s="648">
        <f t="shared" ref="D97:AH97" si="401">D26*$EF97</f>
        <v>2502.7232726642046</v>
      </c>
      <c r="E97" s="648">
        <f t="shared" si="401"/>
        <v>2573.6342792364076</v>
      </c>
      <c r="F97" s="648">
        <f t="shared" si="401"/>
        <v>2634.4691256085498</v>
      </c>
      <c r="G97" s="648">
        <f t="shared" si="401"/>
        <v>2690.0267978756374</v>
      </c>
      <c r="H97" s="648">
        <f t="shared" si="401"/>
        <v>2739.3276590353921</v>
      </c>
      <c r="I97" s="648">
        <f t="shared" si="401"/>
        <v>2781.9817798637077</v>
      </c>
      <c r="J97" s="648">
        <f t="shared" si="401"/>
        <v>2810.4434298248971</v>
      </c>
      <c r="K97" s="648">
        <f t="shared" si="401"/>
        <v>2837.3158861630232</v>
      </c>
      <c r="L97" s="648">
        <f t="shared" si="401"/>
        <v>2862.4924761097832</v>
      </c>
      <c r="M97" s="648">
        <f t="shared" si="401"/>
        <v>2885.8299854184988</v>
      </c>
      <c r="N97" s="648">
        <f t="shared" si="401"/>
        <v>2907.1502643310882</v>
      </c>
      <c r="O97" s="648">
        <f t="shared" si="401"/>
        <v>2889.6047263103651</v>
      </c>
      <c r="P97" s="648">
        <f t="shared" si="401"/>
        <v>2868.278135566854</v>
      </c>
      <c r="Q97" s="648">
        <f t="shared" si="401"/>
        <v>2834.9196671739705</v>
      </c>
      <c r="R97" s="648">
        <f t="shared" si="401"/>
        <v>2794.1331193713118</v>
      </c>
      <c r="S97" s="648">
        <f t="shared" si="401"/>
        <v>2746.1313930462184</v>
      </c>
      <c r="T97" s="648">
        <f t="shared" si="401"/>
        <v>2698.6335520159587</v>
      </c>
      <c r="U97" s="648">
        <f t="shared" si="401"/>
        <v>2649.2035047497097</v>
      </c>
      <c r="V97" s="648">
        <f t="shared" si="401"/>
        <v>2598.705927531154</v>
      </c>
      <c r="W97" s="648">
        <f t="shared" si="401"/>
        <v>2547.6854251533027</v>
      </c>
      <c r="X97" s="648">
        <f t="shared" si="401"/>
        <v>2497.9185097856334</v>
      </c>
      <c r="Y97" s="648">
        <f t="shared" si="401"/>
        <v>2412.6241791234688</v>
      </c>
      <c r="Z97" s="648">
        <f t="shared" si="401"/>
        <v>2341.2367490073984</v>
      </c>
      <c r="AA97" s="648">
        <f t="shared" si="401"/>
        <v>2269.038759727805</v>
      </c>
      <c r="AB97" s="648">
        <f t="shared" si="401"/>
        <v>2196.6401718404554</v>
      </c>
      <c r="AC97" s="648">
        <f t="shared" si="401"/>
        <v>2124.2429879348074</v>
      </c>
      <c r="AD97" s="648">
        <f t="shared" si="401"/>
        <v>2050.6109823599481</v>
      </c>
      <c r="AE97" s="648">
        <f t="shared" si="401"/>
        <v>1976.8057513377821</v>
      </c>
      <c r="AF97" s="648">
        <f t="shared" si="401"/>
        <v>1902.639903643518</v>
      </c>
      <c r="AG97" s="648">
        <f t="shared" si="401"/>
        <v>1828.1176132322062</v>
      </c>
      <c r="AH97" s="648">
        <f t="shared" si="401"/>
        <v>1754.5818582211732</v>
      </c>
      <c r="AI97" s="648"/>
      <c r="AJ97" s="648">
        <f t="shared" ref="AJ97:BN97" si="402">AJ26*$EF97</f>
        <v>2502.7238192684454</v>
      </c>
      <c r="AK97" s="648">
        <f t="shared" si="402"/>
        <v>2577.0317490911607</v>
      </c>
      <c r="AL97" s="648">
        <f t="shared" si="402"/>
        <v>2641.7509932046514</v>
      </c>
      <c r="AM97" s="648">
        <f t="shared" si="402"/>
        <v>2701.3083284334948</v>
      </c>
      <c r="AN97" s="648">
        <f t="shared" si="402"/>
        <v>2754.8246775752518</v>
      </c>
      <c r="AO97" s="648">
        <f t="shared" si="402"/>
        <v>2801.890240768706</v>
      </c>
      <c r="AP97" s="648">
        <f t="shared" si="402"/>
        <v>2842.0832396145674</v>
      </c>
      <c r="AQ97" s="648">
        <f t="shared" si="402"/>
        <v>2881.3018936364865</v>
      </c>
      <c r="AR97" s="648">
        <f t="shared" si="402"/>
        <v>2919.4655696401887</v>
      </c>
      <c r="AS97" s="648">
        <f t="shared" si="402"/>
        <v>2956.4715902938319</v>
      </c>
      <c r="AT97" s="648">
        <f t="shared" si="402"/>
        <v>2992.2085030833205</v>
      </c>
      <c r="AU97" s="648">
        <f t="shared" si="402"/>
        <v>2994.565944927398</v>
      </c>
      <c r="AV97" s="648">
        <f t="shared" si="402"/>
        <v>2993.427666012034</v>
      </c>
      <c r="AW97" s="648">
        <f t="shared" si="402"/>
        <v>2982.232355885988</v>
      </c>
      <c r="AX97" s="648">
        <f t="shared" si="402"/>
        <v>2964.4175883024736</v>
      </c>
      <c r="AY97" s="648">
        <f t="shared" si="402"/>
        <v>2940.0415399345147</v>
      </c>
      <c r="AZ97" s="648">
        <f t="shared" si="402"/>
        <v>2915.6014240562704</v>
      </c>
      <c r="BA97" s="648">
        <f t="shared" si="402"/>
        <v>2890.3140776418027</v>
      </c>
      <c r="BB97" s="648">
        <f t="shared" si="402"/>
        <v>2864.5160669066104</v>
      </c>
      <c r="BC97" s="648">
        <f t="shared" si="402"/>
        <v>2838.5308740313976</v>
      </c>
      <c r="BD97" s="648">
        <f t="shared" si="402"/>
        <v>2814.0669974431012</v>
      </c>
      <c r="BE97" s="648">
        <f t="shared" si="402"/>
        <v>2757.0409115098291</v>
      </c>
      <c r="BF97" s="648">
        <f t="shared" si="402"/>
        <v>2712.0521700744534</v>
      </c>
      <c r="BG97" s="648">
        <f t="shared" si="402"/>
        <v>2667.3696856373831</v>
      </c>
      <c r="BH97" s="648">
        <f t="shared" si="402"/>
        <v>2623.0491297151834</v>
      </c>
      <c r="BI97" s="648">
        <f t="shared" si="402"/>
        <v>2579.4189679962556</v>
      </c>
      <c r="BJ97" s="648">
        <f t="shared" si="402"/>
        <v>2535.9839707380593</v>
      </c>
      <c r="BK97" s="648">
        <f t="shared" si="402"/>
        <v>2492.9966057039037</v>
      </c>
      <c r="BL97" s="648">
        <f t="shared" si="402"/>
        <v>2450.3086764252853</v>
      </c>
      <c r="BM97" s="648">
        <f t="shared" si="402"/>
        <v>2407.7725164446483</v>
      </c>
      <c r="BN97" s="648">
        <f t="shared" si="402"/>
        <v>2369.813029900261</v>
      </c>
      <c r="BO97" s="648"/>
      <c r="BP97" s="648">
        <f t="shared" ref="BP97:CT97" si="403">BP26*$EF97</f>
        <v>2502.7244942551574</v>
      </c>
      <c r="BQ97" s="648">
        <f t="shared" si="403"/>
        <v>2539.8403394424886</v>
      </c>
      <c r="BR97" s="648">
        <f t="shared" si="403"/>
        <v>2568.9807051399262</v>
      </c>
      <c r="BS97" s="648">
        <f t="shared" si="403"/>
        <v>2589.8535304046054</v>
      </c>
      <c r="BT97" s="648">
        <f t="shared" si="403"/>
        <v>2602.2367101328582</v>
      </c>
      <c r="BU97" s="648">
        <f t="shared" si="403"/>
        <v>2605.9818070265305</v>
      </c>
      <c r="BV97" s="648">
        <f t="shared" si="403"/>
        <v>2607.1702996408176</v>
      </c>
      <c r="BW97" s="648">
        <f t="shared" si="403"/>
        <v>2605.7426933054107</v>
      </c>
      <c r="BX97" s="648">
        <f t="shared" si="403"/>
        <v>2601.6432613313327</v>
      </c>
      <c r="BY97" s="648">
        <f t="shared" si="403"/>
        <v>2594.8202774507517</v>
      </c>
      <c r="BZ97" s="648">
        <f t="shared" si="403"/>
        <v>2585.2262428181384</v>
      </c>
      <c r="CA97" s="648">
        <f t="shared" si="403"/>
        <v>2568.7901752181356</v>
      </c>
      <c r="CB97" s="648">
        <f t="shared" si="403"/>
        <v>2545.5563651457624</v>
      </c>
      <c r="CC97" s="648">
        <f t="shared" si="403"/>
        <v>2515.6167590507584</v>
      </c>
      <c r="CD97" s="648">
        <f t="shared" si="403"/>
        <v>2479.1107022998181</v>
      </c>
      <c r="CE97" s="648">
        <f t="shared" si="403"/>
        <v>2436.2241632339656</v>
      </c>
      <c r="CF97" s="648">
        <f t="shared" si="403"/>
        <v>2391.9039547908051</v>
      </c>
      <c r="CG97" s="648">
        <f t="shared" si="403"/>
        <v>2346.1473760534841</v>
      </c>
      <c r="CH97" s="648">
        <f t="shared" si="403"/>
        <v>2298.9524719538877</v>
      </c>
      <c r="CI97" s="648">
        <f t="shared" si="403"/>
        <v>2250.3180479986481</v>
      </c>
      <c r="CJ97" s="648">
        <f t="shared" si="403"/>
        <v>2200.2436847576469</v>
      </c>
      <c r="CK97" s="648">
        <f t="shared" si="403"/>
        <v>2148.7557755673906</v>
      </c>
      <c r="CL97" s="648">
        <f t="shared" si="403"/>
        <v>2095.8536590841977</v>
      </c>
      <c r="CM97" s="648">
        <f t="shared" si="403"/>
        <v>2041.5373806131886</v>
      </c>
      <c r="CN97" s="648">
        <f t="shared" si="403"/>
        <v>1985.8077048845137</v>
      </c>
      <c r="CO97" s="648">
        <f t="shared" si="403"/>
        <v>1928.666128638873</v>
      </c>
      <c r="CP97" s="648">
        <f t="shared" si="403"/>
        <v>1870.1344007272173</v>
      </c>
      <c r="CQ97" s="648">
        <f t="shared" si="403"/>
        <v>1810.2137095985745</v>
      </c>
      <c r="CR97" s="648">
        <f t="shared" si="403"/>
        <v>1748.9059177486849</v>
      </c>
      <c r="CS97" s="648">
        <f t="shared" si="403"/>
        <v>1686.2135730405971</v>
      </c>
      <c r="CT97" s="648">
        <f t="shared" si="403"/>
        <v>1622.13991987484</v>
      </c>
      <c r="CU97" s="648"/>
      <c r="CV97" s="648">
        <f t="shared" ref="CV97:DZ97" si="404">CV26*$EF97</f>
        <v>2502.7238192684454</v>
      </c>
      <c r="CW97" s="648">
        <f t="shared" si="404"/>
        <v>2590.1668202810324</v>
      </c>
      <c r="CX97" s="648">
        <f t="shared" si="404"/>
        <v>2670.0648989522738</v>
      </c>
      <c r="CY97" s="648">
        <f t="shared" si="404"/>
        <v>2745.1686976247756</v>
      </c>
      <c r="CZ97" s="648">
        <f t="shared" si="404"/>
        <v>2815.0596106796465</v>
      </c>
      <c r="DA97" s="648">
        <f t="shared" si="404"/>
        <v>2879.2389148896859</v>
      </c>
      <c r="DB97" s="648">
        <f t="shared" si="404"/>
        <v>2944.4812678024568</v>
      </c>
      <c r="DC97" s="648">
        <f t="shared" si="404"/>
        <v>3009.9754778453671</v>
      </c>
      <c r="DD97" s="648">
        <f t="shared" si="404"/>
        <v>3075.6525374502899</v>
      </c>
      <c r="DE97" s="648">
        <f t="shared" si="404"/>
        <v>3141.4193987709764</v>
      </c>
      <c r="DF97" s="648">
        <f t="shared" si="404"/>
        <v>3207.1721500532981</v>
      </c>
      <c r="DG97" s="648">
        <f t="shared" si="404"/>
        <v>3254.6694196871558</v>
      </c>
      <c r="DH97" s="648">
        <f t="shared" si="404"/>
        <v>3296.0650908675334</v>
      </c>
      <c r="DI97" s="648">
        <f t="shared" si="404"/>
        <v>3333.3416215283919</v>
      </c>
      <c r="DJ97" s="648">
        <f t="shared" si="404"/>
        <v>3364.9616711989074</v>
      </c>
      <c r="DK97" s="648">
        <f t="shared" si="404"/>
        <v>3390.7359434709911</v>
      </c>
      <c r="DL97" s="648">
        <f t="shared" si="404"/>
        <v>3416.3555359778438</v>
      </c>
      <c r="DM97" s="648">
        <f t="shared" si="404"/>
        <v>3442.4547571165572</v>
      </c>
      <c r="DN97" s="648">
        <f t="shared" si="404"/>
        <v>3469.380663941839</v>
      </c>
      <c r="DO97" s="648">
        <f t="shared" si="404"/>
        <v>3497.4667753242047</v>
      </c>
      <c r="DP97" s="648">
        <f t="shared" si="404"/>
        <v>3528.4311576337736</v>
      </c>
      <c r="DQ97" s="648">
        <f t="shared" si="404"/>
        <v>3544.7043066950682</v>
      </c>
      <c r="DR97" s="648">
        <f t="shared" si="404"/>
        <v>3558.6336812532059</v>
      </c>
      <c r="DS97" s="648">
        <f t="shared" si="404"/>
        <v>3575.0539489191474</v>
      </c>
      <c r="DT97" s="648">
        <f t="shared" si="404"/>
        <v>3593.2866009141144</v>
      </c>
      <c r="DU97" s="648">
        <f t="shared" si="404"/>
        <v>3613.6698849946229</v>
      </c>
      <c r="DV97" s="648">
        <f t="shared" si="404"/>
        <v>3636.6875913794215</v>
      </c>
      <c r="DW97" s="648">
        <f t="shared" si="404"/>
        <v>3661.6697912294185</v>
      </c>
      <c r="DX97" s="648">
        <f t="shared" si="404"/>
        <v>3688.478854418328</v>
      </c>
      <c r="DY97" s="648">
        <f t="shared" si="404"/>
        <v>3716.9772567558357</v>
      </c>
      <c r="DZ97" s="648">
        <f t="shared" si="404"/>
        <v>3751.5996083034483</v>
      </c>
      <c r="EF97" s="157">
        <v>23</v>
      </c>
      <c r="EG97" s="51"/>
      <c r="EH97" s="51"/>
      <c r="EI97" s="51"/>
      <c r="EJ97" s="51"/>
    </row>
    <row r="98" spans="1:143" x14ac:dyDescent="0.2">
      <c r="A98" s="1"/>
      <c r="B98" t="str">
        <f>B27</f>
        <v>Dumpsite</v>
      </c>
      <c r="C98" s="54" t="s">
        <v>114</v>
      </c>
      <c r="D98" s="648">
        <f t="shared" ref="D98:AH98" si="405">D27*$EF98</f>
        <v>0</v>
      </c>
      <c r="E98" s="648">
        <f t="shared" si="405"/>
        <v>0</v>
      </c>
      <c r="F98" s="648">
        <f t="shared" si="405"/>
        <v>0</v>
      </c>
      <c r="G98" s="648">
        <f t="shared" si="405"/>
        <v>0</v>
      </c>
      <c r="H98" s="648">
        <f t="shared" si="405"/>
        <v>0</v>
      </c>
      <c r="I98" s="648">
        <f t="shared" si="405"/>
        <v>0</v>
      </c>
      <c r="J98" s="648">
        <f t="shared" si="405"/>
        <v>0</v>
      </c>
      <c r="K98" s="648">
        <f t="shared" si="405"/>
        <v>0</v>
      </c>
      <c r="L98" s="648">
        <f t="shared" si="405"/>
        <v>0</v>
      </c>
      <c r="M98" s="648">
        <f t="shared" si="405"/>
        <v>0</v>
      </c>
      <c r="N98" s="648">
        <f t="shared" si="405"/>
        <v>0</v>
      </c>
      <c r="O98" s="648">
        <f t="shared" si="405"/>
        <v>0</v>
      </c>
      <c r="P98" s="648">
        <f t="shared" si="405"/>
        <v>0</v>
      </c>
      <c r="Q98" s="648">
        <f t="shared" si="405"/>
        <v>0</v>
      </c>
      <c r="R98" s="648">
        <f t="shared" si="405"/>
        <v>0</v>
      </c>
      <c r="S98" s="648">
        <f t="shared" si="405"/>
        <v>0</v>
      </c>
      <c r="T98" s="648">
        <f t="shared" si="405"/>
        <v>0</v>
      </c>
      <c r="U98" s="648">
        <f t="shared" si="405"/>
        <v>0</v>
      </c>
      <c r="V98" s="648">
        <f t="shared" si="405"/>
        <v>0</v>
      </c>
      <c r="W98" s="648">
        <f t="shared" si="405"/>
        <v>0</v>
      </c>
      <c r="X98" s="648">
        <f t="shared" si="405"/>
        <v>0</v>
      </c>
      <c r="Y98" s="648">
        <f t="shared" si="405"/>
        <v>0</v>
      </c>
      <c r="Z98" s="648">
        <f t="shared" si="405"/>
        <v>0</v>
      </c>
      <c r="AA98" s="648">
        <f t="shared" si="405"/>
        <v>0</v>
      </c>
      <c r="AB98" s="648">
        <f t="shared" si="405"/>
        <v>0</v>
      </c>
      <c r="AC98" s="648">
        <f t="shared" si="405"/>
        <v>0</v>
      </c>
      <c r="AD98" s="648">
        <f t="shared" si="405"/>
        <v>0</v>
      </c>
      <c r="AE98" s="648">
        <f t="shared" si="405"/>
        <v>0</v>
      </c>
      <c r="AF98" s="648">
        <f t="shared" si="405"/>
        <v>0</v>
      </c>
      <c r="AG98" s="648">
        <f t="shared" si="405"/>
        <v>0</v>
      </c>
      <c r="AH98" s="648">
        <f t="shared" si="405"/>
        <v>0</v>
      </c>
      <c r="AI98" s="648"/>
      <c r="AJ98" s="648">
        <f t="shared" ref="AJ98:BN98" si="406">AJ27*$EF98</f>
        <v>0</v>
      </c>
      <c r="AK98" s="648">
        <f t="shared" si="406"/>
        <v>0</v>
      </c>
      <c r="AL98" s="648">
        <f t="shared" si="406"/>
        <v>0</v>
      </c>
      <c r="AM98" s="648">
        <f t="shared" si="406"/>
        <v>0</v>
      </c>
      <c r="AN98" s="648">
        <f t="shared" si="406"/>
        <v>0</v>
      </c>
      <c r="AO98" s="648">
        <f t="shared" si="406"/>
        <v>0</v>
      </c>
      <c r="AP98" s="648">
        <f t="shared" si="406"/>
        <v>0</v>
      </c>
      <c r="AQ98" s="648">
        <f t="shared" si="406"/>
        <v>0</v>
      </c>
      <c r="AR98" s="648">
        <f t="shared" si="406"/>
        <v>0</v>
      </c>
      <c r="AS98" s="648">
        <f t="shared" si="406"/>
        <v>0</v>
      </c>
      <c r="AT98" s="648">
        <f t="shared" si="406"/>
        <v>0</v>
      </c>
      <c r="AU98" s="648">
        <f t="shared" si="406"/>
        <v>0</v>
      </c>
      <c r="AV98" s="648">
        <f t="shared" si="406"/>
        <v>0</v>
      </c>
      <c r="AW98" s="648">
        <f t="shared" si="406"/>
        <v>0</v>
      </c>
      <c r="AX98" s="648">
        <f t="shared" si="406"/>
        <v>0</v>
      </c>
      <c r="AY98" s="648">
        <f t="shared" si="406"/>
        <v>0</v>
      </c>
      <c r="AZ98" s="648">
        <f t="shared" si="406"/>
        <v>0</v>
      </c>
      <c r="BA98" s="648">
        <f t="shared" si="406"/>
        <v>0</v>
      </c>
      <c r="BB98" s="648">
        <f t="shared" si="406"/>
        <v>0</v>
      </c>
      <c r="BC98" s="648">
        <f t="shared" si="406"/>
        <v>0</v>
      </c>
      <c r="BD98" s="648">
        <f t="shared" si="406"/>
        <v>0</v>
      </c>
      <c r="BE98" s="648">
        <f t="shared" si="406"/>
        <v>0</v>
      </c>
      <c r="BF98" s="648">
        <f t="shared" si="406"/>
        <v>0</v>
      </c>
      <c r="BG98" s="648">
        <f t="shared" si="406"/>
        <v>0</v>
      </c>
      <c r="BH98" s="648">
        <f t="shared" si="406"/>
        <v>0</v>
      </c>
      <c r="BI98" s="648">
        <f t="shared" si="406"/>
        <v>0</v>
      </c>
      <c r="BJ98" s="648">
        <f t="shared" si="406"/>
        <v>0</v>
      </c>
      <c r="BK98" s="648">
        <f t="shared" si="406"/>
        <v>0</v>
      </c>
      <c r="BL98" s="648">
        <f t="shared" si="406"/>
        <v>0</v>
      </c>
      <c r="BM98" s="648">
        <f t="shared" si="406"/>
        <v>0</v>
      </c>
      <c r="BN98" s="648">
        <f t="shared" si="406"/>
        <v>0</v>
      </c>
      <c r="BO98" s="648"/>
      <c r="BP98" s="648">
        <f t="shared" ref="BP98:CT98" si="407">BP27*$EF98</f>
        <v>0</v>
      </c>
      <c r="BQ98" s="648">
        <f t="shared" si="407"/>
        <v>0</v>
      </c>
      <c r="BR98" s="648">
        <f t="shared" si="407"/>
        <v>0</v>
      </c>
      <c r="BS98" s="648">
        <f t="shared" si="407"/>
        <v>0</v>
      </c>
      <c r="BT98" s="648">
        <f t="shared" si="407"/>
        <v>0</v>
      </c>
      <c r="BU98" s="648">
        <f t="shared" si="407"/>
        <v>0</v>
      </c>
      <c r="BV98" s="648">
        <f t="shared" si="407"/>
        <v>0</v>
      </c>
      <c r="BW98" s="648">
        <f t="shared" si="407"/>
        <v>0</v>
      </c>
      <c r="BX98" s="648">
        <f t="shared" si="407"/>
        <v>0</v>
      </c>
      <c r="BY98" s="648">
        <f t="shared" si="407"/>
        <v>0</v>
      </c>
      <c r="BZ98" s="648">
        <f t="shared" si="407"/>
        <v>0</v>
      </c>
      <c r="CA98" s="648">
        <f t="shared" si="407"/>
        <v>0</v>
      </c>
      <c r="CB98" s="648">
        <f t="shared" si="407"/>
        <v>0</v>
      </c>
      <c r="CC98" s="648">
        <f t="shared" si="407"/>
        <v>0</v>
      </c>
      <c r="CD98" s="648">
        <f t="shared" si="407"/>
        <v>0</v>
      </c>
      <c r="CE98" s="648">
        <f t="shared" si="407"/>
        <v>0</v>
      </c>
      <c r="CF98" s="648">
        <f t="shared" si="407"/>
        <v>0</v>
      </c>
      <c r="CG98" s="648">
        <f t="shared" si="407"/>
        <v>0</v>
      </c>
      <c r="CH98" s="648">
        <f t="shared" si="407"/>
        <v>0</v>
      </c>
      <c r="CI98" s="648">
        <f t="shared" si="407"/>
        <v>0</v>
      </c>
      <c r="CJ98" s="648">
        <f t="shared" si="407"/>
        <v>0</v>
      </c>
      <c r="CK98" s="648">
        <f t="shared" si="407"/>
        <v>0</v>
      </c>
      <c r="CL98" s="648">
        <f t="shared" si="407"/>
        <v>0</v>
      </c>
      <c r="CM98" s="648">
        <f t="shared" si="407"/>
        <v>0</v>
      </c>
      <c r="CN98" s="648">
        <f t="shared" si="407"/>
        <v>0</v>
      </c>
      <c r="CO98" s="648">
        <f t="shared" si="407"/>
        <v>0</v>
      </c>
      <c r="CP98" s="648">
        <f t="shared" si="407"/>
        <v>0</v>
      </c>
      <c r="CQ98" s="648">
        <f t="shared" si="407"/>
        <v>0</v>
      </c>
      <c r="CR98" s="648">
        <f t="shared" si="407"/>
        <v>0</v>
      </c>
      <c r="CS98" s="648">
        <f t="shared" si="407"/>
        <v>0</v>
      </c>
      <c r="CT98" s="648">
        <f t="shared" si="407"/>
        <v>0</v>
      </c>
      <c r="CU98" s="648"/>
      <c r="CV98" s="648">
        <f t="shared" ref="CV98:DZ98" si="408">CV27*$EF98</f>
        <v>0</v>
      </c>
      <c r="CW98" s="648">
        <f t="shared" si="408"/>
        <v>0</v>
      </c>
      <c r="CX98" s="648">
        <f t="shared" si="408"/>
        <v>0</v>
      </c>
      <c r="CY98" s="648">
        <f t="shared" si="408"/>
        <v>0</v>
      </c>
      <c r="CZ98" s="648">
        <f t="shared" si="408"/>
        <v>0</v>
      </c>
      <c r="DA98" s="648">
        <f t="shared" si="408"/>
        <v>0</v>
      </c>
      <c r="DB98" s="648">
        <f t="shared" si="408"/>
        <v>0</v>
      </c>
      <c r="DC98" s="648">
        <f t="shared" si="408"/>
        <v>0</v>
      </c>
      <c r="DD98" s="648">
        <f t="shared" si="408"/>
        <v>0</v>
      </c>
      <c r="DE98" s="648">
        <f t="shared" si="408"/>
        <v>0</v>
      </c>
      <c r="DF98" s="648">
        <f t="shared" si="408"/>
        <v>0</v>
      </c>
      <c r="DG98" s="648">
        <f t="shared" si="408"/>
        <v>0</v>
      </c>
      <c r="DH98" s="648">
        <f t="shared" si="408"/>
        <v>0</v>
      </c>
      <c r="DI98" s="648">
        <f t="shared" si="408"/>
        <v>0</v>
      </c>
      <c r="DJ98" s="648">
        <f t="shared" si="408"/>
        <v>0</v>
      </c>
      <c r="DK98" s="648">
        <f t="shared" si="408"/>
        <v>0</v>
      </c>
      <c r="DL98" s="648">
        <f t="shared" si="408"/>
        <v>0</v>
      </c>
      <c r="DM98" s="648">
        <f t="shared" si="408"/>
        <v>0</v>
      </c>
      <c r="DN98" s="648">
        <f t="shared" si="408"/>
        <v>0</v>
      </c>
      <c r="DO98" s="648">
        <f t="shared" si="408"/>
        <v>0</v>
      </c>
      <c r="DP98" s="648">
        <f t="shared" si="408"/>
        <v>0</v>
      </c>
      <c r="DQ98" s="648">
        <f t="shared" si="408"/>
        <v>0</v>
      </c>
      <c r="DR98" s="648">
        <f t="shared" si="408"/>
        <v>0</v>
      </c>
      <c r="DS98" s="648">
        <f t="shared" si="408"/>
        <v>0</v>
      </c>
      <c r="DT98" s="648">
        <f t="shared" si="408"/>
        <v>0</v>
      </c>
      <c r="DU98" s="648">
        <f t="shared" si="408"/>
        <v>0</v>
      </c>
      <c r="DV98" s="648">
        <f t="shared" si="408"/>
        <v>0</v>
      </c>
      <c r="DW98" s="648">
        <f t="shared" si="408"/>
        <v>0</v>
      </c>
      <c r="DX98" s="648">
        <f t="shared" si="408"/>
        <v>0</v>
      </c>
      <c r="DY98" s="648">
        <f t="shared" si="408"/>
        <v>0</v>
      </c>
      <c r="DZ98" s="648">
        <f t="shared" si="408"/>
        <v>0</v>
      </c>
      <c r="EF98" s="51">
        <v>0</v>
      </c>
      <c r="EG98" s="51"/>
      <c r="EH98" s="51"/>
      <c r="EI98" s="51"/>
      <c r="EJ98" s="51"/>
    </row>
    <row r="99" spans="1:143" x14ac:dyDescent="0.2">
      <c r="A99" s="1"/>
      <c r="B99" t="str">
        <f>B28</f>
        <v>Open Burning</v>
      </c>
      <c r="C99" s="54" t="s">
        <v>114</v>
      </c>
      <c r="D99" s="648">
        <f t="shared" ref="D99:AH99" si="409">D28*$EF99</f>
        <v>0</v>
      </c>
      <c r="E99" s="648">
        <f t="shared" si="409"/>
        <v>0</v>
      </c>
      <c r="F99" s="648">
        <f t="shared" si="409"/>
        <v>0</v>
      </c>
      <c r="G99" s="648">
        <f t="shared" si="409"/>
        <v>0</v>
      </c>
      <c r="H99" s="648">
        <f t="shared" si="409"/>
        <v>0</v>
      </c>
      <c r="I99" s="648">
        <f t="shared" si="409"/>
        <v>0</v>
      </c>
      <c r="J99" s="648">
        <f t="shared" si="409"/>
        <v>0</v>
      </c>
      <c r="K99" s="648">
        <f t="shared" si="409"/>
        <v>0</v>
      </c>
      <c r="L99" s="648">
        <f t="shared" si="409"/>
        <v>0</v>
      </c>
      <c r="M99" s="648">
        <f t="shared" si="409"/>
        <v>0</v>
      </c>
      <c r="N99" s="648">
        <f t="shared" si="409"/>
        <v>0</v>
      </c>
      <c r="O99" s="648">
        <f t="shared" si="409"/>
        <v>0</v>
      </c>
      <c r="P99" s="648">
        <f t="shared" si="409"/>
        <v>0</v>
      </c>
      <c r="Q99" s="648">
        <f t="shared" si="409"/>
        <v>0</v>
      </c>
      <c r="R99" s="648">
        <f t="shared" si="409"/>
        <v>0</v>
      </c>
      <c r="S99" s="648">
        <f t="shared" si="409"/>
        <v>0</v>
      </c>
      <c r="T99" s="648">
        <f t="shared" si="409"/>
        <v>0</v>
      </c>
      <c r="U99" s="648">
        <f t="shared" si="409"/>
        <v>0</v>
      </c>
      <c r="V99" s="648">
        <f t="shared" si="409"/>
        <v>0</v>
      </c>
      <c r="W99" s="648">
        <f t="shared" si="409"/>
        <v>0</v>
      </c>
      <c r="X99" s="648">
        <f t="shared" si="409"/>
        <v>0</v>
      </c>
      <c r="Y99" s="648">
        <f t="shared" si="409"/>
        <v>0</v>
      </c>
      <c r="Z99" s="648">
        <f t="shared" si="409"/>
        <v>0</v>
      </c>
      <c r="AA99" s="648">
        <f t="shared" si="409"/>
        <v>0</v>
      </c>
      <c r="AB99" s="648">
        <f t="shared" si="409"/>
        <v>0</v>
      </c>
      <c r="AC99" s="648">
        <f t="shared" si="409"/>
        <v>0</v>
      </c>
      <c r="AD99" s="648">
        <f t="shared" si="409"/>
        <v>0</v>
      </c>
      <c r="AE99" s="648">
        <f t="shared" si="409"/>
        <v>0</v>
      </c>
      <c r="AF99" s="648">
        <f t="shared" si="409"/>
        <v>0</v>
      </c>
      <c r="AG99" s="648">
        <f t="shared" si="409"/>
        <v>0</v>
      </c>
      <c r="AH99" s="648">
        <f t="shared" si="409"/>
        <v>0</v>
      </c>
      <c r="AI99" s="648"/>
      <c r="AJ99" s="648">
        <f t="shared" ref="AJ99:BN99" si="410">AJ28*$EF99</f>
        <v>0</v>
      </c>
      <c r="AK99" s="648">
        <f t="shared" si="410"/>
        <v>0</v>
      </c>
      <c r="AL99" s="648">
        <f t="shared" si="410"/>
        <v>0</v>
      </c>
      <c r="AM99" s="648">
        <f t="shared" si="410"/>
        <v>0</v>
      </c>
      <c r="AN99" s="648">
        <f t="shared" si="410"/>
        <v>0</v>
      </c>
      <c r="AO99" s="648">
        <f t="shared" si="410"/>
        <v>0</v>
      </c>
      <c r="AP99" s="648">
        <f t="shared" si="410"/>
        <v>0</v>
      </c>
      <c r="AQ99" s="648">
        <f t="shared" si="410"/>
        <v>0</v>
      </c>
      <c r="AR99" s="648">
        <f t="shared" si="410"/>
        <v>0</v>
      </c>
      <c r="AS99" s="648">
        <f t="shared" si="410"/>
        <v>0</v>
      </c>
      <c r="AT99" s="648">
        <f t="shared" si="410"/>
        <v>0</v>
      </c>
      <c r="AU99" s="648">
        <f t="shared" si="410"/>
        <v>0</v>
      </c>
      <c r="AV99" s="648">
        <f t="shared" si="410"/>
        <v>0</v>
      </c>
      <c r="AW99" s="648">
        <f t="shared" si="410"/>
        <v>0</v>
      </c>
      <c r="AX99" s="648">
        <f t="shared" si="410"/>
        <v>0</v>
      </c>
      <c r="AY99" s="648">
        <f t="shared" si="410"/>
        <v>0</v>
      </c>
      <c r="AZ99" s="648">
        <f t="shared" si="410"/>
        <v>0</v>
      </c>
      <c r="BA99" s="648">
        <f t="shared" si="410"/>
        <v>0</v>
      </c>
      <c r="BB99" s="648">
        <f t="shared" si="410"/>
        <v>0</v>
      </c>
      <c r="BC99" s="648">
        <f t="shared" si="410"/>
        <v>0</v>
      </c>
      <c r="BD99" s="648">
        <f t="shared" si="410"/>
        <v>0</v>
      </c>
      <c r="BE99" s="648">
        <f t="shared" si="410"/>
        <v>0</v>
      </c>
      <c r="BF99" s="648">
        <f t="shared" si="410"/>
        <v>0</v>
      </c>
      <c r="BG99" s="648">
        <f t="shared" si="410"/>
        <v>0</v>
      </c>
      <c r="BH99" s="648">
        <f t="shared" si="410"/>
        <v>0</v>
      </c>
      <c r="BI99" s="648">
        <f t="shared" si="410"/>
        <v>0</v>
      </c>
      <c r="BJ99" s="648">
        <f t="shared" si="410"/>
        <v>0</v>
      </c>
      <c r="BK99" s="648">
        <f t="shared" si="410"/>
        <v>0</v>
      </c>
      <c r="BL99" s="648">
        <f t="shared" si="410"/>
        <v>0</v>
      </c>
      <c r="BM99" s="648">
        <f t="shared" si="410"/>
        <v>0</v>
      </c>
      <c r="BN99" s="648">
        <f t="shared" si="410"/>
        <v>0</v>
      </c>
      <c r="BO99" s="648"/>
      <c r="BP99" s="648">
        <f t="shared" ref="BP99:CT99" si="411">BP28*$EF99</f>
        <v>0</v>
      </c>
      <c r="BQ99" s="648">
        <f t="shared" si="411"/>
        <v>0</v>
      </c>
      <c r="BR99" s="648">
        <f t="shared" si="411"/>
        <v>0</v>
      </c>
      <c r="BS99" s="648">
        <f t="shared" si="411"/>
        <v>0</v>
      </c>
      <c r="BT99" s="648">
        <f t="shared" si="411"/>
        <v>0</v>
      </c>
      <c r="BU99" s="648">
        <f t="shared" si="411"/>
        <v>0</v>
      </c>
      <c r="BV99" s="648">
        <f t="shared" si="411"/>
        <v>0</v>
      </c>
      <c r="BW99" s="648">
        <f t="shared" si="411"/>
        <v>0</v>
      </c>
      <c r="BX99" s="648">
        <f t="shared" si="411"/>
        <v>0</v>
      </c>
      <c r="BY99" s="648">
        <f t="shared" si="411"/>
        <v>0</v>
      </c>
      <c r="BZ99" s="648">
        <f t="shared" si="411"/>
        <v>0</v>
      </c>
      <c r="CA99" s="648">
        <f t="shared" si="411"/>
        <v>0</v>
      </c>
      <c r="CB99" s="648">
        <f t="shared" si="411"/>
        <v>0</v>
      </c>
      <c r="CC99" s="648">
        <f t="shared" si="411"/>
        <v>0</v>
      </c>
      <c r="CD99" s="648">
        <f t="shared" si="411"/>
        <v>0</v>
      </c>
      <c r="CE99" s="648">
        <f t="shared" si="411"/>
        <v>0</v>
      </c>
      <c r="CF99" s="648">
        <f t="shared" si="411"/>
        <v>0</v>
      </c>
      <c r="CG99" s="648">
        <f t="shared" si="411"/>
        <v>0</v>
      </c>
      <c r="CH99" s="648">
        <f t="shared" si="411"/>
        <v>0</v>
      </c>
      <c r="CI99" s="648">
        <f t="shared" si="411"/>
        <v>0</v>
      </c>
      <c r="CJ99" s="648">
        <f t="shared" si="411"/>
        <v>0</v>
      </c>
      <c r="CK99" s="648">
        <f t="shared" si="411"/>
        <v>0</v>
      </c>
      <c r="CL99" s="648">
        <f t="shared" si="411"/>
        <v>0</v>
      </c>
      <c r="CM99" s="648">
        <f t="shared" si="411"/>
        <v>0</v>
      </c>
      <c r="CN99" s="648">
        <f t="shared" si="411"/>
        <v>0</v>
      </c>
      <c r="CO99" s="648">
        <f t="shared" si="411"/>
        <v>0</v>
      </c>
      <c r="CP99" s="648">
        <f t="shared" si="411"/>
        <v>0</v>
      </c>
      <c r="CQ99" s="648">
        <f t="shared" si="411"/>
        <v>0</v>
      </c>
      <c r="CR99" s="648">
        <f t="shared" si="411"/>
        <v>0</v>
      </c>
      <c r="CS99" s="648">
        <f t="shared" si="411"/>
        <v>0</v>
      </c>
      <c r="CT99" s="648">
        <f t="shared" si="411"/>
        <v>0</v>
      </c>
      <c r="CU99" s="648"/>
      <c r="CV99" s="648">
        <f t="shared" ref="CV99:DZ99" si="412">CV28*$EF99</f>
        <v>0</v>
      </c>
      <c r="CW99" s="648">
        <f t="shared" si="412"/>
        <v>0</v>
      </c>
      <c r="CX99" s="648">
        <f t="shared" si="412"/>
        <v>0</v>
      </c>
      <c r="CY99" s="648">
        <f t="shared" si="412"/>
        <v>0</v>
      </c>
      <c r="CZ99" s="648">
        <f t="shared" si="412"/>
        <v>0</v>
      </c>
      <c r="DA99" s="648">
        <f t="shared" si="412"/>
        <v>0</v>
      </c>
      <c r="DB99" s="648">
        <f t="shared" si="412"/>
        <v>0</v>
      </c>
      <c r="DC99" s="648">
        <f t="shared" si="412"/>
        <v>0</v>
      </c>
      <c r="DD99" s="648">
        <f t="shared" si="412"/>
        <v>0</v>
      </c>
      <c r="DE99" s="648">
        <f t="shared" si="412"/>
        <v>0</v>
      </c>
      <c r="DF99" s="648">
        <f t="shared" si="412"/>
        <v>0</v>
      </c>
      <c r="DG99" s="648">
        <f t="shared" si="412"/>
        <v>0</v>
      </c>
      <c r="DH99" s="648">
        <f t="shared" si="412"/>
        <v>0</v>
      </c>
      <c r="DI99" s="648">
        <f t="shared" si="412"/>
        <v>0</v>
      </c>
      <c r="DJ99" s="648">
        <f t="shared" si="412"/>
        <v>0</v>
      </c>
      <c r="DK99" s="648">
        <f t="shared" si="412"/>
        <v>0</v>
      </c>
      <c r="DL99" s="648">
        <f t="shared" si="412"/>
        <v>0</v>
      </c>
      <c r="DM99" s="648">
        <f t="shared" si="412"/>
        <v>0</v>
      </c>
      <c r="DN99" s="648">
        <f t="shared" si="412"/>
        <v>0</v>
      </c>
      <c r="DO99" s="648">
        <f t="shared" si="412"/>
        <v>0</v>
      </c>
      <c r="DP99" s="648">
        <f t="shared" si="412"/>
        <v>0</v>
      </c>
      <c r="DQ99" s="648">
        <f t="shared" si="412"/>
        <v>0</v>
      </c>
      <c r="DR99" s="648">
        <f t="shared" si="412"/>
        <v>0</v>
      </c>
      <c r="DS99" s="648">
        <f t="shared" si="412"/>
        <v>0</v>
      </c>
      <c r="DT99" s="648">
        <f t="shared" si="412"/>
        <v>0</v>
      </c>
      <c r="DU99" s="648">
        <f t="shared" si="412"/>
        <v>0</v>
      </c>
      <c r="DV99" s="648">
        <f t="shared" si="412"/>
        <v>0</v>
      </c>
      <c r="DW99" s="648">
        <f t="shared" si="412"/>
        <v>0</v>
      </c>
      <c r="DX99" s="648">
        <f t="shared" si="412"/>
        <v>0</v>
      </c>
      <c r="DY99" s="648">
        <f t="shared" si="412"/>
        <v>0</v>
      </c>
      <c r="DZ99" s="648">
        <f t="shared" si="412"/>
        <v>0</v>
      </c>
      <c r="EF99" s="51">
        <v>0</v>
      </c>
      <c r="EG99" s="51"/>
      <c r="EH99" s="51"/>
      <c r="EI99" s="51"/>
      <c r="EJ99" s="51"/>
    </row>
    <row r="100" spans="1:143" x14ac:dyDescent="0.2">
      <c r="A100" s="1"/>
      <c r="B100" t="str">
        <f>B29</f>
        <v>Leakage Environment</v>
      </c>
      <c r="C100" s="54" t="s">
        <v>114</v>
      </c>
      <c r="D100" s="648">
        <f t="shared" ref="D100:AH100" si="413">D29*$EF100</f>
        <v>0</v>
      </c>
      <c r="E100" s="648">
        <f t="shared" si="413"/>
        <v>0</v>
      </c>
      <c r="F100" s="648">
        <f t="shared" si="413"/>
        <v>0</v>
      </c>
      <c r="G100" s="648">
        <f t="shared" si="413"/>
        <v>0</v>
      </c>
      <c r="H100" s="648">
        <f t="shared" si="413"/>
        <v>0</v>
      </c>
      <c r="I100" s="648">
        <f t="shared" si="413"/>
        <v>0</v>
      </c>
      <c r="J100" s="648">
        <f t="shared" si="413"/>
        <v>0</v>
      </c>
      <c r="K100" s="648">
        <f t="shared" si="413"/>
        <v>0</v>
      </c>
      <c r="L100" s="648">
        <f t="shared" si="413"/>
        <v>0</v>
      </c>
      <c r="M100" s="648">
        <f t="shared" si="413"/>
        <v>0</v>
      </c>
      <c r="N100" s="648">
        <f t="shared" si="413"/>
        <v>0</v>
      </c>
      <c r="O100" s="648">
        <f t="shared" si="413"/>
        <v>0</v>
      </c>
      <c r="P100" s="648">
        <f t="shared" si="413"/>
        <v>0</v>
      </c>
      <c r="Q100" s="648">
        <f t="shared" si="413"/>
        <v>0</v>
      </c>
      <c r="R100" s="648">
        <f t="shared" si="413"/>
        <v>0</v>
      </c>
      <c r="S100" s="648">
        <f t="shared" si="413"/>
        <v>0</v>
      </c>
      <c r="T100" s="648">
        <f t="shared" si="413"/>
        <v>0</v>
      </c>
      <c r="U100" s="648">
        <f t="shared" si="413"/>
        <v>0</v>
      </c>
      <c r="V100" s="648">
        <f t="shared" si="413"/>
        <v>0</v>
      </c>
      <c r="W100" s="648">
        <f t="shared" si="413"/>
        <v>0</v>
      </c>
      <c r="X100" s="648">
        <f t="shared" si="413"/>
        <v>0</v>
      </c>
      <c r="Y100" s="648">
        <f t="shared" si="413"/>
        <v>0</v>
      </c>
      <c r="Z100" s="648">
        <f t="shared" si="413"/>
        <v>0</v>
      </c>
      <c r="AA100" s="648">
        <f t="shared" si="413"/>
        <v>0</v>
      </c>
      <c r="AB100" s="648">
        <f t="shared" si="413"/>
        <v>0</v>
      </c>
      <c r="AC100" s="648">
        <f t="shared" si="413"/>
        <v>0</v>
      </c>
      <c r="AD100" s="648">
        <f t="shared" si="413"/>
        <v>0</v>
      </c>
      <c r="AE100" s="648">
        <f t="shared" si="413"/>
        <v>0</v>
      </c>
      <c r="AF100" s="648">
        <f t="shared" si="413"/>
        <v>0</v>
      </c>
      <c r="AG100" s="648">
        <f t="shared" si="413"/>
        <v>0</v>
      </c>
      <c r="AH100" s="648">
        <f t="shared" si="413"/>
        <v>0</v>
      </c>
      <c r="AI100" s="648"/>
      <c r="AJ100" s="648">
        <f t="shared" ref="AJ100:BN100" si="414">AJ29*$EF100</f>
        <v>0</v>
      </c>
      <c r="AK100" s="648">
        <f t="shared" si="414"/>
        <v>0</v>
      </c>
      <c r="AL100" s="648">
        <f t="shared" si="414"/>
        <v>0</v>
      </c>
      <c r="AM100" s="648">
        <f t="shared" si="414"/>
        <v>0</v>
      </c>
      <c r="AN100" s="648">
        <f t="shared" si="414"/>
        <v>0</v>
      </c>
      <c r="AO100" s="648">
        <f t="shared" si="414"/>
        <v>0</v>
      </c>
      <c r="AP100" s="648">
        <f t="shared" si="414"/>
        <v>0</v>
      </c>
      <c r="AQ100" s="648">
        <f t="shared" si="414"/>
        <v>0</v>
      </c>
      <c r="AR100" s="648">
        <f t="shared" si="414"/>
        <v>0</v>
      </c>
      <c r="AS100" s="648">
        <f t="shared" si="414"/>
        <v>0</v>
      </c>
      <c r="AT100" s="648">
        <f t="shared" si="414"/>
        <v>0</v>
      </c>
      <c r="AU100" s="648">
        <f t="shared" si="414"/>
        <v>0</v>
      </c>
      <c r="AV100" s="648">
        <f t="shared" si="414"/>
        <v>0</v>
      </c>
      <c r="AW100" s="648">
        <f t="shared" si="414"/>
        <v>0</v>
      </c>
      <c r="AX100" s="648">
        <f t="shared" si="414"/>
        <v>0</v>
      </c>
      <c r="AY100" s="648">
        <f t="shared" si="414"/>
        <v>0</v>
      </c>
      <c r="AZ100" s="648">
        <f t="shared" si="414"/>
        <v>0</v>
      </c>
      <c r="BA100" s="648">
        <f t="shared" si="414"/>
        <v>0</v>
      </c>
      <c r="BB100" s="648">
        <f t="shared" si="414"/>
        <v>0</v>
      </c>
      <c r="BC100" s="648">
        <f t="shared" si="414"/>
        <v>0</v>
      </c>
      <c r="BD100" s="648">
        <f t="shared" si="414"/>
        <v>0</v>
      </c>
      <c r="BE100" s="648">
        <f t="shared" si="414"/>
        <v>0</v>
      </c>
      <c r="BF100" s="648">
        <f t="shared" si="414"/>
        <v>0</v>
      </c>
      <c r="BG100" s="648">
        <f t="shared" si="414"/>
        <v>0</v>
      </c>
      <c r="BH100" s="648">
        <f t="shared" si="414"/>
        <v>0</v>
      </c>
      <c r="BI100" s="648">
        <f t="shared" si="414"/>
        <v>0</v>
      </c>
      <c r="BJ100" s="648">
        <f t="shared" si="414"/>
        <v>0</v>
      </c>
      <c r="BK100" s="648">
        <f t="shared" si="414"/>
        <v>0</v>
      </c>
      <c r="BL100" s="648">
        <f t="shared" si="414"/>
        <v>0</v>
      </c>
      <c r="BM100" s="648">
        <f t="shared" si="414"/>
        <v>0</v>
      </c>
      <c r="BN100" s="648">
        <f t="shared" si="414"/>
        <v>0</v>
      </c>
      <c r="BO100" s="648"/>
      <c r="BP100" s="648">
        <f t="shared" ref="BP100:CT100" si="415">BP29*$EF100</f>
        <v>0</v>
      </c>
      <c r="BQ100" s="648">
        <f t="shared" si="415"/>
        <v>0</v>
      </c>
      <c r="BR100" s="648">
        <f t="shared" si="415"/>
        <v>0</v>
      </c>
      <c r="BS100" s="648">
        <f t="shared" si="415"/>
        <v>0</v>
      </c>
      <c r="BT100" s="648">
        <f t="shared" si="415"/>
        <v>0</v>
      </c>
      <c r="BU100" s="648">
        <f t="shared" si="415"/>
        <v>0</v>
      </c>
      <c r="BV100" s="648">
        <f t="shared" si="415"/>
        <v>0</v>
      </c>
      <c r="BW100" s="648">
        <f t="shared" si="415"/>
        <v>0</v>
      </c>
      <c r="BX100" s="648">
        <f t="shared" si="415"/>
        <v>0</v>
      </c>
      <c r="BY100" s="648">
        <f t="shared" si="415"/>
        <v>0</v>
      </c>
      <c r="BZ100" s="648">
        <f t="shared" si="415"/>
        <v>0</v>
      </c>
      <c r="CA100" s="648">
        <f t="shared" si="415"/>
        <v>0</v>
      </c>
      <c r="CB100" s="648">
        <f t="shared" si="415"/>
        <v>0</v>
      </c>
      <c r="CC100" s="648">
        <f t="shared" si="415"/>
        <v>0</v>
      </c>
      <c r="CD100" s="648">
        <f t="shared" si="415"/>
        <v>0</v>
      </c>
      <c r="CE100" s="648">
        <f t="shared" si="415"/>
        <v>0</v>
      </c>
      <c r="CF100" s="648">
        <f t="shared" si="415"/>
        <v>0</v>
      </c>
      <c r="CG100" s="648">
        <f t="shared" si="415"/>
        <v>0</v>
      </c>
      <c r="CH100" s="648">
        <f t="shared" si="415"/>
        <v>0</v>
      </c>
      <c r="CI100" s="648">
        <f t="shared" si="415"/>
        <v>0</v>
      </c>
      <c r="CJ100" s="648">
        <f t="shared" si="415"/>
        <v>0</v>
      </c>
      <c r="CK100" s="648">
        <f t="shared" si="415"/>
        <v>0</v>
      </c>
      <c r="CL100" s="648">
        <f t="shared" si="415"/>
        <v>0</v>
      </c>
      <c r="CM100" s="648">
        <f t="shared" si="415"/>
        <v>0</v>
      </c>
      <c r="CN100" s="648">
        <f t="shared" si="415"/>
        <v>0</v>
      </c>
      <c r="CO100" s="648">
        <f t="shared" si="415"/>
        <v>0</v>
      </c>
      <c r="CP100" s="648">
        <f t="shared" si="415"/>
        <v>0</v>
      </c>
      <c r="CQ100" s="648">
        <f t="shared" si="415"/>
        <v>0</v>
      </c>
      <c r="CR100" s="648">
        <f t="shared" si="415"/>
        <v>0</v>
      </c>
      <c r="CS100" s="648">
        <f t="shared" si="415"/>
        <v>0</v>
      </c>
      <c r="CT100" s="648">
        <f t="shared" si="415"/>
        <v>0</v>
      </c>
      <c r="CU100" s="648"/>
      <c r="CV100" s="648">
        <f t="shared" ref="CV100:DZ100" si="416">CV29*$EF100</f>
        <v>0</v>
      </c>
      <c r="CW100" s="648">
        <f t="shared" si="416"/>
        <v>0</v>
      </c>
      <c r="CX100" s="648">
        <f t="shared" si="416"/>
        <v>0</v>
      </c>
      <c r="CY100" s="648">
        <f t="shared" si="416"/>
        <v>0</v>
      </c>
      <c r="CZ100" s="648">
        <f t="shared" si="416"/>
        <v>0</v>
      </c>
      <c r="DA100" s="648">
        <f t="shared" si="416"/>
        <v>0</v>
      </c>
      <c r="DB100" s="648">
        <f t="shared" si="416"/>
        <v>0</v>
      </c>
      <c r="DC100" s="648">
        <f t="shared" si="416"/>
        <v>0</v>
      </c>
      <c r="DD100" s="648">
        <f t="shared" si="416"/>
        <v>0</v>
      </c>
      <c r="DE100" s="648">
        <f t="shared" si="416"/>
        <v>0</v>
      </c>
      <c r="DF100" s="648">
        <f t="shared" si="416"/>
        <v>0</v>
      </c>
      <c r="DG100" s="648">
        <f t="shared" si="416"/>
        <v>0</v>
      </c>
      <c r="DH100" s="648">
        <f t="shared" si="416"/>
        <v>0</v>
      </c>
      <c r="DI100" s="648">
        <f t="shared" si="416"/>
        <v>0</v>
      </c>
      <c r="DJ100" s="648">
        <f t="shared" si="416"/>
        <v>0</v>
      </c>
      <c r="DK100" s="648">
        <f t="shared" si="416"/>
        <v>0</v>
      </c>
      <c r="DL100" s="648">
        <f t="shared" si="416"/>
        <v>0</v>
      </c>
      <c r="DM100" s="648">
        <f t="shared" si="416"/>
        <v>0</v>
      </c>
      <c r="DN100" s="648">
        <f t="shared" si="416"/>
        <v>0</v>
      </c>
      <c r="DO100" s="648">
        <f t="shared" si="416"/>
        <v>0</v>
      </c>
      <c r="DP100" s="648">
        <f t="shared" si="416"/>
        <v>0</v>
      </c>
      <c r="DQ100" s="648">
        <f t="shared" si="416"/>
        <v>0</v>
      </c>
      <c r="DR100" s="648">
        <f t="shared" si="416"/>
        <v>0</v>
      </c>
      <c r="DS100" s="648">
        <f t="shared" si="416"/>
        <v>0</v>
      </c>
      <c r="DT100" s="648">
        <f t="shared" si="416"/>
        <v>0</v>
      </c>
      <c r="DU100" s="648">
        <f t="shared" si="416"/>
        <v>0</v>
      </c>
      <c r="DV100" s="648">
        <f t="shared" si="416"/>
        <v>0</v>
      </c>
      <c r="DW100" s="648">
        <f t="shared" si="416"/>
        <v>0</v>
      </c>
      <c r="DX100" s="648">
        <f t="shared" si="416"/>
        <v>0</v>
      </c>
      <c r="DY100" s="648">
        <f t="shared" si="416"/>
        <v>0</v>
      </c>
      <c r="DZ100" s="648">
        <f t="shared" si="416"/>
        <v>0</v>
      </c>
      <c r="EF100" s="51">
        <v>0</v>
      </c>
      <c r="EG100" s="51"/>
      <c r="EH100" s="51"/>
      <c r="EI100" s="51"/>
      <c r="EJ100" s="51"/>
    </row>
    <row r="101" spans="1:143" ht="16" thickBot="1" x14ac:dyDescent="0.25">
      <c r="A101" s="1"/>
      <c r="B101" t="str">
        <f>B30</f>
        <v>Leakage Ocean</v>
      </c>
      <c r="C101" s="54" t="s">
        <v>114</v>
      </c>
      <c r="D101" s="648">
        <f t="shared" ref="D101:AH101" si="417">D30*$EF101</f>
        <v>0</v>
      </c>
      <c r="E101" s="648">
        <f t="shared" si="417"/>
        <v>0</v>
      </c>
      <c r="F101" s="648">
        <f t="shared" si="417"/>
        <v>0</v>
      </c>
      <c r="G101" s="648">
        <f t="shared" si="417"/>
        <v>0</v>
      </c>
      <c r="H101" s="648">
        <f t="shared" si="417"/>
        <v>0</v>
      </c>
      <c r="I101" s="648">
        <f t="shared" si="417"/>
        <v>0</v>
      </c>
      <c r="J101" s="648">
        <f t="shared" si="417"/>
        <v>0</v>
      </c>
      <c r="K101" s="648">
        <f t="shared" si="417"/>
        <v>0</v>
      </c>
      <c r="L101" s="648">
        <f t="shared" si="417"/>
        <v>0</v>
      </c>
      <c r="M101" s="648">
        <f t="shared" si="417"/>
        <v>0</v>
      </c>
      <c r="N101" s="648">
        <f t="shared" si="417"/>
        <v>0</v>
      </c>
      <c r="O101" s="648">
        <f t="shared" si="417"/>
        <v>0</v>
      </c>
      <c r="P101" s="648">
        <f t="shared" si="417"/>
        <v>0</v>
      </c>
      <c r="Q101" s="648">
        <f t="shared" si="417"/>
        <v>0</v>
      </c>
      <c r="R101" s="648">
        <f t="shared" si="417"/>
        <v>0</v>
      </c>
      <c r="S101" s="648">
        <f t="shared" si="417"/>
        <v>0</v>
      </c>
      <c r="T101" s="648">
        <f t="shared" si="417"/>
        <v>0</v>
      </c>
      <c r="U101" s="648">
        <f t="shared" si="417"/>
        <v>0</v>
      </c>
      <c r="V101" s="648">
        <f t="shared" si="417"/>
        <v>0</v>
      </c>
      <c r="W101" s="648">
        <f t="shared" si="417"/>
        <v>0</v>
      </c>
      <c r="X101" s="648">
        <f t="shared" si="417"/>
        <v>0</v>
      </c>
      <c r="Y101" s="648">
        <f t="shared" si="417"/>
        <v>0</v>
      </c>
      <c r="Z101" s="648">
        <f t="shared" si="417"/>
        <v>0</v>
      </c>
      <c r="AA101" s="648">
        <f t="shared" si="417"/>
        <v>0</v>
      </c>
      <c r="AB101" s="648">
        <f t="shared" si="417"/>
        <v>0</v>
      </c>
      <c r="AC101" s="648">
        <f t="shared" si="417"/>
        <v>0</v>
      </c>
      <c r="AD101" s="648">
        <f t="shared" si="417"/>
        <v>0</v>
      </c>
      <c r="AE101" s="648">
        <f t="shared" si="417"/>
        <v>0</v>
      </c>
      <c r="AF101" s="648">
        <f t="shared" si="417"/>
        <v>0</v>
      </c>
      <c r="AG101" s="648">
        <f t="shared" si="417"/>
        <v>0</v>
      </c>
      <c r="AH101" s="648">
        <f t="shared" si="417"/>
        <v>0</v>
      </c>
      <c r="AI101" s="648"/>
      <c r="AJ101" s="648">
        <f t="shared" ref="AJ101:BN101" si="418">AJ30*$EF101</f>
        <v>0</v>
      </c>
      <c r="AK101" s="648">
        <f t="shared" si="418"/>
        <v>0</v>
      </c>
      <c r="AL101" s="648">
        <f t="shared" si="418"/>
        <v>0</v>
      </c>
      <c r="AM101" s="648">
        <f t="shared" si="418"/>
        <v>0</v>
      </c>
      <c r="AN101" s="648">
        <f t="shared" si="418"/>
        <v>0</v>
      </c>
      <c r="AO101" s="648">
        <f t="shared" si="418"/>
        <v>0</v>
      </c>
      <c r="AP101" s="648">
        <f t="shared" si="418"/>
        <v>0</v>
      </c>
      <c r="AQ101" s="648">
        <f t="shared" si="418"/>
        <v>0</v>
      </c>
      <c r="AR101" s="648">
        <f t="shared" si="418"/>
        <v>0</v>
      </c>
      <c r="AS101" s="648">
        <f t="shared" si="418"/>
        <v>0</v>
      </c>
      <c r="AT101" s="648">
        <f t="shared" si="418"/>
        <v>0</v>
      </c>
      <c r="AU101" s="648">
        <f t="shared" si="418"/>
        <v>0</v>
      </c>
      <c r="AV101" s="648">
        <f t="shared" si="418"/>
        <v>0</v>
      </c>
      <c r="AW101" s="648">
        <f t="shared" si="418"/>
        <v>0</v>
      </c>
      <c r="AX101" s="648">
        <f t="shared" si="418"/>
        <v>0</v>
      </c>
      <c r="AY101" s="648">
        <f t="shared" si="418"/>
        <v>0</v>
      </c>
      <c r="AZ101" s="648">
        <f t="shared" si="418"/>
        <v>0</v>
      </c>
      <c r="BA101" s="648">
        <f t="shared" si="418"/>
        <v>0</v>
      </c>
      <c r="BB101" s="648">
        <f t="shared" si="418"/>
        <v>0</v>
      </c>
      <c r="BC101" s="648">
        <f t="shared" si="418"/>
        <v>0</v>
      </c>
      <c r="BD101" s="648">
        <f t="shared" si="418"/>
        <v>0</v>
      </c>
      <c r="BE101" s="648">
        <f t="shared" si="418"/>
        <v>0</v>
      </c>
      <c r="BF101" s="648">
        <f t="shared" si="418"/>
        <v>0</v>
      </c>
      <c r="BG101" s="648">
        <f t="shared" si="418"/>
        <v>0</v>
      </c>
      <c r="BH101" s="648">
        <f t="shared" si="418"/>
        <v>0</v>
      </c>
      <c r="BI101" s="648">
        <f t="shared" si="418"/>
        <v>0</v>
      </c>
      <c r="BJ101" s="648">
        <f t="shared" si="418"/>
        <v>0</v>
      </c>
      <c r="BK101" s="648">
        <f t="shared" si="418"/>
        <v>0</v>
      </c>
      <c r="BL101" s="648">
        <f t="shared" si="418"/>
        <v>0</v>
      </c>
      <c r="BM101" s="648">
        <f t="shared" si="418"/>
        <v>0</v>
      </c>
      <c r="BN101" s="648">
        <f t="shared" si="418"/>
        <v>0</v>
      </c>
      <c r="BO101" s="648"/>
      <c r="BP101" s="648">
        <f t="shared" ref="BP101:CT101" si="419">BP30*$EF101</f>
        <v>0</v>
      </c>
      <c r="BQ101" s="648">
        <f t="shared" si="419"/>
        <v>0</v>
      </c>
      <c r="BR101" s="648">
        <f t="shared" si="419"/>
        <v>0</v>
      </c>
      <c r="BS101" s="648">
        <f t="shared" si="419"/>
        <v>0</v>
      </c>
      <c r="BT101" s="648">
        <f t="shared" si="419"/>
        <v>0</v>
      </c>
      <c r="BU101" s="648">
        <f t="shared" si="419"/>
        <v>0</v>
      </c>
      <c r="BV101" s="648">
        <f t="shared" si="419"/>
        <v>0</v>
      </c>
      <c r="BW101" s="648">
        <f t="shared" si="419"/>
        <v>0</v>
      </c>
      <c r="BX101" s="648">
        <f t="shared" si="419"/>
        <v>0</v>
      </c>
      <c r="BY101" s="648">
        <f t="shared" si="419"/>
        <v>0</v>
      </c>
      <c r="BZ101" s="648">
        <f t="shared" si="419"/>
        <v>0</v>
      </c>
      <c r="CA101" s="648">
        <f t="shared" si="419"/>
        <v>0</v>
      </c>
      <c r="CB101" s="648">
        <f t="shared" si="419"/>
        <v>0</v>
      </c>
      <c r="CC101" s="648">
        <f t="shared" si="419"/>
        <v>0</v>
      </c>
      <c r="CD101" s="648">
        <f t="shared" si="419"/>
        <v>0</v>
      </c>
      <c r="CE101" s="648">
        <f t="shared" si="419"/>
        <v>0</v>
      </c>
      <c r="CF101" s="648">
        <f t="shared" si="419"/>
        <v>0</v>
      </c>
      <c r="CG101" s="648">
        <f t="shared" si="419"/>
        <v>0</v>
      </c>
      <c r="CH101" s="648">
        <f t="shared" si="419"/>
        <v>0</v>
      </c>
      <c r="CI101" s="648">
        <f t="shared" si="419"/>
        <v>0</v>
      </c>
      <c r="CJ101" s="648">
        <f t="shared" si="419"/>
        <v>0</v>
      </c>
      <c r="CK101" s="648">
        <f t="shared" si="419"/>
        <v>0</v>
      </c>
      <c r="CL101" s="648">
        <f t="shared" si="419"/>
        <v>0</v>
      </c>
      <c r="CM101" s="648">
        <f t="shared" si="419"/>
        <v>0</v>
      </c>
      <c r="CN101" s="648">
        <f t="shared" si="419"/>
        <v>0</v>
      </c>
      <c r="CO101" s="648">
        <f t="shared" si="419"/>
        <v>0</v>
      </c>
      <c r="CP101" s="648">
        <f t="shared" si="419"/>
        <v>0</v>
      </c>
      <c r="CQ101" s="648">
        <f t="shared" si="419"/>
        <v>0</v>
      </c>
      <c r="CR101" s="648">
        <f t="shared" si="419"/>
        <v>0</v>
      </c>
      <c r="CS101" s="648">
        <f t="shared" si="419"/>
        <v>0</v>
      </c>
      <c r="CT101" s="648">
        <f t="shared" si="419"/>
        <v>0</v>
      </c>
      <c r="CU101" s="648"/>
      <c r="CV101" s="648">
        <f t="shared" ref="CV101:DZ101" si="420">CV30*$EF101</f>
        <v>0</v>
      </c>
      <c r="CW101" s="648">
        <f t="shared" si="420"/>
        <v>0</v>
      </c>
      <c r="CX101" s="648">
        <f t="shared" si="420"/>
        <v>0</v>
      </c>
      <c r="CY101" s="648">
        <f t="shared" si="420"/>
        <v>0</v>
      </c>
      <c r="CZ101" s="648">
        <f t="shared" si="420"/>
        <v>0</v>
      </c>
      <c r="DA101" s="648">
        <f t="shared" si="420"/>
        <v>0</v>
      </c>
      <c r="DB101" s="648">
        <f t="shared" si="420"/>
        <v>0</v>
      </c>
      <c r="DC101" s="648">
        <f t="shared" si="420"/>
        <v>0</v>
      </c>
      <c r="DD101" s="648">
        <f t="shared" si="420"/>
        <v>0</v>
      </c>
      <c r="DE101" s="648">
        <f t="shared" si="420"/>
        <v>0</v>
      </c>
      <c r="DF101" s="648">
        <f t="shared" si="420"/>
        <v>0</v>
      </c>
      <c r="DG101" s="648">
        <f t="shared" si="420"/>
        <v>0</v>
      </c>
      <c r="DH101" s="648">
        <f t="shared" si="420"/>
        <v>0</v>
      </c>
      <c r="DI101" s="648">
        <f t="shared" si="420"/>
        <v>0</v>
      </c>
      <c r="DJ101" s="648">
        <f t="shared" si="420"/>
        <v>0</v>
      </c>
      <c r="DK101" s="648">
        <f t="shared" si="420"/>
        <v>0</v>
      </c>
      <c r="DL101" s="648">
        <f t="shared" si="420"/>
        <v>0</v>
      </c>
      <c r="DM101" s="648">
        <f t="shared" si="420"/>
        <v>0</v>
      </c>
      <c r="DN101" s="648">
        <f t="shared" si="420"/>
        <v>0</v>
      </c>
      <c r="DO101" s="648">
        <f t="shared" si="420"/>
        <v>0</v>
      </c>
      <c r="DP101" s="648">
        <f t="shared" si="420"/>
        <v>0</v>
      </c>
      <c r="DQ101" s="648">
        <f t="shared" si="420"/>
        <v>0</v>
      </c>
      <c r="DR101" s="648">
        <f t="shared" si="420"/>
        <v>0</v>
      </c>
      <c r="DS101" s="648">
        <f t="shared" si="420"/>
        <v>0</v>
      </c>
      <c r="DT101" s="648">
        <f t="shared" si="420"/>
        <v>0</v>
      </c>
      <c r="DU101" s="648">
        <f t="shared" si="420"/>
        <v>0</v>
      </c>
      <c r="DV101" s="648">
        <f t="shared" si="420"/>
        <v>0</v>
      </c>
      <c r="DW101" s="648">
        <f t="shared" si="420"/>
        <v>0</v>
      </c>
      <c r="DX101" s="648">
        <f t="shared" si="420"/>
        <v>0</v>
      </c>
      <c r="DY101" s="648">
        <f t="shared" si="420"/>
        <v>0</v>
      </c>
      <c r="DZ101" s="648">
        <f t="shared" si="420"/>
        <v>0</v>
      </c>
      <c r="EF101" s="51">
        <v>0</v>
      </c>
      <c r="EG101" s="51"/>
      <c r="EH101" s="51"/>
      <c r="EI101" s="51"/>
      <c r="EJ101" s="51"/>
    </row>
    <row r="102" spans="1:143" ht="16" thickBot="1" x14ac:dyDescent="0.25">
      <c r="A102" s="185" t="s">
        <v>115</v>
      </c>
      <c r="B102" s="488"/>
      <c r="C102" s="639" t="s">
        <v>114</v>
      </c>
      <c r="D102" s="647">
        <f t="shared" ref="D102:AH102" si="421">SUM(D78:D100)</f>
        <v>36949.587148511935</v>
      </c>
      <c r="E102" s="647">
        <f t="shared" si="421"/>
        <v>39047.656245953694</v>
      </c>
      <c r="F102" s="647">
        <f t="shared" si="421"/>
        <v>41317.489114238779</v>
      </c>
      <c r="G102" s="647">
        <f t="shared" si="421"/>
        <v>43476.962930604328</v>
      </c>
      <c r="H102" s="647">
        <f t="shared" si="421"/>
        <v>45586.718851449441</v>
      </c>
      <c r="I102" s="647">
        <f t="shared" si="421"/>
        <v>47639.189534689234</v>
      </c>
      <c r="J102" s="647">
        <f t="shared" si="421"/>
        <v>49539.656618371926</v>
      </c>
      <c r="K102" s="647">
        <f t="shared" si="421"/>
        <v>51461.501481896637</v>
      </c>
      <c r="L102" s="647">
        <f t="shared" si="421"/>
        <v>53408.273002637237</v>
      </c>
      <c r="M102" s="647">
        <f t="shared" si="421"/>
        <v>55386.90115017553</v>
      </c>
      <c r="N102" s="647">
        <f t="shared" si="421"/>
        <v>57408.953343433022</v>
      </c>
      <c r="O102" s="647">
        <f t="shared" si="421"/>
        <v>59833.48689874581</v>
      </c>
      <c r="P102" s="647">
        <f t="shared" si="421"/>
        <v>62036.111653537257</v>
      </c>
      <c r="Q102" s="647">
        <f t="shared" si="421"/>
        <v>64488.328444485909</v>
      </c>
      <c r="R102" s="647">
        <f t="shared" si="421"/>
        <v>66966.072762277807</v>
      </c>
      <c r="S102" s="647">
        <f t="shared" si="421"/>
        <v>69463.224858744681</v>
      </c>
      <c r="T102" s="647">
        <f t="shared" si="421"/>
        <v>72089.126719300722</v>
      </c>
      <c r="U102" s="647">
        <f t="shared" si="421"/>
        <v>74769.628368342921</v>
      </c>
      <c r="V102" s="647">
        <f t="shared" si="421"/>
        <v>77449.038437877578</v>
      </c>
      <c r="W102" s="647">
        <f t="shared" si="421"/>
        <v>80083.591767624544</v>
      </c>
      <c r="X102" s="647">
        <f t="shared" si="421"/>
        <v>82623.741477152202</v>
      </c>
      <c r="Y102" s="647">
        <f t="shared" si="421"/>
        <v>85901.700520207785</v>
      </c>
      <c r="Z102" s="647">
        <f t="shared" si="421"/>
        <v>88669.067428968177</v>
      </c>
      <c r="AA102" s="647">
        <f t="shared" si="421"/>
        <v>91312.758090741045</v>
      </c>
      <c r="AB102" s="647">
        <f t="shared" si="421"/>
        <v>93896.867483345297</v>
      </c>
      <c r="AC102" s="647">
        <f t="shared" si="421"/>
        <v>96430.942206939217</v>
      </c>
      <c r="AD102" s="647">
        <f t="shared" si="421"/>
        <v>98889.446553288042</v>
      </c>
      <c r="AE102" s="647">
        <f t="shared" si="421"/>
        <v>101319.77475510824</v>
      </c>
      <c r="AF102" s="647">
        <f t="shared" si="421"/>
        <v>103731.72533306878</v>
      </c>
      <c r="AG102" s="647">
        <f t="shared" si="421"/>
        <v>106130.79206291493</v>
      </c>
      <c r="AH102" s="647">
        <f t="shared" si="421"/>
        <v>108502.832864731</v>
      </c>
      <c r="AI102" s="647"/>
      <c r="AJ102" s="647">
        <f t="shared" ref="AJ102:BN102" si="422">SUM(AJ78:AJ100)</f>
        <v>36949.576245362732</v>
      </c>
      <c r="AK102" s="647">
        <f t="shared" si="422"/>
        <v>38917.380906216473</v>
      </c>
      <c r="AL102" s="647">
        <f t="shared" si="422"/>
        <v>41028.060436919404</v>
      </c>
      <c r="AM102" s="647">
        <f t="shared" si="422"/>
        <v>43037.659501475006</v>
      </c>
      <c r="AN102" s="647">
        <f t="shared" si="422"/>
        <v>44993.59510860897</v>
      </c>
      <c r="AO102" s="647">
        <f t="shared" si="422"/>
        <v>46887.845940725681</v>
      </c>
      <c r="AP102" s="647">
        <f t="shared" si="422"/>
        <v>48709.723830084418</v>
      </c>
      <c r="AQ102" s="647">
        <f t="shared" si="422"/>
        <v>50553.246119291063</v>
      </c>
      <c r="AR102" s="647">
        <f t="shared" si="422"/>
        <v>52421.678481275296</v>
      </c>
      <c r="AS102" s="647">
        <f t="shared" si="422"/>
        <v>54321.515281997803</v>
      </c>
      <c r="AT102" s="647">
        <f t="shared" si="422"/>
        <v>56263.640632890885</v>
      </c>
      <c r="AU102" s="647">
        <f t="shared" si="422"/>
        <v>58550.471319925389</v>
      </c>
      <c r="AV102" s="647">
        <f t="shared" si="422"/>
        <v>60643.687717495777</v>
      </c>
      <c r="AW102" s="647">
        <f t="shared" si="422"/>
        <v>62954.644400382764</v>
      </c>
      <c r="AX102" s="647">
        <f t="shared" si="422"/>
        <v>65290.065562988668</v>
      </c>
      <c r="AY102" s="647">
        <f t="shared" si="422"/>
        <v>67646.170208950411</v>
      </c>
      <c r="AZ102" s="647">
        <f t="shared" si="422"/>
        <v>70120.690265256722</v>
      </c>
      <c r="BA102" s="647">
        <f t="shared" si="422"/>
        <v>72651.416804674183</v>
      </c>
      <c r="BB102" s="647">
        <f t="shared" si="422"/>
        <v>75189.576060751991</v>
      </c>
      <c r="BC102" s="647">
        <f t="shared" si="422"/>
        <v>77691.602321687082</v>
      </c>
      <c r="BD102" s="647">
        <f t="shared" si="422"/>
        <v>80105.37205477363</v>
      </c>
      <c r="BE102" s="647">
        <f t="shared" si="422"/>
        <v>83141.982431747034</v>
      </c>
      <c r="BF102" s="647">
        <f t="shared" si="422"/>
        <v>85729.20456445709</v>
      </c>
      <c r="BG102" s="647">
        <f t="shared" si="422"/>
        <v>88221.109126000432</v>
      </c>
      <c r="BH102" s="647">
        <f t="shared" si="422"/>
        <v>90650.195064310799</v>
      </c>
      <c r="BI102" s="647">
        <f t="shared" si="422"/>
        <v>93024.306583691301</v>
      </c>
      <c r="BJ102" s="647">
        <f t="shared" si="422"/>
        <v>95335.764447201844</v>
      </c>
      <c r="BK102" s="647">
        <f t="shared" si="422"/>
        <v>97616.949738987489</v>
      </c>
      <c r="BL102" s="647">
        <f t="shared" si="422"/>
        <v>99877.521730632841</v>
      </c>
      <c r="BM102" s="647">
        <f t="shared" si="422"/>
        <v>102125.4713916055</v>
      </c>
      <c r="BN102" s="647">
        <f t="shared" si="422"/>
        <v>104304.40476414132</v>
      </c>
      <c r="BO102" s="647"/>
      <c r="BP102" s="647">
        <f t="shared" ref="BP102:CT102" si="423">SUM(BP78:BP100)</f>
        <v>36949.417479192358</v>
      </c>
      <c r="BQ102" s="647">
        <f t="shared" si="423"/>
        <v>37947.986854147101</v>
      </c>
      <c r="BR102" s="647">
        <f t="shared" si="423"/>
        <v>38883.831833800687</v>
      </c>
      <c r="BS102" s="647">
        <f t="shared" si="423"/>
        <v>39750.914660585579</v>
      </c>
      <c r="BT102" s="647">
        <f t="shared" si="423"/>
        <v>40543.623145456557</v>
      </c>
      <c r="BU102" s="647">
        <f t="shared" si="423"/>
        <v>41256.839967554326</v>
      </c>
      <c r="BV102" s="647">
        <f t="shared" si="423"/>
        <v>41964.822792397055</v>
      </c>
      <c r="BW102" s="647">
        <f t="shared" si="423"/>
        <v>42666.866644763853</v>
      </c>
      <c r="BX102" s="647">
        <f t="shared" si="423"/>
        <v>43362.264942257745</v>
      </c>
      <c r="BY102" s="647">
        <f t="shared" si="423"/>
        <v>44050.310959490584</v>
      </c>
      <c r="BZ102" s="647">
        <f t="shared" si="423"/>
        <v>44730.299324600594</v>
      </c>
      <c r="CA102" s="647">
        <f t="shared" si="423"/>
        <v>45345.026220445441</v>
      </c>
      <c r="CB102" s="647">
        <f t="shared" si="423"/>
        <v>45891.573264718005</v>
      </c>
      <c r="CC102" s="647">
        <f t="shared" si="423"/>
        <v>46367.389877811816</v>
      </c>
      <c r="CD102" s="647">
        <f t="shared" si="423"/>
        <v>46770.319152226628</v>
      </c>
      <c r="CE102" s="647">
        <f t="shared" si="423"/>
        <v>47098.620292570806</v>
      </c>
      <c r="CF102" s="647">
        <f t="shared" si="423"/>
        <v>47424.540012474434</v>
      </c>
      <c r="CG102" s="647">
        <f t="shared" si="423"/>
        <v>47748.025487470266</v>
      </c>
      <c r="CH102" s="647">
        <f t="shared" si="423"/>
        <v>48069.025849614954</v>
      </c>
      <c r="CI102" s="647">
        <f t="shared" si="423"/>
        <v>48387.492267304347</v>
      </c>
      <c r="CJ102" s="647">
        <f t="shared" si="423"/>
        <v>48703.378025313854</v>
      </c>
      <c r="CK102" s="647">
        <f t="shared" si="423"/>
        <v>49017.099162552913</v>
      </c>
      <c r="CL102" s="647">
        <f t="shared" si="423"/>
        <v>49328.619682843346</v>
      </c>
      <c r="CM102" s="647">
        <f t="shared" si="423"/>
        <v>49637.905611230475</v>
      </c>
      <c r="CN102" s="647">
        <f t="shared" si="423"/>
        <v>49944.925063941184</v>
      </c>
      <c r="CO102" s="647">
        <f t="shared" si="423"/>
        <v>50249.648318534368</v>
      </c>
      <c r="CP102" s="647">
        <f t="shared" si="423"/>
        <v>50552.450682473747</v>
      </c>
      <c r="CQ102" s="647">
        <f t="shared" si="423"/>
        <v>50853.311552256557</v>
      </c>
      <c r="CR102" s="647">
        <f t="shared" si="423"/>
        <v>51152.212407828774</v>
      </c>
      <c r="CS102" s="647">
        <f t="shared" si="423"/>
        <v>51449.136875302313</v>
      </c>
      <c r="CT102" s="647">
        <f t="shared" si="423"/>
        <v>51744.070789864287</v>
      </c>
      <c r="CU102" s="647"/>
      <c r="CV102" s="647">
        <f t="shared" ref="CV102:DZ102" si="424">SUM(CV78:CV100)</f>
        <v>36949.576245362732</v>
      </c>
      <c r="CW102" s="647">
        <f t="shared" si="424"/>
        <v>38491.759316065974</v>
      </c>
      <c r="CX102" s="647">
        <f t="shared" si="424"/>
        <v>40053.861893919864</v>
      </c>
      <c r="CY102" s="647">
        <f t="shared" si="424"/>
        <v>41564.937410393257</v>
      </c>
      <c r="CZ102" s="647">
        <f t="shared" si="424"/>
        <v>43013.105744066372</v>
      </c>
      <c r="DA102" s="647">
        <f t="shared" si="424"/>
        <v>44388.950695873238</v>
      </c>
      <c r="DB102" s="647">
        <f t="shared" si="424"/>
        <v>45766.621344458377</v>
      </c>
      <c r="DC102" s="647">
        <f t="shared" si="424"/>
        <v>47160.891560903488</v>
      </c>
      <c r="DD102" s="647">
        <f t="shared" si="424"/>
        <v>48575.11117227911</v>
      </c>
      <c r="DE102" s="647">
        <f t="shared" si="424"/>
        <v>50016.150116037876</v>
      </c>
      <c r="DF102" s="647">
        <f t="shared" si="424"/>
        <v>51495.800489586181</v>
      </c>
      <c r="DG102" s="647">
        <f t="shared" si="424"/>
        <v>53183.093529401136</v>
      </c>
      <c r="DH102" s="647">
        <f t="shared" si="424"/>
        <v>54879.946149235977</v>
      </c>
      <c r="DI102" s="647">
        <f t="shared" si="424"/>
        <v>56567.806347785532</v>
      </c>
      <c r="DJ102" s="647">
        <f t="shared" si="424"/>
        <v>58282.830185956998</v>
      </c>
      <c r="DK102" s="647">
        <f t="shared" si="424"/>
        <v>60023.573500523038</v>
      </c>
      <c r="DL102" s="647">
        <f t="shared" si="424"/>
        <v>61881.013129681276</v>
      </c>
      <c r="DM102" s="647">
        <f t="shared" si="424"/>
        <v>63807.590147410308</v>
      </c>
      <c r="DN102" s="647">
        <f t="shared" si="424"/>
        <v>65748.897165357746</v>
      </c>
      <c r="DO102" s="647">
        <f t="shared" si="424"/>
        <v>67653.445927492838</v>
      </c>
      <c r="DP102" s="647">
        <f t="shared" si="424"/>
        <v>69461.142197405527</v>
      </c>
      <c r="DQ102" s="647">
        <f t="shared" si="424"/>
        <v>71409.62265698894</v>
      </c>
      <c r="DR102" s="647">
        <f t="shared" si="424"/>
        <v>73308.756715992218</v>
      </c>
      <c r="DS102" s="647">
        <f t="shared" si="424"/>
        <v>75100.253946624303</v>
      </c>
      <c r="DT102" s="647">
        <f t="shared" si="424"/>
        <v>76805.810231771975</v>
      </c>
      <c r="DU102" s="647">
        <f t="shared" si="424"/>
        <v>78433.297551196229</v>
      </c>
      <c r="DV102" s="647">
        <f t="shared" si="424"/>
        <v>79989.79551757047</v>
      </c>
      <c r="DW102" s="647">
        <f t="shared" si="424"/>
        <v>81494.654692218988</v>
      </c>
      <c r="DX102" s="647">
        <f t="shared" si="424"/>
        <v>82958.053694587186</v>
      </c>
      <c r="DY102" s="647">
        <f t="shared" si="424"/>
        <v>84388.370024329488</v>
      </c>
      <c r="DZ102" s="647">
        <f t="shared" si="424"/>
        <v>85729.432805883145</v>
      </c>
    </row>
    <row r="104" spans="1:143" ht="16" thickBot="1" x14ac:dyDescent="0.25">
      <c r="A104" s="637" t="s">
        <v>116</v>
      </c>
      <c r="B104" s="637"/>
      <c r="C104" s="638"/>
      <c r="D104" s="637"/>
      <c r="E104" s="637"/>
      <c r="F104" s="637"/>
      <c r="G104" s="637"/>
      <c r="H104" s="637"/>
      <c r="I104" s="637"/>
      <c r="J104" s="637"/>
      <c r="K104" s="637"/>
      <c r="L104" s="637"/>
      <c r="M104" s="637"/>
      <c r="N104" s="637"/>
      <c r="O104" s="637"/>
      <c r="P104" s="637"/>
      <c r="Q104" s="637"/>
      <c r="R104" s="637"/>
      <c r="S104" s="637"/>
      <c r="T104" s="637"/>
      <c r="U104" s="637"/>
      <c r="V104" s="637"/>
      <c r="W104" s="637"/>
      <c r="X104" s="637"/>
      <c r="Y104" s="637"/>
      <c r="Z104" s="637"/>
      <c r="AA104" s="637"/>
      <c r="AB104" s="637"/>
      <c r="AC104" s="637"/>
      <c r="AD104" s="637"/>
      <c r="AE104" s="637"/>
      <c r="AF104" s="637"/>
      <c r="AG104" s="637"/>
      <c r="AH104" s="637"/>
      <c r="AI104" s="637"/>
      <c r="AJ104" s="637"/>
      <c r="AK104" s="637"/>
      <c r="AL104" s="637"/>
      <c r="AM104" s="637"/>
      <c r="AN104" s="637"/>
      <c r="AO104" s="637"/>
      <c r="AP104" s="637"/>
      <c r="AQ104" s="637"/>
      <c r="AR104" s="637"/>
      <c r="AS104" s="637"/>
      <c r="AT104" s="637"/>
      <c r="AU104" s="637"/>
      <c r="AV104" s="637"/>
      <c r="AW104" s="637"/>
      <c r="AX104" s="637"/>
      <c r="AY104" s="637"/>
      <c r="AZ104" s="637"/>
      <c r="BA104" s="637"/>
      <c r="BB104" s="637"/>
      <c r="BC104" s="637"/>
      <c r="BD104" s="637"/>
      <c r="BE104" s="637"/>
      <c r="BF104" s="637"/>
      <c r="BG104" s="637"/>
      <c r="BH104" s="637"/>
      <c r="BI104" s="637"/>
      <c r="BJ104" s="637"/>
      <c r="BK104" s="637"/>
      <c r="BL104" s="637"/>
      <c r="BM104" s="637"/>
      <c r="BN104" s="637"/>
      <c r="BO104" s="637"/>
      <c r="BP104" s="637"/>
      <c r="BQ104" s="637"/>
      <c r="BR104" s="637"/>
      <c r="BS104" s="637"/>
      <c r="BT104" s="637"/>
      <c r="BU104" s="637"/>
      <c r="BV104" s="637"/>
      <c r="BW104" s="637"/>
      <c r="BX104" s="637"/>
      <c r="BY104" s="637"/>
      <c r="BZ104" s="637"/>
      <c r="CA104" s="637"/>
      <c r="CB104" s="637"/>
      <c r="CC104" s="637"/>
      <c r="CD104" s="637"/>
      <c r="CE104" s="637"/>
      <c r="CF104" s="637"/>
      <c r="CG104" s="637"/>
      <c r="CH104" s="637"/>
      <c r="CI104" s="637"/>
      <c r="CJ104" s="637"/>
      <c r="CK104" s="637"/>
      <c r="CL104" s="637"/>
      <c r="CM104" s="637"/>
      <c r="CN104" s="637"/>
      <c r="CO104" s="637"/>
      <c r="CP104" s="637"/>
      <c r="CQ104" s="637"/>
      <c r="CR104" s="637"/>
      <c r="CS104" s="637"/>
      <c r="CT104" s="637"/>
      <c r="CU104" s="637"/>
      <c r="CV104" s="637"/>
      <c r="CW104" s="637"/>
      <c r="CX104" s="637"/>
      <c r="CY104" s="637"/>
      <c r="CZ104" s="637"/>
      <c r="DA104" s="637"/>
      <c r="DB104" s="637"/>
      <c r="DC104" s="637"/>
      <c r="DD104" s="637"/>
      <c r="DE104" s="637"/>
      <c r="DF104" s="637"/>
      <c r="DG104" s="637"/>
      <c r="DH104" s="637"/>
      <c r="DI104" s="637"/>
      <c r="DJ104" s="637"/>
      <c r="DK104" s="637"/>
      <c r="DL104" s="637"/>
      <c r="DM104" s="637"/>
      <c r="DN104" s="637"/>
      <c r="DO104" s="637"/>
      <c r="DP104" s="637"/>
      <c r="DQ104" s="637"/>
      <c r="DR104" s="637"/>
      <c r="DS104" s="637"/>
      <c r="DT104" s="637"/>
      <c r="DU104" s="637"/>
      <c r="DV104" s="637"/>
      <c r="DW104" s="637"/>
      <c r="DX104" s="637"/>
      <c r="DY104" s="637"/>
      <c r="DZ104" s="637"/>
      <c r="EF104" s="181">
        <v>2020</v>
      </c>
      <c r="EG104">
        <v>2050</v>
      </c>
      <c r="EK104" t="s">
        <v>113</v>
      </c>
      <c r="EM104" t="s">
        <v>96</v>
      </c>
    </row>
    <row r="105" spans="1:143" x14ac:dyDescent="0.2">
      <c r="B105" t="str">
        <f t="shared" ref="B105:B122" si="425">B78</f>
        <v>Fuel additive elimination</v>
      </c>
      <c r="C105" s="54" t="s">
        <v>114</v>
      </c>
      <c r="D105" s="648">
        <f t="shared" ref="D105:AH105" si="426">D7*$EF105</f>
        <v>0</v>
      </c>
      <c r="E105" s="648">
        <f t="shared" si="426"/>
        <v>0</v>
      </c>
      <c r="F105" s="648">
        <f t="shared" si="426"/>
        <v>0</v>
      </c>
      <c r="G105" s="648">
        <f t="shared" si="426"/>
        <v>0</v>
      </c>
      <c r="H105" s="648">
        <f t="shared" si="426"/>
        <v>0</v>
      </c>
      <c r="I105" s="648">
        <f t="shared" si="426"/>
        <v>0</v>
      </c>
      <c r="J105" s="648">
        <f t="shared" si="426"/>
        <v>0</v>
      </c>
      <c r="K105" s="648">
        <f t="shared" si="426"/>
        <v>0</v>
      </c>
      <c r="L105" s="648">
        <f t="shared" si="426"/>
        <v>0</v>
      </c>
      <c r="M105" s="648">
        <f t="shared" si="426"/>
        <v>0</v>
      </c>
      <c r="N105" s="648">
        <f t="shared" si="426"/>
        <v>0</v>
      </c>
      <c r="O105" s="648">
        <f t="shared" si="426"/>
        <v>0</v>
      </c>
      <c r="P105" s="648">
        <f t="shared" si="426"/>
        <v>0</v>
      </c>
      <c r="Q105" s="648">
        <f t="shared" si="426"/>
        <v>0</v>
      </c>
      <c r="R105" s="648">
        <f t="shared" si="426"/>
        <v>0</v>
      </c>
      <c r="S105" s="648">
        <f t="shared" si="426"/>
        <v>0</v>
      </c>
      <c r="T105" s="648">
        <f t="shared" si="426"/>
        <v>0</v>
      </c>
      <c r="U105" s="648">
        <f t="shared" si="426"/>
        <v>0</v>
      </c>
      <c r="V105" s="648">
        <f t="shared" si="426"/>
        <v>0</v>
      </c>
      <c r="W105" s="648">
        <f t="shared" si="426"/>
        <v>0</v>
      </c>
      <c r="X105" s="648">
        <f t="shared" si="426"/>
        <v>0</v>
      </c>
      <c r="Y105" s="648">
        <f t="shared" si="426"/>
        <v>0</v>
      </c>
      <c r="Z105" s="648">
        <f t="shared" si="426"/>
        <v>0</v>
      </c>
      <c r="AA105" s="648">
        <f t="shared" si="426"/>
        <v>0</v>
      </c>
      <c r="AB105" s="648">
        <f t="shared" si="426"/>
        <v>0</v>
      </c>
      <c r="AC105" s="648">
        <f t="shared" si="426"/>
        <v>0</v>
      </c>
      <c r="AD105" s="648">
        <f t="shared" si="426"/>
        <v>0</v>
      </c>
      <c r="AE105" s="648">
        <f t="shared" si="426"/>
        <v>0</v>
      </c>
      <c r="AF105" s="648">
        <f t="shared" si="426"/>
        <v>0</v>
      </c>
      <c r="AG105" s="648">
        <f t="shared" si="426"/>
        <v>0</v>
      </c>
      <c r="AH105" s="648">
        <f t="shared" si="426"/>
        <v>0</v>
      </c>
      <c r="AI105" s="648"/>
      <c r="AJ105" s="648">
        <f t="shared" ref="AJ105:BN105" si="427">AJ7*$EF105</f>
        <v>0</v>
      </c>
      <c r="AK105" s="648">
        <f t="shared" si="427"/>
        <v>0</v>
      </c>
      <c r="AL105" s="648">
        <f t="shared" si="427"/>
        <v>0</v>
      </c>
      <c r="AM105" s="648">
        <f t="shared" si="427"/>
        <v>0</v>
      </c>
      <c r="AN105" s="648">
        <f t="shared" si="427"/>
        <v>0</v>
      </c>
      <c r="AO105" s="648">
        <f t="shared" si="427"/>
        <v>0</v>
      </c>
      <c r="AP105" s="648">
        <f t="shared" si="427"/>
        <v>0</v>
      </c>
      <c r="AQ105" s="648">
        <f t="shared" si="427"/>
        <v>0</v>
      </c>
      <c r="AR105" s="648">
        <f t="shared" si="427"/>
        <v>0</v>
      </c>
      <c r="AS105" s="648">
        <f t="shared" si="427"/>
        <v>0</v>
      </c>
      <c r="AT105" s="648">
        <f t="shared" si="427"/>
        <v>0</v>
      </c>
      <c r="AU105" s="648">
        <f t="shared" si="427"/>
        <v>0</v>
      </c>
      <c r="AV105" s="648">
        <f t="shared" si="427"/>
        <v>0</v>
      </c>
      <c r="AW105" s="648">
        <f t="shared" si="427"/>
        <v>0</v>
      </c>
      <c r="AX105" s="648">
        <f t="shared" si="427"/>
        <v>0</v>
      </c>
      <c r="AY105" s="648">
        <f t="shared" si="427"/>
        <v>0</v>
      </c>
      <c r="AZ105" s="648">
        <f t="shared" si="427"/>
        <v>0</v>
      </c>
      <c r="BA105" s="648">
        <f t="shared" si="427"/>
        <v>0</v>
      </c>
      <c r="BB105" s="648">
        <f t="shared" si="427"/>
        <v>0</v>
      </c>
      <c r="BC105" s="648">
        <f t="shared" si="427"/>
        <v>0</v>
      </c>
      <c r="BD105" s="648">
        <f t="shared" si="427"/>
        <v>0</v>
      </c>
      <c r="BE105" s="648">
        <f t="shared" si="427"/>
        <v>0</v>
      </c>
      <c r="BF105" s="648">
        <f t="shared" si="427"/>
        <v>0</v>
      </c>
      <c r="BG105" s="648">
        <f t="shared" si="427"/>
        <v>0</v>
      </c>
      <c r="BH105" s="648">
        <f t="shared" si="427"/>
        <v>0</v>
      </c>
      <c r="BI105" s="648">
        <f t="shared" si="427"/>
        <v>0</v>
      </c>
      <c r="BJ105" s="648">
        <f t="shared" si="427"/>
        <v>0</v>
      </c>
      <c r="BK105" s="648">
        <f t="shared" si="427"/>
        <v>0</v>
      </c>
      <c r="BL105" s="648">
        <f t="shared" si="427"/>
        <v>0</v>
      </c>
      <c r="BM105" s="648">
        <f t="shared" si="427"/>
        <v>0</v>
      </c>
      <c r="BN105" s="648">
        <f t="shared" si="427"/>
        <v>0</v>
      </c>
      <c r="BO105" s="648"/>
      <c r="BP105" s="648">
        <f t="shared" ref="BP105:CT105" si="428">BP7*$EF105</f>
        <v>0</v>
      </c>
      <c r="BQ105" s="648">
        <f t="shared" si="428"/>
        <v>0</v>
      </c>
      <c r="BR105" s="648">
        <f t="shared" si="428"/>
        <v>0</v>
      </c>
      <c r="BS105" s="648">
        <f t="shared" si="428"/>
        <v>0</v>
      </c>
      <c r="BT105" s="648">
        <f t="shared" si="428"/>
        <v>0</v>
      </c>
      <c r="BU105" s="648">
        <f t="shared" si="428"/>
        <v>0</v>
      </c>
      <c r="BV105" s="648">
        <f t="shared" si="428"/>
        <v>0</v>
      </c>
      <c r="BW105" s="648">
        <f t="shared" si="428"/>
        <v>0</v>
      </c>
      <c r="BX105" s="648">
        <f t="shared" si="428"/>
        <v>0</v>
      </c>
      <c r="BY105" s="648">
        <f t="shared" si="428"/>
        <v>0</v>
      </c>
      <c r="BZ105" s="648">
        <f t="shared" si="428"/>
        <v>0</v>
      </c>
      <c r="CA105" s="648">
        <f t="shared" si="428"/>
        <v>0</v>
      </c>
      <c r="CB105" s="648">
        <f t="shared" si="428"/>
        <v>0</v>
      </c>
      <c r="CC105" s="648">
        <f t="shared" si="428"/>
        <v>0</v>
      </c>
      <c r="CD105" s="648">
        <f t="shared" si="428"/>
        <v>0</v>
      </c>
      <c r="CE105" s="648">
        <f t="shared" si="428"/>
        <v>0</v>
      </c>
      <c r="CF105" s="648">
        <f t="shared" si="428"/>
        <v>0</v>
      </c>
      <c r="CG105" s="648">
        <f t="shared" si="428"/>
        <v>0</v>
      </c>
      <c r="CH105" s="648">
        <f t="shared" si="428"/>
        <v>0</v>
      </c>
      <c r="CI105" s="648">
        <f t="shared" si="428"/>
        <v>0</v>
      </c>
      <c r="CJ105" s="648">
        <f t="shared" si="428"/>
        <v>0</v>
      </c>
      <c r="CK105" s="648">
        <f t="shared" si="428"/>
        <v>0</v>
      </c>
      <c r="CL105" s="648">
        <f t="shared" si="428"/>
        <v>0</v>
      </c>
      <c r="CM105" s="648">
        <f t="shared" si="428"/>
        <v>0</v>
      </c>
      <c r="CN105" s="648">
        <f t="shared" si="428"/>
        <v>0</v>
      </c>
      <c r="CO105" s="648">
        <f t="shared" si="428"/>
        <v>0</v>
      </c>
      <c r="CP105" s="648">
        <f t="shared" si="428"/>
        <v>0</v>
      </c>
      <c r="CQ105" s="648">
        <f t="shared" si="428"/>
        <v>0</v>
      </c>
      <c r="CR105" s="648">
        <f t="shared" si="428"/>
        <v>0</v>
      </c>
      <c r="CS105" s="648">
        <f t="shared" si="428"/>
        <v>0</v>
      </c>
      <c r="CT105" s="648">
        <f t="shared" si="428"/>
        <v>0</v>
      </c>
      <c r="CU105" s="648"/>
      <c r="CV105" s="648">
        <f t="shared" ref="CV105:DZ105" si="429">CV7*$EF105</f>
        <v>0</v>
      </c>
      <c r="CW105" s="648">
        <f t="shared" si="429"/>
        <v>0</v>
      </c>
      <c r="CX105" s="648">
        <f t="shared" si="429"/>
        <v>0</v>
      </c>
      <c r="CY105" s="648">
        <f t="shared" si="429"/>
        <v>0</v>
      </c>
      <c r="CZ105" s="648">
        <f t="shared" si="429"/>
        <v>0</v>
      </c>
      <c r="DA105" s="648">
        <f t="shared" si="429"/>
        <v>0</v>
      </c>
      <c r="DB105" s="648">
        <f t="shared" si="429"/>
        <v>0</v>
      </c>
      <c r="DC105" s="648">
        <f t="shared" si="429"/>
        <v>0</v>
      </c>
      <c r="DD105" s="648">
        <f t="shared" si="429"/>
        <v>0</v>
      </c>
      <c r="DE105" s="648">
        <f t="shared" si="429"/>
        <v>0</v>
      </c>
      <c r="DF105" s="648">
        <f t="shared" si="429"/>
        <v>0</v>
      </c>
      <c r="DG105" s="648">
        <f t="shared" si="429"/>
        <v>0</v>
      </c>
      <c r="DH105" s="648">
        <f t="shared" si="429"/>
        <v>0</v>
      </c>
      <c r="DI105" s="648">
        <f t="shared" si="429"/>
        <v>0</v>
      </c>
      <c r="DJ105" s="648">
        <f t="shared" si="429"/>
        <v>0</v>
      </c>
      <c r="DK105" s="648">
        <f t="shared" si="429"/>
        <v>0</v>
      </c>
      <c r="DL105" s="648">
        <f t="shared" si="429"/>
        <v>0</v>
      </c>
      <c r="DM105" s="648">
        <f t="shared" si="429"/>
        <v>0</v>
      </c>
      <c r="DN105" s="648">
        <f t="shared" si="429"/>
        <v>0</v>
      </c>
      <c r="DO105" s="648">
        <f t="shared" si="429"/>
        <v>0</v>
      </c>
      <c r="DP105" s="648">
        <f t="shared" si="429"/>
        <v>0</v>
      </c>
      <c r="DQ105" s="648">
        <f t="shared" si="429"/>
        <v>0</v>
      </c>
      <c r="DR105" s="648">
        <f t="shared" si="429"/>
        <v>0</v>
      </c>
      <c r="DS105" s="648">
        <f t="shared" si="429"/>
        <v>0</v>
      </c>
      <c r="DT105" s="648">
        <f t="shared" si="429"/>
        <v>0</v>
      </c>
      <c r="DU105" s="648">
        <f t="shared" si="429"/>
        <v>0</v>
      </c>
      <c r="DV105" s="648">
        <f t="shared" si="429"/>
        <v>0</v>
      </c>
      <c r="DW105" s="648">
        <f t="shared" si="429"/>
        <v>0</v>
      </c>
      <c r="DX105" s="648">
        <f t="shared" si="429"/>
        <v>0</v>
      </c>
      <c r="DY105" s="648">
        <f t="shared" si="429"/>
        <v>0</v>
      </c>
      <c r="DZ105" s="648">
        <f t="shared" si="429"/>
        <v>0</v>
      </c>
      <c r="EF105" s="51">
        <v>0</v>
      </c>
      <c r="EG105" s="51"/>
      <c r="EH105" s="51"/>
      <c r="EI105" s="51"/>
      <c r="EJ105" s="51"/>
      <c r="EM105" t="s">
        <v>98</v>
      </c>
    </row>
    <row r="106" spans="1:143" x14ac:dyDescent="0.2">
      <c r="A106" s="1"/>
      <c r="B106" t="str">
        <f t="shared" si="425"/>
        <v>Packaging reduction</v>
      </c>
      <c r="C106" s="54" t="s">
        <v>114</v>
      </c>
      <c r="D106" s="648">
        <f t="shared" ref="D106:AH106" si="430">D8*$EF106</f>
        <v>0</v>
      </c>
      <c r="E106" s="648">
        <f t="shared" si="430"/>
        <v>0</v>
      </c>
      <c r="F106" s="648">
        <f t="shared" si="430"/>
        <v>0</v>
      </c>
      <c r="G106" s="648">
        <f t="shared" si="430"/>
        <v>0</v>
      </c>
      <c r="H106" s="648">
        <f t="shared" si="430"/>
        <v>0</v>
      </c>
      <c r="I106" s="648">
        <f t="shared" si="430"/>
        <v>0</v>
      </c>
      <c r="J106" s="648">
        <f t="shared" si="430"/>
        <v>0</v>
      </c>
      <c r="K106" s="648">
        <f t="shared" si="430"/>
        <v>0</v>
      </c>
      <c r="L106" s="648">
        <f t="shared" si="430"/>
        <v>0</v>
      </c>
      <c r="M106" s="648">
        <f t="shared" si="430"/>
        <v>0</v>
      </c>
      <c r="N106" s="648">
        <f t="shared" si="430"/>
        <v>0</v>
      </c>
      <c r="O106" s="648">
        <f t="shared" si="430"/>
        <v>0</v>
      </c>
      <c r="P106" s="648">
        <f t="shared" si="430"/>
        <v>0</v>
      </c>
      <c r="Q106" s="648">
        <f t="shared" si="430"/>
        <v>0</v>
      </c>
      <c r="R106" s="648">
        <f t="shared" si="430"/>
        <v>0</v>
      </c>
      <c r="S106" s="648">
        <f t="shared" si="430"/>
        <v>0</v>
      </c>
      <c r="T106" s="648">
        <f t="shared" si="430"/>
        <v>0</v>
      </c>
      <c r="U106" s="648">
        <f t="shared" si="430"/>
        <v>0</v>
      </c>
      <c r="V106" s="648">
        <f t="shared" si="430"/>
        <v>0</v>
      </c>
      <c r="W106" s="648">
        <f t="shared" si="430"/>
        <v>0</v>
      </c>
      <c r="X106" s="648">
        <f t="shared" si="430"/>
        <v>0</v>
      </c>
      <c r="Y106" s="648">
        <f t="shared" si="430"/>
        <v>0</v>
      </c>
      <c r="Z106" s="648">
        <f t="shared" si="430"/>
        <v>0</v>
      </c>
      <c r="AA106" s="648">
        <f t="shared" si="430"/>
        <v>0</v>
      </c>
      <c r="AB106" s="648">
        <f t="shared" si="430"/>
        <v>0</v>
      </c>
      <c r="AC106" s="648">
        <f t="shared" si="430"/>
        <v>0</v>
      </c>
      <c r="AD106" s="648">
        <f t="shared" si="430"/>
        <v>0</v>
      </c>
      <c r="AE106" s="648">
        <f t="shared" si="430"/>
        <v>0</v>
      </c>
      <c r="AF106" s="648">
        <f t="shared" si="430"/>
        <v>0</v>
      </c>
      <c r="AG106" s="648">
        <f t="shared" si="430"/>
        <v>0</v>
      </c>
      <c r="AH106" s="648">
        <f t="shared" si="430"/>
        <v>0</v>
      </c>
      <c r="AI106" s="648"/>
      <c r="AJ106" s="648">
        <f t="shared" ref="AJ106:BN106" si="431">AJ8*$EF106</f>
        <v>0</v>
      </c>
      <c r="AK106" s="648">
        <f t="shared" si="431"/>
        <v>0</v>
      </c>
      <c r="AL106" s="648">
        <f t="shared" si="431"/>
        <v>0</v>
      </c>
      <c r="AM106" s="648">
        <f t="shared" si="431"/>
        <v>0</v>
      </c>
      <c r="AN106" s="648">
        <f t="shared" si="431"/>
        <v>0</v>
      </c>
      <c r="AO106" s="648">
        <f t="shared" si="431"/>
        <v>0</v>
      </c>
      <c r="AP106" s="648">
        <f t="shared" si="431"/>
        <v>0</v>
      </c>
      <c r="AQ106" s="648">
        <f t="shared" si="431"/>
        <v>0</v>
      </c>
      <c r="AR106" s="648">
        <f t="shared" si="431"/>
        <v>0</v>
      </c>
      <c r="AS106" s="648">
        <f t="shared" si="431"/>
        <v>0</v>
      </c>
      <c r="AT106" s="648">
        <f t="shared" si="431"/>
        <v>0</v>
      </c>
      <c r="AU106" s="648">
        <f t="shared" si="431"/>
        <v>0</v>
      </c>
      <c r="AV106" s="648">
        <f t="shared" si="431"/>
        <v>0</v>
      </c>
      <c r="AW106" s="648">
        <f t="shared" si="431"/>
        <v>0</v>
      </c>
      <c r="AX106" s="648">
        <f t="shared" si="431"/>
        <v>0</v>
      </c>
      <c r="AY106" s="648">
        <f t="shared" si="431"/>
        <v>0</v>
      </c>
      <c r="AZ106" s="648">
        <f t="shared" si="431"/>
        <v>0</v>
      </c>
      <c r="BA106" s="648">
        <f t="shared" si="431"/>
        <v>0</v>
      </c>
      <c r="BB106" s="648">
        <f t="shared" si="431"/>
        <v>0</v>
      </c>
      <c r="BC106" s="648">
        <f t="shared" si="431"/>
        <v>0</v>
      </c>
      <c r="BD106" s="648">
        <f t="shared" si="431"/>
        <v>0</v>
      </c>
      <c r="BE106" s="648">
        <f t="shared" si="431"/>
        <v>0</v>
      </c>
      <c r="BF106" s="648">
        <f t="shared" si="431"/>
        <v>0</v>
      </c>
      <c r="BG106" s="648">
        <f t="shared" si="431"/>
        <v>0</v>
      </c>
      <c r="BH106" s="648">
        <f t="shared" si="431"/>
        <v>0</v>
      </c>
      <c r="BI106" s="648">
        <f t="shared" si="431"/>
        <v>0</v>
      </c>
      <c r="BJ106" s="648">
        <f t="shared" si="431"/>
        <v>0</v>
      </c>
      <c r="BK106" s="648">
        <f t="shared" si="431"/>
        <v>0</v>
      </c>
      <c r="BL106" s="648">
        <f t="shared" si="431"/>
        <v>0</v>
      </c>
      <c r="BM106" s="648">
        <f t="shared" si="431"/>
        <v>0</v>
      </c>
      <c r="BN106" s="648">
        <f t="shared" si="431"/>
        <v>0</v>
      </c>
      <c r="BO106" s="648"/>
      <c r="BP106" s="648">
        <f t="shared" ref="BP106:CT106" si="432">BP8*$EF106</f>
        <v>0</v>
      </c>
      <c r="BQ106" s="648">
        <f t="shared" si="432"/>
        <v>0</v>
      </c>
      <c r="BR106" s="648">
        <f t="shared" si="432"/>
        <v>0</v>
      </c>
      <c r="BS106" s="648">
        <f t="shared" si="432"/>
        <v>0</v>
      </c>
      <c r="BT106" s="648">
        <f t="shared" si="432"/>
        <v>0</v>
      </c>
      <c r="BU106" s="648">
        <f t="shared" si="432"/>
        <v>0</v>
      </c>
      <c r="BV106" s="648">
        <f t="shared" si="432"/>
        <v>0</v>
      </c>
      <c r="BW106" s="648">
        <f t="shared" si="432"/>
        <v>0</v>
      </c>
      <c r="BX106" s="648">
        <f t="shared" si="432"/>
        <v>0</v>
      </c>
      <c r="BY106" s="648">
        <f t="shared" si="432"/>
        <v>0</v>
      </c>
      <c r="BZ106" s="648">
        <f t="shared" si="432"/>
        <v>0</v>
      </c>
      <c r="CA106" s="648">
        <f t="shared" si="432"/>
        <v>0</v>
      </c>
      <c r="CB106" s="648">
        <f t="shared" si="432"/>
        <v>0</v>
      </c>
      <c r="CC106" s="648">
        <f t="shared" si="432"/>
        <v>0</v>
      </c>
      <c r="CD106" s="648">
        <f t="shared" si="432"/>
        <v>0</v>
      </c>
      <c r="CE106" s="648">
        <f t="shared" si="432"/>
        <v>0</v>
      </c>
      <c r="CF106" s="648">
        <f t="shared" si="432"/>
        <v>0</v>
      </c>
      <c r="CG106" s="648">
        <f t="shared" si="432"/>
        <v>0</v>
      </c>
      <c r="CH106" s="648">
        <f t="shared" si="432"/>
        <v>0</v>
      </c>
      <c r="CI106" s="648">
        <f t="shared" si="432"/>
        <v>0</v>
      </c>
      <c r="CJ106" s="648">
        <f t="shared" si="432"/>
        <v>0</v>
      </c>
      <c r="CK106" s="648">
        <f t="shared" si="432"/>
        <v>0</v>
      </c>
      <c r="CL106" s="648">
        <f t="shared" si="432"/>
        <v>0</v>
      </c>
      <c r="CM106" s="648">
        <f t="shared" si="432"/>
        <v>0</v>
      </c>
      <c r="CN106" s="648">
        <f t="shared" si="432"/>
        <v>0</v>
      </c>
      <c r="CO106" s="648">
        <f t="shared" si="432"/>
        <v>0</v>
      </c>
      <c r="CP106" s="648">
        <f t="shared" si="432"/>
        <v>0</v>
      </c>
      <c r="CQ106" s="648">
        <f t="shared" si="432"/>
        <v>0</v>
      </c>
      <c r="CR106" s="648">
        <f t="shared" si="432"/>
        <v>0</v>
      </c>
      <c r="CS106" s="648">
        <f t="shared" si="432"/>
        <v>0</v>
      </c>
      <c r="CT106" s="648">
        <f t="shared" si="432"/>
        <v>0</v>
      </c>
      <c r="CU106" s="648"/>
      <c r="CV106" s="648">
        <f t="shared" ref="CV106:DZ106" si="433">CV8*$EF106</f>
        <v>0</v>
      </c>
      <c r="CW106" s="648">
        <f t="shared" si="433"/>
        <v>0</v>
      </c>
      <c r="CX106" s="648">
        <f t="shared" si="433"/>
        <v>0</v>
      </c>
      <c r="CY106" s="648">
        <f t="shared" si="433"/>
        <v>0</v>
      </c>
      <c r="CZ106" s="648">
        <f t="shared" si="433"/>
        <v>0</v>
      </c>
      <c r="DA106" s="648">
        <f t="shared" si="433"/>
        <v>0</v>
      </c>
      <c r="DB106" s="648">
        <f t="shared" si="433"/>
        <v>0</v>
      </c>
      <c r="DC106" s="648">
        <f t="shared" si="433"/>
        <v>0</v>
      </c>
      <c r="DD106" s="648">
        <f t="shared" si="433"/>
        <v>0</v>
      </c>
      <c r="DE106" s="648">
        <f t="shared" si="433"/>
        <v>0</v>
      </c>
      <c r="DF106" s="648">
        <f t="shared" si="433"/>
        <v>0</v>
      </c>
      <c r="DG106" s="648">
        <f t="shared" si="433"/>
        <v>0</v>
      </c>
      <c r="DH106" s="648">
        <f t="shared" si="433"/>
        <v>0</v>
      </c>
      <c r="DI106" s="648">
        <f t="shared" si="433"/>
        <v>0</v>
      </c>
      <c r="DJ106" s="648">
        <f t="shared" si="433"/>
        <v>0</v>
      </c>
      <c r="DK106" s="648">
        <f t="shared" si="433"/>
        <v>0</v>
      </c>
      <c r="DL106" s="648">
        <f t="shared" si="433"/>
        <v>0</v>
      </c>
      <c r="DM106" s="648">
        <f t="shared" si="433"/>
        <v>0</v>
      </c>
      <c r="DN106" s="648">
        <f t="shared" si="433"/>
        <v>0</v>
      </c>
      <c r="DO106" s="648">
        <f t="shared" si="433"/>
        <v>0</v>
      </c>
      <c r="DP106" s="648">
        <f t="shared" si="433"/>
        <v>0</v>
      </c>
      <c r="DQ106" s="648">
        <f t="shared" si="433"/>
        <v>0</v>
      </c>
      <c r="DR106" s="648">
        <f t="shared" si="433"/>
        <v>0</v>
      </c>
      <c r="DS106" s="648">
        <f t="shared" si="433"/>
        <v>0</v>
      </c>
      <c r="DT106" s="648">
        <f t="shared" si="433"/>
        <v>0</v>
      </c>
      <c r="DU106" s="648">
        <f t="shared" si="433"/>
        <v>0</v>
      </c>
      <c r="DV106" s="648">
        <f t="shared" si="433"/>
        <v>0</v>
      </c>
      <c r="DW106" s="648">
        <f t="shared" si="433"/>
        <v>0</v>
      </c>
      <c r="DX106" s="648">
        <f t="shared" si="433"/>
        <v>0</v>
      </c>
      <c r="DY106" s="648">
        <f t="shared" si="433"/>
        <v>0</v>
      </c>
      <c r="DZ106" s="648">
        <f t="shared" si="433"/>
        <v>0</v>
      </c>
      <c r="EF106" s="51">
        <v>0</v>
      </c>
      <c r="EG106" s="51"/>
      <c r="EH106" s="51"/>
      <c r="EI106" s="51"/>
      <c r="EJ106" s="51"/>
      <c r="EM106" t="s">
        <v>99</v>
      </c>
    </row>
    <row r="107" spans="1:143" x14ac:dyDescent="0.2">
      <c r="A107" s="1"/>
      <c r="B107" t="str">
        <f t="shared" si="425"/>
        <v>Packaging reuse</v>
      </c>
      <c r="C107" s="54" t="s">
        <v>114</v>
      </c>
      <c r="D107" s="648">
        <f t="shared" ref="D107:AH107" si="434">D9*$EF107</f>
        <v>0</v>
      </c>
      <c r="E107" s="648">
        <f t="shared" si="434"/>
        <v>1118.6048011185587</v>
      </c>
      <c r="F107" s="648">
        <f t="shared" si="434"/>
        <v>2266.4756320567403</v>
      </c>
      <c r="G107" s="648">
        <f t="shared" si="434"/>
        <v>3444.1931746222567</v>
      </c>
      <c r="H107" s="648">
        <f t="shared" si="434"/>
        <v>4652.3484527669953</v>
      </c>
      <c r="I107" s="648">
        <f t="shared" si="434"/>
        <v>5891.5430067377401</v>
      </c>
      <c r="J107" s="648">
        <f t="shared" si="434"/>
        <v>7162.3890700623806</v>
      </c>
      <c r="K107" s="648">
        <f t="shared" si="434"/>
        <v>8465.5097494167694</v>
      </c>
      <c r="L107" s="648">
        <f t="shared" si="434"/>
        <v>9801.5392074180945</v>
      </c>
      <c r="M107" s="648">
        <f t="shared" si="434"/>
        <v>11171.122848391347</v>
      </c>
      <c r="N107" s="648">
        <f t="shared" si="434"/>
        <v>12574.917507156179</v>
      </c>
      <c r="O107" s="648">
        <f t="shared" si="434"/>
        <v>15187.156348241688</v>
      </c>
      <c r="P107" s="648">
        <f t="shared" si="434"/>
        <v>17865.458781030153</v>
      </c>
      <c r="Q107" s="648">
        <f t="shared" si="434"/>
        <v>20611.118803877973</v>
      </c>
      <c r="R107" s="648">
        <f t="shared" si="434"/>
        <v>23425.453293746592</v>
      </c>
      <c r="S107" s="648">
        <f t="shared" si="434"/>
        <v>26309.80238957017</v>
      </c>
      <c r="T107" s="648">
        <f t="shared" si="434"/>
        <v>29265.529881842918</v>
      </c>
      <c r="U107" s="648">
        <f t="shared" si="434"/>
        <v>32294.023608524873</v>
      </c>
      <c r="V107" s="648">
        <f t="shared" si="434"/>
        <v>35396.695857366482</v>
      </c>
      <c r="W107" s="648">
        <f t="shared" si="434"/>
        <v>38574.983774753819</v>
      </c>
      <c r="X107" s="648">
        <f t="shared" si="434"/>
        <v>41830.349781177953</v>
      </c>
      <c r="Y107" s="648">
        <f t="shared" si="434"/>
        <v>45307.132306808671</v>
      </c>
      <c r="Z107" s="648">
        <f t="shared" si="434"/>
        <v>48867.62723932528</v>
      </c>
      <c r="AA107" s="648">
        <f t="shared" si="434"/>
        <v>52513.445583939916</v>
      </c>
      <c r="AB107" s="648">
        <f t="shared" si="434"/>
        <v>56246.226571633735</v>
      </c>
      <c r="AC107" s="648">
        <f t="shared" si="434"/>
        <v>60067.63812950789</v>
      </c>
      <c r="AD107" s="648">
        <f t="shared" si="434"/>
        <v>63979.377358736594</v>
      </c>
      <c r="AE107" s="648">
        <f t="shared" si="434"/>
        <v>67983.171020242982</v>
      </c>
      <c r="AF107" s="648">
        <f t="shared" si="434"/>
        <v>72080.776028220222</v>
      </c>
      <c r="AG107" s="648">
        <f t="shared" si="434"/>
        <v>76273.979951621426</v>
      </c>
      <c r="AH107" s="648">
        <f t="shared" si="434"/>
        <v>80564.601523745325</v>
      </c>
      <c r="AI107" s="648"/>
      <c r="AJ107" s="648">
        <f t="shared" ref="AJ107:BN107" si="435">AJ9*$EF107</f>
        <v>0</v>
      </c>
      <c r="AK107" s="648">
        <f t="shared" si="435"/>
        <v>829.11120231825362</v>
      </c>
      <c r="AL107" s="648">
        <f t="shared" si="435"/>
        <v>1679.937440179018</v>
      </c>
      <c r="AM107" s="648">
        <f t="shared" si="435"/>
        <v>2552.9099788592839</v>
      </c>
      <c r="AN107" s="648">
        <f t="shared" si="435"/>
        <v>3448.4677709299463</v>
      </c>
      <c r="AO107" s="648">
        <f t="shared" si="435"/>
        <v>4367.057585792596</v>
      </c>
      <c r="AP107" s="648">
        <f t="shared" si="435"/>
        <v>5309.1341413266509</v>
      </c>
      <c r="AQ107" s="648">
        <f t="shared" si="435"/>
        <v>6275.1602376804676</v>
      </c>
      <c r="AR107" s="648">
        <f t="shared" si="435"/>
        <v>7265.6068932405569</v>
      </c>
      <c r="AS107" s="648">
        <f t="shared" si="435"/>
        <v>8280.9534828136148</v>
      </c>
      <c r="AT107" s="648">
        <f t="shared" si="435"/>
        <v>9321.687878056573</v>
      </c>
      <c r="AU107" s="648">
        <f t="shared" si="435"/>
        <v>11255.956818254452</v>
      </c>
      <c r="AV107" s="648">
        <f t="shared" si="435"/>
        <v>13239.189722228975</v>
      </c>
      <c r="AW107" s="648">
        <f t="shared" si="435"/>
        <v>15272.346502445611</v>
      </c>
      <c r="AX107" s="648">
        <f t="shared" si="435"/>
        <v>17356.404056416992</v>
      </c>
      <c r="AY107" s="648">
        <f t="shared" si="435"/>
        <v>19492.3565515064</v>
      </c>
      <c r="AZ107" s="648">
        <f t="shared" si="435"/>
        <v>21681.215714354475</v>
      </c>
      <c r="BA107" s="648">
        <f t="shared" si="435"/>
        <v>23924.011125002628</v>
      </c>
      <c r="BB107" s="648">
        <f t="shared" si="435"/>
        <v>26221.790515787685</v>
      </c>
      <c r="BC107" s="648">
        <f t="shared" si="435"/>
        <v>28575.620075083705</v>
      </c>
      <c r="BD107" s="648">
        <f t="shared" si="435"/>
        <v>30986.584755967706</v>
      </c>
      <c r="BE107" s="648">
        <f t="shared" si="435"/>
        <v>33560.869564187626</v>
      </c>
      <c r="BF107" s="648">
        <f t="shared" si="435"/>
        <v>36197.190691197713</v>
      </c>
      <c r="BG107" s="648">
        <f t="shared" si="435"/>
        <v>38896.743004441967</v>
      </c>
      <c r="BH107" s="648">
        <f t="shared" si="435"/>
        <v>41660.742321971607</v>
      </c>
      <c r="BI107" s="648">
        <f t="shared" si="435"/>
        <v>44490.425761792219</v>
      </c>
      <c r="BJ107" s="648">
        <f t="shared" si="435"/>
        <v>47387.052096860381</v>
      </c>
      <c r="BK107" s="648">
        <f t="shared" si="435"/>
        <v>50351.902115819568</v>
      </c>
      <c r="BL107" s="648">
        <f t="shared" si="435"/>
        <v>53386.278989566126</v>
      </c>
      <c r="BM107" s="648">
        <f t="shared" si="435"/>
        <v>56491.508643737725</v>
      </c>
      <c r="BN107" s="648">
        <f t="shared" si="435"/>
        <v>59668.940137218044</v>
      </c>
      <c r="BO107" s="648"/>
      <c r="BP107" s="648">
        <f t="shared" ref="BP107:CT107" si="436">BP9*$EF107</f>
        <v>0</v>
      </c>
      <c r="BQ107" s="648">
        <f t="shared" si="436"/>
        <v>0</v>
      </c>
      <c r="BR107" s="648">
        <f t="shared" si="436"/>
        <v>0</v>
      </c>
      <c r="BS107" s="648">
        <f t="shared" si="436"/>
        <v>0</v>
      </c>
      <c r="BT107" s="648">
        <f t="shared" si="436"/>
        <v>0</v>
      </c>
      <c r="BU107" s="648">
        <f t="shared" si="436"/>
        <v>0</v>
      </c>
      <c r="BV107" s="648">
        <f t="shared" si="436"/>
        <v>0</v>
      </c>
      <c r="BW107" s="648">
        <f t="shared" si="436"/>
        <v>0</v>
      </c>
      <c r="BX107" s="648">
        <f t="shared" si="436"/>
        <v>0</v>
      </c>
      <c r="BY107" s="648">
        <f t="shared" si="436"/>
        <v>0</v>
      </c>
      <c r="BZ107" s="648">
        <f t="shared" si="436"/>
        <v>0</v>
      </c>
      <c r="CA107" s="648">
        <f t="shared" si="436"/>
        <v>0</v>
      </c>
      <c r="CB107" s="648">
        <f t="shared" si="436"/>
        <v>0</v>
      </c>
      <c r="CC107" s="648">
        <f t="shared" si="436"/>
        <v>0</v>
      </c>
      <c r="CD107" s="648">
        <f t="shared" si="436"/>
        <v>0</v>
      </c>
      <c r="CE107" s="648">
        <f t="shared" si="436"/>
        <v>0</v>
      </c>
      <c r="CF107" s="648">
        <f t="shared" si="436"/>
        <v>0</v>
      </c>
      <c r="CG107" s="648">
        <f t="shared" si="436"/>
        <v>0</v>
      </c>
      <c r="CH107" s="648">
        <f t="shared" si="436"/>
        <v>0</v>
      </c>
      <c r="CI107" s="648">
        <f t="shared" si="436"/>
        <v>0</v>
      </c>
      <c r="CJ107" s="648">
        <f t="shared" si="436"/>
        <v>0</v>
      </c>
      <c r="CK107" s="648">
        <f t="shared" si="436"/>
        <v>0</v>
      </c>
      <c r="CL107" s="648">
        <f t="shared" si="436"/>
        <v>0</v>
      </c>
      <c r="CM107" s="648">
        <f t="shared" si="436"/>
        <v>0</v>
      </c>
      <c r="CN107" s="648">
        <f t="shared" si="436"/>
        <v>0</v>
      </c>
      <c r="CO107" s="648">
        <f t="shared" si="436"/>
        <v>0</v>
      </c>
      <c r="CP107" s="648">
        <f t="shared" si="436"/>
        <v>0</v>
      </c>
      <c r="CQ107" s="648">
        <f t="shared" si="436"/>
        <v>0</v>
      </c>
      <c r="CR107" s="648">
        <f t="shared" si="436"/>
        <v>0</v>
      </c>
      <c r="CS107" s="648">
        <f t="shared" si="436"/>
        <v>0</v>
      </c>
      <c r="CT107" s="648">
        <f t="shared" si="436"/>
        <v>0</v>
      </c>
      <c r="CU107" s="648"/>
      <c r="CV107" s="648">
        <f t="shared" ref="CV107:DZ107" si="437">CV9*$EF107</f>
        <v>0</v>
      </c>
      <c r="CW107" s="648">
        <f t="shared" si="437"/>
        <v>0</v>
      </c>
      <c r="CX107" s="648">
        <f t="shared" si="437"/>
        <v>0</v>
      </c>
      <c r="CY107" s="648">
        <f t="shared" si="437"/>
        <v>0</v>
      </c>
      <c r="CZ107" s="648">
        <f t="shared" si="437"/>
        <v>0</v>
      </c>
      <c r="DA107" s="648">
        <f t="shared" si="437"/>
        <v>0</v>
      </c>
      <c r="DB107" s="648">
        <f t="shared" si="437"/>
        <v>0</v>
      </c>
      <c r="DC107" s="648">
        <f t="shared" si="437"/>
        <v>0</v>
      </c>
      <c r="DD107" s="648">
        <f t="shared" si="437"/>
        <v>0</v>
      </c>
      <c r="DE107" s="648">
        <f t="shared" si="437"/>
        <v>0</v>
      </c>
      <c r="DF107" s="648">
        <f t="shared" si="437"/>
        <v>0</v>
      </c>
      <c r="DG107" s="648">
        <f t="shared" si="437"/>
        <v>0</v>
      </c>
      <c r="DH107" s="648">
        <f t="shared" si="437"/>
        <v>0</v>
      </c>
      <c r="DI107" s="648">
        <f t="shared" si="437"/>
        <v>0</v>
      </c>
      <c r="DJ107" s="648">
        <f t="shared" si="437"/>
        <v>0</v>
      </c>
      <c r="DK107" s="648">
        <f t="shared" si="437"/>
        <v>0</v>
      </c>
      <c r="DL107" s="648">
        <f t="shared" si="437"/>
        <v>0</v>
      </c>
      <c r="DM107" s="648">
        <f t="shared" si="437"/>
        <v>0</v>
      </c>
      <c r="DN107" s="648">
        <f t="shared" si="437"/>
        <v>0</v>
      </c>
      <c r="DO107" s="648">
        <f t="shared" si="437"/>
        <v>0</v>
      </c>
      <c r="DP107" s="648">
        <f t="shared" si="437"/>
        <v>0</v>
      </c>
      <c r="DQ107" s="648">
        <f t="shared" si="437"/>
        <v>0</v>
      </c>
      <c r="DR107" s="648">
        <f t="shared" si="437"/>
        <v>0</v>
      </c>
      <c r="DS107" s="648">
        <f t="shared" si="437"/>
        <v>0</v>
      </c>
      <c r="DT107" s="648">
        <f t="shared" si="437"/>
        <v>0</v>
      </c>
      <c r="DU107" s="648">
        <f t="shared" si="437"/>
        <v>0</v>
      </c>
      <c r="DV107" s="648">
        <f t="shared" si="437"/>
        <v>0</v>
      </c>
      <c r="DW107" s="648">
        <f t="shared" si="437"/>
        <v>0</v>
      </c>
      <c r="DX107" s="648">
        <f t="shared" si="437"/>
        <v>0</v>
      </c>
      <c r="DY107" s="648">
        <f t="shared" si="437"/>
        <v>0</v>
      </c>
      <c r="DZ107" s="648">
        <f t="shared" si="437"/>
        <v>0</v>
      </c>
      <c r="EF107" s="157">
        <f>AVERAGE(1027,1290)</f>
        <v>1158.5</v>
      </c>
      <c r="EG107" s="51"/>
      <c r="EH107" s="51"/>
      <c r="EI107" s="51"/>
      <c r="EJ107" s="51"/>
      <c r="EM107" t="s">
        <v>99</v>
      </c>
    </row>
    <row r="108" spans="1:143" x14ac:dyDescent="0.2">
      <c r="A108" s="1"/>
      <c r="B108" t="str">
        <f t="shared" si="425"/>
        <v>Packaging substitution Paper</v>
      </c>
      <c r="C108" s="54" t="s">
        <v>114</v>
      </c>
      <c r="D108" s="648">
        <f t="shared" ref="D108:AH108" si="438">D10*$EF108</f>
        <v>0</v>
      </c>
      <c r="E108" s="648">
        <f t="shared" si="438"/>
        <v>1271.0350549126208</v>
      </c>
      <c r="F108" s="648">
        <f t="shared" si="438"/>
        <v>2575.8141285133624</v>
      </c>
      <c r="G108" s="648">
        <f t="shared" si="438"/>
        <v>3915.0154047644069</v>
      </c>
      <c r="H108" s="648">
        <f t="shared" si="438"/>
        <v>5289.3292806300087</v>
      </c>
      <c r="I108" s="648">
        <f t="shared" si="438"/>
        <v>6699.4585736660902</v>
      </c>
      <c r="J108" s="648">
        <f t="shared" si="438"/>
        <v>8146.1187330163248</v>
      </c>
      <c r="K108" s="648">
        <f t="shared" si="438"/>
        <v>9630.0380538693244</v>
      </c>
      <c r="L108" s="648">
        <f t="shared" si="438"/>
        <v>11151.957895432357</v>
      </c>
      <c r="M108" s="648">
        <f t="shared" si="438"/>
        <v>12712.632902477984</v>
      </c>
      <c r="N108" s="648">
        <f t="shared" si="438"/>
        <v>14312.831230520773</v>
      </c>
      <c r="O108" s="648">
        <f t="shared" si="438"/>
        <v>16208.401116986346</v>
      </c>
      <c r="P108" s="648">
        <f t="shared" si="438"/>
        <v>18150.710233888844</v>
      </c>
      <c r="Q108" s="648">
        <f t="shared" si="438"/>
        <v>20140.662247069187</v>
      </c>
      <c r="R108" s="648">
        <f t="shared" si="438"/>
        <v>22179.17665440742</v>
      </c>
      <c r="S108" s="648">
        <f t="shared" si="438"/>
        <v>24267.189049241162</v>
      </c>
      <c r="T108" s="648">
        <f t="shared" si="438"/>
        <v>26405.651388033559</v>
      </c>
      <c r="U108" s="648">
        <f t="shared" si="438"/>
        <v>28595.532262357767</v>
      </c>
      <c r="V108" s="648">
        <f t="shared" si="438"/>
        <v>30837.817175266209</v>
      </c>
      <c r="W108" s="648">
        <f t="shared" si="438"/>
        <v>33133.508822113959</v>
      </c>
      <c r="X108" s="648">
        <f t="shared" si="438"/>
        <v>35483.627375906501</v>
      </c>
      <c r="Y108" s="648">
        <f t="shared" si="438"/>
        <v>41529.67206641208</v>
      </c>
      <c r="Z108" s="648">
        <f t="shared" si="438"/>
        <v>44019.48250265856</v>
      </c>
      <c r="AA108" s="648">
        <f t="shared" si="438"/>
        <v>46567.557279329369</v>
      </c>
      <c r="AB108" s="648">
        <f t="shared" si="438"/>
        <v>49175.008495797862</v>
      </c>
      <c r="AC108" s="648">
        <f t="shared" si="438"/>
        <v>51842.967682404123</v>
      </c>
      <c r="AD108" s="648">
        <f t="shared" si="438"/>
        <v>54572.586124001682</v>
      </c>
      <c r="AE108" s="648">
        <f t="shared" si="438"/>
        <v>57365.035188734015</v>
      </c>
      <c r="AF108" s="648">
        <f t="shared" si="438"/>
        <v>60221.506662123269</v>
      </c>
      <c r="AG108" s="648">
        <f t="shared" si="438"/>
        <v>63143.213086555814</v>
      </c>
      <c r="AH108" s="648">
        <f t="shared" si="438"/>
        <v>66131.388106249855</v>
      </c>
      <c r="AI108" s="648"/>
      <c r="AJ108" s="648">
        <f t="shared" ref="AJ108:BN108" si="439">AJ10*$EF108</f>
        <v>0</v>
      </c>
      <c r="AK108" s="648">
        <f t="shared" si="439"/>
        <v>1087.1496040789609</v>
      </c>
      <c r="AL108" s="648">
        <f t="shared" si="439"/>
        <v>2203.2349892363186</v>
      </c>
      <c r="AM108" s="648">
        <f t="shared" si="439"/>
        <v>3348.8389854127968</v>
      </c>
      <c r="AN108" s="648">
        <f t="shared" si="439"/>
        <v>4524.5549380173888</v>
      </c>
      <c r="AO108" s="648">
        <f t="shared" si="439"/>
        <v>5730.9868869431493</v>
      </c>
      <c r="AP108" s="648">
        <f t="shared" si="439"/>
        <v>6968.7497485244021</v>
      </c>
      <c r="AQ108" s="648">
        <f t="shared" si="439"/>
        <v>8238.4695004825462</v>
      </c>
      <c r="AR108" s="648">
        <f t="shared" si="439"/>
        <v>9540.7833699084113</v>
      </c>
      <c r="AS108" s="648">
        <f t="shared" si="439"/>
        <v>10876.34002432984</v>
      </c>
      <c r="AT108" s="648">
        <f t="shared" si="439"/>
        <v>12245.799765913996</v>
      </c>
      <c r="AU108" s="648">
        <f t="shared" si="439"/>
        <v>13858.0226192225</v>
      </c>
      <c r="AV108" s="648">
        <f t="shared" si="439"/>
        <v>15510.106878025366</v>
      </c>
      <c r="AW108" s="648">
        <f t="shared" si="439"/>
        <v>17202.825338570103</v>
      </c>
      <c r="AX108" s="648">
        <f t="shared" si="439"/>
        <v>18936.964369923327</v>
      </c>
      <c r="AY108" s="648">
        <f t="shared" si="439"/>
        <v>20713.324140290249</v>
      </c>
      <c r="AZ108" s="648">
        <f t="shared" si="439"/>
        <v>22532.7188469918</v>
      </c>
      <c r="BA108" s="648">
        <f t="shared" si="439"/>
        <v>24395.976950157452</v>
      </c>
      <c r="BB108" s="648">
        <f t="shared" si="439"/>
        <v>26303.941410192423</v>
      </c>
      <c r="BC108" s="648">
        <f t="shared" si="439"/>
        <v>28257.4699290791</v>
      </c>
      <c r="BD108" s="648">
        <f t="shared" si="439"/>
        <v>30257.435195573235</v>
      </c>
      <c r="BE108" s="648">
        <f t="shared" si="439"/>
        <v>35469.287738005572</v>
      </c>
      <c r="BF108" s="648">
        <f t="shared" si="439"/>
        <v>37594.587449145612</v>
      </c>
      <c r="BG108" s="648">
        <f t="shared" si="439"/>
        <v>39769.741602949442</v>
      </c>
      <c r="BH108" s="648">
        <f t="shared" si="439"/>
        <v>41995.704019460674</v>
      </c>
      <c r="BI108" s="648">
        <f t="shared" si="439"/>
        <v>44273.445219152622</v>
      </c>
      <c r="BJ108" s="648">
        <f t="shared" si="439"/>
        <v>46603.952701511284</v>
      </c>
      <c r="BK108" s="648">
        <f t="shared" si="439"/>
        <v>48988.231228128214</v>
      </c>
      <c r="BL108" s="648">
        <f t="shared" si="439"/>
        <v>51427.303110374436</v>
      </c>
      <c r="BM108" s="648">
        <f t="shared" si="439"/>
        <v>53922.208501728455</v>
      </c>
      <c r="BN108" s="648">
        <f t="shared" si="439"/>
        <v>56474.005694831918</v>
      </c>
      <c r="BO108" s="648"/>
      <c r="BP108" s="648">
        <f t="shared" ref="BP108:CT108" si="440">BP10*$EF108</f>
        <v>0</v>
      </c>
      <c r="BQ108" s="648">
        <f t="shared" si="440"/>
        <v>0</v>
      </c>
      <c r="BR108" s="648">
        <f t="shared" si="440"/>
        <v>0</v>
      </c>
      <c r="BS108" s="648">
        <f t="shared" si="440"/>
        <v>0</v>
      </c>
      <c r="BT108" s="648">
        <f t="shared" si="440"/>
        <v>0</v>
      </c>
      <c r="BU108" s="648">
        <f t="shared" si="440"/>
        <v>0</v>
      </c>
      <c r="BV108" s="648">
        <f t="shared" si="440"/>
        <v>0</v>
      </c>
      <c r="BW108" s="648">
        <f t="shared" si="440"/>
        <v>0</v>
      </c>
      <c r="BX108" s="648">
        <f t="shared" si="440"/>
        <v>0</v>
      </c>
      <c r="BY108" s="648">
        <f t="shared" si="440"/>
        <v>0</v>
      </c>
      <c r="BZ108" s="648">
        <f t="shared" si="440"/>
        <v>0</v>
      </c>
      <c r="CA108" s="648">
        <f t="shared" si="440"/>
        <v>0</v>
      </c>
      <c r="CB108" s="648">
        <f t="shared" si="440"/>
        <v>0</v>
      </c>
      <c r="CC108" s="648">
        <f t="shared" si="440"/>
        <v>0</v>
      </c>
      <c r="CD108" s="648">
        <f t="shared" si="440"/>
        <v>0</v>
      </c>
      <c r="CE108" s="648">
        <f t="shared" si="440"/>
        <v>0</v>
      </c>
      <c r="CF108" s="648">
        <f t="shared" si="440"/>
        <v>0</v>
      </c>
      <c r="CG108" s="648">
        <f t="shared" si="440"/>
        <v>0</v>
      </c>
      <c r="CH108" s="648">
        <f t="shared" si="440"/>
        <v>0</v>
      </c>
      <c r="CI108" s="648">
        <f t="shared" si="440"/>
        <v>0</v>
      </c>
      <c r="CJ108" s="648">
        <f t="shared" si="440"/>
        <v>0</v>
      </c>
      <c r="CK108" s="648">
        <f t="shared" si="440"/>
        <v>0</v>
      </c>
      <c r="CL108" s="648">
        <f t="shared" si="440"/>
        <v>0</v>
      </c>
      <c r="CM108" s="648">
        <f t="shared" si="440"/>
        <v>0</v>
      </c>
      <c r="CN108" s="648">
        <f t="shared" si="440"/>
        <v>0</v>
      </c>
      <c r="CO108" s="648">
        <f t="shared" si="440"/>
        <v>0</v>
      </c>
      <c r="CP108" s="648">
        <f t="shared" si="440"/>
        <v>0</v>
      </c>
      <c r="CQ108" s="648">
        <f t="shared" si="440"/>
        <v>0</v>
      </c>
      <c r="CR108" s="648">
        <f t="shared" si="440"/>
        <v>0</v>
      </c>
      <c r="CS108" s="648">
        <f t="shared" si="440"/>
        <v>0</v>
      </c>
      <c r="CT108" s="648">
        <f t="shared" si="440"/>
        <v>0</v>
      </c>
      <c r="CU108" s="648"/>
      <c r="CV108" s="648">
        <f t="shared" ref="CV108:DZ108" si="441">CV10*$EF108</f>
        <v>0</v>
      </c>
      <c r="CW108" s="648">
        <f t="shared" si="441"/>
        <v>0</v>
      </c>
      <c r="CX108" s="648">
        <f t="shared" si="441"/>
        <v>0</v>
      </c>
      <c r="CY108" s="648">
        <f t="shared" si="441"/>
        <v>0</v>
      </c>
      <c r="CZ108" s="648">
        <f t="shared" si="441"/>
        <v>0</v>
      </c>
      <c r="DA108" s="648">
        <f t="shared" si="441"/>
        <v>0</v>
      </c>
      <c r="DB108" s="648">
        <f t="shared" si="441"/>
        <v>0</v>
      </c>
      <c r="DC108" s="648">
        <f t="shared" si="441"/>
        <v>0</v>
      </c>
      <c r="DD108" s="648">
        <f t="shared" si="441"/>
        <v>0</v>
      </c>
      <c r="DE108" s="648">
        <f t="shared" si="441"/>
        <v>0</v>
      </c>
      <c r="DF108" s="648">
        <f t="shared" si="441"/>
        <v>0</v>
      </c>
      <c r="DG108" s="648">
        <f t="shared" si="441"/>
        <v>0</v>
      </c>
      <c r="DH108" s="648">
        <f t="shared" si="441"/>
        <v>0</v>
      </c>
      <c r="DI108" s="648">
        <f t="shared" si="441"/>
        <v>0</v>
      </c>
      <c r="DJ108" s="648">
        <f t="shared" si="441"/>
        <v>0</v>
      </c>
      <c r="DK108" s="648">
        <f t="shared" si="441"/>
        <v>0</v>
      </c>
      <c r="DL108" s="648">
        <f t="shared" si="441"/>
        <v>0</v>
      </c>
      <c r="DM108" s="648">
        <f t="shared" si="441"/>
        <v>0</v>
      </c>
      <c r="DN108" s="648">
        <f t="shared" si="441"/>
        <v>0</v>
      </c>
      <c r="DO108" s="648">
        <f t="shared" si="441"/>
        <v>0</v>
      </c>
      <c r="DP108" s="648">
        <f t="shared" si="441"/>
        <v>0</v>
      </c>
      <c r="DQ108" s="648">
        <f t="shared" si="441"/>
        <v>0</v>
      </c>
      <c r="DR108" s="648">
        <f t="shared" si="441"/>
        <v>0</v>
      </c>
      <c r="DS108" s="648">
        <f t="shared" si="441"/>
        <v>0</v>
      </c>
      <c r="DT108" s="648">
        <f t="shared" si="441"/>
        <v>0</v>
      </c>
      <c r="DU108" s="648">
        <f t="shared" si="441"/>
        <v>0</v>
      </c>
      <c r="DV108" s="648">
        <f t="shared" si="441"/>
        <v>0</v>
      </c>
      <c r="DW108" s="648">
        <f t="shared" si="441"/>
        <v>0</v>
      </c>
      <c r="DX108" s="648">
        <f t="shared" si="441"/>
        <v>0</v>
      </c>
      <c r="DY108" s="648">
        <f t="shared" si="441"/>
        <v>0</v>
      </c>
      <c r="DZ108" s="648">
        <f t="shared" si="441"/>
        <v>0</v>
      </c>
      <c r="EF108" s="51">
        <v>3449</v>
      </c>
      <c r="EG108" s="51"/>
      <c r="EH108" s="51"/>
      <c r="EI108" s="51"/>
      <c r="EJ108" s="51"/>
      <c r="EM108" t="s">
        <v>99</v>
      </c>
    </row>
    <row r="109" spans="1:143" x14ac:dyDescent="0.2">
      <c r="A109" s="1"/>
      <c r="B109" t="str">
        <f t="shared" si="425"/>
        <v>Packaging Substitution Compostables</v>
      </c>
      <c r="C109" s="54" t="s">
        <v>114</v>
      </c>
      <c r="D109" s="648">
        <f t="shared" ref="D109:AH109" si="442">D11*$EF109</f>
        <v>0</v>
      </c>
      <c r="E109" s="648">
        <f t="shared" si="442"/>
        <v>1493.3310633348085</v>
      </c>
      <c r="F109" s="648">
        <f t="shared" si="442"/>
        <v>3861.5106715159968</v>
      </c>
      <c r="G109" s="648">
        <f t="shared" si="442"/>
        <v>5869.6024514664141</v>
      </c>
      <c r="H109" s="648">
        <f t="shared" si="442"/>
        <v>7930.6404003342523</v>
      </c>
      <c r="I109" s="648">
        <f t="shared" si="442"/>
        <v>10045.689464940417</v>
      </c>
      <c r="J109" s="648">
        <f t="shared" si="442"/>
        <v>12215.833811404318</v>
      </c>
      <c r="K109" s="648">
        <f t="shared" si="442"/>
        <v>14442.177152575099</v>
      </c>
      <c r="L109" s="648">
        <f t="shared" si="442"/>
        <v>16725.843080847219</v>
      </c>
      <c r="M109" s="648">
        <f t="shared" si="442"/>
        <v>19067.975406446898</v>
      </c>
      <c r="N109" s="648">
        <f t="shared" si="442"/>
        <v>21469.738501277199</v>
      </c>
      <c r="O109" s="648">
        <f t="shared" si="442"/>
        <v>24314.672124539677</v>
      </c>
      <c r="P109" s="648">
        <f t="shared" si="442"/>
        <v>25701.859983934355</v>
      </c>
      <c r="Q109" s="648">
        <f t="shared" si="442"/>
        <v>28869.571131653527</v>
      </c>
      <c r="R109" s="648">
        <f t="shared" si="442"/>
        <v>32115.874154226571</v>
      </c>
      <c r="S109" s="648">
        <f t="shared" si="442"/>
        <v>35442.300710074946</v>
      </c>
      <c r="T109" s="648">
        <f t="shared" si="442"/>
        <v>38850.409496159926</v>
      </c>
      <c r="U109" s="648">
        <f t="shared" si="442"/>
        <v>42341.786700904471</v>
      </c>
      <c r="V109" s="648">
        <f t="shared" si="442"/>
        <v>45918.04646446398</v>
      </c>
      <c r="W109" s="648">
        <f t="shared" si="442"/>
        <v>49580.831346462874</v>
      </c>
      <c r="X109" s="648">
        <f t="shared" si="442"/>
        <v>53331.812801315529</v>
      </c>
      <c r="Y109" s="648">
        <f t="shared" si="442"/>
        <v>59159.817767732369</v>
      </c>
      <c r="Z109" s="648">
        <f t="shared" si="442"/>
        <v>62921.719966948644</v>
      </c>
      <c r="AA109" s="648">
        <f t="shared" si="442"/>
        <v>66772.154821132091</v>
      </c>
      <c r="AB109" s="648">
        <f t="shared" si="442"/>
        <v>70712.814672067761</v>
      </c>
      <c r="AC109" s="648">
        <f t="shared" si="442"/>
        <v>74745.42144128363</v>
      </c>
      <c r="AD109" s="648">
        <f t="shared" si="442"/>
        <v>78871.727122567128</v>
      </c>
      <c r="AE109" s="648">
        <f t="shared" si="442"/>
        <v>83093.514282441014</v>
      </c>
      <c r="AF109" s="648">
        <f t="shared" si="442"/>
        <v>87412.596568724592</v>
      </c>
      <c r="AG109" s="648">
        <f t="shared" si="442"/>
        <v>91830.81922730853</v>
      </c>
      <c r="AH109" s="648">
        <f t="shared" si="442"/>
        <v>96350.059627272858</v>
      </c>
      <c r="AI109" s="648"/>
      <c r="AJ109" s="648">
        <f t="shared" ref="AJ109:BN109" si="443">AJ11*$EF109</f>
        <v>0</v>
      </c>
      <c r="AK109" s="648">
        <f t="shared" si="443"/>
        <v>1297.0539131890935</v>
      </c>
      <c r="AL109" s="648">
        <f t="shared" si="443"/>
        <v>3312.6070647407723</v>
      </c>
      <c r="AM109" s="648">
        <f t="shared" si="443"/>
        <v>5035.4012593028438</v>
      </c>
      <c r="AN109" s="648">
        <f t="shared" si="443"/>
        <v>6803.7186372676661</v>
      </c>
      <c r="AO109" s="648">
        <f t="shared" si="443"/>
        <v>8618.4765665579816</v>
      </c>
      <c r="AP109" s="648">
        <f t="shared" si="443"/>
        <v>10480.608997321233</v>
      </c>
      <c r="AQ109" s="648">
        <f t="shared" si="443"/>
        <v>12391.066744807324</v>
      </c>
      <c r="AR109" s="648">
        <f t="shared" si="443"/>
        <v>14350.817776903159</v>
      </c>
      <c r="AS109" s="648">
        <f t="shared" si="443"/>
        <v>16360.847506398808</v>
      </c>
      <c r="AT109" s="648">
        <f t="shared" si="443"/>
        <v>18422.1590880613</v>
      </c>
      <c r="AU109" s="648">
        <f t="shared" si="443"/>
        <v>20848.724111470161</v>
      </c>
      <c r="AV109" s="648">
        <f t="shared" si="443"/>
        <v>22007.179885128298</v>
      </c>
      <c r="AW109" s="648">
        <f t="shared" si="443"/>
        <v>24711.915712404534</v>
      </c>
      <c r="AX109" s="648">
        <f t="shared" si="443"/>
        <v>27483.923652764192</v>
      </c>
      <c r="AY109" s="648">
        <f t="shared" si="443"/>
        <v>30324.51787271837</v>
      </c>
      <c r="AZ109" s="648">
        <f t="shared" si="443"/>
        <v>33235.035786772321</v>
      </c>
      <c r="BA109" s="648">
        <f t="shared" si="443"/>
        <v>36216.838447557682</v>
      </c>
      <c r="BB109" s="648">
        <f t="shared" si="443"/>
        <v>39271.310942304517</v>
      </c>
      <c r="BC109" s="648">
        <f t="shared" si="443"/>
        <v>42399.862795754176</v>
      </c>
      <c r="BD109" s="648">
        <f t="shared" si="443"/>
        <v>45603.928379615281</v>
      </c>
      <c r="BE109" s="648">
        <f t="shared" si="443"/>
        <v>50614.36519107224</v>
      </c>
      <c r="BF109" s="648">
        <f t="shared" si="443"/>
        <v>53828.616231420368</v>
      </c>
      <c r="BG109" s="648">
        <f t="shared" si="443"/>
        <v>57118.684459454547</v>
      </c>
      <c r="BH109" s="648">
        <f t="shared" si="443"/>
        <v>60486.022452129895</v>
      </c>
      <c r="BI109" s="648">
        <f t="shared" si="443"/>
        <v>63932.108227182878</v>
      </c>
      <c r="BJ109" s="648">
        <f t="shared" si="443"/>
        <v>67458.445667479391</v>
      </c>
      <c r="BK109" s="648">
        <f t="shared" si="443"/>
        <v>71066.564952230678</v>
      </c>
      <c r="BL109" s="648">
        <f t="shared" si="443"/>
        <v>74758.022995186126</v>
      </c>
      <c r="BM109" s="648">
        <f t="shared" si="443"/>
        <v>78534.403889913563</v>
      </c>
      <c r="BN109" s="648">
        <f t="shared" si="443"/>
        <v>82397.319362279261</v>
      </c>
      <c r="BO109" s="648"/>
      <c r="BP109" s="648">
        <f t="shared" ref="BP109:CT109" si="444">BP11*$EF109</f>
        <v>0</v>
      </c>
      <c r="BQ109" s="648">
        <f t="shared" si="444"/>
        <v>0</v>
      </c>
      <c r="BR109" s="648">
        <f t="shared" si="444"/>
        <v>0</v>
      </c>
      <c r="BS109" s="648">
        <f t="shared" si="444"/>
        <v>0</v>
      </c>
      <c r="BT109" s="648">
        <f t="shared" si="444"/>
        <v>0</v>
      </c>
      <c r="BU109" s="648">
        <f t="shared" si="444"/>
        <v>0</v>
      </c>
      <c r="BV109" s="648">
        <f t="shared" si="444"/>
        <v>0</v>
      </c>
      <c r="BW109" s="648">
        <f t="shared" si="444"/>
        <v>0</v>
      </c>
      <c r="BX109" s="648">
        <f t="shared" si="444"/>
        <v>0</v>
      </c>
      <c r="BY109" s="648">
        <f t="shared" si="444"/>
        <v>0</v>
      </c>
      <c r="BZ109" s="648">
        <f t="shared" si="444"/>
        <v>0</v>
      </c>
      <c r="CA109" s="648">
        <f t="shared" si="444"/>
        <v>0</v>
      </c>
      <c r="CB109" s="648">
        <f t="shared" si="444"/>
        <v>0</v>
      </c>
      <c r="CC109" s="648">
        <f t="shared" si="444"/>
        <v>0</v>
      </c>
      <c r="CD109" s="648">
        <f t="shared" si="444"/>
        <v>0</v>
      </c>
      <c r="CE109" s="648">
        <f t="shared" si="444"/>
        <v>0</v>
      </c>
      <c r="CF109" s="648">
        <f t="shared" si="444"/>
        <v>0</v>
      </c>
      <c r="CG109" s="648">
        <f t="shared" si="444"/>
        <v>0</v>
      </c>
      <c r="CH109" s="648">
        <f t="shared" si="444"/>
        <v>0</v>
      </c>
      <c r="CI109" s="648">
        <f t="shared" si="444"/>
        <v>0</v>
      </c>
      <c r="CJ109" s="648">
        <f t="shared" si="444"/>
        <v>0</v>
      </c>
      <c r="CK109" s="648">
        <f t="shared" si="444"/>
        <v>0</v>
      </c>
      <c r="CL109" s="648">
        <f t="shared" si="444"/>
        <v>0</v>
      </c>
      <c r="CM109" s="648">
        <f t="shared" si="444"/>
        <v>0</v>
      </c>
      <c r="CN109" s="648">
        <f t="shared" si="444"/>
        <v>0</v>
      </c>
      <c r="CO109" s="648">
        <f t="shared" si="444"/>
        <v>0</v>
      </c>
      <c r="CP109" s="648">
        <f t="shared" si="444"/>
        <v>0</v>
      </c>
      <c r="CQ109" s="648">
        <f t="shared" si="444"/>
        <v>0</v>
      </c>
      <c r="CR109" s="648">
        <f t="shared" si="444"/>
        <v>0</v>
      </c>
      <c r="CS109" s="648">
        <f t="shared" si="444"/>
        <v>0</v>
      </c>
      <c r="CT109" s="648">
        <f t="shared" si="444"/>
        <v>0</v>
      </c>
      <c r="CU109" s="648"/>
      <c r="CV109" s="648">
        <f t="shared" ref="CV109:DZ109" si="445">CV11*$EF109</f>
        <v>0</v>
      </c>
      <c r="CW109" s="648">
        <f t="shared" si="445"/>
        <v>0</v>
      </c>
      <c r="CX109" s="648">
        <f t="shared" si="445"/>
        <v>0</v>
      </c>
      <c r="CY109" s="648">
        <f t="shared" si="445"/>
        <v>0</v>
      </c>
      <c r="CZ109" s="648">
        <f t="shared" si="445"/>
        <v>0</v>
      </c>
      <c r="DA109" s="648">
        <f t="shared" si="445"/>
        <v>0</v>
      </c>
      <c r="DB109" s="648">
        <f t="shared" si="445"/>
        <v>0</v>
      </c>
      <c r="DC109" s="648">
        <f t="shared" si="445"/>
        <v>0</v>
      </c>
      <c r="DD109" s="648">
        <f t="shared" si="445"/>
        <v>0</v>
      </c>
      <c r="DE109" s="648">
        <f t="shared" si="445"/>
        <v>0</v>
      </c>
      <c r="DF109" s="648">
        <f t="shared" si="445"/>
        <v>0</v>
      </c>
      <c r="DG109" s="648">
        <f t="shared" si="445"/>
        <v>0</v>
      </c>
      <c r="DH109" s="648">
        <f t="shared" si="445"/>
        <v>0</v>
      </c>
      <c r="DI109" s="648">
        <f t="shared" si="445"/>
        <v>0</v>
      </c>
      <c r="DJ109" s="648">
        <f t="shared" si="445"/>
        <v>0</v>
      </c>
      <c r="DK109" s="648">
        <f t="shared" si="445"/>
        <v>0</v>
      </c>
      <c r="DL109" s="648">
        <f t="shared" si="445"/>
        <v>0</v>
      </c>
      <c r="DM109" s="648">
        <f t="shared" si="445"/>
        <v>0</v>
      </c>
      <c r="DN109" s="648">
        <f t="shared" si="445"/>
        <v>0</v>
      </c>
      <c r="DO109" s="648">
        <f t="shared" si="445"/>
        <v>0</v>
      </c>
      <c r="DP109" s="648">
        <f t="shared" si="445"/>
        <v>0</v>
      </c>
      <c r="DQ109" s="648">
        <f t="shared" si="445"/>
        <v>0</v>
      </c>
      <c r="DR109" s="648">
        <f t="shared" si="445"/>
        <v>0</v>
      </c>
      <c r="DS109" s="648">
        <f t="shared" si="445"/>
        <v>0</v>
      </c>
      <c r="DT109" s="648">
        <f t="shared" si="445"/>
        <v>0</v>
      </c>
      <c r="DU109" s="648">
        <f t="shared" si="445"/>
        <v>0</v>
      </c>
      <c r="DV109" s="648">
        <f t="shared" si="445"/>
        <v>0</v>
      </c>
      <c r="DW109" s="648">
        <f t="shared" si="445"/>
        <v>0</v>
      </c>
      <c r="DX109" s="648">
        <f t="shared" si="445"/>
        <v>0</v>
      </c>
      <c r="DY109" s="648">
        <f t="shared" si="445"/>
        <v>0</v>
      </c>
      <c r="DZ109" s="648">
        <f t="shared" si="445"/>
        <v>0</v>
      </c>
      <c r="EF109" s="51">
        <v>3814</v>
      </c>
      <c r="EG109" s="51"/>
      <c r="EH109" s="51"/>
      <c r="EI109" s="51"/>
      <c r="EJ109" s="51"/>
      <c r="EM109" t="s">
        <v>99</v>
      </c>
    </row>
    <row r="110" spans="1:143" x14ac:dyDescent="0.2">
      <c r="A110" s="1"/>
      <c r="B110" t="str">
        <f t="shared" si="425"/>
        <v>MaaS</v>
      </c>
      <c r="C110" s="54" t="s">
        <v>114</v>
      </c>
      <c r="D110" s="648">
        <f t="shared" ref="D110:AH110" si="446">D12*$EF110</f>
        <v>0</v>
      </c>
      <c r="E110" s="648">
        <f t="shared" si="446"/>
        <v>155.2840853949053</v>
      </c>
      <c r="F110" s="648">
        <f t="shared" si="446"/>
        <v>316.03762708721996</v>
      </c>
      <c r="G110" s="648">
        <f t="shared" si="446"/>
        <v>482.40608427030543</v>
      </c>
      <c r="H110" s="648">
        <f t="shared" si="446"/>
        <v>654.5383728152982</v>
      </c>
      <c r="I110" s="648">
        <f t="shared" si="446"/>
        <v>832.58694255239061</v>
      </c>
      <c r="J110" s="648">
        <f t="shared" si="446"/>
        <v>1016.7078562140546</v>
      </c>
      <c r="K110" s="648">
        <f t="shared" si="446"/>
        <v>1207.0608700749867</v>
      </c>
      <c r="L110" s="648">
        <f t="shared" si="446"/>
        <v>1403.8095163242569</v>
      </c>
      <c r="M110" s="648">
        <f t="shared" si="446"/>
        <v>1607.1211872058768</v>
      </c>
      <c r="N110" s="648">
        <f t="shared" si="446"/>
        <v>1817.1672209647359</v>
      </c>
      <c r="O110" s="648">
        <f t="shared" si="446"/>
        <v>2409.819501747957</v>
      </c>
      <c r="P110" s="648">
        <f t="shared" si="446"/>
        <v>3025.5406989364942</v>
      </c>
      <c r="Q110" s="648">
        <f t="shared" si="446"/>
        <v>3665.0009958142846</v>
      </c>
      <c r="R110" s="648">
        <f t="shared" si="446"/>
        <v>4328.8876993433478</v>
      </c>
      <c r="S110" s="648">
        <f t="shared" si="446"/>
        <v>5017.905646561645</v>
      </c>
      <c r="T110" s="648">
        <f t="shared" si="446"/>
        <v>5732.7776201660863</v>
      </c>
      <c r="U110" s="648">
        <f t="shared" si="446"/>
        <v>6474.2447734810466</v>
      </c>
      <c r="V110" s="648">
        <f t="shared" si="446"/>
        <v>7243.067065017065</v>
      </c>
      <c r="W110" s="648">
        <f t="shared" si="446"/>
        <v>8040.0237028286765</v>
      </c>
      <c r="X110" s="648">
        <f t="shared" si="446"/>
        <v>8865.9135988848375</v>
      </c>
      <c r="Y110" s="648">
        <f t="shared" si="446"/>
        <v>10383.558674945778</v>
      </c>
      <c r="Z110" s="648">
        <f t="shared" si="446"/>
        <v>11954.085601758223</v>
      </c>
      <c r="AA110" s="648">
        <f t="shared" si="446"/>
        <v>13578.924799984456</v>
      </c>
      <c r="AB110" s="648">
        <f t="shared" si="446"/>
        <v>15259.541370555591</v>
      </c>
      <c r="AC110" s="648">
        <f t="shared" si="446"/>
        <v>16997.435884846378</v>
      </c>
      <c r="AD110" s="648">
        <f t="shared" si="446"/>
        <v>18794.145192133336</v>
      </c>
      <c r="AE110" s="648">
        <f t="shared" si="446"/>
        <v>20651.243244703273</v>
      </c>
      <c r="AF110" s="648">
        <f t="shared" si="446"/>
        <v>22570.341940987015</v>
      </c>
      <c r="AG110" s="648">
        <f t="shared" si="446"/>
        <v>24553.091987100535</v>
      </c>
      <c r="AH110" s="648">
        <f t="shared" si="446"/>
        <v>26601.183777184167</v>
      </c>
      <c r="AI110" s="648"/>
      <c r="AJ110" s="648">
        <f t="shared" ref="AJ110:BN110" si="447">AJ12*$EF110</f>
        <v>0</v>
      </c>
      <c r="AK110" s="648">
        <f t="shared" si="447"/>
        <v>77.59822486636206</v>
      </c>
      <c r="AL110" s="648">
        <f t="shared" si="447"/>
        <v>157.84056260673353</v>
      </c>
      <c r="AM110" s="648">
        <f t="shared" si="447"/>
        <v>240.7951594288451</v>
      </c>
      <c r="AN110" s="648">
        <f t="shared" si="447"/>
        <v>326.53173447464502</v>
      </c>
      <c r="AO110" s="648">
        <f t="shared" si="447"/>
        <v>415.12161406390589</v>
      </c>
      <c r="AP110" s="648">
        <f t="shared" si="447"/>
        <v>506.63776665677375</v>
      </c>
      <c r="AQ110" s="648">
        <f t="shared" si="447"/>
        <v>601.1548385499799</v>
      </c>
      <c r="AR110" s="648">
        <f t="shared" si="447"/>
        <v>698.74919032173511</v>
      </c>
      <c r="AS110" s="648">
        <f t="shared" si="447"/>
        <v>799.49893404062448</v>
      </c>
      <c r="AT110" s="648">
        <f t="shared" si="447"/>
        <v>903.48397125412919</v>
      </c>
      <c r="AU110" s="648">
        <f t="shared" si="447"/>
        <v>1197.4932945479588</v>
      </c>
      <c r="AV110" s="648">
        <f t="shared" si="447"/>
        <v>1502.6433080133947</v>
      </c>
      <c r="AW110" s="648">
        <f t="shared" si="447"/>
        <v>1819.2510047487178</v>
      </c>
      <c r="AX110" s="648">
        <f t="shared" si="447"/>
        <v>2147.6413466798836</v>
      </c>
      <c r="AY110" s="648">
        <f t="shared" si="447"/>
        <v>2488.1474512727245</v>
      </c>
      <c r="AZ110" s="648">
        <f t="shared" si="447"/>
        <v>2841.1107824221322</v>
      </c>
      <c r="BA110" s="648">
        <f t="shared" si="447"/>
        <v>3206.8813456085732</v>
      </c>
      <c r="BB110" s="648">
        <f t="shared" si="447"/>
        <v>3585.8178874142432</v>
      </c>
      <c r="BC110" s="648">
        <f t="shared" si="447"/>
        <v>3978.2880994930842</v>
      </c>
      <c r="BD110" s="648">
        <f t="shared" si="447"/>
        <v>4384.6688270908789</v>
      </c>
      <c r="BE110" s="648">
        <f t="shared" si="447"/>
        <v>5140.9516592155196</v>
      </c>
      <c r="BF110" s="648">
        <f t="shared" si="447"/>
        <v>5925.1013334981899</v>
      </c>
      <c r="BG110" s="648">
        <f t="shared" si="447"/>
        <v>6737.9077467121388</v>
      </c>
      <c r="BH110" s="648">
        <f t="shared" si="447"/>
        <v>7580.1806960261547</v>
      </c>
      <c r="BI110" s="648">
        <f t="shared" si="447"/>
        <v>8452.7503469176645</v>
      </c>
      <c r="BJ110" s="648">
        <f t="shared" si="447"/>
        <v>9356.4677115888026</v>
      </c>
      <c r="BK110" s="648">
        <f t="shared" si="447"/>
        <v>10292.205138113346</v>
      </c>
      <c r="BL110" s="648">
        <f t="shared" si="447"/>
        <v>11260.856810547244</v>
      </c>
      <c r="BM110" s="648">
        <f t="shared" si="447"/>
        <v>12263.339260240367</v>
      </c>
      <c r="BN110" s="648">
        <f t="shared" si="447"/>
        <v>13300.591888592084</v>
      </c>
      <c r="BO110" s="648"/>
      <c r="BP110" s="648">
        <f t="shared" ref="BP110:CT110" si="448">BP12*$EF110</f>
        <v>0</v>
      </c>
      <c r="BQ110" s="648">
        <f t="shared" si="448"/>
        <v>0</v>
      </c>
      <c r="BR110" s="648">
        <f t="shared" si="448"/>
        <v>0</v>
      </c>
      <c r="BS110" s="648">
        <f t="shared" si="448"/>
        <v>0</v>
      </c>
      <c r="BT110" s="648">
        <f t="shared" si="448"/>
        <v>0</v>
      </c>
      <c r="BU110" s="648">
        <f t="shared" si="448"/>
        <v>0</v>
      </c>
      <c r="BV110" s="648">
        <f t="shared" si="448"/>
        <v>0</v>
      </c>
      <c r="BW110" s="648">
        <f t="shared" si="448"/>
        <v>0</v>
      </c>
      <c r="BX110" s="648">
        <f t="shared" si="448"/>
        <v>0</v>
      </c>
      <c r="BY110" s="648">
        <f t="shared" si="448"/>
        <v>0</v>
      </c>
      <c r="BZ110" s="648">
        <f t="shared" si="448"/>
        <v>0</v>
      </c>
      <c r="CA110" s="648">
        <f t="shared" si="448"/>
        <v>0</v>
      </c>
      <c r="CB110" s="648">
        <f t="shared" si="448"/>
        <v>0</v>
      </c>
      <c r="CC110" s="648">
        <f t="shared" si="448"/>
        <v>0</v>
      </c>
      <c r="CD110" s="648">
        <f t="shared" si="448"/>
        <v>0</v>
      </c>
      <c r="CE110" s="648">
        <f t="shared" si="448"/>
        <v>0</v>
      </c>
      <c r="CF110" s="648">
        <f t="shared" si="448"/>
        <v>0</v>
      </c>
      <c r="CG110" s="648">
        <f t="shared" si="448"/>
        <v>0</v>
      </c>
      <c r="CH110" s="648">
        <f t="shared" si="448"/>
        <v>0</v>
      </c>
      <c r="CI110" s="648">
        <f t="shared" si="448"/>
        <v>0</v>
      </c>
      <c r="CJ110" s="648">
        <f t="shared" si="448"/>
        <v>0</v>
      </c>
      <c r="CK110" s="648">
        <f t="shared" si="448"/>
        <v>0</v>
      </c>
      <c r="CL110" s="648">
        <f t="shared" si="448"/>
        <v>0</v>
      </c>
      <c r="CM110" s="648">
        <f t="shared" si="448"/>
        <v>0</v>
      </c>
      <c r="CN110" s="648">
        <f t="shared" si="448"/>
        <v>0</v>
      </c>
      <c r="CO110" s="648">
        <f t="shared" si="448"/>
        <v>0</v>
      </c>
      <c r="CP110" s="648">
        <f t="shared" si="448"/>
        <v>0</v>
      </c>
      <c r="CQ110" s="648">
        <f t="shared" si="448"/>
        <v>0</v>
      </c>
      <c r="CR110" s="648">
        <f t="shared" si="448"/>
        <v>0</v>
      </c>
      <c r="CS110" s="648">
        <f t="shared" si="448"/>
        <v>0</v>
      </c>
      <c r="CT110" s="648">
        <f t="shared" si="448"/>
        <v>0</v>
      </c>
      <c r="CU110" s="648"/>
      <c r="CV110" s="648">
        <f t="shared" ref="CV110:DZ110" si="449">CV12*$EF110</f>
        <v>0</v>
      </c>
      <c r="CW110" s="648">
        <f t="shared" si="449"/>
        <v>0</v>
      </c>
      <c r="CX110" s="648">
        <f t="shared" si="449"/>
        <v>0</v>
      </c>
      <c r="CY110" s="648">
        <f t="shared" si="449"/>
        <v>0</v>
      </c>
      <c r="CZ110" s="648">
        <f t="shared" si="449"/>
        <v>0</v>
      </c>
      <c r="DA110" s="648">
        <f t="shared" si="449"/>
        <v>0</v>
      </c>
      <c r="DB110" s="648">
        <f t="shared" si="449"/>
        <v>0</v>
      </c>
      <c r="DC110" s="648">
        <f t="shared" si="449"/>
        <v>0</v>
      </c>
      <c r="DD110" s="648">
        <f t="shared" si="449"/>
        <v>0</v>
      </c>
      <c r="DE110" s="648">
        <f t="shared" si="449"/>
        <v>0</v>
      </c>
      <c r="DF110" s="648">
        <f t="shared" si="449"/>
        <v>0</v>
      </c>
      <c r="DG110" s="648">
        <f t="shared" si="449"/>
        <v>0</v>
      </c>
      <c r="DH110" s="648">
        <f t="shared" si="449"/>
        <v>0</v>
      </c>
      <c r="DI110" s="648">
        <f t="shared" si="449"/>
        <v>0</v>
      </c>
      <c r="DJ110" s="648">
        <f t="shared" si="449"/>
        <v>0</v>
      </c>
      <c r="DK110" s="648">
        <f t="shared" si="449"/>
        <v>0</v>
      </c>
      <c r="DL110" s="648">
        <f t="shared" si="449"/>
        <v>0</v>
      </c>
      <c r="DM110" s="648">
        <f t="shared" si="449"/>
        <v>0</v>
      </c>
      <c r="DN110" s="648">
        <f t="shared" si="449"/>
        <v>0</v>
      </c>
      <c r="DO110" s="648">
        <f t="shared" si="449"/>
        <v>0</v>
      </c>
      <c r="DP110" s="648">
        <f t="shared" si="449"/>
        <v>0</v>
      </c>
      <c r="DQ110" s="648">
        <f t="shared" si="449"/>
        <v>0</v>
      </c>
      <c r="DR110" s="648">
        <f t="shared" si="449"/>
        <v>0</v>
      </c>
      <c r="DS110" s="648">
        <f t="shared" si="449"/>
        <v>0</v>
      </c>
      <c r="DT110" s="648">
        <f t="shared" si="449"/>
        <v>0</v>
      </c>
      <c r="DU110" s="648">
        <f t="shared" si="449"/>
        <v>0</v>
      </c>
      <c r="DV110" s="648">
        <f t="shared" si="449"/>
        <v>0</v>
      </c>
      <c r="DW110" s="648">
        <f t="shared" si="449"/>
        <v>0</v>
      </c>
      <c r="DX110" s="648">
        <f t="shared" si="449"/>
        <v>0</v>
      </c>
      <c r="DY110" s="648">
        <f t="shared" si="449"/>
        <v>0</v>
      </c>
      <c r="DZ110" s="648">
        <f t="shared" si="449"/>
        <v>0</v>
      </c>
      <c r="EF110" s="610">
        <v>1000</v>
      </c>
      <c r="EG110" s="51"/>
      <c r="EH110" s="51"/>
      <c r="EI110" s="51"/>
      <c r="EJ110" s="51"/>
    </row>
    <row r="111" spans="1:143" x14ac:dyDescent="0.2">
      <c r="A111" s="1"/>
      <c r="B111" t="str">
        <f t="shared" si="425"/>
        <v>Vehicle life extension</v>
      </c>
      <c r="C111" s="54" t="s">
        <v>114</v>
      </c>
      <c r="D111" s="648">
        <f t="shared" ref="D111:AH111" si="450">D13*$EF111</f>
        <v>0</v>
      </c>
      <c r="E111" s="648">
        <f t="shared" si="450"/>
        <v>98.632742290941792</v>
      </c>
      <c r="F111" s="648">
        <f t="shared" si="450"/>
        <v>200.36320505033746</v>
      </c>
      <c r="G111" s="648">
        <f t="shared" si="450"/>
        <v>305.26230397950349</v>
      </c>
      <c r="H111" s="648">
        <f t="shared" si="450"/>
        <v>413.40234256071437</v>
      </c>
      <c r="I111" s="648">
        <f t="shared" si="450"/>
        <v>524.85703605698973</v>
      </c>
      <c r="J111" s="648">
        <f t="shared" si="450"/>
        <v>639.70153587169511</v>
      </c>
      <c r="K111" s="648">
        <f t="shared" si="450"/>
        <v>758.01245427215076</v>
      </c>
      <c r="L111" s="648">
        <f t="shared" si="450"/>
        <v>879.86788948145499</v>
      </c>
      <c r="M111" s="648">
        <f t="shared" si="450"/>
        <v>1005.3474511427466</v>
      </c>
      <c r="N111" s="648">
        <f t="shared" si="450"/>
        <v>1134.5322861601485</v>
      </c>
      <c r="O111" s="648">
        <f t="shared" si="450"/>
        <v>1495.7885939954551</v>
      </c>
      <c r="P111" s="648">
        <f t="shared" si="450"/>
        <v>1866.9313060298159</v>
      </c>
      <c r="Q111" s="648">
        <f t="shared" si="450"/>
        <v>2248.0952541701299</v>
      </c>
      <c r="R111" s="648">
        <f t="shared" si="450"/>
        <v>2639.4143372282983</v>
      </c>
      <c r="S111" s="648">
        <f t="shared" si="450"/>
        <v>3041.0213879363573</v>
      </c>
      <c r="T111" s="648">
        <f t="shared" si="450"/>
        <v>3453.0480343598865</v>
      </c>
      <c r="U111" s="648">
        <f t="shared" si="450"/>
        <v>3875.624555529731</v>
      </c>
      <c r="V111" s="648">
        <f t="shared" si="450"/>
        <v>4308.8797311070366</v>
      </c>
      <c r="W111" s="648">
        <f t="shared" si="450"/>
        <v>4752.940684891385</v>
      </c>
      <c r="X111" s="648">
        <f t="shared" si="450"/>
        <v>5207.9327219765319</v>
      </c>
      <c r="Y111" s="648">
        <f t="shared" si="450"/>
        <v>6022.3435633173276</v>
      </c>
      <c r="Z111" s="648">
        <f t="shared" si="450"/>
        <v>6844.2602749265052</v>
      </c>
      <c r="AA111" s="648">
        <f t="shared" si="450"/>
        <v>7673.2159701541004</v>
      </c>
      <c r="AB111" s="648">
        <f t="shared" si="450"/>
        <v>8508.7145843138969</v>
      </c>
      <c r="AC111" s="648">
        <f t="shared" si="450"/>
        <v>9350.2297795078211</v>
      </c>
      <c r="AD111" s="648">
        <f t="shared" si="450"/>
        <v>10197.203815766648</v>
      </c>
      <c r="AE111" s="648">
        <f t="shared" si="450"/>
        <v>11049.046387581035</v>
      </c>
      <c r="AF111" s="648">
        <f t="shared" si="450"/>
        <v>11905.133424873287</v>
      </c>
      <c r="AG111" s="648">
        <f t="shared" si="450"/>
        <v>12764.805857436113</v>
      </c>
      <c r="AH111" s="648">
        <f t="shared" si="450"/>
        <v>13627.368341839692</v>
      </c>
      <c r="AI111" s="648"/>
      <c r="AJ111" s="648">
        <f t="shared" ref="AJ111:BN111" si="451">AJ13*$EF111</f>
        <v>0</v>
      </c>
      <c r="AK111" s="648">
        <f t="shared" si="451"/>
        <v>49.334633819953567</v>
      </c>
      <c r="AL111" s="648">
        <f t="shared" si="451"/>
        <v>100.2564565754154</v>
      </c>
      <c r="AM111" s="648">
        <f t="shared" si="451"/>
        <v>152.80372160075356</v>
      </c>
      <c r="AN111" s="648">
        <f t="shared" si="451"/>
        <v>207.0155001106375</v>
      </c>
      <c r="AO111" s="648">
        <f t="shared" si="451"/>
        <v>262.93169753558084</v>
      </c>
      <c r="AP111" s="648">
        <f t="shared" si="451"/>
        <v>320.59307016895309</v>
      </c>
      <c r="AQ111" s="648">
        <f t="shared" si="451"/>
        <v>380.04124213118752</v>
      </c>
      <c r="AR111" s="648">
        <f t="shared" si="451"/>
        <v>441.31872265701355</v>
      </c>
      <c r="AS111" s="648">
        <f t="shared" si="451"/>
        <v>504.46892371164932</v>
      </c>
      <c r="AT111" s="648">
        <f t="shared" si="451"/>
        <v>569.53617794198976</v>
      </c>
      <c r="AU111" s="648">
        <f t="shared" si="451"/>
        <v>752.70919528924003</v>
      </c>
      <c r="AV111" s="648">
        <f t="shared" si="451"/>
        <v>941.79450016343139</v>
      </c>
      <c r="AW111" s="648">
        <f t="shared" si="451"/>
        <v>1136.9249855279547</v>
      </c>
      <c r="AX111" s="648">
        <f t="shared" si="451"/>
        <v>1338.2358996633054</v>
      </c>
      <c r="AY111" s="648">
        <f t="shared" si="451"/>
        <v>1545.8648768562289</v>
      </c>
      <c r="AZ111" s="648">
        <f t="shared" si="451"/>
        <v>1759.9519682090454</v>
      </c>
      <c r="BA111" s="648">
        <f t="shared" si="451"/>
        <v>1980.6396725592936</v>
      </c>
      <c r="BB111" s="648">
        <f t="shared" si="451"/>
        <v>2208.0729674993381</v>
      </c>
      <c r="BC111" s="648">
        <f t="shared" si="451"/>
        <v>2442.3993404851149</v>
      </c>
      <c r="BD111" s="648">
        <f t="shared" si="451"/>
        <v>2683.7688200226876</v>
      </c>
      <c r="BE111" s="648">
        <f t="shared" si="451"/>
        <v>3127.6257707213022</v>
      </c>
      <c r="BF111" s="648">
        <f t="shared" si="451"/>
        <v>3582.6337575243006</v>
      </c>
      <c r="BG111" s="648">
        <f t="shared" si="451"/>
        <v>4048.9196551971158</v>
      </c>
      <c r="BH111" s="648">
        <f t="shared" si="451"/>
        <v>4526.6081364208012</v>
      </c>
      <c r="BI111" s="648">
        <f t="shared" si="451"/>
        <v>5015.8214840504734</v>
      </c>
      <c r="BJ111" s="648">
        <f t="shared" si="451"/>
        <v>5516.6793959855668</v>
      </c>
      <c r="BK111" s="648">
        <f t="shared" si="451"/>
        <v>6029.2987824211468</v>
      </c>
      <c r="BL111" s="648">
        <f t="shared" si="451"/>
        <v>6553.7935552431236</v>
      </c>
      <c r="BM111" s="648">
        <f t="shared" si="451"/>
        <v>7090.2744093236815</v>
      </c>
      <c r="BN111" s="648">
        <f t="shared" si="451"/>
        <v>7638.8485954664948</v>
      </c>
      <c r="BO111" s="648"/>
      <c r="BP111" s="648">
        <f t="shared" ref="BP111:CT111" si="452">BP13*$EF111</f>
        <v>0</v>
      </c>
      <c r="BQ111" s="648">
        <f t="shared" si="452"/>
        <v>0</v>
      </c>
      <c r="BR111" s="648">
        <f t="shared" si="452"/>
        <v>0</v>
      </c>
      <c r="BS111" s="648">
        <f t="shared" si="452"/>
        <v>0</v>
      </c>
      <c r="BT111" s="648">
        <f t="shared" si="452"/>
        <v>0</v>
      </c>
      <c r="BU111" s="648">
        <f t="shared" si="452"/>
        <v>0</v>
      </c>
      <c r="BV111" s="648">
        <f t="shared" si="452"/>
        <v>0</v>
      </c>
      <c r="BW111" s="648">
        <f t="shared" si="452"/>
        <v>0</v>
      </c>
      <c r="BX111" s="648">
        <f t="shared" si="452"/>
        <v>0</v>
      </c>
      <c r="BY111" s="648">
        <f t="shared" si="452"/>
        <v>0</v>
      </c>
      <c r="BZ111" s="648">
        <f t="shared" si="452"/>
        <v>0</v>
      </c>
      <c r="CA111" s="648">
        <f t="shared" si="452"/>
        <v>0</v>
      </c>
      <c r="CB111" s="648">
        <f t="shared" si="452"/>
        <v>0</v>
      </c>
      <c r="CC111" s="648">
        <f t="shared" si="452"/>
        <v>0</v>
      </c>
      <c r="CD111" s="648">
        <f t="shared" si="452"/>
        <v>0</v>
      </c>
      <c r="CE111" s="648">
        <f t="shared" si="452"/>
        <v>0</v>
      </c>
      <c r="CF111" s="648">
        <f t="shared" si="452"/>
        <v>0</v>
      </c>
      <c r="CG111" s="648">
        <f t="shared" si="452"/>
        <v>0</v>
      </c>
      <c r="CH111" s="648">
        <f t="shared" si="452"/>
        <v>0</v>
      </c>
      <c r="CI111" s="648">
        <f t="shared" si="452"/>
        <v>0</v>
      </c>
      <c r="CJ111" s="648">
        <f t="shared" si="452"/>
        <v>0</v>
      </c>
      <c r="CK111" s="648">
        <f t="shared" si="452"/>
        <v>0</v>
      </c>
      <c r="CL111" s="648">
        <f t="shared" si="452"/>
        <v>0</v>
      </c>
      <c r="CM111" s="648">
        <f t="shared" si="452"/>
        <v>0</v>
      </c>
      <c r="CN111" s="648">
        <f t="shared" si="452"/>
        <v>0</v>
      </c>
      <c r="CO111" s="648">
        <f t="shared" si="452"/>
        <v>0</v>
      </c>
      <c r="CP111" s="648">
        <f t="shared" si="452"/>
        <v>0</v>
      </c>
      <c r="CQ111" s="648">
        <f t="shared" si="452"/>
        <v>0</v>
      </c>
      <c r="CR111" s="648">
        <f t="shared" si="452"/>
        <v>0</v>
      </c>
      <c r="CS111" s="648">
        <f t="shared" si="452"/>
        <v>0</v>
      </c>
      <c r="CT111" s="648">
        <f t="shared" si="452"/>
        <v>0</v>
      </c>
      <c r="CU111" s="648"/>
      <c r="CV111" s="648">
        <f t="shared" ref="CV111:DZ111" si="453">CV13*$EF111</f>
        <v>0</v>
      </c>
      <c r="CW111" s="648">
        <f t="shared" si="453"/>
        <v>0</v>
      </c>
      <c r="CX111" s="648">
        <f t="shared" si="453"/>
        <v>0</v>
      </c>
      <c r="CY111" s="648">
        <f t="shared" si="453"/>
        <v>0</v>
      </c>
      <c r="CZ111" s="648">
        <f t="shared" si="453"/>
        <v>0</v>
      </c>
      <c r="DA111" s="648">
        <f t="shared" si="453"/>
        <v>0</v>
      </c>
      <c r="DB111" s="648">
        <f t="shared" si="453"/>
        <v>0</v>
      </c>
      <c r="DC111" s="648">
        <f t="shared" si="453"/>
        <v>0</v>
      </c>
      <c r="DD111" s="648">
        <f t="shared" si="453"/>
        <v>0</v>
      </c>
      <c r="DE111" s="648">
        <f t="shared" si="453"/>
        <v>0</v>
      </c>
      <c r="DF111" s="648">
        <f t="shared" si="453"/>
        <v>0</v>
      </c>
      <c r="DG111" s="648">
        <f t="shared" si="453"/>
        <v>0</v>
      </c>
      <c r="DH111" s="648">
        <f t="shared" si="453"/>
        <v>0</v>
      </c>
      <c r="DI111" s="648">
        <f t="shared" si="453"/>
        <v>0</v>
      </c>
      <c r="DJ111" s="648">
        <f t="shared" si="453"/>
        <v>0</v>
      </c>
      <c r="DK111" s="648">
        <f t="shared" si="453"/>
        <v>0</v>
      </c>
      <c r="DL111" s="648">
        <f t="shared" si="453"/>
        <v>0</v>
      </c>
      <c r="DM111" s="648">
        <f t="shared" si="453"/>
        <v>0</v>
      </c>
      <c r="DN111" s="648">
        <f t="shared" si="453"/>
        <v>0</v>
      </c>
      <c r="DO111" s="648">
        <f t="shared" si="453"/>
        <v>0</v>
      </c>
      <c r="DP111" s="648">
        <f t="shared" si="453"/>
        <v>0</v>
      </c>
      <c r="DQ111" s="648">
        <f t="shared" si="453"/>
        <v>0</v>
      </c>
      <c r="DR111" s="648">
        <f t="shared" si="453"/>
        <v>0</v>
      </c>
      <c r="DS111" s="648">
        <f t="shared" si="453"/>
        <v>0</v>
      </c>
      <c r="DT111" s="648">
        <f t="shared" si="453"/>
        <v>0</v>
      </c>
      <c r="DU111" s="648">
        <f t="shared" si="453"/>
        <v>0</v>
      </c>
      <c r="DV111" s="648">
        <f t="shared" si="453"/>
        <v>0</v>
      </c>
      <c r="DW111" s="648">
        <f t="shared" si="453"/>
        <v>0</v>
      </c>
      <c r="DX111" s="648">
        <f t="shared" si="453"/>
        <v>0</v>
      </c>
      <c r="DY111" s="648">
        <f t="shared" si="453"/>
        <v>0</v>
      </c>
      <c r="DZ111" s="648">
        <f t="shared" si="453"/>
        <v>0</v>
      </c>
      <c r="EF111" s="610">
        <v>1000</v>
      </c>
      <c r="EG111" s="51"/>
      <c r="EH111" s="51"/>
      <c r="EI111" s="51"/>
      <c r="EJ111" s="51"/>
    </row>
    <row r="112" spans="1:143" x14ac:dyDescent="0.2">
      <c r="A112" s="1"/>
      <c r="B112" t="str">
        <f t="shared" si="425"/>
        <v>Building reduction</v>
      </c>
      <c r="C112" s="54" t="s">
        <v>114</v>
      </c>
      <c r="D112" s="648">
        <f t="shared" ref="D112:AH112" si="454">D14*$EF112</f>
        <v>0</v>
      </c>
      <c r="E112" s="648">
        <f t="shared" si="454"/>
        <v>0</v>
      </c>
      <c r="F112" s="648">
        <f t="shared" si="454"/>
        <v>0</v>
      </c>
      <c r="G112" s="648">
        <f t="shared" si="454"/>
        <v>0</v>
      </c>
      <c r="H112" s="648">
        <f t="shared" si="454"/>
        <v>0</v>
      </c>
      <c r="I112" s="648">
        <f t="shared" si="454"/>
        <v>0</v>
      </c>
      <c r="J112" s="648">
        <f t="shared" si="454"/>
        <v>0</v>
      </c>
      <c r="K112" s="648">
        <f t="shared" si="454"/>
        <v>0</v>
      </c>
      <c r="L112" s="648">
        <f t="shared" si="454"/>
        <v>0</v>
      </c>
      <c r="M112" s="648">
        <f t="shared" si="454"/>
        <v>0</v>
      </c>
      <c r="N112" s="648">
        <f t="shared" si="454"/>
        <v>0</v>
      </c>
      <c r="O112" s="648">
        <f t="shared" si="454"/>
        <v>0</v>
      </c>
      <c r="P112" s="648">
        <f t="shared" si="454"/>
        <v>0</v>
      </c>
      <c r="Q112" s="648">
        <f t="shared" si="454"/>
        <v>0</v>
      </c>
      <c r="R112" s="648">
        <f t="shared" si="454"/>
        <v>0</v>
      </c>
      <c r="S112" s="648">
        <f t="shared" si="454"/>
        <v>0</v>
      </c>
      <c r="T112" s="648">
        <f t="shared" si="454"/>
        <v>0</v>
      </c>
      <c r="U112" s="648">
        <f t="shared" si="454"/>
        <v>0</v>
      </c>
      <c r="V112" s="648">
        <f t="shared" si="454"/>
        <v>0</v>
      </c>
      <c r="W112" s="648">
        <f t="shared" si="454"/>
        <v>0</v>
      </c>
      <c r="X112" s="648">
        <f t="shared" si="454"/>
        <v>0</v>
      </c>
      <c r="Y112" s="648">
        <f t="shared" si="454"/>
        <v>0</v>
      </c>
      <c r="Z112" s="648">
        <f t="shared" si="454"/>
        <v>0</v>
      </c>
      <c r="AA112" s="648">
        <f t="shared" si="454"/>
        <v>0</v>
      </c>
      <c r="AB112" s="648">
        <f t="shared" si="454"/>
        <v>0</v>
      </c>
      <c r="AC112" s="648">
        <f t="shared" si="454"/>
        <v>0</v>
      </c>
      <c r="AD112" s="648">
        <f t="shared" si="454"/>
        <v>0</v>
      </c>
      <c r="AE112" s="648">
        <f t="shared" si="454"/>
        <v>0</v>
      </c>
      <c r="AF112" s="648">
        <f t="shared" si="454"/>
        <v>0</v>
      </c>
      <c r="AG112" s="648">
        <f t="shared" si="454"/>
        <v>0</v>
      </c>
      <c r="AH112" s="648">
        <f t="shared" si="454"/>
        <v>0</v>
      </c>
      <c r="AI112" s="648"/>
      <c r="AJ112" s="648">
        <f t="shared" ref="AJ112:BN112" si="455">AJ14*$EF112</f>
        <v>0</v>
      </c>
      <c r="AK112" s="648">
        <f t="shared" si="455"/>
        <v>0</v>
      </c>
      <c r="AL112" s="648">
        <f t="shared" si="455"/>
        <v>0</v>
      </c>
      <c r="AM112" s="648">
        <f t="shared" si="455"/>
        <v>0</v>
      </c>
      <c r="AN112" s="648">
        <f t="shared" si="455"/>
        <v>0</v>
      </c>
      <c r="AO112" s="648">
        <f t="shared" si="455"/>
        <v>0</v>
      </c>
      <c r="AP112" s="648">
        <f t="shared" si="455"/>
        <v>0</v>
      </c>
      <c r="AQ112" s="648">
        <f t="shared" si="455"/>
        <v>0</v>
      </c>
      <c r="AR112" s="648">
        <f t="shared" si="455"/>
        <v>0</v>
      </c>
      <c r="AS112" s="648">
        <f t="shared" si="455"/>
        <v>0</v>
      </c>
      <c r="AT112" s="648">
        <f t="shared" si="455"/>
        <v>0</v>
      </c>
      <c r="AU112" s="648">
        <f t="shared" si="455"/>
        <v>0</v>
      </c>
      <c r="AV112" s="648">
        <f t="shared" si="455"/>
        <v>0</v>
      </c>
      <c r="AW112" s="648">
        <f t="shared" si="455"/>
        <v>0</v>
      </c>
      <c r="AX112" s="648">
        <f t="shared" si="455"/>
        <v>0</v>
      </c>
      <c r="AY112" s="648">
        <f t="shared" si="455"/>
        <v>0</v>
      </c>
      <c r="AZ112" s="648">
        <f t="shared" si="455"/>
        <v>0</v>
      </c>
      <c r="BA112" s="648">
        <f t="shared" si="455"/>
        <v>0</v>
      </c>
      <c r="BB112" s="648">
        <f t="shared" si="455"/>
        <v>0</v>
      </c>
      <c r="BC112" s="648">
        <f t="shared" si="455"/>
        <v>0</v>
      </c>
      <c r="BD112" s="648">
        <f t="shared" si="455"/>
        <v>0</v>
      </c>
      <c r="BE112" s="648">
        <f t="shared" si="455"/>
        <v>0</v>
      </c>
      <c r="BF112" s="648">
        <f t="shared" si="455"/>
        <v>0</v>
      </c>
      <c r="BG112" s="648">
        <f t="shared" si="455"/>
        <v>0</v>
      </c>
      <c r="BH112" s="648">
        <f t="shared" si="455"/>
        <v>0</v>
      </c>
      <c r="BI112" s="648">
        <f t="shared" si="455"/>
        <v>0</v>
      </c>
      <c r="BJ112" s="648">
        <f t="shared" si="455"/>
        <v>0</v>
      </c>
      <c r="BK112" s="648">
        <f t="shared" si="455"/>
        <v>0</v>
      </c>
      <c r="BL112" s="648">
        <f t="shared" si="455"/>
        <v>0</v>
      </c>
      <c r="BM112" s="648">
        <f t="shared" si="455"/>
        <v>0</v>
      </c>
      <c r="BN112" s="648">
        <f t="shared" si="455"/>
        <v>0</v>
      </c>
      <c r="BO112" s="648"/>
      <c r="BP112" s="648">
        <f t="shared" ref="BP112:CT112" si="456">BP14*$EF112</f>
        <v>0</v>
      </c>
      <c r="BQ112" s="648">
        <f t="shared" si="456"/>
        <v>0</v>
      </c>
      <c r="BR112" s="648">
        <f t="shared" si="456"/>
        <v>0</v>
      </c>
      <c r="BS112" s="648">
        <f t="shared" si="456"/>
        <v>0</v>
      </c>
      <c r="BT112" s="648">
        <f t="shared" si="456"/>
        <v>0</v>
      </c>
      <c r="BU112" s="648">
        <f t="shared" si="456"/>
        <v>0</v>
      </c>
      <c r="BV112" s="648">
        <f t="shared" si="456"/>
        <v>0</v>
      </c>
      <c r="BW112" s="648">
        <f t="shared" si="456"/>
        <v>0</v>
      </c>
      <c r="BX112" s="648">
        <f t="shared" si="456"/>
        <v>0</v>
      </c>
      <c r="BY112" s="648">
        <f t="shared" si="456"/>
        <v>0</v>
      </c>
      <c r="BZ112" s="648">
        <f t="shared" si="456"/>
        <v>0</v>
      </c>
      <c r="CA112" s="648">
        <f t="shared" si="456"/>
        <v>0</v>
      </c>
      <c r="CB112" s="648">
        <f t="shared" si="456"/>
        <v>0</v>
      </c>
      <c r="CC112" s="648">
        <f t="shared" si="456"/>
        <v>0</v>
      </c>
      <c r="CD112" s="648">
        <f t="shared" si="456"/>
        <v>0</v>
      </c>
      <c r="CE112" s="648">
        <f t="shared" si="456"/>
        <v>0</v>
      </c>
      <c r="CF112" s="648">
        <f t="shared" si="456"/>
        <v>0</v>
      </c>
      <c r="CG112" s="648">
        <f t="shared" si="456"/>
        <v>0</v>
      </c>
      <c r="CH112" s="648">
        <f t="shared" si="456"/>
        <v>0</v>
      </c>
      <c r="CI112" s="648">
        <f t="shared" si="456"/>
        <v>0</v>
      </c>
      <c r="CJ112" s="648">
        <f t="shared" si="456"/>
        <v>0</v>
      </c>
      <c r="CK112" s="648">
        <f t="shared" si="456"/>
        <v>0</v>
      </c>
      <c r="CL112" s="648">
        <f t="shared" si="456"/>
        <v>0</v>
      </c>
      <c r="CM112" s="648">
        <f t="shared" si="456"/>
        <v>0</v>
      </c>
      <c r="CN112" s="648">
        <f t="shared" si="456"/>
        <v>0</v>
      </c>
      <c r="CO112" s="648">
        <f t="shared" si="456"/>
        <v>0</v>
      </c>
      <c r="CP112" s="648">
        <f t="shared" si="456"/>
        <v>0</v>
      </c>
      <c r="CQ112" s="648">
        <f t="shared" si="456"/>
        <v>0</v>
      </c>
      <c r="CR112" s="648">
        <f t="shared" si="456"/>
        <v>0</v>
      </c>
      <c r="CS112" s="648">
        <f t="shared" si="456"/>
        <v>0</v>
      </c>
      <c r="CT112" s="648">
        <f t="shared" si="456"/>
        <v>0</v>
      </c>
      <c r="CU112" s="648"/>
      <c r="CV112" s="648">
        <f t="shared" ref="CV112:DZ112" si="457">CV14*$EF112</f>
        <v>0</v>
      </c>
      <c r="CW112" s="648">
        <f t="shared" si="457"/>
        <v>0</v>
      </c>
      <c r="CX112" s="648">
        <f t="shared" si="457"/>
        <v>0</v>
      </c>
      <c r="CY112" s="648">
        <f t="shared" si="457"/>
        <v>0</v>
      </c>
      <c r="CZ112" s="648">
        <f t="shared" si="457"/>
        <v>0</v>
      </c>
      <c r="DA112" s="648">
        <f t="shared" si="457"/>
        <v>0</v>
      </c>
      <c r="DB112" s="648">
        <f t="shared" si="457"/>
        <v>0</v>
      </c>
      <c r="DC112" s="648">
        <f t="shared" si="457"/>
        <v>0</v>
      </c>
      <c r="DD112" s="648">
        <f t="shared" si="457"/>
        <v>0</v>
      </c>
      <c r="DE112" s="648">
        <f t="shared" si="457"/>
        <v>0</v>
      </c>
      <c r="DF112" s="648">
        <f t="shared" si="457"/>
        <v>0</v>
      </c>
      <c r="DG112" s="648">
        <f t="shared" si="457"/>
        <v>0</v>
      </c>
      <c r="DH112" s="648">
        <f t="shared" si="457"/>
        <v>0</v>
      </c>
      <c r="DI112" s="648">
        <f t="shared" si="457"/>
        <v>0</v>
      </c>
      <c r="DJ112" s="648">
        <f t="shared" si="457"/>
        <v>0</v>
      </c>
      <c r="DK112" s="648">
        <f t="shared" si="457"/>
        <v>0</v>
      </c>
      <c r="DL112" s="648">
        <f t="shared" si="457"/>
        <v>0</v>
      </c>
      <c r="DM112" s="648">
        <f t="shared" si="457"/>
        <v>0</v>
      </c>
      <c r="DN112" s="648">
        <f t="shared" si="457"/>
        <v>0</v>
      </c>
      <c r="DO112" s="648">
        <f t="shared" si="457"/>
        <v>0</v>
      </c>
      <c r="DP112" s="648">
        <f t="shared" si="457"/>
        <v>0</v>
      </c>
      <c r="DQ112" s="648">
        <f t="shared" si="457"/>
        <v>0</v>
      </c>
      <c r="DR112" s="648">
        <f t="shared" si="457"/>
        <v>0</v>
      </c>
      <c r="DS112" s="648">
        <f t="shared" si="457"/>
        <v>0</v>
      </c>
      <c r="DT112" s="648">
        <f t="shared" si="457"/>
        <v>0</v>
      </c>
      <c r="DU112" s="648">
        <f t="shared" si="457"/>
        <v>0</v>
      </c>
      <c r="DV112" s="648">
        <f t="shared" si="457"/>
        <v>0</v>
      </c>
      <c r="DW112" s="648">
        <f t="shared" si="457"/>
        <v>0</v>
      </c>
      <c r="DX112" s="648">
        <f t="shared" si="457"/>
        <v>0</v>
      </c>
      <c r="DY112" s="648">
        <f t="shared" si="457"/>
        <v>0</v>
      </c>
      <c r="DZ112" s="648">
        <f t="shared" si="457"/>
        <v>0</v>
      </c>
      <c r="EF112" s="51">
        <v>0</v>
      </c>
      <c r="EG112" s="51"/>
      <c r="EH112" s="51"/>
      <c r="EI112" s="51"/>
      <c r="EJ112" s="51"/>
      <c r="EM112" t="s">
        <v>99</v>
      </c>
    </row>
    <row r="113" spans="1:143" x14ac:dyDescent="0.2">
      <c r="A113" s="1"/>
      <c r="B113" t="str">
        <f t="shared" si="425"/>
        <v>Building substitution</v>
      </c>
      <c r="C113" s="54" t="s">
        <v>114</v>
      </c>
      <c r="D113" s="648">
        <f t="shared" ref="D113:AH113" si="458">D15*$EF113</f>
        <v>0</v>
      </c>
      <c r="E113" s="648">
        <f t="shared" si="458"/>
        <v>334.12853574638916</v>
      </c>
      <c r="F113" s="648">
        <f t="shared" si="458"/>
        <v>678.55303849316908</v>
      </c>
      <c r="G113" s="648">
        <f t="shared" si="458"/>
        <v>1033.5185640285179</v>
      </c>
      <c r="H113" s="648">
        <f t="shared" si="458"/>
        <v>1399.275467239617</v>
      </c>
      <c r="I113" s="648">
        <f t="shared" si="458"/>
        <v>1776.0795112196552</v>
      </c>
      <c r="J113" s="648">
        <f t="shared" si="458"/>
        <v>2164.191978554617</v>
      </c>
      <c r="K113" s="648">
        <f t="shared" si="458"/>
        <v>2563.8797848325021</v>
      </c>
      <c r="L113" s="648">
        <f t="shared" si="458"/>
        <v>2975.4155944184386</v>
      </c>
      <c r="M113" s="648">
        <f t="shared" si="458"/>
        <v>3399.0779385399978</v>
      </c>
      <c r="N113" s="648">
        <f t="shared" si="458"/>
        <v>3835.1513357278568</v>
      </c>
      <c r="O113" s="648">
        <f t="shared" si="458"/>
        <v>4283.9264146578453</v>
      </c>
      <c r="P113" s="648">
        <f t="shared" si="458"/>
        <v>4745.7000394412744</v>
      </c>
      <c r="Q113" s="648">
        <f t="shared" si="458"/>
        <v>5220.7754374113647</v>
      </c>
      <c r="R113" s="648">
        <f t="shared" si="458"/>
        <v>5709.4623294544981</v>
      </c>
      <c r="S113" s="648">
        <f t="shared" si="458"/>
        <v>6212.0770629359849</v>
      </c>
      <c r="T113" s="648">
        <f t="shared" si="458"/>
        <v>6728.9427472709294</v>
      </c>
      <c r="U113" s="648">
        <f t="shared" si="458"/>
        <v>7260.3893921918152</v>
      </c>
      <c r="V113" s="648">
        <f t="shared" si="458"/>
        <v>7806.7540487654096</v>
      </c>
      <c r="W113" s="648">
        <f t="shared" si="458"/>
        <v>8368.3809532125342</v>
      </c>
      <c r="X113" s="648">
        <f t="shared" si="458"/>
        <v>8945.6216735853905</v>
      </c>
      <c r="Y113" s="648">
        <f t="shared" si="458"/>
        <v>9552.5998124018697</v>
      </c>
      <c r="Z113" s="648">
        <f t="shared" si="458"/>
        <v>10176.345386807861</v>
      </c>
      <c r="AA113" s="648">
        <f t="shared" si="458"/>
        <v>10817.2431218449</v>
      </c>
      <c r="AB113" s="648">
        <f t="shared" si="458"/>
        <v>11475.685913551473</v>
      </c>
      <c r="AC113" s="648">
        <f t="shared" si="458"/>
        <v>12152.074995386378</v>
      </c>
      <c r="AD113" s="648">
        <f t="shared" si="458"/>
        <v>12846.820107952219</v>
      </c>
      <c r="AE113" s="648">
        <f t="shared" si="458"/>
        <v>13560.339672083244</v>
      </c>
      <c r="AF113" s="648">
        <f t="shared" si="458"/>
        <v>14293.060965362998</v>
      </c>
      <c r="AG113" s="648">
        <f t="shared" si="458"/>
        <v>15045.420302138396</v>
      </c>
      <c r="AH113" s="648">
        <f t="shared" si="458"/>
        <v>15817.863217098309</v>
      </c>
      <c r="AI113" s="648"/>
      <c r="AJ113" s="648">
        <f t="shared" ref="AJ113:BN113" si="459">AJ15*$EF113</f>
        <v>0</v>
      </c>
      <c r="AK113" s="648">
        <f t="shared" si="459"/>
        <v>167.06426787319458</v>
      </c>
      <c r="AL113" s="648">
        <f t="shared" si="459"/>
        <v>339.27651924658454</v>
      </c>
      <c r="AM113" s="648">
        <f t="shared" si="459"/>
        <v>516.75928201425893</v>
      </c>
      <c r="AN113" s="648">
        <f t="shared" si="459"/>
        <v>699.6377336198085</v>
      </c>
      <c r="AO113" s="648">
        <f t="shared" si="459"/>
        <v>888.03975560982758</v>
      </c>
      <c r="AP113" s="648">
        <f t="shared" si="459"/>
        <v>1082.0959892773085</v>
      </c>
      <c r="AQ113" s="648">
        <f t="shared" si="459"/>
        <v>1281.939892416251</v>
      </c>
      <c r="AR113" s="648">
        <f t="shared" si="459"/>
        <v>1487.7077972092193</v>
      </c>
      <c r="AS113" s="648">
        <f t="shared" si="459"/>
        <v>1699.5389692699989</v>
      </c>
      <c r="AT113" s="648">
        <f t="shared" si="459"/>
        <v>1917.5756678639284</v>
      </c>
      <c r="AU113" s="648">
        <f t="shared" si="459"/>
        <v>2141.9632073289226</v>
      </c>
      <c r="AV113" s="648">
        <f t="shared" si="459"/>
        <v>2372.8500197206372</v>
      </c>
      <c r="AW113" s="648">
        <f t="shared" si="459"/>
        <v>2610.3877187056823</v>
      </c>
      <c r="AX113" s="648">
        <f t="shared" si="459"/>
        <v>2854.7311647272491</v>
      </c>
      <c r="AY113" s="648">
        <f t="shared" si="459"/>
        <v>3106.0385314679925</v>
      </c>
      <c r="AZ113" s="648">
        <f t="shared" si="459"/>
        <v>3364.4713736354647</v>
      </c>
      <c r="BA113" s="648">
        <f t="shared" si="459"/>
        <v>3630.1946960959076</v>
      </c>
      <c r="BB113" s="648">
        <f t="shared" si="459"/>
        <v>3903.3770243827048</v>
      </c>
      <c r="BC113" s="648">
        <f t="shared" si="459"/>
        <v>4184.1904766062671</v>
      </c>
      <c r="BD113" s="648">
        <f t="shared" si="459"/>
        <v>4472.8108367926952</v>
      </c>
      <c r="BE113" s="648">
        <f t="shared" si="459"/>
        <v>4776.2999062009349</v>
      </c>
      <c r="BF113" s="648">
        <f t="shared" si="459"/>
        <v>5088.1726934039307</v>
      </c>
      <c r="BG113" s="648">
        <f t="shared" si="459"/>
        <v>5408.62156092245</v>
      </c>
      <c r="BH113" s="648">
        <f t="shared" si="459"/>
        <v>5737.8429567757366</v>
      </c>
      <c r="BI113" s="648">
        <f t="shared" si="459"/>
        <v>6076.0374976931889</v>
      </c>
      <c r="BJ113" s="648">
        <f t="shared" si="459"/>
        <v>6423.4100539761093</v>
      </c>
      <c r="BK113" s="648">
        <f t="shared" si="459"/>
        <v>6780.1698360416221</v>
      </c>
      <c r="BL113" s="648">
        <f t="shared" si="459"/>
        <v>7146.5304826814991</v>
      </c>
      <c r="BM113" s="648">
        <f t="shared" si="459"/>
        <v>7522.7101510691982</v>
      </c>
      <c r="BN113" s="648">
        <f t="shared" si="459"/>
        <v>7908.9316085491546</v>
      </c>
      <c r="BO113" s="648"/>
      <c r="BP113" s="648">
        <f t="shared" ref="BP113:CT113" si="460">BP15*$EF113</f>
        <v>0</v>
      </c>
      <c r="BQ113" s="648">
        <f t="shared" si="460"/>
        <v>0</v>
      </c>
      <c r="BR113" s="648">
        <f t="shared" si="460"/>
        <v>0</v>
      </c>
      <c r="BS113" s="648">
        <f t="shared" si="460"/>
        <v>0</v>
      </c>
      <c r="BT113" s="648">
        <f t="shared" si="460"/>
        <v>0</v>
      </c>
      <c r="BU113" s="648">
        <f t="shared" si="460"/>
        <v>0</v>
      </c>
      <c r="BV113" s="648">
        <f t="shared" si="460"/>
        <v>0</v>
      </c>
      <c r="BW113" s="648">
        <f t="shared" si="460"/>
        <v>0</v>
      </c>
      <c r="BX113" s="648">
        <f t="shared" si="460"/>
        <v>0</v>
      </c>
      <c r="BY113" s="648">
        <f t="shared" si="460"/>
        <v>0</v>
      </c>
      <c r="BZ113" s="648">
        <f t="shared" si="460"/>
        <v>0</v>
      </c>
      <c r="CA113" s="648">
        <f t="shared" si="460"/>
        <v>0</v>
      </c>
      <c r="CB113" s="648">
        <f t="shared" si="460"/>
        <v>0</v>
      </c>
      <c r="CC113" s="648">
        <f t="shared" si="460"/>
        <v>0</v>
      </c>
      <c r="CD113" s="648">
        <f t="shared" si="460"/>
        <v>0</v>
      </c>
      <c r="CE113" s="648">
        <f t="shared" si="460"/>
        <v>0</v>
      </c>
      <c r="CF113" s="648">
        <f t="shared" si="460"/>
        <v>0</v>
      </c>
      <c r="CG113" s="648">
        <f t="shared" si="460"/>
        <v>0</v>
      </c>
      <c r="CH113" s="648">
        <f t="shared" si="460"/>
        <v>0</v>
      </c>
      <c r="CI113" s="648">
        <f t="shared" si="460"/>
        <v>0</v>
      </c>
      <c r="CJ113" s="648">
        <f t="shared" si="460"/>
        <v>0</v>
      </c>
      <c r="CK113" s="648">
        <f t="shared" si="460"/>
        <v>0</v>
      </c>
      <c r="CL113" s="648">
        <f t="shared" si="460"/>
        <v>0</v>
      </c>
      <c r="CM113" s="648">
        <f t="shared" si="460"/>
        <v>0</v>
      </c>
      <c r="CN113" s="648">
        <f t="shared" si="460"/>
        <v>0</v>
      </c>
      <c r="CO113" s="648">
        <f t="shared" si="460"/>
        <v>0</v>
      </c>
      <c r="CP113" s="648">
        <f t="shared" si="460"/>
        <v>0</v>
      </c>
      <c r="CQ113" s="648">
        <f t="shared" si="460"/>
        <v>0</v>
      </c>
      <c r="CR113" s="648">
        <f t="shared" si="460"/>
        <v>0</v>
      </c>
      <c r="CS113" s="648">
        <f t="shared" si="460"/>
        <v>0</v>
      </c>
      <c r="CT113" s="648">
        <f t="shared" si="460"/>
        <v>0</v>
      </c>
      <c r="CU113" s="648"/>
      <c r="CV113" s="648">
        <f t="shared" ref="CV113:DZ113" si="461">CV15*$EF113</f>
        <v>0</v>
      </c>
      <c r="CW113" s="648">
        <f t="shared" si="461"/>
        <v>0</v>
      </c>
      <c r="CX113" s="648">
        <f t="shared" si="461"/>
        <v>0</v>
      </c>
      <c r="CY113" s="648">
        <f t="shared" si="461"/>
        <v>0</v>
      </c>
      <c r="CZ113" s="648">
        <f t="shared" si="461"/>
        <v>0</v>
      </c>
      <c r="DA113" s="648">
        <f t="shared" si="461"/>
        <v>0</v>
      </c>
      <c r="DB113" s="648">
        <f t="shared" si="461"/>
        <v>0</v>
      </c>
      <c r="DC113" s="648">
        <f t="shared" si="461"/>
        <v>0</v>
      </c>
      <c r="DD113" s="648">
        <f t="shared" si="461"/>
        <v>0</v>
      </c>
      <c r="DE113" s="648">
        <f t="shared" si="461"/>
        <v>0</v>
      </c>
      <c r="DF113" s="648">
        <f t="shared" si="461"/>
        <v>0</v>
      </c>
      <c r="DG113" s="648">
        <f t="shared" si="461"/>
        <v>0</v>
      </c>
      <c r="DH113" s="648">
        <f t="shared" si="461"/>
        <v>0</v>
      </c>
      <c r="DI113" s="648">
        <f t="shared" si="461"/>
        <v>0</v>
      </c>
      <c r="DJ113" s="648">
        <f t="shared" si="461"/>
        <v>0</v>
      </c>
      <c r="DK113" s="648">
        <f t="shared" si="461"/>
        <v>0</v>
      </c>
      <c r="DL113" s="648">
        <f t="shared" si="461"/>
        <v>0</v>
      </c>
      <c r="DM113" s="648">
        <f t="shared" si="461"/>
        <v>0</v>
      </c>
      <c r="DN113" s="648">
        <f t="shared" si="461"/>
        <v>0</v>
      </c>
      <c r="DO113" s="648">
        <f t="shared" si="461"/>
        <v>0</v>
      </c>
      <c r="DP113" s="648">
        <f t="shared" si="461"/>
        <v>0</v>
      </c>
      <c r="DQ113" s="648">
        <f t="shared" si="461"/>
        <v>0</v>
      </c>
      <c r="DR113" s="648">
        <f t="shared" si="461"/>
        <v>0</v>
      </c>
      <c r="DS113" s="648">
        <f t="shared" si="461"/>
        <v>0</v>
      </c>
      <c r="DT113" s="648">
        <f t="shared" si="461"/>
        <v>0</v>
      </c>
      <c r="DU113" s="648">
        <f t="shared" si="461"/>
        <v>0</v>
      </c>
      <c r="DV113" s="648">
        <f t="shared" si="461"/>
        <v>0</v>
      </c>
      <c r="DW113" s="648">
        <f t="shared" si="461"/>
        <v>0</v>
      </c>
      <c r="DX113" s="648">
        <f t="shared" si="461"/>
        <v>0</v>
      </c>
      <c r="DY113" s="648">
        <f t="shared" si="461"/>
        <v>0</v>
      </c>
      <c r="DZ113" s="648">
        <f t="shared" si="461"/>
        <v>0</v>
      </c>
      <c r="EF113" s="610">
        <v>1000</v>
      </c>
      <c r="EG113" s="51"/>
      <c r="EH113" s="51"/>
      <c r="EI113" s="51"/>
      <c r="EJ113" s="51"/>
      <c r="EM113" t="s">
        <v>99</v>
      </c>
    </row>
    <row r="114" spans="1:143" x14ac:dyDescent="0.2">
      <c r="A114" s="1"/>
      <c r="B114" t="str">
        <f t="shared" si="425"/>
        <v>Apparel - waste reduction</v>
      </c>
      <c r="C114" s="54" t="s">
        <v>114</v>
      </c>
      <c r="D114" s="648">
        <f t="shared" ref="D114:AH114" si="462">D16*$EF114</f>
        <v>0</v>
      </c>
      <c r="E114" s="648">
        <f t="shared" si="462"/>
        <v>0</v>
      </c>
      <c r="F114" s="648">
        <f t="shared" si="462"/>
        <v>0</v>
      </c>
      <c r="G114" s="648">
        <f t="shared" si="462"/>
        <v>0</v>
      </c>
      <c r="H114" s="648">
        <f t="shared" si="462"/>
        <v>0</v>
      </c>
      <c r="I114" s="648">
        <f t="shared" si="462"/>
        <v>0</v>
      </c>
      <c r="J114" s="648">
        <f t="shared" si="462"/>
        <v>0</v>
      </c>
      <c r="K114" s="648">
        <f t="shared" si="462"/>
        <v>0</v>
      </c>
      <c r="L114" s="648">
        <f t="shared" si="462"/>
        <v>0</v>
      </c>
      <c r="M114" s="648">
        <f t="shared" si="462"/>
        <v>0</v>
      </c>
      <c r="N114" s="648">
        <f t="shared" si="462"/>
        <v>0</v>
      </c>
      <c r="O114" s="648">
        <f t="shared" si="462"/>
        <v>0</v>
      </c>
      <c r="P114" s="648">
        <f t="shared" si="462"/>
        <v>0</v>
      </c>
      <c r="Q114" s="648">
        <f t="shared" si="462"/>
        <v>0</v>
      </c>
      <c r="R114" s="648">
        <f t="shared" si="462"/>
        <v>0</v>
      </c>
      <c r="S114" s="648">
        <f t="shared" si="462"/>
        <v>0</v>
      </c>
      <c r="T114" s="648">
        <f t="shared" si="462"/>
        <v>0</v>
      </c>
      <c r="U114" s="648">
        <f t="shared" si="462"/>
        <v>0</v>
      </c>
      <c r="V114" s="648">
        <f t="shared" si="462"/>
        <v>0</v>
      </c>
      <c r="W114" s="648">
        <f t="shared" si="462"/>
        <v>0</v>
      </c>
      <c r="X114" s="648">
        <f t="shared" si="462"/>
        <v>0</v>
      </c>
      <c r="Y114" s="648">
        <f t="shared" si="462"/>
        <v>0</v>
      </c>
      <c r="Z114" s="648">
        <f t="shared" si="462"/>
        <v>0</v>
      </c>
      <c r="AA114" s="648">
        <f t="shared" si="462"/>
        <v>0</v>
      </c>
      <c r="AB114" s="648">
        <f t="shared" si="462"/>
        <v>0</v>
      </c>
      <c r="AC114" s="648">
        <f t="shared" si="462"/>
        <v>0</v>
      </c>
      <c r="AD114" s="648">
        <f t="shared" si="462"/>
        <v>0</v>
      </c>
      <c r="AE114" s="648">
        <f t="shared" si="462"/>
        <v>0</v>
      </c>
      <c r="AF114" s="648">
        <f t="shared" si="462"/>
        <v>0</v>
      </c>
      <c r="AG114" s="648">
        <f t="shared" si="462"/>
        <v>0</v>
      </c>
      <c r="AH114" s="648">
        <f t="shared" si="462"/>
        <v>0</v>
      </c>
      <c r="AI114" s="648"/>
      <c r="AJ114" s="648">
        <f t="shared" ref="AJ114:BN114" si="463">AJ16*$EF114</f>
        <v>0</v>
      </c>
      <c r="AK114" s="648">
        <f t="shared" si="463"/>
        <v>0</v>
      </c>
      <c r="AL114" s="648">
        <f t="shared" si="463"/>
        <v>0</v>
      </c>
      <c r="AM114" s="648">
        <f t="shared" si="463"/>
        <v>0</v>
      </c>
      <c r="AN114" s="648">
        <f t="shared" si="463"/>
        <v>0</v>
      </c>
      <c r="AO114" s="648">
        <f t="shared" si="463"/>
        <v>0</v>
      </c>
      <c r="AP114" s="648">
        <f t="shared" si="463"/>
        <v>0</v>
      </c>
      <c r="AQ114" s="648">
        <f t="shared" si="463"/>
        <v>0</v>
      </c>
      <c r="AR114" s="648">
        <f t="shared" si="463"/>
        <v>0</v>
      </c>
      <c r="AS114" s="648">
        <f t="shared" si="463"/>
        <v>0</v>
      </c>
      <c r="AT114" s="648">
        <f t="shared" si="463"/>
        <v>0</v>
      </c>
      <c r="AU114" s="648">
        <f t="shared" si="463"/>
        <v>0</v>
      </c>
      <c r="AV114" s="648">
        <f t="shared" si="463"/>
        <v>0</v>
      </c>
      <c r="AW114" s="648">
        <f t="shared" si="463"/>
        <v>0</v>
      </c>
      <c r="AX114" s="648">
        <f t="shared" si="463"/>
        <v>0</v>
      </c>
      <c r="AY114" s="648">
        <f t="shared" si="463"/>
        <v>0</v>
      </c>
      <c r="AZ114" s="648">
        <f t="shared" si="463"/>
        <v>0</v>
      </c>
      <c r="BA114" s="648">
        <f t="shared" si="463"/>
        <v>0</v>
      </c>
      <c r="BB114" s="648">
        <f t="shared" si="463"/>
        <v>0</v>
      </c>
      <c r="BC114" s="648">
        <f t="shared" si="463"/>
        <v>0</v>
      </c>
      <c r="BD114" s="648">
        <f t="shared" si="463"/>
        <v>0</v>
      </c>
      <c r="BE114" s="648">
        <f t="shared" si="463"/>
        <v>0</v>
      </c>
      <c r="BF114" s="648">
        <f t="shared" si="463"/>
        <v>0</v>
      </c>
      <c r="BG114" s="648">
        <f t="shared" si="463"/>
        <v>0</v>
      </c>
      <c r="BH114" s="648">
        <f t="shared" si="463"/>
        <v>0</v>
      </c>
      <c r="BI114" s="648">
        <f t="shared" si="463"/>
        <v>0</v>
      </c>
      <c r="BJ114" s="648">
        <f t="shared" si="463"/>
        <v>0</v>
      </c>
      <c r="BK114" s="648">
        <f t="shared" si="463"/>
        <v>0</v>
      </c>
      <c r="BL114" s="648">
        <f t="shared" si="463"/>
        <v>0</v>
      </c>
      <c r="BM114" s="648">
        <f t="shared" si="463"/>
        <v>0</v>
      </c>
      <c r="BN114" s="648">
        <f t="shared" si="463"/>
        <v>0</v>
      </c>
      <c r="BO114" s="648"/>
      <c r="BP114" s="648">
        <f t="shared" ref="BP114:CT114" si="464">BP16*$EF114</f>
        <v>0</v>
      </c>
      <c r="BQ114" s="648">
        <f t="shared" si="464"/>
        <v>0</v>
      </c>
      <c r="BR114" s="648">
        <f t="shared" si="464"/>
        <v>0</v>
      </c>
      <c r="BS114" s="648">
        <f t="shared" si="464"/>
        <v>0</v>
      </c>
      <c r="BT114" s="648">
        <f t="shared" si="464"/>
        <v>0</v>
      </c>
      <c r="BU114" s="648">
        <f t="shared" si="464"/>
        <v>0</v>
      </c>
      <c r="BV114" s="648">
        <f t="shared" si="464"/>
        <v>0</v>
      </c>
      <c r="BW114" s="648">
        <f t="shared" si="464"/>
        <v>0</v>
      </c>
      <c r="BX114" s="648">
        <f t="shared" si="464"/>
        <v>0</v>
      </c>
      <c r="BY114" s="648">
        <f t="shared" si="464"/>
        <v>0</v>
      </c>
      <c r="BZ114" s="648">
        <f t="shared" si="464"/>
        <v>0</v>
      </c>
      <c r="CA114" s="648">
        <f t="shared" si="464"/>
        <v>0</v>
      </c>
      <c r="CB114" s="648">
        <f t="shared" si="464"/>
        <v>0</v>
      </c>
      <c r="CC114" s="648">
        <f t="shared" si="464"/>
        <v>0</v>
      </c>
      <c r="CD114" s="648">
        <f t="shared" si="464"/>
        <v>0</v>
      </c>
      <c r="CE114" s="648">
        <f t="shared" si="464"/>
        <v>0</v>
      </c>
      <c r="CF114" s="648">
        <f t="shared" si="464"/>
        <v>0</v>
      </c>
      <c r="CG114" s="648">
        <f t="shared" si="464"/>
        <v>0</v>
      </c>
      <c r="CH114" s="648">
        <f t="shared" si="464"/>
        <v>0</v>
      </c>
      <c r="CI114" s="648">
        <f t="shared" si="464"/>
        <v>0</v>
      </c>
      <c r="CJ114" s="648">
        <f t="shared" si="464"/>
        <v>0</v>
      </c>
      <c r="CK114" s="648">
        <f t="shared" si="464"/>
        <v>0</v>
      </c>
      <c r="CL114" s="648">
        <f t="shared" si="464"/>
        <v>0</v>
      </c>
      <c r="CM114" s="648">
        <f t="shared" si="464"/>
        <v>0</v>
      </c>
      <c r="CN114" s="648">
        <f t="shared" si="464"/>
        <v>0</v>
      </c>
      <c r="CO114" s="648">
        <f t="shared" si="464"/>
        <v>0</v>
      </c>
      <c r="CP114" s="648">
        <f t="shared" si="464"/>
        <v>0</v>
      </c>
      <c r="CQ114" s="648">
        <f t="shared" si="464"/>
        <v>0</v>
      </c>
      <c r="CR114" s="648">
        <f t="shared" si="464"/>
        <v>0</v>
      </c>
      <c r="CS114" s="648">
        <f t="shared" si="464"/>
        <v>0</v>
      </c>
      <c r="CT114" s="648">
        <f t="shared" si="464"/>
        <v>0</v>
      </c>
      <c r="CU114" s="648"/>
      <c r="CV114" s="648">
        <f t="shared" ref="CV114:DZ114" si="465">CV16*$EF114</f>
        <v>0</v>
      </c>
      <c r="CW114" s="648">
        <f t="shared" si="465"/>
        <v>0</v>
      </c>
      <c r="CX114" s="648">
        <f t="shared" si="465"/>
        <v>0</v>
      </c>
      <c r="CY114" s="648">
        <f t="shared" si="465"/>
        <v>0</v>
      </c>
      <c r="CZ114" s="648">
        <f t="shared" si="465"/>
        <v>0</v>
      </c>
      <c r="DA114" s="648">
        <f t="shared" si="465"/>
        <v>0</v>
      </c>
      <c r="DB114" s="648">
        <f t="shared" si="465"/>
        <v>0</v>
      </c>
      <c r="DC114" s="648">
        <f t="shared" si="465"/>
        <v>0</v>
      </c>
      <c r="DD114" s="648">
        <f t="shared" si="465"/>
        <v>0</v>
      </c>
      <c r="DE114" s="648">
        <f t="shared" si="465"/>
        <v>0</v>
      </c>
      <c r="DF114" s="648">
        <f t="shared" si="465"/>
        <v>0</v>
      </c>
      <c r="DG114" s="648">
        <f t="shared" si="465"/>
        <v>0</v>
      </c>
      <c r="DH114" s="648">
        <f t="shared" si="465"/>
        <v>0</v>
      </c>
      <c r="DI114" s="648">
        <f t="shared" si="465"/>
        <v>0</v>
      </c>
      <c r="DJ114" s="648">
        <f t="shared" si="465"/>
        <v>0</v>
      </c>
      <c r="DK114" s="648">
        <f t="shared" si="465"/>
        <v>0</v>
      </c>
      <c r="DL114" s="648">
        <f t="shared" si="465"/>
        <v>0</v>
      </c>
      <c r="DM114" s="648">
        <f t="shared" si="465"/>
        <v>0</v>
      </c>
      <c r="DN114" s="648">
        <f t="shared" si="465"/>
        <v>0</v>
      </c>
      <c r="DO114" s="648">
        <f t="shared" si="465"/>
        <v>0</v>
      </c>
      <c r="DP114" s="648">
        <f t="shared" si="465"/>
        <v>0</v>
      </c>
      <c r="DQ114" s="648">
        <f t="shared" si="465"/>
        <v>0</v>
      </c>
      <c r="DR114" s="648">
        <f t="shared" si="465"/>
        <v>0</v>
      </c>
      <c r="DS114" s="648">
        <f t="shared" si="465"/>
        <v>0</v>
      </c>
      <c r="DT114" s="648">
        <f t="shared" si="465"/>
        <v>0</v>
      </c>
      <c r="DU114" s="648">
        <f t="shared" si="465"/>
        <v>0</v>
      </c>
      <c r="DV114" s="648">
        <f t="shared" si="465"/>
        <v>0</v>
      </c>
      <c r="DW114" s="648">
        <f t="shared" si="465"/>
        <v>0</v>
      </c>
      <c r="DX114" s="648">
        <f t="shared" si="465"/>
        <v>0</v>
      </c>
      <c r="DY114" s="648">
        <f t="shared" si="465"/>
        <v>0</v>
      </c>
      <c r="DZ114" s="648">
        <f t="shared" si="465"/>
        <v>0</v>
      </c>
      <c r="EF114" s="51">
        <v>0</v>
      </c>
      <c r="EG114" s="51"/>
      <c r="EH114" s="51"/>
      <c r="EI114" s="51"/>
      <c r="EJ114" s="51"/>
      <c r="EM114" t="s">
        <v>99</v>
      </c>
    </row>
    <row r="115" spans="1:143" x14ac:dyDescent="0.2">
      <c r="A115" s="1"/>
      <c r="B115" t="str">
        <f t="shared" si="425"/>
        <v>Apparel - NBM</v>
      </c>
      <c r="C115" s="54" t="s">
        <v>114</v>
      </c>
      <c r="D115" s="648">
        <f t="shared" ref="D115:AH115" si="466">D17*$EF115</f>
        <v>0</v>
      </c>
      <c r="E115" s="648">
        <f t="shared" si="466"/>
        <v>114.49307527954407</v>
      </c>
      <c r="F115" s="648">
        <f t="shared" si="466"/>
        <v>231.9830436868564</v>
      </c>
      <c r="G115" s="648">
        <f t="shared" si="466"/>
        <v>352.53445981435192</v>
      </c>
      <c r="H115" s="648">
        <f t="shared" si="466"/>
        <v>476.21324838755254</v>
      </c>
      <c r="I115" s="648">
        <f t="shared" si="466"/>
        <v>603.08673421614685</v>
      </c>
      <c r="J115" s="648">
        <f t="shared" si="466"/>
        <v>733.22367282031053</v>
      </c>
      <c r="K115" s="648">
        <f t="shared" si="466"/>
        <v>866.69428174780626</v>
      </c>
      <c r="L115" s="648">
        <f t="shared" si="466"/>
        <v>1003.5702725977471</v>
      </c>
      <c r="M115" s="648">
        <f t="shared" si="466"/>
        <v>1143.9248837672658</v>
      </c>
      <c r="N115" s="648">
        <f t="shared" si="466"/>
        <v>1287.8329139377201</v>
      </c>
      <c r="O115" s="648">
        <f t="shared" si="466"/>
        <v>1500.6148816045959</v>
      </c>
      <c r="P115" s="648">
        <f t="shared" si="466"/>
        <v>1718.8344697966197</v>
      </c>
      <c r="Q115" s="648">
        <f t="shared" si="466"/>
        <v>1942.6092072260813</v>
      </c>
      <c r="R115" s="648">
        <f t="shared" si="466"/>
        <v>2172.0591401269808</v>
      </c>
      <c r="S115" s="648">
        <f t="shared" si="466"/>
        <v>2407.3068877545979</v>
      </c>
      <c r="T115" s="648">
        <f t="shared" si="466"/>
        <v>2648.4776991433077</v>
      </c>
      <c r="U115" s="648">
        <f t="shared" si="466"/>
        <v>2895.6995111516371</v>
      </c>
      <c r="V115" s="648">
        <f t="shared" si="466"/>
        <v>3149.1030078242602</v>
      </c>
      <c r="W115" s="648">
        <f t="shared" si="466"/>
        <v>3408.821681101273</v>
      </c>
      <c r="X115" s="648">
        <f t="shared" si="466"/>
        <v>3674.9918929058326</v>
      </c>
      <c r="Y115" s="648">
        <f t="shared" si="466"/>
        <v>4096.724747647283</v>
      </c>
      <c r="Z115" s="648">
        <f t="shared" si="466"/>
        <v>4529.1933344301697</v>
      </c>
      <c r="AA115" s="648">
        <f t="shared" si="466"/>
        <v>4972.6319522557069</v>
      </c>
      <c r="AB115" s="648">
        <f t="shared" si="466"/>
        <v>5427.2799788142847</v>
      </c>
      <c r="AC115" s="648">
        <f t="shared" si="466"/>
        <v>5893.3819835486838</v>
      </c>
      <c r="AD115" s="648">
        <f t="shared" si="466"/>
        <v>6371.1878432972217</v>
      </c>
      <c r="AE115" s="648">
        <f t="shared" si="466"/>
        <v>6860.9528605765981</v>
      </c>
      <c r="AF115" s="648">
        <f t="shared" si="466"/>
        <v>7362.9378845654919</v>
      </c>
      <c r="AG115" s="648">
        <f t="shared" si="466"/>
        <v>7877.409434851369</v>
      </c>
      <c r="AH115" s="648">
        <f t="shared" si="466"/>
        <v>8404.6398280045123</v>
      </c>
      <c r="AI115" s="648"/>
      <c r="AJ115" s="648">
        <f t="shared" ref="AJ115:BN115" si="467">AJ17*$EF115</f>
        <v>0</v>
      </c>
      <c r="AK115" s="648">
        <f t="shared" si="467"/>
        <v>57.246537639772036</v>
      </c>
      <c r="AL115" s="648">
        <f t="shared" si="467"/>
        <v>115.9915218434282</v>
      </c>
      <c r="AM115" s="648">
        <f t="shared" si="467"/>
        <v>176.26722990717596</v>
      </c>
      <c r="AN115" s="648">
        <f t="shared" si="467"/>
        <v>238.10662419377627</v>
      </c>
      <c r="AO115" s="648">
        <f t="shared" si="467"/>
        <v>301.54336710807343</v>
      </c>
      <c r="AP115" s="648">
        <f t="shared" si="467"/>
        <v>366.61183641015526</v>
      </c>
      <c r="AQ115" s="648">
        <f t="shared" si="467"/>
        <v>433.34714087390313</v>
      </c>
      <c r="AR115" s="648">
        <f t="shared" si="467"/>
        <v>501.78513629887357</v>
      </c>
      <c r="AS115" s="648">
        <f t="shared" si="467"/>
        <v>571.96244188363289</v>
      </c>
      <c r="AT115" s="648">
        <f t="shared" si="467"/>
        <v>643.91645696886007</v>
      </c>
      <c r="AU115" s="648">
        <f t="shared" si="467"/>
        <v>750.30744080229795</v>
      </c>
      <c r="AV115" s="648">
        <f t="shared" si="467"/>
        <v>859.41723489830986</v>
      </c>
      <c r="AW115" s="648">
        <f t="shared" si="467"/>
        <v>971.30460361304063</v>
      </c>
      <c r="AX115" s="648">
        <f t="shared" si="467"/>
        <v>1086.0295700634904</v>
      </c>
      <c r="AY115" s="648">
        <f t="shared" si="467"/>
        <v>1203.653443877299</v>
      </c>
      <c r="AZ115" s="648">
        <f t="shared" si="467"/>
        <v>1324.2388495716539</v>
      </c>
      <c r="BA115" s="648">
        <f t="shared" si="467"/>
        <v>1447.8497555758186</v>
      </c>
      <c r="BB115" s="648">
        <f t="shared" si="467"/>
        <v>1574.5515039121301</v>
      </c>
      <c r="BC115" s="648">
        <f t="shared" si="467"/>
        <v>1704.4108405506365</v>
      </c>
      <c r="BD115" s="648">
        <f t="shared" si="467"/>
        <v>1837.4959464529163</v>
      </c>
      <c r="BE115" s="648">
        <f t="shared" si="467"/>
        <v>2048.3623738236415</v>
      </c>
      <c r="BF115" s="648">
        <f t="shared" si="467"/>
        <v>2264.5966672150848</v>
      </c>
      <c r="BG115" s="648">
        <f t="shared" si="467"/>
        <v>2486.3159761278534</v>
      </c>
      <c r="BH115" s="648">
        <f t="shared" si="467"/>
        <v>2713.6399894071424</v>
      </c>
      <c r="BI115" s="648">
        <f t="shared" si="467"/>
        <v>2946.6909917743419</v>
      </c>
      <c r="BJ115" s="648">
        <f t="shared" si="467"/>
        <v>3185.5939216486108</v>
      </c>
      <c r="BK115" s="648">
        <f t="shared" si="467"/>
        <v>3430.4764302882991</v>
      </c>
      <c r="BL115" s="648">
        <f t="shared" si="467"/>
        <v>3681.468942282746</v>
      </c>
      <c r="BM115" s="648">
        <f t="shared" si="467"/>
        <v>3938.7047174256845</v>
      </c>
      <c r="BN115" s="648">
        <f t="shared" si="467"/>
        <v>4202.3199140022562</v>
      </c>
      <c r="BO115" s="648"/>
      <c r="BP115" s="648">
        <f t="shared" ref="BP115:CT115" si="468">BP17*$EF115</f>
        <v>0</v>
      </c>
      <c r="BQ115" s="648">
        <f t="shared" si="468"/>
        <v>0</v>
      </c>
      <c r="BR115" s="648">
        <f t="shared" si="468"/>
        <v>0</v>
      </c>
      <c r="BS115" s="648">
        <f t="shared" si="468"/>
        <v>0</v>
      </c>
      <c r="BT115" s="648">
        <f t="shared" si="468"/>
        <v>0</v>
      </c>
      <c r="BU115" s="648">
        <f t="shared" si="468"/>
        <v>0</v>
      </c>
      <c r="BV115" s="648">
        <f t="shared" si="468"/>
        <v>0</v>
      </c>
      <c r="BW115" s="648">
        <f t="shared" si="468"/>
        <v>0</v>
      </c>
      <c r="BX115" s="648">
        <f t="shared" si="468"/>
        <v>0</v>
      </c>
      <c r="BY115" s="648">
        <f t="shared" si="468"/>
        <v>0</v>
      </c>
      <c r="BZ115" s="648">
        <f t="shared" si="468"/>
        <v>0</v>
      </c>
      <c r="CA115" s="648">
        <f t="shared" si="468"/>
        <v>0</v>
      </c>
      <c r="CB115" s="648">
        <f t="shared" si="468"/>
        <v>0</v>
      </c>
      <c r="CC115" s="648">
        <f t="shared" si="468"/>
        <v>0</v>
      </c>
      <c r="CD115" s="648">
        <f t="shared" si="468"/>
        <v>0</v>
      </c>
      <c r="CE115" s="648">
        <f t="shared" si="468"/>
        <v>0</v>
      </c>
      <c r="CF115" s="648">
        <f t="shared" si="468"/>
        <v>0</v>
      </c>
      <c r="CG115" s="648">
        <f t="shared" si="468"/>
        <v>0</v>
      </c>
      <c r="CH115" s="648">
        <f t="shared" si="468"/>
        <v>0</v>
      </c>
      <c r="CI115" s="648">
        <f t="shared" si="468"/>
        <v>0</v>
      </c>
      <c r="CJ115" s="648">
        <f t="shared" si="468"/>
        <v>0</v>
      </c>
      <c r="CK115" s="648">
        <f t="shared" si="468"/>
        <v>0</v>
      </c>
      <c r="CL115" s="648">
        <f t="shared" si="468"/>
        <v>0</v>
      </c>
      <c r="CM115" s="648">
        <f t="shared" si="468"/>
        <v>0</v>
      </c>
      <c r="CN115" s="648">
        <f t="shared" si="468"/>
        <v>0</v>
      </c>
      <c r="CO115" s="648">
        <f t="shared" si="468"/>
        <v>0</v>
      </c>
      <c r="CP115" s="648">
        <f t="shared" si="468"/>
        <v>0</v>
      </c>
      <c r="CQ115" s="648">
        <f t="shared" si="468"/>
        <v>0</v>
      </c>
      <c r="CR115" s="648">
        <f t="shared" si="468"/>
        <v>0</v>
      </c>
      <c r="CS115" s="648">
        <f t="shared" si="468"/>
        <v>0</v>
      </c>
      <c r="CT115" s="648">
        <f t="shared" si="468"/>
        <v>0</v>
      </c>
      <c r="CU115" s="648"/>
      <c r="CV115" s="648">
        <f t="shared" ref="CV115:DZ115" si="469">CV17*$EF115</f>
        <v>0</v>
      </c>
      <c r="CW115" s="648">
        <f t="shared" si="469"/>
        <v>0</v>
      </c>
      <c r="CX115" s="648">
        <f t="shared" si="469"/>
        <v>0</v>
      </c>
      <c r="CY115" s="648">
        <f t="shared" si="469"/>
        <v>0</v>
      </c>
      <c r="CZ115" s="648">
        <f t="shared" si="469"/>
        <v>0</v>
      </c>
      <c r="DA115" s="648">
        <f t="shared" si="469"/>
        <v>0</v>
      </c>
      <c r="DB115" s="648">
        <f t="shared" si="469"/>
        <v>0</v>
      </c>
      <c r="DC115" s="648">
        <f t="shared" si="469"/>
        <v>0</v>
      </c>
      <c r="DD115" s="648">
        <f t="shared" si="469"/>
        <v>0</v>
      </c>
      <c r="DE115" s="648">
        <f t="shared" si="469"/>
        <v>0</v>
      </c>
      <c r="DF115" s="648">
        <f t="shared" si="469"/>
        <v>0</v>
      </c>
      <c r="DG115" s="648">
        <f t="shared" si="469"/>
        <v>0</v>
      </c>
      <c r="DH115" s="648">
        <f t="shared" si="469"/>
        <v>0</v>
      </c>
      <c r="DI115" s="648">
        <f t="shared" si="469"/>
        <v>0</v>
      </c>
      <c r="DJ115" s="648">
        <f t="shared" si="469"/>
        <v>0</v>
      </c>
      <c r="DK115" s="648">
        <f t="shared" si="469"/>
        <v>0</v>
      </c>
      <c r="DL115" s="648">
        <f t="shared" si="469"/>
        <v>0</v>
      </c>
      <c r="DM115" s="648">
        <f t="shared" si="469"/>
        <v>0</v>
      </c>
      <c r="DN115" s="648">
        <f t="shared" si="469"/>
        <v>0</v>
      </c>
      <c r="DO115" s="648">
        <f t="shared" si="469"/>
        <v>0</v>
      </c>
      <c r="DP115" s="648">
        <f t="shared" si="469"/>
        <v>0</v>
      </c>
      <c r="DQ115" s="648">
        <f t="shared" si="469"/>
        <v>0</v>
      </c>
      <c r="DR115" s="648">
        <f t="shared" si="469"/>
        <v>0</v>
      </c>
      <c r="DS115" s="648">
        <f t="shared" si="469"/>
        <v>0</v>
      </c>
      <c r="DT115" s="648">
        <f t="shared" si="469"/>
        <v>0</v>
      </c>
      <c r="DU115" s="648">
        <f t="shared" si="469"/>
        <v>0</v>
      </c>
      <c r="DV115" s="648">
        <f t="shared" si="469"/>
        <v>0</v>
      </c>
      <c r="DW115" s="648">
        <f t="shared" si="469"/>
        <v>0</v>
      </c>
      <c r="DX115" s="648">
        <f t="shared" si="469"/>
        <v>0</v>
      </c>
      <c r="DY115" s="648">
        <f t="shared" si="469"/>
        <v>0</v>
      </c>
      <c r="DZ115" s="648">
        <f t="shared" si="469"/>
        <v>0</v>
      </c>
      <c r="EF115" s="610">
        <v>1000</v>
      </c>
      <c r="EG115" s="51"/>
      <c r="EH115" s="51"/>
      <c r="EI115" s="51"/>
      <c r="EJ115" s="51"/>
      <c r="EM115" t="s">
        <v>99</v>
      </c>
    </row>
    <row r="116" spans="1:143" x14ac:dyDescent="0.2">
      <c r="A116" s="1"/>
      <c r="B116" t="str">
        <f t="shared" si="425"/>
        <v>Apparel - substitution</v>
      </c>
      <c r="C116" s="54" t="s">
        <v>114</v>
      </c>
      <c r="D116" s="648">
        <f t="shared" ref="D116:AH116" si="470">D18*$EF116</f>
        <v>0</v>
      </c>
      <c r="E116" s="648">
        <f t="shared" si="470"/>
        <v>111.12563188896925</v>
      </c>
      <c r="F116" s="648">
        <f t="shared" si="470"/>
        <v>225.16001299018419</v>
      </c>
      <c r="G116" s="648">
        <f t="shared" si="470"/>
        <v>342.16579923157684</v>
      </c>
      <c r="H116" s="648">
        <f t="shared" si="470"/>
        <v>462.20697637615388</v>
      </c>
      <c r="I116" s="648">
        <f t="shared" si="470"/>
        <v>585.3488890921426</v>
      </c>
      <c r="J116" s="648">
        <f t="shared" si="470"/>
        <v>711.65827067853684</v>
      </c>
      <c r="K116" s="648">
        <f t="shared" si="470"/>
        <v>841.20327346110605</v>
      </c>
      <c r="L116" s="648">
        <f t="shared" si="470"/>
        <v>974.05349987428383</v>
      </c>
      <c r="M116" s="648">
        <f t="shared" si="470"/>
        <v>1110.280034244699</v>
      </c>
      <c r="N116" s="648">
        <f t="shared" si="470"/>
        <v>1249.955475292493</v>
      </c>
      <c r="O116" s="648">
        <f t="shared" si="470"/>
        <v>1393.1539693669265</v>
      </c>
      <c r="P116" s="648">
        <f t="shared" si="470"/>
        <v>1539.9512444331706</v>
      </c>
      <c r="Q116" s="648">
        <f t="shared" si="470"/>
        <v>1690.4246448275635</v>
      </c>
      <c r="R116" s="648">
        <f t="shared" si="470"/>
        <v>1844.6531667990164</v>
      </c>
      <c r="S116" s="648">
        <f t="shared" si="470"/>
        <v>2002.7174948546658</v>
      </c>
      <c r="T116" s="648">
        <f t="shared" si="470"/>
        <v>2164.7000389282762</v>
      </c>
      <c r="U116" s="648">
        <f t="shared" si="470"/>
        <v>2330.684972390342</v>
      </c>
      <c r="V116" s="648">
        <f t="shared" si="470"/>
        <v>2500.7582709192652</v>
      </c>
      <c r="W116" s="648">
        <f t="shared" si="470"/>
        <v>2675.0077522534398</v>
      </c>
      <c r="X116" s="648">
        <f t="shared" si="470"/>
        <v>2853.5231168445289</v>
      </c>
      <c r="Y116" s="648">
        <f t="shared" si="470"/>
        <v>3040.7775132269667</v>
      </c>
      <c r="Z116" s="648">
        <f t="shared" si="470"/>
        <v>3232.6007328089845</v>
      </c>
      <c r="AA116" s="648">
        <f t="shared" si="470"/>
        <v>3429.0909933202247</v>
      </c>
      <c r="AB116" s="648">
        <f t="shared" si="470"/>
        <v>3630.3486244841779</v>
      </c>
      <c r="AC116" s="648">
        <f t="shared" si="470"/>
        <v>3836.4761147807121</v>
      </c>
      <c r="AD116" s="648">
        <f t="shared" si="470"/>
        <v>4047.5781592711764</v>
      </c>
      <c r="AE116" s="648">
        <f t="shared" si="470"/>
        <v>4263.7617085105785</v>
      </c>
      <c r="AF116" s="648">
        <f t="shared" si="470"/>
        <v>4485.1360185719195</v>
      </c>
      <c r="AG116" s="648">
        <f t="shared" si="470"/>
        <v>4711.8127022083108</v>
      </c>
      <c r="AH116" s="648">
        <f t="shared" si="470"/>
        <v>4943.9057811791245</v>
      </c>
      <c r="AI116" s="648"/>
      <c r="AJ116" s="648">
        <f t="shared" ref="AJ116:BN116" si="471">AJ18*$EF116</f>
        <v>0</v>
      </c>
      <c r="AK116" s="648">
        <f t="shared" si="471"/>
        <v>55.562815944484626</v>
      </c>
      <c r="AL116" s="648">
        <f t="shared" si="471"/>
        <v>112.58000649509209</v>
      </c>
      <c r="AM116" s="648">
        <f t="shared" si="471"/>
        <v>171.08289961578842</v>
      </c>
      <c r="AN116" s="648">
        <f t="shared" si="471"/>
        <v>231.10348818807694</v>
      </c>
      <c r="AO116" s="648">
        <f t="shared" si="471"/>
        <v>292.6744445460713</v>
      </c>
      <c r="AP116" s="648">
        <f t="shared" si="471"/>
        <v>355.82913533926842</v>
      </c>
      <c r="AQ116" s="648">
        <f t="shared" si="471"/>
        <v>420.60163673055303</v>
      </c>
      <c r="AR116" s="648">
        <f t="shared" si="471"/>
        <v>487.02674993714191</v>
      </c>
      <c r="AS116" s="648">
        <f t="shared" si="471"/>
        <v>555.14001712234949</v>
      </c>
      <c r="AT116" s="648">
        <f t="shared" si="471"/>
        <v>624.97773764624651</v>
      </c>
      <c r="AU116" s="648">
        <f t="shared" si="471"/>
        <v>696.57698468346325</v>
      </c>
      <c r="AV116" s="648">
        <f t="shared" si="471"/>
        <v>769.97562221658529</v>
      </c>
      <c r="AW116" s="648">
        <f t="shared" si="471"/>
        <v>845.21232241378175</v>
      </c>
      <c r="AX116" s="648">
        <f t="shared" si="471"/>
        <v>922.32658339950819</v>
      </c>
      <c r="AY116" s="648">
        <f t="shared" si="471"/>
        <v>1001.3587474273329</v>
      </c>
      <c r="AZ116" s="648">
        <f t="shared" si="471"/>
        <v>1082.3500194641381</v>
      </c>
      <c r="BA116" s="648">
        <f t="shared" si="471"/>
        <v>1165.342486195171</v>
      </c>
      <c r="BB116" s="648">
        <f t="shared" si="471"/>
        <v>1250.3791354596326</v>
      </c>
      <c r="BC116" s="648">
        <f t="shared" si="471"/>
        <v>1337.5038761267199</v>
      </c>
      <c r="BD116" s="648">
        <f t="shared" si="471"/>
        <v>1426.7615584222644</v>
      </c>
      <c r="BE116" s="648">
        <f t="shared" si="471"/>
        <v>1520.3887566134833</v>
      </c>
      <c r="BF116" s="648">
        <f t="shared" si="471"/>
        <v>1616.3003664044923</v>
      </c>
      <c r="BG116" s="648">
        <f t="shared" si="471"/>
        <v>1714.5454966601123</v>
      </c>
      <c r="BH116" s="648">
        <f t="shared" si="471"/>
        <v>1815.1743122420889</v>
      </c>
      <c r="BI116" s="648">
        <f t="shared" si="471"/>
        <v>1918.2380573903561</v>
      </c>
      <c r="BJ116" s="648">
        <f t="shared" si="471"/>
        <v>2023.7890796355882</v>
      </c>
      <c r="BK116" s="648">
        <f t="shared" si="471"/>
        <v>2131.8808542552893</v>
      </c>
      <c r="BL116" s="648">
        <f t="shared" si="471"/>
        <v>2242.5680092859598</v>
      </c>
      <c r="BM116" s="648">
        <f t="shared" si="471"/>
        <v>2355.9063511041554</v>
      </c>
      <c r="BN116" s="648">
        <f t="shared" si="471"/>
        <v>2471.9528905895622</v>
      </c>
      <c r="BO116" s="648"/>
      <c r="BP116" s="648">
        <f t="shared" ref="BP116:CT116" si="472">BP18*$EF116</f>
        <v>0</v>
      </c>
      <c r="BQ116" s="648">
        <f t="shared" si="472"/>
        <v>0</v>
      </c>
      <c r="BR116" s="648">
        <f t="shared" si="472"/>
        <v>0</v>
      </c>
      <c r="BS116" s="648">
        <f t="shared" si="472"/>
        <v>0</v>
      </c>
      <c r="BT116" s="648">
        <f t="shared" si="472"/>
        <v>0</v>
      </c>
      <c r="BU116" s="648">
        <f t="shared" si="472"/>
        <v>0</v>
      </c>
      <c r="BV116" s="648">
        <f t="shared" si="472"/>
        <v>0</v>
      </c>
      <c r="BW116" s="648">
        <f t="shared" si="472"/>
        <v>0</v>
      </c>
      <c r="BX116" s="648">
        <f t="shared" si="472"/>
        <v>0</v>
      </c>
      <c r="BY116" s="648">
        <f t="shared" si="472"/>
        <v>0</v>
      </c>
      <c r="BZ116" s="648">
        <f t="shared" si="472"/>
        <v>0</v>
      </c>
      <c r="CA116" s="648">
        <f t="shared" si="472"/>
        <v>0</v>
      </c>
      <c r="CB116" s="648">
        <f t="shared" si="472"/>
        <v>0</v>
      </c>
      <c r="CC116" s="648">
        <f t="shared" si="472"/>
        <v>0</v>
      </c>
      <c r="CD116" s="648">
        <f t="shared" si="472"/>
        <v>0</v>
      </c>
      <c r="CE116" s="648">
        <f t="shared" si="472"/>
        <v>0</v>
      </c>
      <c r="CF116" s="648">
        <f t="shared" si="472"/>
        <v>0</v>
      </c>
      <c r="CG116" s="648">
        <f t="shared" si="472"/>
        <v>0</v>
      </c>
      <c r="CH116" s="648">
        <f t="shared" si="472"/>
        <v>0</v>
      </c>
      <c r="CI116" s="648">
        <f t="shared" si="472"/>
        <v>0</v>
      </c>
      <c r="CJ116" s="648">
        <f t="shared" si="472"/>
        <v>0</v>
      </c>
      <c r="CK116" s="648">
        <f t="shared" si="472"/>
        <v>0</v>
      </c>
      <c r="CL116" s="648">
        <f t="shared" si="472"/>
        <v>0</v>
      </c>
      <c r="CM116" s="648">
        <f t="shared" si="472"/>
        <v>0</v>
      </c>
      <c r="CN116" s="648">
        <f t="shared" si="472"/>
        <v>0</v>
      </c>
      <c r="CO116" s="648">
        <f t="shared" si="472"/>
        <v>0</v>
      </c>
      <c r="CP116" s="648">
        <f t="shared" si="472"/>
        <v>0</v>
      </c>
      <c r="CQ116" s="648">
        <f t="shared" si="472"/>
        <v>0</v>
      </c>
      <c r="CR116" s="648">
        <f t="shared" si="472"/>
        <v>0</v>
      </c>
      <c r="CS116" s="648">
        <f t="shared" si="472"/>
        <v>0</v>
      </c>
      <c r="CT116" s="648">
        <f t="shared" si="472"/>
        <v>0</v>
      </c>
      <c r="CU116" s="648"/>
      <c r="CV116" s="648">
        <f t="shared" ref="CV116:DZ116" si="473">CV18*$EF116</f>
        <v>0</v>
      </c>
      <c r="CW116" s="648">
        <f t="shared" si="473"/>
        <v>0</v>
      </c>
      <c r="CX116" s="648">
        <f t="shared" si="473"/>
        <v>0</v>
      </c>
      <c r="CY116" s="648">
        <f t="shared" si="473"/>
        <v>0</v>
      </c>
      <c r="CZ116" s="648">
        <f t="shared" si="473"/>
        <v>0</v>
      </c>
      <c r="DA116" s="648">
        <f t="shared" si="473"/>
        <v>0</v>
      </c>
      <c r="DB116" s="648">
        <f t="shared" si="473"/>
        <v>0</v>
      </c>
      <c r="DC116" s="648">
        <f t="shared" si="473"/>
        <v>0</v>
      </c>
      <c r="DD116" s="648">
        <f t="shared" si="473"/>
        <v>0</v>
      </c>
      <c r="DE116" s="648">
        <f t="shared" si="473"/>
        <v>0</v>
      </c>
      <c r="DF116" s="648">
        <f t="shared" si="473"/>
        <v>0</v>
      </c>
      <c r="DG116" s="648">
        <f t="shared" si="473"/>
        <v>0</v>
      </c>
      <c r="DH116" s="648">
        <f t="shared" si="473"/>
        <v>0</v>
      </c>
      <c r="DI116" s="648">
        <f t="shared" si="473"/>
        <v>0</v>
      </c>
      <c r="DJ116" s="648">
        <f t="shared" si="473"/>
        <v>0</v>
      </c>
      <c r="DK116" s="648">
        <f t="shared" si="473"/>
        <v>0</v>
      </c>
      <c r="DL116" s="648">
        <f t="shared" si="473"/>
        <v>0</v>
      </c>
      <c r="DM116" s="648">
        <f t="shared" si="473"/>
        <v>0</v>
      </c>
      <c r="DN116" s="648">
        <f t="shared" si="473"/>
        <v>0</v>
      </c>
      <c r="DO116" s="648">
        <f t="shared" si="473"/>
        <v>0</v>
      </c>
      <c r="DP116" s="648">
        <f t="shared" si="473"/>
        <v>0</v>
      </c>
      <c r="DQ116" s="648">
        <f t="shared" si="473"/>
        <v>0</v>
      </c>
      <c r="DR116" s="648">
        <f t="shared" si="473"/>
        <v>0</v>
      </c>
      <c r="DS116" s="648">
        <f t="shared" si="473"/>
        <v>0</v>
      </c>
      <c r="DT116" s="648">
        <f t="shared" si="473"/>
        <v>0</v>
      </c>
      <c r="DU116" s="648">
        <f t="shared" si="473"/>
        <v>0</v>
      </c>
      <c r="DV116" s="648">
        <f t="shared" si="473"/>
        <v>0</v>
      </c>
      <c r="DW116" s="648">
        <f t="shared" si="473"/>
        <v>0</v>
      </c>
      <c r="DX116" s="648">
        <f t="shared" si="473"/>
        <v>0</v>
      </c>
      <c r="DY116" s="648">
        <f t="shared" si="473"/>
        <v>0</v>
      </c>
      <c r="DZ116" s="648">
        <f t="shared" si="473"/>
        <v>0</v>
      </c>
      <c r="EF116" s="610">
        <v>1000</v>
      </c>
      <c r="EG116" s="51"/>
      <c r="EH116" s="51"/>
      <c r="EI116" s="51"/>
      <c r="EJ116" s="51"/>
      <c r="EM116" t="s">
        <v>99</v>
      </c>
    </row>
    <row r="117" spans="1:143" x14ac:dyDescent="0.2">
      <c r="A117" s="1"/>
      <c r="B117" t="str">
        <f t="shared" si="425"/>
        <v>Others Reduction</v>
      </c>
      <c r="C117" s="54" t="s">
        <v>114</v>
      </c>
      <c r="D117" s="648">
        <f t="shared" ref="D117:AH117" si="474">D19*$EF117</f>
        <v>0</v>
      </c>
      <c r="E117" s="648">
        <f t="shared" si="474"/>
        <v>0</v>
      </c>
      <c r="F117" s="648">
        <f t="shared" si="474"/>
        <v>0</v>
      </c>
      <c r="G117" s="648">
        <f t="shared" si="474"/>
        <v>0</v>
      </c>
      <c r="H117" s="648">
        <f t="shared" si="474"/>
        <v>0</v>
      </c>
      <c r="I117" s="648">
        <f t="shared" si="474"/>
        <v>0</v>
      </c>
      <c r="J117" s="648">
        <f t="shared" si="474"/>
        <v>0</v>
      </c>
      <c r="K117" s="648">
        <f t="shared" si="474"/>
        <v>0</v>
      </c>
      <c r="L117" s="648">
        <f t="shared" si="474"/>
        <v>0</v>
      </c>
      <c r="M117" s="648">
        <f t="shared" si="474"/>
        <v>0</v>
      </c>
      <c r="N117" s="648">
        <f t="shared" si="474"/>
        <v>0</v>
      </c>
      <c r="O117" s="648">
        <f t="shared" si="474"/>
        <v>0</v>
      </c>
      <c r="P117" s="648">
        <f t="shared" si="474"/>
        <v>0</v>
      </c>
      <c r="Q117" s="648">
        <f t="shared" si="474"/>
        <v>0</v>
      </c>
      <c r="R117" s="648">
        <f t="shared" si="474"/>
        <v>0</v>
      </c>
      <c r="S117" s="648">
        <f t="shared" si="474"/>
        <v>0</v>
      </c>
      <c r="T117" s="648">
        <f t="shared" si="474"/>
        <v>0</v>
      </c>
      <c r="U117" s="648">
        <f t="shared" si="474"/>
        <v>0</v>
      </c>
      <c r="V117" s="648">
        <f t="shared" si="474"/>
        <v>0</v>
      </c>
      <c r="W117" s="648">
        <f t="shared" si="474"/>
        <v>0</v>
      </c>
      <c r="X117" s="648">
        <f t="shared" si="474"/>
        <v>0</v>
      </c>
      <c r="Y117" s="648">
        <f t="shared" si="474"/>
        <v>0</v>
      </c>
      <c r="Z117" s="648">
        <f t="shared" si="474"/>
        <v>0</v>
      </c>
      <c r="AA117" s="648">
        <f t="shared" si="474"/>
        <v>0</v>
      </c>
      <c r="AB117" s="648">
        <f t="shared" si="474"/>
        <v>0</v>
      </c>
      <c r="AC117" s="648">
        <f t="shared" si="474"/>
        <v>0</v>
      </c>
      <c r="AD117" s="648">
        <f t="shared" si="474"/>
        <v>0</v>
      </c>
      <c r="AE117" s="648">
        <f t="shared" si="474"/>
        <v>0</v>
      </c>
      <c r="AF117" s="648">
        <f t="shared" si="474"/>
        <v>0</v>
      </c>
      <c r="AG117" s="648">
        <f t="shared" si="474"/>
        <v>0</v>
      </c>
      <c r="AH117" s="648">
        <f t="shared" si="474"/>
        <v>0</v>
      </c>
      <c r="AI117" s="648"/>
      <c r="AJ117" s="648">
        <f t="shared" ref="AJ117:BN117" si="475">AJ19*$EF117</f>
        <v>0</v>
      </c>
      <c r="AK117" s="648">
        <f t="shared" si="475"/>
        <v>0</v>
      </c>
      <c r="AL117" s="648">
        <f t="shared" si="475"/>
        <v>0</v>
      </c>
      <c r="AM117" s="648">
        <f t="shared" si="475"/>
        <v>0</v>
      </c>
      <c r="AN117" s="648">
        <f t="shared" si="475"/>
        <v>0</v>
      </c>
      <c r="AO117" s="648">
        <f t="shared" si="475"/>
        <v>0</v>
      </c>
      <c r="AP117" s="648">
        <f t="shared" si="475"/>
        <v>0</v>
      </c>
      <c r="AQ117" s="648">
        <f t="shared" si="475"/>
        <v>0</v>
      </c>
      <c r="AR117" s="648">
        <f t="shared" si="475"/>
        <v>0</v>
      </c>
      <c r="AS117" s="648">
        <f t="shared" si="475"/>
        <v>0</v>
      </c>
      <c r="AT117" s="648">
        <f t="shared" si="475"/>
        <v>0</v>
      </c>
      <c r="AU117" s="648">
        <f t="shared" si="475"/>
        <v>0</v>
      </c>
      <c r="AV117" s="648">
        <f t="shared" si="475"/>
        <v>0</v>
      </c>
      <c r="AW117" s="648">
        <f t="shared" si="475"/>
        <v>0</v>
      </c>
      <c r="AX117" s="648">
        <f t="shared" si="475"/>
        <v>0</v>
      </c>
      <c r="AY117" s="648">
        <f t="shared" si="475"/>
        <v>0</v>
      </c>
      <c r="AZ117" s="648">
        <f t="shared" si="475"/>
        <v>0</v>
      </c>
      <c r="BA117" s="648">
        <f t="shared" si="475"/>
        <v>0</v>
      </c>
      <c r="BB117" s="648">
        <f t="shared" si="475"/>
        <v>0</v>
      </c>
      <c r="BC117" s="648">
        <f t="shared" si="475"/>
        <v>0</v>
      </c>
      <c r="BD117" s="648">
        <f t="shared" si="475"/>
        <v>0</v>
      </c>
      <c r="BE117" s="648">
        <f t="shared" si="475"/>
        <v>0</v>
      </c>
      <c r="BF117" s="648">
        <f t="shared" si="475"/>
        <v>0</v>
      </c>
      <c r="BG117" s="648">
        <f t="shared" si="475"/>
        <v>0</v>
      </c>
      <c r="BH117" s="648">
        <f t="shared" si="475"/>
        <v>0</v>
      </c>
      <c r="BI117" s="648">
        <f t="shared" si="475"/>
        <v>0</v>
      </c>
      <c r="BJ117" s="648">
        <f t="shared" si="475"/>
        <v>0</v>
      </c>
      <c r="BK117" s="648">
        <f t="shared" si="475"/>
        <v>0</v>
      </c>
      <c r="BL117" s="648">
        <f t="shared" si="475"/>
        <v>0</v>
      </c>
      <c r="BM117" s="648">
        <f t="shared" si="475"/>
        <v>0</v>
      </c>
      <c r="BN117" s="648">
        <f t="shared" si="475"/>
        <v>0</v>
      </c>
      <c r="BO117" s="648"/>
      <c r="BP117" s="648">
        <f t="shared" ref="BP117:CT117" si="476">BP19*$EF117</f>
        <v>0</v>
      </c>
      <c r="BQ117" s="648">
        <f t="shared" si="476"/>
        <v>0</v>
      </c>
      <c r="BR117" s="648">
        <f t="shared" si="476"/>
        <v>0</v>
      </c>
      <c r="BS117" s="648">
        <f t="shared" si="476"/>
        <v>0</v>
      </c>
      <c r="BT117" s="648">
        <f t="shared" si="476"/>
        <v>0</v>
      </c>
      <c r="BU117" s="648">
        <f t="shared" si="476"/>
        <v>0</v>
      </c>
      <c r="BV117" s="648">
        <f t="shared" si="476"/>
        <v>0</v>
      </c>
      <c r="BW117" s="648">
        <f t="shared" si="476"/>
        <v>0</v>
      </c>
      <c r="BX117" s="648">
        <f t="shared" si="476"/>
        <v>0</v>
      </c>
      <c r="BY117" s="648">
        <f t="shared" si="476"/>
        <v>0</v>
      </c>
      <c r="BZ117" s="648">
        <f t="shared" si="476"/>
        <v>0</v>
      </c>
      <c r="CA117" s="648">
        <f t="shared" si="476"/>
        <v>0</v>
      </c>
      <c r="CB117" s="648">
        <f t="shared" si="476"/>
        <v>0</v>
      </c>
      <c r="CC117" s="648">
        <f t="shared" si="476"/>
        <v>0</v>
      </c>
      <c r="CD117" s="648">
        <f t="shared" si="476"/>
        <v>0</v>
      </c>
      <c r="CE117" s="648">
        <f t="shared" si="476"/>
        <v>0</v>
      </c>
      <c r="CF117" s="648">
        <f t="shared" si="476"/>
        <v>0</v>
      </c>
      <c r="CG117" s="648">
        <f t="shared" si="476"/>
        <v>0</v>
      </c>
      <c r="CH117" s="648">
        <f t="shared" si="476"/>
        <v>0</v>
      </c>
      <c r="CI117" s="648">
        <f t="shared" si="476"/>
        <v>0</v>
      </c>
      <c r="CJ117" s="648">
        <f t="shared" si="476"/>
        <v>0</v>
      </c>
      <c r="CK117" s="648">
        <f t="shared" si="476"/>
        <v>0</v>
      </c>
      <c r="CL117" s="648">
        <f t="shared" si="476"/>
        <v>0</v>
      </c>
      <c r="CM117" s="648">
        <f t="shared" si="476"/>
        <v>0</v>
      </c>
      <c r="CN117" s="648">
        <f t="shared" si="476"/>
        <v>0</v>
      </c>
      <c r="CO117" s="648">
        <f t="shared" si="476"/>
        <v>0</v>
      </c>
      <c r="CP117" s="648">
        <f t="shared" si="476"/>
        <v>0</v>
      </c>
      <c r="CQ117" s="648">
        <f t="shared" si="476"/>
        <v>0</v>
      </c>
      <c r="CR117" s="648">
        <f t="shared" si="476"/>
        <v>0</v>
      </c>
      <c r="CS117" s="648">
        <f t="shared" si="476"/>
        <v>0</v>
      </c>
      <c r="CT117" s="648">
        <f t="shared" si="476"/>
        <v>0</v>
      </c>
      <c r="CU117" s="648"/>
      <c r="CV117" s="648">
        <f t="shared" ref="CV117:DZ117" si="477">CV19*$EF117</f>
        <v>0</v>
      </c>
      <c r="CW117" s="648">
        <f t="shared" si="477"/>
        <v>0</v>
      </c>
      <c r="CX117" s="648">
        <f t="shared" si="477"/>
        <v>0</v>
      </c>
      <c r="CY117" s="648">
        <f t="shared" si="477"/>
        <v>0</v>
      </c>
      <c r="CZ117" s="648">
        <f t="shared" si="477"/>
        <v>0</v>
      </c>
      <c r="DA117" s="648">
        <f t="shared" si="477"/>
        <v>0</v>
      </c>
      <c r="DB117" s="648">
        <f t="shared" si="477"/>
        <v>0</v>
      </c>
      <c r="DC117" s="648">
        <f t="shared" si="477"/>
        <v>0</v>
      </c>
      <c r="DD117" s="648">
        <f t="shared" si="477"/>
        <v>0</v>
      </c>
      <c r="DE117" s="648">
        <f t="shared" si="477"/>
        <v>0</v>
      </c>
      <c r="DF117" s="648">
        <f t="shared" si="477"/>
        <v>0</v>
      </c>
      <c r="DG117" s="648">
        <f t="shared" si="477"/>
        <v>0</v>
      </c>
      <c r="DH117" s="648">
        <f t="shared" si="477"/>
        <v>0</v>
      </c>
      <c r="DI117" s="648">
        <f t="shared" si="477"/>
        <v>0</v>
      </c>
      <c r="DJ117" s="648">
        <f t="shared" si="477"/>
        <v>0</v>
      </c>
      <c r="DK117" s="648">
        <f t="shared" si="477"/>
        <v>0</v>
      </c>
      <c r="DL117" s="648">
        <f t="shared" si="477"/>
        <v>0</v>
      </c>
      <c r="DM117" s="648">
        <f t="shared" si="477"/>
        <v>0</v>
      </c>
      <c r="DN117" s="648">
        <f t="shared" si="477"/>
        <v>0</v>
      </c>
      <c r="DO117" s="648">
        <f t="shared" si="477"/>
        <v>0</v>
      </c>
      <c r="DP117" s="648">
        <f t="shared" si="477"/>
        <v>0</v>
      </c>
      <c r="DQ117" s="648">
        <f t="shared" si="477"/>
        <v>0</v>
      </c>
      <c r="DR117" s="648">
        <f t="shared" si="477"/>
        <v>0</v>
      </c>
      <c r="DS117" s="648">
        <f t="shared" si="477"/>
        <v>0</v>
      </c>
      <c r="DT117" s="648">
        <f t="shared" si="477"/>
        <v>0</v>
      </c>
      <c r="DU117" s="648">
        <f t="shared" si="477"/>
        <v>0</v>
      </c>
      <c r="DV117" s="648">
        <f t="shared" si="477"/>
        <v>0</v>
      </c>
      <c r="DW117" s="648">
        <f t="shared" si="477"/>
        <v>0</v>
      </c>
      <c r="DX117" s="648">
        <f t="shared" si="477"/>
        <v>0</v>
      </c>
      <c r="DY117" s="648">
        <f t="shared" si="477"/>
        <v>0</v>
      </c>
      <c r="DZ117" s="648">
        <f t="shared" si="477"/>
        <v>0</v>
      </c>
      <c r="EF117" s="51">
        <v>0</v>
      </c>
      <c r="EG117" s="51"/>
      <c r="EH117" s="51"/>
      <c r="EI117" s="51"/>
      <c r="EJ117" s="51"/>
      <c r="EM117" t="s">
        <v>99</v>
      </c>
    </row>
    <row r="118" spans="1:143" x14ac:dyDescent="0.2">
      <c r="A118" s="1"/>
      <c r="B118" t="str">
        <f t="shared" si="425"/>
        <v>Others Substitution</v>
      </c>
      <c r="C118" s="54" t="s">
        <v>114</v>
      </c>
      <c r="D118" s="648">
        <f t="shared" ref="D118:AH118" si="478">D20*$EF118</f>
        <v>0</v>
      </c>
      <c r="E118" s="648">
        <f t="shared" si="478"/>
        <v>221.46697211992776</v>
      </c>
      <c r="F118" s="648">
        <f t="shared" si="478"/>
        <v>472.12144781182951</v>
      </c>
      <c r="G118" s="648">
        <f t="shared" si="478"/>
        <v>752.68721860816788</v>
      </c>
      <c r="H118" s="648">
        <f t="shared" si="478"/>
        <v>1063.9149567290608</v>
      </c>
      <c r="I118" s="648">
        <f t="shared" si="478"/>
        <v>1406.5830910021305</v>
      </c>
      <c r="J118" s="648">
        <f t="shared" si="478"/>
        <v>1763.523970709218</v>
      </c>
      <c r="K118" s="648">
        <f t="shared" si="478"/>
        <v>2146.6737591480187</v>
      </c>
      <c r="L118" s="648">
        <f t="shared" si="478"/>
        <v>2556.4886120919309</v>
      </c>
      <c r="M118" s="648">
        <f t="shared" si="478"/>
        <v>2993.4389942047765</v>
      </c>
      <c r="N118" s="648">
        <f t="shared" si="478"/>
        <v>3458.0100809234095</v>
      </c>
      <c r="O118" s="648">
        <f t="shared" si="478"/>
        <v>3824.4783996128472</v>
      </c>
      <c r="P118" s="648">
        <f t="shared" si="478"/>
        <v>4194.0624974576667</v>
      </c>
      <c r="Q118" s="648">
        <f t="shared" si="478"/>
        <v>4566.5848400777995</v>
      </c>
      <c r="R118" s="648">
        <f t="shared" si="478"/>
        <v>4941.8622582608314</v>
      </c>
      <c r="S118" s="648">
        <f t="shared" si="478"/>
        <v>5319.7058014244203</v>
      </c>
      <c r="T118" s="648">
        <f t="shared" si="478"/>
        <v>5682.1518244331846</v>
      </c>
      <c r="U118" s="648">
        <f t="shared" si="478"/>
        <v>6044.1984000268294</v>
      </c>
      <c r="V118" s="648">
        <f t="shared" si="478"/>
        <v>6405.5689592879862</v>
      </c>
      <c r="W118" s="648">
        <f t="shared" si="478"/>
        <v>6765.9786203203021</v>
      </c>
      <c r="X118" s="648">
        <f t="shared" si="478"/>
        <v>7125.1339754594183</v>
      </c>
      <c r="Y118" s="648">
        <f t="shared" si="478"/>
        <v>7443.0451721488089</v>
      </c>
      <c r="Z118" s="648">
        <f t="shared" si="478"/>
        <v>7753.5805889924377</v>
      </c>
      <c r="AA118" s="648">
        <f t="shared" si="478"/>
        <v>8056.3260715946608</v>
      </c>
      <c r="AB118" s="648">
        <f t="shared" si="478"/>
        <v>8350.8564527245035</v>
      </c>
      <c r="AC118" s="648">
        <f t="shared" si="478"/>
        <v>8636.7352874347598</v>
      </c>
      <c r="AD118" s="648">
        <f t="shared" si="478"/>
        <v>8895.9926766866683</v>
      </c>
      <c r="AE118" s="648">
        <f t="shared" si="478"/>
        <v>9144.0790712234466</v>
      </c>
      <c r="AF118" s="648">
        <f t="shared" si="478"/>
        <v>9380.493151720746</v>
      </c>
      <c r="AG118" s="648">
        <f t="shared" si="478"/>
        <v>9604.7207268843977</v>
      </c>
      <c r="AH118" s="648">
        <f t="shared" si="478"/>
        <v>9816.234429080374</v>
      </c>
      <c r="AI118" s="648"/>
      <c r="AJ118" s="648">
        <f t="shared" ref="AJ118:BN118" si="479">AJ20*$EF118</f>
        <v>0</v>
      </c>
      <c r="AK118" s="648">
        <f t="shared" si="479"/>
        <v>110.73348605996388</v>
      </c>
      <c r="AL118" s="648">
        <f t="shared" si="479"/>
        <v>236.06072390591476</v>
      </c>
      <c r="AM118" s="648">
        <f t="shared" si="479"/>
        <v>376.34360930408394</v>
      </c>
      <c r="AN118" s="648">
        <f t="shared" si="479"/>
        <v>531.9574783645304</v>
      </c>
      <c r="AO118" s="648">
        <f t="shared" si="479"/>
        <v>703.29154550106523</v>
      </c>
      <c r="AP118" s="648">
        <f t="shared" si="479"/>
        <v>881.76198535460901</v>
      </c>
      <c r="AQ118" s="648">
        <f t="shared" si="479"/>
        <v>1073.3368795740093</v>
      </c>
      <c r="AR118" s="648">
        <f t="shared" si="479"/>
        <v>1278.2443060459655</v>
      </c>
      <c r="AS118" s="648">
        <f t="shared" si="479"/>
        <v>1496.7194971023882</v>
      </c>
      <c r="AT118" s="648">
        <f t="shared" si="479"/>
        <v>1729.0050404617048</v>
      </c>
      <c r="AU118" s="648">
        <f t="shared" si="479"/>
        <v>1912.2391998064236</v>
      </c>
      <c r="AV118" s="648">
        <f t="shared" si="479"/>
        <v>2097.0312487288334</v>
      </c>
      <c r="AW118" s="648">
        <f t="shared" si="479"/>
        <v>2283.2924200388998</v>
      </c>
      <c r="AX118" s="648">
        <f t="shared" si="479"/>
        <v>2470.9311291304157</v>
      </c>
      <c r="AY118" s="648">
        <f t="shared" si="479"/>
        <v>2659.8529007122102</v>
      </c>
      <c r="AZ118" s="648">
        <f t="shared" si="479"/>
        <v>2841.0759122165923</v>
      </c>
      <c r="BA118" s="648">
        <f t="shared" si="479"/>
        <v>3022.0992000134147</v>
      </c>
      <c r="BB118" s="648">
        <f t="shared" si="479"/>
        <v>3202.7844796439931</v>
      </c>
      <c r="BC118" s="648">
        <f t="shared" si="479"/>
        <v>3382.989310160151</v>
      </c>
      <c r="BD118" s="648">
        <f t="shared" si="479"/>
        <v>3562.5669877297091</v>
      </c>
      <c r="BE118" s="648">
        <f t="shared" si="479"/>
        <v>3721.5225860744044</v>
      </c>
      <c r="BF118" s="648">
        <f t="shared" si="479"/>
        <v>3876.7902944962188</v>
      </c>
      <c r="BG118" s="648">
        <f t="shared" si="479"/>
        <v>4028.1630357973304</v>
      </c>
      <c r="BH118" s="648">
        <f t="shared" si="479"/>
        <v>4175.4282263622517</v>
      </c>
      <c r="BI118" s="648">
        <f t="shared" si="479"/>
        <v>4318.3676437173799</v>
      </c>
      <c r="BJ118" s="648">
        <f t="shared" si="479"/>
        <v>4447.9963383433342</v>
      </c>
      <c r="BK118" s="648">
        <f t="shared" si="479"/>
        <v>4572.0395356117233</v>
      </c>
      <c r="BL118" s="648">
        <f t="shared" si="479"/>
        <v>4690.246575860373</v>
      </c>
      <c r="BM118" s="648">
        <f t="shared" si="479"/>
        <v>4802.3603634421988</v>
      </c>
      <c r="BN118" s="648">
        <f t="shared" si="479"/>
        <v>4908.117214540187</v>
      </c>
      <c r="BO118" s="648"/>
      <c r="BP118" s="648">
        <f t="shared" ref="BP118:CT118" si="480">BP20*$EF118</f>
        <v>0</v>
      </c>
      <c r="BQ118" s="648">
        <f t="shared" si="480"/>
        <v>0</v>
      </c>
      <c r="BR118" s="648">
        <f t="shared" si="480"/>
        <v>0</v>
      </c>
      <c r="BS118" s="648">
        <f t="shared" si="480"/>
        <v>0</v>
      </c>
      <c r="BT118" s="648">
        <f t="shared" si="480"/>
        <v>0</v>
      </c>
      <c r="BU118" s="648">
        <f t="shared" si="480"/>
        <v>0</v>
      </c>
      <c r="BV118" s="648">
        <f t="shared" si="480"/>
        <v>0</v>
      </c>
      <c r="BW118" s="648">
        <f t="shared" si="480"/>
        <v>0</v>
      </c>
      <c r="BX118" s="648">
        <f t="shared" si="480"/>
        <v>0</v>
      </c>
      <c r="BY118" s="648">
        <f t="shared" si="480"/>
        <v>0</v>
      </c>
      <c r="BZ118" s="648">
        <f t="shared" si="480"/>
        <v>0</v>
      </c>
      <c r="CA118" s="648">
        <f t="shared" si="480"/>
        <v>0</v>
      </c>
      <c r="CB118" s="648">
        <f t="shared" si="480"/>
        <v>0</v>
      </c>
      <c r="CC118" s="648">
        <f t="shared" si="480"/>
        <v>0</v>
      </c>
      <c r="CD118" s="648">
        <f t="shared" si="480"/>
        <v>0</v>
      </c>
      <c r="CE118" s="648">
        <f t="shared" si="480"/>
        <v>0</v>
      </c>
      <c r="CF118" s="648">
        <f t="shared" si="480"/>
        <v>0</v>
      </c>
      <c r="CG118" s="648">
        <f t="shared" si="480"/>
        <v>0</v>
      </c>
      <c r="CH118" s="648">
        <f t="shared" si="480"/>
        <v>0</v>
      </c>
      <c r="CI118" s="648">
        <f t="shared" si="480"/>
        <v>0</v>
      </c>
      <c r="CJ118" s="648">
        <f t="shared" si="480"/>
        <v>0</v>
      </c>
      <c r="CK118" s="648">
        <f t="shared" si="480"/>
        <v>0</v>
      </c>
      <c r="CL118" s="648">
        <f t="shared" si="480"/>
        <v>0</v>
      </c>
      <c r="CM118" s="648">
        <f t="shared" si="480"/>
        <v>0</v>
      </c>
      <c r="CN118" s="648">
        <f t="shared" si="480"/>
        <v>0</v>
      </c>
      <c r="CO118" s="648">
        <f t="shared" si="480"/>
        <v>0</v>
      </c>
      <c r="CP118" s="648">
        <f t="shared" si="480"/>
        <v>0</v>
      </c>
      <c r="CQ118" s="648">
        <f t="shared" si="480"/>
        <v>0</v>
      </c>
      <c r="CR118" s="648">
        <f t="shared" si="480"/>
        <v>0</v>
      </c>
      <c r="CS118" s="648">
        <f t="shared" si="480"/>
        <v>0</v>
      </c>
      <c r="CT118" s="648">
        <f t="shared" si="480"/>
        <v>0</v>
      </c>
      <c r="CU118" s="648"/>
      <c r="CV118" s="648">
        <f t="shared" ref="CV118:DZ118" si="481">CV20*$EF118</f>
        <v>0</v>
      </c>
      <c r="CW118" s="648">
        <f t="shared" si="481"/>
        <v>0</v>
      </c>
      <c r="CX118" s="648">
        <f t="shared" si="481"/>
        <v>0</v>
      </c>
      <c r="CY118" s="648">
        <f t="shared" si="481"/>
        <v>0</v>
      </c>
      <c r="CZ118" s="648">
        <f t="shared" si="481"/>
        <v>0</v>
      </c>
      <c r="DA118" s="648">
        <f t="shared" si="481"/>
        <v>0</v>
      </c>
      <c r="DB118" s="648">
        <f t="shared" si="481"/>
        <v>0</v>
      </c>
      <c r="DC118" s="648">
        <f t="shared" si="481"/>
        <v>0</v>
      </c>
      <c r="DD118" s="648">
        <f t="shared" si="481"/>
        <v>0</v>
      </c>
      <c r="DE118" s="648">
        <f t="shared" si="481"/>
        <v>0</v>
      </c>
      <c r="DF118" s="648">
        <f t="shared" si="481"/>
        <v>0</v>
      </c>
      <c r="DG118" s="648">
        <f t="shared" si="481"/>
        <v>0</v>
      </c>
      <c r="DH118" s="648">
        <f t="shared" si="481"/>
        <v>0</v>
      </c>
      <c r="DI118" s="648">
        <f t="shared" si="481"/>
        <v>0</v>
      </c>
      <c r="DJ118" s="648">
        <f t="shared" si="481"/>
        <v>0</v>
      </c>
      <c r="DK118" s="648">
        <f t="shared" si="481"/>
        <v>0</v>
      </c>
      <c r="DL118" s="648">
        <f t="shared" si="481"/>
        <v>0</v>
      </c>
      <c r="DM118" s="648">
        <f t="shared" si="481"/>
        <v>0</v>
      </c>
      <c r="DN118" s="648">
        <f t="shared" si="481"/>
        <v>0</v>
      </c>
      <c r="DO118" s="648">
        <f t="shared" si="481"/>
        <v>0</v>
      </c>
      <c r="DP118" s="648">
        <f t="shared" si="481"/>
        <v>0</v>
      </c>
      <c r="DQ118" s="648">
        <f t="shared" si="481"/>
        <v>0</v>
      </c>
      <c r="DR118" s="648">
        <f t="shared" si="481"/>
        <v>0</v>
      </c>
      <c r="DS118" s="648">
        <f t="shared" si="481"/>
        <v>0</v>
      </c>
      <c r="DT118" s="648">
        <f t="shared" si="481"/>
        <v>0</v>
      </c>
      <c r="DU118" s="648">
        <f t="shared" si="481"/>
        <v>0</v>
      </c>
      <c r="DV118" s="648">
        <f t="shared" si="481"/>
        <v>0</v>
      </c>
      <c r="DW118" s="648">
        <f t="shared" si="481"/>
        <v>0</v>
      </c>
      <c r="DX118" s="648">
        <f t="shared" si="481"/>
        <v>0</v>
      </c>
      <c r="DY118" s="648">
        <f t="shared" si="481"/>
        <v>0</v>
      </c>
      <c r="DZ118" s="648">
        <f t="shared" si="481"/>
        <v>0</v>
      </c>
      <c r="EF118" s="610">
        <v>1000</v>
      </c>
      <c r="EG118" s="51"/>
      <c r="EH118" s="51"/>
      <c r="EI118" s="51"/>
      <c r="EJ118" s="51"/>
      <c r="EM118" t="s">
        <v>99</v>
      </c>
    </row>
    <row r="119" spans="1:143" x14ac:dyDescent="0.2">
      <c r="A119" s="1"/>
      <c r="B119" t="str">
        <f t="shared" si="425"/>
        <v>Mecahnical Recycling</v>
      </c>
      <c r="C119" s="54" t="s">
        <v>114</v>
      </c>
      <c r="D119" s="648">
        <f t="shared" ref="D119:AH119" si="482">D21*$EF119</f>
        <v>0</v>
      </c>
      <c r="E119" s="648">
        <f t="shared" si="482"/>
        <v>3114.2956436675922</v>
      </c>
      <c r="F119" s="648">
        <f t="shared" si="482"/>
        <v>5871.3312301298338</v>
      </c>
      <c r="G119" s="648">
        <f t="shared" si="482"/>
        <v>9125.6678985742892</v>
      </c>
      <c r="H119" s="648">
        <f t="shared" si="482"/>
        <v>11899.161149128116</v>
      </c>
      <c r="I119" s="648">
        <f t="shared" si="482"/>
        <v>14682.273428195997</v>
      </c>
      <c r="J119" s="648">
        <f t="shared" si="482"/>
        <v>17883.266388200205</v>
      </c>
      <c r="K119" s="648">
        <f t="shared" si="482"/>
        <v>21558.240689048478</v>
      </c>
      <c r="L119" s="648">
        <f t="shared" si="482"/>
        <v>24729.570025165383</v>
      </c>
      <c r="M119" s="648">
        <f t="shared" si="482"/>
        <v>28867.302158728235</v>
      </c>
      <c r="N119" s="648">
        <f t="shared" si="482"/>
        <v>33483.681529613677</v>
      </c>
      <c r="O119" s="648">
        <f t="shared" si="482"/>
        <v>49285.237917472317</v>
      </c>
      <c r="P119" s="648">
        <f t="shared" si="482"/>
        <v>65678.31388537868</v>
      </c>
      <c r="Q119" s="648">
        <f t="shared" si="482"/>
        <v>81686.465380634181</v>
      </c>
      <c r="R119" s="648">
        <f t="shared" si="482"/>
        <v>98291.570494840445</v>
      </c>
      <c r="S119" s="648">
        <f t="shared" si="482"/>
        <v>114028.37138442804</v>
      </c>
      <c r="T119" s="648">
        <f t="shared" si="482"/>
        <v>147177.17527158096</v>
      </c>
      <c r="U119" s="648">
        <f t="shared" si="482"/>
        <v>178716.5409694339</v>
      </c>
      <c r="V119" s="648">
        <f t="shared" si="482"/>
        <v>209140.61320145725</v>
      </c>
      <c r="W119" s="648">
        <f t="shared" si="482"/>
        <v>237475.63132920716</v>
      </c>
      <c r="X119" s="648">
        <f t="shared" si="482"/>
        <v>265196.00714526512</v>
      </c>
      <c r="Y119" s="648">
        <f t="shared" si="482"/>
        <v>291014.76149613119</v>
      </c>
      <c r="Z119" s="648">
        <f t="shared" si="482"/>
        <v>316089.28387674608</v>
      </c>
      <c r="AA119" s="648">
        <f t="shared" si="482"/>
        <v>340428.03706299106</v>
      </c>
      <c r="AB119" s="648">
        <f t="shared" si="482"/>
        <v>363061.58357284078</v>
      </c>
      <c r="AC119" s="648">
        <f t="shared" si="482"/>
        <v>384979.73024413426</v>
      </c>
      <c r="AD119" s="648">
        <f t="shared" si="482"/>
        <v>387980.82805619511</v>
      </c>
      <c r="AE119" s="648">
        <f t="shared" si="482"/>
        <v>391104.38938123203</v>
      </c>
      <c r="AF119" s="648">
        <f t="shared" si="482"/>
        <v>393876.52565083641</v>
      </c>
      <c r="AG119" s="648">
        <f t="shared" si="482"/>
        <v>397293.88917637261</v>
      </c>
      <c r="AH119" s="648">
        <f t="shared" si="482"/>
        <v>400886.94227843336</v>
      </c>
      <c r="AI119" s="648"/>
      <c r="AJ119" s="648">
        <f t="shared" ref="AJ119:BN119" si="483">AJ21*$EF119</f>
        <v>0</v>
      </c>
      <c r="AK119" s="648">
        <f t="shared" si="483"/>
        <v>3101.2963537773871</v>
      </c>
      <c r="AL119" s="648">
        <f t="shared" si="483"/>
        <v>5844.8906744931555</v>
      </c>
      <c r="AM119" s="648">
        <f t="shared" si="483"/>
        <v>9085.3328309505378</v>
      </c>
      <c r="AN119" s="648">
        <f t="shared" si="483"/>
        <v>11844.466797430308</v>
      </c>
      <c r="AO119" s="648">
        <f t="shared" si="483"/>
        <v>14612.74323360016</v>
      </c>
      <c r="AP119" s="648">
        <f t="shared" si="483"/>
        <v>17798.41173871544</v>
      </c>
      <c r="AQ119" s="648">
        <f t="shared" si="483"/>
        <v>21457.56064743481</v>
      </c>
      <c r="AR119" s="648">
        <f t="shared" si="483"/>
        <v>24612.551051084127</v>
      </c>
      <c r="AS119" s="648">
        <f t="shared" si="483"/>
        <v>28733.417825007517</v>
      </c>
      <c r="AT119" s="648">
        <f t="shared" si="483"/>
        <v>33332.392232509264</v>
      </c>
      <c r="AU119" s="648">
        <f t="shared" si="483"/>
        <v>49115.990580801612</v>
      </c>
      <c r="AV119" s="648">
        <f t="shared" si="483"/>
        <v>65490.541658403286</v>
      </c>
      <c r="AW119" s="648">
        <f t="shared" si="483"/>
        <v>81479.587329564049</v>
      </c>
      <c r="AX119" s="648">
        <f t="shared" si="483"/>
        <v>98064.991287829936</v>
      </c>
      <c r="AY119" s="648">
        <f t="shared" si="483"/>
        <v>113781.48096993196</v>
      </c>
      <c r="AZ119" s="648">
        <f t="shared" si="483"/>
        <v>146909.34854993559</v>
      </c>
      <c r="BA119" s="648">
        <f t="shared" si="483"/>
        <v>178427.137457526</v>
      </c>
      <c r="BB119" s="648">
        <f t="shared" si="483"/>
        <v>208828.97669034041</v>
      </c>
      <c r="BC119" s="648">
        <f t="shared" si="483"/>
        <v>237141.08953452326</v>
      </c>
      <c r="BD119" s="648">
        <f t="shared" si="483"/>
        <v>264837.87135032454</v>
      </c>
      <c r="BE119" s="648">
        <f t="shared" si="483"/>
        <v>290686.95980302204</v>
      </c>
      <c r="BF119" s="648">
        <f t="shared" si="483"/>
        <v>315792.95114617539</v>
      </c>
      <c r="BG119" s="648">
        <f t="shared" si="483"/>
        <v>340164.33797437453</v>
      </c>
      <c r="BH119" s="648">
        <f t="shared" si="483"/>
        <v>362831.71331016388</v>
      </c>
      <c r="BI119" s="648">
        <f t="shared" si="483"/>
        <v>384784.91519651556</v>
      </c>
      <c r="BJ119" s="648">
        <f t="shared" si="483"/>
        <v>387822.32653345255</v>
      </c>
      <c r="BK119" s="648">
        <f t="shared" si="483"/>
        <v>390983.49234476022</v>
      </c>
      <c r="BL119" s="648">
        <f t="shared" si="483"/>
        <v>393794.55746010854</v>
      </c>
      <c r="BM119" s="648">
        <f t="shared" si="483"/>
        <v>397252.20835138747</v>
      </c>
      <c r="BN119" s="648">
        <f t="shared" si="483"/>
        <v>400886.94227843336</v>
      </c>
      <c r="BO119" s="648"/>
      <c r="BP119" s="648">
        <f t="shared" ref="BP119:CT119" si="484">BP21*$EF119</f>
        <v>0</v>
      </c>
      <c r="BQ119" s="648">
        <f t="shared" si="484"/>
        <v>0</v>
      </c>
      <c r="BR119" s="648">
        <f t="shared" si="484"/>
        <v>0</v>
      </c>
      <c r="BS119" s="648">
        <f t="shared" si="484"/>
        <v>0</v>
      </c>
      <c r="BT119" s="648">
        <f t="shared" si="484"/>
        <v>0</v>
      </c>
      <c r="BU119" s="648">
        <f t="shared" si="484"/>
        <v>0</v>
      </c>
      <c r="BV119" s="648">
        <f t="shared" si="484"/>
        <v>0</v>
      </c>
      <c r="BW119" s="648">
        <f t="shared" si="484"/>
        <v>0</v>
      </c>
      <c r="BX119" s="648">
        <f t="shared" si="484"/>
        <v>0</v>
      </c>
      <c r="BY119" s="648">
        <f t="shared" si="484"/>
        <v>0</v>
      </c>
      <c r="BZ119" s="648">
        <f t="shared" si="484"/>
        <v>0</v>
      </c>
      <c r="CA119" s="648">
        <f t="shared" si="484"/>
        <v>0</v>
      </c>
      <c r="CB119" s="648">
        <f t="shared" si="484"/>
        <v>0</v>
      </c>
      <c r="CC119" s="648">
        <f t="shared" si="484"/>
        <v>0</v>
      </c>
      <c r="CD119" s="648">
        <f t="shared" si="484"/>
        <v>0</v>
      </c>
      <c r="CE119" s="648">
        <f t="shared" si="484"/>
        <v>0</v>
      </c>
      <c r="CF119" s="648">
        <f t="shared" si="484"/>
        <v>0</v>
      </c>
      <c r="CG119" s="648">
        <f t="shared" si="484"/>
        <v>0</v>
      </c>
      <c r="CH119" s="648">
        <f t="shared" si="484"/>
        <v>0</v>
      </c>
      <c r="CI119" s="648">
        <f t="shared" si="484"/>
        <v>0</v>
      </c>
      <c r="CJ119" s="648">
        <f t="shared" si="484"/>
        <v>0</v>
      </c>
      <c r="CK119" s="648">
        <f t="shared" si="484"/>
        <v>0</v>
      </c>
      <c r="CL119" s="648">
        <f t="shared" si="484"/>
        <v>0</v>
      </c>
      <c r="CM119" s="648">
        <f t="shared" si="484"/>
        <v>0</v>
      </c>
      <c r="CN119" s="648">
        <f t="shared" si="484"/>
        <v>0</v>
      </c>
      <c r="CO119" s="648">
        <f t="shared" si="484"/>
        <v>0</v>
      </c>
      <c r="CP119" s="648">
        <f t="shared" si="484"/>
        <v>0</v>
      </c>
      <c r="CQ119" s="648">
        <f t="shared" si="484"/>
        <v>0</v>
      </c>
      <c r="CR119" s="648">
        <f t="shared" si="484"/>
        <v>0</v>
      </c>
      <c r="CS119" s="648">
        <f t="shared" si="484"/>
        <v>0</v>
      </c>
      <c r="CT119" s="648">
        <f t="shared" si="484"/>
        <v>0</v>
      </c>
      <c r="CU119" s="648"/>
      <c r="CV119" s="648">
        <f t="shared" ref="CV119:DZ119" si="485">CV21*$EF119</f>
        <v>0</v>
      </c>
      <c r="CW119" s="648">
        <f t="shared" si="485"/>
        <v>0</v>
      </c>
      <c r="CX119" s="648">
        <f t="shared" si="485"/>
        <v>0</v>
      </c>
      <c r="CY119" s="648">
        <f t="shared" si="485"/>
        <v>0</v>
      </c>
      <c r="CZ119" s="648">
        <f t="shared" si="485"/>
        <v>0</v>
      </c>
      <c r="DA119" s="648">
        <f t="shared" si="485"/>
        <v>0</v>
      </c>
      <c r="DB119" s="648">
        <f t="shared" si="485"/>
        <v>0</v>
      </c>
      <c r="DC119" s="648">
        <f t="shared" si="485"/>
        <v>0</v>
      </c>
      <c r="DD119" s="648">
        <f t="shared" si="485"/>
        <v>0</v>
      </c>
      <c r="DE119" s="648">
        <f t="shared" si="485"/>
        <v>0</v>
      </c>
      <c r="DF119" s="648">
        <f t="shared" si="485"/>
        <v>0</v>
      </c>
      <c r="DG119" s="648">
        <f t="shared" si="485"/>
        <v>0</v>
      </c>
      <c r="DH119" s="648">
        <f t="shared" si="485"/>
        <v>0</v>
      </c>
      <c r="DI119" s="648">
        <f t="shared" si="485"/>
        <v>0</v>
      </c>
      <c r="DJ119" s="648">
        <f t="shared" si="485"/>
        <v>0</v>
      </c>
      <c r="DK119" s="648">
        <f t="shared" si="485"/>
        <v>0</v>
      </c>
      <c r="DL119" s="648">
        <f t="shared" si="485"/>
        <v>0</v>
      </c>
      <c r="DM119" s="648">
        <f t="shared" si="485"/>
        <v>0</v>
      </c>
      <c r="DN119" s="648">
        <f t="shared" si="485"/>
        <v>0</v>
      </c>
      <c r="DO119" s="648">
        <f t="shared" si="485"/>
        <v>0</v>
      </c>
      <c r="DP119" s="648">
        <f t="shared" si="485"/>
        <v>0</v>
      </c>
      <c r="DQ119" s="648">
        <f t="shared" si="485"/>
        <v>0</v>
      </c>
      <c r="DR119" s="648">
        <f t="shared" si="485"/>
        <v>0</v>
      </c>
      <c r="DS119" s="648">
        <f t="shared" si="485"/>
        <v>0</v>
      </c>
      <c r="DT119" s="648">
        <f t="shared" si="485"/>
        <v>0</v>
      </c>
      <c r="DU119" s="648">
        <f t="shared" si="485"/>
        <v>0</v>
      </c>
      <c r="DV119" s="648">
        <f t="shared" si="485"/>
        <v>0</v>
      </c>
      <c r="DW119" s="648">
        <f t="shared" si="485"/>
        <v>0</v>
      </c>
      <c r="DX119" s="648">
        <f t="shared" si="485"/>
        <v>0</v>
      </c>
      <c r="DY119" s="648">
        <f t="shared" si="485"/>
        <v>0</v>
      </c>
      <c r="DZ119" s="648">
        <f t="shared" si="485"/>
        <v>0</v>
      </c>
      <c r="EF119" s="157">
        <f>AVERAGE(569,410)</f>
        <v>489.5</v>
      </c>
      <c r="EG119" s="51"/>
      <c r="EH119" s="51"/>
      <c r="EI119" s="51"/>
      <c r="EJ119" s="51"/>
    </row>
    <row r="120" spans="1:143" x14ac:dyDescent="0.2">
      <c r="A120" s="1"/>
      <c r="B120" t="str">
        <f t="shared" si="425"/>
        <v>Chemical Recycling</v>
      </c>
      <c r="C120" s="54" t="s">
        <v>114</v>
      </c>
      <c r="D120" s="648">
        <f t="shared" ref="D120:AH120" si="486">D22*$EF120</f>
        <v>12186.83118694332</v>
      </c>
      <c r="E120" s="648">
        <f t="shared" si="486"/>
        <v>12976.395109933834</v>
      </c>
      <c r="F120" s="648">
        <f t="shared" si="486"/>
        <v>13933.528830042187</v>
      </c>
      <c r="G120" s="648">
        <f t="shared" si="486"/>
        <v>14896.335646887052</v>
      </c>
      <c r="H120" s="648">
        <f t="shared" si="486"/>
        <v>15853.436631277667</v>
      </c>
      <c r="I120" s="648">
        <f t="shared" si="486"/>
        <v>16798.241398713883</v>
      </c>
      <c r="J120" s="648">
        <f t="shared" si="486"/>
        <v>17720.585776120748</v>
      </c>
      <c r="K120" s="648">
        <f t="shared" si="486"/>
        <v>18654.270176771206</v>
      </c>
      <c r="L120" s="648">
        <f t="shared" si="486"/>
        <v>19597.920565558979</v>
      </c>
      <c r="M120" s="648">
        <f t="shared" si="486"/>
        <v>20550.085144872191</v>
      </c>
      <c r="N120" s="648">
        <f t="shared" si="486"/>
        <v>21509.235430606681</v>
      </c>
      <c r="O120" s="648">
        <f t="shared" si="486"/>
        <v>23042.617610447429</v>
      </c>
      <c r="P120" s="648">
        <f t="shared" si="486"/>
        <v>24573.663219278646</v>
      </c>
      <c r="Q120" s="648">
        <f t="shared" si="486"/>
        <v>25985.696687292511</v>
      </c>
      <c r="R120" s="648">
        <f t="shared" si="486"/>
        <v>27323.928589697513</v>
      </c>
      <c r="S120" s="648">
        <f t="shared" si="486"/>
        <v>28578.574964205203</v>
      </c>
      <c r="T120" s="648">
        <f t="shared" si="486"/>
        <v>29813.518415175415</v>
      </c>
      <c r="U120" s="648">
        <f t="shared" si="486"/>
        <v>31010.452537851099</v>
      </c>
      <c r="V120" s="648">
        <f t="shared" si="486"/>
        <v>32167.23983353252</v>
      </c>
      <c r="W120" s="648">
        <f t="shared" si="486"/>
        <v>33281.707623739218</v>
      </c>
      <c r="X120" s="648">
        <f t="shared" si="486"/>
        <v>34351.648549957608</v>
      </c>
      <c r="Y120" s="648">
        <f t="shared" si="486"/>
        <v>36017.782709907369</v>
      </c>
      <c r="Z120" s="648">
        <f t="shared" si="486"/>
        <v>37874.688994926837</v>
      </c>
      <c r="AA120" s="648">
        <f t="shared" si="486"/>
        <v>39625.183107096018</v>
      </c>
      <c r="AB120" s="648">
        <f t="shared" si="486"/>
        <v>41291.459005832905</v>
      </c>
      <c r="AC120" s="648">
        <f t="shared" si="486"/>
        <v>42869.596426181277</v>
      </c>
      <c r="AD120" s="648">
        <f t="shared" si="486"/>
        <v>44330.428111527472</v>
      </c>
      <c r="AE120" s="648">
        <f t="shared" si="486"/>
        <v>45691.244085930397</v>
      </c>
      <c r="AF120" s="648">
        <f t="shared" si="486"/>
        <v>46947.646710828871</v>
      </c>
      <c r="AG120" s="648">
        <f t="shared" si="486"/>
        <v>48095.163102329032</v>
      </c>
      <c r="AH120" s="648">
        <f t="shared" si="486"/>
        <v>49129.245617319917</v>
      </c>
      <c r="AI120" s="648"/>
      <c r="AJ120" s="648">
        <f t="shared" ref="AJ120:BN120" si="487">AJ22*$EF120</f>
        <v>12186.83118694332</v>
      </c>
      <c r="AK120" s="648">
        <f t="shared" si="487"/>
        <v>12976.395109933834</v>
      </c>
      <c r="AL120" s="648">
        <f t="shared" si="487"/>
        <v>13933.528830042187</v>
      </c>
      <c r="AM120" s="648">
        <f t="shared" si="487"/>
        <v>14896.335646887052</v>
      </c>
      <c r="AN120" s="648">
        <f t="shared" si="487"/>
        <v>15853.436631277667</v>
      </c>
      <c r="AO120" s="648">
        <f t="shared" si="487"/>
        <v>16798.241398713883</v>
      </c>
      <c r="AP120" s="648">
        <f t="shared" si="487"/>
        <v>17720.585776120748</v>
      </c>
      <c r="AQ120" s="648">
        <f t="shared" si="487"/>
        <v>18654.270176771206</v>
      </c>
      <c r="AR120" s="648">
        <f t="shared" si="487"/>
        <v>19597.920565558979</v>
      </c>
      <c r="AS120" s="648">
        <f t="shared" si="487"/>
        <v>20550.085144872191</v>
      </c>
      <c r="AT120" s="648">
        <f t="shared" si="487"/>
        <v>21509.235430606681</v>
      </c>
      <c r="AU120" s="648">
        <f t="shared" si="487"/>
        <v>23042.617610447429</v>
      </c>
      <c r="AV120" s="648">
        <f t="shared" si="487"/>
        <v>24573.663219278646</v>
      </c>
      <c r="AW120" s="648">
        <f t="shared" si="487"/>
        <v>25985.696687292511</v>
      </c>
      <c r="AX120" s="648">
        <f t="shared" si="487"/>
        <v>27323.928589697513</v>
      </c>
      <c r="AY120" s="648">
        <f t="shared" si="487"/>
        <v>28578.574964205203</v>
      </c>
      <c r="AZ120" s="648">
        <f t="shared" si="487"/>
        <v>29813.518415175415</v>
      </c>
      <c r="BA120" s="648">
        <f t="shared" si="487"/>
        <v>31010.452537851099</v>
      </c>
      <c r="BB120" s="648">
        <f t="shared" si="487"/>
        <v>32167.23983353252</v>
      </c>
      <c r="BC120" s="648">
        <f t="shared" si="487"/>
        <v>33281.707623739218</v>
      </c>
      <c r="BD120" s="648">
        <f t="shared" si="487"/>
        <v>34351.648549957608</v>
      </c>
      <c r="BE120" s="648">
        <f t="shared" si="487"/>
        <v>36017.782709907369</v>
      </c>
      <c r="BF120" s="648">
        <f t="shared" si="487"/>
        <v>37874.688994926837</v>
      </c>
      <c r="BG120" s="648">
        <f t="shared" si="487"/>
        <v>39625.183107096018</v>
      </c>
      <c r="BH120" s="648">
        <f t="shared" si="487"/>
        <v>41291.459005832905</v>
      </c>
      <c r="BI120" s="648">
        <f t="shared" si="487"/>
        <v>42869.596426181277</v>
      </c>
      <c r="BJ120" s="648">
        <f t="shared" si="487"/>
        <v>44330.428111527472</v>
      </c>
      <c r="BK120" s="648">
        <f t="shared" si="487"/>
        <v>45691.244085930397</v>
      </c>
      <c r="BL120" s="648">
        <f t="shared" si="487"/>
        <v>46947.646710828871</v>
      </c>
      <c r="BM120" s="648">
        <f t="shared" si="487"/>
        <v>48095.163102329032</v>
      </c>
      <c r="BN120" s="648">
        <f t="shared" si="487"/>
        <v>49129.245617319917</v>
      </c>
      <c r="BO120" s="648"/>
      <c r="BP120" s="648">
        <f t="shared" ref="BP120:CT120" si="488">BP22*$EF120</f>
        <v>12186.83118694332</v>
      </c>
      <c r="BQ120" s="648">
        <f t="shared" si="488"/>
        <v>12390.351267765271</v>
      </c>
      <c r="BR120" s="648">
        <f t="shared" si="488"/>
        <v>12597.270133936949</v>
      </c>
      <c r="BS120" s="648">
        <f t="shared" si="488"/>
        <v>12807.644545173696</v>
      </c>
      <c r="BT120" s="648">
        <f t="shared" si="488"/>
        <v>13021.532209078097</v>
      </c>
      <c r="BU120" s="648">
        <f t="shared" si="488"/>
        <v>13238.991796969698</v>
      </c>
      <c r="BV120" s="648">
        <f t="shared" si="488"/>
        <v>13460.082959979094</v>
      </c>
      <c r="BW120" s="648">
        <f t="shared" si="488"/>
        <v>13684.866345410741</v>
      </c>
      <c r="BX120" s="648">
        <f t="shared" si="488"/>
        <v>13913.4036133791</v>
      </c>
      <c r="BY120" s="648">
        <f t="shared" si="488"/>
        <v>14145.75745372253</v>
      </c>
      <c r="BZ120" s="648">
        <f t="shared" si="488"/>
        <v>14381.991603199695</v>
      </c>
      <c r="CA120" s="648">
        <f t="shared" si="488"/>
        <v>14622.170862973133</v>
      </c>
      <c r="CB120" s="648">
        <f t="shared" si="488"/>
        <v>14866.361116384782</v>
      </c>
      <c r="CC120" s="648">
        <f t="shared" si="488"/>
        <v>15114.629347028404</v>
      </c>
      <c r="CD120" s="648">
        <f t="shared" si="488"/>
        <v>15367.043657123782</v>
      </c>
      <c r="CE120" s="648">
        <f t="shared" si="488"/>
        <v>15623.673286197745</v>
      </c>
      <c r="CF120" s="648">
        <f t="shared" si="488"/>
        <v>15884.588630077249</v>
      </c>
      <c r="CG120" s="648">
        <f t="shared" si="488"/>
        <v>16149.861260199536</v>
      </c>
      <c r="CH120" s="648">
        <f t="shared" si="488"/>
        <v>16419.563943244866</v>
      </c>
      <c r="CI120" s="648">
        <f t="shared" si="488"/>
        <v>16693.770661097056</v>
      </c>
      <c r="CJ120" s="648">
        <f t="shared" si="488"/>
        <v>16972.556631137373</v>
      </c>
      <c r="CK120" s="648">
        <f t="shared" si="488"/>
        <v>17255.998326877369</v>
      </c>
      <c r="CL120" s="648">
        <f t="shared" si="488"/>
        <v>17544.173498936216</v>
      </c>
      <c r="CM120" s="648">
        <f t="shared" si="488"/>
        <v>17837.161196368448</v>
      </c>
      <c r="CN120" s="648">
        <f t="shared" si="488"/>
        <v>18135.0417883478</v>
      </c>
      <c r="CO120" s="648">
        <f t="shared" si="488"/>
        <v>18437.896986213211</v>
      </c>
      <c r="CP120" s="648">
        <f t="shared" si="488"/>
        <v>18745.809865882973</v>
      </c>
      <c r="CQ120" s="648">
        <f t="shared" si="488"/>
        <v>19058.864890643214</v>
      </c>
      <c r="CR120" s="648">
        <f t="shared" si="488"/>
        <v>19377.147934316952</v>
      </c>
      <c r="CS120" s="648">
        <f t="shared" si="488"/>
        <v>19700.746304820044</v>
      </c>
      <c r="CT120" s="648">
        <f t="shared" si="488"/>
        <v>20029.748768110541</v>
      </c>
      <c r="CU120" s="648"/>
      <c r="CV120" s="648">
        <f t="shared" ref="CV120:DZ120" si="489">CV22*$EF120</f>
        <v>12186.83118694332</v>
      </c>
      <c r="CW120" s="648">
        <f t="shared" si="489"/>
        <v>12976.395109933834</v>
      </c>
      <c r="CX120" s="648">
        <f t="shared" si="489"/>
        <v>13933.528830042187</v>
      </c>
      <c r="CY120" s="648">
        <f t="shared" si="489"/>
        <v>14896.335646887052</v>
      </c>
      <c r="CZ120" s="648">
        <f t="shared" si="489"/>
        <v>15853.436631277667</v>
      </c>
      <c r="DA120" s="648">
        <f t="shared" si="489"/>
        <v>16798.241398713883</v>
      </c>
      <c r="DB120" s="648">
        <f t="shared" si="489"/>
        <v>17720.585776120748</v>
      </c>
      <c r="DC120" s="648">
        <f t="shared" si="489"/>
        <v>18654.270176771206</v>
      </c>
      <c r="DD120" s="648">
        <f t="shared" si="489"/>
        <v>19597.920565558979</v>
      </c>
      <c r="DE120" s="648">
        <f t="shared" si="489"/>
        <v>20550.085144872191</v>
      </c>
      <c r="DF120" s="648">
        <f t="shared" si="489"/>
        <v>21509.235430606681</v>
      </c>
      <c r="DG120" s="648">
        <f t="shared" si="489"/>
        <v>23042.617610447429</v>
      </c>
      <c r="DH120" s="648">
        <f t="shared" si="489"/>
        <v>24573.663219278646</v>
      </c>
      <c r="DI120" s="648">
        <f t="shared" si="489"/>
        <v>25985.696687292511</v>
      </c>
      <c r="DJ120" s="648">
        <f t="shared" si="489"/>
        <v>27323.928589697513</v>
      </c>
      <c r="DK120" s="648">
        <f t="shared" si="489"/>
        <v>28578.574964205203</v>
      </c>
      <c r="DL120" s="648">
        <f t="shared" si="489"/>
        <v>29813.518415175415</v>
      </c>
      <c r="DM120" s="648">
        <f t="shared" si="489"/>
        <v>31010.452537851099</v>
      </c>
      <c r="DN120" s="648">
        <f t="shared" si="489"/>
        <v>32167.23983353252</v>
      </c>
      <c r="DO120" s="648">
        <f t="shared" si="489"/>
        <v>33281.707623739218</v>
      </c>
      <c r="DP120" s="648">
        <f t="shared" si="489"/>
        <v>34351.648549957608</v>
      </c>
      <c r="DQ120" s="648">
        <f t="shared" si="489"/>
        <v>36017.782709907369</v>
      </c>
      <c r="DR120" s="648">
        <f t="shared" si="489"/>
        <v>37874.688994926837</v>
      </c>
      <c r="DS120" s="648">
        <f t="shared" si="489"/>
        <v>39625.183107096018</v>
      </c>
      <c r="DT120" s="648">
        <f t="shared" si="489"/>
        <v>41291.459005832905</v>
      </c>
      <c r="DU120" s="648">
        <f t="shared" si="489"/>
        <v>42869.596426181277</v>
      </c>
      <c r="DV120" s="648">
        <f t="shared" si="489"/>
        <v>44330.428111527472</v>
      </c>
      <c r="DW120" s="648">
        <f t="shared" si="489"/>
        <v>45691.244085930397</v>
      </c>
      <c r="DX120" s="648">
        <f t="shared" si="489"/>
        <v>46947.646710828871</v>
      </c>
      <c r="DY120" s="648">
        <f t="shared" si="489"/>
        <v>48095.163102329032</v>
      </c>
      <c r="DZ120" s="648">
        <f t="shared" si="489"/>
        <v>49129.245617319917</v>
      </c>
      <c r="EF120" s="157">
        <f>402</f>
        <v>402</v>
      </c>
      <c r="EG120" s="51"/>
      <c r="EH120" s="51"/>
      <c r="EI120" s="51"/>
      <c r="EJ120" s="51"/>
    </row>
    <row r="121" spans="1:143" x14ac:dyDescent="0.2">
      <c r="A121" s="1"/>
      <c r="B121" t="str">
        <f t="shared" si="425"/>
        <v>Waste management (collection + MRF)</v>
      </c>
      <c r="C121" s="54" t="s">
        <v>114</v>
      </c>
      <c r="D121" s="648">
        <f t="shared" ref="D121:AH121" si="490">D23*$EF121</f>
        <v>4.3782049425990698E-2</v>
      </c>
      <c r="E121" s="648">
        <f t="shared" si="490"/>
        <v>9.5934788095668883E-2</v>
      </c>
      <c r="F121" s="648">
        <f t="shared" si="490"/>
        <v>0.20201068130662161</v>
      </c>
      <c r="G121" s="648">
        <f t="shared" si="490"/>
        <v>0.42258494396735552</v>
      </c>
      <c r="H121" s="648">
        <f t="shared" si="490"/>
        <v>0.87737579205342109</v>
      </c>
      <c r="I121" s="648">
        <f t="shared" si="490"/>
        <v>1.8055980992422664</v>
      </c>
      <c r="J121" s="648">
        <f t="shared" si="490"/>
        <v>3.661443432326005</v>
      </c>
      <c r="K121" s="648">
        <f t="shared" si="490"/>
        <v>7.3426198403601539</v>
      </c>
      <c r="L121" s="648">
        <f t="shared" si="490"/>
        <v>14.513048352907479</v>
      </c>
      <c r="M121" s="648">
        <f t="shared" si="490"/>
        <v>28.149225574577034</v>
      </c>
      <c r="N121" s="648">
        <f t="shared" si="490"/>
        <v>52.464121980370471</v>
      </c>
      <c r="O121" s="648">
        <f t="shared" si="490"/>
        <v>93.658320752692774</v>
      </c>
      <c r="P121" s="648">
        <f t="shared" si="490"/>
        <v>158.40730227877646</v>
      </c>
      <c r="Q121" s="648">
        <f t="shared" si="490"/>
        <v>255.3162164476102</v>
      </c>
      <c r="R121" s="648">
        <f t="shared" si="490"/>
        <v>389.97150313989874</v>
      </c>
      <c r="S121" s="648">
        <f t="shared" si="490"/>
        <v>562.02357222272826</v>
      </c>
      <c r="T121" s="648">
        <f t="shared" si="490"/>
        <v>767.12600537873072</v>
      </c>
      <c r="U121" s="648">
        <f t="shared" si="490"/>
        <v>1005.5570076670708</v>
      </c>
      <c r="V121" s="648">
        <f t="shared" si="490"/>
        <v>1249.3977525602986</v>
      </c>
      <c r="W121" s="648">
        <f t="shared" si="490"/>
        <v>1481.8255153389687</v>
      </c>
      <c r="X121" s="648">
        <f t="shared" si="490"/>
        <v>1645.8590437911118</v>
      </c>
      <c r="Y121" s="648">
        <f t="shared" si="490"/>
        <v>1834.0575042536486</v>
      </c>
      <c r="Z121" s="648">
        <f t="shared" si="490"/>
        <v>1951.9868301808619</v>
      </c>
      <c r="AA121" s="648">
        <f t="shared" si="490"/>
        <v>2039.8720409128257</v>
      </c>
      <c r="AB121" s="648">
        <f t="shared" si="490"/>
        <v>2130.5342852930735</v>
      </c>
      <c r="AC121" s="648">
        <f t="shared" si="490"/>
        <v>2220.4309983416847</v>
      </c>
      <c r="AD121" s="648">
        <f t="shared" si="490"/>
        <v>2310.8441549853096</v>
      </c>
      <c r="AE121" s="648">
        <f t="shared" si="490"/>
        <v>2414.6899893422933</v>
      </c>
      <c r="AF121" s="648">
        <f t="shared" si="490"/>
        <v>2541.2742025909215</v>
      </c>
      <c r="AG121" s="648">
        <f t="shared" si="490"/>
        <v>2693.8049060820936</v>
      </c>
      <c r="AH121" s="648">
        <f t="shared" si="490"/>
        <v>2833.2926047953715</v>
      </c>
      <c r="AI121" s="648"/>
      <c r="AJ121" s="648">
        <f t="shared" ref="AJ121:BN121" si="491">AJ23*$EF121</f>
        <v>2.4191650680137004E-2</v>
      </c>
      <c r="AK121" s="648">
        <f t="shared" si="491"/>
        <v>5.3422645822348486E-2</v>
      </c>
      <c r="AL121" s="648">
        <f t="shared" si="491"/>
        <v>0.11277728694881198</v>
      </c>
      <c r="AM121" s="648">
        <f t="shared" si="491"/>
        <v>0.23652157523281989</v>
      </c>
      <c r="AN121" s="648">
        <f t="shared" si="491"/>
        <v>0.4923703563968565</v>
      </c>
      <c r="AO121" s="648">
        <f t="shared" si="491"/>
        <v>1.016048037580545</v>
      </c>
      <c r="AP121" s="648">
        <f t="shared" si="491"/>
        <v>2.0749866603002363</v>
      </c>
      <c r="AQ121" s="648">
        <f t="shared" si="491"/>
        <v>4.1916127981350364</v>
      </c>
      <c r="AR121" s="648">
        <f t="shared" si="491"/>
        <v>8.3473728424296976</v>
      </c>
      <c r="AS121" s="648">
        <f t="shared" si="491"/>
        <v>16.315845760052522</v>
      </c>
      <c r="AT121" s="648">
        <f t="shared" si="491"/>
        <v>30.196315761293381</v>
      </c>
      <c r="AU121" s="648">
        <f t="shared" si="491"/>
        <v>55.432610664288504</v>
      </c>
      <c r="AV121" s="648">
        <f t="shared" si="491"/>
        <v>95.053041350308845</v>
      </c>
      <c r="AW121" s="648">
        <f t="shared" si="491"/>
        <v>155.63129695273062</v>
      </c>
      <c r="AX121" s="648">
        <f t="shared" si="491"/>
        <v>241.79651826569665</v>
      </c>
      <c r="AY121" s="648">
        <f t="shared" si="491"/>
        <v>354.93567290983106</v>
      </c>
      <c r="AZ121" s="648">
        <f t="shared" si="491"/>
        <v>492.08766398971892</v>
      </c>
      <c r="BA121" s="648">
        <f t="shared" si="491"/>
        <v>645.59573195650103</v>
      </c>
      <c r="BB121" s="648">
        <f t="shared" si="491"/>
        <v>805.40849180383418</v>
      </c>
      <c r="BC121" s="648">
        <f t="shared" si="491"/>
        <v>962.13273605061499</v>
      </c>
      <c r="BD121" s="648">
        <f t="shared" si="491"/>
        <v>1061.0535115945038</v>
      </c>
      <c r="BE121" s="648">
        <f t="shared" si="491"/>
        <v>1193.7050481709955</v>
      </c>
      <c r="BF121" s="648">
        <f t="shared" si="491"/>
        <v>1258.7878066938511</v>
      </c>
      <c r="BG121" s="648">
        <f t="shared" si="491"/>
        <v>1323.5324559682645</v>
      </c>
      <c r="BH121" s="648">
        <f t="shared" si="491"/>
        <v>1393.7362850022039</v>
      </c>
      <c r="BI121" s="648">
        <f t="shared" si="491"/>
        <v>1461.8826776691774</v>
      </c>
      <c r="BJ121" s="648">
        <f t="shared" si="491"/>
        <v>1536.5375557420116</v>
      </c>
      <c r="BK121" s="648">
        <f t="shared" si="491"/>
        <v>1626.7258484231033</v>
      </c>
      <c r="BL121" s="648">
        <f t="shared" si="491"/>
        <v>1740.6247373002541</v>
      </c>
      <c r="BM121" s="648">
        <f t="shared" si="491"/>
        <v>1886.3809895364798</v>
      </c>
      <c r="BN121" s="648">
        <f t="shared" si="491"/>
        <v>1927.7574107938888</v>
      </c>
      <c r="BO121" s="648"/>
      <c r="BP121" s="648">
        <f t="shared" ref="BP121:CT121" si="492">BP23*$EF121</f>
        <v>0</v>
      </c>
      <c r="BQ121" s="648">
        <f t="shared" si="492"/>
        <v>0</v>
      </c>
      <c r="BR121" s="648">
        <f t="shared" si="492"/>
        <v>0</v>
      </c>
      <c r="BS121" s="648">
        <f t="shared" si="492"/>
        <v>0</v>
      </c>
      <c r="BT121" s="648">
        <f t="shared" si="492"/>
        <v>0</v>
      </c>
      <c r="BU121" s="648">
        <f t="shared" si="492"/>
        <v>0</v>
      </c>
      <c r="BV121" s="648">
        <f t="shared" si="492"/>
        <v>0</v>
      </c>
      <c r="BW121" s="648">
        <f t="shared" si="492"/>
        <v>0</v>
      </c>
      <c r="BX121" s="648">
        <f t="shared" si="492"/>
        <v>0</v>
      </c>
      <c r="BY121" s="648">
        <f t="shared" si="492"/>
        <v>0</v>
      </c>
      <c r="BZ121" s="648">
        <f t="shared" si="492"/>
        <v>0</v>
      </c>
      <c r="CA121" s="648">
        <f t="shared" si="492"/>
        <v>0</v>
      </c>
      <c r="CB121" s="648">
        <f t="shared" si="492"/>
        <v>0</v>
      </c>
      <c r="CC121" s="648">
        <f t="shared" si="492"/>
        <v>0</v>
      </c>
      <c r="CD121" s="648">
        <f t="shared" si="492"/>
        <v>0</v>
      </c>
      <c r="CE121" s="648">
        <f t="shared" si="492"/>
        <v>0</v>
      </c>
      <c r="CF121" s="648">
        <f t="shared" si="492"/>
        <v>0</v>
      </c>
      <c r="CG121" s="648">
        <f t="shared" si="492"/>
        <v>0</v>
      </c>
      <c r="CH121" s="648">
        <f t="shared" si="492"/>
        <v>0</v>
      </c>
      <c r="CI121" s="648">
        <f t="shared" si="492"/>
        <v>0</v>
      </c>
      <c r="CJ121" s="648">
        <f t="shared" si="492"/>
        <v>0</v>
      </c>
      <c r="CK121" s="648">
        <f t="shared" si="492"/>
        <v>0</v>
      </c>
      <c r="CL121" s="648">
        <f t="shared" si="492"/>
        <v>0</v>
      </c>
      <c r="CM121" s="648">
        <f t="shared" si="492"/>
        <v>0</v>
      </c>
      <c r="CN121" s="648">
        <f t="shared" si="492"/>
        <v>0</v>
      </c>
      <c r="CO121" s="648">
        <f t="shared" si="492"/>
        <v>0</v>
      </c>
      <c r="CP121" s="648">
        <f t="shared" si="492"/>
        <v>0</v>
      </c>
      <c r="CQ121" s="648">
        <f t="shared" si="492"/>
        <v>0</v>
      </c>
      <c r="CR121" s="648">
        <f t="shared" si="492"/>
        <v>0</v>
      </c>
      <c r="CS121" s="648">
        <f t="shared" si="492"/>
        <v>0</v>
      </c>
      <c r="CT121" s="648">
        <f t="shared" si="492"/>
        <v>0</v>
      </c>
      <c r="CU121" s="648"/>
      <c r="CV121" s="648">
        <f t="shared" ref="CV121:DZ121" si="493">CV23*$EF121</f>
        <v>2.4191650680137004E-2</v>
      </c>
      <c r="CW121" s="648">
        <f t="shared" si="493"/>
        <v>5.3422645822348486E-2</v>
      </c>
      <c r="CX121" s="648">
        <f t="shared" si="493"/>
        <v>0.11277728694881198</v>
      </c>
      <c r="CY121" s="648">
        <f t="shared" si="493"/>
        <v>0.23652157523281989</v>
      </c>
      <c r="CZ121" s="648">
        <f t="shared" si="493"/>
        <v>0.4923703563968565</v>
      </c>
      <c r="DA121" s="648">
        <f t="shared" si="493"/>
        <v>1.016048037580545</v>
      </c>
      <c r="DB121" s="648">
        <f t="shared" si="493"/>
        <v>2.0749866603002363</v>
      </c>
      <c r="DC121" s="648">
        <f t="shared" si="493"/>
        <v>4.1916127981350364</v>
      </c>
      <c r="DD121" s="648">
        <f t="shared" si="493"/>
        <v>8.3473728424296976</v>
      </c>
      <c r="DE121" s="648">
        <f t="shared" si="493"/>
        <v>16.315845760052522</v>
      </c>
      <c r="DF121" s="648">
        <f t="shared" si="493"/>
        <v>30.196315761293381</v>
      </c>
      <c r="DG121" s="648">
        <f t="shared" si="493"/>
        <v>55.432610664288504</v>
      </c>
      <c r="DH121" s="648">
        <f t="shared" si="493"/>
        <v>95.053041350308845</v>
      </c>
      <c r="DI121" s="648">
        <f t="shared" si="493"/>
        <v>155.63129695273062</v>
      </c>
      <c r="DJ121" s="648">
        <f t="shared" si="493"/>
        <v>241.79651826569665</v>
      </c>
      <c r="DK121" s="648">
        <f t="shared" si="493"/>
        <v>354.93567290983106</v>
      </c>
      <c r="DL121" s="648">
        <f t="shared" si="493"/>
        <v>492.08766398971892</v>
      </c>
      <c r="DM121" s="648">
        <f t="shared" si="493"/>
        <v>645.59573195650103</v>
      </c>
      <c r="DN121" s="648">
        <f t="shared" si="493"/>
        <v>805.40849180383418</v>
      </c>
      <c r="DO121" s="648">
        <f t="shared" si="493"/>
        <v>962.13273605061499</v>
      </c>
      <c r="DP121" s="648">
        <f t="shared" si="493"/>
        <v>1061.0535115945038</v>
      </c>
      <c r="DQ121" s="648">
        <f t="shared" si="493"/>
        <v>1193.7050481709955</v>
      </c>
      <c r="DR121" s="648">
        <f t="shared" si="493"/>
        <v>1258.7878066938511</v>
      </c>
      <c r="DS121" s="648">
        <f t="shared" si="493"/>
        <v>1323.5324559682645</v>
      </c>
      <c r="DT121" s="648">
        <f t="shared" si="493"/>
        <v>1393.7362850022039</v>
      </c>
      <c r="DU121" s="648">
        <f t="shared" si="493"/>
        <v>1461.8826776691774</v>
      </c>
      <c r="DV121" s="648">
        <f t="shared" si="493"/>
        <v>1536.5375557420116</v>
      </c>
      <c r="DW121" s="648">
        <f t="shared" si="493"/>
        <v>1626.7258484231033</v>
      </c>
      <c r="DX121" s="648">
        <f t="shared" si="493"/>
        <v>1740.6247373002541</v>
      </c>
      <c r="DY121" s="648">
        <f t="shared" si="493"/>
        <v>1886.3809895364798</v>
      </c>
      <c r="DZ121" s="648">
        <f t="shared" si="493"/>
        <v>1927.7574107938888</v>
      </c>
      <c r="EF121" s="157">
        <f>149+156</f>
        <v>305</v>
      </c>
      <c r="EG121" s="51"/>
      <c r="EH121" s="51"/>
      <c r="EI121" s="51"/>
      <c r="EJ121" s="51"/>
    </row>
    <row r="122" spans="1:143" x14ac:dyDescent="0.2">
      <c r="A122" s="1"/>
      <c r="B122" t="str">
        <f t="shared" si="425"/>
        <v>Incineration</v>
      </c>
      <c r="C122" s="54" t="s">
        <v>114</v>
      </c>
      <c r="D122" s="648">
        <f t="shared" ref="D122:AH122" si="494">D24*$EF122</f>
        <v>15713.095537842855</v>
      </c>
      <c r="E122" s="648">
        <f t="shared" si="494"/>
        <v>16218.026872090762</v>
      </c>
      <c r="F122" s="648">
        <f t="shared" si="494"/>
        <v>16693.27951852146</v>
      </c>
      <c r="G122" s="648">
        <f t="shared" si="494"/>
        <v>17140.027315369513</v>
      </c>
      <c r="H122" s="648">
        <f t="shared" si="494"/>
        <v>17551.187952149674</v>
      </c>
      <c r="I122" s="648">
        <f t="shared" si="494"/>
        <v>17923.708920210633</v>
      </c>
      <c r="J122" s="648">
        <f t="shared" si="494"/>
        <v>18214.721982174717</v>
      </c>
      <c r="K122" s="648">
        <f t="shared" si="494"/>
        <v>18499.047773738461</v>
      </c>
      <c r="L122" s="648">
        <f t="shared" si="494"/>
        <v>18776.248313053518</v>
      </c>
      <c r="M122" s="648">
        <f t="shared" si="494"/>
        <v>19045.945445562953</v>
      </c>
      <c r="N122" s="648">
        <f t="shared" si="494"/>
        <v>19307.814715133798</v>
      </c>
      <c r="O122" s="648">
        <f t="shared" si="494"/>
        <v>19450.319816322826</v>
      </c>
      <c r="P122" s="648">
        <f t="shared" si="494"/>
        <v>19576.847447359381</v>
      </c>
      <c r="Q122" s="648">
        <f t="shared" si="494"/>
        <v>19625.813110484582</v>
      </c>
      <c r="R122" s="648">
        <f t="shared" si="494"/>
        <v>19630.733758231519</v>
      </c>
      <c r="S122" s="648">
        <f t="shared" si="494"/>
        <v>19591.238494132383</v>
      </c>
      <c r="T122" s="648">
        <f t="shared" si="494"/>
        <v>19558.636739829413</v>
      </c>
      <c r="U122" s="648">
        <f t="shared" si="494"/>
        <v>19516.819988681647</v>
      </c>
      <c r="V122" s="648">
        <f t="shared" si="494"/>
        <v>19464.413972767081</v>
      </c>
      <c r="W122" s="648">
        <f t="shared" si="494"/>
        <v>19400.575641965766</v>
      </c>
      <c r="X122" s="648">
        <f t="shared" si="494"/>
        <v>19322.861138050579</v>
      </c>
      <c r="Y122" s="648">
        <f t="shared" si="494"/>
        <v>19150.655670880864</v>
      </c>
      <c r="Z122" s="648">
        <f t="shared" si="494"/>
        <v>19070.071200010625</v>
      </c>
      <c r="AA122" s="648">
        <f t="shared" si="494"/>
        <v>18962.717895532711</v>
      </c>
      <c r="AB122" s="648">
        <f t="shared" si="494"/>
        <v>18842.167730348941</v>
      </c>
      <c r="AC122" s="648">
        <f t="shared" si="494"/>
        <v>18708.166737304378</v>
      </c>
      <c r="AD122" s="648">
        <f t="shared" si="494"/>
        <v>18549.695690441953</v>
      </c>
      <c r="AE122" s="648">
        <f t="shared" si="494"/>
        <v>18377.89364409275</v>
      </c>
      <c r="AF122" s="648">
        <f t="shared" si="494"/>
        <v>18192.973584983432</v>
      </c>
      <c r="AG122" s="648">
        <f t="shared" si="494"/>
        <v>17994.917082551678</v>
      </c>
      <c r="AH122" s="648">
        <f t="shared" si="494"/>
        <v>17782.224761367277</v>
      </c>
      <c r="AI122" s="648"/>
      <c r="AJ122" s="648">
        <f t="shared" ref="AJ122:BN122" si="495">AJ24*$EF122</f>
        <v>15713.094505974803</v>
      </c>
      <c r="AK122" s="648">
        <f t="shared" si="495"/>
        <v>16236.742991966719</v>
      </c>
      <c r="AL122" s="648">
        <f t="shared" si="495"/>
        <v>16733.366763998452</v>
      </c>
      <c r="AM122" s="648">
        <f t="shared" si="495"/>
        <v>17202.080464793231</v>
      </c>
      <c r="AN122" s="648">
        <f t="shared" si="495"/>
        <v>17636.343220942981</v>
      </c>
      <c r="AO122" s="648">
        <f t="shared" si="495"/>
        <v>18032.969917931034</v>
      </c>
      <c r="AP122" s="648">
        <f t="shared" si="495"/>
        <v>18388.181554273931</v>
      </c>
      <c r="AQ122" s="648">
        <f t="shared" si="495"/>
        <v>18739.837249131164</v>
      </c>
      <c r="AR122" s="648">
        <f t="shared" si="495"/>
        <v>19087.495320722697</v>
      </c>
      <c r="AS122" s="648">
        <f t="shared" si="495"/>
        <v>19430.745607665256</v>
      </c>
      <c r="AT122" s="648">
        <f t="shared" si="495"/>
        <v>19769.18635647904</v>
      </c>
      <c r="AU122" s="648">
        <f t="shared" si="495"/>
        <v>20017.058775830697</v>
      </c>
      <c r="AV122" s="648">
        <f t="shared" si="495"/>
        <v>20248.483956244159</v>
      </c>
      <c r="AW122" s="648">
        <f t="shared" si="495"/>
        <v>20410.694440794174</v>
      </c>
      <c r="AX122" s="648">
        <f t="shared" si="495"/>
        <v>20530.618179912453</v>
      </c>
      <c r="AY122" s="648">
        <f t="shared" si="495"/>
        <v>20607.391652355695</v>
      </c>
      <c r="AZ122" s="648">
        <f t="shared" si="495"/>
        <v>20685.937413942407</v>
      </c>
      <c r="BA122" s="648">
        <f t="shared" si="495"/>
        <v>20757.530977952967</v>
      </c>
      <c r="BB122" s="648">
        <f t="shared" si="495"/>
        <v>20821.601114475092</v>
      </c>
      <c r="BC122" s="648">
        <f t="shared" si="495"/>
        <v>20877.63122920462</v>
      </c>
      <c r="BD122" s="648">
        <f t="shared" si="495"/>
        <v>20923.273940748277</v>
      </c>
      <c r="BE122" s="648">
        <f t="shared" si="495"/>
        <v>20892.379218115955</v>
      </c>
      <c r="BF122" s="648">
        <f t="shared" si="495"/>
        <v>20943.323527124201</v>
      </c>
      <c r="BG122" s="648">
        <f t="shared" si="495"/>
        <v>20979.545176326475</v>
      </c>
      <c r="BH122" s="648">
        <f t="shared" si="495"/>
        <v>21006.014887865007</v>
      </c>
      <c r="BI122" s="648">
        <f t="shared" si="495"/>
        <v>21022.341014535337</v>
      </c>
      <c r="BJ122" s="648">
        <f t="shared" si="495"/>
        <v>21023.024543039264</v>
      </c>
      <c r="BK122" s="648">
        <f t="shared" si="495"/>
        <v>21014.00231067443</v>
      </c>
      <c r="BL122" s="648">
        <f t="shared" si="495"/>
        <v>20995.462996910261</v>
      </c>
      <c r="BM122" s="648">
        <f t="shared" si="495"/>
        <v>20967.582007410183</v>
      </c>
      <c r="BN122" s="648">
        <f t="shared" si="495"/>
        <v>20925.45286834889</v>
      </c>
      <c r="BO122" s="648"/>
      <c r="BP122" s="648">
        <f t="shared" ref="BP122:CT122" si="496">BP24*$EF122</f>
        <v>15713.093231749008</v>
      </c>
      <c r="BQ122" s="648">
        <f t="shared" si="496"/>
        <v>16163.215013620913</v>
      </c>
      <c r="BR122" s="648">
        <f t="shared" si="496"/>
        <v>16583.654345163555</v>
      </c>
      <c r="BS122" s="648">
        <f t="shared" si="496"/>
        <v>16971.503159276581</v>
      </c>
      <c r="BT122" s="648">
        <f t="shared" si="496"/>
        <v>17324.047961464152</v>
      </c>
      <c r="BU122" s="648">
        <f t="shared" si="496"/>
        <v>17638.803034108794</v>
      </c>
      <c r="BV122" s="648">
        <f t="shared" si="496"/>
        <v>17950.931063127533</v>
      </c>
      <c r="BW122" s="648">
        <f t="shared" si="496"/>
        <v>18260.089076691002</v>
      </c>
      <c r="BX122" s="648">
        <f t="shared" si="496"/>
        <v>18565.932423723665</v>
      </c>
      <c r="BY122" s="648">
        <f t="shared" si="496"/>
        <v>18868.11544283012</v>
      </c>
      <c r="BZ122" s="648">
        <f t="shared" si="496"/>
        <v>19166.292148069733</v>
      </c>
      <c r="CA122" s="648">
        <f t="shared" si="496"/>
        <v>19433.238281048245</v>
      </c>
      <c r="CB122" s="648">
        <f t="shared" si="496"/>
        <v>19667.506060059943</v>
      </c>
      <c r="CC122" s="648">
        <f t="shared" si="496"/>
        <v>19867.818320038863</v>
      </c>
      <c r="CD122" s="648">
        <f t="shared" si="496"/>
        <v>20033.081226249942</v>
      </c>
      <c r="CE122" s="648">
        <f t="shared" si="496"/>
        <v>20162.395410055949</v>
      </c>
      <c r="CF122" s="648">
        <f t="shared" si="496"/>
        <v>20290.158682590754</v>
      </c>
      <c r="CG122" s="648">
        <f t="shared" si="496"/>
        <v>20416.334606792807</v>
      </c>
      <c r="CH122" s="648">
        <f t="shared" si="496"/>
        <v>20540.887372664227</v>
      </c>
      <c r="CI122" s="648">
        <f t="shared" si="496"/>
        <v>20663.78183038146</v>
      </c>
      <c r="CJ122" s="648">
        <f t="shared" si="496"/>
        <v>20784.983523510797</v>
      </c>
      <c r="CK122" s="648">
        <f t="shared" si="496"/>
        <v>20904.679146138798</v>
      </c>
      <c r="CL122" s="648">
        <f t="shared" si="496"/>
        <v>21022.839144510857</v>
      </c>
      <c r="CM122" s="648">
        <f t="shared" si="496"/>
        <v>21139.434615260197</v>
      </c>
      <c r="CN122" s="648">
        <f t="shared" si="496"/>
        <v>21254.437333805356</v>
      </c>
      <c r="CO122" s="648">
        <f t="shared" si="496"/>
        <v>21367.819782822971</v>
      </c>
      <c r="CP122" s="648">
        <f t="shared" si="496"/>
        <v>21479.748595489735</v>
      </c>
      <c r="CQ122" s="648">
        <f t="shared" si="496"/>
        <v>21590.200352737371</v>
      </c>
      <c r="CR122" s="648">
        <f t="shared" si="496"/>
        <v>21699.152305328935</v>
      </c>
      <c r="CS122" s="648">
        <f t="shared" si="496"/>
        <v>21806.582398704693</v>
      </c>
      <c r="CT122" s="648">
        <f t="shared" si="496"/>
        <v>21912.469297890366</v>
      </c>
      <c r="CU122" s="648"/>
      <c r="CV122" s="648">
        <f t="shared" ref="CV122:DZ122" si="497">CV24*$EF122</f>
        <v>15713.094505974803</v>
      </c>
      <c r="CW122" s="648">
        <f t="shared" si="497"/>
        <v>16309.135954708465</v>
      </c>
      <c r="CX122" s="648">
        <f t="shared" si="497"/>
        <v>16889.308677501933</v>
      </c>
      <c r="CY122" s="648">
        <f t="shared" si="497"/>
        <v>17443.480308931747</v>
      </c>
      <c r="CZ122" s="648">
        <f t="shared" si="497"/>
        <v>17967.639988256331</v>
      </c>
      <c r="DA122" s="648">
        <f t="shared" si="497"/>
        <v>18458.106142200846</v>
      </c>
      <c r="DB122" s="648">
        <f t="shared" si="497"/>
        <v>18950.620883929292</v>
      </c>
      <c r="DC122" s="648">
        <f t="shared" si="497"/>
        <v>19446.129899783846</v>
      </c>
      <c r="DD122" s="648">
        <f t="shared" si="497"/>
        <v>19944.244317796409</v>
      </c>
      <c r="DE122" s="648">
        <f t="shared" si="497"/>
        <v>20444.595866862688</v>
      </c>
      <c r="DF122" s="648">
        <f t="shared" si="497"/>
        <v>20946.813292053699</v>
      </c>
      <c r="DG122" s="648">
        <f t="shared" si="497"/>
        <v>21441.056136592779</v>
      </c>
      <c r="DH122" s="648">
        <f t="shared" si="497"/>
        <v>21904.285171364936</v>
      </c>
      <c r="DI122" s="648">
        <f t="shared" si="497"/>
        <v>22330.479354820014</v>
      </c>
      <c r="DJ122" s="648">
        <f t="shared" si="497"/>
        <v>22719.324465163267</v>
      </c>
      <c r="DK122" s="648">
        <f t="shared" si="497"/>
        <v>23068.599808156843</v>
      </c>
      <c r="DL122" s="648">
        <f t="shared" si="497"/>
        <v>23418.825392022834</v>
      </c>
      <c r="DM122" s="648">
        <f t="shared" si="497"/>
        <v>23769.012915338495</v>
      </c>
      <c r="DN122" s="648">
        <f t="shared" si="497"/>
        <v>24118.6391375319</v>
      </c>
      <c r="DO122" s="648">
        <f t="shared" si="497"/>
        <v>24467.23299392543</v>
      </c>
      <c r="DP122" s="648">
        <f t="shared" si="497"/>
        <v>24812.490100694013</v>
      </c>
      <c r="DQ122" s="648">
        <f t="shared" si="497"/>
        <v>25178.105218102115</v>
      </c>
      <c r="DR122" s="648">
        <f t="shared" si="497"/>
        <v>25546.904655588958</v>
      </c>
      <c r="DS122" s="648">
        <f t="shared" si="497"/>
        <v>25912.499068787834</v>
      </c>
      <c r="DT122" s="648">
        <f t="shared" si="497"/>
        <v>26275.855082704678</v>
      </c>
      <c r="DU122" s="648">
        <f t="shared" si="497"/>
        <v>26636.624926496988</v>
      </c>
      <c r="DV122" s="648">
        <f t="shared" si="497"/>
        <v>26994.611843691328</v>
      </c>
      <c r="DW122" s="648">
        <f t="shared" si="497"/>
        <v>27350.733204365402</v>
      </c>
      <c r="DX122" s="648">
        <f t="shared" si="497"/>
        <v>27705.225625123767</v>
      </c>
      <c r="DY122" s="648">
        <f t="shared" si="497"/>
        <v>28058.310172114128</v>
      </c>
      <c r="DZ122" s="648">
        <f t="shared" si="497"/>
        <v>28405.123694922659</v>
      </c>
      <c r="EF122" s="157">
        <v>63</v>
      </c>
      <c r="EG122" s="51"/>
      <c r="EH122" s="51"/>
      <c r="EI122" s="51"/>
      <c r="EJ122" s="51"/>
    </row>
    <row r="123" spans="1:143" x14ac:dyDescent="0.2">
      <c r="A123" s="1"/>
      <c r="B123" t="str">
        <f t="shared" ref="B123:B127" si="498">B97</f>
        <v>Landfill</v>
      </c>
      <c r="C123" s="54" t="s">
        <v>114</v>
      </c>
      <c r="D123" s="648">
        <f t="shared" ref="D123:AH123" si="499">D25*$EF123</f>
        <v>376.43781304467478</v>
      </c>
      <c r="E123" s="648">
        <f t="shared" si="499"/>
        <v>398.21332891441079</v>
      </c>
      <c r="F123" s="648">
        <f t="shared" si="499"/>
        <v>418.89695413403035</v>
      </c>
      <c r="G123" s="648">
        <f t="shared" si="499"/>
        <v>439.13712827929254</v>
      </c>
      <c r="H123" s="648">
        <f t="shared" si="499"/>
        <v>458.69772882347161</v>
      </c>
      <c r="I123" s="648">
        <f t="shared" si="499"/>
        <v>477.42878275385607</v>
      </c>
      <c r="J123" s="648">
        <f t="shared" si="499"/>
        <v>493.91774693490186</v>
      </c>
      <c r="K123" s="648">
        <f t="shared" si="499"/>
        <v>510.2535802873773</v>
      </c>
      <c r="L123" s="648">
        <f t="shared" si="499"/>
        <v>526.3955918260109</v>
      </c>
      <c r="M123" s="648">
        <f t="shared" si="499"/>
        <v>542.29487247164127</v>
      </c>
      <c r="N123" s="648">
        <f t="shared" si="499"/>
        <v>557.89390379966926</v>
      </c>
      <c r="O123" s="648">
        <f t="shared" si="499"/>
        <v>565.95057300529209</v>
      </c>
      <c r="P123" s="648">
        <f t="shared" si="499"/>
        <v>573.01610021580871</v>
      </c>
      <c r="Q123" s="648">
        <f t="shared" si="499"/>
        <v>577.36902305737431</v>
      </c>
      <c r="R123" s="648">
        <f t="shared" si="499"/>
        <v>579.82895093217519</v>
      </c>
      <c r="S123" s="648">
        <f t="shared" si="499"/>
        <v>580.36018433117681</v>
      </c>
      <c r="T123" s="648">
        <f t="shared" si="499"/>
        <v>580.54637757654268</v>
      </c>
      <c r="U123" s="648">
        <f t="shared" si="499"/>
        <v>579.86568253863049</v>
      </c>
      <c r="V123" s="648">
        <f t="shared" si="499"/>
        <v>578.49453691128326</v>
      </c>
      <c r="W123" s="648">
        <f t="shared" si="499"/>
        <v>576.54999049473304</v>
      </c>
      <c r="X123" s="648">
        <f t="shared" si="499"/>
        <v>574.44047655868007</v>
      </c>
      <c r="Y123" s="648">
        <f t="shared" si="499"/>
        <v>563.59315231053927</v>
      </c>
      <c r="Z123" s="648">
        <f t="shared" si="499"/>
        <v>555.35537424779966</v>
      </c>
      <c r="AA123" s="648">
        <f t="shared" si="499"/>
        <v>546.34104511068142</v>
      </c>
      <c r="AB123" s="648">
        <f t="shared" si="499"/>
        <v>536.69766234574934</v>
      </c>
      <c r="AC123" s="648">
        <f t="shared" si="499"/>
        <v>526.48021950575821</v>
      </c>
      <c r="AD123" s="648">
        <f t="shared" si="499"/>
        <v>515.38497621164549</v>
      </c>
      <c r="AE123" s="648">
        <f t="shared" si="499"/>
        <v>503.67643659020371</v>
      </c>
      <c r="AF123" s="648">
        <f t="shared" si="499"/>
        <v>491.31125720520009</v>
      </c>
      <c r="AG123" s="648">
        <f t="shared" si="499"/>
        <v>478.29358098491753</v>
      </c>
      <c r="AH123" s="648">
        <f t="shared" si="499"/>
        <v>464.98235580188447</v>
      </c>
      <c r="AI123" s="648"/>
      <c r="AJ123" s="648">
        <f t="shared" ref="AJ123:BN123" si="500">AJ25*$EF123</f>
        <v>376.43789526011869</v>
      </c>
      <c r="AK123" s="648">
        <f t="shared" si="500"/>
        <v>398.73901268838858</v>
      </c>
      <c r="AL123" s="648">
        <f t="shared" si="500"/>
        <v>420.05481631080175</v>
      </c>
      <c r="AM123" s="648">
        <f t="shared" si="500"/>
        <v>440.97879726775199</v>
      </c>
      <c r="AN123" s="648">
        <f t="shared" si="500"/>
        <v>461.29268937312418</v>
      </c>
      <c r="AO123" s="648">
        <f t="shared" si="500"/>
        <v>480.84536596988335</v>
      </c>
      <c r="AP123" s="648">
        <f t="shared" si="500"/>
        <v>499.47824439908197</v>
      </c>
      <c r="AQ123" s="648">
        <f t="shared" si="500"/>
        <v>518.16387956189112</v>
      </c>
      <c r="AR123" s="648">
        <f t="shared" si="500"/>
        <v>536.87260985746241</v>
      </c>
      <c r="AS123" s="648">
        <f t="shared" si="500"/>
        <v>555.56959076780777</v>
      </c>
      <c r="AT123" s="648">
        <f t="shared" si="500"/>
        <v>574.21692412993264</v>
      </c>
      <c r="AU123" s="648">
        <f t="shared" si="500"/>
        <v>586.50800817238257</v>
      </c>
      <c r="AV123" s="648">
        <f t="shared" si="500"/>
        <v>598.01810228467855</v>
      </c>
      <c r="AW123" s="648">
        <f t="shared" si="500"/>
        <v>607.37120765204372</v>
      </c>
      <c r="AX123" s="648">
        <f t="shared" si="500"/>
        <v>615.16580166984295</v>
      </c>
      <c r="AY123" s="648">
        <f t="shared" si="500"/>
        <v>621.34064465319432</v>
      </c>
      <c r="AZ123" s="648">
        <f t="shared" si="500"/>
        <v>627.22181895664335</v>
      </c>
      <c r="BA123" s="648">
        <f t="shared" si="500"/>
        <v>632.64069460043993</v>
      </c>
      <c r="BB123" s="648">
        <f t="shared" si="500"/>
        <v>637.66618532877624</v>
      </c>
      <c r="BC123" s="648">
        <f t="shared" si="500"/>
        <v>642.36931776745234</v>
      </c>
      <c r="BD123" s="648">
        <f t="shared" si="500"/>
        <v>647.14440472999866</v>
      </c>
      <c r="BE123" s="648">
        <f t="shared" si="500"/>
        <v>644.04949258673048</v>
      </c>
      <c r="BF123" s="648">
        <f t="shared" si="500"/>
        <v>643.31501225999932</v>
      </c>
      <c r="BG123" s="648">
        <f t="shared" si="500"/>
        <v>642.25149768816425</v>
      </c>
      <c r="BH123" s="648">
        <f t="shared" si="500"/>
        <v>640.88072055819623</v>
      </c>
      <c r="BI123" s="648">
        <f t="shared" si="500"/>
        <v>639.29271377200018</v>
      </c>
      <c r="BJ123" s="648">
        <f t="shared" si="500"/>
        <v>637.37493345899145</v>
      </c>
      <c r="BK123" s="648">
        <f t="shared" si="500"/>
        <v>635.19829702167669</v>
      </c>
      <c r="BL123" s="648">
        <f t="shared" si="500"/>
        <v>632.73362134891647</v>
      </c>
      <c r="BM123" s="648">
        <f t="shared" si="500"/>
        <v>629.94969839563555</v>
      </c>
      <c r="BN123" s="648">
        <f t="shared" si="500"/>
        <v>628.02498514955164</v>
      </c>
      <c r="BO123" s="648"/>
      <c r="BP123" s="648">
        <f t="shared" ref="BP123:CT123" si="501">BP25*$EF123</f>
        <v>376.43799678573464</v>
      </c>
      <c r="BQ123" s="648">
        <f t="shared" si="501"/>
        <v>394.74324947337414</v>
      </c>
      <c r="BR123" s="648">
        <f t="shared" si="501"/>
        <v>412.66948829598795</v>
      </c>
      <c r="BS123" s="648">
        <f t="shared" si="501"/>
        <v>430.09495697462779</v>
      </c>
      <c r="BT123" s="648">
        <f t="shared" si="501"/>
        <v>446.89701683168892</v>
      </c>
      <c r="BU123" s="648">
        <f t="shared" si="501"/>
        <v>462.95346357796973</v>
      </c>
      <c r="BV123" s="648">
        <f t="shared" si="501"/>
        <v>479.27508827134767</v>
      </c>
      <c r="BW123" s="648">
        <f t="shared" si="501"/>
        <v>495.85149155877349</v>
      </c>
      <c r="BX123" s="648">
        <f t="shared" si="501"/>
        <v>512.67149307029547</v>
      </c>
      <c r="BY123" s="648">
        <f t="shared" si="501"/>
        <v>529.72312969489917</v>
      </c>
      <c r="BZ123" s="648">
        <f t="shared" si="501"/>
        <v>546.99365582684015</v>
      </c>
      <c r="CA123" s="648">
        <f t="shared" si="501"/>
        <v>563.58582803983336</v>
      </c>
      <c r="CB123" s="648">
        <f t="shared" si="501"/>
        <v>579.40487286480629</v>
      </c>
      <c r="CC123" s="648">
        <f t="shared" si="501"/>
        <v>594.35767973652924</v>
      </c>
      <c r="CD123" s="648">
        <f t="shared" si="501"/>
        <v>608.353604166438</v>
      </c>
      <c r="CE123" s="648">
        <f t="shared" si="501"/>
        <v>621.30526936852073</v>
      </c>
      <c r="CF123" s="648">
        <f t="shared" si="501"/>
        <v>634.38000348688399</v>
      </c>
      <c r="CG123" s="648">
        <f t="shared" si="501"/>
        <v>647.57544845811321</v>
      </c>
      <c r="CH123" s="648">
        <f t="shared" si="501"/>
        <v>660.88913950115625</v>
      </c>
      <c r="CI123" s="648">
        <f t="shared" si="501"/>
        <v>674.31850427944823</v>
      </c>
      <c r="CJ123" s="648">
        <f t="shared" si="501"/>
        <v>687.86086210849658</v>
      </c>
      <c r="CK123" s="648">
        <f t="shared" si="501"/>
        <v>701.52191930403671</v>
      </c>
      <c r="CL123" s="648">
        <f t="shared" si="501"/>
        <v>715.29930676162189</v>
      </c>
      <c r="CM123" s="648">
        <f t="shared" si="501"/>
        <v>729.19055607126211</v>
      </c>
      <c r="CN123" s="648">
        <f t="shared" si="501"/>
        <v>743.1930987301007</v>
      </c>
      <c r="CO123" s="648">
        <f t="shared" si="501"/>
        <v>757.30426539017958</v>
      </c>
      <c r="CP123" s="648">
        <f t="shared" si="501"/>
        <v>771.52933310575247</v>
      </c>
      <c r="CQ123" s="648">
        <f t="shared" si="501"/>
        <v>785.86590596498831</v>
      </c>
      <c r="CR123" s="648">
        <f t="shared" si="501"/>
        <v>800.31149467236355</v>
      </c>
      <c r="CS123" s="648">
        <f t="shared" si="501"/>
        <v>814.86351579165023</v>
      </c>
      <c r="CT123" s="648">
        <f t="shared" si="501"/>
        <v>829.51929101575456</v>
      </c>
      <c r="CU123" s="648"/>
      <c r="CV123" s="648">
        <f t="shared" ref="CV123:DZ123" si="502">CV25*$EF123</f>
        <v>376.43789526011869</v>
      </c>
      <c r="CW123" s="648">
        <f t="shared" si="502"/>
        <v>400.77137620881797</v>
      </c>
      <c r="CX123" s="648">
        <f t="shared" si="502"/>
        <v>424.55690318744234</v>
      </c>
      <c r="CY123" s="648">
        <f t="shared" si="502"/>
        <v>448.13884362384744</v>
      </c>
      <c r="CZ123" s="648">
        <f t="shared" si="502"/>
        <v>471.37896982215557</v>
      </c>
      <c r="DA123" s="648">
        <f t="shared" si="502"/>
        <v>494.119530308592</v>
      </c>
      <c r="DB123" s="648">
        <f t="shared" si="502"/>
        <v>517.47405347191932</v>
      </c>
      <c r="DC123" s="648">
        <f t="shared" si="502"/>
        <v>541.30411479307622</v>
      </c>
      <c r="DD123" s="648">
        <f t="shared" si="502"/>
        <v>565.5944779643936</v>
      </c>
      <c r="DE123" s="648">
        <f t="shared" si="502"/>
        <v>590.32432293110173</v>
      </c>
      <c r="DF123" s="648">
        <f t="shared" si="502"/>
        <v>615.46931815115784</v>
      </c>
      <c r="DG123" s="648">
        <f t="shared" si="502"/>
        <v>637.45120785662243</v>
      </c>
      <c r="DH123" s="648">
        <f t="shared" si="502"/>
        <v>658.47810956907711</v>
      </c>
      <c r="DI123" s="648">
        <f t="shared" si="502"/>
        <v>678.8792704863007</v>
      </c>
      <c r="DJ123" s="648">
        <f t="shared" si="502"/>
        <v>698.28534016920617</v>
      </c>
      <c r="DK123" s="648">
        <f t="shared" si="502"/>
        <v>716.58921425033634</v>
      </c>
      <c r="DL123" s="648">
        <f t="shared" si="502"/>
        <v>734.9470732859902</v>
      </c>
      <c r="DM123" s="648">
        <f t="shared" si="502"/>
        <v>753.49491791206901</v>
      </c>
      <c r="DN123" s="648">
        <f t="shared" si="502"/>
        <v>772.31430432096636</v>
      </c>
      <c r="DO123" s="648">
        <f t="shared" si="502"/>
        <v>791.48878278309326</v>
      </c>
      <c r="DP123" s="648">
        <f t="shared" si="502"/>
        <v>811.42505960676135</v>
      </c>
      <c r="DQ123" s="648">
        <f t="shared" si="502"/>
        <v>828.04901463966473</v>
      </c>
      <c r="DR123" s="648">
        <f t="shared" si="502"/>
        <v>844.1292153393216</v>
      </c>
      <c r="DS123" s="648">
        <f t="shared" si="502"/>
        <v>860.80447167586601</v>
      </c>
      <c r="DT123" s="648">
        <f t="shared" si="502"/>
        <v>877.93555975674769</v>
      </c>
      <c r="DU123" s="648">
        <f t="shared" si="502"/>
        <v>895.62527690062257</v>
      </c>
      <c r="DV123" s="648">
        <f t="shared" si="502"/>
        <v>914.01741427095851</v>
      </c>
      <c r="DW123" s="648">
        <f t="shared" si="502"/>
        <v>932.96814376846112</v>
      </c>
      <c r="DX123" s="648">
        <f t="shared" si="502"/>
        <v>952.46146139832058</v>
      </c>
      <c r="DY123" s="648">
        <f t="shared" si="502"/>
        <v>972.47920467764152</v>
      </c>
      <c r="DZ123" s="648">
        <f t="shared" si="502"/>
        <v>994.21273263528246</v>
      </c>
      <c r="EF123" s="157">
        <v>8</v>
      </c>
      <c r="EG123" s="51"/>
      <c r="EH123" s="51"/>
      <c r="EI123" s="51"/>
      <c r="EJ123" s="51"/>
    </row>
    <row r="124" spans="1:143" x14ac:dyDescent="0.2">
      <c r="A124" s="1"/>
      <c r="B124" t="str">
        <f t="shared" si="498"/>
        <v>Dumpsite</v>
      </c>
      <c r="C124" s="54" t="s">
        <v>114</v>
      </c>
      <c r="D124" s="648">
        <f t="shared" ref="D124:AH124" si="503">D26*$EF124</f>
        <v>0</v>
      </c>
      <c r="E124" s="648">
        <f t="shared" si="503"/>
        <v>0</v>
      </c>
      <c r="F124" s="648">
        <f t="shared" si="503"/>
        <v>0</v>
      </c>
      <c r="G124" s="648">
        <f t="shared" si="503"/>
        <v>0</v>
      </c>
      <c r="H124" s="648">
        <f t="shared" si="503"/>
        <v>0</v>
      </c>
      <c r="I124" s="648">
        <f t="shared" si="503"/>
        <v>0</v>
      </c>
      <c r="J124" s="648">
        <f t="shared" si="503"/>
        <v>0</v>
      </c>
      <c r="K124" s="648">
        <f t="shared" si="503"/>
        <v>0</v>
      </c>
      <c r="L124" s="648">
        <f t="shared" si="503"/>
        <v>0</v>
      </c>
      <c r="M124" s="648">
        <f t="shared" si="503"/>
        <v>0</v>
      </c>
      <c r="N124" s="648">
        <f t="shared" si="503"/>
        <v>0</v>
      </c>
      <c r="O124" s="648">
        <f t="shared" si="503"/>
        <v>0</v>
      </c>
      <c r="P124" s="648">
        <f t="shared" si="503"/>
        <v>0</v>
      </c>
      <c r="Q124" s="648">
        <f t="shared" si="503"/>
        <v>0</v>
      </c>
      <c r="R124" s="648">
        <f t="shared" si="503"/>
        <v>0</v>
      </c>
      <c r="S124" s="648">
        <f t="shared" si="503"/>
        <v>0</v>
      </c>
      <c r="T124" s="648">
        <f t="shared" si="503"/>
        <v>0</v>
      </c>
      <c r="U124" s="648">
        <f t="shared" si="503"/>
        <v>0</v>
      </c>
      <c r="V124" s="648">
        <f t="shared" si="503"/>
        <v>0</v>
      </c>
      <c r="W124" s="648">
        <f t="shared" si="503"/>
        <v>0</v>
      </c>
      <c r="X124" s="648">
        <f t="shared" si="503"/>
        <v>0</v>
      </c>
      <c r="Y124" s="648">
        <f t="shared" si="503"/>
        <v>0</v>
      </c>
      <c r="Z124" s="648">
        <f t="shared" si="503"/>
        <v>0</v>
      </c>
      <c r="AA124" s="648">
        <f t="shared" si="503"/>
        <v>0</v>
      </c>
      <c r="AB124" s="648">
        <f t="shared" si="503"/>
        <v>0</v>
      </c>
      <c r="AC124" s="648">
        <f t="shared" si="503"/>
        <v>0</v>
      </c>
      <c r="AD124" s="648">
        <f t="shared" si="503"/>
        <v>0</v>
      </c>
      <c r="AE124" s="648">
        <f t="shared" si="503"/>
        <v>0</v>
      </c>
      <c r="AF124" s="648">
        <f t="shared" si="503"/>
        <v>0</v>
      </c>
      <c r="AG124" s="648">
        <f t="shared" si="503"/>
        <v>0</v>
      </c>
      <c r="AH124" s="648">
        <f t="shared" si="503"/>
        <v>0</v>
      </c>
      <c r="AI124" s="648"/>
      <c r="AJ124" s="648">
        <f t="shared" ref="AJ124:BN124" si="504">AJ26*$EF124</f>
        <v>0</v>
      </c>
      <c r="AK124" s="648">
        <f t="shared" si="504"/>
        <v>0</v>
      </c>
      <c r="AL124" s="648">
        <f t="shared" si="504"/>
        <v>0</v>
      </c>
      <c r="AM124" s="648">
        <f t="shared" si="504"/>
        <v>0</v>
      </c>
      <c r="AN124" s="648">
        <f t="shared" si="504"/>
        <v>0</v>
      </c>
      <c r="AO124" s="648">
        <f t="shared" si="504"/>
        <v>0</v>
      </c>
      <c r="AP124" s="648">
        <f t="shared" si="504"/>
        <v>0</v>
      </c>
      <c r="AQ124" s="648">
        <f t="shared" si="504"/>
        <v>0</v>
      </c>
      <c r="AR124" s="648">
        <f t="shared" si="504"/>
        <v>0</v>
      </c>
      <c r="AS124" s="648">
        <f t="shared" si="504"/>
        <v>0</v>
      </c>
      <c r="AT124" s="648">
        <f t="shared" si="504"/>
        <v>0</v>
      </c>
      <c r="AU124" s="648">
        <f t="shared" si="504"/>
        <v>0</v>
      </c>
      <c r="AV124" s="648">
        <f t="shared" si="504"/>
        <v>0</v>
      </c>
      <c r="AW124" s="648">
        <f t="shared" si="504"/>
        <v>0</v>
      </c>
      <c r="AX124" s="648">
        <f t="shared" si="504"/>
        <v>0</v>
      </c>
      <c r="AY124" s="648">
        <f t="shared" si="504"/>
        <v>0</v>
      </c>
      <c r="AZ124" s="648">
        <f t="shared" si="504"/>
        <v>0</v>
      </c>
      <c r="BA124" s="648">
        <f t="shared" si="504"/>
        <v>0</v>
      </c>
      <c r="BB124" s="648">
        <f t="shared" si="504"/>
        <v>0</v>
      </c>
      <c r="BC124" s="648">
        <f t="shared" si="504"/>
        <v>0</v>
      </c>
      <c r="BD124" s="648">
        <f t="shared" si="504"/>
        <v>0</v>
      </c>
      <c r="BE124" s="648">
        <f t="shared" si="504"/>
        <v>0</v>
      </c>
      <c r="BF124" s="648">
        <f t="shared" si="504"/>
        <v>0</v>
      </c>
      <c r="BG124" s="648">
        <f t="shared" si="504"/>
        <v>0</v>
      </c>
      <c r="BH124" s="648">
        <f t="shared" si="504"/>
        <v>0</v>
      </c>
      <c r="BI124" s="648">
        <f t="shared" si="504"/>
        <v>0</v>
      </c>
      <c r="BJ124" s="648">
        <f t="shared" si="504"/>
        <v>0</v>
      </c>
      <c r="BK124" s="648">
        <f t="shared" si="504"/>
        <v>0</v>
      </c>
      <c r="BL124" s="648">
        <f t="shared" si="504"/>
        <v>0</v>
      </c>
      <c r="BM124" s="648">
        <f t="shared" si="504"/>
        <v>0</v>
      </c>
      <c r="BN124" s="648">
        <f t="shared" si="504"/>
        <v>0</v>
      </c>
      <c r="BO124" s="648"/>
      <c r="BP124" s="648">
        <f t="shared" ref="BP124:CT124" si="505">BP26*$EF124</f>
        <v>0</v>
      </c>
      <c r="BQ124" s="648">
        <f t="shared" si="505"/>
        <v>0</v>
      </c>
      <c r="BR124" s="648">
        <f t="shared" si="505"/>
        <v>0</v>
      </c>
      <c r="BS124" s="648">
        <f t="shared" si="505"/>
        <v>0</v>
      </c>
      <c r="BT124" s="648">
        <f t="shared" si="505"/>
        <v>0</v>
      </c>
      <c r="BU124" s="648">
        <f t="shared" si="505"/>
        <v>0</v>
      </c>
      <c r="BV124" s="648">
        <f t="shared" si="505"/>
        <v>0</v>
      </c>
      <c r="BW124" s="648">
        <f t="shared" si="505"/>
        <v>0</v>
      </c>
      <c r="BX124" s="648">
        <f t="shared" si="505"/>
        <v>0</v>
      </c>
      <c r="BY124" s="648">
        <f t="shared" si="505"/>
        <v>0</v>
      </c>
      <c r="BZ124" s="648">
        <f t="shared" si="505"/>
        <v>0</v>
      </c>
      <c r="CA124" s="648">
        <f t="shared" si="505"/>
        <v>0</v>
      </c>
      <c r="CB124" s="648">
        <f t="shared" si="505"/>
        <v>0</v>
      </c>
      <c r="CC124" s="648">
        <f t="shared" si="505"/>
        <v>0</v>
      </c>
      <c r="CD124" s="648">
        <f t="shared" si="505"/>
        <v>0</v>
      </c>
      <c r="CE124" s="648">
        <f t="shared" si="505"/>
        <v>0</v>
      </c>
      <c r="CF124" s="648">
        <f t="shared" si="505"/>
        <v>0</v>
      </c>
      <c r="CG124" s="648">
        <f t="shared" si="505"/>
        <v>0</v>
      </c>
      <c r="CH124" s="648">
        <f t="shared" si="505"/>
        <v>0</v>
      </c>
      <c r="CI124" s="648">
        <f t="shared" si="505"/>
        <v>0</v>
      </c>
      <c r="CJ124" s="648">
        <f t="shared" si="505"/>
        <v>0</v>
      </c>
      <c r="CK124" s="648">
        <f t="shared" si="505"/>
        <v>0</v>
      </c>
      <c r="CL124" s="648">
        <f t="shared" si="505"/>
        <v>0</v>
      </c>
      <c r="CM124" s="648">
        <f t="shared" si="505"/>
        <v>0</v>
      </c>
      <c r="CN124" s="648">
        <f t="shared" si="505"/>
        <v>0</v>
      </c>
      <c r="CO124" s="648">
        <f t="shared" si="505"/>
        <v>0</v>
      </c>
      <c r="CP124" s="648">
        <f t="shared" si="505"/>
        <v>0</v>
      </c>
      <c r="CQ124" s="648">
        <f t="shared" si="505"/>
        <v>0</v>
      </c>
      <c r="CR124" s="648">
        <f t="shared" si="505"/>
        <v>0</v>
      </c>
      <c r="CS124" s="648">
        <f t="shared" si="505"/>
        <v>0</v>
      </c>
      <c r="CT124" s="648">
        <f t="shared" si="505"/>
        <v>0</v>
      </c>
      <c r="CU124" s="648"/>
      <c r="CV124" s="648">
        <f t="shared" ref="CV124:DZ124" si="506">CV26*$EF124</f>
        <v>0</v>
      </c>
      <c r="CW124" s="648">
        <f t="shared" si="506"/>
        <v>0</v>
      </c>
      <c r="CX124" s="648">
        <f t="shared" si="506"/>
        <v>0</v>
      </c>
      <c r="CY124" s="648">
        <f t="shared" si="506"/>
        <v>0</v>
      </c>
      <c r="CZ124" s="648">
        <f t="shared" si="506"/>
        <v>0</v>
      </c>
      <c r="DA124" s="648">
        <f t="shared" si="506"/>
        <v>0</v>
      </c>
      <c r="DB124" s="648">
        <f t="shared" si="506"/>
        <v>0</v>
      </c>
      <c r="DC124" s="648">
        <f t="shared" si="506"/>
        <v>0</v>
      </c>
      <c r="DD124" s="648">
        <f t="shared" si="506"/>
        <v>0</v>
      </c>
      <c r="DE124" s="648">
        <f t="shared" si="506"/>
        <v>0</v>
      </c>
      <c r="DF124" s="648">
        <f t="shared" si="506"/>
        <v>0</v>
      </c>
      <c r="DG124" s="648">
        <f t="shared" si="506"/>
        <v>0</v>
      </c>
      <c r="DH124" s="648">
        <f t="shared" si="506"/>
        <v>0</v>
      </c>
      <c r="DI124" s="648">
        <f t="shared" si="506"/>
        <v>0</v>
      </c>
      <c r="DJ124" s="648">
        <f t="shared" si="506"/>
        <v>0</v>
      </c>
      <c r="DK124" s="648">
        <f t="shared" si="506"/>
        <v>0</v>
      </c>
      <c r="DL124" s="648">
        <f t="shared" si="506"/>
        <v>0</v>
      </c>
      <c r="DM124" s="648">
        <f t="shared" si="506"/>
        <v>0</v>
      </c>
      <c r="DN124" s="648">
        <f t="shared" si="506"/>
        <v>0</v>
      </c>
      <c r="DO124" s="648">
        <f t="shared" si="506"/>
        <v>0</v>
      </c>
      <c r="DP124" s="648">
        <f t="shared" si="506"/>
        <v>0</v>
      </c>
      <c r="DQ124" s="648">
        <f t="shared" si="506"/>
        <v>0</v>
      </c>
      <c r="DR124" s="648">
        <f t="shared" si="506"/>
        <v>0</v>
      </c>
      <c r="DS124" s="648">
        <f t="shared" si="506"/>
        <v>0</v>
      </c>
      <c r="DT124" s="648">
        <f t="shared" si="506"/>
        <v>0</v>
      </c>
      <c r="DU124" s="648">
        <f t="shared" si="506"/>
        <v>0</v>
      </c>
      <c r="DV124" s="648">
        <f t="shared" si="506"/>
        <v>0</v>
      </c>
      <c r="DW124" s="648">
        <f t="shared" si="506"/>
        <v>0</v>
      </c>
      <c r="DX124" s="648">
        <f t="shared" si="506"/>
        <v>0</v>
      </c>
      <c r="DY124" s="648">
        <f t="shared" si="506"/>
        <v>0</v>
      </c>
      <c r="DZ124" s="648">
        <f t="shared" si="506"/>
        <v>0</v>
      </c>
      <c r="EF124" s="51">
        <v>0</v>
      </c>
      <c r="EG124" s="51"/>
      <c r="EH124" s="51"/>
      <c r="EI124" s="51"/>
      <c r="EJ124" s="51"/>
    </row>
    <row r="125" spans="1:143" x14ac:dyDescent="0.2">
      <c r="A125" s="1"/>
      <c r="B125" t="str">
        <f t="shared" si="498"/>
        <v>Open Burning</v>
      </c>
      <c r="C125" s="54" t="s">
        <v>114</v>
      </c>
      <c r="D125" s="648">
        <f t="shared" ref="D125:AH125" si="507">D27*$EF125</f>
        <v>0</v>
      </c>
      <c r="E125" s="648">
        <f t="shared" si="507"/>
        <v>0</v>
      </c>
      <c r="F125" s="648">
        <f t="shared" si="507"/>
        <v>0</v>
      </c>
      <c r="G125" s="648">
        <f t="shared" si="507"/>
        <v>0</v>
      </c>
      <c r="H125" s="648">
        <f t="shared" si="507"/>
        <v>0</v>
      </c>
      <c r="I125" s="648">
        <f t="shared" si="507"/>
        <v>0</v>
      </c>
      <c r="J125" s="648">
        <f t="shared" si="507"/>
        <v>0</v>
      </c>
      <c r="K125" s="648">
        <f t="shared" si="507"/>
        <v>0</v>
      </c>
      <c r="L125" s="648">
        <f t="shared" si="507"/>
        <v>0</v>
      </c>
      <c r="M125" s="648">
        <f t="shared" si="507"/>
        <v>0</v>
      </c>
      <c r="N125" s="648">
        <f t="shared" si="507"/>
        <v>0</v>
      </c>
      <c r="O125" s="648">
        <f t="shared" si="507"/>
        <v>0</v>
      </c>
      <c r="P125" s="648">
        <f t="shared" si="507"/>
        <v>0</v>
      </c>
      <c r="Q125" s="648">
        <f t="shared" si="507"/>
        <v>0</v>
      </c>
      <c r="R125" s="648">
        <f t="shared" si="507"/>
        <v>0</v>
      </c>
      <c r="S125" s="648">
        <f t="shared" si="507"/>
        <v>0</v>
      </c>
      <c r="T125" s="648">
        <f t="shared" si="507"/>
        <v>0</v>
      </c>
      <c r="U125" s="648">
        <f t="shared" si="507"/>
        <v>0</v>
      </c>
      <c r="V125" s="648">
        <f t="shared" si="507"/>
        <v>0</v>
      </c>
      <c r="W125" s="648">
        <f t="shared" si="507"/>
        <v>0</v>
      </c>
      <c r="X125" s="648">
        <f t="shared" si="507"/>
        <v>0</v>
      </c>
      <c r="Y125" s="648">
        <f t="shared" si="507"/>
        <v>0</v>
      </c>
      <c r="Z125" s="648">
        <f t="shared" si="507"/>
        <v>0</v>
      </c>
      <c r="AA125" s="648">
        <f t="shared" si="507"/>
        <v>0</v>
      </c>
      <c r="AB125" s="648">
        <f t="shared" si="507"/>
        <v>0</v>
      </c>
      <c r="AC125" s="648">
        <f t="shared" si="507"/>
        <v>0</v>
      </c>
      <c r="AD125" s="648">
        <f t="shared" si="507"/>
        <v>0</v>
      </c>
      <c r="AE125" s="648">
        <f t="shared" si="507"/>
        <v>0</v>
      </c>
      <c r="AF125" s="648">
        <f t="shared" si="507"/>
        <v>0</v>
      </c>
      <c r="AG125" s="648">
        <f t="shared" si="507"/>
        <v>0</v>
      </c>
      <c r="AH125" s="648">
        <f t="shared" si="507"/>
        <v>0</v>
      </c>
      <c r="AI125" s="648"/>
      <c r="AJ125" s="648">
        <f t="shared" ref="AJ125:BN125" si="508">AJ27*$EF125</f>
        <v>0</v>
      </c>
      <c r="AK125" s="648">
        <f t="shared" si="508"/>
        <v>0</v>
      </c>
      <c r="AL125" s="648">
        <f t="shared" si="508"/>
        <v>0</v>
      </c>
      <c r="AM125" s="648">
        <f t="shared" si="508"/>
        <v>0</v>
      </c>
      <c r="AN125" s="648">
        <f t="shared" si="508"/>
        <v>0</v>
      </c>
      <c r="AO125" s="648">
        <f t="shared" si="508"/>
        <v>0</v>
      </c>
      <c r="AP125" s="648">
        <f t="shared" si="508"/>
        <v>0</v>
      </c>
      <c r="AQ125" s="648">
        <f t="shared" si="508"/>
        <v>0</v>
      </c>
      <c r="AR125" s="648">
        <f t="shared" si="508"/>
        <v>0</v>
      </c>
      <c r="AS125" s="648">
        <f t="shared" si="508"/>
        <v>0</v>
      </c>
      <c r="AT125" s="648">
        <f t="shared" si="508"/>
        <v>0</v>
      </c>
      <c r="AU125" s="648">
        <f t="shared" si="508"/>
        <v>0</v>
      </c>
      <c r="AV125" s="648">
        <f t="shared" si="508"/>
        <v>0</v>
      </c>
      <c r="AW125" s="648">
        <f t="shared" si="508"/>
        <v>0</v>
      </c>
      <c r="AX125" s="648">
        <f t="shared" si="508"/>
        <v>0</v>
      </c>
      <c r="AY125" s="648">
        <f t="shared" si="508"/>
        <v>0</v>
      </c>
      <c r="AZ125" s="648">
        <f t="shared" si="508"/>
        <v>0</v>
      </c>
      <c r="BA125" s="648">
        <f t="shared" si="508"/>
        <v>0</v>
      </c>
      <c r="BB125" s="648">
        <f t="shared" si="508"/>
        <v>0</v>
      </c>
      <c r="BC125" s="648">
        <f t="shared" si="508"/>
        <v>0</v>
      </c>
      <c r="BD125" s="648">
        <f t="shared" si="508"/>
        <v>0</v>
      </c>
      <c r="BE125" s="648">
        <f t="shared" si="508"/>
        <v>0</v>
      </c>
      <c r="BF125" s="648">
        <f t="shared" si="508"/>
        <v>0</v>
      </c>
      <c r="BG125" s="648">
        <f t="shared" si="508"/>
        <v>0</v>
      </c>
      <c r="BH125" s="648">
        <f t="shared" si="508"/>
        <v>0</v>
      </c>
      <c r="BI125" s="648">
        <f t="shared" si="508"/>
        <v>0</v>
      </c>
      <c r="BJ125" s="648">
        <f t="shared" si="508"/>
        <v>0</v>
      </c>
      <c r="BK125" s="648">
        <f t="shared" si="508"/>
        <v>0</v>
      </c>
      <c r="BL125" s="648">
        <f t="shared" si="508"/>
        <v>0</v>
      </c>
      <c r="BM125" s="648">
        <f t="shared" si="508"/>
        <v>0</v>
      </c>
      <c r="BN125" s="648">
        <f t="shared" si="508"/>
        <v>0</v>
      </c>
      <c r="BO125" s="648"/>
      <c r="BP125" s="648">
        <f t="shared" ref="BP125:CT125" si="509">BP27*$EF125</f>
        <v>0</v>
      </c>
      <c r="BQ125" s="648">
        <f t="shared" si="509"/>
        <v>0</v>
      </c>
      <c r="BR125" s="648">
        <f t="shared" si="509"/>
        <v>0</v>
      </c>
      <c r="BS125" s="648">
        <f t="shared" si="509"/>
        <v>0</v>
      </c>
      <c r="BT125" s="648">
        <f t="shared" si="509"/>
        <v>0</v>
      </c>
      <c r="BU125" s="648">
        <f t="shared" si="509"/>
        <v>0</v>
      </c>
      <c r="BV125" s="648">
        <f t="shared" si="509"/>
        <v>0</v>
      </c>
      <c r="BW125" s="648">
        <f t="shared" si="509"/>
        <v>0</v>
      </c>
      <c r="BX125" s="648">
        <f t="shared" si="509"/>
        <v>0</v>
      </c>
      <c r="BY125" s="648">
        <f t="shared" si="509"/>
        <v>0</v>
      </c>
      <c r="BZ125" s="648">
        <f t="shared" si="509"/>
        <v>0</v>
      </c>
      <c r="CA125" s="648">
        <f t="shared" si="509"/>
        <v>0</v>
      </c>
      <c r="CB125" s="648">
        <f t="shared" si="509"/>
        <v>0</v>
      </c>
      <c r="CC125" s="648">
        <f t="shared" si="509"/>
        <v>0</v>
      </c>
      <c r="CD125" s="648">
        <f t="shared" si="509"/>
        <v>0</v>
      </c>
      <c r="CE125" s="648">
        <f t="shared" si="509"/>
        <v>0</v>
      </c>
      <c r="CF125" s="648">
        <f t="shared" si="509"/>
        <v>0</v>
      </c>
      <c r="CG125" s="648">
        <f t="shared" si="509"/>
        <v>0</v>
      </c>
      <c r="CH125" s="648">
        <f t="shared" si="509"/>
        <v>0</v>
      </c>
      <c r="CI125" s="648">
        <f t="shared" si="509"/>
        <v>0</v>
      </c>
      <c r="CJ125" s="648">
        <f t="shared" si="509"/>
        <v>0</v>
      </c>
      <c r="CK125" s="648">
        <f t="shared" si="509"/>
        <v>0</v>
      </c>
      <c r="CL125" s="648">
        <f t="shared" si="509"/>
        <v>0</v>
      </c>
      <c r="CM125" s="648">
        <f t="shared" si="509"/>
        <v>0</v>
      </c>
      <c r="CN125" s="648">
        <f t="shared" si="509"/>
        <v>0</v>
      </c>
      <c r="CO125" s="648">
        <f t="shared" si="509"/>
        <v>0</v>
      </c>
      <c r="CP125" s="648">
        <f t="shared" si="509"/>
        <v>0</v>
      </c>
      <c r="CQ125" s="648">
        <f t="shared" si="509"/>
        <v>0</v>
      </c>
      <c r="CR125" s="648">
        <f t="shared" si="509"/>
        <v>0</v>
      </c>
      <c r="CS125" s="648">
        <f t="shared" si="509"/>
        <v>0</v>
      </c>
      <c r="CT125" s="648">
        <f t="shared" si="509"/>
        <v>0</v>
      </c>
      <c r="CU125" s="648"/>
      <c r="CV125" s="648">
        <f t="shared" ref="CV125:DZ125" si="510">CV27*$EF125</f>
        <v>0</v>
      </c>
      <c r="CW125" s="648">
        <f t="shared" si="510"/>
        <v>0</v>
      </c>
      <c r="CX125" s="648">
        <f t="shared" si="510"/>
        <v>0</v>
      </c>
      <c r="CY125" s="648">
        <f t="shared" si="510"/>
        <v>0</v>
      </c>
      <c r="CZ125" s="648">
        <f t="shared" si="510"/>
        <v>0</v>
      </c>
      <c r="DA125" s="648">
        <f t="shared" si="510"/>
        <v>0</v>
      </c>
      <c r="DB125" s="648">
        <f t="shared" si="510"/>
        <v>0</v>
      </c>
      <c r="DC125" s="648">
        <f t="shared" si="510"/>
        <v>0</v>
      </c>
      <c r="DD125" s="648">
        <f t="shared" si="510"/>
        <v>0</v>
      </c>
      <c r="DE125" s="648">
        <f t="shared" si="510"/>
        <v>0</v>
      </c>
      <c r="DF125" s="648">
        <f t="shared" si="510"/>
        <v>0</v>
      </c>
      <c r="DG125" s="648">
        <f t="shared" si="510"/>
        <v>0</v>
      </c>
      <c r="DH125" s="648">
        <f t="shared" si="510"/>
        <v>0</v>
      </c>
      <c r="DI125" s="648">
        <f t="shared" si="510"/>
        <v>0</v>
      </c>
      <c r="DJ125" s="648">
        <f t="shared" si="510"/>
        <v>0</v>
      </c>
      <c r="DK125" s="648">
        <f t="shared" si="510"/>
        <v>0</v>
      </c>
      <c r="DL125" s="648">
        <f t="shared" si="510"/>
        <v>0</v>
      </c>
      <c r="DM125" s="648">
        <f t="shared" si="510"/>
        <v>0</v>
      </c>
      <c r="DN125" s="648">
        <f t="shared" si="510"/>
        <v>0</v>
      </c>
      <c r="DO125" s="648">
        <f t="shared" si="510"/>
        <v>0</v>
      </c>
      <c r="DP125" s="648">
        <f t="shared" si="510"/>
        <v>0</v>
      </c>
      <c r="DQ125" s="648">
        <f t="shared" si="510"/>
        <v>0</v>
      </c>
      <c r="DR125" s="648">
        <f t="shared" si="510"/>
        <v>0</v>
      </c>
      <c r="DS125" s="648">
        <f t="shared" si="510"/>
        <v>0</v>
      </c>
      <c r="DT125" s="648">
        <f t="shared" si="510"/>
        <v>0</v>
      </c>
      <c r="DU125" s="648">
        <f t="shared" si="510"/>
        <v>0</v>
      </c>
      <c r="DV125" s="648">
        <f t="shared" si="510"/>
        <v>0</v>
      </c>
      <c r="DW125" s="648">
        <f t="shared" si="510"/>
        <v>0</v>
      </c>
      <c r="DX125" s="648">
        <f t="shared" si="510"/>
        <v>0</v>
      </c>
      <c r="DY125" s="648">
        <f t="shared" si="510"/>
        <v>0</v>
      </c>
      <c r="DZ125" s="648">
        <f t="shared" si="510"/>
        <v>0</v>
      </c>
      <c r="EF125" s="51">
        <v>0</v>
      </c>
      <c r="EG125" s="51"/>
      <c r="EH125" s="51"/>
      <c r="EI125" s="51"/>
      <c r="EJ125" s="51"/>
    </row>
    <row r="126" spans="1:143" x14ac:dyDescent="0.2">
      <c r="A126" s="1"/>
      <c r="B126" t="str">
        <f t="shared" si="498"/>
        <v>Leakage Environment</v>
      </c>
      <c r="C126" s="54" t="s">
        <v>114</v>
      </c>
      <c r="D126" s="648">
        <f t="shared" ref="D126:AH126" si="511">D28*$EF126</f>
        <v>0</v>
      </c>
      <c r="E126" s="648">
        <f t="shared" si="511"/>
        <v>0</v>
      </c>
      <c r="F126" s="648">
        <f t="shared" si="511"/>
        <v>0</v>
      </c>
      <c r="G126" s="648">
        <f t="shared" si="511"/>
        <v>0</v>
      </c>
      <c r="H126" s="648">
        <f t="shared" si="511"/>
        <v>0</v>
      </c>
      <c r="I126" s="648">
        <f t="shared" si="511"/>
        <v>0</v>
      </c>
      <c r="J126" s="648">
        <f t="shared" si="511"/>
        <v>0</v>
      </c>
      <c r="K126" s="648">
        <f t="shared" si="511"/>
        <v>0</v>
      </c>
      <c r="L126" s="648">
        <f t="shared" si="511"/>
        <v>0</v>
      </c>
      <c r="M126" s="648">
        <f t="shared" si="511"/>
        <v>0</v>
      </c>
      <c r="N126" s="648">
        <f t="shared" si="511"/>
        <v>0</v>
      </c>
      <c r="O126" s="648">
        <f t="shared" si="511"/>
        <v>0</v>
      </c>
      <c r="P126" s="648">
        <f t="shared" si="511"/>
        <v>0</v>
      </c>
      <c r="Q126" s="648">
        <f t="shared" si="511"/>
        <v>0</v>
      </c>
      <c r="R126" s="648">
        <f t="shared" si="511"/>
        <v>0</v>
      </c>
      <c r="S126" s="648">
        <f t="shared" si="511"/>
        <v>0</v>
      </c>
      <c r="T126" s="648">
        <f t="shared" si="511"/>
        <v>0</v>
      </c>
      <c r="U126" s="648">
        <f t="shared" si="511"/>
        <v>0</v>
      </c>
      <c r="V126" s="648">
        <f t="shared" si="511"/>
        <v>0</v>
      </c>
      <c r="W126" s="648">
        <f t="shared" si="511"/>
        <v>0</v>
      </c>
      <c r="X126" s="648">
        <f t="shared" si="511"/>
        <v>0</v>
      </c>
      <c r="Y126" s="648">
        <f t="shared" si="511"/>
        <v>0</v>
      </c>
      <c r="Z126" s="648">
        <f t="shared" si="511"/>
        <v>0</v>
      </c>
      <c r="AA126" s="648">
        <f t="shared" si="511"/>
        <v>0</v>
      </c>
      <c r="AB126" s="648">
        <f t="shared" si="511"/>
        <v>0</v>
      </c>
      <c r="AC126" s="648">
        <f t="shared" si="511"/>
        <v>0</v>
      </c>
      <c r="AD126" s="648">
        <f t="shared" si="511"/>
        <v>0</v>
      </c>
      <c r="AE126" s="648">
        <f t="shared" si="511"/>
        <v>0</v>
      </c>
      <c r="AF126" s="648">
        <f t="shared" si="511"/>
        <v>0</v>
      </c>
      <c r="AG126" s="648">
        <f t="shared" si="511"/>
        <v>0</v>
      </c>
      <c r="AH126" s="648">
        <f t="shared" si="511"/>
        <v>0</v>
      </c>
      <c r="AI126" s="648"/>
      <c r="AJ126" s="648">
        <f t="shared" ref="AJ126:BN126" si="512">AJ28*$EF126</f>
        <v>0</v>
      </c>
      <c r="AK126" s="648">
        <f t="shared" si="512"/>
        <v>0</v>
      </c>
      <c r="AL126" s="648">
        <f t="shared" si="512"/>
        <v>0</v>
      </c>
      <c r="AM126" s="648">
        <f t="shared" si="512"/>
        <v>0</v>
      </c>
      <c r="AN126" s="648">
        <f t="shared" si="512"/>
        <v>0</v>
      </c>
      <c r="AO126" s="648">
        <f t="shared" si="512"/>
        <v>0</v>
      </c>
      <c r="AP126" s="648">
        <f t="shared" si="512"/>
        <v>0</v>
      </c>
      <c r="AQ126" s="648">
        <f t="shared" si="512"/>
        <v>0</v>
      </c>
      <c r="AR126" s="648">
        <f t="shared" si="512"/>
        <v>0</v>
      </c>
      <c r="AS126" s="648">
        <f t="shared" si="512"/>
        <v>0</v>
      </c>
      <c r="AT126" s="648">
        <f t="shared" si="512"/>
        <v>0</v>
      </c>
      <c r="AU126" s="648">
        <f t="shared" si="512"/>
        <v>0</v>
      </c>
      <c r="AV126" s="648">
        <f t="shared" si="512"/>
        <v>0</v>
      </c>
      <c r="AW126" s="648">
        <f t="shared" si="512"/>
        <v>0</v>
      </c>
      <c r="AX126" s="648">
        <f t="shared" si="512"/>
        <v>0</v>
      </c>
      <c r="AY126" s="648">
        <f t="shared" si="512"/>
        <v>0</v>
      </c>
      <c r="AZ126" s="648">
        <f t="shared" si="512"/>
        <v>0</v>
      </c>
      <c r="BA126" s="648">
        <f t="shared" si="512"/>
        <v>0</v>
      </c>
      <c r="BB126" s="648">
        <f t="shared" si="512"/>
        <v>0</v>
      </c>
      <c r="BC126" s="648">
        <f t="shared" si="512"/>
        <v>0</v>
      </c>
      <c r="BD126" s="648">
        <f t="shared" si="512"/>
        <v>0</v>
      </c>
      <c r="BE126" s="648">
        <f t="shared" si="512"/>
        <v>0</v>
      </c>
      <c r="BF126" s="648">
        <f t="shared" si="512"/>
        <v>0</v>
      </c>
      <c r="BG126" s="648">
        <f t="shared" si="512"/>
        <v>0</v>
      </c>
      <c r="BH126" s="648">
        <f t="shared" si="512"/>
        <v>0</v>
      </c>
      <c r="BI126" s="648">
        <f t="shared" si="512"/>
        <v>0</v>
      </c>
      <c r="BJ126" s="648">
        <f t="shared" si="512"/>
        <v>0</v>
      </c>
      <c r="BK126" s="648">
        <f t="shared" si="512"/>
        <v>0</v>
      </c>
      <c r="BL126" s="648">
        <f t="shared" si="512"/>
        <v>0</v>
      </c>
      <c r="BM126" s="648">
        <f t="shared" si="512"/>
        <v>0</v>
      </c>
      <c r="BN126" s="648">
        <f t="shared" si="512"/>
        <v>0</v>
      </c>
      <c r="BO126" s="648"/>
      <c r="BP126" s="648">
        <f t="shared" ref="BP126:CT126" si="513">BP28*$EF126</f>
        <v>0</v>
      </c>
      <c r="BQ126" s="648">
        <f t="shared" si="513"/>
        <v>0</v>
      </c>
      <c r="BR126" s="648">
        <f t="shared" si="513"/>
        <v>0</v>
      </c>
      <c r="BS126" s="648">
        <f t="shared" si="513"/>
        <v>0</v>
      </c>
      <c r="BT126" s="648">
        <f t="shared" si="513"/>
        <v>0</v>
      </c>
      <c r="BU126" s="648">
        <f t="shared" si="513"/>
        <v>0</v>
      </c>
      <c r="BV126" s="648">
        <f t="shared" si="513"/>
        <v>0</v>
      </c>
      <c r="BW126" s="648">
        <f t="shared" si="513"/>
        <v>0</v>
      </c>
      <c r="BX126" s="648">
        <f t="shared" si="513"/>
        <v>0</v>
      </c>
      <c r="BY126" s="648">
        <f t="shared" si="513"/>
        <v>0</v>
      </c>
      <c r="BZ126" s="648">
        <f t="shared" si="513"/>
        <v>0</v>
      </c>
      <c r="CA126" s="648">
        <f t="shared" si="513"/>
        <v>0</v>
      </c>
      <c r="CB126" s="648">
        <f t="shared" si="513"/>
        <v>0</v>
      </c>
      <c r="CC126" s="648">
        <f t="shared" si="513"/>
        <v>0</v>
      </c>
      <c r="CD126" s="648">
        <f t="shared" si="513"/>
        <v>0</v>
      </c>
      <c r="CE126" s="648">
        <f t="shared" si="513"/>
        <v>0</v>
      </c>
      <c r="CF126" s="648">
        <f t="shared" si="513"/>
        <v>0</v>
      </c>
      <c r="CG126" s="648">
        <f t="shared" si="513"/>
        <v>0</v>
      </c>
      <c r="CH126" s="648">
        <f t="shared" si="513"/>
        <v>0</v>
      </c>
      <c r="CI126" s="648">
        <f t="shared" si="513"/>
        <v>0</v>
      </c>
      <c r="CJ126" s="648">
        <f t="shared" si="513"/>
        <v>0</v>
      </c>
      <c r="CK126" s="648">
        <f t="shared" si="513"/>
        <v>0</v>
      </c>
      <c r="CL126" s="648">
        <f t="shared" si="513"/>
        <v>0</v>
      </c>
      <c r="CM126" s="648">
        <f t="shared" si="513"/>
        <v>0</v>
      </c>
      <c r="CN126" s="648">
        <f t="shared" si="513"/>
        <v>0</v>
      </c>
      <c r="CO126" s="648">
        <f t="shared" si="513"/>
        <v>0</v>
      </c>
      <c r="CP126" s="648">
        <f t="shared" si="513"/>
        <v>0</v>
      </c>
      <c r="CQ126" s="648">
        <f t="shared" si="513"/>
        <v>0</v>
      </c>
      <c r="CR126" s="648">
        <f t="shared" si="513"/>
        <v>0</v>
      </c>
      <c r="CS126" s="648">
        <f t="shared" si="513"/>
        <v>0</v>
      </c>
      <c r="CT126" s="648">
        <f t="shared" si="513"/>
        <v>0</v>
      </c>
      <c r="CU126" s="648"/>
      <c r="CV126" s="648">
        <f t="shared" ref="CV126:DZ126" si="514">CV28*$EF126</f>
        <v>0</v>
      </c>
      <c r="CW126" s="648">
        <f t="shared" si="514"/>
        <v>0</v>
      </c>
      <c r="CX126" s="648">
        <f t="shared" si="514"/>
        <v>0</v>
      </c>
      <c r="CY126" s="648">
        <f t="shared" si="514"/>
        <v>0</v>
      </c>
      <c r="CZ126" s="648">
        <f t="shared" si="514"/>
        <v>0</v>
      </c>
      <c r="DA126" s="648">
        <f t="shared" si="514"/>
        <v>0</v>
      </c>
      <c r="DB126" s="648">
        <f t="shared" si="514"/>
        <v>0</v>
      </c>
      <c r="DC126" s="648">
        <f t="shared" si="514"/>
        <v>0</v>
      </c>
      <c r="DD126" s="648">
        <f t="shared" si="514"/>
        <v>0</v>
      </c>
      <c r="DE126" s="648">
        <f t="shared" si="514"/>
        <v>0</v>
      </c>
      <c r="DF126" s="648">
        <f t="shared" si="514"/>
        <v>0</v>
      </c>
      <c r="DG126" s="648">
        <f t="shared" si="514"/>
        <v>0</v>
      </c>
      <c r="DH126" s="648">
        <f t="shared" si="514"/>
        <v>0</v>
      </c>
      <c r="DI126" s="648">
        <f t="shared" si="514"/>
        <v>0</v>
      </c>
      <c r="DJ126" s="648">
        <f t="shared" si="514"/>
        <v>0</v>
      </c>
      <c r="DK126" s="648">
        <f t="shared" si="514"/>
        <v>0</v>
      </c>
      <c r="DL126" s="648">
        <f t="shared" si="514"/>
        <v>0</v>
      </c>
      <c r="DM126" s="648">
        <f t="shared" si="514"/>
        <v>0</v>
      </c>
      <c r="DN126" s="648">
        <f t="shared" si="514"/>
        <v>0</v>
      </c>
      <c r="DO126" s="648">
        <f t="shared" si="514"/>
        <v>0</v>
      </c>
      <c r="DP126" s="648">
        <f t="shared" si="514"/>
        <v>0</v>
      </c>
      <c r="DQ126" s="648">
        <f t="shared" si="514"/>
        <v>0</v>
      </c>
      <c r="DR126" s="648">
        <f t="shared" si="514"/>
        <v>0</v>
      </c>
      <c r="DS126" s="648">
        <f t="shared" si="514"/>
        <v>0</v>
      </c>
      <c r="DT126" s="648">
        <f t="shared" si="514"/>
        <v>0</v>
      </c>
      <c r="DU126" s="648">
        <f t="shared" si="514"/>
        <v>0</v>
      </c>
      <c r="DV126" s="648">
        <f t="shared" si="514"/>
        <v>0</v>
      </c>
      <c r="DW126" s="648">
        <f t="shared" si="514"/>
        <v>0</v>
      </c>
      <c r="DX126" s="648">
        <f t="shared" si="514"/>
        <v>0</v>
      </c>
      <c r="DY126" s="648">
        <f t="shared" si="514"/>
        <v>0</v>
      </c>
      <c r="DZ126" s="648">
        <f t="shared" si="514"/>
        <v>0</v>
      </c>
      <c r="EF126" s="51">
        <v>0</v>
      </c>
      <c r="EG126" s="51"/>
      <c r="EH126" s="51"/>
      <c r="EI126" s="51"/>
      <c r="EJ126" s="51"/>
    </row>
    <row r="127" spans="1:143" ht="16" thickBot="1" x14ac:dyDescent="0.25">
      <c r="A127" s="1"/>
      <c r="B127" t="str">
        <f t="shared" si="498"/>
        <v>Leakage Ocean</v>
      </c>
      <c r="C127" s="54" t="s">
        <v>114</v>
      </c>
      <c r="D127" s="648">
        <f t="shared" ref="D127:AH127" si="515">D29*$EF127</f>
        <v>0</v>
      </c>
      <c r="E127" s="648">
        <f t="shared" si="515"/>
        <v>0</v>
      </c>
      <c r="F127" s="648">
        <f t="shared" si="515"/>
        <v>0</v>
      </c>
      <c r="G127" s="648">
        <f t="shared" si="515"/>
        <v>0</v>
      </c>
      <c r="H127" s="648">
        <f t="shared" si="515"/>
        <v>0</v>
      </c>
      <c r="I127" s="648">
        <f t="shared" si="515"/>
        <v>0</v>
      </c>
      <c r="J127" s="648">
        <f t="shared" si="515"/>
        <v>0</v>
      </c>
      <c r="K127" s="648">
        <f t="shared" si="515"/>
        <v>0</v>
      </c>
      <c r="L127" s="648">
        <f t="shared" si="515"/>
        <v>0</v>
      </c>
      <c r="M127" s="648">
        <f t="shared" si="515"/>
        <v>0</v>
      </c>
      <c r="N127" s="648">
        <f t="shared" si="515"/>
        <v>0</v>
      </c>
      <c r="O127" s="648">
        <f t="shared" si="515"/>
        <v>0</v>
      </c>
      <c r="P127" s="648">
        <f t="shared" si="515"/>
        <v>0</v>
      </c>
      <c r="Q127" s="648">
        <f t="shared" si="515"/>
        <v>0</v>
      </c>
      <c r="R127" s="648">
        <f t="shared" si="515"/>
        <v>0</v>
      </c>
      <c r="S127" s="648">
        <f t="shared" si="515"/>
        <v>0</v>
      </c>
      <c r="T127" s="648">
        <f t="shared" si="515"/>
        <v>0</v>
      </c>
      <c r="U127" s="648">
        <f t="shared" si="515"/>
        <v>0</v>
      </c>
      <c r="V127" s="648">
        <f t="shared" si="515"/>
        <v>0</v>
      </c>
      <c r="W127" s="648">
        <f t="shared" si="515"/>
        <v>0</v>
      </c>
      <c r="X127" s="648">
        <f t="shared" si="515"/>
        <v>0</v>
      </c>
      <c r="Y127" s="648">
        <f t="shared" si="515"/>
        <v>0</v>
      </c>
      <c r="Z127" s="648">
        <f t="shared" si="515"/>
        <v>0</v>
      </c>
      <c r="AA127" s="648">
        <f t="shared" si="515"/>
        <v>0</v>
      </c>
      <c r="AB127" s="648">
        <f t="shared" si="515"/>
        <v>0</v>
      </c>
      <c r="AC127" s="648">
        <f t="shared" si="515"/>
        <v>0</v>
      </c>
      <c r="AD127" s="648">
        <f t="shared" si="515"/>
        <v>0</v>
      </c>
      <c r="AE127" s="648">
        <f t="shared" si="515"/>
        <v>0</v>
      </c>
      <c r="AF127" s="648">
        <f t="shared" si="515"/>
        <v>0</v>
      </c>
      <c r="AG127" s="648">
        <f t="shared" si="515"/>
        <v>0</v>
      </c>
      <c r="AH127" s="648">
        <f t="shared" si="515"/>
        <v>0</v>
      </c>
      <c r="AI127" s="648"/>
      <c r="AJ127" s="648">
        <f t="shared" ref="AJ127:BN127" si="516">AJ29*$EF127</f>
        <v>0</v>
      </c>
      <c r="AK127" s="648">
        <f t="shared" si="516"/>
        <v>0</v>
      </c>
      <c r="AL127" s="648">
        <f t="shared" si="516"/>
        <v>0</v>
      </c>
      <c r="AM127" s="648">
        <f t="shared" si="516"/>
        <v>0</v>
      </c>
      <c r="AN127" s="648">
        <f t="shared" si="516"/>
        <v>0</v>
      </c>
      <c r="AO127" s="648">
        <f t="shared" si="516"/>
        <v>0</v>
      </c>
      <c r="AP127" s="648">
        <f t="shared" si="516"/>
        <v>0</v>
      </c>
      <c r="AQ127" s="648">
        <f t="shared" si="516"/>
        <v>0</v>
      </c>
      <c r="AR127" s="648">
        <f t="shared" si="516"/>
        <v>0</v>
      </c>
      <c r="AS127" s="648">
        <f t="shared" si="516"/>
        <v>0</v>
      </c>
      <c r="AT127" s="648">
        <f t="shared" si="516"/>
        <v>0</v>
      </c>
      <c r="AU127" s="648">
        <f t="shared" si="516"/>
        <v>0</v>
      </c>
      <c r="AV127" s="648">
        <f t="shared" si="516"/>
        <v>0</v>
      </c>
      <c r="AW127" s="648">
        <f t="shared" si="516"/>
        <v>0</v>
      </c>
      <c r="AX127" s="648">
        <f t="shared" si="516"/>
        <v>0</v>
      </c>
      <c r="AY127" s="648">
        <f t="shared" si="516"/>
        <v>0</v>
      </c>
      <c r="AZ127" s="648">
        <f t="shared" si="516"/>
        <v>0</v>
      </c>
      <c r="BA127" s="648">
        <f t="shared" si="516"/>
        <v>0</v>
      </c>
      <c r="BB127" s="648">
        <f t="shared" si="516"/>
        <v>0</v>
      </c>
      <c r="BC127" s="648">
        <f t="shared" si="516"/>
        <v>0</v>
      </c>
      <c r="BD127" s="648">
        <f t="shared" si="516"/>
        <v>0</v>
      </c>
      <c r="BE127" s="648">
        <f t="shared" si="516"/>
        <v>0</v>
      </c>
      <c r="BF127" s="648">
        <f t="shared" si="516"/>
        <v>0</v>
      </c>
      <c r="BG127" s="648">
        <f t="shared" si="516"/>
        <v>0</v>
      </c>
      <c r="BH127" s="648">
        <f t="shared" si="516"/>
        <v>0</v>
      </c>
      <c r="BI127" s="648">
        <f t="shared" si="516"/>
        <v>0</v>
      </c>
      <c r="BJ127" s="648">
        <f t="shared" si="516"/>
        <v>0</v>
      </c>
      <c r="BK127" s="648">
        <f t="shared" si="516"/>
        <v>0</v>
      </c>
      <c r="BL127" s="648">
        <f t="shared" si="516"/>
        <v>0</v>
      </c>
      <c r="BM127" s="648">
        <f t="shared" si="516"/>
        <v>0</v>
      </c>
      <c r="BN127" s="648">
        <f t="shared" si="516"/>
        <v>0</v>
      </c>
      <c r="BO127" s="648"/>
      <c r="BP127" s="648">
        <f t="shared" ref="BP127:CT127" si="517">BP29*$EF127</f>
        <v>0</v>
      </c>
      <c r="BQ127" s="648">
        <f t="shared" si="517"/>
        <v>0</v>
      </c>
      <c r="BR127" s="648">
        <f t="shared" si="517"/>
        <v>0</v>
      </c>
      <c r="BS127" s="648">
        <f t="shared" si="517"/>
        <v>0</v>
      </c>
      <c r="BT127" s="648">
        <f t="shared" si="517"/>
        <v>0</v>
      </c>
      <c r="BU127" s="648">
        <f t="shared" si="517"/>
        <v>0</v>
      </c>
      <c r="BV127" s="648">
        <f t="shared" si="517"/>
        <v>0</v>
      </c>
      <c r="BW127" s="648">
        <f t="shared" si="517"/>
        <v>0</v>
      </c>
      <c r="BX127" s="648">
        <f t="shared" si="517"/>
        <v>0</v>
      </c>
      <c r="BY127" s="648">
        <f t="shared" si="517"/>
        <v>0</v>
      </c>
      <c r="BZ127" s="648">
        <f t="shared" si="517"/>
        <v>0</v>
      </c>
      <c r="CA127" s="648">
        <f t="shared" si="517"/>
        <v>0</v>
      </c>
      <c r="CB127" s="648">
        <f t="shared" si="517"/>
        <v>0</v>
      </c>
      <c r="CC127" s="648">
        <f t="shared" si="517"/>
        <v>0</v>
      </c>
      <c r="CD127" s="648">
        <f t="shared" si="517"/>
        <v>0</v>
      </c>
      <c r="CE127" s="648">
        <f t="shared" si="517"/>
        <v>0</v>
      </c>
      <c r="CF127" s="648">
        <f t="shared" si="517"/>
        <v>0</v>
      </c>
      <c r="CG127" s="648">
        <f t="shared" si="517"/>
        <v>0</v>
      </c>
      <c r="CH127" s="648">
        <f t="shared" si="517"/>
        <v>0</v>
      </c>
      <c r="CI127" s="648">
        <f t="shared" si="517"/>
        <v>0</v>
      </c>
      <c r="CJ127" s="648">
        <f t="shared" si="517"/>
        <v>0</v>
      </c>
      <c r="CK127" s="648">
        <f t="shared" si="517"/>
        <v>0</v>
      </c>
      <c r="CL127" s="648">
        <f t="shared" si="517"/>
        <v>0</v>
      </c>
      <c r="CM127" s="648">
        <f t="shared" si="517"/>
        <v>0</v>
      </c>
      <c r="CN127" s="648">
        <f t="shared" si="517"/>
        <v>0</v>
      </c>
      <c r="CO127" s="648">
        <f t="shared" si="517"/>
        <v>0</v>
      </c>
      <c r="CP127" s="648">
        <f t="shared" si="517"/>
        <v>0</v>
      </c>
      <c r="CQ127" s="648">
        <f t="shared" si="517"/>
        <v>0</v>
      </c>
      <c r="CR127" s="648">
        <f t="shared" si="517"/>
        <v>0</v>
      </c>
      <c r="CS127" s="648">
        <f t="shared" si="517"/>
        <v>0</v>
      </c>
      <c r="CT127" s="648">
        <f t="shared" si="517"/>
        <v>0</v>
      </c>
      <c r="CU127" s="648"/>
      <c r="CV127" s="648">
        <f t="shared" ref="CV127:DZ127" si="518">CV29*$EF127</f>
        <v>0</v>
      </c>
      <c r="CW127" s="648">
        <f t="shared" si="518"/>
        <v>0</v>
      </c>
      <c r="CX127" s="648">
        <f t="shared" si="518"/>
        <v>0</v>
      </c>
      <c r="CY127" s="648">
        <f t="shared" si="518"/>
        <v>0</v>
      </c>
      <c r="CZ127" s="648">
        <f t="shared" si="518"/>
        <v>0</v>
      </c>
      <c r="DA127" s="648">
        <f t="shared" si="518"/>
        <v>0</v>
      </c>
      <c r="DB127" s="648">
        <f t="shared" si="518"/>
        <v>0</v>
      </c>
      <c r="DC127" s="648">
        <f t="shared" si="518"/>
        <v>0</v>
      </c>
      <c r="DD127" s="648">
        <f t="shared" si="518"/>
        <v>0</v>
      </c>
      <c r="DE127" s="648">
        <f t="shared" si="518"/>
        <v>0</v>
      </c>
      <c r="DF127" s="648">
        <f t="shared" si="518"/>
        <v>0</v>
      </c>
      <c r="DG127" s="648">
        <f t="shared" si="518"/>
        <v>0</v>
      </c>
      <c r="DH127" s="648">
        <f t="shared" si="518"/>
        <v>0</v>
      </c>
      <c r="DI127" s="648">
        <f t="shared" si="518"/>
        <v>0</v>
      </c>
      <c r="DJ127" s="648">
        <f t="shared" si="518"/>
        <v>0</v>
      </c>
      <c r="DK127" s="648">
        <f t="shared" si="518"/>
        <v>0</v>
      </c>
      <c r="DL127" s="648">
        <f t="shared" si="518"/>
        <v>0</v>
      </c>
      <c r="DM127" s="648">
        <f t="shared" si="518"/>
        <v>0</v>
      </c>
      <c r="DN127" s="648">
        <f t="shared" si="518"/>
        <v>0</v>
      </c>
      <c r="DO127" s="648">
        <f t="shared" si="518"/>
        <v>0</v>
      </c>
      <c r="DP127" s="648">
        <f t="shared" si="518"/>
        <v>0</v>
      </c>
      <c r="DQ127" s="648">
        <f t="shared" si="518"/>
        <v>0</v>
      </c>
      <c r="DR127" s="648">
        <f t="shared" si="518"/>
        <v>0</v>
      </c>
      <c r="DS127" s="648">
        <f t="shared" si="518"/>
        <v>0</v>
      </c>
      <c r="DT127" s="648">
        <f t="shared" si="518"/>
        <v>0</v>
      </c>
      <c r="DU127" s="648">
        <f t="shared" si="518"/>
        <v>0</v>
      </c>
      <c r="DV127" s="648">
        <f t="shared" si="518"/>
        <v>0</v>
      </c>
      <c r="DW127" s="648">
        <f t="shared" si="518"/>
        <v>0</v>
      </c>
      <c r="DX127" s="648">
        <f t="shared" si="518"/>
        <v>0</v>
      </c>
      <c r="DY127" s="648">
        <f t="shared" si="518"/>
        <v>0</v>
      </c>
      <c r="DZ127" s="648">
        <f t="shared" si="518"/>
        <v>0</v>
      </c>
      <c r="EF127" s="51">
        <v>0</v>
      </c>
      <c r="EG127" s="51"/>
      <c r="EH127" s="51"/>
      <c r="EI127" s="51"/>
      <c r="EJ127" s="51"/>
    </row>
    <row r="128" spans="1:143" ht="16" thickBot="1" x14ac:dyDescent="0.25">
      <c r="A128" s="185" t="s">
        <v>117</v>
      </c>
      <c r="B128" s="488"/>
      <c r="C128" s="639" t="s">
        <v>114</v>
      </c>
      <c r="D128" s="647">
        <f t="shared" ref="D128:AH128" si="519">SUM(D105:D126)</f>
        <v>28276.408319880276</v>
      </c>
      <c r="E128" s="647">
        <f t="shared" si="519"/>
        <v>37625.128851481364</v>
      </c>
      <c r="F128" s="647">
        <f t="shared" si="519"/>
        <v>47745.257350714513</v>
      </c>
      <c r="G128" s="647">
        <f t="shared" si="519"/>
        <v>58098.976034839616</v>
      </c>
      <c r="H128" s="647">
        <f t="shared" si="519"/>
        <v>68105.230335010638</v>
      </c>
      <c r="I128" s="647">
        <f t="shared" si="519"/>
        <v>78248.691377457319</v>
      </c>
      <c r="J128" s="647">
        <f t="shared" si="519"/>
        <v>88869.502236194356</v>
      </c>
      <c r="K128" s="647">
        <f t="shared" si="519"/>
        <v>100150.40421908365</v>
      </c>
      <c r="L128" s="647">
        <f t="shared" si="519"/>
        <v>111117.19311244258</v>
      </c>
      <c r="M128" s="647">
        <f t="shared" si="519"/>
        <v>123244.69849363119</v>
      </c>
      <c r="N128" s="647">
        <f t="shared" si="519"/>
        <v>136051.22625309473</v>
      </c>
      <c r="O128" s="647">
        <f t="shared" si="519"/>
        <v>163055.79558875391</v>
      </c>
      <c r="P128" s="647">
        <f t="shared" si="519"/>
        <v>189369.29720945971</v>
      </c>
      <c r="Q128" s="647">
        <f t="shared" si="519"/>
        <v>217085.5029800442</v>
      </c>
      <c r="R128" s="647">
        <f t="shared" si="519"/>
        <v>245572.8763304351</v>
      </c>
      <c r="S128" s="647">
        <f t="shared" si="519"/>
        <v>273360.59502967354</v>
      </c>
      <c r="T128" s="647">
        <f t="shared" si="519"/>
        <v>318828.69153987919</v>
      </c>
      <c r="U128" s="647">
        <f t="shared" si="519"/>
        <v>362941.42036273098</v>
      </c>
      <c r="V128" s="647">
        <f t="shared" si="519"/>
        <v>406166.84987724619</v>
      </c>
      <c r="W128" s="647">
        <f t="shared" si="519"/>
        <v>447516.76743868412</v>
      </c>
      <c r="X128" s="647">
        <f t="shared" si="519"/>
        <v>488409.72329167958</v>
      </c>
      <c r="Y128" s="647">
        <f t="shared" si="519"/>
        <v>535116.52215812483</v>
      </c>
      <c r="Z128" s="647">
        <f t="shared" si="519"/>
        <v>575840.28190476878</v>
      </c>
      <c r="AA128" s="647">
        <f t="shared" si="519"/>
        <v>615982.74174519873</v>
      </c>
      <c r="AB128" s="647">
        <f t="shared" si="519"/>
        <v>654648.91892060463</v>
      </c>
      <c r="AC128" s="647">
        <f t="shared" si="519"/>
        <v>692826.7659241677</v>
      </c>
      <c r="AD128" s="647">
        <f t="shared" si="519"/>
        <v>712263.79938977421</v>
      </c>
      <c r="AE128" s="647">
        <f t="shared" si="519"/>
        <v>732063.03697328374</v>
      </c>
      <c r="AF128" s="647">
        <f t="shared" si="519"/>
        <v>751761.71405159438</v>
      </c>
      <c r="AG128" s="647">
        <f t="shared" si="519"/>
        <v>772361.34112442518</v>
      </c>
      <c r="AH128" s="647">
        <f t="shared" si="519"/>
        <v>793353.93224937213</v>
      </c>
      <c r="AI128" s="647"/>
      <c r="AJ128" s="647">
        <f t="shared" ref="AJ128:BN128" si="520">SUM(AJ105:AJ126)</f>
        <v>28276.387779828921</v>
      </c>
      <c r="AK128" s="647">
        <f t="shared" si="520"/>
        <v>36444.081576802193</v>
      </c>
      <c r="AL128" s="647">
        <f t="shared" si="520"/>
        <v>45189.739146960826</v>
      </c>
      <c r="AM128" s="647">
        <f t="shared" si="520"/>
        <v>54196.166386919635</v>
      </c>
      <c r="AN128" s="647">
        <f t="shared" si="520"/>
        <v>62807.12561454696</v>
      </c>
      <c r="AO128" s="647">
        <f t="shared" si="520"/>
        <v>71505.939427910795</v>
      </c>
      <c r="AP128" s="647">
        <f t="shared" si="520"/>
        <v>80680.754970548864</v>
      </c>
      <c r="AQ128" s="647">
        <f t="shared" si="520"/>
        <v>90469.14167894343</v>
      </c>
      <c r="AR128" s="647">
        <f t="shared" si="520"/>
        <v>99895.226862587762</v>
      </c>
      <c r="AS128" s="647">
        <f t="shared" si="520"/>
        <v>110431.60381074573</v>
      </c>
      <c r="AT128" s="647">
        <f t="shared" si="520"/>
        <v>121593.36904365494</v>
      </c>
      <c r="AU128" s="647">
        <f t="shared" si="520"/>
        <v>146231.60045732182</v>
      </c>
      <c r="AV128" s="647">
        <f t="shared" si="520"/>
        <v>170305.94839668489</v>
      </c>
      <c r="AW128" s="647">
        <f t="shared" si="520"/>
        <v>195492.44157072381</v>
      </c>
      <c r="AX128" s="647">
        <f t="shared" si="520"/>
        <v>221373.68815014383</v>
      </c>
      <c r="AY128" s="647">
        <f t="shared" si="520"/>
        <v>246478.83842018471</v>
      </c>
      <c r="AZ128" s="647">
        <f t="shared" si="520"/>
        <v>289190.28311563749</v>
      </c>
      <c r="BA128" s="647">
        <f t="shared" si="520"/>
        <v>330463.19107865292</v>
      </c>
      <c r="BB128" s="647">
        <f t="shared" si="520"/>
        <v>370782.91818207735</v>
      </c>
      <c r="BC128" s="647">
        <f t="shared" si="520"/>
        <v>409167.66518462414</v>
      </c>
      <c r="BD128" s="647">
        <f t="shared" si="520"/>
        <v>447037.0130650223</v>
      </c>
      <c r="BE128" s="647">
        <f t="shared" si="520"/>
        <v>489414.54981771787</v>
      </c>
      <c r="BF128" s="647">
        <f t="shared" si="520"/>
        <v>526487.05597148626</v>
      </c>
      <c r="BG128" s="647">
        <f t="shared" si="520"/>
        <v>562944.4927497165</v>
      </c>
      <c r="BH128" s="647">
        <f t="shared" si="520"/>
        <v>597855.14732021862</v>
      </c>
      <c r="BI128" s="647">
        <f t="shared" si="520"/>
        <v>632201.9132583444</v>
      </c>
      <c r="BJ128" s="647">
        <f t="shared" si="520"/>
        <v>647753.07864424924</v>
      </c>
      <c r="BK128" s="647">
        <f t="shared" si="520"/>
        <v>663593.43175971974</v>
      </c>
      <c r="BL128" s="647">
        <f t="shared" si="520"/>
        <v>679258.09499752428</v>
      </c>
      <c r="BM128" s="647">
        <f t="shared" si="520"/>
        <v>695752.70043704391</v>
      </c>
      <c r="BN128" s="647">
        <f t="shared" si="520"/>
        <v>712468.45046611456</v>
      </c>
      <c r="BO128" s="647"/>
      <c r="BP128" s="647">
        <f t="shared" ref="BP128:CT128" si="521">SUM(BP105:BP126)</f>
        <v>28276.362415478063</v>
      </c>
      <c r="BQ128" s="647">
        <f t="shared" si="521"/>
        <v>28948.309530859558</v>
      </c>
      <c r="BR128" s="647">
        <f t="shared" si="521"/>
        <v>29593.593967396493</v>
      </c>
      <c r="BS128" s="647">
        <f t="shared" si="521"/>
        <v>30209.242661424902</v>
      </c>
      <c r="BT128" s="647">
        <f t="shared" si="521"/>
        <v>30792.477187373937</v>
      </c>
      <c r="BU128" s="647">
        <f t="shared" si="521"/>
        <v>31340.748294656463</v>
      </c>
      <c r="BV128" s="647">
        <f t="shared" si="521"/>
        <v>31890.289111377973</v>
      </c>
      <c r="BW128" s="647">
        <f t="shared" si="521"/>
        <v>32440.806913660515</v>
      </c>
      <c r="BX128" s="647">
        <f t="shared" si="521"/>
        <v>32992.007530173061</v>
      </c>
      <c r="BY128" s="647">
        <f t="shared" si="521"/>
        <v>33543.596026247549</v>
      </c>
      <c r="BZ128" s="647">
        <f t="shared" si="521"/>
        <v>34095.277407096262</v>
      </c>
      <c r="CA128" s="647">
        <f t="shared" si="521"/>
        <v>34618.994972061213</v>
      </c>
      <c r="CB128" s="647">
        <f t="shared" si="521"/>
        <v>35113.272049309526</v>
      </c>
      <c r="CC128" s="647">
        <f t="shared" si="521"/>
        <v>35576.805346803798</v>
      </c>
      <c r="CD128" s="647">
        <f t="shared" si="521"/>
        <v>36008.478487540167</v>
      </c>
      <c r="CE128" s="647">
        <f t="shared" si="521"/>
        <v>36407.373965622217</v>
      </c>
      <c r="CF128" s="647">
        <f t="shared" si="521"/>
        <v>36809.127316154889</v>
      </c>
      <c r="CG128" s="647">
        <f t="shared" si="521"/>
        <v>37213.771315450453</v>
      </c>
      <c r="CH128" s="647">
        <f t="shared" si="521"/>
        <v>37621.340455410253</v>
      </c>
      <c r="CI128" s="647">
        <f t="shared" si="521"/>
        <v>38031.87099575797</v>
      </c>
      <c r="CJ128" s="647">
        <f t="shared" si="521"/>
        <v>38445.401016756667</v>
      </c>
      <c r="CK128" s="647">
        <f t="shared" si="521"/>
        <v>38862.19939232021</v>
      </c>
      <c r="CL128" s="647">
        <f t="shared" si="521"/>
        <v>39282.311950208692</v>
      </c>
      <c r="CM128" s="647">
        <f t="shared" si="521"/>
        <v>39705.786367699911</v>
      </c>
      <c r="CN128" s="647">
        <f t="shared" si="521"/>
        <v>40132.672220883258</v>
      </c>
      <c r="CO128" s="647">
        <f t="shared" si="521"/>
        <v>40563.021034426361</v>
      </c>
      <c r="CP128" s="647">
        <f t="shared" si="521"/>
        <v>40997.087794478466</v>
      </c>
      <c r="CQ128" s="647">
        <f t="shared" si="521"/>
        <v>41434.931149345568</v>
      </c>
      <c r="CR128" s="647">
        <f t="shared" si="521"/>
        <v>41876.611734318256</v>
      </c>
      <c r="CS128" s="647">
        <f t="shared" si="521"/>
        <v>42322.192219316385</v>
      </c>
      <c r="CT128" s="647">
        <f t="shared" si="521"/>
        <v>42771.73735701666</v>
      </c>
      <c r="CU128" s="647"/>
      <c r="CV128" s="647">
        <f t="shared" ref="CV128:DZ128" si="522">SUM(CV105:CV126)</f>
        <v>28276.387779828921</v>
      </c>
      <c r="CW128" s="647">
        <f t="shared" si="522"/>
        <v>29686.355863496938</v>
      </c>
      <c r="CX128" s="647">
        <f t="shared" si="522"/>
        <v>31247.507188018513</v>
      </c>
      <c r="CY128" s="647">
        <f t="shared" si="522"/>
        <v>32788.191321017875</v>
      </c>
      <c r="CZ128" s="647">
        <f t="shared" si="522"/>
        <v>34292.947959712554</v>
      </c>
      <c r="DA128" s="647">
        <f t="shared" si="522"/>
        <v>35751.483119260905</v>
      </c>
      <c r="DB128" s="647">
        <f t="shared" si="522"/>
        <v>37190.755700182257</v>
      </c>
      <c r="DC128" s="647">
        <f t="shared" si="522"/>
        <v>38645.895804146261</v>
      </c>
      <c r="DD128" s="647">
        <f t="shared" si="522"/>
        <v>40116.106734162211</v>
      </c>
      <c r="DE128" s="647">
        <f t="shared" si="522"/>
        <v>41601.321180426035</v>
      </c>
      <c r="DF128" s="647">
        <f t="shared" si="522"/>
        <v>43101.714356572833</v>
      </c>
      <c r="DG128" s="647">
        <f t="shared" si="522"/>
        <v>45176.557565561125</v>
      </c>
      <c r="DH128" s="647">
        <f t="shared" si="522"/>
        <v>47231.479541562971</v>
      </c>
      <c r="DI128" s="647">
        <f t="shared" si="522"/>
        <v>49150.686609551558</v>
      </c>
      <c r="DJ128" s="647">
        <f t="shared" si="522"/>
        <v>50983.334913295679</v>
      </c>
      <c r="DK128" s="647">
        <f t="shared" si="522"/>
        <v>52718.699659522215</v>
      </c>
      <c r="DL128" s="647">
        <f t="shared" si="522"/>
        <v>54459.378544473962</v>
      </c>
      <c r="DM128" s="647">
        <f t="shared" si="522"/>
        <v>56178.556103058167</v>
      </c>
      <c r="DN128" s="647">
        <f t="shared" si="522"/>
        <v>57863.601767189219</v>
      </c>
      <c r="DO128" s="647">
        <f t="shared" si="522"/>
        <v>59502.56213649836</v>
      </c>
      <c r="DP128" s="647">
        <f t="shared" si="522"/>
        <v>61036.617221852881</v>
      </c>
      <c r="DQ128" s="647">
        <f t="shared" si="522"/>
        <v>63217.641990820142</v>
      </c>
      <c r="DR128" s="647">
        <f t="shared" si="522"/>
        <v>65524.510672548968</v>
      </c>
      <c r="DS128" s="647">
        <f t="shared" si="522"/>
        <v>67722.019103527971</v>
      </c>
      <c r="DT128" s="647">
        <f t="shared" si="522"/>
        <v>69838.985933296542</v>
      </c>
      <c r="DU128" s="647">
        <f t="shared" si="522"/>
        <v>71863.729307248068</v>
      </c>
      <c r="DV128" s="647">
        <f t="shared" si="522"/>
        <v>73775.594925231766</v>
      </c>
      <c r="DW128" s="647">
        <f t="shared" si="522"/>
        <v>75601.671282487368</v>
      </c>
      <c r="DX128" s="647">
        <f t="shared" si="522"/>
        <v>77345.958534651203</v>
      </c>
      <c r="DY128" s="647">
        <f t="shared" si="522"/>
        <v>79012.333468657293</v>
      </c>
      <c r="DZ128" s="647">
        <f t="shared" si="522"/>
        <v>80456.339455671739</v>
      </c>
    </row>
    <row r="130" spans="1:143" ht="16" thickBot="1" x14ac:dyDescent="0.25">
      <c r="A130" s="637" t="s">
        <v>1944</v>
      </c>
      <c r="B130" s="637"/>
      <c r="C130" s="638"/>
      <c r="D130" s="637"/>
      <c r="E130" s="637"/>
      <c r="F130" s="637"/>
      <c r="G130" s="637"/>
      <c r="H130" s="637"/>
      <c r="I130" s="637"/>
      <c r="J130" s="637"/>
      <c r="K130" s="637"/>
      <c r="L130" s="637"/>
      <c r="M130" s="637"/>
      <c r="N130" s="637"/>
      <c r="O130" s="637"/>
      <c r="P130" s="637"/>
      <c r="Q130" s="637"/>
      <c r="R130" s="637"/>
      <c r="S130" s="637"/>
      <c r="T130" s="637"/>
      <c r="U130" s="637"/>
      <c r="V130" s="637"/>
      <c r="W130" s="637"/>
      <c r="X130" s="637"/>
      <c r="Y130" s="637"/>
      <c r="Z130" s="637"/>
      <c r="AA130" s="637"/>
      <c r="AB130" s="637"/>
      <c r="AC130" s="637"/>
      <c r="AD130" s="637"/>
      <c r="AE130" s="637"/>
      <c r="AF130" s="637"/>
      <c r="AG130" s="637"/>
      <c r="AH130" s="637"/>
      <c r="AI130" s="637"/>
      <c r="AJ130" s="637"/>
      <c r="AK130" s="637"/>
      <c r="AL130" s="637"/>
      <c r="AM130" s="637"/>
      <c r="AN130" s="637"/>
      <c r="AO130" s="637"/>
      <c r="AP130" s="637"/>
      <c r="AQ130" s="637"/>
      <c r="AR130" s="637"/>
      <c r="AS130" s="637"/>
      <c r="AT130" s="637"/>
      <c r="AU130" s="637"/>
      <c r="AV130" s="637"/>
      <c r="AW130" s="637"/>
      <c r="AX130" s="637"/>
      <c r="AY130" s="637"/>
      <c r="AZ130" s="637"/>
      <c r="BA130" s="637"/>
      <c r="BB130" s="637"/>
      <c r="BC130" s="637"/>
      <c r="BD130" s="637"/>
      <c r="BE130" s="637"/>
      <c r="BF130" s="637"/>
      <c r="BG130" s="637"/>
      <c r="BH130" s="637"/>
      <c r="BI130" s="637"/>
      <c r="BJ130" s="637"/>
      <c r="BK130" s="637"/>
      <c r="BL130" s="637"/>
      <c r="BM130" s="637"/>
      <c r="BN130" s="637"/>
      <c r="BO130" s="637"/>
      <c r="BP130" s="637"/>
      <c r="BQ130" s="637"/>
      <c r="BR130" s="637"/>
      <c r="BS130" s="637"/>
      <c r="BT130" s="637"/>
      <c r="BU130" s="637"/>
      <c r="BV130" s="637"/>
      <c r="BW130" s="637"/>
      <c r="BX130" s="637"/>
      <c r="BY130" s="637"/>
      <c r="BZ130" s="637"/>
      <c r="CA130" s="637"/>
      <c r="CB130" s="637"/>
      <c r="CC130" s="637"/>
      <c r="CD130" s="637"/>
      <c r="CE130" s="637"/>
      <c r="CF130" s="637"/>
      <c r="CG130" s="637"/>
      <c r="CH130" s="637"/>
      <c r="CI130" s="637"/>
      <c r="CJ130" s="637"/>
      <c r="CK130" s="637"/>
      <c r="CL130" s="637"/>
      <c r="CM130" s="637"/>
      <c r="CN130" s="637"/>
      <c r="CO130" s="637"/>
      <c r="CP130" s="637"/>
      <c r="CQ130" s="637"/>
      <c r="CR130" s="637"/>
      <c r="CS130" s="637"/>
      <c r="CT130" s="637"/>
      <c r="CU130" s="637"/>
      <c r="CV130" s="637"/>
      <c r="CW130" s="637"/>
      <c r="CX130" s="637"/>
      <c r="CY130" s="637"/>
      <c r="CZ130" s="637"/>
      <c r="DA130" s="637"/>
      <c r="DB130" s="637"/>
      <c r="DC130" s="637"/>
      <c r="DD130" s="637"/>
      <c r="DE130" s="637"/>
      <c r="DF130" s="637"/>
      <c r="DG130" s="637"/>
      <c r="DH130" s="637"/>
      <c r="DI130" s="637"/>
      <c r="DJ130" s="637"/>
      <c r="DK130" s="637"/>
      <c r="DL130" s="637"/>
      <c r="DM130" s="637"/>
      <c r="DN130" s="637"/>
      <c r="DO130" s="637"/>
      <c r="DP130" s="637"/>
      <c r="DQ130" s="637"/>
      <c r="DR130" s="637"/>
      <c r="DS130" s="637"/>
      <c r="DT130" s="637"/>
      <c r="DU130" s="637"/>
      <c r="DV130" s="637"/>
      <c r="DW130" s="637"/>
      <c r="DX130" s="637"/>
      <c r="DY130" s="637"/>
      <c r="DZ130" s="637"/>
      <c r="EF130" s="181">
        <v>2020</v>
      </c>
      <c r="EK130" t="s">
        <v>113</v>
      </c>
      <c r="EM130" t="s">
        <v>96</v>
      </c>
    </row>
    <row r="131" spans="1:143" x14ac:dyDescent="0.2">
      <c r="B131" t="str">
        <f>B78</f>
        <v>Fuel additive elimination</v>
      </c>
      <c r="C131" s="54" t="s">
        <v>114</v>
      </c>
      <c r="D131" s="648"/>
      <c r="E131" s="648"/>
      <c r="F131" s="648"/>
      <c r="G131" s="648"/>
      <c r="H131" s="648"/>
      <c r="I131" s="648"/>
      <c r="J131" s="648"/>
      <c r="K131" s="648"/>
      <c r="L131" s="648"/>
      <c r="M131" s="648"/>
      <c r="N131" s="648"/>
      <c r="O131" s="648"/>
      <c r="P131" s="648"/>
      <c r="Q131" s="648"/>
      <c r="R131" s="648"/>
      <c r="S131" s="648"/>
      <c r="T131" s="648"/>
      <c r="U131" s="648"/>
      <c r="V131" s="648"/>
      <c r="W131" s="648"/>
      <c r="X131" s="648"/>
      <c r="Y131" s="648"/>
      <c r="Z131" s="648"/>
      <c r="AA131" s="648"/>
      <c r="AB131" s="648"/>
      <c r="AC131" s="648"/>
      <c r="AD131" s="648"/>
      <c r="AE131" s="648"/>
      <c r="AF131" s="648"/>
      <c r="AG131" s="648"/>
      <c r="AH131" s="648"/>
      <c r="AI131" s="648"/>
      <c r="AJ131" s="648"/>
      <c r="AK131" s="648"/>
      <c r="AL131" s="648"/>
      <c r="AM131" s="648"/>
      <c r="AN131" s="648"/>
      <c r="AO131" s="648"/>
      <c r="AP131" s="648"/>
      <c r="AQ131" s="648"/>
      <c r="AR131" s="648"/>
      <c r="AS131" s="648"/>
      <c r="AT131" s="648"/>
      <c r="AU131" s="648"/>
      <c r="AV131" s="648"/>
      <c r="AW131" s="648"/>
      <c r="AX131" s="648"/>
      <c r="AY131" s="648"/>
      <c r="AZ131" s="648"/>
      <c r="BA131" s="648"/>
      <c r="BB131" s="648"/>
      <c r="BC131" s="648"/>
      <c r="BD131" s="648"/>
      <c r="BE131" s="648"/>
      <c r="BF131" s="648"/>
      <c r="BG131" s="648"/>
      <c r="BH131" s="648"/>
      <c r="BI131" s="648"/>
      <c r="BJ131" s="648"/>
      <c r="BK131" s="648"/>
      <c r="BL131" s="648"/>
      <c r="BM131" s="648"/>
      <c r="BN131" s="648"/>
      <c r="BO131" s="648"/>
      <c r="BP131" s="648"/>
      <c r="BQ131" s="648"/>
      <c r="BR131" s="648"/>
      <c r="BS131" s="648"/>
      <c r="BT131" s="648"/>
      <c r="BU131" s="648"/>
      <c r="BV131" s="648"/>
      <c r="BW131" s="648"/>
      <c r="BX131" s="648"/>
      <c r="BY131" s="648"/>
      <c r="BZ131" s="648"/>
      <c r="CA131" s="648"/>
      <c r="CB131" s="648"/>
      <c r="CC131" s="648"/>
      <c r="CD131" s="648"/>
      <c r="CE131" s="648"/>
      <c r="CF131" s="648"/>
      <c r="CG131" s="648"/>
      <c r="CH131" s="648"/>
      <c r="CI131" s="648"/>
      <c r="CJ131" s="648"/>
      <c r="CK131" s="648"/>
      <c r="CL131" s="648"/>
      <c r="CM131" s="648"/>
      <c r="CN131" s="648"/>
      <c r="CO131" s="648"/>
      <c r="CP131" s="648"/>
      <c r="CQ131" s="648"/>
      <c r="CR131" s="648"/>
      <c r="CS131" s="648"/>
      <c r="CT131" s="648"/>
      <c r="CU131" s="648"/>
      <c r="CV131" s="648"/>
      <c r="CW131" s="648"/>
      <c r="CX131" s="648"/>
      <c r="CY131" s="648"/>
      <c r="CZ131" s="648"/>
      <c r="DA131" s="648"/>
      <c r="DB131" s="648"/>
      <c r="DC131" s="648"/>
      <c r="DD131" s="648"/>
      <c r="DE131" s="648"/>
      <c r="DF131" s="648"/>
      <c r="DG131" s="648"/>
      <c r="DH131" s="648"/>
      <c r="DI131" s="648"/>
      <c r="DJ131" s="648"/>
      <c r="DK131" s="648"/>
      <c r="DL131" s="648"/>
      <c r="DM131" s="648"/>
      <c r="DN131" s="648"/>
      <c r="DO131" s="648"/>
      <c r="DP131" s="648"/>
      <c r="DQ131" s="648"/>
      <c r="DR131" s="648"/>
      <c r="DS131" s="648"/>
      <c r="DT131" s="648"/>
      <c r="DU131" s="648"/>
      <c r="DV131" s="648"/>
      <c r="DW131" s="648"/>
      <c r="DX131" s="648"/>
      <c r="DY131" s="648"/>
      <c r="DZ131" s="648"/>
      <c r="EF131" s="51"/>
      <c r="EG131" s="51"/>
      <c r="EH131" s="51"/>
      <c r="EI131" s="51"/>
      <c r="EJ131" s="51"/>
      <c r="EM131" t="s">
        <v>98</v>
      </c>
    </row>
    <row r="132" spans="1:143" x14ac:dyDescent="0.2">
      <c r="A132" s="1"/>
      <c r="B132" t="str">
        <f t="shared" ref="B132:B154" si="523">B79</f>
        <v>Packaging reduction</v>
      </c>
      <c r="C132" s="54" t="s">
        <v>114</v>
      </c>
      <c r="D132" s="648"/>
      <c r="E132" s="648"/>
      <c r="F132" s="648"/>
      <c r="G132" s="648"/>
      <c r="H132" s="648"/>
      <c r="I132" s="648"/>
      <c r="J132" s="648"/>
      <c r="K132" s="648"/>
      <c r="L132" s="648"/>
      <c r="M132" s="648"/>
      <c r="N132" s="648"/>
      <c r="O132" s="648"/>
      <c r="P132" s="648"/>
      <c r="Q132" s="648"/>
      <c r="R132" s="648"/>
      <c r="S132" s="648"/>
      <c r="T132" s="648"/>
      <c r="U132" s="648"/>
      <c r="V132" s="648"/>
      <c r="W132" s="648"/>
      <c r="X132" s="648"/>
      <c r="Y132" s="648"/>
      <c r="Z132" s="648"/>
      <c r="AA132" s="648"/>
      <c r="AB132" s="648"/>
      <c r="AC132" s="648"/>
      <c r="AD132" s="648"/>
      <c r="AE132" s="648"/>
      <c r="AF132" s="648"/>
      <c r="AG132" s="648"/>
      <c r="AH132" s="648"/>
      <c r="AI132" s="648"/>
      <c r="AJ132" s="648"/>
      <c r="AK132" s="648"/>
      <c r="AL132" s="648"/>
      <c r="AM132" s="648"/>
      <c r="AN132" s="648"/>
      <c r="AO132" s="648"/>
      <c r="AP132" s="648"/>
      <c r="AQ132" s="648"/>
      <c r="AR132" s="648"/>
      <c r="AS132" s="648"/>
      <c r="AT132" s="648"/>
      <c r="AU132" s="648"/>
      <c r="AV132" s="648"/>
      <c r="AW132" s="648"/>
      <c r="AX132" s="648"/>
      <c r="AY132" s="648"/>
      <c r="AZ132" s="648"/>
      <c r="BA132" s="648"/>
      <c r="BB132" s="648"/>
      <c r="BC132" s="648"/>
      <c r="BD132" s="648"/>
      <c r="BE132" s="648"/>
      <c r="BF132" s="648"/>
      <c r="BG132" s="648"/>
      <c r="BH132" s="648"/>
      <c r="BI132" s="648"/>
      <c r="BJ132" s="648"/>
      <c r="BK132" s="648"/>
      <c r="BL132" s="648"/>
      <c r="BM132" s="648"/>
      <c r="BN132" s="648"/>
      <c r="BO132" s="648"/>
      <c r="BP132" s="648"/>
      <c r="BQ132" s="648"/>
      <c r="BR132" s="648"/>
      <c r="BS132" s="648"/>
      <c r="BT132" s="648"/>
      <c r="BU132" s="648"/>
      <c r="BV132" s="648"/>
      <c r="BW132" s="648"/>
      <c r="BX132" s="648"/>
      <c r="BY132" s="648"/>
      <c r="BZ132" s="648"/>
      <c r="CA132" s="648"/>
      <c r="CB132" s="648"/>
      <c r="CC132" s="648"/>
      <c r="CD132" s="648"/>
      <c r="CE132" s="648"/>
      <c r="CF132" s="648"/>
      <c r="CG132" s="648"/>
      <c r="CH132" s="648"/>
      <c r="CI132" s="648"/>
      <c r="CJ132" s="648"/>
      <c r="CK132" s="648"/>
      <c r="CL132" s="648"/>
      <c r="CM132" s="648"/>
      <c r="CN132" s="648"/>
      <c r="CO132" s="648"/>
      <c r="CP132" s="648"/>
      <c r="CQ132" s="648"/>
      <c r="CR132" s="648"/>
      <c r="CS132" s="648"/>
      <c r="CT132" s="648"/>
      <c r="CU132" s="648"/>
      <c r="CV132" s="648"/>
      <c r="CW132" s="648"/>
      <c r="CX132" s="648"/>
      <c r="CY132" s="648"/>
      <c r="CZ132" s="648"/>
      <c r="DA132" s="648"/>
      <c r="DB132" s="648"/>
      <c r="DC132" s="648"/>
      <c r="DD132" s="648"/>
      <c r="DE132" s="648"/>
      <c r="DF132" s="648"/>
      <c r="DG132" s="648"/>
      <c r="DH132" s="648"/>
      <c r="DI132" s="648"/>
      <c r="DJ132" s="648"/>
      <c r="DK132" s="648"/>
      <c r="DL132" s="648"/>
      <c r="DM132" s="648"/>
      <c r="DN132" s="648"/>
      <c r="DO132" s="648"/>
      <c r="DP132" s="648"/>
      <c r="DQ132" s="648"/>
      <c r="DR132" s="648"/>
      <c r="DS132" s="648"/>
      <c r="DT132" s="648"/>
      <c r="DU132" s="648"/>
      <c r="DV132" s="648"/>
      <c r="DW132" s="648"/>
      <c r="DX132" s="648"/>
      <c r="DY132" s="648"/>
      <c r="DZ132" s="648"/>
      <c r="EF132" s="51"/>
      <c r="EG132" s="51"/>
      <c r="EH132" s="51"/>
      <c r="EI132" s="51"/>
      <c r="EJ132" s="51"/>
      <c r="EM132" t="s">
        <v>99</v>
      </c>
    </row>
    <row r="133" spans="1:143" x14ac:dyDescent="0.2">
      <c r="A133" s="1"/>
      <c r="B133" t="str">
        <f t="shared" si="523"/>
        <v>Packaging reuse</v>
      </c>
      <c r="C133" s="54" t="s">
        <v>114</v>
      </c>
      <c r="D133" s="648"/>
      <c r="E133" s="648"/>
      <c r="F133" s="648"/>
      <c r="G133" s="648"/>
      <c r="H133" s="648"/>
      <c r="I133" s="648"/>
      <c r="J133" s="648"/>
      <c r="K133" s="648"/>
      <c r="L133" s="648"/>
      <c r="M133" s="648"/>
      <c r="N133" s="648"/>
      <c r="O133" s="648"/>
      <c r="P133" s="648"/>
      <c r="Q133" s="648"/>
      <c r="R133" s="648"/>
      <c r="S133" s="648"/>
      <c r="T133" s="648"/>
      <c r="U133" s="648"/>
      <c r="V133" s="648"/>
      <c r="W133" s="648"/>
      <c r="X133" s="648"/>
      <c r="Y133" s="648"/>
      <c r="Z133" s="648"/>
      <c r="AA133" s="648"/>
      <c r="AB133" s="648"/>
      <c r="AC133" s="648"/>
      <c r="AD133" s="648"/>
      <c r="AE133" s="648"/>
      <c r="AF133" s="648"/>
      <c r="AG133" s="648"/>
      <c r="AH133" s="648"/>
      <c r="AI133" s="648"/>
      <c r="AJ133" s="648"/>
      <c r="AK133" s="648"/>
      <c r="AL133" s="648"/>
      <c r="AM133" s="648"/>
      <c r="AN133" s="648"/>
      <c r="AO133" s="648"/>
      <c r="AP133" s="648"/>
      <c r="AQ133" s="648"/>
      <c r="AR133" s="648"/>
      <c r="AS133" s="648"/>
      <c r="AT133" s="648"/>
      <c r="AU133" s="648"/>
      <c r="AV133" s="648"/>
      <c r="AW133" s="648"/>
      <c r="AX133" s="648"/>
      <c r="AY133" s="648"/>
      <c r="AZ133" s="648"/>
      <c r="BA133" s="648"/>
      <c r="BB133" s="648"/>
      <c r="BC133" s="648"/>
      <c r="BD133" s="648"/>
      <c r="BE133" s="648"/>
      <c r="BF133" s="648"/>
      <c r="BG133" s="648"/>
      <c r="BH133" s="648"/>
      <c r="BI133" s="648"/>
      <c r="BJ133" s="648"/>
      <c r="BK133" s="648"/>
      <c r="BL133" s="648"/>
      <c r="BM133" s="648"/>
      <c r="BN133" s="648"/>
      <c r="BO133" s="648"/>
      <c r="BP133" s="648"/>
      <c r="BQ133" s="648"/>
      <c r="BR133" s="648"/>
      <c r="BS133" s="648"/>
      <c r="BT133" s="648"/>
      <c r="BU133" s="648"/>
      <c r="BV133" s="648"/>
      <c r="BW133" s="648"/>
      <c r="BX133" s="648"/>
      <c r="BY133" s="648"/>
      <c r="BZ133" s="648"/>
      <c r="CA133" s="648"/>
      <c r="CB133" s="648"/>
      <c r="CC133" s="648"/>
      <c r="CD133" s="648"/>
      <c r="CE133" s="648"/>
      <c r="CF133" s="648"/>
      <c r="CG133" s="648"/>
      <c r="CH133" s="648"/>
      <c r="CI133" s="648"/>
      <c r="CJ133" s="648"/>
      <c r="CK133" s="648"/>
      <c r="CL133" s="648"/>
      <c r="CM133" s="648"/>
      <c r="CN133" s="648"/>
      <c r="CO133" s="648"/>
      <c r="CP133" s="648"/>
      <c r="CQ133" s="648"/>
      <c r="CR133" s="648"/>
      <c r="CS133" s="648"/>
      <c r="CT133" s="648"/>
      <c r="CU133" s="648"/>
      <c r="CV133" s="648"/>
      <c r="CW133" s="648"/>
      <c r="CX133" s="648"/>
      <c r="CY133" s="648"/>
      <c r="CZ133" s="648"/>
      <c r="DA133" s="648"/>
      <c r="DB133" s="648"/>
      <c r="DC133" s="648"/>
      <c r="DD133" s="648"/>
      <c r="DE133" s="648"/>
      <c r="DF133" s="648"/>
      <c r="DG133" s="648"/>
      <c r="DH133" s="648"/>
      <c r="DI133" s="648"/>
      <c r="DJ133" s="648"/>
      <c r="DK133" s="648"/>
      <c r="DL133" s="648"/>
      <c r="DM133" s="648"/>
      <c r="DN133" s="648"/>
      <c r="DO133" s="648"/>
      <c r="DP133" s="648"/>
      <c r="DQ133" s="648"/>
      <c r="DR133" s="648"/>
      <c r="DS133" s="648"/>
      <c r="DT133" s="648"/>
      <c r="DU133" s="648"/>
      <c r="DV133" s="648"/>
      <c r="DW133" s="648"/>
      <c r="DX133" s="648"/>
      <c r="DY133" s="648"/>
      <c r="DZ133" s="648"/>
      <c r="EF133" s="157"/>
      <c r="EG133" s="51"/>
      <c r="EH133" s="51"/>
      <c r="EI133" s="51"/>
      <c r="EM133" t="s">
        <v>99</v>
      </c>
    </row>
    <row r="134" spans="1:143" x14ac:dyDescent="0.2">
      <c r="A134" s="1"/>
      <c r="B134" t="str">
        <f t="shared" si="523"/>
        <v>Packaging substitution Paper</v>
      </c>
      <c r="C134" s="54" t="s">
        <v>114</v>
      </c>
      <c r="D134" s="648"/>
      <c r="E134" s="648"/>
      <c r="F134" s="648"/>
      <c r="G134" s="648"/>
      <c r="H134" s="648"/>
      <c r="I134" s="648"/>
      <c r="J134" s="648"/>
      <c r="K134" s="648"/>
      <c r="L134" s="648"/>
      <c r="M134" s="648"/>
      <c r="N134" s="648"/>
      <c r="O134" s="648"/>
      <c r="P134" s="648"/>
      <c r="Q134" s="648"/>
      <c r="R134" s="648"/>
      <c r="S134" s="648"/>
      <c r="T134" s="648"/>
      <c r="U134" s="648"/>
      <c r="V134" s="648"/>
      <c r="W134" s="648"/>
      <c r="X134" s="648"/>
      <c r="Y134" s="648"/>
      <c r="Z134" s="648"/>
      <c r="AA134" s="648"/>
      <c r="AB134" s="648"/>
      <c r="AC134" s="648"/>
      <c r="AD134" s="648"/>
      <c r="AE134" s="648"/>
      <c r="AF134" s="648"/>
      <c r="AG134" s="648"/>
      <c r="AH134" s="648"/>
      <c r="AI134" s="648"/>
      <c r="AJ134" s="648"/>
      <c r="AK134" s="648"/>
      <c r="AL134" s="648"/>
      <c r="AM134" s="648"/>
      <c r="AN134" s="648"/>
      <c r="AO134" s="648"/>
      <c r="AP134" s="648"/>
      <c r="AQ134" s="648"/>
      <c r="AR134" s="648"/>
      <c r="AS134" s="648"/>
      <c r="AT134" s="648"/>
      <c r="AU134" s="648"/>
      <c r="AV134" s="648"/>
      <c r="AW134" s="648"/>
      <c r="AX134" s="648"/>
      <c r="AY134" s="648"/>
      <c r="AZ134" s="648"/>
      <c r="BA134" s="648"/>
      <c r="BB134" s="648"/>
      <c r="BC134" s="648"/>
      <c r="BD134" s="648"/>
      <c r="BE134" s="648"/>
      <c r="BF134" s="648"/>
      <c r="BG134" s="648"/>
      <c r="BH134" s="648"/>
      <c r="BI134" s="648"/>
      <c r="BJ134" s="648"/>
      <c r="BK134" s="648"/>
      <c r="BL134" s="648"/>
      <c r="BM134" s="648"/>
      <c r="BN134" s="648"/>
      <c r="BO134" s="648"/>
      <c r="BP134" s="648"/>
      <c r="BQ134" s="648"/>
      <c r="BR134" s="648"/>
      <c r="BS134" s="648"/>
      <c r="BT134" s="648"/>
      <c r="BU134" s="648"/>
      <c r="BV134" s="648"/>
      <c r="BW134" s="648"/>
      <c r="BX134" s="648"/>
      <c r="BY134" s="648"/>
      <c r="BZ134" s="648"/>
      <c r="CA134" s="648"/>
      <c r="CB134" s="648"/>
      <c r="CC134" s="648"/>
      <c r="CD134" s="648"/>
      <c r="CE134" s="648"/>
      <c r="CF134" s="648"/>
      <c r="CG134" s="648"/>
      <c r="CH134" s="648"/>
      <c r="CI134" s="648"/>
      <c r="CJ134" s="648"/>
      <c r="CK134" s="648"/>
      <c r="CL134" s="648"/>
      <c r="CM134" s="648"/>
      <c r="CN134" s="648"/>
      <c r="CO134" s="648"/>
      <c r="CP134" s="648"/>
      <c r="CQ134" s="648"/>
      <c r="CR134" s="648"/>
      <c r="CS134" s="648"/>
      <c r="CT134" s="648"/>
      <c r="CU134" s="648"/>
      <c r="CV134" s="648"/>
      <c r="CW134" s="648"/>
      <c r="CX134" s="648"/>
      <c r="CY134" s="648"/>
      <c r="CZ134" s="648"/>
      <c r="DA134" s="648"/>
      <c r="DB134" s="648"/>
      <c r="DC134" s="648"/>
      <c r="DD134" s="648"/>
      <c r="DE134" s="648"/>
      <c r="DF134" s="648"/>
      <c r="DG134" s="648"/>
      <c r="DH134" s="648"/>
      <c r="DI134" s="648"/>
      <c r="DJ134" s="648"/>
      <c r="DK134" s="648"/>
      <c r="DL134" s="648"/>
      <c r="DM134" s="648"/>
      <c r="DN134" s="648"/>
      <c r="DO134" s="648"/>
      <c r="DP134" s="648"/>
      <c r="DQ134" s="648"/>
      <c r="DR134" s="648"/>
      <c r="DS134" s="648"/>
      <c r="DT134" s="648"/>
      <c r="DU134" s="648"/>
      <c r="DV134" s="648"/>
      <c r="DW134" s="648"/>
      <c r="DX134" s="648"/>
      <c r="DY134" s="648"/>
      <c r="DZ134" s="648"/>
      <c r="EF134" s="51"/>
      <c r="EG134" s="51"/>
      <c r="EH134" s="51"/>
      <c r="EI134" s="51"/>
      <c r="EJ134" s="51"/>
      <c r="EM134" t="s">
        <v>99</v>
      </c>
    </row>
    <row r="135" spans="1:143" x14ac:dyDescent="0.2">
      <c r="A135" s="1"/>
      <c r="B135" t="str">
        <f t="shared" si="523"/>
        <v>Packaging Substitution Compostables</v>
      </c>
      <c r="C135" s="54" t="s">
        <v>114</v>
      </c>
      <c r="D135" s="648"/>
      <c r="E135" s="648"/>
      <c r="F135" s="648"/>
      <c r="G135" s="648"/>
      <c r="H135" s="648"/>
      <c r="I135" s="648"/>
      <c r="J135" s="648"/>
      <c r="K135" s="648"/>
      <c r="L135" s="648"/>
      <c r="M135" s="648"/>
      <c r="N135" s="648"/>
      <c r="O135" s="648"/>
      <c r="P135" s="648"/>
      <c r="Q135" s="648"/>
      <c r="R135" s="648"/>
      <c r="S135" s="648"/>
      <c r="T135" s="648"/>
      <c r="U135" s="648"/>
      <c r="V135" s="648"/>
      <c r="W135" s="648"/>
      <c r="X135" s="648"/>
      <c r="Y135" s="648"/>
      <c r="Z135" s="648"/>
      <c r="AA135" s="648"/>
      <c r="AB135" s="648"/>
      <c r="AC135" s="648"/>
      <c r="AD135" s="648"/>
      <c r="AE135" s="648"/>
      <c r="AF135" s="648"/>
      <c r="AG135" s="648"/>
      <c r="AH135" s="648"/>
      <c r="AI135" s="648"/>
      <c r="AJ135" s="648"/>
      <c r="AK135" s="648"/>
      <c r="AL135" s="648"/>
      <c r="AM135" s="648"/>
      <c r="AN135" s="648"/>
      <c r="AO135" s="648"/>
      <c r="AP135" s="648"/>
      <c r="AQ135" s="648"/>
      <c r="AR135" s="648"/>
      <c r="AS135" s="648"/>
      <c r="AT135" s="648"/>
      <c r="AU135" s="648"/>
      <c r="AV135" s="648"/>
      <c r="AW135" s="648"/>
      <c r="AX135" s="648"/>
      <c r="AY135" s="648"/>
      <c r="AZ135" s="648"/>
      <c r="BA135" s="648"/>
      <c r="BB135" s="648"/>
      <c r="BC135" s="648"/>
      <c r="BD135" s="648"/>
      <c r="BE135" s="648"/>
      <c r="BF135" s="648"/>
      <c r="BG135" s="648"/>
      <c r="BH135" s="648"/>
      <c r="BI135" s="648"/>
      <c r="BJ135" s="648"/>
      <c r="BK135" s="648"/>
      <c r="BL135" s="648"/>
      <c r="BM135" s="648"/>
      <c r="BN135" s="648"/>
      <c r="BO135" s="648"/>
      <c r="BP135" s="648"/>
      <c r="BQ135" s="648"/>
      <c r="BR135" s="648"/>
      <c r="BS135" s="648"/>
      <c r="BT135" s="648"/>
      <c r="BU135" s="648"/>
      <c r="BV135" s="648"/>
      <c r="BW135" s="648"/>
      <c r="BX135" s="648"/>
      <c r="BY135" s="648"/>
      <c r="BZ135" s="648"/>
      <c r="CA135" s="648"/>
      <c r="CB135" s="648"/>
      <c r="CC135" s="648"/>
      <c r="CD135" s="648"/>
      <c r="CE135" s="648"/>
      <c r="CF135" s="648"/>
      <c r="CG135" s="648"/>
      <c r="CH135" s="648"/>
      <c r="CI135" s="648"/>
      <c r="CJ135" s="648"/>
      <c r="CK135" s="648"/>
      <c r="CL135" s="648"/>
      <c r="CM135" s="648"/>
      <c r="CN135" s="648"/>
      <c r="CO135" s="648"/>
      <c r="CP135" s="648"/>
      <c r="CQ135" s="648"/>
      <c r="CR135" s="648"/>
      <c r="CS135" s="648"/>
      <c r="CT135" s="648"/>
      <c r="CU135" s="648"/>
      <c r="CV135" s="648"/>
      <c r="CW135" s="648"/>
      <c r="CX135" s="648"/>
      <c r="CY135" s="648"/>
      <c r="CZ135" s="648"/>
      <c r="DA135" s="648"/>
      <c r="DB135" s="648"/>
      <c r="DC135" s="648"/>
      <c r="DD135" s="648"/>
      <c r="DE135" s="648"/>
      <c r="DF135" s="648"/>
      <c r="DG135" s="648"/>
      <c r="DH135" s="648"/>
      <c r="DI135" s="648"/>
      <c r="DJ135" s="648"/>
      <c r="DK135" s="648"/>
      <c r="DL135" s="648"/>
      <c r="DM135" s="648"/>
      <c r="DN135" s="648"/>
      <c r="DO135" s="648"/>
      <c r="DP135" s="648"/>
      <c r="DQ135" s="648"/>
      <c r="DR135" s="648"/>
      <c r="DS135" s="648"/>
      <c r="DT135" s="648"/>
      <c r="DU135" s="648"/>
      <c r="DV135" s="648"/>
      <c r="DW135" s="648"/>
      <c r="DX135" s="648"/>
      <c r="DY135" s="648"/>
      <c r="DZ135" s="648"/>
      <c r="EF135" s="51"/>
      <c r="EG135" s="51"/>
      <c r="EH135" s="51"/>
      <c r="EI135" s="51"/>
      <c r="EJ135" s="51"/>
      <c r="EM135" t="s">
        <v>99</v>
      </c>
    </row>
    <row r="136" spans="1:143" x14ac:dyDescent="0.2">
      <c r="A136" s="1"/>
      <c r="B136" t="str">
        <f t="shared" si="523"/>
        <v>MaaS</v>
      </c>
      <c r="C136" s="54" t="s">
        <v>114</v>
      </c>
      <c r="D136" s="648"/>
      <c r="E136" s="648"/>
      <c r="F136" s="648"/>
      <c r="G136" s="648"/>
      <c r="H136" s="648"/>
      <c r="I136" s="648"/>
      <c r="J136" s="648"/>
      <c r="K136" s="648"/>
      <c r="L136" s="648"/>
      <c r="M136" s="648"/>
      <c r="N136" s="648"/>
      <c r="O136" s="648"/>
      <c r="P136" s="648"/>
      <c r="Q136" s="648"/>
      <c r="R136" s="648"/>
      <c r="S136" s="648"/>
      <c r="T136" s="648"/>
      <c r="U136" s="648"/>
      <c r="V136" s="648"/>
      <c r="W136" s="648"/>
      <c r="X136" s="648"/>
      <c r="Y136" s="648"/>
      <c r="Z136" s="648"/>
      <c r="AA136" s="648"/>
      <c r="AB136" s="648"/>
      <c r="AC136" s="648"/>
      <c r="AD136" s="648"/>
      <c r="AE136" s="648"/>
      <c r="AF136" s="648"/>
      <c r="AG136" s="648"/>
      <c r="AH136" s="648"/>
      <c r="AI136" s="648"/>
      <c r="AJ136" s="648"/>
      <c r="AK136" s="648"/>
      <c r="AL136" s="648"/>
      <c r="AM136" s="648"/>
      <c r="AN136" s="648"/>
      <c r="AO136" s="648"/>
      <c r="AP136" s="648"/>
      <c r="AQ136" s="648"/>
      <c r="AR136" s="648"/>
      <c r="AS136" s="648"/>
      <c r="AT136" s="648"/>
      <c r="AU136" s="648"/>
      <c r="AV136" s="648"/>
      <c r="AW136" s="648"/>
      <c r="AX136" s="648"/>
      <c r="AY136" s="648"/>
      <c r="AZ136" s="648"/>
      <c r="BA136" s="648"/>
      <c r="BB136" s="648"/>
      <c r="BC136" s="648"/>
      <c r="BD136" s="648"/>
      <c r="BE136" s="648"/>
      <c r="BF136" s="648"/>
      <c r="BG136" s="648"/>
      <c r="BH136" s="648"/>
      <c r="BI136" s="648"/>
      <c r="BJ136" s="648"/>
      <c r="BK136" s="648"/>
      <c r="BL136" s="648"/>
      <c r="BM136" s="648"/>
      <c r="BN136" s="648"/>
      <c r="BO136" s="648"/>
      <c r="BP136" s="648"/>
      <c r="BQ136" s="648"/>
      <c r="BR136" s="648"/>
      <c r="BS136" s="648"/>
      <c r="BT136" s="648"/>
      <c r="BU136" s="648"/>
      <c r="BV136" s="648"/>
      <c r="BW136" s="648"/>
      <c r="BX136" s="648"/>
      <c r="BY136" s="648"/>
      <c r="BZ136" s="648"/>
      <c r="CA136" s="648"/>
      <c r="CB136" s="648"/>
      <c r="CC136" s="648"/>
      <c r="CD136" s="648"/>
      <c r="CE136" s="648"/>
      <c r="CF136" s="648"/>
      <c r="CG136" s="648"/>
      <c r="CH136" s="648"/>
      <c r="CI136" s="648"/>
      <c r="CJ136" s="648"/>
      <c r="CK136" s="648"/>
      <c r="CL136" s="648"/>
      <c r="CM136" s="648"/>
      <c r="CN136" s="648"/>
      <c r="CO136" s="648"/>
      <c r="CP136" s="648"/>
      <c r="CQ136" s="648"/>
      <c r="CR136" s="648"/>
      <c r="CS136" s="648"/>
      <c r="CT136" s="648"/>
      <c r="CU136" s="648"/>
      <c r="CV136" s="648"/>
      <c r="CW136" s="648"/>
      <c r="CX136" s="648"/>
      <c r="CY136" s="648"/>
      <c r="CZ136" s="648"/>
      <c r="DA136" s="648"/>
      <c r="DB136" s="648"/>
      <c r="DC136" s="648"/>
      <c r="DD136" s="648"/>
      <c r="DE136" s="648"/>
      <c r="DF136" s="648"/>
      <c r="DG136" s="648"/>
      <c r="DH136" s="648"/>
      <c r="DI136" s="648"/>
      <c r="DJ136" s="648"/>
      <c r="DK136" s="648"/>
      <c r="DL136" s="648"/>
      <c r="DM136" s="648"/>
      <c r="DN136" s="648"/>
      <c r="DO136" s="648"/>
      <c r="DP136" s="648"/>
      <c r="DQ136" s="648"/>
      <c r="DR136" s="648"/>
      <c r="DS136" s="648"/>
      <c r="DT136" s="648"/>
      <c r="DU136" s="648"/>
      <c r="DV136" s="648"/>
      <c r="DW136" s="648"/>
      <c r="DX136" s="648"/>
      <c r="DY136" s="648"/>
      <c r="DZ136" s="648"/>
      <c r="EF136" s="610"/>
      <c r="EG136" s="51"/>
      <c r="EH136" s="51"/>
      <c r="EI136" s="51"/>
    </row>
    <row r="137" spans="1:143" x14ac:dyDescent="0.2">
      <c r="A137" s="1"/>
      <c r="B137" t="str">
        <f t="shared" si="523"/>
        <v>Vehicle life extension</v>
      </c>
      <c r="C137" s="54" t="s">
        <v>114</v>
      </c>
      <c r="D137" s="648"/>
      <c r="E137" s="648"/>
      <c r="F137" s="648"/>
      <c r="G137" s="648"/>
      <c r="H137" s="648"/>
      <c r="I137" s="648"/>
      <c r="J137" s="648"/>
      <c r="K137" s="648"/>
      <c r="L137" s="648"/>
      <c r="M137" s="648"/>
      <c r="N137" s="648"/>
      <c r="O137" s="648"/>
      <c r="P137" s="648"/>
      <c r="Q137" s="648"/>
      <c r="R137" s="648"/>
      <c r="S137" s="648"/>
      <c r="T137" s="648"/>
      <c r="U137" s="648"/>
      <c r="V137" s="648"/>
      <c r="W137" s="648"/>
      <c r="X137" s="648"/>
      <c r="Y137" s="648"/>
      <c r="Z137" s="648"/>
      <c r="AA137" s="648"/>
      <c r="AB137" s="648"/>
      <c r="AC137" s="648"/>
      <c r="AD137" s="648"/>
      <c r="AE137" s="648"/>
      <c r="AF137" s="648"/>
      <c r="AG137" s="648"/>
      <c r="AH137" s="648"/>
      <c r="AI137" s="648"/>
      <c r="AJ137" s="648"/>
      <c r="AK137" s="648"/>
      <c r="AL137" s="648"/>
      <c r="AM137" s="648"/>
      <c r="AN137" s="648"/>
      <c r="AO137" s="648"/>
      <c r="AP137" s="648"/>
      <c r="AQ137" s="648"/>
      <c r="AR137" s="648"/>
      <c r="AS137" s="648"/>
      <c r="AT137" s="648"/>
      <c r="AU137" s="648"/>
      <c r="AV137" s="648"/>
      <c r="AW137" s="648"/>
      <c r="AX137" s="648"/>
      <c r="AY137" s="648"/>
      <c r="AZ137" s="648"/>
      <c r="BA137" s="648"/>
      <c r="BB137" s="648"/>
      <c r="BC137" s="648"/>
      <c r="BD137" s="648"/>
      <c r="BE137" s="648"/>
      <c r="BF137" s="648"/>
      <c r="BG137" s="648"/>
      <c r="BH137" s="648"/>
      <c r="BI137" s="648"/>
      <c r="BJ137" s="648"/>
      <c r="BK137" s="648"/>
      <c r="BL137" s="648"/>
      <c r="BM137" s="648"/>
      <c r="BN137" s="648"/>
      <c r="BO137" s="648"/>
      <c r="BP137" s="648"/>
      <c r="BQ137" s="648"/>
      <c r="BR137" s="648"/>
      <c r="BS137" s="648"/>
      <c r="BT137" s="648"/>
      <c r="BU137" s="648"/>
      <c r="BV137" s="648"/>
      <c r="BW137" s="648"/>
      <c r="BX137" s="648"/>
      <c r="BY137" s="648"/>
      <c r="BZ137" s="648"/>
      <c r="CA137" s="648"/>
      <c r="CB137" s="648"/>
      <c r="CC137" s="648"/>
      <c r="CD137" s="648"/>
      <c r="CE137" s="648"/>
      <c r="CF137" s="648"/>
      <c r="CG137" s="648"/>
      <c r="CH137" s="648"/>
      <c r="CI137" s="648"/>
      <c r="CJ137" s="648"/>
      <c r="CK137" s="648"/>
      <c r="CL137" s="648"/>
      <c r="CM137" s="648"/>
      <c r="CN137" s="648"/>
      <c r="CO137" s="648"/>
      <c r="CP137" s="648"/>
      <c r="CQ137" s="648"/>
      <c r="CR137" s="648"/>
      <c r="CS137" s="648"/>
      <c r="CT137" s="648"/>
      <c r="CU137" s="648"/>
      <c r="CV137" s="648"/>
      <c r="CW137" s="648"/>
      <c r="CX137" s="648"/>
      <c r="CY137" s="648"/>
      <c r="CZ137" s="648"/>
      <c r="DA137" s="648"/>
      <c r="DB137" s="648"/>
      <c r="DC137" s="648"/>
      <c r="DD137" s="648"/>
      <c r="DE137" s="648"/>
      <c r="DF137" s="648"/>
      <c r="DG137" s="648"/>
      <c r="DH137" s="648"/>
      <c r="DI137" s="648"/>
      <c r="DJ137" s="648"/>
      <c r="DK137" s="648"/>
      <c r="DL137" s="648"/>
      <c r="DM137" s="648"/>
      <c r="DN137" s="648"/>
      <c r="DO137" s="648"/>
      <c r="DP137" s="648"/>
      <c r="DQ137" s="648"/>
      <c r="DR137" s="648"/>
      <c r="DS137" s="648"/>
      <c r="DT137" s="648"/>
      <c r="DU137" s="648"/>
      <c r="DV137" s="648"/>
      <c r="DW137" s="648"/>
      <c r="DX137" s="648"/>
      <c r="DY137" s="648"/>
      <c r="DZ137" s="648"/>
      <c r="EF137" s="610"/>
      <c r="EG137" s="51"/>
      <c r="EH137" s="51"/>
      <c r="EI137" s="51"/>
      <c r="EJ137" s="51"/>
    </row>
    <row r="138" spans="1:143" x14ac:dyDescent="0.2">
      <c r="A138" s="1"/>
      <c r="B138" t="str">
        <f t="shared" si="523"/>
        <v>Building reduction</v>
      </c>
      <c r="C138" s="54" t="s">
        <v>114</v>
      </c>
      <c r="D138" s="648"/>
      <c r="E138" s="648"/>
      <c r="F138" s="648"/>
      <c r="G138" s="648"/>
      <c r="H138" s="648"/>
      <c r="I138" s="648"/>
      <c r="J138" s="648"/>
      <c r="K138" s="648"/>
      <c r="L138" s="648"/>
      <c r="M138" s="648"/>
      <c r="N138" s="648"/>
      <c r="O138" s="648"/>
      <c r="P138" s="648"/>
      <c r="Q138" s="648"/>
      <c r="R138" s="648"/>
      <c r="S138" s="648"/>
      <c r="T138" s="648"/>
      <c r="U138" s="648"/>
      <c r="V138" s="648"/>
      <c r="W138" s="648"/>
      <c r="X138" s="648"/>
      <c r="Y138" s="648"/>
      <c r="Z138" s="648"/>
      <c r="AA138" s="648"/>
      <c r="AB138" s="648"/>
      <c r="AC138" s="648"/>
      <c r="AD138" s="648"/>
      <c r="AE138" s="648"/>
      <c r="AF138" s="648"/>
      <c r="AG138" s="648"/>
      <c r="AH138" s="648"/>
      <c r="AI138" s="648"/>
      <c r="AJ138" s="648"/>
      <c r="AK138" s="648"/>
      <c r="AL138" s="648"/>
      <c r="AM138" s="648"/>
      <c r="AN138" s="648"/>
      <c r="AO138" s="648"/>
      <c r="AP138" s="648"/>
      <c r="AQ138" s="648"/>
      <c r="AR138" s="648"/>
      <c r="AS138" s="648"/>
      <c r="AT138" s="648"/>
      <c r="AU138" s="648"/>
      <c r="AV138" s="648"/>
      <c r="AW138" s="648"/>
      <c r="AX138" s="648"/>
      <c r="AY138" s="648"/>
      <c r="AZ138" s="648"/>
      <c r="BA138" s="648"/>
      <c r="BB138" s="648"/>
      <c r="BC138" s="648"/>
      <c r="BD138" s="648"/>
      <c r="BE138" s="648"/>
      <c r="BF138" s="648"/>
      <c r="BG138" s="648"/>
      <c r="BH138" s="648"/>
      <c r="BI138" s="648"/>
      <c r="BJ138" s="648"/>
      <c r="BK138" s="648"/>
      <c r="BL138" s="648"/>
      <c r="BM138" s="648"/>
      <c r="BN138" s="648"/>
      <c r="BO138" s="648"/>
      <c r="BP138" s="648"/>
      <c r="BQ138" s="648"/>
      <c r="BR138" s="648"/>
      <c r="BS138" s="648"/>
      <c r="BT138" s="648"/>
      <c r="BU138" s="648"/>
      <c r="BV138" s="648"/>
      <c r="BW138" s="648"/>
      <c r="BX138" s="648"/>
      <c r="BY138" s="648"/>
      <c r="BZ138" s="648"/>
      <c r="CA138" s="648"/>
      <c r="CB138" s="648"/>
      <c r="CC138" s="648"/>
      <c r="CD138" s="648"/>
      <c r="CE138" s="648"/>
      <c r="CF138" s="648"/>
      <c r="CG138" s="648"/>
      <c r="CH138" s="648"/>
      <c r="CI138" s="648"/>
      <c r="CJ138" s="648"/>
      <c r="CK138" s="648"/>
      <c r="CL138" s="648"/>
      <c r="CM138" s="648"/>
      <c r="CN138" s="648"/>
      <c r="CO138" s="648"/>
      <c r="CP138" s="648"/>
      <c r="CQ138" s="648"/>
      <c r="CR138" s="648"/>
      <c r="CS138" s="648"/>
      <c r="CT138" s="648"/>
      <c r="CU138" s="648"/>
      <c r="CV138" s="648"/>
      <c r="CW138" s="648"/>
      <c r="CX138" s="648"/>
      <c r="CY138" s="648"/>
      <c r="CZ138" s="648"/>
      <c r="DA138" s="648"/>
      <c r="DB138" s="648"/>
      <c r="DC138" s="648"/>
      <c r="DD138" s="648"/>
      <c r="DE138" s="648"/>
      <c r="DF138" s="648"/>
      <c r="DG138" s="648"/>
      <c r="DH138" s="648"/>
      <c r="DI138" s="648"/>
      <c r="DJ138" s="648"/>
      <c r="DK138" s="648"/>
      <c r="DL138" s="648"/>
      <c r="DM138" s="648"/>
      <c r="DN138" s="648"/>
      <c r="DO138" s="648"/>
      <c r="DP138" s="648"/>
      <c r="DQ138" s="648"/>
      <c r="DR138" s="648"/>
      <c r="DS138" s="648"/>
      <c r="DT138" s="648"/>
      <c r="DU138" s="648"/>
      <c r="DV138" s="648"/>
      <c r="DW138" s="648"/>
      <c r="DX138" s="648"/>
      <c r="DY138" s="648"/>
      <c r="DZ138" s="648"/>
      <c r="EF138" s="51"/>
      <c r="EG138" s="51"/>
      <c r="EH138" s="51"/>
      <c r="EI138" s="51"/>
      <c r="EM138" t="s">
        <v>99</v>
      </c>
    </row>
    <row r="139" spans="1:143" x14ac:dyDescent="0.2">
      <c r="A139" s="1"/>
      <c r="B139" t="str">
        <f t="shared" si="523"/>
        <v>Building substitution</v>
      </c>
      <c r="C139" s="54" t="s">
        <v>114</v>
      </c>
      <c r="D139" s="648"/>
      <c r="E139" s="648"/>
      <c r="F139" s="648"/>
      <c r="G139" s="648"/>
      <c r="H139" s="648"/>
      <c r="I139" s="648"/>
      <c r="J139" s="648"/>
      <c r="K139" s="648"/>
      <c r="L139" s="648"/>
      <c r="M139" s="648"/>
      <c r="N139" s="648"/>
      <c r="O139" s="648"/>
      <c r="P139" s="648"/>
      <c r="Q139" s="648"/>
      <c r="R139" s="648"/>
      <c r="S139" s="648"/>
      <c r="T139" s="648"/>
      <c r="U139" s="648"/>
      <c r="V139" s="648"/>
      <c r="W139" s="648"/>
      <c r="X139" s="648"/>
      <c r="Y139" s="648"/>
      <c r="Z139" s="648"/>
      <c r="AA139" s="648"/>
      <c r="AB139" s="648"/>
      <c r="AC139" s="648"/>
      <c r="AD139" s="648"/>
      <c r="AE139" s="648"/>
      <c r="AF139" s="648"/>
      <c r="AG139" s="648"/>
      <c r="AH139" s="648"/>
      <c r="AI139" s="648"/>
      <c r="AJ139" s="648"/>
      <c r="AK139" s="648"/>
      <c r="AL139" s="648"/>
      <c r="AM139" s="648"/>
      <c r="AN139" s="648"/>
      <c r="AO139" s="648"/>
      <c r="AP139" s="648"/>
      <c r="AQ139" s="648"/>
      <c r="AR139" s="648"/>
      <c r="AS139" s="648"/>
      <c r="AT139" s="648"/>
      <c r="AU139" s="648"/>
      <c r="AV139" s="648"/>
      <c r="AW139" s="648"/>
      <c r="AX139" s="648"/>
      <c r="AY139" s="648"/>
      <c r="AZ139" s="648"/>
      <c r="BA139" s="648"/>
      <c r="BB139" s="648"/>
      <c r="BC139" s="648"/>
      <c r="BD139" s="648"/>
      <c r="BE139" s="648"/>
      <c r="BF139" s="648"/>
      <c r="BG139" s="648"/>
      <c r="BH139" s="648"/>
      <c r="BI139" s="648"/>
      <c r="BJ139" s="648"/>
      <c r="BK139" s="648"/>
      <c r="BL139" s="648"/>
      <c r="BM139" s="648"/>
      <c r="BN139" s="648"/>
      <c r="BO139" s="648"/>
      <c r="BP139" s="648"/>
      <c r="BQ139" s="648"/>
      <c r="BR139" s="648"/>
      <c r="BS139" s="648"/>
      <c r="BT139" s="648"/>
      <c r="BU139" s="648"/>
      <c r="BV139" s="648"/>
      <c r="BW139" s="648"/>
      <c r="BX139" s="648"/>
      <c r="BY139" s="648"/>
      <c r="BZ139" s="648"/>
      <c r="CA139" s="648"/>
      <c r="CB139" s="648"/>
      <c r="CC139" s="648"/>
      <c r="CD139" s="648"/>
      <c r="CE139" s="648"/>
      <c r="CF139" s="648"/>
      <c r="CG139" s="648"/>
      <c r="CH139" s="648"/>
      <c r="CI139" s="648"/>
      <c r="CJ139" s="648"/>
      <c r="CK139" s="648"/>
      <c r="CL139" s="648"/>
      <c r="CM139" s="648"/>
      <c r="CN139" s="648"/>
      <c r="CO139" s="648"/>
      <c r="CP139" s="648"/>
      <c r="CQ139" s="648"/>
      <c r="CR139" s="648"/>
      <c r="CS139" s="648"/>
      <c r="CT139" s="648"/>
      <c r="CU139" s="648"/>
      <c r="CV139" s="648"/>
      <c r="CW139" s="648"/>
      <c r="CX139" s="648"/>
      <c r="CY139" s="648"/>
      <c r="CZ139" s="648"/>
      <c r="DA139" s="648"/>
      <c r="DB139" s="648"/>
      <c r="DC139" s="648"/>
      <c r="DD139" s="648"/>
      <c r="DE139" s="648"/>
      <c r="DF139" s="648"/>
      <c r="DG139" s="648"/>
      <c r="DH139" s="648"/>
      <c r="DI139" s="648"/>
      <c r="DJ139" s="648"/>
      <c r="DK139" s="648"/>
      <c r="DL139" s="648"/>
      <c r="DM139" s="648"/>
      <c r="DN139" s="648"/>
      <c r="DO139" s="648"/>
      <c r="DP139" s="648"/>
      <c r="DQ139" s="648"/>
      <c r="DR139" s="648"/>
      <c r="DS139" s="648"/>
      <c r="DT139" s="648"/>
      <c r="DU139" s="648"/>
      <c r="DV139" s="648"/>
      <c r="DW139" s="648"/>
      <c r="DX139" s="648"/>
      <c r="DY139" s="648"/>
      <c r="DZ139" s="648"/>
      <c r="EF139" s="610"/>
      <c r="EG139" s="51"/>
      <c r="EH139" s="51"/>
      <c r="EI139" s="51"/>
      <c r="EJ139" s="51"/>
      <c r="EM139" t="s">
        <v>99</v>
      </c>
    </row>
    <row r="140" spans="1:143" x14ac:dyDescent="0.2">
      <c r="A140" s="1"/>
      <c r="B140" t="str">
        <f t="shared" si="523"/>
        <v>Apparel - waste reduction</v>
      </c>
      <c r="C140" s="54" t="s">
        <v>114</v>
      </c>
      <c r="D140" s="648"/>
      <c r="E140" s="648"/>
      <c r="F140" s="648"/>
      <c r="G140" s="648"/>
      <c r="H140" s="648"/>
      <c r="I140" s="648"/>
      <c r="J140" s="648"/>
      <c r="K140" s="648"/>
      <c r="L140" s="648"/>
      <c r="M140" s="648"/>
      <c r="N140" s="648"/>
      <c r="O140" s="648"/>
      <c r="P140" s="648"/>
      <c r="Q140" s="648"/>
      <c r="R140" s="648"/>
      <c r="S140" s="648"/>
      <c r="T140" s="648"/>
      <c r="U140" s="648"/>
      <c r="V140" s="648"/>
      <c r="W140" s="648"/>
      <c r="X140" s="648"/>
      <c r="Y140" s="648"/>
      <c r="Z140" s="648"/>
      <c r="AA140" s="648"/>
      <c r="AB140" s="648"/>
      <c r="AC140" s="648"/>
      <c r="AD140" s="648"/>
      <c r="AE140" s="648"/>
      <c r="AF140" s="648"/>
      <c r="AG140" s="648"/>
      <c r="AH140" s="648"/>
      <c r="AI140" s="648"/>
      <c r="AJ140" s="648"/>
      <c r="AK140" s="648"/>
      <c r="AL140" s="648"/>
      <c r="AM140" s="648"/>
      <c r="AN140" s="648"/>
      <c r="AO140" s="648"/>
      <c r="AP140" s="648"/>
      <c r="AQ140" s="648"/>
      <c r="AR140" s="648"/>
      <c r="AS140" s="648"/>
      <c r="AT140" s="648"/>
      <c r="AU140" s="648"/>
      <c r="AV140" s="648"/>
      <c r="AW140" s="648"/>
      <c r="AX140" s="648"/>
      <c r="AY140" s="648"/>
      <c r="AZ140" s="648"/>
      <c r="BA140" s="648"/>
      <c r="BB140" s="648"/>
      <c r="BC140" s="648"/>
      <c r="BD140" s="648"/>
      <c r="BE140" s="648"/>
      <c r="BF140" s="648"/>
      <c r="BG140" s="648"/>
      <c r="BH140" s="648"/>
      <c r="BI140" s="648"/>
      <c r="BJ140" s="648"/>
      <c r="BK140" s="648"/>
      <c r="BL140" s="648"/>
      <c r="BM140" s="648"/>
      <c r="BN140" s="648"/>
      <c r="BO140" s="648"/>
      <c r="BP140" s="648"/>
      <c r="BQ140" s="648"/>
      <c r="BR140" s="648"/>
      <c r="BS140" s="648"/>
      <c r="BT140" s="648"/>
      <c r="BU140" s="648"/>
      <c r="BV140" s="648"/>
      <c r="BW140" s="648"/>
      <c r="BX140" s="648"/>
      <c r="BY140" s="648"/>
      <c r="BZ140" s="648"/>
      <c r="CA140" s="648"/>
      <c r="CB140" s="648"/>
      <c r="CC140" s="648"/>
      <c r="CD140" s="648"/>
      <c r="CE140" s="648"/>
      <c r="CF140" s="648"/>
      <c r="CG140" s="648"/>
      <c r="CH140" s="648"/>
      <c r="CI140" s="648"/>
      <c r="CJ140" s="648"/>
      <c r="CK140" s="648"/>
      <c r="CL140" s="648"/>
      <c r="CM140" s="648"/>
      <c r="CN140" s="648"/>
      <c r="CO140" s="648"/>
      <c r="CP140" s="648"/>
      <c r="CQ140" s="648"/>
      <c r="CR140" s="648"/>
      <c r="CS140" s="648"/>
      <c r="CT140" s="648"/>
      <c r="CU140" s="648"/>
      <c r="CV140" s="648"/>
      <c r="CW140" s="648"/>
      <c r="CX140" s="648"/>
      <c r="CY140" s="648"/>
      <c r="CZ140" s="648"/>
      <c r="DA140" s="648"/>
      <c r="DB140" s="648"/>
      <c r="DC140" s="648"/>
      <c r="DD140" s="648"/>
      <c r="DE140" s="648"/>
      <c r="DF140" s="648"/>
      <c r="DG140" s="648"/>
      <c r="DH140" s="648"/>
      <c r="DI140" s="648"/>
      <c r="DJ140" s="648"/>
      <c r="DK140" s="648"/>
      <c r="DL140" s="648"/>
      <c r="DM140" s="648"/>
      <c r="DN140" s="648"/>
      <c r="DO140" s="648"/>
      <c r="DP140" s="648"/>
      <c r="DQ140" s="648"/>
      <c r="DR140" s="648"/>
      <c r="DS140" s="648"/>
      <c r="DT140" s="648"/>
      <c r="DU140" s="648"/>
      <c r="DV140" s="648"/>
      <c r="DW140" s="648"/>
      <c r="DX140" s="648"/>
      <c r="DY140" s="648"/>
      <c r="DZ140" s="648"/>
      <c r="EF140" s="51"/>
      <c r="EG140" s="51"/>
      <c r="EH140" s="51"/>
      <c r="EI140" s="51"/>
      <c r="EM140" t="s">
        <v>99</v>
      </c>
    </row>
    <row r="141" spans="1:143" x14ac:dyDescent="0.2">
      <c r="A141" s="1"/>
      <c r="B141" t="str">
        <f t="shared" si="523"/>
        <v>Apparel - NBM</v>
      </c>
      <c r="C141" s="54" t="s">
        <v>114</v>
      </c>
      <c r="D141" s="648"/>
      <c r="E141" s="648"/>
      <c r="F141" s="648"/>
      <c r="G141" s="648"/>
      <c r="H141" s="648"/>
      <c r="I141" s="648"/>
      <c r="J141" s="648"/>
      <c r="K141" s="648"/>
      <c r="L141" s="648"/>
      <c r="M141" s="648"/>
      <c r="N141" s="648"/>
      <c r="O141" s="648"/>
      <c r="P141" s="648"/>
      <c r="Q141" s="648"/>
      <c r="R141" s="648"/>
      <c r="S141" s="648"/>
      <c r="T141" s="648"/>
      <c r="U141" s="648"/>
      <c r="V141" s="648"/>
      <c r="W141" s="648"/>
      <c r="X141" s="648"/>
      <c r="Y141" s="648"/>
      <c r="Z141" s="648"/>
      <c r="AA141" s="648"/>
      <c r="AB141" s="648"/>
      <c r="AC141" s="648"/>
      <c r="AD141" s="648"/>
      <c r="AE141" s="648"/>
      <c r="AF141" s="648"/>
      <c r="AG141" s="648"/>
      <c r="AH141" s="648"/>
      <c r="AI141" s="648"/>
      <c r="AJ141" s="648"/>
      <c r="AK141" s="648"/>
      <c r="AL141" s="648"/>
      <c r="AM141" s="648"/>
      <c r="AN141" s="648"/>
      <c r="AO141" s="648"/>
      <c r="AP141" s="648"/>
      <c r="AQ141" s="648"/>
      <c r="AR141" s="648"/>
      <c r="AS141" s="648"/>
      <c r="AT141" s="648"/>
      <c r="AU141" s="648"/>
      <c r="AV141" s="648"/>
      <c r="AW141" s="648"/>
      <c r="AX141" s="648"/>
      <c r="AY141" s="648"/>
      <c r="AZ141" s="648"/>
      <c r="BA141" s="648"/>
      <c r="BB141" s="648"/>
      <c r="BC141" s="648"/>
      <c r="BD141" s="648"/>
      <c r="BE141" s="648"/>
      <c r="BF141" s="648"/>
      <c r="BG141" s="648"/>
      <c r="BH141" s="648"/>
      <c r="BI141" s="648"/>
      <c r="BJ141" s="648"/>
      <c r="BK141" s="648"/>
      <c r="BL141" s="648"/>
      <c r="BM141" s="648"/>
      <c r="BN141" s="648"/>
      <c r="BO141" s="648"/>
      <c r="BP141" s="648"/>
      <c r="BQ141" s="648"/>
      <c r="BR141" s="648"/>
      <c r="BS141" s="648"/>
      <c r="BT141" s="648"/>
      <c r="BU141" s="648"/>
      <c r="BV141" s="648"/>
      <c r="BW141" s="648"/>
      <c r="BX141" s="648"/>
      <c r="BY141" s="648"/>
      <c r="BZ141" s="648"/>
      <c r="CA141" s="648"/>
      <c r="CB141" s="648"/>
      <c r="CC141" s="648"/>
      <c r="CD141" s="648"/>
      <c r="CE141" s="648"/>
      <c r="CF141" s="648"/>
      <c r="CG141" s="648"/>
      <c r="CH141" s="648"/>
      <c r="CI141" s="648"/>
      <c r="CJ141" s="648"/>
      <c r="CK141" s="648"/>
      <c r="CL141" s="648"/>
      <c r="CM141" s="648"/>
      <c r="CN141" s="648"/>
      <c r="CO141" s="648"/>
      <c r="CP141" s="648"/>
      <c r="CQ141" s="648"/>
      <c r="CR141" s="648"/>
      <c r="CS141" s="648"/>
      <c r="CT141" s="648"/>
      <c r="CU141" s="648"/>
      <c r="CV141" s="648"/>
      <c r="CW141" s="648"/>
      <c r="CX141" s="648"/>
      <c r="CY141" s="648"/>
      <c r="CZ141" s="648"/>
      <c r="DA141" s="648"/>
      <c r="DB141" s="648"/>
      <c r="DC141" s="648"/>
      <c r="DD141" s="648"/>
      <c r="DE141" s="648"/>
      <c r="DF141" s="648"/>
      <c r="DG141" s="648"/>
      <c r="DH141" s="648"/>
      <c r="DI141" s="648"/>
      <c r="DJ141" s="648"/>
      <c r="DK141" s="648"/>
      <c r="DL141" s="648"/>
      <c r="DM141" s="648"/>
      <c r="DN141" s="648"/>
      <c r="DO141" s="648"/>
      <c r="DP141" s="648"/>
      <c r="DQ141" s="648"/>
      <c r="DR141" s="648"/>
      <c r="DS141" s="648"/>
      <c r="DT141" s="648"/>
      <c r="DU141" s="648"/>
      <c r="DV141" s="648"/>
      <c r="DW141" s="648"/>
      <c r="DX141" s="648"/>
      <c r="DY141" s="648"/>
      <c r="DZ141" s="648"/>
      <c r="EF141" s="610"/>
      <c r="EG141" s="51"/>
      <c r="EH141" s="51"/>
      <c r="EI141" s="51"/>
      <c r="EM141" t="s">
        <v>99</v>
      </c>
    </row>
    <row r="142" spans="1:143" x14ac:dyDescent="0.2">
      <c r="A142" s="1"/>
      <c r="B142" t="str">
        <f t="shared" si="523"/>
        <v>Apparel - substitution</v>
      </c>
      <c r="C142" s="54" t="s">
        <v>114</v>
      </c>
      <c r="D142" s="648"/>
      <c r="E142" s="648"/>
      <c r="F142" s="648"/>
      <c r="G142" s="648"/>
      <c r="H142" s="648"/>
      <c r="I142" s="648"/>
      <c r="J142" s="648"/>
      <c r="K142" s="648"/>
      <c r="L142" s="648"/>
      <c r="M142" s="648"/>
      <c r="N142" s="648"/>
      <c r="O142" s="648"/>
      <c r="P142" s="648"/>
      <c r="Q142" s="648"/>
      <c r="R142" s="648"/>
      <c r="S142" s="648"/>
      <c r="T142" s="648"/>
      <c r="U142" s="648"/>
      <c r="V142" s="648"/>
      <c r="W142" s="648"/>
      <c r="X142" s="648"/>
      <c r="Y142" s="648"/>
      <c r="Z142" s="648"/>
      <c r="AA142" s="648"/>
      <c r="AB142" s="648"/>
      <c r="AC142" s="648"/>
      <c r="AD142" s="648"/>
      <c r="AE142" s="648"/>
      <c r="AF142" s="648"/>
      <c r="AG142" s="648"/>
      <c r="AH142" s="648"/>
      <c r="AI142" s="648"/>
      <c r="AJ142" s="648"/>
      <c r="AK142" s="648"/>
      <c r="AL142" s="648"/>
      <c r="AM142" s="648"/>
      <c r="AN142" s="648"/>
      <c r="AO142" s="648"/>
      <c r="AP142" s="648"/>
      <c r="AQ142" s="648"/>
      <c r="AR142" s="648"/>
      <c r="AS142" s="648"/>
      <c r="AT142" s="648"/>
      <c r="AU142" s="648"/>
      <c r="AV142" s="648"/>
      <c r="AW142" s="648"/>
      <c r="AX142" s="648"/>
      <c r="AY142" s="648"/>
      <c r="AZ142" s="648"/>
      <c r="BA142" s="648"/>
      <c r="BB142" s="648"/>
      <c r="BC142" s="648"/>
      <c r="BD142" s="648"/>
      <c r="BE142" s="648"/>
      <c r="BF142" s="648"/>
      <c r="BG142" s="648"/>
      <c r="BH142" s="648"/>
      <c r="BI142" s="648"/>
      <c r="BJ142" s="648"/>
      <c r="BK142" s="648"/>
      <c r="BL142" s="648"/>
      <c r="BM142" s="648"/>
      <c r="BN142" s="648"/>
      <c r="BO142" s="648"/>
      <c r="BP142" s="648"/>
      <c r="BQ142" s="648"/>
      <c r="BR142" s="648"/>
      <c r="BS142" s="648"/>
      <c r="BT142" s="648"/>
      <c r="BU142" s="648"/>
      <c r="BV142" s="648"/>
      <c r="BW142" s="648"/>
      <c r="BX142" s="648"/>
      <c r="BY142" s="648"/>
      <c r="BZ142" s="648"/>
      <c r="CA142" s="648"/>
      <c r="CB142" s="648"/>
      <c r="CC142" s="648"/>
      <c r="CD142" s="648"/>
      <c r="CE142" s="648"/>
      <c r="CF142" s="648"/>
      <c r="CG142" s="648"/>
      <c r="CH142" s="648"/>
      <c r="CI142" s="648"/>
      <c r="CJ142" s="648"/>
      <c r="CK142" s="648"/>
      <c r="CL142" s="648"/>
      <c r="CM142" s="648"/>
      <c r="CN142" s="648"/>
      <c r="CO142" s="648"/>
      <c r="CP142" s="648"/>
      <c r="CQ142" s="648"/>
      <c r="CR142" s="648"/>
      <c r="CS142" s="648"/>
      <c r="CT142" s="648"/>
      <c r="CU142" s="648"/>
      <c r="CV142" s="648"/>
      <c r="CW142" s="648"/>
      <c r="CX142" s="648"/>
      <c r="CY142" s="648"/>
      <c r="CZ142" s="648"/>
      <c r="DA142" s="648"/>
      <c r="DB142" s="648"/>
      <c r="DC142" s="648"/>
      <c r="DD142" s="648"/>
      <c r="DE142" s="648"/>
      <c r="DF142" s="648"/>
      <c r="DG142" s="648"/>
      <c r="DH142" s="648"/>
      <c r="DI142" s="648"/>
      <c r="DJ142" s="648"/>
      <c r="DK142" s="648"/>
      <c r="DL142" s="648"/>
      <c r="DM142" s="648"/>
      <c r="DN142" s="648"/>
      <c r="DO142" s="648"/>
      <c r="DP142" s="648"/>
      <c r="DQ142" s="648"/>
      <c r="DR142" s="648"/>
      <c r="DS142" s="648"/>
      <c r="DT142" s="648"/>
      <c r="DU142" s="648"/>
      <c r="DV142" s="648"/>
      <c r="DW142" s="648"/>
      <c r="DX142" s="648"/>
      <c r="DY142" s="648"/>
      <c r="DZ142" s="648"/>
      <c r="EF142" s="610"/>
      <c r="EG142" s="51"/>
      <c r="EH142" s="51"/>
      <c r="EI142" s="51"/>
      <c r="EJ142" s="51"/>
      <c r="EM142" t="s">
        <v>99</v>
      </c>
    </row>
    <row r="143" spans="1:143" x14ac:dyDescent="0.2">
      <c r="A143" s="1"/>
      <c r="B143" t="str">
        <f t="shared" si="523"/>
        <v>Others Reduction</v>
      </c>
      <c r="C143" s="54" t="s">
        <v>114</v>
      </c>
      <c r="D143" s="648"/>
      <c r="E143" s="648"/>
      <c r="F143" s="648"/>
      <c r="G143" s="648"/>
      <c r="H143" s="648"/>
      <c r="I143" s="648"/>
      <c r="J143" s="648"/>
      <c r="K143" s="648"/>
      <c r="L143" s="648"/>
      <c r="M143" s="648"/>
      <c r="N143" s="648"/>
      <c r="O143" s="648"/>
      <c r="P143" s="648"/>
      <c r="Q143" s="648"/>
      <c r="R143" s="648"/>
      <c r="S143" s="648"/>
      <c r="T143" s="648"/>
      <c r="U143" s="648"/>
      <c r="V143" s="648"/>
      <c r="W143" s="648"/>
      <c r="X143" s="648"/>
      <c r="Y143" s="648"/>
      <c r="Z143" s="648"/>
      <c r="AA143" s="648"/>
      <c r="AB143" s="648"/>
      <c r="AC143" s="648"/>
      <c r="AD143" s="648"/>
      <c r="AE143" s="648"/>
      <c r="AF143" s="648"/>
      <c r="AG143" s="648"/>
      <c r="AH143" s="648"/>
      <c r="AI143" s="648"/>
      <c r="AJ143" s="648"/>
      <c r="AK143" s="648"/>
      <c r="AL143" s="648"/>
      <c r="AM143" s="648"/>
      <c r="AN143" s="648"/>
      <c r="AO143" s="648"/>
      <c r="AP143" s="648"/>
      <c r="AQ143" s="648"/>
      <c r="AR143" s="648"/>
      <c r="AS143" s="648"/>
      <c r="AT143" s="648"/>
      <c r="AU143" s="648"/>
      <c r="AV143" s="648"/>
      <c r="AW143" s="648"/>
      <c r="AX143" s="648"/>
      <c r="AY143" s="648"/>
      <c r="AZ143" s="648"/>
      <c r="BA143" s="648"/>
      <c r="BB143" s="648"/>
      <c r="BC143" s="648"/>
      <c r="BD143" s="648"/>
      <c r="BE143" s="648"/>
      <c r="BF143" s="648"/>
      <c r="BG143" s="648"/>
      <c r="BH143" s="648"/>
      <c r="BI143" s="648"/>
      <c r="BJ143" s="648"/>
      <c r="BK143" s="648"/>
      <c r="BL143" s="648"/>
      <c r="BM143" s="648"/>
      <c r="BN143" s="648"/>
      <c r="BO143" s="648"/>
      <c r="BP143" s="648"/>
      <c r="BQ143" s="648"/>
      <c r="BR143" s="648"/>
      <c r="BS143" s="648"/>
      <c r="BT143" s="648"/>
      <c r="BU143" s="648"/>
      <c r="BV143" s="648"/>
      <c r="BW143" s="648"/>
      <c r="BX143" s="648"/>
      <c r="BY143" s="648"/>
      <c r="BZ143" s="648"/>
      <c r="CA143" s="648"/>
      <c r="CB143" s="648"/>
      <c r="CC143" s="648"/>
      <c r="CD143" s="648"/>
      <c r="CE143" s="648"/>
      <c r="CF143" s="648"/>
      <c r="CG143" s="648"/>
      <c r="CH143" s="648"/>
      <c r="CI143" s="648"/>
      <c r="CJ143" s="648"/>
      <c r="CK143" s="648"/>
      <c r="CL143" s="648"/>
      <c r="CM143" s="648"/>
      <c r="CN143" s="648"/>
      <c r="CO143" s="648"/>
      <c r="CP143" s="648"/>
      <c r="CQ143" s="648"/>
      <c r="CR143" s="648"/>
      <c r="CS143" s="648"/>
      <c r="CT143" s="648"/>
      <c r="CU143" s="648"/>
      <c r="CV143" s="648"/>
      <c r="CW143" s="648"/>
      <c r="CX143" s="648"/>
      <c r="CY143" s="648"/>
      <c r="CZ143" s="648"/>
      <c r="DA143" s="648"/>
      <c r="DB143" s="648"/>
      <c r="DC143" s="648"/>
      <c r="DD143" s="648"/>
      <c r="DE143" s="648"/>
      <c r="DF143" s="648"/>
      <c r="DG143" s="648"/>
      <c r="DH143" s="648"/>
      <c r="DI143" s="648"/>
      <c r="DJ143" s="648"/>
      <c r="DK143" s="648"/>
      <c r="DL143" s="648"/>
      <c r="DM143" s="648"/>
      <c r="DN143" s="648"/>
      <c r="DO143" s="648"/>
      <c r="DP143" s="648"/>
      <c r="DQ143" s="648"/>
      <c r="DR143" s="648"/>
      <c r="DS143" s="648"/>
      <c r="DT143" s="648"/>
      <c r="DU143" s="648"/>
      <c r="DV143" s="648"/>
      <c r="DW143" s="648"/>
      <c r="DX143" s="648"/>
      <c r="DY143" s="648"/>
      <c r="DZ143" s="648"/>
      <c r="EF143" s="51"/>
      <c r="EG143" s="51"/>
      <c r="EH143" s="51"/>
      <c r="EI143" s="51"/>
      <c r="EJ143" s="51"/>
      <c r="EM143" t="s">
        <v>99</v>
      </c>
    </row>
    <row r="144" spans="1:143" x14ac:dyDescent="0.2">
      <c r="A144" s="1"/>
      <c r="B144" t="str">
        <f t="shared" si="523"/>
        <v>Others Substitution</v>
      </c>
      <c r="C144" s="54" t="s">
        <v>114</v>
      </c>
      <c r="D144" s="648"/>
      <c r="E144" s="648"/>
      <c r="F144" s="648"/>
      <c r="G144" s="648"/>
      <c r="H144" s="648"/>
      <c r="I144" s="648"/>
      <c r="J144" s="648"/>
      <c r="K144" s="648"/>
      <c r="L144" s="648"/>
      <c r="M144" s="648"/>
      <c r="N144" s="648"/>
      <c r="O144" s="648"/>
      <c r="P144" s="648"/>
      <c r="Q144" s="648"/>
      <c r="R144" s="648"/>
      <c r="S144" s="648"/>
      <c r="T144" s="648"/>
      <c r="U144" s="648"/>
      <c r="V144" s="648"/>
      <c r="W144" s="648"/>
      <c r="X144" s="648"/>
      <c r="Y144" s="648"/>
      <c r="Z144" s="648"/>
      <c r="AA144" s="648"/>
      <c r="AB144" s="648"/>
      <c r="AC144" s="648"/>
      <c r="AD144" s="648"/>
      <c r="AE144" s="648"/>
      <c r="AF144" s="648"/>
      <c r="AG144" s="648"/>
      <c r="AH144" s="648"/>
      <c r="AI144" s="648"/>
      <c r="AJ144" s="648"/>
      <c r="AK144" s="648"/>
      <c r="AL144" s="648"/>
      <c r="AM144" s="648"/>
      <c r="AN144" s="648"/>
      <c r="AO144" s="648"/>
      <c r="AP144" s="648"/>
      <c r="AQ144" s="648"/>
      <c r="AR144" s="648"/>
      <c r="AS144" s="648"/>
      <c r="AT144" s="648"/>
      <c r="AU144" s="648"/>
      <c r="AV144" s="648"/>
      <c r="AW144" s="648"/>
      <c r="AX144" s="648"/>
      <c r="AY144" s="648"/>
      <c r="AZ144" s="648"/>
      <c r="BA144" s="648"/>
      <c r="BB144" s="648"/>
      <c r="BC144" s="648"/>
      <c r="BD144" s="648"/>
      <c r="BE144" s="648"/>
      <c r="BF144" s="648"/>
      <c r="BG144" s="648"/>
      <c r="BH144" s="648"/>
      <c r="BI144" s="648"/>
      <c r="BJ144" s="648"/>
      <c r="BK144" s="648"/>
      <c r="BL144" s="648"/>
      <c r="BM144" s="648"/>
      <c r="BN144" s="648"/>
      <c r="BO144" s="648"/>
      <c r="BP144" s="648"/>
      <c r="BQ144" s="648"/>
      <c r="BR144" s="648"/>
      <c r="BS144" s="648"/>
      <c r="BT144" s="648"/>
      <c r="BU144" s="648"/>
      <c r="BV144" s="648"/>
      <c r="BW144" s="648"/>
      <c r="BX144" s="648"/>
      <c r="BY144" s="648"/>
      <c r="BZ144" s="648"/>
      <c r="CA144" s="648"/>
      <c r="CB144" s="648"/>
      <c r="CC144" s="648"/>
      <c r="CD144" s="648"/>
      <c r="CE144" s="648"/>
      <c r="CF144" s="648"/>
      <c r="CG144" s="648"/>
      <c r="CH144" s="648"/>
      <c r="CI144" s="648"/>
      <c r="CJ144" s="648"/>
      <c r="CK144" s="648"/>
      <c r="CL144" s="648"/>
      <c r="CM144" s="648"/>
      <c r="CN144" s="648"/>
      <c r="CO144" s="648"/>
      <c r="CP144" s="648"/>
      <c r="CQ144" s="648"/>
      <c r="CR144" s="648"/>
      <c r="CS144" s="648"/>
      <c r="CT144" s="648"/>
      <c r="CU144" s="648"/>
      <c r="CV144" s="648"/>
      <c r="CW144" s="648"/>
      <c r="CX144" s="648"/>
      <c r="CY144" s="648"/>
      <c r="CZ144" s="648"/>
      <c r="DA144" s="648"/>
      <c r="DB144" s="648"/>
      <c r="DC144" s="648"/>
      <c r="DD144" s="648"/>
      <c r="DE144" s="648"/>
      <c r="DF144" s="648"/>
      <c r="DG144" s="648"/>
      <c r="DH144" s="648"/>
      <c r="DI144" s="648"/>
      <c r="DJ144" s="648"/>
      <c r="DK144" s="648"/>
      <c r="DL144" s="648"/>
      <c r="DM144" s="648"/>
      <c r="DN144" s="648"/>
      <c r="DO144" s="648"/>
      <c r="DP144" s="648"/>
      <c r="DQ144" s="648"/>
      <c r="DR144" s="648"/>
      <c r="DS144" s="648"/>
      <c r="DT144" s="648"/>
      <c r="DU144" s="648"/>
      <c r="DV144" s="648"/>
      <c r="DW144" s="648"/>
      <c r="DX144" s="648"/>
      <c r="DY144" s="648"/>
      <c r="DZ144" s="648"/>
      <c r="EF144" s="610"/>
      <c r="EG144" s="51"/>
      <c r="EH144" s="51"/>
      <c r="EI144" s="51"/>
      <c r="EJ144" s="51"/>
      <c r="EM144" t="s">
        <v>99</v>
      </c>
    </row>
    <row r="145" spans="1:140" x14ac:dyDescent="0.2">
      <c r="A145" s="1"/>
      <c r="B145" t="str">
        <f t="shared" si="523"/>
        <v>Mecahnical Recycling</v>
      </c>
      <c r="C145" s="54" t="s">
        <v>114</v>
      </c>
      <c r="D145" s="648">
        <f>MAX(D22-MAX($D22:D22),0)*$EF145</f>
        <v>0</v>
      </c>
      <c r="E145" s="648">
        <f>MAX(E22-MAX($D22:D22),0)*$EF145</f>
        <v>2301.4309260199875</v>
      </c>
      <c r="F145" s="648">
        <f>MAX(F22-MAX($D22:E22),0)*$EF145</f>
        <v>2789.8654936648977</v>
      </c>
      <c r="G145" s="648">
        <f>MAX(G22-MAX($D22:F22),0)*$EF145</f>
        <v>2806.4015079071182</v>
      </c>
      <c r="H145" s="648">
        <f>MAX(H22-MAX($D22:G22),0)*$EF145</f>
        <v>2789.7700751800944</v>
      </c>
      <c r="I145" s="648">
        <f>MAX(I22-MAX($D22:H22),0)*$EF145</f>
        <v>2753.9289062159355</v>
      </c>
      <c r="J145" s="648">
        <f>MAX(J22-MAX($D22:I22),0)*$EF145</f>
        <v>2688.4610767991157</v>
      </c>
      <c r="K145" s="648">
        <f>MAX(K22-MAX($D22:J22),0)*$EF145</f>
        <v>2721.5151202206316</v>
      </c>
      <c r="L145" s="648">
        <f>MAX(L22-MAX($D22:K22),0)*$EF145</f>
        <v>2750.5641087061954</v>
      </c>
      <c r="M145" s="648">
        <f>MAX(M22-MAX($D22:L22),0)*$EF145</f>
        <v>2775.3813791192788</v>
      </c>
      <c r="N145" s="648">
        <f>MAX(N22-MAX($D22:M22),0)*$EF145</f>
        <v>2795.7434047005986</v>
      </c>
      <c r="O145" s="648">
        <f>MAX(O22-MAX($D22:N22),0)*$EF145</f>
        <v>4469.5218048049592</v>
      </c>
      <c r="P145" s="648">
        <f>MAX(P22-MAX($D22:O22),0)*$EF145</f>
        <v>4462.711138023461</v>
      </c>
      <c r="Q145" s="648">
        <f>MAX(Q22-MAX($D22:P22),0)*$EF145</f>
        <v>4115.8130421587302</v>
      </c>
      <c r="R145" s="648">
        <f>MAX(R22-MAX($D22:Q22),0)*$EF145</f>
        <v>3900.6953037017565</v>
      </c>
      <c r="S145" s="648">
        <f>MAX(S22-MAX($D22:R22),0)*$EF145</f>
        <v>3657.0591480096687</v>
      </c>
      <c r="T145" s="648">
        <f>MAX(T22-MAX($D22:S22),0)*$EF145</f>
        <v>3599.6288168587475</v>
      </c>
      <c r="U145" s="648">
        <f>MAX(U22-MAX($D22:T22),0)*$EF145</f>
        <v>3488.8387451911485</v>
      </c>
      <c r="V145" s="648">
        <f>MAX(V22-MAX($D22:U22),0)*$EF145</f>
        <v>3371.8182652327578</v>
      </c>
      <c r="W145" s="648">
        <f>MAX(W22-MAX($D22:V22),0)*$EF145</f>
        <v>3248.4648345130504</v>
      </c>
      <c r="X145" s="648">
        <f>MAX(X22-MAX($D22:W22),0)*$EF145</f>
        <v>3118.6773672320737</v>
      </c>
      <c r="Y145" s="648">
        <f>MAX(Y22-MAX($D22:X22),0)*$EF145</f>
        <v>4856.4689583122936</v>
      </c>
      <c r="Z145" s="648">
        <f>MAX(Z22-MAX($D22:Y22),0)*$EF145</f>
        <v>5412.533965430488</v>
      </c>
      <c r="AA145" s="648">
        <f>MAX(AA22-MAX($D22:Z22),0)*$EF145</f>
        <v>5102.3624158299399</v>
      </c>
      <c r="AB145" s="648">
        <f>MAX(AB22-MAX($D22:AA22),0)*$EF145</f>
        <v>4856.8821003247667</v>
      </c>
      <c r="AC145" s="648">
        <f>MAX(AC22-MAX($D22:AB22),0)*$EF145</f>
        <v>4599.9749468578275</v>
      </c>
      <c r="AD145" s="648">
        <f>MAX(AD22-MAX($D22:AC22),0)*$EF145</f>
        <v>4258.0507042822846</v>
      </c>
      <c r="AE145" s="648">
        <f>MAX(AE22-MAX($D22:AD22),0)*$EF145</f>
        <v>3966.5236428875473</v>
      </c>
      <c r="AF145" s="648">
        <f>MAX(AF22-MAX($D22:AE22),0)*$EF145</f>
        <v>3662.1782888993266</v>
      </c>
      <c r="AG145" s="648">
        <f>MAX(AG22-MAX($D22:AF22),0)*$EF145</f>
        <v>3344.7953162686026</v>
      </c>
      <c r="AH145" s="648">
        <f>MAX(AH22-MAX($D22:AG22),0)*$EF145</f>
        <v>3014.1568158822115</v>
      </c>
      <c r="AI145" s="648"/>
      <c r="AJ145" s="648">
        <f>MAX(AJ22-MAX($AJ22:AJ22),0)*$EF145</f>
        <v>0</v>
      </c>
      <c r="AK145" s="648">
        <f>MAX(AK22-MAX($AJ22:AJ22),0)*$EF145</f>
        <v>2301.4309260199875</v>
      </c>
      <c r="AL145" s="648">
        <f>MAX(AL22-MAX($AJ22:AK22),0)*$EF145</f>
        <v>2789.8654936648977</v>
      </c>
      <c r="AM145" s="648">
        <f>MAX(AM22-MAX($AJ22:AL22),0)*$EF145</f>
        <v>2806.4015079071182</v>
      </c>
      <c r="AN145" s="648">
        <f>MAX(AN22-MAX($AJ22:AM22),0)*$EF145</f>
        <v>2789.7700751800944</v>
      </c>
      <c r="AO145" s="648">
        <f>MAX(AO22-MAX($AJ22:AN22),0)*$EF145</f>
        <v>2753.9289062159355</v>
      </c>
      <c r="AP145" s="648">
        <f>MAX(AP22-MAX($AJ22:AO22),0)*$EF145</f>
        <v>2688.4610767991157</v>
      </c>
      <c r="AQ145" s="648">
        <f>MAX(AQ22-MAX($AJ22:AP22),0)*$EF145</f>
        <v>2721.5151202206316</v>
      </c>
      <c r="AR145" s="648">
        <f>MAX(AR22-MAX($AJ22:AQ22),0)*$EF145</f>
        <v>2750.5641087061954</v>
      </c>
      <c r="AS145" s="648">
        <f>MAX(AS22-MAX($AJ22:AR22),0)*$EF145</f>
        <v>2775.3813791192788</v>
      </c>
      <c r="AT145" s="648">
        <f>MAX(AT22-MAX($AJ22:AS22),0)*$EF145</f>
        <v>2795.7434047005986</v>
      </c>
      <c r="AU145" s="648">
        <f>MAX(AU22-MAX($AJ22:AT22),0)*$EF145</f>
        <v>4469.5218048049592</v>
      </c>
      <c r="AV145" s="648">
        <f>MAX(AV22-MAX($AJ22:AU22),0)*$EF145</f>
        <v>4462.711138023461</v>
      </c>
      <c r="AW145" s="648">
        <f>MAX(AW22-MAX($AJ22:AV22),0)*$EF145</f>
        <v>4115.8130421587302</v>
      </c>
      <c r="AX145" s="648">
        <f>MAX(AX22-MAX($AJ22:AW22),0)*$EF145</f>
        <v>3900.6953037017565</v>
      </c>
      <c r="AY145" s="648">
        <f>MAX(AY22-MAX($AJ22:AX22),0)*$EF145</f>
        <v>3657.0591480096687</v>
      </c>
      <c r="AZ145" s="648">
        <f>MAX(AZ22-MAX($AJ22:AY22),0)*$EF145</f>
        <v>3599.6288168587475</v>
      </c>
      <c r="BA145" s="648">
        <f>MAX(BA22-MAX($AJ22:AZ22),0)*$EF145</f>
        <v>3488.8387451911485</v>
      </c>
      <c r="BB145" s="648">
        <f>MAX(BB22-MAX($AJ22:BA22),0)*$EF145</f>
        <v>3371.8182652327578</v>
      </c>
      <c r="BC145" s="648">
        <f>MAX(BC22-MAX($AJ22:BB22),0)*$EF145</f>
        <v>3248.4648345130504</v>
      </c>
      <c r="BD145" s="648">
        <f>MAX(BD22-MAX($AJ22:BC22),0)*$EF145</f>
        <v>3118.6773672320737</v>
      </c>
      <c r="BE145" s="648">
        <f>MAX(BE22-MAX($AJ22:BD22),0)*$EF145</f>
        <v>4856.4689583122936</v>
      </c>
      <c r="BF145" s="648">
        <f>MAX(BF22-MAX($AJ22:BE22),0)*$EF145</f>
        <v>5412.533965430488</v>
      </c>
      <c r="BG145" s="648">
        <f>MAX(BG22-MAX($AJ22:BF22),0)*$EF145</f>
        <v>5102.3624158299399</v>
      </c>
      <c r="BH145" s="648">
        <f>MAX(BH22-MAX($AJ22:BG22),0)*$EF145</f>
        <v>4856.8821003247667</v>
      </c>
      <c r="BI145" s="648">
        <f>MAX(BI22-MAX($AJ22:BH22),0)*$EF145</f>
        <v>4599.9749468578275</v>
      </c>
      <c r="BJ145" s="648">
        <f>MAX(BJ22-MAX($AJ22:BI22),0)*$EF145</f>
        <v>4258.0507042822846</v>
      </c>
      <c r="BK145" s="648">
        <f>MAX(BK22-MAX($AJ22:BJ22),0)*$EF145</f>
        <v>3966.5236428875473</v>
      </c>
      <c r="BL145" s="648">
        <f>MAX(BL22-MAX($AJ22:BK22),0)*$EF145</f>
        <v>3662.1782888993266</v>
      </c>
      <c r="BM145" s="648">
        <f>MAX(BM22-MAX($AJ22:BL22),0)*$EF145</f>
        <v>3344.7953162686026</v>
      </c>
      <c r="BN145" s="648">
        <f>MAX(BN22-MAX($AJ22:BM22),0)*$EF145</f>
        <v>3014.1568158822115</v>
      </c>
      <c r="BO145" s="648"/>
      <c r="BP145" s="648">
        <f>MAX(BP22-MAX($BP22:BP22),0)*$EF145</f>
        <v>0</v>
      </c>
      <c r="BQ145" s="648">
        <f>MAX(BQ22-MAX($BP22:BP22),0)*$EF145</f>
        <v>593.22291005354259</v>
      </c>
      <c r="BR145" s="648">
        <f>MAX(BR22-MAX($BP22:BQ22),0)*$EF145</f>
        <v>603.12973265144194</v>
      </c>
      <c r="BS145" s="648">
        <f>MAX(BS22-MAX($BP22:BR22),0)*$EF145</f>
        <v>613.20199918672552</v>
      </c>
      <c r="BT145" s="648">
        <f>MAX(BT22-MAX($BP22:BS22),0)*$EF145</f>
        <v>623.44247257314328</v>
      </c>
      <c r="BU145" s="648">
        <f>MAX(BU22-MAX($BP22:BT22),0)*$EF145</f>
        <v>633.85396186510377</v>
      </c>
      <c r="BV145" s="648">
        <f>MAX(BV22-MAX($BP22:BU22),0)*$EF145</f>
        <v>644.43932302826977</v>
      </c>
      <c r="BW145" s="648">
        <f>MAX(BW22-MAX($BP22:BV22),0)*$EF145</f>
        <v>655.20145972282273</v>
      </c>
      <c r="BX145" s="648">
        <f>MAX(BX22-MAX($BP22:BW22),0)*$EF145</f>
        <v>666.1433241002054</v>
      </c>
      <c r="BY145" s="648">
        <f>MAX(BY22-MAX($BP22:BX22),0)*$EF145</f>
        <v>677.26791761267509</v>
      </c>
      <c r="BZ145" s="648">
        <f>MAX(BZ22-MAX($BP22:BY22),0)*$EF145</f>
        <v>688.57829183680985</v>
      </c>
      <c r="CA145" s="648">
        <f>MAX(CA22-MAX($BP22:BZ22),0)*$EF145</f>
        <v>700.07754931049442</v>
      </c>
      <c r="CB145" s="648">
        <f>MAX(CB22-MAX($BP22:CA22),0)*$EF145</f>
        <v>711.76884438396121</v>
      </c>
      <c r="CC145" s="648">
        <f>MAX(CC22-MAX($BP22:CB22),0)*$EF145</f>
        <v>723.65538408517489</v>
      </c>
      <c r="CD145" s="648">
        <f>MAX(CD22-MAX($BP22:CC22),0)*$EF145</f>
        <v>735.74042899941378</v>
      </c>
      <c r="CE145" s="648">
        <f>MAX(CE22-MAX($BP22:CD22),0)*$EF145</f>
        <v>748.02729416368766</v>
      </c>
      <c r="CF145" s="648">
        <f>MAX(CF22-MAX($BP22:CE22),0)*$EF145</f>
        <v>760.51934997623323</v>
      </c>
      <c r="CG145" s="648">
        <f>MAX(CG22-MAX($BP22:CF22),0)*$EF145</f>
        <v>773.22002312082157</v>
      </c>
      <c r="CH145" s="648">
        <f>MAX(CH22-MAX($BP22:CG22),0)*$EF145</f>
        <v>786.13279750694244</v>
      </c>
      <c r="CI145" s="648">
        <f>MAX(CI22-MAX($BP22:CH22),0)*$EF145</f>
        <v>799.26121522531753</v>
      </c>
      <c r="CJ145" s="648">
        <f>MAX(CJ22-MAX($BP22:CI22),0)*$EF145</f>
        <v>812.60887751957239</v>
      </c>
      <c r="CK145" s="648">
        <f>MAX(CK22-MAX($BP22:CJ22),0)*$EF145</f>
        <v>826.17944577415358</v>
      </c>
      <c r="CL145" s="648">
        <f>MAX(CL22-MAX($BP22:CK22),0)*$EF145</f>
        <v>839.97664251857248</v>
      </c>
      <c r="CM145" s="648">
        <f>MAX(CM22-MAX($BP22:CL22),0)*$EF145</f>
        <v>854.00425244864084</v>
      </c>
      <c r="CN145" s="648">
        <f>MAX(CN22-MAX($BP22:CM22),0)*$EF145</f>
        <v>868.26612346453464</v>
      </c>
      <c r="CO145" s="648">
        <f>MAX(CO22-MAX($BP22:CN22),0)*$EF145</f>
        <v>882.76616772639056</v>
      </c>
      <c r="CP145" s="648">
        <f>MAX(CP22-MAX($BP22:CO22),0)*$EF145</f>
        <v>897.5083627274297</v>
      </c>
      <c r="CQ145" s="648">
        <f>MAX(CQ22-MAX($BP22:CP22),0)*$EF145</f>
        <v>912.49675238496366</v>
      </c>
      <c r="CR145" s="648">
        <f>MAX(CR22-MAX($BP22:CQ22),0)*$EF145</f>
        <v>927.73544814979346</v>
      </c>
      <c r="CS145" s="648">
        <f>MAX(CS22-MAX($BP22:CR22),0)*$EF145</f>
        <v>943.22863013390031</v>
      </c>
      <c r="CT145" s="648">
        <f>MAX(CT22-MAX($BP22:CS22),0)*$EF145</f>
        <v>958.98054825714303</v>
      </c>
      <c r="CU145" s="648"/>
      <c r="CV145" s="648">
        <f>MAX(CV22-MAX($CV22:CV22),0)*$EF145</f>
        <v>0</v>
      </c>
      <c r="CW145" s="648">
        <f>MAX(CW22-MAX($CV22:CV22),0)*$EF145</f>
        <v>2301.4309260199875</v>
      </c>
      <c r="CX145" s="648">
        <f>MAX(CX22-MAX($CV22:CW22),0)*$EF145</f>
        <v>2789.8654936648977</v>
      </c>
      <c r="CY145" s="648">
        <f>MAX(CY22-MAX($CV22:CX22),0)*$EF145</f>
        <v>2806.4015079071182</v>
      </c>
      <c r="CZ145" s="648">
        <f>MAX(CZ22-MAX($CV22:CY22),0)*$EF145</f>
        <v>2789.7700751800944</v>
      </c>
      <c r="DA145" s="648">
        <f>MAX(DA22-MAX($CV22:CZ22),0)*$EF145</f>
        <v>2753.9289062159355</v>
      </c>
      <c r="DB145" s="648">
        <f>MAX(DB22-MAX($CV22:DA22),0)*$EF145</f>
        <v>2688.4610767991157</v>
      </c>
      <c r="DC145" s="648">
        <f>MAX(DC22-MAX($CV22:DB22),0)*$EF145</f>
        <v>2721.5151202206316</v>
      </c>
      <c r="DD145" s="648">
        <f>MAX(DD22-MAX($CV22:DC22),0)*$EF145</f>
        <v>2750.5641087061954</v>
      </c>
      <c r="DE145" s="648">
        <f>MAX(DE22-MAX($CV22:DD22),0)*$EF145</f>
        <v>2775.3813791192788</v>
      </c>
      <c r="DF145" s="648">
        <f>MAX(DF22-MAX($CV22:DE22),0)*$EF145</f>
        <v>2795.7434047005986</v>
      </c>
      <c r="DG145" s="648">
        <f>MAX(DG22-MAX($CV22:DF22),0)*$EF145</f>
        <v>4469.5218048049592</v>
      </c>
      <c r="DH145" s="648">
        <f>MAX(DH22-MAX($CV22:DG22),0)*$EF145</f>
        <v>4462.711138023461</v>
      </c>
      <c r="DI145" s="648">
        <f>MAX(DI22-MAX($CV22:DH22),0)*$EF145</f>
        <v>4115.8130421587302</v>
      </c>
      <c r="DJ145" s="648">
        <f>MAX(DJ22-MAX($CV22:DI22),0)*$EF145</f>
        <v>3900.6953037017565</v>
      </c>
      <c r="DK145" s="648">
        <f>MAX(DK22-MAX($CV22:DJ22),0)*$EF145</f>
        <v>3657.0591480096687</v>
      </c>
      <c r="DL145" s="648">
        <f>MAX(DL22-MAX($CV22:DK22),0)*$EF145</f>
        <v>3599.6288168587475</v>
      </c>
      <c r="DM145" s="648">
        <f>MAX(DM22-MAX($CV22:DL22),0)*$EF145</f>
        <v>3488.8387451911485</v>
      </c>
      <c r="DN145" s="648">
        <f>MAX(DN22-MAX($CV22:DM22),0)*$EF145</f>
        <v>3371.8182652327578</v>
      </c>
      <c r="DO145" s="648">
        <f>MAX(DO22-MAX($CV22:DN22),0)*$EF145</f>
        <v>3248.4648345130504</v>
      </c>
      <c r="DP145" s="648">
        <f>MAX(DP22-MAX($CV22:DO22),0)*$EF145</f>
        <v>3118.6773672320737</v>
      </c>
      <c r="DQ145" s="648">
        <f>MAX(DQ22-MAX($CV22:DP22),0)*$EF145</f>
        <v>4856.4689583122936</v>
      </c>
      <c r="DR145" s="648">
        <f>MAX(DR22-MAX($CV22:DQ22),0)*$EF145</f>
        <v>5412.533965430488</v>
      </c>
      <c r="DS145" s="648">
        <f>MAX(DS22-MAX($CV22:DR22),0)*$EF145</f>
        <v>5102.3624158299399</v>
      </c>
      <c r="DT145" s="648">
        <f>MAX(DT22-MAX($CV22:DS22),0)*$EF145</f>
        <v>4856.8821003247667</v>
      </c>
      <c r="DU145" s="648">
        <f>MAX(DU22-MAX($CV22:DT22),0)*$EF145</f>
        <v>4599.9749468578275</v>
      </c>
      <c r="DV145" s="648">
        <f>MAX(DV22-MAX($CV22:DU22),0)*$EF145</f>
        <v>4258.0507042822846</v>
      </c>
      <c r="DW145" s="648">
        <f>MAX(DW22-MAX($CV22:DV22),0)*$EF145</f>
        <v>3966.5236428875473</v>
      </c>
      <c r="DX145" s="648">
        <f>MAX(DX22-MAX($CV22:DW22),0)*$EF145</f>
        <v>3662.1782888993266</v>
      </c>
      <c r="DY145" s="648">
        <f>MAX(DY22-MAX($CV22:DX22),0)*$EF145</f>
        <v>3344.7953162686026</v>
      </c>
      <c r="DZ145" s="648">
        <f>MAX(DZ22-MAX($CV22:DY22),0)*$EF145</f>
        <v>3014.1568158822115</v>
      </c>
      <c r="EF145" s="84">
        <v>1171.7546930917094</v>
      </c>
      <c r="EG145" s="51"/>
      <c r="EH145" s="51"/>
      <c r="EI145" s="51"/>
      <c r="EJ145" s="51"/>
    </row>
    <row r="146" spans="1:140" x14ac:dyDescent="0.2">
      <c r="A146" s="1"/>
      <c r="B146" t="str">
        <f t="shared" si="523"/>
        <v>Chemical Recycling</v>
      </c>
      <c r="C146" s="54" t="s">
        <v>114</v>
      </c>
      <c r="D146" s="648">
        <f>MAX(D23-MAX($D23:D23),0)*$EF146</f>
        <v>0</v>
      </c>
      <c r="E146" s="648">
        <f>MAX(E23-MAX($D23:D23),0)*$EF146</f>
        <v>0.52350795907243552</v>
      </c>
      <c r="F146" s="648">
        <f>MAX(F23-MAX($D23:E23),0)*$EF146</f>
        <v>1.0647873108519565</v>
      </c>
      <c r="G146" s="648">
        <f>MAX(G23-MAX($D23:F23),0)*$EF146</f>
        <v>2.2141192392752376</v>
      </c>
      <c r="H146" s="648">
        <f>MAX(H23-MAX($D23:G23),0)*$EF146</f>
        <v>4.5651797922700998</v>
      </c>
      <c r="I146" s="648">
        <f>MAX(I23-MAX($D23:H23),0)*$EF146</f>
        <v>9.3174735976897498</v>
      </c>
      <c r="J146" s="648">
        <f>MAX(J23-MAX($D23:I23),0)*$EF146</f>
        <v>18.628931623904059</v>
      </c>
      <c r="K146" s="648">
        <f>MAX(K23-MAX($D23:J23),0)*$EF146</f>
        <v>36.951561845322509</v>
      </c>
      <c r="L146" s="648">
        <f>MAX(L23-MAX($D23:K23),0)*$EF146</f>
        <v>71.976592064587223</v>
      </c>
      <c r="M146" s="648">
        <f>MAX(M23-MAX($D23:L23),0)*$EF146</f>
        <v>136.87962490485089</v>
      </c>
      <c r="N146" s="648">
        <f>MAX(N23-MAX($D23:M23),0)*$EF146</f>
        <v>244.07235587525022</v>
      </c>
      <c r="O146" s="648">
        <f>MAX(O23-MAX($D23:N23),0)*$EF146</f>
        <v>413.50639439115292</v>
      </c>
      <c r="P146" s="648">
        <f>MAX(P23-MAX($D23:O23),0)*$EF146</f>
        <v>649.94874737894668</v>
      </c>
      <c r="Q146" s="648">
        <f>MAX(Q23-MAX($D23:P23),0)*$EF146</f>
        <v>972.7693917241611</v>
      </c>
      <c r="R146" s="648">
        <f>MAX(R23-MAX($D23:Q23),0)*$EF146</f>
        <v>1351.666587656664</v>
      </c>
      <c r="S146" s="648">
        <f>MAX(S23-MAX($D23:R23),0)*$EF146</f>
        <v>1727.054606091265</v>
      </c>
      <c r="T146" s="648">
        <f>MAX(T23-MAX($D23:S23),0)*$EF146</f>
        <v>2058.813380105702</v>
      </c>
      <c r="U146" s="648">
        <f>MAX(U23-MAX($D23:T23),0)*$EF146</f>
        <v>2393.3647699336498</v>
      </c>
      <c r="V146" s="648">
        <f>MAX(V23-MAX($D23:U23),0)*$EF146</f>
        <v>2447.6676384393568</v>
      </c>
      <c r="W146" s="648">
        <f>MAX(W23-MAX($D23:V23),0)*$EF146</f>
        <v>2333.1043935143853</v>
      </c>
      <c r="X146" s="648">
        <f>MAX(X23-MAX($D23:W23),0)*$EF146</f>
        <v>1646.5646846147038</v>
      </c>
      <c r="Y146" s="648">
        <f>MAX(Y23-MAX($D23:X23),0)*$EF146</f>
        <v>1889.1317014306467</v>
      </c>
      <c r="Z146" s="648">
        <f>MAX(Z23-MAX($D23:Y23),0)*$EF146</f>
        <v>1183.7717885146776</v>
      </c>
      <c r="AA146" s="648">
        <f>MAX(AA23-MAX($D23:Z23),0)*$EF146</f>
        <v>882.18966973810871</v>
      </c>
      <c r="AB146" s="648">
        <f>MAX(AB23-MAX($D23:AA23),0)*$EF146</f>
        <v>910.06546791424273</v>
      </c>
      <c r="AC146" s="648">
        <f>MAX(AC23-MAX($D23:AB23),0)*$EF146</f>
        <v>902.38108248686638</v>
      </c>
      <c r="AD146" s="648">
        <f>MAX(AD23-MAX($D23:AC23),0)*$EF146</f>
        <v>907.56513109673756</v>
      </c>
      <c r="AE146" s="648">
        <f>MAX(AE23-MAX($D23:AD23),0)*$EF146</f>
        <v>1042.4020327432279</v>
      </c>
      <c r="AF146" s="648">
        <f>MAX(AF23-MAX($D23:AE23),0)*$EF146</f>
        <v>1270.6493430441383</v>
      </c>
      <c r="AG146" s="648">
        <f>MAX(AG23-MAX($D23:AF23),0)*$EF146</f>
        <v>1531.0995993192594</v>
      </c>
      <c r="AH146" s="648">
        <f>MAX(AH23-MAX($D23:AG23),0)*$EF146</f>
        <v>1400.174225396041</v>
      </c>
      <c r="AI146" s="648"/>
      <c r="AJ146" s="648">
        <f>MAX(AJ23-MAX($AJ23:AJ23),0)*$EF146</f>
        <v>0</v>
      </c>
      <c r="AK146" s="648">
        <f>MAX(AK23-MAX($AJ23:AJ23),0)*$EF146</f>
        <v>0.29342003888766893</v>
      </c>
      <c r="AL146" s="648">
        <f>MAX(AL23-MAX($AJ23:AK23),0)*$EF146</f>
        <v>0.59580048584596179</v>
      </c>
      <c r="AM146" s="648">
        <f>MAX(AM23-MAX($AJ23:AL23),0)*$EF146</f>
        <v>1.242142243319929</v>
      </c>
      <c r="AN146" s="648">
        <f>MAX(AN23-MAX($AJ23:AM23),0)*$EF146</f>
        <v>2.5682040229313512</v>
      </c>
      <c r="AO146" s="648">
        <f>MAX(AO23-MAX($AJ23:AN23),0)*$EF146</f>
        <v>5.2566641960003135</v>
      </c>
      <c r="AP146" s="648">
        <f>MAX(AP23-MAX($AJ23:AO23),0)*$EF146</f>
        <v>10.62960088585473</v>
      </c>
      <c r="AQ146" s="648">
        <f>MAX(AQ23-MAX($AJ23:AP23),0)*$EF146</f>
        <v>21.246643183122121</v>
      </c>
      <c r="AR146" s="648">
        <f>MAX(AR23-MAX($AJ23:AQ23),0)*$EF146</f>
        <v>41.715421177840447</v>
      </c>
      <c r="AS146" s="648">
        <f>MAX(AS23-MAX($AJ23:AR23),0)*$EF146</f>
        <v>79.987342955281122</v>
      </c>
      <c r="AT146" s="648">
        <f>MAX(AT23-MAX($AJ23:AS23),0)*$EF146</f>
        <v>139.33183005671304</v>
      </c>
      <c r="AU146" s="648">
        <f>MAX(AU23-MAX($AJ23:AT23),0)*$EF146</f>
        <v>253.32133222944717</v>
      </c>
      <c r="AV146" s="648">
        <f>MAX(AV23-MAX($AJ23:AU23),0)*$EF146</f>
        <v>397.70894750861197</v>
      </c>
      <c r="AW146" s="648">
        <f>MAX(AW23-MAX($AJ23:AV23),0)*$EF146</f>
        <v>608.08309905746808</v>
      </c>
      <c r="AX146" s="648">
        <f>MAX(AX23-MAX($AJ23:AW23),0)*$EF146</f>
        <v>864.92445657128337</v>
      </c>
      <c r="AY146" s="648">
        <f>MAX(AY23-MAX($AJ23:AX23),0)*$EF146</f>
        <v>1135.6881623048414</v>
      </c>
      <c r="AZ146" s="648">
        <f>MAX(AZ23-MAX($AJ23:AY23),0)*$EF146</f>
        <v>1376.7284473345956</v>
      </c>
      <c r="BA146" s="648">
        <f>MAX(BA23-MAX($AJ23:AZ23),0)*$EF146</f>
        <v>1540.9103608429682</v>
      </c>
      <c r="BB146" s="648">
        <f>MAX(BB23-MAX($AJ23:BA23),0)*$EF146</f>
        <v>1604.1967090417202</v>
      </c>
      <c r="BC146" s="648">
        <f>MAX(BC23-MAX($AJ23:BB23),0)*$EF146</f>
        <v>1573.1942623850016</v>
      </c>
      <c r="BD146" s="648">
        <f>MAX(BD23-MAX($AJ23:BC23),0)*$EF146</f>
        <v>992.96440869273385</v>
      </c>
      <c r="BE146" s="648">
        <f>MAX(BE23-MAX($AJ23:BD23),0)*$EF146</f>
        <v>1331.5529913169617</v>
      </c>
      <c r="BF146" s="648">
        <f>MAX(BF23-MAX($AJ23:BE23),0)*$EF146</f>
        <v>653.29919298971413</v>
      </c>
      <c r="BG146" s="648">
        <f>MAX(BG23-MAX($AJ23:BF23),0)*$EF146</f>
        <v>649.90526033899539</v>
      </c>
      <c r="BH146" s="648">
        <f>MAX(BH23-MAX($AJ23:BG23),0)*$EF146</f>
        <v>704.70437783540103</v>
      </c>
      <c r="BI146" s="648">
        <f>MAX(BI23-MAX($AJ23:BH23),0)*$EF146</f>
        <v>684.05188017437331</v>
      </c>
      <c r="BJ146" s="648">
        <f>MAX(BJ23-MAX($AJ23:BI23),0)*$EF146</f>
        <v>749.38390296718353</v>
      </c>
      <c r="BK146" s="648">
        <f>MAX(BK23-MAX($AJ23:BJ23),0)*$EF146</f>
        <v>905.3079519514539</v>
      </c>
      <c r="BL146" s="648">
        <f>MAX(BL23-MAX($AJ23:BK23),0)*$EF146</f>
        <v>1143.3143565931787</v>
      </c>
      <c r="BM146" s="648">
        <f>MAX(BM23-MAX($AJ23:BL23),0)*$EF146</f>
        <v>1463.0978176146552</v>
      </c>
      <c r="BN146" s="648">
        <f>MAX(BN23-MAX($AJ23:BM23),0)*$EF146</f>
        <v>415.33553939289595</v>
      </c>
      <c r="BO146" s="648"/>
      <c r="BP146" s="648">
        <f>MAX(BP23-MAX($BP23:BP23),0)*$EF146</f>
        <v>0</v>
      </c>
      <c r="BQ146" s="648">
        <f>MAX(BQ23-MAX($BP23:BP23),0)*$EF146</f>
        <v>0</v>
      </c>
      <c r="BR146" s="648">
        <f>MAX(BR23-MAX($BP23:BQ23),0)*$EF146</f>
        <v>0</v>
      </c>
      <c r="BS146" s="648">
        <f>MAX(BS23-MAX($BP23:BR23),0)*$EF146</f>
        <v>0</v>
      </c>
      <c r="BT146" s="648">
        <f>MAX(BT23-MAX($BP23:BS23),0)*$EF146</f>
        <v>0</v>
      </c>
      <c r="BU146" s="648">
        <f>MAX(BU23-MAX($BP23:BT23),0)*$EF146</f>
        <v>0</v>
      </c>
      <c r="BV146" s="648">
        <f>MAX(BV23-MAX($BP23:BU23),0)*$EF146</f>
        <v>0</v>
      </c>
      <c r="BW146" s="648">
        <f>MAX(BW23-MAX($BP23:BV23),0)*$EF146</f>
        <v>0</v>
      </c>
      <c r="BX146" s="648">
        <f>MAX(BX23-MAX($BP23:BW23),0)*$EF146</f>
        <v>0</v>
      </c>
      <c r="BY146" s="648">
        <f>MAX(BY23-MAX($BP23:BX23),0)*$EF146</f>
        <v>0</v>
      </c>
      <c r="BZ146" s="648">
        <f>MAX(BZ23-MAX($BP23:BY23),0)*$EF146</f>
        <v>0</v>
      </c>
      <c r="CA146" s="648">
        <f>MAX(CA23-MAX($BP23:BZ23),0)*$EF146</f>
        <v>0</v>
      </c>
      <c r="CB146" s="648">
        <f>MAX(CB23-MAX($BP23:CA23),0)*$EF146</f>
        <v>0</v>
      </c>
      <c r="CC146" s="648">
        <f>MAX(CC23-MAX($BP23:CB23),0)*$EF146</f>
        <v>0</v>
      </c>
      <c r="CD146" s="648">
        <f>MAX(CD23-MAX($BP23:CC23),0)*$EF146</f>
        <v>0</v>
      </c>
      <c r="CE146" s="648">
        <f>MAX(CE23-MAX($BP23:CD23),0)*$EF146</f>
        <v>0</v>
      </c>
      <c r="CF146" s="648">
        <f>MAX(CF23-MAX($BP23:CE23),0)*$EF146</f>
        <v>0</v>
      </c>
      <c r="CG146" s="648">
        <f>MAX(CG23-MAX($BP23:CF23),0)*$EF146</f>
        <v>0</v>
      </c>
      <c r="CH146" s="648">
        <f>MAX(CH23-MAX($BP23:CG23),0)*$EF146</f>
        <v>0</v>
      </c>
      <c r="CI146" s="648">
        <f>MAX(CI23-MAX($BP23:CH23),0)*$EF146</f>
        <v>0</v>
      </c>
      <c r="CJ146" s="648">
        <f>MAX(CJ23-MAX($BP23:CI23),0)*$EF146</f>
        <v>0</v>
      </c>
      <c r="CK146" s="648">
        <f>MAX(CK23-MAX($BP23:CJ23),0)*$EF146</f>
        <v>0</v>
      </c>
      <c r="CL146" s="648">
        <f>MAX(CL23-MAX($BP23:CK23),0)*$EF146</f>
        <v>0</v>
      </c>
      <c r="CM146" s="648">
        <f>MAX(CM23-MAX($BP23:CL23),0)*$EF146</f>
        <v>0</v>
      </c>
      <c r="CN146" s="648">
        <f>MAX(CN23-MAX($BP23:CM23),0)*$EF146</f>
        <v>0</v>
      </c>
      <c r="CO146" s="648">
        <f>MAX(CO23-MAX($BP23:CN23),0)*$EF146</f>
        <v>0</v>
      </c>
      <c r="CP146" s="648">
        <f>MAX(CP23-MAX($BP23:CO23),0)*$EF146</f>
        <v>0</v>
      </c>
      <c r="CQ146" s="648">
        <f>MAX(CQ23-MAX($BP23:CP23),0)*$EF146</f>
        <v>0</v>
      </c>
      <c r="CR146" s="648">
        <f>MAX(CR23-MAX($BP23:CQ23),0)*$EF146</f>
        <v>0</v>
      </c>
      <c r="CS146" s="648">
        <f>MAX(CS23-MAX($BP23:CR23),0)*$EF146</f>
        <v>0</v>
      </c>
      <c r="CT146" s="648">
        <f>MAX(CT23-MAX($BP23:CS23),0)*$EF146</f>
        <v>0</v>
      </c>
      <c r="CU146" s="648"/>
      <c r="CV146" s="648">
        <f>MAX(CV23-MAX($CV23:CV23),0)*$EF146</f>
        <v>0</v>
      </c>
      <c r="CW146" s="648">
        <f>MAX(CW23-MAX($CV23:CV23),0)*$EF146</f>
        <v>0.29342003888766893</v>
      </c>
      <c r="CX146" s="648">
        <f>MAX(CX23-MAX($CV23:CW23),0)*$EF146</f>
        <v>0.59580048584596179</v>
      </c>
      <c r="CY146" s="648">
        <f>MAX(CY23-MAX($CV23:CX23),0)*$EF146</f>
        <v>1.242142243319929</v>
      </c>
      <c r="CZ146" s="648">
        <f>MAX(CZ23-MAX($CV23:CY23),0)*$EF146</f>
        <v>2.5682040229313512</v>
      </c>
      <c r="DA146" s="648">
        <f>MAX(DA23-MAX($CV23:CZ23),0)*$EF146</f>
        <v>5.2566641960003135</v>
      </c>
      <c r="DB146" s="648">
        <f>MAX(DB23-MAX($CV23:DA23),0)*$EF146</f>
        <v>10.62960088585473</v>
      </c>
      <c r="DC146" s="648">
        <f>MAX(DC23-MAX($CV23:DB23),0)*$EF146</f>
        <v>21.246643183122121</v>
      </c>
      <c r="DD146" s="648">
        <f>MAX(DD23-MAX($CV23:DC23),0)*$EF146</f>
        <v>41.715421177840447</v>
      </c>
      <c r="DE146" s="648">
        <f>MAX(DE23-MAX($CV23:DD23),0)*$EF146</f>
        <v>79.987342955281122</v>
      </c>
      <c r="DF146" s="648">
        <f>MAX(DF23-MAX($CV23:DE23),0)*$EF146</f>
        <v>139.33183005671304</v>
      </c>
      <c r="DG146" s="648">
        <f>MAX(DG23-MAX($CV23:DF23),0)*$EF146</f>
        <v>253.32133222944717</v>
      </c>
      <c r="DH146" s="648">
        <f>MAX(DH23-MAX($CV23:DG23),0)*$EF146</f>
        <v>397.70894750861197</v>
      </c>
      <c r="DI146" s="648">
        <f>MAX(DI23-MAX($CV23:DH23),0)*$EF146</f>
        <v>608.08309905746808</v>
      </c>
      <c r="DJ146" s="648">
        <f>MAX(DJ23-MAX($CV23:DI23),0)*$EF146</f>
        <v>864.92445657128337</v>
      </c>
      <c r="DK146" s="648">
        <f>MAX(DK23-MAX($CV23:DJ23),0)*$EF146</f>
        <v>1135.6881623048414</v>
      </c>
      <c r="DL146" s="648">
        <f>MAX(DL23-MAX($CV23:DK23),0)*$EF146</f>
        <v>1376.7284473345956</v>
      </c>
      <c r="DM146" s="648">
        <f>MAX(DM23-MAX($CV23:DL23),0)*$EF146</f>
        <v>1540.9103608429682</v>
      </c>
      <c r="DN146" s="648">
        <f>MAX(DN23-MAX($CV23:DM23),0)*$EF146</f>
        <v>1604.1967090417202</v>
      </c>
      <c r="DO146" s="648">
        <f>MAX(DO23-MAX($CV23:DN23),0)*$EF146</f>
        <v>1573.1942623850016</v>
      </c>
      <c r="DP146" s="648">
        <f>MAX(DP23-MAX($CV23:DO23),0)*$EF146</f>
        <v>992.96440869273385</v>
      </c>
      <c r="DQ146" s="648">
        <f>MAX(DQ23-MAX($CV23:DP23),0)*$EF146</f>
        <v>1331.5529913169617</v>
      </c>
      <c r="DR146" s="648">
        <f>MAX(DR23-MAX($CV23:DQ23),0)*$EF146</f>
        <v>653.29919298971413</v>
      </c>
      <c r="DS146" s="648">
        <f>MAX(DS23-MAX($CV23:DR23),0)*$EF146</f>
        <v>649.90526033899539</v>
      </c>
      <c r="DT146" s="648">
        <f>MAX(DT23-MAX($CV23:DS23),0)*$EF146</f>
        <v>704.70437783540103</v>
      </c>
      <c r="DU146" s="648">
        <f>MAX(DU23-MAX($CV23:DT23),0)*$EF146</f>
        <v>684.05188017437331</v>
      </c>
      <c r="DV146" s="648">
        <f>MAX(DV23-MAX($CV23:DU23),0)*$EF146</f>
        <v>749.38390296718353</v>
      </c>
      <c r="DW146" s="648">
        <f>MAX(DW23-MAX($CV23:DV23),0)*$EF146</f>
        <v>905.3079519514539</v>
      </c>
      <c r="DX146" s="648">
        <f>MAX(DX23-MAX($CV23:DW23),0)*$EF146</f>
        <v>1143.3143565931787</v>
      </c>
      <c r="DY146" s="648">
        <f>MAX(DY23-MAX($CV23:DX23),0)*$EF146</f>
        <v>1463.0978176146552</v>
      </c>
      <c r="DZ146" s="648">
        <f>MAX(DZ23-MAX($CV23:DY23),0)*$EF146</f>
        <v>415.33553939289595</v>
      </c>
      <c r="EF146" s="84">
        <v>3061.5827967999994</v>
      </c>
      <c r="EG146" s="51"/>
      <c r="EH146" s="51"/>
      <c r="EI146" s="51"/>
      <c r="EJ146" s="51"/>
    </row>
    <row r="147" spans="1:140" x14ac:dyDescent="0.2">
      <c r="A147" s="1"/>
      <c r="B147" t="str">
        <f t="shared" si="523"/>
        <v>Waste management (collection + MRF)</v>
      </c>
      <c r="C147" s="54" t="s">
        <v>114</v>
      </c>
      <c r="D147" s="648">
        <f>MAX(D24-MAX($D24:D24),0)*$EF147</f>
        <v>0</v>
      </c>
      <c r="E147" s="648">
        <f>MAX(E24-MAX($D24:D24),0)*$EF147</f>
        <v>10744.344050804042</v>
      </c>
      <c r="F147" s="648">
        <f>MAX(F24-MAX($D24:E24),0)*$EF147</f>
        <v>10112.816531602835</v>
      </c>
      <c r="G147" s="648">
        <f>MAX(G24-MAX($D24:F24),0)*$EF147</f>
        <v>9506.2669074078622</v>
      </c>
      <c r="H147" s="648">
        <f>MAX(H24-MAX($D24:G24),0)*$EF147</f>
        <v>8749.0140581071264</v>
      </c>
      <c r="I147" s="648">
        <f>MAX(I24-MAX($D24:H24),0)*$EF147</f>
        <v>7926.8074201558666</v>
      </c>
      <c r="J147" s="648">
        <f>MAX(J24-MAX($D24:I24),0)*$EF147</f>
        <v>6192.415183892992</v>
      </c>
      <c r="K147" s="648">
        <f>MAX(K24-MAX($D24:J24),0)*$EF147</f>
        <v>6050.1179464893085</v>
      </c>
      <c r="L147" s="648">
        <f>MAX(L24-MAX($D24:K24),0)*$EF147</f>
        <v>5898.5009712372221</v>
      </c>
      <c r="M147" s="648">
        <f>MAX(M24-MAX($D24:L24),0)*$EF147</f>
        <v>5738.8373124294394</v>
      </c>
      <c r="N147" s="648">
        <f>MAX(N24-MAX($D24:M24),0)*$EF147</f>
        <v>5572.2696092781516</v>
      </c>
      <c r="O147" s="648">
        <f>MAX(O24-MAX($D24:N24),0)*$EF147</f>
        <v>3032.340701236461</v>
      </c>
      <c r="P147" s="648">
        <f>MAX(P24-MAX($D24:O24),0)*$EF147</f>
        <v>2692.3589557277965</v>
      </c>
      <c r="Q147" s="648">
        <f>MAX(Q24-MAX($D24:P24),0)*$EF147</f>
        <v>1041.9316362620946</v>
      </c>
      <c r="R147" s="648">
        <f>MAX(R24-MAX($D24:Q24),0)*$EF147</f>
        <v>104.70558818586316</v>
      </c>
      <c r="S147" s="648">
        <f>MAX(S24-MAX($D24:R24),0)*$EF147</f>
        <v>0</v>
      </c>
      <c r="T147" s="648">
        <f>MAX(T24-MAX($D24:S24),0)*$EF147</f>
        <v>0</v>
      </c>
      <c r="U147" s="648">
        <f>MAX(U24-MAX($D24:T24),0)*$EF147</f>
        <v>0</v>
      </c>
      <c r="V147" s="648">
        <f>MAX(V24-MAX($D24:U24),0)*$EF147</f>
        <v>0</v>
      </c>
      <c r="W147" s="648">
        <f>MAX(W24-MAX($D24:V24),0)*$EF147</f>
        <v>0</v>
      </c>
      <c r="X147" s="648">
        <f>MAX(X24-MAX($D24:W24),0)*$EF147</f>
        <v>0</v>
      </c>
      <c r="Y147" s="648">
        <f>MAX(Y24-MAX($D24:X24),0)*$EF147</f>
        <v>0</v>
      </c>
      <c r="Z147" s="648">
        <f>MAX(Z24-MAX($D24:Y24),0)*$EF147</f>
        <v>0</v>
      </c>
      <c r="AA147" s="648">
        <f>MAX(AA24-MAX($D24:Z24),0)*$EF147</f>
        <v>0</v>
      </c>
      <c r="AB147" s="648">
        <f>MAX(AB24-MAX($D24:AA24),0)*$EF147</f>
        <v>0</v>
      </c>
      <c r="AC147" s="648">
        <f>MAX(AC24-MAX($D24:AB24),0)*$EF147</f>
        <v>0</v>
      </c>
      <c r="AD147" s="648">
        <f>MAX(AD24-MAX($D24:AC24),0)*$EF147</f>
        <v>0</v>
      </c>
      <c r="AE147" s="648">
        <f>MAX(AE24-MAX($D24:AD24),0)*$EF147</f>
        <v>0</v>
      </c>
      <c r="AF147" s="648">
        <f>MAX(AF24-MAX($D24:AE24),0)*$EF147</f>
        <v>0</v>
      </c>
      <c r="AG147" s="648">
        <f>MAX(AG24-MAX($D24:AF24),0)*$EF147</f>
        <v>0</v>
      </c>
      <c r="AH147" s="648">
        <f>MAX(AH24-MAX($D24:AG24),0)*$EF147</f>
        <v>0</v>
      </c>
      <c r="AI147" s="648"/>
      <c r="AJ147" s="648">
        <f>MAX(AJ24-MAX($AJ24:AJ24),0)*$EF147</f>
        <v>0</v>
      </c>
      <c r="AK147" s="648">
        <f>MAX(AK24-MAX($AJ24:AJ24),0)*$EF147</f>
        <v>11142.622993599851</v>
      </c>
      <c r="AL147" s="648">
        <f>MAX(AL24-MAX($AJ24:AK24),0)*$EF147</f>
        <v>10567.568912047815</v>
      </c>
      <c r="AM147" s="648">
        <f>MAX(AM24-MAX($AJ24:AL24),0)*$EF147</f>
        <v>9973.6754704792256</v>
      </c>
      <c r="AN147" s="648">
        <f>MAX(AN24-MAX($AJ24:AM24),0)*$EF147</f>
        <v>9240.599947066341</v>
      </c>
      <c r="AO147" s="648">
        <f>MAX(AO24-MAX($AJ24:AN24),0)*$EF147</f>
        <v>8439.7489383800821</v>
      </c>
      <c r="AP147" s="648">
        <f>MAX(AP24-MAX($AJ24:AO24),0)*$EF147</f>
        <v>7558.4852292873948</v>
      </c>
      <c r="AQ147" s="648">
        <f>MAX(AQ24-MAX($AJ24:AP24),0)*$EF147</f>
        <v>7482.818982898757</v>
      </c>
      <c r="AR147" s="648">
        <f>MAX(AR24-MAX($AJ24:AQ24),0)*$EF147</f>
        <v>7397.7542684735217</v>
      </c>
      <c r="AS147" s="648">
        <f>MAX(AS24-MAX($AJ24:AR24),0)*$EF147</f>
        <v>7303.9618029277626</v>
      </c>
      <c r="AT147" s="648">
        <f>MAX(AT24-MAX($AJ24:AS24),0)*$EF147</f>
        <v>7201.6204965439929</v>
      </c>
      <c r="AU147" s="648">
        <f>MAX(AU24-MAX($AJ24:AT24),0)*$EF147</f>
        <v>5274.433123042867</v>
      </c>
      <c r="AV147" s="648">
        <f>MAX(AV24-MAX($AJ24:AU24),0)*$EF147</f>
        <v>4924.4552510992171</v>
      </c>
      <c r="AW147" s="648">
        <f>MAX(AW24-MAX($AJ24:AV24),0)*$EF147</f>
        <v>3451.6480488360494</v>
      </c>
      <c r="AX147" s="648">
        <f>MAX(AX24-MAX($AJ24:AW24),0)*$EF147</f>
        <v>2551.835914213726</v>
      </c>
      <c r="AY147" s="648">
        <f>MAX(AY24-MAX($AJ24:AX24),0)*$EF147</f>
        <v>1633.6490646470775</v>
      </c>
      <c r="AZ147" s="648">
        <f>MAX(AZ24-MAX($AJ24:AY24),0)*$EF147</f>
        <v>1671.36129009918</v>
      </c>
      <c r="BA147" s="648">
        <f>MAX(BA24-MAX($AJ24:AZ24),0)*$EF147</f>
        <v>1523.4267144431583</v>
      </c>
      <c r="BB147" s="648">
        <f>MAX(BB24-MAX($AJ24:BA24),0)*$EF147</f>
        <v>1363.3370390868079</v>
      </c>
      <c r="BC147" s="648">
        <f>MAX(BC24-MAX($AJ24:BB24),0)*$EF147</f>
        <v>1192.2548454172666</v>
      </c>
      <c r="BD147" s="648">
        <f>MAX(BD24-MAX($AJ24:BC24),0)*$EF147</f>
        <v>971.22314060211727</v>
      </c>
      <c r="BE147" s="648">
        <f>MAX(BE24-MAX($AJ24:BD24),0)*$EF147</f>
        <v>0</v>
      </c>
      <c r="BF147" s="648">
        <f>MAX(BF24-MAX($AJ24:BE24),0)*$EF147</f>
        <v>426.63158233210373</v>
      </c>
      <c r="BG147" s="648">
        <f>MAX(BG24-MAX($AJ24:BF24),0)*$EF147</f>
        <v>770.7540307365224</v>
      </c>
      <c r="BH147" s="648">
        <f>MAX(BH24-MAX($AJ24:BG24),0)*$EF147</f>
        <v>563.24428373843386</v>
      </c>
      <c r="BI147" s="648">
        <f>MAX(BI24-MAX($AJ24:BH24),0)*$EF147</f>
        <v>347.40074553759894</v>
      </c>
      <c r="BJ147" s="648">
        <f>MAX(BJ24-MAX($AJ24:BI24),0)*$EF147</f>
        <v>14.544681457853564</v>
      </c>
      <c r="BK147" s="648">
        <f>MAX(BK24-MAX($AJ24:BJ24),0)*$EF147</f>
        <v>0</v>
      </c>
      <c r="BL147" s="648">
        <f>MAX(BL24-MAX($AJ24:BK24),0)*$EF147</f>
        <v>0</v>
      </c>
      <c r="BM147" s="648">
        <f>MAX(BM24-MAX($AJ24:BL24),0)*$EF147</f>
        <v>0</v>
      </c>
      <c r="BN147" s="648">
        <f>MAX(BN24-MAX($AJ24:BM24),0)*$EF147</f>
        <v>0</v>
      </c>
      <c r="BO147" s="648"/>
      <c r="BP147" s="648">
        <f>MAX(BP24-MAX($BP24:BP24),0)*$EF147</f>
        <v>0</v>
      </c>
      <c r="BQ147" s="648">
        <f>MAX(BQ24-MAX($BP24:BP24),0)*$EF147</f>
        <v>9578.0613346096052</v>
      </c>
      <c r="BR147" s="648">
        <f>MAX(BR24-MAX($BP24:BQ24),0)*$EF147</f>
        <v>8946.4537535836898</v>
      </c>
      <c r="BS147" s="648">
        <f>MAX(BS24-MAX($BP24:BR24),0)*$EF147</f>
        <v>8252.9659299787236</v>
      </c>
      <c r="BT147" s="648">
        <f>MAX(BT24-MAX($BP24:BS24),0)*$EF147</f>
        <v>7501.7381396381643</v>
      </c>
      <c r="BU147" s="648">
        <f>MAX(BU24-MAX($BP24:BT24),0)*$EF147</f>
        <v>6697.6172062426895</v>
      </c>
      <c r="BV147" s="648">
        <f>MAX(BV24-MAX($BP24:BU24),0)*$EF147</f>
        <v>6641.7168121915929</v>
      </c>
      <c r="BW147" s="648">
        <f>MAX(BW24-MAX($BP24:BV24),0)*$EF147</f>
        <v>6578.5183815868704</v>
      </c>
      <c r="BX147" s="648">
        <f>MAX(BX24-MAX($BP24:BW24),0)*$EF147</f>
        <v>6507.9861820478718</v>
      </c>
      <c r="BY147" s="648">
        <f>MAX(BY24-MAX($BP24:BX24),0)*$EF147</f>
        <v>6430.0987151579093</v>
      </c>
      <c r="BZ147" s="648">
        <f>MAX(BZ24-MAX($BP24:BY24),0)*$EF147</f>
        <v>6344.8490749767043</v>
      </c>
      <c r="CA147" s="648">
        <f>MAX(CA24-MAX($BP24:BZ24),0)*$EF147</f>
        <v>5680.2992827231519</v>
      </c>
      <c r="CB147" s="648">
        <f>MAX(CB24-MAX($BP24:CA24),0)*$EF147</f>
        <v>4984.9424010663251</v>
      </c>
      <c r="CC147" s="648">
        <f>MAX(CC24-MAX($BP24:CB24),0)*$EF147</f>
        <v>4262.4089511365846</v>
      </c>
      <c r="CD147" s="648">
        <f>MAX(CD24-MAX($BP24:CC24),0)*$EF147</f>
        <v>3516.5999864365631</v>
      </c>
      <c r="CE147" s="648">
        <f>MAX(CE24-MAX($BP24:CD24),0)*$EF147</f>
        <v>2751.6535164729803</v>
      </c>
      <c r="CF147" s="648">
        <f>MAX(CF24-MAX($BP24:CE24),0)*$EF147</f>
        <v>2718.6519513891212</v>
      </c>
      <c r="CG147" s="648">
        <f>MAX(CG24-MAX($BP24:CF24),0)*$EF147</f>
        <v>2684.8750485534988</v>
      </c>
      <c r="CH147" s="648">
        <f>MAX(CH24-MAX($BP24:CG24),0)*$EF147</f>
        <v>2650.3361511423682</v>
      </c>
      <c r="CI147" s="648">
        <f>MAX(CI24-MAX($BP24:CH24),0)*$EF147</f>
        <v>2615.0493068878</v>
      </c>
      <c r="CJ147" s="648">
        <f>MAX(CJ24-MAX($BP24:CI24),0)*$EF147</f>
        <v>2579.02927030911</v>
      </c>
      <c r="CK147" s="648">
        <f>MAX(CK24-MAX($BP24:CJ24),0)*$EF147</f>
        <v>2546.9818639915302</v>
      </c>
      <c r="CL147" s="648">
        <f>MAX(CL24-MAX($BP24:CK24),0)*$EF147</f>
        <v>2514.3055885862595</v>
      </c>
      <c r="CM147" s="648">
        <f>MAX(CM24-MAX($BP24:CL24),0)*$EF147</f>
        <v>2481.0142835803676</v>
      </c>
      <c r="CN147" s="648">
        <f>MAX(CN24-MAX($BP24:CM24),0)*$EF147</f>
        <v>2447.122392725842</v>
      </c>
      <c r="CO147" s="648">
        <f>MAX(CO24-MAX($BP24:CN24),0)*$EF147</f>
        <v>2412.6449656417453</v>
      </c>
      <c r="CP147" s="648">
        <f>MAX(CP24-MAX($BP24:CO24),0)*$EF147</f>
        <v>2381.7132962860719</v>
      </c>
      <c r="CQ147" s="648">
        <f>MAX(CQ24-MAX($BP24:CP24),0)*$EF147</f>
        <v>2350.2832967419704</v>
      </c>
      <c r="CR147" s="648">
        <f>MAX(CR24-MAX($BP24:CQ24),0)*$EF147</f>
        <v>2318.3692202312641</v>
      </c>
      <c r="CS147" s="648">
        <f>MAX(CS24-MAX($BP24:CR24),0)*$EF147</f>
        <v>2285.9858486667918</v>
      </c>
      <c r="CT147" s="648">
        <f>MAX(CT24-MAX($BP24:CS24),0)*$EF147</f>
        <v>2253.1484939793218</v>
      </c>
      <c r="CU147" s="648"/>
      <c r="CV147" s="648">
        <f>MAX(CV24-MAX($CV24:CV24),0)*$EF147</f>
        <v>0</v>
      </c>
      <c r="CW147" s="648">
        <f>MAX(CW24-MAX($CV24:CV24),0)*$EF147</f>
        <v>12683.059971457258</v>
      </c>
      <c r="CX147" s="648">
        <f>MAX(CX24-MAX($CV24:CW24),0)*$EF147</f>
        <v>12345.392174699629</v>
      </c>
      <c r="CY147" s="648">
        <f>MAX(CY24-MAX($CV24:CX24),0)*$EF147</f>
        <v>11792.119576310422</v>
      </c>
      <c r="CZ147" s="648">
        <f>MAX(CZ24-MAX($CV24:CY24),0)*$EF147</f>
        <v>11153.500585601234</v>
      </c>
      <c r="DA147" s="648">
        <f>MAX(DA24-MAX($CV24:CZ24),0)*$EF147</f>
        <v>10436.542052007391</v>
      </c>
      <c r="DB147" s="648">
        <f>MAX(DB24-MAX($CV24:DA24),0)*$EF147</f>
        <v>10480.133587085293</v>
      </c>
      <c r="DC147" s="648">
        <f>MAX(DC24-MAX($CV24:DB24),0)*$EF147</f>
        <v>10543.848213632053</v>
      </c>
      <c r="DD147" s="648">
        <f>MAX(DD24-MAX($CV24:DC24),0)*$EF147</f>
        <v>10599.28810273706</v>
      </c>
      <c r="DE147" s="648">
        <f>MAX(DE24-MAX($CV24:DD24),0)*$EF147</f>
        <v>10646.891616517139</v>
      </c>
      <c r="DF147" s="648">
        <f>MAX(DF24-MAX($CV24:DE24),0)*$EF147</f>
        <v>10686.595262697314</v>
      </c>
      <c r="DG147" s="648">
        <f>MAX(DG24-MAX($CV24:DF24),0)*$EF147</f>
        <v>10516.90557942025</v>
      </c>
      <c r="DH147" s="648">
        <f>MAX(DH24-MAX($CV24:DG24),0)*$EF147</f>
        <v>9856.9682377253557</v>
      </c>
      <c r="DI147" s="648">
        <f>MAX(DI24-MAX($CV24:DH24),0)*$EF147</f>
        <v>9068.9102238298128</v>
      </c>
      <c r="DJ147" s="648">
        <f>MAX(DJ24-MAX($CV24:DI24),0)*$EF147</f>
        <v>8274.1659402534387</v>
      </c>
      <c r="DK147" s="648">
        <f>MAX(DK24-MAX($CV24:DJ24),0)*$EF147</f>
        <v>7432.1678989782667</v>
      </c>
      <c r="DL147" s="648">
        <f>MAX(DL24-MAX($CV24:DK24),0)*$EF147</f>
        <v>7452.3879054857844</v>
      </c>
      <c r="DM147" s="648">
        <f>MAX(DM24-MAX($CV24:DL24),0)*$EF147</f>
        <v>7451.5780218051023</v>
      </c>
      <c r="DN147" s="648">
        <f>MAX(DN24-MAX($CV24:DM24),0)*$EF147</f>
        <v>7439.6341950615451</v>
      </c>
      <c r="DO147" s="648">
        <f>MAX(DO24-MAX($CV24:DN24),0)*$EF147</f>
        <v>7417.6666668299622</v>
      </c>
      <c r="DP147" s="648">
        <f>MAX(DP24-MAX($CV24:DO24),0)*$EF147</f>
        <v>7346.6645650585288</v>
      </c>
      <c r="DQ147" s="648">
        <f>MAX(DQ24-MAX($CV24:DP24),0)*$EF147</f>
        <v>7779.859052437163</v>
      </c>
      <c r="DR147" s="648">
        <f>MAX(DR24-MAX($CV24:DQ24),0)*$EF147</f>
        <v>7847.6176330070084</v>
      </c>
      <c r="DS147" s="648">
        <f>MAX(DS24-MAX($CV24:DR24),0)*$EF147</f>
        <v>7779.4184912516384</v>
      </c>
      <c r="DT147" s="648">
        <f>MAX(DT24-MAX($CV24:DS24),0)*$EF147</f>
        <v>7731.7879910667607</v>
      </c>
      <c r="DU147" s="648">
        <f>MAX(DU24-MAX($CV24:DT24),0)*$EF147</f>
        <v>7676.7573369813999</v>
      </c>
      <c r="DV147" s="648">
        <f>MAX(DV24-MAX($CV24:DU24),0)*$EF147</f>
        <v>7617.5399368941262</v>
      </c>
      <c r="DW147" s="648">
        <f>MAX(DW24-MAX($CV24:DV24),0)*$EF147</f>
        <v>7577.843091520449</v>
      </c>
      <c r="DX147" s="648">
        <f>MAX(DX24-MAX($CV24:DW24),0)*$EF147</f>
        <v>7543.1811687888858</v>
      </c>
      <c r="DY147" s="648">
        <f>MAX(DY24-MAX($CV24:DX24),0)*$EF147</f>
        <v>7513.223273293941</v>
      </c>
      <c r="DZ147" s="648">
        <f>MAX(DZ24-MAX($CV24:DY24),0)*$EF147</f>
        <v>7379.7832651373856</v>
      </c>
      <c r="EF147" s="84">
        <f>863.815955723731+476.749838650831</f>
        <v>1340.5657943745621</v>
      </c>
      <c r="EG147" s="51"/>
      <c r="EH147" s="51"/>
      <c r="EI147" s="51"/>
      <c r="EJ147" s="51"/>
    </row>
    <row r="148" spans="1:140" x14ac:dyDescent="0.2">
      <c r="A148" s="1"/>
      <c r="B148" t="str">
        <f t="shared" si="523"/>
        <v>Incineration</v>
      </c>
      <c r="C148" s="54" t="s">
        <v>114</v>
      </c>
      <c r="D148" s="648">
        <f>MAX(D25-MAX($D25:D25),0)*$EF148</f>
        <v>0</v>
      </c>
      <c r="E148" s="648">
        <f>MAX(E25-MAX($D25:D25),0)*$EF148</f>
        <v>1490.5027611444432</v>
      </c>
      <c r="F148" s="648">
        <f>MAX(F25-MAX($D25:E25),0)*$EF148</f>
        <v>1415.7644156282179</v>
      </c>
      <c r="G148" s="648">
        <f>MAX(G25-MAX($D25:F25),0)*$EF148</f>
        <v>1385.4108270052843</v>
      </c>
      <c r="H148" s="648">
        <f>MAX(H25-MAX($D25:G25),0)*$EF148</f>
        <v>1338.8949908306283</v>
      </c>
      <c r="I148" s="648">
        <f>MAX(I25-MAX($D25:H25),0)*$EF148</f>
        <v>1282.1137175071653</v>
      </c>
      <c r="J148" s="648">
        <f>MAX(J25-MAX($D25:I25),0)*$EF148</f>
        <v>1128.6458969460234</v>
      </c>
      <c r="K148" s="648">
        <f>MAX(K25-MAX($D25:J25),0)*$EF148</f>
        <v>1118.1643118407244</v>
      </c>
      <c r="L148" s="648">
        <f>MAX(L25-MAX($D25:K25),0)*$EF148</f>
        <v>1104.897487282836</v>
      </c>
      <c r="M148" s="648">
        <f>MAX(M25-MAX($D25:L25),0)*$EF148</f>
        <v>1088.2829065582898</v>
      </c>
      <c r="N148" s="648">
        <f>MAX(N25-MAX($D25:M25),0)*$EF148</f>
        <v>1067.7312723469481</v>
      </c>
      <c r="O148" s="648">
        <f>MAX(O25-MAX($D25:N25),0)*$EF148</f>
        <v>551.46742646395035</v>
      </c>
      <c r="P148" s="648">
        <f>MAX(P25-MAX($D25:O25),0)*$EF148</f>
        <v>483.6251815670023</v>
      </c>
      <c r="Q148" s="648">
        <f>MAX(Q25-MAX($D25:P25),0)*$EF148</f>
        <v>297.95131161137903</v>
      </c>
      <c r="R148" s="648">
        <f>MAX(R25-MAX($D25:Q25),0)*$EF148</f>
        <v>168.37852712838384</v>
      </c>
      <c r="S148" s="648">
        <f>MAX(S25-MAX($D25:R25),0)*$EF148</f>
        <v>36.362162566468903</v>
      </c>
      <c r="T148" s="648">
        <f>MAX(T25-MAX($D25:S25),0)*$EF148</f>
        <v>12.744660011016308</v>
      </c>
      <c r="U148" s="648">
        <f>MAX(U25-MAX($D25:T25),0)*$EF148</f>
        <v>0</v>
      </c>
      <c r="V148" s="648">
        <f>MAX(V25-MAX($D25:U25),0)*$EF148</f>
        <v>0</v>
      </c>
      <c r="W148" s="648">
        <f>MAX(W25-MAX($D25:V25),0)*$EF148</f>
        <v>0</v>
      </c>
      <c r="X148" s="648">
        <f>MAX(X25-MAX($D25:W25),0)*$EF148</f>
        <v>0</v>
      </c>
      <c r="Y148" s="648">
        <f>MAX(Y25-MAX($D25:X25),0)*$EF148</f>
        <v>0</v>
      </c>
      <c r="Z148" s="648">
        <f>MAX(Z25-MAX($D25:Y25),0)*$EF148</f>
        <v>0</v>
      </c>
      <c r="AA148" s="648">
        <f>MAX(AA25-MAX($D25:Z25),0)*$EF148</f>
        <v>0</v>
      </c>
      <c r="AB148" s="648">
        <f>MAX(AB25-MAX($D25:AA25),0)*$EF148</f>
        <v>0</v>
      </c>
      <c r="AC148" s="648">
        <f>MAX(AC25-MAX($D25:AB25),0)*$EF148</f>
        <v>0</v>
      </c>
      <c r="AD148" s="648">
        <f>MAX(AD25-MAX($D25:AC25),0)*$EF148</f>
        <v>0</v>
      </c>
      <c r="AE148" s="648">
        <f>MAX(AE25-MAX($D25:AD25),0)*$EF148</f>
        <v>0</v>
      </c>
      <c r="AF148" s="648">
        <f>MAX(AF25-MAX($D25:AE25),0)*$EF148</f>
        <v>0</v>
      </c>
      <c r="AG148" s="648">
        <f>MAX(AG25-MAX($D25:AF25),0)*$EF148</f>
        <v>0</v>
      </c>
      <c r="AH148" s="648">
        <f>MAX(AH25-MAX($D25:AG25),0)*$EF148</f>
        <v>0</v>
      </c>
      <c r="AI148" s="648"/>
      <c r="AJ148" s="648">
        <f>MAX(AJ25-MAX($AJ25:AJ25),0)*$EF148</f>
        <v>0</v>
      </c>
      <c r="AK148" s="648">
        <f>MAX(AK25-MAX($AJ25:AJ25),0)*$EF148</f>
        <v>1526.4794323261058</v>
      </c>
      <c r="AL148" s="648">
        <f>MAX(AL25-MAX($AJ25:AK25),0)*$EF148</f>
        <v>1459.0361186058424</v>
      </c>
      <c r="AM148" s="648">
        <f>MAX(AM25-MAX($AJ25:AL25),0)*$EF148</f>
        <v>1432.216420361028</v>
      </c>
      <c r="AN148" s="648">
        <f>MAX(AN25-MAX($AJ25:AM25),0)*$EF148</f>
        <v>1390.4567154125759</v>
      </c>
      <c r="AO148" s="648">
        <f>MAX(AO25-MAX($AJ25:AN25),0)*$EF148</f>
        <v>1338.3526080196229</v>
      </c>
      <c r="AP148" s="648">
        <f>MAX(AP25-MAX($AJ25:AO25),0)*$EF148</f>
        <v>1275.3937455685166</v>
      </c>
      <c r="AQ148" s="648">
        <f>MAX(AQ25-MAX($AJ25:AP25),0)*$EF148</f>
        <v>1279.0048681515977</v>
      </c>
      <c r="AR148" s="648">
        <f>MAX(AR25-MAX($AJ25:AQ25),0)*$EF148</f>
        <v>1280.5856967922091</v>
      </c>
      <c r="AS148" s="648">
        <f>MAX(AS25-MAX($AJ25:AR25),0)*$EF148</f>
        <v>1279.7814682620674</v>
      </c>
      <c r="AT148" s="648">
        <f>MAX(AT25-MAX($AJ25:AS25),0)*$EF148</f>
        <v>1276.383164949789</v>
      </c>
      <c r="AU148" s="648">
        <f>MAX(AU25-MAX($AJ25:AT25),0)*$EF148</f>
        <v>841.30703549445377</v>
      </c>
      <c r="AV148" s="648">
        <f>MAX(AV25-MAX($AJ25:AU25),0)*$EF148</f>
        <v>787.84939737078798</v>
      </c>
      <c r="AW148" s="648">
        <f>MAX(AW25-MAX($AJ25:AV25),0)*$EF148</f>
        <v>640.20661823713249</v>
      </c>
      <c r="AX148" s="648">
        <f>MAX(AX25-MAX($AJ25:AW25),0)*$EF148</f>
        <v>533.52875656445019</v>
      </c>
      <c r="AY148" s="648">
        <f>MAX(AY25-MAX($AJ25:AX25),0)*$EF148</f>
        <v>422.65912648755921</v>
      </c>
      <c r="AZ148" s="648">
        <f>MAX(AZ25-MAX($AJ25:AY25),0)*$EF148</f>
        <v>402.5579274677728</v>
      </c>
      <c r="BA148" s="648">
        <f>MAX(BA25-MAX($AJ25:AZ25),0)*$EF148</f>
        <v>370.91424872292106</v>
      </c>
      <c r="BB148" s="648">
        <f>MAX(BB25-MAX($AJ25:BA25),0)*$EF148</f>
        <v>343.98761671136816</v>
      </c>
      <c r="BC148" s="648">
        <f>MAX(BC25-MAX($AJ25:BB25),0)*$EF148</f>
        <v>321.92265514211766</v>
      </c>
      <c r="BD148" s="648">
        <f>MAX(BD25-MAX($AJ25:BC25),0)*$EF148</f>
        <v>326.84783887355928</v>
      </c>
      <c r="BE148" s="648">
        <f>MAX(BE25-MAX($AJ25:BD25),0)*$EF148</f>
        <v>0</v>
      </c>
      <c r="BF148" s="648">
        <f>MAX(BF25-MAX($AJ25:BE25),0)*$EF148</f>
        <v>0</v>
      </c>
      <c r="BG148" s="648">
        <f>MAX(BG25-MAX($AJ25:BF25),0)*$EF148</f>
        <v>0</v>
      </c>
      <c r="BH148" s="648">
        <f>MAX(BH25-MAX($AJ25:BG25),0)*$EF148</f>
        <v>0</v>
      </c>
      <c r="BI148" s="648">
        <f>MAX(BI25-MAX($AJ25:BH25),0)*$EF148</f>
        <v>0</v>
      </c>
      <c r="BJ148" s="648">
        <f>MAX(BJ25-MAX($AJ25:BI25),0)*$EF148</f>
        <v>0</v>
      </c>
      <c r="BK148" s="648">
        <f>MAX(BK25-MAX($AJ25:BJ25),0)*$EF148</f>
        <v>0</v>
      </c>
      <c r="BL148" s="648">
        <f>MAX(BL25-MAX($AJ25:BK25),0)*$EF148</f>
        <v>0</v>
      </c>
      <c r="BM148" s="648">
        <f>MAX(BM25-MAX($AJ25:BL25),0)*$EF148</f>
        <v>0</v>
      </c>
      <c r="BN148" s="648">
        <f>MAX(BN25-MAX($AJ25:BM25),0)*$EF148</f>
        <v>0</v>
      </c>
      <c r="BO148" s="648"/>
      <c r="BP148" s="648">
        <f>MAX(BP25-MAX($BP25:BP25),0)*$EF148</f>
        <v>0</v>
      </c>
      <c r="BQ148" s="648">
        <f>MAX(BQ25-MAX($BP25:BP25),0)*$EF148</f>
        <v>1252.9682344882228</v>
      </c>
      <c r="BR148" s="648">
        <f>MAX(BR25-MAX($BP25:BQ25),0)*$EF148</f>
        <v>1227.0252802219613</v>
      </c>
      <c r="BS148" s="648">
        <f>MAX(BS25-MAX($BP25:BR25),0)*$EF148</f>
        <v>1192.7482836742354</v>
      </c>
      <c r="BT148" s="648">
        <f>MAX(BT25-MAX($BP25:BS25),0)*$EF148</f>
        <v>1150.0768459253691</v>
      </c>
      <c r="BU148" s="648">
        <f>MAX(BU25-MAX($BP25:BT25),0)*$EF148</f>
        <v>1099.0407002371694</v>
      </c>
      <c r="BV148" s="648">
        <f>MAX(BV25-MAX($BP25:BU25),0)*$EF148</f>
        <v>1117.1917495490347</v>
      </c>
      <c r="BW148" s="648">
        <f>MAX(BW25-MAX($BP25:BV25),0)*$EF148</f>
        <v>1134.6309780927149</v>
      </c>
      <c r="BX148" s="648">
        <f>MAX(BX25-MAX($BP25:BW25),0)*$EF148</f>
        <v>1151.3049263838702</v>
      </c>
      <c r="BY148" s="648">
        <f>MAX(BY25-MAX($BP25:BX25),0)*$EF148</f>
        <v>1167.16001692187</v>
      </c>
      <c r="BZ148" s="648">
        <f>MAX(BZ25-MAX($BP25:BY25),0)*$EF148</f>
        <v>1182.1426890672035</v>
      </c>
      <c r="CA148" s="648">
        <f>MAX(CA25-MAX($BP25:BZ25),0)*$EF148</f>
        <v>1135.7103383815399</v>
      </c>
      <c r="CB148" s="648">
        <f>MAX(CB25-MAX($BP25:CA25),0)*$EF148</f>
        <v>1082.7908799653028</v>
      </c>
      <c r="CC148" s="648">
        <f>MAX(CC25-MAX($BP25:CB25),0)*$EF148</f>
        <v>1023.4981371962712</v>
      </c>
      <c r="CD148" s="648">
        <f>MAX(CD25-MAX($BP25:CC25),0)*$EF148</f>
        <v>958.00090947746105</v>
      </c>
      <c r="CE148" s="648">
        <f>MAX(CE25-MAX($BP25:CD25),0)*$EF148</f>
        <v>886.52286635158055</v>
      </c>
      <c r="CF148" s="648">
        <f>MAX(CF25-MAX($BP25:CE25),0)*$EF148</f>
        <v>894.9467567716531</v>
      </c>
      <c r="CG148" s="648">
        <f>MAX(CG25-MAX($BP25:CF25),0)*$EF148</f>
        <v>903.20924114047864</v>
      </c>
      <c r="CH148" s="648">
        <f>MAX(CH25-MAX($BP25:CG25),0)*$EF148</f>
        <v>911.30301478916283</v>
      </c>
      <c r="CI148" s="648">
        <f>MAX(CI25-MAX($BP25:CH25),0)*$EF148</f>
        <v>919.22071569745992</v>
      </c>
      <c r="CJ148" s="648">
        <f>MAX(CJ25-MAX($BP25:CI25),0)*$EF148</f>
        <v>926.95492760545676</v>
      </c>
      <c r="CK148" s="648">
        <f>MAX(CK25-MAX($BP25:CJ25),0)*$EF148</f>
        <v>935.0797286232829</v>
      </c>
      <c r="CL148" s="648">
        <f>MAX(CL25-MAX($BP25:CK25),0)*$EF148</f>
        <v>943.04236784708053</v>
      </c>
      <c r="CM148" s="648">
        <f>MAX(CM25-MAX($BP25:CL25),0)*$EF148</f>
        <v>950.83604795515646</v>
      </c>
      <c r="CN148" s="648">
        <f>MAX(CN25-MAX($BP25:CM25),0)*$EF148</f>
        <v>958.45391773466145</v>
      </c>
      <c r="CO148" s="648">
        <f>MAX(CO25-MAX($BP25:CN25),0)*$EF148</f>
        <v>965.88907448335749</v>
      </c>
      <c r="CP148" s="648">
        <f>MAX(CP25-MAX($BP25:CO25),0)*$EF148</f>
        <v>973.6854380104802</v>
      </c>
      <c r="CQ148" s="648">
        <f>MAX(CQ25-MAX($BP25:CP25),0)*$EF148</f>
        <v>981.31780481665191</v>
      </c>
      <c r="CR148" s="648">
        <f>MAX(CR25-MAX($BP25:CQ25),0)*$EF148</f>
        <v>988.77978292235071</v>
      </c>
      <c r="CS148" s="648">
        <f>MAX(CS25-MAX($BP25:CR25),0)*$EF148</f>
        <v>996.06492853167913</v>
      </c>
      <c r="CT148" s="648">
        <f>MAX(CT25-MAX($BP25:CS25),0)*$EF148</f>
        <v>1003.1667478702377</v>
      </c>
      <c r="CU148" s="648"/>
      <c r="CV148" s="648">
        <f>MAX(CV25-MAX($CV25:CV25),0)*$EF148</f>
        <v>0</v>
      </c>
      <c r="CW148" s="648">
        <f>MAX(CW25-MAX($CV25:CV25),0)*$EF148</f>
        <v>1665.5917939790086</v>
      </c>
      <c r="CX148" s="648">
        <f>MAX(CX25-MAX($CV25:CW25),0)*$EF148</f>
        <v>1628.0851323567322</v>
      </c>
      <c r="CY148" s="648">
        <f>MAX(CY25-MAX($CV25:CX25),0)*$EF148</f>
        <v>1614.1499261772346</v>
      </c>
      <c r="CZ148" s="648">
        <f>MAX(CZ25-MAX($CV25:CY25),0)*$EF148</f>
        <v>1590.7532329034796</v>
      </c>
      <c r="DA148" s="648">
        <f>MAX(DA25-MAX($CV25:CZ25),0)*$EF148</f>
        <v>1556.5586780019023</v>
      </c>
      <c r="DB148" s="648">
        <f>MAX(DB25-MAX($CV25:DA25),0)*$EF148</f>
        <v>1598.5835407247794</v>
      </c>
      <c r="DC148" s="648">
        <f>MAX(DC25-MAX($CV25:DB25),0)*$EF148</f>
        <v>1631.1334440893943</v>
      </c>
      <c r="DD148" s="648">
        <f>MAX(DD25-MAX($CV25:DC25),0)*$EF148</f>
        <v>1662.6404440947358</v>
      </c>
      <c r="DE148" s="648">
        <f>MAX(DE25-MAX($CV25:DD25),0)*$EF148</f>
        <v>1692.722341277848</v>
      </c>
      <c r="DF148" s="648">
        <f>MAX(DF25-MAX($CV25:DE25),0)*$EF148</f>
        <v>1721.1387793823048</v>
      </c>
      <c r="DG148" s="648">
        <f>MAX(DG25-MAX($CV25:DF25),0)*$EF148</f>
        <v>1504.6287535581951</v>
      </c>
      <c r="DH148" s="648">
        <f>MAX(DH25-MAX($CV25:DG25),0)*$EF148</f>
        <v>1439.2611981369541</v>
      </c>
      <c r="DI148" s="648">
        <f>MAX(DI25-MAX($CV25:DH25),0)*$EF148</f>
        <v>1396.4301401435641</v>
      </c>
      <c r="DJ148" s="648">
        <f>MAX(DJ25-MAX($CV25:DI25),0)*$EF148</f>
        <v>1328.3175754991989</v>
      </c>
      <c r="DK148" s="648">
        <f>MAX(DK25-MAX($CV25:DJ25),0)*$EF148</f>
        <v>1252.8738708542696</v>
      </c>
      <c r="DL148" s="648">
        <f>MAX(DL25-MAX($CV25:DK25),0)*$EF148</f>
        <v>1256.5690633934112</v>
      </c>
      <c r="DM148" s="648">
        <f>MAX(DM25-MAX($CV25:DL25),0)*$EF148</f>
        <v>1269.5733039726028</v>
      </c>
      <c r="DN148" s="648">
        <f>MAX(DN25-MAX($CV25:DM25),0)*$EF148</f>
        <v>1288.1599486922171</v>
      </c>
      <c r="DO148" s="648">
        <f>MAX(DO25-MAX($CV25:DN25),0)*$EF148</f>
        <v>1312.4654893262593</v>
      </c>
      <c r="DP148" s="648">
        <f>MAX(DP25-MAX($CV25:DO25),0)*$EF148</f>
        <v>1364.6094921643528</v>
      </c>
      <c r="DQ148" s="648">
        <f>MAX(DQ25-MAX($CV25:DP25),0)*$EF148</f>
        <v>1137.8858267197479</v>
      </c>
      <c r="DR148" s="648">
        <f>MAX(DR25-MAX($CV25:DQ25),0)*$EF148</f>
        <v>1100.6666242018143</v>
      </c>
      <c r="DS148" s="648">
        <f>MAX(DS25-MAX($CV25:DR25),0)*$EF148</f>
        <v>1141.3973272134529</v>
      </c>
      <c r="DT148" s="648">
        <f>MAX(DT25-MAX($CV25:DS25),0)*$EF148</f>
        <v>1172.5983549005289</v>
      </c>
      <c r="DU148" s="648">
        <f>MAX(DU25-MAX($CV25:DT25),0)*$EF148</f>
        <v>1210.8357112886777</v>
      </c>
      <c r="DV148" s="648">
        <f>MAX(DV25-MAX($CV25:DU25),0)*$EF148</f>
        <v>1258.9153661307021</v>
      </c>
      <c r="DW148" s="648">
        <f>MAX(DW25-MAX($CV25:DV25),0)*$EF148</f>
        <v>1297.1501943146166</v>
      </c>
      <c r="DX148" s="648">
        <f>MAX(DX25-MAX($CV25:DW25),0)*$EF148</f>
        <v>1334.2895720579509</v>
      </c>
      <c r="DY148" s="648">
        <f>MAX(DY25-MAX($CV25:DX25),0)*$EF148</f>
        <v>1370.1857539538601</v>
      </c>
      <c r="DZ148" s="648">
        <f>MAX(DZ25-MAX($CV25:DY25),0)*$EF148</f>
        <v>1487.6287489149847</v>
      </c>
      <c r="EF148" s="84">
        <v>547.58850079541662</v>
      </c>
      <c r="EG148" s="51"/>
      <c r="EH148" s="51"/>
      <c r="EI148" s="51"/>
      <c r="EJ148" s="51"/>
    </row>
    <row r="149" spans="1:140" x14ac:dyDescent="0.2">
      <c r="A149" s="1"/>
      <c r="B149" t="str">
        <f t="shared" si="523"/>
        <v>CSS</v>
      </c>
      <c r="C149" s="54" t="s">
        <v>114</v>
      </c>
      <c r="D149" s="648">
        <f>MAX('Scope 3 summary'!D20-MAX('Scope 3 summary'!D20:'Scope 3 summary'!D20),0)*$EF149</f>
        <v>0</v>
      </c>
      <c r="E149" s="648">
        <f>MAX('Scope 3 summary'!E20-MAX('Scope 3 summary'!D20:'Scope 3 summary'!D20),0)*$EF149</f>
        <v>0.6179297830430196</v>
      </c>
      <c r="F149" s="648">
        <f>MAX('Scope 3 summary'!F20-MAX('Scope 3 summary'!E20:'Scope 3 summary'!E20),0)*$EF149</f>
        <v>1.2296941574388329</v>
      </c>
      <c r="G149" s="648">
        <f>MAX('Scope 3 summary'!G20-MAX('Scope 3 summary'!F20:'Scope 3 summary'!F20),0)*$EF149</f>
        <v>2.4533128771591883</v>
      </c>
      <c r="H149" s="648">
        <f>MAX('Scope 3 summary'!H20-MAX('Scope 3 summary'!G20:'Scope 3 summary'!G20),0)*$EF149</f>
        <v>4.866793383483536</v>
      </c>
      <c r="I149" s="648">
        <f>MAX('Scope 3 summary'!I20-MAX('Scope 3 summary'!H20:'Scope 3 summary'!H20),0)*$EF149</f>
        <v>9.5856097730910292</v>
      </c>
      <c r="J149" s="648">
        <f>MAX('Scope 3 summary'!J20-MAX('Scope 3 summary'!I20:'Scope 3 summary'!I20),0)*$EF149</f>
        <v>18.560936448497721</v>
      </c>
      <c r="K149" s="648">
        <f>MAX('Scope 3 summary'!K20-MAX('Scope 3 summary'!J20:'Scope 3 summary'!J20),0)*$EF149</f>
        <v>35.59267745174639</v>
      </c>
      <c r="L149" s="648">
        <f>MAX('Scope 3 summary'!L20-MAX('Scope 3 summary'!K20:'Scope 3 summary'!K20),0)*$EF149</f>
        <v>67.051283130705599</v>
      </c>
      <c r="M149" s="648">
        <f>MAX('Scope 3 summary'!M20-MAX('Scope 3 summary'!L20:'Scope 3 summary'!L20),0)*$EF149</f>
        <v>123.34646262611091</v>
      </c>
      <c r="N149" s="648">
        <f>MAX('Scope 3 summary'!N20-MAX('Scope 3 summary'!M20:'Scope 3 summary'!M20),0)*$EF149</f>
        <v>219.87127324451359</v>
      </c>
      <c r="O149" s="648">
        <f>MAX('Scope 3 summary'!O20-MAX('Scope 3 summary'!N20:'Scope 3 summary'!N20),0)*$EF149</f>
        <v>353.38802163471718</v>
      </c>
      <c r="P149" s="648">
        <f>MAX('Scope 3 summary'!P20-MAX('Scope 3 summary'!O20:'Scope 3 summary'!O20),0)*$EF149</f>
        <v>557.19246914452435</v>
      </c>
      <c r="Q149" s="648">
        <f>MAX('Scope 3 summary'!Q20-MAX('Scope 3 summary'!P20:'Scope 3 summary'!P20),0)*$EF149</f>
        <v>821.41505180326396</v>
      </c>
      <c r="R149" s="648">
        <f>MAX('Scope 3 summary'!R20-MAX('Scope 3 summary'!Q20:'Scope 3 summary'!Q20),0)*$EF149</f>
        <v>1122.1521550184593</v>
      </c>
      <c r="S149" s="648">
        <f>MAX('Scope 3 summary'!S20-MAX('Scope 3 summary'!R20:'Scope 3 summary'!R20),0)*$EF149</f>
        <v>1406.3565540073446</v>
      </c>
      <c r="T149" s="648">
        <f>MAX('Scope 3 summary'!T20-MAX('Scope 3 summary'!S20:'Scope 3 summary'!S20),0)*$EF149</f>
        <v>1597.6435059639007</v>
      </c>
      <c r="U149" s="648">
        <f>MAX('Scope 3 summary'!U20-MAX('Scope 3 summary'!T20:'Scope 3 summary'!T20),0)*$EF149</f>
        <v>1655.2943984373719</v>
      </c>
      <c r="V149" s="648">
        <f>MAX('Scope 3 summary'!V20-MAX('Scope 3 summary'!U20:'Scope 3 summary'!U20),0)*$EF149</f>
        <v>1566.8309128019246</v>
      </c>
      <c r="W149" s="648">
        <f>MAX('Scope 3 summary'!W20-MAX('Scope 3 summary'!V20:'Scope 3 summary'!V20),0)*$EF149</f>
        <v>1361.9031805359386</v>
      </c>
      <c r="X149" s="648">
        <f>MAX('Scope 3 summary'!X20-MAX('Scope 3 summary'!W20:'Scope 3 summary'!W20),0)*$EF149</f>
        <v>1097.4840861235648</v>
      </c>
      <c r="Y149" s="648">
        <f>MAX('Scope 3 summary'!Y20-MAX('Scope 3 summary'!X20:'Scope 3 summary'!X20),0)*$EF149</f>
        <v>577.20777788032399</v>
      </c>
      <c r="Z149" s="648">
        <f>MAX('Scope 3 summary'!Z20-MAX('Scope 3 summary'!Y20:'Scope 3 summary'!Y20),0)*$EF149</f>
        <v>320.77422455477245</v>
      </c>
      <c r="AA149" s="648">
        <f>MAX('Scope 3 summary'!AA20-MAX('Scope 3 summary'!Z20:'Scope 3 summary'!Z20),0)*$EF149</f>
        <v>91.837672128278456</v>
      </c>
      <c r="AB149" s="648">
        <f>MAX('Scope 3 summary'!AB20-MAX('Scope 3 summary'!AA20:'Scope 3 summary'!AA20),0)*$EF149</f>
        <v>0</v>
      </c>
      <c r="AC149" s="648">
        <f>MAX('Scope 3 summary'!AC20-MAX('Scope 3 summary'!AB20:'Scope 3 summary'!AB20),0)*$EF149</f>
        <v>0</v>
      </c>
      <c r="AD149" s="648">
        <f>MAX('Scope 3 summary'!AD20-MAX('Scope 3 summary'!AC20:'Scope 3 summary'!AC20),0)*$EF149</f>
        <v>0</v>
      </c>
      <c r="AE149" s="648">
        <f>MAX('Scope 3 summary'!AE20-MAX('Scope 3 summary'!AD20:'Scope 3 summary'!AD20),0)*$EF149</f>
        <v>0</v>
      </c>
      <c r="AF149" s="648">
        <f>MAX('Scope 3 summary'!AF20-MAX('Scope 3 summary'!AE20:'Scope 3 summary'!AE20),0)*$EF149</f>
        <v>0</v>
      </c>
      <c r="AG149" s="648">
        <f>MAX('Scope 3 summary'!AG20-MAX('Scope 3 summary'!AF20:'Scope 3 summary'!AF20),0)*$EF149</f>
        <v>0</v>
      </c>
      <c r="AH149" s="648">
        <f>MAX('Scope 3 summary'!AH20-MAX('Scope 3 summary'!AG20:'Scope 3 summary'!AG20),0)*$EF149</f>
        <v>0</v>
      </c>
      <c r="AI149" s="648"/>
      <c r="AJ149" s="648">
        <f>MAX('Scope 3 summary'!AJ20-MAX('Scope 3 summary'!AJ20:'Scope 3 summary'!AJ20),0)*$EF149</f>
        <v>0</v>
      </c>
      <c r="AK149" s="648">
        <f>MAX('Scope 3 summary'!AK20-MAX('Scope 3 summary'!AJ20:'Scope 3 summary'!AJ20),0)*$EF149</f>
        <v>0.61791006909388846</v>
      </c>
      <c r="AL149" s="648">
        <f>MAX('Scope 3 summary'!AL20-MAX('Scope 3 summary'!AK20:'Scope 3 summary'!AK20),0)*$EF149</f>
        <v>1.2405763643228138</v>
      </c>
      <c r="AM149" s="648">
        <f>MAX('Scope 3 summary'!AM20-MAX('Scope 3 summary'!AL20:'Scope 3 summary'!AL20),0)*$EF149</f>
        <v>2.4865471400455283</v>
      </c>
      <c r="AN149" s="648">
        <f>MAX('Scope 3 summary'!AN20-MAX('Scope 3 summary'!AM20:'Scope 3 summary'!AM20),0)*$EF149</f>
        <v>4.9566355389413976</v>
      </c>
      <c r="AO149" s="648">
        <f>MAX('Scope 3 summary'!AO20-MAX('Scope 3 summary'!AN20:'Scope 3 summary'!AN20),0)*$EF149</f>
        <v>9.8113965670511938</v>
      </c>
      <c r="AP149" s="648">
        <f>MAX('Scope 3 summary'!AP20-MAX('Scope 3 summary'!AO20:'Scope 3 summary'!AO20),0)*$EF149</f>
        <v>19.109594086617957</v>
      </c>
      <c r="AQ149" s="648">
        <f>MAX('Scope 3 summary'!AQ20-MAX('Scope 3 summary'!AP20:'Scope 3 summary'!AP20),0)*$EF149</f>
        <v>36.856730710807483</v>
      </c>
      <c r="AR149" s="648">
        <f>MAX('Scope 3 summary'!AR20-MAX('Scope 3 summary'!AQ20:'Scope 3 summary'!AQ20),0)*$EF149</f>
        <v>69.85413824786572</v>
      </c>
      <c r="AS149" s="648">
        <f>MAX('Scope 3 summary'!AS20-MAX('Scope 3 summary'!AR20:'Scope 3 summary'!AR20),0)*$EF149</f>
        <v>129.329352297556</v>
      </c>
      <c r="AT149" s="648">
        <f>MAX('Scope 3 summary'!AT20-MAX('Scope 3 summary'!AS20:'Scope 3 summary'!AS20),0)*$EF149</f>
        <v>232.13135343197075</v>
      </c>
      <c r="AU149" s="648">
        <f>MAX('Scope 3 summary'!AU20-MAX('Scope 3 summary'!AT20:'Scope 3 summary'!AT20),0)*$EF149</f>
        <v>377.92727475887045</v>
      </c>
      <c r="AV149" s="648">
        <f>MAX('Scope 3 summary'!AV20-MAX('Scope 3 summary'!AU20:'Scope 3 summary'!AU20),0)*$EF149</f>
        <v>602.60398412847485</v>
      </c>
      <c r="AW149" s="648">
        <f>MAX('Scope 3 summary'!AW20-MAX('Scope 3 summary'!AV20:'Scope 3 summary'!AV20),0)*$EF149</f>
        <v>900.6028444880568</v>
      </c>
      <c r="AX149" s="648">
        <f>MAX('Scope 3 summary'!AX20-MAX('Scope 3 summary'!AW20:'Scope 3 summary'!AW20),0)*$EF149</f>
        <v>1249.86532745451</v>
      </c>
      <c r="AY149" s="648">
        <f>MAX('Scope 3 summary'!AY20-MAX('Scope 3 summary'!AX20:'Scope 3 summary'!AX20),0)*$EF149</f>
        <v>1595.9849149223126</v>
      </c>
      <c r="AZ149" s="648">
        <f>MAX('Scope 3 summary'!AZ20-MAX('Scope 3 summary'!AY20:'Scope 3 summary'!AY20),0)*$EF149</f>
        <v>1854.8511187347349</v>
      </c>
      <c r="BA149" s="648">
        <f>MAX('Scope 3 summary'!BA20-MAX('Scope 3 summary'!AZ20:'Scope 3 summary'!AZ20),0)*$EF149</f>
        <v>1978.8019115342777</v>
      </c>
      <c r="BB149" s="648">
        <f>MAX('Scope 3 summary'!BB20-MAX('Scope 3 summary'!BA20:'Scope 3 summary'!BA20),0)*$EF149</f>
        <v>1941.7991339920291</v>
      </c>
      <c r="BC149" s="648">
        <f>MAX('Scope 3 summary'!BC20-MAX('Scope 3 summary'!BB20:'Scope 3 summary'!BB20),0)*$EF149</f>
        <v>1768.2587660524562</v>
      </c>
      <c r="BD149" s="648">
        <f>MAX('Scope 3 summary'!BD20-MAX('Scope 3 summary'!BC20:'Scope 3 summary'!BC20),0)*$EF149</f>
        <v>1515.5819502603372</v>
      </c>
      <c r="BE149" s="648">
        <f>MAX('Scope 3 summary'!BE20-MAX('Scope 3 summary'!BD20:'Scope 3 summary'!BD20),0)*$EF149</f>
        <v>1005.5854758037539</v>
      </c>
      <c r="BF149" s="648">
        <f>MAX('Scope 3 summary'!BF20-MAX('Scope 3 summary'!BE20:'Scope 3 summary'!BE20),0)*$EF149</f>
        <v>727.92152948891953</v>
      </c>
      <c r="BG149" s="648">
        <f>MAX('Scope 3 summary'!BG20-MAX('Scope 3 summary'!BF20:'Scope 3 summary'!BF20),0)*$EF149</f>
        <v>477.44297329755705</v>
      </c>
      <c r="BH149" s="648">
        <f>MAX('Scope 3 summary'!BH20-MAX('Scope 3 summary'!BG20:'Scope 3 summary'!BG20),0)*$EF149</f>
        <v>272.63512617822948</v>
      </c>
      <c r="BI149" s="648">
        <f>MAX('Scope 3 summary'!BI20-MAX('Scope 3 summary'!BH20:'Scope 3 summary'!BH20),0)*$EF149</f>
        <v>119.04913736409145</v>
      </c>
      <c r="BJ149" s="648">
        <f>MAX('Scope 3 summary'!BJ20-MAX('Scope 3 summary'!BI20:'Scope 3 summary'!BI20),0)*$EF149</f>
        <v>0</v>
      </c>
      <c r="BK149" s="648">
        <f>MAX('Scope 3 summary'!BK20-MAX('Scope 3 summary'!BJ20:'Scope 3 summary'!BJ20),0)*$EF149</f>
        <v>0</v>
      </c>
      <c r="BL149" s="648">
        <f>MAX('Scope 3 summary'!BL20-MAX('Scope 3 summary'!BK20:'Scope 3 summary'!BK20),0)*$EF149</f>
        <v>0</v>
      </c>
      <c r="BM149" s="648">
        <f>MAX('Scope 3 summary'!BM20-MAX('Scope 3 summary'!BL20:'Scope 3 summary'!BL20),0)*$EF149</f>
        <v>0</v>
      </c>
      <c r="BN149" s="648">
        <f>MAX('Scope 3 summary'!BN20-MAX('Scope 3 summary'!BM20:'Scope 3 summary'!BM20),0)*$EF149</f>
        <v>0</v>
      </c>
      <c r="BO149" s="648"/>
      <c r="BP149" s="648">
        <f>MAX('Scope 3 summary'!BP20-MAX('Scope 3 summary'!BP20:'Scope 3 summary'!BP20),0)*$EF149</f>
        <v>0</v>
      </c>
      <c r="BQ149" s="648">
        <f>MAX('Scope 3 summary'!BQ20-MAX('Scope 3 summary'!BP20:'Scope 3 summary'!BP20),0)*$EF149</f>
        <v>0</v>
      </c>
      <c r="BR149" s="648">
        <f>MAX('Scope 3 summary'!BR20-MAX('Scope 3 summary'!BQ20:'Scope 3 summary'!BQ20),0)*$EF149</f>
        <v>0</v>
      </c>
      <c r="BS149" s="648">
        <f>MAX('Scope 3 summary'!BS20-MAX('Scope 3 summary'!BR20:'Scope 3 summary'!BR20),0)*$EF149</f>
        <v>0</v>
      </c>
      <c r="BT149" s="648">
        <f>MAX('Scope 3 summary'!BT20-MAX('Scope 3 summary'!BS20:'Scope 3 summary'!BS20),0)*$EF149</f>
        <v>0</v>
      </c>
      <c r="BU149" s="648">
        <f>MAX('Scope 3 summary'!BU20-MAX('Scope 3 summary'!BT20:'Scope 3 summary'!BT20),0)*$EF149</f>
        <v>0</v>
      </c>
      <c r="BV149" s="648">
        <f>MAX('Scope 3 summary'!BV20-MAX('Scope 3 summary'!BU20:'Scope 3 summary'!BU20),0)*$EF149</f>
        <v>0</v>
      </c>
      <c r="BW149" s="648">
        <f>MAX('Scope 3 summary'!BW20-MAX('Scope 3 summary'!BV20:'Scope 3 summary'!BV20),0)*$EF149</f>
        <v>0</v>
      </c>
      <c r="BX149" s="648">
        <f>MAX('Scope 3 summary'!BX20-MAX('Scope 3 summary'!BW20:'Scope 3 summary'!BW20),0)*$EF149</f>
        <v>0</v>
      </c>
      <c r="BY149" s="648">
        <f>MAX('Scope 3 summary'!BY20-MAX('Scope 3 summary'!BX20:'Scope 3 summary'!BX20),0)*$EF149</f>
        <v>0</v>
      </c>
      <c r="BZ149" s="648">
        <f>MAX('Scope 3 summary'!BZ20-MAX('Scope 3 summary'!BY20:'Scope 3 summary'!BY20),0)*$EF149</f>
        <v>0</v>
      </c>
      <c r="CA149" s="648">
        <f>MAX('Scope 3 summary'!CA20-MAX('Scope 3 summary'!BZ20:'Scope 3 summary'!BZ20),0)*$EF149</f>
        <v>0</v>
      </c>
      <c r="CB149" s="648">
        <f>MAX('Scope 3 summary'!CB20-MAX('Scope 3 summary'!CA20:'Scope 3 summary'!CA20),0)*$EF149</f>
        <v>0</v>
      </c>
      <c r="CC149" s="648">
        <f>MAX('Scope 3 summary'!CC20-MAX('Scope 3 summary'!CB20:'Scope 3 summary'!CB20),0)*$EF149</f>
        <v>0</v>
      </c>
      <c r="CD149" s="648">
        <f>MAX('Scope 3 summary'!CD20-MAX('Scope 3 summary'!CC20:'Scope 3 summary'!CC20),0)*$EF149</f>
        <v>0</v>
      </c>
      <c r="CE149" s="648">
        <f>MAX('Scope 3 summary'!CE20-MAX('Scope 3 summary'!CD20:'Scope 3 summary'!CD20),0)*$EF149</f>
        <v>0</v>
      </c>
      <c r="CF149" s="648">
        <f>MAX('Scope 3 summary'!CF20-MAX('Scope 3 summary'!CE20:'Scope 3 summary'!CE20),0)*$EF149</f>
        <v>0</v>
      </c>
      <c r="CG149" s="648">
        <f>MAX('Scope 3 summary'!CG20-MAX('Scope 3 summary'!CF20:'Scope 3 summary'!CF20),0)*$EF149</f>
        <v>0</v>
      </c>
      <c r="CH149" s="648">
        <f>MAX('Scope 3 summary'!CH20-MAX('Scope 3 summary'!CG20:'Scope 3 summary'!CG20),0)*$EF149</f>
        <v>0</v>
      </c>
      <c r="CI149" s="648">
        <f>MAX('Scope 3 summary'!CI20-MAX('Scope 3 summary'!CH20:'Scope 3 summary'!CH20),0)*$EF149</f>
        <v>0</v>
      </c>
      <c r="CJ149" s="648">
        <f>MAX('Scope 3 summary'!CJ20-MAX('Scope 3 summary'!CI20:'Scope 3 summary'!CI20),0)*$EF149</f>
        <v>0</v>
      </c>
      <c r="CK149" s="648">
        <f>MAX('Scope 3 summary'!CK20-MAX('Scope 3 summary'!CJ20:'Scope 3 summary'!CJ20),0)*$EF149</f>
        <v>0</v>
      </c>
      <c r="CL149" s="648">
        <f>MAX('Scope 3 summary'!CL20-MAX('Scope 3 summary'!CK20:'Scope 3 summary'!CK20),0)*$EF149</f>
        <v>0</v>
      </c>
      <c r="CM149" s="648">
        <f>MAX('Scope 3 summary'!CM20-MAX('Scope 3 summary'!CL20:'Scope 3 summary'!CL20),0)*$EF149</f>
        <v>0</v>
      </c>
      <c r="CN149" s="648">
        <f>MAX('Scope 3 summary'!CN20-MAX('Scope 3 summary'!CM20:'Scope 3 summary'!CM20),0)*$EF149</f>
        <v>0</v>
      </c>
      <c r="CO149" s="648">
        <f>MAX('Scope 3 summary'!CO20-MAX('Scope 3 summary'!CN20:'Scope 3 summary'!CN20),0)*$EF149</f>
        <v>0</v>
      </c>
      <c r="CP149" s="648">
        <f>MAX('Scope 3 summary'!CP20-MAX('Scope 3 summary'!CO20:'Scope 3 summary'!CO20),0)*$EF149</f>
        <v>0</v>
      </c>
      <c r="CQ149" s="648">
        <f>MAX('Scope 3 summary'!CQ20-MAX('Scope 3 summary'!CP20:'Scope 3 summary'!CP20),0)*$EF149</f>
        <v>0</v>
      </c>
      <c r="CR149" s="648">
        <f>MAX('Scope 3 summary'!CR20-MAX('Scope 3 summary'!CQ20:'Scope 3 summary'!CQ20),0)*$EF149</f>
        <v>0</v>
      </c>
      <c r="CS149" s="648">
        <f>MAX('Scope 3 summary'!CS20-MAX('Scope 3 summary'!CR20:'Scope 3 summary'!CR20),0)*$EF149</f>
        <v>0</v>
      </c>
      <c r="CT149" s="648">
        <f>MAX('Scope 3 summary'!CT20-MAX('Scope 3 summary'!CS20:'Scope 3 summary'!CS20),0)*$EF149</f>
        <v>0</v>
      </c>
      <c r="CU149" s="648"/>
      <c r="CV149" s="648">
        <f>MAX('Scope 3 summary'!CV20-MAX('Scope 3 summary'!CV20:'Scope 3 summary'!CV20),0)*$EF149</f>
        <v>0</v>
      </c>
      <c r="CW149" s="648">
        <f>MAX('Scope 3 summary'!CW20-MAX('Scope 3 summary'!CV20:'Scope 3 summary'!CV20),0)*$EF149</f>
        <v>0.62990544486778932</v>
      </c>
      <c r="CX149" s="648">
        <f>MAX('Scope 3 summary'!CX20-MAX('Scope 3 summary'!CW20:'Scope 3 summary'!CW20),0)*$EF149</f>
        <v>1.2840233963951437</v>
      </c>
      <c r="CY149" s="648">
        <f>MAX('Scope 3 summary'!CY20-MAX('Scope 3 summary'!CX20:'Scope 3 summary'!CX20),0)*$EF149</f>
        <v>2.6068230853192342</v>
      </c>
      <c r="CZ149" s="648">
        <f>MAX('Scope 3 summary'!CZ20-MAX('Scope 3 summary'!CY20:'Scope 3 summary'!CY20),0)*$EF149</f>
        <v>5.2634608655069552</v>
      </c>
      <c r="DA149" s="648">
        <f>MAX('Scope 3 summary'!DA20-MAX('Scope 3 summary'!CZ20:'Scope 3 summary'!CZ20),0)*$EF149</f>
        <v>10.551098940828773</v>
      </c>
      <c r="DB149" s="648">
        <f>MAX('Scope 3 summary'!DB20-MAX('Scope 3 summary'!DA20:'Scope 3 summary'!DA20),0)*$EF149</f>
        <v>20.826452865242388</v>
      </c>
      <c r="DC149" s="648">
        <f>MAX('Scope 3 summary'!DC20-MAX('Scope 3 summary'!DB20:'Scope 3 summary'!DB20),0)*$EF149</f>
        <v>40.702039467807168</v>
      </c>
      <c r="DD149" s="648">
        <f>MAX('Scope 3 summary'!DD20-MAX('Scope 3 summary'!DC20:'Scope 3 summary'!DC20),0)*$EF149</f>
        <v>78.17877673046732</v>
      </c>
      <c r="DE149" s="648">
        <f>MAX('Scope 3 summary'!DE20-MAX('Scope 3 summary'!DD20:'Scope 3 summary'!DD20),0)*$EF149</f>
        <v>146.71612994725419</v>
      </c>
      <c r="DF149" s="648">
        <f>MAX('Scope 3 summary'!DF20-MAX('Scope 3 summary'!DE20:'Scope 3 summary'!DE20),0)*$EF149</f>
        <v>267.00424451744988</v>
      </c>
      <c r="DG149" s="648">
        <f>MAX('Scope 3 summary'!DG20-MAX('Scope 3 summary'!DF20:'Scope 3 summary'!DF20),0)*$EF149</f>
        <v>452.18325777465583</v>
      </c>
      <c r="DH149" s="648">
        <f>MAX('Scope 3 summary'!DH20-MAX('Scope 3 summary'!DG20:'Scope 3 summary'!DG20),0)*$EF149</f>
        <v>739.8666317113001</v>
      </c>
      <c r="DI149" s="648">
        <f>MAX('Scope 3 summary'!DI20-MAX('Scope 3 summary'!DH20:'Scope 3 summary'!DH20),0)*$EF149</f>
        <v>1140.8882705902038</v>
      </c>
      <c r="DJ149" s="648">
        <f>MAX('Scope 3 summary'!DJ20-MAX('Scope 3 summary'!DI20:'Scope 3 summary'!DI20),0)*$EF149</f>
        <v>1635.6484697455094</v>
      </c>
      <c r="DK149" s="648">
        <f>MAX('Scope 3 summary'!DK20-MAX('Scope 3 summary'!DJ20:'Scope 3 summary'!DJ20),0)*$EF149</f>
        <v>2164.784181050773</v>
      </c>
      <c r="DL149" s="648">
        <f>MAX('Scope 3 summary'!DL20-MAX('Scope 3 summary'!DK20:'Scope 3 summary'!DK20),0)*$EF149</f>
        <v>2624.6568809818286</v>
      </c>
      <c r="DM149" s="648">
        <f>MAX('Scope 3 summary'!DM20-MAX('Scope 3 summary'!DL20:'Scope 3 summary'!DL20),0)*$EF149</f>
        <v>2938.5342996410941</v>
      </c>
      <c r="DN149" s="648">
        <f>MAX('Scope 3 summary'!DN20-MAX('Scope 3 summary'!DM20:'Scope 3 summary'!DM20),0)*$EF149</f>
        <v>3052.4992143958789</v>
      </c>
      <c r="DO149" s="648">
        <f>MAX('Scope 3 summary'!DO20-MAX('Scope 3 summary'!DN20:'Scope 3 summary'!DN20),0)*$EF149</f>
        <v>2976.1402721150353</v>
      </c>
      <c r="DP149" s="648">
        <f>MAX('Scope 3 summary'!DP20-MAX('Scope 3 summary'!DO20:'Scope 3 summary'!DO20),0)*$EF149</f>
        <v>2762.5261460685051</v>
      </c>
      <c r="DQ149" s="648">
        <f>MAX('Scope 3 summary'!DQ20-MAX('Scope 3 summary'!DP20:'Scope 3 summary'!DP20),0)*$EF149</f>
        <v>2392.833495089656</v>
      </c>
      <c r="DR149" s="648">
        <f>MAX('Scope 3 summary'!DR20-MAX('Scope 3 summary'!DQ20:'Scope 3 summary'!DQ20),0)*$EF149</f>
        <v>2027.1567374133342</v>
      </c>
      <c r="DS149" s="648">
        <f>MAX('Scope 3 summary'!DS20-MAX('Scope 3 summary'!DR20:'Scope 3 summary'!DR20),0)*$EF149</f>
        <v>1743.5010486518063</v>
      </c>
      <c r="DT149" s="648">
        <f>MAX('Scope 3 summary'!DT20-MAX('Scope 3 summary'!DS20:'Scope 3 summary'!DS20),0)*$EF149</f>
        <v>1502.8406028351444</v>
      </c>
      <c r="DU149" s="648">
        <f>MAX('Scope 3 summary'!DU20-MAX('Scope 3 summary'!DT20:'Scope 3 summary'!DT20),0)*$EF149</f>
        <v>1310.9222766059142</v>
      </c>
      <c r="DV149" s="648">
        <f>MAX('Scope 3 summary'!DV20-MAX('Scope 3 summary'!DU20:'Scope 3 summary'!DU20),0)*$EF149</f>
        <v>1147.7923509698931</v>
      </c>
      <c r="DW149" s="648">
        <f>MAX('Scope 3 summary'!DW20-MAX('Scope 3 summary'!DV20:'Scope 3 summary'!DV20),0)*$EF149</f>
        <v>1032.2297240027303</v>
      </c>
      <c r="DX149" s="648">
        <f>MAX('Scope 3 summary'!DX20-MAX('Scope 3 summary'!DW20:'Scope 3 summary'!DW20),0)*$EF149</f>
        <v>943.22101415402824</v>
      </c>
      <c r="DY149" s="648">
        <f>MAX('Scope 3 summary'!DY20-MAX('Scope 3 summary'!DX20:'Scope 3 summary'!DX20),0)*$EF149</f>
        <v>865.17690490735345</v>
      </c>
      <c r="DZ149" s="648">
        <f>MAX('Scope 3 summary'!DZ20-MAX('Scope 3 summary'!DY20:'Scope 3 summary'!DY20),0)*$EF149</f>
        <v>810.10032360943126</v>
      </c>
      <c r="EF149" s="84">
        <v>67</v>
      </c>
      <c r="EG149" s="51"/>
      <c r="EH149" s="51"/>
      <c r="EI149" s="51"/>
      <c r="EJ149" s="51"/>
    </row>
    <row r="150" spans="1:140" x14ac:dyDescent="0.2">
      <c r="A150" s="1"/>
      <c r="B150" t="str">
        <f t="shared" si="523"/>
        <v>Landfill</v>
      </c>
      <c r="C150" s="54" t="s">
        <v>114</v>
      </c>
      <c r="D150" s="648">
        <f>MAX(D27-MAX($D27:D27),0)*$EF150</f>
        <v>0</v>
      </c>
      <c r="E150" s="648">
        <f>MAX(E27-MAX($D27:D27),0)*$EF150</f>
        <v>0</v>
      </c>
      <c r="F150" s="648">
        <f>MAX(F27-MAX($D27:E27),0)*$EF150</f>
        <v>0</v>
      </c>
      <c r="G150" s="648">
        <f>MAX(G27-MAX($D27:F27),0)*$EF150</f>
        <v>0</v>
      </c>
      <c r="H150" s="648">
        <f>MAX(H27-MAX($D27:G27),0)*$EF150</f>
        <v>0</v>
      </c>
      <c r="I150" s="648">
        <f>MAX(I27-MAX($D27:H27),0)*$EF150</f>
        <v>0</v>
      </c>
      <c r="J150" s="648">
        <f>MAX(J27-MAX($D27:I27),0)*$EF150</f>
        <v>0</v>
      </c>
      <c r="K150" s="648">
        <f>MAX(K27-MAX($D27:J27),0)*$EF150</f>
        <v>0</v>
      </c>
      <c r="L150" s="648">
        <f>MAX(L27-MAX($D27:K27),0)*$EF150</f>
        <v>0</v>
      </c>
      <c r="M150" s="648">
        <f>MAX(M27-MAX($D27:L27),0)*$EF150</f>
        <v>0</v>
      </c>
      <c r="N150" s="648">
        <f>MAX(N27-MAX($D27:M27),0)*$EF150</f>
        <v>0</v>
      </c>
      <c r="O150" s="648">
        <f>MAX(O27-MAX($D27:N27),0)*$EF150</f>
        <v>0</v>
      </c>
      <c r="P150" s="648">
        <f>MAX(P27-MAX($D27:O27),0)*$EF150</f>
        <v>0</v>
      </c>
      <c r="Q150" s="648">
        <f>MAX(Q27-MAX($D27:P27),0)*$EF150</f>
        <v>0</v>
      </c>
      <c r="R150" s="648">
        <f>MAX(R27-MAX($D27:Q27),0)*$EF150</f>
        <v>0</v>
      </c>
      <c r="S150" s="648">
        <f>MAX(S27-MAX($D27:R27),0)*$EF150</f>
        <v>0</v>
      </c>
      <c r="T150" s="648">
        <f>MAX(T27-MAX($D27:S27),0)*$EF150</f>
        <v>0</v>
      </c>
      <c r="U150" s="648">
        <f>MAX(U27-MAX($D27:T27),0)*$EF150</f>
        <v>0</v>
      </c>
      <c r="V150" s="648">
        <f>MAX(V27-MAX($D27:U27),0)*$EF150</f>
        <v>0</v>
      </c>
      <c r="W150" s="648">
        <f>MAX(W27-MAX($D27:V27),0)*$EF150</f>
        <v>0</v>
      </c>
      <c r="X150" s="648">
        <f>MAX(X27-MAX($D27:W27),0)*$EF150</f>
        <v>0</v>
      </c>
      <c r="Y150" s="648">
        <f>MAX(Y27-MAX($D27:X27),0)*$EF150</f>
        <v>0</v>
      </c>
      <c r="Z150" s="648">
        <f>MAX(Z27-MAX($D27:Y27),0)*$EF150</f>
        <v>0</v>
      </c>
      <c r="AA150" s="648">
        <f>MAX(AA27-MAX($D27:Z27),0)*$EF150</f>
        <v>0</v>
      </c>
      <c r="AB150" s="648">
        <f>MAX(AB27-MAX($D27:AA27),0)*$EF150</f>
        <v>0</v>
      </c>
      <c r="AC150" s="648">
        <f>MAX(AC27-MAX($D27:AB27),0)*$EF150</f>
        <v>0</v>
      </c>
      <c r="AD150" s="648">
        <f>MAX(AD27-MAX($D27:AC27),0)*$EF150</f>
        <v>0</v>
      </c>
      <c r="AE150" s="648">
        <f>MAX(AE27-MAX($D27:AD27),0)*$EF150</f>
        <v>0</v>
      </c>
      <c r="AF150" s="648">
        <f>MAX(AF27-MAX($D27:AE27),0)*$EF150</f>
        <v>0</v>
      </c>
      <c r="AG150" s="648">
        <f>MAX(AG27-MAX($D27:AF27),0)*$EF150</f>
        <v>0</v>
      </c>
      <c r="AH150" s="648">
        <f>MAX(AH27-MAX($D27:AG27),0)*$EF150</f>
        <v>0</v>
      </c>
      <c r="AI150" s="648"/>
      <c r="AJ150" s="648">
        <f>MAX(AJ27-MAX($AJ27:AJ27),0)*$EF150</f>
        <v>0</v>
      </c>
      <c r="AK150" s="648">
        <f>MAX(AK27-MAX($AJ27:AJ27),0)*$EF150</f>
        <v>0</v>
      </c>
      <c r="AL150" s="648">
        <f>MAX(AL27-MAX($AJ27:AK27),0)*$EF150</f>
        <v>0</v>
      </c>
      <c r="AM150" s="648">
        <f>MAX(AM27-MAX($AJ27:AL27),0)*$EF150</f>
        <v>0</v>
      </c>
      <c r="AN150" s="648">
        <f>MAX(AN27-MAX($AJ27:AM27),0)*$EF150</f>
        <v>0</v>
      </c>
      <c r="AO150" s="648">
        <f>MAX(AO27-MAX($AJ27:AN27),0)*$EF150</f>
        <v>0</v>
      </c>
      <c r="AP150" s="648">
        <f>MAX(AP27-MAX($AJ27:AO27),0)*$EF150</f>
        <v>0</v>
      </c>
      <c r="AQ150" s="648">
        <f>MAX(AQ27-MAX($AJ27:AP27),0)*$EF150</f>
        <v>0</v>
      </c>
      <c r="AR150" s="648">
        <f>MAX(AR27-MAX($AJ27:AQ27),0)*$EF150</f>
        <v>0</v>
      </c>
      <c r="AS150" s="648">
        <f>MAX(AS27-MAX($AJ27:AR27),0)*$EF150</f>
        <v>0</v>
      </c>
      <c r="AT150" s="648">
        <f>MAX(AT27-MAX($AJ27:AS27),0)*$EF150</f>
        <v>0</v>
      </c>
      <c r="AU150" s="648">
        <f>MAX(AU27-MAX($AJ27:AT27),0)*$EF150</f>
        <v>0</v>
      </c>
      <c r="AV150" s="648">
        <f>MAX(AV27-MAX($AJ27:AU27),0)*$EF150</f>
        <v>0</v>
      </c>
      <c r="AW150" s="648">
        <f>MAX(AW27-MAX($AJ27:AV27),0)*$EF150</f>
        <v>0</v>
      </c>
      <c r="AX150" s="648">
        <f>MAX(AX27-MAX($AJ27:AW27),0)*$EF150</f>
        <v>0</v>
      </c>
      <c r="AY150" s="648">
        <f>MAX(AY27-MAX($AJ27:AX27),0)*$EF150</f>
        <v>0</v>
      </c>
      <c r="AZ150" s="648">
        <f>MAX(AZ27-MAX($AJ27:AY27),0)*$EF150</f>
        <v>0</v>
      </c>
      <c r="BA150" s="648">
        <f>MAX(BA27-MAX($AJ27:AZ27),0)*$EF150</f>
        <v>0</v>
      </c>
      <c r="BB150" s="648">
        <f>MAX(BB27-MAX($AJ27:BA27),0)*$EF150</f>
        <v>0</v>
      </c>
      <c r="BC150" s="648">
        <f>MAX(BC27-MAX($AJ27:BB27),0)*$EF150</f>
        <v>0</v>
      </c>
      <c r="BD150" s="648">
        <f>MAX(BD27-MAX($AJ27:BC27),0)*$EF150</f>
        <v>0</v>
      </c>
      <c r="BE150" s="648">
        <f>MAX(BE27-MAX($AJ27:BD27),0)*$EF150</f>
        <v>0</v>
      </c>
      <c r="BF150" s="648">
        <f>MAX(BF27-MAX($AJ27:BE27),0)*$EF150</f>
        <v>0</v>
      </c>
      <c r="BG150" s="648">
        <f>MAX(BG27-MAX($AJ27:BF27),0)*$EF150</f>
        <v>0</v>
      </c>
      <c r="BH150" s="648">
        <f>MAX(BH27-MAX($AJ27:BG27),0)*$EF150</f>
        <v>0</v>
      </c>
      <c r="BI150" s="648">
        <f>MAX(BI27-MAX($AJ27:BH27),0)*$EF150</f>
        <v>0</v>
      </c>
      <c r="BJ150" s="648">
        <f>MAX(BJ27-MAX($AJ27:BI27),0)*$EF150</f>
        <v>0</v>
      </c>
      <c r="BK150" s="648">
        <f>MAX(BK27-MAX($AJ27:BJ27),0)*$EF150</f>
        <v>0</v>
      </c>
      <c r="BL150" s="648">
        <f>MAX(BL27-MAX($AJ27:BK27),0)*$EF150</f>
        <v>0</v>
      </c>
      <c r="BM150" s="648">
        <f>MAX(BM27-MAX($AJ27:BL27),0)*$EF150</f>
        <v>0</v>
      </c>
      <c r="BN150" s="648">
        <f>MAX(BN27-MAX($AJ27:BM27),0)*$EF150</f>
        <v>0</v>
      </c>
      <c r="BO150" s="648"/>
      <c r="BP150" s="648">
        <f>MAX(BP27-MAX($BP27:BP27),0)*$EF150</f>
        <v>0</v>
      </c>
      <c r="BQ150" s="648">
        <f>MAX(BQ27-MAX($BP27:BP27),0)*$EF150</f>
        <v>19.34809007902965</v>
      </c>
      <c r="BR150" s="648">
        <f>MAX(BR27-MAX($BP27:BQ27),0)*$EF150</f>
        <v>18.402720160550487</v>
      </c>
      <c r="BS150" s="648">
        <f>MAX(BS27-MAX($BP27:BR27),0)*$EF150</f>
        <v>17.325241974455345</v>
      </c>
      <c r="BT150" s="648">
        <f>MAX(BT27-MAX($BP27:BS27),0)*$EF150</f>
        <v>16.120145933594657</v>
      </c>
      <c r="BU150" s="648">
        <f>MAX(BU27-MAX($BP27:BT27),0)*$EF150</f>
        <v>14.793393020374275</v>
      </c>
      <c r="BV150" s="648">
        <f>MAX(BV27-MAX($BP27:BU27),0)*$EF150</f>
        <v>14.839786597480682</v>
      </c>
      <c r="BW150" s="648">
        <f>MAX(BW27-MAX($BP27:BV27),0)*$EF150</f>
        <v>14.872285116614705</v>
      </c>
      <c r="BX150" s="648">
        <f>MAX(BX27-MAX($BP27:BW27),0)*$EF150</f>
        <v>14.89046758334255</v>
      </c>
      <c r="BY150" s="648">
        <f>MAX(BY27-MAX($BP27:BX27),0)*$EF150</f>
        <v>14.893929014823275</v>
      </c>
      <c r="BZ150" s="648">
        <f>MAX(BZ27-MAX($BP27:BY27),0)*$EF150</f>
        <v>14.882281809456144</v>
      </c>
      <c r="CA150" s="648">
        <f>MAX(CA27-MAX($BP27:BZ27),0)*$EF150</f>
        <v>13.75207175985822</v>
      </c>
      <c r="CB150" s="648">
        <f>MAX(CB27-MAX($BP27:CA27),0)*$EF150</f>
        <v>12.539562198295808</v>
      </c>
      <c r="CC150" s="648">
        <f>MAX(CC27-MAX($BP27:CB27),0)*$EF150</f>
        <v>11.249858132812083</v>
      </c>
      <c r="CD150" s="648">
        <f>MAX(CD27-MAX($BP27:CC27),0)*$EF150</f>
        <v>9.8887709745212149</v>
      </c>
      <c r="CE150" s="648">
        <f>MAX(CE27-MAX($BP27:CD27),0)*$EF150</f>
        <v>8.4627779165047734</v>
      </c>
      <c r="CF150" s="648">
        <f>MAX(CF27-MAX($BP27:CE27),0)*$EF150</f>
        <v>8.4656274291478972</v>
      </c>
      <c r="CG150" s="648">
        <f>MAX(CG27-MAX($BP27:CF27),0)*$EF150</f>
        <v>8.4661417880201917</v>
      </c>
      <c r="CH150" s="648">
        <f>MAX(CH27-MAX($BP27:CG27),0)*$EF150</f>
        <v>8.4642809291752563</v>
      </c>
      <c r="CI150" s="648">
        <f>MAX(CI27-MAX($BP27:CH27),0)*$EF150</f>
        <v>8.4600051445895019</v>
      </c>
      <c r="CJ150" s="648">
        <f>MAX(CJ27-MAX($BP27:CI27),0)*$EF150</f>
        <v>8.4532751052892507</v>
      </c>
      <c r="CK150" s="648">
        <f>MAX(CK27-MAX($BP27:CJ27),0)*$EF150</f>
        <v>8.4536969248776295</v>
      </c>
      <c r="CL150" s="648">
        <f>MAX(CL27-MAX($BP27:CK27),0)*$EF150</f>
        <v>8.4519277806832882</v>
      </c>
      <c r="CM150" s="648">
        <f>MAX(CM27-MAX($BP27:CL27),0)*$EF150</f>
        <v>8.4479313440590964</v>
      </c>
      <c r="CN150" s="648">
        <f>MAX(CN27-MAX($BP27:CM27),0)*$EF150</f>
        <v>8.441671540582405</v>
      </c>
      <c r="CO150" s="648">
        <f>MAX(CO27-MAX($BP27:CN27),0)*$EF150</f>
        <v>8.4331125673492124</v>
      </c>
      <c r="CP150" s="648">
        <f>MAX(CP27-MAX($BP27:CO27),0)*$EF150</f>
        <v>8.4309664581276778</v>
      </c>
      <c r="CQ150" s="648">
        <f>MAX(CQ27-MAX($BP27:CP27),0)*$EF150</f>
        <v>8.4267449817851059</v>
      </c>
      <c r="CR150" s="648">
        <f>MAX(CR27-MAX($BP27:CQ27),0)*$EF150</f>
        <v>8.4204146969505445</v>
      </c>
      <c r="CS150" s="648">
        <f>MAX(CS27-MAX($BP27:CR27),0)*$EF150</f>
        <v>8.4119423338417043</v>
      </c>
      <c r="CT150" s="648">
        <f>MAX(CT27-MAX($BP27:CS27),0)*$EF150</f>
        <v>8.4012948071573668</v>
      </c>
      <c r="CU150" s="648"/>
      <c r="CV150" s="648">
        <f>MAX(CV27-MAX($CV27:CV27),0)*$EF150</f>
        <v>0</v>
      </c>
      <c r="CW150" s="648">
        <f>MAX(CW27-MAX($CV27:CV27),0)*$EF150</f>
        <v>0.13117041916979488</v>
      </c>
      <c r="CX150" s="648">
        <f>MAX(CX27-MAX($CV27:CW27),0)*$EF150</f>
        <v>0</v>
      </c>
      <c r="CY150" s="648">
        <f>MAX(CY27-MAX($CV27:CX27),0)*$EF150</f>
        <v>0</v>
      </c>
      <c r="CZ150" s="648">
        <f>MAX(CZ27-MAX($CV27:CY27),0)*$EF150</f>
        <v>0</v>
      </c>
      <c r="DA150" s="648">
        <f>MAX(DA27-MAX($CV27:CZ27),0)*$EF150</f>
        <v>0</v>
      </c>
      <c r="DB150" s="648">
        <f>MAX(DB27-MAX($CV27:DA27),0)*$EF150</f>
        <v>0</v>
      </c>
      <c r="DC150" s="648">
        <f>MAX(DC27-MAX($CV27:DB27),0)*$EF150</f>
        <v>0</v>
      </c>
      <c r="DD150" s="648">
        <f>MAX(DD27-MAX($CV27:DC27),0)*$EF150</f>
        <v>0</v>
      </c>
      <c r="DE150" s="648">
        <f>MAX(DE27-MAX($CV27:DD27),0)*$EF150</f>
        <v>0</v>
      </c>
      <c r="DF150" s="648">
        <f>MAX(DF27-MAX($CV27:DE27),0)*$EF150</f>
        <v>0</v>
      </c>
      <c r="DG150" s="648">
        <f>MAX(DG27-MAX($CV27:DF27),0)*$EF150</f>
        <v>0</v>
      </c>
      <c r="DH150" s="648">
        <f>MAX(DH27-MAX($CV27:DG27),0)*$EF150</f>
        <v>0</v>
      </c>
      <c r="DI150" s="648">
        <f>MAX(DI27-MAX($CV27:DH27),0)*$EF150</f>
        <v>0</v>
      </c>
      <c r="DJ150" s="648">
        <f>MAX(DJ27-MAX($CV27:DI27),0)*$EF150</f>
        <v>0</v>
      </c>
      <c r="DK150" s="648">
        <f>MAX(DK27-MAX($CV27:DJ27),0)*$EF150</f>
        <v>0</v>
      </c>
      <c r="DL150" s="648">
        <f>MAX(DL27-MAX($CV27:DK27),0)*$EF150</f>
        <v>0</v>
      </c>
      <c r="DM150" s="648">
        <f>MAX(DM27-MAX($CV27:DL27),0)*$EF150</f>
        <v>0</v>
      </c>
      <c r="DN150" s="648">
        <f>MAX(DN27-MAX($CV27:DM27),0)*$EF150</f>
        <v>0</v>
      </c>
      <c r="DO150" s="648">
        <f>MAX(DO27-MAX($CV27:DN27),0)*$EF150</f>
        <v>0</v>
      </c>
      <c r="DP150" s="648">
        <f>MAX(DP27-MAX($CV27:DO27),0)*$EF150</f>
        <v>0</v>
      </c>
      <c r="DQ150" s="648">
        <f>MAX(DQ27-MAX($CV27:DP27),0)*$EF150</f>
        <v>0</v>
      </c>
      <c r="DR150" s="648">
        <f>MAX(DR27-MAX($CV27:DQ27),0)*$EF150</f>
        <v>0</v>
      </c>
      <c r="DS150" s="648">
        <f>MAX(DS27-MAX($CV27:DR27),0)*$EF150</f>
        <v>0</v>
      </c>
      <c r="DT150" s="648">
        <f>MAX(DT27-MAX($CV27:DS27),0)*$EF150</f>
        <v>0</v>
      </c>
      <c r="DU150" s="648">
        <f>MAX(DU27-MAX($CV27:DT27),0)*$EF150</f>
        <v>0</v>
      </c>
      <c r="DV150" s="648">
        <f>MAX(DV27-MAX($CV27:DU27),0)*$EF150</f>
        <v>0</v>
      </c>
      <c r="DW150" s="648">
        <f>MAX(DW27-MAX($CV27:DV27),0)*$EF150</f>
        <v>0</v>
      </c>
      <c r="DX150" s="648">
        <f>MAX(DX27-MAX($CV27:DW27),0)*$EF150</f>
        <v>0</v>
      </c>
      <c r="DY150" s="648">
        <f>MAX(DY27-MAX($CV27:DX27),0)*$EF150</f>
        <v>0</v>
      </c>
      <c r="DZ150" s="648">
        <f>MAX(DZ27-MAX($CV27:DY27),0)*$EF150</f>
        <v>0</v>
      </c>
      <c r="EF150" s="84">
        <v>22.5</v>
      </c>
      <c r="EG150" s="51"/>
      <c r="EH150" s="51"/>
      <c r="EI150" s="51"/>
      <c r="EJ150" s="51"/>
    </row>
    <row r="151" spans="1:140" x14ac:dyDescent="0.2">
      <c r="A151" s="1"/>
      <c r="B151" t="str">
        <f t="shared" si="523"/>
        <v>Dumpsite</v>
      </c>
      <c r="C151" s="54" t="s">
        <v>114</v>
      </c>
      <c r="D151" s="648">
        <f>MAX(D28-MAX($D28:D28),0)*$EF151</f>
        <v>0</v>
      </c>
      <c r="E151" s="648">
        <f>MAX(E28-MAX($D28:D28),0)*$EF151</f>
        <v>0</v>
      </c>
      <c r="F151" s="648">
        <f>MAX(F28-MAX($D28:E28),0)*$EF151</f>
        <v>0</v>
      </c>
      <c r="G151" s="648">
        <f>MAX(G28-MAX($D28:F28),0)*$EF151</f>
        <v>0</v>
      </c>
      <c r="H151" s="648">
        <f>MAX(H28-MAX($D28:G28),0)*$EF151</f>
        <v>0</v>
      </c>
      <c r="I151" s="648">
        <f>MAX(I28-MAX($D28:H28),0)*$EF151</f>
        <v>0</v>
      </c>
      <c r="J151" s="648">
        <f>MAX(J28-MAX($D28:I28),0)*$EF151</f>
        <v>0</v>
      </c>
      <c r="K151" s="648">
        <f>MAX(K28-MAX($D28:J28),0)*$EF151</f>
        <v>0</v>
      </c>
      <c r="L151" s="648">
        <f>MAX(L28-MAX($D28:K28),0)*$EF151</f>
        <v>0</v>
      </c>
      <c r="M151" s="648">
        <f>MAX(M28-MAX($D28:L28),0)*$EF151</f>
        <v>0</v>
      </c>
      <c r="N151" s="648">
        <f>MAX(N28-MAX($D28:M28),0)*$EF151</f>
        <v>0</v>
      </c>
      <c r="O151" s="648">
        <f>MAX(O28-MAX($D28:N28),0)*$EF151</f>
        <v>0</v>
      </c>
      <c r="P151" s="648">
        <f>MAX(P28-MAX($D28:O28),0)*$EF151</f>
        <v>0</v>
      </c>
      <c r="Q151" s="648">
        <f>MAX(Q28-MAX($D28:P28),0)*$EF151</f>
        <v>0</v>
      </c>
      <c r="R151" s="648">
        <f>MAX(R28-MAX($D28:Q28),0)*$EF151</f>
        <v>0</v>
      </c>
      <c r="S151" s="648">
        <f>MAX(S28-MAX($D28:R28),0)*$EF151</f>
        <v>0</v>
      </c>
      <c r="T151" s="648">
        <f>MAX(T28-MAX($D28:S28),0)*$EF151</f>
        <v>0</v>
      </c>
      <c r="U151" s="648">
        <f>MAX(U28-MAX($D28:T28),0)*$EF151</f>
        <v>0</v>
      </c>
      <c r="V151" s="648">
        <f>MAX(V28-MAX($D28:U28),0)*$EF151</f>
        <v>0</v>
      </c>
      <c r="W151" s="648">
        <f>MAX(W28-MAX($D28:V28),0)*$EF151</f>
        <v>0</v>
      </c>
      <c r="X151" s="648">
        <f>MAX(X28-MAX($D28:W28),0)*$EF151</f>
        <v>0</v>
      </c>
      <c r="Y151" s="648">
        <f>MAX(Y28-MAX($D28:X28),0)*$EF151</f>
        <v>0</v>
      </c>
      <c r="Z151" s="648">
        <f>MAX(Z28-MAX($D28:Y28),0)*$EF151</f>
        <v>0</v>
      </c>
      <c r="AA151" s="648">
        <f>MAX(AA28-MAX($D28:Z28),0)*$EF151</f>
        <v>0</v>
      </c>
      <c r="AB151" s="648">
        <f>MAX(AB28-MAX($D28:AA28),0)*$EF151</f>
        <v>0</v>
      </c>
      <c r="AC151" s="648">
        <f>MAX(AC28-MAX($D28:AB28),0)*$EF151</f>
        <v>0</v>
      </c>
      <c r="AD151" s="648">
        <f>MAX(AD28-MAX($D28:AC28),0)*$EF151</f>
        <v>0</v>
      </c>
      <c r="AE151" s="648">
        <f>MAX(AE28-MAX($D28:AD28),0)*$EF151</f>
        <v>0</v>
      </c>
      <c r="AF151" s="648">
        <f>MAX(AF28-MAX($D28:AE28),0)*$EF151</f>
        <v>0</v>
      </c>
      <c r="AG151" s="648">
        <f>MAX(AG28-MAX($D28:AF28),0)*$EF151</f>
        <v>0</v>
      </c>
      <c r="AH151" s="648">
        <f>MAX(AH28-MAX($D28:AG28),0)*$EF151</f>
        <v>0</v>
      </c>
      <c r="AI151" s="648"/>
      <c r="AJ151" s="648">
        <f>MAX(AJ28-MAX($AJ28:AJ28),0)*$EF151</f>
        <v>0</v>
      </c>
      <c r="AK151" s="648">
        <f>MAX(AK28-MAX($AJ28:AJ28),0)*$EF151</f>
        <v>0</v>
      </c>
      <c r="AL151" s="648">
        <f>MAX(AL28-MAX($AJ28:AK28),0)*$EF151</f>
        <v>0</v>
      </c>
      <c r="AM151" s="648">
        <f>MAX(AM28-MAX($AJ28:AL28),0)*$EF151</f>
        <v>0</v>
      </c>
      <c r="AN151" s="648">
        <f>MAX(AN28-MAX($AJ28:AM28),0)*$EF151</f>
        <v>0</v>
      </c>
      <c r="AO151" s="648">
        <f>MAX(AO28-MAX($AJ28:AN28),0)*$EF151</f>
        <v>0</v>
      </c>
      <c r="AP151" s="648">
        <f>MAX(AP28-MAX($AJ28:AO28),0)*$EF151</f>
        <v>0</v>
      </c>
      <c r="AQ151" s="648">
        <f>MAX(AQ28-MAX($AJ28:AP28),0)*$EF151</f>
        <v>0</v>
      </c>
      <c r="AR151" s="648">
        <f>MAX(AR28-MAX($AJ28:AQ28),0)*$EF151</f>
        <v>0</v>
      </c>
      <c r="AS151" s="648">
        <f>MAX(AS28-MAX($AJ28:AR28),0)*$EF151</f>
        <v>0</v>
      </c>
      <c r="AT151" s="648">
        <f>MAX(AT28-MAX($AJ28:AS28),0)*$EF151</f>
        <v>0</v>
      </c>
      <c r="AU151" s="648">
        <f>MAX(AU28-MAX($AJ28:AT28),0)*$EF151</f>
        <v>0</v>
      </c>
      <c r="AV151" s="648">
        <f>MAX(AV28-MAX($AJ28:AU28),0)*$EF151</f>
        <v>0</v>
      </c>
      <c r="AW151" s="648">
        <f>MAX(AW28-MAX($AJ28:AV28),0)*$EF151</f>
        <v>0</v>
      </c>
      <c r="AX151" s="648">
        <f>MAX(AX28-MAX($AJ28:AW28),0)*$EF151</f>
        <v>0</v>
      </c>
      <c r="AY151" s="648">
        <f>MAX(AY28-MAX($AJ28:AX28),0)*$EF151</f>
        <v>0</v>
      </c>
      <c r="AZ151" s="648">
        <f>MAX(AZ28-MAX($AJ28:AY28),0)*$EF151</f>
        <v>0</v>
      </c>
      <c r="BA151" s="648">
        <f>MAX(BA28-MAX($AJ28:AZ28),0)*$EF151</f>
        <v>0</v>
      </c>
      <c r="BB151" s="648">
        <f>MAX(BB28-MAX($AJ28:BA28),0)*$EF151</f>
        <v>0</v>
      </c>
      <c r="BC151" s="648">
        <f>MAX(BC28-MAX($AJ28:BB28),0)*$EF151</f>
        <v>0</v>
      </c>
      <c r="BD151" s="648">
        <f>MAX(BD28-MAX($AJ28:BC28),0)*$EF151</f>
        <v>0</v>
      </c>
      <c r="BE151" s="648">
        <f>MAX(BE28-MAX($AJ28:BD28),0)*$EF151</f>
        <v>0</v>
      </c>
      <c r="BF151" s="648">
        <f>MAX(BF28-MAX($AJ28:BE28),0)*$EF151</f>
        <v>0</v>
      </c>
      <c r="BG151" s="648">
        <f>MAX(BG28-MAX($AJ28:BF28),0)*$EF151</f>
        <v>0</v>
      </c>
      <c r="BH151" s="648">
        <f>MAX(BH28-MAX($AJ28:BG28),0)*$EF151</f>
        <v>0</v>
      </c>
      <c r="BI151" s="648">
        <f>MAX(BI28-MAX($AJ28:BH28),0)*$EF151</f>
        <v>0</v>
      </c>
      <c r="BJ151" s="648">
        <f>MAX(BJ28-MAX($AJ28:BI28),0)*$EF151</f>
        <v>0</v>
      </c>
      <c r="BK151" s="648">
        <f>MAX(BK28-MAX($AJ28:BJ28),0)*$EF151</f>
        <v>0</v>
      </c>
      <c r="BL151" s="648">
        <f>MAX(BL28-MAX($AJ28:BK28),0)*$EF151</f>
        <v>0</v>
      </c>
      <c r="BM151" s="648">
        <f>MAX(BM28-MAX($AJ28:BL28),0)*$EF151</f>
        <v>0</v>
      </c>
      <c r="BN151" s="648">
        <f>MAX(BN28-MAX($AJ28:BM28),0)*$EF151</f>
        <v>0</v>
      </c>
      <c r="BO151" s="648"/>
      <c r="BP151" s="648">
        <f>MAX(BP28-MAX($BP28:BP28),0)*$EF151</f>
        <v>0</v>
      </c>
      <c r="BQ151" s="648">
        <f>MAX(BQ28-MAX($BP28:BP28),0)*$EF151</f>
        <v>0</v>
      </c>
      <c r="BR151" s="648">
        <f>MAX(BR28-MAX($BP28:BQ28),0)*$EF151</f>
        <v>0</v>
      </c>
      <c r="BS151" s="648">
        <f>MAX(BS28-MAX($BP28:BR28),0)*$EF151</f>
        <v>0</v>
      </c>
      <c r="BT151" s="648">
        <f>MAX(BT28-MAX($BP28:BS28),0)*$EF151</f>
        <v>0</v>
      </c>
      <c r="BU151" s="648">
        <f>MAX(BU28-MAX($BP28:BT28),0)*$EF151</f>
        <v>0</v>
      </c>
      <c r="BV151" s="648">
        <f>MAX(BV28-MAX($BP28:BU28),0)*$EF151</f>
        <v>0</v>
      </c>
      <c r="BW151" s="648">
        <f>MAX(BW28-MAX($BP28:BV28),0)*$EF151</f>
        <v>0</v>
      </c>
      <c r="BX151" s="648">
        <f>MAX(BX28-MAX($BP28:BW28),0)*$EF151</f>
        <v>0</v>
      </c>
      <c r="BY151" s="648">
        <f>MAX(BY28-MAX($BP28:BX28),0)*$EF151</f>
        <v>0</v>
      </c>
      <c r="BZ151" s="648">
        <f>MAX(BZ28-MAX($BP28:BY28),0)*$EF151</f>
        <v>0</v>
      </c>
      <c r="CA151" s="648">
        <f>MAX(CA28-MAX($BP28:BZ28),0)*$EF151</f>
        <v>0</v>
      </c>
      <c r="CB151" s="648">
        <f>MAX(CB28-MAX($BP28:CA28),0)*$EF151</f>
        <v>0</v>
      </c>
      <c r="CC151" s="648">
        <f>MAX(CC28-MAX($BP28:CB28),0)*$EF151</f>
        <v>0</v>
      </c>
      <c r="CD151" s="648">
        <f>MAX(CD28-MAX($BP28:CC28),0)*$EF151</f>
        <v>0</v>
      </c>
      <c r="CE151" s="648">
        <f>MAX(CE28-MAX($BP28:CD28),0)*$EF151</f>
        <v>0</v>
      </c>
      <c r="CF151" s="648">
        <f>MAX(CF28-MAX($BP28:CE28),0)*$EF151</f>
        <v>0</v>
      </c>
      <c r="CG151" s="648">
        <f>MAX(CG28-MAX($BP28:CF28),0)*$EF151</f>
        <v>0</v>
      </c>
      <c r="CH151" s="648">
        <f>MAX(CH28-MAX($BP28:CG28),0)*$EF151</f>
        <v>0</v>
      </c>
      <c r="CI151" s="648">
        <f>MAX(CI28-MAX($BP28:CH28),0)*$EF151</f>
        <v>0</v>
      </c>
      <c r="CJ151" s="648">
        <f>MAX(CJ28-MAX($BP28:CI28),0)*$EF151</f>
        <v>0</v>
      </c>
      <c r="CK151" s="648">
        <f>MAX(CK28-MAX($BP28:CJ28),0)*$EF151</f>
        <v>0</v>
      </c>
      <c r="CL151" s="648">
        <f>MAX(CL28-MAX($BP28:CK28),0)*$EF151</f>
        <v>0</v>
      </c>
      <c r="CM151" s="648">
        <f>MAX(CM28-MAX($BP28:CL28),0)*$EF151</f>
        <v>0</v>
      </c>
      <c r="CN151" s="648">
        <f>MAX(CN28-MAX($BP28:CM28),0)*$EF151</f>
        <v>0</v>
      </c>
      <c r="CO151" s="648">
        <f>MAX(CO28-MAX($BP28:CN28),0)*$EF151</f>
        <v>0</v>
      </c>
      <c r="CP151" s="648">
        <f>MAX(CP28-MAX($BP28:CO28),0)*$EF151</f>
        <v>0</v>
      </c>
      <c r="CQ151" s="648">
        <f>MAX(CQ28-MAX($BP28:CP28),0)*$EF151</f>
        <v>0</v>
      </c>
      <c r="CR151" s="648">
        <f>MAX(CR28-MAX($BP28:CQ28),0)*$EF151</f>
        <v>0</v>
      </c>
      <c r="CS151" s="648">
        <f>MAX(CS28-MAX($BP28:CR28),0)*$EF151</f>
        <v>0</v>
      </c>
      <c r="CT151" s="648">
        <f>MAX(CT28-MAX($BP28:CS28),0)*$EF151</f>
        <v>0</v>
      </c>
      <c r="CU151" s="648"/>
      <c r="CV151" s="648">
        <f>MAX(CV28-MAX($CV28:CV28),0)*$EF151</f>
        <v>0</v>
      </c>
      <c r="CW151" s="648">
        <f>MAX(CW28-MAX($CV28:CV28),0)*$EF151</f>
        <v>0</v>
      </c>
      <c r="CX151" s="648">
        <f>MAX(CX28-MAX($CV28:CW28),0)*$EF151</f>
        <v>0</v>
      </c>
      <c r="CY151" s="648">
        <f>MAX(CY28-MAX($CV28:CX28),0)*$EF151</f>
        <v>0</v>
      </c>
      <c r="CZ151" s="648">
        <f>MAX(CZ28-MAX($CV28:CY28),0)*$EF151</f>
        <v>0</v>
      </c>
      <c r="DA151" s="648">
        <f>MAX(DA28-MAX($CV28:CZ28),0)*$EF151</f>
        <v>0</v>
      </c>
      <c r="DB151" s="648">
        <f>MAX(DB28-MAX($CV28:DA28),0)*$EF151</f>
        <v>0</v>
      </c>
      <c r="DC151" s="648">
        <f>MAX(DC28-MAX($CV28:DB28),0)*$EF151</f>
        <v>0</v>
      </c>
      <c r="DD151" s="648">
        <f>MAX(DD28-MAX($CV28:DC28),0)*$EF151</f>
        <v>0</v>
      </c>
      <c r="DE151" s="648">
        <f>MAX(DE28-MAX($CV28:DD28),0)*$EF151</f>
        <v>0</v>
      </c>
      <c r="DF151" s="648">
        <f>MAX(DF28-MAX($CV28:DE28),0)*$EF151</f>
        <v>0</v>
      </c>
      <c r="DG151" s="648">
        <f>MAX(DG28-MAX($CV28:DF28),0)*$EF151</f>
        <v>0</v>
      </c>
      <c r="DH151" s="648">
        <f>MAX(DH28-MAX($CV28:DG28),0)*$EF151</f>
        <v>0</v>
      </c>
      <c r="DI151" s="648">
        <f>MAX(DI28-MAX($CV28:DH28),0)*$EF151</f>
        <v>0</v>
      </c>
      <c r="DJ151" s="648">
        <f>MAX(DJ28-MAX($CV28:DI28),0)*$EF151</f>
        <v>0</v>
      </c>
      <c r="DK151" s="648">
        <f>MAX(DK28-MAX($CV28:DJ28),0)*$EF151</f>
        <v>0</v>
      </c>
      <c r="DL151" s="648">
        <f>MAX(DL28-MAX($CV28:DK28),0)*$EF151</f>
        <v>0</v>
      </c>
      <c r="DM151" s="648">
        <f>MAX(DM28-MAX($CV28:DL28),0)*$EF151</f>
        <v>0</v>
      </c>
      <c r="DN151" s="648">
        <f>MAX(DN28-MAX($CV28:DM28),0)*$EF151</f>
        <v>0</v>
      </c>
      <c r="DO151" s="648">
        <f>MAX(DO28-MAX($CV28:DN28),0)*$EF151</f>
        <v>0</v>
      </c>
      <c r="DP151" s="648">
        <f>MAX(DP28-MAX($CV28:DO28),0)*$EF151</f>
        <v>0</v>
      </c>
      <c r="DQ151" s="648">
        <f>MAX(DQ28-MAX($CV28:DP28),0)*$EF151</f>
        <v>0</v>
      </c>
      <c r="DR151" s="648">
        <f>MAX(DR28-MAX($CV28:DQ28),0)*$EF151</f>
        <v>0</v>
      </c>
      <c r="DS151" s="648">
        <f>MAX(DS28-MAX($CV28:DR28),0)*$EF151</f>
        <v>0</v>
      </c>
      <c r="DT151" s="648">
        <f>MAX(DT28-MAX($CV28:DS28),0)*$EF151</f>
        <v>0</v>
      </c>
      <c r="DU151" s="648">
        <f>MAX(DU28-MAX($CV28:DT28),0)*$EF151</f>
        <v>0</v>
      </c>
      <c r="DV151" s="648">
        <f>MAX(DV28-MAX($CV28:DU28),0)*$EF151</f>
        <v>0</v>
      </c>
      <c r="DW151" s="648">
        <f>MAX(DW28-MAX($CV28:DV28),0)*$EF151</f>
        <v>0</v>
      </c>
      <c r="DX151" s="648">
        <f>MAX(DX28-MAX($CV28:DW28),0)*$EF151</f>
        <v>0</v>
      </c>
      <c r="DY151" s="648">
        <f>MAX(DY28-MAX($CV28:DX28),0)*$EF151</f>
        <v>0</v>
      </c>
      <c r="DZ151" s="648">
        <f>MAX(DZ28-MAX($CV28:DY28),0)*$EF151</f>
        <v>0</v>
      </c>
      <c r="EF151" s="84">
        <v>0</v>
      </c>
      <c r="EG151" s="51"/>
      <c r="EH151" s="51"/>
      <c r="EI151" s="51"/>
      <c r="EJ151" s="51"/>
    </row>
    <row r="152" spans="1:140" x14ac:dyDescent="0.2">
      <c r="A152" s="1"/>
      <c r="B152" t="str">
        <f t="shared" si="523"/>
        <v>Open Burning</v>
      </c>
      <c r="C152" s="54" t="s">
        <v>114</v>
      </c>
      <c r="D152" s="648">
        <f>MAX(D29-MAX($D29:D29),0)*$EF152</f>
        <v>0</v>
      </c>
      <c r="E152" s="648">
        <f>MAX(E29-MAX($D29:D29),0)*$EF152</f>
        <v>0</v>
      </c>
      <c r="F152" s="648">
        <f>MAX(F29-MAX($D29:E29),0)*$EF152</f>
        <v>0</v>
      </c>
      <c r="G152" s="648">
        <f>MAX(G29-MAX($D29:F29),0)*$EF152</f>
        <v>0</v>
      </c>
      <c r="H152" s="648">
        <f>MAX(H29-MAX($D29:G29),0)*$EF152</f>
        <v>0</v>
      </c>
      <c r="I152" s="648">
        <f>MAX(I29-MAX($D29:H29),0)*$EF152</f>
        <v>0</v>
      </c>
      <c r="J152" s="648">
        <f>MAX(J29-MAX($D29:I29),0)*$EF152</f>
        <v>0</v>
      </c>
      <c r="K152" s="648">
        <f>MAX(K29-MAX($D29:J29),0)*$EF152</f>
        <v>0</v>
      </c>
      <c r="L152" s="648">
        <f>MAX(L29-MAX($D29:K29),0)*$EF152</f>
        <v>0</v>
      </c>
      <c r="M152" s="648">
        <f>MAX(M29-MAX($D29:L29),0)*$EF152</f>
        <v>0</v>
      </c>
      <c r="N152" s="648">
        <f>MAX(N29-MAX($D29:M29),0)*$EF152</f>
        <v>0</v>
      </c>
      <c r="O152" s="648">
        <f>MAX(O29-MAX($D29:N29),0)*$EF152</f>
        <v>0</v>
      </c>
      <c r="P152" s="648">
        <f>MAX(P29-MAX($D29:O29),0)*$EF152</f>
        <v>0</v>
      </c>
      <c r="Q152" s="648">
        <f>MAX(Q29-MAX($D29:P29),0)*$EF152</f>
        <v>0</v>
      </c>
      <c r="R152" s="648">
        <f>MAX(R29-MAX($D29:Q29),0)*$EF152</f>
        <v>0</v>
      </c>
      <c r="S152" s="648">
        <f>MAX(S29-MAX($D29:R29),0)*$EF152</f>
        <v>0</v>
      </c>
      <c r="T152" s="648">
        <f>MAX(T29-MAX($D29:S29),0)*$EF152</f>
        <v>0</v>
      </c>
      <c r="U152" s="648">
        <f>MAX(U29-MAX($D29:T29),0)*$EF152</f>
        <v>0</v>
      </c>
      <c r="V152" s="648">
        <f>MAX(V29-MAX($D29:U29),0)*$EF152</f>
        <v>0</v>
      </c>
      <c r="W152" s="648">
        <f>MAX(W29-MAX($D29:V29),0)*$EF152</f>
        <v>0</v>
      </c>
      <c r="X152" s="648">
        <f>MAX(X29-MAX($D29:W29),0)*$EF152</f>
        <v>0</v>
      </c>
      <c r="Y152" s="648">
        <f>MAX(Y29-MAX($D29:X29),0)*$EF152</f>
        <v>0</v>
      </c>
      <c r="Z152" s="648">
        <f>MAX(Z29-MAX($D29:Y29),0)*$EF152</f>
        <v>0</v>
      </c>
      <c r="AA152" s="648">
        <f>MAX(AA29-MAX($D29:Z29),0)*$EF152</f>
        <v>0</v>
      </c>
      <c r="AB152" s="648">
        <f>MAX(AB29-MAX($D29:AA29),0)*$EF152</f>
        <v>0</v>
      </c>
      <c r="AC152" s="648">
        <f>MAX(AC29-MAX($D29:AB29),0)*$EF152</f>
        <v>0</v>
      </c>
      <c r="AD152" s="648">
        <f>MAX(AD29-MAX($D29:AC29),0)*$EF152</f>
        <v>0</v>
      </c>
      <c r="AE152" s="648">
        <f>MAX(AE29-MAX($D29:AD29),0)*$EF152</f>
        <v>0</v>
      </c>
      <c r="AF152" s="648">
        <f>MAX(AF29-MAX($D29:AE29),0)*$EF152</f>
        <v>0</v>
      </c>
      <c r="AG152" s="648">
        <f>MAX(AG29-MAX($D29:AF29),0)*$EF152</f>
        <v>0</v>
      </c>
      <c r="AH152" s="648">
        <f>MAX(AH29-MAX($D29:AG29),0)*$EF152</f>
        <v>0</v>
      </c>
      <c r="AI152" s="648"/>
      <c r="AJ152" s="648">
        <f>MAX(AJ29-MAX($AJ29:AJ29),0)*$EF152</f>
        <v>0</v>
      </c>
      <c r="AK152" s="648">
        <f>MAX(AK29-MAX($AJ29:AJ29),0)*$EF152</f>
        <v>0</v>
      </c>
      <c r="AL152" s="648">
        <f>MAX(AL29-MAX($AJ29:AK29),0)*$EF152</f>
        <v>0</v>
      </c>
      <c r="AM152" s="648">
        <f>MAX(AM29-MAX($AJ29:AL29),0)*$EF152</f>
        <v>0</v>
      </c>
      <c r="AN152" s="648">
        <f>MAX(AN29-MAX($AJ29:AM29),0)*$EF152</f>
        <v>0</v>
      </c>
      <c r="AO152" s="648">
        <f>MAX(AO29-MAX($AJ29:AN29),0)*$EF152</f>
        <v>0</v>
      </c>
      <c r="AP152" s="648">
        <f>MAX(AP29-MAX($AJ29:AO29),0)*$EF152</f>
        <v>0</v>
      </c>
      <c r="AQ152" s="648">
        <f>MAX(AQ29-MAX($AJ29:AP29),0)*$EF152</f>
        <v>0</v>
      </c>
      <c r="AR152" s="648">
        <f>MAX(AR29-MAX($AJ29:AQ29),0)*$EF152</f>
        <v>0</v>
      </c>
      <c r="AS152" s="648">
        <f>MAX(AS29-MAX($AJ29:AR29),0)*$EF152</f>
        <v>0</v>
      </c>
      <c r="AT152" s="648">
        <f>MAX(AT29-MAX($AJ29:AS29),0)*$EF152</f>
        <v>0</v>
      </c>
      <c r="AU152" s="648">
        <f>MAX(AU29-MAX($AJ29:AT29),0)*$EF152</f>
        <v>0</v>
      </c>
      <c r="AV152" s="648">
        <f>MAX(AV29-MAX($AJ29:AU29),0)*$EF152</f>
        <v>0</v>
      </c>
      <c r="AW152" s="648">
        <f>MAX(AW29-MAX($AJ29:AV29),0)*$EF152</f>
        <v>0</v>
      </c>
      <c r="AX152" s="648">
        <f>MAX(AX29-MAX($AJ29:AW29),0)*$EF152</f>
        <v>0</v>
      </c>
      <c r="AY152" s="648">
        <f>MAX(AY29-MAX($AJ29:AX29),0)*$EF152</f>
        <v>0</v>
      </c>
      <c r="AZ152" s="648">
        <f>MAX(AZ29-MAX($AJ29:AY29),0)*$EF152</f>
        <v>0</v>
      </c>
      <c r="BA152" s="648">
        <f>MAX(BA29-MAX($AJ29:AZ29),0)*$EF152</f>
        <v>0</v>
      </c>
      <c r="BB152" s="648">
        <f>MAX(BB29-MAX($AJ29:BA29),0)*$EF152</f>
        <v>0</v>
      </c>
      <c r="BC152" s="648">
        <f>MAX(BC29-MAX($AJ29:BB29),0)*$EF152</f>
        <v>0</v>
      </c>
      <c r="BD152" s="648">
        <f>MAX(BD29-MAX($AJ29:BC29),0)*$EF152</f>
        <v>0</v>
      </c>
      <c r="BE152" s="648">
        <f>MAX(BE29-MAX($AJ29:BD29),0)*$EF152</f>
        <v>0</v>
      </c>
      <c r="BF152" s="648">
        <f>MAX(BF29-MAX($AJ29:BE29),0)*$EF152</f>
        <v>0</v>
      </c>
      <c r="BG152" s="648">
        <f>MAX(BG29-MAX($AJ29:BF29),0)*$EF152</f>
        <v>0</v>
      </c>
      <c r="BH152" s="648">
        <f>MAX(BH29-MAX($AJ29:BG29),0)*$EF152</f>
        <v>0</v>
      </c>
      <c r="BI152" s="648">
        <f>MAX(BI29-MAX($AJ29:BH29),0)*$EF152</f>
        <v>0</v>
      </c>
      <c r="BJ152" s="648">
        <f>MAX(BJ29-MAX($AJ29:BI29),0)*$EF152</f>
        <v>0</v>
      </c>
      <c r="BK152" s="648">
        <f>MAX(BK29-MAX($AJ29:BJ29),0)*$EF152</f>
        <v>0</v>
      </c>
      <c r="BL152" s="648">
        <f>MAX(BL29-MAX($AJ29:BK29),0)*$EF152</f>
        <v>0</v>
      </c>
      <c r="BM152" s="648">
        <f>MAX(BM29-MAX($AJ29:BL29),0)*$EF152</f>
        <v>0</v>
      </c>
      <c r="BN152" s="648">
        <f>MAX(BN29-MAX($AJ29:BM29),0)*$EF152</f>
        <v>0</v>
      </c>
      <c r="BO152" s="648"/>
      <c r="BP152" s="648">
        <f>MAX(BP29-MAX($BP29:BP29),0)*$EF152</f>
        <v>0</v>
      </c>
      <c r="BQ152" s="648">
        <f>MAX(BQ29-MAX($BP29:BP29),0)*$EF152</f>
        <v>0</v>
      </c>
      <c r="BR152" s="648">
        <f>MAX(BR29-MAX($BP29:BQ29),0)*$EF152</f>
        <v>0</v>
      </c>
      <c r="BS152" s="648">
        <f>MAX(BS29-MAX($BP29:BR29),0)*$EF152</f>
        <v>0</v>
      </c>
      <c r="BT152" s="648">
        <f>MAX(BT29-MAX($BP29:BS29),0)*$EF152</f>
        <v>0</v>
      </c>
      <c r="BU152" s="648">
        <f>MAX(BU29-MAX($BP29:BT29),0)*$EF152</f>
        <v>0</v>
      </c>
      <c r="BV152" s="648">
        <f>MAX(BV29-MAX($BP29:BU29),0)*$EF152</f>
        <v>0</v>
      </c>
      <c r="BW152" s="648">
        <f>MAX(BW29-MAX($BP29:BV29),0)*$EF152</f>
        <v>0</v>
      </c>
      <c r="BX152" s="648">
        <f>MAX(BX29-MAX($BP29:BW29),0)*$EF152</f>
        <v>0</v>
      </c>
      <c r="BY152" s="648">
        <f>MAX(BY29-MAX($BP29:BX29),0)*$EF152</f>
        <v>0</v>
      </c>
      <c r="BZ152" s="648">
        <f>MAX(BZ29-MAX($BP29:BY29),0)*$EF152</f>
        <v>0</v>
      </c>
      <c r="CA152" s="648">
        <f>MAX(CA29-MAX($BP29:BZ29),0)*$EF152</f>
        <v>0</v>
      </c>
      <c r="CB152" s="648">
        <f>MAX(CB29-MAX($BP29:CA29),0)*$EF152</f>
        <v>0</v>
      </c>
      <c r="CC152" s="648">
        <f>MAX(CC29-MAX($BP29:CB29),0)*$EF152</f>
        <v>0</v>
      </c>
      <c r="CD152" s="648">
        <f>MAX(CD29-MAX($BP29:CC29),0)*$EF152</f>
        <v>0</v>
      </c>
      <c r="CE152" s="648">
        <f>MAX(CE29-MAX($BP29:CD29),0)*$EF152</f>
        <v>0</v>
      </c>
      <c r="CF152" s="648">
        <f>MAX(CF29-MAX($BP29:CE29),0)*$EF152</f>
        <v>0</v>
      </c>
      <c r="CG152" s="648">
        <f>MAX(CG29-MAX($BP29:CF29),0)*$EF152</f>
        <v>0</v>
      </c>
      <c r="CH152" s="648">
        <f>MAX(CH29-MAX($BP29:CG29),0)*$EF152</f>
        <v>0</v>
      </c>
      <c r="CI152" s="648">
        <f>MAX(CI29-MAX($BP29:CH29),0)*$EF152</f>
        <v>0</v>
      </c>
      <c r="CJ152" s="648">
        <f>MAX(CJ29-MAX($BP29:CI29),0)*$EF152</f>
        <v>0</v>
      </c>
      <c r="CK152" s="648">
        <f>MAX(CK29-MAX($BP29:CJ29),0)*$EF152</f>
        <v>0</v>
      </c>
      <c r="CL152" s="648">
        <f>MAX(CL29-MAX($BP29:CK29),0)*$EF152</f>
        <v>0</v>
      </c>
      <c r="CM152" s="648">
        <f>MAX(CM29-MAX($BP29:CL29),0)*$EF152</f>
        <v>0</v>
      </c>
      <c r="CN152" s="648">
        <f>MAX(CN29-MAX($BP29:CM29),0)*$EF152</f>
        <v>0</v>
      </c>
      <c r="CO152" s="648">
        <f>MAX(CO29-MAX($BP29:CN29),0)*$EF152</f>
        <v>0</v>
      </c>
      <c r="CP152" s="648">
        <f>MAX(CP29-MAX($BP29:CO29),0)*$EF152</f>
        <v>0</v>
      </c>
      <c r="CQ152" s="648">
        <f>MAX(CQ29-MAX($BP29:CP29),0)*$EF152</f>
        <v>0</v>
      </c>
      <c r="CR152" s="648">
        <f>MAX(CR29-MAX($BP29:CQ29),0)*$EF152</f>
        <v>0</v>
      </c>
      <c r="CS152" s="648">
        <f>MAX(CS29-MAX($BP29:CR29),0)*$EF152</f>
        <v>0</v>
      </c>
      <c r="CT152" s="648">
        <f>MAX(CT29-MAX($BP29:CS29),0)*$EF152</f>
        <v>0</v>
      </c>
      <c r="CU152" s="648"/>
      <c r="CV152" s="648">
        <f>MAX(CV29-MAX($CV29:CV29),0)*$EF152</f>
        <v>0</v>
      </c>
      <c r="CW152" s="648">
        <f>MAX(CW29-MAX($CV29:CV29),0)*$EF152</f>
        <v>0</v>
      </c>
      <c r="CX152" s="648">
        <f>MAX(CX29-MAX($CV29:CW29),0)*$EF152</f>
        <v>0</v>
      </c>
      <c r="CY152" s="648">
        <f>MAX(CY29-MAX($CV29:CX29),0)*$EF152</f>
        <v>0</v>
      </c>
      <c r="CZ152" s="648">
        <f>MAX(CZ29-MAX($CV29:CY29),0)*$EF152</f>
        <v>0</v>
      </c>
      <c r="DA152" s="648">
        <f>MAX(DA29-MAX($CV29:CZ29),0)*$EF152</f>
        <v>0</v>
      </c>
      <c r="DB152" s="648">
        <f>MAX(DB29-MAX($CV29:DA29),0)*$EF152</f>
        <v>0</v>
      </c>
      <c r="DC152" s="648">
        <f>MAX(DC29-MAX($CV29:DB29),0)*$EF152</f>
        <v>0</v>
      </c>
      <c r="DD152" s="648">
        <f>MAX(DD29-MAX($CV29:DC29),0)*$EF152</f>
        <v>0</v>
      </c>
      <c r="DE152" s="648">
        <f>MAX(DE29-MAX($CV29:DD29),0)*$EF152</f>
        <v>0</v>
      </c>
      <c r="DF152" s="648">
        <f>MAX(DF29-MAX($CV29:DE29),0)*$EF152</f>
        <v>0</v>
      </c>
      <c r="DG152" s="648">
        <f>MAX(DG29-MAX($CV29:DF29),0)*$EF152</f>
        <v>0</v>
      </c>
      <c r="DH152" s="648">
        <f>MAX(DH29-MAX($CV29:DG29),0)*$EF152</f>
        <v>0</v>
      </c>
      <c r="DI152" s="648">
        <f>MAX(DI29-MAX($CV29:DH29),0)*$EF152</f>
        <v>0</v>
      </c>
      <c r="DJ152" s="648">
        <f>MAX(DJ29-MAX($CV29:DI29),0)*$EF152</f>
        <v>0</v>
      </c>
      <c r="DK152" s="648">
        <f>MAX(DK29-MAX($CV29:DJ29),0)*$EF152</f>
        <v>0</v>
      </c>
      <c r="DL152" s="648">
        <f>MAX(DL29-MAX($CV29:DK29),0)*$EF152</f>
        <v>0</v>
      </c>
      <c r="DM152" s="648">
        <f>MAX(DM29-MAX($CV29:DL29),0)*$EF152</f>
        <v>0</v>
      </c>
      <c r="DN152" s="648">
        <f>MAX(DN29-MAX($CV29:DM29),0)*$EF152</f>
        <v>0</v>
      </c>
      <c r="DO152" s="648">
        <f>MAX(DO29-MAX($CV29:DN29),0)*$EF152</f>
        <v>0</v>
      </c>
      <c r="DP152" s="648">
        <f>MAX(DP29-MAX($CV29:DO29),0)*$EF152</f>
        <v>0</v>
      </c>
      <c r="DQ152" s="648">
        <f>MAX(DQ29-MAX($CV29:DP29),0)*$EF152</f>
        <v>0</v>
      </c>
      <c r="DR152" s="648">
        <f>MAX(DR29-MAX($CV29:DQ29),0)*$EF152</f>
        <v>0</v>
      </c>
      <c r="DS152" s="648">
        <f>MAX(DS29-MAX($CV29:DR29),0)*$EF152</f>
        <v>0</v>
      </c>
      <c r="DT152" s="648">
        <f>MAX(DT29-MAX($CV29:DS29),0)*$EF152</f>
        <v>0</v>
      </c>
      <c r="DU152" s="648">
        <f>MAX(DU29-MAX($CV29:DT29),0)*$EF152</f>
        <v>0</v>
      </c>
      <c r="DV152" s="648">
        <f>MAX(DV29-MAX($CV29:DU29),0)*$EF152</f>
        <v>0</v>
      </c>
      <c r="DW152" s="648">
        <f>MAX(DW29-MAX($CV29:DV29),0)*$EF152</f>
        <v>0</v>
      </c>
      <c r="DX152" s="648">
        <f>MAX(DX29-MAX($CV29:DW29),0)*$EF152</f>
        <v>0</v>
      </c>
      <c r="DY152" s="648">
        <f>MAX(DY29-MAX($CV29:DX29),0)*$EF152</f>
        <v>0</v>
      </c>
      <c r="DZ152" s="648">
        <f>MAX(DZ29-MAX($CV29:DY29),0)*$EF152</f>
        <v>0</v>
      </c>
      <c r="EF152" s="51">
        <v>0</v>
      </c>
      <c r="EG152" s="51"/>
      <c r="EH152" s="51"/>
      <c r="EI152" s="51"/>
      <c r="EJ152" s="51"/>
    </row>
    <row r="153" spans="1:140" x14ac:dyDescent="0.2">
      <c r="A153" s="1"/>
      <c r="B153" t="str">
        <f t="shared" si="523"/>
        <v>Leakage Environment</v>
      </c>
      <c r="C153" s="54" t="s">
        <v>114</v>
      </c>
      <c r="D153" s="648">
        <f>MAX(D30-MAX($D30:D30),0)*$EF153</f>
        <v>0</v>
      </c>
      <c r="E153" s="648">
        <f>MAX(E30-MAX($D30:D30),0)*$EF153</f>
        <v>0</v>
      </c>
      <c r="F153" s="648">
        <f>MAX(F30-MAX($D30:E30),0)*$EF153</f>
        <v>0</v>
      </c>
      <c r="G153" s="648">
        <f>MAX(G30-MAX($D30:F30),0)*$EF153</f>
        <v>0</v>
      </c>
      <c r="H153" s="648">
        <f>MAX(H30-MAX($D30:G30),0)*$EF153</f>
        <v>0</v>
      </c>
      <c r="I153" s="648">
        <f>MAX(I30-MAX($D30:H30),0)*$EF153</f>
        <v>0</v>
      </c>
      <c r="J153" s="648">
        <f>MAX(J30-MAX($D30:I30),0)*$EF153</f>
        <v>0</v>
      </c>
      <c r="K153" s="648">
        <f>MAX(K30-MAX($D30:J30),0)*$EF153</f>
        <v>0</v>
      </c>
      <c r="L153" s="648">
        <f>MAX(L30-MAX($D30:K30),0)*$EF153</f>
        <v>0</v>
      </c>
      <c r="M153" s="648">
        <f>MAX(M30-MAX($D30:L30),0)*$EF153</f>
        <v>0</v>
      </c>
      <c r="N153" s="648">
        <f>MAX(N30-MAX($D30:M30),0)*$EF153</f>
        <v>0</v>
      </c>
      <c r="O153" s="648">
        <f>MAX(O30-MAX($D30:N30),0)*$EF153</f>
        <v>0</v>
      </c>
      <c r="P153" s="648">
        <f>MAX(P30-MAX($D30:O30),0)*$EF153</f>
        <v>0</v>
      </c>
      <c r="Q153" s="648">
        <f>MAX(Q30-MAX($D30:P30),0)*$EF153</f>
        <v>0</v>
      </c>
      <c r="R153" s="648">
        <f>MAX(R30-MAX($D30:Q30),0)*$EF153</f>
        <v>0</v>
      </c>
      <c r="S153" s="648">
        <f>MAX(S30-MAX($D30:R30),0)*$EF153</f>
        <v>0</v>
      </c>
      <c r="T153" s="648">
        <f>MAX(T30-MAX($D30:S30),0)*$EF153</f>
        <v>0</v>
      </c>
      <c r="U153" s="648">
        <f>MAX(U30-MAX($D30:T30),0)*$EF153</f>
        <v>0</v>
      </c>
      <c r="V153" s="648">
        <f>MAX(V30-MAX($D30:U30),0)*$EF153</f>
        <v>0</v>
      </c>
      <c r="W153" s="648">
        <f>MAX(W30-MAX($D30:V30),0)*$EF153</f>
        <v>0</v>
      </c>
      <c r="X153" s="648">
        <f>MAX(X30-MAX($D30:W30),0)*$EF153</f>
        <v>0</v>
      </c>
      <c r="Y153" s="648">
        <f>MAX(Y30-MAX($D30:X30),0)*$EF153</f>
        <v>0</v>
      </c>
      <c r="Z153" s="648">
        <f>MAX(Z30-MAX($D30:Y30),0)*$EF153</f>
        <v>0</v>
      </c>
      <c r="AA153" s="648">
        <f>MAX(AA30-MAX($D30:Z30),0)*$EF153</f>
        <v>0</v>
      </c>
      <c r="AB153" s="648">
        <f>MAX(AB30-MAX($D30:AA30),0)*$EF153</f>
        <v>0</v>
      </c>
      <c r="AC153" s="648">
        <f>MAX(AC30-MAX($D30:AB30),0)*$EF153</f>
        <v>0</v>
      </c>
      <c r="AD153" s="648">
        <f>MAX(AD30-MAX($D30:AC30),0)*$EF153</f>
        <v>0</v>
      </c>
      <c r="AE153" s="648">
        <f>MAX(AE30-MAX($D30:AD30),0)*$EF153</f>
        <v>0</v>
      </c>
      <c r="AF153" s="648">
        <f>MAX(AF30-MAX($D30:AE30),0)*$EF153</f>
        <v>0</v>
      </c>
      <c r="AG153" s="648">
        <f>MAX(AG30-MAX($D30:AF30),0)*$EF153</f>
        <v>0</v>
      </c>
      <c r="AH153" s="648">
        <f>MAX(AH30-MAX($D30:AG30),0)*$EF153</f>
        <v>0</v>
      </c>
      <c r="AI153" s="648"/>
      <c r="AJ153" s="648">
        <f>MAX(AJ30-MAX($AJ30:AJ30),0)*$EF153</f>
        <v>0</v>
      </c>
      <c r="AK153" s="648">
        <f>MAX(AK30-MAX($AJ30:AJ30),0)*$EF153</f>
        <v>0</v>
      </c>
      <c r="AL153" s="648">
        <f>MAX(AL30-MAX($AJ30:AK30),0)*$EF153</f>
        <v>0</v>
      </c>
      <c r="AM153" s="648">
        <f>MAX(AM30-MAX($AJ30:AL30),0)*$EF153</f>
        <v>0</v>
      </c>
      <c r="AN153" s="648">
        <f>MAX(AN30-MAX($AJ30:AM30),0)*$EF153</f>
        <v>0</v>
      </c>
      <c r="AO153" s="648">
        <f>MAX(AO30-MAX($AJ30:AN30),0)*$EF153</f>
        <v>0</v>
      </c>
      <c r="AP153" s="648">
        <f>MAX(AP30-MAX($AJ30:AO30),0)*$EF153</f>
        <v>0</v>
      </c>
      <c r="AQ153" s="648">
        <f>MAX(AQ30-MAX($AJ30:AP30),0)*$EF153</f>
        <v>0</v>
      </c>
      <c r="AR153" s="648">
        <f>MAX(AR30-MAX($AJ30:AQ30),0)*$EF153</f>
        <v>0</v>
      </c>
      <c r="AS153" s="648">
        <f>MAX(AS30-MAX($AJ30:AR30),0)*$EF153</f>
        <v>0</v>
      </c>
      <c r="AT153" s="648">
        <f>MAX(AT30-MAX($AJ30:AS30),0)*$EF153</f>
        <v>0</v>
      </c>
      <c r="AU153" s="648">
        <f>MAX(AU30-MAX($AJ30:AT30),0)*$EF153</f>
        <v>0</v>
      </c>
      <c r="AV153" s="648">
        <f>MAX(AV30-MAX($AJ30:AU30),0)*$EF153</f>
        <v>0</v>
      </c>
      <c r="AW153" s="648">
        <f>MAX(AW30-MAX($AJ30:AV30),0)*$EF153</f>
        <v>0</v>
      </c>
      <c r="AX153" s="648">
        <f>MAX(AX30-MAX($AJ30:AW30),0)*$EF153</f>
        <v>0</v>
      </c>
      <c r="AY153" s="648">
        <f>MAX(AY30-MAX($AJ30:AX30),0)*$EF153</f>
        <v>0</v>
      </c>
      <c r="AZ153" s="648">
        <f>MAX(AZ30-MAX($AJ30:AY30),0)*$EF153</f>
        <v>0</v>
      </c>
      <c r="BA153" s="648">
        <f>MAX(BA30-MAX($AJ30:AZ30),0)*$EF153</f>
        <v>0</v>
      </c>
      <c r="BB153" s="648">
        <f>MAX(BB30-MAX($AJ30:BA30),0)*$EF153</f>
        <v>0</v>
      </c>
      <c r="BC153" s="648">
        <f>MAX(BC30-MAX($AJ30:BB30),0)*$EF153</f>
        <v>0</v>
      </c>
      <c r="BD153" s="648">
        <f>MAX(BD30-MAX($AJ30:BC30),0)*$EF153</f>
        <v>0</v>
      </c>
      <c r="BE153" s="648">
        <f>MAX(BE30-MAX($AJ30:BD30),0)*$EF153</f>
        <v>0</v>
      </c>
      <c r="BF153" s="648">
        <f>MAX(BF30-MAX($AJ30:BE30),0)*$EF153</f>
        <v>0</v>
      </c>
      <c r="BG153" s="648">
        <f>MAX(BG30-MAX($AJ30:BF30),0)*$EF153</f>
        <v>0</v>
      </c>
      <c r="BH153" s="648">
        <f>MAX(BH30-MAX($AJ30:BG30),0)*$EF153</f>
        <v>0</v>
      </c>
      <c r="BI153" s="648">
        <f>MAX(BI30-MAX($AJ30:BH30),0)*$EF153</f>
        <v>0</v>
      </c>
      <c r="BJ153" s="648">
        <f>MAX(BJ30-MAX($AJ30:BI30),0)*$EF153</f>
        <v>0</v>
      </c>
      <c r="BK153" s="648">
        <f>MAX(BK30-MAX($AJ30:BJ30),0)*$EF153</f>
        <v>0</v>
      </c>
      <c r="BL153" s="648">
        <f>MAX(BL30-MAX($AJ30:BK30),0)*$EF153</f>
        <v>0</v>
      </c>
      <c r="BM153" s="648">
        <f>MAX(BM30-MAX($AJ30:BL30),0)*$EF153</f>
        <v>0</v>
      </c>
      <c r="BN153" s="648">
        <f>MAX(BN30-MAX($AJ30:BM30),0)*$EF153</f>
        <v>0</v>
      </c>
      <c r="BO153" s="648"/>
      <c r="BP153" s="648">
        <f>MAX(BP30-MAX($BP30:BP30),0)*$EF153</f>
        <v>0</v>
      </c>
      <c r="BQ153" s="648">
        <f>MAX(BQ30-MAX($BP30:BP30),0)*$EF153</f>
        <v>0</v>
      </c>
      <c r="BR153" s="648">
        <f>MAX(BR30-MAX($BP30:BQ30),0)*$EF153</f>
        <v>0</v>
      </c>
      <c r="BS153" s="648">
        <f>MAX(BS30-MAX($BP30:BR30),0)*$EF153</f>
        <v>0</v>
      </c>
      <c r="BT153" s="648">
        <f>MAX(BT30-MAX($BP30:BS30),0)*$EF153</f>
        <v>0</v>
      </c>
      <c r="BU153" s="648">
        <f>MAX(BU30-MAX($BP30:BT30),0)*$EF153</f>
        <v>0</v>
      </c>
      <c r="BV153" s="648">
        <f>MAX(BV30-MAX($BP30:BU30),0)*$EF153</f>
        <v>0</v>
      </c>
      <c r="BW153" s="648">
        <f>MAX(BW30-MAX($BP30:BV30),0)*$EF153</f>
        <v>0</v>
      </c>
      <c r="BX153" s="648">
        <f>MAX(BX30-MAX($BP30:BW30),0)*$EF153</f>
        <v>0</v>
      </c>
      <c r="BY153" s="648">
        <f>MAX(BY30-MAX($BP30:BX30),0)*$EF153</f>
        <v>0</v>
      </c>
      <c r="BZ153" s="648">
        <f>MAX(BZ30-MAX($BP30:BY30),0)*$EF153</f>
        <v>0</v>
      </c>
      <c r="CA153" s="648">
        <f>MAX(CA30-MAX($BP30:BZ30),0)*$EF153</f>
        <v>0</v>
      </c>
      <c r="CB153" s="648">
        <f>MAX(CB30-MAX($BP30:CA30),0)*$EF153</f>
        <v>0</v>
      </c>
      <c r="CC153" s="648">
        <f>MAX(CC30-MAX($BP30:CB30),0)*$EF153</f>
        <v>0</v>
      </c>
      <c r="CD153" s="648">
        <f>MAX(CD30-MAX($BP30:CC30),0)*$EF153</f>
        <v>0</v>
      </c>
      <c r="CE153" s="648">
        <f>MAX(CE30-MAX($BP30:CD30),0)*$EF153</f>
        <v>0</v>
      </c>
      <c r="CF153" s="648">
        <f>MAX(CF30-MAX($BP30:CE30),0)*$EF153</f>
        <v>0</v>
      </c>
      <c r="CG153" s="648">
        <f>MAX(CG30-MAX($BP30:CF30),0)*$EF153</f>
        <v>0</v>
      </c>
      <c r="CH153" s="648">
        <f>MAX(CH30-MAX($BP30:CG30),0)*$EF153</f>
        <v>0</v>
      </c>
      <c r="CI153" s="648">
        <f>MAX(CI30-MAX($BP30:CH30),0)*$EF153</f>
        <v>0</v>
      </c>
      <c r="CJ153" s="648">
        <f>MAX(CJ30-MAX($BP30:CI30),0)*$EF153</f>
        <v>0</v>
      </c>
      <c r="CK153" s="648">
        <f>MAX(CK30-MAX($BP30:CJ30),0)*$EF153</f>
        <v>0</v>
      </c>
      <c r="CL153" s="648">
        <f>MAX(CL30-MAX($BP30:CK30),0)*$EF153</f>
        <v>0</v>
      </c>
      <c r="CM153" s="648">
        <f>MAX(CM30-MAX($BP30:CL30),0)*$EF153</f>
        <v>0</v>
      </c>
      <c r="CN153" s="648">
        <f>MAX(CN30-MAX($BP30:CM30),0)*$EF153</f>
        <v>0</v>
      </c>
      <c r="CO153" s="648">
        <f>MAX(CO30-MAX($BP30:CN30),0)*$EF153</f>
        <v>0</v>
      </c>
      <c r="CP153" s="648">
        <f>MAX(CP30-MAX($BP30:CO30),0)*$EF153</f>
        <v>0</v>
      </c>
      <c r="CQ153" s="648">
        <f>MAX(CQ30-MAX($BP30:CP30),0)*$EF153</f>
        <v>0</v>
      </c>
      <c r="CR153" s="648">
        <f>MAX(CR30-MAX($BP30:CQ30),0)*$EF153</f>
        <v>0</v>
      </c>
      <c r="CS153" s="648">
        <f>MAX(CS30-MAX($BP30:CR30),0)*$EF153</f>
        <v>0</v>
      </c>
      <c r="CT153" s="648">
        <f>MAX(CT30-MAX($BP30:CS30),0)*$EF153</f>
        <v>0</v>
      </c>
      <c r="CU153" s="648"/>
      <c r="CV153" s="648">
        <f>MAX(CV30-MAX($CV30:CV30),0)*$EF153</f>
        <v>0</v>
      </c>
      <c r="CW153" s="648">
        <f>MAX(CW30-MAX($CV30:CV30),0)*$EF153</f>
        <v>0</v>
      </c>
      <c r="CX153" s="648">
        <f>MAX(CX30-MAX($CV30:CW30),0)*$EF153</f>
        <v>0</v>
      </c>
      <c r="CY153" s="648">
        <f>MAX(CY30-MAX($CV30:CX30),0)*$EF153</f>
        <v>0</v>
      </c>
      <c r="CZ153" s="648">
        <f>MAX(CZ30-MAX($CV30:CY30),0)*$EF153</f>
        <v>0</v>
      </c>
      <c r="DA153" s="648">
        <f>MAX(DA30-MAX($CV30:CZ30),0)*$EF153</f>
        <v>0</v>
      </c>
      <c r="DB153" s="648">
        <f>MAX(DB30-MAX($CV30:DA30),0)*$EF153</f>
        <v>0</v>
      </c>
      <c r="DC153" s="648">
        <f>MAX(DC30-MAX($CV30:DB30),0)*$EF153</f>
        <v>0</v>
      </c>
      <c r="DD153" s="648">
        <f>MAX(DD30-MAX($CV30:DC30),0)*$EF153</f>
        <v>0</v>
      </c>
      <c r="DE153" s="648">
        <f>MAX(DE30-MAX($CV30:DD30),0)*$EF153</f>
        <v>0</v>
      </c>
      <c r="DF153" s="648">
        <f>MAX(DF30-MAX($CV30:DE30),0)*$EF153</f>
        <v>0</v>
      </c>
      <c r="DG153" s="648">
        <f>MAX(DG30-MAX($CV30:DF30),0)*$EF153</f>
        <v>0</v>
      </c>
      <c r="DH153" s="648">
        <f>MAX(DH30-MAX($CV30:DG30),0)*$EF153</f>
        <v>0</v>
      </c>
      <c r="DI153" s="648">
        <f>MAX(DI30-MAX($CV30:DH30),0)*$EF153</f>
        <v>0</v>
      </c>
      <c r="DJ153" s="648">
        <f>MAX(DJ30-MAX($CV30:DI30),0)*$EF153</f>
        <v>0</v>
      </c>
      <c r="DK153" s="648">
        <f>MAX(DK30-MAX($CV30:DJ30),0)*$EF153</f>
        <v>0</v>
      </c>
      <c r="DL153" s="648">
        <f>MAX(DL30-MAX($CV30:DK30),0)*$EF153</f>
        <v>0</v>
      </c>
      <c r="DM153" s="648">
        <f>MAX(DM30-MAX($CV30:DL30),0)*$EF153</f>
        <v>0</v>
      </c>
      <c r="DN153" s="648">
        <f>MAX(DN30-MAX($CV30:DM30),0)*$EF153</f>
        <v>0</v>
      </c>
      <c r="DO153" s="648">
        <f>MAX(DO30-MAX($CV30:DN30),0)*$EF153</f>
        <v>0</v>
      </c>
      <c r="DP153" s="648">
        <f>MAX(DP30-MAX($CV30:DO30),0)*$EF153</f>
        <v>0</v>
      </c>
      <c r="DQ153" s="648">
        <f>MAX(DQ30-MAX($CV30:DP30),0)*$EF153</f>
        <v>0</v>
      </c>
      <c r="DR153" s="648">
        <f>MAX(DR30-MAX($CV30:DQ30),0)*$EF153</f>
        <v>0</v>
      </c>
      <c r="DS153" s="648">
        <f>MAX(DS30-MAX($CV30:DR30),0)*$EF153</f>
        <v>0</v>
      </c>
      <c r="DT153" s="648">
        <f>MAX(DT30-MAX($CV30:DS30),0)*$EF153</f>
        <v>0</v>
      </c>
      <c r="DU153" s="648">
        <f>MAX(DU30-MAX($CV30:DT30),0)*$EF153</f>
        <v>0</v>
      </c>
      <c r="DV153" s="648">
        <f>MAX(DV30-MAX($CV30:DU30),0)*$EF153</f>
        <v>0</v>
      </c>
      <c r="DW153" s="648">
        <f>MAX(DW30-MAX($CV30:DV30),0)*$EF153</f>
        <v>0</v>
      </c>
      <c r="DX153" s="648">
        <f>MAX(DX30-MAX($CV30:DW30),0)*$EF153</f>
        <v>0</v>
      </c>
      <c r="DY153" s="648">
        <f>MAX(DY30-MAX($CV30:DX30),0)*$EF153</f>
        <v>0</v>
      </c>
      <c r="DZ153" s="648">
        <f>MAX(DZ30-MAX($CV30:DY30),0)*$EF153</f>
        <v>0</v>
      </c>
      <c r="EF153" s="51">
        <v>0</v>
      </c>
      <c r="EG153" s="51"/>
      <c r="EH153" s="51"/>
      <c r="EI153" s="51"/>
      <c r="EJ153" s="51"/>
    </row>
    <row r="154" spans="1:140" ht="16" thickBot="1" x14ac:dyDescent="0.25">
      <c r="A154" s="1"/>
      <c r="B154" t="str">
        <f t="shared" si="523"/>
        <v>Leakage Ocean</v>
      </c>
      <c r="C154" s="54" t="s">
        <v>114</v>
      </c>
      <c r="D154" s="648">
        <f>MAX(D31-MAX($D31:D31),0)*$EF154</f>
        <v>0</v>
      </c>
      <c r="E154" s="648">
        <f>MAX(E31-MAX($D31:D31),0)*$EF154</f>
        <v>0</v>
      </c>
      <c r="F154" s="648">
        <f>MAX(F31-MAX($D31:E31),0)*$EF154</f>
        <v>0</v>
      </c>
      <c r="G154" s="648">
        <f>MAX(G31-MAX($D31:F31),0)*$EF154</f>
        <v>0</v>
      </c>
      <c r="H154" s="648">
        <f>MAX(H31-MAX($D31:G31),0)*$EF154</f>
        <v>0</v>
      </c>
      <c r="I154" s="648">
        <f>MAX(I31-MAX($D31:H31),0)*$EF154</f>
        <v>0</v>
      </c>
      <c r="J154" s="648">
        <f>MAX(J31-MAX($D31:I31),0)*$EF154</f>
        <v>0</v>
      </c>
      <c r="K154" s="648">
        <f>MAX(K31-MAX($D31:J31),0)*$EF154</f>
        <v>0</v>
      </c>
      <c r="L154" s="648">
        <f>MAX(L31-MAX($D31:K31),0)*$EF154</f>
        <v>0</v>
      </c>
      <c r="M154" s="648">
        <f>MAX(M31-MAX($D31:L31),0)*$EF154</f>
        <v>0</v>
      </c>
      <c r="N154" s="648">
        <f>MAX(N31-MAX($D31:M31),0)*$EF154</f>
        <v>0</v>
      </c>
      <c r="O154" s="648">
        <f>MAX(O31-MAX($D31:N31),0)*$EF154</f>
        <v>0</v>
      </c>
      <c r="P154" s="648">
        <f>MAX(P31-MAX($D31:O31),0)*$EF154</f>
        <v>0</v>
      </c>
      <c r="Q154" s="648">
        <f>MAX(Q31-MAX($D31:P31),0)*$EF154</f>
        <v>0</v>
      </c>
      <c r="R154" s="648">
        <f>MAX(R31-MAX($D31:Q31),0)*$EF154</f>
        <v>0</v>
      </c>
      <c r="S154" s="648">
        <f>MAX(S31-MAX($D31:R31),0)*$EF154</f>
        <v>0</v>
      </c>
      <c r="T154" s="648">
        <f>MAX(T31-MAX($D31:S31),0)*$EF154</f>
        <v>0</v>
      </c>
      <c r="U154" s="648">
        <f>MAX(U31-MAX($D31:T31),0)*$EF154</f>
        <v>0</v>
      </c>
      <c r="V154" s="648">
        <f>MAX(V31-MAX($D31:U31),0)*$EF154</f>
        <v>0</v>
      </c>
      <c r="W154" s="648">
        <f>MAX(W31-MAX($D31:V31),0)*$EF154</f>
        <v>0</v>
      </c>
      <c r="X154" s="648">
        <f>MAX(X31-MAX($D31:W31),0)*$EF154</f>
        <v>0</v>
      </c>
      <c r="Y154" s="648">
        <f>MAX(Y31-MAX($D31:X31),0)*$EF154</f>
        <v>0</v>
      </c>
      <c r="Z154" s="648">
        <f>MAX(Z31-MAX($D31:Y31),0)*$EF154</f>
        <v>0</v>
      </c>
      <c r="AA154" s="648">
        <f>MAX(AA31-MAX($D31:Z31),0)*$EF154</f>
        <v>0</v>
      </c>
      <c r="AB154" s="648">
        <f>MAX(AB31-MAX($D31:AA31),0)*$EF154</f>
        <v>0</v>
      </c>
      <c r="AC154" s="648">
        <f>MAX(AC31-MAX($D31:AB31),0)*$EF154</f>
        <v>0</v>
      </c>
      <c r="AD154" s="648">
        <f>MAX(AD31-MAX($D31:AC31),0)*$EF154</f>
        <v>0</v>
      </c>
      <c r="AE154" s="648">
        <f>MAX(AE31-MAX($D31:AD31),0)*$EF154</f>
        <v>0</v>
      </c>
      <c r="AF154" s="648">
        <f>MAX(AF31-MAX($D31:AE31),0)*$EF154</f>
        <v>0</v>
      </c>
      <c r="AG154" s="648">
        <f>MAX(AG31-MAX($D31:AF31),0)*$EF154</f>
        <v>0</v>
      </c>
      <c r="AH154" s="648">
        <f>MAX(AH31-MAX($D31:AG31),0)*$EF154</f>
        <v>0</v>
      </c>
      <c r="AI154" s="648"/>
      <c r="AJ154" s="648">
        <f>MAX(AJ31-MAX($AJ31:AJ31),0)*$EF154</f>
        <v>0</v>
      </c>
      <c r="AK154" s="648">
        <f>MAX(AK31-MAX($AJ31:AJ31),0)*$EF154</f>
        <v>0</v>
      </c>
      <c r="AL154" s="648">
        <f>MAX(AL31-MAX($AJ31:AK31),0)*$EF154</f>
        <v>0</v>
      </c>
      <c r="AM154" s="648">
        <f>MAX(AM31-MAX($AJ31:AL31),0)*$EF154</f>
        <v>0</v>
      </c>
      <c r="AN154" s="648">
        <f>MAX(AN31-MAX($AJ31:AM31),0)*$EF154</f>
        <v>0</v>
      </c>
      <c r="AO154" s="648">
        <f>MAX(AO31-MAX($AJ31:AN31),0)*$EF154</f>
        <v>0</v>
      </c>
      <c r="AP154" s="648">
        <f>MAX(AP31-MAX($AJ31:AO31),0)*$EF154</f>
        <v>0</v>
      </c>
      <c r="AQ154" s="648">
        <f>MAX(AQ31-MAX($AJ31:AP31),0)*$EF154</f>
        <v>0</v>
      </c>
      <c r="AR154" s="648">
        <f>MAX(AR31-MAX($AJ31:AQ31),0)*$EF154</f>
        <v>0</v>
      </c>
      <c r="AS154" s="648">
        <f>MAX(AS31-MAX($AJ31:AR31),0)*$EF154</f>
        <v>0</v>
      </c>
      <c r="AT154" s="648">
        <f>MAX(AT31-MAX($AJ31:AS31),0)*$EF154</f>
        <v>0</v>
      </c>
      <c r="AU154" s="648">
        <f>MAX(AU31-MAX($AJ31:AT31),0)*$EF154</f>
        <v>0</v>
      </c>
      <c r="AV154" s="648">
        <f>MAX(AV31-MAX($AJ31:AU31),0)*$EF154</f>
        <v>0</v>
      </c>
      <c r="AW154" s="648">
        <f>MAX(AW31-MAX($AJ31:AV31),0)*$EF154</f>
        <v>0</v>
      </c>
      <c r="AX154" s="648">
        <f>MAX(AX31-MAX($AJ31:AW31),0)*$EF154</f>
        <v>0</v>
      </c>
      <c r="AY154" s="648">
        <f>MAX(AY31-MAX($AJ31:AX31),0)*$EF154</f>
        <v>0</v>
      </c>
      <c r="AZ154" s="648">
        <f>MAX(AZ31-MAX($AJ31:AY31),0)*$EF154</f>
        <v>0</v>
      </c>
      <c r="BA154" s="648">
        <f>MAX(BA31-MAX($AJ31:AZ31),0)*$EF154</f>
        <v>0</v>
      </c>
      <c r="BB154" s="648">
        <f>MAX(BB31-MAX($AJ31:BA31),0)*$EF154</f>
        <v>0</v>
      </c>
      <c r="BC154" s="648">
        <f>MAX(BC31-MAX($AJ31:BB31),0)*$EF154</f>
        <v>0</v>
      </c>
      <c r="BD154" s="648">
        <f>MAX(BD31-MAX($AJ31:BC31),0)*$EF154</f>
        <v>0</v>
      </c>
      <c r="BE154" s="648">
        <f>MAX(BE31-MAX($AJ31:BD31),0)*$EF154</f>
        <v>0</v>
      </c>
      <c r="BF154" s="648">
        <f>MAX(BF31-MAX($AJ31:BE31),0)*$EF154</f>
        <v>0</v>
      </c>
      <c r="BG154" s="648">
        <f>MAX(BG31-MAX($AJ31:BF31),0)*$EF154</f>
        <v>0</v>
      </c>
      <c r="BH154" s="648">
        <f>MAX(BH31-MAX($AJ31:BG31),0)*$EF154</f>
        <v>0</v>
      </c>
      <c r="BI154" s="648">
        <f>MAX(BI31-MAX($AJ31:BH31),0)*$EF154</f>
        <v>0</v>
      </c>
      <c r="BJ154" s="648">
        <f>MAX(BJ31-MAX($AJ31:BI31),0)*$EF154</f>
        <v>0</v>
      </c>
      <c r="BK154" s="648">
        <f>MAX(BK31-MAX($AJ31:BJ31),0)*$EF154</f>
        <v>0</v>
      </c>
      <c r="BL154" s="648">
        <f>MAX(BL31-MAX($AJ31:BK31),0)*$EF154</f>
        <v>0</v>
      </c>
      <c r="BM154" s="648">
        <f>MAX(BM31-MAX($AJ31:BL31),0)*$EF154</f>
        <v>0</v>
      </c>
      <c r="BN154" s="648">
        <f>MAX(BN31-MAX($AJ31:BM31),0)*$EF154</f>
        <v>0</v>
      </c>
      <c r="BO154" s="648"/>
      <c r="BP154" s="648">
        <f>MAX(BP31-MAX($BP31:BP31),0)*$EF154</f>
        <v>0</v>
      </c>
      <c r="BQ154" s="648">
        <f>MAX(BQ31-MAX($BP31:BP31),0)*$EF154</f>
        <v>0</v>
      </c>
      <c r="BR154" s="648">
        <f>MAX(BR31-MAX($BP31:BQ31),0)*$EF154</f>
        <v>0</v>
      </c>
      <c r="BS154" s="648">
        <f>MAX(BS31-MAX($BP31:BR31),0)*$EF154</f>
        <v>0</v>
      </c>
      <c r="BT154" s="648">
        <f>MAX(BT31-MAX($BP31:BS31),0)*$EF154</f>
        <v>0</v>
      </c>
      <c r="BU154" s="648">
        <f>MAX(BU31-MAX($BP31:BT31),0)*$EF154</f>
        <v>0</v>
      </c>
      <c r="BV154" s="648">
        <f>MAX(BV31-MAX($BP31:BU31),0)*$EF154</f>
        <v>0</v>
      </c>
      <c r="BW154" s="648">
        <f>MAX(BW31-MAX($BP31:BV31),0)*$EF154</f>
        <v>0</v>
      </c>
      <c r="BX154" s="648">
        <f>MAX(BX31-MAX($BP31:BW31),0)*$EF154</f>
        <v>0</v>
      </c>
      <c r="BY154" s="648">
        <f>MAX(BY31-MAX($BP31:BX31),0)*$EF154</f>
        <v>0</v>
      </c>
      <c r="BZ154" s="648">
        <f>MAX(BZ31-MAX($BP31:BY31),0)*$EF154</f>
        <v>0</v>
      </c>
      <c r="CA154" s="648">
        <f>MAX(CA31-MAX($BP31:BZ31),0)*$EF154</f>
        <v>0</v>
      </c>
      <c r="CB154" s="648">
        <f>MAX(CB31-MAX($BP31:CA31),0)*$EF154</f>
        <v>0</v>
      </c>
      <c r="CC154" s="648">
        <f>MAX(CC31-MAX($BP31:CB31),0)*$EF154</f>
        <v>0</v>
      </c>
      <c r="CD154" s="648">
        <f>MAX(CD31-MAX($BP31:CC31),0)*$EF154</f>
        <v>0</v>
      </c>
      <c r="CE154" s="648">
        <f>MAX(CE31-MAX($BP31:CD31),0)*$EF154</f>
        <v>0</v>
      </c>
      <c r="CF154" s="648">
        <f>MAX(CF31-MAX($BP31:CE31),0)*$EF154</f>
        <v>0</v>
      </c>
      <c r="CG154" s="648">
        <f>MAX(CG31-MAX($BP31:CF31),0)*$EF154</f>
        <v>0</v>
      </c>
      <c r="CH154" s="648">
        <f>MAX(CH31-MAX($BP31:CG31),0)*$EF154</f>
        <v>0</v>
      </c>
      <c r="CI154" s="648">
        <f>MAX(CI31-MAX($BP31:CH31),0)*$EF154</f>
        <v>0</v>
      </c>
      <c r="CJ154" s="648">
        <f>MAX(CJ31-MAX($BP31:CI31),0)*$EF154</f>
        <v>0</v>
      </c>
      <c r="CK154" s="648">
        <f>MAX(CK31-MAX($BP31:CJ31),0)*$EF154</f>
        <v>0</v>
      </c>
      <c r="CL154" s="648">
        <f>MAX(CL31-MAX($BP31:CK31),0)*$EF154</f>
        <v>0</v>
      </c>
      <c r="CM154" s="648">
        <f>MAX(CM31-MAX($BP31:CL31),0)*$EF154</f>
        <v>0</v>
      </c>
      <c r="CN154" s="648">
        <f>MAX(CN31-MAX($BP31:CM31),0)*$EF154</f>
        <v>0</v>
      </c>
      <c r="CO154" s="648">
        <f>MAX(CO31-MAX($BP31:CN31),0)*$EF154</f>
        <v>0</v>
      </c>
      <c r="CP154" s="648">
        <f>MAX(CP31-MAX($BP31:CO31),0)*$EF154</f>
        <v>0</v>
      </c>
      <c r="CQ154" s="648">
        <f>MAX(CQ31-MAX($BP31:CP31),0)*$EF154</f>
        <v>0</v>
      </c>
      <c r="CR154" s="648">
        <f>MAX(CR31-MAX($BP31:CQ31),0)*$EF154</f>
        <v>0</v>
      </c>
      <c r="CS154" s="648">
        <f>MAX(CS31-MAX($BP31:CR31),0)*$EF154</f>
        <v>0</v>
      </c>
      <c r="CT154" s="648">
        <f>MAX(CT31-MAX($BP31:CS31),0)*$EF154</f>
        <v>0</v>
      </c>
      <c r="CU154" s="648"/>
      <c r="CV154" s="648">
        <f>MAX(CV31-MAX($CV31:CV31),0)*$EF154</f>
        <v>0</v>
      </c>
      <c r="CW154" s="648">
        <f>MAX(CW31-MAX($CV31:CV31),0)*$EF154</f>
        <v>0</v>
      </c>
      <c r="CX154" s="648">
        <f>MAX(CX31-MAX($CV31:CW31),0)*$EF154</f>
        <v>0</v>
      </c>
      <c r="CY154" s="648">
        <f>MAX(CY31-MAX($CV31:CX31),0)*$EF154</f>
        <v>0</v>
      </c>
      <c r="CZ154" s="648">
        <f>MAX(CZ31-MAX($CV31:CY31),0)*$EF154</f>
        <v>0</v>
      </c>
      <c r="DA154" s="648">
        <f>MAX(DA31-MAX($CV31:CZ31),0)*$EF154</f>
        <v>0</v>
      </c>
      <c r="DB154" s="648">
        <f>MAX(DB31-MAX($CV31:DA31),0)*$EF154</f>
        <v>0</v>
      </c>
      <c r="DC154" s="648">
        <f>MAX(DC31-MAX($CV31:DB31),0)*$EF154</f>
        <v>0</v>
      </c>
      <c r="DD154" s="648">
        <f>MAX(DD31-MAX($CV31:DC31),0)*$EF154</f>
        <v>0</v>
      </c>
      <c r="DE154" s="648">
        <f>MAX(DE31-MAX($CV31:DD31),0)*$EF154</f>
        <v>0</v>
      </c>
      <c r="DF154" s="648">
        <f>MAX(DF31-MAX($CV31:DE31),0)*$EF154</f>
        <v>0</v>
      </c>
      <c r="DG154" s="648">
        <f>MAX(DG31-MAX($CV31:DF31),0)*$EF154</f>
        <v>0</v>
      </c>
      <c r="DH154" s="648">
        <f>MAX(DH31-MAX($CV31:DG31),0)*$EF154</f>
        <v>0</v>
      </c>
      <c r="DI154" s="648">
        <f>MAX(DI31-MAX($CV31:DH31),0)*$EF154</f>
        <v>0</v>
      </c>
      <c r="DJ154" s="648">
        <f>MAX(DJ31-MAX($CV31:DI31),0)*$EF154</f>
        <v>0</v>
      </c>
      <c r="DK154" s="648">
        <f>MAX(DK31-MAX($CV31:DJ31),0)*$EF154</f>
        <v>0</v>
      </c>
      <c r="DL154" s="648">
        <f>MAX(DL31-MAX($CV31:DK31),0)*$EF154</f>
        <v>0</v>
      </c>
      <c r="DM154" s="648">
        <f>MAX(DM31-MAX($CV31:DL31),0)*$EF154</f>
        <v>0</v>
      </c>
      <c r="DN154" s="648">
        <f>MAX(DN31-MAX($CV31:DM31),0)*$EF154</f>
        <v>0</v>
      </c>
      <c r="DO154" s="648">
        <f>MAX(DO31-MAX($CV31:DN31),0)*$EF154</f>
        <v>0</v>
      </c>
      <c r="DP154" s="648">
        <f>MAX(DP31-MAX($CV31:DO31),0)*$EF154</f>
        <v>0</v>
      </c>
      <c r="DQ154" s="648">
        <f>MAX(DQ31-MAX($CV31:DP31),0)*$EF154</f>
        <v>0</v>
      </c>
      <c r="DR154" s="648">
        <f>MAX(DR31-MAX($CV31:DQ31),0)*$EF154</f>
        <v>0</v>
      </c>
      <c r="DS154" s="648">
        <f>MAX(DS31-MAX($CV31:DR31),0)*$EF154</f>
        <v>0</v>
      </c>
      <c r="DT154" s="648">
        <f>MAX(DT31-MAX($CV31:DS31),0)*$EF154</f>
        <v>0</v>
      </c>
      <c r="DU154" s="648">
        <f>MAX(DU31-MAX($CV31:DT31),0)*$EF154</f>
        <v>0</v>
      </c>
      <c r="DV154" s="648">
        <f>MAX(DV31-MAX($CV31:DU31),0)*$EF154</f>
        <v>0</v>
      </c>
      <c r="DW154" s="648">
        <f>MAX(DW31-MAX($CV31:DV31),0)*$EF154</f>
        <v>0</v>
      </c>
      <c r="DX154" s="648">
        <f>MAX(DX31-MAX($CV31:DW31),0)*$EF154</f>
        <v>0</v>
      </c>
      <c r="DY154" s="648">
        <f>MAX(DY31-MAX($CV31:DX31),0)*$EF154</f>
        <v>0</v>
      </c>
      <c r="DZ154" s="648">
        <f>MAX(DZ31-MAX($CV31:DY31),0)*$EF154</f>
        <v>0</v>
      </c>
      <c r="EF154" s="51">
        <v>0</v>
      </c>
      <c r="EG154" s="51"/>
      <c r="EH154" s="51"/>
      <c r="EI154" s="51"/>
      <c r="EJ154" s="51"/>
    </row>
    <row r="155" spans="1:140" ht="16" thickBot="1" x14ac:dyDescent="0.25">
      <c r="A155" s="185" t="s">
        <v>115</v>
      </c>
      <c r="B155" s="488"/>
      <c r="C155" s="639" t="s">
        <v>114</v>
      </c>
      <c r="D155" s="647">
        <f t="shared" ref="D155:AH155" si="524">SUM(D131:D153)</f>
        <v>0</v>
      </c>
      <c r="E155" s="647">
        <f t="shared" si="524"/>
        <v>14537.419175710589</v>
      </c>
      <c r="F155" s="647">
        <f t="shared" si="524"/>
        <v>14320.740922364243</v>
      </c>
      <c r="G155" s="647">
        <f t="shared" si="524"/>
        <v>13702.746674436699</v>
      </c>
      <c r="H155" s="647">
        <f t="shared" si="524"/>
        <v>12887.111097293602</v>
      </c>
      <c r="I155" s="647">
        <f t="shared" si="524"/>
        <v>11981.753127249747</v>
      </c>
      <c r="J155" s="647">
        <f t="shared" si="524"/>
        <v>10046.712025710533</v>
      </c>
      <c r="K155" s="647">
        <f t="shared" si="524"/>
        <v>9962.3416178477328</v>
      </c>
      <c r="L155" s="647">
        <f t="shared" si="524"/>
        <v>9892.9904424215474</v>
      </c>
      <c r="M155" s="647">
        <f t="shared" si="524"/>
        <v>9862.7276856379685</v>
      </c>
      <c r="N155" s="647">
        <f t="shared" si="524"/>
        <v>9899.6879154454618</v>
      </c>
      <c r="O155" s="647">
        <f t="shared" si="524"/>
        <v>8820.224348531241</v>
      </c>
      <c r="P155" s="647">
        <f t="shared" si="524"/>
        <v>8845.8364918417301</v>
      </c>
      <c r="Q155" s="647">
        <f t="shared" si="524"/>
        <v>7249.8804335596296</v>
      </c>
      <c r="R155" s="647">
        <f t="shared" si="524"/>
        <v>6647.5981616911267</v>
      </c>
      <c r="S155" s="647">
        <f t="shared" si="524"/>
        <v>6826.832470674748</v>
      </c>
      <c r="T155" s="647">
        <f t="shared" si="524"/>
        <v>7268.8303629393668</v>
      </c>
      <c r="U155" s="647">
        <f t="shared" si="524"/>
        <v>7537.4979135621707</v>
      </c>
      <c r="V155" s="647">
        <f t="shared" si="524"/>
        <v>7386.3168164740391</v>
      </c>
      <c r="W155" s="647">
        <f t="shared" si="524"/>
        <v>6943.4724085633752</v>
      </c>
      <c r="X155" s="647">
        <f t="shared" si="524"/>
        <v>5862.7261379703414</v>
      </c>
      <c r="Y155" s="647">
        <f t="shared" si="524"/>
        <v>7322.8084376232646</v>
      </c>
      <c r="Z155" s="647">
        <f t="shared" si="524"/>
        <v>6917.0799784999381</v>
      </c>
      <c r="AA155" s="647">
        <f t="shared" si="524"/>
        <v>6076.3897576963273</v>
      </c>
      <c r="AB155" s="647">
        <f t="shared" si="524"/>
        <v>5766.9475682390093</v>
      </c>
      <c r="AC155" s="647">
        <f t="shared" si="524"/>
        <v>5502.3560293446935</v>
      </c>
      <c r="AD155" s="647">
        <f t="shared" si="524"/>
        <v>5165.6158353790224</v>
      </c>
      <c r="AE155" s="647">
        <f t="shared" si="524"/>
        <v>5008.925675630775</v>
      </c>
      <c r="AF155" s="647">
        <f t="shared" si="524"/>
        <v>4932.8276319434644</v>
      </c>
      <c r="AG155" s="647">
        <f t="shared" si="524"/>
        <v>4875.8949155878618</v>
      </c>
      <c r="AH155" s="647">
        <f t="shared" si="524"/>
        <v>4414.3310412782521</v>
      </c>
      <c r="AI155" s="647"/>
      <c r="AJ155" s="647">
        <f t="shared" ref="AJ155:BN155" si="525">SUM(AJ131:AJ153)</f>
        <v>0</v>
      </c>
      <c r="AK155" s="647">
        <f t="shared" si="525"/>
        <v>14971.444682053923</v>
      </c>
      <c r="AL155" s="647">
        <f t="shared" si="525"/>
        <v>14818.306901168724</v>
      </c>
      <c r="AM155" s="647">
        <f t="shared" si="525"/>
        <v>14216.022088130738</v>
      </c>
      <c r="AN155" s="647">
        <f t="shared" si="525"/>
        <v>13428.351577220885</v>
      </c>
      <c r="AO155" s="647">
        <f t="shared" si="525"/>
        <v>12547.098513378691</v>
      </c>
      <c r="AP155" s="647">
        <f t="shared" si="525"/>
        <v>11552.0792466275</v>
      </c>
      <c r="AQ155" s="647">
        <f t="shared" si="525"/>
        <v>11541.442345164916</v>
      </c>
      <c r="AR155" s="647">
        <f t="shared" si="525"/>
        <v>11540.473633397633</v>
      </c>
      <c r="AS155" s="647">
        <f t="shared" si="525"/>
        <v>11568.441345561945</v>
      </c>
      <c r="AT155" s="647">
        <f t="shared" si="525"/>
        <v>11645.210249683065</v>
      </c>
      <c r="AU155" s="647">
        <f t="shared" si="525"/>
        <v>11216.510570330598</v>
      </c>
      <c r="AV155" s="647">
        <f t="shared" si="525"/>
        <v>11175.328718130553</v>
      </c>
      <c r="AW155" s="647">
        <f t="shared" si="525"/>
        <v>9716.3536527774377</v>
      </c>
      <c r="AX155" s="647">
        <f t="shared" si="525"/>
        <v>9100.8497585057266</v>
      </c>
      <c r="AY155" s="647">
        <f t="shared" si="525"/>
        <v>8445.0404163714593</v>
      </c>
      <c r="AZ155" s="647">
        <f t="shared" si="525"/>
        <v>8905.1276004950305</v>
      </c>
      <c r="BA155" s="647">
        <f t="shared" si="525"/>
        <v>8902.8919807344719</v>
      </c>
      <c r="BB155" s="647">
        <f t="shared" si="525"/>
        <v>8625.1387640646826</v>
      </c>
      <c r="BC155" s="647">
        <f t="shared" si="525"/>
        <v>8104.0953635098922</v>
      </c>
      <c r="BD155" s="647">
        <f t="shared" si="525"/>
        <v>6925.2947056608218</v>
      </c>
      <c r="BE155" s="647">
        <f t="shared" si="525"/>
        <v>7193.6074254330097</v>
      </c>
      <c r="BF155" s="647">
        <f t="shared" si="525"/>
        <v>7220.3862702412262</v>
      </c>
      <c r="BG155" s="647">
        <f t="shared" si="525"/>
        <v>7000.4646802030147</v>
      </c>
      <c r="BH155" s="647">
        <f t="shared" si="525"/>
        <v>6397.4658880768311</v>
      </c>
      <c r="BI155" s="647">
        <f t="shared" si="525"/>
        <v>5750.4767099338915</v>
      </c>
      <c r="BJ155" s="647">
        <f t="shared" si="525"/>
        <v>5021.9792887073218</v>
      </c>
      <c r="BK155" s="647">
        <f t="shared" si="525"/>
        <v>4871.8315948390009</v>
      </c>
      <c r="BL155" s="647">
        <f t="shared" si="525"/>
        <v>4805.4926454925053</v>
      </c>
      <c r="BM155" s="647">
        <f t="shared" si="525"/>
        <v>4807.8931338832581</v>
      </c>
      <c r="BN155" s="647">
        <f t="shared" si="525"/>
        <v>3429.4923552751075</v>
      </c>
      <c r="BO155" s="647"/>
      <c r="BP155" s="647">
        <f t="shared" ref="BP155:CT155" si="526">SUM(BP131:BP153)</f>
        <v>0</v>
      </c>
      <c r="BQ155" s="647">
        <f t="shared" si="526"/>
        <v>11443.600569230399</v>
      </c>
      <c r="BR155" s="647">
        <f t="shared" si="526"/>
        <v>10795.011486617645</v>
      </c>
      <c r="BS155" s="647">
        <f t="shared" si="526"/>
        <v>10076.241454814139</v>
      </c>
      <c r="BT155" s="647">
        <f t="shared" si="526"/>
        <v>9291.3776040702724</v>
      </c>
      <c r="BU155" s="647">
        <f t="shared" si="526"/>
        <v>8445.3052613653363</v>
      </c>
      <c r="BV155" s="647">
        <f t="shared" si="526"/>
        <v>8418.1876713663769</v>
      </c>
      <c r="BW155" s="647">
        <f t="shared" si="526"/>
        <v>8383.2231045190219</v>
      </c>
      <c r="BX155" s="647">
        <f t="shared" si="526"/>
        <v>8340.324900115289</v>
      </c>
      <c r="BY155" s="647">
        <f t="shared" si="526"/>
        <v>8289.4205787072769</v>
      </c>
      <c r="BZ155" s="647">
        <f t="shared" si="526"/>
        <v>8230.4523376901725</v>
      </c>
      <c r="CA155" s="647">
        <f t="shared" si="526"/>
        <v>7529.839242175045</v>
      </c>
      <c r="CB155" s="647">
        <f t="shared" si="526"/>
        <v>6792.0416876138852</v>
      </c>
      <c r="CC155" s="647">
        <f t="shared" si="526"/>
        <v>6020.8123305508425</v>
      </c>
      <c r="CD155" s="647">
        <f t="shared" si="526"/>
        <v>5220.2300958879596</v>
      </c>
      <c r="CE155" s="647">
        <f t="shared" si="526"/>
        <v>4394.6664549047537</v>
      </c>
      <c r="CF155" s="647">
        <f t="shared" si="526"/>
        <v>4382.5836855661555</v>
      </c>
      <c r="CG155" s="647">
        <f t="shared" si="526"/>
        <v>4369.770454602819</v>
      </c>
      <c r="CH155" s="647">
        <f t="shared" si="526"/>
        <v>4356.2362443676493</v>
      </c>
      <c r="CI155" s="647">
        <f t="shared" si="526"/>
        <v>4341.9912429551669</v>
      </c>
      <c r="CJ155" s="647">
        <f t="shared" si="526"/>
        <v>4327.0463505394282</v>
      </c>
      <c r="CK155" s="647">
        <f t="shared" si="526"/>
        <v>4316.6947353138439</v>
      </c>
      <c r="CL155" s="647">
        <f t="shared" si="526"/>
        <v>4305.7765267325958</v>
      </c>
      <c r="CM155" s="647">
        <f t="shared" si="526"/>
        <v>4294.3025153282233</v>
      </c>
      <c r="CN155" s="647">
        <f t="shared" si="526"/>
        <v>4282.2841054656201</v>
      </c>
      <c r="CO155" s="647">
        <f t="shared" si="526"/>
        <v>4269.7333204188417</v>
      </c>
      <c r="CP155" s="647">
        <f t="shared" si="526"/>
        <v>4261.3380634821096</v>
      </c>
      <c r="CQ155" s="647">
        <f t="shared" si="526"/>
        <v>4252.5245989253708</v>
      </c>
      <c r="CR155" s="647">
        <f t="shared" si="526"/>
        <v>4243.3048660003587</v>
      </c>
      <c r="CS155" s="647">
        <f t="shared" si="526"/>
        <v>4233.6913496662128</v>
      </c>
      <c r="CT155" s="647">
        <f t="shared" si="526"/>
        <v>4223.6970849138597</v>
      </c>
      <c r="CU155" s="647"/>
      <c r="CV155" s="647">
        <f t="shared" ref="CV155:DZ155" si="527">SUM(CV131:CV153)</f>
        <v>0</v>
      </c>
      <c r="CW155" s="647">
        <f t="shared" si="527"/>
        <v>16651.137187359178</v>
      </c>
      <c r="CX155" s="647">
        <f t="shared" si="527"/>
        <v>16765.222624603499</v>
      </c>
      <c r="CY155" s="647">
        <f t="shared" si="527"/>
        <v>16216.519975723415</v>
      </c>
      <c r="CZ155" s="647">
        <f t="shared" si="527"/>
        <v>15541.855558573247</v>
      </c>
      <c r="DA155" s="647">
        <f t="shared" si="527"/>
        <v>14762.837399362057</v>
      </c>
      <c r="DB155" s="647">
        <f t="shared" si="527"/>
        <v>14798.634258360284</v>
      </c>
      <c r="DC155" s="647">
        <f t="shared" si="527"/>
        <v>14958.445460593008</v>
      </c>
      <c r="DD155" s="647">
        <f t="shared" si="527"/>
        <v>15132.386853446298</v>
      </c>
      <c r="DE155" s="647">
        <f t="shared" si="527"/>
        <v>15341.6988098168</v>
      </c>
      <c r="DF155" s="647">
        <f t="shared" si="527"/>
        <v>15609.813521354381</v>
      </c>
      <c r="DG155" s="647">
        <f t="shared" si="527"/>
        <v>17196.56072778751</v>
      </c>
      <c r="DH155" s="647">
        <f t="shared" si="527"/>
        <v>16896.516153105684</v>
      </c>
      <c r="DI155" s="647">
        <f t="shared" si="527"/>
        <v>16330.124775779777</v>
      </c>
      <c r="DJ155" s="647">
        <f t="shared" si="527"/>
        <v>16003.751745771186</v>
      </c>
      <c r="DK155" s="647">
        <f t="shared" si="527"/>
        <v>15642.573261197818</v>
      </c>
      <c r="DL155" s="647">
        <f t="shared" si="527"/>
        <v>16309.97111405437</v>
      </c>
      <c r="DM155" s="647">
        <f t="shared" si="527"/>
        <v>16689.434731452915</v>
      </c>
      <c r="DN155" s="647">
        <f t="shared" si="527"/>
        <v>16756.308332424116</v>
      </c>
      <c r="DO155" s="647">
        <f t="shared" si="527"/>
        <v>16527.931525169311</v>
      </c>
      <c r="DP155" s="647">
        <f t="shared" si="527"/>
        <v>15585.441979216195</v>
      </c>
      <c r="DQ155" s="647">
        <f t="shared" si="527"/>
        <v>17498.600323875824</v>
      </c>
      <c r="DR155" s="647">
        <f t="shared" si="527"/>
        <v>17041.274153042359</v>
      </c>
      <c r="DS155" s="647">
        <f t="shared" si="527"/>
        <v>16416.584543285833</v>
      </c>
      <c r="DT155" s="647">
        <f t="shared" si="527"/>
        <v>15968.813426962601</v>
      </c>
      <c r="DU155" s="647">
        <f t="shared" si="527"/>
        <v>15482.542151908192</v>
      </c>
      <c r="DV155" s="647">
        <f t="shared" si="527"/>
        <v>15031.68226124419</v>
      </c>
      <c r="DW155" s="647">
        <f t="shared" si="527"/>
        <v>14779.054604676796</v>
      </c>
      <c r="DX155" s="647">
        <f t="shared" si="527"/>
        <v>14626.184400493372</v>
      </c>
      <c r="DY155" s="647">
        <f t="shared" si="527"/>
        <v>14556.479066038413</v>
      </c>
      <c r="DZ155" s="647">
        <f t="shared" si="527"/>
        <v>13107.004692936909</v>
      </c>
    </row>
  </sheetData>
  <mergeCells count="4">
    <mergeCell ref="D1:AH1"/>
    <mergeCell ref="AJ1:BN1"/>
    <mergeCell ref="BP1:CT1"/>
    <mergeCell ref="CV1:DZ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2F46A-53E3-4CFA-8F26-481BFDFE690E}">
  <sheetPr>
    <tabColor rgb="FF00B0F0"/>
  </sheetPr>
  <dimension ref="A1:L31"/>
  <sheetViews>
    <sheetView zoomScale="60" zoomScaleNormal="60" workbookViewId="0">
      <selection activeCell="C23" sqref="C23"/>
    </sheetView>
  </sheetViews>
  <sheetFormatPr baseColWidth="10" defaultColWidth="8.83203125" defaultRowHeight="15" x14ac:dyDescent="0.2"/>
  <cols>
    <col min="1" max="1" width="11.5" customWidth="1"/>
    <col min="2" max="3" width="32" customWidth="1"/>
    <col min="4" max="4" width="15.1640625" customWidth="1"/>
    <col min="5" max="5" width="19.5" customWidth="1"/>
    <col min="6" max="6" width="15.33203125" customWidth="1"/>
    <col min="11" max="11" width="16.5" customWidth="1"/>
  </cols>
  <sheetData>
    <row r="1" spans="1:8" x14ac:dyDescent="0.2">
      <c r="B1" t="s">
        <v>0</v>
      </c>
      <c r="D1" t="s">
        <v>1</v>
      </c>
      <c r="E1" t="s">
        <v>2</v>
      </c>
      <c r="G1" t="s">
        <v>3</v>
      </c>
    </row>
    <row r="2" spans="1:8" x14ac:dyDescent="0.2">
      <c r="A2" t="s">
        <v>4</v>
      </c>
      <c r="B2" s="6">
        <f>SUM('Demand Breakdown - Ethylene'!C34:C40)</f>
        <v>0.88161400000000001</v>
      </c>
      <c r="C2" s="6"/>
      <c r="D2" s="43">
        <f>'Yearly Summary'!D27</f>
        <v>162.69230769230768</v>
      </c>
      <c r="E2" s="43">
        <f>'Yearly Summary'!AH27</f>
        <v>280.10459284033055</v>
      </c>
      <c r="G2" s="685">
        <f>SUM('Job + CO2 Analysis'!AH8:AH20)</f>
        <v>313.64213758025767</v>
      </c>
      <c r="H2" s="685">
        <f>SUM('Job + CO2 Analysis'!BN8:BN20)</f>
        <v>190.51640106998906</v>
      </c>
    </row>
    <row r="3" spans="1:8" x14ac:dyDescent="0.2">
      <c r="A3" t="s">
        <v>5</v>
      </c>
      <c r="B3" s="6">
        <f>SUM('Demand Breakdown - Propylene'!C25:C27)</f>
        <v>0.77200000000000013</v>
      </c>
      <c r="C3" s="6"/>
      <c r="D3" s="43">
        <f>'Yearly Summary'!D32</f>
        <v>111.92307692307692</v>
      </c>
      <c r="E3" s="43">
        <f>'Yearly Summary'!AH32</f>
        <v>162.92409925871709</v>
      </c>
      <c r="G3" s="685"/>
      <c r="H3" s="685"/>
    </row>
    <row r="4" spans="1:8" x14ac:dyDescent="0.2">
      <c r="A4" t="s">
        <v>6</v>
      </c>
      <c r="B4" s="6">
        <f>SUM('Demand Breakdown - Methanol'!B10:B11)/'Yearly Demand - Methanol'!G9</f>
        <v>0.34743674022753024</v>
      </c>
      <c r="C4" s="6"/>
      <c r="D4" s="43">
        <f>'Yearly Summary'!D37</f>
        <v>70.960266702016895</v>
      </c>
      <c r="E4" s="43">
        <f>'Yearly Summary'!AH37</f>
        <v>145.59945711418746</v>
      </c>
      <c r="G4" s="685"/>
      <c r="H4" s="685"/>
    </row>
    <row r="5" spans="1:8" x14ac:dyDescent="0.2">
      <c r="A5" t="s">
        <v>7</v>
      </c>
      <c r="B5" s="6">
        <f>SUM('Demand Breakdown - BTX'!C56:C59)</f>
        <v>0.62562881057678366</v>
      </c>
      <c r="C5" s="6"/>
      <c r="D5" s="43">
        <f>'Yearly Summary'!D42</f>
        <v>51.832300831890365</v>
      </c>
      <c r="E5" s="43">
        <f>'Yearly Summary'!AH42</f>
        <v>71.87200832466182</v>
      </c>
      <c r="G5" s="685"/>
      <c r="H5" s="685"/>
    </row>
    <row r="6" spans="1:8" x14ac:dyDescent="0.2">
      <c r="A6" t="s">
        <v>8</v>
      </c>
      <c r="B6" s="6">
        <f>'Demand Breakdown - BTX'!L12/SUM('Demand Breakdown - BTX'!M3:M4,'Demand Breakdown - BTX'!M6:M7)</f>
        <v>0.14352574102964119</v>
      </c>
      <c r="C6" s="6"/>
      <c r="D6" s="43">
        <f>'Yearly Summary'!D47</f>
        <v>14.015260831000658</v>
      </c>
      <c r="E6" s="43">
        <f>'Yearly Summary'!AH47</f>
        <v>19.433922996878252</v>
      </c>
      <c r="G6" s="685"/>
      <c r="H6" s="685"/>
    </row>
    <row r="7" spans="1:8" x14ac:dyDescent="0.2">
      <c r="A7" t="s">
        <v>9</v>
      </c>
      <c r="B7" s="6">
        <f>SUM('Demand Breakdown - BTX'!H56:H59)</f>
        <v>0.88579962645577925</v>
      </c>
      <c r="C7" s="6"/>
      <c r="D7" s="43">
        <f>'Yearly Summary'!D52</f>
        <v>50.26162504910581</v>
      </c>
      <c r="E7" s="43">
        <f>'Yearly Summary'!AH52</f>
        <v>69.694068678459942</v>
      </c>
      <c r="G7" s="685"/>
      <c r="H7" s="685"/>
    </row>
    <row r="8" spans="1:8" x14ac:dyDescent="0.2">
      <c r="A8" t="s">
        <v>10</v>
      </c>
      <c r="B8" s="6">
        <f>SUM('Demand Breakdown - C4'!G18:G20)</f>
        <v>0.92300000000000026</v>
      </c>
      <c r="C8" s="6"/>
      <c r="D8" s="43">
        <f>'Yearly Summary'!D57</f>
        <v>14.947368421052632</v>
      </c>
      <c r="E8" s="43">
        <f>'Yearly Summary'!AH57</f>
        <v>25.054959115946328</v>
      </c>
      <c r="G8" s="685"/>
      <c r="H8" s="685"/>
    </row>
    <row r="9" spans="1:8" x14ac:dyDescent="0.2">
      <c r="F9" t="s">
        <v>11</v>
      </c>
      <c r="G9" t="s">
        <v>12</v>
      </c>
    </row>
    <row r="10" spans="1:8" x14ac:dyDescent="0.2">
      <c r="B10" t="s">
        <v>13</v>
      </c>
      <c r="D10" s="44">
        <f>SUMPRODUCT(B2:B8,D2:D8)</f>
        <v>347.24811644868305</v>
      </c>
      <c r="E10" s="44">
        <f>SUMPRODUCT(B2:B8,E2:E8)</f>
        <v>555.92331044546074</v>
      </c>
      <c r="F10" s="44">
        <f>'Yearly Butadiene'!AH45+'Yearly BTX'!AH69+'Yearly Methanol'!AH71+'Yearly HC Ethylene'!AH83+'Yearly HC Propylene'!AH41</f>
        <v>32.97230291814774</v>
      </c>
      <c r="G10" s="44">
        <f>E10+F10-G2</f>
        <v>275.25347578335084</v>
      </c>
      <c r="H10" s="44">
        <f>E10+F10-H2</f>
        <v>398.37921229361945</v>
      </c>
    </row>
    <row r="11" spans="1:8" x14ac:dyDescent="0.2">
      <c r="D11">
        <f>D10/SUM(D2:D8)</f>
        <v>0.72854522155498058</v>
      </c>
      <c r="G11" s="673">
        <f>(E10-G10)/E10</f>
        <v>0.50487149825973199</v>
      </c>
      <c r="H11" s="673">
        <f>(E10-H10)/E10</f>
        <v>0.28339178298819917</v>
      </c>
    </row>
    <row r="13" spans="1:8" x14ac:dyDescent="0.2">
      <c r="B13" t="s">
        <v>14</v>
      </c>
      <c r="D13">
        <f>'Job + CO2 Analysis'!AH22+'Job + CO2 Analysis'!AH23</f>
        <v>131.50153772457642</v>
      </c>
    </row>
    <row r="14" spans="1:8" x14ac:dyDescent="0.2">
      <c r="D14">
        <f>D13/H10</f>
        <v>0.33009136437484388</v>
      </c>
    </row>
    <row r="15" spans="1:8" x14ac:dyDescent="0.2">
      <c r="D15">
        <f>D13/G10</f>
        <v>0.47774705605563333</v>
      </c>
    </row>
    <row r="18" spans="1:12" x14ac:dyDescent="0.2">
      <c r="A18" t="s">
        <v>15</v>
      </c>
      <c r="B18" t="s">
        <v>1912</v>
      </c>
    </row>
    <row r="19" spans="1:12" x14ac:dyDescent="0.2">
      <c r="B19" t="s">
        <v>1909</v>
      </c>
      <c r="E19" t="s">
        <v>16</v>
      </c>
      <c r="H19" t="s">
        <v>17</v>
      </c>
      <c r="K19" t="s">
        <v>18</v>
      </c>
    </row>
    <row r="20" spans="1:12" x14ac:dyDescent="0.2">
      <c r="A20" t="s">
        <v>19</v>
      </c>
      <c r="D20" t="str">
        <f>'Final Exhibits'!A4</f>
        <v>Butadiene</v>
      </c>
      <c r="E20" s="26">
        <f>'Final Exhibits'!K16</f>
        <v>18.43038786364864</v>
      </c>
      <c r="F20" s="2">
        <f t="shared" ref="F20:F31" si="0">E20/$E$31</f>
        <v>2.4505457263104435E-2</v>
      </c>
      <c r="G20" t="s">
        <v>20</v>
      </c>
      <c r="H20" s="26">
        <f>SUM(E20:E26)</f>
        <v>420.23959366167151</v>
      </c>
      <c r="I20" s="2">
        <f t="shared" ref="I20:I25" si="1">H20/$H$25</f>
        <v>0.51179983805612228</v>
      </c>
      <c r="J20" t="s">
        <v>14</v>
      </c>
      <c r="K20">
        <f>'Scope 3 Yearly'!BN9+'Scope 3 Yearly'!BN10</f>
        <v>128.53256987539123</v>
      </c>
      <c r="L20" s="2">
        <f t="shared" ref="L20:L27" si="2">K20/SUM($K$28)</f>
        <v>0.30585544963873834</v>
      </c>
    </row>
    <row r="21" spans="1:12" x14ac:dyDescent="0.2">
      <c r="A21" t="s">
        <v>21</v>
      </c>
      <c r="D21" t="str">
        <f>'Final Exhibits'!A5</f>
        <v>Xylene</v>
      </c>
      <c r="E21" s="26">
        <f>'Final Exhibits'!K17</f>
        <v>36.996858591015354</v>
      </c>
      <c r="F21" s="2">
        <f t="shared" si="0"/>
        <v>4.9191853355372718E-2</v>
      </c>
      <c r="G21" t="s">
        <v>22</v>
      </c>
      <c r="H21" s="26">
        <f>'Final Exhibits'!H25</f>
        <v>69.008255037137332</v>
      </c>
      <c r="I21" s="2">
        <f t="shared" si="1"/>
        <v>8.4043517758054909E-2</v>
      </c>
      <c r="J21" t="s">
        <v>23</v>
      </c>
      <c r="L21" s="2">
        <f t="shared" si="2"/>
        <v>0</v>
      </c>
    </row>
    <row r="22" spans="1:12" x14ac:dyDescent="0.2">
      <c r="A22" t="s">
        <v>24</v>
      </c>
      <c r="D22" t="str">
        <f>'Final Exhibits'!A6</f>
        <v>Toluene</v>
      </c>
      <c r="E22" s="26">
        <f>'Final Exhibits'!K18</f>
        <v>10.316431722494666</v>
      </c>
      <c r="F22" s="2">
        <f t="shared" si="0"/>
        <v>1.37169591087097E-2</v>
      </c>
      <c r="G22" t="s">
        <v>25</v>
      </c>
      <c r="H22" s="26">
        <f>E28</f>
        <v>134.31278522810328</v>
      </c>
      <c r="I22" s="2">
        <f t="shared" si="1"/>
        <v>0.16357635683407912</v>
      </c>
      <c r="J22" t="s">
        <v>26</v>
      </c>
      <c r="K22">
        <f>0.01*'Scope 3 Yearly'!BN11</f>
        <v>0.78503123143693954</v>
      </c>
      <c r="L22" s="2">
        <f t="shared" si="2"/>
        <v>1.8680563261465463E-3</v>
      </c>
    </row>
    <row r="23" spans="1:12" x14ac:dyDescent="0.2">
      <c r="A23" t="s">
        <v>27</v>
      </c>
      <c r="D23" t="str">
        <f>'Final Exhibits'!A7</f>
        <v>Benzene</v>
      </c>
      <c r="E23" s="26">
        <f>'Final Exhibits'!K19</f>
        <v>38.153010421984582</v>
      </c>
      <c r="F23" s="2">
        <f t="shared" si="0"/>
        <v>5.0729098772728111E-2</v>
      </c>
      <c r="G23" t="s">
        <v>28</v>
      </c>
      <c r="H23" s="26">
        <f>E29</f>
        <v>69.008255037137332</v>
      </c>
      <c r="I23" s="2">
        <f t="shared" si="1"/>
        <v>8.4043517758054909E-2</v>
      </c>
      <c r="J23" t="s">
        <v>29</v>
      </c>
      <c r="K23">
        <f>'Scope 3 Yearly'!BN14</f>
        <v>39.251561571846977</v>
      </c>
      <c r="L23" s="2">
        <f t="shared" si="2"/>
        <v>9.3402816307327316E-2</v>
      </c>
    </row>
    <row r="24" spans="1:12" x14ac:dyDescent="0.2">
      <c r="A24" t="s">
        <v>30</v>
      </c>
      <c r="D24" t="str">
        <f>'Final Exhibits'!A8</f>
        <v>Propylene</v>
      </c>
      <c r="E24" s="26">
        <f>'Final Exhibits'!K20</f>
        <v>94.559244376435615</v>
      </c>
      <c r="F24" s="2">
        <f t="shared" si="0"/>
        <v>0.1257280931384292</v>
      </c>
      <c r="G24" t="s">
        <v>14</v>
      </c>
      <c r="H24" s="26">
        <f>E30</f>
        <v>128.53256987539123</v>
      </c>
      <c r="I24" s="2">
        <f t="shared" si="1"/>
        <v>0.15653676959368873</v>
      </c>
      <c r="J24" t="s">
        <v>31</v>
      </c>
      <c r="K24">
        <f>0.99*'Scope 3 Yearly'!BN11</f>
        <v>77.718091912257009</v>
      </c>
      <c r="L24" s="2">
        <f t="shared" si="2"/>
        <v>0.18493757628850807</v>
      </c>
    </row>
    <row r="25" spans="1:12" ht="16" thickBot="1" x14ac:dyDescent="0.25">
      <c r="A25" s="273" t="s">
        <v>67</v>
      </c>
      <c r="B25" s="664"/>
      <c r="C25" s="26"/>
      <c r="D25" t="str">
        <f>'Final Exhibits'!A9</f>
        <v>Ethylene</v>
      </c>
      <c r="E25" s="26">
        <f>'Final Exhibits'!K21</f>
        <v>150.06279632570121</v>
      </c>
      <c r="F25" s="2">
        <f t="shared" si="0"/>
        <v>0.19952686125474817</v>
      </c>
      <c r="G25" t="s">
        <v>32</v>
      </c>
      <c r="H25" s="26">
        <f>SUM(H20:H24)</f>
        <v>821.10145883944074</v>
      </c>
      <c r="I25" s="2">
        <f t="shared" si="1"/>
        <v>1</v>
      </c>
      <c r="J25" t="s">
        <v>33</v>
      </c>
      <c r="K25">
        <f>'Scope 3 Yearly'!BN12</f>
        <v>103.03534912609831</v>
      </c>
      <c r="L25" s="2">
        <f t="shared" si="2"/>
        <v>0.24518239280673421</v>
      </c>
    </row>
    <row r="26" spans="1:12" x14ac:dyDescent="0.2">
      <c r="D26" t="str">
        <f>'Final Exhibits'!A10</f>
        <v>Methanol</v>
      </c>
      <c r="E26" s="26">
        <f>'Final Exhibits'!K22-'Final Exhibits'!E10</f>
        <v>71.720864360391488</v>
      </c>
      <c r="F26" s="2">
        <f t="shared" si="0"/>
        <v>9.5361670598534176E-2</v>
      </c>
      <c r="J26" t="s">
        <v>34</v>
      </c>
      <c r="K26">
        <f>'Scope 3 Yearly'!BN15+'Scope 3 Yearly'!BN13+'Scope 3 Yearly'!BN16</f>
        <v>24.532225982404359</v>
      </c>
      <c r="L26" s="2">
        <f t="shared" si="2"/>
        <v>5.8376760192079567E-2</v>
      </c>
    </row>
    <row r="27" spans="1:12" x14ac:dyDescent="0.2">
      <c r="A27" t="s">
        <v>1910</v>
      </c>
      <c r="D27" t="s">
        <v>35</v>
      </c>
      <c r="E27" s="26">
        <f>SUM(E20:E26)</f>
        <v>420.23959366167151</v>
      </c>
      <c r="F27" s="2">
        <f t="shared" si="0"/>
        <v>0.55875999349162642</v>
      </c>
      <c r="J27" t="s">
        <v>36</v>
      </c>
      <c r="K27" s="26">
        <f>H20-SUM(K20:K26)</f>
        <v>46.384763962236661</v>
      </c>
      <c r="L27" s="2">
        <f t="shared" si="2"/>
        <v>0.11037694844046592</v>
      </c>
    </row>
    <row r="28" spans="1:12" x14ac:dyDescent="0.2">
      <c r="A28" t="s">
        <v>1911</v>
      </c>
      <c r="D28" t="s">
        <v>37</v>
      </c>
      <c r="E28" s="26">
        <f>'Final Exhibits'!G24-'Job + CO2 Analysis'!BN5</f>
        <v>134.31278522810328</v>
      </c>
      <c r="F28" s="2">
        <f t="shared" si="0"/>
        <v>0.17858529308477702</v>
      </c>
      <c r="K28">
        <f>SUM(K20:K27)</f>
        <v>420.23959366167151</v>
      </c>
    </row>
    <row r="29" spans="1:12" x14ac:dyDescent="0.2">
      <c r="D29" t="s">
        <v>28</v>
      </c>
      <c r="E29" s="26">
        <f>'Final Exhibits'!H25-'Job + CO2 Analysis'!BN6</f>
        <v>69.008255037137332</v>
      </c>
      <c r="F29" s="2">
        <f t="shared" si="0"/>
        <v>9.1754924374076605E-2</v>
      </c>
    </row>
    <row r="30" spans="1:12" x14ac:dyDescent="0.2">
      <c r="D30" t="s">
        <v>14</v>
      </c>
      <c r="E30" s="26">
        <f>K20</f>
        <v>128.53256987539123</v>
      </c>
      <c r="F30" s="2">
        <f t="shared" si="0"/>
        <v>0.17089978904951991</v>
      </c>
    </row>
    <row r="31" spans="1:12" x14ac:dyDescent="0.2">
      <c r="E31" s="26">
        <f>SUM(E27:E30)</f>
        <v>752.09320380230338</v>
      </c>
      <c r="F31" s="2">
        <f t="shared" si="0"/>
        <v>1</v>
      </c>
    </row>
  </sheetData>
  <mergeCells count="2">
    <mergeCell ref="G2:G8"/>
    <mergeCell ref="H2:H8"/>
  </mergeCells>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494FE-E266-4088-913A-B64E7438BDB8}">
  <sheetPr>
    <tabColor theme="9"/>
  </sheetPr>
  <dimension ref="A1:DF59"/>
  <sheetViews>
    <sheetView tabSelected="1" zoomScale="110" zoomScaleNormal="110" workbookViewId="0">
      <selection activeCell="BZ26" sqref="BZ26"/>
    </sheetView>
  </sheetViews>
  <sheetFormatPr baseColWidth="10" defaultColWidth="8.83203125" defaultRowHeight="15" outlineLevelCol="1" x14ac:dyDescent="0.2"/>
  <cols>
    <col min="1" max="1" width="10.1640625" customWidth="1"/>
    <col min="2" max="2" width="29.5" customWidth="1"/>
    <col min="3" max="3" width="24.5" style="54" customWidth="1"/>
    <col min="5" max="13" width="8.6640625" hidden="1" customWidth="1" outlineLevel="1"/>
    <col min="14" max="14" width="8.6640625" collapsed="1"/>
    <col min="15" max="23" width="0" hidden="1" customWidth="1" outlineLevel="1"/>
    <col min="24" max="24" width="8.6640625" collapsed="1"/>
    <col min="25" max="33" width="0" hidden="1" customWidth="1" outlineLevel="1"/>
    <col min="34" max="34" width="8.6640625" collapsed="1"/>
    <col min="37" max="45" width="0" hidden="1" customWidth="1" outlineLevel="1"/>
    <col min="46" max="46" width="8.6640625" collapsed="1"/>
    <col min="47" max="55" width="0" hidden="1" customWidth="1" outlineLevel="1"/>
    <col min="56" max="56" width="8.6640625" collapsed="1"/>
    <col min="57" max="65" width="0" hidden="1" customWidth="1" outlineLevel="1"/>
    <col min="66" max="66" width="8.6640625" collapsed="1"/>
    <col min="68" max="68" width="8.6640625" customWidth="1"/>
    <col min="69" max="77" width="8.6640625" hidden="1" customWidth="1" outlineLevel="1"/>
    <col min="78" max="78" width="8.6640625" collapsed="1"/>
    <col min="79" max="87" width="0" hidden="1" customWidth="1" outlineLevel="1"/>
    <col min="88" max="88" width="8.6640625" collapsed="1"/>
    <col min="89" max="97" width="0" hidden="1" customWidth="1" outlineLevel="1"/>
    <col min="98" max="98" width="8.6640625" collapsed="1"/>
  </cols>
  <sheetData>
    <row r="1" spans="1:110" x14ac:dyDescent="0.2">
      <c r="A1" s="1"/>
      <c r="B1" s="1"/>
      <c r="D1" s="684" t="s">
        <v>64</v>
      </c>
      <c r="E1" s="684"/>
      <c r="F1" s="684"/>
      <c r="G1" s="684"/>
      <c r="H1" s="684"/>
      <c r="I1" s="684"/>
      <c r="J1" s="684"/>
      <c r="K1" s="684"/>
      <c r="L1" s="684"/>
      <c r="M1" s="684"/>
      <c r="N1" s="684"/>
      <c r="O1" s="684"/>
      <c r="P1" s="684"/>
      <c r="Q1" s="684"/>
      <c r="R1" s="684"/>
      <c r="S1" s="684"/>
      <c r="T1" s="684"/>
      <c r="U1" s="684"/>
      <c r="V1" s="684"/>
      <c r="W1" s="684"/>
      <c r="X1" s="684"/>
      <c r="Y1" s="684"/>
      <c r="Z1" s="684"/>
      <c r="AA1" s="684"/>
      <c r="AB1" s="684"/>
      <c r="AC1" s="684"/>
      <c r="AD1" s="684"/>
      <c r="AE1" s="684"/>
      <c r="AF1" s="684"/>
      <c r="AG1" s="684"/>
      <c r="AH1" s="684"/>
      <c r="AJ1" s="684" t="s">
        <v>65</v>
      </c>
      <c r="AK1" s="684"/>
      <c r="AL1" s="684"/>
      <c r="AM1" s="684"/>
      <c r="AN1" s="684"/>
      <c r="AO1" s="684"/>
      <c r="AP1" s="684"/>
      <c r="AQ1" s="684"/>
      <c r="AR1" s="684"/>
      <c r="AS1" s="684"/>
      <c r="AT1" s="684"/>
      <c r="AU1" s="684"/>
      <c r="AV1" s="684"/>
      <c r="AW1" s="684"/>
      <c r="AX1" s="684"/>
      <c r="AY1" s="684"/>
      <c r="AZ1" s="684"/>
      <c r="BA1" s="684"/>
      <c r="BB1" s="684"/>
      <c r="BC1" s="684"/>
      <c r="BD1" s="684"/>
      <c r="BE1" s="684"/>
      <c r="BF1" s="684"/>
      <c r="BG1" s="684"/>
      <c r="BH1" s="684"/>
      <c r="BI1" s="684"/>
      <c r="BJ1" s="684"/>
      <c r="BK1" s="684"/>
      <c r="BL1" s="684"/>
      <c r="BM1" s="684"/>
      <c r="BN1" s="684"/>
      <c r="BP1" s="684" t="s">
        <v>1885</v>
      </c>
      <c r="BQ1" s="684"/>
      <c r="BR1" s="684"/>
      <c r="BS1" s="684"/>
      <c r="BT1" s="684"/>
      <c r="BU1" s="684"/>
      <c r="BV1" s="684"/>
      <c r="BW1" s="684"/>
      <c r="BX1" s="684"/>
      <c r="BY1" s="684"/>
      <c r="BZ1" s="684"/>
      <c r="CA1" s="684"/>
      <c r="CB1" s="684"/>
      <c r="CC1" s="684"/>
      <c r="CD1" s="684"/>
      <c r="CE1" s="684"/>
      <c r="CF1" s="684"/>
      <c r="CG1" s="684"/>
      <c r="CH1" s="684"/>
      <c r="CI1" s="684"/>
      <c r="CJ1" s="684"/>
      <c r="CK1" s="684"/>
      <c r="CL1" s="684"/>
      <c r="CM1" s="684"/>
      <c r="CN1" s="684"/>
      <c r="CO1" s="684"/>
      <c r="CP1" s="684"/>
      <c r="CQ1" s="684"/>
      <c r="CR1" s="684"/>
      <c r="CS1" s="684"/>
      <c r="CT1" s="684"/>
    </row>
    <row r="2" spans="1:110" s="1" customFormat="1" x14ac:dyDescent="0.2">
      <c r="C2" s="65"/>
      <c r="D2" s="1">
        <v>2020</v>
      </c>
      <c r="E2" s="1">
        <f>D2+1</f>
        <v>2021</v>
      </c>
      <c r="F2" s="1">
        <f t="shared" ref="F2:AH2" si="0">E2+1</f>
        <v>2022</v>
      </c>
      <c r="G2" s="1">
        <f t="shared" si="0"/>
        <v>2023</v>
      </c>
      <c r="H2" s="1">
        <f t="shared" si="0"/>
        <v>2024</v>
      </c>
      <c r="I2" s="1">
        <f t="shared" si="0"/>
        <v>2025</v>
      </c>
      <c r="J2" s="1">
        <f t="shared" si="0"/>
        <v>2026</v>
      </c>
      <c r="K2" s="1">
        <f t="shared" si="0"/>
        <v>2027</v>
      </c>
      <c r="L2" s="1">
        <f t="shared" si="0"/>
        <v>2028</v>
      </c>
      <c r="M2" s="1">
        <f t="shared" si="0"/>
        <v>2029</v>
      </c>
      <c r="N2" s="1">
        <f t="shared" si="0"/>
        <v>2030</v>
      </c>
      <c r="O2" s="1">
        <f t="shared" si="0"/>
        <v>2031</v>
      </c>
      <c r="P2" s="1">
        <f t="shared" si="0"/>
        <v>2032</v>
      </c>
      <c r="Q2" s="1">
        <f t="shared" si="0"/>
        <v>2033</v>
      </c>
      <c r="R2" s="1">
        <f>Q2+1</f>
        <v>2034</v>
      </c>
      <c r="S2" s="1">
        <f t="shared" si="0"/>
        <v>2035</v>
      </c>
      <c r="T2" s="1">
        <f t="shared" si="0"/>
        <v>2036</v>
      </c>
      <c r="U2" s="1">
        <f t="shared" si="0"/>
        <v>2037</v>
      </c>
      <c r="V2" s="1">
        <f t="shared" si="0"/>
        <v>2038</v>
      </c>
      <c r="W2" s="1">
        <f t="shared" si="0"/>
        <v>2039</v>
      </c>
      <c r="X2" s="1">
        <f t="shared" si="0"/>
        <v>2040</v>
      </c>
      <c r="Y2" s="1">
        <f t="shared" si="0"/>
        <v>2041</v>
      </c>
      <c r="Z2" s="1">
        <f t="shared" si="0"/>
        <v>2042</v>
      </c>
      <c r="AA2" s="1">
        <f t="shared" si="0"/>
        <v>2043</v>
      </c>
      <c r="AB2" s="1">
        <f t="shared" si="0"/>
        <v>2044</v>
      </c>
      <c r="AC2" s="1">
        <f>AB2+1</f>
        <v>2045</v>
      </c>
      <c r="AD2" s="1">
        <f t="shared" si="0"/>
        <v>2046</v>
      </c>
      <c r="AE2" s="1">
        <f t="shared" si="0"/>
        <v>2047</v>
      </c>
      <c r="AF2" s="1">
        <f t="shared" si="0"/>
        <v>2048</v>
      </c>
      <c r="AG2" s="1">
        <f>AF2+1</f>
        <v>2049</v>
      </c>
      <c r="AH2" s="1">
        <f t="shared" si="0"/>
        <v>2050</v>
      </c>
      <c r="AJ2" s="1">
        <v>2020</v>
      </c>
      <c r="AK2" s="1">
        <f>AJ2+1</f>
        <v>2021</v>
      </c>
      <c r="AL2" s="1">
        <f t="shared" ref="AL2:AW2" si="1">AK2+1</f>
        <v>2022</v>
      </c>
      <c r="AM2" s="1">
        <f t="shared" si="1"/>
        <v>2023</v>
      </c>
      <c r="AN2" s="1">
        <f t="shared" si="1"/>
        <v>2024</v>
      </c>
      <c r="AO2" s="1">
        <f t="shared" si="1"/>
        <v>2025</v>
      </c>
      <c r="AP2" s="1">
        <f t="shared" si="1"/>
        <v>2026</v>
      </c>
      <c r="AQ2" s="1">
        <f t="shared" si="1"/>
        <v>2027</v>
      </c>
      <c r="AR2" s="1">
        <f t="shared" si="1"/>
        <v>2028</v>
      </c>
      <c r="AS2" s="1">
        <f t="shared" si="1"/>
        <v>2029</v>
      </c>
      <c r="AT2" s="1">
        <f t="shared" si="1"/>
        <v>2030</v>
      </c>
      <c r="AU2" s="1">
        <f t="shared" si="1"/>
        <v>2031</v>
      </c>
      <c r="AV2" s="1">
        <f t="shared" si="1"/>
        <v>2032</v>
      </c>
      <c r="AW2" s="1">
        <f t="shared" si="1"/>
        <v>2033</v>
      </c>
      <c r="AX2" s="1">
        <f>AW2+1</f>
        <v>2034</v>
      </c>
      <c r="AY2" s="1">
        <f t="shared" ref="AY2:BH2" si="2">AX2+1</f>
        <v>2035</v>
      </c>
      <c r="AZ2" s="1">
        <f t="shared" si="2"/>
        <v>2036</v>
      </c>
      <c r="BA2" s="1">
        <f t="shared" si="2"/>
        <v>2037</v>
      </c>
      <c r="BB2" s="1">
        <f t="shared" si="2"/>
        <v>2038</v>
      </c>
      <c r="BC2" s="1">
        <f t="shared" si="2"/>
        <v>2039</v>
      </c>
      <c r="BD2" s="1">
        <f t="shared" si="2"/>
        <v>2040</v>
      </c>
      <c r="BE2" s="1">
        <f t="shared" si="2"/>
        <v>2041</v>
      </c>
      <c r="BF2" s="1">
        <f t="shared" si="2"/>
        <v>2042</v>
      </c>
      <c r="BG2" s="1">
        <f t="shared" si="2"/>
        <v>2043</v>
      </c>
      <c r="BH2" s="1">
        <f t="shared" si="2"/>
        <v>2044</v>
      </c>
      <c r="BI2" s="1">
        <f>BH2+1</f>
        <v>2045</v>
      </c>
      <c r="BJ2" s="1">
        <f t="shared" ref="BJ2:BL2" si="3">BI2+1</f>
        <v>2046</v>
      </c>
      <c r="BK2" s="1">
        <f t="shared" si="3"/>
        <v>2047</v>
      </c>
      <c r="BL2" s="1">
        <f t="shared" si="3"/>
        <v>2048</v>
      </c>
      <c r="BM2" s="1">
        <f>BL2+1</f>
        <v>2049</v>
      </c>
      <c r="BN2" s="1">
        <f t="shared" ref="BN2" si="4">BM2+1</f>
        <v>2050</v>
      </c>
      <c r="BP2" s="1">
        <v>2020</v>
      </c>
      <c r="BQ2" s="1">
        <f>BP2+1</f>
        <v>2021</v>
      </c>
      <c r="BR2" s="1">
        <f t="shared" ref="BR2" si="5">BQ2+1</f>
        <v>2022</v>
      </c>
      <c r="BS2" s="1">
        <f t="shared" ref="BS2" si="6">BR2+1</f>
        <v>2023</v>
      </c>
      <c r="BT2" s="1">
        <f t="shared" ref="BT2" si="7">BS2+1</f>
        <v>2024</v>
      </c>
      <c r="BU2" s="1">
        <f t="shared" ref="BU2" si="8">BT2+1</f>
        <v>2025</v>
      </c>
      <c r="BV2" s="1">
        <f t="shared" ref="BV2" si="9">BU2+1</f>
        <v>2026</v>
      </c>
      <c r="BW2" s="1">
        <f t="shared" ref="BW2" si="10">BV2+1</f>
        <v>2027</v>
      </c>
      <c r="BX2" s="1">
        <f t="shared" ref="BX2" si="11">BW2+1</f>
        <v>2028</v>
      </c>
      <c r="BY2" s="1">
        <f t="shared" ref="BY2" si="12">BX2+1</f>
        <v>2029</v>
      </c>
      <c r="BZ2" s="1">
        <f t="shared" ref="BZ2" si="13">BY2+1</f>
        <v>2030</v>
      </c>
      <c r="CA2" s="1">
        <f t="shared" ref="CA2" si="14">BZ2+1</f>
        <v>2031</v>
      </c>
      <c r="CB2" s="1">
        <f t="shared" ref="CB2" si="15">CA2+1</f>
        <v>2032</v>
      </c>
      <c r="CC2" s="1">
        <f t="shared" ref="CC2" si="16">CB2+1</f>
        <v>2033</v>
      </c>
      <c r="CD2" s="1">
        <f>CC2+1</f>
        <v>2034</v>
      </c>
      <c r="CE2" s="1">
        <f t="shared" ref="CE2" si="17">CD2+1</f>
        <v>2035</v>
      </c>
      <c r="CF2" s="1">
        <f t="shared" ref="CF2" si="18">CE2+1</f>
        <v>2036</v>
      </c>
      <c r="CG2" s="1">
        <f t="shared" ref="CG2" si="19">CF2+1</f>
        <v>2037</v>
      </c>
      <c r="CH2" s="1">
        <f t="shared" ref="CH2" si="20">CG2+1</f>
        <v>2038</v>
      </c>
      <c r="CI2" s="1">
        <f t="shared" ref="CI2" si="21">CH2+1</f>
        <v>2039</v>
      </c>
      <c r="CJ2" s="1">
        <f t="shared" ref="CJ2" si="22">CI2+1</f>
        <v>2040</v>
      </c>
      <c r="CK2" s="1">
        <f t="shared" ref="CK2" si="23">CJ2+1</f>
        <v>2041</v>
      </c>
      <c r="CL2" s="1">
        <f t="shared" ref="CL2" si="24">CK2+1</f>
        <v>2042</v>
      </c>
      <c r="CM2" s="1">
        <f t="shared" ref="CM2" si="25">CL2+1</f>
        <v>2043</v>
      </c>
      <c r="CN2" s="1">
        <f t="shared" ref="CN2" si="26">CM2+1</f>
        <v>2044</v>
      </c>
      <c r="CO2" s="1">
        <f>CN2+1</f>
        <v>2045</v>
      </c>
      <c r="CP2" s="1">
        <f t="shared" ref="CP2" si="27">CO2+1</f>
        <v>2046</v>
      </c>
      <c r="CQ2" s="1">
        <f t="shared" ref="CQ2" si="28">CP2+1</f>
        <v>2047</v>
      </c>
      <c r="CR2" s="1">
        <f t="shared" ref="CR2" si="29">CQ2+1</f>
        <v>2048</v>
      </c>
      <c r="CS2" s="1">
        <f>CR2+1</f>
        <v>2049</v>
      </c>
      <c r="CT2" s="1">
        <f t="shared" ref="CT2" si="30">CS2+1</f>
        <v>2050</v>
      </c>
    </row>
    <row r="3" spans="1:110" s="52" customFormat="1" ht="16" thickBot="1" x14ac:dyDescent="0.25">
      <c r="A3" s="52" t="s">
        <v>118</v>
      </c>
      <c r="C3" s="635"/>
    </row>
    <row r="4" spans="1:110" s="554" customFormat="1" x14ac:dyDescent="0.2">
      <c r="A4" s="550" t="s">
        <v>68</v>
      </c>
      <c r="B4" s="551"/>
      <c r="C4" s="54" t="str">
        <f>'Yearly HC Ethylene'!C146</f>
        <v>m Tons</v>
      </c>
      <c r="D4" s="553">
        <f>D17+D57+D27+D32+D37+D42+D47+D52+D20+D23</f>
        <v>798.35973738949633</v>
      </c>
      <c r="E4" s="553">
        <f t="shared" ref="E4:AH5" si="31">E17+E57+E27+E32+E37+E42+E47+E52+E20+E23</f>
        <v>824.79165985346617</v>
      </c>
      <c r="F4" s="553">
        <f t="shared" si="31"/>
        <v>848.16050006716102</v>
      </c>
      <c r="G4" s="553">
        <f t="shared" si="31"/>
        <v>872.74259367094783</v>
      </c>
      <c r="H4" s="553">
        <f t="shared" si="31"/>
        <v>896.51990560570698</v>
      </c>
      <c r="I4" s="553">
        <f t="shared" si="31"/>
        <v>920.43007103631192</v>
      </c>
      <c r="J4" s="553">
        <f t="shared" si="31"/>
        <v>943.02569560423308</v>
      </c>
      <c r="K4" s="553">
        <f t="shared" si="31"/>
        <v>966.64793759773966</v>
      </c>
      <c r="L4" s="553">
        <f t="shared" si="31"/>
        <v>989.32352040316641</v>
      </c>
      <c r="M4" s="553">
        <f t="shared" si="31"/>
        <v>1014.0406166936285</v>
      </c>
      <c r="N4" s="553">
        <f t="shared" si="31"/>
        <v>1039.8044011719751</v>
      </c>
      <c r="O4" s="553">
        <f t="shared" si="31"/>
        <v>1081.9102504893046</v>
      </c>
      <c r="P4" s="553">
        <f t="shared" si="31"/>
        <v>1125.1971964642453</v>
      </c>
      <c r="Q4" s="553">
        <f t="shared" si="31"/>
        <v>1167.6511129160317</v>
      </c>
      <c r="R4" s="553">
        <f t="shared" si="31"/>
        <v>1211.2978641623247</v>
      </c>
      <c r="S4" s="553">
        <f t="shared" si="31"/>
        <v>1253.1444472175931</v>
      </c>
      <c r="T4" s="553">
        <f t="shared" si="31"/>
        <v>1329.7752547408099</v>
      </c>
      <c r="U4" s="553">
        <f t="shared" si="31"/>
        <v>1403.0592221425356</v>
      </c>
      <c r="V4" s="553">
        <f t="shared" si="31"/>
        <v>1474.0460239692131</v>
      </c>
      <c r="W4" s="553">
        <f t="shared" si="31"/>
        <v>1540.7271805254616</v>
      </c>
      <c r="X4" s="553">
        <f t="shared" si="31"/>
        <v>1606.1115984322421</v>
      </c>
      <c r="Y4" s="553">
        <f t="shared" si="31"/>
        <v>1666.0749236950996</v>
      </c>
      <c r="Z4" s="553">
        <f t="shared" si="31"/>
        <v>1724.507506728215</v>
      </c>
      <c r="AA4" s="553">
        <f t="shared" si="31"/>
        <v>1781.338890289247</v>
      </c>
      <c r="AB4" s="553">
        <f t="shared" si="31"/>
        <v>1834.6528278576109</v>
      </c>
      <c r="AC4" s="553">
        <f t="shared" si="31"/>
        <v>1886.4714923022286</v>
      </c>
      <c r="AD4" s="553">
        <f t="shared" si="31"/>
        <v>1899.3463883686545</v>
      </c>
      <c r="AE4" s="553">
        <f t="shared" si="31"/>
        <v>1912.4112479122564</v>
      </c>
      <c r="AF4" s="553">
        <f t="shared" si="31"/>
        <v>1924.7160394037337</v>
      </c>
      <c r="AG4" s="553">
        <f t="shared" si="31"/>
        <v>1938.2559244156123</v>
      </c>
      <c r="AH4" s="553">
        <f>AH17+AH57+AH27+AH32+AH37+AH42+AH47+AH52+AH20+AH23</f>
        <v>1952.1121015658448</v>
      </c>
      <c r="AI4" s="553"/>
      <c r="AJ4" s="553">
        <f>D4</f>
        <v>798.35973738949633</v>
      </c>
      <c r="AK4" s="553">
        <f t="shared" ref="AK4:BM4" si="32">E4</f>
        <v>824.79165985346617</v>
      </c>
      <c r="AL4" s="553">
        <f t="shared" si="32"/>
        <v>848.16050006716102</v>
      </c>
      <c r="AM4" s="553">
        <f t="shared" si="32"/>
        <v>872.74259367094783</v>
      </c>
      <c r="AN4" s="553">
        <f t="shared" si="32"/>
        <v>896.51990560570698</v>
      </c>
      <c r="AO4" s="553">
        <f t="shared" si="32"/>
        <v>920.43007103631192</v>
      </c>
      <c r="AP4" s="553">
        <f t="shared" si="32"/>
        <v>943.02569560423308</v>
      </c>
      <c r="AQ4" s="553">
        <f t="shared" si="32"/>
        <v>966.64793759773966</v>
      </c>
      <c r="AR4" s="553">
        <f t="shared" si="32"/>
        <v>989.32352040316641</v>
      </c>
      <c r="AS4" s="553">
        <f t="shared" si="32"/>
        <v>1014.0406166936285</v>
      </c>
      <c r="AT4" s="553">
        <f t="shared" si="32"/>
        <v>1039.8044011719751</v>
      </c>
      <c r="AU4" s="553">
        <f t="shared" si="32"/>
        <v>1081.9102504893046</v>
      </c>
      <c r="AV4" s="553">
        <f t="shared" si="32"/>
        <v>1125.1971964642453</v>
      </c>
      <c r="AW4" s="553">
        <f t="shared" si="32"/>
        <v>1167.6511129160317</v>
      </c>
      <c r="AX4" s="553">
        <f t="shared" si="32"/>
        <v>1211.2978641623247</v>
      </c>
      <c r="AY4" s="553">
        <f t="shared" si="32"/>
        <v>1253.1444472175931</v>
      </c>
      <c r="AZ4" s="553">
        <f t="shared" si="32"/>
        <v>1329.7752547408099</v>
      </c>
      <c r="BA4" s="553">
        <f t="shared" si="32"/>
        <v>1403.0592221425356</v>
      </c>
      <c r="BB4" s="553">
        <f t="shared" si="32"/>
        <v>1474.0460239692131</v>
      </c>
      <c r="BC4" s="553">
        <f t="shared" si="32"/>
        <v>1540.7271805254616</v>
      </c>
      <c r="BD4" s="553">
        <f t="shared" si="32"/>
        <v>1606.1115984322421</v>
      </c>
      <c r="BE4" s="553">
        <f t="shared" si="32"/>
        <v>1666.0749236950996</v>
      </c>
      <c r="BF4" s="553">
        <f t="shared" si="32"/>
        <v>1724.507506728215</v>
      </c>
      <c r="BG4" s="553">
        <f t="shared" si="32"/>
        <v>1781.338890289247</v>
      </c>
      <c r="BH4" s="553">
        <f t="shared" si="32"/>
        <v>1834.6528278576109</v>
      </c>
      <c r="BI4" s="553">
        <f t="shared" si="32"/>
        <v>1886.4714923022286</v>
      </c>
      <c r="BJ4" s="553">
        <f t="shared" si="32"/>
        <v>1899.3463883686545</v>
      </c>
      <c r="BK4" s="553">
        <f t="shared" si="32"/>
        <v>1912.4112479122564</v>
      </c>
      <c r="BL4" s="553">
        <f t="shared" si="32"/>
        <v>1924.7160394037337</v>
      </c>
      <c r="BM4" s="553">
        <f t="shared" si="32"/>
        <v>1938.2559244156123</v>
      </c>
      <c r="BN4" s="553">
        <f>AH4</f>
        <v>1952.1121015658448</v>
      </c>
      <c r="BO4" s="553"/>
      <c r="BP4" s="553">
        <f>AJ4</f>
        <v>798.35973738949633</v>
      </c>
      <c r="BQ4" s="553">
        <f t="shared" ref="BQ4" si="33">AK4</f>
        <v>824.79165985346617</v>
      </c>
      <c r="BR4" s="553">
        <f t="shared" ref="BR4" si="34">AL4</f>
        <v>848.16050006716102</v>
      </c>
      <c r="BS4" s="553">
        <f t="shared" ref="BS4" si="35">AM4</f>
        <v>872.74259367094783</v>
      </c>
      <c r="BT4" s="553">
        <f t="shared" ref="BT4" si="36">AN4</f>
        <v>896.51990560570698</v>
      </c>
      <c r="BU4" s="553">
        <f t="shared" ref="BU4" si="37">AO4</f>
        <v>920.43007103631192</v>
      </c>
      <c r="BV4" s="553">
        <f t="shared" ref="BV4" si="38">AP4</f>
        <v>943.02569560423308</v>
      </c>
      <c r="BW4" s="553">
        <f t="shared" ref="BW4" si="39">AQ4</f>
        <v>966.64793759773966</v>
      </c>
      <c r="BX4" s="553">
        <f t="shared" ref="BX4" si="40">AR4</f>
        <v>989.32352040316641</v>
      </c>
      <c r="BY4" s="553">
        <f t="shared" ref="BY4" si="41">AS4</f>
        <v>1014.0406166936285</v>
      </c>
      <c r="BZ4" s="553">
        <f t="shared" ref="BZ4" si="42">AT4</f>
        <v>1039.8044011719751</v>
      </c>
      <c r="CA4" s="553">
        <f t="shared" ref="CA4" si="43">AU4</f>
        <v>1081.9102504893046</v>
      </c>
      <c r="CB4" s="553">
        <f t="shared" ref="CB4" si="44">AV4</f>
        <v>1125.1971964642453</v>
      </c>
      <c r="CC4" s="553">
        <f t="shared" ref="CC4" si="45">AW4</f>
        <v>1167.6511129160317</v>
      </c>
      <c r="CD4" s="553">
        <f t="shared" ref="CD4" si="46">AX4</f>
        <v>1211.2978641623247</v>
      </c>
      <c r="CE4" s="553">
        <f t="shared" ref="CE4" si="47">AY4</f>
        <v>1253.1444472175931</v>
      </c>
      <c r="CF4" s="553">
        <f t="shared" ref="CF4" si="48">AZ4</f>
        <v>1329.7752547408099</v>
      </c>
      <c r="CG4" s="553">
        <f t="shared" ref="CG4" si="49">BA4</f>
        <v>1403.0592221425356</v>
      </c>
      <c r="CH4" s="553">
        <f t="shared" ref="CH4" si="50">BB4</f>
        <v>1474.0460239692131</v>
      </c>
      <c r="CI4" s="553">
        <f t="shared" ref="CI4" si="51">BC4</f>
        <v>1540.7271805254616</v>
      </c>
      <c r="CJ4" s="553">
        <f t="shared" ref="CJ4" si="52">BD4</f>
        <v>1606.1115984322421</v>
      </c>
      <c r="CK4" s="553">
        <f t="shared" ref="CK4" si="53">BE4</f>
        <v>1666.0749236950996</v>
      </c>
      <c r="CL4" s="553">
        <f t="shared" ref="CL4" si="54">BF4</f>
        <v>1724.507506728215</v>
      </c>
      <c r="CM4" s="553">
        <f t="shared" ref="CM4" si="55">BG4</f>
        <v>1781.338890289247</v>
      </c>
      <c r="CN4" s="553">
        <f t="shared" ref="CN4" si="56">BH4</f>
        <v>1834.6528278576109</v>
      </c>
      <c r="CO4" s="553">
        <f t="shared" ref="CO4" si="57">BI4</f>
        <v>1886.4714923022286</v>
      </c>
      <c r="CP4" s="553">
        <f t="shared" ref="CP4" si="58">BJ4</f>
        <v>1899.3463883686545</v>
      </c>
      <c r="CQ4" s="553">
        <f t="shared" ref="CQ4" si="59">BK4</f>
        <v>1912.4112479122564</v>
      </c>
      <c r="CR4" s="553">
        <f t="shared" ref="CR4" si="60">BL4</f>
        <v>1924.7160394037337</v>
      </c>
      <c r="CS4" s="553">
        <f t="shared" ref="CS4" si="61">BM4</f>
        <v>1938.2559244156123</v>
      </c>
      <c r="CT4" s="553">
        <f t="shared" ref="CT4" si="62">BN4</f>
        <v>1952.1121015658448</v>
      </c>
      <c r="CW4" s="553">
        <f>AH4-AH10</f>
        <v>688.01367877746907</v>
      </c>
      <c r="CX4" s="655">
        <f>(BN4/AJ4)^(1/30)-1</f>
        <v>3.0252169114567184E-2</v>
      </c>
    </row>
    <row r="5" spans="1:110" x14ac:dyDescent="0.2">
      <c r="A5" s="1" t="s">
        <v>1886</v>
      </c>
      <c r="C5" s="54" t="str">
        <f>'Yearly HC Ethylene'!C147</f>
        <v>m Tons</v>
      </c>
      <c r="D5" s="44">
        <f>D18+D58+D28+D33+D38+D43+D48+D53+D21+D24</f>
        <v>777.40814525568919</v>
      </c>
      <c r="E5" s="44">
        <f t="shared" si="31"/>
        <v>793.8188402904525</v>
      </c>
      <c r="F5" s="44">
        <f t="shared" si="31"/>
        <v>807.00866749583565</v>
      </c>
      <c r="G5" s="44">
        <f t="shared" si="31"/>
        <v>821.13580540205908</v>
      </c>
      <c r="H5" s="44">
        <f t="shared" si="31"/>
        <v>834.14032793809804</v>
      </c>
      <c r="I5" s="44">
        <f t="shared" si="31"/>
        <v>847.01402197718039</v>
      </c>
      <c r="J5" s="44">
        <f t="shared" si="31"/>
        <v>863.63431420047425</v>
      </c>
      <c r="K5" s="44">
        <f t="shared" si="31"/>
        <v>881.07908646586975</v>
      </c>
      <c r="L5" s="44">
        <f t="shared" si="31"/>
        <v>897.32360862775738</v>
      </c>
      <c r="M5" s="44">
        <f t="shared" si="31"/>
        <v>915.3612913591561</v>
      </c>
      <c r="N5" s="44">
        <f t="shared" si="31"/>
        <v>934.19943733726222</v>
      </c>
      <c r="O5" s="44">
        <f t="shared" si="31"/>
        <v>964.01215379648897</v>
      </c>
      <c r="P5" s="44">
        <f t="shared" si="31"/>
        <v>995.08486918531264</v>
      </c>
      <c r="Q5" s="44">
        <f t="shared" si="31"/>
        <v>1024.7666087148698</v>
      </c>
      <c r="R5" s="44">
        <f t="shared" si="31"/>
        <v>1055.4301814174771</v>
      </c>
      <c r="S5" s="44">
        <f t="shared" si="31"/>
        <v>1084.055059851878</v>
      </c>
      <c r="T5" s="44">
        <f t="shared" si="31"/>
        <v>1147.2715315714186</v>
      </c>
      <c r="U5" s="44">
        <f t="shared" si="31"/>
        <v>1206.8200256062885</v>
      </c>
      <c r="V5" s="44">
        <f t="shared" si="31"/>
        <v>1263.8341336393389</v>
      </c>
      <c r="W5" s="44">
        <f t="shared" si="31"/>
        <v>1316.3333093219796</v>
      </c>
      <c r="X5" s="44">
        <f t="shared" si="31"/>
        <v>1367.5575596536753</v>
      </c>
      <c r="Y5" s="44">
        <f t="shared" si="31"/>
        <v>1409.8713450074777</v>
      </c>
      <c r="Z5" s="44">
        <f t="shared" si="31"/>
        <v>1451.6776738502836</v>
      </c>
      <c r="AA5" s="44">
        <f t="shared" si="31"/>
        <v>1491.9487936824135</v>
      </c>
      <c r="AB5" s="44">
        <f t="shared" si="31"/>
        <v>1528.5680674559078</v>
      </c>
      <c r="AC5" s="44">
        <f t="shared" si="31"/>
        <v>1563.5445497909559</v>
      </c>
      <c r="AD5" s="44">
        <f t="shared" si="31"/>
        <v>1559.3776071687194</v>
      </c>
      <c r="AE5" s="44">
        <f t="shared" si="31"/>
        <v>1555.2506356263671</v>
      </c>
      <c r="AF5" s="44">
        <f t="shared" si="31"/>
        <v>1551.0428322449302</v>
      </c>
      <c r="AG5" s="44">
        <f t="shared" si="31"/>
        <v>1548.0781109730403</v>
      </c>
      <c r="AH5" s="44">
        <f t="shared" si="31"/>
        <v>1542.3664580824934</v>
      </c>
      <c r="AI5" s="44"/>
      <c r="AJ5" s="44">
        <f>AJ18+AJ58+AJ28+AJ33+AJ38+AJ43+AJ48+AJ53+AJ21+AJ24</f>
        <v>777.40820978443435</v>
      </c>
      <c r="AK5" s="44">
        <f t="shared" ref="AK5:BN5" si="63">AK18+AK58+AK28+AK33+AK38+AK43+AK48+AK53+AK21+AK24</f>
        <v>796.65850125573184</v>
      </c>
      <c r="AL5" s="44">
        <f t="shared" si="63"/>
        <v>812.92508696576454</v>
      </c>
      <c r="AM5" s="44">
        <f t="shared" si="63"/>
        <v>830.22142276436773</v>
      </c>
      <c r="AN5" s="44">
        <f t="shared" si="63"/>
        <v>846.52508817624357</v>
      </c>
      <c r="AO5" s="44">
        <f t="shared" si="63"/>
        <v>862.83102681406842</v>
      </c>
      <c r="AP5" s="44">
        <f t="shared" si="63"/>
        <v>881.08755247225349</v>
      </c>
      <c r="AQ5" s="44">
        <f t="shared" si="63"/>
        <v>900.25086723453035</v>
      </c>
      <c r="AR5" s="44">
        <f t="shared" si="63"/>
        <v>918.30279802826021</v>
      </c>
      <c r="AS5" s="44">
        <f t="shared" si="63"/>
        <v>938.24304491826217</v>
      </c>
      <c r="AT5" s="44">
        <f t="shared" si="63"/>
        <v>959.08816685626857</v>
      </c>
      <c r="AU5" s="44">
        <f t="shared" si="63"/>
        <v>991.50150657843596</v>
      </c>
      <c r="AV5" s="44">
        <f t="shared" si="63"/>
        <v>1025.2233994311907</v>
      </c>
      <c r="AW5" s="44">
        <f t="shared" si="63"/>
        <v>1057.7228086342643</v>
      </c>
      <c r="AX5" s="44">
        <f t="shared" si="63"/>
        <v>1091.3201839401754</v>
      </c>
      <c r="AY5" s="44">
        <f t="shared" si="63"/>
        <v>1122.9916465713143</v>
      </c>
      <c r="AZ5" s="44">
        <f t="shared" si="63"/>
        <v>1189.3224069270784</v>
      </c>
      <c r="BA5" s="44">
        <f t="shared" si="63"/>
        <v>1252.1170610655231</v>
      </c>
      <c r="BB5" s="44">
        <f t="shared" si="63"/>
        <v>1312.4556833508468</v>
      </c>
      <c r="BC5" s="44">
        <f t="shared" si="63"/>
        <v>1368.3337687897429</v>
      </c>
      <c r="BD5" s="44">
        <f t="shared" si="63"/>
        <v>1422.985905962644</v>
      </c>
      <c r="BE5" s="44">
        <f t="shared" si="63"/>
        <v>1469.6042103664777</v>
      </c>
      <c r="BF5" s="44">
        <f t="shared" si="63"/>
        <v>1515.5836233301379</v>
      </c>
      <c r="BG5" s="44">
        <f t="shared" si="63"/>
        <v>1560.0115135838655</v>
      </c>
      <c r="BH5" s="44">
        <f t="shared" si="63"/>
        <v>1600.8703627013235</v>
      </c>
      <c r="BI5" s="44">
        <f t="shared" si="63"/>
        <v>1640.1825562775377</v>
      </c>
      <c r="BJ5" s="44">
        <f t="shared" si="63"/>
        <v>1640.4138687157795</v>
      </c>
      <c r="BK5" s="44">
        <f t="shared" si="63"/>
        <v>1640.7364109199284</v>
      </c>
      <c r="BL5" s="44">
        <f t="shared" si="63"/>
        <v>1640.1871901297022</v>
      </c>
      <c r="BM5" s="44">
        <f t="shared" si="63"/>
        <v>1640.7638555682106</v>
      </c>
      <c r="BN5" s="44">
        <f t="shared" si="63"/>
        <v>1642.2027215674968</v>
      </c>
      <c r="BO5" s="44"/>
      <c r="BP5" s="44">
        <f>BP18+BP58+BP28+BP33+BP38+BP43+BP48+BP53+BP21+BP24</f>
        <v>783.41236896844362</v>
      </c>
      <c r="BQ5" s="44">
        <f t="shared" ref="BQ5:CT5" si="64">BQ18+BQ58+BQ28+BQ33+BQ38+BQ43+BQ48+BQ53+BQ21+BQ24</f>
        <v>809.46025282235269</v>
      </c>
      <c r="BR5" s="44">
        <f t="shared" si="64"/>
        <v>832.43518742800677</v>
      </c>
      <c r="BS5" s="44">
        <f t="shared" si="64"/>
        <v>856.6132549157179</v>
      </c>
      <c r="BT5" s="44">
        <f t="shared" si="64"/>
        <v>879.97616020294754</v>
      </c>
      <c r="BU5" s="44">
        <f t="shared" si="64"/>
        <v>903.46127175044046</v>
      </c>
      <c r="BV5" s="44">
        <f t="shared" si="64"/>
        <v>925.64402798037759</v>
      </c>
      <c r="BW5" s="44">
        <f t="shared" si="64"/>
        <v>948.84335612462735</v>
      </c>
      <c r="BX5" s="44">
        <f t="shared" si="64"/>
        <v>971.08573515190415</v>
      </c>
      <c r="BY5" s="44">
        <f t="shared" si="64"/>
        <v>995.35908737077068</v>
      </c>
      <c r="BZ5" s="44">
        <f t="shared" si="64"/>
        <v>1035.615699448949</v>
      </c>
      <c r="CA5" s="44">
        <f t="shared" si="64"/>
        <v>1077.6957387710456</v>
      </c>
      <c r="CB5" s="44">
        <f t="shared" si="64"/>
        <v>1120.9579637771851</v>
      </c>
      <c r="CC5" s="44">
        <f t="shared" si="64"/>
        <v>1163.3883137936159</v>
      </c>
      <c r="CD5" s="44">
        <f t="shared" si="64"/>
        <v>1207.0127211318027</v>
      </c>
      <c r="CE5" s="44">
        <f t="shared" si="64"/>
        <v>1248.8382533679148</v>
      </c>
      <c r="CF5" s="44">
        <f t="shared" si="64"/>
        <v>1325.6314247366633</v>
      </c>
      <c r="CG5" s="44">
        <f t="shared" si="64"/>
        <v>1399.084851905488</v>
      </c>
      <c r="CH5" s="44">
        <f t="shared" si="64"/>
        <v>1470.2484191082185</v>
      </c>
      <c r="CI5" s="44">
        <f t="shared" si="64"/>
        <v>1537.1138618748591</v>
      </c>
      <c r="CJ5" s="44">
        <f t="shared" si="64"/>
        <v>1602.6903077296338</v>
      </c>
      <c r="CK5" s="44">
        <f t="shared" si="64"/>
        <v>1662.818219327678</v>
      </c>
      <c r="CL5" s="44">
        <f t="shared" si="64"/>
        <v>1721.4214999734254</v>
      </c>
      <c r="CM5" s="44">
        <f t="shared" si="64"/>
        <v>1778.4298514330744</v>
      </c>
      <c r="CN5" s="44">
        <f t="shared" si="64"/>
        <v>1831.9271899059004</v>
      </c>
      <c r="CO5" s="44">
        <f t="shared" si="64"/>
        <v>1883.9358547748193</v>
      </c>
      <c r="CP5" s="44">
        <f t="shared" si="64"/>
        <v>1896.8174344889958</v>
      </c>
      <c r="CQ5" s="44">
        <f t="shared" si="64"/>
        <v>1909.8894305447404</v>
      </c>
      <c r="CR5" s="44">
        <f t="shared" si="64"/>
        <v>1922.2018205765198</v>
      </c>
      <c r="CS5" s="44">
        <f t="shared" si="64"/>
        <v>1935.7497754677606</v>
      </c>
      <c r="CT5" s="44">
        <f t="shared" si="64"/>
        <v>1949.6145032965853</v>
      </c>
      <c r="CW5">
        <f>70/CW4</f>
        <v>0.10174216321452059</v>
      </c>
    </row>
    <row r="6" spans="1:110" x14ac:dyDescent="0.2">
      <c r="A6" s="1" t="s">
        <v>119</v>
      </c>
      <c r="C6" s="54" t="str">
        <f>'Yearly HC Ethylene'!C154</f>
        <v>m Tons</v>
      </c>
      <c r="D6" s="44">
        <f t="shared" ref="D6:AG6" si="65">D29+D34+D39+D44+D49+D54+D59</f>
        <v>36.64098725377027</v>
      </c>
      <c r="E6" s="44">
        <f t="shared" si="65"/>
        <v>39.229532812393643</v>
      </c>
      <c r="F6" s="44">
        <f t="shared" si="65"/>
        <v>41.383732172250639</v>
      </c>
      <c r="G6" s="44">
        <f t="shared" si="65"/>
        <v>43.516153878195752</v>
      </c>
      <c r="H6" s="44">
        <f t="shared" si="65"/>
        <v>45.611148481937732</v>
      </c>
      <c r="I6" s="44">
        <f t="shared" si="65"/>
        <v>47.65316985213861</v>
      </c>
      <c r="J6" s="44">
        <f t="shared" si="65"/>
        <v>49.44231928620912</v>
      </c>
      <c r="K6" s="44">
        <f t="shared" si="65"/>
        <v>51.235741848538019</v>
      </c>
      <c r="L6" s="44">
        <f t="shared" si="65"/>
        <v>53.025570605731488</v>
      </c>
      <c r="M6" s="44">
        <f t="shared" si="65"/>
        <v>54.799663698955037</v>
      </c>
      <c r="N6" s="44">
        <f t="shared" si="65"/>
        <v>56.538492865815364</v>
      </c>
      <c r="O6" s="44">
        <f t="shared" si="65"/>
        <v>56.019738413716858</v>
      </c>
      <c r="P6" s="44">
        <f t="shared" si="65"/>
        <v>55.357822773802901</v>
      </c>
      <c r="Q6" s="44">
        <f t="shared" si="65"/>
        <v>54.420116931337681</v>
      </c>
      <c r="R6" s="44">
        <f t="shared" si="65"/>
        <v>53.266268426330733</v>
      </c>
      <c r="S6" s="44">
        <f t="shared" si="65"/>
        <v>51.902773395950646</v>
      </c>
      <c r="T6" s="44">
        <f t="shared" si="65"/>
        <v>50.634766142612264</v>
      </c>
      <c r="U6" s="44">
        <f t="shared" si="65"/>
        <v>49.986500955263246</v>
      </c>
      <c r="V6" s="44">
        <f t="shared" si="65"/>
        <v>49.233671658785738</v>
      </c>
      <c r="W6" s="44">
        <f t="shared" si="65"/>
        <v>48.433147955969943</v>
      </c>
      <c r="X6" s="44">
        <f t="shared" si="65"/>
        <v>47.62571108494933</v>
      </c>
      <c r="Y6" s="44">
        <f t="shared" si="65"/>
        <v>45.942581922300775</v>
      </c>
      <c r="Z6" s="44">
        <f t="shared" si="65"/>
        <v>44.481721730452634</v>
      </c>
      <c r="AA6" s="44">
        <f t="shared" si="65"/>
        <v>42.958049811538352</v>
      </c>
      <c r="AB6" s="44">
        <f t="shared" si="65"/>
        <v>41.777487859967856</v>
      </c>
      <c r="AC6" s="44">
        <f t="shared" si="65"/>
        <v>40.627255485199292</v>
      </c>
      <c r="AD6" s="44">
        <f t="shared" si="65"/>
        <v>39.303234642762341</v>
      </c>
      <c r="AE6" s="44">
        <f t="shared" si="65"/>
        <v>37.794187650995923</v>
      </c>
      <c r="AF6" s="44">
        <f t="shared" si="65"/>
        <v>36.077737573348571</v>
      </c>
      <c r="AG6" s="44">
        <f t="shared" si="65"/>
        <v>34.160430981213416</v>
      </c>
      <c r="AH6" s="44">
        <f>AH29+AH34+AH39+AH44+AH49+AH54+AH59</f>
        <v>33.023038055664792</v>
      </c>
      <c r="AI6" s="44"/>
      <c r="AJ6" s="44">
        <f t="shared" ref="AJ6:BM6" si="66">AJ29+AJ34+AJ39+AJ44+AJ49+AJ54+AJ59</f>
        <v>36.641051484585837</v>
      </c>
      <c r="AK6" s="44">
        <f t="shared" si="66"/>
        <v>38.980502411880977</v>
      </c>
      <c r="AL6" s="44">
        <f t="shared" si="66"/>
        <v>41.232129547135074</v>
      </c>
      <c r="AM6" s="44">
        <f t="shared" si="66"/>
        <v>43.473717982520547</v>
      </c>
      <c r="AN6" s="44">
        <f t="shared" si="66"/>
        <v>45.69225818320794</v>
      </c>
      <c r="AO6" s="44">
        <f t="shared" si="66"/>
        <v>47.872462355065387</v>
      </c>
      <c r="AP6" s="44">
        <f t="shared" si="66"/>
        <v>50.012137393031203</v>
      </c>
      <c r="AQ6" s="44">
        <f t="shared" si="66"/>
        <v>52.195610847996569</v>
      </c>
      <c r="AR6" s="44">
        <f t="shared" si="66"/>
        <v>54.418677511869078</v>
      </c>
      <c r="AS6" s="44">
        <f t="shared" si="66"/>
        <v>56.674532024012649</v>
      </c>
      <c r="AT6" s="44">
        <f t="shared" si="66"/>
        <v>58.951869852430818</v>
      </c>
      <c r="AU6" s="44">
        <f t="shared" si="66"/>
        <v>59.165921595417117</v>
      </c>
      <c r="AV6" s="44">
        <f t="shared" si="66"/>
        <v>59.297175829085333</v>
      </c>
      <c r="AW6" s="44">
        <f t="shared" si="66"/>
        <v>59.279873684417488</v>
      </c>
      <c r="AX6" s="44">
        <f t="shared" si="66"/>
        <v>59.134618023976614</v>
      </c>
      <c r="AY6" s="44">
        <f t="shared" si="66"/>
        <v>58.859146494190369</v>
      </c>
      <c r="AZ6" s="44">
        <f t="shared" si="66"/>
        <v>58.577806939574309</v>
      </c>
      <c r="BA6" s="44">
        <f t="shared" si="66"/>
        <v>58.308238253987916</v>
      </c>
      <c r="BB6" s="44">
        <f t="shared" si="66"/>
        <v>58.084131212547526</v>
      </c>
      <c r="BC6" s="44">
        <f t="shared" si="66"/>
        <v>57.937025852339218</v>
      </c>
      <c r="BD6" s="44">
        <f t="shared" si="66"/>
        <v>57.889150616183663</v>
      </c>
      <c r="BE6" s="44">
        <f t="shared" si="66"/>
        <v>55.813765244658846</v>
      </c>
      <c r="BF6" s="44">
        <f t="shared" si="66"/>
        <v>53.913633407675384</v>
      </c>
      <c r="BG6" s="44">
        <f t="shared" si="66"/>
        <v>52.607926033674858</v>
      </c>
      <c r="BH6" s="44">
        <f t="shared" si="66"/>
        <v>51.77109698621463</v>
      </c>
      <c r="BI6" s="44">
        <f t="shared" si="66"/>
        <v>50.879235418695899</v>
      </c>
      <c r="BJ6" s="44">
        <f t="shared" si="66"/>
        <v>49.921587698871129</v>
      </c>
      <c r="BK6" s="44">
        <f t="shared" si="66"/>
        <v>48.87838237062234</v>
      </c>
      <c r="BL6" s="44">
        <f t="shared" si="66"/>
        <v>47.734387847663726</v>
      </c>
      <c r="BM6" s="44">
        <f t="shared" si="66"/>
        <v>46.55820192647392</v>
      </c>
      <c r="BN6" s="44">
        <f>BN29+BN34+BN39+BN44+BN49+BN54+BN59</f>
        <v>45.290239983525623</v>
      </c>
      <c r="BO6" s="44"/>
      <c r="BP6" s="44">
        <f t="shared" ref="BP6:CS6" si="67">BP29+BP34+BP39+BP44+BP49+BP54+BP59</f>
        <v>0</v>
      </c>
      <c r="BQ6" s="44">
        <f t="shared" si="67"/>
        <v>0</v>
      </c>
      <c r="BR6" s="44">
        <f t="shared" si="67"/>
        <v>0</v>
      </c>
      <c r="BS6" s="44">
        <f t="shared" si="67"/>
        <v>0</v>
      </c>
      <c r="BT6" s="44">
        <f t="shared" si="67"/>
        <v>0</v>
      </c>
      <c r="BU6" s="44">
        <f t="shared" si="67"/>
        <v>0</v>
      </c>
      <c r="BV6" s="44">
        <f t="shared" si="67"/>
        <v>0</v>
      </c>
      <c r="BW6" s="44">
        <f t="shared" si="67"/>
        <v>0</v>
      </c>
      <c r="BX6" s="44">
        <f t="shared" si="67"/>
        <v>0</v>
      </c>
      <c r="BY6" s="44">
        <f t="shared" si="67"/>
        <v>0</v>
      </c>
      <c r="BZ6" s="44">
        <f t="shared" si="67"/>
        <v>0</v>
      </c>
      <c r="CA6" s="44">
        <f t="shared" si="67"/>
        <v>0</v>
      </c>
      <c r="CB6" s="44">
        <f t="shared" si="67"/>
        <v>0</v>
      </c>
      <c r="CC6" s="44">
        <f t="shared" si="67"/>
        <v>0</v>
      </c>
      <c r="CD6" s="44">
        <f t="shared" si="67"/>
        <v>0</v>
      </c>
      <c r="CE6" s="44">
        <f t="shared" si="67"/>
        <v>0</v>
      </c>
      <c r="CF6" s="44">
        <f t="shared" si="67"/>
        <v>0</v>
      </c>
      <c r="CG6" s="44">
        <f t="shared" si="67"/>
        <v>0</v>
      </c>
      <c r="CH6" s="44">
        <f t="shared" si="67"/>
        <v>0</v>
      </c>
      <c r="CI6" s="44">
        <f t="shared" si="67"/>
        <v>0</v>
      </c>
      <c r="CJ6" s="44">
        <f t="shared" si="67"/>
        <v>0</v>
      </c>
      <c r="CK6" s="44">
        <f t="shared" si="67"/>
        <v>0</v>
      </c>
      <c r="CL6" s="44">
        <f t="shared" si="67"/>
        <v>0</v>
      </c>
      <c r="CM6" s="44">
        <f t="shared" si="67"/>
        <v>0</v>
      </c>
      <c r="CN6" s="44">
        <f t="shared" si="67"/>
        <v>0</v>
      </c>
      <c r="CO6" s="44">
        <f t="shared" si="67"/>
        <v>0</v>
      </c>
      <c r="CP6" s="44">
        <f t="shared" si="67"/>
        <v>0</v>
      </c>
      <c r="CQ6" s="44">
        <f t="shared" si="67"/>
        <v>0</v>
      </c>
      <c r="CR6" s="44">
        <f t="shared" si="67"/>
        <v>0</v>
      </c>
      <c r="CS6" s="44">
        <f t="shared" si="67"/>
        <v>0</v>
      </c>
      <c r="CT6" s="44">
        <f>CT29+CT34+CT39+CT44+CT49+CT54+CT59</f>
        <v>0</v>
      </c>
    </row>
    <row r="7" spans="1:110" x14ac:dyDescent="0.2">
      <c r="D7" s="44"/>
      <c r="E7" s="44"/>
      <c r="F7" s="44"/>
      <c r="G7" s="44"/>
      <c r="H7" s="44"/>
      <c r="I7" s="44"/>
      <c r="J7" s="44"/>
      <c r="K7" s="44"/>
      <c r="L7" s="44"/>
      <c r="M7" s="44"/>
      <c r="N7" s="44"/>
      <c r="O7" s="44"/>
      <c r="P7" s="44"/>
      <c r="Q7" s="44"/>
      <c r="R7" s="44"/>
      <c r="S7" s="44"/>
      <c r="T7" s="44"/>
      <c r="U7" s="44"/>
      <c r="V7" s="44"/>
      <c r="W7" s="44"/>
      <c r="X7" s="44"/>
      <c r="Y7" s="44"/>
      <c r="Z7" s="44"/>
      <c r="AA7" s="44"/>
      <c r="AB7" s="44"/>
      <c r="AC7" s="44"/>
      <c r="AD7" s="44"/>
      <c r="AE7" s="44"/>
      <c r="AF7" s="44"/>
      <c r="AG7" s="44"/>
      <c r="AH7" s="44"/>
      <c r="AI7" s="44"/>
      <c r="AJ7" s="44"/>
      <c r="AK7" s="44"/>
      <c r="AL7" s="44"/>
      <c r="AM7" s="44"/>
      <c r="AN7" s="44"/>
      <c r="AO7" s="44"/>
      <c r="AP7" s="44"/>
      <c r="AQ7" s="44"/>
      <c r="AR7" s="44"/>
      <c r="AS7" s="44"/>
      <c r="AT7" s="44"/>
      <c r="AU7" s="44"/>
      <c r="AV7" s="44"/>
      <c r="AW7" s="44"/>
      <c r="AX7" s="44"/>
      <c r="AY7" s="44"/>
      <c r="AZ7" s="44"/>
      <c r="BA7" s="44"/>
      <c r="BB7" s="44"/>
      <c r="BC7" s="44"/>
      <c r="BD7" s="44"/>
      <c r="BE7" s="44"/>
      <c r="BF7" s="44"/>
      <c r="BG7" s="44"/>
      <c r="BH7" s="44"/>
      <c r="BI7" s="44"/>
      <c r="BJ7" s="44"/>
      <c r="BK7" s="44"/>
      <c r="BL7" s="44"/>
      <c r="BM7" s="44"/>
      <c r="BN7" s="44"/>
      <c r="BO7" s="44"/>
      <c r="BP7" s="44"/>
      <c r="BQ7" s="44"/>
      <c r="BR7" s="44"/>
      <c r="BS7" s="44"/>
      <c r="BT7" s="44"/>
      <c r="BU7" s="44"/>
      <c r="BV7" s="44"/>
      <c r="BW7" s="44"/>
      <c r="BX7" s="44"/>
      <c r="BY7" s="44"/>
      <c r="BZ7" s="44"/>
      <c r="CA7" s="44"/>
      <c r="CB7" s="44"/>
      <c r="CC7" s="44"/>
      <c r="CD7" s="44"/>
      <c r="CE7" s="44"/>
      <c r="CF7" s="44"/>
      <c r="CG7" s="44"/>
      <c r="CH7" s="44"/>
      <c r="CI7" s="44"/>
      <c r="CJ7" s="44"/>
      <c r="CK7" s="44"/>
      <c r="CL7" s="44"/>
      <c r="CM7" s="44"/>
      <c r="CN7" s="44"/>
      <c r="CO7" s="44"/>
      <c r="CP7" s="44"/>
      <c r="CQ7" s="44"/>
      <c r="CR7" s="44"/>
      <c r="CS7" s="44"/>
      <c r="CT7" s="44"/>
      <c r="CV7" s="2">
        <f>BN6/(BN5-BN10)*0.8</f>
        <v>0.16177503094309498</v>
      </c>
    </row>
    <row r="8" spans="1:110" s="52" customFormat="1" ht="16" thickBot="1" x14ac:dyDescent="0.25">
      <c r="A8" s="52" t="s">
        <v>120</v>
      </c>
      <c r="C8" s="635"/>
    </row>
    <row r="9" spans="1:110" s="554" customFormat="1" x14ac:dyDescent="0.2">
      <c r="A9" s="550" t="s">
        <v>68</v>
      </c>
      <c r="B9" s="551"/>
      <c r="C9" s="552" t="str">
        <f>C27</f>
        <v>m Tons</v>
      </c>
      <c r="D9" s="553">
        <f t="shared" ref="D9:AG9" si="68">D14+D27+D32+D37+D42+D47+D52+D57</f>
        <v>661.79220645045098</v>
      </c>
      <c r="E9" s="553">
        <f t="shared" si="68"/>
        <v>685.15794250211343</v>
      </c>
      <c r="F9" s="553">
        <f t="shared" si="68"/>
        <v>707.04741340625935</v>
      </c>
      <c r="G9" s="553">
        <f t="shared" si="68"/>
        <v>730.06922077094691</v>
      </c>
      <c r="H9" s="553">
        <f t="shared" si="68"/>
        <v>752.29039122540712</v>
      </c>
      <c r="I9" s="553">
        <f t="shared" si="68"/>
        <v>774.69828626000276</v>
      </c>
      <c r="J9" s="553">
        <f t="shared" si="68"/>
        <v>796.32682727329097</v>
      </c>
      <c r="K9" s="553">
        <f t="shared" si="68"/>
        <v>819.04537738381669</v>
      </c>
      <c r="L9" s="553">
        <f t="shared" si="68"/>
        <v>840.85004687442279</v>
      </c>
      <c r="M9" s="553">
        <f t="shared" si="68"/>
        <v>864.7473539898092</v>
      </c>
      <c r="N9" s="553">
        <f t="shared" si="68"/>
        <v>889.75427062408028</v>
      </c>
      <c r="O9" s="553">
        <f t="shared" si="68"/>
        <v>930.75697065840609</v>
      </c>
      <c r="P9" s="553">
        <f t="shared" si="68"/>
        <v>972.98664018641546</v>
      </c>
      <c r="Q9" s="553">
        <f t="shared" si="68"/>
        <v>1014.4189521435972</v>
      </c>
      <c r="R9" s="553">
        <f t="shared" si="68"/>
        <v>1057.0902165595924</v>
      </c>
      <c r="S9" s="553">
        <f t="shared" si="68"/>
        <v>1097.9874630826666</v>
      </c>
      <c r="T9" s="553">
        <f t="shared" si="68"/>
        <v>1173.7928675910778</v>
      </c>
      <c r="U9" s="553">
        <f t="shared" si="68"/>
        <v>1246.2984880440069</v>
      </c>
      <c r="V9" s="553">
        <f t="shared" si="68"/>
        <v>1316.5338608547138</v>
      </c>
      <c r="W9" s="553">
        <f t="shared" si="68"/>
        <v>1382.4896914848182</v>
      </c>
      <c r="X9" s="553">
        <f t="shared" si="68"/>
        <v>1447.1980080346973</v>
      </c>
      <c r="Y9" s="553">
        <f t="shared" si="68"/>
        <v>1506.6021527317894</v>
      </c>
      <c r="Z9" s="553">
        <f t="shared" si="68"/>
        <v>1564.4798665525279</v>
      </c>
      <c r="AA9" s="553">
        <f t="shared" si="68"/>
        <v>1620.8280506736785</v>
      </c>
      <c r="AB9" s="553">
        <f t="shared" si="68"/>
        <v>1673.685772936931</v>
      </c>
      <c r="AC9" s="553">
        <f t="shared" si="68"/>
        <v>1725.0645543673452</v>
      </c>
      <c r="AD9" s="553">
        <f t="shared" si="68"/>
        <v>1737.3739748989549</v>
      </c>
      <c r="AE9" s="553">
        <f t="shared" si="68"/>
        <v>1749.9095268974675</v>
      </c>
      <c r="AF9" s="553">
        <f t="shared" si="68"/>
        <v>1761.7121535452188</v>
      </c>
      <c r="AG9" s="553">
        <f t="shared" si="68"/>
        <v>1774.7968319509012</v>
      </c>
      <c r="AH9" s="553">
        <f>AH14+AH27+AH32+AH37+AH42+AH47+AH52+AH57</f>
        <v>1788.2231083291813</v>
      </c>
      <c r="AI9" s="553"/>
      <c r="AJ9" s="553">
        <f t="shared" ref="AJ9:BN9" si="69">AJ14+AJ27+AJ32+AJ37+AJ42+AJ47+AJ52+AJ57</f>
        <v>661.79220645045098</v>
      </c>
      <c r="AK9" s="553">
        <f t="shared" si="69"/>
        <v>685.15794250211343</v>
      </c>
      <c r="AL9" s="553">
        <f t="shared" si="69"/>
        <v>707.04741340625935</v>
      </c>
      <c r="AM9" s="553">
        <f t="shared" si="69"/>
        <v>730.06922077094691</v>
      </c>
      <c r="AN9" s="553">
        <f t="shared" si="69"/>
        <v>752.29039122540712</v>
      </c>
      <c r="AO9" s="553">
        <f t="shared" si="69"/>
        <v>774.69828626000276</v>
      </c>
      <c r="AP9" s="553">
        <f t="shared" si="69"/>
        <v>796.32682727329097</v>
      </c>
      <c r="AQ9" s="553">
        <f t="shared" si="69"/>
        <v>819.04537738381669</v>
      </c>
      <c r="AR9" s="553">
        <f t="shared" si="69"/>
        <v>840.85004687442279</v>
      </c>
      <c r="AS9" s="553">
        <f t="shared" si="69"/>
        <v>864.7473539898092</v>
      </c>
      <c r="AT9" s="553">
        <f t="shared" si="69"/>
        <v>889.75427062408028</v>
      </c>
      <c r="AU9" s="553">
        <f t="shared" si="69"/>
        <v>930.75697065840609</v>
      </c>
      <c r="AV9" s="553">
        <f t="shared" si="69"/>
        <v>972.98664018641546</v>
      </c>
      <c r="AW9" s="553">
        <f t="shared" si="69"/>
        <v>1014.4189521435972</v>
      </c>
      <c r="AX9" s="553">
        <f t="shared" si="69"/>
        <v>1057.0902165595924</v>
      </c>
      <c r="AY9" s="553">
        <f t="shared" si="69"/>
        <v>1097.9874630826666</v>
      </c>
      <c r="AZ9" s="553">
        <f t="shared" si="69"/>
        <v>1173.7928675910778</v>
      </c>
      <c r="BA9" s="553">
        <f t="shared" si="69"/>
        <v>1246.2984880440069</v>
      </c>
      <c r="BB9" s="553">
        <f t="shared" si="69"/>
        <v>1316.5338608547138</v>
      </c>
      <c r="BC9" s="553">
        <f t="shared" si="69"/>
        <v>1382.4896914848182</v>
      </c>
      <c r="BD9" s="553">
        <f t="shared" si="69"/>
        <v>1447.1980080346973</v>
      </c>
      <c r="BE9" s="553">
        <f t="shared" si="69"/>
        <v>1506.6021527317894</v>
      </c>
      <c r="BF9" s="553">
        <f t="shared" si="69"/>
        <v>1564.4798665525279</v>
      </c>
      <c r="BG9" s="553">
        <f t="shared" si="69"/>
        <v>1620.8280506736785</v>
      </c>
      <c r="BH9" s="553">
        <f t="shared" si="69"/>
        <v>1673.685772936931</v>
      </c>
      <c r="BI9" s="553">
        <f t="shared" si="69"/>
        <v>1725.0645543673452</v>
      </c>
      <c r="BJ9" s="553">
        <f t="shared" si="69"/>
        <v>1737.3739748989549</v>
      </c>
      <c r="BK9" s="553">
        <f t="shared" si="69"/>
        <v>1749.9095268974675</v>
      </c>
      <c r="BL9" s="553">
        <f t="shared" si="69"/>
        <v>1761.7121535452188</v>
      </c>
      <c r="BM9" s="553">
        <f t="shared" si="69"/>
        <v>1774.7968319509012</v>
      </c>
      <c r="BN9" s="553">
        <f t="shared" si="69"/>
        <v>1788.2231083291813</v>
      </c>
      <c r="BO9" s="553"/>
      <c r="BP9" s="553">
        <f t="shared" ref="BP9:CT9" si="70">BP14+BP27+BP32+BP37+BP42+BP47+BP52+BP57</f>
        <v>646.84483802939837</v>
      </c>
      <c r="BQ9" s="553">
        <f t="shared" si="70"/>
        <v>669.82653547100006</v>
      </c>
      <c r="BR9" s="553">
        <f t="shared" si="70"/>
        <v>691.32210076710521</v>
      </c>
      <c r="BS9" s="553">
        <f t="shared" si="70"/>
        <v>713.93988201571699</v>
      </c>
      <c r="BT9" s="553">
        <f t="shared" si="70"/>
        <v>735.74664582264768</v>
      </c>
      <c r="BU9" s="553">
        <f t="shared" si="70"/>
        <v>757.72948697413131</v>
      </c>
      <c r="BV9" s="553">
        <f t="shared" si="70"/>
        <v>778.94515964943537</v>
      </c>
      <c r="BW9" s="553">
        <f t="shared" si="70"/>
        <v>801.24079591070438</v>
      </c>
      <c r="BX9" s="553">
        <f t="shared" si="70"/>
        <v>822.61226162316052</v>
      </c>
      <c r="BY9" s="553">
        <f t="shared" si="70"/>
        <v>846.06582466695147</v>
      </c>
      <c r="BZ9" s="553">
        <f t="shared" si="70"/>
        <v>885.56556890105435</v>
      </c>
      <c r="CA9" s="553">
        <f t="shared" si="70"/>
        <v>926.54245894014696</v>
      </c>
      <c r="CB9" s="553">
        <f t="shared" si="70"/>
        <v>968.7474074993554</v>
      </c>
      <c r="CC9" s="553">
        <f t="shared" si="70"/>
        <v>1010.1561530211815</v>
      </c>
      <c r="CD9" s="553">
        <f t="shared" si="70"/>
        <v>1052.8050735290701</v>
      </c>
      <c r="CE9" s="553">
        <f t="shared" si="70"/>
        <v>1093.6812692329884</v>
      </c>
      <c r="CF9" s="553">
        <f t="shared" si="70"/>
        <v>1169.6490375869312</v>
      </c>
      <c r="CG9" s="553">
        <f t="shared" si="70"/>
        <v>1242.3241178069593</v>
      </c>
      <c r="CH9" s="553">
        <f t="shared" si="70"/>
        <v>1312.7362559937192</v>
      </c>
      <c r="CI9" s="553">
        <f t="shared" si="70"/>
        <v>1378.876372834216</v>
      </c>
      <c r="CJ9" s="553">
        <f t="shared" si="70"/>
        <v>1443.776717332089</v>
      </c>
      <c r="CK9" s="553">
        <f t="shared" si="70"/>
        <v>1503.3454483643677</v>
      </c>
      <c r="CL9" s="553">
        <f t="shared" si="70"/>
        <v>1561.3938597977383</v>
      </c>
      <c r="CM9" s="553">
        <f t="shared" si="70"/>
        <v>1617.9190118175059</v>
      </c>
      <c r="CN9" s="553">
        <f t="shared" si="70"/>
        <v>1670.9601349852207</v>
      </c>
      <c r="CO9" s="553">
        <f t="shared" si="70"/>
        <v>1722.5289168399358</v>
      </c>
      <c r="CP9" s="553">
        <f t="shared" si="70"/>
        <v>1734.8450210192964</v>
      </c>
      <c r="CQ9" s="553">
        <f t="shared" si="70"/>
        <v>1747.3877095299515</v>
      </c>
      <c r="CR9" s="553">
        <f t="shared" si="70"/>
        <v>1759.1979347180047</v>
      </c>
      <c r="CS9" s="553">
        <f t="shared" si="70"/>
        <v>1772.2906830030495</v>
      </c>
      <c r="CT9" s="553">
        <f t="shared" si="70"/>
        <v>1785.7255100599218</v>
      </c>
      <c r="CW9" s="553">
        <f>AH9-AH15</f>
        <v>820.68310832918132</v>
      </c>
      <c r="CX9" s="655">
        <f>(BN9/AJ9)^(1/30)-1</f>
        <v>3.3689254813182412E-2</v>
      </c>
    </row>
    <row r="10" spans="1:110" x14ac:dyDescent="0.2">
      <c r="A10" s="1" t="s">
        <v>91</v>
      </c>
      <c r="C10" s="54" t="str">
        <f>'Yearly HC Ethylene'!C152</f>
        <v>m Tons</v>
      </c>
      <c r="D10" s="44">
        <f t="shared" ref="D10:AG10" si="71">D15+D28+D33+D38+D43+D48+D53+D58</f>
        <v>661.79206290274794</v>
      </c>
      <c r="E10" s="44">
        <f t="shared" si="71"/>
        <v>675.90946830152075</v>
      </c>
      <c r="F10" s="44">
        <f t="shared" si="71"/>
        <v>687.83612375772043</v>
      </c>
      <c r="G10" s="44">
        <f t="shared" si="71"/>
        <v>700.68645570704257</v>
      </c>
      <c r="H10" s="44">
        <f t="shared" si="71"/>
        <v>712.4402253807923</v>
      </c>
      <c r="I10" s="44">
        <f t="shared" si="71"/>
        <v>724.10858655355617</v>
      </c>
      <c r="J10" s="44">
        <f t="shared" si="71"/>
        <v>734.81540552737783</v>
      </c>
      <c r="K10" s="44">
        <f t="shared" si="71"/>
        <v>746.28909416452268</v>
      </c>
      <c r="L10" s="44">
        <f t="shared" si="71"/>
        <v>756.51708788374015</v>
      </c>
      <c r="M10" s="44">
        <f t="shared" si="71"/>
        <v>768.49628453803723</v>
      </c>
      <c r="N10" s="44">
        <f t="shared" si="71"/>
        <v>781.23017197408967</v>
      </c>
      <c r="O10" s="44">
        <f t="shared" si="71"/>
        <v>804.91386219491517</v>
      </c>
      <c r="P10" s="44">
        <f t="shared" si="71"/>
        <v>829.81077099420509</v>
      </c>
      <c r="Q10" s="44">
        <f t="shared" si="71"/>
        <v>853.30106726637132</v>
      </c>
      <c r="R10" s="44">
        <f t="shared" si="71"/>
        <v>877.73380711010691</v>
      </c>
      <c r="S10" s="44">
        <f t="shared" si="71"/>
        <v>900.11147947648431</v>
      </c>
      <c r="T10" s="44">
        <f t="shared" si="71"/>
        <v>957.05816693767417</v>
      </c>
      <c r="U10" s="44">
        <f t="shared" si="71"/>
        <v>1010.3279955192794</v>
      </c>
      <c r="V10" s="44">
        <f t="shared" si="71"/>
        <v>1061.0388258917344</v>
      </c>
      <c r="W10" s="44">
        <f t="shared" si="71"/>
        <v>1107.2338788009479</v>
      </c>
      <c r="X10" s="44">
        <f t="shared" si="71"/>
        <v>1152.1362353859588</v>
      </c>
      <c r="Y10" s="44">
        <f t="shared" si="71"/>
        <v>1188.1348069238263</v>
      </c>
      <c r="Z10" s="44">
        <f t="shared" si="71"/>
        <v>1223.6149918461456</v>
      </c>
      <c r="AA10" s="44">
        <f t="shared" si="71"/>
        <v>1257.5741729767974</v>
      </c>
      <c r="AB10" s="44">
        <f t="shared" si="71"/>
        <v>1287.8774184719448</v>
      </c>
      <c r="AC10" s="44">
        <f t="shared" si="71"/>
        <v>1316.5484013661783</v>
      </c>
      <c r="AD10" s="44">
        <f t="shared" si="71"/>
        <v>1306.0898419880866</v>
      </c>
      <c r="AE10" s="44">
        <f t="shared" si="71"/>
        <v>1295.6887278248437</v>
      </c>
      <c r="AF10" s="44">
        <f t="shared" si="71"/>
        <v>1285.2160290783727</v>
      </c>
      <c r="AG10" s="44">
        <f t="shared" si="71"/>
        <v>1276.0227160954871</v>
      </c>
      <c r="AH10" s="44">
        <f>AH15+AH28+AH33+AH38+AH43+AH48+AH53+AH58</f>
        <v>1264.0984227883757</v>
      </c>
      <c r="AI10" s="44"/>
      <c r="AJ10" s="44">
        <f t="shared" ref="AJ10:BM10" si="72">AJ15+AJ28+AJ33+AJ38+AJ43+AJ48+AJ53+AJ58</f>
        <v>661.79212743149321</v>
      </c>
      <c r="AK10" s="44">
        <f t="shared" si="72"/>
        <v>678.80251401342741</v>
      </c>
      <c r="AL10" s="44">
        <f t="shared" si="72"/>
        <v>693.78819963817932</v>
      </c>
      <c r="AM10" s="44">
        <f t="shared" si="72"/>
        <v>709.80589830604254</v>
      </c>
      <c r="AN10" s="44">
        <f t="shared" si="72"/>
        <v>724.85797760430864</v>
      </c>
      <c r="AO10" s="44">
        <f t="shared" si="72"/>
        <v>739.95741967077038</v>
      </c>
      <c r="AP10" s="44">
        <f t="shared" si="72"/>
        <v>754.17808116810784</v>
      </c>
      <c r="AQ10" s="44">
        <f t="shared" si="72"/>
        <v>769.28431419416734</v>
      </c>
      <c r="AR10" s="44">
        <f t="shared" si="72"/>
        <v>783.26840611595139</v>
      </c>
      <c r="AS10" s="44">
        <f t="shared" si="72"/>
        <v>799.13186651248577</v>
      </c>
      <c r="AT10" s="44">
        <f t="shared" si="72"/>
        <v>815.88577278424179</v>
      </c>
      <c r="AU10" s="44">
        <f t="shared" si="72"/>
        <v>844.21314411343315</v>
      </c>
      <c r="AV10" s="44">
        <f t="shared" si="72"/>
        <v>873.82973650468091</v>
      </c>
      <c r="AW10" s="44">
        <f t="shared" si="72"/>
        <v>902.23577514339627</v>
      </c>
      <c r="AX10" s="44">
        <f t="shared" si="72"/>
        <v>931.72426427588596</v>
      </c>
      <c r="AY10" s="44">
        <f t="shared" si="72"/>
        <v>959.29523759986898</v>
      </c>
      <c r="AZ10" s="44">
        <f t="shared" si="72"/>
        <v>1021.5243729411629</v>
      </c>
      <c r="BA10" s="44">
        <f t="shared" si="72"/>
        <v>1080.2294952208781</v>
      </c>
      <c r="BB10" s="44">
        <f t="shared" si="72"/>
        <v>1136.4720132215098</v>
      </c>
      <c r="BC10" s="44">
        <f t="shared" si="72"/>
        <v>1188.2725217627615</v>
      </c>
      <c r="BD10" s="44">
        <f t="shared" si="72"/>
        <v>1238.844204701833</v>
      </c>
      <c r="BE10" s="44">
        <f t="shared" si="72"/>
        <v>1281.4055033105451</v>
      </c>
      <c r="BF10" s="44">
        <f t="shared" si="72"/>
        <v>1323.3287288663671</v>
      </c>
      <c r="BG10" s="44">
        <f t="shared" si="72"/>
        <v>1363.7288007170664</v>
      </c>
      <c r="BH10" s="44">
        <f t="shared" si="72"/>
        <v>1400.5643461456614</v>
      </c>
      <c r="BI10" s="44">
        <f t="shared" si="72"/>
        <v>1435.8750822602619</v>
      </c>
      <c r="BJ10" s="44">
        <f t="shared" si="72"/>
        <v>1432.1267739018424</v>
      </c>
      <c r="BK10" s="44">
        <f t="shared" si="72"/>
        <v>1428.4936861743258</v>
      </c>
      <c r="BL10" s="44">
        <f t="shared" si="72"/>
        <v>1424.0028638537522</v>
      </c>
      <c r="BM10" s="44">
        <f t="shared" si="72"/>
        <v>1420.6807687685227</v>
      </c>
      <c r="BN10" s="44">
        <f>BN15+BN28+BN33+BN38+BN43+BN48+BN53+BN58</f>
        <v>1418.2361936330017</v>
      </c>
      <c r="BO10" s="44"/>
      <c r="BP10" s="44">
        <f t="shared" ref="BP10:CT10" si="73">BP15+BP28+BP33+BP38+BP43+BP48+BP53+BP58</f>
        <v>646.84483802939837</v>
      </c>
      <c r="BQ10" s="44">
        <f t="shared" si="73"/>
        <v>669.82653547100006</v>
      </c>
      <c r="BR10" s="44">
        <f t="shared" si="73"/>
        <v>691.32210076710521</v>
      </c>
      <c r="BS10" s="44">
        <f t="shared" si="73"/>
        <v>713.93988201571699</v>
      </c>
      <c r="BT10" s="44">
        <f t="shared" si="73"/>
        <v>735.74664582264768</v>
      </c>
      <c r="BU10" s="44">
        <f t="shared" si="73"/>
        <v>757.72948697413131</v>
      </c>
      <c r="BV10" s="44">
        <f t="shared" si="73"/>
        <v>778.94515964943537</v>
      </c>
      <c r="BW10" s="44">
        <f t="shared" si="73"/>
        <v>801.24079591070438</v>
      </c>
      <c r="BX10" s="44">
        <f t="shared" si="73"/>
        <v>822.61226162316052</v>
      </c>
      <c r="BY10" s="44">
        <f t="shared" si="73"/>
        <v>846.06582466695147</v>
      </c>
      <c r="BZ10" s="44">
        <f t="shared" si="73"/>
        <v>885.56556890105435</v>
      </c>
      <c r="CA10" s="44">
        <f t="shared" si="73"/>
        <v>926.54245894014696</v>
      </c>
      <c r="CB10" s="44">
        <f t="shared" si="73"/>
        <v>968.7474074993554</v>
      </c>
      <c r="CC10" s="44">
        <f t="shared" si="73"/>
        <v>1010.1561530211815</v>
      </c>
      <c r="CD10" s="44">
        <f t="shared" si="73"/>
        <v>1052.8050735290701</v>
      </c>
      <c r="CE10" s="44">
        <f t="shared" si="73"/>
        <v>1093.6812692329884</v>
      </c>
      <c r="CF10" s="44">
        <f t="shared" si="73"/>
        <v>1169.6490375869312</v>
      </c>
      <c r="CG10" s="44">
        <f t="shared" si="73"/>
        <v>1242.3241178069593</v>
      </c>
      <c r="CH10" s="44">
        <f t="shared" si="73"/>
        <v>1312.7362559937192</v>
      </c>
      <c r="CI10" s="44">
        <f t="shared" si="73"/>
        <v>1378.876372834216</v>
      </c>
      <c r="CJ10" s="44">
        <f t="shared" si="73"/>
        <v>1443.776717332089</v>
      </c>
      <c r="CK10" s="44">
        <f t="shared" si="73"/>
        <v>1503.3454483643677</v>
      </c>
      <c r="CL10" s="44">
        <f t="shared" si="73"/>
        <v>1561.3938597977383</v>
      </c>
      <c r="CM10" s="44">
        <f t="shared" si="73"/>
        <v>1617.9190118175059</v>
      </c>
      <c r="CN10" s="44">
        <f t="shared" si="73"/>
        <v>1670.9601349852207</v>
      </c>
      <c r="CO10" s="44">
        <f t="shared" si="73"/>
        <v>1722.5289168399358</v>
      </c>
      <c r="CP10" s="44">
        <f t="shared" si="73"/>
        <v>1734.8450210192964</v>
      </c>
      <c r="CQ10" s="44">
        <f t="shared" si="73"/>
        <v>1747.3877095299515</v>
      </c>
      <c r="CR10" s="44">
        <f t="shared" si="73"/>
        <v>1759.1979347180047</v>
      </c>
      <c r="CS10" s="44">
        <f t="shared" si="73"/>
        <v>1772.2906830030495</v>
      </c>
      <c r="CT10" s="44">
        <f t="shared" si="73"/>
        <v>1785.7255100599218</v>
      </c>
      <c r="CW10">
        <f>70/CW9</f>
        <v>8.5294798064641714E-2</v>
      </c>
    </row>
    <row r="11" spans="1:110" x14ac:dyDescent="0.2">
      <c r="A11" s="1" t="s">
        <v>119</v>
      </c>
      <c r="C11" s="54" t="str">
        <f>'Yearly HC Ethylene'!C159</f>
        <v>m Tons</v>
      </c>
      <c r="D11" s="44">
        <f t="shared" ref="D11:AH11" si="74">D29+D34+D39+D44+D49+D54+D59</f>
        <v>36.64098725377027</v>
      </c>
      <c r="E11" s="44">
        <f t="shared" si="74"/>
        <v>39.229532812393643</v>
      </c>
      <c r="F11" s="44">
        <f t="shared" si="74"/>
        <v>41.383732172250639</v>
      </c>
      <c r="G11" s="44">
        <f t="shared" si="74"/>
        <v>43.516153878195752</v>
      </c>
      <c r="H11" s="44">
        <f t="shared" si="74"/>
        <v>45.611148481937732</v>
      </c>
      <c r="I11" s="44">
        <f t="shared" si="74"/>
        <v>47.65316985213861</v>
      </c>
      <c r="J11" s="44">
        <f t="shared" si="74"/>
        <v>49.44231928620912</v>
      </c>
      <c r="K11" s="44">
        <f t="shared" si="74"/>
        <v>51.235741848538019</v>
      </c>
      <c r="L11" s="44">
        <f t="shared" si="74"/>
        <v>53.025570605731488</v>
      </c>
      <c r="M11" s="44">
        <f t="shared" si="74"/>
        <v>54.799663698955037</v>
      </c>
      <c r="N11" s="44">
        <f t="shared" si="74"/>
        <v>56.538492865815364</v>
      </c>
      <c r="O11" s="44">
        <f t="shared" si="74"/>
        <v>56.019738413716858</v>
      </c>
      <c r="P11" s="44">
        <f t="shared" si="74"/>
        <v>55.357822773802901</v>
      </c>
      <c r="Q11" s="44">
        <f t="shared" si="74"/>
        <v>54.420116931337681</v>
      </c>
      <c r="R11" s="44">
        <f t="shared" si="74"/>
        <v>53.266268426330733</v>
      </c>
      <c r="S11" s="44">
        <f t="shared" si="74"/>
        <v>51.902773395950646</v>
      </c>
      <c r="T11" s="44">
        <f t="shared" si="74"/>
        <v>50.634766142612264</v>
      </c>
      <c r="U11" s="44">
        <f t="shared" si="74"/>
        <v>49.986500955263246</v>
      </c>
      <c r="V11" s="44">
        <f t="shared" si="74"/>
        <v>49.233671658785738</v>
      </c>
      <c r="W11" s="44">
        <f t="shared" si="74"/>
        <v>48.433147955969943</v>
      </c>
      <c r="X11" s="44">
        <f t="shared" si="74"/>
        <v>47.62571108494933</v>
      </c>
      <c r="Y11" s="44">
        <f t="shared" si="74"/>
        <v>45.942581922300775</v>
      </c>
      <c r="Z11" s="44">
        <f t="shared" si="74"/>
        <v>44.481721730452634</v>
      </c>
      <c r="AA11" s="44">
        <f t="shared" si="74"/>
        <v>42.958049811538352</v>
      </c>
      <c r="AB11" s="44">
        <f t="shared" si="74"/>
        <v>41.777487859967856</v>
      </c>
      <c r="AC11" s="44">
        <f t="shared" si="74"/>
        <v>40.627255485199292</v>
      </c>
      <c r="AD11" s="44">
        <f t="shared" si="74"/>
        <v>39.303234642762341</v>
      </c>
      <c r="AE11" s="44">
        <f t="shared" si="74"/>
        <v>37.794187650995923</v>
      </c>
      <c r="AF11" s="44">
        <f t="shared" si="74"/>
        <v>36.077737573348571</v>
      </c>
      <c r="AG11" s="44">
        <f t="shared" si="74"/>
        <v>34.160430981213416</v>
      </c>
      <c r="AH11" s="44">
        <f t="shared" si="74"/>
        <v>33.023038055664792</v>
      </c>
      <c r="AI11" s="44"/>
      <c r="AJ11" s="44">
        <f t="shared" ref="AJ11:BN11" si="75">AJ29+AJ34+AJ39+AJ44+AJ49+AJ54+AJ59</f>
        <v>36.641051484585837</v>
      </c>
      <c r="AK11" s="44">
        <f t="shared" si="75"/>
        <v>38.980502411880977</v>
      </c>
      <c r="AL11" s="44">
        <f t="shared" si="75"/>
        <v>41.232129547135074</v>
      </c>
      <c r="AM11" s="44">
        <f t="shared" si="75"/>
        <v>43.473717982520547</v>
      </c>
      <c r="AN11" s="44">
        <f t="shared" si="75"/>
        <v>45.69225818320794</v>
      </c>
      <c r="AO11" s="44">
        <f t="shared" si="75"/>
        <v>47.872462355065387</v>
      </c>
      <c r="AP11" s="44">
        <f t="shared" si="75"/>
        <v>50.012137393031203</v>
      </c>
      <c r="AQ11" s="44">
        <f t="shared" si="75"/>
        <v>52.195610847996569</v>
      </c>
      <c r="AR11" s="44">
        <f t="shared" si="75"/>
        <v>54.418677511869078</v>
      </c>
      <c r="AS11" s="44">
        <f t="shared" si="75"/>
        <v>56.674532024012649</v>
      </c>
      <c r="AT11" s="44">
        <f t="shared" si="75"/>
        <v>58.951869852430818</v>
      </c>
      <c r="AU11" s="44">
        <f t="shared" si="75"/>
        <v>59.165921595417117</v>
      </c>
      <c r="AV11" s="44">
        <f t="shared" si="75"/>
        <v>59.297175829085333</v>
      </c>
      <c r="AW11" s="44">
        <f t="shared" si="75"/>
        <v>59.279873684417488</v>
      </c>
      <c r="AX11" s="44">
        <f t="shared" si="75"/>
        <v>59.134618023976614</v>
      </c>
      <c r="AY11" s="44">
        <f t="shared" si="75"/>
        <v>58.859146494190369</v>
      </c>
      <c r="AZ11" s="44">
        <f t="shared" si="75"/>
        <v>58.577806939574309</v>
      </c>
      <c r="BA11" s="44">
        <f t="shared" si="75"/>
        <v>58.308238253987916</v>
      </c>
      <c r="BB11" s="44">
        <f t="shared" si="75"/>
        <v>58.084131212547526</v>
      </c>
      <c r="BC11" s="44">
        <f t="shared" si="75"/>
        <v>57.937025852339218</v>
      </c>
      <c r="BD11" s="44">
        <f t="shared" si="75"/>
        <v>57.889150616183663</v>
      </c>
      <c r="BE11" s="44">
        <f t="shared" si="75"/>
        <v>55.813765244658846</v>
      </c>
      <c r="BF11" s="44">
        <f t="shared" si="75"/>
        <v>53.913633407675384</v>
      </c>
      <c r="BG11" s="44">
        <f t="shared" si="75"/>
        <v>52.607926033674858</v>
      </c>
      <c r="BH11" s="44">
        <f t="shared" si="75"/>
        <v>51.77109698621463</v>
      </c>
      <c r="BI11" s="44">
        <f t="shared" si="75"/>
        <v>50.879235418695899</v>
      </c>
      <c r="BJ11" s="44">
        <f t="shared" si="75"/>
        <v>49.921587698871129</v>
      </c>
      <c r="BK11" s="44">
        <f t="shared" si="75"/>
        <v>48.87838237062234</v>
      </c>
      <c r="BL11" s="44">
        <f t="shared" si="75"/>
        <v>47.734387847663726</v>
      </c>
      <c r="BM11" s="44">
        <f t="shared" si="75"/>
        <v>46.55820192647392</v>
      </c>
      <c r="BN11" s="44">
        <f t="shared" si="75"/>
        <v>45.290239983525623</v>
      </c>
      <c r="BO11" s="44"/>
      <c r="BP11" s="44">
        <f t="shared" ref="BP11:CT11" si="76">BP29+BP34+BP39+BP44+BP49+BP54+BP59</f>
        <v>0</v>
      </c>
      <c r="BQ11" s="44">
        <f t="shared" si="76"/>
        <v>0</v>
      </c>
      <c r="BR11" s="44">
        <f t="shared" si="76"/>
        <v>0</v>
      </c>
      <c r="BS11" s="44">
        <f t="shared" si="76"/>
        <v>0</v>
      </c>
      <c r="BT11" s="44">
        <f t="shared" si="76"/>
        <v>0</v>
      </c>
      <c r="BU11" s="44">
        <f t="shared" si="76"/>
        <v>0</v>
      </c>
      <c r="BV11" s="44">
        <f t="shared" si="76"/>
        <v>0</v>
      </c>
      <c r="BW11" s="44">
        <f t="shared" si="76"/>
        <v>0</v>
      </c>
      <c r="BX11" s="44">
        <f t="shared" si="76"/>
        <v>0</v>
      </c>
      <c r="BY11" s="44">
        <f t="shared" si="76"/>
        <v>0</v>
      </c>
      <c r="BZ11" s="44">
        <f t="shared" si="76"/>
        <v>0</v>
      </c>
      <c r="CA11" s="44">
        <f t="shared" si="76"/>
        <v>0</v>
      </c>
      <c r="CB11" s="44">
        <f t="shared" si="76"/>
        <v>0</v>
      </c>
      <c r="CC11" s="44">
        <f t="shared" si="76"/>
        <v>0</v>
      </c>
      <c r="CD11" s="44">
        <f t="shared" si="76"/>
        <v>0</v>
      </c>
      <c r="CE11" s="44">
        <f t="shared" si="76"/>
        <v>0</v>
      </c>
      <c r="CF11" s="44">
        <f t="shared" si="76"/>
        <v>0</v>
      </c>
      <c r="CG11" s="44">
        <f t="shared" si="76"/>
        <v>0</v>
      </c>
      <c r="CH11" s="44">
        <f t="shared" si="76"/>
        <v>0</v>
      </c>
      <c r="CI11" s="44">
        <f t="shared" si="76"/>
        <v>0</v>
      </c>
      <c r="CJ11" s="44">
        <f t="shared" si="76"/>
        <v>0</v>
      </c>
      <c r="CK11" s="44">
        <f t="shared" si="76"/>
        <v>0</v>
      </c>
      <c r="CL11" s="44">
        <f t="shared" si="76"/>
        <v>0</v>
      </c>
      <c r="CM11" s="44">
        <f t="shared" si="76"/>
        <v>0</v>
      </c>
      <c r="CN11" s="44">
        <f t="shared" si="76"/>
        <v>0</v>
      </c>
      <c r="CO11" s="44">
        <f t="shared" si="76"/>
        <v>0</v>
      </c>
      <c r="CP11" s="44">
        <f t="shared" si="76"/>
        <v>0</v>
      </c>
      <c r="CQ11" s="44">
        <f t="shared" si="76"/>
        <v>0</v>
      </c>
      <c r="CR11" s="44">
        <f t="shared" si="76"/>
        <v>0</v>
      </c>
      <c r="CS11" s="44">
        <f t="shared" si="76"/>
        <v>0</v>
      </c>
      <c r="CT11" s="44">
        <f t="shared" si="76"/>
        <v>0</v>
      </c>
    </row>
    <row r="12" spans="1:110" x14ac:dyDescent="0.2">
      <c r="D12" s="44"/>
      <c r="E12" s="44"/>
      <c r="F12" s="44"/>
      <c r="G12" s="44"/>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44"/>
      <c r="AO12" s="44"/>
      <c r="AP12" s="44"/>
      <c r="AQ12" s="44"/>
      <c r="AR12" s="44"/>
      <c r="AS12" s="44"/>
      <c r="AT12" s="44"/>
      <c r="AU12" s="44"/>
      <c r="AV12" s="44"/>
      <c r="AW12" s="44"/>
      <c r="AX12" s="44"/>
      <c r="AY12" s="44"/>
      <c r="AZ12" s="44"/>
      <c r="BA12" s="44"/>
      <c r="BB12" s="44"/>
      <c r="BC12" s="44"/>
      <c r="BD12" s="44"/>
      <c r="BE12" s="44"/>
      <c r="BF12" s="44"/>
      <c r="BG12" s="44"/>
      <c r="BH12" s="44"/>
      <c r="BI12" s="44"/>
      <c r="BJ12" s="44"/>
      <c r="BK12" s="44"/>
      <c r="BL12" s="44"/>
      <c r="BM12" s="44"/>
      <c r="BN12" s="44"/>
      <c r="BO12" s="44"/>
      <c r="BP12" s="44"/>
      <c r="BQ12" s="44"/>
      <c r="BR12" s="44"/>
      <c r="BS12" s="44"/>
      <c r="BT12" s="44"/>
      <c r="BU12" s="44"/>
      <c r="BV12" s="44"/>
      <c r="BW12" s="44"/>
      <c r="BX12" s="44"/>
      <c r="BY12" s="44"/>
      <c r="BZ12" s="44"/>
      <c r="CA12" s="44"/>
      <c r="CB12" s="44"/>
      <c r="CC12" s="44"/>
      <c r="CD12" s="44"/>
      <c r="CE12" s="44"/>
      <c r="CF12" s="44"/>
      <c r="CG12" s="44"/>
      <c r="CH12" s="44"/>
      <c r="CI12" s="44"/>
      <c r="CJ12" s="44"/>
      <c r="CK12" s="44"/>
      <c r="CL12" s="44"/>
      <c r="CM12" s="44"/>
      <c r="CN12" s="44"/>
      <c r="CO12" s="44"/>
      <c r="CP12" s="44"/>
      <c r="CQ12" s="44"/>
      <c r="CR12" s="44"/>
      <c r="CS12" s="44"/>
      <c r="CT12" s="44"/>
      <c r="CV12" s="2">
        <f>BN11/(BN10-BN15)*0.8</f>
        <v>8.5716863630616091E-2</v>
      </c>
    </row>
    <row r="13" spans="1:110" s="637" customFormat="1" ht="16" thickBot="1" x14ac:dyDescent="0.25">
      <c r="A13" s="637" t="s">
        <v>121</v>
      </c>
      <c r="C13" s="638"/>
    </row>
    <row r="14" spans="1:110" x14ac:dyDescent="0.2">
      <c r="A14" s="601" t="s">
        <v>122</v>
      </c>
      <c r="B14" s="1"/>
      <c r="C14" s="54" t="s">
        <v>123</v>
      </c>
      <c r="D14" s="44">
        <f>BP15</f>
        <v>185.16</v>
      </c>
      <c r="E14" s="44">
        <f t="shared" ref="E14:AH14" si="77">BQ15</f>
        <v>193.83784131224172</v>
      </c>
      <c r="F14" s="44">
        <f t="shared" si="77"/>
        <v>201.45584790684086</v>
      </c>
      <c r="G14" s="44">
        <f t="shared" si="77"/>
        <v>209.96401978379734</v>
      </c>
      <c r="H14" s="44">
        <f t="shared" si="77"/>
        <v>217.42235694311114</v>
      </c>
      <c r="I14" s="44">
        <f t="shared" si="77"/>
        <v>224.81085938478233</v>
      </c>
      <c r="J14" s="44">
        <f t="shared" si="77"/>
        <v>232.97135231019658</v>
      </c>
      <c r="K14" s="44">
        <f t="shared" si="77"/>
        <v>242.02595225176344</v>
      </c>
      <c r="L14" s="44">
        <f t="shared" si="77"/>
        <v>249.96465920948287</v>
      </c>
      <c r="M14" s="44">
        <f t="shared" si="77"/>
        <v>259.7874731833549</v>
      </c>
      <c r="N14" s="44">
        <f t="shared" si="77"/>
        <v>270.50439417337952</v>
      </c>
      <c r="O14" s="44">
        <f t="shared" si="77"/>
        <v>303.82728118869738</v>
      </c>
      <c r="P14" s="44">
        <f t="shared" si="77"/>
        <v>338.27185608748277</v>
      </c>
      <c r="Q14" s="44">
        <f t="shared" si="77"/>
        <v>371.80811886973584</v>
      </c>
      <c r="R14" s="44">
        <f t="shared" si="77"/>
        <v>406.46606953545643</v>
      </c>
      <c r="S14" s="44">
        <f t="shared" si="77"/>
        <v>439.22570808464457</v>
      </c>
      <c r="T14" s="44">
        <f t="shared" si="77"/>
        <v>507.43442689594724</v>
      </c>
      <c r="U14" s="44">
        <f t="shared" si="77"/>
        <v>572.21489194039816</v>
      </c>
      <c r="V14" s="44">
        <f t="shared" si="77"/>
        <v>634.58710321799731</v>
      </c>
      <c r="W14" s="44">
        <f t="shared" si="77"/>
        <v>692.53106072874493</v>
      </c>
      <c r="X14" s="44">
        <f t="shared" si="77"/>
        <v>749.06676447264067</v>
      </c>
      <c r="Y14" s="44">
        <f t="shared" si="77"/>
        <v>801.63843015150871</v>
      </c>
      <c r="Z14" s="44">
        <f t="shared" si="77"/>
        <v>852.51158654367873</v>
      </c>
      <c r="AA14" s="44">
        <f t="shared" si="77"/>
        <v>901.66623364915063</v>
      </c>
      <c r="AB14" s="44">
        <f t="shared" si="77"/>
        <v>947.12237146792427</v>
      </c>
      <c r="AC14" s="44">
        <f t="shared" si="77"/>
        <v>990.87</v>
      </c>
      <c r="AD14" s="44">
        <f t="shared" si="77"/>
        <v>995.7</v>
      </c>
      <c r="AE14" s="44">
        <f t="shared" si="77"/>
        <v>1000.48</v>
      </c>
      <c r="AF14" s="44">
        <f t="shared" si="77"/>
        <v>1004.22</v>
      </c>
      <c r="AG14" s="44">
        <f t="shared" si="77"/>
        <v>1008.9</v>
      </c>
      <c r="AH14" s="44">
        <f t="shared" si="77"/>
        <v>1013.54</v>
      </c>
      <c r="AI14" s="44"/>
      <c r="AJ14" s="44">
        <f>BP15</f>
        <v>185.16</v>
      </c>
      <c r="AK14" s="44">
        <f t="shared" ref="AK14:BM14" si="78">BQ15</f>
        <v>193.83784131224172</v>
      </c>
      <c r="AL14" s="44">
        <f t="shared" si="78"/>
        <v>201.45584790684086</v>
      </c>
      <c r="AM14" s="44">
        <f t="shared" si="78"/>
        <v>209.96401978379734</v>
      </c>
      <c r="AN14" s="44">
        <f t="shared" si="78"/>
        <v>217.42235694311114</v>
      </c>
      <c r="AO14" s="44">
        <f t="shared" si="78"/>
        <v>224.81085938478233</v>
      </c>
      <c r="AP14" s="44">
        <f t="shared" si="78"/>
        <v>232.97135231019658</v>
      </c>
      <c r="AQ14" s="44">
        <f t="shared" si="78"/>
        <v>242.02595225176344</v>
      </c>
      <c r="AR14" s="44">
        <f t="shared" si="78"/>
        <v>249.96465920948287</v>
      </c>
      <c r="AS14" s="44">
        <f t="shared" si="78"/>
        <v>259.7874731833549</v>
      </c>
      <c r="AT14" s="44">
        <f t="shared" si="78"/>
        <v>270.50439417337952</v>
      </c>
      <c r="AU14" s="44">
        <f t="shared" si="78"/>
        <v>303.82728118869738</v>
      </c>
      <c r="AV14" s="44">
        <f t="shared" si="78"/>
        <v>338.27185608748277</v>
      </c>
      <c r="AW14" s="44">
        <f t="shared" si="78"/>
        <v>371.80811886973584</v>
      </c>
      <c r="AX14" s="44">
        <f t="shared" si="78"/>
        <v>406.46606953545643</v>
      </c>
      <c r="AY14" s="44">
        <f t="shared" si="78"/>
        <v>439.22570808464457</v>
      </c>
      <c r="AZ14" s="44">
        <f t="shared" si="78"/>
        <v>507.43442689594724</v>
      </c>
      <c r="BA14" s="44">
        <f t="shared" si="78"/>
        <v>572.21489194039816</v>
      </c>
      <c r="BB14" s="44">
        <f t="shared" si="78"/>
        <v>634.58710321799731</v>
      </c>
      <c r="BC14" s="44">
        <f t="shared" si="78"/>
        <v>692.53106072874493</v>
      </c>
      <c r="BD14" s="44">
        <f t="shared" si="78"/>
        <v>749.06676447264067</v>
      </c>
      <c r="BE14" s="44">
        <f t="shared" si="78"/>
        <v>801.63843015150871</v>
      </c>
      <c r="BF14" s="44">
        <f t="shared" si="78"/>
        <v>852.51158654367873</v>
      </c>
      <c r="BG14" s="44">
        <f t="shared" si="78"/>
        <v>901.66623364915063</v>
      </c>
      <c r="BH14" s="44">
        <f t="shared" si="78"/>
        <v>947.12237146792427</v>
      </c>
      <c r="BI14" s="44">
        <f t="shared" si="78"/>
        <v>990.87</v>
      </c>
      <c r="BJ14" s="44">
        <f t="shared" si="78"/>
        <v>995.7</v>
      </c>
      <c r="BK14" s="44">
        <f t="shared" si="78"/>
        <v>1000.48</v>
      </c>
      <c r="BL14" s="44">
        <f t="shared" si="78"/>
        <v>1004.22</v>
      </c>
      <c r="BM14" s="44">
        <f t="shared" si="78"/>
        <v>1008.9</v>
      </c>
      <c r="BN14" s="44">
        <f>CT15</f>
        <v>1013.54</v>
      </c>
      <c r="BO14" s="44"/>
      <c r="BP14" s="44">
        <f>AJ14</f>
        <v>185.16</v>
      </c>
      <c r="BQ14" s="44">
        <f t="shared" ref="BQ14" si="79">AK14</f>
        <v>193.83784131224172</v>
      </c>
      <c r="BR14" s="44">
        <f t="shared" ref="BR14" si="80">AL14</f>
        <v>201.45584790684086</v>
      </c>
      <c r="BS14" s="44">
        <f t="shared" ref="BS14" si="81">AM14</f>
        <v>209.96401978379734</v>
      </c>
      <c r="BT14" s="44">
        <f t="shared" ref="BT14" si="82">AN14</f>
        <v>217.42235694311114</v>
      </c>
      <c r="BU14" s="44">
        <f t="shared" ref="BU14" si="83">AO14</f>
        <v>224.81085938478233</v>
      </c>
      <c r="BV14" s="44">
        <f t="shared" ref="BV14" si="84">AP14</f>
        <v>232.97135231019658</v>
      </c>
      <c r="BW14" s="44">
        <f t="shared" ref="BW14" si="85">AQ14</f>
        <v>242.02595225176344</v>
      </c>
      <c r="BX14" s="44">
        <f t="shared" ref="BX14" si="86">AR14</f>
        <v>249.96465920948287</v>
      </c>
      <c r="BY14" s="44">
        <f t="shared" ref="BY14" si="87">AS14</f>
        <v>259.7874731833549</v>
      </c>
      <c r="BZ14" s="44">
        <f t="shared" ref="BZ14" si="88">AT14</f>
        <v>270.50439417337952</v>
      </c>
      <c r="CA14" s="44">
        <f t="shared" ref="CA14" si="89">AU14</f>
        <v>303.82728118869738</v>
      </c>
      <c r="CB14" s="44">
        <f t="shared" ref="CB14" si="90">AV14</f>
        <v>338.27185608748277</v>
      </c>
      <c r="CC14" s="44">
        <f t="shared" ref="CC14" si="91">AW14</f>
        <v>371.80811886973584</v>
      </c>
      <c r="CD14" s="44">
        <f t="shared" ref="CD14" si="92">AX14</f>
        <v>406.46606953545643</v>
      </c>
      <c r="CE14" s="44">
        <f t="shared" ref="CE14" si="93">AY14</f>
        <v>439.22570808464457</v>
      </c>
      <c r="CF14" s="44">
        <f t="shared" ref="CF14" si="94">AZ14</f>
        <v>507.43442689594724</v>
      </c>
      <c r="CG14" s="44">
        <f t="shared" ref="CG14" si="95">BA14</f>
        <v>572.21489194039816</v>
      </c>
      <c r="CH14" s="44">
        <f t="shared" ref="CH14" si="96">BB14</f>
        <v>634.58710321799731</v>
      </c>
      <c r="CI14" s="44">
        <f t="shared" ref="CI14" si="97">BC14</f>
        <v>692.53106072874493</v>
      </c>
      <c r="CJ14" s="44">
        <f t="shared" ref="CJ14" si="98">BD14</f>
        <v>749.06676447264067</v>
      </c>
      <c r="CK14" s="44">
        <f t="shared" ref="CK14" si="99">BE14</f>
        <v>801.63843015150871</v>
      </c>
      <c r="CL14" s="44">
        <f t="shared" ref="CL14" si="100">BF14</f>
        <v>852.51158654367873</v>
      </c>
      <c r="CM14" s="44">
        <f t="shared" ref="CM14" si="101">BG14</f>
        <v>901.66623364915063</v>
      </c>
      <c r="CN14" s="44">
        <f t="shared" ref="CN14" si="102">BH14</f>
        <v>947.12237146792427</v>
      </c>
      <c r="CO14" s="44">
        <f t="shared" ref="CO14" si="103">BI14</f>
        <v>990.87</v>
      </c>
      <c r="CP14" s="44">
        <f t="shared" ref="CP14" si="104">BJ14</f>
        <v>995.7</v>
      </c>
      <c r="CQ14" s="44">
        <f t="shared" ref="CQ14" si="105">BK14</f>
        <v>1000.48</v>
      </c>
      <c r="CR14" s="44">
        <f t="shared" ref="CR14" si="106">BL14</f>
        <v>1004.22</v>
      </c>
      <c r="CS14" s="44">
        <f t="shared" ref="CS14" si="107">BM14</f>
        <v>1008.9</v>
      </c>
      <c r="CT14" s="44">
        <f>BN14</f>
        <v>1013.54</v>
      </c>
      <c r="CX14" s="655">
        <f>(BN14/AJ14)^(1/30)-1</f>
        <v>5.8302423602087705E-2</v>
      </c>
    </row>
    <row r="15" spans="1:110" ht="16" x14ac:dyDescent="0.2">
      <c r="A15" s="1" t="s">
        <v>124</v>
      </c>
      <c r="C15" s="54" t="s">
        <v>123</v>
      </c>
      <c r="D15" s="697">
        <v>185.16</v>
      </c>
      <c r="E15" s="697">
        <v>192.53619019066957</v>
      </c>
      <c r="F15" s="697">
        <v>198.82108139984803</v>
      </c>
      <c r="G15" s="697">
        <v>205.96746592101337</v>
      </c>
      <c r="H15" s="697">
        <v>212.0349942352421</v>
      </c>
      <c r="I15" s="697">
        <v>218.00572114507375</v>
      </c>
      <c r="J15" s="697">
        <v>224.75016851095208</v>
      </c>
      <c r="K15" s="697">
        <v>232.37466258360305</v>
      </c>
      <c r="L15" s="697">
        <v>238.86847075748219</v>
      </c>
      <c r="M15" s="697">
        <v>247.23416432014764</v>
      </c>
      <c r="N15" s="697">
        <v>256.48445501423572</v>
      </c>
      <c r="O15" s="697">
        <v>288.29039317364442</v>
      </c>
      <c r="P15" s="697">
        <v>321.20289238879241</v>
      </c>
      <c r="Q15" s="697">
        <v>353.19081507048054</v>
      </c>
      <c r="R15" s="697">
        <v>386.28781969060731</v>
      </c>
      <c r="S15" s="697">
        <v>417.47126749664949</v>
      </c>
      <c r="T15" s="697">
        <v>484.10463302215044</v>
      </c>
      <c r="U15" s="697">
        <v>547.30131340495836</v>
      </c>
      <c r="V15" s="697">
        <v>608.0801139917578</v>
      </c>
      <c r="W15" s="697">
        <v>664.42044923318019</v>
      </c>
      <c r="X15" s="697">
        <v>719.34864125558613</v>
      </c>
      <c r="Y15" s="697">
        <v>770.32225126142771</v>
      </c>
      <c r="Z15" s="697">
        <v>819.58832270617108</v>
      </c>
      <c r="AA15" s="697">
        <v>867.14000245652687</v>
      </c>
      <c r="AB15" s="697">
        <v>910.99080340715363</v>
      </c>
      <c r="AC15" s="697">
        <v>953.1278209102046</v>
      </c>
      <c r="AD15" s="697">
        <v>956.30827009209315</v>
      </c>
      <c r="AE15" s="697">
        <v>959.43710520377408</v>
      </c>
      <c r="AF15" s="697">
        <v>961.52345085824641</v>
      </c>
      <c r="AG15" s="697">
        <v>964.55202613287952</v>
      </c>
      <c r="AH15" s="697">
        <v>967.54</v>
      </c>
      <c r="AI15" s="44"/>
      <c r="AJ15" s="697">
        <v>185.16</v>
      </c>
      <c r="AK15" s="697">
        <v>193.32849956901785</v>
      </c>
      <c r="AL15" s="697">
        <v>200.42485231714801</v>
      </c>
      <c r="AM15" s="697">
        <v>208.40015088096882</v>
      </c>
      <c r="AN15" s="697">
        <v>215.31425849220585</v>
      </c>
      <c r="AO15" s="697">
        <v>222.1479792040268</v>
      </c>
      <c r="AP15" s="697">
        <v>229.75436734527483</v>
      </c>
      <c r="AQ15" s="697">
        <v>238.24936064248328</v>
      </c>
      <c r="AR15" s="697">
        <v>245.62267242391738</v>
      </c>
      <c r="AS15" s="697">
        <v>254.87530884557816</v>
      </c>
      <c r="AT15" s="697">
        <v>265.01833102414935</v>
      </c>
      <c r="AU15" s="697">
        <v>297.74762935672015</v>
      </c>
      <c r="AV15" s="697">
        <v>331.59269637929958</v>
      </c>
      <c r="AW15" s="697">
        <v>364.5230869482881</v>
      </c>
      <c r="AX15" s="697">
        <v>398.57023263964589</v>
      </c>
      <c r="AY15" s="697">
        <v>430.71310089803779</v>
      </c>
      <c r="AZ15" s="697">
        <v>498.30537711924416</v>
      </c>
      <c r="BA15" s="697">
        <v>562.46610033957381</v>
      </c>
      <c r="BB15" s="697">
        <v>624.21480308599052</v>
      </c>
      <c r="BC15" s="697">
        <v>681.53125623048049</v>
      </c>
      <c r="BD15" s="697">
        <v>737.43793364857584</v>
      </c>
      <c r="BE15" s="697">
        <v>789.38427319452035</v>
      </c>
      <c r="BF15" s="697">
        <v>839.62857025943663</v>
      </c>
      <c r="BG15" s="697">
        <v>888.1559692694284</v>
      </c>
      <c r="BH15" s="697">
        <v>932.98393179197058</v>
      </c>
      <c r="BI15" s="697">
        <v>976.10132122573225</v>
      </c>
      <c r="BJ15" s="697">
        <v>980.28584481864527</v>
      </c>
      <c r="BK15" s="697">
        <v>984.41973681886816</v>
      </c>
      <c r="BL15" s="697">
        <v>987.51265468366171</v>
      </c>
      <c r="BM15" s="697">
        <v>991.54644500851805</v>
      </c>
      <c r="BN15" s="697">
        <v>995.54</v>
      </c>
      <c r="BO15" s="44"/>
      <c r="BP15" s="697">
        <v>185.16</v>
      </c>
      <c r="BQ15" s="697">
        <v>193.83784131224172</v>
      </c>
      <c r="BR15" s="697">
        <v>201.45584790684086</v>
      </c>
      <c r="BS15" s="697">
        <v>209.96401978379734</v>
      </c>
      <c r="BT15" s="697">
        <v>217.42235694311114</v>
      </c>
      <c r="BU15" s="697">
        <v>224.81085938478233</v>
      </c>
      <c r="BV15" s="697">
        <v>232.97135231019658</v>
      </c>
      <c r="BW15" s="697">
        <v>242.02595225176344</v>
      </c>
      <c r="BX15" s="697">
        <v>249.96465920948287</v>
      </c>
      <c r="BY15" s="697">
        <v>259.7874731833549</v>
      </c>
      <c r="BZ15" s="697">
        <v>270.50439417337952</v>
      </c>
      <c r="CA15" s="697">
        <v>303.82728118869738</v>
      </c>
      <c r="CB15" s="697">
        <v>338.27185608748277</v>
      </c>
      <c r="CC15" s="697">
        <v>371.80811886973584</v>
      </c>
      <c r="CD15" s="697">
        <v>406.46606953545643</v>
      </c>
      <c r="CE15" s="697">
        <v>439.22570808464457</v>
      </c>
      <c r="CF15" s="697">
        <v>507.43442689594724</v>
      </c>
      <c r="CG15" s="697">
        <v>572.21489194039816</v>
      </c>
      <c r="CH15" s="697">
        <v>634.58710321799731</v>
      </c>
      <c r="CI15" s="697">
        <v>692.53106072874493</v>
      </c>
      <c r="CJ15" s="697">
        <v>749.06676447264067</v>
      </c>
      <c r="CK15" s="697">
        <v>801.63843015150871</v>
      </c>
      <c r="CL15" s="697">
        <v>852.51158654367873</v>
      </c>
      <c r="CM15" s="697">
        <v>901.66623364915063</v>
      </c>
      <c r="CN15" s="697">
        <v>947.12237146792427</v>
      </c>
      <c r="CO15" s="697">
        <v>990.87</v>
      </c>
      <c r="CP15" s="697">
        <v>995.7</v>
      </c>
      <c r="CQ15" s="697">
        <v>1000.48</v>
      </c>
      <c r="CR15" s="697">
        <v>1004.22</v>
      </c>
      <c r="CS15" s="697">
        <v>1008.9</v>
      </c>
      <c r="CT15" s="697">
        <v>1013.54</v>
      </c>
    </row>
    <row r="16" spans="1:110" x14ac:dyDescent="0.2">
      <c r="A16" s="1"/>
      <c r="D16" s="44"/>
      <c r="E16" s="44"/>
      <c r="F16" s="44"/>
      <c r="G16" s="44"/>
      <c r="H16" s="44"/>
      <c r="I16" s="44"/>
      <c r="J16" s="44"/>
      <c r="K16" s="44"/>
      <c r="L16" s="44"/>
      <c r="M16" s="44"/>
      <c r="N16" s="44"/>
      <c r="O16" s="44"/>
      <c r="P16" s="44"/>
      <c r="Q16" s="44"/>
      <c r="R16" s="44"/>
      <c r="S16" s="44"/>
      <c r="T16" s="44"/>
      <c r="U16" s="44"/>
      <c r="V16" s="44"/>
      <c r="W16" s="44"/>
      <c r="X16" s="44"/>
      <c r="Y16" s="44"/>
      <c r="Z16" s="44"/>
      <c r="AA16" s="44"/>
      <c r="AB16" s="44"/>
      <c r="AC16" s="44"/>
      <c r="AD16" s="44"/>
      <c r="AE16" s="44"/>
      <c r="AF16" s="44"/>
      <c r="AG16" s="44"/>
      <c r="AH16" s="44"/>
      <c r="AI16" s="44"/>
      <c r="AJ16" s="44"/>
      <c r="AK16" s="44"/>
      <c r="AL16" s="44"/>
      <c r="AM16" s="44"/>
      <c r="AN16" s="44"/>
      <c r="AO16" s="44"/>
      <c r="AP16" s="44"/>
      <c r="AQ16" s="44"/>
      <c r="AR16" s="44"/>
      <c r="AS16" s="44"/>
      <c r="AT16" s="44"/>
      <c r="AU16" s="44"/>
      <c r="AV16" s="44"/>
      <c r="AW16" s="44"/>
      <c r="AX16" s="44"/>
      <c r="AY16" s="44"/>
      <c r="AZ16" s="44"/>
      <c r="BA16" s="44"/>
      <c r="BB16" s="44"/>
      <c r="BC16" s="44"/>
      <c r="BD16" s="44"/>
      <c r="BE16" s="44"/>
      <c r="BF16" s="44"/>
      <c r="BG16" s="44"/>
      <c r="BH16" s="44"/>
      <c r="BI16" s="44"/>
      <c r="BJ16" s="44"/>
      <c r="BK16" s="44"/>
      <c r="BL16" s="44"/>
      <c r="BM16" s="44"/>
      <c r="BN16" s="44"/>
      <c r="BO16" s="44"/>
      <c r="BP16" s="44"/>
      <c r="BQ16" s="44"/>
      <c r="BR16" s="44"/>
      <c r="BS16" s="44"/>
      <c r="BT16" s="44"/>
      <c r="BU16" s="44"/>
      <c r="BV16" s="44"/>
      <c r="BW16" s="44"/>
      <c r="BX16" s="44"/>
      <c r="BY16" s="44"/>
      <c r="BZ16" s="44"/>
      <c r="CA16" s="44"/>
      <c r="CB16" s="44"/>
      <c r="CC16" s="44"/>
      <c r="CD16" s="44"/>
      <c r="CE16" s="44"/>
      <c r="CF16" s="44"/>
      <c r="CG16" s="44"/>
      <c r="CH16" s="44"/>
      <c r="CI16" s="44"/>
      <c r="CJ16" s="44"/>
      <c r="CK16" s="44"/>
      <c r="CL16" s="44"/>
      <c r="CM16" s="44"/>
      <c r="CN16" s="44"/>
      <c r="CO16" s="44"/>
      <c r="CP16" s="44"/>
      <c r="CQ16" s="44"/>
      <c r="CR16" s="44"/>
      <c r="CS16" s="44"/>
      <c r="CT16" s="44"/>
      <c r="CX16" s="30"/>
      <c r="CY16" s="652" t="s">
        <v>121</v>
      </c>
      <c r="CZ16" s="652" t="s">
        <v>4</v>
      </c>
      <c r="DA16" s="652" t="s">
        <v>5</v>
      </c>
      <c r="DB16" s="652" t="s">
        <v>6</v>
      </c>
      <c r="DC16" s="652" t="s">
        <v>7</v>
      </c>
      <c r="DD16" s="652" t="s">
        <v>8</v>
      </c>
      <c r="DE16" s="652" t="s">
        <v>9</v>
      </c>
      <c r="DF16" s="652" t="s">
        <v>10</v>
      </c>
    </row>
    <row r="17" spans="1:110" x14ac:dyDescent="0.2">
      <c r="A17" s="1" t="s">
        <v>125</v>
      </c>
      <c r="C17" s="54" t="s">
        <v>123</v>
      </c>
      <c r="D17" s="44">
        <f>BP18</f>
        <v>59.645310664481201</v>
      </c>
      <c r="E17" s="44">
        <f t="shared" ref="E17:AH17" si="108">BQ18</f>
        <v>65.583537004712994</v>
      </c>
      <c r="F17" s="44">
        <f t="shared" si="108"/>
        <v>71.815893077871948</v>
      </c>
      <c r="G17" s="44">
        <f t="shared" si="108"/>
        <v>78.88738725310796</v>
      </c>
      <c r="H17" s="44">
        <f t="shared" si="108"/>
        <v>84.914328431220099</v>
      </c>
      <c r="I17" s="44">
        <f t="shared" si="108"/>
        <v>90.920458230073407</v>
      </c>
      <c r="J17" s="44">
        <f t="shared" si="108"/>
        <v>98.190542544925535</v>
      </c>
      <c r="K17" s="44">
        <f t="shared" si="108"/>
        <v>106.4132408513602</v>
      </c>
      <c r="L17" s="44">
        <f t="shared" si="108"/>
        <v>113.5499449708559</v>
      </c>
      <c r="M17" s="44">
        <f t="shared" si="108"/>
        <v>122.6177522786225</v>
      </c>
      <c r="N17" s="44">
        <f t="shared" si="108"/>
        <v>132.6377390646521</v>
      </c>
      <c r="O17" s="44">
        <f t="shared" si="108"/>
        <v>164.94506886655245</v>
      </c>
      <c r="P17" s="44">
        <f t="shared" si="108"/>
        <v>198.4169613137141</v>
      </c>
      <c r="Q17" s="44">
        <f t="shared" si="108"/>
        <v>231.0126166085517</v>
      </c>
      <c r="R17" s="44">
        <f t="shared" si="108"/>
        <v>264.7730584264711</v>
      </c>
      <c r="S17" s="44">
        <f t="shared" si="108"/>
        <v>296.65875136101027</v>
      </c>
      <c r="T17" s="44">
        <f t="shared" si="108"/>
        <v>364.10764992169669</v>
      </c>
      <c r="U17" s="44">
        <f t="shared" si="108"/>
        <v>428.17130753217617</v>
      </c>
      <c r="V17" s="44">
        <f t="shared" si="108"/>
        <v>489.85192895248281</v>
      </c>
      <c r="W17" s="44">
        <f t="shared" si="108"/>
        <v>547.12781907771819</v>
      </c>
      <c r="X17" s="44">
        <f t="shared" si="108"/>
        <v>603.0411688678663</v>
      </c>
      <c r="Y17" s="44">
        <f t="shared" si="108"/>
        <v>655.09745705567934</v>
      </c>
      <c r="Z17" s="44">
        <f t="shared" si="108"/>
        <v>705.45967821957925</v>
      </c>
      <c r="AA17" s="44">
        <f t="shared" si="108"/>
        <v>754.16878764442981</v>
      </c>
      <c r="AB17" s="44">
        <f t="shared" si="108"/>
        <v>799.20466272673195</v>
      </c>
      <c r="AC17" s="44">
        <f t="shared" si="108"/>
        <v>842.54681010073693</v>
      </c>
      <c r="AD17" s="44">
        <f t="shared" si="108"/>
        <v>846.85592386002531</v>
      </c>
      <c r="AE17" s="44">
        <f t="shared" si="108"/>
        <v>851.14827936089171</v>
      </c>
      <c r="AF17" s="44">
        <f t="shared" si="108"/>
        <v>854.42581604979694</v>
      </c>
      <c r="AG17" s="44">
        <f t="shared" si="108"/>
        <v>858.68604280803208</v>
      </c>
      <c r="AH17" s="44">
        <f t="shared" si="108"/>
        <v>862.92999655098686</v>
      </c>
      <c r="AI17" s="44"/>
      <c r="AJ17" s="44">
        <f>D17</f>
        <v>59.645310664481201</v>
      </c>
      <c r="AK17" s="44">
        <f t="shared" ref="AK17:BN17" si="109">E17</f>
        <v>65.583537004712994</v>
      </c>
      <c r="AL17" s="44">
        <f t="shared" si="109"/>
        <v>71.815893077871948</v>
      </c>
      <c r="AM17" s="44">
        <f t="shared" si="109"/>
        <v>78.88738725310796</v>
      </c>
      <c r="AN17" s="44">
        <f t="shared" si="109"/>
        <v>84.914328431220099</v>
      </c>
      <c r="AO17" s="44">
        <f t="shared" si="109"/>
        <v>90.920458230073407</v>
      </c>
      <c r="AP17" s="44">
        <f t="shared" si="109"/>
        <v>98.190542544925535</v>
      </c>
      <c r="AQ17" s="44">
        <f t="shared" si="109"/>
        <v>106.4132408513602</v>
      </c>
      <c r="AR17" s="44">
        <f t="shared" si="109"/>
        <v>113.5499449708559</v>
      </c>
      <c r="AS17" s="44">
        <f t="shared" si="109"/>
        <v>122.6177522786225</v>
      </c>
      <c r="AT17" s="44">
        <f t="shared" si="109"/>
        <v>132.6377390646521</v>
      </c>
      <c r="AU17" s="44">
        <f t="shared" si="109"/>
        <v>164.94506886655245</v>
      </c>
      <c r="AV17" s="44">
        <f t="shared" si="109"/>
        <v>198.4169613137141</v>
      </c>
      <c r="AW17" s="44">
        <f t="shared" si="109"/>
        <v>231.0126166085517</v>
      </c>
      <c r="AX17" s="44">
        <f t="shared" si="109"/>
        <v>264.7730584264711</v>
      </c>
      <c r="AY17" s="44">
        <f t="shared" si="109"/>
        <v>296.65875136101027</v>
      </c>
      <c r="AZ17" s="44">
        <f t="shared" si="109"/>
        <v>364.10764992169669</v>
      </c>
      <c r="BA17" s="44">
        <f t="shared" si="109"/>
        <v>428.17130753217617</v>
      </c>
      <c r="BB17" s="44">
        <f t="shared" si="109"/>
        <v>489.85192895248281</v>
      </c>
      <c r="BC17" s="44">
        <f t="shared" si="109"/>
        <v>547.12781907771819</v>
      </c>
      <c r="BD17" s="44">
        <f t="shared" si="109"/>
        <v>603.0411688678663</v>
      </c>
      <c r="BE17" s="44">
        <f t="shared" si="109"/>
        <v>655.09745705567934</v>
      </c>
      <c r="BF17" s="44">
        <f t="shared" si="109"/>
        <v>705.45967821957925</v>
      </c>
      <c r="BG17" s="44">
        <f t="shared" si="109"/>
        <v>754.16878764442981</v>
      </c>
      <c r="BH17" s="44">
        <f t="shared" si="109"/>
        <v>799.20466272673195</v>
      </c>
      <c r="BI17" s="44">
        <f t="shared" si="109"/>
        <v>842.54681010073693</v>
      </c>
      <c r="BJ17" s="44">
        <f t="shared" si="109"/>
        <v>846.85592386002531</v>
      </c>
      <c r="BK17" s="44">
        <f t="shared" si="109"/>
        <v>851.14827936089171</v>
      </c>
      <c r="BL17" s="44">
        <f t="shared" si="109"/>
        <v>854.42581604979694</v>
      </c>
      <c r="BM17" s="44">
        <f t="shared" si="109"/>
        <v>858.68604280803208</v>
      </c>
      <c r="BN17" s="44">
        <f t="shared" si="109"/>
        <v>862.92999655098686</v>
      </c>
      <c r="BO17" s="44"/>
      <c r="BP17" s="44">
        <f>AJ17</f>
        <v>59.645310664481201</v>
      </c>
      <c r="BQ17" s="44">
        <f t="shared" ref="BQ17" si="110">AK17</f>
        <v>65.583537004712994</v>
      </c>
      <c r="BR17" s="44">
        <f t="shared" ref="BR17" si="111">AL17</f>
        <v>71.815893077871948</v>
      </c>
      <c r="BS17" s="44">
        <f t="shared" ref="BS17" si="112">AM17</f>
        <v>78.88738725310796</v>
      </c>
      <c r="BT17" s="44">
        <f t="shared" ref="BT17" si="113">AN17</f>
        <v>84.914328431220099</v>
      </c>
      <c r="BU17" s="44">
        <f t="shared" ref="BU17" si="114">AO17</f>
        <v>90.920458230073407</v>
      </c>
      <c r="BV17" s="44">
        <f t="shared" ref="BV17" si="115">AP17</f>
        <v>98.190542544925535</v>
      </c>
      <c r="BW17" s="44">
        <f t="shared" ref="BW17" si="116">AQ17</f>
        <v>106.4132408513602</v>
      </c>
      <c r="BX17" s="44">
        <f t="shared" ref="BX17" si="117">AR17</f>
        <v>113.5499449708559</v>
      </c>
      <c r="BY17" s="44">
        <f t="shared" ref="BY17" si="118">AS17</f>
        <v>122.6177522786225</v>
      </c>
      <c r="BZ17" s="44">
        <f t="shared" ref="BZ17" si="119">AT17</f>
        <v>132.6377390646521</v>
      </c>
      <c r="CA17" s="44">
        <f t="shared" ref="CA17" si="120">AU17</f>
        <v>164.94506886655245</v>
      </c>
      <c r="CB17" s="44">
        <f t="shared" ref="CB17" si="121">AV17</f>
        <v>198.4169613137141</v>
      </c>
      <c r="CC17" s="44">
        <f t="shared" ref="CC17" si="122">AW17</f>
        <v>231.0126166085517</v>
      </c>
      <c r="CD17" s="44">
        <f t="shared" ref="CD17" si="123">AX17</f>
        <v>264.7730584264711</v>
      </c>
      <c r="CE17" s="44">
        <f t="shared" ref="CE17" si="124">AY17</f>
        <v>296.65875136101027</v>
      </c>
      <c r="CF17" s="44">
        <f t="shared" ref="CF17" si="125">AZ17</f>
        <v>364.10764992169669</v>
      </c>
      <c r="CG17" s="44">
        <f t="shared" ref="CG17" si="126">BA17</f>
        <v>428.17130753217617</v>
      </c>
      <c r="CH17" s="44">
        <f t="shared" ref="CH17" si="127">BB17</f>
        <v>489.85192895248281</v>
      </c>
      <c r="CI17" s="44">
        <f t="shared" ref="CI17" si="128">BC17</f>
        <v>547.12781907771819</v>
      </c>
      <c r="CJ17" s="44">
        <f t="shared" ref="CJ17" si="129">BD17</f>
        <v>603.0411688678663</v>
      </c>
      <c r="CK17" s="44">
        <f t="shared" ref="CK17" si="130">BE17</f>
        <v>655.09745705567934</v>
      </c>
      <c r="CL17" s="44">
        <f t="shared" ref="CL17" si="131">BF17</f>
        <v>705.45967821957925</v>
      </c>
      <c r="CM17" s="44">
        <f t="shared" ref="CM17" si="132">BG17</f>
        <v>754.16878764442981</v>
      </c>
      <c r="CN17" s="44">
        <f t="shared" ref="CN17" si="133">BH17</f>
        <v>799.20466272673195</v>
      </c>
      <c r="CO17" s="44">
        <f t="shared" ref="CO17" si="134">BI17</f>
        <v>842.54681010073693</v>
      </c>
      <c r="CP17" s="44">
        <f t="shared" ref="CP17" si="135">BJ17</f>
        <v>846.85592386002531</v>
      </c>
      <c r="CQ17" s="44">
        <f t="shared" ref="CQ17" si="136">BK17</f>
        <v>851.14827936089171</v>
      </c>
      <c r="CR17" s="44">
        <f t="shared" ref="CR17" si="137">BL17</f>
        <v>854.42581604979694</v>
      </c>
      <c r="CS17" s="44">
        <f t="shared" ref="CS17" si="138">BM17</f>
        <v>858.68604280803208</v>
      </c>
      <c r="CT17" s="44">
        <f t="shared" ref="CT17" si="139">BN17</f>
        <v>862.92999655098686</v>
      </c>
    </row>
    <row r="18" spans="1:110" ht="16" x14ac:dyDescent="0.2">
      <c r="A18" s="1" t="s">
        <v>126</v>
      </c>
      <c r="C18" s="54" t="s">
        <v>123</v>
      </c>
      <c r="D18" s="697">
        <v>73.138199999999969</v>
      </c>
      <c r="E18" s="697">
        <v>78.198742205143532</v>
      </c>
      <c r="F18" s="697">
        <v>83.290831896158863</v>
      </c>
      <c r="G18" s="697">
        <v>89.203316319837867</v>
      </c>
      <c r="H18" s="697">
        <v>94.060437044919183</v>
      </c>
      <c r="I18" s="697">
        <v>98.865344052641944</v>
      </c>
      <c r="J18" s="697">
        <v>106.67044178459508</v>
      </c>
      <c r="K18" s="697">
        <v>115.42451880491826</v>
      </c>
      <c r="L18" s="697">
        <v>123.12302055376736</v>
      </c>
      <c r="M18" s="697">
        <v>132.76546309253072</v>
      </c>
      <c r="N18" s="697">
        <v>143.35618492393343</v>
      </c>
      <c r="O18" s="697">
        <v>176.5780503100479</v>
      </c>
      <c r="P18" s="697">
        <v>210.95953321580561</v>
      </c>
      <c r="Q18" s="697">
        <v>244.48864548398268</v>
      </c>
      <c r="R18" s="697">
        <v>279.17686867327728</v>
      </c>
      <c r="S18" s="697">
        <v>312.01389315959636</v>
      </c>
      <c r="T18" s="697">
        <v>380.35423311648475</v>
      </c>
      <c r="U18" s="697">
        <v>445.31565867579269</v>
      </c>
      <c r="V18" s="697">
        <v>507.90401924489066</v>
      </c>
      <c r="W18" s="697">
        <v>566.10865547490801</v>
      </c>
      <c r="X18" s="697">
        <v>622.9430633670338</v>
      </c>
      <c r="Y18" s="697">
        <v>675.87393222896048</v>
      </c>
      <c r="Z18" s="697">
        <v>727.13627700845234</v>
      </c>
      <c r="AA18" s="697">
        <v>776.73157537995178</v>
      </c>
      <c r="AB18" s="697">
        <v>822.66210858197121</v>
      </c>
      <c r="AC18" s="697">
        <v>866.9184345085722</v>
      </c>
      <c r="AD18" s="697">
        <v>872.25580793280426</v>
      </c>
      <c r="AE18" s="697">
        <v>877.57753346332015</v>
      </c>
      <c r="AF18" s="697">
        <v>881.88747748659478</v>
      </c>
      <c r="AG18" s="697">
        <v>887.17612513915662</v>
      </c>
      <c r="AH18" s="697">
        <v>892.45179999999993</v>
      </c>
      <c r="AI18" s="44"/>
      <c r="AJ18" s="697">
        <v>73.138199999999969</v>
      </c>
      <c r="AK18" s="697">
        <v>79.292360154427769</v>
      </c>
      <c r="AL18" s="697">
        <v>85.095850974783758</v>
      </c>
      <c r="AM18" s="697">
        <v>91.826914122373083</v>
      </c>
      <c r="AN18" s="697">
        <v>97.525911195017102</v>
      </c>
      <c r="AO18" s="697">
        <v>103.18724394313689</v>
      </c>
      <c r="AP18" s="697">
        <v>110.96295445367997</v>
      </c>
      <c r="AQ18" s="697">
        <v>119.68171299667102</v>
      </c>
      <c r="AR18" s="697">
        <v>127.33853492377055</v>
      </c>
      <c r="AS18" s="697">
        <v>136.9330289583051</v>
      </c>
      <c r="AT18" s="697">
        <v>147.46905008407867</v>
      </c>
      <c r="AU18" s="697">
        <v>180.65369980267178</v>
      </c>
      <c r="AV18" s="697">
        <v>214.99674289119366</v>
      </c>
      <c r="AW18" s="697">
        <v>248.48549378408555</v>
      </c>
      <c r="AX18" s="697">
        <v>283.1315114603932</v>
      </c>
      <c r="AY18" s="697">
        <v>315.92559371526681</v>
      </c>
      <c r="AZ18" s="697">
        <v>384.21375525002884</v>
      </c>
      <c r="BA18" s="697">
        <v>449.12014130212981</v>
      </c>
      <c r="BB18" s="697">
        <v>511.65135559077248</v>
      </c>
      <c r="BC18" s="697">
        <v>569.79848163589816</v>
      </c>
      <c r="BD18" s="697">
        <v>626.57074441946816</v>
      </c>
      <c r="BE18" s="697">
        <v>679.42880621117331</v>
      </c>
      <c r="BF18" s="697">
        <v>730.61780191206981</v>
      </c>
      <c r="BG18" s="697">
        <v>780.13401182918108</v>
      </c>
      <c r="BH18" s="697">
        <v>825.98182573726808</v>
      </c>
      <c r="BI18" s="697">
        <v>870.15579649091183</v>
      </c>
      <c r="BJ18" s="697">
        <v>875.43205732917011</v>
      </c>
      <c r="BK18" s="697">
        <v>880.69185236370549</v>
      </c>
      <c r="BL18" s="697">
        <v>884.9386237838022</v>
      </c>
      <c r="BM18" s="697">
        <v>890.16443745939591</v>
      </c>
      <c r="BN18" s="697">
        <v>895.3753813510092</v>
      </c>
      <c r="BO18" s="44"/>
      <c r="BP18" s="697">
        <v>59.645310664481201</v>
      </c>
      <c r="BQ18" s="697">
        <v>65.583537004712994</v>
      </c>
      <c r="BR18" s="697">
        <v>71.815893077871948</v>
      </c>
      <c r="BS18" s="697">
        <v>78.88738725310796</v>
      </c>
      <c r="BT18" s="697">
        <v>84.914328431220099</v>
      </c>
      <c r="BU18" s="697">
        <v>90.920458230073407</v>
      </c>
      <c r="BV18" s="697">
        <v>98.190542544925535</v>
      </c>
      <c r="BW18" s="697">
        <v>106.4132408513602</v>
      </c>
      <c r="BX18" s="697">
        <v>113.5499449708559</v>
      </c>
      <c r="BY18" s="697">
        <v>122.6177522786225</v>
      </c>
      <c r="BZ18" s="697">
        <v>132.6377390646521</v>
      </c>
      <c r="CA18" s="697">
        <v>164.94506886655245</v>
      </c>
      <c r="CB18" s="697">
        <v>198.4169613137141</v>
      </c>
      <c r="CC18" s="697">
        <v>231.0126166085517</v>
      </c>
      <c r="CD18" s="697">
        <v>264.7730584264711</v>
      </c>
      <c r="CE18" s="697">
        <v>296.65875136101027</v>
      </c>
      <c r="CF18" s="697">
        <v>364.10764992169669</v>
      </c>
      <c r="CG18" s="697">
        <v>428.17130753217617</v>
      </c>
      <c r="CH18" s="697">
        <v>489.85192895248281</v>
      </c>
      <c r="CI18" s="697">
        <v>547.12781907771819</v>
      </c>
      <c r="CJ18" s="697">
        <v>603.0411688678663</v>
      </c>
      <c r="CK18" s="697">
        <v>655.09745705567934</v>
      </c>
      <c r="CL18" s="697">
        <v>705.45967821957925</v>
      </c>
      <c r="CM18" s="697">
        <v>754.16878764442981</v>
      </c>
      <c r="CN18" s="697">
        <v>799.20466272673195</v>
      </c>
      <c r="CO18" s="697">
        <v>842.54681010073693</v>
      </c>
      <c r="CP18" s="697">
        <v>846.85592386002531</v>
      </c>
      <c r="CQ18" s="697">
        <v>851.14827936089171</v>
      </c>
      <c r="CR18" s="697">
        <v>854.42581604979694</v>
      </c>
      <c r="CS18" s="697">
        <v>858.68604280803208</v>
      </c>
      <c r="CT18" s="697">
        <v>862.92999655098686</v>
      </c>
      <c r="CX18" s="30">
        <v>2020</v>
      </c>
      <c r="CY18" s="140">
        <f>D14</f>
        <v>185.16</v>
      </c>
      <c r="CZ18" s="140">
        <f>D27</f>
        <v>162.69230769230768</v>
      </c>
      <c r="DA18" s="44">
        <f>AJ32</f>
        <v>111.92307692307692</v>
      </c>
      <c r="DB18" s="140">
        <f>AJ37</f>
        <v>70.960266702016895</v>
      </c>
      <c r="DC18" s="140">
        <f>AJ42</f>
        <v>51.832300831890365</v>
      </c>
      <c r="DD18" s="140">
        <f>AJ47</f>
        <v>14.015260831000658</v>
      </c>
      <c r="DE18" s="140">
        <f>AJ52</f>
        <v>50.26162504910581</v>
      </c>
      <c r="DF18" s="140">
        <f>AJ57</f>
        <v>14.947368421052632</v>
      </c>
    </row>
    <row r="19" spans="1:110" x14ac:dyDescent="0.2">
      <c r="A19" s="1"/>
      <c r="D19" s="44"/>
      <c r="E19" s="44"/>
      <c r="F19" s="44"/>
      <c r="G19" s="44"/>
      <c r="H19" s="44"/>
      <c r="I19" s="44"/>
      <c r="J19" s="44"/>
      <c r="K19" s="44"/>
      <c r="L19" s="44"/>
      <c r="M19" s="44"/>
      <c r="N19" s="44"/>
      <c r="O19" s="44"/>
      <c r="P19" s="44"/>
      <c r="Q19" s="44"/>
      <c r="R19" s="44"/>
      <c r="S19" s="44"/>
      <c r="T19" s="44"/>
      <c r="U19" s="44"/>
      <c r="V19" s="44"/>
      <c r="W19" s="44"/>
      <c r="X19" s="44"/>
      <c r="Y19" s="44"/>
      <c r="Z19" s="44"/>
      <c r="AA19" s="44"/>
      <c r="AB19" s="44"/>
      <c r="AC19" s="44"/>
      <c r="AD19" s="44"/>
      <c r="AE19" s="44"/>
      <c r="AF19" s="44"/>
      <c r="AG19" s="44"/>
      <c r="AH19" s="44"/>
      <c r="AI19" s="44"/>
      <c r="AJ19" s="44"/>
      <c r="AK19" s="44"/>
      <c r="AL19" s="44"/>
      <c r="AM19" s="44"/>
      <c r="AN19" s="44"/>
      <c r="AO19" s="44"/>
      <c r="AP19" s="44"/>
      <c r="AQ19" s="44"/>
      <c r="AR19" s="44"/>
      <c r="AS19" s="44"/>
      <c r="AT19" s="44"/>
      <c r="AU19" s="44"/>
      <c r="AV19" s="44"/>
      <c r="AW19" s="44"/>
      <c r="AX19" s="44"/>
      <c r="AY19" s="44"/>
      <c r="AZ19" s="44"/>
      <c r="BA19" s="44"/>
      <c r="BB19" s="44"/>
      <c r="BC19" s="44"/>
      <c r="BD19" s="44"/>
      <c r="BE19" s="44"/>
      <c r="BF19" s="44"/>
      <c r="BG19" s="44"/>
      <c r="BH19" s="44"/>
      <c r="BI19" s="44"/>
      <c r="BJ19" s="44"/>
      <c r="BK19" s="44"/>
      <c r="BL19" s="44"/>
      <c r="BM19" s="44"/>
      <c r="BN19" s="44"/>
      <c r="BO19" s="44"/>
      <c r="BP19" s="44"/>
      <c r="BQ19" s="44"/>
      <c r="BR19" s="44"/>
      <c r="BS19" s="44"/>
      <c r="BT19" s="44"/>
      <c r="BU19" s="44"/>
      <c r="BV19" s="44"/>
      <c r="BW19" s="44"/>
      <c r="BX19" s="44"/>
      <c r="BY19" s="44"/>
      <c r="BZ19" s="44"/>
      <c r="CA19" s="44"/>
      <c r="CB19" s="44"/>
      <c r="CC19" s="44"/>
      <c r="CD19" s="44"/>
      <c r="CE19" s="44"/>
      <c r="CF19" s="44"/>
      <c r="CG19" s="44"/>
      <c r="CH19" s="44"/>
      <c r="CI19" s="44"/>
      <c r="CJ19" s="44"/>
      <c r="CK19" s="44"/>
      <c r="CL19" s="44"/>
      <c r="CM19" s="44"/>
      <c r="CN19" s="44"/>
      <c r="CO19" s="44"/>
      <c r="CP19" s="44"/>
      <c r="CQ19" s="44"/>
      <c r="CR19" s="44"/>
      <c r="CS19" s="44"/>
      <c r="CT19" s="44"/>
      <c r="CX19" s="30" t="s">
        <v>40</v>
      </c>
      <c r="CY19" s="140">
        <f>AH14</f>
        <v>1013.54</v>
      </c>
      <c r="CZ19" s="140">
        <f>AH27</f>
        <v>280.10459284033055</v>
      </c>
      <c r="DA19" s="44">
        <f>BN32</f>
        <v>162.92409925871709</v>
      </c>
      <c r="DB19" s="140">
        <f>BN37</f>
        <v>145.59945711418746</v>
      </c>
      <c r="DC19" s="140">
        <f>BN42</f>
        <v>71.87200832466182</v>
      </c>
      <c r="DD19" s="140">
        <f>BN47</f>
        <v>19.433922996878252</v>
      </c>
      <c r="DE19" s="140">
        <f>BN52</f>
        <v>69.694068678459942</v>
      </c>
      <c r="DF19" s="140">
        <f>BN57</f>
        <v>25.054959115946328</v>
      </c>
    </row>
    <row r="20" spans="1:110" x14ac:dyDescent="0.2">
      <c r="A20" s="1" t="s">
        <v>127</v>
      </c>
      <c r="C20" s="54" t="s">
        <v>128</v>
      </c>
      <c r="D20" s="44">
        <f>AJ20</f>
        <v>197.14508478260868</v>
      </c>
      <c r="E20" s="44">
        <f t="shared" ref="E20:AH20" si="140">AK20</f>
        <v>201.39698740239936</v>
      </c>
      <c r="F20" s="44">
        <f t="shared" si="140"/>
        <v>203.59040050551931</v>
      </c>
      <c r="G20" s="44">
        <f t="shared" si="140"/>
        <v>205.84872388706171</v>
      </c>
      <c r="H20" s="44">
        <f t="shared" si="140"/>
        <v>208.09779006296611</v>
      </c>
      <c r="I20" s="44">
        <f t="shared" si="140"/>
        <v>210.27017405468487</v>
      </c>
      <c r="J20" s="44">
        <f t="shared" si="140"/>
        <v>211.66977365597856</v>
      </c>
      <c r="K20" s="44">
        <f t="shared" si="140"/>
        <v>212.97731627960169</v>
      </c>
      <c r="L20" s="44">
        <f t="shared" si="140"/>
        <v>214.23804518981854</v>
      </c>
      <c r="M20" s="44">
        <f t="shared" si="140"/>
        <v>215.42495121293695</v>
      </c>
      <c r="N20" s="44">
        <f t="shared" si="140"/>
        <v>216.52048420713939</v>
      </c>
      <c r="O20" s="44">
        <f t="shared" si="140"/>
        <v>218.1167159707008</v>
      </c>
      <c r="P20" s="44">
        <f t="shared" si="140"/>
        <v>219.64513814203471</v>
      </c>
      <c r="Q20" s="44">
        <f t="shared" si="140"/>
        <v>221.12364385846635</v>
      </c>
      <c r="R20" s="44">
        <f t="shared" si="140"/>
        <v>222.53398908069266</v>
      </c>
      <c r="S20" s="44">
        <f t="shared" si="140"/>
        <v>223.90763093983085</v>
      </c>
      <c r="T20" s="44">
        <f t="shared" si="140"/>
        <v>225.10187180584734</v>
      </c>
      <c r="U20" s="44">
        <f t="shared" si="140"/>
        <v>226.22870604857638</v>
      </c>
      <c r="V20" s="44">
        <f t="shared" si="140"/>
        <v>227.31561902756212</v>
      </c>
      <c r="W20" s="44">
        <f t="shared" si="140"/>
        <v>228.36589095260317</v>
      </c>
      <c r="X20" s="44">
        <f t="shared" si="140"/>
        <v>229.34405245914812</v>
      </c>
      <c r="Y20" s="44">
        <f t="shared" si="140"/>
        <v>230.15450112921079</v>
      </c>
      <c r="Z20" s="44">
        <f t="shared" si="140"/>
        <v>230.95765910934989</v>
      </c>
      <c r="AA20" s="44">
        <f t="shared" si="140"/>
        <v>231.65840558233222</v>
      </c>
      <c r="AB20" s="44">
        <f t="shared" si="140"/>
        <v>232.31914295447839</v>
      </c>
      <c r="AC20" s="44">
        <f t="shared" si="140"/>
        <v>232.95681242684284</v>
      </c>
      <c r="AD20" s="44">
        <f t="shared" si="140"/>
        <v>233.7757329823597</v>
      </c>
      <c r="AE20" s="44">
        <f t="shared" si="140"/>
        <v>234.54244034161493</v>
      </c>
      <c r="AF20" s="44">
        <f t="shared" si="140"/>
        <v>235.26944220946041</v>
      </c>
      <c r="AG20" s="44">
        <f t="shared" si="140"/>
        <v>235.92969639507814</v>
      </c>
      <c r="AH20" s="44">
        <f t="shared" si="140"/>
        <v>236.5523764328664</v>
      </c>
      <c r="AI20" s="44"/>
      <c r="AJ20" s="44">
        <v>197.14508478260868</v>
      </c>
      <c r="AK20" s="44">
        <v>201.39698740239936</v>
      </c>
      <c r="AL20" s="44">
        <v>203.59040050551931</v>
      </c>
      <c r="AM20" s="44">
        <v>205.84872388706171</v>
      </c>
      <c r="AN20" s="44">
        <v>208.09779006296611</v>
      </c>
      <c r="AO20" s="44">
        <v>210.27017405468487</v>
      </c>
      <c r="AP20" s="44">
        <v>211.66977365597856</v>
      </c>
      <c r="AQ20" s="44">
        <v>212.97731627960169</v>
      </c>
      <c r="AR20" s="44">
        <v>214.23804518981854</v>
      </c>
      <c r="AS20" s="44">
        <v>215.42495121293695</v>
      </c>
      <c r="AT20" s="44">
        <v>216.52048420713939</v>
      </c>
      <c r="AU20" s="44">
        <v>218.1167159707008</v>
      </c>
      <c r="AV20" s="44">
        <v>219.64513814203471</v>
      </c>
      <c r="AW20" s="44">
        <v>221.12364385846635</v>
      </c>
      <c r="AX20" s="44">
        <v>222.53398908069266</v>
      </c>
      <c r="AY20" s="44">
        <v>223.90763093983085</v>
      </c>
      <c r="AZ20" s="44">
        <v>225.10187180584734</v>
      </c>
      <c r="BA20" s="44">
        <v>226.22870604857638</v>
      </c>
      <c r="BB20" s="44">
        <v>227.31561902756212</v>
      </c>
      <c r="BC20" s="44">
        <v>228.36589095260317</v>
      </c>
      <c r="BD20" s="44">
        <v>229.34405245914812</v>
      </c>
      <c r="BE20" s="44">
        <v>230.15450112921079</v>
      </c>
      <c r="BF20" s="44">
        <v>230.95765910934989</v>
      </c>
      <c r="BG20" s="44">
        <v>231.65840558233222</v>
      </c>
      <c r="BH20" s="44">
        <v>232.31914295447839</v>
      </c>
      <c r="BI20" s="44">
        <v>232.95681242684284</v>
      </c>
      <c r="BJ20" s="44">
        <v>233.7757329823597</v>
      </c>
      <c r="BK20" s="44">
        <v>234.54244034161493</v>
      </c>
      <c r="BL20" s="44">
        <v>235.26944220946041</v>
      </c>
      <c r="BM20" s="44">
        <v>235.92969639507814</v>
      </c>
      <c r="BN20" s="44">
        <v>236.5523764328664</v>
      </c>
      <c r="BO20" s="44"/>
      <c r="BP20" s="44">
        <f>D20</f>
        <v>197.14508478260868</v>
      </c>
      <c r="BQ20" s="44">
        <f t="shared" ref="BQ20:CT20" si="141">E20</f>
        <v>201.39698740239936</v>
      </c>
      <c r="BR20" s="44">
        <f t="shared" si="141"/>
        <v>203.59040050551931</v>
      </c>
      <c r="BS20" s="44">
        <f t="shared" si="141"/>
        <v>205.84872388706171</v>
      </c>
      <c r="BT20" s="44">
        <f t="shared" si="141"/>
        <v>208.09779006296611</v>
      </c>
      <c r="BU20" s="44">
        <f t="shared" si="141"/>
        <v>210.27017405468487</v>
      </c>
      <c r="BV20" s="44">
        <f t="shared" si="141"/>
        <v>211.66977365597856</v>
      </c>
      <c r="BW20" s="44">
        <f t="shared" si="141"/>
        <v>212.97731627960169</v>
      </c>
      <c r="BX20" s="44">
        <f t="shared" si="141"/>
        <v>214.23804518981854</v>
      </c>
      <c r="BY20" s="44">
        <f t="shared" si="141"/>
        <v>215.42495121293695</v>
      </c>
      <c r="BZ20" s="44">
        <f t="shared" si="141"/>
        <v>216.52048420713939</v>
      </c>
      <c r="CA20" s="44">
        <f t="shared" si="141"/>
        <v>218.1167159707008</v>
      </c>
      <c r="CB20" s="44">
        <f t="shared" si="141"/>
        <v>219.64513814203471</v>
      </c>
      <c r="CC20" s="44">
        <f t="shared" si="141"/>
        <v>221.12364385846635</v>
      </c>
      <c r="CD20" s="44">
        <f t="shared" si="141"/>
        <v>222.53398908069266</v>
      </c>
      <c r="CE20" s="44">
        <f t="shared" si="141"/>
        <v>223.90763093983085</v>
      </c>
      <c r="CF20" s="44">
        <f t="shared" si="141"/>
        <v>225.10187180584734</v>
      </c>
      <c r="CG20" s="44">
        <f t="shared" si="141"/>
        <v>226.22870604857638</v>
      </c>
      <c r="CH20" s="44">
        <f t="shared" si="141"/>
        <v>227.31561902756212</v>
      </c>
      <c r="CI20" s="44">
        <f t="shared" si="141"/>
        <v>228.36589095260317</v>
      </c>
      <c r="CJ20" s="44">
        <f t="shared" si="141"/>
        <v>229.34405245914812</v>
      </c>
      <c r="CK20" s="44">
        <f t="shared" si="141"/>
        <v>230.15450112921079</v>
      </c>
      <c r="CL20" s="44">
        <f t="shared" si="141"/>
        <v>230.95765910934989</v>
      </c>
      <c r="CM20" s="44">
        <f t="shared" si="141"/>
        <v>231.65840558233222</v>
      </c>
      <c r="CN20" s="44">
        <f t="shared" si="141"/>
        <v>232.31914295447839</v>
      </c>
      <c r="CO20" s="44">
        <f t="shared" si="141"/>
        <v>232.95681242684284</v>
      </c>
      <c r="CP20" s="44">
        <f t="shared" si="141"/>
        <v>233.7757329823597</v>
      </c>
      <c r="CQ20" s="44">
        <f t="shared" si="141"/>
        <v>234.54244034161493</v>
      </c>
      <c r="CR20" s="44">
        <f t="shared" si="141"/>
        <v>235.26944220946041</v>
      </c>
      <c r="CS20" s="44">
        <f t="shared" si="141"/>
        <v>235.92969639507814</v>
      </c>
      <c r="CT20" s="44">
        <f t="shared" si="141"/>
        <v>236.5523764328664</v>
      </c>
      <c r="CX20" s="30" t="s">
        <v>129</v>
      </c>
      <c r="CY20" s="140">
        <f>BN15</f>
        <v>995.54</v>
      </c>
      <c r="CZ20" s="140">
        <f>BN28</f>
        <v>150.06279632570121</v>
      </c>
      <c r="DA20" s="44">
        <f>BN33</f>
        <v>94.559244376435615</v>
      </c>
      <c r="DB20" s="140">
        <f>BN38+'Final Exhibits'!E22</f>
        <v>364.17746433172181</v>
      </c>
      <c r="DC20" s="140">
        <f>BN43</f>
        <v>38.153010421984582</v>
      </c>
      <c r="DD20" s="140">
        <f>BN48</f>
        <v>10.316431722494666</v>
      </c>
      <c r="DE20" s="140">
        <f>BN53</f>
        <v>36.996858591015354</v>
      </c>
      <c r="DF20" s="140">
        <f>BN58</f>
        <v>18.43038786364864</v>
      </c>
    </row>
    <row r="21" spans="1:110" ht="16" x14ac:dyDescent="0.2">
      <c r="A21" s="1" t="s">
        <v>130</v>
      </c>
      <c r="C21" s="54" t="s">
        <v>128</v>
      </c>
      <c r="D21" s="697">
        <v>179.71411764705886</v>
      </c>
      <c r="E21" s="697">
        <v>183.48705526857538</v>
      </c>
      <c r="F21" s="697">
        <v>185.38138147709853</v>
      </c>
      <c r="G21" s="697">
        <v>187.35891106089795</v>
      </c>
      <c r="H21" s="697">
        <v>189.29983621821691</v>
      </c>
      <c r="I21" s="697">
        <v>191.16887133958554</v>
      </c>
      <c r="J21" s="697">
        <v>185.26240010533587</v>
      </c>
      <c r="K21" s="697">
        <v>179.16808902120846</v>
      </c>
      <c r="L21" s="697">
        <v>172.87950035949672</v>
      </c>
      <c r="M21" s="697">
        <v>166.40551981344163</v>
      </c>
      <c r="N21" s="697">
        <v>159.76247662994524</v>
      </c>
      <c r="O21" s="697">
        <v>152.93670505340563</v>
      </c>
      <c r="P21" s="697">
        <v>145.96489265821199</v>
      </c>
      <c r="Q21" s="697">
        <v>138.82314632911388</v>
      </c>
      <c r="R21" s="697">
        <v>131.54652532470004</v>
      </c>
      <c r="S21" s="697">
        <v>124.12142530068199</v>
      </c>
      <c r="T21" s="697">
        <v>116.56404689235117</v>
      </c>
      <c r="U21" s="697">
        <v>108.87288481617469</v>
      </c>
      <c r="V21" s="697">
        <v>101.06730837682434</v>
      </c>
      <c r="W21" s="697">
        <v>93.139506632244974</v>
      </c>
      <c r="X21" s="697">
        <v>85.107843332739264</v>
      </c>
      <c r="Y21" s="697">
        <v>76.96669241023622</v>
      </c>
      <c r="Z21" s="697">
        <v>68.732233584209595</v>
      </c>
      <c r="AA21" s="697">
        <v>60.401024252779614</v>
      </c>
      <c r="AB21" s="697">
        <v>51.987061456204145</v>
      </c>
      <c r="AC21" s="697">
        <v>43.49141717935116</v>
      </c>
      <c r="AD21" s="697">
        <v>34.920462634039112</v>
      </c>
      <c r="AE21" s="697">
        <v>26.280020718448053</v>
      </c>
      <c r="AF21" s="697">
        <v>17.576847126443901</v>
      </c>
      <c r="AG21" s="697">
        <v>8.8143546948050862</v>
      </c>
      <c r="AH21" s="697">
        <v>0</v>
      </c>
      <c r="AI21" s="44"/>
      <c r="AJ21" s="697">
        <v>179.71411764705886</v>
      </c>
      <c r="AK21" s="697">
        <v>182.84911764705885</v>
      </c>
      <c r="AL21" s="697">
        <v>184.95529411764707</v>
      </c>
      <c r="AM21" s="697">
        <v>186.95470588235298</v>
      </c>
      <c r="AN21" s="697">
        <v>188.90558823529412</v>
      </c>
      <c r="AO21" s="697">
        <v>190.78852941176473</v>
      </c>
      <c r="AP21" s="697">
        <v>187.99051764705885</v>
      </c>
      <c r="AQ21" s="697">
        <v>185.05872000000002</v>
      </c>
      <c r="AR21" s="697">
        <v>181.98762352941182</v>
      </c>
      <c r="AS21" s="697">
        <v>178.78142117647062</v>
      </c>
      <c r="AT21" s="697">
        <v>175.45284705882358</v>
      </c>
      <c r="AU21" s="697">
        <v>171.9887788235294</v>
      </c>
      <c r="AV21" s="697">
        <v>168.41833411764711</v>
      </c>
      <c r="AW21" s="697">
        <v>164.72078117647064</v>
      </c>
      <c r="AX21" s="697">
        <v>160.92384000000004</v>
      </c>
      <c r="AY21" s="697">
        <v>157.01555294117654</v>
      </c>
      <c r="AZ21" s="697">
        <v>153.00725647058832</v>
      </c>
      <c r="BA21" s="697">
        <v>148.89553411764712</v>
      </c>
      <c r="BB21" s="697">
        <v>144.69793411764712</v>
      </c>
      <c r="BC21" s="697">
        <v>140.40436235294126</v>
      </c>
      <c r="BD21" s="697">
        <v>136.03143529411773</v>
      </c>
      <c r="BE21" s="697">
        <v>131.56999058823538</v>
      </c>
      <c r="BF21" s="697">
        <v>127.03571294117658</v>
      </c>
      <c r="BG21" s="697">
        <v>122.42037176470599</v>
      </c>
      <c r="BH21" s="697">
        <v>117.73872000000011</v>
      </c>
      <c r="BI21" s="697">
        <v>112.98850588235305</v>
      </c>
      <c r="BJ21" s="697">
        <v>108.17322352941187</v>
      </c>
      <c r="BK21" s="697">
        <v>103.29636705882365</v>
      </c>
      <c r="BL21" s="697">
        <v>98.365778823529524</v>
      </c>
      <c r="BM21" s="697">
        <v>93.376023529411896</v>
      </c>
      <c r="BN21" s="697">
        <v>88.339058823529413</v>
      </c>
      <c r="BO21" s="44"/>
      <c r="BP21" s="697">
        <f>BP20</f>
        <v>197.14508478260868</v>
      </c>
      <c r="BQ21" s="697">
        <f t="shared" ref="BQ21:CT21" si="142">BQ20</f>
        <v>201.39698740239936</v>
      </c>
      <c r="BR21" s="697">
        <f t="shared" si="142"/>
        <v>203.59040050551931</v>
      </c>
      <c r="BS21" s="697">
        <f t="shared" si="142"/>
        <v>205.84872388706171</v>
      </c>
      <c r="BT21" s="697">
        <f t="shared" si="142"/>
        <v>208.09779006296611</v>
      </c>
      <c r="BU21" s="697">
        <f t="shared" si="142"/>
        <v>210.27017405468487</v>
      </c>
      <c r="BV21" s="697">
        <f t="shared" si="142"/>
        <v>211.66977365597856</v>
      </c>
      <c r="BW21" s="697">
        <f t="shared" si="142"/>
        <v>212.97731627960169</v>
      </c>
      <c r="BX21" s="697">
        <f t="shared" si="142"/>
        <v>214.23804518981854</v>
      </c>
      <c r="BY21" s="697">
        <f t="shared" si="142"/>
        <v>215.42495121293695</v>
      </c>
      <c r="BZ21" s="697">
        <f t="shared" si="142"/>
        <v>216.52048420713939</v>
      </c>
      <c r="CA21" s="697">
        <f t="shared" si="142"/>
        <v>218.1167159707008</v>
      </c>
      <c r="CB21" s="697">
        <f t="shared" si="142"/>
        <v>219.64513814203471</v>
      </c>
      <c r="CC21" s="697">
        <f t="shared" si="142"/>
        <v>221.12364385846635</v>
      </c>
      <c r="CD21" s="697">
        <f t="shared" si="142"/>
        <v>222.53398908069266</v>
      </c>
      <c r="CE21" s="697">
        <f t="shared" si="142"/>
        <v>223.90763093983085</v>
      </c>
      <c r="CF21" s="697">
        <f t="shared" si="142"/>
        <v>225.10187180584734</v>
      </c>
      <c r="CG21" s="697">
        <f t="shared" si="142"/>
        <v>226.22870604857638</v>
      </c>
      <c r="CH21" s="697">
        <f t="shared" si="142"/>
        <v>227.31561902756212</v>
      </c>
      <c r="CI21" s="697">
        <f t="shared" si="142"/>
        <v>228.36589095260317</v>
      </c>
      <c r="CJ21" s="697">
        <f t="shared" si="142"/>
        <v>229.34405245914812</v>
      </c>
      <c r="CK21" s="697">
        <f t="shared" si="142"/>
        <v>230.15450112921079</v>
      </c>
      <c r="CL21" s="697">
        <f t="shared" si="142"/>
        <v>230.95765910934989</v>
      </c>
      <c r="CM21" s="697">
        <f t="shared" si="142"/>
        <v>231.65840558233222</v>
      </c>
      <c r="CN21" s="697">
        <f t="shared" si="142"/>
        <v>232.31914295447839</v>
      </c>
      <c r="CO21" s="697">
        <f t="shared" si="142"/>
        <v>232.95681242684284</v>
      </c>
      <c r="CP21" s="697">
        <f t="shared" si="142"/>
        <v>233.7757329823597</v>
      </c>
      <c r="CQ21" s="697">
        <f t="shared" si="142"/>
        <v>234.54244034161493</v>
      </c>
      <c r="CR21" s="697">
        <f t="shared" si="142"/>
        <v>235.26944220946041</v>
      </c>
      <c r="CS21" s="697">
        <f t="shared" si="142"/>
        <v>235.92969639507814</v>
      </c>
      <c r="CT21" s="697">
        <f t="shared" si="142"/>
        <v>236.5523764328664</v>
      </c>
    </row>
    <row r="22" spans="1:110" x14ac:dyDescent="0.2">
      <c r="A22" s="1"/>
      <c r="D22" s="44"/>
      <c r="E22" s="44"/>
      <c r="F22" s="44"/>
      <c r="G22" s="44"/>
      <c r="H22" s="44"/>
      <c r="I22" s="44"/>
      <c r="J22" s="44"/>
      <c r="K22" s="44"/>
      <c r="L22" s="44"/>
      <c r="M22" s="44"/>
      <c r="N22" s="44"/>
      <c r="O22" s="44"/>
      <c r="P22" s="44"/>
      <c r="Q22" s="44"/>
      <c r="R22" s="44"/>
      <c r="S22" s="44"/>
      <c r="T22" s="44"/>
      <c r="U22" s="44"/>
      <c r="V22" s="44"/>
      <c r="W22" s="44"/>
      <c r="X22" s="44"/>
      <c r="Y22" s="44"/>
      <c r="Z22" s="44"/>
      <c r="AA22" s="44"/>
      <c r="AB22" s="44"/>
      <c r="AC22" s="44"/>
      <c r="AD22" s="44"/>
      <c r="AE22" s="44"/>
      <c r="AF22" s="44"/>
      <c r="AG22" s="44"/>
      <c r="AH22" s="44"/>
      <c r="AI22" s="44"/>
      <c r="AJ22" s="44"/>
      <c r="AK22" s="44"/>
      <c r="AL22" s="44"/>
      <c r="AM22" s="44"/>
      <c r="AN22" s="44"/>
      <c r="AO22" s="44"/>
      <c r="AP22" s="44"/>
      <c r="AQ22" s="44"/>
      <c r="AR22" s="44"/>
      <c r="AS22" s="44"/>
      <c r="AT22" s="44"/>
      <c r="AU22" s="44"/>
      <c r="AV22" s="44"/>
      <c r="AW22" s="44"/>
      <c r="AX22" s="44"/>
      <c r="AY22" s="44"/>
      <c r="AZ22" s="44"/>
      <c r="BA22" s="44"/>
      <c r="BB22" s="44"/>
      <c r="BC22" s="44"/>
      <c r="BD22" s="44"/>
      <c r="BE22" s="44"/>
      <c r="BF22" s="44"/>
      <c r="BG22" s="44"/>
      <c r="BH22" s="44"/>
      <c r="BI22" s="44"/>
      <c r="BJ22" s="44"/>
      <c r="BK22" s="44"/>
      <c r="BL22" s="44"/>
      <c r="BM22" s="44"/>
      <c r="BN22" s="44"/>
      <c r="BO22" s="44"/>
      <c r="BP22" s="44"/>
      <c r="BQ22" s="44"/>
      <c r="BR22" s="44"/>
      <c r="BS22" s="44"/>
      <c r="BT22" s="44"/>
      <c r="BU22" s="44"/>
      <c r="BV22" s="44"/>
      <c r="BW22" s="44"/>
      <c r="BX22" s="44"/>
      <c r="BY22" s="44"/>
      <c r="BZ22" s="44"/>
      <c r="CA22" s="44"/>
      <c r="CB22" s="44"/>
      <c r="CC22" s="44"/>
      <c r="CD22" s="44"/>
      <c r="CE22" s="44"/>
      <c r="CF22" s="44"/>
      <c r="CG22" s="44"/>
      <c r="CH22" s="44"/>
      <c r="CI22" s="44"/>
      <c r="CJ22" s="44"/>
      <c r="CK22" s="44"/>
      <c r="CL22" s="44"/>
      <c r="CM22" s="44"/>
      <c r="CN22" s="44"/>
      <c r="CO22" s="44"/>
      <c r="CP22" s="44"/>
      <c r="CQ22" s="44"/>
      <c r="CR22" s="44"/>
      <c r="CS22" s="44"/>
      <c r="CT22" s="44"/>
    </row>
    <row r="23" spans="1:110" x14ac:dyDescent="0.2">
      <c r="A23" s="1" t="s">
        <v>131</v>
      </c>
      <c r="C23" s="54" t="s">
        <v>132</v>
      </c>
      <c r="D23" s="44">
        <f>AJ23</f>
        <v>64.937135491955502</v>
      </c>
      <c r="E23" s="44">
        <f t="shared" ref="E23:AH23" si="143">AK23</f>
        <v>66.49103425648201</v>
      </c>
      <c r="F23" s="44">
        <f t="shared" si="143"/>
        <v>67.162640984351214</v>
      </c>
      <c r="G23" s="44">
        <f t="shared" si="143"/>
        <v>67.901281543628585</v>
      </c>
      <c r="H23" s="44">
        <f t="shared" si="143"/>
        <v>68.639752829224733</v>
      </c>
      <c r="I23" s="44">
        <f t="shared" si="143"/>
        <v>69.352011876333336</v>
      </c>
      <c r="J23" s="44">
        <f t="shared" si="143"/>
        <v>69.809904440234646</v>
      </c>
      <c r="K23" s="44">
        <f t="shared" si="143"/>
        <v>70.237955334724461</v>
      </c>
      <c r="L23" s="44">
        <f t="shared" si="143"/>
        <v>70.650142577552046</v>
      </c>
      <c r="M23" s="44">
        <f t="shared" si="143"/>
        <v>71.038032395614778</v>
      </c>
      <c r="N23" s="44">
        <f t="shared" si="143"/>
        <v>71.396301449482834</v>
      </c>
      <c r="O23" s="44">
        <f t="shared" si="143"/>
        <v>71.918776182342668</v>
      </c>
      <c r="P23" s="44">
        <f t="shared" si="143"/>
        <v>72.42031290956389</v>
      </c>
      <c r="Q23" s="44">
        <f t="shared" si="143"/>
        <v>72.904019175152257</v>
      </c>
      <c r="R23" s="44">
        <f t="shared" si="143"/>
        <v>73.36666963102509</v>
      </c>
      <c r="S23" s="44">
        <f t="shared" si="143"/>
        <v>73.816309918730042</v>
      </c>
      <c r="T23" s="44">
        <f t="shared" si="143"/>
        <v>74.20729231813533</v>
      </c>
      <c r="U23" s="44">
        <f t="shared" si="143"/>
        <v>74.575612458174234</v>
      </c>
      <c r="V23" s="44">
        <f t="shared" si="143"/>
        <v>74.931718352451696</v>
      </c>
      <c r="W23" s="44">
        <f t="shared" si="143"/>
        <v>75.274839739066849</v>
      </c>
      <c r="X23" s="44">
        <f t="shared" si="143"/>
        <v>75.595133543170974</v>
      </c>
      <c r="Y23" s="44">
        <f t="shared" si="143"/>
        <v>75.859242929929096</v>
      </c>
      <c r="Z23" s="44">
        <f t="shared" si="143"/>
        <v>76.121889390436877</v>
      </c>
      <c r="AA23" s="44">
        <f t="shared" si="143"/>
        <v>76.349880037957064</v>
      </c>
      <c r="AB23" s="44">
        <f t="shared" si="143"/>
        <v>76.565620707393748</v>
      </c>
      <c r="AC23" s="44">
        <f t="shared" si="143"/>
        <v>76.77331540730394</v>
      </c>
      <c r="AD23" s="44">
        <f t="shared" si="143"/>
        <v>77.040756627314494</v>
      </c>
      <c r="AE23" s="44">
        <f t="shared" si="143"/>
        <v>77.291001312282006</v>
      </c>
      <c r="AF23" s="44">
        <f t="shared" si="143"/>
        <v>77.52862759925759</v>
      </c>
      <c r="AG23" s="44">
        <f t="shared" si="143"/>
        <v>77.743353261601058</v>
      </c>
      <c r="AH23" s="44">
        <f t="shared" si="143"/>
        <v>77.94662025281022</v>
      </c>
      <c r="AI23" s="44"/>
      <c r="AJ23" s="44">
        <v>64.937135491955502</v>
      </c>
      <c r="AK23" s="44">
        <v>66.49103425648201</v>
      </c>
      <c r="AL23" s="44">
        <v>67.162640984351214</v>
      </c>
      <c r="AM23" s="44">
        <v>67.901281543628585</v>
      </c>
      <c r="AN23" s="44">
        <v>68.639752829224733</v>
      </c>
      <c r="AO23" s="44">
        <v>69.352011876333336</v>
      </c>
      <c r="AP23" s="44">
        <v>69.809904440234646</v>
      </c>
      <c r="AQ23" s="44">
        <v>70.237955334724461</v>
      </c>
      <c r="AR23" s="44">
        <v>70.650142577552046</v>
      </c>
      <c r="AS23" s="44">
        <v>71.038032395614778</v>
      </c>
      <c r="AT23" s="44">
        <v>71.396301449482834</v>
      </c>
      <c r="AU23" s="44">
        <v>71.918776182342668</v>
      </c>
      <c r="AV23" s="44">
        <v>72.42031290956389</v>
      </c>
      <c r="AW23" s="44">
        <v>72.904019175152257</v>
      </c>
      <c r="AX23" s="44">
        <v>73.36666963102509</v>
      </c>
      <c r="AY23" s="44">
        <v>73.816309918730042</v>
      </c>
      <c r="AZ23" s="44">
        <v>74.20729231813533</v>
      </c>
      <c r="BA23" s="44">
        <v>74.575612458174234</v>
      </c>
      <c r="BB23" s="44">
        <v>74.931718352451696</v>
      </c>
      <c r="BC23" s="44">
        <v>75.274839739066849</v>
      </c>
      <c r="BD23" s="44">
        <v>75.595133543170974</v>
      </c>
      <c r="BE23" s="44">
        <v>75.859242929929096</v>
      </c>
      <c r="BF23" s="44">
        <v>76.121889390436877</v>
      </c>
      <c r="BG23" s="44">
        <v>76.349880037957064</v>
      </c>
      <c r="BH23" s="44">
        <v>76.565620707393748</v>
      </c>
      <c r="BI23" s="44">
        <v>76.77331540730394</v>
      </c>
      <c r="BJ23" s="44">
        <v>77.040756627314494</v>
      </c>
      <c r="BK23" s="44">
        <v>77.291001312282006</v>
      </c>
      <c r="BL23" s="44">
        <v>77.52862759925759</v>
      </c>
      <c r="BM23" s="44">
        <v>77.743353261601058</v>
      </c>
      <c r="BN23" s="44">
        <v>77.94662025281022</v>
      </c>
      <c r="BO23" s="44"/>
      <c r="BP23" s="44">
        <f>D23</f>
        <v>64.937135491955502</v>
      </c>
      <c r="BQ23" s="44">
        <f t="shared" ref="BQ23:CT23" si="144">E23</f>
        <v>66.49103425648201</v>
      </c>
      <c r="BR23" s="44">
        <f t="shared" si="144"/>
        <v>67.162640984351214</v>
      </c>
      <c r="BS23" s="44">
        <f t="shared" si="144"/>
        <v>67.901281543628585</v>
      </c>
      <c r="BT23" s="44">
        <f t="shared" si="144"/>
        <v>68.639752829224733</v>
      </c>
      <c r="BU23" s="44">
        <f t="shared" si="144"/>
        <v>69.352011876333336</v>
      </c>
      <c r="BV23" s="44">
        <f t="shared" si="144"/>
        <v>69.809904440234646</v>
      </c>
      <c r="BW23" s="44">
        <f t="shared" si="144"/>
        <v>70.237955334724461</v>
      </c>
      <c r="BX23" s="44">
        <f t="shared" si="144"/>
        <v>70.650142577552046</v>
      </c>
      <c r="BY23" s="44">
        <f t="shared" si="144"/>
        <v>71.038032395614778</v>
      </c>
      <c r="BZ23" s="44">
        <f t="shared" si="144"/>
        <v>71.396301449482834</v>
      </c>
      <c r="CA23" s="44">
        <f t="shared" si="144"/>
        <v>71.918776182342668</v>
      </c>
      <c r="CB23" s="44">
        <f t="shared" si="144"/>
        <v>72.42031290956389</v>
      </c>
      <c r="CC23" s="44">
        <f t="shared" si="144"/>
        <v>72.904019175152257</v>
      </c>
      <c r="CD23" s="44">
        <f t="shared" si="144"/>
        <v>73.36666963102509</v>
      </c>
      <c r="CE23" s="44">
        <f t="shared" si="144"/>
        <v>73.816309918730042</v>
      </c>
      <c r="CF23" s="44">
        <f t="shared" si="144"/>
        <v>74.20729231813533</v>
      </c>
      <c r="CG23" s="44">
        <f t="shared" si="144"/>
        <v>74.575612458174234</v>
      </c>
      <c r="CH23" s="44">
        <f t="shared" si="144"/>
        <v>74.931718352451696</v>
      </c>
      <c r="CI23" s="44">
        <f t="shared" si="144"/>
        <v>75.274839739066849</v>
      </c>
      <c r="CJ23" s="44">
        <f t="shared" si="144"/>
        <v>75.595133543170974</v>
      </c>
      <c r="CK23" s="44">
        <f t="shared" si="144"/>
        <v>75.859242929929096</v>
      </c>
      <c r="CL23" s="44">
        <f t="shared" si="144"/>
        <v>76.121889390436877</v>
      </c>
      <c r="CM23" s="44">
        <f t="shared" si="144"/>
        <v>76.349880037957064</v>
      </c>
      <c r="CN23" s="44">
        <f t="shared" si="144"/>
        <v>76.565620707393748</v>
      </c>
      <c r="CO23" s="44">
        <f t="shared" si="144"/>
        <v>76.77331540730394</v>
      </c>
      <c r="CP23" s="44">
        <f t="shared" si="144"/>
        <v>77.040756627314494</v>
      </c>
      <c r="CQ23" s="44">
        <f t="shared" si="144"/>
        <v>77.291001312282006</v>
      </c>
      <c r="CR23" s="44">
        <f t="shared" si="144"/>
        <v>77.52862759925759</v>
      </c>
      <c r="CS23" s="44">
        <f t="shared" si="144"/>
        <v>77.743353261601058</v>
      </c>
      <c r="CT23" s="44">
        <f t="shared" si="144"/>
        <v>77.94662025281022</v>
      </c>
    </row>
    <row r="24" spans="1:110" ht="16" x14ac:dyDescent="0.2">
      <c r="A24" s="1" t="s">
        <v>133</v>
      </c>
      <c r="C24" s="54" t="s">
        <v>132</v>
      </c>
      <c r="D24" s="697">
        <v>47.923764705882355</v>
      </c>
      <c r="E24" s="697">
        <v>48.759764705882347</v>
      </c>
      <c r="F24" s="697">
        <v>49.321411764705886</v>
      </c>
      <c r="G24" s="697">
        <v>49.854588235294123</v>
      </c>
      <c r="H24" s="697">
        <v>50.374823529411756</v>
      </c>
      <c r="I24" s="697">
        <v>50.876941176470581</v>
      </c>
      <c r="J24" s="697">
        <v>61.636235294117647</v>
      </c>
      <c r="K24" s="697">
        <v>72.572047058823543</v>
      </c>
      <c r="L24" s="697">
        <v>83.672470588235328</v>
      </c>
      <c r="M24" s="697">
        <v>94.928188235294144</v>
      </c>
      <c r="N24" s="697">
        <v>106.33505882352945</v>
      </c>
      <c r="O24" s="697">
        <v>117.87392941176473</v>
      </c>
      <c r="P24" s="697">
        <v>129.55256470588242</v>
      </c>
      <c r="Q24" s="697">
        <v>141.34456470588242</v>
      </c>
      <c r="R24" s="697">
        <v>153.26080000000007</v>
      </c>
      <c r="S24" s="697">
        <v>165.27952941176483</v>
      </c>
      <c r="T24" s="697">
        <v>177.39971764705894</v>
      </c>
      <c r="U24" s="697">
        <v>189.60480000000013</v>
      </c>
      <c r="V24" s="697">
        <v>201.90409411764716</v>
      </c>
      <c r="W24" s="697">
        <v>214.27171764705895</v>
      </c>
      <c r="X24" s="697">
        <v>226.71905882352954</v>
      </c>
      <c r="Y24" s="697">
        <v>239.21816470588243</v>
      </c>
      <c r="Z24" s="697">
        <v>251.78249411764716</v>
      </c>
      <c r="AA24" s="697">
        <v>264.38202352941187</v>
      </c>
      <c r="AB24" s="697">
        <v>277.03228235294131</v>
      </c>
      <c r="AC24" s="697">
        <v>289.71411764705897</v>
      </c>
      <c r="AD24" s="697">
        <v>302.41976470588253</v>
      </c>
      <c r="AE24" s="697">
        <v>315.1414588235296</v>
      </c>
      <c r="AF24" s="697">
        <v>327.88592941176489</v>
      </c>
      <c r="AG24" s="697">
        <v>340.61694117647079</v>
      </c>
      <c r="AH24" s="697">
        <v>353.35623529411771</v>
      </c>
      <c r="AI24" s="44"/>
      <c r="AJ24" s="697">
        <v>47.923764705882355</v>
      </c>
      <c r="AK24" s="697">
        <v>49.043009009835686</v>
      </c>
      <c r="AL24" s="697">
        <v>49.510594552302337</v>
      </c>
      <c r="AM24" s="697">
        <v>50.034055334568095</v>
      </c>
      <c r="AN24" s="697">
        <v>50.549869633829474</v>
      </c>
      <c r="AO24" s="697">
        <v>51.045812992423024</v>
      </c>
      <c r="AP24" s="697">
        <v>57.710366548681634</v>
      </c>
      <c r="AQ24" s="697">
        <v>64.475480686175246</v>
      </c>
      <c r="AR24" s="697">
        <v>71.330905883043727</v>
      </c>
      <c r="AS24" s="697">
        <v>78.272037116579028</v>
      </c>
      <c r="AT24" s="697">
        <v>85.298827953273715</v>
      </c>
      <c r="AU24" s="697">
        <v>92.393513195521791</v>
      </c>
      <c r="AV24" s="697">
        <v>99.571282296968846</v>
      </c>
      <c r="AW24" s="697">
        <v>106.80384547860011</v>
      </c>
      <c r="AX24" s="697">
        <v>114.11080084354214</v>
      </c>
      <c r="AY24" s="697">
        <v>121.46836321303972</v>
      </c>
      <c r="AZ24" s="697">
        <v>128.88239938454234</v>
      </c>
      <c r="BA24" s="697">
        <v>136.33799076444205</v>
      </c>
      <c r="BB24" s="697">
        <v>143.84918350690839</v>
      </c>
      <c r="BC24" s="697">
        <v>151.38965926862255</v>
      </c>
      <c r="BD24" s="697">
        <v>158.97745519580079</v>
      </c>
      <c r="BE24" s="697">
        <v>166.58418345104462</v>
      </c>
      <c r="BF24" s="697">
        <v>174.22994986996093</v>
      </c>
      <c r="BG24" s="697">
        <v>181.88429854234025</v>
      </c>
      <c r="BH24" s="697">
        <v>189.56940261036468</v>
      </c>
      <c r="BI24" s="697">
        <v>197.26449286974292</v>
      </c>
      <c r="BJ24" s="697">
        <v>204.96765877400054</v>
      </c>
      <c r="BK24" s="697">
        <v>212.67424214194162</v>
      </c>
      <c r="BL24" s="697">
        <v>220.39257835227988</v>
      </c>
      <c r="BM24" s="697">
        <v>228.08907081939793</v>
      </c>
      <c r="BN24" s="697">
        <v>235.79208775995644</v>
      </c>
      <c r="BO24" s="44"/>
      <c r="BP24" s="697">
        <f>BP23</f>
        <v>64.937135491955502</v>
      </c>
      <c r="BQ24" s="697">
        <f t="shared" ref="BQ24:CT24" si="145">BQ23</f>
        <v>66.49103425648201</v>
      </c>
      <c r="BR24" s="697">
        <f t="shared" si="145"/>
        <v>67.162640984351214</v>
      </c>
      <c r="BS24" s="697">
        <f t="shared" si="145"/>
        <v>67.901281543628585</v>
      </c>
      <c r="BT24" s="697">
        <f t="shared" si="145"/>
        <v>68.639752829224733</v>
      </c>
      <c r="BU24" s="697">
        <f t="shared" si="145"/>
        <v>69.352011876333336</v>
      </c>
      <c r="BV24" s="697">
        <f t="shared" si="145"/>
        <v>69.809904440234646</v>
      </c>
      <c r="BW24" s="697">
        <f t="shared" si="145"/>
        <v>70.237955334724461</v>
      </c>
      <c r="BX24" s="697">
        <f t="shared" si="145"/>
        <v>70.650142577552046</v>
      </c>
      <c r="BY24" s="697">
        <f t="shared" si="145"/>
        <v>71.038032395614778</v>
      </c>
      <c r="BZ24" s="697">
        <f t="shared" si="145"/>
        <v>71.396301449482834</v>
      </c>
      <c r="CA24" s="697">
        <f t="shared" si="145"/>
        <v>71.918776182342668</v>
      </c>
      <c r="CB24" s="697">
        <f t="shared" si="145"/>
        <v>72.42031290956389</v>
      </c>
      <c r="CC24" s="697">
        <f t="shared" si="145"/>
        <v>72.904019175152257</v>
      </c>
      <c r="CD24" s="697">
        <f t="shared" si="145"/>
        <v>73.36666963102509</v>
      </c>
      <c r="CE24" s="697">
        <f t="shared" si="145"/>
        <v>73.816309918730042</v>
      </c>
      <c r="CF24" s="697">
        <f t="shared" si="145"/>
        <v>74.20729231813533</v>
      </c>
      <c r="CG24" s="697">
        <f t="shared" si="145"/>
        <v>74.575612458174234</v>
      </c>
      <c r="CH24" s="697">
        <f t="shared" si="145"/>
        <v>74.931718352451696</v>
      </c>
      <c r="CI24" s="697">
        <f t="shared" si="145"/>
        <v>75.274839739066849</v>
      </c>
      <c r="CJ24" s="697">
        <f t="shared" si="145"/>
        <v>75.595133543170974</v>
      </c>
      <c r="CK24" s="697">
        <f t="shared" si="145"/>
        <v>75.859242929929096</v>
      </c>
      <c r="CL24" s="697">
        <f t="shared" si="145"/>
        <v>76.121889390436877</v>
      </c>
      <c r="CM24" s="697">
        <f t="shared" si="145"/>
        <v>76.349880037957064</v>
      </c>
      <c r="CN24" s="697">
        <f t="shared" si="145"/>
        <v>76.565620707393748</v>
      </c>
      <c r="CO24" s="697">
        <f t="shared" si="145"/>
        <v>76.77331540730394</v>
      </c>
      <c r="CP24" s="697">
        <f t="shared" si="145"/>
        <v>77.040756627314494</v>
      </c>
      <c r="CQ24" s="697">
        <f t="shared" si="145"/>
        <v>77.291001312282006</v>
      </c>
      <c r="CR24" s="697">
        <f t="shared" si="145"/>
        <v>77.52862759925759</v>
      </c>
      <c r="CS24" s="697">
        <f t="shared" si="145"/>
        <v>77.743353261601058</v>
      </c>
      <c r="CT24" s="697">
        <f t="shared" si="145"/>
        <v>77.94662025281022</v>
      </c>
    </row>
    <row r="25" spans="1:110" x14ac:dyDescent="0.2">
      <c r="A25" s="1"/>
      <c r="D25" s="44"/>
      <c r="E25" s="44"/>
      <c r="F25" s="44"/>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4"/>
      <c r="AM25" s="44"/>
      <c r="AN25" s="44"/>
      <c r="AO25" s="44"/>
      <c r="AP25" s="44"/>
      <c r="AQ25" s="44"/>
      <c r="AR25" s="44"/>
      <c r="AS25" s="44"/>
      <c r="AT25" s="44"/>
      <c r="AU25" s="44"/>
      <c r="AV25" s="44"/>
      <c r="AW25" s="44"/>
      <c r="AX25" s="44"/>
      <c r="AY25" s="44"/>
      <c r="AZ25" s="44"/>
      <c r="BA25" s="44"/>
      <c r="BB25" s="44"/>
      <c r="BC25" s="44"/>
      <c r="BD25" s="44"/>
      <c r="BE25" s="44"/>
      <c r="BF25" s="44"/>
      <c r="BG25" s="44"/>
      <c r="BH25" s="44"/>
      <c r="BI25" s="44"/>
      <c r="BJ25" s="44"/>
      <c r="BK25" s="44"/>
      <c r="BL25" s="44"/>
      <c r="BM25" s="44"/>
      <c r="BN25" s="44"/>
      <c r="BO25" s="44"/>
      <c r="BP25" s="44"/>
      <c r="BQ25" s="44"/>
      <c r="BR25" s="44"/>
      <c r="BS25" s="44"/>
      <c r="BT25" s="44"/>
      <c r="BU25" s="44"/>
      <c r="BV25" s="44"/>
      <c r="BW25" s="44"/>
      <c r="BX25" s="44"/>
      <c r="BY25" s="44"/>
      <c r="BZ25" s="44"/>
      <c r="CA25" s="44"/>
      <c r="CB25" s="44"/>
      <c r="CC25" s="44"/>
      <c r="CD25" s="44"/>
      <c r="CE25" s="44"/>
      <c r="CF25" s="44"/>
      <c r="CG25" s="44"/>
      <c r="CH25" s="44"/>
      <c r="CI25" s="44"/>
      <c r="CJ25" s="44"/>
      <c r="CK25" s="44"/>
      <c r="CL25" s="44"/>
      <c r="CM25" s="44"/>
      <c r="CN25" s="44"/>
      <c r="CO25" s="44"/>
      <c r="CP25" s="44"/>
      <c r="CQ25" s="44"/>
      <c r="CR25" s="44"/>
      <c r="CS25" s="44"/>
      <c r="CT25" s="44"/>
    </row>
    <row r="26" spans="1:110" s="52" customFormat="1" ht="16" thickBot="1" x14ac:dyDescent="0.25">
      <c r="A26" s="52" t="s">
        <v>4</v>
      </c>
      <c r="C26" s="635"/>
    </row>
    <row r="27" spans="1:110" s="554" customFormat="1" x14ac:dyDescent="0.2">
      <c r="A27" s="550" t="s">
        <v>134</v>
      </c>
      <c r="B27" s="551"/>
      <c r="C27" s="552" t="str">
        <f>'Yearly HC Ethylene'!C4</f>
        <v>m Tons</v>
      </c>
      <c r="D27" s="553">
        <f>BP28</f>
        <v>162.69230769230768</v>
      </c>
      <c r="E27" s="553">
        <f t="shared" ref="E27:AH27" si="146">BQ28</f>
        <v>167.39850430954519</v>
      </c>
      <c r="F27" s="553">
        <f t="shared" si="146"/>
        <v>171.62040937873633</v>
      </c>
      <c r="G27" s="553">
        <f t="shared" si="146"/>
        <v>175.95606104581717</v>
      </c>
      <c r="H27" s="553">
        <f t="shared" si="146"/>
        <v>180.40948095153186</v>
      </c>
      <c r="I27" s="553">
        <f t="shared" si="146"/>
        <v>184.98494957451305</v>
      </c>
      <c r="J27" s="553">
        <f t="shared" si="146"/>
        <v>189.18551886714596</v>
      </c>
      <c r="K27" s="553">
        <f t="shared" si="146"/>
        <v>193.49413206129458</v>
      </c>
      <c r="L27" s="553">
        <f t="shared" si="146"/>
        <v>197.91520205880366</v>
      </c>
      <c r="M27" s="553">
        <f t="shared" si="146"/>
        <v>202.45350784224726</v>
      </c>
      <c r="N27" s="553">
        <f t="shared" si="146"/>
        <v>207.1142382406878</v>
      </c>
      <c r="O27" s="553">
        <f t="shared" si="146"/>
        <v>209.86049508088257</v>
      </c>
      <c r="P27" s="553">
        <f t="shared" si="146"/>
        <v>212.67168831561386</v>
      </c>
      <c r="Q27" s="553">
        <f t="shared" si="146"/>
        <v>215.55274358073115</v>
      </c>
      <c r="R27" s="553">
        <f t="shared" si="146"/>
        <v>218.50919325316443</v>
      </c>
      <c r="S27" s="553">
        <f t="shared" si="146"/>
        <v>221.5472565029699</v>
      </c>
      <c r="T27" s="553">
        <f t="shared" si="146"/>
        <v>224.5283484426771</v>
      </c>
      <c r="U27" s="553">
        <f t="shared" si="146"/>
        <v>227.60255785619916</v>
      </c>
      <c r="V27" s="553">
        <f t="shared" si="146"/>
        <v>230.77870001167108</v>
      </c>
      <c r="W27" s="553">
        <f t="shared" si="146"/>
        <v>234.06671810473532</v>
      </c>
      <c r="X27" s="553">
        <f t="shared" si="146"/>
        <v>237.47783287929306</v>
      </c>
      <c r="Y27" s="553">
        <f t="shared" si="146"/>
        <v>240.89923184978946</v>
      </c>
      <c r="Z27" s="553">
        <f t="shared" si="146"/>
        <v>244.46810353822016</v>
      </c>
      <c r="AA27" s="553">
        <f t="shared" si="146"/>
        <v>248.20057341809886</v>
      </c>
      <c r="AB27" s="553">
        <f t="shared" si="146"/>
        <v>252.11487061900596</v>
      </c>
      <c r="AC27" s="553">
        <f t="shared" si="146"/>
        <v>256.23160784124508</v>
      </c>
      <c r="AD27" s="553">
        <f t="shared" si="146"/>
        <v>260.4437228157434</v>
      </c>
      <c r="AE27" s="553">
        <f t="shared" si="146"/>
        <v>264.90526103567669</v>
      </c>
      <c r="AF27" s="553">
        <f t="shared" si="146"/>
        <v>269.6460228703732</v>
      </c>
      <c r="AG27" s="553">
        <f t="shared" si="146"/>
        <v>274.69973867736547</v>
      </c>
      <c r="AH27" s="553">
        <f t="shared" si="146"/>
        <v>280.10459284033055</v>
      </c>
      <c r="AI27" s="553"/>
      <c r="AJ27" s="553">
        <f>D27</f>
        <v>162.69230769230768</v>
      </c>
      <c r="AK27" s="553">
        <f t="shared" ref="AK27:BN27" si="147">E27</f>
        <v>167.39850430954519</v>
      </c>
      <c r="AL27" s="553">
        <f t="shared" si="147"/>
        <v>171.62040937873633</v>
      </c>
      <c r="AM27" s="553">
        <f t="shared" si="147"/>
        <v>175.95606104581717</v>
      </c>
      <c r="AN27" s="553">
        <f t="shared" si="147"/>
        <v>180.40948095153186</v>
      </c>
      <c r="AO27" s="553">
        <f t="shared" si="147"/>
        <v>184.98494957451305</v>
      </c>
      <c r="AP27" s="553">
        <f t="shared" si="147"/>
        <v>189.18551886714596</v>
      </c>
      <c r="AQ27" s="553">
        <f t="shared" si="147"/>
        <v>193.49413206129458</v>
      </c>
      <c r="AR27" s="553">
        <f t="shared" si="147"/>
        <v>197.91520205880366</v>
      </c>
      <c r="AS27" s="553">
        <f t="shared" si="147"/>
        <v>202.45350784224726</v>
      </c>
      <c r="AT27" s="553">
        <f t="shared" si="147"/>
        <v>207.1142382406878</v>
      </c>
      <c r="AU27" s="553">
        <f t="shared" si="147"/>
        <v>209.86049508088257</v>
      </c>
      <c r="AV27" s="553">
        <f t="shared" si="147"/>
        <v>212.67168831561386</v>
      </c>
      <c r="AW27" s="553">
        <f t="shared" si="147"/>
        <v>215.55274358073115</v>
      </c>
      <c r="AX27" s="553">
        <f t="shared" si="147"/>
        <v>218.50919325316443</v>
      </c>
      <c r="AY27" s="553">
        <f t="shared" si="147"/>
        <v>221.5472565029699</v>
      </c>
      <c r="AZ27" s="553">
        <f t="shared" si="147"/>
        <v>224.5283484426771</v>
      </c>
      <c r="BA27" s="553">
        <f t="shared" si="147"/>
        <v>227.60255785619916</v>
      </c>
      <c r="BB27" s="553">
        <f t="shared" si="147"/>
        <v>230.77870001167108</v>
      </c>
      <c r="BC27" s="553">
        <f t="shared" si="147"/>
        <v>234.06671810473532</v>
      </c>
      <c r="BD27" s="553">
        <f t="shared" si="147"/>
        <v>237.47783287929306</v>
      </c>
      <c r="BE27" s="553">
        <f t="shared" si="147"/>
        <v>240.89923184978946</v>
      </c>
      <c r="BF27" s="553">
        <f t="shared" si="147"/>
        <v>244.46810353822016</v>
      </c>
      <c r="BG27" s="553">
        <f t="shared" si="147"/>
        <v>248.20057341809886</v>
      </c>
      <c r="BH27" s="553">
        <f t="shared" si="147"/>
        <v>252.11487061900596</v>
      </c>
      <c r="BI27" s="553">
        <f t="shared" si="147"/>
        <v>256.23160784124508</v>
      </c>
      <c r="BJ27" s="553">
        <f t="shared" si="147"/>
        <v>260.4437228157434</v>
      </c>
      <c r="BK27" s="553">
        <f t="shared" si="147"/>
        <v>264.90526103567669</v>
      </c>
      <c r="BL27" s="553">
        <f t="shared" si="147"/>
        <v>269.6460228703732</v>
      </c>
      <c r="BM27" s="553">
        <f t="shared" si="147"/>
        <v>274.69973867736547</v>
      </c>
      <c r="BN27" s="553">
        <f t="shared" si="147"/>
        <v>280.10459284033055</v>
      </c>
      <c r="BO27" s="553"/>
      <c r="BP27" s="553">
        <f>AJ27</f>
        <v>162.69230769230768</v>
      </c>
      <c r="BQ27" s="553">
        <f t="shared" ref="BQ27" si="148">AK27</f>
        <v>167.39850430954519</v>
      </c>
      <c r="BR27" s="553">
        <f t="shared" ref="BR27" si="149">AL27</f>
        <v>171.62040937873633</v>
      </c>
      <c r="BS27" s="553">
        <f t="shared" ref="BS27" si="150">AM27</f>
        <v>175.95606104581717</v>
      </c>
      <c r="BT27" s="553">
        <f t="shared" ref="BT27" si="151">AN27</f>
        <v>180.40948095153186</v>
      </c>
      <c r="BU27" s="553">
        <f t="shared" ref="BU27" si="152">AO27</f>
        <v>184.98494957451305</v>
      </c>
      <c r="BV27" s="553">
        <f t="shared" ref="BV27" si="153">AP27</f>
        <v>189.18551886714596</v>
      </c>
      <c r="BW27" s="553">
        <f t="shared" ref="BW27" si="154">AQ27</f>
        <v>193.49413206129458</v>
      </c>
      <c r="BX27" s="553">
        <f t="shared" ref="BX27" si="155">AR27</f>
        <v>197.91520205880366</v>
      </c>
      <c r="BY27" s="553">
        <f t="shared" ref="BY27" si="156">AS27</f>
        <v>202.45350784224726</v>
      </c>
      <c r="BZ27" s="553">
        <f t="shared" ref="BZ27" si="157">AT27</f>
        <v>207.1142382406878</v>
      </c>
      <c r="CA27" s="553">
        <f t="shared" ref="CA27" si="158">AU27</f>
        <v>209.86049508088257</v>
      </c>
      <c r="CB27" s="553">
        <f t="shared" ref="CB27" si="159">AV27</f>
        <v>212.67168831561386</v>
      </c>
      <c r="CC27" s="553">
        <f t="shared" ref="CC27" si="160">AW27</f>
        <v>215.55274358073115</v>
      </c>
      <c r="CD27" s="553">
        <f t="shared" ref="CD27" si="161">AX27</f>
        <v>218.50919325316443</v>
      </c>
      <c r="CE27" s="553">
        <f t="shared" ref="CE27" si="162">AY27</f>
        <v>221.5472565029699</v>
      </c>
      <c r="CF27" s="553">
        <f t="shared" ref="CF27" si="163">AZ27</f>
        <v>224.5283484426771</v>
      </c>
      <c r="CG27" s="553">
        <f t="shared" ref="CG27" si="164">BA27</f>
        <v>227.60255785619916</v>
      </c>
      <c r="CH27" s="553">
        <f t="shared" ref="CH27" si="165">BB27</f>
        <v>230.77870001167108</v>
      </c>
      <c r="CI27" s="553">
        <f t="shared" ref="CI27" si="166">BC27</f>
        <v>234.06671810473532</v>
      </c>
      <c r="CJ27" s="553">
        <f t="shared" ref="CJ27" si="167">BD27</f>
        <v>237.47783287929306</v>
      </c>
      <c r="CK27" s="553">
        <f t="shared" ref="CK27" si="168">BE27</f>
        <v>240.89923184978946</v>
      </c>
      <c r="CL27" s="553">
        <f t="shared" ref="CL27" si="169">BF27</f>
        <v>244.46810353822016</v>
      </c>
      <c r="CM27" s="553">
        <f t="shared" ref="CM27" si="170">BG27</f>
        <v>248.20057341809886</v>
      </c>
      <c r="CN27" s="553">
        <f t="shared" ref="CN27" si="171">BH27</f>
        <v>252.11487061900596</v>
      </c>
      <c r="CO27" s="553">
        <f t="shared" ref="CO27" si="172">BI27</f>
        <v>256.23160784124508</v>
      </c>
      <c r="CP27" s="553">
        <f t="shared" ref="CP27" si="173">BJ27</f>
        <v>260.4437228157434</v>
      </c>
      <c r="CQ27" s="553">
        <f t="shared" ref="CQ27" si="174">BK27</f>
        <v>264.90526103567669</v>
      </c>
      <c r="CR27" s="553">
        <f t="shared" ref="CR27" si="175">BL27</f>
        <v>269.6460228703732</v>
      </c>
      <c r="CS27" s="553">
        <f t="shared" ref="CS27" si="176">BM27</f>
        <v>274.69973867736547</v>
      </c>
      <c r="CT27" s="553">
        <f t="shared" ref="CT27" si="177">BN27</f>
        <v>280.10459284033055</v>
      </c>
    </row>
    <row r="28" spans="1:110" x14ac:dyDescent="0.2">
      <c r="A28" s="1" t="s">
        <v>135</v>
      </c>
      <c r="C28" s="54" t="str">
        <f>'Yearly HC Ethylene'!C157</f>
        <v>m Tons</v>
      </c>
      <c r="D28" s="44">
        <f>'Yearly HC Ethylene'!D157</f>
        <v>162.69223358280146</v>
      </c>
      <c r="E28" s="44">
        <f>'Yearly HC Ethylene'!E157</f>
        <v>163.75254581118529</v>
      </c>
      <c r="F28" s="44">
        <f>'Yearly HC Ethylene'!F157</f>
        <v>164.24581940926498</v>
      </c>
      <c r="G28" s="44">
        <f>'Yearly HC Ethylene'!G157</f>
        <v>164.77618424957902</v>
      </c>
      <c r="H28" s="44">
        <f>'Yearly HC Ethylene'!H157</f>
        <v>165.35365852688653</v>
      </c>
      <c r="I28" s="44">
        <f>'Yearly HC Ethylene'!I157</f>
        <v>165.98822481776361</v>
      </c>
      <c r="J28" s="44">
        <f>'Yearly HC Ethylene'!J157</f>
        <v>166.19597551016966</v>
      </c>
      <c r="K28" s="44">
        <f>'Yearly HC Ethylene'!K157</f>
        <v>166.40801305428323</v>
      </c>
      <c r="L28" s="44">
        <f>'Yearly HC Ethylene'!L157</f>
        <v>166.62567013532603</v>
      </c>
      <c r="M28" s="44">
        <f>'Yearly HC Ethylene'!M157</f>
        <v>166.84890091437356</v>
      </c>
      <c r="N28" s="44">
        <f>'Yearly HC Ethylene'!N157</f>
        <v>167.07508203120986</v>
      </c>
      <c r="O28" s="44">
        <f>'Yearly HC Ethylene'!O157</f>
        <v>163.56096922506865</v>
      </c>
      <c r="P28" s="44">
        <f>'Yearly HC Ethylene'!P157</f>
        <v>160.32691684297518</v>
      </c>
      <c r="Q28" s="44">
        <f>'Yearly HC Ethylene'!Q157</f>
        <v>156.84862482173082</v>
      </c>
      <c r="R28" s="44">
        <f>'Yearly HC Ethylene'!R157</f>
        <v>153.41879701057408</v>
      </c>
      <c r="S28" s="44">
        <f>'Yearly HC Ethylene'!S157</f>
        <v>150.05599413492538</v>
      </c>
      <c r="T28" s="44">
        <f>'Yearly HC Ethylene'!T157</f>
        <v>146.56454934032365</v>
      </c>
      <c r="U28" s="44">
        <f>'Yearly HC Ethylene'!U157</f>
        <v>143.06444929545259</v>
      </c>
      <c r="V28" s="44">
        <f>'Yearly HC Ethylene'!V157</f>
        <v>139.61941731577929</v>
      </c>
      <c r="W28" s="44">
        <f>'Yearly HC Ethylene'!W157</f>
        <v>136.26050518699631</v>
      </c>
      <c r="X28" s="44">
        <f>'Yearly HC Ethylene'!X157</f>
        <v>133.01406304629521</v>
      </c>
      <c r="Y28" s="44">
        <f>'Yearly HC Ethylene'!Y157</f>
        <v>127.60681732610749</v>
      </c>
      <c r="Z28" s="44">
        <f>'Yearly HC Ethylene'!Z157</f>
        <v>123.09169340342262</v>
      </c>
      <c r="AA28" s="44">
        <f>'Yearly HC Ethylene'!AA157</f>
        <v>118.79557044655941</v>
      </c>
      <c r="AB28" s="44">
        <f>'Yearly HC Ethylene'!AB157</f>
        <v>114.72366556558069</v>
      </c>
      <c r="AC28" s="44">
        <f>'Yearly HC Ethylene'!AC157</f>
        <v>110.88616870863794</v>
      </c>
      <c r="AD28" s="44">
        <f>'Yearly HC Ethylene'!AD157</f>
        <v>107.20019916080884</v>
      </c>
      <c r="AE28" s="44">
        <f>'Yearly HC Ethylene'!AE157</f>
        <v>103.76978364054291</v>
      </c>
      <c r="AF28" s="44">
        <f>'Yearly HC Ethylene'!AF157</f>
        <v>100.65999970747494</v>
      </c>
      <c r="AG28" s="44">
        <f>'Yearly HC Ethylene'!AG157</f>
        <v>98.035763494469933</v>
      </c>
      <c r="AH28" s="44">
        <f>'Yearly HC Ethylene'!AH157</f>
        <v>95.249512216363968</v>
      </c>
      <c r="AI28" s="44"/>
      <c r="AJ28" s="44">
        <f>'Yearly LC Ethylene'!D157</f>
        <v>162.69226522814685</v>
      </c>
      <c r="AK28" s="44">
        <f>'Yearly LC Ethylene'!E157</f>
        <v>164.65128161381639</v>
      </c>
      <c r="AL28" s="44">
        <f>'Yearly LC Ethylene'!F157</f>
        <v>166.08324426042361</v>
      </c>
      <c r="AM28" s="44">
        <f>'Yearly LC Ethylene'!G157</f>
        <v>167.59368438023816</v>
      </c>
      <c r="AN28" s="44">
        <f>'Yearly LC Ethylene'!H157</f>
        <v>169.19409599862041</v>
      </c>
      <c r="AO28" s="44">
        <f>'Yearly LC Ethylene'!I157</f>
        <v>170.89604421518078</v>
      </c>
      <c r="AP28" s="44">
        <f>'Yearly LC Ethylene'!J157</f>
        <v>172.20739960619403</v>
      </c>
      <c r="AQ28" s="44">
        <f>'Yearly LC Ethylene'!K157</f>
        <v>173.56734629134397</v>
      </c>
      <c r="AR28" s="44">
        <f>'Yearly LC Ethylene'!L157</f>
        <v>174.97938942162665</v>
      </c>
      <c r="AS28" s="44">
        <f>'Yearly LC Ethylene'!M157</f>
        <v>176.44631485771347</v>
      </c>
      <c r="AT28" s="44">
        <f>'Yearly LC Ethylene'!N157</f>
        <v>177.96942047925538</v>
      </c>
      <c r="AU28" s="44">
        <f>'Yearly LC Ethylene'!O157</f>
        <v>176.04482276642005</v>
      </c>
      <c r="AV28" s="44">
        <f>'Yearly LC Ethylene'!P157</f>
        <v>174.40419576123395</v>
      </c>
      <c r="AW28" s="44">
        <f>'Yearly LC Ethylene'!Q157</f>
        <v>172.62509694621536</v>
      </c>
      <c r="AX28" s="44">
        <f>'Yearly LC Ethylene'!R157</f>
        <v>170.94778684335157</v>
      </c>
      <c r="AY28" s="44">
        <f>'Yearly LC Ethylene'!S157</f>
        <v>169.38737482995018</v>
      </c>
      <c r="AZ28" s="44">
        <f>'Yearly LC Ethylene'!T157</f>
        <v>167.74238964403014</v>
      </c>
      <c r="BA28" s="44">
        <f>'Yearly LC Ethylene'!U157</f>
        <v>166.18100321750615</v>
      </c>
      <c r="BB28" s="44">
        <f>'Yearly LC Ethylene'!V157</f>
        <v>164.72521198661727</v>
      </c>
      <c r="BC28" s="44">
        <f>'Yearly LC Ethylene'!W157</f>
        <v>163.39639760905666</v>
      </c>
      <c r="BD28" s="44">
        <f>'Yearly LC Ethylene'!X157</f>
        <v>162.21303562775876</v>
      </c>
      <c r="BE28" s="44">
        <f>'Yearly LC Ethylene'!Y157</f>
        <v>159.34458811273163</v>
      </c>
      <c r="BF28" s="44">
        <f>'Yearly LC Ethylene'!Z157</f>
        <v>157.26988320670026</v>
      </c>
      <c r="BG28" s="44">
        <f>'Yearly LC Ethylene'!AA157</f>
        <v>155.4083347150669</v>
      </c>
      <c r="BH28" s="44">
        <f>'Yearly LC Ethylene'!AB157</f>
        <v>153.76627303617494</v>
      </c>
      <c r="BI28" s="44">
        <f>'Yearly LC Ethylene'!AC157</f>
        <v>152.40723626163478</v>
      </c>
      <c r="BJ28" s="44">
        <f>'Yearly LC Ethylene'!AD157</f>
        <v>151.24418299584951</v>
      </c>
      <c r="BK28" s="44">
        <f>'Yearly LC Ethylene'!AE157</f>
        <v>150.3688950636774</v>
      </c>
      <c r="BL28" s="44">
        <f>'Yearly LC Ethylene'!AF157</f>
        <v>149.81258735897038</v>
      </c>
      <c r="BM28" s="44">
        <f>'Yearly LC Ethylene'!AG157</f>
        <v>149.62651823794752</v>
      </c>
      <c r="BN28" s="44">
        <f>'Yearly LC Ethylene'!AH157</f>
        <v>150.06279632570121</v>
      </c>
      <c r="BO28" s="44"/>
      <c r="BP28" s="44">
        <f>'Yearly LC Ethylene'!D4+'Yearly LC Ethylene'!D83</f>
        <v>162.69230769230768</v>
      </c>
      <c r="BQ28" s="44">
        <f>'Yearly LC Ethylene'!E4+'Yearly LC Ethylene'!E83</f>
        <v>167.39850430954519</v>
      </c>
      <c r="BR28" s="44">
        <f>'Yearly LC Ethylene'!F4+'Yearly LC Ethylene'!F83</f>
        <v>171.62040937873633</v>
      </c>
      <c r="BS28" s="44">
        <f>'Yearly LC Ethylene'!G4+'Yearly LC Ethylene'!G83</f>
        <v>175.95606104581717</v>
      </c>
      <c r="BT28" s="44">
        <f>'Yearly LC Ethylene'!H4+'Yearly LC Ethylene'!H83</f>
        <v>180.40948095153186</v>
      </c>
      <c r="BU28" s="44">
        <f>'Yearly LC Ethylene'!I4+'Yearly LC Ethylene'!I83</f>
        <v>184.98494957451305</v>
      </c>
      <c r="BV28" s="44">
        <f>'Yearly LC Ethylene'!J4+'Yearly LC Ethylene'!J83</f>
        <v>189.18551886714596</v>
      </c>
      <c r="BW28" s="44">
        <f>'Yearly LC Ethylene'!K4+'Yearly LC Ethylene'!K83</f>
        <v>193.49413206129458</v>
      </c>
      <c r="BX28" s="44">
        <f>'Yearly LC Ethylene'!L4+'Yearly LC Ethylene'!L83</f>
        <v>197.91520205880366</v>
      </c>
      <c r="BY28" s="44">
        <f>'Yearly LC Ethylene'!M4+'Yearly LC Ethylene'!M83</f>
        <v>202.45350784224726</v>
      </c>
      <c r="BZ28" s="44">
        <f>'Yearly LC Ethylene'!N4+'Yearly LC Ethylene'!N83</f>
        <v>207.1142382406878</v>
      </c>
      <c r="CA28" s="44">
        <f>'Yearly LC Ethylene'!O4+'Yearly LC Ethylene'!O83</f>
        <v>209.86049508088257</v>
      </c>
      <c r="CB28" s="44">
        <f>'Yearly LC Ethylene'!P4+'Yearly LC Ethylene'!P83</f>
        <v>212.67168831561386</v>
      </c>
      <c r="CC28" s="44">
        <f>'Yearly LC Ethylene'!Q4+'Yearly LC Ethylene'!Q83</f>
        <v>215.55274358073115</v>
      </c>
      <c r="CD28" s="44">
        <f>'Yearly LC Ethylene'!R4+'Yearly LC Ethylene'!R83</f>
        <v>218.50919325316443</v>
      </c>
      <c r="CE28" s="44">
        <f>'Yearly LC Ethylene'!S4+'Yearly LC Ethylene'!S83</f>
        <v>221.5472565029699</v>
      </c>
      <c r="CF28" s="44">
        <f>'Yearly LC Ethylene'!T4+'Yearly LC Ethylene'!T83</f>
        <v>224.5283484426771</v>
      </c>
      <c r="CG28" s="44">
        <f>'Yearly LC Ethylene'!U4+'Yearly LC Ethylene'!U83</f>
        <v>227.60255785619916</v>
      </c>
      <c r="CH28" s="44">
        <f>'Yearly LC Ethylene'!V4+'Yearly LC Ethylene'!V83</f>
        <v>230.77870001167108</v>
      </c>
      <c r="CI28" s="44">
        <f>'Yearly LC Ethylene'!W4+'Yearly LC Ethylene'!W83</f>
        <v>234.06671810473532</v>
      </c>
      <c r="CJ28" s="44">
        <f>'Yearly LC Ethylene'!X4+'Yearly LC Ethylene'!X83</f>
        <v>237.47783287929306</v>
      </c>
      <c r="CK28" s="44">
        <f>'Yearly LC Ethylene'!Y4+'Yearly LC Ethylene'!Y83</f>
        <v>240.89923184978946</v>
      </c>
      <c r="CL28" s="44">
        <f>'Yearly LC Ethylene'!Z4+'Yearly LC Ethylene'!Z83</f>
        <v>244.46810353822016</v>
      </c>
      <c r="CM28" s="44">
        <f>'Yearly LC Ethylene'!AA4+'Yearly LC Ethylene'!AA83</f>
        <v>248.20057341809886</v>
      </c>
      <c r="CN28" s="44">
        <f>'Yearly LC Ethylene'!AB4+'Yearly LC Ethylene'!AB83</f>
        <v>252.11487061900596</v>
      </c>
      <c r="CO28" s="44">
        <f>'Yearly LC Ethylene'!AC4+'Yearly LC Ethylene'!AC83</f>
        <v>256.23160784124508</v>
      </c>
      <c r="CP28" s="44">
        <f>'Yearly LC Ethylene'!AD4+'Yearly LC Ethylene'!AD83</f>
        <v>260.4437228157434</v>
      </c>
      <c r="CQ28" s="44">
        <f>'Yearly LC Ethylene'!AE4+'Yearly LC Ethylene'!AE83</f>
        <v>264.90526103567669</v>
      </c>
      <c r="CR28" s="44">
        <f>'Yearly LC Ethylene'!AF4+'Yearly LC Ethylene'!AF83</f>
        <v>269.6460228703732</v>
      </c>
      <c r="CS28" s="44">
        <f>'Yearly LC Ethylene'!AG4+'Yearly LC Ethylene'!AG83</f>
        <v>274.69973867736547</v>
      </c>
      <c r="CT28" s="44">
        <f>'Yearly LC Ethylene'!AH4+'Yearly LC Ethylene'!AH83</f>
        <v>280.10459284033055</v>
      </c>
    </row>
    <row r="29" spans="1:110" x14ac:dyDescent="0.2">
      <c r="A29" s="1" t="s">
        <v>119</v>
      </c>
      <c r="C29" s="54" t="str">
        <f>'Yearly HC Ethylene'!C164</f>
        <v>m Tons</v>
      </c>
      <c r="D29" s="44">
        <f>'Yearly HC Ethylene'!D164</f>
        <v>15.604910284817102</v>
      </c>
      <c r="E29" s="44">
        <f>'Yearly HC Ethylene'!E164</f>
        <v>16.163683795793936</v>
      </c>
      <c r="F29" s="44">
        <f>'Yearly HC Ethylene'!F164</f>
        <v>16.707170013158329</v>
      </c>
      <c r="G29" s="44">
        <f>'Yearly HC Ethylene'!G164</f>
        <v>17.232060579804894</v>
      </c>
      <c r="H29" s="44">
        <f>'Yearly HC Ethylene'!H164</f>
        <v>17.734935361505627</v>
      </c>
      <c r="I29" s="44">
        <f>'Yearly HC Ethylene'!I164</f>
        <v>18.212215431040576</v>
      </c>
      <c r="J29" s="44">
        <f>'Yearly HC Ethylene'!J164</f>
        <v>18.63537356262616</v>
      </c>
      <c r="K29" s="44">
        <f>'Yearly HC Ethylene'!K164</f>
        <v>19.062458496744608</v>
      </c>
      <c r="L29" s="44">
        <f>'Yearly HC Ethylene'!L164</f>
        <v>19.490778529957378</v>
      </c>
      <c r="M29" s="44">
        <f>'Yearly HC Ethylene'!M164</f>
        <v>19.915890446302242</v>
      </c>
      <c r="N29" s="44">
        <f>'Yearly HC Ethylene'!N164</f>
        <v>20.330363731989888</v>
      </c>
      <c r="O29" s="44">
        <f>'Yearly HC Ethylene'!O164</f>
        <v>19.519697423782748</v>
      </c>
      <c r="P29" s="44">
        <f>'Yearly HC Ethylene'!P164</f>
        <v>18.701438068800897</v>
      </c>
      <c r="Q29" s="44">
        <f>'Yearly HC Ethylene'!Q164</f>
        <v>17.797051562245382</v>
      </c>
      <c r="R29" s="44">
        <f>'Yearly HC Ethylene'!R164</f>
        <v>16.85110612368198</v>
      </c>
      <c r="S29" s="44">
        <f>'Yearly HC Ethylene'!S164</f>
        <v>15.872757148682311</v>
      </c>
      <c r="T29" s="44">
        <f>'Yearly HC Ethylene'!T164</f>
        <v>15.040726318733155</v>
      </c>
      <c r="U29" s="44">
        <f>'Yearly HC Ethylene'!U164</f>
        <v>14.899199369340087</v>
      </c>
      <c r="V29" s="44">
        <f>'Yearly HC Ethylene'!V164</f>
        <v>14.688093187727844</v>
      </c>
      <c r="W29" s="44">
        <f>'Yearly HC Ethylene'!W164</f>
        <v>14.431072422458866</v>
      </c>
      <c r="X29" s="44">
        <f>'Yearly HC Ethylene'!X164</f>
        <v>14.145932326929453</v>
      </c>
      <c r="Y29" s="44">
        <f>'Yearly HC Ethylene'!Y164</f>
        <v>14.030183696830575</v>
      </c>
      <c r="Z29" s="44">
        <f>'Yearly HC Ethylene'!Z164</f>
        <v>14.046457732973336</v>
      </c>
      <c r="AA29" s="44">
        <f>'Yearly HC Ethylene'!AA164</f>
        <v>13.993622041240469</v>
      </c>
      <c r="AB29" s="44">
        <f>'Yearly HC Ethylene'!AB164</f>
        <v>13.871102705370287</v>
      </c>
      <c r="AC29" s="44">
        <f>'Yearly HC Ethylene'!AC164</f>
        <v>13.671747595358735</v>
      </c>
      <c r="AD29" s="44">
        <f>'Yearly HC Ethylene'!AD164</f>
        <v>13.381017830295006</v>
      </c>
      <c r="AE29" s="44">
        <f>'Yearly HC Ethylene'!AE164</f>
        <v>12.990940679215882</v>
      </c>
      <c r="AF29" s="44">
        <f>'Yearly HC Ethylene'!AF164</f>
        <v>12.492222743786026</v>
      </c>
      <c r="AG29" s="44">
        <f>'Yearly HC Ethylene'!AG164</f>
        <v>11.884304060460451</v>
      </c>
      <c r="AH29" s="44">
        <f>'Yearly HC Ethylene'!AH164</f>
        <v>11.181168501389607</v>
      </c>
      <c r="AI29" s="44"/>
      <c r="AJ29" s="44">
        <f>'Yearly LC Ethylene'!D164</f>
        <v>15.604941930162472</v>
      </c>
      <c r="AK29" s="44">
        <f>'Yearly LC Ethylene'!E164</f>
        <v>16.230545449691729</v>
      </c>
      <c r="AL29" s="44">
        <f>'Yearly LC Ethylene'!F164</f>
        <v>16.848960346565949</v>
      </c>
      <c r="AM29" s="44">
        <f>'Yearly LC Ethylene'!G164</f>
        <v>17.456912284429109</v>
      </c>
      <c r="AN29" s="44">
        <f>'Yearly LC Ethylene'!H164</f>
        <v>18.050951203839254</v>
      </c>
      <c r="AO29" s="44">
        <f>'Yearly LC Ethylene'!I164</f>
        <v>18.627431060256345</v>
      </c>
      <c r="AP29" s="44">
        <f>'Yearly LC Ethylene'!J164</f>
        <v>19.212234767233742</v>
      </c>
      <c r="AQ29" s="44">
        <f>'Yearly LC Ethylene'!K164</f>
        <v>19.815992375379544</v>
      </c>
      <c r="AR29" s="44">
        <f>'Yearly LC Ethylene'!L164</f>
        <v>20.437385345453155</v>
      </c>
      <c r="AS29" s="44">
        <f>'Yearly LC Ethylene'!M164</f>
        <v>21.073957314646599</v>
      </c>
      <c r="AT29" s="44">
        <f>'Yearly LC Ethylene'!N164</f>
        <v>21.721305746932099</v>
      </c>
      <c r="AU29" s="44">
        <f>'Yearly LC Ethylene'!O164</f>
        <v>21.274229804750618</v>
      </c>
      <c r="AV29" s="44">
        <f>'Yearly LC Ethylene'!P164</f>
        <v>20.831222413234055</v>
      </c>
      <c r="AW29" s="44">
        <f>'Yearly LC Ethylene'!Q164</f>
        <v>20.355536846117435</v>
      </c>
      <c r="AX29" s="44">
        <f>'Yearly LC Ethylene'!R164</f>
        <v>19.867019984709874</v>
      </c>
      <c r="AY29" s="44">
        <f>'Yearly LC Ethylene'!S164</f>
        <v>19.368907385623459</v>
      </c>
      <c r="AZ29" s="44">
        <f>'Yearly LC Ethylene'!T164</f>
        <v>18.899647735984001</v>
      </c>
      <c r="BA29" s="44">
        <f>'Yearly LC Ethylene'!U164</f>
        <v>18.474352187722648</v>
      </c>
      <c r="BB29" s="44">
        <f>'Yearly LC Ethylene'!V164</f>
        <v>18.106330964343297</v>
      </c>
      <c r="BC29" s="44">
        <f>'Yearly LC Ethylene'!W164</f>
        <v>17.807170952565766</v>
      </c>
      <c r="BD29" s="44">
        <f>'Yearly LC Ethylene'!X164</f>
        <v>17.584296431455101</v>
      </c>
      <c r="BE29" s="44">
        <f>'Yearly LC Ethylene'!Y164</f>
        <v>16.460938204395116</v>
      </c>
      <c r="BF29" s="44">
        <f>'Yearly LC Ethylene'!Z164</f>
        <v>15.445652074669558</v>
      </c>
      <c r="BG29" s="44">
        <f>'Yearly LC Ethylene'!AA164</f>
        <v>14.972034033784109</v>
      </c>
      <c r="BH29" s="44">
        <f>'Yearly LC Ethylene'!AB164</f>
        <v>14.931019429981458</v>
      </c>
      <c r="BI29" s="44">
        <f>'Yearly LC Ethylene'!AC164</f>
        <v>14.810015378249361</v>
      </c>
      <c r="BJ29" s="44">
        <f>'Yearly LC Ethylene'!AD164</f>
        <v>14.600654952042097</v>
      </c>
      <c r="BK29" s="44">
        <f>'Yearly LC Ethylene'!AE164</f>
        <v>14.30272072078515</v>
      </c>
      <c r="BL29" s="44">
        <f>'Yearly LC Ethylene'!AF164</f>
        <v>13.913023445913199</v>
      </c>
      <c r="BM29" s="44">
        <f>'Yearly LC Ethylene'!AG164</f>
        <v>13.433294311380422</v>
      </c>
      <c r="BN29" s="44">
        <f>'Yearly LC Ethylene'!AH164</f>
        <v>12.873504356057348</v>
      </c>
      <c r="BO29" s="44"/>
      <c r="BP29" s="44">
        <f>'Yearly LC Ethylene'!AJ164</f>
        <v>0</v>
      </c>
      <c r="BQ29" s="44">
        <f>'Yearly LC Ethylene'!AK164</f>
        <v>0</v>
      </c>
      <c r="BR29" s="44">
        <f>'Yearly LC Ethylene'!AL164</f>
        <v>0</v>
      </c>
      <c r="BS29" s="44">
        <f>'Yearly LC Ethylene'!AM164</f>
        <v>0</v>
      </c>
      <c r="BT29" s="44">
        <f>'Yearly LC Ethylene'!AN164</f>
        <v>0</v>
      </c>
      <c r="BU29" s="44">
        <f>'Yearly LC Ethylene'!AO164</f>
        <v>0</v>
      </c>
      <c r="BV29" s="44">
        <f>'Yearly LC Ethylene'!AP164</f>
        <v>0</v>
      </c>
      <c r="BW29" s="44">
        <f>'Yearly LC Ethylene'!AQ164</f>
        <v>0</v>
      </c>
      <c r="BX29" s="44">
        <f>'Yearly LC Ethylene'!AR164</f>
        <v>0</v>
      </c>
      <c r="BY29" s="44">
        <f>'Yearly LC Ethylene'!AS164</f>
        <v>0</v>
      </c>
      <c r="BZ29" s="44">
        <f>'Yearly LC Ethylene'!AT164</f>
        <v>0</v>
      </c>
      <c r="CA29" s="44">
        <f>'Yearly LC Ethylene'!AU164</f>
        <v>0</v>
      </c>
      <c r="CB29" s="44">
        <f>'Yearly LC Ethylene'!AV164</f>
        <v>0</v>
      </c>
      <c r="CC29" s="44">
        <f>'Yearly LC Ethylene'!AW164</f>
        <v>0</v>
      </c>
      <c r="CD29" s="44">
        <f>'Yearly LC Ethylene'!AX164</f>
        <v>0</v>
      </c>
      <c r="CE29" s="44">
        <f>'Yearly LC Ethylene'!AY164</f>
        <v>0</v>
      </c>
      <c r="CF29" s="44">
        <f>'Yearly LC Ethylene'!AZ164</f>
        <v>0</v>
      </c>
      <c r="CG29" s="44">
        <f>'Yearly LC Ethylene'!BA164</f>
        <v>0</v>
      </c>
      <c r="CH29" s="44">
        <f>'Yearly LC Ethylene'!BB164</f>
        <v>0</v>
      </c>
      <c r="CI29" s="44">
        <f>'Yearly LC Ethylene'!BC164</f>
        <v>0</v>
      </c>
      <c r="CJ29" s="44">
        <f>'Yearly LC Ethylene'!BD164</f>
        <v>0</v>
      </c>
      <c r="CK29" s="44">
        <f>'Yearly LC Ethylene'!BE164</f>
        <v>0</v>
      </c>
      <c r="CL29" s="44">
        <f>'Yearly LC Ethylene'!BF164</f>
        <v>0</v>
      </c>
      <c r="CM29" s="44">
        <f>'Yearly LC Ethylene'!BG164</f>
        <v>0</v>
      </c>
      <c r="CN29" s="44">
        <f>'Yearly LC Ethylene'!BH164</f>
        <v>0</v>
      </c>
      <c r="CO29" s="44">
        <f>'Yearly LC Ethylene'!BI164</f>
        <v>0</v>
      </c>
      <c r="CP29" s="44">
        <f>'Yearly LC Ethylene'!BJ164</f>
        <v>0</v>
      </c>
      <c r="CQ29" s="44">
        <f>'Yearly LC Ethylene'!BK164</f>
        <v>0</v>
      </c>
      <c r="CR29" s="44">
        <f>'Yearly LC Ethylene'!BL164</f>
        <v>0</v>
      </c>
      <c r="CS29" s="44">
        <f>'Yearly LC Ethylene'!BM164</f>
        <v>0</v>
      </c>
      <c r="CT29" s="44">
        <f>'Yearly LC Ethylene'!BN164</f>
        <v>0</v>
      </c>
    </row>
    <row r="30" spans="1:110" x14ac:dyDescent="0.2">
      <c r="D30" s="44"/>
      <c r="E30" s="44"/>
      <c r="F30" s="44"/>
      <c r="G30" s="44"/>
      <c r="H30" s="44"/>
      <c r="I30" s="44"/>
      <c r="J30" s="44"/>
      <c r="K30" s="44"/>
      <c r="L30" s="44"/>
      <c r="M30" s="44"/>
      <c r="N30" s="44"/>
      <c r="O30" s="44"/>
      <c r="P30" s="44"/>
      <c r="Q30" s="44"/>
      <c r="R30" s="44"/>
      <c r="S30" s="44"/>
      <c r="T30" s="44"/>
      <c r="U30" s="44"/>
      <c r="V30" s="44"/>
      <c r="W30" s="44"/>
      <c r="X30" s="44"/>
      <c r="Y30" s="44"/>
      <c r="Z30" s="44"/>
      <c r="AA30" s="44"/>
      <c r="AB30" s="44"/>
      <c r="AC30" s="44"/>
      <c r="AD30" s="44"/>
      <c r="AE30" s="44"/>
      <c r="AF30" s="44"/>
      <c r="AG30" s="44"/>
      <c r="AH30" s="44"/>
      <c r="AI30" s="44"/>
      <c r="AJ30" s="44"/>
      <c r="AK30" s="44"/>
      <c r="AL30" s="44"/>
      <c r="AM30" s="44"/>
      <c r="AN30" s="44"/>
      <c r="AO30" s="44"/>
      <c r="AP30" s="44"/>
      <c r="AQ30" s="44"/>
      <c r="AR30" s="44"/>
      <c r="AS30" s="44"/>
      <c r="AT30" s="44"/>
      <c r="AU30" s="44"/>
      <c r="AV30" s="44"/>
      <c r="AW30" s="44"/>
      <c r="AX30" s="44"/>
      <c r="AY30" s="44"/>
      <c r="AZ30" s="44"/>
      <c r="BA30" s="44"/>
      <c r="BB30" s="44"/>
      <c r="BC30" s="44"/>
      <c r="BD30" s="44"/>
      <c r="BE30" s="44"/>
      <c r="BF30" s="44"/>
      <c r="BG30" s="44"/>
      <c r="BH30" s="44"/>
      <c r="BI30" s="44"/>
      <c r="BJ30" s="44"/>
      <c r="BK30" s="44"/>
      <c r="BL30" s="44"/>
      <c r="BM30" s="44"/>
      <c r="BN30" s="44"/>
      <c r="BO30" s="44"/>
      <c r="BP30" s="44"/>
      <c r="BQ30" s="44"/>
      <c r="BR30" s="44"/>
      <c r="BS30" s="44"/>
      <c r="BT30" s="44"/>
      <c r="BU30" s="44"/>
      <c r="BV30" s="44"/>
      <c r="BW30" s="44"/>
      <c r="BX30" s="44"/>
      <c r="BY30" s="44"/>
      <c r="BZ30" s="44"/>
      <c r="CA30" s="44"/>
      <c r="CB30" s="44"/>
      <c r="CC30" s="44"/>
      <c r="CD30" s="44"/>
      <c r="CE30" s="44"/>
      <c r="CF30" s="44"/>
      <c r="CG30" s="44"/>
      <c r="CH30" s="44"/>
      <c r="CI30" s="44"/>
      <c r="CJ30" s="44"/>
      <c r="CK30" s="44"/>
      <c r="CL30" s="44"/>
      <c r="CM30" s="44"/>
      <c r="CN30" s="44"/>
      <c r="CO30" s="44"/>
      <c r="CP30" s="44"/>
      <c r="CQ30" s="44"/>
      <c r="CR30" s="44"/>
      <c r="CS30" s="44"/>
      <c r="CT30" s="44"/>
    </row>
    <row r="31" spans="1:110" s="52" customFormat="1" ht="16" thickBot="1" x14ac:dyDescent="0.25">
      <c r="A31" s="52" t="s">
        <v>5</v>
      </c>
      <c r="C31" s="635"/>
      <c r="D31" s="636"/>
      <c r="E31" s="636"/>
      <c r="F31" s="636"/>
      <c r="G31" s="636"/>
      <c r="H31" s="636"/>
      <c r="I31" s="636"/>
      <c r="J31" s="636"/>
      <c r="K31" s="636"/>
      <c r="L31" s="636"/>
      <c r="M31" s="636"/>
      <c r="N31" s="636"/>
      <c r="O31" s="636"/>
      <c r="P31" s="636"/>
      <c r="Q31" s="636"/>
      <c r="R31" s="636"/>
      <c r="S31" s="636"/>
      <c r="T31" s="636"/>
      <c r="U31" s="636"/>
      <c r="V31" s="636"/>
      <c r="W31" s="636"/>
      <c r="X31" s="636"/>
      <c r="Y31" s="636"/>
      <c r="Z31" s="636"/>
      <c r="AA31" s="636"/>
      <c r="AB31" s="636"/>
      <c r="AC31" s="636"/>
      <c r="AD31" s="636"/>
      <c r="AE31" s="636"/>
      <c r="AF31" s="636"/>
      <c r="AG31" s="636"/>
      <c r="AH31" s="636"/>
      <c r="AI31" s="636"/>
      <c r="AJ31" s="636"/>
      <c r="AK31" s="636"/>
      <c r="AL31" s="636"/>
      <c r="AM31" s="636"/>
      <c r="AN31" s="636"/>
      <c r="AO31" s="636"/>
      <c r="AP31" s="636"/>
      <c r="AQ31" s="636"/>
      <c r="AR31" s="636"/>
      <c r="AS31" s="636"/>
      <c r="AT31" s="636"/>
      <c r="AU31" s="636"/>
      <c r="AV31" s="636"/>
      <c r="AW31" s="636"/>
      <c r="AX31" s="636"/>
      <c r="AY31" s="636"/>
      <c r="AZ31" s="636"/>
      <c r="BA31" s="636"/>
      <c r="BB31" s="636"/>
      <c r="BC31" s="636"/>
      <c r="BD31" s="636"/>
      <c r="BE31" s="636"/>
      <c r="BF31" s="636"/>
      <c r="BG31" s="636"/>
      <c r="BH31" s="636"/>
      <c r="BI31" s="636"/>
      <c r="BJ31" s="636"/>
      <c r="BK31" s="636"/>
      <c r="BL31" s="636"/>
      <c r="BM31" s="636"/>
      <c r="BN31" s="636"/>
      <c r="BO31" s="636"/>
      <c r="BP31" s="636"/>
      <c r="BQ31" s="636"/>
      <c r="BR31" s="636"/>
      <c r="BS31" s="636"/>
      <c r="BT31" s="636"/>
      <c r="BU31" s="636"/>
      <c r="BV31" s="636"/>
      <c r="BW31" s="636"/>
      <c r="BX31" s="636"/>
      <c r="BY31" s="636"/>
      <c r="BZ31" s="636"/>
      <c r="CA31" s="636"/>
      <c r="CB31" s="636"/>
      <c r="CC31" s="636"/>
      <c r="CD31" s="636"/>
      <c r="CE31" s="636"/>
      <c r="CF31" s="636"/>
      <c r="CG31" s="636"/>
      <c r="CH31" s="636"/>
      <c r="CI31" s="636"/>
      <c r="CJ31" s="636"/>
      <c r="CK31" s="636"/>
      <c r="CL31" s="636"/>
      <c r="CM31" s="636"/>
      <c r="CN31" s="636"/>
      <c r="CO31" s="636"/>
      <c r="CP31" s="636"/>
      <c r="CQ31" s="636"/>
      <c r="CR31" s="636"/>
      <c r="CS31" s="636"/>
      <c r="CT31" s="636"/>
    </row>
    <row r="32" spans="1:110" s="554" customFormat="1" x14ac:dyDescent="0.2">
      <c r="A32" s="550" t="s">
        <v>136</v>
      </c>
      <c r="B32" s="551"/>
      <c r="C32" s="552" t="str">
        <f>'Yearly HC Propylene'!C4</f>
        <v>m Tons</v>
      </c>
      <c r="D32" s="553">
        <f>BP33</f>
        <v>111.92307692307692</v>
      </c>
      <c r="E32" s="553">
        <f t="shared" ref="E32:AH32" si="178">BQ33</f>
        <v>114.17696757491626</v>
      </c>
      <c r="F32" s="553">
        <f t="shared" si="178"/>
        <v>116.47603314311496</v>
      </c>
      <c r="G32" s="553">
        <f t="shared" si="178"/>
        <v>118.82117580625838</v>
      </c>
      <c r="H32" s="553">
        <f t="shared" si="178"/>
        <v>121.21331571035434</v>
      </c>
      <c r="I32" s="553">
        <f t="shared" si="178"/>
        <v>123.65339132591019</v>
      </c>
      <c r="J32" s="553">
        <f t="shared" si="178"/>
        <v>125.92164108635201</v>
      </c>
      <c r="K32" s="553">
        <f t="shared" si="178"/>
        <v>128.23140639385144</v>
      </c>
      <c r="L32" s="553">
        <f t="shared" si="178"/>
        <v>130.58344561264067</v>
      </c>
      <c r="M32" s="553">
        <f t="shared" si="178"/>
        <v>132.97853093588918</v>
      </c>
      <c r="N32" s="553">
        <f t="shared" si="178"/>
        <v>135.41744863748744</v>
      </c>
      <c r="O32" s="553">
        <f t="shared" si="178"/>
        <v>136.75815630531591</v>
      </c>
      <c r="P32" s="553">
        <f t="shared" si="178"/>
        <v>138.11375394832734</v>
      </c>
      <c r="Q32" s="553">
        <f t="shared" si="178"/>
        <v>139.48443711522134</v>
      </c>
      <c r="R32" s="553">
        <f t="shared" si="178"/>
        <v>140.87040439802951</v>
      </c>
      <c r="S32" s="553">
        <f t="shared" si="178"/>
        <v>142.2718574854205</v>
      </c>
      <c r="T32" s="553">
        <f t="shared" si="178"/>
        <v>143.63314482306015</v>
      </c>
      <c r="U32" s="553">
        <f t="shared" si="178"/>
        <v>145.00933720081875</v>
      </c>
      <c r="V32" s="553">
        <f t="shared" si="178"/>
        <v>146.40063266762081</v>
      </c>
      <c r="W32" s="553">
        <f t="shared" si="178"/>
        <v>147.80723243503994</v>
      </c>
      <c r="X32" s="553">
        <f t="shared" si="178"/>
        <v>149.22934093399832</v>
      </c>
      <c r="Y32" s="553">
        <f t="shared" si="178"/>
        <v>150.56345100846187</v>
      </c>
      <c r="Z32" s="553">
        <f t="shared" si="178"/>
        <v>151.91086948744305</v>
      </c>
      <c r="AA32" s="553">
        <f t="shared" si="178"/>
        <v>153.27175561116593</v>
      </c>
      <c r="AB32" s="553">
        <f t="shared" si="178"/>
        <v>154.64627095726883</v>
      </c>
      <c r="AC32" s="553">
        <f t="shared" si="178"/>
        <v>156.03457948066813</v>
      </c>
      <c r="AD32" s="553">
        <f t="shared" si="178"/>
        <v>157.38557714567159</v>
      </c>
      <c r="AE32" s="553">
        <f t="shared" si="178"/>
        <v>158.74986566469005</v>
      </c>
      <c r="AF32" s="553">
        <f t="shared" si="178"/>
        <v>160.12760610855167</v>
      </c>
      <c r="AG32" s="553">
        <f t="shared" si="178"/>
        <v>161.51896198049872</v>
      </c>
      <c r="AH32" s="553">
        <f t="shared" si="178"/>
        <v>162.92409925871709</v>
      </c>
      <c r="AI32" s="553"/>
      <c r="AJ32" s="553">
        <f>D32</f>
        <v>111.92307692307692</v>
      </c>
      <c r="AK32" s="553">
        <f t="shared" ref="AK32" si="179">E32</f>
        <v>114.17696757491626</v>
      </c>
      <c r="AL32" s="553">
        <f t="shared" ref="AL32" si="180">F32</f>
        <v>116.47603314311496</v>
      </c>
      <c r="AM32" s="553">
        <f t="shared" ref="AM32" si="181">G32</f>
        <v>118.82117580625838</v>
      </c>
      <c r="AN32" s="553">
        <f t="shared" ref="AN32" si="182">H32</f>
        <v>121.21331571035434</v>
      </c>
      <c r="AO32" s="553">
        <f t="shared" ref="AO32" si="183">I32</f>
        <v>123.65339132591019</v>
      </c>
      <c r="AP32" s="553">
        <f t="shared" ref="AP32" si="184">J32</f>
        <v>125.92164108635201</v>
      </c>
      <c r="AQ32" s="553">
        <f t="shared" ref="AQ32" si="185">K32</f>
        <v>128.23140639385144</v>
      </c>
      <c r="AR32" s="553">
        <f t="shared" ref="AR32" si="186">L32</f>
        <v>130.58344561264067</v>
      </c>
      <c r="AS32" s="553">
        <f t="shared" ref="AS32" si="187">M32</f>
        <v>132.97853093588918</v>
      </c>
      <c r="AT32" s="553">
        <f t="shared" ref="AT32" si="188">N32</f>
        <v>135.41744863748744</v>
      </c>
      <c r="AU32" s="553">
        <f t="shared" ref="AU32" si="189">O32</f>
        <v>136.75815630531591</v>
      </c>
      <c r="AV32" s="553">
        <f t="shared" ref="AV32" si="190">P32</f>
        <v>138.11375394832734</v>
      </c>
      <c r="AW32" s="553">
        <f t="shared" ref="AW32" si="191">Q32</f>
        <v>139.48443711522134</v>
      </c>
      <c r="AX32" s="553">
        <f t="shared" ref="AX32" si="192">R32</f>
        <v>140.87040439802951</v>
      </c>
      <c r="AY32" s="553">
        <f t="shared" ref="AY32" si="193">S32</f>
        <v>142.2718574854205</v>
      </c>
      <c r="AZ32" s="553">
        <f t="shared" ref="AZ32" si="194">T32</f>
        <v>143.63314482306015</v>
      </c>
      <c r="BA32" s="553">
        <f t="shared" ref="BA32" si="195">U32</f>
        <v>145.00933720081875</v>
      </c>
      <c r="BB32" s="553">
        <f t="shared" ref="BB32" si="196">V32</f>
        <v>146.40063266762081</v>
      </c>
      <c r="BC32" s="553">
        <f t="shared" ref="BC32" si="197">W32</f>
        <v>147.80723243503994</v>
      </c>
      <c r="BD32" s="553">
        <f t="shared" ref="BD32" si="198">X32</f>
        <v>149.22934093399832</v>
      </c>
      <c r="BE32" s="553">
        <f t="shared" ref="BE32" si="199">Y32</f>
        <v>150.56345100846187</v>
      </c>
      <c r="BF32" s="553">
        <f t="shared" ref="BF32" si="200">Z32</f>
        <v>151.91086948744305</v>
      </c>
      <c r="BG32" s="553">
        <f t="shared" ref="BG32" si="201">AA32</f>
        <v>153.27175561116593</v>
      </c>
      <c r="BH32" s="553">
        <f t="shared" ref="BH32" si="202">AB32</f>
        <v>154.64627095726883</v>
      </c>
      <c r="BI32" s="553">
        <f t="shared" ref="BI32" si="203">AC32</f>
        <v>156.03457948066813</v>
      </c>
      <c r="BJ32" s="553">
        <f t="shared" ref="BJ32" si="204">AD32</f>
        <v>157.38557714567159</v>
      </c>
      <c r="BK32" s="553">
        <f t="shared" ref="BK32" si="205">AE32</f>
        <v>158.74986566469005</v>
      </c>
      <c r="BL32" s="553">
        <f t="shared" ref="BL32" si="206">AF32</f>
        <v>160.12760610855167</v>
      </c>
      <c r="BM32" s="553">
        <f t="shared" ref="BM32" si="207">AG32</f>
        <v>161.51896198049872</v>
      </c>
      <c r="BN32" s="553">
        <f t="shared" ref="BN32" si="208">AH32</f>
        <v>162.92409925871709</v>
      </c>
      <c r="BO32" s="553"/>
      <c r="BP32" s="553">
        <f>AJ32</f>
        <v>111.92307692307692</v>
      </c>
      <c r="BQ32" s="553">
        <f t="shared" ref="BQ32" si="209">AK32</f>
        <v>114.17696757491626</v>
      </c>
      <c r="BR32" s="553">
        <f t="shared" ref="BR32" si="210">AL32</f>
        <v>116.47603314311496</v>
      </c>
      <c r="BS32" s="553">
        <f t="shared" ref="BS32" si="211">AM32</f>
        <v>118.82117580625838</v>
      </c>
      <c r="BT32" s="553">
        <f t="shared" ref="BT32" si="212">AN32</f>
        <v>121.21331571035434</v>
      </c>
      <c r="BU32" s="553">
        <f t="shared" ref="BU32" si="213">AO32</f>
        <v>123.65339132591019</v>
      </c>
      <c r="BV32" s="553">
        <f t="shared" ref="BV32" si="214">AP32</f>
        <v>125.92164108635201</v>
      </c>
      <c r="BW32" s="553">
        <f t="shared" ref="BW32" si="215">AQ32</f>
        <v>128.23140639385144</v>
      </c>
      <c r="BX32" s="553">
        <f t="shared" ref="BX32" si="216">AR32</f>
        <v>130.58344561264067</v>
      </c>
      <c r="BY32" s="553">
        <f t="shared" ref="BY32" si="217">AS32</f>
        <v>132.97853093588918</v>
      </c>
      <c r="BZ32" s="553">
        <f t="shared" ref="BZ32" si="218">AT32</f>
        <v>135.41744863748744</v>
      </c>
      <c r="CA32" s="553">
        <f t="shared" ref="CA32" si="219">AU32</f>
        <v>136.75815630531591</v>
      </c>
      <c r="CB32" s="553">
        <f t="shared" ref="CB32" si="220">AV32</f>
        <v>138.11375394832734</v>
      </c>
      <c r="CC32" s="553">
        <f t="shared" ref="CC32" si="221">AW32</f>
        <v>139.48443711522134</v>
      </c>
      <c r="CD32" s="553">
        <f t="shared" ref="CD32" si="222">AX32</f>
        <v>140.87040439802951</v>
      </c>
      <c r="CE32" s="553">
        <f t="shared" ref="CE32" si="223">AY32</f>
        <v>142.2718574854205</v>
      </c>
      <c r="CF32" s="553">
        <f t="shared" ref="CF32" si="224">AZ32</f>
        <v>143.63314482306015</v>
      </c>
      <c r="CG32" s="553">
        <f t="shared" ref="CG32" si="225">BA32</f>
        <v>145.00933720081875</v>
      </c>
      <c r="CH32" s="553">
        <f t="shared" ref="CH32" si="226">BB32</f>
        <v>146.40063266762081</v>
      </c>
      <c r="CI32" s="553">
        <f t="shared" ref="CI32" si="227">BC32</f>
        <v>147.80723243503994</v>
      </c>
      <c r="CJ32" s="553">
        <f t="shared" ref="CJ32" si="228">BD32</f>
        <v>149.22934093399832</v>
      </c>
      <c r="CK32" s="553">
        <f t="shared" ref="CK32" si="229">BE32</f>
        <v>150.56345100846187</v>
      </c>
      <c r="CL32" s="553">
        <f t="shared" ref="CL32" si="230">BF32</f>
        <v>151.91086948744305</v>
      </c>
      <c r="CM32" s="553">
        <f t="shared" ref="CM32" si="231">BG32</f>
        <v>153.27175561116593</v>
      </c>
      <c r="CN32" s="553">
        <f t="shared" ref="CN32" si="232">BH32</f>
        <v>154.64627095726883</v>
      </c>
      <c r="CO32" s="553">
        <f t="shared" ref="CO32" si="233">BI32</f>
        <v>156.03457948066813</v>
      </c>
      <c r="CP32" s="553">
        <f t="shared" ref="CP32" si="234">BJ32</f>
        <v>157.38557714567159</v>
      </c>
      <c r="CQ32" s="553">
        <f t="shared" ref="CQ32" si="235">BK32</f>
        <v>158.74986566469005</v>
      </c>
      <c r="CR32" s="553">
        <f t="shared" ref="CR32" si="236">BL32</f>
        <v>160.12760610855167</v>
      </c>
      <c r="CS32" s="553">
        <f t="shared" ref="CS32" si="237">BM32</f>
        <v>161.51896198049872</v>
      </c>
      <c r="CT32" s="553">
        <f t="shared" ref="CT32" si="238">BN32</f>
        <v>162.92409925871709</v>
      </c>
    </row>
    <row r="33" spans="1:98" x14ac:dyDescent="0.2">
      <c r="A33" s="1" t="s">
        <v>137</v>
      </c>
      <c r="C33" s="54" t="str">
        <f>'Yearly HC Propylene'!C71</f>
        <v>m Tons</v>
      </c>
      <c r="D33" s="44">
        <f>'Yearly HC Propylene'!D71</f>
        <v>111.92303671583133</v>
      </c>
      <c r="E33" s="44">
        <f>'Yearly HC Propylene'!E71</f>
        <v>112.85414501980951</v>
      </c>
      <c r="F33" s="44">
        <f>'Yearly HC Propylene'!F71</f>
        <v>113.77925574574802</v>
      </c>
      <c r="G33" s="44">
        <f>'Yearly HC Propylene'!G71</f>
        <v>114.70095979909323</v>
      </c>
      <c r="H33" s="44">
        <f>'Yearly HC Propylene'!H71</f>
        <v>115.62209835077746</v>
      </c>
      <c r="I33" s="44">
        <f>'Yearly HC Propylene'!I71</f>
        <v>116.54567835038348</v>
      </c>
      <c r="J33" s="44">
        <f>'Yearly HC Propylene'!J71</f>
        <v>117.26268344268465</v>
      </c>
      <c r="K33" s="44">
        <f>'Yearly HC Propylene'!K71</f>
        <v>117.96342362706604</v>
      </c>
      <c r="L33" s="44">
        <f>'Yearly HC Propylene'!L71</f>
        <v>118.64603515100555</v>
      </c>
      <c r="M33" s="44">
        <f>'Yearly HC Propylene'!M71</f>
        <v>119.3072751216305</v>
      </c>
      <c r="N33" s="44">
        <f>'Yearly HC Propylene'!N71</f>
        <v>119.94144761915224</v>
      </c>
      <c r="O33" s="44">
        <f>'Yearly HC Propylene'!O71</f>
        <v>118.66994640875575</v>
      </c>
      <c r="P33" s="44">
        <f>'Yearly HC Propylene'!P71</f>
        <v>117.35992292804775</v>
      </c>
      <c r="Q33" s="44">
        <f>'Yearly HC Propylene'!Q71</f>
        <v>115.94774525574748</v>
      </c>
      <c r="R33" s="44">
        <f>'Yearly HC Propylene'!R71</f>
        <v>114.46354324013083</v>
      </c>
      <c r="S33" s="44">
        <f>'Yearly HC Propylene'!S71</f>
        <v>112.91072682775683</v>
      </c>
      <c r="T33" s="44">
        <f>'Yearly HC Propylene'!T71</f>
        <v>111.22030136107828</v>
      </c>
      <c r="U33" s="44">
        <f>'Yearly HC Propylene'!U71</f>
        <v>109.45768001732536</v>
      </c>
      <c r="V33" s="44">
        <f>'Yearly HC Propylene'!V71</f>
        <v>107.64355848318159</v>
      </c>
      <c r="W33" s="44">
        <f>'Yearly HC Propylene'!W71</f>
        <v>105.79755329634457</v>
      </c>
      <c r="X33" s="44">
        <f>'Yearly HC Propylene'!X71</f>
        <v>103.93355889161923</v>
      </c>
      <c r="Y33" s="44">
        <f>'Yearly HC Propylene'!Y71</f>
        <v>100.76242714322329</v>
      </c>
      <c r="Z33" s="44">
        <f>'Yearly HC Propylene'!Z71</f>
        <v>97.802610338085998</v>
      </c>
      <c r="AA33" s="44">
        <f>'Yearly HC Propylene'!AA71</f>
        <v>94.858247740020033</v>
      </c>
      <c r="AB33" s="44">
        <f>'Yearly HC Propylene'!AB71</f>
        <v>91.886228309868514</v>
      </c>
      <c r="AC33" s="44">
        <f>'Yearly HC Propylene'!AC71</f>
        <v>88.875444829718234</v>
      </c>
      <c r="AD33" s="44">
        <f>'Yearly HC Propylene'!AD71</f>
        <v>85.774026395569152</v>
      </c>
      <c r="AE33" s="44">
        <f>'Yearly HC Propylene'!AE71</f>
        <v>82.617234324285519</v>
      </c>
      <c r="AF33" s="44">
        <f>'Yearly HC Propylene'!AF71</f>
        <v>80.208069235208072</v>
      </c>
      <c r="AG33" s="44">
        <f>'Yearly HC Propylene'!AG71</f>
        <v>77.748658189035737</v>
      </c>
      <c r="AH33" s="44">
        <f>'Yearly HC Propylene'!AH71</f>
        <v>72.466496393309839</v>
      </c>
      <c r="AI33" s="44"/>
      <c r="AJ33" s="44">
        <f>'Yearly LC Propylene'!D71</f>
        <v>111.92305681945412</v>
      </c>
      <c r="AK33" s="44">
        <f>'Yearly LC Propylene'!E71</f>
        <v>113.18860598120186</v>
      </c>
      <c r="AL33" s="44">
        <f>'Yearly LC Propylene'!F71</f>
        <v>114.46243596971347</v>
      </c>
      <c r="AM33" s="44">
        <f>'Yearly LC Propylene'!G71</f>
        <v>115.74760799106727</v>
      </c>
      <c r="AN33" s="44">
        <f>'Yearly LC Propylene'!H71</f>
        <v>117.04747557579105</v>
      </c>
      <c r="AO33" s="44">
        <f>'Yearly LC Propylene'!I71</f>
        <v>118.36563018440594</v>
      </c>
      <c r="AP33" s="44">
        <f>'Yearly LC Propylene'!J71</f>
        <v>119.48939367323558</v>
      </c>
      <c r="AQ33" s="44">
        <f>'Yearly LC Propylene'!K71</f>
        <v>120.6127436348997</v>
      </c>
      <c r="AR33" s="44">
        <f>'Yearly LC Propylene'!L71</f>
        <v>121.73508613104836</v>
      </c>
      <c r="AS33" s="44">
        <f>'Yearly LC Propylene'!M71</f>
        <v>122.85514630586817</v>
      </c>
      <c r="AT33" s="44">
        <f>'Yearly LC Propylene'!N71</f>
        <v>123.97041079747895</v>
      </c>
      <c r="AU33" s="44">
        <f>'Yearly LC Propylene'!O71</f>
        <v>123.31698289722426</v>
      </c>
      <c r="AV33" s="44">
        <f>'Yearly LC Propylene'!P71</f>
        <v>122.64731735418337</v>
      </c>
      <c r="AW33" s="44">
        <f>'Yearly LC Propylene'!Q71</f>
        <v>121.9134154998833</v>
      </c>
      <c r="AX33" s="44">
        <f>'Yearly LC Propylene'!R71</f>
        <v>121.14336031967831</v>
      </c>
      <c r="AY33" s="44">
        <f>'Yearly LC Propylene'!S71</f>
        <v>120.34148103748549</v>
      </c>
      <c r="AZ33" s="44">
        <f>'Yearly LC Propylene'!T71</f>
        <v>119.43246261345834</v>
      </c>
      <c r="BA33" s="44">
        <f>'Yearly LC Propylene'!U71</f>
        <v>118.47650651526084</v>
      </c>
      <c r="BB33" s="44">
        <f>'Yearly LC Propylene'!V71</f>
        <v>117.48435158781643</v>
      </c>
      <c r="BC33" s="44">
        <f>'Yearly LC Propylene'!W71</f>
        <v>116.46643501910363</v>
      </c>
      <c r="BD33" s="44">
        <f>'Yearly LC Propylene'!X71</f>
        <v>115.43040597221457</v>
      </c>
      <c r="BE33" s="44">
        <f>'Yearly LC Propylene'!Y71</f>
        <v>113.33714390965397</v>
      </c>
      <c r="BF33" s="44">
        <f>'Yearly LC Propylene'!Z71</f>
        <v>111.40429544821441</v>
      </c>
      <c r="BG33" s="44">
        <f>'Yearly LC Propylene'!AA71</f>
        <v>109.47671153160515</v>
      </c>
      <c r="BH33" s="44">
        <f>'Yearly LC Propylene'!AB71</f>
        <v>107.51837334805349</v>
      </c>
      <c r="BI33" s="44">
        <f>'Yearly LC Propylene'!AC71</f>
        <v>105.52311619673573</v>
      </c>
      <c r="BJ33" s="44">
        <f>'Yearly LC Propylene'!AD71</f>
        <v>103.43874112300146</v>
      </c>
      <c r="BK33" s="44">
        <f>'Yearly LC Propylene'!AE71</f>
        <v>101.30311809037465</v>
      </c>
      <c r="BL33" s="44">
        <f>'Yearly LC Propylene'!AF71</f>
        <v>99.111037395557304</v>
      </c>
      <c r="BM33" s="44">
        <f>'Yearly LC Propylene'!AG71</f>
        <v>96.861373763612747</v>
      </c>
      <c r="BN33" s="44">
        <f>'Yearly LC Propylene'!AH71</f>
        <v>94.559244376435615</v>
      </c>
      <c r="BO33" s="44"/>
      <c r="BP33" s="44">
        <f>'Yearly HC Propylene'!D4+'Yearly HC Propylene'!D41</f>
        <v>111.92307692307692</v>
      </c>
      <c r="BQ33" s="44">
        <f>'Yearly HC Propylene'!E4+'Yearly HC Propylene'!E41</f>
        <v>114.17696757491626</v>
      </c>
      <c r="BR33" s="44">
        <f>'Yearly HC Propylene'!F4+'Yearly HC Propylene'!F41</f>
        <v>116.47603314311496</v>
      </c>
      <c r="BS33" s="44">
        <f>'Yearly HC Propylene'!G4+'Yearly HC Propylene'!G41</f>
        <v>118.82117580625838</v>
      </c>
      <c r="BT33" s="44">
        <f>'Yearly HC Propylene'!H4+'Yearly HC Propylene'!H41</f>
        <v>121.21331571035434</v>
      </c>
      <c r="BU33" s="44">
        <f>'Yearly HC Propylene'!I4+'Yearly HC Propylene'!I41</f>
        <v>123.65339132591019</v>
      </c>
      <c r="BV33" s="44">
        <f>'Yearly HC Propylene'!J4+'Yearly HC Propylene'!J41</f>
        <v>125.92164108635201</v>
      </c>
      <c r="BW33" s="44">
        <f>'Yearly HC Propylene'!K4+'Yearly HC Propylene'!K41</f>
        <v>128.23140639385144</v>
      </c>
      <c r="BX33" s="44">
        <f>'Yearly HC Propylene'!L4+'Yearly HC Propylene'!L41</f>
        <v>130.58344561264067</v>
      </c>
      <c r="BY33" s="44">
        <f>'Yearly HC Propylene'!M4+'Yearly HC Propylene'!M41</f>
        <v>132.97853093588918</v>
      </c>
      <c r="BZ33" s="44">
        <f>'Yearly HC Propylene'!N4+'Yearly HC Propylene'!N41</f>
        <v>135.41744863748744</v>
      </c>
      <c r="CA33" s="44">
        <f>'Yearly HC Propylene'!O4+'Yearly HC Propylene'!O41</f>
        <v>136.75815630531591</v>
      </c>
      <c r="CB33" s="44">
        <f>'Yearly HC Propylene'!P4+'Yearly HC Propylene'!P41</f>
        <v>138.11375394832734</v>
      </c>
      <c r="CC33" s="44">
        <f>'Yearly HC Propylene'!Q4+'Yearly HC Propylene'!Q41</f>
        <v>139.48443711522134</v>
      </c>
      <c r="CD33" s="44">
        <f>'Yearly HC Propylene'!R4+'Yearly HC Propylene'!R41</f>
        <v>140.87040439802951</v>
      </c>
      <c r="CE33" s="44">
        <f>'Yearly HC Propylene'!S4+'Yearly HC Propylene'!S41</f>
        <v>142.2718574854205</v>
      </c>
      <c r="CF33" s="44">
        <f>'Yearly HC Propylene'!T4+'Yearly HC Propylene'!T41</f>
        <v>143.63314482306015</v>
      </c>
      <c r="CG33" s="44">
        <f>'Yearly HC Propylene'!U4+'Yearly HC Propylene'!U41</f>
        <v>145.00933720081875</v>
      </c>
      <c r="CH33" s="44">
        <f>'Yearly HC Propylene'!V4+'Yearly HC Propylene'!V41</f>
        <v>146.40063266762081</v>
      </c>
      <c r="CI33" s="44">
        <f>'Yearly HC Propylene'!W4+'Yearly HC Propylene'!W41</f>
        <v>147.80723243503994</v>
      </c>
      <c r="CJ33" s="44">
        <f>'Yearly HC Propylene'!X4+'Yearly HC Propylene'!X41</f>
        <v>149.22934093399832</v>
      </c>
      <c r="CK33" s="44">
        <f>'Yearly HC Propylene'!Y4+'Yearly HC Propylene'!Y41</f>
        <v>150.56345100846187</v>
      </c>
      <c r="CL33" s="44">
        <f>'Yearly HC Propylene'!Z4+'Yearly HC Propylene'!Z41</f>
        <v>151.91086948744305</v>
      </c>
      <c r="CM33" s="44">
        <f>'Yearly HC Propylene'!AA4+'Yearly HC Propylene'!AA41</f>
        <v>153.27175561116593</v>
      </c>
      <c r="CN33" s="44">
        <f>'Yearly HC Propylene'!AB4+'Yearly HC Propylene'!AB41</f>
        <v>154.64627095726883</v>
      </c>
      <c r="CO33" s="44">
        <f>'Yearly HC Propylene'!AC4+'Yearly HC Propylene'!AC41</f>
        <v>156.03457948066813</v>
      </c>
      <c r="CP33" s="44">
        <f>'Yearly HC Propylene'!AD4+'Yearly HC Propylene'!AD41</f>
        <v>157.38557714567159</v>
      </c>
      <c r="CQ33" s="44">
        <f>'Yearly HC Propylene'!AE4+'Yearly HC Propylene'!AE41</f>
        <v>158.74986566469005</v>
      </c>
      <c r="CR33" s="44">
        <f>'Yearly HC Propylene'!AF4+'Yearly HC Propylene'!AF41</f>
        <v>160.12760610855167</v>
      </c>
      <c r="CS33" s="44">
        <f>'Yearly HC Propylene'!AG4+'Yearly HC Propylene'!AG41</f>
        <v>161.51896198049872</v>
      </c>
      <c r="CT33" s="44">
        <f>'Yearly HC Propylene'!AH4+'Yearly HC Propylene'!AH41</f>
        <v>162.92409925871709</v>
      </c>
    </row>
    <row r="34" spans="1:98" x14ac:dyDescent="0.2">
      <c r="A34" s="1" t="s">
        <v>119</v>
      </c>
      <c r="C34" s="54" t="str">
        <f>'Yearly HC Propylene'!C72</f>
        <v>m Tons</v>
      </c>
      <c r="D34" s="44">
        <f>'Yearly HC Propylene'!D72</f>
        <v>9.9134783941819578</v>
      </c>
      <c r="E34" s="44">
        <f>'Yearly HC Propylene'!E72</f>
        <v>10.735934807250526</v>
      </c>
      <c r="F34" s="44">
        <f>'Yearly HC Propylene'!F72</f>
        <v>11.565469990944862</v>
      </c>
      <c r="G34" s="44">
        <f>'Yearly HC Propylene'!G72</f>
        <v>12.396633120284203</v>
      </c>
      <c r="H34" s="44">
        <f>'Yearly HC Propylene'!H72</f>
        <v>13.223680488935337</v>
      </c>
      <c r="I34" s="44">
        <f>'Yearly HC Propylene'!I72</f>
        <v>14.040578337681264</v>
      </c>
      <c r="J34" s="44">
        <f>'Yearly HC Propylene'!J72</f>
        <v>14.830192850914248</v>
      </c>
      <c r="K34" s="44">
        <f>'Yearly HC Propylene'!K72</f>
        <v>15.627705074533267</v>
      </c>
      <c r="L34" s="44">
        <f>'Yearly HC Propylene'!L72</f>
        <v>16.43034169419559</v>
      </c>
      <c r="M34" s="44">
        <f>'Yearly HC Propylene'!M72</f>
        <v>17.233866011132733</v>
      </c>
      <c r="N34" s="44">
        <f>'Yearly HC Propylene'!N72</f>
        <v>18.031504735061137</v>
      </c>
      <c r="O34" s="44">
        <f>'Yearly HC Propylene'!O72</f>
        <v>18.315232900976042</v>
      </c>
      <c r="P34" s="44">
        <f>'Yearly HC Propylene'!P72</f>
        <v>18.527191378853974</v>
      </c>
      <c r="Q34" s="44">
        <f>'Yearly HC Propylene'!Q72</f>
        <v>18.637308699712449</v>
      </c>
      <c r="R34" s="44">
        <f>'Yearly HC Propylene'!R72</f>
        <v>18.648049291627846</v>
      </c>
      <c r="S34" s="44">
        <f>'Yearly HC Propylene'!S72</f>
        <v>18.55550106643463</v>
      </c>
      <c r="T34" s="44">
        <f>'Yearly HC Propylene'!T72</f>
        <v>18.399722076481314</v>
      </c>
      <c r="U34" s="44">
        <f>'Yearly HC Propylene'!U72</f>
        <v>18.19606599557282</v>
      </c>
      <c r="V34" s="44">
        <f>'Yearly HC Propylene'!V72</f>
        <v>17.964968629078772</v>
      </c>
      <c r="W34" s="44">
        <f>'Yearly HC Propylene'!W72</f>
        <v>17.72578141662532</v>
      </c>
      <c r="X34" s="44">
        <f>'Yearly HC Propylene'!X72</f>
        <v>17.492128975944251</v>
      </c>
      <c r="Y34" s="44">
        <f>'Yearly HC Propylene'!Y72</f>
        <v>16.656054097187578</v>
      </c>
      <c r="Z34" s="44">
        <f>'Yearly HC Propylene'!Z72</f>
        <v>15.863640003477709</v>
      </c>
      <c r="AA34" s="44">
        <f>'Yearly HC Propylene'!AA72</f>
        <v>15.068263762082118</v>
      </c>
      <c r="AB34" s="44">
        <f>'Yearly HC Propylene'!AB72</f>
        <v>14.269540969160794</v>
      </c>
      <c r="AC34" s="44">
        <f>'Yearly HC Propylene'!AC72</f>
        <v>13.455824551772711</v>
      </c>
      <c r="AD34" s="44">
        <f>'Yearly HC Propylene'!AD72</f>
        <v>12.613043633463924</v>
      </c>
      <c r="AE34" s="44">
        <f>'Yearly HC Propylene'!AE72</f>
        <v>11.732891856899766</v>
      </c>
      <c r="AF34" s="44">
        <f>'Yearly HC Propylene'!AF72</f>
        <v>10.809237594933919</v>
      </c>
      <c r="AG34" s="44">
        <f>'Yearly HC Propylene'!AG72</f>
        <v>9.8514166825826486</v>
      </c>
      <c r="AH34" s="44">
        <f>'Yearly HC Propylene'!AH72</f>
        <v>9.8203896161508357</v>
      </c>
      <c r="AI34" s="44"/>
      <c r="AJ34" s="44">
        <f>'Yearly LC Propylene'!D72</f>
        <v>9.9134984978047527</v>
      </c>
      <c r="AK34" s="44">
        <f>'Yearly LC Propylene'!E72</f>
        <v>10.743523526700654</v>
      </c>
      <c r="AL34" s="44">
        <f>'Yearly LC Propylene'!F72</f>
        <v>11.581976579607343</v>
      </c>
      <c r="AM34" s="44">
        <f>'Yearly LC Propylene'!G72</f>
        <v>12.423470440926272</v>
      </c>
      <c r="AN34" s="44">
        <f>'Yearly LC Propylene'!H72</f>
        <v>13.262339124788893</v>
      </c>
      <c r="AO34" s="44">
        <f>'Yearly LC Propylene'!I72</f>
        <v>14.092669208947385</v>
      </c>
      <c r="AP34" s="44">
        <f>'Yearly LC Propylene'!J72</f>
        <v>14.927853208399281</v>
      </c>
      <c r="AQ34" s="44">
        <f>'Yearly LC Propylene'!K72</f>
        <v>15.777439626137937</v>
      </c>
      <c r="AR34" s="44">
        <f>'Yearly LC Propylene'!L72</f>
        <v>16.639758532043064</v>
      </c>
      <c r="AS34" s="44">
        <f>'Yearly LC Propylene'!M72</f>
        <v>17.512361109317325</v>
      </c>
      <c r="AT34" s="44">
        <f>'Yearly LC Propylene'!N72</f>
        <v>18.391461585911184</v>
      </c>
      <c r="AU34" s="44">
        <f>'Yearly LC Propylene'!O72</f>
        <v>18.782053045462192</v>
      </c>
      <c r="AV34" s="44">
        <f>'Yearly LC Propylene'!P72</f>
        <v>19.120580029302879</v>
      </c>
      <c r="AW34" s="44">
        <f>'Yearly LC Propylene'!Q72</f>
        <v>19.391298555243232</v>
      </c>
      <c r="AX34" s="44">
        <f>'Yearly LC Propylene'!R72</f>
        <v>19.592595124112211</v>
      </c>
      <c r="AY34" s="44">
        <f>'Yearly LC Propylene'!S72</f>
        <v>19.720901857761568</v>
      </c>
      <c r="AZ34" s="44">
        <f>'Yearly LC Propylene'!T72</f>
        <v>19.8140064146945</v>
      </c>
      <c r="BA34" s="44">
        <f>'Yearly LC Propylene'!U72</f>
        <v>19.879516219731151</v>
      </c>
      <c r="BB34" s="44">
        <f>'Yearly LC Propylene'!V72</f>
        <v>19.927907825830168</v>
      </c>
      <c r="BC34" s="44">
        <f>'Yearly LC Propylene'!W72</f>
        <v>19.969347599138821</v>
      </c>
      <c r="BD34" s="44">
        <f>'Yearly LC Propylene'!X72</f>
        <v>20.011205670709749</v>
      </c>
      <c r="BE34" s="44">
        <f>'Yearly LC Propylene'!Y72</f>
        <v>19.416672575178701</v>
      </c>
      <c r="BF34" s="44">
        <f>'Yearly LC Propylene'!Z72</f>
        <v>18.838684109649865</v>
      </c>
      <c r="BG34" s="44">
        <f>'Yearly LC Propylene'!AA72</f>
        <v>18.276146822271794</v>
      </c>
      <c r="BH34" s="44">
        <f>'Yearly LC Propylene'!AB72</f>
        <v>17.706293930454724</v>
      </c>
      <c r="BI34" s="44">
        <f>'Yearly LC Propylene'!AC72</f>
        <v>17.122766115577686</v>
      </c>
      <c r="BJ34" s="44">
        <f>'Yearly LC Propylene'!AD72</f>
        <v>16.518236181847769</v>
      </c>
      <c r="BK34" s="44">
        <f>'Yearly LC Propylene'!AE72</f>
        <v>15.886092492162476</v>
      </c>
      <c r="BL34" s="44">
        <f>'Yearly LC Propylene'!AF72</f>
        <v>15.22095615022231</v>
      </c>
      <c r="BM34" s="44">
        <f>'Yearly LC Propylene'!AG72</f>
        <v>14.521528861668587</v>
      </c>
      <c r="BN34" s="44">
        <f>'Yearly LC Propylene'!AH72</f>
        <v>13.792751291113163</v>
      </c>
      <c r="BO34" s="44"/>
      <c r="BP34" s="44">
        <f>'Yearly LC Propylene'!AJ72</f>
        <v>0</v>
      </c>
      <c r="BQ34" s="44">
        <f>'Yearly LC Propylene'!AK72</f>
        <v>0</v>
      </c>
      <c r="BR34" s="44">
        <f>'Yearly LC Propylene'!AL72</f>
        <v>0</v>
      </c>
      <c r="BS34" s="44">
        <f>'Yearly LC Propylene'!AM72</f>
        <v>0</v>
      </c>
      <c r="BT34" s="44">
        <f>'Yearly LC Propylene'!AN72</f>
        <v>0</v>
      </c>
      <c r="BU34" s="44">
        <f>'Yearly LC Propylene'!AO72</f>
        <v>0</v>
      </c>
      <c r="BV34" s="44">
        <f>'Yearly LC Propylene'!AP72</f>
        <v>0</v>
      </c>
      <c r="BW34" s="44">
        <f>'Yearly LC Propylene'!AQ72</f>
        <v>0</v>
      </c>
      <c r="BX34" s="44">
        <f>'Yearly LC Propylene'!AR72</f>
        <v>0</v>
      </c>
      <c r="BY34" s="44">
        <f>'Yearly LC Propylene'!AS72</f>
        <v>0</v>
      </c>
      <c r="BZ34" s="44">
        <f>'Yearly LC Propylene'!AT72</f>
        <v>0</v>
      </c>
      <c r="CA34" s="44">
        <f>'Yearly LC Propylene'!AU72</f>
        <v>0</v>
      </c>
      <c r="CB34" s="44">
        <f>'Yearly LC Propylene'!AV72</f>
        <v>0</v>
      </c>
      <c r="CC34" s="44">
        <f>'Yearly LC Propylene'!AW72</f>
        <v>0</v>
      </c>
      <c r="CD34" s="44">
        <f>'Yearly LC Propylene'!AX72</f>
        <v>0</v>
      </c>
      <c r="CE34" s="44">
        <f>'Yearly LC Propylene'!AY72</f>
        <v>0</v>
      </c>
      <c r="CF34" s="44">
        <f>'Yearly LC Propylene'!AZ72</f>
        <v>0</v>
      </c>
      <c r="CG34" s="44">
        <f>'Yearly LC Propylene'!BA72</f>
        <v>0</v>
      </c>
      <c r="CH34" s="44">
        <f>'Yearly LC Propylene'!BB72</f>
        <v>0</v>
      </c>
      <c r="CI34" s="44">
        <f>'Yearly LC Propylene'!BC72</f>
        <v>0</v>
      </c>
      <c r="CJ34" s="44">
        <f>'Yearly LC Propylene'!BD72</f>
        <v>0</v>
      </c>
      <c r="CK34" s="44">
        <f>'Yearly LC Propylene'!BE72</f>
        <v>0</v>
      </c>
      <c r="CL34" s="44">
        <f>'Yearly LC Propylene'!BF72</f>
        <v>0</v>
      </c>
      <c r="CM34" s="44">
        <f>'Yearly LC Propylene'!BG72</f>
        <v>0</v>
      </c>
      <c r="CN34" s="44">
        <f>'Yearly LC Propylene'!BH72</f>
        <v>0</v>
      </c>
      <c r="CO34" s="44">
        <f>'Yearly LC Propylene'!BI72</f>
        <v>0</v>
      </c>
      <c r="CP34" s="44">
        <f>'Yearly LC Propylene'!BJ72</f>
        <v>0</v>
      </c>
      <c r="CQ34" s="44">
        <f>'Yearly LC Propylene'!BK72</f>
        <v>0</v>
      </c>
      <c r="CR34" s="44">
        <f>'Yearly LC Propylene'!BL72</f>
        <v>0</v>
      </c>
      <c r="CS34" s="44">
        <f>'Yearly LC Propylene'!BM72</f>
        <v>0</v>
      </c>
      <c r="CT34" s="44">
        <f>'Yearly LC Propylene'!BN72</f>
        <v>0</v>
      </c>
    </row>
    <row r="35" spans="1:98" x14ac:dyDescent="0.2">
      <c r="D35" s="44"/>
      <c r="E35" s="44"/>
      <c r="F35" s="44"/>
      <c r="G35" s="44"/>
      <c r="H35" s="44"/>
      <c r="I35" s="44"/>
      <c r="J35" s="44"/>
      <c r="K35" s="44"/>
      <c r="L35" s="44"/>
      <c r="M35" s="44"/>
      <c r="N35" s="44"/>
      <c r="O35" s="44"/>
      <c r="P35" s="44"/>
      <c r="Q35" s="44"/>
      <c r="R35" s="44"/>
      <c r="S35" s="44"/>
      <c r="T35" s="44"/>
      <c r="U35" s="44"/>
      <c r="V35" s="44"/>
      <c r="W35" s="44"/>
      <c r="X35" s="44"/>
      <c r="Y35" s="44"/>
      <c r="Z35" s="44"/>
      <c r="AA35" s="44"/>
      <c r="AB35" s="44"/>
      <c r="AC35" s="44"/>
      <c r="AD35" s="44"/>
      <c r="AE35" s="44"/>
      <c r="AF35" s="44"/>
      <c r="AG35" s="44"/>
      <c r="AH35" s="44"/>
      <c r="AI35" s="44"/>
      <c r="AJ35" s="44"/>
      <c r="AK35" s="44"/>
      <c r="AL35" s="44"/>
      <c r="AM35" s="44"/>
      <c r="AN35" s="44"/>
      <c r="AO35" s="44"/>
      <c r="AP35" s="44"/>
      <c r="AQ35" s="44"/>
      <c r="AR35" s="44"/>
      <c r="AS35" s="44"/>
      <c r="AT35" s="44"/>
      <c r="AU35" s="44"/>
      <c r="AV35" s="44"/>
      <c r="AW35" s="44"/>
      <c r="AX35" s="44"/>
      <c r="AY35" s="44"/>
      <c r="AZ35" s="44"/>
      <c r="BA35" s="44"/>
      <c r="BB35" s="44"/>
      <c r="BC35" s="44"/>
      <c r="BD35" s="44"/>
      <c r="BE35" s="44"/>
      <c r="BF35" s="44"/>
      <c r="BG35" s="44"/>
      <c r="BH35" s="44"/>
      <c r="BI35" s="44"/>
      <c r="BJ35" s="44"/>
      <c r="BK35" s="44"/>
      <c r="BL35" s="44"/>
      <c r="BM35" s="44"/>
      <c r="BN35" s="44"/>
      <c r="BO35" s="44"/>
      <c r="BP35" s="44"/>
      <c r="BQ35" s="44"/>
      <c r="BR35" s="44"/>
      <c r="BS35" s="44"/>
      <c r="BT35" s="44"/>
      <c r="BU35" s="44"/>
      <c r="BV35" s="44"/>
      <c r="BW35" s="44"/>
      <c r="BX35" s="44"/>
      <c r="BY35" s="44"/>
      <c r="BZ35" s="44"/>
      <c r="CA35" s="44"/>
      <c r="CB35" s="44"/>
      <c r="CC35" s="44"/>
      <c r="CD35" s="44"/>
      <c r="CE35" s="44"/>
      <c r="CF35" s="44"/>
      <c r="CG35" s="44"/>
      <c r="CH35" s="44"/>
      <c r="CI35" s="44"/>
      <c r="CJ35" s="44"/>
      <c r="CK35" s="44"/>
      <c r="CL35" s="44"/>
      <c r="CM35" s="44"/>
      <c r="CN35" s="44"/>
      <c r="CO35" s="44"/>
      <c r="CP35" s="44"/>
      <c r="CQ35" s="44"/>
      <c r="CR35" s="44"/>
      <c r="CS35" s="44"/>
      <c r="CT35" s="44"/>
    </row>
    <row r="36" spans="1:98" s="52" customFormat="1" ht="16" thickBot="1" x14ac:dyDescent="0.25">
      <c r="A36" s="52" t="s">
        <v>6</v>
      </c>
      <c r="C36" s="635"/>
      <c r="D36" s="636"/>
      <c r="E36" s="636"/>
      <c r="F36" s="636"/>
      <c r="G36" s="636"/>
      <c r="H36" s="636"/>
      <c r="I36" s="636"/>
      <c r="J36" s="636"/>
      <c r="K36" s="636"/>
      <c r="L36" s="636"/>
      <c r="M36" s="636"/>
      <c r="N36" s="636"/>
      <c r="O36" s="636"/>
      <c r="P36" s="636"/>
      <c r="Q36" s="636"/>
      <c r="R36" s="636"/>
      <c r="S36" s="636"/>
      <c r="T36" s="636"/>
      <c r="U36" s="636"/>
      <c r="V36" s="636"/>
      <c r="W36" s="636"/>
      <c r="X36" s="636"/>
      <c r="Y36" s="636"/>
      <c r="Z36" s="636"/>
      <c r="AA36" s="636"/>
      <c r="AB36" s="636"/>
      <c r="AC36" s="636"/>
      <c r="AD36" s="636"/>
      <c r="AE36" s="636"/>
      <c r="AF36" s="636"/>
      <c r="AG36" s="636"/>
      <c r="AH36" s="636"/>
      <c r="AI36" s="636"/>
      <c r="AJ36" s="636"/>
      <c r="AK36" s="636"/>
      <c r="AL36" s="636"/>
      <c r="AM36" s="636"/>
      <c r="AN36" s="636"/>
      <c r="AO36" s="636"/>
      <c r="AP36" s="636"/>
      <c r="AQ36" s="636"/>
      <c r="AR36" s="636"/>
      <c r="AS36" s="636"/>
      <c r="AT36" s="636"/>
      <c r="AU36" s="636"/>
      <c r="AV36" s="636"/>
      <c r="AW36" s="636"/>
      <c r="AX36" s="636"/>
      <c r="AY36" s="636"/>
      <c r="AZ36" s="636"/>
      <c r="BA36" s="636"/>
      <c r="BB36" s="636"/>
      <c r="BC36" s="636"/>
      <c r="BD36" s="636"/>
      <c r="BE36" s="636"/>
      <c r="BF36" s="636"/>
      <c r="BG36" s="636"/>
      <c r="BH36" s="636"/>
      <c r="BI36" s="636"/>
      <c r="BJ36" s="636"/>
      <c r="BK36" s="636"/>
      <c r="BL36" s="636"/>
      <c r="BM36" s="636"/>
      <c r="BN36" s="636"/>
      <c r="BO36" s="636"/>
      <c r="BP36" s="636"/>
      <c r="BQ36" s="636"/>
      <c r="BR36" s="636"/>
      <c r="BS36" s="636"/>
      <c r="BT36" s="636"/>
      <c r="BU36" s="636"/>
      <c r="BV36" s="636"/>
      <c r="BW36" s="636"/>
      <c r="BX36" s="636"/>
      <c r="BY36" s="636"/>
      <c r="BZ36" s="636"/>
      <c r="CA36" s="636"/>
      <c r="CB36" s="636"/>
      <c r="CC36" s="636"/>
      <c r="CD36" s="636"/>
      <c r="CE36" s="636"/>
      <c r="CF36" s="636"/>
      <c r="CG36" s="636"/>
      <c r="CH36" s="636"/>
      <c r="CI36" s="636"/>
      <c r="CJ36" s="636"/>
      <c r="CK36" s="636"/>
      <c r="CL36" s="636"/>
      <c r="CM36" s="636"/>
      <c r="CN36" s="636"/>
      <c r="CO36" s="636"/>
      <c r="CP36" s="636"/>
      <c r="CQ36" s="636"/>
      <c r="CR36" s="636"/>
      <c r="CS36" s="636"/>
      <c r="CT36" s="636"/>
    </row>
    <row r="37" spans="1:98" s="554" customFormat="1" x14ac:dyDescent="0.2">
      <c r="A37" s="550" t="s">
        <v>138</v>
      </c>
      <c r="B37" s="551"/>
      <c r="C37" s="552" t="str">
        <f>'Yearly Methanol'!C6</f>
        <v>m Tons</v>
      </c>
      <c r="D37" s="553">
        <f>BP38</f>
        <v>70.960266702016895</v>
      </c>
      <c r="E37" s="553">
        <f t="shared" ref="E37:AH37" si="239">BQ38</f>
        <v>75.467856664702907</v>
      </c>
      <c r="F37" s="553">
        <f t="shared" si="239"/>
        <v>79.918986982863856</v>
      </c>
      <c r="G37" s="553">
        <f t="shared" si="239"/>
        <v>84.371373167609406</v>
      </c>
      <c r="H37" s="553">
        <f t="shared" si="239"/>
        <v>88.825106439029184</v>
      </c>
      <c r="I37" s="553">
        <f t="shared" si="239"/>
        <v>93.280286688925557</v>
      </c>
      <c r="J37" s="553">
        <f t="shared" si="239"/>
        <v>97.737023392609771</v>
      </c>
      <c r="K37" s="553">
        <f t="shared" si="239"/>
        <v>102.19543661942507</v>
      </c>
      <c r="L37" s="553">
        <f t="shared" si="239"/>
        <v>106.65565815281919</v>
      </c>
      <c r="M37" s="553">
        <f t="shared" si="239"/>
        <v>111.11783273198854</v>
      </c>
      <c r="N37" s="553">
        <f t="shared" si="239"/>
        <v>115.58211942844707</v>
      </c>
      <c r="O37" s="553">
        <f t="shared" si="239"/>
        <v>117.39193562285953</v>
      </c>
      <c r="P37" s="553">
        <f t="shared" si="239"/>
        <v>119.20514997703128</v>
      </c>
      <c r="Q37" s="553">
        <f t="shared" si="239"/>
        <v>121.02199782578643</v>
      </c>
      <c r="R37" s="553">
        <f t="shared" si="239"/>
        <v>122.84273654532208</v>
      </c>
      <c r="S37" s="553">
        <f t="shared" si="239"/>
        <v>124.66764787408195</v>
      </c>
      <c r="T37" s="553">
        <f t="shared" si="239"/>
        <v>126.29704048654951</v>
      </c>
      <c r="U37" s="553">
        <f t="shared" si="239"/>
        <v>127.93125284792364</v>
      </c>
      <c r="V37" s="553">
        <f t="shared" si="239"/>
        <v>129.57065638076736</v>
      </c>
      <c r="W37" s="553">
        <f t="shared" si="239"/>
        <v>131.21565897819954</v>
      </c>
      <c r="X37" s="553">
        <f t="shared" si="239"/>
        <v>132.86670890207853</v>
      </c>
      <c r="Y37" s="553">
        <f t="shared" si="239"/>
        <v>134.10297944198058</v>
      </c>
      <c r="Z37" s="553">
        <f t="shared" si="239"/>
        <v>135.34560784865073</v>
      </c>
      <c r="AA37" s="553">
        <f t="shared" si="239"/>
        <v>136.59517291583251</v>
      </c>
      <c r="AB37" s="553">
        <f t="shared" si="239"/>
        <v>137.85231376034878</v>
      </c>
      <c r="AC37" s="553">
        <f t="shared" si="239"/>
        <v>139.117736382473</v>
      </c>
      <c r="AD37" s="553">
        <f t="shared" si="239"/>
        <v>140.39222095169944</v>
      </c>
      <c r="AE37" s="553">
        <f t="shared" si="239"/>
        <v>141.67662989908584</v>
      </c>
      <c r="AF37" s="553">
        <f t="shared" si="239"/>
        <v>142.97191690653815</v>
      </c>
      <c r="AG37" s="553">
        <f t="shared" si="239"/>
        <v>144.27913689365624</v>
      </c>
      <c r="AH37" s="553">
        <f t="shared" si="239"/>
        <v>145.59945711418746</v>
      </c>
      <c r="AI37" s="553"/>
      <c r="AJ37" s="553">
        <f>D37</f>
        <v>70.960266702016895</v>
      </c>
      <c r="AK37" s="553">
        <f t="shared" ref="AK37:BN37" si="240">E37</f>
        <v>75.467856664702907</v>
      </c>
      <c r="AL37" s="553">
        <f t="shared" si="240"/>
        <v>79.918986982863856</v>
      </c>
      <c r="AM37" s="553">
        <f t="shared" si="240"/>
        <v>84.371373167609406</v>
      </c>
      <c r="AN37" s="553">
        <f t="shared" si="240"/>
        <v>88.825106439029184</v>
      </c>
      <c r="AO37" s="553">
        <f t="shared" si="240"/>
        <v>93.280286688925557</v>
      </c>
      <c r="AP37" s="553">
        <f t="shared" si="240"/>
        <v>97.737023392609771</v>
      </c>
      <c r="AQ37" s="553">
        <f t="shared" si="240"/>
        <v>102.19543661942507</v>
      </c>
      <c r="AR37" s="553">
        <f t="shared" si="240"/>
        <v>106.65565815281919</v>
      </c>
      <c r="AS37" s="553">
        <f t="shared" si="240"/>
        <v>111.11783273198854</v>
      </c>
      <c r="AT37" s="553">
        <f t="shared" si="240"/>
        <v>115.58211942844707</v>
      </c>
      <c r="AU37" s="553">
        <f t="shared" si="240"/>
        <v>117.39193562285953</v>
      </c>
      <c r="AV37" s="553">
        <f t="shared" si="240"/>
        <v>119.20514997703128</v>
      </c>
      <c r="AW37" s="553">
        <f t="shared" si="240"/>
        <v>121.02199782578643</v>
      </c>
      <c r="AX37" s="553">
        <f t="shared" si="240"/>
        <v>122.84273654532208</v>
      </c>
      <c r="AY37" s="553">
        <f t="shared" si="240"/>
        <v>124.66764787408195</v>
      </c>
      <c r="AZ37" s="553">
        <f t="shared" si="240"/>
        <v>126.29704048654951</v>
      </c>
      <c r="BA37" s="553">
        <f t="shared" si="240"/>
        <v>127.93125284792364</v>
      </c>
      <c r="BB37" s="553">
        <f t="shared" si="240"/>
        <v>129.57065638076736</v>
      </c>
      <c r="BC37" s="553">
        <f t="shared" si="240"/>
        <v>131.21565897819954</v>
      </c>
      <c r="BD37" s="553">
        <f t="shared" si="240"/>
        <v>132.86670890207853</v>
      </c>
      <c r="BE37" s="553">
        <f t="shared" si="240"/>
        <v>134.10297944198058</v>
      </c>
      <c r="BF37" s="553">
        <f t="shared" si="240"/>
        <v>135.34560784865073</v>
      </c>
      <c r="BG37" s="553">
        <f t="shared" si="240"/>
        <v>136.59517291583251</v>
      </c>
      <c r="BH37" s="553">
        <f t="shared" si="240"/>
        <v>137.85231376034878</v>
      </c>
      <c r="BI37" s="553">
        <f t="shared" si="240"/>
        <v>139.117736382473</v>
      </c>
      <c r="BJ37" s="553">
        <f t="shared" si="240"/>
        <v>140.39222095169944</v>
      </c>
      <c r="BK37" s="553">
        <f t="shared" si="240"/>
        <v>141.67662989908584</v>
      </c>
      <c r="BL37" s="553">
        <f t="shared" si="240"/>
        <v>142.97191690653815</v>
      </c>
      <c r="BM37" s="553">
        <f t="shared" si="240"/>
        <v>144.27913689365624</v>
      </c>
      <c r="BN37" s="553">
        <f t="shared" si="240"/>
        <v>145.59945711418746</v>
      </c>
      <c r="BO37" s="553"/>
      <c r="BP37" s="553">
        <f>AJ37</f>
        <v>70.960266702016895</v>
      </c>
      <c r="BQ37" s="553">
        <f t="shared" ref="BQ37:CT37" si="241">AK37</f>
        <v>75.467856664702907</v>
      </c>
      <c r="BR37" s="553">
        <f t="shared" si="241"/>
        <v>79.918986982863856</v>
      </c>
      <c r="BS37" s="553">
        <f t="shared" si="241"/>
        <v>84.371373167609406</v>
      </c>
      <c r="BT37" s="553">
        <f t="shared" si="241"/>
        <v>88.825106439029184</v>
      </c>
      <c r="BU37" s="553">
        <f t="shared" si="241"/>
        <v>93.280286688925557</v>
      </c>
      <c r="BV37" s="553">
        <f t="shared" si="241"/>
        <v>97.737023392609771</v>
      </c>
      <c r="BW37" s="553">
        <f t="shared" si="241"/>
        <v>102.19543661942507</v>
      </c>
      <c r="BX37" s="553">
        <f t="shared" si="241"/>
        <v>106.65565815281919</v>
      </c>
      <c r="BY37" s="553">
        <f t="shared" si="241"/>
        <v>111.11783273198854</v>
      </c>
      <c r="BZ37" s="553">
        <f t="shared" si="241"/>
        <v>115.58211942844707</v>
      </c>
      <c r="CA37" s="553">
        <f t="shared" si="241"/>
        <v>117.39193562285953</v>
      </c>
      <c r="CB37" s="553">
        <f t="shared" si="241"/>
        <v>119.20514997703128</v>
      </c>
      <c r="CC37" s="553">
        <f t="shared" si="241"/>
        <v>121.02199782578643</v>
      </c>
      <c r="CD37" s="553">
        <f t="shared" si="241"/>
        <v>122.84273654532208</v>
      </c>
      <c r="CE37" s="553">
        <f t="shared" si="241"/>
        <v>124.66764787408195</v>
      </c>
      <c r="CF37" s="553">
        <f t="shared" si="241"/>
        <v>126.29704048654951</v>
      </c>
      <c r="CG37" s="553">
        <f t="shared" si="241"/>
        <v>127.93125284792364</v>
      </c>
      <c r="CH37" s="553">
        <f t="shared" si="241"/>
        <v>129.57065638076736</v>
      </c>
      <c r="CI37" s="553">
        <f t="shared" si="241"/>
        <v>131.21565897819954</v>
      </c>
      <c r="CJ37" s="553">
        <f t="shared" si="241"/>
        <v>132.86670890207853</v>
      </c>
      <c r="CK37" s="553">
        <f t="shared" si="241"/>
        <v>134.10297944198058</v>
      </c>
      <c r="CL37" s="553">
        <f t="shared" si="241"/>
        <v>135.34560784865073</v>
      </c>
      <c r="CM37" s="553">
        <f t="shared" si="241"/>
        <v>136.59517291583251</v>
      </c>
      <c r="CN37" s="553">
        <f t="shared" si="241"/>
        <v>137.85231376034878</v>
      </c>
      <c r="CO37" s="553">
        <f t="shared" si="241"/>
        <v>139.117736382473</v>
      </c>
      <c r="CP37" s="553">
        <f t="shared" si="241"/>
        <v>140.39222095169944</v>
      </c>
      <c r="CQ37" s="553">
        <f t="shared" si="241"/>
        <v>141.67662989908584</v>
      </c>
      <c r="CR37" s="553">
        <f t="shared" si="241"/>
        <v>142.97191690653815</v>
      </c>
      <c r="CS37" s="553">
        <f t="shared" si="241"/>
        <v>144.27913689365624</v>
      </c>
      <c r="CT37" s="553">
        <f t="shared" si="241"/>
        <v>145.59945711418746</v>
      </c>
    </row>
    <row r="38" spans="1:98" x14ac:dyDescent="0.2">
      <c r="A38" s="1" t="s">
        <v>139</v>
      </c>
      <c r="C38" s="54" t="str">
        <f>'Yearly Methanol'!C122</f>
        <v>m Tons</v>
      </c>
      <c r="D38" s="44">
        <f>'Yearly Methanol'!D122</f>
        <v>70.960262620346811</v>
      </c>
      <c r="E38" s="44">
        <f>'Yearly Methanol'!E122</f>
        <v>74.512773737315598</v>
      </c>
      <c r="F38" s="44">
        <f>'Yearly Methanol'!F122</f>
        <v>77.911149797311367</v>
      </c>
      <c r="G38" s="44">
        <f>'Yearly Methanol'!G122</f>
        <v>81.231461398452282</v>
      </c>
      <c r="H38" s="44">
        <f>'Yearly Methanol'!H122</f>
        <v>84.473460561313047</v>
      </c>
      <c r="I38" s="44">
        <f>'Yearly Methanol'!I122</f>
        <v>87.650032924740742</v>
      </c>
      <c r="J38" s="44">
        <f>'Yearly Methanol'!J122</f>
        <v>90.742644843299061</v>
      </c>
      <c r="K38" s="44">
        <f>'Yearly Methanol'!K122</f>
        <v>93.754573303765</v>
      </c>
      <c r="L38" s="44">
        <f>'Yearly Methanol'!L122</f>
        <v>96.685025295371517</v>
      </c>
      <c r="M38" s="44">
        <f>'Yearly Methanol'!M122</f>
        <v>99.533010287331166</v>
      </c>
      <c r="N38" s="44">
        <f>'Yearly Methanol'!N122</f>
        <v>102.29719510964087</v>
      </c>
      <c r="O38" s="44">
        <f>'Yearly Methanol'!O122</f>
        <v>101.27291264844469</v>
      </c>
      <c r="P38" s="44">
        <f>'Yearly Methanol'!P122</f>
        <v>100.14426265471035</v>
      </c>
      <c r="Q38" s="44">
        <f>'Yearly Methanol'!Q122</f>
        <v>98.908181086173727</v>
      </c>
      <c r="R38" s="44">
        <f>'Yearly Methanol'!R122</f>
        <v>97.561382998387515</v>
      </c>
      <c r="S38" s="44">
        <f>'Yearly Methanol'!S122</f>
        <v>96.101577647310705</v>
      </c>
      <c r="T38" s="44">
        <f>'Yearly Methanol'!T122</f>
        <v>94.343267009478723</v>
      </c>
      <c r="U38" s="44">
        <f>'Yearly Methanol'!U122</f>
        <v>92.468704924268849</v>
      </c>
      <c r="V38" s="44">
        <f>'Yearly Methanol'!V122</f>
        <v>90.477947563836338</v>
      </c>
      <c r="W38" s="44">
        <f>'Yearly Methanol'!W122</f>
        <v>88.370866857876123</v>
      </c>
      <c r="X38" s="44">
        <f>'Yearly Methanol'!X122</f>
        <v>86.146509839474064</v>
      </c>
      <c r="Y38" s="44">
        <f>'Yearly Methanol'!Y122</f>
        <v>84.084923954466547</v>
      </c>
      <c r="Z38" s="44">
        <f>'Yearly Methanol'!Z122</f>
        <v>81.941901820890024</v>
      </c>
      <c r="AA38" s="44">
        <f>'Yearly Methanol'!AA122</f>
        <v>79.716526587710561</v>
      </c>
      <c r="AB38" s="44">
        <f>'Yearly Methanol'!AB122</f>
        <v>77.404092336105393</v>
      </c>
      <c r="AC38" s="44">
        <f>'Yearly Methanol'!AC122</f>
        <v>75.001108003969804</v>
      </c>
      <c r="AD38" s="44">
        <f>'Yearly Methanol'!AD122</f>
        <v>72.506896063490004</v>
      </c>
      <c r="AE38" s="44">
        <f>'Yearly Methanol'!AE122</f>
        <v>69.915230947654265</v>
      </c>
      <c r="AF38" s="44">
        <f>'Yearly Methanol'!AF122</f>
        <v>67.222883965931601</v>
      </c>
      <c r="AG38" s="44">
        <f>'Yearly Methanol'!AG122</f>
        <v>64.427639371590089</v>
      </c>
      <c r="AH38" s="44">
        <f>'Yearly Methanol'!AH122</f>
        <v>61.528846390549319</v>
      </c>
      <c r="AI38" s="44"/>
      <c r="AJ38" s="44">
        <f>'Yearly Methanol'!AJ122</f>
        <v>70.960264661181853</v>
      </c>
      <c r="AK38" s="44">
        <f>'Yearly Methanol'!AK122</f>
        <v>74.684100413957779</v>
      </c>
      <c r="AL38" s="44">
        <f>'Yearly Methanol'!AL122</f>
        <v>78.279424668927319</v>
      </c>
      <c r="AM38" s="44">
        <f>'Yearly Methanol'!AM122</f>
        <v>81.822185549051213</v>
      </c>
      <c r="AN38" s="44">
        <f>'Yearly Methanol'!AN122</f>
        <v>85.312012243228338</v>
      </c>
      <c r="AO38" s="44">
        <f>'Yearly Methanol'!AO122</f>
        <v>88.761672298029893</v>
      </c>
      <c r="AP38" s="44">
        <f>'Yearly Methanol'!AP122</f>
        <v>92.152524044207425</v>
      </c>
      <c r="AQ38" s="44">
        <f>'Yearly Methanol'!AQ122</f>
        <v>95.487765911437364</v>
      </c>
      <c r="AR38" s="44">
        <f>'Yearly Methanol'!AR122</f>
        <v>98.766577870773077</v>
      </c>
      <c r="AS38" s="44">
        <f>'Yearly Methanol'!AS122</f>
        <v>101.98803526001647</v>
      </c>
      <c r="AT38" s="44">
        <f>'Yearly Methanol'!AT122</f>
        <v>105.1510365172677</v>
      </c>
      <c r="AU38" s="44">
        <f>'Yearly Methanol'!AU122</f>
        <v>104.50735061383563</v>
      </c>
      <c r="AV38" s="44">
        <f>'Yearly Methanol'!AV122</f>
        <v>103.77018723979154</v>
      </c>
      <c r="AW38" s="44">
        <f>'Yearly Methanol'!AW122</f>
        <v>102.93712487190449</v>
      </c>
      <c r="AX38" s="44">
        <f>'Yearly Methanol'!AX122</f>
        <v>102.00539476987784</v>
      </c>
      <c r="AY38" s="44">
        <f>'Yearly Methanol'!AY122</f>
        <v>100.97278469792893</v>
      </c>
      <c r="AZ38" s="44">
        <f>'Yearly Methanol'!AZ122</f>
        <v>99.642879932863906</v>
      </c>
      <c r="BA38" s="44">
        <f>'Yearly Methanol'!BA122</f>
        <v>98.20594786944342</v>
      </c>
      <c r="BB38" s="44">
        <f>'Yearly Methanol'!BB122</f>
        <v>96.660542638184268</v>
      </c>
      <c r="BC38" s="44">
        <f>'Yearly Methanol'!BC122</f>
        <v>95.005095774240814</v>
      </c>
      <c r="BD38" s="44">
        <f>'Yearly Methanol'!BD122</f>
        <v>93.237596430146809</v>
      </c>
      <c r="BE38" s="44">
        <f>'Yearly Methanol'!BE122</f>
        <v>91.703844738902859</v>
      </c>
      <c r="BF38" s="44">
        <f>'Yearly Methanol'!BF122</f>
        <v>90.092981595749549</v>
      </c>
      <c r="BG38" s="44">
        <f>'Yearly Methanol'!BG122</f>
        <v>88.404513104237552</v>
      </c>
      <c r="BH38" s="44">
        <f>'Yearly Methanol'!BH122</f>
        <v>86.634542514406817</v>
      </c>
      <c r="BI38" s="44">
        <f>'Yearly Methanol'!BI122</f>
        <v>84.780453604607956</v>
      </c>
      <c r="BJ38" s="44">
        <f>'Yearly Methanol'!BJ122</f>
        <v>82.84230168210496</v>
      </c>
      <c r="BK38" s="44">
        <f>'Yearly Methanol'!BK122</f>
        <v>80.815082321503354</v>
      </c>
      <c r="BL38" s="44">
        <f>'Yearly Methanol'!BL122</f>
        <v>78.69635121775319</v>
      </c>
      <c r="BM38" s="44">
        <f>'Yearly Methanol'!BM122</f>
        <v>76.484185523644982</v>
      </c>
      <c r="BN38" s="44">
        <f>'Yearly Methanol'!BN122</f>
        <v>74.177464331721808</v>
      </c>
      <c r="BO38" s="44"/>
      <c r="BP38" s="44">
        <f>'Yearly Methanol'!D6+'Yearly Methanol'!D71</f>
        <v>70.960266702016895</v>
      </c>
      <c r="BQ38" s="44">
        <f>'Yearly Methanol'!E6+'Yearly Methanol'!E71</f>
        <v>75.467856664702907</v>
      </c>
      <c r="BR38" s="44">
        <f>'Yearly Methanol'!F6+'Yearly Methanol'!F71</f>
        <v>79.918986982863856</v>
      </c>
      <c r="BS38" s="44">
        <f>'Yearly Methanol'!G6+'Yearly Methanol'!G71</f>
        <v>84.371373167609406</v>
      </c>
      <c r="BT38" s="44">
        <f>'Yearly Methanol'!H6+'Yearly Methanol'!H71</f>
        <v>88.825106439029184</v>
      </c>
      <c r="BU38" s="44">
        <f>'Yearly Methanol'!I6+'Yearly Methanol'!I71</f>
        <v>93.280286688925557</v>
      </c>
      <c r="BV38" s="44">
        <f>'Yearly Methanol'!J6+'Yearly Methanol'!J71</f>
        <v>97.737023392609771</v>
      </c>
      <c r="BW38" s="44">
        <f>'Yearly Methanol'!K6+'Yearly Methanol'!K71</f>
        <v>102.19543661942507</v>
      </c>
      <c r="BX38" s="44">
        <f>'Yearly Methanol'!L6+'Yearly Methanol'!L71</f>
        <v>106.65565815281919</v>
      </c>
      <c r="BY38" s="44">
        <f>'Yearly Methanol'!M6+'Yearly Methanol'!M71</f>
        <v>111.11783273198854</v>
      </c>
      <c r="BZ38" s="44">
        <f>'Yearly Methanol'!N6+'Yearly Methanol'!N71</f>
        <v>115.58211942844707</v>
      </c>
      <c r="CA38" s="44">
        <f>'Yearly Methanol'!O6+'Yearly Methanol'!O71</f>
        <v>117.39193562285953</v>
      </c>
      <c r="CB38" s="44">
        <f>'Yearly Methanol'!P6+'Yearly Methanol'!P71</f>
        <v>119.20514997703128</v>
      </c>
      <c r="CC38" s="44">
        <f>'Yearly Methanol'!Q6+'Yearly Methanol'!Q71</f>
        <v>121.02199782578643</v>
      </c>
      <c r="CD38" s="44">
        <f>'Yearly Methanol'!R6+'Yearly Methanol'!R71</f>
        <v>122.84273654532208</v>
      </c>
      <c r="CE38" s="44">
        <f>'Yearly Methanol'!S6+'Yearly Methanol'!S71</f>
        <v>124.66764787408195</v>
      </c>
      <c r="CF38" s="44">
        <f>'Yearly Methanol'!T6+'Yearly Methanol'!T71</f>
        <v>126.29704048654951</v>
      </c>
      <c r="CG38" s="44">
        <f>'Yearly Methanol'!U6+'Yearly Methanol'!U71</f>
        <v>127.93125284792364</v>
      </c>
      <c r="CH38" s="44">
        <f>'Yearly Methanol'!V6+'Yearly Methanol'!V71</f>
        <v>129.57065638076736</v>
      </c>
      <c r="CI38" s="44">
        <f>'Yearly Methanol'!W6+'Yearly Methanol'!W71</f>
        <v>131.21565897819954</v>
      </c>
      <c r="CJ38" s="44">
        <f>'Yearly Methanol'!X6+'Yearly Methanol'!X71</f>
        <v>132.86670890207853</v>
      </c>
      <c r="CK38" s="44">
        <f>'Yearly Methanol'!Y6+'Yearly Methanol'!Y71</f>
        <v>134.10297944198058</v>
      </c>
      <c r="CL38" s="44">
        <f>'Yearly Methanol'!Z6+'Yearly Methanol'!Z71</f>
        <v>135.34560784865073</v>
      </c>
      <c r="CM38" s="44">
        <f>'Yearly Methanol'!AA6+'Yearly Methanol'!AA71</f>
        <v>136.59517291583251</v>
      </c>
      <c r="CN38" s="44">
        <f>'Yearly Methanol'!AB6+'Yearly Methanol'!AB71</f>
        <v>137.85231376034878</v>
      </c>
      <c r="CO38" s="44">
        <f>'Yearly Methanol'!AC6+'Yearly Methanol'!AC71</f>
        <v>139.117736382473</v>
      </c>
      <c r="CP38" s="44">
        <f>'Yearly Methanol'!AD6+'Yearly Methanol'!AD71</f>
        <v>140.39222095169944</v>
      </c>
      <c r="CQ38" s="44">
        <f>'Yearly Methanol'!AE6+'Yearly Methanol'!AE71</f>
        <v>141.67662989908584</v>
      </c>
      <c r="CR38" s="44">
        <f>'Yearly Methanol'!AF6+'Yearly Methanol'!AF71</f>
        <v>142.97191690653815</v>
      </c>
      <c r="CS38" s="44">
        <f>'Yearly Methanol'!AG6+'Yearly Methanol'!AG71</f>
        <v>144.27913689365624</v>
      </c>
      <c r="CT38" s="44">
        <f>'Yearly Methanol'!AH6+'Yearly Methanol'!AH71</f>
        <v>145.59945711418746</v>
      </c>
    </row>
    <row r="39" spans="1:98" x14ac:dyDescent="0.2">
      <c r="A39" s="1" t="s">
        <v>119</v>
      </c>
      <c r="C39" s="54" t="str">
        <f>'Yearly Methanol'!C126</f>
        <v>m Tons</v>
      </c>
      <c r="D39" s="44">
        <f>'Yearly Methanol'!D126</f>
        <v>0.8594591808019032</v>
      </c>
      <c r="E39" s="44">
        <f>'Yearly Methanol'!E126</f>
        <v>1.2940707025146438</v>
      </c>
      <c r="F39" s="44">
        <f>'Yearly Methanol'!F126</f>
        <v>1.4023798591638856</v>
      </c>
      <c r="G39" s="44">
        <f>'Yearly Methanol'!G126</f>
        <v>1.51167654936658</v>
      </c>
      <c r="H39" s="44">
        <f>'Yearly Methanol'!H126</f>
        <v>1.6212152767284742</v>
      </c>
      <c r="I39" s="44">
        <f>'Yearly Methanol'!I126</f>
        <v>1.7301996447454886</v>
      </c>
      <c r="J39" s="44">
        <f>'Yearly Methanol'!J126</f>
        <v>1.8165618741499703</v>
      </c>
      <c r="K39" s="44">
        <f>'Yearly Methanol'!K126</f>
        <v>1.9030276082340978</v>
      </c>
      <c r="L39" s="44">
        <f>'Yearly Methanol'!L126</f>
        <v>1.9892745278444193</v>
      </c>
      <c r="M39" s="44">
        <f>'Yearly Methanol'!M126</f>
        <v>2.0747886738805237</v>
      </c>
      <c r="N39" s="44">
        <f>'Yearly Methanol'!N126</f>
        <v>2.1587189708454595</v>
      </c>
      <c r="O39" s="44">
        <f>'Yearly Methanol'!O126</f>
        <v>2.1847923868675272</v>
      </c>
      <c r="P39" s="44">
        <f>'Yearly Methanol'!P126</f>
        <v>2.2020309750315148</v>
      </c>
      <c r="Q39" s="44">
        <f>'Yearly Methanol'!Q126</f>
        <v>2.2083292841072049</v>
      </c>
      <c r="R39" s="44">
        <f>'Yearly Methanol'!R126</f>
        <v>2.2029070135447104</v>
      </c>
      <c r="S39" s="44">
        <f>'Yearly Methanol'!S126</f>
        <v>2.1853854997485853</v>
      </c>
      <c r="T39" s="44">
        <f>'Yearly Methanol'!T126</f>
        <v>2.1664771321826448</v>
      </c>
      <c r="U39" s="44">
        <f>'Yearly Methanol'!U126</f>
        <v>2.1423762065120959</v>
      </c>
      <c r="V39" s="44">
        <f>'Yearly Methanol'!V126</f>
        <v>2.1159185933362394</v>
      </c>
      <c r="W39" s="44">
        <f>'Yearly Methanol'!W126</f>
        <v>2.089816106856432</v>
      </c>
      <c r="X39" s="44">
        <f>'Yearly Methanol'!X126</f>
        <v>2.0660147163757228</v>
      </c>
      <c r="Y39" s="44">
        <f>'Yearly Methanol'!Y126</f>
        <v>1.9839939421939077</v>
      </c>
      <c r="Z39" s="44">
        <f>'Yearly Methanol'!Z126</f>
        <v>1.9064800462269746</v>
      </c>
      <c r="AA39" s="44">
        <f>'Yearly Methanol'!AA126</f>
        <v>1.8316007457170806</v>
      </c>
      <c r="AB39" s="44">
        <f>'Yearly Methanol'!AB126</f>
        <v>1.7589944779803934</v>
      </c>
      <c r="AC39" s="44">
        <f>'Yearly Methanol'!AC126</f>
        <v>1.6869898053517631</v>
      </c>
      <c r="AD39" s="44">
        <f>'Yearly Methanol'!AD126</f>
        <v>1.6116868343362394</v>
      </c>
      <c r="AE39" s="44">
        <f>'Yearly Methanol'!AE126</f>
        <v>1.5336485217701123</v>
      </c>
      <c r="AF39" s="44">
        <f>'Yearly Methanol'!AF126</f>
        <v>1.4514633743577459</v>
      </c>
      <c r="AG39" s="44">
        <f>'Yearly Methanol'!AG126</f>
        <v>1.3647132113178202</v>
      </c>
      <c r="AH39" s="44">
        <f>'Yearly Methanol'!AH126</f>
        <v>1.2745163227272185</v>
      </c>
      <c r="AI39" s="44"/>
      <c r="AJ39" s="44">
        <f>'Yearly Methanol'!AJ126</f>
        <v>0.85946092370731653</v>
      </c>
      <c r="AK39" s="44">
        <f>'Yearly Methanol'!AK126</f>
        <v>0.95754971579591153</v>
      </c>
      <c r="AL39" s="44">
        <f>'Yearly Methanol'!AL126</f>
        <v>1.058987962014478</v>
      </c>
      <c r="AM39" s="44">
        <f>'Yearly Methanol'!AM126</f>
        <v>1.1632358093172204</v>
      </c>
      <c r="AN39" s="44">
        <f>'Yearly Methanol'!AN126</f>
        <v>1.2696930980255257</v>
      </c>
      <c r="AO39" s="44">
        <f>'Yearly Methanol'!AO126</f>
        <v>1.3777001571815706</v>
      </c>
      <c r="AP39" s="44">
        <f>'Yearly Methanol'!AP126</f>
        <v>1.4825919826922034</v>
      </c>
      <c r="AQ39" s="44">
        <f>'Yearly Methanol'!AQ126</f>
        <v>1.5902786591356977</v>
      </c>
      <c r="AR39" s="44">
        <f>'Yearly Methanol'!AR126</f>
        <v>1.7005620542829241</v>
      </c>
      <c r="AS39" s="44">
        <f>'Yearly Methanol'!AS126</f>
        <v>1.8131281738804617</v>
      </c>
      <c r="AT39" s="44">
        <f>'Yearly Methanol'!AT126</f>
        <v>1.9274627404161992</v>
      </c>
      <c r="AU39" s="44">
        <f>'Yearly Methanol'!AU126</f>
        <v>1.9650792504017278</v>
      </c>
      <c r="AV39" s="44">
        <f>'Yearly Methanol'!AV126</f>
        <v>1.998438641361644</v>
      </c>
      <c r="AW39" s="44">
        <f>'Yearly Methanol'!AW126</f>
        <v>2.0264019349245905</v>
      </c>
      <c r="AX39" s="44">
        <f>'Yearly Methanol'!AX126</f>
        <v>2.0481440795919905</v>
      </c>
      <c r="AY39" s="44">
        <f>'Yearly Methanol'!AY126</f>
        <v>2.0631645728555554</v>
      </c>
      <c r="AZ39" s="44">
        <f>'Yearly Methanol'!AZ126</f>
        <v>2.0766571553697215</v>
      </c>
      <c r="BA39" s="44">
        <f>'Yearly Methanol'!BA126</f>
        <v>2.0883262528097544</v>
      </c>
      <c r="BB39" s="44">
        <f>'Yearly Methanol'!BB126</f>
        <v>2.0995787747959969</v>
      </c>
      <c r="BC39" s="44">
        <f>'Yearly Methanol'!BC126</f>
        <v>2.1118025806802758</v>
      </c>
      <c r="BD39" s="44">
        <f>'Yearly Methanol'!BD126</f>
        <v>2.1260150370964714</v>
      </c>
      <c r="BE39" s="44">
        <f>'Yearly Methanol'!BE126</f>
        <v>2.0507549523374689</v>
      </c>
      <c r="BF39" s="44">
        <f>'Yearly Methanol'!BF126</f>
        <v>1.9789316645845032</v>
      </c>
      <c r="BG39" s="44">
        <f>'Yearly Methanol'!BG126</f>
        <v>1.9096118314087969</v>
      </c>
      <c r="BH39" s="44">
        <f>'Yearly Methanol'!BH126</f>
        <v>1.8422943257153166</v>
      </c>
      <c r="BI39" s="44">
        <f>'Yearly Methanol'!BI126</f>
        <v>1.7759803373980967</v>
      </c>
      <c r="BJ39" s="44">
        <f>'Yearly Methanol'!BJ126</f>
        <v>1.7094535804416762</v>
      </c>
      <c r="BK39" s="44">
        <f>'Yearly Methanol'!BK126</f>
        <v>1.6419385458813225</v>
      </c>
      <c r="BL39" s="44">
        <f>'Yearly Methanol'!BL126</f>
        <v>1.5725449136129241</v>
      </c>
      <c r="BM39" s="44">
        <f>'Yearly Methanol'!BM126</f>
        <v>1.573256081804431</v>
      </c>
      <c r="BN39" s="44">
        <f>'Yearly Methanol'!BN126</f>
        <v>1.568788863629601</v>
      </c>
      <c r="BO39" s="44"/>
      <c r="BP39" s="44">
        <f>'Yearly Methanol'!BP126</f>
        <v>0</v>
      </c>
      <c r="BQ39" s="44">
        <f>'Yearly Methanol'!BQ126</f>
        <v>0</v>
      </c>
      <c r="BR39" s="44">
        <f>'Yearly Methanol'!BR126</f>
        <v>0</v>
      </c>
      <c r="BS39" s="44">
        <f>'Yearly Methanol'!BS126</f>
        <v>0</v>
      </c>
      <c r="BT39" s="44">
        <f>'Yearly Methanol'!BT126</f>
        <v>0</v>
      </c>
      <c r="BU39" s="44">
        <f>'Yearly Methanol'!BU126</f>
        <v>0</v>
      </c>
      <c r="BV39" s="44">
        <f>'Yearly Methanol'!BV126</f>
        <v>0</v>
      </c>
      <c r="BW39" s="44">
        <f>'Yearly Methanol'!BW126</f>
        <v>0</v>
      </c>
      <c r="BX39" s="44">
        <f>'Yearly Methanol'!BX126</f>
        <v>0</v>
      </c>
      <c r="BY39" s="44">
        <f>'Yearly Methanol'!BY126</f>
        <v>0</v>
      </c>
      <c r="BZ39" s="44">
        <f>'Yearly Methanol'!BZ126</f>
        <v>0</v>
      </c>
      <c r="CA39" s="44">
        <f>'Yearly Methanol'!CA126</f>
        <v>0</v>
      </c>
      <c r="CB39" s="44">
        <f>'Yearly Methanol'!CB126</f>
        <v>0</v>
      </c>
      <c r="CC39" s="44">
        <f>'Yearly Methanol'!CC126</f>
        <v>0</v>
      </c>
      <c r="CD39" s="44">
        <f>'Yearly Methanol'!CD126</f>
        <v>0</v>
      </c>
      <c r="CE39" s="44">
        <f>'Yearly Methanol'!CE126</f>
        <v>0</v>
      </c>
      <c r="CF39" s="44">
        <f>'Yearly Methanol'!CF126</f>
        <v>0</v>
      </c>
      <c r="CG39" s="44">
        <f>'Yearly Methanol'!CG126</f>
        <v>0</v>
      </c>
      <c r="CH39" s="44">
        <f>'Yearly Methanol'!CH126</f>
        <v>0</v>
      </c>
      <c r="CI39" s="44">
        <f>'Yearly Methanol'!CI126</f>
        <v>0</v>
      </c>
      <c r="CJ39" s="44">
        <f>'Yearly Methanol'!CJ126</f>
        <v>0</v>
      </c>
      <c r="CK39" s="44">
        <f>'Yearly Methanol'!CK126</f>
        <v>0</v>
      </c>
      <c r="CL39" s="44">
        <f>'Yearly Methanol'!CL126</f>
        <v>0</v>
      </c>
      <c r="CM39" s="44">
        <f>'Yearly Methanol'!CM126</f>
        <v>0</v>
      </c>
      <c r="CN39" s="44">
        <f>'Yearly Methanol'!CN126</f>
        <v>0</v>
      </c>
      <c r="CO39" s="44">
        <f>'Yearly Methanol'!CO126</f>
        <v>0</v>
      </c>
      <c r="CP39" s="44">
        <f>'Yearly Methanol'!CP126</f>
        <v>0</v>
      </c>
      <c r="CQ39" s="44">
        <f>'Yearly Methanol'!CQ126</f>
        <v>0</v>
      </c>
      <c r="CR39" s="44">
        <f>'Yearly Methanol'!CR126</f>
        <v>0</v>
      </c>
      <c r="CS39" s="44">
        <f>'Yearly Methanol'!CS126</f>
        <v>0</v>
      </c>
      <c r="CT39" s="44">
        <f>'Yearly Methanol'!CT126</f>
        <v>0</v>
      </c>
    </row>
    <row r="40" spans="1:98" x14ac:dyDescent="0.2">
      <c r="D40" s="44"/>
      <c r="E40" s="44"/>
      <c r="F40" s="44"/>
      <c r="G40" s="44"/>
      <c r="H40" s="44"/>
      <c r="I40" s="44"/>
      <c r="J40" s="44"/>
      <c r="K40" s="44"/>
      <c r="L40" s="44"/>
      <c r="M40" s="44"/>
      <c r="N40" s="44"/>
      <c r="O40" s="44"/>
      <c r="P40" s="44"/>
      <c r="Q40" s="44"/>
      <c r="R40" s="44"/>
      <c r="S40" s="44"/>
      <c r="T40" s="44"/>
      <c r="U40" s="44"/>
      <c r="V40" s="44"/>
      <c r="W40" s="44"/>
      <c r="X40" s="44"/>
      <c r="Y40" s="44"/>
      <c r="Z40" s="44"/>
      <c r="AA40" s="44"/>
      <c r="AB40" s="44"/>
      <c r="AC40" s="44"/>
      <c r="AD40" s="44"/>
      <c r="AE40" s="44"/>
      <c r="AF40" s="44"/>
      <c r="AG40" s="44"/>
      <c r="AH40" s="44"/>
      <c r="AI40" s="44"/>
      <c r="AJ40" s="44"/>
      <c r="AK40" s="44"/>
      <c r="AL40" s="44"/>
      <c r="AM40" s="44"/>
      <c r="AN40" s="44"/>
      <c r="AO40" s="44"/>
      <c r="AP40" s="44"/>
      <c r="AQ40" s="44"/>
      <c r="AR40" s="44"/>
      <c r="AS40" s="44"/>
      <c r="AT40" s="44"/>
      <c r="AU40" s="44"/>
      <c r="AV40" s="44"/>
      <c r="AW40" s="44"/>
      <c r="AX40" s="44"/>
      <c r="AY40" s="44"/>
      <c r="AZ40" s="44"/>
      <c r="BA40" s="44"/>
      <c r="BB40" s="44"/>
      <c r="BC40" s="44"/>
      <c r="BD40" s="44"/>
      <c r="BE40" s="44"/>
      <c r="BF40" s="44"/>
      <c r="BG40" s="44"/>
      <c r="BH40" s="44"/>
      <c r="BI40" s="44"/>
      <c r="BJ40" s="44"/>
      <c r="BK40" s="44"/>
      <c r="BL40" s="44"/>
      <c r="BM40" s="44"/>
      <c r="BN40" s="44"/>
      <c r="BO40" s="44"/>
      <c r="BP40" s="44"/>
      <c r="BQ40" s="44"/>
      <c r="BR40" s="44"/>
      <c r="BS40" s="44"/>
      <c r="BT40" s="44"/>
      <c r="BU40" s="44"/>
      <c r="BV40" s="44"/>
      <c r="BW40" s="44"/>
      <c r="BX40" s="44"/>
      <c r="BY40" s="44"/>
      <c r="BZ40" s="44"/>
      <c r="CA40" s="44"/>
      <c r="CB40" s="44"/>
      <c r="CC40" s="44"/>
      <c r="CD40" s="44"/>
      <c r="CE40" s="44"/>
      <c r="CF40" s="44"/>
      <c r="CG40" s="44"/>
      <c r="CH40" s="44"/>
      <c r="CI40" s="44"/>
      <c r="CJ40" s="44"/>
      <c r="CK40" s="44"/>
      <c r="CL40" s="44"/>
      <c r="CM40" s="44"/>
      <c r="CN40" s="44"/>
      <c r="CO40" s="44"/>
      <c r="CP40" s="44"/>
      <c r="CQ40" s="44"/>
      <c r="CR40" s="44"/>
      <c r="CS40" s="44"/>
      <c r="CT40" s="44"/>
    </row>
    <row r="41" spans="1:98" s="52" customFormat="1" ht="16" thickBot="1" x14ac:dyDescent="0.25">
      <c r="A41" s="52" t="s">
        <v>140</v>
      </c>
      <c r="C41" s="635"/>
      <c r="D41" s="636"/>
      <c r="E41" s="636"/>
      <c r="F41" s="636"/>
      <c r="G41" s="636"/>
      <c r="H41" s="636"/>
      <c r="I41" s="636"/>
      <c r="J41" s="636"/>
      <c r="K41" s="636"/>
      <c r="L41" s="636"/>
      <c r="M41" s="636"/>
      <c r="N41" s="636"/>
      <c r="O41" s="636"/>
      <c r="P41" s="636"/>
      <c r="Q41" s="636"/>
      <c r="R41" s="636"/>
      <c r="S41" s="636"/>
      <c r="T41" s="636"/>
      <c r="U41" s="636"/>
      <c r="V41" s="636"/>
      <c r="W41" s="636"/>
      <c r="X41" s="636"/>
      <c r="Y41" s="636"/>
      <c r="Z41" s="636"/>
      <c r="AA41" s="636"/>
      <c r="AB41" s="636"/>
      <c r="AC41" s="636"/>
      <c r="AD41" s="636"/>
      <c r="AE41" s="636"/>
      <c r="AF41" s="636"/>
      <c r="AG41" s="636"/>
      <c r="AH41" s="636"/>
      <c r="AI41" s="636"/>
      <c r="AJ41" s="636"/>
      <c r="AK41" s="636"/>
      <c r="AL41" s="636"/>
      <c r="AM41" s="636"/>
      <c r="AN41" s="636"/>
      <c r="AO41" s="636"/>
      <c r="AP41" s="636"/>
      <c r="AQ41" s="636"/>
      <c r="AR41" s="636"/>
      <c r="AS41" s="636"/>
      <c r="AT41" s="636"/>
      <c r="AU41" s="636"/>
      <c r="AV41" s="636"/>
      <c r="AW41" s="636"/>
      <c r="AX41" s="636"/>
      <c r="AY41" s="636"/>
      <c r="AZ41" s="636"/>
      <c r="BA41" s="636"/>
      <c r="BB41" s="636"/>
      <c r="BC41" s="636"/>
      <c r="BD41" s="636"/>
      <c r="BE41" s="636"/>
      <c r="BF41" s="636"/>
      <c r="BG41" s="636"/>
      <c r="BH41" s="636"/>
      <c r="BI41" s="636"/>
      <c r="BJ41" s="636"/>
      <c r="BK41" s="636"/>
      <c r="BL41" s="636"/>
      <c r="BM41" s="636"/>
      <c r="BN41" s="636"/>
      <c r="BO41" s="636"/>
      <c r="BP41" s="636"/>
      <c r="BQ41" s="636"/>
      <c r="BR41" s="636"/>
      <c r="BS41" s="636"/>
      <c r="BT41" s="636"/>
      <c r="BU41" s="636"/>
      <c r="BV41" s="636"/>
      <c r="BW41" s="636"/>
      <c r="BX41" s="636"/>
      <c r="BY41" s="636"/>
      <c r="BZ41" s="636"/>
      <c r="CA41" s="636"/>
      <c r="CB41" s="636"/>
      <c r="CC41" s="636"/>
      <c r="CD41" s="636"/>
      <c r="CE41" s="636"/>
      <c r="CF41" s="636"/>
      <c r="CG41" s="636"/>
      <c r="CH41" s="636"/>
      <c r="CI41" s="636"/>
      <c r="CJ41" s="636"/>
      <c r="CK41" s="636"/>
      <c r="CL41" s="636"/>
      <c r="CM41" s="636"/>
      <c r="CN41" s="636"/>
      <c r="CO41" s="636"/>
      <c r="CP41" s="636"/>
      <c r="CQ41" s="636"/>
      <c r="CR41" s="636"/>
      <c r="CS41" s="636"/>
      <c r="CT41" s="636"/>
    </row>
    <row r="42" spans="1:98" s="554" customFormat="1" x14ac:dyDescent="0.2">
      <c r="A42" s="550" t="s">
        <v>141</v>
      </c>
      <c r="B42" s="551"/>
      <c r="C42" s="552" t="str">
        <f>'Yearly BTX'!C5</f>
        <v>m Tons</v>
      </c>
      <c r="D42" s="553">
        <f>'Yearly Demand - BTX'!N7</f>
        <v>51.832300831890365</v>
      </c>
      <c r="E42" s="553">
        <f>'Yearly Demand - BTX'!O7</f>
        <v>53.098399424053973</v>
      </c>
      <c r="F42" s="553">
        <f>'Yearly Demand - BTX'!P7</f>
        <v>54.395424786192116</v>
      </c>
      <c r="G42" s="553">
        <f>'Yearly Demand - BTX'!Q7</f>
        <v>55.724132361132838</v>
      </c>
      <c r="H42" s="553">
        <f>'Yearly Demand - BTX'!R7</f>
        <v>57.085296044774701</v>
      </c>
      <c r="I42" s="553">
        <f>'Yearly Demand - BTX'!S7</f>
        <v>58.479708636836634</v>
      </c>
      <c r="J42" s="553">
        <f>'Yearly Demand - BTX'!T7</f>
        <v>59.430394061449775</v>
      </c>
      <c r="K42" s="553">
        <f>'Yearly Demand - BTX'!U7</f>
        <v>60.396534466903958</v>
      </c>
      <c r="L42" s="553">
        <f>'Yearly Demand - BTX'!V7</f>
        <v>61.378381099748893</v>
      </c>
      <c r="M42" s="553">
        <f>'Yearly Demand - BTX'!W7</f>
        <v>62.37618929096697</v>
      </c>
      <c r="N42" s="553">
        <f>'Yearly Demand - BTX'!X7</f>
        <v>63.390218522372535</v>
      </c>
      <c r="O42" s="553">
        <f>'Yearly Demand - BTX'!Y7</f>
        <v>64.003221448635102</v>
      </c>
      <c r="P42" s="553">
        <f>'Yearly Demand - BTX'!Z7</f>
        <v>64.622152301892825</v>
      </c>
      <c r="Q42" s="553">
        <f>'Yearly Demand - BTX'!AA7</f>
        <v>65.247068407024486</v>
      </c>
      <c r="R42" s="553">
        <f>'Yearly Demand - BTX'!AB7</f>
        <v>65.87802764325815</v>
      </c>
      <c r="S42" s="553">
        <f>'Yearly Demand - BTX'!AC7</f>
        <v>66.515088449531746</v>
      </c>
      <c r="T42" s="553">
        <f>'Yearly Demand - BTX'!AD7</f>
        <v>67.128638497468344</v>
      </c>
      <c r="U42" s="553">
        <f>'Yearly Demand - BTX'!AE7</f>
        <v>67.747848068230496</v>
      </c>
      <c r="V42" s="553">
        <f>'Yearly Demand - BTX'!AF7</f>
        <v>68.372769366522135</v>
      </c>
      <c r="W42" s="553">
        <f>'Yearly Demand - BTX'!AG7</f>
        <v>69.003455078595096</v>
      </c>
      <c r="X42" s="553">
        <f>'Yearly Demand - BTX'!AH7</f>
        <v>69.639958376690956</v>
      </c>
      <c r="Y42" s="553">
        <f>'Yearly Demand - BTX'!AI7</f>
        <v>69.905767474543467</v>
      </c>
      <c r="Z42" s="553">
        <f>'Yearly Demand - BTX'!AJ7</f>
        <v>70.172591140442094</v>
      </c>
      <c r="AA42" s="553">
        <f>'Yearly Demand - BTX'!AK7</f>
        <v>70.440433246896561</v>
      </c>
      <c r="AB42" s="553">
        <f>'Yearly Demand - BTX'!AL7</f>
        <v>70.709297681197626</v>
      </c>
      <c r="AC42" s="553">
        <f>'Yearly Demand - BTX'!AM7</f>
        <v>70.979188345473474</v>
      </c>
      <c r="AD42" s="553">
        <f>'Yearly Demand - BTX'!AN7</f>
        <v>71.156860627616254</v>
      </c>
      <c r="AE42" s="553">
        <f>'Yearly Demand - BTX'!AO7</f>
        <v>71.334977651951476</v>
      </c>
      <c r="AF42" s="553">
        <f>'Yearly Demand - BTX'!AP7</f>
        <v>71.513540531740091</v>
      </c>
      <c r="AG42" s="553">
        <f>'Yearly Demand - BTX'!AQ7</f>
        <v>71.692550383029769</v>
      </c>
      <c r="AH42" s="553">
        <f>'Yearly Demand - BTX'!AR7</f>
        <v>71.87200832466182</v>
      </c>
      <c r="AI42" s="553"/>
      <c r="AJ42" s="553">
        <f>D42</f>
        <v>51.832300831890365</v>
      </c>
      <c r="AK42" s="553">
        <f t="shared" ref="AK42:BN42" si="242">E42</f>
        <v>53.098399424053973</v>
      </c>
      <c r="AL42" s="553">
        <f t="shared" si="242"/>
        <v>54.395424786192116</v>
      </c>
      <c r="AM42" s="553">
        <f t="shared" si="242"/>
        <v>55.724132361132838</v>
      </c>
      <c r="AN42" s="553">
        <f t="shared" si="242"/>
        <v>57.085296044774701</v>
      </c>
      <c r="AO42" s="553">
        <f t="shared" si="242"/>
        <v>58.479708636836634</v>
      </c>
      <c r="AP42" s="553">
        <f t="shared" si="242"/>
        <v>59.430394061449775</v>
      </c>
      <c r="AQ42" s="553">
        <f t="shared" si="242"/>
        <v>60.396534466903958</v>
      </c>
      <c r="AR42" s="553">
        <f t="shared" si="242"/>
        <v>61.378381099748893</v>
      </c>
      <c r="AS42" s="553">
        <f t="shared" si="242"/>
        <v>62.37618929096697</v>
      </c>
      <c r="AT42" s="553">
        <f t="shared" si="242"/>
        <v>63.390218522372535</v>
      </c>
      <c r="AU42" s="553">
        <f t="shared" si="242"/>
        <v>64.003221448635102</v>
      </c>
      <c r="AV42" s="553">
        <f t="shared" si="242"/>
        <v>64.622152301892825</v>
      </c>
      <c r="AW42" s="553">
        <f t="shared" si="242"/>
        <v>65.247068407024486</v>
      </c>
      <c r="AX42" s="553">
        <f t="shared" si="242"/>
        <v>65.87802764325815</v>
      </c>
      <c r="AY42" s="553">
        <f t="shared" si="242"/>
        <v>66.515088449531746</v>
      </c>
      <c r="AZ42" s="553">
        <f t="shared" si="242"/>
        <v>67.128638497468344</v>
      </c>
      <c r="BA42" s="553">
        <f t="shared" si="242"/>
        <v>67.747848068230496</v>
      </c>
      <c r="BB42" s="553">
        <f t="shared" si="242"/>
        <v>68.372769366522135</v>
      </c>
      <c r="BC42" s="553">
        <f t="shared" si="242"/>
        <v>69.003455078595096</v>
      </c>
      <c r="BD42" s="553">
        <f t="shared" si="242"/>
        <v>69.639958376690956</v>
      </c>
      <c r="BE42" s="553">
        <f t="shared" si="242"/>
        <v>69.905767474543467</v>
      </c>
      <c r="BF42" s="553">
        <f t="shared" si="242"/>
        <v>70.172591140442094</v>
      </c>
      <c r="BG42" s="553">
        <f t="shared" si="242"/>
        <v>70.440433246896561</v>
      </c>
      <c r="BH42" s="553">
        <f t="shared" si="242"/>
        <v>70.709297681197626</v>
      </c>
      <c r="BI42" s="553">
        <f t="shared" si="242"/>
        <v>70.979188345473474</v>
      </c>
      <c r="BJ42" s="553">
        <f t="shared" si="242"/>
        <v>71.156860627616254</v>
      </c>
      <c r="BK42" s="553">
        <f t="shared" si="242"/>
        <v>71.334977651951476</v>
      </c>
      <c r="BL42" s="553">
        <f t="shared" si="242"/>
        <v>71.513540531740091</v>
      </c>
      <c r="BM42" s="553">
        <f t="shared" si="242"/>
        <v>71.692550383029769</v>
      </c>
      <c r="BN42" s="553">
        <f t="shared" si="242"/>
        <v>71.87200832466182</v>
      </c>
      <c r="BO42" s="553"/>
      <c r="BP42" s="553">
        <f>AJ42</f>
        <v>51.832300831890365</v>
      </c>
      <c r="BQ42" s="553">
        <f t="shared" ref="BQ42" si="243">AK42</f>
        <v>53.098399424053973</v>
      </c>
      <c r="BR42" s="553">
        <f t="shared" ref="BR42" si="244">AL42</f>
        <v>54.395424786192116</v>
      </c>
      <c r="BS42" s="553">
        <f t="shared" ref="BS42" si="245">AM42</f>
        <v>55.724132361132838</v>
      </c>
      <c r="BT42" s="553">
        <f t="shared" ref="BT42" si="246">AN42</f>
        <v>57.085296044774701</v>
      </c>
      <c r="BU42" s="553">
        <f t="shared" ref="BU42" si="247">AO42</f>
        <v>58.479708636836634</v>
      </c>
      <c r="BV42" s="553">
        <f t="shared" ref="BV42" si="248">AP42</f>
        <v>59.430394061449775</v>
      </c>
      <c r="BW42" s="553">
        <f t="shared" ref="BW42" si="249">AQ42</f>
        <v>60.396534466903958</v>
      </c>
      <c r="BX42" s="553">
        <f t="shared" ref="BX42" si="250">AR42</f>
        <v>61.378381099748893</v>
      </c>
      <c r="BY42" s="553">
        <f t="shared" ref="BY42" si="251">AS42</f>
        <v>62.37618929096697</v>
      </c>
      <c r="BZ42" s="553">
        <f t="shared" ref="BZ42" si="252">AT42</f>
        <v>63.390218522372535</v>
      </c>
      <c r="CA42" s="553">
        <f t="shared" ref="CA42" si="253">AU42</f>
        <v>64.003221448635102</v>
      </c>
      <c r="CB42" s="553">
        <f t="shared" ref="CB42" si="254">AV42</f>
        <v>64.622152301892825</v>
      </c>
      <c r="CC42" s="553">
        <f t="shared" ref="CC42" si="255">AW42</f>
        <v>65.247068407024486</v>
      </c>
      <c r="CD42" s="553">
        <f t="shared" ref="CD42" si="256">AX42</f>
        <v>65.87802764325815</v>
      </c>
      <c r="CE42" s="553">
        <f t="shared" ref="CE42" si="257">AY42</f>
        <v>66.515088449531746</v>
      </c>
      <c r="CF42" s="553">
        <f t="shared" ref="CF42" si="258">AZ42</f>
        <v>67.128638497468344</v>
      </c>
      <c r="CG42" s="553">
        <f t="shared" ref="CG42" si="259">BA42</f>
        <v>67.747848068230496</v>
      </c>
      <c r="CH42" s="553">
        <f t="shared" ref="CH42" si="260">BB42</f>
        <v>68.372769366522135</v>
      </c>
      <c r="CI42" s="553">
        <f t="shared" ref="CI42" si="261">BC42</f>
        <v>69.003455078595096</v>
      </c>
      <c r="CJ42" s="553">
        <f t="shared" ref="CJ42" si="262">BD42</f>
        <v>69.639958376690956</v>
      </c>
      <c r="CK42" s="553">
        <f t="shared" ref="CK42" si="263">BE42</f>
        <v>69.905767474543467</v>
      </c>
      <c r="CL42" s="553">
        <f t="shared" ref="CL42" si="264">BF42</f>
        <v>70.172591140442094</v>
      </c>
      <c r="CM42" s="553">
        <f t="shared" ref="CM42" si="265">BG42</f>
        <v>70.440433246896561</v>
      </c>
      <c r="CN42" s="553">
        <f t="shared" ref="CN42" si="266">BH42</f>
        <v>70.709297681197626</v>
      </c>
      <c r="CO42" s="553">
        <f t="shared" ref="CO42" si="267">BI42</f>
        <v>70.979188345473474</v>
      </c>
      <c r="CP42" s="553">
        <f t="shared" ref="CP42" si="268">BJ42</f>
        <v>71.156860627616254</v>
      </c>
      <c r="CQ42" s="553">
        <f t="shared" ref="CQ42" si="269">BK42</f>
        <v>71.334977651951476</v>
      </c>
      <c r="CR42" s="553">
        <f t="shared" ref="CR42" si="270">BL42</f>
        <v>71.513540531740091</v>
      </c>
      <c r="CS42" s="553">
        <f t="shared" ref="CS42" si="271">BM42</f>
        <v>71.692550383029769</v>
      </c>
      <c r="CT42" s="553">
        <f t="shared" ref="CT42" si="272">BN42</f>
        <v>71.87200832466182</v>
      </c>
    </row>
    <row r="43" spans="1:98" x14ac:dyDescent="0.2">
      <c r="A43" s="1" t="s">
        <v>142</v>
      </c>
      <c r="C43" s="54" t="str">
        <f>'Yearly BTX'!C122</f>
        <v>m Tons</v>
      </c>
      <c r="D43" s="44">
        <f>'Yearly BTX'!D129</f>
        <v>51.832289605000035</v>
      </c>
      <c r="E43" s="44">
        <f>'Yearly BTX'!E129</f>
        <v>52.268525664997476</v>
      </c>
      <c r="F43" s="44">
        <f>'Yearly BTX'!F129</f>
        <v>52.537570366362232</v>
      </c>
      <c r="G43" s="44">
        <f>'Yearly BTX'!G129</f>
        <v>52.853053251910268</v>
      </c>
      <c r="H43" s="44">
        <f>'Yearly BTX'!H129</f>
        <v>53.173538130435482</v>
      </c>
      <c r="I43" s="44">
        <f>'Yearly BTX'!I129</f>
        <v>53.500312965093372</v>
      </c>
      <c r="J43" s="44">
        <f>'Yearly BTX'!J129</f>
        <v>53.381552077026853</v>
      </c>
      <c r="K43" s="44">
        <f>'Yearly BTX'!K129</f>
        <v>53.252959857275599</v>
      </c>
      <c r="L43" s="44">
        <f>'Yearly BTX'!L129</f>
        <v>53.114345543597018</v>
      </c>
      <c r="M43" s="44">
        <f>'Yearly BTX'!M129</f>
        <v>52.965159099112732</v>
      </c>
      <c r="N43" s="44">
        <f>'Yearly BTX'!N129</f>
        <v>52.804196712602256</v>
      </c>
      <c r="O43" s="44">
        <f>'Yearly BTX'!O129</f>
        <v>51.744753653343174</v>
      </c>
      <c r="P43" s="44">
        <f>'Yearly BTX'!P129</f>
        <v>50.671457300872788</v>
      </c>
      <c r="Q43" s="44">
        <f>'Yearly BTX'!Q129</f>
        <v>49.584951120302705</v>
      </c>
      <c r="R43" s="44">
        <f>'Yearly BTX'!R129</f>
        <v>48.48554828542229</v>
      </c>
      <c r="S43" s="44">
        <f>'Yearly BTX'!S129</f>
        <v>47.375719631252508</v>
      </c>
      <c r="T43" s="44">
        <f>'Yearly BTX'!T129</f>
        <v>46.208989326807206</v>
      </c>
      <c r="U43" s="44">
        <f>'Yearly BTX'!U129</f>
        <v>45.026466511814327</v>
      </c>
      <c r="V43" s="44">
        <f>'Yearly BTX'!V129</f>
        <v>43.834118238966589</v>
      </c>
      <c r="W43" s="44">
        <f>'Yearly BTX'!W129</f>
        <v>42.637320723799569</v>
      </c>
      <c r="X43" s="44">
        <f>'Yearly BTX'!X129</f>
        <v>41.439806325595541</v>
      </c>
      <c r="Y43" s="44">
        <f>'Yearly BTX'!Y129</f>
        <v>39.731940924910177</v>
      </c>
      <c r="Z43" s="44">
        <f>'Yearly BTX'!Z129</f>
        <v>38.036374074520836</v>
      </c>
      <c r="AA43" s="44">
        <f>'Yearly BTX'!AA129</f>
        <v>36.355784385841375</v>
      </c>
      <c r="AB43" s="44">
        <f>'Yearly BTX'!AB129</f>
        <v>34.650534570065084</v>
      </c>
      <c r="AC43" s="44">
        <f>'Yearly BTX'!AC129</f>
        <v>32.939473342472574</v>
      </c>
      <c r="AD43" s="44">
        <f>'Yearly BTX'!AD129</f>
        <v>31.175672183303259</v>
      </c>
      <c r="AE43" s="44">
        <f>'Yearly BTX'!AE129</f>
        <v>29.420972489622415</v>
      </c>
      <c r="AF43" s="44">
        <f>'Yearly BTX'!AF129</f>
        <v>27.674875279449353</v>
      </c>
      <c r="AG43" s="44">
        <f>'Yearly BTX'!AG129</f>
        <v>25.938646601291357</v>
      </c>
      <c r="AH43" s="44">
        <f>'Yearly BTX'!AH129</f>
        <v>24.216568354966526</v>
      </c>
      <c r="AI43" s="44"/>
      <c r="AJ43" s="44">
        <f>'Yearly BTX'!AJ129</f>
        <v>51.832294398971015</v>
      </c>
      <c r="AK43" s="44">
        <f>'Yearly BTX'!AK129</f>
        <v>52.551637641842788</v>
      </c>
      <c r="AL43" s="44">
        <f>'Yearly BTX'!AL129</f>
        <v>53.132397150176011</v>
      </c>
      <c r="AM43" s="44">
        <f>'Yearly BTX'!AM129</f>
        <v>53.762369108460739</v>
      </c>
      <c r="AN43" s="44">
        <f>'Yearly BTX'!AN129</f>
        <v>54.409231900498966</v>
      </c>
      <c r="AO43" s="44">
        <f>'Yearly BTX'!AO129</f>
        <v>55.074682291014796</v>
      </c>
      <c r="AP43" s="44">
        <f>'Yearly BTX'!AP129</f>
        <v>55.29787246132468</v>
      </c>
      <c r="AQ43" s="44">
        <f>'Yearly BTX'!AQ129</f>
        <v>55.520871946530626</v>
      </c>
      <c r="AR43" s="44">
        <f>'Yearly BTX'!AR129</f>
        <v>55.743882679495449</v>
      </c>
      <c r="AS43" s="44">
        <f>'Yearly BTX'!AS129</f>
        <v>55.966890142659203</v>
      </c>
      <c r="AT43" s="44">
        <f>'Yearly BTX'!AT129</f>
        <v>56.189463246735826</v>
      </c>
      <c r="AU43" s="44">
        <f>'Yearly BTX'!AU129</f>
        <v>55.571261611399962</v>
      </c>
      <c r="AV43" s="44">
        <f>'Yearly BTX'!AV129</f>
        <v>54.950298648135792</v>
      </c>
      <c r="AW43" s="44">
        <f>'Yearly BTX'!AW129</f>
        <v>54.327732556192061</v>
      </c>
      <c r="AX43" s="44">
        <f>'Yearly BTX'!AX129</f>
        <v>53.7039259372403</v>
      </c>
      <c r="AY43" s="44">
        <f>'Yearly BTX'!AY129</f>
        <v>53.080599079066921</v>
      </c>
      <c r="AZ43" s="44">
        <f>'Yearly BTX'!AZ129</f>
        <v>52.409110911250465</v>
      </c>
      <c r="BA43" s="44">
        <f>'Yearly BTX'!BA129</f>
        <v>51.729607365962323</v>
      </c>
      <c r="BB43" s="44">
        <f>'Yearly BTX'!BB129</f>
        <v>51.046226898072909</v>
      </c>
      <c r="BC43" s="44">
        <f>'Yearly BTX'!BC129</f>
        <v>50.363085655942307</v>
      </c>
      <c r="BD43" s="44">
        <f>'Yearly BTX'!BD129</f>
        <v>49.683438443784567</v>
      </c>
      <c r="BE43" s="44">
        <f>'Yearly BTX'!BE129</f>
        <v>48.50626090254152</v>
      </c>
      <c r="BF43" s="44">
        <f>'Yearly BTX'!BF129</f>
        <v>47.342823910698748</v>
      </c>
      <c r="BG43" s="44">
        <f>'Yearly BTX'!BG129</f>
        <v>46.196541248776498</v>
      </c>
      <c r="BH43" s="44">
        <f>'Yearly BTX'!BH129</f>
        <v>45.063734895359218</v>
      </c>
      <c r="BI43" s="44">
        <f>'Yearly BTX'!BI129</f>
        <v>43.94319621260405</v>
      </c>
      <c r="BJ43" s="44">
        <f>'Yearly BTX'!BJ129</f>
        <v>42.764643952543928</v>
      </c>
      <c r="BK43" s="44">
        <f>'Yearly BTX'!BK129</f>
        <v>41.597626381972432</v>
      </c>
      <c r="BL43" s="44">
        <f>'Yearly BTX'!BL129</f>
        <v>40.440281815504626</v>
      </c>
      <c r="BM43" s="44">
        <f>'Yearly BTX'!BM129</f>
        <v>39.291679763141062</v>
      </c>
      <c r="BN43" s="44">
        <f>'Yearly BTX'!BN129</f>
        <v>38.153010421984582</v>
      </c>
      <c r="BO43" s="44"/>
      <c r="BP43" s="44">
        <f>BP42</f>
        <v>51.832300831890365</v>
      </c>
      <c r="BQ43" s="44">
        <f t="shared" ref="BQ43:CT43" si="273">BQ42</f>
        <v>53.098399424053973</v>
      </c>
      <c r="BR43" s="44">
        <f t="shared" si="273"/>
        <v>54.395424786192116</v>
      </c>
      <c r="BS43" s="44">
        <f t="shared" si="273"/>
        <v>55.724132361132838</v>
      </c>
      <c r="BT43" s="44">
        <f t="shared" si="273"/>
        <v>57.085296044774701</v>
      </c>
      <c r="BU43" s="44">
        <f t="shared" si="273"/>
        <v>58.479708636836634</v>
      </c>
      <c r="BV43" s="44">
        <f t="shared" si="273"/>
        <v>59.430394061449775</v>
      </c>
      <c r="BW43" s="44">
        <f t="shared" si="273"/>
        <v>60.396534466903958</v>
      </c>
      <c r="BX43" s="44">
        <f t="shared" si="273"/>
        <v>61.378381099748893</v>
      </c>
      <c r="BY43" s="44">
        <f t="shared" si="273"/>
        <v>62.37618929096697</v>
      </c>
      <c r="BZ43" s="44">
        <f t="shared" si="273"/>
        <v>63.390218522372535</v>
      </c>
      <c r="CA43" s="44">
        <f t="shared" si="273"/>
        <v>64.003221448635102</v>
      </c>
      <c r="CB43" s="44">
        <f t="shared" si="273"/>
        <v>64.622152301892825</v>
      </c>
      <c r="CC43" s="44">
        <f t="shared" si="273"/>
        <v>65.247068407024486</v>
      </c>
      <c r="CD43" s="44">
        <f t="shared" si="273"/>
        <v>65.87802764325815</v>
      </c>
      <c r="CE43" s="44">
        <f t="shared" si="273"/>
        <v>66.515088449531746</v>
      </c>
      <c r="CF43" s="44">
        <f t="shared" si="273"/>
        <v>67.128638497468344</v>
      </c>
      <c r="CG43" s="44">
        <f t="shared" si="273"/>
        <v>67.747848068230496</v>
      </c>
      <c r="CH43" s="44">
        <f t="shared" si="273"/>
        <v>68.372769366522135</v>
      </c>
      <c r="CI43" s="44">
        <f t="shared" si="273"/>
        <v>69.003455078595096</v>
      </c>
      <c r="CJ43" s="44">
        <f t="shared" si="273"/>
        <v>69.639958376690956</v>
      </c>
      <c r="CK43" s="44">
        <f t="shared" si="273"/>
        <v>69.905767474543467</v>
      </c>
      <c r="CL43" s="44">
        <f t="shared" si="273"/>
        <v>70.172591140442094</v>
      </c>
      <c r="CM43" s="44">
        <f t="shared" si="273"/>
        <v>70.440433246896561</v>
      </c>
      <c r="CN43" s="44">
        <f t="shared" si="273"/>
        <v>70.709297681197626</v>
      </c>
      <c r="CO43" s="44">
        <f t="shared" si="273"/>
        <v>70.979188345473474</v>
      </c>
      <c r="CP43" s="44">
        <f t="shared" si="273"/>
        <v>71.156860627616254</v>
      </c>
      <c r="CQ43" s="44">
        <f t="shared" si="273"/>
        <v>71.334977651951476</v>
      </c>
      <c r="CR43" s="44">
        <f t="shared" si="273"/>
        <v>71.513540531740091</v>
      </c>
      <c r="CS43" s="44">
        <f t="shared" si="273"/>
        <v>71.692550383029769</v>
      </c>
      <c r="CT43" s="44">
        <f t="shared" si="273"/>
        <v>71.87200832466182</v>
      </c>
    </row>
    <row r="44" spans="1:98" x14ac:dyDescent="0.2">
      <c r="A44" s="1" t="s">
        <v>119</v>
      </c>
      <c r="C44" s="54" t="str">
        <f>'Yearly BTX'!C125</f>
        <v>m Tons</v>
      </c>
      <c r="D44" s="44">
        <f>'Yearly BTX'!D125*D43/(D43+D48+D53)</f>
        <v>2.3639965417072988</v>
      </c>
      <c r="E44" s="44">
        <f>'Yearly BTX'!E125*E43/(E43+E48+E53)</f>
        <v>2.6424840810809016</v>
      </c>
      <c r="F44" s="44">
        <f>'Yearly BTX'!F125*F43/(F43+F48+F53)</f>
        <v>2.8806002784495552</v>
      </c>
      <c r="G44" s="44">
        <f>'Yearly BTX'!G125*G43/(G43+G48+G53)</f>
        <v>3.1207670673117396</v>
      </c>
      <c r="H44" s="44">
        <f>'Yearly BTX'!H125*H43/(H43+H48+H53)</f>
        <v>3.3608385892215109</v>
      </c>
      <c r="I44" s="44">
        <f>'Yearly BTX'!I125*I43/(I43+I48+I53)</f>
        <v>3.5989072541800233</v>
      </c>
      <c r="J44" s="44">
        <f>'Yearly BTX'!J125*J43/(J43+J48+J53)</f>
        <v>3.7815365699097274</v>
      </c>
      <c r="K44" s="44">
        <f>'Yearly BTX'!K125*K43/(K43+K48+K53)</f>
        <v>3.9616698167876931</v>
      </c>
      <c r="L44" s="44">
        <f>'Yearly BTX'!L125*L43/(L43+L48+L53)</f>
        <v>4.1384377289519305</v>
      </c>
      <c r="M44" s="44">
        <f>'Yearly BTX'!M125*M43/(M43+M48+M53)</f>
        <v>4.310582950911976</v>
      </c>
      <c r="N44" s="44">
        <f>'Yearly BTX'!N125*N43/(N43+N48+N53)</f>
        <v>4.4761666026391955</v>
      </c>
      <c r="O44" s="44">
        <f>'Yearly BTX'!O125*O43/(O43+O48+O53)</f>
        <v>4.4421917357227603</v>
      </c>
      <c r="P44" s="44">
        <f>'Yearly BTX'!P125*P43/(P43+P48+P53)</f>
        <v>4.3885572657575533</v>
      </c>
      <c r="Q44" s="44">
        <f>'Yearly BTX'!Q125*Q43/(Q43+Q48+Q53)</f>
        <v>4.3122769165373924</v>
      </c>
      <c r="R44" s="44">
        <f>'Yearly BTX'!R125*R43/(R43+R48+R53)</f>
        <v>4.2131274055034487</v>
      </c>
      <c r="S44" s="44">
        <f>'Yearly BTX'!S125*S43/(S43+S48+S53)</f>
        <v>4.0918779684387898</v>
      </c>
      <c r="T44" s="44">
        <f>'Yearly BTX'!T125*T43/(T43+T48+T53)</f>
        <v>3.9766640310722465</v>
      </c>
      <c r="U44" s="44">
        <f>'Yearly BTX'!U125*U43/(U43+U48+U53)</f>
        <v>3.8541444379451395</v>
      </c>
      <c r="V44" s="44">
        <f>'Yearly BTX'!V125*V43/(V43+V48+V53)</f>
        <v>3.7299066891603618</v>
      </c>
      <c r="W44" s="44">
        <f>'Yearly BTX'!W125*W43/(W43+W48+W53)</f>
        <v>3.6089294032071537</v>
      </c>
      <c r="X44" s="44">
        <f>'Yearly BTX'!X125*X43/(X43+X48+X53)</f>
        <v>3.4945274712600187</v>
      </c>
      <c r="Y44" s="44">
        <f>'Yearly BTX'!Y125*Y43/(Y43+Y48+Y53)</f>
        <v>3.2104979216582961</v>
      </c>
      <c r="Z44" s="44">
        <f>'Yearly BTX'!Z125*Z43/(Z43+Z48+Z53)</f>
        <v>2.9445117094396922</v>
      </c>
      <c r="AA44" s="44">
        <f>'Yearly BTX'!AA125*AA43/(AA43+AA48+AA53)</f>
        <v>2.6931787279845452</v>
      </c>
      <c r="AB44" s="44">
        <f>'Yearly BTX'!AB125*AB43/(AB43+AB48+AB53)</f>
        <v>2.6270156134285503</v>
      </c>
      <c r="AC44" s="44">
        <f>'Yearly BTX'!AC125*AC43/(AC43+AC48+AC53)</f>
        <v>2.6155242344951657</v>
      </c>
      <c r="AD44" s="44">
        <f>'Yearly BTX'!AD125*AD43/(AD43+AD48+AD53)</f>
        <v>2.582855907804134</v>
      </c>
      <c r="AE44" s="44">
        <f>'Yearly BTX'!AE125*AE43/(AE43+AE48+AE53)</f>
        <v>2.5302311705221734</v>
      </c>
      <c r="AF44" s="44">
        <f>'Yearly BTX'!AF125*AF43/(AF43+AF48+AF53)</f>
        <v>2.4551684346699116</v>
      </c>
      <c r="AG44" s="44">
        <f>'Yearly BTX'!AG125*AG43/(AG43+AG48+AG53)</f>
        <v>2.3568506463079095</v>
      </c>
      <c r="AH44" s="44">
        <f>'Yearly BTX'!AH125*AH43/(AH43+AH48+AH53)</f>
        <v>2.2373704792250684</v>
      </c>
      <c r="AI44" s="44"/>
      <c r="AJ44" s="44">
        <f>'Yearly BTX'!AJ125*AJ43/(AJ43+AJ48+AJ53)</f>
        <v>2.3640013356782772</v>
      </c>
      <c r="AK44" s="44">
        <f>'Yearly BTX'!AK125*AK43/(AK43+AK48+AK53)</f>
        <v>2.6481002023369018</v>
      </c>
      <c r="AL44" s="44">
        <f>'Yearly BTX'!AL125*AL43/(AL43+AL48+AL53)</f>
        <v>2.8951266274261513</v>
      </c>
      <c r="AM44" s="44">
        <f>'Yearly BTX'!AM125*AM43/(AM43+AM48+AM53)</f>
        <v>3.1443557144902248</v>
      </c>
      <c r="AN44" s="44">
        <f>'Yearly BTX'!AN125*AN43/(AN43+AN48+AN53)</f>
        <v>3.3947350178193125</v>
      </c>
      <c r="AO44" s="44">
        <f>'Yearly BTX'!AO125*AO43/(AO43+AO48+AO53)</f>
        <v>3.6443888062730476</v>
      </c>
      <c r="AP44" s="44">
        <f>'Yearly BTX'!AP125*AP43/(AP43+AP48+AP53)</f>
        <v>3.8770984677322926</v>
      </c>
      <c r="AQ44" s="44">
        <f>'Yearly BTX'!AQ125*AQ43/(AQ43+AQ48+AQ53)</f>
        <v>4.1138457135289848</v>
      </c>
      <c r="AR44" s="44">
        <f>'Yearly BTX'!AR125*AR43/(AR43+AR48+AR53)</f>
        <v>4.354231540840936</v>
      </c>
      <c r="AS44" s="44">
        <f>'Yearly BTX'!AS125*AS43/(AS43+AS48+AS53)</f>
        <v>4.5976036120191912</v>
      </c>
      <c r="AT44" s="44">
        <f>'Yearly BTX'!AT125*AT43/(AT43+AT48+AT53)</f>
        <v>4.8428560668813692</v>
      </c>
      <c r="AU44" s="44">
        <f>'Yearly BTX'!AU125*AU43/(AU43+AU48+AU53)</f>
        <v>4.9134851264897197</v>
      </c>
      <c r="AV44" s="44">
        <f>'Yearly BTX'!AV125*AV43/(AV43+AV48+AV53)</f>
        <v>4.9751708187873431</v>
      </c>
      <c r="AW44" s="44">
        <f>'Yearly BTX'!AW125*AW43/(AW43+AW48+AW53)</f>
        <v>5.0262888585964811</v>
      </c>
      <c r="AX44" s="44">
        <f>'Yearly BTX'!AX125*AX43/(AX43+AX48+AX53)</f>
        <v>5.0651086241148304</v>
      </c>
      <c r="AY44" s="44">
        <f>'Yearly BTX'!AY125*AY43/(AY43+AY48+AY53)</f>
        <v>5.091091295422709</v>
      </c>
      <c r="AZ44" s="44">
        <f>'Yearly BTX'!AZ125*AZ43/(AZ43+AZ48+AZ53)</f>
        <v>5.1180245501039332</v>
      </c>
      <c r="BA44" s="44">
        <f>'Yearly BTX'!BA125*BA43/(BA43+BA48+BA53)</f>
        <v>5.1441322046468692</v>
      </c>
      <c r="BB44" s="44">
        <f>'Yearly BTX'!BB125*BB43/(BB43+BB48+BB53)</f>
        <v>5.1732136531260737</v>
      </c>
      <c r="BC44" s="44">
        <f>'Yearly BTX'!BC125*BC43/(BC43+BC48+BC53)</f>
        <v>5.2090243469952622</v>
      </c>
      <c r="BD44" s="44">
        <f>'Yearly BTX'!BD125*BD43/(BD43+BD48+BD53)</f>
        <v>5.2544347118795836</v>
      </c>
      <c r="BE44" s="44">
        <f>'Yearly BTX'!BE125*BE43/(BE43+BE48+BE53)</f>
        <v>5.1223852139238168</v>
      </c>
      <c r="BF44" s="44">
        <f>'Yearly BTX'!BF125*BF43/(BF43+BF48+BF53)</f>
        <v>5.0106632084566094</v>
      </c>
      <c r="BG44" s="44">
        <f>'Yearly BTX'!BG125*BG43/(BG43+BG48+BG53)</f>
        <v>4.9204470054286338</v>
      </c>
      <c r="BH44" s="44">
        <f>'Yearly BTX'!BH125*BH43/(BH43+BH48+BH53)</f>
        <v>4.8491293762471557</v>
      </c>
      <c r="BI44" s="44">
        <f>'Yearly BTX'!BI125*BI43/(BI43+BI48+BI53)</f>
        <v>4.7949418067627274</v>
      </c>
      <c r="BJ44" s="44">
        <f>'Yearly BTX'!BJ125*BJ43/(BJ43+BJ48+BJ53)</f>
        <v>4.7610008447397165</v>
      </c>
      <c r="BK44" s="44">
        <f>'Yearly BTX'!BK125*BK43/(BK43+BK48+BK53)</f>
        <v>4.7414886918465813</v>
      </c>
      <c r="BL44" s="44">
        <f>'Yearly BTX'!BL125*BL43/(BL43+BL48+BL53)</f>
        <v>4.7338269681291658</v>
      </c>
      <c r="BM44" s="44">
        <f>'Yearly BTX'!BM125*BM43/(BM43+BM48+BM53)</f>
        <v>4.7363097186665701</v>
      </c>
      <c r="BN44" s="44">
        <f>'Yearly BTX'!BN125*BN43/(BN43+BN48+BN53)</f>
        <v>4.7492867175477791</v>
      </c>
      <c r="BO44" s="44"/>
      <c r="BP44" s="44">
        <f>'Yearly BTX'!BP125*BP43/(BP43+BP48+BP53)</f>
        <v>0</v>
      </c>
      <c r="BQ44" s="44">
        <f>'Yearly BTX'!BQ125*BQ43/(BQ43+BQ48+BQ53)</f>
        <v>0</v>
      </c>
      <c r="BR44" s="44">
        <f>'Yearly BTX'!BR125*BR43/(BR43+BR48+BR53)</f>
        <v>0</v>
      </c>
      <c r="BS44" s="44">
        <f>'Yearly BTX'!BS125*BS43/(BS43+BS48+BS53)</f>
        <v>0</v>
      </c>
      <c r="BT44" s="44">
        <f>'Yearly BTX'!BT125*BT43/(BT43+BT48+BT53)</f>
        <v>0</v>
      </c>
      <c r="BU44" s="44">
        <f>'Yearly BTX'!BU125*BU43/(BU43+BU48+BU53)</f>
        <v>0</v>
      </c>
      <c r="BV44" s="44">
        <f>'Yearly BTX'!BV125*BV43/(BV43+BV48+BV53)</f>
        <v>0</v>
      </c>
      <c r="BW44" s="44">
        <f>'Yearly BTX'!BW125*BW43/(BW43+BW48+BW53)</f>
        <v>0</v>
      </c>
      <c r="BX44" s="44">
        <f>'Yearly BTX'!BX125*BX43/(BX43+BX48+BX53)</f>
        <v>0</v>
      </c>
      <c r="BY44" s="44">
        <f>'Yearly BTX'!BY125*BY43/(BY43+BY48+BY53)</f>
        <v>0</v>
      </c>
      <c r="BZ44" s="44">
        <f>'Yearly BTX'!BZ125*BZ43/(BZ43+BZ48+BZ53)</f>
        <v>0</v>
      </c>
      <c r="CA44" s="44">
        <f>'Yearly BTX'!CA125*CA43/(CA43+CA48+CA53)</f>
        <v>0</v>
      </c>
      <c r="CB44" s="44">
        <f>'Yearly BTX'!CB125*CB43/(CB43+CB48+CB53)</f>
        <v>0</v>
      </c>
      <c r="CC44" s="44">
        <f>'Yearly BTX'!CC125*CC43/(CC43+CC48+CC53)</f>
        <v>0</v>
      </c>
      <c r="CD44" s="44">
        <f>'Yearly BTX'!CD125*CD43/(CD43+CD48+CD53)</f>
        <v>0</v>
      </c>
      <c r="CE44" s="44">
        <f>'Yearly BTX'!CE125*CE43/(CE43+CE48+CE53)</f>
        <v>0</v>
      </c>
      <c r="CF44" s="44">
        <f>'Yearly BTX'!CF125*CF43/(CF43+CF48+CF53)</f>
        <v>0</v>
      </c>
      <c r="CG44" s="44">
        <f>'Yearly BTX'!CG125*CG43/(CG43+CG48+CG53)</f>
        <v>0</v>
      </c>
      <c r="CH44" s="44">
        <f>'Yearly BTX'!CH125*CH43/(CH43+CH48+CH53)</f>
        <v>0</v>
      </c>
      <c r="CI44" s="44">
        <f>'Yearly BTX'!CI125*CI43/(CI43+CI48+CI53)</f>
        <v>0</v>
      </c>
      <c r="CJ44" s="44">
        <f>'Yearly BTX'!CJ125*CJ43/(CJ43+CJ48+CJ53)</f>
        <v>0</v>
      </c>
      <c r="CK44" s="44">
        <f>'Yearly BTX'!CK125*CK43/(CK43+CK48+CK53)</f>
        <v>0</v>
      </c>
      <c r="CL44" s="44">
        <f>'Yearly BTX'!CL125*CL43/(CL43+CL48+CL53)</f>
        <v>0</v>
      </c>
      <c r="CM44" s="44">
        <f>'Yearly BTX'!CM125*CM43/(CM43+CM48+CM53)</f>
        <v>0</v>
      </c>
      <c r="CN44" s="44">
        <f>'Yearly BTX'!CN125*CN43/(CN43+CN48+CN53)</f>
        <v>0</v>
      </c>
      <c r="CO44" s="44">
        <f>'Yearly BTX'!CO125*CO43/(CO43+CO48+CO53)</f>
        <v>0</v>
      </c>
      <c r="CP44" s="44">
        <f>'Yearly BTX'!CP125*CP43/(CP43+CP48+CP53)</f>
        <v>0</v>
      </c>
      <c r="CQ44" s="44">
        <f>'Yearly BTX'!CQ125*CQ43/(CQ43+CQ48+CQ53)</f>
        <v>0</v>
      </c>
      <c r="CR44" s="44">
        <f>'Yearly BTX'!CR125*CR43/(CR43+CR48+CR53)</f>
        <v>0</v>
      </c>
      <c r="CS44" s="44">
        <f>'Yearly BTX'!CS125*CS43/(CS43+CS48+CS53)</f>
        <v>0</v>
      </c>
      <c r="CT44" s="44">
        <f>'Yearly BTX'!CT125*CT43/(CT43+CT48+CT53)</f>
        <v>0</v>
      </c>
    </row>
    <row r="45" spans="1:98" x14ac:dyDescent="0.2">
      <c r="D45" s="44"/>
      <c r="E45" s="44"/>
      <c r="F45" s="44"/>
      <c r="G45" s="44"/>
      <c r="H45" s="44"/>
      <c r="I45" s="44"/>
      <c r="J45" s="44"/>
      <c r="K45" s="44"/>
      <c r="L45" s="44"/>
      <c r="M45" s="44"/>
      <c r="N45" s="44"/>
      <c r="O45" s="44"/>
      <c r="P45" s="44"/>
      <c r="Q45" s="44"/>
      <c r="R45" s="44"/>
      <c r="S45" s="44"/>
      <c r="T45" s="44"/>
      <c r="U45" s="44"/>
      <c r="V45" s="44"/>
      <c r="W45" s="44"/>
      <c r="X45" s="44"/>
      <c r="Y45" s="44"/>
      <c r="Z45" s="44"/>
      <c r="AA45" s="44"/>
      <c r="AB45" s="44"/>
      <c r="AC45" s="44"/>
      <c r="AD45" s="44"/>
      <c r="AE45" s="44"/>
      <c r="AF45" s="44"/>
      <c r="AG45" s="44"/>
      <c r="AH45" s="44"/>
      <c r="AI45" s="44"/>
      <c r="AJ45" s="44"/>
      <c r="AK45" s="44"/>
      <c r="AL45" s="44"/>
      <c r="AM45" s="44"/>
      <c r="AN45" s="44"/>
      <c r="AO45" s="44"/>
      <c r="AP45" s="44"/>
      <c r="AQ45" s="44"/>
      <c r="AR45" s="44"/>
      <c r="AS45" s="44"/>
      <c r="AT45" s="44"/>
      <c r="AU45" s="44"/>
      <c r="AV45" s="44"/>
      <c r="AW45" s="44"/>
      <c r="AX45" s="44"/>
      <c r="AY45" s="44"/>
      <c r="AZ45" s="44"/>
      <c r="BA45" s="44"/>
      <c r="BB45" s="44"/>
      <c r="BC45" s="44"/>
      <c r="BD45" s="44"/>
      <c r="BE45" s="44"/>
      <c r="BF45" s="44"/>
      <c r="BG45" s="44"/>
      <c r="BH45" s="44"/>
      <c r="BI45" s="44"/>
      <c r="BJ45" s="44"/>
      <c r="BK45" s="44"/>
      <c r="BL45" s="44"/>
      <c r="BM45" s="44"/>
      <c r="BN45" s="44"/>
      <c r="BO45" s="44"/>
      <c r="BP45" s="44"/>
      <c r="BQ45" s="44"/>
      <c r="BR45" s="44"/>
      <c r="BS45" s="44"/>
      <c r="BT45" s="44"/>
      <c r="BU45" s="44"/>
      <c r="BV45" s="44"/>
      <c r="BW45" s="44"/>
      <c r="BX45" s="44"/>
      <c r="BY45" s="44"/>
      <c r="BZ45" s="44"/>
      <c r="CA45" s="44"/>
      <c r="CB45" s="44"/>
      <c r="CC45" s="44"/>
      <c r="CD45" s="44"/>
      <c r="CE45" s="44"/>
      <c r="CF45" s="44"/>
      <c r="CG45" s="44"/>
      <c r="CH45" s="44"/>
      <c r="CI45" s="44"/>
      <c r="CJ45" s="44"/>
      <c r="CK45" s="44"/>
      <c r="CL45" s="44"/>
      <c r="CM45" s="44"/>
      <c r="CN45" s="44"/>
      <c r="CO45" s="44"/>
      <c r="CP45" s="44"/>
      <c r="CQ45" s="44"/>
      <c r="CR45" s="44"/>
      <c r="CS45" s="44"/>
      <c r="CT45" s="44"/>
    </row>
    <row r="46" spans="1:98" s="52" customFormat="1" ht="16" thickBot="1" x14ac:dyDescent="0.25">
      <c r="A46" s="52" t="s">
        <v>143</v>
      </c>
      <c r="C46" s="635"/>
      <c r="D46" s="636"/>
      <c r="E46" s="636"/>
      <c r="F46" s="636"/>
      <c r="G46" s="636"/>
      <c r="H46" s="636"/>
      <c r="I46" s="636"/>
      <c r="J46" s="636"/>
      <c r="K46" s="636"/>
      <c r="L46" s="636"/>
      <c r="M46" s="636"/>
      <c r="N46" s="636"/>
      <c r="O46" s="636"/>
      <c r="P46" s="636"/>
      <c r="Q46" s="636"/>
      <c r="R46" s="636"/>
      <c r="S46" s="636"/>
      <c r="T46" s="636"/>
      <c r="U46" s="636"/>
      <c r="V46" s="636"/>
      <c r="W46" s="636"/>
      <c r="X46" s="636"/>
      <c r="Y46" s="636"/>
      <c r="Z46" s="636"/>
      <c r="AA46" s="636"/>
      <c r="AB46" s="636"/>
      <c r="AC46" s="636"/>
      <c r="AD46" s="636"/>
      <c r="AE46" s="636"/>
      <c r="AF46" s="636"/>
      <c r="AG46" s="636"/>
      <c r="AH46" s="636"/>
      <c r="AI46" s="636"/>
      <c r="AJ46" s="636"/>
      <c r="AK46" s="636"/>
      <c r="AL46" s="636"/>
      <c r="AM46" s="636"/>
      <c r="AN46" s="636"/>
      <c r="AO46" s="636"/>
      <c r="AP46" s="636"/>
      <c r="AQ46" s="636"/>
      <c r="AR46" s="636"/>
      <c r="AS46" s="636"/>
      <c r="AT46" s="636"/>
      <c r="AU46" s="636"/>
      <c r="AV46" s="636"/>
      <c r="AW46" s="636"/>
      <c r="AX46" s="636"/>
      <c r="AY46" s="636"/>
      <c r="AZ46" s="636"/>
      <c r="BA46" s="636"/>
      <c r="BB46" s="636"/>
      <c r="BC46" s="636"/>
      <c r="BD46" s="636"/>
      <c r="BE46" s="636"/>
      <c r="BF46" s="636"/>
      <c r="BG46" s="636"/>
      <c r="BH46" s="636"/>
      <c r="BI46" s="636"/>
      <c r="BJ46" s="636"/>
      <c r="BK46" s="636"/>
      <c r="BL46" s="636"/>
      <c r="BM46" s="636"/>
      <c r="BN46" s="636"/>
      <c r="BO46" s="636"/>
      <c r="BP46" s="636"/>
      <c r="BQ46" s="636"/>
      <c r="BR46" s="636"/>
      <c r="BS46" s="636"/>
      <c r="BT46" s="636"/>
      <c r="BU46" s="636"/>
      <c r="BV46" s="636"/>
      <c r="BW46" s="636"/>
      <c r="BX46" s="636"/>
      <c r="BY46" s="636"/>
      <c r="BZ46" s="636"/>
      <c r="CA46" s="636"/>
      <c r="CB46" s="636"/>
      <c r="CC46" s="636"/>
      <c r="CD46" s="636"/>
      <c r="CE46" s="636"/>
      <c r="CF46" s="636"/>
      <c r="CG46" s="636"/>
      <c r="CH46" s="636"/>
      <c r="CI46" s="636"/>
      <c r="CJ46" s="636"/>
      <c r="CK46" s="636"/>
      <c r="CL46" s="636"/>
      <c r="CM46" s="636"/>
      <c r="CN46" s="636"/>
      <c r="CO46" s="636"/>
      <c r="CP46" s="636"/>
      <c r="CQ46" s="636"/>
      <c r="CR46" s="636"/>
      <c r="CS46" s="636"/>
      <c r="CT46" s="636"/>
    </row>
    <row r="47" spans="1:98" s="554" customFormat="1" x14ac:dyDescent="0.2">
      <c r="A47" s="550" t="s">
        <v>144</v>
      </c>
      <c r="B47" s="551"/>
      <c r="C47" s="552" t="str">
        <f>'Yearly BTX'!C6</f>
        <v>m Tons</v>
      </c>
      <c r="D47" s="553">
        <f>'Yearly Demand - BTX'!N8</f>
        <v>14.015260831000658</v>
      </c>
      <c r="E47" s="553">
        <f>'Yearly Demand - BTX'!O8</f>
        <v>14.357609168275665</v>
      </c>
      <c r="F47" s="553">
        <f>'Yearly Demand - BTX'!P8</f>
        <v>14.70831998880719</v>
      </c>
      <c r="G47" s="553">
        <f>'Yearly Demand - BTX'!Q8</f>
        <v>15.067597561518436</v>
      </c>
      <c r="H47" s="553">
        <f>'Yearly Demand - BTX'!R8</f>
        <v>15.435651144974043</v>
      </c>
      <c r="I47" s="553">
        <f>'Yearly Demand - BTX'!S8</f>
        <v>15.812695109261186</v>
      </c>
      <c r="J47" s="553">
        <f>'Yearly Demand - BTX'!T8</f>
        <v>16.069756902396676</v>
      </c>
      <c r="K47" s="553">
        <f>'Yearly Demand - BTX'!U8</f>
        <v>16.330997664710626</v>
      </c>
      <c r="L47" s="553">
        <f>'Yearly Demand - BTX'!V8</f>
        <v>16.596485332333032</v>
      </c>
      <c r="M47" s="553">
        <f>'Yearly Demand - BTX'!W8</f>
        <v>16.866288945809249</v>
      </c>
      <c r="N47" s="553">
        <f>'Yearly Demand - BTX'!X8</f>
        <v>17.140478668054111</v>
      </c>
      <c r="O47" s="553">
        <f>'Yearly Demand - BTX'!Y8</f>
        <v>17.306232373057512</v>
      </c>
      <c r="P47" s="553">
        <f>'Yearly Demand - BTX'!Z8</f>
        <v>17.47358896741158</v>
      </c>
      <c r="Q47" s="553">
        <f>'Yearly Demand - BTX'!AA8</f>
        <v>17.642563951549747</v>
      </c>
      <c r="R47" s="553">
        <f>'Yearly Demand - BTX'!AB8</f>
        <v>17.813172975799407</v>
      </c>
      <c r="S47" s="553">
        <f>'Yearly Demand - BTX'!AC8</f>
        <v>17.985431841831428</v>
      </c>
      <c r="T47" s="553">
        <f>'Yearly Demand - BTX'!AD8</f>
        <v>18.151333486494938</v>
      </c>
      <c r="U47" s="553">
        <f>'Yearly Demand - BTX'!AE8</f>
        <v>18.318765445022699</v>
      </c>
      <c r="V47" s="553">
        <f>'Yearly Demand - BTX'!AF8</f>
        <v>18.487741833371953</v>
      </c>
      <c r="W47" s="553">
        <f>'Yearly Demand - BTX'!AG8</f>
        <v>18.658276897708696</v>
      </c>
      <c r="X47" s="553">
        <f>'Yearly Demand - BTX'!AH8</f>
        <v>18.830385015608741</v>
      </c>
      <c r="Y47" s="553">
        <f>'Yearly Demand - BTX'!AI8</f>
        <v>18.902258804305458</v>
      </c>
      <c r="Z47" s="553">
        <f>'Yearly Demand - BTX'!AJ8</f>
        <v>18.974406928417906</v>
      </c>
      <c r="AA47" s="553">
        <f>'Yearly Demand - BTX'!AK8</f>
        <v>19.046830435058279</v>
      </c>
      <c r="AB47" s="553">
        <f>'Yearly Demand - BTX'!AL8</f>
        <v>19.119530375335486</v>
      </c>
      <c r="AC47" s="553">
        <f>'Yearly Demand - BTX'!AM8</f>
        <v>19.192507804370447</v>
      </c>
      <c r="AD47" s="553">
        <f>'Yearly Demand - BTX'!AN8</f>
        <v>19.240549726814653</v>
      </c>
      <c r="AE47" s="553">
        <f>'Yearly Demand - BTX'!AO8</f>
        <v>19.288711905888977</v>
      </c>
      <c r="AF47" s="553">
        <f>'Yearly Demand - BTX'!AP8</f>
        <v>19.336994642615036</v>
      </c>
      <c r="AG47" s="553">
        <f>'Yearly Demand - BTX'!AQ8</f>
        <v>19.385398238767955</v>
      </c>
      <c r="AH47" s="553">
        <f>'Yearly Demand - BTX'!AR8</f>
        <v>19.433922996878252</v>
      </c>
      <c r="AI47" s="553"/>
      <c r="AJ47" s="553">
        <f>D47</f>
        <v>14.015260831000658</v>
      </c>
      <c r="AK47" s="553">
        <f t="shared" ref="AK47:BN47" si="274">E47</f>
        <v>14.357609168275665</v>
      </c>
      <c r="AL47" s="553">
        <f t="shared" si="274"/>
        <v>14.70831998880719</v>
      </c>
      <c r="AM47" s="553">
        <f t="shared" si="274"/>
        <v>15.067597561518436</v>
      </c>
      <c r="AN47" s="553">
        <f t="shared" si="274"/>
        <v>15.435651144974043</v>
      </c>
      <c r="AO47" s="553">
        <f t="shared" si="274"/>
        <v>15.812695109261186</v>
      </c>
      <c r="AP47" s="553">
        <f t="shared" si="274"/>
        <v>16.069756902396676</v>
      </c>
      <c r="AQ47" s="553">
        <f t="shared" si="274"/>
        <v>16.330997664710626</v>
      </c>
      <c r="AR47" s="553">
        <f t="shared" si="274"/>
        <v>16.596485332333032</v>
      </c>
      <c r="AS47" s="553">
        <f t="shared" si="274"/>
        <v>16.866288945809249</v>
      </c>
      <c r="AT47" s="553">
        <f t="shared" si="274"/>
        <v>17.140478668054111</v>
      </c>
      <c r="AU47" s="553">
        <f t="shared" si="274"/>
        <v>17.306232373057512</v>
      </c>
      <c r="AV47" s="553">
        <f t="shared" si="274"/>
        <v>17.47358896741158</v>
      </c>
      <c r="AW47" s="553">
        <f t="shared" si="274"/>
        <v>17.642563951549747</v>
      </c>
      <c r="AX47" s="553">
        <f t="shared" si="274"/>
        <v>17.813172975799407</v>
      </c>
      <c r="AY47" s="553">
        <f t="shared" si="274"/>
        <v>17.985431841831428</v>
      </c>
      <c r="AZ47" s="553">
        <f t="shared" si="274"/>
        <v>18.151333486494938</v>
      </c>
      <c r="BA47" s="553">
        <f t="shared" si="274"/>
        <v>18.318765445022699</v>
      </c>
      <c r="BB47" s="553">
        <f t="shared" si="274"/>
        <v>18.487741833371953</v>
      </c>
      <c r="BC47" s="553">
        <f t="shared" si="274"/>
        <v>18.658276897708696</v>
      </c>
      <c r="BD47" s="553">
        <f t="shared" si="274"/>
        <v>18.830385015608741</v>
      </c>
      <c r="BE47" s="553">
        <f t="shared" si="274"/>
        <v>18.902258804305458</v>
      </c>
      <c r="BF47" s="553">
        <f t="shared" si="274"/>
        <v>18.974406928417906</v>
      </c>
      <c r="BG47" s="553">
        <f t="shared" si="274"/>
        <v>19.046830435058279</v>
      </c>
      <c r="BH47" s="553">
        <f t="shared" si="274"/>
        <v>19.119530375335486</v>
      </c>
      <c r="BI47" s="553">
        <f t="shared" si="274"/>
        <v>19.192507804370447</v>
      </c>
      <c r="BJ47" s="553">
        <f t="shared" si="274"/>
        <v>19.240549726814653</v>
      </c>
      <c r="BK47" s="553">
        <f t="shared" si="274"/>
        <v>19.288711905888977</v>
      </c>
      <c r="BL47" s="553">
        <f t="shared" si="274"/>
        <v>19.336994642615036</v>
      </c>
      <c r="BM47" s="553">
        <f t="shared" si="274"/>
        <v>19.385398238767955</v>
      </c>
      <c r="BN47" s="553">
        <f t="shared" si="274"/>
        <v>19.433922996878252</v>
      </c>
      <c r="BO47" s="553"/>
      <c r="BP47" s="553">
        <f>AJ47</f>
        <v>14.015260831000658</v>
      </c>
      <c r="BQ47" s="553">
        <f t="shared" ref="BQ47" si="275">AK47</f>
        <v>14.357609168275665</v>
      </c>
      <c r="BR47" s="553">
        <f t="shared" ref="BR47" si="276">AL47</f>
        <v>14.70831998880719</v>
      </c>
      <c r="BS47" s="553">
        <f t="shared" ref="BS47" si="277">AM47</f>
        <v>15.067597561518436</v>
      </c>
      <c r="BT47" s="553">
        <f t="shared" ref="BT47" si="278">AN47</f>
        <v>15.435651144974043</v>
      </c>
      <c r="BU47" s="553">
        <f t="shared" ref="BU47" si="279">AO47</f>
        <v>15.812695109261186</v>
      </c>
      <c r="BV47" s="553">
        <f t="shared" ref="BV47" si="280">AP47</f>
        <v>16.069756902396676</v>
      </c>
      <c r="BW47" s="553">
        <f t="shared" ref="BW47" si="281">AQ47</f>
        <v>16.330997664710626</v>
      </c>
      <c r="BX47" s="553">
        <f t="shared" ref="BX47" si="282">AR47</f>
        <v>16.596485332333032</v>
      </c>
      <c r="BY47" s="553">
        <f t="shared" ref="BY47" si="283">AS47</f>
        <v>16.866288945809249</v>
      </c>
      <c r="BZ47" s="553">
        <f t="shared" ref="BZ47" si="284">AT47</f>
        <v>17.140478668054111</v>
      </c>
      <c r="CA47" s="553">
        <f t="shared" ref="CA47" si="285">AU47</f>
        <v>17.306232373057512</v>
      </c>
      <c r="CB47" s="553">
        <f t="shared" ref="CB47" si="286">AV47</f>
        <v>17.47358896741158</v>
      </c>
      <c r="CC47" s="553">
        <f t="shared" ref="CC47" si="287">AW47</f>
        <v>17.642563951549747</v>
      </c>
      <c r="CD47" s="553">
        <f t="shared" ref="CD47" si="288">AX47</f>
        <v>17.813172975799407</v>
      </c>
      <c r="CE47" s="553">
        <f t="shared" ref="CE47" si="289">AY47</f>
        <v>17.985431841831428</v>
      </c>
      <c r="CF47" s="553">
        <f t="shared" ref="CF47" si="290">AZ47</f>
        <v>18.151333486494938</v>
      </c>
      <c r="CG47" s="553">
        <f t="shared" ref="CG47" si="291">BA47</f>
        <v>18.318765445022699</v>
      </c>
      <c r="CH47" s="553">
        <f t="shared" ref="CH47" si="292">BB47</f>
        <v>18.487741833371953</v>
      </c>
      <c r="CI47" s="553">
        <f t="shared" ref="CI47" si="293">BC47</f>
        <v>18.658276897708696</v>
      </c>
      <c r="CJ47" s="553">
        <f t="shared" ref="CJ47" si="294">BD47</f>
        <v>18.830385015608741</v>
      </c>
      <c r="CK47" s="553">
        <f t="shared" ref="CK47" si="295">BE47</f>
        <v>18.902258804305458</v>
      </c>
      <c r="CL47" s="553">
        <f t="shared" ref="CL47" si="296">BF47</f>
        <v>18.974406928417906</v>
      </c>
      <c r="CM47" s="553">
        <f t="shared" ref="CM47" si="297">BG47</f>
        <v>19.046830435058279</v>
      </c>
      <c r="CN47" s="553">
        <f t="shared" ref="CN47" si="298">BH47</f>
        <v>19.119530375335486</v>
      </c>
      <c r="CO47" s="553">
        <f t="shared" ref="CO47" si="299">BI47</f>
        <v>19.192507804370447</v>
      </c>
      <c r="CP47" s="553">
        <f t="shared" ref="CP47" si="300">BJ47</f>
        <v>19.240549726814653</v>
      </c>
      <c r="CQ47" s="553">
        <f t="shared" ref="CQ47" si="301">BK47</f>
        <v>19.288711905888977</v>
      </c>
      <c r="CR47" s="553">
        <f t="shared" ref="CR47" si="302">BL47</f>
        <v>19.336994642615036</v>
      </c>
      <c r="CS47" s="553">
        <f t="shared" ref="CS47" si="303">BM47</f>
        <v>19.385398238767955</v>
      </c>
      <c r="CT47" s="553">
        <f t="shared" ref="CT47" si="304">BN47</f>
        <v>19.433922996878252</v>
      </c>
    </row>
    <row r="48" spans="1:98" x14ac:dyDescent="0.2">
      <c r="A48" s="1" t="s">
        <v>145</v>
      </c>
      <c r="C48" s="54" t="str">
        <f>'Yearly BTX'!C123</f>
        <v>m Tons</v>
      </c>
      <c r="D48" s="44">
        <f>'Yearly BTX'!D130</f>
        <v>14.015257795291385</v>
      </c>
      <c r="E48" s="44">
        <f>'Yearly BTX'!E130</f>
        <v>14.133214398927056</v>
      </c>
      <c r="F48" s="44">
        <f>'Yearly BTX'!F130</f>
        <v>14.205963082745964</v>
      </c>
      <c r="G48" s="44">
        <f>'Yearly BTX'!G130</f>
        <v>14.291268478372006</v>
      </c>
      <c r="H48" s="44">
        <f>'Yearly BTX'!H130</f>
        <v>14.377926394243627</v>
      </c>
      <c r="I48" s="44">
        <f>'Yearly BTX'!I130</f>
        <v>14.466285090794479</v>
      </c>
      <c r="J48" s="44">
        <f>'Yearly BTX'!J130</f>
        <v>14.434172589592343</v>
      </c>
      <c r="K48" s="44">
        <f>'Yearly BTX'!K130</f>
        <v>14.399401732969626</v>
      </c>
      <c r="L48" s="44">
        <f>'Yearly BTX'!L130</f>
        <v>14.361920939527399</v>
      </c>
      <c r="M48" s="44">
        <f>'Yearly BTX'!M130</f>
        <v>14.321581481345168</v>
      </c>
      <c r="N48" s="44">
        <f>'Yearly BTX'!N130</f>
        <v>14.278057852358652</v>
      </c>
      <c r="O48" s="44">
        <f>'Yearly BTX'!O130</f>
        <v>13.991588400437783</v>
      </c>
      <c r="P48" s="44">
        <f>'Yearly BTX'!P130</f>
        <v>13.701373069699867</v>
      </c>
      <c r="Q48" s="44">
        <f>'Yearly BTX'!Q130</f>
        <v>13.40758585071122</v>
      </c>
      <c r="R48" s="44">
        <f>'Yearly BTX'!R130</f>
        <v>13.110311424496469</v>
      </c>
      <c r="S48" s="44">
        <f>'Yearly BTX'!S130</f>
        <v>12.810217895630048</v>
      </c>
      <c r="T48" s="44">
        <f>'Yearly BTX'!T130</f>
        <v>12.494738372749735</v>
      </c>
      <c r="U48" s="44">
        <f>'Yearly BTX'!U130</f>
        <v>12.174988613917161</v>
      </c>
      <c r="V48" s="44">
        <f>'Yearly BTX'!V130</f>
        <v>11.852582087925699</v>
      </c>
      <c r="W48" s="44">
        <f>'Yearly BTX'!W130</f>
        <v>11.528972503405011</v>
      </c>
      <c r="X48" s="44">
        <f>'Yearly BTX'!X130</f>
        <v>11.205169076384808</v>
      </c>
      <c r="Y48" s="44">
        <f>'Yearly BTX'!Y130</f>
        <v>10.743368641700654</v>
      </c>
      <c r="Z48" s="44">
        <f>'Yearly BTX'!Z130</f>
        <v>10.284893689147825</v>
      </c>
      <c r="AA48" s="44">
        <f>'Yearly BTX'!AA130</f>
        <v>9.8304685052624698</v>
      </c>
      <c r="AB48" s="44">
        <f>'Yearly BTX'!AB130</f>
        <v>9.3693753149826335</v>
      </c>
      <c r="AC48" s="44">
        <f>'Yearly BTX'!AC130</f>
        <v>8.9067107406219534</v>
      </c>
      <c r="AD48" s="44">
        <f>'Yearly BTX'!AD130</f>
        <v>8.4297854854619541</v>
      </c>
      <c r="AE48" s="44">
        <f>'Yearly BTX'!AE130</f>
        <v>7.9553212326251748</v>
      </c>
      <c r="AF48" s="44">
        <f>'Yearly BTX'!AF130</f>
        <v>7.4831830592450457</v>
      </c>
      <c r="AG48" s="44">
        <f>'Yearly BTX'!AG130</f>
        <v>7.013713300116077</v>
      </c>
      <c r="AH48" s="44">
        <f>'Yearly BTX'!AH130</f>
        <v>6.548069764979294</v>
      </c>
      <c r="AI48" s="44"/>
      <c r="AJ48" s="44">
        <f>'Yearly BTX'!AJ130</f>
        <v>14.015259091563257</v>
      </c>
      <c r="AK48" s="44">
        <f>'Yearly BTX'!AK130</f>
        <v>14.209766821570545</v>
      </c>
      <c r="AL48" s="44">
        <f>'Yearly BTX'!AL130</f>
        <v>14.36680202662102</v>
      </c>
      <c r="AM48" s="44">
        <f>'Yearly BTX'!AM130</f>
        <v>14.537144094595444</v>
      </c>
      <c r="AN48" s="44">
        <f>'Yearly BTX'!AN130</f>
        <v>14.712053381020699</v>
      </c>
      <c r="AO48" s="44">
        <f>'Yearly BTX'!AO130</f>
        <v>14.89198868474992</v>
      </c>
      <c r="AP48" s="44">
        <f>'Yearly BTX'!AP130</f>
        <v>14.952338474390823</v>
      </c>
      <c r="AQ48" s="44">
        <f>'Yearly BTX'!AQ130</f>
        <v>15.012636703490799</v>
      </c>
      <c r="AR48" s="44">
        <f>'Yearly BTX'!AR130</f>
        <v>15.072937973942826</v>
      </c>
      <c r="AS48" s="44">
        <f>'Yearly BTX'!AS130</f>
        <v>15.133238360252838</v>
      </c>
      <c r="AT48" s="44">
        <f>'Yearly BTX'!AT130</f>
        <v>15.193421297485678</v>
      </c>
      <c r="AU48" s="44">
        <f>'Yearly BTX'!AU130</f>
        <v>15.026261880937984</v>
      </c>
      <c r="AV48" s="44">
        <f>'Yearly BTX'!AV130</f>
        <v>14.858355811617137</v>
      </c>
      <c r="AW48" s="44">
        <f>'Yearly BTX'!AW130</f>
        <v>14.690016262280372</v>
      </c>
      <c r="AX48" s="44">
        <f>'Yearly BTX'!AX130</f>
        <v>14.521341279067308</v>
      </c>
      <c r="AY48" s="44">
        <f>'Yearly BTX'!AY130</f>
        <v>14.352796021379401</v>
      </c>
      <c r="AZ48" s="44">
        <f>'Yearly BTX'!AZ130</f>
        <v>14.171228125186605</v>
      </c>
      <c r="BA48" s="44">
        <f>'Yearly BTX'!BA130</f>
        <v>13.98749290081965</v>
      </c>
      <c r="BB48" s="44">
        <f>'Yearly BTX'!BB130</f>
        <v>13.802709371040693</v>
      </c>
      <c r="BC48" s="44">
        <f>'Yearly BTX'!BC130</f>
        <v>13.617990527014703</v>
      </c>
      <c r="BD48" s="44">
        <f>'Yearly BTX'!BD130</f>
        <v>13.434216455662026</v>
      </c>
      <c r="BE48" s="44">
        <f>'Yearly BTX'!BE130</f>
        <v>13.115912038915656</v>
      </c>
      <c r="BF48" s="44">
        <f>'Yearly BTX'!BF130</f>
        <v>12.801323015480314</v>
      </c>
      <c r="BG48" s="44">
        <f>'Yearly BTX'!BG130</f>
        <v>12.491372458876629</v>
      </c>
      <c r="BH48" s="44">
        <f>'Yearly BTX'!BH130</f>
        <v>12.185065845831396</v>
      </c>
      <c r="BI48" s="44">
        <f>'Yearly BTX'!BI130</f>
        <v>11.882076365179648</v>
      </c>
      <c r="BJ48" s="44">
        <f>'Yearly BTX'!BJ130</f>
        <v>11.563400229592297</v>
      </c>
      <c r="BK48" s="44">
        <f>'Yearly BTX'!BK130</f>
        <v>11.247843031022848</v>
      </c>
      <c r="BL48" s="44">
        <f>'Yearly BTX'!BL130</f>
        <v>10.934901376686566</v>
      </c>
      <c r="BM48" s="44">
        <f>'Yearly BTX'!BM130</f>
        <v>10.624323665557956</v>
      </c>
      <c r="BN48" s="44">
        <f>'Yearly BTX'!BN130</f>
        <v>10.316431722494666</v>
      </c>
      <c r="BO48" s="44"/>
      <c r="BP48" s="44">
        <f>BP47</f>
        <v>14.015260831000658</v>
      </c>
      <c r="BQ48" s="44">
        <f t="shared" ref="BQ48" si="305">BQ47</f>
        <v>14.357609168275665</v>
      </c>
      <c r="BR48" s="44">
        <f t="shared" ref="BR48" si="306">BR47</f>
        <v>14.70831998880719</v>
      </c>
      <c r="BS48" s="44">
        <f t="shared" ref="BS48" si="307">BS47</f>
        <v>15.067597561518436</v>
      </c>
      <c r="BT48" s="44">
        <f t="shared" ref="BT48" si="308">BT47</f>
        <v>15.435651144974043</v>
      </c>
      <c r="BU48" s="44">
        <f t="shared" ref="BU48" si="309">BU47</f>
        <v>15.812695109261186</v>
      </c>
      <c r="BV48" s="44">
        <f t="shared" ref="BV48" si="310">BV47</f>
        <v>16.069756902396676</v>
      </c>
      <c r="BW48" s="44">
        <f t="shared" ref="BW48" si="311">BW47</f>
        <v>16.330997664710626</v>
      </c>
      <c r="BX48" s="44">
        <f t="shared" ref="BX48" si="312">BX47</f>
        <v>16.596485332333032</v>
      </c>
      <c r="BY48" s="44">
        <f t="shared" ref="BY48" si="313">BY47</f>
        <v>16.866288945809249</v>
      </c>
      <c r="BZ48" s="44">
        <f t="shared" ref="BZ48" si="314">BZ47</f>
        <v>17.140478668054111</v>
      </c>
      <c r="CA48" s="44">
        <f t="shared" ref="CA48" si="315">CA47</f>
        <v>17.306232373057512</v>
      </c>
      <c r="CB48" s="44">
        <f t="shared" ref="CB48" si="316">CB47</f>
        <v>17.47358896741158</v>
      </c>
      <c r="CC48" s="44">
        <f t="shared" ref="CC48" si="317">CC47</f>
        <v>17.642563951549747</v>
      </c>
      <c r="CD48" s="44">
        <f t="shared" ref="CD48" si="318">CD47</f>
        <v>17.813172975799407</v>
      </c>
      <c r="CE48" s="44">
        <f t="shared" ref="CE48" si="319">CE47</f>
        <v>17.985431841831428</v>
      </c>
      <c r="CF48" s="44">
        <f t="shared" ref="CF48" si="320">CF47</f>
        <v>18.151333486494938</v>
      </c>
      <c r="CG48" s="44">
        <f t="shared" ref="CG48" si="321">CG47</f>
        <v>18.318765445022699</v>
      </c>
      <c r="CH48" s="44">
        <f t="shared" ref="CH48" si="322">CH47</f>
        <v>18.487741833371953</v>
      </c>
      <c r="CI48" s="44">
        <f t="shared" ref="CI48" si="323">CI47</f>
        <v>18.658276897708696</v>
      </c>
      <c r="CJ48" s="44">
        <f t="shared" ref="CJ48" si="324">CJ47</f>
        <v>18.830385015608741</v>
      </c>
      <c r="CK48" s="44">
        <f t="shared" ref="CK48" si="325">CK47</f>
        <v>18.902258804305458</v>
      </c>
      <c r="CL48" s="44">
        <f t="shared" ref="CL48" si="326">CL47</f>
        <v>18.974406928417906</v>
      </c>
      <c r="CM48" s="44">
        <f t="shared" ref="CM48" si="327">CM47</f>
        <v>19.046830435058279</v>
      </c>
      <c r="CN48" s="44">
        <f t="shared" ref="CN48" si="328">CN47</f>
        <v>19.119530375335486</v>
      </c>
      <c r="CO48" s="44">
        <f t="shared" ref="CO48" si="329">CO47</f>
        <v>19.192507804370447</v>
      </c>
      <c r="CP48" s="44">
        <f t="shared" ref="CP48" si="330">CP47</f>
        <v>19.240549726814653</v>
      </c>
      <c r="CQ48" s="44">
        <f t="shared" ref="CQ48" si="331">CQ47</f>
        <v>19.288711905888977</v>
      </c>
      <c r="CR48" s="44">
        <f t="shared" ref="CR48" si="332">CR47</f>
        <v>19.336994642615036</v>
      </c>
      <c r="CS48" s="44">
        <f t="shared" ref="CS48" si="333">CS47</f>
        <v>19.385398238767955</v>
      </c>
      <c r="CT48" s="44">
        <f t="shared" ref="CT48" si="334">CT47</f>
        <v>19.433922996878252</v>
      </c>
    </row>
    <row r="49" spans="1:98" x14ac:dyDescent="0.2">
      <c r="A49" s="1" t="s">
        <v>119</v>
      </c>
      <c r="C49" s="54" t="str">
        <f>'Yearly BTX'!C125</f>
        <v>m Tons</v>
      </c>
      <c r="D49" s="44">
        <f>'Yearly BTX'!D125*D48/(D43+D48+D53)</f>
        <v>0.63921584810733489</v>
      </c>
      <c r="E49" s="44">
        <f>'Yearly BTX'!E125*E48/(E43+E48+E53)</f>
        <v>0.71451784010579156</v>
      </c>
      <c r="F49" s="44">
        <f>'Yearly BTX'!F125*F48/(F43+F48+F53)</f>
        <v>0.77890357179521774</v>
      </c>
      <c r="G49" s="44">
        <f>'Yearly BTX'!G125*G48/(G43+G48+G53)</f>
        <v>0.84384377577660075</v>
      </c>
      <c r="H49" s="44">
        <f>'Yearly BTX'!H125*H48/(H43+H48+H53)</f>
        <v>0.90875821992935957</v>
      </c>
      <c r="I49" s="44">
        <f>'Yearly BTX'!I125*I48/(I43+I48+I53)</f>
        <v>0.97313109903236061</v>
      </c>
      <c r="J49" s="44">
        <f>'Yearly BTX'!J125*J48/(J43+J48+J53)</f>
        <v>1.0225133848706955</v>
      </c>
      <c r="K49" s="44">
        <f>'Yearly BTX'!K125*K48/(K43+K48+K53)</f>
        <v>1.071220743000868</v>
      </c>
      <c r="L49" s="44">
        <f>'Yearly BTX'!L125*L48/(L43+L48+L53)</f>
        <v>1.1190181271758133</v>
      </c>
      <c r="M49" s="44">
        <f>'Yearly BTX'!M125*M48/(M43+M48+M53)</f>
        <v>1.1655655531603477</v>
      </c>
      <c r="N49" s="44">
        <f>'Yearly BTX'!N125*N48/(N43+N48+N53)</f>
        <v>1.210338755025983</v>
      </c>
      <c r="O49" s="44">
        <f>'Yearly BTX'!O125*O48/(O43+O48+O53)</f>
        <v>1.2011520777245692</v>
      </c>
      <c r="P49" s="44">
        <f>'Yearly BTX'!P125*P48/(P43+P48+P53)</f>
        <v>1.1866495170812963</v>
      </c>
      <c r="Q49" s="44">
        <f>'Yearly BTX'!Q125*Q48/(Q43+Q48+Q53)</f>
        <v>1.1660235951476396</v>
      </c>
      <c r="R49" s="44">
        <f>'Yearly BTX'!R125*R48/(R43+R48+R53)</f>
        <v>1.1392139371524477</v>
      </c>
      <c r="S49" s="44">
        <f>'Yearly BTX'!S125*S48/(S43+S48+S53)</f>
        <v>1.1064285415825166</v>
      </c>
      <c r="T49" s="44">
        <f>'Yearly BTX'!T125*T48/(T43+T48+T53)</f>
        <v>1.0752751226209341</v>
      </c>
      <c r="U49" s="44">
        <f>'Yearly BTX'!U125*U48/(U43+U48+U53)</f>
        <v>1.0421462815888956</v>
      </c>
      <c r="V49" s="44">
        <f>'Yearly BTX'!V125*V48/(V43+V48+V53)</f>
        <v>1.0085528576750629</v>
      </c>
      <c r="W49" s="44">
        <f>'Yearly BTX'!W125*W48/(W43+W48+W53)</f>
        <v>0.97584105075065219</v>
      </c>
      <c r="X49" s="44">
        <f>'Yearly BTX'!X125*X48/(X43+X48+X53)</f>
        <v>0.94490719502601894</v>
      </c>
      <c r="Y49" s="44">
        <f>'Yearly BTX'!Y125*Y48/(Y43+Y48+Y53)</f>
        <v>0.86810666413138082</v>
      </c>
      <c r="Z49" s="44">
        <f>'Yearly BTX'!Z125*Z48/(Z43+Z48+Z53)</f>
        <v>0.79618498437063923</v>
      </c>
      <c r="AA49" s="44">
        <f>'Yearly BTX'!AA125*AA48/(AA43+AA48+AA53)</f>
        <v>0.72822548355759265</v>
      </c>
      <c r="AB49" s="44">
        <f>'Yearly BTX'!AB125*AB48/(AB43+AB48+AB53)</f>
        <v>0.71033522414385053</v>
      </c>
      <c r="AC49" s="44">
        <f>'Yearly BTX'!AC125*AC48/(AC43+AC48+AC53)</f>
        <v>0.70722799813855286</v>
      </c>
      <c r="AD49" s="44">
        <f>'Yearly BTX'!AD125*AD48/(AD43+AD48+AD53)</f>
        <v>0.69839460444121104</v>
      </c>
      <c r="AE49" s="44">
        <f>'Yearly BTX'!AE125*AE48/(AE43+AE48+AE53)</f>
        <v>0.6841650717495853</v>
      </c>
      <c r="AF49" s="44">
        <f>'Yearly BTX'!AF125*AF48/(AF43+AF48+AF53)</f>
        <v>0.66386838792939329</v>
      </c>
      <c r="AG49" s="44">
        <f>'Yearly BTX'!AG125*AG48/(AG43+AG48+AG53)</f>
        <v>0.63728362464269805</v>
      </c>
      <c r="AH49" s="44">
        <f>'Yearly BTX'!AH125*AH48/(AH43+AH48+AH53)</f>
        <v>0.60497663307717464</v>
      </c>
      <c r="AI49" s="44"/>
      <c r="AJ49" s="44">
        <f>'Yearly BTX'!AJ125*AJ48/(AJ43+AJ48+AJ53)</f>
        <v>0.63921714437920774</v>
      </c>
      <c r="AK49" s="44">
        <f>'Yearly BTX'!AK125*AK48/(AK43+AK48+AK53)</f>
        <v>0.7160364183475072</v>
      </c>
      <c r="AL49" s="44">
        <f>'Yearly BTX'!AL125*AL48/(AL43+AL48+AL53)</f>
        <v>0.78283144238096392</v>
      </c>
      <c r="AM49" s="44">
        <f>'Yearly BTX'!AM125*AM48/(AM43+AM48+AM53)</f>
        <v>0.85022205799735684</v>
      </c>
      <c r="AN49" s="44">
        <f>'Yearly BTX'!AN125*AN48/(AN43+AN48+AN53)</f>
        <v>0.91792368780195854</v>
      </c>
      <c r="AO49" s="44">
        <f>'Yearly BTX'!AO125*AO48/(AO43+AO48+AO53)</f>
        <v>0.98542914109014801</v>
      </c>
      <c r="AP49" s="44">
        <f>'Yearly BTX'!AP125*AP48/(AP43+AP48+AP53)</f>
        <v>1.0483529656339066</v>
      </c>
      <c r="AQ49" s="44">
        <f>'Yearly BTX'!AQ125*AQ48/(AQ43+AQ48+AQ53)</f>
        <v>1.1123685379239214</v>
      </c>
      <c r="AR49" s="44">
        <f>'Yearly BTX'!AR125*AR48/(AR43+AR48+AR53)</f>
        <v>1.177367969085195</v>
      </c>
      <c r="AS49" s="44">
        <f>'Yearly BTX'!AS125*AS48/(AS43+AS48+AS53)</f>
        <v>1.2431748694504108</v>
      </c>
      <c r="AT49" s="44">
        <f>'Yearly BTX'!AT125*AT48/(AT43+AT48+AT53)</f>
        <v>1.3094902185506729</v>
      </c>
      <c r="AU49" s="44">
        <f>'Yearly BTX'!AU125*AU48/(AU43+AU48+AU53)</f>
        <v>1.3285880528503671</v>
      </c>
      <c r="AV49" s="44">
        <f>'Yearly BTX'!AV125*AV48/(AV43+AV48+AV53)</f>
        <v>1.3452676339844565</v>
      </c>
      <c r="AW49" s="44">
        <f>'Yearly BTX'!AW125*AW48/(AW43+AW48+AW53)</f>
        <v>1.3590897612988155</v>
      </c>
      <c r="AX49" s="44">
        <f>'Yearly BTX'!AX125*AX48/(AX43+AX48+AX53)</f>
        <v>1.3695864811126348</v>
      </c>
      <c r="AY49" s="44">
        <f>'Yearly BTX'!AY125*AY48/(AY43+AY48+AY53)</f>
        <v>1.3766120985292172</v>
      </c>
      <c r="AZ49" s="44">
        <f>'Yearly BTX'!AZ125*AZ48/(AZ43+AZ48+AZ53)</f>
        <v>1.3838947501446532</v>
      </c>
      <c r="BA49" s="44">
        <f>'Yearly BTX'!BA125*BA48/(BA43+BA48+BA53)</f>
        <v>1.3909541625618576</v>
      </c>
      <c r="BB49" s="44">
        <f>'Yearly BTX'!BB125*BB48/(BB43+BB48+BB53)</f>
        <v>1.3988176777683556</v>
      </c>
      <c r="BC49" s="44">
        <f>'Yearly BTX'!BC125*BC48/(BC43+BC48+BC53)</f>
        <v>1.4085007558308864</v>
      </c>
      <c r="BD49" s="44">
        <f>'Yearly BTX'!BD125*BD48/(BD43+BD48+BD53)</f>
        <v>1.4207795491329409</v>
      </c>
      <c r="BE49" s="44">
        <f>'Yearly BTX'!BE125*BE48/(BE43+BE48+BE53)</f>
        <v>1.3850738573780019</v>
      </c>
      <c r="BF49" s="44">
        <f>'Yearly BTX'!BF125*BF48/(BF43+BF48+BF53)</f>
        <v>1.3548646437784773</v>
      </c>
      <c r="BG49" s="44">
        <f>'Yearly BTX'!BG125*BG48/(BG43+BG48+BG53)</f>
        <v>1.3304705189503998</v>
      </c>
      <c r="BH49" s="44">
        <f>'Yearly BTX'!BH125*BH48/(BH43+BH48+BH53)</f>
        <v>1.3111864980062238</v>
      </c>
      <c r="BI49" s="44">
        <f>'Yearly BTX'!BI125*BI48/(BI43+BI48+BI53)</f>
        <v>1.2965343813157955</v>
      </c>
      <c r="BJ49" s="44">
        <f>'Yearly BTX'!BJ125*BJ48/(BJ43+BJ48+BJ53)</f>
        <v>1.2873568717711119</v>
      </c>
      <c r="BK49" s="44">
        <f>'Yearly BTX'!BK125*BK48/(BK43+BK48+BK53)</f>
        <v>1.2820808584014063</v>
      </c>
      <c r="BL49" s="44">
        <f>'Yearly BTX'!BL125*BL48/(BL43+BL48+BL53)</f>
        <v>1.2800091568834111</v>
      </c>
      <c r="BM49" s="44">
        <f>'Yearly BTX'!BM125*BM48/(BM43+BM48+BM53)</f>
        <v>1.2806804833690493</v>
      </c>
      <c r="BN49" s="44">
        <f>'Yearly BTX'!BN125*BN48/(BN43+BN48+BN53)</f>
        <v>1.2841894154674649</v>
      </c>
      <c r="BO49" s="44"/>
      <c r="BP49" s="44">
        <f>'Yearly BTX'!BP125*BP48/(BP43+BP48+BP53)</f>
        <v>0</v>
      </c>
      <c r="BQ49" s="44">
        <f>'Yearly BTX'!BQ125*BQ48/(BQ43+BQ48+BQ53)</f>
        <v>0</v>
      </c>
      <c r="BR49" s="44">
        <f>'Yearly BTX'!BR125*BR48/(BR43+BR48+BR53)</f>
        <v>0</v>
      </c>
      <c r="BS49" s="44">
        <f>'Yearly BTX'!BS125*BS48/(BS43+BS48+BS53)</f>
        <v>0</v>
      </c>
      <c r="BT49" s="44">
        <f>'Yearly BTX'!BT125*BT48/(BT43+BT48+BT53)</f>
        <v>0</v>
      </c>
      <c r="BU49" s="44">
        <f>'Yearly BTX'!BU125*BU48/(BU43+BU48+BU53)</f>
        <v>0</v>
      </c>
      <c r="BV49" s="44">
        <f>'Yearly BTX'!BV125*BV48/(BV43+BV48+BV53)</f>
        <v>0</v>
      </c>
      <c r="BW49" s="44">
        <f>'Yearly BTX'!BW125*BW48/(BW43+BW48+BW53)</f>
        <v>0</v>
      </c>
      <c r="BX49" s="44">
        <f>'Yearly BTX'!BX125*BX48/(BX43+BX48+BX53)</f>
        <v>0</v>
      </c>
      <c r="BY49" s="44">
        <f>'Yearly BTX'!BY125*BY48/(BY43+BY48+BY53)</f>
        <v>0</v>
      </c>
      <c r="BZ49" s="44">
        <f>'Yearly BTX'!BZ125*BZ48/(BZ43+BZ48+BZ53)</f>
        <v>0</v>
      </c>
      <c r="CA49" s="44">
        <f>'Yearly BTX'!CA125*CA48/(CA43+CA48+CA53)</f>
        <v>0</v>
      </c>
      <c r="CB49" s="44">
        <f>'Yearly BTX'!CB125*CB48/(CB43+CB48+CB53)</f>
        <v>0</v>
      </c>
      <c r="CC49" s="44">
        <f>'Yearly BTX'!CC125*CC48/(CC43+CC48+CC53)</f>
        <v>0</v>
      </c>
      <c r="CD49" s="44">
        <f>'Yearly BTX'!CD125*CD48/(CD43+CD48+CD53)</f>
        <v>0</v>
      </c>
      <c r="CE49" s="44">
        <f>'Yearly BTX'!CE125*CE48/(CE43+CE48+CE53)</f>
        <v>0</v>
      </c>
      <c r="CF49" s="44">
        <f>'Yearly BTX'!CF125*CF48/(CF43+CF48+CF53)</f>
        <v>0</v>
      </c>
      <c r="CG49" s="44">
        <f>'Yearly BTX'!CG125*CG48/(CG43+CG48+CG53)</f>
        <v>0</v>
      </c>
      <c r="CH49" s="44">
        <f>'Yearly BTX'!CH125*CH48/(CH43+CH48+CH53)</f>
        <v>0</v>
      </c>
      <c r="CI49" s="44">
        <f>'Yearly BTX'!CI125*CI48/(CI43+CI48+CI53)</f>
        <v>0</v>
      </c>
      <c r="CJ49" s="44">
        <f>'Yearly BTX'!CJ125*CJ48/(CJ43+CJ48+CJ53)</f>
        <v>0</v>
      </c>
      <c r="CK49" s="44">
        <f>'Yearly BTX'!CK125*CK48/(CK43+CK48+CK53)</f>
        <v>0</v>
      </c>
      <c r="CL49" s="44">
        <f>'Yearly BTX'!CL125*CL48/(CL43+CL48+CL53)</f>
        <v>0</v>
      </c>
      <c r="CM49" s="44">
        <f>'Yearly BTX'!CM125*CM48/(CM43+CM48+CM53)</f>
        <v>0</v>
      </c>
      <c r="CN49" s="44">
        <f>'Yearly BTX'!CN125*CN48/(CN43+CN48+CN53)</f>
        <v>0</v>
      </c>
      <c r="CO49" s="44">
        <f>'Yearly BTX'!CO125*CO48/(CO43+CO48+CO53)</f>
        <v>0</v>
      </c>
      <c r="CP49" s="44">
        <f>'Yearly BTX'!CP125*CP48/(CP43+CP48+CP53)</f>
        <v>0</v>
      </c>
      <c r="CQ49" s="44">
        <f>'Yearly BTX'!CQ125*CQ48/(CQ43+CQ48+CQ53)</f>
        <v>0</v>
      </c>
      <c r="CR49" s="44">
        <f>'Yearly BTX'!CR125*CR48/(CR43+CR48+CR53)</f>
        <v>0</v>
      </c>
      <c r="CS49" s="44">
        <f>'Yearly BTX'!CS125*CS48/(CS43+CS48+CS53)</f>
        <v>0</v>
      </c>
      <c r="CT49" s="44">
        <f>'Yearly BTX'!CT125*CT48/(CT43+CT48+CT53)</f>
        <v>0</v>
      </c>
    </row>
    <row r="50" spans="1:98" x14ac:dyDescent="0.2">
      <c r="D50" s="44"/>
      <c r="E50" s="44"/>
      <c r="F50" s="44"/>
      <c r="G50" s="44"/>
      <c r="H50" s="44"/>
      <c r="I50" s="44"/>
      <c r="J50" s="44"/>
      <c r="K50" s="44"/>
      <c r="L50" s="44"/>
      <c r="M50" s="44"/>
      <c r="N50" s="44"/>
      <c r="O50" s="44"/>
      <c r="P50" s="44"/>
      <c r="Q50" s="44"/>
      <c r="R50" s="44"/>
      <c r="S50" s="44"/>
      <c r="T50" s="44"/>
      <c r="U50" s="44"/>
      <c r="V50" s="44"/>
      <c r="W50" s="44"/>
      <c r="X50" s="44"/>
      <c r="Y50" s="44"/>
      <c r="Z50" s="44"/>
      <c r="AA50" s="44"/>
      <c r="AB50" s="44"/>
      <c r="AC50" s="44"/>
      <c r="AD50" s="44"/>
      <c r="AE50" s="44"/>
      <c r="AF50" s="44"/>
      <c r="AG50" s="44"/>
      <c r="AH50" s="44"/>
      <c r="AI50" s="44"/>
      <c r="AJ50" s="44"/>
      <c r="AK50" s="44"/>
      <c r="AL50" s="44"/>
      <c r="AM50" s="44"/>
      <c r="AN50" s="44"/>
      <c r="AO50" s="44"/>
      <c r="AP50" s="44"/>
      <c r="AQ50" s="44"/>
      <c r="AR50" s="44"/>
      <c r="AS50" s="44"/>
      <c r="AT50" s="44"/>
      <c r="AU50" s="44"/>
      <c r="AV50" s="44"/>
      <c r="AW50" s="44"/>
      <c r="AX50" s="44"/>
      <c r="AY50" s="44"/>
      <c r="AZ50" s="44"/>
      <c r="BA50" s="44"/>
      <c r="BB50" s="44"/>
      <c r="BC50" s="44"/>
      <c r="BD50" s="44"/>
      <c r="BE50" s="44"/>
      <c r="BF50" s="44"/>
      <c r="BG50" s="44"/>
      <c r="BH50" s="44"/>
      <c r="BI50" s="44"/>
      <c r="BJ50" s="44"/>
      <c r="BK50" s="44"/>
      <c r="BL50" s="44"/>
      <c r="BM50" s="44"/>
      <c r="BN50" s="44"/>
      <c r="BO50" s="44"/>
      <c r="BP50" s="44"/>
      <c r="BQ50" s="44"/>
      <c r="BR50" s="44"/>
      <c r="BS50" s="44"/>
      <c r="BT50" s="44"/>
      <c r="BU50" s="44"/>
      <c r="BV50" s="44"/>
      <c r="BW50" s="44"/>
      <c r="BX50" s="44"/>
      <c r="BY50" s="44"/>
      <c r="BZ50" s="44"/>
      <c r="CA50" s="44"/>
      <c r="CB50" s="44"/>
      <c r="CC50" s="44"/>
      <c r="CD50" s="44"/>
      <c r="CE50" s="44"/>
      <c r="CF50" s="44"/>
      <c r="CG50" s="44"/>
      <c r="CH50" s="44"/>
      <c r="CI50" s="44"/>
      <c r="CJ50" s="44"/>
      <c r="CK50" s="44"/>
      <c r="CL50" s="44"/>
      <c r="CM50" s="44"/>
      <c r="CN50" s="44"/>
      <c r="CO50" s="44"/>
      <c r="CP50" s="44"/>
      <c r="CQ50" s="44"/>
      <c r="CR50" s="44"/>
      <c r="CS50" s="44"/>
      <c r="CT50" s="44"/>
    </row>
    <row r="51" spans="1:98" s="52" customFormat="1" ht="16" thickBot="1" x14ac:dyDescent="0.25">
      <c r="A51" s="52" t="s">
        <v>146</v>
      </c>
      <c r="C51" s="635"/>
      <c r="D51" s="636"/>
      <c r="E51" s="636"/>
      <c r="F51" s="636"/>
      <c r="G51" s="636"/>
      <c r="H51" s="636"/>
      <c r="I51" s="636"/>
      <c r="J51" s="636"/>
      <c r="K51" s="636"/>
      <c r="L51" s="636"/>
      <c r="M51" s="636"/>
      <c r="N51" s="636"/>
      <c r="O51" s="636"/>
      <c r="P51" s="636"/>
      <c r="Q51" s="636"/>
      <c r="R51" s="636"/>
      <c r="S51" s="636"/>
      <c r="T51" s="636"/>
      <c r="U51" s="636"/>
      <c r="V51" s="636"/>
      <c r="W51" s="636"/>
      <c r="X51" s="636"/>
      <c r="Y51" s="636"/>
      <c r="Z51" s="636"/>
      <c r="AA51" s="636"/>
      <c r="AB51" s="636"/>
      <c r="AC51" s="636"/>
      <c r="AD51" s="636"/>
      <c r="AE51" s="636"/>
      <c r="AF51" s="636"/>
      <c r="AG51" s="636"/>
      <c r="AH51" s="636"/>
      <c r="AI51" s="636"/>
      <c r="AJ51" s="636"/>
      <c r="AK51" s="636"/>
      <c r="AL51" s="636"/>
      <c r="AM51" s="636"/>
      <c r="AN51" s="636"/>
      <c r="AO51" s="636"/>
      <c r="AP51" s="636"/>
      <c r="AQ51" s="636"/>
      <c r="AR51" s="636"/>
      <c r="AS51" s="636"/>
      <c r="AT51" s="636"/>
      <c r="AU51" s="636"/>
      <c r="AV51" s="636"/>
      <c r="AW51" s="636"/>
      <c r="AX51" s="636"/>
      <c r="AY51" s="636"/>
      <c r="AZ51" s="636"/>
      <c r="BA51" s="636"/>
      <c r="BB51" s="636"/>
      <c r="BC51" s="636"/>
      <c r="BD51" s="636"/>
      <c r="BE51" s="636"/>
      <c r="BF51" s="636"/>
      <c r="BG51" s="636"/>
      <c r="BH51" s="636"/>
      <c r="BI51" s="636"/>
      <c r="BJ51" s="636"/>
      <c r="BK51" s="636"/>
      <c r="BL51" s="636"/>
      <c r="BM51" s="636"/>
      <c r="BN51" s="636"/>
      <c r="BO51" s="636"/>
      <c r="BP51" s="636"/>
      <c r="BQ51" s="636"/>
      <c r="BR51" s="636"/>
      <c r="BS51" s="636"/>
      <c r="BT51" s="636"/>
      <c r="BU51" s="636"/>
      <c r="BV51" s="636"/>
      <c r="BW51" s="636"/>
      <c r="BX51" s="636"/>
      <c r="BY51" s="636"/>
      <c r="BZ51" s="636"/>
      <c r="CA51" s="636"/>
      <c r="CB51" s="636"/>
      <c r="CC51" s="636"/>
      <c r="CD51" s="636"/>
      <c r="CE51" s="636"/>
      <c r="CF51" s="636"/>
      <c r="CG51" s="636"/>
      <c r="CH51" s="636"/>
      <c r="CI51" s="636"/>
      <c r="CJ51" s="636"/>
      <c r="CK51" s="636"/>
      <c r="CL51" s="636"/>
      <c r="CM51" s="636"/>
      <c r="CN51" s="636"/>
      <c r="CO51" s="636"/>
      <c r="CP51" s="636"/>
      <c r="CQ51" s="636"/>
      <c r="CR51" s="636"/>
      <c r="CS51" s="636"/>
      <c r="CT51" s="636"/>
    </row>
    <row r="52" spans="1:98" s="554" customFormat="1" x14ac:dyDescent="0.2">
      <c r="A52" s="550" t="s">
        <v>147</v>
      </c>
      <c r="B52" s="551"/>
      <c r="C52" s="552" t="str">
        <f>'Yearly BTX'!C7</f>
        <v>m Tons</v>
      </c>
      <c r="D52" s="553">
        <f>'Yearly Demand - BTX'!N9</f>
        <v>50.26162504910581</v>
      </c>
      <c r="E52" s="553">
        <f>'Yearly Demand - BTX'!O9</f>
        <v>51.48935701726446</v>
      </c>
      <c r="F52" s="553">
        <f>'Yearly Demand - BTX'!P9</f>
        <v>52.747078580549932</v>
      </c>
      <c r="G52" s="553">
        <f>'Yearly Demand - BTX'!Q9</f>
        <v>54.035522289583362</v>
      </c>
      <c r="H52" s="553">
        <f>'Yearly Demand - BTX'!R9</f>
        <v>55.355438588872431</v>
      </c>
      <c r="I52" s="553">
        <f>'Yearly Demand - BTX'!S9</f>
        <v>56.707596253902189</v>
      </c>
      <c r="J52" s="553">
        <f>'Yearly Demand - BTX'!T9</f>
        <v>57.62947302928464</v>
      </c>
      <c r="K52" s="553">
        <f>'Yearly Demand - BTX'!U9</f>
        <v>58.566336452755358</v>
      </c>
      <c r="L52" s="553">
        <f>'Yearly Demand - BTX'!V9</f>
        <v>59.518430157332254</v>
      </c>
      <c r="M52" s="553">
        <f>'Yearly Demand - BTX'!W9</f>
        <v>60.486001736695236</v>
      </c>
      <c r="N52" s="553">
        <f>'Yearly Demand - BTX'!X9</f>
        <v>61.469302809573364</v>
      </c>
      <c r="O52" s="553">
        <f>'Yearly Demand - BTX'!Y9</f>
        <v>62.063729889585559</v>
      </c>
      <c r="P52" s="553">
        <f>'Yearly Demand - BTX'!Z9</f>
        <v>62.663905262441524</v>
      </c>
      <c r="Q52" s="553">
        <f>'Yearly Demand - BTX'!AA9</f>
        <v>63.269884515902532</v>
      </c>
      <c r="R52" s="553">
        <f>'Yearly Demand - BTX'!AB9</f>
        <v>63.881723775280626</v>
      </c>
      <c r="S52" s="553">
        <f>'Yearly Demand - BTX'!AC9</f>
        <v>64.499479708636841</v>
      </c>
      <c r="T52" s="553">
        <f>'Yearly Demand - BTX'!AD9</f>
        <v>65.094437330878407</v>
      </c>
      <c r="U52" s="553">
        <f>'Yearly Demand - BTX'!AE9</f>
        <v>65.694882975253819</v>
      </c>
      <c r="V52" s="553">
        <f>'Yearly Demand - BTX'!AF9</f>
        <v>66.300867264506323</v>
      </c>
      <c r="W52" s="553">
        <f>'Yearly Demand - BTX'!AG9</f>
        <v>66.912441288334634</v>
      </c>
      <c r="X52" s="553">
        <f>'Yearly Demand - BTX'!AH9</f>
        <v>67.529656607700318</v>
      </c>
      <c r="Y52" s="553">
        <f>'Yearly Demand - BTX'!AI9</f>
        <v>67.787410884405801</v>
      </c>
      <c r="Z52" s="553">
        <f>'Yearly Demand - BTX'!AJ9</f>
        <v>68.04614898467112</v>
      </c>
      <c r="AA52" s="553">
        <f>'Yearly Demand - BTX'!AK9</f>
        <v>68.305874663657264</v>
      </c>
      <c r="AB52" s="553">
        <f>'Yearly Demand - BTX'!AL9</f>
        <v>68.566591690858303</v>
      </c>
      <c r="AC52" s="553">
        <f>'Yearly Demand - BTX'!AM9</f>
        <v>68.82830385015609</v>
      </c>
      <c r="AD52" s="553">
        <f>'Yearly Demand - BTX'!AN9</f>
        <v>69.000592123749101</v>
      </c>
      <c r="AE52" s="553">
        <f>'Yearly Demand - BTX'!AO9</f>
        <v>69.173311662498406</v>
      </c>
      <c r="AF52" s="553">
        <f>'Yearly Demand - BTX'!AP9</f>
        <v>69.346463545929794</v>
      </c>
      <c r="AG52" s="553">
        <f>'Yearly Demand - BTX'!AQ9</f>
        <v>69.520048856271288</v>
      </c>
      <c r="AH52" s="553">
        <f>'Yearly Demand - BTX'!AR9</f>
        <v>69.694068678459942</v>
      </c>
      <c r="AI52" s="553"/>
      <c r="AJ52" s="553">
        <f>D52</f>
        <v>50.26162504910581</v>
      </c>
      <c r="AK52" s="553">
        <f t="shared" ref="AK52:BN52" si="335">E52</f>
        <v>51.48935701726446</v>
      </c>
      <c r="AL52" s="553">
        <f t="shared" si="335"/>
        <v>52.747078580549932</v>
      </c>
      <c r="AM52" s="553">
        <f t="shared" si="335"/>
        <v>54.035522289583362</v>
      </c>
      <c r="AN52" s="553">
        <f t="shared" si="335"/>
        <v>55.355438588872431</v>
      </c>
      <c r="AO52" s="553">
        <f t="shared" si="335"/>
        <v>56.707596253902189</v>
      </c>
      <c r="AP52" s="553">
        <f t="shared" si="335"/>
        <v>57.62947302928464</v>
      </c>
      <c r="AQ52" s="553">
        <f t="shared" si="335"/>
        <v>58.566336452755358</v>
      </c>
      <c r="AR52" s="553">
        <f t="shared" si="335"/>
        <v>59.518430157332254</v>
      </c>
      <c r="AS52" s="553">
        <f t="shared" si="335"/>
        <v>60.486001736695236</v>
      </c>
      <c r="AT52" s="553">
        <f t="shared" si="335"/>
        <v>61.469302809573364</v>
      </c>
      <c r="AU52" s="553">
        <f t="shared" si="335"/>
        <v>62.063729889585559</v>
      </c>
      <c r="AV52" s="553">
        <f t="shared" si="335"/>
        <v>62.663905262441524</v>
      </c>
      <c r="AW52" s="553">
        <f t="shared" si="335"/>
        <v>63.269884515902532</v>
      </c>
      <c r="AX52" s="553">
        <f t="shared" si="335"/>
        <v>63.881723775280626</v>
      </c>
      <c r="AY52" s="553">
        <f t="shared" si="335"/>
        <v>64.499479708636841</v>
      </c>
      <c r="AZ52" s="553">
        <f t="shared" si="335"/>
        <v>65.094437330878407</v>
      </c>
      <c r="BA52" s="553">
        <f t="shared" si="335"/>
        <v>65.694882975253819</v>
      </c>
      <c r="BB52" s="553">
        <f t="shared" si="335"/>
        <v>66.300867264506323</v>
      </c>
      <c r="BC52" s="553">
        <f t="shared" si="335"/>
        <v>66.912441288334634</v>
      </c>
      <c r="BD52" s="553">
        <f t="shared" si="335"/>
        <v>67.529656607700318</v>
      </c>
      <c r="BE52" s="553">
        <f t="shared" si="335"/>
        <v>67.787410884405801</v>
      </c>
      <c r="BF52" s="553">
        <f t="shared" si="335"/>
        <v>68.04614898467112</v>
      </c>
      <c r="BG52" s="553">
        <f t="shared" si="335"/>
        <v>68.305874663657264</v>
      </c>
      <c r="BH52" s="553">
        <f t="shared" si="335"/>
        <v>68.566591690858303</v>
      </c>
      <c r="BI52" s="553">
        <f t="shared" si="335"/>
        <v>68.82830385015609</v>
      </c>
      <c r="BJ52" s="553">
        <f t="shared" si="335"/>
        <v>69.000592123749101</v>
      </c>
      <c r="BK52" s="553">
        <f t="shared" si="335"/>
        <v>69.173311662498406</v>
      </c>
      <c r="BL52" s="553">
        <f t="shared" si="335"/>
        <v>69.346463545929794</v>
      </c>
      <c r="BM52" s="553">
        <f t="shared" si="335"/>
        <v>69.520048856271288</v>
      </c>
      <c r="BN52" s="553">
        <f t="shared" si="335"/>
        <v>69.694068678459942</v>
      </c>
      <c r="BO52" s="553"/>
      <c r="BP52" s="553">
        <f>AJ52</f>
        <v>50.26162504910581</v>
      </c>
      <c r="BQ52" s="553">
        <f t="shared" ref="BQ52" si="336">AK52</f>
        <v>51.48935701726446</v>
      </c>
      <c r="BR52" s="553">
        <f t="shared" ref="BR52" si="337">AL52</f>
        <v>52.747078580549932</v>
      </c>
      <c r="BS52" s="553">
        <f t="shared" ref="BS52" si="338">AM52</f>
        <v>54.035522289583362</v>
      </c>
      <c r="BT52" s="553">
        <f t="shared" ref="BT52" si="339">AN52</f>
        <v>55.355438588872431</v>
      </c>
      <c r="BU52" s="553">
        <f t="shared" ref="BU52" si="340">AO52</f>
        <v>56.707596253902189</v>
      </c>
      <c r="BV52" s="553">
        <f t="shared" ref="BV52" si="341">AP52</f>
        <v>57.62947302928464</v>
      </c>
      <c r="BW52" s="553">
        <f t="shared" ref="BW52" si="342">AQ52</f>
        <v>58.566336452755358</v>
      </c>
      <c r="BX52" s="553">
        <f t="shared" ref="BX52" si="343">AR52</f>
        <v>59.518430157332254</v>
      </c>
      <c r="BY52" s="553">
        <f t="shared" ref="BY52" si="344">AS52</f>
        <v>60.486001736695236</v>
      </c>
      <c r="BZ52" s="553">
        <f t="shared" ref="BZ52" si="345">AT52</f>
        <v>61.469302809573364</v>
      </c>
      <c r="CA52" s="553">
        <f t="shared" ref="CA52" si="346">AU52</f>
        <v>62.063729889585559</v>
      </c>
      <c r="CB52" s="553">
        <f t="shared" ref="CB52" si="347">AV52</f>
        <v>62.663905262441524</v>
      </c>
      <c r="CC52" s="553">
        <f t="shared" ref="CC52" si="348">AW52</f>
        <v>63.269884515902532</v>
      </c>
      <c r="CD52" s="553">
        <f t="shared" ref="CD52" si="349">AX52</f>
        <v>63.881723775280626</v>
      </c>
      <c r="CE52" s="553">
        <f t="shared" ref="CE52" si="350">AY52</f>
        <v>64.499479708636841</v>
      </c>
      <c r="CF52" s="553">
        <f t="shared" ref="CF52" si="351">AZ52</f>
        <v>65.094437330878407</v>
      </c>
      <c r="CG52" s="553">
        <f t="shared" ref="CG52" si="352">BA52</f>
        <v>65.694882975253819</v>
      </c>
      <c r="CH52" s="553">
        <f t="shared" ref="CH52" si="353">BB52</f>
        <v>66.300867264506323</v>
      </c>
      <c r="CI52" s="553">
        <f t="shared" ref="CI52" si="354">BC52</f>
        <v>66.912441288334634</v>
      </c>
      <c r="CJ52" s="553">
        <f t="shared" ref="CJ52" si="355">BD52</f>
        <v>67.529656607700318</v>
      </c>
      <c r="CK52" s="553">
        <f t="shared" ref="CK52" si="356">BE52</f>
        <v>67.787410884405801</v>
      </c>
      <c r="CL52" s="553">
        <f t="shared" ref="CL52" si="357">BF52</f>
        <v>68.04614898467112</v>
      </c>
      <c r="CM52" s="553">
        <f t="shared" ref="CM52" si="358">BG52</f>
        <v>68.305874663657264</v>
      </c>
      <c r="CN52" s="553">
        <f t="shared" ref="CN52" si="359">BH52</f>
        <v>68.566591690858303</v>
      </c>
      <c r="CO52" s="553">
        <f t="shared" ref="CO52" si="360">BI52</f>
        <v>68.82830385015609</v>
      </c>
      <c r="CP52" s="553">
        <f t="shared" ref="CP52" si="361">BJ52</f>
        <v>69.000592123749101</v>
      </c>
      <c r="CQ52" s="553">
        <f t="shared" ref="CQ52" si="362">BK52</f>
        <v>69.173311662498406</v>
      </c>
      <c r="CR52" s="553">
        <f t="shared" ref="CR52" si="363">BL52</f>
        <v>69.346463545929794</v>
      </c>
      <c r="CS52" s="553">
        <f t="shared" ref="CS52" si="364">BM52</f>
        <v>69.520048856271288</v>
      </c>
      <c r="CT52" s="553">
        <f t="shared" ref="CT52" si="365">BN52</f>
        <v>69.694068678459942</v>
      </c>
    </row>
    <row r="53" spans="1:98" x14ac:dyDescent="0.2">
      <c r="A53" s="1" t="s">
        <v>148</v>
      </c>
      <c r="C53" s="54" t="str">
        <f>'Yearly BTX'!C124</f>
        <v>m Tons</v>
      </c>
      <c r="D53" s="44">
        <f>'Yearly BTX'!D131</f>
        <v>50.26161416242428</v>
      </c>
      <c r="E53" s="44">
        <f>'Yearly BTX'!E131</f>
        <v>50.684630947876343</v>
      </c>
      <c r="F53" s="44">
        <f>'Yearly BTX'!F131</f>
        <v>50.945522779502767</v>
      </c>
      <c r="G53" s="44">
        <f>'Yearly BTX'!G131</f>
        <v>51.251445577609957</v>
      </c>
      <c r="H53" s="44">
        <f>'Yearly BTX'!H131</f>
        <v>51.562218793149562</v>
      </c>
      <c r="I53" s="44">
        <f>'Yearly BTX'!I131</f>
        <v>51.879091360090548</v>
      </c>
      <c r="J53" s="44">
        <f>'Yearly BTX'!J131</f>
        <v>51.763929286813919</v>
      </c>
      <c r="K53" s="44">
        <f>'Yearly BTX'!K131</f>
        <v>51.639233800994525</v>
      </c>
      <c r="L53" s="44">
        <f>'Yearly BTX'!L131</f>
        <v>51.504819921063778</v>
      </c>
      <c r="M53" s="44">
        <f>'Yearly BTX'!M131</f>
        <v>51.360154277927499</v>
      </c>
      <c r="N53" s="44">
        <f>'Yearly BTX'!N131</f>
        <v>51.204069539493098</v>
      </c>
      <c r="O53" s="44">
        <f>'Yearly BTX'!O131</f>
        <v>50.176730815363086</v>
      </c>
      <c r="P53" s="44">
        <f>'Yearly BTX'!P131</f>
        <v>49.135958594785734</v>
      </c>
      <c r="Q53" s="44">
        <f>'Yearly BTX'!Q131</f>
        <v>48.0823768439299</v>
      </c>
      <c r="R53" s="44">
        <f>'Yearly BTX'!R131</f>
        <v>47.016289246470102</v>
      </c>
      <c r="S53" s="44">
        <f>'Yearly BTX'!S131</f>
        <v>45.940091763638797</v>
      </c>
      <c r="T53" s="44">
        <f>'Yearly BTX'!T131</f>
        <v>44.808716922964564</v>
      </c>
      <c r="U53" s="44">
        <f>'Yearly BTX'!U131</f>
        <v>43.662028132668446</v>
      </c>
      <c r="V53" s="44">
        <f>'Yearly BTX'!V131</f>
        <v>42.505811625664577</v>
      </c>
      <c r="W53" s="44">
        <f>'Yearly BTX'!W131</f>
        <v>41.345280701866251</v>
      </c>
      <c r="X53" s="44">
        <f>'Yearly BTX'!X131</f>
        <v>40.184054618759312</v>
      </c>
      <c r="Y53" s="44">
        <f>'Yearly BTX'!Y131</f>
        <v>38.52794271506442</v>
      </c>
      <c r="Z53" s="44">
        <f>'Yearly BTX'!Z131</f>
        <v>36.883756678323238</v>
      </c>
      <c r="AA53" s="44">
        <f>'Yearly BTX'!AA131</f>
        <v>35.254093949906789</v>
      </c>
      <c r="AB53" s="44">
        <f>'Yearly BTX'!AB131</f>
        <v>33.60051837097221</v>
      </c>
      <c r="AC53" s="44">
        <f>'Yearly BTX'!AC131</f>
        <v>31.941307483609769</v>
      </c>
      <c r="AD53" s="44">
        <f>'Yearly BTX'!AD131</f>
        <v>30.230954844415283</v>
      </c>
      <c r="AE53" s="44">
        <f>'Yearly BTX'!AE131</f>
        <v>28.529427868724767</v>
      </c>
      <c r="AF53" s="44">
        <f>'Yearly BTX'!AF131</f>
        <v>26.836242695223614</v>
      </c>
      <c r="AG53" s="44">
        <f>'Yearly BTX'!AG131</f>
        <v>25.15262700731283</v>
      </c>
      <c r="AH53" s="44">
        <f>'Yearly BTX'!AH131</f>
        <v>23.482732950270574</v>
      </c>
      <c r="AI53" s="44"/>
      <c r="AJ53" s="44">
        <f>'Yearly BTX'!AJ131</f>
        <v>50.261618811123405</v>
      </c>
      <c r="AK53" s="44">
        <f>'Yearly BTX'!AK131</f>
        <v>50.959163773908166</v>
      </c>
      <c r="AL53" s="44">
        <f>'Yearly BTX'!AL131</f>
        <v>51.522324509261594</v>
      </c>
      <c r="AM53" s="44">
        <f>'Yearly BTX'!AM131</f>
        <v>52.133206408204352</v>
      </c>
      <c r="AN53" s="44">
        <f>'Yearly BTX'!AN131</f>
        <v>52.760467297453545</v>
      </c>
      <c r="AO53" s="44">
        <f>'Yearly BTX'!AO131</f>
        <v>53.405752524620411</v>
      </c>
      <c r="AP53" s="44">
        <f>'Yearly BTX'!AP131</f>
        <v>53.622179356436057</v>
      </c>
      <c r="AQ53" s="44">
        <f>'Yearly BTX'!AQ131</f>
        <v>53.838421281484244</v>
      </c>
      <c r="AR53" s="44">
        <f>'Yearly BTX'!AR131</f>
        <v>54.05467411345014</v>
      </c>
      <c r="AS53" s="44">
        <f>'Yearly BTX'!AS131</f>
        <v>54.270923774699838</v>
      </c>
      <c r="AT53" s="44">
        <f>'Yearly BTX'!AT131</f>
        <v>54.486752239258983</v>
      </c>
      <c r="AU53" s="44">
        <f>'Yearly BTX'!AU131</f>
        <v>53.887283986812086</v>
      </c>
      <c r="AV53" s="44">
        <f>'Yearly BTX'!AV131</f>
        <v>53.285138083040771</v>
      </c>
      <c r="AW53" s="44">
        <f>'Yearly BTX'!AW131</f>
        <v>52.681437630246855</v>
      </c>
      <c r="AX53" s="44">
        <f>'Yearly BTX'!AX131</f>
        <v>52.076534242172414</v>
      </c>
      <c r="AY53" s="44">
        <f>'Yearly BTX'!AY131</f>
        <v>51.472096076670958</v>
      </c>
      <c r="AZ53" s="44">
        <f>'Yearly BTX'!AZ131</f>
        <v>50.820956035151973</v>
      </c>
      <c r="BA53" s="44">
        <f>'Yearly BTX'!BA131</f>
        <v>50.162043506387711</v>
      </c>
      <c r="BB53" s="44">
        <f>'Yearly BTX'!BB131</f>
        <v>49.499371537525249</v>
      </c>
      <c r="BC53" s="44">
        <f>'Yearly BTX'!BC131</f>
        <v>48.836931545156176</v>
      </c>
      <c r="BD53" s="44">
        <f>'Yearly BTX'!BD131</f>
        <v>48.177879703063823</v>
      </c>
      <c r="BE53" s="44">
        <f>'Yearly BTX'!BE131</f>
        <v>47.036374208525118</v>
      </c>
      <c r="BF53" s="44">
        <f>'Yearly BTX'!BF131</f>
        <v>45.908192883101819</v>
      </c>
      <c r="BG53" s="44">
        <f>'Yearly BTX'!BG131</f>
        <v>44.796646059419636</v>
      </c>
      <c r="BH53" s="44">
        <f>'Yearly BTX'!BH131</f>
        <v>43.698167171257424</v>
      </c>
      <c r="BI53" s="44">
        <f>'Yearly BTX'!BI131</f>
        <v>42.611584206161503</v>
      </c>
      <c r="BJ53" s="44">
        <f>'Yearly BTX'!BJ131</f>
        <v>41.468745650951689</v>
      </c>
      <c r="BK53" s="44">
        <f>'Yearly BTX'!BK131</f>
        <v>40.337092249185389</v>
      </c>
      <c r="BL53" s="44">
        <f>'Yearly BTX'!BL131</f>
        <v>39.214818730186309</v>
      </c>
      <c r="BM53" s="44">
        <f>'Yearly BTX'!BM131</f>
        <v>38.101022800621635</v>
      </c>
      <c r="BN53" s="44">
        <f>'Yearly BTX'!BN131</f>
        <v>36.996858591015354</v>
      </c>
      <c r="BO53" s="44"/>
      <c r="BP53" s="44">
        <f>BP52</f>
        <v>50.26162504910581</v>
      </c>
      <c r="BQ53" s="44">
        <f t="shared" ref="BQ53" si="366">BQ52</f>
        <v>51.48935701726446</v>
      </c>
      <c r="BR53" s="44">
        <f t="shared" ref="BR53" si="367">BR52</f>
        <v>52.747078580549932</v>
      </c>
      <c r="BS53" s="44">
        <f t="shared" ref="BS53" si="368">BS52</f>
        <v>54.035522289583362</v>
      </c>
      <c r="BT53" s="44">
        <f t="shared" ref="BT53" si="369">BT52</f>
        <v>55.355438588872431</v>
      </c>
      <c r="BU53" s="44">
        <f t="shared" ref="BU53" si="370">BU52</f>
        <v>56.707596253902189</v>
      </c>
      <c r="BV53" s="44">
        <f t="shared" ref="BV53" si="371">BV52</f>
        <v>57.62947302928464</v>
      </c>
      <c r="BW53" s="44">
        <f t="shared" ref="BW53" si="372">BW52</f>
        <v>58.566336452755358</v>
      </c>
      <c r="BX53" s="44">
        <f t="shared" ref="BX53" si="373">BX52</f>
        <v>59.518430157332254</v>
      </c>
      <c r="BY53" s="44">
        <f t="shared" ref="BY53" si="374">BY52</f>
        <v>60.486001736695236</v>
      </c>
      <c r="BZ53" s="44">
        <f t="shared" ref="BZ53" si="375">BZ52</f>
        <v>61.469302809573364</v>
      </c>
      <c r="CA53" s="44">
        <f t="shared" ref="CA53" si="376">CA52</f>
        <v>62.063729889585559</v>
      </c>
      <c r="CB53" s="44">
        <f t="shared" ref="CB53" si="377">CB52</f>
        <v>62.663905262441524</v>
      </c>
      <c r="CC53" s="44">
        <f t="shared" ref="CC53" si="378">CC52</f>
        <v>63.269884515902532</v>
      </c>
      <c r="CD53" s="44">
        <f t="shared" ref="CD53" si="379">CD52</f>
        <v>63.881723775280626</v>
      </c>
      <c r="CE53" s="44">
        <f t="shared" ref="CE53" si="380">CE52</f>
        <v>64.499479708636841</v>
      </c>
      <c r="CF53" s="44">
        <f t="shared" ref="CF53" si="381">CF52</f>
        <v>65.094437330878407</v>
      </c>
      <c r="CG53" s="44">
        <f t="shared" ref="CG53" si="382">CG52</f>
        <v>65.694882975253819</v>
      </c>
      <c r="CH53" s="44">
        <f t="shared" ref="CH53" si="383">CH52</f>
        <v>66.300867264506323</v>
      </c>
      <c r="CI53" s="44">
        <f t="shared" ref="CI53" si="384">CI52</f>
        <v>66.912441288334634</v>
      </c>
      <c r="CJ53" s="44">
        <f t="shared" ref="CJ53" si="385">CJ52</f>
        <v>67.529656607700318</v>
      </c>
      <c r="CK53" s="44">
        <f t="shared" ref="CK53" si="386">CK52</f>
        <v>67.787410884405801</v>
      </c>
      <c r="CL53" s="44">
        <f t="shared" ref="CL53" si="387">CL52</f>
        <v>68.04614898467112</v>
      </c>
      <c r="CM53" s="44">
        <f t="shared" ref="CM53" si="388">CM52</f>
        <v>68.305874663657264</v>
      </c>
      <c r="CN53" s="44">
        <f t="shared" ref="CN53" si="389">CN52</f>
        <v>68.566591690858303</v>
      </c>
      <c r="CO53" s="44">
        <f t="shared" ref="CO53" si="390">CO52</f>
        <v>68.82830385015609</v>
      </c>
      <c r="CP53" s="44">
        <f t="shared" ref="CP53" si="391">CP52</f>
        <v>69.000592123749101</v>
      </c>
      <c r="CQ53" s="44">
        <f t="shared" ref="CQ53" si="392">CQ52</f>
        <v>69.173311662498406</v>
      </c>
      <c r="CR53" s="44">
        <f t="shared" ref="CR53" si="393">CR52</f>
        <v>69.346463545929794</v>
      </c>
      <c r="CS53" s="44">
        <f t="shared" ref="CS53" si="394">CS52</f>
        <v>69.520048856271288</v>
      </c>
      <c r="CT53" s="44">
        <f t="shared" ref="CT53" si="395">CT52</f>
        <v>69.694068678459942</v>
      </c>
    </row>
    <row r="54" spans="1:98" x14ac:dyDescent="0.2">
      <c r="A54" s="1" t="s">
        <v>119</v>
      </c>
      <c r="C54" s="54" t="str">
        <f>'Yearly BTX'!C125</f>
        <v>m Tons</v>
      </c>
      <c r="D54" s="44">
        <f>'Yearly BTX'!D125*D53/(D43+D48+D53)</f>
        <v>2.2923602828676839</v>
      </c>
      <c r="E54" s="44">
        <f>'Yearly BTX'!E125*E53/(E43+E48+E53)</f>
        <v>2.5624088058966321</v>
      </c>
      <c r="F54" s="44">
        <f>'Yearly BTX'!F125*F53/(F43+F48+F53)</f>
        <v>2.7933093609207811</v>
      </c>
      <c r="G54" s="44">
        <f>'Yearly BTX'!G125*G53/(G43+G48+G53)</f>
        <v>3.0261983683022926</v>
      </c>
      <c r="H54" s="44">
        <f>'Yearly BTX'!H125*H53/(H43+H48+H53)</f>
        <v>3.2589949956087381</v>
      </c>
      <c r="I54" s="44">
        <f>'Yearly BTX'!I125*I53/(I43+I48+I53)</f>
        <v>3.4898494585988105</v>
      </c>
      <c r="J54" s="44">
        <f>'Yearly BTX'!J125*J53/(J43+J48+J53)</f>
        <v>3.6669445526397357</v>
      </c>
      <c r="K54" s="44">
        <f>'Yearly BTX'!K125*K53/(K43+K48+K53)</f>
        <v>3.8416192162789753</v>
      </c>
      <c r="L54" s="44">
        <f>'Yearly BTX'!L125*L53/(L43+L48+L53)</f>
        <v>4.0130305250442966</v>
      </c>
      <c r="M54" s="44">
        <f>'Yearly BTX'!M125*M53/(M43+M48+M53)</f>
        <v>4.1799592251267645</v>
      </c>
      <c r="N54" s="44">
        <f>'Yearly BTX'!N125*N53/(N43+N48+N53)</f>
        <v>4.340525190438008</v>
      </c>
      <c r="O54" s="44">
        <f>'Yearly BTX'!O125*O53/(O43+O48+O53)</f>
        <v>4.3075798649432828</v>
      </c>
      <c r="P54" s="44">
        <f>'Yearly BTX'!P125*P53/(P43+P48+P53)</f>
        <v>4.2555706819467183</v>
      </c>
      <c r="Q54" s="44">
        <f>'Yearly BTX'!Q125*Q53/(Q43+Q48+Q53)</f>
        <v>4.1816018584605015</v>
      </c>
      <c r="R54" s="44">
        <f>'Yearly BTX'!R125*R53/(R43+R48+R53)</f>
        <v>4.0854568780639502</v>
      </c>
      <c r="S54" s="44">
        <f>'Yearly BTX'!S125*S53/(S43+S48+S53)</f>
        <v>3.967881666364887</v>
      </c>
      <c r="T54" s="44">
        <f>'Yearly BTX'!T125*T53/(T43+T48+T53)</f>
        <v>3.8561590604336935</v>
      </c>
      <c r="U54" s="44">
        <f>'Yearly BTX'!U125*U53/(U43+U48+U53)</f>
        <v>3.737352182249833</v>
      </c>
      <c r="V54" s="44">
        <f>'Yearly BTX'!V125*V53/(V43+V48+V53)</f>
        <v>3.6168792137312606</v>
      </c>
      <c r="W54" s="44">
        <f>'Yearly BTX'!W125*W53/(W43+W48+W53)</f>
        <v>3.4995679061402707</v>
      </c>
      <c r="X54" s="44">
        <f>'Yearly BTX'!X125*X53/(X43+X48+X53)</f>
        <v>3.388632699403654</v>
      </c>
      <c r="Y54" s="44">
        <f>'Yearly BTX'!Y125*Y53/(Y43+Y48+Y53)</f>
        <v>3.1132101058504698</v>
      </c>
      <c r="Z54" s="44">
        <f>'Yearly BTX'!Z125*Z53/(Z43+Z48+Z53)</f>
        <v>2.8552840818809138</v>
      </c>
      <c r="AA54" s="44">
        <f>'Yearly BTX'!AA125*AA53/(AA43+AA48+AA53)</f>
        <v>2.6115672513789532</v>
      </c>
      <c r="AB54" s="44">
        <f>'Yearly BTX'!AB125*AB53/(AB43+AB48+AB53)</f>
        <v>2.547409079688292</v>
      </c>
      <c r="AC54" s="44">
        <f>'Yearly BTX'!AC125*AC53/(AC43+AC48+AC53)</f>
        <v>2.5362659243589487</v>
      </c>
      <c r="AD54" s="44">
        <f>'Yearly BTX'!AD125*AD53/(AD43+AD48+AD53)</f>
        <v>2.5045875469615848</v>
      </c>
      <c r="AE54" s="44">
        <f>'Yearly BTX'!AE125*AE53/(AE43+AE48+AE53)</f>
        <v>2.4535574986881681</v>
      </c>
      <c r="AF54" s="44">
        <f>'Yearly BTX'!AF125*AF53/(AF43+AF48+AF53)</f>
        <v>2.380769391195066</v>
      </c>
      <c r="AG54" s="44">
        <f>'Yearly BTX'!AG125*AG53/(AG43+AG48+AG53)</f>
        <v>2.2854309297531241</v>
      </c>
      <c r="AH54" s="44">
        <f>'Yearly BTX'!AH125*AH53/(AH43+AH48+AH53)</f>
        <v>2.1695713737940059</v>
      </c>
      <c r="AI54" s="44"/>
      <c r="AJ54" s="44">
        <f>'Yearly BTX'!AJ125*AJ53/(AJ43+AJ48+AJ53)</f>
        <v>2.292364931566814</v>
      </c>
      <c r="AK54" s="44">
        <f>'Yearly BTX'!AK125*AK53/(AK43+AK48+AK53)</f>
        <v>2.5678547416600264</v>
      </c>
      <c r="AL54" s="44">
        <f>'Yearly BTX'!AL125*AL53/(AL43+AL48+AL53)</f>
        <v>2.8073955175041467</v>
      </c>
      <c r="AM54" s="44">
        <f>'Yearly BTX'!AM125*AM53/(AM43+AM48+AM53)</f>
        <v>3.049072207990521</v>
      </c>
      <c r="AN54" s="44">
        <f>'Yearly BTX'!AN125*AN53/(AN43+AN48+AN53)</f>
        <v>3.2918642597035759</v>
      </c>
      <c r="AO54" s="44">
        <f>'Yearly BTX'!AO125*AO53/(AO43+AO48+AO53)</f>
        <v>3.5339527818405312</v>
      </c>
      <c r="AP54" s="44">
        <f>'Yearly BTX'!AP125*AP53/(AP43+AP48+AP53)</f>
        <v>3.7596106353767689</v>
      </c>
      <c r="AQ54" s="44">
        <f>'Yearly BTX'!AQ125*AQ53/(AQ43+AQ48+AQ53)</f>
        <v>3.9891837222099249</v>
      </c>
      <c r="AR54" s="44">
        <f>'Yearly BTX'!AR125*AR53/(AR43+AR48+AR53)</f>
        <v>4.2222851305124243</v>
      </c>
      <c r="AS54" s="44">
        <f>'Yearly BTX'!AS125*AS53/(AS43+AS48+AS53)</f>
        <v>4.4582822904428525</v>
      </c>
      <c r="AT54" s="44">
        <f>'Yearly BTX'!AT125*AT53/(AT43+AT48+AT53)</f>
        <v>4.6961028527334481</v>
      </c>
      <c r="AU54" s="44">
        <f>'Yearly BTX'!AU125*AU53/(AU43+AU48+AU53)</f>
        <v>4.7645916378082127</v>
      </c>
      <c r="AV54" s="44">
        <f>'Yearly BTX'!AV125*AV53/(AV43+AV48+AV53)</f>
        <v>4.8244080667028779</v>
      </c>
      <c r="AW54" s="44">
        <f>'Yearly BTX'!AW125*AW53/(AW43+AW48+AW53)</f>
        <v>4.8739770750026485</v>
      </c>
      <c r="AX54" s="44">
        <f>'Yearly BTX'!AX125*AX53/(AX43+AX48+AX53)</f>
        <v>4.9116204839901387</v>
      </c>
      <c r="AY54" s="44">
        <f>'Yearly BTX'!AY125*AY53/(AY43+AY48+AY53)</f>
        <v>4.9368158016220205</v>
      </c>
      <c r="AZ54" s="44">
        <f>'Yearly BTX'!AZ125*AZ53/(AZ43+AZ48+AZ53)</f>
        <v>4.9629328970704814</v>
      </c>
      <c r="BA54" s="44">
        <f>'Yearly BTX'!BA125*BA53/(BA43+BA48+BA53)</f>
        <v>4.9882494105666613</v>
      </c>
      <c r="BB54" s="44">
        <f>'Yearly BTX'!BB125*BB53/(BB43+BB48+BB53)</f>
        <v>5.0164496030313446</v>
      </c>
      <c r="BC54" s="44">
        <f>'Yearly BTX'!BC125*BC53/(BC43+BC48+BC53)</f>
        <v>5.051175124359041</v>
      </c>
      <c r="BD54" s="44">
        <f>'Yearly BTX'!BD125*BD53/(BD43+BD48+BD53)</f>
        <v>5.0952094175802021</v>
      </c>
      <c r="BE54" s="44">
        <f>'Yearly BTX'!BE125*BE53/(BE43+BE48+BE53)</f>
        <v>4.9671614195624905</v>
      </c>
      <c r="BF54" s="44">
        <f>'Yearly BTX'!BF125*BF53/(BF43+BF48+BF53)</f>
        <v>4.8588249294124708</v>
      </c>
      <c r="BG54" s="44">
        <f>'Yearly BTX'!BG125*BG53/(BG43+BG48+BG53)</f>
        <v>4.7713425507186749</v>
      </c>
      <c r="BH54" s="44">
        <f>'Yearly BTX'!BH125*BH53/(BH43+BH48+BH53)</f>
        <v>4.7021860618154241</v>
      </c>
      <c r="BI54" s="44">
        <f>'Yearly BTX'!BI125*BI53/(BI43+BI48+BI53)</f>
        <v>4.6496405398911289</v>
      </c>
      <c r="BJ54" s="44">
        <f>'Yearly BTX'!BJ125*BJ53/(BJ43+BJ48+BJ53)</f>
        <v>4.6167280918688158</v>
      </c>
      <c r="BK54" s="44">
        <f>'Yearly BTX'!BK125*BK53/(BK43+BK48+BK53)</f>
        <v>4.5978072163360784</v>
      </c>
      <c r="BL54" s="44">
        <f>'Yearly BTX'!BL125*BL53/(BL43+BL48+BL53)</f>
        <v>4.5903776660646463</v>
      </c>
      <c r="BM54" s="44">
        <f>'Yearly BTX'!BM125*BM53/(BM43+BM48+BM53)</f>
        <v>4.5927851817372805</v>
      </c>
      <c r="BN54" s="44">
        <f>'Yearly BTX'!BN125*BN53/(BN43+BN48+BN53)</f>
        <v>4.6053689382281497</v>
      </c>
      <c r="BO54" s="44"/>
      <c r="BP54" s="44">
        <f>'Yearly BTX'!BP125*BP53/(BP43+BP48+BP53)</f>
        <v>0</v>
      </c>
      <c r="BQ54" s="44">
        <f>'Yearly BTX'!BQ125*BQ53/(BQ43+BQ48+BQ53)</f>
        <v>0</v>
      </c>
      <c r="BR54" s="44">
        <f>'Yearly BTX'!BR125*BR53/(BR43+BR48+BR53)</f>
        <v>0</v>
      </c>
      <c r="BS54" s="44">
        <f>'Yearly BTX'!BS125*BS53/(BS43+BS48+BS53)</f>
        <v>0</v>
      </c>
      <c r="BT54" s="44">
        <f>'Yearly BTX'!BT125*BT53/(BT43+BT48+BT53)</f>
        <v>0</v>
      </c>
      <c r="BU54" s="44">
        <f>'Yearly BTX'!BU125*BU53/(BU43+BU48+BU53)</f>
        <v>0</v>
      </c>
      <c r="BV54" s="44">
        <f>'Yearly BTX'!BV125*BV53/(BV43+BV48+BV53)</f>
        <v>0</v>
      </c>
      <c r="BW54" s="44">
        <f>'Yearly BTX'!BW125*BW53/(BW43+BW48+BW53)</f>
        <v>0</v>
      </c>
      <c r="BX54" s="44">
        <f>'Yearly BTX'!BX125*BX53/(BX43+BX48+BX53)</f>
        <v>0</v>
      </c>
      <c r="BY54" s="44">
        <f>'Yearly BTX'!BY125*BY53/(BY43+BY48+BY53)</f>
        <v>0</v>
      </c>
      <c r="BZ54" s="44">
        <f>'Yearly BTX'!BZ125*BZ53/(BZ43+BZ48+BZ53)</f>
        <v>0</v>
      </c>
      <c r="CA54" s="44">
        <f>'Yearly BTX'!CA125*CA53/(CA43+CA48+CA53)</f>
        <v>0</v>
      </c>
      <c r="CB54" s="44">
        <f>'Yearly BTX'!CB125*CB53/(CB43+CB48+CB53)</f>
        <v>0</v>
      </c>
      <c r="CC54" s="44">
        <f>'Yearly BTX'!CC125*CC53/(CC43+CC48+CC53)</f>
        <v>0</v>
      </c>
      <c r="CD54" s="44">
        <f>'Yearly BTX'!CD125*CD53/(CD43+CD48+CD53)</f>
        <v>0</v>
      </c>
      <c r="CE54" s="44">
        <f>'Yearly BTX'!CE125*CE53/(CE43+CE48+CE53)</f>
        <v>0</v>
      </c>
      <c r="CF54" s="44">
        <f>'Yearly BTX'!CF125*CF53/(CF43+CF48+CF53)</f>
        <v>0</v>
      </c>
      <c r="CG54" s="44">
        <f>'Yearly BTX'!CG125*CG53/(CG43+CG48+CG53)</f>
        <v>0</v>
      </c>
      <c r="CH54" s="44">
        <f>'Yearly BTX'!CH125*CH53/(CH43+CH48+CH53)</f>
        <v>0</v>
      </c>
      <c r="CI54" s="44">
        <f>'Yearly BTX'!CI125*CI53/(CI43+CI48+CI53)</f>
        <v>0</v>
      </c>
      <c r="CJ54" s="44">
        <f>'Yearly BTX'!CJ125*CJ53/(CJ43+CJ48+CJ53)</f>
        <v>0</v>
      </c>
      <c r="CK54" s="44">
        <f>'Yearly BTX'!CK125*CK53/(CK43+CK48+CK53)</f>
        <v>0</v>
      </c>
      <c r="CL54" s="44">
        <f>'Yearly BTX'!CL125*CL53/(CL43+CL48+CL53)</f>
        <v>0</v>
      </c>
      <c r="CM54" s="44">
        <f>'Yearly BTX'!CM125*CM53/(CM43+CM48+CM53)</f>
        <v>0</v>
      </c>
      <c r="CN54" s="44">
        <f>'Yearly BTX'!CN125*CN53/(CN43+CN48+CN53)</f>
        <v>0</v>
      </c>
      <c r="CO54" s="44">
        <f>'Yearly BTX'!CO125*CO53/(CO43+CO48+CO53)</f>
        <v>0</v>
      </c>
      <c r="CP54" s="44">
        <f>'Yearly BTX'!CP125*CP53/(CP43+CP48+CP53)</f>
        <v>0</v>
      </c>
      <c r="CQ54" s="44">
        <f>'Yearly BTX'!CQ125*CQ53/(CQ43+CQ48+CQ53)</f>
        <v>0</v>
      </c>
      <c r="CR54" s="44">
        <f>'Yearly BTX'!CR125*CR53/(CR43+CR48+CR53)</f>
        <v>0</v>
      </c>
      <c r="CS54" s="44">
        <f>'Yearly BTX'!CS125*CS53/(CS43+CS48+CS53)</f>
        <v>0</v>
      </c>
      <c r="CT54" s="44">
        <f>'Yearly BTX'!CT125*CT53/(CT43+CT48+CT53)</f>
        <v>0</v>
      </c>
    </row>
    <row r="55" spans="1:98" x14ac:dyDescent="0.2">
      <c r="D55" s="44"/>
      <c r="E55" s="44"/>
      <c r="F55" s="44"/>
      <c r="G55" s="44"/>
      <c r="H55" s="44"/>
      <c r="I55" s="44"/>
      <c r="J55" s="44"/>
      <c r="K55" s="44"/>
      <c r="L55" s="44"/>
      <c r="M55" s="44"/>
      <c r="N55" s="44"/>
      <c r="O55" s="44"/>
      <c r="P55" s="44"/>
      <c r="Q55" s="44"/>
      <c r="R55" s="44"/>
      <c r="S55" s="44"/>
      <c r="T55" s="44"/>
      <c r="U55" s="44"/>
      <c r="V55" s="44"/>
      <c r="W55" s="44"/>
      <c r="X55" s="44"/>
      <c r="Y55" s="44"/>
      <c r="Z55" s="44"/>
      <c r="AA55" s="44"/>
      <c r="AB55" s="44"/>
      <c r="AC55" s="44"/>
      <c r="AD55" s="44"/>
      <c r="AE55" s="44"/>
      <c r="AF55" s="44"/>
      <c r="AG55" s="44"/>
      <c r="AH55" s="44"/>
      <c r="AI55" s="44"/>
      <c r="AJ55" s="44"/>
      <c r="AK55" s="44"/>
      <c r="AL55" s="44"/>
      <c r="AM55" s="44"/>
      <c r="AN55" s="44"/>
      <c r="AO55" s="44"/>
      <c r="AP55" s="44"/>
      <c r="AQ55" s="44"/>
      <c r="AR55" s="44"/>
      <c r="AS55" s="44"/>
      <c r="AT55" s="44"/>
      <c r="AU55" s="44"/>
      <c r="AV55" s="44"/>
      <c r="AW55" s="44"/>
      <c r="AX55" s="44"/>
      <c r="AY55" s="44"/>
      <c r="AZ55" s="44"/>
      <c r="BA55" s="44"/>
      <c r="BB55" s="44"/>
      <c r="BC55" s="44"/>
      <c r="BD55" s="44"/>
      <c r="BE55" s="44"/>
      <c r="BF55" s="44"/>
      <c r="BG55" s="44"/>
      <c r="BH55" s="44"/>
      <c r="BI55" s="44"/>
      <c r="BJ55" s="44"/>
      <c r="BK55" s="44"/>
      <c r="BL55" s="44"/>
      <c r="BM55" s="44"/>
      <c r="BN55" s="44"/>
      <c r="BO55" s="44"/>
      <c r="BP55" s="44"/>
      <c r="BQ55" s="44"/>
      <c r="BR55" s="44"/>
      <c r="BS55" s="44"/>
      <c r="BT55" s="44"/>
      <c r="BU55" s="44"/>
      <c r="BV55" s="44"/>
      <c r="BW55" s="44"/>
      <c r="BX55" s="44"/>
      <c r="BY55" s="44"/>
      <c r="BZ55" s="44"/>
      <c r="CA55" s="44"/>
      <c r="CB55" s="44"/>
      <c r="CC55" s="44"/>
      <c r="CD55" s="44"/>
      <c r="CE55" s="44"/>
      <c r="CF55" s="44"/>
      <c r="CG55" s="44"/>
      <c r="CH55" s="44"/>
      <c r="CI55" s="44"/>
      <c r="CJ55" s="44"/>
      <c r="CK55" s="44"/>
      <c r="CL55" s="44"/>
      <c r="CM55" s="44"/>
      <c r="CN55" s="44"/>
      <c r="CO55" s="44"/>
      <c r="CP55" s="44"/>
      <c r="CQ55" s="44"/>
      <c r="CR55" s="44"/>
      <c r="CS55" s="44"/>
      <c r="CT55" s="44"/>
    </row>
    <row r="56" spans="1:98" s="52" customFormat="1" ht="16" thickBot="1" x14ac:dyDescent="0.25">
      <c r="A56" s="52" t="s">
        <v>10</v>
      </c>
      <c r="C56" s="635"/>
    </row>
    <row r="57" spans="1:98" s="554" customFormat="1" x14ac:dyDescent="0.2">
      <c r="A57" s="550" t="s">
        <v>149</v>
      </c>
      <c r="B57" s="551"/>
      <c r="C57" s="552" t="str">
        <f>'Yearly HC Propylene'!C29</f>
        <v>m Tons</v>
      </c>
      <c r="D57" s="553">
        <f>'Yearly Butadiene'!D4</f>
        <v>14.947368421052632</v>
      </c>
      <c r="E57" s="553">
        <f>'Yearly Butadiene'!E4</f>
        <v>15.331407031113367</v>
      </c>
      <c r="F57" s="553">
        <f>'Yearly Butadiene'!F4</f>
        <v>15.725312639154138</v>
      </c>
      <c r="G57" s="553">
        <f>'Yearly Butadiene'!G4</f>
        <v>16.129338755229892</v>
      </c>
      <c r="H57" s="553">
        <f>'Yearly Butadiene'!H4</f>
        <v>16.543745402759424</v>
      </c>
      <c r="I57" s="553">
        <f>'Yearly Butadiene'!I4</f>
        <v>16.968799285871444</v>
      </c>
      <c r="J57" s="553">
        <f>'Yearly Butadiene'!J4</f>
        <v>17.381667623855559</v>
      </c>
      <c r="K57" s="553">
        <f>'Yearly Butadiene'!K4</f>
        <v>17.804581473112339</v>
      </c>
      <c r="L57" s="553">
        <f>'Yearly Butadiene'!L4</f>
        <v>18.237785251262231</v>
      </c>
      <c r="M57" s="553">
        <f>'Yearly Butadiene'!M4</f>
        <v>18.681529322857759</v>
      </c>
      <c r="N57" s="553">
        <f>'Yearly Butadiene'!N4</f>
        <v>19.136070144078495</v>
      </c>
      <c r="O57" s="553">
        <f>'Yearly Butadiene'!O4</f>
        <v>19.545918749372461</v>
      </c>
      <c r="P57" s="553">
        <f>'Yearly Butadiene'!P4</f>
        <v>19.964545326214225</v>
      </c>
      <c r="Q57" s="553">
        <f>'Yearly Butadiene'!Q4</f>
        <v>20.392137877645641</v>
      </c>
      <c r="R57" s="553">
        <f>'Yearly Butadiene'!R4</f>
        <v>20.82888843328162</v>
      </c>
      <c r="S57" s="553">
        <f>'Yearly Butadiene'!S4</f>
        <v>21.274993135549639</v>
      </c>
      <c r="T57" s="553">
        <f>'Yearly Butadiene'!T4</f>
        <v>21.525497628002075</v>
      </c>
      <c r="U57" s="553">
        <f>'Yearly Butadiene'!U4</f>
        <v>21.778951710160086</v>
      </c>
      <c r="V57" s="553">
        <f>'Yearly Butadiene'!V4</f>
        <v>22.035390112256838</v>
      </c>
      <c r="W57" s="553">
        <f>'Yearly Butadiene'!W4</f>
        <v>22.29484797346003</v>
      </c>
      <c r="X57" s="553">
        <f>'Yearly Butadiene'!X4</f>
        <v>22.557360846686933</v>
      </c>
      <c r="Y57" s="553">
        <f>'Yearly Butadiene'!Y4</f>
        <v>22.802623116794138</v>
      </c>
      <c r="Z57" s="553">
        <f>'Yearly Butadiene'!Z4</f>
        <v>23.050552081003854</v>
      </c>
      <c r="AA57" s="553">
        <f>'Yearly Butadiene'!AA4</f>
        <v>23.301176733818313</v>
      </c>
      <c r="AB57" s="553">
        <f>'Yearly Butadiene'!AB4</f>
        <v>23.554526384991924</v>
      </c>
      <c r="AC57" s="553">
        <f>'Yearly Butadiene'!AC4</f>
        <v>23.810630662958982</v>
      </c>
      <c r="AD57" s="553">
        <f>'Yearly Butadiene'!AD4</f>
        <v>24.054451507660676</v>
      </c>
      <c r="AE57" s="553">
        <f>'Yearly Butadiene'!AE4</f>
        <v>24.300769077676058</v>
      </c>
      <c r="AF57" s="553">
        <f>'Yearly Butadiene'!AF4</f>
        <v>24.549608939470946</v>
      </c>
      <c r="AG57" s="553">
        <f>'Yearly Butadiene'!AG4</f>
        <v>24.800996921311754</v>
      </c>
      <c r="AH57" s="553">
        <f>'Yearly Butadiene'!AH4</f>
        <v>25.054959115946328</v>
      </c>
      <c r="AI57" s="553"/>
      <c r="AJ57" s="553">
        <f>'Yearly Butadiene'!AJ4</f>
        <v>14.947368421052632</v>
      </c>
      <c r="AK57" s="553">
        <f>'Yearly Butadiene'!AK4</f>
        <v>15.331407031113367</v>
      </c>
      <c r="AL57" s="553">
        <f>'Yearly Butadiene'!AL4</f>
        <v>15.725312639154138</v>
      </c>
      <c r="AM57" s="553">
        <f>'Yearly Butadiene'!AM4</f>
        <v>16.129338755229892</v>
      </c>
      <c r="AN57" s="553">
        <f>'Yearly Butadiene'!AN4</f>
        <v>16.543745402759424</v>
      </c>
      <c r="AO57" s="553">
        <f>'Yearly Butadiene'!AO4</f>
        <v>16.968799285871444</v>
      </c>
      <c r="AP57" s="553">
        <f>'Yearly Butadiene'!AP4</f>
        <v>17.381667623855559</v>
      </c>
      <c r="AQ57" s="553">
        <f>'Yearly Butadiene'!AQ4</f>
        <v>17.804581473112339</v>
      </c>
      <c r="AR57" s="553">
        <f>'Yearly Butadiene'!AR4</f>
        <v>18.237785251262231</v>
      </c>
      <c r="AS57" s="553">
        <f>'Yearly Butadiene'!AS4</f>
        <v>18.681529322857759</v>
      </c>
      <c r="AT57" s="553">
        <f>'Yearly Butadiene'!AT4</f>
        <v>19.136070144078495</v>
      </c>
      <c r="AU57" s="553">
        <f>'Yearly Butadiene'!AU4</f>
        <v>19.545918749372461</v>
      </c>
      <c r="AV57" s="553">
        <f>'Yearly Butadiene'!AV4</f>
        <v>19.964545326214225</v>
      </c>
      <c r="AW57" s="553">
        <f>'Yearly Butadiene'!AW4</f>
        <v>20.392137877645641</v>
      </c>
      <c r="AX57" s="553">
        <f>'Yearly Butadiene'!AX4</f>
        <v>20.82888843328162</v>
      </c>
      <c r="AY57" s="553">
        <f>'Yearly Butadiene'!AY4</f>
        <v>21.274993135549639</v>
      </c>
      <c r="AZ57" s="553">
        <f>'Yearly Butadiene'!AZ4</f>
        <v>21.525497628002075</v>
      </c>
      <c r="BA57" s="553">
        <f>'Yearly Butadiene'!BA4</f>
        <v>21.778951710160086</v>
      </c>
      <c r="BB57" s="553">
        <f>'Yearly Butadiene'!BB4</f>
        <v>22.035390112256838</v>
      </c>
      <c r="BC57" s="553">
        <f>'Yearly Butadiene'!BC4</f>
        <v>22.29484797346003</v>
      </c>
      <c r="BD57" s="553">
        <f>'Yearly Butadiene'!BD4</f>
        <v>22.557360846686933</v>
      </c>
      <c r="BE57" s="553">
        <f>'Yearly Butadiene'!BE4</f>
        <v>22.802623116794138</v>
      </c>
      <c r="BF57" s="553">
        <f>'Yearly Butadiene'!BF4</f>
        <v>23.050552081003854</v>
      </c>
      <c r="BG57" s="553">
        <f>'Yearly Butadiene'!BG4</f>
        <v>23.301176733818313</v>
      </c>
      <c r="BH57" s="553">
        <f>'Yearly Butadiene'!BH4</f>
        <v>23.554526384991924</v>
      </c>
      <c r="BI57" s="553">
        <f>'Yearly Butadiene'!BI4</f>
        <v>23.810630662958982</v>
      </c>
      <c r="BJ57" s="553">
        <f>'Yearly Butadiene'!BJ4</f>
        <v>24.054451507660676</v>
      </c>
      <c r="BK57" s="553">
        <f>'Yearly Butadiene'!BK4</f>
        <v>24.300769077676058</v>
      </c>
      <c r="BL57" s="553">
        <f>'Yearly Butadiene'!BL4</f>
        <v>24.549608939470946</v>
      </c>
      <c r="BM57" s="553">
        <f>'Yearly Butadiene'!BM4</f>
        <v>24.800996921311754</v>
      </c>
      <c r="BN57" s="553">
        <f>'Yearly Butadiene'!BN4</f>
        <v>25.054959115946328</v>
      </c>
      <c r="BO57" s="553"/>
      <c r="BP57" s="553">
        <f>'Yearly Butadiene'!BP4</f>
        <v>0</v>
      </c>
      <c r="BQ57" s="553">
        <f>'Yearly Butadiene'!BQ4</f>
        <v>0</v>
      </c>
      <c r="BR57" s="553">
        <f>'Yearly Butadiene'!BR4</f>
        <v>0</v>
      </c>
      <c r="BS57" s="553">
        <f>'Yearly Butadiene'!BS4</f>
        <v>0</v>
      </c>
      <c r="BT57" s="553">
        <f>'Yearly Butadiene'!BT4</f>
        <v>0</v>
      </c>
      <c r="BU57" s="553">
        <f>'Yearly Butadiene'!BU4</f>
        <v>0</v>
      </c>
      <c r="BV57" s="553">
        <f>'Yearly Butadiene'!BV4</f>
        <v>0</v>
      </c>
      <c r="BW57" s="553">
        <f>'Yearly Butadiene'!BW4</f>
        <v>0</v>
      </c>
      <c r="BX57" s="553">
        <f>'Yearly Butadiene'!BX4</f>
        <v>0</v>
      </c>
      <c r="BY57" s="553">
        <f>'Yearly Butadiene'!BY4</f>
        <v>0</v>
      </c>
      <c r="BZ57" s="553">
        <f>AJ57</f>
        <v>14.947368421052632</v>
      </c>
      <c r="CA57" s="553">
        <f t="shared" ref="CA57:CT57" si="396">AK57</f>
        <v>15.331407031113367</v>
      </c>
      <c r="CB57" s="553">
        <f t="shared" si="396"/>
        <v>15.725312639154138</v>
      </c>
      <c r="CC57" s="553">
        <f t="shared" si="396"/>
        <v>16.129338755229892</v>
      </c>
      <c r="CD57" s="553">
        <f t="shared" si="396"/>
        <v>16.543745402759424</v>
      </c>
      <c r="CE57" s="553">
        <f t="shared" si="396"/>
        <v>16.968799285871444</v>
      </c>
      <c r="CF57" s="553">
        <f t="shared" si="396"/>
        <v>17.381667623855559</v>
      </c>
      <c r="CG57" s="553">
        <f t="shared" si="396"/>
        <v>17.804581473112339</v>
      </c>
      <c r="CH57" s="553">
        <f t="shared" si="396"/>
        <v>18.237785251262231</v>
      </c>
      <c r="CI57" s="553">
        <f t="shared" si="396"/>
        <v>18.681529322857759</v>
      </c>
      <c r="CJ57" s="553">
        <f t="shared" si="396"/>
        <v>19.136070144078495</v>
      </c>
      <c r="CK57" s="553">
        <f t="shared" si="396"/>
        <v>19.545918749372461</v>
      </c>
      <c r="CL57" s="553">
        <f t="shared" si="396"/>
        <v>19.964545326214225</v>
      </c>
      <c r="CM57" s="553">
        <f t="shared" si="396"/>
        <v>20.392137877645641</v>
      </c>
      <c r="CN57" s="553">
        <f t="shared" si="396"/>
        <v>20.82888843328162</v>
      </c>
      <c r="CO57" s="553">
        <f t="shared" si="396"/>
        <v>21.274993135549639</v>
      </c>
      <c r="CP57" s="553">
        <f t="shared" si="396"/>
        <v>21.525497628002075</v>
      </c>
      <c r="CQ57" s="553">
        <f t="shared" si="396"/>
        <v>21.778951710160086</v>
      </c>
      <c r="CR57" s="553">
        <f t="shared" si="396"/>
        <v>22.035390112256838</v>
      </c>
      <c r="CS57" s="553">
        <f t="shared" si="396"/>
        <v>22.29484797346003</v>
      </c>
      <c r="CT57" s="553">
        <f t="shared" si="396"/>
        <v>22.557360846686933</v>
      </c>
    </row>
    <row r="58" spans="1:98" x14ac:dyDescent="0.2">
      <c r="A58" s="1" t="s">
        <v>150</v>
      </c>
      <c r="C58" s="54" t="str">
        <f>'Yearly Butadiene'!C76</f>
        <v>m Tons</v>
      </c>
      <c r="D58" s="44">
        <f>'Yearly Butadiene'!D76</f>
        <v>14.947368421052632</v>
      </c>
      <c r="E58" s="44">
        <f>'Yearly Butadiene'!E76</f>
        <v>15.16744253073994</v>
      </c>
      <c r="F58" s="44">
        <f>'Yearly Butadiene'!F76</f>
        <v>15.389761176937062</v>
      </c>
      <c r="G58" s="44">
        <f>'Yearly Butadiene'!G76</f>
        <v>15.614617031012363</v>
      </c>
      <c r="H58" s="44">
        <f>'Yearly Butadiene'!H76</f>
        <v>15.842330388744434</v>
      </c>
      <c r="I58" s="44">
        <f>'Yearly Butadiene'!I76</f>
        <v>16.073239899616141</v>
      </c>
      <c r="J58" s="44">
        <f>'Yearly Butadiene'!J76</f>
        <v>16.284279266839278</v>
      </c>
      <c r="K58" s="44">
        <f>'Yearly Butadiene'!K76</f>
        <v>16.496826204565565</v>
      </c>
      <c r="L58" s="44">
        <f>'Yearly Butadiene'!L76</f>
        <v>16.710800140366754</v>
      </c>
      <c r="M58" s="44">
        <f>'Yearly Butadiene'!M76</f>
        <v>16.926039036169009</v>
      </c>
      <c r="N58" s="44">
        <f>'Yearly Butadiene'!N76</f>
        <v>17.145668095397166</v>
      </c>
      <c r="O58" s="44">
        <f>'Yearly Butadiene'!O76</f>
        <v>17.206567869857583</v>
      </c>
      <c r="P58" s="44">
        <f>'Yearly Butadiene'!P76</f>
        <v>17.267987214320954</v>
      </c>
      <c r="Q58" s="44">
        <f>'Yearly Butadiene'!Q76</f>
        <v>17.33078721729504</v>
      </c>
      <c r="R58" s="44">
        <f>'Yearly Butadiene'!R76</f>
        <v>17.390115214018234</v>
      </c>
      <c r="S58" s="44">
        <f>'Yearly Butadiene'!S76</f>
        <v>17.445884079320436</v>
      </c>
      <c r="T58" s="44">
        <f>'Yearly Butadiene'!T76</f>
        <v>17.312971582121538</v>
      </c>
      <c r="U58" s="44">
        <f>'Yearly Butadiene'!U76</f>
        <v>17.172364618874244</v>
      </c>
      <c r="V58" s="44">
        <f>'Yearly Butadiene'!V76</f>
        <v>17.025276584622642</v>
      </c>
      <c r="W58" s="44">
        <f>'Yearly Butadiene'!W76</f>
        <v>16.87293029747994</v>
      </c>
      <c r="X58" s="44">
        <f>'Yearly Butadiene'!X76</f>
        <v>16.864432332244352</v>
      </c>
      <c r="Y58" s="44">
        <f>'Yearly Butadiene'!Y76</f>
        <v>16.355134956926115</v>
      </c>
      <c r="Z58" s="44">
        <f>'Yearly Butadiene'!Z76</f>
        <v>15.985439135584036</v>
      </c>
      <c r="AA58" s="44">
        <f>'Yearly Butadiene'!AA76</f>
        <v>15.623478904969977</v>
      </c>
      <c r="AB58" s="44">
        <f>'Yearly Butadiene'!AB76</f>
        <v>15.25220059721677</v>
      </c>
      <c r="AC58" s="44">
        <f>'Yearly Butadiene'!AC76</f>
        <v>14.870367346943304</v>
      </c>
      <c r="AD58" s="44">
        <f>'Yearly Butadiene'!AD76</f>
        <v>14.464037762945059</v>
      </c>
      <c r="AE58" s="44">
        <f>'Yearly Butadiene'!AE76</f>
        <v>14.043652117614268</v>
      </c>
      <c r="AF58" s="44">
        <f>'Yearly Butadiene'!AF76</f>
        <v>13.607324277593836</v>
      </c>
      <c r="AG58" s="44">
        <f>'Yearly Butadiene'!AG76</f>
        <v>13.153641998791672</v>
      </c>
      <c r="AH58" s="44">
        <f>'Yearly Butadiene'!AH76</f>
        <v>13.066196717936394</v>
      </c>
      <c r="AI58" s="44"/>
      <c r="AJ58" s="44">
        <f>'Yearly Butadiene'!AJ76</f>
        <v>14.947368421052632</v>
      </c>
      <c r="AK58" s="44">
        <f>'Yearly Butadiene'!AK76</f>
        <v>15.229458198112054</v>
      </c>
      <c r="AL58" s="44">
        <f>'Yearly Butadiene'!AL76</f>
        <v>15.516718735908389</v>
      </c>
      <c r="AM58" s="44">
        <f>'Yearly Butadiene'!AM76</f>
        <v>15.809549893456477</v>
      </c>
      <c r="AN58" s="44">
        <f>'Yearly Butadiene'!AN76</f>
        <v>16.108382715489856</v>
      </c>
      <c r="AO58" s="44">
        <f>'Yearly Butadiene'!AO76</f>
        <v>16.413670268741889</v>
      </c>
      <c r="AP58" s="44">
        <f>'Yearly Butadiene'!AP76</f>
        <v>16.702006207044455</v>
      </c>
      <c r="AQ58" s="44">
        <f>'Yearly Butadiene'!AQ76</f>
        <v>16.995167782497354</v>
      </c>
      <c r="AR58" s="44">
        <f>'Yearly Butadiene'!AR76</f>
        <v>17.293185501697586</v>
      </c>
      <c r="AS58" s="44">
        <f>'Yearly Butadiene'!AS76</f>
        <v>17.59600896569766</v>
      </c>
      <c r="AT58" s="44">
        <f>'Yearly Butadiene'!AT76</f>
        <v>17.906937182609944</v>
      </c>
      <c r="AU58" s="44">
        <f>'Yearly Butadiene'!AU76</f>
        <v>18.111551000082926</v>
      </c>
      <c r="AV58" s="44">
        <f>'Yearly Butadiene'!AV76</f>
        <v>18.321547227378669</v>
      </c>
      <c r="AW58" s="44">
        <f>'Yearly Butadiene'!AW76</f>
        <v>18.537864428385763</v>
      </c>
      <c r="AX58" s="44">
        <f>'Yearly Butadiene'!AX76</f>
        <v>18.755688244852248</v>
      </c>
      <c r="AY58" s="44">
        <f>'Yearly Butadiene'!AY76</f>
        <v>18.97500495934942</v>
      </c>
      <c r="AZ58" s="44">
        <f>'Yearly Butadiene'!AZ76</f>
        <v>18.999968559977294</v>
      </c>
      <c r="BA58" s="44">
        <f>'Yearly Butadiene'!BA76</f>
        <v>19.020793505924086</v>
      </c>
      <c r="BB58" s="44">
        <f>'Yearly Butadiene'!BB76</f>
        <v>19.038796116262166</v>
      </c>
      <c r="BC58" s="44">
        <f>'Yearly Butadiene'!BC76</f>
        <v>19.055329401766731</v>
      </c>
      <c r="BD58" s="44">
        <f>'Yearly Butadiene'!BD76</f>
        <v>19.229698420626878</v>
      </c>
      <c r="BE58" s="44">
        <f>'Yearly Butadiene'!BE76</f>
        <v>18.977106204753813</v>
      </c>
      <c r="BF58" s="44">
        <f>'Yearly Butadiene'!BF76</f>
        <v>18.880658546985369</v>
      </c>
      <c r="BG58" s="44">
        <f>'Yearly Butadiene'!BG76</f>
        <v>18.798712329655785</v>
      </c>
      <c r="BH58" s="44">
        <f>'Yearly Butadiene'!BH76</f>
        <v>18.714257542607623</v>
      </c>
      <c r="BI58" s="44">
        <f>'Yearly Butadiene'!BI76</f>
        <v>18.62609818760577</v>
      </c>
      <c r="BJ58" s="44">
        <f>'Yearly Butadiene'!BJ76</f>
        <v>18.518913449153096</v>
      </c>
      <c r="BK58" s="44">
        <f>'Yearly Butadiene'!BK76</f>
        <v>18.404292217721526</v>
      </c>
      <c r="BL58" s="44">
        <f>'Yearly Butadiene'!BL76</f>
        <v>18.280231275432055</v>
      </c>
      <c r="BM58" s="44">
        <f>'Yearly Butadiene'!BM76</f>
        <v>18.145220005478759</v>
      </c>
      <c r="BN58" s="44">
        <f>'Yearly Butadiene'!BN76</f>
        <v>18.43038786364864</v>
      </c>
      <c r="BO58" s="44"/>
      <c r="BP58" s="44">
        <f>'Yearly Butadiene'!BP76</f>
        <v>0</v>
      </c>
      <c r="BQ58" s="44">
        <f>'Yearly Butadiene'!BQ76</f>
        <v>0</v>
      </c>
      <c r="BR58" s="44">
        <f>'Yearly Butadiene'!BR76</f>
        <v>0</v>
      </c>
      <c r="BS58" s="44">
        <f>'Yearly Butadiene'!BS76</f>
        <v>0</v>
      </c>
      <c r="BT58" s="44">
        <f>'Yearly Butadiene'!BT76</f>
        <v>0</v>
      </c>
      <c r="BU58" s="44">
        <f>'Yearly Butadiene'!BU76</f>
        <v>0</v>
      </c>
      <c r="BV58" s="44">
        <f>'Yearly Butadiene'!BV76</f>
        <v>0</v>
      </c>
      <c r="BW58" s="44">
        <f>'Yearly Butadiene'!BW76</f>
        <v>0</v>
      </c>
      <c r="BX58" s="44">
        <f>'Yearly Butadiene'!BX76</f>
        <v>0</v>
      </c>
      <c r="BY58" s="44">
        <f>'Yearly Butadiene'!BY76</f>
        <v>0</v>
      </c>
      <c r="BZ58" s="44">
        <f>BZ57</f>
        <v>14.947368421052632</v>
      </c>
      <c r="CA58" s="44">
        <f t="shared" ref="CA58:CT58" si="397">CA57</f>
        <v>15.331407031113367</v>
      </c>
      <c r="CB58" s="44">
        <f t="shared" si="397"/>
        <v>15.725312639154138</v>
      </c>
      <c r="CC58" s="44">
        <f t="shared" si="397"/>
        <v>16.129338755229892</v>
      </c>
      <c r="CD58" s="44">
        <f t="shared" si="397"/>
        <v>16.543745402759424</v>
      </c>
      <c r="CE58" s="44">
        <f t="shared" si="397"/>
        <v>16.968799285871444</v>
      </c>
      <c r="CF58" s="44">
        <f t="shared" si="397"/>
        <v>17.381667623855559</v>
      </c>
      <c r="CG58" s="44">
        <f t="shared" si="397"/>
        <v>17.804581473112339</v>
      </c>
      <c r="CH58" s="44">
        <f t="shared" si="397"/>
        <v>18.237785251262231</v>
      </c>
      <c r="CI58" s="44">
        <f t="shared" si="397"/>
        <v>18.681529322857759</v>
      </c>
      <c r="CJ58" s="44">
        <f t="shared" si="397"/>
        <v>19.136070144078495</v>
      </c>
      <c r="CK58" s="44">
        <f t="shared" si="397"/>
        <v>19.545918749372461</v>
      </c>
      <c r="CL58" s="44">
        <f t="shared" si="397"/>
        <v>19.964545326214225</v>
      </c>
      <c r="CM58" s="44">
        <f t="shared" si="397"/>
        <v>20.392137877645641</v>
      </c>
      <c r="CN58" s="44">
        <f t="shared" si="397"/>
        <v>20.82888843328162</v>
      </c>
      <c r="CO58" s="44">
        <f t="shared" si="397"/>
        <v>21.274993135549639</v>
      </c>
      <c r="CP58" s="44">
        <f t="shared" si="397"/>
        <v>21.525497628002075</v>
      </c>
      <c r="CQ58" s="44">
        <f t="shared" si="397"/>
        <v>21.778951710160086</v>
      </c>
      <c r="CR58" s="44">
        <f t="shared" si="397"/>
        <v>22.035390112256838</v>
      </c>
      <c r="CS58" s="44">
        <f t="shared" si="397"/>
        <v>22.29484797346003</v>
      </c>
      <c r="CT58" s="44">
        <f t="shared" si="397"/>
        <v>22.557360846686933</v>
      </c>
    </row>
    <row r="59" spans="1:98" x14ac:dyDescent="0.2">
      <c r="A59" s="1" t="s">
        <v>119</v>
      </c>
      <c r="C59" s="54" t="str">
        <f>'Yearly Butadiene'!C77</f>
        <v>m Tons</v>
      </c>
      <c r="D59" s="44">
        <f>'Yearly Butadiene'!D77</f>
        <v>4.9675667212869898</v>
      </c>
      <c r="E59" s="44">
        <f>'Yearly Butadiene'!E77</f>
        <v>5.1164327797512037</v>
      </c>
      <c r="F59" s="44">
        <f>'Yearly Butadiene'!F77</f>
        <v>5.2558990978180073</v>
      </c>
      <c r="G59" s="44">
        <f>'Yearly Butadiene'!G77</f>
        <v>5.3849744173494418</v>
      </c>
      <c r="H59" s="44">
        <f>'Yearly Butadiene'!H77</f>
        <v>5.5027255500086802</v>
      </c>
      <c r="I59" s="44">
        <f>'Yearly Butadiene'!I77</f>
        <v>5.6082886268600785</v>
      </c>
      <c r="J59" s="44">
        <f>'Yearly Butadiene'!J77</f>
        <v>5.6891964910985848</v>
      </c>
      <c r="K59" s="44">
        <f>'Yearly Butadiene'!K77</f>
        <v>5.7680408929585107</v>
      </c>
      <c r="L59" s="44">
        <f>'Yearly Butadiene'!L77</f>
        <v>5.8446894725620542</v>
      </c>
      <c r="M59" s="44">
        <f>'Yearly Butadiene'!M77</f>
        <v>5.9190108384404398</v>
      </c>
      <c r="N59" s="44">
        <f>'Yearly Butadiene'!N77</f>
        <v>5.990874879815701</v>
      </c>
      <c r="O59" s="44">
        <f>'Yearly Butadiene'!O77</f>
        <v>6.0490920236999255</v>
      </c>
      <c r="P59" s="44">
        <f>'Yearly Butadiene'!P77</f>
        <v>6.0963848863309469</v>
      </c>
      <c r="Q59" s="44">
        <f>'Yearly Butadiene'!Q77</f>
        <v>6.1175250151270975</v>
      </c>
      <c r="R59" s="44">
        <f>'Yearly Butadiene'!R77</f>
        <v>6.1264077767563441</v>
      </c>
      <c r="S59" s="44">
        <f>'Yearly Butadiene'!S77</f>
        <v>6.1229415046989262</v>
      </c>
      <c r="T59" s="44">
        <f>'Yearly Butadiene'!T77</f>
        <v>6.1197424010882777</v>
      </c>
      <c r="U59" s="44">
        <f>'Yearly Butadiene'!U77</f>
        <v>6.1152164820543726</v>
      </c>
      <c r="V59" s="44">
        <f>'Yearly Butadiene'!V77</f>
        <v>6.1093524880762038</v>
      </c>
      <c r="W59" s="44">
        <f>'Yearly Butadiene'!W77</f>
        <v>6.1021396499312441</v>
      </c>
      <c r="X59" s="44">
        <f>'Yearly Butadiene'!X77</f>
        <v>6.0935677000102135</v>
      </c>
      <c r="Y59" s="44">
        <f>'Yearly Butadiene'!Y77</f>
        <v>6.0805354944485686</v>
      </c>
      <c r="Z59" s="44">
        <f>'Yearly Butadiene'!Z77</f>
        <v>6.0691631720833605</v>
      </c>
      <c r="AA59" s="44">
        <f>'Yearly Butadiene'!AA77</f>
        <v>6.0315917995775958</v>
      </c>
      <c r="AB59" s="44">
        <f>'Yearly Butadiene'!AB77</f>
        <v>5.9930897901956914</v>
      </c>
      <c r="AC59" s="44">
        <f>'Yearly Butadiene'!AC77</f>
        <v>5.953675375723412</v>
      </c>
      <c r="AD59" s="44">
        <f>'Yearly Butadiene'!AD77</f>
        <v>5.9116482854602364</v>
      </c>
      <c r="AE59" s="44">
        <f>'Yearly Butadiene'!AE77</f>
        <v>5.868752852150239</v>
      </c>
      <c r="AF59" s="44">
        <f>'Yearly Butadiene'!AF77</f>
        <v>5.8250076464765037</v>
      </c>
      <c r="AG59" s="44">
        <f>'Yearly Butadiene'!AG77</f>
        <v>5.7804318261487628</v>
      </c>
      <c r="AH59" s="44">
        <f>'Yearly Butadiene'!AH77</f>
        <v>5.7350451293008797</v>
      </c>
      <c r="AI59" s="44"/>
      <c r="AJ59" s="44">
        <f>'Yearly Butadiene'!AJ77</f>
        <v>4.9675667212869898</v>
      </c>
      <c r="AK59" s="44">
        <f>'Yearly Butadiene'!AK77</f>
        <v>5.1168923573482461</v>
      </c>
      <c r="AL59" s="44">
        <f>'Yearly Butadiene'!AL77</f>
        <v>5.256851071636035</v>
      </c>
      <c r="AM59" s="44">
        <f>'Yearly Butadiene'!AM77</f>
        <v>5.3864494673698449</v>
      </c>
      <c r="AN59" s="44">
        <f>'Yearly Butadiene'!AN77</f>
        <v>5.5047517912294133</v>
      </c>
      <c r="AO59" s="44">
        <f>'Yearly Butadiene'!AO77</f>
        <v>5.6108911994763586</v>
      </c>
      <c r="AP59" s="44">
        <f>'Yearly Butadiene'!AP77</f>
        <v>5.70439536596301</v>
      </c>
      <c r="AQ59" s="44">
        <f>'Yearly Butadiene'!AQ77</f>
        <v>5.7965022136805597</v>
      </c>
      <c r="AR59" s="44">
        <f>'Yearly Butadiene'!AR77</f>
        <v>5.8870869396513736</v>
      </c>
      <c r="AS59" s="44">
        <f>'Yearly Butadiene'!AS77</f>
        <v>5.9760246542557995</v>
      </c>
      <c r="AT59" s="44">
        <f>'Yearly Butadiene'!AT77</f>
        <v>6.0631906410058569</v>
      </c>
      <c r="AU59" s="44">
        <f>'Yearly Butadiene'!AU77</f>
        <v>6.1378946776542911</v>
      </c>
      <c r="AV59" s="44">
        <f>'Yearly Butadiene'!AV77</f>
        <v>6.2020882257120853</v>
      </c>
      <c r="AW59" s="44">
        <f>'Yearly Butadiene'!AW77</f>
        <v>6.2472806532342764</v>
      </c>
      <c r="AX59" s="44">
        <f>'Yearly Butadiene'!AX77</f>
        <v>6.2805432463449371</v>
      </c>
      <c r="AY59" s="44">
        <f>'Yearly Butadiene'!AY77</f>
        <v>6.3016534823758494</v>
      </c>
      <c r="AZ59" s="44">
        <f>'Yearly Butadiene'!AZ77</f>
        <v>6.3226434362070139</v>
      </c>
      <c r="BA59" s="44">
        <f>'Yearly Butadiene'!BA77</f>
        <v>6.3427078159489714</v>
      </c>
      <c r="BB59" s="44">
        <f>'Yearly Butadiene'!BB77</f>
        <v>6.3618327136522925</v>
      </c>
      <c r="BC59" s="44">
        <f>'Yearly Butadiene'!BC77</f>
        <v>6.3800044927691655</v>
      </c>
      <c r="BD59" s="44">
        <f>'Yearly Butadiene'!BD77</f>
        <v>6.3972097983296177</v>
      </c>
      <c r="BE59" s="44">
        <f>'Yearly Butadiene'!BE77</f>
        <v>6.4107790218832506</v>
      </c>
      <c r="BF59" s="44">
        <f>'Yearly Butadiene'!BF77</f>
        <v>6.4260127771239084</v>
      </c>
      <c r="BG59" s="44">
        <f>'Yearly Butadiene'!BG77</f>
        <v>6.4278732711124471</v>
      </c>
      <c r="BH59" s="44">
        <f>'Yearly Butadiene'!BH77</f>
        <v>6.4289873639943291</v>
      </c>
      <c r="BI59" s="44">
        <f>'Yearly Butadiene'!BI77</f>
        <v>6.4293568595010973</v>
      </c>
      <c r="BJ59" s="44">
        <f>'Yearly Butadiene'!BJ77</f>
        <v>6.4281571761599432</v>
      </c>
      <c r="BK59" s="44">
        <f>'Yearly Butadiene'!BK77</f>
        <v>6.4262538452093221</v>
      </c>
      <c r="BL59" s="44">
        <f>'Yearly Butadiene'!BL77</f>
        <v>6.4236495468380692</v>
      </c>
      <c r="BM59" s="44">
        <f>'Yearly Butadiene'!BM77</f>
        <v>6.4203472878475853</v>
      </c>
      <c r="BN59" s="44">
        <f>'Yearly Butadiene'!BN77</f>
        <v>6.41635040148212</v>
      </c>
      <c r="BO59" s="44"/>
      <c r="BP59" s="44">
        <f>'Yearly Butadiene'!BP77</f>
        <v>0</v>
      </c>
      <c r="BQ59" s="44">
        <f>'Yearly Butadiene'!BQ77</f>
        <v>0</v>
      </c>
      <c r="BR59" s="44">
        <f>'Yearly Butadiene'!BR77</f>
        <v>0</v>
      </c>
      <c r="BS59" s="44">
        <f>'Yearly Butadiene'!BS77</f>
        <v>0</v>
      </c>
      <c r="BT59" s="44">
        <f>'Yearly Butadiene'!BT77</f>
        <v>0</v>
      </c>
      <c r="BU59" s="44">
        <f>'Yearly Butadiene'!BU77</f>
        <v>0</v>
      </c>
      <c r="BV59" s="44">
        <f>'Yearly Butadiene'!BV77</f>
        <v>0</v>
      </c>
      <c r="BW59" s="44">
        <f>'Yearly Butadiene'!BW77</f>
        <v>0</v>
      </c>
      <c r="BX59" s="44">
        <f>'Yearly Butadiene'!BX77</f>
        <v>0</v>
      </c>
      <c r="BY59" s="44">
        <f>'Yearly Butadiene'!BY77</f>
        <v>0</v>
      </c>
      <c r="BZ59" s="44">
        <f>'Yearly Butadiene'!BZ77</f>
        <v>0</v>
      </c>
      <c r="CA59" s="44">
        <f>'Yearly Butadiene'!CA77</f>
        <v>0</v>
      </c>
      <c r="CB59" s="44">
        <f>'Yearly Butadiene'!CB77</f>
        <v>0</v>
      </c>
      <c r="CC59" s="44">
        <f>'Yearly Butadiene'!CC77</f>
        <v>0</v>
      </c>
      <c r="CD59" s="44">
        <f>'Yearly Butadiene'!CD77</f>
        <v>0</v>
      </c>
      <c r="CE59" s="44">
        <f>'Yearly Butadiene'!CE77</f>
        <v>0</v>
      </c>
      <c r="CF59" s="44">
        <f>'Yearly Butadiene'!CF77</f>
        <v>0</v>
      </c>
      <c r="CG59" s="44">
        <f>'Yearly Butadiene'!CG77</f>
        <v>0</v>
      </c>
      <c r="CH59" s="44">
        <f>'Yearly Butadiene'!CH77</f>
        <v>0</v>
      </c>
      <c r="CI59" s="44">
        <f>'Yearly Butadiene'!CI77</f>
        <v>0</v>
      </c>
      <c r="CJ59" s="44">
        <f>'Yearly Butadiene'!CJ77</f>
        <v>0</v>
      </c>
      <c r="CK59" s="44">
        <f>'Yearly Butadiene'!CK77</f>
        <v>0</v>
      </c>
      <c r="CL59" s="44">
        <f>'Yearly Butadiene'!CL77</f>
        <v>0</v>
      </c>
      <c r="CM59" s="44">
        <f>'Yearly Butadiene'!CM77</f>
        <v>0</v>
      </c>
      <c r="CN59" s="44">
        <f>'Yearly Butadiene'!CN77</f>
        <v>0</v>
      </c>
      <c r="CO59" s="44">
        <f>'Yearly Butadiene'!CO77</f>
        <v>0</v>
      </c>
      <c r="CP59" s="44">
        <f>'Yearly Butadiene'!CP77</f>
        <v>0</v>
      </c>
      <c r="CQ59" s="44">
        <f>'Yearly Butadiene'!CQ77</f>
        <v>0</v>
      </c>
      <c r="CR59" s="44">
        <f>'Yearly Butadiene'!CR77</f>
        <v>0</v>
      </c>
      <c r="CS59" s="44">
        <f>'Yearly Butadiene'!CS77</f>
        <v>0</v>
      </c>
      <c r="CT59" s="44">
        <f>'Yearly Butadiene'!CT77</f>
        <v>0</v>
      </c>
    </row>
  </sheetData>
  <mergeCells count="3">
    <mergeCell ref="D1:AH1"/>
    <mergeCell ref="AJ1:BN1"/>
    <mergeCell ref="BP1:CT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E25673-63A0-40CE-A139-6565BC8C6929}">
  <sheetPr>
    <tabColor theme="9"/>
  </sheetPr>
  <dimension ref="A1:CK131"/>
  <sheetViews>
    <sheetView zoomScale="110" zoomScaleNormal="110" workbookViewId="0">
      <pane xSplit="3" ySplit="3" topLeftCell="D18" activePane="bottomRight" state="frozen"/>
      <selection pane="topRight" activeCell="D1" sqref="D1"/>
      <selection pane="bottomLeft" activeCell="A4" sqref="A4"/>
      <selection pane="bottomRight" activeCell="AH46" sqref="AH46"/>
    </sheetView>
  </sheetViews>
  <sheetFormatPr baseColWidth="10" defaultColWidth="8.83203125" defaultRowHeight="15" outlineLevelRow="2" outlineLevelCol="1" x14ac:dyDescent="0.2"/>
  <cols>
    <col min="1" max="1" width="42.5" style="1" customWidth="1"/>
    <col min="2" max="2" width="26.5" style="1" customWidth="1"/>
    <col min="3" max="3" width="10.83203125" customWidth="1"/>
    <col min="4" max="4" width="18.83203125" customWidth="1"/>
    <col min="5" max="6" width="8.83203125" hidden="1" customWidth="1" outlineLevel="1"/>
    <col min="7" max="7" width="11.1640625" hidden="1" customWidth="1" outlineLevel="1"/>
    <col min="8" max="8" width="8.83203125" hidden="1" customWidth="1" outlineLevel="1"/>
    <col min="9" max="9" width="9.5" hidden="1" customWidth="1" outlineLevel="1"/>
    <col min="10" max="13" width="8.83203125" hidden="1" customWidth="1" outlineLevel="1"/>
    <col min="14" max="14" width="8.83203125" customWidth="1" collapsed="1"/>
    <col min="15" max="15" width="11.5" hidden="1" customWidth="1" outlineLevel="1"/>
    <col min="16" max="23" width="8.83203125" hidden="1" customWidth="1" outlineLevel="1"/>
    <col min="24" max="24" width="8.6640625" collapsed="1"/>
    <col min="25" max="25" width="7.1640625" hidden="1" customWidth="1" outlineLevel="1"/>
    <col min="26" max="33" width="8.83203125" hidden="1" customWidth="1" outlineLevel="1"/>
    <col min="34" max="34" width="8.6640625" collapsed="1"/>
    <col min="35" max="35" width="16.5" bestFit="1" customWidth="1"/>
    <col min="36" max="36" width="18.83203125" customWidth="1"/>
    <col min="37" max="38" width="8.83203125" hidden="1" customWidth="1" outlineLevel="1"/>
    <col min="39" max="39" width="11.1640625" hidden="1" customWidth="1" outlineLevel="1"/>
    <col min="40" max="40" width="8.83203125" hidden="1" customWidth="1" outlineLevel="1"/>
    <col min="41" max="41" width="9.5" hidden="1" customWidth="1" outlineLevel="1"/>
    <col min="42" max="45" width="8.83203125" hidden="1" customWidth="1" outlineLevel="1"/>
    <col min="46" max="46" width="8.83203125" customWidth="1" collapsed="1"/>
    <col min="47" max="47" width="11.5" hidden="1" customWidth="1" outlineLevel="1"/>
    <col min="48" max="55" width="8.83203125" hidden="1" customWidth="1" outlineLevel="1"/>
    <col min="56" max="56" width="11.5" bestFit="1" customWidth="1" collapsed="1"/>
    <col min="57" max="57" width="7.1640625" hidden="1" customWidth="1" outlineLevel="1"/>
    <col min="58" max="65" width="8.83203125" hidden="1" customWidth="1" outlineLevel="1"/>
    <col min="66" max="66" width="11.5" bestFit="1" customWidth="1" collapsed="1"/>
    <col min="67" max="68" width="8.83203125" bestFit="1" customWidth="1"/>
    <col min="69" max="69" width="27" customWidth="1"/>
    <col min="70" max="70" width="37.5" bestFit="1" customWidth="1"/>
    <col min="71" max="97" width="8.83203125" bestFit="1" customWidth="1"/>
  </cols>
  <sheetData>
    <row r="1" spans="1:89" x14ac:dyDescent="0.2">
      <c r="D1" s="684" t="s">
        <v>64</v>
      </c>
      <c r="E1" s="684"/>
      <c r="F1" s="684"/>
      <c r="G1" s="684"/>
      <c r="H1" s="684"/>
      <c r="I1" s="684"/>
      <c r="J1" s="684"/>
      <c r="K1" s="684"/>
      <c r="L1" s="684"/>
      <c r="M1" s="684"/>
      <c r="N1" s="684"/>
      <c r="O1" s="684"/>
      <c r="P1" s="684"/>
      <c r="Q1" s="684"/>
      <c r="R1" s="684"/>
      <c r="S1" s="684"/>
      <c r="T1" s="684"/>
      <c r="U1" s="684"/>
      <c r="V1" s="684"/>
      <c r="W1" s="684"/>
      <c r="X1" s="684"/>
      <c r="Y1" s="684"/>
      <c r="Z1" s="684"/>
      <c r="AA1" s="684"/>
      <c r="AB1" s="684"/>
      <c r="AC1" s="684"/>
      <c r="AD1" s="684"/>
      <c r="AE1" s="684"/>
      <c r="AF1" s="684"/>
      <c r="AG1" s="684"/>
      <c r="AH1" s="684"/>
      <c r="AJ1" s="684" t="s">
        <v>65</v>
      </c>
      <c r="AK1" s="684"/>
      <c r="AL1" s="684"/>
      <c r="AM1" s="684"/>
      <c r="AN1" s="684"/>
      <c r="AO1" s="684"/>
      <c r="AP1" s="684"/>
      <c r="AQ1" s="684"/>
      <c r="AR1" s="684"/>
      <c r="AS1" s="684"/>
      <c r="AT1" s="684"/>
      <c r="AU1" s="684"/>
      <c r="AV1" s="684"/>
      <c r="AW1" s="684"/>
      <c r="AX1" s="684"/>
      <c r="AY1" s="684"/>
      <c r="AZ1" s="684"/>
      <c r="BA1" s="684"/>
      <c r="BB1" s="684"/>
      <c r="BC1" s="684"/>
      <c r="BD1" s="684"/>
      <c r="BE1" s="684"/>
      <c r="BF1" s="684"/>
      <c r="BG1" s="684"/>
      <c r="BH1" s="684"/>
      <c r="BI1" s="684"/>
      <c r="BJ1" s="684"/>
      <c r="BK1" s="684"/>
      <c r="BL1" s="684"/>
      <c r="BM1" s="684"/>
      <c r="BN1" s="684"/>
    </row>
    <row r="2" spans="1:89" s="53" customFormat="1" x14ac:dyDescent="0.2">
      <c r="A2" s="52" t="s">
        <v>151</v>
      </c>
      <c r="B2" s="52"/>
      <c r="C2" s="52"/>
      <c r="AI2"/>
    </row>
    <row r="3" spans="1:89" s="1" customFormat="1" ht="16" thickBot="1" x14ac:dyDescent="0.25">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c r="AJ3" s="1">
        <v>2020</v>
      </c>
      <c r="AK3" s="1">
        <f>AJ3+1</f>
        <v>2021</v>
      </c>
      <c r="AL3" s="1">
        <f t="shared" ref="AL3:AW3" si="1">AK3+1</f>
        <v>2022</v>
      </c>
      <c r="AM3" s="1">
        <f t="shared" si="1"/>
        <v>2023</v>
      </c>
      <c r="AN3" s="1">
        <f t="shared" si="1"/>
        <v>2024</v>
      </c>
      <c r="AO3" s="1">
        <f t="shared" si="1"/>
        <v>2025</v>
      </c>
      <c r="AP3" s="1">
        <f t="shared" si="1"/>
        <v>2026</v>
      </c>
      <c r="AQ3" s="1">
        <f t="shared" si="1"/>
        <v>2027</v>
      </c>
      <c r="AR3" s="1">
        <f t="shared" si="1"/>
        <v>2028</v>
      </c>
      <c r="AS3" s="1">
        <f t="shared" si="1"/>
        <v>2029</v>
      </c>
      <c r="AT3" s="1">
        <f t="shared" si="1"/>
        <v>2030</v>
      </c>
      <c r="AU3" s="1">
        <f t="shared" si="1"/>
        <v>2031</v>
      </c>
      <c r="AV3" s="1">
        <f t="shared" si="1"/>
        <v>2032</v>
      </c>
      <c r="AW3" s="1">
        <f t="shared" si="1"/>
        <v>2033</v>
      </c>
      <c r="AX3" s="1">
        <f>AW3+1</f>
        <v>2034</v>
      </c>
      <c r="AY3" s="1">
        <f t="shared" ref="AY3:BH3" si="2">AX3+1</f>
        <v>2035</v>
      </c>
      <c r="AZ3" s="1">
        <f t="shared" si="2"/>
        <v>2036</v>
      </c>
      <c r="BA3" s="1">
        <f t="shared" si="2"/>
        <v>2037</v>
      </c>
      <c r="BB3" s="1">
        <f t="shared" si="2"/>
        <v>2038</v>
      </c>
      <c r="BC3" s="1">
        <f t="shared" si="2"/>
        <v>2039</v>
      </c>
      <c r="BD3" s="1">
        <f t="shared" si="2"/>
        <v>2040</v>
      </c>
      <c r="BE3" s="1">
        <f t="shared" si="2"/>
        <v>2041</v>
      </c>
      <c r="BF3" s="1">
        <f t="shared" si="2"/>
        <v>2042</v>
      </c>
      <c r="BG3" s="1">
        <f t="shared" si="2"/>
        <v>2043</v>
      </c>
      <c r="BH3" s="1">
        <f t="shared" si="2"/>
        <v>2044</v>
      </c>
      <c r="BI3" s="1">
        <f>BH3+1</f>
        <v>2045</v>
      </c>
      <c r="BJ3" s="1">
        <f t="shared" ref="BJ3:BL3" si="3">BI3+1</f>
        <v>2046</v>
      </c>
      <c r="BK3" s="1">
        <f t="shared" si="3"/>
        <v>2047</v>
      </c>
      <c r="BL3" s="1">
        <f t="shared" si="3"/>
        <v>2048</v>
      </c>
      <c r="BM3" s="1">
        <f>BL3+1</f>
        <v>2049</v>
      </c>
      <c r="BN3" s="1">
        <f t="shared" ref="BN3" si="4">BM3+1</f>
        <v>2050</v>
      </c>
    </row>
    <row r="4" spans="1:89" s="554" customFormat="1" x14ac:dyDescent="0.2">
      <c r="A4" s="550" t="s">
        <v>152</v>
      </c>
      <c r="B4" s="551"/>
      <c r="C4" s="552" t="s">
        <v>153</v>
      </c>
      <c r="D4" s="553">
        <f>'Yearly Demand - BTX'!N3</f>
        <v>116.10918671199683</v>
      </c>
      <c r="E4" s="553">
        <f>'Yearly Demand - BTX'!O3</f>
        <v>118.94536560959409</v>
      </c>
      <c r="F4" s="553">
        <f>'Yearly Demand - BTX'!P3</f>
        <v>121.85082335554922</v>
      </c>
      <c r="G4" s="553">
        <f>'Yearly Demand - BTX'!Q3</f>
        <v>124.82725221223463</v>
      </c>
      <c r="H4" s="553">
        <f>'Yearly Demand - BTX'!R3</f>
        <v>127.87638577862117</v>
      </c>
      <c r="I4" s="553">
        <f>'Yearly Demand - BTX'!S3</f>
        <v>131</v>
      </c>
      <c r="J4" s="553">
        <f>'Yearly Demand - BTX'!T3</f>
        <v>133.12962399313108</v>
      </c>
      <c r="K4" s="553">
        <f>'Yearly Demand - BTX'!U3</f>
        <v>135.29386858436993</v>
      </c>
      <c r="L4" s="553">
        <f>'Yearly Demand - BTX'!V3</f>
        <v>137.49329658941417</v>
      </c>
      <c r="M4" s="553">
        <f>'Yearly Demand - BTX'!W3</f>
        <v>139.72847997347145</v>
      </c>
      <c r="N4" s="553">
        <f>'Yearly Demand - BTX'!X3</f>
        <v>142</v>
      </c>
      <c r="O4" s="553">
        <f>'Yearly Demand - BTX'!Y3</f>
        <v>143.37318371127816</v>
      </c>
      <c r="P4" s="553">
        <f>'Yearly Demand - BTX'!Z3</f>
        <v>144.75964653174591</v>
      </c>
      <c r="Q4" s="553">
        <f>'Yearly Demand - BTX'!AA3</f>
        <v>146.15951687447676</v>
      </c>
      <c r="R4" s="553">
        <f>'Yearly Demand - BTX'!AB3</f>
        <v>147.57292439433817</v>
      </c>
      <c r="S4" s="553">
        <f>'Yearly Demand - BTX'!AC3</f>
        <v>149</v>
      </c>
      <c r="T4" s="553">
        <f>'Yearly Demand - BTX'!AD3</f>
        <v>150.37440931484167</v>
      </c>
      <c r="U4" s="553">
        <f>'Yearly Demand - BTX'!AE3</f>
        <v>151.76149648850699</v>
      </c>
      <c r="V4" s="553">
        <f>'Yearly Demand - BTX'!AF3</f>
        <v>153.1613784644004</v>
      </c>
      <c r="W4" s="553">
        <f>'Yearly Demand - BTX'!AG3</f>
        <v>154.5741732646384</v>
      </c>
      <c r="X4" s="553">
        <f>'Yearly Demand - BTX'!AH3</f>
        <v>156</v>
      </c>
      <c r="Y4" s="553">
        <f>'Yearly Demand - BTX'!AI3</f>
        <v>156.5954371632547</v>
      </c>
      <c r="Z4" s="553">
        <f>'Yearly Demand - BTX'!AJ3</f>
        <v>157.19314705353111</v>
      </c>
      <c r="AA4" s="553">
        <f>'Yearly Demand - BTX'!AK3</f>
        <v>157.79313834561211</v>
      </c>
      <c r="AB4" s="553">
        <f>'Yearly Demand - BTX'!AL3</f>
        <v>158.3954197473914</v>
      </c>
      <c r="AC4" s="553">
        <f>'Yearly Demand - BTX'!AM3</f>
        <v>159</v>
      </c>
      <c r="AD4" s="553">
        <f>'Yearly Demand - BTX'!AN3</f>
        <v>159.39800247817999</v>
      </c>
      <c r="AE4" s="553">
        <f>'Yearly Demand - BTX'!AO3</f>
        <v>159.79700122033884</v>
      </c>
      <c r="AF4" s="553">
        <f>'Yearly Demand - BTX'!AP3</f>
        <v>160.19699872028491</v>
      </c>
      <c r="AG4" s="553">
        <f>'Yearly Demand - BTX'!AQ3</f>
        <v>160.597997478069</v>
      </c>
      <c r="AH4" s="553">
        <f>'Yearly Demand - BTX'!AR3</f>
        <v>161</v>
      </c>
      <c r="AJ4" s="553">
        <f>D4</f>
        <v>116.10918671199683</v>
      </c>
      <c r="AK4" s="553">
        <f t="shared" ref="AK4:BN7" si="5">E4</f>
        <v>118.94536560959409</v>
      </c>
      <c r="AL4" s="553">
        <f t="shared" si="5"/>
        <v>121.85082335554922</v>
      </c>
      <c r="AM4" s="553">
        <f t="shared" si="5"/>
        <v>124.82725221223463</v>
      </c>
      <c r="AN4" s="553">
        <f t="shared" si="5"/>
        <v>127.87638577862117</v>
      </c>
      <c r="AO4" s="553">
        <f t="shared" si="5"/>
        <v>131</v>
      </c>
      <c r="AP4" s="553">
        <f t="shared" si="5"/>
        <v>133.12962399313108</v>
      </c>
      <c r="AQ4" s="553">
        <f t="shared" si="5"/>
        <v>135.29386858436993</v>
      </c>
      <c r="AR4" s="553">
        <f t="shared" si="5"/>
        <v>137.49329658941417</v>
      </c>
      <c r="AS4" s="553">
        <f t="shared" si="5"/>
        <v>139.72847997347145</v>
      </c>
      <c r="AT4" s="553">
        <f t="shared" si="5"/>
        <v>142</v>
      </c>
      <c r="AU4" s="553">
        <f t="shared" si="5"/>
        <v>143.37318371127816</v>
      </c>
      <c r="AV4" s="553">
        <f t="shared" si="5"/>
        <v>144.75964653174591</v>
      </c>
      <c r="AW4" s="553">
        <f t="shared" si="5"/>
        <v>146.15951687447676</v>
      </c>
      <c r="AX4" s="553">
        <f t="shared" si="5"/>
        <v>147.57292439433817</v>
      </c>
      <c r="AY4" s="553">
        <f t="shared" si="5"/>
        <v>149</v>
      </c>
      <c r="AZ4" s="553">
        <f t="shared" si="5"/>
        <v>150.37440931484167</v>
      </c>
      <c r="BA4" s="553">
        <f t="shared" si="5"/>
        <v>151.76149648850699</v>
      </c>
      <c r="BB4" s="553">
        <f t="shared" si="5"/>
        <v>153.1613784644004</v>
      </c>
      <c r="BC4" s="553">
        <f t="shared" si="5"/>
        <v>154.5741732646384</v>
      </c>
      <c r="BD4" s="553">
        <f t="shared" si="5"/>
        <v>156</v>
      </c>
      <c r="BE4" s="553">
        <f t="shared" si="5"/>
        <v>156.5954371632547</v>
      </c>
      <c r="BF4" s="553">
        <f t="shared" si="5"/>
        <v>157.19314705353111</v>
      </c>
      <c r="BG4" s="553">
        <f t="shared" si="5"/>
        <v>157.79313834561211</v>
      </c>
      <c r="BH4" s="553">
        <f t="shared" si="5"/>
        <v>158.3954197473914</v>
      </c>
      <c r="BI4" s="553">
        <f t="shared" si="5"/>
        <v>159</v>
      </c>
      <c r="BJ4" s="553">
        <f t="shared" si="5"/>
        <v>159.39800247817999</v>
      </c>
      <c r="BK4" s="553">
        <f t="shared" si="5"/>
        <v>159.79700122033884</v>
      </c>
      <c r="BL4" s="553">
        <f t="shared" si="5"/>
        <v>160.19699872028491</v>
      </c>
      <c r="BM4" s="553">
        <f t="shared" si="5"/>
        <v>160.597997478069</v>
      </c>
      <c r="BN4" s="553">
        <f t="shared" si="5"/>
        <v>161</v>
      </c>
    </row>
    <row r="5" spans="1:89" s="67" customFormat="1" ht="15" customHeight="1" x14ac:dyDescent="0.2">
      <c r="A5" s="681"/>
      <c r="B5" s="58" t="s">
        <v>7</v>
      </c>
      <c r="C5" s="59" t="s">
        <v>153</v>
      </c>
      <c r="D5" s="60">
        <f>'Yearly Demand - BTX'!N16</f>
        <v>41.944590154283411</v>
      </c>
      <c r="E5" s="60">
        <f>'Yearly Demand - BTX'!O16</f>
        <v>42.969163358460833</v>
      </c>
      <c r="F5" s="60">
        <f>'Yearly Demand - BTX'!P16</f>
        <v>44.018763633992556</v>
      </c>
      <c r="G5" s="60">
        <f>'Yearly Demand - BTX'!Q16</f>
        <v>45.094002312795148</v>
      </c>
      <c r="H5" s="60">
        <f>'Yearly Demand - BTX'!R16</f>
        <v>46.195505659683526</v>
      </c>
      <c r="I5" s="60">
        <f>'Yearly Demand - BTX'!S16</f>
        <v>47.323915237134209</v>
      </c>
      <c r="J5" s="60">
        <f>'Yearly Demand - BTX'!T16</f>
        <v>48.093244590858653</v>
      </c>
      <c r="K5" s="60">
        <f>'Yearly Demand - BTX'!U16</f>
        <v>48.875080679318295</v>
      </c>
      <c r="L5" s="60">
        <f>'Yearly Demand - BTX'!V16</f>
        <v>49.669626820393816</v>
      </c>
      <c r="M5" s="60">
        <f>'Yearly Demand - BTX'!W16</f>
        <v>50.477089637237917</v>
      </c>
      <c r="N5" s="60">
        <f>'Yearly Demand - BTX'!X16</f>
        <v>51.297679112008069</v>
      </c>
      <c r="O5" s="60">
        <f>'Yearly Demand - BTX'!Y16</f>
        <v>51.793743459775555</v>
      </c>
      <c r="P5" s="60">
        <f>'Yearly Demand - BTX'!Z16</f>
        <v>52.294604902487421</v>
      </c>
      <c r="Q5" s="60">
        <f>'Yearly Demand - BTX'!AA16</f>
        <v>52.800309829528437</v>
      </c>
      <c r="R5" s="60">
        <f>'Yearly Demand - BTX'!AB16</f>
        <v>53.31090507888301</v>
      </c>
      <c r="S5" s="60">
        <f>'Yearly Demand - BTX'!AC16</f>
        <v>53.826437941473259</v>
      </c>
      <c r="T5" s="60">
        <f>'Yearly Demand - BTX'!AD16</f>
        <v>54.322945040073982</v>
      </c>
      <c r="U5" s="60">
        <f>'Yearly Demand - BTX'!AE16</f>
        <v>54.824032031165991</v>
      </c>
      <c r="V5" s="60">
        <f>'Yearly Demand - BTX'!AF16</f>
        <v>55.329741160701658</v>
      </c>
      <c r="W5" s="60">
        <f>'Yearly Demand - BTX'!AG16</f>
        <v>55.84011506431942</v>
      </c>
      <c r="X5" s="60">
        <f>'Yearly Demand - BTX'!AH16</f>
        <v>56.355196770938441</v>
      </c>
      <c r="Y5" s="60">
        <f>'Yearly Demand - BTX'!AI16</f>
        <v>56.570299197220159</v>
      </c>
      <c r="Z5" s="60">
        <f>'Yearly Demand - BTX'!AJ16</f>
        <v>56.786222649005182</v>
      </c>
      <c r="AA5" s="60">
        <f>'Yearly Demand - BTX'!AK16</f>
        <v>57.002970260069759</v>
      </c>
      <c r="AB5" s="60">
        <f>'Yearly Demand - BTX'!AL16</f>
        <v>57.220545176151482</v>
      </c>
      <c r="AC5" s="60">
        <f>'Yearly Demand - BTX'!AM16</f>
        <v>57.438950554994953</v>
      </c>
      <c r="AD5" s="60">
        <f>'Yearly Demand - BTX'!AN16</f>
        <v>57.582729452258761</v>
      </c>
      <c r="AE5" s="60">
        <f>'Yearly Demand - BTX'!AO16</f>
        <v>57.726868251141575</v>
      </c>
      <c r="AF5" s="60">
        <f>'Yearly Demand - BTX'!AP16</f>
        <v>57.87136785253481</v>
      </c>
      <c r="AG5" s="60">
        <f>'Yearly Demand - BTX'!AQ16</f>
        <v>58.016229159584967</v>
      </c>
      <c r="AH5" s="60">
        <f>'Yearly Demand - BTX'!AR16</f>
        <v>58.161453077699292</v>
      </c>
      <c r="AJ5" s="60">
        <f>D5</f>
        <v>41.944590154283411</v>
      </c>
      <c r="AK5" s="60">
        <f t="shared" si="5"/>
        <v>42.969163358460833</v>
      </c>
      <c r="AL5" s="60">
        <f t="shared" si="5"/>
        <v>44.018763633992556</v>
      </c>
      <c r="AM5" s="60">
        <f t="shared" si="5"/>
        <v>45.094002312795148</v>
      </c>
      <c r="AN5" s="60">
        <f t="shared" si="5"/>
        <v>46.195505659683526</v>
      </c>
      <c r="AO5" s="60">
        <f t="shared" si="5"/>
        <v>47.323915237134209</v>
      </c>
      <c r="AP5" s="60">
        <f t="shared" si="5"/>
        <v>48.093244590858653</v>
      </c>
      <c r="AQ5" s="60">
        <f t="shared" si="5"/>
        <v>48.875080679318295</v>
      </c>
      <c r="AR5" s="60">
        <f t="shared" si="5"/>
        <v>49.669626820393816</v>
      </c>
      <c r="AS5" s="60">
        <f t="shared" si="5"/>
        <v>50.477089637237917</v>
      </c>
      <c r="AT5" s="60">
        <f t="shared" si="5"/>
        <v>51.297679112008069</v>
      </c>
      <c r="AU5" s="60">
        <f t="shared" si="5"/>
        <v>51.793743459775555</v>
      </c>
      <c r="AV5" s="60">
        <f t="shared" si="5"/>
        <v>52.294604902487421</v>
      </c>
      <c r="AW5" s="60">
        <f t="shared" si="5"/>
        <v>52.800309829528437</v>
      </c>
      <c r="AX5" s="60">
        <f t="shared" si="5"/>
        <v>53.31090507888301</v>
      </c>
      <c r="AY5" s="60">
        <f t="shared" si="5"/>
        <v>53.826437941473259</v>
      </c>
      <c r="AZ5" s="60">
        <f t="shared" si="5"/>
        <v>54.322945040073982</v>
      </c>
      <c r="BA5" s="60">
        <f t="shared" si="5"/>
        <v>54.824032031165991</v>
      </c>
      <c r="BB5" s="60">
        <f t="shared" si="5"/>
        <v>55.329741160701658</v>
      </c>
      <c r="BC5" s="60">
        <f t="shared" si="5"/>
        <v>55.84011506431942</v>
      </c>
      <c r="BD5" s="60">
        <f t="shared" si="5"/>
        <v>56.355196770938441</v>
      </c>
      <c r="BE5" s="60">
        <f t="shared" si="5"/>
        <v>56.570299197220159</v>
      </c>
      <c r="BF5" s="60">
        <f t="shared" si="5"/>
        <v>56.786222649005182</v>
      </c>
      <c r="BG5" s="60">
        <f t="shared" si="5"/>
        <v>57.002970260069759</v>
      </c>
      <c r="BH5" s="60">
        <f t="shared" si="5"/>
        <v>57.220545176151482</v>
      </c>
      <c r="BI5" s="60">
        <f t="shared" si="5"/>
        <v>57.438950554994953</v>
      </c>
      <c r="BJ5" s="60">
        <f t="shared" si="5"/>
        <v>57.582729452258761</v>
      </c>
      <c r="BK5" s="60">
        <f t="shared" si="5"/>
        <v>57.726868251141575</v>
      </c>
      <c r="BL5" s="60">
        <f t="shared" si="5"/>
        <v>57.87136785253481</v>
      </c>
      <c r="BM5" s="60">
        <f t="shared" si="5"/>
        <v>58.016229159584967</v>
      </c>
      <c r="BN5" s="60">
        <f t="shared" si="5"/>
        <v>58.161453077699292</v>
      </c>
      <c r="BO5" s="449">
        <f>AJ5/$AJ$4</f>
        <v>0.36125126135216951</v>
      </c>
      <c r="BY5" s="555"/>
      <c r="BZ5" s="556" t="s">
        <v>154</v>
      </c>
      <c r="CA5" s="557" t="s">
        <v>155</v>
      </c>
      <c r="CB5" s="556" t="s">
        <v>156</v>
      </c>
      <c r="CC5" s="558" t="s">
        <v>157</v>
      </c>
      <c r="CD5" s="559" t="s">
        <v>158</v>
      </c>
      <c r="CE5" s="559" t="s">
        <v>159</v>
      </c>
      <c r="CF5" s="556" t="s">
        <v>160</v>
      </c>
      <c r="CG5" s="556" t="s">
        <v>161</v>
      </c>
      <c r="CH5" s="556" t="s">
        <v>162</v>
      </c>
      <c r="CI5" s="556" t="s">
        <v>163</v>
      </c>
      <c r="CJ5" s="556" t="s">
        <v>164</v>
      </c>
    </row>
    <row r="6" spans="1:89" x14ac:dyDescent="0.2">
      <c r="A6" s="682"/>
      <c r="B6" s="1" t="s">
        <v>8</v>
      </c>
      <c r="C6" s="54" t="s">
        <v>153</v>
      </c>
      <c r="D6" s="44">
        <f>'Yearly Demand - BTX'!N17</f>
        <v>27.181969038530035</v>
      </c>
      <c r="E6" s="44">
        <f>'Yearly Demand - BTX'!O17</f>
        <v>27.845938265818194</v>
      </c>
      <c r="F6" s="44">
        <f>'Yearly Demand - BTX'!P17</f>
        <v>28.526126153872273</v>
      </c>
      <c r="G6" s="44">
        <f>'Yearly Demand - BTX'!Q17</f>
        <v>29.222928873096301</v>
      </c>
      <c r="H6" s="44">
        <f>'Yearly Demand - BTX'!R17</f>
        <v>29.936752271079833</v>
      </c>
      <c r="I6" s="44">
        <f>'Yearly Demand - BTX'!S17</f>
        <v>30.668012108980829</v>
      </c>
      <c r="J6" s="44">
        <f>'Yearly Demand - BTX'!T17</f>
        <v>31.166571913629074</v>
      </c>
      <c r="K6" s="44">
        <f>'Yearly Demand - BTX'!U17</f>
        <v>31.673236641345937</v>
      </c>
      <c r="L6" s="44">
        <f>'Yearly Demand - BTX'!V17</f>
        <v>32.18813805120493</v>
      </c>
      <c r="M6" s="44">
        <f>'Yearly Demand - BTX'!W17</f>
        <v>32.711410044243571</v>
      </c>
      <c r="N6" s="44">
        <f>'Yearly Demand - BTX'!X17</f>
        <v>33.243188698284563</v>
      </c>
      <c r="O6" s="44">
        <f>'Yearly Demand - BTX'!Y17</f>
        <v>33.564660566111542</v>
      </c>
      <c r="P6" s="44">
        <f>'Yearly Demand - BTX'!Z17</f>
        <v>33.889241165857776</v>
      </c>
      <c r="Q6" s="44">
        <f>'Yearly Demand - BTX'!AA17</f>
        <v>34.216960559917872</v>
      </c>
      <c r="R6" s="44">
        <f>'Yearly Demand - BTX'!AB17</f>
        <v>34.547849101399052</v>
      </c>
      <c r="S6" s="44">
        <f>'Yearly Demand - BTX'!AC17</f>
        <v>34.88193743693239</v>
      </c>
      <c r="T6" s="44">
        <f>'Yearly Demand - BTX'!AD17</f>
        <v>35.20369622708705</v>
      </c>
      <c r="U6" s="44">
        <f>'Yearly Demand - BTX'!AE17</f>
        <v>35.528422992263998</v>
      </c>
      <c r="V6" s="44">
        <f>'Yearly Demand - BTX'!AF17</f>
        <v>35.856145109728452</v>
      </c>
      <c r="W6" s="44">
        <f>'Yearly Demand - BTX'!AG17</f>
        <v>36.186890209279625</v>
      </c>
      <c r="X6" s="44">
        <f>'Yearly Demand - BTX'!AH17</f>
        <v>36.520686175580224</v>
      </c>
      <c r="Y6" s="44">
        <f>'Yearly Demand - BTX'!AI17</f>
        <v>36.660082161327033</v>
      </c>
      <c r="Z6" s="44">
        <f>'Yearly Demand - BTX'!AJ17</f>
        <v>36.800010208293862</v>
      </c>
      <c r="AA6" s="44">
        <f>'Yearly Demand - BTX'!AK17</f>
        <v>36.940472347307782</v>
      </c>
      <c r="AB6" s="44">
        <f>'Yearly Demand - BTX'!AL17</f>
        <v>37.081470616947335</v>
      </c>
      <c r="AC6" s="44">
        <f>'Yearly Demand - BTX'!AM17</f>
        <v>37.223007063572155</v>
      </c>
      <c r="AD6" s="44">
        <f>'Yearly Demand - BTX'!AN17</f>
        <v>37.316182214871603</v>
      </c>
      <c r="AE6" s="44">
        <f>'Yearly Demand - BTX'!AO17</f>
        <v>37.409590598505162</v>
      </c>
      <c r="AF6" s="44">
        <f>'Yearly Demand - BTX'!AP17</f>
        <v>37.503232798290718</v>
      </c>
      <c r="AG6" s="44">
        <f>'Yearly Demand - BTX'!AQ17</f>
        <v>37.59710939950758</v>
      </c>
      <c r="AH6" s="44">
        <f>'Yearly Demand - BTX'!AR17</f>
        <v>37.691220988900099</v>
      </c>
      <c r="AI6" s="54" t="s">
        <v>165</v>
      </c>
      <c r="AJ6" s="44">
        <f>D6</f>
        <v>27.181969038530035</v>
      </c>
      <c r="AK6" s="44">
        <f t="shared" si="5"/>
        <v>27.845938265818194</v>
      </c>
      <c r="AL6" s="44">
        <f t="shared" si="5"/>
        <v>28.526126153872273</v>
      </c>
      <c r="AM6" s="44">
        <f t="shared" si="5"/>
        <v>29.222928873096301</v>
      </c>
      <c r="AN6" s="44">
        <f t="shared" si="5"/>
        <v>29.936752271079833</v>
      </c>
      <c r="AO6" s="44">
        <f t="shared" si="5"/>
        <v>30.668012108980829</v>
      </c>
      <c r="AP6" s="44">
        <f t="shared" si="5"/>
        <v>31.166571913629074</v>
      </c>
      <c r="AQ6" s="44">
        <f t="shared" si="5"/>
        <v>31.673236641345937</v>
      </c>
      <c r="AR6" s="44">
        <f t="shared" si="5"/>
        <v>32.18813805120493</v>
      </c>
      <c r="AS6" s="44">
        <f t="shared" si="5"/>
        <v>32.711410044243571</v>
      </c>
      <c r="AT6" s="44">
        <f t="shared" si="5"/>
        <v>33.243188698284563</v>
      </c>
      <c r="AU6" s="44">
        <f t="shared" si="5"/>
        <v>33.564660566111542</v>
      </c>
      <c r="AV6" s="44">
        <f t="shared" si="5"/>
        <v>33.889241165857776</v>
      </c>
      <c r="AW6" s="44">
        <f t="shared" si="5"/>
        <v>34.216960559917872</v>
      </c>
      <c r="AX6" s="44">
        <f t="shared" si="5"/>
        <v>34.547849101399052</v>
      </c>
      <c r="AY6" s="44">
        <f t="shared" si="5"/>
        <v>34.88193743693239</v>
      </c>
      <c r="AZ6" s="44">
        <f t="shared" si="5"/>
        <v>35.20369622708705</v>
      </c>
      <c r="BA6" s="44">
        <f t="shared" si="5"/>
        <v>35.528422992263998</v>
      </c>
      <c r="BB6" s="44">
        <f t="shared" si="5"/>
        <v>35.856145109728452</v>
      </c>
      <c r="BC6" s="44">
        <f t="shared" si="5"/>
        <v>36.186890209279625</v>
      </c>
      <c r="BD6" s="44">
        <f t="shared" si="5"/>
        <v>36.520686175580224</v>
      </c>
      <c r="BE6" s="44">
        <f t="shared" si="5"/>
        <v>36.660082161327033</v>
      </c>
      <c r="BF6" s="44">
        <f t="shared" si="5"/>
        <v>36.800010208293862</v>
      </c>
      <c r="BG6" s="44">
        <f t="shared" si="5"/>
        <v>36.940472347307782</v>
      </c>
      <c r="BH6" s="44">
        <f t="shared" si="5"/>
        <v>37.081470616947335</v>
      </c>
      <c r="BI6" s="44">
        <f t="shared" si="5"/>
        <v>37.223007063572155</v>
      </c>
      <c r="BJ6" s="44">
        <f t="shared" si="5"/>
        <v>37.316182214871603</v>
      </c>
      <c r="BK6" s="44">
        <f t="shared" si="5"/>
        <v>37.409590598505162</v>
      </c>
      <c r="BL6" s="44">
        <f t="shared" si="5"/>
        <v>37.503232798290718</v>
      </c>
      <c r="BM6" s="44">
        <f t="shared" si="5"/>
        <v>37.59710939950758</v>
      </c>
      <c r="BN6" s="44">
        <f t="shared" si="5"/>
        <v>37.691220988900099</v>
      </c>
      <c r="BO6" s="449">
        <f t="shared" ref="BO6:BO7" si="6">AJ6/$AJ$4</f>
        <v>0.23410696266397579</v>
      </c>
    </row>
    <row r="7" spans="1:89" s="68" customFormat="1" x14ac:dyDescent="0.2">
      <c r="A7" s="683"/>
      <c r="B7" s="62" t="s">
        <v>166</v>
      </c>
      <c r="C7" s="283" t="s">
        <v>153</v>
      </c>
      <c r="D7" s="284">
        <f>'Yearly Demand - BTX'!N18</f>
        <v>46.982627519183382</v>
      </c>
      <c r="E7" s="284">
        <f>'Yearly Demand - BTX'!O18</f>
        <v>48.130263985315068</v>
      </c>
      <c r="F7" s="284">
        <f>'Yearly Demand - BTX'!P18</f>
        <v>49.305933567684399</v>
      </c>
      <c r="G7" s="284">
        <f>'Yearly Demand - BTX'!Q18</f>
        <v>50.510321026343171</v>
      </c>
      <c r="H7" s="284">
        <f>'Yearly Demand - BTX'!R18</f>
        <v>51.744127847857811</v>
      </c>
      <c r="I7" s="284">
        <f>'Yearly Demand - BTX'!S18</f>
        <v>53.008072653884966</v>
      </c>
      <c r="J7" s="284">
        <f>'Yearly Demand - BTX'!T18</f>
        <v>53.869807488643346</v>
      </c>
      <c r="K7" s="284">
        <f>'Yearly Demand - BTX'!U18</f>
        <v>54.745551263705693</v>
      </c>
      <c r="L7" s="284">
        <f>'Yearly Demand - BTX'!V18</f>
        <v>55.635531717815418</v>
      </c>
      <c r="M7" s="284">
        <f>'Yearly Demand - BTX'!W18</f>
        <v>56.539980291989956</v>
      </c>
      <c r="N7" s="284">
        <f>'Yearly Demand - BTX'!X18</f>
        <v>57.459132189707368</v>
      </c>
      <c r="O7" s="284">
        <f>'Yearly Demand - BTX'!Y18</f>
        <v>58.014779685391062</v>
      </c>
      <c r="P7" s="284">
        <f>'Yearly Demand - BTX'!Z18</f>
        <v>58.575800463400718</v>
      </c>
      <c r="Q7" s="284">
        <f>'Yearly Demand - BTX'!AA18</f>
        <v>59.142246485030462</v>
      </c>
      <c r="R7" s="284">
        <f>'Yearly Demand - BTX'!AB18</f>
        <v>59.714170214056111</v>
      </c>
      <c r="S7" s="284">
        <f>'Yearly Demand - BTX'!AC18</f>
        <v>60.291624621594352</v>
      </c>
      <c r="T7" s="284">
        <f>'Yearly Demand - BTX'!AD18</f>
        <v>60.847768047680631</v>
      </c>
      <c r="U7" s="284">
        <f>'Yearly Demand - BTX'!AE18</f>
        <v>61.409041465076996</v>
      </c>
      <c r="V7" s="284">
        <f>'Yearly Demand - BTX'!AF18</f>
        <v>61.97549219397029</v>
      </c>
      <c r="W7" s="284">
        <f>'Yearly Demand - BTX'!AG18</f>
        <v>62.547167991039352</v>
      </c>
      <c r="X7" s="284">
        <f>'Yearly Demand - BTX'!AH18</f>
        <v>63.124117053481328</v>
      </c>
      <c r="Y7" s="284">
        <f>'Yearly Demand - BTX'!AI18</f>
        <v>63.365055804707509</v>
      </c>
      <c r="Z7" s="284">
        <f>'Yearly Demand - BTX'!AJ18</f>
        <v>63.606914196232061</v>
      </c>
      <c r="AA7" s="284">
        <f>'Yearly Demand - BTX'!AK18</f>
        <v>63.849695738234566</v>
      </c>
      <c r="AB7" s="284">
        <f>'Yearly Demand - BTX'!AL18</f>
        <v>64.093403954292583</v>
      </c>
      <c r="AC7" s="284">
        <f>'Yearly Demand - BTX'!AM18</f>
        <v>64.338042381432885</v>
      </c>
      <c r="AD7" s="284">
        <f>'Yearly Demand - BTX'!AN18</f>
        <v>64.499090811049626</v>
      </c>
      <c r="AE7" s="284">
        <f>'Yearly Demand - BTX'!AO18</f>
        <v>64.660542370692099</v>
      </c>
      <c r="AF7" s="284">
        <f>'Yearly Demand - BTX'!AP18</f>
        <v>64.822398069459382</v>
      </c>
      <c r="AG7" s="284">
        <f>'Yearly Demand - BTX'!AQ18</f>
        <v>64.98465891897645</v>
      </c>
      <c r="AH7" s="284">
        <f>'Yearly Demand - BTX'!AR18</f>
        <v>65.147325933400609</v>
      </c>
      <c r="AJ7" s="284">
        <f>D7</f>
        <v>46.982627519183382</v>
      </c>
      <c r="AK7" s="284">
        <f t="shared" si="5"/>
        <v>48.130263985315068</v>
      </c>
      <c r="AL7" s="284">
        <f t="shared" si="5"/>
        <v>49.305933567684399</v>
      </c>
      <c r="AM7" s="284">
        <f t="shared" si="5"/>
        <v>50.510321026343171</v>
      </c>
      <c r="AN7" s="284">
        <f t="shared" si="5"/>
        <v>51.744127847857811</v>
      </c>
      <c r="AO7" s="284">
        <f t="shared" si="5"/>
        <v>53.008072653884966</v>
      </c>
      <c r="AP7" s="284">
        <f t="shared" si="5"/>
        <v>53.869807488643346</v>
      </c>
      <c r="AQ7" s="284">
        <f t="shared" si="5"/>
        <v>54.745551263705693</v>
      </c>
      <c r="AR7" s="284">
        <f t="shared" si="5"/>
        <v>55.635531717815418</v>
      </c>
      <c r="AS7" s="284">
        <f t="shared" si="5"/>
        <v>56.539980291989956</v>
      </c>
      <c r="AT7" s="284">
        <f t="shared" si="5"/>
        <v>57.459132189707368</v>
      </c>
      <c r="AU7" s="284">
        <f t="shared" si="5"/>
        <v>58.014779685391062</v>
      </c>
      <c r="AV7" s="284">
        <f t="shared" si="5"/>
        <v>58.575800463400718</v>
      </c>
      <c r="AW7" s="284">
        <f t="shared" si="5"/>
        <v>59.142246485030462</v>
      </c>
      <c r="AX7" s="284">
        <f t="shared" si="5"/>
        <v>59.714170214056111</v>
      </c>
      <c r="AY7" s="284">
        <f t="shared" si="5"/>
        <v>60.291624621594352</v>
      </c>
      <c r="AZ7" s="284">
        <f t="shared" si="5"/>
        <v>60.847768047680631</v>
      </c>
      <c r="BA7" s="284">
        <f t="shared" si="5"/>
        <v>61.409041465076996</v>
      </c>
      <c r="BB7" s="284">
        <f t="shared" si="5"/>
        <v>61.97549219397029</v>
      </c>
      <c r="BC7" s="284">
        <f t="shared" si="5"/>
        <v>62.547167991039352</v>
      </c>
      <c r="BD7" s="284">
        <f t="shared" si="5"/>
        <v>63.124117053481328</v>
      </c>
      <c r="BE7" s="284">
        <f t="shared" si="5"/>
        <v>63.365055804707509</v>
      </c>
      <c r="BF7" s="284">
        <f t="shared" si="5"/>
        <v>63.606914196232061</v>
      </c>
      <c r="BG7" s="284">
        <f t="shared" si="5"/>
        <v>63.849695738234566</v>
      </c>
      <c r="BH7" s="284">
        <f t="shared" si="5"/>
        <v>64.093403954292583</v>
      </c>
      <c r="BI7" s="284">
        <f t="shared" si="5"/>
        <v>64.338042381432885</v>
      </c>
      <c r="BJ7" s="284">
        <f t="shared" si="5"/>
        <v>64.499090811049626</v>
      </c>
      <c r="BK7" s="284">
        <f t="shared" si="5"/>
        <v>64.660542370692099</v>
      </c>
      <c r="BL7" s="284">
        <f t="shared" si="5"/>
        <v>64.822398069459382</v>
      </c>
      <c r="BM7" s="284">
        <f t="shared" si="5"/>
        <v>64.98465891897645</v>
      </c>
      <c r="BN7" s="284">
        <f t="shared" si="5"/>
        <v>65.147325933400609</v>
      </c>
      <c r="BO7" s="449">
        <f t="shared" si="6"/>
        <v>0.4046417759838547</v>
      </c>
      <c r="BY7" s="560" t="s">
        <v>67</v>
      </c>
      <c r="BZ7" s="561" t="e">
        <f>#REF!</f>
        <v>#REF!</v>
      </c>
      <c r="CB7" s="562" t="s">
        <v>167</v>
      </c>
      <c r="CC7" s="563"/>
      <c r="CD7" s="564" t="s">
        <v>167</v>
      </c>
      <c r="CE7" s="562"/>
      <c r="CF7" s="565"/>
      <c r="CG7" s="563"/>
      <c r="CI7" s="565"/>
      <c r="CJ7" s="68" t="s">
        <v>167</v>
      </c>
      <c r="CK7" s="566"/>
    </row>
    <row r="8" spans="1:89" x14ac:dyDescent="0.2">
      <c r="C8" s="54"/>
      <c r="BY8" s="30" t="s">
        <v>168</v>
      </c>
      <c r="BZ8" s="543"/>
      <c r="CA8" s="544"/>
      <c r="CB8" s="541"/>
      <c r="CD8" s="543"/>
      <c r="CE8" s="545">
        <f>-BN10+AH17-AH21</f>
        <v>-13.62958298640843</v>
      </c>
      <c r="CF8" s="546">
        <f>-AH30</f>
        <v>-26.978922469732673</v>
      </c>
      <c r="CG8" s="540">
        <f>-AH39</f>
        <v>-11.236119227877253</v>
      </c>
      <c r="CH8" s="546">
        <f>-AH55</f>
        <v>-6.471007429634418</v>
      </c>
      <c r="CJ8" s="543"/>
    </row>
    <row r="9" spans="1:89" outlineLevel="1" x14ac:dyDescent="0.2">
      <c r="A9" s="58" t="s">
        <v>169</v>
      </c>
      <c r="B9" s="58" t="s">
        <v>170</v>
      </c>
      <c r="C9" s="67"/>
      <c r="D9" s="60">
        <f>'Demand Breakdown - BTX'!M3</f>
        <v>7.61095133078841</v>
      </c>
      <c r="E9" s="60">
        <f>$D$9*(1+'Demand Breakdown - BTX'!$L72)^(E3-$D$3)</f>
        <v>7.6943319935740648</v>
      </c>
      <c r="F9" s="60">
        <f>$D$9*(1+'Demand Breakdown - BTX'!$L72)^(F3-$D$3)</f>
        <v>7.7786261210009213</v>
      </c>
      <c r="G9" s="60">
        <f>$D$9*(1+'Demand Breakdown - BTX'!$L72)^(G3-$D$3)</f>
        <v>7.8638437203970897</v>
      </c>
      <c r="H9" s="60">
        <f>$D$9*(1+'Demand Breakdown - BTX'!$L72)^(H3-$D$3)</f>
        <v>7.949994908724503</v>
      </c>
      <c r="I9" s="60">
        <f>$D$9*(1+'Demand Breakdown - BTX'!$L72)^(I3-$D$3)</f>
        <v>8.0370899137799832</v>
      </c>
      <c r="J9" s="60">
        <f>$D$9*(1+'Demand Breakdown - BTX'!$L72)^(J3-$D$3)</f>
        <v>8.1251390754094874</v>
      </c>
      <c r="K9" s="60">
        <f>$D$9*(1+'Demand Breakdown - BTX'!$L72)^(K3-$D$3)</f>
        <v>8.2141528467356384</v>
      </c>
      <c r="L9" s="60">
        <f>$D$9*(1+'Demand Breakdown - BTX'!$L72)^(L3-$D$3)</f>
        <v>8.3041417953987171</v>
      </c>
      <c r="M9" s="60">
        <f>$D$9*(1+'Demand Breakdown - BTX'!$L72)^(M3-$D$3)</f>
        <v>8.395116604811232</v>
      </c>
      <c r="N9" s="60">
        <f>$D$9*(1+'Demand Breakdown - BTX'!$L72)^(N3-$D$3)</f>
        <v>8.4870880754262608</v>
      </c>
      <c r="O9" s="60">
        <f>$D$9*(1+'Demand Breakdown - BTX'!$L72)^(O3-$D$3)</f>
        <v>8.5800671260196584</v>
      </c>
      <c r="P9" s="60">
        <f>$D$9*(1+'Demand Breakdown - BTX'!$L72)^(P3-$D$3)</f>
        <v>8.6740647949863359</v>
      </c>
      <c r="Q9" s="60">
        <f>$D$9*(1+'Demand Breakdown - BTX'!$L72)^(Q3-$D$3)</f>
        <v>8.7690922416507124</v>
      </c>
      <c r="R9" s="60">
        <f>$D$9*(1+'Demand Breakdown - BTX'!$L72)^(R3-$D$3)</f>
        <v>8.8651607475915668</v>
      </c>
      <c r="S9" s="60">
        <f>$D$9*(1+'Demand Breakdown - BTX'!$L72)^(S3-$D$3)</f>
        <v>8.9622817179813445</v>
      </c>
      <c r="T9" s="60">
        <f>$D$9*(1+'Demand Breakdown - BTX'!$L72)^(T3-$D$3)</f>
        <v>9.0604666829402074</v>
      </c>
      <c r="U9" s="60">
        <f>$D$9*(1+'Demand Breakdown - BTX'!$L72)^(U3-$D$3)</f>
        <v>9.1597272989048406</v>
      </c>
      <c r="V9" s="60">
        <f>$D$9*(1+'Demand Breakdown - BTX'!$L72)^(V3-$D$3)</f>
        <v>9.2600753500123272</v>
      </c>
      <c r="W9" s="60">
        <f>$D$9*(1+'Demand Breakdown - BTX'!$L72)^(W3-$D$3)</f>
        <v>9.361522749499132</v>
      </c>
      <c r="X9" s="60">
        <f>$D$9*(1+'Demand Breakdown - BTX'!$L72)^(X3-$D$3)</f>
        <v>9.464081541115446</v>
      </c>
      <c r="Y9" s="60">
        <f>$D$9*(1+'Demand Breakdown - BTX'!$L72)^(Y3-$D$3)</f>
        <v>9.5677639005549899</v>
      </c>
      <c r="Z9" s="60">
        <f>$D$9*(1+'Demand Breakdown - BTX'!$L72)^(Z3-$D$3)</f>
        <v>9.6725821369005267</v>
      </c>
      <c r="AA9" s="60">
        <f>$D$9*(1+'Demand Breakdown - BTX'!$L72)^(AA3-$D$3)</f>
        <v>9.778548694085158</v>
      </c>
      <c r="AB9" s="60">
        <f>$D$9*(1+'Demand Breakdown - BTX'!$L72)^(AB3-$D$3)</f>
        <v>9.8856761523696886</v>
      </c>
      <c r="AC9" s="60">
        <f>$D$9*(1+'Demand Breakdown - BTX'!$L72)^(AC3-$D$3)</f>
        <v>9.9939772298361174</v>
      </c>
      <c r="AD9" s="60">
        <f>$D$9*(1+'Demand Breakdown - BTX'!$L72)^(AD3-$D$3)</f>
        <v>10.103464783897531</v>
      </c>
      <c r="AE9" s="60">
        <f>$D$9*(1+'Demand Breakdown - BTX'!$L72)^(AE3-$D$3)</f>
        <v>10.214151812824523</v>
      </c>
      <c r="AF9" s="60">
        <f>$D$9*(1+'Demand Breakdown - BTX'!$L72)^(AF3-$D$3)</f>
        <v>10.326051457288337</v>
      </c>
      <c r="AG9" s="60">
        <f>$D$9*(1+'Demand Breakdown - BTX'!$L72)^(AG3-$D$3)</f>
        <v>10.439177001920912</v>
      </c>
      <c r="AH9" s="60">
        <f>$D$9*(1+'Demand Breakdown - BTX'!$L72)^(AH3-$D$3)</f>
        <v>10.553541876892041</v>
      </c>
      <c r="AJ9" s="60">
        <f t="shared" ref="AJ9:AJ15" si="7">D9</f>
        <v>7.61095133078841</v>
      </c>
      <c r="AK9" s="60">
        <f t="shared" ref="AK9:BN16" si="8">E9</f>
        <v>7.6943319935740648</v>
      </c>
      <c r="AL9" s="60">
        <f t="shared" si="8"/>
        <v>7.7786261210009213</v>
      </c>
      <c r="AM9" s="60">
        <f t="shared" si="8"/>
        <v>7.8638437203970897</v>
      </c>
      <c r="AN9" s="60">
        <f t="shared" si="8"/>
        <v>7.949994908724503</v>
      </c>
      <c r="AO9" s="60">
        <f t="shared" si="8"/>
        <v>8.0370899137799832</v>
      </c>
      <c r="AP9" s="60">
        <f t="shared" si="8"/>
        <v>8.1251390754094874</v>
      </c>
      <c r="AQ9" s="60">
        <f t="shared" si="8"/>
        <v>8.2141528467356384</v>
      </c>
      <c r="AR9" s="60">
        <f t="shared" si="8"/>
        <v>8.3041417953987171</v>
      </c>
      <c r="AS9" s="60">
        <f t="shared" si="8"/>
        <v>8.395116604811232</v>
      </c>
      <c r="AT9" s="60">
        <f t="shared" si="8"/>
        <v>8.4870880754262608</v>
      </c>
      <c r="AU9" s="60">
        <f t="shared" si="8"/>
        <v>8.5800671260196584</v>
      </c>
      <c r="AV9" s="60">
        <f t="shared" si="8"/>
        <v>8.6740647949863359</v>
      </c>
      <c r="AW9" s="60">
        <f t="shared" si="8"/>
        <v>8.7690922416507124</v>
      </c>
      <c r="AX9" s="60">
        <f t="shared" si="8"/>
        <v>8.8651607475915668</v>
      </c>
      <c r="AY9" s="60">
        <f t="shared" si="8"/>
        <v>8.9622817179813445</v>
      </c>
      <c r="AZ9" s="60">
        <f t="shared" si="8"/>
        <v>9.0604666829402074</v>
      </c>
      <c r="BA9" s="60">
        <f t="shared" si="8"/>
        <v>9.1597272989048406</v>
      </c>
      <c r="BB9" s="60">
        <f t="shared" si="8"/>
        <v>9.2600753500123272</v>
      </c>
      <c r="BC9" s="60">
        <f t="shared" si="8"/>
        <v>9.361522749499132</v>
      </c>
      <c r="BD9" s="60">
        <f t="shared" si="8"/>
        <v>9.464081541115446</v>
      </c>
      <c r="BE9" s="60">
        <f t="shared" si="8"/>
        <v>9.5677639005549899</v>
      </c>
      <c r="BF9" s="60">
        <f t="shared" si="8"/>
        <v>9.6725821369005267</v>
      </c>
      <c r="BG9" s="60">
        <f t="shared" si="8"/>
        <v>9.778548694085158</v>
      </c>
      <c r="BH9" s="60">
        <f t="shared" si="8"/>
        <v>9.8856761523696886</v>
      </c>
      <c r="BI9" s="60">
        <f t="shared" si="8"/>
        <v>9.9939772298361174</v>
      </c>
      <c r="BJ9" s="60">
        <f t="shared" si="8"/>
        <v>10.103464783897531</v>
      </c>
      <c r="BK9" s="60">
        <f t="shared" si="8"/>
        <v>10.214151812824523</v>
      </c>
      <c r="BL9" s="60">
        <f t="shared" si="8"/>
        <v>10.326051457288337</v>
      </c>
      <c r="BM9" s="60">
        <f t="shared" si="8"/>
        <v>10.439177001920912</v>
      </c>
      <c r="BN9" s="60">
        <f t="shared" si="8"/>
        <v>10.553541876892041</v>
      </c>
      <c r="BQ9" t="s">
        <v>171</v>
      </c>
      <c r="BY9" s="30" t="s">
        <v>172</v>
      </c>
      <c r="CF9" s="43">
        <f>-AH33</f>
        <v>-11.874481371925846</v>
      </c>
      <c r="CG9" s="43">
        <f>-AH40</f>
        <v>-3.6594739122403706</v>
      </c>
      <c r="CH9" s="43">
        <f>-AH56</f>
        <v>-2.1570024765448061</v>
      </c>
    </row>
    <row r="10" spans="1:89" outlineLevel="1" x14ac:dyDescent="0.2">
      <c r="B10" s="1" t="s">
        <v>173</v>
      </c>
      <c r="D10" s="44">
        <f>D9*('R&amp;S - Transportation'!$D$19*(D3-$D$3)/10)</f>
        <v>0</v>
      </c>
      <c r="E10" s="44">
        <f>E9*'R&amp;S - Transportation'!$B$9*'R&amp;S - Transportation'!$D$19*(E3-$D$3)/10</f>
        <v>0.1538866398714813</v>
      </c>
      <c r="F10" s="44">
        <f>F9*'R&amp;S - Transportation'!$B$9*'R&amp;S - Transportation'!$D$19*(F3-$D$3)/10</f>
        <v>0.31114504484003691</v>
      </c>
      <c r="G10" s="44">
        <f>G9*'R&amp;S - Transportation'!$B$9*'R&amp;S - Transportation'!$D$19*(G3-$D$3)/10</f>
        <v>0.47183062322382535</v>
      </c>
      <c r="H10" s="44">
        <f>H9*'R&amp;S - Transportation'!$B$9*'R&amp;S - Transportation'!$D$19*(H3-$D$3)/10</f>
        <v>0.63599959269796025</v>
      </c>
      <c r="I10" s="44">
        <f>I9*'R&amp;S - Transportation'!$B$9*'R&amp;S - Transportation'!$D$19*(I3-$D$3)/10</f>
        <v>0.80370899137799834</v>
      </c>
      <c r="J10" s="44">
        <f>J9*'R&amp;S - Transportation'!$B$9*'R&amp;S - Transportation'!$D$19*(J3-$D$3)/10</f>
        <v>0.97501668904913852</v>
      </c>
      <c r="K10" s="44">
        <f>K9*'R&amp;S - Transportation'!$B$9*'R&amp;S - Transportation'!$D$19*(K3-$D$3)/10</f>
        <v>1.1499813985429894</v>
      </c>
      <c r="L10" s="44">
        <f>L9*'R&amp;S - Transportation'!$B$9*'R&amp;S - Transportation'!$D$19*(L3-$D$3)/10</f>
        <v>1.3286626872637948</v>
      </c>
      <c r="M10" s="44">
        <f>M9*'R&amp;S - Transportation'!$B$9*'R&amp;S - Transportation'!$D$19*(M3-$D$3)/10</f>
        <v>1.5111209888660218</v>
      </c>
      <c r="N10" s="44">
        <f>N9*'R&amp;S - Transportation'!$B$9*'R&amp;S - Transportation'!$D$19*(N3-$D$3)/10</f>
        <v>1.6974176150852522</v>
      </c>
      <c r="O10" s="44">
        <f>O9*'R&amp;S - Transportation'!$B$9*('R&amp;S - Transportation'!$D$19+('R&amp;S - Transportation'!$D$20-'R&amp;S - Transportation'!$D$19)*(O3-$N$3)/10)</f>
        <v>2.1450167815049146</v>
      </c>
      <c r="P10" s="44">
        <f>P9*'R&amp;S - Transportation'!$B$9*('R&amp;S - Transportation'!$D$19+('R&amp;S - Transportation'!$D$20-'R&amp;S - Transportation'!$D$19)*(P3-$N$3)/10)</f>
        <v>2.6022194384959008</v>
      </c>
      <c r="Q10" s="44">
        <f>Q9*'R&amp;S - Transportation'!$B$9*('R&amp;S - Transportation'!$D$19+('R&amp;S - Transportation'!$D$20-'R&amp;S - Transportation'!$D$19)*(Q3-$N$3)/10)</f>
        <v>3.069182284577749</v>
      </c>
      <c r="R10" s="44">
        <f>R9*'R&amp;S - Transportation'!$B$9*('R&amp;S - Transportation'!$D$19+('R&amp;S - Transportation'!$D$20-'R&amp;S - Transportation'!$D$19)*(R3-$N$3)/10)</f>
        <v>3.5460642990366269</v>
      </c>
      <c r="S10" s="44">
        <f>S9*'R&amp;S - Transportation'!$B$9*('R&amp;S - Transportation'!$D$19+('R&amp;S - Transportation'!$D$20-'R&amp;S - Transportation'!$D$19)*(S3-$N$3)/10)</f>
        <v>4.0330267730916045</v>
      </c>
      <c r="T10" s="44">
        <f>T9*'R&amp;S - Transportation'!$B$9*('R&amp;S - Transportation'!$D$19+('R&amp;S - Transportation'!$D$20-'R&amp;S - Transportation'!$D$19)*(T3-$N$3)/10)</f>
        <v>4.5302333414701028</v>
      </c>
      <c r="U10" s="44">
        <f>U9*'R&amp;S - Transportation'!$B$9*('R&amp;S - Transportation'!$D$19+('R&amp;S - Transportation'!$D$20-'R&amp;S - Transportation'!$D$19)*(U3-$N$3)/10)</f>
        <v>5.0378500143976623</v>
      </c>
      <c r="V10" s="44">
        <f>V9*'R&amp;S - Transportation'!$B$9*('R&amp;S - Transportation'!$D$19+('R&amp;S - Transportation'!$D$20-'R&amp;S - Transportation'!$D$19)*(V3-$N$3)/10)</f>
        <v>5.5560452100073965</v>
      </c>
      <c r="W10" s="44">
        <f>W9*'R&amp;S - Transportation'!$B$9*('R&amp;S - Transportation'!$D$19+('R&amp;S - Transportation'!$D$20-'R&amp;S - Transportation'!$D$19)*(W3-$N$3)/10)</f>
        <v>6.0849897871744352</v>
      </c>
      <c r="X10" s="44">
        <f>X9*'R&amp;S - Transportation'!$B$9*('R&amp;S - Transportation'!$D$19+('R&amp;S - Transportation'!$D$20-'R&amp;S - Transportation'!$D$19)*(X3-$N$3)/10)</f>
        <v>6.6248570787808116</v>
      </c>
      <c r="Y10" s="44">
        <f>Y9*'R&amp;S - Transportation'!$B$9*('R&amp;S - Transportation'!$D$20+('R&amp;S - Transportation'!$D$21-'R&amp;S - Transportation'!$D$20)*(Y3-$X$3)/10)</f>
        <v>6.9844676474051424</v>
      </c>
      <c r="Z10" s="44">
        <f>Z9*'R&amp;S - Transportation'!$B$9*('R&amp;S - Transportation'!$D$20+('R&amp;S - Transportation'!$D$21-'R&amp;S - Transportation'!$D$20)*(Z3-$X$3)/10)</f>
        <v>7.3511624240444</v>
      </c>
      <c r="AA10" s="44">
        <f>AA9*'R&amp;S - Transportation'!$B$9*('R&amp;S - Transportation'!$D$20+('R&amp;S - Transportation'!$D$21-'R&amp;S - Transportation'!$D$20)*(AA3-$X$3)/10)</f>
        <v>7.7250534683272738</v>
      </c>
      <c r="AB10" s="44">
        <f>AB9*'R&amp;S - Transportation'!$B$9*('R&amp;S - Transportation'!$D$20+('R&amp;S - Transportation'!$D$21-'R&amp;S - Transportation'!$D$20)*(AB3-$X$3)/10)</f>
        <v>8.1062544449431435</v>
      </c>
      <c r="AC10" s="44">
        <f>AC9*'R&amp;S - Transportation'!$B$9*('R&amp;S - Transportation'!$D$20+('R&amp;S - Transportation'!$D$21-'R&amp;S - Transportation'!$D$20)*(AC3-$X$3)/10)</f>
        <v>8.4948806453607002</v>
      </c>
      <c r="AD10" s="44">
        <f>AD9*'R&amp;S - Transportation'!$B$9*('R&amp;S - Transportation'!$D$20+('R&amp;S - Transportation'!$D$21-'R&amp;S - Transportation'!$D$20)*(AD3-$X$3)/10)</f>
        <v>8.8910490098298265</v>
      </c>
      <c r="AE10" s="44">
        <f>AE9*'R&amp;S - Transportation'!$B$9*('R&amp;S - Transportation'!$D$20+('R&amp;S - Transportation'!$D$21-'R&amp;S - Transportation'!$D$20)*(AE3-$X$3)/10)</f>
        <v>9.2948781496703159</v>
      </c>
      <c r="AF10" s="44">
        <f>AF9*'R&amp;S - Transportation'!$B$9*('R&amp;S - Transportation'!$D$20+('R&amp;S - Transportation'!$D$21-'R&amp;S - Transportation'!$D$20)*(AF3-$X$3)/10)</f>
        <v>9.7064883698510354</v>
      </c>
      <c r="AG10" s="44">
        <f>AG9*'R&amp;S - Transportation'!$B$9*('R&amp;S - Transportation'!$D$20+('R&amp;S - Transportation'!$D$21-'R&amp;S - Transportation'!$D$20)*(AG3-$X$3)/10)</f>
        <v>10.126001691863285</v>
      </c>
      <c r="AH10" s="44">
        <f>AH9*'R&amp;S - Transportation'!$B$9*('R&amp;S - Transportation'!$D$20+('R&amp;S - Transportation'!$D$21-'R&amp;S - Transportation'!$D$20)*(AH3-$X$3)/10)</f>
        <v>10.553541876892041</v>
      </c>
      <c r="AJ10" s="44">
        <f t="shared" si="7"/>
        <v>0</v>
      </c>
      <c r="AK10" s="44">
        <f t="shared" si="8"/>
        <v>0.1538866398714813</v>
      </c>
      <c r="AL10" s="44">
        <f t="shared" si="8"/>
        <v>0.31114504484003691</v>
      </c>
      <c r="AM10" s="44">
        <f t="shared" si="8"/>
        <v>0.47183062322382535</v>
      </c>
      <c r="AN10" s="44">
        <f t="shared" si="8"/>
        <v>0.63599959269796025</v>
      </c>
      <c r="AO10" s="44">
        <f t="shared" si="8"/>
        <v>0.80370899137799834</v>
      </c>
      <c r="AP10" s="44">
        <f t="shared" si="8"/>
        <v>0.97501668904913852</v>
      </c>
      <c r="AQ10" s="44">
        <f t="shared" si="8"/>
        <v>1.1499813985429894</v>
      </c>
      <c r="AR10" s="44">
        <f t="shared" si="8"/>
        <v>1.3286626872637948</v>
      </c>
      <c r="AS10" s="44">
        <f t="shared" si="8"/>
        <v>1.5111209888660218</v>
      </c>
      <c r="AT10" s="44">
        <f t="shared" si="8"/>
        <v>1.6974176150852522</v>
      </c>
      <c r="AU10" s="44">
        <f t="shared" si="8"/>
        <v>2.1450167815049146</v>
      </c>
      <c r="AV10" s="44">
        <f t="shared" si="8"/>
        <v>2.6022194384959008</v>
      </c>
      <c r="AW10" s="44">
        <f t="shared" si="8"/>
        <v>3.069182284577749</v>
      </c>
      <c r="AX10" s="44">
        <f t="shared" si="8"/>
        <v>3.5460642990366269</v>
      </c>
      <c r="AY10" s="44">
        <f t="shared" si="8"/>
        <v>4.0330267730916045</v>
      </c>
      <c r="AZ10" s="44">
        <f t="shared" si="8"/>
        <v>4.5302333414701028</v>
      </c>
      <c r="BA10" s="44">
        <f t="shared" si="8"/>
        <v>5.0378500143976623</v>
      </c>
      <c r="BB10" s="44">
        <f t="shared" si="8"/>
        <v>5.5560452100073965</v>
      </c>
      <c r="BC10" s="44">
        <f t="shared" si="8"/>
        <v>6.0849897871744352</v>
      </c>
      <c r="BD10" s="44">
        <f t="shared" si="8"/>
        <v>6.6248570787808116</v>
      </c>
      <c r="BE10" s="44">
        <f t="shared" si="8"/>
        <v>6.9844676474051424</v>
      </c>
      <c r="BF10" s="44">
        <f t="shared" si="8"/>
        <v>7.3511624240444</v>
      </c>
      <c r="BG10" s="44">
        <f t="shared" si="8"/>
        <v>7.7250534683272738</v>
      </c>
      <c r="BH10" s="44">
        <f t="shared" si="8"/>
        <v>8.1062544449431435</v>
      </c>
      <c r="BI10" s="44">
        <f t="shared" si="8"/>
        <v>8.4948806453607002</v>
      </c>
      <c r="BJ10" s="44">
        <f t="shared" si="8"/>
        <v>8.8910490098298265</v>
      </c>
      <c r="BK10" s="44">
        <f t="shared" si="8"/>
        <v>9.2948781496703159</v>
      </c>
      <c r="BL10" s="44">
        <f t="shared" si="8"/>
        <v>9.7064883698510354</v>
      </c>
      <c r="BM10" s="44">
        <f t="shared" si="8"/>
        <v>10.126001691863285</v>
      </c>
      <c r="BN10" s="44">
        <f t="shared" si="8"/>
        <v>10.553541876892041</v>
      </c>
      <c r="BQ10" t="s">
        <v>174</v>
      </c>
      <c r="BR10" s="44" t="e">
        <f>#REF!-#REF!</f>
        <v>#REF!</v>
      </c>
      <c r="BY10" s="30" t="s">
        <v>175</v>
      </c>
      <c r="CA10" s="539" t="e">
        <f>#REF!-#REF!</f>
        <v>#REF!</v>
      </c>
      <c r="CC10" s="538">
        <f>65</f>
        <v>65</v>
      </c>
      <c r="CI10" s="44">
        <f>AH63</f>
        <v>1.8643304612279947</v>
      </c>
    </row>
    <row r="11" spans="1:89" outlineLevel="1" x14ac:dyDescent="0.2">
      <c r="B11" s="1" t="s">
        <v>176</v>
      </c>
      <c r="D11" s="44">
        <f>D9-D10</f>
        <v>7.61095133078841</v>
      </c>
      <c r="E11" s="44">
        <f t="shared" ref="E11:AH11" si="9">E9-E10</f>
        <v>7.5404453537025837</v>
      </c>
      <c r="F11" s="44">
        <f t="shared" si="9"/>
        <v>7.4674810761608841</v>
      </c>
      <c r="G11" s="44">
        <f t="shared" si="9"/>
        <v>7.3920130971732645</v>
      </c>
      <c r="H11" s="44">
        <f t="shared" si="9"/>
        <v>7.313995316026543</v>
      </c>
      <c r="I11" s="44">
        <f t="shared" si="9"/>
        <v>7.2333809224019845</v>
      </c>
      <c r="J11" s="44">
        <f t="shared" si="9"/>
        <v>7.1501223863603487</v>
      </c>
      <c r="K11" s="44">
        <f t="shared" si="9"/>
        <v>7.0641714481926492</v>
      </c>
      <c r="L11" s="44">
        <f t="shared" si="9"/>
        <v>6.9754791081349223</v>
      </c>
      <c r="M11" s="44">
        <f t="shared" si="9"/>
        <v>6.88399561594521</v>
      </c>
      <c r="N11" s="44">
        <f t="shared" si="9"/>
        <v>6.789670460341009</v>
      </c>
      <c r="O11" s="44">
        <f t="shared" si="9"/>
        <v>6.4350503445147442</v>
      </c>
      <c r="P11" s="44">
        <f t="shared" si="9"/>
        <v>6.0718453564904351</v>
      </c>
      <c r="Q11" s="44">
        <f t="shared" si="9"/>
        <v>5.699909957072963</v>
      </c>
      <c r="R11" s="44">
        <f t="shared" si="9"/>
        <v>5.3190964485549399</v>
      </c>
      <c r="S11" s="44">
        <f t="shared" si="9"/>
        <v>4.92925494488974</v>
      </c>
      <c r="T11" s="44">
        <f t="shared" si="9"/>
        <v>4.5302333414701046</v>
      </c>
      <c r="U11" s="44">
        <f t="shared" si="9"/>
        <v>4.1218772845071783</v>
      </c>
      <c r="V11" s="44">
        <f t="shared" si="9"/>
        <v>3.7040301400049307</v>
      </c>
      <c r="W11" s="44">
        <f t="shared" si="9"/>
        <v>3.2765329623246968</v>
      </c>
      <c r="X11" s="44">
        <f t="shared" si="9"/>
        <v>2.8392244623346343</v>
      </c>
      <c r="Y11" s="44">
        <f t="shared" si="9"/>
        <v>2.5832962531498476</v>
      </c>
      <c r="Z11" s="44">
        <f t="shared" si="9"/>
        <v>2.3214197128561267</v>
      </c>
      <c r="AA11" s="44">
        <f t="shared" si="9"/>
        <v>2.0534952257578842</v>
      </c>
      <c r="AB11" s="44">
        <f t="shared" si="9"/>
        <v>1.779421707426545</v>
      </c>
      <c r="AC11" s="44">
        <f t="shared" si="9"/>
        <v>1.4990965844754172</v>
      </c>
      <c r="AD11" s="44">
        <f t="shared" si="9"/>
        <v>1.2124157740677042</v>
      </c>
      <c r="AE11" s="44">
        <f t="shared" si="9"/>
        <v>0.91927366315420755</v>
      </c>
      <c r="AF11" s="44">
        <f t="shared" si="9"/>
        <v>0.61956308743730126</v>
      </c>
      <c r="AG11" s="44">
        <f t="shared" si="9"/>
        <v>0.31317531005762689</v>
      </c>
      <c r="AH11" s="44">
        <f t="shared" si="9"/>
        <v>0</v>
      </c>
      <c r="AJ11" s="44">
        <f t="shared" si="7"/>
        <v>7.61095133078841</v>
      </c>
      <c r="AK11" s="44">
        <f t="shared" si="8"/>
        <v>7.5404453537025837</v>
      </c>
      <c r="AL11" s="44">
        <f t="shared" si="8"/>
        <v>7.4674810761608841</v>
      </c>
      <c r="AM11" s="44">
        <f t="shared" si="8"/>
        <v>7.3920130971732645</v>
      </c>
      <c r="AN11" s="44">
        <f t="shared" si="8"/>
        <v>7.313995316026543</v>
      </c>
      <c r="AO11" s="44">
        <f t="shared" si="8"/>
        <v>7.2333809224019845</v>
      </c>
      <c r="AP11" s="44">
        <f t="shared" si="8"/>
        <v>7.1501223863603487</v>
      </c>
      <c r="AQ11" s="44">
        <f t="shared" si="8"/>
        <v>7.0641714481926492</v>
      </c>
      <c r="AR11" s="44">
        <f t="shared" si="8"/>
        <v>6.9754791081349223</v>
      </c>
      <c r="AS11" s="44">
        <f t="shared" si="8"/>
        <v>6.88399561594521</v>
      </c>
      <c r="AT11" s="44">
        <f t="shared" si="8"/>
        <v>6.789670460341009</v>
      </c>
      <c r="AU11" s="44">
        <f t="shared" si="8"/>
        <v>6.4350503445147442</v>
      </c>
      <c r="AV11" s="44">
        <f t="shared" si="8"/>
        <v>6.0718453564904351</v>
      </c>
      <c r="AW11" s="44">
        <f t="shared" si="8"/>
        <v>5.699909957072963</v>
      </c>
      <c r="AX11" s="44">
        <f t="shared" si="8"/>
        <v>5.3190964485549399</v>
      </c>
      <c r="AY11" s="44">
        <f t="shared" si="8"/>
        <v>4.92925494488974</v>
      </c>
      <c r="AZ11" s="44">
        <f t="shared" si="8"/>
        <v>4.5302333414701046</v>
      </c>
      <c r="BA11" s="44">
        <f t="shared" si="8"/>
        <v>4.1218772845071783</v>
      </c>
      <c r="BB11" s="44">
        <f t="shared" si="8"/>
        <v>3.7040301400049307</v>
      </c>
      <c r="BC11" s="44">
        <f t="shared" si="8"/>
        <v>3.2765329623246968</v>
      </c>
      <c r="BD11" s="44">
        <f t="shared" si="8"/>
        <v>2.8392244623346343</v>
      </c>
      <c r="BE11" s="44">
        <f t="shared" si="8"/>
        <v>2.5832962531498476</v>
      </c>
      <c r="BF11" s="44">
        <f t="shared" si="8"/>
        <v>2.3214197128561267</v>
      </c>
      <c r="BG11" s="44">
        <f t="shared" si="8"/>
        <v>2.0534952257578842</v>
      </c>
      <c r="BH11" s="44">
        <f t="shared" si="8"/>
        <v>1.779421707426545</v>
      </c>
      <c r="BI11" s="44">
        <f t="shared" si="8"/>
        <v>1.4990965844754172</v>
      </c>
      <c r="BJ11" s="44">
        <f t="shared" si="8"/>
        <v>1.2124157740677042</v>
      </c>
      <c r="BK11" s="44">
        <f t="shared" si="8"/>
        <v>0.91927366315420755</v>
      </c>
      <c r="BL11" s="44">
        <f t="shared" si="8"/>
        <v>0.61956308743730126</v>
      </c>
      <c r="BM11" s="44">
        <f t="shared" si="8"/>
        <v>0.31317531005762689</v>
      </c>
      <c r="BN11" s="44">
        <f t="shared" si="8"/>
        <v>0</v>
      </c>
    </row>
    <row r="12" spans="1:89" outlineLevel="1" x14ac:dyDescent="0.2">
      <c r="A12" s="1" t="s">
        <v>177</v>
      </c>
      <c r="C12" s="1"/>
      <c r="D12" s="66">
        <f>D4-D10</f>
        <v>116.10918671199683</v>
      </c>
      <c r="E12" s="66">
        <f t="shared" ref="E12:AH12" si="10">E4-E10</f>
        <v>118.7914789697226</v>
      </c>
      <c r="F12" s="66">
        <f t="shared" si="10"/>
        <v>121.53967831070919</v>
      </c>
      <c r="G12" s="66">
        <f t="shared" si="10"/>
        <v>124.3554215890108</v>
      </c>
      <c r="H12" s="66">
        <f t="shared" si="10"/>
        <v>127.24038618592321</v>
      </c>
      <c r="I12" s="66">
        <f t="shared" si="10"/>
        <v>130.19629100862201</v>
      </c>
      <c r="J12" s="66">
        <f t="shared" si="10"/>
        <v>132.15460730408194</v>
      </c>
      <c r="K12" s="66">
        <f t="shared" si="10"/>
        <v>134.14388718582694</v>
      </c>
      <c r="L12" s="66">
        <f t="shared" si="10"/>
        <v>136.16463390215037</v>
      </c>
      <c r="M12" s="66">
        <f t="shared" si="10"/>
        <v>138.21735898460543</v>
      </c>
      <c r="N12" s="66">
        <f t="shared" si="10"/>
        <v>140.30258238491476</v>
      </c>
      <c r="O12" s="66">
        <f t="shared" si="10"/>
        <v>141.22816692977324</v>
      </c>
      <c r="P12" s="66">
        <f t="shared" si="10"/>
        <v>142.15742709325002</v>
      </c>
      <c r="Q12" s="66">
        <f t="shared" si="10"/>
        <v>143.09033458989902</v>
      </c>
      <c r="R12" s="66">
        <f t="shared" si="10"/>
        <v>144.02686009530154</v>
      </c>
      <c r="S12" s="66">
        <f t="shared" si="10"/>
        <v>144.96697322690841</v>
      </c>
      <c r="T12" s="66">
        <f t="shared" si="10"/>
        <v>145.84417597337156</v>
      </c>
      <c r="U12" s="66">
        <f t="shared" si="10"/>
        <v>146.72364647410933</v>
      </c>
      <c r="V12" s="66">
        <f t="shared" si="10"/>
        <v>147.605333254393</v>
      </c>
      <c r="W12" s="66">
        <f t="shared" si="10"/>
        <v>148.48918347746397</v>
      </c>
      <c r="X12" s="66">
        <f t="shared" si="10"/>
        <v>149.37514292121918</v>
      </c>
      <c r="Y12" s="66">
        <f t="shared" si="10"/>
        <v>149.61096951584955</v>
      </c>
      <c r="Z12" s="66">
        <f t="shared" si="10"/>
        <v>149.84198462948672</v>
      </c>
      <c r="AA12" s="66">
        <f t="shared" si="10"/>
        <v>150.06808487728483</v>
      </c>
      <c r="AB12" s="66">
        <f t="shared" si="10"/>
        <v>150.28916530244825</v>
      </c>
      <c r="AC12" s="66">
        <f t="shared" si="10"/>
        <v>150.50511935463931</v>
      </c>
      <c r="AD12" s="66">
        <f t="shared" si="10"/>
        <v>150.50695346835016</v>
      </c>
      <c r="AE12" s="66">
        <f t="shared" si="10"/>
        <v>150.50212307066852</v>
      </c>
      <c r="AF12" s="66">
        <f t="shared" si="10"/>
        <v>150.49051035043388</v>
      </c>
      <c r="AG12" s="66">
        <f t="shared" si="10"/>
        <v>150.47199578620572</v>
      </c>
      <c r="AH12" s="66">
        <f t="shared" si="10"/>
        <v>150.44645812310796</v>
      </c>
      <c r="AJ12" s="66">
        <f t="shared" si="7"/>
        <v>116.10918671199683</v>
      </c>
      <c r="AK12" s="66">
        <f t="shared" si="8"/>
        <v>118.7914789697226</v>
      </c>
      <c r="AL12" s="66">
        <f t="shared" si="8"/>
        <v>121.53967831070919</v>
      </c>
      <c r="AM12" s="66">
        <f t="shared" si="8"/>
        <v>124.3554215890108</v>
      </c>
      <c r="AN12" s="66">
        <f t="shared" si="8"/>
        <v>127.24038618592321</v>
      </c>
      <c r="AO12" s="66">
        <f t="shared" si="8"/>
        <v>130.19629100862201</v>
      </c>
      <c r="AP12" s="66">
        <f t="shared" si="8"/>
        <v>132.15460730408194</v>
      </c>
      <c r="AQ12" s="66">
        <f t="shared" si="8"/>
        <v>134.14388718582694</v>
      </c>
      <c r="AR12" s="66">
        <f t="shared" si="8"/>
        <v>136.16463390215037</v>
      </c>
      <c r="AS12" s="66">
        <f t="shared" si="8"/>
        <v>138.21735898460543</v>
      </c>
      <c r="AT12" s="66">
        <f t="shared" si="8"/>
        <v>140.30258238491476</v>
      </c>
      <c r="AU12" s="66">
        <f t="shared" si="8"/>
        <v>141.22816692977324</v>
      </c>
      <c r="AV12" s="66">
        <f t="shared" si="8"/>
        <v>142.15742709325002</v>
      </c>
      <c r="AW12" s="66">
        <f t="shared" si="8"/>
        <v>143.09033458989902</v>
      </c>
      <c r="AX12" s="66">
        <f t="shared" si="8"/>
        <v>144.02686009530154</v>
      </c>
      <c r="AY12" s="66">
        <f t="shared" si="8"/>
        <v>144.96697322690841</v>
      </c>
      <c r="AZ12" s="66">
        <f t="shared" si="8"/>
        <v>145.84417597337156</v>
      </c>
      <c r="BA12" s="66">
        <f t="shared" si="8"/>
        <v>146.72364647410933</v>
      </c>
      <c r="BB12" s="66">
        <f t="shared" si="8"/>
        <v>147.605333254393</v>
      </c>
      <c r="BC12" s="66">
        <f t="shared" si="8"/>
        <v>148.48918347746397</v>
      </c>
      <c r="BD12" s="66">
        <f t="shared" si="8"/>
        <v>149.37514292121918</v>
      </c>
      <c r="BE12" s="66">
        <f t="shared" si="8"/>
        <v>149.61096951584955</v>
      </c>
      <c r="BF12" s="66">
        <f t="shared" si="8"/>
        <v>149.84198462948672</v>
      </c>
      <c r="BG12" s="66">
        <f t="shared" si="8"/>
        <v>150.06808487728483</v>
      </c>
      <c r="BH12" s="66">
        <f t="shared" si="8"/>
        <v>150.28916530244825</v>
      </c>
      <c r="BI12" s="66">
        <f t="shared" si="8"/>
        <v>150.50511935463931</v>
      </c>
      <c r="BJ12" s="66">
        <f t="shared" si="8"/>
        <v>150.50695346835016</v>
      </c>
      <c r="BK12" s="66">
        <f t="shared" si="8"/>
        <v>150.50212307066852</v>
      </c>
      <c r="BL12" s="66">
        <f t="shared" si="8"/>
        <v>150.49051035043388</v>
      </c>
      <c r="BM12" s="66">
        <f t="shared" si="8"/>
        <v>150.47199578620572</v>
      </c>
      <c r="BN12" s="66">
        <f t="shared" si="8"/>
        <v>150.44645812310796</v>
      </c>
      <c r="BQ12" s="1" t="s">
        <v>178</v>
      </c>
      <c r="BR12" t="s">
        <v>179</v>
      </c>
      <c r="BS12" s="44" t="e">
        <f>#REF!</f>
        <v>#REF!</v>
      </c>
    </row>
    <row r="13" spans="1:89" s="67" customFormat="1" outlineLevel="1" x14ac:dyDescent="0.2">
      <c r="A13" s="681"/>
      <c r="B13" s="58" t="s">
        <v>7</v>
      </c>
      <c r="C13" s="59" t="s">
        <v>153</v>
      </c>
      <c r="D13" s="60">
        <f>D5</f>
        <v>41.944590154283411</v>
      </c>
      <c r="E13" s="60">
        <f t="shared" ref="E13:AH13" si="11">E5</f>
        <v>42.969163358460833</v>
      </c>
      <c r="F13" s="60">
        <f t="shared" si="11"/>
        <v>44.018763633992556</v>
      </c>
      <c r="G13" s="60">
        <f t="shared" si="11"/>
        <v>45.094002312795148</v>
      </c>
      <c r="H13" s="60">
        <f t="shared" si="11"/>
        <v>46.195505659683526</v>
      </c>
      <c r="I13" s="60">
        <f t="shared" si="11"/>
        <v>47.323915237134209</v>
      </c>
      <c r="J13" s="60">
        <f t="shared" si="11"/>
        <v>48.093244590858653</v>
      </c>
      <c r="K13" s="60">
        <f t="shared" si="11"/>
        <v>48.875080679318295</v>
      </c>
      <c r="L13" s="60">
        <f t="shared" si="11"/>
        <v>49.669626820393816</v>
      </c>
      <c r="M13" s="60">
        <f t="shared" si="11"/>
        <v>50.477089637237917</v>
      </c>
      <c r="N13" s="60">
        <f t="shared" si="11"/>
        <v>51.297679112008069</v>
      </c>
      <c r="O13" s="60">
        <f t="shared" si="11"/>
        <v>51.793743459775555</v>
      </c>
      <c r="P13" s="60">
        <f t="shared" si="11"/>
        <v>52.294604902487421</v>
      </c>
      <c r="Q13" s="60">
        <f t="shared" si="11"/>
        <v>52.800309829528437</v>
      </c>
      <c r="R13" s="60">
        <f t="shared" si="11"/>
        <v>53.31090507888301</v>
      </c>
      <c r="S13" s="60">
        <f t="shared" si="11"/>
        <v>53.826437941473259</v>
      </c>
      <c r="T13" s="60">
        <f t="shared" si="11"/>
        <v>54.322945040073982</v>
      </c>
      <c r="U13" s="60">
        <f t="shared" si="11"/>
        <v>54.824032031165991</v>
      </c>
      <c r="V13" s="60">
        <f t="shared" si="11"/>
        <v>55.329741160701658</v>
      </c>
      <c r="W13" s="60">
        <f t="shared" si="11"/>
        <v>55.84011506431942</v>
      </c>
      <c r="X13" s="60">
        <f t="shared" si="11"/>
        <v>56.355196770938441</v>
      </c>
      <c r="Y13" s="60">
        <f t="shared" si="11"/>
        <v>56.570299197220159</v>
      </c>
      <c r="Z13" s="60">
        <f t="shared" si="11"/>
        <v>56.786222649005182</v>
      </c>
      <c r="AA13" s="60">
        <f t="shared" si="11"/>
        <v>57.002970260069759</v>
      </c>
      <c r="AB13" s="60">
        <f t="shared" si="11"/>
        <v>57.220545176151482</v>
      </c>
      <c r="AC13" s="60">
        <f t="shared" si="11"/>
        <v>57.438950554994953</v>
      </c>
      <c r="AD13" s="60">
        <f t="shared" si="11"/>
        <v>57.582729452258761</v>
      </c>
      <c r="AE13" s="60">
        <f t="shared" si="11"/>
        <v>57.726868251141575</v>
      </c>
      <c r="AF13" s="60">
        <f t="shared" si="11"/>
        <v>57.87136785253481</v>
      </c>
      <c r="AG13" s="60">
        <f t="shared" si="11"/>
        <v>58.016229159584967</v>
      </c>
      <c r="AH13" s="60">
        <f t="shared" si="11"/>
        <v>58.161453077699292</v>
      </c>
      <c r="AI13" s="60"/>
      <c r="AJ13" s="60">
        <f t="shared" si="7"/>
        <v>41.944590154283411</v>
      </c>
      <c r="AK13" s="60">
        <f t="shared" si="8"/>
        <v>42.969163358460833</v>
      </c>
      <c r="AL13" s="60">
        <f t="shared" si="8"/>
        <v>44.018763633992556</v>
      </c>
      <c r="AM13" s="60">
        <f t="shared" si="8"/>
        <v>45.094002312795148</v>
      </c>
      <c r="AN13" s="60">
        <f t="shared" si="8"/>
        <v>46.195505659683526</v>
      </c>
      <c r="AO13" s="60">
        <f t="shared" si="8"/>
        <v>47.323915237134209</v>
      </c>
      <c r="AP13" s="60">
        <f t="shared" si="8"/>
        <v>48.093244590858653</v>
      </c>
      <c r="AQ13" s="60">
        <f t="shared" si="8"/>
        <v>48.875080679318295</v>
      </c>
      <c r="AR13" s="60">
        <f t="shared" si="8"/>
        <v>49.669626820393816</v>
      </c>
      <c r="AS13" s="60">
        <f t="shared" si="8"/>
        <v>50.477089637237917</v>
      </c>
      <c r="AT13" s="60">
        <f t="shared" si="8"/>
        <v>51.297679112008069</v>
      </c>
      <c r="AU13" s="60">
        <f t="shared" si="8"/>
        <v>51.793743459775555</v>
      </c>
      <c r="AV13" s="60">
        <f t="shared" si="8"/>
        <v>52.294604902487421</v>
      </c>
      <c r="AW13" s="60">
        <f t="shared" si="8"/>
        <v>52.800309829528437</v>
      </c>
      <c r="AX13" s="60">
        <f t="shared" si="8"/>
        <v>53.31090507888301</v>
      </c>
      <c r="AY13" s="60">
        <f t="shared" si="8"/>
        <v>53.826437941473259</v>
      </c>
      <c r="AZ13" s="60">
        <f t="shared" si="8"/>
        <v>54.322945040073982</v>
      </c>
      <c r="BA13" s="60">
        <f t="shared" si="8"/>
        <v>54.824032031165991</v>
      </c>
      <c r="BB13" s="60">
        <f t="shared" si="8"/>
        <v>55.329741160701658</v>
      </c>
      <c r="BC13" s="60">
        <f t="shared" si="8"/>
        <v>55.84011506431942</v>
      </c>
      <c r="BD13" s="60">
        <f t="shared" si="8"/>
        <v>56.355196770938441</v>
      </c>
      <c r="BE13" s="60">
        <f t="shared" si="8"/>
        <v>56.570299197220159</v>
      </c>
      <c r="BF13" s="60">
        <f t="shared" si="8"/>
        <v>56.786222649005182</v>
      </c>
      <c r="BG13" s="60">
        <f t="shared" si="8"/>
        <v>57.002970260069759</v>
      </c>
      <c r="BH13" s="60">
        <f t="shared" si="8"/>
        <v>57.220545176151482</v>
      </c>
      <c r="BI13" s="60">
        <f t="shared" si="8"/>
        <v>57.438950554994953</v>
      </c>
      <c r="BJ13" s="60">
        <f t="shared" si="8"/>
        <v>57.582729452258761</v>
      </c>
      <c r="BK13" s="60">
        <f t="shared" si="8"/>
        <v>57.726868251141575</v>
      </c>
      <c r="BL13" s="60">
        <f t="shared" si="8"/>
        <v>57.87136785253481</v>
      </c>
      <c r="BM13" s="60">
        <f t="shared" si="8"/>
        <v>58.016229159584967</v>
      </c>
      <c r="BN13" s="60">
        <f t="shared" si="8"/>
        <v>58.161453077699292</v>
      </c>
    </row>
    <row r="14" spans="1:89" ht="14.5" customHeight="1" outlineLevel="1" x14ac:dyDescent="0.2">
      <c r="A14" s="682"/>
      <c r="B14" s="1" t="s">
        <v>8</v>
      </c>
      <c r="C14" s="54" t="s">
        <v>153</v>
      </c>
      <c r="D14" s="44">
        <f>D6-D10</f>
        <v>27.181969038530035</v>
      </c>
      <c r="E14" s="44">
        <f t="shared" ref="E14:AH14" si="12">E6-E10</f>
        <v>27.692051625946714</v>
      </c>
      <c r="F14" s="44">
        <f t="shared" si="12"/>
        <v>28.214981109032237</v>
      </c>
      <c r="G14" s="44">
        <f t="shared" si="12"/>
        <v>28.751098249872474</v>
      </c>
      <c r="H14" s="44">
        <f t="shared" si="12"/>
        <v>29.300752678381873</v>
      </c>
      <c r="I14" s="44">
        <f t="shared" si="12"/>
        <v>29.86430311760283</v>
      </c>
      <c r="J14" s="44">
        <f t="shared" si="12"/>
        <v>30.191555224579936</v>
      </c>
      <c r="K14" s="44">
        <f t="shared" si="12"/>
        <v>30.523255242802946</v>
      </c>
      <c r="L14" s="44">
        <f t="shared" si="12"/>
        <v>30.859475363941137</v>
      </c>
      <c r="M14" s="44">
        <f t="shared" si="12"/>
        <v>31.200289055377549</v>
      </c>
      <c r="N14" s="44">
        <f t="shared" si="12"/>
        <v>31.545771083199309</v>
      </c>
      <c r="O14" s="44">
        <f t="shared" si="12"/>
        <v>31.419643784606627</v>
      </c>
      <c r="P14" s="44">
        <f t="shared" si="12"/>
        <v>31.287021727361875</v>
      </c>
      <c r="Q14" s="44">
        <f t="shared" si="12"/>
        <v>31.147778275340123</v>
      </c>
      <c r="R14" s="44">
        <f t="shared" si="12"/>
        <v>31.001784802362426</v>
      </c>
      <c r="S14" s="44">
        <f t="shared" si="12"/>
        <v>30.848910663840783</v>
      </c>
      <c r="T14" s="44">
        <f t="shared" si="12"/>
        <v>30.673462885616949</v>
      </c>
      <c r="U14" s="44">
        <f t="shared" si="12"/>
        <v>30.490572977866336</v>
      </c>
      <c r="V14" s="44">
        <f t="shared" si="12"/>
        <v>30.300099899721054</v>
      </c>
      <c r="W14" s="44">
        <f t="shared" si="12"/>
        <v>30.101900422105189</v>
      </c>
      <c r="X14" s="44">
        <f t="shared" si="12"/>
        <v>29.89582909679941</v>
      </c>
      <c r="Y14" s="44">
        <f t="shared" si="12"/>
        <v>29.675614513921889</v>
      </c>
      <c r="Z14" s="44">
        <f t="shared" si="12"/>
        <v>29.448847784249462</v>
      </c>
      <c r="AA14" s="44">
        <f t="shared" si="12"/>
        <v>29.215418878980508</v>
      </c>
      <c r="AB14" s="44">
        <f t="shared" si="12"/>
        <v>28.975216172004192</v>
      </c>
      <c r="AC14" s="44">
        <f t="shared" si="12"/>
        <v>28.728126418211453</v>
      </c>
      <c r="AD14" s="44">
        <f t="shared" si="12"/>
        <v>28.425133205041774</v>
      </c>
      <c r="AE14" s="44">
        <f t="shared" si="12"/>
        <v>28.114712448834844</v>
      </c>
      <c r="AF14" s="44">
        <f t="shared" si="12"/>
        <v>27.796744428439681</v>
      </c>
      <c r="AG14" s="44">
        <f t="shared" si="12"/>
        <v>27.471107707644293</v>
      </c>
      <c r="AH14" s="44">
        <f t="shared" si="12"/>
        <v>27.137679112008058</v>
      </c>
      <c r="AI14" s="44"/>
      <c r="AJ14" s="44">
        <f t="shared" si="7"/>
        <v>27.181969038530035</v>
      </c>
      <c r="AK14" s="44">
        <f t="shared" si="8"/>
        <v>27.692051625946714</v>
      </c>
      <c r="AL14" s="44">
        <f t="shared" si="8"/>
        <v>28.214981109032237</v>
      </c>
      <c r="AM14" s="44">
        <f t="shared" si="8"/>
        <v>28.751098249872474</v>
      </c>
      <c r="AN14" s="44">
        <f t="shared" si="8"/>
        <v>29.300752678381873</v>
      </c>
      <c r="AO14" s="44">
        <f t="shared" si="8"/>
        <v>29.86430311760283</v>
      </c>
      <c r="AP14" s="44">
        <f t="shared" si="8"/>
        <v>30.191555224579936</v>
      </c>
      <c r="AQ14" s="44">
        <f t="shared" si="8"/>
        <v>30.523255242802946</v>
      </c>
      <c r="AR14" s="44">
        <f t="shared" si="8"/>
        <v>30.859475363941137</v>
      </c>
      <c r="AS14" s="44">
        <f t="shared" si="8"/>
        <v>31.200289055377549</v>
      </c>
      <c r="AT14" s="44">
        <f t="shared" si="8"/>
        <v>31.545771083199309</v>
      </c>
      <c r="AU14" s="44">
        <f t="shared" si="8"/>
        <v>31.419643784606627</v>
      </c>
      <c r="AV14" s="44">
        <f t="shared" si="8"/>
        <v>31.287021727361875</v>
      </c>
      <c r="AW14" s="44">
        <f t="shared" si="8"/>
        <v>31.147778275340123</v>
      </c>
      <c r="AX14" s="44">
        <f t="shared" si="8"/>
        <v>31.001784802362426</v>
      </c>
      <c r="AY14" s="44">
        <f t="shared" si="8"/>
        <v>30.848910663840783</v>
      </c>
      <c r="AZ14" s="44">
        <f t="shared" si="8"/>
        <v>30.673462885616949</v>
      </c>
      <c r="BA14" s="44">
        <f t="shared" si="8"/>
        <v>30.490572977866336</v>
      </c>
      <c r="BB14" s="44">
        <f t="shared" si="8"/>
        <v>30.300099899721054</v>
      </c>
      <c r="BC14" s="44">
        <f t="shared" si="8"/>
        <v>30.101900422105189</v>
      </c>
      <c r="BD14" s="44">
        <f t="shared" si="8"/>
        <v>29.89582909679941</v>
      </c>
      <c r="BE14" s="44">
        <f t="shared" si="8"/>
        <v>29.675614513921889</v>
      </c>
      <c r="BF14" s="44">
        <f t="shared" si="8"/>
        <v>29.448847784249462</v>
      </c>
      <c r="BG14" s="44">
        <f t="shared" si="8"/>
        <v>29.215418878980508</v>
      </c>
      <c r="BH14" s="44">
        <f t="shared" si="8"/>
        <v>28.975216172004192</v>
      </c>
      <c r="BI14" s="44">
        <f t="shared" si="8"/>
        <v>28.728126418211453</v>
      </c>
      <c r="BJ14" s="44">
        <f t="shared" si="8"/>
        <v>28.425133205041774</v>
      </c>
      <c r="BK14" s="44">
        <f t="shared" si="8"/>
        <v>28.114712448834844</v>
      </c>
      <c r="BL14" s="44">
        <f t="shared" si="8"/>
        <v>27.796744428439681</v>
      </c>
      <c r="BM14" s="44">
        <f t="shared" si="8"/>
        <v>27.471107707644293</v>
      </c>
      <c r="BN14" s="44">
        <f t="shared" si="8"/>
        <v>27.137679112008058</v>
      </c>
      <c r="BY14" s="30"/>
      <c r="BZ14" s="139" t="s">
        <v>1</v>
      </c>
      <c r="CA14" s="139" t="s">
        <v>180</v>
      </c>
      <c r="CB14" s="139" t="s">
        <v>181</v>
      </c>
      <c r="CC14" s="139" t="s">
        <v>182</v>
      </c>
      <c r="CD14" s="139" t="s">
        <v>183</v>
      </c>
      <c r="CE14" s="263" t="s">
        <v>28</v>
      </c>
      <c r="CF14" s="139" t="s">
        <v>51</v>
      </c>
      <c r="CG14" s="139" t="s">
        <v>184</v>
      </c>
    </row>
    <row r="15" spans="1:89" s="68" customFormat="1" outlineLevel="1" x14ac:dyDescent="0.2">
      <c r="A15" s="683"/>
      <c r="B15" s="62" t="s">
        <v>166</v>
      </c>
      <c r="C15" s="283" t="s">
        <v>153</v>
      </c>
      <c r="D15" s="284">
        <f>D7</f>
        <v>46.982627519183382</v>
      </c>
      <c r="E15" s="284">
        <f t="shared" ref="E15:AH15" si="13">E7</f>
        <v>48.130263985315068</v>
      </c>
      <c r="F15" s="284">
        <f t="shared" si="13"/>
        <v>49.305933567684399</v>
      </c>
      <c r="G15" s="284">
        <f t="shared" si="13"/>
        <v>50.510321026343171</v>
      </c>
      <c r="H15" s="284">
        <f t="shared" si="13"/>
        <v>51.744127847857811</v>
      </c>
      <c r="I15" s="284">
        <f t="shared" si="13"/>
        <v>53.008072653884966</v>
      </c>
      <c r="J15" s="284">
        <f t="shared" si="13"/>
        <v>53.869807488643346</v>
      </c>
      <c r="K15" s="284">
        <f t="shared" si="13"/>
        <v>54.745551263705693</v>
      </c>
      <c r="L15" s="284">
        <f t="shared" si="13"/>
        <v>55.635531717815418</v>
      </c>
      <c r="M15" s="284">
        <f t="shared" si="13"/>
        <v>56.539980291989956</v>
      </c>
      <c r="N15" s="284">
        <f t="shared" si="13"/>
        <v>57.459132189707368</v>
      </c>
      <c r="O15" s="284">
        <f t="shared" si="13"/>
        <v>58.014779685391062</v>
      </c>
      <c r="P15" s="284">
        <f t="shared" si="13"/>
        <v>58.575800463400718</v>
      </c>
      <c r="Q15" s="284">
        <f t="shared" si="13"/>
        <v>59.142246485030462</v>
      </c>
      <c r="R15" s="284">
        <f t="shared" si="13"/>
        <v>59.714170214056111</v>
      </c>
      <c r="S15" s="284">
        <f t="shared" si="13"/>
        <v>60.291624621594352</v>
      </c>
      <c r="T15" s="284">
        <f t="shared" si="13"/>
        <v>60.847768047680631</v>
      </c>
      <c r="U15" s="284">
        <f t="shared" si="13"/>
        <v>61.409041465076996</v>
      </c>
      <c r="V15" s="284">
        <f t="shared" si="13"/>
        <v>61.97549219397029</v>
      </c>
      <c r="W15" s="284">
        <f t="shared" si="13"/>
        <v>62.547167991039352</v>
      </c>
      <c r="X15" s="284">
        <f t="shared" si="13"/>
        <v>63.124117053481328</v>
      </c>
      <c r="Y15" s="284">
        <f t="shared" si="13"/>
        <v>63.365055804707509</v>
      </c>
      <c r="Z15" s="284">
        <f t="shared" si="13"/>
        <v>63.606914196232061</v>
      </c>
      <c r="AA15" s="284">
        <f t="shared" si="13"/>
        <v>63.849695738234566</v>
      </c>
      <c r="AB15" s="284">
        <f t="shared" si="13"/>
        <v>64.093403954292583</v>
      </c>
      <c r="AC15" s="284">
        <f t="shared" si="13"/>
        <v>64.338042381432885</v>
      </c>
      <c r="AD15" s="284">
        <f t="shared" si="13"/>
        <v>64.499090811049626</v>
      </c>
      <c r="AE15" s="284">
        <f t="shared" si="13"/>
        <v>64.660542370692099</v>
      </c>
      <c r="AF15" s="284">
        <f t="shared" si="13"/>
        <v>64.822398069459382</v>
      </c>
      <c r="AG15" s="284">
        <f t="shared" si="13"/>
        <v>64.98465891897645</v>
      </c>
      <c r="AH15" s="284">
        <f t="shared" si="13"/>
        <v>65.147325933400609</v>
      </c>
      <c r="AI15" s="284"/>
      <c r="AJ15" s="284">
        <f t="shared" si="7"/>
        <v>46.982627519183382</v>
      </c>
      <c r="AK15" s="284">
        <f t="shared" si="8"/>
        <v>48.130263985315068</v>
      </c>
      <c r="AL15" s="284">
        <f t="shared" si="8"/>
        <v>49.305933567684399</v>
      </c>
      <c r="AM15" s="284">
        <f t="shared" si="8"/>
        <v>50.510321026343171</v>
      </c>
      <c r="AN15" s="284">
        <f t="shared" si="8"/>
        <v>51.744127847857811</v>
      </c>
      <c r="AO15" s="284">
        <f t="shared" si="8"/>
        <v>53.008072653884966</v>
      </c>
      <c r="AP15" s="284">
        <f t="shared" si="8"/>
        <v>53.869807488643346</v>
      </c>
      <c r="AQ15" s="284">
        <f t="shared" si="8"/>
        <v>54.745551263705693</v>
      </c>
      <c r="AR15" s="284">
        <f t="shared" si="8"/>
        <v>55.635531717815418</v>
      </c>
      <c r="AS15" s="284">
        <f t="shared" si="8"/>
        <v>56.539980291989956</v>
      </c>
      <c r="AT15" s="284">
        <f t="shared" si="8"/>
        <v>57.459132189707368</v>
      </c>
      <c r="AU15" s="284">
        <f t="shared" si="8"/>
        <v>58.014779685391062</v>
      </c>
      <c r="AV15" s="284">
        <f t="shared" si="8"/>
        <v>58.575800463400718</v>
      </c>
      <c r="AW15" s="284">
        <f t="shared" si="8"/>
        <v>59.142246485030462</v>
      </c>
      <c r="AX15" s="284">
        <f t="shared" si="8"/>
        <v>59.714170214056111</v>
      </c>
      <c r="AY15" s="284">
        <f t="shared" si="8"/>
        <v>60.291624621594352</v>
      </c>
      <c r="AZ15" s="284">
        <f t="shared" si="8"/>
        <v>60.847768047680631</v>
      </c>
      <c r="BA15" s="284">
        <f t="shared" si="8"/>
        <v>61.409041465076996</v>
      </c>
      <c r="BB15" s="284">
        <f t="shared" si="8"/>
        <v>61.97549219397029</v>
      </c>
      <c r="BC15" s="284">
        <f t="shared" si="8"/>
        <v>62.547167991039352</v>
      </c>
      <c r="BD15" s="284">
        <f t="shared" si="8"/>
        <v>63.124117053481328</v>
      </c>
      <c r="BE15" s="284">
        <f t="shared" si="8"/>
        <v>63.365055804707509</v>
      </c>
      <c r="BF15" s="284">
        <f t="shared" si="8"/>
        <v>63.606914196232061</v>
      </c>
      <c r="BG15" s="284">
        <f t="shared" si="8"/>
        <v>63.849695738234566</v>
      </c>
      <c r="BH15" s="284">
        <f t="shared" si="8"/>
        <v>64.093403954292583</v>
      </c>
      <c r="BI15" s="284">
        <f t="shared" si="8"/>
        <v>64.338042381432885</v>
      </c>
      <c r="BJ15" s="284">
        <f t="shared" si="8"/>
        <v>64.499090811049626</v>
      </c>
      <c r="BK15" s="284">
        <f t="shared" si="8"/>
        <v>64.660542370692099</v>
      </c>
      <c r="BL15" s="284">
        <f t="shared" si="8"/>
        <v>64.822398069459382</v>
      </c>
      <c r="BM15" s="284">
        <f t="shared" si="8"/>
        <v>64.98465891897645</v>
      </c>
      <c r="BN15" s="284">
        <f t="shared" si="8"/>
        <v>65.147325933400609</v>
      </c>
      <c r="BY15" s="138"/>
      <c r="CA15" s="139"/>
      <c r="CB15" s="139"/>
      <c r="CC15" s="139"/>
      <c r="CD15" s="139"/>
      <c r="CE15" s="139"/>
      <c r="CF15" s="139"/>
      <c r="CG15" s="139"/>
      <c r="CI15" s="139"/>
    </row>
    <row r="16" spans="1:89" s="1" customFormat="1" ht="16" outlineLevel="1" x14ac:dyDescent="0.2">
      <c r="A16" s="58" t="s">
        <v>185</v>
      </c>
      <c r="B16" s="58" t="s">
        <v>186</v>
      </c>
      <c r="C16" s="100" t="s">
        <v>153</v>
      </c>
      <c r="D16" s="101">
        <f>SUM('R&amp;S - Transportation'!G4:I4)</f>
        <v>4.4906157306135288</v>
      </c>
      <c r="E16" s="101">
        <f>D16*(1+'Demand Breakdown - BTX'!$L$72)</f>
        <v>4.5398120136615585</v>
      </c>
      <c r="F16" s="101">
        <f>E16*(1+'Demand Breakdown - BTX'!$L$72)</f>
        <v>4.5895472593844042</v>
      </c>
      <c r="G16" s="101">
        <f>F16*(1+'Demand Breakdown - BTX'!$L$72)</f>
        <v>4.6398273723087256</v>
      </c>
      <c r="H16" s="101">
        <f>G16*(1+'Demand Breakdown - BTX'!$L$72)</f>
        <v>4.6906583216473612</v>
      </c>
      <c r="I16" s="101">
        <f>H16*(1+'Demand Breakdown - BTX'!$L$72)</f>
        <v>4.7420461420079851</v>
      </c>
      <c r="J16" s="101">
        <f>I16*(1+'Demand Breakdown - BTX'!$L$72)</f>
        <v>4.7939969341095328</v>
      </c>
      <c r="K16" s="101">
        <f>J16*(1+'Demand Breakdown - BTX'!$L$72)</f>
        <v>4.8465168655064721</v>
      </c>
      <c r="L16" s="101">
        <f>K16*(1+'Demand Breakdown - BTX'!$L$72)</f>
        <v>4.899612171321011</v>
      </c>
      <c r="M16" s="101">
        <f>L16*(1+'Demand Breakdown - BTX'!$L$72)</f>
        <v>4.9532891549833264</v>
      </c>
      <c r="N16" s="101">
        <f>M16*(1+'Demand Breakdown - BTX'!$L$72)</f>
        <v>5.0075541889799009</v>
      </c>
      <c r="O16" s="101">
        <f>N16*(1+'Demand Breakdown - BTX'!$L$72)</f>
        <v>5.0624137156100595</v>
      </c>
      <c r="P16" s="101">
        <f>O16*(1+'Demand Breakdown - BTX'!$L$72)</f>
        <v>5.1178742477507937</v>
      </c>
      <c r="Q16" s="101">
        <f>P16*(1+'Demand Breakdown - BTX'!$L$72)</f>
        <v>5.173942369629966</v>
      </c>
      <c r="R16" s="101">
        <f>Q16*(1+'Demand Breakdown - BTX'!$L$72)</f>
        <v>5.2306247376079833</v>
      </c>
      <c r="S16" s="101">
        <f>R16*(1+'Demand Breakdown - BTX'!$L$72)</f>
        <v>5.2879280809680331</v>
      </c>
      <c r="T16" s="101">
        <f>S16*(1+'Demand Breakdown - BTX'!$L$72)</f>
        <v>5.3458592027149798</v>
      </c>
      <c r="U16" s="101">
        <f>T16*(1+'Demand Breakdown - BTX'!$L$72)</f>
        <v>5.4044249803830118</v>
      </c>
      <c r="V16" s="101">
        <f>U16*(1+'Demand Breakdown - BTX'!$L$72)</f>
        <v>5.4636323668521358</v>
      </c>
      <c r="W16" s="101">
        <f>V16*(1+'Demand Breakdown - BTX'!$L$72)</f>
        <v>5.5234883911736175</v>
      </c>
      <c r="X16" s="101">
        <f>W16*(1+'Demand Breakdown - BTX'!$L$72)</f>
        <v>5.5840001594044644</v>
      </c>
      <c r="Y16" s="101">
        <f>X16*(1+'Demand Breakdown - BTX'!$L$72)</f>
        <v>5.6451748554510512</v>
      </c>
      <c r="Z16" s="101">
        <f>Y16*(1+'Demand Breakdown - BTX'!$L$72)</f>
        <v>5.7070197419219868</v>
      </c>
      <c r="AA16" s="101">
        <f>Z16*(1+'Demand Breakdown - BTX'!$L$72)</f>
        <v>5.7695421609903237</v>
      </c>
      <c r="AB16" s="101">
        <f>AA16*(1+'Demand Breakdown - BTX'!$L$72)</f>
        <v>5.8327495352652186</v>
      </c>
      <c r="AC16" s="101">
        <f>AB16*(1+'Demand Breakdown - BTX'!$L$72)</f>
        <v>5.8966493686731347</v>
      </c>
      <c r="AD16" s="101">
        <f>AC16*(1+'Demand Breakdown - BTX'!$L$72)</f>
        <v>5.961249247348702</v>
      </c>
      <c r="AE16" s="101">
        <f>AD16*(1+'Demand Breakdown - BTX'!$L$72)</f>
        <v>6.0265568405353385</v>
      </c>
      <c r="AF16" s="101">
        <f>AE16*(1+'Demand Breakdown - BTX'!$L$72)</f>
        <v>6.0925799014957356</v>
      </c>
      <c r="AG16" s="101">
        <f>AF16*(1+'Demand Breakdown - BTX'!$L$72)</f>
        <v>6.1593262684323182</v>
      </c>
      <c r="AH16" s="101">
        <f>AG16*(1+'Demand Breakdown - BTX'!$L$72)</f>
        <v>6.2268038654177902</v>
      </c>
      <c r="AJ16" s="101">
        <f>D16</f>
        <v>4.4906157306135288</v>
      </c>
      <c r="AK16" s="101">
        <f t="shared" si="8"/>
        <v>4.5398120136615585</v>
      </c>
      <c r="AL16" s="101">
        <f t="shared" si="8"/>
        <v>4.5895472593844042</v>
      </c>
      <c r="AM16" s="101">
        <f t="shared" si="8"/>
        <v>4.6398273723087256</v>
      </c>
      <c r="AN16" s="101">
        <f t="shared" si="8"/>
        <v>4.6906583216473612</v>
      </c>
      <c r="AO16" s="101">
        <f t="shared" si="8"/>
        <v>4.7420461420079851</v>
      </c>
      <c r="AP16" s="101">
        <f t="shared" si="8"/>
        <v>4.7939969341095328</v>
      </c>
      <c r="AQ16" s="101">
        <f t="shared" si="8"/>
        <v>4.8465168655064721</v>
      </c>
      <c r="AR16" s="101">
        <f t="shared" si="8"/>
        <v>4.899612171321011</v>
      </c>
      <c r="AS16" s="101">
        <f t="shared" si="8"/>
        <v>4.9532891549833264</v>
      </c>
      <c r="AT16" s="101">
        <f t="shared" si="8"/>
        <v>5.0075541889799009</v>
      </c>
      <c r="AU16" s="101">
        <f t="shared" si="8"/>
        <v>5.0624137156100595</v>
      </c>
      <c r="AV16" s="101">
        <f t="shared" si="8"/>
        <v>5.1178742477507937</v>
      </c>
      <c r="AW16" s="101">
        <f t="shared" si="8"/>
        <v>5.173942369629966</v>
      </c>
      <c r="AX16" s="101">
        <f t="shared" si="8"/>
        <v>5.2306247376079833</v>
      </c>
      <c r="AY16" s="101">
        <f t="shared" si="8"/>
        <v>5.2879280809680331</v>
      </c>
      <c r="AZ16" s="101">
        <f t="shared" ref="AZ16:BN16" si="14">T16</f>
        <v>5.3458592027149798</v>
      </c>
      <c r="BA16" s="101">
        <f t="shared" si="14"/>
        <v>5.4044249803830118</v>
      </c>
      <c r="BB16" s="101">
        <f t="shared" si="14"/>
        <v>5.4636323668521358</v>
      </c>
      <c r="BC16" s="101">
        <f t="shared" si="14"/>
        <v>5.5234883911736175</v>
      </c>
      <c r="BD16" s="101">
        <f t="shared" si="14"/>
        <v>5.5840001594044644</v>
      </c>
      <c r="BE16" s="101">
        <f t="shared" si="14"/>
        <v>5.6451748554510512</v>
      </c>
      <c r="BF16" s="101">
        <f t="shared" si="14"/>
        <v>5.7070197419219868</v>
      </c>
      <c r="BG16" s="101">
        <f t="shared" si="14"/>
        <v>5.7695421609903237</v>
      </c>
      <c r="BH16" s="101">
        <f t="shared" si="14"/>
        <v>5.8327495352652186</v>
      </c>
      <c r="BI16" s="101">
        <f t="shared" si="14"/>
        <v>5.8966493686731347</v>
      </c>
      <c r="BJ16" s="101">
        <f t="shared" si="14"/>
        <v>5.961249247348702</v>
      </c>
      <c r="BK16" s="101">
        <f t="shared" si="14"/>
        <v>6.0265568405353385</v>
      </c>
      <c r="BL16" s="101">
        <f t="shared" si="14"/>
        <v>6.0925799014957356</v>
      </c>
      <c r="BM16" s="101">
        <f t="shared" si="14"/>
        <v>6.1593262684323182</v>
      </c>
      <c r="BN16" s="101">
        <f t="shared" si="14"/>
        <v>6.2268038654177902</v>
      </c>
      <c r="BR16" s="1" t="s">
        <v>187</v>
      </c>
      <c r="BS16" s="66">
        <f>AH9</f>
        <v>10.553541876892041</v>
      </c>
      <c r="BY16" s="30" t="s">
        <v>188</v>
      </c>
      <c r="BZ16" s="143">
        <f>D4</f>
        <v>116.10918671199683</v>
      </c>
      <c r="CA16" s="137"/>
      <c r="CB16" s="143" t="s">
        <v>167</v>
      </c>
      <c r="CC16" s="137"/>
      <c r="CD16" s="137"/>
      <c r="CE16" s="137"/>
      <c r="CF16" s="137"/>
      <c r="CG16" s="548" t="s">
        <v>167</v>
      </c>
      <c r="CI16" s="140"/>
    </row>
    <row r="17" spans="1:85" outlineLevel="1" x14ac:dyDescent="0.2">
      <c r="B17" s="1" t="s">
        <v>189</v>
      </c>
      <c r="C17" s="54" t="s">
        <v>153</v>
      </c>
      <c r="D17" s="44">
        <v>0</v>
      </c>
      <c r="E17" s="44">
        <f>E16*('R&amp;S - Transportation'!$B$8*'R&amp;S - Transportation'!$D$19*(E3-$D$3)/10)</f>
        <v>9.0796240273231191E-3</v>
      </c>
      <c r="F17" s="44">
        <f>F16*('R&amp;S - Transportation'!$B$8*'R&amp;S - Transportation'!$D$19*(F3-$D$3)/10)</f>
        <v>1.8358189037537623E-2</v>
      </c>
      <c r="G17" s="44">
        <f>G16*('R&amp;S - Transportation'!$B$8*'R&amp;S - Transportation'!$D$19*(G3-$D$3)/10)</f>
        <v>2.7838964233852358E-2</v>
      </c>
      <c r="H17" s="44">
        <f>H16*('R&amp;S - Transportation'!$B$8*'R&amp;S - Transportation'!$D$19*(H3-$D$3)/10)</f>
        <v>3.7525266573178902E-2</v>
      </c>
      <c r="I17" s="44">
        <f>I16*('R&amp;S - Transportation'!$B$8*'R&amp;S - Transportation'!$D$19*(I3-$D$3)/10)</f>
        <v>4.7420461420079864E-2</v>
      </c>
      <c r="J17" s="44">
        <f>J16*('R&amp;S - Transportation'!$B$8*'R&amp;S - Transportation'!$D$19*(J3-$D$3)/10)</f>
        <v>5.7527963209314401E-2</v>
      </c>
      <c r="K17" s="44">
        <f>K16*('R&amp;S - Transportation'!$B$8*'R&amp;S - Transportation'!$D$19*(K3-$D$3)/10)</f>
        <v>6.7851236117090624E-2</v>
      </c>
      <c r="L17" s="44">
        <f>L16*('R&amp;S - Transportation'!$B$8*'R&amp;S - Transportation'!$D$19*(L3-$D$3)/10)</f>
        <v>7.8393794741136197E-2</v>
      </c>
      <c r="M17" s="44">
        <f>M16*('R&amp;S - Transportation'!$B$8*'R&amp;S - Transportation'!$D$19*(M3-$D$3)/10)</f>
        <v>8.9159204789699908E-2</v>
      </c>
      <c r="N17" s="44">
        <f>N16*('R&amp;S - Transportation'!$B$8*'R&amp;S - Transportation'!$D$19*(N3-$D$3)/10)</f>
        <v>0.10015108377959804</v>
      </c>
      <c r="O17" s="44">
        <f>O16*('R&amp;S - Transportation'!$B$8*('R&amp;S - Transportation'!$D$19+('R&amp;S - Transportation'!$D$20-'R&amp;S - Transportation'!$D$19)*(O3-$N$3)/10))</f>
        <v>0.1265603428902515</v>
      </c>
      <c r="P17" s="44">
        <f>P16*('R&amp;S - Transportation'!$B$8*('R&amp;S - Transportation'!$D$19+('R&amp;S - Transportation'!$D$20-'R&amp;S - Transportation'!$D$19)*(P3-$N$3)/10))</f>
        <v>0.15353622743252379</v>
      </c>
      <c r="Q17" s="44">
        <f>Q16*('R&amp;S - Transportation'!$B$8*('R&amp;S - Transportation'!$D$19+('R&amp;S - Transportation'!$D$20-'R&amp;S - Transportation'!$D$19)*(Q3-$N$3)/10))</f>
        <v>0.18108798293704878</v>
      </c>
      <c r="R17" s="44">
        <f>R16*('R&amp;S - Transportation'!$B$8*('R&amp;S - Transportation'!$D$19+('R&amp;S - Transportation'!$D$20-'R&amp;S - Transportation'!$D$19)*(R3-$N$3)/10))</f>
        <v>0.20922498950431936</v>
      </c>
      <c r="S17" s="44">
        <f>S16*('R&amp;S - Transportation'!$B$8*('R&amp;S - Transportation'!$D$19+('R&amp;S - Transportation'!$D$20-'R&amp;S - Transportation'!$D$19)*(S3-$N$3)/10))</f>
        <v>0.23795676364356147</v>
      </c>
      <c r="T17" s="44">
        <f>T16*('R&amp;S - Transportation'!$B$8*('R&amp;S - Transportation'!$D$19+('R&amp;S - Transportation'!$D$20-'R&amp;S - Transportation'!$D$19)*(T3-$N$3)/10))</f>
        <v>0.26729296013574899</v>
      </c>
      <c r="U17" s="44">
        <f>U16*('R&amp;S - Transportation'!$B$8*('R&amp;S - Transportation'!$D$19+('R&amp;S - Transportation'!$D$20-'R&amp;S - Transportation'!$D$19)*(U3-$N$3)/10))</f>
        <v>0.2972433739210657</v>
      </c>
      <c r="V17" s="44">
        <f>V16*('R&amp;S - Transportation'!$B$8*('R&amp;S - Transportation'!$D$19+('R&amp;S - Transportation'!$D$20-'R&amp;S - Transportation'!$D$19)*(V3-$N$3)/10))</f>
        <v>0.32781794201112813</v>
      </c>
      <c r="W17" s="44">
        <f>W16*('R&amp;S - Transportation'!$B$8*('R&amp;S - Transportation'!$D$19+('R&amp;S - Transportation'!$D$20-'R&amp;S - Transportation'!$D$19)*(W3-$N$3)/10))</f>
        <v>0.35902674542628504</v>
      </c>
      <c r="X17" s="44">
        <f>X16*('R&amp;S - Transportation'!$B$8*('R&amp;S - Transportation'!$D$19+('R&amp;S - Transportation'!$D$20-'R&amp;S - Transportation'!$D$19)*(X3-$N$3)/10))</f>
        <v>0.39088001115831245</v>
      </c>
      <c r="Y17" s="44">
        <f>Y16*('R&amp;S - Transportation'!$B$8*('R&amp;S - Transportation'!$D$20+('R&amp;S - Transportation'!$D$21-'R&amp;S - Transportation'!$D$20)*(Y3-$X$3)/10))</f>
        <v>0.41209776444792673</v>
      </c>
      <c r="Z17" s="44">
        <f>Z16*('R&amp;S - Transportation'!$B$8*('R&amp;S - Transportation'!$D$20+('R&amp;S - Transportation'!$D$21-'R&amp;S - Transportation'!$D$20)*(Z3-$X$3)/10))</f>
        <v>0.43373350038607106</v>
      </c>
      <c r="AA17" s="44">
        <f>AA16*('R&amp;S - Transportation'!$B$8*('R&amp;S - Transportation'!$D$20+('R&amp;S - Transportation'!$D$21-'R&amp;S - Transportation'!$D$20)*(AA3-$X$3)/10))</f>
        <v>0.45579383071823559</v>
      </c>
      <c r="AB17" s="44">
        <f>AB16*('R&amp;S - Transportation'!$B$8*('R&amp;S - Transportation'!$D$20+('R&amp;S - Transportation'!$D$21-'R&amp;S - Transportation'!$D$20)*(AB3-$X$3)/10))</f>
        <v>0.47828546189174792</v>
      </c>
      <c r="AC17" s="44">
        <f>AC16*('R&amp;S - Transportation'!$B$8*('R&amp;S - Transportation'!$D$20+('R&amp;S - Transportation'!$D$21-'R&amp;S - Transportation'!$D$20)*(AC3-$X$3)/10))</f>
        <v>0.50121519633721645</v>
      </c>
      <c r="AD17" s="44">
        <f>AD16*('R&amp;S - Transportation'!$B$8*('R&amp;S - Transportation'!$D$20+('R&amp;S - Transportation'!$D$21-'R&amp;S - Transportation'!$D$20)*(AD3-$X$3)/10))</f>
        <v>0.52458993376668583</v>
      </c>
      <c r="AE17" s="44">
        <f>AE16*('R&amp;S - Transportation'!$B$8*('R&amp;S - Transportation'!$D$20+('R&amp;S - Transportation'!$D$21-'R&amp;S - Transportation'!$D$20)*(AE3-$X$3)/10))</f>
        <v>0.54841667248871584</v>
      </c>
      <c r="AF17" s="44">
        <f>AF16*('R&amp;S - Transportation'!$B$8*('R&amp;S - Transportation'!$D$20+('R&amp;S - Transportation'!$D$21-'R&amp;S - Transportation'!$D$20)*(AF3-$X$3)/10))</f>
        <v>0.57270251074059919</v>
      </c>
      <c r="AG17" s="44">
        <f>AG16*('R&amp;S - Transportation'!$B$8*('R&amp;S - Transportation'!$D$20+('R&amp;S - Transportation'!$D$21-'R&amp;S - Transportation'!$D$20)*(AG3-$X$3)/10))</f>
        <v>0.59745464803793491</v>
      </c>
      <c r="AH17" s="44">
        <f>AH16*('R&amp;S - Transportation'!$B$8*('R&amp;S - Transportation'!$D$20+('R&amp;S - Transportation'!$D$21-'R&amp;S - Transportation'!$D$20)*(AH3-$X$3)/10))</f>
        <v>0.62268038654177904</v>
      </c>
      <c r="AJ17" s="44">
        <v>0</v>
      </c>
      <c r="AK17" s="44">
        <f>AK16*('R&amp;S - Transportation'!$B$8*'R&amp;S - Transportation'!$D$19*(AK3-$D$3)/10)</f>
        <v>9.0796240273231191E-3</v>
      </c>
      <c r="AL17" s="44">
        <f>AL16*('R&amp;S - Transportation'!$B$8*'R&amp;S - Transportation'!$D$19*(AL3-$D$3)/10)</f>
        <v>1.8358189037537623E-2</v>
      </c>
      <c r="AM17" s="44">
        <f>AM16*('R&amp;S - Transportation'!$B$8*'R&amp;S - Transportation'!$D$19*(AM3-$D$3)/10)</f>
        <v>2.7838964233852358E-2</v>
      </c>
      <c r="AN17" s="44">
        <f>AN16*('R&amp;S - Transportation'!$B$8*'R&amp;S - Transportation'!$D$19*(AN3-$D$3)/10)</f>
        <v>3.7525266573178902E-2</v>
      </c>
      <c r="AO17" s="44">
        <f>AO16*('R&amp;S - Transportation'!$B$8*'R&amp;S - Transportation'!$D$19*(AO3-$D$3)/10)</f>
        <v>4.7420461420079864E-2</v>
      </c>
      <c r="AP17" s="44">
        <f>AP16*('R&amp;S - Transportation'!$B$8*'R&amp;S - Transportation'!$D$19*(AP3-$D$3)/10)</f>
        <v>5.7527963209314401E-2</v>
      </c>
      <c r="AQ17" s="44">
        <f>AQ16*('R&amp;S - Transportation'!$B$8*'R&amp;S - Transportation'!$D$19*(AQ3-$D$3)/10)</f>
        <v>6.7851236117090624E-2</v>
      </c>
      <c r="AR17" s="44">
        <f>AR16*('R&amp;S - Transportation'!$B$8*'R&amp;S - Transportation'!$D$19*(AR3-$D$3)/10)</f>
        <v>7.8393794741136197E-2</v>
      </c>
      <c r="AS17" s="44">
        <f>AS16*('R&amp;S - Transportation'!$B$8*'R&amp;S - Transportation'!$D$19*(AS3-$D$3)/10)</f>
        <v>8.9159204789699908E-2</v>
      </c>
      <c r="AT17" s="44">
        <f>AT16*('R&amp;S - Transportation'!$B$8*'R&amp;S - Transportation'!$D$19*(AT3-$D$3)/10)</f>
        <v>0.10015108377959804</v>
      </c>
      <c r="AU17" s="44">
        <f>AU16*('R&amp;S - Transportation'!$B$8*('R&amp;S - Transportation'!$D$19+('R&amp;S - Transportation'!$D$20-'R&amp;S - Transportation'!$D$19)*(AU3-$N$3)/10))</f>
        <v>0.1265603428902515</v>
      </c>
      <c r="AV17" s="44">
        <f>AV16*('R&amp;S - Transportation'!$B$8*('R&amp;S - Transportation'!$D$19+('R&amp;S - Transportation'!$D$20-'R&amp;S - Transportation'!$D$19)*(AV3-$N$3)/10))</f>
        <v>0.15353622743252379</v>
      </c>
      <c r="AW17" s="44">
        <f>AW16*('R&amp;S - Transportation'!$B$8*('R&amp;S - Transportation'!$D$19+('R&amp;S - Transportation'!$D$20-'R&amp;S - Transportation'!$D$19)*(AW3-$N$3)/10))</f>
        <v>0.18108798293704878</v>
      </c>
      <c r="AX17" s="44">
        <f>AX16*('R&amp;S - Transportation'!$B$8*('R&amp;S - Transportation'!$D$19+('R&amp;S - Transportation'!$D$20-'R&amp;S - Transportation'!$D$19)*(AX3-$N$3)/10))</f>
        <v>0.20922498950431936</v>
      </c>
      <c r="AY17" s="44">
        <f>AY16*('R&amp;S - Transportation'!$B$8*('R&amp;S - Transportation'!$D$19+('R&amp;S - Transportation'!$D$20-'R&amp;S - Transportation'!$D$19)*(AY3-$N$3)/10))</f>
        <v>0.23795676364356147</v>
      </c>
      <c r="AZ17" s="44">
        <f>AZ16*('R&amp;S - Transportation'!$B$8*('R&amp;S - Transportation'!$D$19+('R&amp;S - Transportation'!$D$20-'R&amp;S - Transportation'!$D$19)*(AZ3-$N$3)/10))</f>
        <v>0.26729296013574899</v>
      </c>
      <c r="BA17" s="44">
        <f>BA16*('R&amp;S - Transportation'!$B$8*('R&amp;S - Transportation'!$D$19+('R&amp;S - Transportation'!$D$20-'R&amp;S - Transportation'!$D$19)*(BA3-$N$3)/10))</f>
        <v>0.2972433739210657</v>
      </c>
      <c r="BB17" s="44">
        <f>BB16*('R&amp;S - Transportation'!$B$8*('R&amp;S - Transportation'!$D$19+('R&amp;S - Transportation'!$D$20-'R&amp;S - Transportation'!$D$19)*(BB3-$N$3)/10))</f>
        <v>0.32781794201112813</v>
      </c>
      <c r="BC17" s="44">
        <f>BC16*('R&amp;S - Transportation'!$B$8*('R&amp;S - Transportation'!$D$19+('R&amp;S - Transportation'!$D$20-'R&amp;S - Transportation'!$D$19)*(BC3-$N$3)/10))</f>
        <v>0.35902674542628504</v>
      </c>
      <c r="BD17" s="44">
        <f>BD16*('R&amp;S - Transportation'!$B$8*('R&amp;S - Transportation'!$D$19+('R&amp;S - Transportation'!$D$20-'R&amp;S - Transportation'!$D$19)*(BD3-$N$3)/10))</f>
        <v>0.39088001115831245</v>
      </c>
      <c r="BE17" s="44">
        <f>BE16*('R&amp;S - Transportation'!$B$8*('R&amp;S - Transportation'!$D$20+('R&amp;S - Transportation'!$D$21-'R&amp;S - Transportation'!$D$20)*(BE3-$X$3)/10))</f>
        <v>0.41209776444792673</v>
      </c>
      <c r="BF17" s="44">
        <f>BF16*('R&amp;S - Transportation'!$B$8*('R&amp;S - Transportation'!$D$20+('R&amp;S - Transportation'!$D$21-'R&amp;S - Transportation'!$D$20)*(BF3-$X$3)/10))</f>
        <v>0.43373350038607106</v>
      </c>
      <c r="BG17" s="44">
        <f>BG16*('R&amp;S - Transportation'!$B$8*('R&amp;S - Transportation'!$D$20+('R&amp;S - Transportation'!$D$21-'R&amp;S - Transportation'!$D$20)*(BG3-$X$3)/10))</f>
        <v>0.45579383071823559</v>
      </c>
      <c r="BH17" s="44">
        <f>BH16*('R&amp;S - Transportation'!$B$8*('R&amp;S - Transportation'!$D$20+('R&amp;S - Transportation'!$D$21-'R&amp;S - Transportation'!$D$20)*(BH3-$X$3)/10))</f>
        <v>0.47828546189174792</v>
      </c>
      <c r="BI17" s="44">
        <f>BI16*('R&amp;S - Transportation'!$B$8*('R&amp;S - Transportation'!$D$20+('R&amp;S - Transportation'!$D$21-'R&amp;S - Transportation'!$D$20)*(BI3-$X$3)/10))</f>
        <v>0.50121519633721645</v>
      </c>
      <c r="BJ17" s="44">
        <f>BJ16*('R&amp;S - Transportation'!$B$8*('R&amp;S - Transportation'!$D$20+('R&amp;S - Transportation'!$D$21-'R&amp;S - Transportation'!$D$20)*(BJ3-$X$3)/10))</f>
        <v>0.52458993376668583</v>
      </c>
      <c r="BK17" s="44">
        <f>BK16*('R&amp;S - Transportation'!$B$8*('R&amp;S - Transportation'!$D$20+('R&amp;S - Transportation'!$D$21-'R&amp;S - Transportation'!$D$20)*(BK3-$X$3)/10))</f>
        <v>0.54841667248871584</v>
      </c>
      <c r="BL17" s="44">
        <f>BL16*('R&amp;S - Transportation'!$B$8*('R&amp;S - Transportation'!$D$20+('R&amp;S - Transportation'!$D$21-'R&amp;S - Transportation'!$D$20)*(BL3-$X$3)/10))</f>
        <v>0.57270251074059919</v>
      </c>
      <c r="BM17" s="44">
        <f>BM16*('R&amp;S - Transportation'!$B$8*('R&amp;S - Transportation'!$D$20+('R&amp;S - Transportation'!$D$21-'R&amp;S - Transportation'!$D$20)*(BM3-$X$3)/10))</f>
        <v>0.59745464803793491</v>
      </c>
      <c r="BN17" s="44">
        <f>BN16*('R&amp;S - Transportation'!$B$8*('R&amp;S - Transportation'!$D$20+('R&amp;S - Transportation'!$D$21-'R&amp;S - Transportation'!$D$20)*(BN3-$X$3)/10))</f>
        <v>0.62268038654177904</v>
      </c>
      <c r="BR17" t="s">
        <v>190</v>
      </c>
      <c r="BS17" s="44" t="e">
        <f>#REF!</f>
        <v>#REF!</v>
      </c>
      <c r="BY17" s="30" t="s">
        <v>183</v>
      </c>
      <c r="BZ17" s="137"/>
      <c r="CA17" s="137"/>
      <c r="CB17" s="137"/>
      <c r="CC17" s="137"/>
      <c r="CD17" s="143">
        <f>AH67</f>
        <v>59.030211911556655</v>
      </c>
      <c r="CE17" s="137"/>
      <c r="CF17" s="137"/>
      <c r="CG17" s="137"/>
    </row>
    <row r="18" spans="1:85" outlineLevel="1" x14ac:dyDescent="0.2">
      <c r="B18" s="1" t="s">
        <v>191</v>
      </c>
      <c r="C18" s="54" t="s">
        <v>153</v>
      </c>
      <c r="D18" s="44">
        <f>SUM(D16:D17)</f>
        <v>4.4906157306135288</v>
      </c>
      <c r="E18" s="44">
        <f t="shared" ref="E18:AH18" si="15">SUM(E16:E17)</f>
        <v>4.5488916376888815</v>
      </c>
      <c r="F18" s="44">
        <f t="shared" si="15"/>
        <v>4.6079054484219419</v>
      </c>
      <c r="G18" s="44">
        <f t="shared" si="15"/>
        <v>4.6676663365425783</v>
      </c>
      <c r="H18" s="44">
        <f t="shared" si="15"/>
        <v>4.7281835882205403</v>
      </c>
      <c r="I18" s="44">
        <f t="shared" si="15"/>
        <v>4.7894666034280649</v>
      </c>
      <c r="J18" s="44">
        <f t="shared" si="15"/>
        <v>4.8515248973188472</v>
      </c>
      <c r="K18" s="44">
        <f t="shared" si="15"/>
        <v>4.9143681016235625</v>
      </c>
      <c r="L18" s="44">
        <f t="shared" si="15"/>
        <v>4.9780059660621472</v>
      </c>
      <c r="M18" s="44">
        <f t="shared" si="15"/>
        <v>5.0424483597730267</v>
      </c>
      <c r="N18" s="44">
        <f t="shared" si="15"/>
        <v>5.1077052727594987</v>
      </c>
      <c r="O18" s="44">
        <f>SUM(O16:O17)</f>
        <v>5.1889740585003112</v>
      </c>
      <c r="P18" s="44">
        <f t="shared" si="15"/>
        <v>5.2714104751833171</v>
      </c>
      <c r="Q18" s="44">
        <f t="shared" si="15"/>
        <v>5.3550303525670149</v>
      </c>
      <c r="R18" s="44">
        <f t="shared" si="15"/>
        <v>5.4398497271123025</v>
      </c>
      <c r="S18" s="44">
        <f t="shared" si="15"/>
        <v>5.5258848446115945</v>
      </c>
      <c r="T18" s="44">
        <f t="shared" si="15"/>
        <v>5.6131521628507288</v>
      </c>
      <c r="U18" s="44">
        <f t="shared" si="15"/>
        <v>5.7016683543040774</v>
      </c>
      <c r="V18" s="44">
        <f t="shared" si="15"/>
        <v>5.7914503088632641</v>
      </c>
      <c r="W18" s="44">
        <f t="shared" si="15"/>
        <v>5.8825151365999027</v>
      </c>
      <c r="X18" s="44">
        <f t="shared" si="15"/>
        <v>5.974880170562777</v>
      </c>
      <c r="Y18" s="44">
        <f t="shared" si="15"/>
        <v>6.0572726198989777</v>
      </c>
      <c r="Z18" s="44">
        <f t="shared" si="15"/>
        <v>6.1407532423080582</v>
      </c>
      <c r="AA18" s="44">
        <f t="shared" si="15"/>
        <v>6.2253359917085591</v>
      </c>
      <c r="AB18" s="44">
        <f t="shared" si="15"/>
        <v>6.3110349971569661</v>
      </c>
      <c r="AC18" s="44">
        <f t="shared" si="15"/>
        <v>6.3978645650103516</v>
      </c>
      <c r="AD18" s="44">
        <f t="shared" si="15"/>
        <v>6.4858391811153879</v>
      </c>
      <c r="AE18" s="44">
        <f t="shared" si="15"/>
        <v>6.5749735130240543</v>
      </c>
      <c r="AF18" s="44">
        <f t="shared" si="15"/>
        <v>6.6652824122363352</v>
      </c>
      <c r="AG18" s="44">
        <f t="shared" si="15"/>
        <v>6.7567809164702535</v>
      </c>
      <c r="AH18" s="44">
        <f t="shared" si="15"/>
        <v>6.8494842519595691</v>
      </c>
      <c r="AJ18" s="44">
        <f>SUM(AJ16:AJ17)</f>
        <v>4.4906157306135288</v>
      </c>
      <c r="AK18" s="44">
        <f t="shared" ref="AK18:AT18" si="16">SUM(AK16:AK17)</f>
        <v>4.5488916376888815</v>
      </c>
      <c r="AL18" s="44">
        <f t="shared" si="16"/>
        <v>4.6079054484219419</v>
      </c>
      <c r="AM18" s="44">
        <f t="shared" si="16"/>
        <v>4.6676663365425783</v>
      </c>
      <c r="AN18" s="44">
        <f t="shared" si="16"/>
        <v>4.7281835882205403</v>
      </c>
      <c r="AO18" s="44">
        <f t="shared" si="16"/>
        <v>4.7894666034280649</v>
      </c>
      <c r="AP18" s="44">
        <f t="shared" si="16"/>
        <v>4.8515248973188472</v>
      </c>
      <c r="AQ18" s="44">
        <f t="shared" si="16"/>
        <v>4.9143681016235625</v>
      </c>
      <c r="AR18" s="44">
        <f t="shared" si="16"/>
        <v>4.9780059660621472</v>
      </c>
      <c r="AS18" s="44">
        <f t="shared" si="16"/>
        <v>5.0424483597730267</v>
      </c>
      <c r="AT18" s="44">
        <f t="shared" si="16"/>
        <v>5.1077052727594987</v>
      </c>
      <c r="AU18" s="44">
        <f>SUM(AU16:AU17)</f>
        <v>5.1889740585003112</v>
      </c>
      <c r="AV18" s="44">
        <f t="shared" ref="AV18:BN18" si="17">SUM(AV16:AV17)</f>
        <v>5.2714104751833171</v>
      </c>
      <c r="AW18" s="44">
        <f t="shared" si="17"/>
        <v>5.3550303525670149</v>
      </c>
      <c r="AX18" s="44">
        <f t="shared" si="17"/>
        <v>5.4398497271123025</v>
      </c>
      <c r="AY18" s="44">
        <f t="shared" si="17"/>
        <v>5.5258848446115945</v>
      </c>
      <c r="AZ18" s="44">
        <f t="shared" si="17"/>
        <v>5.6131521628507288</v>
      </c>
      <c r="BA18" s="44">
        <f t="shared" si="17"/>
        <v>5.7016683543040774</v>
      </c>
      <c r="BB18" s="44">
        <f t="shared" si="17"/>
        <v>5.7914503088632641</v>
      </c>
      <c r="BC18" s="44">
        <f t="shared" si="17"/>
        <v>5.8825151365999027</v>
      </c>
      <c r="BD18" s="44">
        <f t="shared" si="17"/>
        <v>5.974880170562777</v>
      </c>
      <c r="BE18" s="44">
        <f t="shared" si="17"/>
        <v>6.0572726198989777</v>
      </c>
      <c r="BF18" s="44">
        <f t="shared" si="17"/>
        <v>6.1407532423080582</v>
      </c>
      <c r="BG18" s="44">
        <f t="shared" si="17"/>
        <v>6.2253359917085591</v>
      </c>
      <c r="BH18" s="44">
        <f t="shared" si="17"/>
        <v>6.3110349971569661</v>
      </c>
      <c r="BI18" s="44">
        <f t="shared" si="17"/>
        <v>6.3978645650103516</v>
      </c>
      <c r="BJ18" s="44">
        <f t="shared" si="17"/>
        <v>6.4858391811153879</v>
      </c>
      <c r="BK18" s="44">
        <f t="shared" si="17"/>
        <v>6.5749735130240543</v>
      </c>
      <c r="BL18" s="44">
        <f t="shared" si="17"/>
        <v>6.6652824122363352</v>
      </c>
      <c r="BM18" s="44">
        <f t="shared" si="17"/>
        <v>6.7567809164702535</v>
      </c>
      <c r="BN18" s="44">
        <f t="shared" si="17"/>
        <v>6.8494842519595691</v>
      </c>
      <c r="BR18" t="s">
        <v>192</v>
      </c>
      <c r="BS18" s="44" t="e">
        <f>#REF!</f>
        <v>#REF!</v>
      </c>
      <c r="BY18" s="30" t="s">
        <v>28</v>
      </c>
      <c r="BZ18" s="137"/>
      <c r="CA18" s="137"/>
      <c r="CB18" s="137"/>
      <c r="CC18" s="137"/>
      <c r="CD18" s="137"/>
      <c r="CE18" s="143">
        <f>AH68</f>
        <v>21.299581926220903</v>
      </c>
      <c r="CF18" s="137"/>
      <c r="CG18" s="137"/>
    </row>
    <row r="19" spans="1:85" outlineLevel="1" x14ac:dyDescent="0.2">
      <c r="B19" s="61" t="s">
        <v>77</v>
      </c>
      <c r="C19" s="54" t="s">
        <v>153</v>
      </c>
      <c r="D19" s="44">
        <v>0</v>
      </c>
      <c r="E19" s="44">
        <f>E18*'R&amp;S - Transportation'!$B$15*('R&amp;S - Transportation'!$B$10*'R&amp;S - Transportation'!$B$19*(E$3-$D$3)/10)</f>
        <v>1.501134240437331E-2</v>
      </c>
      <c r="F19" s="44">
        <f>F18*'R&amp;S - Transportation'!$B$15*('R&amp;S - Transportation'!$B$10*'R&amp;S - Transportation'!$B$19*(F$3-$D$3)/10)</f>
        <v>3.0412175959584817E-2</v>
      </c>
      <c r="G19" s="44">
        <f>G18*'R&amp;S - Transportation'!$B$15*('R&amp;S - Transportation'!$B$10*'R&amp;S - Transportation'!$B$19*(G$3-$D$3)/10)</f>
        <v>4.6209896731771533E-2</v>
      </c>
      <c r="H19" s="44">
        <f>H18*'R&amp;S - Transportation'!$B$15*('R&amp;S - Transportation'!$B$10*'R&amp;S - Transportation'!$B$19*(H$3-$D$3)/10)</f>
        <v>6.2412023364511134E-2</v>
      </c>
      <c r="I19" s="44">
        <f>I18*'R&amp;S - Transportation'!$B$15*('R&amp;S - Transportation'!$B$10*'R&amp;S - Transportation'!$B$19*(I$3-$D$3)/10)</f>
        <v>7.9026198956563071E-2</v>
      </c>
      <c r="J19" s="44">
        <f>J18*'R&amp;S - Transportation'!$B$15*('R&amp;S - Transportation'!$B$10*'R&amp;S - Transportation'!$B$19*(J$3-$D$3)/10)</f>
        <v>9.6060192966913177E-2</v>
      </c>
      <c r="K19" s="44">
        <f>K18*'R&amp;S - Transportation'!$B$15*('R&amp;S - Transportation'!$B$10*'R&amp;S - Transportation'!$B$19*(K$3-$D$3)/10)</f>
        <v>0.11352190314750431</v>
      </c>
      <c r="L19" s="44">
        <f>L18*'R&amp;S - Transportation'!$B$15*('R&amp;S - Transportation'!$B$10*'R&amp;S - Transportation'!$B$19*(L$3-$D$3)/10)</f>
        <v>0.13141935750404068</v>
      </c>
      <c r="M19" s="44">
        <f>M18*'R&amp;S - Transportation'!$B$15*('R&amp;S - Transportation'!$B$10*'R&amp;S - Transportation'!$B$19*(M$3-$D$3)/10)</f>
        <v>0.14976071628525892</v>
      </c>
      <c r="N19" s="44">
        <f>N18*'R&amp;S - Transportation'!$B$15*('R&amp;S - Transportation'!$B$10*'R&amp;S - Transportation'!$B$19*(N$3-$D$3)/10)</f>
        <v>0.16855427400106346</v>
      </c>
      <c r="O19" s="44">
        <f>O18*('R&amp;S - Transportation'!$B$15*('R&amp;S - Transportation'!$B$10*('R&amp;S - Transportation'!$B$19+('R&amp;S - Transportation'!$B$20-'R&amp;S - Transportation'!$B$19)*(O3-$N$3)/10)))</f>
        <v>0.22260698710966337</v>
      </c>
      <c r="P19" s="44">
        <f>P18*('R&amp;S - Transportation'!$B$15*('R&amp;S - Transportation'!$B$10*('R&amp;S - Transportation'!$B$19+('R&amp;S - Transportation'!$B$20-'R&amp;S - Transportation'!$B$19)*(P3-$N$3)/10)))</f>
        <v>0.27833047308967923</v>
      </c>
      <c r="Q19" s="44">
        <f>Q18*('R&amp;S - Transportation'!$B$15*('R&amp;S - Transportation'!$B$10*('R&amp;S - Transportation'!$B$19+('R&amp;S - Transportation'!$B$20-'R&amp;S - Transportation'!$B$19)*(Q3-$N$3)/10)))</f>
        <v>0.33576040310595184</v>
      </c>
      <c r="R19" s="44">
        <f>R18*('R&amp;S - Transportation'!$B$15*('R&amp;S - Transportation'!$B$10*('R&amp;S - Transportation'!$B$19+('R&amp;S - Transportation'!$B$20-'R&amp;S - Transportation'!$B$19)*(R3-$N$3)/10)))</f>
        <v>0.39493309018835321</v>
      </c>
      <c r="S19" s="44">
        <f>S18*('R&amp;S - Transportation'!$B$15*('R&amp;S - Transportation'!$B$10*('R&amp;S - Transportation'!$B$19+('R&amp;S - Transportation'!$B$20-'R&amp;S - Transportation'!$B$19)*(S3-$N$3)/10)))</f>
        <v>0.45588549968045655</v>
      </c>
      <c r="T19" s="44">
        <f>T18*('R&amp;S - Transportation'!$B$15*('R&amp;S - Transportation'!$B$10*('R&amp;S - Transportation'!$B$19+('R&amp;S - Transportation'!$B$20-'R&amp;S - Transportation'!$B$19)*(T3-$N$3)/10)))</f>
        <v>0.51865525984740735</v>
      </c>
      <c r="U19" s="44">
        <f>U18*('R&amp;S - Transportation'!$B$15*('R&amp;S - Transportation'!$B$10*('R&amp;S - Transportation'!$B$19+('R&amp;S - Transportation'!$B$20-'R&amp;S - Transportation'!$B$19)*(U3-$N$3)/10)))</f>
        <v>0.58328067264530725</v>
      </c>
      <c r="V19" s="44">
        <f>V18*('R&amp;S - Transportation'!$B$15*('R&amp;S - Transportation'!$B$10*('R&amp;S - Transportation'!$B$19+('R&amp;S - Transportation'!$B$20-'R&amp;S - Transportation'!$B$19)*(V3-$N$3)/10)))</f>
        <v>0.64980072465445848</v>
      </c>
      <c r="W19" s="44">
        <f>W18*('R&amp;S - Transportation'!$B$15*('R&amp;S - Transportation'!$B$10*('R&amp;S - Transportation'!$B$19+('R&amp;S - Transportation'!$B$20-'R&amp;S - Transportation'!$B$19)*(W3-$N$3)/10)))</f>
        <v>0.71825509817884814</v>
      </c>
      <c r="X19" s="44">
        <f>X18*('R&amp;S - Transportation'!$B$15*('R&amp;S - Transportation'!$B$10*('R&amp;S - Transportation'!$B$19+('R&amp;S - Transportation'!$B$20-'R&amp;S - Transportation'!$B$19)*(X3-$N$3)/10)))</f>
        <v>0.78868418251428662</v>
      </c>
      <c r="Y19" s="44">
        <f>Y18*('R&amp;S - Transportation'!$B$15*('R&amp;S - Transportation'!$B$10*('R&amp;S - Transportation'!$B$20+('R&amp;S - Transportation'!$B$21-'R&amp;S - Transportation'!$B$20)*(Y3-$X$3)/10)))</f>
        <v>0.91949398370066493</v>
      </c>
      <c r="Z19" s="44">
        <f>Z18*('R&amp;S - Transportation'!$B$15*('R&amp;S - Transportation'!$B$10*('R&amp;S - Transportation'!$B$20+('R&amp;S - Transportation'!$B$21-'R&amp;S - Transportation'!$B$20)*(Z3-$X$3)/10)))</f>
        <v>1.0537532563800629</v>
      </c>
      <c r="AA19" s="44">
        <f>AA18*('R&amp;S - Transportation'!$B$15*('R&amp;S - Transportation'!$B$10*('R&amp;S - Transportation'!$B$20+('R&amp;S - Transportation'!$B$21-'R&amp;S - Transportation'!$B$20)*(AA3-$X$3)/10)))</f>
        <v>1.1915293088130186</v>
      </c>
      <c r="AB19" s="44">
        <f>AB18*('R&amp;S - Transportation'!$B$15*('R&amp;S - Transportation'!$B$10*('R&amp;S - Transportation'!$B$20+('R&amp;S - Transportation'!$B$21-'R&amp;S - Transportation'!$B$20)*(AB3-$X$3)/10)))</f>
        <v>1.3328905913995515</v>
      </c>
      <c r="AC19" s="44">
        <f>AC18*('R&amp;S - Transportation'!$B$15*('R&amp;S - Transportation'!$B$10*('R&amp;S - Transportation'!$B$20+('R&amp;S - Transportation'!$B$21-'R&amp;S - Transportation'!$B$20)*(AC3-$X$3)/10)))</f>
        <v>1.4779067145173912</v>
      </c>
      <c r="AD19" s="44">
        <f>AD18*('R&amp;S - Transportation'!$B$15*('R&amp;S - Transportation'!$B$10*('R&amp;S - Transportation'!$B$20+('R&amp;S - Transportation'!$B$21-'R&amp;S - Transportation'!$B$20)*(AD3-$X$3)/10)))</f>
        <v>1.6266484666237395</v>
      </c>
      <c r="AE19" s="44">
        <f>AE18*('R&amp;S - Transportation'!$B$15*('R&amp;S - Transportation'!$B$10*('R&amp;S - Transportation'!$B$20+('R&amp;S - Transportation'!$B$21-'R&amp;S - Transportation'!$B$20)*(AE3-$X$3)/10)))</f>
        <v>1.7791878326243091</v>
      </c>
      <c r="AF19" s="44">
        <f>AF18*('R&amp;S - Transportation'!$B$15*('R&amp;S - Transportation'!$B$10*('R&amp;S - Transportation'!$B$20+('R&amp;S - Transportation'!$B$21-'R&amp;S - Transportation'!$B$20)*(AF3-$X$3)/10)))</f>
        <v>1.9355980125134318</v>
      </c>
      <c r="AG19" s="44">
        <f>AG18*('R&amp;S - Transportation'!$B$15*('R&amp;S - Transportation'!$B$10*('R&amp;S - Transportation'!$B$20+('R&amp;S - Transportation'!$B$21-'R&amp;S - Transportation'!$B$20)*(AG3-$X$3)/10)))</f>
        <v>2.0959534402890725</v>
      </c>
      <c r="AH19" s="44">
        <f>AH18*('R&amp;S - Transportation'!$B$15*('R&amp;S - Transportation'!$B$10*('R&amp;S - Transportation'!$B$20+('R&amp;S - Transportation'!$B$21-'R&amp;S - Transportation'!$B$20)*(AH3-$X$3)/10)))</f>
        <v>2.2603298031466581</v>
      </c>
      <c r="AJ19" s="44">
        <v>0</v>
      </c>
      <c r="AK19" s="44">
        <f>AK18*'R&amp;S - Transportation'!$B$16*('R&amp;S - Transportation'!$B$10*'R&amp;S - Transportation'!$B$19*(AK$3-$D$3)/10)</f>
        <v>7.5056712021866548E-3</v>
      </c>
      <c r="AL19" s="44">
        <f>AL18*'R&amp;S - Transportation'!$B$16*('R&amp;S - Transportation'!$B$10*'R&amp;S - Transportation'!$B$19*(AL$3-$D$3)/10)</f>
        <v>1.5206087979792409E-2</v>
      </c>
      <c r="AM19" s="44">
        <f>AM18*'R&amp;S - Transportation'!$B$16*('R&amp;S - Transportation'!$B$10*'R&amp;S - Transportation'!$B$19*(AM$3-$D$3)/10)</f>
        <v>2.3104948365885766E-2</v>
      </c>
      <c r="AN19" s="44">
        <f>AN18*'R&amp;S - Transportation'!$B$16*('R&amp;S - Transportation'!$B$10*'R&amp;S - Transportation'!$B$19*(AN$3-$D$3)/10)</f>
        <v>3.1206011682255567E-2</v>
      </c>
      <c r="AO19" s="44">
        <f>AO18*'R&amp;S - Transportation'!$B$16*('R&amp;S - Transportation'!$B$10*'R&amp;S - Transportation'!$B$19*(AO$3-$D$3)/10)</f>
        <v>3.9513099478281535E-2</v>
      </c>
      <c r="AP19" s="44">
        <f>AP18*'R&amp;S - Transportation'!$B$16*('R&amp;S - Transportation'!$B$10*'R&amp;S - Transportation'!$B$19*(AP$3-$D$3)/10)</f>
        <v>4.8030096483456589E-2</v>
      </c>
      <c r="AQ19" s="44">
        <f>AQ18*'R&amp;S - Transportation'!$B$16*('R&amp;S - Transportation'!$B$10*'R&amp;S - Transportation'!$B$19*(AQ$3-$D$3)/10)</f>
        <v>5.6760951573752154E-2</v>
      </c>
      <c r="AR19" s="44">
        <f>AR18*'R&amp;S - Transportation'!$B$16*('R&amp;S - Transportation'!$B$10*'R&amp;S - Transportation'!$B$19*(AR$3-$D$3)/10)</f>
        <v>6.5709678752020342E-2</v>
      </c>
      <c r="AS19" s="44">
        <f>AS18*'R&amp;S - Transportation'!$B$16*('R&amp;S - Transportation'!$B$10*'R&amp;S - Transportation'!$B$19*(AS$3-$D$3)/10)</f>
        <v>7.4880358142629458E-2</v>
      </c>
      <c r="AT19" s="44">
        <f>AT18*'R&amp;S - Transportation'!$B$16*('R&amp;S - Transportation'!$B$10*'R&amp;S - Transportation'!$B$19*(AT$3-$D$3)/10)</f>
        <v>8.4277137000531729E-2</v>
      </c>
      <c r="AU19" s="44">
        <f>AU18*('R&amp;S - Transportation'!$B$16*('R&amp;S - Transportation'!$B$10*('R&amp;S - Transportation'!$B$19+('R&amp;S - Transportation'!$B$20-'R&amp;S - Transportation'!$B$19)*(AU3-$N$3)/10)))</f>
        <v>0.11130349355483168</v>
      </c>
      <c r="AV19" s="44">
        <f>AV18*('R&amp;S - Transportation'!$B$16*('R&amp;S - Transportation'!$B$10*('R&amp;S - Transportation'!$B$19+('R&amp;S - Transportation'!$B$20-'R&amp;S - Transportation'!$B$19)*(AV3-$N$3)/10)))</f>
        <v>0.13916523654483962</v>
      </c>
      <c r="AW19" s="44">
        <f>AW18*('R&amp;S - Transportation'!$B$16*('R&amp;S - Transportation'!$B$10*('R&amp;S - Transportation'!$B$19+('R&amp;S - Transportation'!$B$20-'R&amp;S - Transportation'!$B$19)*(AW3-$N$3)/10)))</f>
        <v>0.16788020155297592</v>
      </c>
      <c r="AX19" s="44">
        <f>AX18*('R&amp;S - Transportation'!$B$16*('R&amp;S - Transportation'!$B$10*('R&amp;S - Transportation'!$B$19+('R&amp;S - Transportation'!$B$20-'R&amp;S - Transportation'!$B$19)*(AX3-$N$3)/10)))</f>
        <v>0.1974665450941766</v>
      </c>
      <c r="AY19" s="44">
        <f>AY18*('R&amp;S - Transportation'!$B$16*('R&amp;S - Transportation'!$B$10*('R&amp;S - Transportation'!$B$19+('R&amp;S - Transportation'!$B$20-'R&amp;S - Transportation'!$B$19)*(AY3-$N$3)/10)))</f>
        <v>0.22794274984022828</v>
      </c>
      <c r="AZ19" s="44">
        <f>AZ18*('R&amp;S - Transportation'!$B$16*('R&amp;S - Transportation'!$B$10*('R&amp;S - Transportation'!$B$19+('R&amp;S - Transportation'!$B$20-'R&amp;S - Transportation'!$B$19)*(AZ3-$N$3)/10)))</f>
        <v>0.25932762992370367</v>
      </c>
      <c r="BA19" s="44">
        <f>BA18*('R&amp;S - Transportation'!$B$16*('R&amp;S - Transportation'!$B$10*('R&amp;S - Transportation'!$B$19+('R&amp;S - Transportation'!$B$20-'R&amp;S - Transportation'!$B$19)*(BA3-$N$3)/10)))</f>
        <v>0.29164033632265363</v>
      </c>
      <c r="BB19" s="44">
        <f>BB18*('R&amp;S - Transportation'!$B$16*('R&amp;S - Transportation'!$B$10*('R&amp;S - Transportation'!$B$19+('R&amp;S - Transportation'!$B$20-'R&amp;S - Transportation'!$B$19)*(BB3-$N$3)/10)))</f>
        <v>0.32490036232722924</v>
      </c>
      <c r="BC19" s="44">
        <f>BC18*('R&amp;S - Transportation'!$B$16*('R&amp;S - Transportation'!$B$10*('R&amp;S - Transportation'!$B$19+('R&amp;S - Transportation'!$B$20-'R&amp;S - Transportation'!$B$19)*(BC3-$N$3)/10)))</f>
        <v>0.35912754908942407</v>
      </c>
      <c r="BD19" s="44">
        <f>BD18*('R&amp;S - Transportation'!$B$16*('R&amp;S - Transportation'!$B$10*('R&amp;S - Transportation'!$B$19+('R&amp;S - Transportation'!$B$20-'R&amp;S - Transportation'!$B$19)*(BD3-$N$3)/10)))</f>
        <v>0.39434209125714331</v>
      </c>
      <c r="BE19" s="44">
        <f>BE18*('R&amp;S - Transportation'!$B$16*('R&amp;S - Transportation'!$B$10*('R&amp;S - Transportation'!$B$20+('R&amp;S - Transportation'!$B$21-'R&amp;S - Transportation'!$B$20)*(BE3-$X$3)/10)))</f>
        <v>0.45974699185033246</v>
      </c>
      <c r="BF19" s="44">
        <f>BF18*('R&amp;S - Transportation'!$B$16*('R&amp;S - Transportation'!$B$10*('R&amp;S - Transportation'!$B$20+('R&amp;S - Transportation'!$B$21-'R&amp;S - Transportation'!$B$20)*(BF3-$X$3)/10)))</f>
        <v>0.52687662819003145</v>
      </c>
      <c r="BG19" s="44">
        <f>BG18*('R&amp;S - Transportation'!$B$16*('R&amp;S - Transportation'!$B$10*('R&amp;S - Transportation'!$B$20+('R&amp;S - Transportation'!$B$21-'R&amp;S - Transportation'!$B$20)*(BG3-$X$3)/10)))</f>
        <v>0.59576465440650928</v>
      </c>
      <c r="BH19" s="44">
        <f>BH18*('R&amp;S - Transportation'!$B$16*('R&amp;S - Transportation'!$B$10*('R&amp;S - Transportation'!$B$20+('R&amp;S - Transportation'!$B$21-'R&amp;S - Transportation'!$B$20)*(BH3-$X$3)/10)))</f>
        <v>0.66644529569977573</v>
      </c>
      <c r="BI19" s="44">
        <f>BI18*('R&amp;S - Transportation'!$B$16*('R&amp;S - Transportation'!$B$10*('R&amp;S - Transportation'!$B$20+('R&amp;S - Transportation'!$B$21-'R&amp;S - Transportation'!$B$20)*(BI3-$X$3)/10)))</f>
        <v>0.7389533572586956</v>
      </c>
      <c r="BJ19" s="44">
        <f>BJ18*('R&amp;S - Transportation'!$B$16*('R&amp;S - Transportation'!$B$10*('R&amp;S - Transportation'!$B$20+('R&amp;S - Transportation'!$B$21-'R&amp;S - Transportation'!$B$20)*(BJ3-$X$3)/10)))</f>
        <v>0.81332423331186976</v>
      </c>
      <c r="BK19" s="44">
        <f>BK18*('R&amp;S - Transportation'!$B$16*('R&amp;S - Transportation'!$B$10*('R&amp;S - Transportation'!$B$20+('R&amp;S - Transportation'!$B$21-'R&amp;S - Transportation'!$B$20)*(BK3-$X$3)/10)))</f>
        <v>0.88959391631215456</v>
      </c>
      <c r="BL19" s="44">
        <f>BL18*('R&amp;S - Transportation'!$B$16*('R&amp;S - Transportation'!$B$10*('R&amp;S - Transportation'!$B$20+('R&amp;S - Transportation'!$B$21-'R&amp;S - Transportation'!$B$20)*(BL3-$X$3)/10)))</f>
        <v>0.96779900625671589</v>
      </c>
      <c r="BM19" s="44">
        <f>BM18*('R&amp;S - Transportation'!$B$16*('R&amp;S - Transportation'!$B$10*('R&amp;S - Transportation'!$B$20+('R&amp;S - Transportation'!$B$21-'R&amp;S - Transportation'!$B$20)*(BM3-$X$3)/10)))</f>
        <v>1.0479767201445362</v>
      </c>
      <c r="BN19" s="44">
        <f>BN18*('R&amp;S - Transportation'!$B$16*('R&amp;S - Transportation'!$B$10*('R&amp;S - Transportation'!$B$20+('R&amp;S - Transportation'!$B$21-'R&amp;S - Transportation'!$B$20)*(BN3-$X$3)/10)))</f>
        <v>1.1301649015733291</v>
      </c>
      <c r="BS19" s="442" t="e">
        <f>SUM(BS12:BS18)</f>
        <v>#REF!</v>
      </c>
      <c r="BY19" s="30" t="s">
        <v>193</v>
      </c>
      <c r="BZ19" s="137"/>
      <c r="CA19" s="137"/>
      <c r="CB19" s="137"/>
      <c r="CC19" s="137"/>
      <c r="CD19" s="137"/>
      <c r="CE19" s="137"/>
      <c r="CF19" s="143">
        <f>SUM(AH113:AH114)</f>
        <v>16.525452088669365</v>
      </c>
      <c r="CG19" s="137"/>
    </row>
    <row r="20" spans="1:85" outlineLevel="1" x14ac:dyDescent="0.2">
      <c r="B20" s="61" t="s">
        <v>194</v>
      </c>
      <c r="C20" s="54" t="s">
        <v>153</v>
      </c>
      <c r="D20" s="44">
        <v>0</v>
      </c>
      <c r="E20" s="44">
        <f>E18*'R&amp;S - Transportation'!$B$15*('R&amp;S - Transportation'!$B$11*'R&amp;S - Transportation'!$B$19*(E$3-$D$3)/10)</f>
        <v>9.552672439146653E-3</v>
      </c>
      <c r="F20" s="44">
        <f>F18*'R&amp;S - Transportation'!$B$15*('R&amp;S - Transportation'!$B$11*'R&amp;S - Transportation'!$B$19*(F$3-$D$3)/10)</f>
        <v>1.935320288337216E-2</v>
      </c>
      <c r="G20" s="44">
        <f>G18*'R&amp;S - Transportation'!$B$15*('R&amp;S - Transportation'!$B$11*'R&amp;S - Transportation'!$B$19*(G$3-$D$3)/10)</f>
        <v>2.9406297920218243E-2</v>
      </c>
      <c r="H20" s="44">
        <f>H18*'R&amp;S - Transportation'!$B$15*('R&amp;S - Transportation'!$B$11*'R&amp;S - Transportation'!$B$19*(H$3-$D$3)/10)</f>
        <v>3.9716742141052544E-2</v>
      </c>
      <c r="I20" s="44">
        <f>I18*'R&amp;S - Transportation'!$B$15*('R&amp;S - Transportation'!$B$11*'R&amp;S - Transportation'!$B$19*(I$3-$D$3)/10)</f>
        <v>5.0289399335994682E-2</v>
      </c>
      <c r="J20" s="44">
        <f>J18*'R&amp;S - Transportation'!$B$15*('R&amp;S - Transportation'!$B$11*'R&amp;S - Transportation'!$B$19*(J$3-$D$3)/10)</f>
        <v>6.1129213706217475E-2</v>
      </c>
      <c r="K20" s="44">
        <f>K18*'R&amp;S - Transportation'!$B$15*('R&amp;S - Transportation'!$B$11*'R&amp;S - Transportation'!$B$19*(K$3-$D$3)/10)</f>
        <v>7.2241211093866373E-2</v>
      </c>
      <c r="L20" s="44">
        <f>L18*'R&amp;S - Transportation'!$B$15*('R&amp;S - Transportation'!$B$11*'R&amp;S - Transportation'!$B$19*(L$3-$D$3)/10)</f>
        <v>8.3630500229844085E-2</v>
      </c>
      <c r="M20" s="44">
        <f>M18*'R&amp;S - Transportation'!$B$15*('R&amp;S - Transportation'!$B$11*'R&amp;S - Transportation'!$B$19*(M$3-$D$3)/10)</f>
        <v>9.530227399971021E-2</v>
      </c>
      <c r="N20" s="44">
        <f>N18*'R&amp;S - Transportation'!$B$15*('R&amp;S - Transportation'!$B$11*'R&amp;S - Transportation'!$B$19*(N$3-$D$3)/10)</f>
        <v>0.10726181072794948</v>
      </c>
      <c r="O20" s="44">
        <f>O18*('R&amp;S - Transportation'!$B$15*('R&amp;S - Transportation'!$B$11*('R&amp;S - Transportation'!$B$19+('R&amp;S - Transportation'!$B$20-'R&amp;S - Transportation'!$B$19)*(O3-$N$3)/10)))</f>
        <v>0.14165899179705851</v>
      </c>
      <c r="P20" s="44">
        <f>P18*('R&amp;S - Transportation'!$B$15*('R&amp;S - Transportation'!$B$11*('R&amp;S - Transportation'!$B$19+('R&amp;S - Transportation'!$B$20-'R&amp;S - Transportation'!$B$19)*(P3-$N$3)/10)))</f>
        <v>0.17711939196615947</v>
      </c>
      <c r="Q20" s="44">
        <f>Q18*('R&amp;S - Transportation'!$B$15*('R&amp;S - Transportation'!$B$11*('R&amp;S - Transportation'!$B$19+('R&amp;S - Transportation'!$B$20-'R&amp;S - Transportation'!$B$19)*(Q3-$N$3)/10)))</f>
        <v>0.21366571106742388</v>
      </c>
      <c r="R20" s="44">
        <f>R18*('R&amp;S - Transportation'!$B$15*('R&amp;S - Transportation'!$B$11*('R&amp;S - Transportation'!$B$19+('R&amp;S - Transportation'!$B$20-'R&amp;S - Transportation'!$B$19)*(R3-$N$3)/10)))</f>
        <v>0.25132105739258842</v>
      </c>
      <c r="S20" s="44">
        <f>S18*('R&amp;S - Transportation'!$B$15*('R&amp;S - Transportation'!$B$11*('R&amp;S - Transportation'!$B$19+('R&amp;S - Transportation'!$B$20-'R&amp;S - Transportation'!$B$19)*(S3-$N$3)/10)))</f>
        <v>0.2901089543421087</v>
      </c>
      <c r="T20" s="44">
        <f>T18*('R&amp;S - Transportation'!$B$15*('R&amp;S - Transportation'!$B$11*('R&amp;S - Transportation'!$B$19+('R&amp;S - Transportation'!$B$20-'R&amp;S - Transportation'!$B$19)*(T3-$N$3)/10)))</f>
        <v>0.3300533471756229</v>
      </c>
      <c r="U20" s="44">
        <f>U18*('R&amp;S - Transportation'!$B$15*('R&amp;S - Transportation'!$B$11*('R&amp;S - Transportation'!$B$19+('R&amp;S - Transportation'!$B$20-'R&amp;S - Transportation'!$B$19)*(U3-$N$3)/10)))</f>
        <v>0.37117860986519546</v>
      </c>
      <c r="V20" s="44">
        <f>V18*('R&amp;S - Transportation'!$B$15*('R&amp;S - Transportation'!$B$11*('R&amp;S - Transportation'!$B$19+('R&amp;S - Transportation'!$B$20-'R&amp;S - Transportation'!$B$19)*(V3-$N$3)/10)))</f>
        <v>0.41350955205283718</v>
      </c>
      <c r="W20" s="44">
        <f>W18*('R&amp;S - Transportation'!$B$15*('R&amp;S - Transportation'!$B$11*('R&amp;S - Transportation'!$B$19+('R&amp;S - Transportation'!$B$20-'R&amp;S - Transportation'!$B$19)*(W3-$N$3)/10)))</f>
        <v>0.45707142611381241</v>
      </c>
      <c r="X20" s="44">
        <f>X18*('R&amp;S - Transportation'!$B$15*('R&amp;S - Transportation'!$B$11*('R&amp;S - Transportation'!$B$19+('R&amp;S - Transportation'!$B$20-'R&amp;S - Transportation'!$B$19)*(X3-$N$3)/10)))</f>
        <v>0.50188993432727325</v>
      </c>
      <c r="Y20" s="44">
        <f>Y18*('R&amp;S - Transportation'!$B$15*('R&amp;S - Transportation'!$B$11*('R&amp;S - Transportation'!$B$20+('R&amp;S - Transportation'!$B$21-'R&amp;S - Transportation'!$B$20)*(Y3-$X$3)/10)))</f>
        <v>0.58513253508224128</v>
      </c>
      <c r="Z20" s="44">
        <f>Z18*('R&amp;S - Transportation'!$B$15*('R&amp;S - Transportation'!$B$11*('R&amp;S - Transportation'!$B$20+('R&amp;S - Transportation'!$B$21-'R&amp;S - Transportation'!$B$20)*(Z3-$X$3)/10)))</f>
        <v>0.67057025406004001</v>
      </c>
      <c r="AA20" s="44">
        <f>AA18*('R&amp;S - Transportation'!$B$15*('R&amp;S - Transportation'!$B$11*('R&amp;S - Transportation'!$B$20+('R&amp;S - Transportation'!$B$21-'R&amp;S - Transportation'!$B$20)*(AA3-$X$3)/10)))</f>
        <v>0.75824592379010258</v>
      </c>
      <c r="AB20" s="44">
        <f>AB18*('R&amp;S - Transportation'!$B$15*('R&amp;S - Transportation'!$B$11*('R&amp;S - Transportation'!$B$20+('R&amp;S - Transportation'!$B$21-'R&amp;S - Transportation'!$B$20)*(AB3-$X$3)/10)))</f>
        <v>0.84820310361789619</v>
      </c>
      <c r="AC20" s="44">
        <f>AC18*('R&amp;S - Transportation'!$B$15*('R&amp;S - Transportation'!$B$11*('R&amp;S - Transportation'!$B$20+('R&amp;S - Transportation'!$B$21-'R&amp;S - Transportation'!$B$20)*(AC3-$X$3)/10)))</f>
        <v>0.94048609105652159</v>
      </c>
      <c r="AD20" s="44">
        <f>AD18*('R&amp;S - Transportation'!$B$15*('R&amp;S - Transportation'!$B$11*('R&amp;S - Transportation'!$B$20+('R&amp;S - Transportation'!$B$21-'R&amp;S - Transportation'!$B$20)*(AD3-$X$3)/10)))</f>
        <v>1.0351399333060158</v>
      </c>
      <c r="AE20" s="44">
        <f>AE18*('R&amp;S - Transportation'!$B$15*('R&amp;S - Transportation'!$B$11*('R&amp;S - Transportation'!$B$20+('R&amp;S - Transportation'!$B$21-'R&amp;S - Transportation'!$B$20)*(AE3-$X$3)/10)))</f>
        <v>1.1322104389427423</v>
      </c>
      <c r="AF20" s="44">
        <f>AF18*('R&amp;S - Transportation'!$B$15*('R&amp;S - Transportation'!$B$11*('R&amp;S - Transportation'!$B$20+('R&amp;S - Transportation'!$B$21-'R&amp;S - Transportation'!$B$20)*(AF3-$X$3)/10)))</f>
        <v>1.2317441897812746</v>
      </c>
      <c r="AG20" s="44">
        <f>AG18*('R&amp;S - Transportation'!$B$15*('R&amp;S - Transportation'!$B$11*('R&amp;S - Transportation'!$B$20+('R&amp;S - Transportation'!$B$21-'R&amp;S - Transportation'!$B$20)*(AG3-$X$3)/10)))</f>
        <v>1.3337885529112279</v>
      </c>
      <c r="AH20" s="44">
        <f>AH18*('R&amp;S - Transportation'!$B$15*('R&amp;S - Transportation'!$B$11*('R&amp;S - Transportation'!$B$20+('R&amp;S - Transportation'!$B$21-'R&amp;S - Transportation'!$B$20)*(AH3-$X$3)/10)))</f>
        <v>1.4383916929115095</v>
      </c>
      <c r="AJ20" s="44">
        <v>0</v>
      </c>
      <c r="AK20" s="44">
        <f>AK18*'R&amp;S - Transportation'!$B$16*('R&amp;S - Transportation'!$B$11*'R&amp;S - Transportation'!$B$19*(AK$3-$D$3)/10)</f>
        <v>4.7763362195733265E-3</v>
      </c>
      <c r="AL20" s="44">
        <f>AL18*'R&amp;S - Transportation'!$B$16*('R&amp;S - Transportation'!$B$11*'R&amp;S - Transportation'!$B$19*(AL$3-$D$3)/10)</f>
        <v>9.67660144168608E-3</v>
      </c>
      <c r="AM20" s="44">
        <f>AM18*'R&amp;S - Transportation'!$B$16*('R&amp;S - Transportation'!$B$11*'R&amp;S - Transportation'!$B$19*(AM$3-$D$3)/10)</f>
        <v>1.4703148960109122E-2</v>
      </c>
      <c r="AN20" s="44">
        <f>AN18*'R&amp;S - Transportation'!$B$16*('R&amp;S - Transportation'!$B$11*'R&amp;S - Transportation'!$B$19*(AN$3-$D$3)/10)</f>
        <v>1.9858371070526272E-2</v>
      </c>
      <c r="AO20" s="44">
        <f>AO18*'R&amp;S - Transportation'!$B$16*('R&amp;S - Transportation'!$B$11*'R&amp;S - Transportation'!$B$19*(AO$3-$D$3)/10)</f>
        <v>2.5144699667997341E-2</v>
      </c>
      <c r="AP20" s="44">
        <f>AP18*'R&amp;S - Transportation'!$B$16*('R&amp;S - Transportation'!$B$11*'R&amp;S - Transportation'!$B$19*(AP$3-$D$3)/10)</f>
        <v>3.0564606853108738E-2</v>
      </c>
      <c r="AQ20" s="44">
        <f>AQ18*'R&amp;S - Transportation'!$B$16*('R&amp;S - Transportation'!$B$11*'R&amp;S - Transportation'!$B$19*(AQ$3-$D$3)/10)</f>
        <v>3.6120605546933186E-2</v>
      </c>
      <c r="AR20" s="44">
        <f>AR18*'R&amp;S - Transportation'!$B$16*('R&amp;S - Transportation'!$B$11*'R&amp;S - Transportation'!$B$19*(AR$3-$D$3)/10)</f>
        <v>4.1815250114922042E-2</v>
      </c>
      <c r="AS20" s="44">
        <f>AS18*'R&amp;S - Transportation'!$B$16*('R&amp;S - Transportation'!$B$11*'R&amp;S - Transportation'!$B$19*(AS$3-$D$3)/10)</f>
        <v>4.7651136999855105E-2</v>
      </c>
      <c r="AT20" s="44">
        <f>AT18*'R&amp;S - Transportation'!$B$16*('R&amp;S - Transportation'!$B$11*'R&amp;S - Transportation'!$B$19*(AT$3-$D$3)/10)</f>
        <v>5.3630905363974739E-2</v>
      </c>
      <c r="AU20" s="44">
        <f>AU18*('R&amp;S - Transportation'!$B$16*('R&amp;S - Transportation'!$B$11*('R&amp;S - Transportation'!$B$19+('R&amp;S - Transportation'!$B$20-'R&amp;S - Transportation'!$B$19)*(AU3-$N$3)/10)))</f>
        <v>7.0829495898529257E-2</v>
      </c>
      <c r="AV20" s="44">
        <f>AV18*('R&amp;S - Transportation'!$B$16*('R&amp;S - Transportation'!$B$11*('R&amp;S - Transportation'!$B$19+('R&amp;S - Transportation'!$B$20-'R&amp;S - Transportation'!$B$19)*(AV3-$N$3)/10)))</f>
        <v>8.8559695983079736E-2</v>
      </c>
      <c r="AW20" s="44">
        <f>AW18*('R&amp;S - Transportation'!$B$16*('R&amp;S - Transportation'!$B$11*('R&amp;S - Transportation'!$B$19+('R&amp;S - Transportation'!$B$20-'R&amp;S - Transportation'!$B$19)*(AW3-$N$3)/10)))</f>
        <v>0.10683285553371194</v>
      </c>
      <c r="AX20" s="44">
        <f>AX18*('R&amp;S - Transportation'!$B$16*('R&amp;S - Transportation'!$B$11*('R&amp;S - Transportation'!$B$19+('R&amp;S - Transportation'!$B$20-'R&amp;S - Transportation'!$B$19)*(AX3-$N$3)/10)))</f>
        <v>0.12566052869629421</v>
      </c>
      <c r="AY20" s="44">
        <f>AY18*('R&amp;S - Transportation'!$B$16*('R&amp;S - Transportation'!$B$11*('R&amp;S - Transportation'!$B$19+('R&amp;S - Transportation'!$B$20-'R&amp;S - Transportation'!$B$19)*(AY3-$N$3)/10)))</f>
        <v>0.14505447717105435</v>
      </c>
      <c r="AZ20" s="44">
        <f>AZ18*('R&amp;S - Transportation'!$B$16*('R&amp;S - Transportation'!$B$11*('R&amp;S - Transportation'!$B$19+('R&amp;S - Transportation'!$B$20-'R&amp;S - Transportation'!$B$19)*(AZ3-$N$3)/10)))</f>
        <v>0.16502667358781145</v>
      </c>
      <c r="BA20" s="44">
        <f>BA18*('R&amp;S - Transportation'!$B$16*('R&amp;S - Transportation'!$B$11*('R&amp;S - Transportation'!$B$19+('R&amp;S - Transportation'!$B$20-'R&amp;S - Transportation'!$B$19)*(BA3-$N$3)/10)))</f>
        <v>0.18558930493259773</v>
      </c>
      <c r="BB20" s="44">
        <f>BB18*('R&amp;S - Transportation'!$B$16*('R&amp;S - Transportation'!$B$11*('R&amp;S - Transportation'!$B$19+('R&amp;S - Transportation'!$B$20-'R&amp;S - Transportation'!$B$19)*(BB3-$N$3)/10)))</f>
        <v>0.20675477602641859</v>
      </c>
      <c r="BC20" s="44">
        <f>BC18*('R&amp;S - Transportation'!$B$16*('R&amp;S - Transportation'!$B$11*('R&amp;S - Transportation'!$B$19+('R&amp;S - Transportation'!$B$20-'R&amp;S - Transportation'!$B$19)*(BC3-$N$3)/10)))</f>
        <v>0.2285357130569062</v>
      </c>
      <c r="BD20" s="44">
        <f>BD18*('R&amp;S - Transportation'!$B$16*('R&amp;S - Transportation'!$B$11*('R&amp;S - Transportation'!$B$19+('R&amp;S - Transportation'!$B$20-'R&amp;S - Transportation'!$B$19)*(BD3-$N$3)/10)))</f>
        <v>0.25094496716363662</v>
      </c>
      <c r="BE20" s="44">
        <f>BE18*('R&amp;S - Transportation'!$B$16*('R&amp;S - Transportation'!$B$11*('R&amp;S - Transportation'!$B$20+('R&amp;S - Transportation'!$B$21-'R&amp;S - Transportation'!$B$20)*(BE3-$X$3)/10)))</f>
        <v>0.29256626754112064</v>
      </c>
      <c r="BF20" s="44">
        <f>BF18*('R&amp;S - Transportation'!$B$16*('R&amp;S - Transportation'!$B$11*('R&amp;S - Transportation'!$B$20+('R&amp;S - Transportation'!$B$21-'R&amp;S - Transportation'!$B$20)*(BF3-$X$3)/10)))</f>
        <v>0.33528512703002</v>
      </c>
      <c r="BG20" s="44">
        <f>BG18*('R&amp;S - Transportation'!$B$16*('R&amp;S - Transportation'!$B$11*('R&amp;S - Transportation'!$B$20+('R&amp;S - Transportation'!$B$21-'R&amp;S - Transportation'!$B$20)*(BG3-$X$3)/10)))</f>
        <v>0.37912296189505129</v>
      </c>
      <c r="BH20" s="44">
        <f>BH18*('R&amp;S - Transportation'!$B$16*('R&amp;S - Transportation'!$B$11*('R&amp;S - Transportation'!$B$20+('R&amp;S - Transportation'!$B$21-'R&amp;S - Transportation'!$B$20)*(BH3-$X$3)/10)))</f>
        <v>0.4241015518089481</v>
      </c>
      <c r="BI20" s="44">
        <f>BI18*('R&amp;S - Transportation'!$B$16*('R&amp;S - Transportation'!$B$11*('R&amp;S - Transportation'!$B$20+('R&amp;S - Transportation'!$B$21-'R&amp;S - Transportation'!$B$20)*(BI3-$X$3)/10)))</f>
        <v>0.47024304552826079</v>
      </c>
      <c r="BJ20" s="44">
        <f>BJ18*('R&amp;S - Transportation'!$B$16*('R&amp;S - Transportation'!$B$11*('R&amp;S - Transportation'!$B$20+('R&amp;S - Transportation'!$B$21-'R&amp;S - Transportation'!$B$20)*(BJ3-$X$3)/10)))</f>
        <v>0.51756996665300792</v>
      </c>
      <c r="BK20" s="44">
        <f>BK18*('R&amp;S - Transportation'!$B$16*('R&amp;S - Transportation'!$B$11*('R&amp;S - Transportation'!$B$20+('R&amp;S - Transportation'!$B$21-'R&amp;S - Transportation'!$B$20)*(BK3-$X$3)/10)))</f>
        <v>0.56610521947137116</v>
      </c>
      <c r="BL20" s="44">
        <f>BL18*('R&amp;S - Transportation'!$B$16*('R&amp;S - Transportation'!$B$11*('R&amp;S - Transportation'!$B$20+('R&amp;S - Transportation'!$B$21-'R&amp;S - Transportation'!$B$20)*(BL3-$X$3)/10)))</f>
        <v>0.61587209489063732</v>
      </c>
      <c r="BM20" s="44">
        <f>BM18*('R&amp;S - Transportation'!$B$16*('R&amp;S - Transportation'!$B$11*('R&amp;S - Transportation'!$B$20+('R&amp;S - Transportation'!$B$21-'R&amp;S - Transportation'!$B$20)*(BM3-$X$3)/10)))</f>
        <v>0.66689427645561394</v>
      </c>
      <c r="BN20" s="44">
        <f>BN18*('R&amp;S - Transportation'!$B$16*('R&amp;S - Transportation'!$B$11*('R&amp;S - Transportation'!$B$20+('R&amp;S - Transportation'!$B$21-'R&amp;S - Transportation'!$B$20)*(BN3-$X$3)/10)))</f>
        <v>0.71919584645575474</v>
      </c>
      <c r="BR20" t="s">
        <v>53</v>
      </c>
      <c r="BS20" s="44">
        <f>AH4</f>
        <v>161</v>
      </c>
      <c r="BY20" s="30" t="s">
        <v>195</v>
      </c>
      <c r="BZ20" s="137"/>
      <c r="CA20" s="137"/>
      <c r="CB20" s="137"/>
      <c r="CC20" s="137"/>
      <c r="CD20" s="137"/>
      <c r="CE20" s="137"/>
      <c r="CF20" s="143">
        <f>SUM(AH119:AH120)</f>
        <v>1.8308519742144216</v>
      </c>
      <c r="CG20" s="137"/>
    </row>
    <row r="21" spans="1:85" outlineLevel="1" x14ac:dyDescent="0.2">
      <c r="B21" s="1" t="s">
        <v>168</v>
      </c>
      <c r="C21" s="54" t="s">
        <v>153</v>
      </c>
      <c r="D21" s="44">
        <f>SUM(D19:D20)</f>
        <v>0</v>
      </c>
      <c r="E21" s="44">
        <f t="shared" ref="E21:AG21" si="18">SUM(E19:E20)</f>
        <v>2.4564014843519964E-2</v>
      </c>
      <c r="F21" s="44">
        <f t="shared" si="18"/>
        <v>4.9765378842956981E-2</v>
      </c>
      <c r="G21" s="44">
        <f t="shared" si="18"/>
        <v>7.5616194651989779E-2</v>
      </c>
      <c r="H21" s="44">
        <f t="shared" si="18"/>
        <v>0.10212876550556368</v>
      </c>
      <c r="I21" s="44">
        <f t="shared" si="18"/>
        <v>0.12931559829255776</v>
      </c>
      <c r="J21" s="44">
        <f t="shared" si="18"/>
        <v>0.15718940667313064</v>
      </c>
      <c r="K21" s="44">
        <f t="shared" si="18"/>
        <v>0.18576311424137068</v>
      </c>
      <c r="L21" s="44">
        <f t="shared" si="18"/>
        <v>0.21504985773388477</v>
      </c>
      <c r="M21" s="44">
        <f t="shared" si="18"/>
        <v>0.24506299028496914</v>
      </c>
      <c r="N21" s="44">
        <f t="shared" si="18"/>
        <v>0.27581608472901292</v>
      </c>
      <c r="O21" s="44">
        <f t="shared" si="18"/>
        <v>0.36426597890672185</v>
      </c>
      <c r="P21" s="44">
        <f t="shared" si="18"/>
        <v>0.45544986505583873</v>
      </c>
      <c r="Q21" s="44">
        <f t="shared" si="18"/>
        <v>0.54942611417337572</v>
      </c>
      <c r="R21" s="44">
        <f t="shared" si="18"/>
        <v>0.64625414758094157</v>
      </c>
      <c r="S21" s="44">
        <f t="shared" si="18"/>
        <v>0.74599445402256526</v>
      </c>
      <c r="T21" s="44">
        <f t="shared" si="18"/>
        <v>0.8487086070230303</v>
      </c>
      <c r="U21" s="44">
        <f t="shared" si="18"/>
        <v>0.95445928251050272</v>
      </c>
      <c r="V21" s="44">
        <f t="shared" si="18"/>
        <v>1.0633102767072957</v>
      </c>
      <c r="W21" s="44">
        <f t="shared" si="18"/>
        <v>1.1753265242926605</v>
      </c>
      <c r="X21" s="44">
        <f t="shared" si="18"/>
        <v>1.2905741168415599</v>
      </c>
      <c r="Y21" s="44">
        <f t="shared" si="18"/>
        <v>1.5046265187829062</v>
      </c>
      <c r="Z21" s="44">
        <f t="shared" si="18"/>
        <v>1.7243235104401029</v>
      </c>
      <c r="AA21" s="44">
        <f t="shared" si="18"/>
        <v>1.949775232603121</v>
      </c>
      <c r="AB21" s="44">
        <f t="shared" si="18"/>
        <v>2.1810936950174478</v>
      </c>
      <c r="AC21" s="44">
        <f t="shared" si="18"/>
        <v>2.4183928055739128</v>
      </c>
      <c r="AD21" s="44">
        <f t="shared" si="18"/>
        <v>2.6617883999297556</v>
      </c>
      <c r="AE21" s="44">
        <f t="shared" si="18"/>
        <v>2.9113982715670517</v>
      </c>
      <c r="AF21" s="44">
        <f t="shared" si="18"/>
        <v>3.1673422022947064</v>
      </c>
      <c r="AG21" s="44">
        <f t="shared" si="18"/>
        <v>3.4297419932003006</v>
      </c>
      <c r="AH21" s="44">
        <f>SUM(AH19:AH20)</f>
        <v>3.6987214960581678</v>
      </c>
      <c r="AJ21" s="44">
        <f>SUM(AJ19:AJ20)</f>
        <v>0</v>
      </c>
      <c r="AK21" s="44">
        <f t="shared" ref="AK21:BM21" si="19">SUM(AK19:AK20)</f>
        <v>1.2282007421759982E-2</v>
      </c>
      <c r="AL21" s="44">
        <f t="shared" si="19"/>
        <v>2.488268942147849E-2</v>
      </c>
      <c r="AM21" s="44">
        <f t="shared" si="19"/>
        <v>3.780809732599489E-2</v>
      </c>
      <c r="AN21" s="44">
        <f t="shared" si="19"/>
        <v>5.1064382752781842E-2</v>
      </c>
      <c r="AO21" s="44">
        <f t="shared" si="19"/>
        <v>6.465779914627888E-2</v>
      </c>
      <c r="AP21" s="44">
        <f t="shared" si="19"/>
        <v>7.8594703336565319E-2</v>
      </c>
      <c r="AQ21" s="44">
        <f t="shared" si="19"/>
        <v>9.288155712068534E-2</v>
      </c>
      <c r="AR21" s="44">
        <f t="shared" si="19"/>
        <v>0.10752492886694238</v>
      </c>
      <c r="AS21" s="44">
        <f t="shared" si="19"/>
        <v>0.12253149514248457</v>
      </c>
      <c r="AT21" s="44">
        <f t="shared" si="19"/>
        <v>0.13790804236450646</v>
      </c>
      <c r="AU21" s="44">
        <f t="shared" si="19"/>
        <v>0.18213298945336093</v>
      </c>
      <c r="AV21" s="44">
        <f t="shared" si="19"/>
        <v>0.22772493252791937</v>
      </c>
      <c r="AW21" s="44">
        <f t="shared" si="19"/>
        <v>0.27471305708668786</v>
      </c>
      <c r="AX21" s="44">
        <f t="shared" si="19"/>
        <v>0.32312707379047079</v>
      </c>
      <c r="AY21" s="44">
        <f t="shared" si="19"/>
        <v>0.37299722701128263</v>
      </c>
      <c r="AZ21" s="44">
        <f t="shared" si="19"/>
        <v>0.42435430351151515</v>
      </c>
      <c r="BA21" s="44">
        <f t="shared" si="19"/>
        <v>0.47722964125525136</v>
      </c>
      <c r="BB21" s="44">
        <f t="shared" si="19"/>
        <v>0.53165513835364786</v>
      </c>
      <c r="BC21" s="44">
        <f t="shared" si="19"/>
        <v>0.58766326214633025</v>
      </c>
      <c r="BD21" s="44">
        <f t="shared" si="19"/>
        <v>0.64528705842077994</v>
      </c>
      <c r="BE21" s="44">
        <f t="shared" si="19"/>
        <v>0.7523132593914531</v>
      </c>
      <c r="BF21" s="44">
        <f t="shared" si="19"/>
        <v>0.86216175522005145</v>
      </c>
      <c r="BG21" s="44">
        <f t="shared" si="19"/>
        <v>0.97488761630156051</v>
      </c>
      <c r="BH21" s="44">
        <f t="shared" si="19"/>
        <v>1.0905468475087239</v>
      </c>
      <c r="BI21" s="44">
        <f t="shared" si="19"/>
        <v>1.2091964027869564</v>
      </c>
      <c r="BJ21" s="44">
        <f t="shared" si="19"/>
        <v>1.3308941999648778</v>
      </c>
      <c r="BK21" s="44">
        <f t="shared" si="19"/>
        <v>1.4556991357835258</v>
      </c>
      <c r="BL21" s="44">
        <f t="shared" si="19"/>
        <v>1.5836711011473532</v>
      </c>
      <c r="BM21" s="44">
        <f t="shared" si="19"/>
        <v>1.7148709966001503</v>
      </c>
      <c r="BN21" s="44">
        <f>SUM(BN19:BN20)</f>
        <v>1.8493607480290839</v>
      </c>
      <c r="BY21" s="30" t="s">
        <v>175</v>
      </c>
      <c r="BZ21" s="137"/>
      <c r="CA21" s="143">
        <f>AH4-D4</f>
        <v>44.890813288003173</v>
      </c>
      <c r="CB21" s="137"/>
      <c r="CC21" s="549">
        <f>AH17+AH69</f>
        <v>3.1096912343115526</v>
      </c>
      <c r="CD21" s="137"/>
      <c r="CE21" s="137"/>
      <c r="CF21" s="137"/>
      <c r="CG21" s="137"/>
    </row>
    <row r="22" spans="1:85" outlineLevel="1" x14ac:dyDescent="0.2">
      <c r="B22" s="1" t="s">
        <v>172</v>
      </c>
      <c r="C22" s="54" t="s">
        <v>153</v>
      </c>
      <c r="D22">
        <v>0</v>
      </c>
      <c r="E22">
        <v>0</v>
      </c>
      <c r="F22">
        <v>0</v>
      </c>
      <c r="G22">
        <v>0</v>
      </c>
      <c r="H22">
        <v>0</v>
      </c>
      <c r="I22">
        <v>0</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Q22" t="s">
        <v>196</v>
      </c>
      <c r="BR22">
        <v>2020</v>
      </c>
      <c r="BS22">
        <v>2050</v>
      </c>
    </row>
    <row r="23" spans="1:85" outlineLevel="1" x14ac:dyDescent="0.2">
      <c r="B23" s="1" t="s">
        <v>197</v>
      </c>
      <c r="C23" s="65" t="s">
        <v>153</v>
      </c>
      <c r="D23" s="66">
        <f>D18-D21-D22</f>
        <v>4.4906157306135288</v>
      </c>
      <c r="E23" s="66">
        <f t="shared" ref="E23:AH23" si="20">E18-E21-E22</f>
        <v>4.5243276228453615</v>
      </c>
      <c r="F23" s="66">
        <f t="shared" si="20"/>
        <v>4.5581400695789851</v>
      </c>
      <c r="G23" s="66">
        <f t="shared" si="20"/>
        <v>4.5920501418905886</v>
      </c>
      <c r="H23" s="66">
        <f t="shared" si="20"/>
        <v>4.6260548227149769</v>
      </c>
      <c r="I23" s="66">
        <f t="shared" si="20"/>
        <v>4.6601510051355071</v>
      </c>
      <c r="J23" s="66">
        <f t="shared" si="20"/>
        <v>4.6943354906457166</v>
      </c>
      <c r="K23" s="66">
        <f t="shared" si="20"/>
        <v>4.7286049873821918</v>
      </c>
      <c r="L23" s="66">
        <f t="shared" si="20"/>
        <v>4.7629561083282628</v>
      </c>
      <c r="M23" s="66">
        <f t="shared" si="20"/>
        <v>4.7973853694880573</v>
      </c>
      <c r="N23" s="66">
        <f t="shared" si="20"/>
        <v>4.8318891880304857</v>
      </c>
      <c r="O23" s="66">
        <f t="shared" si="20"/>
        <v>4.8247080795935897</v>
      </c>
      <c r="P23" s="66">
        <f t="shared" si="20"/>
        <v>4.8159606101274779</v>
      </c>
      <c r="Q23" s="66">
        <f t="shared" si="20"/>
        <v>4.8056042383936388</v>
      </c>
      <c r="R23" s="66">
        <f t="shared" si="20"/>
        <v>4.7935955795313614</v>
      </c>
      <c r="S23" s="66">
        <f t="shared" si="20"/>
        <v>4.7798903905890295</v>
      </c>
      <c r="T23" s="66">
        <f t="shared" si="20"/>
        <v>4.7644435558276985</v>
      </c>
      <c r="U23" s="66">
        <f t="shared" si="20"/>
        <v>4.7472090717935744</v>
      </c>
      <c r="V23" s="66">
        <f t="shared" si="20"/>
        <v>4.7281400321559683</v>
      </c>
      <c r="W23" s="66">
        <f t="shared" si="20"/>
        <v>4.7071886123072417</v>
      </c>
      <c r="X23" s="66">
        <f t="shared" si="20"/>
        <v>4.6843060537212171</v>
      </c>
      <c r="Y23" s="66">
        <f t="shared" si="20"/>
        <v>4.5526461011160713</v>
      </c>
      <c r="Z23" s="66">
        <f t="shared" si="20"/>
        <v>4.4164297318679555</v>
      </c>
      <c r="AA23" s="66">
        <f t="shared" si="20"/>
        <v>4.2755607591054385</v>
      </c>
      <c r="AB23" s="66">
        <f t="shared" si="20"/>
        <v>4.1299413021395184</v>
      </c>
      <c r="AC23" s="66">
        <f t="shared" si="20"/>
        <v>3.9794717594364388</v>
      </c>
      <c r="AD23" s="66">
        <f t="shared" si="20"/>
        <v>3.8240507811856324</v>
      </c>
      <c r="AE23" s="66">
        <f t="shared" si="20"/>
        <v>3.6635752414570026</v>
      </c>
      <c r="AF23" s="66">
        <f t="shared" si="20"/>
        <v>3.4979402099416288</v>
      </c>
      <c r="AG23" s="66">
        <f t="shared" si="20"/>
        <v>3.3270389232699529</v>
      </c>
      <c r="AH23" s="66">
        <f t="shared" si="20"/>
        <v>3.1507627559014013</v>
      </c>
      <c r="AJ23" s="66">
        <f>AJ18-AJ21-AJ22</f>
        <v>4.4906157306135288</v>
      </c>
      <c r="AK23" s="66">
        <f t="shared" ref="AK23:BN23" si="21">AK18-AK21-AK22</f>
        <v>4.5366096302671215</v>
      </c>
      <c r="AL23" s="66">
        <f t="shared" si="21"/>
        <v>4.5830227590004631</v>
      </c>
      <c r="AM23" s="66">
        <f t="shared" si="21"/>
        <v>4.629858239216583</v>
      </c>
      <c r="AN23" s="66">
        <f t="shared" si="21"/>
        <v>4.6771192054677586</v>
      </c>
      <c r="AO23" s="66">
        <f t="shared" si="21"/>
        <v>4.7248088042817864</v>
      </c>
      <c r="AP23" s="66">
        <f t="shared" si="21"/>
        <v>4.7729301939822815</v>
      </c>
      <c r="AQ23" s="66">
        <f t="shared" si="21"/>
        <v>4.8214865445028776</v>
      </c>
      <c r="AR23" s="66">
        <f t="shared" si="21"/>
        <v>4.870481037195205</v>
      </c>
      <c r="AS23" s="66">
        <f t="shared" si="21"/>
        <v>4.919916864630542</v>
      </c>
      <c r="AT23" s="66">
        <f t="shared" si="21"/>
        <v>4.9697972303949927</v>
      </c>
      <c r="AU23" s="66">
        <f t="shared" si="21"/>
        <v>5.00684106904695</v>
      </c>
      <c r="AV23" s="66">
        <f t="shared" si="21"/>
        <v>5.0436855426553979</v>
      </c>
      <c r="AW23" s="66">
        <f t="shared" si="21"/>
        <v>5.0803172954803273</v>
      </c>
      <c r="AX23" s="66">
        <f t="shared" si="21"/>
        <v>5.1167226533218315</v>
      </c>
      <c r="AY23" s="66">
        <f t="shared" si="21"/>
        <v>5.152887617600312</v>
      </c>
      <c r="AZ23" s="66">
        <f t="shared" si="21"/>
        <v>5.1887978593392141</v>
      </c>
      <c r="BA23" s="66">
        <f t="shared" si="21"/>
        <v>5.2244387130488263</v>
      </c>
      <c r="BB23" s="66">
        <f t="shared" si="21"/>
        <v>5.2597951705096158</v>
      </c>
      <c r="BC23" s="66">
        <f t="shared" si="21"/>
        <v>5.2948518744535722</v>
      </c>
      <c r="BD23" s="66">
        <f t="shared" si="21"/>
        <v>5.329593112141997</v>
      </c>
      <c r="BE23" s="66">
        <f t="shared" si="21"/>
        <v>5.3049593605075245</v>
      </c>
      <c r="BF23" s="66">
        <f t="shared" si="21"/>
        <v>5.2785914870880069</v>
      </c>
      <c r="BG23" s="66">
        <f t="shared" si="21"/>
        <v>5.2504483754069984</v>
      </c>
      <c r="BH23" s="66">
        <f t="shared" si="21"/>
        <v>5.2204881496482418</v>
      </c>
      <c r="BI23" s="66">
        <f t="shared" si="21"/>
        <v>5.1886681622233954</v>
      </c>
      <c r="BJ23" s="66">
        <f t="shared" si="21"/>
        <v>5.1549449811505106</v>
      </c>
      <c r="BK23" s="66">
        <f t="shared" si="21"/>
        <v>5.1192743772405285</v>
      </c>
      <c r="BL23" s="66">
        <f t="shared" si="21"/>
        <v>5.0816113110889818</v>
      </c>
      <c r="BM23" s="66">
        <f t="shared" si="21"/>
        <v>5.0419099198701032</v>
      </c>
      <c r="BN23" s="66">
        <f t="shared" si="21"/>
        <v>5.0001235039304852</v>
      </c>
      <c r="BR23" s="44" t="e">
        <f>SUM(D16,D27,D38,D45,#REF!,D54)</f>
        <v>#REF!</v>
      </c>
      <c r="BS23" s="44" t="e">
        <f>SUM(AH16,AH27,AH38,AH45,#REF!,AH54)</f>
        <v>#REF!</v>
      </c>
    </row>
    <row r="24" spans="1:85" s="67" customFormat="1" outlineLevel="1" x14ac:dyDescent="0.2">
      <c r="A24" s="681"/>
      <c r="B24" s="58" t="s">
        <v>7</v>
      </c>
      <c r="C24" s="59" t="s">
        <v>153</v>
      </c>
      <c r="D24" s="60">
        <f>D23*'R&amp;S - Transportation'!$G$4/SUM('R&amp;S - Transportation'!$G$4:$I$4)</f>
        <v>2.5999466924200116</v>
      </c>
      <c r="E24" s="60">
        <f>E23*'R&amp;S - Transportation'!$G$4/SUM('R&amp;S - Transportation'!$G$4:$I$4)</f>
        <v>2.6194649785440838</v>
      </c>
      <c r="F24" s="60">
        <f>F23*'R&amp;S - Transportation'!$G$4/SUM('R&amp;S - Transportation'!$G$4:$I$4)</f>
        <v>2.6390414830417646</v>
      </c>
      <c r="G24" s="60">
        <f>G23*'R&amp;S - Transportation'!$G$4/SUM('R&amp;S - Transportation'!$G$4:$I$4)</f>
        <v>2.6586745101443152</v>
      </c>
      <c r="H24" s="60">
        <f>H23*'R&amp;S - Transportation'!$G$4/SUM('R&amp;S - Transportation'!$G$4:$I$4)</f>
        <v>2.6783623130514878</v>
      </c>
      <c r="I24" s="60">
        <f>I23*'R&amp;S - Transportation'!$G$4/SUM('R&amp;S - Transportation'!$G$4:$I$4)</f>
        <v>2.6981030929414418</v>
      </c>
      <c r="J24" s="60">
        <f>J23*'R&amp;S - Transportation'!$G$4/SUM('R&amp;S - Transportation'!$G$4:$I$4)</f>
        <v>2.7178949979642764</v>
      </c>
      <c r="K24" s="60">
        <f>K23*'R&amp;S - Transportation'!$G$4/SUM('R&amp;S - Transportation'!$G$4:$I$4)</f>
        <v>2.7377361222189056</v>
      </c>
      <c r="L24" s="60">
        <f>L23*'R&amp;S - Transportation'!$G$4/SUM('R&amp;S - Transportation'!$G$4:$I$4)</f>
        <v>2.7576245047130485</v>
      </c>
      <c r="M24" s="60">
        <f>M23*'R&amp;S - Transportation'!$G$4/SUM('R&amp;S - Transportation'!$G$4:$I$4)</f>
        <v>2.7775581283060529</v>
      </c>
      <c r="N24" s="60">
        <f>N23*'R&amp;S - Transportation'!$G$4/SUM('R&amp;S - Transportation'!$G$4:$I$4)</f>
        <v>2.7975349186343115</v>
      </c>
      <c r="O24" s="60">
        <f>O23*'R&amp;S - Transportation'!$G$4/SUM('R&amp;S - Transportation'!$G$4:$I$4)</f>
        <v>2.7933772484508808</v>
      </c>
      <c r="P24" s="60">
        <f>P23*'R&amp;S - Transportation'!$G$4/SUM('R&amp;S - Transportation'!$G$4:$I$4)</f>
        <v>2.7883126970241312</v>
      </c>
      <c r="Q24" s="60">
        <f>Q23*'R&amp;S - Transportation'!$G$4/SUM('R&amp;S - Transportation'!$G$4:$I$4)</f>
        <v>2.7823166341120218</v>
      </c>
      <c r="R24" s="60">
        <f>R23*'R&amp;S - Transportation'!$G$4/SUM('R&amp;S - Transportation'!$G$4:$I$4)</f>
        <v>2.7753639410377664</v>
      </c>
      <c r="S24" s="60">
        <f>S23*'R&amp;S - Transportation'!$G$4/SUM('R&amp;S - Transportation'!$G$4:$I$4)</f>
        <v>2.7674290023128405</v>
      </c>
      <c r="T24" s="60">
        <f>T23*'R&amp;S - Transportation'!$G$4/SUM('R&amp;S - Transportation'!$G$4:$I$4)</f>
        <v>2.7584856971281431</v>
      </c>
      <c r="U24" s="60">
        <f>U23*'R&amp;S - Transportation'!$G$4/SUM('R&amp;S - Transportation'!$G$4:$I$4)</f>
        <v>2.7485073907113597</v>
      </c>
      <c r="V24" s="60">
        <f>V23*'R&amp;S - Transportation'!$G$4/SUM('R&amp;S - Transportation'!$G$4:$I$4)</f>
        <v>2.7374669255485466</v>
      </c>
      <c r="W24" s="60">
        <f>W23*'R&amp;S - Transportation'!$G$4/SUM('R&amp;S - Transportation'!$G$4:$I$4)</f>
        <v>2.7253366124679044</v>
      </c>
      <c r="X24" s="60">
        <f>X23*'R&amp;S - Transportation'!$G$4/SUM('R&amp;S - Transportation'!$G$4:$I$4)</f>
        <v>2.7120882215837185</v>
      </c>
      <c r="Y24" s="60">
        <f>Y23*'R&amp;S - Transportation'!$G$4/SUM('R&amp;S - Transportation'!$G$4:$I$4)</f>
        <v>2.6358606218881291</v>
      </c>
      <c r="Z24" s="60">
        <f>Z23*'R&amp;S - Transportation'!$G$4/SUM('R&amp;S - Transportation'!$G$4:$I$4)</f>
        <v>2.5569949785275212</v>
      </c>
      <c r="AA24" s="60">
        <f>AA23*'R&amp;S - Transportation'!$G$4/SUM('R&amp;S - Transportation'!$G$4:$I$4)</f>
        <v>2.4754356018697301</v>
      </c>
      <c r="AB24" s="60">
        <f>AB23*'R&amp;S - Transportation'!$G$4/SUM('R&amp;S - Transportation'!$G$4:$I$4)</f>
        <v>2.3911258216074107</v>
      </c>
      <c r="AC24" s="60">
        <f>AC23*'R&amp;S - Transportation'!$G$4/SUM('R&amp;S - Transportation'!$G$4:$I$4)</f>
        <v>2.3040079711100194</v>
      </c>
      <c r="AD24" s="60">
        <f>AD23*'R&amp;S - Transportation'!$G$4/SUM('R&amp;S - Transportation'!$G$4:$I$4)</f>
        <v>2.2140233715413857</v>
      </c>
      <c r="AE24" s="60">
        <f>AE23*'R&amp;S - Transportation'!$G$4/SUM('R&amp;S - Transportation'!$G$4:$I$4)</f>
        <v>2.12111231573952</v>
      </c>
      <c r="AF24" s="60">
        <f>AF23*'R&amp;S - Transportation'!$G$4/SUM('R&amp;S - Transportation'!$G$4:$I$4)</f>
        <v>2.0252140518552388</v>
      </c>
      <c r="AG24" s="60">
        <f>AG23*'R&amp;S - Transportation'!$G$4/SUM('R&amp;S - Transportation'!$G$4:$I$4)</f>
        <v>1.9262667667461562</v>
      </c>
      <c r="AH24" s="60">
        <f>AH23*'R&amp;S - Transportation'!$G$4/SUM('R&amp;S - Transportation'!$G$4:$I$4)</f>
        <v>1.8242075691225543</v>
      </c>
      <c r="AJ24" s="60">
        <f>AJ23*'R&amp;S - Transportation'!$G$4/SUM('R&amp;S - Transportation'!$G$4:$I$4)</f>
        <v>2.5999466924200116</v>
      </c>
      <c r="AK24" s="60">
        <f>AK23*'R&amp;S - Transportation'!$G$4/SUM('R&amp;S - Transportation'!$G$4:$I$4)</f>
        <v>2.6265759331409759</v>
      </c>
      <c r="AL24" s="60">
        <f>AL23*'R&amp;S - Transportation'!$G$4/SUM('R&amp;S - Transportation'!$G$4:$I$4)</f>
        <v>2.6534478963135251</v>
      </c>
      <c r="AM24" s="60">
        <f>AM23*'R&amp;S - Transportation'!$G$4/SUM('R&amp;S - Transportation'!$G$4:$I$4)</f>
        <v>2.6805643897257028</v>
      </c>
      <c r="AN24" s="60">
        <f>AN23*'R&amp;S - Transportation'!$G$4/SUM('R&amp;S - Transportation'!$G$4:$I$4)</f>
        <v>2.7079272281996438</v>
      </c>
      <c r="AO24" s="60">
        <f>AO23*'R&amp;S - Transportation'!$G$4/SUM('R&amp;S - Transportation'!$G$4:$I$4)</f>
        <v>2.7355382334909892</v>
      </c>
      <c r="AP24" s="60">
        <f>AP23*'R&amp;S - Transportation'!$G$4/SUM('R&amp;S - Transportation'!$G$4:$I$4)</f>
        <v>2.7633992341848437</v>
      </c>
      <c r="AQ24" s="60">
        <f>AQ23*'R&amp;S - Transportation'!$G$4/SUM('R&amp;S - Transportation'!$G$4:$I$4)</f>
        <v>2.7915120655882024</v>
      </c>
      <c r="AR24" s="60">
        <f>AR23*'R&amp;S - Transportation'!$G$4/SUM('R&amp;S - Transportation'!$G$4:$I$4)</f>
        <v>2.819878569618778</v>
      </c>
      <c r="AS24" s="60">
        <f>AS23*'R&amp;S - Transportation'!$G$4/SUM('R&amp;S - Transportation'!$G$4:$I$4)</f>
        <v>2.8485005946901572</v>
      </c>
      <c r="AT24" s="60">
        <f>AT23*'R&amp;S - Transportation'!$G$4/SUM('R&amp;S - Transportation'!$G$4:$I$4)</f>
        <v>2.8773799955932189</v>
      </c>
      <c r="AU24" s="60">
        <f>AU23*'R&amp;S - Transportation'!$G$4/SUM('R&amp;S - Transportation'!$G$4:$I$4)</f>
        <v>2.8988273897937775</v>
      </c>
      <c r="AV24" s="60">
        <f>AV23*'R&amp;S - Transportation'!$G$4/SUM('R&amp;S - Transportation'!$G$4:$I$4)</f>
        <v>2.9201593569534685</v>
      </c>
      <c r="AW24" s="60">
        <f>AW23*'R&amp;S - Transportation'!$G$4/SUM('R&amp;S - Transportation'!$G$4:$I$4)</f>
        <v>2.9413681644551763</v>
      </c>
      <c r="AX24" s="60">
        <f>AX23*'R&amp;S - Transportation'!$G$4/SUM('R&amp;S - Transportation'!$G$4:$I$4)</f>
        <v>2.9624458953020003</v>
      </c>
      <c r="AY24" s="60">
        <f>AY23*'R&amp;S - Transportation'!$G$4/SUM('R&amp;S - Transportation'!$G$4:$I$4)</f>
        <v>2.9833844446898539</v>
      </c>
      <c r="AZ24" s="60">
        <f>AZ23*'R&amp;S - Transportation'!$G$4/SUM('R&amp;S - Transportation'!$G$4:$I$4)</f>
        <v>3.0041755165236279</v>
      </c>
      <c r="BA24" s="60">
        <f>BA23*'R&amp;S - Transportation'!$G$4/SUM('R&amp;S - Transportation'!$G$4:$I$4)</f>
        <v>3.0248106198760745</v>
      </c>
      <c r="BB24" s="60">
        <f>BB23*'R&amp;S - Transportation'!$G$4/SUM('R&amp;S - Transportation'!$G$4:$I$4)</f>
        <v>3.0452810653885227</v>
      </c>
      <c r="BC24" s="60">
        <f>BC23*'R&amp;S - Transportation'!$G$4/SUM('R&amp;S - Transportation'!$G$4:$I$4)</f>
        <v>3.0655779616125476</v>
      </c>
      <c r="BD24" s="60">
        <f>BD23*'R&amp;S - Transportation'!$G$4/SUM('R&amp;S - Transportation'!$G$4:$I$4)</f>
        <v>3.0856922112916796</v>
      </c>
      <c r="BE24" s="60">
        <f>BE23*'R&amp;S - Transportation'!$G$4/SUM('R&amp;S - Transportation'!$G$4:$I$4)</f>
        <v>3.0714299263566041</v>
      </c>
      <c r="BF24" s="60">
        <f>BF23*'R&amp;S - Transportation'!$G$4/SUM('R&amp;S - Transportation'!$G$4:$I$4)</f>
        <v>3.0561636311766649</v>
      </c>
      <c r="BG24" s="60">
        <f>BG23*'R&amp;S - Transportation'!$G$4/SUM('R&amp;S - Transportation'!$G$4:$I$4)</f>
        <v>3.0398695204090425</v>
      </c>
      <c r="BH24" s="60">
        <f>BH23*'R&amp;S - Transportation'!$G$4/SUM('R&amp;S - Transportation'!$G$4:$I$4)</f>
        <v>3.0225233490734262</v>
      </c>
      <c r="BI24" s="60">
        <f>BI23*'R&amp;S - Transportation'!$G$4/SUM('R&amp;S - Transportation'!$G$4:$I$4)</f>
        <v>3.0041004253540602</v>
      </c>
      <c r="BJ24" s="60">
        <f>BJ23*'R&amp;S - Transportation'!$G$4/SUM('R&amp;S - Transportation'!$G$4:$I$4)</f>
        <v>2.9845756032922206</v>
      </c>
      <c r="BK24" s="60">
        <f>BK23*'R&amp;S - Transportation'!$G$4/SUM('R&amp;S - Transportation'!$G$4:$I$4)</f>
        <v>2.9639232753675349</v>
      </c>
      <c r="BL24" s="60">
        <f>BL23*'R&amp;S - Transportation'!$G$4/SUM('R&amp;S - Transportation'!$G$4:$I$4)</f>
        <v>2.9421173649665282</v>
      </c>
      <c r="BM24" s="60">
        <f>BM23*'R&amp;S - Transportation'!$G$4/SUM('R&amp;S - Transportation'!$G$4:$I$4)</f>
        <v>2.9191313187367625</v>
      </c>
      <c r="BN24" s="60">
        <f>BN23*'R&amp;S - Transportation'!$G$4/SUM('R&amp;S - Transportation'!$G$4:$I$4)</f>
        <v>2.8949380988249236</v>
      </c>
    </row>
    <row r="25" spans="1:85" outlineLevel="1" x14ac:dyDescent="0.2">
      <c r="A25" s="682"/>
      <c r="B25" s="1" t="s">
        <v>8</v>
      </c>
      <c r="C25" s="54" t="s">
        <v>153</v>
      </c>
      <c r="D25" s="44">
        <f>D23*'R&amp;S - Transportation'!$H$4/SUM('R&amp;S - Transportation'!$G$4:$I$4)</f>
        <v>1.1465929107008392</v>
      </c>
      <c r="E25" s="44">
        <f>E23*'R&amp;S - Transportation'!$H$4/SUM('R&amp;S - Transportation'!$G$4:$I$4)</f>
        <v>1.1552005981446385</v>
      </c>
      <c r="F25" s="44">
        <f>F23*'R&amp;S - Transportation'!$H$4/SUM('R&amp;S - Transportation'!$G$4:$I$4)</f>
        <v>1.1638339602588637</v>
      </c>
      <c r="G25" s="44">
        <f>G23*'R&amp;S - Transportation'!$H$4/SUM('R&amp;S - Transportation'!$G$4:$I$4)</f>
        <v>1.1724922491987917</v>
      </c>
      <c r="H25" s="44">
        <f>H23*'R&amp;S - Transportation'!$H$4/SUM('R&amp;S - Transportation'!$G$4:$I$4)</f>
        <v>1.1811746946144812</v>
      </c>
      <c r="I25" s="44">
        <f>I23*'R&amp;S - Transportation'!$H$4/SUM('R&amp;S - Transportation'!$G$4:$I$4)</f>
        <v>1.1898805032141408</v>
      </c>
      <c r="J25" s="44">
        <f>J23*'R&amp;S - Transportation'!$H$4/SUM('R&amp;S - Transportation'!$G$4:$I$4)</f>
        <v>1.1986088583202694</v>
      </c>
      <c r="K25" s="44">
        <f>K23*'R&amp;S - Transportation'!$H$4/SUM('R&amp;S - Transportation'!$G$4:$I$4)</f>
        <v>1.207358919418452</v>
      </c>
      <c r="L25" s="44">
        <f>L23*'R&amp;S - Transportation'!$H$4/SUM('R&amp;S - Transportation'!$G$4:$I$4)</f>
        <v>1.2161298216987082</v>
      </c>
      <c r="M25" s="44">
        <f>M23*'R&amp;S - Transportation'!$H$4/SUM('R&amp;S - Transportation'!$G$4:$I$4)</f>
        <v>1.2249206755892714</v>
      </c>
      <c r="N25" s="44">
        <f>N23*'R&amp;S - Transportation'!$H$4/SUM('R&amp;S - Transportation'!$G$4:$I$4)</f>
        <v>1.233730566282691</v>
      </c>
      <c r="O25" s="44">
        <f>O23*'R&amp;S - Transportation'!$H$4/SUM('R&amp;S - Transportation'!$G$4:$I$4)</f>
        <v>1.2318970074750231</v>
      </c>
      <c r="P25" s="44">
        <f>P23*'R&amp;S - Transportation'!$H$4/SUM('R&amp;S - Transportation'!$G$4:$I$4)</f>
        <v>1.2296635083118592</v>
      </c>
      <c r="Q25" s="44">
        <f>Q23*'R&amp;S - Transportation'!$H$4/SUM('R&amp;S - Transportation'!$G$4:$I$4)</f>
        <v>1.2270192067009127</v>
      </c>
      <c r="R25" s="44">
        <f>R23*'R&amp;S - Transportation'!$H$4/SUM('R&amp;S - Transportation'!$G$4:$I$4)</f>
        <v>1.2239530251470903</v>
      </c>
      <c r="S25" s="44">
        <f>S23*'R&amp;S - Transportation'!$H$4/SUM('R&amp;S - Transportation'!$G$4:$I$4)</f>
        <v>1.2204536670581838</v>
      </c>
      <c r="T25" s="44">
        <f>T23*'R&amp;S - Transportation'!$H$4/SUM('R&amp;S - Transportation'!$G$4:$I$4)</f>
        <v>1.21650961299242</v>
      </c>
      <c r="U25" s="44">
        <f>U23*'R&amp;S - Transportation'!$H$4/SUM('R&amp;S - Transportation'!$G$4:$I$4)</f>
        <v>1.2121091168470031</v>
      </c>
      <c r="V25" s="44">
        <f>V23*'R&amp;S - Transportation'!$H$4/SUM('R&amp;S - Transportation'!$G$4:$I$4)</f>
        <v>1.2072402019867763</v>
      </c>
      <c r="W25" s="44">
        <f>W23*'R&amp;S - Transportation'!$H$4/SUM('R&amp;S - Transportation'!$G$4:$I$4)</f>
        <v>1.201890657312112</v>
      </c>
      <c r="X25" s="44">
        <f>X23*'R&amp;S - Transportation'!$H$4/SUM('R&amp;S - Transportation'!$G$4:$I$4)</f>
        <v>1.1960480332651315</v>
      </c>
      <c r="Y25" s="44">
        <f>Y23*'R&amp;S - Transportation'!$H$4/SUM('R&amp;S - Transportation'!$G$4:$I$4)</f>
        <v>1.1624311804021401</v>
      </c>
      <c r="Z25" s="44">
        <f>Z23*'R&amp;S - Transportation'!$H$4/SUM('R&amp;S - Transportation'!$G$4:$I$4)</f>
        <v>1.1276509336229399</v>
      </c>
      <c r="AA25" s="44">
        <f>AA23*'R&amp;S - Transportation'!$H$4/SUM('R&amp;S - Transportation'!$G$4:$I$4)</f>
        <v>1.0916827334480512</v>
      </c>
      <c r="AB25" s="44">
        <f>AB23*'R&amp;S - Transportation'!$H$4/SUM('R&amp;S - Transportation'!$G$4:$I$4)</f>
        <v>1.0545015879140469</v>
      </c>
      <c r="AC25" s="44">
        <f>AC23*'R&amp;S - Transportation'!$H$4/SUM('R&amp;S - Transportation'!$G$4:$I$4)</f>
        <v>1.0160820656726779</v>
      </c>
      <c r="AD25" s="44">
        <f>AD23*'R&amp;S - Transportation'!$H$4/SUM('R&amp;S - Transportation'!$G$4:$I$4)</f>
        <v>0.97639828898662051</v>
      </c>
      <c r="AE25" s="44">
        <f>AE23*'R&amp;S - Transportation'!$H$4/SUM('R&amp;S - Transportation'!$G$4:$I$4)</f>
        <v>0.93542392662037133</v>
      </c>
      <c r="AF25" s="44">
        <f>AF23*'R&amp;S - Transportation'!$H$4/SUM('R&amp;S - Transportation'!$G$4:$I$4)</f>
        <v>0.893132186624776</v>
      </c>
      <c r="AG25" s="44">
        <f>AG23*'R&amp;S - Transportation'!$H$4/SUM('R&amp;S - Transportation'!$G$4:$I$4)</f>
        <v>0.84949580901367649</v>
      </c>
      <c r="AH25" s="44">
        <f>AH23*'R&amp;S - Transportation'!$H$4/SUM('R&amp;S - Transportation'!$G$4:$I$4)</f>
        <v>0.80448705833113221</v>
      </c>
      <c r="AJ25" s="44">
        <f>AJ23*'R&amp;S - Transportation'!$H$4/SUM('R&amp;S - Transportation'!$G$4:$I$4)</f>
        <v>1.1465929107008392</v>
      </c>
      <c r="AK25" s="44">
        <f>AK23*'R&amp;S - Transportation'!$H$4/SUM('R&amp;S - Transportation'!$G$4:$I$4)</f>
        <v>1.1583365740294069</v>
      </c>
      <c r="AL25" s="44">
        <f>AL23*'R&amp;S - Transportation'!$H$4/SUM('R&amp;S - Transportation'!$G$4:$I$4)</f>
        <v>1.1701872794919792</v>
      </c>
      <c r="AM25" s="44">
        <f>AM23*'R&amp;S - Transportation'!$H$4/SUM('R&amp;S - Transportation'!$G$4:$I$4)</f>
        <v>1.1821458243345004</v>
      </c>
      <c r="AN25" s="44">
        <f>AN23*'R&amp;S - Transportation'!$H$4/SUM('R&amp;S - Transportation'!$G$4:$I$4)</f>
        <v>1.1942130089049925</v>
      </c>
      <c r="AO25" s="44">
        <f>AO23*'R&amp;S - Transportation'!$H$4/SUM('R&amp;S - Transportation'!$G$4:$I$4)</f>
        <v>1.2063896366091984</v>
      </c>
      <c r="AP25" s="44">
        <f>AP23*'R&amp;S - Transportation'!$H$4/SUM('R&amp;S - Transportation'!$G$4:$I$4)</f>
        <v>1.2186765138646973</v>
      </c>
      <c r="AQ25" s="44">
        <f>AQ23*'R&amp;S - Transportation'!$H$4/SUM('R&amp;S - Transportation'!$G$4:$I$4)</f>
        <v>1.2310744500534643</v>
      </c>
      <c r="AR25" s="44">
        <f>AR23*'R&amp;S - Transportation'!$H$4/SUM('R&amp;S - Transportation'!$G$4:$I$4)</f>
        <v>1.2435842574728426</v>
      </c>
      <c r="AS25" s="44">
        <f>AS23*'R&amp;S - Transportation'!$H$4/SUM('R&amp;S - Transportation'!$G$4:$I$4)</f>
        <v>1.256206751284898</v>
      </c>
      <c r="AT25" s="44">
        <f>AT23*'R&amp;S - Transportation'!$H$4/SUM('R&amp;S - Transportation'!$G$4:$I$4)</f>
        <v>1.2689427494641212</v>
      </c>
      <c r="AU25" s="44">
        <f>AU23*'R&amp;S - Transportation'!$H$4/SUM('R&amp;S - Transportation'!$G$4:$I$4)</f>
        <v>1.2784011857524731</v>
      </c>
      <c r="AV25" s="44">
        <f>AV23*'R&amp;S - Transportation'!$H$4/SUM('R&amp;S - Transportation'!$G$4:$I$4)</f>
        <v>1.2878087179868509</v>
      </c>
      <c r="AW25" s="44">
        <f>AW23*'R&amp;S - Transportation'!$H$4/SUM('R&amp;S - Transportation'!$G$4:$I$4)</f>
        <v>1.2971619360342723</v>
      </c>
      <c r="AX25" s="44">
        <f>AX23*'R&amp;S - Transportation'!$H$4/SUM('R&amp;S - Transportation'!$G$4:$I$4)</f>
        <v>1.3064573484491069</v>
      </c>
      <c r="AY25" s="44">
        <f>AY23*'R&amp;S - Transportation'!$H$4/SUM('R&amp;S - Transportation'!$G$4:$I$4)</f>
        <v>1.315691380961568</v>
      </c>
      <c r="AZ25" s="44">
        <f>AZ23*'R&amp;S - Transportation'!$H$4/SUM('R&amp;S - Transportation'!$G$4:$I$4)</f>
        <v>1.324860374941321</v>
      </c>
      <c r="BA25" s="44">
        <f>BA23*'R&amp;S - Transportation'!$H$4/SUM('R&amp;S - Transportation'!$G$4:$I$4)</f>
        <v>1.3339605858358266</v>
      </c>
      <c r="BB25" s="44">
        <f>BB23*'R&amp;S - Transportation'!$H$4/SUM('R&amp;S - Transportation'!$G$4:$I$4)</f>
        <v>1.3429881815830356</v>
      </c>
      <c r="BC25" s="44">
        <f>BC23*'R&amp;S - Transportation'!$H$4/SUM('R&amp;S - Transportation'!$G$4:$I$4)</f>
        <v>1.3519392409980406</v>
      </c>
      <c r="BD25" s="44">
        <f>BD23*'R&amp;S - Transportation'!$H$4/SUM('R&amp;S - Transportation'!$G$4:$I$4)</f>
        <v>1.3608097521332871</v>
      </c>
      <c r="BE25" s="44">
        <f>BE23*'R&amp;S - Transportation'!$H$4/SUM('R&amp;S - Transportation'!$G$4:$I$4)</f>
        <v>1.3545199944068578</v>
      </c>
      <c r="BF25" s="44">
        <f>BF23*'R&amp;S - Transportation'!$H$4/SUM('R&amp;S - Transportation'!$G$4:$I$4)</f>
        <v>1.3477874618218564</v>
      </c>
      <c r="BG25" s="44">
        <f>BG23*'R&amp;S - Transportation'!$H$4/SUM('R&amp;S - Transportation'!$G$4:$I$4)</f>
        <v>1.3406016560717622</v>
      </c>
      <c r="BH25" s="44">
        <f>BH23*'R&amp;S - Transportation'!$H$4/SUM('R&amp;S - Transportation'!$G$4:$I$4)</f>
        <v>1.3329518849671449</v>
      </c>
      <c r="BI25" s="44">
        <f>BI23*'R&amp;S - Transportation'!$H$4/SUM('R&amp;S - Transportation'!$G$4:$I$4)</f>
        <v>1.3248272592613213</v>
      </c>
      <c r="BJ25" s="44">
        <f>BJ23*'R&amp;S - Transportation'!$H$4/SUM('R&amp;S - Transportation'!$G$4:$I$4)</f>
        <v>1.3162166894276901</v>
      </c>
      <c r="BK25" s="44">
        <f>BK23*'R&amp;S - Transportation'!$H$4/SUM('R&amp;S - Transportation'!$G$4:$I$4)</f>
        <v>1.3071088823880495</v>
      </c>
      <c r="BL25" s="44">
        <f>BL23*'R&amp;S - Transportation'!$H$4/SUM('R&amp;S - Transportation'!$G$4:$I$4)</f>
        <v>1.297492338191176</v>
      </c>
      <c r="BM25" s="44">
        <f>BM23*'R&amp;S - Transportation'!$H$4/SUM('R&amp;S - Transportation'!$G$4:$I$4)</f>
        <v>1.2873553466409531</v>
      </c>
      <c r="BN25" s="44">
        <f>BN23*'R&amp;S - Transportation'!$H$4/SUM('R&amp;S - Transportation'!$G$4:$I$4)</f>
        <v>1.2766859838733184</v>
      </c>
    </row>
    <row r="26" spans="1:85" s="68" customFormat="1" outlineLevel="1" x14ac:dyDescent="0.2">
      <c r="A26" s="683"/>
      <c r="B26" s="62" t="s">
        <v>166</v>
      </c>
      <c r="C26" s="283" t="s">
        <v>153</v>
      </c>
      <c r="D26" s="284">
        <f>D23*'R&amp;S - Transportation'!$I$4/SUM('R&amp;S - Transportation'!$G$4:$I$4)</f>
        <v>0.74407612749267826</v>
      </c>
      <c r="E26" s="284">
        <f>E23*'R&amp;S - Transportation'!$I$4/SUM('R&amp;S - Transportation'!$G$4:$I$4)</f>
        <v>0.74966204615663956</v>
      </c>
      <c r="F26" s="284">
        <f>F23*'R&amp;S - Transportation'!$I$4/SUM('R&amp;S - Transportation'!$G$4:$I$4)</f>
        <v>0.75526462627835711</v>
      </c>
      <c r="G26" s="284">
        <f>G23*'R&amp;S - Transportation'!$I$4/SUM('R&amp;S - Transportation'!$G$4:$I$4)</f>
        <v>0.76088338254748178</v>
      </c>
      <c r="H26" s="284">
        <f>H23*'R&amp;S - Transportation'!$I$4/SUM('R&amp;S - Transportation'!$G$4:$I$4)</f>
        <v>0.76651781504900829</v>
      </c>
      <c r="I26" s="284">
        <f>I23*'R&amp;S - Transportation'!$I$4/SUM('R&amp;S - Transportation'!$G$4:$I$4)</f>
        <v>0.77216740897992475</v>
      </c>
      <c r="J26" s="284">
        <f>J23*'R&amp;S - Transportation'!$I$4/SUM('R&amp;S - Transportation'!$G$4:$I$4)</f>
        <v>0.77783163436117131</v>
      </c>
      <c r="K26" s="284">
        <f>K23*'R&amp;S - Transportation'!$I$4/SUM('R&amp;S - Transportation'!$G$4:$I$4)</f>
        <v>0.78350994574483446</v>
      </c>
      <c r="L26" s="284">
        <f>L23*'R&amp;S - Transportation'!$I$4/SUM('R&amp;S - Transportation'!$G$4:$I$4)</f>
        <v>0.78920178191650636</v>
      </c>
      <c r="M26" s="284">
        <f>M23*'R&amp;S - Transportation'!$I$4/SUM('R&amp;S - Transportation'!$G$4:$I$4)</f>
        <v>0.79490656559273376</v>
      </c>
      <c r="N26" s="284">
        <f>N23*'R&amp;S - Transportation'!$I$4/SUM('R&amp;S - Transportation'!$G$4:$I$4)</f>
        <v>0.80062370311348363</v>
      </c>
      <c r="O26" s="284">
        <f>O23*'R&amp;S - Transportation'!$I$4/SUM('R&amp;S - Transportation'!$G$4:$I$4)</f>
        <v>0.79943382366768645</v>
      </c>
      <c r="P26" s="284">
        <f>P23*'R&amp;S - Transportation'!$I$4/SUM('R&amp;S - Transportation'!$G$4:$I$4)</f>
        <v>0.79798440479148802</v>
      </c>
      <c r="Q26" s="284">
        <f>Q23*'R&amp;S - Transportation'!$I$4/SUM('R&amp;S - Transportation'!$G$4:$I$4)</f>
        <v>0.79626839758070467</v>
      </c>
      <c r="R26" s="284">
        <f>R23*'R&amp;S - Transportation'!$I$4/SUM('R&amp;S - Transportation'!$G$4:$I$4)</f>
        <v>0.79427861334650496</v>
      </c>
      <c r="S26" s="284">
        <f>S23*'R&amp;S - Transportation'!$I$4/SUM('R&amp;S - Transportation'!$G$4:$I$4)</f>
        <v>0.79200772121800567</v>
      </c>
      <c r="T26" s="284">
        <f>T23*'R&amp;S - Transportation'!$I$4/SUM('R&amp;S - Transportation'!$G$4:$I$4)</f>
        <v>0.78944824570713623</v>
      </c>
      <c r="U26" s="284">
        <f>U23*'R&amp;S - Transportation'!$I$4/SUM('R&amp;S - Transportation'!$G$4:$I$4)</f>
        <v>0.78659256423521184</v>
      </c>
      <c r="V26" s="284">
        <f>V23*'R&amp;S - Transportation'!$I$4/SUM('R&amp;S - Transportation'!$G$4:$I$4)</f>
        <v>0.78343290462064574</v>
      </c>
      <c r="W26" s="284">
        <f>W23*'R&amp;S - Transportation'!$I$4/SUM('R&amp;S - Transportation'!$G$4:$I$4)</f>
        <v>0.77996134252722571</v>
      </c>
      <c r="X26" s="284">
        <f>X23*'R&amp;S - Transportation'!$I$4/SUM('R&amp;S - Transportation'!$G$4:$I$4)</f>
        <v>0.7761697988723677</v>
      </c>
      <c r="Y26" s="284">
        <f>Y23*'R&amp;S - Transportation'!$I$4/SUM('R&amp;S - Transportation'!$G$4:$I$4)</f>
        <v>0.75435429882580229</v>
      </c>
      <c r="Z26" s="284">
        <f>Z23*'R&amp;S - Transportation'!$I$4/SUM('R&amp;S - Transportation'!$G$4:$I$4)</f>
        <v>0.73178381971749462</v>
      </c>
      <c r="AA26" s="284">
        <f>AA23*'R&amp;S - Transportation'!$I$4/SUM('R&amp;S - Transportation'!$G$4:$I$4)</f>
        <v>0.70844242378765743</v>
      </c>
      <c r="AB26" s="284">
        <f>AB23*'R&amp;S - Transportation'!$I$4/SUM('R&amp;S - Transportation'!$G$4:$I$4)</f>
        <v>0.68431389261806097</v>
      </c>
      <c r="AC26" s="284">
        <f>AC23*'R&amp;S - Transportation'!$I$4/SUM('R&amp;S - Transportation'!$G$4:$I$4)</f>
        <v>0.65938172265374195</v>
      </c>
      <c r="AD26" s="284">
        <f>AD23*'R&amp;S - Transportation'!$I$4/SUM('R&amp;S - Transportation'!$G$4:$I$4)</f>
        <v>0.63362912065762678</v>
      </c>
      <c r="AE26" s="284">
        <f>AE23*'R&amp;S - Transportation'!$I$4/SUM('R&amp;S - Transportation'!$G$4:$I$4)</f>
        <v>0.60703899909711134</v>
      </c>
      <c r="AF26" s="284">
        <f>AF23*'R&amp;S - Transportation'!$I$4/SUM('R&amp;S - Transportation'!$G$4:$I$4)</f>
        <v>0.57959397146161418</v>
      </c>
      <c r="AG26" s="284">
        <f>AG23*'R&amp;S - Transportation'!$I$4/SUM('R&amp;S - Transportation'!$G$4:$I$4)</f>
        <v>0.55127634751012033</v>
      </c>
      <c r="AH26" s="284">
        <f>AH23*'R&amp;S - Transportation'!$I$4/SUM('R&amp;S - Transportation'!$G$4:$I$4)</f>
        <v>0.522068128447715</v>
      </c>
      <c r="AJ26" s="284">
        <f>AJ23*'R&amp;S - Transportation'!$I$4/SUM('R&amp;S - Transportation'!$G$4:$I$4)</f>
        <v>0.74407612749267826</v>
      </c>
      <c r="AK26" s="284">
        <f>AK23*'R&amp;S - Transportation'!$I$4/SUM('R&amp;S - Transportation'!$G$4:$I$4)</f>
        <v>0.75169712309673908</v>
      </c>
      <c r="AL26" s="284">
        <f>AL23*'R&amp;S - Transportation'!$I$4/SUM('R&amp;S - Transportation'!$G$4:$I$4)</f>
        <v>0.75938758319495947</v>
      </c>
      <c r="AM26" s="284">
        <f>AM23*'R&amp;S - Transportation'!$I$4/SUM('R&amp;S - Transportation'!$G$4:$I$4)</f>
        <v>0.76714802515638048</v>
      </c>
      <c r="AN26" s="284">
        <f>AN23*'R&amp;S - Transportation'!$I$4/SUM('R&amp;S - Transportation'!$G$4:$I$4)</f>
        <v>0.77497896836312252</v>
      </c>
      <c r="AO26" s="284">
        <f>AO23*'R&amp;S - Transportation'!$I$4/SUM('R&amp;S - Transportation'!$G$4:$I$4)</f>
        <v>0.78288093418159899</v>
      </c>
      <c r="AP26" s="284">
        <f>AP23*'R&amp;S - Transportation'!$I$4/SUM('R&amp;S - Transportation'!$G$4:$I$4)</f>
        <v>0.79085444593274112</v>
      </c>
      <c r="AQ26" s="284">
        <f>AQ23*'R&amp;S - Transportation'!$I$4/SUM('R&amp;S - Transportation'!$G$4:$I$4)</f>
        <v>0.79890002886121092</v>
      </c>
      <c r="AR26" s="284">
        <f>AR23*'R&amp;S - Transportation'!$I$4/SUM('R&amp;S - Transportation'!$G$4:$I$4)</f>
        <v>0.80701821010358465</v>
      </c>
      <c r="AS26" s="284">
        <f>AS23*'R&amp;S - Transportation'!$I$4/SUM('R&amp;S - Transportation'!$G$4:$I$4)</f>
        <v>0.81520951865548708</v>
      </c>
      <c r="AT26" s="284">
        <f>AT23*'R&amp;S - Transportation'!$I$4/SUM('R&amp;S - Transportation'!$G$4:$I$4)</f>
        <v>0.82347448533765288</v>
      </c>
      <c r="AU26" s="284">
        <f>AU23*'R&amp;S - Transportation'!$I$4/SUM('R&amp;S - Transportation'!$G$4:$I$4)</f>
        <v>0.82961249350069965</v>
      </c>
      <c r="AV26" s="284">
        <f>AV23*'R&amp;S - Transportation'!$I$4/SUM('R&amp;S - Transportation'!$G$4:$I$4)</f>
        <v>0.8357174677150786</v>
      </c>
      <c r="AW26" s="284">
        <f>AW23*'R&amp;S - Transportation'!$I$4/SUM('R&amp;S - Transportation'!$G$4:$I$4)</f>
        <v>0.84178719499087884</v>
      </c>
      <c r="AX26" s="284">
        <f>AX23*'R&amp;S - Transportation'!$I$4/SUM('R&amp;S - Transportation'!$G$4:$I$4)</f>
        <v>0.84781940957072455</v>
      </c>
      <c r="AY26" s="284">
        <f>AY23*'R&amp;S - Transportation'!$I$4/SUM('R&amp;S - Transportation'!$G$4:$I$4)</f>
        <v>0.85381179194889045</v>
      </c>
      <c r="AZ26" s="284">
        <f>AZ23*'R&amp;S - Transportation'!$I$4/SUM('R&amp;S - Transportation'!$G$4:$I$4)</f>
        <v>0.85976196787426573</v>
      </c>
      <c r="BA26" s="284">
        <f>BA23*'R&amp;S - Transportation'!$I$4/SUM('R&amp;S - Transportation'!$G$4:$I$4)</f>
        <v>0.86566750733692599</v>
      </c>
      <c r="BB26" s="284">
        <f>BB23*'R&amp;S - Transportation'!$I$4/SUM('R&amp;S - Transportation'!$G$4:$I$4)</f>
        <v>0.8715259235380578</v>
      </c>
      <c r="BC26" s="284">
        <f>BC23*'R&amp;S - Transportation'!$I$4/SUM('R&amp;S - Transportation'!$G$4:$I$4)</f>
        <v>0.87733467184298419</v>
      </c>
      <c r="BD26" s="284">
        <f>BD23*'R&amp;S - Transportation'!$I$4/SUM('R&amp;S - Transportation'!$G$4:$I$4)</f>
        <v>0.88309114871703054</v>
      </c>
      <c r="BE26" s="284">
        <f>BE23*'R&amp;S - Transportation'!$I$4/SUM('R&amp;S - Transportation'!$G$4:$I$4)</f>
        <v>0.87900943974406287</v>
      </c>
      <c r="BF26" s="284">
        <f>BF23*'R&amp;S - Transportation'!$I$4/SUM('R&amp;S - Transportation'!$G$4:$I$4)</f>
        <v>0.87464039408948602</v>
      </c>
      <c r="BG26" s="284">
        <f>BG23*'R&amp;S - Transportation'!$I$4/SUM('R&amp;S - Transportation'!$G$4:$I$4)</f>
        <v>0.8699771989261943</v>
      </c>
      <c r="BH26" s="284">
        <f>BH23*'R&amp;S - Transportation'!$I$4/SUM('R&amp;S - Transportation'!$G$4:$I$4)</f>
        <v>0.86501291560767124</v>
      </c>
      <c r="BI26" s="284">
        <f>BI23*'R&amp;S - Transportation'!$I$4/SUM('R&amp;S - Transportation'!$G$4:$I$4)</f>
        <v>0.85974047760801386</v>
      </c>
      <c r="BJ26" s="284">
        <f>BJ23*'R&amp;S - Transportation'!$I$4/SUM('R&amp;S - Transportation'!$G$4:$I$4)</f>
        <v>0.8541526884306001</v>
      </c>
      <c r="BK26" s="284">
        <f>BK23*'R&amp;S - Transportation'!$I$4/SUM('R&amp;S - Transportation'!$G$4:$I$4)</f>
        <v>0.84824221948494438</v>
      </c>
      <c r="BL26" s="284">
        <f>BL23*'R&amp;S - Transportation'!$I$4/SUM('R&amp;S - Transportation'!$G$4:$I$4)</f>
        <v>0.84200160793127787</v>
      </c>
      <c r="BM26" s="284">
        <f>BM23*'R&amp;S - Transportation'!$I$4/SUM('R&amp;S - Transportation'!$G$4:$I$4)</f>
        <v>0.83542325449238786</v>
      </c>
      <c r="BN26" s="284">
        <f>BN23*'R&amp;S - Transportation'!$I$4/SUM('R&amp;S - Transportation'!$G$4:$I$4)</f>
        <v>0.82849942123224352</v>
      </c>
    </row>
    <row r="27" spans="1:85" s="1" customFormat="1" outlineLevel="1" x14ac:dyDescent="0.2">
      <c r="A27" s="1" t="s">
        <v>198</v>
      </c>
      <c r="B27" s="1" t="s">
        <v>199</v>
      </c>
      <c r="C27" s="65" t="s">
        <v>153</v>
      </c>
      <c r="D27" s="66">
        <f>SUM('R&amp;S - Packaging and hh goods'!L4:N4)</f>
        <v>45.090956546267236</v>
      </c>
      <c r="E27" s="66">
        <f>D27*(1+'R&amp;S - Packaging and hh goods'!$E$5)</f>
        <v>45.58695706827617</v>
      </c>
      <c r="F27" s="66">
        <f>E27*(1+'R&amp;S - Packaging and hh goods'!$E$5)</f>
        <v>46.088413596027202</v>
      </c>
      <c r="G27" s="66">
        <f>F27*(1+'R&amp;S - Packaging and hh goods'!$E$5)</f>
        <v>46.595386145583497</v>
      </c>
      <c r="H27" s="66">
        <f>G27*(1+'R&amp;S - Packaging and hh goods'!$E$5)</f>
        <v>47.10793539318491</v>
      </c>
      <c r="I27" s="66">
        <f>H27*(1+'R&amp;S - Packaging and hh goods'!$E$5)</f>
        <v>47.626122682509937</v>
      </c>
      <c r="J27" s="66">
        <f>I27*(1+'R&amp;S - Packaging and hh goods'!$E$5)</f>
        <v>48.150010032017541</v>
      </c>
      <c r="K27" s="66">
        <f>J27*(1+'R&amp;S - Packaging and hh goods'!$E$5)</f>
        <v>48.679660142369727</v>
      </c>
      <c r="L27" s="66">
        <f>K27*(1+'R&amp;S - Packaging and hh goods'!$E$5)</f>
        <v>49.215136403935787</v>
      </c>
      <c r="M27" s="66">
        <f>L27*(1+'R&amp;S - Packaging and hh goods'!$E$5)</f>
        <v>49.756502904379076</v>
      </c>
      <c r="N27" s="66">
        <f>M27*(1+'R&amp;S - Packaging and hh goods'!$E$5)</f>
        <v>50.30382443632724</v>
      </c>
      <c r="O27" s="180">
        <f>N27*(1+'R&amp;S - Packaging and hh goods'!$E$5)</f>
        <v>50.857166505126834</v>
      </c>
      <c r="P27" s="66">
        <f>O27*(1+'R&amp;S - Packaging and hh goods'!$E$5)</f>
        <v>51.416595336683223</v>
      </c>
      <c r="Q27" s="66">
        <f>P27*(1+'R&amp;S - Packaging and hh goods'!$E$5)</f>
        <v>51.982177885386733</v>
      </c>
      <c r="R27" s="66">
        <f>Q27*(1+'R&amp;S - Packaging and hh goods'!$E$5)</f>
        <v>52.553981842125985</v>
      </c>
      <c r="S27" s="66">
        <f>R27*(1+'R&amp;S - Packaging and hh goods'!$E$5)</f>
        <v>53.132075642389367</v>
      </c>
      <c r="T27" s="66">
        <f>S27*(1+'R&amp;S - Packaging and hh goods'!$E$5)</f>
        <v>53.716528474455643</v>
      </c>
      <c r="U27" s="66">
        <f>T27*(1+'R&amp;S - Packaging and hh goods'!$E$5)</f>
        <v>54.307410287674649</v>
      </c>
      <c r="V27" s="66">
        <f>U27*(1+'R&amp;S - Packaging and hh goods'!$E$5)</f>
        <v>54.904791800839064</v>
      </c>
      <c r="W27" s="66">
        <f>V27*(1+'R&amp;S - Packaging and hh goods'!$E$5)</f>
        <v>55.508744510648285</v>
      </c>
      <c r="X27" s="66">
        <f>W27*(1+'R&amp;S - Packaging and hh goods'!$E$5)</f>
        <v>56.119340700265411</v>
      </c>
      <c r="Y27" s="180">
        <f>X27*(1+'R&amp;S - Packaging and hh goods'!$E$5)</f>
        <v>56.736653447968322</v>
      </c>
      <c r="Z27" s="66">
        <f>Y27*(1+'R&amp;S - Packaging and hh goods'!$E$5)</f>
        <v>57.360756635895967</v>
      </c>
      <c r="AA27" s="66">
        <f>Z27*(1+'R&amp;S - Packaging and hh goods'!$E$5)</f>
        <v>57.991724958890821</v>
      </c>
      <c r="AB27" s="66">
        <f>AA27*(1+'R&amp;S - Packaging and hh goods'!$E$5)</f>
        <v>58.629633933438612</v>
      </c>
      <c r="AC27" s="66">
        <f>AB27*(1+'R&amp;S - Packaging and hh goods'!$E$5)</f>
        <v>59.274559906706429</v>
      </c>
      <c r="AD27" s="66">
        <f>AC27*(1+'R&amp;S - Packaging and hh goods'!$E$5)</f>
        <v>59.926580065680191</v>
      </c>
      <c r="AE27" s="66">
        <f>AD27*(1+'R&amp;S - Packaging and hh goods'!$E$5)</f>
        <v>60.585772446402665</v>
      </c>
      <c r="AF27" s="66">
        <f>AE27*(1+'R&amp;S - Packaging and hh goods'!$E$5)</f>
        <v>61.252215943313089</v>
      </c>
      <c r="AG27" s="66">
        <f>AF27*(1+'R&amp;S - Packaging and hh goods'!$E$5)</f>
        <v>61.925990318689529</v>
      </c>
      <c r="AH27" s="66">
        <f>AG27*(1+'R&amp;S - Packaging and hh goods'!$E$5)</f>
        <v>62.607176212195107</v>
      </c>
      <c r="AJ27" s="66">
        <f>D27</f>
        <v>45.090956546267236</v>
      </c>
      <c r="AK27" s="66">
        <f t="shared" ref="AK27:BN27" si="22">E27</f>
        <v>45.58695706827617</v>
      </c>
      <c r="AL27" s="66">
        <f t="shared" si="22"/>
        <v>46.088413596027202</v>
      </c>
      <c r="AM27" s="66">
        <f t="shared" si="22"/>
        <v>46.595386145583497</v>
      </c>
      <c r="AN27" s="66">
        <f t="shared" si="22"/>
        <v>47.10793539318491</v>
      </c>
      <c r="AO27" s="66">
        <f t="shared" si="22"/>
        <v>47.626122682509937</v>
      </c>
      <c r="AP27" s="66">
        <f t="shared" si="22"/>
        <v>48.150010032017541</v>
      </c>
      <c r="AQ27" s="66">
        <f t="shared" si="22"/>
        <v>48.679660142369727</v>
      </c>
      <c r="AR27" s="66">
        <f t="shared" si="22"/>
        <v>49.215136403935787</v>
      </c>
      <c r="AS27" s="66">
        <f t="shared" si="22"/>
        <v>49.756502904379076</v>
      </c>
      <c r="AT27" s="66">
        <f t="shared" si="22"/>
        <v>50.30382443632724</v>
      </c>
      <c r="AU27" s="66">
        <f t="shared" si="22"/>
        <v>50.857166505126834</v>
      </c>
      <c r="AV27" s="66">
        <f t="shared" si="22"/>
        <v>51.416595336683223</v>
      </c>
      <c r="AW27" s="66">
        <f t="shared" si="22"/>
        <v>51.982177885386733</v>
      </c>
      <c r="AX27" s="66">
        <f t="shared" si="22"/>
        <v>52.553981842125985</v>
      </c>
      <c r="AY27" s="66">
        <f t="shared" si="22"/>
        <v>53.132075642389367</v>
      </c>
      <c r="AZ27" s="66">
        <f t="shared" si="22"/>
        <v>53.716528474455643</v>
      </c>
      <c r="BA27" s="66">
        <f t="shared" si="22"/>
        <v>54.307410287674649</v>
      </c>
      <c r="BB27" s="66">
        <f t="shared" si="22"/>
        <v>54.904791800839064</v>
      </c>
      <c r="BC27" s="66">
        <f t="shared" si="22"/>
        <v>55.508744510648285</v>
      </c>
      <c r="BD27" s="66">
        <f t="shared" si="22"/>
        <v>56.119340700265411</v>
      </c>
      <c r="BE27" s="66">
        <f t="shared" si="22"/>
        <v>56.736653447968322</v>
      </c>
      <c r="BF27" s="66">
        <f t="shared" si="22"/>
        <v>57.360756635895967</v>
      </c>
      <c r="BG27" s="66">
        <f t="shared" si="22"/>
        <v>57.991724958890821</v>
      </c>
      <c r="BH27" s="66">
        <f t="shared" si="22"/>
        <v>58.629633933438612</v>
      </c>
      <c r="BI27" s="66">
        <f t="shared" si="22"/>
        <v>59.274559906706429</v>
      </c>
      <c r="BJ27" s="66">
        <f t="shared" si="22"/>
        <v>59.926580065680191</v>
      </c>
      <c r="BK27" s="66">
        <f t="shared" si="22"/>
        <v>60.585772446402665</v>
      </c>
      <c r="BL27" s="66">
        <f t="shared" si="22"/>
        <v>61.252215943313089</v>
      </c>
      <c r="BM27" s="66">
        <f t="shared" si="22"/>
        <v>61.925990318689529</v>
      </c>
      <c r="BN27" s="66">
        <f t="shared" si="22"/>
        <v>62.607176212195107</v>
      </c>
      <c r="BR27" s="66" t="e">
        <f>#REF!</f>
        <v>#REF!</v>
      </c>
      <c r="BS27" s="66" t="e">
        <f>#REF!</f>
        <v>#REF!</v>
      </c>
    </row>
    <row r="28" spans="1:85" outlineLevel="1" x14ac:dyDescent="0.2">
      <c r="B28" s="61" t="s">
        <v>25</v>
      </c>
      <c r="C28" s="54" t="s">
        <v>153</v>
      </c>
      <c r="D28" s="43">
        <v>0</v>
      </c>
      <c r="E28" s="43">
        <f>E27*'R&amp;S - Packaging and hh goods'!$L$4/SUM('R&amp;S - Packaging and hh goods'!$L$4:$N$4)*'R&amp;S - Packaging and hh goods'!$E$7*('R&amp;S - Packaging and hh goods'!$H$14*'R&amp;S - Packaging and hh goods'!$Z$19*(E$3-$D$3)/10)+E27*'R&amp;S - Packaging and hh goods'!$M$4/SUM('R&amp;S - Packaging and hh goods'!$L$4:$N$4)*'R&amp;S - Packaging and hh goods'!$F$7*('R&amp;S - Packaging and hh goods'!$J$14*'R&amp;S - Packaging and hh goods'!$AE$19*(E$3-$D$3)/10)+E27*'R&amp;S - Packaging and hh goods'!$N$4/SUM('R&amp;S - Packaging and hh goods'!$L$4:$N$4)*'R&amp;S - Packaging and hh goods'!$G$7*('R&amp;S - Packaging and hh goods'!$L$14*'R&amp;S - Packaging and hh goods'!$AJ$19*(E$3-$D$3)/10)</f>
        <v>2.5635138274573446E-2</v>
      </c>
      <c r="F28" s="43">
        <f>F27*'R&amp;S - Packaging and hh goods'!$L$4/SUM('R&amp;S - Packaging and hh goods'!$L$4:$N$4)*'R&amp;S - Packaging and hh goods'!$E$7*('R&amp;S - Packaging and hh goods'!$H$14*'R&amp;S - Packaging and hh goods'!$Z$19*(F$3-$D$3)/10)+F27*'R&amp;S - Packaging and hh goods'!$M$4/SUM('R&amp;S - Packaging and hh goods'!$L$4:$N$4)*'R&amp;S - Packaging and hh goods'!$F$7*('R&amp;S - Packaging and hh goods'!$J$14*'R&amp;S - Packaging and hh goods'!$AE$19*(F$3-$D$3)/10)+F27*'R&amp;S - Packaging and hh goods'!$N$4/SUM('R&amp;S - Packaging and hh goods'!$L$4:$N$4)*'R&amp;S - Packaging and hh goods'!$G$7*('R&amp;S - Packaging and hh goods'!$L$14*'R&amp;S - Packaging and hh goods'!$AJ$19*(F$3-$D$3)/10)</f>
        <v>5.1834249591187508E-2</v>
      </c>
      <c r="G28" s="43">
        <f>G27*'R&amp;S - Packaging and hh goods'!$L$4/SUM('R&amp;S - Packaging and hh goods'!$L$4:$N$4)*'R&amp;S - Packaging and hh goods'!$E$7*('R&amp;S - Packaging and hh goods'!$H$14*'R&amp;S - Packaging and hh goods'!$Z$19*(G$3-$D$3)/10)+G27*'R&amp;S - Packaging and hh goods'!$M$4/SUM('R&amp;S - Packaging and hh goods'!$L$4:$N$4)*'R&amp;S - Packaging and hh goods'!$F$7*('R&amp;S - Packaging and hh goods'!$J$14*'R&amp;S - Packaging and hh goods'!$AE$19*(G$3-$D$3)/10)+G27*'R&amp;S - Packaging and hh goods'!$N$4/SUM('R&amp;S - Packaging and hh goods'!$L$4:$N$4)*'R&amp;S - Packaging and hh goods'!$G$7*('R&amp;S - Packaging and hh goods'!$L$14*'R&amp;S - Packaging and hh goods'!$AJ$19*(G$3-$D$3)/10)</f>
        <v>7.8606639505035825E-2</v>
      </c>
      <c r="H28" s="43">
        <f>H27*'R&amp;S - Packaging and hh goods'!$L$4/SUM('R&amp;S - Packaging and hh goods'!$L$4:$N$4)*'R&amp;S - Packaging and hh goods'!$E$7*('R&amp;S - Packaging and hh goods'!$H$14*'R&amp;S - Packaging and hh goods'!$Z$19*(H$3-$D$3)/10)+H27*'R&amp;S - Packaging and hh goods'!$M$4/SUM('R&amp;S - Packaging and hh goods'!$L$4:$N$4)*'R&amp;S - Packaging and hh goods'!$F$7*('R&amp;S - Packaging and hh goods'!$J$14*'R&amp;S - Packaging and hh goods'!$AE$19*(H$3-$D$3)/10)+H27*'R&amp;S - Packaging and hh goods'!$N$4/SUM('R&amp;S - Packaging and hh goods'!$L$4:$N$4)*'R&amp;S - Packaging and hh goods'!$G$7*('R&amp;S - Packaging and hh goods'!$L$14*'R&amp;S - Packaging and hh goods'!$AJ$19*(H$3-$D$3)/10)</f>
        <v>0.10596175005278831</v>
      </c>
      <c r="I28" s="43">
        <f>I27*'R&amp;S - Packaging and hh goods'!$L$4/SUM('R&amp;S - Packaging and hh goods'!$L$4:$N$4)*'R&amp;S - Packaging and hh goods'!$E$7*('R&amp;S - Packaging and hh goods'!$H$14*'R&amp;S - Packaging and hh goods'!$Z$19*(I$3-$D$3)/10)+I27*'R&amp;S - Packaging and hh goods'!$M$4/SUM('R&amp;S - Packaging and hh goods'!$L$4:$N$4)*'R&amp;S - Packaging and hh goods'!$F$7*('R&amp;S - Packaging and hh goods'!$J$14*'R&amp;S - Packaging and hh goods'!$AE$19*(I$3-$D$3)/10)+I27*'R&amp;S - Packaging and hh goods'!$N$4/SUM('R&amp;S - Packaging and hh goods'!$L$4:$N$4)*'R&amp;S - Packaging and hh goods'!$G$7*('R&amp;S - Packaging and hh goods'!$L$14*'R&amp;S - Packaging and hh goods'!$AJ$19*(I$3-$D$3)/10)</f>
        <v>0.13390916162921118</v>
      </c>
      <c r="J28" s="43">
        <f>J27*'R&amp;S - Packaging and hh goods'!$L$4/SUM('R&amp;S - Packaging and hh goods'!$L$4:$N$4)*'R&amp;S - Packaging and hh goods'!$E$7*('R&amp;S - Packaging and hh goods'!$H$14*'R&amp;S - Packaging and hh goods'!$Z$19*(J$3-$D$3)/10)+J27*'R&amp;S - Packaging and hh goods'!$M$4/SUM('R&amp;S - Packaging and hh goods'!$L$4:$N$4)*'R&amp;S - Packaging and hh goods'!$F$7*('R&amp;S - Packaging and hh goods'!$J$14*'R&amp;S - Packaging and hh goods'!$AE$19*(J$3-$D$3)/10)+J27*'R&amp;S - Packaging and hh goods'!$N$4/SUM('R&amp;S - Packaging and hh goods'!$L$4:$N$4)*'R&amp;S - Packaging and hh goods'!$G$7*('R&amp;S - Packaging and hh goods'!$L$14*'R&amp;S - Packaging and hh goods'!$AJ$19*(J$3-$D$3)/10)</f>
        <v>0.16245859488855896</v>
      </c>
      <c r="K28" s="43">
        <f>K27*'R&amp;S - Packaging and hh goods'!$L$4/SUM('R&amp;S - Packaging and hh goods'!$L$4:$N$4)*'R&amp;S - Packaging and hh goods'!$E$7*('R&amp;S - Packaging and hh goods'!$H$14*'R&amp;S - Packaging and hh goods'!$Z$19*(K$3-$D$3)/10)+K27*'R&amp;S - Packaging and hh goods'!$M$4/SUM('R&amp;S - Packaging and hh goods'!$L$4:$N$4)*'R&amp;S - Packaging and hh goods'!$F$7*('R&amp;S - Packaging and hh goods'!$J$14*'R&amp;S - Packaging and hh goods'!$AE$19*(K$3-$D$3)/10)+K27*'R&amp;S - Packaging and hh goods'!$N$4/SUM('R&amp;S - Packaging and hh goods'!$L$4:$N$4)*'R&amp;S - Packaging and hh goods'!$G$7*('R&amp;S - Packaging and hh goods'!$L$14*'R&amp;S - Packaging and hh goods'!$AJ$19*(K$3-$D$3)/10)</f>
        <v>0.1916199126710553</v>
      </c>
      <c r="L28" s="43">
        <f>L27*'R&amp;S - Packaging and hh goods'!$L$4/SUM('R&amp;S - Packaging and hh goods'!$L$4:$N$4)*'R&amp;S - Packaging and hh goods'!$E$7*('R&amp;S - Packaging and hh goods'!$H$14*'R&amp;S - Packaging and hh goods'!$Z$19*(L$3-$D$3)/10)+L27*'R&amp;S - Packaging and hh goods'!$M$4/SUM('R&amp;S - Packaging and hh goods'!$L$4:$N$4)*'R&amp;S - Packaging and hh goods'!$F$7*('R&amp;S - Packaging and hh goods'!$J$14*'R&amp;S - Packaging and hh goods'!$AE$19*(L$3-$D$3)/10)+L27*'R&amp;S - Packaging and hh goods'!$N$4/SUM('R&amp;S - Packaging and hh goods'!$L$4:$N$4)*'R&amp;S - Packaging and hh goods'!$G$7*('R&amp;S - Packaging and hh goods'!$L$14*'R&amp;S - Packaging and hh goods'!$AJ$19*(L$3-$D$3)/10)</f>
        <v>0.22140312195478504</v>
      </c>
      <c r="M28" s="43">
        <f>M27*'R&amp;S - Packaging and hh goods'!$L$4/SUM('R&amp;S - Packaging and hh goods'!$L$4:$N$4)*'R&amp;S - Packaging and hh goods'!$E$7*('R&amp;S - Packaging and hh goods'!$H$14*'R&amp;S - Packaging and hh goods'!$Z$19*(M$3-$D$3)/10)+M27*'R&amp;S - Packaging and hh goods'!$M$4/SUM('R&amp;S - Packaging and hh goods'!$L$4:$N$4)*'R&amp;S - Packaging and hh goods'!$F$7*('R&amp;S - Packaging and hh goods'!$J$14*'R&amp;S - Packaging and hh goods'!$AE$19*(M$3-$D$3)/10)+M27*'R&amp;S - Packaging and hh goods'!$N$4/SUM('R&amp;S - Packaging and hh goods'!$L$4:$N$4)*'R&amp;S - Packaging and hh goods'!$G$7*('R&amp;S - Packaging and hh goods'!$L$14*'R&amp;S - Packaging and hh goods'!$AJ$19*(M$3-$D$3)/10)</f>
        <v>0.25181837583332362</v>
      </c>
      <c r="N28" s="43">
        <f>N27*'R&amp;S - Packaging and hh goods'!$L$4/SUM('R&amp;S - Packaging and hh goods'!$L$4:$N$4)*'R&amp;S - Packaging and hh goods'!$E$7*('R&amp;S - Packaging and hh goods'!$H$14*'R&amp;S - Packaging and hh goods'!$Z$19*(N$3-$D$3)/10)+N27*'R&amp;S - Packaging and hh goods'!$M$4/SUM('R&amp;S - Packaging and hh goods'!$L$4:$N$4)*'R&amp;S - Packaging and hh goods'!$F$7*('R&amp;S - Packaging and hh goods'!$J$14*'R&amp;S - Packaging and hh goods'!$AE$19*(N$3-$D$3)/10)+N27*'R&amp;S - Packaging and hh goods'!$N$4/SUM('R&amp;S - Packaging and hh goods'!$L$4:$N$4)*'R&amp;S - Packaging and hh goods'!$G$7*('R&amp;S - Packaging and hh goods'!$L$14*'R&amp;S - Packaging and hh goods'!$AJ$19*(N$3-$D$3)/10)</f>
        <v>0.2828759755194335</v>
      </c>
      <c r="O28" s="265">
        <f>O27*'R&amp;S - Packaging and hh goods'!$L$4/SUM('R&amp;S - Packaging and hh goods'!$L$4:$N$4)*('R&amp;S - Packaging and hh goods'!$E$7*'R&amp;S - Packaging and hh goods'!$H$14*('R&amp;S - Packaging and hh goods'!$Z$19+('R&amp;S - Packaging and hh goods'!$Z$20-'R&amp;S - Packaging and hh goods'!$Z$19)*(O$3-$N$3)/10))+O27*'R&amp;S - Packaging and hh goods'!$M$4/SUM('R&amp;S - Packaging and hh goods'!$L$4:$N$4)*('R&amp;S - Packaging and hh goods'!$F$7*'R&amp;S - Packaging and hh goods'!$J$14*('R&amp;S - Packaging and hh goods'!$AE$19+('R&amp;S - Packaging and hh goods'!$AE$20-'R&amp;S - Packaging and hh goods'!$AE$19)*(O$3-$N$3)/10))+O27*'R&amp;S - Packaging and hh goods'!$N$4/SUM('R&amp;S - Packaging and hh goods'!$L$4:$N$4)*('R&amp;S - Packaging and hh goods'!$G$7*'R&amp;S - Packaging and hh goods'!$L$14*('R&amp;S - Packaging and hh goods'!$AJ$19+('R&amp;S - Packaging and hh goods'!$AJ$20-'R&amp;S - Packaging and hh goods'!$AJ$19)*(O$3-$N$3)/10))</f>
        <v>0.50918735852517372</v>
      </c>
      <c r="P28" s="265">
        <f>P27*'R&amp;S - Packaging and hh goods'!$L$4/SUM('R&amp;S - Packaging and hh goods'!$L$4:$N$4)*('R&amp;S - Packaging and hh goods'!$E$7*'R&amp;S - Packaging and hh goods'!$H$14*('R&amp;S - Packaging and hh goods'!$Z$19+('R&amp;S - Packaging and hh goods'!$Z$20-'R&amp;S - Packaging and hh goods'!$Z$19)*(P$3-$N$3)/10))+P27*'R&amp;S - Packaging and hh goods'!$M$4/SUM('R&amp;S - Packaging and hh goods'!$L$4:$N$4)*('R&amp;S - Packaging and hh goods'!$F$7*'R&amp;S - Packaging and hh goods'!$J$14*('R&amp;S - Packaging and hh goods'!$AE$19+('R&amp;S - Packaging and hh goods'!$AE$20-'R&amp;S - Packaging and hh goods'!$AE$19)*(P$3-$N$3)/10))+P27*'R&amp;S - Packaging and hh goods'!$N$4/SUM('R&amp;S - Packaging and hh goods'!$L$4:$N$4)*('R&amp;S - Packaging and hh goods'!$G$7*'R&amp;S - Packaging and hh goods'!$L$14*('R&amp;S - Packaging and hh goods'!$AJ$19+('R&amp;S - Packaging and hh goods'!$AJ$20-'R&amp;S - Packaging and hh goods'!$AJ$19)*(P$3-$N$3)/10))</f>
        <v>0.74044336396400223</v>
      </c>
      <c r="Q28" s="265">
        <f>Q27*'R&amp;S - Packaging and hh goods'!$L$4/SUM('R&amp;S - Packaging and hh goods'!$L$4:$N$4)*('R&amp;S - Packaging and hh goods'!$E$7*'R&amp;S - Packaging and hh goods'!$H$14*('R&amp;S - Packaging and hh goods'!$Z$19+('R&amp;S - Packaging and hh goods'!$Z$20-'R&amp;S - Packaging and hh goods'!$Z$19)*(Q$3-$N$3)/10))+Q27*'R&amp;S - Packaging and hh goods'!$M$4/SUM('R&amp;S - Packaging and hh goods'!$L$4:$N$4)*('R&amp;S - Packaging and hh goods'!$F$7*'R&amp;S - Packaging and hh goods'!$J$14*('R&amp;S - Packaging and hh goods'!$AE$19+('R&amp;S - Packaging and hh goods'!$AE$20-'R&amp;S - Packaging and hh goods'!$AE$19)*(Q$3-$N$3)/10))+Q27*'R&amp;S - Packaging and hh goods'!$N$4/SUM('R&amp;S - Packaging and hh goods'!$L$4:$N$4)*('R&amp;S - Packaging and hh goods'!$G$7*'R&amp;S - Packaging and hh goods'!$L$14*('R&amp;S - Packaging and hh goods'!$AJ$19+('R&amp;S - Packaging and hh goods'!$AJ$20-'R&amp;S - Packaging and hh goods'!$AJ$19)*(Q$3-$N$3)/10))</f>
        <v>0.97672538985210344</v>
      </c>
      <c r="R28" s="265">
        <f>R27*'R&amp;S - Packaging and hh goods'!$L$4/SUM('R&amp;S - Packaging and hh goods'!$L$4:$N$4)*('R&amp;S - Packaging and hh goods'!$E$7*'R&amp;S - Packaging and hh goods'!$H$14*('R&amp;S - Packaging and hh goods'!$Z$19+('R&amp;S - Packaging and hh goods'!$Z$20-'R&amp;S - Packaging and hh goods'!$Z$19)*(R$3-$N$3)/10))+R27*'R&amp;S - Packaging and hh goods'!$M$4/SUM('R&amp;S - Packaging and hh goods'!$L$4:$N$4)*('R&amp;S - Packaging and hh goods'!$F$7*'R&amp;S - Packaging and hh goods'!$J$14*('R&amp;S - Packaging and hh goods'!$AE$19+('R&amp;S - Packaging and hh goods'!$AE$20-'R&amp;S - Packaging and hh goods'!$AE$19)*(R$3-$N$3)/10))+R27*'R&amp;S - Packaging and hh goods'!$N$4/SUM('R&amp;S - Packaging and hh goods'!$L$4:$N$4)*('R&amp;S - Packaging and hh goods'!$G$7*'R&amp;S - Packaging and hh goods'!$L$14*('R&amp;S - Packaging and hh goods'!$AJ$19+('R&amp;S - Packaging and hh goods'!$AJ$20-'R&amp;S - Packaging and hh goods'!$AJ$19)*(R$3-$N$3)/10))</f>
        <v>1.2181160266627031</v>
      </c>
      <c r="S28" s="265">
        <f>S27*'R&amp;S - Packaging and hh goods'!$L$4/SUM('R&amp;S - Packaging and hh goods'!$L$4:$N$4)*('R&amp;S - Packaging and hh goods'!$E$7*'R&amp;S - Packaging and hh goods'!$H$14*('R&amp;S - Packaging and hh goods'!$Z$19+('R&amp;S - Packaging and hh goods'!$Z$20-'R&amp;S - Packaging and hh goods'!$Z$19)*(S$3-$N$3)/10))+S27*'R&amp;S - Packaging and hh goods'!$M$4/SUM('R&amp;S - Packaging and hh goods'!$L$4:$N$4)*('R&amp;S - Packaging and hh goods'!$F$7*'R&amp;S - Packaging and hh goods'!$J$14*('R&amp;S - Packaging and hh goods'!$AE$19+('R&amp;S - Packaging and hh goods'!$AE$20-'R&amp;S - Packaging and hh goods'!$AE$19)*(S$3-$N$3)/10))+S27*'R&amp;S - Packaging and hh goods'!$N$4/SUM('R&amp;S - Packaging and hh goods'!$L$4:$N$4)*('R&amp;S - Packaging and hh goods'!$G$7*'R&amp;S - Packaging and hh goods'!$L$14*('R&amp;S - Packaging and hh goods'!$AJ$19+('R&amp;S - Packaging and hh goods'!$AJ$20-'R&amp;S - Packaging and hh goods'!$AJ$19)*(S$3-$N$3)/10))</f>
        <v>1.4646990737109644</v>
      </c>
      <c r="T28" s="265">
        <f>T27*'R&amp;S - Packaging and hh goods'!$L$4/SUM('R&amp;S - Packaging and hh goods'!$L$4:$N$4)*('R&amp;S - Packaging and hh goods'!$E$7*'R&amp;S - Packaging and hh goods'!$H$14*('R&amp;S - Packaging and hh goods'!$Z$19+('R&amp;S - Packaging and hh goods'!$Z$20-'R&amp;S - Packaging and hh goods'!$Z$19)*(T$3-$N$3)/10))+T27*'R&amp;S - Packaging and hh goods'!$M$4/SUM('R&amp;S - Packaging and hh goods'!$L$4:$N$4)*('R&amp;S - Packaging and hh goods'!$F$7*'R&amp;S - Packaging and hh goods'!$J$14*('R&amp;S - Packaging and hh goods'!$AE$19+('R&amp;S - Packaging and hh goods'!$AE$20-'R&amp;S - Packaging and hh goods'!$AE$19)*(T$3-$N$3)/10))+T27*'R&amp;S - Packaging and hh goods'!$N$4/SUM('R&amp;S - Packaging and hh goods'!$L$4:$N$4)*('R&amp;S - Packaging and hh goods'!$G$7*'R&amp;S - Packaging and hh goods'!$L$14*('R&amp;S - Packaging and hh goods'!$AJ$19+('R&amp;S - Packaging and hh goods'!$AJ$20-'R&amp;S - Packaging and hh goods'!$AJ$19)*(T$3-$N$3)/10))</f>
        <v>1.7165595557550604</v>
      </c>
      <c r="U28" s="265">
        <f>U27*'R&amp;S - Packaging and hh goods'!$L$4/SUM('R&amp;S - Packaging and hh goods'!$L$4:$N$4)*('R&amp;S - Packaging and hh goods'!$E$7*'R&amp;S - Packaging and hh goods'!$H$14*('R&amp;S - Packaging and hh goods'!$Z$19+('R&amp;S - Packaging and hh goods'!$Z$20-'R&amp;S - Packaging and hh goods'!$Z$19)*(U$3-$N$3)/10))+U27*'R&amp;S - Packaging and hh goods'!$M$4/SUM('R&amp;S - Packaging and hh goods'!$L$4:$N$4)*('R&amp;S - Packaging and hh goods'!$F$7*'R&amp;S - Packaging and hh goods'!$J$14*('R&amp;S - Packaging and hh goods'!$AE$19+('R&amp;S - Packaging and hh goods'!$AE$20-'R&amp;S - Packaging and hh goods'!$AE$19)*(U$3-$N$3)/10))+U27*'R&amp;S - Packaging and hh goods'!$N$4/SUM('R&amp;S - Packaging and hh goods'!$L$4:$N$4)*('R&amp;S - Packaging and hh goods'!$G$7*'R&amp;S - Packaging and hh goods'!$L$14*('R&amp;S - Packaging and hh goods'!$AJ$19+('R&amp;S - Packaging and hh goods'!$AJ$20-'R&amp;S - Packaging and hh goods'!$AJ$19)*(U$3-$N$3)/10))</f>
        <v>1.9737837398162077</v>
      </c>
      <c r="V28" s="265">
        <f>V27*'R&amp;S - Packaging and hh goods'!$L$4/SUM('R&amp;S - Packaging and hh goods'!$L$4:$N$4)*('R&amp;S - Packaging and hh goods'!$E$7*'R&amp;S - Packaging and hh goods'!$H$14*('R&amp;S - Packaging and hh goods'!$Z$19+('R&amp;S - Packaging and hh goods'!$Z$20-'R&amp;S - Packaging and hh goods'!$Z$19)*(V$3-$N$3)/10))+V27*'R&amp;S - Packaging and hh goods'!$M$4/SUM('R&amp;S - Packaging and hh goods'!$L$4:$N$4)*('R&amp;S - Packaging and hh goods'!$F$7*'R&amp;S - Packaging and hh goods'!$J$14*('R&amp;S - Packaging and hh goods'!$AE$19+('R&amp;S - Packaging and hh goods'!$AE$20-'R&amp;S - Packaging and hh goods'!$AE$19)*(V$3-$N$3)/10))+V27*'R&amp;S - Packaging and hh goods'!$N$4/SUM('R&amp;S - Packaging and hh goods'!$L$4:$N$4)*('R&amp;S - Packaging and hh goods'!$G$7*'R&amp;S - Packaging and hh goods'!$L$14*('R&amp;S - Packaging and hh goods'!$AJ$19+('R&amp;S - Packaging and hh goods'!$AJ$20-'R&amp;S - Packaging and hh goods'!$AJ$19)*(V$3-$N$3)/10))</f>
        <v>2.2364591522204536</v>
      </c>
      <c r="W28" s="265">
        <f>W27*'R&amp;S - Packaging and hh goods'!$L$4/SUM('R&amp;S - Packaging and hh goods'!$L$4:$N$4)*('R&amp;S - Packaging and hh goods'!$E$7*'R&amp;S - Packaging and hh goods'!$H$14*('R&amp;S - Packaging and hh goods'!$Z$19+('R&amp;S - Packaging and hh goods'!$Z$20-'R&amp;S - Packaging and hh goods'!$Z$19)*(W$3-$N$3)/10))+W27*'R&amp;S - Packaging and hh goods'!$M$4/SUM('R&amp;S - Packaging and hh goods'!$L$4:$N$4)*('R&amp;S - Packaging and hh goods'!$F$7*'R&amp;S - Packaging and hh goods'!$J$14*('R&amp;S - Packaging and hh goods'!$AE$19+('R&amp;S - Packaging and hh goods'!$AE$20-'R&amp;S - Packaging and hh goods'!$AE$19)*(W$3-$N$3)/10))+W27*'R&amp;S - Packaging and hh goods'!$N$4/SUM('R&amp;S - Packaging and hh goods'!$L$4:$N$4)*('R&amp;S - Packaging and hh goods'!$G$7*'R&amp;S - Packaging and hh goods'!$L$14*('R&amp;S - Packaging and hh goods'!$AJ$19+('R&amp;S - Packaging and hh goods'!$AJ$20-'R&amp;S - Packaging and hh goods'!$AJ$19)*(W$3-$N$3)/10))</f>
        <v>2.5046745958650751</v>
      </c>
      <c r="X28" s="265">
        <f>X27*'R&amp;S - Packaging and hh goods'!$L$4/SUM('R&amp;S - Packaging and hh goods'!$L$4:$N$4)*('R&amp;S - Packaging and hh goods'!$E$7*'R&amp;S - Packaging and hh goods'!$H$14*('R&amp;S - Packaging and hh goods'!$Z$19+('R&amp;S - Packaging and hh goods'!$Z$20-'R&amp;S - Packaging and hh goods'!$Z$19)*(X$3-$N$3)/10))+X27*'R&amp;S - Packaging and hh goods'!$M$4/SUM('R&amp;S - Packaging and hh goods'!$L$4:$N$4)*('R&amp;S - Packaging and hh goods'!$F$7*'R&amp;S - Packaging and hh goods'!$J$14*('R&amp;S - Packaging and hh goods'!$AE$19+('R&amp;S - Packaging and hh goods'!$AE$20-'R&amp;S - Packaging and hh goods'!$AE$19)*(X$3-$N$3)/10))+X27*'R&amp;S - Packaging and hh goods'!$N$4/SUM('R&amp;S - Packaging and hh goods'!$L$4:$N$4)*('R&amp;S - Packaging and hh goods'!$G$7*'R&amp;S - Packaging and hh goods'!$L$14*('R&amp;S - Packaging and hh goods'!$AJ$19+('R&amp;S - Packaging and hh goods'!$AJ$20-'R&amp;S - Packaging and hh goods'!$AJ$19)*(X$3-$N$3)/10))</f>
        <v>2.7785201677124602</v>
      </c>
      <c r="Y28" s="265">
        <f>Y27*'R&amp;S - Packaging and hh goods'!$L$4/SUM('R&amp;S - Packaging and hh goods'!$L$4:$N$4)*('R&amp;S - Packaging and hh goods'!$E7*'R&amp;S - Packaging and hh goods'!$H$14*('R&amp;S - Packaging and hh goods'!$Z$20+('R&amp;S - Packaging and hh goods'!$Z$21-'R&amp;S - Packaging and hh goods'!$Z$20)*(Y$3-$X$3)/10))+Y27*'R&amp;S - Packaging and hh goods'!$M$4/SUM('R&amp;S - Packaging and hh goods'!$L$4:$N$4)*('R&amp;S - Packaging and hh goods'!$F7*'R&amp;S - Packaging and hh goods'!$J$14*('R&amp;S - Packaging and hh goods'!$AE$20+('R&amp;S - Packaging and hh goods'!$AE$21-'R&amp;S - Packaging and hh goods'!$AE$20)*(Y$3-$X$3)/10))+Y27*'R&amp;S - Packaging and hh goods'!$N$4/SUM('R&amp;S - Packaging and hh goods'!$L$4:$N$4)*('R&amp;S - Packaging and hh goods'!$G7*'R&amp;S - Packaging and hh goods'!$L$14*('R&amp;S - Packaging and hh goods'!$AJ$20+('R&amp;S - Packaging and hh goods'!$AJ$21-'R&amp;S - Packaging and hh goods'!$AJ$20)*(Y$3-$X$3)/10))</f>
        <v>3.0599255339122178</v>
      </c>
      <c r="Z28" s="265">
        <f>Z27*'R&amp;S - Packaging and hh goods'!$L$4/SUM('R&amp;S - Packaging and hh goods'!$L$4:$N$4)*('R&amp;S - Packaging and hh goods'!$E7*'R&amp;S - Packaging and hh goods'!$H$14*('R&amp;S - Packaging and hh goods'!$Z$20+('R&amp;S - Packaging and hh goods'!$Z$21-'R&amp;S - Packaging and hh goods'!$Z$20)*(Z$3-$X$3)/10))+Z27*'R&amp;S - Packaging and hh goods'!$M$4/SUM('R&amp;S - Packaging and hh goods'!$L$4:$N$4)*('R&amp;S - Packaging and hh goods'!$F7*'R&amp;S - Packaging and hh goods'!$J$14*('R&amp;S - Packaging and hh goods'!$AE$20+('R&amp;S - Packaging and hh goods'!$AE$21-'R&amp;S - Packaging and hh goods'!$AE$20)*(Z$3-$X$3)/10))+Z27*'R&amp;S - Packaging and hh goods'!$N$4/SUM('R&amp;S - Packaging and hh goods'!$L$4:$N$4)*('R&amp;S - Packaging and hh goods'!$G7*'R&amp;S - Packaging and hh goods'!$L$14*('R&amp;S - Packaging and hh goods'!$AJ$20+('R&amp;S - Packaging and hh goods'!$AJ$21-'R&amp;S - Packaging and hh goods'!$AJ$20)*(Z$3-$X$3)/10))</f>
        <v>3.3471856172280758</v>
      </c>
      <c r="AA28" s="265">
        <f>AA27*'R&amp;S - Packaging and hh goods'!$L$4/SUM('R&amp;S - Packaging and hh goods'!$L$4:$N$4)*('R&amp;S - Packaging and hh goods'!$E7*'R&amp;S - Packaging and hh goods'!$H$14*('R&amp;S - Packaging and hh goods'!$Z$20+('R&amp;S - Packaging and hh goods'!$Z$21-'R&amp;S - Packaging and hh goods'!$Z$20)*(AA$3-$X$3)/10))+AA27*'R&amp;S - Packaging and hh goods'!$M$4/SUM('R&amp;S - Packaging and hh goods'!$L$4:$N$4)*('R&amp;S - Packaging and hh goods'!$F7*'R&amp;S - Packaging and hh goods'!$J$14*('R&amp;S - Packaging and hh goods'!$AE$20+('R&amp;S - Packaging and hh goods'!$AE$21-'R&amp;S - Packaging and hh goods'!$AE$20)*(AA$3-$X$3)/10))+AA27*'R&amp;S - Packaging and hh goods'!$N$4/SUM('R&amp;S - Packaging and hh goods'!$L$4:$N$4)*('R&amp;S - Packaging and hh goods'!$G7*'R&amp;S - Packaging and hh goods'!$L$14*('R&amp;S - Packaging and hh goods'!$AJ$20+('R&amp;S - Packaging and hh goods'!$AJ$21-'R&amp;S - Packaging and hh goods'!$AJ$20)*(AA$3-$X$3)/10))</f>
        <v>3.6403951713872811</v>
      </c>
      <c r="AB28" s="265">
        <f>AB27*'R&amp;S - Packaging and hh goods'!$L$4/SUM('R&amp;S - Packaging and hh goods'!$L$4:$N$4)*('R&amp;S - Packaging and hh goods'!$E7*'R&amp;S - Packaging and hh goods'!$H$14*('R&amp;S - Packaging and hh goods'!$Z$20+('R&amp;S - Packaging and hh goods'!$Z$21-'R&amp;S - Packaging and hh goods'!$Z$20)*(AB$3-$X$3)/10))+AB27*'R&amp;S - Packaging and hh goods'!$M$4/SUM('R&amp;S - Packaging and hh goods'!$L$4:$N$4)*('R&amp;S - Packaging and hh goods'!$F7*'R&amp;S - Packaging and hh goods'!$J$14*('R&amp;S - Packaging and hh goods'!$AE$20+('R&amp;S - Packaging and hh goods'!$AE$21-'R&amp;S - Packaging and hh goods'!$AE$20)*(AB$3-$X$3)/10))+AB27*'R&amp;S - Packaging and hh goods'!$N$4/SUM('R&amp;S - Packaging and hh goods'!$L$4:$N$4)*('R&amp;S - Packaging and hh goods'!$G7*'R&amp;S - Packaging and hh goods'!$L$14*('R&amp;S - Packaging and hh goods'!$AJ$20+('R&amp;S - Packaging and hh goods'!$AJ$21-'R&amp;S - Packaging and hh goods'!$AJ$20)*(AB$3-$X$3)/10))</f>
        <v>3.9396503262783025</v>
      </c>
      <c r="AC28" s="265">
        <f>AC27*'R&amp;S - Packaging and hh goods'!$L$4/SUM('R&amp;S - Packaging and hh goods'!$L$4:$N$4)*('R&amp;S - Packaging and hh goods'!$E7*'R&amp;S - Packaging and hh goods'!$H$14*('R&amp;S - Packaging and hh goods'!$Z$20+('R&amp;S - Packaging and hh goods'!$Z$21-'R&amp;S - Packaging and hh goods'!$Z$20)*(AC$3-$X$3)/10))+AC27*'R&amp;S - Packaging and hh goods'!$M$4/SUM('R&amp;S - Packaging and hh goods'!$L$4:$N$4)*('R&amp;S - Packaging and hh goods'!$F7*'R&amp;S - Packaging and hh goods'!$J$14*('R&amp;S - Packaging and hh goods'!$AE$20+('R&amp;S - Packaging and hh goods'!$AE$21-'R&amp;S - Packaging and hh goods'!$AE$20)*(AC$3-$X$3)/10))+AC27*'R&amp;S - Packaging and hh goods'!$N$4/SUM('R&amp;S - Packaging and hh goods'!$L$4:$N$4)*('R&amp;S - Packaging and hh goods'!$G7*'R&amp;S - Packaging and hh goods'!$L$14*('R&amp;S - Packaging and hh goods'!$AJ$20+('R&amp;S - Packaging and hh goods'!$AJ$21-'R&amp;S - Packaging and hh goods'!$AJ$20)*(AC$3-$X$3)/10))</f>
        <v>4.2450486067611894</v>
      </c>
      <c r="AD28" s="265">
        <f>AD27*'R&amp;S - Packaging and hh goods'!$L$4/SUM('R&amp;S - Packaging and hh goods'!$L$4:$N$4)*('R&amp;S - Packaging and hh goods'!$E7*'R&amp;S - Packaging and hh goods'!$H$14*('R&amp;S - Packaging and hh goods'!$Z$20+('R&amp;S - Packaging and hh goods'!$Z$21-'R&amp;S - Packaging and hh goods'!$Z$20)*(AD$3-$X$3)/10))+AD27*'R&amp;S - Packaging and hh goods'!$M$4/SUM('R&amp;S - Packaging and hh goods'!$L$4:$N$4)*('R&amp;S - Packaging and hh goods'!$F7*'R&amp;S - Packaging and hh goods'!$J$14*('R&amp;S - Packaging and hh goods'!$AE$20+('R&amp;S - Packaging and hh goods'!$AE$21-'R&amp;S - Packaging and hh goods'!$AE$20)*(AD$3-$X$3)/10))+AD27*'R&amp;S - Packaging and hh goods'!$N$4/SUM('R&amp;S - Packaging and hh goods'!$L$4:$N$4)*('R&amp;S - Packaging and hh goods'!$G7*'R&amp;S - Packaging and hh goods'!$L$14*('R&amp;S - Packaging and hh goods'!$AJ$20+('R&amp;S - Packaging and hh goods'!$AJ$21-'R&amp;S - Packaging and hh goods'!$AJ$20)*(AD$3-$X$3)/10))</f>
        <v>4.5566889517252207</v>
      </c>
      <c r="AE28" s="265">
        <f>AE27*'R&amp;S - Packaging and hh goods'!$L$4/SUM('R&amp;S - Packaging and hh goods'!$L$4:$N$4)*('R&amp;S - Packaging and hh goods'!$E7*'R&amp;S - Packaging and hh goods'!$H$14*('R&amp;S - Packaging and hh goods'!$Z$20+('R&amp;S - Packaging and hh goods'!$Z$21-'R&amp;S - Packaging and hh goods'!$Z$20)*(AE$3-$X$3)/10))+AE27*'R&amp;S - Packaging and hh goods'!$M$4/SUM('R&amp;S - Packaging and hh goods'!$L$4:$N$4)*('R&amp;S - Packaging and hh goods'!$F7*'R&amp;S - Packaging and hh goods'!$J$14*('R&amp;S - Packaging and hh goods'!$AE$20+('R&amp;S - Packaging and hh goods'!$AE$21-'R&amp;S - Packaging and hh goods'!$AE$20)*(AE$3-$X$3)/10))+AE27*'R&amp;S - Packaging and hh goods'!$N$4/SUM('R&amp;S - Packaging and hh goods'!$L$4:$N$4)*('R&amp;S - Packaging and hh goods'!$G7*'R&amp;S - Packaging and hh goods'!$L$14*('R&amp;S - Packaging and hh goods'!$AJ$20+('R&amp;S - Packaging and hh goods'!$AJ$21-'R&amp;S - Packaging and hh goods'!$AJ$20)*(AE$3-$X$3)/10))</f>
        <v>4.8746717333970402</v>
      </c>
      <c r="AF28" s="265">
        <f>AF27*'R&amp;S - Packaging and hh goods'!$L$4/SUM('R&amp;S - Packaging and hh goods'!$L$4:$N$4)*('R&amp;S - Packaging and hh goods'!$E7*'R&amp;S - Packaging and hh goods'!$H$14*('R&amp;S - Packaging and hh goods'!$Z$20+('R&amp;S - Packaging and hh goods'!$Z$21-'R&amp;S - Packaging and hh goods'!$Z$20)*(AF$3-$X$3)/10))+AF27*'R&amp;S - Packaging and hh goods'!$M$4/SUM('R&amp;S - Packaging and hh goods'!$L$4:$N$4)*('R&amp;S - Packaging and hh goods'!$F7*'R&amp;S - Packaging and hh goods'!$J$14*('R&amp;S - Packaging and hh goods'!$AE$20+('R&amp;S - Packaging and hh goods'!$AE$21-'R&amp;S - Packaging and hh goods'!$AE$20)*(AF$3-$X$3)/10))+AF27*'R&amp;S - Packaging and hh goods'!$N$4/SUM('R&amp;S - Packaging and hh goods'!$L$4:$N$4)*('R&amp;S - Packaging and hh goods'!$G7*'R&amp;S - Packaging and hh goods'!$L$14*('R&amp;S - Packaging and hh goods'!$AJ$20+('R&amp;S - Packaging and hh goods'!$AJ$21-'R&amp;S - Packaging and hh goods'!$AJ$20)*(AF$3-$X$3)/10))</f>
        <v>5.199098776902483</v>
      </c>
      <c r="AG28" s="265">
        <f>AG27*'R&amp;S - Packaging and hh goods'!$L$4/SUM('R&amp;S - Packaging and hh goods'!$L$4:$N$4)*('R&amp;S - Packaging and hh goods'!$E7*'R&amp;S - Packaging and hh goods'!$H$14*('R&amp;S - Packaging and hh goods'!$Z$20+('R&amp;S - Packaging and hh goods'!$Z$21-'R&amp;S - Packaging and hh goods'!$Z$20)*(AG$3-$X$3)/10))+AG27*'R&amp;S - Packaging and hh goods'!$M$4/SUM('R&amp;S - Packaging and hh goods'!$L$4:$N$4)*('R&amp;S - Packaging and hh goods'!$F7*'R&amp;S - Packaging and hh goods'!$J$14*('R&amp;S - Packaging and hh goods'!$AE$20+('R&amp;S - Packaging and hh goods'!$AE$21-'R&amp;S - Packaging and hh goods'!$AE$20)*(AG$3-$X$3)/10))+AG27*'R&amp;S - Packaging and hh goods'!$N$4/SUM('R&amp;S - Packaging and hh goods'!$L$4:$N$4)*('R&amp;S - Packaging and hh goods'!$G7*'R&amp;S - Packaging and hh goods'!$L$14*('R&amp;S - Packaging and hh goods'!$AJ$20+('R&amp;S - Packaging and hh goods'!$AJ$21-'R&amp;S - Packaging and hh goods'!$AJ$20)*(AG$3-$X$3)/10))</f>
        <v>5.5300733800853035</v>
      </c>
      <c r="AH28" s="265">
        <f>AH27*'R&amp;S - Packaging and hh goods'!$L$4/SUM('R&amp;S - Packaging and hh goods'!$L$4:$N$4)*('R&amp;S - Packaging and hh goods'!$E7*'R&amp;S - Packaging and hh goods'!$H$14*('R&amp;S - Packaging and hh goods'!$Z$20+('R&amp;S - Packaging and hh goods'!$Z$21-'R&amp;S - Packaging and hh goods'!$Z$20)*(AH$3-$X$3)/10))+AH27*'R&amp;S - Packaging and hh goods'!$M$4/SUM('R&amp;S - Packaging and hh goods'!$L$4:$N$4)*('R&amp;S - Packaging and hh goods'!$F7*'R&amp;S - Packaging and hh goods'!$J$14*('R&amp;S - Packaging and hh goods'!$AE$20+('R&amp;S - Packaging and hh goods'!$AE$21-'R&amp;S - Packaging and hh goods'!$AE$20)*(AH$3-$X$3)/10))+AH27*'R&amp;S - Packaging and hh goods'!$N$4/SUM('R&amp;S - Packaging and hh goods'!$L$4:$N$4)*('R&amp;S - Packaging and hh goods'!$G7*'R&amp;S - Packaging and hh goods'!$L$14*('R&amp;S - Packaging and hh goods'!$AJ$20+('R&amp;S - Packaging and hh goods'!$AJ$21-'R&amp;S - Packaging and hh goods'!$AJ$20)*(AH$3-$X$3)/10))</f>
        <v>5.8677003335861411</v>
      </c>
      <c r="AJ28" s="43">
        <v>0</v>
      </c>
      <c r="AK28" s="43">
        <f>AK27*'R&amp;S - Packaging and hh goods'!$L$4/SUM('R&amp;S - Packaging and hh goods'!$L$4:$N$4)*'R&amp;S - Packaging and hh goods'!$E$7*('R&amp;S - Packaging and hh goods'!$H$15*'R&amp;S - Packaging and hh goods'!$Z$19*(AK$3-$D$3)/10)+AK27*'R&amp;S - Packaging and hh goods'!$M$4/SUM('R&amp;S - Packaging and hh goods'!$L$4:$N$4)*'R&amp;S - Packaging and hh goods'!$F$7*('R&amp;S - Packaging and hh goods'!$J$15*'R&amp;S - Packaging and hh goods'!$AE$19*(AK$3-$D$3)/10)+AK27*'R&amp;S - Packaging and hh goods'!$N$4/SUM('R&amp;S - Packaging and hh goods'!$L$4:$N$4)*'R&amp;S - Packaging and hh goods'!$G$7*('R&amp;S - Packaging and hh goods'!$L$15*'R&amp;S - Packaging and hh goods'!$AJ$19*(AK$3-$D$3)/10)</f>
        <v>1.8713650940438614E-2</v>
      </c>
      <c r="AL28" s="43">
        <f>AL27*'R&amp;S - Packaging and hh goods'!$L$4/SUM('R&amp;S - Packaging and hh goods'!$L$4:$N$4)*'R&amp;S - Packaging and hh goods'!$E$7*('R&amp;S - Packaging and hh goods'!$H$15*'R&amp;S - Packaging and hh goods'!$Z$19*(AL$3-$D$3)/10)+AL27*'R&amp;S - Packaging and hh goods'!$M$4/SUM('R&amp;S - Packaging and hh goods'!$L$4:$N$4)*'R&amp;S - Packaging and hh goods'!$F$7*('R&amp;S - Packaging and hh goods'!$J$15*'R&amp;S - Packaging and hh goods'!$AE$19*(AL$3-$D$3)/10)+AL27*'R&amp;S - Packaging and hh goods'!$N$4/SUM('R&amp;S - Packaging and hh goods'!$L$4:$N$4)*'R&amp;S - Packaging and hh goods'!$G$7*('R&amp;S - Packaging and hh goods'!$L$15*'R&amp;S - Packaging and hh goods'!$AJ$19*(AL$3-$D$3)/10)</f>
        <v>3.7839002201566878E-2</v>
      </c>
      <c r="AM28" s="43">
        <f>AM27*'R&amp;S - Packaging and hh goods'!$L$4/SUM('R&amp;S - Packaging and hh goods'!$L$4:$N$4)*'R&amp;S - Packaging and hh goods'!$E$7*('R&amp;S - Packaging and hh goods'!$H$15*'R&amp;S - Packaging and hh goods'!$Z$19*(AM$3-$D$3)/10)+AM27*'R&amp;S - Packaging and hh goods'!$M$4/SUM('R&amp;S - Packaging and hh goods'!$L$4:$N$4)*'R&amp;S - Packaging and hh goods'!$F$7*('R&amp;S - Packaging and hh goods'!$J$15*'R&amp;S - Packaging and hh goods'!$AE$19*(AM$3-$D$3)/10)+AM27*'R&amp;S - Packaging and hh goods'!$N$4/SUM('R&amp;S - Packaging and hh goods'!$L$4:$N$4)*'R&amp;S - Packaging and hh goods'!$G$7*('R&amp;S - Packaging and hh goods'!$L$15*'R&amp;S - Packaging and hh goods'!$AJ$19*(AM$3-$D$3)/10)</f>
        <v>5.7382846838676158E-2</v>
      </c>
      <c r="AN28" s="43">
        <f>AN27*'R&amp;S - Packaging and hh goods'!$L$4/SUM('R&amp;S - Packaging and hh goods'!$L$4:$N$4)*'R&amp;S - Packaging and hh goods'!$E$7*('R&amp;S - Packaging and hh goods'!$H$15*'R&amp;S - Packaging and hh goods'!$Z$19*(AN$3-$D$3)/10)+AN27*'R&amp;S - Packaging and hh goods'!$M$4/SUM('R&amp;S - Packaging and hh goods'!$L$4:$N$4)*'R&amp;S - Packaging and hh goods'!$F$7*('R&amp;S - Packaging and hh goods'!$J$15*'R&amp;S - Packaging and hh goods'!$AE$19*(AN$3-$D$3)/10)+AN27*'R&amp;S - Packaging and hh goods'!$N$4/SUM('R&amp;S - Packaging and hh goods'!$L$4:$N$4)*'R&amp;S - Packaging and hh goods'!$G$7*('R&amp;S - Packaging and hh goods'!$L$15*'R&amp;S - Packaging and hh goods'!$AJ$19*(AN$3-$D$3)/10)</f>
        <v>7.7352077538535471E-2</v>
      </c>
      <c r="AO28" s="43">
        <f>AO27*'R&amp;S - Packaging and hh goods'!$L$4/SUM('R&amp;S - Packaging and hh goods'!$L$4:$N$4)*'R&amp;S - Packaging and hh goods'!$E$7*('R&amp;S - Packaging and hh goods'!$H$15*'R&amp;S - Packaging and hh goods'!$Z$19*(AO$3-$D$3)/10)+AO27*'R&amp;S - Packaging and hh goods'!$M$4/SUM('R&amp;S - Packaging and hh goods'!$L$4:$N$4)*'R&amp;S - Packaging and hh goods'!$F$7*('R&amp;S - Packaging and hh goods'!$J$15*'R&amp;S - Packaging and hh goods'!$AE$19*(AO$3-$D$3)/10)+AO27*'R&amp;S - Packaging and hh goods'!$N$4/SUM('R&amp;S - Packaging and hh goods'!$L$4:$N$4)*'R&amp;S - Packaging and hh goods'!$G$7*('R&amp;S - Packaging and hh goods'!$L$15*'R&amp;S - Packaging and hh goods'!$AJ$19*(AO$3-$D$3)/10)</f>
        <v>9.7753687989324184E-2</v>
      </c>
      <c r="AP28" s="43">
        <f>AP27*'R&amp;S - Packaging and hh goods'!$L$4/SUM('R&amp;S - Packaging and hh goods'!$L$4:$N$4)*'R&amp;S - Packaging and hh goods'!$E$7*('R&amp;S - Packaging and hh goods'!$H$15*'R&amp;S - Packaging and hh goods'!$Z$19*(AP$3-$D$3)/10)+AP27*'R&amp;S - Packaging and hh goods'!$M$4/SUM('R&amp;S - Packaging and hh goods'!$L$4:$N$4)*'R&amp;S - Packaging and hh goods'!$F$7*('R&amp;S - Packaging and hh goods'!$J$15*'R&amp;S - Packaging and hh goods'!$AE$19*(AP$3-$D$3)/10)+AP27*'R&amp;S - Packaging and hh goods'!$N$4/SUM('R&amp;S - Packaging and hh goods'!$L$4:$N$4)*'R&amp;S - Packaging and hh goods'!$G$7*('R&amp;S - Packaging and hh goods'!$L$15*'R&amp;S - Packaging and hh goods'!$AJ$19*(AP$3-$D$3)/10)</f>
        <v>0.11859477426864805</v>
      </c>
      <c r="AQ28" s="43">
        <f>AQ27*'R&amp;S - Packaging and hh goods'!$L$4/SUM('R&amp;S - Packaging and hh goods'!$L$4:$N$4)*'R&amp;S - Packaging and hh goods'!$E$7*('R&amp;S - Packaging and hh goods'!$H$15*'R&amp;S - Packaging and hh goods'!$Z$19*(AQ$3-$D$3)/10)+AQ27*'R&amp;S - Packaging and hh goods'!$M$4/SUM('R&amp;S - Packaging and hh goods'!$L$4:$N$4)*'R&amp;S - Packaging and hh goods'!$F$7*('R&amp;S - Packaging and hh goods'!$J$15*'R&amp;S - Packaging and hh goods'!$AE$19*(AQ$3-$D$3)/10)+AQ27*'R&amp;S - Packaging and hh goods'!$N$4/SUM('R&amp;S - Packaging and hh goods'!$L$4:$N$4)*'R&amp;S - Packaging and hh goods'!$G$7*('R&amp;S - Packaging and hh goods'!$L$15*'R&amp;S - Packaging and hh goods'!$AJ$19*(AQ$3-$D$3)/10)</f>
        <v>0.1398825362498704</v>
      </c>
      <c r="AR28" s="43">
        <f>AR27*'R&amp;S - Packaging and hh goods'!$L$4/SUM('R&amp;S - Packaging and hh goods'!$L$4:$N$4)*'R&amp;S - Packaging and hh goods'!$E$7*('R&amp;S - Packaging and hh goods'!$H$15*'R&amp;S - Packaging and hh goods'!$Z$19*(AR$3-$D$3)/10)+AR27*'R&amp;S - Packaging and hh goods'!$M$4/SUM('R&amp;S - Packaging and hh goods'!$L$4:$N$4)*'R&amp;S - Packaging and hh goods'!$F$7*('R&amp;S - Packaging and hh goods'!$J$15*'R&amp;S - Packaging and hh goods'!$AE$19*(AR$3-$D$3)/10)+AR27*'R&amp;S - Packaging and hh goods'!$N$4/SUM('R&amp;S - Packaging and hh goods'!$L$4:$N$4)*'R&amp;S - Packaging and hh goods'!$G$7*('R&amp;S - Packaging and hh goods'!$L$15*'R&amp;S - Packaging and hh goods'!$AJ$19*(AR$3-$D$3)/10)</f>
        <v>0.16162427902699308</v>
      </c>
      <c r="AS28" s="43">
        <f>AS27*'R&amp;S - Packaging and hh goods'!$L$4/SUM('R&amp;S - Packaging and hh goods'!$L$4:$N$4)*'R&amp;S - Packaging and hh goods'!$E$7*('R&amp;S - Packaging and hh goods'!$H$15*'R&amp;S - Packaging and hh goods'!$Z$19*(AS$3-$D$3)/10)+AS27*'R&amp;S - Packaging and hh goods'!$M$4/SUM('R&amp;S - Packaging and hh goods'!$L$4:$N$4)*'R&amp;S - Packaging and hh goods'!$F$7*('R&amp;S - Packaging and hh goods'!$J$15*'R&amp;S - Packaging and hh goods'!$AE$19*(AS$3-$D$3)/10)+AS27*'R&amp;S - Packaging and hh goods'!$N$4/SUM('R&amp;S - Packaging and hh goods'!$L$4:$N$4)*'R&amp;S - Packaging and hh goods'!$G$7*('R&amp;S - Packaging and hh goods'!$L$15*'R&amp;S - Packaging and hh goods'!$AJ$19*(AS$3-$D$3)/10)</f>
        <v>0.1838274143583262</v>
      </c>
      <c r="AT28" s="43">
        <f>AT27*'R&amp;S - Packaging and hh goods'!$L$4/SUM('R&amp;S - Packaging and hh goods'!$L$4:$N$4)*'R&amp;S - Packaging and hh goods'!$E$7*('R&amp;S - Packaging and hh goods'!$H$15*'R&amp;S - Packaging and hh goods'!$Z$19*(AT$3-$D$3)/10)+AT27*'R&amp;S - Packaging and hh goods'!$M$4/SUM('R&amp;S - Packaging and hh goods'!$L$4:$N$4)*'R&amp;S - Packaging and hh goods'!$F$7*('R&amp;S - Packaging and hh goods'!$J$15*'R&amp;S - Packaging and hh goods'!$AE$19*(AT$3-$D$3)/10)+AT27*'R&amp;S - Packaging and hh goods'!$N$4/SUM('R&amp;S - Packaging and hh goods'!$L$4:$N$4)*'R&amp;S - Packaging and hh goods'!$G$7*('R&amp;S - Packaging and hh goods'!$L$15*'R&amp;S - Packaging and hh goods'!$AJ$19*(AT$3-$D$3)/10)</f>
        <v>0.20649946212918643</v>
      </c>
      <c r="AU28" s="265">
        <f>AU27*'R&amp;S - Packaging and hh goods'!$L$4/SUM('R&amp;S - Packaging and hh goods'!$L$4:$N$4)*('R&amp;S - Packaging and hh goods'!$E$7*'R&amp;S - Packaging and hh goods'!$H$15*('R&amp;S - Packaging and hh goods'!$Z$19+('R&amp;S - Packaging and hh goods'!$Z$20-'R&amp;S - Packaging and hh goods'!$Z$19)*(AU$3-$N$3)/10))+AU27*'R&amp;S - Packaging and hh goods'!$M$4/SUM('R&amp;S - Packaging and hh goods'!$L$4:$N$4)*('R&amp;S - Packaging and hh goods'!$F$7*'R&amp;S - Packaging and hh goods'!$J$15*('R&amp;S - Packaging and hh goods'!$AE$19+('R&amp;S - Packaging and hh goods'!$AE$20-'R&amp;S - Packaging and hh goods'!$AE$19)*(AU$3-$N$3)/10))+AU27*'R&amp;S - Packaging and hh goods'!$N$4/SUM('R&amp;S - Packaging and hh goods'!$L$4:$N$4)*('R&amp;S - Packaging and hh goods'!$G$7*'R&amp;S - Packaging and hh goods'!$L$15*('R&amp;S - Packaging and hh goods'!$AJ$19+('R&amp;S - Packaging and hh goods'!$AJ$20-'R&amp;S - Packaging and hh goods'!$AJ$19)*(AU$3-$N$3)/10))</f>
        <v>0.37170677172337679</v>
      </c>
      <c r="AV28" s="265">
        <f>AV27*'R&amp;S - Packaging and hh goods'!$L$4/SUM('R&amp;S - Packaging and hh goods'!$L$4:$N$4)*('R&amp;S - Packaging and hh goods'!$E$7*'R&amp;S - Packaging and hh goods'!$H$15*('R&amp;S - Packaging and hh goods'!$Z$19+('R&amp;S - Packaging and hh goods'!$Z$20-'R&amp;S - Packaging and hh goods'!$Z$19)*(AV$3-$N$3)/10))+AV27*'R&amp;S - Packaging and hh goods'!$M$4/SUM('R&amp;S - Packaging and hh goods'!$L$4:$N$4)*('R&amp;S - Packaging and hh goods'!$F$7*'R&amp;S - Packaging and hh goods'!$J$15*('R&amp;S - Packaging and hh goods'!$AE$19+('R&amp;S - Packaging and hh goods'!$AE$20-'R&amp;S - Packaging and hh goods'!$AE$19)*(AV$3-$N$3)/10))+AV27*'R&amp;S - Packaging and hh goods'!$N$4/SUM('R&amp;S - Packaging and hh goods'!$L$4:$N$4)*('R&amp;S - Packaging and hh goods'!$G$7*'R&amp;S - Packaging and hh goods'!$L$15*('R&amp;S - Packaging and hh goods'!$AJ$19+('R&amp;S - Packaging and hh goods'!$AJ$20-'R&amp;S - Packaging and hh goods'!$AJ$19)*(AV$3-$N$3)/10))</f>
        <v>0.54052365569372163</v>
      </c>
      <c r="AW28" s="265">
        <f>AW27*'R&amp;S - Packaging and hh goods'!$L$4/SUM('R&amp;S - Packaging and hh goods'!$L$4:$N$4)*('R&amp;S - Packaging and hh goods'!$E$7*'R&amp;S - Packaging and hh goods'!$H$15*('R&amp;S - Packaging and hh goods'!$Z$19+('R&amp;S - Packaging and hh goods'!$Z$20-'R&amp;S - Packaging and hh goods'!$Z$19)*(AW$3-$N$3)/10))+AW27*'R&amp;S - Packaging and hh goods'!$M$4/SUM('R&amp;S - Packaging and hh goods'!$L$4:$N$4)*('R&amp;S - Packaging and hh goods'!$F$7*'R&amp;S - Packaging and hh goods'!$J$15*('R&amp;S - Packaging and hh goods'!$AE$19+('R&amp;S - Packaging and hh goods'!$AE$20-'R&amp;S - Packaging and hh goods'!$AE$19)*(AW$3-$N$3)/10))+AW27*'R&amp;S - Packaging and hh goods'!$N$4/SUM('R&amp;S - Packaging and hh goods'!$L$4:$N$4)*('R&amp;S - Packaging and hh goods'!$G$7*'R&amp;S - Packaging and hh goods'!$L$15*('R&amp;S - Packaging and hh goods'!$AJ$19+('R&amp;S - Packaging and hh goods'!$AJ$20-'R&amp;S - Packaging and hh goods'!$AJ$19)*(AW$3-$N$3)/10))</f>
        <v>0.71300953459203553</v>
      </c>
      <c r="AX28" s="265">
        <f>AX27*'R&amp;S - Packaging and hh goods'!$L$4/SUM('R&amp;S - Packaging and hh goods'!$L$4:$N$4)*('R&amp;S - Packaging and hh goods'!$E$7*'R&amp;S - Packaging and hh goods'!$H$15*('R&amp;S - Packaging and hh goods'!$Z$19+('R&amp;S - Packaging and hh goods'!$Z$20-'R&amp;S - Packaging and hh goods'!$Z$19)*(AX$3-$N$3)/10))+AX27*'R&amp;S - Packaging and hh goods'!$M$4/SUM('R&amp;S - Packaging and hh goods'!$L$4:$N$4)*('R&amp;S - Packaging and hh goods'!$F$7*'R&amp;S - Packaging and hh goods'!$J$15*('R&amp;S - Packaging and hh goods'!$AE$19+('R&amp;S - Packaging and hh goods'!$AE$20-'R&amp;S - Packaging and hh goods'!$AE$19)*(AX$3-$N$3)/10))+AX27*'R&amp;S - Packaging and hh goods'!$N$4/SUM('R&amp;S - Packaging and hh goods'!$L$4:$N$4)*('R&amp;S - Packaging and hh goods'!$G$7*'R&amp;S - Packaging and hh goods'!$L$15*('R&amp;S - Packaging and hh goods'!$AJ$19+('R&amp;S - Packaging and hh goods'!$AJ$20-'R&amp;S - Packaging and hh goods'!$AJ$19)*(AX$3-$N$3)/10))</f>
        <v>0.88922469946377325</v>
      </c>
      <c r="AY28" s="265">
        <f>AY27*'R&amp;S - Packaging and hh goods'!$L$4/SUM('R&amp;S - Packaging and hh goods'!$L$4:$N$4)*('R&amp;S - Packaging and hh goods'!$E$7*'R&amp;S - Packaging and hh goods'!$H$15*('R&amp;S - Packaging and hh goods'!$Z$19+('R&amp;S - Packaging and hh goods'!$Z$20-'R&amp;S - Packaging and hh goods'!$Z$19)*(AY$3-$N$3)/10))+AY27*'R&amp;S - Packaging and hh goods'!$M$4/SUM('R&amp;S - Packaging and hh goods'!$L$4:$N$4)*('R&amp;S - Packaging and hh goods'!$F$7*'R&amp;S - Packaging and hh goods'!$J$15*('R&amp;S - Packaging and hh goods'!$AE$19+('R&amp;S - Packaging and hh goods'!$AE$20-'R&amp;S - Packaging and hh goods'!$AE$19)*(AY$3-$N$3)/10))+AY27*'R&amp;S - Packaging and hh goods'!$N$4/SUM('R&amp;S - Packaging and hh goods'!$L$4:$N$4)*('R&amp;S - Packaging and hh goods'!$G$7*'R&amp;S - Packaging and hh goods'!$L$15*('R&amp;S - Packaging and hh goods'!$AJ$19+('R&amp;S - Packaging and hh goods'!$AJ$20-'R&amp;S - Packaging and hh goods'!$AJ$19)*(AY$3-$N$3)/10))</f>
        <v>1.069230323809004</v>
      </c>
      <c r="AZ28" s="265">
        <f>AZ27*'R&amp;S - Packaging and hh goods'!$L$4/SUM('R&amp;S - Packaging and hh goods'!$L$4:$N$4)*('R&amp;S - Packaging and hh goods'!$E$7*'R&amp;S - Packaging and hh goods'!$H$15*('R&amp;S - Packaging and hh goods'!$Z$19+('R&amp;S - Packaging and hh goods'!$Z$20-'R&amp;S - Packaging and hh goods'!$Z$19)*(AZ$3-$N$3)/10))+AZ27*'R&amp;S - Packaging and hh goods'!$M$4/SUM('R&amp;S - Packaging and hh goods'!$L$4:$N$4)*('R&amp;S - Packaging and hh goods'!$F$7*'R&amp;S - Packaging and hh goods'!$J$15*('R&amp;S - Packaging and hh goods'!$AE$19+('R&amp;S - Packaging and hh goods'!$AE$20-'R&amp;S - Packaging and hh goods'!$AE$19)*(AZ$3-$N$3)/10))+AZ27*'R&amp;S - Packaging and hh goods'!$N$4/SUM('R&amp;S - Packaging and hh goods'!$L$4:$N$4)*('R&amp;S - Packaging and hh goods'!$G$7*'R&amp;S - Packaging and hh goods'!$L$15*('R&amp;S - Packaging and hh goods'!$AJ$19+('R&amp;S - Packaging and hh goods'!$AJ$20-'R&amp;S - Packaging and hh goods'!$AJ$19)*(AZ$3-$N$3)/10))</f>
        <v>1.2530884757011942</v>
      </c>
      <c r="BA28" s="265">
        <f>BA27*'R&amp;S - Packaging and hh goods'!$L$4/SUM('R&amp;S - Packaging and hh goods'!$L$4:$N$4)*('R&amp;S - Packaging and hh goods'!$E$7*'R&amp;S - Packaging and hh goods'!$H$15*('R&amp;S - Packaging and hh goods'!$Z$19+('R&amp;S - Packaging and hh goods'!$Z$20-'R&amp;S - Packaging and hh goods'!$Z$19)*(BA$3-$N$3)/10))+BA27*'R&amp;S - Packaging and hh goods'!$M$4/SUM('R&amp;S - Packaging and hh goods'!$L$4:$N$4)*('R&amp;S - Packaging and hh goods'!$F$7*'R&amp;S - Packaging and hh goods'!$J$15*('R&amp;S - Packaging and hh goods'!$AE$19+('R&amp;S - Packaging and hh goods'!$AE$20-'R&amp;S - Packaging and hh goods'!$AE$19)*(BA$3-$N$3)/10))+BA27*'R&amp;S - Packaging and hh goods'!$N$4/SUM('R&amp;S - Packaging and hh goods'!$L$4:$N$4)*('R&amp;S - Packaging and hh goods'!$G$7*'R&amp;S - Packaging and hh goods'!$L$15*('R&amp;S - Packaging and hh goods'!$AJ$19+('R&amp;S - Packaging and hh goods'!$AJ$20-'R&amp;S - Packaging and hh goods'!$AJ$19)*(BA$3-$N$3)/10))</f>
        <v>1.4408621300658317</v>
      </c>
      <c r="BB28" s="265">
        <f>BB27*'R&amp;S - Packaging and hh goods'!$L$4/SUM('R&amp;S - Packaging and hh goods'!$L$4:$N$4)*('R&amp;S - Packaging and hh goods'!$E$7*'R&amp;S - Packaging and hh goods'!$H$15*('R&amp;S - Packaging and hh goods'!$Z$19+('R&amp;S - Packaging and hh goods'!$Z$20-'R&amp;S - Packaging and hh goods'!$Z$19)*(BB$3-$N$3)/10))+BB27*'R&amp;S - Packaging and hh goods'!$M$4/SUM('R&amp;S - Packaging and hh goods'!$L$4:$N$4)*('R&amp;S - Packaging and hh goods'!$F$7*'R&amp;S - Packaging and hh goods'!$J$15*('R&amp;S - Packaging and hh goods'!$AE$19+('R&amp;S - Packaging and hh goods'!$AE$20-'R&amp;S - Packaging and hh goods'!$AE$19)*(BB$3-$N$3)/10))+BB27*'R&amp;S - Packaging and hh goods'!$N$4/SUM('R&amp;S - Packaging and hh goods'!$L$4:$N$4)*('R&amp;S - Packaging and hh goods'!$G$7*'R&amp;S - Packaging and hh goods'!$L$15*('R&amp;S - Packaging and hh goods'!$AJ$19+('R&amp;S - Packaging and hh goods'!$AJ$20-'R&amp;S - Packaging and hh goods'!$AJ$19)*(BB$3-$N$3)/10))</f>
        <v>1.6326151811209311</v>
      </c>
      <c r="BC28" s="265">
        <f>BC27*'R&amp;S - Packaging and hh goods'!$L$4/SUM('R&amp;S - Packaging and hh goods'!$L$4:$N$4)*('R&amp;S - Packaging and hh goods'!$E$7*'R&amp;S - Packaging and hh goods'!$H$15*('R&amp;S - Packaging and hh goods'!$Z$19+('R&amp;S - Packaging and hh goods'!$Z$20-'R&amp;S - Packaging and hh goods'!$Z$19)*(BC$3-$N$3)/10))+BC27*'R&amp;S - Packaging and hh goods'!$M$4/SUM('R&amp;S - Packaging and hh goods'!$L$4:$N$4)*('R&amp;S - Packaging and hh goods'!$F$7*'R&amp;S - Packaging and hh goods'!$J$15*('R&amp;S - Packaging and hh goods'!$AE$19+('R&amp;S - Packaging and hh goods'!$AE$20-'R&amp;S - Packaging and hh goods'!$AE$19)*(BC$3-$N$3)/10))+BC27*'R&amp;S - Packaging and hh goods'!$N$4/SUM('R&amp;S - Packaging and hh goods'!$L$4:$N$4)*('R&amp;S - Packaging and hh goods'!$G$7*'R&amp;S - Packaging and hh goods'!$L$15*('R&amp;S - Packaging and hh goods'!$AJ$19+('R&amp;S - Packaging and hh goods'!$AJ$20-'R&amp;S - Packaging and hh goods'!$AJ$19)*(BC$3-$N$3)/10))</f>
        <v>1.8284124549815051</v>
      </c>
      <c r="BD28" s="265">
        <f>BD27*'R&amp;S - Packaging and hh goods'!$L$4/SUM('R&amp;S - Packaging and hh goods'!$L$4:$N$4)*('R&amp;S - Packaging and hh goods'!$E$7*'R&amp;S - Packaging and hh goods'!$H$15*('R&amp;S - Packaging and hh goods'!$Z$19+('R&amp;S - Packaging and hh goods'!$Z$20-'R&amp;S - Packaging and hh goods'!$Z$19)*(BD$3-$N$3)/10))+BD27*'R&amp;S - Packaging and hh goods'!$M$4/SUM('R&amp;S - Packaging and hh goods'!$L$4:$N$4)*('R&amp;S - Packaging and hh goods'!$F$7*'R&amp;S - Packaging and hh goods'!$J$15*('R&amp;S - Packaging and hh goods'!$AE$19+('R&amp;S - Packaging and hh goods'!$AE$20-'R&amp;S - Packaging and hh goods'!$AE$19)*(BD$3-$N$3)/10))+BD27*'R&amp;S - Packaging and hh goods'!$N$4/SUM('R&amp;S - Packaging and hh goods'!$L$4:$N$4)*('R&amp;S - Packaging and hh goods'!$G$7*'R&amp;S - Packaging and hh goods'!$L$15*('R&amp;S - Packaging and hh goods'!$AJ$19+('R&amp;S - Packaging and hh goods'!$AJ$20-'R&amp;S - Packaging and hh goods'!$AJ$19)*(BD$3-$N$3)/10))</f>
        <v>2.028319722430096</v>
      </c>
      <c r="BE28" s="265">
        <f>BE27*'R&amp;S - Packaging and hh goods'!$L$4/SUM('R&amp;S - Packaging and hh goods'!$L$4:$N$4)*('R&amp;S - Packaging and hh goods'!$E7*'R&amp;S - Packaging and hh goods'!$H$15*('R&amp;S - Packaging and hh goods'!$Z$20+('R&amp;S - Packaging and hh goods'!$Z$21-'R&amp;S - Packaging and hh goods'!$Z$20)*(BE$3-$X$3)/10))+BE27*'R&amp;S - Packaging and hh goods'!$M$4/SUM('R&amp;S - Packaging and hh goods'!$L$4:$N$4)*('R&amp;S - Packaging and hh goods'!$F7*'R&amp;S - Packaging and hh goods'!$J$15*('R&amp;S - Packaging and hh goods'!$AE$20+('R&amp;S - Packaging and hh goods'!$AE$21-'R&amp;S - Packaging and hh goods'!$AE$20)*(BE$3-$X$3)/10))+BE27*'R&amp;S - Packaging and hh goods'!$N$4/SUM('R&amp;S - Packaging and hh goods'!$L$4:$N$4)*('R&amp;S - Packaging and hh goods'!$G7*'R&amp;S - Packaging and hh goods'!$L$15*('R&amp;S - Packaging and hh goods'!$AJ$20+('R&amp;S - Packaging and hh goods'!$AJ$21-'R&amp;S - Packaging and hh goods'!$AJ$20)*(BE$3-$X$3)/10))</f>
        <v>2.2337456397559192</v>
      </c>
      <c r="BF28" s="265">
        <f>BF27*'R&amp;S - Packaging and hh goods'!$L$4/SUM('R&amp;S - Packaging and hh goods'!$L$4:$N$4)*('R&amp;S - Packaging and hh goods'!$E7*'R&amp;S - Packaging and hh goods'!$H$15*('R&amp;S - Packaging and hh goods'!$Z$20+('R&amp;S - Packaging and hh goods'!$Z$21-'R&amp;S - Packaging and hh goods'!$Z$20)*(BF$3-$X$3)/10))+BF27*'R&amp;S - Packaging and hh goods'!$M$4/SUM('R&amp;S - Packaging and hh goods'!$L$4:$N$4)*('R&amp;S - Packaging and hh goods'!$F7*'R&amp;S - Packaging and hh goods'!$J$15*('R&amp;S - Packaging and hh goods'!$AE$20+('R&amp;S - Packaging and hh goods'!$AE$21-'R&amp;S - Packaging and hh goods'!$AE$20)*(BF$3-$X$3)/10))+BF27*'R&amp;S - Packaging and hh goods'!$N$4/SUM('R&amp;S - Packaging and hh goods'!$L$4:$N$4)*('R&amp;S - Packaging and hh goods'!$G7*'R&amp;S - Packaging and hh goods'!$L$15*('R&amp;S - Packaging and hh goods'!$AJ$20+('R&amp;S - Packaging and hh goods'!$AJ$21-'R&amp;S - Packaging and hh goods'!$AJ$20)*(BF$3-$X$3)/10))</f>
        <v>2.4434455005764955</v>
      </c>
      <c r="BG28" s="265">
        <f>BG27*'R&amp;S - Packaging and hh goods'!$L$4/SUM('R&amp;S - Packaging and hh goods'!$L$4:$N$4)*('R&amp;S - Packaging and hh goods'!$E7*'R&amp;S - Packaging and hh goods'!$H$15*('R&amp;S - Packaging and hh goods'!$Z$20+('R&amp;S - Packaging and hh goods'!$Z$21-'R&amp;S - Packaging and hh goods'!$Z$20)*(BG$3-$X$3)/10))+BG27*'R&amp;S - Packaging and hh goods'!$M$4/SUM('R&amp;S - Packaging and hh goods'!$L$4:$N$4)*('R&amp;S - Packaging and hh goods'!$F7*'R&amp;S - Packaging and hh goods'!$J$15*('R&amp;S - Packaging and hh goods'!$AE$20+('R&amp;S - Packaging and hh goods'!$AE$21-'R&amp;S - Packaging and hh goods'!$AE$20)*(BG$3-$X$3)/10))+BG27*'R&amp;S - Packaging and hh goods'!$N$4/SUM('R&amp;S - Packaging and hh goods'!$L$4:$N$4)*('R&amp;S - Packaging and hh goods'!$G7*'R&amp;S - Packaging and hh goods'!$L$15*('R&amp;S - Packaging and hh goods'!$AJ$20+('R&amp;S - Packaging and hh goods'!$AJ$21-'R&amp;S - Packaging and hh goods'!$AJ$20)*(BG$3-$X$3)/10))</f>
        <v>2.6574884751127152</v>
      </c>
      <c r="BH28" s="265">
        <f>BH27*'R&amp;S - Packaging and hh goods'!$L$4/SUM('R&amp;S - Packaging and hh goods'!$L$4:$N$4)*('R&amp;S - Packaging and hh goods'!$E7*'R&amp;S - Packaging and hh goods'!$H$15*('R&amp;S - Packaging and hh goods'!$Z$20+('R&amp;S - Packaging and hh goods'!$Z$21-'R&amp;S - Packaging and hh goods'!$Z$20)*(BH$3-$X$3)/10))+BH27*'R&amp;S - Packaging and hh goods'!$M$4/SUM('R&amp;S - Packaging and hh goods'!$L$4:$N$4)*('R&amp;S - Packaging and hh goods'!$F7*'R&amp;S - Packaging and hh goods'!$J$15*('R&amp;S - Packaging and hh goods'!$AE$20+('R&amp;S - Packaging and hh goods'!$AE$21-'R&amp;S - Packaging and hh goods'!$AE$20)*(BH$3-$X$3)/10))+BH27*'R&amp;S - Packaging and hh goods'!$N$4/SUM('R&amp;S - Packaging and hh goods'!$L$4:$N$4)*('R&amp;S - Packaging and hh goods'!$G7*'R&amp;S - Packaging and hh goods'!$L$15*('R&amp;S - Packaging and hh goods'!$AJ$20+('R&amp;S - Packaging and hh goods'!$AJ$21-'R&amp;S - Packaging and hh goods'!$AJ$20)*(BH$3-$X$3)/10))</f>
        <v>2.8759447381831609</v>
      </c>
      <c r="BI28" s="265">
        <f>BI27*'R&amp;S - Packaging and hh goods'!$L$4/SUM('R&amp;S - Packaging and hh goods'!$L$4:$N$4)*('R&amp;S - Packaging and hh goods'!$E7*'R&amp;S - Packaging and hh goods'!$H$15*('R&amp;S - Packaging and hh goods'!$Z$20+('R&amp;S - Packaging and hh goods'!$Z$21-'R&amp;S - Packaging and hh goods'!$Z$20)*(BI$3-$X$3)/10))+BI27*'R&amp;S - Packaging and hh goods'!$M$4/SUM('R&amp;S - Packaging and hh goods'!$L$4:$N$4)*('R&amp;S - Packaging and hh goods'!$F7*'R&amp;S - Packaging and hh goods'!$J$15*('R&amp;S - Packaging and hh goods'!$AE$20+('R&amp;S - Packaging and hh goods'!$AE$21-'R&amp;S - Packaging and hh goods'!$AE$20)*(BI$3-$X$3)/10))+BI27*'R&amp;S - Packaging and hh goods'!$N$4/SUM('R&amp;S - Packaging and hh goods'!$L$4:$N$4)*('R&amp;S - Packaging and hh goods'!$G7*'R&amp;S - Packaging and hh goods'!$L$15*('R&amp;S - Packaging and hh goods'!$AJ$20+('R&amp;S - Packaging and hh goods'!$AJ$21-'R&amp;S - Packaging and hh goods'!$AJ$20)*(BI$3-$X$3)/10))</f>
        <v>3.0988854829356685</v>
      </c>
      <c r="BJ28" s="265">
        <f>BJ27*'R&amp;S - Packaging and hh goods'!$L$4/SUM('R&amp;S - Packaging and hh goods'!$L$4:$N$4)*('R&amp;S - Packaging and hh goods'!$E7*'R&amp;S - Packaging and hh goods'!$H$15*('R&amp;S - Packaging and hh goods'!$Z$20+('R&amp;S - Packaging and hh goods'!$Z$21-'R&amp;S - Packaging and hh goods'!$Z$20)*(BJ$3-$X$3)/10))+BJ27*'R&amp;S - Packaging and hh goods'!$M$4/SUM('R&amp;S - Packaging and hh goods'!$L$4:$N$4)*('R&amp;S - Packaging and hh goods'!$F7*'R&amp;S - Packaging and hh goods'!$J$15*('R&amp;S - Packaging and hh goods'!$AE$20+('R&amp;S - Packaging and hh goods'!$AE$21-'R&amp;S - Packaging and hh goods'!$AE$20)*(BJ$3-$X$3)/10))+BJ27*'R&amp;S - Packaging and hh goods'!$N$4/SUM('R&amp;S - Packaging and hh goods'!$L$4:$N$4)*('R&amp;S - Packaging and hh goods'!$G7*'R&amp;S - Packaging and hh goods'!$L$15*('R&amp;S - Packaging and hh goods'!$AJ$20+('R&amp;S - Packaging and hh goods'!$AJ$21-'R&amp;S - Packaging and hh goods'!$AJ$20)*(BJ$3-$X$3)/10))</f>
        <v>3.3263829347594109</v>
      </c>
      <c r="BK28" s="265">
        <f>BK27*'R&amp;S - Packaging and hh goods'!$L$4/SUM('R&amp;S - Packaging and hh goods'!$L$4:$N$4)*('R&amp;S - Packaging and hh goods'!$E7*'R&amp;S - Packaging and hh goods'!$H$15*('R&amp;S - Packaging and hh goods'!$Z$20+('R&amp;S - Packaging and hh goods'!$Z$21-'R&amp;S - Packaging and hh goods'!$Z$20)*(BK$3-$X$3)/10))+BK27*'R&amp;S - Packaging and hh goods'!$M$4/SUM('R&amp;S - Packaging and hh goods'!$L$4:$N$4)*('R&amp;S - Packaging and hh goods'!$F7*'R&amp;S - Packaging and hh goods'!$J$15*('R&amp;S - Packaging and hh goods'!$AE$20+('R&amp;S - Packaging and hh goods'!$AE$21-'R&amp;S - Packaging and hh goods'!$AE$20)*(BK$3-$X$3)/10))+BK27*'R&amp;S - Packaging and hh goods'!$N$4/SUM('R&amp;S - Packaging and hh goods'!$L$4:$N$4)*('R&amp;S - Packaging and hh goods'!$G7*'R&amp;S - Packaging and hh goods'!$L$15*('R&amp;S - Packaging and hh goods'!$AJ$20+('R&amp;S - Packaging and hh goods'!$AJ$21-'R&amp;S - Packaging and hh goods'!$AJ$20)*(BK$3-$X$3)/10))</f>
        <v>3.5585103653798389</v>
      </c>
      <c r="BL28" s="265">
        <f>BL27*'R&amp;S - Packaging and hh goods'!$L$4/SUM('R&amp;S - Packaging and hh goods'!$L$4:$N$4)*('R&amp;S - Packaging and hh goods'!$E7*'R&amp;S - Packaging and hh goods'!$H$15*('R&amp;S - Packaging and hh goods'!$Z$20+('R&amp;S - Packaging and hh goods'!$Z$21-'R&amp;S - Packaging and hh goods'!$Z$20)*(BL$3-$X$3)/10))+BL27*'R&amp;S - Packaging and hh goods'!$M$4/SUM('R&amp;S - Packaging and hh goods'!$L$4:$N$4)*('R&amp;S - Packaging and hh goods'!$F7*'R&amp;S - Packaging and hh goods'!$J$15*('R&amp;S - Packaging and hh goods'!$AE$20+('R&amp;S - Packaging and hh goods'!$AE$21-'R&amp;S - Packaging and hh goods'!$AE$20)*(BL$3-$X$3)/10))+BL27*'R&amp;S - Packaging and hh goods'!$N$4/SUM('R&amp;S - Packaging and hh goods'!$L$4:$N$4)*('R&amp;S - Packaging and hh goods'!$G7*'R&amp;S - Packaging and hh goods'!$L$15*('R&amp;S - Packaging and hh goods'!$AJ$20+('R&amp;S - Packaging and hh goods'!$AJ$21-'R&amp;S - Packaging and hh goods'!$AJ$20)*(BL$3-$X$3)/10))</f>
        <v>3.7953421071388127</v>
      </c>
      <c r="BM28" s="265">
        <f>BM27*'R&amp;S - Packaging and hh goods'!$L$4/SUM('R&amp;S - Packaging and hh goods'!$L$4:$N$4)*('R&amp;S - Packaging and hh goods'!$E7*'R&amp;S - Packaging and hh goods'!$H$15*('R&amp;S - Packaging and hh goods'!$Z$20+('R&amp;S - Packaging and hh goods'!$Z$21-'R&amp;S - Packaging and hh goods'!$Z$20)*(BM$3-$X$3)/10))+BM27*'R&amp;S - Packaging and hh goods'!$M$4/SUM('R&amp;S - Packaging and hh goods'!$L$4:$N$4)*('R&amp;S - Packaging and hh goods'!$F7*'R&amp;S - Packaging and hh goods'!$J$15*('R&amp;S - Packaging and hh goods'!$AE$20+('R&amp;S - Packaging and hh goods'!$AE$21-'R&amp;S - Packaging and hh goods'!$AE$20)*(BM$3-$X$3)/10))+BM27*'R&amp;S - Packaging and hh goods'!$N$4/SUM('R&amp;S - Packaging and hh goods'!$L$4:$N$4)*('R&amp;S - Packaging and hh goods'!$G7*'R&amp;S - Packaging and hh goods'!$L$15*('R&amp;S - Packaging and hh goods'!$AJ$20+('R&amp;S - Packaging and hh goods'!$AJ$21-'R&amp;S - Packaging and hh goods'!$AJ$20)*(BM$3-$X$3)/10))</f>
        <v>4.0369535674622714</v>
      </c>
      <c r="BN28" s="265">
        <f>BN27*'R&amp;S - Packaging and hh goods'!$L$4/SUM('R&amp;S - Packaging and hh goods'!$L$4:$N$4)*('R&amp;S - Packaging and hh goods'!$E7*'R&amp;S - Packaging and hh goods'!$H$15*('R&amp;S - Packaging and hh goods'!$Z$20+('R&amp;S - Packaging and hh goods'!$Z$21-'R&amp;S - Packaging and hh goods'!$Z$20)*(BN$3-$X$3)/10))+BN27*'R&amp;S - Packaging and hh goods'!$M$4/SUM('R&amp;S - Packaging and hh goods'!$L$4:$N$4)*('R&amp;S - Packaging and hh goods'!$F7*'R&amp;S - Packaging and hh goods'!$J$15*('R&amp;S - Packaging and hh goods'!$AE$20+('R&amp;S - Packaging and hh goods'!$AE$21-'R&amp;S - Packaging and hh goods'!$AE$20)*(BN$3-$X$3)/10))+BN27*'R&amp;S - Packaging and hh goods'!$N$4/SUM('R&amp;S - Packaging and hh goods'!$L$4:$N$4)*('R&amp;S - Packaging and hh goods'!$G7*'R&amp;S - Packaging and hh goods'!$L$15*('R&amp;S - Packaging and hh goods'!$AJ$20+('R&amp;S - Packaging and hh goods'!$AJ$21-'R&amp;S - Packaging and hh goods'!$AJ$20)*(BN$3-$X$3)/10))</f>
        <v>4.2834212435178829</v>
      </c>
    </row>
    <row r="29" spans="1:85" outlineLevel="1" x14ac:dyDescent="0.2">
      <c r="B29" s="61" t="s">
        <v>200</v>
      </c>
      <c r="C29" s="54" t="s">
        <v>153</v>
      </c>
      <c r="D29" s="43">
        <v>0</v>
      </c>
      <c r="E29" s="43">
        <f>E27*'R&amp;S - Packaging and hh goods'!$L$4/SUM('R&amp;S - Packaging and hh goods'!$L$4:$N$4)*'R&amp;S - Packaging and hh goods'!$E$8*('R&amp;S - Packaging and hh goods'!$H$14*'R&amp;S - Packaging and hh goods'!$AA$19*(E$3-$D$3)/10)+E27*'R&amp;S - Packaging and hh goods'!$M$4/SUM('R&amp;S - Packaging and hh goods'!$L$4:$N$4)*'R&amp;S - Packaging and hh goods'!$F$8*('R&amp;S - Packaging and hh goods'!$J$14*'R&amp;S - Packaging and hh goods'!$AF$19*(E$3-$D$3)/10)+E27*'R&amp;S - Packaging and hh goods'!$N$4/SUM('R&amp;S - Packaging and hh goods'!$L$4:$N$4)*'R&amp;S - Packaging and hh goods'!$G$8*('R&amp;S - Packaging and hh goods'!$L$14*'R&amp;S - Packaging and hh goods'!$AK$19*(E$3-$D$3)/10)</f>
        <v>0.29565947712504209</v>
      </c>
      <c r="F29" s="43">
        <f>F27*'R&amp;S - Packaging and hh goods'!$L$4/SUM('R&amp;S - Packaging and hh goods'!$L$4:$N$4)*'R&amp;S - Packaging and hh goods'!$E$8*('R&amp;S - Packaging and hh goods'!$H$14*'R&amp;S - Packaging and hh goods'!$AA$19*(F$3-$D$3)/10)+F27*'R&amp;S - Packaging and hh goods'!$M$4/SUM('R&amp;S - Packaging and hh goods'!$L$4:$N$4)*'R&amp;S - Packaging and hh goods'!$F$8*('R&amp;S - Packaging and hh goods'!$J$14*'R&amp;S - Packaging and hh goods'!$AF$19*(F$3-$D$3)/10)+F27*'R&amp;S - Packaging and hh goods'!$N$4/SUM('R&amp;S - Packaging and hh goods'!$L$4:$N$4)*'R&amp;S - Packaging and hh goods'!$G$8*('R&amp;S - Packaging and hh goods'!$L$14*'R&amp;S - Packaging and hh goods'!$AK$19*(F$3-$D$3)/10)</f>
        <v>0.59782346274683495</v>
      </c>
      <c r="G29" s="43">
        <f>G27*'R&amp;S - Packaging and hh goods'!$L$4/SUM('R&amp;S - Packaging and hh goods'!$L$4:$N$4)*'R&amp;S - Packaging and hh goods'!$E$8*('R&amp;S - Packaging and hh goods'!$H$14*'R&amp;S - Packaging and hh goods'!$AA$19*(G$3-$D$3)/10)+G27*'R&amp;S - Packaging and hh goods'!$M$4/SUM('R&amp;S - Packaging and hh goods'!$L$4:$N$4)*'R&amp;S - Packaging and hh goods'!$F$8*('R&amp;S - Packaging and hh goods'!$J$14*'R&amp;S - Packaging and hh goods'!$AF$19*(G$3-$D$3)/10)+G27*'R&amp;S - Packaging and hh goods'!$N$4/SUM('R&amp;S - Packaging and hh goods'!$L$4:$N$4)*'R&amp;S - Packaging and hh goods'!$G$8*('R&amp;S - Packaging and hh goods'!$L$14*'R&amp;S - Packaging and hh goods'!$AK$19*(G$3-$D$3)/10)</f>
        <v>0.90659928125557521</v>
      </c>
      <c r="H29" s="43">
        <f>H27*'R&amp;S - Packaging and hh goods'!$L$4/SUM('R&amp;S - Packaging and hh goods'!$L$4:$N$4)*'R&amp;S - Packaging and hh goods'!$E$8*('R&amp;S - Packaging and hh goods'!$H$14*'R&amp;S - Packaging and hh goods'!$AA$19*(H$3-$D$3)/10)+H27*'R&amp;S - Packaging and hh goods'!$M$4/SUM('R&amp;S - Packaging and hh goods'!$L$4:$N$4)*'R&amp;S - Packaging and hh goods'!$F$8*('R&amp;S - Packaging and hh goods'!$J$14*'R&amp;S - Packaging and hh goods'!$AF$19*(H$3-$D$3)/10)+H27*'R&amp;S - Packaging and hh goods'!$N$4/SUM('R&amp;S - Packaging and hh goods'!$L$4:$N$4)*'R&amp;S - Packaging and hh goods'!$G$8*('R&amp;S - Packaging and hh goods'!$L$14*'R&amp;S - Packaging and hh goods'!$AK$19*(H$3-$D$3)/10)</f>
        <v>1.2220958311325154</v>
      </c>
      <c r="I29" s="43">
        <f>I27*'R&amp;S - Packaging and hh goods'!$L$4/SUM('R&amp;S - Packaging and hh goods'!$L$4:$N$4)*'R&amp;S - Packaging and hh goods'!$E$8*('R&amp;S - Packaging and hh goods'!$H$14*'R&amp;S - Packaging and hh goods'!$AA$19*(I$3-$D$3)/10)+I27*'R&amp;S - Packaging and hh goods'!$M$4/SUM('R&amp;S - Packaging and hh goods'!$L$4:$N$4)*'R&amp;S - Packaging and hh goods'!$F$8*('R&amp;S - Packaging and hh goods'!$J$14*'R&amp;S - Packaging and hh goods'!$AF$19*(I$3-$D$3)/10)+I27*'R&amp;S - Packaging and hh goods'!$N$4/SUM('R&amp;S - Packaging and hh goods'!$L$4:$N$4)*'R&amp;S - Packaging and hh goods'!$G$8*('R&amp;S - Packaging and hh goods'!$L$14*'R&amp;S - Packaging and hh goods'!$AK$19*(I$3-$D$3)/10)</f>
        <v>1.544423606593716</v>
      </c>
      <c r="J29" s="43">
        <f>J27*'R&amp;S - Packaging and hh goods'!$L$4/SUM('R&amp;S - Packaging and hh goods'!$L$4:$N$4)*'R&amp;S - Packaging and hh goods'!$E$8*('R&amp;S - Packaging and hh goods'!$H$14*'R&amp;S - Packaging and hh goods'!$AA$19*(J$3-$D$3)/10)+J27*'R&amp;S - Packaging and hh goods'!$M$4/SUM('R&amp;S - Packaging and hh goods'!$L$4:$N$4)*'R&amp;S - Packaging and hh goods'!$F$8*('R&amp;S - Packaging and hh goods'!$J$14*'R&amp;S - Packaging and hh goods'!$AF$19*(J$3-$D$3)/10)+J27*'R&amp;S - Packaging and hh goods'!$N$4/SUM('R&amp;S - Packaging and hh goods'!$L$4:$N$4)*'R&amp;S - Packaging and hh goods'!$G$8*('R&amp;S - Packaging and hh goods'!$L$14*'R&amp;S - Packaging and hh goods'!$AK$19*(J$3-$D$3)/10)</f>
        <v>1.873694719519496</v>
      </c>
      <c r="K29" s="43">
        <f>K27*'R&amp;S - Packaging and hh goods'!$L$4/SUM('R&amp;S - Packaging and hh goods'!$L$4:$N$4)*'R&amp;S - Packaging and hh goods'!$E$8*('R&amp;S - Packaging and hh goods'!$H$14*'R&amp;S - Packaging and hh goods'!$AA$19*(K$3-$D$3)/10)+K27*'R&amp;S - Packaging and hh goods'!$M$4/SUM('R&amp;S - Packaging and hh goods'!$L$4:$N$4)*'R&amp;S - Packaging and hh goods'!$F$8*('R&amp;S - Packaging and hh goods'!$J$14*'R&amp;S - Packaging and hh goods'!$AF$19*(K$3-$D$3)/10)+K27*'R&amp;S - Packaging and hh goods'!$N$4/SUM('R&amp;S - Packaging and hh goods'!$L$4:$N$4)*'R&amp;S - Packaging and hh goods'!$G$8*('R&amp;S - Packaging and hh goods'!$L$14*'R&amp;S - Packaging and hh goods'!$AK$19*(K$3-$D$3)/10)</f>
        <v>2.2100229216732457</v>
      </c>
      <c r="L29" s="43">
        <f>L27*'R&amp;S - Packaging and hh goods'!$L$4/SUM('R&amp;S - Packaging and hh goods'!$L$4:$N$4)*'R&amp;S - Packaging and hh goods'!$E$8*('R&amp;S - Packaging and hh goods'!$H$14*'R&amp;S - Packaging and hh goods'!$AA$19*(L$3-$D$3)/10)+L27*'R&amp;S - Packaging and hh goods'!$M$4/SUM('R&amp;S - Packaging and hh goods'!$L$4:$N$4)*'R&amp;S - Packaging and hh goods'!$F$8*('R&amp;S - Packaging and hh goods'!$J$14*'R&amp;S - Packaging and hh goods'!$AF$19*(L$3-$D$3)/10)+L27*'R&amp;S - Packaging and hh goods'!$N$4/SUM('R&amp;S - Packaging and hh goods'!$L$4:$N$4)*'R&amp;S - Packaging and hh goods'!$G$8*('R&amp;S - Packaging and hh goods'!$L$14*'R&amp;S - Packaging and hh goods'!$AK$19*(L$3-$D$3)/10)</f>
        <v>2.5535236272133148</v>
      </c>
      <c r="M29" s="43">
        <f>M27*'R&amp;S - Packaging and hh goods'!$L$4/SUM('R&amp;S - Packaging and hh goods'!$L$4:$N$4)*'R&amp;S - Packaging and hh goods'!$E$8*('R&amp;S - Packaging and hh goods'!$H$14*'R&amp;S - Packaging and hh goods'!$AA$19*(M$3-$D$3)/10)+M27*'R&amp;S - Packaging and hh goods'!$M$4/SUM('R&amp;S - Packaging and hh goods'!$L$4:$N$4)*'R&amp;S - Packaging and hh goods'!$F$8*('R&amp;S - Packaging and hh goods'!$J$14*'R&amp;S - Packaging and hh goods'!$AF$19*(M$3-$D$3)/10)+M27*'R&amp;S - Packaging and hh goods'!$N$4/SUM('R&amp;S - Packaging and hh goods'!$L$4:$N$4)*'R&amp;S - Packaging and hh goods'!$G$8*('R&amp;S - Packaging and hh goods'!$L$14*'R&amp;S - Packaging and hh goods'!$AK$19*(M$3-$D$3)/10)</f>
        <v>2.9043139355017433</v>
      </c>
      <c r="N29" s="43">
        <f>N27*'R&amp;S - Packaging and hh goods'!$L$4/SUM('R&amp;S - Packaging and hh goods'!$L$4:$N$4)*'R&amp;S - Packaging and hh goods'!$E$8*('R&amp;S - Packaging and hh goods'!$H$14*'R&amp;S - Packaging and hh goods'!$AA$19*(N$3-$D$3)/10)+N27*'R&amp;S - Packaging and hh goods'!$M$4/SUM('R&amp;S - Packaging and hh goods'!$L$4:$N$4)*'R&amp;S - Packaging and hh goods'!$F$8*('R&amp;S - Packaging and hh goods'!$J$14*'R&amp;S - Packaging and hh goods'!$AF$19*(N$3-$D$3)/10)+N27*'R&amp;S - Packaging and hh goods'!$N$4/SUM('R&amp;S - Packaging and hh goods'!$L$4:$N$4)*'R&amp;S - Packaging and hh goods'!$G$8*('R&amp;S - Packaging and hh goods'!$L$14*'R&amp;S - Packaging and hh goods'!$AK$19*(N$3-$D$3)/10)</f>
        <v>3.2625126542136247</v>
      </c>
      <c r="O29" s="265">
        <f>O27*'R&amp;S - Packaging and hh goods'!$L$4/SUM('R&amp;S - Packaging and hh goods'!$L$4:$N$4)*('R&amp;S - Packaging and hh goods'!$E$8*'R&amp;S - Packaging and hh goods'!$H$14*('R&amp;S - Packaging and hh goods'!$AA$19+('R&amp;S - Packaging and hh goods'!$AA$20-'R&amp;S - Packaging and hh goods'!$AA$19)*(O$3-$N$3)/10))+O27*'R&amp;S - Packaging and hh goods'!$M$4/SUM('R&amp;S - Packaging and hh goods'!$L$4:$N$4)*('R&amp;S - Packaging and hh goods'!$F$8*'R&amp;S - Packaging and hh goods'!$J$14*('R&amp;S - Packaging and hh goods'!$AF$19+('R&amp;S - Packaging and hh goods'!$AF$20-'R&amp;S - Packaging and hh goods'!$AF$19)*(O$3-$N$3)/10))+O27*'R&amp;S - Packaging and hh goods'!$N$4/SUM('R&amp;S - Packaging and hh goods'!$L$4:$N$4)*('R&amp;S - Packaging and hh goods'!$G$8*'R&amp;S - Packaging and hh goods'!$L$14*('R&amp;S - Packaging and hh goods'!$AK$19+('R&amp;S - Packaging and hh goods'!$AK$20-'R&amp;S - Packaging and hh goods'!$AK$19)*(O$3-$N$3)/10))</f>
        <v>3.9672153265455528</v>
      </c>
      <c r="P29" s="265">
        <f>P27*'R&amp;S - Packaging and hh goods'!$L$4/SUM('R&amp;S - Packaging and hh goods'!$L$4:$N$4)*('R&amp;S - Packaging and hh goods'!$E$8*'R&amp;S - Packaging and hh goods'!$H$14*('R&amp;S - Packaging and hh goods'!$AA$19+('R&amp;S - Packaging and hh goods'!$AA$20-'R&amp;S - Packaging and hh goods'!$AA$19)*(P$3-$N$3)/10))+P27*'R&amp;S - Packaging and hh goods'!$M$4/SUM('R&amp;S - Packaging and hh goods'!$L$4:$N$4)*('R&amp;S - Packaging and hh goods'!$F$8*'R&amp;S - Packaging and hh goods'!$J$14*('R&amp;S - Packaging and hh goods'!$AF$19+('R&amp;S - Packaging and hh goods'!$AF$20-'R&amp;S - Packaging and hh goods'!$AF$19)*(P$3-$N$3)/10))+P27*'R&amp;S - Packaging and hh goods'!$N$4/SUM('R&amp;S - Packaging and hh goods'!$L$4:$N$4)*('R&amp;S - Packaging and hh goods'!$G$8*'R&amp;S - Packaging and hh goods'!$L$14*('R&amp;S - Packaging and hh goods'!$AK$19+('R&amp;S - Packaging and hh goods'!$AK$20-'R&amp;S - Packaging and hh goods'!$AK$19)*(P$3-$N$3)/10))</f>
        <v>4.6870266936376215</v>
      </c>
      <c r="Q29" s="265">
        <f>Q27*'R&amp;S - Packaging and hh goods'!$L$4/SUM('R&amp;S - Packaging and hh goods'!$L$4:$N$4)*('R&amp;S - Packaging and hh goods'!$E$8*'R&amp;S - Packaging and hh goods'!$H$14*('R&amp;S - Packaging and hh goods'!$AA$19+('R&amp;S - Packaging and hh goods'!$AA$20-'R&amp;S - Packaging and hh goods'!$AA$19)*(Q$3-$N$3)/10))+Q27*'R&amp;S - Packaging and hh goods'!$M$4/SUM('R&amp;S - Packaging and hh goods'!$L$4:$N$4)*('R&amp;S - Packaging and hh goods'!$F$8*'R&amp;S - Packaging and hh goods'!$J$14*('R&amp;S - Packaging and hh goods'!$AF$19+('R&amp;S - Packaging and hh goods'!$AF$20-'R&amp;S - Packaging and hh goods'!$AF$19)*(Q$3-$N$3)/10))+Q27*'R&amp;S - Packaging and hh goods'!$N$4/SUM('R&amp;S - Packaging and hh goods'!$L$4:$N$4)*('R&amp;S - Packaging and hh goods'!$G$8*'R&amp;S - Packaging and hh goods'!$L$14*('R&amp;S - Packaging and hh goods'!$AK$19+('R&amp;S - Packaging and hh goods'!$AK$20-'R&amp;S - Packaging and hh goods'!$AK$19)*(Q$3-$N$3)/10))</f>
        <v>5.4221938777512051</v>
      </c>
      <c r="R29" s="265">
        <f>R27*'R&amp;S - Packaging and hh goods'!$L$4/SUM('R&amp;S - Packaging and hh goods'!$L$4:$N$4)*('R&amp;S - Packaging and hh goods'!$E$8*'R&amp;S - Packaging and hh goods'!$H$14*('R&amp;S - Packaging and hh goods'!$AA$19+('R&amp;S - Packaging and hh goods'!$AA$20-'R&amp;S - Packaging and hh goods'!$AA$19)*(R$3-$N$3)/10))+R27*'R&amp;S - Packaging and hh goods'!$M$4/SUM('R&amp;S - Packaging and hh goods'!$L$4:$N$4)*('R&amp;S - Packaging and hh goods'!$F$8*'R&amp;S - Packaging and hh goods'!$J$14*('R&amp;S - Packaging and hh goods'!$AF$19+('R&amp;S - Packaging and hh goods'!$AF$20-'R&amp;S - Packaging and hh goods'!$AF$19)*(R$3-$N$3)/10))+R27*'R&amp;S - Packaging and hh goods'!$N$4/SUM('R&amp;S - Packaging and hh goods'!$L$4:$N$4)*('R&amp;S - Packaging and hh goods'!$G$8*'R&amp;S - Packaging and hh goods'!$L$14*('R&amp;S - Packaging and hh goods'!$AK$19+('R&amp;S - Packaging and hh goods'!$AK$20-'R&amp;S - Packaging and hh goods'!$AK$19)*(R$3-$N$3)/10))</f>
        <v>6.1729676096853563</v>
      </c>
      <c r="S29" s="265">
        <f>S27*'R&amp;S - Packaging and hh goods'!$L$4/SUM('R&amp;S - Packaging and hh goods'!$L$4:$N$4)*('R&amp;S - Packaging and hh goods'!$E$8*'R&amp;S - Packaging and hh goods'!$H$14*('R&amp;S - Packaging and hh goods'!$AA$19+('R&amp;S - Packaging and hh goods'!$AA$20-'R&amp;S - Packaging and hh goods'!$AA$19)*(S$3-$N$3)/10))+S27*'R&amp;S - Packaging and hh goods'!$M$4/SUM('R&amp;S - Packaging and hh goods'!$L$4:$N$4)*('R&amp;S - Packaging and hh goods'!$F$8*'R&amp;S - Packaging and hh goods'!$J$14*('R&amp;S - Packaging and hh goods'!$AF$19+('R&amp;S - Packaging and hh goods'!$AF$20-'R&amp;S - Packaging and hh goods'!$AF$19)*(S$3-$N$3)/10))+S27*'R&amp;S - Packaging and hh goods'!$N$4/SUM('R&amp;S - Packaging and hh goods'!$L$4:$N$4)*('R&amp;S - Packaging and hh goods'!$G$8*'R&amp;S - Packaging and hh goods'!$L$14*('R&amp;S - Packaging and hh goods'!$AK$19+('R&amp;S - Packaging and hh goods'!$AK$20-'R&amp;S - Packaging and hh goods'!$AK$19)*(S$3-$N$3)/10))</f>
        <v>6.9396022782628526</v>
      </c>
      <c r="T29" s="265">
        <f>T27*'R&amp;S - Packaging and hh goods'!$L$4/SUM('R&amp;S - Packaging and hh goods'!$L$4:$N$4)*('R&amp;S - Packaging and hh goods'!$E$8*'R&amp;S - Packaging and hh goods'!$H$14*('R&amp;S - Packaging and hh goods'!$AA$19+('R&amp;S - Packaging and hh goods'!$AA$20-'R&amp;S - Packaging and hh goods'!$AA$19)*(T$3-$N$3)/10))+T27*'R&amp;S - Packaging and hh goods'!$M$4/SUM('R&amp;S - Packaging and hh goods'!$L$4:$N$4)*('R&amp;S - Packaging and hh goods'!$F$8*'R&amp;S - Packaging and hh goods'!$J$14*('R&amp;S - Packaging and hh goods'!$AF$19+('R&amp;S - Packaging and hh goods'!$AF$20-'R&amp;S - Packaging and hh goods'!$AF$19)*(T$3-$N$3)/10))+T27*'R&amp;S - Packaging and hh goods'!$N$4/SUM('R&amp;S - Packaging and hh goods'!$L$4:$N$4)*('R&amp;S - Packaging and hh goods'!$G$8*'R&amp;S - Packaging and hh goods'!$L$14*('R&amp;S - Packaging and hh goods'!$AK$19+('R&amp;S - Packaging and hh goods'!$AK$20-'R&amp;S - Packaging and hh goods'!$AK$19)*(T$3-$N$3)/10))</f>
        <v>7.7223559804682784</v>
      </c>
      <c r="U29" s="265">
        <f>U27*'R&amp;S - Packaging and hh goods'!$L$4/SUM('R&amp;S - Packaging and hh goods'!$L$4:$N$4)*('R&amp;S - Packaging and hh goods'!$E$8*'R&amp;S - Packaging and hh goods'!$H$14*('R&amp;S - Packaging and hh goods'!$AA$19+('R&amp;S - Packaging and hh goods'!$AA$20-'R&amp;S - Packaging and hh goods'!$AA$19)*(U$3-$N$3)/10))+U27*'R&amp;S - Packaging and hh goods'!$M$4/SUM('R&amp;S - Packaging and hh goods'!$L$4:$N$4)*('R&amp;S - Packaging and hh goods'!$F$8*'R&amp;S - Packaging and hh goods'!$J$14*('R&amp;S - Packaging and hh goods'!$AF$19+('R&amp;S - Packaging and hh goods'!$AF$20-'R&amp;S - Packaging and hh goods'!$AF$19)*(U$3-$N$3)/10))+U27*'R&amp;S - Packaging and hh goods'!$N$4/SUM('R&amp;S - Packaging and hh goods'!$L$4:$N$4)*('R&amp;S - Packaging and hh goods'!$G$8*'R&amp;S - Packaging and hh goods'!$L$14*('R&amp;S - Packaging and hh goods'!$AK$19+('R&amp;S - Packaging and hh goods'!$AK$20-'R&amp;S - Packaging and hh goods'!$AK$19)*(U$3-$N$3)/10))</f>
        <v>8.5214905722465559</v>
      </c>
      <c r="V29" s="265">
        <f>V27*'R&amp;S - Packaging and hh goods'!$L$4/SUM('R&amp;S - Packaging and hh goods'!$L$4:$N$4)*('R&amp;S - Packaging and hh goods'!$E$8*'R&amp;S - Packaging and hh goods'!$H$14*('R&amp;S - Packaging and hh goods'!$AA$19+('R&amp;S - Packaging and hh goods'!$AA$20-'R&amp;S - Packaging and hh goods'!$AA$19)*(V$3-$N$3)/10))+V27*'R&amp;S - Packaging and hh goods'!$M$4/SUM('R&amp;S - Packaging and hh goods'!$L$4:$N$4)*('R&amp;S - Packaging and hh goods'!$F$8*'R&amp;S - Packaging and hh goods'!$J$14*('R&amp;S - Packaging and hh goods'!$AF$19+('R&amp;S - Packaging and hh goods'!$AF$20-'R&amp;S - Packaging and hh goods'!$AF$19)*(V$3-$N$3)/10))+V27*'R&amp;S - Packaging and hh goods'!$N$4/SUM('R&amp;S - Packaging and hh goods'!$L$4:$N$4)*('R&amp;S - Packaging and hh goods'!$G$8*'R&amp;S - Packaging and hh goods'!$L$14*('R&amp;S - Packaging and hh goods'!$AK$19+('R&amp;S - Packaging and hh goods'!$AK$20-'R&amp;S - Packaging and hh goods'!$AK$19)*(V$3-$N$3)/10))</f>
        <v>9.3372717199703175</v>
      </c>
      <c r="W29" s="265">
        <f>W27*'R&amp;S - Packaging and hh goods'!$L$4/SUM('R&amp;S - Packaging and hh goods'!$L$4:$N$4)*('R&amp;S - Packaging and hh goods'!$E$8*'R&amp;S - Packaging and hh goods'!$H$14*('R&amp;S - Packaging and hh goods'!$AA$19+('R&amp;S - Packaging and hh goods'!$AA$20-'R&amp;S - Packaging and hh goods'!$AA$19)*(W$3-$N$3)/10))+W27*'R&amp;S - Packaging and hh goods'!$M$4/SUM('R&amp;S - Packaging and hh goods'!$L$4:$N$4)*('R&amp;S - Packaging and hh goods'!$F$8*'R&amp;S - Packaging and hh goods'!$J$14*('R&amp;S - Packaging and hh goods'!$AF$19+('R&amp;S - Packaging and hh goods'!$AF$20-'R&amp;S - Packaging and hh goods'!$AF$19)*(W$3-$N$3)/10))+W27*'R&amp;S - Packaging and hh goods'!$N$4/SUM('R&amp;S - Packaging and hh goods'!$L$4:$N$4)*('R&amp;S - Packaging and hh goods'!$G$8*'R&amp;S - Packaging and hh goods'!$L$14*('R&amp;S - Packaging and hh goods'!$AK$19+('R&amp;S - Packaging and hh goods'!$AK$20-'R&amp;S - Packaging and hh goods'!$AK$19)*(W$3-$N$3)/10))</f>
        <v>10.16996895258476</v>
      </c>
      <c r="X29" s="265">
        <f>X27*'R&amp;S - Packaging and hh goods'!$L$4/SUM('R&amp;S - Packaging and hh goods'!$L$4:$N$4)*('R&amp;S - Packaging and hh goods'!$E$8*'R&amp;S - Packaging and hh goods'!$H$14*('R&amp;S - Packaging and hh goods'!$AA$19+('R&amp;S - Packaging and hh goods'!$AA$20-'R&amp;S - Packaging and hh goods'!$AA$19)*(X$3-$N$3)/10))+X27*'R&amp;S - Packaging and hh goods'!$M$4/SUM('R&amp;S - Packaging and hh goods'!$L$4:$N$4)*('R&amp;S - Packaging and hh goods'!$F$8*'R&amp;S - Packaging and hh goods'!$J$14*('R&amp;S - Packaging and hh goods'!$AF$19+('R&amp;S - Packaging and hh goods'!$AF$20-'R&amp;S - Packaging and hh goods'!$AF$19)*(X$3-$N$3)/10))+X27*'R&amp;S - Packaging and hh goods'!$N$4/SUM('R&amp;S - Packaging and hh goods'!$L$4:$N$4)*('R&amp;S - Packaging and hh goods'!$G$8*'R&amp;S - Packaging and hh goods'!$L$14*('R&amp;S - Packaging and hh goods'!$AK$19+('R&amp;S - Packaging and hh goods'!$AK$20-'R&amp;S - Packaging and hh goods'!$AK$19)*(X$3-$N$3)/10))</f>
        <v>11.019855714438604</v>
      </c>
      <c r="Y29" s="265">
        <f>Y27*'R&amp;S - Packaging and hh goods'!$L$4/SUM('R&amp;S - Packaging and hh goods'!$L$4:$N$4)*('R&amp;S - Packaging and hh goods'!$E8*'R&amp;S - Packaging and hh goods'!$H$14*('R&amp;S - Packaging and hh goods'!$AA$20+('R&amp;S - Packaging and hh goods'!$AA$21-'R&amp;S - Packaging and hh goods'!$AA$20)*(Y$3-$X$3)/10))+Y27*'R&amp;S - Packaging and hh goods'!$M$4/SUM('R&amp;S - Packaging and hh goods'!$L$4:$N$4)*('R&amp;S - Packaging and hh goods'!$F8*'R&amp;S - Packaging and hh goods'!$J$14*('R&amp;S - Packaging and hh goods'!$AF$20+('R&amp;S - Packaging and hh goods'!$AF$21-'R&amp;S - Packaging and hh goods'!$AF$20)*(Y$3-$X$3)/10))+Y27*'R&amp;S - Packaging and hh goods'!$N$4/SUM('R&amp;S - Packaging and hh goods'!$L$4:$N$4)*('R&amp;S - Packaging and hh goods'!$G8*'R&amp;S - Packaging and hh goods'!$L$14*('R&amp;S - Packaging and hh goods'!$AK$20+('R&amp;S - Packaging and hh goods'!$AK$21-'R&amp;S - Packaging and hh goods'!$AK$20)*(Y$3-$X$3)/10))</f>
        <v>11.940134128702409</v>
      </c>
      <c r="Z29" s="265">
        <f>Z27*'R&amp;S - Packaging and hh goods'!$L$4/SUM('R&amp;S - Packaging and hh goods'!$L$4:$N$4)*('R&amp;S - Packaging and hh goods'!$E8*'R&amp;S - Packaging and hh goods'!$H$14*('R&amp;S - Packaging and hh goods'!$AA$20+('R&amp;S - Packaging and hh goods'!$AA$21-'R&amp;S - Packaging and hh goods'!$AA$20)*(Z$3-$X$3)/10))+Z27*'R&amp;S - Packaging and hh goods'!$M$4/SUM('R&amp;S - Packaging and hh goods'!$L$4:$N$4)*('R&amp;S - Packaging and hh goods'!$F8*'R&amp;S - Packaging and hh goods'!$J$14*('R&amp;S - Packaging and hh goods'!$AF$20+('R&amp;S - Packaging and hh goods'!$AF$21-'R&amp;S - Packaging and hh goods'!$AF$20)*(Z$3-$X$3)/10))+Z27*'R&amp;S - Packaging and hh goods'!$N$4/SUM('R&amp;S - Packaging and hh goods'!$L$4:$N$4)*('R&amp;S - Packaging and hh goods'!$G8*'R&amp;S - Packaging and hh goods'!$L$14*('R&amp;S - Packaging and hh goods'!$AK$20+('R&amp;S - Packaging and hh goods'!$AK$21-'R&amp;S - Packaging and hh goods'!$AK$20)*(Z$3-$X$3)/10))</f>
        <v>12.879325265538569</v>
      </c>
      <c r="AA29" s="265">
        <f>AA27*'R&amp;S - Packaging and hh goods'!$L$4/SUM('R&amp;S - Packaging and hh goods'!$L$4:$N$4)*('R&amp;S - Packaging and hh goods'!$E8*'R&amp;S - Packaging and hh goods'!$H$14*('R&amp;S - Packaging and hh goods'!$AA$20+('R&amp;S - Packaging and hh goods'!$AA$21-'R&amp;S - Packaging and hh goods'!$AA$20)*(AA$3-$X$3)/10))+AA27*'R&amp;S - Packaging and hh goods'!$M$4/SUM('R&amp;S - Packaging and hh goods'!$L$4:$N$4)*('R&amp;S - Packaging and hh goods'!$F8*'R&amp;S - Packaging and hh goods'!$J$14*('R&amp;S - Packaging and hh goods'!$AF$20+('R&amp;S - Packaging and hh goods'!$AF$21-'R&amp;S - Packaging and hh goods'!$AF$20)*(AA$3-$X$3)/10))+AA27*'R&amp;S - Packaging and hh goods'!$N$4/SUM('R&amp;S - Packaging and hh goods'!$L$4:$N$4)*('R&amp;S - Packaging and hh goods'!$G8*'R&amp;S - Packaging and hh goods'!$L$14*('R&amp;S - Packaging and hh goods'!$AK$20+('R&amp;S - Packaging and hh goods'!$AK$21-'R&amp;S - Packaging and hh goods'!$AK$20)*(AA$3-$X$3)/10))</f>
        <v>13.837733851155555</v>
      </c>
      <c r="AB29" s="265">
        <f>AB27*'R&amp;S - Packaging and hh goods'!$L$4/SUM('R&amp;S - Packaging and hh goods'!$L$4:$N$4)*('R&amp;S - Packaging and hh goods'!$E8*'R&amp;S - Packaging and hh goods'!$H$14*('R&amp;S - Packaging and hh goods'!$AA$20+('R&amp;S - Packaging and hh goods'!$AA$21-'R&amp;S - Packaging and hh goods'!$AA$20)*(AB$3-$X$3)/10))+AB27*'R&amp;S - Packaging and hh goods'!$M$4/SUM('R&amp;S - Packaging and hh goods'!$L$4:$N$4)*('R&amp;S - Packaging and hh goods'!$F8*'R&amp;S - Packaging and hh goods'!$J$14*('R&amp;S - Packaging and hh goods'!$AF$20+('R&amp;S - Packaging and hh goods'!$AF$21-'R&amp;S - Packaging and hh goods'!$AF$20)*(AB$3-$X$3)/10))+AB27*'R&amp;S - Packaging and hh goods'!$N$4/SUM('R&amp;S - Packaging and hh goods'!$L$4:$N$4)*('R&amp;S - Packaging and hh goods'!$G8*'R&amp;S - Packaging and hh goods'!$L$14*('R&amp;S - Packaging and hh goods'!$AK$20+('R&amp;S - Packaging and hh goods'!$AK$21-'R&amp;S - Packaging and hh goods'!$AK$20)*(AB$3-$X$3)/10))</f>
        <v>14.815669027298979</v>
      </c>
      <c r="AC29" s="265">
        <f>AC27*'R&amp;S - Packaging and hh goods'!$L$4/SUM('R&amp;S - Packaging and hh goods'!$L$4:$N$4)*('R&amp;S - Packaging and hh goods'!$E8*'R&amp;S - Packaging and hh goods'!$H$14*('R&amp;S - Packaging and hh goods'!$AA$20+('R&amp;S - Packaging and hh goods'!$AA$21-'R&amp;S - Packaging and hh goods'!$AA$20)*(AC$3-$X$3)/10))+AC27*'R&amp;S - Packaging and hh goods'!$M$4/SUM('R&amp;S - Packaging and hh goods'!$L$4:$N$4)*('R&amp;S - Packaging and hh goods'!$F8*'R&amp;S - Packaging and hh goods'!$J$14*('R&amp;S - Packaging and hh goods'!$AF$20+('R&amp;S - Packaging and hh goods'!$AF$21-'R&amp;S - Packaging and hh goods'!$AF$20)*(AC$3-$X$3)/10))+AC27*'R&amp;S - Packaging and hh goods'!$N$4/SUM('R&amp;S - Packaging and hh goods'!$L$4:$N$4)*('R&amp;S - Packaging and hh goods'!$G8*'R&amp;S - Packaging and hh goods'!$L$14*('R&amp;S - Packaging and hh goods'!$AK$20+('R&amp;S - Packaging and hh goods'!$AK$21-'R&amp;S - Packaging and hh goods'!$AK$20)*(AC$3-$X$3)/10))</f>
        <v>15.813444411521575</v>
      </c>
      <c r="AD29" s="265">
        <f>AD27*'R&amp;S - Packaging and hh goods'!$L$4/SUM('R&amp;S - Packaging and hh goods'!$L$4:$N$4)*('R&amp;S - Packaging and hh goods'!$E8*'R&amp;S - Packaging and hh goods'!$H$14*('R&amp;S - Packaging and hh goods'!$AA$20+('R&amp;S - Packaging and hh goods'!$AA$21-'R&amp;S - Packaging and hh goods'!$AA$20)*(AD$3-$X$3)/10))+AD27*'R&amp;S - Packaging and hh goods'!$M$4/SUM('R&amp;S - Packaging and hh goods'!$L$4:$N$4)*('R&amp;S - Packaging and hh goods'!$F8*'R&amp;S - Packaging and hh goods'!$J$14*('R&amp;S - Packaging and hh goods'!$AF$20+('R&amp;S - Packaging and hh goods'!$AF$21-'R&amp;S - Packaging and hh goods'!$AF$20)*(AD$3-$X$3)/10))+AD27*'R&amp;S - Packaging and hh goods'!$N$4/SUM('R&amp;S - Packaging and hh goods'!$L$4:$N$4)*('R&amp;S - Packaging and hh goods'!$G8*'R&amp;S - Packaging and hh goods'!$L$14*('R&amp;S - Packaging and hh goods'!$AK$20+('R&amp;S - Packaging and hh goods'!$AK$21-'R&amp;S - Packaging and hh goods'!$AK$20)*(AD$3-$X$3)/10))</f>
        <v>16.83137815824476</v>
      </c>
      <c r="AE29" s="265">
        <f>AE27*'R&amp;S - Packaging and hh goods'!$L$4/SUM('R&amp;S - Packaging and hh goods'!$L$4:$N$4)*('R&amp;S - Packaging and hh goods'!$E8*'R&amp;S - Packaging and hh goods'!$H$14*('R&amp;S - Packaging and hh goods'!$AA$20+('R&amp;S - Packaging and hh goods'!$AA$21-'R&amp;S - Packaging and hh goods'!$AA$20)*(AE$3-$X$3)/10))+AE27*'R&amp;S - Packaging and hh goods'!$M$4/SUM('R&amp;S - Packaging and hh goods'!$L$4:$N$4)*('R&amp;S - Packaging and hh goods'!$F8*'R&amp;S - Packaging and hh goods'!$J$14*('R&amp;S - Packaging and hh goods'!$AF$20+('R&amp;S - Packaging and hh goods'!$AF$21-'R&amp;S - Packaging and hh goods'!$AF$20)*(AE$3-$X$3)/10))+AE27*'R&amp;S - Packaging and hh goods'!$N$4/SUM('R&amp;S - Packaging and hh goods'!$L$4:$N$4)*('R&amp;S - Packaging and hh goods'!$G8*'R&amp;S - Packaging and hh goods'!$L$14*('R&amp;S - Packaging and hh goods'!$AK$20+('R&amp;S - Packaging and hh goods'!$AK$21-'R&amp;S - Packaging and hh goods'!$AK$20)*(AE$3-$X$3)/10))</f>
        <v>17.869793020622062</v>
      </c>
      <c r="AF29" s="265">
        <f>AF27*'R&amp;S - Packaging and hh goods'!$L$4/SUM('R&amp;S - Packaging and hh goods'!$L$4:$N$4)*('R&amp;S - Packaging and hh goods'!$E8*'R&amp;S - Packaging and hh goods'!$H$14*('R&amp;S - Packaging and hh goods'!$AA$20+('R&amp;S - Packaging and hh goods'!$AA$21-'R&amp;S - Packaging and hh goods'!$AA$20)*(AF$3-$X$3)/10))+AF27*'R&amp;S - Packaging and hh goods'!$M$4/SUM('R&amp;S - Packaging and hh goods'!$L$4:$N$4)*('R&amp;S - Packaging and hh goods'!$F8*'R&amp;S - Packaging and hh goods'!$J$14*('R&amp;S - Packaging and hh goods'!$AF$20+('R&amp;S - Packaging and hh goods'!$AF$21-'R&amp;S - Packaging and hh goods'!$AF$20)*(AF$3-$X$3)/10))+AF27*'R&amp;S - Packaging and hh goods'!$N$4/SUM('R&amp;S - Packaging and hh goods'!$L$4:$N$4)*('R&amp;S - Packaging and hh goods'!$G8*'R&amp;S - Packaging and hh goods'!$L$14*('R&amp;S - Packaging and hh goods'!$AK$20+('R&amp;S - Packaging and hh goods'!$AK$21-'R&amp;S - Packaging and hh goods'!$AK$20)*(AF$3-$X$3)/10))</f>
        <v>18.929016413214516</v>
      </c>
      <c r="AG29" s="265">
        <f>AG27*'R&amp;S - Packaging and hh goods'!$L$4/SUM('R&amp;S - Packaging and hh goods'!$L$4:$N$4)*('R&amp;S - Packaging and hh goods'!$E8*'R&amp;S - Packaging and hh goods'!$H$14*('R&amp;S - Packaging and hh goods'!$AA$20+('R&amp;S - Packaging and hh goods'!$AA$21-'R&amp;S - Packaging and hh goods'!$AA$20)*(AG$3-$X$3)/10))+AG27*'R&amp;S - Packaging and hh goods'!$M$4/SUM('R&amp;S - Packaging and hh goods'!$L$4:$N$4)*('R&amp;S - Packaging and hh goods'!$F8*'R&amp;S - Packaging and hh goods'!$J$14*('R&amp;S - Packaging and hh goods'!$AF$20+('R&amp;S - Packaging and hh goods'!$AF$21-'R&amp;S - Packaging and hh goods'!$AF$20)*(AG$3-$X$3)/10))+AG27*'R&amp;S - Packaging and hh goods'!$N$4/SUM('R&amp;S - Packaging and hh goods'!$L$4:$N$4)*('R&amp;S - Packaging and hh goods'!$G8*'R&amp;S - Packaging and hh goods'!$L$14*('R&amp;S - Packaging and hh goods'!$AK$20+('R&amp;S - Packaging and hh goods'!$AK$21-'R&amp;S - Packaging and hh goods'!$AK$20)*(AG$3-$X$3)/10))</f>
        <v>20.009380475488506</v>
      </c>
      <c r="AH29" s="265">
        <f>AH27*'R&amp;S - Packaging and hh goods'!$L$4/SUM('R&amp;S - Packaging and hh goods'!$L$4:$N$4)*('R&amp;S - Packaging and hh goods'!$E8*'R&amp;S - Packaging and hh goods'!$H$14*('R&amp;S - Packaging and hh goods'!$AA$20+('R&amp;S - Packaging and hh goods'!$AA$21-'R&amp;S - Packaging and hh goods'!$AA$20)*(AH$3-$X$3)/10))+AH27*'R&amp;S - Packaging and hh goods'!$M$4/SUM('R&amp;S - Packaging and hh goods'!$L$4:$N$4)*('R&amp;S - Packaging and hh goods'!$F8*'R&amp;S - Packaging and hh goods'!$J$14*('R&amp;S - Packaging and hh goods'!$AF$20+('R&amp;S - Packaging and hh goods'!$AF$21-'R&amp;S - Packaging and hh goods'!$AF$20)*(AH$3-$X$3)/10))+AH27*'R&amp;S - Packaging and hh goods'!$N$4/SUM('R&amp;S - Packaging and hh goods'!$L$4:$N$4)*('R&amp;S - Packaging and hh goods'!$G8*'R&amp;S - Packaging and hh goods'!$L$14*('R&amp;S - Packaging and hh goods'!$AK$20+('R&amp;S - Packaging and hh goods'!$AK$21-'R&amp;S - Packaging and hh goods'!$AK$20)*(AH$3-$X$3)/10))</f>
        <v>21.11122213614653</v>
      </c>
      <c r="AJ29" s="43">
        <v>0</v>
      </c>
      <c r="AK29" s="43">
        <f>AK27*'R&amp;S - Packaging and hh goods'!$L$4/SUM('R&amp;S - Packaging and hh goods'!$L$4:$N$4)*'R&amp;S - Packaging and hh goods'!$E$8*('R&amp;S - Packaging and hh goods'!$H$15*'R&amp;S - Packaging and hh goods'!$AA$19*(AK$3-$D$3)/10)+AK27*'R&amp;S - Packaging and hh goods'!$M$4/SUM('R&amp;S - Packaging and hh goods'!$L$4:$N$4)*'R&amp;S - Packaging and hh goods'!$F$8*('R&amp;S - Packaging and hh goods'!$J$15*'R&amp;S - Packaging and hh goods'!$AF$19*(AK$3-$D$3)/10)+AK27*'R&amp;S - Packaging and hh goods'!$N$4/SUM('R&amp;S - Packaging and hh goods'!$L$4:$N$4)*'R&amp;S - Packaging and hh goods'!$G$8*('R&amp;S - Packaging and hh goods'!$L$15*'R&amp;S - Packaging and hh goods'!$AK$19*(AK$3-$D$3)/10)</f>
        <v>0.21583141830128069</v>
      </c>
      <c r="AL29" s="43">
        <f>AL27*'R&amp;S - Packaging and hh goods'!$L$4/SUM('R&amp;S - Packaging and hh goods'!$L$4:$N$4)*'R&amp;S - Packaging and hh goods'!$E$8*('R&amp;S - Packaging and hh goods'!$H$15*'R&amp;S - Packaging and hh goods'!$AA$19*(AL$3-$D$3)/10)+AL27*'R&amp;S - Packaging and hh goods'!$M$4/SUM('R&amp;S - Packaging and hh goods'!$L$4:$N$4)*'R&amp;S - Packaging and hh goods'!$F$8*('R&amp;S - Packaging and hh goods'!$J$15*'R&amp;S - Packaging and hh goods'!$AF$19*(AL$3-$D$3)/10)+AL27*'R&amp;S - Packaging and hh goods'!$N$4/SUM('R&amp;S - Packaging and hh goods'!$L$4:$N$4)*'R&amp;S - Packaging and hh goods'!$G$8*('R&amp;S - Packaging and hh goods'!$L$15*'R&amp;S - Packaging and hh goods'!$AK$19*(AL$3-$D$3)/10)</f>
        <v>0.43641112780518954</v>
      </c>
      <c r="AM29" s="43">
        <f>AM27*'R&amp;S - Packaging and hh goods'!$L$4/SUM('R&amp;S - Packaging and hh goods'!$L$4:$N$4)*'R&amp;S - Packaging and hh goods'!$E$8*('R&amp;S - Packaging and hh goods'!$H$15*'R&amp;S - Packaging and hh goods'!$AA$19*(AM$3-$D$3)/10)+AM27*'R&amp;S - Packaging and hh goods'!$M$4/SUM('R&amp;S - Packaging and hh goods'!$L$4:$N$4)*'R&amp;S - Packaging and hh goods'!$F$8*('R&amp;S - Packaging and hh goods'!$J$15*'R&amp;S - Packaging and hh goods'!$AF$19*(AM$3-$D$3)/10)+AM27*'R&amp;S - Packaging and hh goods'!$N$4/SUM('R&amp;S - Packaging and hh goods'!$L$4:$N$4)*'R&amp;S - Packaging and hh goods'!$G$8*('R&amp;S - Packaging and hh goods'!$L$15*'R&amp;S - Packaging and hh goods'!$AK$19*(AM$3-$D$3)/10)</f>
        <v>0.66181747531656976</v>
      </c>
      <c r="AN29" s="43">
        <f>AN27*'R&amp;S - Packaging and hh goods'!$L$4/SUM('R&amp;S - Packaging and hh goods'!$L$4:$N$4)*'R&amp;S - Packaging and hh goods'!$E$8*('R&amp;S - Packaging and hh goods'!$H$15*'R&amp;S - Packaging and hh goods'!$AA$19*(AN$3-$D$3)/10)+AN27*'R&amp;S - Packaging and hh goods'!$M$4/SUM('R&amp;S - Packaging and hh goods'!$L$4:$N$4)*'R&amp;S - Packaging and hh goods'!$F$8*('R&amp;S - Packaging and hh goods'!$J$15*'R&amp;S - Packaging and hh goods'!$AF$19*(AN$3-$D$3)/10)+AN27*'R&amp;S - Packaging and hh goods'!$N$4/SUM('R&amp;S - Packaging and hh goods'!$L$4:$N$4)*'R&amp;S - Packaging and hh goods'!$G$8*('R&amp;S - Packaging and hh goods'!$L$15*'R&amp;S - Packaging and hh goods'!$AK$19*(AN$3-$D$3)/10)</f>
        <v>0.89212995672673612</v>
      </c>
      <c r="AO29" s="43">
        <f>AO27*'R&amp;S - Packaging and hh goods'!$L$4/SUM('R&amp;S - Packaging and hh goods'!$L$4:$N$4)*'R&amp;S - Packaging and hh goods'!$E$8*('R&amp;S - Packaging and hh goods'!$H$15*'R&amp;S - Packaging and hh goods'!$AA$19*(AO$3-$D$3)/10)+AO27*'R&amp;S - Packaging and hh goods'!$M$4/SUM('R&amp;S - Packaging and hh goods'!$L$4:$N$4)*'R&amp;S - Packaging and hh goods'!$F$8*('R&amp;S - Packaging and hh goods'!$J$15*'R&amp;S - Packaging and hh goods'!$AF$19*(AO$3-$D$3)/10)+AO27*'R&amp;S - Packaging and hh goods'!$N$4/SUM('R&amp;S - Packaging and hh goods'!$L$4:$N$4)*'R&amp;S - Packaging and hh goods'!$G$8*('R&amp;S - Packaging and hh goods'!$L$15*'R&amp;S - Packaging and hh goods'!$AK$19*(AO$3-$D$3)/10)</f>
        <v>1.1274292328134123</v>
      </c>
      <c r="AP29" s="43">
        <f>AP27*'R&amp;S - Packaging and hh goods'!$L$4/SUM('R&amp;S - Packaging and hh goods'!$L$4:$N$4)*'R&amp;S - Packaging and hh goods'!$E$8*('R&amp;S - Packaging and hh goods'!$H$15*'R&amp;S - Packaging and hh goods'!$AA$19*(AP$3-$D$3)/10)+AP27*'R&amp;S - Packaging and hh goods'!$M$4/SUM('R&amp;S - Packaging and hh goods'!$L$4:$N$4)*'R&amp;S - Packaging and hh goods'!$F$8*('R&amp;S - Packaging and hh goods'!$J$15*'R&amp;S - Packaging and hh goods'!$AF$19*(AP$3-$D$3)/10)+AP27*'R&amp;S - Packaging and hh goods'!$N$4/SUM('R&amp;S - Packaging and hh goods'!$L$4:$N$4)*'R&amp;S - Packaging and hh goods'!$G$8*('R&amp;S - Packaging and hh goods'!$L$15*'R&amp;S - Packaging and hh goods'!$AK$19*(AP$3-$D$3)/10)</f>
        <v>1.3677971452492317</v>
      </c>
      <c r="AQ29" s="43">
        <f>AQ27*'R&amp;S - Packaging and hh goods'!$L$4/SUM('R&amp;S - Packaging and hh goods'!$L$4:$N$4)*'R&amp;S - Packaging and hh goods'!$E$8*('R&amp;S - Packaging and hh goods'!$H$15*'R&amp;S - Packaging and hh goods'!$AA$19*(AQ$3-$D$3)/10)+AQ27*'R&amp;S - Packaging and hh goods'!$M$4/SUM('R&amp;S - Packaging and hh goods'!$L$4:$N$4)*'R&amp;S - Packaging and hh goods'!$F$8*('R&amp;S - Packaging and hh goods'!$J$15*'R&amp;S - Packaging and hh goods'!$AF$19*(AQ$3-$D$3)/10)+AQ27*'R&amp;S - Packaging and hh goods'!$N$4/SUM('R&amp;S - Packaging and hh goods'!$L$4:$N$4)*'R&amp;S - Packaging and hh goods'!$G$8*('R&amp;S - Packaging and hh goods'!$L$15*'R&amp;S - Packaging and hh goods'!$AK$19*(AQ$3-$D$3)/10)</f>
        <v>1.6133167328214686</v>
      </c>
      <c r="AR29" s="43">
        <f>AR27*'R&amp;S - Packaging and hh goods'!$L$4/SUM('R&amp;S - Packaging and hh goods'!$L$4:$N$4)*'R&amp;S - Packaging and hh goods'!$E$8*('R&amp;S - Packaging and hh goods'!$H$15*'R&amp;S - Packaging and hh goods'!$AA$19*(AR$3-$D$3)/10)+AR27*'R&amp;S - Packaging and hh goods'!$M$4/SUM('R&amp;S - Packaging and hh goods'!$L$4:$N$4)*'R&amp;S - Packaging and hh goods'!$F$8*('R&amp;S - Packaging and hh goods'!$J$15*'R&amp;S - Packaging and hh goods'!$AF$19*(AR$3-$D$3)/10)+AR27*'R&amp;S - Packaging and hh goods'!$N$4/SUM('R&amp;S - Packaging and hh goods'!$L$4:$N$4)*'R&amp;S - Packaging and hh goods'!$G$8*('R&amp;S - Packaging and hh goods'!$L$15*'R&amp;S - Packaging and hh goods'!$AK$19*(AR$3-$D$3)/10)</f>
        <v>1.8640722478657197</v>
      </c>
      <c r="AS29" s="43">
        <f>AS27*'R&amp;S - Packaging and hh goods'!$L$4/SUM('R&amp;S - Packaging and hh goods'!$L$4:$N$4)*'R&amp;S - Packaging and hh goods'!$E$8*('R&amp;S - Packaging and hh goods'!$H$15*'R&amp;S - Packaging and hh goods'!$AA$19*(AS$3-$D$3)/10)+AS27*'R&amp;S - Packaging and hh goods'!$M$4/SUM('R&amp;S - Packaging and hh goods'!$L$4:$N$4)*'R&amp;S - Packaging and hh goods'!$F$8*('R&amp;S - Packaging and hh goods'!$J$15*'R&amp;S - Packaging and hh goods'!$AF$19*(AS$3-$D$3)/10)+AS27*'R&amp;S - Packaging and hh goods'!$N$4/SUM('R&amp;S - Packaging and hh goods'!$L$4:$N$4)*'R&amp;S - Packaging and hh goods'!$G$8*('R&amp;S - Packaging and hh goods'!$L$15*'R&amp;S - Packaging and hh goods'!$AK$19*(AS$3-$D$3)/10)</f>
        <v>2.1201491729162729</v>
      </c>
      <c r="AT29" s="43">
        <f>AT27*'R&amp;S - Packaging and hh goods'!$L$4/SUM('R&amp;S - Packaging and hh goods'!$L$4:$N$4)*'R&amp;S - Packaging and hh goods'!$E$8*('R&amp;S - Packaging and hh goods'!$H$15*'R&amp;S - Packaging and hh goods'!$AA$19*(AT$3-$D$3)/10)+AT27*'R&amp;S - Packaging and hh goods'!$M$4/SUM('R&amp;S - Packaging and hh goods'!$L$4:$N$4)*'R&amp;S - Packaging and hh goods'!$F$8*('R&amp;S - Packaging and hh goods'!$J$15*'R&amp;S - Packaging and hh goods'!$AF$19*(AT$3-$D$3)/10)+AT27*'R&amp;S - Packaging and hh goods'!$N$4/SUM('R&amp;S - Packaging and hh goods'!$L$4:$N$4)*'R&amp;S - Packaging and hh goods'!$G$8*('R&amp;S - Packaging and hh goods'!$L$15*'R&amp;S - Packaging and hh goods'!$AK$19*(AT$3-$D$3)/10)</f>
        <v>2.3816342375759461</v>
      </c>
      <c r="AU29" s="265">
        <f>AU27*'R&amp;S - Packaging and hh goods'!$L$4/SUM('R&amp;S - Packaging and hh goods'!$L$4:$N$4)*('R&amp;S - Packaging and hh goods'!$E$8*'R&amp;S - Packaging and hh goods'!$H$15*('R&amp;S - Packaging and hh goods'!$AA$19+('R&amp;S - Packaging and hh goods'!$AA$20-'R&amp;S - Packaging and hh goods'!$AA$19)*(AU$3-$N$3)/10))+AU27*'R&amp;S - Packaging and hh goods'!$M$4/SUM('R&amp;S - Packaging and hh goods'!$L$4:$N$4)*('R&amp;S - Packaging and hh goods'!$F$8*'R&amp;S - Packaging and hh goods'!$J$15*('R&amp;S - Packaging and hh goods'!$AF$19+('R&amp;S - Packaging and hh goods'!$AF$20-'R&amp;S - Packaging and hh goods'!$AF$19)*(AU$3-$N$3)/10))+AU27*'R&amp;S - Packaging and hh goods'!$N$4/SUM('R&amp;S - Packaging and hh goods'!$L$4:$N$4)*('R&amp;S - Packaging and hh goods'!$G$8*'R&amp;S - Packaging and hh goods'!$L$15*('R&amp;S - Packaging and hh goods'!$AK$19+('R&amp;S - Packaging and hh goods'!$AK$20-'R&amp;S - Packaging and hh goods'!$AK$19)*(AU$3-$N$3)/10))</f>
        <v>2.8960671883782529</v>
      </c>
      <c r="AV29" s="265">
        <f>AV27*'R&amp;S - Packaging and hh goods'!$L$4/SUM('R&amp;S - Packaging and hh goods'!$L$4:$N$4)*('R&amp;S - Packaging and hh goods'!$E$8*'R&amp;S - Packaging and hh goods'!$H$15*('R&amp;S - Packaging and hh goods'!$AA$19+('R&amp;S - Packaging and hh goods'!$AA$20-'R&amp;S - Packaging and hh goods'!$AA$19)*(AV$3-$N$3)/10))+AV27*'R&amp;S - Packaging and hh goods'!$M$4/SUM('R&amp;S - Packaging and hh goods'!$L$4:$N$4)*('R&amp;S - Packaging and hh goods'!$F$8*'R&amp;S - Packaging and hh goods'!$J$15*('R&amp;S - Packaging and hh goods'!$AF$19+('R&amp;S - Packaging and hh goods'!$AF$20-'R&amp;S - Packaging and hh goods'!$AF$19)*(AV$3-$N$3)/10))+AV27*'R&amp;S - Packaging and hh goods'!$N$4/SUM('R&amp;S - Packaging and hh goods'!$L$4:$N$4)*('R&amp;S - Packaging and hh goods'!$G$8*'R&amp;S - Packaging and hh goods'!$L$15*('R&amp;S - Packaging and hh goods'!$AK$19+('R&amp;S - Packaging and hh goods'!$AK$20-'R&amp;S - Packaging and hh goods'!$AK$19)*(AV$3-$N$3)/10))</f>
        <v>3.4215294863554639</v>
      </c>
      <c r="AW29" s="265">
        <f>AW27*'R&amp;S - Packaging and hh goods'!$L$4/SUM('R&amp;S - Packaging and hh goods'!$L$4:$N$4)*('R&amp;S - Packaging and hh goods'!$E$8*'R&amp;S - Packaging and hh goods'!$H$15*('R&amp;S - Packaging and hh goods'!$AA$19+('R&amp;S - Packaging and hh goods'!$AA$20-'R&amp;S - Packaging and hh goods'!$AA$19)*(AW$3-$N$3)/10))+AW27*'R&amp;S - Packaging and hh goods'!$M$4/SUM('R&amp;S - Packaging and hh goods'!$L$4:$N$4)*('R&amp;S - Packaging and hh goods'!$F$8*'R&amp;S - Packaging and hh goods'!$J$15*('R&amp;S - Packaging and hh goods'!$AF$19+('R&amp;S - Packaging and hh goods'!$AF$20-'R&amp;S - Packaging and hh goods'!$AF$19)*(AW$3-$N$3)/10))+AW27*'R&amp;S - Packaging and hh goods'!$N$4/SUM('R&amp;S - Packaging and hh goods'!$L$4:$N$4)*('R&amp;S - Packaging and hh goods'!$G$8*'R&amp;S - Packaging and hh goods'!$L$15*('R&amp;S - Packaging and hh goods'!$AK$19+('R&amp;S - Packaging and hh goods'!$AK$20-'R&amp;S - Packaging and hh goods'!$AK$19)*(AW$3-$N$3)/10))</f>
        <v>3.9582015307583789</v>
      </c>
      <c r="AX29" s="265">
        <f>AX27*'R&amp;S - Packaging and hh goods'!$L$4/SUM('R&amp;S - Packaging and hh goods'!$L$4:$N$4)*('R&amp;S - Packaging and hh goods'!$E$8*'R&amp;S - Packaging and hh goods'!$H$15*('R&amp;S - Packaging and hh goods'!$AA$19+('R&amp;S - Packaging and hh goods'!$AA$20-'R&amp;S - Packaging and hh goods'!$AA$19)*(AX$3-$N$3)/10))+AX27*'R&amp;S - Packaging and hh goods'!$M$4/SUM('R&amp;S - Packaging and hh goods'!$L$4:$N$4)*('R&amp;S - Packaging and hh goods'!$F$8*'R&amp;S - Packaging and hh goods'!$J$15*('R&amp;S - Packaging and hh goods'!$AF$19+('R&amp;S - Packaging and hh goods'!$AF$20-'R&amp;S - Packaging and hh goods'!$AF$19)*(AX$3-$N$3)/10))+AX27*'R&amp;S - Packaging and hh goods'!$N$4/SUM('R&amp;S - Packaging and hh goods'!$L$4:$N$4)*('R&amp;S - Packaging and hh goods'!$G$8*'R&amp;S - Packaging and hh goods'!$L$15*('R&amp;S - Packaging and hh goods'!$AK$19+('R&amp;S - Packaging and hh goods'!$AK$20-'R&amp;S - Packaging and hh goods'!$AK$19)*(AX$3-$N$3)/10))</f>
        <v>4.5062663550703093</v>
      </c>
      <c r="AY29" s="265">
        <f>AY27*'R&amp;S - Packaging and hh goods'!$L$4/SUM('R&amp;S - Packaging and hh goods'!$L$4:$N$4)*('R&amp;S - Packaging and hh goods'!$E$8*'R&amp;S - Packaging and hh goods'!$H$15*('R&amp;S - Packaging and hh goods'!$AA$19+('R&amp;S - Packaging and hh goods'!$AA$20-'R&amp;S - Packaging and hh goods'!$AA$19)*(AY$3-$N$3)/10))+AY27*'R&amp;S - Packaging and hh goods'!$M$4/SUM('R&amp;S - Packaging and hh goods'!$L$4:$N$4)*('R&amp;S - Packaging and hh goods'!$F$8*'R&amp;S - Packaging and hh goods'!$J$15*('R&amp;S - Packaging and hh goods'!$AF$19+('R&amp;S - Packaging and hh goods'!$AF$20-'R&amp;S - Packaging and hh goods'!$AF$19)*(AY$3-$N$3)/10))+AY27*'R&amp;S - Packaging and hh goods'!$N$4/SUM('R&amp;S - Packaging and hh goods'!$L$4:$N$4)*('R&amp;S - Packaging and hh goods'!$G$8*'R&amp;S - Packaging and hh goods'!$L$15*('R&amp;S - Packaging and hh goods'!$AK$19+('R&amp;S - Packaging and hh goods'!$AK$20-'R&amp;S - Packaging and hh goods'!$AK$19)*(AY$3-$N$3)/10))</f>
        <v>5.0659096631318814</v>
      </c>
      <c r="AZ29" s="265">
        <f>AZ27*'R&amp;S - Packaging and hh goods'!$L$4/SUM('R&amp;S - Packaging and hh goods'!$L$4:$N$4)*('R&amp;S - Packaging and hh goods'!$E$8*'R&amp;S - Packaging and hh goods'!$H$15*('R&amp;S - Packaging and hh goods'!$AA$19+('R&amp;S - Packaging and hh goods'!$AA$20-'R&amp;S - Packaging and hh goods'!$AA$19)*(AZ$3-$N$3)/10))+AZ27*'R&amp;S - Packaging and hh goods'!$M$4/SUM('R&amp;S - Packaging and hh goods'!$L$4:$N$4)*('R&amp;S - Packaging and hh goods'!$F$8*'R&amp;S - Packaging and hh goods'!$J$15*('R&amp;S - Packaging and hh goods'!$AF$19+('R&amp;S - Packaging and hh goods'!$AF$20-'R&amp;S - Packaging and hh goods'!$AF$19)*(AZ$3-$N$3)/10))+AZ27*'R&amp;S - Packaging and hh goods'!$N$4/SUM('R&amp;S - Packaging and hh goods'!$L$4:$N$4)*('R&amp;S - Packaging and hh goods'!$G$8*'R&amp;S - Packaging and hh goods'!$L$15*('R&amp;S - Packaging and hh goods'!$AK$19+('R&amp;S - Packaging and hh goods'!$AK$20-'R&amp;S - Packaging and hh goods'!$AK$19)*(AZ$3-$N$3)/10))</f>
        <v>5.6373198657418433</v>
      </c>
      <c r="BA29" s="265">
        <f>BA27*'R&amp;S - Packaging and hh goods'!$L$4/SUM('R&amp;S - Packaging and hh goods'!$L$4:$N$4)*('R&amp;S - Packaging and hh goods'!$E$8*'R&amp;S - Packaging and hh goods'!$H$15*('R&amp;S - Packaging and hh goods'!$AA$19+('R&amp;S - Packaging and hh goods'!$AA$20-'R&amp;S - Packaging and hh goods'!$AA$19)*(BA$3-$N$3)/10))+BA27*'R&amp;S - Packaging and hh goods'!$M$4/SUM('R&amp;S - Packaging and hh goods'!$L$4:$N$4)*('R&amp;S - Packaging and hh goods'!$F$8*'R&amp;S - Packaging and hh goods'!$J$15*('R&amp;S - Packaging and hh goods'!$AF$19+('R&amp;S - Packaging and hh goods'!$AF$20-'R&amp;S - Packaging and hh goods'!$AF$19)*(BA$3-$N$3)/10))+BA27*'R&amp;S - Packaging and hh goods'!$N$4/SUM('R&amp;S - Packaging and hh goods'!$L$4:$N$4)*('R&amp;S - Packaging and hh goods'!$G$8*'R&amp;S - Packaging and hh goods'!$L$15*('R&amp;S - Packaging and hh goods'!$AK$19+('R&amp;S - Packaging and hh goods'!$AK$20-'R&amp;S - Packaging and hh goods'!$AK$19)*(BA$3-$N$3)/10))</f>
        <v>6.2206881177399858</v>
      </c>
      <c r="BB29" s="265">
        <f>BB27*'R&amp;S - Packaging and hh goods'!$L$4/SUM('R&amp;S - Packaging and hh goods'!$L$4:$N$4)*('R&amp;S - Packaging and hh goods'!$E$8*'R&amp;S - Packaging and hh goods'!$H$15*('R&amp;S - Packaging and hh goods'!$AA$19+('R&amp;S - Packaging and hh goods'!$AA$20-'R&amp;S - Packaging and hh goods'!$AA$19)*(BB$3-$N$3)/10))+BB27*'R&amp;S - Packaging and hh goods'!$M$4/SUM('R&amp;S - Packaging and hh goods'!$L$4:$N$4)*('R&amp;S - Packaging and hh goods'!$F$8*'R&amp;S - Packaging and hh goods'!$J$15*('R&amp;S - Packaging and hh goods'!$AF$19+('R&amp;S - Packaging and hh goods'!$AF$20-'R&amp;S - Packaging and hh goods'!$AF$19)*(BB$3-$N$3)/10))+BB27*'R&amp;S - Packaging and hh goods'!$N$4/SUM('R&amp;S - Packaging and hh goods'!$L$4:$N$4)*('R&amp;S - Packaging and hh goods'!$G$8*'R&amp;S - Packaging and hh goods'!$L$15*('R&amp;S - Packaging and hh goods'!$AK$19+('R&amp;S - Packaging and hh goods'!$AK$20-'R&amp;S - Packaging and hh goods'!$AK$19)*(BB$3-$N$3)/10))</f>
        <v>6.8162083555783326</v>
      </c>
      <c r="BC29" s="265">
        <f>BC27*'R&amp;S - Packaging and hh goods'!$L$4/SUM('R&amp;S - Packaging and hh goods'!$L$4:$N$4)*('R&amp;S - Packaging and hh goods'!$E$8*'R&amp;S - Packaging and hh goods'!$H$15*('R&amp;S - Packaging and hh goods'!$AA$19+('R&amp;S - Packaging and hh goods'!$AA$20-'R&amp;S - Packaging and hh goods'!$AA$19)*(BC$3-$N$3)/10))+BC27*'R&amp;S - Packaging and hh goods'!$M$4/SUM('R&amp;S - Packaging and hh goods'!$L$4:$N$4)*('R&amp;S - Packaging and hh goods'!$F$8*'R&amp;S - Packaging and hh goods'!$J$15*('R&amp;S - Packaging and hh goods'!$AF$19+('R&amp;S - Packaging and hh goods'!$AF$20-'R&amp;S - Packaging and hh goods'!$AF$19)*(BC$3-$N$3)/10))+BC27*'R&amp;S - Packaging and hh goods'!$N$4/SUM('R&amp;S - Packaging and hh goods'!$L$4:$N$4)*('R&amp;S - Packaging and hh goods'!$G$8*'R&amp;S - Packaging and hh goods'!$L$15*('R&amp;S - Packaging and hh goods'!$AK$19+('R&amp;S - Packaging and hh goods'!$AK$20-'R&amp;S - Packaging and hh goods'!$AK$19)*(BC$3-$N$3)/10))</f>
        <v>7.4240773353868734</v>
      </c>
      <c r="BD29" s="265">
        <f>BD27*'R&amp;S - Packaging and hh goods'!$L$4/SUM('R&amp;S - Packaging and hh goods'!$L$4:$N$4)*('R&amp;S - Packaging and hh goods'!$E$8*'R&amp;S - Packaging and hh goods'!$H$15*('R&amp;S - Packaging and hh goods'!$AA$19+('R&amp;S - Packaging and hh goods'!$AA$20-'R&amp;S - Packaging and hh goods'!$AA$19)*(BD$3-$N$3)/10))+BD27*'R&amp;S - Packaging and hh goods'!$M$4/SUM('R&amp;S - Packaging and hh goods'!$L$4:$N$4)*('R&amp;S - Packaging and hh goods'!$F$8*'R&amp;S - Packaging and hh goods'!$J$15*('R&amp;S - Packaging and hh goods'!$AF$19+('R&amp;S - Packaging and hh goods'!$AF$20-'R&amp;S - Packaging and hh goods'!$AF$19)*(BD$3-$N$3)/10))+BD27*'R&amp;S - Packaging and hh goods'!$N$4/SUM('R&amp;S - Packaging and hh goods'!$L$4:$N$4)*('R&amp;S - Packaging and hh goods'!$G$8*'R&amp;S - Packaging and hh goods'!$L$15*('R&amp;S - Packaging and hh goods'!$AK$19+('R&amp;S - Packaging and hh goods'!$AK$20-'R&amp;S - Packaging and hh goods'!$AK$19)*(BD$3-$N$3)/10))</f>
        <v>8.0444946715401802</v>
      </c>
      <c r="BE29" s="265">
        <f>BE27*'R&amp;S - Packaging and hh goods'!$L$4/SUM('R&amp;S - Packaging and hh goods'!$L$4:$N$4)*('R&amp;S - Packaging and hh goods'!$E8*'R&amp;S - Packaging and hh goods'!$H$15*('R&amp;S - Packaging and hh goods'!$AA$20+('R&amp;S - Packaging and hh goods'!$AA$21-'R&amp;S - Packaging and hh goods'!$AA$20)*(BE$3-$X$3)/10))+BE27*'R&amp;S - Packaging and hh goods'!$M$4/SUM('R&amp;S - Packaging and hh goods'!$L$4:$N$4)*('R&amp;S - Packaging and hh goods'!$F8*'R&amp;S - Packaging and hh goods'!$J$15*('R&amp;S - Packaging and hh goods'!$AF$20+('R&amp;S - Packaging and hh goods'!$AF$21-'R&amp;S - Packaging and hh goods'!$AF$20)*(BE$3-$X$3)/10))+BE27*'R&amp;S - Packaging and hh goods'!$N$4/SUM('R&amp;S - Packaging and hh goods'!$L$4:$N$4)*('R&amp;S - Packaging and hh goods'!$G8*'R&amp;S - Packaging and hh goods'!$L$15*('R&amp;S - Packaging and hh goods'!$AK$20+('R&amp;S - Packaging and hh goods'!$AK$21-'R&amp;S - Packaging and hh goods'!$AK$20)*(BE$3-$X$3)/10))</f>
        <v>8.7162979139527579</v>
      </c>
      <c r="BF29" s="265">
        <f>BF27*'R&amp;S - Packaging and hh goods'!$L$4/SUM('R&amp;S - Packaging and hh goods'!$L$4:$N$4)*('R&amp;S - Packaging and hh goods'!$E8*'R&amp;S - Packaging and hh goods'!$H$15*('R&amp;S - Packaging and hh goods'!$AA$20+('R&amp;S - Packaging and hh goods'!$AA$21-'R&amp;S - Packaging and hh goods'!$AA$20)*(BF$3-$X$3)/10))+BF27*'R&amp;S - Packaging and hh goods'!$M$4/SUM('R&amp;S - Packaging and hh goods'!$L$4:$N$4)*('R&amp;S - Packaging and hh goods'!$F8*'R&amp;S - Packaging and hh goods'!$J$15*('R&amp;S - Packaging and hh goods'!$AF$20+('R&amp;S - Packaging and hh goods'!$AF$21-'R&amp;S - Packaging and hh goods'!$AF$20)*(BF$3-$X$3)/10))+BF27*'R&amp;S - Packaging and hh goods'!$N$4/SUM('R&amp;S - Packaging and hh goods'!$L$4:$N$4)*('R&amp;S - Packaging and hh goods'!$G8*'R&amp;S - Packaging and hh goods'!$L$15*('R&amp;S - Packaging and hh goods'!$AK$20+('R&amp;S - Packaging and hh goods'!$AK$21-'R&amp;S - Packaging and hh goods'!$AK$20)*(BF$3-$X$3)/10))</f>
        <v>9.4019074438431538</v>
      </c>
      <c r="BG29" s="265">
        <f>BG27*'R&amp;S - Packaging and hh goods'!$L$4/SUM('R&amp;S - Packaging and hh goods'!$L$4:$N$4)*('R&amp;S - Packaging and hh goods'!$E8*'R&amp;S - Packaging and hh goods'!$H$15*('R&amp;S - Packaging and hh goods'!$AA$20+('R&amp;S - Packaging and hh goods'!$AA$21-'R&amp;S - Packaging and hh goods'!$AA$20)*(BG$3-$X$3)/10))+BG27*'R&amp;S - Packaging and hh goods'!$M$4/SUM('R&amp;S - Packaging and hh goods'!$L$4:$N$4)*('R&amp;S - Packaging and hh goods'!$F8*'R&amp;S - Packaging and hh goods'!$J$15*('R&amp;S - Packaging and hh goods'!$AF$20+('R&amp;S - Packaging and hh goods'!$AF$21-'R&amp;S - Packaging and hh goods'!$AF$20)*(BG$3-$X$3)/10))+BG27*'R&amp;S - Packaging and hh goods'!$N$4/SUM('R&amp;S - Packaging and hh goods'!$L$4:$N$4)*('R&amp;S - Packaging and hh goods'!$G8*'R&amp;S - Packaging and hh goods'!$L$15*('R&amp;S - Packaging and hh goods'!$AK$20+('R&amp;S - Packaging and hh goods'!$AK$21-'R&amp;S - Packaging and hh goods'!$AK$20)*(BG$3-$X$3)/10))</f>
        <v>10.101545711343555</v>
      </c>
      <c r="BH29" s="265">
        <f>BH27*'R&amp;S - Packaging and hh goods'!$L$4/SUM('R&amp;S - Packaging and hh goods'!$L$4:$N$4)*('R&amp;S - Packaging and hh goods'!$E8*'R&amp;S - Packaging and hh goods'!$H$15*('R&amp;S - Packaging and hh goods'!$AA$20+('R&amp;S - Packaging and hh goods'!$AA$21-'R&amp;S - Packaging and hh goods'!$AA$20)*(BH$3-$X$3)/10))+BH27*'R&amp;S - Packaging and hh goods'!$M$4/SUM('R&amp;S - Packaging and hh goods'!$L$4:$N$4)*('R&amp;S - Packaging and hh goods'!$F8*'R&amp;S - Packaging and hh goods'!$J$15*('R&amp;S - Packaging and hh goods'!$AF$20+('R&amp;S - Packaging and hh goods'!$AF$21-'R&amp;S - Packaging and hh goods'!$AF$20)*(BH$3-$X$3)/10))+BH27*'R&amp;S - Packaging and hh goods'!$N$4/SUM('R&amp;S - Packaging and hh goods'!$L$4:$N$4)*('R&amp;S - Packaging and hh goods'!$G8*'R&amp;S - Packaging and hh goods'!$L$15*('R&amp;S - Packaging and hh goods'!$AK$20+('R&amp;S - Packaging and hh goods'!$AK$21-'R&amp;S - Packaging and hh goods'!$AK$20)*(BH$3-$X$3)/10))</f>
        <v>10.815438389928255</v>
      </c>
      <c r="BI29" s="265">
        <f>BI27*'R&amp;S - Packaging and hh goods'!$L$4/SUM('R&amp;S - Packaging and hh goods'!$L$4:$N$4)*('R&amp;S - Packaging and hh goods'!$E8*'R&amp;S - Packaging and hh goods'!$H$15*('R&amp;S - Packaging and hh goods'!$AA$20+('R&amp;S - Packaging and hh goods'!$AA$21-'R&amp;S - Packaging and hh goods'!$AA$20)*(BI$3-$X$3)/10))+BI27*'R&amp;S - Packaging and hh goods'!$M$4/SUM('R&amp;S - Packaging and hh goods'!$L$4:$N$4)*('R&amp;S - Packaging and hh goods'!$F8*'R&amp;S - Packaging and hh goods'!$J$15*('R&amp;S - Packaging and hh goods'!$AF$20+('R&amp;S - Packaging and hh goods'!$AF$21-'R&amp;S - Packaging and hh goods'!$AF$20)*(BI$3-$X$3)/10))+BI27*'R&amp;S - Packaging and hh goods'!$N$4/SUM('R&amp;S - Packaging and hh goods'!$L$4:$N$4)*('R&amp;S - Packaging and hh goods'!$G8*'R&amp;S - Packaging and hh goods'!$L$15*('R&amp;S - Packaging and hh goods'!$AK$20+('R&amp;S - Packaging and hh goods'!$AK$21-'R&amp;S - Packaging and hh goods'!$AK$20)*(BI$3-$X$3)/10))</f>
        <v>11.543814420410749</v>
      </c>
      <c r="BJ29" s="265">
        <f>BJ27*'R&amp;S - Packaging and hh goods'!$L$4/SUM('R&amp;S - Packaging and hh goods'!$L$4:$N$4)*('R&amp;S - Packaging and hh goods'!$E8*'R&amp;S - Packaging and hh goods'!$H$15*('R&amp;S - Packaging and hh goods'!$AA$20+('R&amp;S - Packaging and hh goods'!$AA$21-'R&amp;S - Packaging and hh goods'!$AA$20)*(BJ$3-$X$3)/10))+BJ27*'R&amp;S - Packaging and hh goods'!$M$4/SUM('R&amp;S - Packaging and hh goods'!$L$4:$N$4)*('R&amp;S - Packaging and hh goods'!$F8*'R&amp;S - Packaging and hh goods'!$J$15*('R&amp;S - Packaging and hh goods'!$AF$20+('R&amp;S - Packaging and hh goods'!$AF$21-'R&amp;S - Packaging and hh goods'!$AF$20)*(BJ$3-$X$3)/10))+BJ27*'R&amp;S - Packaging and hh goods'!$N$4/SUM('R&amp;S - Packaging and hh goods'!$L$4:$N$4)*('R&amp;S - Packaging and hh goods'!$G8*'R&amp;S - Packaging and hh goods'!$L$15*('R&amp;S - Packaging and hh goods'!$AK$20+('R&amp;S - Packaging and hh goods'!$AK$21-'R&amp;S - Packaging and hh goods'!$AK$20)*(BJ$3-$X$3)/10))</f>
        <v>12.286906055518676</v>
      </c>
      <c r="BK29" s="265">
        <f>BK27*'R&amp;S - Packaging and hh goods'!$L$4/SUM('R&amp;S - Packaging and hh goods'!$L$4:$N$4)*('R&amp;S - Packaging and hh goods'!$E8*'R&amp;S - Packaging and hh goods'!$H$15*('R&amp;S - Packaging and hh goods'!$AA$20+('R&amp;S - Packaging and hh goods'!$AA$21-'R&amp;S - Packaging and hh goods'!$AA$20)*(BK$3-$X$3)/10))+BK27*'R&amp;S - Packaging and hh goods'!$M$4/SUM('R&amp;S - Packaging and hh goods'!$L$4:$N$4)*('R&amp;S - Packaging and hh goods'!$F8*'R&amp;S - Packaging and hh goods'!$J$15*('R&amp;S - Packaging and hh goods'!$AF$20+('R&amp;S - Packaging and hh goods'!$AF$21-'R&amp;S - Packaging and hh goods'!$AF$20)*(BK$3-$X$3)/10))+BK27*'R&amp;S - Packaging and hh goods'!$N$4/SUM('R&amp;S - Packaging and hh goods'!$L$4:$N$4)*('R&amp;S - Packaging and hh goods'!$G8*'R&amp;S - Packaging and hh goods'!$L$15*('R&amp;S - Packaging and hh goods'!$AK$20+('R&amp;S - Packaging and hh goods'!$AK$21-'R&amp;S - Packaging and hh goods'!$AK$20)*(BK$3-$X$3)/10))</f>
        <v>13.044948905054103</v>
      </c>
      <c r="BL29" s="265">
        <f>BL27*'R&amp;S - Packaging and hh goods'!$L$4/SUM('R&amp;S - Packaging and hh goods'!$L$4:$N$4)*('R&amp;S - Packaging and hh goods'!$E8*'R&amp;S - Packaging and hh goods'!$H$15*('R&amp;S - Packaging and hh goods'!$AA$20+('R&amp;S - Packaging and hh goods'!$AA$21-'R&amp;S - Packaging and hh goods'!$AA$20)*(BL$3-$X$3)/10))+BL27*'R&amp;S - Packaging and hh goods'!$M$4/SUM('R&amp;S - Packaging and hh goods'!$L$4:$N$4)*('R&amp;S - Packaging and hh goods'!$F8*'R&amp;S - Packaging and hh goods'!$J$15*('R&amp;S - Packaging and hh goods'!$AF$20+('R&amp;S - Packaging and hh goods'!$AF$21-'R&amp;S - Packaging and hh goods'!$AF$20)*(BL$3-$X$3)/10))+BL27*'R&amp;S - Packaging and hh goods'!$N$4/SUM('R&amp;S - Packaging and hh goods'!$L$4:$N$4)*('R&amp;S - Packaging and hh goods'!$G8*'R&amp;S - Packaging and hh goods'!$L$15*('R&amp;S - Packaging and hh goods'!$AK$20+('R&amp;S - Packaging and hh goods'!$AK$21-'R&amp;S - Packaging and hh goods'!$AK$20)*(BL$3-$X$3)/10))</f>
        <v>13.818181981646596</v>
      </c>
      <c r="BM29" s="265">
        <f>BM27*'R&amp;S - Packaging and hh goods'!$L$4/SUM('R&amp;S - Packaging and hh goods'!$L$4:$N$4)*('R&amp;S - Packaging and hh goods'!$E8*'R&amp;S - Packaging and hh goods'!$H$15*('R&amp;S - Packaging and hh goods'!$AA$20+('R&amp;S - Packaging and hh goods'!$AA$21-'R&amp;S - Packaging and hh goods'!$AA$20)*(BM$3-$X$3)/10))+BM27*'R&amp;S - Packaging and hh goods'!$M$4/SUM('R&amp;S - Packaging and hh goods'!$L$4:$N$4)*('R&amp;S - Packaging and hh goods'!$F8*'R&amp;S - Packaging and hh goods'!$J$15*('R&amp;S - Packaging and hh goods'!$AF$20+('R&amp;S - Packaging and hh goods'!$AF$21-'R&amp;S - Packaging and hh goods'!$AF$20)*(BM$3-$X$3)/10))+BM27*'R&amp;S - Packaging and hh goods'!$N$4/SUM('R&amp;S - Packaging and hh goods'!$L$4:$N$4)*('R&amp;S - Packaging and hh goods'!$G8*'R&amp;S - Packaging and hh goods'!$L$15*('R&amp;S - Packaging and hh goods'!$AK$20+('R&amp;S - Packaging and hh goods'!$AK$21-'R&amp;S - Packaging and hh goods'!$AK$20)*(BM$3-$X$3)/10))</f>
        <v>14.60684774710661</v>
      </c>
      <c r="BN29" s="265">
        <f>BN27*'R&amp;S - Packaging and hh goods'!$L$4/SUM('R&amp;S - Packaging and hh goods'!$L$4:$N$4)*('R&amp;S - Packaging and hh goods'!$E8*'R&amp;S - Packaging and hh goods'!$H$15*('R&amp;S - Packaging and hh goods'!$AA$20+('R&amp;S - Packaging and hh goods'!$AA$21-'R&amp;S - Packaging and hh goods'!$AA$20)*(BN$3-$X$3)/10))+BN27*'R&amp;S - Packaging and hh goods'!$M$4/SUM('R&amp;S - Packaging and hh goods'!$L$4:$N$4)*('R&amp;S - Packaging and hh goods'!$F8*'R&amp;S - Packaging and hh goods'!$J$15*('R&amp;S - Packaging and hh goods'!$AF$20+('R&amp;S - Packaging and hh goods'!$AF$21-'R&amp;S - Packaging and hh goods'!$AF$20)*(BN$3-$X$3)/10))+BN27*'R&amp;S - Packaging and hh goods'!$N$4/SUM('R&amp;S - Packaging and hh goods'!$L$4:$N$4)*('R&amp;S - Packaging and hh goods'!$G8*'R&amp;S - Packaging and hh goods'!$L$15*('R&amp;S - Packaging and hh goods'!$AK$20+('R&amp;S - Packaging and hh goods'!$AK$21-'R&amp;S - Packaging and hh goods'!$AK$20)*(BN$3-$X$3)/10))</f>
        <v>15.411192159386967</v>
      </c>
      <c r="BQ29" s="1" t="s">
        <v>201</v>
      </c>
      <c r="BR29" t="s">
        <v>179</v>
      </c>
      <c r="BS29" s="44" t="e">
        <f>#REF!</f>
        <v>#REF!</v>
      </c>
      <c r="BU29" t="str" cm="1">
        <f t="array" ref="BU29:BW33">'Sankey Methanol_detailed'!Q21:S25</f>
        <v>Fuel</v>
      </c>
      <c r="BV29" s="44">
        <v>28.587862624213781</v>
      </c>
      <c r="BW29" s="2">
        <v>0.27471012342412782</v>
      </c>
    </row>
    <row r="30" spans="1:85" outlineLevel="1" x14ac:dyDescent="0.2">
      <c r="B30" s="1" t="s">
        <v>168</v>
      </c>
      <c r="C30" s="54" t="s">
        <v>153</v>
      </c>
      <c r="D30" s="43">
        <f>SUM(D28:D29)</f>
        <v>0</v>
      </c>
      <c r="E30" s="43">
        <f t="shared" ref="E30:Y30" si="23">SUM(E28:E29)</f>
        <v>0.32129461539961551</v>
      </c>
      <c r="F30" s="43">
        <f t="shared" si="23"/>
        <v>0.6496577123380225</v>
      </c>
      <c r="G30" s="43">
        <f t="shared" si="23"/>
        <v>0.98520592076061098</v>
      </c>
      <c r="H30" s="43">
        <f t="shared" si="23"/>
        <v>1.3280575811853037</v>
      </c>
      <c r="I30" s="43">
        <f t="shared" si="23"/>
        <v>1.6783327682229272</v>
      </c>
      <c r="J30" s="43">
        <f t="shared" si="23"/>
        <v>2.0361533144080548</v>
      </c>
      <c r="K30" s="43">
        <f t="shared" si="23"/>
        <v>2.401642834344301</v>
      </c>
      <c r="L30" s="43">
        <f t="shared" si="23"/>
        <v>2.7749267491680998</v>
      </c>
      <c r="M30" s="43">
        <f t="shared" si="23"/>
        <v>3.156132311335067</v>
      </c>
      <c r="N30" s="43">
        <f t="shared" si="23"/>
        <v>3.5453886297330581</v>
      </c>
      <c r="O30" s="265">
        <f t="shared" si="23"/>
        <v>4.4764026850707266</v>
      </c>
      <c r="P30" s="265">
        <f t="shared" ref="P30:X30" si="24">SUM(P28:P29)</f>
        <v>5.4274700576016235</v>
      </c>
      <c r="Q30" s="265">
        <f t="shared" si="24"/>
        <v>6.3989192676033086</v>
      </c>
      <c r="R30" s="265">
        <f t="shared" si="24"/>
        <v>7.3910836363480596</v>
      </c>
      <c r="S30" s="265">
        <f t="shared" si="24"/>
        <v>8.4043013519738174</v>
      </c>
      <c r="T30" s="265">
        <f t="shared" si="24"/>
        <v>9.4389155362233392</v>
      </c>
      <c r="U30" s="265">
        <f t="shared" si="24"/>
        <v>10.495274312062763</v>
      </c>
      <c r="V30" s="265">
        <f t="shared" si="24"/>
        <v>11.573730872190771</v>
      </c>
      <c r="W30" s="265">
        <f t="shared" si="24"/>
        <v>12.674643548449836</v>
      </c>
      <c r="X30" s="265">
        <f t="shared" si="24"/>
        <v>13.798375882151063</v>
      </c>
      <c r="Y30" s="265">
        <f t="shared" si="23"/>
        <v>15.000059662614627</v>
      </c>
      <c r="Z30" s="265">
        <f t="shared" ref="Z30:AH30" si="25">SUM(Z28:Z29)</f>
        <v>16.226510882766643</v>
      </c>
      <c r="AA30" s="265">
        <f t="shared" si="25"/>
        <v>17.478129022542838</v>
      </c>
      <c r="AB30" s="265">
        <f t="shared" si="25"/>
        <v>18.755319353577281</v>
      </c>
      <c r="AC30" s="265">
        <f t="shared" si="25"/>
        <v>20.058493018282764</v>
      </c>
      <c r="AD30" s="265">
        <f t="shared" si="25"/>
        <v>21.388067109969981</v>
      </c>
      <c r="AE30" s="265">
        <f t="shared" si="25"/>
        <v>22.744464754019102</v>
      </c>
      <c r="AF30" s="265">
        <f t="shared" si="25"/>
        <v>24.128115190117001</v>
      </c>
      <c r="AG30" s="265">
        <f t="shared" si="25"/>
        <v>25.539453855573811</v>
      </c>
      <c r="AH30" s="265">
        <f t="shared" si="25"/>
        <v>26.978922469732673</v>
      </c>
      <c r="AJ30" s="43">
        <f>SUM(AJ28:AJ29)</f>
        <v>0</v>
      </c>
      <c r="AK30" s="43">
        <f t="shared" ref="AK30:BN30" si="26">SUM(AK28:AK29)</f>
        <v>0.23454506924171931</v>
      </c>
      <c r="AL30" s="43">
        <f t="shared" si="26"/>
        <v>0.47425013000675642</v>
      </c>
      <c r="AM30" s="43">
        <f t="shared" si="26"/>
        <v>0.71920032215524587</v>
      </c>
      <c r="AN30" s="43">
        <f t="shared" si="26"/>
        <v>0.96948203426527158</v>
      </c>
      <c r="AO30" s="43">
        <f t="shared" si="26"/>
        <v>1.2251829208027365</v>
      </c>
      <c r="AP30" s="43">
        <f t="shared" si="26"/>
        <v>1.4863919195178796</v>
      </c>
      <c r="AQ30" s="43">
        <f t="shared" si="26"/>
        <v>1.7531992690713389</v>
      </c>
      <c r="AR30" s="43">
        <f t="shared" si="26"/>
        <v>2.025696526892713</v>
      </c>
      <c r="AS30" s="43">
        <f t="shared" si="26"/>
        <v>2.3039765872745992</v>
      </c>
      <c r="AT30" s="43">
        <f t="shared" si="26"/>
        <v>2.5881336997051325</v>
      </c>
      <c r="AU30" s="265">
        <f t="shared" si="26"/>
        <v>3.2677739601016298</v>
      </c>
      <c r="AV30" s="265">
        <f t="shared" si="26"/>
        <v>3.9620531420491858</v>
      </c>
      <c r="AW30" s="265">
        <f t="shared" si="26"/>
        <v>4.6712110653504144</v>
      </c>
      <c r="AX30" s="265">
        <f t="shared" si="26"/>
        <v>5.3954910545340828</v>
      </c>
      <c r="AY30" s="265">
        <f t="shared" si="26"/>
        <v>6.1351399869408851</v>
      </c>
      <c r="AZ30" s="265">
        <f t="shared" si="26"/>
        <v>6.8904083414430373</v>
      </c>
      <c r="BA30" s="265">
        <f t="shared" si="26"/>
        <v>7.6615502478058177</v>
      </c>
      <c r="BB30" s="265">
        <f t="shared" si="26"/>
        <v>8.4488235366992637</v>
      </c>
      <c r="BC30" s="265">
        <f t="shared" si="26"/>
        <v>9.2524897903683794</v>
      </c>
      <c r="BD30" s="265">
        <f t="shared" si="26"/>
        <v>10.072814393970276</v>
      </c>
      <c r="BE30" s="265">
        <f t="shared" si="26"/>
        <v>10.950043553708678</v>
      </c>
      <c r="BF30" s="265">
        <f t="shared" si="26"/>
        <v>11.845352944419648</v>
      </c>
      <c r="BG30" s="265">
        <f t="shared" si="26"/>
        <v>12.759034186456269</v>
      </c>
      <c r="BH30" s="265">
        <f t="shared" si="26"/>
        <v>13.691383128111417</v>
      </c>
      <c r="BI30" s="265">
        <f t="shared" si="26"/>
        <v>14.642699903346418</v>
      </c>
      <c r="BJ30" s="265">
        <f t="shared" si="26"/>
        <v>15.613288990278086</v>
      </c>
      <c r="BK30" s="265">
        <f t="shared" si="26"/>
        <v>16.603459270433941</v>
      </c>
      <c r="BL30" s="265">
        <f t="shared" si="26"/>
        <v>17.613524088785407</v>
      </c>
      <c r="BM30" s="265">
        <f t="shared" si="26"/>
        <v>18.643801314568883</v>
      </c>
      <c r="BN30" s="265">
        <f t="shared" si="26"/>
        <v>19.694613402904849</v>
      </c>
      <c r="BR30" t="s">
        <v>187</v>
      </c>
      <c r="BS30" s="44">
        <f>D9</f>
        <v>7.61095133078841</v>
      </c>
      <c r="BU30" t="str">
        <v>Major Polymers</v>
      </c>
      <c r="BV30" s="44">
        <v>28.851572700948026</v>
      </c>
      <c r="BW30" s="2">
        <v>0.27724419981452192</v>
      </c>
    </row>
    <row r="31" spans="1:85" outlineLevel="1" x14ac:dyDescent="0.2">
      <c r="B31" s="61" t="s">
        <v>202</v>
      </c>
      <c r="C31" s="54" t="s">
        <v>153</v>
      </c>
      <c r="D31" s="43">
        <v>0</v>
      </c>
      <c r="E31" s="43">
        <f>E27*'R&amp;S - Packaging and hh goods'!$L$4/SUM('R&amp;S - Packaging and hh goods'!$L$4:$N$4)*'R&amp;S - Packaging and hh goods'!$E$9*('R&amp;S - Packaging and hh goods'!$I$14*'R&amp;S - Packaging and hh goods'!$AB$19*(E$3-$D$3)/10)+E27*'R&amp;S - Packaging and hh goods'!$M$4/SUM('R&amp;S - Packaging and hh goods'!$L$4:$N$4)*'R&amp;S - Packaging and hh goods'!$F$9*('R&amp;S - Packaging and hh goods'!$K$14*'R&amp;S - Packaging and hh goods'!$AG$19*(E$3-$D$3)/10)+E27*'R&amp;S - Packaging and hh goods'!$N$4/SUM('R&amp;S - Packaging and hh goods'!$L$4:$N$4)*'R&amp;S - Packaging and hh goods'!$G$9*('R&amp;S - Packaging and hh goods'!$M$14*'R&amp;S - Packaging and hh goods'!$AL$19*(E$3-$D$3)/10)</f>
        <v>8.9168744890448959E-2</v>
      </c>
      <c r="F31" s="43">
        <f>F27*'R&amp;S - Packaging and hh goods'!$L$4/SUM('R&amp;S - Packaging and hh goods'!$L$4:$N$4)*'R&amp;S - Packaging and hh goods'!$E$9*('R&amp;S - Packaging and hh goods'!$I$14*'R&amp;S - Packaging and hh goods'!$AB$19*(F$3-$D$3)/10)+F27*'R&amp;S - Packaging and hh goods'!$M$4/SUM('R&amp;S - Packaging and hh goods'!$L$4:$N$4)*'R&amp;S - Packaging and hh goods'!$F$9*('R&amp;S - Packaging and hh goods'!$K$14*'R&amp;S - Packaging and hh goods'!$AG$19*(F$3-$D$3)/10)+F27*'R&amp;S - Packaging and hh goods'!$N$4/SUM('R&amp;S - Packaging and hh goods'!$L$4:$N$4)*'R&amp;S - Packaging and hh goods'!$G$9*('R&amp;S - Packaging and hh goods'!$M$14*'R&amp;S - Packaging and hh goods'!$AL$19*(F$3-$D$3)/10)</f>
        <v>0.18029920216848777</v>
      </c>
      <c r="G31" s="43">
        <f>G27*'R&amp;S - Packaging and hh goods'!$L$4/SUM('R&amp;S - Packaging and hh goods'!$L$4:$N$4)*'R&amp;S - Packaging and hh goods'!$E$9*('R&amp;S - Packaging and hh goods'!$I$14*'R&amp;S - Packaging and hh goods'!$AB$19*(G$3-$D$3)/10)+G27*'R&amp;S - Packaging and hh goods'!$M$4/SUM('R&amp;S - Packaging and hh goods'!$L$4:$N$4)*'R&amp;S - Packaging and hh goods'!$F$9*('R&amp;S - Packaging and hh goods'!$K$14*'R&amp;S - Packaging and hh goods'!$AG$19*(G$3-$D$3)/10)+G27*'R&amp;S - Packaging and hh goods'!$N$4/SUM('R&amp;S - Packaging and hh goods'!$L$4:$N$4)*'R&amp;S - Packaging and hh goods'!$G$9*('R&amp;S - Packaging and hh goods'!$M$14*'R&amp;S - Packaging and hh goods'!$AL$19*(G$3-$D$3)/10)</f>
        <v>0.27342374008851172</v>
      </c>
      <c r="H31" s="43">
        <f>H27*'R&amp;S - Packaging and hh goods'!$L$4/SUM('R&amp;S - Packaging and hh goods'!$L$4:$N$4)*'R&amp;S - Packaging and hh goods'!$E$9*('R&amp;S - Packaging and hh goods'!$I$14*'R&amp;S - Packaging and hh goods'!$AB$19*(H$3-$D$3)/10)+H27*'R&amp;S - Packaging and hh goods'!$M$4/SUM('R&amp;S - Packaging and hh goods'!$L$4:$N$4)*'R&amp;S - Packaging and hh goods'!$F$9*('R&amp;S - Packaging and hh goods'!$K$14*'R&amp;S - Packaging and hh goods'!$AG$19*(H$3-$D$3)/10)+H27*'R&amp;S - Packaging and hh goods'!$N$4/SUM('R&amp;S - Packaging and hh goods'!$L$4:$N$4)*'R&amp;S - Packaging and hh goods'!$G$9*('R&amp;S - Packaging and hh goods'!$M$14*'R&amp;S - Packaging and hh goods'!$AL$19*(H$3-$D$3)/10)</f>
        <v>0.36857520163931379</v>
      </c>
      <c r="I31" s="43">
        <f>I27*'R&amp;S - Packaging and hh goods'!$L$4/SUM('R&amp;S - Packaging and hh goods'!$L$4:$N$4)*'R&amp;S - Packaging and hh goods'!$E$9*('R&amp;S - Packaging and hh goods'!$I$14*'R&amp;S - Packaging and hh goods'!$AB$19*(I$3-$D$3)/10)+I27*'R&amp;S - Packaging and hh goods'!$M$4/SUM('R&amp;S - Packaging and hh goods'!$L$4:$N$4)*'R&amp;S - Packaging and hh goods'!$F$9*('R&amp;S - Packaging and hh goods'!$K$14*'R&amp;S - Packaging and hh goods'!$AG$19*(I$3-$D$3)/10)+I27*'R&amp;S - Packaging and hh goods'!$N$4/SUM('R&amp;S - Packaging and hh goods'!$L$4:$N$4)*'R&amp;S - Packaging and hh goods'!$G$9*('R&amp;S - Packaging and hh goods'!$M$14*'R&amp;S - Packaging and hh goods'!$AL$19*(I$3-$D$3)/10)</f>
        <v>0.46578691107168269</v>
      </c>
      <c r="J31" s="43">
        <f>J27*'R&amp;S - Packaging and hh goods'!$L$4/SUM('R&amp;S - Packaging and hh goods'!$L$4:$N$4)*'R&amp;S - Packaging and hh goods'!$E$9*('R&amp;S - Packaging and hh goods'!$I$14*'R&amp;S - Packaging and hh goods'!$AB$19*(J$3-$D$3)/10)+J27*'R&amp;S - Packaging and hh goods'!$M$4/SUM('R&amp;S - Packaging and hh goods'!$L$4:$N$4)*'R&amp;S - Packaging and hh goods'!$F$9*('R&amp;S - Packaging and hh goods'!$K$14*'R&amp;S - Packaging and hh goods'!$AG$19*(J$3-$D$3)/10)+J27*'R&amp;S - Packaging and hh goods'!$N$4/SUM('R&amp;S - Packaging and hh goods'!$L$4:$N$4)*'R&amp;S - Packaging and hh goods'!$G$9*('R&amp;S - Packaging and hh goods'!$M$14*'R&amp;S - Packaging and hh goods'!$AL$19*(J$3-$D$3)/10)</f>
        <v>0.56509268051216532</v>
      </c>
      <c r="K31" s="43">
        <f>K27*'R&amp;S - Packaging and hh goods'!$L$4/SUM('R&amp;S - Packaging and hh goods'!$L$4:$N$4)*'R&amp;S - Packaging and hh goods'!$E$9*('R&amp;S - Packaging and hh goods'!$I$14*'R&amp;S - Packaging and hh goods'!$AB$19*(K$3-$D$3)/10)+K27*'R&amp;S - Packaging and hh goods'!$M$4/SUM('R&amp;S - Packaging and hh goods'!$L$4:$N$4)*'R&amp;S - Packaging and hh goods'!$F$9*('R&amp;S - Packaging and hh goods'!$K$14*'R&amp;S - Packaging and hh goods'!$AG$19*(K$3-$D$3)/10)+K27*'R&amp;S - Packaging and hh goods'!$N$4/SUM('R&amp;S - Packaging and hh goods'!$L$4:$N$4)*'R&amp;S - Packaging and hh goods'!$G$9*('R&amp;S - Packaging and hh goods'!$M$14*'R&amp;S - Packaging and hh goods'!$AL$19*(K$3-$D$3)/10)</f>
        <v>0.66652681666409896</v>
      </c>
      <c r="L31" s="43">
        <f>L27*'R&amp;S - Packaging and hh goods'!$L$4/SUM('R&amp;S - Packaging and hh goods'!$L$4:$N$4)*'R&amp;S - Packaging and hh goods'!$E$9*('R&amp;S - Packaging and hh goods'!$I$14*'R&amp;S - Packaging and hh goods'!$AB$19*(L$3-$D$3)/10)+L27*'R&amp;S - Packaging and hh goods'!$M$4/SUM('R&amp;S - Packaging and hh goods'!$L$4:$N$4)*'R&amp;S - Packaging and hh goods'!$F$9*('R&amp;S - Packaging and hh goods'!$K$14*'R&amp;S - Packaging and hh goods'!$AG$19*(L$3-$D$3)/10)+L27*'R&amp;S - Packaging and hh goods'!$N$4/SUM('R&amp;S - Packaging and hh goods'!$L$4:$N$4)*'R&amp;S - Packaging and hh goods'!$G$9*('R&amp;S - Packaging and hh goods'!$M$14*'R&amp;S - Packaging and hh goods'!$AL$19*(L$3-$D$3)/10)</f>
        <v>0.77012412759703308</v>
      </c>
      <c r="M31" s="43">
        <f>M27*'R&amp;S - Packaging and hh goods'!$L$4/SUM('R&amp;S - Packaging and hh goods'!$L$4:$N$4)*'R&amp;S - Packaging and hh goods'!$E$9*('R&amp;S - Packaging and hh goods'!$I$14*'R&amp;S - Packaging and hh goods'!$AB$19*(M$3-$D$3)/10)+M27*'R&amp;S - Packaging and hh goods'!$M$4/SUM('R&amp;S - Packaging and hh goods'!$L$4:$N$4)*'R&amp;S - Packaging and hh goods'!$F$9*('R&amp;S - Packaging and hh goods'!$K$14*'R&amp;S - Packaging and hh goods'!$AG$19*(M$3-$D$3)/10)+M27*'R&amp;S - Packaging and hh goods'!$N$4/SUM('R&amp;S - Packaging and hh goods'!$L$4:$N$4)*'R&amp;S - Packaging and hh goods'!$G$9*('R&amp;S - Packaging and hh goods'!$M$14*'R&amp;S - Packaging and hh goods'!$AL$19*(M$3-$D$3)/10)</f>
        <v>0.87591992962567544</v>
      </c>
      <c r="N31" s="43">
        <f>N27*'R&amp;S - Packaging and hh goods'!$L$4/SUM('R&amp;S - Packaging and hh goods'!$L$4:$N$4)*'R&amp;S - Packaging and hh goods'!$E$9*('R&amp;S - Packaging and hh goods'!$I$14*'R&amp;S - Packaging and hh goods'!$AB$19*(N$3-$D$3)/10)+N27*'R&amp;S - Packaging and hh goods'!$M$4/SUM('R&amp;S - Packaging and hh goods'!$L$4:$N$4)*'R&amp;S - Packaging and hh goods'!$F$9*('R&amp;S - Packaging and hh goods'!$K$14*'R&amp;S - Packaging and hh goods'!$AG$19*(N$3-$D$3)/10)+N27*'R&amp;S - Packaging and hh goods'!$N$4/SUM('R&amp;S - Packaging and hh goods'!$L$4:$N$4)*'R&amp;S - Packaging and hh goods'!$G$9*('R&amp;S - Packaging and hh goods'!$M$14*'R&amp;S - Packaging and hh goods'!$AL$19*(N$3-$D$3)/10)</f>
        <v>0.98395005427950855</v>
      </c>
      <c r="O31" s="265">
        <f>O27*'R&amp;S - Packaging and hh goods'!$L$4/SUM('R&amp;S - Packaging and hh goods'!$L$4:$N$4)*('R&amp;S - Packaging and hh goods'!$E$9*'R&amp;S - Packaging and hh goods'!$I$14*('R&amp;S - Packaging and hh goods'!$AB$19+('R&amp;S - Packaging and hh goods'!$AB$20-'R&amp;S - Packaging and hh goods'!$AB$19)*(O$3-$N$3)/10))+O27*'R&amp;S - Packaging and hh goods'!$M$4/SUM('R&amp;S - Packaging and hh goods'!$L$4:$N$4)*('R&amp;S - Packaging and hh goods'!$F$9*'R&amp;S - Packaging and hh goods'!$K$14*('R&amp;S - Packaging and hh goods'!$AG$19+('R&amp;S - Packaging and hh goods'!$AG$20-'R&amp;S - Packaging and hh goods'!$AG$19)*(O$3-$N$3)/10))+O27*'R&amp;S - Packaging and hh goods'!$N$4/SUM('R&amp;S - Packaging and hh goods'!$L$4:$N$4)*('R&amp;S - Packaging and hh goods'!$G$9*'R&amp;S - Packaging and hh goods'!$M$14*('R&amp;S - Packaging and hh goods'!$AL$19+('R&amp;S - Packaging and hh goods'!$AL$20-'R&amp;S - Packaging and hh goods'!$AL$19)*(O$3-$N$3)/10))</f>
        <v>1.1669149419139944</v>
      </c>
      <c r="P31" s="265">
        <f>P27*'R&amp;S - Packaging and hh goods'!$L$4/SUM('R&amp;S - Packaging and hh goods'!$L$4:$N$4)*('R&amp;S - Packaging and hh goods'!$E$9*'R&amp;S - Packaging and hh goods'!$I$14*('R&amp;S - Packaging and hh goods'!$AB$19+('R&amp;S - Packaging and hh goods'!$AB$20-'R&amp;S - Packaging and hh goods'!$AB$19)*(P$3-$N$3)/10))+P27*'R&amp;S - Packaging and hh goods'!$M$4/SUM('R&amp;S - Packaging and hh goods'!$L$4:$N$4)*('R&amp;S - Packaging and hh goods'!$F$9*'R&amp;S - Packaging and hh goods'!$K$14*('R&amp;S - Packaging and hh goods'!$AG$19+('R&amp;S - Packaging and hh goods'!$AG$20-'R&amp;S - Packaging and hh goods'!$AG$19)*(P$3-$N$3)/10))+P27*'R&amp;S - Packaging and hh goods'!$N$4/SUM('R&amp;S - Packaging and hh goods'!$L$4:$N$4)*('R&amp;S - Packaging and hh goods'!$G$9*'R&amp;S - Packaging and hh goods'!$M$14*('R&amp;S - Packaging and hh goods'!$AL$19+('R&amp;S - Packaging and hh goods'!$AL$20-'R&amp;S - Packaging and hh goods'!$AL$19)*(P$3-$N$3)/10))</f>
        <v>1.3537859991198709</v>
      </c>
      <c r="Q31" s="265">
        <f>Q27*'R&amp;S - Packaging and hh goods'!$L$4/SUM('R&amp;S - Packaging and hh goods'!$L$4:$N$4)*('R&amp;S - Packaging and hh goods'!$E$9*'R&amp;S - Packaging and hh goods'!$I$14*('R&amp;S - Packaging and hh goods'!$AB$19+('R&amp;S - Packaging and hh goods'!$AB$20-'R&amp;S - Packaging and hh goods'!$AB$19)*(Q$3-$N$3)/10))+Q27*'R&amp;S - Packaging and hh goods'!$M$4/SUM('R&amp;S - Packaging and hh goods'!$L$4:$N$4)*('R&amp;S - Packaging and hh goods'!$F$9*'R&amp;S - Packaging and hh goods'!$K$14*('R&amp;S - Packaging and hh goods'!$AG$19+('R&amp;S - Packaging and hh goods'!$AG$20-'R&amp;S - Packaging and hh goods'!$AG$19)*(Q$3-$N$3)/10))+Q27*'R&amp;S - Packaging and hh goods'!$N$4/SUM('R&amp;S - Packaging and hh goods'!$L$4:$N$4)*('R&amp;S - Packaging and hh goods'!$G$9*'R&amp;S - Packaging and hh goods'!$M$14*('R&amp;S - Packaging and hh goods'!$AL$19+('R&amp;S - Packaging and hh goods'!$AL$20-'R&amp;S - Packaging and hh goods'!$AL$19)*(Q$3-$N$3)/10))</f>
        <v>1.544627022876305</v>
      </c>
      <c r="R31" s="265">
        <f>R27*'R&amp;S - Packaging and hh goods'!$L$4/SUM('R&amp;S - Packaging and hh goods'!$L$4:$N$4)*('R&amp;S - Packaging and hh goods'!$E$9*'R&amp;S - Packaging and hh goods'!$I$14*('R&amp;S - Packaging and hh goods'!$AB$19+('R&amp;S - Packaging and hh goods'!$AB$20-'R&amp;S - Packaging and hh goods'!$AB$19)*(R$3-$N$3)/10))+R27*'R&amp;S - Packaging and hh goods'!$M$4/SUM('R&amp;S - Packaging and hh goods'!$L$4:$N$4)*('R&amp;S - Packaging and hh goods'!$F$9*'R&amp;S - Packaging and hh goods'!$K$14*('R&amp;S - Packaging and hh goods'!$AG$19+('R&amp;S - Packaging and hh goods'!$AG$20-'R&amp;S - Packaging and hh goods'!$AG$19)*(R$3-$N$3)/10))+R27*'R&amp;S - Packaging and hh goods'!$N$4/SUM('R&amp;S - Packaging and hh goods'!$L$4:$N$4)*('R&amp;S - Packaging and hh goods'!$G$9*'R&amp;S - Packaging and hh goods'!$M$14*('R&amp;S - Packaging and hh goods'!$AL$19+('R&amp;S - Packaging and hh goods'!$AL$20-'R&amp;S - Packaging and hh goods'!$AL$19)*(R$3-$N$3)/10))</f>
        <v>1.7395027410494874</v>
      </c>
      <c r="S31" s="265">
        <f>S27*'R&amp;S - Packaging and hh goods'!$L$4/SUM('R&amp;S - Packaging and hh goods'!$L$4:$N$4)*('R&amp;S - Packaging and hh goods'!$E$9*'R&amp;S - Packaging and hh goods'!$I$14*('R&amp;S - Packaging and hh goods'!$AB$19+('R&amp;S - Packaging and hh goods'!$AB$20-'R&amp;S - Packaging and hh goods'!$AB$19)*(S$3-$N$3)/10))+S27*'R&amp;S - Packaging and hh goods'!$M$4/SUM('R&amp;S - Packaging and hh goods'!$L$4:$N$4)*('R&amp;S - Packaging and hh goods'!$F$9*'R&amp;S - Packaging and hh goods'!$K$14*('R&amp;S - Packaging and hh goods'!$AG$19+('R&amp;S - Packaging and hh goods'!$AG$20-'R&amp;S - Packaging and hh goods'!$AG$19)*(S$3-$N$3)/10))+S27*'R&amp;S - Packaging and hh goods'!$N$4/SUM('R&amp;S - Packaging and hh goods'!$L$4:$N$4)*('R&amp;S - Packaging and hh goods'!$G$9*'R&amp;S - Packaging and hh goods'!$M$14*('R&amp;S - Packaging and hh goods'!$AL$19+('R&amp;S - Packaging and hh goods'!$AL$20-'R&amp;S - Packaging and hh goods'!$AL$19)*(S$3-$N$3)/10))</f>
        <v>1.9384788251527119</v>
      </c>
      <c r="T31" s="265">
        <f>T27*'R&amp;S - Packaging and hh goods'!$L$4/SUM('R&amp;S - Packaging and hh goods'!$L$4:$N$4)*('R&amp;S - Packaging and hh goods'!$E$9*'R&amp;S - Packaging and hh goods'!$I$14*('R&amp;S - Packaging and hh goods'!$AB$19+('R&amp;S - Packaging and hh goods'!$AB$20-'R&amp;S - Packaging and hh goods'!$AB$19)*(T$3-$N$3)/10))+T27*'R&amp;S - Packaging and hh goods'!$M$4/SUM('R&amp;S - Packaging and hh goods'!$L$4:$N$4)*('R&amp;S - Packaging and hh goods'!$F$9*'R&amp;S - Packaging and hh goods'!$K$14*('R&amp;S - Packaging and hh goods'!$AG$19+('R&amp;S - Packaging and hh goods'!$AG$20-'R&amp;S - Packaging and hh goods'!$AG$19)*(T$3-$N$3)/10))+T27*'R&amp;S - Packaging and hh goods'!$N$4/SUM('R&amp;S - Packaging and hh goods'!$L$4:$N$4)*('R&amp;S - Packaging and hh goods'!$G$9*'R&amp;S - Packaging and hh goods'!$M$14*('R&amp;S - Packaging and hh goods'!$AL$19+('R&amp;S - Packaging and hh goods'!$AL$20-'R&amp;S - Packaging and hh goods'!$AL$19)*(T$3-$N$3)/10))</f>
        <v>2.1416219032745398</v>
      </c>
      <c r="U31" s="265">
        <f>U27*'R&amp;S - Packaging and hh goods'!$L$4/SUM('R&amp;S - Packaging and hh goods'!$L$4:$N$4)*('R&amp;S - Packaging and hh goods'!$E$9*'R&amp;S - Packaging and hh goods'!$I$14*('R&amp;S - Packaging and hh goods'!$AB$19+('R&amp;S - Packaging and hh goods'!$AB$20-'R&amp;S - Packaging and hh goods'!$AB$19)*(U$3-$N$3)/10))+U27*'R&amp;S - Packaging and hh goods'!$M$4/SUM('R&amp;S - Packaging and hh goods'!$L$4:$N$4)*('R&amp;S - Packaging and hh goods'!$F$9*'R&amp;S - Packaging and hh goods'!$K$14*('R&amp;S - Packaging and hh goods'!$AG$19+('R&amp;S - Packaging and hh goods'!$AG$20-'R&amp;S - Packaging and hh goods'!$AG$19)*(U$3-$N$3)/10))+U27*'R&amp;S - Packaging and hh goods'!$N$4/SUM('R&amp;S - Packaging and hh goods'!$L$4:$N$4)*('R&amp;S - Packaging and hh goods'!$G$9*'R&amp;S - Packaging and hh goods'!$M$14*('R&amp;S - Packaging and hh goods'!$AL$19+('R&amp;S - Packaging and hh goods'!$AL$20-'R&amp;S - Packaging and hh goods'!$AL$19)*(U$3-$N$3)/10))</f>
        <v>2.3489995731772044</v>
      </c>
      <c r="V31" s="265">
        <f>V27*'R&amp;S - Packaging and hh goods'!$L$4/SUM('R&amp;S - Packaging and hh goods'!$L$4:$N$4)*('R&amp;S - Packaging and hh goods'!$E$9*'R&amp;S - Packaging and hh goods'!$I$14*('R&amp;S - Packaging and hh goods'!$AB$19+('R&amp;S - Packaging and hh goods'!$AB$20-'R&amp;S - Packaging and hh goods'!$AB$19)*(V$3-$N$3)/10))+V27*'R&amp;S - Packaging and hh goods'!$M$4/SUM('R&amp;S - Packaging and hh goods'!$L$4:$N$4)*('R&amp;S - Packaging and hh goods'!$F$9*'R&amp;S - Packaging and hh goods'!$K$14*('R&amp;S - Packaging and hh goods'!$AG$19+('R&amp;S - Packaging and hh goods'!$AG$20-'R&amp;S - Packaging and hh goods'!$AG$19)*(V$3-$N$3)/10))+V27*'R&amp;S - Packaging and hh goods'!$N$4/SUM('R&amp;S - Packaging and hh goods'!$L$4:$N$4)*('R&amp;S - Packaging and hh goods'!$G$9*'R&amp;S - Packaging and hh goods'!$M$14*('R&amp;S - Packaging and hh goods'!$AL$19+('R&amp;S - Packaging and hh goods'!$AL$20-'R&amp;S - Packaging and hh goods'!$AL$19)*(V$3-$N$3)/10))</f>
        <v>2.5606804155674316</v>
      </c>
      <c r="W31" s="265">
        <f>W27*'R&amp;S - Packaging and hh goods'!$L$4/SUM('R&amp;S - Packaging and hh goods'!$L$4:$N$4)*('R&amp;S - Packaging and hh goods'!$E$9*'R&amp;S - Packaging and hh goods'!$I$14*('R&amp;S - Packaging and hh goods'!$AB$19+('R&amp;S - Packaging and hh goods'!$AB$20-'R&amp;S - Packaging and hh goods'!$AB$19)*(W$3-$N$3)/10))+W27*'R&amp;S - Packaging and hh goods'!$M$4/SUM('R&amp;S - Packaging and hh goods'!$L$4:$N$4)*('R&amp;S - Packaging and hh goods'!$F$9*'R&amp;S - Packaging and hh goods'!$K$14*('R&amp;S - Packaging and hh goods'!$AG$19+('R&amp;S - Packaging and hh goods'!$AG$20-'R&amp;S - Packaging and hh goods'!$AG$19)*(W$3-$N$3)/10))+W27*'R&amp;S - Packaging and hh goods'!$N$4/SUM('R&amp;S - Packaging and hh goods'!$L$4:$N$4)*('R&amp;S - Packaging and hh goods'!$G$9*'R&amp;S - Packaging and hh goods'!$M$14*('R&amp;S - Packaging and hh goods'!$AL$19+('R&amp;S - Packaging and hh goods'!$AL$20-'R&amp;S - Packaging and hh goods'!$AL$19)*(W$3-$N$3)/10))</f>
        <v>2.7767340075418891</v>
      </c>
      <c r="X31" s="265">
        <f>X27*'R&amp;S - Packaging and hh goods'!$L$4/SUM('R&amp;S - Packaging and hh goods'!$L$4:$N$4)*('R&amp;S - Packaging and hh goods'!$E$9*'R&amp;S - Packaging and hh goods'!$I$14*('R&amp;S - Packaging and hh goods'!$AB$19+('R&amp;S - Packaging and hh goods'!$AB$20-'R&amp;S - Packaging and hh goods'!$AB$19)*(X$3-$N$3)/10))+X27*'R&amp;S - Packaging and hh goods'!$M$4/SUM('R&amp;S - Packaging and hh goods'!$L$4:$N$4)*('R&amp;S - Packaging and hh goods'!$F$9*'R&amp;S - Packaging and hh goods'!$K$14*('R&amp;S - Packaging and hh goods'!$AG$19+('R&amp;S - Packaging and hh goods'!$AG$20-'R&amp;S - Packaging and hh goods'!$AG$19)*(X$3-$N$3)/10))+X27*'R&amp;S - Packaging and hh goods'!$N$4/SUM('R&amp;S - Packaging and hh goods'!$L$4:$N$4)*('R&amp;S - Packaging and hh goods'!$G$9*'R&amp;S - Packaging and hh goods'!$M$14*('R&amp;S - Packaging and hh goods'!$AL$19+('R&amp;S - Packaging and hh goods'!$AL$20-'R&amp;S - Packaging and hh goods'!$AL$19)*(X$3-$N$3)/10))</f>
        <v>2.9972309362095015</v>
      </c>
      <c r="Y31" s="265">
        <f>Y27*'R&amp;S - Packaging and hh goods'!$L$4/SUM('R&amp;S - Packaging and hh goods'!$L$4:$N$4)*('R&amp;S - Packaging and hh goods'!$E9*'R&amp;S - Packaging and hh goods'!$I$14*('R&amp;S - Packaging and hh goods'!$AB$20+('R&amp;S - Packaging and hh goods'!$AB$21-'R&amp;S - Packaging and hh goods'!$AB$20)*(Y$3-$X$3)/10))+Y27*'R&amp;S - Packaging and hh goods'!$M$4/SUM('R&amp;S - Packaging and hh goods'!$L$4:$N$4)*('R&amp;S - Packaging and hh goods'!$F9*'R&amp;S - Packaging and hh goods'!$K$14*('R&amp;S - Packaging and hh goods'!$AG$20+('R&amp;S - Packaging and hh goods'!$AG$21-'R&amp;S - Packaging and hh goods'!$AG$20)*(Y$3-$X$3)/10))+Y27*'R&amp;S - Packaging and hh goods'!$N$4/SUM('R&amp;S - Packaging and hh goods'!$L$4:$N$4)*('R&amp;S - Packaging and hh goods'!$G9*'R&amp;S - Packaging and hh goods'!$M$14*('R&amp;S - Packaging and hh goods'!$AL$20+('R&amp;S - Packaging and hh goods'!$AL$21-'R&amp;S - Packaging and hh goods'!$AL$20)*(Y$3-$X$3)/10))</f>
        <v>3.1931935514576484</v>
      </c>
      <c r="Z31" s="265">
        <f>Z27*'R&amp;S - Packaging and hh goods'!$L$4/SUM('R&amp;S - Packaging and hh goods'!$L$4:$N$4)*('R&amp;S - Packaging and hh goods'!$E9*'R&amp;S - Packaging and hh goods'!$I$14*('R&amp;S - Packaging and hh goods'!$AB$20+('R&amp;S - Packaging and hh goods'!$AB$21-'R&amp;S - Packaging and hh goods'!$AB$20)*(Z$3-$X$3)/10))+Z27*'R&amp;S - Packaging and hh goods'!$M$4/SUM('R&amp;S - Packaging and hh goods'!$L$4:$N$4)*('R&amp;S - Packaging and hh goods'!$F9*'R&amp;S - Packaging and hh goods'!$K$14*('R&amp;S - Packaging and hh goods'!$AG$20+('R&amp;S - Packaging and hh goods'!$AG$21-'R&amp;S - Packaging and hh goods'!$AG$20)*(Z$3-$X$3)/10))+Z27*'R&amp;S - Packaging and hh goods'!$N$4/SUM('R&amp;S - Packaging and hh goods'!$L$4:$N$4)*('R&amp;S - Packaging and hh goods'!$G9*'R&amp;S - Packaging and hh goods'!$M$14*('R&amp;S - Packaging and hh goods'!$AL$20+('R&amp;S - Packaging and hh goods'!$AL$21-'R&amp;S - Packaging and hh goods'!$AL$20)*(Z$3-$X$3)/10))</f>
        <v>3.3931046792979727</v>
      </c>
      <c r="AA31" s="265">
        <f>AA27*'R&amp;S - Packaging and hh goods'!$L$4/SUM('R&amp;S - Packaging and hh goods'!$L$4:$N$4)*('R&amp;S - Packaging and hh goods'!$E9*'R&amp;S - Packaging and hh goods'!$I$14*('R&amp;S - Packaging and hh goods'!$AB$20+('R&amp;S - Packaging and hh goods'!$AB$21-'R&amp;S - Packaging and hh goods'!$AB$20)*(AA$3-$X$3)/10))+AA27*'R&amp;S - Packaging and hh goods'!$M$4/SUM('R&amp;S - Packaging and hh goods'!$L$4:$N$4)*('R&amp;S - Packaging and hh goods'!$F9*'R&amp;S - Packaging and hh goods'!$K$14*('R&amp;S - Packaging and hh goods'!$AG$20+('R&amp;S - Packaging and hh goods'!$AG$21-'R&amp;S - Packaging and hh goods'!$AG$20)*(AA$3-$X$3)/10))+AA27*'R&amp;S - Packaging and hh goods'!$N$4/SUM('R&amp;S - Packaging and hh goods'!$L$4:$N$4)*('R&amp;S - Packaging and hh goods'!$G9*'R&amp;S - Packaging and hh goods'!$M$14*('R&amp;S - Packaging and hh goods'!$AL$20+('R&amp;S - Packaging and hh goods'!$AL$21-'R&amp;S - Packaging and hh goods'!$AL$20)*(AA$3-$X$3)/10))</f>
        <v>3.5970274755310587</v>
      </c>
      <c r="AB31" s="265">
        <f>AB27*'R&amp;S - Packaging and hh goods'!$L$4/SUM('R&amp;S - Packaging and hh goods'!$L$4:$N$4)*('R&amp;S - Packaging and hh goods'!$E9*'R&amp;S - Packaging and hh goods'!$I$14*('R&amp;S - Packaging and hh goods'!$AB$20+('R&amp;S - Packaging and hh goods'!$AB$21-'R&amp;S - Packaging and hh goods'!$AB$20)*(AB$3-$X$3)/10))+AB27*'R&amp;S - Packaging and hh goods'!$M$4/SUM('R&amp;S - Packaging and hh goods'!$L$4:$N$4)*('R&amp;S - Packaging and hh goods'!$F9*'R&amp;S - Packaging and hh goods'!$K$14*('R&amp;S - Packaging and hh goods'!$AG$20+('R&amp;S - Packaging and hh goods'!$AG$21-'R&amp;S - Packaging and hh goods'!$AG$20)*(AB$3-$X$3)/10))+AB27*'R&amp;S - Packaging and hh goods'!$N$4/SUM('R&amp;S - Packaging and hh goods'!$L$4:$N$4)*('R&amp;S - Packaging and hh goods'!$G9*'R&amp;S - Packaging and hh goods'!$M$14*('R&amp;S - Packaging and hh goods'!$AL$20+('R&amp;S - Packaging and hh goods'!$AL$21-'R&amp;S - Packaging and hh goods'!$AL$20)*(AB$3-$X$3)/10))</f>
        <v>3.8050260076150777</v>
      </c>
      <c r="AC31" s="265">
        <f>AC27*'R&amp;S - Packaging and hh goods'!$L$4/SUM('R&amp;S - Packaging and hh goods'!$L$4:$N$4)*('R&amp;S - Packaging and hh goods'!$E9*'R&amp;S - Packaging and hh goods'!$I$14*('R&amp;S - Packaging and hh goods'!$AB$20+('R&amp;S - Packaging and hh goods'!$AB$21-'R&amp;S - Packaging and hh goods'!$AB$20)*(AC$3-$X$3)/10))+AC27*'R&amp;S - Packaging and hh goods'!$M$4/SUM('R&amp;S - Packaging and hh goods'!$L$4:$N$4)*('R&amp;S - Packaging and hh goods'!$F9*'R&amp;S - Packaging and hh goods'!$K$14*('R&amp;S - Packaging and hh goods'!$AG$20+('R&amp;S - Packaging and hh goods'!$AG$21-'R&amp;S - Packaging and hh goods'!$AG$20)*(AC$3-$X$3)/10))+AC27*'R&amp;S - Packaging and hh goods'!$N$4/SUM('R&amp;S - Packaging and hh goods'!$L$4:$N$4)*('R&amp;S - Packaging and hh goods'!$G9*'R&amp;S - Packaging and hh goods'!$M$14*('R&amp;S - Packaging and hh goods'!$AL$20+('R&amp;S - Packaging and hh goods'!$AL$21-'R&amp;S - Packaging and hh goods'!$AL$20)*(AC$3-$X$3)/10))</f>
        <v>4.0171652670804052</v>
      </c>
      <c r="AD31" s="265">
        <f>AD27*'R&amp;S - Packaging and hh goods'!$L$4/SUM('R&amp;S - Packaging and hh goods'!$L$4:$N$4)*('R&amp;S - Packaging and hh goods'!$E9*'R&amp;S - Packaging and hh goods'!$I$14*('R&amp;S - Packaging and hh goods'!$AB$20+('R&amp;S - Packaging and hh goods'!$AB$21-'R&amp;S - Packaging and hh goods'!$AB$20)*(AD$3-$X$3)/10))+AD27*'R&amp;S - Packaging and hh goods'!$M$4/SUM('R&amp;S - Packaging and hh goods'!$L$4:$N$4)*('R&amp;S - Packaging and hh goods'!$F9*'R&amp;S - Packaging and hh goods'!$K$14*('R&amp;S - Packaging and hh goods'!$AG$20+('R&amp;S - Packaging and hh goods'!$AG$21-'R&amp;S - Packaging and hh goods'!$AG$20)*(AD$3-$X$3)/10))+AD27*'R&amp;S - Packaging and hh goods'!$N$4/SUM('R&amp;S - Packaging and hh goods'!$L$4:$N$4)*('R&amp;S - Packaging and hh goods'!$G9*'R&amp;S - Packaging and hh goods'!$M$14*('R&amp;S - Packaging and hh goods'!$AL$20+('R&amp;S - Packaging and hh goods'!$AL$21-'R&amp;S - Packaging and hh goods'!$AL$20)*(AD$3-$X$3)/10))</f>
        <v>4.2335111821070495</v>
      </c>
      <c r="AE31" s="265">
        <f>AE27*'R&amp;S - Packaging and hh goods'!$L$4/SUM('R&amp;S - Packaging and hh goods'!$L$4:$N$4)*('R&amp;S - Packaging and hh goods'!$E9*'R&amp;S - Packaging and hh goods'!$I$14*('R&amp;S - Packaging and hh goods'!$AB$20+('R&amp;S - Packaging and hh goods'!$AB$21-'R&amp;S - Packaging and hh goods'!$AB$20)*(AE$3-$X$3)/10))+AE27*'R&amp;S - Packaging and hh goods'!$M$4/SUM('R&amp;S - Packaging and hh goods'!$L$4:$N$4)*('R&amp;S - Packaging and hh goods'!$F9*'R&amp;S - Packaging and hh goods'!$K$14*('R&amp;S - Packaging and hh goods'!$AG$20+('R&amp;S - Packaging and hh goods'!$AG$21-'R&amp;S - Packaging and hh goods'!$AG$20)*(AE$3-$X$3)/10))+AE27*'R&amp;S - Packaging and hh goods'!$N$4/SUM('R&amp;S - Packaging and hh goods'!$L$4:$N$4)*('R&amp;S - Packaging and hh goods'!$G9*'R&amp;S - Packaging and hh goods'!$M$14*('R&amp;S - Packaging and hh goods'!$AL$20+('R&amp;S - Packaging and hh goods'!$AL$21-'R&amp;S - Packaging and hh goods'!$AL$20)*(AE$3-$X$3)/10))</f>
        <v>4.4541306302669605</v>
      </c>
      <c r="AF31" s="265">
        <f>AF27*'R&amp;S - Packaging and hh goods'!$L$4/SUM('R&amp;S - Packaging and hh goods'!$L$4:$N$4)*('R&amp;S - Packaging and hh goods'!$E9*'R&amp;S - Packaging and hh goods'!$I$14*('R&amp;S - Packaging and hh goods'!$AB$20+('R&amp;S - Packaging and hh goods'!$AB$21-'R&amp;S - Packaging and hh goods'!$AB$20)*(AF$3-$X$3)/10))+AF27*'R&amp;S - Packaging and hh goods'!$M$4/SUM('R&amp;S - Packaging and hh goods'!$L$4:$N$4)*('R&amp;S - Packaging and hh goods'!$F9*'R&amp;S - Packaging and hh goods'!$K$14*('R&amp;S - Packaging and hh goods'!$AG$20+('R&amp;S - Packaging and hh goods'!$AG$21-'R&amp;S - Packaging and hh goods'!$AG$20)*(AF$3-$X$3)/10))+AF27*'R&amp;S - Packaging and hh goods'!$N$4/SUM('R&amp;S - Packaging and hh goods'!$L$4:$N$4)*('R&amp;S - Packaging and hh goods'!$G9*'R&amp;S - Packaging and hh goods'!$M$14*('R&amp;S - Packaging and hh goods'!$AL$20+('R&amp;S - Packaging and hh goods'!$AL$21-'R&amp;S - Packaging and hh goods'!$AL$20)*(AF$3-$X$3)/10))</f>
        <v>4.6790914514333561</v>
      </c>
      <c r="AG31" s="265">
        <f>AG27*'R&amp;S - Packaging and hh goods'!$L$4/SUM('R&amp;S - Packaging and hh goods'!$L$4:$N$4)*('R&amp;S - Packaging and hh goods'!$E9*'R&amp;S - Packaging and hh goods'!$I$14*('R&amp;S - Packaging and hh goods'!$AB$20+('R&amp;S - Packaging and hh goods'!$AB$21-'R&amp;S - Packaging and hh goods'!$AB$20)*(AG$3-$X$3)/10))+AG27*'R&amp;S - Packaging and hh goods'!$M$4/SUM('R&amp;S - Packaging and hh goods'!$L$4:$N$4)*('R&amp;S - Packaging and hh goods'!$F9*'R&amp;S - Packaging and hh goods'!$K$14*('R&amp;S - Packaging and hh goods'!$AG$20+('R&amp;S - Packaging and hh goods'!$AG$21-'R&amp;S - Packaging and hh goods'!$AG$20)*(AG$3-$X$3)/10))+AG27*'R&amp;S - Packaging and hh goods'!$N$4/SUM('R&amp;S - Packaging and hh goods'!$L$4:$N$4)*('R&amp;S - Packaging and hh goods'!$G9*'R&amp;S - Packaging and hh goods'!$M$14*('R&amp;S - Packaging and hh goods'!$AL$20+('R&amp;S - Packaging and hh goods'!$AL$21-'R&amp;S - Packaging and hh goods'!$AL$20)*(AG$3-$X$3)/10))</f>
        <v>4.9084624608591501</v>
      </c>
      <c r="AH31" s="265">
        <f>AH27*'R&amp;S - Packaging and hh goods'!$L$4/SUM('R&amp;S - Packaging and hh goods'!$L$4:$N$4)*('R&amp;S - Packaging and hh goods'!$E9*'R&amp;S - Packaging and hh goods'!$I$14*('R&amp;S - Packaging and hh goods'!$AB$20+('R&amp;S - Packaging and hh goods'!$AB$21-'R&amp;S - Packaging and hh goods'!$AB$20)*(AH$3-$X$3)/10))+AH27*'R&amp;S - Packaging and hh goods'!$M$4/SUM('R&amp;S - Packaging and hh goods'!$L$4:$N$4)*('R&amp;S - Packaging and hh goods'!$F9*'R&amp;S - Packaging and hh goods'!$K$14*('R&amp;S - Packaging and hh goods'!$AG$20+('R&amp;S - Packaging and hh goods'!$AG$21-'R&amp;S - Packaging and hh goods'!$AG$20)*(AH$3-$X$3)/10))+AH27*'R&amp;S - Packaging and hh goods'!$N$4/SUM('R&amp;S - Packaging and hh goods'!$L$4:$N$4)*('R&amp;S - Packaging and hh goods'!$G9*'R&amp;S - Packaging and hh goods'!$M$14*('R&amp;S - Packaging and hh goods'!$AL$20+('R&amp;S - Packaging and hh goods'!$AL$21-'R&amp;S - Packaging and hh goods'!$AL$20)*(AH$3-$X$3)/10))</f>
        <v>5.1423134624266886</v>
      </c>
      <c r="AJ31" s="43">
        <v>0</v>
      </c>
      <c r="AK31" s="43">
        <f>AK27*'R&amp;S - Packaging and hh goods'!$L$4/SUM('R&amp;S - Packaging and hh goods'!$L$4:$N$4)*'R&amp;S - Packaging and hh goods'!$E$9*('R&amp;S - Packaging and hh goods'!$I$15*'R&amp;S - Packaging and hh goods'!$AB$19*(AK$3-$D$3)/10)+AK27*'R&amp;S - Packaging and hh goods'!$M$4/SUM('R&amp;S - Packaging and hh goods'!$L$4:$N$4)*'R&amp;S - Packaging and hh goods'!$F$9*('R&amp;S - Packaging and hh goods'!$K$15*'R&amp;S - Packaging and hh goods'!$AG$19*(AK$3-$D$3)/10)+AK27*'R&amp;S - Packaging and hh goods'!$N$4/SUM('R&amp;S - Packaging and hh goods'!$L$4:$N$4)*'R&amp;S - Packaging and hh goods'!$G$9*('R&amp;S - Packaging and hh goods'!$M$15*'R&amp;S - Packaging and hh goods'!$AL$19*(AK$3-$D$3)/10)</f>
        <v>7.2710187624049086E-2</v>
      </c>
      <c r="AL31" s="43">
        <f>AL27*'R&amp;S - Packaging and hh goods'!$L$4/SUM('R&amp;S - Packaging and hh goods'!$L$4:$N$4)*'R&amp;S - Packaging and hh goods'!$E$9*('R&amp;S - Packaging and hh goods'!$I$15*'R&amp;S - Packaging and hh goods'!$AB$19*(AL$3-$D$3)/10)+AL27*'R&amp;S - Packaging and hh goods'!$M$4/SUM('R&amp;S - Packaging and hh goods'!$L$4:$N$4)*'R&amp;S - Packaging and hh goods'!$F$9*('R&amp;S - Packaging and hh goods'!$K$15*'R&amp;S - Packaging and hh goods'!$AG$19*(AL$3-$D$3)/10)+AL27*'R&amp;S - Packaging and hh goods'!$N$4/SUM('R&amp;S - Packaging and hh goods'!$L$4:$N$4)*'R&amp;S - Packaging and hh goods'!$G$9*('R&amp;S - Packaging and hh goods'!$M$15*'R&amp;S - Packaging and hh goods'!$AL$19*(AL$3-$D$3)/10)</f>
        <v>0.14701999937582722</v>
      </c>
      <c r="AM31" s="43">
        <f>AM27*'R&amp;S - Packaging and hh goods'!$L$4/SUM('R&amp;S - Packaging and hh goods'!$L$4:$N$4)*'R&amp;S - Packaging and hh goods'!$E$9*('R&amp;S - Packaging and hh goods'!$I$15*'R&amp;S - Packaging and hh goods'!$AB$19*(AM$3-$D$3)/10)+AM27*'R&amp;S - Packaging and hh goods'!$M$4/SUM('R&amp;S - Packaging and hh goods'!$L$4:$N$4)*'R&amp;S - Packaging and hh goods'!$F$9*('R&amp;S - Packaging and hh goods'!$K$15*'R&amp;S - Packaging and hh goods'!$AG$19*(AM$3-$D$3)/10)+AM27*'R&amp;S - Packaging and hh goods'!$N$4/SUM('R&amp;S - Packaging and hh goods'!$L$4:$N$4)*'R&amp;S - Packaging and hh goods'!$G$9*('R&amp;S - Packaging and hh goods'!$M$15*'R&amp;S - Packaging and hh goods'!$AL$19*(AM$3-$D$3)/10)</f>
        <v>0.222955829053442</v>
      </c>
      <c r="AN31" s="43">
        <f>AN27*'R&amp;S - Packaging and hh goods'!$L$4/SUM('R&amp;S - Packaging and hh goods'!$L$4:$N$4)*'R&amp;S - Packaging and hh goods'!$E$9*('R&amp;S - Packaging and hh goods'!$I$15*'R&amp;S - Packaging and hh goods'!$AB$19*(AN$3-$D$3)/10)+AN27*'R&amp;S - Packaging and hh goods'!$M$4/SUM('R&amp;S - Packaging and hh goods'!$L$4:$N$4)*'R&amp;S - Packaging and hh goods'!$F$9*('R&amp;S - Packaging and hh goods'!$K$15*'R&amp;S - Packaging and hh goods'!$AG$19*(AN$3-$D$3)/10)+AN27*'R&amp;S - Packaging and hh goods'!$N$4/SUM('R&amp;S - Packaging and hh goods'!$L$4:$N$4)*'R&amp;S - Packaging and hh goods'!$G$9*('R&amp;S - Packaging and hh goods'!$M$15*'R&amp;S - Packaging and hh goods'!$AL$19*(AN$3-$D$3)/10)</f>
        <v>0.3005444575640398</v>
      </c>
      <c r="AO31" s="43">
        <f>AO27*'R&amp;S - Packaging and hh goods'!$L$4/SUM('R&amp;S - Packaging and hh goods'!$L$4:$N$4)*'R&amp;S - Packaging and hh goods'!$E$9*('R&amp;S - Packaging and hh goods'!$I$15*'R&amp;S - Packaging and hh goods'!$AB$19*(AO$3-$D$3)/10)+AO27*'R&amp;S - Packaging and hh goods'!$M$4/SUM('R&amp;S - Packaging and hh goods'!$L$4:$N$4)*'R&amp;S - Packaging and hh goods'!$F$9*('R&amp;S - Packaging and hh goods'!$K$15*'R&amp;S - Packaging and hh goods'!$AG$19*(AO$3-$D$3)/10)+AO27*'R&amp;S - Packaging and hh goods'!$N$4/SUM('R&amp;S - Packaging and hh goods'!$L$4:$N$4)*'R&amp;S - Packaging and hh goods'!$G$9*('R&amp;S - Packaging and hh goods'!$M$15*'R&amp;S - Packaging and hh goods'!$AL$19*(AO$3-$D$3)/10)</f>
        <v>0.3798130582465552</v>
      </c>
      <c r="AP31" s="43">
        <f>AP27*'R&amp;S - Packaging and hh goods'!$L$4/SUM('R&amp;S - Packaging and hh goods'!$L$4:$N$4)*'R&amp;S - Packaging and hh goods'!$E$9*('R&amp;S - Packaging and hh goods'!$I$15*'R&amp;S - Packaging and hh goods'!$AB$19*(AP$3-$D$3)/10)+AP27*'R&amp;S - Packaging and hh goods'!$M$4/SUM('R&amp;S - Packaging and hh goods'!$L$4:$N$4)*'R&amp;S - Packaging and hh goods'!$F$9*('R&amp;S - Packaging and hh goods'!$K$15*'R&amp;S - Packaging and hh goods'!$AG$19*(AP$3-$D$3)/10)+AP27*'R&amp;S - Packaging and hh goods'!$N$4/SUM('R&amp;S - Packaging and hh goods'!$L$4:$N$4)*'R&amp;S - Packaging and hh goods'!$G$9*('R&amp;S - Packaging and hh goods'!$M$15*'R&amp;S - Packaging and hh goods'!$AL$19*(AP$3-$D$3)/10)</f>
        <v>0.4607892022647207</v>
      </c>
      <c r="AQ31" s="43">
        <f>AQ27*'R&amp;S - Packaging and hh goods'!$L$4/SUM('R&amp;S - Packaging and hh goods'!$L$4:$N$4)*'R&amp;S - Packaging and hh goods'!$E$9*('R&amp;S - Packaging and hh goods'!$I$15*'R&amp;S - Packaging and hh goods'!$AB$19*(AQ$3-$D$3)/10)+AQ27*'R&amp;S - Packaging and hh goods'!$M$4/SUM('R&amp;S - Packaging and hh goods'!$L$4:$N$4)*'R&amp;S - Packaging and hh goods'!$F$9*('R&amp;S - Packaging and hh goods'!$K$15*'R&amp;S - Packaging and hh goods'!$AG$19*(AQ$3-$D$3)/10)+AQ27*'R&amp;S - Packaging and hh goods'!$N$4/SUM('R&amp;S - Packaging and hh goods'!$L$4:$N$4)*'R&amp;S - Packaging and hh goods'!$G$9*('R&amp;S - Packaging and hh goods'!$M$15*'R&amp;S - Packaging and hh goods'!$AL$19*(AQ$3-$D$3)/10)</f>
        <v>0.54350086407123799</v>
      </c>
      <c r="AR31" s="43">
        <f>AR27*'R&amp;S - Packaging and hh goods'!$L$4/SUM('R&amp;S - Packaging and hh goods'!$L$4:$N$4)*'R&amp;S - Packaging and hh goods'!$E$9*('R&amp;S - Packaging and hh goods'!$I$15*'R&amp;S - Packaging and hh goods'!$AB$19*(AR$3-$D$3)/10)+AR27*'R&amp;S - Packaging and hh goods'!$M$4/SUM('R&amp;S - Packaging and hh goods'!$L$4:$N$4)*'R&amp;S - Packaging and hh goods'!$F$9*('R&amp;S - Packaging and hh goods'!$K$15*'R&amp;S - Packaging and hh goods'!$AG$19*(AR$3-$D$3)/10)+AR27*'R&amp;S - Packaging and hh goods'!$N$4/SUM('R&amp;S - Packaging and hh goods'!$L$4:$N$4)*'R&amp;S - Packaging and hh goods'!$G$9*('R&amp;S - Packaging and hh goods'!$M$15*'R&amp;S - Packaging and hh goods'!$AL$19*(AR$3-$D$3)/10)</f>
        <v>0.62797642694402467</v>
      </c>
      <c r="AS31" s="43">
        <f>AS27*'R&amp;S - Packaging and hh goods'!$L$4/SUM('R&amp;S - Packaging and hh goods'!$L$4:$N$4)*'R&amp;S - Packaging and hh goods'!$E$9*('R&amp;S - Packaging and hh goods'!$I$15*'R&amp;S - Packaging and hh goods'!$AB$19*(AS$3-$D$3)/10)+AS27*'R&amp;S - Packaging and hh goods'!$M$4/SUM('R&amp;S - Packaging and hh goods'!$L$4:$N$4)*'R&amp;S - Packaging and hh goods'!$F$9*('R&amp;S - Packaging and hh goods'!$K$15*'R&amp;S - Packaging and hh goods'!$AG$19*(AS$3-$D$3)/10)+AS27*'R&amp;S - Packaging and hh goods'!$N$4/SUM('R&amp;S - Packaging and hh goods'!$L$4:$N$4)*'R&amp;S - Packaging and hh goods'!$G$9*('R&amp;S - Packaging and hh goods'!$M$15*'R&amp;S - Packaging and hh goods'!$AL$19*(AS$3-$D$3)/10)</f>
        <v>0.71424468859545998</v>
      </c>
      <c r="AT31" s="43">
        <f>AT27*'R&amp;S - Packaging and hh goods'!$L$4/SUM('R&amp;S - Packaging and hh goods'!$L$4:$N$4)*'R&amp;S - Packaging and hh goods'!$E$9*('R&amp;S - Packaging and hh goods'!$I$15*'R&amp;S - Packaging and hh goods'!$AB$19*(AT$3-$D$3)/10)+AT27*'R&amp;S - Packaging and hh goods'!$M$4/SUM('R&amp;S - Packaging and hh goods'!$L$4:$N$4)*'R&amp;S - Packaging and hh goods'!$F$9*('R&amp;S - Packaging and hh goods'!$K$15*'R&amp;S - Packaging and hh goods'!$AG$19*(AT$3-$D$3)/10)+AT27*'R&amp;S - Packaging and hh goods'!$N$4/SUM('R&amp;S - Packaging and hh goods'!$L$4:$N$4)*'R&amp;S - Packaging and hh goods'!$G$9*('R&amp;S - Packaging and hh goods'!$M$15*'R&amp;S - Packaging and hh goods'!$AL$19*(AT$3-$D$3)/10)</f>
        <v>0.80233486685556654</v>
      </c>
      <c r="AU31" s="265">
        <f>AU27*'R&amp;S - Packaging and hh goods'!$L$4/SUM('R&amp;S - Packaging and hh goods'!$L$4:$N$4)*('R&amp;S - Packaging and hh goods'!$E$9*'R&amp;S - Packaging and hh goods'!$I$15*('R&amp;S - Packaging and hh goods'!$AB$19+('R&amp;S - Packaging and hh goods'!$AB$20-'R&amp;S - Packaging and hh goods'!$AB$19)*(AU$3-$N$3)/10))+AU27*'R&amp;S - Packaging and hh goods'!$M$4/SUM('R&amp;S - Packaging and hh goods'!$L$4:$N$4)*('R&amp;S - Packaging and hh goods'!$F$9*'R&amp;S - Packaging and hh goods'!$K$15*('R&amp;S - Packaging and hh goods'!$AG$19+('R&amp;S - Packaging and hh goods'!$AG$20-'R&amp;S - Packaging and hh goods'!$AG$19)*(AU$3-$N$3)/10))+AU27*'R&amp;S - Packaging and hh goods'!$N$4/SUM('R&amp;S - Packaging and hh goods'!$L$4:$N$4)*('R&amp;S - Packaging and hh goods'!$G$9*'R&amp;S - Packaging and hh goods'!$M$15*('R&amp;S - Packaging and hh goods'!$AL$19+('R&amp;S - Packaging and hh goods'!$AL$20-'R&amp;S - Packaging and hh goods'!$AL$19)*(AU$3-$N$3)/10))</f>
        <v>0.95158092725577648</v>
      </c>
      <c r="AV31" s="265">
        <f>AV27*'R&amp;S - Packaging and hh goods'!$L$4/SUM('R&amp;S - Packaging and hh goods'!$L$4:$N$4)*('R&amp;S - Packaging and hh goods'!$E$9*'R&amp;S - Packaging and hh goods'!$I$15*('R&amp;S - Packaging and hh goods'!$AB$19+('R&amp;S - Packaging and hh goods'!$AB$20-'R&amp;S - Packaging and hh goods'!$AB$19)*(AV$3-$N$3)/10))+AV27*'R&amp;S - Packaging and hh goods'!$M$4/SUM('R&amp;S - Packaging and hh goods'!$L$4:$N$4)*('R&amp;S - Packaging and hh goods'!$F$9*'R&amp;S - Packaging and hh goods'!$K$15*('R&amp;S - Packaging and hh goods'!$AG$19+('R&amp;S - Packaging and hh goods'!$AG$20-'R&amp;S - Packaging and hh goods'!$AG$19)*(AV$3-$N$3)/10))+AV27*'R&amp;S - Packaging and hh goods'!$N$4/SUM('R&amp;S - Packaging and hh goods'!$L$4:$N$4)*('R&amp;S - Packaging and hh goods'!$G$9*'R&amp;S - Packaging and hh goods'!$M$15*('R&amp;S - Packaging and hh goods'!$AL$19+('R&amp;S - Packaging and hh goods'!$AL$20-'R&amp;S - Packaging and hh goods'!$AL$19)*(AV$3-$N$3)/10))</f>
        <v>1.1040133184659011</v>
      </c>
      <c r="AW31" s="265">
        <f>AW27*'R&amp;S - Packaging and hh goods'!$L$4/SUM('R&amp;S - Packaging and hh goods'!$L$4:$N$4)*('R&amp;S - Packaging and hh goods'!$E$9*'R&amp;S - Packaging and hh goods'!$I$15*('R&amp;S - Packaging and hh goods'!$AB$19+('R&amp;S - Packaging and hh goods'!$AB$20-'R&amp;S - Packaging and hh goods'!$AB$19)*(AW$3-$N$3)/10))+AW27*'R&amp;S - Packaging and hh goods'!$M$4/SUM('R&amp;S - Packaging and hh goods'!$L$4:$N$4)*('R&amp;S - Packaging and hh goods'!$F$9*'R&amp;S - Packaging and hh goods'!$K$15*('R&amp;S - Packaging and hh goods'!$AG$19+('R&amp;S - Packaging and hh goods'!$AG$20-'R&amp;S - Packaging and hh goods'!$AG$19)*(AW$3-$N$3)/10))+AW27*'R&amp;S - Packaging and hh goods'!$N$4/SUM('R&amp;S - Packaging and hh goods'!$L$4:$N$4)*('R&amp;S - Packaging and hh goods'!$G$9*'R&amp;S - Packaging and hh goods'!$M$15*('R&amp;S - Packaging and hh goods'!$AL$19+('R&amp;S - Packaging and hh goods'!$AL$20-'R&amp;S - Packaging and hh goods'!$AL$19)*(AW$3-$N$3)/10))</f>
        <v>1.2596840809904506</v>
      </c>
      <c r="AX31" s="265">
        <f>AX27*'R&amp;S - Packaging and hh goods'!$L$4/SUM('R&amp;S - Packaging and hh goods'!$L$4:$N$4)*('R&amp;S - Packaging and hh goods'!$E$9*'R&amp;S - Packaging and hh goods'!$I$15*('R&amp;S - Packaging and hh goods'!$AB$19+('R&amp;S - Packaging and hh goods'!$AB$20-'R&amp;S - Packaging and hh goods'!$AB$19)*(AX$3-$N$3)/10))+AX27*'R&amp;S - Packaging and hh goods'!$M$4/SUM('R&amp;S - Packaging and hh goods'!$L$4:$N$4)*('R&amp;S - Packaging and hh goods'!$F$9*'R&amp;S - Packaging and hh goods'!$K$15*('R&amp;S - Packaging and hh goods'!$AG$19+('R&amp;S - Packaging and hh goods'!$AG$20-'R&amp;S - Packaging and hh goods'!$AG$19)*(AX$3-$N$3)/10))+AX27*'R&amp;S - Packaging and hh goods'!$N$4/SUM('R&amp;S - Packaging and hh goods'!$L$4:$N$4)*('R&amp;S - Packaging and hh goods'!$G$9*'R&amp;S - Packaging and hh goods'!$M$15*('R&amp;S - Packaging and hh goods'!$AL$19+('R&amp;S - Packaging and hh goods'!$AL$20-'R&amp;S - Packaging and hh goods'!$AL$19)*(AX$3-$N$3)/10))</f>
        <v>1.4186460146790059</v>
      </c>
      <c r="AY31" s="265">
        <f>AY27*'R&amp;S - Packaging and hh goods'!$L$4/SUM('R&amp;S - Packaging and hh goods'!$L$4:$N$4)*('R&amp;S - Packaging and hh goods'!$E$9*'R&amp;S - Packaging and hh goods'!$I$15*('R&amp;S - Packaging and hh goods'!$AB$19+('R&amp;S - Packaging and hh goods'!$AB$20-'R&amp;S - Packaging and hh goods'!$AB$19)*(AY$3-$N$3)/10))+AY27*'R&amp;S - Packaging and hh goods'!$M$4/SUM('R&amp;S - Packaging and hh goods'!$L$4:$N$4)*('R&amp;S - Packaging and hh goods'!$F$9*'R&amp;S - Packaging and hh goods'!$K$15*('R&amp;S - Packaging and hh goods'!$AG$19+('R&amp;S - Packaging and hh goods'!$AG$20-'R&amp;S - Packaging and hh goods'!$AG$19)*(AY$3-$N$3)/10))+AY27*'R&amp;S - Packaging and hh goods'!$N$4/SUM('R&amp;S - Packaging and hh goods'!$L$4:$N$4)*('R&amp;S - Packaging and hh goods'!$G$9*'R&amp;S - Packaging and hh goods'!$M$15*('R&amp;S - Packaging and hh goods'!$AL$19+('R&amp;S - Packaging and hh goods'!$AL$20-'R&amp;S - Packaging and hh goods'!$AL$19)*(AY$3-$N$3)/10))</f>
        <v>1.5809526891349099</v>
      </c>
      <c r="AZ31" s="265">
        <f>AZ27*'R&amp;S - Packaging and hh goods'!$L$4/SUM('R&amp;S - Packaging and hh goods'!$L$4:$N$4)*('R&amp;S - Packaging and hh goods'!$E$9*'R&amp;S - Packaging and hh goods'!$I$15*('R&amp;S - Packaging and hh goods'!$AB$19+('R&amp;S - Packaging and hh goods'!$AB$20-'R&amp;S - Packaging and hh goods'!$AB$19)*(AZ$3-$N$3)/10))+AZ27*'R&amp;S - Packaging and hh goods'!$M$4/SUM('R&amp;S - Packaging and hh goods'!$L$4:$N$4)*('R&amp;S - Packaging and hh goods'!$F$9*'R&amp;S - Packaging and hh goods'!$K$15*('R&amp;S - Packaging and hh goods'!$AG$19+('R&amp;S - Packaging and hh goods'!$AG$20-'R&amp;S - Packaging and hh goods'!$AG$19)*(AZ$3-$N$3)/10))+AZ27*'R&amp;S - Packaging and hh goods'!$N$4/SUM('R&amp;S - Packaging and hh goods'!$L$4:$N$4)*('R&amp;S - Packaging and hh goods'!$G$9*'R&amp;S - Packaging and hh goods'!$M$15*('R&amp;S - Packaging and hh goods'!$AL$19+('R&amp;S - Packaging and hh goods'!$AL$20-'R&amp;S - Packaging and hh goods'!$AL$19)*(AZ$3-$N$3)/10))</f>
        <v>1.7466584542610666</v>
      </c>
      <c r="BA31" s="265">
        <f>BA27*'R&amp;S - Packaging and hh goods'!$L$4/SUM('R&amp;S - Packaging and hh goods'!$L$4:$N$4)*('R&amp;S - Packaging and hh goods'!$E$9*'R&amp;S - Packaging and hh goods'!$I$15*('R&amp;S - Packaging and hh goods'!$AB$19+('R&amp;S - Packaging and hh goods'!$AB$20-'R&amp;S - Packaging and hh goods'!$AB$19)*(BA$3-$N$3)/10))+BA27*'R&amp;S - Packaging and hh goods'!$M$4/SUM('R&amp;S - Packaging and hh goods'!$L$4:$N$4)*('R&amp;S - Packaging and hh goods'!$F$9*'R&amp;S - Packaging and hh goods'!$K$15*('R&amp;S - Packaging and hh goods'!$AG$19+('R&amp;S - Packaging and hh goods'!$AG$20-'R&amp;S - Packaging and hh goods'!$AG$19)*(BA$3-$N$3)/10))+BA27*'R&amp;S - Packaging and hh goods'!$N$4/SUM('R&amp;S - Packaging and hh goods'!$L$4:$N$4)*('R&amp;S - Packaging and hh goods'!$G$9*'R&amp;S - Packaging and hh goods'!$M$15*('R&amp;S - Packaging and hh goods'!$AL$19+('R&amp;S - Packaging and hh goods'!$AL$20-'R&amp;S - Packaging and hh goods'!$AL$19)*(BA$3-$N$3)/10))</f>
        <v>1.9158184509446139</v>
      </c>
      <c r="BB31" s="265">
        <f>BB27*'R&amp;S - Packaging and hh goods'!$L$4/SUM('R&amp;S - Packaging and hh goods'!$L$4:$N$4)*('R&amp;S - Packaging and hh goods'!$E$9*'R&amp;S - Packaging and hh goods'!$I$15*('R&amp;S - Packaging and hh goods'!$AB$19+('R&amp;S - Packaging and hh goods'!$AB$20-'R&amp;S - Packaging and hh goods'!$AB$19)*(BB$3-$N$3)/10))+BB27*'R&amp;S - Packaging and hh goods'!$M$4/SUM('R&amp;S - Packaging and hh goods'!$L$4:$N$4)*('R&amp;S - Packaging and hh goods'!$F$9*'R&amp;S - Packaging and hh goods'!$K$15*('R&amp;S - Packaging and hh goods'!$AG$19+('R&amp;S - Packaging and hh goods'!$AG$20-'R&amp;S - Packaging and hh goods'!$AG$19)*(BB$3-$N$3)/10))+BB27*'R&amp;S - Packaging and hh goods'!$N$4/SUM('R&amp;S - Packaging and hh goods'!$L$4:$N$4)*('R&amp;S - Packaging and hh goods'!$G$9*'R&amp;S - Packaging and hh goods'!$M$15*('R&amp;S - Packaging and hh goods'!$AL$19+('R&amp;S - Packaging and hh goods'!$AL$20-'R&amp;S - Packaging and hh goods'!$AL$19)*(BB$3-$N$3)/10))</f>
        <v>2.0884886218822341</v>
      </c>
      <c r="BC31" s="265">
        <f>BC27*'R&amp;S - Packaging and hh goods'!$L$4/SUM('R&amp;S - Packaging and hh goods'!$L$4:$N$4)*('R&amp;S - Packaging and hh goods'!$E$9*'R&amp;S - Packaging and hh goods'!$I$15*('R&amp;S - Packaging and hh goods'!$AB$19+('R&amp;S - Packaging and hh goods'!$AB$20-'R&amp;S - Packaging and hh goods'!$AB$19)*(BC$3-$N$3)/10))+BC27*'R&amp;S - Packaging and hh goods'!$M$4/SUM('R&amp;S - Packaging and hh goods'!$L$4:$N$4)*('R&amp;S - Packaging and hh goods'!$F$9*'R&amp;S - Packaging and hh goods'!$K$15*('R&amp;S - Packaging and hh goods'!$AG$19+('R&amp;S - Packaging and hh goods'!$AG$20-'R&amp;S - Packaging and hh goods'!$AG$19)*(BC$3-$N$3)/10))+BC27*'R&amp;S - Packaging and hh goods'!$N$4/SUM('R&amp;S - Packaging and hh goods'!$L$4:$N$4)*('R&amp;S - Packaging and hh goods'!$G$9*'R&amp;S - Packaging and hh goods'!$M$15*('R&amp;S - Packaging and hh goods'!$AL$19+('R&amp;S - Packaging and hh goods'!$AL$20-'R&amp;S - Packaging and hh goods'!$AL$19)*(BC$3-$N$3)/10))</f>
        <v>2.2647257225479169</v>
      </c>
      <c r="BD31" s="265">
        <f>BD27*'R&amp;S - Packaging and hh goods'!$L$4/SUM('R&amp;S - Packaging and hh goods'!$L$4:$N$4)*('R&amp;S - Packaging and hh goods'!$E$9*'R&amp;S - Packaging and hh goods'!$I$15*('R&amp;S - Packaging and hh goods'!$AB$19+('R&amp;S - Packaging and hh goods'!$AB$20-'R&amp;S - Packaging and hh goods'!$AB$19)*(BD$3-$N$3)/10))+BD27*'R&amp;S - Packaging and hh goods'!$M$4/SUM('R&amp;S - Packaging and hh goods'!$L$4:$N$4)*('R&amp;S - Packaging and hh goods'!$F$9*'R&amp;S - Packaging and hh goods'!$K$15*('R&amp;S - Packaging and hh goods'!$AG$19+('R&amp;S - Packaging and hh goods'!$AG$20-'R&amp;S - Packaging and hh goods'!$AG$19)*(BD$3-$N$3)/10))+BD27*'R&amp;S - Packaging and hh goods'!$N$4/SUM('R&amp;S - Packaging and hh goods'!$L$4:$N$4)*('R&amp;S - Packaging and hh goods'!$G$9*'R&amp;S - Packaging and hh goods'!$M$15*('R&amp;S - Packaging and hh goods'!$AL$19+('R&amp;S - Packaging and hh goods'!$AL$20-'R&amp;S - Packaging and hh goods'!$AL$19)*(BD$3-$N$3)/10))</f>
        <v>2.4445873323049971</v>
      </c>
      <c r="BE31" s="265">
        <f>BE27*'R&amp;S - Packaging and hh goods'!$L$4/SUM('R&amp;S - Packaging and hh goods'!$L$4:$N$4)*('R&amp;S - Packaging and hh goods'!$E9*'R&amp;S - Packaging and hh goods'!$I$15*('R&amp;S - Packaging and hh goods'!$AB$20+('R&amp;S - Packaging and hh goods'!$AB$21-'R&amp;S - Packaging and hh goods'!$AB$20)*(BE$3-$X$3)/10))+BE27*'R&amp;S - Packaging and hh goods'!$M$4/SUM('R&amp;S - Packaging and hh goods'!$L$4:$N$4)*('R&amp;S - Packaging and hh goods'!$F9*'R&amp;S - Packaging and hh goods'!$K$15*('R&amp;S - Packaging and hh goods'!$AG$20+('R&amp;S - Packaging and hh goods'!$AG$21-'R&amp;S - Packaging and hh goods'!$AG$20)*(BE$3-$X$3)/10))+BE27*'R&amp;S - Packaging and hh goods'!$N$4/SUM('R&amp;S - Packaging and hh goods'!$L$4:$N$4)*('R&amp;S - Packaging and hh goods'!$G9*'R&amp;S - Packaging and hh goods'!$M$15*('R&amp;S - Packaging and hh goods'!$AL$20+('R&amp;S - Packaging and hh goods'!$AL$21-'R&amp;S - Packaging and hh goods'!$AL$20)*(BE$3-$X$3)/10))</f>
        <v>2.6045068627591741</v>
      </c>
      <c r="BF31" s="265">
        <f>BF27*'R&amp;S - Packaging and hh goods'!$L$4/SUM('R&amp;S - Packaging and hh goods'!$L$4:$N$4)*('R&amp;S - Packaging and hh goods'!$E9*'R&amp;S - Packaging and hh goods'!$I$15*('R&amp;S - Packaging and hh goods'!$AB$20+('R&amp;S - Packaging and hh goods'!$AB$21-'R&amp;S - Packaging and hh goods'!$AB$20)*(BF$3-$X$3)/10))+BF27*'R&amp;S - Packaging and hh goods'!$M$4/SUM('R&amp;S - Packaging and hh goods'!$L$4:$N$4)*('R&amp;S - Packaging and hh goods'!$F9*'R&amp;S - Packaging and hh goods'!$K$15*('R&amp;S - Packaging and hh goods'!$AG$20+('R&amp;S - Packaging and hh goods'!$AG$21-'R&amp;S - Packaging and hh goods'!$AG$20)*(BF$3-$X$3)/10))+BF27*'R&amp;S - Packaging and hh goods'!$N$4/SUM('R&amp;S - Packaging and hh goods'!$L$4:$N$4)*('R&amp;S - Packaging and hh goods'!$G9*'R&amp;S - Packaging and hh goods'!$M$15*('R&amp;S - Packaging and hh goods'!$AL$20+('R&amp;S - Packaging and hh goods'!$AL$21-'R&amp;S - Packaging and hh goods'!$AL$20)*(BF$3-$X$3)/10))</f>
        <v>2.7676488278161329</v>
      </c>
      <c r="BG31" s="265">
        <f>BG27*'R&amp;S - Packaging and hh goods'!$L$4/SUM('R&amp;S - Packaging and hh goods'!$L$4:$N$4)*('R&amp;S - Packaging and hh goods'!$E9*'R&amp;S - Packaging and hh goods'!$I$15*('R&amp;S - Packaging and hh goods'!$AB$20+('R&amp;S - Packaging and hh goods'!$AB$21-'R&amp;S - Packaging and hh goods'!$AB$20)*(BG$3-$X$3)/10))+BG27*'R&amp;S - Packaging and hh goods'!$M$4/SUM('R&amp;S - Packaging and hh goods'!$L$4:$N$4)*('R&amp;S - Packaging and hh goods'!$F9*'R&amp;S - Packaging and hh goods'!$K$15*('R&amp;S - Packaging and hh goods'!$AG$20+('R&amp;S - Packaging and hh goods'!$AG$21-'R&amp;S - Packaging and hh goods'!$AG$20)*(BG$3-$X$3)/10))+BG27*'R&amp;S - Packaging and hh goods'!$N$4/SUM('R&amp;S - Packaging and hh goods'!$L$4:$N$4)*('R&amp;S - Packaging and hh goods'!$G9*'R&amp;S - Packaging and hh goods'!$M$15*('R&amp;S - Packaging and hh goods'!$AL$20+('R&amp;S - Packaging and hh goods'!$AL$21-'R&amp;S - Packaging and hh goods'!$AL$20)*(BG$3-$X$3)/10))</f>
        <v>2.934064770773952</v>
      </c>
      <c r="BH31" s="265">
        <f>BH27*'R&amp;S - Packaging and hh goods'!$L$4/SUM('R&amp;S - Packaging and hh goods'!$L$4:$N$4)*('R&amp;S - Packaging and hh goods'!$E9*'R&amp;S - Packaging and hh goods'!$I$15*('R&amp;S - Packaging and hh goods'!$AB$20+('R&amp;S - Packaging and hh goods'!$AB$21-'R&amp;S - Packaging and hh goods'!$AB$20)*(BH$3-$X$3)/10))+BH27*'R&amp;S - Packaging and hh goods'!$M$4/SUM('R&amp;S - Packaging and hh goods'!$L$4:$N$4)*('R&amp;S - Packaging and hh goods'!$F9*'R&amp;S - Packaging and hh goods'!$K$15*('R&amp;S - Packaging and hh goods'!$AG$20+('R&amp;S - Packaging and hh goods'!$AG$21-'R&amp;S - Packaging and hh goods'!$AG$20)*(BH$3-$X$3)/10))+BH27*'R&amp;S - Packaging and hh goods'!$N$4/SUM('R&amp;S - Packaging and hh goods'!$L$4:$N$4)*('R&amp;S - Packaging and hh goods'!$G9*'R&amp;S - Packaging and hh goods'!$M$15*('R&amp;S - Packaging and hh goods'!$AL$20+('R&amp;S - Packaging and hh goods'!$AL$21-'R&amp;S - Packaging and hh goods'!$AL$20)*(BH$3-$X$3)/10))</f>
        <v>3.1038069789686769</v>
      </c>
      <c r="BI31" s="265">
        <f>BI27*'R&amp;S - Packaging and hh goods'!$L$4/SUM('R&amp;S - Packaging and hh goods'!$L$4:$N$4)*('R&amp;S - Packaging and hh goods'!$E9*'R&amp;S - Packaging and hh goods'!$I$15*('R&amp;S - Packaging and hh goods'!$AB$20+('R&amp;S - Packaging and hh goods'!$AB$21-'R&amp;S - Packaging and hh goods'!$AB$20)*(BI$3-$X$3)/10))+BI27*'R&amp;S - Packaging and hh goods'!$M$4/SUM('R&amp;S - Packaging and hh goods'!$L$4:$N$4)*('R&amp;S - Packaging and hh goods'!$F9*'R&amp;S - Packaging and hh goods'!$K$15*('R&amp;S - Packaging and hh goods'!$AG$20+('R&amp;S - Packaging and hh goods'!$AG$21-'R&amp;S - Packaging and hh goods'!$AG$20)*(BI$3-$X$3)/10))+BI27*'R&amp;S - Packaging and hh goods'!$N$4/SUM('R&amp;S - Packaging and hh goods'!$L$4:$N$4)*('R&amp;S - Packaging and hh goods'!$G9*'R&amp;S - Packaging and hh goods'!$M$15*('R&amp;S - Packaging and hh goods'!$AL$20+('R&amp;S - Packaging and hh goods'!$AL$21-'R&amp;S - Packaging and hh goods'!$AL$20)*(BI$3-$X$3)/10))</f>
        <v>3.2769284939064223</v>
      </c>
      <c r="BJ31" s="265">
        <f>BJ27*'R&amp;S - Packaging and hh goods'!$L$4/SUM('R&amp;S - Packaging and hh goods'!$L$4:$N$4)*('R&amp;S - Packaging and hh goods'!$E9*'R&amp;S - Packaging and hh goods'!$I$15*('R&amp;S - Packaging and hh goods'!$AB$20+('R&amp;S - Packaging and hh goods'!$AB$21-'R&amp;S - Packaging and hh goods'!$AB$20)*(BJ$3-$X$3)/10))+BJ27*'R&amp;S - Packaging and hh goods'!$M$4/SUM('R&amp;S - Packaging and hh goods'!$L$4:$N$4)*('R&amp;S - Packaging and hh goods'!$F9*'R&amp;S - Packaging and hh goods'!$K$15*('R&amp;S - Packaging and hh goods'!$AG$20+('R&amp;S - Packaging and hh goods'!$AG$21-'R&amp;S - Packaging and hh goods'!$AG$20)*(BJ$3-$X$3)/10))+BJ27*'R&amp;S - Packaging and hh goods'!$N$4/SUM('R&amp;S - Packaging and hh goods'!$L$4:$N$4)*('R&amp;S - Packaging and hh goods'!$G9*'R&amp;S - Packaging and hh goods'!$M$15*('R&amp;S - Packaging and hh goods'!$AL$20+('R&amp;S - Packaging and hh goods'!$AL$21-'R&amp;S - Packaging and hh goods'!$AL$20)*(BJ$3-$X$3)/10))</f>
        <v>3.4534831215283428</v>
      </c>
      <c r="BK31" s="265">
        <f>BK27*'R&amp;S - Packaging and hh goods'!$L$4/SUM('R&amp;S - Packaging and hh goods'!$L$4:$N$4)*('R&amp;S - Packaging and hh goods'!$E9*'R&amp;S - Packaging and hh goods'!$I$15*('R&amp;S - Packaging and hh goods'!$AB$20+('R&amp;S - Packaging and hh goods'!$AB$21-'R&amp;S - Packaging and hh goods'!$AB$20)*(BK$3-$X$3)/10))+BK27*'R&amp;S - Packaging and hh goods'!$M$4/SUM('R&amp;S - Packaging and hh goods'!$L$4:$N$4)*('R&amp;S - Packaging and hh goods'!$F9*'R&amp;S - Packaging and hh goods'!$K$15*('R&amp;S - Packaging and hh goods'!$AG$20+('R&amp;S - Packaging and hh goods'!$AG$21-'R&amp;S - Packaging and hh goods'!$AG$20)*(BK$3-$X$3)/10))+BK27*'R&amp;S - Packaging and hh goods'!$N$4/SUM('R&amp;S - Packaging and hh goods'!$L$4:$N$4)*('R&amp;S - Packaging and hh goods'!$G9*'R&amp;S - Packaging and hh goods'!$M$15*('R&amp;S - Packaging and hh goods'!$AL$20+('R&amp;S - Packaging and hh goods'!$AL$21-'R&amp;S - Packaging and hh goods'!$AL$20)*(BK$3-$X$3)/10))</f>
        <v>3.633525442610182</v>
      </c>
      <c r="BL31" s="265">
        <f>BL27*'R&amp;S - Packaging and hh goods'!$L$4/SUM('R&amp;S - Packaging and hh goods'!$L$4:$N$4)*('R&amp;S - Packaging and hh goods'!$E9*'R&amp;S - Packaging and hh goods'!$I$15*('R&amp;S - Packaging and hh goods'!$AB$20+('R&amp;S - Packaging and hh goods'!$AB$21-'R&amp;S - Packaging and hh goods'!$AB$20)*(BL$3-$X$3)/10))+BL27*'R&amp;S - Packaging and hh goods'!$M$4/SUM('R&amp;S - Packaging and hh goods'!$L$4:$N$4)*('R&amp;S - Packaging and hh goods'!$F9*'R&amp;S - Packaging and hh goods'!$K$15*('R&amp;S - Packaging and hh goods'!$AG$20+('R&amp;S - Packaging and hh goods'!$AG$21-'R&amp;S - Packaging and hh goods'!$AG$20)*(BL$3-$X$3)/10))+BL27*'R&amp;S - Packaging and hh goods'!$N$4/SUM('R&amp;S - Packaging and hh goods'!$L$4:$N$4)*('R&amp;S - Packaging and hh goods'!$G9*'R&amp;S - Packaging and hh goods'!$M$15*('R&amp;S - Packaging and hh goods'!$AL$20+('R&amp;S - Packaging and hh goods'!$AL$21-'R&amp;S - Packaging and hh goods'!$AL$20)*(BL$3-$X$3)/10))</f>
        <v>3.8171108232981172</v>
      </c>
      <c r="BM31" s="265">
        <f>BM27*'R&amp;S - Packaging and hh goods'!$L$4/SUM('R&amp;S - Packaging and hh goods'!$L$4:$N$4)*('R&amp;S - Packaging and hh goods'!$E9*'R&amp;S - Packaging and hh goods'!$I$15*('R&amp;S - Packaging and hh goods'!$AB$20+('R&amp;S - Packaging and hh goods'!$AB$21-'R&amp;S - Packaging and hh goods'!$AB$20)*(BM$3-$X$3)/10))+BM27*'R&amp;S - Packaging and hh goods'!$M$4/SUM('R&amp;S - Packaging and hh goods'!$L$4:$N$4)*('R&amp;S - Packaging and hh goods'!$F9*'R&amp;S - Packaging and hh goods'!$K$15*('R&amp;S - Packaging and hh goods'!$AG$20+('R&amp;S - Packaging and hh goods'!$AG$21-'R&amp;S - Packaging and hh goods'!$AG$20)*(BM$3-$X$3)/10))+BM27*'R&amp;S - Packaging and hh goods'!$N$4/SUM('R&amp;S - Packaging and hh goods'!$L$4:$N$4)*('R&amp;S - Packaging and hh goods'!$G9*'R&amp;S - Packaging and hh goods'!$M$15*('R&amp;S - Packaging and hh goods'!$AL$20+('R&amp;S - Packaging and hh goods'!$AL$21-'R&amp;S - Packaging and hh goods'!$AL$20)*(BM$3-$X$3)/10))</f>
        <v>4.0042954257826313</v>
      </c>
      <c r="BN31" s="265">
        <f>BN27*'R&amp;S - Packaging and hh goods'!$L$4/SUM('R&amp;S - Packaging and hh goods'!$L$4:$N$4)*('R&amp;S - Packaging and hh goods'!$E9*'R&amp;S - Packaging and hh goods'!$I$15*('R&amp;S - Packaging and hh goods'!$AB$20+('R&amp;S - Packaging and hh goods'!$AB$21-'R&amp;S - Packaging and hh goods'!$AB$20)*(BN$3-$X$3)/10))+BN27*'R&amp;S - Packaging and hh goods'!$M$4/SUM('R&amp;S - Packaging and hh goods'!$L$4:$N$4)*('R&amp;S - Packaging and hh goods'!$F9*'R&amp;S - Packaging and hh goods'!$K$15*('R&amp;S - Packaging and hh goods'!$AG$20+('R&amp;S - Packaging and hh goods'!$AG$21-'R&amp;S - Packaging and hh goods'!$AG$20)*(BN$3-$X$3)/10))+BN27*'R&amp;S - Packaging and hh goods'!$N$4/SUM('R&amp;S - Packaging and hh goods'!$L$4:$N$4)*('R&amp;S - Packaging and hh goods'!$G9*'R&amp;S - Packaging and hh goods'!$M$15*('R&amp;S - Packaging and hh goods'!$AL$20+('R&amp;S - Packaging and hh goods'!$AL$21-'R&amp;S - Packaging and hh goods'!$AL$20)*(BN$3-$X$3)/10))</f>
        <v>4.1951362191121859</v>
      </c>
      <c r="BR31" t="s">
        <v>190</v>
      </c>
      <c r="BS31" s="44" t="e">
        <f>#REF!</f>
        <v>#REF!</v>
      </c>
      <c r="BU31" t="str">
        <v>Minor Polymers</v>
      </c>
      <c r="BV31" s="44">
        <v>22.580763290736638</v>
      </c>
      <c r="BW31" s="2">
        <v>0.21698594092708512</v>
      </c>
    </row>
    <row r="32" spans="1:85" outlineLevel="1" x14ac:dyDescent="0.2">
      <c r="B32" s="61" t="s">
        <v>203</v>
      </c>
      <c r="C32" s="54" t="s">
        <v>153</v>
      </c>
      <c r="D32" s="43">
        <v>0</v>
      </c>
      <c r="E32" s="43">
        <f>E31*'R&amp;S - Packaging and hh goods'!$L$4/SUM('R&amp;S - Packaging and hh goods'!$L$4:$N$4)*'R&amp;S - Packaging and hh goods'!$E$10*('R&amp;S - Packaging and hh goods'!$I$14*'R&amp;S - Packaging and hh goods'!$AC$19*(E$3-$D$3)/10)+E31*'R&amp;S - Packaging and hh goods'!$M$4/SUM('R&amp;S - Packaging and hh goods'!$L$4:$N$4)*'R&amp;S - Packaging and hh goods'!$F$10*('R&amp;S - Packaging and hh goods'!$K$14*'R&amp;S - Packaging and hh goods'!$AH$19*(E$3-$D$3)/10)+E31*'R&amp;S - Packaging and hh goods'!$N$4/SUM('R&amp;S - Packaging and hh goods'!$L$4:$N$4)*'R&amp;S - Packaging and hh goods'!$G$10*('R&amp;S - Packaging and hh goods'!$M$14*'R&amp;S - Packaging and hh goods'!$AM$19*(E$3-$D$3)/10)</f>
        <v>2.1170259927438107E-4</v>
      </c>
      <c r="F32" s="43">
        <f>F27*'R&amp;S - Packaging and hh goods'!$L$4/SUM('R&amp;S - Packaging and hh goods'!$L$4:$N$4)*'R&amp;S - Packaging and hh goods'!$E$10*('R&amp;S - Packaging and hh goods'!$I$14*'R&amp;S - Packaging and hh goods'!$AC$19*(F$3-$D$3)/10)+F27*'R&amp;S - Packaging and hh goods'!$M$4/SUM('R&amp;S - Packaging and hh goods'!$L$4:$N$4)*'R&amp;S - Packaging and hh goods'!$F$10*('R&amp;S - Packaging and hh goods'!$K$14*'R&amp;S - Packaging and hh goods'!$AH$19*(F$3-$D$3)/10)+F27*'R&amp;S - Packaging and hh goods'!$N$4/SUM('R&amp;S - Packaging and hh goods'!$L$4:$N$4)*'R&amp;S - Packaging and hh goods'!$G$10*('R&amp;S - Packaging and hh goods'!$M$14*'R&amp;S - Packaging and hh goods'!$AM$19*(F$3-$D$3)/10)</f>
        <v>0.21884432637689349</v>
      </c>
      <c r="G32" s="43">
        <f>G27*'R&amp;S - Packaging and hh goods'!$L$4/SUM('R&amp;S - Packaging and hh goods'!$L$4:$N$4)*'R&amp;S - Packaging and hh goods'!$E$10*('R&amp;S - Packaging and hh goods'!$I$14*'R&amp;S - Packaging and hh goods'!$AC$19*(G$3-$D$3)/10)+G27*'R&amp;S - Packaging and hh goods'!$M$4/SUM('R&amp;S - Packaging and hh goods'!$L$4:$N$4)*'R&amp;S - Packaging and hh goods'!$F$10*('R&amp;S - Packaging and hh goods'!$K$14*'R&amp;S - Packaging and hh goods'!$AH$19*(G$3-$D$3)/10)+G27*'R&amp;S - Packaging and hh goods'!$N$4/SUM('R&amp;S - Packaging and hh goods'!$L$4:$N$4)*'R&amp;S - Packaging and hh goods'!$G$10*('R&amp;S - Packaging and hh goods'!$M$14*'R&amp;S - Packaging and hh goods'!$AM$19*(G$3-$D$3)/10)</f>
        <v>0.33187742095055889</v>
      </c>
      <c r="H32" s="43">
        <f>H27*'R&amp;S - Packaging and hh goods'!$L$4/SUM('R&amp;S - Packaging and hh goods'!$L$4:$N$4)*'R&amp;S - Packaging and hh goods'!$E$10*('R&amp;S - Packaging and hh goods'!$I$14*'R&amp;S - Packaging and hh goods'!$AC$19*(H$3-$D$3)/10)+H27*'R&amp;S - Packaging and hh goods'!$M$4/SUM('R&amp;S - Packaging and hh goods'!$L$4:$N$4)*'R&amp;S - Packaging and hh goods'!$F$10*('R&amp;S - Packaging and hh goods'!$K$14*'R&amp;S - Packaging and hh goods'!$AH$19*(H$3-$D$3)/10)+H27*'R&amp;S - Packaging and hh goods'!$N$4/SUM('R&amp;S - Packaging and hh goods'!$L$4:$N$4)*'R&amp;S - Packaging and hh goods'!$G$10*('R&amp;S - Packaging and hh goods'!$M$14*'R&amp;S - Packaging and hh goods'!$AM$19*(H$3-$D$3)/10)</f>
        <v>0.4473707634413534</v>
      </c>
      <c r="I32" s="43">
        <f>I27*'R&amp;S - Packaging and hh goods'!$L$4/SUM('R&amp;S - Packaging and hh goods'!$L$4:$N$4)*'R&amp;S - Packaging and hh goods'!$E$10*('R&amp;S - Packaging and hh goods'!$I$14*'R&amp;S - Packaging and hh goods'!$AC$19*(I$3-$D$3)/10)+I27*'R&amp;S - Packaging and hh goods'!$M$4/SUM('R&amp;S - Packaging and hh goods'!$L$4:$N$4)*'R&amp;S - Packaging and hh goods'!$F$10*('R&amp;S - Packaging and hh goods'!$K$14*'R&amp;S - Packaging and hh goods'!$AH$19*(I$3-$D$3)/10)+I27*'R&amp;S - Packaging and hh goods'!$N$4/SUM('R&amp;S - Packaging and hh goods'!$L$4:$N$4)*'R&amp;S - Packaging and hh goods'!$G$10*('R&amp;S - Packaging and hh goods'!$M$14*'R&amp;S - Packaging and hh goods'!$AM$19*(I$3-$D$3)/10)</f>
        <v>0.56536480229901032</v>
      </c>
      <c r="J32" s="43">
        <f>J27*'R&amp;S - Packaging and hh goods'!$L$4/SUM('R&amp;S - Packaging and hh goods'!$L$4:$N$4)*'R&amp;S - Packaging and hh goods'!$E$10*('R&amp;S - Packaging and hh goods'!$I$14*'R&amp;S - Packaging and hh goods'!$AC$19*(J$3-$D$3)/10)+J27*'R&amp;S - Packaging and hh goods'!$M$4/SUM('R&amp;S - Packaging and hh goods'!$L$4:$N$4)*'R&amp;S - Packaging and hh goods'!$F$10*('R&amp;S - Packaging and hh goods'!$K$14*'R&amp;S - Packaging and hh goods'!$AH$19*(J$3-$D$3)/10)+J27*'R&amp;S - Packaging and hh goods'!$N$4/SUM('R&amp;S - Packaging and hh goods'!$L$4:$N$4)*'R&amp;S - Packaging and hh goods'!$G$10*('R&amp;S - Packaging and hh goods'!$M$14*'R&amp;S - Packaging and hh goods'!$AM$19*(J$3-$D$3)/10)</f>
        <v>0.68590057814915906</v>
      </c>
      <c r="K32" s="43">
        <f>K27*'R&amp;S - Packaging and hh goods'!$L$4/SUM('R&amp;S - Packaging and hh goods'!$L$4:$N$4)*'R&amp;S - Packaging and hh goods'!$E$10*('R&amp;S - Packaging and hh goods'!$I$14*'R&amp;S - Packaging and hh goods'!$AC$19*(K$3-$D$3)/10)+K27*'R&amp;S - Packaging and hh goods'!$M$4/SUM('R&amp;S - Packaging and hh goods'!$L$4:$N$4)*'R&amp;S - Packaging and hh goods'!$F$10*('R&amp;S - Packaging and hh goods'!$K$14*'R&amp;S - Packaging and hh goods'!$AH$19*(K$3-$D$3)/10)+K27*'R&amp;S - Packaging and hh goods'!$N$4/SUM('R&amp;S - Packaging and hh goods'!$L$4:$N$4)*'R&amp;S - Packaging and hh goods'!$G$10*('R&amp;S - Packaging and hh goods'!$M$14*'R&amp;S - Packaging and hh goods'!$AM$19*(K$3-$D$3)/10)</f>
        <v>0.80901973192693299</v>
      </c>
      <c r="L32" s="43">
        <f>L27*'R&amp;S - Packaging and hh goods'!$L$4/SUM('R&amp;S - Packaging and hh goods'!$L$4:$N$4)*'R&amp;S - Packaging and hh goods'!$E$10*('R&amp;S - Packaging and hh goods'!$I$14*'R&amp;S - Packaging and hh goods'!$AC$19*(L$3-$D$3)/10)+L27*'R&amp;S - Packaging and hh goods'!$M$4/SUM('R&amp;S - Packaging and hh goods'!$L$4:$N$4)*'R&amp;S - Packaging and hh goods'!$F$10*('R&amp;S - Packaging and hh goods'!$K$14*'R&amp;S - Packaging and hh goods'!$AH$19*(L$3-$D$3)/10)+L27*'R&amp;S - Packaging and hh goods'!$N$4/SUM('R&amp;S - Packaging and hh goods'!$L$4:$N$4)*'R&amp;S - Packaging and hh goods'!$G$10*('R&amp;S - Packaging and hh goods'!$M$14*'R&amp;S - Packaging and hh goods'!$AM$19*(L$3-$D$3)/10)</f>
        <v>0.93476451311786191</v>
      </c>
      <c r="M32" s="43">
        <f>M27*'R&amp;S - Packaging and hh goods'!$L$4/SUM('R&amp;S - Packaging and hh goods'!$L$4:$N$4)*'R&amp;S - Packaging and hh goods'!$E$10*('R&amp;S - Packaging and hh goods'!$I$14*'R&amp;S - Packaging and hh goods'!$AC$19*(M$3-$D$3)/10)+M27*'R&amp;S - Packaging and hh goods'!$M$4/SUM('R&amp;S - Packaging and hh goods'!$L$4:$N$4)*'R&amp;S - Packaging and hh goods'!$F$10*('R&amp;S - Packaging and hh goods'!$K$14*'R&amp;S - Packaging and hh goods'!$AH$19*(M$3-$D$3)/10)+M27*'R&amp;S - Packaging and hh goods'!$N$4/SUM('R&amp;S - Packaging and hh goods'!$L$4:$N$4)*'R&amp;S - Packaging and hh goods'!$G$10*('R&amp;S - Packaging and hh goods'!$M$14*'R&amp;S - Packaging and hh goods'!$AM$19*(M$3-$D$3)/10)</f>
        <v>1.0631777881074282</v>
      </c>
      <c r="N32" s="43">
        <f>N27*'R&amp;S - Packaging and hh goods'!$L$4/SUM('R&amp;S - Packaging and hh goods'!$L$4:$N$4)*'R&amp;S - Packaging and hh goods'!$E$10*('R&amp;S - Packaging and hh goods'!$I$14*'R&amp;S - Packaging and hh goods'!$AC$19*(N$3-$D$3)/10)+N27*'R&amp;S - Packaging and hh goods'!$M$4/SUM('R&amp;S - Packaging and hh goods'!$L$4:$N$4)*'R&amp;S - Packaging and hh goods'!$F$10*('R&amp;S - Packaging and hh goods'!$K$14*'R&amp;S - Packaging and hh goods'!$AH$19*(N$3-$D$3)/10)+N27*'R&amp;S - Packaging and hh goods'!$N$4/SUM('R&amp;S - Packaging and hh goods'!$L$4:$N$4)*'R&amp;S - Packaging and hh goods'!$G$10*('R&amp;S - Packaging and hh goods'!$M$14*'R&amp;S - Packaging and hh goods'!$AM$19*(N$3-$D$3)/10)</f>
        <v>1.1943030486406776</v>
      </c>
      <c r="O32" s="265">
        <f>O27*'R&amp;S - Packaging and hh goods'!$L$4/SUM('R&amp;S - Packaging and hh goods'!$L$4:$N$4)*('R&amp;S - Packaging and hh goods'!$E$10*'R&amp;S - Packaging and hh goods'!$I$14*('R&amp;S - Packaging and hh goods'!$AC$19+('R&amp;S - Packaging and hh goods'!$AC$20-'R&amp;S - Packaging and hh goods'!$AC$19)*(O$3-$N$3)/10))+O27*'R&amp;S - Packaging and hh goods'!$M$4/SUM('R&amp;S - Packaging and hh goods'!$L$4:$N$4)*('R&amp;S - Packaging and hh goods'!$F$10*'R&amp;S - Packaging and hh goods'!$K$14*('R&amp;S - Packaging and hh goods'!$AH$19+('R&amp;S - Packaging and hh goods'!$AH$20-'R&amp;S - Packaging and hh goods'!$AH$19)*(O$3-$N$3)/10))+O27*'R&amp;S - Packaging and hh goods'!$N$4/SUM('R&amp;S - Packaging and hh goods'!$L$4:$N$4)*('R&amp;S - Packaging and hh goods'!$G$10*'R&amp;S - Packaging and hh goods'!$M$14*('R&amp;S - Packaging and hh goods'!$AM$19+('R&amp;S - Packaging and hh goods'!$AM$20-'R&amp;S - Packaging and hh goods'!$AM$19)*(O$3-$N$3)/10))</f>
        <v>1.4265155953151309</v>
      </c>
      <c r="P32" s="265">
        <f>P27*'R&amp;S - Packaging and hh goods'!$L$4/SUM('R&amp;S - Packaging and hh goods'!$L$4:$N$4)*('R&amp;S - Packaging and hh goods'!$E$10*'R&amp;S - Packaging and hh goods'!$I$14*('R&amp;S - Packaging and hh goods'!$AC$19+('R&amp;S - Packaging and hh goods'!$AC$20-'R&amp;S - Packaging and hh goods'!$AC$19)*(P$3-$N$3)/10))+P27*'R&amp;S - Packaging and hh goods'!$M$4/SUM('R&amp;S - Packaging and hh goods'!$L$4:$N$4)*('R&amp;S - Packaging and hh goods'!$F$10*'R&amp;S - Packaging and hh goods'!$K$14*('R&amp;S - Packaging and hh goods'!$AH$19+('R&amp;S - Packaging and hh goods'!$AH$20-'R&amp;S - Packaging and hh goods'!$AH$19)*(P$3-$N$3)/10))+P27*'R&amp;S - Packaging and hh goods'!$N$4/SUM('R&amp;S - Packaging and hh goods'!$L$4:$N$4)*('R&amp;S - Packaging and hh goods'!$G$10*'R&amp;S - Packaging and hh goods'!$M$14*('R&amp;S - Packaging and hh goods'!$AM$19+('R&amp;S - Packaging and hh goods'!$AM$20-'R&amp;S - Packaging and hh goods'!$AM$19)*(P$3-$N$3)/10))</f>
        <v>1.6636923073475363</v>
      </c>
      <c r="Q32" s="265">
        <f>Q27*'R&amp;S - Packaging and hh goods'!$L$4/SUM('R&amp;S - Packaging and hh goods'!$L$4:$N$4)*('R&amp;S - Packaging and hh goods'!$E$10*'R&amp;S - Packaging and hh goods'!$I$14*('R&amp;S - Packaging and hh goods'!$AC$19+('R&amp;S - Packaging and hh goods'!$AC$20-'R&amp;S - Packaging and hh goods'!$AC$19)*(Q$3-$N$3)/10))+Q27*'R&amp;S - Packaging and hh goods'!$M$4/SUM('R&amp;S - Packaging and hh goods'!$L$4:$N$4)*('R&amp;S - Packaging and hh goods'!$F$10*'R&amp;S - Packaging and hh goods'!$K$14*('R&amp;S - Packaging and hh goods'!$AH$19+('R&amp;S - Packaging and hh goods'!$AH$20-'R&amp;S - Packaging and hh goods'!$AH$19)*(Q$3-$N$3)/10))+Q27*'R&amp;S - Packaging and hh goods'!$N$4/SUM('R&amp;S - Packaging and hh goods'!$L$4:$N$4)*('R&amp;S - Packaging and hh goods'!$G$10*'R&amp;S - Packaging and hh goods'!$M$14*('R&amp;S - Packaging and hh goods'!$AM$19+('R&amp;S - Packaging and hh goods'!$AM$20-'R&amp;S - Packaging and hh goods'!$AM$19)*(Q$3-$N$3)/10))</f>
        <v>1.9059142986576219</v>
      </c>
      <c r="R32" s="265">
        <f>R27*'R&amp;S - Packaging and hh goods'!$L$4/SUM('R&amp;S - Packaging and hh goods'!$L$4:$N$4)*('R&amp;S - Packaging and hh goods'!$E$10*'R&amp;S - Packaging and hh goods'!$I$14*('R&amp;S - Packaging and hh goods'!$AC$19+('R&amp;S - Packaging and hh goods'!$AC$20-'R&amp;S - Packaging and hh goods'!$AC$19)*(R$3-$N$3)/10))+R27*'R&amp;S - Packaging and hh goods'!$M$4/SUM('R&amp;S - Packaging and hh goods'!$L$4:$N$4)*('R&amp;S - Packaging and hh goods'!$F$10*'R&amp;S - Packaging and hh goods'!$K$14*('R&amp;S - Packaging and hh goods'!$AH$19+('R&amp;S - Packaging and hh goods'!$AH$20-'R&amp;S - Packaging and hh goods'!$AH$19)*(R$3-$N$3)/10))+R27*'R&amp;S - Packaging and hh goods'!$N$4/SUM('R&amp;S - Packaging and hh goods'!$L$4:$N$4)*('R&amp;S - Packaging and hh goods'!$G$10*'R&amp;S - Packaging and hh goods'!$M$14*('R&amp;S - Packaging and hh goods'!$AM$19+('R&amp;S - Packaging and hh goods'!$AM$20-'R&amp;S - Packaging and hh goods'!$AM$19)*(R$3-$N$3)/10))</f>
        <v>2.1532638670073396</v>
      </c>
      <c r="S32" s="265">
        <f>S27*'R&amp;S - Packaging and hh goods'!$L$4/SUM('R&amp;S - Packaging and hh goods'!$L$4:$N$4)*('R&amp;S - Packaging and hh goods'!$E$10*'R&amp;S - Packaging and hh goods'!$I$14*('R&amp;S - Packaging and hh goods'!$AC$19+('R&amp;S - Packaging and hh goods'!$AC$20-'R&amp;S - Packaging and hh goods'!$AC$19)*(S$3-$N$3)/10))+S27*'R&amp;S - Packaging and hh goods'!$M$4/SUM('R&amp;S - Packaging and hh goods'!$L$4:$N$4)*('R&amp;S - Packaging and hh goods'!$F$10*'R&amp;S - Packaging and hh goods'!$K$14*('R&amp;S - Packaging and hh goods'!$AH$19+('R&amp;S - Packaging and hh goods'!$AH$20-'R&amp;S - Packaging and hh goods'!$AH$19)*(S$3-$N$3)/10))+S27*'R&amp;S - Packaging and hh goods'!$N$4/SUM('R&amp;S - Packaging and hh goods'!$L$4:$N$4)*('R&amp;S - Packaging and hh goods'!$G$10*'R&amp;S - Packaging and hh goods'!$M$14*('R&amp;S - Packaging and hh goods'!$AM$19+('R&amp;S - Packaging and hh goods'!$AM$20-'R&amp;S - Packaging and hh goods'!$AM$19)*(S$3-$N$3)/10))</f>
        <v>2.4058245102306146</v>
      </c>
      <c r="T32" s="265">
        <f>T27*'R&amp;S - Packaging and hh goods'!$L$4/SUM('R&amp;S - Packaging and hh goods'!$L$4:$N$4)*('R&amp;S - Packaging and hh goods'!$E$10*'R&amp;S - Packaging and hh goods'!$I$14*('R&amp;S - Packaging and hh goods'!$AC$19+('R&amp;S - Packaging and hh goods'!$AC$20-'R&amp;S - Packaging and hh goods'!$AC$19)*(T$3-$N$3)/10))+T27*'R&amp;S - Packaging and hh goods'!$M$4/SUM('R&amp;S - Packaging and hh goods'!$L$4:$N$4)*('R&amp;S - Packaging and hh goods'!$F$10*'R&amp;S - Packaging and hh goods'!$K$14*('R&amp;S - Packaging and hh goods'!$AH$19+('R&amp;S - Packaging and hh goods'!$AH$20-'R&amp;S - Packaging and hh goods'!$AH$19)*(T$3-$N$3)/10))+T27*'R&amp;S - Packaging and hh goods'!$N$4/SUM('R&amp;S - Packaging and hh goods'!$L$4:$N$4)*('R&amp;S - Packaging and hh goods'!$G$10*'R&amp;S - Packaging and hh goods'!$M$14*('R&amp;S - Packaging and hh goods'!$AM$19+('R&amp;S - Packaging and hh goods'!$AM$20-'R&amp;S - Packaging and hh goods'!$AM$19)*(T$3-$N$3)/10))</f>
        <v>2.6636809426768928</v>
      </c>
      <c r="U32" s="265">
        <f>U27*'R&amp;S - Packaging and hh goods'!$L$4/SUM('R&amp;S - Packaging and hh goods'!$L$4:$N$4)*('R&amp;S - Packaging and hh goods'!$E$10*'R&amp;S - Packaging and hh goods'!$I$14*('R&amp;S - Packaging and hh goods'!$AC$19+('R&amp;S - Packaging and hh goods'!$AC$20-'R&amp;S - Packaging and hh goods'!$AC$19)*(U$3-$N$3)/10))+U27*'R&amp;S - Packaging and hh goods'!$M$4/SUM('R&amp;S - Packaging and hh goods'!$L$4:$N$4)*('R&amp;S - Packaging and hh goods'!$F$10*'R&amp;S - Packaging and hh goods'!$K$14*('R&amp;S - Packaging and hh goods'!$AH$19+('R&amp;S - Packaging and hh goods'!$AH$20-'R&amp;S - Packaging and hh goods'!$AH$19)*(U$3-$N$3)/10))+U27*'R&amp;S - Packaging and hh goods'!$N$4/SUM('R&amp;S - Packaging and hh goods'!$L$4:$N$4)*('R&amp;S - Packaging and hh goods'!$G$10*'R&amp;S - Packaging and hh goods'!$M$14*('R&amp;S - Packaging and hh goods'!$AM$19+('R&amp;S - Packaging and hh goods'!$AM$20-'R&amp;S - Packaging and hh goods'!$AM$19)*(U$3-$N$3)/10))</f>
        <v>2.9269191118712512</v>
      </c>
      <c r="V32" s="265">
        <f>V27*'R&amp;S - Packaging and hh goods'!$L$4/SUM('R&amp;S - Packaging and hh goods'!$L$4:$N$4)*('R&amp;S - Packaging and hh goods'!$E$10*'R&amp;S - Packaging and hh goods'!$I$14*('R&amp;S - Packaging and hh goods'!$AC$19+('R&amp;S - Packaging and hh goods'!$AC$20-'R&amp;S - Packaging and hh goods'!$AC$19)*(V$3-$N$3)/10))+V27*'R&amp;S - Packaging and hh goods'!$M$4/SUM('R&amp;S - Packaging and hh goods'!$L$4:$N$4)*('R&amp;S - Packaging and hh goods'!$F$10*'R&amp;S - Packaging and hh goods'!$K$14*('R&amp;S - Packaging and hh goods'!$AH$19+('R&amp;S - Packaging and hh goods'!$AH$20-'R&amp;S - Packaging and hh goods'!$AH$19)*(V$3-$N$3)/10))+V27*'R&amp;S - Packaging and hh goods'!$N$4/SUM('R&amp;S - Packaging and hh goods'!$L$4:$N$4)*('R&amp;S - Packaging and hh goods'!$G$10*'R&amp;S - Packaging and hh goods'!$M$14*('R&amp;S - Packaging and hh goods'!$AM$19+('R&amp;S - Packaging and hh goods'!$AM$20-'R&amp;S - Packaging and hh goods'!$AM$19)*(V$3-$N$3)/10))</f>
        <v>3.1956262153938222</v>
      </c>
      <c r="W32" s="265">
        <f>W27*'R&amp;S - Packaging and hh goods'!$L$4/SUM('R&amp;S - Packaging and hh goods'!$L$4:$N$4)*('R&amp;S - Packaging and hh goods'!$E$10*'R&amp;S - Packaging and hh goods'!$I$14*('R&amp;S - Packaging and hh goods'!$AC$19+('R&amp;S - Packaging and hh goods'!$AC$20-'R&amp;S - Packaging and hh goods'!$AC$19)*(W$3-$N$3)/10))+W27*'R&amp;S - Packaging and hh goods'!$M$4/SUM('R&amp;S - Packaging and hh goods'!$L$4:$N$4)*('R&amp;S - Packaging and hh goods'!$F$10*'R&amp;S - Packaging and hh goods'!$K$14*('R&amp;S - Packaging and hh goods'!$AH$19+('R&amp;S - Packaging and hh goods'!$AH$20-'R&amp;S - Packaging and hh goods'!$AH$19)*(W$3-$N$3)/10))+W27*'R&amp;S - Packaging and hh goods'!$N$4/SUM('R&amp;S - Packaging and hh goods'!$L$4:$N$4)*('R&amp;S - Packaging and hh goods'!$G$10*'R&amp;S - Packaging and hh goods'!$M$14*('R&amp;S - Packaging and hh goods'!$AM$19+('R&amp;S - Packaging and hh goods'!$AM$20-'R&amp;S - Packaging and hh goods'!$AM$19)*(W$3-$N$3)/10))</f>
        <v>3.4698907179813521</v>
      </c>
      <c r="X32" s="265">
        <f>X27*'R&amp;S - Packaging and hh goods'!$L$4/SUM('R&amp;S - Packaging and hh goods'!$L$4:$N$4)*('R&amp;S - Packaging and hh goods'!$E$10*'R&amp;S - Packaging and hh goods'!$I$14*('R&amp;S - Packaging and hh goods'!$AC$19+('R&amp;S - Packaging and hh goods'!$AC$20-'R&amp;S - Packaging and hh goods'!$AC$19)*(X$3-$N$3)/10))+X27*'R&amp;S - Packaging and hh goods'!$M$4/SUM('R&amp;S - Packaging and hh goods'!$L$4:$N$4)*('R&amp;S - Packaging and hh goods'!$F$10*'R&amp;S - Packaging and hh goods'!$K$14*('R&amp;S - Packaging and hh goods'!$AH$19+('R&amp;S - Packaging and hh goods'!$AH$20-'R&amp;S - Packaging and hh goods'!$AH$19)*(X$3-$N$3)/10))+X27*'R&amp;S - Packaging and hh goods'!$N$4/SUM('R&amp;S - Packaging and hh goods'!$L$4:$N$4)*('R&amp;S - Packaging and hh goods'!$G$10*'R&amp;S - Packaging and hh goods'!$M$14*('R&amp;S - Packaging and hh goods'!$AM$19+('R&amp;S - Packaging and hh goods'!$AM$20-'R&amp;S - Packaging and hh goods'!$AM$19)*(X$3-$N$3)/10))</f>
        <v>3.7498023688537456</v>
      </c>
      <c r="Y32" s="265">
        <f>Y27*'R&amp;S - Packaging and hh goods'!$L$4/SUM('R&amp;S - Packaging and hh goods'!$L$4:$N$4)*('R&amp;S - Packaging and hh goods'!$E10*'R&amp;S - Packaging and hh goods'!$I$14*('R&amp;S - Packaging and hh goods'!$AC$20+('R&amp;S - Packaging and hh goods'!$AC$21-'R&amp;S - Packaging and hh goods'!$AC$20)*(Y$3-$X$3)/10))+Y27*'R&amp;S - Packaging and hh goods'!$M$4/SUM('R&amp;S - Packaging and hh goods'!$L$4:$N$4)*('R&amp;S - Packaging and hh goods'!$F10*'R&amp;S - Packaging and hh goods'!$K$14*('R&amp;S - Packaging and hh goods'!$AH$20+('R&amp;S - Packaging and hh goods'!$AH$21-'R&amp;S - Packaging and hh goods'!$AH$20)*(Y$3-$X$3)/10))+Y27*'R&amp;S - Packaging and hh goods'!$N$4/SUM('R&amp;S - Packaging and hh goods'!$L$4:$N$4)*('R&amp;S - Packaging and hh goods'!$G10*'R&amp;S - Packaging and hh goods'!$M$14*('R&amp;S - Packaging and hh goods'!$AM$20+('R&amp;S - Packaging and hh goods'!$AM$21-'R&amp;S - Packaging and hh goods'!$AM$20)*(Y$3-$X$3)/10))</f>
        <v>4.0220360639472492</v>
      </c>
      <c r="Z32" s="265">
        <f>Z27*'R&amp;S - Packaging and hh goods'!$L$4/SUM('R&amp;S - Packaging and hh goods'!$L$4:$N$4)*('R&amp;S - Packaging and hh goods'!$E10*'R&amp;S - Packaging and hh goods'!$I$14*('R&amp;S - Packaging and hh goods'!$AC$20+('R&amp;S - Packaging and hh goods'!$AC$21-'R&amp;S - Packaging and hh goods'!$AC$20)*(Z$3-$X$3)/10))+Z27*'R&amp;S - Packaging and hh goods'!$M$4/SUM('R&amp;S - Packaging and hh goods'!$L$4:$N$4)*('R&amp;S - Packaging and hh goods'!$F10*'R&amp;S - Packaging and hh goods'!$K$14*('R&amp;S - Packaging and hh goods'!$AH$20+('R&amp;S - Packaging and hh goods'!$AH$21-'R&amp;S - Packaging and hh goods'!$AH$20)*(Z$3-$X$3)/10))+Z27*'R&amp;S - Packaging and hh goods'!$N$4/SUM('R&amp;S - Packaging and hh goods'!$L$4:$N$4)*('R&amp;S - Packaging and hh goods'!$G10*'R&amp;S - Packaging and hh goods'!$M$14*('R&amp;S - Packaging and hh goods'!$AM$20+('R&amp;S - Packaging and hh goods'!$AM$21-'R&amp;S - Packaging and hh goods'!$AM$20)*(Z$3-$X$3)/10))</f>
        <v>4.2998051742461767</v>
      </c>
      <c r="AA32" s="265">
        <f>AA27*'R&amp;S - Packaging and hh goods'!$L$4/SUM('R&amp;S - Packaging and hh goods'!$L$4:$N$4)*('R&amp;S - Packaging and hh goods'!$E10*'R&amp;S - Packaging and hh goods'!$I$14*('R&amp;S - Packaging and hh goods'!$AC$20+('R&amp;S - Packaging and hh goods'!$AC$21-'R&amp;S - Packaging and hh goods'!$AC$20)*(AA$3-$X$3)/10))+AA27*'R&amp;S - Packaging and hh goods'!$M$4/SUM('R&amp;S - Packaging and hh goods'!$L$4:$N$4)*('R&amp;S - Packaging and hh goods'!$F10*'R&amp;S - Packaging and hh goods'!$K$14*('R&amp;S - Packaging and hh goods'!$AH$20+('R&amp;S - Packaging and hh goods'!$AH$21-'R&amp;S - Packaging and hh goods'!$AH$20)*(AA$3-$X$3)/10))+AA27*'R&amp;S - Packaging and hh goods'!$N$4/SUM('R&amp;S - Packaging and hh goods'!$L$4:$N$4)*('R&amp;S - Packaging and hh goods'!$G10*'R&amp;S - Packaging and hh goods'!$M$14*('R&amp;S - Packaging and hh goods'!$AM$20+('R&amp;S - Packaging and hh goods'!$AM$21-'R&amp;S - Packaging and hh goods'!$AM$20)*(AA$3-$X$3)/10))</f>
        <v>4.5831985386079452</v>
      </c>
      <c r="AB32" s="265">
        <f>AB27*'R&amp;S - Packaging and hh goods'!$L$4/SUM('R&amp;S - Packaging and hh goods'!$L$4:$N$4)*('R&amp;S - Packaging and hh goods'!$E10*'R&amp;S - Packaging and hh goods'!$I$14*('R&amp;S - Packaging and hh goods'!$AC$20+('R&amp;S - Packaging and hh goods'!$AC$21-'R&amp;S - Packaging and hh goods'!$AC$20)*(AB$3-$X$3)/10))+AB27*'R&amp;S - Packaging and hh goods'!$M$4/SUM('R&amp;S - Packaging and hh goods'!$L$4:$N$4)*('R&amp;S - Packaging and hh goods'!$F10*'R&amp;S - Packaging and hh goods'!$K$14*('R&amp;S - Packaging and hh goods'!$AH$20+('R&amp;S - Packaging and hh goods'!$AH$21-'R&amp;S - Packaging and hh goods'!$AH$20)*(AB$3-$X$3)/10))+AB27*'R&amp;S - Packaging and hh goods'!$N$4/SUM('R&amp;S - Packaging and hh goods'!$L$4:$N$4)*('R&amp;S - Packaging and hh goods'!$G10*'R&amp;S - Packaging and hh goods'!$M$14*('R&amp;S - Packaging and hh goods'!$AM$20+('R&amp;S - Packaging and hh goods'!$AM$21-'R&amp;S - Packaging and hh goods'!$AM$20)*(AB$3-$X$3)/10))</f>
        <v>4.8723062805595871</v>
      </c>
      <c r="AC32" s="265">
        <f>AC27*'R&amp;S - Packaging and hh goods'!$L$4/SUM('R&amp;S - Packaging and hh goods'!$L$4:$N$4)*('R&amp;S - Packaging and hh goods'!$E10*'R&amp;S - Packaging and hh goods'!$I$14*('R&amp;S - Packaging and hh goods'!$AC$20+('R&amp;S - Packaging and hh goods'!$AC$21-'R&amp;S - Packaging and hh goods'!$AC$20)*(AC$3-$X$3)/10))+AC27*'R&amp;S - Packaging and hh goods'!$M$4/SUM('R&amp;S - Packaging and hh goods'!$L$4:$N$4)*('R&amp;S - Packaging and hh goods'!$F10*'R&amp;S - Packaging and hh goods'!$K$14*('R&amp;S - Packaging and hh goods'!$AH$20+('R&amp;S - Packaging and hh goods'!$AH$21-'R&amp;S - Packaging and hh goods'!$AH$20)*(AC$3-$X$3)/10))+AC27*'R&amp;S - Packaging and hh goods'!$N$4/SUM('R&amp;S - Packaging and hh goods'!$L$4:$N$4)*('R&amp;S - Packaging and hh goods'!$G10*'R&amp;S - Packaging and hh goods'!$M$14*('R&amp;S - Packaging and hh goods'!$AM$20+('R&amp;S - Packaging and hh goods'!$AM$21-'R&amp;S - Packaging and hh goods'!$AM$20)*(AC$3-$X$3)/10))</f>
        <v>5.1672198258109958</v>
      </c>
      <c r="AD32" s="265">
        <f>AD27*'R&amp;S - Packaging and hh goods'!$L$4/SUM('R&amp;S - Packaging and hh goods'!$L$4:$N$4)*('R&amp;S - Packaging and hh goods'!$E10*'R&amp;S - Packaging and hh goods'!$I$14*('R&amp;S - Packaging and hh goods'!$AC$20+('R&amp;S - Packaging and hh goods'!$AC$21-'R&amp;S - Packaging and hh goods'!$AC$20)*(AD$3-$X$3)/10))+AD27*'R&amp;S - Packaging and hh goods'!$M$4/SUM('R&amp;S - Packaging and hh goods'!$L$4:$N$4)*('R&amp;S - Packaging and hh goods'!$F10*'R&amp;S - Packaging and hh goods'!$K$14*('R&amp;S - Packaging and hh goods'!$AH$20+('R&amp;S - Packaging and hh goods'!$AH$21-'R&amp;S - Packaging and hh goods'!$AH$20)*(AD$3-$X$3)/10))+AD27*'R&amp;S - Packaging and hh goods'!$N$4/SUM('R&amp;S - Packaging and hh goods'!$L$4:$N$4)*('R&amp;S - Packaging and hh goods'!$G10*'R&amp;S - Packaging and hh goods'!$M$14*('R&amp;S - Packaging and hh goods'!$AM$20+('R&amp;S - Packaging and hh goods'!$AM$21-'R&amp;S - Packaging and hh goods'!$AM$20)*(AD$3-$X$3)/10))</f>
        <v>5.4680319199979852</v>
      </c>
      <c r="AE32" s="265">
        <f>AE27*'R&amp;S - Packaging and hh goods'!$L$4/SUM('R&amp;S - Packaging and hh goods'!$L$4:$N$4)*('R&amp;S - Packaging and hh goods'!$E10*'R&amp;S - Packaging and hh goods'!$I$14*('R&amp;S - Packaging and hh goods'!$AC$20+('R&amp;S - Packaging and hh goods'!$AC$21-'R&amp;S - Packaging and hh goods'!$AC$20)*(AE$3-$X$3)/10))+AE27*'R&amp;S - Packaging and hh goods'!$M$4/SUM('R&amp;S - Packaging and hh goods'!$L$4:$N$4)*('R&amp;S - Packaging and hh goods'!$F10*'R&amp;S - Packaging and hh goods'!$K$14*('R&amp;S - Packaging and hh goods'!$AH$20+('R&amp;S - Packaging and hh goods'!$AH$21-'R&amp;S - Packaging and hh goods'!$AH$20)*(AE$3-$X$3)/10))+AE27*'R&amp;S - Packaging and hh goods'!$N$4/SUM('R&amp;S - Packaging and hh goods'!$L$4:$N$4)*('R&amp;S - Packaging and hh goods'!$G10*'R&amp;S - Packaging and hh goods'!$M$14*('R&amp;S - Packaging and hh goods'!$AM$20+('R&amp;S - Packaging and hh goods'!$AM$21-'R&amp;S - Packaging and hh goods'!$AM$20)*(AE$3-$X$3)/10))</f>
        <v>5.7748366466581658</v>
      </c>
      <c r="AF32" s="265">
        <f>AF27*'R&amp;S - Packaging and hh goods'!$L$4/SUM('R&amp;S - Packaging and hh goods'!$L$4:$N$4)*('R&amp;S - Packaging and hh goods'!$E10*'R&amp;S - Packaging and hh goods'!$I$14*('R&amp;S - Packaging and hh goods'!$AC$20+('R&amp;S - Packaging and hh goods'!$AC$21-'R&amp;S - Packaging and hh goods'!$AC$20)*(AF$3-$X$3)/10))+AF27*'R&amp;S - Packaging and hh goods'!$M$4/SUM('R&amp;S - Packaging and hh goods'!$L$4:$N$4)*('R&amp;S - Packaging and hh goods'!$F10*'R&amp;S - Packaging and hh goods'!$K$14*('R&amp;S - Packaging and hh goods'!$AH$20+('R&amp;S - Packaging and hh goods'!$AH$21-'R&amp;S - Packaging and hh goods'!$AH$20)*(AF$3-$X$3)/10))+AF27*'R&amp;S - Packaging and hh goods'!$N$4/SUM('R&amp;S - Packaging and hh goods'!$L$4:$N$4)*('R&amp;S - Packaging and hh goods'!$G10*'R&amp;S - Packaging and hh goods'!$M$14*('R&amp;S - Packaging and hh goods'!$AM$20+('R&amp;S - Packaging and hh goods'!$AM$21-'R&amp;S - Packaging and hh goods'!$AM$20)*(AF$3-$X$3)/10))</f>
        <v>6.0877294454425499</v>
      </c>
      <c r="AG32" s="265">
        <f>AG27*'R&amp;S - Packaging and hh goods'!$L$4/SUM('R&amp;S - Packaging and hh goods'!$L$4:$N$4)*('R&amp;S - Packaging and hh goods'!$E10*'R&amp;S - Packaging and hh goods'!$I$14*('R&amp;S - Packaging and hh goods'!$AC$20+('R&amp;S - Packaging and hh goods'!$AC$21-'R&amp;S - Packaging and hh goods'!$AC$20)*(AG$3-$X$3)/10))+AG27*'R&amp;S - Packaging and hh goods'!$M$4/SUM('R&amp;S - Packaging and hh goods'!$L$4:$N$4)*('R&amp;S - Packaging and hh goods'!$F10*'R&amp;S - Packaging and hh goods'!$K$14*('R&amp;S - Packaging and hh goods'!$AH$20+('R&amp;S - Packaging and hh goods'!$AH$21-'R&amp;S - Packaging and hh goods'!$AH$20)*(AG$3-$X$3)/10))+AG27*'R&amp;S - Packaging and hh goods'!$N$4/SUM('R&amp;S - Packaging and hh goods'!$L$4:$N$4)*('R&amp;S - Packaging and hh goods'!$G10*'R&amp;S - Packaging and hh goods'!$M$14*('R&amp;S - Packaging and hh goods'!$AM$20+('R&amp;S - Packaging and hh goods'!$AM$21-'R&amp;S - Packaging and hh goods'!$AM$20)*(AG$3-$X$3)/10))</f>
        <v>6.4068071305659462</v>
      </c>
      <c r="AH32" s="265">
        <f>AH27*'R&amp;S - Packaging and hh goods'!$L$4/SUM('R&amp;S - Packaging and hh goods'!$L$4:$N$4)*('R&amp;S - Packaging and hh goods'!$E10*'R&amp;S - Packaging and hh goods'!$I$14*('R&amp;S - Packaging and hh goods'!$AC$20+('R&amp;S - Packaging and hh goods'!$AC$21-'R&amp;S - Packaging and hh goods'!$AC$20)*(AH$3-$X$3)/10))+AH27*'R&amp;S - Packaging and hh goods'!$M$4/SUM('R&amp;S - Packaging and hh goods'!$L$4:$N$4)*('R&amp;S - Packaging and hh goods'!$F10*'R&amp;S - Packaging and hh goods'!$K$14*('R&amp;S - Packaging and hh goods'!$AH$20+('R&amp;S - Packaging and hh goods'!$AH$21-'R&amp;S - Packaging and hh goods'!$AH$20)*(AH$3-$X$3)/10))+AH27*'R&amp;S - Packaging and hh goods'!$N$4/SUM('R&amp;S - Packaging and hh goods'!$L$4:$N$4)*('R&amp;S - Packaging and hh goods'!$G10*'R&amp;S - Packaging and hh goods'!$M$14*('R&amp;S - Packaging and hh goods'!$AM$20+('R&amp;S - Packaging and hh goods'!$AM$21-'R&amp;S - Packaging and hh goods'!$AM$20)*(AH$3-$X$3)/10))</f>
        <v>6.7321679094991582</v>
      </c>
      <c r="AJ32" s="43">
        <v>0</v>
      </c>
      <c r="AK32" s="43">
        <f>AK31*'R&amp;S - Packaging and hh goods'!$L$4/SUM('R&amp;S - Packaging and hh goods'!$L$4:$N$4)*'R&amp;S - Packaging and hh goods'!$E$10*('R&amp;S - Packaging and hh goods'!$I$15*'R&amp;S - Packaging and hh goods'!$AC$19*(AK$3-$D$3)/10)+AK31*'R&amp;S - Packaging and hh goods'!$M$4/SUM('R&amp;S - Packaging and hh goods'!$L$4:$N$4)*'R&amp;S - Packaging and hh goods'!$F$10*('R&amp;S - Packaging and hh goods'!$K$15*'R&amp;S - Packaging and hh goods'!$AH$19*(AK$3-$D$3)/10)+AK31*'R&amp;S - Packaging and hh goods'!$N$4/SUM('R&amp;S - Packaging and hh goods'!$L$4:$N$4)*'R&amp;S - Packaging and hh goods'!$G$10*('R&amp;S - Packaging and hh goods'!$M$15*'R&amp;S - Packaging and hh goods'!$AM$19*(AK$3-$D$3)/10)</f>
        <v>1.4131489338455052E-4</v>
      </c>
      <c r="AL32" s="43">
        <f>AL27*'R&amp;S - Packaging and hh goods'!$L$4/SUM('R&amp;S - Packaging and hh goods'!$L$4:$N$4)*'R&amp;S - Packaging and hh goods'!$E$10*('R&amp;S - Packaging and hh goods'!$I$15*'R&amp;S - Packaging and hh goods'!$AC$19*(AL$3-$D$3)/10)+AL27*'R&amp;S - Packaging and hh goods'!$M$4/SUM('R&amp;S - Packaging and hh goods'!$L$4:$N$4)*'R&amp;S - Packaging and hh goods'!$F$10*('R&amp;S - Packaging and hh goods'!$K$15*'R&amp;S - Packaging and hh goods'!$AH$19*(AL$3-$D$3)/10)+AL27*'R&amp;S - Packaging and hh goods'!$N$4/SUM('R&amp;S - Packaging and hh goods'!$L$4:$N$4)*'R&amp;S - Packaging and hh goods'!$G$10*('R&amp;S - Packaging and hh goods'!$M$15*'R&amp;S - Packaging and hh goods'!$AM$19*(AL$3-$D$3)/10)</f>
        <v>0.17914901519058846</v>
      </c>
      <c r="AM32" s="43">
        <f>AM27*'R&amp;S - Packaging and hh goods'!$L$4/SUM('R&amp;S - Packaging and hh goods'!$L$4:$N$4)*'R&amp;S - Packaging and hh goods'!$E$10*('R&amp;S - Packaging and hh goods'!$I$15*'R&amp;S - Packaging and hh goods'!$AC$19*(AM$3-$D$3)/10)+AM27*'R&amp;S - Packaging and hh goods'!$M$4/SUM('R&amp;S - Packaging and hh goods'!$L$4:$N$4)*'R&amp;S - Packaging and hh goods'!$F$10*('R&amp;S - Packaging and hh goods'!$K$15*'R&amp;S - Packaging and hh goods'!$AH$19*(AM$3-$D$3)/10)+AM27*'R&amp;S - Packaging and hh goods'!$N$4/SUM('R&amp;S - Packaging and hh goods'!$L$4:$N$4)*'R&amp;S - Packaging and hh goods'!$G$10*('R&amp;S - Packaging and hh goods'!$M$15*'R&amp;S - Packaging and hh goods'!$AM$19*(AM$3-$D$3)/10)</f>
        <v>0.27167948153652732</v>
      </c>
      <c r="AN32" s="43">
        <f>AN27*'R&amp;S - Packaging and hh goods'!$L$4/SUM('R&amp;S - Packaging and hh goods'!$L$4:$N$4)*'R&amp;S - Packaging and hh goods'!$E$10*('R&amp;S - Packaging and hh goods'!$I$15*'R&amp;S - Packaging and hh goods'!$AC$19*(AN$3-$D$3)/10)+AN27*'R&amp;S - Packaging and hh goods'!$M$4/SUM('R&amp;S - Packaging and hh goods'!$L$4:$N$4)*'R&amp;S - Packaging and hh goods'!$F$10*('R&amp;S - Packaging and hh goods'!$K$15*'R&amp;S - Packaging and hh goods'!$AH$19*(AN$3-$D$3)/10)+AN27*'R&amp;S - Packaging and hh goods'!$N$4/SUM('R&amp;S - Packaging and hh goods'!$L$4:$N$4)*'R&amp;S - Packaging and hh goods'!$G$10*('R&amp;S - Packaging and hh goods'!$M$15*'R&amp;S - Packaging and hh goods'!$AM$19*(AN$3-$D$3)/10)</f>
        <v>0.36622394111123885</v>
      </c>
      <c r="AO32" s="43">
        <f>AO27*'R&amp;S - Packaging and hh goods'!$L$4/SUM('R&amp;S - Packaging and hh goods'!$L$4:$N$4)*'R&amp;S - Packaging and hh goods'!$E$10*('R&amp;S - Packaging and hh goods'!$I$15*'R&amp;S - Packaging and hh goods'!$AC$19*(AO$3-$D$3)/10)+AO27*'R&amp;S - Packaging and hh goods'!$M$4/SUM('R&amp;S - Packaging and hh goods'!$L$4:$N$4)*'R&amp;S - Packaging and hh goods'!$F$10*('R&amp;S - Packaging and hh goods'!$K$15*'R&amp;S - Packaging and hh goods'!$AH$19*(AO$3-$D$3)/10)+AO27*'R&amp;S - Packaging and hh goods'!$N$4/SUM('R&amp;S - Packaging and hh goods'!$L$4:$N$4)*'R&amp;S - Packaging and hh goods'!$G$10*('R&amp;S - Packaging and hh goods'!$M$15*'R&amp;S - Packaging and hh goods'!$AM$19*(AO$3-$D$3)/10)</f>
        <v>0.46281550557932799</v>
      </c>
      <c r="AP32" s="43">
        <f>AP27*'R&amp;S - Packaging and hh goods'!$L$4/SUM('R&amp;S - Packaging and hh goods'!$L$4:$N$4)*'R&amp;S - Packaging and hh goods'!$E$10*('R&amp;S - Packaging and hh goods'!$I$15*'R&amp;S - Packaging and hh goods'!$AC$19*(AP$3-$D$3)/10)+AP27*'R&amp;S - Packaging and hh goods'!$M$4/SUM('R&amp;S - Packaging and hh goods'!$L$4:$N$4)*'R&amp;S - Packaging and hh goods'!$F$10*('R&amp;S - Packaging and hh goods'!$K$15*'R&amp;S - Packaging and hh goods'!$AH$19*(AP$3-$D$3)/10)+AP27*'R&amp;S - Packaging and hh goods'!$N$4/SUM('R&amp;S - Packaging and hh goods'!$L$4:$N$4)*'R&amp;S - Packaging and hh goods'!$G$10*('R&amp;S - Packaging and hh goods'!$M$15*'R&amp;S - Packaging and hh goods'!$AM$19*(AP$3-$D$3)/10)</f>
        <v>0.56148777136884054</v>
      </c>
      <c r="AQ32" s="43">
        <f>AQ27*'R&amp;S - Packaging and hh goods'!$L$4/SUM('R&amp;S - Packaging and hh goods'!$L$4:$N$4)*'R&amp;S - Packaging and hh goods'!$E$10*('R&amp;S - Packaging and hh goods'!$I$15*'R&amp;S - Packaging and hh goods'!$AC$19*(AQ$3-$D$3)/10)+AQ27*'R&amp;S - Packaging and hh goods'!$M$4/SUM('R&amp;S - Packaging and hh goods'!$L$4:$N$4)*'R&amp;S - Packaging and hh goods'!$F$10*('R&amp;S - Packaging and hh goods'!$K$15*'R&amp;S - Packaging and hh goods'!$AH$19*(AQ$3-$D$3)/10)+AQ27*'R&amp;S - Packaging and hh goods'!$N$4/SUM('R&amp;S - Packaging and hh goods'!$L$4:$N$4)*'R&amp;S - Packaging and hh goods'!$G$10*('R&amp;S - Packaging and hh goods'!$M$15*'R&amp;S - Packaging and hh goods'!$AM$19*(AQ$3-$D$3)/10)</f>
        <v>0.66227482632954759</v>
      </c>
      <c r="AR32" s="43">
        <f>AR27*'R&amp;S - Packaging and hh goods'!$L$4/SUM('R&amp;S - Packaging and hh goods'!$L$4:$N$4)*'R&amp;S - Packaging and hh goods'!$E$10*('R&amp;S - Packaging and hh goods'!$I$15*'R&amp;S - Packaging and hh goods'!$AC$19*(AR$3-$D$3)/10)+AR27*'R&amp;S - Packaging and hh goods'!$M$4/SUM('R&amp;S - Packaging and hh goods'!$L$4:$N$4)*'R&amp;S - Packaging and hh goods'!$F$10*('R&amp;S - Packaging and hh goods'!$K$15*'R&amp;S - Packaging and hh goods'!$AH$19*(AR$3-$D$3)/10)+AR27*'R&amp;S - Packaging and hh goods'!$N$4/SUM('R&amp;S - Packaging and hh goods'!$L$4:$N$4)*'R&amp;S - Packaging and hh goods'!$G$10*('R&amp;S - Packaging and hh goods'!$M$15*'R&amp;S - Packaging and hh goods'!$AM$19*(AR$3-$D$3)/10)</f>
        <v>0.76521125647905419</v>
      </c>
      <c r="AS32" s="43">
        <f>AS27*'R&amp;S - Packaging and hh goods'!$L$4/SUM('R&amp;S - Packaging and hh goods'!$L$4:$N$4)*'R&amp;S - Packaging and hh goods'!$E$10*('R&amp;S - Packaging and hh goods'!$I$15*'R&amp;S - Packaging and hh goods'!$AC$19*(AS$3-$D$3)/10)+AS27*'R&amp;S - Packaging and hh goods'!$M$4/SUM('R&amp;S - Packaging and hh goods'!$L$4:$N$4)*'R&amp;S - Packaging and hh goods'!$F$10*('R&amp;S - Packaging and hh goods'!$K$15*'R&amp;S - Packaging and hh goods'!$AH$19*(AS$3-$D$3)/10)+AS27*'R&amp;S - Packaging and hh goods'!$N$4/SUM('R&amp;S - Packaging and hh goods'!$L$4:$N$4)*'R&amp;S - Packaging and hh goods'!$G$10*('R&amp;S - Packaging and hh goods'!$M$15*'R&amp;S - Packaging and hh goods'!$AM$19*(AS$3-$D$3)/10)</f>
        <v>0.87033215283786425</v>
      </c>
      <c r="AT32" s="43">
        <f>AT27*'R&amp;S - Packaging and hh goods'!$L$4/SUM('R&amp;S - Packaging and hh goods'!$L$4:$N$4)*'R&amp;S - Packaging and hh goods'!$E$10*('R&amp;S - Packaging and hh goods'!$I$15*'R&amp;S - Packaging and hh goods'!$AC$19*(AT$3-$D$3)/10)+AT27*'R&amp;S - Packaging and hh goods'!$M$4/SUM('R&amp;S - Packaging and hh goods'!$L$4:$N$4)*'R&amp;S - Packaging and hh goods'!$F$10*('R&amp;S - Packaging and hh goods'!$K$15*'R&amp;S - Packaging and hh goods'!$AH$19*(AT$3-$D$3)/10)+AT27*'R&amp;S - Packaging and hh goods'!$N$4/SUM('R&amp;S - Packaging and hh goods'!$L$4:$N$4)*'R&amp;S - Packaging and hh goods'!$G$10*('R&amp;S - Packaging and hh goods'!$M$15*'R&amp;S - Packaging and hh goods'!$AM$19*(AT$3-$D$3)/10)</f>
        <v>0.97767311835453397</v>
      </c>
      <c r="AU32" s="265">
        <f>AU27*'R&amp;S - Packaging and hh goods'!$L$4/SUM('R&amp;S - Packaging and hh goods'!$L$4:$N$4)*('R&amp;S - Packaging and hh goods'!$E$10*'R&amp;S - Packaging and hh goods'!$I$15*('R&amp;S - Packaging and hh goods'!$AC$19+('R&amp;S - Packaging and hh goods'!$AC$20-'R&amp;S - Packaging and hh goods'!$AC$19)*(AU$3-$N$3)/10))+AU27*'R&amp;S - Packaging and hh goods'!$M$4/SUM('R&amp;S - Packaging and hh goods'!$L$4:$N$4)*('R&amp;S - Packaging and hh goods'!$F$10*'R&amp;S - Packaging and hh goods'!$K$15*('R&amp;S - Packaging and hh goods'!$AH$19+('R&amp;S - Packaging and hh goods'!$AH$20-'R&amp;S - Packaging and hh goods'!$AH$19)*(AU$3-$N$3)/10))+AU27*'R&amp;S - Packaging and hh goods'!$N$4/SUM('R&amp;S - Packaging and hh goods'!$L$4:$N$4)*('R&amp;S - Packaging and hh goods'!$G$10*'R&amp;S - Packaging and hh goods'!$M$15*('R&amp;S - Packaging and hh goods'!$AM$19+('R&amp;S - Packaging and hh goods'!$AM$20-'R&amp;S - Packaging and hh goods'!$AM$19)*(AU$3-$N$3)/10))</f>
        <v>1.1677496937463752</v>
      </c>
      <c r="AV32" s="265">
        <f>AV27*'R&amp;S - Packaging and hh goods'!$L$4/SUM('R&amp;S - Packaging and hh goods'!$L$4:$N$4)*('R&amp;S - Packaging and hh goods'!$E$10*'R&amp;S - Packaging and hh goods'!$I$15*('R&amp;S - Packaging and hh goods'!$AC$19+('R&amp;S - Packaging and hh goods'!$AC$20-'R&amp;S - Packaging and hh goods'!$AC$19)*(AV$3-$N$3)/10))+AV27*'R&amp;S - Packaging and hh goods'!$M$4/SUM('R&amp;S - Packaging and hh goods'!$L$4:$N$4)*('R&amp;S - Packaging and hh goods'!$F$10*'R&amp;S - Packaging and hh goods'!$K$15*('R&amp;S - Packaging and hh goods'!$AH$19+('R&amp;S - Packaging and hh goods'!$AH$20-'R&amp;S - Packaging and hh goods'!$AH$19)*(AV$3-$N$3)/10))+AV27*'R&amp;S - Packaging and hh goods'!$N$4/SUM('R&amp;S - Packaging and hh goods'!$L$4:$N$4)*('R&amp;S - Packaging and hh goods'!$G$10*'R&amp;S - Packaging and hh goods'!$M$15*('R&amp;S - Packaging and hh goods'!$AM$19+('R&amp;S - Packaging and hh goods'!$AM$20-'R&amp;S - Packaging and hh goods'!$AM$19)*(AV$3-$N$3)/10))</f>
        <v>1.3618896553495157</v>
      </c>
      <c r="AW32" s="265">
        <f>AW27*'R&amp;S - Packaging and hh goods'!$L$4/SUM('R&amp;S - Packaging and hh goods'!$L$4:$N$4)*('R&amp;S - Packaging and hh goods'!$E$10*'R&amp;S - Packaging and hh goods'!$I$15*('R&amp;S - Packaging and hh goods'!$AC$19+('R&amp;S - Packaging and hh goods'!$AC$20-'R&amp;S - Packaging and hh goods'!$AC$19)*(AW$3-$N$3)/10))+AW27*'R&amp;S - Packaging and hh goods'!$M$4/SUM('R&amp;S - Packaging and hh goods'!$L$4:$N$4)*('R&amp;S - Packaging and hh goods'!$F$10*'R&amp;S - Packaging and hh goods'!$K$15*('R&amp;S - Packaging and hh goods'!$AH$19+('R&amp;S - Packaging and hh goods'!$AH$20-'R&amp;S - Packaging and hh goods'!$AH$19)*(AW$3-$N$3)/10))+AW27*'R&amp;S - Packaging and hh goods'!$N$4/SUM('R&amp;S - Packaging and hh goods'!$L$4:$N$4)*('R&amp;S - Packaging and hh goods'!$G$10*'R&amp;S - Packaging and hh goods'!$M$15*('R&amp;S - Packaging and hh goods'!$AM$19+('R&amp;S - Packaging and hh goods'!$AM$20-'R&amp;S - Packaging and hh goods'!$AM$19)*(AW$3-$N$3)/10))</f>
        <v>1.5601593983949822</v>
      </c>
      <c r="AX32" s="265">
        <f>AX27*'R&amp;S - Packaging and hh goods'!$L$4/SUM('R&amp;S - Packaging and hh goods'!$L$4:$N$4)*('R&amp;S - Packaging and hh goods'!$E$10*'R&amp;S - Packaging and hh goods'!$I$15*('R&amp;S - Packaging and hh goods'!$AC$19+('R&amp;S - Packaging and hh goods'!$AC$20-'R&amp;S - Packaging and hh goods'!$AC$19)*(AX$3-$N$3)/10))+AX27*'R&amp;S - Packaging and hh goods'!$M$4/SUM('R&amp;S - Packaging and hh goods'!$L$4:$N$4)*('R&amp;S - Packaging and hh goods'!$F$10*'R&amp;S - Packaging and hh goods'!$K$15*('R&amp;S - Packaging and hh goods'!$AH$19+('R&amp;S - Packaging and hh goods'!$AH$20-'R&amp;S - Packaging and hh goods'!$AH$19)*(AX$3-$N$3)/10))+AX27*'R&amp;S - Packaging and hh goods'!$N$4/SUM('R&amp;S - Packaging and hh goods'!$L$4:$N$4)*('R&amp;S - Packaging and hh goods'!$G$10*'R&amp;S - Packaging and hh goods'!$M$15*('R&amp;S - Packaging and hh goods'!$AM$19+('R&amp;S - Packaging and hh goods'!$AM$20-'R&amp;S - Packaging and hh goods'!$AM$19)*(AX$3-$N$3)/10))</f>
        <v>1.7626262871391516</v>
      </c>
      <c r="AY32" s="265">
        <f>AY27*'R&amp;S - Packaging and hh goods'!$L$4/SUM('R&amp;S - Packaging and hh goods'!$L$4:$N$4)*('R&amp;S - Packaging and hh goods'!$E$10*'R&amp;S - Packaging and hh goods'!$I$15*('R&amp;S - Packaging and hh goods'!$AC$19+('R&amp;S - Packaging and hh goods'!$AC$20-'R&amp;S - Packaging and hh goods'!$AC$19)*(AY$3-$N$3)/10))+AY27*'R&amp;S - Packaging and hh goods'!$M$4/SUM('R&amp;S - Packaging and hh goods'!$L$4:$N$4)*('R&amp;S - Packaging and hh goods'!$F$10*'R&amp;S - Packaging and hh goods'!$K$15*('R&amp;S - Packaging and hh goods'!$AH$19+('R&amp;S - Packaging and hh goods'!$AH$20-'R&amp;S - Packaging and hh goods'!$AH$19)*(AY$3-$N$3)/10))+AY27*'R&amp;S - Packaging and hh goods'!$N$4/SUM('R&amp;S - Packaging and hh goods'!$L$4:$N$4)*('R&amp;S - Packaging and hh goods'!$G$10*'R&amp;S - Packaging and hh goods'!$M$15*('R&amp;S - Packaging and hh goods'!$AM$19+('R&amp;S - Packaging and hh goods'!$AM$20-'R&amp;S - Packaging and hh goods'!$AM$19)*(AY$3-$N$3)/10))</f>
        <v>1.9693586681484871</v>
      </c>
      <c r="AZ32" s="265">
        <f>AZ27*'R&amp;S - Packaging and hh goods'!$L$4/SUM('R&amp;S - Packaging and hh goods'!$L$4:$N$4)*('R&amp;S - Packaging and hh goods'!$E$10*'R&amp;S - Packaging and hh goods'!$I$15*('R&amp;S - Packaging and hh goods'!$AC$19+('R&amp;S - Packaging and hh goods'!$AC$20-'R&amp;S - Packaging and hh goods'!$AC$19)*(AZ$3-$N$3)/10))+AZ27*'R&amp;S - Packaging and hh goods'!$M$4/SUM('R&amp;S - Packaging and hh goods'!$L$4:$N$4)*('R&amp;S - Packaging and hh goods'!$F$10*'R&amp;S - Packaging and hh goods'!$K$15*('R&amp;S - Packaging and hh goods'!$AH$19+('R&amp;S - Packaging and hh goods'!$AH$20-'R&amp;S - Packaging and hh goods'!$AH$19)*(AZ$3-$N$3)/10))+AZ27*'R&amp;S - Packaging and hh goods'!$N$4/SUM('R&amp;S - Packaging and hh goods'!$L$4:$N$4)*('R&amp;S - Packaging and hh goods'!$G$10*'R&amp;S - Packaging and hh goods'!$M$15*('R&amp;S - Packaging and hh goods'!$AM$19+('R&amp;S - Packaging and hh goods'!$AM$20-'R&amp;S - Packaging and hh goods'!$AM$19)*(AZ$3-$N$3)/10))</f>
        <v>2.1804258837592836</v>
      </c>
      <c r="BA32" s="265">
        <f>BA27*'R&amp;S - Packaging and hh goods'!$L$4/SUM('R&amp;S - Packaging and hh goods'!$L$4:$N$4)*('R&amp;S - Packaging and hh goods'!$E$10*'R&amp;S - Packaging and hh goods'!$I$15*('R&amp;S - Packaging and hh goods'!$AC$19+('R&amp;S - Packaging and hh goods'!$AC$20-'R&amp;S - Packaging and hh goods'!$AC$19)*(BA$3-$N$3)/10))+BA27*'R&amp;S - Packaging and hh goods'!$M$4/SUM('R&amp;S - Packaging and hh goods'!$L$4:$N$4)*('R&amp;S - Packaging and hh goods'!$F$10*'R&amp;S - Packaging and hh goods'!$K$15*('R&amp;S - Packaging and hh goods'!$AH$19+('R&amp;S - Packaging and hh goods'!$AH$20-'R&amp;S - Packaging and hh goods'!$AH$19)*(BA$3-$N$3)/10))+BA27*'R&amp;S - Packaging and hh goods'!$N$4/SUM('R&amp;S - Packaging and hh goods'!$L$4:$N$4)*('R&amp;S - Packaging and hh goods'!$G$10*'R&amp;S - Packaging and hh goods'!$M$15*('R&amp;S - Packaging and hh goods'!$AM$19+('R&amp;S - Packaging and hh goods'!$AM$20-'R&amp;S - Packaging and hh goods'!$AM$19)*(BA$3-$N$3)/10))</f>
        <v>2.3958982857146718</v>
      </c>
      <c r="BB32" s="265">
        <f>BB27*'R&amp;S - Packaging and hh goods'!$L$4/SUM('R&amp;S - Packaging and hh goods'!$L$4:$N$4)*('R&amp;S - Packaging and hh goods'!$E$10*'R&amp;S - Packaging and hh goods'!$I$15*('R&amp;S - Packaging and hh goods'!$AC$19+('R&amp;S - Packaging and hh goods'!$AC$20-'R&amp;S - Packaging and hh goods'!$AC$19)*(BB$3-$N$3)/10))+BB27*'R&amp;S - Packaging and hh goods'!$M$4/SUM('R&amp;S - Packaging and hh goods'!$L$4:$N$4)*('R&amp;S - Packaging and hh goods'!$F$10*'R&amp;S - Packaging and hh goods'!$K$15*('R&amp;S - Packaging and hh goods'!$AH$19+('R&amp;S - Packaging and hh goods'!$AH$20-'R&amp;S - Packaging and hh goods'!$AH$19)*(BB$3-$N$3)/10))+BB27*'R&amp;S - Packaging and hh goods'!$N$4/SUM('R&amp;S - Packaging and hh goods'!$L$4:$N$4)*('R&amp;S - Packaging and hh goods'!$G$10*'R&amp;S - Packaging and hh goods'!$M$15*('R&amp;S - Packaging and hh goods'!$AM$19+('R&amp;S - Packaging and hh goods'!$AM$20-'R&amp;S - Packaging and hh goods'!$AM$19)*(BB$3-$N$3)/10))</f>
        <v>2.6158472489811437</v>
      </c>
      <c r="BC32" s="265">
        <f>BC27*'R&amp;S - Packaging and hh goods'!$L$4/SUM('R&amp;S - Packaging and hh goods'!$L$4:$N$4)*('R&amp;S - Packaging and hh goods'!$E$10*'R&amp;S - Packaging and hh goods'!$I$15*('R&amp;S - Packaging and hh goods'!$AC$19+('R&amp;S - Packaging and hh goods'!$AC$20-'R&amp;S - Packaging and hh goods'!$AC$19)*(BC$3-$N$3)/10))+BC27*'R&amp;S - Packaging and hh goods'!$M$4/SUM('R&amp;S - Packaging and hh goods'!$L$4:$N$4)*('R&amp;S - Packaging and hh goods'!$F$10*'R&amp;S - Packaging and hh goods'!$K$15*('R&amp;S - Packaging and hh goods'!$AH$19+('R&amp;S - Packaging and hh goods'!$AH$20-'R&amp;S - Packaging and hh goods'!$AH$19)*(BC$3-$N$3)/10))+BC27*'R&amp;S - Packaging and hh goods'!$N$4/SUM('R&amp;S - Packaging and hh goods'!$L$4:$N$4)*('R&amp;S - Packaging and hh goods'!$G$10*'R&amp;S - Packaging and hh goods'!$M$15*('R&amp;S - Packaging and hh goods'!$AM$19+('R&amp;S - Packaging and hh goods'!$AM$20-'R&amp;S - Packaging and hh goods'!$AM$19)*(BC$3-$N$3)/10))</f>
        <v>2.8403451857469055</v>
      </c>
      <c r="BD32" s="265">
        <f>BD27*'R&amp;S - Packaging and hh goods'!$L$4/SUM('R&amp;S - Packaging and hh goods'!$L$4:$N$4)*('R&amp;S - Packaging and hh goods'!$E$10*'R&amp;S - Packaging and hh goods'!$I$15*('R&amp;S - Packaging and hh goods'!$AC$19+('R&amp;S - Packaging and hh goods'!$AC$20-'R&amp;S - Packaging and hh goods'!$AC$19)*(BD$3-$N$3)/10))+BD27*'R&amp;S - Packaging and hh goods'!$M$4/SUM('R&amp;S - Packaging and hh goods'!$L$4:$N$4)*('R&amp;S - Packaging and hh goods'!$F$10*'R&amp;S - Packaging and hh goods'!$K$15*('R&amp;S - Packaging and hh goods'!$AH$19+('R&amp;S - Packaging and hh goods'!$AH$20-'R&amp;S - Packaging and hh goods'!$AH$19)*(BD$3-$N$3)/10))+BD27*'R&amp;S - Packaging and hh goods'!$N$4/SUM('R&amp;S - Packaging and hh goods'!$L$4:$N$4)*('R&amp;S - Packaging and hh goods'!$G$10*'R&amp;S - Packaging and hh goods'!$M$15*('R&amp;S - Packaging and hh goods'!$AM$19+('R&amp;S - Packaging and hh goods'!$AM$20-'R&amp;S - Packaging and hh goods'!$AM$19)*(BD$3-$N$3)/10))</f>
        <v>3.0694655596043887</v>
      </c>
      <c r="BE32" s="265">
        <f>BE27*'R&amp;S - Packaging and hh goods'!$L$4/SUM('R&amp;S - Packaging and hh goods'!$L$4:$N$4)*('R&amp;S - Packaging and hh goods'!$E10*'R&amp;S - Packaging and hh goods'!$I$15*('R&amp;S - Packaging and hh goods'!$AC$20+('R&amp;S - Packaging and hh goods'!$AC$21-'R&amp;S - Packaging and hh goods'!$AC$20)*(BE$3-$X$3)/10))+BE27*'R&amp;S - Packaging and hh goods'!$M$4/SUM('R&amp;S - Packaging and hh goods'!$L$4:$N$4)*('R&amp;S - Packaging and hh goods'!$F10*'R&amp;S - Packaging and hh goods'!$K$15*('R&amp;S - Packaging and hh goods'!$AH$20+('R&amp;S - Packaging and hh goods'!$AH$21-'R&amp;S - Packaging and hh goods'!$AH$20)*(BE$3-$X$3)/10))+BE27*'R&amp;S - Packaging and hh goods'!$N$4/SUM('R&amp;S - Packaging and hh goods'!$L$4:$N$4)*('R&amp;S - Packaging and hh goods'!$G10*'R&amp;S - Packaging and hh goods'!$M$15*('R&amp;S - Packaging and hh goods'!$AM$20+('R&amp;S - Packaging and hh goods'!$AM$21-'R&amp;S - Packaging and hh goods'!$AM$20)*(BE$3-$X$3)/10))</f>
        <v>3.2923325726721253</v>
      </c>
      <c r="BF32" s="265">
        <f>BF27*'R&amp;S - Packaging and hh goods'!$L$4/SUM('R&amp;S - Packaging and hh goods'!$L$4:$N$4)*('R&amp;S - Packaging and hh goods'!$E10*'R&amp;S - Packaging and hh goods'!$I$15*('R&amp;S - Packaging and hh goods'!$AC$20+('R&amp;S - Packaging and hh goods'!$AC$21-'R&amp;S - Packaging and hh goods'!$AC$20)*(BF$3-$X$3)/10))+BF27*'R&amp;S - Packaging and hh goods'!$M$4/SUM('R&amp;S - Packaging and hh goods'!$L$4:$N$4)*('R&amp;S - Packaging and hh goods'!$F10*'R&amp;S - Packaging and hh goods'!$K$15*('R&amp;S - Packaging and hh goods'!$AH$20+('R&amp;S - Packaging and hh goods'!$AH$21-'R&amp;S - Packaging and hh goods'!$AH$20)*(BF$3-$X$3)/10))+BF27*'R&amp;S - Packaging and hh goods'!$N$4/SUM('R&amp;S - Packaging and hh goods'!$L$4:$N$4)*('R&amp;S - Packaging and hh goods'!$G10*'R&amp;S - Packaging and hh goods'!$M$15*('R&amp;S - Packaging and hh goods'!$AM$20+('R&amp;S - Packaging and hh goods'!$AM$21-'R&amp;S - Packaging and hh goods'!$AM$20)*(BF$3-$X$3)/10))</f>
        <v>3.519731254694638</v>
      </c>
      <c r="BG32" s="265">
        <f>BG27*'R&amp;S - Packaging and hh goods'!$L$4/SUM('R&amp;S - Packaging and hh goods'!$L$4:$N$4)*('R&amp;S - Packaging and hh goods'!$E10*'R&amp;S - Packaging and hh goods'!$I$15*('R&amp;S - Packaging and hh goods'!$AC$20+('R&amp;S - Packaging and hh goods'!$AC$21-'R&amp;S - Packaging and hh goods'!$AC$20)*(BG$3-$X$3)/10))+BG27*'R&amp;S - Packaging and hh goods'!$M$4/SUM('R&amp;S - Packaging and hh goods'!$L$4:$N$4)*('R&amp;S - Packaging and hh goods'!$F10*'R&amp;S - Packaging and hh goods'!$K$15*('R&amp;S - Packaging and hh goods'!$AH$20+('R&amp;S - Packaging and hh goods'!$AH$21-'R&amp;S - Packaging and hh goods'!$AH$20)*(BG$3-$X$3)/10))+BG27*'R&amp;S - Packaging and hh goods'!$N$4/SUM('R&amp;S - Packaging and hh goods'!$L$4:$N$4)*('R&amp;S - Packaging and hh goods'!$G10*'R&amp;S - Packaging and hh goods'!$M$15*('R&amp;S - Packaging and hh goods'!$AM$20+('R&amp;S - Packaging and hh goods'!$AM$21-'R&amp;S - Packaging and hh goods'!$AM$20)*(BG$3-$X$3)/10))</f>
        <v>3.7517343354803545</v>
      </c>
      <c r="BH32" s="265">
        <f>BH27*'R&amp;S - Packaging and hh goods'!$L$4/SUM('R&amp;S - Packaging and hh goods'!$L$4:$N$4)*('R&amp;S - Packaging and hh goods'!$E10*'R&amp;S - Packaging and hh goods'!$I$15*('R&amp;S - Packaging and hh goods'!$AC$20+('R&amp;S - Packaging and hh goods'!$AC$21-'R&amp;S - Packaging and hh goods'!$AC$20)*(BH$3-$X$3)/10))+BH27*'R&amp;S - Packaging and hh goods'!$M$4/SUM('R&amp;S - Packaging and hh goods'!$L$4:$N$4)*('R&amp;S - Packaging and hh goods'!$F10*'R&amp;S - Packaging and hh goods'!$K$15*('R&amp;S - Packaging and hh goods'!$AH$20+('R&amp;S - Packaging and hh goods'!$AH$21-'R&amp;S - Packaging and hh goods'!$AH$20)*(BH$3-$X$3)/10))+BH27*'R&amp;S - Packaging and hh goods'!$N$4/SUM('R&amp;S - Packaging and hh goods'!$L$4:$N$4)*('R&amp;S - Packaging and hh goods'!$G10*'R&amp;S - Packaging and hh goods'!$M$15*('R&amp;S - Packaging and hh goods'!$AM$20+('R&amp;S - Packaging and hh goods'!$AM$21-'R&amp;S - Packaging and hh goods'!$AM$20)*(BH$3-$X$3)/10))</f>
        <v>3.9884155965615378</v>
      </c>
      <c r="BI32" s="265">
        <f>BI27*'R&amp;S - Packaging and hh goods'!$L$4/SUM('R&amp;S - Packaging and hh goods'!$L$4:$N$4)*('R&amp;S - Packaging and hh goods'!$E10*'R&amp;S - Packaging and hh goods'!$I$15*('R&amp;S - Packaging and hh goods'!$AC$20+('R&amp;S - Packaging and hh goods'!$AC$21-'R&amp;S - Packaging and hh goods'!$AC$20)*(BI$3-$X$3)/10))+BI27*'R&amp;S - Packaging and hh goods'!$M$4/SUM('R&amp;S - Packaging and hh goods'!$L$4:$N$4)*('R&amp;S - Packaging and hh goods'!$F10*'R&amp;S - Packaging and hh goods'!$K$15*('R&amp;S - Packaging and hh goods'!$AH$20+('R&amp;S - Packaging and hh goods'!$AH$21-'R&amp;S - Packaging and hh goods'!$AH$20)*(BI$3-$X$3)/10))+BI27*'R&amp;S - Packaging and hh goods'!$N$4/SUM('R&amp;S - Packaging and hh goods'!$L$4:$N$4)*('R&amp;S - Packaging and hh goods'!$G10*'R&amp;S - Packaging and hh goods'!$M$15*('R&amp;S - Packaging and hh goods'!$AM$20+('R&amp;S - Packaging and hh goods'!$AM$21-'R&amp;S - Packaging and hh goods'!$AM$20)*(BI$3-$X$3)/10))</f>
        <v>4.2298498855319142</v>
      </c>
      <c r="BJ32" s="265">
        <f>BJ27*'R&amp;S - Packaging and hh goods'!$L$4/SUM('R&amp;S - Packaging and hh goods'!$L$4:$N$4)*('R&amp;S - Packaging and hh goods'!$E10*'R&amp;S - Packaging and hh goods'!$I$15*('R&amp;S - Packaging and hh goods'!$AC$20+('R&amp;S - Packaging and hh goods'!$AC$21-'R&amp;S - Packaging and hh goods'!$AC$20)*(BJ$3-$X$3)/10))+BJ27*'R&amp;S - Packaging and hh goods'!$M$4/SUM('R&amp;S - Packaging and hh goods'!$L$4:$N$4)*('R&amp;S - Packaging and hh goods'!$F10*'R&amp;S - Packaging and hh goods'!$K$15*('R&amp;S - Packaging and hh goods'!$AH$20+('R&amp;S - Packaging and hh goods'!$AH$21-'R&amp;S - Packaging and hh goods'!$AH$20)*(BJ$3-$X$3)/10))+BJ27*'R&amp;S - Packaging and hh goods'!$N$4/SUM('R&amp;S - Packaging and hh goods'!$L$4:$N$4)*('R&amp;S - Packaging and hh goods'!$G10*'R&amp;S - Packaging and hh goods'!$M$15*('R&amp;S - Packaging and hh goods'!$AM$20+('R&amp;S - Packaging and hh goods'!$AM$21-'R&amp;S - Packaging and hh goods'!$AM$20)*(BJ$3-$X$3)/10))</f>
        <v>4.4761131305724549</v>
      </c>
      <c r="BK32" s="265">
        <f>BK27*'R&amp;S - Packaging and hh goods'!$L$4/SUM('R&amp;S - Packaging and hh goods'!$L$4:$N$4)*('R&amp;S - Packaging and hh goods'!$E10*'R&amp;S - Packaging and hh goods'!$I$15*('R&amp;S - Packaging and hh goods'!$AC$20+('R&amp;S - Packaging and hh goods'!$AC$21-'R&amp;S - Packaging and hh goods'!$AC$20)*(BK$3-$X$3)/10))+BK27*'R&amp;S - Packaging and hh goods'!$M$4/SUM('R&amp;S - Packaging and hh goods'!$L$4:$N$4)*('R&amp;S - Packaging and hh goods'!$F10*'R&amp;S - Packaging and hh goods'!$K$15*('R&amp;S - Packaging and hh goods'!$AH$20+('R&amp;S - Packaging and hh goods'!$AH$21-'R&amp;S - Packaging and hh goods'!$AH$20)*(BK$3-$X$3)/10))+BK27*'R&amp;S - Packaging and hh goods'!$N$4/SUM('R&amp;S - Packaging and hh goods'!$L$4:$N$4)*('R&amp;S - Packaging and hh goods'!$G10*'R&amp;S - Packaging and hh goods'!$M$15*('R&amp;S - Packaging and hh goods'!$AM$20+('R&amp;S - Packaging and hh goods'!$AM$21-'R&amp;S - Packaging and hh goods'!$AM$20)*(BK$3-$X$3)/10))</f>
        <v>4.7272823551677368</v>
      </c>
      <c r="BL32" s="265">
        <f>BL27*'R&amp;S - Packaging and hh goods'!$L$4/SUM('R&amp;S - Packaging and hh goods'!$L$4:$N$4)*('R&amp;S - Packaging and hh goods'!$E10*'R&amp;S - Packaging and hh goods'!$I$15*('R&amp;S - Packaging and hh goods'!$AC$20+('R&amp;S - Packaging and hh goods'!$AC$21-'R&amp;S - Packaging and hh goods'!$AC$20)*(BL$3-$X$3)/10))+BL27*'R&amp;S - Packaging and hh goods'!$M$4/SUM('R&amp;S - Packaging and hh goods'!$L$4:$N$4)*('R&amp;S - Packaging and hh goods'!$F10*'R&amp;S - Packaging and hh goods'!$K$15*('R&amp;S - Packaging and hh goods'!$AH$20+('R&amp;S - Packaging and hh goods'!$AH$21-'R&amp;S - Packaging and hh goods'!$AH$20)*(BL$3-$X$3)/10))+BL27*'R&amp;S - Packaging and hh goods'!$N$4/SUM('R&amp;S - Packaging and hh goods'!$L$4:$N$4)*('R&amp;S - Packaging and hh goods'!$G10*'R&amp;S - Packaging and hh goods'!$M$15*('R&amp;S - Packaging and hh goods'!$AM$20+('R&amp;S - Packaging and hh goods'!$AM$21-'R&amp;S - Packaging and hh goods'!$AM$20)*(BL$3-$X$3)/10))</f>
        <v>4.9834356930153163</v>
      </c>
      <c r="BM32" s="265">
        <f>BM27*'R&amp;S - Packaging and hh goods'!$L$4/SUM('R&amp;S - Packaging and hh goods'!$L$4:$N$4)*('R&amp;S - Packaging and hh goods'!$E10*'R&amp;S - Packaging and hh goods'!$I$15*('R&amp;S - Packaging and hh goods'!$AC$20+('R&amp;S - Packaging and hh goods'!$AC$21-'R&amp;S - Packaging and hh goods'!$AC$20)*(BM$3-$X$3)/10))+BM27*'R&amp;S - Packaging and hh goods'!$M$4/SUM('R&amp;S - Packaging and hh goods'!$L$4:$N$4)*('R&amp;S - Packaging and hh goods'!$F10*'R&amp;S - Packaging and hh goods'!$K$15*('R&amp;S - Packaging and hh goods'!$AH$20+('R&amp;S - Packaging and hh goods'!$AH$21-'R&amp;S - Packaging and hh goods'!$AH$20)*(BM$3-$X$3)/10))+BM27*'R&amp;S - Packaging and hh goods'!$N$4/SUM('R&amp;S - Packaging and hh goods'!$L$4:$N$4)*('R&amp;S - Packaging and hh goods'!$G10*'R&amp;S - Packaging and hh goods'!$M$15*('R&amp;S - Packaging and hh goods'!$AM$20+('R&amp;S - Packaging and hh goods'!$AM$21-'R&amp;S - Packaging and hh goods'!$AM$20)*(BM$3-$X$3)/10))</f>
        <v>5.2446524031305692</v>
      </c>
      <c r="BN32" s="265">
        <f>BN27*'R&amp;S - Packaging and hh goods'!$L$4/SUM('R&amp;S - Packaging and hh goods'!$L$4:$N$4)*('R&amp;S - Packaging and hh goods'!$E10*'R&amp;S - Packaging and hh goods'!$I$15*('R&amp;S - Packaging and hh goods'!$AC$20+('R&amp;S - Packaging and hh goods'!$AC$21-'R&amp;S - Packaging and hh goods'!$AC$20)*(BN$3-$X$3)/10))+BN27*'R&amp;S - Packaging and hh goods'!$M$4/SUM('R&amp;S - Packaging and hh goods'!$L$4:$N$4)*('R&amp;S - Packaging and hh goods'!$F10*'R&amp;S - Packaging and hh goods'!$K$15*('R&amp;S - Packaging and hh goods'!$AH$20+('R&amp;S - Packaging and hh goods'!$AH$21-'R&amp;S - Packaging and hh goods'!$AH$20)*(BN$3-$X$3)/10))+BN27*'R&amp;S - Packaging and hh goods'!$N$4/SUM('R&amp;S - Packaging and hh goods'!$L$4:$N$4)*('R&amp;S - Packaging and hh goods'!$G10*'R&amp;S - Packaging and hh goods'!$M$15*('R&amp;S - Packaging and hh goods'!$AM$20+('R&amp;S - Packaging and hh goods'!$AM$21-'R&amp;S - Packaging and hh goods'!$AM$20)*(BN$3-$X$3)/10))</f>
        <v>5.5110128851495004</v>
      </c>
      <c r="BR32" t="s">
        <v>192</v>
      </c>
      <c r="BS32" s="44" t="e">
        <f>#REF!</f>
        <v>#REF!</v>
      </c>
      <c r="BU32" t="str">
        <v>Other</v>
      </c>
      <c r="BV32" s="44">
        <v>24.045360628442481</v>
      </c>
      <c r="BW32" s="2">
        <v>0.23105973583426512</v>
      </c>
    </row>
    <row r="33" spans="1:75" outlineLevel="1" x14ac:dyDescent="0.2">
      <c r="B33" s="1" t="s">
        <v>172</v>
      </c>
      <c r="C33" s="54" t="s">
        <v>153</v>
      </c>
      <c r="D33" s="43">
        <f>SUM(D31:D32)</f>
        <v>0</v>
      </c>
      <c r="E33" s="43">
        <f t="shared" ref="E33:Y33" si="27">SUM(E31:E32)</f>
        <v>8.9380447489723333E-2</v>
      </c>
      <c r="F33" s="43">
        <f t="shared" si="27"/>
        <v>0.39914352854538127</v>
      </c>
      <c r="G33" s="43">
        <f t="shared" si="27"/>
        <v>0.60530116103907061</v>
      </c>
      <c r="H33" s="43">
        <f t="shared" si="27"/>
        <v>0.81594596508066719</v>
      </c>
      <c r="I33" s="43">
        <f t="shared" si="27"/>
        <v>1.0311517133706931</v>
      </c>
      <c r="J33" s="43">
        <f t="shared" si="27"/>
        <v>1.2509932586613244</v>
      </c>
      <c r="K33" s="43">
        <f t="shared" si="27"/>
        <v>1.475546548591032</v>
      </c>
      <c r="L33" s="43">
        <f t="shared" si="27"/>
        <v>1.7048886407148949</v>
      </c>
      <c r="M33" s="43">
        <f t="shared" si="27"/>
        <v>1.9390977177331037</v>
      </c>
      <c r="N33" s="43">
        <f t="shared" si="27"/>
        <v>2.1782531029201859</v>
      </c>
      <c r="O33" s="265">
        <f t="shared" si="27"/>
        <v>2.5934305372291253</v>
      </c>
      <c r="P33" s="265">
        <f t="shared" ref="P33:X33" si="28">SUM(P31:P32)</f>
        <v>3.0174783064674071</v>
      </c>
      <c r="Q33" s="265">
        <f t="shared" si="28"/>
        <v>3.4505413215339269</v>
      </c>
      <c r="R33" s="265">
        <f t="shared" si="28"/>
        <v>3.8927666080568271</v>
      </c>
      <c r="S33" s="265">
        <f t="shared" si="28"/>
        <v>4.3443033353833265</v>
      </c>
      <c r="T33" s="265">
        <f t="shared" si="28"/>
        <v>4.8053028459514326</v>
      </c>
      <c r="U33" s="265">
        <f t="shared" si="28"/>
        <v>5.2759186850484561</v>
      </c>
      <c r="V33" s="265">
        <f t="shared" si="28"/>
        <v>5.7563066309612534</v>
      </c>
      <c r="W33" s="265">
        <f t="shared" si="28"/>
        <v>6.2466247255232412</v>
      </c>
      <c r="X33" s="265">
        <f t="shared" si="28"/>
        <v>6.7470333050632476</v>
      </c>
      <c r="Y33" s="265">
        <f t="shared" si="27"/>
        <v>7.2152296154048976</v>
      </c>
      <c r="Z33" s="265">
        <f t="shared" ref="Z33:AH33" si="29">SUM(Z31:Z32)</f>
        <v>7.6929098535441494</v>
      </c>
      <c r="AA33" s="265">
        <f t="shared" si="29"/>
        <v>8.180226014139004</v>
      </c>
      <c r="AB33" s="265">
        <f t="shared" si="29"/>
        <v>8.6773322881746644</v>
      </c>
      <c r="AC33" s="265">
        <f t="shared" si="29"/>
        <v>9.1843850928914001</v>
      </c>
      <c r="AD33" s="265">
        <f t="shared" si="29"/>
        <v>9.7015431021050347</v>
      </c>
      <c r="AE33" s="265">
        <f t="shared" si="29"/>
        <v>10.228967276925125</v>
      </c>
      <c r="AF33" s="265">
        <f t="shared" si="29"/>
        <v>10.766820896875906</v>
      </c>
      <c r="AG33" s="265">
        <f t="shared" si="29"/>
        <v>11.315269591425096</v>
      </c>
      <c r="AH33" s="265">
        <f t="shared" si="29"/>
        <v>11.874481371925846</v>
      </c>
      <c r="AJ33" s="43">
        <f>SUM(AJ31:AJ32)</f>
        <v>0</v>
      </c>
      <c r="AK33" s="43">
        <f t="shared" ref="AK33:BN33" si="30">SUM(AK31:AK32)</f>
        <v>7.2851502517433636E-2</v>
      </c>
      <c r="AL33" s="43">
        <f t="shared" si="30"/>
        <v>0.32616901456641567</v>
      </c>
      <c r="AM33" s="43">
        <f t="shared" si="30"/>
        <v>0.49463531058996935</v>
      </c>
      <c r="AN33" s="43">
        <f t="shared" si="30"/>
        <v>0.6667683986752786</v>
      </c>
      <c r="AO33" s="43">
        <f t="shared" si="30"/>
        <v>0.84262856382588325</v>
      </c>
      <c r="AP33" s="43">
        <f t="shared" si="30"/>
        <v>1.0222769736335613</v>
      </c>
      <c r="AQ33" s="43">
        <f t="shared" si="30"/>
        <v>1.2057756904007855</v>
      </c>
      <c r="AR33" s="43">
        <f t="shared" si="30"/>
        <v>1.3931876834230787</v>
      </c>
      <c r="AS33" s="43">
        <f t="shared" si="30"/>
        <v>1.5845768414333241</v>
      </c>
      <c r="AT33" s="43">
        <f t="shared" si="30"/>
        <v>1.7800079852101005</v>
      </c>
      <c r="AU33" s="265">
        <f t="shared" si="30"/>
        <v>2.1193306210021516</v>
      </c>
      <c r="AV33" s="265">
        <f t="shared" si="30"/>
        <v>2.4659029738154166</v>
      </c>
      <c r="AW33" s="265">
        <f t="shared" si="30"/>
        <v>2.8198434793854328</v>
      </c>
      <c r="AX33" s="265">
        <f t="shared" si="30"/>
        <v>3.1812723018181575</v>
      </c>
      <c r="AY33" s="265">
        <f t="shared" si="30"/>
        <v>3.5503113572833973</v>
      </c>
      <c r="AZ33" s="265">
        <f t="shared" si="30"/>
        <v>3.9270843380203502</v>
      </c>
      <c r="BA33" s="265">
        <f t="shared" si="30"/>
        <v>4.3117167366592852</v>
      </c>
      <c r="BB33" s="265">
        <f t="shared" si="30"/>
        <v>4.7043358708633782</v>
      </c>
      <c r="BC33" s="265">
        <f t="shared" si="30"/>
        <v>5.105070908294822</v>
      </c>
      <c r="BD33" s="265">
        <f t="shared" si="30"/>
        <v>5.5140528919093859</v>
      </c>
      <c r="BE33" s="265">
        <f t="shared" si="30"/>
        <v>5.8968394354312998</v>
      </c>
      <c r="BF33" s="265">
        <f t="shared" si="30"/>
        <v>6.2873800825107704</v>
      </c>
      <c r="BG33" s="265">
        <f t="shared" si="30"/>
        <v>6.6857991062543061</v>
      </c>
      <c r="BH33" s="265">
        <f t="shared" si="30"/>
        <v>7.0922225755302151</v>
      </c>
      <c r="BI33" s="265">
        <f t="shared" si="30"/>
        <v>7.5067783794383365</v>
      </c>
      <c r="BJ33" s="265">
        <f t="shared" si="30"/>
        <v>7.9295962521007972</v>
      </c>
      <c r="BK33" s="265">
        <f t="shared" si="30"/>
        <v>8.3608077977779196</v>
      </c>
      <c r="BL33" s="265">
        <f t="shared" si="30"/>
        <v>8.8005465163134335</v>
      </c>
      <c r="BM33" s="265">
        <f t="shared" si="30"/>
        <v>9.2489478289132006</v>
      </c>
      <c r="BN33" s="265">
        <f t="shared" si="30"/>
        <v>9.7061491042616872</v>
      </c>
      <c r="BS33" s="442" t="e">
        <f>SUM(BS29:BS32)</f>
        <v>#REF!</v>
      </c>
      <c r="BU33" t="str">
        <v>Total</v>
      </c>
      <c r="BV33" s="44">
        <v>104.06555924434093</v>
      </c>
      <c r="BW33" s="2">
        <v>0</v>
      </c>
    </row>
    <row r="34" spans="1:75" outlineLevel="1" x14ac:dyDescent="0.2">
      <c r="B34" s="1" t="s">
        <v>197</v>
      </c>
      <c r="C34" s="65" t="s">
        <v>153</v>
      </c>
      <c r="D34" s="66">
        <f>D27-D30-D33</f>
        <v>45.090956546267236</v>
      </c>
      <c r="E34" s="66">
        <f t="shared" ref="E34:AG34" si="31">E27-E30-E33</f>
        <v>45.176282005386831</v>
      </c>
      <c r="F34" s="66">
        <f t="shared" si="31"/>
        <v>45.039612355143802</v>
      </c>
      <c r="G34" s="66">
        <f t="shared" si="31"/>
        <v>45.004879063783811</v>
      </c>
      <c r="H34" s="66">
        <f t="shared" si="31"/>
        <v>44.963931846918939</v>
      </c>
      <c r="I34" s="66">
        <f t="shared" si="31"/>
        <v>44.916638200916317</v>
      </c>
      <c r="J34" s="66">
        <f t="shared" si="31"/>
        <v>44.862863458948162</v>
      </c>
      <c r="K34" s="66">
        <f t="shared" si="31"/>
        <v>44.802470759434392</v>
      </c>
      <c r="L34" s="66">
        <f t="shared" si="31"/>
        <v>44.735321014052786</v>
      </c>
      <c r="M34" s="66">
        <f t="shared" si="31"/>
        <v>44.661272875310907</v>
      </c>
      <c r="N34" s="66">
        <f t="shared" si="31"/>
        <v>44.580182703673991</v>
      </c>
      <c r="O34" s="180">
        <f t="shared" si="31"/>
        <v>43.787333282826985</v>
      </c>
      <c r="P34" s="66">
        <f t="shared" si="31"/>
        <v>42.971646972614188</v>
      </c>
      <c r="Q34" s="66">
        <f t="shared" si="31"/>
        <v>42.132717296249496</v>
      </c>
      <c r="R34" s="66">
        <f t="shared" si="31"/>
        <v>41.270131597721104</v>
      </c>
      <c r="S34" s="66">
        <f t="shared" si="31"/>
        <v>40.383470955032223</v>
      </c>
      <c r="T34" s="66">
        <f t="shared" si="31"/>
        <v>39.472310092280871</v>
      </c>
      <c r="U34" s="66">
        <f t="shared" si="31"/>
        <v>38.536217290563428</v>
      </c>
      <c r="V34" s="66">
        <f t="shared" si="31"/>
        <v>37.574754297687036</v>
      </c>
      <c r="W34" s="66">
        <f t="shared" si="31"/>
        <v>36.587476236675208</v>
      </c>
      <c r="X34" s="66">
        <f>X27-X30-X33</f>
        <v>35.5739315130511</v>
      </c>
      <c r="Y34" s="180">
        <f t="shared" si="31"/>
        <v>34.521364169948797</v>
      </c>
      <c r="Z34" s="66">
        <f t="shared" si="31"/>
        <v>33.441335899585169</v>
      </c>
      <c r="AA34" s="66">
        <f t="shared" si="31"/>
        <v>32.333369922208981</v>
      </c>
      <c r="AB34" s="66">
        <f t="shared" si="31"/>
        <v>31.19698229168667</v>
      </c>
      <c r="AC34" s="66">
        <f t="shared" si="31"/>
        <v>30.031681795532268</v>
      </c>
      <c r="AD34" s="66">
        <f t="shared" si="31"/>
        <v>28.836969853605176</v>
      </c>
      <c r="AE34" s="66">
        <f t="shared" si="31"/>
        <v>27.612340415458441</v>
      </c>
      <c r="AF34" s="66">
        <f t="shared" si="31"/>
        <v>26.357279856320183</v>
      </c>
      <c r="AG34" s="66">
        <f t="shared" si="31"/>
        <v>25.071266871690622</v>
      </c>
      <c r="AH34" s="66">
        <f>AH27-AH30-AH33</f>
        <v>23.753772370536588</v>
      </c>
      <c r="AJ34" s="66">
        <f>AJ27-AJ30-AJ33</f>
        <v>45.090956546267236</v>
      </c>
      <c r="AK34" s="66">
        <f t="shared" ref="AK34:BC34" si="32">AK27-AK30-AK33</f>
        <v>45.279560496517021</v>
      </c>
      <c r="AL34" s="66">
        <f t="shared" si="32"/>
        <v>45.287994451454026</v>
      </c>
      <c r="AM34" s="66">
        <f t="shared" si="32"/>
        <v>45.381550512838281</v>
      </c>
      <c r="AN34" s="66">
        <f t="shared" si="32"/>
        <v>45.47168496024436</v>
      </c>
      <c r="AO34" s="66">
        <f t="shared" si="32"/>
        <v>45.558311197881316</v>
      </c>
      <c r="AP34" s="66">
        <f t="shared" si="32"/>
        <v>45.641341138866103</v>
      </c>
      <c r="AQ34" s="66">
        <f t="shared" si="32"/>
        <v>45.720685182897604</v>
      </c>
      <c r="AR34" s="66">
        <f t="shared" si="32"/>
        <v>45.796252193619992</v>
      </c>
      <c r="AS34" s="66">
        <f t="shared" si="32"/>
        <v>45.867949475671153</v>
      </c>
      <c r="AT34" s="66">
        <f t="shared" si="32"/>
        <v>45.93568275141201</v>
      </c>
      <c r="AU34" s="180">
        <f t="shared" si="32"/>
        <v>45.470061924023057</v>
      </c>
      <c r="AV34" s="66">
        <f t="shared" si="32"/>
        <v>44.988639220818619</v>
      </c>
      <c r="AW34" s="66">
        <f t="shared" si="32"/>
        <v>44.491123340650887</v>
      </c>
      <c r="AX34" s="66">
        <f t="shared" si="32"/>
        <v>43.977218485773747</v>
      </c>
      <c r="AY34" s="66">
        <f t="shared" si="32"/>
        <v>43.446624298165084</v>
      </c>
      <c r="AZ34" s="66">
        <f t="shared" si="32"/>
        <v>42.899035794992258</v>
      </c>
      <c r="BA34" s="66">
        <f t="shared" si="32"/>
        <v>42.334143303209544</v>
      </c>
      <c r="BB34" s="66">
        <f t="shared" si="32"/>
        <v>41.751632393276424</v>
      </c>
      <c r="BC34" s="66">
        <f t="shared" si="32"/>
        <v>41.151183811985085</v>
      </c>
      <c r="BD34" s="66">
        <f>BD27-BD30-BD33</f>
        <v>40.532473414385748</v>
      </c>
      <c r="BE34" s="180">
        <f t="shared" ref="BE34:BM34" si="33">BE27-BE30-BE33</f>
        <v>39.889770458828337</v>
      </c>
      <c r="BF34" s="66">
        <f t="shared" si="33"/>
        <v>39.22802360896555</v>
      </c>
      <c r="BG34" s="66">
        <f t="shared" si="33"/>
        <v>38.546891666180244</v>
      </c>
      <c r="BH34" s="66">
        <f t="shared" si="33"/>
        <v>37.846028229796978</v>
      </c>
      <c r="BI34" s="66">
        <f t="shared" si="33"/>
        <v>37.125081623921673</v>
      </c>
      <c r="BJ34" s="66">
        <f t="shared" si="33"/>
        <v>36.383694823301312</v>
      </c>
      <c r="BK34" s="66">
        <f t="shared" si="33"/>
        <v>35.621505378190804</v>
      </c>
      <c r="BL34" s="66">
        <f t="shared" si="33"/>
        <v>34.838145338214247</v>
      </c>
      <c r="BM34" s="66">
        <f t="shared" si="33"/>
        <v>34.033241175207444</v>
      </c>
      <c r="BN34" s="66">
        <f>BN27-BN30-BN33</f>
        <v>33.206413705028567</v>
      </c>
      <c r="BR34" t="s">
        <v>53</v>
      </c>
      <c r="BS34" s="44">
        <f>D4</f>
        <v>116.10918671199683</v>
      </c>
    </row>
    <row r="35" spans="1:75" s="67" customFormat="1" outlineLevel="1" x14ac:dyDescent="0.2">
      <c r="A35" s="681"/>
      <c r="B35" s="58" t="s">
        <v>7</v>
      </c>
      <c r="C35" s="59" t="s">
        <v>153</v>
      </c>
      <c r="D35" s="60">
        <f>D27*'R&amp;S - Packaging and hh goods'!$L$4/SUM('R&amp;S - Packaging and hh goods'!$L$4:$N$4)</f>
        <v>7.8426966561118325</v>
      </c>
      <c r="E35" s="60">
        <f>E27*'R&amp;S - Packaging and hh goods'!$L$4/SUM('R&amp;S - Packaging and hh goods'!$L$4:$N$4)-E27*'R&amp;S - Packaging and hh goods'!$L$4/SUM('R&amp;S - Packaging and hh goods'!$L$4:$N$4)*'R&amp;S - Packaging and hh goods'!$E$7*('R&amp;S - Packaging and hh goods'!$H$14*'R&amp;S - Packaging and hh goods'!$Z$19*(E$3-$D$3)/10)-E27*'R&amp;S - Packaging and hh goods'!$L$4/SUM('R&amp;S - Packaging and hh goods'!$L$4:$N$4)*'R&amp;S - Packaging and hh goods'!$E$8*('R&amp;S - Packaging and hh goods'!$H$14*'R&amp;S - Packaging and hh goods'!$AA$19*(E$3-$D$3)/10)-E27*'R&amp;S - Packaging and hh goods'!$L$4/SUM('R&amp;S - Packaging and hh goods'!$L$4:$N$4)*'R&amp;S - Packaging and hh goods'!$E$9*('R&amp;S - Packaging and hh goods'!$H$14*'R&amp;S - Packaging and hh goods'!$AB$19*(E$3-$D$3)/10)-E31*'R&amp;S - Packaging and hh goods'!$L$4/SUM('R&amp;S - Packaging and hh goods'!$L$4:$N$4)*'R&amp;S - Packaging and hh goods'!$E$10*('R&amp;S - Packaging and hh goods'!$H$14*'R&amp;S - Packaging and hh goods'!$AC$19*(E$3-$D$3)/10)</f>
        <v>7.8759702947062422</v>
      </c>
      <c r="F35" s="60">
        <f>F27*'R&amp;S - Packaging and hh goods'!$L$4/SUM('R&amp;S - Packaging and hh goods'!$L$4:$N$4)-F27*'R&amp;S - Packaging and hh goods'!$L$4/SUM('R&amp;S - Packaging and hh goods'!$L$4:$N$4)*'R&amp;S - Packaging and hh goods'!$E$7*('R&amp;S - Packaging and hh goods'!$H$14*'R&amp;S - Packaging and hh goods'!$Z$19*(F$3-$D$3)/10)-F27*'R&amp;S - Packaging and hh goods'!$L$4/SUM('R&amp;S - Packaging and hh goods'!$L$4:$N$4)*'R&amp;S - Packaging and hh goods'!$E$8*('R&amp;S - Packaging and hh goods'!$H$14*'R&amp;S - Packaging and hh goods'!$AA$19*(F$3-$D$3)/10)-F27*'R&amp;S - Packaging and hh goods'!$L$4/SUM('R&amp;S - Packaging and hh goods'!$L$4:$N$4)*'R&amp;S - Packaging and hh goods'!$E$9*('R&amp;S - Packaging and hh goods'!$H$14*'R&amp;S - Packaging and hh goods'!$AB$19*(F$3-$D$3)/10)-F31*'R&amp;S - Packaging and hh goods'!$L$4/SUM('R&amp;S - Packaging and hh goods'!$L$4:$N$4)*'R&amp;S - Packaging and hh goods'!$E$10*('R&amp;S - Packaging and hh goods'!$H$14*'R&amp;S - Packaging and hh goods'!$AC$19*(F$3-$D$3)/10)</f>
        <v>7.9089973209233237</v>
      </c>
      <c r="G35" s="60">
        <f>G27*'R&amp;S - Packaging and hh goods'!$L$4/SUM('R&amp;S - Packaging and hh goods'!$L$4:$N$4)-G27*'R&amp;S - Packaging and hh goods'!$L$4/SUM('R&amp;S - Packaging and hh goods'!$L$4:$N$4)*'R&amp;S - Packaging and hh goods'!$E$7*('R&amp;S - Packaging and hh goods'!$H$14*'R&amp;S - Packaging and hh goods'!$Z$19*(G$3-$D$3)/10)-G27*'R&amp;S - Packaging and hh goods'!$L$4/SUM('R&amp;S - Packaging and hh goods'!$L$4:$N$4)*'R&amp;S - Packaging and hh goods'!$E$8*('R&amp;S - Packaging and hh goods'!$H$14*'R&amp;S - Packaging and hh goods'!$AA$19*(G$3-$D$3)/10)-G27*'R&amp;S - Packaging and hh goods'!$L$4/SUM('R&amp;S - Packaging and hh goods'!$L$4:$N$4)*'R&amp;S - Packaging and hh goods'!$E$9*('R&amp;S - Packaging and hh goods'!$H$14*'R&amp;S - Packaging and hh goods'!$AB$19*(G$3-$D$3)/10)-G31*'R&amp;S - Packaging and hh goods'!$L$4/SUM('R&amp;S - Packaging and hh goods'!$L$4:$N$4)*'R&amp;S - Packaging and hh goods'!$E$10*('R&amp;S - Packaging and hh goods'!$H$14*'R&amp;S - Packaging and hh goods'!$AC$19*(G$3-$D$3)/10)</f>
        <v>7.9417679568530595</v>
      </c>
      <c r="H35" s="60">
        <f>H27*'R&amp;S - Packaging and hh goods'!$L$4/SUM('R&amp;S - Packaging and hh goods'!$L$4:$N$4)-H27*'R&amp;S - Packaging and hh goods'!$L$4/SUM('R&amp;S - Packaging and hh goods'!$L$4:$N$4)*'R&amp;S - Packaging and hh goods'!$E$7*('R&amp;S - Packaging and hh goods'!$H$14*'R&amp;S - Packaging and hh goods'!$Z$19*(H$3-$D$3)/10)-H27*'R&amp;S - Packaging and hh goods'!$L$4/SUM('R&amp;S - Packaging and hh goods'!$L$4:$N$4)*'R&amp;S - Packaging and hh goods'!$E$8*('R&amp;S - Packaging and hh goods'!$H$14*'R&amp;S - Packaging and hh goods'!$AA$19*(H$3-$D$3)/10)-H27*'R&amp;S - Packaging and hh goods'!$L$4/SUM('R&amp;S - Packaging and hh goods'!$L$4:$N$4)*'R&amp;S - Packaging and hh goods'!$E$9*('R&amp;S - Packaging and hh goods'!$H$14*'R&amp;S - Packaging and hh goods'!$AB$19*(H$3-$D$3)/10)-H31*'R&amp;S - Packaging and hh goods'!$L$4/SUM('R&amp;S - Packaging and hh goods'!$L$4:$N$4)*'R&amp;S - Packaging and hh goods'!$E$10*('R&amp;S - Packaging and hh goods'!$H$14*'R&amp;S - Packaging and hh goods'!$AC$19*(H$3-$D$3)/10)</f>
        <v>7.9742722357219167</v>
      </c>
      <c r="I35" s="60">
        <f>I27*'R&amp;S - Packaging and hh goods'!$L$4/SUM('R&amp;S - Packaging and hh goods'!$L$4:$N$4)-I27*'R&amp;S - Packaging and hh goods'!$L$4/SUM('R&amp;S - Packaging and hh goods'!$L$4:$N$4)*'R&amp;S - Packaging and hh goods'!$E$7*('R&amp;S - Packaging and hh goods'!$H$14*'R&amp;S - Packaging and hh goods'!$Z$19*(I$3-$D$3)/10)-I27*'R&amp;S - Packaging and hh goods'!$L$4/SUM('R&amp;S - Packaging and hh goods'!$L$4:$N$4)*'R&amp;S - Packaging and hh goods'!$E$8*('R&amp;S - Packaging and hh goods'!$H$14*'R&amp;S - Packaging and hh goods'!$AA$19*(I$3-$D$3)/10)-I27*'R&amp;S - Packaging and hh goods'!$L$4/SUM('R&amp;S - Packaging and hh goods'!$L$4:$N$4)*'R&amp;S - Packaging and hh goods'!$E$9*('R&amp;S - Packaging and hh goods'!$H$14*'R&amp;S - Packaging and hh goods'!$AB$19*(I$3-$D$3)/10)-I31*'R&amp;S - Packaging and hh goods'!$L$4/SUM('R&amp;S - Packaging and hh goods'!$L$4:$N$4)*'R&amp;S - Packaging and hh goods'!$E$10*('R&amp;S - Packaging and hh goods'!$H$14*'R&amp;S - Packaging and hh goods'!$AC$19*(I$3-$D$3)/10)</f>
        <v>8.0064999988814751</v>
      </c>
      <c r="J35" s="60">
        <f>J27*'R&amp;S - Packaging and hh goods'!$L$4/SUM('R&amp;S - Packaging and hh goods'!$L$4:$N$4)-J27*'R&amp;S - Packaging and hh goods'!$L$4/SUM('R&amp;S - Packaging and hh goods'!$L$4:$N$4)*'R&amp;S - Packaging and hh goods'!$E$7*('R&amp;S - Packaging and hh goods'!$H$14*'R&amp;S - Packaging and hh goods'!$Z$19*(J$3-$D$3)/10)-J27*'R&amp;S - Packaging and hh goods'!$L$4/SUM('R&amp;S - Packaging and hh goods'!$L$4:$N$4)*'R&amp;S - Packaging and hh goods'!$E$8*('R&amp;S - Packaging and hh goods'!$H$14*'R&amp;S - Packaging and hh goods'!$AA$19*(J$3-$D$3)/10)-J27*'R&amp;S - Packaging and hh goods'!$L$4/SUM('R&amp;S - Packaging and hh goods'!$L$4:$N$4)*'R&amp;S - Packaging and hh goods'!$E$9*('R&amp;S - Packaging and hh goods'!$H$14*'R&amp;S - Packaging and hh goods'!$AB$19*(J$3-$D$3)/10)-J31*'R&amp;S - Packaging and hh goods'!$L$4/SUM('R&amp;S - Packaging and hh goods'!$L$4:$N$4)*'R&amp;S - Packaging and hh goods'!$E$10*('R&amp;S - Packaging and hh goods'!$H$14*'R&amp;S - Packaging and hh goods'!$AC$19*(J$3-$D$3)/10)</f>
        <v>8.0384408927532505</v>
      </c>
      <c r="K35" s="60">
        <f>K27*'R&amp;S - Packaging and hh goods'!$L$4/SUM('R&amp;S - Packaging and hh goods'!$L$4:$N$4)-K27*'R&amp;S - Packaging and hh goods'!$L$4/SUM('R&amp;S - Packaging and hh goods'!$L$4:$N$4)*'R&amp;S - Packaging and hh goods'!$E$7*('R&amp;S - Packaging and hh goods'!$H$14*'R&amp;S - Packaging and hh goods'!$Z$19*(K$3-$D$3)/10)-K27*'R&amp;S - Packaging and hh goods'!$L$4/SUM('R&amp;S - Packaging and hh goods'!$L$4:$N$4)*'R&amp;S - Packaging and hh goods'!$E$8*('R&amp;S - Packaging and hh goods'!$H$14*'R&amp;S - Packaging and hh goods'!$AA$19*(K$3-$D$3)/10)-K27*'R&amp;S - Packaging and hh goods'!$L$4/SUM('R&amp;S - Packaging and hh goods'!$L$4:$N$4)*'R&amp;S - Packaging and hh goods'!$E$9*('R&amp;S - Packaging and hh goods'!$H$14*'R&amp;S - Packaging and hh goods'!$AB$19*(K$3-$D$3)/10)-K31*'R&amp;S - Packaging and hh goods'!$L$4/SUM('R&amp;S - Packaging and hh goods'!$L$4:$N$4)*'R&amp;S - Packaging and hh goods'!$E$10*('R&amp;S - Packaging and hh goods'!$H$14*'R&amp;S - Packaging and hh goods'!$AC$19*(K$3-$D$3)/10)</f>
        <v>8.0700843657290626</v>
      </c>
      <c r="L35" s="60">
        <f>L27*'R&amp;S - Packaging and hh goods'!$L$4/SUM('R&amp;S - Packaging and hh goods'!$L$4:$N$4)-L27*'R&amp;S - Packaging and hh goods'!$L$4/SUM('R&amp;S - Packaging and hh goods'!$L$4:$N$4)*'R&amp;S - Packaging and hh goods'!$E$7*('R&amp;S - Packaging and hh goods'!$H$14*'R&amp;S - Packaging and hh goods'!$Z$19*(L$3-$D$3)/10)-L27*'R&amp;S - Packaging and hh goods'!$L$4/SUM('R&amp;S - Packaging and hh goods'!$L$4:$N$4)*'R&amp;S - Packaging and hh goods'!$E$8*('R&amp;S - Packaging and hh goods'!$H$14*'R&amp;S - Packaging and hh goods'!$AA$19*(L$3-$D$3)/10)-L27*'R&amp;S - Packaging and hh goods'!$L$4/SUM('R&amp;S - Packaging and hh goods'!$L$4:$N$4)*'R&amp;S - Packaging and hh goods'!$E$9*('R&amp;S - Packaging and hh goods'!$H$14*'R&amp;S - Packaging and hh goods'!$AB$19*(L$3-$D$3)/10)-L31*'R&amp;S - Packaging and hh goods'!$L$4/SUM('R&amp;S - Packaging and hh goods'!$L$4:$N$4)*'R&amp;S - Packaging and hh goods'!$E$10*('R&amp;S - Packaging and hh goods'!$H$14*'R&amp;S - Packaging and hh goods'!$AC$19*(L$3-$D$3)/10)</f>
        <v>8.1014196650263735</v>
      </c>
      <c r="M35" s="60">
        <f>M27*'R&amp;S - Packaging and hh goods'!$L$4/SUM('R&amp;S - Packaging and hh goods'!$L$4:$N$4)-M27*'R&amp;S - Packaging and hh goods'!$L$4/SUM('R&amp;S - Packaging and hh goods'!$L$4:$N$4)*'R&amp;S - Packaging and hh goods'!$E$7*('R&amp;S - Packaging and hh goods'!$H$14*'R&amp;S - Packaging and hh goods'!$Z$19*(M$3-$D$3)/10)-M27*'R&amp;S - Packaging and hh goods'!$L$4/SUM('R&amp;S - Packaging and hh goods'!$L$4:$N$4)*'R&amp;S - Packaging and hh goods'!$E$8*('R&amp;S - Packaging and hh goods'!$H$14*'R&amp;S - Packaging and hh goods'!$AA$19*(M$3-$D$3)/10)-M27*'R&amp;S - Packaging and hh goods'!$L$4/SUM('R&amp;S - Packaging and hh goods'!$L$4:$N$4)*'R&amp;S - Packaging and hh goods'!$E$9*('R&amp;S - Packaging and hh goods'!$H$14*'R&amp;S - Packaging and hh goods'!$AB$19*(M$3-$D$3)/10)-M31*'R&amp;S - Packaging and hh goods'!$L$4/SUM('R&amp;S - Packaging and hh goods'!$L$4:$N$4)*'R&amp;S - Packaging and hh goods'!$E$10*('R&amp;S - Packaging and hh goods'!$H$14*'R&amp;S - Packaging and hh goods'!$AC$19*(M$3-$D$3)/10)</f>
        <v>8.1324358334979241</v>
      </c>
      <c r="N35" s="60">
        <f>N27*'R&amp;S - Packaging and hh goods'!$L$4/SUM('R&amp;S - Packaging and hh goods'!$L$4:$N$4)-N27*'R&amp;S - Packaging and hh goods'!$L$4/SUM('R&amp;S - Packaging and hh goods'!$L$4:$N$4)*'R&amp;S - Packaging and hh goods'!$E$7*('R&amp;S - Packaging and hh goods'!$H$14*'R&amp;S - Packaging and hh goods'!$Z$19*(N$3-$D$3)/10)-N27*'R&amp;S - Packaging and hh goods'!$L$4/SUM('R&amp;S - Packaging and hh goods'!$L$4:$N$4)*'R&amp;S - Packaging and hh goods'!$E$8*('R&amp;S - Packaging and hh goods'!$H$14*'R&amp;S - Packaging and hh goods'!$AA$19*(N$3-$D$3)/10)-N27*'R&amp;S - Packaging and hh goods'!$L$4/SUM('R&amp;S - Packaging and hh goods'!$L$4:$N$4)*'R&amp;S - Packaging and hh goods'!$E$9*('R&amp;S - Packaging and hh goods'!$H$14*'R&amp;S - Packaging and hh goods'!$AB$19*(N$3-$D$3)/10)-N31*'R&amp;S - Packaging and hh goods'!$L$4/SUM('R&amp;S - Packaging and hh goods'!$L$4:$N$4)*'R&amp;S - Packaging and hh goods'!$E$10*('R&amp;S - Packaging and hh goods'!$H$14*'R&amp;S - Packaging and hh goods'!$AC$19*(N$3-$D$3)/10)</f>
        <v>8.1631217063951151</v>
      </c>
      <c r="O35" s="60">
        <f>O27*'R&amp;S - Packaging and hh goods'!$L$4/SUM('R&amp;S - Packaging and hh goods'!$L$4:$N$4)-O27*'R&amp;S - Packaging and hh goods'!$L$4/SUM('R&amp;S - Packaging and hh goods'!$L$4:$N$4)*('R&amp;S - Packaging and hh goods'!$E$7*'R&amp;S - Packaging and hh goods'!$H$14*('R&amp;S - Packaging and hh goods'!$Z$19+('R&amp;S - Packaging and hh goods'!$Z$20-'R&amp;S - Packaging and hh goods'!$Z$19)*(O$3-$N$3)/10))-O27*'R&amp;S - Packaging and hh goods'!$L$4/SUM('R&amp;S - Packaging and hh goods'!$L$4:$N$4)*('R&amp;S - Packaging and hh goods'!$E$8*'R&amp;S - Packaging and hh goods'!$H$14*('R&amp;S - Packaging and hh goods'!$AA$19+('R&amp;S - Packaging and hh goods'!$AA$20-'R&amp;S - Packaging and hh goods'!$AA$19)*(O$3-$N$3)/10))-O27*'R&amp;S - Packaging and hh goods'!$L$4/SUM('R&amp;S - Packaging and hh goods'!$L$4:$N$4)*('R&amp;S - Packaging and hh goods'!$E$9*'R&amp;S - Packaging and hh goods'!$I$14*('R&amp;S - Packaging and hh goods'!$AB$19+('R&amp;S - Packaging and hh goods'!$AB$20-'R&amp;S - Packaging and hh goods'!$AB$19)*(O$3-$N$3)/10))-O27*'R&amp;S - Packaging and hh goods'!$L$4/SUM('R&amp;S - Packaging and hh goods'!$L$4:$N$4)*('R&amp;S - Packaging and hh goods'!$E$10*'R&amp;S - Packaging and hh goods'!$I$14*('R&amp;S - Packaging and hh goods'!$AC$19+('R&amp;S - Packaging and hh goods'!$AC$20-'R&amp;S - Packaging and hh goods'!$AC$19)*(O$3-$N$3)/10))</f>
        <v>8.0092461795915391</v>
      </c>
      <c r="P35" s="60">
        <f>P27*'R&amp;S - Packaging and hh goods'!$L$4/SUM('R&amp;S - Packaging and hh goods'!$L$4:$N$4)-P27*'R&amp;S - Packaging and hh goods'!$L$4/SUM('R&amp;S - Packaging and hh goods'!$L$4:$N$4)*('R&amp;S - Packaging and hh goods'!$E$7*'R&amp;S - Packaging and hh goods'!$H$14*('R&amp;S - Packaging and hh goods'!$Z$19+('R&amp;S - Packaging and hh goods'!$Z$20-'R&amp;S - Packaging and hh goods'!$Z$19)*(P$3-$N$3)/10))-P27*'R&amp;S - Packaging and hh goods'!$L$4/SUM('R&amp;S - Packaging and hh goods'!$L$4:$N$4)*('R&amp;S - Packaging and hh goods'!$E$8*'R&amp;S - Packaging and hh goods'!$H$14*('R&amp;S - Packaging and hh goods'!$AA$19+('R&amp;S - Packaging and hh goods'!$AA$20-'R&amp;S - Packaging and hh goods'!$AA$19)*(P$3-$N$3)/10))-P27*'R&amp;S - Packaging and hh goods'!$L$4/SUM('R&amp;S - Packaging and hh goods'!$L$4:$N$4)*('R&amp;S - Packaging and hh goods'!$E$9*'R&amp;S - Packaging and hh goods'!$I$14*('R&amp;S - Packaging and hh goods'!$AB$19+('R&amp;S - Packaging and hh goods'!$AB$20-'R&amp;S - Packaging and hh goods'!$AB$19)*(P$3-$N$3)/10))-P27*'R&amp;S - Packaging and hh goods'!$L$4/SUM('R&amp;S - Packaging and hh goods'!$L$4:$N$4)*('R&amp;S - Packaging and hh goods'!$E$10*'R&amp;S - Packaging and hh goods'!$I$14*('R&amp;S - Packaging and hh goods'!$AC$19+('R&amp;S - Packaging and hh goods'!$AC$20-'R&amp;S - Packaging and hh goods'!$AC$19)*(P$3-$N$3)/10))</f>
        <v>7.9339428763442861</v>
      </c>
      <c r="Q35" s="60">
        <f>Q27*'R&amp;S - Packaging and hh goods'!$L$4/SUM('R&amp;S - Packaging and hh goods'!$L$4:$N$4)-Q27*'R&amp;S - Packaging and hh goods'!$L$4/SUM('R&amp;S - Packaging and hh goods'!$L$4:$N$4)*('R&amp;S - Packaging and hh goods'!$E$7*'R&amp;S - Packaging and hh goods'!$H$14*('R&amp;S - Packaging and hh goods'!$Z$19+('R&amp;S - Packaging and hh goods'!$Z$20-'R&amp;S - Packaging and hh goods'!$Z$19)*(Q$3-$N$3)/10))-Q27*'R&amp;S - Packaging and hh goods'!$L$4/SUM('R&amp;S - Packaging and hh goods'!$L$4:$N$4)*('R&amp;S - Packaging and hh goods'!$E$8*'R&amp;S - Packaging and hh goods'!$H$14*('R&amp;S - Packaging and hh goods'!$AA$19+('R&amp;S - Packaging and hh goods'!$AA$20-'R&amp;S - Packaging and hh goods'!$AA$19)*(Q$3-$N$3)/10))-Q27*'R&amp;S - Packaging and hh goods'!$L$4/SUM('R&amp;S - Packaging and hh goods'!$L$4:$N$4)*('R&amp;S - Packaging and hh goods'!$E$9*'R&amp;S - Packaging and hh goods'!$I$14*('R&amp;S - Packaging and hh goods'!$AB$19+('R&amp;S - Packaging and hh goods'!$AB$20-'R&amp;S - Packaging and hh goods'!$AB$19)*(Q$3-$N$3)/10))-Q27*'R&amp;S - Packaging and hh goods'!$L$4/SUM('R&amp;S - Packaging and hh goods'!$L$4:$N$4)*('R&amp;S - Packaging and hh goods'!$E$10*'R&amp;S - Packaging and hh goods'!$I$14*('R&amp;S - Packaging and hh goods'!$AC$19+('R&amp;S - Packaging and hh goods'!$AC$20-'R&amp;S - Packaging and hh goods'!$AC$19)*(Q$3-$N$3)/10))</f>
        <v>7.8560137816378619</v>
      </c>
      <c r="R35" s="60">
        <f>R27*'R&amp;S - Packaging and hh goods'!$L$4/SUM('R&amp;S - Packaging and hh goods'!$L$4:$N$4)-R27*'R&amp;S - Packaging and hh goods'!$L$4/SUM('R&amp;S - Packaging and hh goods'!$L$4:$N$4)*('R&amp;S - Packaging and hh goods'!$E$7*'R&amp;S - Packaging and hh goods'!$H$14*('R&amp;S - Packaging and hh goods'!$Z$19+('R&amp;S - Packaging and hh goods'!$Z$20-'R&amp;S - Packaging and hh goods'!$Z$19)*(R$3-$N$3)/10))-R27*'R&amp;S - Packaging and hh goods'!$L$4/SUM('R&amp;S - Packaging and hh goods'!$L$4:$N$4)*('R&amp;S - Packaging and hh goods'!$E$8*'R&amp;S - Packaging and hh goods'!$H$14*('R&amp;S - Packaging and hh goods'!$AA$19+('R&amp;S - Packaging and hh goods'!$AA$20-'R&amp;S - Packaging and hh goods'!$AA$19)*(R$3-$N$3)/10))-R27*'R&amp;S - Packaging and hh goods'!$L$4/SUM('R&amp;S - Packaging and hh goods'!$L$4:$N$4)*('R&amp;S - Packaging and hh goods'!$E$9*'R&amp;S - Packaging and hh goods'!$I$14*('R&amp;S - Packaging and hh goods'!$AB$19+('R&amp;S - Packaging and hh goods'!$AB$20-'R&amp;S - Packaging and hh goods'!$AB$19)*(R$3-$N$3)/10))-R27*'R&amp;S - Packaging and hh goods'!$L$4/SUM('R&amp;S - Packaging and hh goods'!$L$4:$N$4)*('R&amp;S - Packaging and hh goods'!$E$10*'R&amp;S - Packaging and hh goods'!$I$14*('R&amp;S - Packaging and hh goods'!$AC$19+('R&amp;S - Packaging and hh goods'!$AC$20-'R&amp;S - Packaging and hh goods'!$AC$19)*(R$3-$N$3)/10))</f>
        <v>7.7754102397598608</v>
      </c>
      <c r="S35" s="60">
        <f>S27*'R&amp;S - Packaging and hh goods'!$L$4/SUM('R&amp;S - Packaging and hh goods'!$L$4:$N$4)-S27*'R&amp;S - Packaging and hh goods'!$L$4/SUM('R&amp;S - Packaging and hh goods'!$L$4:$N$4)*('R&amp;S - Packaging and hh goods'!$E$7*'R&amp;S - Packaging and hh goods'!$H$14*('R&amp;S - Packaging and hh goods'!$Z$19+('R&amp;S - Packaging and hh goods'!$Z$20-'R&amp;S - Packaging and hh goods'!$Z$19)*(S$3-$N$3)/10))-S27*'R&amp;S - Packaging and hh goods'!$L$4/SUM('R&amp;S - Packaging and hh goods'!$L$4:$N$4)*('R&amp;S - Packaging and hh goods'!$E$8*'R&amp;S - Packaging and hh goods'!$H$14*('R&amp;S - Packaging and hh goods'!$AA$19+('R&amp;S - Packaging and hh goods'!$AA$20-'R&amp;S - Packaging and hh goods'!$AA$19)*(S$3-$N$3)/10))-S27*'R&amp;S - Packaging and hh goods'!$L$4/SUM('R&amp;S - Packaging and hh goods'!$L$4:$N$4)*('R&amp;S - Packaging and hh goods'!$E$9*'R&amp;S - Packaging and hh goods'!$I$14*('R&amp;S - Packaging and hh goods'!$AB$19+('R&amp;S - Packaging and hh goods'!$AB$20-'R&amp;S - Packaging and hh goods'!$AB$19)*(S$3-$N$3)/10))-S27*'R&amp;S - Packaging and hh goods'!$L$4/SUM('R&amp;S - Packaging and hh goods'!$L$4:$N$4)*('R&amp;S - Packaging and hh goods'!$E$10*'R&amp;S - Packaging and hh goods'!$I$14*('R&amp;S - Packaging and hh goods'!$AC$19+('R&amp;S - Packaging and hh goods'!$AC$20-'R&amp;S - Packaging and hh goods'!$AC$19)*(S$3-$N$3)/10))</f>
        <v>7.6920828422929635</v>
      </c>
      <c r="T35" s="60">
        <f>T27*'R&amp;S - Packaging and hh goods'!$L$4/SUM('R&amp;S - Packaging and hh goods'!$L$4:$N$4)-T27*'R&amp;S - Packaging and hh goods'!$L$4/SUM('R&amp;S - Packaging and hh goods'!$L$4:$N$4)*('R&amp;S - Packaging and hh goods'!$E$7*'R&amp;S - Packaging and hh goods'!$H$14*('R&amp;S - Packaging and hh goods'!$Z$19+('R&amp;S - Packaging and hh goods'!$Z$20-'R&amp;S - Packaging and hh goods'!$Z$19)*(T$3-$N$3)/10))-T27*'R&amp;S - Packaging and hh goods'!$L$4/SUM('R&amp;S - Packaging and hh goods'!$L$4:$N$4)*('R&amp;S - Packaging and hh goods'!$E$8*'R&amp;S - Packaging and hh goods'!$H$14*('R&amp;S - Packaging and hh goods'!$AA$19+('R&amp;S - Packaging and hh goods'!$AA$20-'R&amp;S - Packaging and hh goods'!$AA$19)*(T$3-$N$3)/10))-T27*'R&amp;S - Packaging and hh goods'!$L$4/SUM('R&amp;S - Packaging and hh goods'!$L$4:$N$4)*('R&amp;S - Packaging and hh goods'!$E$9*'R&amp;S - Packaging and hh goods'!$I$14*('R&amp;S - Packaging and hh goods'!$AB$19+('R&amp;S - Packaging and hh goods'!$AB$20-'R&amp;S - Packaging and hh goods'!$AB$19)*(T$3-$N$3)/10))-T27*'R&amp;S - Packaging and hh goods'!$L$4/SUM('R&amp;S - Packaging and hh goods'!$L$4:$N$4)*('R&amp;S - Packaging and hh goods'!$E$10*'R&amp;S - Packaging and hh goods'!$I$14*('R&amp;S - Packaging and hh goods'!$AC$19+('R&amp;S - Packaging and hh goods'!$AC$20-'R&amp;S - Packaging and hh goods'!$AC$19)*(T$3-$N$3)/10))</f>
        <v>7.6059814174427842</v>
      </c>
      <c r="U35" s="60">
        <f>U27*'R&amp;S - Packaging and hh goods'!$L$4/SUM('R&amp;S - Packaging and hh goods'!$L$4:$N$4)-U27*'R&amp;S - Packaging and hh goods'!$L$4/SUM('R&amp;S - Packaging and hh goods'!$L$4:$N$4)*('R&amp;S - Packaging and hh goods'!$E$7*'R&amp;S - Packaging and hh goods'!$H$14*('R&amp;S - Packaging and hh goods'!$Z$19+('R&amp;S - Packaging and hh goods'!$Z$20-'R&amp;S - Packaging and hh goods'!$Z$19)*(U$3-$N$3)/10))-U27*'R&amp;S - Packaging and hh goods'!$L$4/SUM('R&amp;S - Packaging and hh goods'!$L$4:$N$4)*('R&amp;S - Packaging and hh goods'!$E$8*'R&amp;S - Packaging and hh goods'!$H$14*('R&amp;S - Packaging and hh goods'!$AA$19+('R&amp;S - Packaging and hh goods'!$AA$20-'R&amp;S - Packaging and hh goods'!$AA$19)*(U$3-$N$3)/10))-U27*'R&amp;S - Packaging and hh goods'!$L$4/SUM('R&amp;S - Packaging and hh goods'!$L$4:$N$4)*('R&amp;S - Packaging and hh goods'!$E$9*'R&amp;S - Packaging and hh goods'!$I$14*('R&amp;S - Packaging and hh goods'!$AB$19+('R&amp;S - Packaging and hh goods'!$AB$20-'R&amp;S - Packaging and hh goods'!$AB$19)*(U$3-$N$3)/10))-U27*'R&amp;S - Packaging and hh goods'!$L$4/SUM('R&amp;S - Packaging and hh goods'!$L$4:$N$4)*('R&amp;S - Packaging and hh goods'!$E$10*'R&amp;S - Packaging and hh goods'!$I$14*('R&amp;S - Packaging and hh goods'!$AC$19+('R&amp;S - Packaging and hh goods'!$AC$20-'R&amp;S - Packaging and hh goods'!$AC$19)*(U$3-$N$3)/10))</f>
        <v>7.5170550192219832</v>
      </c>
      <c r="V35" s="60">
        <f>V27*'R&amp;S - Packaging and hh goods'!$L$4/SUM('R&amp;S - Packaging and hh goods'!$L$4:$N$4)-V27*'R&amp;S - Packaging and hh goods'!$L$4/SUM('R&amp;S - Packaging and hh goods'!$L$4:$N$4)*('R&amp;S - Packaging and hh goods'!$E$7*'R&amp;S - Packaging and hh goods'!$H$14*('R&amp;S - Packaging and hh goods'!$Z$19+('R&amp;S - Packaging and hh goods'!$Z$20-'R&amp;S - Packaging and hh goods'!$Z$19)*(V$3-$N$3)/10))-V27*'R&amp;S - Packaging and hh goods'!$L$4/SUM('R&amp;S - Packaging and hh goods'!$L$4:$N$4)*('R&amp;S - Packaging and hh goods'!$E$8*'R&amp;S - Packaging and hh goods'!$H$14*('R&amp;S - Packaging and hh goods'!$AA$19+('R&amp;S - Packaging and hh goods'!$AA$20-'R&amp;S - Packaging and hh goods'!$AA$19)*(V$3-$N$3)/10))-V27*'R&amp;S - Packaging and hh goods'!$L$4/SUM('R&amp;S - Packaging and hh goods'!$L$4:$N$4)*('R&amp;S - Packaging and hh goods'!$E$9*'R&amp;S - Packaging and hh goods'!$I$14*('R&amp;S - Packaging and hh goods'!$AB$19+('R&amp;S - Packaging and hh goods'!$AB$20-'R&amp;S - Packaging and hh goods'!$AB$19)*(V$3-$N$3)/10))-V27*'R&amp;S - Packaging and hh goods'!$L$4/SUM('R&amp;S - Packaging and hh goods'!$L$4:$N$4)*('R&amp;S - Packaging and hh goods'!$E$10*'R&amp;S - Packaging and hh goods'!$I$14*('R&amp;S - Packaging and hh goods'!$AC$19+('R&amp;S - Packaging and hh goods'!$AC$20-'R&amp;S - Packaging and hh goods'!$AC$19)*(V$3-$N$3)/10))</f>
        <v>7.4252519164888175</v>
      </c>
      <c r="W35" s="60">
        <f>W27*'R&amp;S - Packaging and hh goods'!$L$4/SUM('R&amp;S - Packaging and hh goods'!$L$4:$N$4)-W27*'R&amp;S - Packaging and hh goods'!$L$4/SUM('R&amp;S - Packaging and hh goods'!$L$4:$N$4)*('R&amp;S - Packaging and hh goods'!$E$7*'R&amp;S - Packaging and hh goods'!$H$14*('R&amp;S - Packaging and hh goods'!$Z$19+('R&amp;S - Packaging and hh goods'!$Z$20-'R&amp;S - Packaging and hh goods'!$Z$19)*(W$3-$N$3)/10))-W27*'R&amp;S - Packaging and hh goods'!$L$4/SUM('R&amp;S - Packaging and hh goods'!$L$4:$N$4)*('R&amp;S - Packaging and hh goods'!$E$8*'R&amp;S - Packaging and hh goods'!$H$14*('R&amp;S - Packaging and hh goods'!$AA$19+('R&amp;S - Packaging and hh goods'!$AA$20-'R&amp;S - Packaging and hh goods'!$AA$19)*(W$3-$N$3)/10))-W27*'R&amp;S - Packaging and hh goods'!$L$4/SUM('R&amp;S - Packaging and hh goods'!$L$4:$N$4)*('R&amp;S - Packaging and hh goods'!$E$9*'R&amp;S - Packaging and hh goods'!$I$14*('R&amp;S - Packaging and hh goods'!$AB$19+('R&amp;S - Packaging and hh goods'!$AB$20-'R&amp;S - Packaging and hh goods'!$AB$19)*(W$3-$N$3)/10))-W27*'R&amp;S - Packaging and hh goods'!$L$4/SUM('R&amp;S - Packaging and hh goods'!$L$4:$N$4)*('R&amp;S - Packaging and hh goods'!$E$10*'R&amp;S - Packaging and hh goods'!$I$14*('R&amp;S - Packaging and hh goods'!$AC$19+('R&amp;S - Packaging and hh goods'!$AC$20-'R&amp;S - Packaging and hh goods'!$AC$19)*(W$3-$N$3)/10))</f>
        <v>7.330519581838189</v>
      </c>
      <c r="X35" s="60">
        <f>X27*'R&amp;S - Packaging and hh goods'!$L$4/SUM('R&amp;S - Packaging and hh goods'!$L$4:$N$4)-X27*'R&amp;S - Packaging and hh goods'!$L$4/SUM('R&amp;S - Packaging and hh goods'!$L$4:$N$4)*('R&amp;S - Packaging and hh goods'!$E$7*'R&amp;S - Packaging and hh goods'!$H$14*('R&amp;S - Packaging and hh goods'!$Z$19+('R&amp;S - Packaging and hh goods'!$Z$20-'R&amp;S - Packaging and hh goods'!$Z$19)*(X$3-$N$3)/10))-X27*'R&amp;S - Packaging and hh goods'!$L$4/SUM('R&amp;S - Packaging and hh goods'!$L$4:$N$4)*('R&amp;S - Packaging and hh goods'!$E$8*'R&amp;S - Packaging and hh goods'!$H$14*('R&amp;S - Packaging and hh goods'!$AA$19+('R&amp;S - Packaging and hh goods'!$AA$20-'R&amp;S - Packaging and hh goods'!$AA$19)*(X$3-$N$3)/10))-X27*'R&amp;S - Packaging and hh goods'!$L$4/SUM('R&amp;S - Packaging and hh goods'!$L$4:$N$4)*('R&amp;S - Packaging and hh goods'!$E$9*'R&amp;S - Packaging and hh goods'!$I$14*('R&amp;S - Packaging and hh goods'!$AB$19+('R&amp;S - Packaging and hh goods'!$AB$20-'R&amp;S - Packaging and hh goods'!$AB$19)*(X$3-$N$3)/10))-X27*'R&amp;S - Packaging and hh goods'!$L$4/SUM('R&amp;S - Packaging and hh goods'!$L$4:$N$4)*('R&amp;S - Packaging and hh goods'!$E$10*'R&amp;S - Packaging and hh goods'!$I$14*('R&amp;S - Packaging and hh goods'!$AC$19+('R&amp;S - Packaging and hh goods'!$AC$20-'R&amp;S - Packaging and hh goods'!$AC$19)*(X$3-$N$3)/10))</f>
        <v>7.2328046803433566</v>
      </c>
      <c r="Y35" s="60">
        <f>Y27*'R&amp;S - Packaging and hh goods'!$L$4/SUM('R&amp;S - Packaging and hh goods'!$L$4:$N$4)-Y27*'R&amp;S - Packaging and hh goods'!$L$4/SUM('R&amp;S - Packaging and hh goods'!$L$4:$N$4)*('R&amp;S - Packaging and hh goods'!$E7*'R&amp;S - Packaging and hh goods'!$H$14*('R&amp;S - Packaging and hh goods'!$Z$20+('R&amp;S - Packaging and hh goods'!$Z$21-'R&amp;S - Packaging and hh goods'!$Z$20)*(Y$3-$X$3)/10))-Y27*'R&amp;S - Packaging and hh goods'!$L$4/SUM('R&amp;S - Packaging and hh goods'!$L$4:$N$4)*('R&amp;S - Packaging and hh goods'!$E8*'R&amp;S - Packaging and hh goods'!$H$14*('R&amp;S - Packaging and hh goods'!$AA$20+('R&amp;S - Packaging and hh goods'!$AA$21-'R&amp;S - Packaging and hh goods'!$AA$20)*(Y$3-$X$3)/10))-Y27*'R&amp;S - Packaging and hh goods'!$L$4/SUM('R&amp;S - Packaging and hh goods'!$L$4:$N$4)*('R&amp;S - Packaging and hh goods'!$E9*'R&amp;S - Packaging and hh goods'!$I$14*('R&amp;S - Packaging and hh goods'!$AB$20+('R&amp;S - Packaging and hh goods'!$AB$21-'R&amp;S - Packaging and hh goods'!$AB$20)*(Y$3-$X$3)/10))-Y27*'R&amp;S - Packaging and hh goods'!$L$4/SUM('R&amp;S - Packaging and hh goods'!$L$4:$N$4)*('R&amp;S - Packaging and hh goods'!$E10*'R&amp;S - Packaging and hh goods'!$I$14*('R&amp;S - Packaging and hh goods'!$AC$20+('R&amp;S - Packaging and hh goods'!$AC$21-'R&amp;S - Packaging and hh goods'!$AC$20)*(Y$3-$X$3)/10))</f>
        <v>7.1495395786892821</v>
      </c>
      <c r="Z35" s="60">
        <f>Z27*'R&amp;S - Packaging and hh goods'!$L$4/SUM('R&amp;S - Packaging and hh goods'!$L$4:$N$4)-Z27*'R&amp;S - Packaging and hh goods'!$L$4/SUM('R&amp;S - Packaging and hh goods'!$L$4:$N$4)*('R&amp;S - Packaging and hh goods'!$E7*'R&amp;S - Packaging and hh goods'!$H$14*('R&amp;S - Packaging and hh goods'!$Z$20+('R&amp;S - Packaging and hh goods'!$Z$21-'R&amp;S - Packaging and hh goods'!$Z$20)*(Z$3-$X$3)/10))-Z27*'R&amp;S - Packaging and hh goods'!$L$4/SUM('R&amp;S - Packaging and hh goods'!$L$4:$N$4)*('R&amp;S - Packaging and hh goods'!$E8*'R&amp;S - Packaging and hh goods'!$H$14*('R&amp;S - Packaging and hh goods'!$AA$20+('R&amp;S - Packaging and hh goods'!$AA$21-'R&amp;S - Packaging and hh goods'!$AA$20)*(Z$3-$X$3)/10))-Z27*'R&amp;S - Packaging and hh goods'!$L$4/SUM('R&amp;S - Packaging and hh goods'!$L$4:$N$4)*('R&amp;S - Packaging and hh goods'!$E9*'R&amp;S - Packaging and hh goods'!$I$14*('R&amp;S - Packaging and hh goods'!$AB$20+('R&amp;S - Packaging and hh goods'!$AB$21-'R&amp;S - Packaging and hh goods'!$AB$20)*(Z$3-$X$3)/10))-Z27*'R&amp;S - Packaging and hh goods'!$L$4/SUM('R&amp;S - Packaging and hh goods'!$L$4:$N$4)*('R&amp;S - Packaging and hh goods'!$E10*'R&amp;S - Packaging and hh goods'!$I$14*('R&amp;S - Packaging and hh goods'!$AC$20+('R&amp;S - Packaging and hh goods'!$AC$21-'R&amp;S - Packaging and hh goods'!$AC$20)*(Z$3-$X$3)/10))</f>
        <v>7.0635674754324951</v>
      </c>
      <c r="AA35" s="60">
        <f>AA27*'R&amp;S - Packaging and hh goods'!$L$4/SUM('R&amp;S - Packaging and hh goods'!$L$4:$N$4)-AA27*'R&amp;S - Packaging and hh goods'!$L$4/SUM('R&amp;S - Packaging and hh goods'!$L$4:$N$4)*('R&amp;S - Packaging and hh goods'!$E7*'R&amp;S - Packaging and hh goods'!$H$14*('R&amp;S - Packaging and hh goods'!$Z$20+('R&amp;S - Packaging and hh goods'!$Z$21-'R&amp;S - Packaging and hh goods'!$Z$20)*(AA$3-$X$3)/10))-AA27*'R&amp;S - Packaging and hh goods'!$L$4/SUM('R&amp;S - Packaging and hh goods'!$L$4:$N$4)*('R&amp;S - Packaging and hh goods'!$E8*'R&amp;S - Packaging and hh goods'!$H$14*('R&amp;S - Packaging and hh goods'!$AA$20+('R&amp;S - Packaging and hh goods'!$AA$21-'R&amp;S - Packaging and hh goods'!$AA$20)*(AA$3-$X$3)/10))-AA27*'R&amp;S - Packaging and hh goods'!$L$4/SUM('R&amp;S - Packaging and hh goods'!$L$4:$N$4)*('R&amp;S - Packaging and hh goods'!$E9*'R&amp;S - Packaging and hh goods'!$I$14*('R&amp;S - Packaging and hh goods'!$AB$20+('R&amp;S - Packaging and hh goods'!$AB$21-'R&amp;S - Packaging and hh goods'!$AB$20)*(AA$3-$X$3)/10))-AA27*'R&amp;S - Packaging and hh goods'!$L$4/SUM('R&amp;S - Packaging and hh goods'!$L$4:$N$4)*('R&amp;S - Packaging and hh goods'!$E10*'R&amp;S - Packaging and hh goods'!$I$14*('R&amp;S - Packaging and hh goods'!$AC$20+('R&amp;S - Packaging and hh goods'!$AC$21-'R&amp;S - Packaging and hh goods'!$AC$20)*(AA$3-$X$3)/10))</f>
        <v>6.9748388916150397</v>
      </c>
      <c r="AB35" s="60">
        <f>AB27*'R&amp;S - Packaging and hh goods'!$L$4/SUM('R&amp;S - Packaging and hh goods'!$L$4:$N$4)-AB27*'R&amp;S - Packaging and hh goods'!$L$4/SUM('R&amp;S - Packaging and hh goods'!$L$4:$N$4)*('R&amp;S - Packaging and hh goods'!$E7*'R&amp;S - Packaging and hh goods'!$H$14*('R&amp;S - Packaging and hh goods'!$Z$20+('R&amp;S - Packaging and hh goods'!$Z$21-'R&amp;S - Packaging and hh goods'!$Z$20)*(AB$3-$X$3)/10))-AB27*'R&amp;S - Packaging and hh goods'!$L$4/SUM('R&amp;S - Packaging and hh goods'!$L$4:$N$4)*('R&amp;S - Packaging and hh goods'!$E8*'R&amp;S - Packaging and hh goods'!$H$14*('R&amp;S - Packaging and hh goods'!$AA$20+('R&amp;S - Packaging and hh goods'!$AA$21-'R&amp;S - Packaging and hh goods'!$AA$20)*(AB$3-$X$3)/10))-AB27*'R&amp;S - Packaging and hh goods'!$L$4/SUM('R&amp;S - Packaging and hh goods'!$L$4:$N$4)*('R&amp;S - Packaging and hh goods'!$E9*'R&amp;S - Packaging and hh goods'!$I$14*('R&amp;S - Packaging and hh goods'!$AB$20+('R&amp;S - Packaging and hh goods'!$AB$21-'R&amp;S - Packaging and hh goods'!$AB$20)*(AB$3-$X$3)/10))-AB27*'R&amp;S - Packaging and hh goods'!$L$4/SUM('R&amp;S - Packaging and hh goods'!$L$4:$N$4)*('R&amp;S - Packaging and hh goods'!$E10*'R&amp;S - Packaging and hh goods'!$I$14*('R&amp;S - Packaging and hh goods'!$AC$20+('R&amp;S - Packaging and hh goods'!$AC$21-'R&amp;S - Packaging and hh goods'!$AC$20)*(AB$3-$X$3)/10))</f>
        <v>6.8833035872890695</v>
      </c>
      <c r="AC35" s="60">
        <f>AC27*'R&amp;S - Packaging and hh goods'!$L$4/SUM('R&amp;S - Packaging and hh goods'!$L$4:$N$4)-AC27*'R&amp;S - Packaging and hh goods'!$L$4/SUM('R&amp;S - Packaging and hh goods'!$L$4:$N$4)*('R&amp;S - Packaging and hh goods'!$E7*'R&amp;S - Packaging and hh goods'!$H$14*('R&amp;S - Packaging and hh goods'!$Z$20+('R&amp;S - Packaging and hh goods'!$Z$21-'R&amp;S - Packaging and hh goods'!$Z$20)*(AC$3-$X$3)/10))-AC27*'R&amp;S - Packaging and hh goods'!$L$4/SUM('R&amp;S - Packaging and hh goods'!$L$4:$N$4)*('R&amp;S - Packaging and hh goods'!$E8*'R&amp;S - Packaging and hh goods'!$H$14*('R&amp;S - Packaging and hh goods'!$AA$20+('R&amp;S - Packaging and hh goods'!$AA$21-'R&amp;S - Packaging and hh goods'!$AA$20)*(AC$3-$X$3)/10))-AC27*'R&amp;S - Packaging and hh goods'!$L$4/SUM('R&amp;S - Packaging and hh goods'!$L$4:$N$4)*('R&amp;S - Packaging and hh goods'!$E9*'R&amp;S - Packaging and hh goods'!$I$14*('R&amp;S - Packaging and hh goods'!$AB$20+('R&amp;S - Packaging and hh goods'!$AB$21-'R&amp;S - Packaging and hh goods'!$AB$20)*(AC$3-$X$3)/10))-AC27*'R&amp;S - Packaging and hh goods'!$L$4/SUM('R&amp;S - Packaging and hh goods'!$L$4:$N$4)*('R&amp;S - Packaging and hh goods'!$E10*'R&amp;S - Packaging and hh goods'!$I$14*('R&amp;S - Packaging and hh goods'!$AC$20+('R&amp;S - Packaging and hh goods'!$AC$21-'R&amp;S - Packaging and hh goods'!$AC$20)*(AC$3-$X$3)/10))</f>
        <v>6.7889105507620471</v>
      </c>
      <c r="AD35" s="60">
        <f>AD27*'R&amp;S - Packaging and hh goods'!$L$4/SUM('R&amp;S - Packaging and hh goods'!$L$4:$N$4)-AD27*'R&amp;S - Packaging and hh goods'!$L$4/SUM('R&amp;S - Packaging and hh goods'!$L$4:$N$4)*('R&amp;S - Packaging and hh goods'!$E7*'R&amp;S - Packaging and hh goods'!$H$14*('R&amp;S - Packaging and hh goods'!$Z$20+('R&amp;S - Packaging and hh goods'!$Z$21-'R&amp;S - Packaging and hh goods'!$Z$20)*(AD$3-$X$3)/10))-AD27*'R&amp;S - Packaging and hh goods'!$L$4/SUM('R&amp;S - Packaging and hh goods'!$L$4:$N$4)*('R&amp;S - Packaging and hh goods'!$E8*'R&amp;S - Packaging and hh goods'!$H$14*('R&amp;S - Packaging and hh goods'!$AA$20+('R&amp;S - Packaging and hh goods'!$AA$21-'R&amp;S - Packaging and hh goods'!$AA$20)*(AD$3-$X$3)/10))-AD27*'R&amp;S - Packaging and hh goods'!$L$4/SUM('R&amp;S - Packaging and hh goods'!$L$4:$N$4)*('R&amp;S - Packaging and hh goods'!$E9*'R&amp;S - Packaging and hh goods'!$I$14*('R&amp;S - Packaging and hh goods'!$AB$20+('R&amp;S - Packaging and hh goods'!$AB$21-'R&amp;S - Packaging and hh goods'!$AB$20)*(AD$3-$X$3)/10))-AD27*'R&amp;S - Packaging and hh goods'!$L$4/SUM('R&amp;S - Packaging and hh goods'!$L$4:$N$4)*('R&amp;S - Packaging and hh goods'!$E10*'R&amp;S - Packaging and hh goods'!$I$14*('R&amp;S - Packaging and hh goods'!$AC$20+('R&amp;S - Packaging and hh goods'!$AC$21-'R&amp;S - Packaging and hh goods'!$AC$20)*(AD$3-$X$3)/10))</f>
        <v>6.6916079876973642</v>
      </c>
      <c r="AE35" s="60">
        <f>AE27*'R&amp;S - Packaging and hh goods'!$L$4/SUM('R&amp;S - Packaging and hh goods'!$L$4:$N$4)-AE27*'R&amp;S - Packaging and hh goods'!$L$4/SUM('R&amp;S - Packaging and hh goods'!$L$4:$N$4)*('R&amp;S - Packaging and hh goods'!$E7*'R&amp;S - Packaging and hh goods'!$H$14*('R&amp;S - Packaging and hh goods'!$Z$20+('R&amp;S - Packaging and hh goods'!$Z$21-'R&amp;S - Packaging and hh goods'!$Z$20)*(AE$3-$X$3)/10))-AE27*'R&amp;S - Packaging and hh goods'!$L$4/SUM('R&amp;S - Packaging and hh goods'!$L$4:$N$4)*('R&amp;S - Packaging and hh goods'!$E8*'R&amp;S - Packaging and hh goods'!$H$14*('R&amp;S - Packaging and hh goods'!$AA$20+('R&amp;S - Packaging and hh goods'!$AA$21-'R&amp;S - Packaging and hh goods'!$AA$20)*(AE$3-$X$3)/10))-AE27*'R&amp;S - Packaging and hh goods'!$L$4/SUM('R&amp;S - Packaging and hh goods'!$L$4:$N$4)*('R&amp;S - Packaging and hh goods'!$E9*'R&amp;S - Packaging and hh goods'!$I$14*('R&amp;S - Packaging and hh goods'!$AB$20+('R&amp;S - Packaging and hh goods'!$AB$21-'R&amp;S - Packaging and hh goods'!$AB$20)*(AE$3-$X$3)/10))-AE27*'R&amp;S - Packaging and hh goods'!$L$4/SUM('R&amp;S - Packaging and hh goods'!$L$4:$N$4)*('R&amp;S - Packaging and hh goods'!$E10*'R&amp;S - Packaging and hh goods'!$I$14*('R&amp;S - Packaging and hh goods'!$AC$20+('R&amp;S - Packaging and hh goods'!$AC$21-'R&amp;S - Packaging and hh goods'!$AC$20)*(AE$3-$X$3)/10))</f>
        <v>6.5913433100686181</v>
      </c>
      <c r="AF35" s="60">
        <f>AF27*'R&amp;S - Packaging and hh goods'!$L$4/SUM('R&amp;S - Packaging and hh goods'!$L$4:$N$4)-AF27*'R&amp;S - Packaging and hh goods'!$L$4/SUM('R&amp;S - Packaging and hh goods'!$L$4:$N$4)*('R&amp;S - Packaging and hh goods'!$E7*'R&amp;S - Packaging and hh goods'!$H$14*('R&amp;S - Packaging and hh goods'!$Z$20+('R&amp;S - Packaging and hh goods'!$Z$21-'R&amp;S - Packaging and hh goods'!$Z$20)*(AF$3-$X$3)/10))-AF27*'R&amp;S - Packaging and hh goods'!$L$4/SUM('R&amp;S - Packaging and hh goods'!$L$4:$N$4)*('R&amp;S - Packaging and hh goods'!$E8*'R&amp;S - Packaging and hh goods'!$H$14*('R&amp;S - Packaging and hh goods'!$AA$20+('R&amp;S - Packaging and hh goods'!$AA$21-'R&amp;S - Packaging and hh goods'!$AA$20)*(AF$3-$X$3)/10))-AF27*'R&amp;S - Packaging and hh goods'!$L$4/SUM('R&amp;S - Packaging and hh goods'!$L$4:$N$4)*('R&amp;S - Packaging and hh goods'!$E9*'R&amp;S - Packaging and hh goods'!$I$14*('R&amp;S - Packaging and hh goods'!$AB$20+('R&amp;S - Packaging and hh goods'!$AB$21-'R&amp;S - Packaging and hh goods'!$AB$20)*(AF$3-$X$3)/10))-AF27*'R&amp;S - Packaging and hh goods'!$L$4/SUM('R&amp;S - Packaging and hh goods'!$L$4:$N$4)*('R&amp;S - Packaging and hh goods'!$E10*'R&amp;S - Packaging and hh goods'!$I$14*('R&amp;S - Packaging and hh goods'!$AC$20+('R&amp;S - Packaging and hh goods'!$AC$21-'R&amp;S - Packaging and hh goods'!$AC$20)*(AF$3-$X$3)/10))</f>
        <v>6.4880631249655289</v>
      </c>
      <c r="AG35" s="60">
        <f>AG27*'R&amp;S - Packaging and hh goods'!$L$4/SUM('R&amp;S - Packaging and hh goods'!$L$4:$N$4)-AG27*'R&amp;S - Packaging and hh goods'!$L$4/SUM('R&amp;S - Packaging and hh goods'!$L$4:$N$4)*('R&amp;S - Packaging and hh goods'!$E7*'R&amp;S - Packaging and hh goods'!$H$14*('R&amp;S - Packaging and hh goods'!$Z$20+('R&amp;S - Packaging and hh goods'!$Z$21-'R&amp;S - Packaging and hh goods'!$Z$20)*(AG$3-$X$3)/10))-AG27*'R&amp;S - Packaging and hh goods'!$L$4/SUM('R&amp;S - Packaging and hh goods'!$L$4:$N$4)*('R&amp;S - Packaging and hh goods'!$E8*'R&amp;S - Packaging and hh goods'!$H$14*('R&amp;S - Packaging and hh goods'!$AA$20+('R&amp;S - Packaging and hh goods'!$AA$21-'R&amp;S - Packaging and hh goods'!$AA$20)*(AG$3-$X$3)/10))-AG27*'R&amp;S - Packaging and hh goods'!$L$4/SUM('R&amp;S - Packaging and hh goods'!$L$4:$N$4)*('R&amp;S - Packaging and hh goods'!$E9*'R&amp;S - Packaging and hh goods'!$I$14*('R&amp;S - Packaging and hh goods'!$AB$20+('R&amp;S - Packaging and hh goods'!$AB$21-'R&amp;S - Packaging and hh goods'!$AB$20)*(AG$3-$X$3)/10))-AG27*'R&amp;S - Packaging and hh goods'!$L$4/SUM('R&amp;S - Packaging and hh goods'!$L$4:$N$4)*('R&amp;S - Packaging and hh goods'!$E10*'R&amp;S - Packaging and hh goods'!$I$14*('R&amp;S - Packaging and hh goods'!$AC$20+('R&amp;S - Packaging and hh goods'!$AC$21-'R&amp;S - Packaging and hh goods'!$AC$20)*(AG$3-$X$3)/10))</f>
        <v>6.3817132232496503</v>
      </c>
      <c r="AH35" s="60">
        <f>AH27*'R&amp;S - Packaging and hh goods'!$L$4/SUM('R&amp;S - Packaging and hh goods'!$L$4:$N$4)-AH27*'R&amp;S - Packaging and hh goods'!$L$4/SUM('R&amp;S - Packaging and hh goods'!$L$4:$N$4)*('R&amp;S - Packaging and hh goods'!$E7*'R&amp;S - Packaging and hh goods'!$H$14*('R&amp;S - Packaging and hh goods'!$Z$20+('R&amp;S - Packaging and hh goods'!$Z$21-'R&amp;S - Packaging and hh goods'!$Z$20)*(AH$3-$X$3)/10))-AH27*'R&amp;S - Packaging and hh goods'!$L$4/SUM('R&amp;S - Packaging and hh goods'!$L$4:$N$4)*('R&amp;S - Packaging and hh goods'!$E8*'R&amp;S - Packaging and hh goods'!$H$14*('R&amp;S - Packaging and hh goods'!$AA$20+('R&amp;S - Packaging and hh goods'!$AA$21-'R&amp;S - Packaging and hh goods'!$AA$20)*(AH$3-$X$3)/10))-AH27*'R&amp;S - Packaging and hh goods'!$L$4/SUM('R&amp;S - Packaging and hh goods'!$L$4:$N$4)*('R&amp;S - Packaging and hh goods'!$E9*'R&amp;S - Packaging and hh goods'!$I$14*('R&amp;S - Packaging and hh goods'!$AB$20+('R&amp;S - Packaging and hh goods'!$AB$21-'R&amp;S - Packaging and hh goods'!$AB$20)*(AH$3-$X$3)/10))-AH27*'R&amp;S - Packaging and hh goods'!$L$4/SUM('R&amp;S - Packaging and hh goods'!$L$4:$N$4)*('R&amp;S - Packaging and hh goods'!$E10*'R&amp;S - Packaging and hh goods'!$I$14*('R&amp;S - Packaging and hh goods'!$AC$20+('R&amp;S - Packaging and hh goods'!$AC$21-'R&amp;S - Packaging and hh goods'!$AC$20)*(AH$3-$X$3)/10))</f>
        <v>6.2722385680579036</v>
      </c>
      <c r="AJ35" s="60">
        <f>AJ27*'R&amp;S - Packaging and hh goods'!$L$4/SUM('R&amp;S - Packaging and hh goods'!$L$4:$N$4)</f>
        <v>7.8426966561118325</v>
      </c>
      <c r="AK35" s="60">
        <f>AK27*'R&amp;S - Packaging and hh goods'!$L$4/SUM('R&amp;S - Packaging and hh goods'!$L$4:$N$4)-AK27*'R&amp;S - Packaging and hh goods'!$L$4/SUM('R&amp;S - Packaging and hh goods'!$L$4:$N$4)*'R&amp;S - Packaging and hh goods'!$E$7*('R&amp;S - Packaging and hh goods'!$H$15*'R&amp;S - Packaging and hh goods'!$Z$19*(AK$3-$D$3)/10)-AK27*'R&amp;S - Packaging and hh goods'!$L$4/SUM('R&amp;S - Packaging and hh goods'!$L$4:$N$4)*'R&amp;S - Packaging and hh goods'!$E$8*('R&amp;S - Packaging and hh goods'!$H$15*'R&amp;S - Packaging and hh goods'!$AA$19*(AK$3-$D$3)/10)-AK27*'R&amp;S - Packaging and hh goods'!$L$4/SUM('R&amp;S - Packaging and hh goods'!$L$4:$N$4)*'R&amp;S - Packaging and hh goods'!$E$9*('R&amp;S - Packaging and hh goods'!$H$15*'R&amp;S - Packaging and hh goods'!$AB$19*(AK$3-$D$3)/10)-AK31*'R&amp;S - Packaging and hh goods'!$L$4/SUM('R&amp;S - Packaging and hh goods'!$L$4:$N$4)*'R&amp;S - Packaging and hh goods'!$E$10*('R&amp;S - Packaging and hh goods'!$H$15*'R&amp;S - Packaging and hh goods'!$AC$19*(AK$3-$D$3)/10)</f>
        <v>7.8902811982408716</v>
      </c>
      <c r="AL35" s="60">
        <f>AL27*'R&amp;S - Packaging and hh goods'!$L$4/SUM('R&amp;S - Packaging and hh goods'!$L$4:$N$4)-AL27*'R&amp;S - Packaging and hh goods'!$L$4/SUM('R&amp;S - Packaging and hh goods'!$L$4:$N$4)*'R&amp;S - Packaging and hh goods'!$E$7*('R&amp;S - Packaging and hh goods'!$H$15*'R&amp;S - Packaging and hh goods'!$Z$19*(AL$3-$D$3)/10)-AL27*'R&amp;S - Packaging and hh goods'!$L$4/SUM('R&amp;S - Packaging and hh goods'!$L$4:$N$4)*'R&amp;S - Packaging and hh goods'!$E$8*('R&amp;S - Packaging and hh goods'!$H$15*'R&amp;S - Packaging and hh goods'!$AA$19*(AL$3-$D$3)/10)-AL27*'R&amp;S - Packaging and hh goods'!$L$4/SUM('R&amp;S - Packaging and hh goods'!$L$4:$N$4)*'R&amp;S - Packaging and hh goods'!$E$9*('R&amp;S - Packaging and hh goods'!$H$15*'R&amp;S - Packaging and hh goods'!$AB$19*(AL$3-$D$3)/10)-AL31*'R&amp;S - Packaging and hh goods'!$L$4/SUM('R&amp;S - Packaging and hh goods'!$L$4:$N$4)*'R&amp;S - Packaging and hh goods'!$E$10*('R&amp;S - Packaging and hh goods'!$H$15*'R&amp;S - Packaging and hh goods'!$AC$19*(AL$3-$D$3)/10)</f>
        <v>7.9379459749901535</v>
      </c>
      <c r="AM35" s="60">
        <f>AM27*'R&amp;S - Packaging and hh goods'!$L$4/SUM('R&amp;S - Packaging and hh goods'!$L$4:$N$4)-AM27*'R&amp;S - Packaging and hh goods'!$L$4/SUM('R&amp;S - Packaging and hh goods'!$L$4:$N$4)*'R&amp;S - Packaging and hh goods'!$E$7*('R&amp;S - Packaging and hh goods'!$H$15*'R&amp;S - Packaging and hh goods'!$Z$19*(AM$3-$D$3)/10)-AM27*'R&amp;S - Packaging and hh goods'!$L$4/SUM('R&amp;S - Packaging and hh goods'!$L$4:$N$4)*'R&amp;S - Packaging and hh goods'!$E$8*('R&amp;S - Packaging and hh goods'!$H$15*'R&amp;S - Packaging and hh goods'!$AA$19*(AM$3-$D$3)/10)-AM27*'R&amp;S - Packaging and hh goods'!$L$4/SUM('R&amp;S - Packaging and hh goods'!$L$4:$N$4)*'R&amp;S - Packaging and hh goods'!$E$9*('R&amp;S - Packaging and hh goods'!$H$15*'R&amp;S - Packaging and hh goods'!$AB$19*(AM$3-$D$3)/10)-AM31*'R&amp;S - Packaging and hh goods'!$L$4/SUM('R&amp;S - Packaging and hh goods'!$L$4:$N$4)*'R&amp;S - Packaging and hh goods'!$E$10*('R&amp;S - Packaging and hh goods'!$H$15*'R&amp;S - Packaging and hh goods'!$AC$19*(AM$3-$D$3)/10)</f>
        <v>7.9856867995426031</v>
      </c>
      <c r="AN35" s="60">
        <f>AN27*'R&amp;S - Packaging and hh goods'!$L$4/SUM('R&amp;S - Packaging and hh goods'!$L$4:$N$4)-AN27*'R&amp;S - Packaging and hh goods'!$L$4/SUM('R&amp;S - Packaging and hh goods'!$L$4:$N$4)*'R&amp;S - Packaging and hh goods'!$E$7*('R&amp;S - Packaging and hh goods'!$H$15*'R&amp;S - Packaging and hh goods'!$Z$19*(AN$3-$D$3)/10)-AN27*'R&amp;S - Packaging and hh goods'!$L$4/SUM('R&amp;S - Packaging and hh goods'!$L$4:$N$4)*'R&amp;S - Packaging and hh goods'!$E$8*('R&amp;S - Packaging and hh goods'!$H$15*'R&amp;S - Packaging and hh goods'!$AA$19*(AN$3-$D$3)/10)-AN27*'R&amp;S - Packaging and hh goods'!$L$4/SUM('R&amp;S - Packaging and hh goods'!$L$4:$N$4)*'R&amp;S - Packaging and hh goods'!$E$9*('R&amp;S - Packaging and hh goods'!$H$15*'R&amp;S - Packaging and hh goods'!$AB$19*(AN$3-$D$3)/10)-AN31*'R&amp;S - Packaging and hh goods'!$L$4/SUM('R&amp;S - Packaging and hh goods'!$L$4:$N$4)*'R&amp;S - Packaging and hh goods'!$E$10*('R&amp;S - Packaging and hh goods'!$H$15*'R&amp;S - Packaging and hh goods'!$AC$19*(AN$3-$D$3)/10)</f>
        <v>8.0334993811260418</v>
      </c>
      <c r="AO35" s="60">
        <f>AO27*'R&amp;S - Packaging and hh goods'!$L$4/SUM('R&amp;S - Packaging and hh goods'!$L$4:$N$4)-AO27*'R&amp;S - Packaging and hh goods'!$L$4/SUM('R&amp;S - Packaging and hh goods'!$L$4:$N$4)*'R&amp;S - Packaging and hh goods'!$E$7*('R&amp;S - Packaging and hh goods'!$H$15*'R&amp;S - Packaging and hh goods'!$Z$19*(AO$3-$D$3)/10)-AO27*'R&amp;S - Packaging and hh goods'!$L$4/SUM('R&amp;S - Packaging and hh goods'!$L$4:$N$4)*'R&amp;S - Packaging and hh goods'!$E$8*('R&amp;S - Packaging and hh goods'!$H$15*'R&amp;S - Packaging and hh goods'!$AA$19*(AO$3-$D$3)/10)-AO27*'R&amp;S - Packaging and hh goods'!$L$4/SUM('R&amp;S - Packaging and hh goods'!$L$4:$N$4)*'R&amp;S - Packaging and hh goods'!$E$9*('R&amp;S - Packaging and hh goods'!$H$15*'R&amp;S - Packaging and hh goods'!$AB$19*(AO$3-$D$3)/10)-AO31*'R&amp;S - Packaging and hh goods'!$L$4/SUM('R&amp;S - Packaging and hh goods'!$L$4:$N$4)*'R&amp;S - Packaging and hh goods'!$E$10*('R&amp;S - Packaging and hh goods'!$H$15*'R&amp;S - Packaging and hh goods'!$AC$19*(AO$3-$D$3)/10)</f>
        <v>8.0813793232092674</v>
      </c>
      <c r="AP35" s="60">
        <f>AP27*'R&amp;S - Packaging and hh goods'!$L$4/SUM('R&amp;S - Packaging and hh goods'!$L$4:$N$4)-AP27*'R&amp;S - Packaging and hh goods'!$L$4/SUM('R&amp;S - Packaging and hh goods'!$L$4:$N$4)*'R&amp;S - Packaging and hh goods'!$E$7*('R&amp;S - Packaging and hh goods'!$H$15*'R&amp;S - Packaging and hh goods'!$Z$19*(AP$3-$D$3)/10)-AP27*'R&amp;S - Packaging and hh goods'!$L$4/SUM('R&amp;S - Packaging and hh goods'!$L$4:$N$4)*'R&amp;S - Packaging and hh goods'!$E$8*('R&amp;S - Packaging and hh goods'!$H$15*'R&amp;S - Packaging and hh goods'!$AA$19*(AP$3-$D$3)/10)-AP27*'R&amp;S - Packaging and hh goods'!$L$4/SUM('R&amp;S - Packaging and hh goods'!$L$4:$N$4)*'R&amp;S - Packaging and hh goods'!$E$9*('R&amp;S - Packaging and hh goods'!$H$15*'R&amp;S - Packaging and hh goods'!$AB$19*(AP$3-$D$3)/10)-AP31*'R&amp;S - Packaging and hh goods'!$L$4/SUM('R&amp;S - Packaging and hh goods'!$L$4:$N$4)*'R&amp;S - Packaging and hh goods'!$E$10*('R&amp;S - Packaging and hh goods'!$H$15*'R&amp;S - Packaging and hh goods'!$AC$19*(AP$3-$D$3)/10)</f>
        <v>8.1293221216707909</v>
      </c>
      <c r="AQ35" s="60">
        <f>AQ27*'R&amp;S - Packaging and hh goods'!$L$4/SUM('R&amp;S - Packaging and hh goods'!$L$4:$N$4)-AQ27*'R&amp;S - Packaging and hh goods'!$L$4/SUM('R&amp;S - Packaging and hh goods'!$L$4:$N$4)*'R&amp;S - Packaging and hh goods'!$E$7*('R&amp;S - Packaging and hh goods'!$H$15*'R&amp;S - Packaging and hh goods'!$Z$19*(AQ$3-$D$3)/10)-AQ27*'R&amp;S - Packaging and hh goods'!$L$4/SUM('R&amp;S - Packaging and hh goods'!$L$4:$N$4)*'R&amp;S - Packaging and hh goods'!$E$8*('R&amp;S - Packaging and hh goods'!$H$15*'R&amp;S - Packaging and hh goods'!$AA$19*(AQ$3-$D$3)/10)-AQ27*'R&amp;S - Packaging and hh goods'!$L$4/SUM('R&amp;S - Packaging and hh goods'!$L$4:$N$4)*'R&amp;S - Packaging and hh goods'!$E$9*('R&amp;S - Packaging and hh goods'!$H$15*'R&amp;S - Packaging and hh goods'!$AB$19*(AQ$3-$D$3)/10)-AQ31*'R&amp;S - Packaging and hh goods'!$L$4/SUM('R&amp;S - Packaging and hh goods'!$L$4:$N$4)*'R&amp;S - Packaging and hh goods'!$E$10*('R&amp;S - Packaging and hh goods'!$H$15*'R&amp;S - Packaging and hh goods'!$AC$19*(AQ$3-$D$3)/10)</f>
        <v>8.1773231629397962</v>
      </c>
      <c r="AR35" s="60">
        <f>AR27*'R&amp;S - Packaging and hh goods'!$L$4/SUM('R&amp;S - Packaging and hh goods'!$L$4:$N$4)-AR27*'R&amp;S - Packaging and hh goods'!$L$4/SUM('R&amp;S - Packaging and hh goods'!$L$4:$N$4)*'R&amp;S - Packaging and hh goods'!$E$7*('R&amp;S - Packaging and hh goods'!$H$15*'R&amp;S - Packaging and hh goods'!$Z$19*(AR$3-$D$3)/10)-AR27*'R&amp;S - Packaging and hh goods'!$L$4/SUM('R&amp;S - Packaging and hh goods'!$L$4:$N$4)*'R&amp;S - Packaging and hh goods'!$E$8*('R&amp;S - Packaging and hh goods'!$H$15*'R&amp;S - Packaging and hh goods'!$AA$19*(AR$3-$D$3)/10)-AR27*'R&amp;S - Packaging and hh goods'!$L$4/SUM('R&amp;S - Packaging and hh goods'!$L$4:$N$4)*'R&amp;S - Packaging and hh goods'!$E$9*('R&amp;S - Packaging and hh goods'!$H$15*'R&amp;S - Packaging and hh goods'!$AB$19*(AR$3-$D$3)/10)-AR31*'R&amp;S - Packaging and hh goods'!$L$4/SUM('R&amp;S - Packaging and hh goods'!$L$4:$N$4)*'R&amp;S - Packaging and hh goods'!$E$10*('R&amp;S - Packaging and hh goods'!$H$15*'R&amp;S - Packaging and hh goods'!$AC$19*(AR$3-$D$3)/10)</f>
        <v>8.2253777221089699</v>
      </c>
      <c r="AS35" s="60">
        <f>AS27*'R&amp;S - Packaging and hh goods'!$L$4/SUM('R&amp;S - Packaging and hh goods'!$L$4:$N$4)-AS27*'R&amp;S - Packaging and hh goods'!$L$4/SUM('R&amp;S - Packaging and hh goods'!$L$4:$N$4)*'R&amp;S - Packaging and hh goods'!$E$7*('R&amp;S - Packaging and hh goods'!$H$15*'R&amp;S - Packaging and hh goods'!$Z$19*(AS$3-$D$3)/10)-AS27*'R&amp;S - Packaging and hh goods'!$L$4/SUM('R&amp;S - Packaging and hh goods'!$L$4:$N$4)*'R&amp;S - Packaging and hh goods'!$E$8*('R&amp;S - Packaging and hh goods'!$H$15*'R&amp;S - Packaging and hh goods'!$AA$19*(AS$3-$D$3)/10)-AS27*'R&amp;S - Packaging and hh goods'!$L$4/SUM('R&amp;S - Packaging and hh goods'!$L$4:$N$4)*'R&amp;S - Packaging and hh goods'!$E$9*('R&amp;S - Packaging and hh goods'!$H$15*'R&amp;S - Packaging and hh goods'!$AB$19*(AS$3-$D$3)/10)-AS31*'R&amp;S - Packaging and hh goods'!$L$4/SUM('R&amp;S - Packaging and hh goods'!$L$4:$N$4)*'R&amp;S - Packaging and hh goods'!$E$10*('R&amp;S - Packaging and hh goods'!$H$15*'R&amp;S - Packaging and hh goods'!$AC$19*(AS$3-$D$3)/10)</f>
        <v>8.2734809610187749</v>
      </c>
      <c r="AT35" s="60">
        <f>AT27*'R&amp;S - Packaging and hh goods'!$L$4/SUM('R&amp;S - Packaging and hh goods'!$L$4:$N$4)-AT27*'R&amp;S - Packaging and hh goods'!$L$4/SUM('R&amp;S - Packaging and hh goods'!$L$4:$N$4)*'R&amp;S - Packaging and hh goods'!$E$7*('R&amp;S - Packaging and hh goods'!$H$15*'R&amp;S - Packaging and hh goods'!$Z$19*(AT$3-$D$3)/10)-AT27*'R&amp;S - Packaging and hh goods'!$L$4/SUM('R&amp;S - Packaging and hh goods'!$L$4:$N$4)*'R&amp;S - Packaging and hh goods'!$E$8*('R&amp;S - Packaging and hh goods'!$H$15*'R&amp;S - Packaging and hh goods'!$AA$19*(AT$3-$D$3)/10)-AT27*'R&amp;S - Packaging and hh goods'!$L$4/SUM('R&amp;S - Packaging and hh goods'!$L$4:$N$4)*'R&amp;S - Packaging and hh goods'!$E$9*('R&amp;S - Packaging and hh goods'!$H$15*'R&amp;S - Packaging and hh goods'!$AB$19*(AT$3-$D$3)/10)-AT31*'R&amp;S - Packaging and hh goods'!$L$4/SUM('R&amp;S - Packaging and hh goods'!$L$4:$N$4)*'R&amp;S - Packaging and hh goods'!$E$10*('R&amp;S - Packaging and hh goods'!$H$15*'R&amp;S - Packaging and hh goods'!$AC$19*(AT$3-$D$3)/10)</f>
        <v>8.3216279263128143</v>
      </c>
      <c r="AU35" s="60">
        <f>AU27*'R&amp;S - Packaging and hh goods'!$L$4/SUM('R&amp;S - Packaging and hh goods'!$L$4:$N$4)-AU27*'R&amp;S - Packaging and hh goods'!$L$4/SUM('R&amp;S - Packaging and hh goods'!$L$4:$N$4)*('R&amp;S - Packaging and hh goods'!$E$7*'R&amp;S - Packaging and hh goods'!$H$15*('R&amp;S - Packaging and hh goods'!$Z$19+('R&amp;S - Packaging and hh goods'!$Z$20-'R&amp;S - Packaging and hh goods'!$Z$19)*(AU$3-$N$3)/10))-AU27*'R&amp;S - Packaging and hh goods'!$L$4/SUM('R&amp;S - Packaging and hh goods'!$L$4:$N$4)*('R&amp;S - Packaging and hh goods'!$E$8*'R&amp;S - Packaging and hh goods'!$H$15*('R&amp;S - Packaging and hh goods'!$AA$19+('R&amp;S - Packaging and hh goods'!$AA$20-'R&amp;S - Packaging and hh goods'!$AA$19)*(AU$3-$N$3)/10))-AU27*'R&amp;S - Packaging and hh goods'!$L$4/SUM('R&amp;S - Packaging and hh goods'!$L$4:$N$4)*('R&amp;S - Packaging and hh goods'!$E$9*'R&amp;S - Packaging and hh goods'!$I$15*('R&amp;S - Packaging and hh goods'!$AB$19+('R&amp;S - Packaging and hh goods'!$AB$20-'R&amp;S - Packaging and hh goods'!$AB$19)*(AU$3-$N$3)/10))-AU27*'R&amp;S - Packaging and hh goods'!$L$4/SUM('R&amp;S - Packaging and hh goods'!$L$4:$N$4)*('R&amp;S - Packaging and hh goods'!$E$10*'R&amp;S - Packaging and hh goods'!$I$15*('R&amp;S - Packaging and hh goods'!$AC$19+('R&amp;S - Packaging and hh goods'!$AC$20-'R&amp;S - Packaging and hh goods'!$AC$19)*(AU$3-$N$3)/10))</f>
        <v>8.2095778202899226</v>
      </c>
      <c r="AV35" s="60">
        <f>AV27*'R&amp;S - Packaging and hh goods'!$L$4/SUM('R&amp;S - Packaging and hh goods'!$L$4:$N$4)-AV27*'R&amp;S - Packaging and hh goods'!$L$4/SUM('R&amp;S - Packaging and hh goods'!$L$4:$N$4)*('R&amp;S - Packaging and hh goods'!$E$7*'R&amp;S - Packaging and hh goods'!$H$15*('R&amp;S - Packaging and hh goods'!$Z$19+('R&amp;S - Packaging and hh goods'!$Z$20-'R&amp;S - Packaging and hh goods'!$Z$19)*(AV$3-$N$3)/10))-AV27*'R&amp;S - Packaging and hh goods'!$L$4/SUM('R&amp;S - Packaging and hh goods'!$L$4:$N$4)*('R&amp;S - Packaging and hh goods'!$E$8*'R&amp;S - Packaging and hh goods'!$H$15*('R&amp;S - Packaging and hh goods'!$AA$19+('R&amp;S - Packaging and hh goods'!$AA$20-'R&amp;S - Packaging and hh goods'!$AA$19)*(AV$3-$N$3)/10))-AV27*'R&amp;S - Packaging and hh goods'!$L$4/SUM('R&amp;S - Packaging and hh goods'!$L$4:$N$4)*('R&amp;S - Packaging and hh goods'!$E$9*'R&amp;S - Packaging and hh goods'!$I$15*('R&amp;S - Packaging and hh goods'!$AB$19+('R&amp;S - Packaging and hh goods'!$AB$20-'R&amp;S - Packaging and hh goods'!$AB$19)*(AV$3-$N$3)/10))-AV27*'R&amp;S - Packaging and hh goods'!$L$4/SUM('R&amp;S - Packaging and hh goods'!$L$4:$N$4)*('R&amp;S - Packaging and hh goods'!$E$10*'R&amp;S - Packaging and hh goods'!$I$15*('R&amp;S - Packaging and hh goods'!$AC$19+('R&amp;S - Packaging and hh goods'!$AC$20-'R&amp;S - Packaging and hh goods'!$AC$19)*(AV$3-$N$3)/10))</f>
        <v>8.1768640284047951</v>
      </c>
      <c r="AW35" s="60">
        <f>AW27*'R&amp;S - Packaging and hh goods'!$L$4/SUM('R&amp;S - Packaging and hh goods'!$L$4:$N$4)-AW27*'R&amp;S - Packaging and hh goods'!$L$4/SUM('R&amp;S - Packaging and hh goods'!$L$4:$N$4)*('R&amp;S - Packaging and hh goods'!$E$7*'R&amp;S - Packaging and hh goods'!$H$15*('R&amp;S - Packaging and hh goods'!$Z$19+('R&amp;S - Packaging and hh goods'!$Z$20-'R&amp;S - Packaging and hh goods'!$Z$19)*(AW$3-$N$3)/10))-AW27*'R&amp;S - Packaging and hh goods'!$L$4/SUM('R&amp;S - Packaging and hh goods'!$L$4:$N$4)*('R&amp;S - Packaging and hh goods'!$E$8*'R&amp;S - Packaging and hh goods'!$H$15*('R&amp;S - Packaging and hh goods'!$AA$19+('R&amp;S - Packaging and hh goods'!$AA$20-'R&amp;S - Packaging and hh goods'!$AA$19)*(AW$3-$N$3)/10))-AW27*'R&amp;S - Packaging and hh goods'!$L$4/SUM('R&amp;S - Packaging and hh goods'!$L$4:$N$4)*('R&amp;S - Packaging and hh goods'!$E$9*'R&amp;S - Packaging and hh goods'!$I$15*('R&amp;S - Packaging and hh goods'!$AB$19+('R&amp;S - Packaging and hh goods'!$AB$20-'R&amp;S - Packaging and hh goods'!$AB$19)*(AW$3-$N$3)/10))-AW27*'R&amp;S - Packaging and hh goods'!$L$4/SUM('R&amp;S - Packaging and hh goods'!$L$4:$N$4)*('R&amp;S - Packaging and hh goods'!$E$10*'R&amp;S - Packaging and hh goods'!$I$15*('R&amp;S - Packaging and hh goods'!$AC$19+('R&amp;S - Packaging and hh goods'!$AC$20-'R&amp;S - Packaging and hh goods'!$AC$19)*(AW$3-$N$3)/10))</f>
        <v>8.1424371741819428</v>
      </c>
      <c r="AX35" s="60">
        <f>AX27*'R&amp;S - Packaging and hh goods'!$L$4/SUM('R&amp;S - Packaging and hh goods'!$L$4:$N$4)-AX27*'R&amp;S - Packaging and hh goods'!$L$4/SUM('R&amp;S - Packaging and hh goods'!$L$4:$N$4)*('R&amp;S - Packaging and hh goods'!$E$7*'R&amp;S - Packaging and hh goods'!$H$15*('R&amp;S - Packaging and hh goods'!$Z$19+('R&amp;S - Packaging and hh goods'!$Z$20-'R&amp;S - Packaging and hh goods'!$Z$19)*(AX$3-$N$3)/10))-AX27*'R&amp;S - Packaging and hh goods'!$L$4/SUM('R&amp;S - Packaging and hh goods'!$L$4:$N$4)*('R&amp;S - Packaging and hh goods'!$E$8*'R&amp;S - Packaging and hh goods'!$H$15*('R&amp;S - Packaging and hh goods'!$AA$19+('R&amp;S - Packaging and hh goods'!$AA$20-'R&amp;S - Packaging and hh goods'!$AA$19)*(AX$3-$N$3)/10))-AX27*'R&amp;S - Packaging and hh goods'!$L$4/SUM('R&amp;S - Packaging and hh goods'!$L$4:$N$4)*('R&amp;S - Packaging and hh goods'!$E$9*'R&amp;S - Packaging and hh goods'!$I$15*('R&amp;S - Packaging and hh goods'!$AB$19+('R&amp;S - Packaging and hh goods'!$AB$20-'R&amp;S - Packaging and hh goods'!$AB$19)*(AX$3-$N$3)/10))-AX27*'R&amp;S - Packaging and hh goods'!$L$4/SUM('R&amp;S - Packaging and hh goods'!$L$4:$N$4)*('R&amp;S - Packaging and hh goods'!$E$10*'R&amp;S - Packaging and hh goods'!$I$15*('R&amp;S - Packaging and hh goods'!$AC$19+('R&amp;S - Packaging and hh goods'!$AC$20-'R&amp;S - Packaging and hh goods'!$AC$19)*(AX$3-$N$3)/10))</f>
        <v>8.1062635286187472</v>
      </c>
      <c r="AY35" s="60">
        <f>AY27*'R&amp;S - Packaging and hh goods'!$L$4/SUM('R&amp;S - Packaging and hh goods'!$L$4:$N$4)-AY27*'R&amp;S - Packaging and hh goods'!$L$4/SUM('R&amp;S - Packaging and hh goods'!$L$4:$N$4)*('R&amp;S - Packaging and hh goods'!$E$7*'R&amp;S - Packaging and hh goods'!$H$15*('R&amp;S - Packaging and hh goods'!$Z$19+('R&amp;S - Packaging and hh goods'!$Z$20-'R&amp;S - Packaging and hh goods'!$Z$19)*(AY$3-$N$3)/10))-AY27*'R&amp;S - Packaging and hh goods'!$L$4/SUM('R&amp;S - Packaging and hh goods'!$L$4:$N$4)*('R&amp;S - Packaging and hh goods'!$E$8*'R&amp;S - Packaging and hh goods'!$H$15*('R&amp;S - Packaging and hh goods'!$AA$19+('R&amp;S - Packaging and hh goods'!$AA$20-'R&amp;S - Packaging and hh goods'!$AA$19)*(AY$3-$N$3)/10))-AY27*'R&amp;S - Packaging and hh goods'!$L$4/SUM('R&amp;S - Packaging and hh goods'!$L$4:$N$4)*('R&amp;S - Packaging and hh goods'!$E$9*'R&amp;S - Packaging and hh goods'!$I$15*('R&amp;S - Packaging and hh goods'!$AB$19+('R&amp;S - Packaging and hh goods'!$AB$20-'R&amp;S - Packaging and hh goods'!$AB$19)*(AY$3-$N$3)/10))-AY27*'R&amp;S - Packaging and hh goods'!$L$4/SUM('R&amp;S - Packaging and hh goods'!$L$4:$N$4)*('R&amp;S - Packaging and hh goods'!$E$10*'R&amp;S - Packaging and hh goods'!$I$15*('R&amp;S - Packaging and hh goods'!$AC$19+('R&amp;S - Packaging and hh goods'!$AC$20-'R&amp;S - Packaging and hh goods'!$AC$19)*(AY$3-$N$3)/10))</f>
        <v>8.0683088279550859</v>
      </c>
      <c r="AZ35" s="60">
        <f>AZ27*'R&amp;S - Packaging and hh goods'!$L$4/SUM('R&amp;S - Packaging and hh goods'!$L$4:$N$4)-AZ27*'R&amp;S - Packaging and hh goods'!$L$4/SUM('R&amp;S - Packaging and hh goods'!$L$4:$N$4)*('R&amp;S - Packaging and hh goods'!$E$7*'R&amp;S - Packaging and hh goods'!$H$15*('R&amp;S - Packaging and hh goods'!$Z$19+('R&amp;S - Packaging and hh goods'!$Z$20-'R&amp;S - Packaging and hh goods'!$Z$19)*(AZ$3-$N$3)/10))-AZ27*'R&amp;S - Packaging and hh goods'!$L$4/SUM('R&amp;S - Packaging and hh goods'!$L$4:$N$4)*('R&amp;S - Packaging and hh goods'!$E$8*'R&amp;S - Packaging and hh goods'!$H$15*('R&amp;S - Packaging and hh goods'!$AA$19+('R&amp;S - Packaging and hh goods'!$AA$20-'R&amp;S - Packaging and hh goods'!$AA$19)*(AZ$3-$N$3)/10))-AZ27*'R&amp;S - Packaging and hh goods'!$L$4/SUM('R&amp;S - Packaging and hh goods'!$L$4:$N$4)*('R&amp;S - Packaging and hh goods'!$E$9*'R&amp;S - Packaging and hh goods'!$I$15*('R&amp;S - Packaging and hh goods'!$AB$19+('R&amp;S - Packaging and hh goods'!$AB$20-'R&amp;S - Packaging and hh goods'!$AB$19)*(AZ$3-$N$3)/10))-AZ27*'R&amp;S - Packaging and hh goods'!$L$4/SUM('R&amp;S - Packaging and hh goods'!$L$4:$N$4)*('R&amp;S - Packaging and hh goods'!$E$10*'R&amp;S - Packaging and hh goods'!$I$15*('R&amp;S - Packaging and hh goods'!$AC$19+('R&amp;S - Packaging and hh goods'!$AC$20-'R&amp;S - Packaging and hh goods'!$AC$19)*(AZ$3-$N$3)/10))</f>
        <v>8.0285382659898659</v>
      </c>
      <c r="BA35" s="60">
        <f>BA27*'R&amp;S - Packaging and hh goods'!$L$4/SUM('R&amp;S - Packaging and hh goods'!$L$4:$N$4)-BA27*'R&amp;S - Packaging and hh goods'!$L$4/SUM('R&amp;S - Packaging and hh goods'!$L$4:$N$4)*('R&amp;S - Packaging and hh goods'!$E$7*'R&amp;S - Packaging and hh goods'!$H$15*('R&amp;S - Packaging and hh goods'!$Z$19+('R&amp;S - Packaging and hh goods'!$Z$20-'R&amp;S - Packaging and hh goods'!$Z$19)*(BA$3-$N$3)/10))-BA27*'R&amp;S - Packaging and hh goods'!$L$4/SUM('R&amp;S - Packaging and hh goods'!$L$4:$N$4)*('R&amp;S - Packaging and hh goods'!$E$8*'R&amp;S - Packaging and hh goods'!$H$15*('R&amp;S - Packaging and hh goods'!$AA$19+('R&amp;S - Packaging and hh goods'!$AA$20-'R&amp;S - Packaging and hh goods'!$AA$19)*(BA$3-$N$3)/10))-BA27*'R&amp;S - Packaging and hh goods'!$L$4/SUM('R&amp;S - Packaging and hh goods'!$L$4:$N$4)*('R&amp;S - Packaging and hh goods'!$E$9*'R&amp;S - Packaging and hh goods'!$I$15*('R&amp;S - Packaging and hh goods'!$AB$19+('R&amp;S - Packaging and hh goods'!$AB$20-'R&amp;S - Packaging and hh goods'!$AB$19)*(BA$3-$N$3)/10))-BA27*'R&amp;S - Packaging and hh goods'!$L$4/SUM('R&amp;S - Packaging and hh goods'!$L$4:$N$4)*('R&amp;S - Packaging and hh goods'!$E$10*'R&amp;S - Packaging and hh goods'!$I$15*('R&amp;S - Packaging and hh goods'!$AC$19+('R&amp;S - Packaging and hh goods'!$AC$20-'R&amp;S - Packaging and hh goods'!$AC$19)*(BA$3-$N$3)/10))</f>
        <v>7.9869164862932216</v>
      </c>
      <c r="BB35" s="60">
        <f>BB27*'R&amp;S - Packaging and hh goods'!$L$4/SUM('R&amp;S - Packaging and hh goods'!$L$4:$N$4)-BB27*'R&amp;S - Packaging and hh goods'!$L$4/SUM('R&amp;S - Packaging and hh goods'!$L$4:$N$4)*('R&amp;S - Packaging and hh goods'!$E$7*'R&amp;S - Packaging and hh goods'!$H$15*('R&amp;S - Packaging and hh goods'!$Z$19+('R&amp;S - Packaging and hh goods'!$Z$20-'R&amp;S - Packaging and hh goods'!$Z$19)*(BB$3-$N$3)/10))-BB27*'R&amp;S - Packaging and hh goods'!$L$4/SUM('R&amp;S - Packaging and hh goods'!$L$4:$N$4)*('R&amp;S - Packaging and hh goods'!$E$8*'R&amp;S - Packaging and hh goods'!$H$15*('R&amp;S - Packaging and hh goods'!$AA$19+('R&amp;S - Packaging and hh goods'!$AA$20-'R&amp;S - Packaging and hh goods'!$AA$19)*(BB$3-$N$3)/10))-BB27*'R&amp;S - Packaging and hh goods'!$L$4/SUM('R&amp;S - Packaging and hh goods'!$L$4:$N$4)*('R&amp;S - Packaging and hh goods'!$E$9*'R&amp;S - Packaging and hh goods'!$I$15*('R&amp;S - Packaging and hh goods'!$AB$19+('R&amp;S - Packaging and hh goods'!$AB$20-'R&amp;S - Packaging and hh goods'!$AB$19)*(BB$3-$N$3)/10))-BB27*'R&amp;S - Packaging and hh goods'!$L$4/SUM('R&amp;S - Packaging and hh goods'!$L$4:$N$4)*('R&amp;S - Packaging and hh goods'!$E$10*'R&amp;S - Packaging and hh goods'!$I$15*('R&amp;S - Packaging and hh goods'!$AC$19+('R&amp;S - Packaging and hh goods'!$AC$20-'R&amp;S - Packaging and hh goods'!$AC$19)*(BB$3-$N$3)/10))</f>
        <v>7.9434075743130705</v>
      </c>
      <c r="BC35" s="60">
        <f>BC27*'R&amp;S - Packaging and hh goods'!$L$4/SUM('R&amp;S - Packaging and hh goods'!$L$4:$N$4)-BC27*'R&amp;S - Packaging and hh goods'!$L$4/SUM('R&amp;S - Packaging and hh goods'!$L$4:$N$4)*('R&amp;S - Packaging and hh goods'!$E$7*'R&amp;S - Packaging and hh goods'!$H$15*('R&amp;S - Packaging and hh goods'!$Z$19+('R&amp;S - Packaging and hh goods'!$Z$20-'R&amp;S - Packaging and hh goods'!$Z$19)*(BC$3-$N$3)/10))-BC27*'R&amp;S - Packaging and hh goods'!$L$4/SUM('R&amp;S - Packaging and hh goods'!$L$4:$N$4)*('R&amp;S - Packaging and hh goods'!$E$8*'R&amp;S - Packaging and hh goods'!$H$15*('R&amp;S - Packaging and hh goods'!$AA$19+('R&amp;S - Packaging and hh goods'!$AA$20-'R&amp;S - Packaging and hh goods'!$AA$19)*(BC$3-$N$3)/10))-BC27*'R&amp;S - Packaging and hh goods'!$L$4/SUM('R&amp;S - Packaging and hh goods'!$L$4:$N$4)*('R&amp;S - Packaging and hh goods'!$E$9*'R&amp;S - Packaging and hh goods'!$I$15*('R&amp;S - Packaging and hh goods'!$AB$19+('R&amp;S - Packaging and hh goods'!$AB$20-'R&amp;S - Packaging and hh goods'!$AB$19)*(BC$3-$N$3)/10))-BC27*'R&amp;S - Packaging and hh goods'!$L$4/SUM('R&amp;S - Packaging and hh goods'!$L$4:$N$4)*('R&amp;S - Packaging and hh goods'!$E$10*'R&amp;S - Packaging and hh goods'!$I$15*('R&amp;S - Packaging and hh goods'!$AC$19+('R&amp;S - Packaging and hh goods'!$AC$20-'R&amp;S - Packaging and hh goods'!$AC$19)*(BC$3-$N$3)/10))</f>
        <v>7.8979750493745131</v>
      </c>
      <c r="BD35" s="60">
        <f>BD27*'R&amp;S - Packaging and hh goods'!$L$4/SUM('R&amp;S - Packaging and hh goods'!$L$4:$N$4)-BD27*'R&amp;S - Packaging and hh goods'!$L$4/SUM('R&amp;S - Packaging and hh goods'!$L$4:$N$4)*('R&amp;S - Packaging and hh goods'!$E$7*'R&amp;S - Packaging and hh goods'!$H$15*('R&amp;S - Packaging and hh goods'!$Z$19+('R&amp;S - Packaging and hh goods'!$Z$20-'R&amp;S - Packaging and hh goods'!$Z$19)*(BD$3-$N$3)/10))-BD27*'R&amp;S - Packaging and hh goods'!$L$4/SUM('R&amp;S - Packaging and hh goods'!$L$4:$N$4)*('R&amp;S - Packaging and hh goods'!$E$8*'R&amp;S - Packaging and hh goods'!$H$15*('R&amp;S - Packaging and hh goods'!$AA$19+('R&amp;S - Packaging and hh goods'!$AA$20-'R&amp;S - Packaging and hh goods'!$AA$19)*(BD$3-$N$3)/10))-BD27*'R&amp;S - Packaging and hh goods'!$L$4/SUM('R&amp;S - Packaging and hh goods'!$L$4:$N$4)*('R&amp;S - Packaging and hh goods'!$E$9*'R&amp;S - Packaging and hh goods'!$I$15*('R&amp;S - Packaging and hh goods'!$AB$19+('R&amp;S - Packaging and hh goods'!$AB$20-'R&amp;S - Packaging and hh goods'!$AB$19)*(BD$3-$N$3)/10))-BD27*'R&amp;S - Packaging and hh goods'!$L$4/SUM('R&amp;S - Packaging and hh goods'!$L$4:$N$4)*('R&amp;S - Packaging and hh goods'!$E$10*'R&amp;S - Packaging and hh goods'!$I$15*('R&amp;S - Packaging and hh goods'!$AC$19+('R&amp;S - Packaging and hh goods'!$AC$20-'R&amp;S - Packaging and hh goods'!$AC$19)*(BD$3-$N$3)/10))</f>
        <v>7.8505818565708152</v>
      </c>
      <c r="BE35" s="60">
        <f>BE27*'R&amp;S - Packaging and hh goods'!$L$4/SUM('R&amp;S - Packaging and hh goods'!$L$4:$N$4)-BE27*'R&amp;S - Packaging and hh goods'!$L$4/SUM('R&amp;S - Packaging and hh goods'!$L$4:$N$4)*('R&amp;S - Packaging and hh goods'!$E7*'R&amp;S - Packaging and hh goods'!$H$15*('R&amp;S - Packaging and hh goods'!$Z$20+('R&amp;S - Packaging and hh goods'!$Z$21-'R&amp;S - Packaging and hh goods'!$Z$20)*(BE$3-$X$3)/10))-BE27*'R&amp;S - Packaging and hh goods'!$L$4/SUM('R&amp;S - Packaging and hh goods'!$L$4:$N$4)*('R&amp;S - Packaging and hh goods'!$E8*'R&amp;S - Packaging and hh goods'!$H$15*('R&amp;S - Packaging and hh goods'!$AA$20+('R&amp;S - Packaging and hh goods'!$AA$21-'R&amp;S - Packaging and hh goods'!$AA$20)*(BE$3-$X$3)/10))-BE27*'R&amp;S - Packaging and hh goods'!$L$4/SUM('R&amp;S - Packaging and hh goods'!$L$4:$N$4)*('R&amp;S - Packaging and hh goods'!$E9*'R&amp;S - Packaging and hh goods'!$I$15*('R&amp;S - Packaging and hh goods'!$AB$20+('R&amp;S - Packaging and hh goods'!$AB$21-'R&amp;S - Packaging and hh goods'!$AB$20)*(BE$3-$X$3)/10))-BE27*'R&amp;S - Packaging and hh goods'!$L$4/SUM('R&amp;S - Packaging and hh goods'!$L$4:$N$4)*('R&amp;S - Packaging and hh goods'!$E10*'R&amp;S - Packaging and hh goods'!$I$15*('R&amp;S - Packaging and hh goods'!$AC$20+('R&amp;S - Packaging and hh goods'!$AC$21-'R&amp;S - Packaging and hh goods'!$AC$20)*(BE$3-$X$3)/10))</f>
        <v>7.814817607950955</v>
      </c>
      <c r="BF35" s="60">
        <f>BF27*'R&amp;S - Packaging and hh goods'!$L$4/SUM('R&amp;S - Packaging and hh goods'!$L$4:$N$4)-BF27*'R&amp;S - Packaging and hh goods'!$L$4/SUM('R&amp;S - Packaging and hh goods'!$L$4:$N$4)*('R&amp;S - Packaging and hh goods'!$E7*'R&amp;S - Packaging and hh goods'!$H$15*('R&amp;S - Packaging and hh goods'!$Z$20+('R&amp;S - Packaging and hh goods'!$Z$21-'R&amp;S - Packaging and hh goods'!$Z$20)*(BF$3-$X$3)/10))-BF27*'R&amp;S - Packaging and hh goods'!$L$4/SUM('R&amp;S - Packaging and hh goods'!$L$4:$N$4)*('R&amp;S - Packaging and hh goods'!$E8*'R&amp;S - Packaging and hh goods'!$H$15*('R&amp;S - Packaging and hh goods'!$AA$20+('R&amp;S - Packaging and hh goods'!$AA$21-'R&amp;S - Packaging and hh goods'!$AA$20)*(BF$3-$X$3)/10))-BF27*'R&amp;S - Packaging and hh goods'!$L$4/SUM('R&amp;S - Packaging and hh goods'!$L$4:$N$4)*('R&amp;S - Packaging and hh goods'!$E9*'R&amp;S - Packaging and hh goods'!$I$15*('R&amp;S - Packaging and hh goods'!$AB$20+('R&amp;S - Packaging and hh goods'!$AB$21-'R&amp;S - Packaging and hh goods'!$AB$20)*(BF$3-$X$3)/10))-BF27*'R&amp;S - Packaging and hh goods'!$L$4/SUM('R&amp;S - Packaging and hh goods'!$L$4:$N$4)*('R&amp;S - Packaging and hh goods'!$E10*'R&amp;S - Packaging and hh goods'!$I$15*('R&amp;S - Packaging and hh goods'!$AC$20+('R&amp;S - Packaging and hh goods'!$AC$21-'R&amp;S - Packaging and hh goods'!$AC$20)*(BF$3-$X$3)/10))</f>
        <v>7.7773166254568142</v>
      </c>
      <c r="BG35" s="60">
        <f>BG27*'R&amp;S - Packaging and hh goods'!$L$4/SUM('R&amp;S - Packaging and hh goods'!$L$4:$N$4)-BG27*'R&amp;S - Packaging and hh goods'!$L$4/SUM('R&amp;S - Packaging and hh goods'!$L$4:$N$4)*('R&amp;S - Packaging and hh goods'!$E7*'R&amp;S - Packaging and hh goods'!$H$15*('R&amp;S - Packaging and hh goods'!$Z$20+('R&amp;S - Packaging and hh goods'!$Z$21-'R&amp;S - Packaging and hh goods'!$Z$20)*(BG$3-$X$3)/10))-BG27*'R&amp;S - Packaging and hh goods'!$L$4/SUM('R&amp;S - Packaging and hh goods'!$L$4:$N$4)*('R&amp;S - Packaging and hh goods'!$E8*'R&amp;S - Packaging and hh goods'!$H$15*('R&amp;S - Packaging and hh goods'!$AA$20+('R&amp;S - Packaging and hh goods'!$AA$21-'R&amp;S - Packaging and hh goods'!$AA$20)*(BG$3-$X$3)/10))-BG27*'R&amp;S - Packaging and hh goods'!$L$4/SUM('R&amp;S - Packaging and hh goods'!$L$4:$N$4)*('R&amp;S - Packaging and hh goods'!$E9*'R&amp;S - Packaging and hh goods'!$I$15*('R&amp;S - Packaging and hh goods'!$AB$20+('R&amp;S - Packaging and hh goods'!$AB$21-'R&amp;S - Packaging and hh goods'!$AB$20)*(BG$3-$X$3)/10))-BG27*'R&amp;S - Packaging and hh goods'!$L$4/SUM('R&amp;S - Packaging and hh goods'!$L$4:$N$4)*('R&amp;S - Packaging and hh goods'!$E10*'R&amp;S - Packaging and hh goods'!$I$15*('R&amp;S - Packaging and hh goods'!$AC$20+('R&amp;S - Packaging and hh goods'!$AC$21-'R&amp;S - Packaging and hh goods'!$AC$20)*(BG$3-$X$3)/10))</f>
        <v>7.7380450284172388</v>
      </c>
      <c r="BH35" s="60">
        <f>BH27*'R&amp;S - Packaging and hh goods'!$L$4/SUM('R&amp;S - Packaging and hh goods'!$L$4:$N$4)-BH27*'R&amp;S - Packaging and hh goods'!$L$4/SUM('R&amp;S - Packaging and hh goods'!$L$4:$N$4)*('R&amp;S - Packaging and hh goods'!$E7*'R&amp;S - Packaging and hh goods'!$H$15*('R&amp;S - Packaging and hh goods'!$Z$20+('R&amp;S - Packaging and hh goods'!$Z$21-'R&amp;S - Packaging and hh goods'!$Z$20)*(BH$3-$X$3)/10))-BH27*'R&amp;S - Packaging and hh goods'!$L$4/SUM('R&amp;S - Packaging and hh goods'!$L$4:$N$4)*('R&amp;S - Packaging and hh goods'!$E8*'R&amp;S - Packaging and hh goods'!$H$15*('R&amp;S - Packaging and hh goods'!$AA$20+('R&amp;S - Packaging and hh goods'!$AA$21-'R&amp;S - Packaging and hh goods'!$AA$20)*(BH$3-$X$3)/10))-BH27*'R&amp;S - Packaging and hh goods'!$L$4/SUM('R&amp;S - Packaging and hh goods'!$L$4:$N$4)*('R&amp;S - Packaging and hh goods'!$E9*'R&amp;S - Packaging and hh goods'!$I$15*('R&amp;S - Packaging and hh goods'!$AB$20+('R&amp;S - Packaging and hh goods'!$AB$21-'R&amp;S - Packaging and hh goods'!$AB$20)*(BH$3-$X$3)/10))-BH27*'R&amp;S - Packaging and hh goods'!$L$4/SUM('R&amp;S - Packaging and hh goods'!$L$4:$N$4)*('R&amp;S - Packaging and hh goods'!$E10*'R&amp;S - Packaging and hh goods'!$I$15*('R&amp;S - Packaging and hh goods'!$AC$20+('R&amp;S - Packaging and hh goods'!$AC$21-'R&amp;S - Packaging and hh goods'!$AC$20)*(BH$3-$X$3)/10))</f>
        <v>7.6969684009311115</v>
      </c>
      <c r="BI35" s="60">
        <f>BI27*'R&amp;S - Packaging and hh goods'!$L$4/SUM('R&amp;S - Packaging and hh goods'!$L$4:$N$4)-BI27*'R&amp;S - Packaging and hh goods'!$L$4/SUM('R&amp;S - Packaging and hh goods'!$L$4:$N$4)*('R&amp;S - Packaging and hh goods'!$E7*'R&amp;S - Packaging and hh goods'!$H$15*('R&amp;S - Packaging and hh goods'!$Z$20+('R&amp;S - Packaging and hh goods'!$Z$21-'R&amp;S - Packaging and hh goods'!$Z$20)*(BI$3-$X$3)/10))-BI27*'R&amp;S - Packaging and hh goods'!$L$4/SUM('R&amp;S - Packaging and hh goods'!$L$4:$N$4)*('R&amp;S - Packaging and hh goods'!$E8*'R&amp;S - Packaging and hh goods'!$H$15*('R&amp;S - Packaging and hh goods'!$AA$20+('R&amp;S - Packaging and hh goods'!$AA$21-'R&amp;S - Packaging and hh goods'!$AA$20)*(BI$3-$X$3)/10))-BI27*'R&amp;S - Packaging and hh goods'!$L$4/SUM('R&amp;S - Packaging and hh goods'!$L$4:$N$4)*('R&amp;S - Packaging and hh goods'!$E9*'R&amp;S - Packaging and hh goods'!$I$15*('R&amp;S - Packaging and hh goods'!$AB$20+('R&amp;S - Packaging and hh goods'!$AB$21-'R&amp;S - Packaging and hh goods'!$AB$20)*(BI$3-$X$3)/10))-BI27*'R&amp;S - Packaging and hh goods'!$L$4/SUM('R&amp;S - Packaging and hh goods'!$L$4:$N$4)*('R&amp;S - Packaging and hh goods'!$E10*'R&amp;S - Packaging and hh goods'!$I$15*('R&amp;S - Packaging and hh goods'!$AC$20+('R&amp;S - Packaging and hh goods'!$AC$21-'R&amp;S - Packaging and hh goods'!$AC$20)*(BI$3-$X$3)/10))</f>
        <v>7.6540517841918536</v>
      </c>
      <c r="BJ35" s="60">
        <f>BJ27*'R&amp;S - Packaging and hh goods'!$L$4/SUM('R&amp;S - Packaging and hh goods'!$L$4:$N$4)-BJ27*'R&amp;S - Packaging and hh goods'!$L$4/SUM('R&amp;S - Packaging and hh goods'!$L$4:$N$4)*('R&amp;S - Packaging and hh goods'!$E7*'R&amp;S - Packaging and hh goods'!$H$15*('R&amp;S - Packaging and hh goods'!$Z$20+('R&amp;S - Packaging and hh goods'!$Z$21-'R&amp;S - Packaging and hh goods'!$Z$20)*(BJ$3-$X$3)/10))-BJ27*'R&amp;S - Packaging and hh goods'!$L$4/SUM('R&amp;S - Packaging and hh goods'!$L$4:$N$4)*('R&amp;S - Packaging and hh goods'!$E8*'R&amp;S - Packaging and hh goods'!$H$15*('R&amp;S - Packaging and hh goods'!$AA$20+('R&amp;S - Packaging and hh goods'!$AA$21-'R&amp;S - Packaging and hh goods'!$AA$20)*(BJ$3-$X$3)/10))-BJ27*'R&amp;S - Packaging and hh goods'!$L$4/SUM('R&amp;S - Packaging and hh goods'!$L$4:$N$4)*('R&amp;S - Packaging and hh goods'!$E9*'R&amp;S - Packaging and hh goods'!$I$15*('R&amp;S - Packaging and hh goods'!$AB$20+('R&amp;S - Packaging and hh goods'!$AB$21-'R&amp;S - Packaging and hh goods'!$AB$20)*(BJ$3-$X$3)/10))-BJ27*'R&amp;S - Packaging and hh goods'!$L$4/SUM('R&amp;S - Packaging and hh goods'!$L$4:$N$4)*('R&amp;S - Packaging and hh goods'!$E10*'R&amp;S - Packaging and hh goods'!$I$15*('R&amp;S - Packaging and hh goods'!$AC$20+('R&amp;S - Packaging and hh goods'!$AC$21-'R&amp;S - Packaging and hh goods'!$AC$20)*(BJ$3-$X$3)/10))</f>
        <v>7.6092596687078169</v>
      </c>
      <c r="BK35" s="60">
        <f>BK27*'R&amp;S - Packaging and hh goods'!$L$4/SUM('R&amp;S - Packaging and hh goods'!$L$4:$N$4)-BK27*'R&amp;S - Packaging and hh goods'!$L$4/SUM('R&amp;S - Packaging and hh goods'!$L$4:$N$4)*('R&amp;S - Packaging and hh goods'!$E7*'R&amp;S - Packaging and hh goods'!$H$15*('R&amp;S - Packaging and hh goods'!$Z$20+('R&amp;S - Packaging and hh goods'!$Z$21-'R&amp;S - Packaging and hh goods'!$Z$20)*(BK$3-$X$3)/10))-BK27*'R&amp;S - Packaging and hh goods'!$L$4/SUM('R&amp;S - Packaging and hh goods'!$L$4:$N$4)*('R&amp;S - Packaging and hh goods'!$E8*'R&amp;S - Packaging and hh goods'!$H$15*('R&amp;S - Packaging and hh goods'!$AA$20+('R&amp;S - Packaging and hh goods'!$AA$21-'R&amp;S - Packaging and hh goods'!$AA$20)*(BK$3-$X$3)/10))-BK27*'R&amp;S - Packaging and hh goods'!$L$4/SUM('R&amp;S - Packaging and hh goods'!$L$4:$N$4)*('R&amp;S - Packaging and hh goods'!$E9*'R&amp;S - Packaging and hh goods'!$I$15*('R&amp;S - Packaging and hh goods'!$AB$20+('R&amp;S - Packaging and hh goods'!$AB$21-'R&amp;S - Packaging and hh goods'!$AB$20)*(BK$3-$X$3)/10))-BK27*'R&amp;S - Packaging and hh goods'!$L$4/SUM('R&amp;S - Packaging and hh goods'!$L$4:$N$4)*('R&amp;S - Packaging and hh goods'!$E10*'R&amp;S - Packaging and hh goods'!$I$15*('R&amp;S - Packaging and hh goods'!$AC$20+('R&amp;S - Packaging and hh goods'!$AC$21-'R&amp;S - Packaging and hh goods'!$AC$20)*(BK$3-$X$3)/10))</f>
        <v>7.5625559864172436</v>
      </c>
      <c r="BL35" s="60">
        <f>BL27*'R&amp;S - Packaging and hh goods'!$L$4/SUM('R&amp;S - Packaging and hh goods'!$L$4:$N$4)-BL27*'R&amp;S - Packaging and hh goods'!$L$4/SUM('R&amp;S - Packaging and hh goods'!$L$4:$N$4)*('R&amp;S - Packaging and hh goods'!$E7*'R&amp;S - Packaging and hh goods'!$H$15*('R&amp;S - Packaging and hh goods'!$Z$20+('R&amp;S - Packaging and hh goods'!$Z$21-'R&amp;S - Packaging and hh goods'!$Z$20)*(BL$3-$X$3)/10))-BL27*'R&amp;S - Packaging and hh goods'!$L$4/SUM('R&amp;S - Packaging and hh goods'!$L$4:$N$4)*('R&amp;S - Packaging and hh goods'!$E8*'R&amp;S - Packaging and hh goods'!$H$15*('R&amp;S - Packaging and hh goods'!$AA$20+('R&amp;S - Packaging and hh goods'!$AA$21-'R&amp;S - Packaging and hh goods'!$AA$20)*(BL$3-$X$3)/10))-BL27*'R&amp;S - Packaging and hh goods'!$L$4/SUM('R&amp;S - Packaging and hh goods'!$L$4:$N$4)*('R&amp;S - Packaging and hh goods'!$E9*'R&amp;S - Packaging and hh goods'!$I$15*('R&amp;S - Packaging and hh goods'!$AB$20+('R&amp;S - Packaging and hh goods'!$AB$21-'R&amp;S - Packaging and hh goods'!$AB$20)*(BL$3-$X$3)/10))-BL27*'R&amp;S - Packaging and hh goods'!$L$4/SUM('R&amp;S - Packaging and hh goods'!$L$4:$N$4)*('R&amp;S - Packaging and hh goods'!$E10*'R&amp;S - Packaging and hh goods'!$I$15*('R&amp;S - Packaging and hh goods'!$AC$20+('R&amp;S - Packaging and hh goods'!$AC$21-'R&amp;S - Packaging and hh goods'!$AC$20)*(BL$3-$X$3)/10))</f>
        <v>7.5139041026963662</v>
      </c>
      <c r="BM35" s="60">
        <f>BM27*'R&amp;S - Packaging and hh goods'!$L$4/SUM('R&amp;S - Packaging and hh goods'!$L$4:$N$4)-BM27*'R&amp;S - Packaging and hh goods'!$L$4/SUM('R&amp;S - Packaging and hh goods'!$L$4:$N$4)*('R&amp;S - Packaging and hh goods'!$E7*'R&amp;S - Packaging and hh goods'!$H$15*('R&amp;S - Packaging and hh goods'!$Z$20+('R&amp;S - Packaging and hh goods'!$Z$21-'R&amp;S - Packaging and hh goods'!$Z$20)*(BM$3-$X$3)/10))-BM27*'R&amp;S - Packaging and hh goods'!$L$4/SUM('R&amp;S - Packaging and hh goods'!$L$4:$N$4)*('R&amp;S - Packaging and hh goods'!$E8*'R&amp;S - Packaging and hh goods'!$H$15*('R&amp;S - Packaging and hh goods'!$AA$20+('R&amp;S - Packaging and hh goods'!$AA$21-'R&amp;S - Packaging and hh goods'!$AA$20)*(BM$3-$X$3)/10))-BM27*'R&amp;S - Packaging and hh goods'!$L$4/SUM('R&amp;S - Packaging and hh goods'!$L$4:$N$4)*('R&amp;S - Packaging and hh goods'!$E9*'R&amp;S - Packaging and hh goods'!$I$15*('R&amp;S - Packaging and hh goods'!$AB$20+('R&amp;S - Packaging and hh goods'!$AB$21-'R&amp;S - Packaging and hh goods'!$AB$20)*(BM$3-$X$3)/10))-BM27*'R&amp;S - Packaging and hh goods'!$L$4/SUM('R&amp;S - Packaging and hh goods'!$L$4:$N$4)*('R&amp;S - Packaging and hh goods'!$E10*'R&amp;S - Packaging and hh goods'!$I$15*('R&amp;S - Packaging and hh goods'!$AC$20+('R&amp;S - Packaging and hh goods'!$AC$21-'R&amp;S - Packaging and hh goods'!$AC$20)*(BM$3-$X$3)/10))</f>
        <v>7.4632668082592728</v>
      </c>
      <c r="BN35" s="60">
        <f>BN27*'R&amp;S - Packaging and hh goods'!$L$4/SUM('R&amp;S - Packaging and hh goods'!$L$4:$N$4)-BN27*'R&amp;S - Packaging and hh goods'!$L$4/SUM('R&amp;S - Packaging and hh goods'!$L$4:$N$4)*('R&amp;S - Packaging and hh goods'!$E7*'R&amp;S - Packaging and hh goods'!$H$15*('R&amp;S - Packaging and hh goods'!$Z$20+('R&amp;S - Packaging and hh goods'!$Z$21-'R&amp;S - Packaging and hh goods'!$Z$20)*(BN$3-$X$3)/10))-BN27*'R&amp;S - Packaging and hh goods'!$L$4/SUM('R&amp;S - Packaging and hh goods'!$L$4:$N$4)*('R&amp;S - Packaging and hh goods'!$E8*'R&amp;S - Packaging and hh goods'!$H$15*('R&amp;S - Packaging and hh goods'!$AA$20+('R&amp;S - Packaging and hh goods'!$AA$21-'R&amp;S - Packaging and hh goods'!$AA$20)*(BN$3-$X$3)/10))-BN27*'R&amp;S - Packaging and hh goods'!$L$4/SUM('R&amp;S - Packaging and hh goods'!$L$4:$N$4)*('R&amp;S - Packaging and hh goods'!$E9*'R&amp;S - Packaging and hh goods'!$I$15*('R&amp;S - Packaging and hh goods'!$AB$20+('R&amp;S - Packaging and hh goods'!$AB$21-'R&amp;S - Packaging and hh goods'!$AB$20)*(BN$3-$X$3)/10))-BN27*'R&amp;S - Packaging and hh goods'!$L$4/SUM('R&amp;S - Packaging and hh goods'!$L$4:$N$4)*('R&amp;S - Packaging and hh goods'!$E10*'R&amp;S - Packaging and hh goods'!$I$15*('R&amp;S - Packaging and hh goods'!$AC$20+('R&amp;S - Packaging and hh goods'!$AC$21-'R&amp;S - Packaging and hh goods'!$AC$20)*(BN$3-$X$3)/10))</f>
        <v>7.4106063109481362</v>
      </c>
    </row>
    <row r="36" spans="1:75" outlineLevel="1" x14ac:dyDescent="0.2">
      <c r="A36" s="682"/>
      <c r="B36" s="1" t="s">
        <v>8</v>
      </c>
      <c r="C36" s="54" t="s">
        <v>153</v>
      </c>
      <c r="D36" s="44">
        <f>D27*'R&amp;S - Packaging and hh goods'!$M$4/SUM('R&amp;S - Packaging and hh goods'!$L$4:$N$4)</f>
        <v>3.690958960657742</v>
      </c>
      <c r="E36" s="44">
        <f>E27*'R&amp;S - Packaging and hh goods'!$M$4/SUM('R&amp;S - Packaging and hh goods'!$L$4:$N$4)-E27*'R&amp;S - Packaging and hh goods'!$M$4/SUM('R&amp;S - Packaging and hh goods'!$L$4:$N$4)*'R&amp;S - Packaging and hh goods'!$F$7*('R&amp;S - Packaging and hh goods'!$J$14*'R&amp;S - Packaging and hh goods'!$AE$19*(E$3-$D$3)/10)-E27*'R&amp;S - Packaging and hh goods'!$M$4/SUM('R&amp;S - Packaging and hh goods'!$L$4:$N$4)*'R&amp;S - Packaging and hh goods'!$F$8*('R&amp;S - Packaging and hh goods'!$J$14*'R&amp;S - Packaging and hh goods'!$AF$19*(E$3-$D$3)/10)-E27*'R&amp;S - Packaging and hh goods'!$M$4/SUM('R&amp;S - Packaging and hh goods'!$L$4:$N$4)*'R&amp;S - Packaging and hh goods'!$F$9*('R&amp;S - Packaging and hh goods'!$J$14*'R&amp;S - Packaging and hh goods'!$AG$19*(E$3-$D$3)/10)-+E31*'R&amp;S - Packaging and hh goods'!$M$4/SUM('R&amp;S - Packaging and hh goods'!$L$4:$N$4)*'R&amp;S - Packaging and hh goods'!$F$10*('R&amp;S - Packaging and hh goods'!$J$14*'R&amp;S - Packaging and hh goods'!$AH$19*(E$3-$D$3)/10)</f>
        <v>3.7011447662926993</v>
      </c>
      <c r="F36" s="44">
        <f>F27*'R&amp;S - Packaging and hh goods'!$M$4/SUM('R&amp;S - Packaging and hh goods'!$L$4:$N$4)-F27*'R&amp;S - Packaging and hh goods'!$M$4/SUM('R&amp;S - Packaging and hh goods'!$L$4:$N$4)*'R&amp;S - Packaging and hh goods'!$F$7*('R&amp;S - Packaging and hh goods'!$J$14*'R&amp;S - Packaging and hh goods'!$AE$19*(F$3-$D$3)/10)-F27*'R&amp;S - Packaging and hh goods'!$M$4/SUM('R&amp;S - Packaging and hh goods'!$L$4:$N$4)*'R&amp;S - Packaging and hh goods'!$F$8*('R&amp;S - Packaging and hh goods'!$J$14*'R&amp;S - Packaging and hh goods'!$AF$19*(F$3-$D$3)/10)-F27*'R&amp;S - Packaging and hh goods'!$M$4/SUM('R&amp;S - Packaging and hh goods'!$L$4:$N$4)*'R&amp;S - Packaging and hh goods'!$F$9*('R&amp;S - Packaging and hh goods'!$J$14*'R&amp;S - Packaging and hh goods'!$AG$19*(F$3-$D$3)/10)-+F31*'R&amp;S - Packaging and hh goods'!$M$4/SUM('R&amp;S - Packaging and hh goods'!$L$4:$N$4)*'R&amp;S - Packaging and hh goods'!$F$10*('R&amp;S - Packaging and hh goods'!$J$14*'R&amp;S - Packaging and hh goods'!$AH$19*(F$3-$D$3)/10)</f>
        <v>3.7110727511753834</v>
      </c>
      <c r="G36" s="44">
        <f>G27*'R&amp;S - Packaging and hh goods'!$M$4/SUM('R&amp;S - Packaging and hh goods'!$L$4:$N$4)-G27*'R&amp;S - Packaging and hh goods'!$M$4/SUM('R&amp;S - Packaging and hh goods'!$L$4:$N$4)*'R&amp;S - Packaging and hh goods'!$F$7*('R&amp;S - Packaging and hh goods'!$J$14*'R&amp;S - Packaging and hh goods'!$AE$19*(G$3-$D$3)/10)-G27*'R&amp;S - Packaging and hh goods'!$M$4/SUM('R&amp;S - Packaging and hh goods'!$L$4:$N$4)*'R&amp;S - Packaging and hh goods'!$F$8*('R&amp;S - Packaging and hh goods'!$J$14*'R&amp;S - Packaging and hh goods'!$AF$19*(G$3-$D$3)/10)-G27*'R&amp;S - Packaging and hh goods'!$M$4/SUM('R&amp;S - Packaging and hh goods'!$L$4:$N$4)*'R&amp;S - Packaging and hh goods'!$F$9*('R&amp;S - Packaging and hh goods'!$J$14*'R&amp;S - Packaging and hh goods'!$AG$19*(G$3-$D$3)/10)-+G31*'R&amp;S - Packaging and hh goods'!$M$4/SUM('R&amp;S - Packaging and hh goods'!$L$4:$N$4)*'R&amp;S - Packaging and hh goods'!$F$10*('R&amp;S - Packaging and hh goods'!$J$14*'R&amp;S - Packaging and hh goods'!$AH$19*(G$3-$D$3)/10)</f>
        <v>3.7207356224398973</v>
      </c>
      <c r="H36" s="44">
        <f>H27*'R&amp;S - Packaging and hh goods'!$M$4/SUM('R&amp;S - Packaging and hh goods'!$L$4:$N$4)-H27*'R&amp;S - Packaging and hh goods'!$M$4/SUM('R&amp;S - Packaging and hh goods'!$L$4:$N$4)*'R&amp;S - Packaging and hh goods'!$F$7*('R&amp;S - Packaging and hh goods'!$J$14*'R&amp;S - Packaging and hh goods'!$AE$19*(H$3-$D$3)/10)-H27*'R&amp;S - Packaging and hh goods'!$M$4/SUM('R&amp;S - Packaging and hh goods'!$L$4:$N$4)*'R&amp;S - Packaging and hh goods'!$F$8*('R&amp;S - Packaging and hh goods'!$J$14*'R&amp;S - Packaging and hh goods'!$AF$19*(H$3-$D$3)/10)-H27*'R&amp;S - Packaging and hh goods'!$M$4/SUM('R&amp;S - Packaging and hh goods'!$L$4:$N$4)*'R&amp;S - Packaging and hh goods'!$F$9*('R&amp;S - Packaging and hh goods'!$J$14*'R&amp;S - Packaging and hh goods'!$AG$19*(H$3-$D$3)/10)-+H31*'R&amp;S - Packaging and hh goods'!$M$4/SUM('R&amp;S - Packaging and hh goods'!$L$4:$N$4)*'R&amp;S - Packaging and hh goods'!$F$10*('R&amp;S - Packaging and hh goods'!$J$14*'R&amp;S - Packaging and hh goods'!$AH$19*(H$3-$D$3)/10)</f>
        <v>3.7301259537020153</v>
      </c>
      <c r="I36" s="44">
        <f>I27*'R&amp;S - Packaging and hh goods'!$M$4/SUM('R&amp;S - Packaging and hh goods'!$L$4:$N$4)-I27*'R&amp;S - Packaging and hh goods'!$M$4/SUM('R&amp;S - Packaging and hh goods'!$L$4:$N$4)*'R&amp;S - Packaging and hh goods'!$F$7*('R&amp;S - Packaging and hh goods'!$J$14*'R&amp;S - Packaging and hh goods'!$AE$19*(I$3-$D$3)/10)-I27*'R&amp;S - Packaging and hh goods'!$M$4/SUM('R&amp;S - Packaging and hh goods'!$L$4:$N$4)*'R&amp;S - Packaging and hh goods'!$F$8*('R&amp;S - Packaging and hh goods'!$J$14*'R&amp;S - Packaging and hh goods'!$AF$19*(I$3-$D$3)/10)-I27*'R&amp;S - Packaging and hh goods'!$M$4/SUM('R&amp;S - Packaging and hh goods'!$L$4:$N$4)*'R&amp;S - Packaging and hh goods'!$F$9*('R&amp;S - Packaging and hh goods'!$J$14*'R&amp;S - Packaging and hh goods'!$AG$19*(I$3-$D$3)/10)-+I31*'R&amp;S - Packaging and hh goods'!$M$4/SUM('R&amp;S - Packaging and hh goods'!$L$4:$N$4)*'R&amp;S - Packaging and hh goods'!$F$10*('R&amp;S - Packaging and hh goods'!$J$14*'R&amp;S - Packaging and hh goods'!$AH$19*(I$3-$D$3)/10)</f>
        <v>3.7392361829572214</v>
      </c>
      <c r="J36" s="44">
        <f>J27*'R&amp;S - Packaging and hh goods'!$M$4/SUM('R&amp;S - Packaging and hh goods'!$L$4:$N$4)-J27*'R&amp;S - Packaging and hh goods'!$M$4/SUM('R&amp;S - Packaging and hh goods'!$L$4:$N$4)*'R&amp;S - Packaging and hh goods'!$F$7*('R&amp;S - Packaging and hh goods'!$J$14*'R&amp;S - Packaging and hh goods'!$AE$19*(J$3-$D$3)/10)-J27*'R&amp;S - Packaging and hh goods'!$M$4/SUM('R&amp;S - Packaging and hh goods'!$L$4:$N$4)*'R&amp;S - Packaging and hh goods'!$F$8*('R&amp;S - Packaging and hh goods'!$J$14*'R&amp;S - Packaging and hh goods'!$AF$19*(J$3-$D$3)/10)-J27*'R&amp;S - Packaging and hh goods'!$M$4/SUM('R&amp;S - Packaging and hh goods'!$L$4:$N$4)*'R&amp;S - Packaging and hh goods'!$F$9*('R&amp;S - Packaging and hh goods'!$J$14*'R&amp;S - Packaging and hh goods'!$AG$19*(J$3-$D$3)/10)-+J31*'R&amp;S - Packaging and hh goods'!$M$4/SUM('R&amp;S - Packaging and hh goods'!$L$4:$N$4)*'R&amp;S - Packaging and hh goods'!$F$10*('R&amp;S - Packaging and hh goods'!$J$14*'R&amp;S - Packaging and hh goods'!$AH$19*(J$3-$D$3)/10)</f>
        <v>3.748058610448151</v>
      </c>
      <c r="K36" s="44">
        <f>K27*'R&amp;S - Packaging and hh goods'!$M$4/SUM('R&amp;S - Packaging and hh goods'!$L$4:$N$4)-K27*'R&amp;S - Packaging and hh goods'!$M$4/SUM('R&amp;S - Packaging and hh goods'!$L$4:$N$4)*'R&amp;S - Packaging and hh goods'!$F$7*('R&amp;S - Packaging and hh goods'!$J$14*'R&amp;S - Packaging and hh goods'!$AE$19*(K$3-$D$3)/10)-K27*'R&amp;S - Packaging and hh goods'!$M$4/SUM('R&amp;S - Packaging and hh goods'!$L$4:$N$4)*'R&amp;S - Packaging and hh goods'!$F$8*('R&amp;S - Packaging and hh goods'!$J$14*'R&amp;S - Packaging and hh goods'!$AF$19*(K$3-$D$3)/10)-K27*'R&amp;S - Packaging and hh goods'!$M$4/SUM('R&amp;S - Packaging and hh goods'!$L$4:$N$4)*'R&amp;S - Packaging and hh goods'!$F$9*('R&amp;S - Packaging and hh goods'!$J$14*'R&amp;S - Packaging and hh goods'!$AG$19*(K$3-$D$3)/10)-+K31*'R&amp;S - Packaging and hh goods'!$M$4/SUM('R&amp;S - Packaging and hh goods'!$L$4:$N$4)*'R&amp;S - Packaging and hh goods'!$F$10*('R&amp;S - Packaging and hh goods'!$J$14*'R&amp;S - Packaging and hh goods'!$AH$19*(K$3-$D$3)/10)</f>
        <v>3.7565853965010096</v>
      </c>
      <c r="L36" s="44">
        <f>L27*'R&amp;S - Packaging and hh goods'!$M$4/SUM('R&amp;S - Packaging and hh goods'!$L$4:$N$4)-L27*'R&amp;S - Packaging and hh goods'!$M$4/SUM('R&amp;S - Packaging and hh goods'!$L$4:$N$4)*'R&amp;S - Packaging and hh goods'!$F$7*('R&amp;S - Packaging and hh goods'!$J$14*'R&amp;S - Packaging and hh goods'!$AE$19*(L$3-$D$3)/10)-L27*'R&amp;S - Packaging and hh goods'!$M$4/SUM('R&amp;S - Packaging and hh goods'!$L$4:$N$4)*'R&amp;S - Packaging and hh goods'!$F$8*('R&amp;S - Packaging and hh goods'!$J$14*'R&amp;S - Packaging and hh goods'!$AF$19*(L$3-$D$3)/10)-L27*'R&amp;S - Packaging and hh goods'!$M$4/SUM('R&amp;S - Packaging and hh goods'!$L$4:$N$4)*'R&amp;S - Packaging and hh goods'!$F$9*('R&amp;S - Packaging and hh goods'!$J$14*'R&amp;S - Packaging and hh goods'!$AG$19*(L$3-$D$3)/10)-+L31*'R&amp;S - Packaging and hh goods'!$M$4/SUM('R&amp;S - Packaging and hh goods'!$L$4:$N$4)*'R&amp;S - Packaging and hh goods'!$F$10*('R&amp;S - Packaging and hh goods'!$J$14*'R&amp;S - Packaging and hh goods'!$AH$19*(L$3-$D$3)/10)</f>
        <v>3.7648085593305196</v>
      </c>
      <c r="M36" s="44">
        <f>M27*'R&amp;S - Packaging and hh goods'!$M$4/SUM('R&amp;S - Packaging and hh goods'!$L$4:$N$4)-M27*'R&amp;S - Packaging and hh goods'!$M$4/SUM('R&amp;S - Packaging and hh goods'!$L$4:$N$4)*'R&amp;S - Packaging and hh goods'!$F$7*('R&amp;S - Packaging and hh goods'!$J$14*'R&amp;S - Packaging and hh goods'!$AE$19*(M$3-$D$3)/10)-M27*'R&amp;S - Packaging and hh goods'!$M$4/SUM('R&amp;S - Packaging and hh goods'!$L$4:$N$4)*'R&amp;S - Packaging and hh goods'!$F$8*('R&amp;S - Packaging and hh goods'!$J$14*'R&amp;S - Packaging and hh goods'!$AF$19*(M$3-$D$3)/10)-M27*'R&amp;S - Packaging and hh goods'!$M$4/SUM('R&amp;S - Packaging and hh goods'!$L$4:$N$4)*'R&amp;S - Packaging and hh goods'!$F$9*('R&amp;S - Packaging and hh goods'!$J$14*'R&amp;S - Packaging and hh goods'!$AG$19*(M$3-$D$3)/10)-+M31*'R&amp;S - Packaging and hh goods'!$M$4/SUM('R&amp;S - Packaging and hh goods'!$L$4:$N$4)*'R&amp;S - Packaging and hh goods'!$F$10*('R&amp;S - Packaging and hh goods'!$J$14*'R&amp;S - Packaging and hh goods'!$AH$19*(M$3-$D$3)/10)</f>
        <v>3.7727199728129857</v>
      </c>
      <c r="N36" s="44">
        <f>N27*'R&amp;S - Packaging and hh goods'!$M$4/SUM('R&amp;S - Packaging and hh goods'!$L$4:$N$4)-N27*'R&amp;S - Packaging and hh goods'!$M$4/SUM('R&amp;S - Packaging and hh goods'!$L$4:$N$4)*'R&amp;S - Packaging and hh goods'!$F$7*('R&amp;S - Packaging and hh goods'!$J$14*'R&amp;S - Packaging and hh goods'!$AE$19*(N$3-$D$3)/10)-N27*'R&amp;S - Packaging and hh goods'!$M$4/SUM('R&amp;S - Packaging and hh goods'!$L$4:$N$4)*'R&amp;S - Packaging and hh goods'!$F$8*('R&amp;S - Packaging and hh goods'!$J$14*'R&amp;S - Packaging and hh goods'!$AF$19*(N$3-$D$3)/10)-N27*'R&amp;S - Packaging and hh goods'!$M$4/SUM('R&amp;S - Packaging and hh goods'!$L$4:$N$4)*'R&amp;S - Packaging and hh goods'!$F$9*('R&amp;S - Packaging and hh goods'!$J$14*'R&amp;S - Packaging and hh goods'!$AG$19*(N$3-$D$3)/10)-+N31*'R&amp;S - Packaging and hh goods'!$M$4/SUM('R&amp;S - Packaging and hh goods'!$L$4:$N$4)*'R&amp;S - Packaging and hh goods'!$F$10*('R&amp;S - Packaging and hh goods'!$J$14*'R&amp;S - Packaging and hh goods'!$AH$19*(N$3-$D$3)/10)</f>
        <v>3.7803113642270083</v>
      </c>
      <c r="O36" s="44">
        <f>O27*'R&amp;S - Packaging and hh goods'!$M$4/SUM('R&amp;S - Packaging and hh goods'!$L$4:$N$4)-O27*'R&amp;S - Packaging and hh goods'!$M$4/SUM('R&amp;S - Packaging and hh goods'!$L$4:$N$4)*('R&amp;S - Packaging and hh goods'!$F$7*'R&amp;S - Packaging and hh goods'!$J$14*('R&amp;S - Packaging and hh goods'!$AE$19+('R&amp;S - Packaging and hh goods'!$AE$20-'R&amp;S - Packaging and hh goods'!$AE$19)*(O$3-$N$3)/10))-O27*'R&amp;S - Packaging and hh goods'!$M$4/SUM('R&amp;S - Packaging and hh goods'!$L$4:$N$4)*('R&amp;S - Packaging and hh goods'!$F$8*'R&amp;S - Packaging and hh goods'!$J$14*('R&amp;S - Packaging and hh goods'!$AF$19+('R&amp;S - Packaging and hh goods'!$AF$20-'R&amp;S - Packaging and hh goods'!$AF$19)*(O$3-$N$3)/10))-O27*'R&amp;S - Packaging and hh goods'!$M$4/SUM('R&amp;S - Packaging and hh goods'!$L$4:$N$4)*('R&amp;S - Packaging and hh goods'!$F$9*'R&amp;S - Packaging and hh goods'!$K$14*('R&amp;S - Packaging and hh goods'!$AG$19+('R&amp;S - Packaging and hh goods'!$AG$20-'R&amp;S - Packaging and hh goods'!$AG$19)*(O$3-$N$3)/10))-O27*'R&amp;S - Packaging and hh goods'!$M$4/SUM('R&amp;S - Packaging and hh goods'!$L$4:$N$4)*('R&amp;S - Packaging and hh goods'!$F$10*'R&amp;S - Packaging and hh goods'!$K$14*('R&amp;S - Packaging and hh goods'!$AH$19+('R&amp;S - Packaging and hh goods'!$AH$20-'R&amp;S - Packaging and hh goods'!$AH$19)*(O$3-$N$3)/10))</f>
        <v>3.6255942083754293</v>
      </c>
      <c r="P36" s="44">
        <f>P27*'R&amp;S - Packaging and hh goods'!$M$4/SUM('R&amp;S - Packaging and hh goods'!$L$4:$N$4)-P27*'R&amp;S - Packaging and hh goods'!$M$4/SUM('R&amp;S - Packaging and hh goods'!$L$4:$N$4)*('R&amp;S - Packaging and hh goods'!$F$7*'R&amp;S - Packaging and hh goods'!$J$14*('R&amp;S - Packaging and hh goods'!$AE$19+('R&amp;S - Packaging and hh goods'!$AE$20-'R&amp;S - Packaging and hh goods'!$AE$19)*(P$3-$N$3)/10))-P27*'R&amp;S - Packaging and hh goods'!$M$4/SUM('R&amp;S - Packaging and hh goods'!$L$4:$N$4)*('R&amp;S - Packaging and hh goods'!$F$8*'R&amp;S - Packaging and hh goods'!$J$14*('R&amp;S - Packaging and hh goods'!$AF$19+('R&amp;S - Packaging and hh goods'!$AF$20-'R&amp;S - Packaging and hh goods'!$AF$19)*(P$3-$N$3)/10))-P27*'R&amp;S - Packaging and hh goods'!$M$4/SUM('R&amp;S - Packaging and hh goods'!$L$4:$N$4)*('R&amp;S - Packaging and hh goods'!$F$9*'R&amp;S - Packaging and hh goods'!$K$14*('R&amp;S - Packaging and hh goods'!$AG$19+('R&amp;S - Packaging and hh goods'!$AG$20-'R&amp;S - Packaging and hh goods'!$AG$19)*(P$3-$N$3)/10))-P27*'R&amp;S - Packaging and hh goods'!$M$4/SUM('R&amp;S - Packaging and hh goods'!$L$4:$N$4)*('R&amp;S - Packaging and hh goods'!$F$10*'R&amp;S - Packaging and hh goods'!$K$14*('R&amp;S - Packaging and hh goods'!$AH$19+('R&amp;S - Packaging and hh goods'!$AH$20-'R&amp;S - Packaging and hh goods'!$AH$19)*(P$3-$N$3)/10))</f>
        <v>3.5657199627224037</v>
      </c>
      <c r="Q36" s="44">
        <f>Q27*'R&amp;S - Packaging and hh goods'!$M$4/SUM('R&amp;S - Packaging and hh goods'!$L$4:$N$4)-Q27*'R&amp;S - Packaging and hh goods'!$M$4/SUM('R&amp;S - Packaging and hh goods'!$L$4:$N$4)*('R&amp;S - Packaging and hh goods'!$F$7*'R&amp;S - Packaging and hh goods'!$J$14*('R&amp;S - Packaging and hh goods'!$AE$19+('R&amp;S - Packaging and hh goods'!$AE$20-'R&amp;S - Packaging and hh goods'!$AE$19)*(Q$3-$N$3)/10))-Q27*'R&amp;S - Packaging and hh goods'!$M$4/SUM('R&amp;S - Packaging and hh goods'!$L$4:$N$4)*('R&amp;S - Packaging and hh goods'!$F$8*'R&amp;S - Packaging and hh goods'!$J$14*('R&amp;S - Packaging and hh goods'!$AF$19+('R&amp;S - Packaging and hh goods'!$AF$20-'R&amp;S - Packaging and hh goods'!$AF$19)*(Q$3-$N$3)/10))-Q27*'R&amp;S - Packaging and hh goods'!$M$4/SUM('R&amp;S - Packaging and hh goods'!$L$4:$N$4)*('R&amp;S - Packaging and hh goods'!$F$9*'R&amp;S - Packaging and hh goods'!$K$14*('R&amp;S - Packaging and hh goods'!$AG$19+('R&amp;S - Packaging and hh goods'!$AG$20-'R&amp;S - Packaging and hh goods'!$AG$19)*(Q$3-$N$3)/10))-Q27*'R&amp;S - Packaging and hh goods'!$M$4/SUM('R&amp;S - Packaging and hh goods'!$L$4:$N$4)*('R&amp;S - Packaging and hh goods'!$F$10*'R&amp;S - Packaging and hh goods'!$K$14*('R&amp;S - Packaging and hh goods'!$AH$19+('R&amp;S - Packaging and hh goods'!$AH$20-'R&amp;S - Packaging and hh goods'!$AH$19)*(Q$3-$N$3)/10))</f>
        <v>3.5040897867657974</v>
      </c>
      <c r="R36" s="44">
        <f>R27*'R&amp;S - Packaging and hh goods'!$M$4/SUM('R&amp;S - Packaging and hh goods'!$L$4:$N$4)-R27*'R&amp;S - Packaging and hh goods'!$M$4/SUM('R&amp;S - Packaging and hh goods'!$L$4:$N$4)*('R&amp;S - Packaging and hh goods'!$F$7*'R&amp;S - Packaging and hh goods'!$J$14*('R&amp;S - Packaging and hh goods'!$AE$19+('R&amp;S - Packaging and hh goods'!$AE$20-'R&amp;S - Packaging and hh goods'!$AE$19)*(R$3-$N$3)/10))-R27*'R&amp;S - Packaging and hh goods'!$M$4/SUM('R&amp;S - Packaging and hh goods'!$L$4:$N$4)*('R&amp;S - Packaging and hh goods'!$F$8*'R&amp;S - Packaging and hh goods'!$J$14*('R&amp;S - Packaging and hh goods'!$AF$19+('R&amp;S - Packaging and hh goods'!$AF$20-'R&amp;S - Packaging and hh goods'!$AF$19)*(R$3-$N$3)/10))-R27*'R&amp;S - Packaging and hh goods'!$M$4/SUM('R&amp;S - Packaging and hh goods'!$L$4:$N$4)*('R&amp;S - Packaging and hh goods'!$F$9*'R&amp;S - Packaging and hh goods'!$K$14*('R&amp;S - Packaging and hh goods'!$AG$19+('R&amp;S - Packaging and hh goods'!$AG$20-'R&amp;S - Packaging and hh goods'!$AG$19)*(R$3-$N$3)/10))-R27*'R&amp;S - Packaging and hh goods'!$M$4/SUM('R&amp;S - Packaging and hh goods'!$L$4:$N$4)*('R&amp;S - Packaging and hh goods'!$F$10*'R&amp;S - Packaging and hh goods'!$K$14*('R&amp;S - Packaging and hh goods'!$AH$19+('R&amp;S - Packaging and hh goods'!$AH$20-'R&amp;S - Packaging and hh goods'!$AH$19)*(R$3-$N$3)/10))</f>
        <v>3.4406722948226571</v>
      </c>
      <c r="S36" s="44">
        <f>S27*'R&amp;S - Packaging and hh goods'!$M$4/SUM('R&amp;S - Packaging and hh goods'!$L$4:$N$4)-S27*'R&amp;S - Packaging and hh goods'!$M$4/SUM('R&amp;S - Packaging and hh goods'!$L$4:$N$4)*('R&amp;S - Packaging and hh goods'!$F$7*'R&amp;S - Packaging and hh goods'!$J$14*('R&amp;S - Packaging and hh goods'!$AE$19+('R&amp;S - Packaging and hh goods'!$AE$20-'R&amp;S - Packaging and hh goods'!$AE$19)*(S$3-$N$3)/10))-S27*'R&amp;S - Packaging and hh goods'!$M$4/SUM('R&amp;S - Packaging and hh goods'!$L$4:$N$4)*('R&amp;S - Packaging and hh goods'!$F$8*'R&amp;S - Packaging and hh goods'!$J$14*('R&amp;S - Packaging and hh goods'!$AF$19+('R&amp;S - Packaging and hh goods'!$AF$20-'R&amp;S - Packaging and hh goods'!$AF$19)*(S$3-$N$3)/10))-S27*'R&amp;S - Packaging and hh goods'!$M$4/SUM('R&amp;S - Packaging and hh goods'!$L$4:$N$4)*('R&amp;S - Packaging and hh goods'!$F$9*'R&amp;S - Packaging and hh goods'!$K$14*('R&amp;S - Packaging and hh goods'!$AG$19+('R&amp;S - Packaging and hh goods'!$AG$20-'R&amp;S - Packaging and hh goods'!$AG$19)*(S$3-$N$3)/10))-S27*'R&amp;S - Packaging and hh goods'!$M$4/SUM('R&amp;S - Packaging and hh goods'!$L$4:$N$4)*('R&amp;S - Packaging and hh goods'!$F$10*'R&amp;S - Packaging and hh goods'!$K$14*('R&amp;S - Packaging and hh goods'!$AH$19+('R&amp;S - Packaging and hh goods'!$AH$20-'R&amp;S - Packaging and hh goods'!$AH$19)*(S$3-$N$3)/10))</f>
        <v>3.3754356231925695</v>
      </c>
      <c r="T36" s="44">
        <f>T27*'R&amp;S - Packaging and hh goods'!$M$4/SUM('R&amp;S - Packaging and hh goods'!$L$4:$N$4)-T27*'R&amp;S - Packaging and hh goods'!$M$4/SUM('R&amp;S - Packaging and hh goods'!$L$4:$N$4)*('R&amp;S - Packaging and hh goods'!$F$7*'R&amp;S - Packaging and hh goods'!$J$14*('R&amp;S - Packaging and hh goods'!$AE$19+('R&amp;S - Packaging and hh goods'!$AE$20-'R&amp;S - Packaging and hh goods'!$AE$19)*(T$3-$N$3)/10))-T27*'R&amp;S - Packaging and hh goods'!$M$4/SUM('R&amp;S - Packaging and hh goods'!$L$4:$N$4)*('R&amp;S - Packaging and hh goods'!$F$8*'R&amp;S - Packaging and hh goods'!$J$14*('R&amp;S - Packaging and hh goods'!$AF$19+('R&amp;S - Packaging and hh goods'!$AF$20-'R&amp;S - Packaging and hh goods'!$AF$19)*(T$3-$N$3)/10))-T27*'R&amp;S - Packaging and hh goods'!$M$4/SUM('R&amp;S - Packaging and hh goods'!$L$4:$N$4)*('R&amp;S - Packaging and hh goods'!$F$9*'R&amp;S - Packaging and hh goods'!$K$14*('R&amp;S - Packaging and hh goods'!$AG$19+('R&amp;S - Packaging and hh goods'!$AG$20-'R&amp;S - Packaging and hh goods'!$AG$19)*(T$3-$N$3)/10))-T27*'R&amp;S - Packaging and hh goods'!$M$4/SUM('R&amp;S - Packaging and hh goods'!$L$4:$N$4)*('R&amp;S - Packaging and hh goods'!$F$10*'R&amp;S - Packaging and hh goods'!$K$14*('R&amp;S - Packaging and hh goods'!$AH$19+('R&amp;S - Packaging and hh goods'!$AH$20-'R&amp;S - Packaging and hh goods'!$AH$19)*(T$3-$N$3)/10))</f>
        <v>3.3083474234389456</v>
      </c>
      <c r="U36" s="44">
        <f>U27*'R&amp;S - Packaging and hh goods'!$M$4/SUM('R&amp;S - Packaging and hh goods'!$L$4:$N$4)-U27*'R&amp;S - Packaging and hh goods'!$M$4/SUM('R&amp;S - Packaging and hh goods'!$L$4:$N$4)*('R&amp;S - Packaging and hh goods'!$F$7*'R&amp;S - Packaging and hh goods'!$J$14*('R&amp;S - Packaging and hh goods'!$AE$19+('R&amp;S - Packaging and hh goods'!$AE$20-'R&amp;S - Packaging and hh goods'!$AE$19)*(U$3-$N$3)/10))-U27*'R&amp;S - Packaging and hh goods'!$M$4/SUM('R&amp;S - Packaging and hh goods'!$L$4:$N$4)*('R&amp;S - Packaging and hh goods'!$F$8*'R&amp;S - Packaging and hh goods'!$J$14*('R&amp;S - Packaging and hh goods'!$AF$19+('R&amp;S - Packaging and hh goods'!$AF$20-'R&amp;S - Packaging and hh goods'!$AF$19)*(U$3-$N$3)/10))-U27*'R&amp;S - Packaging and hh goods'!$M$4/SUM('R&amp;S - Packaging and hh goods'!$L$4:$N$4)*('R&amp;S - Packaging and hh goods'!$F$9*'R&amp;S - Packaging and hh goods'!$K$14*('R&amp;S - Packaging and hh goods'!$AG$19+('R&amp;S - Packaging and hh goods'!$AG$20-'R&amp;S - Packaging and hh goods'!$AG$19)*(U$3-$N$3)/10))-U27*'R&amp;S - Packaging and hh goods'!$M$4/SUM('R&amp;S - Packaging and hh goods'!$L$4:$N$4)*('R&amp;S - Packaging and hh goods'!$F$10*'R&amp;S - Packaging and hh goods'!$K$14*('R&amp;S - Packaging and hh goods'!$AH$19+('R&amp;S - Packaging and hh goods'!$AH$20-'R&amp;S - Packaging and hh goods'!$AH$19)*(U$3-$N$3)/10))</f>
        <v>3.2393748555803366</v>
      </c>
      <c r="V36" s="44">
        <f>V27*'R&amp;S - Packaging and hh goods'!$M$4/SUM('R&amp;S - Packaging and hh goods'!$L$4:$N$4)-V27*'R&amp;S - Packaging and hh goods'!$M$4/SUM('R&amp;S - Packaging and hh goods'!$L$4:$N$4)*('R&amp;S - Packaging and hh goods'!$F$7*'R&amp;S - Packaging and hh goods'!$J$14*('R&amp;S - Packaging and hh goods'!$AE$19+('R&amp;S - Packaging and hh goods'!$AE$20-'R&amp;S - Packaging and hh goods'!$AE$19)*(V$3-$N$3)/10))-V27*'R&amp;S - Packaging and hh goods'!$M$4/SUM('R&amp;S - Packaging and hh goods'!$L$4:$N$4)*('R&amp;S - Packaging and hh goods'!$F$8*'R&amp;S - Packaging and hh goods'!$J$14*('R&amp;S - Packaging and hh goods'!$AF$19+('R&amp;S - Packaging and hh goods'!$AF$20-'R&amp;S - Packaging and hh goods'!$AF$19)*(V$3-$N$3)/10))-V27*'R&amp;S - Packaging and hh goods'!$M$4/SUM('R&amp;S - Packaging and hh goods'!$L$4:$N$4)*('R&amp;S - Packaging and hh goods'!$F$9*'R&amp;S - Packaging and hh goods'!$K$14*('R&amp;S - Packaging and hh goods'!$AG$19+('R&amp;S - Packaging and hh goods'!$AG$20-'R&amp;S - Packaging and hh goods'!$AG$19)*(V$3-$N$3)/10))-V27*'R&amp;S - Packaging and hh goods'!$M$4/SUM('R&amp;S - Packaging and hh goods'!$L$4:$N$4)*('R&amp;S - Packaging and hh goods'!$F$10*'R&amp;S - Packaging and hh goods'!$K$14*('R&amp;S - Packaging and hh goods'!$AH$19+('R&amp;S - Packaging and hh goods'!$AH$20-'R&amp;S - Packaging and hh goods'!$AH$19)*(V$3-$N$3)/10))</f>
        <v>3.1684845811906017</v>
      </c>
      <c r="W36" s="44">
        <f>W27*'R&amp;S - Packaging and hh goods'!$M$4/SUM('R&amp;S - Packaging and hh goods'!$L$4:$N$4)-W27*'R&amp;S - Packaging and hh goods'!$M$4/SUM('R&amp;S - Packaging and hh goods'!$L$4:$N$4)*('R&amp;S - Packaging and hh goods'!$F$7*'R&amp;S - Packaging and hh goods'!$J$14*('R&amp;S - Packaging and hh goods'!$AE$19+('R&amp;S - Packaging and hh goods'!$AE$20-'R&amp;S - Packaging and hh goods'!$AE$19)*(W$3-$N$3)/10))-W27*'R&amp;S - Packaging and hh goods'!$M$4/SUM('R&amp;S - Packaging and hh goods'!$L$4:$N$4)*('R&amp;S - Packaging and hh goods'!$F$8*'R&amp;S - Packaging and hh goods'!$J$14*('R&amp;S - Packaging and hh goods'!$AF$19+('R&amp;S - Packaging and hh goods'!$AF$20-'R&amp;S - Packaging and hh goods'!$AF$19)*(W$3-$N$3)/10))-W27*'R&amp;S - Packaging and hh goods'!$M$4/SUM('R&amp;S - Packaging and hh goods'!$L$4:$N$4)*('R&amp;S - Packaging and hh goods'!$F$9*'R&amp;S - Packaging and hh goods'!$K$14*('R&amp;S - Packaging and hh goods'!$AG$19+('R&amp;S - Packaging and hh goods'!$AG$20-'R&amp;S - Packaging and hh goods'!$AG$19)*(W$3-$N$3)/10))-W27*'R&amp;S - Packaging and hh goods'!$M$4/SUM('R&amp;S - Packaging and hh goods'!$L$4:$N$4)*('R&amp;S - Packaging and hh goods'!$F$10*'R&amp;S - Packaging and hh goods'!$K$14*('R&amp;S - Packaging and hh goods'!$AH$19+('R&amp;S - Packaging and hh goods'!$AH$20-'R&amp;S - Packaging and hh goods'!$AH$19)*(W$3-$N$3)/10))</f>
        <v>3.0956427564067681</v>
      </c>
      <c r="X36" s="44">
        <f>X27*'R&amp;S - Packaging and hh goods'!$M$4/SUM('R&amp;S - Packaging and hh goods'!$L$4:$N$4)-X27*'R&amp;S - Packaging and hh goods'!$M$4/SUM('R&amp;S - Packaging and hh goods'!$L$4:$N$4)*('R&amp;S - Packaging and hh goods'!$F$7*'R&amp;S - Packaging and hh goods'!$J$14*('R&amp;S - Packaging and hh goods'!$AE$19+('R&amp;S - Packaging and hh goods'!$AE$20-'R&amp;S - Packaging and hh goods'!$AE$19)*(X$3-$N$3)/10))-X27*'R&amp;S - Packaging and hh goods'!$M$4/SUM('R&amp;S - Packaging and hh goods'!$L$4:$N$4)*('R&amp;S - Packaging and hh goods'!$F$8*'R&amp;S - Packaging and hh goods'!$J$14*('R&amp;S - Packaging and hh goods'!$AF$19+('R&amp;S - Packaging and hh goods'!$AF$20-'R&amp;S - Packaging and hh goods'!$AF$19)*(X$3-$N$3)/10))-X27*'R&amp;S - Packaging and hh goods'!$M$4/SUM('R&amp;S - Packaging and hh goods'!$L$4:$N$4)*('R&amp;S - Packaging and hh goods'!$F$9*'R&amp;S - Packaging and hh goods'!$K$14*('R&amp;S - Packaging and hh goods'!$AG$19+('R&amp;S - Packaging and hh goods'!$AG$20-'R&amp;S - Packaging and hh goods'!$AG$19)*(X$3-$N$3)/10))-X27*'R&amp;S - Packaging and hh goods'!$M$4/SUM('R&amp;S - Packaging and hh goods'!$L$4:$N$4)*('R&amp;S - Packaging and hh goods'!$F$10*'R&amp;S - Packaging and hh goods'!$K$14*('R&amp;S - Packaging and hh goods'!$AH$19+('R&amp;S - Packaging and hh goods'!$AH$20-'R&amp;S - Packaging and hh goods'!$AH$19)*(X$3-$N$3)/10))</f>
        <v>3.0208150248433649</v>
      </c>
      <c r="Y36" s="44">
        <f>Y27*'R&amp;S - Packaging and hh goods'!$M$4/SUM('R&amp;S - Packaging and hh goods'!$L$4:$N$4)-Y27*'R&amp;S - Packaging and hh goods'!$M$4/SUM('R&amp;S - Packaging and hh goods'!$L$4:$N$4)*('R&amp;S - Packaging and hh goods'!$F7*'R&amp;S - Packaging and hh goods'!$J$14*('R&amp;S - Packaging and hh goods'!$AE$20+('R&amp;S - Packaging and hh goods'!$AE$21-'R&amp;S - Packaging and hh goods'!$AE$20)*(Y$3-$X$3)/10))-Y27*'R&amp;S - Packaging and hh goods'!$M$4/SUM('R&amp;S - Packaging and hh goods'!$L$4:$N$4)*('R&amp;S - Packaging and hh goods'!$F8*'R&amp;S - Packaging and hh goods'!$J$14*('R&amp;S - Packaging and hh goods'!$AF$20+('R&amp;S - Packaging and hh goods'!$AF$21-'R&amp;S - Packaging and hh goods'!$AF$20)*(Y$3-$X$3)/10))-Y27*'R&amp;S - Packaging and hh goods'!$M$4/SUM('R&amp;S - Packaging and hh goods'!$L$4:$N$4)*('R&amp;S - Packaging and hh goods'!$F9*'R&amp;S - Packaging and hh goods'!$K$14*('R&amp;S - Packaging and hh goods'!$AG$20+('R&amp;S - Packaging and hh goods'!$AG$21-'R&amp;S - Packaging and hh goods'!$AG$20)*(Y$3-$X$3)/10))-Y27*'R&amp;S - Packaging and hh goods'!$M$4/SUM('R&amp;S - Packaging and hh goods'!$L$4:$N$4)*('R&amp;S - Packaging and hh goods'!$F10*'R&amp;S - Packaging and hh goods'!$K$14*('R&amp;S - Packaging and hh goods'!$AH$20+('R&amp;S - Packaging and hh goods'!$AH$21-'R&amp;S - Packaging and hh goods'!$AH$20)*(Y$3-$X$3)/10))</f>
        <v>2.9436971452182656</v>
      </c>
      <c r="Z36" s="44">
        <f>Z27*'R&amp;S - Packaging and hh goods'!$M$4/SUM('R&amp;S - Packaging and hh goods'!$L$4:$N$4)-Z27*'R&amp;S - Packaging and hh goods'!$M$4/SUM('R&amp;S - Packaging and hh goods'!$L$4:$N$4)*('R&amp;S - Packaging and hh goods'!$F7*'R&amp;S - Packaging and hh goods'!$J$14*('R&amp;S - Packaging and hh goods'!$AE$20+('R&amp;S - Packaging and hh goods'!$AE$21-'R&amp;S - Packaging and hh goods'!$AE$20)*(Z$3-$X$3)/10))-Z27*'R&amp;S - Packaging and hh goods'!$M$4/SUM('R&amp;S - Packaging and hh goods'!$L$4:$N$4)*('R&amp;S - Packaging and hh goods'!$F8*'R&amp;S - Packaging and hh goods'!$J$14*('R&amp;S - Packaging and hh goods'!$AF$20+('R&amp;S - Packaging and hh goods'!$AF$21-'R&amp;S - Packaging and hh goods'!$AF$20)*(Z$3-$X$3)/10))-Z27*'R&amp;S - Packaging and hh goods'!$M$4/SUM('R&amp;S - Packaging and hh goods'!$L$4:$N$4)*('R&amp;S - Packaging and hh goods'!$F9*'R&amp;S - Packaging and hh goods'!$K$14*('R&amp;S - Packaging and hh goods'!$AG$20+('R&amp;S - Packaging and hh goods'!$AG$21-'R&amp;S - Packaging and hh goods'!$AG$20)*(Z$3-$X$3)/10))-Z27*'R&amp;S - Packaging and hh goods'!$M$4/SUM('R&amp;S - Packaging and hh goods'!$L$4:$N$4)*('R&amp;S - Packaging and hh goods'!$F10*'R&amp;S - Packaging and hh goods'!$K$14*('R&amp;S - Packaging and hh goods'!$AH$20+('R&amp;S - Packaging and hh goods'!$AH$21-'R&amp;S - Packaging and hh goods'!$AH$20)*(Z$3-$X$3)/10))</f>
        <v>2.8645171536234093</v>
      </c>
      <c r="AA36" s="44">
        <f>AA27*'R&amp;S - Packaging and hh goods'!$M$4/SUM('R&amp;S - Packaging and hh goods'!$L$4:$N$4)-AA27*'R&amp;S - Packaging and hh goods'!$M$4/SUM('R&amp;S - Packaging and hh goods'!$L$4:$N$4)*('R&amp;S - Packaging and hh goods'!$F7*'R&amp;S - Packaging and hh goods'!$J$14*('R&amp;S - Packaging and hh goods'!$AE$20+('R&amp;S - Packaging and hh goods'!$AE$21-'R&amp;S - Packaging and hh goods'!$AE$20)*(AA$3-$X$3)/10))-AA27*'R&amp;S - Packaging and hh goods'!$M$4/SUM('R&amp;S - Packaging and hh goods'!$L$4:$N$4)*('R&amp;S - Packaging and hh goods'!$F8*'R&amp;S - Packaging and hh goods'!$J$14*('R&amp;S - Packaging and hh goods'!$AF$20+('R&amp;S - Packaging and hh goods'!$AF$21-'R&amp;S - Packaging and hh goods'!$AF$20)*(AA$3-$X$3)/10))-AA27*'R&amp;S - Packaging and hh goods'!$M$4/SUM('R&amp;S - Packaging and hh goods'!$L$4:$N$4)*('R&amp;S - Packaging and hh goods'!$F9*'R&amp;S - Packaging and hh goods'!$K$14*('R&amp;S - Packaging and hh goods'!$AG$20+('R&amp;S - Packaging and hh goods'!$AG$21-'R&amp;S - Packaging and hh goods'!$AG$20)*(AA$3-$X$3)/10))-AA27*'R&amp;S - Packaging and hh goods'!$M$4/SUM('R&amp;S - Packaging and hh goods'!$L$4:$N$4)*('R&amp;S - Packaging and hh goods'!$F10*'R&amp;S - Packaging and hh goods'!$K$14*('R&amp;S - Packaging and hh goods'!$AH$20+('R&amp;S - Packaging and hh goods'!$AH$21-'R&amp;S - Packaging and hh goods'!$AH$20)*(AA$3-$X$3)/10))</f>
        <v>2.7832390148588955</v>
      </c>
      <c r="AB36" s="44">
        <f>AB27*'R&amp;S - Packaging and hh goods'!$M$4/SUM('R&amp;S - Packaging and hh goods'!$L$4:$N$4)-AB27*'R&amp;S - Packaging and hh goods'!$M$4/SUM('R&amp;S - Packaging and hh goods'!$L$4:$N$4)*('R&amp;S - Packaging and hh goods'!$F7*'R&amp;S - Packaging and hh goods'!$J$14*('R&amp;S - Packaging and hh goods'!$AE$20+('R&amp;S - Packaging and hh goods'!$AE$21-'R&amp;S - Packaging and hh goods'!$AE$20)*(AB$3-$X$3)/10))-AB27*'R&amp;S - Packaging and hh goods'!$M$4/SUM('R&amp;S - Packaging and hh goods'!$L$4:$N$4)*('R&amp;S - Packaging and hh goods'!$F8*'R&amp;S - Packaging and hh goods'!$J$14*('R&amp;S - Packaging and hh goods'!$AF$20+('R&amp;S - Packaging and hh goods'!$AF$21-'R&amp;S - Packaging and hh goods'!$AF$20)*(AB$3-$X$3)/10))-AB27*'R&amp;S - Packaging and hh goods'!$M$4/SUM('R&amp;S - Packaging and hh goods'!$L$4:$N$4)*('R&amp;S - Packaging and hh goods'!$F9*'R&amp;S - Packaging and hh goods'!$K$14*('R&amp;S - Packaging and hh goods'!$AG$20+('R&amp;S - Packaging and hh goods'!$AG$21-'R&amp;S - Packaging and hh goods'!$AG$20)*(AB$3-$X$3)/10))-AB27*'R&amp;S - Packaging and hh goods'!$M$4/SUM('R&amp;S - Packaging and hh goods'!$L$4:$N$4)*('R&amp;S - Packaging and hh goods'!$F10*'R&amp;S - Packaging and hh goods'!$K$14*('R&amp;S - Packaging and hh goods'!$AH$20+('R&amp;S - Packaging and hh goods'!$AH$21-'R&amp;S - Packaging and hh goods'!$AH$20)*(AB$3-$X$3)/10))</f>
        <v>2.699826150465972</v>
      </c>
      <c r="AC36" s="44">
        <f>AC27*'R&amp;S - Packaging and hh goods'!$M$4/SUM('R&amp;S - Packaging and hh goods'!$L$4:$N$4)-AC27*'R&amp;S - Packaging and hh goods'!$M$4/SUM('R&amp;S - Packaging and hh goods'!$L$4:$N$4)*('R&amp;S - Packaging and hh goods'!$F7*'R&amp;S - Packaging and hh goods'!$J$14*('R&amp;S - Packaging and hh goods'!$AE$20+('R&amp;S - Packaging and hh goods'!$AE$21-'R&amp;S - Packaging and hh goods'!$AE$20)*(AC$3-$X$3)/10))-AC27*'R&amp;S - Packaging and hh goods'!$M$4/SUM('R&amp;S - Packaging and hh goods'!$L$4:$N$4)*('R&amp;S - Packaging and hh goods'!$F8*'R&amp;S - Packaging and hh goods'!$J$14*('R&amp;S - Packaging and hh goods'!$AF$20+('R&amp;S - Packaging and hh goods'!$AF$21-'R&amp;S - Packaging and hh goods'!$AF$20)*(AC$3-$X$3)/10))-AC27*'R&amp;S - Packaging and hh goods'!$M$4/SUM('R&amp;S - Packaging and hh goods'!$L$4:$N$4)*('R&amp;S - Packaging and hh goods'!$F9*'R&amp;S - Packaging and hh goods'!$K$14*('R&amp;S - Packaging and hh goods'!$AG$20+('R&amp;S - Packaging and hh goods'!$AG$21-'R&amp;S - Packaging and hh goods'!$AG$20)*(AC$3-$X$3)/10))-AC27*'R&amp;S - Packaging and hh goods'!$M$4/SUM('R&amp;S - Packaging and hh goods'!$L$4:$N$4)*('R&amp;S - Packaging and hh goods'!$F10*'R&amp;S - Packaging and hh goods'!$K$14*('R&amp;S - Packaging and hh goods'!$AH$20+('R&amp;S - Packaging and hh goods'!$AH$21-'R&amp;S - Packaging and hh goods'!$AH$20)*(AC$3-$X$3)/10))</f>
        <v>2.6142414311356075</v>
      </c>
      <c r="AD36" s="44">
        <f>AD27*'R&amp;S - Packaging and hh goods'!$M$4/SUM('R&amp;S - Packaging and hh goods'!$L$4:$N$4)-AD27*'R&amp;S - Packaging and hh goods'!$M$4/SUM('R&amp;S - Packaging and hh goods'!$L$4:$N$4)*('R&amp;S - Packaging and hh goods'!$F7*'R&amp;S - Packaging and hh goods'!$J$14*('R&amp;S - Packaging and hh goods'!$AE$20+('R&amp;S - Packaging and hh goods'!$AE$21-'R&amp;S - Packaging and hh goods'!$AE$20)*(AD$3-$X$3)/10))-AD27*'R&amp;S - Packaging and hh goods'!$M$4/SUM('R&amp;S - Packaging and hh goods'!$L$4:$N$4)*('R&amp;S - Packaging and hh goods'!$F8*'R&amp;S - Packaging and hh goods'!$J$14*('R&amp;S - Packaging and hh goods'!$AF$20+('R&amp;S - Packaging and hh goods'!$AF$21-'R&amp;S - Packaging and hh goods'!$AF$20)*(AD$3-$X$3)/10))-AD27*'R&amp;S - Packaging and hh goods'!$M$4/SUM('R&amp;S - Packaging and hh goods'!$L$4:$N$4)*('R&amp;S - Packaging and hh goods'!$F9*'R&amp;S - Packaging and hh goods'!$K$14*('R&amp;S - Packaging and hh goods'!$AG$20+('R&amp;S - Packaging and hh goods'!$AG$21-'R&amp;S - Packaging and hh goods'!$AG$20)*(AD$3-$X$3)/10))-AD27*'R&amp;S - Packaging and hh goods'!$M$4/SUM('R&amp;S - Packaging and hh goods'!$L$4:$N$4)*('R&amp;S - Packaging and hh goods'!$F10*'R&amp;S - Packaging and hh goods'!$K$14*('R&amp;S - Packaging and hh goods'!$AH$20+('R&amp;S - Packaging and hh goods'!$AH$21-'R&amp;S - Packaging and hh goods'!$AH$20)*(AD$3-$X$3)/10))</f>
        <v>2.5264471690157682</v>
      </c>
      <c r="AE36" s="44">
        <f>AE27*'R&amp;S - Packaging and hh goods'!$M$4/SUM('R&amp;S - Packaging and hh goods'!$L$4:$N$4)-AE27*'R&amp;S - Packaging and hh goods'!$M$4/SUM('R&amp;S - Packaging and hh goods'!$L$4:$N$4)*('R&amp;S - Packaging and hh goods'!$F7*'R&amp;S - Packaging and hh goods'!$J$14*('R&amp;S - Packaging and hh goods'!$AE$20+('R&amp;S - Packaging and hh goods'!$AE$21-'R&amp;S - Packaging and hh goods'!$AE$20)*(AE$3-$X$3)/10))-AE27*'R&amp;S - Packaging and hh goods'!$M$4/SUM('R&amp;S - Packaging and hh goods'!$L$4:$N$4)*('R&amp;S - Packaging and hh goods'!$F8*'R&amp;S - Packaging and hh goods'!$J$14*('R&amp;S - Packaging and hh goods'!$AF$20+('R&amp;S - Packaging and hh goods'!$AF$21-'R&amp;S - Packaging and hh goods'!$AF$20)*(AE$3-$X$3)/10))-AE27*'R&amp;S - Packaging and hh goods'!$M$4/SUM('R&amp;S - Packaging and hh goods'!$L$4:$N$4)*('R&amp;S - Packaging and hh goods'!$F9*'R&amp;S - Packaging and hh goods'!$K$14*('R&amp;S - Packaging and hh goods'!$AG$20+('R&amp;S - Packaging and hh goods'!$AG$21-'R&amp;S - Packaging and hh goods'!$AG$20)*(AE$3-$X$3)/10))-AE27*'R&amp;S - Packaging and hh goods'!$M$4/SUM('R&amp;S - Packaging and hh goods'!$L$4:$N$4)*('R&amp;S - Packaging and hh goods'!$F10*'R&amp;S - Packaging and hh goods'!$K$14*('R&amp;S - Packaging and hh goods'!$AH$20+('R&amp;S - Packaging and hh goods'!$AH$21-'R&amp;S - Packaging and hh goods'!$AH$20)*(AE$3-$X$3)/10))</f>
        <v>2.4364051099161257</v>
      </c>
      <c r="AF36" s="44">
        <f>AF27*'R&amp;S - Packaging and hh goods'!$M$4/SUM('R&amp;S - Packaging and hh goods'!$L$4:$N$4)-AF27*'R&amp;S - Packaging and hh goods'!$M$4/SUM('R&amp;S - Packaging and hh goods'!$L$4:$N$4)*('R&amp;S - Packaging and hh goods'!$F7*'R&amp;S - Packaging and hh goods'!$J$14*('R&amp;S - Packaging and hh goods'!$AE$20+('R&amp;S - Packaging and hh goods'!$AE$21-'R&amp;S - Packaging and hh goods'!$AE$20)*(AF$3-$X$3)/10))-AF27*'R&amp;S - Packaging and hh goods'!$M$4/SUM('R&amp;S - Packaging and hh goods'!$L$4:$N$4)*('R&amp;S - Packaging and hh goods'!$F8*'R&amp;S - Packaging and hh goods'!$J$14*('R&amp;S - Packaging and hh goods'!$AF$20+('R&amp;S - Packaging and hh goods'!$AF$21-'R&amp;S - Packaging and hh goods'!$AF$20)*(AF$3-$X$3)/10))-AF27*'R&amp;S - Packaging and hh goods'!$M$4/SUM('R&amp;S - Packaging and hh goods'!$L$4:$N$4)*('R&amp;S - Packaging and hh goods'!$F9*'R&amp;S - Packaging and hh goods'!$K$14*('R&amp;S - Packaging and hh goods'!$AG$20+('R&amp;S - Packaging and hh goods'!$AG$21-'R&amp;S - Packaging and hh goods'!$AG$20)*(AF$3-$X$3)/10))-AF27*'R&amp;S - Packaging and hh goods'!$M$4/SUM('R&amp;S - Packaging and hh goods'!$L$4:$N$4)*('R&amp;S - Packaging and hh goods'!$F10*'R&amp;S - Packaging and hh goods'!$K$14*('R&amp;S - Packaging and hh goods'!$AH$20+('R&amp;S - Packaging and hh goods'!$AH$21-'R&amp;S - Packaging and hh goods'!$AH$20)*(AF$3-$X$3)/10))</f>
        <v>2.34407642540884</v>
      </c>
      <c r="AG36" s="44">
        <f>AG27*'R&amp;S - Packaging and hh goods'!$M$4/SUM('R&amp;S - Packaging and hh goods'!$L$4:$N$4)-AG27*'R&amp;S - Packaging and hh goods'!$M$4/SUM('R&amp;S - Packaging and hh goods'!$L$4:$N$4)*('R&amp;S - Packaging and hh goods'!$F7*'R&amp;S - Packaging and hh goods'!$J$14*('R&amp;S - Packaging and hh goods'!$AE$20+('R&amp;S - Packaging and hh goods'!$AE$21-'R&amp;S - Packaging and hh goods'!$AE$20)*(AG$3-$X$3)/10))-AG27*'R&amp;S - Packaging and hh goods'!$M$4/SUM('R&amp;S - Packaging and hh goods'!$L$4:$N$4)*('R&amp;S - Packaging and hh goods'!$F8*'R&amp;S - Packaging and hh goods'!$J$14*('R&amp;S - Packaging and hh goods'!$AF$20+('R&amp;S - Packaging and hh goods'!$AF$21-'R&amp;S - Packaging and hh goods'!$AF$20)*(AG$3-$X$3)/10))-AG27*'R&amp;S - Packaging and hh goods'!$M$4/SUM('R&amp;S - Packaging and hh goods'!$L$4:$N$4)*('R&amp;S - Packaging and hh goods'!$F9*'R&amp;S - Packaging and hh goods'!$K$14*('R&amp;S - Packaging and hh goods'!$AG$20+('R&amp;S - Packaging and hh goods'!$AG$21-'R&amp;S - Packaging and hh goods'!$AG$20)*(AG$3-$X$3)/10))-AG27*'R&amp;S - Packaging and hh goods'!$M$4/SUM('R&amp;S - Packaging and hh goods'!$L$4:$N$4)*('R&amp;S - Packaging and hh goods'!$F10*'R&amp;S - Packaging and hh goods'!$K$14*('R&amp;S - Packaging and hh goods'!$AH$20+('R&amp;S - Packaging and hh goods'!$AH$21-'R&amp;S - Packaging and hh goods'!$AH$20)*(AG$3-$X$3)/10))</f>
        <v>2.2494217048240941</v>
      </c>
      <c r="AH36" s="44">
        <f>AH27*'R&amp;S - Packaging and hh goods'!$M$4/SUM('R&amp;S - Packaging and hh goods'!$L$4:$N$4)-AH27*'R&amp;S - Packaging and hh goods'!$M$4/SUM('R&amp;S - Packaging and hh goods'!$L$4:$N$4)*('R&amp;S - Packaging and hh goods'!$F7*'R&amp;S - Packaging and hh goods'!$J$14*('R&amp;S - Packaging and hh goods'!$AE$20+('R&amp;S - Packaging and hh goods'!$AE$21-'R&amp;S - Packaging and hh goods'!$AE$20)*(AH$3-$X$3)/10))-AH27*'R&amp;S - Packaging and hh goods'!$M$4/SUM('R&amp;S - Packaging and hh goods'!$L$4:$N$4)*('R&amp;S - Packaging and hh goods'!$F8*'R&amp;S - Packaging and hh goods'!$J$14*('R&amp;S - Packaging and hh goods'!$AF$20+('R&amp;S - Packaging and hh goods'!$AF$21-'R&amp;S - Packaging and hh goods'!$AF$20)*(AH$3-$X$3)/10))-AH27*'R&amp;S - Packaging and hh goods'!$M$4/SUM('R&amp;S - Packaging and hh goods'!$L$4:$N$4)*('R&amp;S - Packaging and hh goods'!$F9*'R&amp;S - Packaging and hh goods'!$K$14*('R&amp;S - Packaging and hh goods'!$AG$20+('R&amp;S - Packaging and hh goods'!$AG$21-'R&amp;S - Packaging and hh goods'!$AG$20)*(AH$3-$X$3)/10))-AH27*'R&amp;S - Packaging and hh goods'!$M$4/SUM('R&amp;S - Packaging and hh goods'!$L$4:$N$4)*('R&amp;S - Packaging and hh goods'!$F10*'R&amp;S - Packaging and hh goods'!$K$14*('R&amp;S - Packaging and hh goods'!$AH$20+('R&amp;S - Packaging and hh goods'!$AH$21-'R&amp;S - Packaging and hh goods'!$AH$20)*(AH$3-$X$3)/10))</f>
        <v>2.1524009471390091</v>
      </c>
      <c r="AJ36" s="44">
        <f>AJ27*'R&amp;S - Packaging and hh goods'!$M$4/SUM('R&amp;S - Packaging and hh goods'!$L$4:$N$4)</f>
        <v>3.690958960657742</v>
      </c>
      <c r="AK36" s="44">
        <f>AK27*'R&amp;S - Packaging and hh goods'!$M$4/SUM('R&amp;S - Packaging and hh goods'!$L$4:$N$4)-AK27*'R&amp;S - Packaging and hh goods'!$M$4/SUM('R&amp;S - Packaging and hh goods'!$L$4:$N$4)*'R&amp;S - Packaging and hh goods'!$F$7*('R&amp;S - Packaging and hh goods'!$J$15*'R&amp;S - Packaging and hh goods'!$AE$19*(AK$3-$D$3)/10)-AK27*'R&amp;S - Packaging and hh goods'!$M$4/SUM('R&amp;S - Packaging and hh goods'!$L$4:$N$4)*'R&amp;S - Packaging and hh goods'!$F$8*('R&amp;S - Packaging and hh goods'!$J$15*'R&amp;S - Packaging and hh goods'!$AF$19*(AK$3-$D$3)/10)-AK27*'R&amp;S - Packaging and hh goods'!$M$4/SUM('R&amp;S - Packaging and hh goods'!$L$4:$N$4)*'R&amp;S - Packaging and hh goods'!$F$9*('R&amp;S - Packaging and hh goods'!$J$15*'R&amp;S - Packaging and hh goods'!$AG$19*(AK$3-$D$3)/10)-+AK31*'R&amp;S - Packaging and hh goods'!$M$4/SUM('R&amp;S - Packaging and hh goods'!$L$4:$N$4)*'R&amp;S - Packaging and hh goods'!$F$10*('R&amp;S - Packaging and hh goods'!$J$15*'R&amp;S - Packaging and hh goods'!$AH$19*(AK$3-$D$3)/10)</f>
        <v>3.7093590993623908</v>
      </c>
      <c r="AL36" s="44">
        <f>AL27*'R&amp;S - Packaging and hh goods'!$M$4/SUM('R&amp;S - Packaging and hh goods'!$L$4:$N$4)-AL27*'R&amp;S - Packaging and hh goods'!$M$4/SUM('R&amp;S - Packaging and hh goods'!$L$4:$N$4)*'R&amp;S - Packaging and hh goods'!$F$7*('R&amp;S - Packaging and hh goods'!$J$15*'R&amp;S - Packaging and hh goods'!$AE$19*(AL$3-$D$3)/10)-AL27*'R&amp;S - Packaging and hh goods'!$M$4/SUM('R&amp;S - Packaging and hh goods'!$L$4:$N$4)*'R&amp;S - Packaging and hh goods'!$F$8*('R&amp;S - Packaging and hh goods'!$J$15*'R&amp;S - Packaging and hh goods'!$AF$19*(AL$3-$D$3)/10)-AL27*'R&amp;S - Packaging and hh goods'!$M$4/SUM('R&amp;S - Packaging and hh goods'!$L$4:$N$4)*'R&amp;S - Packaging and hh goods'!$F$9*('R&amp;S - Packaging and hh goods'!$J$15*'R&amp;S - Packaging and hh goods'!$AG$19*(AL$3-$D$3)/10)-+AL31*'R&amp;S - Packaging and hh goods'!$M$4/SUM('R&amp;S - Packaging and hh goods'!$L$4:$N$4)*'R&amp;S - Packaging and hh goods'!$F$10*('R&amp;S - Packaging and hh goods'!$J$15*'R&amp;S - Packaging and hh goods'!$AH$19*(AL$3-$D$3)/10)</f>
        <v>3.7276964210121077</v>
      </c>
      <c r="AM36" s="44">
        <f>AM27*'R&amp;S - Packaging and hh goods'!$M$4/SUM('R&amp;S - Packaging and hh goods'!$L$4:$N$4)-AM27*'R&amp;S - Packaging and hh goods'!$M$4/SUM('R&amp;S - Packaging and hh goods'!$L$4:$N$4)*'R&amp;S - Packaging and hh goods'!$F$7*('R&amp;S - Packaging and hh goods'!$J$15*'R&amp;S - Packaging and hh goods'!$AE$19*(AM$3-$D$3)/10)-AM27*'R&amp;S - Packaging and hh goods'!$M$4/SUM('R&amp;S - Packaging and hh goods'!$L$4:$N$4)*'R&amp;S - Packaging and hh goods'!$F$8*('R&amp;S - Packaging and hh goods'!$J$15*'R&amp;S - Packaging and hh goods'!$AF$19*(AM$3-$D$3)/10)-AM27*'R&amp;S - Packaging and hh goods'!$M$4/SUM('R&amp;S - Packaging and hh goods'!$L$4:$N$4)*'R&amp;S - Packaging and hh goods'!$F$9*('R&amp;S - Packaging and hh goods'!$J$15*'R&amp;S - Packaging and hh goods'!$AG$19*(AM$3-$D$3)/10)-+AM31*'R&amp;S - Packaging and hh goods'!$M$4/SUM('R&amp;S - Packaging and hh goods'!$L$4:$N$4)*'R&amp;S - Packaging and hh goods'!$F$10*('R&amp;S - Packaging and hh goods'!$J$15*'R&amp;S - Packaging and hh goods'!$AH$19*(AM$3-$D$3)/10)</f>
        <v>3.7459670860601064</v>
      </c>
      <c r="AN36" s="44">
        <f>AN27*'R&amp;S - Packaging and hh goods'!$M$4/SUM('R&amp;S - Packaging and hh goods'!$L$4:$N$4)-AN27*'R&amp;S - Packaging and hh goods'!$M$4/SUM('R&amp;S - Packaging and hh goods'!$L$4:$N$4)*'R&amp;S - Packaging and hh goods'!$F$7*('R&amp;S - Packaging and hh goods'!$J$15*'R&amp;S - Packaging and hh goods'!$AE$19*(AN$3-$D$3)/10)-AN27*'R&amp;S - Packaging and hh goods'!$M$4/SUM('R&amp;S - Packaging and hh goods'!$L$4:$N$4)*'R&amp;S - Packaging and hh goods'!$F$8*('R&amp;S - Packaging and hh goods'!$J$15*'R&amp;S - Packaging and hh goods'!$AF$19*(AN$3-$D$3)/10)-AN27*'R&amp;S - Packaging and hh goods'!$M$4/SUM('R&amp;S - Packaging and hh goods'!$L$4:$N$4)*'R&amp;S - Packaging and hh goods'!$F$9*('R&amp;S - Packaging and hh goods'!$J$15*'R&amp;S - Packaging and hh goods'!$AG$19*(AN$3-$D$3)/10)-+AN31*'R&amp;S - Packaging and hh goods'!$M$4/SUM('R&amp;S - Packaging and hh goods'!$L$4:$N$4)*'R&amp;S - Packaging and hh goods'!$F$10*('R&amp;S - Packaging and hh goods'!$J$15*'R&amp;S - Packaging and hh goods'!$AH$19*(AN$3-$D$3)/10)</f>
        <v>3.7641671755477328</v>
      </c>
      <c r="AO36" s="44">
        <f>AO27*'R&amp;S - Packaging and hh goods'!$M$4/SUM('R&amp;S - Packaging and hh goods'!$L$4:$N$4)-AO27*'R&amp;S - Packaging and hh goods'!$M$4/SUM('R&amp;S - Packaging and hh goods'!$L$4:$N$4)*'R&amp;S - Packaging and hh goods'!$F$7*('R&amp;S - Packaging and hh goods'!$J$15*'R&amp;S - Packaging and hh goods'!$AE$19*(AO$3-$D$3)/10)-AO27*'R&amp;S - Packaging and hh goods'!$M$4/SUM('R&amp;S - Packaging and hh goods'!$L$4:$N$4)*'R&amp;S - Packaging and hh goods'!$F$8*('R&amp;S - Packaging and hh goods'!$J$15*'R&amp;S - Packaging and hh goods'!$AF$19*(AO$3-$D$3)/10)-AO27*'R&amp;S - Packaging and hh goods'!$M$4/SUM('R&amp;S - Packaging and hh goods'!$L$4:$N$4)*'R&amp;S - Packaging and hh goods'!$F$9*('R&amp;S - Packaging and hh goods'!$J$15*'R&amp;S - Packaging and hh goods'!$AG$19*(AO$3-$D$3)/10)-+AO31*'R&amp;S - Packaging and hh goods'!$M$4/SUM('R&amp;S - Packaging and hh goods'!$L$4:$N$4)*'R&amp;S - Packaging and hh goods'!$F$10*('R&amp;S - Packaging and hh goods'!$J$15*'R&amp;S - Packaging and hh goods'!$AH$19*(AO$3-$D$3)/10)</f>
        <v>3.7822926897940192</v>
      </c>
      <c r="AP36" s="44">
        <f>AP27*'R&amp;S - Packaging and hh goods'!$M$4/SUM('R&amp;S - Packaging and hh goods'!$L$4:$N$4)-AP27*'R&amp;S - Packaging and hh goods'!$M$4/SUM('R&amp;S - Packaging and hh goods'!$L$4:$N$4)*'R&amp;S - Packaging and hh goods'!$F$7*('R&amp;S - Packaging and hh goods'!$J$15*'R&amp;S - Packaging and hh goods'!$AE$19*(AP$3-$D$3)/10)-AP27*'R&amp;S - Packaging and hh goods'!$M$4/SUM('R&amp;S - Packaging and hh goods'!$L$4:$N$4)*'R&amp;S - Packaging and hh goods'!$F$8*('R&amp;S - Packaging and hh goods'!$J$15*'R&amp;S - Packaging and hh goods'!$AF$19*(AP$3-$D$3)/10)-AP27*'R&amp;S - Packaging and hh goods'!$M$4/SUM('R&amp;S - Packaging and hh goods'!$L$4:$N$4)*'R&amp;S - Packaging and hh goods'!$F$9*('R&amp;S - Packaging and hh goods'!$J$15*'R&amp;S - Packaging and hh goods'!$AG$19*(AP$3-$D$3)/10)-+AP31*'R&amp;S - Packaging and hh goods'!$M$4/SUM('R&amp;S - Packaging and hh goods'!$L$4:$N$4)*'R&amp;S - Packaging and hh goods'!$F$10*('R&amp;S - Packaging and hh goods'!$J$15*'R&amp;S - Packaging and hh goods'!$AH$19*(AP$3-$D$3)/10)</f>
        <v>3.8003395470657075</v>
      </c>
      <c r="AQ36" s="44">
        <f>AQ27*'R&amp;S - Packaging and hh goods'!$M$4/SUM('R&amp;S - Packaging and hh goods'!$L$4:$N$4)-AQ27*'R&amp;S - Packaging and hh goods'!$M$4/SUM('R&amp;S - Packaging and hh goods'!$L$4:$N$4)*'R&amp;S - Packaging and hh goods'!$F$7*('R&amp;S - Packaging and hh goods'!$J$15*'R&amp;S - Packaging and hh goods'!$AE$19*(AQ$3-$D$3)/10)-AQ27*'R&amp;S - Packaging and hh goods'!$M$4/SUM('R&amp;S - Packaging and hh goods'!$L$4:$N$4)*'R&amp;S - Packaging and hh goods'!$F$8*('R&amp;S - Packaging and hh goods'!$J$15*'R&amp;S - Packaging and hh goods'!$AF$19*(AQ$3-$D$3)/10)-AQ27*'R&amp;S - Packaging and hh goods'!$M$4/SUM('R&amp;S - Packaging and hh goods'!$L$4:$N$4)*'R&amp;S - Packaging and hh goods'!$F$9*('R&amp;S - Packaging and hh goods'!$J$15*'R&amp;S - Packaging and hh goods'!$AG$19*(AQ$3-$D$3)/10)-+AQ31*'R&amp;S - Packaging and hh goods'!$M$4/SUM('R&amp;S - Packaging and hh goods'!$L$4:$N$4)*'R&amp;S - Packaging and hh goods'!$F$10*('R&amp;S - Packaging and hh goods'!$J$15*'R&amp;S - Packaging and hh goods'!$AH$19*(AQ$3-$D$3)/10)</f>
        <v>3.8183035822274776</v>
      </c>
      <c r="AR36" s="44">
        <f>AR27*'R&amp;S - Packaging and hh goods'!$M$4/SUM('R&amp;S - Packaging and hh goods'!$L$4:$N$4)-AR27*'R&amp;S - Packaging and hh goods'!$M$4/SUM('R&amp;S - Packaging and hh goods'!$L$4:$N$4)*'R&amp;S - Packaging and hh goods'!$F$7*('R&amp;S - Packaging and hh goods'!$J$15*'R&amp;S - Packaging and hh goods'!$AE$19*(AR$3-$D$3)/10)-AR27*'R&amp;S - Packaging and hh goods'!$M$4/SUM('R&amp;S - Packaging and hh goods'!$L$4:$N$4)*'R&amp;S - Packaging and hh goods'!$F$8*('R&amp;S - Packaging and hh goods'!$J$15*'R&amp;S - Packaging and hh goods'!$AF$19*(AR$3-$D$3)/10)-AR27*'R&amp;S - Packaging and hh goods'!$M$4/SUM('R&amp;S - Packaging and hh goods'!$L$4:$N$4)*'R&amp;S - Packaging and hh goods'!$F$9*('R&amp;S - Packaging and hh goods'!$J$15*'R&amp;S - Packaging and hh goods'!$AG$19*(AR$3-$D$3)/10)-+AR31*'R&amp;S - Packaging and hh goods'!$M$4/SUM('R&amp;S - Packaging and hh goods'!$L$4:$N$4)*'R&amp;S - Packaging and hh goods'!$F$10*('R&amp;S - Packaging and hh goods'!$J$15*'R&amp;S - Packaging and hh goods'!$AH$19*(AR$3-$D$3)/10)</f>
        <v>3.8361805453720801</v>
      </c>
      <c r="AS36" s="44">
        <f>AS27*'R&amp;S - Packaging and hh goods'!$M$4/SUM('R&amp;S - Packaging and hh goods'!$L$4:$N$4)-AS27*'R&amp;S - Packaging and hh goods'!$M$4/SUM('R&amp;S - Packaging and hh goods'!$L$4:$N$4)*'R&amp;S - Packaging and hh goods'!$F$7*('R&amp;S - Packaging and hh goods'!$J$15*'R&amp;S - Packaging and hh goods'!$AE$19*(AS$3-$D$3)/10)-AS27*'R&amp;S - Packaging and hh goods'!$M$4/SUM('R&amp;S - Packaging and hh goods'!$L$4:$N$4)*'R&amp;S - Packaging and hh goods'!$F$8*('R&amp;S - Packaging and hh goods'!$J$15*'R&amp;S - Packaging and hh goods'!$AF$19*(AS$3-$D$3)/10)-AS27*'R&amp;S - Packaging and hh goods'!$M$4/SUM('R&amp;S - Packaging and hh goods'!$L$4:$N$4)*'R&amp;S - Packaging and hh goods'!$F$9*('R&amp;S - Packaging and hh goods'!$J$15*'R&amp;S - Packaging and hh goods'!$AG$19*(AS$3-$D$3)/10)-+AS31*'R&amp;S - Packaging and hh goods'!$M$4/SUM('R&amp;S - Packaging and hh goods'!$L$4:$N$4)*'R&amp;S - Packaging and hh goods'!$F$10*('R&amp;S - Packaging and hh goods'!$J$15*'R&amp;S - Packaging and hh goods'!$AH$19*(AS$3-$D$3)/10)</f>
        <v>3.8539661004301236</v>
      </c>
      <c r="AT36" s="44">
        <f>AT27*'R&amp;S - Packaging and hh goods'!$M$4/SUM('R&amp;S - Packaging and hh goods'!$L$4:$N$4)-AT27*'R&amp;S - Packaging and hh goods'!$M$4/SUM('R&amp;S - Packaging and hh goods'!$L$4:$N$4)*'R&amp;S - Packaging and hh goods'!$F$7*('R&amp;S - Packaging and hh goods'!$J$15*'R&amp;S - Packaging and hh goods'!$AE$19*(AT$3-$D$3)/10)-AT27*'R&amp;S - Packaging and hh goods'!$M$4/SUM('R&amp;S - Packaging and hh goods'!$L$4:$N$4)*'R&amp;S - Packaging and hh goods'!$F$8*('R&amp;S - Packaging and hh goods'!$J$15*'R&amp;S - Packaging and hh goods'!$AF$19*(AT$3-$D$3)/10)-AT27*'R&amp;S - Packaging and hh goods'!$M$4/SUM('R&amp;S - Packaging and hh goods'!$L$4:$N$4)*'R&amp;S - Packaging and hh goods'!$F$9*('R&amp;S - Packaging and hh goods'!$J$15*'R&amp;S - Packaging and hh goods'!$AG$19*(AT$3-$D$3)/10)-+AT31*'R&amp;S - Packaging and hh goods'!$M$4/SUM('R&amp;S - Packaging and hh goods'!$L$4:$N$4)*'R&amp;S - Packaging and hh goods'!$F$10*('R&amp;S - Packaging and hh goods'!$J$15*'R&amp;S - Packaging and hh goods'!$AH$19*(AT$3-$D$3)/10)</f>
        <v>3.8716558237591969</v>
      </c>
      <c r="AU36" s="44">
        <f>AU27*'R&amp;S - Packaging and hh goods'!$M$4/SUM('R&amp;S - Packaging and hh goods'!$L$4:$N$4)-AU27*'R&amp;S - Packaging and hh goods'!$M$4/SUM('R&amp;S - Packaging and hh goods'!$L$4:$N$4)*('R&amp;S - Packaging and hh goods'!$F$7*'R&amp;S - Packaging and hh goods'!$J$15*('R&amp;S - Packaging and hh goods'!$AE$19+('R&amp;S - Packaging and hh goods'!$AE$20-'R&amp;S - Packaging and hh goods'!$AE$19)*(AU$3-$N$3)/10))-AU27*'R&amp;S - Packaging and hh goods'!$M$4/SUM('R&amp;S - Packaging and hh goods'!$L$4:$N$4)*('R&amp;S - Packaging and hh goods'!$F$8*'R&amp;S - Packaging and hh goods'!$J$15*('R&amp;S - Packaging and hh goods'!$AF$19+('R&amp;S - Packaging and hh goods'!$AF$20-'R&amp;S - Packaging and hh goods'!$AF$19)*(AU$3-$N$3)/10))-AU27*'R&amp;S - Packaging and hh goods'!$M$4/SUM('R&amp;S - Packaging and hh goods'!$L$4:$N$4)*('R&amp;S - Packaging and hh goods'!$F$9*'R&amp;S - Packaging and hh goods'!$K$15*('R&amp;S - Packaging and hh goods'!$AG$19+('R&amp;S - Packaging and hh goods'!$AG$20-'R&amp;S - Packaging and hh goods'!$AG$19)*(AU$3-$N$3)/10))-AU27*'R&amp;S - Packaging and hh goods'!$M$4/SUM('R&amp;S - Packaging and hh goods'!$L$4:$N$4)*('R&amp;S - Packaging and hh goods'!$F$10*'R&amp;S - Packaging and hh goods'!$K$15*('R&amp;S - Packaging and hh goods'!$AH$19+('R&amp;S - Packaging and hh goods'!$AH$20-'R&amp;S - Packaging and hh goods'!$AH$19)*(AU$3-$N$3)/10))</f>
        <v>3.750060920243091</v>
      </c>
      <c r="AV36" s="44">
        <f>AV27*'R&amp;S - Packaging and hh goods'!$M$4/SUM('R&amp;S - Packaging and hh goods'!$L$4:$N$4)-AV27*'R&amp;S - Packaging and hh goods'!$M$4/SUM('R&amp;S - Packaging and hh goods'!$L$4:$N$4)*('R&amp;S - Packaging and hh goods'!$F$7*'R&amp;S - Packaging and hh goods'!$J$15*('R&amp;S - Packaging and hh goods'!$AE$19+('R&amp;S - Packaging and hh goods'!$AE$20-'R&amp;S - Packaging and hh goods'!$AE$19)*(AV$3-$N$3)/10))-AV27*'R&amp;S - Packaging and hh goods'!$M$4/SUM('R&amp;S - Packaging and hh goods'!$L$4:$N$4)*('R&amp;S - Packaging and hh goods'!$F$8*'R&amp;S - Packaging and hh goods'!$J$15*('R&amp;S - Packaging and hh goods'!$AF$19+('R&amp;S - Packaging and hh goods'!$AF$20-'R&amp;S - Packaging and hh goods'!$AF$19)*(AV$3-$N$3)/10))-AV27*'R&amp;S - Packaging and hh goods'!$M$4/SUM('R&amp;S - Packaging and hh goods'!$L$4:$N$4)*('R&amp;S - Packaging and hh goods'!$F$9*'R&amp;S - Packaging and hh goods'!$K$15*('R&amp;S - Packaging and hh goods'!$AG$19+('R&amp;S - Packaging and hh goods'!$AG$20-'R&amp;S - Packaging and hh goods'!$AG$19)*(AV$3-$N$3)/10))-AV27*'R&amp;S - Packaging and hh goods'!$M$4/SUM('R&amp;S - Packaging and hh goods'!$L$4:$N$4)*('R&amp;S - Packaging and hh goods'!$F$10*'R&amp;S - Packaging and hh goods'!$K$15*('R&amp;S - Packaging and hh goods'!$AH$19+('R&amp;S - Packaging and hh goods'!$AH$20-'R&amp;S - Packaging and hh goods'!$AH$19)*(AV$3-$N$3)/10))</f>
        <v>3.7155091910236764</v>
      </c>
      <c r="AW36" s="44">
        <f>AW27*'R&amp;S - Packaging and hh goods'!$M$4/SUM('R&amp;S - Packaging and hh goods'!$L$4:$N$4)-AW27*'R&amp;S - Packaging and hh goods'!$M$4/SUM('R&amp;S - Packaging and hh goods'!$L$4:$N$4)*('R&amp;S - Packaging and hh goods'!$F$7*'R&amp;S - Packaging and hh goods'!$J$15*('R&amp;S - Packaging and hh goods'!$AE$19+('R&amp;S - Packaging and hh goods'!$AE$20-'R&amp;S - Packaging and hh goods'!$AE$19)*(AW$3-$N$3)/10))-AW27*'R&amp;S - Packaging and hh goods'!$M$4/SUM('R&amp;S - Packaging and hh goods'!$L$4:$N$4)*('R&amp;S - Packaging and hh goods'!$F$8*'R&amp;S - Packaging and hh goods'!$J$15*('R&amp;S - Packaging and hh goods'!$AF$19+('R&amp;S - Packaging and hh goods'!$AF$20-'R&amp;S - Packaging and hh goods'!$AF$19)*(AW$3-$N$3)/10))-AW27*'R&amp;S - Packaging and hh goods'!$M$4/SUM('R&amp;S - Packaging and hh goods'!$L$4:$N$4)*('R&amp;S - Packaging and hh goods'!$F$9*'R&amp;S - Packaging and hh goods'!$K$15*('R&amp;S - Packaging and hh goods'!$AG$19+('R&amp;S - Packaging and hh goods'!$AG$20-'R&amp;S - Packaging and hh goods'!$AG$19)*(AW$3-$N$3)/10))-AW27*'R&amp;S - Packaging and hh goods'!$M$4/SUM('R&amp;S - Packaging and hh goods'!$L$4:$N$4)*('R&amp;S - Packaging and hh goods'!$F$10*'R&amp;S - Packaging and hh goods'!$K$15*('R&amp;S - Packaging and hh goods'!$AH$19+('R&amp;S - Packaging and hh goods'!$AH$20-'R&amp;S - Packaging and hh goods'!$AH$19)*(AW$3-$N$3)/10))</f>
        <v>3.6797435663900866</v>
      </c>
      <c r="AX36" s="44">
        <f>AX27*'R&amp;S - Packaging and hh goods'!$M$4/SUM('R&amp;S - Packaging and hh goods'!$L$4:$N$4)-AX27*'R&amp;S - Packaging and hh goods'!$M$4/SUM('R&amp;S - Packaging and hh goods'!$L$4:$N$4)*('R&amp;S - Packaging and hh goods'!$F$7*'R&amp;S - Packaging and hh goods'!$J$15*('R&amp;S - Packaging and hh goods'!$AE$19+('R&amp;S - Packaging and hh goods'!$AE$20-'R&amp;S - Packaging and hh goods'!$AE$19)*(AX$3-$N$3)/10))-AX27*'R&amp;S - Packaging and hh goods'!$M$4/SUM('R&amp;S - Packaging and hh goods'!$L$4:$N$4)*('R&amp;S - Packaging and hh goods'!$F$8*'R&amp;S - Packaging and hh goods'!$J$15*('R&amp;S - Packaging and hh goods'!$AF$19+('R&amp;S - Packaging and hh goods'!$AF$20-'R&amp;S - Packaging and hh goods'!$AF$19)*(AX$3-$N$3)/10))-AX27*'R&amp;S - Packaging and hh goods'!$M$4/SUM('R&amp;S - Packaging and hh goods'!$L$4:$N$4)*('R&amp;S - Packaging and hh goods'!$F$9*'R&amp;S - Packaging and hh goods'!$K$15*('R&amp;S - Packaging and hh goods'!$AG$19+('R&amp;S - Packaging and hh goods'!$AG$20-'R&amp;S - Packaging and hh goods'!$AG$19)*(AX$3-$N$3)/10))-AX27*'R&amp;S - Packaging and hh goods'!$M$4/SUM('R&amp;S - Packaging and hh goods'!$L$4:$N$4)*('R&amp;S - Packaging and hh goods'!$F$10*'R&amp;S - Packaging and hh goods'!$K$15*('R&amp;S - Packaging and hh goods'!$AH$19+('R&amp;S - Packaging and hh goods'!$AH$20-'R&amp;S - Packaging and hh goods'!$AH$19)*(AX$3-$N$3)/10))</f>
        <v>3.6427415214024443</v>
      </c>
      <c r="AY36" s="44">
        <f>AY27*'R&amp;S - Packaging and hh goods'!$M$4/SUM('R&amp;S - Packaging and hh goods'!$L$4:$N$4)-AY27*'R&amp;S - Packaging and hh goods'!$M$4/SUM('R&amp;S - Packaging and hh goods'!$L$4:$N$4)*('R&amp;S - Packaging and hh goods'!$F$7*'R&amp;S - Packaging and hh goods'!$J$15*('R&amp;S - Packaging and hh goods'!$AE$19+('R&amp;S - Packaging and hh goods'!$AE$20-'R&amp;S - Packaging and hh goods'!$AE$19)*(AY$3-$N$3)/10))-AY27*'R&amp;S - Packaging and hh goods'!$M$4/SUM('R&amp;S - Packaging and hh goods'!$L$4:$N$4)*('R&amp;S - Packaging and hh goods'!$F$8*'R&amp;S - Packaging and hh goods'!$J$15*('R&amp;S - Packaging and hh goods'!$AF$19+('R&amp;S - Packaging and hh goods'!$AF$20-'R&amp;S - Packaging and hh goods'!$AF$19)*(AY$3-$N$3)/10))-AY27*'R&amp;S - Packaging and hh goods'!$M$4/SUM('R&amp;S - Packaging and hh goods'!$L$4:$N$4)*('R&amp;S - Packaging and hh goods'!$F$9*'R&amp;S - Packaging and hh goods'!$K$15*('R&amp;S - Packaging and hh goods'!$AG$19+('R&amp;S - Packaging and hh goods'!$AG$20-'R&amp;S - Packaging and hh goods'!$AG$19)*(AY$3-$N$3)/10))-AY27*'R&amp;S - Packaging and hh goods'!$M$4/SUM('R&amp;S - Packaging and hh goods'!$L$4:$N$4)*('R&amp;S - Packaging and hh goods'!$F$10*'R&amp;S - Packaging and hh goods'!$K$15*('R&amp;S - Packaging and hh goods'!$AH$19+('R&amp;S - Packaging and hh goods'!$AH$20-'R&amp;S - Packaging and hh goods'!$AH$19)*(AY$3-$N$3)/10))</f>
        <v>3.6044801824535404</v>
      </c>
      <c r="AZ36" s="44">
        <f>AZ27*'R&amp;S - Packaging and hh goods'!$M$4/SUM('R&amp;S - Packaging and hh goods'!$L$4:$N$4)-AZ27*'R&amp;S - Packaging and hh goods'!$M$4/SUM('R&amp;S - Packaging and hh goods'!$L$4:$N$4)*('R&amp;S - Packaging and hh goods'!$F$7*'R&amp;S - Packaging and hh goods'!$J$15*('R&amp;S - Packaging and hh goods'!$AE$19+('R&amp;S - Packaging and hh goods'!$AE$20-'R&amp;S - Packaging and hh goods'!$AE$19)*(AZ$3-$N$3)/10))-AZ27*'R&amp;S - Packaging and hh goods'!$M$4/SUM('R&amp;S - Packaging and hh goods'!$L$4:$N$4)*('R&amp;S - Packaging and hh goods'!$F$8*'R&amp;S - Packaging and hh goods'!$J$15*('R&amp;S - Packaging and hh goods'!$AF$19+('R&amp;S - Packaging and hh goods'!$AF$20-'R&amp;S - Packaging and hh goods'!$AF$19)*(AZ$3-$N$3)/10))-AZ27*'R&amp;S - Packaging and hh goods'!$M$4/SUM('R&amp;S - Packaging and hh goods'!$L$4:$N$4)*('R&amp;S - Packaging and hh goods'!$F$9*'R&amp;S - Packaging and hh goods'!$K$15*('R&amp;S - Packaging and hh goods'!$AG$19+('R&amp;S - Packaging and hh goods'!$AG$20-'R&amp;S - Packaging and hh goods'!$AG$19)*(AZ$3-$N$3)/10))-AZ27*'R&amp;S - Packaging and hh goods'!$M$4/SUM('R&amp;S - Packaging and hh goods'!$L$4:$N$4)*('R&amp;S - Packaging and hh goods'!$F$10*'R&amp;S - Packaging and hh goods'!$K$15*('R&amp;S - Packaging and hh goods'!$AH$19+('R&amp;S - Packaging and hh goods'!$AH$20-'R&amp;S - Packaging and hh goods'!$AH$19)*(AZ$3-$N$3)/10))</f>
        <v>3.5649363223236712</v>
      </c>
      <c r="BA36" s="44">
        <f>BA27*'R&amp;S - Packaging and hh goods'!$M$4/SUM('R&amp;S - Packaging and hh goods'!$L$4:$N$4)-BA27*'R&amp;S - Packaging and hh goods'!$M$4/SUM('R&amp;S - Packaging and hh goods'!$L$4:$N$4)*('R&amp;S - Packaging and hh goods'!$F$7*'R&amp;S - Packaging and hh goods'!$J$15*('R&amp;S - Packaging and hh goods'!$AE$19+('R&amp;S - Packaging and hh goods'!$AE$20-'R&amp;S - Packaging and hh goods'!$AE$19)*(BA$3-$N$3)/10))-BA27*'R&amp;S - Packaging and hh goods'!$M$4/SUM('R&amp;S - Packaging and hh goods'!$L$4:$N$4)*('R&amp;S - Packaging and hh goods'!$F$8*'R&amp;S - Packaging and hh goods'!$J$15*('R&amp;S - Packaging and hh goods'!$AF$19+('R&amp;S - Packaging and hh goods'!$AF$20-'R&amp;S - Packaging and hh goods'!$AF$19)*(BA$3-$N$3)/10))-BA27*'R&amp;S - Packaging and hh goods'!$M$4/SUM('R&amp;S - Packaging and hh goods'!$L$4:$N$4)*('R&amp;S - Packaging and hh goods'!$F$9*'R&amp;S - Packaging and hh goods'!$K$15*('R&amp;S - Packaging and hh goods'!$AG$19+('R&amp;S - Packaging and hh goods'!$AG$20-'R&amp;S - Packaging and hh goods'!$AG$19)*(BA$3-$N$3)/10))-BA27*'R&amp;S - Packaging and hh goods'!$M$4/SUM('R&amp;S - Packaging and hh goods'!$L$4:$N$4)*('R&amp;S - Packaging and hh goods'!$F$10*'R&amp;S - Packaging and hh goods'!$K$15*('R&amp;S - Packaging and hh goods'!$AH$19+('R&amp;S - Packaging and hh goods'!$AH$20-'R&amp;S - Packaging and hh goods'!$AH$19)*(BA$3-$N$3)/10))</f>
        <v>3.5240863551688673</v>
      </c>
      <c r="BB36" s="44">
        <f>BB27*'R&amp;S - Packaging and hh goods'!$M$4/SUM('R&amp;S - Packaging and hh goods'!$L$4:$N$4)-BB27*'R&amp;S - Packaging and hh goods'!$M$4/SUM('R&amp;S - Packaging and hh goods'!$L$4:$N$4)*('R&amp;S - Packaging and hh goods'!$F$7*'R&amp;S - Packaging and hh goods'!$J$15*('R&amp;S - Packaging and hh goods'!$AE$19+('R&amp;S - Packaging and hh goods'!$AE$20-'R&amp;S - Packaging and hh goods'!$AE$19)*(BB$3-$N$3)/10))-BB27*'R&amp;S - Packaging and hh goods'!$M$4/SUM('R&amp;S - Packaging and hh goods'!$L$4:$N$4)*('R&amp;S - Packaging and hh goods'!$F$8*'R&amp;S - Packaging and hh goods'!$J$15*('R&amp;S - Packaging and hh goods'!$AF$19+('R&amp;S - Packaging and hh goods'!$AF$20-'R&amp;S - Packaging and hh goods'!$AF$19)*(BB$3-$N$3)/10))-BB27*'R&amp;S - Packaging and hh goods'!$M$4/SUM('R&amp;S - Packaging and hh goods'!$L$4:$N$4)*('R&amp;S - Packaging and hh goods'!$F$9*'R&amp;S - Packaging and hh goods'!$K$15*('R&amp;S - Packaging and hh goods'!$AG$19+('R&amp;S - Packaging and hh goods'!$AG$20-'R&amp;S - Packaging and hh goods'!$AG$19)*(BB$3-$N$3)/10))-BB27*'R&amp;S - Packaging and hh goods'!$M$4/SUM('R&amp;S - Packaging and hh goods'!$L$4:$N$4)*('R&amp;S - Packaging and hh goods'!$F$10*'R&amp;S - Packaging and hh goods'!$K$15*('R&amp;S - Packaging and hh goods'!$AH$19+('R&amp;S - Packaging and hh goods'!$AH$20-'R&amp;S - Packaging and hh goods'!$AH$19)*(BB$3-$N$3)/10))</f>
        <v>3.4819063314416567</v>
      </c>
      <c r="BC36" s="44">
        <f>BC27*'R&amp;S - Packaging and hh goods'!$M$4/SUM('R&amp;S - Packaging and hh goods'!$L$4:$N$4)-BC27*'R&amp;S - Packaging and hh goods'!$M$4/SUM('R&amp;S - Packaging and hh goods'!$L$4:$N$4)*('R&amp;S - Packaging and hh goods'!$F$7*'R&amp;S - Packaging and hh goods'!$J$15*('R&amp;S - Packaging and hh goods'!$AE$19+('R&amp;S - Packaging and hh goods'!$AE$20-'R&amp;S - Packaging and hh goods'!$AE$19)*(BC$3-$N$3)/10))-BC27*'R&amp;S - Packaging and hh goods'!$M$4/SUM('R&amp;S - Packaging and hh goods'!$L$4:$N$4)*('R&amp;S - Packaging and hh goods'!$F$8*'R&amp;S - Packaging and hh goods'!$J$15*('R&amp;S - Packaging and hh goods'!$AF$19+('R&amp;S - Packaging and hh goods'!$AF$20-'R&amp;S - Packaging and hh goods'!$AF$19)*(BC$3-$N$3)/10))-BC27*'R&amp;S - Packaging and hh goods'!$M$4/SUM('R&amp;S - Packaging and hh goods'!$L$4:$N$4)*('R&amp;S - Packaging and hh goods'!$F$9*'R&amp;S - Packaging and hh goods'!$K$15*('R&amp;S - Packaging and hh goods'!$AG$19+('R&amp;S - Packaging and hh goods'!$AG$20-'R&amp;S - Packaging and hh goods'!$AG$19)*(BC$3-$N$3)/10))-BC27*'R&amp;S - Packaging and hh goods'!$M$4/SUM('R&amp;S - Packaging and hh goods'!$L$4:$N$4)*('R&amp;S - Packaging and hh goods'!$F$10*'R&amp;S - Packaging and hh goods'!$K$15*('R&amp;S - Packaging and hh goods'!$AH$19+('R&amp;S - Packaging and hh goods'!$AH$20-'R&amp;S - Packaging and hh goods'!$AH$19)*(BC$3-$N$3)/10))</f>
        <v>3.4383719327434736</v>
      </c>
      <c r="BD36" s="44">
        <f>BD27*'R&amp;S - Packaging and hh goods'!$M$4/SUM('R&amp;S - Packaging and hh goods'!$L$4:$N$4)-BD27*'R&amp;S - Packaging and hh goods'!$M$4/SUM('R&amp;S - Packaging and hh goods'!$L$4:$N$4)*('R&amp;S - Packaging and hh goods'!$F$7*'R&amp;S - Packaging and hh goods'!$J$15*('R&amp;S - Packaging and hh goods'!$AE$19+('R&amp;S - Packaging and hh goods'!$AE$20-'R&amp;S - Packaging and hh goods'!$AE$19)*(BD$3-$N$3)/10))-BD27*'R&amp;S - Packaging and hh goods'!$M$4/SUM('R&amp;S - Packaging and hh goods'!$L$4:$N$4)*('R&amp;S - Packaging and hh goods'!$F$8*'R&amp;S - Packaging and hh goods'!$J$15*('R&amp;S - Packaging and hh goods'!$AF$19+('R&amp;S - Packaging and hh goods'!$AF$20-'R&amp;S - Packaging and hh goods'!$AF$19)*(BD$3-$N$3)/10))-BD27*'R&amp;S - Packaging and hh goods'!$M$4/SUM('R&amp;S - Packaging and hh goods'!$L$4:$N$4)*('R&amp;S - Packaging and hh goods'!$F$9*'R&amp;S - Packaging and hh goods'!$K$15*('R&amp;S - Packaging and hh goods'!$AG$19+('R&amp;S - Packaging and hh goods'!$AG$20-'R&amp;S - Packaging and hh goods'!$AG$19)*(BD$3-$N$3)/10))-BD27*'R&amp;S - Packaging and hh goods'!$M$4/SUM('R&amp;S - Packaging and hh goods'!$L$4:$N$4)*('R&amp;S - Packaging and hh goods'!$F$10*'R&amp;S - Packaging and hh goods'!$K$15*('R&amp;S - Packaging and hh goods'!$AH$19+('R&amp;S - Packaging and hh goods'!$AH$20-'R&amp;S - Packaging and hh goods'!$AH$19)*(BD$3-$N$3)/10))</f>
        <v>3.3934584666078242</v>
      </c>
      <c r="BE36" s="44">
        <f>BE27*'R&amp;S - Packaging and hh goods'!$M$4/SUM('R&amp;S - Packaging and hh goods'!$L$4:$N$4)-BE27*'R&amp;S - Packaging and hh goods'!$M$4/SUM('R&amp;S - Packaging and hh goods'!$L$4:$N$4)*('R&amp;S - Packaging and hh goods'!$F7*'R&amp;S - Packaging and hh goods'!$J$15*('R&amp;S - Packaging and hh goods'!$AE$20+('R&amp;S - Packaging and hh goods'!$AE$21-'R&amp;S - Packaging and hh goods'!$AE$20)*(BE$3-$X$3)/10))-BE27*'R&amp;S - Packaging and hh goods'!$M$4/SUM('R&amp;S - Packaging and hh goods'!$L$4:$N$4)*('R&amp;S - Packaging and hh goods'!$F8*'R&amp;S - Packaging and hh goods'!$J$15*('R&amp;S - Packaging and hh goods'!$AF$20+('R&amp;S - Packaging and hh goods'!$AF$21-'R&amp;S - Packaging and hh goods'!$AF$20)*(BE$3-$X$3)/10))-BE27*'R&amp;S - Packaging and hh goods'!$M$4/SUM('R&amp;S - Packaging and hh goods'!$L$4:$N$4)*('R&amp;S - Packaging and hh goods'!$F9*'R&amp;S - Packaging and hh goods'!$K$15*('R&amp;S - Packaging and hh goods'!$AG$20+('R&amp;S - Packaging and hh goods'!$AG$21-'R&amp;S - Packaging and hh goods'!$AG$20)*(BE$3-$X$3)/10))-BE27*'R&amp;S - Packaging and hh goods'!$M$4/SUM('R&amp;S - Packaging and hh goods'!$L$4:$N$4)*('R&amp;S - Packaging and hh goods'!$F10*'R&amp;S - Packaging and hh goods'!$K$15*('R&amp;S - Packaging and hh goods'!$AH$20+('R&amp;S - Packaging and hh goods'!$AH$21-'R&amp;S - Packaging and hh goods'!$AH$20)*(BE$3-$X$3)/10))</f>
        <v>3.3472597998790627</v>
      </c>
      <c r="BF36" s="44">
        <f>BF27*'R&amp;S - Packaging and hh goods'!$M$4/SUM('R&amp;S - Packaging and hh goods'!$L$4:$N$4)-BF27*'R&amp;S - Packaging and hh goods'!$M$4/SUM('R&amp;S - Packaging and hh goods'!$L$4:$N$4)*('R&amp;S - Packaging and hh goods'!$F7*'R&amp;S - Packaging and hh goods'!$J$15*('R&amp;S - Packaging and hh goods'!$AE$20+('R&amp;S - Packaging and hh goods'!$AE$21-'R&amp;S - Packaging and hh goods'!$AE$20)*(BF$3-$X$3)/10))-BF27*'R&amp;S - Packaging and hh goods'!$M$4/SUM('R&amp;S - Packaging and hh goods'!$L$4:$N$4)*('R&amp;S - Packaging and hh goods'!$F8*'R&amp;S - Packaging and hh goods'!$J$15*('R&amp;S - Packaging and hh goods'!$AF$20+('R&amp;S - Packaging and hh goods'!$AF$21-'R&amp;S - Packaging and hh goods'!$AF$20)*(BF$3-$X$3)/10))-BF27*'R&amp;S - Packaging and hh goods'!$M$4/SUM('R&amp;S - Packaging and hh goods'!$L$4:$N$4)*('R&amp;S - Packaging and hh goods'!$F9*'R&amp;S - Packaging and hh goods'!$K$15*('R&amp;S - Packaging and hh goods'!$AG$20+('R&amp;S - Packaging and hh goods'!$AG$21-'R&amp;S - Packaging and hh goods'!$AG$20)*(BF$3-$X$3)/10))-BF27*'R&amp;S - Packaging and hh goods'!$M$4/SUM('R&amp;S - Packaging and hh goods'!$L$4:$N$4)*('R&amp;S - Packaging and hh goods'!$F10*'R&amp;S - Packaging and hh goods'!$K$15*('R&amp;S - Packaging and hh goods'!$AH$20+('R&amp;S - Packaging and hh goods'!$AH$21-'R&amp;S - Packaging and hh goods'!$AH$20)*(BF$3-$X$3)/10))</f>
        <v>3.2996341540078102</v>
      </c>
      <c r="BG36" s="44">
        <f>BG27*'R&amp;S - Packaging and hh goods'!$M$4/SUM('R&amp;S - Packaging and hh goods'!$L$4:$N$4)-BG27*'R&amp;S - Packaging and hh goods'!$M$4/SUM('R&amp;S - Packaging and hh goods'!$L$4:$N$4)*('R&amp;S - Packaging and hh goods'!$F7*'R&amp;S - Packaging and hh goods'!$J$15*('R&amp;S - Packaging and hh goods'!$AE$20+('R&amp;S - Packaging and hh goods'!$AE$21-'R&amp;S - Packaging and hh goods'!$AE$20)*(BG$3-$X$3)/10))-BG27*'R&amp;S - Packaging and hh goods'!$M$4/SUM('R&amp;S - Packaging and hh goods'!$L$4:$N$4)*('R&amp;S - Packaging and hh goods'!$F8*'R&amp;S - Packaging and hh goods'!$J$15*('R&amp;S - Packaging and hh goods'!$AF$20+('R&amp;S - Packaging and hh goods'!$AF$21-'R&amp;S - Packaging and hh goods'!$AF$20)*(BG$3-$X$3)/10))-BG27*'R&amp;S - Packaging and hh goods'!$M$4/SUM('R&amp;S - Packaging and hh goods'!$L$4:$N$4)*('R&amp;S - Packaging and hh goods'!$F9*'R&amp;S - Packaging and hh goods'!$K$15*('R&amp;S - Packaging and hh goods'!$AG$20+('R&amp;S - Packaging and hh goods'!$AG$21-'R&amp;S - Packaging and hh goods'!$AG$20)*(BG$3-$X$3)/10))-BG27*'R&amp;S - Packaging and hh goods'!$M$4/SUM('R&amp;S - Packaging and hh goods'!$L$4:$N$4)*('R&amp;S - Packaging and hh goods'!$F10*'R&amp;S - Packaging and hh goods'!$K$15*('R&amp;S - Packaging and hh goods'!$AH$20+('R&amp;S - Packaging and hh goods'!$AH$21-'R&amp;S - Packaging and hh goods'!$AH$20)*(BG$3-$X$3)/10))</f>
        <v>3.2505557254916053</v>
      </c>
      <c r="BH36" s="44">
        <f>BH27*'R&amp;S - Packaging and hh goods'!$M$4/SUM('R&amp;S - Packaging and hh goods'!$L$4:$N$4)-BH27*'R&amp;S - Packaging and hh goods'!$M$4/SUM('R&amp;S - Packaging and hh goods'!$L$4:$N$4)*('R&amp;S - Packaging and hh goods'!$F7*'R&amp;S - Packaging and hh goods'!$J$15*('R&amp;S - Packaging and hh goods'!$AE$20+('R&amp;S - Packaging and hh goods'!$AE$21-'R&amp;S - Packaging and hh goods'!$AE$20)*(BH$3-$X$3)/10))-BH27*'R&amp;S - Packaging and hh goods'!$M$4/SUM('R&amp;S - Packaging and hh goods'!$L$4:$N$4)*('R&amp;S - Packaging and hh goods'!$F8*'R&amp;S - Packaging and hh goods'!$J$15*('R&amp;S - Packaging and hh goods'!$AF$20+('R&amp;S - Packaging and hh goods'!$AF$21-'R&amp;S - Packaging and hh goods'!$AF$20)*(BH$3-$X$3)/10))-BH27*'R&amp;S - Packaging and hh goods'!$M$4/SUM('R&amp;S - Packaging and hh goods'!$L$4:$N$4)*('R&amp;S - Packaging and hh goods'!$F9*'R&amp;S - Packaging and hh goods'!$K$15*('R&amp;S - Packaging and hh goods'!$AG$20+('R&amp;S - Packaging and hh goods'!$AG$21-'R&amp;S - Packaging and hh goods'!$AG$20)*(BH$3-$X$3)/10))-BH27*'R&amp;S - Packaging and hh goods'!$M$4/SUM('R&amp;S - Packaging and hh goods'!$L$4:$N$4)*('R&amp;S - Packaging and hh goods'!$F10*'R&amp;S - Packaging and hh goods'!$K$15*('R&amp;S - Packaging and hh goods'!$AH$20+('R&amp;S - Packaging and hh goods'!$AH$21-'R&amp;S - Packaging and hh goods'!$AH$20)*(BH$3-$X$3)/10))</f>
        <v>3.1999983158154066</v>
      </c>
      <c r="BI36" s="44">
        <f>BI27*'R&amp;S - Packaging and hh goods'!$M$4/SUM('R&amp;S - Packaging and hh goods'!$L$4:$N$4)-BI27*'R&amp;S - Packaging and hh goods'!$M$4/SUM('R&amp;S - Packaging and hh goods'!$L$4:$N$4)*('R&amp;S - Packaging and hh goods'!$F7*'R&amp;S - Packaging and hh goods'!$J$15*('R&amp;S - Packaging and hh goods'!$AE$20+('R&amp;S - Packaging and hh goods'!$AE$21-'R&amp;S - Packaging and hh goods'!$AE$20)*(BI$3-$X$3)/10))-BI27*'R&amp;S - Packaging and hh goods'!$M$4/SUM('R&amp;S - Packaging and hh goods'!$L$4:$N$4)*('R&amp;S - Packaging and hh goods'!$F8*'R&amp;S - Packaging and hh goods'!$J$15*('R&amp;S - Packaging and hh goods'!$AF$20+('R&amp;S - Packaging and hh goods'!$AF$21-'R&amp;S - Packaging and hh goods'!$AF$20)*(BI$3-$X$3)/10))-BI27*'R&amp;S - Packaging and hh goods'!$M$4/SUM('R&amp;S - Packaging and hh goods'!$L$4:$N$4)*('R&amp;S - Packaging and hh goods'!$F9*'R&amp;S - Packaging and hh goods'!$K$15*('R&amp;S - Packaging and hh goods'!$AG$20+('R&amp;S - Packaging and hh goods'!$AG$21-'R&amp;S - Packaging and hh goods'!$AG$20)*(BI$3-$X$3)/10))-BI27*'R&amp;S - Packaging and hh goods'!$M$4/SUM('R&amp;S - Packaging and hh goods'!$L$4:$N$4)*('R&amp;S - Packaging and hh goods'!$F10*'R&amp;S - Packaging and hh goods'!$K$15*('R&amp;S - Packaging and hh goods'!$AH$20+('R&amp;S - Packaging and hh goods'!$AH$21-'R&amp;S - Packaging and hh goods'!$AH$20)*(BI$3-$X$3)/10))</f>
        <v>3.1479353258835481</v>
      </c>
      <c r="BJ36" s="44">
        <f>BJ27*'R&amp;S - Packaging and hh goods'!$M$4/SUM('R&amp;S - Packaging and hh goods'!$L$4:$N$4)-BJ27*'R&amp;S - Packaging and hh goods'!$M$4/SUM('R&amp;S - Packaging and hh goods'!$L$4:$N$4)*('R&amp;S - Packaging and hh goods'!$F7*'R&amp;S - Packaging and hh goods'!$J$15*('R&amp;S - Packaging and hh goods'!$AE$20+('R&amp;S - Packaging and hh goods'!$AE$21-'R&amp;S - Packaging and hh goods'!$AE$20)*(BJ$3-$X$3)/10))-BJ27*'R&amp;S - Packaging and hh goods'!$M$4/SUM('R&amp;S - Packaging and hh goods'!$L$4:$N$4)*('R&amp;S - Packaging and hh goods'!$F8*'R&amp;S - Packaging and hh goods'!$J$15*('R&amp;S - Packaging and hh goods'!$AF$20+('R&amp;S - Packaging and hh goods'!$AF$21-'R&amp;S - Packaging and hh goods'!$AF$20)*(BJ$3-$X$3)/10))-BJ27*'R&amp;S - Packaging and hh goods'!$M$4/SUM('R&amp;S - Packaging and hh goods'!$L$4:$N$4)*('R&amp;S - Packaging and hh goods'!$F9*'R&amp;S - Packaging and hh goods'!$K$15*('R&amp;S - Packaging and hh goods'!$AG$20+('R&amp;S - Packaging and hh goods'!$AG$21-'R&amp;S - Packaging and hh goods'!$AG$20)*(BJ$3-$X$3)/10))-BJ27*'R&amp;S - Packaging and hh goods'!$M$4/SUM('R&amp;S - Packaging and hh goods'!$L$4:$N$4)*('R&amp;S - Packaging and hh goods'!$F10*'R&amp;S - Packaging and hh goods'!$K$15*('R&amp;S - Packaging and hh goods'!$AH$20+('R&amp;S - Packaging and hh goods'!$AH$21-'R&amp;S - Packaging and hh goods'!$AH$20)*(BJ$3-$X$3)/10))</f>
        <v>3.0943397503769754</v>
      </c>
      <c r="BK36" s="44">
        <f>BK27*'R&amp;S - Packaging and hh goods'!$M$4/SUM('R&amp;S - Packaging and hh goods'!$L$4:$N$4)-BK27*'R&amp;S - Packaging and hh goods'!$M$4/SUM('R&amp;S - Packaging and hh goods'!$L$4:$N$4)*('R&amp;S - Packaging and hh goods'!$F7*'R&amp;S - Packaging and hh goods'!$J$15*('R&amp;S - Packaging and hh goods'!$AE$20+('R&amp;S - Packaging and hh goods'!$AE$21-'R&amp;S - Packaging and hh goods'!$AE$20)*(BK$3-$X$3)/10))-BK27*'R&amp;S - Packaging and hh goods'!$M$4/SUM('R&amp;S - Packaging and hh goods'!$L$4:$N$4)*('R&amp;S - Packaging and hh goods'!$F8*'R&amp;S - Packaging and hh goods'!$J$15*('R&amp;S - Packaging and hh goods'!$AF$20+('R&amp;S - Packaging and hh goods'!$AF$21-'R&amp;S - Packaging and hh goods'!$AF$20)*(BK$3-$X$3)/10))-BK27*'R&amp;S - Packaging and hh goods'!$M$4/SUM('R&amp;S - Packaging and hh goods'!$L$4:$N$4)*('R&amp;S - Packaging and hh goods'!$F9*'R&amp;S - Packaging and hh goods'!$K$15*('R&amp;S - Packaging and hh goods'!$AG$20+('R&amp;S - Packaging and hh goods'!$AG$21-'R&amp;S - Packaging and hh goods'!$AG$20)*(BK$3-$X$3)/10))-BK27*'R&amp;S - Packaging and hh goods'!$M$4/SUM('R&amp;S - Packaging and hh goods'!$L$4:$N$4)*('R&amp;S - Packaging and hh goods'!$F10*'R&amp;S - Packaging and hh goods'!$K$15*('R&amp;S - Packaging and hh goods'!$AH$20+('R&amp;S - Packaging and hh goods'!$AH$21-'R&amp;S - Packaging and hh goods'!$AH$20)*(BK$3-$X$3)/10))</f>
        <v>3.0391841720348265</v>
      </c>
      <c r="BL36" s="44">
        <f>BL27*'R&amp;S - Packaging and hh goods'!$M$4/SUM('R&amp;S - Packaging and hh goods'!$L$4:$N$4)-BL27*'R&amp;S - Packaging and hh goods'!$M$4/SUM('R&amp;S - Packaging and hh goods'!$L$4:$N$4)*('R&amp;S - Packaging and hh goods'!$F7*'R&amp;S - Packaging and hh goods'!$J$15*('R&amp;S - Packaging and hh goods'!$AE$20+('R&amp;S - Packaging and hh goods'!$AE$21-'R&amp;S - Packaging and hh goods'!$AE$20)*(BL$3-$X$3)/10))-BL27*'R&amp;S - Packaging and hh goods'!$M$4/SUM('R&amp;S - Packaging and hh goods'!$L$4:$N$4)*('R&amp;S - Packaging and hh goods'!$F8*'R&amp;S - Packaging and hh goods'!$J$15*('R&amp;S - Packaging and hh goods'!$AF$20+('R&amp;S - Packaging and hh goods'!$AF$21-'R&amp;S - Packaging and hh goods'!$AF$20)*(BL$3-$X$3)/10))-BL27*'R&amp;S - Packaging and hh goods'!$M$4/SUM('R&amp;S - Packaging and hh goods'!$L$4:$N$4)*('R&amp;S - Packaging and hh goods'!$F9*'R&amp;S - Packaging and hh goods'!$K$15*('R&amp;S - Packaging and hh goods'!$AG$20+('R&amp;S - Packaging and hh goods'!$AG$21-'R&amp;S - Packaging and hh goods'!$AG$20)*(BL$3-$X$3)/10))-BL27*'R&amp;S - Packaging and hh goods'!$M$4/SUM('R&amp;S - Packaging and hh goods'!$L$4:$N$4)*('R&amp;S - Packaging and hh goods'!$F10*'R&amp;S - Packaging and hh goods'!$K$15*('R&amp;S - Packaging and hh goods'!$AH$20+('R&amp;S - Packaging and hh goods'!$AH$21-'R&amp;S - Packaging and hh goods'!$AH$20)*(BL$3-$X$3)/10))</f>
        <v>2.9824407558593542</v>
      </c>
      <c r="BM36" s="44">
        <f>BM27*'R&amp;S - Packaging and hh goods'!$M$4/SUM('R&amp;S - Packaging and hh goods'!$L$4:$N$4)-BM27*'R&amp;S - Packaging and hh goods'!$M$4/SUM('R&amp;S - Packaging and hh goods'!$L$4:$N$4)*('R&amp;S - Packaging and hh goods'!$F7*'R&amp;S - Packaging and hh goods'!$J$15*('R&amp;S - Packaging and hh goods'!$AE$20+('R&amp;S - Packaging and hh goods'!$AE$21-'R&amp;S - Packaging and hh goods'!$AE$20)*(BM$3-$X$3)/10))-BM27*'R&amp;S - Packaging and hh goods'!$M$4/SUM('R&amp;S - Packaging and hh goods'!$L$4:$N$4)*('R&amp;S - Packaging and hh goods'!$F8*'R&amp;S - Packaging and hh goods'!$J$15*('R&amp;S - Packaging and hh goods'!$AF$20+('R&amp;S - Packaging and hh goods'!$AF$21-'R&amp;S - Packaging and hh goods'!$AF$20)*(BM$3-$X$3)/10))-BM27*'R&amp;S - Packaging and hh goods'!$M$4/SUM('R&amp;S - Packaging and hh goods'!$L$4:$N$4)*('R&amp;S - Packaging and hh goods'!$F9*'R&amp;S - Packaging and hh goods'!$K$15*('R&amp;S - Packaging and hh goods'!$AG$20+('R&amp;S - Packaging and hh goods'!$AG$21-'R&amp;S - Packaging and hh goods'!$AG$20)*(BM$3-$X$3)/10))-BM27*'R&amp;S - Packaging and hh goods'!$M$4/SUM('R&amp;S - Packaging and hh goods'!$L$4:$N$4)*('R&amp;S - Packaging and hh goods'!$F10*'R&amp;S - Packaging and hh goods'!$K$15*('R&amp;S - Packaging and hh goods'!$AH$20+('R&amp;S - Packaging and hh goods'!$AH$21-'R&amp;S - Packaging and hh goods'!$AH$20)*(BM$3-$X$3)/10))</f>
        <v>2.9240812432432057</v>
      </c>
      <c r="BN36" s="44">
        <f>BN27*'R&amp;S - Packaging and hh goods'!$M$4/SUM('R&amp;S - Packaging and hh goods'!$L$4:$N$4)-BN27*'R&amp;S - Packaging and hh goods'!$M$4/SUM('R&amp;S - Packaging and hh goods'!$L$4:$N$4)*('R&amp;S - Packaging and hh goods'!$F7*'R&amp;S - Packaging and hh goods'!$J$15*('R&amp;S - Packaging and hh goods'!$AE$20+('R&amp;S - Packaging and hh goods'!$AE$21-'R&amp;S - Packaging and hh goods'!$AE$20)*(BN$3-$X$3)/10))-BN27*'R&amp;S - Packaging and hh goods'!$M$4/SUM('R&amp;S - Packaging and hh goods'!$L$4:$N$4)*('R&amp;S - Packaging and hh goods'!$F8*'R&amp;S - Packaging and hh goods'!$J$15*('R&amp;S - Packaging and hh goods'!$AF$20+('R&amp;S - Packaging and hh goods'!$AF$21-'R&amp;S - Packaging and hh goods'!$AF$20)*(BN$3-$X$3)/10))-BN27*'R&amp;S - Packaging and hh goods'!$M$4/SUM('R&amp;S - Packaging and hh goods'!$L$4:$N$4)*('R&amp;S - Packaging and hh goods'!$F9*'R&amp;S - Packaging and hh goods'!$K$15*('R&amp;S - Packaging and hh goods'!$AG$20+('R&amp;S - Packaging and hh goods'!$AG$21-'R&amp;S - Packaging and hh goods'!$AG$20)*(BN$3-$X$3)/10))-BN27*'R&amp;S - Packaging and hh goods'!$M$4/SUM('R&amp;S - Packaging and hh goods'!$L$4:$N$4)*('R&amp;S - Packaging and hh goods'!$F10*'R&amp;S - Packaging and hh goods'!$K$15*('R&amp;S - Packaging and hh goods'!$AH$20+('R&amp;S - Packaging and hh goods'!$AH$21-'R&amp;S - Packaging and hh goods'!$AH$20)*(BN$3-$X$3)/10))</f>
        <v>2.8640769460180433</v>
      </c>
    </row>
    <row r="37" spans="1:75" s="68" customFormat="1" outlineLevel="1" x14ac:dyDescent="0.2">
      <c r="A37" s="683"/>
      <c r="B37" s="62" t="s">
        <v>166</v>
      </c>
      <c r="C37" s="283" t="s">
        <v>153</v>
      </c>
      <c r="D37" s="284">
        <f>D27*'R&amp;S - Packaging and hh goods'!$N$4/SUM('R&amp;S - Packaging and hh goods'!$L$4:$N$4)</f>
        <v>33.557300929497657</v>
      </c>
      <c r="E37" s="284">
        <f>E27*'R&amp;S - Packaging and hh goods'!$N$4/SUM('R&amp;S - Packaging and hh goods'!$L$4:$N$4)-E27*'R&amp;S - Packaging and hh goods'!$N$4/SUM('R&amp;S - Packaging and hh goods'!$L$4:$N$4)*'R&amp;S - Packaging and hh goods'!$G$7*('R&amp;S - Packaging and hh goods'!$L$14*'R&amp;S - Packaging and hh goods'!$AJ$19*(E$3-$D$3)/10)-E27*'R&amp;S - Packaging and hh goods'!$N$4/SUM('R&amp;S - Packaging and hh goods'!$L$4:$N$4)*'R&amp;S - Packaging and hh goods'!$G$8*('R&amp;S - Packaging and hh goods'!$L$14*'R&amp;S - Packaging and hh goods'!$AK$19*(E$3-$D$3)/10)-E27*'R&amp;S - Packaging and hh goods'!$N$4/SUM('R&amp;S - Packaging and hh goods'!$L$4:$N$4)*'R&amp;S - Packaging and hh goods'!$G$9*('R&amp;S - Packaging and hh goods'!$L$14*'R&amp;S - Packaging and hh goods'!$AL$19*(E$3-$D$3)/10)-E31*'R&amp;S - Packaging and hh goods'!$N$4/SUM('R&amp;S - Packaging and hh goods'!$L$4:$N$4)*'R&amp;S - Packaging and hh goods'!$G$10*('R&amp;S - Packaging and hh goods'!$L$14*'R&amp;S - Packaging and hh goods'!$AM$19*(E$3-$D$3)/10)</f>
        <v>33.599166944387882</v>
      </c>
      <c r="F37" s="284">
        <f>F27*'R&amp;S - Packaging and hh goods'!$N$4/SUM('R&amp;S - Packaging and hh goods'!$L$4:$N$4)-F27*'R&amp;S - Packaging and hh goods'!$N$4/SUM('R&amp;S - Packaging and hh goods'!$L$4:$N$4)*'R&amp;S - Packaging and hh goods'!$G$7*('R&amp;S - Packaging and hh goods'!$L$14*'R&amp;S - Packaging and hh goods'!$AJ$19*(F$3-$D$3)/10)-F27*'R&amp;S - Packaging and hh goods'!$N$4/SUM('R&amp;S - Packaging and hh goods'!$L$4:$N$4)*'R&amp;S - Packaging and hh goods'!$G$8*('R&amp;S - Packaging and hh goods'!$L$14*'R&amp;S - Packaging and hh goods'!$AK$19*(F$3-$D$3)/10)-F27*'R&amp;S - Packaging and hh goods'!$N$4/SUM('R&amp;S - Packaging and hh goods'!$L$4:$N$4)*'R&amp;S - Packaging and hh goods'!$G$9*('R&amp;S - Packaging and hh goods'!$L$14*'R&amp;S - Packaging and hh goods'!$AL$19*(F$3-$D$3)/10)-F31*'R&amp;S - Packaging and hh goods'!$N$4/SUM('R&amp;S - Packaging and hh goods'!$L$4:$N$4)*'R&amp;S - Packaging and hh goods'!$G$10*('R&amp;S - Packaging and hh goods'!$L$14*'R&amp;S - Packaging and hh goods'!$AM$19*(F$3-$D$3)/10)</f>
        <v>33.637530484110513</v>
      </c>
      <c r="G37" s="284">
        <f>G27*'R&amp;S - Packaging and hh goods'!$N$4/SUM('R&amp;S - Packaging and hh goods'!$L$4:$N$4)-G27*'R&amp;S - Packaging and hh goods'!$N$4/SUM('R&amp;S - Packaging and hh goods'!$L$4:$N$4)*'R&amp;S - Packaging and hh goods'!$G$7*('R&amp;S - Packaging and hh goods'!$L$14*'R&amp;S - Packaging and hh goods'!$AJ$19*(G$3-$D$3)/10)-G27*'R&amp;S - Packaging and hh goods'!$N$4/SUM('R&amp;S - Packaging and hh goods'!$L$4:$N$4)*'R&amp;S - Packaging and hh goods'!$G$8*('R&amp;S - Packaging and hh goods'!$L$14*'R&amp;S - Packaging and hh goods'!$AK$19*(G$3-$D$3)/10)-G27*'R&amp;S - Packaging and hh goods'!$N$4/SUM('R&amp;S - Packaging and hh goods'!$L$4:$N$4)*'R&amp;S - Packaging and hh goods'!$G$9*('R&amp;S - Packaging and hh goods'!$L$14*'R&amp;S - Packaging and hh goods'!$AL$19*(G$3-$D$3)/10)-G31*'R&amp;S - Packaging and hh goods'!$N$4/SUM('R&amp;S - Packaging and hh goods'!$L$4:$N$4)*'R&amp;S - Packaging and hh goods'!$G$10*('R&amp;S - Packaging and hh goods'!$L$14*'R&amp;S - Packaging and hh goods'!$AM$19*(G$3-$D$3)/10)</f>
        <v>33.672305434389159</v>
      </c>
      <c r="H37" s="284">
        <f>H27*'R&amp;S - Packaging and hh goods'!$N$4/SUM('R&amp;S - Packaging and hh goods'!$L$4:$N$4)-H27*'R&amp;S - Packaging and hh goods'!$N$4/SUM('R&amp;S - Packaging and hh goods'!$L$4:$N$4)*'R&amp;S - Packaging and hh goods'!$G$7*('R&amp;S - Packaging and hh goods'!$L$14*'R&amp;S - Packaging and hh goods'!$AJ$19*(H$3-$D$3)/10)-H27*'R&amp;S - Packaging and hh goods'!$N$4/SUM('R&amp;S - Packaging and hh goods'!$L$4:$N$4)*'R&amp;S - Packaging and hh goods'!$G$8*('R&amp;S - Packaging and hh goods'!$L$14*'R&amp;S - Packaging and hh goods'!$AK$19*(H$3-$D$3)/10)-H27*'R&amp;S - Packaging and hh goods'!$N$4/SUM('R&amp;S - Packaging and hh goods'!$L$4:$N$4)*'R&amp;S - Packaging and hh goods'!$G$9*('R&amp;S - Packaging and hh goods'!$L$14*'R&amp;S - Packaging and hh goods'!$AL$19*(H$3-$D$3)/10)-H31*'R&amp;S - Packaging and hh goods'!$N$4/SUM('R&amp;S - Packaging and hh goods'!$L$4:$N$4)*'R&amp;S - Packaging and hh goods'!$G$10*('R&amp;S - Packaging and hh goods'!$L$14*'R&amp;S - Packaging and hh goods'!$AM$19*(H$3-$D$3)/10)</f>
        <v>33.703404166298441</v>
      </c>
      <c r="I37" s="284">
        <f>I27*'R&amp;S - Packaging and hh goods'!$N$4/SUM('R&amp;S - Packaging and hh goods'!$L$4:$N$4)-I27*'R&amp;S - Packaging and hh goods'!$N$4/SUM('R&amp;S - Packaging and hh goods'!$L$4:$N$4)*'R&amp;S - Packaging and hh goods'!$G$7*('R&amp;S - Packaging and hh goods'!$L$14*'R&amp;S - Packaging and hh goods'!$AJ$19*(I$3-$D$3)/10)-I27*'R&amp;S - Packaging and hh goods'!$N$4/SUM('R&amp;S - Packaging and hh goods'!$L$4:$N$4)*'R&amp;S - Packaging and hh goods'!$G$8*('R&amp;S - Packaging and hh goods'!$L$14*'R&amp;S - Packaging and hh goods'!$AK$19*(I$3-$D$3)/10)-I27*'R&amp;S - Packaging and hh goods'!$N$4/SUM('R&amp;S - Packaging and hh goods'!$L$4:$N$4)*'R&amp;S - Packaging and hh goods'!$G$9*('R&amp;S - Packaging and hh goods'!$L$14*'R&amp;S - Packaging and hh goods'!$AL$19*(I$3-$D$3)/10)-I31*'R&amp;S - Packaging and hh goods'!$N$4/SUM('R&amp;S - Packaging and hh goods'!$L$4:$N$4)*'R&amp;S - Packaging and hh goods'!$G$10*('R&amp;S - Packaging and hh goods'!$L$14*'R&amp;S - Packaging and hh goods'!$AM$19*(I$3-$D$3)/10)</f>
        <v>33.730737512878285</v>
      </c>
      <c r="J37" s="284">
        <f>J27*'R&amp;S - Packaging and hh goods'!$N$4/SUM('R&amp;S - Packaging and hh goods'!$L$4:$N$4)-J27*'R&amp;S - Packaging and hh goods'!$N$4/SUM('R&amp;S - Packaging and hh goods'!$L$4:$N$4)*'R&amp;S - Packaging and hh goods'!$G$7*('R&amp;S - Packaging and hh goods'!$L$14*'R&amp;S - Packaging and hh goods'!$AJ$19*(J$3-$D$3)/10)-J27*'R&amp;S - Packaging and hh goods'!$N$4/SUM('R&amp;S - Packaging and hh goods'!$L$4:$N$4)*'R&amp;S - Packaging and hh goods'!$G$8*('R&amp;S - Packaging and hh goods'!$L$14*'R&amp;S - Packaging and hh goods'!$AK$19*(J$3-$D$3)/10)-J27*'R&amp;S - Packaging and hh goods'!$N$4/SUM('R&amp;S - Packaging and hh goods'!$L$4:$N$4)*'R&amp;S - Packaging and hh goods'!$G$9*('R&amp;S - Packaging and hh goods'!$L$14*'R&amp;S - Packaging and hh goods'!$AL$19*(J$3-$D$3)/10)-J31*'R&amp;S - Packaging and hh goods'!$N$4/SUM('R&amp;S - Packaging and hh goods'!$L$4:$N$4)*'R&amp;S - Packaging and hh goods'!$G$10*('R&amp;S - Packaging and hh goods'!$L$14*'R&amp;S - Packaging and hh goods'!$AM$19*(J$3-$D$3)/10)</f>
        <v>33.75421474541168</v>
      </c>
      <c r="K37" s="284">
        <f>K27*'R&amp;S - Packaging and hh goods'!$N$4/SUM('R&amp;S - Packaging and hh goods'!$L$4:$N$4)-K27*'R&amp;S - Packaging and hh goods'!$N$4/SUM('R&amp;S - Packaging and hh goods'!$L$4:$N$4)*'R&amp;S - Packaging and hh goods'!$G$7*('R&amp;S - Packaging and hh goods'!$L$14*'R&amp;S - Packaging and hh goods'!$AJ$19*(K$3-$D$3)/10)-K27*'R&amp;S - Packaging and hh goods'!$N$4/SUM('R&amp;S - Packaging and hh goods'!$L$4:$N$4)*'R&amp;S - Packaging and hh goods'!$G$8*('R&amp;S - Packaging and hh goods'!$L$14*'R&amp;S - Packaging and hh goods'!$AK$19*(K$3-$D$3)/10)-K27*'R&amp;S - Packaging and hh goods'!$N$4/SUM('R&amp;S - Packaging and hh goods'!$L$4:$N$4)*'R&amp;S - Packaging and hh goods'!$G$9*('R&amp;S - Packaging and hh goods'!$L$14*'R&amp;S - Packaging and hh goods'!$AL$19*(K$3-$D$3)/10)-K31*'R&amp;S - Packaging and hh goods'!$N$4/SUM('R&amp;S - Packaging and hh goods'!$L$4:$N$4)*'R&amp;S - Packaging and hh goods'!$G$10*('R&amp;S - Packaging and hh goods'!$L$14*'R&amp;S - Packaging and hh goods'!$AM$19*(K$3-$D$3)/10)</f>
        <v>33.773743549361242</v>
      </c>
      <c r="L37" s="284">
        <f>L27*'R&amp;S - Packaging and hh goods'!$N$4/SUM('R&amp;S - Packaging and hh goods'!$L$4:$N$4)-L27*'R&amp;S - Packaging and hh goods'!$N$4/SUM('R&amp;S - Packaging and hh goods'!$L$4:$N$4)*'R&amp;S - Packaging and hh goods'!$G$7*('R&amp;S - Packaging and hh goods'!$L$14*'R&amp;S - Packaging and hh goods'!$AJ$19*(L$3-$D$3)/10)-L27*'R&amp;S - Packaging and hh goods'!$N$4/SUM('R&amp;S - Packaging and hh goods'!$L$4:$N$4)*'R&amp;S - Packaging and hh goods'!$G$8*('R&amp;S - Packaging and hh goods'!$L$14*'R&amp;S - Packaging and hh goods'!$AK$19*(L$3-$D$3)/10)-L27*'R&amp;S - Packaging and hh goods'!$N$4/SUM('R&amp;S - Packaging and hh goods'!$L$4:$N$4)*'R&amp;S - Packaging and hh goods'!$G$9*('R&amp;S - Packaging and hh goods'!$L$14*'R&amp;S - Packaging and hh goods'!$AL$19*(L$3-$D$3)/10)-L31*'R&amp;S - Packaging and hh goods'!$N$4/SUM('R&amp;S - Packaging and hh goods'!$L$4:$N$4)*'R&amp;S - Packaging and hh goods'!$G$10*('R&amp;S - Packaging and hh goods'!$L$14*'R&amp;S - Packaging and hh goods'!$AM$19*(L$3-$D$3)/10)</f>
        <v>33.789229999959908</v>
      </c>
      <c r="M37" s="284">
        <f>M27*'R&amp;S - Packaging and hh goods'!$N$4/SUM('R&amp;S - Packaging and hh goods'!$L$4:$N$4)-M27*'R&amp;S - Packaging and hh goods'!$N$4/SUM('R&amp;S - Packaging and hh goods'!$L$4:$N$4)*'R&amp;S - Packaging and hh goods'!$G$7*('R&amp;S - Packaging and hh goods'!$L$14*'R&amp;S - Packaging and hh goods'!$AJ$19*(M$3-$D$3)/10)-M27*'R&amp;S - Packaging and hh goods'!$N$4/SUM('R&amp;S - Packaging and hh goods'!$L$4:$N$4)*'R&amp;S - Packaging and hh goods'!$G$8*('R&amp;S - Packaging and hh goods'!$L$14*'R&amp;S - Packaging and hh goods'!$AK$19*(M$3-$D$3)/10)-M27*'R&amp;S - Packaging and hh goods'!$N$4/SUM('R&amp;S - Packaging and hh goods'!$L$4:$N$4)*'R&amp;S - Packaging and hh goods'!$G$9*('R&amp;S - Packaging and hh goods'!$L$14*'R&amp;S - Packaging and hh goods'!$AL$19*(M$3-$D$3)/10)-M31*'R&amp;S - Packaging and hh goods'!$N$4/SUM('R&amp;S - Packaging and hh goods'!$L$4:$N$4)*'R&amp;S - Packaging and hh goods'!$G$10*('R&amp;S - Packaging and hh goods'!$L$14*'R&amp;S - Packaging and hh goods'!$AM$19*(M$3-$D$3)/10)</f>
        <v>33.800578537451102</v>
      </c>
      <c r="N37" s="284">
        <f>N27*'R&amp;S - Packaging and hh goods'!$N$4/SUM('R&amp;S - Packaging and hh goods'!$L$4:$N$4)-N27*'R&amp;S - Packaging and hh goods'!$N$4/SUM('R&amp;S - Packaging and hh goods'!$L$4:$N$4)*'R&amp;S - Packaging and hh goods'!$G$7*('R&amp;S - Packaging and hh goods'!$L$14*'R&amp;S - Packaging and hh goods'!$AJ$19*(N$3-$D$3)/10)-N27*'R&amp;S - Packaging and hh goods'!$N$4/SUM('R&amp;S - Packaging and hh goods'!$L$4:$N$4)*'R&amp;S - Packaging and hh goods'!$G$8*('R&amp;S - Packaging and hh goods'!$L$14*'R&amp;S - Packaging and hh goods'!$AK$19*(N$3-$D$3)/10)-N27*'R&amp;S - Packaging and hh goods'!$N$4/SUM('R&amp;S - Packaging and hh goods'!$L$4:$N$4)*'R&amp;S - Packaging and hh goods'!$G$9*('R&amp;S - Packaging and hh goods'!$L$14*'R&amp;S - Packaging and hh goods'!$AL$19*(N$3-$D$3)/10)-N31*'R&amp;S - Packaging and hh goods'!$N$4/SUM('R&amp;S - Packaging and hh goods'!$L$4:$N$4)*'R&amp;S - Packaging and hh goods'!$G$10*('R&amp;S - Packaging and hh goods'!$L$14*'R&amp;S - Packaging and hh goods'!$AM$19*(N$3-$D$3)/10)</f>
        <v>33.807691941973374</v>
      </c>
      <c r="O37" s="284">
        <f>O27*'R&amp;S - Packaging and hh goods'!$N$4/SUM('R&amp;S - Packaging and hh goods'!$L$4:$N$4)-O27*'R&amp;S - Packaging and hh goods'!$N$4/SUM('R&amp;S - Packaging and hh goods'!$L$4:$N$4)*('R&amp;S - Packaging and hh goods'!$G$7*'R&amp;S - Packaging and hh goods'!$L$14*('R&amp;S - Packaging and hh goods'!$AJ$19+('R&amp;S - Packaging and hh goods'!$AJ$20-'R&amp;S - Packaging and hh goods'!$AJ$19)*(O$3-$N$3)/10))-O27*'R&amp;S - Packaging and hh goods'!$N$4/SUM('R&amp;S - Packaging and hh goods'!$L$4:$N$4)*('R&amp;S - Packaging and hh goods'!$G$8*'R&amp;S - Packaging and hh goods'!$L$14*('R&amp;S - Packaging and hh goods'!$AK$19+('R&amp;S - Packaging and hh goods'!$AK$20-'R&amp;S - Packaging and hh goods'!$AK$19)*(O$3-$N$3)/10))-O27*'R&amp;S - Packaging and hh goods'!$N$4/SUM('R&amp;S - Packaging and hh goods'!$L$4:$N$4)*('R&amp;S - Packaging and hh goods'!$G$9*'R&amp;S - Packaging and hh goods'!$M$14*('R&amp;S - Packaging and hh goods'!$AL$19+('R&amp;S - Packaging and hh goods'!$AL$20-'R&amp;S - Packaging and hh goods'!$AL$19)*(O$3-$N$3)/10))-O27*'R&amp;S - Packaging and hh goods'!$N$4/SUM('R&amp;S - Packaging and hh goods'!$L$4:$N$4)*('R&amp;S - Packaging and hh goods'!$G$10*'R&amp;S - Packaging and hh goods'!$M$14*('R&amp;S - Packaging and hh goods'!$AM$19+('R&amp;S - Packaging and hh goods'!$AM$20-'R&amp;S - Packaging and hh goods'!$AM$19)*(O$3-$N$3)/10))</f>
        <v>32.152492894860011</v>
      </c>
      <c r="P37" s="284">
        <f>P27*'R&amp;S - Packaging and hh goods'!$N$4/SUM('R&amp;S - Packaging and hh goods'!$L$4:$N$4)-P27*'R&amp;S - Packaging and hh goods'!$N$4/SUM('R&amp;S - Packaging and hh goods'!$L$4:$N$4)*('R&amp;S - Packaging and hh goods'!$G$7*'R&amp;S - Packaging and hh goods'!$L$14*('R&amp;S - Packaging and hh goods'!$AJ$19+('R&amp;S - Packaging and hh goods'!$AJ$20-'R&amp;S - Packaging and hh goods'!$AJ$19)*(P$3-$N$3)/10))-P27*'R&amp;S - Packaging and hh goods'!$N$4/SUM('R&amp;S - Packaging and hh goods'!$L$4:$N$4)*('R&amp;S - Packaging and hh goods'!$G$8*'R&amp;S - Packaging and hh goods'!$L$14*('R&amp;S - Packaging and hh goods'!$AK$19+('R&amp;S - Packaging and hh goods'!$AK$20-'R&amp;S - Packaging and hh goods'!$AK$19)*(P$3-$N$3)/10))-P27*'R&amp;S - Packaging and hh goods'!$N$4/SUM('R&amp;S - Packaging and hh goods'!$L$4:$N$4)*('R&amp;S - Packaging and hh goods'!$G$9*'R&amp;S - Packaging and hh goods'!$M$14*('R&amp;S - Packaging and hh goods'!$AL$19+('R&amp;S - Packaging and hh goods'!$AL$20-'R&amp;S - Packaging and hh goods'!$AL$19)*(P$3-$N$3)/10))-P27*'R&amp;S - Packaging and hh goods'!$N$4/SUM('R&amp;S - Packaging and hh goods'!$L$4:$N$4)*('R&amp;S - Packaging and hh goods'!$G$10*'R&amp;S - Packaging and hh goods'!$M$14*('R&amp;S - Packaging and hh goods'!$AM$19+('R&amp;S - Packaging and hh goods'!$AM$20-'R&amp;S - Packaging and hh goods'!$AM$19)*(P$3-$N$3)/10))</f>
        <v>31.471984133547501</v>
      </c>
      <c r="Q37" s="284">
        <f>Q27*'R&amp;S - Packaging and hh goods'!$N$4/SUM('R&amp;S - Packaging and hh goods'!$L$4:$N$4)-Q27*'R&amp;S - Packaging and hh goods'!$N$4/SUM('R&amp;S - Packaging and hh goods'!$L$4:$N$4)*('R&amp;S - Packaging and hh goods'!$G$7*'R&amp;S - Packaging and hh goods'!$L$14*('R&amp;S - Packaging and hh goods'!$AJ$19+('R&amp;S - Packaging and hh goods'!$AJ$20-'R&amp;S - Packaging and hh goods'!$AJ$19)*(Q$3-$N$3)/10))-Q27*'R&amp;S - Packaging and hh goods'!$N$4/SUM('R&amp;S - Packaging and hh goods'!$L$4:$N$4)*('R&amp;S - Packaging and hh goods'!$G$8*'R&amp;S - Packaging and hh goods'!$L$14*('R&amp;S - Packaging and hh goods'!$AK$19+('R&amp;S - Packaging and hh goods'!$AK$20-'R&amp;S - Packaging and hh goods'!$AK$19)*(Q$3-$N$3)/10))-Q27*'R&amp;S - Packaging and hh goods'!$N$4/SUM('R&amp;S - Packaging and hh goods'!$L$4:$N$4)*('R&amp;S - Packaging and hh goods'!$G$9*'R&amp;S - Packaging and hh goods'!$M$14*('R&amp;S - Packaging and hh goods'!$AL$19+('R&amp;S - Packaging and hh goods'!$AL$20-'R&amp;S - Packaging and hh goods'!$AL$19)*(Q$3-$N$3)/10))-Q27*'R&amp;S - Packaging and hh goods'!$N$4/SUM('R&amp;S - Packaging and hh goods'!$L$4:$N$4)*('R&amp;S - Packaging and hh goods'!$G$10*'R&amp;S - Packaging and hh goods'!$M$14*('R&amp;S - Packaging and hh goods'!$AM$19+('R&amp;S - Packaging and hh goods'!$AM$20-'R&amp;S - Packaging and hh goods'!$AM$19)*(Q$3-$N$3)/10))</f>
        <v>30.772613727845837</v>
      </c>
      <c r="R37" s="284">
        <f>R27*'R&amp;S - Packaging and hh goods'!$N$4/SUM('R&amp;S - Packaging and hh goods'!$L$4:$N$4)-R27*'R&amp;S - Packaging and hh goods'!$N$4/SUM('R&amp;S - Packaging and hh goods'!$L$4:$N$4)*('R&amp;S - Packaging and hh goods'!$G$7*'R&amp;S - Packaging and hh goods'!$L$14*('R&amp;S - Packaging and hh goods'!$AJ$19+('R&amp;S - Packaging and hh goods'!$AJ$20-'R&amp;S - Packaging and hh goods'!$AJ$19)*(R$3-$N$3)/10))-R27*'R&amp;S - Packaging and hh goods'!$N$4/SUM('R&amp;S - Packaging and hh goods'!$L$4:$N$4)*('R&amp;S - Packaging and hh goods'!$G$8*'R&amp;S - Packaging and hh goods'!$L$14*('R&amp;S - Packaging and hh goods'!$AK$19+('R&amp;S - Packaging and hh goods'!$AK$20-'R&amp;S - Packaging and hh goods'!$AK$19)*(R$3-$N$3)/10))-R27*'R&amp;S - Packaging and hh goods'!$N$4/SUM('R&amp;S - Packaging and hh goods'!$L$4:$N$4)*('R&amp;S - Packaging and hh goods'!$G$9*'R&amp;S - Packaging and hh goods'!$M$14*('R&amp;S - Packaging and hh goods'!$AL$19+('R&amp;S - Packaging and hh goods'!$AL$20-'R&amp;S - Packaging and hh goods'!$AL$19)*(R$3-$N$3)/10))-R27*'R&amp;S - Packaging and hh goods'!$N$4/SUM('R&amp;S - Packaging and hh goods'!$L$4:$N$4)*('R&amp;S - Packaging and hh goods'!$G$10*'R&amp;S - Packaging and hh goods'!$M$14*('R&amp;S - Packaging and hh goods'!$AM$19+('R&amp;S - Packaging and hh goods'!$AM$20-'R&amp;S - Packaging and hh goods'!$AM$19)*(R$3-$N$3)/10))</f>
        <v>30.054049063138571</v>
      </c>
      <c r="S37" s="284">
        <f>S27*'R&amp;S - Packaging and hh goods'!$N$4/SUM('R&amp;S - Packaging and hh goods'!$L$4:$N$4)-S27*'R&amp;S - Packaging and hh goods'!$N$4/SUM('R&amp;S - Packaging and hh goods'!$L$4:$N$4)*('R&amp;S - Packaging and hh goods'!$G$7*'R&amp;S - Packaging and hh goods'!$L$14*('R&amp;S - Packaging and hh goods'!$AJ$19+('R&amp;S - Packaging and hh goods'!$AJ$20-'R&amp;S - Packaging and hh goods'!$AJ$19)*(S$3-$N$3)/10))-S27*'R&amp;S - Packaging and hh goods'!$N$4/SUM('R&amp;S - Packaging and hh goods'!$L$4:$N$4)*('R&amp;S - Packaging and hh goods'!$G$8*'R&amp;S - Packaging and hh goods'!$L$14*('R&amp;S - Packaging and hh goods'!$AK$19+('R&amp;S - Packaging and hh goods'!$AK$20-'R&amp;S - Packaging and hh goods'!$AK$19)*(S$3-$N$3)/10))-S27*'R&amp;S - Packaging and hh goods'!$N$4/SUM('R&amp;S - Packaging and hh goods'!$L$4:$N$4)*('R&amp;S - Packaging and hh goods'!$G$9*'R&amp;S - Packaging and hh goods'!$M$14*('R&amp;S - Packaging and hh goods'!$AL$19+('R&amp;S - Packaging and hh goods'!$AL$20-'R&amp;S - Packaging and hh goods'!$AL$19)*(S$3-$N$3)/10))-S27*'R&amp;S - Packaging and hh goods'!$N$4/SUM('R&amp;S - Packaging and hh goods'!$L$4:$N$4)*('R&amp;S - Packaging and hh goods'!$G$10*'R&amp;S - Packaging and hh goods'!$M$14*('R&amp;S - Packaging and hh goods'!$AM$19+('R&amp;S - Packaging and hh goods'!$AM$20-'R&amp;S - Packaging and hh goods'!$AM$19)*(S$3-$N$3)/10))</f>
        <v>29.315952489546689</v>
      </c>
      <c r="T37" s="284">
        <f>T27*'R&amp;S - Packaging and hh goods'!$N$4/SUM('R&amp;S - Packaging and hh goods'!$L$4:$N$4)-T27*'R&amp;S - Packaging and hh goods'!$N$4/SUM('R&amp;S - Packaging and hh goods'!$L$4:$N$4)*('R&amp;S - Packaging and hh goods'!$G$7*'R&amp;S - Packaging and hh goods'!$L$14*('R&amp;S - Packaging and hh goods'!$AJ$19+('R&amp;S - Packaging and hh goods'!$AJ$20-'R&amp;S - Packaging and hh goods'!$AJ$19)*(T$3-$N$3)/10))-T27*'R&amp;S - Packaging and hh goods'!$N$4/SUM('R&amp;S - Packaging and hh goods'!$L$4:$N$4)*('R&amp;S - Packaging and hh goods'!$G$8*'R&amp;S - Packaging and hh goods'!$L$14*('R&amp;S - Packaging and hh goods'!$AK$19+('R&amp;S - Packaging and hh goods'!$AK$20-'R&amp;S - Packaging and hh goods'!$AK$19)*(T$3-$N$3)/10))-T27*'R&amp;S - Packaging and hh goods'!$N$4/SUM('R&amp;S - Packaging and hh goods'!$L$4:$N$4)*('R&amp;S - Packaging and hh goods'!$G$9*'R&amp;S - Packaging and hh goods'!$M$14*('R&amp;S - Packaging and hh goods'!$AL$19+('R&amp;S - Packaging and hh goods'!$AL$20-'R&amp;S - Packaging and hh goods'!$AL$19)*(T$3-$N$3)/10))-T27*'R&amp;S - Packaging and hh goods'!$N$4/SUM('R&amp;S - Packaging and hh goods'!$L$4:$N$4)*('R&amp;S - Packaging and hh goods'!$G$10*'R&amp;S - Packaging and hh goods'!$M$14*('R&amp;S - Packaging and hh goods'!$AM$19+('R&amp;S - Packaging and hh goods'!$AM$20-'R&amp;S - Packaging and hh goods'!$AM$19)*(T$3-$N$3)/10))</f>
        <v>28.557981251399134</v>
      </c>
      <c r="U37" s="284">
        <f>U27*'R&amp;S - Packaging and hh goods'!$N$4/SUM('R&amp;S - Packaging and hh goods'!$L$4:$N$4)-U27*'R&amp;S - Packaging and hh goods'!$N$4/SUM('R&amp;S - Packaging and hh goods'!$L$4:$N$4)*('R&amp;S - Packaging and hh goods'!$G$7*'R&amp;S - Packaging and hh goods'!$L$14*('R&amp;S - Packaging and hh goods'!$AJ$19+('R&amp;S - Packaging and hh goods'!$AJ$20-'R&amp;S - Packaging and hh goods'!$AJ$19)*(U$3-$N$3)/10))-U27*'R&amp;S - Packaging and hh goods'!$N$4/SUM('R&amp;S - Packaging and hh goods'!$L$4:$N$4)*('R&amp;S - Packaging and hh goods'!$G$8*'R&amp;S - Packaging and hh goods'!$L$14*('R&amp;S - Packaging and hh goods'!$AK$19+('R&amp;S - Packaging and hh goods'!$AK$20-'R&amp;S - Packaging and hh goods'!$AK$19)*(U$3-$N$3)/10))-U27*'R&amp;S - Packaging and hh goods'!$N$4/SUM('R&amp;S - Packaging and hh goods'!$L$4:$N$4)*('R&amp;S - Packaging and hh goods'!$G$9*'R&amp;S - Packaging and hh goods'!$M$14*('R&amp;S - Packaging and hh goods'!$AL$19+('R&amp;S - Packaging and hh goods'!$AL$20-'R&amp;S - Packaging and hh goods'!$AL$19)*(U$3-$N$3)/10))-U27*'R&amp;S - Packaging and hh goods'!$N$4/SUM('R&amp;S - Packaging and hh goods'!$L$4:$N$4)*('R&amp;S - Packaging and hh goods'!$G$10*'R&amp;S - Packaging and hh goods'!$M$14*('R&amp;S - Packaging and hh goods'!$AM$19+('R&amp;S - Packaging and hh goods'!$AM$20-'R&amp;S - Packaging and hh goods'!$AM$19)*(U$3-$N$3)/10))</f>
        <v>27.779787415761099</v>
      </c>
      <c r="V37" s="284">
        <f>V27*'R&amp;S - Packaging and hh goods'!$N$4/SUM('R&amp;S - Packaging and hh goods'!$L$4:$N$4)-V27*'R&amp;S - Packaging and hh goods'!$N$4/SUM('R&amp;S - Packaging and hh goods'!$L$4:$N$4)*('R&amp;S - Packaging and hh goods'!$G$7*'R&amp;S - Packaging and hh goods'!$L$14*('R&amp;S - Packaging and hh goods'!$AJ$19+('R&amp;S - Packaging and hh goods'!$AJ$20-'R&amp;S - Packaging and hh goods'!$AJ$19)*(V$3-$N$3)/10))-V27*'R&amp;S - Packaging and hh goods'!$N$4/SUM('R&amp;S - Packaging and hh goods'!$L$4:$N$4)*('R&amp;S - Packaging and hh goods'!$G$8*'R&amp;S - Packaging and hh goods'!$L$14*('R&amp;S - Packaging and hh goods'!$AK$19+('R&amp;S - Packaging and hh goods'!$AK$20-'R&amp;S - Packaging and hh goods'!$AK$19)*(V$3-$N$3)/10))-V27*'R&amp;S - Packaging and hh goods'!$N$4/SUM('R&amp;S - Packaging and hh goods'!$L$4:$N$4)*('R&amp;S - Packaging and hh goods'!$G$9*'R&amp;S - Packaging and hh goods'!$M$14*('R&amp;S - Packaging and hh goods'!$AL$19+('R&amp;S - Packaging and hh goods'!$AL$20-'R&amp;S - Packaging and hh goods'!$AL$19)*(V$3-$N$3)/10))-V27*'R&amp;S - Packaging and hh goods'!$N$4/SUM('R&amp;S - Packaging and hh goods'!$L$4:$N$4)*('R&amp;S - Packaging and hh goods'!$G$10*'R&amp;S - Packaging and hh goods'!$M$14*('R&amp;S - Packaging and hh goods'!$AM$19+('R&amp;S - Packaging and hh goods'!$AM$20-'R&amp;S - Packaging and hh goods'!$AM$19)*(V$3-$N$3)/10))</f>
        <v>26.981017800007614</v>
      </c>
      <c r="W37" s="284">
        <f>W27*'R&amp;S - Packaging and hh goods'!$N$4/SUM('R&amp;S - Packaging and hh goods'!$L$4:$N$4)-W27*'R&amp;S - Packaging and hh goods'!$N$4/SUM('R&amp;S - Packaging and hh goods'!$L$4:$N$4)*('R&amp;S - Packaging and hh goods'!$G$7*'R&amp;S - Packaging and hh goods'!$L$14*('R&amp;S - Packaging and hh goods'!$AJ$19+('R&amp;S - Packaging and hh goods'!$AJ$20-'R&amp;S - Packaging and hh goods'!$AJ$19)*(W$3-$N$3)/10))-W27*'R&amp;S - Packaging and hh goods'!$N$4/SUM('R&amp;S - Packaging and hh goods'!$L$4:$N$4)*('R&amp;S - Packaging and hh goods'!$G$8*'R&amp;S - Packaging and hh goods'!$L$14*('R&amp;S - Packaging and hh goods'!$AK$19+('R&amp;S - Packaging and hh goods'!$AK$20-'R&amp;S - Packaging and hh goods'!$AK$19)*(W$3-$N$3)/10))-W27*'R&amp;S - Packaging and hh goods'!$N$4/SUM('R&amp;S - Packaging and hh goods'!$L$4:$N$4)*('R&amp;S - Packaging and hh goods'!$G$9*'R&amp;S - Packaging and hh goods'!$M$14*('R&amp;S - Packaging and hh goods'!$AL$19+('R&amp;S - Packaging and hh goods'!$AL$20-'R&amp;S - Packaging and hh goods'!$AL$19)*(W$3-$N$3)/10))-W27*'R&amp;S - Packaging and hh goods'!$N$4/SUM('R&amp;S - Packaging and hh goods'!$L$4:$N$4)*('R&amp;S - Packaging and hh goods'!$G$10*'R&amp;S - Packaging and hh goods'!$M$14*('R&amp;S - Packaging and hh goods'!$AM$19+('R&amp;S - Packaging and hh goods'!$AM$20-'R&amp;S - Packaging and hh goods'!$AM$19)*(W$3-$N$3)/10))</f>
        <v>26.161313898430244</v>
      </c>
      <c r="X37" s="284">
        <f>X27*'R&amp;S - Packaging and hh goods'!$N$4/SUM('R&amp;S - Packaging and hh goods'!$L$4:$N$4)-X27*'R&amp;S - Packaging and hh goods'!$N$4/SUM('R&amp;S - Packaging and hh goods'!$L$4:$N$4)*('R&amp;S - Packaging and hh goods'!$G$7*'R&amp;S - Packaging and hh goods'!$L$14*('R&amp;S - Packaging and hh goods'!$AJ$19+('R&amp;S - Packaging and hh goods'!$AJ$20-'R&amp;S - Packaging and hh goods'!$AJ$19)*(X$3-$N$3)/10))-X27*'R&amp;S - Packaging and hh goods'!$N$4/SUM('R&amp;S - Packaging and hh goods'!$L$4:$N$4)*('R&amp;S - Packaging and hh goods'!$G$8*'R&amp;S - Packaging and hh goods'!$L$14*('R&amp;S - Packaging and hh goods'!$AK$19+('R&amp;S - Packaging and hh goods'!$AK$20-'R&amp;S - Packaging and hh goods'!$AK$19)*(X$3-$N$3)/10))-X27*'R&amp;S - Packaging and hh goods'!$N$4/SUM('R&amp;S - Packaging and hh goods'!$L$4:$N$4)*('R&amp;S - Packaging and hh goods'!$G$9*'R&amp;S - Packaging and hh goods'!$M$14*('R&amp;S - Packaging and hh goods'!$AL$19+('R&amp;S - Packaging and hh goods'!$AL$20-'R&amp;S - Packaging and hh goods'!$AL$19)*(X$3-$N$3)/10))-X27*'R&amp;S - Packaging and hh goods'!$N$4/SUM('R&amp;S - Packaging and hh goods'!$L$4:$N$4)*('R&amp;S - Packaging and hh goods'!$G$10*'R&amp;S - Packaging and hh goods'!$M$14*('R&amp;S - Packaging and hh goods'!$AM$19+('R&amp;S - Packaging and hh goods'!$AM$20-'R&amp;S - Packaging and hh goods'!$AM$19)*(X$3-$N$3)/10))</f>
        <v>25.320311807864375</v>
      </c>
      <c r="Y37" s="284">
        <f>Y27*'R&amp;S - Packaging and hh goods'!$N$4/SUM('R&amp;S - Packaging and hh goods'!$L$4:$N$4)-Y27*'R&amp;S - Packaging and hh goods'!$N$4/SUM('R&amp;S - Packaging and hh goods'!$L$4:$N$4)*('R&amp;S - Packaging and hh goods'!$G7*'R&amp;S - Packaging and hh goods'!$L$14*('R&amp;S - Packaging and hh goods'!$AJ$20+('R&amp;S - Packaging and hh goods'!$AJ$21-'R&amp;S - Packaging and hh goods'!$AJ$20)*(Y$3-$X$3)/10))-Y27*'R&amp;S - Packaging and hh goods'!$N$4/SUM('R&amp;S - Packaging and hh goods'!$L$4:$N$4)*('R&amp;S - Packaging and hh goods'!$G8*'R&amp;S - Packaging and hh goods'!$L$14*('R&amp;S - Packaging and hh goods'!$AK$20+('R&amp;S - Packaging and hh goods'!$AK$21-'R&amp;S - Packaging and hh goods'!$AK$20)*(Y$3-$X$3)/10))-Y27*'R&amp;S - Packaging and hh goods'!$N$4/SUM('R&amp;S - Packaging and hh goods'!$L$4:$N$4)*('R&amp;S - Packaging and hh goods'!$G9*'R&amp;S - Packaging and hh goods'!$M$14*('R&amp;S - Packaging and hh goods'!$AL$20+('R&amp;S - Packaging and hh goods'!$AL$21-'R&amp;S - Packaging and hh goods'!$AL$20)*(Y$3-$X$3)/10))-Y27*'R&amp;S - Packaging and hh goods'!$N$4/SUM('R&amp;S - Packaging and hh goods'!$L$4:$N$4)*('R&amp;S - Packaging and hh goods'!$G10*'R&amp;S - Packaging and hh goods'!$M$14*('R&amp;S - Packaging and hh goods'!$AM$20+('R&amp;S - Packaging and hh goods'!$AM$21-'R&amp;S - Packaging and hh goods'!$AM$20)*(Y$3-$X$3)/10))</f>
        <v>24.428127446041241</v>
      </c>
      <c r="Z37" s="284">
        <f>Z27*'R&amp;S - Packaging and hh goods'!$N$4/SUM('R&amp;S - Packaging and hh goods'!$L$4:$N$4)-Z27*'R&amp;S - Packaging and hh goods'!$N$4/SUM('R&amp;S - Packaging and hh goods'!$L$4:$N$4)*('R&amp;S - Packaging and hh goods'!$G7*'R&amp;S - Packaging and hh goods'!$L$14*('R&amp;S - Packaging and hh goods'!$AJ$20+('R&amp;S - Packaging and hh goods'!$AJ$21-'R&amp;S - Packaging and hh goods'!$AJ$20)*(Z$3-$X$3)/10))-Z27*'R&amp;S - Packaging and hh goods'!$N$4/SUM('R&amp;S - Packaging and hh goods'!$L$4:$N$4)*('R&amp;S - Packaging and hh goods'!$G8*'R&amp;S - Packaging and hh goods'!$L$14*('R&amp;S - Packaging and hh goods'!$AK$20+('R&amp;S - Packaging and hh goods'!$AK$21-'R&amp;S - Packaging and hh goods'!$AK$20)*(Z$3-$X$3)/10))-Z27*'R&amp;S - Packaging and hh goods'!$N$4/SUM('R&amp;S - Packaging and hh goods'!$L$4:$N$4)*('R&amp;S - Packaging and hh goods'!$G9*'R&amp;S - Packaging and hh goods'!$M$14*('R&amp;S - Packaging and hh goods'!$AL$20+('R&amp;S - Packaging and hh goods'!$AL$21-'R&amp;S - Packaging and hh goods'!$AL$20)*(Z$3-$X$3)/10))-Z27*'R&amp;S - Packaging and hh goods'!$N$4/SUM('R&amp;S - Packaging and hh goods'!$L$4:$N$4)*('R&amp;S - Packaging and hh goods'!$G10*'R&amp;S - Packaging and hh goods'!$M$14*('R&amp;S - Packaging and hh goods'!$AM$20+('R&amp;S - Packaging and hh goods'!$AM$21-'R&amp;S - Packaging and hh goods'!$AM$20)*(Z$3-$X$3)/10))</f>
        <v>23.51325127052926</v>
      </c>
      <c r="AA37" s="284">
        <f>AA27*'R&amp;S - Packaging and hh goods'!$N$4/SUM('R&amp;S - Packaging and hh goods'!$L$4:$N$4)-AA27*'R&amp;S - Packaging and hh goods'!$N$4/SUM('R&amp;S - Packaging and hh goods'!$L$4:$N$4)*('R&amp;S - Packaging and hh goods'!$G7*'R&amp;S - Packaging and hh goods'!$L$14*('R&amp;S - Packaging and hh goods'!$AJ$20+('R&amp;S - Packaging and hh goods'!$AJ$21-'R&amp;S - Packaging and hh goods'!$AJ$20)*(AA$3-$X$3)/10))-AA27*'R&amp;S - Packaging and hh goods'!$N$4/SUM('R&amp;S - Packaging and hh goods'!$L$4:$N$4)*('R&amp;S - Packaging and hh goods'!$G8*'R&amp;S - Packaging and hh goods'!$L$14*('R&amp;S - Packaging and hh goods'!$AK$20+('R&amp;S - Packaging and hh goods'!$AK$21-'R&amp;S - Packaging and hh goods'!$AK$20)*(AA$3-$X$3)/10))-AA27*'R&amp;S - Packaging and hh goods'!$N$4/SUM('R&amp;S - Packaging and hh goods'!$L$4:$N$4)*('R&amp;S - Packaging and hh goods'!$G9*'R&amp;S - Packaging and hh goods'!$M$14*('R&amp;S - Packaging and hh goods'!$AL$20+('R&amp;S - Packaging and hh goods'!$AL$21-'R&amp;S - Packaging and hh goods'!$AL$20)*(AA$3-$X$3)/10))-AA27*'R&amp;S - Packaging and hh goods'!$N$4/SUM('R&amp;S - Packaging and hh goods'!$L$4:$N$4)*('R&amp;S - Packaging and hh goods'!$G10*'R&amp;S - Packaging and hh goods'!$M$14*('R&amp;S - Packaging and hh goods'!$AM$20+('R&amp;S - Packaging and hh goods'!$AM$21-'R&amp;S - Packaging and hh goods'!$AM$20)*(AA$3-$X$3)/10))</f>
        <v>22.575292015735041</v>
      </c>
      <c r="AB37" s="284">
        <f>AB27*'R&amp;S - Packaging and hh goods'!$N$4/SUM('R&amp;S - Packaging and hh goods'!$L$4:$N$4)-AB27*'R&amp;S - Packaging and hh goods'!$N$4/SUM('R&amp;S - Packaging and hh goods'!$L$4:$N$4)*('R&amp;S - Packaging and hh goods'!$G7*'R&amp;S - Packaging and hh goods'!$L$14*('R&amp;S - Packaging and hh goods'!$AJ$20+('R&amp;S - Packaging and hh goods'!$AJ$21-'R&amp;S - Packaging and hh goods'!$AJ$20)*(AB$3-$X$3)/10))-AB27*'R&amp;S - Packaging and hh goods'!$N$4/SUM('R&amp;S - Packaging and hh goods'!$L$4:$N$4)*('R&amp;S - Packaging and hh goods'!$G8*'R&amp;S - Packaging and hh goods'!$L$14*('R&amp;S - Packaging and hh goods'!$AK$20+('R&amp;S - Packaging and hh goods'!$AK$21-'R&amp;S - Packaging and hh goods'!$AK$20)*(AB$3-$X$3)/10))-AB27*'R&amp;S - Packaging and hh goods'!$N$4/SUM('R&amp;S - Packaging and hh goods'!$L$4:$N$4)*('R&amp;S - Packaging and hh goods'!$G9*'R&amp;S - Packaging and hh goods'!$M$14*('R&amp;S - Packaging and hh goods'!$AL$20+('R&amp;S - Packaging and hh goods'!$AL$21-'R&amp;S - Packaging and hh goods'!$AL$20)*(AB$3-$X$3)/10))-AB27*'R&amp;S - Packaging and hh goods'!$N$4/SUM('R&amp;S - Packaging and hh goods'!$L$4:$N$4)*('R&amp;S - Packaging and hh goods'!$G10*'R&amp;S - Packaging and hh goods'!$M$14*('R&amp;S - Packaging and hh goods'!$AM$20+('R&amp;S - Packaging and hh goods'!$AM$21-'R&amp;S - Packaging and hh goods'!$AM$20)*(AB$3-$X$3)/10))</f>
        <v>21.613852553931611</v>
      </c>
      <c r="AC37" s="284">
        <f>AC27*'R&amp;S - Packaging and hh goods'!$N$4/SUM('R&amp;S - Packaging and hh goods'!$L$4:$N$4)-AC27*'R&amp;S - Packaging and hh goods'!$N$4/SUM('R&amp;S - Packaging and hh goods'!$L$4:$N$4)*('R&amp;S - Packaging and hh goods'!$G7*'R&amp;S - Packaging and hh goods'!$L$14*('R&amp;S - Packaging and hh goods'!$AJ$20+('R&amp;S - Packaging and hh goods'!$AJ$21-'R&amp;S - Packaging and hh goods'!$AJ$20)*(AC$3-$X$3)/10))-AC27*'R&amp;S - Packaging and hh goods'!$N$4/SUM('R&amp;S - Packaging and hh goods'!$L$4:$N$4)*('R&amp;S - Packaging and hh goods'!$G8*'R&amp;S - Packaging and hh goods'!$L$14*('R&amp;S - Packaging and hh goods'!$AK$20+('R&amp;S - Packaging and hh goods'!$AK$21-'R&amp;S - Packaging and hh goods'!$AK$20)*(AC$3-$X$3)/10))-AC27*'R&amp;S - Packaging and hh goods'!$N$4/SUM('R&amp;S - Packaging and hh goods'!$L$4:$N$4)*('R&amp;S - Packaging and hh goods'!$G9*'R&amp;S - Packaging and hh goods'!$M$14*('R&amp;S - Packaging and hh goods'!$AL$20+('R&amp;S - Packaging and hh goods'!$AL$21-'R&amp;S - Packaging and hh goods'!$AL$20)*(AC$3-$X$3)/10))-AC27*'R&amp;S - Packaging and hh goods'!$N$4/SUM('R&amp;S - Packaging and hh goods'!$L$4:$N$4)*('R&amp;S - Packaging and hh goods'!$G10*'R&amp;S - Packaging and hh goods'!$M$14*('R&amp;S - Packaging and hh goods'!$AM$20+('R&amp;S - Packaging and hh goods'!$AM$21-'R&amp;S - Packaging and hh goods'!$AM$20)*(AC$3-$X$3)/10))</f>
        <v>20.628529813634607</v>
      </c>
      <c r="AD37" s="284">
        <f>AD27*'R&amp;S - Packaging and hh goods'!$N$4/SUM('R&amp;S - Packaging and hh goods'!$L$4:$N$4)-AD27*'R&amp;S - Packaging and hh goods'!$N$4/SUM('R&amp;S - Packaging and hh goods'!$L$4:$N$4)*('R&amp;S - Packaging and hh goods'!$G7*'R&amp;S - Packaging and hh goods'!$L$14*('R&amp;S - Packaging and hh goods'!$AJ$20+('R&amp;S - Packaging and hh goods'!$AJ$21-'R&amp;S - Packaging and hh goods'!$AJ$20)*(AD$3-$X$3)/10))-AD27*'R&amp;S - Packaging and hh goods'!$N$4/SUM('R&amp;S - Packaging and hh goods'!$L$4:$N$4)*('R&amp;S - Packaging and hh goods'!$G8*'R&amp;S - Packaging and hh goods'!$L$14*('R&amp;S - Packaging and hh goods'!$AK$20+('R&amp;S - Packaging and hh goods'!$AK$21-'R&amp;S - Packaging and hh goods'!$AK$20)*(AD$3-$X$3)/10))-AD27*'R&amp;S - Packaging and hh goods'!$N$4/SUM('R&amp;S - Packaging and hh goods'!$L$4:$N$4)*('R&amp;S - Packaging and hh goods'!$G9*'R&amp;S - Packaging and hh goods'!$M$14*('R&amp;S - Packaging and hh goods'!$AL$20+('R&amp;S - Packaging and hh goods'!$AL$21-'R&amp;S - Packaging and hh goods'!$AL$20)*(AD$3-$X$3)/10))-AD27*'R&amp;S - Packaging and hh goods'!$N$4/SUM('R&amp;S - Packaging and hh goods'!$L$4:$N$4)*('R&amp;S - Packaging and hh goods'!$G10*'R&amp;S - Packaging and hh goods'!$M$14*('R&amp;S - Packaging and hh goods'!$AM$20+('R&amp;S - Packaging and hh goods'!$AM$21-'R&amp;S - Packaging and hh goods'!$AM$20)*(AD$3-$X$3)/10))</f>
        <v>19.618914696892041</v>
      </c>
      <c r="AE37" s="284">
        <f>AE27*'R&amp;S - Packaging and hh goods'!$N$4/SUM('R&amp;S - Packaging and hh goods'!$L$4:$N$4)-AE27*'R&amp;S - Packaging and hh goods'!$N$4/SUM('R&amp;S - Packaging and hh goods'!$L$4:$N$4)*('R&amp;S - Packaging and hh goods'!$G7*'R&amp;S - Packaging and hh goods'!$L$14*('R&amp;S - Packaging and hh goods'!$AJ$20+('R&amp;S - Packaging and hh goods'!$AJ$21-'R&amp;S - Packaging and hh goods'!$AJ$20)*(AE$3-$X$3)/10))-AE27*'R&amp;S - Packaging and hh goods'!$N$4/SUM('R&amp;S - Packaging and hh goods'!$L$4:$N$4)*('R&amp;S - Packaging and hh goods'!$G8*'R&amp;S - Packaging and hh goods'!$L$14*('R&amp;S - Packaging and hh goods'!$AK$20+('R&amp;S - Packaging and hh goods'!$AK$21-'R&amp;S - Packaging and hh goods'!$AK$20)*(AE$3-$X$3)/10))-AE27*'R&amp;S - Packaging and hh goods'!$N$4/SUM('R&amp;S - Packaging and hh goods'!$L$4:$N$4)*('R&amp;S - Packaging and hh goods'!$G9*'R&amp;S - Packaging and hh goods'!$M$14*('R&amp;S - Packaging and hh goods'!$AL$20+('R&amp;S - Packaging and hh goods'!$AL$21-'R&amp;S - Packaging and hh goods'!$AL$20)*(AE$3-$X$3)/10))-AE27*'R&amp;S - Packaging and hh goods'!$N$4/SUM('R&amp;S - Packaging and hh goods'!$L$4:$N$4)*('R&amp;S - Packaging and hh goods'!$G10*'R&amp;S - Packaging and hh goods'!$M$14*('R&amp;S - Packaging and hh goods'!$AM$20+('R&amp;S - Packaging and hh goods'!$AM$21-'R&amp;S - Packaging and hh goods'!$AM$20)*(AE$3-$X$3)/10))</f>
        <v>18.584591995473687</v>
      </c>
      <c r="AF37" s="284">
        <f>AF27*'R&amp;S - Packaging and hh goods'!$N$4/SUM('R&amp;S - Packaging and hh goods'!$L$4:$N$4)-AF27*'R&amp;S - Packaging and hh goods'!$N$4/SUM('R&amp;S - Packaging and hh goods'!$L$4:$N$4)*('R&amp;S - Packaging and hh goods'!$G7*'R&amp;S - Packaging and hh goods'!$L$14*('R&amp;S - Packaging and hh goods'!$AJ$20+('R&amp;S - Packaging and hh goods'!$AJ$21-'R&amp;S - Packaging and hh goods'!$AJ$20)*(AF$3-$X$3)/10))-AF27*'R&amp;S - Packaging and hh goods'!$N$4/SUM('R&amp;S - Packaging and hh goods'!$L$4:$N$4)*('R&amp;S - Packaging and hh goods'!$G8*'R&amp;S - Packaging and hh goods'!$L$14*('R&amp;S - Packaging and hh goods'!$AK$20+('R&amp;S - Packaging and hh goods'!$AK$21-'R&amp;S - Packaging and hh goods'!$AK$20)*(AF$3-$X$3)/10))-AF27*'R&amp;S - Packaging and hh goods'!$N$4/SUM('R&amp;S - Packaging and hh goods'!$L$4:$N$4)*('R&amp;S - Packaging and hh goods'!$G9*'R&amp;S - Packaging and hh goods'!$M$14*('R&amp;S - Packaging and hh goods'!$AL$20+('R&amp;S - Packaging and hh goods'!$AL$21-'R&amp;S - Packaging and hh goods'!$AL$20)*(AF$3-$X$3)/10))-AF27*'R&amp;S - Packaging and hh goods'!$N$4/SUM('R&amp;S - Packaging and hh goods'!$L$4:$N$4)*('R&amp;S - Packaging and hh goods'!$G10*'R&amp;S - Packaging and hh goods'!$M$14*('R&amp;S - Packaging and hh goods'!$AM$20+('R&amp;S - Packaging and hh goods'!$AM$21-'R&amp;S - Packaging and hh goods'!$AM$20)*(AF$3-$X$3)/10))</f>
        <v>17.525140305945815</v>
      </c>
      <c r="AG37" s="284">
        <f>AG27*'R&amp;S - Packaging and hh goods'!$N$4/SUM('R&amp;S - Packaging and hh goods'!$L$4:$N$4)-AG27*'R&amp;S - Packaging and hh goods'!$N$4/SUM('R&amp;S - Packaging and hh goods'!$L$4:$N$4)*('R&amp;S - Packaging and hh goods'!$G7*'R&amp;S - Packaging and hh goods'!$L$14*('R&amp;S - Packaging and hh goods'!$AJ$20+('R&amp;S - Packaging and hh goods'!$AJ$21-'R&amp;S - Packaging and hh goods'!$AJ$20)*(AG$3-$X$3)/10))-AG27*'R&amp;S - Packaging and hh goods'!$N$4/SUM('R&amp;S - Packaging and hh goods'!$L$4:$N$4)*('R&amp;S - Packaging and hh goods'!$G8*'R&amp;S - Packaging and hh goods'!$L$14*('R&amp;S - Packaging and hh goods'!$AK$20+('R&amp;S - Packaging and hh goods'!$AK$21-'R&amp;S - Packaging and hh goods'!$AK$20)*(AG$3-$X$3)/10))-AG27*'R&amp;S - Packaging and hh goods'!$N$4/SUM('R&amp;S - Packaging and hh goods'!$L$4:$N$4)*('R&amp;S - Packaging and hh goods'!$G9*'R&amp;S - Packaging and hh goods'!$M$14*('R&amp;S - Packaging and hh goods'!$AL$20+('R&amp;S - Packaging and hh goods'!$AL$21-'R&amp;S - Packaging and hh goods'!$AL$20)*(AG$3-$X$3)/10))-AG27*'R&amp;S - Packaging and hh goods'!$N$4/SUM('R&amp;S - Packaging and hh goods'!$L$4:$N$4)*('R&amp;S - Packaging and hh goods'!$G10*'R&amp;S - Packaging and hh goods'!$M$14*('R&amp;S - Packaging and hh goods'!$AM$20+('R&amp;S - Packaging and hh goods'!$AM$21-'R&amp;S - Packaging and hh goods'!$AM$20)*(AG$3-$X$3)/10))</f>
        <v>16.440131943616866</v>
      </c>
      <c r="AH37" s="284">
        <f>AH27*'R&amp;S - Packaging and hh goods'!$N$4/SUM('R&amp;S - Packaging and hh goods'!$L$4:$N$4)-AH27*'R&amp;S - Packaging and hh goods'!$N$4/SUM('R&amp;S - Packaging and hh goods'!$L$4:$N$4)*('R&amp;S - Packaging and hh goods'!$G7*'R&amp;S - Packaging and hh goods'!$L$14*('R&amp;S - Packaging and hh goods'!$AJ$20+('R&amp;S - Packaging and hh goods'!$AJ$21-'R&amp;S - Packaging and hh goods'!$AJ$20)*(AH$3-$X$3)/10))-AH27*'R&amp;S - Packaging and hh goods'!$N$4/SUM('R&amp;S - Packaging and hh goods'!$L$4:$N$4)*('R&amp;S - Packaging and hh goods'!$G8*'R&amp;S - Packaging and hh goods'!$L$14*('R&amp;S - Packaging and hh goods'!$AK$20+('R&amp;S - Packaging and hh goods'!$AK$21-'R&amp;S - Packaging and hh goods'!$AK$20)*(AH$3-$X$3)/10))-AH27*'R&amp;S - Packaging and hh goods'!$N$4/SUM('R&amp;S - Packaging and hh goods'!$L$4:$N$4)*('R&amp;S - Packaging and hh goods'!$G9*'R&amp;S - Packaging and hh goods'!$M$14*('R&amp;S - Packaging and hh goods'!$AL$20+('R&amp;S - Packaging and hh goods'!$AL$21-'R&amp;S - Packaging and hh goods'!$AL$20)*(AH$3-$X$3)/10))-AH27*'R&amp;S - Packaging and hh goods'!$N$4/SUM('R&amp;S - Packaging and hh goods'!$L$4:$N$4)*('R&amp;S - Packaging and hh goods'!$G10*'R&amp;S - Packaging and hh goods'!$M$14*('R&amp;S - Packaging and hh goods'!$AM$20+('R&amp;S - Packaging and hh goods'!$AM$21-'R&amp;S - Packaging and hh goods'!$AM$20)*(AH$3-$X$3)/10))</f>
        <v>15.329132855339669</v>
      </c>
      <c r="AJ37" s="284">
        <f>AJ27*'R&amp;S - Packaging and hh goods'!$N$4/SUM('R&amp;S - Packaging and hh goods'!$L$4:$N$4)</f>
        <v>33.557300929497657</v>
      </c>
      <c r="AK37" s="284">
        <f>AK27*'R&amp;S - Packaging and hh goods'!$N$4/SUM('R&amp;S - Packaging and hh goods'!$L$4:$N$4)-AK27*'R&amp;S - Packaging and hh goods'!$N$4/SUM('R&amp;S - Packaging and hh goods'!$L$4:$N$4)*'R&amp;S - Packaging and hh goods'!$G$7*('R&amp;S - Packaging and hh goods'!$L$15*'R&amp;S - Packaging and hh goods'!$AJ$19*(AK$3-$D$3)/10)-AK27*'R&amp;S - Packaging and hh goods'!$N$4/SUM('R&amp;S - Packaging and hh goods'!$L$4:$N$4)*'R&amp;S - Packaging and hh goods'!$G$8*('R&amp;S - Packaging and hh goods'!$L$15*'R&amp;S - Packaging and hh goods'!$AK$19*(AK$3-$D$3)/10)-AK27*'R&amp;S - Packaging and hh goods'!$N$4/SUM('R&amp;S - Packaging and hh goods'!$L$4:$N$4)*'R&amp;S - Packaging and hh goods'!$G$9*('R&amp;S - Packaging and hh goods'!$L$15*'R&amp;S - Packaging and hh goods'!$AL$19*(AK$3-$D$3)/10)-AK31*'R&amp;S - Packaging and hh goods'!$N$4/SUM('R&amp;S - Packaging and hh goods'!$L$4:$N$4)*'R&amp;S - Packaging and hh goods'!$G$10*('R&amp;S - Packaging and hh goods'!$L$15*'R&amp;S - Packaging and hh goods'!$AM$19*(AK$3-$D$3)/10)</f>
        <v>33.687552499928323</v>
      </c>
      <c r="AL37" s="284">
        <f>AL27*'R&amp;S - Packaging and hh goods'!$N$4/SUM('R&amp;S - Packaging and hh goods'!$L$4:$N$4)-AL27*'R&amp;S - Packaging and hh goods'!$N$4/SUM('R&amp;S - Packaging and hh goods'!$L$4:$N$4)*'R&amp;S - Packaging and hh goods'!$G$7*('R&amp;S - Packaging and hh goods'!$L$15*'R&amp;S - Packaging and hh goods'!$AJ$19*(AL$3-$D$3)/10)-AL27*'R&amp;S - Packaging and hh goods'!$N$4/SUM('R&amp;S - Packaging and hh goods'!$L$4:$N$4)*'R&amp;S - Packaging and hh goods'!$G$8*('R&amp;S - Packaging and hh goods'!$L$15*'R&amp;S - Packaging and hh goods'!$AK$19*(AL$3-$D$3)/10)-AL27*'R&amp;S - Packaging and hh goods'!$N$4/SUM('R&amp;S - Packaging and hh goods'!$L$4:$N$4)*'R&amp;S - Packaging and hh goods'!$G$9*('R&amp;S - Packaging and hh goods'!$L$15*'R&amp;S - Packaging and hh goods'!$AL$19*(AL$3-$D$3)/10)-AL31*'R&amp;S - Packaging and hh goods'!$N$4/SUM('R&amp;S - Packaging and hh goods'!$L$4:$N$4)*'R&amp;S - Packaging and hh goods'!$G$10*('R&amp;S - Packaging and hh goods'!$L$15*'R&amp;S - Packaging and hh goods'!$AM$19*(AL$3-$D$3)/10)</f>
        <v>33.816393036723596</v>
      </c>
      <c r="AM37" s="284">
        <f>AM27*'R&amp;S - Packaging and hh goods'!$N$4/SUM('R&amp;S - Packaging and hh goods'!$L$4:$N$4)-AM27*'R&amp;S - Packaging and hh goods'!$N$4/SUM('R&amp;S - Packaging and hh goods'!$L$4:$N$4)*'R&amp;S - Packaging and hh goods'!$G$7*('R&amp;S - Packaging and hh goods'!$L$15*'R&amp;S - Packaging and hh goods'!$AJ$19*(AM$3-$D$3)/10)-AM27*'R&amp;S - Packaging and hh goods'!$N$4/SUM('R&amp;S - Packaging and hh goods'!$L$4:$N$4)*'R&amp;S - Packaging and hh goods'!$G$8*('R&amp;S - Packaging and hh goods'!$L$15*'R&amp;S - Packaging and hh goods'!$AK$19*(AM$3-$D$3)/10)-AM27*'R&amp;S - Packaging and hh goods'!$N$4/SUM('R&amp;S - Packaging and hh goods'!$L$4:$N$4)*'R&amp;S - Packaging and hh goods'!$G$9*('R&amp;S - Packaging and hh goods'!$L$15*'R&amp;S - Packaging and hh goods'!$AL$19*(AM$3-$D$3)/10)-AM31*'R&amp;S - Packaging and hh goods'!$N$4/SUM('R&amp;S - Packaging and hh goods'!$L$4:$N$4)*'R&amp;S - Packaging and hh goods'!$G$10*('R&amp;S - Packaging and hh goods'!$L$15*'R&amp;S - Packaging and hh goods'!$AM$19*(AM$3-$D$3)/10)</f>
        <v>33.94377335922097</v>
      </c>
      <c r="AN37" s="284">
        <f>AN27*'R&amp;S - Packaging and hh goods'!$N$4/SUM('R&amp;S - Packaging and hh goods'!$L$4:$N$4)-AN27*'R&amp;S - Packaging and hh goods'!$N$4/SUM('R&amp;S - Packaging and hh goods'!$L$4:$N$4)*'R&amp;S - Packaging and hh goods'!$G$7*('R&amp;S - Packaging and hh goods'!$L$15*'R&amp;S - Packaging and hh goods'!$AJ$19*(AN$3-$D$3)/10)-AN27*'R&amp;S - Packaging and hh goods'!$N$4/SUM('R&amp;S - Packaging and hh goods'!$L$4:$N$4)*'R&amp;S - Packaging and hh goods'!$G$8*('R&amp;S - Packaging and hh goods'!$L$15*'R&amp;S - Packaging and hh goods'!$AK$19*(AN$3-$D$3)/10)-AN27*'R&amp;S - Packaging and hh goods'!$N$4/SUM('R&amp;S - Packaging and hh goods'!$L$4:$N$4)*'R&amp;S - Packaging and hh goods'!$G$9*('R&amp;S - Packaging and hh goods'!$L$15*'R&amp;S - Packaging and hh goods'!$AL$19*(AN$3-$D$3)/10)-AN31*'R&amp;S - Packaging and hh goods'!$N$4/SUM('R&amp;S - Packaging and hh goods'!$L$4:$N$4)*'R&amp;S - Packaging and hh goods'!$G$10*('R&amp;S - Packaging and hh goods'!$L$15*'R&amp;S - Packaging and hh goods'!$AM$19*(AN$3-$D$3)/10)</f>
        <v>34.069643349366167</v>
      </c>
      <c r="AO37" s="284">
        <f>AO27*'R&amp;S - Packaging and hh goods'!$N$4/SUM('R&amp;S - Packaging and hh goods'!$L$4:$N$4)-AO27*'R&amp;S - Packaging and hh goods'!$N$4/SUM('R&amp;S - Packaging and hh goods'!$L$4:$N$4)*'R&amp;S - Packaging and hh goods'!$G$7*('R&amp;S - Packaging and hh goods'!$L$15*'R&amp;S - Packaging and hh goods'!$AJ$19*(AO$3-$D$3)/10)-AO27*'R&amp;S - Packaging and hh goods'!$N$4/SUM('R&amp;S - Packaging and hh goods'!$L$4:$N$4)*'R&amp;S - Packaging and hh goods'!$G$8*('R&amp;S - Packaging and hh goods'!$L$15*'R&amp;S - Packaging and hh goods'!$AK$19*(AO$3-$D$3)/10)-AO27*'R&amp;S - Packaging and hh goods'!$N$4/SUM('R&amp;S - Packaging and hh goods'!$L$4:$N$4)*'R&amp;S - Packaging and hh goods'!$G$9*('R&amp;S - Packaging and hh goods'!$L$15*'R&amp;S - Packaging and hh goods'!$AL$19*(AO$3-$D$3)/10)-AO31*'R&amp;S - Packaging and hh goods'!$N$4/SUM('R&amp;S - Packaging and hh goods'!$L$4:$N$4)*'R&amp;S - Packaging and hh goods'!$G$10*('R&amp;S - Packaging and hh goods'!$L$15*'R&amp;S - Packaging and hh goods'!$AM$19*(AO$3-$D$3)/10)</f>
        <v>34.193951936753592</v>
      </c>
      <c r="AP37" s="284">
        <f>AP27*'R&amp;S - Packaging and hh goods'!$N$4/SUM('R&amp;S - Packaging and hh goods'!$L$4:$N$4)-AP27*'R&amp;S - Packaging and hh goods'!$N$4/SUM('R&amp;S - Packaging and hh goods'!$L$4:$N$4)*'R&amp;S - Packaging and hh goods'!$G$7*('R&amp;S - Packaging and hh goods'!$L$15*'R&amp;S - Packaging and hh goods'!$AJ$19*(AP$3-$D$3)/10)-AP27*'R&amp;S - Packaging and hh goods'!$N$4/SUM('R&amp;S - Packaging and hh goods'!$L$4:$N$4)*'R&amp;S - Packaging and hh goods'!$G$8*('R&amp;S - Packaging and hh goods'!$L$15*'R&amp;S - Packaging and hh goods'!$AK$19*(AP$3-$D$3)/10)-AP27*'R&amp;S - Packaging and hh goods'!$N$4/SUM('R&amp;S - Packaging and hh goods'!$L$4:$N$4)*'R&amp;S - Packaging and hh goods'!$G$9*('R&amp;S - Packaging and hh goods'!$L$15*'R&amp;S - Packaging and hh goods'!$AL$19*(AP$3-$D$3)/10)-AP31*'R&amp;S - Packaging and hh goods'!$N$4/SUM('R&amp;S - Packaging and hh goods'!$L$4:$N$4)*'R&amp;S - Packaging and hh goods'!$G$10*('R&amp;S - Packaging and hh goods'!$L$15*'R&amp;S - Packaging and hh goods'!$AM$19*(AP$3-$D$3)/10)</f>
        <v>34.316647083448188</v>
      </c>
      <c r="AQ37" s="284">
        <f>AQ27*'R&amp;S - Packaging and hh goods'!$N$4/SUM('R&amp;S - Packaging and hh goods'!$L$4:$N$4)-AQ27*'R&amp;S - Packaging and hh goods'!$N$4/SUM('R&amp;S - Packaging and hh goods'!$L$4:$N$4)*'R&amp;S - Packaging and hh goods'!$G$7*('R&amp;S - Packaging and hh goods'!$L$15*'R&amp;S - Packaging and hh goods'!$AJ$19*(AQ$3-$D$3)/10)-AQ27*'R&amp;S - Packaging and hh goods'!$N$4/SUM('R&amp;S - Packaging and hh goods'!$L$4:$N$4)*'R&amp;S - Packaging and hh goods'!$G$8*('R&amp;S - Packaging and hh goods'!$L$15*'R&amp;S - Packaging and hh goods'!$AK$19*(AQ$3-$D$3)/10)-AQ27*'R&amp;S - Packaging and hh goods'!$N$4/SUM('R&amp;S - Packaging and hh goods'!$L$4:$N$4)*'R&amp;S - Packaging and hh goods'!$G$9*('R&amp;S - Packaging and hh goods'!$L$15*'R&amp;S - Packaging and hh goods'!$AL$19*(AQ$3-$D$3)/10)-AQ31*'R&amp;S - Packaging and hh goods'!$N$4/SUM('R&amp;S - Packaging and hh goods'!$L$4:$N$4)*'R&amp;S - Packaging and hh goods'!$G$10*('R&amp;S - Packaging and hh goods'!$L$15*'R&amp;S - Packaging and hh goods'!$AM$19*(AQ$3-$D$3)/10)</f>
        <v>34.437675768585144</v>
      </c>
      <c r="AR37" s="284">
        <f>AR27*'R&amp;S - Packaging and hh goods'!$N$4/SUM('R&amp;S - Packaging and hh goods'!$L$4:$N$4)-AR27*'R&amp;S - Packaging and hh goods'!$N$4/SUM('R&amp;S - Packaging and hh goods'!$L$4:$N$4)*'R&amp;S - Packaging and hh goods'!$G$7*('R&amp;S - Packaging and hh goods'!$L$15*'R&amp;S - Packaging and hh goods'!$AJ$19*(AR$3-$D$3)/10)-AR27*'R&amp;S - Packaging and hh goods'!$N$4/SUM('R&amp;S - Packaging and hh goods'!$L$4:$N$4)*'R&amp;S - Packaging and hh goods'!$G$8*('R&amp;S - Packaging and hh goods'!$L$15*'R&amp;S - Packaging and hh goods'!$AK$19*(AR$3-$D$3)/10)-AR27*'R&amp;S - Packaging and hh goods'!$N$4/SUM('R&amp;S - Packaging and hh goods'!$L$4:$N$4)*'R&amp;S - Packaging and hh goods'!$G$9*('R&amp;S - Packaging and hh goods'!$L$15*'R&amp;S - Packaging and hh goods'!$AL$19*(AR$3-$D$3)/10)-AR31*'R&amp;S - Packaging and hh goods'!$N$4/SUM('R&amp;S - Packaging and hh goods'!$L$4:$N$4)*'R&amp;S - Packaging and hh goods'!$G$10*('R&amp;S - Packaging and hh goods'!$L$15*'R&amp;S - Packaging and hh goods'!$AM$19*(AR$3-$D$3)/10)</f>
        <v>34.556983972744852</v>
      </c>
      <c r="AS37" s="284">
        <f>AS27*'R&amp;S - Packaging and hh goods'!$N$4/SUM('R&amp;S - Packaging and hh goods'!$L$4:$N$4)-AS27*'R&amp;S - Packaging and hh goods'!$N$4/SUM('R&amp;S - Packaging and hh goods'!$L$4:$N$4)*'R&amp;S - Packaging and hh goods'!$G$7*('R&amp;S - Packaging and hh goods'!$L$15*'R&amp;S - Packaging and hh goods'!$AJ$19*(AS$3-$D$3)/10)-AS27*'R&amp;S - Packaging and hh goods'!$N$4/SUM('R&amp;S - Packaging and hh goods'!$L$4:$N$4)*'R&amp;S - Packaging and hh goods'!$G$8*('R&amp;S - Packaging and hh goods'!$L$15*'R&amp;S - Packaging and hh goods'!$AK$19*(AS$3-$D$3)/10)-AS27*'R&amp;S - Packaging and hh goods'!$N$4/SUM('R&amp;S - Packaging and hh goods'!$L$4:$N$4)*'R&amp;S - Packaging and hh goods'!$G$9*('R&amp;S - Packaging and hh goods'!$L$15*'R&amp;S - Packaging and hh goods'!$AL$19*(AS$3-$D$3)/10)-AS31*'R&amp;S - Packaging and hh goods'!$N$4/SUM('R&amp;S - Packaging and hh goods'!$L$4:$N$4)*'R&amp;S - Packaging and hh goods'!$G$10*('R&amp;S - Packaging and hh goods'!$L$15*'R&amp;S - Packaging and hh goods'!$AM$19*(AS$3-$D$3)/10)</f>
        <v>34.674516662099634</v>
      </c>
      <c r="AT37" s="284">
        <f>AT27*'R&amp;S - Packaging and hh goods'!$N$4/SUM('R&amp;S - Packaging and hh goods'!$L$4:$N$4)-AT27*'R&amp;S - Packaging and hh goods'!$N$4/SUM('R&amp;S - Packaging and hh goods'!$L$4:$N$4)*'R&amp;S - Packaging and hh goods'!$G$7*('R&amp;S - Packaging and hh goods'!$L$15*'R&amp;S - Packaging and hh goods'!$AJ$19*(AT$3-$D$3)/10)-AT27*'R&amp;S - Packaging and hh goods'!$N$4/SUM('R&amp;S - Packaging and hh goods'!$L$4:$N$4)*'R&amp;S - Packaging and hh goods'!$G$8*('R&amp;S - Packaging and hh goods'!$L$15*'R&amp;S - Packaging and hh goods'!$AK$19*(AT$3-$D$3)/10)-AT27*'R&amp;S - Packaging and hh goods'!$N$4/SUM('R&amp;S - Packaging and hh goods'!$L$4:$N$4)*'R&amp;S - Packaging and hh goods'!$G$9*('R&amp;S - Packaging and hh goods'!$L$15*'R&amp;S - Packaging and hh goods'!$AL$19*(AT$3-$D$3)/10)-AT31*'R&amp;S - Packaging and hh goods'!$N$4/SUM('R&amp;S - Packaging and hh goods'!$L$4:$N$4)*'R&amp;S - Packaging and hh goods'!$G$10*('R&amp;S - Packaging and hh goods'!$L$15*'R&amp;S - Packaging and hh goods'!$AM$19*(AT$3-$D$3)/10)</f>
        <v>34.790217772329235</v>
      </c>
      <c r="AU37" s="284">
        <f>AU27*'R&amp;S - Packaging and hh goods'!$N$4/SUM('R&amp;S - Packaging and hh goods'!$L$4:$N$4)-AU27*'R&amp;S - Packaging and hh goods'!$N$4/SUM('R&amp;S - Packaging and hh goods'!$L$4:$N$4)*('R&amp;S - Packaging and hh goods'!$G$7*'R&amp;S - Packaging and hh goods'!$L$15*('R&amp;S - Packaging and hh goods'!$AJ$19+('R&amp;S - Packaging and hh goods'!$AJ$20-'R&amp;S - Packaging and hh goods'!$AJ$19)*(AU$3-$N$3)/10))-AU27*'R&amp;S - Packaging and hh goods'!$N$4/SUM('R&amp;S - Packaging and hh goods'!$L$4:$N$4)*('R&amp;S - Packaging and hh goods'!$G$8*'R&amp;S - Packaging and hh goods'!$L$15*('R&amp;S - Packaging and hh goods'!$AK$19+('R&amp;S - Packaging and hh goods'!$AK$20-'R&amp;S - Packaging and hh goods'!$AK$19)*(AU$3-$N$3)/10))-AU27*'R&amp;S - Packaging and hh goods'!$N$4/SUM('R&amp;S - Packaging and hh goods'!$L$4:$N$4)*('R&amp;S - Packaging and hh goods'!$G$9*'R&amp;S - Packaging and hh goods'!$M$15*('R&amp;S - Packaging and hh goods'!$AL$19+('R&amp;S - Packaging and hh goods'!$AL$20-'R&amp;S - Packaging and hh goods'!$AL$19)*(AU$3-$N$3)/10))-AU27*'R&amp;S - Packaging and hh goods'!$N$4/SUM('R&amp;S - Packaging and hh goods'!$L$4:$N$4)*('R&amp;S - Packaging and hh goods'!$G$10*'R&amp;S - Packaging and hh goods'!$M$15*('R&amp;S - Packaging and hh goods'!$AM$19+('R&amp;S - Packaging and hh goods'!$AM$20-'R&amp;S - Packaging and hh goods'!$AM$19)*(AU$3-$N$3)/10))</f>
        <v>33.510423183490033</v>
      </c>
      <c r="AV37" s="284">
        <f>AV27*'R&amp;S - Packaging and hh goods'!$N$4/SUM('R&amp;S - Packaging and hh goods'!$L$4:$N$4)-AV27*'R&amp;S - Packaging and hh goods'!$N$4/SUM('R&amp;S - Packaging and hh goods'!$L$4:$N$4)*('R&amp;S - Packaging and hh goods'!$G$7*'R&amp;S - Packaging and hh goods'!$L$15*('R&amp;S - Packaging and hh goods'!$AJ$19+('R&amp;S - Packaging and hh goods'!$AJ$20-'R&amp;S - Packaging and hh goods'!$AJ$19)*(AV$3-$N$3)/10))-AV27*'R&amp;S - Packaging and hh goods'!$N$4/SUM('R&amp;S - Packaging and hh goods'!$L$4:$N$4)*('R&amp;S - Packaging and hh goods'!$G$8*'R&amp;S - Packaging and hh goods'!$L$15*('R&amp;S - Packaging and hh goods'!$AK$19+('R&amp;S - Packaging and hh goods'!$AK$20-'R&amp;S - Packaging and hh goods'!$AK$19)*(AV$3-$N$3)/10))-AV27*'R&amp;S - Packaging and hh goods'!$N$4/SUM('R&amp;S - Packaging and hh goods'!$L$4:$N$4)*('R&amp;S - Packaging and hh goods'!$G$9*'R&amp;S - Packaging and hh goods'!$M$15*('R&amp;S - Packaging and hh goods'!$AL$19+('R&amp;S - Packaging and hh goods'!$AL$20-'R&amp;S - Packaging and hh goods'!$AL$19)*(AV$3-$N$3)/10))-AV27*'R&amp;S - Packaging and hh goods'!$N$4/SUM('R&amp;S - Packaging and hh goods'!$L$4:$N$4)*('R&amp;S - Packaging and hh goods'!$G$10*'R&amp;S - Packaging and hh goods'!$M$15*('R&amp;S - Packaging and hh goods'!$AM$19+('R&amp;S - Packaging and hh goods'!$AM$20-'R&amp;S - Packaging and hh goods'!$AM$19)*(AV$3-$N$3)/10))</f>
        <v>33.096266001390148</v>
      </c>
      <c r="AW37" s="284">
        <f>AW27*'R&amp;S - Packaging and hh goods'!$N$4/SUM('R&amp;S - Packaging and hh goods'!$L$4:$N$4)-AW27*'R&amp;S - Packaging and hh goods'!$N$4/SUM('R&amp;S - Packaging and hh goods'!$L$4:$N$4)*('R&amp;S - Packaging and hh goods'!$G$7*'R&amp;S - Packaging and hh goods'!$L$15*('R&amp;S - Packaging and hh goods'!$AJ$19+('R&amp;S - Packaging and hh goods'!$AJ$20-'R&amp;S - Packaging and hh goods'!$AJ$19)*(AW$3-$N$3)/10))-AW27*'R&amp;S - Packaging and hh goods'!$N$4/SUM('R&amp;S - Packaging and hh goods'!$L$4:$N$4)*('R&amp;S - Packaging and hh goods'!$G$8*'R&amp;S - Packaging and hh goods'!$L$15*('R&amp;S - Packaging and hh goods'!$AK$19+('R&amp;S - Packaging and hh goods'!$AK$20-'R&amp;S - Packaging and hh goods'!$AK$19)*(AW$3-$N$3)/10))-AW27*'R&amp;S - Packaging and hh goods'!$N$4/SUM('R&amp;S - Packaging and hh goods'!$L$4:$N$4)*('R&amp;S - Packaging and hh goods'!$G$9*'R&amp;S - Packaging and hh goods'!$M$15*('R&amp;S - Packaging and hh goods'!$AL$19+('R&amp;S - Packaging and hh goods'!$AL$20-'R&amp;S - Packaging and hh goods'!$AL$19)*(AW$3-$N$3)/10))-AW27*'R&amp;S - Packaging and hh goods'!$N$4/SUM('R&amp;S - Packaging and hh goods'!$L$4:$N$4)*('R&amp;S - Packaging and hh goods'!$G$10*'R&amp;S - Packaging and hh goods'!$M$15*('R&amp;S - Packaging and hh goods'!$AM$19+('R&amp;S - Packaging and hh goods'!$AM$20-'R&amp;S - Packaging and hh goods'!$AM$19)*(AW$3-$N$3)/10))</f>
        <v>32.66894260007885</v>
      </c>
      <c r="AX37" s="284">
        <f>AX27*'R&amp;S - Packaging and hh goods'!$N$4/SUM('R&amp;S - Packaging and hh goods'!$L$4:$N$4)-AX27*'R&amp;S - Packaging and hh goods'!$N$4/SUM('R&amp;S - Packaging and hh goods'!$L$4:$N$4)*('R&amp;S - Packaging and hh goods'!$G$7*'R&amp;S - Packaging and hh goods'!$L$15*('R&amp;S - Packaging and hh goods'!$AJ$19+('R&amp;S - Packaging and hh goods'!$AJ$20-'R&amp;S - Packaging and hh goods'!$AJ$19)*(AX$3-$N$3)/10))-AX27*'R&amp;S - Packaging and hh goods'!$N$4/SUM('R&amp;S - Packaging and hh goods'!$L$4:$N$4)*('R&amp;S - Packaging and hh goods'!$G$8*'R&amp;S - Packaging and hh goods'!$L$15*('R&amp;S - Packaging and hh goods'!$AK$19+('R&amp;S - Packaging and hh goods'!$AK$20-'R&amp;S - Packaging and hh goods'!$AK$19)*(AX$3-$N$3)/10))-AX27*'R&amp;S - Packaging and hh goods'!$N$4/SUM('R&amp;S - Packaging and hh goods'!$L$4:$N$4)*('R&amp;S - Packaging and hh goods'!$G$9*'R&amp;S - Packaging and hh goods'!$M$15*('R&amp;S - Packaging and hh goods'!$AL$19+('R&amp;S - Packaging and hh goods'!$AL$20-'R&amp;S - Packaging and hh goods'!$AL$19)*(AX$3-$N$3)/10))-AX27*'R&amp;S - Packaging and hh goods'!$N$4/SUM('R&amp;S - Packaging and hh goods'!$L$4:$N$4)*('R&amp;S - Packaging and hh goods'!$G$10*'R&amp;S - Packaging and hh goods'!$M$15*('R&amp;S - Packaging and hh goods'!$AM$19+('R&amp;S - Packaging and hh goods'!$AM$20-'R&amp;S - Packaging and hh goods'!$AM$19)*(AX$3-$N$3)/10))</f>
        <v>32.228213435752544</v>
      </c>
      <c r="AY37" s="284">
        <f>AY27*'R&amp;S - Packaging and hh goods'!$N$4/SUM('R&amp;S - Packaging and hh goods'!$L$4:$N$4)-AY27*'R&amp;S - Packaging and hh goods'!$N$4/SUM('R&amp;S - Packaging and hh goods'!$L$4:$N$4)*('R&amp;S - Packaging and hh goods'!$G$7*'R&amp;S - Packaging and hh goods'!$L$15*('R&amp;S - Packaging and hh goods'!$AJ$19+('R&amp;S - Packaging and hh goods'!$AJ$20-'R&amp;S - Packaging and hh goods'!$AJ$19)*(AY$3-$N$3)/10))-AY27*'R&amp;S - Packaging and hh goods'!$N$4/SUM('R&amp;S - Packaging and hh goods'!$L$4:$N$4)*('R&amp;S - Packaging and hh goods'!$G$8*'R&amp;S - Packaging and hh goods'!$L$15*('R&amp;S - Packaging and hh goods'!$AK$19+('R&amp;S - Packaging and hh goods'!$AK$20-'R&amp;S - Packaging and hh goods'!$AK$19)*(AY$3-$N$3)/10))-AY27*'R&amp;S - Packaging and hh goods'!$N$4/SUM('R&amp;S - Packaging and hh goods'!$L$4:$N$4)*('R&amp;S - Packaging and hh goods'!$G$9*'R&amp;S - Packaging and hh goods'!$M$15*('R&amp;S - Packaging and hh goods'!$AL$19+('R&amp;S - Packaging and hh goods'!$AL$20-'R&amp;S - Packaging and hh goods'!$AL$19)*(AY$3-$N$3)/10))-AY27*'R&amp;S - Packaging and hh goods'!$N$4/SUM('R&amp;S - Packaging and hh goods'!$L$4:$N$4)*('R&amp;S - Packaging and hh goods'!$G$10*'R&amp;S - Packaging and hh goods'!$M$15*('R&amp;S - Packaging and hh goods'!$AM$19+('R&amp;S - Packaging and hh goods'!$AM$20-'R&amp;S - Packaging and hh goods'!$AM$19)*(AY$3-$N$3)/10))</f>
        <v>31.773835287756448</v>
      </c>
      <c r="AZ37" s="284">
        <f>AZ27*'R&amp;S - Packaging and hh goods'!$N$4/SUM('R&amp;S - Packaging and hh goods'!$L$4:$N$4)-AZ27*'R&amp;S - Packaging and hh goods'!$N$4/SUM('R&amp;S - Packaging and hh goods'!$L$4:$N$4)*('R&amp;S - Packaging and hh goods'!$G$7*'R&amp;S - Packaging and hh goods'!$L$15*('R&amp;S - Packaging and hh goods'!$AJ$19+('R&amp;S - Packaging and hh goods'!$AJ$20-'R&amp;S - Packaging and hh goods'!$AJ$19)*(AZ$3-$N$3)/10))-AZ27*'R&amp;S - Packaging and hh goods'!$N$4/SUM('R&amp;S - Packaging and hh goods'!$L$4:$N$4)*('R&amp;S - Packaging and hh goods'!$G$8*'R&amp;S - Packaging and hh goods'!$L$15*('R&amp;S - Packaging and hh goods'!$AK$19+('R&amp;S - Packaging and hh goods'!$AK$20-'R&amp;S - Packaging and hh goods'!$AK$19)*(AZ$3-$N$3)/10))-AZ27*'R&amp;S - Packaging and hh goods'!$N$4/SUM('R&amp;S - Packaging and hh goods'!$L$4:$N$4)*('R&amp;S - Packaging and hh goods'!$G$9*'R&amp;S - Packaging and hh goods'!$M$15*('R&amp;S - Packaging and hh goods'!$AL$19+('R&amp;S - Packaging and hh goods'!$AL$20-'R&amp;S - Packaging and hh goods'!$AL$19)*(AZ$3-$N$3)/10))-AZ27*'R&amp;S - Packaging and hh goods'!$N$4/SUM('R&amp;S - Packaging and hh goods'!$L$4:$N$4)*('R&amp;S - Packaging and hh goods'!$G$10*'R&amp;S - Packaging and hh goods'!$M$15*('R&amp;S - Packaging and hh goods'!$AM$19+('R&amp;S - Packaging and hh goods'!$AM$20-'R&amp;S - Packaging and hh goods'!$AM$19)*(AZ$3-$N$3)/10))</f>
        <v>31.305561206678711</v>
      </c>
      <c r="BA37" s="284">
        <f>BA27*'R&amp;S - Packaging and hh goods'!$N$4/SUM('R&amp;S - Packaging and hh goods'!$L$4:$N$4)-BA27*'R&amp;S - Packaging and hh goods'!$N$4/SUM('R&amp;S - Packaging and hh goods'!$L$4:$N$4)*('R&amp;S - Packaging and hh goods'!$G$7*'R&amp;S - Packaging and hh goods'!$L$15*('R&amp;S - Packaging and hh goods'!$AJ$19+('R&amp;S - Packaging and hh goods'!$AJ$20-'R&amp;S - Packaging and hh goods'!$AJ$19)*(BA$3-$N$3)/10))-BA27*'R&amp;S - Packaging and hh goods'!$N$4/SUM('R&amp;S - Packaging and hh goods'!$L$4:$N$4)*('R&amp;S - Packaging and hh goods'!$G$8*'R&amp;S - Packaging and hh goods'!$L$15*('R&amp;S - Packaging and hh goods'!$AK$19+('R&amp;S - Packaging and hh goods'!$AK$20-'R&amp;S - Packaging and hh goods'!$AK$19)*(BA$3-$N$3)/10))-BA27*'R&amp;S - Packaging and hh goods'!$N$4/SUM('R&amp;S - Packaging and hh goods'!$L$4:$N$4)*('R&amp;S - Packaging and hh goods'!$G$9*'R&amp;S - Packaging and hh goods'!$M$15*('R&amp;S - Packaging and hh goods'!$AL$19+('R&amp;S - Packaging and hh goods'!$AL$20-'R&amp;S - Packaging and hh goods'!$AL$19)*(BA$3-$N$3)/10))-BA27*'R&amp;S - Packaging and hh goods'!$N$4/SUM('R&amp;S - Packaging and hh goods'!$L$4:$N$4)*('R&amp;S - Packaging and hh goods'!$G$10*'R&amp;S - Packaging and hh goods'!$M$15*('R&amp;S - Packaging and hh goods'!$AM$19+('R&amp;S - Packaging and hh goods'!$AM$20-'R&amp;S - Packaging and hh goods'!$AM$19)*(BA$3-$N$3)/10))</f>
        <v>30.823140461747453</v>
      </c>
      <c r="BB37" s="284">
        <f>BB27*'R&amp;S - Packaging and hh goods'!$N$4/SUM('R&amp;S - Packaging and hh goods'!$L$4:$N$4)-BB27*'R&amp;S - Packaging and hh goods'!$N$4/SUM('R&amp;S - Packaging and hh goods'!$L$4:$N$4)*('R&amp;S - Packaging and hh goods'!$G$7*'R&amp;S - Packaging and hh goods'!$L$15*('R&amp;S - Packaging and hh goods'!$AJ$19+('R&amp;S - Packaging and hh goods'!$AJ$20-'R&amp;S - Packaging and hh goods'!$AJ$19)*(BB$3-$N$3)/10))-BB27*'R&amp;S - Packaging and hh goods'!$N$4/SUM('R&amp;S - Packaging and hh goods'!$L$4:$N$4)*('R&amp;S - Packaging and hh goods'!$G$8*'R&amp;S - Packaging and hh goods'!$L$15*('R&amp;S - Packaging and hh goods'!$AK$19+('R&amp;S - Packaging and hh goods'!$AK$20-'R&amp;S - Packaging and hh goods'!$AK$19)*(BB$3-$N$3)/10))-BB27*'R&amp;S - Packaging and hh goods'!$N$4/SUM('R&amp;S - Packaging and hh goods'!$L$4:$N$4)*('R&amp;S - Packaging and hh goods'!$G$9*'R&amp;S - Packaging and hh goods'!$M$15*('R&amp;S - Packaging and hh goods'!$AL$19+('R&amp;S - Packaging and hh goods'!$AL$20-'R&amp;S - Packaging and hh goods'!$AL$19)*(BB$3-$N$3)/10))-BB27*'R&amp;S - Packaging and hh goods'!$N$4/SUM('R&amp;S - Packaging and hh goods'!$L$4:$N$4)*('R&amp;S - Packaging and hh goods'!$G$10*'R&amp;S - Packaging and hh goods'!$M$15*('R&amp;S - Packaging and hh goods'!$AM$19+('R&amp;S - Packaging and hh goods'!$AM$20-'R&amp;S - Packaging and hh goods'!$AM$19)*(BB$3-$N$3)/10))</f>
        <v>30.326318487521689</v>
      </c>
      <c r="BC37" s="284">
        <f>BC27*'R&amp;S - Packaging and hh goods'!$N$4/SUM('R&amp;S - Packaging and hh goods'!$L$4:$N$4)-BC27*'R&amp;S - Packaging and hh goods'!$N$4/SUM('R&amp;S - Packaging and hh goods'!$L$4:$N$4)*('R&amp;S - Packaging and hh goods'!$G$7*'R&amp;S - Packaging and hh goods'!$L$15*('R&amp;S - Packaging and hh goods'!$AJ$19+('R&amp;S - Packaging and hh goods'!$AJ$20-'R&amp;S - Packaging and hh goods'!$AJ$19)*(BC$3-$N$3)/10))-BC27*'R&amp;S - Packaging and hh goods'!$N$4/SUM('R&amp;S - Packaging and hh goods'!$L$4:$N$4)*('R&amp;S - Packaging and hh goods'!$G$8*'R&amp;S - Packaging and hh goods'!$L$15*('R&amp;S - Packaging and hh goods'!$AK$19+('R&amp;S - Packaging and hh goods'!$AK$20-'R&amp;S - Packaging and hh goods'!$AK$19)*(BC$3-$N$3)/10))-BC27*'R&amp;S - Packaging and hh goods'!$N$4/SUM('R&amp;S - Packaging and hh goods'!$L$4:$N$4)*('R&amp;S - Packaging and hh goods'!$G$9*'R&amp;S - Packaging and hh goods'!$M$15*('R&amp;S - Packaging and hh goods'!$AL$19+('R&amp;S - Packaging and hh goods'!$AL$20-'R&amp;S - Packaging and hh goods'!$AL$19)*(BC$3-$N$3)/10))-BC27*'R&amp;S - Packaging and hh goods'!$N$4/SUM('R&amp;S - Packaging and hh goods'!$L$4:$N$4)*('R&amp;S - Packaging and hh goods'!$G$10*'R&amp;S - Packaging and hh goods'!$M$15*('R&amp;S - Packaging and hh goods'!$AM$19+('R&amp;S - Packaging and hh goods'!$AM$20-'R&amp;S - Packaging and hh goods'!$AM$19)*(BC$3-$N$3)/10))</f>
        <v>29.814836829867094</v>
      </c>
      <c r="BD37" s="284">
        <f>BD27*'R&amp;S - Packaging and hh goods'!$N$4/SUM('R&amp;S - Packaging and hh goods'!$L$4:$N$4)-BD27*'R&amp;S - Packaging and hh goods'!$N$4/SUM('R&amp;S - Packaging and hh goods'!$L$4:$N$4)*('R&amp;S - Packaging and hh goods'!$G$7*'R&amp;S - Packaging and hh goods'!$L$15*('R&amp;S - Packaging and hh goods'!$AJ$19+('R&amp;S - Packaging and hh goods'!$AJ$20-'R&amp;S - Packaging and hh goods'!$AJ$19)*(BD$3-$N$3)/10))-BD27*'R&amp;S - Packaging and hh goods'!$N$4/SUM('R&amp;S - Packaging and hh goods'!$L$4:$N$4)*('R&amp;S - Packaging and hh goods'!$G$8*'R&amp;S - Packaging and hh goods'!$L$15*('R&amp;S - Packaging and hh goods'!$AK$19+('R&amp;S - Packaging and hh goods'!$AK$20-'R&amp;S - Packaging and hh goods'!$AK$19)*(BD$3-$N$3)/10))-BD27*'R&amp;S - Packaging and hh goods'!$N$4/SUM('R&amp;S - Packaging and hh goods'!$L$4:$N$4)*('R&amp;S - Packaging and hh goods'!$G$9*'R&amp;S - Packaging and hh goods'!$M$15*('R&amp;S - Packaging and hh goods'!$AL$19+('R&amp;S - Packaging and hh goods'!$AL$20-'R&amp;S - Packaging and hh goods'!$AL$19)*(BD$3-$N$3)/10))-BD27*'R&amp;S - Packaging and hh goods'!$N$4/SUM('R&amp;S - Packaging and hh goods'!$L$4:$N$4)*('R&amp;S - Packaging and hh goods'!$G$10*'R&amp;S - Packaging and hh goods'!$M$15*('R&amp;S - Packaging and hh goods'!$AM$19+('R&amp;S - Packaging and hh goods'!$AM$20-'R&amp;S - Packaging and hh goods'!$AM$19)*(BD$3-$N$3)/10))</f>
        <v>29.288433091207104</v>
      </c>
      <c r="BE37" s="284">
        <f>BE27*'R&amp;S - Packaging and hh goods'!$N$4/SUM('R&amp;S - Packaging and hh goods'!$L$4:$N$4)-BE27*'R&amp;S - Packaging and hh goods'!$N$4/SUM('R&amp;S - Packaging and hh goods'!$L$4:$N$4)*('R&amp;S - Packaging and hh goods'!$G7*'R&amp;S - Packaging and hh goods'!$L$15*('R&amp;S - Packaging and hh goods'!$AJ$20+('R&amp;S - Packaging and hh goods'!$AJ$21-'R&amp;S - Packaging and hh goods'!$AJ$20)*(BE$3-$X$3)/10))-BE27*'R&amp;S - Packaging and hh goods'!$N$4/SUM('R&amp;S - Packaging and hh goods'!$L$4:$N$4)*('R&amp;S - Packaging and hh goods'!$G8*'R&amp;S - Packaging and hh goods'!$L$15*('R&amp;S - Packaging and hh goods'!$AK$20+('R&amp;S - Packaging and hh goods'!$AK$21-'R&amp;S - Packaging and hh goods'!$AK$20)*(BE$3-$X$3)/10))-BE27*'R&amp;S - Packaging and hh goods'!$N$4/SUM('R&amp;S - Packaging and hh goods'!$L$4:$N$4)*('R&amp;S - Packaging and hh goods'!$G9*'R&amp;S - Packaging and hh goods'!$M$15*('R&amp;S - Packaging and hh goods'!$AL$20+('R&amp;S - Packaging and hh goods'!$AL$21-'R&amp;S - Packaging and hh goods'!$AL$20)*(BE$3-$X$3)/10))-BE27*'R&amp;S - Packaging and hh goods'!$N$4/SUM('R&amp;S - Packaging and hh goods'!$L$4:$N$4)*('R&amp;S - Packaging and hh goods'!$G10*'R&amp;S - Packaging and hh goods'!$M$15*('R&amp;S - Packaging and hh goods'!$AM$20+('R&amp;S - Packaging and hh goods'!$AM$21-'R&amp;S - Packaging and hh goods'!$AM$20)*(BE$3-$X$3)/10))</f>
        <v>28.727693050998319</v>
      </c>
      <c r="BF37" s="284">
        <f>BF27*'R&amp;S - Packaging and hh goods'!$N$4/SUM('R&amp;S - Packaging and hh goods'!$L$4:$N$4)-BF27*'R&amp;S - Packaging and hh goods'!$N$4/SUM('R&amp;S - Packaging and hh goods'!$L$4:$N$4)*('R&amp;S - Packaging and hh goods'!$G7*'R&amp;S - Packaging and hh goods'!$L$15*('R&amp;S - Packaging and hh goods'!$AJ$20+('R&amp;S - Packaging and hh goods'!$AJ$21-'R&amp;S - Packaging and hh goods'!$AJ$20)*(BF$3-$X$3)/10))-BF27*'R&amp;S - Packaging and hh goods'!$N$4/SUM('R&amp;S - Packaging and hh goods'!$L$4:$N$4)*('R&amp;S - Packaging and hh goods'!$G8*'R&amp;S - Packaging and hh goods'!$L$15*('R&amp;S - Packaging and hh goods'!$AK$20+('R&amp;S - Packaging and hh goods'!$AK$21-'R&amp;S - Packaging and hh goods'!$AK$20)*(BF$3-$X$3)/10))-BF27*'R&amp;S - Packaging and hh goods'!$N$4/SUM('R&amp;S - Packaging and hh goods'!$L$4:$N$4)*('R&amp;S - Packaging and hh goods'!$G9*'R&amp;S - Packaging and hh goods'!$M$15*('R&amp;S - Packaging and hh goods'!$AL$20+('R&amp;S - Packaging and hh goods'!$AL$21-'R&amp;S - Packaging and hh goods'!$AL$20)*(BF$3-$X$3)/10))-BF27*'R&amp;S - Packaging and hh goods'!$N$4/SUM('R&amp;S - Packaging and hh goods'!$L$4:$N$4)*('R&amp;S - Packaging and hh goods'!$G10*'R&amp;S - Packaging and hh goods'!$M$15*('R&amp;S - Packaging and hh goods'!$AM$20+('R&amp;S - Packaging and hh goods'!$AM$21-'R&amp;S - Packaging and hh goods'!$AM$20)*(BF$3-$X$3)/10))</f>
        <v>28.151072829500915</v>
      </c>
      <c r="BG37" s="284">
        <f>BG27*'R&amp;S - Packaging and hh goods'!$N$4/SUM('R&amp;S - Packaging and hh goods'!$L$4:$N$4)-BG27*'R&amp;S - Packaging and hh goods'!$N$4/SUM('R&amp;S - Packaging and hh goods'!$L$4:$N$4)*('R&amp;S - Packaging and hh goods'!$G7*'R&amp;S - Packaging and hh goods'!$L$15*('R&amp;S - Packaging and hh goods'!$AJ$20+('R&amp;S - Packaging and hh goods'!$AJ$21-'R&amp;S - Packaging and hh goods'!$AJ$20)*(BG$3-$X$3)/10))-BG27*'R&amp;S - Packaging and hh goods'!$N$4/SUM('R&amp;S - Packaging and hh goods'!$L$4:$N$4)*('R&amp;S - Packaging and hh goods'!$G8*'R&amp;S - Packaging and hh goods'!$L$15*('R&amp;S - Packaging and hh goods'!$AK$20+('R&amp;S - Packaging and hh goods'!$AK$21-'R&amp;S - Packaging and hh goods'!$AK$20)*(BG$3-$X$3)/10))-BG27*'R&amp;S - Packaging and hh goods'!$N$4/SUM('R&amp;S - Packaging and hh goods'!$L$4:$N$4)*('R&amp;S - Packaging and hh goods'!$G9*'R&amp;S - Packaging and hh goods'!$M$15*('R&amp;S - Packaging and hh goods'!$AL$20+('R&amp;S - Packaging and hh goods'!$AL$21-'R&amp;S - Packaging and hh goods'!$AL$20)*(BG$3-$X$3)/10))-BG27*'R&amp;S - Packaging and hh goods'!$N$4/SUM('R&amp;S - Packaging and hh goods'!$L$4:$N$4)*('R&amp;S - Packaging and hh goods'!$G10*'R&amp;S - Packaging and hh goods'!$M$15*('R&amp;S - Packaging and hh goods'!$AM$20+('R&amp;S - Packaging and hh goods'!$AM$21-'R&amp;S - Packaging and hh goods'!$AM$20)*(BG$3-$X$3)/10))</f>
        <v>27.558290912271396</v>
      </c>
      <c r="BH37" s="284">
        <f>BH27*'R&amp;S - Packaging and hh goods'!$N$4/SUM('R&amp;S - Packaging and hh goods'!$L$4:$N$4)-BH27*'R&amp;S - Packaging and hh goods'!$N$4/SUM('R&amp;S - Packaging and hh goods'!$L$4:$N$4)*('R&amp;S - Packaging and hh goods'!$G7*'R&amp;S - Packaging and hh goods'!$L$15*('R&amp;S - Packaging and hh goods'!$AJ$20+('R&amp;S - Packaging and hh goods'!$AJ$21-'R&amp;S - Packaging and hh goods'!$AJ$20)*(BH$3-$X$3)/10))-BH27*'R&amp;S - Packaging and hh goods'!$N$4/SUM('R&amp;S - Packaging and hh goods'!$L$4:$N$4)*('R&amp;S - Packaging and hh goods'!$G8*'R&amp;S - Packaging and hh goods'!$L$15*('R&amp;S - Packaging and hh goods'!$AK$20+('R&amp;S - Packaging and hh goods'!$AK$21-'R&amp;S - Packaging and hh goods'!$AK$20)*(BH$3-$X$3)/10))-BH27*'R&amp;S - Packaging and hh goods'!$N$4/SUM('R&amp;S - Packaging and hh goods'!$L$4:$N$4)*('R&amp;S - Packaging and hh goods'!$G9*'R&amp;S - Packaging and hh goods'!$M$15*('R&amp;S - Packaging and hh goods'!$AL$20+('R&amp;S - Packaging and hh goods'!$AL$21-'R&amp;S - Packaging and hh goods'!$AL$20)*(BH$3-$X$3)/10))-BH27*'R&amp;S - Packaging and hh goods'!$N$4/SUM('R&amp;S - Packaging and hh goods'!$L$4:$N$4)*('R&amp;S - Packaging and hh goods'!$G10*'R&amp;S - Packaging and hh goods'!$M$15*('R&amp;S - Packaging and hh goods'!$AM$20+('R&amp;S - Packaging and hh goods'!$AM$21-'R&amp;S - Packaging and hh goods'!$AM$20)*(BH$3-$X$3)/10))</f>
        <v>26.949061513050456</v>
      </c>
      <c r="BI37" s="284">
        <f>BI27*'R&amp;S - Packaging and hh goods'!$N$4/SUM('R&amp;S - Packaging and hh goods'!$L$4:$N$4)-BI27*'R&amp;S - Packaging and hh goods'!$N$4/SUM('R&amp;S - Packaging and hh goods'!$L$4:$N$4)*('R&amp;S - Packaging and hh goods'!$G7*'R&amp;S - Packaging and hh goods'!$L$15*('R&amp;S - Packaging and hh goods'!$AJ$20+('R&amp;S - Packaging and hh goods'!$AJ$21-'R&amp;S - Packaging and hh goods'!$AJ$20)*(BI$3-$X$3)/10))-BI27*'R&amp;S - Packaging and hh goods'!$N$4/SUM('R&amp;S - Packaging and hh goods'!$L$4:$N$4)*('R&amp;S - Packaging and hh goods'!$G8*'R&amp;S - Packaging and hh goods'!$L$15*('R&amp;S - Packaging and hh goods'!$AK$20+('R&amp;S - Packaging and hh goods'!$AK$21-'R&amp;S - Packaging and hh goods'!$AK$20)*(BI$3-$X$3)/10))-BI27*'R&amp;S - Packaging and hh goods'!$N$4/SUM('R&amp;S - Packaging and hh goods'!$L$4:$N$4)*('R&amp;S - Packaging and hh goods'!$G9*'R&amp;S - Packaging and hh goods'!$M$15*('R&amp;S - Packaging and hh goods'!$AL$20+('R&amp;S - Packaging and hh goods'!$AL$21-'R&amp;S - Packaging and hh goods'!$AL$20)*(BI$3-$X$3)/10))-BI27*'R&amp;S - Packaging and hh goods'!$N$4/SUM('R&amp;S - Packaging and hh goods'!$L$4:$N$4)*('R&amp;S - Packaging and hh goods'!$G10*'R&amp;S - Packaging and hh goods'!$M$15*('R&amp;S - Packaging and hh goods'!$AM$20+('R&amp;S - Packaging and hh goods'!$AM$21-'R&amp;S - Packaging and hh goods'!$AM$20)*(BI$3-$X$3)/10))</f>
        <v>26.323094513846272</v>
      </c>
      <c r="BJ37" s="284">
        <f>BJ27*'R&amp;S - Packaging and hh goods'!$N$4/SUM('R&amp;S - Packaging and hh goods'!$L$4:$N$4)-BJ27*'R&amp;S - Packaging and hh goods'!$N$4/SUM('R&amp;S - Packaging and hh goods'!$L$4:$N$4)*('R&amp;S - Packaging and hh goods'!$G7*'R&amp;S - Packaging and hh goods'!$L$15*('R&amp;S - Packaging and hh goods'!$AJ$20+('R&amp;S - Packaging and hh goods'!$AJ$21-'R&amp;S - Packaging and hh goods'!$AJ$20)*(BJ$3-$X$3)/10))-BJ27*'R&amp;S - Packaging and hh goods'!$N$4/SUM('R&amp;S - Packaging and hh goods'!$L$4:$N$4)*('R&amp;S - Packaging and hh goods'!$G8*'R&amp;S - Packaging and hh goods'!$L$15*('R&amp;S - Packaging and hh goods'!$AK$20+('R&amp;S - Packaging and hh goods'!$AK$21-'R&amp;S - Packaging and hh goods'!$AK$20)*(BJ$3-$X$3)/10))-BJ27*'R&amp;S - Packaging and hh goods'!$N$4/SUM('R&amp;S - Packaging and hh goods'!$L$4:$N$4)*('R&amp;S - Packaging and hh goods'!$G9*'R&amp;S - Packaging and hh goods'!$M$15*('R&amp;S - Packaging and hh goods'!$AL$20+('R&amp;S - Packaging and hh goods'!$AL$21-'R&amp;S - Packaging and hh goods'!$AL$20)*(BJ$3-$X$3)/10))-BJ27*'R&amp;S - Packaging and hh goods'!$N$4/SUM('R&amp;S - Packaging and hh goods'!$L$4:$N$4)*('R&amp;S - Packaging and hh goods'!$G10*'R&amp;S - Packaging and hh goods'!$M$15*('R&amp;S - Packaging and hh goods'!$AM$20+('R&amp;S - Packaging and hh goods'!$AM$21-'R&amp;S - Packaging and hh goods'!$AM$20)*(BJ$3-$X$3)/10))</f>
        <v>25.680095404216516</v>
      </c>
      <c r="BK37" s="284">
        <f>BK27*'R&amp;S - Packaging and hh goods'!$N$4/SUM('R&amp;S - Packaging and hh goods'!$L$4:$N$4)-BK27*'R&amp;S - Packaging and hh goods'!$N$4/SUM('R&amp;S - Packaging and hh goods'!$L$4:$N$4)*('R&amp;S - Packaging and hh goods'!$G7*'R&amp;S - Packaging and hh goods'!$L$15*('R&amp;S - Packaging and hh goods'!$AJ$20+('R&amp;S - Packaging and hh goods'!$AJ$21-'R&amp;S - Packaging and hh goods'!$AJ$20)*(BK$3-$X$3)/10))-BK27*'R&amp;S - Packaging and hh goods'!$N$4/SUM('R&amp;S - Packaging and hh goods'!$L$4:$N$4)*('R&amp;S - Packaging and hh goods'!$G8*'R&amp;S - Packaging and hh goods'!$L$15*('R&amp;S - Packaging and hh goods'!$AK$20+('R&amp;S - Packaging and hh goods'!$AK$21-'R&amp;S - Packaging and hh goods'!$AK$20)*(BK$3-$X$3)/10))-BK27*'R&amp;S - Packaging and hh goods'!$N$4/SUM('R&amp;S - Packaging and hh goods'!$L$4:$N$4)*('R&amp;S - Packaging and hh goods'!$G9*'R&amp;S - Packaging and hh goods'!$M$15*('R&amp;S - Packaging and hh goods'!$AL$20+('R&amp;S - Packaging and hh goods'!$AL$21-'R&amp;S - Packaging and hh goods'!$AL$20)*(BK$3-$X$3)/10))-BK27*'R&amp;S - Packaging and hh goods'!$N$4/SUM('R&amp;S - Packaging and hh goods'!$L$4:$N$4)*('R&amp;S - Packaging and hh goods'!$G10*'R&amp;S - Packaging and hh goods'!$M$15*('R&amp;S - Packaging and hh goods'!$AM$20+('R&amp;S - Packaging and hh goods'!$AM$21-'R&amp;S - Packaging and hh goods'!$AM$20)*(BK$3-$X$3)/10))</f>
        <v>25.01976521973873</v>
      </c>
      <c r="BL37" s="284">
        <f>BL27*'R&amp;S - Packaging and hh goods'!$N$4/SUM('R&amp;S - Packaging and hh goods'!$L$4:$N$4)-BL27*'R&amp;S - Packaging and hh goods'!$N$4/SUM('R&amp;S - Packaging and hh goods'!$L$4:$N$4)*('R&amp;S - Packaging and hh goods'!$G7*'R&amp;S - Packaging and hh goods'!$L$15*('R&amp;S - Packaging and hh goods'!$AJ$20+('R&amp;S - Packaging and hh goods'!$AJ$21-'R&amp;S - Packaging and hh goods'!$AJ$20)*(BL$3-$X$3)/10))-BL27*'R&amp;S - Packaging and hh goods'!$N$4/SUM('R&amp;S - Packaging and hh goods'!$L$4:$N$4)*('R&amp;S - Packaging and hh goods'!$G8*'R&amp;S - Packaging and hh goods'!$L$15*('R&amp;S - Packaging and hh goods'!$AK$20+('R&amp;S - Packaging and hh goods'!$AK$21-'R&amp;S - Packaging and hh goods'!$AK$20)*(BL$3-$X$3)/10))-BL27*'R&amp;S - Packaging and hh goods'!$N$4/SUM('R&amp;S - Packaging and hh goods'!$L$4:$N$4)*('R&amp;S - Packaging and hh goods'!$G9*'R&amp;S - Packaging and hh goods'!$M$15*('R&amp;S - Packaging and hh goods'!$AL$20+('R&amp;S - Packaging and hh goods'!$AL$21-'R&amp;S - Packaging and hh goods'!$AL$20)*(BL$3-$X$3)/10))-BL27*'R&amp;S - Packaging and hh goods'!$N$4/SUM('R&amp;S - Packaging and hh goods'!$L$4:$N$4)*('R&amp;S - Packaging and hh goods'!$G10*'R&amp;S - Packaging and hh goods'!$M$15*('R&amp;S - Packaging and hh goods'!$AM$20+('R&amp;S - Packaging and hh goods'!$AM$21-'R&amp;S - Packaging and hh goods'!$AM$20)*(BL$3-$X$3)/10))</f>
        <v>24.341800479658517</v>
      </c>
      <c r="BM37" s="284">
        <f>BM27*'R&amp;S - Packaging and hh goods'!$N$4/SUM('R&amp;S - Packaging and hh goods'!$L$4:$N$4)-BM27*'R&amp;S - Packaging and hh goods'!$N$4/SUM('R&amp;S - Packaging and hh goods'!$L$4:$N$4)*('R&amp;S - Packaging and hh goods'!$G7*'R&amp;S - Packaging and hh goods'!$L$15*('R&amp;S - Packaging and hh goods'!$AJ$20+('R&amp;S - Packaging and hh goods'!$AJ$21-'R&amp;S - Packaging and hh goods'!$AJ$20)*(BM$3-$X$3)/10))-BM27*'R&amp;S - Packaging and hh goods'!$N$4/SUM('R&amp;S - Packaging and hh goods'!$L$4:$N$4)*('R&amp;S - Packaging and hh goods'!$G8*'R&amp;S - Packaging and hh goods'!$L$15*('R&amp;S - Packaging and hh goods'!$AK$20+('R&amp;S - Packaging and hh goods'!$AK$21-'R&amp;S - Packaging and hh goods'!$AK$20)*(BM$3-$X$3)/10))-BM27*'R&amp;S - Packaging and hh goods'!$N$4/SUM('R&amp;S - Packaging and hh goods'!$L$4:$N$4)*('R&amp;S - Packaging and hh goods'!$G9*'R&amp;S - Packaging and hh goods'!$M$15*('R&amp;S - Packaging and hh goods'!$AL$20+('R&amp;S - Packaging and hh goods'!$AL$21-'R&amp;S - Packaging and hh goods'!$AL$20)*(BM$3-$X$3)/10))-BM27*'R&amp;S - Packaging and hh goods'!$N$4/SUM('R&amp;S - Packaging and hh goods'!$L$4:$N$4)*('R&amp;S - Packaging and hh goods'!$G10*'R&amp;S - Packaging and hh goods'!$M$15*('R&amp;S - Packaging and hh goods'!$AM$20+('R&amp;S - Packaging and hh goods'!$AM$21-'R&amp;S - Packaging and hh goods'!$AM$20)*(BM$3-$X$3)/10))</f>
        <v>23.645893123704958</v>
      </c>
      <c r="BN37" s="284">
        <f>BN27*'R&amp;S - Packaging and hh goods'!$N$4/SUM('R&amp;S - Packaging and hh goods'!$L$4:$N$4)-BN27*'R&amp;S - Packaging and hh goods'!$N$4/SUM('R&amp;S - Packaging and hh goods'!$L$4:$N$4)*('R&amp;S - Packaging and hh goods'!$G7*'R&amp;S - Packaging and hh goods'!$L$15*('R&amp;S - Packaging and hh goods'!$AJ$20+('R&amp;S - Packaging and hh goods'!$AJ$21-'R&amp;S - Packaging and hh goods'!$AJ$20)*(BN$3-$X$3)/10))-BN27*'R&amp;S - Packaging and hh goods'!$N$4/SUM('R&amp;S - Packaging and hh goods'!$L$4:$N$4)*('R&amp;S - Packaging and hh goods'!$G8*'R&amp;S - Packaging and hh goods'!$L$15*('R&amp;S - Packaging and hh goods'!$AK$20+('R&amp;S - Packaging and hh goods'!$AK$21-'R&amp;S - Packaging and hh goods'!$AK$20)*(BN$3-$X$3)/10))-BN27*'R&amp;S - Packaging and hh goods'!$N$4/SUM('R&amp;S - Packaging and hh goods'!$L$4:$N$4)*('R&amp;S - Packaging and hh goods'!$G9*'R&amp;S - Packaging and hh goods'!$M$15*('R&amp;S - Packaging and hh goods'!$AL$20+('R&amp;S - Packaging and hh goods'!$AL$21-'R&amp;S - Packaging and hh goods'!$AL$20)*(BN$3-$X$3)/10))-BN27*'R&amp;S - Packaging and hh goods'!$N$4/SUM('R&amp;S - Packaging and hh goods'!$L$4:$N$4)*('R&amp;S - Packaging and hh goods'!$G10*'R&amp;S - Packaging and hh goods'!$M$15*('R&amp;S - Packaging and hh goods'!$AM$20+('R&amp;S - Packaging and hh goods'!$AM$21-'R&amp;S - Packaging and hh goods'!$AM$20)*(BN$3-$X$3)/10))</f>
        <v>22.931730448062382</v>
      </c>
    </row>
    <row r="38" spans="1:75" s="1" customFormat="1" outlineLevel="1" x14ac:dyDescent="0.2">
      <c r="A38" s="58" t="s">
        <v>204</v>
      </c>
      <c r="B38" s="58" t="s">
        <v>199</v>
      </c>
      <c r="C38" s="100" t="s">
        <v>153</v>
      </c>
      <c r="D38" s="101">
        <f>SUM('R&amp;S - Buildings'!L4:N4)</f>
        <v>14.733107457344531</v>
      </c>
      <c r="E38" s="101">
        <f>D38*(1+'R&amp;S - Buildings'!$E$5)</f>
        <v>14.894513858633186</v>
      </c>
      <c r="F38" s="101">
        <f>E38*(1+'R&amp;S - Buildings'!$E$5)</f>
        <v>15.057688524115418</v>
      </c>
      <c r="G38" s="101">
        <f>F38*(1+'R&amp;S - Buildings'!$E$5)</f>
        <v>15.222650825750664</v>
      </c>
      <c r="H38" s="101">
        <f>G38*(1+'R&amp;S - Buildings'!$E$5)</f>
        <v>15.389420347725022</v>
      </c>
      <c r="I38" s="101">
        <f>H38*(1+'R&amp;S - Buildings'!$E$5)</f>
        <v>15.558016888776274</v>
      </c>
      <c r="J38" s="101">
        <f>I38*(1+'R&amp;S - Buildings'!$E$5)</f>
        <v>15.728460464544376</v>
      </c>
      <c r="K38" s="101">
        <f>J38*(1+'R&amp;S - Buildings'!$E$5)</f>
        <v>15.900771309947697</v>
      </c>
      <c r="L38" s="101">
        <f>K38*(1+'R&amp;S - Buildings'!$E$5)</f>
        <v>16.074969881585289</v>
      </c>
      <c r="M38" s="101">
        <f>L38*(1+'R&amp;S - Buildings'!$E$5)</f>
        <v>16.25107686016548</v>
      </c>
      <c r="N38" s="101">
        <f>M38*(1+'R&amp;S - Buildings'!$E$5)</f>
        <v>16.429113152961069</v>
      </c>
      <c r="O38" s="101">
        <f>N38*(1+'R&amp;S - Buildings'!$E$5)</f>
        <v>16.609099896291422</v>
      </c>
      <c r="P38" s="101">
        <f>O38*(1+'R&amp;S - Buildings'!$E$5)</f>
        <v>16.791058458031756</v>
      </c>
      <c r="Q38" s="101">
        <f>P38*(1+'R&amp;S - Buildings'!$E$5)</f>
        <v>16.975010440149916</v>
      </c>
      <c r="R38" s="101">
        <f>Q38*(1+'R&amp;S - Buildings'!$E$5)</f>
        <v>17.160977681270939</v>
      </c>
      <c r="S38" s="101">
        <f>R38*(1+'R&amp;S - Buildings'!$E$5)</f>
        <v>17.348982259269729</v>
      </c>
      <c r="T38" s="101">
        <f>S38*(1+'R&amp;S - Buildings'!$E$5)</f>
        <v>17.539046493892108</v>
      </c>
      <c r="U38" s="101">
        <f>T38*(1+'R&amp;S - Buildings'!$E$5)</f>
        <v>17.731192949404608</v>
      </c>
      <c r="V38" s="101">
        <f>U38*(1+'R&amp;S - Buildings'!$E$5)</f>
        <v>17.925444437273278</v>
      </c>
      <c r="W38" s="101">
        <f>V38*(1+'R&amp;S - Buildings'!$E$5)</f>
        <v>18.121824018871845</v>
      </c>
      <c r="X38" s="101">
        <f>W38*(1+'R&amp;S - Buildings'!$E$5)</f>
        <v>18.320355008219533</v>
      </c>
      <c r="Y38" s="101">
        <f>X38*(1+'R&amp;S - Buildings'!$E$5)</f>
        <v>18.521060974748895</v>
      </c>
      <c r="Z38" s="101">
        <f>Y38*(1+'R&amp;S - Buildings'!$E$5)</f>
        <v>18.723965746103953</v>
      </c>
      <c r="AA38" s="101">
        <f>Z38*(1+'R&amp;S - Buildings'!$E$5)</f>
        <v>18.929093410968989</v>
      </c>
      <c r="AB38" s="101">
        <f>AA38*(1+'R&amp;S - Buildings'!$E$5)</f>
        <v>19.136468321928334</v>
      </c>
      <c r="AC38" s="101">
        <f>AB38*(1+'R&amp;S - Buildings'!$E$5)</f>
        <v>19.346115098357501</v>
      </c>
      <c r="AD38" s="101">
        <f>AC38*(1+'R&amp;S - Buildings'!$E$5)</f>
        <v>19.558058629345961</v>
      </c>
      <c r="AE38" s="101">
        <f>AD38*(1+'R&amp;S - Buildings'!$E$5)</f>
        <v>19.772324076651959</v>
      </c>
      <c r="AF38" s="101">
        <f>AE38*(1+'R&amp;S - Buildings'!$E$5)</f>
        <v>19.988936877689699</v>
      </c>
      <c r="AG38" s="101">
        <f>AF38*(1+'R&amp;S - Buildings'!$E$5)</f>
        <v>20.207922748549255</v>
      </c>
      <c r="AH38" s="101">
        <f>AG38*(1+'R&amp;S - Buildings'!$E$5)</f>
        <v>20.429307687049551</v>
      </c>
      <c r="AJ38" s="101">
        <f>D38</f>
        <v>14.733107457344531</v>
      </c>
      <c r="AK38" s="101">
        <f t="shared" ref="AK38:BN38" si="34">E38</f>
        <v>14.894513858633186</v>
      </c>
      <c r="AL38" s="101">
        <f t="shared" si="34"/>
        <v>15.057688524115418</v>
      </c>
      <c r="AM38" s="101">
        <f t="shared" si="34"/>
        <v>15.222650825750664</v>
      </c>
      <c r="AN38" s="101">
        <f t="shared" si="34"/>
        <v>15.389420347725022</v>
      </c>
      <c r="AO38" s="101">
        <f t="shared" si="34"/>
        <v>15.558016888776274</v>
      </c>
      <c r="AP38" s="101">
        <f t="shared" si="34"/>
        <v>15.728460464544376</v>
      </c>
      <c r="AQ38" s="101">
        <f t="shared" si="34"/>
        <v>15.900771309947697</v>
      </c>
      <c r="AR38" s="101">
        <f t="shared" si="34"/>
        <v>16.074969881585289</v>
      </c>
      <c r="AS38" s="101">
        <f t="shared" si="34"/>
        <v>16.25107686016548</v>
      </c>
      <c r="AT38" s="101">
        <f t="shared" si="34"/>
        <v>16.429113152961069</v>
      </c>
      <c r="AU38" s="101">
        <f t="shared" si="34"/>
        <v>16.609099896291422</v>
      </c>
      <c r="AV38" s="101">
        <f t="shared" si="34"/>
        <v>16.791058458031756</v>
      </c>
      <c r="AW38" s="101">
        <f t="shared" si="34"/>
        <v>16.975010440149916</v>
      </c>
      <c r="AX38" s="101">
        <f t="shared" si="34"/>
        <v>17.160977681270939</v>
      </c>
      <c r="AY38" s="101">
        <f t="shared" si="34"/>
        <v>17.348982259269729</v>
      </c>
      <c r="AZ38" s="101">
        <f t="shared" si="34"/>
        <v>17.539046493892108</v>
      </c>
      <c r="BA38" s="101">
        <f t="shared" si="34"/>
        <v>17.731192949404608</v>
      </c>
      <c r="BB38" s="101">
        <f t="shared" si="34"/>
        <v>17.925444437273278</v>
      </c>
      <c r="BC38" s="101">
        <f t="shared" si="34"/>
        <v>18.121824018871845</v>
      </c>
      <c r="BD38" s="101">
        <f t="shared" si="34"/>
        <v>18.320355008219533</v>
      </c>
      <c r="BE38" s="101">
        <f t="shared" si="34"/>
        <v>18.521060974748895</v>
      </c>
      <c r="BF38" s="101">
        <f t="shared" si="34"/>
        <v>18.723965746103953</v>
      </c>
      <c r="BG38" s="101">
        <f t="shared" si="34"/>
        <v>18.929093410968989</v>
      </c>
      <c r="BH38" s="101">
        <f t="shared" si="34"/>
        <v>19.136468321928334</v>
      </c>
      <c r="BI38" s="101">
        <f t="shared" si="34"/>
        <v>19.346115098357501</v>
      </c>
      <c r="BJ38" s="101">
        <f t="shared" si="34"/>
        <v>19.558058629345961</v>
      </c>
      <c r="BK38" s="101">
        <f t="shared" si="34"/>
        <v>19.772324076651959</v>
      </c>
      <c r="BL38" s="101">
        <f t="shared" si="34"/>
        <v>19.988936877689699</v>
      </c>
      <c r="BM38" s="101">
        <f t="shared" si="34"/>
        <v>20.207922748549255</v>
      </c>
      <c r="BN38" s="101">
        <f t="shared" si="34"/>
        <v>20.429307687049551</v>
      </c>
    </row>
    <row r="39" spans="1:75" outlineLevel="1" x14ac:dyDescent="0.2">
      <c r="B39" s="1" t="s">
        <v>168</v>
      </c>
      <c r="C39" s="54" t="s">
        <v>153</v>
      </c>
      <c r="D39">
        <v>0</v>
      </c>
      <c r="E39" s="43">
        <f>E38*'R&amp;S - Buildings'!$E$7*'R&amp;S - Buildings'!$B$11*'R&amp;S - Buildings'!$B$15*('Yearly BTX'!E$3-'Yearly BTX'!$D$3)/10</f>
        <v>0.27033542653419235</v>
      </c>
      <c r="F39" s="43">
        <f>F38*'R&amp;S - Buildings'!$E$7*'R&amp;S - Buildings'!$B$11*'R&amp;S - Buildings'!$B$15*('Yearly BTX'!F$3-'Yearly BTX'!$D$3)/10</f>
        <v>0.54659409342538978</v>
      </c>
      <c r="G39" s="43">
        <f>G38*'R&amp;S - Buildings'!$E$7*'R&amp;S - Buildings'!$B$11*'R&amp;S - Buildings'!$B$15*('Yearly BTX'!G$3-'Yearly BTX'!$D$3)/10</f>
        <v>0.82887333746212399</v>
      </c>
      <c r="H39" s="43">
        <f>H38*'R&amp;S - Buildings'!$E$7*'R&amp;S - Buildings'!$B$11*'R&amp;S - Buildings'!$B$15*('Yearly BTX'!H$3-'Yearly BTX'!$D$3)/10</f>
        <v>1.1172719172448367</v>
      </c>
      <c r="I39" s="43">
        <f>I38*'R&amp;S - Buildings'!$E$7*'R&amp;S - Buildings'!$B$11*'R&amp;S - Buildings'!$B$15*('Yearly BTX'!I$3-'Yearly BTX'!$D$3)/10</f>
        <v>1.411890032656447</v>
      </c>
      <c r="J39" s="43">
        <f>J38*'R&amp;S - Buildings'!$E$7*'R&amp;S - Buildings'!$B$11*'R&amp;S - Buildings'!$B$15*('Yearly BTX'!J$3-'Yearly BTX'!$D$3)/10</f>
        <v>1.7128293445888829</v>
      </c>
      <c r="K39" s="43">
        <f>K38*'R&amp;S - Buildings'!$E$7*'R&amp;S - Buildings'!$B$11*'R&amp;S - Buildings'!$B$15*('Yearly BTX'!K$3-'Yearly BTX'!$D$3)/10</f>
        <v>2.0201929949288551</v>
      </c>
      <c r="L39" s="43">
        <f>L38*'R&amp;S - Buildings'!$E$7*'R&amp;S - Buildings'!$B$11*'R&amp;S - Buildings'!$B$15*('Yearly BTX'!L$3-'Yearly BTX'!$D$3)/10</f>
        <v>2.3340856268061843</v>
      </c>
      <c r="M39" s="43">
        <f>M38*'R&amp;S - Buildings'!$E$7*'R&amp;S - Buildings'!$B$11*'R&amp;S - Buildings'!$B$15*('Yearly BTX'!M$3-'Yearly BTX'!$D$3)/10</f>
        <v>2.654613405108031</v>
      </c>
      <c r="N39" s="43">
        <f>N38*'R&amp;S - Buildings'!$E$7*'R&amp;S - Buildings'!$B$11*'R&amp;S - Buildings'!$B$15*('Yearly BTX'!N$3-'Yearly BTX'!$D$3)/10</f>
        <v>2.981884037262434</v>
      </c>
      <c r="O39" s="43">
        <f>O38*'R&amp;S - Buildings'!$E$7*('R&amp;S - Buildings'!$B$11*('R&amp;S - Buildings'!$B$15+('R&amp;S - Buildings'!$B$16-'R&amp;S - Buildings'!$B$15)*('Yearly BTX'!O$3-'Yearly BTX'!$N$3)/10))</f>
        <v>3.3160067942945823</v>
      </c>
      <c r="P39" s="43">
        <f>P38*'R&amp;S - Buildings'!$E$7*('R&amp;S - Buildings'!$B$11*('R&amp;S - Buildings'!$B$15+('R&amp;S - Buildings'!$B$16-'R&amp;S - Buildings'!$B$15)*('Yearly BTX'!P$3-'Yearly BTX'!$N$3)/10))</f>
        <v>3.6570925321593171</v>
      </c>
      <c r="Q39" s="43">
        <f>Q38*'R&amp;S - Buildings'!$E$7*('R&amp;S - Buildings'!$B$11*('R&amp;S - Buildings'!$B$15+('R&amp;S - Buildings'!$B$16-'R&amp;S - Buildings'!$B$15)*('Yearly BTX'!Q$3-'Yearly BTX'!$N$3)/10))</f>
        <v>4.0052537133533734</v>
      </c>
      <c r="R39" s="43">
        <f>R38*'R&amp;S - Buildings'!$E$7*('R&amp;S - Buildings'!$B$11*('R&amp;S - Buildings'!$B$15+('R&amp;S - Buildings'!$B$16-'R&amp;S - Buildings'!$B$15)*('Yearly BTX'!R$3-'Yearly BTX'!$N$3)/10))</f>
        <v>4.3606044288109462</v>
      </c>
      <c r="S39" s="43">
        <f>S38*'R&amp;S - Buildings'!$E$7*('R&amp;S - Buildings'!$B$11*('R&amp;S - Buildings'!$B$15+('R&amp;S - Buildings'!$B$16-'R&amp;S - Buildings'!$B$15)*('Yearly BTX'!S$3-'Yearly BTX'!$N$3)/10))</f>
        <v>4.7232604200861843</v>
      </c>
      <c r="T39" s="43">
        <f>T38*'R&amp;S - Buildings'!$E$7*('R&amp;S - Buildings'!$B$11*('R&amp;S - Buildings'!$B$15+('R&amp;S - Buildings'!$B$16-'R&amp;S - Buildings'!$B$15)*('Yearly BTX'!T$3-'Yearly BTX'!$N$3)/10))</f>
        <v>5.0933391018262695</v>
      </c>
      <c r="U39" s="43">
        <f>U38*'R&amp;S - Buildings'!$E$7*('R&amp;S - Buildings'!$B$11*('R&amp;S - Buildings'!$B$15+('R&amp;S - Buildings'!$B$16-'R&amp;S - Buildings'!$B$15)*('Yearly BTX'!U$3-'Yearly BTX'!$N$3)/10))</f>
        <v>5.4709595845387922</v>
      </c>
      <c r="V39" s="43">
        <f>V38*'R&amp;S - Buildings'!$E$7*('R&amp;S - Buildings'!$B$11*('R&amp;S - Buildings'!$B$15+('R&amp;S - Buildings'!$B$16-'R&amp;S - Buildings'!$B$15)*('Yearly BTX'!V$3-'Yearly BTX'!$N$3)/10))</f>
        <v>5.8562426976571809</v>
      </c>
      <c r="W39" s="43">
        <f>W38*'R&amp;S - Buildings'!$E$7*('R&amp;S - Buildings'!$B$11*('R&amp;S - Buildings'!$B$15+('R&amp;S - Buildings'!$B$16-'R&amp;S - Buildings'!$B$15)*('Yearly BTX'!W$3-'Yearly BTX'!$N$3)/10))</f>
        <v>6.2493110129079561</v>
      </c>
      <c r="X39" s="43">
        <f>X38*'R&amp;S - Buildings'!$E$7*('R&amp;S - Buildings'!$B$11*('R&amp;S - Buildings'!$B$15+('R&amp;S - Buildings'!$B$16-'R&amp;S - Buildings'!$B$15)*('Yearly BTX'!X$3-'Yearly BTX'!$N$3)/10))</f>
        <v>6.6502888679836918</v>
      </c>
      <c r="Y39" s="43">
        <f>Y38*'R&amp;S - Buildings'!$E$7*('R&amp;S - Buildings'!$B$11*('R&amp;S - Buildings'!$B$16+('R&amp;S - Buildings'!$B$17-'R&amp;S - Buildings'!$B$16)*('Yearly BTX'!Y$3-'Yearly BTX'!$X$3)/10))</f>
        <v>7.0694889740616542</v>
      </c>
      <c r="Z39" s="43">
        <f>Z38*'R&amp;S - Buildings'!$E$7*('R&amp;S - Buildings'!$B$11*('R&amp;S - Buildings'!$B$16+('R&amp;S - Buildings'!$B$17-'R&amp;S - Buildings'!$B$16)*('Yearly BTX'!Z$3-'Yearly BTX'!$X$3)/10))</f>
        <v>7.4970758847400241</v>
      </c>
      <c r="AA39" s="43">
        <f>AA38*'R&amp;S - Buildings'!$E$7*('R&amp;S - Buildings'!$B$11*('R&amp;S - Buildings'!$B$16+('R&amp;S - Buildings'!$B$17-'R&amp;S - Buildings'!$B$16)*('Yearly BTX'!AA$3-'Yearly BTX'!$X$3)/10))</f>
        <v>7.9331830485371038</v>
      </c>
      <c r="AB39" s="43">
        <f>AB38*'R&amp;S - Buildings'!$E$7*('R&amp;S - Buildings'!$B$11*('R&amp;S - Buildings'!$B$16+('R&amp;S - Buildings'!$B$17-'R&amp;S - Buildings'!$B$16)*('Yearly BTX'!AB$3-'Yearly BTX'!$X$3)/10))</f>
        <v>8.3779458313402255</v>
      </c>
      <c r="AC39" s="43">
        <f>AC38*'R&amp;S - Buildings'!$E$7*('R&amp;S - Buildings'!$B$11*('R&amp;S - Buildings'!$B$16+('R&amp;S - Buildings'!$B$17-'R&amp;S - Buildings'!$B$16)*('Yearly BTX'!AC$3-'Yearly BTX'!$X$3)/10))</f>
        <v>8.8315015424002006</v>
      </c>
      <c r="AD39" s="43">
        <f>AD38*'R&amp;S - Buildings'!$E$7*('R&amp;S - Buildings'!$B$11*('R&amp;S - Buildings'!$B$16+('R&amp;S - Buildings'!$B$17-'R&amp;S - Buildings'!$B$16)*('Yearly BTX'!AD$3-'Yearly BTX'!$X$3)/10))</f>
        <v>9.2939894606652018</v>
      </c>
      <c r="AE39" s="43">
        <f>AE38*'R&amp;S - Buildings'!$E$7*('R&amp;S - Buildings'!$B$11*('R&amp;S - Buildings'!$B$16+('R&amp;S - Buildings'!$B$17-'R&amp;S - Buildings'!$B$16)*('Yearly BTX'!AE$3-'Yearly BTX'!$X$3)/10))</f>
        <v>9.7655508614584043</v>
      </c>
      <c r="AF39" s="43">
        <f>AF38*'R&amp;S - Buildings'!$E$7*('R&amp;S - Buildings'!$B$11*('R&amp;S - Buildings'!$B$16+('R&amp;S - Buildings'!$B$17-'R&amp;S - Buildings'!$B$16)*('Yearly BTX'!AF$3-'Yearly BTX'!$X$3)/10))</f>
        <v>10.24632904350374</v>
      </c>
      <c r="AG39" s="43">
        <f>AG38*'R&amp;S - Buildings'!$E$7*('R&amp;S - Buildings'!$B$11*('R&amp;S - Buildings'!$B$16+('R&amp;S - Buildings'!$B$17-'R&amp;S - Buildings'!$B$16)*('Yearly BTX'!AG$3-'Yearly BTX'!$X$3)/10))</f>
        <v>10.73646935630422</v>
      </c>
      <c r="AH39" s="43">
        <f>AH38*'R&amp;S - Buildings'!$E$7*('R&amp;S - Buildings'!$B$11*('R&amp;S - Buildings'!$B$16+('R&amp;S - Buildings'!$B$17-'R&amp;S - Buildings'!$B$16)*('Yearly BTX'!AH$3-'Yearly BTX'!$X$3)/10))</f>
        <v>11.236119227877253</v>
      </c>
      <c r="AJ39">
        <v>0</v>
      </c>
      <c r="AK39" s="43">
        <f>AK38*'R&amp;S - Buildings'!$E$7*'R&amp;S - Buildings'!$B$12*'R&amp;S - Buildings'!$B$15*('Yearly BTX'!AK$3-'Yearly BTX'!$D$3)/10</f>
        <v>0.10813417061367692</v>
      </c>
      <c r="AL39" s="43">
        <f>AL38*'R&amp;S - Buildings'!$E$7*'R&amp;S - Buildings'!$B$12*'R&amp;S - Buildings'!$B$15*('Yearly BTX'!AL$3-'Yearly BTX'!$D$3)/10</f>
        <v>0.21863763737015587</v>
      </c>
      <c r="AM39" s="43">
        <f>AM38*'R&amp;S - Buildings'!$E$7*'R&amp;S - Buildings'!$B$12*'R&amp;S - Buildings'!$B$15*('Yearly BTX'!AM$3-'Yearly BTX'!$D$3)/10</f>
        <v>0.33154933498484951</v>
      </c>
      <c r="AN39" s="43">
        <f>AN38*'R&amp;S - Buildings'!$E$7*'R&amp;S - Buildings'!$B$12*'R&amp;S - Buildings'!$B$15*('Yearly BTX'!AN$3-'Yearly BTX'!$D$3)/10</f>
        <v>0.44690876689793468</v>
      </c>
      <c r="AO39" s="43">
        <f>AO38*'R&amp;S - Buildings'!$E$7*'R&amp;S - Buildings'!$B$12*'R&amp;S - Buildings'!$B$15*('Yearly BTX'!AO$3-'Yearly BTX'!$D$3)/10</f>
        <v>0.56475601306257872</v>
      </c>
      <c r="AP39" s="43">
        <f>AP38*'R&amp;S - Buildings'!$E$7*'R&amp;S - Buildings'!$B$12*'R&amp;S - Buildings'!$B$15*('Yearly BTX'!AP$3-'Yearly BTX'!$D$3)/10</f>
        <v>0.68513173783555303</v>
      </c>
      <c r="AQ39" s="43">
        <f>AQ38*'R&amp;S - Buildings'!$E$7*'R&amp;S - Buildings'!$B$12*'R&amp;S - Buildings'!$B$15*('Yearly BTX'!AQ$3-'Yearly BTX'!$D$3)/10</f>
        <v>0.80807719797154198</v>
      </c>
      <c r="AR39" s="43">
        <f>AR38*'R&amp;S - Buildings'!$E$7*'R&amp;S - Buildings'!$B$12*'R&amp;S - Buildings'!$B$15*('Yearly BTX'!AR$3-'Yearly BTX'!$D$3)/10</f>
        <v>0.93363425072247375</v>
      </c>
      <c r="AS39" s="43">
        <f>AS38*'R&amp;S - Buildings'!$E$7*'R&amp;S - Buildings'!$B$12*'R&amp;S - Buildings'!$B$15*('Yearly BTX'!AS$3-'Yearly BTX'!$D$3)/10</f>
        <v>1.0618453620432124</v>
      </c>
      <c r="AT39" s="43">
        <f>AT38*'R&amp;S - Buildings'!$E$7*'R&amp;S - Buildings'!$B$12*'R&amp;S - Buildings'!$B$15*('Yearly BTX'!AT$3-'Yearly BTX'!$D$3)/10</f>
        <v>1.1927536149049736</v>
      </c>
      <c r="AU39" s="43">
        <f>AU38*'R&amp;S - Buildings'!$E$7*('R&amp;S - Buildings'!$B$12*('R&amp;S - Buildings'!$B$15+('R&amp;S - Buildings'!$B$16-'R&amp;S - Buildings'!$B$15)*('Yearly BTX'!AU$3-'Yearly BTX'!$N$3)/10))</f>
        <v>1.326402717717833</v>
      </c>
      <c r="AV39" s="43">
        <f>AV38*'R&amp;S - Buildings'!$E$7*('R&amp;S - Buildings'!$B$12*('R&amp;S - Buildings'!$B$15+('R&amp;S - Buildings'!$B$16-'R&amp;S - Buildings'!$B$15)*('Yearly BTX'!AV$3-'Yearly BTX'!$N$3)/10))</f>
        <v>1.4628370128637267</v>
      </c>
      <c r="AW39" s="43">
        <f>AW38*'R&amp;S - Buildings'!$E$7*('R&amp;S - Buildings'!$B$12*('R&amp;S - Buildings'!$B$15+('R&amp;S - Buildings'!$B$16-'R&amp;S - Buildings'!$B$15)*('Yearly BTX'!AW$3-'Yearly BTX'!$N$3)/10))</f>
        <v>1.6021014853413491</v>
      </c>
      <c r="AX39" s="43">
        <f>AX38*'R&amp;S - Buildings'!$E$7*('R&amp;S - Buildings'!$B$12*('R&amp;S - Buildings'!$B$15+('R&amp;S - Buildings'!$B$16-'R&amp;S - Buildings'!$B$15)*('Yearly BTX'!AX$3-'Yearly BTX'!$N$3)/10))</f>
        <v>1.7442417715243783</v>
      </c>
      <c r="AY39" s="43">
        <f>AY38*'R&amp;S - Buildings'!$E$7*('R&amp;S - Buildings'!$B$12*('R&amp;S - Buildings'!$B$15+('R&amp;S - Buildings'!$B$16-'R&amp;S - Buildings'!$B$15)*('Yearly BTX'!AY$3-'Yearly BTX'!$N$3)/10))</f>
        <v>1.8893041680344735</v>
      </c>
      <c r="AZ39" s="43">
        <f>AZ38*'R&amp;S - Buildings'!$E$7*('R&amp;S - Buildings'!$B$12*('R&amp;S - Buildings'!$B$15+('R&amp;S - Buildings'!$B$16-'R&amp;S - Buildings'!$B$15)*('Yearly BTX'!AZ$3-'Yearly BTX'!$N$3)/10))</f>
        <v>2.0373356407305074</v>
      </c>
      <c r="BA39" s="43">
        <f>BA38*'R&amp;S - Buildings'!$E$7*('R&amp;S - Buildings'!$B$12*('R&amp;S - Buildings'!$B$15+('R&amp;S - Buildings'!$B$16-'R&amp;S - Buildings'!$B$15)*('Yearly BTX'!BA$3-'Yearly BTX'!$N$3)/10))</f>
        <v>2.188383833815517</v>
      </c>
      <c r="BB39" s="43">
        <f>BB38*'R&amp;S - Buildings'!$E$7*('R&amp;S - Buildings'!$B$12*('R&amp;S - Buildings'!$B$15+('R&amp;S - Buildings'!$B$16-'R&amp;S - Buildings'!$B$15)*('Yearly BTX'!BB$3-'Yearly BTX'!$N$3)/10))</f>
        <v>2.3424970790628721</v>
      </c>
      <c r="BC39" s="43">
        <f>BC38*'R&amp;S - Buildings'!$E$7*('R&amp;S - Buildings'!$B$12*('R&amp;S - Buildings'!$B$15+('R&amp;S - Buildings'!$B$16-'R&amp;S - Buildings'!$B$15)*('Yearly BTX'!BC$3-'Yearly BTX'!$N$3)/10))</f>
        <v>2.4997244051631822</v>
      </c>
      <c r="BD39" s="43">
        <f>BD38*'R&amp;S - Buildings'!$E$7*('R&amp;S - Buildings'!$B$12*('R&amp;S - Buildings'!$B$15+('R&amp;S - Buildings'!$B$16-'R&amp;S - Buildings'!$B$15)*('Yearly BTX'!BD$3-'Yearly BTX'!$N$3)/10))</f>
        <v>2.6601155471934765</v>
      </c>
      <c r="BE39" s="43">
        <f>BE38*'R&amp;S - Buildings'!$E$7*('R&amp;S - Buildings'!$B$12*('R&amp;S - Buildings'!$B$16+('R&amp;S - Buildings'!$B$17-'R&amp;S - Buildings'!$B$16)*('Yearly BTX'!BE$3-'Yearly BTX'!$X$3)/10))</f>
        <v>2.8277955896246616</v>
      </c>
      <c r="BF39" s="43">
        <f>BF38*'R&amp;S - Buildings'!$E$7*('R&amp;S - Buildings'!$B$12*('R&amp;S - Buildings'!$B$16+('R&amp;S - Buildings'!$B$17-'R&amp;S - Buildings'!$B$16)*('Yearly BTX'!BF$3-'Yearly BTX'!$X$3)/10))</f>
        <v>2.9988303538960093</v>
      </c>
      <c r="BG39" s="43">
        <f>BG38*'R&amp;S - Buildings'!$E$7*('R&amp;S - Buildings'!$B$12*('R&amp;S - Buildings'!$B$16+('R&amp;S - Buildings'!$B$17-'R&amp;S - Buildings'!$B$16)*('Yearly BTX'!BG$3-'Yearly BTX'!$X$3)/10))</f>
        <v>3.173273219414841</v>
      </c>
      <c r="BH39" s="43">
        <f>BH38*'R&amp;S - Buildings'!$E$7*('R&amp;S - Buildings'!$B$12*('R&amp;S - Buildings'!$B$16+('R&amp;S - Buildings'!$B$17-'R&amp;S - Buildings'!$B$16)*('Yearly BTX'!BH$3-'Yearly BTX'!$X$3)/10))</f>
        <v>3.3511783325360902</v>
      </c>
      <c r="BI39" s="43">
        <f>BI38*'R&amp;S - Buildings'!$E$7*('R&amp;S - Buildings'!$B$12*('R&amp;S - Buildings'!$B$16+('R&amp;S - Buildings'!$B$17-'R&amp;S - Buildings'!$B$16)*('Yearly BTX'!BI$3-'Yearly BTX'!$X$3)/10))</f>
        <v>3.5326006169600799</v>
      </c>
      <c r="BJ39" s="43">
        <f>BJ38*'R&amp;S - Buildings'!$E$7*('R&amp;S - Buildings'!$B$12*('R&amp;S - Buildings'!$B$16+('R&amp;S - Buildings'!$B$17-'R&amp;S - Buildings'!$B$16)*('Yearly BTX'!BJ$3-'Yearly BTX'!$X$3)/10))</f>
        <v>3.7175957842660807</v>
      </c>
      <c r="BK39" s="43">
        <f>BK38*'R&amp;S - Buildings'!$E$7*('R&amp;S - Buildings'!$B$12*('R&amp;S - Buildings'!$B$16+('R&amp;S - Buildings'!$B$17-'R&amp;S - Buildings'!$B$16)*('Yearly BTX'!BK$3-'Yearly BTX'!$X$3)/10))</f>
        <v>3.9062203445833612</v>
      </c>
      <c r="BL39" s="43">
        <f>BL38*'R&amp;S - Buildings'!$E$7*('R&amp;S - Buildings'!$B$12*('R&amp;S - Buildings'!$B$16+('R&amp;S - Buildings'!$B$17-'R&amp;S - Buildings'!$B$16)*('Yearly BTX'!BL$3-'Yearly BTX'!$X$3)/10))</f>
        <v>4.0985316174014965</v>
      </c>
      <c r="BM39" s="43">
        <f>BM38*'R&amp;S - Buildings'!$E$7*('R&amp;S - Buildings'!$B$12*('R&amp;S - Buildings'!$B$16+('R&amp;S - Buildings'!$B$17-'R&amp;S - Buildings'!$B$16)*('Yearly BTX'!BM$3-'Yearly BTX'!$X$3)/10))</f>
        <v>4.2945877425216876</v>
      </c>
      <c r="BN39" s="43">
        <f>BN38*'R&amp;S - Buildings'!$E$7*('R&amp;S - Buildings'!$B$12*('R&amp;S - Buildings'!$B$16+('R&amp;S - Buildings'!$B$17-'R&amp;S - Buildings'!$B$16)*('Yearly BTX'!BN$3-'Yearly BTX'!$X$3)/10))</f>
        <v>4.494447691150901</v>
      </c>
    </row>
    <row r="40" spans="1:75" outlineLevel="1" x14ac:dyDescent="0.2">
      <c r="B40" s="1" t="s">
        <v>172</v>
      </c>
      <c r="C40" s="54" t="s">
        <v>153</v>
      </c>
      <c r="D40">
        <v>0</v>
      </c>
      <c r="E40" s="43">
        <f>E38*'R&amp;S - Buildings'!$E$8*'R&amp;S - Buildings'!$C$11*'R&amp;S - Buildings'!$B$15*('Yearly BTX'!E$3-'Yearly BTX'!$D$3)/10</f>
        <v>8.8045117793142849E-2</v>
      </c>
      <c r="F40" s="43">
        <f>F38*'R&amp;S - Buildings'!$E$8*'R&amp;S - Buildings'!$C$11*'R&amp;S - Buildings'!$B$15*('Yearly BTX'!F$3-'Yearly BTX'!$D$3)/10</f>
        <v>0.17801936637626617</v>
      </c>
      <c r="G40" s="43">
        <f>G38*'R&amp;S - Buildings'!$E$8*'R&amp;S - Buildings'!$C$11*'R&amp;S - Buildings'!$B$15*('Yearly BTX'!G$3-'Yearly BTX'!$D$3)/10</f>
        <v>0.26995444721418249</v>
      </c>
      <c r="H40" s="43">
        <f>H38*'R&amp;S - Buildings'!$E$8*'R&amp;S - Buildings'!$C$11*'R&amp;S - Buildings'!$B$15*('Yearly BTX'!H$3-'Yearly BTX'!$D$3)/10</f>
        <v>0.36388252483937844</v>
      </c>
      <c r="I40" s="43">
        <f>I38*'R&amp;S - Buildings'!$E$8*'R&amp;S - Buildings'!$C$11*'R&amp;S - Buildings'!$B$15*('Yearly BTX'!I$3-'Yearly BTX'!$D$3)/10</f>
        <v>0.45983623319335215</v>
      </c>
      <c r="J40" s="43">
        <f>J38*'R&amp;S - Buildings'!$E$8*'R&amp;S - Buildings'!$C$11*'R&amp;S - Buildings'!$B$15*('Yearly BTX'!J$3-'Yearly BTX'!$D$3)/10</f>
        <v>0.5578486820513171</v>
      </c>
      <c r="K40" s="43">
        <f>K38*'R&amp;S - Buildings'!$E$8*'R&amp;S - Buildings'!$C$11*'R&amp;S - Buildings'!$B$15*('Yearly BTX'!K$3-'Yearly BTX'!$D$3)/10</f>
        <v>0.65795346353133666</v>
      </c>
      <c r="L40" s="43">
        <f>L38*'R&amp;S - Buildings'!$E$8*'R&amp;S - Buildings'!$C$11*'R&amp;S - Buildings'!$B$15*('Yearly BTX'!L$3-'Yearly BTX'!$D$3)/10</f>
        <v>0.76018465868897001</v>
      </c>
      <c r="M40" s="43">
        <f>M38*'R&amp;S - Buildings'!$E$8*'R&amp;S - Buildings'!$C$11*'R&amp;S - Buildings'!$B$15*('Yearly BTX'!M$3-'Yearly BTX'!$D$3)/10</f>
        <v>0.86457684419851921</v>
      </c>
      <c r="N40" s="43">
        <f>N38*'R&amp;S - Buildings'!$E$8*'R&amp;S - Buildings'!$C$11*'R&amp;S - Buildings'!$B$15*('Yearly BTX'!N$3-'Yearly BTX'!$D$3)/10</f>
        <v>0.97116509912198645</v>
      </c>
      <c r="O40" s="43">
        <f>O38*'R&amp;S - Buildings'!$E$8*'R&amp;S - Buildings'!$C$11*('R&amp;S - Buildings'!$B$15+('R&amp;S - Buildings'!$B$16-'R&amp;S - Buildings'!$B$15)*('Yearly BTX'!O$3-'Yearly BTX'!$N$3)/10)</f>
        <v>1.0799850117668588</v>
      </c>
      <c r="P40" s="43">
        <f>P38*'R&amp;S - Buildings'!$E$8*'R&amp;S - Buildings'!$C$11*('R&amp;S - Buildings'!$B$15+('R&amp;S - Buildings'!$B$16-'R&amp;S - Buildings'!$B$15)*('Yearly BTX'!P$3-'Yearly BTX'!$N$3)/10)</f>
        <v>1.1910726866338568</v>
      </c>
      <c r="Q40" s="43">
        <f>Q38*'R&amp;S - Buildings'!$E$8*'R&amp;S - Buildings'!$C$11*('R&amp;S - Buildings'!$B$15+('R&amp;S - Buildings'!$B$16-'R&amp;S - Buildings'!$B$15)*('Yearly BTX'!Q$3-'Yearly BTX'!$N$3)/10)</f>
        <v>1.3044647514557914</v>
      </c>
      <c r="R40" s="43">
        <f>R38*'R&amp;S - Buildings'!$E$8*'R&amp;S - Buildings'!$C$11*('R&amp;S - Buildings'!$B$15+('R&amp;S - Buildings'!$B$16-'R&amp;S - Buildings'!$B$15)*('Yearly BTX'!R$3-'Yearly BTX'!$N$3)/10)</f>
        <v>1.4201983643286953</v>
      </c>
      <c r="S40" s="43">
        <f>S38*'R&amp;S - Buildings'!$E$8*'R&amp;S - Buildings'!$C$11*('R&amp;S - Buildings'!$B$15+('R&amp;S - Buildings'!$B$16-'R&amp;S - Buildings'!$B$15)*('Yearly BTX'!S$3-'Yearly BTX'!$N$3)/10)</f>
        <v>1.5383112209364058</v>
      </c>
      <c r="T40" s="43">
        <f>T38*'R&amp;S - Buildings'!$E$8*'R&amp;S - Buildings'!$C$11*('R&amp;S - Buildings'!$B$15+('R&amp;S - Buildings'!$B$16-'R&amp;S - Buildings'!$B$15)*('Yearly BTX'!T$3-'Yearly BTX'!$N$3)/10)</f>
        <v>1.6588415618697854</v>
      </c>
      <c r="U40" s="43">
        <f>U38*'R&amp;S - Buildings'!$E$8*'R&amp;S - Buildings'!$C$11*('R&amp;S - Buildings'!$B$15+('R&amp;S - Buildings'!$B$16-'R&amp;S - Buildings'!$B$15)*('Yearly BTX'!U$3-'Yearly BTX'!$N$3)/10)</f>
        <v>1.7818281800417932</v>
      </c>
      <c r="V40" s="43">
        <f>V38*'R&amp;S - Buildings'!$E$8*'R&amp;S - Buildings'!$C$11*('R&amp;S - Buildings'!$B$15+('R&amp;S - Buildings'!$B$16-'R&amp;S - Buildings'!$B$15)*('Yearly BTX'!V$3-'Yearly BTX'!$N$3)/10)</f>
        <v>1.9073104281996267</v>
      </c>
      <c r="W40" s="43">
        <f>W38*'R&amp;S - Buildings'!$E$8*'R&amp;S - Buildings'!$C$11*('R&amp;S - Buildings'!$B$15+('R&amp;S - Buildings'!$B$16-'R&amp;S - Buildings'!$B$15)*('Yearly BTX'!W$3-'Yearly BTX'!$N$3)/10)</f>
        <v>2.0353282265351678</v>
      </c>
      <c r="X40" s="43">
        <f>X38*'R&amp;S - Buildings'!$E$8*'R&amp;S - Buildings'!$C$11*('R&amp;S - Buildings'!$B$15+('R&amp;S - Buildings'!$B$16-'R&amp;S - Buildings'!$B$15)*('Yearly BTX'!X$3-'Yearly BTX'!$N$3)/10)</f>
        <v>2.1659220703949904</v>
      </c>
      <c r="Y40" s="43">
        <f>Y38*'R&amp;S - Buildings'!$E$8*'R&amp;S - Buildings'!$C$11*('R&amp;S - Buildings'!$B$16+('R&amp;S - Buildings'!$B$17-'R&amp;S - Buildings'!$B$16)*('Yearly BTX'!Y$3-'Yearly BTX'!$X$3)/10)</f>
        <v>2.3024506903828117</v>
      </c>
      <c r="Z40" s="43">
        <f>Z38*'R&amp;S - Buildings'!$E$8*'R&amp;S - Buildings'!$C$11*('R&amp;S - Buildings'!$B$16+('R&amp;S - Buildings'!$B$17-'R&amp;S - Buildings'!$B$16)*('Yearly BTX'!Z$3-'Yearly BTX'!$X$3)/10)</f>
        <v>2.441710795505295</v>
      </c>
      <c r="AA40" s="43">
        <f>AA38*'R&amp;S - Buildings'!$E$8*'R&amp;S - Buildings'!$C$11*('R&amp;S - Buildings'!$B$16+('R&amp;S - Buildings'!$B$17-'R&amp;S - Buildings'!$B$16)*('Yearly BTX'!AA$3-'Yearly BTX'!$X$3)/10)</f>
        <v>2.583745848399448</v>
      </c>
      <c r="AB40" s="43">
        <f>AB38*'R&amp;S - Buildings'!$E$8*'R&amp;S - Buildings'!$C$11*('R&amp;S - Buildings'!$B$16+('R&amp;S - Buildings'!$B$17-'R&amp;S - Buildings'!$B$16)*('Yearly BTX'!AB$3-'Yearly BTX'!$X$3)/10)</f>
        <v>2.7285999361671638</v>
      </c>
      <c r="AC40" s="43">
        <f>AC38*'R&amp;S - Buildings'!$E$8*'R&amp;S - Buildings'!$C$11*('R&amp;S - Buildings'!$B$16+('R&amp;S - Buildings'!$B$17-'R&amp;S - Buildings'!$B$16)*('Yearly BTX'!AC$3-'Yearly BTX'!$X$3)/10)</f>
        <v>2.8763177788413183</v>
      </c>
      <c r="AD40" s="43">
        <f>AD38*'R&amp;S - Buildings'!$E$8*'R&amp;S - Buildings'!$C$11*('R&amp;S - Buildings'!$B$16+('R&amp;S - Buildings'!$B$17-'R&amp;S - Buildings'!$B$16)*('Yearly BTX'!AD$3-'Yearly BTX'!$X$3)/10)</f>
        <v>3.0269447379624057</v>
      </c>
      <c r="AE40" s="43">
        <f>AE38*'R&amp;S - Buildings'!$E$8*'R&amp;S - Buildings'!$C$11*('R&amp;S - Buildings'!$B$16+('R&amp;S - Buildings'!$B$17-'R&amp;S - Buildings'!$B$16)*('Yearly BTX'!AE$3-'Yearly BTX'!$X$3)/10)</f>
        <v>3.1805268252671395</v>
      </c>
      <c r="AF40" s="43">
        <f>AF38*'R&amp;S - Buildings'!$E$8*'R&amp;S - Buildings'!$C$11*('R&amp;S - Buildings'!$B$16+('R&amp;S - Buildings'!$B$17-'R&amp;S - Buildings'!$B$16)*('Yearly BTX'!AF$3-'Yearly BTX'!$X$3)/10)</f>
        <v>3.3371107114904301</v>
      </c>
      <c r="AG40" s="43">
        <f>AG38*'R&amp;S - Buildings'!$E$8*'R&amp;S - Buildings'!$C$11*('R&amp;S - Buildings'!$B$16+('R&amp;S - Buildings'!$B$17-'R&amp;S - Buildings'!$B$16)*('Yearly BTX'!AG$3-'Yearly BTX'!$X$3)/10)</f>
        <v>3.4967437352821817</v>
      </c>
      <c r="AH40" s="43">
        <f>AH38*'R&amp;S - Buildings'!$E$8*'R&amp;S - Buildings'!$C$11*('R&amp;S - Buildings'!$B$16+('R&amp;S - Buildings'!$B$17-'R&amp;S - Buildings'!$B$16)*('Yearly BTX'!AH$3-'Yearly BTX'!$X$3)/10)</f>
        <v>3.6594739122403706</v>
      </c>
      <c r="AJ40">
        <v>0</v>
      </c>
      <c r="AK40" s="43">
        <f>AK38*'R&amp;S - Buildings'!$E$8*'R&amp;S - Buildings'!$C$12*'R&amp;S - Buildings'!$B$15*('Yearly BTX'!AK$3-'Yearly BTX'!$D$3)/10</f>
        <v>4.4022558896571425E-2</v>
      </c>
      <c r="AL40" s="43">
        <f>AL38*'R&amp;S - Buildings'!$E$8*'R&amp;S - Buildings'!$C$12*'R&amp;S - Buildings'!$B$15*('Yearly BTX'!AL$3-'Yearly BTX'!$D$3)/10</f>
        <v>8.9009683188133085E-2</v>
      </c>
      <c r="AM40" s="43">
        <f>AM38*'R&amp;S - Buildings'!$E$8*'R&amp;S - Buildings'!$C$12*'R&amp;S - Buildings'!$B$15*('Yearly BTX'!AM$3-'Yearly BTX'!$D$3)/10</f>
        <v>0.13497722360709125</v>
      </c>
      <c r="AN40" s="43">
        <f>AN38*'R&amp;S - Buildings'!$E$8*'R&amp;S - Buildings'!$C$12*'R&amp;S - Buildings'!$B$15*('Yearly BTX'!AN$3-'Yearly BTX'!$D$3)/10</f>
        <v>0.18194126241968922</v>
      </c>
      <c r="AO40" s="43">
        <f>AO38*'R&amp;S - Buildings'!$E$8*'R&amp;S - Buildings'!$C$12*'R&amp;S - Buildings'!$B$15*('Yearly BTX'!AO$3-'Yearly BTX'!$D$3)/10</f>
        <v>0.22991811659667608</v>
      </c>
      <c r="AP40" s="43">
        <f>AP38*'R&amp;S - Buildings'!$E$8*'R&amp;S - Buildings'!$C$12*'R&amp;S - Buildings'!$B$15*('Yearly BTX'!AP$3-'Yearly BTX'!$D$3)/10</f>
        <v>0.27892434102565855</v>
      </c>
      <c r="AQ40" s="43">
        <f>AQ38*'R&amp;S - Buildings'!$E$8*'R&amp;S - Buildings'!$C$12*'R&amp;S - Buildings'!$B$15*('Yearly BTX'!AQ$3-'Yearly BTX'!$D$3)/10</f>
        <v>0.32897673176566833</v>
      </c>
      <c r="AR40" s="43">
        <f>AR38*'R&amp;S - Buildings'!$E$8*'R&amp;S - Buildings'!$C$12*'R&amp;S - Buildings'!$B$15*('Yearly BTX'!AR$3-'Yearly BTX'!$D$3)/10</f>
        <v>0.380092329344485</v>
      </c>
      <c r="AS40" s="43">
        <f>AS38*'R&amp;S - Buildings'!$E$8*'R&amp;S - Buildings'!$C$12*'R&amp;S - Buildings'!$B$15*('Yearly BTX'!AS$3-'Yearly BTX'!$D$3)/10</f>
        <v>0.43228842209925961</v>
      </c>
      <c r="AT40" s="43">
        <f>AT38*'R&amp;S - Buildings'!$E$8*'R&amp;S - Buildings'!$C$12*'R&amp;S - Buildings'!$B$15*('Yearly BTX'!AT$3-'Yearly BTX'!$D$3)/10</f>
        <v>0.48558254956099323</v>
      </c>
      <c r="AU40" s="43">
        <f>AU38*'R&amp;S - Buildings'!$E$8*'R&amp;S - Buildings'!$C$12*('R&amp;S - Buildings'!$B$15+('R&amp;S - Buildings'!$B$16-'R&amp;S - Buildings'!$B$15)*('Yearly BTX'!AU$3-'Yearly BTX'!$N$3)/10)</f>
        <v>0.5399925058834294</v>
      </c>
      <c r="AV40" s="43">
        <f>AV38*'R&amp;S - Buildings'!$E$8*'R&amp;S - Buildings'!$C$12*('R&amp;S - Buildings'!$B$15+('R&amp;S - Buildings'!$B$16-'R&amp;S - Buildings'!$B$15)*('Yearly BTX'!AV$3-'Yearly BTX'!$N$3)/10)</f>
        <v>0.5955363433169284</v>
      </c>
      <c r="AW40" s="43">
        <f>AW38*'R&amp;S - Buildings'!$E$8*'R&amp;S - Buildings'!$C$12*('R&amp;S - Buildings'!$B$15+('R&amp;S - Buildings'!$B$16-'R&amp;S - Buildings'!$B$15)*('Yearly BTX'!AW$3-'Yearly BTX'!$N$3)/10)</f>
        <v>0.65223237572789572</v>
      </c>
      <c r="AX40" s="43">
        <f>AX38*'R&amp;S - Buildings'!$E$8*'R&amp;S - Buildings'!$C$12*('R&amp;S - Buildings'!$B$15+('R&amp;S - Buildings'!$B$16-'R&amp;S - Buildings'!$B$15)*('Yearly BTX'!AX$3-'Yearly BTX'!$N$3)/10)</f>
        <v>0.71009918216434764</v>
      </c>
      <c r="AY40" s="43">
        <f>AY38*'R&amp;S - Buildings'!$E$8*'R&amp;S - Buildings'!$C$12*('R&amp;S - Buildings'!$B$15+('R&amp;S - Buildings'!$B$16-'R&amp;S - Buildings'!$B$15)*('Yearly BTX'!AY$3-'Yearly BTX'!$N$3)/10)</f>
        <v>0.76915561046820291</v>
      </c>
      <c r="AZ40" s="43">
        <f>AZ38*'R&amp;S - Buildings'!$E$8*'R&amp;S - Buildings'!$C$12*('R&amp;S - Buildings'!$B$15+('R&amp;S - Buildings'!$B$16-'R&amp;S - Buildings'!$B$15)*('Yearly BTX'!AZ$3-'Yearly BTX'!$N$3)/10)</f>
        <v>0.82942078093489269</v>
      </c>
      <c r="BA40" s="43">
        <f>BA38*'R&amp;S - Buildings'!$E$8*'R&amp;S - Buildings'!$C$12*('R&amp;S - Buildings'!$B$15+('R&amp;S - Buildings'!$B$16-'R&amp;S - Buildings'!$B$15)*('Yearly BTX'!BA$3-'Yearly BTX'!$N$3)/10)</f>
        <v>0.89091409002089661</v>
      </c>
      <c r="BB40" s="43">
        <f>BB38*'R&amp;S - Buildings'!$E$8*'R&amp;S - Buildings'!$C$12*('R&amp;S - Buildings'!$B$15+('R&amp;S - Buildings'!$B$16-'R&amp;S - Buildings'!$B$15)*('Yearly BTX'!BB$3-'Yearly BTX'!$N$3)/10)</f>
        <v>0.95365521409981335</v>
      </c>
      <c r="BC40" s="43">
        <f>BC38*'R&amp;S - Buildings'!$E$8*'R&amp;S - Buildings'!$C$12*('R&amp;S - Buildings'!$B$15+('R&amp;S - Buildings'!$B$16-'R&amp;S - Buildings'!$B$15)*('Yearly BTX'!BC$3-'Yearly BTX'!$N$3)/10)</f>
        <v>1.0176641132675839</v>
      </c>
      <c r="BD40" s="43">
        <f>BD38*'R&amp;S - Buildings'!$E$8*'R&amp;S - Buildings'!$C$12*('R&amp;S - Buildings'!$B$15+('R&amp;S - Buildings'!$B$16-'R&amp;S - Buildings'!$B$15)*('Yearly BTX'!BD$3-'Yearly BTX'!$N$3)/10)</f>
        <v>1.0829610351974952</v>
      </c>
      <c r="BE40" s="43">
        <f>BE38*'R&amp;S - Buildings'!$E$8*'R&amp;S - Buildings'!$C$12*('R&amp;S - Buildings'!$B$16+('R&amp;S - Buildings'!$B$17-'R&amp;S - Buildings'!$B$16)*('Yearly BTX'!BE$3-'Yearly BTX'!$X$3)/10)</f>
        <v>1.1512253451914058</v>
      </c>
      <c r="BF40" s="43">
        <f>BF38*'R&amp;S - Buildings'!$E$8*'R&amp;S - Buildings'!$C$12*('R&amp;S - Buildings'!$B$16+('R&amp;S - Buildings'!$B$17-'R&amp;S - Buildings'!$B$16)*('Yearly BTX'!BF$3-'Yearly BTX'!$X$3)/10)</f>
        <v>1.2208553977526475</v>
      </c>
      <c r="BG40" s="43">
        <f>BG38*'R&amp;S - Buildings'!$E$8*'R&amp;S - Buildings'!$C$12*('R&amp;S - Buildings'!$B$16+('R&amp;S - Buildings'!$B$17-'R&amp;S - Buildings'!$B$16)*('Yearly BTX'!BG$3-'Yearly BTX'!$X$3)/10)</f>
        <v>1.291872924199724</v>
      </c>
      <c r="BH40" s="43">
        <f>BH38*'R&amp;S - Buildings'!$E$8*'R&amp;S - Buildings'!$C$12*('R&amp;S - Buildings'!$B$16+('R&amp;S - Buildings'!$B$17-'R&amp;S - Buildings'!$B$16)*('Yearly BTX'!BH$3-'Yearly BTX'!$X$3)/10)</f>
        <v>1.3642999680835819</v>
      </c>
      <c r="BI40" s="43">
        <f>BI38*'R&amp;S - Buildings'!$E$8*'R&amp;S - Buildings'!$C$12*('R&amp;S - Buildings'!$B$16+('R&amp;S - Buildings'!$B$17-'R&amp;S - Buildings'!$B$16)*('Yearly BTX'!BI$3-'Yearly BTX'!$X$3)/10)</f>
        <v>1.4381588894206592</v>
      </c>
      <c r="BJ40" s="43">
        <f>BJ38*'R&amp;S - Buildings'!$E$8*'R&amp;S - Buildings'!$C$12*('R&amp;S - Buildings'!$B$16+('R&amp;S - Buildings'!$B$17-'R&amp;S - Buildings'!$B$16)*('Yearly BTX'!BJ$3-'Yearly BTX'!$X$3)/10)</f>
        <v>1.5134723689812029</v>
      </c>
      <c r="BK40" s="43">
        <f>BK38*'R&amp;S - Buildings'!$E$8*'R&amp;S - Buildings'!$C$12*('R&amp;S - Buildings'!$B$16+('R&amp;S - Buildings'!$B$17-'R&amp;S - Buildings'!$B$16)*('Yearly BTX'!BK$3-'Yearly BTX'!$X$3)/10)</f>
        <v>1.5902634126335697</v>
      </c>
      <c r="BL40" s="43">
        <f>BL38*'R&amp;S - Buildings'!$E$8*'R&amp;S - Buildings'!$C$12*('R&amp;S - Buildings'!$B$16+('R&amp;S - Buildings'!$B$17-'R&amp;S - Buildings'!$B$16)*('Yearly BTX'!BL$3-'Yearly BTX'!$X$3)/10)</f>
        <v>1.6685553557452151</v>
      </c>
      <c r="BM40" s="43">
        <f>BM38*'R&amp;S - Buildings'!$E$8*'R&amp;S - Buildings'!$C$12*('R&amp;S - Buildings'!$B$16+('R&amp;S - Buildings'!$B$17-'R&amp;S - Buildings'!$B$16)*('Yearly BTX'!BM$3-'Yearly BTX'!$X$3)/10)</f>
        <v>1.7483718676410909</v>
      </c>
      <c r="BN40" s="43">
        <f>BN38*'R&amp;S - Buildings'!$E$8*'R&amp;S - Buildings'!$C$12*('R&amp;S - Buildings'!$B$16+('R&amp;S - Buildings'!$B$17-'R&amp;S - Buildings'!$B$16)*('Yearly BTX'!BN$3-'Yearly BTX'!$X$3)/10)</f>
        <v>1.8297369561201853</v>
      </c>
    </row>
    <row r="41" spans="1:75" outlineLevel="1" x14ac:dyDescent="0.2">
      <c r="B41" s="1" t="s">
        <v>197</v>
      </c>
      <c r="C41" s="65" t="s">
        <v>153</v>
      </c>
      <c r="D41" s="66">
        <f>D38-D39-D40</f>
        <v>14.733107457344531</v>
      </c>
      <c r="E41" s="66">
        <f t="shared" ref="E41:AG41" si="35">E38-E39-E40</f>
        <v>14.53613331430585</v>
      </c>
      <c r="F41" s="66">
        <f t="shared" si="35"/>
        <v>14.333075064313762</v>
      </c>
      <c r="G41" s="66">
        <f t="shared" si="35"/>
        <v>14.123823041074358</v>
      </c>
      <c r="H41" s="66">
        <f t="shared" si="35"/>
        <v>13.908265905640807</v>
      </c>
      <c r="I41" s="66">
        <f t="shared" si="35"/>
        <v>13.686290622926476</v>
      </c>
      <c r="J41" s="66">
        <f t="shared" si="35"/>
        <v>13.457782437904177</v>
      </c>
      <c r="K41" s="66">
        <f t="shared" si="35"/>
        <v>13.222624851487504</v>
      </c>
      <c r="L41" s="66">
        <f t="shared" si="35"/>
        <v>12.980699596090135</v>
      </c>
      <c r="M41" s="66">
        <f t="shared" si="35"/>
        <v>12.731886610858931</v>
      </c>
      <c r="N41" s="66">
        <f t="shared" si="35"/>
        <v>12.476064016576649</v>
      </c>
      <c r="O41" s="66">
        <f t="shared" si="35"/>
        <v>12.213108090229982</v>
      </c>
      <c r="P41" s="66">
        <f t="shared" si="35"/>
        <v>11.942893239238581</v>
      </c>
      <c r="Q41" s="66">
        <f t="shared" si="35"/>
        <v>11.665291975340752</v>
      </c>
      <c r="R41" s="66">
        <f t="shared" si="35"/>
        <v>11.380174888131297</v>
      </c>
      <c r="S41" s="66">
        <f t="shared" si="35"/>
        <v>11.087410618247139</v>
      </c>
      <c r="T41" s="66">
        <f t="shared" si="35"/>
        <v>10.786865830196053</v>
      </c>
      <c r="U41" s="66">
        <f t="shared" si="35"/>
        <v>10.478405184824021</v>
      </c>
      <c r="V41" s="66">
        <f t="shared" si="35"/>
        <v>10.161891311416472</v>
      </c>
      <c r="W41" s="66">
        <f t="shared" si="35"/>
        <v>9.8371847794287213</v>
      </c>
      <c r="X41" s="66">
        <f t="shared" si="35"/>
        <v>9.5041440698408515</v>
      </c>
      <c r="Y41" s="66">
        <f t="shared" si="35"/>
        <v>9.1491213103044302</v>
      </c>
      <c r="Z41" s="66">
        <f t="shared" si="35"/>
        <v>8.7851790658586353</v>
      </c>
      <c r="AA41" s="66">
        <f t="shared" si="35"/>
        <v>8.4121645140324368</v>
      </c>
      <c r="AB41" s="66">
        <f t="shared" si="35"/>
        <v>8.0299225544209438</v>
      </c>
      <c r="AC41" s="66">
        <f t="shared" si="35"/>
        <v>7.6382957771159816</v>
      </c>
      <c r="AD41" s="66">
        <f t="shared" si="35"/>
        <v>7.2371244307183531</v>
      </c>
      <c r="AE41" s="66">
        <f t="shared" si="35"/>
        <v>6.826246389926415</v>
      </c>
      <c r="AF41" s="66">
        <f t="shared" si="35"/>
        <v>6.4054971226955288</v>
      </c>
      <c r="AG41" s="66">
        <f t="shared" si="35"/>
        <v>5.9747096569628528</v>
      </c>
      <c r="AH41" s="66">
        <f>AH38-AH39-AH40</f>
        <v>5.5337145469319271</v>
      </c>
      <c r="AJ41" s="66">
        <f>AJ38-AJ39-AJ40</f>
        <v>14.733107457344531</v>
      </c>
      <c r="AK41" s="66">
        <f t="shared" ref="AK41:BM41" si="36">AK38-AK39-AK40</f>
        <v>14.742357129122936</v>
      </c>
      <c r="AL41" s="66">
        <f t="shared" si="36"/>
        <v>14.75004120355713</v>
      </c>
      <c r="AM41" s="66">
        <f t="shared" si="36"/>
        <v>14.756124267158723</v>
      </c>
      <c r="AN41" s="66">
        <f t="shared" si="36"/>
        <v>14.760570318407398</v>
      </c>
      <c r="AO41" s="66">
        <f t="shared" si="36"/>
        <v>14.763342759117018</v>
      </c>
      <c r="AP41" s="66">
        <f t="shared" si="36"/>
        <v>14.764404385683164</v>
      </c>
      <c r="AQ41" s="66">
        <f t="shared" si="36"/>
        <v>14.763717380210487</v>
      </c>
      <c r="AR41" s="66">
        <f t="shared" si="36"/>
        <v>14.761243301518331</v>
      </c>
      <c r="AS41" s="66">
        <f t="shared" si="36"/>
        <v>14.756943076023006</v>
      </c>
      <c r="AT41" s="66">
        <f t="shared" si="36"/>
        <v>14.750776988495103</v>
      </c>
      <c r="AU41" s="66">
        <f t="shared" si="36"/>
        <v>14.742704672690159</v>
      </c>
      <c r="AV41" s="66">
        <f t="shared" si="36"/>
        <v>14.732685101851102</v>
      </c>
      <c r="AW41" s="66">
        <f t="shared" si="36"/>
        <v>14.720676579080671</v>
      </c>
      <c r="AX41" s="66">
        <f t="shared" si="36"/>
        <v>14.706636727582213</v>
      </c>
      <c r="AY41" s="66">
        <f t="shared" si="36"/>
        <v>14.690522480767051</v>
      </c>
      <c r="AZ41" s="66">
        <f t="shared" si="36"/>
        <v>14.672290072226708</v>
      </c>
      <c r="BA41" s="66">
        <f t="shared" si="36"/>
        <v>14.651895025568194</v>
      </c>
      <c r="BB41" s="66">
        <f t="shared" si="36"/>
        <v>14.629292144110593</v>
      </c>
      <c r="BC41" s="66">
        <f t="shared" si="36"/>
        <v>14.604435500441079</v>
      </c>
      <c r="BD41" s="66">
        <f t="shared" si="36"/>
        <v>14.57727842582856</v>
      </c>
      <c r="BE41" s="66">
        <f t="shared" si="36"/>
        <v>14.542040039932827</v>
      </c>
      <c r="BF41" s="66">
        <f t="shared" si="36"/>
        <v>14.504279994455297</v>
      </c>
      <c r="BG41" s="66">
        <f t="shared" si="36"/>
        <v>14.463947267354422</v>
      </c>
      <c r="BH41" s="66">
        <f t="shared" si="36"/>
        <v>14.420990021308661</v>
      </c>
      <c r="BI41" s="66">
        <f t="shared" si="36"/>
        <v>14.375355591976762</v>
      </c>
      <c r="BJ41" s="66">
        <f t="shared" si="36"/>
        <v>14.326990476098677</v>
      </c>
      <c r="BK41" s="66">
        <f t="shared" si="36"/>
        <v>14.275840319435028</v>
      </c>
      <c r="BL41" s="66">
        <f t="shared" si="36"/>
        <v>14.221849904542989</v>
      </c>
      <c r="BM41" s="66">
        <f t="shared" si="36"/>
        <v>14.164963138386476</v>
      </c>
      <c r="BN41" s="66">
        <f>BN38-BN39-BN40</f>
        <v>14.105123039778466</v>
      </c>
    </row>
    <row r="42" spans="1:75" s="67" customFormat="1" outlineLevel="1" x14ac:dyDescent="0.2">
      <c r="A42" s="681"/>
      <c r="B42" s="58" t="s">
        <v>7</v>
      </c>
      <c r="C42" s="59" t="s">
        <v>153</v>
      </c>
      <c r="D42" s="60">
        <f>D$41*'R&amp;S - Buildings'!$L$4/SUM('R&amp;S - Buildings'!$L$4:$N$4)</f>
        <v>12.002819069097551</v>
      </c>
      <c r="E42" s="60">
        <f>E$41*'R&amp;S - Buildings'!$L$4/SUM('R&amp;S - Buildings'!$L$4:$N$4)</f>
        <v>11.842347491256366</v>
      </c>
      <c r="F42" s="60">
        <f>F$41*'R&amp;S - Buildings'!$L$4/SUM('R&amp;S - Buildings'!$L$4:$N$4)</f>
        <v>11.676919292066273</v>
      </c>
      <c r="G42" s="60">
        <f>G$41*'R&amp;S - Buildings'!$L$4/SUM('R&amp;S - Buildings'!$L$4:$N$4)</f>
        <v>11.506445128210697</v>
      </c>
      <c r="H42" s="60">
        <f>H$41*'R&amp;S - Buildings'!$L$4/SUM('R&amp;S - Buildings'!$L$4:$N$4)</f>
        <v>11.330834293690375</v>
      </c>
      <c r="I42" s="60">
        <f>I$41*'R&amp;S - Buildings'!$L$4/SUM('R&amp;S - Buildings'!$L$4:$N$4)</f>
        <v>11.149994700688987</v>
      </c>
      <c r="J42" s="60">
        <f>J$41*'R&amp;S - Buildings'!$L$4/SUM('R&amp;S - Buildings'!$L$4:$N$4)</f>
        <v>10.963832860183082</v>
      </c>
      <c r="K42" s="60">
        <f>K$41*'R&amp;S - Buildings'!$L$4/SUM('R&amp;S - Buildings'!$L$4:$N$4)</f>
        <v>10.772253862292997</v>
      </c>
      <c r="L42" s="60">
        <f>L$41*'R&amp;S - Buildings'!$L$4/SUM('R&amp;S - Buildings'!$L$4:$N$4)</f>
        <v>10.575161356371426</v>
      </c>
      <c r="M42" s="60">
        <f>M$41*'R&amp;S - Buildings'!$L$4/SUM('R&amp;S - Buildings'!$L$4:$N$4)</f>
        <v>10.372457530826232</v>
      </c>
      <c r="N42" s="60">
        <f>N$41*'R&amp;S - Buildings'!$L$4/SUM('R&amp;S - Buildings'!$L$4:$N$4)</f>
        <v>10.164043092674103</v>
      </c>
      <c r="O42" s="60">
        <f>O$41*'R&amp;S - Buildings'!$L$4/SUM('R&amp;S - Buildings'!$L$4:$N$4)</f>
        <v>9.9498172468215635</v>
      </c>
      <c r="P42" s="60">
        <f>P$41*'R&amp;S - Buildings'!$L$4/SUM('R&amp;S - Buildings'!$L$4:$N$4)</f>
        <v>9.7296776750697731</v>
      </c>
      <c r="Q42" s="60">
        <f>Q$41*'R&amp;S - Buildings'!$L$4/SUM('R&amp;S - Buildings'!$L$4:$N$4)</f>
        <v>9.5035205148396393</v>
      </c>
      <c r="R42" s="60">
        <f>R$41*'R&amp;S - Buildings'!$L$4/SUM('R&amp;S - Buildings'!$L$4:$N$4)</f>
        <v>9.2712403376135359</v>
      </c>
      <c r="S42" s="60">
        <f>S$41*'R&amp;S - Buildings'!$L$4/SUM('R&amp;S - Buildings'!$L$4:$N$4)</f>
        <v>9.0327301270900779</v>
      </c>
      <c r="T42" s="60">
        <f>T$41*'R&amp;S - Buildings'!$L$4/SUM('R&amp;S - Buildings'!$L$4:$N$4)</f>
        <v>8.7878812570481255</v>
      </c>
      <c r="U42" s="60">
        <f>U$41*'R&amp;S - Buildings'!$L$4/SUM('R&amp;S - Buildings'!$L$4:$N$4)</f>
        <v>8.53658346891641</v>
      </c>
      <c r="V42" s="60">
        <f>V$41*'R&amp;S - Buildings'!$L$4/SUM('R&amp;S - Buildings'!$L$4:$N$4)</f>
        <v>8.2787248490448633</v>
      </c>
      <c r="W42" s="60">
        <f>W$41*'R&amp;S - Buildings'!$L$4/SUM('R&amp;S - Buildings'!$L$4:$N$4)</f>
        <v>8.0141918056738781</v>
      </c>
      <c r="X42" s="60">
        <f>X$41*'R&amp;S - Buildings'!$L$4/SUM('R&amp;S - Buildings'!$L$4:$N$4)</f>
        <v>7.7428690455976037</v>
      </c>
      <c r="Y42" s="60">
        <f>Y$41*'R&amp;S - Buildings'!$L$4/SUM('R&amp;S - Buildings'!$L$4:$N$4)</f>
        <v>7.4536378728484269</v>
      </c>
      <c r="Z42" s="60">
        <f>Z$41*'R&amp;S - Buildings'!$L$4/SUM('R&amp;S - Buildings'!$L$4:$N$4)</f>
        <v>7.1571401432057566</v>
      </c>
      <c r="AA42" s="60">
        <f>AA$41*'R&amp;S - Buildings'!$L$4/SUM('R&amp;S - Buildings'!$L$4:$N$4)</f>
        <v>6.8532513547289948</v>
      </c>
      <c r="AB42" s="60">
        <f>AB$41*'R&amp;S - Buildings'!$L$4/SUM('R&amp;S - Buildings'!$L$4:$N$4)</f>
        <v>6.541845149682489</v>
      </c>
      <c r="AC42" s="60">
        <f>AC$41*'R&amp;S - Buildings'!$L$4/SUM('R&amp;S - Buildings'!$L$4:$N$4)</f>
        <v>6.2227932888164403</v>
      </c>
      <c r="AD42" s="60">
        <f>AD$41*'R&amp;S - Buildings'!$L$4/SUM('R&amp;S - Buildings'!$L$4:$N$4)</f>
        <v>5.8959656253070305</v>
      </c>
      <c r="AE42" s="60">
        <f>AE$41*'R&amp;S - Buildings'!$L$4/SUM('R&amp;S - Buildings'!$L$4:$N$4)</f>
        <v>5.5612300783513575</v>
      </c>
      <c r="AF42" s="60">
        <f>AF$41*'R&amp;S - Buildings'!$L$4/SUM('R&amp;S - Buildings'!$L$4:$N$4)</f>
        <v>5.2184526064127974</v>
      </c>
      <c r="AG42" s="60">
        <f>AG$41*'R&amp;S - Buildings'!$L$4/SUM('R&amp;S - Buildings'!$L$4:$N$4)</f>
        <v>4.8674971801122329</v>
      </c>
      <c r="AH42" s="60">
        <f>AH$41*'R&amp;S - Buildings'!$L$4/SUM('R&amp;S - Buildings'!$L$4:$N$4)</f>
        <v>4.5082257547606668</v>
      </c>
      <c r="AJ42" s="60">
        <f>AJ$41*'R&amp;S - Buildings'!$L$4/SUM('R&amp;S - Buildings'!$L$4:$N$4)</f>
        <v>12.002819069097551</v>
      </c>
      <c r="AK42" s="60">
        <f>AK$41*'R&amp;S - Buildings'!$L$4/SUM('R&amp;S - Buildings'!$L$4:$N$4)</f>
        <v>12.010354623774402</v>
      </c>
      <c r="AL42" s="60">
        <f>AL$41*'R&amp;S - Buildings'!$L$4/SUM('R&amp;S - Buildings'!$L$4:$N$4)</f>
        <v>12.016614712178299</v>
      </c>
      <c r="AM42" s="60">
        <f>AM$41*'R&amp;S - Buildings'!$L$4/SUM('R&amp;S - Buildings'!$L$4:$N$4)</f>
        <v>12.021570483525732</v>
      </c>
      <c r="AN42" s="60">
        <f>AN$41*'R&amp;S - Buildings'!$L$4/SUM('R&amp;S - Buildings'!$L$4:$N$4)</f>
        <v>12.025192607973292</v>
      </c>
      <c r="AO42" s="60">
        <f>AO$41*'R&amp;S - Buildings'!$L$4/SUM('R&amp;S - Buildings'!$L$4:$N$4)</f>
        <v>12.027451269583798</v>
      </c>
      <c r="AP42" s="60">
        <f>AP$41*'R&amp;S - Buildings'!$L$4/SUM('R&amp;S - Buildings'!$L$4:$N$4)</f>
        <v>12.028316159195803</v>
      </c>
      <c r="AQ42" s="60">
        <f>AQ$41*'R&amp;S - Buildings'!$L$4/SUM('R&amp;S - Buildings'!$L$4:$N$4)</f>
        <v>12.027756467195191</v>
      </c>
      <c r="AR42" s="60">
        <f>AR$41*'R&amp;S - Buildings'!$L$4/SUM('R&amp;S - Buildings'!$L$4:$N$4)</f>
        <v>12.025740876187616</v>
      </c>
      <c r="AS42" s="60">
        <f>AS$41*'R&amp;S - Buildings'!$L$4/SUM('R&amp;S - Buildings'!$L$4:$N$4)</f>
        <v>12.022237553570434</v>
      </c>
      <c r="AT42" s="60">
        <f>AT$41*'R&amp;S - Buildings'!$L$4/SUM('R&amp;S - Buildings'!$L$4:$N$4)</f>
        <v>12.017214144002835</v>
      </c>
      <c r="AU42" s="60">
        <f>AU$41*'R&amp;S - Buildings'!$L$4/SUM('R&amp;S - Buildings'!$L$4:$N$4)</f>
        <v>12.010637761772823</v>
      </c>
      <c r="AV42" s="60">
        <f>AV$41*'R&amp;S - Buildings'!$L$4/SUM('R&amp;S - Buildings'!$L$4:$N$4)</f>
        <v>12.002474983059683</v>
      </c>
      <c r="AW42" s="60">
        <f>AW$41*'R&amp;S - Buildings'!$L$4/SUM('R&amp;S - Buildings'!$L$4:$N$4)</f>
        <v>11.992691838090577</v>
      </c>
      <c r="AX42" s="60">
        <f>AX$41*'R&amp;S - Buildings'!$L$4/SUM('R&amp;S - Buildings'!$L$4:$N$4)</f>
        <v>11.981253803189869</v>
      </c>
      <c r="AY42" s="60">
        <f>AY$41*'R&amp;S - Buildings'!$L$4/SUM('R&amp;S - Buildings'!$L$4:$N$4)</f>
        <v>11.968125792719768</v>
      </c>
      <c r="AZ42" s="60">
        <f>AZ$41*'R&amp;S - Buildings'!$L$4/SUM('R&amp;S - Buildings'!$L$4:$N$4)</f>
        <v>11.953272150910855</v>
      </c>
      <c r="BA42" s="60">
        <f>BA$41*'R&amp;S - Buildings'!$L$4/SUM('R&amp;S - Buildings'!$L$4:$N$4)</f>
        <v>11.936656643581076</v>
      </c>
      <c r="BB42" s="60">
        <f>BB$41*'R&amp;S - Buildings'!$L$4/SUM('R&amp;S - Buildings'!$L$4:$N$4)</f>
        <v>11.918242449741703</v>
      </c>
      <c r="BC42" s="60">
        <f>BC$41*'R&amp;S - Buildings'!$L$4/SUM('R&amp;S - Buildings'!$L$4:$N$4)</f>
        <v>11.89799215308881</v>
      </c>
      <c r="BD42" s="60">
        <f>BD$41*'R&amp;S - Buildings'!$L$4/SUM('R&amp;S - Buildings'!$L$4:$N$4)</f>
        <v>11.875867733378724</v>
      </c>
      <c r="BE42" s="60">
        <f>BE$41*'R&amp;S - Buildings'!$L$4/SUM('R&amp;S - Buildings'!$L$4:$N$4)</f>
        <v>11.847159602971201</v>
      </c>
      <c r="BF42" s="60">
        <f>BF$41*'R&amp;S - Buildings'!$L$4/SUM('R&amp;S - Buildings'!$L$4:$N$4)</f>
        <v>11.816397118191945</v>
      </c>
      <c r="BG42" s="60">
        <f>BG$41*'R&amp;S - Buildings'!$L$4/SUM('R&amp;S - Buildings'!$L$4:$N$4)</f>
        <v>11.783538712227237</v>
      </c>
      <c r="BH42" s="60">
        <f>BH$41*'R&amp;S - Buildings'!$L$4/SUM('R&amp;S - Buildings'!$L$4:$N$4)</f>
        <v>11.748542154068224</v>
      </c>
      <c r="BI42" s="60">
        <f>BI$41*'R&amp;S - Buildings'!$L$4/SUM('R&amp;S - Buildings'!$L$4:$N$4)</f>
        <v>11.711364538946761</v>
      </c>
      <c r="BJ42" s="60">
        <f>BJ$41*'R&amp;S - Buildings'!$L$4/SUM('R&amp;S - Buildings'!$L$4:$N$4)</f>
        <v>11.671962278641436</v>
      </c>
      <c r="BK42" s="60">
        <f>BK$41*'R&amp;S - Buildings'!$L$4/SUM('R&amp;S - Buildings'!$L$4:$N$4)</f>
        <v>11.630291091652047</v>
      </c>
      <c r="BL42" s="60">
        <f>BL$41*'R&amp;S - Buildings'!$L$4/SUM('R&amp;S - Buildings'!$L$4:$N$4)</f>
        <v>11.586305993240808</v>
      </c>
      <c r="BM42" s="60">
        <f>BM$41*'R&amp;S - Buildings'!$L$4/SUM('R&amp;S - Buildings'!$L$4:$N$4)</f>
        <v>11.539961285338586</v>
      </c>
      <c r="BN42" s="60">
        <f>BN$41*'R&amp;S - Buildings'!$L$4/SUM('R&amp;S - Buildings'!$L$4:$N$4)</f>
        <v>11.49121054631436</v>
      </c>
    </row>
    <row r="43" spans="1:75" outlineLevel="1" x14ac:dyDescent="0.2">
      <c r="A43" s="682"/>
      <c r="B43" s="1" t="s">
        <v>8</v>
      </c>
      <c r="C43" s="54" t="s">
        <v>153</v>
      </c>
      <c r="D43" s="44">
        <f>D$41*'R&amp;S - Buildings'!$M$4/SUM('R&amp;S - Buildings'!$L$4:$N$4)</f>
        <v>2.5611801774531888</v>
      </c>
      <c r="E43" s="44">
        <f>E$41*'R&amp;S - Buildings'!$M$4/SUM('R&amp;S - Buildings'!$L$4:$N$4)</f>
        <v>2.5269385029061122</v>
      </c>
      <c r="F43" s="44">
        <f>F$41*'R&amp;S - Buildings'!$M$4/SUM('R&amp;S - Buildings'!$L$4:$N$4)</f>
        <v>2.491639176796276</v>
      </c>
      <c r="G43" s="44">
        <f>G$41*'R&amp;S - Buildings'!$M$4/SUM('R&amp;S - Buildings'!$L$4:$N$4)</f>
        <v>2.4552631349080065</v>
      </c>
      <c r="H43" s="44">
        <f>H$41*'R&amp;S - Buildings'!$M$4/SUM('R&amp;S - Buildings'!$L$4:$N$4)</f>
        <v>2.4177910222542849</v>
      </c>
      <c r="I43" s="44">
        <f>I$41*'R&amp;S - Buildings'!$M$4/SUM('R&amp;S - Buildings'!$L$4:$N$4)</f>
        <v>2.3792031889938206</v>
      </c>
      <c r="J43" s="44">
        <f>J$41*'R&amp;S - Buildings'!$M$4/SUM('R&amp;S - Buildings'!$L$4:$N$4)</f>
        <v>2.3394796862935694</v>
      </c>
      <c r="K43" s="44">
        <f>K$41*'R&amp;S - Buildings'!$M$4/SUM('R&amp;S - Buildings'!$L$4:$N$4)</f>
        <v>2.2986002621359809</v>
      </c>
      <c r="L43" s="44">
        <f>L$41*'R&amp;S - Buildings'!$M$4/SUM('R&amp;S - Buildings'!$L$4:$N$4)</f>
        <v>2.256544357070267</v>
      </c>
      <c r="M43" s="44">
        <f>M$41*'R&amp;S - Buildings'!$M$4/SUM('R&amp;S - Buildings'!$L$4:$N$4)</f>
        <v>2.213291099906963</v>
      </c>
      <c r="N43" s="44">
        <f>N$41*'R&amp;S - Buildings'!$M$4/SUM('R&amp;S - Buildings'!$L$4:$N$4)</f>
        <v>2.1688193033550545</v>
      </c>
      <c r="O43" s="44">
        <f>O$41*'R&amp;S - Buildings'!$M$4/SUM('R&amp;S - Buildings'!$L$4:$N$4)</f>
        <v>2.1231074596009258</v>
      </c>
      <c r="P43" s="44">
        <f>P$41*'R&amp;S - Buildings'!$M$4/SUM('R&amp;S - Buildings'!$L$4:$N$4)</f>
        <v>2.0761337358283725</v>
      </c>
      <c r="Q43" s="44">
        <f>Q$41*'R&amp;S - Buildings'!$M$4/SUM('R&amp;S - Buildings'!$L$4:$N$4)</f>
        <v>2.0278759696789348</v>
      </c>
      <c r="R43" s="44">
        <f>R$41*'R&amp;S - Buildings'!$M$4/SUM('R&amp;S - Buildings'!$L$4:$N$4)</f>
        <v>1.9783116646517545</v>
      </c>
      <c r="S43" s="44">
        <f>S$41*'R&amp;S - Buildings'!$M$4/SUM('R&amp;S - Buildings'!$L$4:$N$4)</f>
        <v>1.9274179854422087</v>
      </c>
      <c r="T43" s="44">
        <f>T$41*'R&amp;S - Buildings'!$M$4/SUM('R&amp;S - Buildings'!$L$4:$N$4)</f>
        <v>1.8751717532184975</v>
      </c>
      <c r="U43" s="44">
        <f>U$41*'R&amp;S - Buildings'!$M$4/SUM('R&amp;S - Buildings'!$L$4:$N$4)</f>
        <v>1.8215494408354143</v>
      </c>
      <c r="V43" s="44">
        <f>V$41*'R&amp;S - Buildings'!$M$4/SUM('R&amp;S - Buildings'!$L$4:$N$4)</f>
        <v>1.7665271679844663</v>
      </c>
      <c r="W43" s="44">
        <f>W$41*'R&amp;S - Buildings'!$M$4/SUM('R&amp;S - Buildings'!$L$4:$N$4)</f>
        <v>1.710080696279543</v>
      </c>
      <c r="X43" s="44">
        <f>X$41*'R&amp;S - Buildings'!$M$4/SUM('R&amp;S - Buildings'!$L$4:$N$4)</f>
        <v>1.6521854242772891</v>
      </c>
      <c r="Y43" s="44">
        <f>Y$41*'R&amp;S - Buildings'!$M$4/SUM('R&amp;S - Buildings'!$L$4:$N$4)</f>
        <v>1.5904688273609928</v>
      </c>
      <c r="Z43" s="44">
        <f>Z$41*'R&amp;S - Buildings'!$M$4/SUM('R&amp;S - Buildings'!$L$4:$N$4)</f>
        <v>1.5272016812473108</v>
      </c>
      <c r="AA43" s="44">
        <f>AA$41*'R&amp;S - Buildings'!$M$4/SUM('R&amp;S - Buildings'!$L$4:$N$4)</f>
        <v>1.4623574195187647</v>
      </c>
      <c r="AB43" s="44">
        <f>AB$41*'R&amp;S - Buildings'!$M$4/SUM('R&amp;S - Buildings'!$L$4:$N$4)</f>
        <v>1.3959090797654434</v>
      </c>
      <c r="AC43" s="44">
        <f>AC$41*'R&amp;S - Buildings'!$M$4/SUM('R&amp;S - Buildings'!$L$4:$N$4)</f>
        <v>1.3278292980970263</v>
      </c>
      <c r="AD43" s="44">
        <f>AD$41*'R&amp;S - Buildings'!$M$4/SUM('R&amp;S - Buildings'!$L$4:$N$4)</f>
        <v>1.2580903035820836</v>
      </c>
      <c r="AE43" s="44">
        <f>AE$41*'R&amp;S - Buildings'!$M$4/SUM('R&amp;S - Buildings'!$L$4:$N$4)</f>
        <v>1.1866639126137259</v>
      </c>
      <c r="AF43" s="44">
        <f>AF$41*'R&amp;S - Buildings'!$M$4/SUM('R&amp;S - Buildings'!$L$4:$N$4)</f>
        <v>1.1135215232006559</v>
      </c>
      <c r="AG43" s="44">
        <f>AG$41*'R&amp;S - Buildings'!$M$4/SUM('R&amp;S - Buildings'!$L$4:$N$4)</f>
        <v>1.0386341091826572</v>
      </c>
      <c r="AH43" s="44">
        <f>AH$41*'R&amp;S - Buildings'!$M$4/SUM('R&amp;S - Buildings'!$L$4:$N$4)</f>
        <v>0.9619722143695606</v>
      </c>
      <c r="AJ43" s="44">
        <f>AJ$41*'R&amp;S - Buildings'!$M$4/SUM('R&amp;S - Buildings'!$L$4:$N$4)</f>
        <v>2.5611801774531888</v>
      </c>
      <c r="AK43" s="44">
        <f>AK$41*'R&amp;S - Buildings'!$M$4/SUM('R&amp;S - Buildings'!$L$4:$N$4)</f>
        <v>2.562788125815433</v>
      </c>
      <c r="AL43" s="44">
        <f>AL$41*'R&amp;S - Buildings'!$M$4/SUM('R&amp;S - Buildings'!$L$4:$N$4)</f>
        <v>2.5641239132031179</v>
      </c>
      <c r="AM43" s="44">
        <f>AM$41*'R&amp;S - Buildings'!$M$4/SUM('R&amp;S - Buildings'!$L$4:$N$4)</f>
        <v>2.5651813833912431</v>
      </c>
      <c r="AN43" s="44">
        <f>AN$41*'R&amp;S - Buildings'!$M$4/SUM('R&amp;S - Buildings'!$L$4:$N$4)</f>
        <v>2.5659542779322631</v>
      </c>
      <c r="AO43" s="44">
        <f>AO$41*'R&amp;S - Buildings'!$M$4/SUM('R&amp;S - Buildings'!$L$4:$N$4)</f>
        <v>2.5664362346551886</v>
      </c>
      <c r="AP43" s="44">
        <f>AP$41*'R&amp;S - Buildings'!$M$4/SUM('R&amp;S - Buildings'!$L$4:$N$4)</f>
        <v>2.5666207861440675</v>
      </c>
      <c r="AQ43" s="44">
        <f>AQ$41*'R&amp;S - Buildings'!$M$4/SUM('R&amp;S - Buildings'!$L$4:$N$4)</f>
        <v>2.566501358195584</v>
      </c>
      <c r="AR43" s="44">
        <f>AR$41*'R&amp;S - Buildings'!$M$4/SUM('R&amp;S - Buildings'!$L$4:$N$4)</f>
        <v>2.5660712682554845</v>
      </c>
      <c r="AS43" s="44">
        <f>AS$41*'R&amp;S - Buildings'!$M$4/SUM('R&amp;S - Buildings'!$L$4:$N$4)</f>
        <v>2.5653237238335702</v>
      </c>
      <c r="AT43" s="44">
        <f>AT$41*'R&amp;S - Buildings'!$M$4/SUM('R&amp;S - Buildings'!$L$4:$N$4)</f>
        <v>2.5642518208969607</v>
      </c>
      <c r="AU43" s="44">
        <f>AU$41*'R&amp;S - Buildings'!$M$4/SUM('R&amp;S - Buildings'!$L$4:$N$4)</f>
        <v>2.5628485422413463</v>
      </c>
      <c r="AV43" s="44">
        <f>AV$41*'R&amp;S - Buildings'!$M$4/SUM('R&amp;S - Buildings'!$L$4:$N$4)</f>
        <v>2.5611067558399454</v>
      </c>
      <c r="AW43" s="44">
        <f>AW$41*'R&amp;S - Buildings'!$M$4/SUM('R&amp;S - Buildings'!$L$4:$N$4)</f>
        <v>2.5590192131698624</v>
      </c>
      <c r="AX43" s="44">
        <f>AX$41*'R&amp;S - Buildings'!$M$4/SUM('R&amp;S - Buildings'!$L$4:$N$4)</f>
        <v>2.5565785475155636</v>
      </c>
      <c r="AY43" s="44">
        <f>AY$41*'R&amp;S - Buildings'!$M$4/SUM('R&amp;S - Buildings'!$L$4:$N$4)</f>
        <v>2.5537772722491558</v>
      </c>
      <c r="AZ43" s="44">
        <f>AZ$41*'R&amp;S - Buildings'!$M$4/SUM('R&amp;S - Buildings'!$L$4:$N$4)</f>
        <v>2.5506077790871773</v>
      </c>
      <c r="BA43" s="44">
        <f>BA$41*'R&amp;S - Buildings'!$M$4/SUM('R&amp;S - Buildings'!$L$4:$N$4)</f>
        <v>2.5470623363235751</v>
      </c>
      <c r="BB43" s="44">
        <f>BB$41*'R&amp;S - Buildings'!$M$4/SUM('R&amp;S - Buildings'!$L$4:$N$4)</f>
        <v>2.5431330870385791</v>
      </c>
      <c r="BC43" s="44">
        <f>BC$41*'R&amp;S - Buildings'!$M$4/SUM('R&amp;S - Buildings'!$L$4:$N$4)</f>
        <v>2.5388120472831379</v>
      </c>
      <c r="BD43" s="44">
        <f>BD$41*'R&amp;S - Buildings'!$M$4/SUM('R&amp;S - Buildings'!$L$4:$N$4)</f>
        <v>2.5340911042385987</v>
      </c>
      <c r="BE43" s="44">
        <f>BE$41*'R&amp;S - Buildings'!$M$4/SUM('R&amp;S - Buildings'!$L$4:$N$4)</f>
        <v>2.5279653187786812</v>
      </c>
      <c r="BF43" s="44">
        <f>BF$41*'R&amp;S - Buildings'!$M$4/SUM('R&amp;S - Buildings'!$L$4:$N$4)</f>
        <v>2.5214011719918088</v>
      </c>
      <c r="BG43" s="44">
        <f>BG$41*'R&amp;S - Buildings'!$M$4/SUM('R&amp;S - Buildings'!$L$4:$N$4)</f>
        <v>2.5143897942867004</v>
      </c>
      <c r="BH43" s="44">
        <f>BH$41*'R&amp;S - Buildings'!$M$4/SUM('R&amp;S - Buildings'!$L$4:$N$4)</f>
        <v>2.506922174345088</v>
      </c>
      <c r="BI43" s="44">
        <f>BI$41*'R&amp;S - Buildings'!$M$4/SUM('R&amp;S - Buildings'!$L$4:$N$4)</f>
        <v>2.4989891570809002</v>
      </c>
      <c r="BJ43" s="44">
        <f>BJ$41*'R&amp;S - Buildings'!$M$4/SUM('R&amp;S - Buildings'!$L$4:$N$4)</f>
        <v>2.4905814415717442</v>
      </c>
      <c r="BK43" s="44">
        <f>BK$41*'R&amp;S - Buildings'!$M$4/SUM('R&amp;S - Buildings'!$L$4:$N$4)</f>
        <v>2.4816895789623219</v>
      </c>
      <c r="BL43" s="44">
        <f>BL$41*'R&amp;S - Buildings'!$M$4/SUM('R&amp;S - Buildings'!$L$4:$N$4)</f>
        <v>2.4723039703394085</v>
      </c>
      <c r="BM43" s="44">
        <f>BM$41*'R&amp;S - Buildings'!$M$4/SUM('R&amp;S - Buildings'!$L$4:$N$4)</f>
        <v>2.4624148645780268</v>
      </c>
      <c r="BN43" s="44">
        <f>BN$41*'R&amp;S - Buildings'!$M$4/SUM('R&amp;S - Buildings'!$L$4:$N$4)</f>
        <v>2.4520123561584417</v>
      </c>
    </row>
    <row r="44" spans="1:75" s="68" customFormat="1" outlineLevel="1" x14ac:dyDescent="0.2">
      <c r="A44" s="683"/>
      <c r="B44" s="62" t="s">
        <v>166</v>
      </c>
      <c r="C44" s="283" t="s">
        <v>153</v>
      </c>
      <c r="D44" s="284">
        <f>D$41*'R&amp;S - Buildings'!$N$4/SUM('R&amp;S - Buildings'!$L$4:$N$4)</f>
        <v>0.16910821079379051</v>
      </c>
      <c r="E44" s="284">
        <f>E$41*'R&amp;S - Buildings'!$N$4/SUM('R&amp;S - Buildings'!$L$4:$N$4)</f>
        <v>0.16684732014337267</v>
      </c>
      <c r="F44" s="284">
        <f>F$41*'R&amp;S - Buildings'!$N$4/SUM('R&amp;S - Buildings'!$L$4:$N$4)</f>
        <v>0.16451659545121267</v>
      </c>
      <c r="G44" s="284">
        <f>G$41*'R&amp;S - Buildings'!$N$4/SUM('R&amp;S - Buildings'!$L$4:$N$4)</f>
        <v>0.16211477795565393</v>
      </c>
      <c r="H44" s="284">
        <f>H$41*'R&amp;S - Buildings'!$N$4/SUM('R&amp;S - Buildings'!$L$4:$N$4)</f>
        <v>0.15964058969614792</v>
      </c>
      <c r="I44" s="284">
        <f>I$41*'R&amp;S - Buildings'!$N$4/SUM('R&amp;S - Buildings'!$L$4:$N$4)</f>
        <v>0.1570927332436686</v>
      </c>
      <c r="J44" s="284">
        <f>J$41*'R&amp;S - Buildings'!$N$4/SUM('R&amp;S - Buildings'!$L$4:$N$4)</f>
        <v>0.15446989142752521</v>
      </c>
      <c r="K44" s="284">
        <f>K$41*'R&amp;S - Buildings'!$N$4/SUM('R&amp;S - Buildings'!$L$4:$N$4)</f>
        <v>0.1517707270585254</v>
      </c>
      <c r="L44" s="284">
        <f>L$41*'R&amp;S - Buildings'!$N$4/SUM('R&amp;S - Buildings'!$L$4:$N$4)</f>
        <v>0.14899388264844235</v>
      </c>
      <c r="M44" s="284">
        <f>M$41*'R&amp;S - Buildings'!$N$4/SUM('R&amp;S - Buildings'!$L$4:$N$4)</f>
        <v>0.14613798012573756</v>
      </c>
      <c r="N44" s="284">
        <f>N$41*'R&amp;S - Buildings'!$N$4/SUM('R&amp;S - Buildings'!$L$4:$N$4)</f>
        <v>0.14320162054749147</v>
      </c>
      <c r="O44" s="284">
        <f>O$41*'R&amp;S - Buildings'!$N$4/SUM('R&amp;S - Buildings'!$L$4:$N$4)</f>
        <v>0.14018338380749262</v>
      </c>
      <c r="P44" s="284">
        <f>P$41*'R&amp;S - Buildings'!$N$4/SUM('R&amp;S - Buildings'!$L$4:$N$4)</f>
        <v>0.13708182834043553</v>
      </c>
      <c r="Q44" s="284">
        <f>Q$41*'R&amp;S - Buildings'!$N$4/SUM('R&amp;S - Buildings'!$L$4:$N$4)</f>
        <v>0.133895490822178</v>
      </c>
      <c r="R44" s="284">
        <f>R$41*'R&amp;S - Buildings'!$N$4/SUM('R&amp;S - Buildings'!$L$4:$N$4)</f>
        <v>0.13062288586600548</v>
      </c>
      <c r="S44" s="284">
        <f>S$41*'R&amp;S - Buildings'!$N$4/SUM('R&amp;S - Buildings'!$L$4:$N$4)</f>
        <v>0.12726250571485279</v>
      </c>
      <c r="T44" s="284">
        <f>T$41*'R&amp;S - Buildings'!$N$4/SUM('R&amp;S - Buildings'!$L$4:$N$4)</f>
        <v>0.1238128199294293</v>
      </c>
      <c r="U44" s="284">
        <f>U$41*'R&amp;S - Buildings'!$N$4/SUM('R&amp;S - Buildings'!$L$4:$N$4)</f>
        <v>0.1202722750721963</v>
      </c>
      <c r="V44" s="284">
        <f>V$41*'R&amp;S - Buildings'!$N$4/SUM('R&amp;S - Buildings'!$L$4:$N$4)</f>
        <v>0.11663929438714193</v>
      </c>
      <c r="W44" s="284">
        <f>W$41*'R&amp;S - Buildings'!$N$4/SUM('R&amp;S - Buildings'!$L$4:$N$4)</f>
        <v>0.11291227747530017</v>
      </c>
      <c r="X44" s="284">
        <f>X$41*'R&amp;S - Buildings'!$N$4/SUM('R&amp;S - Buildings'!$L$4:$N$4)</f>
        <v>0.10908959996595891</v>
      </c>
      <c r="Y44" s="284">
        <f>Y$41*'R&amp;S - Buildings'!$N$4/SUM('R&amp;S - Buildings'!$L$4:$N$4)</f>
        <v>0.10501461009501016</v>
      </c>
      <c r="Z44" s="284">
        <f>Z$41*'R&amp;S - Buildings'!$N$4/SUM('R&amp;S - Buildings'!$L$4:$N$4)</f>
        <v>0.10083724140556755</v>
      </c>
      <c r="AA44" s="284">
        <f>AA$41*'R&amp;S - Buildings'!$N$4/SUM('R&amp;S - Buildings'!$L$4:$N$4)</f>
        <v>9.6555739784676936E-2</v>
      </c>
      <c r="AB44" s="284">
        <f>AB$41*'R&amp;S - Buildings'!$N$4/SUM('R&amp;S - Buildings'!$L$4:$N$4)</f>
        <v>9.2168324973011487E-2</v>
      </c>
      <c r="AC44" s="284">
        <f>AC$41*'R&amp;S - Buildings'!$N$4/SUM('R&amp;S - Buildings'!$L$4:$N$4)</f>
        <v>8.7673190202514323E-2</v>
      </c>
      <c r="AD44" s="284">
        <f>AD$41*'R&amp;S - Buildings'!$N$4/SUM('R&amp;S - Buildings'!$L$4:$N$4)</f>
        <v>8.3068501829239777E-2</v>
      </c>
      <c r="AE44" s="284">
        <f>AE$41*'R&amp;S - Buildings'!$N$4/SUM('R&amp;S - Buildings'!$L$4:$N$4)</f>
        <v>7.835239896133156E-2</v>
      </c>
      <c r="AF44" s="284">
        <f>AF$41*'R&amp;S - Buildings'!$N$4/SUM('R&amp;S - Buildings'!$L$4:$N$4)</f>
        <v>7.3522993082075314E-2</v>
      </c>
      <c r="AG44" s="284">
        <f>AG$41*'R&amp;S - Buildings'!$N$4/SUM('R&amp;S - Buildings'!$L$4:$N$4)</f>
        <v>6.857836766796227E-2</v>
      </c>
      <c r="AH44" s="284">
        <f>AH$41*'R&amp;S - Buildings'!$N$4/SUM('R&amp;S - Buildings'!$L$4:$N$4)</f>
        <v>6.3516577801699933E-2</v>
      </c>
      <c r="AJ44" s="284">
        <f>AJ$41*'R&amp;S - Buildings'!$N$4/SUM('R&amp;S - Buildings'!$L$4:$N$4)</f>
        <v>0.16910821079379051</v>
      </c>
      <c r="AK44" s="284">
        <f>AK$41*'R&amp;S - Buildings'!$N$4/SUM('R&amp;S - Buildings'!$L$4:$N$4)</f>
        <v>0.16921437953310128</v>
      </c>
      <c r="AL44" s="284">
        <f>AL$41*'R&amp;S - Buildings'!$N$4/SUM('R&amp;S - Buildings'!$L$4:$N$4)</f>
        <v>0.16930257817571179</v>
      </c>
      <c r="AM44" s="284">
        <f>AM$41*'R&amp;S - Buildings'!$N$4/SUM('R&amp;S - Buildings'!$L$4:$N$4)</f>
        <v>0.16937240024174832</v>
      </c>
      <c r="AN44" s="284">
        <f>AN$41*'R&amp;S - Buildings'!$N$4/SUM('R&amp;S - Buildings'!$L$4:$N$4)</f>
        <v>0.16942343250184266</v>
      </c>
      <c r="AO44" s="284">
        <f>AO$41*'R&amp;S - Buildings'!$N$4/SUM('R&amp;S - Buildings'!$L$4:$N$4)</f>
        <v>0.16945525487803131</v>
      </c>
      <c r="AP44" s="284">
        <f>AP$41*'R&amp;S - Buildings'!$N$4/SUM('R&amp;S - Buildings'!$L$4:$N$4)</f>
        <v>0.16946744034329397</v>
      </c>
      <c r="AQ44" s="284">
        <f>AQ$41*'R&amp;S - Buildings'!$N$4/SUM('R&amp;S - Buildings'!$L$4:$N$4)</f>
        <v>0.16945955481971203</v>
      </c>
      <c r="AR44" s="284">
        <f>AR$41*'R&amp;S - Buildings'!$N$4/SUM('R&amp;S - Buildings'!$L$4:$N$4)</f>
        <v>0.16943115707523043</v>
      </c>
      <c r="AS44" s="284">
        <f>AS$41*'R&amp;S - Buildings'!$N$4/SUM('R&amp;S - Buildings'!$L$4:$N$4)</f>
        <v>0.16938179861900321</v>
      </c>
      <c r="AT44" s="284">
        <f>AT$41*'R&amp;S - Buildings'!$N$4/SUM('R&amp;S - Buildings'!$L$4:$N$4)</f>
        <v>0.16931102359530503</v>
      </c>
      <c r="AU44" s="284">
        <f>AU$41*'R&amp;S - Buildings'!$N$4/SUM('R&amp;S - Buildings'!$L$4:$N$4)</f>
        <v>0.16921836867598888</v>
      </c>
      <c r="AV44" s="284">
        <f>AV$41*'R&amp;S - Buildings'!$N$4/SUM('R&amp;S - Buildings'!$L$4:$N$4)</f>
        <v>0.16910336295147216</v>
      </c>
      <c r="AW44" s="284">
        <f>AW$41*'R&amp;S - Buildings'!$N$4/SUM('R&amp;S - Buildings'!$L$4:$N$4)</f>
        <v>0.16896552782023025</v>
      </c>
      <c r="AX44" s="284">
        <f>AX$41*'R&amp;S - Buildings'!$N$4/SUM('R&amp;S - Buildings'!$L$4:$N$4)</f>
        <v>0.16880437687677935</v>
      </c>
      <c r="AY44" s="284">
        <f>AY$41*'R&amp;S - Buildings'!$N$4/SUM('R&amp;S - Buildings'!$L$4:$N$4)</f>
        <v>0.16861941579812767</v>
      </c>
      <c r="AZ44" s="284">
        <f>AZ$41*'R&amp;S - Buildings'!$N$4/SUM('R&amp;S - Buildings'!$L$4:$N$4)</f>
        <v>0.16841014222867562</v>
      </c>
      <c r="BA44" s="284">
        <f>BA$41*'R&amp;S - Buildings'!$N$4/SUM('R&amp;S - Buildings'!$L$4:$N$4)</f>
        <v>0.16817604566354419</v>
      </c>
      <c r="BB44" s="284">
        <f>BB$41*'R&amp;S - Buildings'!$N$4/SUM('R&amp;S - Buildings'!$L$4:$N$4)</f>
        <v>0.16791660733031097</v>
      </c>
      <c r="BC44" s="284">
        <f>BC$41*'R&amp;S - Buildings'!$N$4/SUM('R&amp;S - Buildings'!$L$4:$N$4)</f>
        <v>0.16763130006913338</v>
      </c>
      <c r="BD44" s="284">
        <f>BD$41*'R&amp;S - Buildings'!$N$4/SUM('R&amp;S - Buildings'!$L$4:$N$4)</f>
        <v>0.16731958821123694</v>
      </c>
      <c r="BE44" s="284">
        <f>BE$41*'R&amp;S - Buildings'!$N$4/SUM('R&amp;S - Buildings'!$L$4:$N$4)</f>
        <v>0.1669151181829458</v>
      </c>
      <c r="BF44" s="284">
        <f>BF$41*'R&amp;S - Buildings'!$N$4/SUM('R&amp;S - Buildings'!$L$4:$N$4)</f>
        <v>0.16648170427154355</v>
      </c>
      <c r="BG44" s="284">
        <f>BG$41*'R&amp;S - Buildings'!$N$4/SUM('R&amp;S - Buildings'!$L$4:$N$4)</f>
        <v>0.16601876084048461</v>
      </c>
      <c r="BH44" s="284">
        <f>BH$41*'R&amp;S - Buildings'!$N$4/SUM('R&amp;S - Buildings'!$L$4:$N$4)</f>
        <v>0.16552569289535088</v>
      </c>
      <c r="BI44" s="284">
        <f>BI$41*'R&amp;S - Buildings'!$N$4/SUM('R&amp;S - Buildings'!$L$4:$N$4)</f>
        <v>0.16500189594910203</v>
      </c>
      <c r="BJ44" s="284">
        <f>BJ$41*'R&amp;S - Buildings'!$N$4/SUM('R&amp;S - Buildings'!$L$4:$N$4)</f>
        <v>0.16444675588549651</v>
      </c>
      <c r="BK44" s="284">
        <f>BK$41*'R&amp;S - Buildings'!$N$4/SUM('R&amp;S - Buildings'!$L$4:$N$4)</f>
        <v>0.16385964882065937</v>
      </c>
      <c r="BL44" s="284">
        <f>BL$41*'R&amp;S - Buildings'!$N$4/SUM('R&amp;S - Buildings'!$L$4:$N$4)</f>
        <v>0.16323994096277253</v>
      </c>
      <c r="BM44" s="284">
        <f>BM$41*'R&amp;S - Buildings'!$N$4/SUM('R&amp;S - Buildings'!$L$4:$N$4)</f>
        <v>0.16258698846986333</v>
      </c>
      <c r="BN44" s="284">
        <f>BN$41*'R&amp;S - Buildings'!$N$4/SUM('R&amp;S - Buildings'!$L$4:$N$4)</f>
        <v>0.1619001373056658</v>
      </c>
    </row>
    <row r="45" spans="1:75" outlineLevel="1" x14ac:dyDescent="0.2">
      <c r="A45" s="1" t="s">
        <v>205</v>
      </c>
      <c r="B45" s="58" t="s">
        <v>199</v>
      </c>
      <c r="C45" s="59" t="s">
        <v>153</v>
      </c>
      <c r="D45" s="443">
        <f>SUM('R&amp;S - Apparel'!G4:I4)</f>
        <v>13.012248975360578</v>
      </c>
      <c r="E45" s="443">
        <f>D45*(1+'Demand Breakdown - BTX'!$L$75)</f>
        <v>13.154802763545836</v>
      </c>
      <c r="F45" s="443">
        <f>E45*(1+'Demand Breakdown - BTX'!$L$75)</f>
        <v>13.298918278882523</v>
      </c>
      <c r="G45" s="443">
        <f>F45*(1+'Demand Breakdown - BTX'!$L$75)</f>
        <v>13.444612630643752</v>
      </c>
      <c r="H45" s="443">
        <f>G45*(1+'Demand Breakdown - BTX'!$L$75)</f>
        <v>13.591903115540774</v>
      </c>
      <c r="I45" s="443">
        <f>H45*(1+'Demand Breakdown - BTX'!$L$75)</f>
        <v>13.740807219776427</v>
      </c>
      <c r="J45" s="443">
        <f>I45*(1+'Demand Breakdown - BTX'!$L$75)</f>
        <v>13.891342621121082</v>
      </c>
      <c r="K45" s="443">
        <f>J45*(1+'Demand Breakdown - BTX'!$L$75)</f>
        <v>14.043527191011336</v>
      </c>
      <c r="L45" s="443">
        <f>K45*(1+'Demand Breakdown - BTX'!$L$75)</f>
        <v>14.197378996671693</v>
      </c>
      <c r="M45" s="443">
        <f>L45*(1+'Demand Breakdown - BTX'!$L$75)</f>
        <v>14.352916303259487</v>
      </c>
      <c r="N45" s="443">
        <f>M45*(1+'Demand Breakdown - BTX'!$L$75)</f>
        <v>14.510157576033313</v>
      </c>
      <c r="O45" s="443">
        <f>N45*(1+'Demand Breakdown - BTX'!$L$75)</f>
        <v>14.669121482545197</v>
      </c>
      <c r="P45" s="443">
        <f>O45*(1+'Demand Breakdown - BTX'!$L$75)</f>
        <v>14.829826894856803</v>
      </c>
      <c r="Q45" s="443">
        <f>P45*(1+'Demand Breakdown - BTX'!$L$75)</f>
        <v>14.992292891779897</v>
      </c>
      <c r="R45" s="443">
        <f>Q45*(1+'Demand Breakdown - BTX'!$L$75)</f>
        <v>15.156538761141379</v>
      </c>
      <c r="S45" s="443">
        <f>R45*(1+'Demand Breakdown - BTX'!$L$75)</f>
        <v>15.322584002073109</v>
      </c>
      <c r="T45" s="443">
        <f>S45*(1+'Demand Breakdown - BTX'!$L$75)</f>
        <v>15.490448327326833</v>
      </c>
      <c r="U45" s="443">
        <f>T45*(1+'Demand Breakdown - BTX'!$L$75)</f>
        <v>15.66015166561446</v>
      </c>
      <c r="V45" s="443">
        <f>U45*(1+'Demand Breakdown - BTX'!$L$75)</f>
        <v>15.831714163973984</v>
      </c>
      <c r="W45" s="443">
        <f>V45*(1+'Demand Breakdown - BTX'!$L$75)</f>
        <v>16.005156190161326</v>
      </c>
      <c r="X45" s="443">
        <f>W45*(1+'Demand Breakdown - BTX'!$L$75)</f>
        <v>16.180498335068371</v>
      </c>
      <c r="Y45" s="443">
        <f>X45*(1+'Demand Breakdown - BTX'!$L$75)</f>
        <v>16.357761415167509</v>
      </c>
      <c r="Z45" s="443">
        <f>Y45*(1+'Demand Breakdown - BTX'!$L$75)</f>
        <v>16.53696647498294</v>
      </c>
      <c r="AA45" s="443">
        <f>Z45*(1+'Demand Breakdown - BTX'!$L$75)</f>
        <v>16.718134789589072</v>
      </c>
      <c r="AB45" s="443">
        <f>AA45*(1+'Demand Breakdown - BTX'!$L$75)</f>
        <v>16.901287867136272</v>
      </c>
      <c r="AC45" s="443">
        <f>AB45*(1+'Demand Breakdown - BTX'!$L$75)</f>
        <v>17.0864474514043</v>
      </c>
      <c r="AD45" s="443">
        <f>AC45*(1+'Demand Breakdown - BTX'!$L$75)</f>
        <v>17.27363552438371</v>
      </c>
      <c r="AE45" s="443">
        <f>AD45*(1+'Demand Breakdown - BTX'!$L$75)</f>
        <v>17.462874308885535</v>
      </c>
      <c r="AF45" s="443">
        <f>AE45*(1+'Demand Breakdown - BTX'!$L$75)</f>
        <v>17.654186271179562</v>
      </c>
      <c r="AG45" s="443">
        <f>AF45*(1+'Demand Breakdown - BTX'!$L$75)</f>
        <v>17.847594123661501</v>
      </c>
      <c r="AH45" s="443">
        <f>AG45*(1+'Demand Breakdown - BTX'!$L$75)</f>
        <v>18.043120827549398</v>
      </c>
      <c r="AJ45" s="443">
        <f>D45</f>
        <v>13.012248975360578</v>
      </c>
      <c r="AK45" s="443">
        <f>AJ45*(1+'Demand Breakdown - BTX'!$L$75)</f>
        <v>13.154802763545836</v>
      </c>
      <c r="AL45" s="443">
        <f>AK45*(1+'Demand Breakdown - BTX'!$L$75)</f>
        <v>13.298918278882523</v>
      </c>
      <c r="AM45" s="443">
        <f>AL45*(1+'Demand Breakdown - BTX'!$L$75)</f>
        <v>13.444612630643752</v>
      </c>
      <c r="AN45" s="443">
        <f>AM45*(1+'Demand Breakdown - BTX'!$L$75)</f>
        <v>13.591903115540774</v>
      </c>
      <c r="AO45" s="443">
        <f>AN45*(1+'Demand Breakdown - BTX'!$L$75)</f>
        <v>13.740807219776427</v>
      </c>
      <c r="AP45" s="443">
        <f>AO45*(1+'Demand Breakdown - BTX'!$L$75)</f>
        <v>13.891342621121082</v>
      </c>
      <c r="AQ45" s="443">
        <f>AP45*(1+'Demand Breakdown - BTX'!$L$75)</f>
        <v>14.043527191011336</v>
      </c>
      <c r="AR45" s="443">
        <f>AQ45*(1+'Demand Breakdown - BTX'!$L$75)</f>
        <v>14.197378996671693</v>
      </c>
      <c r="AS45" s="443">
        <f>AR45*(1+'Demand Breakdown - BTX'!$L$75)</f>
        <v>14.352916303259487</v>
      </c>
      <c r="AT45" s="443">
        <f>AS45*(1+'Demand Breakdown - BTX'!$L$75)</f>
        <v>14.510157576033313</v>
      </c>
      <c r="AU45" s="443">
        <f>AT45*(1+'Demand Breakdown - BTX'!$L$75)</f>
        <v>14.669121482545197</v>
      </c>
      <c r="AV45" s="443">
        <f>AU45*(1+'Demand Breakdown - BTX'!$L$75)</f>
        <v>14.829826894856803</v>
      </c>
      <c r="AW45" s="443">
        <f>AV45*(1+'Demand Breakdown - BTX'!$L$75)</f>
        <v>14.992292891779897</v>
      </c>
      <c r="AX45" s="443">
        <f>AW45*(1+'Demand Breakdown - BTX'!$L$75)</f>
        <v>15.156538761141379</v>
      </c>
      <c r="AY45" s="443">
        <f>AX45*(1+'Demand Breakdown - BTX'!$L$75)</f>
        <v>15.322584002073109</v>
      </c>
      <c r="AZ45" s="443">
        <f>AY45*(1+'Demand Breakdown - BTX'!$L$75)</f>
        <v>15.490448327326833</v>
      </c>
      <c r="BA45" s="443">
        <f>AZ45*(1+'Demand Breakdown - BTX'!$L$75)</f>
        <v>15.66015166561446</v>
      </c>
      <c r="BB45" s="443">
        <f>BA45*(1+'Demand Breakdown - BTX'!$L$75)</f>
        <v>15.831714163973984</v>
      </c>
      <c r="BC45" s="443">
        <f>BB45*(1+'Demand Breakdown - BTX'!$L$75)</f>
        <v>16.005156190161326</v>
      </c>
      <c r="BD45" s="443">
        <f>BC45*(1+'Demand Breakdown - BTX'!$L$75)</f>
        <v>16.180498335068371</v>
      </c>
      <c r="BE45" s="443">
        <f>BD45*(1+'Demand Breakdown - BTX'!$L$75)</f>
        <v>16.357761415167509</v>
      </c>
      <c r="BF45" s="443">
        <f>BE45*(1+'Demand Breakdown - BTX'!$L$75)</f>
        <v>16.53696647498294</v>
      </c>
      <c r="BG45" s="443">
        <f>BF45*(1+'Demand Breakdown - BTX'!$L$75)</f>
        <v>16.718134789589072</v>
      </c>
      <c r="BH45" s="443">
        <f>BG45*(1+'Demand Breakdown - BTX'!$L$75)</f>
        <v>16.901287867136272</v>
      </c>
      <c r="BI45" s="443">
        <f>BH45*(1+'Demand Breakdown - BTX'!$L$75)</f>
        <v>17.0864474514043</v>
      </c>
      <c r="BJ45" s="443">
        <f>BI45*(1+'Demand Breakdown - BTX'!$L$75)</f>
        <v>17.27363552438371</v>
      </c>
      <c r="BK45" s="443">
        <f>BJ45*(1+'Demand Breakdown - BTX'!$L$75)</f>
        <v>17.462874308885535</v>
      </c>
      <c r="BL45" s="443">
        <f>BK45*(1+'Demand Breakdown - BTX'!$L$75)</f>
        <v>17.654186271179562</v>
      </c>
      <c r="BM45" s="443">
        <f>BL45*(1+'Demand Breakdown - BTX'!$L$75)</f>
        <v>17.847594123661501</v>
      </c>
      <c r="BN45" s="443">
        <f>BM45*(1+'Demand Breakdown - BTX'!$L$75)</f>
        <v>18.043120827549398</v>
      </c>
    </row>
    <row r="46" spans="1:75" outlineLevel="1" x14ac:dyDescent="0.2">
      <c r="B46" s="61" t="s">
        <v>206</v>
      </c>
      <c r="C46" s="54" t="s">
        <v>153</v>
      </c>
      <c r="D46" s="43">
        <f>D45*'R&amp;S - Apparel'!$C$7*'R&amp;S - Apparel'!$B$13*'R&amp;S - Apparel'!$B$17*(D$3-$D$3)/10</f>
        <v>0</v>
      </c>
      <c r="E46" s="43">
        <f>E45*'R&amp;S - Apparel'!$C$7*'R&amp;S - Apparel'!$B$13*'R&amp;S - Apparel'!$B$17*(E$3-$D$3)/10</f>
        <v>0.23020904836205211</v>
      </c>
      <c r="F46" s="43">
        <f>F45*'R&amp;S - Apparel'!$C$7*'R&amp;S - Apparel'!$B$13*'R&amp;S - Apparel'!$B$17*(F$3-$D$3)/10</f>
        <v>0.46546213976088824</v>
      </c>
      <c r="G46" s="43">
        <f>G45*'R&amp;S - Apparel'!$C$7*'R&amp;S - Apparel'!$B$13*'R&amp;S - Apparel'!$B$17*(G$3-$D$3)/10</f>
        <v>0.70584216310879699</v>
      </c>
      <c r="H46" s="43">
        <f>H45*'R&amp;S - Apparel'!$C$7*'R&amp;S - Apparel'!$B$13*'R&amp;S - Apparel'!$B$17*(H$3-$D$3)/10</f>
        <v>0.95143321808785397</v>
      </c>
      <c r="I46" s="43">
        <f>I45*'R&amp;S - Apparel'!$C$7*'R&amp;S - Apparel'!$B$13*'R&amp;S - Apparel'!$B$17*(I$3-$D$3)/10</f>
        <v>1.2023206317304374</v>
      </c>
      <c r="J46" s="43">
        <f>J45*'R&amp;S - Apparel'!$C$7*'R&amp;S - Apparel'!$B$13*'R&amp;S - Apparel'!$B$17*(J$3-$D$3)/10</f>
        <v>1.4585909752177133</v>
      </c>
      <c r="K46" s="43">
        <f>K45*'R&amp;S - Apparel'!$C$7*'R&amp;S - Apparel'!$B$13*'R&amp;S - Apparel'!$B$17*(K$3-$D$3)/10</f>
        <v>1.7203320808988884</v>
      </c>
      <c r="L46" s="43">
        <f>L45*'R&amp;S - Apparel'!$C$7*'R&amp;S - Apparel'!$B$13*'R&amp;S - Apparel'!$B$17*(L$3-$D$3)/10</f>
        <v>1.987633059534037</v>
      </c>
      <c r="M46" s="43">
        <f>M45*'R&amp;S - Apparel'!$C$7*'R&amp;S - Apparel'!$B$13*'R&amp;S - Apparel'!$B$17*(M$3-$D$3)/10</f>
        <v>2.2605843177633691</v>
      </c>
      <c r="N46" s="43">
        <f>N45*'R&amp;S - Apparel'!$C$7*'R&amp;S - Apparel'!$B$13*'R&amp;S - Apparel'!$B$17*(N$3-$D$3)/10</f>
        <v>2.5392775758058295</v>
      </c>
      <c r="O46" s="43">
        <f>O45*'R&amp;S - Apparel'!$C$7*'R&amp;S - Apparel'!$B$13*('R&amp;S - Apparel'!$B$17+('R&amp;S - Apparel'!$B$18-'R&amp;S - Apparel'!$B$17)*(O$3-$N$3)/10)</f>
        <v>2.6404418668581355</v>
      </c>
      <c r="P46" s="43">
        <f>P45*'R&amp;S - Apparel'!$C$7*'R&amp;S - Apparel'!$B$13*('R&amp;S - Apparel'!$B$17+('R&amp;S - Apparel'!$B$18-'R&amp;S - Apparel'!$B$17)*(P$3-$N$3)/10)</f>
        <v>2.7435179755485084</v>
      </c>
      <c r="Q46" s="43">
        <f>Q45*'R&amp;S - Apparel'!$C$7*'R&amp;S - Apparel'!$B$13*('R&amp;S - Apparel'!$B$17+('R&amp;S - Apparel'!$B$18-'R&amp;S - Apparel'!$B$17)*(Q$3-$N$3)/10)</f>
        <v>2.8485356494381806</v>
      </c>
      <c r="R46" s="43">
        <f>R45*'R&amp;S - Apparel'!$C$7*'R&amp;S - Apparel'!$B$13*('R&amp;S - Apparel'!$B$17+('R&amp;S - Apparel'!$B$18-'R&amp;S - Apparel'!$B$17)*(R$3-$N$3)/10)</f>
        <v>2.9555250584225687</v>
      </c>
      <c r="S46" s="43">
        <f>S45*'R&amp;S - Apparel'!$C$7*'R&amp;S - Apparel'!$B$13*('R&amp;S - Apparel'!$B$17+('R&amp;S - Apparel'!$B$18-'R&amp;S - Apparel'!$B$17)*(S$3-$N$3)/10)</f>
        <v>3.0645168004146219</v>
      </c>
      <c r="T46" s="43">
        <f>T45*'R&amp;S - Apparel'!$C$7*'R&amp;S - Apparel'!$B$13*('R&amp;S - Apparel'!$B$17+('R&amp;S - Apparel'!$B$18-'R&amp;S - Apparel'!$B$17)*(T$3-$N$3)/10)</f>
        <v>3.1755419071020006</v>
      </c>
      <c r="U46" s="43">
        <f>U45*'R&amp;S - Apparel'!$C$7*'R&amp;S - Apparel'!$B$13*('R&amp;S - Apparel'!$B$17+('R&amp;S - Apparel'!$B$18-'R&amp;S - Apparel'!$B$17)*(U$3-$N$3)/10)</f>
        <v>3.2886318497790366</v>
      </c>
      <c r="V46" s="43">
        <f>V45*'R&amp;S - Apparel'!$C$7*'R&amp;S - Apparel'!$B$13*('R&amp;S - Apparel'!$B$17+('R&amp;S - Apparel'!$B$18-'R&amp;S - Apparel'!$B$17)*(V$3-$N$3)/10)</f>
        <v>3.4038185452544067</v>
      </c>
      <c r="W46" s="43">
        <f>W45*'R&amp;S - Apparel'!$C$7*'R&amp;S - Apparel'!$B$13*('R&amp;S - Apparel'!$B$17+('R&amp;S - Apparel'!$B$18-'R&amp;S - Apparel'!$B$17)*(W$3-$N$3)/10)</f>
        <v>3.5211343618354918</v>
      </c>
      <c r="X46" s="43">
        <f>X45*'R&amp;S - Apparel'!$C$7*'R&amp;S - Apparel'!$B$13*('R&amp;S - Apparel'!$B$17+('R&amp;S - Apparel'!$B$18-'R&amp;S - Apparel'!$B$17)*(X$3-$N$3)/10)</f>
        <v>3.6406121253903838</v>
      </c>
      <c r="Y46" s="43">
        <f>Y45*'R&amp;S - Apparel'!$C$7*'R&amp;S - Apparel'!$B$13*('R&amp;S - Apparel'!$B$18+('R&amp;S - Apparel'!$B$19-'R&amp;S - Apparel'!$B$18)*(Y$3-$X$3)/10)</f>
        <v>3.7213907219506086</v>
      </c>
      <c r="Z46" s="43">
        <f>Z45*'R&amp;S - Apparel'!$C$7*'R&amp;S - Apparel'!$B$13*('R&amp;S - Apparel'!$B$18+('R&amp;S - Apparel'!$B$19-'R&amp;S - Apparel'!$B$18)*(Z$3-$X$3)/10)</f>
        <v>3.8035022892460764</v>
      </c>
      <c r="AA46" s="43">
        <f>AA45*'R&amp;S - Apparel'!$C$7*'R&amp;S - Apparel'!$B$13*('R&amp;S - Apparel'!$B$18+('R&amp;S - Apparel'!$B$19-'R&amp;S - Apparel'!$B$18)*(AA$3-$X$3)/10)</f>
        <v>3.8869663385794597</v>
      </c>
      <c r="AB46" s="43">
        <f>AB45*'R&amp;S - Apparel'!$C$7*'R&amp;S - Apparel'!$B$13*('R&amp;S - Apparel'!$B$18+('R&amp;S - Apparel'!$B$19-'R&amp;S - Apparel'!$B$18)*(AB$3-$X$3)/10)</f>
        <v>3.9718026487770244</v>
      </c>
      <c r="AC46" s="43">
        <f>AC45*'R&amp;S - Apparel'!$C$7*'R&amp;S - Apparel'!$B$13*('R&amp;S - Apparel'!$B$18+('R&amp;S - Apparel'!$B$19-'R&amp;S - Apparel'!$B$18)*(AC$3-$X$3)/10)</f>
        <v>4.058031269708521</v>
      </c>
      <c r="AD46" s="43">
        <f>AD45*'R&amp;S - Apparel'!$C$7*'R&amp;S - Apparel'!$B$13*('R&amp;S - Apparel'!$B$18+('R&amp;S - Apparel'!$B$19-'R&amp;S - Apparel'!$B$18)*(AD$3-$X$3)/10)</f>
        <v>4.1456725258520901</v>
      </c>
      <c r="AE46" s="43">
        <f>AE45*'R&amp;S - Apparel'!$C$7*'R&amp;S - Apparel'!$B$13*('R&amp;S - Apparel'!$B$18+('R&amp;S - Apparel'!$B$19-'R&amp;S - Apparel'!$B$18)*(AE$3-$X$3)/10)</f>
        <v>4.2347470199047423</v>
      </c>
      <c r="AF46" s="43">
        <f>AF45*'R&amp;S - Apparel'!$C$7*'R&amp;S - Apparel'!$B$13*('R&amp;S - Apparel'!$B$18+('R&amp;S - Apparel'!$B$19-'R&amp;S - Apparel'!$B$18)*(AF$3-$X$3)/10)</f>
        <v>4.3252756364389926</v>
      </c>
      <c r="AG46" s="43">
        <f>AG45*'R&amp;S - Apparel'!$C$7*'R&amp;S - Apparel'!$B$13*('R&amp;S - Apparel'!$B$18+('R&amp;S - Apparel'!$B$19-'R&amp;S - Apparel'!$B$18)*(AG$3-$X$3)/10)</f>
        <v>4.4172795456062213</v>
      </c>
      <c r="AH46" s="43">
        <f>AH45*'R&amp;S - Apparel'!$C$7*'R&amp;S - Apparel'!$B$13*('R&amp;S - Apparel'!$B$18+('R&amp;S - Apparel'!$B$19-'R&amp;S - Apparel'!$B$18)*(AH$3-$X$3)/10)</f>
        <v>4.5107802068873495</v>
      </c>
      <c r="AJ46" s="43">
        <f>AJ45*'R&amp;S - Apparel'!$C$7*'R&amp;S - Apparel'!$B$14*'R&amp;S - Apparel'!$B$17*(AJ$3-$D$3)/10</f>
        <v>0</v>
      </c>
      <c r="AK46" s="43">
        <f>AK45*'R&amp;S - Apparel'!$C$7*'R&amp;S - Apparel'!$B$14*'R&amp;S - Apparel'!$B$17*(AK$3-$D$3)/10</f>
        <v>0.11510452418102605</v>
      </c>
      <c r="AL46" s="43">
        <f>AL45*'R&amp;S - Apparel'!$C$7*'R&amp;S - Apparel'!$B$14*'R&amp;S - Apparel'!$B$17*(AL$3-$D$3)/10</f>
        <v>0.23273106988044412</v>
      </c>
      <c r="AM46" s="43">
        <f>AM45*'R&amp;S - Apparel'!$C$7*'R&amp;S - Apparel'!$B$14*'R&amp;S - Apparel'!$B$17*(AM$3-$D$3)/10</f>
        <v>0.3529210815543985</v>
      </c>
      <c r="AN46" s="43">
        <f>AN45*'R&amp;S - Apparel'!$C$7*'R&amp;S - Apparel'!$B$14*'R&amp;S - Apparel'!$B$17*(AN$3-$D$3)/10</f>
        <v>0.47571660904392699</v>
      </c>
      <c r="AO46" s="43">
        <f>AO45*'R&amp;S - Apparel'!$C$7*'R&amp;S - Apparel'!$B$14*'R&amp;S - Apparel'!$B$17*(AO$3-$D$3)/10</f>
        <v>0.60116031586521868</v>
      </c>
      <c r="AP46" s="43">
        <f>AP45*'R&amp;S - Apparel'!$C$7*'R&amp;S - Apparel'!$B$14*'R&amp;S - Apparel'!$B$17*(AP$3-$D$3)/10</f>
        <v>0.72929548760885665</v>
      </c>
      <c r="AQ46" s="43">
        <f>AQ45*'R&amp;S - Apparel'!$C$7*'R&amp;S - Apparel'!$B$14*'R&amp;S - Apparel'!$B$17*(AQ$3-$D$3)/10</f>
        <v>0.86016604044944422</v>
      </c>
      <c r="AR46" s="43">
        <f>AR45*'R&amp;S - Apparel'!$C$7*'R&amp;S - Apparel'!$B$14*'R&amp;S - Apparel'!$B$17*(AR$3-$D$3)/10</f>
        <v>0.99381652976701851</v>
      </c>
      <c r="AS46" s="43">
        <f>AS45*'R&amp;S - Apparel'!$C$7*'R&amp;S - Apparel'!$B$14*'R&amp;S - Apparel'!$B$17*(AS$3-$D$3)/10</f>
        <v>1.1302921588816845</v>
      </c>
      <c r="AT46" s="43">
        <f>AT45*'R&amp;S - Apparel'!$C$7*'R&amp;S - Apparel'!$B$14*'R&amp;S - Apparel'!$B$17*(AT$3-$D$3)/10</f>
        <v>1.2696387879029147</v>
      </c>
      <c r="AU46" s="43">
        <f>AU45*'R&amp;S - Apparel'!$C$7*'R&amp;S - Apparel'!$B$14*('R&amp;S - Apparel'!$B$17+('R&amp;S - Apparel'!$B$18-'R&amp;S - Apparel'!$B$17)*(AU$3-$N$3)/10)</f>
        <v>1.3202209334290678</v>
      </c>
      <c r="AV46" s="43">
        <f>AV45*'R&amp;S - Apparel'!$C$7*'R&amp;S - Apparel'!$B$14*('R&amp;S - Apparel'!$B$17+('R&amp;S - Apparel'!$B$18-'R&amp;S - Apparel'!$B$17)*(AV$3-$N$3)/10)</f>
        <v>1.3717589877742542</v>
      </c>
      <c r="AW46" s="43">
        <f>AW45*'R&amp;S - Apparel'!$C$7*'R&amp;S - Apparel'!$B$14*('R&amp;S - Apparel'!$B$17+('R&amp;S - Apparel'!$B$18-'R&amp;S - Apparel'!$B$17)*(AW$3-$N$3)/10)</f>
        <v>1.4242678247190903</v>
      </c>
      <c r="AX46" s="43">
        <f>AX45*'R&amp;S - Apparel'!$C$7*'R&amp;S - Apparel'!$B$14*('R&amp;S - Apparel'!$B$17+('R&amp;S - Apparel'!$B$18-'R&amp;S - Apparel'!$B$17)*(AX$3-$N$3)/10)</f>
        <v>1.4777625292112844</v>
      </c>
      <c r="AY46" s="43">
        <f>AY45*'R&amp;S - Apparel'!$C$7*'R&amp;S - Apparel'!$B$14*('R&amp;S - Apparel'!$B$17+('R&amp;S - Apparel'!$B$18-'R&amp;S - Apparel'!$B$17)*(AY$3-$N$3)/10)</f>
        <v>1.532258400207311</v>
      </c>
      <c r="AZ46" s="43">
        <f>AZ45*'R&amp;S - Apparel'!$C$7*'R&amp;S - Apparel'!$B$14*('R&amp;S - Apparel'!$B$17+('R&amp;S - Apparel'!$B$18-'R&amp;S - Apparel'!$B$17)*(AZ$3-$N$3)/10)</f>
        <v>1.5877709535510003</v>
      </c>
      <c r="BA46" s="43">
        <f>BA45*'R&amp;S - Apparel'!$C$7*'R&amp;S - Apparel'!$B$14*('R&amp;S - Apparel'!$B$17+('R&amp;S - Apparel'!$B$18-'R&amp;S - Apparel'!$B$17)*(BA$3-$N$3)/10)</f>
        <v>1.6443159248895183</v>
      </c>
      <c r="BB46" s="43">
        <f>BB45*'R&amp;S - Apparel'!$C$7*'R&amp;S - Apparel'!$B$14*('R&amp;S - Apparel'!$B$17+('R&amp;S - Apparel'!$B$18-'R&amp;S - Apparel'!$B$17)*(BB$3-$N$3)/10)</f>
        <v>1.7019092726272034</v>
      </c>
      <c r="BC46" s="43">
        <f>BC45*'R&amp;S - Apparel'!$C$7*'R&amp;S - Apparel'!$B$14*('R&amp;S - Apparel'!$B$17+('R&amp;S - Apparel'!$B$18-'R&amp;S - Apparel'!$B$17)*(BC$3-$N$3)/10)</f>
        <v>1.7605671809177459</v>
      </c>
      <c r="BD46" s="43">
        <f>BD45*'R&amp;S - Apparel'!$C$7*'R&amp;S - Apparel'!$B$14*('R&amp;S - Apparel'!$B$17+('R&amp;S - Apparel'!$B$18-'R&amp;S - Apparel'!$B$17)*(BD$3-$N$3)/10)</f>
        <v>1.8203060626951919</v>
      </c>
      <c r="BE46" s="43">
        <f>BE45*'R&amp;S - Apparel'!$C$7*'R&amp;S - Apparel'!$B$14*('R&amp;S - Apparel'!$B$18+('R&amp;S - Apparel'!$B$19-'R&amp;S - Apparel'!$B$18)*(BE$3-$X$3)/10)</f>
        <v>1.8606953609753043</v>
      </c>
      <c r="BF46" s="43">
        <f>BF45*'R&amp;S - Apparel'!$C$7*'R&amp;S - Apparel'!$B$14*('R&amp;S - Apparel'!$B$18+('R&amp;S - Apparel'!$B$19-'R&amp;S - Apparel'!$B$18)*(BF$3-$X$3)/10)</f>
        <v>1.9017511446230382</v>
      </c>
      <c r="BG46" s="43">
        <f>BG45*'R&amp;S - Apparel'!$C$7*'R&amp;S - Apparel'!$B$14*('R&amp;S - Apparel'!$B$18+('R&amp;S - Apparel'!$B$19-'R&amp;S - Apparel'!$B$18)*(BG$3-$X$3)/10)</f>
        <v>1.9434831692897299</v>
      </c>
      <c r="BH46" s="43">
        <f>BH45*'R&amp;S - Apparel'!$C$7*'R&amp;S - Apparel'!$B$14*('R&amp;S - Apparel'!$B$18+('R&amp;S - Apparel'!$B$19-'R&amp;S - Apparel'!$B$18)*(BH$3-$X$3)/10)</f>
        <v>1.9859013243885122</v>
      </c>
      <c r="BI46" s="43">
        <f>BI45*'R&amp;S - Apparel'!$C$7*'R&amp;S - Apparel'!$B$14*('R&amp;S - Apparel'!$B$18+('R&amp;S - Apparel'!$B$19-'R&amp;S - Apparel'!$B$18)*(BI$3-$X$3)/10)</f>
        <v>2.0290156348542605</v>
      </c>
      <c r="BJ46" s="43">
        <f>BJ45*'R&amp;S - Apparel'!$C$7*'R&amp;S - Apparel'!$B$14*('R&amp;S - Apparel'!$B$18+('R&amp;S - Apparel'!$B$19-'R&amp;S - Apparel'!$B$18)*(BJ$3-$X$3)/10)</f>
        <v>2.0728362629260451</v>
      </c>
      <c r="BK46" s="43">
        <f>BK45*'R&amp;S - Apparel'!$C$7*'R&amp;S - Apparel'!$B$14*('R&amp;S - Apparel'!$B$18+('R&amp;S - Apparel'!$B$19-'R&amp;S - Apparel'!$B$18)*(BK$3-$X$3)/10)</f>
        <v>2.1173735099523712</v>
      </c>
      <c r="BL46" s="43">
        <f>BL45*'R&amp;S - Apparel'!$C$7*'R&amp;S - Apparel'!$B$14*('R&amp;S - Apparel'!$B$18+('R&amp;S - Apparel'!$B$19-'R&amp;S - Apparel'!$B$18)*(BL$3-$X$3)/10)</f>
        <v>2.1626378182194963</v>
      </c>
      <c r="BM46" s="43">
        <f>BM45*'R&amp;S - Apparel'!$C$7*'R&amp;S - Apparel'!$B$14*('R&amp;S - Apparel'!$B$18+('R&amp;S - Apparel'!$B$19-'R&amp;S - Apparel'!$B$18)*(BM$3-$X$3)/10)</f>
        <v>2.2086397728031106</v>
      </c>
      <c r="BN46" s="43">
        <f>BN45*'R&amp;S - Apparel'!$C$7*'R&amp;S - Apparel'!$B$14*('R&amp;S - Apparel'!$B$18+('R&amp;S - Apparel'!$B$19-'R&amp;S - Apparel'!$B$18)*(BN$3-$X$3)/10)</f>
        <v>2.2553901034436747</v>
      </c>
    </row>
    <row r="47" spans="1:75" outlineLevel="1" x14ac:dyDescent="0.2">
      <c r="B47" s="61" t="s">
        <v>207</v>
      </c>
      <c r="C47" s="54" t="s">
        <v>153</v>
      </c>
      <c r="D47" s="43">
        <f>D45*'R&amp;S - Apparel'!$C$8*'R&amp;S - Apparel'!$B$13*'R&amp;S - Apparel'!$C$17*(D$3-$D$3)/10</f>
        <v>0</v>
      </c>
      <c r="E47" s="43">
        <f>E45*'R&amp;S - Apparel'!$C$8*'R&amp;S - Apparel'!$B$13*'R&amp;S - Apparel'!$C$17*(E$3-$D$3)/10</f>
        <v>8.94526587921117E-2</v>
      </c>
      <c r="F47" s="43">
        <f>F45*'R&amp;S - Apparel'!$C$8*'R&amp;S - Apparel'!$B$13*'R&amp;S - Apparel'!$C$17*(F$3-$D$3)/10</f>
        <v>0.18086528859280232</v>
      </c>
      <c r="G47" s="43">
        <f>G45*'R&amp;S - Apparel'!$C$8*'R&amp;S - Apparel'!$B$13*'R&amp;S - Apparel'!$C$17*(G$3-$D$3)/10</f>
        <v>0.27427009766513255</v>
      </c>
      <c r="H47" s="43">
        <f>H45*'R&amp;S - Apparel'!$C$8*'R&amp;S - Apparel'!$B$13*'R&amp;S - Apparel'!$C$17*(H$3-$D$3)/10</f>
        <v>0.3696997647427091</v>
      </c>
      <c r="I47" s="43">
        <f>I45*'R&amp;S - Apparel'!$C$8*'R&amp;S - Apparel'!$B$13*'R&amp;S - Apparel'!$C$17*(I$3-$D$3)/10</f>
        <v>0.46718744547239854</v>
      </c>
      <c r="J47" s="43">
        <f>J45*'R&amp;S - Apparel'!$C$8*'R&amp;S - Apparel'!$B$13*'R&amp;S - Apparel'!$C$17*(J$3-$D$3)/10</f>
        <v>0.56676677894174021</v>
      </c>
      <c r="K47" s="43">
        <f>K45*'R&amp;S - Apparel'!$C$8*'R&amp;S - Apparel'!$B$13*'R&amp;S - Apparel'!$C$17*(K$3-$D$3)/10</f>
        <v>0.6684718942921396</v>
      </c>
      <c r="L47" s="43">
        <f>L45*'R&amp;S - Apparel'!$C$8*'R&amp;S - Apparel'!$B$13*'R&amp;S - Apparel'!$C$17*(L$3-$D$3)/10</f>
        <v>0.77233741741894024</v>
      </c>
      <c r="M47" s="43">
        <f>M45*'R&amp;S - Apparel'!$C$8*'R&amp;S - Apparel'!$B$13*'R&amp;S - Apparel'!$C$17*(M$3-$D$3)/10</f>
        <v>0.87839847775948066</v>
      </c>
      <c r="N47" s="43">
        <f>N45*'R&amp;S - Apparel'!$C$8*'R&amp;S - Apparel'!$B$13*'R&amp;S - Apparel'!$C$17*(N$3-$D$3)/10</f>
        <v>0.9866907151702653</v>
      </c>
      <c r="O47" s="43">
        <f>O45*'R&amp;S - Apparel'!$C$8*'R&amp;S - Apparel'!$B$13*('R&amp;S - Apparel'!$C$17+('R&amp;S - Apparel'!$C$18-'R&amp;S - Apparel'!$C$17)*(O$3-$N$3)/10)</f>
        <v>1.1471252999350345</v>
      </c>
      <c r="P47" s="43">
        <f>P45*'R&amp;S - Apparel'!$C$8*'R&amp;S - Apparel'!$B$13*('R&amp;S - Apparel'!$C$17+('R&amp;S - Apparel'!$C$18-'R&amp;S - Apparel'!$C$17)*(P$3-$N$3)/10)</f>
        <v>1.3109566975053415</v>
      </c>
      <c r="Q47" s="43">
        <f>Q45*'R&amp;S - Apparel'!$C$8*'R&amp;S - Apparel'!$B$13*('R&amp;S - Apparel'!$C$17+('R&amp;S - Apparel'!$C$18-'R&amp;S - Apparel'!$C$17)*(Q$3-$N$3)/10)</f>
        <v>1.4782400791294981</v>
      </c>
      <c r="R47" s="43">
        <f>R45*'R&amp;S - Apparel'!$C$8*'R&amp;S - Apparel'!$B$13*('R&amp;S - Apparel'!$C$17+('R&amp;S - Apparel'!$C$18-'R&amp;S - Apparel'!$C$17)*(R$3-$N$3)/10)</f>
        <v>1.6490314172121823</v>
      </c>
      <c r="S47" s="43">
        <f>S45*'R&amp;S - Apparel'!$C$8*'R&amp;S - Apparel'!$B$13*('R&amp;S - Apparel'!$C$17+('R&amp;S - Apparel'!$C$18-'R&amp;S - Apparel'!$C$17)*(S$3-$N$3)/10)</f>
        <v>1.8233874962466998</v>
      </c>
      <c r="T47" s="43">
        <f>T45*'R&amp;S - Apparel'!$C$8*'R&amp;S - Apparel'!$B$13*('R&amp;S - Apparel'!$C$17+('R&amp;S - Apparel'!$C$18-'R&amp;S - Apparel'!$C$17)*(T$3-$N$3)/10)</f>
        <v>2.001365923890627</v>
      </c>
      <c r="U47" s="43">
        <f>U45*'R&amp;S - Apparel'!$C$8*'R&amp;S - Apparel'!$B$13*('R&amp;S - Apparel'!$C$17+('R&amp;S - Apparel'!$C$18-'R&amp;S - Apparel'!$C$17)*(U$3-$N$3)/10)</f>
        <v>2.183025142186656</v>
      </c>
      <c r="V47" s="43">
        <f>V45*'R&amp;S - Apparel'!$C$8*'R&amp;S - Apparel'!$B$13*('R&amp;S - Apparel'!$C$17+('R&amp;S - Apparel'!$C$18-'R&amp;S - Apparel'!$C$17)*(V$3-$N$3)/10)</f>
        <v>2.3684244389305085</v>
      </c>
      <c r="W47" s="43">
        <f>W45*'R&amp;S - Apparel'!$C$8*'R&amp;S - Apparel'!$B$13*('R&amp;S - Apparel'!$C$17+('R&amp;S - Apparel'!$C$18-'R&amp;S - Apparel'!$C$17)*(W$3-$N$3)/10)</f>
        <v>2.5576239591877798</v>
      </c>
      <c r="X47" s="43">
        <f>X45*'R&amp;S - Apparel'!$C$8*'R&amp;S - Apparel'!$B$13*('R&amp;S - Apparel'!$C$17+('R&amp;S - Apparel'!$C$18-'R&amp;S - Apparel'!$C$17)*(X$3-$N$3)/10)</f>
        <v>2.7506847169616235</v>
      </c>
      <c r="Y47" s="43">
        <f>Y45*'R&amp;S - Apparel'!$C$8*'R&amp;S - Apparel'!$B$13*('R&amp;S - Apparel'!$C$18+('R&amp;S - Apparel'!$C$19-'R&amp;S - Apparel'!$C$18)*(Y$3-$X$3)/10)</f>
        <v>3.0589013846363251</v>
      </c>
      <c r="Z47" s="43">
        <f>Z45*'R&amp;S - Apparel'!$C$8*'R&amp;S - Apparel'!$B$13*('R&amp;S - Apparel'!$C$18+('R&amp;S - Apparel'!$C$19-'R&amp;S - Apparel'!$C$18)*(Z$3-$X$3)/10)</f>
        <v>3.3735411608965196</v>
      </c>
      <c r="AA47" s="43">
        <f>AA45*'R&amp;S - Apparel'!$C$8*'R&amp;S - Apparel'!$B$13*('R&amp;S - Apparel'!$C$18+('R&amp;S - Apparel'!$C$19-'R&amp;S - Apparel'!$C$18)*(AA$3-$X$3)/10)</f>
        <v>3.6947077884991857</v>
      </c>
      <c r="AB47" s="43">
        <f>AB45*'R&amp;S - Apparel'!$C$8*'R&amp;S - Apparel'!$B$13*('R&amp;S - Apparel'!$C$18+('R&amp;S - Apparel'!$C$19-'R&amp;S - Apparel'!$C$18)*(AB$3-$X$3)/10)</f>
        <v>4.0225065123784329</v>
      </c>
      <c r="AC47" s="43">
        <f>AC45*'R&amp;S - Apparel'!$C$8*'R&amp;S - Apparel'!$B$13*('R&amp;S - Apparel'!$C$18+('R&amp;S - Apparel'!$C$19-'R&amp;S - Apparel'!$C$18)*(AC$3-$X$3)/10)</f>
        <v>4.3570441001080971</v>
      </c>
      <c r="AD47" s="43">
        <f>AD45*'R&amp;S - Apparel'!$C$8*'R&amp;S - Apparel'!$B$13*('R&amp;S - Apparel'!$C$18+('R&amp;S - Apparel'!$C$19-'R&amp;S - Apparel'!$C$18)*(AD$3-$X$3)/10)</f>
        <v>4.6984288626323698</v>
      </c>
      <c r="AE47" s="43">
        <f>AE45*'R&amp;S - Apparel'!$C$8*'R&amp;S - Apparel'!$B$13*('R&amp;S - Apparel'!$C$18+('R&amp;S - Apparel'!$C$19-'R&amp;S - Apparel'!$C$18)*(AE$3-$X$3)/10)</f>
        <v>5.0467706752679193</v>
      </c>
      <c r="AF47" s="43">
        <f>AF45*'R&amp;S - Apparel'!$C$8*'R&amp;S - Apparel'!$B$13*('R&amp;S - Apparel'!$C$18+('R&amp;S - Apparel'!$C$19-'R&amp;S - Apparel'!$C$18)*(AF$3-$X$3)/10)</f>
        <v>5.4021809989809464</v>
      </c>
      <c r="AG47" s="43">
        <f>AG45*'R&amp;S - Apparel'!$C$8*'R&amp;S - Apparel'!$B$13*('R&amp;S - Apparel'!$C$18+('R&amp;S - Apparel'!$C$19-'R&amp;S - Apparel'!$C$18)*(AG$3-$X$3)/10)</f>
        <v>5.7647729019426652</v>
      </c>
      <c r="AH47" s="43">
        <f>AH45*'R&amp;S - Apparel'!$C$8*'R&amp;S - Apparel'!$B$13*('R&amp;S - Apparel'!$C$18+('R&amp;S - Apparel'!$C$19-'R&amp;S - Apparel'!$C$18)*(AH$3-$X$3)/10)</f>
        <v>6.1346610813667954</v>
      </c>
      <c r="AJ47" s="43">
        <f>AJ45*'R&amp;S - Apparel'!$C$8*'R&amp;S - Apparel'!$B$14*'R&amp;S - Apparel'!$C$17*(AJ$3-$D$3)/10</f>
        <v>0</v>
      </c>
      <c r="AK47" s="43">
        <f>AK45*'R&amp;S - Apparel'!$C$8*'R&amp;S - Apparel'!$B$14*'R&amp;S - Apparel'!$C$17*(AK$3-$D$3)/10</f>
        <v>4.472632939605585E-2</v>
      </c>
      <c r="AL47" s="43">
        <f>AL45*'R&amp;S - Apparel'!$C$8*'R&amp;S - Apparel'!$B$14*'R&amp;S - Apparel'!$C$17*(AL$3-$D$3)/10</f>
        <v>9.043264429640116E-2</v>
      </c>
      <c r="AM47" s="43">
        <f>AM45*'R&amp;S - Apparel'!$C$8*'R&amp;S - Apparel'!$B$14*'R&amp;S - Apparel'!$C$17*(AM$3-$D$3)/10</f>
        <v>0.13713504883256628</v>
      </c>
      <c r="AN47" s="43">
        <f>AN45*'R&amp;S - Apparel'!$C$8*'R&amp;S - Apparel'!$B$14*'R&amp;S - Apparel'!$C$17*(AN$3-$D$3)/10</f>
        <v>0.18484988237135455</v>
      </c>
      <c r="AO47" s="43">
        <f>AO45*'R&amp;S - Apparel'!$C$8*'R&amp;S - Apparel'!$B$14*'R&amp;S - Apparel'!$C$17*(AO$3-$D$3)/10</f>
        <v>0.23359372273619927</v>
      </c>
      <c r="AP47" s="43">
        <f>AP45*'R&amp;S - Apparel'!$C$8*'R&amp;S - Apparel'!$B$14*'R&amp;S - Apparel'!$C$17*(AP$3-$D$3)/10</f>
        <v>0.28338338947087011</v>
      </c>
      <c r="AQ47" s="43">
        <f>AQ45*'R&amp;S - Apparel'!$C$8*'R&amp;S - Apparel'!$B$14*'R&amp;S - Apparel'!$C$17*(AQ$3-$D$3)/10</f>
        <v>0.3342359471460698</v>
      </c>
      <c r="AR47" s="43">
        <f>AR45*'R&amp;S - Apparel'!$C$8*'R&amp;S - Apparel'!$B$14*'R&amp;S - Apparel'!$C$17*(AR$3-$D$3)/10</f>
        <v>0.38616870870947012</v>
      </c>
      <c r="AS47" s="43">
        <f>AS45*'R&amp;S - Apparel'!$C$8*'R&amp;S - Apparel'!$B$14*'R&amp;S - Apparel'!$C$17*(AS$3-$D$3)/10</f>
        <v>0.43919923887974033</v>
      </c>
      <c r="AT47" s="43">
        <f>AT45*'R&amp;S - Apparel'!$C$8*'R&amp;S - Apparel'!$B$14*'R&amp;S - Apparel'!$C$17*(AT$3-$D$3)/10</f>
        <v>0.49334535758513265</v>
      </c>
      <c r="AU47" s="43">
        <f>AU45*'R&amp;S - Apparel'!$C$8*'R&amp;S - Apparel'!$B$14*('R&amp;S - Apparel'!$C$17+('R&amp;S - Apparel'!$C$18-'R&amp;S - Apparel'!$C$17)*(AU$3-$N$3)/10)</f>
        <v>0.57356264996751727</v>
      </c>
      <c r="AV47" s="43">
        <f>AV45*'R&amp;S - Apparel'!$C$8*'R&amp;S - Apparel'!$B$14*('R&amp;S - Apparel'!$C$17+('R&amp;S - Apparel'!$C$18-'R&amp;S - Apparel'!$C$17)*(AV$3-$N$3)/10)</f>
        <v>0.65547834875267075</v>
      </c>
      <c r="AW47" s="43">
        <f>AW45*'R&amp;S - Apparel'!$C$8*'R&amp;S - Apparel'!$B$14*('R&amp;S - Apparel'!$C$17+('R&amp;S - Apparel'!$C$18-'R&amp;S - Apparel'!$C$17)*(AW$3-$N$3)/10)</f>
        <v>0.73912003956474903</v>
      </c>
      <c r="AX47" s="43">
        <f>AX45*'R&amp;S - Apparel'!$C$8*'R&amp;S - Apparel'!$B$14*('R&amp;S - Apparel'!$C$17+('R&amp;S - Apparel'!$C$18-'R&amp;S - Apparel'!$C$17)*(AX$3-$N$3)/10)</f>
        <v>0.82451570860609114</v>
      </c>
      <c r="AY47" s="43">
        <f>AY45*'R&amp;S - Apparel'!$C$8*'R&amp;S - Apparel'!$B$14*('R&amp;S - Apparel'!$C$17+('R&amp;S - Apparel'!$C$18-'R&amp;S - Apparel'!$C$17)*(AY$3-$N$3)/10)</f>
        <v>0.91169374812334991</v>
      </c>
      <c r="AZ47" s="43">
        <f>AZ45*'R&amp;S - Apparel'!$C$8*'R&amp;S - Apparel'!$B$14*('R&amp;S - Apparel'!$C$17+('R&amp;S - Apparel'!$C$18-'R&amp;S - Apparel'!$C$17)*(AZ$3-$N$3)/10)</f>
        <v>1.0006829619453135</v>
      </c>
      <c r="BA47" s="43">
        <f>BA45*'R&amp;S - Apparel'!$C$8*'R&amp;S - Apparel'!$B$14*('R&amp;S - Apparel'!$C$17+('R&amp;S - Apparel'!$C$18-'R&amp;S - Apparel'!$C$17)*(BA$3-$N$3)/10)</f>
        <v>1.091512571093328</v>
      </c>
      <c r="BB47" s="43">
        <f>BB45*'R&amp;S - Apparel'!$C$8*'R&amp;S - Apparel'!$B$14*('R&amp;S - Apparel'!$C$17+('R&amp;S - Apparel'!$C$18-'R&amp;S - Apparel'!$C$17)*(BB$3-$N$3)/10)</f>
        <v>1.1842122194652542</v>
      </c>
      <c r="BC47" s="43">
        <f>BC45*'R&amp;S - Apparel'!$C$8*'R&amp;S - Apparel'!$B$14*('R&amp;S - Apparel'!$C$17+('R&amp;S - Apparel'!$C$18-'R&amp;S - Apparel'!$C$17)*(BC$3-$N$3)/10)</f>
        <v>1.2788119795938899</v>
      </c>
      <c r="BD47" s="43">
        <f>BD45*'R&amp;S - Apparel'!$C$8*'R&amp;S - Apparel'!$B$14*('R&amp;S - Apparel'!$C$17+('R&amp;S - Apparel'!$C$18-'R&amp;S - Apparel'!$C$17)*(BD$3-$N$3)/10)</f>
        <v>1.3753423584808118</v>
      </c>
      <c r="BE47" s="43">
        <f>BE45*'R&amp;S - Apparel'!$C$8*'R&amp;S - Apparel'!$B$14*('R&amp;S - Apparel'!$C$18+('R&amp;S - Apparel'!$C$19-'R&amp;S - Apparel'!$C$18)*(BE$3-$X$3)/10)</f>
        <v>1.5294506923181626</v>
      </c>
      <c r="BF47" s="43">
        <f>BF45*'R&amp;S - Apparel'!$C$8*'R&amp;S - Apparel'!$B$14*('R&amp;S - Apparel'!$C$18+('R&amp;S - Apparel'!$C$19-'R&amp;S - Apparel'!$C$18)*(BF$3-$X$3)/10)</f>
        <v>1.6867705804482598</v>
      </c>
      <c r="BG47" s="43">
        <f>BG45*'R&amp;S - Apparel'!$C$8*'R&amp;S - Apparel'!$B$14*('R&amp;S - Apparel'!$C$18+('R&amp;S - Apparel'!$C$19-'R&amp;S - Apparel'!$C$18)*(BG$3-$X$3)/10)</f>
        <v>1.8473538942495928</v>
      </c>
      <c r="BH47" s="43">
        <f>BH45*'R&amp;S - Apparel'!$C$8*'R&amp;S - Apparel'!$B$14*('R&amp;S - Apparel'!$C$18+('R&amp;S - Apparel'!$C$19-'R&amp;S - Apparel'!$C$18)*(BH$3-$X$3)/10)</f>
        <v>2.0112532561892165</v>
      </c>
      <c r="BI47" s="43">
        <f>BI45*'R&amp;S - Apparel'!$C$8*'R&amp;S - Apparel'!$B$14*('R&amp;S - Apparel'!$C$18+('R&amp;S - Apparel'!$C$19-'R&amp;S - Apparel'!$C$18)*(BI$3-$X$3)/10)</f>
        <v>2.1785220500540485</v>
      </c>
      <c r="BJ47" s="43">
        <f>BJ45*'R&amp;S - Apparel'!$C$8*'R&amp;S - Apparel'!$B$14*('R&amp;S - Apparel'!$C$18+('R&amp;S - Apparel'!$C$19-'R&amp;S - Apparel'!$C$18)*(BJ$3-$X$3)/10)</f>
        <v>2.3492144313161849</v>
      </c>
      <c r="BK47" s="43">
        <f>BK45*'R&amp;S - Apparel'!$C$8*'R&amp;S - Apparel'!$B$14*('R&amp;S - Apparel'!$C$18+('R&amp;S - Apparel'!$C$19-'R&amp;S - Apparel'!$C$18)*(BK$3-$X$3)/10)</f>
        <v>2.5233853376339597</v>
      </c>
      <c r="BL47" s="43">
        <f>BL45*'R&amp;S - Apparel'!$C$8*'R&amp;S - Apparel'!$B$14*('R&amp;S - Apparel'!$C$18+('R&amp;S - Apparel'!$C$19-'R&amp;S - Apparel'!$C$18)*(BL$3-$X$3)/10)</f>
        <v>2.7010904994904732</v>
      </c>
      <c r="BM47" s="43">
        <f>BM45*'R&amp;S - Apparel'!$C$8*'R&amp;S - Apparel'!$B$14*('R&amp;S - Apparel'!$C$18+('R&amp;S - Apparel'!$C$19-'R&amp;S - Apparel'!$C$18)*(BM$3-$X$3)/10)</f>
        <v>2.8823864509713326</v>
      </c>
      <c r="BN47" s="43">
        <f>BN45*'R&amp;S - Apparel'!$C$8*'R&amp;S - Apparel'!$B$14*('R&amp;S - Apparel'!$C$18+('R&amp;S - Apparel'!$C$19-'R&amp;S - Apparel'!$C$18)*(BN$3-$X$3)/10)</f>
        <v>3.0673305406833977</v>
      </c>
    </row>
    <row r="48" spans="1:75" outlineLevel="1" x14ac:dyDescent="0.2">
      <c r="B48" s="1" t="s">
        <v>168</v>
      </c>
      <c r="C48" s="54" t="s">
        <v>153</v>
      </c>
      <c r="D48" s="43">
        <f>SUM(D46:D47)</f>
        <v>0</v>
      </c>
      <c r="E48" s="43">
        <f>SUM(E46:E47)</f>
        <v>0.31966170715416381</v>
      </c>
      <c r="F48" s="43">
        <f t="shared" ref="F48:AH48" si="37">SUM(F46:F47)</f>
        <v>0.64632742835369061</v>
      </c>
      <c r="G48" s="43">
        <f t="shared" si="37"/>
        <v>0.98011226077392954</v>
      </c>
      <c r="H48" s="43">
        <f t="shared" si="37"/>
        <v>1.3211329828305631</v>
      </c>
      <c r="I48" s="43">
        <f t="shared" si="37"/>
        <v>1.6695080772028359</v>
      </c>
      <c r="J48" s="43">
        <f t="shared" si="37"/>
        <v>2.0253577541594536</v>
      </c>
      <c r="K48" s="43">
        <f t="shared" si="37"/>
        <v>2.3888039751910282</v>
      </c>
      <c r="L48" s="43">
        <f t="shared" si="37"/>
        <v>2.7599704769529771</v>
      </c>
      <c r="M48" s="43">
        <f t="shared" si="37"/>
        <v>3.1389827955228498</v>
      </c>
      <c r="N48" s="43">
        <f t="shared" si="37"/>
        <v>3.5259682909760945</v>
      </c>
      <c r="O48" s="43">
        <f>SUM(O46:O47)</f>
        <v>3.7875671667931701</v>
      </c>
      <c r="P48" s="43">
        <f t="shared" si="37"/>
        <v>4.0544746730538499</v>
      </c>
      <c r="Q48" s="43">
        <f t="shared" si="37"/>
        <v>4.3267757285676787</v>
      </c>
      <c r="R48" s="43">
        <f t="shared" si="37"/>
        <v>4.6045564756347508</v>
      </c>
      <c r="S48" s="43">
        <f t="shared" si="37"/>
        <v>4.887904296661322</v>
      </c>
      <c r="T48" s="43">
        <f t="shared" si="37"/>
        <v>5.1769078309926275</v>
      </c>
      <c r="U48" s="43">
        <f t="shared" si="37"/>
        <v>5.471656991965693</v>
      </c>
      <c r="V48" s="43">
        <f t="shared" si="37"/>
        <v>5.7722429841849152</v>
      </c>
      <c r="W48" s="43">
        <f t="shared" si="37"/>
        <v>6.0787583210232716</v>
      </c>
      <c r="X48" s="43">
        <f t="shared" si="37"/>
        <v>6.3912968423520073</v>
      </c>
      <c r="Y48" s="43">
        <f t="shared" si="37"/>
        <v>6.7802921065869342</v>
      </c>
      <c r="Z48" s="43">
        <f t="shared" si="37"/>
        <v>7.1770434501425964</v>
      </c>
      <c r="AA48" s="43">
        <f t="shared" si="37"/>
        <v>7.5816741270786459</v>
      </c>
      <c r="AB48" s="43">
        <f t="shared" si="37"/>
        <v>7.9943091611554573</v>
      </c>
      <c r="AC48" s="43">
        <f t="shared" si="37"/>
        <v>8.4150753698166181</v>
      </c>
      <c r="AD48" s="43">
        <f t="shared" si="37"/>
        <v>8.8441013884844608</v>
      </c>
      <c r="AE48" s="43">
        <f t="shared" si="37"/>
        <v>9.2815176951726617</v>
      </c>
      <c r="AF48" s="43">
        <f t="shared" si="37"/>
        <v>9.727456635419939</v>
      </c>
      <c r="AG48" s="43">
        <f t="shared" si="37"/>
        <v>10.182052447548887</v>
      </c>
      <c r="AH48" s="43">
        <f t="shared" si="37"/>
        <v>10.645441288254144</v>
      </c>
      <c r="AJ48" s="43">
        <f>SUM(AJ46:AJ47)</f>
        <v>0</v>
      </c>
      <c r="AK48" s="43">
        <f>SUM(AK46:AK47)</f>
        <v>0.1598308535770819</v>
      </c>
      <c r="AL48" s="43">
        <f t="shared" ref="AL48:AT48" si="38">SUM(AL46:AL47)</f>
        <v>0.32316371417684531</v>
      </c>
      <c r="AM48" s="43">
        <f t="shared" si="38"/>
        <v>0.49005613038696477</v>
      </c>
      <c r="AN48" s="43">
        <f t="shared" si="38"/>
        <v>0.66056649141528156</v>
      </c>
      <c r="AO48" s="43">
        <f t="shared" si="38"/>
        <v>0.83475403860141795</v>
      </c>
      <c r="AP48" s="43">
        <f t="shared" si="38"/>
        <v>1.0126788770797268</v>
      </c>
      <c r="AQ48" s="43">
        <f t="shared" si="38"/>
        <v>1.1944019875955141</v>
      </c>
      <c r="AR48" s="43">
        <f t="shared" si="38"/>
        <v>1.3799852384764886</v>
      </c>
      <c r="AS48" s="43">
        <f t="shared" si="38"/>
        <v>1.5694913977614249</v>
      </c>
      <c r="AT48" s="43">
        <f t="shared" si="38"/>
        <v>1.7629841454880473</v>
      </c>
      <c r="AU48" s="43">
        <f>SUM(AU46:AU47)</f>
        <v>1.893783583396585</v>
      </c>
      <c r="AV48" s="43">
        <f t="shared" ref="AV48:BN48" si="39">SUM(AV46:AV47)</f>
        <v>2.0272373365269249</v>
      </c>
      <c r="AW48" s="43">
        <f t="shared" si="39"/>
        <v>2.1633878642838393</v>
      </c>
      <c r="AX48" s="43">
        <f t="shared" si="39"/>
        <v>2.3022782378173754</v>
      </c>
      <c r="AY48" s="43">
        <f t="shared" si="39"/>
        <v>2.443952148330661</v>
      </c>
      <c r="AZ48" s="43">
        <f t="shared" si="39"/>
        <v>2.5884539154963138</v>
      </c>
      <c r="BA48" s="43">
        <f t="shared" si="39"/>
        <v>2.7358284959828465</v>
      </c>
      <c r="BB48" s="43">
        <f t="shared" si="39"/>
        <v>2.8861214920924576</v>
      </c>
      <c r="BC48" s="43">
        <f t="shared" si="39"/>
        <v>3.0393791605116358</v>
      </c>
      <c r="BD48" s="43">
        <f t="shared" si="39"/>
        <v>3.1956484211760037</v>
      </c>
      <c r="BE48" s="43">
        <f t="shared" si="39"/>
        <v>3.3901460532934671</v>
      </c>
      <c r="BF48" s="43">
        <f t="shared" si="39"/>
        <v>3.5885217250712982</v>
      </c>
      <c r="BG48" s="43">
        <f t="shared" si="39"/>
        <v>3.7908370635393229</v>
      </c>
      <c r="BH48" s="43">
        <f t="shared" si="39"/>
        <v>3.9971545805777287</v>
      </c>
      <c r="BI48" s="43">
        <f t="shared" si="39"/>
        <v>4.207537684908309</v>
      </c>
      <c r="BJ48" s="43">
        <f t="shared" si="39"/>
        <v>4.4220506942422304</v>
      </c>
      <c r="BK48" s="43">
        <f t="shared" si="39"/>
        <v>4.6407588475863308</v>
      </c>
      <c r="BL48" s="43">
        <f t="shared" si="39"/>
        <v>4.8637283177099695</v>
      </c>
      <c r="BM48" s="43">
        <f t="shared" si="39"/>
        <v>5.0910262237744437</v>
      </c>
      <c r="BN48" s="43">
        <f t="shared" si="39"/>
        <v>5.322720644127072</v>
      </c>
    </row>
    <row r="49" spans="1:66" outlineLevel="1" x14ac:dyDescent="0.2">
      <c r="B49" s="1" t="s">
        <v>172</v>
      </c>
      <c r="C49" s="54" t="s">
        <v>153</v>
      </c>
      <c r="D49" s="43">
        <f>D45*'R&amp;S - Apparel'!$C$10*'R&amp;S - Apparel'!$B$13*'R&amp;S - Apparel'!$D$17*(D$3-$D$3)/10</f>
        <v>0</v>
      </c>
      <c r="E49" s="43">
        <f>E45*'R&amp;S - Apparel'!$C$10*'R&amp;S - Apparel'!$B$13*'R&amp;S - Apparel'!$D$17*(E$3-$D$3)/10</f>
        <v>8.6821698239402528E-2</v>
      </c>
      <c r="F49" s="43">
        <f>F45*'R&amp;S - Apparel'!$C$10*'R&amp;S - Apparel'!$B$13*'R&amp;S - Apparel'!$D$17*(F$3-$D$3)/10</f>
        <v>0.17554572128124932</v>
      </c>
      <c r="G49" s="43">
        <f>G45*'R&amp;S - Apparel'!$C$10*'R&amp;S - Apparel'!$B$13*'R&amp;S - Apparel'!$D$17*(G$3-$D$3)/10</f>
        <v>0.26620333008674629</v>
      </c>
      <c r="H49" s="43">
        <f>H45*'R&amp;S - Apparel'!$C$10*'R&amp;S - Apparel'!$B$13*'R&amp;S - Apparel'!$D$17*(H$3-$D$3)/10</f>
        <v>0.35882624225027648</v>
      </c>
      <c r="I49" s="43">
        <f>I45*'R&amp;S - Apparel'!$C$10*'R&amp;S - Apparel'!$B$13*'R&amp;S - Apparel'!$D$17*(I$3-$D$3)/10</f>
        <v>0.45344663825262205</v>
      </c>
      <c r="J49" s="43">
        <f>J45*'R&amp;S - Apparel'!$C$10*'R&amp;S - Apparel'!$B$13*'R&amp;S - Apparel'!$D$17*(J$3-$D$3)/10</f>
        <v>0.55009716779639495</v>
      </c>
      <c r="K49" s="43">
        <f>K45*'R&amp;S - Apparel'!$C$10*'R&amp;S - Apparel'!$B$13*'R&amp;S - Apparel'!$D$17*(K$3-$D$3)/10</f>
        <v>0.64881095622472373</v>
      </c>
      <c r="L49" s="43">
        <f>L45*'R&amp;S - Apparel'!$C$10*'R&amp;S - Apparel'!$B$13*'R&amp;S - Apparel'!$D$17*(L$3-$D$3)/10</f>
        <v>0.7496216110242655</v>
      </c>
      <c r="M49" s="43">
        <f>M45*'R&amp;S - Apparel'!$C$10*'R&amp;S - Apparel'!$B$13*'R&amp;S - Apparel'!$D$17*(M$3-$D$3)/10</f>
        <v>0.85256322841361365</v>
      </c>
      <c r="N49" s="43">
        <f>N45*'R&amp;S - Apparel'!$C$10*'R&amp;S - Apparel'!$B$13*'R&amp;S - Apparel'!$D$17*(N$3-$D$3)/10</f>
        <v>0.9576704000181987</v>
      </c>
      <c r="O49" s="43">
        <f>O45*'R&amp;S - Apparel'!$C$10*'R&amp;S - Apparel'!$B$13*('R&amp;S - Apparel'!$D$17+('R&amp;S - Apparel'!$D$18-'R&amp;S - Apparel'!$D$17)*(O$3-$N$3)/10)</f>
        <v>1.0649782196327813</v>
      </c>
      <c r="P49" s="43">
        <f>P45*'R&amp;S - Apparel'!$C$10*'R&amp;S - Apparel'!$B$13*('R&amp;S - Apparel'!$D$17+('R&amp;S - Apparel'!$D$18-'R&amp;S - Apparel'!$D$17)*(P$3-$N$3)/10)</f>
        <v>1.1745222900726588</v>
      </c>
      <c r="Q49" s="43">
        <f>Q45*'R&amp;S - Apparel'!$C$10*'R&amp;S - Apparel'!$B$13*('R&amp;S - Apparel'!$D$17+('R&amp;S - Apparel'!$D$18-'R&amp;S - Apparel'!$D$17)*(Q$3-$N$3)/10)</f>
        <v>1.2863387301147153</v>
      </c>
      <c r="R49" s="43">
        <f>R45*'R&amp;S - Apparel'!$C$10*'R&amp;S - Apparel'!$B$13*('R&amp;S - Apparel'!$D$17+('R&amp;S - Apparel'!$D$18-'R&amp;S - Apparel'!$D$17)*(R$3-$N$3)/10)</f>
        <v>1.4004641815294636</v>
      </c>
      <c r="S49" s="43">
        <f>S45*'R&amp;S - Apparel'!$C$10*'R&amp;S - Apparel'!$B$13*('R&amp;S - Apparel'!$D$17+('R&amp;S - Apparel'!$D$18-'R&amp;S - Apparel'!$D$17)*(S$3-$N$3)/10)</f>
        <v>1.5169358162052378</v>
      </c>
      <c r="T49" s="43">
        <f>T45*'R&amp;S - Apparel'!$C$10*'R&amp;S - Apparel'!$B$13*('R&amp;S - Apparel'!$D$17+('R&amp;S - Apparel'!$D$18-'R&amp;S - Apparel'!$D$17)*(T$3-$N$3)/10)</f>
        <v>1.6357913433657136</v>
      </c>
      <c r="U49" s="43">
        <f>U45*'R&amp;S - Apparel'!$C$10*'R&amp;S - Apparel'!$B$13*('R&amp;S - Apparel'!$D$17+('R&amp;S - Apparel'!$D$18-'R&amp;S - Apparel'!$D$17)*(U$3-$N$3)/10)</f>
        <v>1.7570690168819427</v>
      </c>
      <c r="V49" s="43">
        <f>V45*'R&amp;S - Apparel'!$C$10*'R&amp;S - Apparel'!$B$13*('R&amp;S - Apparel'!$D$17+('R&amp;S - Apparel'!$D$18-'R&amp;S - Apparel'!$D$17)*(V$3-$N$3)/10)</f>
        <v>1.8808076426801097</v>
      </c>
      <c r="W49" s="43">
        <f>W45*'R&amp;S - Apparel'!$C$10*'R&amp;S - Apparel'!$B$13*('R&amp;S - Apparel'!$D$17+('R&amp;S - Apparel'!$D$18-'R&amp;S - Apparel'!$D$17)*(W$3-$N$3)/10)</f>
        <v>2.0070465862462306</v>
      </c>
      <c r="X49" s="43">
        <f>X45*'R&amp;S - Apparel'!$C$10*'R&amp;S - Apparel'!$B$13*('R&amp;S - Apparel'!$D$17+('R&amp;S - Apparel'!$D$18-'R&amp;S - Apparel'!$D$17)*(X$3-$N$3)/10)</f>
        <v>2.135825780229025</v>
      </c>
      <c r="Y49" s="43">
        <f>Y45*'R&amp;S - Apparel'!$C$10*'R&amp;S - Apparel'!$B$13*('R&amp;S - Apparel'!$D$18+('R&amp;S - Apparel'!$D$19-'R&amp;S - Apparel'!$D$18)*(Y$3-$X$3)/10)</f>
        <v>2.2704572844252509</v>
      </c>
      <c r="Z49" s="43">
        <f>Z45*'R&amp;S - Apparel'!$C$10*'R&amp;S - Apparel'!$B$13*('R&amp;S - Apparel'!$D$18+('R&amp;S - Apparel'!$D$19-'R&amp;S - Apparel'!$D$18)*(Z$3-$X$3)/10)</f>
        <v>2.407782318757516</v>
      </c>
      <c r="AA49" s="43">
        <f>AA45*'R&amp;S - Apparel'!$C$10*'R&amp;S - Apparel'!$B$13*('R&amp;S - Apparel'!$D$18+('R&amp;S - Apparel'!$D$19-'R&amp;S - Apparel'!$D$18)*(AA$3-$X$3)/10)</f>
        <v>2.547843741933375</v>
      </c>
      <c r="AB49" s="43">
        <f>AB45*'R&amp;S - Apparel'!$C$10*'R&amp;S - Apparel'!$B$13*('R&amp;S - Apparel'!$D$18+('R&amp;S - Apparel'!$D$19-'R&amp;S - Apparel'!$D$18)*(AB$3-$X$3)/10)</f>
        <v>2.6906850284480948</v>
      </c>
      <c r="AC49" s="43">
        <f>AC45*'R&amp;S - Apparel'!$C$10*'R&amp;S - Apparel'!$B$13*('R&amp;S - Apparel'!$D$18+('R&amp;S - Apparel'!$D$19-'R&amp;S - Apparel'!$D$18)*(AC$3-$X$3)/10)</f>
        <v>2.8363502769331141</v>
      </c>
      <c r="AD49" s="43">
        <f>AD45*'R&amp;S - Apparel'!$C$10*'R&amp;S - Apparel'!$B$13*('R&amp;S - Apparel'!$D$18+('R&amp;S - Apparel'!$D$19-'R&amp;S - Apparel'!$D$18)*(AD$3-$X$3)/10)</f>
        <v>2.9848842186135056</v>
      </c>
      <c r="AE49" s="43">
        <f>AE45*'R&amp;S - Apparel'!$C$10*'R&amp;S - Apparel'!$B$13*('R&amp;S - Apparel'!$D$18+('R&amp;S - Apparel'!$D$19-'R&amp;S - Apparel'!$D$18)*(AE$3-$X$3)/10)</f>
        <v>3.1363322258758424</v>
      </c>
      <c r="AF49" s="43">
        <f>AF45*'R&amp;S - Apparel'!$C$10*'R&amp;S - Apparel'!$B$13*('R&amp;S - Apparel'!$D$18+('R&amp;S - Apparel'!$D$19-'R&amp;S - Apparel'!$D$18)*(AF$3-$X$3)/10)</f>
        <v>3.2907403209478701</v>
      </c>
      <c r="AG49" s="43">
        <f>AG45*'R&amp;S - Apparel'!$C$10*'R&amp;S - Apparel'!$B$13*('R&amp;S - Apparel'!$D$18+('R&amp;S - Apparel'!$D$19-'R&amp;S - Apparel'!$D$18)*(AG$3-$X$3)/10)</f>
        <v>3.4481551846914025</v>
      </c>
      <c r="AH49" s="43">
        <f>AH45*'R&amp;S - Apparel'!$C$10*'R&amp;S - Apparel'!$B$13*('R&amp;S - Apparel'!$D$18+('R&amp;S - Apparel'!$D$19-'R&amp;S - Apparel'!$D$18)*(AH$3-$X$3)/10)</f>
        <v>3.6086241655098799</v>
      </c>
      <c r="AJ49" s="43">
        <f>AJ45*'R&amp;S - Apparel'!$C$10*'R&amp;S - Apparel'!$B$14*'R&amp;S - Apparel'!$D$17*(AJ$3-$D$3)/10</f>
        <v>0</v>
      </c>
      <c r="AK49" s="43">
        <f>AK45*'R&amp;S - Apparel'!$C$10*'R&amp;S - Apparel'!$B$14*'R&amp;S - Apparel'!$D$17*(AK$3-$D$3)/10</f>
        <v>4.3410849119701264E-2</v>
      </c>
      <c r="AL49" s="43">
        <f>AL45*'R&amp;S - Apparel'!$C$10*'R&amp;S - Apparel'!$B$14*'R&amp;S - Apparel'!$D$17*(AL$3-$D$3)/10</f>
        <v>8.7772860640624659E-2</v>
      </c>
      <c r="AM49" s="43">
        <f>AM45*'R&amp;S - Apparel'!$C$10*'R&amp;S - Apparel'!$B$14*'R&amp;S - Apparel'!$D$17*(AM$3-$D$3)/10</f>
        <v>0.13310166504337315</v>
      </c>
      <c r="AN49" s="43">
        <f>AN45*'R&amp;S - Apparel'!$C$10*'R&amp;S - Apparel'!$B$14*'R&amp;S - Apparel'!$D$17*(AN$3-$D$3)/10</f>
        <v>0.17941312112513824</v>
      </c>
      <c r="AO49" s="43">
        <f>AO45*'R&amp;S - Apparel'!$C$10*'R&amp;S - Apparel'!$B$14*'R&amp;S - Apparel'!$D$17*(AO$3-$D$3)/10</f>
        <v>0.22672331912631102</v>
      </c>
      <c r="AP49" s="43">
        <f>AP45*'R&amp;S - Apparel'!$C$10*'R&amp;S - Apparel'!$B$14*'R&amp;S - Apparel'!$D$17*(AP$3-$D$3)/10</f>
        <v>0.27504858389819747</v>
      </c>
      <c r="AQ49" s="43">
        <f>AQ45*'R&amp;S - Apparel'!$C$10*'R&amp;S - Apparel'!$B$14*'R&amp;S - Apparel'!$D$17*(AQ$3-$D$3)/10</f>
        <v>0.32440547811236187</v>
      </c>
      <c r="AR49" s="43">
        <f>AR45*'R&amp;S - Apparel'!$C$10*'R&amp;S - Apparel'!$B$14*'R&amp;S - Apparel'!$D$17*(AR$3-$D$3)/10</f>
        <v>0.37481080551213275</v>
      </c>
      <c r="AS49" s="43">
        <f>AS45*'R&amp;S - Apparel'!$C$10*'R&amp;S - Apparel'!$B$14*'R&amp;S - Apparel'!$D$17*(AS$3-$D$3)/10</f>
        <v>0.42628161420680682</v>
      </c>
      <c r="AT49" s="43">
        <f>AT45*'R&amp;S - Apparel'!$C$10*'R&amp;S - Apparel'!$B$14*'R&amp;S - Apparel'!$D$17*(AT$3-$D$3)/10</f>
        <v>0.47883520000909935</v>
      </c>
      <c r="AU49" s="43">
        <f>AU45*'R&amp;S - Apparel'!$C$10*'R&amp;S - Apparel'!$B$14*('R&amp;S - Apparel'!$D$17+('R&amp;S - Apparel'!$D$18-'R&amp;S - Apparel'!$D$17)*(AU$3-$N$3)/10)</f>
        <v>0.53248910981639064</v>
      </c>
      <c r="AV49" s="43">
        <f>AV45*'R&amp;S - Apparel'!$C$10*'R&amp;S - Apparel'!$B$14*('R&amp;S - Apparel'!$D$17+('R&amp;S - Apparel'!$D$18-'R&amp;S - Apparel'!$D$17)*(AV$3-$N$3)/10)</f>
        <v>0.58726114503632942</v>
      </c>
      <c r="AW49" s="43">
        <f>AW45*'R&amp;S - Apparel'!$C$10*'R&amp;S - Apparel'!$B$14*('R&amp;S - Apparel'!$D$17+('R&amp;S - Apparel'!$D$18-'R&amp;S - Apparel'!$D$17)*(AW$3-$N$3)/10)</f>
        <v>0.64316936505735767</v>
      </c>
      <c r="AX49" s="43">
        <f>AX45*'R&amp;S - Apparel'!$C$10*'R&amp;S - Apparel'!$B$14*('R&amp;S - Apparel'!$D$17+('R&amp;S - Apparel'!$D$18-'R&amp;S - Apparel'!$D$17)*(AX$3-$N$3)/10)</f>
        <v>0.70023209076473181</v>
      </c>
      <c r="AY49" s="43">
        <f>AY45*'R&amp;S - Apparel'!$C$10*'R&amp;S - Apparel'!$B$14*('R&amp;S - Apparel'!$D$17+('R&amp;S - Apparel'!$D$18-'R&amp;S - Apparel'!$D$17)*(AY$3-$N$3)/10)</f>
        <v>0.75846790810261888</v>
      </c>
      <c r="AZ49" s="43">
        <f>AZ45*'R&amp;S - Apparel'!$C$10*'R&amp;S - Apparel'!$B$14*('R&amp;S - Apparel'!$D$17+('R&amp;S - Apparel'!$D$18-'R&amp;S - Apparel'!$D$17)*(AZ$3-$N$3)/10)</f>
        <v>0.81789567168285682</v>
      </c>
      <c r="BA49" s="43">
        <f>BA45*'R&amp;S - Apparel'!$C$10*'R&amp;S - Apparel'!$B$14*('R&amp;S - Apparel'!$D$17+('R&amp;S - Apparel'!$D$18-'R&amp;S - Apparel'!$D$17)*(BA$3-$N$3)/10)</f>
        <v>0.87853450844097136</v>
      </c>
      <c r="BB49" s="43">
        <f>BB45*'R&amp;S - Apparel'!$C$10*'R&amp;S - Apparel'!$B$14*('R&amp;S - Apparel'!$D$17+('R&amp;S - Apparel'!$D$18-'R&amp;S - Apparel'!$D$17)*(BB$3-$N$3)/10)</f>
        <v>0.94040382134005485</v>
      </c>
      <c r="BC49" s="43">
        <f>BC45*'R&amp;S - Apparel'!$C$10*'R&amp;S - Apparel'!$B$14*('R&amp;S - Apparel'!$D$17+('R&amp;S - Apparel'!$D$18-'R&amp;S - Apparel'!$D$17)*(BC$3-$N$3)/10)</f>
        <v>1.0035232931231153</v>
      </c>
      <c r="BD49" s="43">
        <f>BD45*'R&amp;S - Apparel'!$C$10*'R&amp;S - Apparel'!$B$14*('R&amp;S - Apparel'!$D$17+('R&amp;S - Apparel'!$D$18-'R&amp;S - Apparel'!$D$17)*(BD$3-$N$3)/10)</f>
        <v>1.0679128901145125</v>
      </c>
      <c r="BE49" s="43">
        <f>BE45*'R&amp;S - Apparel'!$C$10*'R&amp;S - Apparel'!$B$14*('R&amp;S - Apparel'!$D$18+('R&amp;S - Apparel'!$D$19-'R&amp;S - Apparel'!$D$18)*(BE$3-$X$3)/10)</f>
        <v>1.1352286422126254</v>
      </c>
      <c r="BF49" s="43">
        <f>BF45*'R&amp;S - Apparel'!$C$10*'R&amp;S - Apparel'!$B$14*('R&amp;S - Apparel'!$D$18+('R&amp;S - Apparel'!$D$19-'R&amp;S - Apparel'!$D$18)*(BF$3-$X$3)/10)</f>
        <v>1.203891159378758</v>
      </c>
      <c r="BG49" s="43">
        <f>BG45*'R&amp;S - Apparel'!$C$10*'R&amp;S - Apparel'!$B$14*('R&amp;S - Apparel'!$D$18+('R&amp;S - Apparel'!$D$19-'R&amp;S - Apparel'!$D$18)*(BG$3-$X$3)/10)</f>
        <v>1.2739218709666875</v>
      </c>
      <c r="BH49" s="43">
        <f>BH45*'R&amp;S - Apparel'!$C$10*'R&amp;S - Apparel'!$B$14*('R&amp;S - Apparel'!$D$18+('R&amp;S - Apparel'!$D$19-'R&amp;S - Apparel'!$D$18)*(BH$3-$X$3)/10)</f>
        <v>1.3453425142240474</v>
      </c>
      <c r="BI49" s="43">
        <f>BI45*'R&amp;S - Apparel'!$C$10*'R&amp;S - Apparel'!$B$14*('R&amp;S - Apparel'!$D$18+('R&amp;S - Apparel'!$D$19-'R&amp;S - Apparel'!$D$18)*(BI$3-$X$3)/10)</f>
        <v>1.4181751384665571</v>
      </c>
      <c r="BJ49" s="43">
        <f>BJ45*'R&amp;S - Apparel'!$C$10*'R&amp;S - Apparel'!$B$14*('R&amp;S - Apparel'!$D$18+('R&amp;S - Apparel'!$D$19-'R&amp;S - Apparel'!$D$18)*(BJ$3-$X$3)/10)</f>
        <v>1.4924421093067528</v>
      </c>
      <c r="BK49" s="43">
        <f>BK45*'R&amp;S - Apparel'!$C$10*'R&amp;S - Apparel'!$B$14*('R&amp;S - Apparel'!$D$18+('R&amp;S - Apparel'!$D$19-'R&amp;S - Apparel'!$D$18)*(BK$3-$X$3)/10)</f>
        <v>1.5681661129379212</v>
      </c>
      <c r="BL49" s="43">
        <f>BL45*'R&amp;S - Apparel'!$C$10*'R&amp;S - Apparel'!$B$14*('R&amp;S - Apparel'!$D$18+('R&amp;S - Apparel'!$D$19-'R&amp;S - Apparel'!$D$18)*(BL$3-$X$3)/10)</f>
        <v>1.645370160473935</v>
      </c>
      <c r="BM49" s="43">
        <f>BM45*'R&amp;S - Apparel'!$C$10*'R&amp;S - Apparel'!$B$14*('R&amp;S - Apparel'!$D$18+('R&amp;S - Apparel'!$D$19-'R&amp;S - Apparel'!$D$18)*(BM$3-$X$3)/10)</f>
        <v>1.7240775923457012</v>
      </c>
      <c r="BN49" s="43">
        <f>BN45*'R&amp;S - Apparel'!$C$10*'R&amp;S - Apparel'!$B$14*('R&amp;S - Apparel'!$D$18+('R&amp;S - Apparel'!$D$19-'R&amp;S - Apparel'!$D$18)*(BN$3-$X$3)/10)</f>
        <v>1.8043120827549399</v>
      </c>
    </row>
    <row r="50" spans="1:66" outlineLevel="1" x14ac:dyDescent="0.2">
      <c r="B50" s="1" t="s">
        <v>197</v>
      </c>
      <c r="C50" s="54" t="s">
        <v>153</v>
      </c>
      <c r="D50" s="443">
        <f>D45-D48-D49</f>
        <v>13.012248975360578</v>
      </c>
      <c r="E50" s="443">
        <f t="shared" ref="E50:AG50" si="40">E45-E48-E49</f>
        <v>12.748319358152269</v>
      </c>
      <c r="F50" s="443">
        <f t="shared" si="40"/>
        <v>12.477045129247582</v>
      </c>
      <c r="G50" s="443">
        <f t="shared" si="40"/>
        <v>12.198297039783077</v>
      </c>
      <c r="H50" s="443">
        <f t="shared" si="40"/>
        <v>11.911943890459934</v>
      </c>
      <c r="I50" s="443">
        <f t="shared" si="40"/>
        <v>11.617852504320968</v>
      </c>
      <c r="J50" s="443">
        <f t="shared" si="40"/>
        <v>11.315887699165234</v>
      </c>
      <c r="K50" s="443">
        <f t="shared" si="40"/>
        <v>11.005912259595585</v>
      </c>
      <c r="L50" s="443">
        <f t="shared" si="40"/>
        <v>10.68778690869445</v>
      </c>
      <c r="M50" s="443">
        <f t="shared" si="40"/>
        <v>10.361370279323024</v>
      </c>
      <c r="N50" s="443">
        <f t="shared" si="40"/>
        <v>10.026518885039021</v>
      </c>
      <c r="O50" s="443">
        <f t="shared" si="40"/>
        <v>9.8165760961192454</v>
      </c>
      <c r="P50" s="443">
        <f t="shared" si="40"/>
        <v>9.6008299317302939</v>
      </c>
      <c r="Q50" s="443">
        <f t="shared" si="40"/>
        <v>9.3791784330975023</v>
      </c>
      <c r="R50" s="443">
        <f t="shared" si="40"/>
        <v>9.1515181039771658</v>
      </c>
      <c r="S50" s="443">
        <f t="shared" si="40"/>
        <v>8.9177438892065481</v>
      </c>
      <c r="T50" s="443">
        <f t="shared" si="40"/>
        <v>8.6777491529684916</v>
      </c>
      <c r="U50" s="443">
        <f t="shared" si="40"/>
        <v>8.4314256567668249</v>
      </c>
      <c r="V50" s="443">
        <f t="shared" si="40"/>
        <v>8.1786635371089602</v>
      </c>
      <c r="W50" s="443">
        <f t="shared" si="40"/>
        <v>7.9193512828918227</v>
      </c>
      <c r="X50" s="443">
        <f t="shared" si="40"/>
        <v>7.6533757124873389</v>
      </c>
      <c r="Y50" s="443">
        <f t="shared" si="40"/>
        <v>7.3070120241553242</v>
      </c>
      <c r="Z50" s="443">
        <f t="shared" si="40"/>
        <v>6.9521407060828277</v>
      </c>
      <c r="AA50" s="443">
        <f t="shared" si="40"/>
        <v>6.5886169205770511</v>
      </c>
      <c r="AB50" s="443">
        <f t="shared" si="40"/>
        <v>6.2162936775327209</v>
      </c>
      <c r="AC50" s="443">
        <f t="shared" si="40"/>
        <v>5.8350218046545681</v>
      </c>
      <c r="AD50" s="443">
        <f t="shared" si="40"/>
        <v>5.4446499172857443</v>
      </c>
      <c r="AE50" s="443">
        <f t="shared" si="40"/>
        <v>5.0450243878370316</v>
      </c>
      <c r="AF50" s="443">
        <f t="shared" si="40"/>
        <v>4.6359893148117521</v>
      </c>
      <c r="AG50" s="443">
        <f t="shared" si="40"/>
        <v>4.2173864914212116</v>
      </c>
      <c r="AH50" s="443">
        <f>AH45-AH48-AH49</f>
        <v>3.789055373785374</v>
      </c>
      <c r="AJ50" s="443">
        <f>AJ45-AJ48-AJ49</f>
        <v>13.012248975360578</v>
      </c>
      <c r="AK50" s="443">
        <f t="shared" ref="AK50:BM50" si="41">AK45-AK48-AK49</f>
        <v>12.951561060849054</v>
      </c>
      <c r="AL50" s="443">
        <f t="shared" si="41"/>
        <v>12.887981704065053</v>
      </c>
      <c r="AM50" s="443">
        <f t="shared" si="41"/>
        <v>12.821454835213414</v>
      </c>
      <c r="AN50" s="443">
        <f t="shared" si="41"/>
        <v>12.751923503000354</v>
      </c>
      <c r="AO50" s="443">
        <f t="shared" si="41"/>
        <v>12.679329862048698</v>
      </c>
      <c r="AP50" s="443">
        <f t="shared" si="41"/>
        <v>12.603615160143157</v>
      </c>
      <c r="AQ50" s="443">
        <f t="shared" si="41"/>
        <v>12.524719725303459</v>
      </c>
      <c r="AR50" s="443">
        <f t="shared" si="41"/>
        <v>12.442582952683072</v>
      </c>
      <c r="AS50" s="443">
        <f t="shared" si="41"/>
        <v>12.357143291291255</v>
      </c>
      <c r="AT50" s="443">
        <f t="shared" si="41"/>
        <v>12.268338230536166</v>
      </c>
      <c r="AU50" s="443">
        <f t="shared" si="41"/>
        <v>12.242848789332221</v>
      </c>
      <c r="AV50" s="443">
        <f t="shared" si="41"/>
        <v>12.215328413293548</v>
      </c>
      <c r="AW50" s="443">
        <f t="shared" si="41"/>
        <v>12.185735662438701</v>
      </c>
      <c r="AX50" s="443">
        <f t="shared" si="41"/>
        <v>12.15402843255927</v>
      </c>
      <c r="AY50" s="443">
        <f t="shared" si="41"/>
        <v>12.120163945639829</v>
      </c>
      <c r="AZ50" s="443">
        <f t="shared" si="41"/>
        <v>12.084098740147661</v>
      </c>
      <c r="BA50" s="443">
        <f t="shared" si="41"/>
        <v>12.045788661190642</v>
      </c>
      <c r="BB50" s="443">
        <f t="shared" si="41"/>
        <v>12.005188850541472</v>
      </c>
      <c r="BC50" s="443">
        <f t="shared" si="41"/>
        <v>11.962253736526575</v>
      </c>
      <c r="BD50" s="443">
        <f t="shared" si="41"/>
        <v>11.916937023777855</v>
      </c>
      <c r="BE50" s="443">
        <f t="shared" si="41"/>
        <v>11.832386719661416</v>
      </c>
      <c r="BF50" s="443">
        <f t="shared" si="41"/>
        <v>11.744553590532883</v>
      </c>
      <c r="BG50" s="443">
        <f t="shared" si="41"/>
        <v>11.653375855083063</v>
      </c>
      <c r="BH50" s="443">
        <f t="shared" si="41"/>
        <v>11.558790772334497</v>
      </c>
      <c r="BI50" s="443">
        <f t="shared" si="41"/>
        <v>11.460734628029433</v>
      </c>
      <c r="BJ50" s="443">
        <f t="shared" si="41"/>
        <v>11.359142720834727</v>
      </c>
      <c r="BK50" s="443">
        <f t="shared" si="41"/>
        <v>11.253949348361283</v>
      </c>
      <c r="BL50" s="443">
        <f t="shared" si="41"/>
        <v>11.145087792995657</v>
      </c>
      <c r="BM50" s="443">
        <f t="shared" si="41"/>
        <v>11.032490307541357</v>
      </c>
      <c r="BN50" s="443">
        <f>BN45-BN48-BN49</f>
        <v>10.916088100667386</v>
      </c>
    </row>
    <row r="51" spans="1:66" s="67" customFormat="1" outlineLevel="1" x14ac:dyDescent="0.2">
      <c r="A51" s="681"/>
      <c r="B51" s="58" t="s">
        <v>7</v>
      </c>
      <c r="C51" s="59" t="s">
        <v>153</v>
      </c>
      <c r="D51" s="60">
        <f>D$50*'R&amp;S - Apparel'!$G$4/SUM('R&amp;S - Apparel'!$G$4:$I$4)</f>
        <v>0</v>
      </c>
      <c r="E51" s="60">
        <f>E$50*'R&amp;S - Apparel'!$G$4/SUM('R&amp;S - Apparel'!$G$4:$I$4)</f>
        <v>0</v>
      </c>
      <c r="F51" s="60">
        <f>F$50*'R&amp;S - Apparel'!$G$4/SUM('R&amp;S - Apparel'!$G$4:$I$4)</f>
        <v>0</v>
      </c>
      <c r="G51" s="60">
        <f>G$50*'R&amp;S - Apparel'!$G$4/SUM('R&amp;S - Apparel'!$G$4:$I$4)</f>
        <v>0</v>
      </c>
      <c r="H51" s="60">
        <f>H$50*'R&amp;S - Apparel'!$G$4/SUM('R&amp;S - Apparel'!$G$4:$I$4)</f>
        <v>0</v>
      </c>
      <c r="I51" s="60">
        <f>I$50*'R&amp;S - Apparel'!$G$4/SUM('R&amp;S - Apparel'!$G$4:$I$4)</f>
        <v>0</v>
      </c>
      <c r="J51" s="60">
        <f>J$50*'R&amp;S - Apparel'!$G$4/SUM('R&amp;S - Apparel'!$G$4:$I$4)</f>
        <v>0</v>
      </c>
      <c r="K51" s="60">
        <f>K$50*'R&amp;S - Apparel'!$G$4/SUM('R&amp;S - Apparel'!$G$4:$I$4)</f>
        <v>0</v>
      </c>
      <c r="L51" s="60">
        <f>L$50*'R&amp;S - Apparel'!$G$4/SUM('R&amp;S - Apparel'!$G$4:$I$4)</f>
        <v>0</v>
      </c>
      <c r="M51" s="60">
        <f>M$50*'R&amp;S - Apparel'!$G$4/SUM('R&amp;S - Apparel'!$G$4:$I$4)</f>
        <v>0</v>
      </c>
      <c r="N51" s="60">
        <f>N$50*'R&amp;S - Apparel'!$G$4/SUM('R&amp;S - Apparel'!$G$4:$I$4)</f>
        <v>0</v>
      </c>
      <c r="O51" s="60">
        <f>O$50*'R&amp;S - Apparel'!$G$4/SUM('R&amp;S - Apparel'!$G$4:$I$4)</f>
        <v>0</v>
      </c>
      <c r="P51" s="60">
        <f>P$50*'R&amp;S - Apparel'!$G$4/SUM('R&amp;S - Apparel'!$G$4:$I$4)</f>
        <v>0</v>
      </c>
      <c r="Q51" s="60">
        <f>Q$50*'R&amp;S - Apparel'!$G$4/SUM('R&amp;S - Apparel'!$G$4:$I$4)</f>
        <v>0</v>
      </c>
      <c r="R51" s="60">
        <f>R$50*'R&amp;S - Apparel'!$G$4/SUM('R&amp;S - Apparel'!$G$4:$I$4)</f>
        <v>0</v>
      </c>
      <c r="S51" s="60">
        <f>S$50*'R&amp;S - Apparel'!$G$4/SUM('R&amp;S - Apparel'!$G$4:$I$4)</f>
        <v>0</v>
      </c>
      <c r="T51" s="60">
        <f>T$50*'R&amp;S - Apparel'!$G$4/SUM('R&amp;S - Apparel'!$G$4:$I$4)</f>
        <v>0</v>
      </c>
      <c r="U51" s="60">
        <f>U$50*'R&amp;S - Apparel'!$G$4/SUM('R&amp;S - Apparel'!$G$4:$I$4)</f>
        <v>0</v>
      </c>
      <c r="V51" s="60">
        <f>V$50*'R&amp;S - Apparel'!$G$4/SUM('R&amp;S - Apparel'!$G$4:$I$4)</f>
        <v>0</v>
      </c>
      <c r="W51" s="60">
        <f>W$50*'R&amp;S - Apparel'!$G$4/SUM('R&amp;S - Apparel'!$G$4:$I$4)</f>
        <v>0</v>
      </c>
      <c r="X51" s="60">
        <f>X$50*'R&amp;S - Apparel'!$G$4/SUM('R&amp;S - Apparel'!$G$4:$I$4)</f>
        <v>0</v>
      </c>
      <c r="Y51" s="60">
        <f>Y$50*'R&amp;S - Apparel'!$G$4/SUM('R&amp;S - Apparel'!$G$4:$I$4)</f>
        <v>0</v>
      </c>
      <c r="Z51" s="60">
        <f>Z$50*'R&amp;S - Apparel'!$G$4/SUM('R&amp;S - Apparel'!$G$4:$I$4)</f>
        <v>0</v>
      </c>
      <c r="AA51" s="60">
        <f>AA$50*'R&amp;S - Apparel'!$G$4/SUM('R&amp;S - Apparel'!$G$4:$I$4)</f>
        <v>0</v>
      </c>
      <c r="AB51" s="60">
        <f>AB$50*'R&amp;S - Apparel'!$G$4/SUM('R&amp;S - Apparel'!$G$4:$I$4)</f>
        <v>0</v>
      </c>
      <c r="AC51" s="60">
        <f>AC$50*'R&amp;S - Apparel'!$G$4/SUM('R&amp;S - Apparel'!$G$4:$I$4)</f>
        <v>0</v>
      </c>
      <c r="AD51" s="60">
        <f>AD$50*'R&amp;S - Apparel'!$G$4/SUM('R&amp;S - Apparel'!$G$4:$I$4)</f>
        <v>0</v>
      </c>
      <c r="AE51" s="60">
        <f>AE$50*'R&amp;S - Apparel'!$G$4/SUM('R&amp;S - Apparel'!$G$4:$I$4)</f>
        <v>0</v>
      </c>
      <c r="AF51" s="60">
        <f>AF$50*'R&amp;S - Apparel'!$G$4/SUM('R&amp;S - Apparel'!$G$4:$I$4)</f>
        <v>0</v>
      </c>
      <c r="AG51" s="60">
        <f>AG$50*'R&amp;S - Apparel'!$G$4/SUM('R&amp;S - Apparel'!$G$4:$I$4)</f>
        <v>0</v>
      </c>
      <c r="AH51" s="60">
        <f>AH$50*'R&amp;S - Apparel'!$G$4/SUM('R&amp;S - Apparel'!$G$4:$I$4)</f>
        <v>0</v>
      </c>
      <c r="AJ51" s="60">
        <f>AJ$50*'R&amp;S - Apparel'!$G$4/SUM('R&amp;S - Apparel'!$G$4:$I$4)</f>
        <v>0</v>
      </c>
      <c r="AK51" s="60">
        <f>AK$50*'R&amp;S - Apparel'!$G$4/SUM('R&amp;S - Apparel'!$G$4:$I$4)</f>
        <v>0</v>
      </c>
      <c r="AL51" s="60">
        <f>AL$50*'R&amp;S - Apparel'!$G$4/SUM('R&amp;S - Apparel'!$G$4:$I$4)</f>
        <v>0</v>
      </c>
      <c r="AM51" s="60">
        <f>AM$50*'R&amp;S - Apparel'!$G$4/SUM('R&amp;S - Apparel'!$G$4:$I$4)</f>
        <v>0</v>
      </c>
      <c r="AN51" s="60">
        <f>AN$50*'R&amp;S - Apparel'!$G$4/SUM('R&amp;S - Apparel'!$G$4:$I$4)</f>
        <v>0</v>
      </c>
      <c r="AO51" s="60">
        <f>AO$50*'R&amp;S - Apparel'!$G$4/SUM('R&amp;S - Apparel'!$G$4:$I$4)</f>
        <v>0</v>
      </c>
      <c r="AP51" s="60">
        <f>AP$50*'R&amp;S - Apparel'!$G$4/SUM('R&amp;S - Apparel'!$G$4:$I$4)</f>
        <v>0</v>
      </c>
      <c r="AQ51" s="60">
        <f>AQ$50*'R&amp;S - Apparel'!$G$4/SUM('R&amp;S - Apparel'!$G$4:$I$4)</f>
        <v>0</v>
      </c>
      <c r="AR51" s="60">
        <f>AR$50*'R&amp;S - Apparel'!$G$4/SUM('R&amp;S - Apparel'!$G$4:$I$4)</f>
        <v>0</v>
      </c>
      <c r="AS51" s="60">
        <f>AS$50*'R&amp;S - Apparel'!$G$4/SUM('R&amp;S - Apparel'!$G$4:$I$4)</f>
        <v>0</v>
      </c>
      <c r="AT51" s="60">
        <f>AT$50*'R&amp;S - Apparel'!$G$4/SUM('R&amp;S - Apparel'!$G$4:$I$4)</f>
        <v>0</v>
      </c>
      <c r="AU51" s="60">
        <f>AU$50*'R&amp;S - Apparel'!$G$4/SUM('R&amp;S - Apparel'!$G$4:$I$4)</f>
        <v>0</v>
      </c>
      <c r="AV51" s="60">
        <f>AV$50*'R&amp;S - Apparel'!$G$4/SUM('R&amp;S - Apparel'!$G$4:$I$4)</f>
        <v>0</v>
      </c>
      <c r="AW51" s="60">
        <f>AW$50*'R&amp;S - Apparel'!$G$4/SUM('R&amp;S - Apparel'!$G$4:$I$4)</f>
        <v>0</v>
      </c>
      <c r="AX51" s="60">
        <f>AX$50*'R&amp;S - Apparel'!$G$4/SUM('R&amp;S - Apparel'!$G$4:$I$4)</f>
        <v>0</v>
      </c>
      <c r="AY51" s="60">
        <f>AY$50*'R&amp;S - Apparel'!$G$4/SUM('R&amp;S - Apparel'!$G$4:$I$4)</f>
        <v>0</v>
      </c>
      <c r="AZ51" s="60">
        <f>AZ$50*'R&amp;S - Apparel'!$G$4/SUM('R&amp;S - Apparel'!$G$4:$I$4)</f>
        <v>0</v>
      </c>
      <c r="BA51" s="60">
        <f>BA$50*'R&amp;S - Apparel'!$G$4/SUM('R&amp;S - Apparel'!$G$4:$I$4)</f>
        <v>0</v>
      </c>
      <c r="BB51" s="60">
        <f>BB$50*'R&amp;S - Apparel'!$G$4/SUM('R&amp;S - Apparel'!$G$4:$I$4)</f>
        <v>0</v>
      </c>
      <c r="BC51" s="60">
        <f>BC$50*'R&amp;S - Apparel'!$G$4/SUM('R&amp;S - Apparel'!$G$4:$I$4)</f>
        <v>0</v>
      </c>
      <c r="BD51" s="60">
        <f>BD$50*'R&amp;S - Apparel'!$G$4/SUM('R&amp;S - Apparel'!$G$4:$I$4)</f>
        <v>0</v>
      </c>
      <c r="BE51" s="60">
        <f>BE$50*'R&amp;S - Apparel'!$G$4/SUM('R&amp;S - Apparel'!$G$4:$I$4)</f>
        <v>0</v>
      </c>
      <c r="BF51" s="60">
        <f>BF$50*'R&amp;S - Apparel'!$G$4/SUM('R&amp;S - Apparel'!$G$4:$I$4)</f>
        <v>0</v>
      </c>
      <c r="BG51" s="60">
        <f>BG$50*'R&amp;S - Apparel'!$G$4/SUM('R&amp;S - Apparel'!$G$4:$I$4)</f>
        <v>0</v>
      </c>
      <c r="BH51" s="60">
        <f>BH$50*'R&amp;S - Apparel'!$G$4/SUM('R&amp;S - Apparel'!$G$4:$I$4)</f>
        <v>0</v>
      </c>
      <c r="BI51" s="60">
        <f>BI$50*'R&amp;S - Apparel'!$G$4/SUM('R&amp;S - Apparel'!$G$4:$I$4)</f>
        <v>0</v>
      </c>
      <c r="BJ51" s="60">
        <f>BJ$50*'R&amp;S - Apparel'!$G$4/SUM('R&amp;S - Apparel'!$G$4:$I$4)</f>
        <v>0</v>
      </c>
      <c r="BK51" s="60">
        <f>BK$50*'R&amp;S - Apparel'!$G$4/SUM('R&amp;S - Apparel'!$G$4:$I$4)</f>
        <v>0</v>
      </c>
      <c r="BL51" s="60">
        <f>BL$50*'R&amp;S - Apparel'!$G$4/SUM('R&amp;S - Apparel'!$G$4:$I$4)</f>
        <v>0</v>
      </c>
      <c r="BM51" s="60">
        <f>BM$50*'R&amp;S - Apparel'!$G$4/SUM('R&amp;S - Apparel'!$G$4:$I$4)</f>
        <v>0</v>
      </c>
      <c r="BN51" s="60">
        <f>BN$50*'R&amp;S - Apparel'!$G$4/SUM('R&amp;S - Apparel'!$G$4:$I$4)</f>
        <v>0</v>
      </c>
    </row>
    <row r="52" spans="1:66" outlineLevel="1" x14ac:dyDescent="0.2">
      <c r="A52" s="682"/>
      <c r="B52" s="1" t="s">
        <v>8</v>
      </c>
      <c r="C52" s="54" t="s">
        <v>153</v>
      </c>
      <c r="D52" s="44">
        <f>D$50*'R&amp;S - Apparel'!$H$4/SUM('R&amp;S - Apparel'!$G$4:$I$4)</f>
        <v>1.4471127044065453</v>
      </c>
      <c r="E52" s="44">
        <f>E$50*'R&amp;S - Apparel'!$H$4/SUM('R&amp;S - Apparel'!$G$4:$I$4)</f>
        <v>1.4177606759559278</v>
      </c>
      <c r="F52" s="44">
        <f>F$50*'R&amp;S - Apparel'!$H$4/SUM('R&amp;S - Apparel'!$G$4:$I$4)</f>
        <v>1.3875918416699098</v>
      </c>
      <c r="G52" s="44">
        <f>G$50*'R&amp;S - Apparel'!$H$4/SUM('R&amp;S - Apparel'!$G$4:$I$4)</f>
        <v>1.3565918275788054</v>
      </c>
      <c r="H52" s="44">
        <f>H$50*'R&amp;S - Apparel'!$H$4/SUM('R&amp;S - Apparel'!$G$4:$I$4)</f>
        <v>1.3247460428019382</v>
      </c>
      <c r="I52" s="44">
        <f>I$50*'R&amp;S - Apparel'!$H$4/SUM('R&amp;S - Apparel'!$G$4:$I$4)</f>
        <v>1.2920396765201299</v>
      </c>
      <c r="J52" s="44">
        <f>J$50*'R&amp;S - Apparel'!$H$4/SUM('R&amp;S - Apparel'!$G$4:$I$4)</f>
        <v>1.2584576949078849</v>
      </c>
      <c r="K52" s="44">
        <f>K$50*'R&amp;S - Apparel'!$H$4/SUM('R&amp;S - Apparel'!$G$4:$I$4)</f>
        <v>1.2239848380247562</v>
      </c>
      <c r="L52" s="44">
        <f>L$50*'R&amp;S - Apparel'!$H$4/SUM('R&amp;S - Apparel'!$G$4:$I$4)</f>
        <v>1.1886056166653629</v>
      </c>
      <c r="M52" s="44">
        <f>M$50*'R&amp;S - Apparel'!$H$4/SUM('R&amp;S - Apparel'!$G$4:$I$4)</f>
        <v>1.1523043091675278</v>
      </c>
      <c r="N52" s="44">
        <f>N$50*'R&amp;S - Apparel'!$H$4/SUM('R&amp;S - Apparel'!$G$4:$I$4)</f>
        <v>1.1150649581779961</v>
      </c>
      <c r="O52" s="44">
        <f>O$50*'R&amp;S - Apparel'!$H$4/SUM('R&amp;S - Apparel'!$G$4:$I$4)</f>
        <v>1.0917168899370924</v>
      </c>
      <c r="P52" s="44">
        <f>P$50*'R&amp;S - Apparel'!$H$4/SUM('R&amp;S - Apparel'!$G$4:$I$4)</f>
        <v>1.0677234191692475</v>
      </c>
      <c r="Q52" s="44">
        <f>Q$50*'R&amp;S - Apparel'!$H$4/SUM('R&amp;S - Apparel'!$G$4:$I$4)</f>
        <v>1.0430732068785336</v>
      </c>
      <c r="R52" s="44">
        <f>R$50*'R&amp;S - Apparel'!$H$4/SUM('R&amp;S - Apparel'!$G$4:$I$4)</f>
        <v>1.0177547430846694</v>
      </c>
      <c r="S52" s="44">
        <f>S$50*'R&amp;S - Apparel'!$H$4/SUM('R&amp;S - Apparel'!$G$4:$I$4)</f>
        <v>0.99175634443753224</v>
      </c>
      <c r="T52" s="44">
        <f>T$50*'R&amp;S - Apparel'!$H$4/SUM('R&amp;S - Apparel'!$G$4:$I$4)</f>
        <v>0.96506615179993205</v>
      </c>
      <c r="U52" s="44">
        <f>U$50*'R&amp;S - Apparel'!$H$4/SUM('R&amp;S - Apparel'!$G$4:$I$4)</f>
        <v>0.93767212779822084</v>
      </c>
      <c r="V52" s="44">
        <f>V$50*'R&amp;S - Apparel'!$H$4/SUM('R&amp;S - Apparel'!$G$4:$I$4)</f>
        <v>0.90956205434033988</v>
      </c>
      <c r="W52" s="44">
        <f>W$50*'R&amp;S - Apparel'!$H$4/SUM('R&amp;S - Apparel'!$G$4:$I$4)</f>
        <v>0.88072353010087245</v>
      </c>
      <c r="X52" s="44">
        <f>X$50*'R&amp;S - Apparel'!$H$4/SUM('R&amp;S - Apparel'!$G$4:$I$4)</f>
        <v>0.85114396797268632</v>
      </c>
      <c r="Y52" s="44">
        <f>Y$50*'R&amp;S - Apparel'!$H$4/SUM('R&amp;S - Apparel'!$G$4:$I$4)</f>
        <v>0.81262431662882784</v>
      </c>
      <c r="Z52" s="44">
        <f>Z$50*'R&amp;S - Apparel'!$H$4/SUM('R&amp;S - Apparel'!$G$4:$I$4)</f>
        <v>0.77315851838099081</v>
      </c>
      <c r="AA52" s="44">
        <f>AA$50*'R&amp;S - Apparel'!$H$4/SUM('R&amp;S - Apparel'!$G$4:$I$4)</f>
        <v>0.73273046560122213</v>
      </c>
      <c r="AB52" s="44">
        <f>AB$50*'R&amp;S - Apparel'!$H$4/SUM('R&amp;S - Apparel'!$G$4:$I$4)</f>
        <v>0.69132381128838705</v>
      </c>
      <c r="AC52" s="44">
        <f>AC$50*'R&amp;S - Apparel'!$H$4/SUM('R&amp;S - Apparel'!$G$4:$I$4)</f>
        <v>0.64892196575656491</v>
      </c>
      <c r="AD52" s="44">
        <f>AD$50*'R&amp;S - Apparel'!$H$4/SUM('R&amp;S - Apparel'!$G$4:$I$4)</f>
        <v>0.60550809327961796</v>
      </c>
      <c r="AE52" s="44">
        <f>AE$50*'R&amp;S - Apparel'!$H$4/SUM('R&amp;S - Apparel'!$G$4:$I$4)</f>
        <v>0.56106510869136783</v>
      </c>
      <c r="AF52" s="44">
        <f>AF$50*'R&amp;S - Apparel'!$H$4/SUM('R&amp;S - Apparel'!$G$4:$I$4)</f>
        <v>0.51557567394080517</v>
      </c>
      <c r="AG52" s="44">
        <f>AG$50*'R&amp;S - Apparel'!$H$4/SUM('R&amp;S - Apparel'!$G$4:$I$4)</f>
        <v>0.46902219460176464</v>
      </c>
      <c r="AH52" s="44">
        <f>AH$50*'R&amp;S - Apparel'!$H$4/SUM('R&amp;S - Apparel'!$G$4:$I$4)</f>
        <v>0.4213868163364714</v>
      </c>
      <c r="AJ52" s="44">
        <f>AJ$50*'R&amp;S - Apparel'!$H$4/SUM('R&amp;S - Apparel'!$G$4:$I$4)</f>
        <v>1.4471127044065453</v>
      </c>
      <c r="AK52" s="44">
        <f>AK$50*'R&amp;S - Apparel'!$H$4/SUM('R&amp;S - Apparel'!$G$4:$I$4)</f>
        <v>1.4403635058429565</v>
      </c>
      <c r="AL52" s="44">
        <f>AL$50*'R&amp;S - Apparel'!$H$4/SUM('R&amp;S - Apparel'!$G$4:$I$4)</f>
        <v>1.4332927454298761</v>
      </c>
      <c r="AM52" s="44">
        <f>AM$50*'R&amp;S - Apparel'!$H$4/SUM('R&amp;S - Apparel'!$G$4:$I$4)</f>
        <v>1.4258941875570679</v>
      </c>
      <c r="AN52" s="44">
        <f>AN$50*'R&amp;S - Apparel'!$H$4/SUM('R&amp;S - Apparel'!$G$4:$I$4)</f>
        <v>1.4181614985814448</v>
      </c>
      <c r="AO52" s="44">
        <f>AO$50*'R&amp;S - Apparel'!$H$4/SUM('R&amp;S - Apparel'!$G$4:$I$4)</f>
        <v>1.4100882454274983</v>
      </c>
      <c r="AP52" s="44">
        <f>AP$50*'R&amp;S - Apparel'!$H$4/SUM('R&amp;S - Apparel'!$G$4:$I$4)</f>
        <v>1.4016678941688236</v>
      </c>
      <c r="AQ52" s="44">
        <f>AQ$50*'R&amp;S - Apparel'!$H$4/SUM('R&amp;S - Apparel'!$G$4:$I$4)</f>
        <v>1.3928938085905052</v>
      </c>
      <c r="AR52" s="44">
        <f>AR$50*'R&amp;S - Apparel'!$H$4/SUM('R&amp;S - Apparel'!$G$4:$I$4)</f>
        <v>1.3837592487320989</v>
      </c>
      <c r="AS52" s="44">
        <f>AS$50*'R&amp;S - Apparel'!$H$4/SUM('R&amp;S - Apparel'!$G$4:$I$4)</f>
        <v>1.3742573694109752</v>
      </c>
      <c r="AT52" s="44">
        <f>AT$50*'R&amp;S - Apparel'!$H$4/SUM('R&amp;S - Apparel'!$G$4:$I$4)</f>
        <v>1.3643812187257534</v>
      </c>
      <c r="AU52" s="44">
        <f>AU$50*'R&amp;S - Apparel'!$H$4/SUM('R&amp;S - Apparel'!$G$4:$I$4)</f>
        <v>1.3615464978205281</v>
      </c>
      <c r="AV52" s="44">
        <f>AV$50*'R&amp;S - Apparel'!$H$4/SUM('R&amp;S - Apparel'!$G$4:$I$4)</f>
        <v>1.358485913453366</v>
      </c>
      <c r="AW52" s="44">
        <f>AW$50*'R&amp;S - Apparel'!$H$4/SUM('R&amp;S - Apparel'!$G$4:$I$4)</f>
        <v>1.3551948570186576</v>
      </c>
      <c r="AX52" s="44">
        <f>AX$50*'R&amp;S - Apparel'!$H$4/SUM('R&amp;S - Apparel'!$G$4:$I$4)</f>
        <v>1.3516686460410667</v>
      </c>
      <c r="AY52" s="44">
        <f>AY$50*'R&amp;S - Apparel'!$H$4/SUM('R&amp;S - Apparel'!$G$4:$I$4)</f>
        <v>1.3479025231101172</v>
      </c>
      <c r="AZ52" s="44">
        <f>AZ$50*'R&amp;S - Apparel'!$H$4/SUM('R&amp;S - Apparel'!$G$4:$I$4)</f>
        <v>1.3438916548002979</v>
      </c>
      <c r="BA52" s="44">
        <f>BA$50*'R&amp;S - Apparel'!$H$4/SUM('R&amp;S - Apparel'!$G$4:$I$4)</f>
        <v>1.3396311305765072</v>
      </c>
      <c r="BB52" s="44">
        <f>BB$50*'R&amp;S - Apparel'!$H$4/SUM('R&amp;S - Apparel'!$G$4:$I$4)</f>
        <v>1.3351159616846298</v>
      </c>
      <c r="BC52" s="44">
        <f>BC$50*'R&amp;S - Apparel'!$H$4/SUM('R&amp;S - Apparel'!$G$4:$I$4)</f>
        <v>1.3303410800270661</v>
      </c>
      <c r="BD52" s="44">
        <f>BD$50*'R&amp;S - Apparel'!$H$4/SUM('R&amp;S - Apparel'!$G$4:$I$4)</f>
        <v>1.3253013370230096</v>
      </c>
      <c r="BE52" s="44">
        <f>BE$50*'R&amp;S - Apparel'!$H$4/SUM('R&amp;S - Apparel'!$G$4:$I$4)</f>
        <v>1.3158983645253253</v>
      </c>
      <c r="BF52" s="44">
        <f>BF$50*'R&amp;S - Apparel'!$H$4/SUM('R&amp;S - Apparel'!$G$4:$I$4)</f>
        <v>1.3061303038872019</v>
      </c>
      <c r="BG52" s="44">
        <f>BG$50*'R&amp;S - Apparel'!$H$4/SUM('R&amp;S - Apparel'!$G$4:$I$4)</f>
        <v>1.2959902843119309</v>
      </c>
      <c r="BH52" s="44">
        <f>BH$50*'R&amp;S - Apparel'!$H$4/SUM('R&amp;S - Apparel'!$G$4:$I$4)</f>
        <v>1.2854713282765851</v>
      </c>
      <c r="BI52" s="44">
        <f>BI$50*'R&amp;S - Apparel'!$H$4/SUM('R&amp;S - Apparel'!$G$4:$I$4)</f>
        <v>1.2745663500182014</v>
      </c>
      <c r="BJ52" s="44">
        <f>BJ$50*'R&amp;S - Apparel'!$H$4/SUM('R&amp;S - Apparel'!$G$4:$I$4)</f>
        <v>1.2632681539996096</v>
      </c>
      <c r="BK52" s="44">
        <f>BK$50*'R&amp;S - Apparel'!$H$4/SUM('R&amp;S - Apparel'!$G$4:$I$4)</f>
        <v>1.2515694333546279</v>
      </c>
      <c r="BL52" s="44">
        <f>BL$50*'R&amp;S - Apparel'!$H$4/SUM('R&amp;S - Apparel'!$G$4:$I$4)</f>
        <v>1.2394627683123776</v>
      </c>
      <c r="BM52" s="44">
        <f>BM$50*'R&amp;S - Apparel'!$H$4/SUM('R&amp;S - Apparel'!$G$4:$I$4)</f>
        <v>1.2269406246004269</v>
      </c>
      <c r="BN52" s="44">
        <f>BN$50*'R&amp;S - Apparel'!$H$4/SUM('R&amp;S - Apparel'!$G$4:$I$4)</f>
        <v>1.2139953518265008</v>
      </c>
    </row>
    <row r="53" spans="1:66" s="68" customFormat="1" outlineLevel="1" x14ac:dyDescent="0.2">
      <c r="A53" s="683"/>
      <c r="B53" s="62" t="s">
        <v>166</v>
      </c>
      <c r="C53" s="283" t="s">
        <v>153</v>
      </c>
      <c r="D53" s="284">
        <f>D$50*'R&amp;S - Apparel'!$I$4/SUM('R&amp;S - Apparel'!$G$4:$I$4)</f>
        <v>11.565136270954032</v>
      </c>
      <c r="E53" s="284">
        <f>E$50*'R&amp;S - Apparel'!$I$4/SUM('R&amp;S - Apparel'!$G$4:$I$4)</f>
        <v>11.33055868219634</v>
      </c>
      <c r="F53" s="284">
        <f>F$50*'R&amp;S - Apparel'!$I$4/SUM('R&amp;S - Apparel'!$G$4:$I$4)</f>
        <v>11.089453287577673</v>
      </c>
      <c r="G53" s="284">
        <f>G$50*'R&amp;S - Apparel'!$I$4/SUM('R&amp;S - Apparel'!$G$4:$I$4)</f>
        <v>10.841705212204269</v>
      </c>
      <c r="H53" s="284">
        <f>H$50*'R&amp;S - Apparel'!$I$4/SUM('R&amp;S - Apparel'!$G$4:$I$4)</f>
        <v>10.587197847657995</v>
      </c>
      <c r="I53" s="284">
        <f>I$50*'R&amp;S - Apparel'!$I$4/SUM('R&amp;S - Apparel'!$G$4:$I$4)</f>
        <v>10.325812827800839</v>
      </c>
      <c r="J53" s="284">
        <f>J$50*'R&amp;S - Apparel'!$I$4/SUM('R&amp;S - Apparel'!$G$4:$I$4)</f>
        <v>10.057430004257348</v>
      </c>
      <c r="K53" s="284">
        <f>K$50*'R&amp;S - Apparel'!$I$4/SUM('R&amp;S - Apparel'!$G$4:$I$4)</f>
        <v>9.7819274215708276</v>
      </c>
      <c r="L53" s="284">
        <f>L$50*'R&amp;S - Apparel'!$I$4/SUM('R&amp;S - Apparel'!$G$4:$I$4)</f>
        <v>9.4991812920290872</v>
      </c>
      <c r="M53" s="284">
        <f>M$50*'R&amp;S - Apparel'!$I$4/SUM('R&amp;S - Apparel'!$G$4:$I$4)</f>
        <v>9.2090659701554962</v>
      </c>
      <c r="N53" s="284">
        <f>N$50*'R&amp;S - Apparel'!$I$4/SUM('R&amp;S - Apparel'!$G$4:$I$4)</f>
        <v>8.9114539268610233</v>
      </c>
      <c r="O53" s="284">
        <f>O$50*'R&amp;S - Apparel'!$I$4/SUM('R&amp;S - Apparel'!$G$4:$I$4)</f>
        <v>8.7248592061821526</v>
      </c>
      <c r="P53" s="284">
        <f>P$50*'R&amp;S - Apparel'!$I$4/SUM('R&amp;S - Apparel'!$G$4:$I$4)</f>
        <v>8.5331065125610461</v>
      </c>
      <c r="Q53" s="284">
        <f>Q$50*'R&amp;S - Apparel'!$I$4/SUM('R&amp;S - Apparel'!$G$4:$I$4)</f>
        <v>8.3361052262189688</v>
      </c>
      <c r="R53" s="284">
        <f>R$50*'R&amp;S - Apparel'!$I$4/SUM('R&amp;S - Apparel'!$G$4:$I$4)</f>
        <v>8.1337633608924964</v>
      </c>
      <c r="S53" s="284">
        <f>S$50*'R&amp;S - Apparel'!$I$4/SUM('R&amp;S - Apparel'!$G$4:$I$4)</f>
        <v>7.9259875447690158</v>
      </c>
      <c r="T53" s="284">
        <f>T$50*'R&amp;S - Apparel'!$I$4/SUM('R&amp;S - Apparel'!$G$4:$I$4)</f>
        <v>7.7126830011685588</v>
      </c>
      <c r="U53" s="284">
        <f>U$50*'R&amp;S - Apparel'!$I$4/SUM('R&amp;S - Apparel'!$G$4:$I$4)</f>
        <v>7.4937535289686039</v>
      </c>
      <c r="V53" s="284">
        <f>V$50*'R&amp;S - Apparel'!$I$4/SUM('R&amp;S - Apparel'!$G$4:$I$4)</f>
        <v>7.2691014827686198</v>
      </c>
      <c r="W53" s="284">
        <f>W$50*'R&amp;S - Apparel'!$I$4/SUM('R&amp;S - Apparel'!$G$4:$I$4)</f>
        <v>7.0386277527909495</v>
      </c>
      <c r="X53" s="284">
        <f>X$50*'R&amp;S - Apparel'!$I$4/SUM('R&amp;S - Apparel'!$G$4:$I$4)</f>
        <v>6.8022317445146516</v>
      </c>
      <c r="Y53" s="284">
        <f>Y$50*'R&amp;S - Apparel'!$I$4/SUM('R&amp;S - Apparel'!$G$4:$I$4)</f>
        <v>6.4943877075264957</v>
      </c>
      <c r="Z53" s="284">
        <f>Z$50*'R&amp;S - Apparel'!$I$4/SUM('R&amp;S - Apparel'!$G$4:$I$4)</f>
        <v>6.1789821877018367</v>
      </c>
      <c r="AA53" s="284">
        <f>AA$50*'R&amp;S - Apparel'!$I$4/SUM('R&amp;S - Apparel'!$G$4:$I$4)</f>
        <v>5.8558864549758285</v>
      </c>
      <c r="AB53" s="284">
        <f>AB$50*'R&amp;S - Apparel'!$I$4/SUM('R&amp;S - Apparel'!$G$4:$I$4)</f>
        <v>5.5249698662443327</v>
      </c>
      <c r="AC53" s="284">
        <f>AC$50*'R&amp;S - Apparel'!$I$4/SUM('R&amp;S - Apparel'!$G$4:$I$4)</f>
        <v>5.1860998388980031</v>
      </c>
      <c r="AD53" s="284">
        <f>AD$50*'R&amp;S - Apparel'!$I$4/SUM('R&amp;S - Apparel'!$G$4:$I$4)</f>
        <v>4.8391418240061261</v>
      </c>
      <c r="AE53" s="284">
        <f>AE$50*'R&amp;S - Apparel'!$I$4/SUM('R&amp;S - Apparel'!$G$4:$I$4)</f>
        <v>4.4839592791456635</v>
      </c>
      <c r="AF53" s="284">
        <f>AF$50*'R&amp;S - Apparel'!$I$4/SUM('R&amp;S - Apparel'!$G$4:$I$4)</f>
        <v>4.1204136408709466</v>
      </c>
      <c r="AG53" s="284">
        <f>AG$50*'R&amp;S - Apparel'!$I$4/SUM('R&amp;S - Apparel'!$G$4:$I$4)</f>
        <v>3.7483642968194468</v>
      </c>
      <c r="AH53" s="284">
        <f>AH$50*'R&amp;S - Apparel'!$I$4/SUM('R&amp;S - Apparel'!$G$4:$I$4)</f>
        <v>3.3676685574489023</v>
      </c>
      <c r="AJ53" s="284">
        <f>AJ$50*'R&amp;S - Apparel'!$I$4/SUM('R&amp;S - Apparel'!$G$4:$I$4)</f>
        <v>11.565136270954032</v>
      </c>
      <c r="AK53" s="284">
        <f>AK$50*'R&amp;S - Apparel'!$I$4/SUM('R&amp;S - Apparel'!$G$4:$I$4)</f>
        <v>11.511197555006097</v>
      </c>
      <c r="AL53" s="284">
        <f>AL$50*'R&amp;S - Apparel'!$I$4/SUM('R&amp;S - Apparel'!$G$4:$I$4)</f>
        <v>11.454688958635176</v>
      </c>
      <c r="AM53" s="284">
        <f>AM$50*'R&amp;S - Apparel'!$I$4/SUM('R&amp;S - Apparel'!$G$4:$I$4)</f>
        <v>11.395560647656346</v>
      </c>
      <c r="AN53" s="284">
        <f>AN$50*'R&amp;S - Apparel'!$I$4/SUM('R&amp;S - Apparel'!$G$4:$I$4)</f>
        <v>11.33376200441891</v>
      </c>
      <c r="AO53" s="284">
        <f>AO$50*'R&amp;S - Apparel'!$I$4/SUM('R&amp;S - Apparel'!$G$4:$I$4)</f>
        <v>11.269241616621199</v>
      </c>
      <c r="AP53" s="284">
        <f>AP$50*'R&amp;S - Apparel'!$I$4/SUM('R&amp;S - Apparel'!$G$4:$I$4)</f>
        <v>11.201947265974333</v>
      </c>
      <c r="AQ53" s="284">
        <f>AQ$50*'R&amp;S - Apparel'!$I$4/SUM('R&amp;S - Apparel'!$G$4:$I$4)</f>
        <v>11.131825916712954</v>
      </c>
      <c r="AR53" s="284">
        <f>AR$50*'R&amp;S - Apparel'!$I$4/SUM('R&amp;S - Apparel'!$G$4:$I$4)</f>
        <v>11.058823703950972</v>
      </c>
      <c r="AS53" s="284">
        <f>AS$50*'R&amp;S - Apparel'!$I$4/SUM('R&amp;S - Apparel'!$G$4:$I$4)</f>
        <v>10.982885921880278</v>
      </c>
      <c r="AT53" s="284">
        <f>AT$50*'R&amp;S - Apparel'!$I$4/SUM('R&amp;S - Apparel'!$G$4:$I$4)</f>
        <v>10.903957011810412</v>
      </c>
      <c r="AU53" s="284">
        <f>AU$50*'R&amp;S - Apparel'!$I$4/SUM('R&amp;S - Apparel'!$G$4:$I$4)</f>
        <v>10.881302291511691</v>
      </c>
      <c r="AV53" s="284">
        <f>AV$50*'R&amp;S - Apparel'!$I$4/SUM('R&amp;S - Apparel'!$G$4:$I$4)</f>
        <v>10.85684249984018</v>
      </c>
      <c r="AW53" s="284">
        <f>AW$50*'R&amp;S - Apparel'!$I$4/SUM('R&amp;S - Apparel'!$G$4:$I$4)</f>
        <v>10.830540805420043</v>
      </c>
      <c r="AX53" s="284">
        <f>AX$50*'R&amp;S - Apparel'!$I$4/SUM('R&amp;S - Apparel'!$G$4:$I$4)</f>
        <v>10.802359786518203</v>
      </c>
      <c r="AY53" s="284">
        <f>AY$50*'R&amp;S - Apparel'!$I$4/SUM('R&amp;S - Apparel'!$G$4:$I$4)</f>
        <v>10.772261422529713</v>
      </c>
      <c r="AZ53" s="284">
        <f>AZ$50*'R&amp;S - Apparel'!$I$4/SUM('R&amp;S - Apparel'!$G$4:$I$4)</f>
        <v>10.740207085347363</v>
      </c>
      <c r="BA53" s="284">
        <f>BA$50*'R&amp;S - Apparel'!$I$4/SUM('R&amp;S - Apparel'!$G$4:$I$4)</f>
        <v>10.706157530614135</v>
      </c>
      <c r="BB53" s="284">
        <f>BB$50*'R&amp;S - Apparel'!$I$4/SUM('R&amp;S - Apparel'!$G$4:$I$4)</f>
        <v>10.670072888856842</v>
      </c>
      <c r="BC53" s="284">
        <f>BC$50*'R&amp;S - Apparel'!$I$4/SUM('R&amp;S - Apparel'!$G$4:$I$4)</f>
        <v>10.631912656499509</v>
      </c>
      <c r="BD53" s="284">
        <f>BD$50*'R&amp;S - Apparel'!$I$4/SUM('R&amp;S - Apparel'!$G$4:$I$4)</f>
        <v>10.591635686754845</v>
      </c>
      <c r="BE53" s="284">
        <f>BE$50*'R&amp;S - Apparel'!$I$4/SUM('R&amp;S - Apparel'!$G$4:$I$4)</f>
        <v>10.51648835513609</v>
      </c>
      <c r="BF53" s="284">
        <f>BF$50*'R&amp;S - Apparel'!$I$4/SUM('R&amp;S - Apparel'!$G$4:$I$4)</f>
        <v>10.438423286645682</v>
      </c>
      <c r="BG53" s="284">
        <f>BG$50*'R&amp;S - Apparel'!$I$4/SUM('R&amp;S - Apparel'!$G$4:$I$4)</f>
        <v>10.357385570771131</v>
      </c>
      <c r="BH53" s="284">
        <f>BH$50*'R&amp;S - Apparel'!$I$4/SUM('R&amp;S - Apparel'!$G$4:$I$4)</f>
        <v>10.273319444057911</v>
      </c>
      <c r="BI53" s="284">
        <f>BI$50*'R&amp;S - Apparel'!$I$4/SUM('R&amp;S - Apparel'!$G$4:$I$4)</f>
        <v>10.18616827801123</v>
      </c>
      <c r="BJ53" s="284">
        <f>BJ$50*'R&amp;S - Apparel'!$I$4/SUM('R&amp;S - Apparel'!$G$4:$I$4)</f>
        <v>10.095874566835116</v>
      </c>
      <c r="BK53" s="284">
        <f>BK$50*'R&amp;S - Apparel'!$I$4/SUM('R&amp;S - Apparel'!$G$4:$I$4)</f>
        <v>10.002379915006657</v>
      </c>
      <c r="BL53" s="284">
        <f>BL$50*'R&amp;S - Apparel'!$I$4/SUM('R&amp;S - Apparel'!$G$4:$I$4)</f>
        <v>9.9056250246832782</v>
      </c>
      <c r="BM53" s="284">
        <f>BM$50*'R&amp;S - Apparel'!$I$4/SUM('R&amp;S - Apparel'!$G$4:$I$4)</f>
        <v>9.8055496829409297</v>
      </c>
      <c r="BN53" s="284">
        <f>BN$50*'R&amp;S - Apparel'!$I$4/SUM('R&amp;S - Apparel'!$G$4:$I$4)</f>
        <v>9.7020927488408848</v>
      </c>
    </row>
    <row r="54" spans="1:66" outlineLevel="1" x14ac:dyDescent="0.2">
      <c r="A54" s="58" t="s">
        <v>208</v>
      </c>
      <c r="B54" s="58" t="s">
        <v>209</v>
      </c>
      <c r="C54" s="59" t="s">
        <v>153</v>
      </c>
      <c r="D54" s="44">
        <f>D4-D16-D27-D38-D45-D9</f>
        <v>31.171306671622546</v>
      </c>
      <c r="E54" s="44">
        <f t="shared" ref="E54:AH54" si="42">E4-E16-E27-E38-E45-E9</f>
        <v>33.074947911903259</v>
      </c>
      <c r="F54" s="44">
        <f t="shared" si="42"/>
        <v>35.037629576138762</v>
      </c>
      <c r="G54" s="44">
        <f t="shared" si="42"/>
        <v>37.060931517550884</v>
      </c>
      <c r="H54" s="44">
        <f t="shared" si="42"/>
        <v>39.146473691798604</v>
      </c>
      <c r="I54" s="44">
        <f t="shared" si="42"/>
        <v>41.295917153149404</v>
      </c>
      <c r="J54" s="44">
        <f t="shared" si="42"/>
        <v>42.440674865929033</v>
      </c>
      <c r="K54" s="44">
        <f t="shared" si="42"/>
        <v>43.609240228799074</v>
      </c>
      <c r="L54" s="44">
        <f t="shared" si="42"/>
        <v>44.802057340501662</v>
      </c>
      <c r="M54" s="44">
        <f t="shared" si="42"/>
        <v>46.019578145872828</v>
      </c>
      <c r="N54" s="44">
        <f t="shared" si="42"/>
        <v>47.262262570272227</v>
      </c>
      <c r="O54" s="44">
        <f t="shared" si="42"/>
        <v>47.595314985684993</v>
      </c>
      <c r="P54" s="44">
        <f t="shared" si="42"/>
        <v>47.930226799437001</v>
      </c>
      <c r="Q54" s="44">
        <f t="shared" si="42"/>
        <v>48.267001045879539</v>
      </c>
      <c r="R54" s="44">
        <f t="shared" si="42"/>
        <v>48.605640624600319</v>
      </c>
      <c r="S54" s="44">
        <f t="shared" si="42"/>
        <v>48.946148297318402</v>
      </c>
      <c r="T54" s="44">
        <f t="shared" si="42"/>
        <v>49.222060133511881</v>
      </c>
      <c r="U54" s="44">
        <f t="shared" si="42"/>
        <v>49.498589306525432</v>
      </c>
      <c r="V54" s="44">
        <f t="shared" si="42"/>
        <v>49.775720345449614</v>
      </c>
      <c r="W54" s="44">
        <f t="shared" si="42"/>
        <v>50.053437404284182</v>
      </c>
      <c r="X54" s="44">
        <f t="shared" si="42"/>
        <v>50.331724255926765</v>
      </c>
      <c r="Y54" s="44">
        <f t="shared" si="42"/>
        <v>49.767022569363945</v>
      </c>
      <c r="Z54" s="44">
        <f t="shared" si="42"/>
        <v>49.191856317725737</v>
      </c>
      <c r="AA54" s="44">
        <f t="shared" si="42"/>
        <v>48.60609433108776</v>
      </c>
      <c r="AB54" s="44">
        <f t="shared" si="42"/>
        <v>48.009603937253281</v>
      </c>
      <c r="AC54" s="44">
        <f t="shared" si="42"/>
        <v>47.402250945022516</v>
      </c>
      <c r="AD54" s="44">
        <f t="shared" si="42"/>
        <v>46.575014227523916</v>
      </c>
      <c r="AE54" s="44">
        <f t="shared" si="42"/>
        <v>45.735321735038823</v>
      </c>
      <c r="AF54" s="44">
        <f t="shared" si="42"/>
        <v>44.883028269318501</v>
      </c>
      <c r="AG54" s="44">
        <f t="shared" si="42"/>
        <v>44.017987016815489</v>
      </c>
      <c r="AH54" s="44">
        <f t="shared" si="42"/>
        <v>43.140049530896121</v>
      </c>
      <c r="AJ54" s="44">
        <f>AJ4-AJ16-AJ27-AJ38-AJ45-AJ9</f>
        <v>31.171306671622546</v>
      </c>
      <c r="AK54" s="44">
        <f t="shared" ref="AK54:BN54" si="43">AK4-AK16-AK27-AK38-AK45-AK9</f>
        <v>33.074947911903259</v>
      </c>
      <c r="AL54" s="44">
        <f t="shared" si="43"/>
        <v>35.037629576138762</v>
      </c>
      <c r="AM54" s="44">
        <f t="shared" si="43"/>
        <v>37.060931517550884</v>
      </c>
      <c r="AN54" s="44">
        <f t="shared" si="43"/>
        <v>39.146473691798604</v>
      </c>
      <c r="AO54" s="44">
        <f t="shared" si="43"/>
        <v>41.295917153149404</v>
      </c>
      <c r="AP54" s="44">
        <f t="shared" si="43"/>
        <v>42.440674865929033</v>
      </c>
      <c r="AQ54" s="44">
        <f t="shared" si="43"/>
        <v>43.609240228799074</v>
      </c>
      <c r="AR54" s="44">
        <f t="shared" si="43"/>
        <v>44.802057340501662</v>
      </c>
      <c r="AS54" s="44">
        <f t="shared" si="43"/>
        <v>46.019578145872828</v>
      </c>
      <c r="AT54" s="44">
        <f t="shared" si="43"/>
        <v>47.262262570272227</v>
      </c>
      <c r="AU54" s="44">
        <f t="shared" si="43"/>
        <v>47.595314985684993</v>
      </c>
      <c r="AV54" s="44">
        <f t="shared" si="43"/>
        <v>47.930226799437001</v>
      </c>
      <c r="AW54" s="44">
        <f t="shared" si="43"/>
        <v>48.267001045879539</v>
      </c>
      <c r="AX54" s="44">
        <f t="shared" si="43"/>
        <v>48.605640624600319</v>
      </c>
      <c r="AY54" s="44">
        <f t="shared" si="43"/>
        <v>48.946148297318402</v>
      </c>
      <c r="AZ54" s="44">
        <f t="shared" si="43"/>
        <v>49.222060133511881</v>
      </c>
      <c r="BA54" s="44">
        <f t="shared" si="43"/>
        <v>49.498589306525432</v>
      </c>
      <c r="BB54" s="44">
        <f t="shared" si="43"/>
        <v>49.775720345449614</v>
      </c>
      <c r="BC54" s="44">
        <f t="shared" si="43"/>
        <v>50.053437404284182</v>
      </c>
      <c r="BD54" s="44">
        <f t="shared" si="43"/>
        <v>50.331724255926765</v>
      </c>
      <c r="BE54" s="44">
        <f t="shared" si="43"/>
        <v>49.767022569363945</v>
      </c>
      <c r="BF54" s="44">
        <f t="shared" si="43"/>
        <v>49.191856317725737</v>
      </c>
      <c r="BG54" s="44">
        <f t="shared" si="43"/>
        <v>48.60609433108776</v>
      </c>
      <c r="BH54" s="44">
        <f t="shared" si="43"/>
        <v>48.009603937253281</v>
      </c>
      <c r="BI54" s="44">
        <f t="shared" si="43"/>
        <v>47.402250945022516</v>
      </c>
      <c r="BJ54" s="44">
        <f t="shared" si="43"/>
        <v>46.575014227523916</v>
      </c>
      <c r="BK54" s="44">
        <f t="shared" si="43"/>
        <v>45.735321735038823</v>
      </c>
      <c r="BL54" s="44">
        <f t="shared" si="43"/>
        <v>44.883028269318501</v>
      </c>
      <c r="BM54" s="44">
        <f t="shared" si="43"/>
        <v>44.017987016815489</v>
      </c>
      <c r="BN54" s="44">
        <f t="shared" si="43"/>
        <v>43.140049530896121</v>
      </c>
    </row>
    <row r="55" spans="1:66" outlineLevel="1" x14ac:dyDescent="0.2">
      <c r="B55" s="1" t="s">
        <v>168</v>
      </c>
      <c r="C55" s="54" t="s">
        <v>153</v>
      </c>
      <c r="D55">
        <v>0</v>
      </c>
      <c r="E55" s="43">
        <f>E54*'R&amp;S - Others'!$D$7*'R&amp;S - Others'!$B$11*'R&amp;S - Others'!$B$15*(E$3-$D$3)/10</f>
        <v>0.16372099216392114</v>
      </c>
      <c r="F55" s="43">
        <f>F54*'R&amp;S - Others'!$D$7*'R&amp;S - Others'!$B$11*'R&amp;S - Others'!$B$15*(F$3-$D$3)/10</f>
        <v>0.34687253280377373</v>
      </c>
      <c r="G55" s="43">
        <f>G54*'R&amp;S - Others'!$D$7*'R&amp;S - Others'!$B$11*'R&amp;S - Others'!$B$15*(G$3-$D$3)/10</f>
        <v>0.5503548330356306</v>
      </c>
      <c r="H55" s="43">
        <f>H54*'R&amp;S - Others'!$D$7*'R&amp;S - Others'!$B$11*'R&amp;S - Others'!$B$15*(H$3-$D$3)/10</f>
        <v>0.77510017909761242</v>
      </c>
      <c r="I55" s="43">
        <f>I54*'R&amp;S - Others'!$D$7*'R&amp;S - Others'!$B$11*'R&amp;S - Others'!$B$15*(I$3-$D$3)/10</f>
        <v>1.0220739495404478</v>
      </c>
      <c r="J55" s="43">
        <f>J54*'R&amp;S - Others'!$D$7*'R&amp;S - Others'!$B$11*'R&amp;S - Others'!$B$15*(J$3-$D$3)/10</f>
        <v>1.2604880435180923</v>
      </c>
      <c r="K55" s="43">
        <f>K54*'R&amp;S - Others'!$D$7*'R&amp;S - Others'!$B$11*'R&amp;S - Others'!$B$15*(K$3-$D$3)/10</f>
        <v>1.5110601739278877</v>
      </c>
      <c r="L55" s="43">
        <f>L54*'R&amp;S - Others'!$D$7*'R&amp;S - Others'!$B$11*'R&amp;S - Others'!$B$15*(L$3-$D$3)/10</f>
        <v>1.774161470683866</v>
      </c>
      <c r="M55" s="43">
        <f>M54*'R&amp;S - Others'!$D$7*'R&amp;S - Others'!$B$11*'R&amp;S - Others'!$B$15*(M$3-$D$3)/10</f>
        <v>2.050172206398635</v>
      </c>
      <c r="N55" s="43">
        <f>N54*'R&amp;S - Others'!$D$7*'R&amp;S - Others'!$B$11*'R&amp;S - Others'!$B$15*(N$3-$D$3)/10</f>
        <v>2.3394819972284751</v>
      </c>
      <c r="O55" s="43">
        <f>O54*'R&amp;S - Others'!$D$7*'R&amp;S - Others'!$B$11*('R&amp;S - Others'!$B$15+('R&amp;S - Others'!$B$16-'R&amp;S - Others'!$B$15)*(O$3-$N$3)/10)</f>
        <v>2.5915649009705479</v>
      </c>
      <c r="P55" s="43">
        <f>P54*'R&amp;S - Others'!$D$7*'R&amp;S - Others'!$B$11*('R&amp;S - Others'!$B$15+('R&amp;S - Others'!$B$16-'R&amp;S - Others'!$B$15)*(P$3-$N$3)/10)</f>
        <v>2.8470554718865579</v>
      </c>
      <c r="Q55" s="43">
        <f>Q54*'R&amp;S - Others'!$D$7*'R&amp;S - Others'!$B$11*('R&amp;S - Others'!$B$15+('R&amp;S - Others'!$B$16-'R&amp;S - Others'!$B$15)*(Q$3-$N$3)/10)</f>
        <v>3.1059815173023484</v>
      </c>
      <c r="R55" s="43">
        <f>R54*'R&amp;S - Others'!$D$7*'R&amp;S - Others'!$B$11*('R&amp;S - Others'!$B$15+('R&amp;S - Others'!$B$16-'R&amp;S - Others'!$B$15)*(R$3-$N$3)/10)</f>
        <v>3.3683708952848024</v>
      </c>
      <c r="S55" s="43">
        <f>S54*'R&amp;S - Others'!$D$7*'R&amp;S - Others'!$B$11*('R&amp;S - Others'!$B$15+('R&amp;S - Others'!$B$16-'R&amp;S - Others'!$B$15)*(S$3-$N$3)/10)</f>
        <v>3.6342515110758913</v>
      </c>
      <c r="T55" s="43">
        <f>T54*'R&amp;S - Others'!$D$7*'R&amp;S - Others'!$B$11*('R&amp;S - Others'!$B$15+('R&amp;S - Others'!$B$16-'R&amp;S - Others'!$B$15)*(T$3-$N$3)/10)</f>
        <v>3.8983871625741409</v>
      </c>
      <c r="U55" s="43">
        <f>U54*'R&amp;S - Others'!$D$7*'R&amp;S - Others'!$B$11*('R&amp;S - Others'!$B$15+('R&amp;S - Others'!$B$16-'R&amp;S - Others'!$B$15)*(U$3-$N$3)/10)</f>
        <v>4.1653062901441151</v>
      </c>
      <c r="V55" s="43">
        <f>V54*'R&amp;S - Others'!$D$7*'R&amp;S - Others'!$B$11*('R&amp;S - Others'!$B$15+('R&amp;S - Others'!$B$16-'R&amp;S - Others'!$B$15)*(V$3-$N$3)/10)</f>
        <v>4.435016682779561</v>
      </c>
      <c r="W55" s="43">
        <f>W54*'R&amp;S - Others'!$D$7*'R&amp;S - Others'!$B$11*('R&amp;S - Others'!$B$15+('R&amp;S - Others'!$B$16-'R&amp;S - Others'!$B$15)*(W$3-$N$3)/10)</f>
        <v>4.7075257878729273</v>
      </c>
      <c r="X55" s="43">
        <f>X54*'R&amp;S - Others'!$D$7*'R&amp;S - Others'!$B$11*('R&amp;S - Others'!$B$15+('R&amp;S - Others'!$B$16-'R&amp;S - Others'!$B$15)*(X$3-$N$3)/10)</f>
        <v>4.9828407013367499</v>
      </c>
      <c r="Y55" s="43">
        <f>Y54*'R&amp;S - Others'!$D$7*'R&amp;S - Others'!$B$11*('R&amp;S - Others'!$B$16+('R&amp;S - Others'!$B$17-'R&amp;S - Others'!$B$16)*(Y$3-$X$3)/10)</f>
        <v>5.1807470494707868</v>
      </c>
      <c r="Z55" s="43">
        <f>Z54*'R&amp;S - Others'!$D$7*'R&amp;S - Others'!$B$11*('R&amp;S - Others'!$B$16+('R&amp;S - Others'!$B$17-'R&amp;S - Others'!$B$16)*(Z$3-$X$3)/10)</f>
        <v>5.3717507098956494</v>
      </c>
      <c r="AA55" s="43">
        <f>AA54*'R&amp;S - Others'!$D$7*'R&amp;S - Others'!$B$11*('R&amp;S - Others'!$B$16+('R&amp;S - Others'!$B$17-'R&amp;S - Others'!$B$16)*(AA$3-$X$3)/10)</f>
        <v>5.5556765820433309</v>
      </c>
      <c r="AB55" s="43">
        <f>AB54*'R&amp;S - Others'!$D$7*'R&amp;S - Others'!$B$11*('R&amp;S - Others'!$B$16+('R&amp;S - Others'!$B$17-'R&amp;S - Others'!$B$16)*(AB$3-$X$3)/10)</f>
        <v>5.7323467101080414</v>
      </c>
      <c r="AC55" s="43">
        <f>AC54*'R&amp;S - Others'!$D$7*'R&amp;S - Others'!$B$11*('R&amp;S - Others'!$B$16+('R&amp;S - Others'!$B$17-'R&amp;S - Others'!$B$16)*(AC$3-$X$3)/10)</f>
        <v>5.901580242655303</v>
      </c>
      <c r="AD55" s="43">
        <f>AD54*'R&amp;S - Others'!$D$7*'R&amp;S - Others'!$B$11*('R&amp;S - Others'!$B$16+('R&amp;S - Others'!$B$17-'R&amp;S - Others'!$B$16)*(AD$3-$X$3)/10)</f>
        <v>6.0361218438870994</v>
      </c>
      <c r="AE55" s="43">
        <f>AE54*'R&amp;S - Others'!$D$7*'R&amp;S - Others'!$B$11*('R&amp;S - Others'!$B$16+('R&amp;S - Others'!$B$17-'R&amp;S - Others'!$B$16)*(AE$3-$X$3)/10)</f>
        <v>6.1605478377097294</v>
      </c>
      <c r="AF55" s="43">
        <f>AF54*'R&amp;S - Others'!$D$7*'R&amp;S - Others'!$B$11*('R&amp;S - Others'!$B$16+('R&amp;S - Others'!$B$17-'R&amp;S - Others'!$B$16)*(AF$3-$X$3)/10)</f>
        <v>6.2746473520507262</v>
      </c>
      <c r="AG55" s="43">
        <f>AG54*'R&amp;S - Others'!$D$7*'R&amp;S - Others'!$B$11*('R&amp;S - Others'!$B$16+('R&amp;S - Others'!$B$17-'R&amp;S - Others'!$B$16)*(AG$3-$X$3)/10)</f>
        <v>6.3782063187365647</v>
      </c>
      <c r="AH55" s="43">
        <f>AH54*'R&amp;S - Others'!$D$7*'R&amp;S - Others'!$B$11*('R&amp;S - Others'!$B$16+('R&amp;S - Others'!$B$17-'R&amp;S - Others'!$B$16)*(AH$3-$X$3)/10)</f>
        <v>6.471007429634418</v>
      </c>
      <c r="AJ55">
        <v>0</v>
      </c>
      <c r="AK55" s="43">
        <f>AK54*'R&amp;S - Others'!$D$7*'R&amp;S - Others'!$B$12*'R&amp;S - Others'!$B$15*(AK$3-$D$3)/10</f>
        <v>8.1860496081960568E-2</v>
      </c>
      <c r="AL55" s="43">
        <f>AL54*'R&amp;S - Others'!$D$7*'R&amp;S - Others'!$B$12*'R&amp;S - Others'!$B$15*(AL$3-$D$3)/10</f>
        <v>0.17343626640188686</v>
      </c>
      <c r="AM55" s="43">
        <f>AM54*'R&amp;S - Others'!$D$7*'R&amp;S - Others'!$B$12*'R&amp;S - Others'!$B$15*(AM$3-$D$3)/10</f>
        <v>0.2751774165178153</v>
      </c>
      <c r="AN55" s="43">
        <f>AN54*'R&amp;S - Others'!$D$7*'R&amp;S - Others'!$B$12*'R&amp;S - Others'!$B$15*(AN$3-$D$3)/10</f>
        <v>0.38755008954880621</v>
      </c>
      <c r="AO55" s="43">
        <f>AO54*'R&amp;S - Others'!$D$7*'R&amp;S - Others'!$B$12*'R&amp;S - Others'!$B$15*(AO$3-$D$3)/10</f>
        <v>0.51103697477022392</v>
      </c>
      <c r="AP55" s="43">
        <f>AP54*'R&amp;S - Others'!$D$7*'R&amp;S - Others'!$B$12*'R&amp;S - Others'!$B$15*(AP$3-$D$3)/10</f>
        <v>0.63024402175904615</v>
      </c>
      <c r="AQ55" s="43">
        <f>AQ54*'R&amp;S - Others'!$D$7*'R&amp;S - Others'!$B$12*'R&amp;S - Others'!$B$15*(AQ$3-$D$3)/10</f>
        <v>0.75553008696394386</v>
      </c>
      <c r="AR55" s="43">
        <f>AR54*'R&amp;S - Others'!$D$7*'R&amp;S - Others'!$B$12*'R&amp;S - Others'!$B$15*(AR$3-$D$3)/10</f>
        <v>0.88708073534193299</v>
      </c>
      <c r="AS55" s="43">
        <f>AS54*'R&amp;S - Others'!$D$7*'R&amp;S - Others'!$B$12*'R&amp;S - Others'!$B$15*(AS$3-$D$3)/10</f>
        <v>1.0250861031993175</v>
      </c>
      <c r="AT55" s="43">
        <f>AT54*'R&amp;S - Others'!$D$7*'R&amp;S - Others'!$B$12*'R&amp;S - Others'!$B$15*(AT$3-$D$3)/10</f>
        <v>1.1697409986142375</v>
      </c>
      <c r="AU55" s="43">
        <f>AU54*'R&amp;S - Others'!$D$7*'R&amp;S - Others'!$B$12*('R&amp;S - Others'!$B$15+('R&amp;S - Others'!$B$16-'R&amp;S - Others'!$B$15)*(AU$3-$N$3)/10)</f>
        <v>1.295782450485274</v>
      </c>
      <c r="AV55" s="43">
        <f>AV54*'R&amp;S - Others'!$D$7*'R&amp;S - Others'!$B$12*('R&amp;S - Others'!$B$15+('R&amp;S - Others'!$B$16-'R&amp;S - Others'!$B$15)*(AV$3-$N$3)/10)</f>
        <v>1.423527735943279</v>
      </c>
      <c r="AW55" s="43">
        <f>AW54*'R&amp;S - Others'!$D$7*'R&amp;S - Others'!$B$12*('R&amp;S - Others'!$B$15+('R&amp;S - Others'!$B$16-'R&amp;S - Others'!$B$15)*(AW$3-$N$3)/10)</f>
        <v>1.5529907586511742</v>
      </c>
      <c r="AX55" s="43">
        <f>AX54*'R&amp;S - Others'!$D$7*'R&amp;S - Others'!$B$12*('R&amp;S - Others'!$B$15+('R&amp;S - Others'!$B$16-'R&amp;S - Others'!$B$15)*(AX$3-$N$3)/10)</f>
        <v>1.6841854476424012</v>
      </c>
      <c r="AY55" s="43">
        <f>AY54*'R&amp;S - Others'!$D$7*'R&amp;S - Others'!$B$12*('R&amp;S - Others'!$B$15+('R&amp;S - Others'!$B$16-'R&amp;S - Others'!$B$15)*(AY$3-$N$3)/10)</f>
        <v>1.8171257555379456</v>
      </c>
      <c r="AZ55" s="43">
        <f>AZ54*'R&amp;S - Others'!$D$7*'R&amp;S - Others'!$B$12*('R&amp;S - Others'!$B$15+('R&amp;S - Others'!$B$16-'R&amp;S - Others'!$B$15)*(AZ$3-$N$3)/10)</f>
        <v>1.9491935812870704</v>
      </c>
      <c r="BA55" s="43">
        <f>BA54*'R&amp;S - Others'!$D$7*'R&amp;S - Others'!$B$12*('R&amp;S - Others'!$B$15+('R&amp;S - Others'!$B$16-'R&amp;S - Others'!$B$15)*(BA$3-$N$3)/10)</f>
        <v>2.0826531450720576</v>
      </c>
      <c r="BB55" s="43">
        <f>BB54*'R&amp;S - Others'!$D$7*'R&amp;S - Others'!$B$12*('R&amp;S - Others'!$B$15+('R&amp;S - Others'!$B$16-'R&amp;S - Others'!$B$15)*(BB$3-$N$3)/10)</f>
        <v>2.2175083413897805</v>
      </c>
      <c r="BC55" s="43">
        <f>BC54*'R&amp;S - Others'!$D$7*'R&amp;S - Others'!$B$12*('R&amp;S - Others'!$B$15+('R&amp;S - Others'!$B$16-'R&amp;S - Others'!$B$15)*(BC$3-$N$3)/10)</f>
        <v>2.3537628939364637</v>
      </c>
      <c r="BD55" s="43">
        <f>BD54*'R&amp;S - Others'!$D$7*'R&amp;S - Others'!$B$12*('R&amp;S - Others'!$B$15+('R&amp;S - Others'!$B$16-'R&amp;S - Others'!$B$15)*(BD$3-$N$3)/10)</f>
        <v>2.491420350668375</v>
      </c>
      <c r="BE55" s="43">
        <f>BE54*'R&amp;S - Others'!$D$7*'R&amp;S - Others'!$B$12*('R&amp;S - Others'!$B$16+('R&amp;S - Others'!$B$17-'R&amp;S - Others'!$B$16)*(BE$3-$X$3)/10)</f>
        <v>2.5903735247353934</v>
      </c>
      <c r="BF55" s="43">
        <f>BF54*'R&amp;S - Others'!$D$7*'R&amp;S - Others'!$B$12*('R&amp;S - Others'!$B$16+('R&amp;S - Others'!$B$17-'R&amp;S - Others'!$B$16)*(BF$3-$X$3)/10)</f>
        <v>2.6858753549478247</v>
      </c>
      <c r="BG55" s="43">
        <f>BG54*'R&amp;S - Others'!$D$7*'R&amp;S - Others'!$B$12*('R&amp;S - Others'!$B$16+('R&amp;S - Others'!$B$17-'R&amp;S - Others'!$B$16)*(BG$3-$X$3)/10)</f>
        <v>2.7778382910216655</v>
      </c>
      <c r="BH55" s="43">
        <f>BH54*'R&amp;S - Others'!$D$7*'R&amp;S - Others'!$B$12*('R&amp;S - Others'!$B$16+('R&amp;S - Others'!$B$17-'R&amp;S - Others'!$B$16)*(BH$3-$X$3)/10)</f>
        <v>2.8661733550540207</v>
      </c>
      <c r="BI55" s="43">
        <f>BI54*'R&amp;S - Others'!$D$7*'R&amp;S - Others'!$B$12*('R&amp;S - Others'!$B$16+('R&amp;S - Others'!$B$17-'R&amp;S - Others'!$B$16)*(BI$3-$X$3)/10)</f>
        <v>2.9507901213276515</v>
      </c>
      <c r="BJ55" s="43">
        <f>BJ54*'R&amp;S - Others'!$D$7*'R&amp;S - Others'!$B$12*('R&amp;S - Others'!$B$16+('R&amp;S - Others'!$B$17-'R&amp;S - Others'!$B$16)*(BJ$3-$X$3)/10)</f>
        <v>3.0180609219435497</v>
      </c>
      <c r="BK55" s="43">
        <f>BK54*'R&amp;S - Others'!$D$7*'R&amp;S - Others'!$B$12*('R&amp;S - Others'!$B$16+('R&amp;S - Others'!$B$17-'R&amp;S - Others'!$B$16)*(BK$3-$X$3)/10)</f>
        <v>3.0802739188548647</v>
      </c>
      <c r="BL55" s="43">
        <f>BL54*'R&amp;S - Others'!$D$7*'R&amp;S - Others'!$B$12*('R&amp;S - Others'!$B$16+('R&amp;S - Others'!$B$17-'R&amp;S - Others'!$B$16)*(BL$3-$X$3)/10)</f>
        <v>3.1373236760253631</v>
      </c>
      <c r="BM55" s="43">
        <f>BM54*'R&amp;S - Others'!$D$7*'R&amp;S - Others'!$B$12*('R&amp;S - Others'!$B$16+('R&amp;S - Others'!$B$17-'R&amp;S - Others'!$B$16)*(BM$3-$X$3)/10)</f>
        <v>3.1891031593682824</v>
      </c>
      <c r="BN55" s="43">
        <f>BN54*'R&amp;S - Others'!$D$7*'R&amp;S - Others'!$B$12*('R&amp;S - Others'!$B$16+('R&amp;S - Others'!$B$17-'R&amp;S - Others'!$B$16)*(BN$3-$X$3)/10)</f>
        <v>3.235503714817209</v>
      </c>
    </row>
    <row r="56" spans="1:66" outlineLevel="1" x14ac:dyDescent="0.2">
      <c r="B56" s="1" t="s">
        <v>172</v>
      </c>
      <c r="C56" s="54" t="s">
        <v>153</v>
      </c>
      <c r="D56">
        <v>0</v>
      </c>
      <c r="E56" s="43">
        <f>E54*'R&amp;S - Others'!$D$8*'R&amp;S - Others'!$B$11*'R&amp;S - Others'!$C$15*(E$3-$D$3)/10</f>
        <v>5.4573664054640383E-2</v>
      </c>
      <c r="F56" s="43">
        <f>F54*'R&amp;S - Others'!$D$8*'R&amp;S - Others'!$B$11*'R&amp;S - Others'!$C$15*(F$3-$D$3)/10</f>
        <v>0.11562417760125791</v>
      </c>
      <c r="G56" s="43">
        <f>G54*'R&amp;S - Others'!$D$8*'R&amp;S - Others'!$B$11*'R&amp;S - Others'!$C$15*(G$3-$D$3)/10</f>
        <v>0.18345161101187688</v>
      </c>
      <c r="H56" s="43">
        <f>H54*'R&amp;S - Others'!$D$8*'R&amp;S - Others'!$B$11*'R&amp;S - Others'!$C$15*(H$3-$D$3)/10</f>
        <v>0.25836672636587077</v>
      </c>
      <c r="I56" s="43">
        <f>I54*'R&amp;S - Others'!$D$8*'R&amp;S - Others'!$B$11*'R&amp;S - Others'!$C$15*(I$3-$D$3)/10</f>
        <v>0.34069131651348256</v>
      </c>
      <c r="J56" s="43">
        <f>J54*'R&amp;S - Others'!$D$8*'R&amp;S - Others'!$B$11*'R&amp;S - Others'!$C$15*(J$3-$D$3)/10</f>
        <v>0.42016268117269745</v>
      </c>
      <c r="K56" s="43">
        <f>K54*'R&amp;S - Others'!$D$8*'R&amp;S - Others'!$B$11*'R&amp;S - Others'!$C$15*(K$3-$D$3)/10</f>
        <v>0.50368672464262931</v>
      </c>
      <c r="L56" s="43">
        <f>L54*'R&amp;S - Others'!$D$8*'R&amp;S - Others'!$B$11*'R&amp;S - Others'!$C$15*(L$3-$D$3)/10</f>
        <v>0.59138715689462196</v>
      </c>
      <c r="M56" s="43">
        <f>M54*'R&amp;S - Others'!$D$8*'R&amp;S - Others'!$B$11*'R&amp;S - Others'!$C$15*(M$3-$D$3)/10</f>
        <v>0.68339073546621154</v>
      </c>
      <c r="N56" s="43">
        <f>N54*'R&amp;S - Others'!$D$8*'R&amp;S - Others'!$B$11*'R&amp;S - Others'!$C$15*(N$3-$D$3)/10</f>
        <v>0.77982733240949187</v>
      </c>
      <c r="O56" s="43">
        <f>O54*'R&amp;S - Others'!$D$8*'R&amp;S - Others'!$B$11*'R&amp;S - Others'!$C$15*(O$3-$D$3)/10</f>
        <v>0.86385496699018272</v>
      </c>
      <c r="P56" s="43">
        <f>P54*'R&amp;S - Others'!$D$8*'R&amp;S - Others'!$B$11*'R&amp;S - Others'!$C$15*(P$3-$D$3)/10</f>
        <v>0.94901849062885257</v>
      </c>
      <c r="Q56" s="43">
        <f>Q54*'R&amp;S - Others'!$D$8*'R&amp;S - Others'!$B$11*'R&amp;S - Others'!$C$15*(Q$3-$D$3)/10</f>
        <v>1.0353271724341162</v>
      </c>
      <c r="R56" s="43">
        <f>R54*'R&amp;S - Others'!$D$8*'R&amp;S - Others'!$B$11*'R&amp;S - Others'!$C$15*(R$3-$D$3)/10</f>
        <v>1.1227902984282674</v>
      </c>
      <c r="S56" s="43">
        <f>S54*'R&amp;S - Others'!$D$8*'R&amp;S - Others'!$B$11*'R&amp;S - Others'!$C$15*(S$3-$D$3)/10</f>
        <v>1.2114171703586307</v>
      </c>
      <c r="T56" s="43">
        <f>T54*'R&amp;S - Others'!$D$8*'R&amp;S - Others'!$B$11*'R&amp;S - Others'!$C$15*(T$3-$D$3)/10</f>
        <v>1.299462387524714</v>
      </c>
      <c r="U56" s="43">
        <f>U54*'R&amp;S - Others'!$D$8*'R&amp;S - Others'!$B$11*'R&amp;S - Others'!$C$15*(U$3-$D$3)/10</f>
        <v>1.3884354300480386</v>
      </c>
      <c r="V56" s="43">
        <f>V54*'R&amp;S - Others'!$D$8*'R&amp;S - Others'!$B$11*'R&amp;S - Others'!$C$15*(V$3-$D$3)/10</f>
        <v>1.4783388942598539</v>
      </c>
      <c r="W56" s="43">
        <f>W54*'R&amp;S - Others'!$D$8*'R&amp;S - Others'!$B$11*'R&amp;S - Others'!$C$15*(W$3-$D$3)/10</f>
        <v>1.5691752626243094</v>
      </c>
      <c r="X56" s="43">
        <f>X54*'R&amp;S - Others'!$D$8*'R&amp;S - Others'!$B$11*'R&amp;S - Others'!$C$15*(X$3-$D$3)/10</f>
        <v>1.6609469004455835</v>
      </c>
      <c r="Y56" s="43">
        <f>Y54*'R&amp;S - Others'!$D$8*'R&amp;S - Others'!$B$11*('R&amp;S - Others'!$C$16+('R&amp;S - Others'!$C$17-'R&amp;S - Others'!$C$16)*(Y$3-$X$3)/10)</f>
        <v>1.7269156831569292</v>
      </c>
      <c r="Z56" s="43">
        <f>Z54*'R&amp;S - Others'!$D$8*'R&amp;S - Others'!$B$11*('R&amp;S - Others'!$C$16+('R&amp;S - Others'!$C$17-'R&amp;S - Others'!$C$16)*(Z$3-$X$3)/10)</f>
        <v>1.7905835699652171</v>
      </c>
      <c r="AA56" s="43">
        <f>AA54*'R&amp;S - Others'!$D$8*'R&amp;S - Others'!$B$11*('R&amp;S - Others'!$C$16+('R&amp;S - Others'!$C$17-'R&amp;S - Others'!$C$16)*(AA$3-$X$3)/10)</f>
        <v>1.8518921940144439</v>
      </c>
      <c r="AB56" s="43">
        <f>AB54*'R&amp;S - Others'!$D$8*'R&amp;S - Others'!$B$11*('R&amp;S - Others'!$C$16+('R&amp;S - Others'!$C$17-'R&amp;S - Others'!$C$16)*(AB$3-$X$3)/10)</f>
        <v>1.910782236702681</v>
      </c>
      <c r="AC56" s="43">
        <f>AC54*'R&amp;S - Others'!$D$8*'R&amp;S - Others'!$B$11*('R&amp;S - Others'!$C$16+('R&amp;S - Others'!$C$17-'R&amp;S - Others'!$C$16)*(AC$3-$X$3)/10)</f>
        <v>1.9671934142184346</v>
      </c>
      <c r="AD56" s="43">
        <f>AD54*'R&amp;S - Others'!$D$8*'R&amp;S - Others'!$B$11*('R&amp;S - Others'!$C$16+('R&amp;S - Others'!$C$17-'R&amp;S - Others'!$C$16)*(AD$3-$X$3)/10)</f>
        <v>2.0120406146290337</v>
      </c>
      <c r="AE56" s="43">
        <f>AE54*'R&amp;S - Others'!$D$8*'R&amp;S - Others'!$B$11*('R&amp;S - Others'!$C$16+('R&amp;S - Others'!$C$17-'R&amp;S - Others'!$C$16)*(AE$3-$X$3)/10)</f>
        <v>2.0535159459032433</v>
      </c>
      <c r="AF56" s="43">
        <f>AF54*'R&amp;S - Others'!$D$8*'R&amp;S - Others'!$B$11*('R&amp;S - Others'!$C$16+('R&amp;S - Others'!$C$17-'R&amp;S - Others'!$C$16)*(AF$3-$X$3)/10)</f>
        <v>2.0915491173502421</v>
      </c>
      <c r="AG56" s="43">
        <f>AG54*'R&amp;S - Others'!$D$8*'R&amp;S - Others'!$B$11*('R&amp;S - Others'!$C$16+('R&amp;S - Others'!$C$17-'R&amp;S - Others'!$C$16)*(AG$3-$X$3)/10)</f>
        <v>2.1260687729121881</v>
      </c>
      <c r="AH56" s="43">
        <f>AH54*'R&amp;S - Others'!$D$8*'R&amp;S - Others'!$B$11*('R&amp;S - Others'!$C$16+('R&amp;S - Others'!$C$17-'R&amp;S - Others'!$C$16)*(AH$3-$X$3)/10)</f>
        <v>2.1570024765448061</v>
      </c>
      <c r="AJ56">
        <v>0</v>
      </c>
      <c r="AK56" s="43">
        <f>AK54*'R&amp;S - Others'!$D$8*'R&amp;S - Others'!$B$12*'R&amp;S - Others'!$C$15*(AK$3-$D$3)/10</f>
        <v>2.7286832027320192E-2</v>
      </c>
      <c r="AL56" s="43">
        <f>AL54*'R&amp;S - Others'!$D$8*'R&amp;S - Others'!$B$12*'R&amp;S - Others'!$C$15*(AL$3-$D$3)/10</f>
        <v>5.7812088800628957E-2</v>
      </c>
      <c r="AM56" s="43">
        <f>AM54*'R&amp;S - Others'!$D$8*'R&amp;S - Others'!$B$12*'R&amp;S - Others'!$C$15*(AM$3-$D$3)/10</f>
        <v>9.1725805505938438E-2</v>
      </c>
      <c r="AN56" s="43">
        <f>AN54*'R&amp;S - Others'!$D$8*'R&amp;S - Others'!$B$12*'R&amp;S - Others'!$C$15*(AN$3-$D$3)/10</f>
        <v>0.12918336318293538</v>
      </c>
      <c r="AO56" s="43">
        <f>AO54*'R&amp;S - Others'!$D$8*'R&amp;S - Others'!$B$12*'R&amp;S - Others'!$C$15*(AO$3-$D$3)/10</f>
        <v>0.17034565825674128</v>
      </c>
      <c r="AP56" s="43">
        <f>AP54*'R&amp;S - Others'!$D$8*'R&amp;S - Others'!$B$12*'R&amp;S - Others'!$C$15*(AP$3-$D$3)/10</f>
        <v>0.21008134058634872</v>
      </c>
      <c r="AQ56" s="43">
        <f>AQ54*'R&amp;S - Others'!$D$8*'R&amp;S - Others'!$B$12*'R&amp;S - Others'!$C$15*(AQ$3-$D$3)/10</f>
        <v>0.25184336232131466</v>
      </c>
      <c r="AR56" s="43">
        <f>AR54*'R&amp;S - Others'!$D$8*'R&amp;S - Others'!$B$12*'R&amp;S - Others'!$C$15*(AR$3-$D$3)/10</f>
        <v>0.29569357844731098</v>
      </c>
      <c r="AS56" s="43">
        <f>AS54*'R&amp;S - Others'!$D$8*'R&amp;S - Others'!$B$12*'R&amp;S - Others'!$C$15*(AS$3-$D$3)/10</f>
        <v>0.34169536773310577</v>
      </c>
      <c r="AT56" s="43">
        <f>AT54*'R&amp;S - Others'!$D$8*'R&amp;S - Others'!$B$12*'R&amp;S - Others'!$C$15*(AT$3-$D$3)/10</f>
        <v>0.38991366620474593</v>
      </c>
      <c r="AU56" s="43">
        <f>AU54*'R&amp;S - Others'!$D$8*'R&amp;S - Others'!$B$12*'R&amp;S - Others'!$C$15*(AU$3-$D$3)/10</f>
        <v>0.43192748349509136</v>
      </c>
      <c r="AV56" s="43">
        <f>AV54*'R&amp;S - Others'!$D$8*'R&amp;S - Others'!$B$12*'R&amp;S - Others'!$C$15*(AV$3-$D$3)/10</f>
        <v>0.47450924531442629</v>
      </c>
      <c r="AW56" s="43">
        <f>AW54*'R&amp;S - Others'!$D$8*'R&amp;S - Others'!$B$12*'R&amp;S - Others'!$C$15*(AW$3-$D$3)/10</f>
        <v>0.5176635862170581</v>
      </c>
      <c r="AX56" s="43">
        <f>AX54*'R&amp;S - Others'!$D$8*'R&amp;S - Others'!$B$12*'R&amp;S - Others'!$C$15*(AX$3-$D$3)/10</f>
        <v>0.56139514921413369</v>
      </c>
      <c r="AY56" s="43">
        <f>AY54*'R&amp;S - Others'!$D$8*'R&amp;S - Others'!$B$12*'R&amp;S - Others'!$C$15*(AY$3-$D$3)/10</f>
        <v>0.60570858517931536</v>
      </c>
      <c r="AZ56" s="43">
        <f>AZ54*'R&amp;S - Others'!$D$8*'R&amp;S - Others'!$B$12*'R&amp;S - Others'!$C$15*(AZ$3-$D$3)/10</f>
        <v>0.649731193762357</v>
      </c>
      <c r="BA56" s="43">
        <f>BA54*'R&amp;S - Others'!$D$8*'R&amp;S - Others'!$B$12*'R&amp;S - Others'!$C$15*(BA$3-$D$3)/10</f>
        <v>0.6942177150240193</v>
      </c>
      <c r="BB56" s="43">
        <f>BB54*'R&amp;S - Others'!$D$8*'R&amp;S - Others'!$B$12*'R&amp;S - Others'!$C$15*(BB$3-$D$3)/10</f>
        <v>0.73916944712992694</v>
      </c>
      <c r="BC56" s="43">
        <f>BC54*'R&amp;S - Others'!$D$8*'R&amp;S - Others'!$B$12*'R&amp;S - Others'!$C$15*(BC$3-$D$3)/10</f>
        <v>0.7845876313121547</v>
      </c>
      <c r="BD56" s="43">
        <f>BD54*'R&amp;S - Others'!$D$8*'R&amp;S - Others'!$B$12*'R&amp;S - Others'!$C$15*(BD$3-$D$3)/10</f>
        <v>0.83047345022279173</v>
      </c>
      <c r="BE56" s="43">
        <f>BE54*'R&amp;S - Others'!$D$8*'R&amp;S - Others'!$B$12*('R&amp;S - Others'!$C$16+('R&amp;S - Others'!$C$17-'R&amp;S - Others'!$C$16)*(BE$3-$X$3)/10)</f>
        <v>0.86345784157846461</v>
      </c>
      <c r="BF56" s="43">
        <f>BF54*'R&amp;S - Others'!$D$8*'R&amp;S - Others'!$B$12*('R&amp;S - Others'!$C$16+('R&amp;S - Others'!$C$17-'R&amp;S - Others'!$C$16)*(BF$3-$X$3)/10)</f>
        <v>0.89529178498260853</v>
      </c>
      <c r="BG56" s="43">
        <f>BG54*'R&amp;S - Others'!$D$8*'R&amp;S - Others'!$B$12*('R&amp;S - Others'!$C$16+('R&amp;S - Others'!$C$17-'R&amp;S - Others'!$C$16)*(BG$3-$X$3)/10)</f>
        <v>0.92594609700722197</v>
      </c>
      <c r="BH56" s="43">
        <f>BH54*'R&amp;S - Others'!$D$8*'R&amp;S - Others'!$B$12*('R&amp;S - Others'!$C$16+('R&amp;S - Others'!$C$17-'R&amp;S - Others'!$C$16)*(BH$3-$X$3)/10)</f>
        <v>0.9553911183513405</v>
      </c>
      <c r="BI56" s="43">
        <f>BI54*'R&amp;S - Others'!$D$8*'R&amp;S - Others'!$B$12*('R&amp;S - Others'!$C$16+('R&amp;S - Others'!$C$17-'R&amp;S - Others'!$C$16)*(BI$3-$X$3)/10)</f>
        <v>0.98359670710921732</v>
      </c>
      <c r="BJ56" s="43">
        <f>BJ54*'R&amp;S - Others'!$D$8*'R&amp;S - Others'!$B$12*('R&amp;S - Others'!$C$16+('R&amp;S - Others'!$C$17-'R&amp;S - Others'!$C$16)*(BJ$3-$X$3)/10)</f>
        <v>1.0060203073145169</v>
      </c>
      <c r="BK56" s="43">
        <f>BK54*'R&amp;S - Others'!$D$8*'R&amp;S - Others'!$B$12*('R&amp;S - Others'!$C$16+('R&amp;S - Others'!$C$17-'R&amp;S - Others'!$C$16)*(BK$3-$X$3)/10)</f>
        <v>1.0267579729516216</v>
      </c>
      <c r="BL56" s="43">
        <f>BL54*'R&amp;S - Others'!$D$8*'R&amp;S - Others'!$B$12*('R&amp;S - Others'!$C$16+('R&amp;S - Others'!$C$17-'R&amp;S - Others'!$C$16)*(BL$3-$X$3)/10)</f>
        <v>1.045774558675121</v>
      </c>
      <c r="BM56" s="43">
        <f>BM54*'R&amp;S - Others'!$D$8*'R&amp;S - Others'!$B$12*('R&amp;S - Others'!$C$16+('R&amp;S - Others'!$C$17-'R&amp;S - Others'!$C$16)*(BM$3-$X$3)/10)</f>
        <v>1.063034386456094</v>
      </c>
      <c r="BN56" s="43">
        <f>BN54*'R&amp;S - Others'!$D$8*'R&amp;S - Others'!$B$12*('R&amp;S - Others'!$C$16+('R&amp;S - Others'!$C$17-'R&amp;S - Others'!$C$16)*(BN$3-$X$3)/10)</f>
        <v>1.0785012382724031</v>
      </c>
    </row>
    <row r="57" spans="1:66" outlineLevel="1" x14ac:dyDescent="0.2">
      <c r="A57" s="178"/>
      <c r="B57" s="178" t="s">
        <v>197</v>
      </c>
      <c r="C57" s="179" t="s">
        <v>153</v>
      </c>
      <c r="D57" s="180">
        <f>D54-D55-D56</f>
        <v>31.171306671622546</v>
      </c>
      <c r="E57" s="180">
        <f t="shared" ref="E57:AH57" si="44">E54-E55-E56</f>
        <v>32.856653255684691</v>
      </c>
      <c r="F57" s="180">
        <f t="shared" si="44"/>
        <v>34.575132865733735</v>
      </c>
      <c r="G57" s="180">
        <f t="shared" si="44"/>
        <v>36.327125073503375</v>
      </c>
      <c r="H57" s="180">
        <f t="shared" si="44"/>
        <v>38.11300678633512</v>
      </c>
      <c r="I57" s="180">
        <f t="shared" si="44"/>
        <v>39.93315188709547</v>
      </c>
      <c r="J57" s="180">
        <f t="shared" si="44"/>
        <v>40.76002414123824</v>
      </c>
      <c r="K57" s="180">
        <f t="shared" si="44"/>
        <v>41.594493330228559</v>
      </c>
      <c r="L57" s="180">
        <f t="shared" si="44"/>
        <v>42.436508712923178</v>
      </c>
      <c r="M57" s="180">
        <f t="shared" si="44"/>
        <v>43.286015204007981</v>
      </c>
      <c r="N57" s="180">
        <f t="shared" si="44"/>
        <v>44.142953240634263</v>
      </c>
      <c r="O57" s="180">
        <f t="shared" si="44"/>
        <v>44.139895117724265</v>
      </c>
      <c r="P57" s="180">
        <f t="shared" si="44"/>
        <v>44.134152836921594</v>
      </c>
      <c r="Q57" s="180">
        <f t="shared" si="44"/>
        <v>44.125692356143077</v>
      </c>
      <c r="R57" s="180">
        <f t="shared" si="44"/>
        <v>44.114479430887243</v>
      </c>
      <c r="S57" s="180">
        <f t="shared" si="44"/>
        <v>44.100479615883884</v>
      </c>
      <c r="T57" s="180">
        <f t="shared" si="44"/>
        <v>44.02421058341303</v>
      </c>
      <c r="U57" s="180">
        <f t="shared" si="44"/>
        <v>43.944847586333275</v>
      </c>
      <c r="V57" s="180">
        <f t="shared" si="44"/>
        <v>43.862364768410195</v>
      </c>
      <c r="W57" s="180">
        <f t="shared" si="44"/>
        <v>43.776736353786944</v>
      </c>
      <c r="X57" s="180">
        <f t="shared" si="44"/>
        <v>43.687936654144437</v>
      </c>
      <c r="Y57" s="180">
        <f t="shared" si="44"/>
        <v>42.859359836736225</v>
      </c>
      <c r="Z57" s="180">
        <f t="shared" si="44"/>
        <v>42.029522037864872</v>
      </c>
      <c r="AA57" s="180">
        <f t="shared" si="44"/>
        <v>41.198525555029981</v>
      </c>
      <c r="AB57" s="180">
        <f t="shared" si="44"/>
        <v>40.366474990442562</v>
      </c>
      <c r="AC57" s="180">
        <f t="shared" si="44"/>
        <v>39.533477288148781</v>
      </c>
      <c r="AD57" s="180">
        <f t="shared" si="44"/>
        <v>38.526851769007777</v>
      </c>
      <c r="AE57" s="180">
        <f t="shared" si="44"/>
        <v>37.521257951425852</v>
      </c>
      <c r="AF57" s="180">
        <f t="shared" si="44"/>
        <v>36.516831799917533</v>
      </c>
      <c r="AG57" s="180">
        <f t="shared" si="44"/>
        <v>35.513711925166731</v>
      </c>
      <c r="AH57" s="180">
        <f t="shared" si="44"/>
        <v>34.512039624716898</v>
      </c>
      <c r="AJ57" s="180">
        <f>AJ54-AJ55-AJ56</f>
        <v>31.171306671622546</v>
      </c>
      <c r="AK57" s="180">
        <f t="shared" ref="AK57:BN57" si="45">AK54-AK55-AK56</f>
        <v>32.965800583793978</v>
      </c>
      <c r="AL57" s="180">
        <f t="shared" si="45"/>
        <v>34.806381220936245</v>
      </c>
      <c r="AM57" s="180">
        <f t="shared" si="45"/>
        <v>36.694028295527133</v>
      </c>
      <c r="AN57" s="180">
        <f t="shared" si="45"/>
        <v>38.629740239066869</v>
      </c>
      <c r="AO57" s="180">
        <f t="shared" si="45"/>
        <v>40.61453452012244</v>
      </c>
      <c r="AP57" s="180">
        <f t="shared" si="45"/>
        <v>41.600349503583637</v>
      </c>
      <c r="AQ57" s="180">
        <f t="shared" si="45"/>
        <v>42.601866779513813</v>
      </c>
      <c r="AR57" s="180">
        <f t="shared" si="45"/>
        <v>43.619283026712417</v>
      </c>
      <c r="AS57" s="180">
        <f t="shared" si="45"/>
        <v>44.652796674940411</v>
      </c>
      <c r="AT57" s="180">
        <f t="shared" si="45"/>
        <v>45.702607905453242</v>
      </c>
      <c r="AU57" s="180">
        <f t="shared" si="45"/>
        <v>45.867605051704622</v>
      </c>
      <c r="AV57" s="180">
        <f t="shared" si="45"/>
        <v>46.03218981817929</v>
      </c>
      <c r="AW57" s="180">
        <f t="shared" si="45"/>
        <v>46.196346701011301</v>
      </c>
      <c r="AX57" s="180">
        <f t="shared" si="45"/>
        <v>46.360060027743785</v>
      </c>
      <c r="AY57" s="180">
        <f t="shared" si="45"/>
        <v>46.523313956601143</v>
      </c>
      <c r="AZ57" s="180">
        <f t="shared" si="45"/>
        <v>46.623135358462456</v>
      </c>
      <c r="BA57" s="180">
        <f t="shared" si="45"/>
        <v>46.721718446429357</v>
      </c>
      <c r="BB57" s="180">
        <f t="shared" si="45"/>
        <v>46.819042556929908</v>
      </c>
      <c r="BC57" s="180">
        <f t="shared" si="45"/>
        <v>46.915086879035563</v>
      </c>
      <c r="BD57" s="180">
        <f t="shared" si="45"/>
        <v>47.009830455035598</v>
      </c>
      <c r="BE57" s="180">
        <f t="shared" si="45"/>
        <v>46.313191203050089</v>
      </c>
      <c r="BF57" s="180">
        <f t="shared" si="45"/>
        <v>45.610689177795301</v>
      </c>
      <c r="BG57" s="180">
        <f t="shared" si="45"/>
        <v>44.902309943058874</v>
      </c>
      <c r="BH57" s="180">
        <f t="shared" si="45"/>
        <v>44.188039463847915</v>
      </c>
      <c r="BI57" s="180">
        <f t="shared" si="45"/>
        <v>43.467864116585652</v>
      </c>
      <c r="BJ57" s="180">
        <f t="shared" si="45"/>
        <v>42.55093299826585</v>
      </c>
      <c r="BK57" s="180">
        <f t="shared" si="45"/>
        <v>41.628289843232338</v>
      </c>
      <c r="BL57" s="180">
        <f t="shared" si="45"/>
        <v>40.699930034618021</v>
      </c>
      <c r="BM57" s="180">
        <f t="shared" si="45"/>
        <v>39.765849470991114</v>
      </c>
      <c r="BN57" s="180">
        <f t="shared" si="45"/>
        <v>38.826044577806513</v>
      </c>
    </row>
    <row r="58" spans="1:66" s="67" customFormat="1" outlineLevel="1" x14ac:dyDescent="0.2">
      <c r="A58" s="681"/>
      <c r="B58" s="58" t="s">
        <v>7</v>
      </c>
      <c r="C58" s="59" t="s">
        <v>153</v>
      </c>
      <c r="D58" s="60">
        <f>D5-D24-D35-D42-D51</f>
        <v>19.499127736654014</v>
      </c>
      <c r="E58" s="60">
        <f>E$57*$D58/SUM($D$58:$D$60)</f>
        <v>20.553391796526693</v>
      </c>
      <c r="F58" s="60">
        <f t="shared" ref="F58:AH60" si="46">F$57*$D58/SUM($D$58:$D$60)</f>
        <v>21.628382132420672</v>
      </c>
      <c r="G58" s="60">
        <f t="shared" si="46"/>
        <v>22.724336184421421</v>
      </c>
      <c r="H58" s="60">
        <f t="shared" si="46"/>
        <v>23.841489725910996</v>
      </c>
      <c r="I58" s="60">
        <f t="shared" si="46"/>
        <v>24.980076638319169</v>
      </c>
      <c r="J58" s="60">
        <f t="shared" si="46"/>
        <v>25.497324371154928</v>
      </c>
      <c r="K58" s="60">
        <f t="shared" si="46"/>
        <v>26.019324346319177</v>
      </c>
      <c r="L58" s="60">
        <f t="shared" si="46"/>
        <v>26.546044822825124</v>
      </c>
      <c r="M58" s="60">
        <f t="shared" si="46"/>
        <v>27.07745134220146</v>
      </c>
      <c r="N58" s="60">
        <f t="shared" si="46"/>
        <v>27.613506645067073</v>
      </c>
      <c r="O58" s="60">
        <f t="shared" si="46"/>
        <v>27.611593644438493</v>
      </c>
      <c r="P58" s="60">
        <f t="shared" si="46"/>
        <v>27.608001576000341</v>
      </c>
      <c r="Q58" s="60">
        <f t="shared" si="46"/>
        <v>27.602709144818302</v>
      </c>
      <c r="R58" s="60">
        <f t="shared" si="46"/>
        <v>27.595694929335828</v>
      </c>
      <c r="S58" s="60">
        <f t="shared" si="46"/>
        <v>27.586937382406024</v>
      </c>
      <c r="T58" s="60">
        <f t="shared" si="46"/>
        <v>27.539227492597199</v>
      </c>
      <c r="U58" s="60">
        <f t="shared" si="46"/>
        <v>27.489582181480657</v>
      </c>
      <c r="V58" s="60">
        <f t="shared" si="46"/>
        <v>27.437985274757928</v>
      </c>
      <c r="W58" s="60">
        <f t="shared" si="46"/>
        <v>27.384420648410519</v>
      </c>
      <c r="X58" s="60">
        <f t="shared" si="46"/>
        <v>27.328872233178952</v>
      </c>
      <c r="Y58" s="60">
        <f t="shared" si="46"/>
        <v>26.810558215339547</v>
      </c>
      <c r="Z58" s="60">
        <f t="shared" si="46"/>
        <v>26.291455393909636</v>
      </c>
      <c r="AA58" s="60">
        <f t="shared" si="46"/>
        <v>25.771627760817207</v>
      </c>
      <c r="AB58" s="60">
        <f t="shared" si="46"/>
        <v>25.251140749696326</v>
      </c>
      <c r="AC58" s="60">
        <f t="shared" si="46"/>
        <v>24.730061259109792</v>
      </c>
      <c r="AD58" s="60">
        <f t="shared" si="46"/>
        <v>24.100369350859594</v>
      </c>
      <c r="AE58" s="60">
        <f t="shared" si="46"/>
        <v>23.47132282076754</v>
      </c>
      <c r="AF58" s="60">
        <f t="shared" si="46"/>
        <v>22.843006721072992</v>
      </c>
      <c r="AG58" s="60">
        <f t="shared" si="46"/>
        <v>22.215507759319518</v>
      </c>
      <c r="AH58" s="60">
        <f t="shared" si="46"/>
        <v>21.588914323808506</v>
      </c>
      <c r="AJ58" s="60">
        <f>AJ5-AJ24-AJ35-AJ42-AJ51</f>
        <v>19.499127736654014</v>
      </c>
      <c r="AK58" s="60">
        <f>AK$57*$D58/SUM($D$58:$D$60)</f>
        <v>20.621668616466845</v>
      </c>
      <c r="AL58" s="60">
        <f t="shared" ref="AL58:BN60" si="47">AL$57*$D58/SUM($D$58:$D$60)</f>
        <v>21.773038924145411</v>
      </c>
      <c r="AM58" s="60">
        <f t="shared" si="47"/>
        <v>22.953851516216744</v>
      </c>
      <c r="AN58" s="60">
        <f t="shared" si="47"/>
        <v>24.164730958842416</v>
      </c>
      <c r="AO58" s="60">
        <f t="shared" si="47"/>
        <v>25.406313726770325</v>
      </c>
      <c r="AP58" s="60">
        <f t="shared" si="47"/>
        <v>26.022987659939673</v>
      </c>
      <c r="AQ58" s="60">
        <f t="shared" si="47"/>
        <v>26.649484120275954</v>
      </c>
      <c r="AR58" s="60">
        <f t="shared" si="47"/>
        <v>27.285926139677514</v>
      </c>
      <c r="AS58" s="60">
        <f t="shared" si="47"/>
        <v>27.932437845351991</v>
      </c>
      <c r="AT58" s="60">
        <f>AT$57*$D58/SUM($D$58:$D$60)</f>
        <v>28.589144460149736</v>
      </c>
      <c r="AU58" s="60">
        <f t="shared" si="47"/>
        <v>28.692357984845128</v>
      </c>
      <c r="AV58" s="60">
        <f t="shared" si="47"/>
        <v>28.795313546471245</v>
      </c>
      <c r="AW58" s="60">
        <f t="shared" si="47"/>
        <v>28.898001446626115</v>
      </c>
      <c r="AX58" s="60">
        <f t="shared" si="47"/>
        <v>29.000411881446141</v>
      </c>
      <c r="AY58" s="60">
        <f t="shared" si="47"/>
        <v>29.102534941150861</v>
      </c>
      <c r="AZ58" s="60">
        <f t="shared" si="47"/>
        <v>29.164977952804186</v>
      </c>
      <c r="BA58" s="60">
        <f t="shared" si="47"/>
        <v>29.226646340504161</v>
      </c>
      <c r="BB58" s="60">
        <f t="shared" si="47"/>
        <v>29.287527178208475</v>
      </c>
      <c r="BC58" s="60">
        <f t="shared" si="47"/>
        <v>29.347607447696294</v>
      </c>
      <c r="BD58" s="60">
        <f t="shared" si="47"/>
        <v>29.40687403892758</v>
      </c>
      <c r="BE58" s="60">
        <f t="shared" si="47"/>
        <v>28.971093213185075</v>
      </c>
      <c r="BF58" s="60">
        <f t="shared" si="47"/>
        <v>28.531644945263356</v>
      </c>
      <c r="BG58" s="60">
        <f t="shared" si="47"/>
        <v>28.088520204628292</v>
      </c>
      <c r="BH58" s="60">
        <f t="shared" si="47"/>
        <v>27.641710211727517</v>
      </c>
      <c r="BI58" s="60">
        <f t="shared" si="47"/>
        <v>27.19120644436892</v>
      </c>
      <c r="BJ58" s="60">
        <f t="shared" si="47"/>
        <v>26.617622629285943</v>
      </c>
      <c r="BK58" s="60">
        <f t="shared" si="47"/>
        <v>26.040465664873985</v>
      </c>
      <c r="BL58" s="60">
        <f t="shared" si="47"/>
        <v>25.459732663064148</v>
      </c>
      <c r="BM58" s="60">
        <f t="shared" si="47"/>
        <v>24.875421058216727</v>
      </c>
      <c r="BN58" s="60">
        <f t="shared" si="47"/>
        <v>24.287528614284572</v>
      </c>
    </row>
    <row r="59" spans="1:66" outlineLevel="1" x14ac:dyDescent="0.2">
      <c r="A59" s="682"/>
      <c r="B59" s="1" t="s">
        <v>8</v>
      </c>
      <c r="C59" s="54" t="s">
        <v>153</v>
      </c>
      <c r="D59" s="44">
        <f>D6-D9-D25-D36-D43-D52</f>
        <v>10.725172954523309</v>
      </c>
      <c r="E59" s="44">
        <f t="shared" ref="E59:T60" si="48">E$57*$D59/SUM($D$58:$D$60)</f>
        <v>11.305053477107787</v>
      </c>
      <c r="F59" s="44">
        <f t="shared" si="48"/>
        <v>11.896334145279996</v>
      </c>
      <c r="G59" s="44">
        <f t="shared" si="48"/>
        <v>12.499145559034837</v>
      </c>
      <c r="H59" s="44">
        <f t="shared" si="48"/>
        <v>13.113617401624545</v>
      </c>
      <c r="I59" s="44">
        <f t="shared" si="48"/>
        <v>13.739878315664274</v>
      </c>
      <c r="J59" s="44">
        <f t="shared" si="48"/>
        <v>14.024381882691552</v>
      </c>
      <c r="K59" s="44">
        <f t="shared" si="48"/>
        <v>14.31149934207254</v>
      </c>
      <c r="L59" s="44">
        <f t="shared" si="48"/>
        <v>14.601213235202026</v>
      </c>
      <c r="M59" s="44">
        <f t="shared" si="48"/>
        <v>14.893504608767358</v>
      </c>
      <c r="N59" s="44">
        <f t="shared" si="48"/>
        <v>15.188352968861725</v>
      </c>
      <c r="O59" s="44">
        <f t="shared" si="48"/>
        <v>15.187300754481642</v>
      </c>
      <c r="P59" s="44">
        <f t="shared" si="48"/>
        <v>15.18532499660242</v>
      </c>
      <c r="Q59" s="44">
        <f t="shared" si="48"/>
        <v>15.182413982297374</v>
      </c>
      <c r="R59" s="44">
        <f t="shared" si="48"/>
        <v>15.17855592899336</v>
      </c>
      <c r="S59" s="44">
        <f t="shared" si="48"/>
        <v>15.173738985038327</v>
      </c>
      <c r="T59" s="44">
        <f t="shared" si="48"/>
        <v>15.147496948637947</v>
      </c>
      <c r="U59" s="44">
        <f t="shared" si="46"/>
        <v>15.120190365733466</v>
      </c>
      <c r="V59" s="44">
        <f t="shared" si="46"/>
        <v>15.091810339919315</v>
      </c>
      <c r="W59" s="44">
        <f t="shared" si="46"/>
        <v>15.062348002445599</v>
      </c>
      <c r="X59" s="44">
        <f t="shared" si="46"/>
        <v>15.031794514681717</v>
      </c>
      <c r="Y59" s="44">
        <f t="shared" si="46"/>
        <v>14.746704455210399</v>
      </c>
      <c r="Z59" s="44">
        <f t="shared" si="46"/>
        <v>14.461180527360478</v>
      </c>
      <c r="AA59" s="44">
        <f t="shared" si="46"/>
        <v>14.175257928834361</v>
      </c>
      <c r="AB59" s="44">
        <f t="shared" si="46"/>
        <v>13.888972650321064</v>
      </c>
      <c r="AC59" s="44">
        <f t="shared" si="46"/>
        <v>13.602361488269439</v>
      </c>
      <c r="AD59" s="44">
        <f t="shared" si="46"/>
        <v>13.256009860891155</v>
      </c>
      <c r="AE59" s="44">
        <f t="shared" si="46"/>
        <v>12.910013213102756</v>
      </c>
      <c r="AF59" s="44">
        <f t="shared" si="46"/>
        <v>12.564418326482876</v>
      </c>
      <c r="AG59" s="44">
        <f t="shared" si="46"/>
        <v>12.219272893082856</v>
      </c>
      <c r="AH59" s="44">
        <f t="shared" si="46"/>
        <v>11.874625529427101</v>
      </c>
      <c r="AJ59" s="44">
        <f>AJ6-AJ9-AJ25-AJ36-AJ43-AJ52</f>
        <v>10.725172954523309</v>
      </c>
      <c r="AK59" s="44">
        <f t="shared" ref="AK59:AZ60" si="49">AK$57*$D59/SUM($D$58:$D$60)</f>
        <v>11.342608013522582</v>
      </c>
      <c r="AL59" s="44">
        <f t="shared" si="49"/>
        <v>11.975900222862936</v>
      </c>
      <c r="AM59" s="44">
        <f t="shared" si="49"/>
        <v>12.625386674148535</v>
      </c>
      <c r="AN59" s="44">
        <f t="shared" si="49"/>
        <v>13.291410899674512</v>
      </c>
      <c r="AO59" s="44">
        <f t="shared" si="49"/>
        <v>13.9743229818571</v>
      </c>
      <c r="AP59" s="44">
        <f t="shared" si="49"/>
        <v>14.313514287186859</v>
      </c>
      <c r="AQ59" s="44">
        <f t="shared" si="49"/>
        <v>14.658108311250434</v>
      </c>
      <c r="AR59" s="44">
        <f t="shared" si="49"/>
        <v>15.008172725710189</v>
      </c>
      <c r="AS59" s="44">
        <f t="shared" si="49"/>
        <v>15.363775804685275</v>
      </c>
      <c r="AT59" s="44">
        <f t="shared" si="49"/>
        <v>15.724986424934997</v>
      </c>
      <c r="AU59" s="44">
        <f t="shared" si="49"/>
        <v>15.781757318410561</v>
      </c>
      <c r="AV59" s="44">
        <f t="shared" si="49"/>
        <v>15.838386323563164</v>
      </c>
      <c r="AW59" s="44">
        <f t="shared" si="49"/>
        <v>15.894868105947074</v>
      </c>
      <c r="AX59" s="44">
        <f t="shared" si="49"/>
        <v>15.951197273109154</v>
      </c>
      <c r="AY59" s="44">
        <f t="shared" si="49"/>
        <v>16.007368374338434</v>
      </c>
      <c r="AZ59" s="44">
        <f t="shared" si="49"/>
        <v>16.041714120918897</v>
      </c>
      <c r="BA59" s="44">
        <f t="shared" si="47"/>
        <v>16.075633798395831</v>
      </c>
      <c r="BB59" s="44">
        <f t="shared" si="47"/>
        <v>16.109120297013288</v>
      </c>
      <c r="BC59" s="44">
        <f t="shared" si="47"/>
        <v>16.14216645631404</v>
      </c>
      <c r="BD59" s="44">
        <f t="shared" si="47"/>
        <v>16.174765065337237</v>
      </c>
      <c r="BE59" s="44">
        <f t="shared" si="47"/>
        <v>15.935071024174176</v>
      </c>
      <c r="BF59" s="44">
        <f t="shared" si="47"/>
        <v>15.693359767051303</v>
      </c>
      <c r="BG59" s="44">
        <f t="shared" si="47"/>
        <v>15.449626326872563</v>
      </c>
      <c r="BH59" s="44">
        <f t="shared" si="47"/>
        <v>15.203865874590278</v>
      </c>
      <c r="BI59" s="44">
        <f t="shared" si="47"/>
        <v>14.956073722713521</v>
      </c>
      <c r="BJ59" s="44">
        <f t="shared" si="47"/>
        <v>14.640583424697969</v>
      </c>
      <c r="BK59" s="44">
        <f t="shared" si="47"/>
        <v>14.323127774946524</v>
      </c>
      <c r="BL59" s="44">
        <f t="shared" si="47"/>
        <v>14.003705184924621</v>
      </c>
      <c r="BM59" s="44">
        <f t="shared" si="47"/>
        <v>13.682314243444537</v>
      </c>
      <c r="BN59" s="44">
        <f>BN$57*$D59/SUM($D$58:$D$60)</f>
        <v>13.35895372060549</v>
      </c>
    </row>
    <row r="60" spans="1:66" s="68" customFormat="1" outlineLevel="1" x14ac:dyDescent="0.2">
      <c r="A60" s="683"/>
      <c r="B60" s="62" t="s">
        <v>166</v>
      </c>
      <c r="C60" s="283" t="s">
        <v>153</v>
      </c>
      <c r="D60" s="284">
        <f>D7-D26-D37-D44-D53</f>
        <v>0.94700598044522621</v>
      </c>
      <c r="E60" s="284">
        <f t="shared" si="48"/>
        <v>0.99820798205020744</v>
      </c>
      <c r="F60" s="284">
        <f t="shared" si="46"/>
        <v>1.0504165880330671</v>
      </c>
      <c r="G60" s="284">
        <f t="shared" si="46"/>
        <v>1.1036433300471169</v>
      </c>
      <c r="H60" s="284">
        <f t="shared" si="46"/>
        <v>1.1578996587995811</v>
      </c>
      <c r="I60" s="284">
        <f t="shared" si="46"/>
        <v>1.2131969331120283</v>
      </c>
      <c r="J60" s="284">
        <f t="shared" si="46"/>
        <v>1.2383178873917633</v>
      </c>
      <c r="K60" s="284">
        <f t="shared" si="46"/>
        <v>1.2636696418368385</v>
      </c>
      <c r="L60" s="284">
        <f t="shared" si="46"/>
        <v>1.2892506548960248</v>
      </c>
      <c r="M60" s="284">
        <f t="shared" si="46"/>
        <v>1.3150592530391605</v>
      </c>
      <c r="N60" s="284">
        <f t="shared" si="46"/>
        <v>1.3410936267054678</v>
      </c>
      <c r="O60" s="284">
        <f t="shared" si="46"/>
        <v>1.3410007188041335</v>
      </c>
      <c r="P60" s="284">
        <f t="shared" si="46"/>
        <v>1.3408262643188336</v>
      </c>
      <c r="Q60" s="284">
        <f t="shared" si="46"/>
        <v>1.3405692290274003</v>
      </c>
      <c r="R60" s="284">
        <f t="shared" si="46"/>
        <v>1.3402285725580574</v>
      </c>
      <c r="S60" s="284">
        <f t="shared" si="46"/>
        <v>1.3398032484395346</v>
      </c>
      <c r="T60" s="284">
        <f t="shared" si="46"/>
        <v>1.3374861421778834</v>
      </c>
      <c r="U60" s="284">
        <f t="shared" si="46"/>
        <v>1.3350750391191524</v>
      </c>
      <c r="V60" s="284">
        <f t="shared" si="46"/>
        <v>1.332569153732954</v>
      </c>
      <c r="W60" s="284">
        <f t="shared" si="46"/>
        <v>1.3299677029308263</v>
      </c>
      <c r="X60" s="284">
        <f t="shared" si="46"/>
        <v>1.3272699062837658</v>
      </c>
      <c r="Y60" s="284">
        <f t="shared" si="46"/>
        <v>1.3020971661862779</v>
      </c>
      <c r="Z60" s="284">
        <f t="shared" si="46"/>
        <v>1.2768861165947605</v>
      </c>
      <c r="AA60" s="284">
        <f t="shared" si="46"/>
        <v>1.2516398653784131</v>
      </c>
      <c r="AB60" s="284">
        <f t="shared" si="46"/>
        <v>1.2263615904251706</v>
      </c>
      <c r="AC60" s="284">
        <f t="shared" si="46"/>
        <v>1.2010545407695497</v>
      </c>
      <c r="AD60" s="284">
        <f t="shared" si="46"/>
        <v>1.1704725572570283</v>
      </c>
      <c r="AE60" s="284">
        <f t="shared" si="46"/>
        <v>1.1399219175555562</v>
      </c>
      <c r="AF60" s="284">
        <f t="shared" si="46"/>
        <v>1.1094067523616666</v>
      </c>
      <c r="AG60" s="284">
        <f t="shared" si="46"/>
        <v>1.0789312727643579</v>
      </c>
      <c r="AH60" s="284">
        <f t="shared" si="46"/>
        <v>1.0484997714812923</v>
      </c>
      <c r="AJ60" s="284">
        <f>AJ7-AJ26-AJ37-AJ44-AJ53</f>
        <v>0.94700598044522621</v>
      </c>
      <c r="AK60" s="284">
        <f t="shared" si="49"/>
        <v>1.0015239538045519</v>
      </c>
      <c r="AL60" s="284">
        <f t="shared" si="47"/>
        <v>1.0574420739278969</v>
      </c>
      <c r="AM60" s="284">
        <f t="shared" si="47"/>
        <v>1.1147901051618554</v>
      </c>
      <c r="AN60" s="284">
        <f t="shared" si="47"/>
        <v>1.1735983805499453</v>
      </c>
      <c r="AO60" s="284">
        <f t="shared" si="47"/>
        <v>1.2338978114950154</v>
      </c>
      <c r="AP60" s="284">
        <f t="shared" si="47"/>
        <v>1.2638475564571077</v>
      </c>
      <c r="AQ60" s="284">
        <f t="shared" si="47"/>
        <v>1.2942743479874266</v>
      </c>
      <c r="AR60" s="284">
        <f t="shared" si="47"/>
        <v>1.3251841613247146</v>
      </c>
      <c r="AS60" s="284">
        <f t="shared" si="47"/>
        <v>1.3565830249031443</v>
      </c>
      <c r="AT60" s="284">
        <f t="shared" si="47"/>
        <v>1.3884770203685088</v>
      </c>
      <c r="AU60" s="284">
        <f t="shared" si="47"/>
        <v>1.3934897484489359</v>
      </c>
      <c r="AV60" s="284">
        <f t="shared" si="47"/>
        <v>1.3984899481448823</v>
      </c>
      <c r="AW60" s="284">
        <f t="shared" si="47"/>
        <v>1.4034771484381148</v>
      </c>
      <c r="AX60" s="284">
        <f t="shared" si="47"/>
        <v>1.4084508731884919</v>
      </c>
      <c r="AY60" s="284">
        <f t="shared" si="47"/>
        <v>1.413410641111851</v>
      </c>
      <c r="AZ60" s="284">
        <f t="shared" si="47"/>
        <v>1.4164432847393684</v>
      </c>
      <c r="BA60" s="284">
        <f t="shared" si="47"/>
        <v>1.4194383075293626</v>
      </c>
      <c r="BB60" s="284">
        <f t="shared" si="47"/>
        <v>1.4223950817081443</v>
      </c>
      <c r="BC60" s="284">
        <f t="shared" si="47"/>
        <v>1.4253129750252269</v>
      </c>
      <c r="BD60" s="284">
        <f t="shared" si="47"/>
        <v>1.4281913507707802</v>
      </c>
      <c r="BE60" s="284">
        <f t="shared" si="47"/>
        <v>1.4070269656908387</v>
      </c>
      <c r="BF60" s="284">
        <f t="shared" si="47"/>
        <v>1.3856844654806435</v>
      </c>
      <c r="BG60" s="284">
        <f t="shared" si="47"/>
        <v>1.3641634115580203</v>
      </c>
      <c r="BH60" s="284">
        <f t="shared" si="47"/>
        <v>1.3424633775301225</v>
      </c>
      <c r="BI60" s="284">
        <f t="shared" si="47"/>
        <v>1.3205839495032099</v>
      </c>
      <c r="BJ60" s="284">
        <f t="shared" si="47"/>
        <v>1.2927269442819405</v>
      </c>
      <c r="BK60" s="284">
        <f t="shared" si="47"/>
        <v>1.2646964034118324</v>
      </c>
      <c r="BL60" s="284">
        <f t="shared" si="47"/>
        <v>1.2364921866292518</v>
      </c>
      <c r="BM60" s="284">
        <f t="shared" si="47"/>
        <v>1.2081141693298478</v>
      </c>
      <c r="BN60" s="284">
        <f t="shared" si="47"/>
        <v>1.1795622429164538</v>
      </c>
    </row>
    <row r="61" spans="1:66" s="67" customFormat="1" outlineLevel="2" x14ac:dyDescent="0.2">
      <c r="B61" s="58" t="s">
        <v>210</v>
      </c>
      <c r="C61" s="59" t="s">
        <v>153</v>
      </c>
      <c r="D61" s="60">
        <f>SUM('Demand - Wind'!D39:D40)/1000000</f>
        <v>0</v>
      </c>
      <c r="E61" s="60">
        <f>SUM('Demand - Wind'!E39:E40)/1000000</f>
        <v>0.10207605214743869</v>
      </c>
      <c r="F61" s="60">
        <f>SUM('Demand - Wind'!F39:F40)/1000000</f>
        <v>0.11283069933449395</v>
      </c>
      <c r="G61" s="60">
        <f>SUM('Demand - Wind'!G39:G40)/1000000</f>
        <v>0.12471844712335328</v>
      </c>
      <c r="H61" s="60">
        <f>SUM('Demand - Wind'!H39:H40)/1000000</f>
        <v>0.13785867804246943</v>
      </c>
      <c r="I61" s="60">
        <f>SUM('Demand - Wind'!I39:I40)/1000000</f>
        <v>0.15238335266330116</v>
      </c>
      <c r="J61" s="60">
        <f>SUM('Demand - Wind'!J39:J40)/1000000</f>
        <v>0.16843833481236897</v>
      </c>
      <c r="K61" s="60">
        <f>SUM('Demand - Wind'!K39:K40)/1000000</f>
        <v>0.18618485640653884</v>
      </c>
      <c r="L61" s="60">
        <f>SUM('Demand - Wind'!L39:L40)/1000000</f>
        <v>0.20580113662212429</v>
      </c>
      <c r="M61" s="60">
        <f>SUM('Demand - Wind'!M39:M40)/1000000</f>
        <v>0.22748417165828558</v>
      </c>
      <c r="N61" s="60">
        <f>SUM('Demand - Wind'!N39:N40)/1000000</f>
        <v>0.25145171306839664</v>
      </c>
      <c r="O61" s="60">
        <f>SUM('Demand - Wind'!O39:O40)/1000000</f>
        <v>0.27794445452674793</v>
      </c>
      <c r="P61" s="60">
        <f>SUM('Demand - Wind'!P39:P40)/1000000</f>
        <v>0.30722844899115082</v>
      </c>
      <c r="Q61" s="60">
        <f>SUM('Demand - Wind'!Q39:Q40)/1000000</f>
        <v>0.33959778053576828</v>
      </c>
      <c r="R61" s="60">
        <f>SUM('Demand - Wind'!R39:R40)/1000000</f>
        <v>0.37537751768600508</v>
      </c>
      <c r="S61" s="60">
        <f>SUM('Demand - Wind'!S39:S40)/1000000</f>
        <v>0.41492697791429156</v>
      </c>
      <c r="T61" s="60">
        <f>SUM('Demand - Wind'!T39:T40)/1000000</f>
        <v>0.45864333608039493</v>
      </c>
      <c r="U61" s="60">
        <f>SUM('Demand - Wind'!U39:U40)/1000000</f>
        <v>0.50696561305398036</v>
      </c>
      <c r="V61" s="60">
        <f>SUM('Demand - Wind'!V39:V40)/1000000</f>
        <v>0.56037908457509278</v>
      </c>
      <c r="W61" s="60">
        <f>SUM('Demand - Wind'!W39:W40)/1000000</f>
        <v>0.61942015462848088</v>
      </c>
      <c r="X61" s="60">
        <f>SUM('Demand - Wind'!X39:X40)/1000000</f>
        <v>0.68468174227254908</v>
      </c>
      <c r="Y61" s="60">
        <f>SUM('Demand - Wind'!Y39:Y40)/1000000</f>
        <v>0.75681923602009127</v>
      </c>
      <c r="Z61" s="60">
        <f>SUM('Demand - Wind'!Z39:Z40)/1000000</f>
        <v>0.83655707556757186</v>
      </c>
      <c r="AA61" s="60">
        <f>SUM('Demand - Wind'!AA39:AA40)/1000000</f>
        <v>0.92469602696989528</v>
      </c>
      <c r="AB61" s="60">
        <f>SUM('Demand - Wind'!AB39:AB40)/1000000</f>
        <v>1.0221212243214615</v>
      </c>
      <c r="AC61" s="60">
        <f>SUM('Demand - Wind'!AC39:AC40)/1000000</f>
        <v>1.1298110587020151</v>
      </c>
      <c r="AD61" s="60">
        <f>SUM('Demand - Wind'!AD39:AD40)/1000000</f>
        <v>1.2488470036543438</v>
      </c>
      <c r="AE61" s="60">
        <f>SUM('Demand - Wind'!AE39:AE40)/1000000</f>
        <v>1.3804244758660842</v>
      </c>
      <c r="AF61" s="60">
        <f>SUM('Demand - Wind'!AF39:AF40)/1000000</f>
        <v>1.5258648401238244</v>
      </c>
      <c r="AG61" s="60">
        <f>SUM('Demand - Wind'!AG39:AG40)/1000000</f>
        <v>1.6866286790991145</v>
      </c>
      <c r="AH61" s="60">
        <f>SUM('Demand - Wind'!AH39:AH40)/1000000</f>
        <v>1.8643304612279947</v>
      </c>
      <c r="AJ61" s="60">
        <f>D61</f>
        <v>0</v>
      </c>
      <c r="AK61" s="60">
        <f t="shared" ref="AK61:BN62" si="50">E61</f>
        <v>0.10207605214743869</v>
      </c>
      <c r="AL61" s="60">
        <f t="shared" si="50"/>
        <v>0.11283069933449395</v>
      </c>
      <c r="AM61" s="60">
        <f t="shared" si="50"/>
        <v>0.12471844712335328</v>
      </c>
      <c r="AN61" s="60">
        <f t="shared" si="50"/>
        <v>0.13785867804246943</v>
      </c>
      <c r="AO61" s="60">
        <f t="shared" si="50"/>
        <v>0.15238335266330116</v>
      </c>
      <c r="AP61" s="60">
        <f t="shared" si="50"/>
        <v>0.16843833481236897</v>
      </c>
      <c r="AQ61" s="60">
        <f t="shared" si="50"/>
        <v>0.18618485640653884</v>
      </c>
      <c r="AR61" s="60">
        <f t="shared" si="50"/>
        <v>0.20580113662212429</v>
      </c>
      <c r="AS61" s="60">
        <f t="shared" si="50"/>
        <v>0.22748417165828558</v>
      </c>
      <c r="AT61" s="60">
        <f t="shared" si="50"/>
        <v>0.25145171306839664</v>
      </c>
      <c r="AU61" s="60">
        <f t="shared" si="50"/>
        <v>0.27794445452674793</v>
      </c>
      <c r="AV61" s="60">
        <f t="shared" si="50"/>
        <v>0.30722844899115082</v>
      </c>
      <c r="AW61" s="60">
        <f t="shared" si="50"/>
        <v>0.33959778053576828</v>
      </c>
      <c r="AX61" s="60">
        <f t="shared" si="50"/>
        <v>0.37537751768600508</v>
      </c>
      <c r="AY61" s="60">
        <f t="shared" si="50"/>
        <v>0.41492697791429156</v>
      </c>
      <c r="AZ61" s="60">
        <f t="shared" si="50"/>
        <v>0.45864333608039493</v>
      </c>
      <c r="BA61" s="60">
        <f t="shared" si="50"/>
        <v>0.50696561305398036</v>
      </c>
      <c r="BB61" s="60">
        <f t="shared" si="50"/>
        <v>0.56037908457509278</v>
      </c>
      <c r="BC61" s="60">
        <f t="shared" si="50"/>
        <v>0.61942015462848088</v>
      </c>
      <c r="BD61" s="60">
        <f t="shared" si="50"/>
        <v>0.68468174227254908</v>
      </c>
      <c r="BE61" s="60">
        <f t="shared" si="50"/>
        <v>0.75681923602009127</v>
      </c>
      <c r="BF61" s="60">
        <f t="shared" si="50"/>
        <v>0.83655707556757186</v>
      </c>
      <c r="BG61" s="60">
        <f t="shared" si="50"/>
        <v>0.92469602696989528</v>
      </c>
      <c r="BH61" s="60">
        <f t="shared" si="50"/>
        <v>1.0221212243214615</v>
      </c>
      <c r="BI61" s="60">
        <f t="shared" si="50"/>
        <v>1.1298110587020151</v>
      </c>
      <c r="BJ61" s="60">
        <f t="shared" si="50"/>
        <v>1.2488470036543438</v>
      </c>
      <c r="BK61" s="60">
        <f t="shared" si="50"/>
        <v>1.3804244758660842</v>
      </c>
      <c r="BL61" s="60">
        <f t="shared" si="50"/>
        <v>1.5258648401238244</v>
      </c>
      <c r="BM61" s="60">
        <f t="shared" si="50"/>
        <v>1.6866286790991145</v>
      </c>
      <c r="BN61" s="60">
        <f t="shared" si="50"/>
        <v>1.8643304612279947</v>
      </c>
    </row>
    <row r="62" spans="1:66" outlineLevel="2" x14ac:dyDescent="0.2">
      <c r="B62" s="1" t="s">
        <v>211</v>
      </c>
      <c r="C62" s="54" t="s">
        <v>153</v>
      </c>
      <c r="D62" s="44">
        <v>0</v>
      </c>
      <c r="E62" s="44">
        <v>0</v>
      </c>
      <c r="F62" s="44">
        <v>0</v>
      </c>
      <c r="G62" s="44">
        <v>0</v>
      </c>
      <c r="H62" s="44">
        <v>0</v>
      </c>
      <c r="I62" s="44">
        <v>0</v>
      </c>
      <c r="J62" s="44">
        <v>0</v>
      </c>
      <c r="K62" s="44">
        <v>0</v>
      </c>
      <c r="L62" s="44">
        <v>0</v>
      </c>
      <c r="M62" s="44">
        <v>0</v>
      </c>
      <c r="N62" s="44">
        <v>0</v>
      </c>
      <c r="O62" s="44">
        <v>0</v>
      </c>
      <c r="P62" s="44">
        <v>0</v>
      </c>
      <c r="Q62" s="44">
        <v>0</v>
      </c>
      <c r="R62" s="44">
        <v>0</v>
      </c>
      <c r="S62" s="44">
        <v>0</v>
      </c>
      <c r="T62" s="44">
        <v>0</v>
      </c>
      <c r="U62" s="44">
        <v>0</v>
      </c>
      <c r="V62" s="44">
        <v>0</v>
      </c>
      <c r="W62" s="44">
        <v>0</v>
      </c>
      <c r="X62" s="44">
        <v>0</v>
      </c>
      <c r="Y62" s="44">
        <v>0</v>
      </c>
      <c r="Z62" s="44">
        <v>0</v>
      </c>
      <c r="AA62" s="44">
        <v>0</v>
      </c>
      <c r="AB62" s="44">
        <v>0</v>
      </c>
      <c r="AC62" s="44">
        <v>0</v>
      </c>
      <c r="AD62" s="44">
        <v>0</v>
      </c>
      <c r="AE62" s="44">
        <v>0</v>
      </c>
      <c r="AF62" s="44">
        <v>0</v>
      </c>
      <c r="AG62" s="44">
        <v>0</v>
      </c>
      <c r="AH62" s="44">
        <v>0</v>
      </c>
      <c r="AJ62" s="44">
        <f>D62</f>
        <v>0</v>
      </c>
      <c r="AK62" s="44">
        <f t="shared" si="50"/>
        <v>0</v>
      </c>
      <c r="AL62" s="44">
        <f t="shared" si="50"/>
        <v>0</v>
      </c>
      <c r="AM62" s="44">
        <f t="shared" si="50"/>
        <v>0</v>
      </c>
      <c r="AN62" s="44">
        <f t="shared" si="50"/>
        <v>0</v>
      </c>
      <c r="AO62" s="44">
        <f t="shared" si="50"/>
        <v>0</v>
      </c>
      <c r="AP62" s="44">
        <f t="shared" si="50"/>
        <v>0</v>
      </c>
      <c r="AQ62" s="44">
        <f t="shared" si="50"/>
        <v>0</v>
      </c>
      <c r="AR62" s="44">
        <f t="shared" si="50"/>
        <v>0</v>
      </c>
      <c r="AS62" s="44">
        <f t="shared" si="50"/>
        <v>0</v>
      </c>
      <c r="AT62" s="44">
        <f t="shared" si="50"/>
        <v>0</v>
      </c>
      <c r="AU62" s="44">
        <f t="shared" si="50"/>
        <v>0</v>
      </c>
      <c r="AV62" s="44">
        <f t="shared" si="50"/>
        <v>0</v>
      </c>
      <c r="AW62" s="44">
        <f t="shared" si="50"/>
        <v>0</v>
      </c>
      <c r="AX62" s="44">
        <f t="shared" si="50"/>
        <v>0</v>
      </c>
      <c r="AY62" s="44">
        <f t="shared" si="50"/>
        <v>0</v>
      </c>
      <c r="AZ62" s="44">
        <f t="shared" si="50"/>
        <v>0</v>
      </c>
      <c r="BA62" s="44">
        <f t="shared" si="50"/>
        <v>0</v>
      </c>
      <c r="BB62" s="44">
        <f t="shared" si="50"/>
        <v>0</v>
      </c>
      <c r="BC62" s="44">
        <f t="shared" si="50"/>
        <v>0</v>
      </c>
      <c r="BD62" s="44">
        <f t="shared" si="50"/>
        <v>0</v>
      </c>
      <c r="BE62" s="44">
        <f t="shared" si="50"/>
        <v>0</v>
      </c>
      <c r="BF62" s="44">
        <f t="shared" si="50"/>
        <v>0</v>
      </c>
      <c r="BG62" s="44">
        <f t="shared" si="50"/>
        <v>0</v>
      </c>
      <c r="BH62" s="44">
        <f t="shared" si="50"/>
        <v>0</v>
      </c>
      <c r="BI62" s="44">
        <f t="shared" si="50"/>
        <v>0</v>
      </c>
      <c r="BJ62" s="44">
        <f t="shared" si="50"/>
        <v>0</v>
      </c>
      <c r="BK62" s="44">
        <f t="shared" si="50"/>
        <v>0</v>
      </c>
      <c r="BL62" s="44">
        <f t="shared" si="50"/>
        <v>0</v>
      </c>
      <c r="BM62" s="44">
        <f t="shared" si="50"/>
        <v>0</v>
      </c>
      <c r="BN62" s="44">
        <f t="shared" si="50"/>
        <v>0</v>
      </c>
    </row>
    <row r="63" spans="1:66" s="193" customFormat="1" ht="15.5" customHeight="1" outlineLevel="1" x14ac:dyDescent="0.2">
      <c r="A63" s="189" t="s">
        <v>212</v>
      </c>
      <c r="B63" s="190" t="s">
        <v>213</v>
      </c>
      <c r="C63" s="191" t="s">
        <v>153</v>
      </c>
      <c r="D63" s="192">
        <f>D61+D62</f>
        <v>0</v>
      </c>
      <c r="E63" s="192">
        <f t="shared" ref="E63:AH63" si="51">E61+E62</f>
        <v>0.10207605214743869</v>
      </c>
      <c r="F63" s="192">
        <f t="shared" si="51"/>
        <v>0.11283069933449395</v>
      </c>
      <c r="G63" s="192">
        <f t="shared" si="51"/>
        <v>0.12471844712335328</v>
      </c>
      <c r="H63" s="192">
        <f t="shared" si="51"/>
        <v>0.13785867804246943</v>
      </c>
      <c r="I63" s="192">
        <f t="shared" si="51"/>
        <v>0.15238335266330116</v>
      </c>
      <c r="J63" s="192">
        <f t="shared" si="51"/>
        <v>0.16843833481236897</v>
      </c>
      <c r="K63" s="192">
        <f t="shared" si="51"/>
        <v>0.18618485640653884</v>
      </c>
      <c r="L63" s="192">
        <f t="shared" si="51"/>
        <v>0.20580113662212429</v>
      </c>
      <c r="M63" s="192">
        <f t="shared" si="51"/>
        <v>0.22748417165828558</v>
      </c>
      <c r="N63" s="192">
        <f t="shared" si="51"/>
        <v>0.25145171306839664</v>
      </c>
      <c r="O63" s="192">
        <f t="shared" si="51"/>
        <v>0.27794445452674793</v>
      </c>
      <c r="P63" s="192">
        <f t="shared" si="51"/>
        <v>0.30722844899115082</v>
      </c>
      <c r="Q63" s="192">
        <f t="shared" si="51"/>
        <v>0.33959778053576828</v>
      </c>
      <c r="R63" s="192">
        <f t="shared" si="51"/>
        <v>0.37537751768600508</v>
      </c>
      <c r="S63" s="192">
        <f t="shared" si="51"/>
        <v>0.41492697791429156</v>
      </c>
      <c r="T63" s="192">
        <f t="shared" si="51"/>
        <v>0.45864333608039493</v>
      </c>
      <c r="U63" s="192">
        <f t="shared" si="51"/>
        <v>0.50696561305398036</v>
      </c>
      <c r="V63" s="192">
        <f t="shared" si="51"/>
        <v>0.56037908457509278</v>
      </c>
      <c r="W63" s="192">
        <f t="shared" si="51"/>
        <v>0.61942015462848088</v>
      </c>
      <c r="X63" s="192">
        <f t="shared" si="51"/>
        <v>0.68468174227254908</v>
      </c>
      <c r="Y63" s="192">
        <f t="shared" si="51"/>
        <v>0.75681923602009127</v>
      </c>
      <c r="Z63" s="192">
        <f t="shared" si="51"/>
        <v>0.83655707556757186</v>
      </c>
      <c r="AA63" s="192">
        <f t="shared" si="51"/>
        <v>0.92469602696989528</v>
      </c>
      <c r="AB63" s="192">
        <f t="shared" si="51"/>
        <v>1.0221212243214615</v>
      </c>
      <c r="AC63" s="192">
        <f t="shared" si="51"/>
        <v>1.1298110587020151</v>
      </c>
      <c r="AD63" s="192">
        <f t="shared" si="51"/>
        <v>1.2488470036543438</v>
      </c>
      <c r="AE63" s="192">
        <f t="shared" si="51"/>
        <v>1.3804244758660842</v>
      </c>
      <c r="AF63" s="192">
        <f t="shared" si="51"/>
        <v>1.5258648401238244</v>
      </c>
      <c r="AG63" s="192">
        <f t="shared" si="51"/>
        <v>1.6866286790991145</v>
      </c>
      <c r="AH63" s="192">
        <f t="shared" si="51"/>
        <v>1.8643304612279947</v>
      </c>
      <c r="AJ63" s="192">
        <f>AJ61+AJ62</f>
        <v>0</v>
      </c>
      <c r="AK63" s="192">
        <f t="shared" ref="AK63:BN63" si="52">AK61+AK62</f>
        <v>0.10207605214743869</v>
      </c>
      <c r="AL63" s="192">
        <f t="shared" si="52"/>
        <v>0.11283069933449395</v>
      </c>
      <c r="AM63" s="192">
        <f t="shared" si="52"/>
        <v>0.12471844712335328</v>
      </c>
      <c r="AN63" s="192">
        <f t="shared" si="52"/>
        <v>0.13785867804246943</v>
      </c>
      <c r="AO63" s="192">
        <f t="shared" si="52"/>
        <v>0.15238335266330116</v>
      </c>
      <c r="AP63" s="192">
        <f t="shared" si="52"/>
        <v>0.16843833481236897</v>
      </c>
      <c r="AQ63" s="192">
        <f t="shared" si="52"/>
        <v>0.18618485640653884</v>
      </c>
      <c r="AR63" s="192">
        <f t="shared" si="52"/>
        <v>0.20580113662212429</v>
      </c>
      <c r="AS63" s="192">
        <f t="shared" si="52"/>
        <v>0.22748417165828558</v>
      </c>
      <c r="AT63" s="192">
        <f t="shared" si="52"/>
        <v>0.25145171306839664</v>
      </c>
      <c r="AU63" s="192">
        <f t="shared" si="52"/>
        <v>0.27794445452674793</v>
      </c>
      <c r="AV63" s="192">
        <f t="shared" si="52"/>
        <v>0.30722844899115082</v>
      </c>
      <c r="AW63" s="192">
        <f t="shared" si="52"/>
        <v>0.33959778053576828</v>
      </c>
      <c r="AX63" s="192">
        <f t="shared" si="52"/>
        <v>0.37537751768600508</v>
      </c>
      <c r="AY63" s="192">
        <f t="shared" si="52"/>
        <v>0.41492697791429156</v>
      </c>
      <c r="AZ63" s="192">
        <f t="shared" si="52"/>
        <v>0.45864333608039493</v>
      </c>
      <c r="BA63" s="192">
        <f t="shared" si="52"/>
        <v>0.50696561305398036</v>
      </c>
      <c r="BB63" s="192">
        <f t="shared" si="52"/>
        <v>0.56037908457509278</v>
      </c>
      <c r="BC63" s="192">
        <f t="shared" si="52"/>
        <v>0.61942015462848088</v>
      </c>
      <c r="BD63" s="192">
        <f t="shared" si="52"/>
        <v>0.68468174227254908</v>
      </c>
      <c r="BE63" s="192">
        <f t="shared" si="52"/>
        <v>0.75681923602009127</v>
      </c>
      <c r="BF63" s="192">
        <f t="shared" si="52"/>
        <v>0.83655707556757186</v>
      </c>
      <c r="BG63" s="192">
        <f t="shared" si="52"/>
        <v>0.92469602696989528</v>
      </c>
      <c r="BH63" s="192">
        <f t="shared" si="52"/>
        <v>1.0221212243214615</v>
      </c>
      <c r="BI63" s="192">
        <f t="shared" si="52"/>
        <v>1.1298110587020151</v>
      </c>
      <c r="BJ63" s="192">
        <f t="shared" si="52"/>
        <v>1.2488470036543438</v>
      </c>
      <c r="BK63" s="192">
        <f t="shared" si="52"/>
        <v>1.3804244758660842</v>
      </c>
      <c r="BL63" s="192">
        <f t="shared" si="52"/>
        <v>1.5258648401238244</v>
      </c>
      <c r="BM63" s="192">
        <f t="shared" si="52"/>
        <v>1.6866286790991145</v>
      </c>
      <c r="BN63" s="192">
        <f t="shared" si="52"/>
        <v>1.8643304612279947</v>
      </c>
    </row>
    <row r="64" spans="1:66" outlineLevel="1" x14ac:dyDescent="0.2">
      <c r="A64" s="682"/>
      <c r="B64" s="58" t="s">
        <v>7</v>
      </c>
      <c r="C64" s="54" t="s">
        <v>153</v>
      </c>
      <c r="D64" s="44">
        <f>'Demand - Wind'!D39/1000000</f>
        <v>0</v>
      </c>
      <c r="E64" s="44">
        <f>'Demand - Wind'!E39/1000000</f>
        <v>5.0037280464430733E-2</v>
      </c>
      <c r="F64" s="44">
        <f>'Demand - Wind'!F39/1000000</f>
        <v>5.5309166340438212E-2</v>
      </c>
      <c r="G64" s="44">
        <f>'Demand - Wind'!G39/1000000</f>
        <v>6.1136493687918271E-2</v>
      </c>
      <c r="H64" s="44">
        <f>'Demand - Wind'!H39/1000000</f>
        <v>6.7577783354151683E-2</v>
      </c>
      <c r="I64" s="44">
        <f>'Demand - Wind'!I39/1000000</f>
        <v>7.4697721893775076E-2</v>
      </c>
      <c r="J64" s="44">
        <f>'Demand - Wind'!J39/1000000</f>
        <v>8.2567811182533798E-2</v>
      </c>
      <c r="K64" s="44">
        <f>'Demand - Wind'!K39/1000000</f>
        <v>9.1267086473793543E-2</v>
      </c>
      <c r="L64" s="44">
        <f>'Demand - Wind'!L39/1000000</f>
        <v>0.10088291010888446</v>
      </c>
      <c r="M64" s="44">
        <f>'Demand - Wind'!M39/1000000</f>
        <v>0.11151184885210076</v>
      </c>
      <c r="N64" s="44">
        <f>'Demand - Wind'!N39/1000000</f>
        <v>0.12326064366097876</v>
      </c>
      <c r="O64" s="44">
        <f>'Demand - Wind'!O39/1000000</f>
        <v>0.13624728163075878</v>
      </c>
      <c r="P64" s="44">
        <f>'Demand - Wind'!P39/1000000</f>
        <v>0.15060218087801511</v>
      </c>
      <c r="Q64" s="44">
        <f>'Demand - Wind'!Q39/1000000</f>
        <v>0.16646950026263152</v>
      </c>
      <c r="R64" s="44">
        <f>'Demand - Wind'!R39/1000000</f>
        <v>0.18400858710098286</v>
      </c>
      <c r="S64" s="44">
        <f>'Demand - Wind'!S39/1000000</f>
        <v>0.20339557740896644</v>
      </c>
      <c r="T64" s="44">
        <f>'Demand - Wind'!T39/1000000</f>
        <v>0.2248251647452916</v>
      </c>
      <c r="U64" s="44">
        <f>'Demand - Wind'!U39/1000000</f>
        <v>0.24851255541861783</v>
      </c>
      <c r="V64" s="44">
        <f>'Demand - Wind'!V39/1000000</f>
        <v>0.27469562969367295</v>
      </c>
      <c r="W64" s="44">
        <f>'Demand - Wind'!W39/1000000</f>
        <v>0.30363733070023574</v>
      </c>
      <c r="X64" s="44">
        <f>'Demand - Wind'!X39/1000000</f>
        <v>0.33562830503556329</v>
      </c>
      <c r="Y64" s="44">
        <f>'Demand - Wind'!Y39/1000000</f>
        <v>0.37098982157847604</v>
      </c>
      <c r="Z64" s="44">
        <f>'Demand - Wind'!Z39/1000000</f>
        <v>0.41007699782724116</v>
      </c>
      <c r="AA64" s="44">
        <f>'Demand - Wind'!AA39/1000000</f>
        <v>0.4532823661617133</v>
      </c>
      <c r="AB64" s="44">
        <f>'Demand - Wind'!AB39/1000000</f>
        <v>0.5010398158438536</v>
      </c>
      <c r="AC64" s="44">
        <f>'Demand - Wind'!AC39/1000000</f>
        <v>0.55382895034412505</v>
      </c>
      <c r="AD64" s="44">
        <f>'Demand - Wind'!AD39/1000000</f>
        <v>0.61217990375212927</v>
      </c>
      <c r="AE64" s="44">
        <f>'Demand - Wind'!AE39/1000000</f>
        <v>0.67667866464023729</v>
      </c>
      <c r="AF64" s="44">
        <f>'Demand - Wind'!AF39/1000000</f>
        <v>0.74797296084501186</v>
      </c>
      <c r="AG64" s="44">
        <f>'Demand - Wind'!AG39/1000000</f>
        <v>0.82677876426427188</v>
      </c>
      <c r="AH64" s="44">
        <f>'Demand - Wind'!AH39/1000000</f>
        <v>0.91388748099411499</v>
      </c>
      <c r="AJ64" s="44">
        <f>D64</f>
        <v>0</v>
      </c>
      <c r="AK64" s="44">
        <f t="shared" ref="AK64:BN66" si="53">E64</f>
        <v>5.0037280464430733E-2</v>
      </c>
      <c r="AL64" s="44">
        <f t="shared" si="53"/>
        <v>5.5309166340438212E-2</v>
      </c>
      <c r="AM64" s="44">
        <f t="shared" si="53"/>
        <v>6.1136493687918271E-2</v>
      </c>
      <c r="AN64" s="44">
        <f t="shared" si="53"/>
        <v>6.7577783354151683E-2</v>
      </c>
      <c r="AO64" s="44">
        <f t="shared" si="53"/>
        <v>7.4697721893775076E-2</v>
      </c>
      <c r="AP64" s="44">
        <f t="shared" si="53"/>
        <v>8.2567811182533798E-2</v>
      </c>
      <c r="AQ64" s="44">
        <f t="shared" si="53"/>
        <v>9.1267086473793543E-2</v>
      </c>
      <c r="AR64" s="44">
        <f t="shared" si="53"/>
        <v>0.10088291010888446</v>
      </c>
      <c r="AS64" s="44">
        <f t="shared" si="53"/>
        <v>0.11151184885210076</v>
      </c>
      <c r="AT64" s="44">
        <f t="shared" si="53"/>
        <v>0.12326064366097876</v>
      </c>
      <c r="AU64" s="44">
        <f t="shared" si="53"/>
        <v>0.13624728163075878</v>
      </c>
      <c r="AV64" s="44">
        <f t="shared" si="53"/>
        <v>0.15060218087801511</v>
      </c>
      <c r="AW64" s="44">
        <f t="shared" si="53"/>
        <v>0.16646950026263152</v>
      </c>
      <c r="AX64" s="44">
        <f t="shared" si="53"/>
        <v>0.18400858710098286</v>
      </c>
      <c r="AY64" s="44">
        <f t="shared" si="53"/>
        <v>0.20339557740896644</v>
      </c>
      <c r="AZ64" s="44">
        <f t="shared" si="53"/>
        <v>0.2248251647452916</v>
      </c>
      <c r="BA64" s="44">
        <f t="shared" si="53"/>
        <v>0.24851255541861783</v>
      </c>
      <c r="BB64" s="44">
        <f t="shared" si="53"/>
        <v>0.27469562969367295</v>
      </c>
      <c r="BC64" s="44">
        <f t="shared" si="53"/>
        <v>0.30363733070023574</v>
      </c>
      <c r="BD64" s="44">
        <f t="shared" si="53"/>
        <v>0.33562830503556329</v>
      </c>
      <c r="BE64" s="44">
        <f t="shared" si="53"/>
        <v>0.37098982157847604</v>
      </c>
      <c r="BF64" s="44">
        <f t="shared" si="53"/>
        <v>0.41007699782724116</v>
      </c>
      <c r="BG64" s="44">
        <f t="shared" si="53"/>
        <v>0.4532823661617133</v>
      </c>
      <c r="BH64" s="44">
        <f t="shared" si="53"/>
        <v>0.5010398158438536</v>
      </c>
      <c r="BI64" s="44">
        <f t="shared" si="53"/>
        <v>0.55382895034412505</v>
      </c>
      <c r="BJ64" s="44">
        <f t="shared" si="53"/>
        <v>0.61217990375212927</v>
      </c>
      <c r="BK64" s="44">
        <f t="shared" si="53"/>
        <v>0.67667866464023729</v>
      </c>
      <c r="BL64" s="44">
        <f t="shared" si="53"/>
        <v>0.74797296084501186</v>
      </c>
      <c r="BM64" s="44">
        <f t="shared" si="53"/>
        <v>0.82677876426427188</v>
      </c>
      <c r="BN64" s="44">
        <f t="shared" si="53"/>
        <v>0.91388748099411499</v>
      </c>
    </row>
    <row r="65" spans="1:66" outlineLevel="1" x14ac:dyDescent="0.2">
      <c r="A65" s="682"/>
      <c r="B65" s="1" t="s">
        <v>8</v>
      </c>
      <c r="C65" s="54" t="s">
        <v>153</v>
      </c>
      <c r="D65" s="44">
        <v>0</v>
      </c>
      <c r="E65" s="44">
        <v>0</v>
      </c>
      <c r="F65" s="44">
        <v>0</v>
      </c>
      <c r="G65" s="44">
        <v>0</v>
      </c>
      <c r="H65" s="44">
        <v>0</v>
      </c>
      <c r="I65" s="44">
        <v>0</v>
      </c>
      <c r="J65" s="44">
        <v>0</v>
      </c>
      <c r="K65" s="44">
        <v>0</v>
      </c>
      <c r="L65" s="44">
        <v>0</v>
      </c>
      <c r="M65" s="44">
        <v>0</v>
      </c>
      <c r="N65" s="44">
        <v>0</v>
      </c>
      <c r="O65" s="44">
        <v>0</v>
      </c>
      <c r="P65" s="44">
        <v>0</v>
      </c>
      <c r="Q65" s="44">
        <v>0</v>
      </c>
      <c r="R65" s="44">
        <v>0</v>
      </c>
      <c r="S65" s="44">
        <v>0</v>
      </c>
      <c r="T65" s="44">
        <v>0</v>
      </c>
      <c r="U65" s="44">
        <v>0</v>
      </c>
      <c r="V65" s="44">
        <v>0</v>
      </c>
      <c r="W65" s="44">
        <v>0</v>
      </c>
      <c r="X65" s="44">
        <v>0</v>
      </c>
      <c r="Y65" s="44">
        <v>0</v>
      </c>
      <c r="Z65" s="44">
        <v>0</v>
      </c>
      <c r="AA65" s="44">
        <v>0</v>
      </c>
      <c r="AB65" s="44">
        <v>0</v>
      </c>
      <c r="AC65" s="44">
        <v>0</v>
      </c>
      <c r="AD65" s="44">
        <v>0</v>
      </c>
      <c r="AE65" s="44">
        <v>0</v>
      </c>
      <c r="AF65" s="44">
        <v>0</v>
      </c>
      <c r="AG65" s="44">
        <v>0</v>
      </c>
      <c r="AH65" s="44">
        <v>0</v>
      </c>
      <c r="AJ65" s="44">
        <f t="shared" ref="AJ65:AJ66" si="54">D65</f>
        <v>0</v>
      </c>
      <c r="AK65" s="44">
        <f t="shared" si="53"/>
        <v>0</v>
      </c>
      <c r="AL65" s="44">
        <f t="shared" si="53"/>
        <v>0</v>
      </c>
      <c r="AM65" s="44">
        <f t="shared" si="53"/>
        <v>0</v>
      </c>
      <c r="AN65" s="44">
        <f t="shared" si="53"/>
        <v>0</v>
      </c>
      <c r="AO65" s="44">
        <f t="shared" si="53"/>
        <v>0</v>
      </c>
      <c r="AP65" s="44">
        <f t="shared" si="53"/>
        <v>0</v>
      </c>
      <c r="AQ65" s="44">
        <f t="shared" si="53"/>
        <v>0</v>
      </c>
      <c r="AR65" s="44">
        <f t="shared" si="53"/>
        <v>0</v>
      </c>
      <c r="AS65" s="44">
        <f t="shared" si="53"/>
        <v>0</v>
      </c>
      <c r="AT65" s="44">
        <f t="shared" si="53"/>
        <v>0</v>
      </c>
      <c r="AU65" s="44">
        <f t="shared" si="53"/>
        <v>0</v>
      </c>
      <c r="AV65" s="44">
        <f t="shared" si="53"/>
        <v>0</v>
      </c>
      <c r="AW65" s="44">
        <f t="shared" si="53"/>
        <v>0</v>
      </c>
      <c r="AX65" s="44">
        <f t="shared" si="53"/>
        <v>0</v>
      </c>
      <c r="AY65" s="44">
        <f t="shared" si="53"/>
        <v>0</v>
      </c>
      <c r="AZ65" s="44">
        <f t="shared" si="53"/>
        <v>0</v>
      </c>
      <c r="BA65" s="44">
        <f t="shared" si="53"/>
        <v>0</v>
      </c>
      <c r="BB65" s="44">
        <f t="shared" si="53"/>
        <v>0</v>
      </c>
      <c r="BC65" s="44">
        <f t="shared" si="53"/>
        <v>0</v>
      </c>
      <c r="BD65" s="44">
        <f t="shared" si="53"/>
        <v>0</v>
      </c>
      <c r="BE65" s="44">
        <f t="shared" si="53"/>
        <v>0</v>
      </c>
      <c r="BF65" s="44">
        <f t="shared" si="53"/>
        <v>0</v>
      </c>
      <c r="BG65" s="44">
        <f t="shared" si="53"/>
        <v>0</v>
      </c>
      <c r="BH65" s="44">
        <f t="shared" si="53"/>
        <v>0</v>
      </c>
      <c r="BI65" s="44">
        <f t="shared" si="53"/>
        <v>0</v>
      </c>
      <c r="BJ65" s="44">
        <f t="shared" si="53"/>
        <v>0</v>
      </c>
      <c r="BK65" s="44">
        <f t="shared" si="53"/>
        <v>0</v>
      </c>
      <c r="BL65" s="44">
        <f t="shared" si="53"/>
        <v>0</v>
      </c>
      <c r="BM65" s="44">
        <f t="shared" si="53"/>
        <v>0</v>
      </c>
      <c r="BN65" s="44">
        <f t="shared" si="53"/>
        <v>0</v>
      </c>
    </row>
    <row r="66" spans="1:66" s="68" customFormat="1" outlineLevel="1" x14ac:dyDescent="0.2">
      <c r="A66" s="683"/>
      <c r="B66" s="62" t="s">
        <v>166</v>
      </c>
      <c r="C66" s="283" t="s">
        <v>153</v>
      </c>
      <c r="D66" s="284">
        <f>'Demand - Wind'!D40/1000000</f>
        <v>0</v>
      </c>
      <c r="E66" s="284">
        <f>'Demand - Wind'!E40/1000000</f>
        <v>5.2038771683007967E-2</v>
      </c>
      <c r="F66" s="284">
        <f>'Demand - Wind'!F40/1000000</f>
        <v>5.7521532994055741E-2</v>
      </c>
      <c r="G66" s="284">
        <f>'Demand - Wind'!G40/1000000</f>
        <v>6.3581953435435004E-2</v>
      </c>
      <c r="H66" s="284">
        <f>'Demand - Wind'!H40/1000000</f>
        <v>7.028089468831776E-2</v>
      </c>
      <c r="I66" s="284">
        <f>'Demand - Wind'!I40/1000000</f>
        <v>7.7685630769526073E-2</v>
      </c>
      <c r="J66" s="284">
        <f>'Demand - Wind'!J40/1000000</f>
        <v>8.5870523629835147E-2</v>
      </c>
      <c r="K66" s="284">
        <f>'Demand - Wind'!K40/1000000</f>
        <v>9.4917769932745283E-2</v>
      </c>
      <c r="L66" s="284">
        <f>'Demand - Wind'!L40/1000000</f>
        <v>0.10491822651323984</v>
      </c>
      <c r="M66" s="284">
        <f>'Demand - Wind'!M40/1000000</f>
        <v>0.1159723228061848</v>
      </c>
      <c r="N66" s="284">
        <f>'Demand - Wind'!N40/1000000</f>
        <v>0.12819106940741792</v>
      </c>
      <c r="O66" s="284">
        <f>'Demand - Wind'!O40/1000000</f>
        <v>0.14169717289598915</v>
      </c>
      <c r="P66" s="284">
        <f>'Demand - Wind'!P40/1000000</f>
        <v>0.15662626811313574</v>
      </c>
      <c r="Q66" s="284">
        <f>'Demand - Wind'!Q40/1000000</f>
        <v>0.17312828027313676</v>
      </c>
      <c r="R66" s="284">
        <f>'Demand - Wind'!R40/1000000</f>
        <v>0.19136893058502219</v>
      </c>
      <c r="S66" s="284">
        <f>'Demand - Wind'!S40/1000000</f>
        <v>0.2115314005053251</v>
      </c>
      <c r="T66" s="284">
        <f>'Demand - Wind'!T40/1000000</f>
        <v>0.23381817133510327</v>
      </c>
      <c r="U66" s="284">
        <f>'Demand - Wind'!U40/1000000</f>
        <v>0.25845305763536253</v>
      </c>
      <c r="V66" s="284">
        <f>'Demand - Wind'!V40/1000000</f>
        <v>0.28568345488141983</v>
      </c>
      <c r="W66" s="284">
        <f>'Demand - Wind'!W40/1000000</f>
        <v>0.31578282392824519</v>
      </c>
      <c r="X66" s="284">
        <f>'Demand - Wind'!X40/1000000</f>
        <v>0.34905343723698584</v>
      </c>
      <c r="Y66" s="284">
        <f>'Demand - Wind'!Y40/1000000</f>
        <v>0.38582941444161512</v>
      </c>
      <c r="Z66" s="284">
        <f>'Demand - Wind'!Z40/1000000</f>
        <v>0.42648007774033075</v>
      </c>
      <c r="AA66" s="284">
        <f>'Demand - Wind'!AA40/1000000</f>
        <v>0.47141366080818187</v>
      </c>
      <c r="AB66" s="284">
        <f>'Demand - Wind'!AB40/1000000</f>
        <v>0.52108140847760787</v>
      </c>
      <c r="AC66" s="284">
        <f>'Demand - Wind'!AC40/1000000</f>
        <v>0.57598210835788999</v>
      </c>
      <c r="AD66" s="284">
        <f>'Demand - Wind'!AD40/1000000</f>
        <v>0.63666709990221448</v>
      </c>
      <c r="AE66" s="284">
        <f>'Demand - Wind'!AE40/1000000</f>
        <v>0.7037458112258469</v>
      </c>
      <c r="AF66" s="284">
        <f>'Demand - Wind'!AF40/1000000</f>
        <v>0.77789187927881231</v>
      </c>
      <c r="AG66" s="284">
        <f>'Demand - Wind'!AG40/1000000</f>
        <v>0.85984991483484274</v>
      </c>
      <c r="AH66" s="284">
        <f>'Demand - Wind'!AH40/1000000</f>
        <v>0.95044298023387963</v>
      </c>
      <c r="AJ66" s="284">
        <f t="shared" si="54"/>
        <v>0</v>
      </c>
      <c r="AK66" s="284">
        <f t="shared" si="53"/>
        <v>5.2038771683007967E-2</v>
      </c>
      <c r="AL66" s="284">
        <f t="shared" si="53"/>
        <v>5.7521532994055741E-2</v>
      </c>
      <c r="AM66" s="284">
        <f t="shared" si="53"/>
        <v>6.3581953435435004E-2</v>
      </c>
      <c r="AN66" s="284">
        <f t="shared" si="53"/>
        <v>7.028089468831776E-2</v>
      </c>
      <c r="AO66" s="284">
        <f t="shared" si="53"/>
        <v>7.7685630769526073E-2</v>
      </c>
      <c r="AP66" s="284">
        <f t="shared" si="53"/>
        <v>8.5870523629835147E-2</v>
      </c>
      <c r="AQ66" s="284">
        <f t="shared" si="53"/>
        <v>9.4917769932745283E-2</v>
      </c>
      <c r="AR66" s="284">
        <f t="shared" si="53"/>
        <v>0.10491822651323984</v>
      </c>
      <c r="AS66" s="284">
        <f t="shared" si="53"/>
        <v>0.1159723228061848</v>
      </c>
      <c r="AT66" s="284">
        <f t="shared" si="53"/>
        <v>0.12819106940741792</v>
      </c>
      <c r="AU66" s="284">
        <f t="shared" si="53"/>
        <v>0.14169717289598915</v>
      </c>
      <c r="AV66" s="284">
        <f t="shared" si="53"/>
        <v>0.15662626811313574</v>
      </c>
      <c r="AW66" s="284">
        <f t="shared" si="53"/>
        <v>0.17312828027313676</v>
      </c>
      <c r="AX66" s="284">
        <f t="shared" si="53"/>
        <v>0.19136893058502219</v>
      </c>
      <c r="AY66" s="284">
        <f t="shared" si="53"/>
        <v>0.2115314005053251</v>
      </c>
      <c r="AZ66" s="284">
        <f t="shared" si="53"/>
        <v>0.23381817133510327</v>
      </c>
      <c r="BA66" s="284">
        <f t="shared" si="53"/>
        <v>0.25845305763536253</v>
      </c>
      <c r="BB66" s="284">
        <f t="shared" si="53"/>
        <v>0.28568345488141983</v>
      </c>
      <c r="BC66" s="284">
        <f t="shared" si="53"/>
        <v>0.31578282392824519</v>
      </c>
      <c r="BD66" s="284">
        <f t="shared" si="53"/>
        <v>0.34905343723698584</v>
      </c>
      <c r="BE66" s="284">
        <f t="shared" si="53"/>
        <v>0.38582941444161512</v>
      </c>
      <c r="BF66" s="284">
        <f t="shared" si="53"/>
        <v>0.42648007774033075</v>
      </c>
      <c r="BG66" s="284">
        <f t="shared" si="53"/>
        <v>0.47141366080818187</v>
      </c>
      <c r="BH66" s="284">
        <f t="shared" si="53"/>
        <v>0.52108140847760787</v>
      </c>
      <c r="BI66" s="284">
        <f t="shared" si="53"/>
        <v>0.57598210835788999</v>
      </c>
      <c r="BJ66" s="284">
        <f t="shared" si="53"/>
        <v>0.63666709990221448</v>
      </c>
      <c r="BK66" s="284">
        <f t="shared" si="53"/>
        <v>0.7037458112258469</v>
      </c>
      <c r="BL66" s="284">
        <f t="shared" si="53"/>
        <v>0.77789187927881231</v>
      </c>
      <c r="BM66" s="284">
        <f t="shared" si="53"/>
        <v>0.85984991483484274</v>
      </c>
      <c r="BN66" s="284">
        <f t="shared" si="53"/>
        <v>0.95044298023387963</v>
      </c>
    </row>
    <row r="67" spans="1:66" outlineLevel="1" x14ac:dyDescent="0.2">
      <c r="A67" s="1" t="s">
        <v>67</v>
      </c>
      <c r="B67" s="1" t="s">
        <v>168</v>
      </c>
      <c r="C67" s="54" t="s">
        <v>153</v>
      </c>
      <c r="D67" s="66">
        <f t="shared" ref="D67:AH67" si="55">D21+D30+D39+D48+D55</f>
        <v>0</v>
      </c>
      <c r="E67" s="66">
        <f t="shared" si="55"/>
        <v>1.0995767560954128</v>
      </c>
      <c r="F67" s="66">
        <f t="shared" si="55"/>
        <v>2.2392171457638335</v>
      </c>
      <c r="G67" s="66">
        <f t="shared" si="55"/>
        <v>3.4201625466842849</v>
      </c>
      <c r="H67" s="66">
        <f t="shared" si="55"/>
        <v>4.6436914258638797</v>
      </c>
      <c r="I67" s="66">
        <f t="shared" si="55"/>
        <v>5.9111204259152155</v>
      </c>
      <c r="J67" s="66">
        <f t="shared" si="55"/>
        <v>7.1920178633476137</v>
      </c>
      <c r="K67" s="66">
        <f t="shared" si="55"/>
        <v>8.5074630926334418</v>
      </c>
      <c r="L67" s="66">
        <f t="shared" si="55"/>
        <v>9.8581941813450129</v>
      </c>
      <c r="M67" s="66">
        <f t="shared" si="55"/>
        <v>11.244963708649552</v>
      </c>
      <c r="N67" s="66">
        <f t="shared" si="55"/>
        <v>12.668539039929076</v>
      </c>
      <c r="O67" s="66">
        <f t="shared" si="55"/>
        <v>14.535807526035748</v>
      </c>
      <c r="P67" s="66">
        <f t="shared" si="55"/>
        <v>16.441542599757188</v>
      </c>
      <c r="Q67" s="66">
        <f t="shared" si="55"/>
        <v>18.386356341000088</v>
      </c>
      <c r="R67" s="66">
        <f t="shared" si="55"/>
        <v>20.370869583659498</v>
      </c>
      <c r="S67" s="66">
        <f t="shared" si="55"/>
        <v>22.39571203381978</v>
      </c>
      <c r="T67" s="66">
        <f t="shared" si="55"/>
        <v>24.456258238639411</v>
      </c>
      <c r="U67" s="66">
        <f t="shared" si="55"/>
        <v>26.557656461221868</v>
      </c>
      <c r="V67" s="66">
        <f t="shared" si="55"/>
        <v>28.700543513519726</v>
      </c>
      <c r="W67" s="66">
        <f t="shared" si="55"/>
        <v>30.885565194546654</v>
      </c>
      <c r="X67" s="66">
        <f t="shared" si="55"/>
        <v>33.113376410665069</v>
      </c>
      <c r="Y67" s="66">
        <f t="shared" si="55"/>
        <v>35.53521431151691</v>
      </c>
      <c r="Z67" s="66">
        <f t="shared" si="55"/>
        <v>37.996704437985017</v>
      </c>
      <c r="AA67" s="66">
        <f t="shared" si="55"/>
        <v>40.498438012805039</v>
      </c>
      <c r="AB67" s="66">
        <f t="shared" si="55"/>
        <v>43.041014751198453</v>
      </c>
      <c r="AC67" s="66">
        <f t="shared" si="55"/>
        <v>45.6250429787288</v>
      </c>
      <c r="AD67" s="66">
        <f t="shared" si="55"/>
        <v>48.2240682029365</v>
      </c>
      <c r="AE67" s="66">
        <f t="shared" si="55"/>
        <v>50.863479419926946</v>
      </c>
      <c r="AF67" s="66">
        <f t="shared" si="55"/>
        <v>53.543890423386117</v>
      </c>
      <c r="AG67" s="66">
        <f t="shared" si="55"/>
        <v>56.265923971363783</v>
      </c>
      <c r="AH67" s="66">
        <f t="shared" si="55"/>
        <v>59.030211911556655</v>
      </c>
      <c r="AJ67" s="66">
        <f t="shared" ref="AJ67:BN67" si="56">AJ21+AJ30+AJ39+AJ48+AJ55</f>
        <v>0</v>
      </c>
      <c r="AK67" s="66">
        <f t="shared" si="56"/>
        <v>0.59665259693619865</v>
      </c>
      <c r="AL67" s="66">
        <f t="shared" si="56"/>
        <v>1.2143704373771231</v>
      </c>
      <c r="AM67" s="66">
        <f t="shared" si="56"/>
        <v>1.8537913013708704</v>
      </c>
      <c r="AN67" s="66">
        <f t="shared" si="56"/>
        <v>2.5155717648800757</v>
      </c>
      <c r="AO67" s="66">
        <f t="shared" si="56"/>
        <v>3.2003877463832358</v>
      </c>
      <c r="AP67" s="66">
        <f t="shared" si="56"/>
        <v>3.8930412595287711</v>
      </c>
      <c r="AQ67" s="66">
        <f t="shared" si="56"/>
        <v>4.6040900987230238</v>
      </c>
      <c r="AR67" s="66">
        <f t="shared" si="56"/>
        <v>5.3339216803005511</v>
      </c>
      <c r="AS67" s="66">
        <f t="shared" si="56"/>
        <v>6.0829309454210385</v>
      </c>
      <c r="AT67" s="66">
        <f t="shared" si="56"/>
        <v>6.851520501076898</v>
      </c>
      <c r="AU67" s="66">
        <f t="shared" si="56"/>
        <v>7.9658757011546824</v>
      </c>
      <c r="AV67" s="66">
        <f t="shared" si="56"/>
        <v>9.1033801599110351</v>
      </c>
      <c r="AW67" s="66">
        <f t="shared" si="56"/>
        <v>10.264404230713463</v>
      </c>
      <c r="AX67" s="66">
        <f t="shared" si="56"/>
        <v>11.449323585308708</v>
      </c>
      <c r="AY67" s="66">
        <f t="shared" si="56"/>
        <v>12.658519285855249</v>
      </c>
      <c r="AZ67" s="66">
        <f t="shared" si="56"/>
        <v>13.889745782468443</v>
      </c>
      <c r="BA67" s="66">
        <f t="shared" si="56"/>
        <v>15.145645363931493</v>
      </c>
      <c r="BB67" s="66">
        <f t="shared" si="56"/>
        <v>16.426605587598022</v>
      </c>
      <c r="BC67" s="66">
        <f t="shared" si="56"/>
        <v>17.733019512125992</v>
      </c>
      <c r="BD67" s="66">
        <f t="shared" si="56"/>
        <v>19.065285771428911</v>
      </c>
      <c r="BE67" s="66">
        <f t="shared" si="56"/>
        <v>20.510671980753653</v>
      </c>
      <c r="BF67" s="66">
        <f t="shared" si="56"/>
        <v>21.980742133554834</v>
      </c>
      <c r="BG67" s="66">
        <f t="shared" si="56"/>
        <v>23.47587037673366</v>
      </c>
      <c r="BH67" s="66">
        <f t="shared" si="56"/>
        <v>24.996436243787979</v>
      </c>
      <c r="BI67" s="66">
        <f t="shared" si="56"/>
        <v>26.542824729329418</v>
      </c>
      <c r="BJ67" s="66">
        <f t="shared" si="56"/>
        <v>28.101890590694826</v>
      </c>
      <c r="BK67" s="66">
        <f t="shared" si="56"/>
        <v>29.686411517242021</v>
      </c>
      <c r="BL67" s="66">
        <f t="shared" si="56"/>
        <v>31.296778801069589</v>
      </c>
      <c r="BM67" s="66">
        <f t="shared" si="56"/>
        <v>32.933389436833444</v>
      </c>
      <c r="BN67" s="66">
        <f t="shared" si="56"/>
        <v>34.596646201029117</v>
      </c>
    </row>
    <row r="68" spans="1:66" outlineLevel="1" x14ac:dyDescent="0.2">
      <c r="B68" s="1" t="s">
        <v>172</v>
      </c>
      <c r="C68" s="54" t="s">
        <v>153</v>
      </c>
      <c r="D68" s="66">
        <f t="shared" ref="D68:AH68" si="57">D22+D33+D40+D49+D56</f>
        <v>0</v>
      </c>
      <c r="E68" s="66">
        <f t="shared" si="57"/>
        <v>0.31882092757690905</v>
      </c>
      <c r="F68" s="66">
        <f t="shared" si="57"/>
        <v>0.86833279380415462</v>
      </c>
      <c r="G68" s="66">
        <f t="shared" si="57"/>
        <v>1.3249105493518762</v>
      </c>
      <c r="H68" s="66">
        <f t="shared" si="57"/>
        <v>1.7970214585361926</v>
      </c>
      <c r="I68" s="66">
        <f t="shared" si="57"/>
        <v>2.2851259013301499</v>
      </c>
      <c r="J68" s="66">
        <f t="shared" si="57"/>
        <v>2.7791017896817336</v>
      </c>
      <c r="K68" s="66">
        <f t="shared" si="57"/>
        <v>3.2859976929897217</v>
      </c>
      <c r="L68" s="66">
        <f t="shared" si="57"/>
        <v>3.8060820673227518</v>
      </c>
      <c r="M68" s="66">
        <f t="shared" si="57"/>
        <v>4.339628525811448</v>
      </c>
      <c r="N68" s="66">
        <f t="shared" si="57"/>
        <v>4.8869159344698625</v>
      </c>
      <c r="O68" s="66">
        <f t="shared" si="57"/>
        <v>5.6022487356189483</v>
      </c>
      <c r="P68" s="66">
        <f t="shared" si="57"/>
        <v>6.3320917738027758</v>
      </c>
      <c r="Q68" s="66">
        <f t="shared" si="57"/>
        <v>7.0766719755385497</v>
      </c>
      <c r="R68" s="66">
        <f t="shared" si="57"/>
        <v>7.8362194523432533</v>
      </c>
      <c r="S68" s="66">
        <f t="shared" si="57"/>
        <v>8.6109675428835999</v>
      </c>
      <c r="T68" s="66">
        <f t="shared" si="57"/>
        <v>9.3993981387116463</v>
      </c>
      <c r="U68" s="66">
        <f t="shared" si="57"/>
        <v>10.203251312020232</v>
      </c>
      <c r="V68" s="66">
        <f t="shared" si="57"/>
        <v>11.022763596100845</v>
      </c>
      <c r="W68" s="66">
        <f t="shared" si="57"/>
        <v>11.85817480092895</v>
      </c>
      <c r="X68" s="66">
        <f t="shared" si="57"/>
        <v>12.709728056132848</v>
      </c>
      <c r="Y68" s="66">
        <f t="shared" si="57"/>
        <v>13.51505327336989</v>
      </c>
      <c r="Z68" s="66">
        <f t="shared" si="57"/>
        <v>14.332986537772179</v>
      </c>
      <c r="AA68" s="66">
        <f t="shared" si="57"/>
        <v>15.163707798486271</v>
      </c>
      <c r="AB68" s="66">
        <f t="shared" si="57"/>
        <v>16.007399489492602</v>
      </c>
      <c r="AC68" s="66">
        <f t="shared" si="57"/>
        <v>16.864246562884269</v>
      </c>
      <c r="AD68" s="66">
        <f t="shared" si="57"/>
        <v>17.725412673309979</v>
      </c>
      <c r="AE68" s="66">
        <f t="shared" si="57"/>
        <v>18.599342273971352</v>
      </c>
      <c r="AF68" s="66">
        <f t="shared" si="57"/>
        <v>19.486221046664447</v>
      </c>
      <c r="AG68" s="66">
        <f t="shared" si="57"/>
        <v>20.386237284310869</v>
      </c>
      <c r="AH68" s="66">
        <f t="shared" si="57"/>
        <v>21.299581926220903</v>
      </c>
      <c r="AJ68" s="66">
        <f t="shared" ref="AJ68:BN68" si="58">AJ22+AJ33+AJ40+AJ49+AJ56</f>
        <v>0</v>
      </c>
      <c r="AK68" s="66">
        <f t="shared" si="58"/>
        <v>0.18757174256102649</v>
      </c>
      <c r="AL68" s="66">
        <f t="shared" si="58"/>
        <v>0.5607636471958023</v>
      </c>
      <c r="AM68" s="66">
        <f t="shared" si="58"/>
        <v>0.85444000474637227</v>
      </c>
      <c r="AN68" s="66">
        <f t="shared" si="58"/>
        <v>1.1573061454030413</v>
      </c>
      <c r="AO68" s="66">
        <f t="shared" si="58"/>
        <v>1.4696156578056117</v>
      </c>
      <c r="AP68" s="66">
        <f t="shared" si="58"/>
        <v>1.786331239143766</v>
      </c>
      <c r="AQ68" s="66">
        <f t="shared" si="58"/>
        <v>2.1110012626001304</v>
      </c>
      <c r="AR68" s="66">
        <f t="shared" si="58"/>
        <v>2.4437843967270072</v>
      </c>
      <c r="AS68" s="66">
        <f t="shared" si="58"/>
        <v>2.7848422454724964</v>
      </c>
      <c r="AT68" s="66">
        <f t="shared" si="58"/>
        <v>3.1343394009849388</v>
      </c>
      <c r="AU68" s="66">
        <f t="shared" si="58"/>
        <v>3.6237397201970629</v>
      </c>
      <c r="AV68" s="66">
        <f t="shared" si="58"/>
        <v>4.1232097074831007</v>
      </c>
      <c r="AW68" s="66">
        <f t="shared" si="58"/>
        <v>4.6329088063877437</v>
      </c>
      <c r="AX68" s="66">
        <f t="shared" si="58"/>
        <v>5.1529987239613702</v>
      </c>
      <c r="AY68" s="66">
        <f t="shared" si="58"/>
        <v>5.683643461033534</v>
      </c>
      <c r="AZ68" s="66">
        <f t="shared" si="58"/>
        <v>6.224131984400457</v>
      </c>
      <c r="BA68" s="66">
        <f t="shared" si="58"/>
        <v>6.7753830501451731</v>
      </c>
      <c r="BB68" s="66">
        <f t="shared" si="58"/>
        <v>7.3375643534331729</v>
      </c>
      <c r="BC68" s="66">
        <f t="shared" si="58"/>
        <v>7.9108459459976759</v>
      </c>
      <c r="BD68" s="66">
        <f t="shared" si="58"/>
        <v>8.4954002674441842</v>
      </c>
      <c r="BE68" s="66">
        <f t="shared" si="58"/>
        <v>9.0467512644137962</v>
      </c>
      <c r="BF68" s="66">
        <f t="shared" si="58"/>
        <v>9.6074184246247842</v>
      </c>
      <c r="BG68" s="66">
        <f t="shared" si="58"/>
        <v>10.177539998427939</v>
      </c>
      <c r="BH68" s="66">
        <f t="shared" si="58"/>
        <v>10.757256176189184</v>
      </c>
      <c r="BI68" s="66">
        <f t="shared" si="58"/>
        <v>11.34670911443477</v>
      </c>
      <c r="BJ68" s="66">
        <f t="shared" si="58"/>
        <v>11.941531037703269</v>
      </c>
      <c r="BK68" s="66">
        <f t="shared" si="58"/>
        <v>12.545995296301033</v>
      </c>
      <c r="BL68" s="66">
        <f t="shared" si="58"/>
        <v>13.160246591207702</v>
      </c>
      <c r="BM68" s="66">
        <f t="shared" si="58"/>
        <v>13.784431675356085</v>
      </c>
      <c r="BN68" s="66">
        <f t="shared" si="58"/>
        <v>14.418699381409217</v>
      </c>
    </row>
    <row r="69" spans="1:66" outlineLevel="1" x14ac:dyDescent="0.2">
      <c r="B69" s="1" t="s">
        <v>214</v>
      </c>
      <c r="C69" s="54" t="s">
        <v>153</v>
      </c>
      <c r="D69" s="66">
        <f t="shared" ref="D69:AH69" si="59">D17+D63</f>
        <v>0</v>
      </c>
      <c r="E69" s="66">
        <f t="shared" si="59"/>
        <v>0.11115567617476181</v>
      </c>
      <c r="F69" s="66">
        <f t="shared" si="59"/>
        <v>0.13118888837203158</v>
      </c>
      <c r="G69" s="66">
        <f t="shared" si="59"/>
        <v>0.15255741135720563</v>
      </c>
      <c r="H69" s="66">
        <f t="shared" si="59"/>
        <v>0.17538394461564832</v>
      </c>
      <c r="I69" s="66">
        <f t="shared" si="59"/>
        <v>0.19980381408338102</v>
      </c>
      <c r="J69" s="66">
        <f t="shared" si="59"/>
        <v>0.22596629802168339</v>
      </c>
      <c r="K69" s="66">
        <f t="shared" si="59"/>
        <v>0.25403609252362946</v>
      </c>
      <c r="L69" s="66">
        <f t="shared" si="59"/>
        <v>0.28419493136326046</v>
      </c>
      <c r="M69" s="66">
        <f t="shared" si="59"/>
        <v>0.31664337644798546</v>
      </c>
      <c r="N69" s="66">
        <f t="shared" si="59"/>
        <v>0.35160279684799467</v>
      </c>
      <c r="O69" s="66">
        <f t="shared" si="59"/>
        <v>0.40450479741699941</v>
      </c>
      <c r="P69" s="66">
        <f t="shared" si="59"/>
        <v>0.46076467642367458</v>
      </c>
      <c r="Q69" s="66">
        <f t="shared" si="59"/>
        <v>0.52068576347281703</v>
      </c>
      <c r="R69" s="66">
        <f t="shared" si="59"/>
        <v>0.58460250719032447</v>
      </c>
      <c r="S69" s="66">
        <f t="shared" si="59"/>
        <v>0.652883741557853</v>
      </c>
      <c r="T69" s="66">
        <f t="shared" si="59"/>
        <v>0.72593629621614397</v>
      </c>
      <c r="U69" s="66">
        <f t="shared" si="59"/>
        <v>0.80420898697504606</v>
      </c>
      <c r="V69" s="66">
        <f t="shared" si="59"/>
        <v>0.88819702658622091</v>
      </c>
      <c r="W69" s="66">
        <f t="shared" si="59"/>
        <v>0.97844690005476598</v>
      </c>
      <c r="X69" s="66">
        <f t="shared" si="59"/>
        <v>1.0755617534308615</v>
      </c>
      <c r="Y69" s="66">
        <f t="shared" si="59"/>
        <v>1.1689170004680181</v>
      </c>
      <c r="Z69" s="66">
        <f t="shared" si="59"/>
        <v>1.2702905759536429</v>
      </c>
      <c r="AA69" s="66">
        <f t="shared" si="59"/>
        <v>1.3804898576881308</v>
      </c>
      <c r="AB69" s="66">
        <f t="shared" si="59"/>
        <v>1.5004066862132093</v>
      </c>
      <c r="AC69" s="66">
        <f t="shared" si="59"/>
        <v>1.6310262550392316</v>
      </c>
      <c r="AD69" s="66">
        <f t="shared" si="59"/>
        <v>1.7734369374210295</v>
      </c>
      <c r="AE69" s="66">
        <f t="shared" si="59"/>
        <v>1.9288411483548</v>
      </c>
      <c r="AF69" s="66">
        <f t="shared" si="59"/>
        <v>2.0985673508644238</v>
      </c>
      <c r="AG69" s="66">
        <f t="shared" si="59"/>
        <v>2.2840833271370493</v>
      </c>
      <c r="AH69" s="66">
        <f t="shared" si="59"/>
        <v>2.4870108477697737</v>
      </c>
      <c r="AJ69" s="66">
        <f t="shared" ref="AJ69:BN69" si="60">AJ17+AJ63</f>
        <v>0</v>
      </c>
      <c r="AK69" s="66">
        <f t="shared" si="60"/>
        <v>0.11115567617476181</v>
      </c>
      <c r="AL69" s="66">
        <f t="shared" si="60"/>
        <v>0.13118888837203158</v>
      </c>
      <c r="AM69" s="66">
        <f t="shared" si="60"/>
        <v>0.15255741135720563</v>
      </c>
      <c r="AN69" s="66">
        <f t="shared" si="60"/>
        <v>0.17538394461564832</v>
      </c>
      <c r="AO69" s="66">
        <f t="shared" si="60"/>
        <v>0.19980381408338102</v>
      </c>
      <c r="AP69" s="66">
        <f t="shared" si="60"/>
        <v>0.22596629802168339</v>
      </c>
      <c r="AQ69" s="66">
        <f t="shared" si="60"/>
        <v>0.25403609252362946</v>
      </c>
      <c r="AR69" s="66">
        <f t="shared" si="60"/>
        <v>0.28419493136326046</v>
      </c>
      <c r="AS69" s="66">
        <f t="shared" si="60"/>
        <v>0.31664337644798546</v>
      </c>
      <c r="AT69" s="66">
        <f t="shared" si="60"/>
        <v>0.35160279684799467</v>
      </c>
      <c r="AU69" s="66">
        <f t="shared" si="60"/>
        <v>0.40450479741699941</v>
      </c>
      <c r="AV69" s="66">
        <f t="shared" si="60"/>
        <v>0.46076467642367458</v>
      </c>
      <c r="AW69" s="66">
        <f t="shared" si="60"/>
        <v>0.52068576347281703</v>
      </c>
      <c r="AX69" s="66">
        <f t="shared" si="60"/>
        <v>0.58460250719032447</v>
      </c>
      <c r="AY69" s="66">
        <f t="shared" si="60"/>
        <v>0.652883741557853</v>
      </c>
      <c r="AZ69" s="66">
        <f t="shared" si="60"/>
        <v>0.72593629621614397</v>
      </c>
      <c r="BA69" s="66">
        <f t="shared" si="60"/>
        <v>0.80420898697504606</v>
      </c>
      <c r="BB69" s="66">
        <f t="shared" si="60"/>
        <v>0.88819702658622091</v>
      </c>
      <c r="BC69" s="66">
        <f t="shared" si="60"/>
        <v>0.97844690005476598</v>
      </c>
      <c r="BD69" s="66">
        <f t="shared" si="60"/>
        <v>1.0755617534308615</v>
      </c>
      <c r="BE69" s="66">
        <f t="shared" si="60"/>
        <v>1.1689170004680181</v>
      </c>
      <c r="BF69" s="66">
        <f t="shared" si="60"/>
        <v>1.2702905759536429</v>
      </c>
      <c r="BG69" s="66">
        <f t="shared" si="60"/>
        <v>1.3804898576881308</v>
      </c>
      <c r="BH69" s="66">
        <f t="shared" si="60"/>
        <v>1.5004066862132093</v>
      </c>
      <c r="BI69" s="66">
        <f t="shared" si="60"/>
        <v>1.6310262550392316</v>
      </c>
      <c r="BJ69" s="66">
        <f t="shared" si="60"/>
        <v>1.7734369374210295</v>
      </c>
      <c r="BK69" s="66">
        <f t="shared" si="60"/>
        <v>1.9288411483548</v>
      </c>
      <c r="BL69" s="66">
        <f t="shared" si="60"/>
        <v>2.0985673508644238</v>
      </c>
      <c r="BM69" s="66">
        <f t="shared" si="60"/>
        <v>2.2840833271370493</v>
      </c>
      <c r="BN69" s="66">
        <f t="shared" si="60"/>
        <v>2.4870108477697737</v>
      </c>
    </row>
    <row r="70" spans="1:66" x14ac:dyDescent="0.2">
      <c r="A70" s="69" t="s">
        <v>215</v>
      </c>
      <c r="B70" s="69"/>
      <c r="C70" s="70" t="s">
        <v>153</v>
      </c>
      <c r="D70" s="71">
        <f t="shared" ref="D70:AH70" si="61">D12+D69-D67-D68</f>
        <v>116.10918671199683</v>
      </c>
      <c r="E70" s="71">
        <f t="shared" si="61"/>
        <v>117.48423696222504</v>
      </c>
      <c r="F70" s="71">
        <f t="shared" si="61"/>
        <v>118.56331725951324</v>
      </c>
      <c r="G70" s="71">
        <f t="shared" si="61"/>
        <v>119.76290590433186</v>
      </c>
      <c r="H70" s="71">
        <f t="shared" si="61"/>
        <v>120.97505724613879</v>
      </c>
      <c r="I70" s="71">
        <f t="shared" si="61"/>
        <v>122.19984849546002</v>
      </c>
      <c r="J70" s="71">
        <f t="shared" si="61"/>
        <v>122.40945394907428</v>
      </c>
      <c r="K70" s="71">
        <f t="shared" si="61"/>
        <v>122.60446249272739</v>
      </c>
      <c r="L70" s="71">
        <f t="shared" si="61"/>
        <v>122.78455258484587</v>
      </c>
      <c r="M70" s="71">
        <f t="shared" si="61"/>
        <v>122.94941012659241</v>
      </c>
      <c r="N70" s="71">
        <f t="shared" si="61"/>
        <v>123.09873020736381</v>
      </c>
      <c r="O70" s="71">
        <f t="shared" si="61"/>
        <v>121.49461546553553</v>
      </c>
      <c r="P70" s="71">
        <f t="shared" si="61"/>
        <v>119.84455739611374</v>
      </c>
      <c r="Q70" s="71">
        <f t="shared" si="61"/>
        <v>118.14799203683319</v>
      </c>
      <c r="R70" s="71">
        <f t="shared" si="61"/>
        <v>116.4043735664891</v>
      </c>
      <c r="S70" s="71">
        <f t="shared" si="61"/>
        <v>114.61317739176287</v>
      </c>
      <c r="T70" s="71">
        <f t="shared" si="61"/>
        <v>112.71445589223664</v>
      </c>
      <c r="U70" s="71">
        <f t="shared" si="61"/>
        <v>110.76694768784229</v>
      </c>
      <c r="V70" s="71">
        <f t="shared" si="61"/>
        <v>108.77022317135865</v>
      </c>
      <c r="W70" s="71">
        <f t="shared" si="61"/>
        <v>106.72389038204312</v>
      </c>
      <c r="X70" s="71">
        <f t="shared" si="61"/>
        <v>104.62760020785213</v>
      </c>
      <c r="Y70" s="71">
        <f t="shared" si="61"/>
        <v>101.72961893143076</v>
      </c>
      <c r="Z70" s="71">
        <f t="shared" si="61"/>
        <v>98.782584229683181</v>
      </c>
      <c r="AA70" s="71">
        <f t="shared" si="61"/>
        <v>95.786428923681655</v>
      </c>
      <c r="AB70" s="71">
        <f t="shared" si="61"/>
        <v>92.741157747970419</v>
      </c>
      <c r="AC70" s="71">
        <f t="shared" si="61"/>
        <v>89.646856068065489</v>
      </c>
      <c r="AD70" s="71">
        <f t="shared" si="61"/>
        <v>86.330909529524703</v>
      </c>
      <c r="AE70" s="71">
        <f t="shared" si="61"/>
        <v>82.968142525125018</v>
      </c>
      <c r="AF70" s="71">
        <f t="shared" si="61"/>
        <v>79.558966231247723</v>
      </c>
      <c r="AG70" s="71">
        <f t="shared" si="61"/>
        <v>76.103917857668122</v>
      </c>
      <c r="AH70" s="71">
        <f t="shared" si="61"/>
        <v>72.603675133100182</v>
      </c>
      <c r="AJ70" s="71">
        <f t="shared" ref="AJ70:BN70" si="62">AJ12+AJ69-AJ67-AJ68</f>
        <v>116.10918671199683</v>
      </c>
      <c r="AK70" s="71">
        <f t="shared" si="62"/>
        <v>118.11841030640014</v>
      </c>
      <c r="AL70" s="71">
        <f t="shared" si="62"/>
        <v>119.8957331145083</v>
      </c>
      <c r="AM70" s="71">
        <f t="shared" si="62"/>
        <v>121.79974769425077</v>
      </c>
      <c r="AN70" s="71">
        <f t="shared" si="62"/>
        <v>123.74289222025574</v>
      </c>
      <c r="AO70" s="71">
        <f t="shared" si="62"/>
        <v>125.72609141851653</v>
      </c>
      <c r="AP70" s="71">
        <f t="shared" si="62"/>
        <v>126.7012011034311</v>
      </c>
      <c r="AQ70" s="71">
        <f t="shared" si="62"/>
        <v>127.68283191702741</v>
      </c>
      <c r="AR70" s="71">
        <f t="shared" si="62"/>
        <v>128.67112275648606</v>
      </c>
      <c r="AS70" s="71">
        <f t="shared" si="62"/>
        <v>129.66622917015988</v>
      </c>
      <c r="AT70" s="71">
        <f t="shared" si="62"/>
        <v>130.66832527970092</v>
      </c>
      <c r="AU70" s="71">
        <f t="shared" si="62"/>
        <v>130.04305630583849</v>
      </c>
      <c r="AV70" s="71">
        <f t="shared" si="62"/>
        <v>129.39160190227955</v>
      </c>
      <c r="AW70" s="71">
        <f t="shared" si="62"/>
        <v>128.71370731627061</v>
      </c>
      <c r="AX70" s="71">
        <f t="shared" si="62"/>
        <v>128.00914029322178</v>
      </c>
      <c r="AY70" s="71">
        <f t="shared" si="62"/>
        <v>127.27769422157746</v>
      </c>
      <c r="AZ70" s="71">
        <f t="shared" si="62"/>
        <v>126.45623450271879</v>
      </c>
      <c r="BA70" s="71">
        <f t="shared" si="62"/>
        <v>125.60682704700773</v>
      </c>
      <c r="BB70" s="71">
        <f t="shared" si="62"/>
        <v>124.72936033994802</v>
      </c>
      <c r="BC70" s="71">
        <f t="shared" si="62"/>
        <v>123.82376491939506</v>
      </c>
      <c r="BD70" s="71">
        <f t="shared" si="62"/>
        <v>122.89001863577695</v>
      </c>
      <c r="BE70" s="71">
        <f t="shared" si="62"/>
        <v>121.22246327115012</v>
      </c>
      <c r="BF70" s="71">
        <f t="shared" si="62"/>
        <v>119.52411464726076</v>
      </c>
      <c r="BG70" s="71">
        <f t="shared" si="62"/>
        <v>117.79516435981137</v>
      </c>
      <c r="BH70" s="71">
        <f t="shared" si="62"/>
        <v>116.03587956868429</v>
      </c>
      <c r="BI70" s="71">
        <f t="shared" si="62"/>
        <v>114.24661176591435</v>
      </c>
      <c r="BJ70" s="71">
        <f t="shared" si="62"/>
        <v>112.23696877737309</v>
      </c>
      <c r="BK70" s="71">
        <f t="shared" si="62"/>
        <v>110.19855740548026</v>
      </c>
      <c r="BL70" s="71">
        <f t="shared" si="62"/>
        <v>108.13205230902099</v>
      </c>
      <c r="BM70" s="71">
        <f t="shared" si="62"/>
        <v>106.03825800115324</v>
      </c>
      <c r="BN70" s="71">
        <f t="shared" si="62"/>
        <v>103.9181233884394</v>
      </c>
    </row>
    <row r="71" spans="1:66" s="67" customFormat="1" x14ac:dyDescent="0.2">
      <c r="A71" s="681"/>
      <c r="B71" s="58" t="s">
        <v>7</v>
      </c>
      <c r="C71" s="59" t="s">
        <v>153</v>
      </c>
      <c r="D71" s="60">
        <f>D24+D35+D42+D51+D58+D64</f>
        <v>41.944590154283404</v>
      </c>
      <c r="E71" s="60">
        <f t="shared" ref="E71:AH71" si="63">E24+E35+E42+E51+E58+E64</f>
        <v>42.941211841497811</v>
      </c>
      <c r="F71" s="60">
        <f t="shared" si="63"/>
        <v>43.908649394792469</v>
      </c>
      <c r="G71" s="60">
        <f t="shared" si="63"/>
        <v>44.892360273317415</v>
      </c>
      <c r="H71" s="60">
        <f t="shared" si="63"/>
        <v>45.892536351728928</v>
      </c>
      <c r="I71" s="60">
        <f t="shared" si="63"/>
        <v>46.909372152724849</v>
      </c>
      <c r="J71" s="60">
        <f t="shared" si="63"/>
        <v>47.300060933238072</v>
      </c>
      <c r="K71" s="60">
        <f t="shared" si="63"/>
        <v>47.690665783033936</v>
      </c>
      <c r="L71" s="60">
        <f t="shared" si="63"/>
        <v>48.081133259044854</v>
      </c>
      <c r="M71" s="60">
        <f t="shared" si="63"/>
        <v>48.471414683683776</v>
      </c>
      <c r="N71" s="60">
        <f t="shared" si="63"/>
        <v>48.861467006431575</v>
      </c>
      <c r="O71" s="60">
        <f t="shared" si="63"/>
        <v>48.500281600933235</v>
      </c>
      <c r="P71" s="60">
        <f t="shared" si="63"/>
        <v>48.210537005316546</v>
      </c>
      <c r="Q71" s="60">
        <f t="shared" si="63"/>
        <v>47.911029575670455</v>
      </c>
      <c r="R71" s="60">
        <f t="shared" si="63"/>
        <v>47.601718034847977</v>
      </c>
      <c r="S71" s="60">
        <f t="shared" si="63"/>
        <v>47.282574931510879</v>
      </c>
      <c r="T71" s="60">
        <f t="shared" si="63"/>
        <v>46.916401028961545</v>
      </c>
      <c r="U71" s="60">
        <f t="shared" si="63"/>
        <v>46.540240615749035</v>
      </c>
      <c r="V71" s="60">
        <f t="shared" si="63"/>
        <v>46.15412459553383</v>
      </c>
      <c r="W71" s="60">
        <f t="shared" si="63"/>
        <v>45.758105979090722</v>
      </c>
      <c r="X71" s="60">
        <f t="shared" si="63"/>
        <v>45.352262485739196</v>
      </c>
      <c r="Y71" s="60">
        <f t="shared" si="63"/>
        <v>44.420586110343862</v>
      </c>
      <c r="Z71" s="60">
        <f t="shared" si="63"/>
        <v>43.479234988902647</v>
      </c>
      <c r="AA71" s="60">
        <f t="shared" si="63"/>
        <v>42.528435975192693</v>
      </c>
      <c r="AB71" s="60">
        <f t="shared" si="63"/>
        <v>41.568455124119147</v>
      </c>
      <c r="AC71" s="60">
        <f t="shared" si="63"/>
        <v>40.599602020142427</v>
      </c>
      <c r="AD71" s="60">
        <f t="shared" si="63"/>
        <v>39.514146239157505</v>
      </c>
      <c r="AE71" s="60">
        <f t="shared" si="63"/>
        <v>38.421687189567272</v>
      </c>
      <c r="AF71" s="60">
        <f t="shared" si="63"/>
        <v>37.322709465151569</v>
      </c>
      <c r="AG71" s="60">
        <f t="shared" si="63"/>
        <v>36.217763693691829</v>
      </c>
      <c r="AH71" s="60">
        <f t="shared" si="63"/>
        <v>35.107473696743746</v>
      </c>
      <c r="AJ71" s="60">
        <f>AJ24+AJ35+AJ42+AJ51+AJ58+AJ64</f>
        <v>41.944590154283404</v>
      </c>
      <c r="AK71" s="60">
        <f t="shared" ref="AK71:BN71" si="64">AK24+AK35+AK42+AK51+AK58+AK64</f>
        <v>43.198917652087523</v>
      </c>
      <c r="AL71" s="60">
        <f t="shared" si="64"/>
        <v>44.436356673967822</v>
      </c>
      <c r="AM71" s="60">
        <f t="shared" si="64"/>
        <v>45.7028096826987</v>
      </c>
      <c r="AN71" s="60">
        <f t="shared" si="64"/>
        <v>46.998927959495546</v>
      </c>
      <c r="AO71" s="60">
        <f t="shared" si="64"/>
        <v>48.325380274948152</v>
      </c>
      <c r="AP71" s="60">
        <f t="shared" si="64"/>
        <v>49.026592986173647</v>
      </c>
      <c r="AQ71" s="60">
        <f t="shared" si="64"/>
        <v>49.737342902472932</v>
      </c>
      <c r="AR71" s="60">
        <f t="shared" si="64"/>
        <v>50.457806217701766</v>
      </c>
      <c r="AS71" s="60">
        <f t="shared" si="64"/>
        <v>51.188168803483464</v>
      </c>
      <c r="AT71" s="60">
        <f t="shared" si="64"/>
        <v>51.928627169719583</v>
      </c>
      <c r="AU71" s="60">
        <f t="shared" si="64"/>
        <v>51.947648238332405</v>
      </c>
      <c r="AV71" s="60">
        <f t="shared" si="64"/>
        <v>52.045414095767207</v>
      </c>
      <c r="AW71" s="60">
        <f t="shared" si="64"/>
        <v>52.140968123616439</v>
      </c>
      <c r="AX71" s="60">
        <f t="shared" si="64"/>
        <v>52.234383695657741</v>
      </c>
      <c r="AY71" s="60">
        <f t="shared" si="64"/>
        <v>52.325749583924534</v>
      </c>
      <c r="AZ71" s="60">
        <f t="shared" si="64"/>
        <v>52.375789050973829</v>
      </c>
      <c r="BA71" s="60">
        <f t="shared" si="64"/>
        <v>52.423542645673152</v>
      </c>
      <c r="BB71" s="60">
        <f t="shared" si="64"/>
        <v>52.469153897345443</v>
      </c>
      <c r="BC71" s="60">
        <f t="shared" si="64"/>
        <v>52.512789942472402</v>
      </c>
      <c r="BD71" s="60">
        <f t="shared" si="64"/>
        <v>52.554644145204357</v>
      </c>
      <c r="BE71" s="60">
        <f t="shared" si="64"/>
        <v>52.075490172042308</v>
      </c>
      <c r="BF71" s="60">
        <f t="shared" si="64"/>
        <v>51.591599317916014</v>
      </c>
      <c r="BG71" s="60">
        <f t="shared" si="64"/>
        <v>51.103255831843526</v>
      </c>
      <c r="BH71" s="60">
        <f t="shared" si="64"/>
        <v>50.610783931644136</v>
      </c>
      <c r="BI71" s="60">
        <f t="shared" si="64"/>
        <v>50.114552143205721</v>
      </c>
      <c r="BJ71" s="60">
        <f t="shared" si="64"/>
        <v>49.495600083679541</v>
      </c>
      <c r="BK71" s="60">
        <f t="shared" si="64"/>
        <v>48.873914682951046</v>
      </c>
      <c r="BL71" s="60">
        <f t="shared" si="64"/>
        <v>48.250033084812863</v>
      </c>
      <c r="BM71" s="60">
        <f t="shared" si="64"/>
        <v>47.624559234815614</v>
      </c>
      <c r="BN71" s="60">
        <f t="shared" si="64"/>
        <v>46.998171051366107</v>
      </c>
    </row>
    <row r="72" spans="1:66" x14ac:dyDescent="0.2">
      <c r="A72" s="682"/>
      <c r="B72" s="1" t="s">
        <v>8</v>
      </c>
      <c r="C72" s="54" t="s">
        <v>153</v>
      </c>
      <c r="D72" s="44">
        <f>D25+D36+D43+D52+D59+D65+D11</f>
        <v>27.181969038530035</v>
      </c>
      <c r="E72" s="44">
        <f t="shared" ref="E72:AH72" si="65">E25+E36+E43+E52+E59+E65+E11</f>
        <v>27.646543374109751</v>
      </c>
      <c r="F72" s="44">
        <f t="shared" si="65"/>
        <v>28.117952951341312</v>
      </c>
      <c r="G72" s="44">
        <f t="shared" si="65"/>
        <v>28.5962414903336</v>
      </c>
      <c r="H72" s="44">
        <f t="shared" si="65"/>
        <v>29.081450431023807</v>
      </c>
      <c r="I72" s="44">
        <f t="shared" si="65"/>
        <v>29.573618789751571</v>
      </c>
      <c r="J72" s="44">
        <f t="shared" si="65"/>
        <v>29.719109119021777</v>
      </c>
      <c r="K72" s="44">
        <f t="shared" si="65"/>
        <v>29.862200206345388</v>
      </c>
      <c r="L72" s="44">
        <f t="shared" si="65"/>
        <v>30.002780698101805</v>
      </c>
      <c r="M72" s="44">
        <f t="shared" si="65"/>
        <v>30.140736282189316</v>
      </c>
      <c r="N72" s="44">
        <f t="shared" si="65"/>
        <v>30.275949621245481</v>
      </c>
      <c r="O72" s="44">
        <f t="shared" si="65"/>
        <v>29.694666664384854</v>
      </c>
      <c r="P72" s="44">
        <f t="shared" si="65"/>
        <v>29.196410979124739</v>
      </c>
      <c r="Q72" s="44">
        <f t="shared" si="65"/>
        <v>28.684382109394512</v>
      </c>
      <c r="R72" s="44">
        <f t="shared" si="65"/>
        <v>28.158344105254471</v>
      </c>
      <c r="S72" s="44">
        <f t="shared" si="65"/>
        <v>27.618057550058559</v>
      </c>
      <c r="T72" s="44">
        <f t="shared" si="65"/>
        <v>27.042825231557845</v>
      </c>
      <c r="U72" s="44">
        <f t="shared" si="65"/>
        <v>26.45277319130162</v>
      </c>
      <c r="V72" s="44">
        <f t="shared" si="65"/>
        <v>25.847654485426432</v>
      </c>
      <c r="W72" s="44">
        <f t="shared" si="65"/>
        <v>25.227218604869591</v>
      </c>
      <c r="X72" s="44">
        <f t="shared" si="65"/>
        <v>24.591211427374823</v>
      </c>
      <c r="Y72" s="44">
        <f t="shared" si="65"/>
        <v>23.83922217797047</v>
      </c>
      <c r="Z72" s="44">
        <f t="shared" si="65"/>
        <v>23.075128527091255</v>
      </c>
      <c r="AA72" s="44">
        <f t="shared" si="65"/>
        <v>22.298762788019179</v>
      </c>
      <c r="AB72" s="44">
        <f t="shared" si="65"/>
        <v>21.509954987181459</v>
      </c>
      <c r="AC72" s="44">
        <f t="shared" si="65"/>
        <v>20.708532833406732</v>
      </c>
      <c r="AD72" s="44">
        <f t="shared" si="65"/>
        <v>19.83486948982295</v>
      </c>
      <c r="AE72" s="44">
        <f t="shared" si="65"/>
        <v>18.948844934098553</v>
      </c>
      <c r="AF72" s="44">
        <f t="shared" si="65"/>
        <v>18.050287223095253</v>
      </c>
      <c r="AG72" s="44">
        <f t="shared" si="65"/>
        <v>17.139022020762678</v>
      </c>
      <c r="AH72" s="44">
        <f t="shared" si="65"/>
        <v>16.214872565603276</v>
      </c>
      <c r="AI72" s="54" t="s">
        <v>165</v>
      </c>
      <c r="AJ72" s="44">
        <f>AJ25+AJ36+AJ43+AJ52+AJ59+AJ65+AJ11</f>
        <v>27.181969038530035</v>
      </c>
      <c r="AK72" s="44">
        <f t="shared" ref="AK72:BN72" si="66">AK25+AK36+AK43+AK52+AK59+AK65+AK11</f>
        <v>27.753900672275353</v>
      </c>
      <c r="AL72" s="44">
        <f t="shared" si="66"/>
        <v>28.338681658160901</v>
      </c>
      <c r="AM72" s="44">
        <f t="shared" si="66"/>
        <v>28.936588252664716</v>
      </c>
      <c r="AN72" s="44">
        <f t="shared" si="66"/>
        <v>29.547902176667485</v>
      </c>
      <c r="AO72" s="44">
        <f t="shared" si="66"/>
        <v>30.17291071074499</v>
      </c>
      <c r="AP72" s="44">
        <f t="shared" si="66"/>
        <v>30.450941414790503</v>
      </c>
      <c r="AQ72" s="44">
        <f t="shared" si="66"/>
        <v>30.731052958510116</v>
      </c>
      <c r="AR72" s="44">
        <f t="shared" si="66"/>
        <v>31.013247153677618</v>
      </c>
      <c r="AS72" s="44">
        <f t="shared" si="66"/>
        <v>31.297525365590054</v>
      </c>
      <c r="AT72" s="44">
        <f t="shared" si="66"/>
        <v>31.583888498122036</v>
      </c>
      <c r="AU72" s="44">
        <f t="shared" si="66"/>
        <v>31.169664808982745</v>
      </c>
      <c r="AV72" s="44">
        <f t="shared" si="66"/>
        <v>30.833142258357437</v>
      </c>
      <c r="AW72" s="44">
        <f t="shared" si="66"/>
        <v>30.485897635632917</v>
      </c>
      <c r="AX72" s="44">
        <f t="shared" si="66"/>
        <v>30.127739785072276</v>
      </c>
      <c r="AY72" s="44">
        <f t="shared" si="66"/>
        <v>29.758474678002557</v>
      </c>
      <c r="AZ72" s="44">
        <f t="shared" si="66"/>
        <v>29.356243593541468</v>
      </c>
      <c r="BA72" s="44">
        <f t="shared" si="66"/>
        <v>28.942251490807784</v>
      </c>
      <c r="BB72" s="44">
        <f t="shared" si="66"/>
        <v>28.51629399876612</v>
      </c>
      <c r="BC72" s="44">
        <f t="shared" si="66"/>
        <v>28.078163719690455</v>
      </c>
      <c r="BD72" s="44">
        <f t="shared" si="66"/>
        <v>27.62765018767459</v>
      </c>
      <c r="BE72" s="44">
        <f t="shared" si="66"/>
        <v>27.064010754913951</v>
      </c>
      <c r="BF72" s="44">
        <f t="shared" si="66"/>
        <v>26.489732571616109</v>
      </c>
      <c r="BG72" s="44">
        <f t="shared" si="66"/>
        <v>25.904659012792447</v>
      </c>
      <c r="BH72" s="44">
        <f t="shared" si="66"/>
        <v>25.308631285421043</v>
      </c>
      <c r="BI72" s="44">
        <f t="shared" si="66"/>
        <v>24.701488399432911</v>
      </c>
      <c r="BJ72" s="44">
        <f t="shared" si="66"/>
        <v>24.017405234141691</v>
      </c>
      <c r="BK72" s="44">
        <f t="shared" si="66"/>
        <v>23.321953504840558</v>
      </c>
      <c r="BL72" s="44">
        <f t="shared" si="66"/>
        <v>22.614968105064243</v>
      </c>
      <c r="BM72" s="44">
        <f t="shared" si="66"/>
        <v>21.896281632564776</v>
      </c>
      <c r="BN72" s="44">
        <f t="shared" si="66"/>
        <v>21.165724358481796</v>
      </c>
    </row>
    <row r="73" spans="1:66" s="68" customFormat="1" x14ac:dyDescent="0.2">
      <c r="A73" s="683"/>
      <c r="B73" s="62" t="s">
        <v>166</v>
      </c>
      <c r="C73" s="283" t="s">
        <v>153</v>
      </c>
      <c r="D73" s="284">
        <f t="shared" ref="D73" si="67">D26+D37+D44+D53+D60+D66</f>
        <v>46.982627519183382</v>
      </c>
      <c r="E73" s="284">
        <f t="shared" ref="E73:AH73" si="68">E26+E37+E44+E53+E60+E66</f>
        <v>46.896481746617454</v>
      </c>
      <c r="F73" s="284">
        <f t="shared" si="68"/>
        <v>46.754703114444872</v>
      </c>
      <c r="G73" s="284">
        <f t="shared" si="68"/>
        <v>46.604234090579119</v>
      </c>
      <c r="H73" s="284">
        <f t="shared" si="68"/>
        <v>46.444940972189485</v>
      </c>
      <c r="I73" s="284">
        <f t="shared" si="68"/>
        <v>46.276693046784267</v>
      </c>
      <c r="J73" s="284">
        <f t="shared" si="68"/>
        <v>46.068134686479326</v>
      </c>
      <c r="K73" s="284">
        <f t="shared" si="68"/>
        <v>45.849539055505012</v>
      </c>
      <c r="L73" s="284">
        <f t="shared" si="68"/>
        <v>45.620775837963201</v>
      </c>
      <c r="M73" s="284">
        <f t="shared" si="68"/>
        <v>45.38172062917041</v>
      </c>
      <c r="N73" s="284">
        <f t="shared" si="68"/>
        <v>45.132255888608256</v>
      </c>
      <c r="O73" s="284">
        <f t="shared" si="68"/>
        <v>43.299667200217456</v>
      </c>
      <c r="P73" s="284">
        <f t="shared" si="68"/>
        <v>42.43760941167244</v>
      </c>
      <c r="Q73" s="284">
        <f t="shared" si="68"/>
        <v>41.552580351768228</v>
      </c>
      <c r="R73" s="284">
        <f t="shared" si="68"/>
        <v>40.644311426386658</v>
      </c>
      <c r="S73" s="284">
        <f t="shared" si="68"/>
        <v>39.712544910193422</v>
      </c>
      <c r="T73" s="284">
        <f t="shared" si="68"/>
        <v>38.755229631717242</v>
      </c>
      <c r="U73" s="284">
        <f t="shared" si="68"/>
        <v>37.773933880791624</v>
      </c>
      <c r="V73" s="284">
        <f t="shared" si="68"/>
        <v>36.768444090398397</v>
      </c>
      <c r="W73" s="284">
        <f t="shared" si="68"/>
        <v>35.738565798082789</v>
      </c>
      <c r="X73" s="284">
        <f t="shared" si="68"/>
        <v>34.684126294738107</v>
      </c>
      <c r="Y73" s="284">
        <f t="shared" si="68"/>
        <v>33.469810643116446</v>
      </c>
      <c r="Z73" s="284">
        <f t="shared" si="68"/>
        <v>32.228220713689254</v>
      </c>
      <c r="AA73" s="284">
        <f t="shared" si="68"/>
        <v>30.959230160469797</v>
      </c>
      <c r="AB73" s="284">
        <f t="shared" si="68"/>
        <v>29.662747636669799</v>
      </c>
      <c r="AC73" s="284">
        <f t="shared" si="68"/>
        <v>28.338721214516308</v>
      </c>
      <c r="AD73" s="284">
        <f t="shared" si="68"/>
        <v>26.981893800544277</v>
      </c>
      <c r="AE73" s="284">
        <f t="shared" si="68"/>
        <v>25.597610401459196</v>
      </c>
      <c r="AF73" s="284">
        <f t="shared" si="68"/>
        <v>24.18596954300093</v>
      </c>
      <c r="AG73" s="284">
        <f t="shared" si="68"/>
        <v>22.747132143213594</v>
      </c>
      <c r="AH73" s="284">
        <f t="shared" si="68"/>
        <v>21.28132887075316</v>
      </c>
      <c r="AJ73" s="284">
        <f t="shared" ref="AJ73:BN73" si="69">AJ26+AJ37+AJ44+AJ53+AJ60+AJ66</f>
        <v>46.982627519183382</v>
      </c>
      <c r="AK73" s="284">
        <f t="shared" si="69"/>
        <v>47.173224283051823</v>
      </c>
      <c r="AL73" s="284">
        <f t="shared" si="69"/>
        <v>47.314735763651392</v>
      </c>
      <c r="AM73" s="284">
        <f t="shared" si="69"/>
        <v>47.454226490872735</v>
      </c>
      <c r="AN73" s="284">
        <f t="shared" si="69"/>
        <v>47.591687029888305</v>
      </c>
      <c r="AO73" s="284">
        <f t="shared" si="69"/>
        <v>47.727113184698958</v>
      </c>
      <c r="AP73" s="284">
        <f t="shared" si="69"/>
        <v>47.828634315785507</v>
      </c>
      <c r="AQ73" s="284">
        <f t="shared" si="69"/>
        <v>47.927053386899189</v>
      </c>
      <c r="AR73" s="284">
        <f t="shared" si="69"/>
        <v>48.022359431712594</v>
      </c>
      <c r="AS73" s="284">
        <f t="shared" si="69"/>
        <v>48.114549248963726</v>
      </c>
      <c r="AT73" s="284">
        <f t="shared" si="69"/>
        <v>48.203628382848542</v>
      </c>
      <c r="AU73" s="284">
        <f t="shared" si="69"/>
        <v>46.925743258523333</v>
      </c>
      <c r="AV73" s="284">
        <f t="shared" si="69"/>
        <v>46.513045548154899</v>
      </c>
      <c r="AW73" s="284">
        <f t="shared" si="69"/>
        <v>46.086841557021259</v>
      </c>
      <c r="AX73" s="284">
        <f t="shared" si="69"/>
        <v>45.647016812491763</v>
      </c>
      <c r="AY73" s="284">
        <f t="shared" si="69"/>
        <v>45.193469959650358</v>
      </c>
      <c r="AZ73" s="284">
        <f t="shared" si="69"/>
        <v>44.724201858203479</v>
      </c>
      <c r="BA73" s="284">
        <f t="shared" si="69"/>
        <v>44.241032910526783</v>
      </c>
      <c r="BB73" s="284">
        <f t="shared" si="69"/>
        <v>43.743912443836471</v>
      </c>
      <c r="BC73" s="284">
        <f t="shared" si="69"/>
        <v>43.232811257232193</v>
      </c>
      <c r="BD73" s="284">
        <f t="shared" si="69"/>
        <v>42.707724302897986</v>
      </c>
      <c r="BE73" s="284">
        <f t="shared" si="69"/>
        <v>42.082962344193874</v>
      </c>
      <c r="BF73" s="284">
        <f t="shared" si="69"/>
        <v>41.442782757728601</v>
      </c>
      <c r="BG73" s="284">
        <f t="shared" si="69"/>
        <v>40.787249515175404</v>
      </c>
      <c r="BH73" s="284">
        <f t="shared" si="69"/>
        <v>40.116464351619122</v>
      </c>
      <c r="BI73" s="284">
        <f t="shared" si="69"/>
        <v>39.43057122327572</v>
      </c>
      <c r="BJ73" s="284">
        <f t="shared" si="69"/>
        <v>38.723963459551875</v>
      </c>
      <c r="BK73" s="284">
        <f t="shared" si="69"/>
        <v>38.002689217688669</v>
      </c>
      <c r="BL73" s="284">
        <f t="shared" si="69"/>
        <v>37.2670511191439</v>
      </c>
      <c r="BM73" s="284">
        <f t="shared" si="69"/>
        <v>36.517417133772824</v>
      </c>
      <c r="BN73" s="284">
        <f t="shared" si="69"/>
        <v>35.754227978591508</v>
      </c>
    </row>
    <row r="74" spans="1:66" x14ac:dyDescent="0.2">
      <c r="A74" s="512"/>
      <c r="C74" s="54"/>
      <c r="D74" s="44"/>
      <c r="E74" s="44"/>
      <c r="F74" s="44"/>
      <c r="G74" s="44"/>
      <c r="H74" s="44"/>
      <c r="I74" s="44"/>
      <c r="J74" s="44"/>
      <c r="K74" s="44"/>
      <c r="L74" s="44"/>
      <c r="M74" s="44"/>
      <c r="N74" s="44"/>
      <c r="O74" s="44"/>
      <c r="P74" s="44"/>
      <c r="Q74" s="44"/>
      <c r="R74" s="44"/>
      <c r="S74" s="44"/>
      <c r="T74" s="44"/>
      <c r="U74" s="44"/>
      <c r="V74" s="44"/>
      <c r="W74" s="44"/>
      <c r="X74" s="44"/>
      <c r="Y74" s="44"/>
      <c r="Z74" s="44"/>
      <c r="AA74" s="44"/>
      <c r="AB74" s="44"/>
      <c r="AC74" s="44"/>
      <c r="AD74" s="44"/>
      <c r="AE74" s="44"/>
      <c r="AF74" s="44"/>
      <c r="AG74" s="44"/>
      <c r="AH74" s="44"/>
      <c r="AJ74" s="44"/>
      <c r="AK74" s="44"/>
      <c r="AL74" s="44"/>
      <c r="AM74" s="44"/>
      <c r="AN74" s="44"/>
      <c r="AO74" s="44"/>
      <c r="AP74" s="44"/>
      <c r="AQ74" s="44"/>
      <c r="AR74" s="44"/>
      <c r="AS74" s="44"/>
      <c r="AT74" s="44"/>
      <c r="AU74" s="44"/>
      <c r="AV74" s="44"/>
      <c r="AW74" s="44"/>
      <c r="AX74" s="44"/>
      <c r="AY74" s="44"/>
      <c r="AZ74" s="44"/>
      <c r="BA74" s="44"/>
      <c r="BB74" s="44"/>
      <c r="BC74" s="44"/>
      <c r="BD74" s="44"/>
      <c r="BE74" s="44"/>
      <c r="BF74" s="44"/>
      <c r="BG74" s="44"/>
      <c r="BH74" s="44"/>
      <c r="BI74" s="44"/>
      <c r="BJ74" s="44"/>
      <c r="BK74" s="44"/>
      <c r="BL74" s="44"/>
      <c r="BM74" s="44"/>
      <c r="BN74" s="44"/>
    </row>
    <row r="75" spans="1:66" outlineLevel="1" x14ac:dyDescent="0.2">
      <c r="A75" s="58" t="s">
        <v>216</v>
      </c>
      <c r="B75" s="58" t="s">
        <v>197</v>
      </c>
      <c r="C75" s="100" t="s">
        <v>153</v>
      </c>
      <c r="D75" s="101">
        <f t="shared" ref="D75:AH75" si="70">D34</f>
        <v>45.090956546267236</v>
      </c>
      <c r="E75" s="101">
        <f t="shared" si="70"/>
        <v>45.176282005386831</v>
      </c>
      <c r="F75" s="101">
        <f t="shared" si="70"/>
        <v>45.039612355143802</v>
      </c>
      <c r="G75" s="101">
        <f t="shared" si="70"/>
        <v>45.004879063783811</v>
      </c>
      <c r="H75" s="101">
        <f t="shared" si="70"/>
        <v>44.963931846918939</v>
      </c>
      <c r="I75" s="101">
        <f t="shared" si="70"/>
        <v>44.916638200916317</v>
      </c>
      <c r="J75" s="101">
        <f t="shared" si="70"/>
        <v>44.862863458948162</v>
      </c>
      <c r="K75" s="101">
        <f t="shared" si="70"/>
        <v>44.802470759434392</v>
      </c>
      <c r="L75" s="101">
        <f t="shared" si="70"/>
        <v>44.735321014052786</v>
      </c>
      <c r="M75" s="101">
        <f t="shared" si="70"/>
        <v>44.661272875310907</v>
      </c>
      <c r="N75" s="101">
        <f t="shared" si="70"/>
        <v>44.580182703673991</v>
      </c>
      <c r="O75" s="101">
        <f t="shared" si="70"/>
        <v>43.787333282826985</v>
      </c>
      <c r="P75" s="101">
        <f t="shared" si="70"/>
        <v>42.971646972614188</v>
      </c>
      <c r="Q75" s="101">
        <f t="shared" si="70"/>
        <v>42.132717296249496</v>
      </c>
      <c r="R75" s="101">
        <f t="shared" si="70"/>
        <v>41.270131597721104</v>
      </c>
      <c r="S75" s="101">
        <f t="shared" si="70"/>
        <v>40.383470955032223</v>
      </c>
      <c r="T75" s="101">
        <f t="shared" si="70"/>
        <v>39.472310092280871</v>
      </c>
      <c r="U75" s="101">
        <f t="shared" si="70"/>
        <v>38.536217290563428</v>
      </c>
      <c r="V75" s="101">
        <f t="shared" si="70"/>
        <v>37.574754297687036</v>
      </c>
      <c r="W75" s="101">
        <f t="shared" si="70"/>
        <v>36.587476236675208</v>
      </c>
      <c r="X75" s="101">
        <f t="shared" si="70"/>
        <v>35.5739315130511</v>
      </c>
      <c r="Y75" s="101">
        <f t="shared" si="70"/>
        <v>34.521364169948797</v>
      </c>
      <c r="Z75" s="101">
        <f t="shared" si="70"/>
        <v>33.441335899585169</v>
      </c>
      <c r="AA75" s="101">
        <f t="shared" si="70"/>
        <v>32.333369922208981</v>
      </c>
      <c r="AB75" s="101">
        <f t="shared" si="70"/>
        <v>31.19698229168667</v>
      </c>
      <c r="AC75" s="101">
        <f t="shared" si="70"/>
        <v>30.031681795532268</v>
      </c>
      <c r="AD75" s="101">
        <f t="shared" si="70"/>
        <v>28.836969853605176</v>
      </c>
      <c r="AE75" s="101">
        <f t="shared" si="70"/>
        <v>27.612340415458441</v>
      </c>
      <c r="AF75" s="101">
        <f t="shared" si="70"/>
        <v>26.357279856320183</v>
      </c>
      <c r="AG75" s="101">
        <f t="shared" si="70"/>
        <v>25.071266871690622</v>
      </c>
      <c r="AH75" s="101">
        <f t="shared" si="70"/>
        <v>23.753772370536588</v>
      </c>
      <c r="AJ75" s="101">
        <f t="shared" ref="AJ75:BN75" si="71">AJ34</f>
        <v>45.090956546267236</v>
      </c>
      <c r="AK75" s="101">
        <f t="shared" si="71"/>
        <v>45.279560496517021</v>
      </c>
      <c r="AL75" s="101">
        <f t="shared" si="71"/>
        <v>45.287994451454026</v>
      </c>
      <c r="AM75" s="101">
        <f t="shared" si="71"/>
        <v>45.381550512838281</v>
      </c>
      <c r="AN75" s="101">
        <f t="shared" si="71"/>
        <v>45.47168496024436</v>
      </c>
      <c r="AO75" s="101">
        <f t="shared" si="71"/>
        <v>45.558311197881316</v>
      </c>
      <c r="AP75" s="101">
        <f t="shared" si="71"/>
        <v>45.641341138866103</v>
      </c>
      <c r="AQ75" s="101">
        <f t="shared" si="71"/>
        <v>45.720685182897604</v>
      </c>
      <c r="AR75" s="101">
        <f t="shared" si="71"/>
        <v>45.796252193619992</v>
      </c>
      <c r="AS75" s="101">
        <f t="shared" si="71"/>
        <v>45.867949475671153</v>
      </c>
      <c r="AT75" s="101">
        <f t="shared" si="71"/>
        <v>45.93568275141201</v>
      </c>
      <c r="AU75" s="101">
        <f t="shared" si="71"/>
        <v>45.470061924023057</v>
      </c>
      <c r="AV75" s="101">
        <f t="shared" si="71"/>
        <v>44.988639220818619</v>
      </c>
      <c r="AW75" s="101">
        <f t="shared" si="71"/>
        <v>44.491123340650887</v>
      </c>
      <c r="AX75" s="101">
        <f t="shared" si="71"/>
        <v>43.977218485773747</v>
      </c>
      <c r="AY75" s="101">
        <f t="shared" si="71"/>
        <v>43.446624298165084</v>
      </c>
      <c r="AZ75" s="101">
        <f t="shared" si="71"/>
        <v>42.899035794992258</v>
      </c>
      <c r="BA75" s="101">
        <f t="shared" si="71"/>
        <v>42.334143303209544</v>
      </c>
      <c r="BB75" s="101">
        <f t="shared" si="71"/>
        <v>41.751632393276424</v>
      </c>
      <c r="BC75" s="101">
        <f t="shared" si="71"/>
        <v>41.151183811985085</v>
      </c>
      <c r="BD75" s="101">
        <f t="shared" si="71"/>
        <v>40.532473414385748</v>
      </c>
      <c r="BE75" s="101">
        <f t="shared" si="71"/>
        <v>39.889770458828337</v>
      </c>
      <c r="BF75" s="101">
        <f t="shared" si="71"/>
        <v>39.22802360896555</v>
      </c>
      <c r="BG75" s="101">
        <f t="shared" si="71"/>
        <v>38.546891666180244</v>
      </c>
      <c r="BH75" s="101">
        <f t="shared" si="71"/>
        <v>37.846028229796978</v>
      </c>
      <c r="BI75" s="101">
        <f t="shared" si="71"/>
        <v>37.125081623921673</v>
      </c>
      <c r="BJ75" s="101">
        <f t="shared" si="71"/>
        <v>36.383694823301312</v>
      </c>
      <c r="BK75" s="101">
        <f t="shared" si="71"/>
        <v>35.621505378190804</v>
      </c>
      <c r="BL75" s="101">
        <f t="shared" si="71"/>
        <v>34.838145338214247</v>
      </c>
      <c r="BM75" s="101">
        <f t="shared" si="71"/>
        <v>34.033241175207444</v>
      </c>
      <c r="BN75" s="101">
        <f t="shared" si="71"/>
        <v>33.206413705028567</v>
      </c>
    </row>
    <row r="76" spans="1:66" outlineLevel="1" x14ac:dyDescent="0.2">
      <c r="A76"/>
      <c r="B76" t="s">
        <v>217</v>
      </c>
      <c r="C76" s="54" t="s">
        <v>153</v>
      </c>
      <c r="D76" s="44">
        <f>'BTX Recycling HC'!C77</f>
        <v>0</v>
      </c>
      <c r="E76" s="44">
        <f>'BTX Recycling HC'!D77</f>
        <v>0.15818781424312767</v>
      </c>
      <c r="F76" s="44">
        <f>'BTX Recycling HC'!E77</f>
        <v>0.30716121300280985</v>
      </c>
      <c r="G76" s="44">
        <f>'BTX Recycling HC'!F77</f>
        <v>0.45926388599926238</v>
      </c>
      <c r="H76" s="44">
        <f>'BTX Recycling HC'!G77</f>
        <v>0.60881381868566153</v>
      </c>
      <c r="I76" s="44">
        <f>'BTX Recycling HC'!H77</f>
        <v>0.75462218843196949</v>
      </c>
      <c r="J76" s="44">
        <f>'BTX Recycling HC'!I77</f>
        <v>0.9011599406875539</v>
      </c>
      <c r="K76" s="44">
        <f>'BTX Recycling HC'!J77</f>
        <v>1.0481745353563294</v>
      </c>
      <c r="L76" s="44">
        <f>'BTX Recycling HC'!K77</f>
        <v>1.1954061744543321</v>
      </c>
      <c r="M76" s="44">
        <f>'BTX Recycling HC'!L77</f>
        <v>1.3425883636269065</v>
      </c>
      <c r="N76" s="44">
        <f>'BTX Recycling HC'!M77</f>
        <v>1.4894485094895029</v>
      </c>
      <c r="O76" s="44">
        <f>'BTX Recycling HC'!N77</f>
        <v>1.6942616338235577</v>
      </c>
      <c r="P76" s="44">
        <f>'BTX Recycling HC'!O77</f>
        <v>1.8834841602658297</v>
      </c>
      <c r="Q76" s="44">
        <f>'BTX Recycling HC'!P77</f>
        <v>2.0554978579730321</v>
      </c>
      <c r="R76" s="44">
        <f>'BTX Recycling HC'!Q77</f>
        <v>2.2088243153238336</v>
      </c>
      <c r="S76" s="44">
        <f>'BTX Recycling HC'!R77</f>
        <v>2.3421438581220433</v>
      </c>
      <c r="T76" s="44">
        <f>'BTX Recycling HC'!S77</f>
        <v>2.4618407970861811</v>
      </c>
      <c r="U76" s="44">
        <f>'BTX Recycling HC'!T77</f>
        <v>2.5675071094715496</v>
      </c>
      <c r="V76" s="44">
        <f>'BTX Recycling HC'!U77</f>
        <v>2.6587377794046234</v>
      </c>
      <c r="W76" s="44">
        <f>'BTX Recycling HC'!V77</f>
        <v>2.7351311618302847</v>
      </c>
      <c r="X76" s="44">
        <f>'BTX Recycling HC'!W77</f>
        <v>2.7962893486410514</v>
      </c>
      <c r="Y76" s="44">
        <f>'BTX Recycling HC'!X77</f>
        <v>2.9873938731523348</v>
      </c>
      <c r="Z76" s="44">
        <f>'BTX Recycling HC'!Y77</f>
        <v>3.1522956189274471</v>
      </c>
      <c r="AA76" s="44">
        <f>'BTX Recycling HC'!Z77</f>
        <v>3.2902971819973321</v>
      </c>
      <c r="AB76" s="44">
        <f>'BTX Recycling HC'!AA77</f>
        <v>3.4007073548433824</v>
      </c>
      <c r="AC76" s="44">
        <f>'BTX Recycling HC'!AB77</f>
        <v>3.4828417067907647</v>
      </c>
      <c r="AD76" s="44">
        <f>'BTX Recycling HC'!AC77</f>
        <v>3.5360728973431859</v>
      </c>
      <c r="AE76" s="44">
        <f>'BTX Recycling HC'!AD77</f>
        <v>3.5597325348362188</v>
      </c>
      <c r="AF76" s="44">
        <f>'BTX Recycling HC'!AE77</f>
        <v>3.5531590402732749</v>
      </c>
      <c r="AG76" s="44">
        <f>'BTX Recycling HC'!AF77</f>
        <v>3.5156981680469301</v>
      </c>
      <c r="AH76" s="44">
        <f>'BTX Recycling HC'!AG77</f>
        <v>3.446703527950834</v>
      </c>
      <c r="AJ76" s="44">
        <f>D76</f>
        <v>0</v>
      </c>
      <c r="AK76" s="44">
        <f t="shared" ref="AK76:AZ77" si="72">E76</f>
        <v>0.15818781424312767</v>
      </c>
      <c r="AL76" s="44">
        <f t="shared" si="72"/>
        <v>0.30716121300280985</v>
      </c>
      <c r="AM76" s="44">
        <f t="shared" si="72"/>
        <v>0.45926388599926238</v>
      </c>
      <c r="AN76" s="44">
        <f t="shared" si="72"/>
        <v>0.60881381868566153</v>
      </c>
      <c r="AO76" s="44">
        <f t="shared" si="72"/>
        <v>0.75462218843196949</v>
      </c>
      <c r="AP76" s="44">
        <f t="shared" si="72"/>
        <v>0.9011599406875539</v>
      </c>
      <c r="AQ76" s="44">
        <f t="shared" si="72"/>
        <v>1.0481745353563294</v>
      </c>
      <c r="AR76" s="44">
        <f t="shared" si="72"/>
        <v>1.1954061744543321</v>
      </c>
      <c r="AS76" s="44">
        <f t="shared" si="72"/>
        <v>1.3425883636269065</v>
      </c>
      <c r="AT76" s="44">
        <f t="shared" si="72"/>
        <v>1.4894485094895029</v>
      </c>
      <c r="AU76" s="44">
        <f t="shared" si="72"/>
        <v>1.6942616338235577</v>
      </c>
      <c r="AV76" s="44">
        <f t="shared" si="72"/>
        <v>1.8834841602658297</v>
      </c>
      <c r="AW76" s="44">
        <f t="shared" si="72"/>
        <v>2.0554978579730321</v>
      </c>
      <c r="AX76" s="44">
        <f t="shared" si="72"/>
        <v>2.2088243153238336</v>
      </c>
      <c r="AY76" s="44">
        <f t="shared" si="72"/>
        <v>2.3421438581220433</v>
      </c>
      <c r="AZ76" s="44">
        <f t="shared" si="72"/>
        <v>2.4618407970861811</v>
      </c>
      <c r="BA76" s="44">
        <f t="shared" ref="BA76:BN77" si="73">U76</f>
        <v>2.5675071094715496</v>
      </c>
      <c r="BB76" s="44">
        <f t="shared" si="73"/>
        <v>2.6587377794046234</v>
      </c>
      <c r="BC76" s="44">
        <f t="shared" si="73"/>
        <v>2.7351311618302847</v>
      </c>
      <c r="BD76" s="44">
        <f t="shared" si="73"/>
        <v>2.7962893486410514</v>
      </c>
      <c r="BE76" s="44">
        <f t="shared" si="73"/>
        <v>2.9873938731523348</v>
      </c>
      <c r="BF76" s="44">
        <f t="shared" si="73"/>
        <v>3.1522956189274471</v>
      </c>
      <c r="BG76" s="44">
        <f t="shared" si="73"/>
        <v>3.2902971819973321</v>
      </c>
      <c r="BH76" s="44">
        <f t="shared" si="73"/>
        <v>3.4007073548433824</v>
      </c>
      <c r="BI76" s="44">
        <f t="shared" si="73"/>
        <v>3.4828417067907647</v>
      </c>
      <c r="BJ76" s="44">
        <f t="shared" si="73"/>
        <v>3.5360728973431859</v>
      </c>
      <c r="BK76" s="44">
        <f t="shared" si="73"/>
        <v>3.5597325348362188</v>
      </c>
      <c r="BL76" s="44">
        <f t="shared" si="73"/>
        <v>3.5531590402732749</v>
      </c>
      <c r="BM76" s="44">
        <f t="shared" si="73"/>
        <v>3.5156981680469301</v>
      </c>
      <c r="BN76" s="44">
        <f t="shared" si="73"/>
        <v>3.446703527950834</v>
      </c>
    </row>
    <row r="77" spans="1:66" outlineLevel="1" x14ac:dyDescent="0.2">
      <c r="A77"/>
      <c r="B77" s="181" t="s">
        <v>218</v>
      </c>
      <c r="C77" s="54" t="s">
        <v>153</v>
      </c>
      <c r="D77" s="44">
        <f>'BTX Recycling HC'!C172</f>
        <v>0</v>
      </c>
      <c r="E77" s="44">
        <f>'BTX Recycling HC'!D172</f>
        <v>1.4132867079701891E-3</v>
      </c>
      <c r="F77" s="44">
        <f>'BTX Recycling HC'!E172</f>
        <v>2.8539551704593802E-3</v>
      </c>
      <c r="G77" s="44">
        <f>'BTX Recycling HC'!F172</f>
        <v>4.3076370593622794E-3</v>
      </c>
      <c r="H77" s="44">
        <f>'BTX Recycling HC'!G172</f>
        <v>5.7591722715901487E-3</v>
      </c>
      <c r="I77" s="44">
        <f>'BTX Recycling HC'!H172</f>
        <v>7.1928277656026817E-3</v>
      </c>
      <c r="J77" s="44">
        <f>'BTX Recycling HC'!I172</f>
        <v>8.6221324116223137E-3</v>
      </c>
      <c r="K77" s="44">
        <f>'BTX Recycling HC'!J172</f>
        <v>1.003984525288195E-2</v>
      </c>
      <c r="L77" s="44">
        <f>'BTX Recycling HC'!K172</f>
        <v>1.1438338270231867E-2</v>
      </c>
      <c r="M77" s="44">
        <f>'BTX Recycling HC'!L172</f>
        <v>1.2809606423530247E-2</v>
      </c>
      <c r="N77" s="44">
        <f>'BTX Recycling HC'!M172</f>
        <v>1.4145279677018403E-2</v>
      </c>
      <c r="O77" s="44">
        <f>'BTX Recycling HC'!N172</f>
        <v>1.6923860193083333E-2</v>
      </c>
      <c r="P77" s="44">
        <f>'BTX Recycling HC'!O172</f>
        <v>1.9587348346535013E-2</v>
      </c>
      <c r="Q77" s="44">
        <f>'BTX Recycling HC'!P172</f>
        <v>2.2013763143759642E-2</v>
      </c>
      <c r="R77" s="44">
        <f>'BTX Recycling HC'!Q172</f>
        <v>2.4250891356361604E-2</v>
      </c>
      <c r="S77" s="44">
        <f>'BTX Recycling HC'!R172</f>
        <v>2.6273221048782578E-2</v>
      </c>
      <c r="T77" s="44">
        <f>'BTX Recycling HC'!S172</f>
        <v>2.8116823265533785E-2</v>
      </c>
      <c r="U77" s="44">
        <f>'BTX Recycling HC'!T172</f>
        <v>2.9768839751895853E-2</v>
      </c>
      <c r="V77" s="44">
        <f>'BTX Recycling HC'!U172</f>
        <v>3.1216288300148633E-2</v>
      </c>
      <c r="W77" s="44">
        <f>'BTX Recycling HC'!V172</f>
        <v>3.244607708197219E-2</v>
      </c>
      <c r="X77" s="44">
        <f>'BTX Recycling HC'!W172</f>
        <v>3.3445019464313303E-2</v>
      </c>
      <c r="Y77" s="44">
        <f>'BTX Recycling HC'!X172</f>
        <v>3.5701005383167367E-2</v>
      </c>
      <c r="Z77" s="44">
        <f>'BTX Recycling HC'!Y172</f>
        <v>3.757497211728688E-2</v>
      </c>
      <c r="AA77" s="44">
        <f>'BTX Recycling HC'!Z172</f>
        <v>3.8665838596670742E-2</v>
      </c>
      <c r="AB77" s="44">
        <f>'BTX Recycling HC'!AA172</f>
        <v>3.9302913420594103E-2</v>
      </c>
      <c r="AC77" s="44">
        <f>'BTX Recycling HC'!AB172</f>
        <v>3.9474938761678166E-2</v>
      </c>
      <c r="AD77" s="44">
        <f>'BTX Recycling HC'!AC172</f>
        <v>3.9172372307113075E-2</v>
      </c>
      <c r="AE77" s="44">
        <f>'BTX Recycling HC'!AD172</f>
        <v>3.8386618505718929E-2</v>
      </c>
      <c r="AF77" s="44">
        <f>'BTX Recycling HC'!AE172</f>
        <v>3.711053308072796E-2</v>
      </c>
      <c r="AG77" s="44">
        <f>'BTX Recycling HC'!AF172</f>
        <v>3.5338515426303348E-2</v>
      </c>
      <c r="AH77" s="44">
        <f>'BTX Recycling HC'!AG172</f>
        <v>3.3066602272509626E-2</v>
      </c>
      <c r="AJ77" s="44">
        <f>D77</f>
        <v>0</v>
      </c>
      <c r="AK77" s="44">
        <f t="shared" si="72"/>
        <v>1.4132867079701891E-3</v>
      </c>
      <c r="AL77" s="44">
        <f t="shared" si="72"/>
        <v>2.8539551704593802E-3</v>
      </c>
      <c r="AM77" s="44">
        <f t="shared" si="72"/>
        <v>4.3076370593622794E-3</v>
      </c>
      <c r="AN77" s="44">
        <f t="shared" si="72"/>
        <v>5.7591722715901487E-3</v>
      </c>
      <c r="AO77" s="44">
        <f t="shared" si="72"/>
        <v>7.1928277656026817E-3</v>
      </c>
      <c r="AP77" s="44">
        <f t="shared" si="72"/>
        <v>8.6221324116223137E-3</v>
      </c>
      <c r="AQ77" s="44">
        <f t="shared" si="72"/>
        <v>1.003984525288195E-2</v>
      </c>
      <c r="AR77" s="44">
        <f t="shared" si="72"/>
        <v>1.1438338270231867E-2</v>
      </c>
      <c r="AS77" s="44">
        <f t="shared" si="72"/>
        <v>1.2809606423530247E-2</v>
      </c>
      <c r="AT77" s="44">
        <f t="shared" si="72"/>
        <v>1.4145279677018403E-2</v>
      </c>
      <c r="AU77" s="44">
        <f t="shared" si="72"/>
        <v>1.6923860193083333E-2</v>
      </c>
      <c r="AV77" s="44">
        <f t="shared" si="72"/>
        <v>1.9587348346535013E-2</v>
      </c>
      <c r="AW77" s="44">
        <f t="shared" si="72"/>
        <v>2.2013763143759642E-2</v>
      </c>
      <c r="AX77" s="44">
        <f t="shared" si="72"/>
        <v>2.4250891356361604E-2</v>
      </c>
      <c r="AY77" s="44">
        <f t="shared" si="72"/>
        <v>2.6273221048782578E-2</v>
      </c>
      <c r="AZ77" s="44">
        <f t="shared" si="72"/>
        <v>2.8116823265533785E-2</v>
      </c>
      <c r="BA77" s="44">
        <f t="shared" si="73"/>
        <v>2.9768839751895853E-2</v>
      </c>
      <c r="BB77" s="44">
        <f t="shared" si="73"/>
        <v>3.1216288300148633E-2</v>
      </c>
      <c r="BC77" s="44">
        <f t="shared" si="73"/>
        <v>3.244607708197219E-2</v>
      </c>
      <c r="BD77" s="44">
        <f t="shared" si="73"/>
        <v>3.3445019464313303E-2</v>
      </c>
      <c r="BE77" s="44">
        <f t="shared" si="73"/>
        <v>3.5701005383167367E-2</v>
      </c>
      <c r="BF77" s="44">
        <f t="shared" si="73"/>
        <v>3.757497211728688E-2</v>
      </c>
      <c r="BG77" s="44">
        <f t="shared" si="73"/>
        <v>3.8665838596670742E-2</v>
      </c>
      <c r="BH77" s="44">
        <f t="shared" si="73"/>
        <v>3.9302913420594103E-2</v>
      </c>
      <c r="BI77" s="44">
        <f t="shared" si="73"/>
        <v>3.9474938761678166E-2</v>
      </c>
      <c r="BJ77" s="44">
        <f t="shared" si="73"/>
        <v>3.9172372307113075E-2</v>
      </c>
      <c r="BK77" s="44">
        <f t="shared" si="73"/>
        <v>3.8386618505718929E-2</v>
      </c>
      <c r="BL77" s="44">
        <f t="shared" si="73"/>
        <v>3.711053308072796E-2</v>
      </c>
      <c r="BM77" s="44">
        <f t="shared" si="73"/>
        <v>3.5338515426303348E-2</v>
      </c>
      <c r="BN77" s="44">
        <f t="shared" si="73"/>
        <v>3.3066602272509626E-2</v>
      </c>
    </row>
    <row r="78" spans="1:66" outlineLevel="1" x14ac:dyDescent="0.2">
      <c r="A78" s="62"/>
      <c r="B78" s="62" t="s">
        <v>219</v>
      </c>
      <c r="C78" s="63" t="s">
        <v>153</v>
      </c>
      <c r="D78" s="64">
        <f>D75-D76-D77</f>
        <v>45.090956546267236</v>
      </c>
      <c r="E78" s="64">
        <f t="shared" ref="E78:AG78" si="74">E75-E76-E77</f>
        <v>45.016680904435731</v>
      </c>
      <c r="F78" s="64">
        <f t="shared" si="74"/>
        <v>44.729597186970537</v>
      </c>
      <c r="G78" s="64">
        <f t="shared" si="74"/>
        <v>44.541307540725185</v>
      </c>
      <c r="H78" s="64">
        <f t="shared" si="74"/>
        <v>44.34935885596169</v>
      </c>
      <c r="I78" s="64">
        <f t="shared" si="74"/>
        <v>44.154823184718751</v>
      </c>
      <c r="J78" s="64">
        <f t="shared" si="74"/>
        <v>43.953081385848982</v>
      </c>
      <c r="K78" s="64">
        <f t="shared" si="74"/>
        <v>43.744256378825177</v>
      </c>
      <c r="L78" s="64">
        <f t="shared" si="74"/>
        <v>43.528476501328221</v>
      </c>
      <c r="M78" s="64">
        <f t="shared" si="74"/>
        <v>43.305874905260467</v>
      </c>
      <c r="N78" s="64">
        <f t="shared" si="74"/>
        <v>43.076588914507468</v>
      </c>
      <c r="O78" s="64">
        <f t="shared" si="74"/>
        <v>42.076147788810346</v>
      </c>
      <c r="P78" s="64">
        <f t="shared" si="74"/>
        <v>41.068575464001825</v>
      </c>
      <c r="Q78" s="64">
        <f t="shared" si="74"/>
        <v>40.055205675132704</v>
      </c>
      <c r="R78" s="64">
        <f t="shared" si="74"/>
        <v>39.037056391040913</v>
      </c>
      <c r="S78" s="64">
        <f t="shared" si="74"/>
        <v>38.015053875861398</v>
      </c>
      <c r="T78" s="64">
        <f t="shared" si="74"/>
        <v>36.982352471929154</v>
      </c>
      <c r="U78" s="64">
        <f t="shared" si="74"/>
        <v>35.938941341339984</v>
      </c>
      <c r="V78" s="64">
        <f t="shared" si="74"/>
        <v>34.884800229982261</v>
      </c>
      <c r="W78" s="64">
        <f t="shared" si="74"/>
        <v>33.819898997762955</v>
      </c>
      <c r="X78" s="64">
        <f t="shared" si="74"/>
        <v>32.74419714494573</v>
      </c>
      <c r="Y78" s="64">
        <f t="shared" si="74"/>
        <v>31.498269291413294</v>
      </c>
      <c r="Z78" s="64">
        <f t="shared" si="74"/>
        <v>30.251465308540435</v>
      </c>
      <c r="AA78" s="64">
        <f t="shared" si="74"/>
        <v>29.004406901614978</v>
      </c>
      <c r="AB78" s="64">
        <f t="shared" si="74"/>
        <v>27.756972023422691</v>
      </c>
      <c r="AC78" s="64">
        <f t="shared" si="74"/>
        <v>26.509365149979825</v>
      </c>
      <c r="AD78" s="64">
        <f t="shared" si="74"/>
        <v>25.261724583954877</v>
      </c>
      <c r="AE78" s="64">
        <f t="shared" si="74"/>
        <v>24.014221262116504</v>
      </c>
      <c r="AF78" s="64">
        <f t="shared" si="74"/>
        <v>22.767010282966179</v>
      </c>
      <c r="AG78" s="64">
        <f t="shared" si="74"/>
        <v>21.520230188217386</v>
      </c>
      <c r="AH78" s="64">
        <f>AH75-AH76-AH77</f>
        <v>20.274002240313244</v>
      </c>
      <c r="AJ78" s="64">
        <f>AJ75-AJ76-AJ77</f>
        <v>45.090956546267236</v>
      </c>
      <c r="AK78" s="64">
        <f t="shared" ref="AK78:BM78" si="75">AK75-AK76-AK77</f>
        <v>45.119959395565921</v>
      </c>
      <c r="AL78" s="64">
        <f t="shared" si="75"/>
        <v>44.97797928328076</v>
      </c>
      <c r="AM78" s="64">
        <f t="shared" si="75"/>
        <v>44.917978989779655</v>
      </c>
      <c r="AN78" s="64">
        <f t="shared" si="75"/>
        <v>44.857111969287111</v>
      </c>
      <c r="AO78" s="64">
        <f t="shared" si="75"/>
        <v>44.79649618168375</v>
      </c>
      <c r="AP78" s="64">
        <f t="shared" si="75"/>
        <v>44.731559065766923</v>
      </c>
      <c r="AQ78" s="64">
        <f t="shared" si="75"/>
        <v>44.662470802288389</v>
      </c>
      <c r="AR78" s="64">
        <f t="shared" si="75"/>
        <v>44.589407680895427</v>
      </c>
      <c r="AS78" s="64">
        <f t="shared" si="75"/>
        <v>44.512551505620713</v>
      </c>
      <c r="AT78" s="64">
        <f t="shared" si="75"/>
        <v>44.432088962245487</v>
      </c>
      <c r="AU78" s="64">
        <f t="shared" si="75"/>
        <v>43.758876430006417</v>
      </c>
      <c r="AV78" s="64">
        <f t="shared" si="75"/>
        <v>43.085567712206256</v>
      </c>
      <c r="AW78" s="64">
        <f t="shared" si="75"/>
        <v>42.413611719534096</v>
      </c>
      <c r="AX78" s="64">
        <f t="shared" si="75"/>
        <v>41.744143279093556</v>
      </c>
      <c r="AY78" s="64">
        <f t="shared" si="75"/>
        <v>41.078207218994258</v>
      </c>
      <c r="AZ78" s="64">
        <f t="shared" si="75"/>
        <v>40.409078174640541</v>
      </c>
      <c r="BA78" s="64">
        <f t="shared" si="75"/>
        <v>39.736867353986099</v>
      </c>
      <c r="BB78" s="64">
        <f t="shared" si="75"/>
        <v>39.061678325571648</v>
      </c>
      <c r="BC78" s="64">
        <f t="shared" si="75"/>
        <v>38.383606573072832</v>
      </c>
      <c r="BD78" s="64">
        <f t="shared" si="75"/>
        <v>37.702739046280378</v>
      </c>
      <c r="BE78" s="64">
        <f t="shared" si="75"/>
        <v>36.866675580292835</v>
      </c>
      <c r="BF78" s="64">
        <f t="shared" si="75"/>
        <v>36.03815301792082</v>
      </c>
      <c r="BG78" s="64">
        <f t="shared" si="75"/>
        <v>35.217928645586241</v>
      </c>
      <c r="BH78" s="64">
        <f t="shared" si="75"/>
        <v>34.406017961533003</v>
      </c>
      <c r="BI78" s="64">
        <f t="shared" si="75"/>
        <v>33.60276497836923</v>
      </c>
      <c r="BJ78" s="64">
        <f t="shared" si="75"/>
        <v>32.808449553651009</v>
      </c>
      <c r="BK78" s="64">
        <f t="shared" si="75"/>
        <v>32.023386224848863</v>
      </c>
      <c r="BL78" s="64">
        <f t="shared" si="75"/>
        <v>31.247875764860243</v>
      </c>
      <c r="BM78" s="64">
        <f t="shared" si="75"/>
        <v>30.482204491734208</v>
      </c>
      <c r="BN78" s="64">
        <f>BN75-BN76-BN77</f>
        <v>29.726643574805223</v>
      </c>
    </row>
    <row r="79" spans="1:66" s="67" customFormat="1" outlineLevel="1" x14ac:dyDescent="0.2">
      <c r="A79" s="681"/>
      <c r="B79" s="58" t="s">
        <v>7</v>
      </c>
      <c r="C79" s="59" t="s">
        <v>153</v>
      </c>
      <c r="D79" s="60">
        <f>D35-'Overall recycling rates'!$G$60/SUM('Overall recycling rates'!$G$60:$G$62)*('BTX Recycling HC'!C78+'BTX Recycling HC'!C173)-'Overall recycling rates'!$E$60/SUM('Overall recycling rates'!$E$60:$E$62)*('BTX Recycling HC'!C79+'BTX Recycling HC'!C174)-'Overall recycling rates'!$H$60/SUM('Overall recycling rates'!$H$60:$H$62)*('BTX Recycling HC'!C80+'BTX Recycling HC'!C175)-'Overall recycling rates'!$I$60/SUM('Overall recycling rates'!$I$60:$I$62)*('BTX Recycling HC'!C81+'BTX Recycling HC'!C176)</f>
        <v>7.8426966561118325</v>
      </c>
      <c r="E79" s="60">
        <f>E35-'Overall recycling rates'!$G$60/SUM('Overall recycling rates'!$G$60:$G$62)*('BTX Recycling HC'!D78+'BTX Recycling HC'!D173)-'Overall recycling rates'!$E$60/SUM('Overall recycling rates'!$E$60:$E$62)*('BTX Recycling HC'!D79+'BTX Recycling HC'!D174)-'Overall recycling rates'!$H$60/SUM('Overall recycling rates'!$H$60:$H$62)*('BTX Recycling HC'!D80+'BTX Recycling HC'!D175)-'Overall recycling rates'!$I$60/SUM('Overall recycling rates'!$I$60:$I$62)*('BTX Recycling HC'!D81+'BTX Recycling HC'!D176)</f>
        <v>7.8523334230995623</v>
      </c>
      <c r="F79" s="60">
        <f>F35-'Overall recycling rates'!$G$60/SUM('Overall recycling rates'!$G$60:$G$62)*('BTX Recycling HC'!E78+'BTX Recycling HC'!E173)-'Overall recycling rates'!$E$60/SUM('Overall recycling rates'!$E$60:$E$62)*('BTX Recycling HC'!E79+'BTX Recycling HC'!E174)-'Overall recycling rates'!$H$60/SUM('Overall recycling rates'!$H$60:$H$62)*('BTX Recycling HC'!E80+'BTX Recycling HC'!E175)-'Overall recycling rates'!$I$60/SUM('Overall recycling rates'!$I$60:$I$62)*('BTX Recycling HC'!E81+'BTX Recycling HC'!E176)</f>
        <v>7.8582500475858801</v>
      </c>
      <c r="G79" s="60">
        <f>G35-'Overall recycling rates'!$G$60/SUM('Overall recycling rates'!$G$60:$G$62)*('BTX Recycling HC'!F78+'BTX Recycling HC'!F173)-'Overall recycling rates'!$E$60/SUM('Overall recycling rates'!$E$60:$E$62)*('BTX Recycling HC'!F79+'BTX Recycling HC'!F174)-'Overall recycling rates'!$H$60/SUM('Overall recycling rates'!$H$60:$H$62)*('BTX Recycling HC'!F80+'BTX Recycling HC'!F175)-'Overall recycling rates'!$I$60/SUM('Overall recycling rates'!$I$60:$I$62)*('BTX Recycling HC'!F81+'BTX Recycling HC'!F176)</f>
        <v>7.8602976209737889</v>
      </c>
      <c r="H79" s="60">
        <f>H35-'Overall recycling rates'!$G$60/SUM('Overall recycling rates'!$G$60:$G$62)*('BTX Recycling HC'!G78+'BTX Recycling HC'!G173)-'Overall recycling rates'!$E$60/SUM('Overall recycling rates'!$E$60:$E$62)*('BTX Recycling HC'!G79+'BTX Recycling HC'!G174)-'Overall recycling rates'!$H$60/SUM('Overall recycling rates'!$H$60:$H$62)*('BTX Recycling HC'!G80+'BTX Recycling HC'!G175)-'Overall recycling rates'!$I$60/SUM('Overall recycling rates'!$I$60:$I$62)*('BTX Recycling HC'!G81+'BTX Recycling HC'!G176)</f>
        <v>7.8586524648998122</v>
      </c>
      <c r="I79" s="60">
        <f>I35-'Overall recycling rates'!$G$60/SUM('Overall recycling rates'!$G$60:$G$62)*('BTX Recycling HC'!H78+'BTX Recycling HC'!H173)-'Overall recycling rates'!$E$60/SUM('Overall recycling rates'!$E$60:$E$62)*('BTX Recycling HC'!H79+'BTX Recycling HC'!H174)-'Overall recycling rates'!$H$60/SUM('Overall recycling rates'!$H$60:$H$62)*('BTX Recycling HC'!H80+'BTX Recycling HC'!H175)-'Overall recycling rates'!$I$60/SUM('Overall recycling rates'!$I$60:$I$62)*('BTX Recycling HC'!H81+'BTX Recycling HC'!H176)</f>
        <v>7.8534793575867505</v>
      </c>
      <c r="J79" s="60">
        <f>J35-'Overall recycling rates'!$G$60/SUM('Overall recycling rates'!$G$60:$G$62)*('BTX Recycling HC'!I78+'BTX Recycling HC'!I173)-'Overall recycling rates'!$E$60/SUM('Overall recycling rates'!$E$60:$E$62)*('BTX Recycling HC'!I79+'BTX Recycling HC'!I174)-'Overall recycling rates'!$H$60/SUM('Overall recycling rates'!$H$60:$H$62)*('BTX Recycling HC'!I80+'BTX Recycling HC'!I175)-'Overall recycling rates'!$I$60/SUM('Overall recycling rates'!$I$60:$I$62)*('BTX Recycling HC'!I81+'BTX Recycling HC'!I176)</f>
        <v>7.844560306663805</v>
      </c>
      <c r="K79" s="60">
        <f>K35-'Overall recycling rates'!$G$60/SUM('Overall recycling rates'!$G$60:$G$62)*('BTX Recycling HC'!J78+'BTX Recycling HC'!J173)-'Overall recycling rates'!$E$60/SUM('Overall recycling rates'!$E$60:$E$62)*('BTX Recycling HC'!J79+'BTX Recycling HC'!J174)-'Overall recycling rates'!$H$60/SUM('Overall recycling rates'!$H$60:$H$62)*('BTX Recycling HC'!J80+'BTX Recycling HC'!J175)-'Overall recycling rates'!$I$60/SUM('Overall recycling rates'!$I$60:$I$62)*('BTX Recycling HC'!J81+'BTX Recycling HC'!J176)</f>
        <v>7.8318857976087664</v>
      </c>
      <c r="L79" s="60">
        <f>L35-'Overall recycling rates'!$G$60/SUM('Overall recycling rates'!$G$60:$G$62)*('BTX Recycling HC'!K78+'BTX Recycling HC'!K173)-'Overall recycling rates'!$E$60/SUM('Overall recycling rates'!$E$60:$E$62)*('BTX Recycling HC'!K79+'BTX Recycling HC'!K174)-'Overall recycling rates'!$H$60/SUM('Overall recycling rates'!$H$60:$H$62)*('BTX Recycling HC'!K80+'BTX Recycling HC'!K175)-'Overall recycling rates'!$I$60/SUM('Overall recycling rates'!$I$60:$I$62)*('BTX Recycling HC'!K81+'BTX Recycling HC'!K176)</f>
        <v>7.8154588118146053</v>
      </c>
      <c r="M79" s="60">
        <f>M35-'Overall recycling rates'!$G$60/SUM('Overall recycling rates'!$G$60:$G$62)*('BTX Recycling HC'!L78+'BTX Recycling HC'!L173)-'Overall recycling rates'!$E$60/SUM('Overall recycling rates'!$E$60:$E$62)*('BTX Recycling HC'!L79+'BTX Recycling HC'!L174)-'Overall recycling rates'!$H$60/SUM('Overall recycling rates'!$H$60:$H$62)*('BTX Recycling HC'!L80+'BTX Recycling HC'!L175)-'Overall recycling rates'!$I$60/SUM('Overall recycling rates'!$I$60:$I$62)*('BTX Recycling HC'!L81+'BTX Recycling HC'!L176)</f>
        <v>7.7952951716827021</v>
      </c>
      <c r="N79" s="60">
        <f>N35-'Overall recycling rates'!$G$60/SUM('Overall recycling rates'!$G$60:$G$62)*('BTX Recycling HC'!M78+'BTX Recycling HC'!M173)-'Overall recycling rates'!$E$60/SUM('Overall recycling rates'!$E$60:$E$62)*('BTX Recycling HC'!M79+'BTX Recycling HC'!M174)-'Overall recycling rates'!$H$60/SUM('Overall recycling rates'!$H$60:$H$62)*('BTX Recycling HC'!M80+'BTX Recycling HC'!M175)-'Overall recycling rates'!$I$60/SUM('Overall recycling rates'!$I$60:$I$62)*('BTX Recycling HC'!M81+'BTX Recycling HC'!M176)</f>
        <v>7.7714238407010594</v>
      </c>
      <c r="O79" s="60">
        <f>O35-'Overall recycling rates'!$G$60/SUM('Overall recycling rates'!$G$60:$G$62)*('BTX Recycling HC'!N78+'BTX Recycling HC'!N173)-'Overall recycling rates'!$E$60/SUM('Overall recycling rates'!$E$60:$E$62)*('BTX Recycling HC'!N79+'BTX Recycling HC'!N174)-'Overall recycling rates'!$H$60/SUM('Overall recycling rates'!$H$60:$H$62)*('BTX Recycling HC'!N80+'BTX Recycling HC'!N175)-'Overall recycling rates'!$I$60/SUM('Overall recycling rates'!$I$60:$I$62)*('BTX Recycling HC'!N81+'BTX Recycling HC'!N176)</f>
        <v>7.5508764930782979</v>
      </c>
      <c r="P79" s="60">
        <f>P35-'Overall recycling rates'!$G$60/SUM('Overall recycling rates'!$G$60:$G$62)*('BTX Recycling HC'!O78+'BTX Recycling HC'!O173)-'Overall recycling rates'!$E$60/SUM('Overall recycling rates'!$E$60:$E$62)*('BTX Recycling HC'!O79+'BTX Recycling HC'!O174)-'Overall recycling rates'!$H$60/SUM('Overall recycling rates'!$H$60:$H$62)*('BTX Recycling HC'!O80+'BTX Recycling HC'!O175)-'Overall recycling rates'!$I$60/SUM('Overall recycling rates'!$I$60:$I$62)*('BTX Recycling HC'!O81+'BTX Recycling HC'!O176)</f>
        <v>7.4064471353647576</v>
      </c>
      <c r="Q79" s="60">
        <f>Q35-'Overall recycling rates'!$G$60/SUM('Overall recycling rates'!$G$60:$G$62)*('BTX Recycling HC'!P78+'BTX Recycling HC'!P173)-'Overall recycling rates'!$E$60/SUM('Overall recycling rates'!$E$60:$E$62)*('BTX Recycling HC'!P79+'BTX Recycling HC'!P174)-'Overall recycling rates'!$H$60/SUM('Overall recycling rates'!$H$60:$H$62)*('BTX Recycling HC'!P80+'BTX Recycling HC'!P175)-'Overall recycling rates'!$I$60/SUM('Overall recycling rates'!$I$60:$I$62)*('BTX Recycling HC'!P81+'BTX Recycling HC'!P176)</f>
        <v>7.2578214429216796</v>
      </c>
      <c r="R79" s="60">
        <f>R35-'Overall recycling rates'!$G$60/SUM('Overall recycling rates'!$G$60:$G$62)*('BTX Recycling HC'!Q78+'BTX Recycling HC'!Q173)-'Overall recycling rates'!$E$60/SUM('Overall recycling rates'!$E$60:$E$62)*('BTX Recycling HC'!Q79+'BTX Recycling HC'!Q174)-'Overall recycling rates'!$H$60/SUM('Overall recycling rates'!$H$60:$H$62)*('BTX Recycling HC'!Q80+'BTX Recycling HC'!Q175)-'Overall recycling rates'!$I$60/SUM('Overall recycling rates'!$I$60:$I$62)*('BTX Recycling HC'!Q81+'BTX Recycling HC'!Q176)</f>
        <v>7.1057680911287351</v>
      </c>
      <c r="S79" s="60">
        <f>S35-'Overall recycling rates'!$G$60/SUM('Overall recycling rates'!$G$60:$G$62)*('BTX Recycling HC'!R78+'BTX Recycling HC'!R173)-'Overall recycling rates'!$E$60/SUM('Overall recycling rates'!$E$60:$E$62)*('BTX Recycling HC'!R79+'BTX Recycling HC'!R174)-'Overall recycling rates'!$H$60/SUM('Overall recycling rates'!$H$60:$H$62)*('BTX Recycling HC'!R80+'BTX Recycling HC'!R175)-'Overall recycling rates'!$I$60/SUM('Overall recycling rates'!$I$60:$I$62)*('BTX Recycling HC'!R81+'BTX Recycling HC'!R176)</f>
        <v>6.9511468337765328</v>
      </c>
      <c r="T79" s="60">
        <f>T35-'Overall recycling rates'!$G$60/SUM('Overall recycling rates'!$G$60:$G$62)*('BTX Recycling HC'!S78+'BTX Recycling HC'!S173)-'Overall recycling rates'!$E$60/SUM('Overall recycling rates'!$E$60:$E$62)*('BTX Recycling HC'!S79+'BTX Recycling HC'!S174)-'Overall recycling rates'!$H$60/SUM('Overall recycling rates'!$H$60:$H$62)*('BTX Recycling HC'!S80+'BTX Recycling HC'!S175)-'Overall recycling rates'!$I$60/SUM('Overall recycling rates'!$I$60:$I$62)*('BTX Recycling HC'!S81+'BTX Recycling HC'!S176)</f>
        <v>6.7933648907845852</v>
      </c>
      <c r="U79" s="60">
        <f>U35-'Overall recycling rates'!$G$60/SUM('Overall recycling rates'!$G$60:$G$62)*('BTX Recycling HC'!T78+'BTX Recycling HC'!T173)-'Overall recycling rates'!$E$60/SUM('Overall recycling rates'!$E$60:$E$62)*('BTX Recycling HC'!T79+'BTX Recycling HC'!T174)-'Overall recycling rates'!$H$60/SUM('Overall recycling rates'!$H$60:$H$62)*('BTX Recycling HC'!T80+'BTX Recycling HC'!T175)-'Overall recycling rates'!$I$60/SUM('Overall recycling rates'!$I$60:$I$62)*('BTX Recycling HC'!T81+'BTX Recycling HC'!T176)</f>
        <v>6.6329397099584408</v>
      </c>
      <c r="V79" s="60">
        <f>V35-'Overall recycling rates'!$G$60/SUM('Overall recycling rates'!$G$60:$G$62)*('BTX Recycling HC'!U78+'BTX Recycling HC'!U173)-'Overall recycling rates'!$E$60/SUM('Overall recycling rates'!$E$60:$E$62)*('BTX Recycling HC'!U79+'BTX Recycling HC'!U174)-'Overall recycling rates'!$H$60/SUM('Overall recycling rates'!$H$60:$H$62)*('BTX Recycling HC'!U80+'BTX Recycling HC'!U175)-'Overall recycling rates'!$I$60/SUM('Overall recycling rates'!$I$60:$I$62)*('BTX Recycling HC'!U81+'BTX Recycling HC'!U176)</f>
        <v>6.4704062973889762</v>
      </c>
      <c r="W79" s="60">
        <f>W35-'Overall recycling rates'!$G$60/SUM('Overall recycling rates'!$G$60:$G$62)*('BTX Recycling HC'!V78+'BTX Recycling HC'!V173)-'Overall recycling rates'!$E$60/SUM('Overall recycling rates'!$E$60:$E$62)*('BTX Recycling HC'!V79+'BTX Recycling HC'!V174)-'Overall recycling rates'!$H$60/SUM('Overall recycling rates'!$H$60:$H$62)*('BTX Recycling HC'!V80+'BTX Recycling HC'!V175)-'Overall recycling rates'!$I$60/SUM('Overall recycling rates'!$I$60:$I$62)*('BTX Recycling HC'!V81+'BTX Recycling HC'!V176)</f>
        <v>6.3063169350888568</v>
      </c>
      <c r="X79" s="60">
        <f>X35-'Overall recycling rates'!$G$60/SUM('Overall recycling rates'!$G$60:$G$62)*('BTX Recycling HC'!W78+'BTX Recycling HC'!W173)-'Overall recycling rates'!$E$60/SUM('Overall recycling rates'!$E$60:$E$62)*('BTX Recycling HC'!W79+'BTX Recycling HC'!W174)-'Overall recycling rates'!$H$60/SUM('Overall recycling rates'!$H$60:$H$62)*('BTX Recycling HC'!W80+'BTX Recycling HC'!W175)-'Overall recycling rates'!$I$60/SUM('Overall recycling rates'!$I$60:$I$62)*('BTX Recycling HC'!W81+'BTX Recycling HC'!W176)</f>
        <v>6.1412408724303047</v>
      </c>
      <c r="Y79" s="60">
        <f>Y35-'Overall recycling rates'!$G$60/SUM('Overall recycling rates'!$G$60:$G$62)*('BTX Recycling HC'!X78+'BTX Recycling HC'!X173)-'Overall recycling rates'!$E$60/SUM('Overall recycling rates'!$E$60:$E$62)*('BTX Recycling HC'!X79+'BTX Recycling HC'!X174)-'Overall recycling rates'!$H$60/SUM('Overall recycling rates'!$H$60:$H$62)*('BTX Recycling HC'!X80+'BTX Recycling HC'!X175)-'Overall recycling rates'!$I$60/SUM('Overall recycling rates'!$I$60:$I$62)*('BTX Recycling HC'!X81+'BTX Recycling HC'!X176)</f>
        <v>5.9559220124026711</v>
      </c>
      <c r="Z79" s="60">
        <f>Z35-'Overall recycling rates'!$G$60/SUM('Overall recycling rates'!$G$60:$G$62)*('BTX Recycling HC'!Y78+'BTX Recycling HC'!Y173)-'Overall recycling rates'!$E$60/SUM('Overall recycling rates'!$E$60:$E$62)*('BTX Recycling HC'!Y79+'BTX Recycling HC'!Y174)-'Overall recycling rates'!$H$60/SUM('Overall recycling rates'!$H$60:$H$62)*('BTX Recycling HC'!Y80+'BTX Recycling HC'!Y175)-'Overall recycling rates'!$I$60/SUM('Overall recycling rates'!$I$60:$I$62)*('BTX Recycling HC'!Y81+'BTX Recycling HC'!Y176)</f>
        <v>5.7705299916721575</v>
      </c>
      <c r="AA79" s="60">
        <f>AA35-'Overall recycling rates'!$G$60/SUM('Overall recycling rates'!$G$60:$G$62)*('BTX Recycling HC'!Z78+'BTX Recycling HC'!Z173)-'Overall recycling rates'!$E$60/SUM('Overall recycling rates'!$E$60:$E$62)*('BTX Recycling HC'!Z79+'BTX Recycling HC'!Z174)-'Overall recycling rates'!$H$60/SUM('Overall recycling rates'!$H$60:$H$62)*('BTX Recycling HC'!Z80+'BTX Recycling HC'!Z175)-'Overall recycling rates'!$I$60/SUM('Overall recycling rates'!$I$60:$I$62)*('BTX Recycling HC'!Z81+'BTX Recycling HC'!Z176)</f>
        <v>5.5863807567964887</v>
      </c>
      <c r="AB79" s="60">
        <f>AB35-'Overall recycling rates'!$G$60/SUM('Overall recycling rates'!$G$60:$G$62)*('BTX Recycling HC'!AA78+'BTX Recycling HC'!AA173)-'Overall recycling rates'!$E$60/SUM('Overall recycling rates'!$E$60:$E$62)*('BTX Recycling HC'!AA79+'BTX Recycling HC'!AA174)-'Overall recycling rates'!$H$60/SUM('Overall recycling rates'!$H$60:$H$62)*('BTX Recycling HC'!AA80+'BTX Recycling HC'!AA175)-'Overall recycling rates'!$I$60/SUM('Overall recycling rates'!$I$60:$I$62)*('BTX Recycling HC'!AA81+'BTX Recycling HC'!AA176)</f>
        <v>5.4043465576874929</v>
      </c>
      <c r="AC79" s="60">
        <f>AC35-'Overall recycling rates'!$G$60/SUM('Overall recycling rates'!$G$60:$G$62)*('BTX Recycling HC'!AB78+'BTX Recycling HC'!AB173)-'Overall recycling rates'!$E$60/SUM('Overall recycling rates'!$E$60:$E$62)*('BTX Recycling HC'!AB79+'BTX Recycling HC'!AB174)-'Overall recycling rates'!$H$60/SUM('Overall recycling rates'!$H$60:$H$62)*('BTX Recycling HC'!AB80+'BTX Recycling HC'!AB175)-'Overall recycling rates'!$I$60/SUM('Overall recycling rates'!$I$60:$I$62)*('BTX Recycling HC'!AB81+'BTX Recycling HC'!AB176)</f>
        <v>5.2255513869023718</v>
      </c>
      <c r="AD79" s="60">
        <f>AD35-'Overall recycling rates'!$G$60/SUM('Overall recycling rates'!$G$60:$G$62)*('BTX Recycling HC'!AC78+'BTX Recycling HC'!AC173)-'Overall recycling rates'!$E$60/SUM('Overall recycling rates'!$E$60:$E$62)*('BTX Recycling HC'!AC79+'BTX Recycling HC'!AC174)-'Overall recycling rates'!$H$60/SUM('Overall recycling rates'!$H$60:$H$62)*('BTX Recycling HC'!AC80+'BTX Recycling HC'!AC175)-'Overall recycling rates'!$I$60/SUM('Overall recycling rates'!$I$60:$I$62)*('BTX Recycling HC'!AC81+'BTX Recycling HC'!AC176)</f>
        <v>5.0511316831445985</v>
      </c>
      <c r="AE79" s="60">
        <f>AE35-'Overall recycling rates'!$G$60/SUM('Overall recycling rates'!$G$60:$G$62)*('BTX Recycling HC'!AD78+'BTX Recycling HC'!AD173)-'Overall recycling rates'!$E$60/SUM('Overall recycling rates'!$E$60:$E$62)*('BTX Recycling HC'!AD79+'BTX Recycling HC'!AD174)-'Overall recycling rates'!$H$60/SUM('Overall recycling rates'!$H$60:$H$62)*('BTX Recycling HC'!AD80+'BTX Recycling HC'!AD175)-'Overall recycling rates'!$I$60/SUM('Overall recycling rates'!$I$60:$I$62)*('BTX Recycling HC'!AD81+'BTX Recycling HC'!AD176)</f>
        <v>4.8822649066088459</v>
      </c>
      <c r="AF79" s="60">
        <f>AF35-'Overall recycling rates'!$G$60/SUM('Overall recycling rates'!$G$60:$G$62)*('BTX Recycling HC'!AE78+'BTX Recycling HC'!AE173)-'Overall recycling rates'!$E$60/SUM('Overall recycling rates'!$E$60:$E$62)*('BTX Recycling HC'!AE79+'BTX Recycling HC'!AE174)-'Overall recycling rates'!$H$60/SUM('Overall recycling rates'!$H$60:$H$62)*('BTX Recycling HC'!AE80+'BTX Recycling HC'!AE175)-'Overall recycling rates'!$I$60/SUM('Overall recycling rates'!$I$60:$I$62)*('BTX Recycling HC'!AE81+'BTX Recycling HC'!AE176)</f>
        <v>4.7201557640575222</v>
      </c>
      <c r="AG79" s="60">
        <f>AG35-'Overall recycling rates'!$G$60/SUM('Overall recycling rates'!$G$60:$G$62)*('BTX Recycling HC'!AF78+'BTX Recycling HC'!AF173)-'Overall recycling rates'!$E$60/SUM('Overall recycling rates'!$E$60:$E$62)*('BTX Recycling HC'!AF79+'BTX Recycling HC'!AF174)-'Overall recycling rates'!$H$60/SUM('Overall recycling rates'!$H$60:$H$62)*('BTX Recycling HC'!AF80+'BTX Recycling HC'!AF175)-'Overall recycling rates'!$I$60/SUM('Overall recycling rates'!$I$60:$I$62)*('BTX Recycling HC'!AF81+'BTX Recycling HC'!AF176)</f>
        <v>4.5660355970784448</v>
      </c>
      <c r="AH79" s="60">
        <f>AH35-'Overall recycling rates'!$G$60/SUM('Overall recycling rates'!$G$60:$G$62)*('BTX Recycling HC'!AG78+'BTX Recycling HC'!AG173)-'Overall recycling rates'!$E$60/SUM('Overall recycling rates'!$E$60:$E$62)*('BTX Recycling HC'!AG79+'BTX Recycling HC'!AG174)-'Overall recycling rates'!$H$60/SUM('Overall recycling rates'!$H$60:$H$62)*('BTX Recycling HC'!AG80+'BTX Recycling HC'!AG175)-'Overall recycling rates'!$I$60/SUM('Overall recycling rates'!$I$60:$I$62)*('BTX Recycling HC'!AG81+'BTX Recycling HC'!AG176)</f>
        <v>4.421161734967324</v>
      </c>
      <c r="AI79" s="60"/>
      <c r="AJ79" s="60">
        <f>AJ35-'Overall recycling rates'!$G$60/SUM('Overall recycling rates'!$G$60:$G$62)*('BTX Recycling HC'!C78+'BTX Recycling HC'!C173)-'Overall recycling rates'!$E$60/SUM('Overall recycling rates'!$E$60:$E$62)*('BTX Recycling HC'!C79+'BTX Recycling HC'!C174)-'Overall recycling rates'!$H$60/SUM('Overall recycling rates'!$H$60:$H$62)*('BTX Recycling HC'!C80+'BTX Recycling HC'!C175)-'Overall recycling rates'!$I$60/SUM('Overall recycling rates'!$I$60:$I$62)*('BTX Recycling HC'!C81+'BTX Recycling HC'!C176)</f>
        <v>7.8426966561118325</v>
      </c>
      <c r="AK79" s="60">
        <f>AK35-'Overall recycling rates'!$G$60/SUM('Overall recycling rates'!$G$60:$G$62)*('BTX Recycling HC'!D78+'BTX Recycling HC'!D173)-'Overall recycling rates'!$E$60/SUM('Overall recycling rates'!$E$60:$E$62)*('BTX Recycling HC'!D79+'BTX Recycling HC'!D174)-'Overall recycling rates'!$H$60/SUM('Overall recycling rates'!$H$60:$H$62)*('BTX Recycling HC'!D80+'BTX Recycling HC'!D175)-'Overall recycling rates'!$I$60/SUM('Overall recycling rates'!$I$60:$I$62)*('BTX Recycling HC'!D81+'BTX Recycling HC'!D176)</f>
        <v>7.8666443266341917</v>
      </c>
      <c r="AL79" s="60">
        <f>AL35-'Overall recycling rates'!$G$60/SUM('Overall recycling rates'!$G$60:$G$62)*('BTX Recycling HC'!E78+'BTX Recycling HC'!E173)-'Overall recycling rates'!$E$60/SUM('Overall recycling rates'!$E$60:$E$62)*('BTX Recycling HC'!E79+'BTX Recycling HC'!E174)-'Overall recycling rates'!$H$60/SUM('Overall recycling rates'!$H$60:$H$62)*('BTX Recycling HC'!E80+'BTX Recycling HC'!E175)-'Overall recycling rates'!$I$60/SUM('Overall recycling rates'!$I$60:$I$62)*('BTX Recycling HC'!E81+'BTX Recycling HC'!E176)</f>
        <v>7.8871987016527099</v>
      </c>
      <c r="AM79" s="60">
        <f>AM35-'Overall recycling rates'!$G$60/SUM('Overall recycling rates'!$G$60:$G$62)*('BTX Recycling HC'!F78+'BTX Recycling HC'!F173)-'Overall recycling rates'!$E$60/SUM('Overall recycling rates'!$E$60:$E$62)*('BTX Recycling HC'!F79+'BTX Recycling HC'!F174)-'Overall recycling rates'!$H$60/SUM('Overall recycling rates'!$H$60:$H$62)*('BTX Recycling HC'!F80+'BTX Recycling HC'!F175)-'Overall recycling rates'!$I$60/SUM('Overall recycling rates'!$I$60:$I$62)*('BTX Recycling HC'!F81+'BTX Recycling HC'!F176)</f>
        <v>7.9042164636633325</v>
      </c>
      <c r="AN79" s="60">
        <f>AN35-'Overall recycling rates'!$G$60/SUM('Overall recycling rates'!$G$60:$G$62)*('BTX Recycling HC'!G78+'BTX Recycling HC'!G173)-'Overall recycling rates'!$E$60/SUM('Overall recycling rates'!$E$60:$E$62)*('BTX Recycling HC'!G79+'BTX Recycling HC'!G174)-'Overall recycling rates'!$H$60/SUM('Overall recycling rates'!$H$60:$H$62)*('BTX Recycling HC'!G80+'BTX Recycling HC'!G175)-'Overall recycling rates'!$I$60/SUM('Overall recycling rates'!$I$60:$I$62)*('BTX Recycling HC'!G81+'BTX Recycling HC'!G176)</f>
        <v>7.9178796103039373</v>
      </c>
      <c r="AO79" s="60">
        <f>AO35-'Overall recycling rates'!$G$60/SUM('Overall recycling rates'!$G$60:$G$62)*('BTX Recycling HC'!H78+'BTX Recycling HC'!H173)-'Overall recycling rates'!$E$60/SUM('Overall recycling rates'!$E$60:$E$62)*('BTX Recycling HC'!H79+'BTX Recycling HC'!H174)-'Overall recycling rates'!$H$60/SUM('Overall recycling rates'!$H$60:$H$62)*('BTX Recycling HC'!H80+'BTX Recycling HC'!H175)-'Overall recycling rates'!$I$60/SUM('Overall recycling rates'!$I$60:$I$62)*('BTX Recycling HC'!H81+'BTX Recycling HC'!H176)</f>
        <v>7.9283586819145428</v>
      </c>
      <c r="AP79" s="60">
        <f>AP35-'Overall recycling rates'!$G$60/SUM('Overall recycling rates'!$G$60:$G$62)*('BTX Recycling HC'!I78+'BTX Recycling HC'!I173)-'Overall recycling rates'!$E$60/SUM('Overall recycling rates'!$E$60:$E$62)*('BTX Recycling HC'!I79+'BTX Recycling HC'!I174)-'Overall recycling rates'!$H$60/SUM('Overall recycling rates'!$H$60:$H$62)*('BTX Recycling HC'!I80+'BTX Recycling HC'!I175)-'Overall recycling rates'!$I$60/SUM('Overall recycling rates'!$I$60:$I$62)*('BTX Recycling HC'!I81+'BTX Recycling HC'!I176)</f>
        <v>7.9354415355813455</v>
      </c>
      <c r="AQ79" s="60">
        <f>AQ35-'Overall recycling rates'!$G$60/SUM('Overall recycling rates'!$G$60:$G$62)*('BTX Recycling HC'!J78+'BTX Recycling HC'!J173)-'Overall recycling rates'!$E$60/SUM('Overall recycling rates'!$E$60:$E$62)*('BTX Recycling HC'!J79+'BTX Recycling HC'!J174)-'Overall recycling rates'!$H$60/SUM('Overall recycling rates'!$H$60:$H$62)*('BTX Recycling HC'!J80+'BTX Recycling HC'!J175)-'Overall recycling rates'!$I$60/SUM('Overall recycling rates'!$I$60:$I$62)*('BTX Recycling HC'!J81+'BTX Recycling HC'!J176)</f>
        <v>7.9391245948194999</v>
      </c>
      <c r="AR79" s="60">
        <f>AR35-'Overall recycling rates'!$G$60/SUM('Overall recycling rates'!$G$60:$G$62)*('BTX Recycling HC'!K78+'BTX Recycling HC'!K173)-'Overall recycling rates'!$E$60/SUM('Overall recycling rates'!$E$60:$E$62)*('BTX Recycling HC'!K79+'BTX Recycling HC'!K174)-'Overall recycling rates'!$H$60/SUM('Overall recycling rates'!$H$60:$H$62)*('BTX Recycling HC'!K80+'BTX Recycling HC'!K175)-'Overall recycling rates'!$I$60/SUM('Overall recycling rates'!$I$60:$I$62)*('BTX Recycling HC'!K81+'BTX Recycling HC'!K176)</f>
        <v>7.9394168688972018</v>
      </c>
      <c r="AS79" s="60">
        <f>AS35-'Overall recycling rates'!$G$60/SUM('Overall recycling rates'!$G$60:$G$62)*('BTX Recycling HC'!L78+'BTX Recycling HC'!L173)-'Overall recycling rates'!$E$60/SUM('Overall recycling rates'!$E$60:$E$62)*('BTX Recycling HC'!L79+'BTX Recycling HC'!L174)-'Overall recycling rates'!$H$60/SUM('Overall recycling rates'!$H$60:$H$62)*('BTX Recycling HC'!L80+'BTX Recycling HC'!L175)-'Overall recycling rates'!$I$60/SUM('Overall recycling rates'!$I$60:$I$62)*('BTX Recycling HC'!L81+'BTX Recycling HC'!L176)</f>
        <v>7.936340299203553</v>
      </c>
      <c r="AT79" s="60">
        <f>AT35-'Overall recycling rates'!$G$60/SUM('Overall recycling rates'!$G$60:$G$62)*('BTX Recycling HC'!M78+'BTX Recycling HC'!M173)-'Overall recycling rates'!$E$60/SUM('Overall recycling rates'!$E$60:$E$62)*('BTX Recycling HC'!M79+'BTX Recycling HC'!M174)-'Overall recycling rates'!$H$60/SUM('Overall recycling rates'!$H$60:$H$62)*('BTX Recycling HC'!M80+'BTX Recycling HC'!M175)-'Overall recycling rates'!$I$60/SUM('Overall recycling rates'!$I$60:$I$62)*('BTX Recycling HC'!M81+'BTX Recycling HC'!M176)</f>
        <v>7.9299300606187586</v>
      </c>
      <c r="AU79" s="60">
        <f>AU35-'Overall recycling rates'!$G$60/SUM('Overall recycling rates'!$G$60:$G$62)*('BTX Recycling HC'!N78+'BTX Recycling HC'!N173)-'Overall recycling rates'!$E$60/SUM('Overall recycling rates'!$E$60:$E$62)*('BTX Recycling HC'!N79+'BTX Recycling HC'!N174)-'Overall recycling rates'!$H$60/SUM('Overall recycling rates'!$H$60:$H$62)*('BTX Recycling HC'!N80+'BTX Recycling HC'!N175)-'Overall recycling rates'!$I$60/SUM('Overall recycling rates'!$I$60:$I$62)*('BTX Recycling HC'!N81+'BTX Recycling HC'!N176)</f>
        <v>7.7512081337766814</v>
      </c>
      <c r="AV79" s="60">
        <f>AV35-'Overall recycling rates'!$G$60/SUM('Overall recycling rates'!$G$60:$G$62)*('BTX Recycling HC'!O78+'BTX Recycling HC'!O173)-'Overall recycling rates'!$E$60/SUM('Overall recycling rates'!$E$60:$E$62)*('BTX Recycling HC'!O79+'BTX Recycling HC'!O174)-'Overall recycling rates'!$H$60/SUM('Overall recycling rates'!$H$60:$H$62)*('BTX Recycling HC'!O80+'BTX Recycling HC'!O175)-'Overall recycling rates'!$I$60/SUM('Overall recycling rates'!$I$60:$I$62)*('BTX Recycling HC'!O81+'BTX Recycling HC'!O176)</f>
        <v>7.6493682874252666</v>
      </c>
      <c r="AW79" s="60">
        <f>AW35-'Overall recycling rates'!$G$60/SUM('Overall recycling rates'!$G$60:$G$62)*('BTX Recycling HC'!P78+'BTX Recycling HC'!P173)-'Overall recycling rates'!$E$60/SUM('Overall recycling rates'!$E$60:$E$62)*('BTX Recycling HC'!P79+'BTX Recycling HC'!P174)-'Overall recycling rates'!$H$60/SUM('Overall recycling rates'!$H$60:$H$62)*('BTX Recycling HC'!P80+'BTX Recycling HC'!P175)-'Overall recycling rates'!$I$60/SUM('Overall recycling rates'!$I$60:$I$62)*('BTX Recycling HC'!P81+'BTX Recycling HC'!P176)</f>
        <v>7.5442448354657605</v>
      </c>
      <c r="AX79" s="60">
        <f>AX35-'Overall recycling rates'!$G$60/SUM('Overall recycling rates'!$G$60:$G$62)*('BTX Recycling HC'!Q78+'BTX Recycling HC'!Q173)-'Overall recycling rates'!$E$60/SUM('Overall recycling rates'!$E$60:$E$62)*('BTX Recycling HC'!Q79+'BTX Recycling HC'!Q174)-'Overall recycling rates'!$H$60/SUM('Overall recycling rates'!$H$60:$H$62)*('BTX Recycling HC'!Q80+'BTX Recycling HC'!Q175)-'Overall recycling rates'!$I$60/SUM('Overall recycling rates'!$I$60:$I$62)*('BTX Recycling HC'!Q81+'BTX Recycling HC'!Q176)</f>
        <v>7.4366213799876215</v>
      </c>
      <c r="AY79" s="60">
        <f>AY35-'Overall recycling rates'!$G$60/SUM('Overall recycling rates'!$G$60:$G$62)*('BTX Recycling HC'!R78+'BTX Recycling HC'!R173)-'Overall recycling rates'!$E$60/SUM('Overall recycling rates'!$E$60:$E$62)*('BTX Recycling HC'!R79+'BTX Recycling HC'!R174)-'Overall recycling rates'!$H$60/SUM('Overall recycling rates'!$H$60:$H$62)*('BTX Recycling HC'!R80+'BTX Recycling HC'!R175)-'Overall recycling rates'!$I$60/SUM('Overall recycling rates'!$I$60:$I$62)*('BTX Recycling HC'!R81+'BTX Recycling HC'!R176)</f>
        <v>7.3273728194386551</v>
      </c>
      <c r="AZ79" s="60">
        <f>AZ35-'Overall recycling rates'!$G$60/SUM('Overall recycling rates'!$G$60:$G$62)*('BTX Recycling HC'!S78+'BTX Recycling HC'!S173)-'Overall recycling rates'!$E$60/SUM('Overall recycling rates'!$E$60:$E$62)*('BTX Recycling HC'!S79+'BTX Recycling HC'!S174)-'Overall recycling rates'!$H$60/SUM('Overall recycling rates'!$H$60:$H$62)*('BTX Recycling HC'!S80+'BTX Recycling HC'!S175)-'Overall recycling rates'!$I$60/SUM('Overall recycling rates'!$I$60:$I$62)*('BTX Recycling HC'!S81+'BTX Recycling HC'!S176)</f>
        <v>7.2159217393316668</v>
      </c>
      <c r="BA79" s="60">
        <f>BA35-'Overall recycling rates'!$G$60/SUM('Overall recycling rates'!$G$60:$G$62)*('BTX Recycling HC'!T78+'BTX Recycling HC'!T173)-'Overall recycling rates'!$E$60/SUM('Overall recycling rates'!$E$60:$E$62)*('BTX Recycling HC'!T79+'BTX Recycling HC'!T174)-'Overall recycling rates'!$H$60/SUM('Overall recycling rates'!$H$60:$H$62)*('BTX Recycling HC'!T80+'BTX Recycling HC'!T175)-'Overall recycling rates'!$I$60/SUM('Overall recycling rates'!$I$60:$I$62)*('BTX Recycling HC'!T81+'BTX Recycling HC'!T176)</f>
        <v>7.1028011770296793</v>
      </c>
      <c r="BB79" s="60">
        <f>BB35-'Overall recycling rates'!$G$60/SUM('Overall recycling rates'!$G$60:$G$62)*('BTX Recycling HC'!U78+'BTX Recycling HC'!U173)-'Overall recycling rates'!$E$60/SUM('Overall recycling rates'!$E$60:$E$62)*('BTX Recycling HC'!U79+'BTX Recycling HC'!U174)-'Overall recycling rates'!$H$60/SUM('Overall recycling rates'!$H$60:$H$62)*('BTX Recycling HC'!U80+'BTX Recycling HC'!U175)-'Overall recycling rates'!$I$60/SUM('Overall recycling rates'!$I$60:$I$62)*('BTX Recycling HC'!U81+'BTX Recycling HC'!U176)</f>
        <v>6.9885619552132292</v>
      </c>
      <c r="BC79" s="60">
        <f>BC35-'Overall recycling rates'!$G$60/SUM('Overall recycling rates'!$G$60:$G$62)*('BTX Recycling HC'!V78+'BTX Recycling HC'!V173)-'Overall recycling rates'!$E$60/SUM('Overall recycling rates'!$E$60:$E$62)*('BTX Recycling HC'!V79+'BTX Recycling HC'!V174)-'Overall recycling rates'!$H$60/SUM('Overall recycling rates'!$H$60:$H$62)*('BTX Recycling HC'!V80+'BTX Recycling HC'!V175)-'Overall recycling rates'!$I$60/SUM('Overall recycling rates'!$I$60:$I$62)*('BTX Recycling HC'!V81+'BTX Recycling HC'!V176)</f>
        <v>6.873772402625181</v>
      </c>
      <c r="BD79" s="60">
        <f>BD35-'Overall recycling rates'!$G$60/SUM('Overall recycling rates'!$G$60:$G$62)*('BTX Recycling HC'!W78+'BTX Recycling HC'!W173)-'Overall recycling rates'!$E$60/SUM('Overall recycling rates'!$E$60:$E$62)*('BTX Recycling HC'!W79+'BTX Recycling HC'!W174)-'Overall recycling rates'!$H$60/SUM('Overall recycling rates'!$H$60:$H$62)*('BTX Recycling HC'!W80+'BTX Recycling HC'!W175)-'Overall recycling rates'!$I$60/SUM('Overall recycling rates'!$I$60:$I$62)*('BTX Recycling HC'!W81+'BTX Recycling HC'!W176)</f>
        <v>6.7590180486577633</v>
      </c>
      <c r="BE79" s="60">
        <f>BE35-'Overall recycling rates'!$G$60/SUM('Overall recycling rates'!$G$60:$G$62)*('BTX Recycling HC'!X78+'BTX Recycling HC'!X173)-'Overall recycling rates'!$E$60/SUM('Overall recycling rates'!$E$60:$E$62)*('BTX Recycling HC'!X79+'BTX Recycling HC'!X174)-'Overall recycling rates'!$H$60/SUM('Overall recycling rates'!$H$60:$H$62)*('BTX Recycling HC'!X80+'BTX Recycling HC'!X175)-'Overall recycling rates'!$I$60/SUM('Overall recycling rates'!$I$60:$I$62)*('BTX Recycling HC'!X81+'BTX Recycling HC'!X176)</f>
        <v>6.6212000416643439</v>
      </c>
      <c r="BF79" s="60">
        <f>BF35-'Overall recycling rates'!$G$60/SUM('Overall recycling rates'!$G$60:$G$62)*('BTX Recycling HC'!Y78+'BTX Recycling HC'!Y173)-'Overall recycling rates'!$E$60/SUM('Overall recycling rates'!$E$60:$E$62)*('BTX Recycling HC'!Y79+'BTX Recycling HC'!Y174)-'Overall recycling rates'!$H$60/SUM('Overall recycling rates'!$H$60:$H$62)*('BTX Recycling HC'!Y80+'BTX Recycling HC'!Y175)-'Overall recycling rates'!$I$60/SUM('Overall recycling rates'!$I$60:$I$62)*('BTX Recycling HC'!Y81+'BTX Recycling HC'!Y176)</f>
        <v>6.4842791416964767</v>
      </c>
      <c r="BG79" s="60">
        <f>BG35-'Overall recycling rates'!$G$60/SUM('Overall recycling rates'!$G$60:$G$62)*('BTX Recycling HC'!Z78+'BTX Recycling HC'!Z173)-'Overall recycling rates'!$E$60/SUM('Overall recycling rates'!$E$60:$E$62)*('BTX Recycling HC'!Z79+'BTX Recycling HC'!Z174)-'Overall recycling rates'!$H$60/SUM('Overall recycling rates'!$H$60:$H$62)*('BTX Recycling HC'!Z80+'BTX Recycling HC'!Z175)-'Overall recycling rates'!$I$60/SUM('Overall recycling rates'!$I$60:$I$62)*('BTX Recycling HC'!Z81+'BTX Recycling HC'!Z176)</f>
        <v>6.3495868935986888</v>
      </c>
      <c r="BH79" s="60">
        <f>BH35-'Overall recycling rates'!$G$60/SUM('Overall recycling rates'!$G$60:$G$62)*('BTX Recycling HC'!AA78+'BTX Recycling HC'!AA173)-'Overall recycling rates'!$E$60/SUM('Overall recycling rates'!$E$60:$E$62)*('BTX Recycling HC'!AA79+'BTX Recycling HC'!AA174)-'Overall recycling rates'!$H$60/SUM('Overall recycling rates'!$H$60:$H$62)*('BTX Recycling HC'!AA80+'BTX Recycling HC'!AA175)-'Overall recycling rates'!$I$60/SUM('Overall recycling rates'!$I$60:$I$62)*('BTX Recycling HC'!AA81+'BTX Recycling HC'!AA176)</f>
        <v>6.2180113713295349</v>
      </c>
      <c r="BI79" s="60">
        <f>BI35-'Overall recycling rates'!$G$60/SUM('Overall recycling rates'!$G$60:$G$62)*('BTX Recycling HC'!AB78+'BTX Recycling HC'!AB173)-'Overall recycling rates'!$E$60/SUM('Overall recycling rates'!$E$60:$E$62)*('BTX Recycling HC'!AB79+'BTX Recycling HC'!AB174)-'Overall recycling rates'!$H$60/SUM('Overall recycling rates'!$H$60:$H$62)*('BTX Recycling HC'!AB80+'BTX Recycling HC'!AB175)-'Overall recycling rates'!$I$60/SUM('Overall recycling rates'!$I$60:$I$62)*('BTX Recycling HC'!AB81+'BTX Recycling HC'!AB176)</f>
        <v>6.0906926203321783</v>
      </c>
      <c r="BJ79" s="60">
        <f>BJ35-'Overall recycling rates'!$G$60/SUM('Overall recycling rates'!$G$60:$G$62)*('BTX Recycling HC'!AC78+'BTX Recycling HC'!AC173)-'Overall recycling rates'!$E$60/SUM('Overall recycling rates'!$E$60:$E$62)*('BTX Recycling HC'!AC79+'BTX Recycling HC'!AC174)-'Overall recycling rates'!$H$60/SUM('Overall recycling rates'!$H$60:$H$62)*('BTX Recycling HC'!AC80+'BTX Recycling HC'!AC175)-'Overall recycling rates'!$I$60/SUM('Overall recycling rates'!$I$60:$I$62)*('BTX Recycling HC'!AC81+'BTX Recycling HC'!AC176)</f>
        <v>5.9687833641550512</v>
      </c>
      <c r="BK79" s="60">
        <f>BK35-'Overall recycling rates'!$G$60/SUM('Overall recycling rates'!$G$60:$G$62)*('BTX Recycling HC'!AD78+'BTX Recycling HC'!AD173)-'Overall recycling rates'!$E$60/SUM('Overall recycling rates'!$E$60:$E$62)*('BTX Recycling HC'!AD79+'BTX Recycling HC'!AD174)-'Overall recycling rates'!$H$60/SUM('Overall recycling rates'!$H$60:$H$62)*('BTX Recycling HC'!AD80+'BTX Recycling HC'!AD175)-'Overall recycling rates'!$I$60/SUM('Overall recycling rates'!$I$60:$I$62)*('BTX Recycling HC'!AD81+'BTX Recycling HC'!AD176)</f>
        <v>5.8534775829574714</v>
      </c>
      <c r="BL79" s="60">
        <f>BL35-'Overall recycling rates'!$G$60/SUM('Overall recycling rates'!$G$60:$G$62)*('BTX Recycling HC'!AE78+'BTX Recycling HC'!AE173)-'Overall recycling rates'!$E$60/SUM('Overall recycling rates'!$E$60:$E$62)*('BTX Recycling HC'!AE79+'BTX Recycling HC'!AE174)-'Overall recycling rates'!$H$60/SUM('Overall recycling rates'!$H$60:$H$62)*('BTX Recycling HC'!AE80+'BTX Recycling HC'!AE175)-'Overall recycling rates'!$I$60/SUM('Overall recycling rates'!$I$60:$I$62)*('BTX Recycling HC'!AE81+'BTX Recycling HC'!AE176)</f>
        <v>5.7459967417883595</v>
      </c>
      <c r="BM79" s="60">
        <f>BM35-'Overall recycling rates'!$G$60/SUM('Overall recycling rates'!$G$60:$G$62)*('BTX Recycling HC'!AF78+'BTX Recycling HC'!AF173)-'Overall recycling rates'!$E$60/SUM('Overall recycling rates'!$E$60:$E$62)*('BTX Recycling HC'!AF79+'BTX Recycling HC'!AF174)-'Overall recycling rates'!$H$60/SUM('Overall recycling rates'!$H$60:$H$62)*('BTX Recycling HC'!AF80+'BTX Recycling HC'!AF175)-'Overall recycling rates'!$I$60/SUM('Overall recycling rates'!$I$60:$I$62)*('BTX Recycling HC'!AF81+'BTX Recycling HC'!AF176)</f>
        <v>5.6475891820880673</v>
      </c>
      <c r="BN79" s="60">
        <f>BN35-'Overall recycling rates'!$G$60/SUM('Overall recycling rates'!$G$60:$G$62)*('BTX Recycling HC'!AG78+'BTX Recycling HC'!AG173)-'Overall recycling rates'!$E$60/SUM('Overall recycling rates'!$E$60:$E$62)*('BTX Recycling HC'!AG79+'BTX Recycling HC'!AG174)-'Overall recycling rates'!$H$60/SUM('Overall recycling rates'!$H$60:$H$62)*('BTX Recycling HC'!AG80+'BTX Recycling HC'!AG175)-'Overall recycling rates'!$I$60/SUM('Overall recycling rates'!$I$60:$I$62)*('BTX Recycling HC'!AG81+'BTX Recycling HC'!AG176)</f>
        <v>5.5595294778575557</v>
      </c>
    </row>
    <row r="80" spans="1:66" outlineLevel="1" x14ac:dyDescent="0.2">
      <c r="A80" s="682"/>
      <c r="B80" s="1" t="s">
        <v>8</v>
      </c>
      <c r="C80" s="54" t="s">
        <v>153</v>
      </c>
      <c r="D80" s="44">
        <f>D36-'Overall recycling rates'!$G$61/SUM('Overall recycling rates'!$G$60:$G$62)*('BTX Recycling HC'!C78+'BTX Recycling HC'!C173)-'Overall recycling rates'!$E$61/SUM('Overall recycling rates'!$E$60:$E$62)*('BTX Recycling HC'!C79+'BTX Recycling HC'!C174)-'Overall recycling rates'!$H$61/SUM('Overall recycling rates'!$H$60:$H$62)*('BTX Recycling HC'!C80+'BTX Recycling HC'!C175)-'Overall recycling rates'!$I$61/SUM('Overall recycling rates'!$I$60:$I$62)*('BTX Recycling HC'!C81+'BTX Recycling HC'!C176)</f>
        <v>3.690958960657742</v>
      </c>
      <c r="E80" s="44">
        <f>E36-'Overall recycling rates'!$G$61/SUM('Overall recycling rates'!$G$60:$G$62)*('BTX Recycling HC'!D78+'BTX Recycling HC'!D173)-'Overall recycling rates'!$E$61/SUM('Overall recycling rates'!$E$60:$E$62)*('BTX Recycling HC'!D79+'BTX Recycling HC'!D174)-'Overall recycling rates'!$H$61/SUM('Overall recycling rates'!$H$60:$H$62)*('BTX Recycling HC'!D80+'BTX Recycling HC'!D175)-'Overall recycling rates'!$I$61/SUM('Overall recycling rates'!$I$60:$I$62)*('BTX Recycling HC'!D81+'BTX Recycling HC'!D176)</f>
        <v>3.6832236423562423</v>
      </c>
      <c r="F80" s="44">
        <f>F36-'Overall recycling rates'!$G$61/SUM('Overall recycling rates'!$G$60:$G$62)*('BTX Recycling HC'!E78+'BTX Recycling HC'!E173)-'Overall recycling rates'!$E$61/SUM('Overall recycling rates'!$E$60:$E$62)*('BTX Recycling HC'!E79+'BTX Recycling HC'!E174)-'Overall recycling rates'!$H$61/SUM('Overall recycling rates'!$H$60:$H$62)*('BTX Recycling HC'!E80+'BTX Recycling HC'!E175)-'Overall recycling rates'!$I$61/SUM('Overall recycling rates'!$I$60:$I$62)*('BTX Recycling HC'!E81+'BTX Recycling HC'!E176)</f>
        <v>3.6762194612647172</v>
      </c>
      <c r="G80" s="44">
        <f>G36-'Overall recycling rates'!$G$61/SUM('Overall recycling rates'!$G$60:$G$62)*('BTX Recycling HC'!F78+'BTX Recycling HC'!F173)-'Overall recycling rates'!$E$61/SUM('Overall recycling rates'!$E$60:$E$62)*('BTX Recycling HC'!F79+'BTX Recycling HC'!F174)-'Overall recycling rates'!$H$61/SUM('Overall recycling rates'!$H$60:$H$62)*('BTX Recycling HC'!F80+'BTX Recycling HC'!F175)-'Overall recycling rates'!$I$61/SUM('Overall recycling rates'!$I$60:$I$62)*('BTX Recycling HC'!F81+'BTX Recycling HC'!F176)</f>
        <v>3.6685693277988349</v>
      </c>
      <c r="H80" s="44">
        <f>H36-'Overall recycling rates'!$G$61/SUM('Overall recycling rates'!$G$60:$G$62)*('BTX Recycling HC'!G78+'BTX Recycling HC'!G173)-'Overall recycling rates'!$E$61/SUM('Overall recycling rates'!$E$60:$E$62)*('BTX Recycling HC'!G79+'BTX Recycling HC'!G174)-'Overall recycling rates'!$H$61/SUM('Overall recycling rates'!$H$60:$H$62)*('BTX Recycling HC'!G80+'BTX Recycling HC'!G175)-'Overall recycling rates'!$I$61/SUM('Overall recycling rates'!$I$60:$I$62)*('BTX Recycling HC'!G81+'BTX Recycling HC'!G176)</f>
        <v>3.6609000904419235</v>
      </c>
      <c r="I80" s="44">
        <f>I36-'Overall recycling rates'!$G$61/SUM('Overall recycling rates'!$G$60:$G$62)*('BTX Recycling HC'!H78+'BTX Recycling HC'!H173)-'Overall recycling rates'!$E$61/SUM('Overall recycling rates'!$E$60:$E$62)*('BTX Recycling HC'!H79+'BTX Recycling HC'!H174)-'Overall recycling rates'!$H$61/SUM('Overall recycling rates'!$H$60:$H$62)*('BTX Recycling HC'!H80+'BTX Recycling HC'!H175)-'Overall recycling rates'!$I$61/SUM('Overall recycling rates'!$I$60:$I$62)*('BTX Recycling HC'!H81+'BTX Recycling HC'!H176)</f>
        <v>3.6533397241184153</v>
      </c>
      <c r="J80" s="44">
        <f>J36-'Overall recycling rates'!$G$61/SUM('Overall recycling rates'!$G$60:$G$62)*('BTX Recycling HC'!I78+'BTX Recycling HC'!I173)-'Overall recycling rates'!$E$61/SUM('Overall recycling rates'!$E$60:$E$62)*('BTX Recycling HC'!I79+'BTX Recycling HC'!I174)-'Overall recycling rates'!$H$61/SUM('Overall recycling rates'!$H$60:$H$62)*('BTX Recycling HC'!I80+'BTX Recycling HC'!I175)-'Overall recycling rates'!$I$61/SUM('Overall recycling rates'!$I$60:$I$62)*('BTX Recycling HC'!I81+'BTX Recycling HC'!I176)</f>
        <v>3.645380848716159</v>
      </c>
      <c r="K80" s="44">
        <f>K36-'Overall recycling rates'!$G$61/SUM('Overall recycling rates'!$G$60:$G$62)*('BTX Recycling HC'!J78+'BTX Recycling HC'!J173)-'Overall recycling rates'!$E$61/SUM('Overall recycling rates'!$E$60:$E$62)*('BTX Recycling HC'!J79+'BTX Recycling HC'!J174)-'Overall recycling rates'!$H$61/SUM('Overall recycling rates'!$H$60:$H$62)*('BTX Recycling HC'!J80+'BTX Recycling HC'!J175)-'Overall recycling rates'!$I$61/SUM('Overall recycling rates'!$I$60:$I$62)*('BTX Recycling HC'!J81+'BTX Recycling HC'!J176)</f>
        <v>3.6370449625667871</v>
      </c>
      <c r="L80" s="44">
        <f>L36-'Overall recycling rates'!$G$61/SUM('Overall recycling rates'!$G$60:$G$62)*('BTX Recycling HC'!K78+'BTX Recycling HC'!K173)-'Overall recycling rates'!$E$61/SUM('Overall recycling rates'!$E$60:$E$62)*('BTX Recycling HC'!K79+'BTX Recycling HC'!K174)-'Overall recycling rates'!$H$61/SUM('Overall recycling rates'!$H$60:$H$62)*('BTX Recycling HC'!K80+'BTX Recycling HC'!K175)-'Overall recycling rates'!$I$61/SUM('Overall recycling rates'!$I$60:$I$62)*('BTX Recycling HC'!K81+'BTX Recycling HC'!K176)</f>
        <v>3.6283544838177848</v>
      </c>
      <c r="M80" s="44">
        <f>M36-'Overall recycling rates'!$G$61/SUM('Overall recycling rates'!$G$60:$G$62)*('BTX Recycling HC'!L78+'BTX Recycling HC'!L173)-'Overall recycling rates'!$E$61/SUM('Overall recycling rates'!$E$60:$E$62)*('BTX Recycling HC'!L79+'BTX Recycling HC'!L174)-'Overall recycling rates'!$H$61/SUM('Overall recycling rates'!$H$60:$H$62)*('BTX Recycling HC'!L80+'BTX Recycling HC'!L175)-'Overall recycling rates'!$I$61/SUM('Overall recycling rates'!$I$60:$I$62)*('BTX Recycling HC'!L81+'BTX Recycling HC'!L176)</f>
        <v>3.6193326939732708</v>
      </c>
      <c r="N80" s="44">
        <f>N36-'Overall recycling rates'!$G$61/SUM('Overall recycling rates'!$G$60:$G$62)*('BTX Recycling HC'!M78+'BTX Recycling HC'!M173)-'Overall recycling rates'!$E$61/SUM('Overall recycling rates'!$E$60:$E$62)*('BTX Recycling HC'!M79+'BTX Recycling HC'!M174)-'Overall recycling rates'!$H$61/SUM('Overall recycling rates'!$H$60:$H$62)*('BTX Recycling HC'!M80+'BTX Recycling HC'!M175)-'Overall recycling rates'!$I$61/SUM('Overall recycling rates'!$I$60:$I$62)*('BTX Recycling HC'!M81+'BTX Recycling HC'!M176)</f>
        <v>3.610003676570674</v>
      </c>
      <c r="O80" s="44">
        <f>O36-'Overall recycling rates'!$G$61/SUM('Overall recycling rates'!$G$60:$G$62)*('BTX Recycling HC'!N78+'BTX Recycling HC'!N173)-'Overall recycling rates'!$E$61/SUM('Overall recycling rates'!$E$60:$E$62)*('BTX Recycling HC'!N79+'BTX Recycling HC'!N174)-'Overall recycling rates'!$H$61/SUM('Overall recycling rates'!$H$60:$H$62)*('BTX Recycling HC'!N80+'BTX Recycling HC'!N175)-'Overall recycling rates'!$I$61/SUM('Overall recycling rates'!$I$60:$I$62)*('BTX Recycling HC'!N81+'BTX Recycling HC'!N176)</f>
        <v>3.4315846520042603</v>
      </c>
      <c r="P80" s="44">
        <f>P36-'Overall recycling rates'!$G$61/SUM('Overall recycling rates'!$G$60:$G$62)*('BTX Recycling HC'!O78+'BTX Recycling HC'!O173)-'Overall recycling rates'!$E$61/SUM('Overall recycling rates'!$E$60:$E$62)*('BTX Recycling HC'!O79+'BTX Recycling HC'!O174)-'Overall recycling rates'!$H$61/SUM('Overall recycling rates'!$H$60:$H$62)*('BTX Recycling HC'!O80+'BTX Recycling HC'!O175)-'Overall recycling rates'!$I$61/SUM('Overall recycling rates'!$I$60:$I$62)*('BTX Recycling HC'!O81+'BTX Recycling HC'!O176)</f>
        <v>3.3497257580996016</v>
      </c>
      <c r="Q80" s="44">
        <f>Q36-'Overall recycling rates'!$G$61/SUM('Overall recycling rates'!$G$60:$G$62)*('BTX Recycling HC'!P78+'BTX Recycling HC'!P173)-'Overall recycling rates'!$E$61/SUM('Overall recycling rates'!$E$60:$E$62)*('BTX Recycling HC'!P79+'BTX Recycling HC'!P174)-'Overall recycling rates'!$H$61/SUM('Overall recycling rates'!$H$60:$H$62)*('BTX Recycling HC'!P80+'BTX Recycling HC'!P175)-'Overall recycling rates'!$I$61/SUM('Overall recycling rates'!$I$60:$I$62)*('BTX Recycling HC'!P81+'BTX Recycling HC'!P176)</f>
        <v>3.2680378147722089</v>
      </c>
      <c r="R80" s="44">
        <f>R36-'Overall recycling rates'!$G$61/SUM('Overall recycling rates'!$G$60:$G$62)*('BTX Recycling HC'!Q78+'BTX Recycling HC'!Q173)-'Overall recycling rates'!$E$61/SUM('Overall recycling rates'!$E$60:$E$62)*('BTX Recycling HC'!Q79+'BTX Recycling HC'!Q174)-'Overall recycling rates'!$H$61/SUM('Overall recycling rates'!$H$60:$H$62)*('BTX Recycling HC'!Q80+'BTX Recycling HC'!Q175)-'Overall recycling rates'!$I$61/SUM('Overall recycling rates'!$I$60:$I$62)*('BTX Recycling HC'!Q81+'BTX Recycling HC'!Q176)</f>
        <v>3.1866514462538618</v>
      </c>
      <c r="S80" s="44">
        <f>S36-'Overall recycling rates'!$G$61/SUM('Overall recycling rates'!$G$60:$G$62)*('BTX Recycling HC'!R78+'BTX Recycling HC'!R173)-'Overall recycling rates'!$E$61/SUM('Overall recycling rates'!$E$60:$E$62)*('BTX Recycling HC'!R79+'BTX Recycling HC'!R174)-'Overall recycling rates'!$H$61/SUM('Overall recycling rates'!$H$60:$H$62)*('BTX Recycling HC'!R80+'BTX Recycling HC'!R175)-'Overall recycling rates'!$I$61/SUM('Overall recycling rates'!$I$60:$I$62)*('BTX Recycling HC'!R81+'BTX Recycling HC'!R176)</f>
        <v>3.1056937620995417</v>
      </c>
      <c r="T80" s="44">
        <f>T36-'Overall recycling rates'!$G$61/SUM('Overall recycling rates'!$G$60:$G$62)*('BTX Recycling HC'!S78+'BTX Recycling HC'!S173)-'Overall recycling rates'!$E$61/SUM('Overall recycling rates'!$E$60:$E$62)*('BTX Recycling HC'!S79+'BTX Recycling HC'!S174)-'Overall recycling rates'!$H$61/SUM('Overall recycling rates'!$H$60:$H$62)*('BTX Recycling HC'!S80+'BTX Recycling HC'!S175)-'Overall recycling rates'!$I$61/SUM('Overall recycling rates'!$I$60:$I$62)*('BTX Recycling HC'!S81+'BTX Recycling HC'!S176)</f>
        <v>3.0244156631509251</v>
      </c>
      <c r="U80" s="44">
        <f>U36-'Overall recycling rates'!$G$61/SUM('Overall recycling rates'!$G$60:$G$62)*('BTX Recycling HC'!T78+'BTX Recycling HC'!T173)-'Overall recycling rates'!$E$61/SUM('Overall recycling rates'!$E$60:$E$62)*('BTX Recycling HC'!T79+'BTX Recycling HC'!T174)-'Overall recycling rates'!$H$61/SUM('Overall recycling rates'!$H$60:$H$62)*('BTX Recycling HC'!T80+'BTX Recycling HC'!T175)-'Overall recycling rates'!$I$61/SUM('Overall recycling rates'!$I$60:$I$62)*('BTX Recycling HC'!T81+'BTX Recycling HC'!T176)</f>
        <v>2.9428376156010145</v>
      </c>
      <c r="V80" s="44">
        <f>V36-'Overall recycling rates'!$G$61/SUM('Overall recycling rates'!$G$60:$G$62)*('BTX Recycling HC'!U78+'BTX Recycling HC'!U173)-'Overall recycling rates'!$E$61/SUM('Overall recycling rates'!$E$60:$E$62)*('BTX Recycling HC'!U79+'BTX Recycling HC'!U174)-'Overall recycling rates'!$H$61/SUM('Overall recycling rates'!$H$60:$H$62)*('BTX Recycling HC'!U80+'BTX Recycling HC'!U175)-'Overall recycling rates'!$I$61/SUM('Overall recycling rates'!$I$60:$I$62)*('BTX Recycling HC'!U81+'BTX Recycling HC'!U176)</f>
        <v>2.860979592201828</v>
      </c>
      <c r="W80" s="44">
        <f>W36-'Overall recycling rates'!$G$61/SUM('Overall recycling rates'!$G$60:$G$62)*('BTX Recycling HC'!V78+'BTX Recycling HC'!V173)-'Overall recycling rates'!$E$61/SUM('Overall recycling rates'!$E$60:$E$62)*('BTX Recycling HC'!V79+'BTX Recycling HC'!V174)-'Overall recycling rates'!$H$61/SUM('Overall recycling rates'!$H$60:$H$62)*('BTX Recycling HC'!V80+'BTX Recycling HC'!V175)-'Overall recycling rates'!$I$61/SUM('Overall recycling rates'!$I$60:$I$62)*('BTX Recycling HC'!V81+'BTX Recycling HC'!V176)</f>
        <v>2.7788610228316801</v>
      </c>
      <c r="X80" s="44">
        <f>X36-'Overall recycling rates'!$G$61/SUM('Overall recycling rates'!$G$60:$G$62)*('BTX Recycling HC'!W78+'BTX Recycling HC'!W173)-'Overall recycling rates'!$E$61/SUM('Overall recycling rates'!$E$60:$E$62)*('BTX Recycling HC'!W79+'BTX Recycling HC'!W174)-'Overall recycling rates'!$H$61/SUM('Overall recycling rates'!$H$60:$H$62)*('BTX Recycling HC'!W80+'BTX Recycling HC'!W175)-'Overall recycling rates'!$I$61/SUM('Overall recycling rates'!$I$60:$I$62)*('BTX Recycling HC'!W81+'BTX Recycling HC'!W176)</f>
        <v>2.6965007441209634</v>
      </c>
      <c r="Y80" s="44">
        <f>Y36-'Overall recycling rates'!$G$61/SUM('Overall recycling rates'!$G$60:$G$62)*('BTX Recycling HC'!X78+'BTX Recycling HC'!X173)-'Overall recycling rates'!$E$61/SUM('Overall recycling rates'!$E$60:$E$62)*('BTX Recycling HC'!X79+'BTX Recycling HC'!X174)-'Overall recycling rates'!$H$61/SUM('Overall recycling rates'!$H$60:$H$62)*('BTX Recycling HC'!X80+'BTX Recycling HC'!X175)-'Overall recycling rates'!$I$61/SUM('Overall recycling rates'!$I$60:$I$62)*('BTX Recycling HC'!X81+'BTX Recycling HC'!X176)</f>
        <v>2.596937648112791</v>
      </c>
      <c r="Z80" s="44">
        <f>Z36-'Overall recycling rates'!$G$61/SUM('Overall recycling rates'!$G$60:$G$62)*('BTX Recycling HC'!Y78+'BTX Recycling HC'!Y173)-'Overall recycling rates'!$E$61/SUM('Overall recycling rates'!$E$60:$E$62)*('BTX Recycling HC'!Y79+'BTX Recycling HC'!Y174)-'Overall recycling rates'!$H$61/SUM('Overall recycling rates'!$H$60:$H$62)*('BTX Recycling HC'!Y80+'BTX Recycling HC'!Y175)-'Overall recycling rates'!$I$61/SUM('Overall recycling rates'!$I$60:$I$62)*('BTX Recycling HC'!Y81+'BTX Recycling HC'!Y176)</f>
        <v>2.4983066358557293</v>
      </c>
      <c r="AA80" s="44">
        <f>AA36-'Overall recycling rates'!$G$61/SUM('Overall recycling rates'!$G$60:$G$62)*('BTX Recycling HC'!Z78+'BTX Recycling HC'!Z173)-'Overall recycling rates'!$E$61/SUM('Overall recycling rates'!$E$60:$E$62)*('BTX Recycling HC'!Z79+'BTX Recycling HC'!Z174)-'Overall recycling rates'!$H$61/SUM('Overall recycling rates'!$H$60:$H$62)*('BTX Recycling HC'!Z80+'BTX Recycling HC'!Z175)-'Overall recycling rates'!$I$61/SUM('Overall recycling rates'!$I$60:$I$62)*('BTX Recycling HC'!Z81+'BTX Recycling HC'!Z176)</f>
        <v>2.4007560812546203</v>
      </c>
      <c r="AB80" s="44">
        <f>AB36-'Overall recycling rates'!$G$61/SUM('Overall recycling rates'!$G$60:$G$62)*('BTX Recycling HC'!AA78+'BTX Recycling HC'!AA173)-'Overall recycling rates'!$E$61/SUM('Overall recycling rates'!$E$60:$E$62)*('BTX Recycling HC'!AA79+'BTX Recycling HC'!AA174)-'Overall recycling rates'!$H$61/SUM('Overall recycling rates'!$H$60:$H$62)*('BTX Recycling HC'!AA80+'BTX Recycling HC'!AA175)-'Overall recycling rates'!$I$61/SUM('Overall recycling rates'!$I$60:$I$62)*('BTX Recycling HC'!AA81+'BTX Recycling HC'!AA176)</f>
        <v>2.3042616074656674</v>
      </c>
      <c r="AC80" s="44">
        <f>AC36-'Overall recycling rates'!$G$61/SUM('Overall recycling rates'!$G$60:$G$62)*('BTX Recycling HC'!AB78+'BTX Recycling HC'!AB173)-'Overall recycling rates'!$E$61/SUM('Overall recycling rates'!$E$60:$E$62)*('BTX Recycling HC'!AB79+'BTX Recycling HC'!AB174)-'Overall recycling rates'!$H$61/SUM('Overall recycling rates'!$H$60:$H$62)*('BTX Recycling HC'!AB80+'BTX Recycling HC'!AB175)-'Overall recycling rates'!$I$61/SUM('Overall recycling rates'!$I$60:$I$62)*('BTX Recycling HC'!AB81+'BTX Recycling HC'!AB176)</f>
        <v>2.2088768038111724</v>
      </c>
      <c r="AD80" s="44">
        <f>AD36-'Overall recycling rates'!$G$61/SUM('Overall recycling rates'!$G$60:$G$62)*('BTX Recycling HC'!AC78+'BTX Recycling HC'!AC173)-'Overall recycling rates'!$E$61/SUM('Overall recycling rates'!$E$60:$E$62)*('BTX Recycling HC'!AC79+'BTX Recycling HC'!AC174)-'Overall recycling rates'!$H$61/SUM('Overall recycling rates'!$H$60:$H$62)*('BTX Recycling HC'!AC80+'BTX Recycling HC'!AC175)-'Overall recycling rates'!$I$61/SUM('Overall recycling rates'!$I$60:$I$62)*('BTX Recycling HC'!AC81+'BTX Recycling HC'!AC176)</f>
        <v>2.1146481914648945</v>
      </c>
      <c r="AE80" s="44">
        <f>AE36-'Overall recycling rates'!$G$61/SUM('Overall recycling rates'!$G$60:$G$62)*('BTX Recycling HC'!AD78+'BTX Recycling HC'!AD173)-'Overall recycling rates'!$E$61/SUM('Overall recycling rates'!$E$60:$E$62)*('BTX Recycling HC'!AD79+'BTX Recycling HC'!AD174)-'Overall recycling rates'!$H$61/SUM('Overall recycling rates'!$H$60:$H$62)*('BTX Recycling HC'!AD80+'BTX Recycling HC'!AD175)-'Overall recycling rates'!$I$61/SUM('Overall recycling rates'!$I$60:$I$62)*('BTX Recycling HC'!AD81+'BTX Recycling HC'!AD176)</f>
        <v>2.0216264270955895</v>
      </c>
      <c r="AF80" s="44">
        <f>AF36-'Overall recycling rates'!$G$61/SUM('Overall recycling rates'!$G$60:$G$62)*('BTX Recycling HC'!AE78+'BTX Recycling HC'!AE173)-'Overall recycling rates'!$E$61/SUM('Overall recycling rates'!$E$60:$E$62)*('BTX Recycling HC'!AE79+'BTX Recycling HC'!AE174)-'Overall recycling rates'!$H$61/SUM('Overall recycling rates'!$H$60:$H$62)*('BTX Recycling HC'!AE80+'BTX Recycling HC'!AE175)-'Overall recycling rates'!$I$61/SUM('Overall recycling rates'!$I$60:$I$62)*('BTX Recycling HC'!AE81+'BTX Recycling HC'!AE176)</f>
        <v>1.9298607560091972</v>
      </c>
      <c r="AG80" s="44">
        <f>AG36-'Overall recycling rates'!$G$61/SUM('Overall recycling rates'!$G$60:$G$62)*('BTX Recycling HC'!AF78+'BTX Recycling HC'!AF173)-'Overall recycling rates'!$E$61/SUM('Overall recycling rates'!$E$60:$E$62)*('BTX Recycling HC'!AF79+'BTX Recycling HC'!AF174)-'Overall recycling rates'!$H$61/SUM('Overall recycling rates'!$H$60:$H$62)*('BTX Recycling HC'!AF80+'BTX Recycling HC'!AF175)-'Overall recycling rates'!$I$61/SUM('Overall recycling rates'!$I$60:$I$62)*('BTX Recycling HC'!AF81+'BTX Recycling HC'!AF176)</f>
        <v>1.8393988887152253</v>
      </c>
      <c r="AH80" s="44">
        <f>AH36-'Overall recycling rates'!$G$61/SUM('Overall recycling rates'!$G$60:$G$62)*('BTX Recycling HC'!AG78+'BTX Recycling HC'!AG173)-'Overall recycling rates'!$E$61/SUM('Overall recycling rates'!$E$60:$E$62)*('BTX Recycling HC'!AG79+'BTX Recycling HC'!AG174)-'Overall recycling rates'!$H$61/SUM('Overall recycling rates'!$H$60:$H$62)*('BTX Recycling HC'!AG80+'BTX Recycling HC'!AG175)-'Overall recycling rates'!$I$61/SUM('Overall recycling rates'!$I$60:$I$62)*('BTX Recycling HC'!AG81+'BTX Recycling HC'!AG176)</f>
        <v>1.7502868744090401</v>
      </c>
      <c r="AJ80" s="44">
        <f>AJ36-'Overall recycling rates'!$G$61/SUM('Overall recycling rates'!$G$60:$G$62)*('BTX Recycling HC'!C78+'BTX Recycling HC'!C173)-'Overall recycling rates'!$E$61/SUM('Overall recycling rates'!$E$60:$E$62)*('BTX Recycling HC'!C79+'BTX Recycling HC'!C174)-'Overall recycling rates'!$H$61/SUM('Overall recycling rates'!$H$60:$H$62)*('BTX Recycling HC'!C80+'BTX Recycling HC'!C175)-'Overall recycling rates'!$I$61/SUM('Overall recycling rates'!$I$60:$I$62)*('BTX Recycling HC'!C81+'BTX Recycling HC'!C176)</f>
        <v>3.690958960657742</v>
      </c>
      <c r="AK80" s="44">
        <f>AK36-'Overall recycling rates'!$G$61/SUM('Overall recycling rates'!$G$60:$G$62)*('BTX Recycling HC'!D78+'BTX Recycling HC'!D173)-'Overall recycling rates'!$E$61/SUM('Overall recycling rates'!$E$60:$E$62)*('BTX Recycling HC'!D79+'BTX Recycling HC'!D174)-'Overall recycling rates'!$H$61/SUM('Overall recycling rates'!$H$60:$H$62)*('BTX Recycling HC'!D80+'BTX Recycling HC'!D175)-'Overall recycling rates'!$I$61/SUM('Overall recycling rates'!$I$60:$I$62)*('BTX Recycling HC'!D81+'BTX Recycling HC'!D176)</f>
        <v>3.6914379754259339</v>
      </c>
      <c r="AL80" s="44">
        <f>AL36-'Overall recycling rates'!$G$61/SUM('Overall recycling rates'!$G$60:$G$62)*('BTX Recycling HC'!E78+'BTX Recycling HC'!E173)-'Overall recycling rates'!$E$61/SUM('Overall recycling rates'!$E$60:$E$62)*('BTX Recycling HC'!E79+'BTX Recycling HC'!E174)-'Overall recycling rates'!$H$61/SUM('Overall recycling rates'!$H$60:$H$62)*('BTX Recycling HC'!E80+'BTX Recycling HC'!E175)-'Overall recycling rates'!$I$61/SUM('Overall recycling rates'!$I$60:$I$62)*('BTX Recycling HC'!E81+'BTX Recycling HC'!E176)</f>
        <v>3.6928431311014416</v>
      </c>
      <c r="AM80" s="44">
        <f>AM36-'Overall recycling rates'!$G$61/SUM('Overall recycling rates'!$G$60:$G$62)*('BTX Recycling HC'!F78+'BTX Recycling HC'!F173)-'Overall recycling rates'!$E$61/SUM('Overall recycling rates'!$E$60:$E$62)*('BTX Recycling HC'!F79+'BTX Recycling HC'!F174)-'Overall recycling rates'!$H$61/SUM('Overall recycling rates'!$H$60:$H$62)*('BTX Recycling HC'!F80+'BTX Recycling HC'!F175)-'Overall recycling rates'!$I$61/SUM('Overall recycling rates'!$I$60:$I$62)*('BTX Recycling HC'!F81+'BTX Recycling HC'!F176)</f>
        <v>3.693800791419044</v>
      </c>
      <c r="AN80" s="44">
        <f>AN36-'Overall recycling rates'!$G$61/SUM('Overall recycling rates'!$G$60:$G$62)*('BTX Recycling HC'!G78+'BTX Recycling HC'!G173)-'Overall recycling rates'!$E$61/SUM('Overall recycling rates'!$E$60:$E$62)*('BTX Recycling HC'!G79+'BTX Recycling HC'!G174)-'Overall recycling rates'!$H$61/SUM('Overall recycling rates'!$H$60:$H$62)*('BTX Recycling HC'!G80+'BTX Recycling HC'!G175)-'Overall recycling rates'!$I$61/SUM('Overall recycling rates'!$I$60:$I$62)*('BTX Recycling HC'!G81+'BTX Recycling HC'!G176)</f>
        <v>3.6949413122876411</v>
      </c>
      <c r="AO80" s="44">
        <f>AO36-'Overall recycling rates'!$G$61/SUM('Overall recycling rates'!$G$60:$G$62)*('BTX Recycling HC'!H78+'BTX Recycling HC'!H173)-'Overall recycling rates'!$E$61/SUM('Overall recycling rates'!$E$60:$E$62)*('BTX Recycling HC'!H79+'BTX Recycling HC'!H174)-'Overall recycling rates'!$H$61/SUM('Overall recycling rates'!$H$60:$H$62)*('BTX Recycling HC'!H80+'BTX Recycling HC'!H175)-'Overall recycling rates'!$I$61/SUM('Overall recycling rates'!$I$60:$I$62)*('BTX Recycling HC'!H81+'BTX Recycling HC'!H176)</f>
        <v>3.6963962309552132</v>
      </c>
      <c r="AP80" s="44">
        <f>AP36-'Overall recycling rates'!$G$61/SUM('Overall recycling rates'!$G$60:$G$62)*('BTX Recycling HC'!I78+'BTX Recycling HC'!I173)-'Overall recycling rates'!$E$61/SUM('Overall recycling rates'!$E$60:$E$62)*('BTX Recycling HC'!I79+'BTX Recycling HC'!I174)-'Overall recycling rates'!$H$61/SUM('Overall recycling rates'!$H$60:$H$62)*('BTX Recycling HC'!I80+'BTX Recycling HC'!I175)-'Overall recycling rates'!$I$61/SUM('Overall recycling rates'!$I$60:$I$62)*('BTX Recycling HC'!I81+'BTX Recycling HC'!I176)</f>
        <v>3.6976617853337155</v>
      </c>
      <c r="AQ80" s="44">
        <f>AQ36-'Overall recycling rates'!$G$61/SUM('Overall recycling rates'!$G$60:$G$62)*('BTX Recycling HC'!J78+'BTX Recycling HC'!J173)-'Overall recycling rates'!$E$61/SUM('Overall recycling rates'!$E$60:$E$62)*('BTX Recycling HC'!J79+'BTX Recycling HC'!J174)-'Overall recycling rates'!$H$61/SUM('Overall recycling rates'!$H$60:$H$62)*('BTX Recycling HC'!J80+'BTX Recycling HC'!J175)-'Overall recycling rates'!$I$61/SUM('Overall recycling rates'!$I$60:$I$62)*('BTX Recycling HC'!J81+'BTX Recycling HC'!J176)</f>
        <v>3.698763148293255</v>
      </c>
      <c r="AR80" s="44">
        <f>AR36-'Overall recycling rates'!$G$61/SUM('Overall recycling rates'!$G$60:$G$62)*('BTX Recycling HC'!K78+'BTX Recycling HC'!K173)-'Overall recycling rates'!$E$61/SUM('Overall recycling rates'!$E$60:$E$62)*('BTX Recycling HC'!K79+'BTX Recycling HC'!K174)-'Overall recycling rates'!$H$61/SUM('Overall recycling rates'!$H$60:$H$62)*('BTX Recycling HC'!K80+'BTX Recycling HC'!K175)-'Overall recycling rates'!$I$61/SUM('Overall recycling rates'!$I$60:$I$62)*('BTX Recycling HC'!K81+'BTX Recycling HC'!K176)</f>
        <v>3.6997264698593453</v>
      </c>
      <c r="AS80" s="44">
        <f>AS36-'Overall recycling rates'!$G$61/SUM('Overall recycling rates'!$G$60:$G$62)*('BTX Recycling HC'!L78+'BTX Recycling HC'!L173)-'Overall recycling rates'!$E$61/SUM('Overall recycling rates'!$E$60:$E$62)*('BTX Recycling HC'!L79+'BTX Recycling HC'!L174)-'Overall recycling rates'!$H$61/SUM('Overall recycling rates'!$H$60:$H$62)*('BTX Recycling HC'!L80+'BTX Recycling HC'!L175)-'Overall recycling rates'!$I$61/SUM('Overall recycling rates'!$I$60:$I$62)*('BTX Recycling HC'!L81+'BTX Recycling HC'!L176)</f>
        <v>3.7005788215904087</v>
      </c>
      <c r="AT80" s="44">
        <f>AT36-'Overall recycling rates'!$G$61/SUM('Overall recycling rates'!$G$60:$G$62)*('BTX Recycling HC'!M78+'BTX Recycling HC'!M173)-'Overall recycling rates'!$E$61/SUM('Overall recycling rates'!$E$60:$E$62)*('BTX Recycling HC'!M79+'BTX Recycling HC'!M174)-'Overall recycling rates'!$H$61/SUM('Overall recycling rates'!$H$60:$H$62)*('BTX Recycling HC'!M80+'BTX Recycling HC'!M175)-'Overall recycling rates'!$I$61/SUM('Overall recycling rates'!$I$60:$I$62)*('BTX Recycling HC'!M81+'BTX Recycling HC'!M176)</f>
        <v>3.7013481361028626</v>
      </c>
      <c r="AU80" s="44">
        <f>AU36-'Overall recycling rates'!$G$61/SUM('Overall recycling rates'!$G$60:$G$62)*('BTX Recycling HC'!N78+'BTX Recycling HC'!N173)-'Overall recycling rates'!$E$61/SUM('Overall recycling rates'!$E$60:$E$62)*('BTX Recycling HC'!N79+'BTX Recycling HC'!N174)-'Overall recycling rates'!$H$61/SUM('Overall recycling rates'!$H$60:$H$62)*('BTX Recycling HC'!N80+'BTX Recycling HC'!N175)-'Overall recycling rates'!$I$61/SUM('Overall recycling rates'!$I$60:$I$62)*('BTX Recycling HC'!N81+'BTX Recycling HC'!N176)</f>
        <v>3.556051363871922</v>
      </c>
      <c r="AV80" s="44">
        <f>AV36-'Overall recycling rates'!$G$61/SUM('Overall recycling rates'!$G$60:$G$62)*('BTX Recycling HC'!O78+'BTX Recycling HC'!O173)-'Overall recycling rates'!$E$61/SUM('Overall recycling rates'!$E$60:$E$62)*('BTX Recycling HC'!O79+'BTX Recycling HC'!O174)-'Overall recycling rates'!$H$61/SUM('Overall recycling rates'!$H$60:$H$62)*('BTX Recycling HC'!O80+'BTX Recycling HC'!O175)-'Overall recycling rates'!$I$61/SUM('Overall recycling rates'!$I$60:$I$62)*('BTX Recycling HC'!O81+'BTX Recycling HC'!O176)</f>
        <v>3.4995149864008743</v>
      </c>
      <c r="AW80" s="44">
        <f>AW36-'Overall recycling rates'!$G$61/SUM('Overall recycling rates'!$G$60:$G$62)*('BTX Recycling HC'!P78+'BTX Recycling HC'!P173)-'Overall recycling rates'!$E$61/SUM('Overall recycling rates'!$E$60:$E$62)*('BTX Recycling HC'!P79+'BTX Recycling HC'!P174)-'Overall recycling rates'!$H$61/SUM('Overall recycling rates'!$H$60:$H$62)*('BTX Recycling HC'!P80+'BTX Recycling HC'!P175)-'Overall recycling rates'!$I$61/SUM('Overall recycling rates'!$I$60:$I$62)*('BTX Recycling HC'!P81+'BTX Recycling HC'!P176)</f>
        <v>3.4436915943964981</v>
      </c>
      <c r="AX80" s="44">
        <f>AX36-'Overall recycling rates'!$G$61/SUM('Overall recycling rates'!$G$60:$G$62)*('BTX Recycling HC'!Q78+'BTX Recycling HC'!Q173)-'Overall recycling rates'!$E$61/SUM('Overall recycling rates'!$E$60:$E$62)*('BTX Recycling HC'!Q79+'BTX Recycling HC'!Q174)-'Overall recycling rates'!$H$61/SUM('Overall recycling rates'!$H$60:$H$62)*('BTX Recycling HC'!Q80+'BTX Recycling HC'!Q175)-'Overall recycling rates'!$I$61/SUM('Overall recycling rates'!$I$60:$I$62)*('BTX Recycling HC'!Q81+'BTX Recycling HC'!Q176)</f>
        <v>3.388720672833649</v>
      </c>
      <c r="AY80" s="44">
        <f>AY36-'Overall recycling rates'!$G$61/SUM('Overall recycling rates'!$G$60:$G$62)*('BTX Recycling HC'!R78+'BTX Recycling HC'!R173)-'Overall recycling rates'!$E$61/SUM('Overall recycling rates'!$E$60:$E$62)*('BTX Recycling HC'!R79+'BTX Recycling HC'!R174)-'Overall recycling rates'!$H$61/SUM('Overall recycling rates'!$H$60:$H$62)*('BTX Recycling HC'!R80+'BTX Recycling HC'!R175)-'Overall recycling rates'!$I$61/SUM('Overall recycling rates'!$I$60:$I$62)*('BTX Recycling HC'!R81+'BTX Recycling HC'!R176)</f>
        <v>3.3347383213605126</v>
      </c>
      <c r="AZ80" s="44">
        <f>AZ36-'Overall recycling rates'!$G$61/SUM('Overall recycling rates'!$G$60:$G$62)*('BTX Recycling HC'!S78+'BTX Recycling HC'!S173)-'Overall recycling rates'!$E$61/SUM('Overall recycling rates'!$E$60:$E$62)*('BTX Recycling HC'!S79+'BTX Recycling HC'!S174)-'Overall recycling rates'!$H$61/SUM('Overall recycling rates'!$H$60:$H$62)*('BTX Recycling HC'!S80+'BTX Recycling HC'!S175)-'Overall recycling rates'!$I$61/SUM('Overall recycling rates'!$I$60:$I$62)*('BTX Recycling HC'!S81+'BTX Recycling HC'!S176)</f>
        <v>3.2810045620356507</v>
      </c>
      <c r="BA80" s="44">
        <f>BA36-'Overall recycling rates'!$G$61/SUM('Overall recycling rates'!$G$60:$G$62)*('BTX Recycling HC'!T78+'BTX Recycling HC'!T173)-'Overall recycling rates'!$E$61/SUM('Overall recycling rates'!$E$60:$E$62)*('BTX Recycling HC'!T79+'BTX Recycling HC'!T174)-'Overall recycling rates'!$H$61/SUM('Overall recycling rates'!$H$60:$H$62)*('BTX Recycling HC'!T80+'BTX Recycling HC'!T175)-'Overall recycling rates'!$I$61/SUM('Overall recycling rates'!$I$60:$I$62)*('BTX Recycling HC'!T81+'BTX Recycling HC'!T176)</f>
        <v>3.2275491151895452</v>
      </c>
      <c r="BB80" s="44">
        <f>BB36-'Overall recycling rates'!$G$61/SUM('Overall recycling rates'!$G$60:$G$62)*('BTX Recycling HC'!U78+'BTX Recycling HC'!U173)-'Overall recycling rates'!$E$61/SUM('Overall recycling rates'!$E$60:$E$62)*('BTX Recycling HC'!U79+'BTX Recycling HC'!U174)-'Overall recycling rates'!$H$61/SUM('Overall recycling rates'!$H$60:$H$62)*('BTX Recycling HC'!U80+'BTX Recycling HC'!U175)-'Overall recycling rates'!$I$61/SUM('Overall recycling rates'!$I$60:$I$62)*('BTX Recycling HC'!U81+'BTX Recycling HC'!U176)</f>
        <v>3.174401342452883</v>
      </c>
      <c r="BC80" s="44">
        <f>BC36-'Overall recycling rates'!$G$61/SUM('Overall recycling rates'!$G$60:$G$62)*('BTX Recycling HC'!V78+'BTX Recycling HC'!V173)-'Overall recycling rates'!$E$61/SUM('Overall recycling rates'!$E$60:$E$62)*('BTX Recycling HC'!V79+'BTX Recycling HC'!V174)-'Overall recycling rates'!$H$61/SUM('Overall recycling rates'!$H$60:$H$62)*('BTX Recycling HC'!V80+'BTX Recycling HC'!V175)-'Overall recycling rates'!$I$61/SUM('Overall recycling rates'!$I$60:$I$62)*('BTX Recycling HC'!V81+'BTX Recycling HC'!V176)</f>
        <v>3.1215901991683856</v>
      </c>
      <c r="BD80" s="44">
        <f>BD36-'Overall recycling rates'!$G$61/SUM('Overall recycling rates'!$G$60:$G$62)*('BTX Recycling HC'!W78+'BTX Recycling HC'!W173)-'Overall recycling rates'!$E$61/SUM('Overall recycling rates'!$E$60:$E$62)*('BTX Recycling HC'!W79+'BTX Recycling HC'!W174)-'Overall recycling rates'!$H$61/SUM('Overall recycling rates'!$H$60:$H$62)*('BTX Recycling HC'!W80+'BTX Recycling HC'!W175)-'Overall recycling rates'!$I$61/SUM('Overall recycling rates'!$I$60:$I$62)*('BTX Recycling HC'!W81+'BTX Recycling HC'!W176)</f>
        <v>3.0691441858854227</v>
      </c>
      <c r="BE80" s="44">
        <f>BE36-'Overall recycling rates'!$G$61/SUM('Overall recycling rates'!$G$60:$G$62)*('BTX Recycling HC'!X78+'BTX Recycling HC'!X173)-'Overall recycling rates'!$E$61/SUM('Overall recycling rates'!$E$60:$E$62)*('BTX Recycling HC'!X79+'BTX Recycling HC'!X174)-'Overall recycling rates'!$H$61/SUM('Overall recycling rates'!$H$60:$H$62)*('BTX Recycling HC'!X80+'BTX Recycling HC'!X175)-'Overall recycling rates'!$I$61/SUM('Overall recycling rates'!$I$60:$I$62)*('BTX Recycling HC'!X81+'BTX Recycling HC'!X176)</f>
        <v>3.0005003027735881</v>
      </c>
      <c r="BF80" s="44">
        <f>BF36-'Overall recycling rates'!$G$61/SUM('Overall recycling rates'!$G$60:$G$62)*('BTX Recycling HC'!Y78+'BTX Recycling HC'!Y173)-'Overall recycling rates'!$E$61/SUM('Overall recycling rates'!$E$60:$E$62)*('BTX Recycling HC'!Y79+'BTX Recycling HC'!Y174)-'Overall recycling rates'!$H$61/SUM('Overall recycling rates'!$H$60:$H$62)*('BTX Recycling HC'!Y80+'BTX Recycling HC'!Y175)-'Overall recycling rates'!$I$61/SUM('Overall recycling rates'!$I$60:$I$62)*('BTX Recycling HC'!Y81+'BTX Recycling HC'!Y176)</f>
        <v>2.9334236362401303</v>
      </c>
      <c r="BG80" s="44">
        <f>BG36-'Overall recycling rates'!$G$61/SUM('Overall recycling rates'!$G$60:$G$62)*('BTX Recycling HC'!Z78+'BTX Recycling HC'!Z173)-'Overall recycling rates'!$E$61/SUM('Overall recycling rates'!$E$60:$E$62)*('BTX Recycling HC'!Z79+'BTX Recycling HC'!Z174)-'Overall recycling rates'!$H$61/SUM('Overall recycling rates'!$H$60:$H$62)*('BTX Recycling HC'!Z80+'BTX Recycling HC'!Z175)-'Overall recycling rates'!$I$61/SUM('Overall recycling rates'!$I$60:$I$62)*('BTX Recycling HC'!Z81+'BTX Recycling HC'!Z176)</f>
        <v>2.8680727918873301</v>
      </c>
      <c r="BH80" s="44">
        <f>BH36-'Overall recycling rates'!$G$61/SUM('Overall recycling rates'!$G$60:$G$62)*('BTX Recycling HC'!AA78+'BTX Recycling HC'!AA173)-'Overall recycling rates'!$E$61/SUM('Overall recycling rates'!$E$60:$E$62)*('BTX Recycling HC'!AA79+'BTX Recycling HC'!AA174)-'Overall recycling rates'!$H$61/SUM('Overall recycling rates'!$H$60:$H$62)*('BTX Recycling HC'!AA80+'BTX Recycling HC'!AA175)-'Overall recycling rates'!$I$61/SUM('Overall recycling rates'!$I$60:$I$62)*('BTX Recycling HC'!AA81+'BTX Recycling HC'!AA176)</f>
        <v>2.8044337728151021</v>
      </c>
      <c r="BI80" s="44">
        <f>BI36-'Overall recycling rates'!$G$61/SUM('Overall recycling rates'!$G$60:$G$62)*('BTX Recycling HC'!AB78+'BTX Recycling HC'!AB173)-'Overall recycling rates'!$E$61/SUM('Overall recycling rates'!$E$60:$E$62)*('BTX Recycling HC'!AB79+'BTX Recycling HC'!AB174)-'Overall recycling rates'!$H$61/SUM('Overall recycling rates'!$H$60:$H$62)*('BTX Recycling HC'!AB80+'BTX Recycling HC'!AB175)-'Overall recycling rates'!$I$61/SUM('Overall recycling rates'!$I$60:$I$62)*('BTX Recycling HC'!AB81+'BTX Recycling HC'!AB176)</f>
        <v>2.742570698559113</v>
      </c>
      <c r="BJ80" s="44">
        <f>BJ36-'Overall recycling rates'!$G$61/SUM('Overall recycling rates'!$G$60:$G$62)*('BTX Recycling HC'!AC78+'BTX Recycling HC'!AC173)-'Overall recycling rates'!$E$61/SUM('Overall recycling rates'!$E$60:$E$62)*('BTX Recycling HC'!AC79+'BTX Recycling HC'!AC174)-'Overall recycling rates'!$H$61/SUM('Overall recycling rates'!$H$60:$H$62)*('BTX Recycling HC'!AC80+'BTX Recycling HC'!AC175)-'Overall recycling rates'!$I$61/SUM('Overall recycling rates'!$I$60:$I$62)*('BTX Recycling HC'!AC81+'BTX Recycling HC'!AC176)</f>
        <v>2.6825407728261017</v>
      </c>
      <c r="BK80" s="44">
        <f>BK36-'Overall recycling rates'!$G$61/SUM('Overall recycling rates'!$G$60:$G$62)*('BTX Recycling HC'!AD78+'BTX Recycling HC'!AD173)-'Overall recycling rates'!$E$61/SUM('Overall recycling rates'!$E$60:$E$62)*('BTX Recycling HC'!AD79+'BTX Recycling HC'!AD174)-'Overall recycling rates'!$H$61/SUM('Overall recycling rates'!$H$60:$H$62)*('BTX Recycling HC'!AD80+'BTX Recycling HC'!AD175)-'Overall recycling rates'!$I$61/SUM('Overall recycling rates'!$I$60:$I$62)*('BTX Recycling HC'!AD81+'BTX Recycling HC'!AD176)</f>
        <v>2.6244054892142898</v>
      </c>
      <c r="BL80" s="44">
        <f>BL36-'Overall recycling rates'!$G$61/SUM('Overall recycling rates'!$G$60:$G$62)*('BTX Recycling HC'!AE78+'BTX Recycling HC'!AE173)-'Overall recycling rates'!$E$61/SUM('Overall recycling rates'!$E$60:$E$62)*('BTX Recycling HC'!AE79+'BTX Recycling HC'!AE174)-'Overall recycling rates'!$H$61/SUM('Overall recycling rates'!$H$60:$H$62)*('BTX Recycling HC'!AE80+'BTX Recycling HC'!AE175)-'Overall recycling rates'!$I$61/SUM('Overall recycling rates'!$I$60:$I$62)*('BTX Recycling HC'!AE81+'BTX Recycling HC'!AE176)</f>
        <v>2.5682250864597109</v>
      </c>
      <c r="BM80" s="44">
        <f>BM36-'Overall recycling rates'!$G$61/SUM('Overall recycling rates'!$G$60:$G$62)*('BTX Recycling HC'!AF78+'BTX Recycling HC'!AF173)-'Overall recycling rates'!$E$61/SUM('Overall recycling rates'!$E$60:$E$62)*('BTX Recycling HC'!AF79+'BTX Recycling HC'!AF174)-'Overall recycling rates'!$H$61/SUM('Overall recycling rates'!$H$60:$H$62)*('BTX Recycling HC'!AF80+'BTX Recycling HC'!AF175)-'Overall recycling rates'!$I$61/SUM('Overall recycling rates'!$I$60:$I$62)*('BTX Recycling HC'!AF81+'BTX Recycling HC'!AF176)</f>
        <v>2.5140584271343371</v>
      </c>
      <c r="BN80" s="44">
        <f>BN36-'Overall recycling rates'!$G$61/SUM('Overall recycling rates'!$G$60:$G$62)*('BTX Recycling HC'!AG78+'BTX Recycling HC'!AG173)-'Overall recycling rates'!$E$61/SUM('Overall recycling rates'!$E$60:$E$62)*('BTX Recycling HC'!AG79+'BTX Recycling HC'!AG174)-'Overall recycling rates'!$H$61/SUM('Overall recycling rates'!$H$60:$H$62)*('BTX Recycling HC'!AG80+'BTX Recycling HC'!AG175)-'Overall recycling rates'!$I$61/SUM('Overall recycling rates'!$I$60:$I$62)*('BTX Recycling HC'!AG81+'BTX Recycling HC'!AG176)</f>
        <v>2.4619628732880741</v>
      </c>
    </row>
    <row r="81" spans="1:66" s="68" customFormat="1" outlineLevel="1" x14ac:dyDescent="0.2">
      <c r="A81" s="683"/>
      <c r="B81" s="62" t="s">
        <v>166</v>
      </c>
      <c r="C81" s="283" t="s">
        <v>153</v>
      </c>
      <c r="D81" s="284">
        <f>D37-'Overall recycling rates'!$G$62/SUM('Overall recycling rates'!$G$60:$G$62)*('BTX Recycling HC'!C78+'BTX Recycling HC'!C173)-'Overall recycling rates'!$E$62/SUM('Overall recycling rates'!$E$60:$E$62)*('BTX Recycling HC'!C79+'BTX Recycling HC'!C174)-'Overall recycling rates'!$H$62/SUM('Overall recycling rates'!$H$60:$H$62)*('BTX Recycling HC'!C80+'BTX Recycling HC'!C175)-'Overall recycling rates'!$I$62/SUM('Overall recycling rates'!$I$60:$I$62)*('BTX Recycling HC'!C81+'BTX Recycling HC'!C176)</f>
        <v>33.557300929497657</v>
      </c>
      <c r="E81" s="284">
        <f>E37-'Overall recycling rates'!$G$62/SUM('Overall recycling rates'!$G$60:$G$62)*('BTX Recycling HC'!D78+'BTX Recycling HC'!D173)-'Overall recycling rates'!$E$62/SUM('Overall recycling rates'!$E$60:$E$62)*('BTX Recycling HC'!D79+'BTX Recycling HC'!D174)-'Overall recycling rates'!$H$62/SUM('Overall recycling rates'!$H$60:$H$62)*('BTX Recycling HC'!D80+'BTX Recycling HC'!D175)-'Overall recycling rates'!$I$62/SUM('Overall recycling rates'!$I$60:$I$62)*('BTX Recycling HC'!D81+'BTX Recycling HC'!D176)</f>
        <v>33.481123838979919</v>
      </c>
      <c r="F81" s="284">
        <f>F37-'Overall recycling rates'!$G$62/SUM('Overall recycling rates'!$G$60:$G$62)*('BTX Recycling HC'!E78+'BTX Recycling HC'!E173)-'Overall recycling rates'!$E$62/SUM('Overall recycling rates'!$E$60:$E$62)*('BTX Recycling HC'!E79+'BTX Recycling HC'!E174)-'Overall recycling rates'!$H$62/SUM('Overall recycling rates'!$H$60:$H$62)*('BTX Recycling HC'!E80+'BTX Recycling HC'!E175)-'Overall recycling rates'!$I$62/SUM('Overall recycling rates'!$I$60:$I$62)*('BTX Recycling HC'!E81+'BTX Recycling HC'!E176)</f>
        <v>33.413115879185355</v>
      </c>
      <c r="G81" s="284">
        <f>G37-'Overall recycling rates'!$G$62/SUM('Overall recycling rates'!$G$60:$G$62)*('BTX Recycling HC'!F78+'BTX Recycling HC'!F173)-'Overall recycling rates'!$E$62/SUM('Overall recycling rates'!$E$60:$E$62)*('BTX Recycling HC'!F79+'BTX Recycling HC'!F174)-'Overall recycling rates'!$H$62/SUM('Overall recycling rates'!$H$60:$H$62)*('BTX Recycling HC'!F80+'BTX Recycling HC'!F175)-'Overall recycling rates'!$I$62/SUM('Overall recycling rates'!$I$60:$I$62)*('BTX Recycling HC'!F81+'BTX Recycling HC'!F176)</f>
        <v>33.342370541850869</v>
      </c>
      <c r="H81" s="284">
        <f>H37-'Overall recycling rates'!$G$62/SUM('Overall recycling rates'!$G$60:$G$62)*('BTX Recycling HC'!G78+'BTX Recycling HC'!G173)-'Overall recycling rates'!$E$62/SUM('Overall recycling rates'!$E$60:$E$62)*('BTX Recycling HC'!G79+'BTX Recycling HC'!G174)-'Overall recycling rates'!$H$62/SUM('Overall recycling rates'!$H$60:$H$62)*('BTX Recycling HC'!G80+'BTX Recycling HC'!G175)-'Overall recycling rates'!$I$62/SUM('Overall recycling rates'!$I$60:$I$62)*('BTX Recycling HC'!G81+'BTX Recycling HC'!G176)</f>
        <v>33.273676809423385</v>
      </c>
      <c r="I81" s="284">
        <f>I37-'Overall recycling rates'!$G$62/SUM('Overall recycling rates'!$G$60:$G$62)*('BTX Recycling HC'!H78+'BTX Recycling HC'!H173)-'Overall recycling rates'!$E$62/SUM('Overall recycling rates'!$E$60:$E$62)*('BTX Recycling HC'!H79+'BTX Recycling HC'!H174)-'Overall recycling rates'!$H$62/SUM('Overall recycling rates'!$H$60:$H$62)*('BTX Recycling HC'!H80+'BTX Recycling HC'!H175)-'Overall recycling rates'!$I$62/SUM('Overall recycling rates'!$I$60:$I$62)*('BTX Recycling HC'!H81+'BTX Recycling HC'!H176)</f>
        <v>33.207839596814246</v>
      </c>
      <c r="J81" s="284">
        <f>J37-'Overall recycling rates'!$G$62/SUM('Overall recycling rates'!$G$60:$G$62)*('BTX Recycling HC'!I78+'BTX Recycling HC'!I173)-'Overall recycling rates'!$E$62/SUM('Overall recycling rates'!$E$60:$E$62)*('BTX Recycling HC'!I79+'BTX Recycling HC'!I174)-'Overall recycling rates'!$H$62/SUM('Overall recycling rates'!$H$60:$H$62)*('BTX Recycling HC'!I80+'BTX Recycling HC'!I175)-'Overall recycling rates'!$I$62/SUM('Overall recycling rates'!$I$60:$I$62)*('BTX Recycling HC'!I81+'BTX Recycling HC'!I176)</f>
        <v>33.140991020133939</v>
      </c>
      <c r="K81" s="284">
        <f>K37-'Overall recycling rates'!$G$62/SUM('Overall recycling rates'!$G$60:$G$62)*('BTX Recycling HC'!J78+'BTX Recycling HC'!J173)-'Overall recycling rates'!$E$62/SUM('Overall recycling rates'!$E$60:$E$62)*('BTX Recycling HC'!J79+'BTX Recycling HC'!J174)-'Overall recycling rates'!$H$62/SUM('Overall recycling rates'!$H$60:$H$62)*('BTX Recycling HC'!J80+'BTX Recycling HC'!J175)-'Overall recycling rates'!$I$62/SUM('Overall recycling rates'!$I$60:$I$62)*('BTX Recycling HC'!J81+'BTX Recycling HC'!J176)</f>
        <v>33.07326817080655</v>
      </c>
      <c r="L81" s="284">
        <f>L37-'Overall recycling rates'!$G$62/SUM('Overall recycling rates'!$G$60:$G$62)*('BTX Recycling HC'!K78+'BTX Recycling HC'!K173)-'Overall recycling rates'!$E$62/SUM('Overall recycling rates'!$E$60:$E$62)*('BTX Recycling HC'!K79+'BTX Recycling HC'!K174)-'Overall recycling rates'!$H$62/SUM('Overall recycling rates'!$H$60:$H$62)*('BTX Recycling HC'!K80+'BTX Recycling HC'!K175)-'Overall recycling rates'!$I$62/SUM('Overall recycling rates'!$I$60:$I$62)*('BTX Recycling HC'!K81+'BTX Recycling HC'!K176)</f>
        <v>33.004800415959849</v>
      </c>
      <c r="M81" s="284">
        <f>M37-'Overall recycling rates'!$G$62/SUM('Overall recycling rates'!$G$60:$G$62)*('BTX Recycling HC'!L78+'BTX Recycling HC'!L173)-'Overall recycling rates'!$E$62/SUM('Overall recycling rates'!$E$60:$E$62)*('BTX Recycling HC'!L79+'BTX Recycling HC'!L174)-'Overall recycling rates'!$H$62/SUM('Overall recycling rates'!$H$60:$H$62)*('BTX Recycling HC'!L80+'BTX Recycling HC'!L175)-'Overall recycling rates'!$I$62/SUM('Overall recycling rates'!$I$60:$I$62)*('BTX Recycling HC'!L81+'BTX Recycling HC'!L176)</f>
        <v>32.935708508055598</v>
      </c>
      <c r="N81" s="284">
        <f>N37-'Overall recycling rates'!$G$62/SUM('Overall recycling rates'!$G$60:$G$62)*('BTX Recycling HC'!M78+'BTX Recycling HC'!M173)-'Overall recycling rates'!$E$62/SUM('Overall recycling rates'!$E$60:$E$62)*('BTX Recycling HC'!M79+'BTX Recycling HC'!M174)-'Overall recycling rates'!$H$62/SUM('Overall recycling rates'!$H$60:$H$62)*('BTX Recycling HC'!M80+'BTX Recycling HC'!M175)-'Overall recycling rates'!$I$62/SUM('Overall recycling rates'!$I$60:$I$62)*('BTX Recycling HC'!M81+'BTX Recycling HC'!M176)</f>
        <v>32.86610370615724</v>
      </c>
      <c r="O81" s="284">
        <f>O37-'Overall recycling rates'!$G$62/SUM('Overall recycling rates'!$G$60:$G$62)*('BTX Recycling HC'!N78+'BTX Recycling HC'!N173)-'Overall recycling rates'!$E$62/SUM('Overall recycling rates'!$E$60:$E$62)*('BTX Recycling HC'!N79+'BTX Recycling HC'!N174)-'Overall recycling rates'!$H$62/SUM('Overall recycling rates'!$H$60:$H$62)*('BTX Recycling HC'!N80+'BTX Recycling HC'!N175)-'Overall recycling rates'!$I$62/SUM('Overall recycling rates'!$I$60:$I$62)*('BTX Recycling HC'!N81+'BTX Recycling HC'!N176)</f>
        <v>31.093686643727779</v>
      </c>
      <c r="P81" s="284">
        <f>P37-'Overall recycling rates'!$G$62/SUM('Overall recycling rates'!$G$60:$G$62)*('BTX Recycling HC'!O78+'BTX Recycling HC'!O173)-'Overall recycling rates'!$E$62/SUM('Overall recycling rates'!$E$60:$E$62)*('BTX Recycling HC'!O79+'BTX Recycling HC'!O174)-'Overall recycling rates'!$H$62/SUM('Overall recycling rates'!$H$60:$H$62)*('BTX Recycling HC'!O80+'BTX Recycling HC'!O175)-'Overall recycling rates'!$I$62/SUM('Overall recycling rates'!$I$60:$I$62)*('BTX Recycling HC'!O81+'BTX Recycling HC'!O176)</f>
        <v>30.312402570537465</v>
      </c>
      <c r="Q81" s="284">
        <f>Q37-'Overall recycling rates'!$G$62/SUM('Overall recycling rates'!$G$60:$G$62)*('BTX Recycling HC'!P78+'BTX Recycling HC'!P173)-'Overall recycling rates'!$E$62/SUM('Overall recycling rates'!$E$60:$E$62)*('BTX Recycling HC'!P79+'BTX Recycling HC'!P174)-'Overall recycling rates'!$H$62/SUM('Overall recycling rates'!$H$60:$H$62)*('BTX Recycling HC'!P80+'BTX Recycling HC'!P175)-'Overall recycling rates'!$I$62/SUM('Overall recycling rates'!$I$60:$I$62)*('BTX Recycling HC'!P81+'BTX Recycling HC'!P176)</f>
        <v>29.529346417438816</v>
      </c>
      <c r="R81" s="284">
        <f>R37-'Overall recycling rates'!$G$62/SUM('Overall recycling rates'!$G$60:$G$62)*('BTX Recycling HC'!Q78+'BTX Recycling HC'!Q173)-'Overall recycling rates'!$E$62/SUM('Overall recycling rates'!$E$60:$E$62)*('BTX Recycling HC'!Q79+'BTX Recycling HC'!Q174)-'Overall recycling rates'!$H$62/SUM('Overall recycling rates'!$H$60:$H$62)*('BTX Recycling HC'!Q80+'BTX Recycling HC'!Q175)-'Overall recycling rates'!$I$62/SUM('Overall recycling rates'!$I$60:$I$62)*('BTX Recycling HC'!Q81+'BTX Recycling HC'!Q176)</f>
        <v>28.744636853658292</v>
      </c>
      <c r="S81" s="284">
        <f>S37-'Overall recycling rates'!$G$62/SUM('Overall recycling rates'!$G$60:$G$62)*('BTX Recycling HC'!R78+'BTX Recycling HC'!R173)-'Overall recycling rates'!$E$62/SUM('Overall recycling rates'!$E$60:$E$62)*('BTX Recycling HC'!R79+'BTX Recycling HC'!R174)-'Overall recycling rates'!$H$62/SUM('Overall recycling rates'!$H$60:$H$62)*('BTX Recycling HC'!R80+'BTX Recycling HC'!R175)-'Overall recycling rates'!$I$62/SUM('Overall recycling rates'!$I$60:$I$62)*('BTX Recycling HC'!R81+'BTX Recycling HC'!R176)</f>
        <v>27.958213279985319</v>
      </c>
      <c r="T81" s="284">
        <f>T37-'Overall recycling rates'!$G$62/SUM('Overall recycling rates'!$G$60:$G$62)*('BTX Recycling HC'!S78+'BTX Recycling HC'!S173)-'Overall recycling rates'!$E$62/SUM('Overall recycling rates'!$E$60:$E$62)*('BTX Recycling HC'!S79+'BTX Recycling HC'!S174)-'Overall recycling rates'!$H$62/SUM('Overall recycling rates'!$H$60:$H$62)*('BTX Recycling HC'!S80+'BTX Recycling HC'!S175)-'Overall recycling rates'!$I$62/SUM('Overall recycling rates'!$I$60:$I$62)*('BTX Recycling HC'!S81+'BTX Recycling HC'!S176)</f>
        <v>27.164571917993634</v>
      </c>
      <c r="U81" s="284">
        <f>U37-'Overall recycling rates'!$G$62/SUM('Overall recycling rates'!$G$60:$G$62)*('BTX Recycling HC'!T78+'BTX Recycling HC'!T173)-'Overall recycling rates'!$E$62/SUM('Overall recycling rates'!$E$60:$E$62)*('BTX Recycling HC'!T79+'BTX Recycling HC'!T174)-'Overall recycling rates'!$H$62/SUM('Overall recycling rates'!$H$60:$H$62)*('BTX Recycling HC'!T80+'BTX Recycling HC'!T175)-'Overall recycling rates'!$I$62/SUM('Overall recycling rates'!$I$60:$I$62)*('BTX Recycling HC'!T81+'BTX Recycling HC'!T176)</f>
        <v>26.363164015780512</v>
      </c>
      <c r="V81" s="284">
        <f>V37-'Overall recycling rates'!$G$62/SUM('Overall recycling rates'!$G$60:$G$62)*('BTX Recycling HC'!U78+'BTX Recycling HC'!U173)-'Overall recycling rates'!$E$62/SUM('Overall recycling rates'!$E$60:$E$62)*('BTX Recycling HC'!U79+'BTX Recycling HC'!U174)-'Overall recycling rates'!$H$62/SUM('Overall recycling rates'!$H$60:$H$62)*('BTX Recycling HC'!U80+'BTX Recycling HC'!U175)-'Overall recycling rates'!$I$62/SUM('Overall recycling rates'!$I$60:$I$62)*('BTX Recycling HC'!U81+'BTX Recycling HC'!U176)</f>
        <v>25.553414340391456</v>
      </c>
      <c r="W81" s="284">
        <f>W37-'Overall recycling rates'!$G$62/SUM('Overall recycling rates'!$G$60:$G$62)*('BTX Recycling HC'!V78+'BTX Recycling HC'!V173)-'Overall recycling rates'!$E$62/SUM('Overall recycling rates'!$E$60:$E$62)*('BTX Recycling HC'!V79+'BTX Recycling HC'!V174)-'Overall recycling rates'!$H$62/SUM('Overall recycling rates'!$H$60:$H$62)*('BTX Recycling HC'!V80+'BTX Recycling HC'!V175)-'Overall recycling rates'!$I$62/SUM('Overall recycling rates'!$I$60:$I$62)*('BTX Recycling HC'!V81+'BTX Recycling HC'!V176)</f>
        <v>24.734721039842405</v>
      </c>
      <c r="X81" s="284">
        <f>X37-'Overall recycling rates'!$G$62/SUM('Overall recycling rates'!$G$60:$G$62)*('BTX Recycling HC'!W78+'BTX Recycling HC'!W173)-'Overall recycling rates'!$E$62/SUM('Overall recycling rates'!$E$60:$E$62)*('BTX Recycling HC'!W79+'BTX Recycling HC'!W174)-'Overall recycling rates'!$H$62/SUM('Overall recycling rates'!$H$60:$H$62)*('BTX Recycling HC'!W80+'BTX Recycling HC'!W175)-'Overall recycling rates'!$I$62/SUM('Overall recycling rates'!$I$60:$I$62)*('BTX Recycling HC'!W81+'BTX Recycling HC'!W176)</f>
        <v>23.90645552839446</v>
      </c>
      <c r="Y81" s="284">
        <f>Y37-'Overall recycling rates'!$G$62/SUM('Overall recycling rates'!$G$60:$G$62)*('BTX Recycling HC'!X78+'BTX Recycling HC'!X173)-'Overall recycling rates'!$E$62/SUM('Overall recycling rates'!$E$60:$E$62)*('BTX Recycling HC'!X79+'BTX Recycling HC'!X174)-'Overall recycling rates'!$H$62/SUM('Overall recycling rates'!$H$60:$H$62)*('BTX Recycling HC'!X80+'BTX Recycling HC'!X175)-'Overall recycling rates'!$I$62/SUM('Overall recycling rates'!$I$60:$I$62)*('BTX Recycling HC'!X81+'BTX Recycling HC'!X176)</f>
        <v>22.945409630897824</v>
      </c>
      <c r="Z81" s="284">
        <f>Z37-'Overall recycling rates'!$G$62/SUM('Overall recycling rates'!$G$60:$G$62)*('BTX Recycling HC'!Y78+'BTX Recycling HC'!Y173)-'Overall recycling rates'!$E$62/SUM('Overall recycling rates'!$E$60:$E$62)*('BTX Recycling HC'!Y79+'BTX Recycling HC'!Y174)-'Overall recycling rates'!$H$62/SUM('Overall recycling rates'!$H$60:$H$62)*('BTX Recycling HC'!Y80+'BTX Recycling HC'!Y175)-'Overall recycling rates'!$I$62/SUM('Overall recycling rates'!$I$60:$I$62)*('BTX Recycling HC'!Y81+'BTX Recycling HC'!Y176)</f>
        <v>21.982628681012539</v>
      </c>
      <c r="AA81" s="284">
        <f>AA37-'Overall recycling rates'!$G$62/SUM('Overall recycling rates'!$G$60:$G$62)*('BTX Recycling HC'!Z78+'BTX Recycling HC'!Z173)-'Overall recycling rates'!$E$62/SUM('Overall recycling rates'!$E$60:$E$62)*('BTX Recycling HC'!Z79+'BTX Recycling HC'!Z174)-'Overall recycling rates'!$H$62/SUM('Overall recycling rates'!$H$60:$H$62)*('BTX Recycling HC'!Z80+'BTX Recycling HC'!Z175)-'Overall recycling rates'!$I$62/SUM('Overall recycling rates'!$I$60:$I$62)*('BTX Recycling HC'!Z81+'BTX Recycling HC'!Z176)</f>
        <v>21.017270063563856</v>
      </c>
      <c r="AB81" s="284">
        <f>AB37-'Overall recycling rates'!$G$62/SUM('Overall recycling rates'!$G$60:$G$62)*('BTX Recycling HC'!AA78+'BTX Recycling HC'!AA173)-'Overall recycling rates'!$E$62/SUM('Overall recycling rates'!$E$60:$E$62)*('BTX Recycling HC'!AA79+'BTX Recycling HC'!AA174)-'Overall recycling rates'!$H$62/SUM('Overall recycling rates'!$H$60:$H$62)*('BTX Recycling HC'!AA80+'BTX Recycling HC'!AA175)-'Overall recycling rates'!$I$62/SUM('Overall recycling rates'!$I$60:$I$62)*('BTX Recycling HC'!AA81+'BTX Recycling HC'!AA176)</f>
        <v>20.048363858269511</v>
      </c>
      <c r="AC81" s="284">
        <f>AC37-'Overall recycling rates'!$G$62/SUM('Overall recycling rates'!$G$60:$G$62)*('BTX Recycling HC'!AB78+'BTX Recycling HC'!AB173)-'Overall recycling rates'!$E$62/SUM('Overall recycling rates'!$E$60:$E$62)*('BTX Recycling HC'!AB79+'BTX Recycling HC'!AB174)-'Overall recycling rates'!$H$62/SUM('Overall recycling rates'!$H$60:$H$62)*('BTX Recycling HC'!AB80+'BTX Recycling HC'!AB175)-'Overall recycling rates'!$I$62/SUM('Overall recycling rates'!$I$60:$I$62)*('BTX Recycling HC'!AB81+'BTX Recycling HC'!AB176)</f>
        <v>19.074936959266271</v>
      </c>
      <c r="AD81" s="284">
        <f>AD37-'Overall recycling rates'!$G$62/SUM('Overall recycling rates'!$G$60:$G$62)*('BTX Recycling HC'!AC78+'BTX Recycling HC'!AC173)-'Overall recycling rates'!$E$62/SUM('Overall recycling rates'!$E$60:$E$62)*('BTX Recycling HC'!AC79+'BTX Recycling HC'!AC174)-'Overall recycling rates'!$H$62/SUM('Overall recycling rates'!$H$60:$H$62)*('BTX Recycling HC'!AC80+'BTX Recycling HC'!AC175)-'Overall recycling rates'!$I$62/SUM('Overall recycling rates'!$I$60:$I$62)*('BTX Recycling HC'!AC81+'BTX Recycling HC'!AC176)</f>
        <v>18.095944709345375</v>
      </c>
      <c r="AE81" s="284">
        <f>AE37-'Overall recycling rates'!$G$62/SUM('Overall recycling rates'!$G$60:$G$62)*('BTX Recycling HC'!AD78+'BTX Recycling HC'!AD173)-'Overall recycling rates'!$E$62/SUM('Overall recycling rates'!$E$60:$E$62)*('BTX Recycling HC'!AD79+'BTX Recycling HC'!AD174)-'Overall recycling rates'!$H$62/SUM('Overall recycling rates'!$H$60:$H$62)*('BTX Recycling HC'!AD80+'BTX Recycling HC'!AD175)-'Overall recycling rates'!$I$62/SUM('Overall recycling rates'!$I$60:$I$62)*('BTX Recycling HC'!AD81+'BTX Recycling HC'!AD176)</f>
        <v>17.110329928412053</v>
      </c>
      <c r="AF81" s="284">
        <f>AF37-'Overall recycling rates'!$G$62/SUM('Overall recycling rates'!$G$60:$G$62)*('BTX Recycling HC'!AE78+'BTX Recycling HC'!AE173)-'Overall recycling rates'!$E$62/SUM('Overall recycling rates'!$E$60:$E$62)*('BTX Recycling HC'!AE79+'BTX Recycling HC'!AE174)-'Overall recycling rates'!$H$62/SUM('Overall recycling rates'!$H$60:$H$62)*('BTX Recycling HC'!AE80+'BTX Recycling HC'!AE175)-'Overall recycling rates'!$I$62/SUM('Overall recycling rates'!$I$60:$I$62)*('BTX Recycling HC'!AE81+'BTX Recycling HC'!AE176)</f>
        <v>16.116993762899455</v>
      </c>
      <c r="AG81" s="284">
        <f>AG37-'Overall recycling rates'!$G$62/SUM('Overall recycling rates'!$G$60:$G$62)*('BTX Recycling HC'!AF78+'BTX Recycling HC'!AF173)-'Overall recycling rates'!$E$62/SUM('Overall recycling rates'!$E$60:$E$62)*('BTX Recycling HC'!AF79+'BTX Recycling HC'!AF174)-'Overall recycling rates'!$H$62/SUM('Overall recycling rates'!$H$60:$H$62)*('BTX Recycling HC'!AF80+'BTX Recycling HC'!AF175)-'Overall recycling rates'!$I$62/SUM('Overall recycling rates'!$I$60:$I$62)*('BTX Recycling HC'!AF81+'BTX Recycling HC'!AF176)</f>
        <v>15.114795702423699</v>
      </c>
      <c r="AH81" s="284">
        <f>AH37-'Overall recycling rates'!$G$62/SUM('Overall recycling rates'!$G$60:$G$62)*('BTX Recycling HC'!AG78+'BTX Recycling HC'!AG173)-'Overall recycling rates'!$E$62/SUM('Overall recycling rates'!$E$60:$E$62)*('BTX Recycling HC'!AG79+'BTX Recycling HC'!AG174)-'Overall recycling rates'!$H$62/SUM('Overall recycling rates'!$H$60:$H$62)*('BTX Recycling HC'!AG80+'BTX Recycling HC'!AG175)-'Overall recycling rates'!$I$62/SUM('Overall recycling rates'!$I$60:$I$62)*('BTX Recycling HC'!AG81+'BTX Recycling HC'!AG176)</f>
        <v>14.102553630936873</v>
      </c>
      <c r="AJ81" s="284">
        <f>AJ37-'Overall recycling rates'!$G$62/SUM('Overall recycling rates'!$G$60:$G$62)*('BTX Recycling HC'!C78+'BTX Recycling HC'!C173)-'Overall recycling rates'!$E$62/SUM('Overall recycling rates'!$E$60:$E$62)*('BTX Recycling HC'!C79+'BTX Recycling HC'!C174)-'Overall recycling rates'!$H$62/SUM('Overall recycling rates'!$H$60:$H$62)*('BTX Recycling HC'!C80+'BTX Recycling HC'!C175)-'Overall recycling rates'!$I$62/SUM('Overall recycling rates'!$I$60:$I$62)*('BTX Recycling HC'!C81+'BTX Recycling HC'!C176)</f>
        <v>33.557300929497657</v>
      </c>
      <c r="AK81" s="284">
        <f>AK37-'Overall recycling rates'!$G$62/SUM('Overall recycling rates'!$G$60:$G$62)*('BTX Recycling HC'!D78+'BTX Recycling HC'!D173)-'Overall recycling rates'!$E$62/SUM('Overall recycling rates'!$E$60:$E$62)*('BTX Recycling HC'!D79+'BTX Recycling HC'!D174)-'Overall recycling rates'!$H$62/SUM('Overall recycling rates'!$H$60:$H$62)*('BTX Recycling HC'!D80+'BTX Recycling HC'!D175)-'Overall recycling rates'!$I$62/SUM('Overall recycling rates'!$I$60:$I$62)*('BTX Recycling HC'!D81+'BTX Recycling HC'!D176)</f>
        <v>33.56950939452036</v>
      </c>
      <c r="AL81" s="284">
        <f>AL37-'Overall recycling rates'!$G$62/SUM('Overall recycling rates'!$G$60:$G$62)*('BTX Recycling HC'!E78+'BTX Recycling HC'!E173)-'Overall recycling rates'!$E$62/SUM('Overall recycling rates'!$E$60:$E$62)*('BTX Recycling HC'!E79+'BTX Recycling HC'!E174)-'Overall recycling rates'!$H$62/SUM('Overall recycling rates'!$H$60:$H$62)*('BTX Recycling HC'!E80+'BTX Recycling HC'!E175)-'Overall recycling rates'!$I$62/SUM('Overall recycling rates'!$I$60:$I$62)*('BTX Recycling HC'!E81+'BTX Recycling HC'!E176)</f>
        <v>33.591978431798438</v>
      </c>
      <c r="AM81" s="284">
        <f>AM37-'Overall recycling rates'!$G$62/SUM('Overall recycling rates'!$G$60:$G$62)*('BTX Recycling HC'!F78+'BTX Recycling HC'!F173)-'Overall recycling rates'!$E$62/SUM('Overall recycling rates'!$E$60:$E$62)*('BTX Recycling HC'!F79+'BTX Recycling HC'!F174)-'Overall recycling rates'!$H$62/SUM('Overall recycling rates'!$H$60:$H$62)*('BTX Recycling HC'!F80+'BTX Recycling HC'!F175)-'Overall recycling rates'!$I$62/SUM('Overall recycling rates'!$I$60:$I$62)*('BTX Recycling HC'!F81+'BTX Recycling HC'!F176)</f>
        <v>33.613838466682679</v>
      </c>
      <c r="AN81" s="284">
        <f>AN37-'Overall recycling rates'!$G$62/SUM('Overall recycling rates'!$G$60:$G$62)*('BTX Recycling HC'!G78+'BTX Recycling HC'!G173)-'Overall recycling rates'!$E$62/SUM('Overall recycling rates'!$E$60:$E$62)*('BTX Recycling HC'!G79+'BTX Recycling HC'!G174)-'Overall recycling rates'!$H$62/SUM('Overall recycling rates'!$H$60:$H$62)*('BTX Recycling HC'!G80+'BTX Recycling HC'!G175)-'Overall recycling rates'!$I$62/SUM('Overall recycling rates'!$I$60:$I$62)*('BTX Recycling HC'!G81+'BTX Recycling HC'!G176)</f>
        <v>33.639915992491112</v>
      </c>
      <c r="AO81" s="284">
        <f>AO37-'Overall recycling rates'!$G$62/SUM('Overall recycling rates'!$G$60:$G$62)*('BTX Recycling HC'!H78+'BTX Recycling HC'!H173)-'Overall recycling rates'!$E$62/SUM('Overall recycling rates'!$E$60:$E$62)*('BTX Recycling HC'!H79+'BTX Recycling HC'!H174)-'Overall recycling rates'!$H$62/SUM('Overall recycling rates'!$H$60:$H$62)*('BTX Recycling HC'!H80+'BTX Recycling HC'!H175)-'Overall recycling rates'!$I$62/SUM('Overall recycling rates'!$I$60:$I$62)*('BTX Recycling HC'!H81+'BTX Recycling HC'!H176)</f>
        <v>33.671054020689553</v>
      </c>
      <c r="AP81" s="284">
        <f>AP37-'Overall recycling rates'!$G$62/SUM('Overall recycling rates'!$G$60:$G$62)*('BTX Recycling HC'!I78+'BTX Recycling HC'!I173)-'Overall recycling rates'!$E$62/SUM('Overall recycling rates'!$E$60:$E$62)*('BTX Recycling HC'!I79+'BTX Recycling HC'!I174)-'Overall recycling rates'!$H$62/SUM('Overall recycling rates'!$H$60:$H$62)*('BTX Recycling HC'!I80+'BTX Recycling HC'!I175)-'Overall recycling rates'!$I$62/SUM('Overall recycling rates'!$I$60:$I$62)*('BTX Recycling HC'!I81+'BTX Recycling HC'!I176)</f>
        <v>33.703423358170447</v>
      </c>
      <c r="AQ81" s="284">
        <f>AQ37-'Overall recycling rates'!$G$62/SUM('Overall recycling rates'!$G$60:$G$62)*('BTX Recycling HC'!J78+'BTX Recycling HC'!J173)-'Overall recycling rates'!$E$62/SUM('Overall recycling rates'!$E$60:$E$62)*('BTX Recycling HC'!J79+'BTX Recycling HC'!J174)-'Overall recycling rates'!$H$62/SUM('Overall recycling rates'!$H$60:$H$62)*('BTX Recycling HC'!J80+'BTX Recycling HC'!J175)-'Overall recycling rates'!$I$62/SUM('Overall recycling rates'!$I$60:$I$62)*('BTX Recycling HC'!J81+'BTX Recycling HC'!J176)</f>
        <v>33.737200390030452</v>
      </c>
      <c r="AR81" s="284">
        <f>AR37-'Overall recycling rates'!$G$62/SUM('Overall recycling rates'!$G$60:$G$62)*('BTX Recycling HC'!K78+'BTX Recycling HC'!K173)-'Overall recycling rates'!$E$62/SUM('Overall recycling rates'!$E$60:$E$62)*('BTX Recycling HC'!K79+'BTX Recycling HC'!K174)-'Overall recycling rates'!$H$62/SUM('Overall recycling rates'!$H$60:$H$62)*('BTX Recycling HC'!K80+'BTX Recycling HC'!K175)-'Overall recycling rates'!$I$62/SUM('Overall recycling rates'!$I$60:$I$62)*('BTX Recycling HC'!K81+'BTX Recycling HC'!K176)</f>
        <v>33.772554388744794</v>
      </c>
      <c r="AS81" s="284">
        <f>AS37-'Overall recycling rates'!$G$62/SUM('Overall recycling rates'!$G$60:$G$62)*('BTX Recycling HC'!L78+'BTX Recycling HC'!L173)-'Overall recycling rates'!$E$62/SUM('Overall recycling rates'!$E$60:$E$62)*('BTX Recycling HC'!L79+'BTX Recycling HC'!L174)-'Overall recycling rates'!$H$62/SUM('Overall recycling rates'!$H$60:$H$62)*('BTX Recycling HC'!L80+'BTX Recycling HC'!L175)-'Overall recycling rates'!$I$62/SUM('Overall recycling rates'!$I$60:$I$62)*('BTX Recycling HC'!L81+'BTX Recycling HC'!L176)</f>
        <v>33.80964663270413</v>
      </c>
      <c r="AT81" s="284">
        <f>AT37-'Overall recycling rates'!$G$62/SUM('Overall recycling rates'!$G$60:$G$62)*('BTX Recycling HC'!M78+'BTX Recycling HC'!M173)-'Overall recycling rates'!$E$62/SUM('Overall recycling rates'!$E$60:$E$62)*('BTX Recycling HC'!M79+'BTX Recycling HC'!M174)-'Overall recycling rates'!$H$62/SUM('Overall recycling rates'!$H$60:$H$62)*('BTX Recycling HC'!M80+'BTX Recycling HC'!M175)-'Overall recycling rates'!$I$62/SUM('Overall recycling rates'!$I$60:$I$62)*('BTX Recycling HC'!M81+'BTX Recycling HC'!M176)</f>
        <v>33.848629536513101</v>
      </c>
      <c r="AU81" s="284">
        <f>AU37-'Overall recycling rates'!$G$62/SUM('Overall recycling rates'!$G$60:$G$62)*('BTX Recycling HC'!N78+'BTX Recycling HC'!N173)-'Overall recycling rates'!$E$62/SUM('Overall recycling rates'!$E$60:$E$62)*('BTX Recycling HC'!N79+'BTX Recycling HC'!N174)-'Overall recycling rates'!$H$62/SUM('Overall recycling rates'!$H$60:$H$62)*('BTX Recycling HC'!N80+'BTX Recycling HC'!N175)-'Overall recycling rates'!$I$62/SUM('Overall recycling rates'!$I$60:$I$62)*('BTX Recycling HC'!N81+'BTX Recycling HC'!N176)</f>
        <v>32.451616932357801</v>
      </c>
      <c r="AV81" s="284">
        <f>AV37-'Overall recycling rates'!$G$62/SUM('Overall recycling rates'!$G$60:$G$62)*('BTX Recycling HC'!O78+'BTX Recycling HC'!O173)-'Overall recycling rates'!$E$62/SUM('Overall recycling rates'!$E$60:$E$62)*('BTX Recycling HC'!O79+'BTX Recycling HC'!O174)-'Overall recycling rates'!$H$62/SUM('Overall recycling rates'!$H$60:$H$62)*('BTX Recycling HC'!O80+'BTX Recycling HC'!O175)-'Overall recycling rates'!$I$62/SUM('Overall recycling rates'!$I$60:$I$62)*('BTX Recycling HC'!O81+'BTX Recycling HC'!O176)</f>
        <v>31.936684438380112</v>
      </c>
      <c r="AW81" s="284">
        <f>AW37-'Overall recycling rates'!$G$62/SUM('Overall recycling rates'!$G$60:$G$62)*('BTX Recycling HC'!P78+'BTX Recycling HC'!P173)-'Overall recycling rates'!$E$62/SUM('Overall recycling rates'!$E$60:$E$62)*('BTX Recycling HC'!P79+'BTX Recycling HC'!P174)-'Overall recycling rates'!$H$62/SUM('Overall recycling rates'!$H$60:$H$62)*('BTX Recycling HC'!P80+'BTX Recycling HC'!P175)-'Overall recycling rates'!$I$62/SUM('Overall recycling rates'!$I$60:$I$62)*('BTX Recycling HC'!P81+'BTX Recycling HC'!P176)</f>
        <v>31.42567528967183</v>
      </c>
      <c r="AX81" s="284">
        <f>AX37-'Overall recycling rates'!$G$62/SUM('Overall recycling rates'!$G$60:$G$62)*('BTX Recycling HC'!Q78+'BTX Recycling HC'!Q173)-'Overall recycling rates'!$E$62/SUM('Overall recycling rates'!$E$60:$E$62)*('BTX Recycling HC'!Q79+'BTX Recycling HC'!Q174)-'Overall recycling rates'!$H$62/SUM('Overall recycling rates'!$H$60:$H$62)*('BTX Recycling HC'!Q80+'BTX Recycling HC'!Q175)-'Overall recycling rates'!$I$62/SUM('Overall recycling rates'!$I$60:$I$62)*('BTX Recycling HC'!Q81+'BTX Recycling HC'!Q176)</f>
        <v>30.918801226272265</v>
      </c>
      <c r="AY81" s="284">
        <f>AY37-'Overall recycling rates'!$G$62/SUM('Overall recycling rates'!$G$60:$G$62)*('BTX Recycling HC'!R78+'BTX Recycling HC'!R173)-'Overall recycling rates'!$E$62/SUM('Overall recycling rates'!$E$60:$E$62)*('BTX Recycling HC'!R79+'BTX Recycling HC'!R174)-'Overall recycling rates'!$H$62/SUM('Overall recycling rates'!$H$60:$H$62)*('BTX Recycling HC'!R80+'BTX Recycling HC'!R175)-'Overall recycling rates'!$I$62/SUM('Overall recycling rates'!$I$60:$I$62)*('BTX Recycling HC'!R81+'BTX Recycling HC'!R176)</f>
        <v>30.416096078195078</v>
      </c>
      <c r="AZ81" s="284">
        <f>AZ37-'Overall recycling rates'!$G$62/SUM('Overall recycling rates'!$G$60:$G$62)*('BTX Recycling HC'!S78+'BTX Recycling HC'!S173)-'Overall recycling rates'!$E$62/SUM('Overall recycling rates'!$E$60:$E$62)*('BTX Recycling HC'!S79+'BTX Recycling HC'!S174)-'Overall recycling rates'!$H$62/SUM('Overall recycling rates'!$H$60:$H$62)*('BTX Recycling HC'!S80+'BTX Recycling HC'!S175)-'Overall recycling rates'!$I$62/SUM('Overall recycling rates'!$I$60:$I$62)*('BTX Recycling HC'!S81+'BTX Recycling HC'!S176)</f>
        <v>29.91215187327321</v>
      </c>
      <c r="BA81" s="284">
        <f>BA37-'Overall recycling rates'!$G$62/SUM('Overall recycling rates'!$G$60:$G$62)*('BTX Recycling HC'!T78+'BTX Recycling HC'!T173)-'Overall recycling rates'!$E$62/SUM('Overall recycling rates'!$E$60:$E$62)*('BTX Recycling HC'!T79+'BTX Recycling HC'!T174)-'Overall recycling rates'!$H$62/SUM('Overall recycling rates'!$H$60:$H$62)*('BTX Recycling HC'!T80+'BTX Recycling HC'!T175)-'Overall recycling rates'!$I$62/SUM('Overall recycling rates'!$I$60:$I$62)*('BTX Recycling HC'!T81+'BTX Recycling HC'!T176)</f>
        <v>29.406517061766866</v>
      </c>
      <c r="BB81" s="284">
        <f>BB37-'Overall recycling rates'!$G$62/SUM('Overall recycling rates'!$G$60:$G$62)*('BTX Recycling HC'!U78+'BTX Recycling HC'!U173)-'Overall recycling rates'!$E$62/SUM('Overall recycling rates'!$E$60:$E$62)*('BTX Recycling HC'!U79+'BTX Recycling HC'!U174)-'Overall recycling rates'!$H$62/SUM('Overall recycling rates'!$H$60:$H$62)*('BTX Recycling HC'!U80+'BTX Recycling HC'!U175)-'Overall recycling rates'!$I$62/SUM('Overall recycling rates'!$I$60:$I$62)*('BTX Recycling HC'!U81+'BTX Recycling HC'!U176)</f>
        <v>28.898715027905531</v>
      </c>
      <c r="BC81" s="284">
        <f>BC37-'Overall recycling rates'!$G$62/SUM('Overall recycling rates'!$G$60:$G$62)*('BTX Recycling HC'!V78+'BTX Recycling HC'!V173)-'Overall recycling rates'!$E$62/SUM('Overall recycling rates'!$E$60:$E$62)*('BTX Recycling HC'!V79+'BTX Recycling HC'!V174)-'Overall recycling rates'!$H$62/SUM('Overall recycling rates'!$H$60:$H$62)*('BTX Recycling HC'!V80+'BTX Recycling HC'!V175)-'Overall recycling rates'!$I$62/SUM('Overall recycling rates'!$I$60:$I$62)*('BTX Recycling HC'!V81+'BTX Recycling HC'!V176)</f>
        <v>28.388243971279255</v>
      </c>
      <c r="BD81" s="284">
        <f>BD37-'Overall recycling rates'!$G$62/SUM('Overall recycling rates'!$G$60:$G$62)*('BTX Recycling HC'!W78+'BTX Recycling HC'!W173)-'Overall recycling rates'!$E$62/SUM('Overall recycling rates'!$E$60:$E$62)*('BTX Recycling HC'!W79+'BTX Recycling HC'!W174)-'Overall recycling rates'!$H$62/SUM('Overall recycling rates'!$H$60:$H$62)*('BTX Recycling HC'!W80+'BTX Recycling HC'!W175)-'Overall recycling rates'!$I$62/SUM('Overall recycling rates'!$I$60:$I$62)*('BTX Recycling HC'!W81+'BTX Recycling HC'!W176)</f>
        <v>27.874576811737189</v>
      </c>
      <c r="BE81" s="284">
        <f>BE37-'Overall recycling rates'!$G$62/SUM('Overall recycling rates'!$G$60:$G$62)*('BTX Recycling HC'!X78+'BTX Recycling HC'!X173)-'Overall recycling rates'!$E$62/SUM('Overall recycling rates'!$E$60:$E$62)*('BTX Recycling HC'!X79+'BTX Recycling HC'!X174)-'Overall recycling rates'!$H$62/SUM('Overall recycling rates'!$H$60:$H$62)*('BTX Recycling HC'!X80+'BTX Recycling HC'!X175)-'Overall recycling rates'!$I$62/SUM('Overall recycling rates'!$I$60:$I$62)*('BTX Recycling HC'!X81+'BTX Recycling HC'!X176)</f>
        <v>27.244975235854898</v>
      </c>
      <c r="BF81" s="284">
        <f>BF37-'Overall recycling rates'!$G$62/SUM('Overall recycling rates'!$G$60:$G$62)*('BTX Recycling HC'!Y78+'BTX Recycling HC'!Y173)-'Overall recycling rates'!$E$62/SUM('Overall recycling rates'!$E$60:$E$62)*('BTX Recycling HC'!Y79+'BTX Recycling HC'!Y174)-'Overall recycling rates'!$H$62/SUM('Overall recycling rates'!$H$60:$H$62)*('BTX Recycling HC'!Y80+'BTX Recycling HC'!Y175)-'Overall recycling rates'!$I$62/SUM('Overall recycling rates'!$I$60:$I$62)*('BTX Recycling HC'!Y81+'BTX Recycling HC'!Y176)</f>
        <v>26.620450239984194</v>
      </c>
      <c r="BG81" s="284">
        <f>BG37-'Overall recycling rates'!$G$62/SUM('Overall recycling rates'!$G$60:$G$62)*('BTX Recycling HC'!Z78+'BTX Recycling HC'!Z173)-'Overall recycling rates'!$E$62/SUM('Overall recycling rates'!$E$60:$E$62)*('BTX Recycling HC'!Z79+'BTX Recycling HC'!Z174)-'Overall recycling rates'!$H$62/SUM('Overall recycling rates'!$H$60:$H$62)*('BTX Recycling HC'!Z80+'BTX Recycling HC'!Z175)-'Overall recycling rates'!$I$62/SUM('Overall recycling rates'!$I$60:$I$62)*('BTX Recycling HC'!Z81+'BTX Recycling HC'!Z176)</f>
        <v>26.000268960100211</v>
      </c>
      <c r="BH81" s="284">
        <f>BH37-'Overall recycling rates'!$G$62/SUM('Overall recycling rates'!$G$60:$G$62)*('BTX Recycling HC'!AA78+'BTX Recycling HC'!AA173)-'Overall recycling rates'!$E$62/SUM('Overall recycling rates'!$E$60:$E$62)*('BTX Recycling HC'!AA79+'BTX Recycling HC'!AA174)-'Overall recycling rates'!$H$62/SUM('Overall recycling rates'!$H$60:$H$62)*('BTX Recycling HC'!AA80+'BTX Recycling HC'!AA175)-'Overall recycling rates'!$I$62/SUM('Overall recycling rates'!$I$60:$I$62)*('BTX Recycling HC'!AA81+'BTX Recycling HC'!AA176)</f>
        <v>25.383572817388355</v>
      </c>
      <c r="BI81" s="284">
        <f>BI37-'Overall recycling rates'!$G$62/SUM('Overall recycling rates'!$G$60:$G$62)*('BTX Recycling HC'!AB78+'BTX Recycling HC'!AB173)-'Overall recycling rates'!$E$62/SUM('Overall recycling rates'!$E$60:$E$62)*('BTX Recycling HC'!AB79+'BTX Recycling HC'!AB174)-'Overall recycling rates'!$H$62/SUM('Overall recycling rates'!$H$60:$H$62)*('BTX Recycling HC'!AB80+'BTX Recycling HC'!AB175)-'Overall recycling rates'!$I$62/SUM('Overall recycling rates'!$I$60:$I$62)*('BTX Recycling HC'!AB81+'BTX Recycling HC'!AB176)</f>
        <v>24.769501659477935</v>
      </c>
      <c r="BJ81" s="284">
        <f>BJ37-'Overall recycling rates'!$G$62/SUM('Overall recycling rates'!$G$60:$G$62)*('BTX Recycling HC'!AC78+'BTX Recycling HC'!AC173)-'Overall recycling rates'!$E$62/SUM('Overall recycling rates'!$E$60:$E$62)*('BTX Recycling HC'!AC79+'BTX Recycling HC'!AC174)-'Overall recycling rates'!$H$62/SUM('Overall recycling rates'!$H$60:$H$62)*('BTX Recycling HC'!AC80+'BTX Recycling HC'!AC175)-'Overall recycling rates'!$I$62/SUM('Overall recycling rates'!$I$60:$I$62)*('BTX Recycling HC'!AC81+'BTX Recycling HC'!AC176)</f>
        <v>24.157125416669849</v>
      </c>
      <c r="BK81" s="284">
        <f>BK37-'Overall recycling rates'!$G$62/SUM('Overall recycling rates'!$G$60:$G$62)*('BTX Recycling HC'!AD78+'BTX Recycling HC'!AD173)-'Overall recycling rates'!$E$62/SUM('Overall recycling rates'!$E$60:$E$62)*('BTX Recycling HC'!AD79+'BTX Recycling HC'!AD174)-'Overall recycling rates'!$H$62/SUM('Overall recycling rates'!$H$60:$H$62)*('BTX Recycling HC'!AD80+'BTX Recycling HC'!AD175)-'Overall recycling rates'!$I$62/SUM('Overall recycling rates'!$I$60:$I$62)*('BTX Recycling HC'!AD81+'BTX Recycling HC'!AD176)</f>
        <v>23.545503152677096</v>
      </c>
      <c r="BL81" s="284">
        <f>BL37-'Overall recycling rates'!$G$62/SUM('Overall recycling rates'!$G$60:$G$62)*('BTX Recycling HC'!AE78+'BTX Recycling HC'!AE173)-'Overall recycling rates'!$E$62/SUM('Overall recycling rates'!$E$60:$E$62)*('BTX Recycling HC'!AE79+'BTX Recycling HC'!AE174)-'Overall recycling rates'!$H$62/SUM('Overall recycling rates'!$H$60:$H$62)*('BTX Recycling HC'!AE80+'BTX Recycling HC'!AE175)-'Overall recycling rates'!$I$62/SUM('Overall recycling rates'!$I$60:$I$62)*('BTX Recycling HC'!AE81+'BTX Recycling HC'!AE176)</f>
        <v>22.933653936612156</v>
      </c>
      <c r="BM81" s="284">
        <f>BM37-'Overall recycling rates'!$G$62/SUM('Overall recycling rates'!$G$60:$G$62)*('BTX Recycling HC'!AF78+'BTX Recycling HC'!AF173)-'Overall recycling rates'!$E$62/SUM('Overall recycling rates'!$E$60:$E$62)*('BTX Recycling HC'!AF79+'BTX Recycling HC'!AF174)-'Overall recycling rates'!$H$62/SUM('Overall recycling rates'!$H$60:$H$62)*('BTX Recycling HC'!AF80+'BTX Recycling HC'!AF175)-'Overall recycling rates'!$I$62/SUM('Overall recycling rates'!$I$60:$I$62)*('BTX Recycling HC'!AF81+'BTX Recycling HC'!AF176)</f>
        <v>22.320556882511791</v>
      </c>
      <c r="BN81" s="284">
        <f>BN37-'Overall recycling rates'!$G$62/SUM('Overall recycling rates'!$G$60:$G$62)*('BTX Recycling HC'!AG78+'BTX Recycling HC'!AG173)-'Overall recycling rates'!$E$62/SUM('Overall recycling rates'!$E$60:$E$62)*('BTX Recycling HC'!AG79+'BTX Recycling HC'!AG174)-'Overall recycling rates'!$H$62/SUM('Overall recycling rates'!$H$60:$H$62)*('BTX Recycling HC'!AG80+'BTX Recycling HC'!AG175)-'Overall recycling rates'!$I$62/SUM('Overall recycling rates'!$I$60:$I$62)*('BTX Recycling HC'!AG81+'BTX Recycling HC'!AG176)</f>
        <v>21.705151223659584</v>
      </c>
    </row>
    <row r="82" spans="1:66" outlineLevel="1" x14ac:dyDescent="0.2">
      <c r="A82" s="58" t="s">
        <v>220</v>
      </c>
      <c r="B82" s="58" t="s">
        <v>197</v>
      </c>
      <c r="C82" s="100" t="s">
        <v>153</v>
      </c>
      <c r="D82" s="101">
        <f t="shared" ref="D82:AH82" si="76">D23</f>
        <v>4.4906157306135288</v>
      </c>
      <c r="E82" s="101">
        <f t="shared" si="76"/>
        <v>4.5243276228453615</v>
      </c>
      <c r="F82" s="101">
        <f t="shared" si="76"/>
        <v>4.5581400695789851</v>
      </c>
      <c r="G82" s="101">
        <f t="shared" si="76"/>
        <v>4.5920501418905886</v>
      </c>
      <c r="H82" s="101">
        <f t="shared" si="76"/>
        <v>4.6260548227149769</v>
      </c>
      <c r="I82" s="101">
        <f t="shared" si="76"/>
        <v>4.6601510051355071</v>
      </c>
      <c r="J82" s="101">
        <f t="shared" si="76"/>
        <v>4.6943354906457166</v>
      </c>
      <c r="K82" s="101">
        <f t="shared" si="76"/>
        <v>4.7286049873821918</v>
      </c>
      <c r="L82" s="101">
        <f t="shared" si="76"/>
        <v>4.7629561083282628</v>
      </c>
      <c r="M82" s="101">
        <f t="shared" si="76"/>
        <v>4.7973853694880573</v>
      </c>
      <c r="N82" s="101">
        <f t="shared" si="76"/>
        <v>4.8318891880304857</v>
      </c>
      <c r="O82" s="101">
        <f t="shared" si="76"/>
        <v>4.8247080795935897</v>
      </c>
      <c r="P82" s="101">
        <f t="shared" si="76"/>
        <v>4.8159606101274779</v>
      </c>
      <c r="Q82" s="101">
        <f t="shared" si="76"/>
        <v>4.8056042383936388</v>
      </c>
      <c r="R82" s="101">
        <f t="shared" si="76"/>
        <v>4.7935955795313614</v>
      </c>
      <c r="S82" s="101">
        <f t="shared" si="76"/>
        <v>4.7798903905890295</v>
      </c>
      <c r="T82" s="101">
        <f t="shared" si="76"/>
        <v>4.7644435558276985</v>
      </c>
      <c r="U82" s="101">
        <f t="shared" si="76"/>
        <v>4.7472090717935744</v>
      </c>
      <c r="V82" s="101">
        <f t="shared" si="76"/>
        <v>4.7281400321559683</v>
      </c>
      <c r="W82" s="101">
        <f t="shared" si="76"/>
        <v>4.7071886123072417</v>
      </c>
      <c r="X82" s="101">
        <f t="shared" si="76"/>
        <v>4.6843060537212171</v>
      </c>
      <c r="Y82" s="101">
        <f t="shared" si="76"/>
        <v>4.5526461011160713</v>
      </c>
      <c r="Z82" s="101">
        <f t="shared" si="76"/>
        <v>4.4164297318679555</v>
      </c>
      <c r="AA82" s="101">
        <f t="shared" si="76"/>
        <v>4.2755607591054385</v>
      </c>
      <c r="AB82" s="101">
        <f t="shared" si="76"/>
        <v>4.1299413021395184</v>
      </c>
      <c r="AC82" s="101">
        <f t="shared" si="76"/>
        <v>3.9794717594364388</v>
      </c>
      <c r="AD82" s="101">
        <f t="shared" si="76"/>
        <v>3.8240507811856324</v>
      </c>
      <c r="AE82" s="101">
        <f t="shared" si="76"/>
        <v>3.6635752414570026</v>
      </c>
      <c r="AF82" s="101">
        <f t="shared" si="76"/>
        <v>3.4979402099416288</v>
      </c>
      <c r="AG82" s="101">
        <f t="shared" si="76"/>
        <v>3.3270389232699529</v>
      </c>
      <c r="AH82" s="101">
        <f t="shared" si="76"/>
        <v>3.1507627559014013</v>
      </c>
      <c r="AJ82" s="101">
        <f t="shared" ref="AJ82:BN82" si="77">AJ23</f>
        <v>4.4906157306135288</v>
      </c>
      <c r="AK82" s="101">
        <f t="shared" si="77"/>
        <v>4.5366096302671215</v>
      </c>
      <c r="AL82" s="101">
        <f t="shared" si="77"/>
        <v>4.5830227590004631</v>
      </c>
      <c r="AM82" s="101">
        <f t="shared" si="77"/>
        <v>4.629858239216583</v>
      </c>
      <c r="AN82" s="101">
        <f t="shared" si="77"/>
        <v>4.6771192054677586</v>
      </c>
      <c r="AO82" s="101">
        <f t="shared" si="77"/>
        <v>4.7248088042817864</v>
      </c>
      <c r="AP82" s="101">
        <f t="shared" si="77"/>
        <v>4.7729301939822815</v>
      </c>
      <c r="AQ82" s="101">
        <f t="shared" si="77"/>
        <v>4.8214865445028776</v>
      </c>
      <c r="AR82" s="101">
        <f t="shared" si="77"/>
        <v>4.870481037195205</v>
      </c>
      <c r="AS82" s="101">
        <f t="shared" si="77"/>
        <v>4.919916864630542</v>
      </c>
      <c r="AT82" s="101">
        <f t="shared" si="77"/>
        <v>4.9697972303949927</v>
      </c>
      <c r="AU82" s="101">
        <f t="shared" si="77"/>
        <v>5.00684106904695</v>
      </c>
      <c r="AV82" s="101">
        <f t="shared" si="77"/>
        <v>5.0436855426553979</v>
      </c>
      <c r="AW82" s="101">
        <f t="shared" si="77"/>
        <v>5.0803172954803273</v>
      </c>
      <c r="AX82" s="101">
        <f t="shared" si="77"/>
        <v>5.1167226533218315</v>
      </c>
      <c r="AY82" s="101">
        <f t="shared" si="77"/>
        <v>5.152887617600312</v>
      </c>
      <c r="AZ82" s="101">
        <f t="shared" si="77"/>
        <v>5.1887978593392141</v>
      </c>
      <c r="BA82" s="101">
        <f t="shared" si="77"/>
        <v>5.2244387130488263</v>
      </c>
      <c r="BB82" s="101">
        <f t="shared" si="77"/>
        <v>5.2597951705096158</v>
      </c>
      <c r="BC82" s="101">
        <f t="shared" si="77"/>
        <v>5.2948518744535722</v>
      </c>
      <c r="BD82" s="101">
        <f t="shared" si="77"/>
        <v>5.329593112141997</v>
      </c>
      <c r="BE82" s="101">
        <f t="shared" si="77"/>
        <v>5.3049593605075245</v>
      </c>
      <c r="BF82" s="101">
        <f t="shared" si="77"/>
        <v>5.2785914870880069</v>
      </c>
      <c r="BG82" s="101">
        <f t="shared" si="77"/>
        <v>5.2504483754069984</v>
      </c>
      <c r="BH82" s="101">
        <f t="shared" si="77"/>
        <v>5.2204881496482418</v>
      </c>
      <c r="BI82" s="101">
        <f t="shared" si="77"/>
        <v>5.1886681622233954</v>
      </c>
      <c r="BJ82" s="101">
        <f t="shared" si="77"/>
        <v>5.1549449811505106</v>
      </c>
      <c r="BK82" s="101">
        <f t="shared" si="77"/>
        <v>5.1192743772405285</v>
      </c>
      <c r="BL82" s="101">
        <f t="shared" si="77"/>
        <v>5.0816113110889818</v>
      </c>
      <c r="BM82" s="101">
        <f t="shared" si="77"/>
        <v>5.0419099198701032</v>
      </c>
      <c r="BN82" s="101">
        <f t="shared" si="77"/>
        <v>5.0001235039304852</v>
      </c>
    </row>
    <row r="83" spans="1:66" outlineLevel="1" x14ac:dyDescent="0.2">
      <c r="A83"/>
      <c r="B83" t="s">
        <v>217</v>
      </c>
      <c r="C83" s="54" t="s">
        <v>153</v>
      </c>
      <c r="D83" s="44">
        <f>'BTX Recycling HC'!C152</f>
        <v>0</v>
      </c>
      <c r="E83" s="44">
        <f>'BTX Recycling HC'!D152</f>
        <v>2.6106924829568251E-3</v>
      </c>
      <c r="F83" s="44">
        <f>'BTX Recycling HC'!E152</f>
        <v>6.0468839649850583E-3</v>
      </c>
      <c r="G83" s="44">
        <f>'BTX Recycling HC'!F152</f>
        <v>1.0376575741341595E-2</v>
      </c>
      <c r="H83" s="44">
        <f>'BTX Recycling HC'!G152</f>
        <v>1.5660332446949209E-2</v>
      </c>
      <c r="I83" s="44">
        <f>'BTX Recycling HC'!H152</f>
        <v>2.1949632748058605E-2</v>
      </c>
      <c r="J83" s="44">
        <f>'BTX Recycling HC'!I152</f>
        <v>2.9356493653727514E-2</v>
      </c>
      <c r="K83" s="44">
        <f>'BTX Recycling HC'!J152</f>
        <v>3.7964544433566595E-2</v>
      </c>
      <c r="L83" s="44">
        <f>'BTX Recycling HC'!K152</f>
        <v>4.785928015810452E-2</v>
      </c>
      <c r="M83" s="44">
        <f>'BTX Recycling HC'!L152</f>
        <v>5.9127865111417086E-2</v>
      </c>
      <c r="N83" s="44">
        <f>'BTX Recycling HC'!M152</f>
        <v>7.185892007392243E-2</v>
      </c>
      <c r="O83" s="44">
        <f>'BTX Recycling HC'!N152</f>
        <v>9.2641337982030836E-2</v>
      </c>
      <c r="P83" s="44">
        <f>'BTX Recycling HC'!O152</f>
        <v>0.11620229758950823</v>
      </c>
      <c r="Q83" s="44">
        <f>'BTX Recycling HC'!P152</f>
        <v>0.14210187840125849</v>
      </c>
      <c r="R83" s="44">
        <f>'BTX Recycling HC'!Q152</f>
        <v>0.17066850083029517</v>
      </c>
      <c r="S83" s="44">
        <f>'BTX Recycling HC'!R152</f>
        <v>0.20187522073725611</v>
      </c>
      <c r="T83" s="44">
        <f>'BTX Recycling HC'!S152</f>
        <v>0.23609644597987517</v>
      </c>
      <c r="U83" s="44">
        <f>'BTX Recycling HC'!T152</f>
        <v>0.27344451574351714</v>
      </c>
      <c r="V83" s="44">
        <f>'BTX Recycling HC'!U152</f>
        <v>0.31403170587724094</v>
      </c>
      <c r="W83" s="44">
        <f>'BTX Recycling HC'!V152</f>
        <v>0.3579700833435856</v>
      </c>
      <c r="X83" s="44">
        <f>'BTX Recycling HC'!W152</f>
        <v>0.4053713572497693</v>
      </c>
      <c r="Y83" s="44">
        <f>'BTX Recycling HC'!X152</f>
        <v>0.47390832821876483</v>
      </c>
      <c r="Z83" s="44">
        <f>'BTX Recycling HC'!Y152</f>
        <v>0.54820194486309615</v>
      </c>
      <c r="AA83" s="44">
        <f>'BTX Recycling HC'!Z152</f>
        <v>0.62301554054085484</v>
      </c>
      <c r="AB83" s="44">
        <f>'BTX Recycling HC'!AA152</f>
        <v>0.70232527420631297</v>
      </c>
      <c r="AC83" s="44">
        <f>'BTX Recycling HC'!AB152</f>
        <v>0.78609256019288121</v>
      </c>
      <c r="AD83" s="44">
        <f>'BTX Recycling HC'!AC152</f>
        <v>0.87426987319289751</v>
      </c>
      <c r="AE83" s="44">
        <f>'BTX Recycling HC'!AD152</f>
        <v>0.96678596513192749</v>
      </c>
      <c r="AF83" s="44">
        <f>'BTX Recycling HC'!AE152</f>
        <v>1.0635509524391393</v>
      </c>
      <c r="AG83" s="44">
        <f>'BTX Recycling HC'!AF152</f>
        <v>1.1644554790487864</v>
      </c>
      <c r="AH83" s="44">
        <f>'BTX Recycling HC'!AG152</f>
        <v>1.2693698734235939</v>
      </c>
      <c r="AI83" s="44"/>
      <c r="AJ83" s="44">
        <f>D83</f>
        <v>0</v>
      </c>
      <c r="AK83" s="44">
        <f t="shared" ref="AK83:BN83" si="78">E83</f>
        <v>2.6106924829568251E-3</v>
      </c>
      <c r="AL83" s="44">
        <f t="shared" si="78"/>
        <v>6.0468839649850583E-3</v>
      </c>
      <c r="AM83" s="44">
        <f t="shared" si="78"/>
        <v>1.0376575741341595E-2</v>
      </c>
      <c r="AN83" s="44">
        <f t="shared" si="78"/>
        <v>1.5660332446949209E-2</v>
      </c>
      <c r="AO83" s="44">
        <f t="shared" si="78"/>
        <v>2.1949632748058605E-2</v>
      </c>
      <c r="AP83" s="44">
        <f t="shared" si="78"/>
        <v>2.9356493653727514E-2</v>
      </c>
      <c r="AQ83" s="44">
        <f t="shared" si="78"/>
        <v>3.7964544433566595E-2</v>
      </c>
      <c r="AR83" s="44">
        <f t="shared" si="78"/>
        <v>4.785928015810452E-2</v>
      </c>
      <c r="AS83" s="44">
        <f t="shared" si="78"/>
        <v>5.9127865111417086E-2</v>
      </c>
      <c r="AT83" s="44">
        <f t="shared" si="78"/>
        <v>7.185892007392243E-2</v>
      </c>
      <c r="AU83" s="44">
        <f t="shared" si="78"/>
        <v>9.2641337982030836E-2</v>
      </c>
      <c r="AV83" s="44">
        <f t="shared" si="78"/>
        <v>0.11620229758950823</v>
      </c>
      <c r="AW83" s="44">
        <f t="shared" si="78"/>
        <v>0.14210187840125849</v>
      </c>
      <c r="AX83" s="44">
        <f t="shared" si="78"/>
        <v>0.17066850083029517</v>
      </c>
      <c r="AY83" s="44">
        <f t="shared" si="78"/>
        <v>0.20187522073725611</v>
      </c>
      <c r="AZ83" s="44">
        <f t="shared" si="78"/>
        <v>0.23609644597987517</v>
      </c>
      <c r="BA83" s="44">
        <f t="shared" si="78"/>
        <v>0.27344451574351714</v>
      </c>
      <c r="BB83" s="44">
        <f t="shared" si="78"/>
        <v>0.31403170587724094</v>
      </c>
      <c r="BC83" s="44">
        <f t="shared" si="78"/>
        <v>0.3579700833435856</v>
      </c>
      <c r="BD83" s="44">
        <f t="shared" si="78"/>
        <v>0.4053713572497693</v>
      </c>
      <c r="BE83" s="44">
        <f t="shared" si="78"/>
        <v>0.47390832821876483</v>
      </c>
      <c r="BF83" s="44">
        <f t="shared" si="78"/>
        <v>0.54820194486309615</v>
      </c>
      <c r="BG83" s="44">
        <f t="shared" si="78"/>
        <v>0.62301554054085484</v>
      </c>
      <c r="BH83" s="44">
        <f t="shared" si="78"/>
        <v>0.70232527420631297</v>
      </c>
      <c r="BI83" s="44">
        <f t="shared" si="78"/>
        <v>0.78609256019288121</v>
      </c>
      <c r="BJ83" s="44">
        <f t="shared" si="78"/>
        <v>0.87426987319289751</v>
      </c>
      <c r="BK83" s="44">
        <f t="shared" si="78"/>
        <v>0.96678596513192749</v>
      </c>
      <c r="BL83" s="44">
        <f t="shared" si="78"/>
        <v>1.0635509524391393</v>
      </c>
      <c r="BM83" s="44">
        <f t="shared" si="78"/>
        <v>1.1644554790487864</v>
      </c>
      <c r="BN83" s="44">
        <f t="shared" si="78"/>
        <v>1.2693698734235939</v>
      </c>
    </row>
    <row r="84" spans="1:66" outlineLevel="1" x14ac:dyDescent="0.2">
      <c r="A84" s="62"/>
      <c r="B84" s="62" t="s">
        <v>219</v>
      </c>
      <c r="C84" s="63" t="s">
        <v>153</v>
      </c>
      <c r="D84" s="64">
        <f>D82-D83</f>
        <v>4.4906157306135288</v>
      </c>
      <c r="E84" s="64">
        <f t="shared" ref="E84:AG84" si="79">E82-E83</f>
        <v>4.5217169303624045</v>
      </c>
      <c r="F84" s="64">
        <f t="shared" si="79"/>
        <v>4.5520931856139999</v>
      </c>
      <c r="G84" s="64">
        <f t="shared" si="79"/>
        <v>4.5816735661492469</v>
      </c>
      <c r="H84" s="64">
        <f t="shared" si="79"/>
        <v>4.6103944902680274</v>
      </c>
      <c r="I84" s="64">
        <f t="shared" si="79"/>
        <v>4.6382013723874485</v>
      </c>
      <c r="J84" s="64">
        <f t="shared" si="79"/>
        <v>4.664978996991989</v>
      </c>
      <c r="K84" s="64">
        <f t="shared" si="79"/>
        <v>4.6906404429486255</v>
      </c>
      <c r="L84" s="64">
        <f t="shared" si="79"/>
        <v>4.7150968281701582</v>
      </c>
      <c r="M84" s="64">
        <f t="shared" si="79"/>
        <v>4.73825750437664</v>
      </c>
      <c r="N84" s="64">
        <f t="shared" si="79"/>
        <v>4.7600302679565631</v>
      </c>
      <c r="O84" s="64">
        <f t="shared" si="79"/>
        <v>4.7320667416115585</v>
      </c>
      <c r="P84" s="64">
        <f t="shared" si="79"/>
        <v>4.6997583125379698</v>
      </c>
      <c r="Q84" s="64">
        <f t="shared" si="79"/>
        <v>4.6635023599923802</v>
      </c>
      <c r="R84" s="64">
        <f t="shared" si="79"/>
        <v>4.6229270787010659</v>
      </c>
      <c r="S84" s="64">
        <f t="shared" si="79"/>
        <v>4.5780151698517733</v>
      </c>
      <c r="T84" s="64">
        <f t="shared" si="79"/>
        <v>4.5283471098478234</v>
      </c>
      <c r="U84" s="64">
        <f t="shared" si="79"/>
        <v>4.4737645560500576</v>
      </c>
      <c r="V84" s="64">
        <f t="shared" si="79"/>
        <v>4.4141083262787273</v>
      </c>
      <c r="W84" s="64">
        <f t="shared" si="79"/>
        <v>4.3492185289636565</v>
      </c>
      <c r="X84" s="64">
        <f t="shared" si="79"/>
        <v>4.2789346964714481</v>
      </c>
      <c r="Y84" s="64">
        <f t="shared" si="79"/>
        <v>4.0787377728973064</v>
      </c>
      <c r="Z84" s="64">
        <f t="shared" si="79"/>
        <v>3.8682277870048596</v>
      </c>
      <c r="AA84" s="64">
        <f t="shared" si="79"/>
        <v>3.6525452185645837</v>
      </c>
      <c r="AB84" s="64">
        <f t="shared" si="79"/>
        <v>3.4276160279332055</v>
      </c>
      <c r="AC84" s="64">
        <f t="shared" si="79"/>
        <v>3.1933791992435578</v>
      </c>
      <c r="AD84" s="64">
        <f t="shared" si="79"/>
        <v>2.9497809079927348</v>
      </c>
      <c r="AE84" s="64">
        <f t="shared" si="79"/>
        <v>2.6967892763250751</v>
      </c>
      <c r="AF84" s="64">
        <f t="shared" si="79"/>
        <v>2.4343892575024895</v>
      </c>
      <c r="AG84" s="64">
        <f t="shared" si="79"/>
        <v>2.1625834442211662</v>
      </c>
      <c r="AH84" s="64">
        <f>AH82-AH83</f>
        <v>1.8813928824778074</v>
      </c>
      <c r="AJ84" s="64">
        <f>AJ82-AJ83</f>
        <v>4.4906157306135288</v>
      </c>
      <c r="AK84" s="64">
        <f t="shared" ref="AK84:BN84" si="80">AK82-AK83</f>
        <v>4.5339989377841645</v>
      </c>
      <c r="AL84" s="64">
        <f t="shared" si="80"/>
        <v>4.5769758750354779</v>
      </c>
      <c r="AM84" s="64">
        <f t="shared" si="80"/>
        <v>4.6194816634752414</v>
      </c>
      <c r="AN84" s="64">
        <f t="shared" si="80"/>
        <v>4.6614588730208091</v>
      </c>
      <c r="AO84" s="64">
        <f t="shared" si="80"/>
        <v>4.7028591715337278</v>
      </c>
      <c r="AP84" s="64">
        <f t="shared" si="80"/>
        <v>4.7435737003285539</v>
      </c>
      <c r="AQ84" s="64">
        <f t="shared" si="80"/>
        <v>4.7835220000693113</v>
      </c>
      <c r="AR84" s="64">
        <f t="shared" si="80"/>
        <v>4.8226217570371004</v>
      </c>
      <c r="AS84" s="64">
        <f t="shared" si="80"/>
        <v>4.8607889995191247</v>
      </c>
      <c r="AT84" s="64">
        <f t="shared" si="80"/>
        <v>4.8979383103210701</v>
      </c>
      <c r="AU84" s="64">
        <f t="shared" si="80"/>
        <v>4.9141997310649188</v>
      </c>
      <c r="AV84" s="64">
        <f t="shared" si="80"/>
        <v>4.9274832450658899</v>
      </c>
      <c r="AW84" s="64">
        <f t="shared" si="80"/>
        <v>4.9382154170790686</v>
      </c>
      <c r="AX84" s="64">
        <f t="shared" si="80"/>
        <v>4.946054152491536</v>
      </c>
      <c r="AY84" s="64">
        <f t="shared" si="80"/>
        <v>4.9510123968630557</v>
      </c>
      <c r="AZ84" s="64">
        <f t="shared" si="80"/>
        <v>4.952701413359339</v>
      </c>
      <c r="BA84" s="64">
        <f t="shared" si="80"/>
        <v>4.9509941973053095</v>
      </c>
      <c r="BB84" s="64">
        <f t="shared" si="80"/>
        <v>4.9457634646323747</v>
      </c>
      <c r="BC84" s="64">
        <f t="shared" si="80"/>
        <v>4.9368817911099869</v>
      </c>
      <c r="BD84" s="64">
        <f t="shared" si="80"/>
        <v>4.924221754892228</v>
      </c>
      <c r="BE84" s="64">
        <f t="shared" si="80"/>
        <v>4.8310510322887597</v>
      </c>
      <c r="BF84" s="64">
        <f t="shared" si="80"/>
        <v>4.7303895422249109</v>
      </c>
      <c r="BG84" s="64">
        <f t="shared" si="80"/>
        <v>4.6274328348661431</v>
      </c>
      <c r="BH84" s="64">
        <f t="shared" si="80"/>
        <v>4.518162875441929</v>
      </c>
      <c r="BI84" s="64">
        <f t="shared" si="80"/>
        <v>4.402575602030514</v>
      </c>
      <c r="BJ84" s="64">
        <f t="shared" si="80"/>
        <v>4.2806751079576131</v>
      </c>
      <c r="BK84" s="64">
        <f t="shared" si="80"/>
        <v>4.1524884121086014</v>
      </c>
      <c r="BL84" s="64">
        <f t="shared" si="80"/>
        <v>4.0180603586498425</v>
      </c>
      <c r="BM84" s="64">
        <f t="shared" si="80"/>
        <v>3.8774544408213165</v>
      </c>
      <c r="BN84" s="64">
        <f t="shared" si="80"/>
        <v>3.7307536305068911</v>
      </c>
    </row>
    <row r="85" spans="1:66" s="67" customFormat="1" outlineLevel="1" x14ac:dyDescent="0.2">
      <c r="A85" s="681"/>
      <c r="B85" s="58" t="s">
        <v>7</v>
      </c>
      <c r="C85" s="59" t="s">
        <v>153</v>
      </c>
      <c r="D85" s="60">
        <f>D24-'Overall recycling rates'!$G$60/SUM('Overall recycling rates'!$G$60:$G$62)*('BTX Recycling HC'!C153)-'Overall recycling rates'!$E$60/SUM('Overall recycling rates'!$E$60:$E$62)*('BTX Recycling HC'!C154)-'Overall recycling rates'!$H$60/SUM('Overall recycling rates'!$H$60:$H$62)*('BTX Recycling HC'!C155)-'Overall recycling rates'!$I$60/SUM('Overall recycling rates'!$I$60:$I$62)*('BTX Recycling HC'!C156)</f>
        <v>2.5999466924200116</v>
      </c>
      <c r="E85" s="60">
        <f>E24-'Overall recycling rates'!$G$60/SUM('Overall recycling rates'!$G$60:$G$62)*('BTX Recycling HC'!D153)-'Overall recycling rates'!$E$60/SUM('Overall recycling rates'!$E$60:$E$62)*('BTX Recycling HC'!D154)-'Overall recycling rates'!$H$60/SUM('Overall recycling rates'!$H$60:$H$62)*('BTX Recycling HC'!D155)-'Overall recycling rates'!$I$60/SUM('Overall recycling rates'!$I$60:$I$62)*('BTX Recycling HC'!D156)</f>
        <v>2.6175269258922533</v>
      </c>
      <c r="F85" s="60">
        <f>F24-'Overall recycling rates'!$G$60/SUM('Overall recycling rates'!$G$60:$G$62)*('BTX Recycling HC'!E153)-'Overall recycling rates'!$E$60/SUM('Overall recycling rates'!$E$60:$E$62)*('BTX Recycling HC'!E154)-'Overall recycling rates'!$H$60/SUM('Overall recycling rates'!$H$60:$H$62)*('BTX Recycling HC'!E155)-'Overall recycling rates'!$I$60/SUM('Overall recycling rates'!$I$60:$I$62)*('BTX Recycling HC'!E156)</f>
        <v>2.6345760753517005</v>
      </c>
      <c r="G85" s="60">
        <f>G24-'Overall recycling rates'!$G$60/SUM('Overall recycling rates'!$G$60:$G$62)*('BTX Recycling HC'!F153)-'Overall recycling rates'!$E$60/SUM('Overall recycling rates'!$E$60:$E$62)*('BTX Recycling HC'!F154)-'Overall recycling rates'!$H$60/SUM('Overall recycling rates'!$H$60:$H$62)*('BTX Recycling HC'!F155)-'Overall recycling rates'!$I$60/SUM('Overall recycling rates'!$I$60:$I$62)*('BTX Recycling HC'!F156)</f>
        <v>2.6510541021928593</v>
      </c>
      <c r="H85" s="60">
        <f>H24-'Overall recycling rates'!$G$60/SUM('Overall recycling rates'!$G$60:$G$62)*('BTX Recycling HC'!G153)-'Overall recycling rates'!$E$60/SUM('Overall recycling rates'!$E$60:$E$62)*('BTX Recycling HC'!G154)-'Overall recycling rates'!$H$60/SUM('Overall recycling rates'!$H$60:$H$62)*('BTX Recycling HC'!G155)-'Overall recycling rates'!$I$60/SUM('Overall recycling rates'!$I$60:$I$62)*('BTX Recycling HC'!G156)</f>
        <v>2.666927693184848</v>
      </c>
      <c r="I85" s="60">
        <f>I24-'Overall recycling rates'!$G$60/SUM('Overall recycling rates'!$G$60:$G$62)*('BTX Recycling HC'!H153)-'Overall recycling rates'!$E$60/SUM('Overall recycling rates'!$E$60:$E$62)*('BTX Recycling HC'!H154)-'Overall recycling rates'!$H$60/SUM('Overall recycling rates'!$H$60:$H$62)*('BTX Recycling HC'!H155)-'Overall recycling rates'!$I$60/SUM('Overall recycling rates'!$I$60:$I$62)*('BTX Recycling HC'!H156)</f>
        <v>2.682171283936932</v>
      </c>
      <c r="J85" s="60">
        <f>J24-'Overall recycling rates'!$G$60/SUM('Overall recycling rates'!$G$60:$G$62)*('BTX Recycling HC'!I153)-'Overall recycling rates'!$E$60/SUM('Overall recycling rates'!$E$60:$E$62)*('BTX Recycling HC'!I154)-'Overall recycling rates'!$H$60/SUM('Overall recycling rates'!$H$60:$H$62)*('BTX Recycling HC'!I155)-'Overall recycling rates'!$I$60/SUM('Overall recycling rates'!$I$60:$I$62)*('BTX Recycling HC'!I156)</f>
        <v>2.6967163546367163</v>
      </c>
      <c r="K85" s="60">
        <f>K24-'Overall recycling rates'!$G$60/SUM('Overall recycling rates'!$G$60:$G$62)*('BTX Recycling HC'!J153)-'Overall recycling rates'!$E$60/SUM('Overall recycling rates'!$E$60:$E$62)*('BTX Recycling HC'!J154)-'Overall recycling rates'!$H$60/SUM('Overall recycling rates'!$H$60:$H$62)*('BTX Recycling HC'!J155)-'Overall recycling rates'!$I$60/SUM('Overall recycling rates'!$I$60:$I$62)*('BTX Recycling HC'!J156)</f>
        <v>2.7105169400424307</v>
      </c>
      <c r="L85" s="60">
        <f>L24-'Overall recycling rates'!$G$60/SUM('Overall recycling rates'!$G$60:$G$62)*('BTX Recycling HC'!K153)-'Overall recycling rates'!$E$60/SUM('Overall recycling rates'!$E$60:$E$62)*('BTX Recycling HC'!K154)-'Overall recycling rates'!$H$60/SUM('Overall recycling rates'!$H$60:$H$62)*('BTX Recycling HC'!K155)-'Overall recycling rates'!$I$60/SUM('Overall recycling rates'!$I$60:$I$62)*('BTX Recycling HC'!K156)</f>
        <v>2.7235272989349268</v>
      </c>
      <c r="M85" s="60">
        <f>M24-'Overall recycling rates'!$G$60/SUM('Overall recycling rates'!$G$60:$G$62)*('BTX Recycling HC'!L153)-'Overall recycling rates'!$E$60/SUM('Overall recycling rates'!$E$60:$E$62)*('BTX Recycling HC'!L154)-'Overall recycling rates'!$H$60/SUM('Overall recycling rates'!$H$60:$H$62)*('BTX Recycling HC'!L155)-'Overall recycling rates'!$I$60/SUM('Overall recycling rates'!$I$60:$I$62)*('BTX Recycling HC'!L156)</f>
        <v>2.7357020977698814</v>
      </c>
      <c r="N85" s="60">
        <f>N24-'Overall recycling rates'!$G$60/SUM('Overall recycling rates'!$G$60:$G$62)*('BTX Recycling HC'!M153)-'Overall recycling rates'!$E$60/SUM('Overall recycling rates'!$E$60:$E$62)*('BTX Recycling HC'!M154)-'Overall recycling rates'!$H$60/SUM('Overall recycling rates'!$H$60:$H$62)*('BTX Recycling HC'!M155)-'Overall recycling rates'!$I$60/SUM('Overall recycling rates'!$I$60:$I$62)*('BTX Recycling HC'!M156)</f>
        <v>2.7469966000059038</v>
      </c>
      <c r="O85" s="60">
        <f>O24-'Overall recycling rates'!$G$60/SUM('Overall recycling rates'!$G$60:$G$62)*('BTX Recycling HC'!N153)-'Overall recycling rates'!$E$60/SUM('Overall recycling rates'!$E$60:$E$62)*('BTX Recycling HC'!N154)-'Overall recycling rates'!$H$60/SUM('Overall recycling rates'!$H$60:$H$62)*('BTX Recycling HC'!N155)-'Overall recycling rates'!$I$60/SUM('Overall recycling rates'!$I$60:$I$62)*('BTX Recycling HC'!N156)</f>
        <v>2.7286357416385827</v>
      </c>
      <c r="P85" s="60">
        <f>P24-'Overall recycling rates'!$G$60/SUM('Overall recycling rates'!$G$60:$G$62)*('BTX Recycling HC'!O153)-'Overall recycling rates'!$E$60/SUM('Overall recycling rates'!$E$60:$E$62)*('BTX Recycling HC'!O154)-'Overall recycling rates'!$H$60/SUM('Overall recycling rates'!$H$60:$H$62)*('BTX Recycling HC'!O155)-'Overall recycling rates'!$I$60/SUM('Overall recycling rates'!$I$60:$I$62)*('BTX Recycling HC'!O156)</f>
        <v>2.7076342815115582</v>
      </c>
      <c r="Q85" s="60">
        <f>Q24-'Overall recycling rates'!$G$60/SUM('Overall recycling rates'!$G$60:$G$62)*('BTX Recycling HC'!P153)-'Overall recycling rates'!$E$60/SUM('Overall recycling rates'!$E$60:$E$62)*('BTX Recycling HC'!P154)-'Overall recycling rates'!$H$60/SUM('Overall recycling rates'!$H$60:$H$62)*('BTX Recycling HC'!P155)-'Overall recycling rates'!$I$60/SUM('Overall recycling rates'!$I$60:$I$62)*('BTX Recycling HC'!P156)</f>
        <v>2.6843119325992766</v>
      </c>
      <c r="R85" s="60">
        <f>R24-'Overall recycling rates'!$G$60/SUM('Overall recycling rates'!$G$60:$G$62)*('BTX Recycling HC'!Q153)-'Overall recycling rates'!$E$60/SUM('Overall recycling rates'!$E$60:$E$62)*('BTX Recycling HC'!Q154)-'Overall recycling rates'!$H$60/SUM('Overall recycling rates'!$H$60:$H$62)*('BTX Recycling HC'!Q155)-'Overall recycling rates'!$I$60/SUM('Overall recycling rates'!$I$60:$I$62)*('BTX Recycling HC'!Q156)</f>
        <v>2.6584519679760934</v>
      </c>
      <c r="S85" s="60">
        <f>S24-'Overall recycling rates'!$G$60/SUM('Overall recycling rates'!$G$60:$G$62)*('BTX Recycling HC'!R153)-'Overall recycling rates'!$E$60/SUM('Overall recycling rates'!$E$60:$E$62)*('BTX Recycling HC'!R154)-'Overall recycling rates'!$H$60/SUM('Overall recycling rates'!$H$60:$H$62)*('BTX Recycling HC'!R155)-'Overall recycling rates'!$I$60/SUM('Overall recycling rates'!$I$60:$I$62)*('BTX Recycling HC'!R156)</f>
        <v>2.6300857431970299</v>
      </c>
      <c r="T85" s="60">
        <f>T24-'Overall recycling rates'!$G$60/SUM('Overall recycling rates'!$G$60:$G$62)*('BTX Recycling HC'!S153)-'Overall recycling rates'!$E$60/SUM('Overall recycling rates'!$E$60:$E$62)*('BTX Recycling HC'!S154)-'Overall recycling rates'!$H$60/SUM('Overall recycling rates'!$H$60:$H$62)*('BTX Recycling HC'!S155)-'Overall recycling rates'!$I$60/SUM('Overall recycling rates'!$I$60:$I$62)*('BTX Recycling HC'!S156)</f>
        <v>2.5989719357286645</v>
      </c>
      <c r="U85" s="60">
        <f>U24-'Overall recycling rates'!$G$60/SUM('Overall recycling rates'!$G$60:$G$62)*('BTX Recycling HC'!T153)-'Overall recycling rates'!$E$60/SUM('Overall recycling rates'!$E$60:$E$62)*('BTX Recycling HC'!T154)-'Overall recycling rates'!$H$60/SUM('Overall recycling rates'!$H$60:$H$62)*('BTX Recycling HC'!T155)-'Overall recycling rates'!$I$60/SUM('Overall recycling rates'!$I$60:$I$62)*('BTX Recycling HC'!T156)</f>
        <v>2.5650520501096481</v>
      </c>
      <c r="V85" s="60">
        <f>V24-'Overall recycling rates'!$G$60/SUM('Overall recycling rates'!$G$60:$G$62)*('BTX Recycling HC'!U153)-'Overall recycling rates'!$E$60/SUM('Overall recycling rates'!$E$60:$E$62)*('BTX Recycling HC'!U154)-'Overall recycling rates'!$H$60/SUM('Overall recycling rates'!$H$60:$H$62)*('BTX Recycling HC'!U155)-'Overall recycling rates'!$I$60/SUM('Overall recycling rates'!$I$60:$I$62)*('BTX Recycling HC'!U156)</f>
        <v>2.5282692784640464</v>
      </c>
      <c r="W85" s="60">
        <f>W24-'Overall recycling rates'!$G$60/SUM('Overall recycling rates'!$G$60:$G$62)*('BTX Recycling HC'!V153)-'Overall recycling rates'!$E$60/SUM('Overall recycling rates'!$E$60:$E$62)*('BTX Recycling HC'!V154)-'Overall recycling rates'!$H$60/SUM('Overall recycling rates'!$H$60:$H$62)*('BTX Recycling HC'!V155)-'Overall recycling rates'!$I$60/SUM('Overall recycling rates'!$I$60:$I$62)*('BTX Recycling HC'!V156)</f>
        <v>2.4885685864652327</v>
      </c>
      <c r="X85" s="60">
        <f>X24-'Overall recycling rates'!$G$60/SUM('Overall recycling rates'!$G$60:$G$62)*('BTX Recycling HC'!W153)-'Overall recycling rates'!$E$60/SUM('Overall recycling rates'!$E$60:$E$62)*('BTX Recycling HC'!W154)-'Overall recycling rates'!$H$60/SUM('Overall recycling rates'!$H$60:$H$62)*('BTX Recycling HC'!W155)-'Overall recycling rates'!$I$60/SUM('Overall recycling rates'!$I$60:$I$62)*('BTX Recycling HC'!W156)</f>
        <v>2.4458967971942887</v>
      </c>
      <c r="Y85" s="60">
        <f>Y24-'Overall recycling rates'!$G$60/SUM('Overall recycling rates'!$G$60:$G$62)*('BTX Recycling HC'!X153)-'Overall recycling rates'!$E$60/SUM('Overall recycling rates'!$E$60:$E$62)*('BTX Recycling HC'!X154)-'Overall recycling rates'!$H$60/SUM('Overall recycling rates'!$H$60:$H$62)*('BTX Recycling HC'!X155)-'Overall recycling rates'!$I$60/SUM('Overall recycling rates'!$I$60:$I$62)*('BTX Recycling HC'!X156)</f>
        <v>2.3269075121991185</v>
      </c>
      <c r="Z85" s="60">
        <f>Z24-'Overall recycling rates'!$G$60/SUM('Overall recycling rates'!$G$60:$G$62)*('BTX Recycling HC'!Y153)-'Overall recycling rates'!$E$60/SUM('Overall recycling rates'!$E$60:$E$62)*('BTX Recycling HC'!Y154)-'Overall recycling rates'!$H$60/SUM('Overall recycling rates'!$H$60:$H$62)*('BTX Recycling HC'!Y155)-'Overall recycling rates'!$I$60/SUM('Overall recycling rates'!$I$60:$I$62)*('BTX Recycling HC'!Y156)</f>
        <v>2.2022118387072975</v>
      </c>
      <c r="AA85" s="60">
        <f>AA24-'Overall recycling rates'!$G$60/SUM('Overall recycling rates'!$G$60:$G$62)*('BTX Recycling HC'!Z153)-'Overall recycling rates'!$E$60/SUM('Overall recycling rates'!$E$60:$E$62)*('BTX Recycling HC'!Z154)-'Overall recycling rates'!$H$60/SUM('Overall recycling rates'!$H$60:$H$62)*('BTX Recycling HC'!Z155)-'Overall recycling rates'!$I$60/SUM('Overall recycling rates'!$I$60:$I$62)*('BTX Recycling HC'!Z156)</f>
        <v>2.0752049567862221</v>
      </c>
      <c r="AB85" s="60">
        <f>AB24-'Overall recycling rates'!$G$60/SUM('Overall recycling rates'!$G$60:$G$62)*('BTX Recycling HC'!AA153)-'Overall recycling rates'!$E$60/SUM('Overall recycling rates'!$E$60:$E$62)*('BTX Recycling HC'!AA154)-'Overall recycling rates'!$H$60/SUM('Overall recycling rates'!$H$60:$H$62)*('BTX Recycling HC'!AA155)-'Overall recycling rates'!$I$60/SUM('Overall recycling rates'!$I$60:$I$62)*('BTX Recycling HC'!AA156)</f>
        <v>1.9432999567950549</v>
      </c>
      <c r="AC85" s="60">
        <f>AC24-'Overall recycling rates'!$G$60/SUM('Overall recycling rates'!$G$60:$G$62)*('BTX Recycling HC'!AB153)-'Overall recycling rates'!$E$60/SUM('Overall recycling rates'!$E$60:$E$62)*('BTX Recycling HC'!AB154)-'Overall recycling rates'!$H$60/SUM('Overall recycling rates'!$H$60:$H$62)*('BTX Recycling HC'!AB155)-'Overall recycling rates'!$I$60/SUM('Overall recycling rates'!$I$60:$I$62)*('BTX Recycling HC'!AB156)</f>
        <v>1.8065286923540298</v>
      </c>
      <c r="AD85" s="60">
        <f>AD24-'Overall recycling rates'!$G$60/SUM('Overall recycling rates'!$G$60:$G$62)*('BTX Recycling HC'!AC153)-'Overall recycling rates'!$E$60/SUM('Overall recycling rates'!$E$60:$E$62)*('BTX Recycling HC'!AC154)-'Overall recycling rates'!$H$60/SUM('Overall recycling rates'!$H$60:$H$62)*('BTX Recycling HC'!AC155)-'Overall recycling rates'!$I$60/SUM('Overall recycling rates'!$I$60:$I$62)*('BTX Recycling HC'!AC156)</f>
        <v>1.6649268796224566</v>
      </c>
      <c r="AE85" s="60">
        <f>AE24-'Overall recycling rates'!$G$60/SUM('Overall recycling rates'!$G$60:$G$62)*('BTX Recycling HC'!AD153)-'Overall recycling rates'!$E$60/SUM('Overall recycling rates'!$E$60:$E$62)*('BTX Recycling HC'!AD154)-'Overall recycling rates'!$H$60/SUM('Overall recycling rates'!$H$60:$H$62)*('BTX Recycling HC'!AD155)-'Overall recycling rates'!$I$60/SUM('Overall recycling rates'!$I$60:$I$62)*('BTX Recycling HC'!AD156)</f>
        <v>1.5185430868033858</v>
      </c>
      <c r="AF85" s="60">
        <f>AF24-'Overall recycling rates'!$G$60/SUM('Overall recycling rates'!$G$60:$G$62)*('BTX Recycling HC'!AE153)-'Overall recycling rates'!$E$60/SUM('Overall recycling rates'!$E$60:$E$62)*('BTX Recycling HC'!AE154)-'Overall recycling rates'!$H$60/SUM('Overall recycling rates'!$H$60:$H$62)*('BTX Recycling HC'!AE155)-'Overall recycling rates'!$I$60/SUM('Overall recycling rates'!$I$60:$I$62)*('BTX Recycling HC'!AE156)</f>
        <v>1.3674349967439299</v>
      </c>
      <c r="AG85" s="60">
        <f>AG24-'Overall recycling rates'!$G$60/SUM('Overall recycling rates'!$G$60:$G$62)*('BTX Recycling HC'!AF153)-'Overall recycling rates'!$E$60/SUM('Overall recycling rates'!$E$60:$E$62)*('BTX Recycling HC'!AF154)-'Overall recycling rates'!$H$60/SUM('Overall recycling rates'!$H$60:$H$62)*('BTX Recycling HC'!AF155)-'Overall recycling rates'!$I$60/SUM('Overall recycling rates'!$I$60:$I$62)*('BTX Recycling HC'!AF156)</f>
        <v>1.2116694547825488</v>
      </c>
      <c r="AH85" s="60">
        <f>AH24-'Overall recycling rates'!$G$60/SUM('Overall recycling rates'!$G$60:$G$62)*('BTX Recycling HC'!AG153)-'Overall recycling rates'!$E$60/SUM('Overall recycling rates'!$E$60:$E$62)*('BTX Recycling HC'!AG154)-'Overall recycling rates'!$H$60/SUM('Overall recycling rates'!$H$60:$H$62)*('BTX Recycling HC'!AG155)-'Overall recycling rates'!$I$60/SUM('Overall recycling rates'!$I$60:$I$62)*('BTX Recycling HC'!AG156)</f>
        <v>1.0513224957604035</v>
      </c>
      <c r="AJ85" s="60">
        <f>AJ24-'Overall recycling rates'!$G$60/SUM('Overall recycling rates'!$G$60:$G$62)*('BTX Recycling HC'!C153)-'Overall recycling rates'!$E$60/SUM('Overall recycling rates'!$E$60:$E$62)*('BTX Recycling HC'!C154)-'Overall recycling rates'!$H$60/SUM('Overall recycling rates'!$H$60:$H$62)*('BTX Recycling HC'!C155)-'Overall recycling rates'!$I$60/SUM('Overall recycling rates'!$I$60:$I$62)*('BTX Recycling HC'!C156)</f>
        <v>2.5999466924200116</v>
      </c>
      <c r="AK85" s="60">
        <f>AK24-'Overall recycling rates'!$G$60/SUM('Overall recycling rates'!$G$60:$G$62)*('BTX Recycling HC'!D153)-'Overall recycling rates'!$E$60/SUM('Overall recycling rates'!$E$60:$E$62)*('BTX Recycling HC'!D154)-'Overall recycling rates'!$H$60/SUM('Overall recycling rates'!$H$60:$H$62)*('BTX Recycling HC'!D155)-'Overall recycling rates'!$I$60/SUM('Overall recycling rates'!$I$60:$I$62)*('BTX Recycling HC'!D156)</f>
        <v>2.6246378804891455</v>
      </c>
      <c r="AL85" s="60">
        <f>AL24-'Overall recycling rates'!$G$60/SUM('Overall recycling rates'!$G$60:$G$62)*('BTX Recycling HC'!E153)-'Overall recycling rates'!$E$60/SUM('Overall recycling rates'!$E$60:$E$62)*('BTX Recycling HC'!E154)-'Overall recycling rates'!$H$60/SUM('Overall recycling rates'!$H$60:$H$62)*('BTX Recycling HC'!E155)-'Overall recycling rates'!$I$60/SUM('Overall recycling rates'!$I$60:$I$62)*('BTX Recycling HC'!E156)</f>
        <v>2.648982488623461</v>
      </c>
      <c r="AM85" s="60">
        <f>AM24-'Overall recycling rates'!$G$60/SUM('Overall recycling rates'!$G$60:$G$62)*('BTX Recycling HC'!F153)-'Overall recycling rates'!$E$60/SUM('Overall recycling rates'!$E$60:$E$62)*('BTX Recycling HC'!F154)-'Overall recycling rates'!$H$60/SUM('Overall recycling rates'!$H$60:$H$62)*('BTX Recycling HC'!F155)-'Overall recycling rates'!$I$60/SUM('Overall recycling rates'!$I$60:$I$62)*('BTX Recycling HC'!F156)</f>
        <v>2.6729439817742469</v>
      </c>
      <c r="AN85" s="60">
        <f>AN24-'Overall recycling rates'!$G$60/SUM('Overall recycling rates'!$G$60:$G$62)*('BTX Recycling HC'!G153)-'Overall recycling rates'!$E$60/SUM('Overall recycling rates'!$E$60:$E$62)*('BTX Recycling HC'!G154)-'Overall recycling rates'!$H$60/SUM('Overall recycling rates'!$H$60:$H$62)*('BTX Recycling HC'!G155)-'Overall recycling rates'!$I$60/SUM('Overall recycling rates'!$I$60:$I$62)*('BTX Recycling HC'!G156)</f>
        <v>2.6964926083330041</v>
      </c>
      <c r="AO85" s="60">
        <f>AO24-'Overall recycling rates'!$G$60/SUM('Overall recycling rates'!$G$60:$G$62)*('BTX Recycling HC'!H153)-'Overall recycling rates'!$E$60/SUM('Overall recycling rates'!$E$60:$E$62)*('BTX Recycling HC'!H154)-'Overall recycling rates'!$H$60/SUM('Overall recycling rates'!$H$60:$H$62)*('BTX Recycling HC'!H155)-'Overall recycling rates'!$I$60/SUM('Overall recycling rates'!$I$60:$I$62)*('BTX Recycling HC'!H156)</f>
        <v>2.7196064244864795</v>
      </c>
      <c r="AP85" s="60">
        <f>AP24-'Overall recycling rates'!$G$60/SUM('Overall recycling rates'!$G$60:$G$62)*('BTX Recycling HC'!I153)-'Overall recycling rates'!$E$60/SUM('Overall recycling rates'!$E$60:$E$62)*('BTX Recycling HC'!I154)-'Overall recycling rates'!$H$60/SUM('Overall recycling rates'!$H$60:$H$62)*('BTX Recycling HC'!I155)-'Overall recycling rates'!$I$60/SUM('Overall recycling rates'!$I$60:$I$62)*('BTX Recycling HC'!I156)</f>
        <v>2.7422205908572836</v>
      </c>
      <c r="AQ85" s="60">
        <f>AQ24-'Overall recycling rates'!$G$60/SUM('Overall recycling rates'!$G$60:$G$62)*('BTX Recycling HC'!J153)-'Overall recycling rates'!$E$60/SUM('Overall recycling rates'!$E$60:$E$62)*('BTX Recycling HC'!J154)-'Overall recycling rates'!$H$60/SUM('Overall recycling rates'!$H$60:$H$62)*('BTX Recycling HC'!J155)-'Overall recycling rates'!$I$60/SUM('Overall recycling rates'!$I$60:$I$62)*('BTX Recycling HC'!J156)</f>
        <v>2.7642928834117275</v>
      </c>
      <c r="AR85" s="60">
        <f>AR24-'Overall recycling rates'!$G$60/SUM('Overall recycling rates'!$G$60:$G$62)*('BTX Recycling HC'!K153)-'Overall recycling rates'!$E$60/SUM('Overall recycling rates'!$E$60:$E$62)*('BTX Recycling HC'!K154)-'Overall recycling rates'!$H$60/SUM('Overall recycling rates'!$H$60:$H$62)*('BTX Recycling HC'!K155)-'Overall recycling rates'!$I$60/SUM('Overall recycling rates'!$I$60:$I$62)*('BTX Recycling HC'!K156)</f>
        <v>2.7857813638406563</v>
      </c>
      <c r="AS85" s="60">
        <f>AS24-'Overall recycling rates'!$G$60/SUM('Overall recycling rates'!$G$60:$G$62)*('BTX Recycling HC'!L153)-'Overall recycling rates'!$E$60/SUM('Overall recycling rates'!$E$60:$E$62)*('BTX Recycling HC'!L154)-'Overall recycling rates'!$H$60/SUM('Overall recycling rates'!$H$60:$H$62)*('BTX Recycling HC'!L155)-'Overall recycling rates'!$I$60/SUM('Overall recycling rates'!$I$60:$I$62)*('BTX Recycling HC'!L156)</f>
        <v>2.8066445641539857</v>
      </c>
      <c r="AT85" s="60">
        <f>AT24-'Overall recycling rates'!$G$60/SUM('Overall recycling rates'!$G$60:$G$62)*('BTX Recycling HC'!M153)-'Overall recycling rates'!$E$60/SUM('Overall recycling rates'!$E$60:$E$62)*('BTX Recycling HC'!M154)-'Overall recycling rates'!$H$60/SUM('Overall recycling rates'!$H$60:$H$62)*('BTX Recycling HC'!M155)-'Overall recycling rates'!$I$60/SUM('Overall recycling rates'!$I$60:$I$62)*('BTX Recycling HC'!M156)</f>
        <v>2.8268416769648113</v>
      </c>
      <c r="AU85" s="60">
        <f>AU24-'Overall recycling rates'!$G$60/SUM('Overall recycling rates'!$G$60:$G$62)*('BTX Recycling HC'!N153)-'Overall recycling rates'!$E$60/SUM('Overall recycling rates'!$E$60:$E$62)*('BTX Recycling HC'!N154)-'Overall recycling rates'!$H$60/SUM('Overall recycling rates'!$H$60:$H$62)*('BTX Recycling HC'!N155)-'Overall recycling rates'!$I$60/SUM('Overall recycling rates'!$I$60:$I$62)*('BTX Recycling HC'!N156)</f>
        <v>2.8340858829814795</v>
      </c>
      <c r="AV85" s="60">
        <f>AV24-'Overall recycling rates'!$G$60/SUM('Overall recycling rates'!$G$60:$G$62)*('BTX Recycling HC'!O153)-'Overall recycling rates'!$E$60/SUM('Overall recycling rates'!$E$60:$E$62)*('BTX Recycling HC'!O154)-'Overall recycling rates'!$H$60/SUM('Overall recycling rates'!$H$60:$H$62)*('BTX Recycling HC'!O155)-'Overall recycling rates'!$I$60/SUM('Overall recycling rates'!$I$60:$I$62)*('BTX Recycling HC'!O156)</f>
        <v>2.8394809414408955</v>
      </c>
      <c r="AW85" s="60">
        <f>AW24-'Overall recycling rates'!$G$60/SUM('Overall recycling rates'!$G$60:$G$62)*('BTX Recycling HC'!P153)-'Overall recycling rates'!$E$60/SUM('Overall recycling rates'!$E$60:$E$62)*('BTX Recycling HC'!P154)-'Overall recycling rates'!$H$60/SUM('Overall recycling rates'!$H$60:$H$62)*('BTX Recycling HC'!P155)-'Overall recycling rates'!$I$60/SUM('Overall recycling rates'!$I$60:$I$62)*('BTX Recycling HC'!P156)</f>
        <v>2.8433634629424311</v>
      </c>
      <c r="AX85" s="60">
        <f>AX24-'Overall recycling rates'!$G$60/SUM('Overall recycling rates'!$G$60:$G$62)*('BTX Recycling HC'!Q153)-'Overall recycling rates'!$E$60/SUM('Overall recycling rates'!$E$60:$E$62)*('BTX Recycling HC'!Q154)-'Overall recycling rates'!$H$60/SUM('Overall recycling rates'!$H$60:$H$62)*('BTX Recycling HC'!Q155)-'Overall recycling rates'!$I$60/SUM('Overall recycling rates'!$I$60:$I$62)*('BTX Recycling HC'!Q156)</f>
        <v>2.8455339222403273</v>
      </c>
      <c r="AY85" s="60">
        <f>AY24-'Overall recycling rates'!$G$60/SUM('Overall recycling rates'!$G$60:$G$62)*('BTX Recycling HC'!R153)-'Overall recycling rates'!$E$60/SUM('Overall recycling rates'!$E$60:$E$62)*('BTX Recycling HC'!R154)-'Overall recycling rates'!$H$60/SUM('Overall recycling rates'!$H$60:$H$62)*('BTX Recycling HC'!R155)-'Overall recycling rates'!$I$60/SUM('Overall recycling rates'!$I$60:$I$62)*('BTX Recycling HC'!R156)</f>
        <v>2.8460411855740433</v>
      </c>
      <c r="AZ85" s="60">
        <f>AZ24-'Overall recycling rates'!$G$60/SUM('Overall recycling rates'!$G$60:$G$62)*('BTX Recycling HC'!S153)-'Overall recycling rates'!$E$60/SUM('Overall recycling rates'!$E$60:$E$62)*('BTX Recycling HC'!S154)-'Overall recycling rates'!$H$60/SUM('Overall recycling rates'!$H$60:$H$62)*('BTX Recycling HC'!S155)-'Overall recycling rates'!$I$60/SUM('Overall recycling rates'!$I$60:$I$62)*('BTX Recycling HC'!S156)</f>
        <v>2.8446617551241493</v>
      </c>
      <c r="BA85" s="60">
        <f>BA24-'Overall recycling rates'!$G$60/SUM('Overall recycling rates'!$G$60:$G$62)*('BTX Recycling HC'!T153)-'Overall recycling rates'!$E$60/SUM('Overall recycling rates'!$E$60:$E$62)*('BTX Recycling HC'!T154)-'Overall recycling rates'!$H$60/SUM('Overall recycling rates'!$H$60:$H$62)*('BTX Recycling HC'!T155)-'Overall recycling rates'!$I$60/SUM('Overall recycling rates'!$I$60:$I$62)*('BTX Recycling HC'!T156)</f>
        <v>2.8413552792743628</v>
      </c>
      <c r="BB85" s="60">
        <f>BB24-'Overall recycling rates'!$G$60/SUM('Overall recycling rates'!$G$60:$G$62)*('BTX Recycling HC'!U153)-'Overall recycling rates'!$E$60/SUM('Overall recycling rates'!$E$60:$E$62)*('BTX Recycling HC'!U154)-'Overall recycling rates'!$H$60/SUM('Overall recycling rates'!$H$60:$H$62)*('BTX Recycling HC'!U155)-'Overall recycling rates'!$I$60/SUM('Overall recycling rates'!$I$60:$I$62)*('BTX Recycling HC'!U156)</f>
        <v>2.8360834183040224</v>
      </c>
      <c r="BC85" s="60">
        <f>BC24-'Overall recycling rates'!$G$60/SUM('Overall recycling rates'!$G$60:$G$62)*('BTX Recycling HC'!V153)-'Overall recycling rates'!$E$60/SUM('Overall recycling rates'!$E$60:$E$62)*('BTX Recycling HC'!V154)-'Overall recycling rates'!$H$60/SUM('Overall recycling rates'!$H$60:$H$62)*('BTX Recycling HC'!V155)-'Overall recycling rates'!$I$60/SUM('Overall recycling rates'!$I$60:$I$62)*('BTX Recycling HC'!V156)</f>
        <v>2.8288099356098759</v>
      </c>
      <c r="BD85" s="60">
        <f>BD24-'Overall recycling rates'!$G$60/SUM('Overall recycling rates'!$G$60:$G$62)*('BTX Recycling HC'!W153)-'Overall recycling rates'!$E$60/SUM('Overall recycling rates'!$E$60:$E$62)*('BTX Recycling HC'!W154)-'Overall recycling rates'!$H$60/SUM('Overall recycling rates'!$H$60:$H$62)*('BTX Recycling HC'!W155)-'Overall recycling rates'!$I$60/SUM('Overall recycling rates'!$I$60:$I$62)*('BTX Recycling HC'!W156)</f>
        <v>2.8195007869022497</v>
      </c>
      <c r="BE85" s="60">
        <f>BE24-'Overall recycling rates'!$G$60/SUM('Overall recycling rates'!$G$60:$G$62)*('BTX Recycling HC'!X153)-'Overall recycling rates'!$E$60/SUM('Overall recycling rates'!$E$60:$E$62)*('BTX Recycling HC'!X154)-'Overall recycling rates'!$H$60/SUM('Overall recycling rates'!$H$60:$H$62)*('BTX Recycling HC'!X155)-'Overall recycling rates'!$I$60/SUM('Overall recycling rates'!$I$60:$I$62)*('BTX Recycling HC'!X156)</f>
        <v>2.7624768166675935</v>
      </c>
      <c r="BF85" s="60">
        <f>BF24-'Overall recycling rates'!$G$60/SUM('Overall recycling rates'!$G$60:$G$62)*('BTX Recycling HC'!Y153)-'Overall recycling rates'!$E$60/SUM('Overall recycling rates'!$E$60:$E$62)*('BTX Recycling HC'!Y154)-'Overall recycling rates'!$H$60/SUM('Overall recycling rates'!$H$60:$H$62)*('BTX Recycling HC'!Y155)-'Overall recycling rates'!$I$60/SUM('Overall recycling rates'!$I$60:$I$62)*('BTX Recycling HC'!Y156)</f>
        <v>2.7013804913564412</v>
      </c>
      <c r="BG85" s="60">
        <f>BG24-'Overall recycling rates'!$G$60/SUM('Overall recycling rates'!$G$60:$G$62)*('BTX Recycling HC'!Z153)-'Overall recycling rates'!$E$60/SUM('Overall recycling rates'!$E$60:$E$62)*('BTX Recycling HC'!Z154)-'Overall recycling rates'!$H$60/SUM('Overall recycling rates'!$H$60:$H$62)*('BTX Recycling HC'!Z155)-'Overall recycling rates'!$I$60/SUM('Overall recycling rates'!$I$60:$I$62)*('BTX Recycling HC'!Z156)</f>
        <v>2.6396388753255344</v>
      </c>
      <c r="BH85" s="60">
        <f>BH24-'Overall recycling rates'!$G$60/SUM('Overall recycling rates'!$G$60:$G$62)*('BTX Recycling HC'!AA153)-'Overall recycling rates'!$E$60/SUM('Overall recycling rates'!$E$60:$E$62)*('BTX Recycling HC'!AA154)-'Overall recycling rates'!$H$60/SUM('Overall recycling rates'!$H$60:$H$62)*('BTX Recycling HC'!AA155)-'Overall recycling rates'!$I$60/SUM('Overall recycling rates'!$I$60:$I$62)*('BTX Recycling HC'!AA156)</f>
        <v>2.5746974842610704</v>
      </c>
      <c r="BI85" s="60">
        <f>BI24-'Overall recycling rates'!$G$60/SUM('Overall recycling rates'!$G$60:$G$62)*('BTX Recycling HC'!AB153)-'Overall recycling rates'!$E$60/SUM('Overall recycling rates'!$E$60:$E$62)*('BTX Recycling HC'!AB154)-'Overall recycling rates'!$H$60/SUM('Overall recycling rates'!$H$60:$H$62)*('BTX Recycling HC'!AB155)-'Overall recycling rates'!$I$60/SUM('Overall recycling rates'!$I$60:$I$62)*('BTX Recycling HC'!AB156)</f>
        <v>2.5066211465980706</v>
      </c>
      <c r="BJ85" s="60">
        <f>BJ24-'Overall recycling rates'!$G$60/SUM('Overall recycling rates'!$G$60:$G$62)*('BTX Recycling HC'!AC153)-'Overall recycling rates'!$E$60/SUM('Overall recycling rates'!$E$60:$E$62)*('BTX Recycling HC'!AC154)-'Overall recycling rates'!$H$60/SUM('Overall recycling rates'!$H$60:$H$62)*('BTX Recycling HC'!AC155)-'Overall recycling rates'!$I$60/SUM('Overall recycling rates'!$I$60:$I$62)*('BTX Recycling HC'!AC156)</f>
        <v>2.435479111373291</v>
      </c>
      <c r="BK85" s="60">
        <f>BK24-'Overall recycling rates'!$G$60/SUM('Overall recycling rates'!$G$60:$G$62)*('BTX Recycling HC'!AD153)-'Overall recycling rates'!$E$60/SUM('Overall recycling rates'!$E$60:$E$62)*('BTX Recycling HC'!AD154)-'Overall recycling rates'!$H$60/SUM('Overall recycling rates'!$H$60:$H$62)*('BTX Recycling HC'!AD155)-'Overall recycling rates'!$I$60/SUM('Overall recycling rates'!$I$60:$I$62)*('BTX Recycling HC'!AD156)</f>
        <v>2.3613540464314005</v>
      </c>
      <c r="BL85" s="60">
        <f>BL24-'Overall recycling rates'!$G$60/SUM('Overall recycling rates'!$G$60:$G$62)*('BTX Recycling HC'!AE153)-'Overall recycling rates'!$E$60/SUM('Overall recycling rates'!$E$60:$E$62)*('BTX Recycling HC'!AE154)-'Overall recycling rates'!$H$60/SUM('Overall recycling rates'!$H$60:$H$62)*('BTX Recycling HC'!AE155)-'Overall recycling rates'!$I$60/SUM('Overall recycling rates'!$I$60:$I$62)*('BTX Recycling HC'!AE156)</f>
        <v>2.2843383098552192</v>
      </c>
      <c r="BM85" s="60">
        <f>BM24-'Overall recycling rates'!$G$60/SUM('Overall recycling rates'!$G$60:$G$62)*('BTX Recycling HC'!AF153)-'Overall recycling rates'!$E$60/SUM('Overall recycling rates'!$E$60:$E$62)*('BTX Recycling HC'!AF154)-'Overall recycling rates'!$H$60/SUM('Overall recycling rates'!$H$60:$H$62)*('BTX Recycling HC'!AF155)-'Overall recycling rates'!$I$60/SUM('Overall recycling rates'!$I$60:$I$62)*('BTX Recycling HC'!AF156)</f>
        <v>2.2045340067731551</v>
      </c>
      <c r="BN85" s="60">
        <f>BN24-'Overall recycling rates'!$G$60/SUM('Overall recycling rates'!$G$60:$G$62)*('BTX Recycling HC'!AG153)-'Overall recycling rates'!$E$60/SUM('Overall recycling rates'!$E$60:$E$62)*('BTX Recycling HC'!AG154)-'Overall recycling rates'!$H$60/SUM('Overall recycling rates'!$H$60:$H$62)*('BTX Recycling HC'!AG155)-'Overall recycling rates'!$I$60/SUM('Overall recycling rates'!$I$60:$I$62)*('BTX Recycling HC'!AG156)</f>
        <v>2.122053025462773</v>
      </c>
    </row>
    <row r="86" spans="1:66" outlineLevel="1" x14ac:dyDescent="0.2">
      <c r="A86" s="682"/>
      <c r="B86" s="1" t="s">
        <v>8</v>
      </c>
      <c r="C86" s="54" t="s">
        <v>153</v>
      </c>
      <c r="D86" s="44">
        <f>D25-'Overall recycling rates'!$G$61/SUM('Overall recycling rates'!$G$60:$G$62)*('BTX Recycling HC'!C153)-'Overall recycling rates'!$E$61/SUM('Overall recycling rates'!$E$60:$E$62)*('BTX Recycling HC'!C154)-'Overall recycling rates'!$H$61/SUM('Overall recycling rates'!$H$60:$H$62)*('BTX Recycling HC'!C155)-'Overall recycling rates'!$I$61/SUM('Overall recycling rates'!$I$60:$I$62)*('BTX Recycling HC'!C156)</f>
        <v>1.1465929107008392</v>
      </c>
      <c r="E86" s="44">
        <f>E25-'Overall recycling rates'!$G$61/SUM('Overall recycling rates'!$G$60:$G$62)*('BTX Recycling HC'!D153)-'Overall recycling rates'!$E$61/SUM('Overall recycling rates'!$E$60:$E$62)*('BTX Recycling HC'!D154)-'Overall recycling rates'!$H$61/SUM('Overall recycling rates'!$H$60:$H$62)*('BTX Recycling HC'!D155)-'Overall recycling rates'!$I$61/SUM('Overall recycling rates'!$I$60:$I$62)*('BTX Recycling HC'!D156)</f>
        <v>1.1547963545507209</v>
      </c>
      <c r="F86" s="44">
        <f>F25-'Overall recycling rates'!$G$61/SUM('Overall recycling rates'!$G$60:$G$62)*('BTX Recycling HC'!E153)-'Overall recycling rates'!$E$61/SUM('Overall recycling rates'!$E$60:$E$62)*('BTX Recycling HC'!E154)-'Overall recycling rates'!$H$61/SUM('Overall recycling rates'!$H$60:$H$62)*('BTX Recycling HC'!E155)-'Overall recycling rates'!$I$61/SUM('Overall recycling rates'!$I$60:$I$62)*('BTX Recycling HC'!E156)</f>
        <v>1.1628774845257188</v>
      </c>
      <c r="G86" s="44">
        <f>G25-'Overall recycling rates'!$G$61/SUM('Overall recycling rates'!$G$60:$G$62)*('BTX Recycling HC'!F153)-'Overall recycling rates'!$E$61/SUM('Overall recycling rates'!$E$60:$E$62)*('BTX Recycling HC'!F154)-'Overall recycling rates'!$H$61/SUM('Overall recycling rates'!$H$60:$H$62)*('BTX Recycling HC'!F155)-'Overall recycling rates'!$I$61/SUM('Overall recycling rates'!$I$60:$I$62)*('BTX Recycling HC'!F156)</f>
        <v>1.170814610548861</v>
      </c>
      <c r="H86" s="44">
        <f>H25-'Overall recycling rates'!$G$61/SUM('Overall recycling rates'!$G$60:$G$62)*('BTX Recycling HC'!G153)-'Overall recycling rates'!$E$61/SUM('Overall recycling rates'!$E$60:$E$62)*('BTX Recycling HC'!G154)-'Overall recycling rates'!$H$61/SUM('Overall recycling rates'!$H$60:$H$62)*('BTX Recycling HC'!G155)-'Overall recycling rates'!$I$61/SUM('Overall recycling rates'!$I$60:$I$62)*('BTX Recycling HC'!G156)</f>
        <v>1.1785860942468256</v>
      </c>
      <c r="I86" s="44">
        <f>I25-'Overall recycling rates'!$G$61/SUM('Overall recycling rates'!$G$60:$G$62)*('BTX Recycling HC'!H153)-'Overall recycling rates'!$E$61/SUM('Overall recycling rates'!$E$60:$E$62)*('BTX Recycling HC'!H154)-'Overall recycling rates'!$H$61/SUM('Overall recycling rates'!$H$60:$H$62)*('BTX Recycling HC'!H155)-'Overall recycling rates'!$I$61/SUM('Overall recycling rates'!$I$60:$I$62)*('BTX Recycling HC'!H156)</f>
        <v>1.186170775391814</v>
      </c>
      <c r="J86" s="44">
        <f>J25-'Overall recycling rates'!$G$61/SUM('Overall recycling rates'!$G$60:$G$62)*('BTX Recycling HC'!I153)-'Overall recycling rates'!$E$61/SUM('Overall recycling rates'!$E$60:$E$62)*('BTX Recycling HC'!I154)-'Overall recycling rates'!$H$61/SUM('Overall recycling rates'!$H$60:$H$62)*('BTX Recycling HC'!I155)-'Overall recycling rates'!$I$61/SUM('Overall recycling rates'!$I$60:$I$62)*('BTX Recycling HC'!I156)</f>
        <v>1.1935363478819099</v>
      </c>
      <c r="K86" s="44">
        <f>K25-'Overall recycling rates'!$G$61/SUM('Overall recycling rates'!$G$60:$G$62)*('BTX Recycling HC'!J153)-'Overall recycling rates'!$E$61/SUM('Overall recycling rates'!$E$60:$E$62)*('BTX Recycling HC'!J154)-'Overall recycling rates'!$H$61/SUM('Overall recycling rates'!$H$60:$H$62)*('BTX Recycling HC'!J155)-'Overall recycling rates'!$I$61/SUM('Overall recycling rates'!$I$60:$I$62)*('BTX Recycling HC'!J156)</f>
        <v>1.2006535606187045</v>
      </c>
      <c r="L86" s="44">
        <f>L25-'Overall recycling rates'!$G$61/SUM('Overall recycling rates'!$G$60:$G$62)*('BTX Recycling HC'!K153)-'Overall recycling rates'!$E$61/SUM('Overall recycling rates'!$E$60:$E$62)*('BTX Recycling HC'!K154)-'Overall recycling rates'!$H$61/SUM('Overall recycling rates'!$H$60:$H$62)*('BTX Recycling HC'!K155)-'Overall recycling rates'!$I$61/SUM('Overall recycling rates'!$I$60:$I$62)*('BTX Recycling HC'!K156)</f>
        <v>1.2074914216511816</v>
      </c>
      <c r="M86" s="44">
        <f>M25-'Overall recycling rates'!$G$61/SUM('Overall recycling rates'!$G$60:$G$62)*('BTX Recycling HC'!L153)-'Overall recycling rates'!$E$61/SUM('Overall recycling rates'!$E$60:$E$62)*('BTX Recycling HC'!L154)-'Overall recycling rates'!$H$61/SUM('Overall recycling rates'!$H$60:$H$62)*('BTX Recycling HC'!L155)-'Overall recycling rates'!$I$61/SUM('Overall recycling rates'!$I$60:$I$62)*('BTX Recycling HC'!L156)</f>
        <v>1.2140171948879586</v>
      </c>
      <c r="N86" s="44">
        <f>N25-'Overall recycling rates'!$G$61/SUM('Overall recycling rates'!$G$60:$G$62)*('BTX Recycling HC'!M153)-'Overall recycling rates'!$E$61/SUM('Overall recycling rates'!$E$60:$E$62)*('BTX Recycling HC'!M154)-'Overall recycling rates'!$H$61/SUM('Overall recycling rates'!$H$60:$H$62)*('BTX Recycling HC'!M155)-'Overall recycling rates'!$I$61/SUM('Overall recycling rates'!$I$60:$I$62)*('BTX Recycling HC'!M156)</f>
        <v>1.2201964046873974</v>
      </c>
      <c r="O86" s="44">
        <f>O25-'Overall recycling rates'!$G$61/SUM('Overall recycling rates'!$G$60:$G$62)*('BTX Recycling HC'!N153)-'Overall recycling rates'!$E$61/SUM('Overall recycling rates'!$E$60:$E$62)*('BTX Recycling HC'!N154)-'Overall recycling rates'!$H$61/SUM('Overall recycling rates'!$H$60:$H$62)*('BTX Recycling HC'!N155)-'Overall recycling rates'!$I$61/SUM('Overall recycling rates'!$I$60:$I$62)*('BTX Recycling HC'!N156)</f>
        <v>1.2140942549974012</v>
      </c>
      <c r="P86" s="44">
        <f>P25-'Overall recycling rates'!$G$61/SUM('Overall recycling rates'!$G$60:$G$62)*('BTX Recycling HC'!O153)-'Overall recycling rates'!$E$61/SUM('Overall recycling rates'!$E$60:$E$62)*('BTX Recycling HC'!O154)-'Overall recycling rates'!$H$61/SUM('Overall recycling rates'!$H$60:$H$62)*('BTX Recycling HC'!O155)-'Overall recycling rates'!$I$61/SUM('Overall recycling rates'!$I$60:$I$62)*('BTX Recycling HC'!O156)</f>
        <v>1.2068797493933212</v>
      </c>
      <c r="Q86" s="44">
        <f>Q25-'Overall recycling rates'!$G$61/SUM('Overall recycling rates'!$G$60:$G$62)*('BTX Recycling HC'!P153)-'Overall recycling rates'!$E$61/SUM('Overall recycling rates'!$E$60:$E$62)*('BTX Recycling HC'!P154)-'Overall recycling rates'!$H$61/SUM('Overall recycling rates'!$H$60:$H$62)*('BTX Recycling HC'!P155)-'Overall recycling rates'!$I$61/SUM('Overall recycling rates'!$I$60:$I$62)*('BTX Recycling HC'!P156)</f>
        <v>1.1985949017371718</v>
      </c>
      <c r="R86" s="44">
        <f>R25-'Overall recycling rates'!$G$61/SUM('Overall recycling rates'!$G$60:$G$62)*('BTX Recycling HC'!Q153)-'Overall recycling rates'!$E$61/SUM('Overall recycling rates'!$E$60:$E$62)*('BTX Recycling HC'!Q154)-'Overall recycling rates'!$H$61/SUM('Overall recycling rates'!$H$60:$H$62)*('BTX Recycling HC'!Q155)-'Overall recycling rates'!$I$61/SUM('Overall recycling rates'!$I$60:$I$62)*('BTX Recycling HC'!Q156)</f>
        <v>1.1891330049365685</v>
      </c>
      <c r="S86" s="44">
        <f>S25-'Overall recycling rates'!$G$61/SUM('Overall recycling rates'!$G$60:$G$62)*('BTX Recycling HC'!R153)-'Overall recycling rates'!$E$61/SUM('Overall recycling rates'!$E$60:$E$62)*('BTX Recycling HC'!R154)-'Overall recycling rates'!$H$61/SUM('Overall recycling rates'!$H$60:$H$62)*('BTX Recycling HC'!R155)-'Overall recycling rates'!$I$61/SUM('Overall recycling rates'!$I$60:$I$62)*('BTX Recycling HC'!R156)</f>
        <v>1.1784552200707026</v>
      </c>
      <c r="T86" s="44">
        <f>T25-'Overall recycling rates'!$G$61/SUM('Overall recycling rates'!$G$60:$G$62)*('BTX Recycling HC'!S153)-'Overall recycling rates'!$E$61/SUM('Overall recycling rates'!$E$60:$E$62)*('BTX Recycling HC'!S154)-'Overall recycling rates'!$H$61/SUM('Overall recycling rates'!$H$60:$H$62)*('BTX Recycling HC'!S155)-'Overall recycling rates'!$I$61/SUM('Overall recycling rates'!$I$60:$I$62)*('BTX Recycling HC'!S156)</f>
        <v>1.1664382308158503</v>
      </c>
      <c r="U86" s="44">
        <f>U25-'Overall recycling rates'!$G$61/SUM('Overall recycling rates'!$G$60:$G$62)*('BTX Recycling HC'!T153)-'Overall recycling rates'!$E$61/SUM('Overall recycling rates'!$E$60:$E$62)*('BTX Recycling HC'!T154)-'Overall recycling rates'!$H$61/SUM('Overall recycling rates'!$H$60:$H$62)*('BTX Recycling HC'!T155)-'Overall recycling rates'!$I$61/SUM('Overall recycling rates'!$I$60:$I$62)*('BTX Recycling HC'!T156)</f>
        <v>1.153008686660818</v>
      </c>
      <c r="V86" s="44">
        <f>V25-'Overall recycling rates'!$G$61/SUM('Overall recycling rates'!$G$60:$G$62)*('BTX Recycling HC'!U153)-'Overall recycling rates'!$E$61/SUM('Overall recycling rates'!$E$60:$E$62)*('BTX Recycling HC'!U154)-'Overall recycling rates'!$H$61/SUM('Overall recycling rates'!$H$60:$H$62)*('BTX Recycling HC'!U155)-'Overall recycling rates'!$I$61/SUM('Overall recycling rates'!$I$60:$I$62)*('BTX Recycling HC'!U156)</f>
        <v>1.1380911605429902</v>
      </c>
      <c r="W86" s="44">
        <f>W25-'Overall recycling rates'!$G$61/SUM('Overall recycling rates'!$G$60:$G$62)*('BTX Recycling HC'!V153)-'Overall recycling rates'!$E$61/SUM('Overall recycling rates'!$E$60:$E$62)*('BTX Recycling HC'!V154)-'Overall recycling rates'!$H$61/SUM('Overall recycling rates'!$H$60:$H$62)*('BTX Recycling HC'!V155)-'Overall recycling rates'!$I$61/SUM('Overall recycling rates'!$I$60:$I$62)*('BTX Recycling HC'!V156)</f>
        <v>1.1216081787509704</v>
      </c>
      <c r="X86" s="44">
        <f>X25-'Overall recycling rates'!$G$61/SUM('Overall recycling rates'!$G$60:$G$62)*('BTX Recycling HC'!W153)-'Overall recycling rates'!$E$61/SUM('Overall recycling rates'!$E$60:$E$62)*('BTX Recycling HC'!W154)-'Overall recycling rates'!$H$61/SUM('Overall recycling rates'!$H$60:$H$62)*('BTX Recycling HC'!W155)-'Overall recycling rates'!$I$61/SUM('Overall recycling rates'!$I$60:$I$62)*('BTX Recycling HC'!W156)</f>
        <v>1.1034802551582381</v>
      </c>
      <c r="Y86" s="44">
        <f>Y25-'Overall recycling rates'!$G$61/SUM('Overall recycling rates'!$G$60:$G$62)*('BTX Recycling HC'!X153)-'Overall recycling rates'!$E$61/SUM('Overall recycling rates'!$E$60:$E$62)*('BTX Recycling HC'!X154)-'Overall recycling rates'!$H$61/SUM('Overall recycling rates'!$H$60:$H$62)*('BTX Recycling HC'!X155)-'Overall recycling rates'!$I$61/SUM('Overall recycling rates'!$I$60:$I$62)*('BTX Recycling HC'!X156)</f>
        <v>1.0522878601311429</v>
      </c>
      <c r="Z86" s="44">
        <f>Z25-'Overall recycling rates'!$G$61/SUM('Overall recycling rates'!$G$60:$G$62)*('BTX Recycling HC'!Y153)-'Overall recycling rates'!$E$61/SUM('Overall recycling rates'!$E$60:$E$62)*('BTX Recycling HC'!Y154)-'Overall recycling rates'!$H$61/SUM('Overall recycling rates'!$H$60:$H$62)*('BTX Recycling HC'!Y155)-'Overall recycling rates'!$I$61/SUM('Overall recycling rates'!$I$60:$I$62)*('BTX Recycling HC'!Y156)</f>
        <v>0.9980068803702189</v>
      </c>
      <c r="AA86" s="44">
        <f>AA25-'Overall recycling rates'!$G$61/SUM('Overall recycling rates'!$G$60:$G$62)*('BTX Recycling HC'!Z153)-'Overall recycling rates'!$E$61/SUM('Overall recycling rates'!$E$60:$E$62)*('BTX Recycling HC'!Z154)-'Overall recycling rates'!$H$61/SUM('Overall recycling rates'!$H$60:$H$62)*('BTX Recycling HC'!Z155)-'Overall recycling rates'!$I$61/SUM('Overall recycling rates'!$I$60:$I$62)*('BTX Recycling HC'!Z156)</f>
        <v>0.94179813628765374</v>
      </c>
      <c r="AB86" s="44">
        <f>AB25-'Overall recycling rates'!$G$61/SUM('Overall recycling rates'!$G$60:$G$62)*('BTX Recycling HC'!AA153)-'Overall recycling rates'!$E$61/SUM('Overall recycling rates'!$E$60:$E$62)*('BTX Recycling HC'!AA154)-'Overall recycling rates'!$H$61/SUM('Overall recycling rates'!$H$60:$H$62)*('BTX Recycling HC'!AA155)-'Overall recycling rates'!$I$61/SUM('Overall recycling rates'!$I$60:$I$62)*('BTX Recycling HC'!AA156)</f>
        <v>0.88265939726386122</v>
      </c>
      <c r="AC86" s="44">
        <f>AC25-'Overall recycling rates'!$G$61/SUM('Overall recycling rates'!$G$60:$G$62)*('BTX Recycling HC'!AB153)-'Overall recycling rates'!$E$61/SUM('Overall recycling rates'!$E$60:$E$62)*('BTX Recycling HC'!AB154)-'Overall recycling rates'!$H$61/SUM('Overall recycling rates'!$H$60:$H$62)*('BTX Recycling HC'!AB155)-'Overall recycling rates'!$I$61/SUM('Overall recycling rates'!$I$60:$I$62)*('BTX Recycling HC'!AB156)</f>
        <v>0.82051898316442295</v>
      </c>
      <c r="AD86" s="44">
        <f>AD25-'Overall recycling rates'!$G$61/SUM('Overall recycling rates'!$G$60:$G$62)*('BTX Recycling HC'!AC153)-'Overall recycling rates'!$E$61/SUM('Overall recycling rates'!$E$60:$E$62)*('BTX Recycling HC'!AC154)-'Overall recycling rates'!$H$61/SUM('Overall recycling rates'!$H$60:$H$62)*('BTX Recycling HC'!AC155)-'Overall recycling rates'!$I$61/SUM('Overall recycling rates'!$I$60:$I$62)*('BTX Recycling HC'!AC156)</f>
        <v>0.75530766292064055</v>
      </c>
      <c r="AE86" s="44">
        <f>AE25-'Overall recycling rates'!$G$61/SUM('Overall recycling rates'!$G$60:$G$62)*('BTX Recycling HC'!AD153)-'Overall recycling rates'!$E$61/SUM('Overall recycling rates'!$E$60:$E$62)*('BTX Recycling HC'!AD154)-'Overall recycling rates'!$H$61/SUM('Overall recycling rates'!$H$60:$H$62)*('BTX Recycling HC'!AD155)-'Overall recycling rates'!$I$61/SUM('Overall recycling rates'!$I$60:$I$62)*('BTX Recycling HC'!AD156)</f>
        <v>0.68696262530328944</v>
      </c>
      <c r="AF86" s="44">
        <f>AF25-'Overall recycling rates'!$G$61/SUM('Overall recycling rates'!$G$60:$G$62)*('BTX Recycling HC'!AE153)-'Overall recycling rates'!$E$61/SUM('Overall recycling rates'!$E$60:$E$62)*('BTX Recycling HC'!AE154)-'Overall recycling rates'!$H$61/SUM('Overall recycling rates'!$H$60:$H$62)*('BTX Recycling HC'!AE155)-'Overall recycling rates'!$I$61/SUM('Overall recycling rates'!$I$60:$I$62)*('BTX Recycling HC'!AE156)</f>
        <v>0.61542663636917883</v>
      </c>
      <c r="AG86" s="44">
        <f>AG25-'Overall recycling rates'!$G$61/SUM('Overall recycling rates'!$G$60:$G$62)*('BTX Recycling HC'!AF153)-'Overall recycling rates'!$E$61/SUM('Overall recycling rates'!$E$60:$E$62)*('BTX Recycling HC'!AF154)-'Overall recycling rates'!$H$61/SUM('Overall recycling rates'!$H$60:$H$62)*('BTX Recycling HC'!AF155)-'Overall recycling rates'!$I$61/SUM('Overall recycling rates'!$I$60:$I$62)*('BTX Recycling HC'!AF156)</f>
        <v>0.54064863947966724</v>
      </c>
      <c r="AH86" s="44">
        <f>AH25-'Overall recycling rates'!$G$61/SUM('Overall recycling rates'!$G$60:$G$62)*('BTX Recycling HC'!AG153)-'Overall recycling rates'!$E$61/SUM('Overall recycling rates'!$E$60:$E$62)*('BTX Recycling HC'!AG154)-'Overall recycling rates'!$H$61/SUM('Overall recycling rates'!$H$60:$H$62)*('BTX Recycling HC'!AG155)-'Overall recycling rates'!$I$61/SUM('Overall recycling rates'!$I$60:$I$62)*('BTX Recycling HC'!AG156)</f>
        <v>0.46258437760403803</v>
      </c>
      <c r="AJ86" s="44">
        <f>AJ25-'Overall recycling rates'!$G$61/SUM('Overall recycling rates'!$G$60:$G$62)*('BTX Recycling HC'!C153)-'Overall recycling rates'!$E$61/SUM('Overall recycling rates'!$E$60:$E$62)*('BTX Recycling HC'!C154)-'Overall recycling rates'!$H$61/SUM('Overall recycling rates'!$H$60:$H$62)*('BTX Recycling HC'!C155)-'Overall recycling rates'!$I$61/SUM('Overall recycling rates'!$I$60:$I$62)*('BTX Recycling HC'!C156)</f>
        <v>1.1465929107008392</v>
      </c>
      <c r="AK86" s="44">
        <f>AK25-'Overall recycling rates'!$G$61/SUM('Overall recycling rates'!$G$60:$G$62)*('BTX Recycling HC'!D153)-'Overall recycling rates'!$E$61/SUM('Overall recycling rates'!$E$60:$E$62)*('BTX Recycling HC'!D154)-'Overall recycling rates'!$H$61/SUM('Overall recycling rates'!$H$60:$H$62)*('BTX Recycling HC'!D155)-'Overall recycling rates'!$I$61/SUM('Overall recycling rates'!$I$60:$I$62)*('BTX Recycling HC'!D156)</f>
        <v>1.1579323304354894</v>
      </c>
      <c r="AL86" s="44">
        <f>AL25-'Overall recycling rates'!$G$61/SUM('Overall recycling rates'!$G$60:$G$62)*('BTX Recycling HC'!E153)-'Overall recycling rates'!$E$61/SUM('Overall recycling rates'!$E$60:$E$62)*('BTX Recycling HC'!E154)-'Overall recycling rates'!$H$61/SUM('Overall recycling rates'!$H$60:$H$62)*('BTX Recycling HC'!E155)-'Overall recycling rates'!$I$61/SUM('Overall recycling rates'!$I$60:$I$62)*('BTX Recycling HC'!E156)</f>
        <v>1.1692308037588344</v>
      </c>
      <c r="AM86" s="44">
        <f>AM25-'Overall recycling rates'!$G$61/SUM('Overall recycling rates'!$G$60:$G$62)*('BTX Recycling HC'!F153)-'Overall recycling rates'!$E$61/SUM('Overall recycling rates'!$E$60:$E$62)*('BTX Recycling HC'!F154)-'Overall recycling rates'!$H$61/SUM('Overall recycling rates'!$H$60:$H$62)*('BTX Recycling HC'!F155)-'Overall recycling rates'!$I$61/SUM('Overall recycling rates'!$I$60:$I$62)*('BTX Recycling HC'!F156)</f>
        <v>1.1804681856845698</v>
      </c>
      <c r="AN86" s="44">
        <f>AN25-'Overall recycling rates'!$G$61/SUM('Overall recycling rates'!$G$60:$G$62)*('BTX Recycling HC'!G153)-'Overall recycling rates'!$E$61/SUM('Overall recycling rates'!$E$60:$E$62)*('BTX Recycling HC'!G154)-'Overall recycling rates'!$H$61/SUM('Overall recycling rates'!$H$60:$H$62)*('BTX Recycling HC'!G155)-'Overall recycling rates'!$I$61/SUM('Overall recycling rates'!$I$60:$I$62)*('BTX Recycling HC'!G156)</f>
        <v>1.1916244085373369</v>
      </c>
      <c r="AO86" s="44">
        <f>AO25-'Overall recycling rates'!$G$61/SUM('Overall recycling rates'!$G$60:$G$62)*('BTX Recycling HC'!H153)-'Overall recycling rates'!$E$61/SUM('Overall recycling rates'!$E$60:$E$62)*('BTX Recycling HC'!H154)-'Overall recycling rates'!$H$61/SUM('Overall recycling rates'!$H$60:$H$62)*('BTX Recycling HC'!H155)-'Overall recycling rates'!$I$61/SUM('Overall recycling rates'!$I$60:$I$62)*('BTX Recycling HC'!H156)</f>
        <v>1.2026799087868716</v>
      </c>
      <c r="AP86" s="44">
        <f>AP25-'Overall recycling rates'!$G$61/SUM('Overall recycling rates'!$G$60:$G$62)*('BTX Recycling HC'!I153)-'Overall recycling rates'!$E$61/SUM('Overall recycling rates'!$E$60:$E$62)*('BTX Recycling HC'!I154)-'Overall recycling rates'!$H$61/SUM('Overall recycling rates'!$H$60:$H$62)*('BTX Recycling HC'!I155)-'Overall recycling rates'!$I$61/SUM('Overall recycling rates'!$I$60:$I$62)*('BTX Recycling HC'!I156)</f>
        <v>1.2136040034263378</v>
      </c>
      <c r="AQ86" s="44">
        <f>AQ25-'Overall recycling rates'!$G$61/SUM('Overall recycling rates'!$G$60:$G$62)*('BTX Recycling HC'!J153)-'Overall recycling rates'!$E$61/SUM('Overall recycling rates'!$E$60:$E$62)*('BTX Recycling HC'!J154)-'Overall recycling rates'!$H$61/SUM('Overall recycling rates'!$H$60:$H$62)*('BTX Recycling HC'!J155)-'Overall recycling rates'!$I$61/SUM('Overall recycling rates'!$I$60:$I$62)*('BTX Recycling HC'!J156)</f>
        <v>1.2243690912537168</v>
      </c>
      <c r="AR86" s="44">
        <f>AR25-'Overall recycling rates'!$G$61/SUM('Overall recycling rates'!$G$60:$G$62)*('BTX Recycling HC'!K153)-'Overall recycling rates'!$E$61/SUM('Overall recycling rates'!$E$60:$E$62)*('BTX Recycling HC'!K154)-'Overall recycling rates'!$H$61/SUM('Overall recycling rates'!$H$60:$H$62)*('BTX Recycling HC'!K155)-'Overall recycling rates'!$I$61/SUM('Overall recycling rates'!$I$60:$I$62)*('BTX Recycling HC'!K156)</f>
        <v>1.234945857425316</v>
      </c>
      <c r="AS86" s="44">
        <f>AS25-'Overall recycling rates'!$G$61/SUM('Overall recycling rates'!$G$60:$G$62)*('BTX Recycling HC'!L153)-'Overall recycling rates'!$E$61/SUM('Overall recycling rates'!$E$60:$E$62)*('BTX Recycling HC'!L154)-'Overall recycling rates'!$H$61/SUM('Overall recycling rates'!$H$60:$H$62)*('BTX Recycling HC'!L155)-'Overall recycling rates'!$I$61/SUM('Overall recycling rates'!$I$60:$I$62)*('BTX Recycling HC'!L156)</f>
        <v>1.2453032705835851</v>
      </c>
      <c r="AT86" s="44">
        <f>AT25-'Overall recycling rates'!$G$61/SUM('Overall recycling rates'!$G$60:$G$62)*('BTX Recycling HC'!M153)-'Overall recycling rates'!$E$61/SUM('Overall recycling rates'!$E$60:$E$62)*('BTX Recycling HC'!M154)-'Overall recycling rates'!$H$61/SUM('Overall recycling rates'!$H$60:$H$62)*('BTX Recycling HC'!M155)-'Overall recycling rates'!$I$61/SUM('Overall recycling rates'!$I$60:$I$62)*('BTX Recycling HC'!M156)</f>
        <v>1.2554085878688275</v>
      </c>
      <c r="AU86" s="44">
        <f>AU25-'Overall recycling rates'!$G$61/SUM('Overall recycling rates'!$G$60:$G$62)*('BTX Recycling HC'!N153)-'Overall recycling rates'!$E$61/SUM('Overall recycling rates'!$E$60:$E$62)*('BTX Recycling HC'!N154)-'Overall recycling rates'!$H$61/SUM('Overall recycling rates'!$H$60:$H$62)*('BTX Recycling HC'!N155)-'Overall recycling rates'!$I$61/SUM('Overall recycling rates'!$I$60:$I$62)*('BTX Recycling HC'!N156)</f>
        <v>1.2605984332748512</v>
      </c>
      <c r="AV86" s="44">
        <f>AV25-'Overall recycling rates'!$G$61/SUM('Overall recycling rates'!$G$60:$G$62)*('BTX Recycling HC'!O153)-'Overall recycling rates'!$E$61/SUM('Overall recycling rates'!$E$60:$E$62)*('BTX Recycling HC'!O154)-'Overall recycling rates'!$H$61/SUM('Overall recycling rates'!$H$60:$H$62)*('BTX Recycling HC'!O155)-'Overall recycling rates'!$I$61/SUM('Overall recycling rates'!$I$60:$I$62)*('BTX Recycling HC'!O156)</f>
        <v>1.2650249590683129</v>
      </c>
      <c r="AW86" s="44">
        <f>AW25-'Overall recycling rates'!$G$61/SUM('Overall recycling rates'!$G$60:$G$62)*('BTX Recycling HC'!P153)-'Overall recycling rates'!$E$61/SUM('Overall recycling rates'!$E$60:$E$62)*('BTX Recycling HC'!P154)-'Overall recycling rates'!$H$61/SUM('Overall recycling rates'!$H$60:$H$62)*('BTX Recycling HC'!P155)-'Overall recycling rates'!$I$61/SUM('Overall recycling rates'!$I$60:$I$62)*('BTX Recycling HC'!P156)</f>
        <v>1.2687376310705314</v>
      </c>
      <c r="AX86" s="44">
        <f>AX25-'Overall recycling rates'!$G$61/SUM('Overall recycling rates'!$G$60:$G$62)*('BTX Recycling HC'!Q153)-'Overall recycling rates'!$E$61/SUM('Overall recycling rates'!$E$60:$E$62)*('BTX Recycling HC'!Q154)-'Overall recycling rates'!$H$61/SUM('Overall recycling rates'!$H$60:$H$62)*('BTX Recycling HC'!Q155)-'Overall recycling rates'!$I$61/SUM('Overall recycling rates'!$I$60:$I$62)*('BTX Recycling HC'!Q156)</f>
        <v>1.2716373282385851</v>
      </c>
      <c r="AY86" s="44">
        <f>AY25-'Overall recycling rates'!$G$61/SUM('Overall recycling rates'!$G$60:$G$62)*('BTX Recycling HC'!R153)-'Overall recycling rates'!$E$61/SUM('Overall recycling rates'!$E$60:$E$62)*('BTX Recycling HC'!R154)-'Overall recycling rates'!$H$61/SUM('Overall recycling rates'!$H$60:$H$62)*('BTX Recycling HC'!R155)-'Overall recycling rates'!$I$61/SUM('Overall recycling rates'!$I$60:$I$62)*('BTX Recycling HC'!R156)</f>
        <v>1.2736929339740868</v>
      </c>
      <c r="AZ86" s="44">
        <f>AZ25-'Overall recycling rates'!$G$61/SUM('Overall recycling rates'!$G$60:$G$62)*('BTX Recycling HC'!S153)-'Overall recycling rates'!$E$61/SUM('Overall recycling rates'!$E$60:$E$62)*('BTX Recycling HC'!S154)-'Overall recycling rates'!$H$61/SUM('Overall recycling rates'!$H$60:$H$62)*('BTX Recycling HC'!S155)-'Overall recycling rates'!$I$61/SUM('Overall recycling rates'!$I$60:$I$62)*('BTX Recycling HC'!S156)</f>
        <v>1.2747889927647513</v>
      </c>
      <c r="BA86" s="44">
        <f>BA25-'Overall recycling rates'!$G$61/SUM('Overall recycling rates'!$G$60:$G$62)*('BTX Recycling HC'!T153)-'Overall recycling rates'!$E$61/SUM('Overall recycling rates'!$E$60:$E$62)*('BTX Recycling HC'!T154)-'Overall recycling rates'!$H$61/SUM('Overall recycling rates'!$H$60:$H$62)*('BTX Recycling HC'!T155)-'Overall recycling rates'!$I$61/SUM('Overall recycling rates'!$I$60:$I$62)*('BTX Recycling HC'!T156)</f>
        <v>1.2748601556496415</v>
      </c>
      <c r="BB86" s="44">
        <f>BB25-'Overall recycling rates'!$G$61/SUM('Overall recycling rates'!$G$60:$G$62)*('BTX Recycling HC'!U153)-'Overall recycling rates'!$E$61/SUM('Overall recycling rates'!$E$60:$E$62)*('BTX Recycling HC'!U154)-'Overall recycling rates'!$H$61/SUM('Overall recycling rates'!$H$60:$H$62)*('BTX Recycling HC'!U155)-'Overall recycling rates'!$I$61/SUM('Overall recycling rates'!$I$60:$I$62)*('BTX Recycling HC'!U156)</f>
        <v>1.2738391401392495</v>
      </c>
      <c r="BC86" s="44">
        <f>BC25-'Overall recycling rates'!$G$61/SUM('Overall recycling rates'!$G$60:$G$62)*('BTX Recycling HC'!V153)-'Overall recycling rates'!$E$61/SUM('Overall recycling rates'!$E$60:$E$62)*('BTX Recycling HC'!V154)-'Overall recycling rates'!$H$61/SUM('Overall recycling rates'!$H$60:$H$62)*('BTX Recycling HC'!V155)-'Overall recycling rates'!$I$61/SUM('Overall recycling rates'!$I$60:$I$62)*('BTX Recycling HC'!V156)</f>
        <v>1.2716567624368991</v>
      </c>
      <c r="BD86" s="44">
        <f>BD25-'Overall recycling rates'!$G$61/SUM('Overall recycling rates'!$G$60:$G$62)*('BTX Recycling HC'!W153)-'Overall recycling rates'!$E$61/SUM('Overall recycling rates'!$E$60:$E$62)*('BTX Recycling HC'!W154)-'Overall recycling rates'!$H$61/SUM('Overall recycling rates'!$H$60:$H$62)*('BTX Recycling HC'!W155)-'Overall recycling rates'!$I$61/SUM('Overall recycling rates'!$I$60:$I$62)*('BTX Recycling HC'!W156)</f>
        <v>1.2682419740263937</v>
      </c>
      <c r="BE86" s="44">
        <f>BE25-'Overall recycling rates'!$G$61/SUM('Overall recycling rates'!$G$60:$G$62)*('BTX Recycling HC'!X153)-'Overall recycling rates'!$E$61/SUM('Overall recycling rates'!$E$60:$E$62)*('BTX Recycling HC'!X154)-'Overall recycling rates'!$H$61/SUM('Overall recycling rates'!$H$60:$H$62)*('BTX Recycling HC'!X155)-'Overall recycling rates'!$I$61/SUM('Overall recycling rates'!$I$60:$I$62)*('BTX Recycling HC'!X156)</f>
        <v>1.2443766741358606</v>
      </c>
      <c r="BF86" s="44">
        <f>BF25-'Overall recycling rates'!$G$61/SUM('Overall recycling rates'!$G$60:$G$62)*('BTX Recycling HC'!Y153)-'Overall recycling rates'!$E$61/SUM('Overall recycling rates'!$E$60:$E$62)*('BTX Recycling HC'!Y154)-'Overall recycling rates'!$H$61/SUM('Overall recycling rates'!$H$60:$H$62)*('BTX Recycling HC'!Y155)-'Overall recycling rates'!$I$61/SUM('Overall recycling rates'!$I$60:$I$62)*('BTX Recycling HC'!Y156)</f>
        <v>1.2181434085691354</v>
      </c>
      <c r="BG86" s="44">
        <f>BG25-'Overall recycling rates'!$G$61/SUM('Overall recycling rates'!$G$60:$G$62)*('BTX Recycling HC'!Z153)-'Overall recycling rates'!$E$61/SUM('Overall recycling rates'!$E$60:$E$62)*('BTX Recycling HC'!Z154)-'Overall recycling rates'!$H$61/SUM('Overall recycling rates'!$H$60:$H$62)*('BTX Recycling HC'!Z155)-'Overall recycling rates'!$I$61/SUM('Overall recycling rates'!$I$60:$I$62)*('BTX Recycling HC'!Z156)</f>
        <v>1.1907170589113647</v>
      </c>
      <c r="BH86" s="44">
        <f>BH25-'Overall recycling rates'!$G$61/SUM('Overall recycling rates'!$G$60:$G$62)*('BTX Recycling HC'!AA153)-'Overall recycling rates'!$E$61/SUM('Overall recycling rates'!$E$60:$E$62)*('BTX Recycling HC'!AA154)-'Overall recycling rates'!$H$61/SUM('Overall recycling rates'!$H$60:$H$62)*('BTX Recycling HC'!AA155)-'Overall recycling rates'!$I$61/SUM('Overall recycling rates'!$I$60:$I$62)*('BTX Recycling HC'!AA156)</f>
        <v>1.1611096943169592</v>
      </c>
      <c r="BI86" s="44">
        <f>BI25-'Overall recycling rates'!$G$61/SUM('Overall recycling rates'!$G$60:$G$62)*('BTX Recycling HC'!AB153)-'Overall recycling rates'!$E$61/SUM('Overall recycling rates'!$E$60:$E$62)*('BTX Recycling HC'!AB154)-'Overall recycling rates'!$H$61/SUM('Overall recycling rates'!$H$60:$H$62)*('BTX Recycling HC'!AB155)-'Overall recycling rates'!$I$61/SUM('Overall recycling rates'!$I$60:$I$62)*('BTX Recycling HC'!AB156)</f>
        <v>1.1292641767530665</v>
      </c>
      <c r="BJ86" s="44">
        <f>BJ25-'Overall recycling rates'!$G$61/SUM('Overall recycling rates'!$G$60:$G$62)*('BTX Recycling HC'!AC153)-'Overall recycling rates'!$E$61/SUM('Overall recycling rates'!$E$60:$E$62)*('BTX Recycling HC'!AC154)-'Overall recycling rates'!$H$61/SUM('Overall recycling rates'!$H$60:$H$62)*('BTX Recycling HC'!AC155)-'Overall recycling rates'!$I$61/SUM('Overall recycling rates'!$I$60:$I$62)*('BTX Recycling HC'!AC156)</f>
        <v>1.0951260633617101</v>
      </c>
      <c r="BK86" s="44">
        <f>BK25-'Overall recycling rates'!$G$61/SUM('Overall recycling rates'!$G$60:$G$62)*('BTX Recycling HC'!AD153)-'Overall recycling rates'!$E$61/SUM('Overall recycling rates'!$E$60:$E$62)*('BTX Recycling HC'!AD154)-'Overall recycling rates'!$H$61/SUM('Overall recycling rates'!$H$60:$H$62)*('BTX Recycling HC'!AD155)-'Overall recycling rates'!$I$61/SUM('Overall recycling rates'!$I$60:$I$62)*('BTX Recycling HC'!AD156)</f>
        <v>1.0586475810709675</v>
      </c>
      <c r="BL86" s="44">
        <f>BL25-'Overall recycling rates'!$G$61/SUM('Overall recycling rates'!$G$60:$G$62)*('BTX Recycling HC'!AE153)-'Overall recycling rates'!$E$61/SUM('Overall recycling rates'!$E$60:$E$62)*('BTX Recycling HC'!AE154)-'Overall recycling rates'!$H$61/SUM('Overall recycling rates'!$H$60:$H$62)*('BTX Recycling HC'!AE155)-'Overall recycling rates'!$I$61/SUM('Overall recycling rates'!$I$60:$I$62)*('BTX Recycling HC'!AE156)</f>
        <v>1.0197867879355789</v>
      </c>
      <c r="BM86" s="44">
        <f>BM25-'Overall recycling rates'!$G$61/SUM('Overall recycling rates'!$G$60:$G$62)*('BTX Recycling HC'!AF153)-'Overall recycling rates'!$E$61/SUM('Overall recycling rates'!$E$60:$E$62)*('BTX Recycling HC'!AF154)-'Overall recycling rates'!$H$61/SUM('Overall recycling rates'!$H$60:$H$62)*('BTX Recycling HC'!AF155)-'Overall recycling rates'!$I$61/SUM('Overall recycling rates'!$I$60:$I$62)*('BTX Recycling HC'!AF156)</f>
        <v>0.97850817710694371</v>
      </c>
      <c r="BN86" s="44">
        <f>BN25-'Overall recycling rates'!$G$61/SUM('Overall recycling rates'!$G$60:$G$62)*('BTX Recycling HC'!AG153)-'Overall recycling rates'!$E$61/SUM('Overall recycling rates'!$E$60:$E$62)*('BTX Recycling HC'!AG154)-'Overall recycling rates'!$H$61/SUM('Overall recycling rates'!$H$60:$H$62)*('BTX Recycling HC'!AG155)-'Overall recycling rates'!$I$61/SUM('Overall recycling rates'!$I$60:$I$62)*('BTX Recycling HC'!AG156)</f>
        <v>0.93478330314622426</v>
      </c>
    </row>
    <row r="87" spans="1:66" s="68" customFormat="1" outlineLevel="1" x14ac:dyDescent="0.2">
      <c r="A87" s="683"/>
      <c r="B87" s="62" t="s">
        <v>166</v>
      </c>
      <c r="C87" s="283" t="s">
        <v>153</v>
      </c>
      <c r="D87" s="284">
        <f>D26-'Overall recycling rates'!$G$62/SUM('Overall recycling rates'!$G$60:$G$62)*('BTX Recycling HC'!C153)-'Overall recycling rates'!$E$62/SUM('Overall recycling rates'!$E$60:$E$62)*('BTX Recycling HC'!C154)-'Overall recycling rates'!$H$62/SUM('Overall recycling rates'!$H$60:$H$62)*('BTX Recycling HC'!C155)-'Overall recycling rates'!$I$62/SUM('Overall recycling rates'!$I$60:$I$62)*('BTX Recycling HC'!C156)</f>
        <v>0.74407612749267826</v>
      </c>
      <c r="E87" s="284">
        <f>E26-'Overall recycling rates'!$G$62/SUM('Overall recycling rates'!$G$60:$G$62)*('BTX Recycling HC'!D153)-'Overall recycling rates'!$E$62/SUM('Overall recycling rates'!$E$60:$E$62)*('BTX Recycling HC'!D154)-'Overall recycling rates'!$H$62/SUM('Overall recycling rates'!$H$60:$H$62)*('BTX Recycling HC'!D155)-'Overall recycling rates'!$I$62/SUM('Overall recycling rates'!$I$60:$I$62)*('BTX Recycling HC'!D156)</f>
        <v>0.74939364991943125</v>
      </c>
      <c r="F87" s="284">
        <f>F26-'Overall recycling rates'!$G$62/SUM('Overall recycling rates'!$G$60:$G$62)*('BTX Recycling HC'!E153)-'Overall recycling rates'!$E$62/SUM('Overall recycling rates'!$E$60:$E$62)*('BTX Recycling HC'!E154)-'Overall recycling rates'!$H$62/SUM('Overall recycling rates'!$H$60:$H$62)*('BTX Recycling HC'!E155)-'Overall recycling rates'!$I$62/SUM('Overall recycling rates'!$I$60:$I$62)*('BTX Recycling HC'!E156)</f>
        <v>0.75463962573658105</v>
      </c>
      <c r="G87" s="284">
        <f>G26-'Overall recycling rates'!$G$62/SUM('Overall recycling rates'!$G$60:$G$62)*('BTX Recycling HC'!F153)-'Overall recycling rates'!$E$62/SUM('Overall recycling rates'!$E$60:$E$62)*('BTX Recycling HC'!F154)-'Overall recycling rates'!$H$62/SUM('Overall recycling rates'!$H$60:$H$62)*('BTX Recycling HC'!F155)-'Overall recycling rates'!$I$62/SUM('Overall recycling rates'!$I$60:$I$62)*('BTX Recycling HC'!F156)</f>
        <v>0.75980485340752646</v>
      </c>
      <c r="H87" s="284">
        <f>H26-'Overall recycling rates'!$G$62/SUM('Overall recycling rates'!$G$60:$G$62)*('BTX Recycling HC'!G153)-'Overall recycling rates'!$E$62/SUM('Overall recycling rates'!$E$60:$E$62)*('BTX Recycling HC'!G154)-'Overall recycling rates'!$H$62/SUM('Overall recycling rates'!$H$60:$H$62)*('BTX Recycling HC'!G155)-'Overall recycling rates'!$I$62/SUM('Overall recycling rates'!$I$60:$I$62)*('BTX Recycling HC'!G156)</f>
        <v>0.76488070283635468</v>
      </c>
      <c r="I87" s="284">
        <f>I26-'Overall recycling rates'!$G$62/SUM('Overall recycling rates'!$G$60:$G$62)*('BTX Recycling HC'!H153)-'Overall recycling rates'!$E$62/SUM('Overall recycling rates'!$E$60:$E$62)*('BTX Recycling HC'!H154)-'Overall recycling rates'!$H$62/SUM('Overall recycling rates'!$H$60:$H$62)*('BTX Recycling HC'!H155)-'Overall recycling rates'!$I$62/SUM('Overall recycling rates'!$I$60:$I$62)*('BTX Recycling HC'!H156)</f>
        <v>0.7698593130587027</v>
      </c>
      <c r="J87" s="284">
        <f>J26-'Overall recycling rates'!$G$62/SUM('Overall recycling rates'!$G$60:$G$62)*('BTX Recycling HC'!I153)-'Overall recycling rates'!$E$62/SUM('Overall recycling rates'!$E$60:$E$62)*('BTX Recycling HC'!I154)-'Overall recycling rates'!$H$62/SUM('Overall recycling rates'!$H$60:$H$62)*('BTX Recycling HC'!I155)-'Overall recycling rates'!$I$62/SUM('Overall recycling rates'!$I$60:$I$62)*('BTX Recycling HC'!I156)</f>
        <v>0.77472629447336305</v>
      </c>
      <c r="K87" s="284">
        <f>K26-'Overall recycling rates'!$G$62/SUM('Overall recycling rates'!$G$60:$G$62)*('BTX Recycling HC'!J153)-'Overall recycling rates'!$E$62/SUM('Overall recycling rates'!$E$60:$E$62)*('BTX Recycling HC'!J154)-'Overall recycling rates'!$H$62/SUM('Overall recycling rates'!$H$60:$H$62)*('BTX Recycling HC'!J155)-'Overall recycling rates'!$I$62/SUM('Overall recycling rates'!$I$60:$I$62)*('BTX Recycling HC'!J156)</f>
        <v>0.77946994228749078</v>
      </c>
      <c r="L87" s="284">
        <f>L26-'Overall recycling rates'!$G$62/SUM('Overall recycling rates'!$G$60:$G$62)*('BTX Recycling HC'!K153)-'Overall recycling rates'!$E$62/SUM('Overall recycling rates'!$E$60:$E$62)*('BTX Recycling HC'!K154)-'Overall recycling rates'!$H$62/SUM('Overall recycling rates'!$H$60:$H$62)*('BTX Recycling HC'!K155)-'Overall recycling rates'!$I$62/SUM('Overall recycling rates'!$I$60:$I$62)*('BTX Recycling HC'!K156)</f>
        <v>0.78407810758405005</v>
      </c>
      <c r="M87" s="284">
        <f>M26-'Overall recycling rates'!$G$62/SUM('Overall recycling rates'!$G$60:$G$62)*('BTX Recycling HC'!L153)-'Overall recycling rates'!$E$62/SUM('Overall recycling rates'!$E$60:$E$62)*('BTX Recycling HC'!L154)-'Overall recycling rates'!$H$62/SUM('Overall recycling rates'!$H$60:$H$62)*('BTX Recycling HC'!L155)-'Overall recycling rates'!$I$62/SUM('Overall recycling rates'!$I$60:$I$62)*('BTX Recycling HC'!L156)</f>
        <v>0.78853821171880079</v>
      </c>
      <c r="N87" s="284">
        <f>N26-'Overall recycling rates'!$G$62/SUM('Overall recycling rates'!$G$60:$G$62)*('BTX Recycling HC'!M153)-'Overall recycling rates'!$E$62/SUM('Overall recycling rates'!$E$60:$E$62)*('BTX Recycling HC'!M154)-'Overall recycling rates'!$H$62/SUM('Overall recycling rates'!$H$60:$H$62)*('BTX Recycling HC'!M155)-'Overall recycling rates'!$I$62/SUM('Overall recycling rates'!$I$60:$I$62)*('BTX Recycling HC'!M156)</f>
        <v>0.79283726326326254</v>
      </c>
      <c r="O87" s="284">
        <f>O26-'Overall recycling rates'!$G$62/SUM('Overall recycling rates'!$G$60:$G$62)*('BTX Recycling HC'!N153)-'Overall recycling rates'!$E$62/SUM('Overall recycling rates'!$E$60:$E$62)*('BTX Recycling HC'!N154)-'Overall recycling rates'!$H$62/SUM('Overall recycling rates'!$H$60:$H$62)*('BTX Recycling HC'!N155)-'Overall recycling rates'!$I$62/SUM('Overall recycling rates'!$I$60:$I$62)*('BTX Recycling HC'!N156)</f>
        <v>0.7893367449755756</v>
      </c>
      <c r="P87" s="284">
        <f>P26-'Overall recycling rates'!$G$62/SUM('Overall recycling rates'!$G$60:$G$62)*('BTX Recycling HC'!O153)-'Overall recycling rates'!$E$62/SUM('Overall recycling rates'!$E$60:$E$62)*('BTX Recycling HC'!O154)-'Overall recycling rates'!$H$62/SUM('Overall recycling rates'!$H$60:$H$62)*('BTX Recycling HC'!O155)-'Overall recycling rates'!$I$62/SUM('Overall recycling rates'!$I$60:$I$62)*('BTX Recycling HC'!O156)</f>
        <v>0.78524428163309079</v>
      </c>
      <c r="Q87" s="284">
        <f>Q26-'Overall recycling rates'!$G$62/SUM('Overall recycling rates'!$G$60:$G$62)*('BTX Recycling HC'!P153)-'Overall recycling rates'!$E$62/SUM('Overall recycling rates'!$E$60:$E$62)*('BTX Recycling HC'!P154)-'Overall recycling rates'!$H$62/SUM('Overall recycling rates'!$H$60:$H$62)*('BTX Recycling HC'!P155)-'Overall recycling rates'!$I$62/SUM('Overall recycling rates'!$I$60:$I$62)*('BTX Recycling HC'!P156)</f>
        <v>0.78059552565593227</v>
      </c>
      <c r="R87" s="284">
        <f>R26-'Overall recycling rates'!$G$62/SUM('Overall recycling rates'!$G$60:$G$62)*('BTX Recycling HC'!Q153)-'Overall recycling rates'!$E$62/SUM('Overall recycling rates'!$E$60:$E$62)*('BTX Recycling HC'!Q154)-'Overall recycling rates'!$H$62/SUM('Overall recycling rates'!$H$60:$H$62)*('BTX Recycling HC'!Q155)-'Overall recycling rates'!$I$62/SUM('Overall recycling rates'!$I$60:$I$62)*('BTX Recycling HC'!Q156)</f>
        <v>0.77534210578840435</v>
      </c>
      <c r="S87" s="284">
        <f>S26-'Overall recycling rates'!$G$62/SUM('Overall recycling rates'!$G$60:$G$62)*('BTX Recycling HC'!R153)-'Overall recycling rates'!$E$62/SUM('Overall recycling rates'!$E$60:$E$62)*('BTX Recycling HC'!R154)-'Overall recycling rates'!$H$62/SUM('Overall recycling rates'!$H$60:$H$62)*('BTX Recycling HC'!R155)-'Overall recycling rates'!$I$62/SUM('Overall recycling rates'!$I$60:$I$62)*('BTX Recycling HC'!R156)</f>
        <v>0.76947420658404109</v>
      </c>
      <c r="T87" s="284">
        <f>T26-'Overall recycling rates'!$G$62/SUM('Overall recycling rates'!$G$60:$G$62)*('BTX Recycling HC'!S153)-'Overall recycling rates'!$E$62/SUM('Overall recycling rates'!$E$60:$E$62)*('BTX Recycling HC'!S154)-'Overall recycling rates'!$H$62/SUM('Overall recycling rates'!$H$60:$H$62)*('BTX Recycling HC'!S155)-'Overall recycling rates'!$I$62/SUM('Overall recycling rates'!$I$60:$I$62)*('BTX Recycling HC'!S156)</f>
        <v>0.76293694330330919</v>
      </c>
      <c r="U87" s="284">
        <f>U26-'Overall recycling rates'!$G$62/SUM('Overall recycling rates'!$G$60:$G$62)*('BTX Recycling HC'!T153)-'Overall recycling rates'!$E$62/SUM('Overall recycling rates'!$E$60:$E$62)*('BTX Recycling HC'!T154)-'Overall recycling rates'!$H$62/SUM('Overall recycling rates'!$H$60:$H$62)*('BTX Recycling HC'!T155)-'Overall recycling rates'!$I$62/SUM('Overall recycling rates'!$I$60:$I$62)*('BTX Recycling HC'!T156)</f>
        <v>0.75570381927959174</v>
      </c>
      <c r="V87" s="284">
        <f>V26-'Overall recycling rates'!$G$62/SUM('Overall recycling rates'!$G$60:$G$62)*('BTX Recycling HC'!U153)-'Overall recycling rates'!$E$62/SUM('Overall recycling rates'!$E$60:$E$62)*('BTX Recycling HC'!U154)-'Overall recycling rates'!$H$62/SUM('Overall recycling rates'!$H$60:$H$62)*('BTX Recycling HC'!U155)-'Overall recycling rates'!$I$62/SUM('Overall recycling rates'!$I$60:$I$62)*('BTX Recycling HC'!U156)</f>
        <v>0.74774788727169106</v>
      </c>
      <c r="W87" s="284">
        <f>W26-'Overall recycling rates'!$G$62/SUM('Overall recycling rates'!$G$60:$G$62)*('BTX Recycling HC'!V153)-'Overall recycling rates'!$E$62/SUM('Overall recycling rates'!$E$60:$E$62)*('BTX Recycling HC'!V154)-'Overall recycling rates'!$H$62/SUM('Overall recycling rates'!$H$60:$H$62)*('BTX Recycling HC'!V155)-'Overall recycling rates'!$I$62/SUM('Overall recycling rates'!$I$60:$I$62)*('BTX Recycling HC'!V156)</f>
        <v>0.73904176374745312</v>
      </c>
      <c r="X87" s="284">
        <f>X26-'Overall recycling rates'!$G$62/SUM('Overall recycling rates'!$G$60:$G$62)*('BTX Recycling HC'!W153)-'Overall recycling rates'!$E$62/SUM('Overall recycling rates'!$E$60:$E$62)*('BTX Recycling HC'!W154)-'Overall recycling rates'!$H$62/SUM('Overall recycling rates'!$H$60:$H$62)*('BTX Recycling HC'!W155)-'Overall recycling rates'!$I$62/SUM('Overall recycling rates'!$I$60:$I$62)*('BTX Recycling HC'!W156)</f>
        <v>0.72955764411892154</v>
      </c>
      <c r="Y87" s="284">
        <f>Y26-'Overall recycling rates'!$G$62/SUM('Overall recycling rates'!$G$60:$G$62)*('BTX Recycling HC'!X153)-'Overall recycling rates'!$E$62/SUM('Overall recycling rates'!$E$60:$E$62)*('BTX Recycling HC'!X154)-'Overall recycling rates'!$H$62/SUM('Overall recycling rates'!$H$60:$H$62)*('BTX Recycling HC'!X155)-'Overall recycling rates'!$I$62/SUM('Overall recycling rates'!$I$60:$I$62)*('BTX Recycling HC'!X156)</f>
        <v>0.69954240056704531</v>
      </c>
      <c r="Z87" s="284">
        <f>Z26-'Overall recycling rates'!$G$62/SUM('Overall recycling rates'!$G$60:$G$62)*('BTX Recycling HC'!Y153)-'Overall recycling rates'!$E$62/SUM('Overall recycling rates'!$E$60:$E$62)*('BTX Recycling HC'!Y154)-'Overall recycling rates'!$H$62/SUM('Overall recycling rates'!$H$60:$H$62)*('BTX Recycling HC'!Y155)-'Overall recycling rates'!$I$62/SUM('Overall recycling rates'!$I$60:$I$62)*('BTX Recycling HC'!Y156)</f>
        <v>0.66800906792734338</v>
      </c>
      <c r="AA87" s="284">
        <f>AA26-'Overall recycling rates'!$G$62/SUM('Overall recycling rates'!$G$60:$G$62)*('BTX Recycling HC'!Z153)-'Overall recycling rates'!$E$62/SUM('Overall recycling rates'!$E$60:$E$62)*('BTX Recycling HC'!Z154)-'Overall recycling rates'!$H$62/SUM('Overall recycling rates'!$H$60:$H$62)*('BTX Recycling HC'!Z155)-'Overall recycling rates'!$I$62/SUM('Overall recycling rates'!$I$60:$I$62)*('BTX Recycling HC'!Z156)</f>
        <v>0.63554212549070854</v>
      </c>
      <c r="AB87" s="284">
        <f>AB26-'Overall recycling rates'!$G$62/SUM('Overall recycling rates'!$G$60:$G$62)*('BTX Recycling HC'!AA153)-'Overall recycling rates'!$E$62/SUM('Overall recycling rates'!$E$60:$E$62)*('BTX Recycling HC'!AA154)-'Overall recycling rates'!$H$62/SUM('Overall recycling rates'!$H$60:$H$62)*('BTX Recycling HC'!AA155)-'Overall recycling rates'!$I$62/SUM('Overall recycling rates'!$I$60:$I$62)*('BTX Recycling HC'!AA156)</f>
        <v>0.60165667387428967</v>
      </c>
      <c r="AC87" s="284">
        <f>AC26-'Overall recycling rates'!$G$62/SUM('Overall recycling rates'!$G$60:$G$62)*('BTX Recycling HC'!AB153)-'Overall recycling rates'!$E$62/SUM('Overall recycling rates'!$E$60:$E$62)*('BTX Recycling HC'!AB154)-'Overall recycling rates'!$H$62/SUM('Overall recycling rates'!$H$60:$H$62)*('BTX Recycling HC'!AB155)-'Overall recycling rates'!$I$62/SUM('Overall recycling rates'!$I$60:$I$62)*('BTX Recycling HC'!AB156)</f>
        <v>0.56633152372510531</v>
      </c>
      <c r="AD87" s="284">
        <f>AD26-'Overall recycling rates'!$G$62/SUM('Overall recycling rates'!$G$60:$G$62)*('BTX Recycling HC'!AC153)-'Overall recycling rates'!$E$62/SUM('Overall recycling rates'!$E$60:$E$62)*('BTX Recycling HC'!AC154)-'Overall recycling rates'!$H$62/SUM('Overall recycling rates'!$H$60:$H$62)*('BTX Recycling HC'!AC155)-'Overall recycling rates'!$I$62/SUM('Overall recycling rates'!$I$60:$I$62)*('BTX Recycling HC'!AC156)</f>
        <v>0.52954636544963829</v>
      </c>
      <c r="AE87" s="284">
        <f>AE26-'Overall recycling rates'!$G$62/SUM('Overall recycling rates'!$G$60:$G$62)*('BTX Recycling HC'!AD153)-'Overall recycling rates'!$E$62/SUM('Overall recycling rates'!$E$60:$E$62)*('BTX Recycling HC'!AD154)-'Overall recycling rates'!$H$62/SUM('Overall recycling rates'!$H$60:$H$62)*('BTX Recycling HC'!AD155)-'Overall recycling rates'!$I$62/SUM('Overall recycling rates'!$I$60:$I$62)*('BTX Recycling HC'!AD156)</f>
        <v>0.49128356421839986</v>
      </c>
      <c r="AF87" s="284">
        <f>AF26-'Overall recycling rates'!$G$62/SUM('Overall recycling rates'!$G$60:$G$62)*('BTX Recycling HC'!AE153)-'Overall recycling rates'!$E$62/SUM('Overall recycling rates'!$E$60:$E$62)*('BTX Recycling HC'!AE154)-'Overall recycling rates'!$H$62/SUM('Overall recycling rates'!$H$60:$H$62)*('BTX Recycling HC'!AE155)-'Overall recycling rates'!$I$62/SUM('Overall recycling rates'!$I$60:$I$62)*('BTX Recycling HC'!AE156)</f>
        <v>0.45152762438938099</v>
      </c>
      <c r="AG87" s="284">
        <f>AG26-'Overall recycling rates'!$G$62/SUM('Overall recycling rates'!$G$60:$G$62)*('BTX Recycling HC'!AF153)-'Overall recycling rates'!$E$62/SUM('Overall recycling rates'!$E$60:$E$62)*('BTX Recycling HC'!AF154)-'Overall recycling rates'!$H$62/SUM('Overall recycling rates'!$H$60:$H$62)*('BTX Recycling HC'!AF155)-'Overall recycling rates'!$I$62/SUM('Overall recycling rates'!$I$60:$I$62)*('BTX Recycling HC'!AF156)</f>
        <v>0.41026534995895036</v>
      </c>
      <c r="AH87" s="284">
        <f>AH26-'Overall recycling rates'!$G$62/SUM('Overall recycling rates'!$G$60:$G$62)*('BTX Recycling HC'!AG153)-'Overall recycling rates'!$E$62/SUM('Overall recycling rates'!$E$60:$E$62)*('BTX Recycling HC'!AG154)-'Overall recycling rates'!$H$62/SUM('Overall recycling rates'!$H$60:$H$62)*('BTX Recycling HC'!AG155)-'Overall recycling rates'!$I$62/SUM('Overall recycling rates'!$I$60:$I$62)*('BTX Recycling HC'!AG156)</f>
        <v>0.36748600911336615</v>
      </c>
      <c r="AJ87" s="284">
        <f>AJ26-'Overall recycling rates'!$G$62/SUM('Overall recycling rates'!$G$60:$G$62)*('BTX Recycling HC'!C153)-'Overall recycling rates'!$E$62/SUM('Overall recycling rates'!$E$60:$E$62)*('BTX Recycling HC'!C154)-'Overall recycling rates'!$H$62/SUM('Overall recycling rates'!$H$60:$H$62)*('BTX Recycling HC'!C155)-'Overall recycling rates'!$I$62/SUM('Overall recycling rates'!$I$60:$I$62)*('BTX Recycling HC'!C156)</f>
        <v>0.74407612749267826</v>
      </c>
      <c r="AK87" s="284">
        <f>AK26-'Overall recycling rates'!$G$62/SUM('Overall recycling rates'!$G$60:$G$62)*('BTX Recycling HC'!D153)-'Overall recycling rates'!$E$62/SUM('Overall recycling rates'!$E$60:$E$62)*('BTX Recycling HC'!D154)-'Overall recycling rates'!$H$62/SUM('Overall recycling rates'!$H$60:$H$62)*('BTX Recycling HC'!D155)-'Overall recycling rates'!$I$62/SUM('Overall recycling rates'!$I$60:$I$62)*('BTX Recycling HC'!D156)</f>
        <v>0.75142872685953077</v>
      </c>
      <c r="AL87" s="284">
        <f>AL26-'Overall recycling rates'!$G$62/SUM('Overall recycling rates'!$G$60:$G$62)*('BTX Recycling HC'!E153)-'Overall recycling rates'!$E$62/SUM('Overall recycling rates'!$E$60:$E$62)*('BTX Recycling HC'!E154)-'Overall recycling rates'!$H$62/SUM('Overall recycling rates'!$H$60:$H$62)*('BTX Recycling HC'!E155)-'Overall recycling rates'!$I$62/SUM('Overall recycling rates'!$I$60:$I$62)*('BTX Recycling HC'!E156)</f>
        <v>0.75876258265318342</v>
      </c>
      <c r="AM87" s="284">
        <f>AM26-'Overall recycling rates'!$G$62/SUM('Overall recycling rates'!$G$60:$G$62)*('BTX Recycling HC'!F153)-'Overall recycling rates'!$E$62/SUM('Overall recycling rates'!$E$60:$E$62)*('BTX Recycling HC'!F154)-'Overall recycling rates'!$H$62/SUM('Overall recycling rates'!$H$60:$H$62)*('BTX Recycling HC'!F155)-'Overall recycling rates'!$I$62/SUM('Overall recycling rates'!$I$60:$I$62)*('BTX Recycling HC'!F156)</f>
        <v>0.76606949601642516</v>
      </c>
      <c r="AN87" s="284">
        <f>AN26-'Overall recycling rates'!$G$62/SUM('Overall recycling rates'!$G$60:$G$62)*('BTX Recycling HC'!G153)-'Overall recycling rates'!$E$62/SUM('Overall recycling rates'!$E$60:$E$62)*('BTX Recycling HC'!G154)-'Overall recycling rates'!$H$62/SUM('Overall recycling rates'!$H$60:$H$62)*('BTX Recycling HC'!G155)-'Overall recycling rates'!$I$62/SUM('Overall recycling rates'!$I$60:$I$62)*('BTX Recycling HC'!G156)</f>
        <v>0.77334185615046891</v>
      </c>
      <c r="AO87" s="284">
        <f>AO26-'Overall recycling rates'!$G$62/SUM('Overall recycling rates'!$G$60:$G$62)*('BTX Recycling HC'!H153)-'Overall recycling rates'!$E$62/SUM('Overall recycling rates'!$E$60:$E$62)*('BTX Recycling HC'!H154)-'Overall recycling rates'!$H$62/SUM('Overall recycling rates'!$H$60:$H$62)*('BTX Recycling HC'!H155)-'Overall recycling rates'!$I$62/SUM('Overall recycling rates'!$I$60:$I$62)*('BTX Recycling HC'!H156)</f>
        <v>0.78057283826037693</v>
      </c>
      <c r="AP87" s="284">
        <f>AP26-'Overall recycling rates'!$G$62/SUM('Overall recycling rates'!$G$60:$G$62)*('BTX Recycling HC'!I153)-'Overall recycling rates'!$E$62/SUM('Overall recycling rates'!$E$60:$E$62)*('BTX Recycling HC'!I154)-'Overall recycling rates'!$H$62/SUM('Overall recycling rates'!$H$60:$H$62)*('BTX Recycling HC'!I155)-'Overall recycling rates'!$I$62/SUM('Overall recycling rates'!$I$60:$I$62)*('BTX Recycling HC'!I156)</f>
        <v>0.78774910604493287</v>
      </c>
      <c r="AQ87" s="284">
        <f>AQ26-'Overall recycling rates'!$G$62/SUM('Overall recycling rates'!$G$60:$G$62)*('BTX Recycling HC'!J153)-'Overall recycling rates'!$E$62/SUM('Overall recycling rates'!$E$60:$E$62)*('BTX Recycling HC'!J154)-'Overall recycling rates'!$H$62/SUM('Overall recycling rates'!$H$60:$H$62)*('BTX Recycling HC'!J155)-'Overall recycling rates'!$I$62/SUM('Overall recycling rates'!$I$60:$I$62)*('BTX Recycling HC'!J156)</f>
        <v>0.79486002540386724</v>
      </c>
      <c r="AR87" s="284">
        <f>AR26-'Overall recycling rates'!$G$62/SUM('Overall recycling rates'!$G$60:$G$62)*('BTX Recycling HC'!K153)-'Overall recycling rates'!$E$62/SUM('Overall recycling rates'!$E$60:$E$62)*('BTX Recycling HC'!K154)-'Overall recycling rates'!$H$62/SUM('Overall recycling rates'!$H$60:$H$62)*('BTX Recycling HC'!K155)-'Overall recycling rates'!$I$62/SUM('Overall recycling rates'!$I$60:$I$62)*('BTX Recycling HC'!K156)</f>
        <v>0.80189453577112835</v>
      </c>
      <c r="AS87" s="284">
        <f>AS26-'Overall recycling rates'!$G$62/SUM('Overall recycling rates'!$G$60:$G$62)*('BTX Recycling HC'!L153)-'Overall recycling rates'!$E$62/SUM('Overall recycling rates'!$E$60:$E$62)*('BTX Recycling HC'!L154)-'Overall recycling rates'!$H$62/SUM('Overall recycling rates'!$H$60:$H$62)*('BTX Recycling HC'!L155)-'Overall recycling rates'!$I$62/SUM('Overall recycling rates'!$I$60:$I$62)*('BTX Recycling HC'!L156)</f>
        <v>0.8088411647815541</v>
      </c>
      <c r="AT87" s="284">
        <f>AT26-'Overall recycling rates'!$G$62/SUM('Overall recycling rates'!$G$60:$G$62)*('BTX Recycling HC'!M153)-'Overall recycling rates'!$E$62/SUM('Overall recycling rates'!$E$60:$E$62)*('BTX Recycling HC'!M154)-'Overall recycling rates'!$H$62/SUM('Overall recycling rates'!$H$60:$H$62)*('BTX Recycling HC'!M155)-'Overall recycling rates'!$I$62/SUM('Overall recycling rates'!$I$60:$I$62)*('BTX Recycling HC'!M156)</f>
        <v>0.81568804548743179</v>
      </c>
      <c r="AU87" s="284">
        <f>AU26-'Overall recycling rates'!$G$62/SUM('Overall recycling rates'!$G$60:$G$62)*('BTX Recycling HC'!N153)-'Overall recycling rates'!$E$62/SUM('Overall recycling rates'!$E$60:$E$62)*('BTX Recycling HC'!N154)-'Overall recycling rates'!$H$62/SUM('Overall recycling rates'!$H$60:$H$62)*('BTX Recycling HC'!N155)-'Overall recycling rates'!$I$62/SUM('Overall recycling rates'!$I$60:$I$62)*('BTX Recycling HC'!N156)</f>
        <v>0.8195154148085888</v>
      </c>
      <c r="AV87" s="284">
        <f>AV26-'Overall recycling rates'!$G$62/SUM('Overall recycling rates'!$G$60:$G$62)*('BTX Recycling HC'!O153)-'Overall recycling rates'!$E$62/SUM('Overall recycling rates'!$E$60:$E$62)*('BTX Recycling HC'!O154)-'Overall recycling rates'!$H$62/SUM('Overall recycling rates'!$H$60:$H$62)*('BTX Recycling HC'!O155)-'Overall recycling rates'!$I$62/SUM('Overall recycling rates'!$I$60:$I$62)*('BTX Recycling HC'!O156)</f>
        <v>0.82297734455668137</v>
      </c>
      <c r="AW87" s="284">
        <f>AW26-'Overall recycling rates'!$G$62/SUM('Overall recycling rates'!$G$60:$G$62)*('BTX Recycling HC'!P153)-'Overall recycling rates'!$E$62/SUM('Overall recycling rates'!$E$60:$E$62)*('BTX Recycling HC'!P154)-'Overall recycling rates'!$H$62/SUM('Overall recycling rates'!$H$60:$H$62)*('BTX Recycling HC'!P155)-'Overall recycling rates'!$I$62/SUM('Overall recycling rates'!$I$60:$I$62)*('BTX Recycling HC'!P156)</f>
        <v>0.82611432306610644</v>
      </c>
      <c r="AX87" s="284">
        <f>AX26-'Overall recycling rates'!$G$62/SUM('Overall recycling rates'!$G$60:$G$62)*('BTX Recycling HC'!Q153)-'Overall recycling rates'!$E$62/SUM('Overall recycling rates'!$E$60:$E$62)*('BTX Recycling HC'!Q154)-'Overall recycling rates'!$H$62/SUM('Overall recycling rates'!$H$60:$H$62)*('BTX Recycling HC'!Q155)-'Overall recycling rates'!$I$62/SUM('Overall recycling rates'!$I$60:$I$62)*('BTX Recycling HC'!Q156)</f>
        <v>0.82888290201262393</v>
      </c>
      <c r="AY87" s="284">
        <f>AY26-'Overall recycling rates'!$G$62/SUM('Overall recycling rates'!$G$60:$G$62)*('BTX Recycling HC'!R153)-'Overall recycling rates'!$E$62/SUM('Overall recycling rates'!$E$60:$E$62)*('BTX Recycling HC'!R154)-'Overall recycling rates'!$H$62/SUM('Overall recycling rates'!$H$60:$H$62)*('BTX Recycling HC'!R155)-'Overall recycling rates'!$I$62/SUM('Overall recycling rates'!$I$60:$I$62)*('BTX Recycling HC'!R156)</f>
        <v>0.83127827731492587</v>
      </c>
      <c r="AZ87" s="284">
        <f>AZ26-'Overall recycling rates'!$G$62/SUM('Overall recycling rates'!$G$60:$G$62)*('BTX Recycling HC'!S153)-'Overall recycling rates'!$E$62/SUM('Overall recycling rates'!$E$60:$E$62)*('BTX Recycling HC'!S154)-'Overall recycling rates'!$H$62/SUM('Overall recycling rates'!$H$60:$H$62)*('BTX Recycling HC'!S155)-'Overall recycling rates'!$I$62/SUM('Overall recycling rates'!$I$60:$I$62)*('BTX Recycling HC'!S156)</f>
        <v>0.83325066547043869</v>
      </c>
      <c r="BA87" s="284">
        <f>BA26-'Overall recycling rates'!$G$62/SUM('Overall recycling rates'!$G$60:$G$62)*('BTX Recycling HC'!T153)-'Overall recycling rates'!$E$62/SUM('Overall recycling rates'!$E$60:$E$62)*('BTX Recycling HC'!T154)-'Overall recycling rates'!$H$62/SUM('Overall recycling rates'!$H$60:$H$62)*('BTX Recycling HC'!T155)-'Overall recycling rates'!$I$62/SUM('Overall recycling rates'!$I$60:$I$62)*('BTX Recycling HC'!T156)</f>
        <v>0.83477876238130588</v>
      </c>
      <c r="BB87" s="284">
        <f>BB26-'Overall recycling rates'!$G$62/SUM('Overall recycling rates'!$G$60:$G$62)*('BTX Recycling HC'!U153)-'Overall recycling rates'!$E$62/SUM('Overall recycling rates'!$E$60:$E$62)*('BTX Recycling HC'!U154)-'Overall recycling rates'!$H$62/SUM('Overall recycling rates'!$H$60:$H$62)*('BTX Recycling HC'!U155)-'Overall recycling rates'!$I$62/SUM('Overall recycling rates'!$I$60:$I$62)*('BTX Recycling HC'!U156)</f>
        <v>0.83584090618910312</v>
      </c>
      <c r="BC87" s="284">
        <f>BC26-'Overall recycling rates'!$G$62/SUM('Overall recycling rates'!$G$60:$G$62)*('BTX Recycling HC'!V153)-'Overall recycling rates'!$E$62/SUM('Overall recycling rates'!$E$60:$E$62)*('BTX Recycling HC'!V154)-'Overall recycling rates'!$H$62/SUM('Overall recycling rates'!$H$60:$H$62)*('BTX Recycling HC'!V155)-'Overall recycling rates'!$I$62/SUM('Overall recycling rates'!$I$60:$I$62)*('BTX Recycling HC'!V156)</f>
        <v>0.83641509306321171</v>
      </c>
      <c r="BD87" s="284">
        <f>BD26-'Overall recycling rates'!$G$62/SUM('Overall recycling rates'!$G$60:$G$62)*('BTX Recycling HC'!W153)-'Overall recycling rates'!$E$62/SUM('Overall recycling rates'!$E$60:$E$62)*('BTX Recycling HC'!W154)-'Overall recycling rates'!$H$62/SUM('Overall recycling rates'!$H$60:$H$62)*('BTX Recycling HC'!W155)-'Overall recycling rates'!$I$62/SUM('Overall recycling rates'!$I$60:$I$62)*('BTX Recycling HC'!W156)</f>
        <v>0.83647899396358438</v>
      </c>
      <c r="BE87" s="284">
        <f>BE26-'Overall recycling rates'!$G$62/SUM('Overall recycling rates'!$G$60:$G$62)*('BTX Recycling HC'!X153)-'Overall recycling rates'!$E$62/SUM('Overall recycling rates'!$E$60:$E$62)*('BTX Recycling HC'!X154)-'Overall recycling rates'!$H$62/SUM('Overall recycling rates'!$H$60:$H$62)*('BTX Recycling HC'!X155)-'Overall recycling rates'!$I$62/SUM('Overall recycling rates'!$I$60:$I$62)*('BTX Recycling HC'!X156)</f>
        <v>0.82419754148530588</v>
      </c>
      <c r="BF87" s="284">
        <f>BF26-'Overall recycling rates'!$G$62/SUM('Overall recycling rates'!$G$60:$G$62)*('BTX Recycling HC'!Y153)-'Overall recycling rates'!$E$62/SUM('Overall recycling rates'!$E$60:$E$62)*('BTX Recycling HC'!Y154)-'Overall recycling rates'!$H$62/SUM('Overall recycling rates'!$H$60:$H$62)*('BTX Recycling HC'!Y155)-'Overall recycling rates'!$I$62/SUM('Overall recycling rates'!$I$60:$I$62)*('BTX Recycling HC'!Y156)</f>
        <v>0.81086564229933478</v>
      </c>
      <c r="BG87" s="284">
        <f>BG26-'Overall recycling rates'!$G$62/SUM('Overall recycling rates'!$G$60:$G$62)*('BTX Recycling HC'!Z153)-'Overall recycling rates'!$E$62/SUM('Overall recycling rates'!$E$60:$E$62)*('BTX Recycling HC'!Z154)-'Overall recycling rates'!$H$62/SUM('Overall recycling rates'!$H$60:$H$62)*('BTX Recycling HC'!Z155)-'Overall recycling rates'!$I$62/SUM('Overall recycling rates'!$I$60:$I$62)*('BTX Recycling HC'!Z156)</f>
        <v>0.79707690062924541</v>
      </c>
      <c r="BH87" s="284">
        <f>BH26-'Overall recycling rates'!$G$62/SUM('Overall recycling rates'!$G$60:$G$62)*('BTX Recycling HC'!AA153)-'Overall recycling rates'!$E$62/SUM('Overall recycling rates'!$E$60:$E$62)*('BTX Recycling HC'!AA154)-'Overall recycling rates'!$H$62/SUM('Overall recycling rates'!$H$60:$H$62)*('BTX Recycling HC'!AA155)-'Overall recycling rates'!$I$62/SUM('Overall recycling rates'!$I$60:$I$62)*('BTX Recycling HC'!AA156)</f>
        <v>0.78235569686389994</v>
      </c>
      <c r="BI87" s="284">
        <f>BI26-'Overall recycling rates'!$G$62/SUM('Overall recycling rates'!$G$60:$G$62)*('BTX Recycling HC'!AB153)-'Overall recycling rates'!$E$62/SUM('Overall recycling rates'!$E$60:$E$62)*('BTX Recycling HC'!AB154)-'Overall recycling rates'!$H$62/SUM('Overall recycling rates'!$H$60:$H$62)*('BTX Recycling HC'!AB155)-'Overall recycling rates'!$I$62/SUM('Overall recycling rates'!$I$60:$I$62)*('BTX Recycling HC'!AB156)</f>
        <v>0.76669027867937722</v>
      </c>
      <c r="BJ87" s="284">
        <f>BJ26-'Overall recycling rates'!$G$62/SUM('Overall recycling rates'!$G$60:$G$62)*('BTX Recycling HC'!AC153)-'Overall recycling rates'!$E$62/SUM('Overall recycling rates'!$E$60:$E$62)*('BTX Recycling HC'!AC154)-'Overall recycling rates'!$H$62/SUM('Overall recycling rates'!$H$60:$H$62)*('BTX Recycling HC'!AC155)-'Overall recycling rates'!$I$62/SUM('Overall recycling rates'!$I$60:$I$62)*('BTX Recycling HC'!AC156)</f>
        <v>0.75006993322261162</v>
      </c>
      <c r="BK87" s="284">
        <f>BK26-'Overall recycling rates'!$G$62/SUM('Overall recycling rates'!$G$60:$G$62)*('BTX Recycling HC'!AD153)-'Overall recycling rates'!$E$62/SUM('Overall recycling rates'!$E$60:$E$62)*('BTX Recycling HC'!AD154)-'Overall recycling rates'!$H$62/SUM('Overall recycling rates'!$H$60:$H$62)*('BTX Recycling HC'!AD155)-'Overall recycling rates'!$I$62/SUM('Overall recycling rates'!$I$60:$I$62)*('BTX Recycling HC'!AD156)</f>
        <v>0.73248678460623295</v>
      </c>
      <c r="BL87" s="284">
        <f>BL26-'Overall recycling rates'!$G$62/SUM('Overall recycling rates'!$G$60:$G$62)*('BTX Recycling HC'!AE153)-'Overall recycling rates'!$E$62/SUM('Overall recycling rates'!$E$60:$E$62)*('BTX Recycling HC'!AE154)-'Overall recycling rates'!$H$62/SUM('Overall recycling rates'!$H$60:$H$62)*('BTX Recycling HC'!AE155)-'Overall recycling rates'!$I$62/SUM('Overall recycling rates'!$I$60:$I$62)*('BTX Recycling HC'!AE156)</f>
        <v>0.71393526085904468</v>
      </c>
      <c r="BM87" s="284">
        <f>BM26-'Overall recycling rates'!$G$62/SUM('Overall recycling rates'!$G$60:$G$62)*('BTX Recycling HC'!AF153)-'Overall recycling rates'!$E$62/SUM('Overall recycling rates'!$E$60:$E$62)*('BTX Recycling HC'!AF154)-'Overall recycling rates'!$H$62/SUM('Overall recycling rates'!$H$60:$H$62)*('BTX Recycling HC'!AF155)-'Overall recycling rates'!$I$62/SUM('Overall recycling rates'!$I$60:$I$62)*('BTX Recycling HC'!AF156)</f>
        <v>0.69441225694121789</v>
      </c>
      <c r="BN87" s="284">
        <f>BN26-'Overall recycling rates'!$G$62/SUM('Overall recycling rates'!$G$60:$G$62)*('BTX Recycling HC'!AG153)-'Overall recycling rates'!$E$62/SUM('Overall recycling rates'!$E$60:$E$62)*('BTX Recycling HC'!AG154)-'Overall recycling rates'!$H$62/SUM('Overall recycling rates'!$H$60:$H$62)*('BTX Recycling HC'!AG155)-'Overall recycling rates'!$I$62/SUM('Overall recycling rates'!$I$60:$I$62)*('BTX Recycling HC'!AG156)</f>
        <v>0.67391730189789467</v>
      </c>
    </row>
    <row r="88" spans="1:66" outlineLevel="1" x14ac:dyDescent="0.2">
      <c r="A88" s="58" t="s">
        <v>221</v>
      </c>
      <c r="B88" s="58" t="s">
        <v>197</v>
      </c>
      <c r="C88" s="54" t="s">
        <v>153</v>
      </c>
      <c r="D88" s="66">
        <f t="shared" ref="D88:AH88" si="81">D50</f>
        <v>13.012248975360578</v>
      </c>
      <c r="E88" s="66">
        <f t="shared" si="81"/>
        <v>12.748319358152269</v>
      </c>
      <c r="F88" s="66">
        <f t="shared" si="81"/>
        <v>12.477045129247582</v>
      </c>
      <c r="G88" s="66">
        <f t="shared" si="81"/>
        <v>12.198297039783077</v>
      </c>
      <c r="H88" s="66">
        <f t="shared" si="81"/>
        <v>11.911943890459934</v>
      </c>
      <c r="I88" s="66">
        <f t="shared" si="81"/>
        <v>11.617852504320968</v>
      </c>
      <c r="J88" s="66">
        <f t="shared" si="81"/>
        <v>11.315887699165234</v>
      </c>
      <c r="K88" s="66">
        <f t="shared" si="81"/>
        <v>11.005912259595585</v>
      </c>
      <c r="L88" s="66">
        <f t="shared" si="81"/>
        <v>10.68778690869445</v>
      </c>
      <c r="M88" s="66">
        <f t="shared" si="81"/>
        <v>10.361370279323024</v>
      </c>
      <c r="N88" s="66">
        <f t="shared" si="81"/>
        <v>10.026518885039021</v>
      </c>
      <c r="O88" s="66">
        <f t="shared" si="81"/>
        <v>9.8165760961192454</v>
      </c>
      <c r="P88" s="66">
        <f t="shared" si="81"/>
        <v>9.6008299317302939</v>
      </c>
      <c r="Q88" s="66">
        <f t="shared" si="81"/>
        <v>9.3791784330975023</v>
      </c>
      <c r="R88" s="66">
        <f t="shared" si="81"/>
        <v>9.1515181039771658</v>
      </c>
      <c r="S88" s="66">
        <f t="shared" si="81"/>
        <v>8.9177438892065481</v>
      </c>
      <c r="T88" s="66">
        <f t="shared" si="81"/>
        <v>8.6777491529684916</v>
      </c>
      <c r="U88" s="66">
        <f t="shared" si="81"/>
        <v>8.4314256567668249</v>
      </c>
      <c r="V88" s="66">
        <f t="shared" si="81"/>
        <v>8.1786635371089602</v>
      </c>
      <c r="W88" s="66">
        <f t="shared" si="81"/>
        <v>7.9193512828918227</v>
      </c>
      <c r="X88" s="66">
        <f t="shared" si="81"/>
        <v>7.6533757124873389</v>
      </c>
      <c r="Y88" s="66">
        <f t="shared" si="81"/>
        <v>7.3070120241553242</v>
      </c>
      <c r="Z88" s="66">
        <f t="shared" si="81"/>
        <v>6.9521407060828277</v>
      </c>
      <c r="AA88" s="66">
        <f t="shared" si="81"/>
        <v>6.5886169205770511</v>
      </c>
      <c r="AB88" s="66">
        <f t="shared" si="81"/>
        <v>6.2162936775327209</v>
      </c>
      <c r="AC88" s="66">
        <f t="shared" si="81"/>
        <v>5.8350218046545681</v>
      </c>
      <c r="AD88" s="66">
        <f t="shared" si="81"/>
        <v>5.4446499172857443</v>
      </c>
      <c r="AE88" s="66">
        <f t="shared" si="81"/>
        <v>5.0450243878370316</v>
      </c>
      <c r="AF88" s="66">
        <f t="shared" si="81"/>
        <v>4.6359893148117521</v>
      </c>
      <c r="AG88" s="66">
        <f t="shared" si="81"/>
        <v>4.2173864914212116</v>
      </c>
      <c r="AH88" s="66">
        <f t="shared" si="81"/>
        <v>3.789055373785374</v>
      </c>
      <c r="AJ88" s="66">
        <f t="shared" ref="AJ88:BN88" si="82">AJ50</f>
        <v>13.012248975360578</v>
      </c>
      <c r="AK88" s="66">
        <f t="shared" si="82"/>
        <v>12.951561060849054</v>
      </c>
      <c r="AL88" s="66">
        <f t="shared" si="82"/>
        <v>12.887981704065053</v>
      </c>
      <c r="AM88" s="66">
        <f t="shared" si="82"/>
        <v>12.821454835213414</v>
      </c>
      <c r="AN88" s="66">
        <f t="shared" si="82"/>
        <v>12.751923503000354</v>
      </c>
      <c r="AO88" s="66">
        <f t="shared" si="82"/>
        <v>12.679329862048698</v>
      </c>
      <c r="AP88" s="66">
        <f t="shared" si="82"/>
        <v>12.603615160143157</v>
      </c>
      <c r="AQ88" s="66">
        <f t="shared" si="82"/>
        <v>12.524719725303459</v>
      </c>
      <c r="AR88" s="66">
        <f t="shared" si="82"/>
        <v>12.442582952683072</v>
      </c>
      <c r="AS88" s="66">
        <f t="shared" si="82"/>
        <v>12.357143291291255</v>
      </c>
      <c r="AT88" s="66">
        <f t="shared" si="82"/>
        <v>12.268338230536166</v>
      </c>
      <c r="AU88" s="66">
        <f t="shared" si="82"/>
        <v>12.242848789332221</v>
      </c>
      <c r="AV88" s="66">
        <f t="shared" si="82"/>
        <v>12.215328413293548</v>
      </c>
      <c r="AW88" s="66">
        <f t="shared" si="82"/>
        <v>12.185735662438701</v>
      </c>
      <c r="AX88" s="66">
        <f t="shared" si="82"/>
        <v>12.15402843255927</v>
      </c>
      <c r="AY88" s="66">
        <f t="shared" si="82"/>
        <v>12.120163945639829</v>
      </c>
      <c r="AZ88" s="66">
        <f t="shared" si="82"/>
        <v>12.084098740147661</v>
      </c>
      <c r="BA88" s="66">
        <f t="shared" si="82"/>
        <v>12.045788661190642</v>
      </c>
      <c r="BB88" s="66">
        <f t="shared" si="82"/>
        <v>12.005188850541472</v>
      </c>
      <c r="BC88" s="66">
        <f t="shared" si="82"/>
        <v>11.962253736526575</v>
      </c>
      <c r="BD88" s="66">
        <f t="shared" si="82"/>
        <v>11.916937023777855</v>
      </c>
      <c r="BE88" s="66">
        <f t="shared" si="82"/>
        <v>11.832386719661416</v>
      </c>
      <c r="BF88" s="66">
        <f t="shared" si="82"/>
        <v>11.744553590532883</v>
      </c>
      <c r="BG88" s="66">
        <f t="shared" si="82"/>
        <v>11.653375855083063</v>
      </c>
      <c r="BH88" s="66">
        <f t="shared" si="82"/>
        <v>11.558790772334497</v>
      </c>
      <c r="BI88" s="66">
        <f t="shared" si="82"/>
        <v>11.460734628029433</v>
      </c>
      <c r="BJ88" s="66">
        <f t="shared" si="82"/>
        <v>11.359142720834727</v>
      </c>
      <c r="BK88" s="66">
        <f t="shared" si="82"/>
        <v>11.253949348361283</v>
      </c>
      <c r="BL88" s="66">
        <f t="shared" si="82"/>
        <v>11.145087792995657</v>
      </c>
      <c r="BM88" s="66">
        <f t="shared" si="82"/>
        <v>11.032490307541357</v>
      </c>
      <c r="BN88" s="66">
        <f t="shared" si="82"/>
        <v>10.916088100667386</v>
      </c>
    </row>
    <row r="89" spans="1:66" outlineLevel="1" x14ac:dyDescent="0.2">
      <c r="A89"/>
      <c r="B89" t="s">
        <v>217</v>
      </c>
      <c r="C89" s="54" t="s">
        <v>153</v>
      </c>
      <c r="D89" s="44">
        <f>'BTX Recycling HC'!C214</f>
        <v>0</v>
      </c>
      <c r="E89" s="44">
        <f>'BTX Recycling HC'!D214</f>
        <v>-1.072732726938698E-2</v>
      </c>
      <c r="F89" s="44">
        <f>'BTX Recycling HC'!E214</f>
        <v>1.3453319674309169E-2</v>
      </c>
      <c r="G89" s="44">
        <f>'BTX Recycling HC'!F214</f>
        <v>4.0455022530981849E-2</v>
      </c>
      <c r="H89" s="44">
        <f>'BTX Recycling HC'!G214</f>
        <v>7.0323073520251911E-2</v>
      </c>
      <c r="I89" s="44">
        <f>'BTX Recycling HC'!H214</f>
        <v>0.10306997341614982</v>
      </c>
      <c r="J89" s="44">
        <f>'BTX Recycling HC'!I214</f>
        <v>0.13150392797856952</v>
      </c>
      <c r="K89" s="44">
        <f>'BTX Recycling HC'!J214</f>
        <v>0.16106708601345709</v>
      </c>
      <c r="L89" s="44">
        <f>'BTX Recycling HC'!K214</f>
        <v>0.19160286072242771</v>
      </c>
      <c r="M89" s="44">
        <f>'BTX Recycling HC'!L214</f>
        <v>0.22293226293690244</v>
      </c>
      <c r="N89" s="44">
        <f>'BTX Recycling HC'!M214</f>
        <v>0.25485317161799531</v>
      </c>
      <c r="O89" s="44">
        <f>'BTX Recycling HC'!N214</f>
        <v>0.29938000486737038</v>
      </c>
      <c r="P89" s="44">
        <f>'BTX Recycling HC'!O214</f>
        <v>0.34454329924240928</v>
      </c>
      <c r="Q89" s="44">
        <f>'BTX Recycling HC'!P214</f>
        <v>0.38974177806618454</v>
      </c>
      <c r="R89" s="44">
        <f>'BTX Recycling HC'!Q214</f>
        <v>0.43432910587959817</v>
      </c>
      <c r="S89" s="44">
        <f>'BTX Recycling HC'!R214</f>
        <v>0.47762169785464126</v>
      </c>
      <c r="T89" s="44">
        <f>'BTX Recycling HC'!S214</f>
        <v>0.5287288979656587</v>
      </c>
      <c r="U89" s="44">
        <f>'BTX Recycling HC'!T214</f>
        <v>0.58049001984863335</v>
      </c>
      <c r="V89" s="44">
        <f>'BTX Recycling HC'!U214</f>
        <v>0.6325832686675098</v>
      </c>
      <c r="W89" s="44">
        <f>'BTX Recycling HC'!V214</f>
        <v>0.68466141403768921</v>
      </c>
      <c r="X89" s="44">
        <f>'BTX Recycling HC'!W214</f>
        <v>0.73635118649005504</v>
      </c>
      <c r="Y89" s="44">
        <f>'BTX Recycling HC'!X214</f>
        <v>0.80980175065447446</v>
      </c>
      <c r="Z89" s="44">
        <f>'BTX Recycling HC'!Y214</f>
        <v>0.88283423234276404</v>
      </c>
      <c r="AA89" s="44">
        <f>'BTX Recycling HC'!Z214</f>
        <v>0.95479732520494687</v>
      </c>
      <c r="AB89" s="44">
        <f>'BTX Recycling HC'!AA214</f>
        <v>1.0249943431644746</v>
      </c>
      <c r="AC89" s="44">
        <f>'BTX Recycling HC'!AB214</f>
        <v>1.0926822365205171</v>
      </c>
      <c r="AD89" s="44">
        <f>'BTX Recycling HC'!AC214</f>
        <v>1.1444438274986972</v>
      </c>
      <c r="AE89" s="44">
        <f>'BTX Recycling HC'!AD214</f>
        <v>1.1895343555748916</v>
      </c>
      <c r="AF89" s="44">
        <f>'BTX Recycling HC'!AE214</f>
        <v>1.2268248482889739</v>
      </c>
      <c r="AG89" s="44">
        <f>'BTX Recycling HC'!AF214</f>
        <v>1.2551248128167618</v>
      </c>
      <c r="AH89" s="44">
        <f>'BTX Recycling HC'!AG214</f>
        <v>1.2731811459193232</v>
      </c>
      <c r="AJ89" s="44">
        <f>D89</f>
        <v>0</v>
      </c>
      <c r="AK89" s="44">
        <f>E89</f>
        <v>-1.072732726938698E-2</v>
      </c>
      <c r="AL89" s="44">
        <f>F89</f>
        <v>1.3453319674309169E-2</v>
      </c>
      <c r="AM89" s="44">
        <f t="shared" ref="AM89:BB90" si="83">G89</f>
        <v>4.0455022530981849E-2</v>
      </c>
      <c r="AN89" s="44">
        <f t="shared" si="83"/>
        <v>7.0323073520251911E-2</v>
      </c>
      <c r="AO89" s="44">
        <f t="shared" si="83"/>
        <v>0.10306997341614982</v>
      </c>
      <c r="AP89" s="44">
        <f t="shared" si="83"/>
        <v>0.13150392797856952</v>
      </c>
      <c r="AQ89" s="44">
        <f t="shared" si="83"/>
        <v>0.16106708601345709</v>
      </c>
      <c r="AR89" s="44">
        <f t="shared" si="83"/>
        <v>0.19160286072242771</v>
      </c>
      <c r="AS89" s="44">
        <f t="shared" si="83"/>
        <v>0.22293226293690244</v>
      </c>
      <c r="AT89" s="44">
        <f t="shared" si="83"/>
        <v>0.25485317161799531</v>
      </c>
      <c r="AU89" s="44">
        <f t="shared" si="83"/>
        <v>0.29938000486737038</v>
      </c>
      <c r="AV89" s="44">
        <f t="shared" si="83"/>
        <v>0.34454329924240928</v>
      </c>
      <c r="AW89" s="44">
        <f t="shared" si="83"/>
        <v>0.38974177806618454</v>
      </c>
      <c r="AX89" s="44">
        <f t="shared" si="83"/>
        <v>0.43432910587959817</v>
      </c>
      <c r="AY89" s="44">
        <f t="shared" si="83"/>
        <v>0.47762169785464126</v>
      </c>
      <c r="AZ89" s="44">
        <f t="shared" si="83"/>
        <v>0.5287288979656587</v>
      </c>
      <c r="BA89" s="44">
        <f t="shared" si="83"/>
        <v>0.58049001984863335</v>
      </c>
      <c r="BB89" s="44">
        <f t="shared" si="83"/>
        <v>0.6325832686675098</v>
      </c>
      <c r="BC89" s="44">
        <f t="shared" ref="BC89:BN90" si="84">W89</f>
        <v>0.68466141403768921</v>
      </c>
      <c r="BD89" s="44">
        <f t="shared" si="84"/>
        <v>0.73635118649005504</v>
      </c>
      <c r="BE89" s="44">
        <f t="shared" si="84"/>
        <v>0.80980175065447446</v>
      </c>
      <c r="BF89" s="44">
        <f t="shared" si="84"/>
        <v>0.88283423234276404</v>
      </c>
      <c r="BG89" s="44">
        <f t="shared" si="84"/>
        <v>0.95479732520494687</v>
      </c>
      <c r="BH89" s="44">
        <f t="shared" si="84"/>
        <v>1.0249943431644746</v>
      </c>
      <c r="BI89" s="44">
        <f t="shared" si="84"/>
        <v>1.0926822365205171</v>
      </c>
      <c r="BJ89" s="44">
        <f t="shared" si="84"/>
        <v>1.1444438274986972</v>
      </c>
      <c r="BK89" s="44">
        <f t="shared" si="84"/>
        <v>1.1895343555748916</v>
      </c>
      <c r="BL89" s="44">
        <f t="shared" si="84"/>
        <v>1.2268248482889739</v>
      </c>
      <c r="BM89" s="44">
        <f t="shared" si="84"/>
        <v>1.2551248128167618</v>
      </c>
      <c r="BN89" s="44">
        <f t="shared" si="84"/>
        <v>1.2731811459193232</v>
      </c>
    </row>
    <row r="90" spans="1:66" outlineLevel="1" x14ac:dyDescent="0.2">
      <c r="A90"/>
      <c r="B90" t="s">
        <v>222</v>
      </c>
      <c r="C90" s="54" t="s">
        <v>153</v>
      </c>
      <c r="D90" s="44">
        <f>'BTX Recycling HC'!C87</f>
        <v>0</v>
      </c>
      <c r="E90" s="44">
        <f>'BTX Recycling HC'!D87</f>
        <v>1.5123082173807978E-2</v>
      </c>
      <c r="F90" s="44">
        <f>'BTX Recycling HC'!E87</f>
        <v>2.693364218933253E-2</v>
      </c>
      <c r="G90" s="44">
        <f>'BTX Recycling HC'!F87</f>
        <v>3.8288435350550432E-2</v>
      </c>
      <c r="H90" s="44">
        <f>'BTX Recycling HC'!G87</f>
        <v>4.8079973627867922E-2</v>
      </c>
      <c r="I90" s="44">
        <f>'BTX Recycling HC'!H87</f>
        <v>5.6210436771865935E-2</v>
      </c>
      <c r="J90" s="44">
        <f>'BTX Recycling HC'!I87</f>
        <v>6.3598508603228132E-2</v>
      </c>
      <c r="K90" s="44">
        <f>'BTX Recycling HC'!J87</f>
        <v>7.0216392998809884E-2</v>
      </c>
      <c r="L90" s="44">
        <f>'BTX Recycling HC'!K87</f>
        <v>7.6038223078995881E-2</v>
      </c>
      <c r="M90" s="44">
        <f>'BTX Recycling HC'!L87</f>
        <v>8.1040193670004979E-2</v>
      </c>
      <c r="N90" s="44">
        <f>'BTX Recycling HC'!M87</f>
        <v>8.5200688309340578E-2</v>
      </c>
      <c r="O90" s="44">
        <f>'BTX Recycling HC'!N87</f>
        <v>9.5810338865095102E-2</v>
      </c>
      <c r="P90" s="44">
        <f>'BTX Recycling HC'!O87</f>
        <v>0.10338001527173862</v>
      </c>
      <c r="Q90" s="44">
        <f>'BTX Recycling HC'!P87</f>
        <v>0.10788764004950807</v>
      </c>
      <c r="R90" s="44">
        <f>'BTX Recycling HC'!Q87</f>
        <v>0.10934444619282585</v>
      </c>
      <c r="S90" s="44">
        <f>'BTX Recycling HC'!R87</f>
        <v>0.10779474384141691</v>
      </c>
      <c r="T90" s="44">
        <f>'BTX Recycling HC'!S87</f>
        <v>0.10422337496287731</v>
      </c>
      <c r="U90" s="44">
        <f>'BTX Recycling HC'!T87</f>
        <v>9.87054340680939E-2</v>
      </c>
      <c r="V90" s="44">
        <f>'BTX Recycling HC'!U87</f>
        <v>9.1320715968197297E-2</v>
      </c>
      <c r="W90" s="44">
        <f>'BTX Recycling HC'!V87</f>
        <v>8.2153705160535273E-2</v>
      </c>
      <c r="X90" s="44">
        <f>'BTX Recycling HC'!W87</f>
        <v>7.1293559465711864E-2</v>
      </c>
      <c r="Y90" s="44">
        <f>'BTX Recycling HC'!X87</f>
        <v>6.8473348796910916E-2</v>
      </c>
      <c r="Z90" s="44">
        <f>'BTX Recycling HC'!Y87</f>
        <v>6.2892368991934733E-2</v>
      </c>
      <c r="AA90" s="44">
        <f>'BTX Recycling HC'!Z87</f>
        <v>5.4697584664071819E-2</v>
      </c>
      <c r="AB90" s="44">
        <f>'BTX Recycling HC'!AA87</f>
        <v>4.4043161141475884E-2</v>
      </c>
      <c r="AC90" s="44">
        <f>'BTX Recycling HC'!AB87</f>
        <v>3.1090423584553883E-2</v>
      </c>
      <c r="AD90" s="44">
        <f>'BTX Recycling HC'!AC87</f>
        <v>1.6011748020976713E-2</v>
      </c>
      <c r="AE90" s="44">
        <f>'BTX Recycling HC'!AD87</f>
        <v>-1.0178549769356282E-3</v>
      </c>
      <c r="AF90" s="44">
        <f>'BTX Recycling HC'!AE87</f>
        <v>-1.9816489423987671E-2</v>
      </c>
      <c r="AG90" s="44">
        <f>'BTX Recycling HC'!AF87</f>
        <v>-4.0195430912931096E-2</v>
      </c>
      <c r="AH90" s="43">
        <f>'BTX Recycling HC'!AG87</f>
        <v>-6.1959191154238036E-2</v>
      </c>
      <c r="AJ90" s="44">
        <f>D90</f>
        <v>0</v>
      </c>
      <c r="AK90" s="44">
        <f t="shared" ref="AK90:AZ90" si="85">E90</f>
        <v>1.5123082173807978E-2</v>
      </c>
      <c r="AL90" s="44">
        <f t="shared" si="85"/>
        <v>2.693364218933253E-2</v>
      </c>
      <c r="AM90" s="44">
        <f t="shared" si="85"/>
        <v>3.8288435350550432E-2</v>
      </c>
      <c r="AN90" s="44">
        <f t="shared" si="85"/>
        <v>4.8079973627867922E-2</v>
      </c>
      <c r="AO90" s="44">
        <f t="shared" si="85"/>
        <v>5.6210436771865935E-2</v>
      </c>
      <c r="AP90" s="44">
        <f t="shared" si="85"/>
        <v>6.3598508603228132E-2</v>
      </c>
      <c r="AQ90" s="44">
        <f t="shared" si="85"/>
        <v>7.0216392998809884E-2</v>
      </c>
      <c r="AR90" s="44">
        <f t="shared" si="85"/>
        <v>7.6038223078995881E-2</v>
      </c>
      <c r="AS90" s="44">
        <f t="shared" si="85"/>
        <v>8.1040193670004979E-2</v>
      </c>
      <c r="AT90" s="44">
        <f t="shared" si="85"/>
        <v>8.5200688309340578E-2</v>
      </c>
      <c r="AU90" s="44">
        <f t="shared" si="85"/>
        <v>9.5810338865095102E-2</v>
      </c>
      <c r="AV90" s="44">
        <f t="shared" si="85"/>
        <v>0.10338001527173862</v>
      </c>
      <c r="AW90" s="44">
        <f t="shared" si="85"/>
        <v>0.10788764004950807</v>
      </c>
      <c r="AX90" s="44">
        <f t="shared" si="85"/>
        <v>0.10934444619282585</v>
      </c>
      <c r="AY90" s="44">
        <f t="shared" si="85"/>
        <v>0.10779474384141691</v>
      </c>
      <c r="AZ90" s="44">
        <f t="shared" si="85"/>
        <v>0.10422337496287731</v>
      </c>
      <c r="BA90" s="44">
        <f t="shared" si="83"/>
        <v>9.87054340680939E-2</v>
      </c>
      <c r="BB90" s="44">
        <f t="shared" si="83"/>
        <v>9.1320715968197297E-2</v>
      </c>
      <c r="BC90" s="44">
        <f t="shared" si="84"/>
        <v>8.2153705160535273E-2</v>
      </c>
      <c r="BD90" s="44">
        <f t="shared" si="84"/>
        <v>7.1293559465711864E-2</v>
      </c>
      <c r="BE90" s="44">
        <f t="shared" si="84"/>
        <v>6.8473348796910916E-2</v>
      </c>
      <c r="BF90" s="44">
        <f t="shared" si="84"/>
        <v>6.2892368991934733E-2</v>
      </c>
      <c r="BG90" s="44">
        <f t="shared" si="84"/>
        <v>5.4697584664071819E-2</v>
      </c>
      <c r="BH90" s="44">
        <f t="shared" si="84"/>
        <v>4.4043161141475884E-2</v>
      </c>
      <c r="BI90" s="44">
        <f t="shared" si="84"/>
        <v>3.1090423584553883E-2</v>
      </c>
      <c r="BJ90" s="44">
        <f t="shared" si="84"/>
        <v>1.6011748020976713E-2</v>
      </c>
      <c r="BK90" s="44">
        <f t="shared" si="84"/>
        <v>-1.0178549769356282E-3</v>
      </c>
      <c r="BL90" s="44">
        <f t="shared" si="84"/>
        <v>-1.9816489423987671E-2</v>
      </c>
      <c r="BM90" s="44">
        <f t="shared" si="84"/>
        <v>-4.0195430912931096E-2</v>
      </c>
      <c r="BN90" s="43">
        <f t="shared" si="84"/>
        <v>-6.1959191154238036E-2</v>
      </c>
    </row>
    <row r="91" spans="1:66" outlineLevel="1" x14ac:dyDescent="0.2">
      <c r="A91" s="62"/>
      <c r="B91" s="62" t="s">
        <v>219</v>
      </c>
      <c r="C91" s="54" t="s">
        <v>153</v>
      </c>
      <c r="D91" s="64">
        <f>IF(D88-D89-D90&lt;0,0,D88-D89-D90)</f>
        <v>13.012248975360578</v>
      </c>
      <c r="E91" s="64">
        <f t="shared" ref="E91:AG91" si="86">IF(E88-E89-E90&lt;0,0,E88-E89-E90)</f>
        <v>12.743923603247849</v>
      </c>
      <c r="F91" s="64">
        <f t="shared" si="86"/>
        <v>12.436658167383941</v>
      </c>
      <c r="G91" s="64">
        <f t="shared" si="86"/>
        <v>12.119553581901545</v>
      </c>
      <c r="H91" s="64">
        <f t="shared" si="86"/>
        <v>11.793540843311815</v>
      </c>
      <c r="I91" s="64">
        <f t="shared" si="86"/>
        <v>11.458572094132952</v>
      </c>
      <c r="J91" s="64">
        <f t="shared" si="86"/>
        <v>11.120785262583437</v>
      </c>
      <c r="K91" s="64">
        <f t="shared" si="86"/>
        <v>10.774628780583317</v>
      </c>
      <c r="L91" s="64">
        <f t="shared" si="86"/>
        <v>10.420145824893027</v>
      </c>
      <c r="M91" s="64">
        <f t="shared" si="86"/>
        <v>10.057397822716117</v>
      </c>
      <c r="N91" s="64">
        <f t="shared" si="86"/>
        <v>9.6864650251116853</v>
      </c>
      <c r="O91" s="64">
        <f t="shared" si="86"/>
        <v>9.4213857523867812</v>
      </c>
      <c r="P91" s="64">
        <f t="shared" si="86"/>
        <v>9.1529066172161464</v>
      </c>
      <c r="Q91" s="64">
        <f t="shared" si="86"/>
        <v>8.8815490149818093</v>
      </c>
      <c r="R91" s="64">
        <f t="shared" si="86"/>
        <v>8.6078445519047424</v>
      </c>
      <c r="S91" s="64">
        <f t="shared" si="86"/>
        <v>8.3323274475104903</v>
      </c>
      <c r="T91" s="64">
        <f t="shared" si="86"/>
        <v>8.0447968800399554</v>
      </c>
      <c r="U91" s="64">
        <f t="shared" si="86"/>
        <v>7.7522302028500976</v>
      </c>
      <c r="V91" s="64">
        <f t="shared" si="86"/>
        <v>7.4547595524732531</v>
      </c>
      <c r="W91" s="64">
        <f t="shared" si="86"/>
        <v>7.1525361636935978</v>
      </c>
      <c r="X91" s="64">
        <f t="shared" si="86"/>
        <v>6.8457309665315718</v>
      </c>
      <c r="Y91" s="64">
        <f t="shared" si="86"/>
        <v>6.428736924703939</v>
      </c>
      <c r="Z91" s="64">
        <f t="shared" si="86"/>
        <v>6.0064141047481288</v>
      </c>
      <c r="AA91" s="64">
        <f t="shared" si="86"/>
        <v>5.5791220107080326</v>
      </c>
      <c r="AB91" s="64">
        <f t="shared" si="86"/>
        <v>5.1472561732267703</v>
      </c>
      <c r="AC91" s="64">
        <f t="shared" si="86"/>
        <v>4.7112491445494973</v>
      </c>
      <c r="AD91" s="64">
        <f t="shared" si="86"/>
        <v>4.2841943417660708</v>
      </c>
      <c r="AE91" s="64">
        <f t="shared" si="86"/>
        <v>3.8565078872390757</v>
      </c>
      <c r="AF91" s="64">
        <f t="shared" si="86"/>
        <v>3.4289809559467659</v>
      </c>
      <c r="AG91" s="64">
        <f t="shared" si="86"/>
        <v>3.0024571095173807</v>
      </c>
      <c r="AH91" s="581">
        <f>IF(AH88-AH89-AH90&lt;0,0,AH88-AH89-AH90)</f>
        <v>2.5778334190202887</v>
      </c>
      <c r="AI91" s="44"/>
      <c r="AJ91" s="64">
        <f>IF(AJ88-AJ89-AJ90&lt;0,0,AJ88-AJ89-AJ90)</f>
        <v>13.012248975360578</v>
      </c>
      <c r="AK91" s="64">
        <f t="shared" ref="AK91:BN91" si="87">IF(AK88-AK89-AK90&lt;0,0,AK88-AK89-AK90)</f>
        <v>12.947165305944633</v>
      </c>
      <c r="AL91" s="64">
        <f t="shared" si="87"/>
        <v>12.847594742201412</v>
      </c>
      <c r="AM91" s="64">
        <f t="shared" si="87"/>
        <v>12.742711377331883</v>
      </c>
      <c r="AN91" s="64">
        <f t="shared" si="87"/>
        <v>12.633520455852235</v>
      </c>
      <c r="AO91" s="64">
        <f t="shared" si="87"/>
        <v>12.520049451860682</v>
      </c>
      <c r="AP91" s="64">
        <f t="shared" si="87"/>
        <v>12.40851272356136</v>
      </c>
      <c r="AQ91" s="64">
        <f t="shared" si="87"/>
        <v>12.293436246291192</v>
      </c>
      <c r="AR91" s="64">
        <f t="shared" si="87"/>
        <v>12.174941868881648</v>
      </c>
      <c r="AS91" s="64">
        <f t="shared" si="87"/>
        <v>12.053170834684348</v>
      </c>
      <c r="AT91" s="64">
        <f t="shared" si="87"/>
        <v>11.92828437060883</v>
      </c>
      <c r="AU91" s="64">
        <f t="shared" si="87"/>
        <v>11.847658445599757</v>
      </c>
      <c r="AV91" s="64">
        <f t="shared" si="87"/>
        <v>11.767405098779401</v>
      </c>
      <c r="AW91" s="64">
        <f t="shared" si="87"/>
        <v>11.688106244323007</v>
      </c>
      <c r="AX91" s="64">
        <f t="shared" si="87"/>
        <v>11.610354880486847</v>
      </c>
      <c r="AY91" s="64">
        <f t="shared" si="87"/>
        <v>11.534747503943771</v>
      </c>
      <c r="AZ91" s="64">
        <f t="shared" si="87"/>
        <v>11.451146467219125</v>
      </c>
      <c r="BA91" s="64">
        <f t="shared" si="87"/>
        <v>11.366593207273914</v>
      </c>
      <c r="BB91" s="64">
        <f t="shared" si="87"/>
        <v>11.281284865905764</v>
      </c>
      <c r="BC91" s="64">
        <f t="shared" si="87"/>
        <v>11.19543861732835</v>
      </c>
      <c r="BD91" s="64">
        <f t="shared" si="87"/>
        <v>11.109292277822089</v>
      </c>
      <c r="BE91" s="64">
        <f t="shared" si="87"/>
        <v>10.954111620210032</v>
      </c>
      <c r="BF91" s="64">
        <f t="shared" si="87"/>
        <v>10.798826989198183</v>
      </c>
      <c r="BG91" s="64">
        <f t="shared" si="87"/>
        <v>10.643880945214043</v>
      </c>
      <c r="BH91" s="64">
        <f t="shared" si="87"/>
        <v>10.489753268028547</v>
      </c>
      <c r="BI91" s="64">
        <f t="shared" si="87"/>
        <v>10.336961967924363</v>
      </c>
      <c r="BJ91" s="64">
        <f t="shared" si="87"/>
        <v>10.198687145315052</v>
      </c>
      <c r="BK91" s="64">
        <f t="shared" si="87"/>
        <v>10.065432847763327</v>
      </c>
      <c r="BL91" s="64">
        <f t="shared" si="87"/>
        <v>9.9380794341306711</v>
      </c>
      <c r="BM91" s="64">
        <f t="shared" si="87"/>
        <v>9.817560925637526</v>
      </c>
      <c r="BN91" s="64">
        <f t="shared" si="87"/>
        <v>9.7048661459022991</v>
      </c>
    </row>
    <row r="92" spans="1:66" s="67" customFormat="1" outlineLevel="1" x14ac:dyDescent="0.2">
      <c r="A92" s="681"/>
      <c r="B92" s="58" t="s">
        <v>7</v>
      </c>
      <c r="C92" s="59" t="s">
        <v>153</v>
      </c>
      <c r="D92" s="60">
        <f>D51</f>
        <v>0</v>
      </c>
      <c r="E92" s="60">
        <f t="shared" ref="E92:AH92" si="88">E51</f>
        <v>0</v>
      </c>
      <c r="F92" s="60">
        <f t="shared" si="88"/>
        <v>0</v>
      </c>
      <c r="G92" s="60">
        <f t="shared" si="88"/>
        <v>0</v>
      </c>
      <c r="H92" s="60">
        <f t="shared" si="88"/>
        <v>0</v>
      </c>
      <c r="I92" s="60">
        <f t="shared" si="88"/>
        <v>0</v>
      </c>
      <c r="J92" s="60">
        <f t="shared" si="88"/>
        <v>0</v>
      </c>
      <c r="K92" s="60">
        <f t="shared" si="88"/>
        <v>0</v>
      </c>
      <c r="L92" s="60">
        <f t="shared" si="88"/>
        <v>0</v>
      </c>
      <c r="M92" s="60">
        <f t="shared" si="88"/>
        <v>0</v>
      </c>
      <c r="N92" s="60">
        <f t="shared" si="88"/>
        <v>0</v>
      </c>
      <c r="O92" s="60">
        <f t="shared" si="88"/>
        <v>0</v>
      </c>
      <c r="P92" s="60">
        <f t="shared" si="88"/>
        <v>0</v>
      </c>
      <c r="Q92" s="60">
        <f t="shared" si="88"/>
        <v>0</v>
      </c>
      <c r="R92" s="60">
        <f t="shared" si="88"/>
        <v>0</v>
      </c>
      <c r="S92" s="60">
        <f t="shared" si="88"/>
        <v>0</v>
      </c>
      <c r="T92" s="60">
        <f t="shared" si="88"/>
        <v>0</v>
      </c>
      <c r="U92" s="60">
        <f t="shared" si="88"/>
        <v>0</v>
      </c>
      <c r="V92" s="60">
        <f t="shared" si="88"/>
        <v>0</v>
      </c>
      <c r="W92" s="60">
        <f t="shared" si="88"/>
        <v>0</v>
      </c>
      <c r="X92" s="60">
        <f t="shared" si="88"/>
        <v>0</v>
      </c>
      <c r="Y92" s="60">
        <f t="shared" si="88"/>
        <v>0</v>
      </c>
      <c r="Z92" s="60">
        <f t="shared" si="88"/>
        <v>0</v>
      </c>
      <c r="AA92" s="60">
        <f t="shared" si="88"/>
        <v>0</v>
      </c>
      <c r="AB92" s="60">
        <f t="shared" si="88"/>
        <v>0</v>
      </c>
      <c r="AC92" s="60">
        <f t="shared" si="88"/>
        <v>0</v>
      </c>
      <c r="AD92" s="60">
        <f t="shared" si="88"/>
        <v>0</v>
      </c>
      <c r="AE92" s="60">
        <f t="shared" si="88"/>
        <v>0</v>
      </c>
      <c r="AF92" s="60">
        <f t="shared" si="88"/>
        <v>0</v>
      </c>
      <c r="AG92" s="60">
        <f t="shared" si="88"/>
        <v>0</v>
      </c>
      <c r="AH92" s="582">
        <f t="shared" si="88"/>
        <v>0</v>
      </c>
      <c r="AJ92" s="60">
        <f>AJ51</f>
        <v>0</v>
      </c>
      <c r="AK92" s="60">
        <f t="shared" ref="AK92:BN92" si="89">AK51</f>
        <v>0</v>
      </c>
      <c r="AL92" s="60">
        <f t="shared" si="89"/>
        <v>0</v>
      </c>
      <c r="AM92" s="60">
        <f t="shared" si="89"/>
        <v>0</v>
      </c>
      <c r="AN92" s="60">
        <f t="shared" si="89"/>
        <v>0</v>
      </c>
      <c r="AO92" s="60">
        <f t="shared" si="89"/>
        <v>0</v>
      </c>
      <c r="AP92" s="60">
        <f t="shared" si="89"/>
        <v>0</v>
      </c>
      <c r="AQ92" s="60">
        <f t="shared" si="89"/>
        <v>0</v>
      </c>
      <c r="AR92" s="60">
        <f t="shared" si="89"/>
        <v>0</v>
      </c>
      <c r="AS92" s="60">
        <f t="shared" si="89"/>
        <v>0</v>
      </c>
      <c r="AT92" s="60">
        <f t="shared" si="89"/>
        <v>0</v>
      </c>
      <c r="AU92" s="60">
        <f t="shared" si="89"/>
        <v>0</v>
      </c>
      <c r="AV92" s="60">
        <f t="shared" si="89"/>
        <v>0</v>
      </c>
      <c r="AW92" s="60">
        <f t="shared" si="89"/>
        <v>0</v>
      </c>
      <c r="AX92" s="60">
        <f t="shared" si="89"/>
        <v>0</v>
      </c>
      <c r="AY92" s="60">
        <f t="shared" si="89"/>
        <v>0</v>
      </c>
      <c r="AZ92" s="60">
        <f t="shared" si="89"/>
        <v>0</v>
      </c>
      <c r="BA92" s="60">
        <f t="shared" si="89"/>
        <v>0</v>
      </c>
      <c r="BB92" s="60">
        <f t="shared" si="89"/>
        <v>0</v>
      </c>
      <c r="BC92" s="60">
        <f t="shared" si="89"/>
        <v>0</v>
      </c>
      <c r="BD92" s="60">
        <f t="shared" si="89"/>
        <v>0</v>
      </c>
      <c r="BE92" s="60">
        <f t="shared" si="89"/>
        <v>0</v>
      </c>
      <c r="BF92" s="60">
        <f t="shared" si="89"/>
        <v>0</v>
      </c>
      <c r="BG92" s="60">
        <f t="shared" si="89"/>
        <v>0</v>
      </c>
      <c r="BH92" s="60">
        <f t="shared" si="89"/>
        <v>0</v>
      </c>
      <c r="BI92" s="60">
        <f t="shared" si="89"/>
        <v>0</v>
      </c>
      <c r="BJ92" s="60">
        <f t="shared" si="89"/>
        <v>0</v>
      </c>
      <c r="BK92" s="60">
        <f t="shared" si="89"/>
        <v>0</v>
      </c>
      <c r="BL92" s="60">
        <f t="shared" si="89"/>
        <v>0</v>
      </c>
      <c r="BM92" s="60">
        <f t="shared" si="89"/>
        <v>0</v>
      </c>
      <c r="BN92" s="60">
        <f t="shared" si="89"/>
        <v>0</v>
      </c>
    </row>
    <row r="93" spans="1:66" outlineLevel="1" x14ac:dyDescent="0.2">
      <c r="A93" s="682"/>
      <c r="B93" s="1" t="s">
        <v>8</v>
      </c>
      <c r="C93" s="54" t="s">
        <v>153</v>
      </c>
      <c r="D93" s="44">
        <f>D52-'Overall recycling rates'!$G$61/SUM('Overall recycling rates'!$G$61:$G$62)*('BTX Recycling HC'!C215+'BTX Recycling HC'!C88)-'Overall recycling rates'!$E$61/SUM('Overall recycling rates'!$E$61:$E$62)*('BTX Recycling HC'!C216+'BTX Recycling HC'!C89)-'Overall recycling rates'!$H$61/SUM('Overall recycling rates'!$H$61:$H$62)*('BTX Recycling HC'!C217+'BTX Recycling HC'!C90)-'Overall recycling rates'!$I$61/SUM('Overall recycling rates'!$I$61:$I$62)*('BTX Recycling HC'!C218+'BTX Recycling HC'!C91)</f>
        <v>1.4471127044065453</v>
      </c>
      <c r="E93" s="44">
        <f>E52-'Overall recycling rates'!$G$61/SUM('Overall recycling rates'!$G$61:$G$62)*('BTX Recycling HC'!D215+'BTX Recycling HC'!D88)-'Overall recycling rates'!$E$61/SUM('Overall recycling rates'!$E$61:$E$62)*('BTX Recycling HC'!D216+'BTX Recycling HC'!D89)-'Overall recycling rates'!$H$61/SUM('Overall recycling rates'!$H$61:$H$62)*('BTX Recycling HC'!D217+'BTX Recycling HC'!D90)-'Overall recycling rates'!$I$61/SUM('Overall recycling rates'!$I$61:$I$62)*('BTX Recycling HC'!D218+'BTX Recycling HC'!D91)</f>
        <v>1.412677521249772</v>
      </c>
      <c r="F93" s="44">
        <f>F52-'Overall recycling rates'!$G$61/SUM('Overall recycling rates'!$G$61:$G$62)*('BTX Recycling HC'!E215+'BTX Recycling HC'!E88)-'Overall recycling rates'!$E$61/SUM('Overall recycling rates'!$E$61:$E$62)*('BTX Recycling HC'!E216+'BTX Recycling HC'!E89)-'Overall recycling rates'!$H$61/SUM('Overall recycling rates'!$H$61:$H$62)*('BTX Recycling HC'!E217+'BTX Recycling HC'!E90)-'Overall recycling rates'!$I$61/SUM('Overall recycling rates'!$I$61:$I$62)*('BTX Recycling HC'!E218+'BTX Recycling HC'!E91)</f>
        <v>1.37254704983371</v>
      </c>
      <c r="G93" s="44">
        <f>G52-'Overall recycling rates'!$G$61/SUM('Overall recycling rates'!$G$61:$G$62)*('BTX Recycling HC'!F215+'BTX Recycling HC'!F88)-'Overall recycling rates'!$E$61/SUM('Overall recycling rates'!$E$61:$E$62)*('BTX Recycling HC'!F216+'BTX Recycling HC'!F89)-'Overall recycling rates'!$H$61/SUM('Overall recycling rates'!$H$61:$H$62)*('BTX Recycling HC'!F217+'BTX Recycling HC'!F90)-'Overall recycling rates'!$I$61/SUM('Overall recycling rates'!$I$61:$I$62)*('BTX Recycling HC'!F218+'BTX Recycling HC'!F91)</f>
        <v>1.3309736979806022</v>
      </c>
      <c r="H93" s="44">
        <f>H52-'Overall recycling rates'!$G$61/SUM('Overall recycling rates'!$G$61:$G$62)*('BTX Recycling HC'!G215+'BTX Recycling HC'!G88)-'Overall recycling rates'!$E$61/SUM('Overall recycling rates'!$E$61:$E$62)*('BTX Recycling HC'!G216+'BTX Recycling HC'!G89)-'Overall recycling rates'!$H$61/SUM('Overall recycling rates'!$H$61:$H$62)*('BTX Recycling HC'!G217+'BTX Recycling HC'!G90)-'Overall recycling rates'!$I$61/SUM('Overall recycling rates'!$I$61:$I$62)*('BTX Recycling HC'!G218+'BTX Recycling HC'!G91)</f>
        <v>1.2881311082240601</v>
      </c>
      <c r="I93" s="44">
        <f>I52-'Overall recycling rates'!$G$61/SUM('Overall recycling rates'!$G$61:$G$62)*('BTX Recycling HC'!H215+'BTX Recycling HC'!H88)-'Overall recycling rates'!$E$61/SUM('Overall recycling rates'!$E$61:$E$62)*('BTX Recycling HC'!H216+'BTX Recycling HC'!H89)-'Overall recycling rates'!$H$61/SUM('Overall recycling rates'!$H$61:$H$62)*('BTX Recycling HC'!H217+'BTX Recycling HC'!H90)-'Overall recycling rates'!$I$61/SUM('Overall recycling rates'!$I$61:$I$62)*('BTX Recycling HC'!H218+'BTX Recycling HC'!H91)</f>
        <v>1.2440746947048469</v>
      </c>
      <c r="J93" s="44">
        <f>J52-'Overall recycling rates'!$G$61/SUM('Overall recycling rates'!$G$61:$G$62)*('BTX Recycling HC'!I215+'BTX Recycling HC'!I88)-'Overall recycling rates'!$E$61/SUM('Overall recycling rates'!$E$61:$E$62)*('BTX Recycling HC'!I216+'BTX Recycling HC'!I89)-'Overall recycling rates'!$H$61/SUM('Overall recycling rates'!$H$61:$H$62)*('BTX Recycling HC'!I217+'BTX Recycling HC'!I90)-'Overall recycling rates'!$I$61/SUM('Overall recycling rates'!$I$61:$I$62)*('BTX Recycling HC'!I218+'BTX Recycling HC'!I91)</f>
        <v>1.1997041222501095</v>
      </c>
      <c r="K93" s="44">
        <f>K52-'Overall recycling rates'!$G$61/SUM('Overall recycling rates'!$G$61:$G$62)*('BTX Recycling HC'!J215+'BTX Recycling HC'!J88)-'Overall recycling rates'!$E$61/SUM('Overall recycling rates'!$E$61:$E$62)*('BTX Recycling HC'!J216+'BTX Recycling HC'!J89)-'Overall recycling rates'!$H$61/SUM('Overall recycling rates'!$H$61:$H$62)*('BTX Recycling HC'!J217+'BTX Recycling HC'!J90)-'Overall recycling rates'!$I$61/SUM('Overall recycling rates'!$I$61:$I$62)*('BTX Recycling HC'!J218+'BTX Recycling HC'!J91)</f>
        <v>1.1542594118752478</v>
      </c>
      <c r="L93" s="44">
        <f>L52-'Overall recycling rates'!$G$61/SUM('Overall recycling rates'!$G$61:$G$62)*('BTX Recycling HC'!K215+'BTX Recycling HC'!K88)-'Overall recycling rates'!$E$61/SUM('Overall recycling rates'!$E$61:$E$62)*('BTX Recycling HC'!K216+'BTX Recycling HC'!K89)-'Overall recycling rates'!$H$61/SUM('Overall recycling rates'!$H$61:$H$62)*('BTX Recycling HC'!K217+'BTX Recycling HC'!K90)-'Overall recycling rates'!$I$61/SUM('Overall recycling rates'!$I$61:$I$62)*('BTX Recycling HC'!K218+'BTX Recycling HC'!K91)</f>
        <v>1.1077799369597254</v>
      </c>
      <c r="M93" s="44">
        <f>M52-'Overall recycling rates'!$G$61/SUM('Overall recycling rates'!$G$61:$G$62)*('BTX Recycling HC'!L215+'BTX Recycling HC'!L88)-'Overall recycling rates'!$E$61/SUM('Overall recycling rates'!$E$61:$E$62)*('BTX Recycling HC'!L216+'BTX Recycling HC'!L89)-'Overall recycling rates'!$H$61/SUM('Overall recycling rates'!$H$61:$H$62)*('BTX Recycling HC'!L217+'BTX Recycling HC'!L90)-'Overall recycling rates'!$I$61/SUM('Overall recycling rates'!$I$61:$I$62)*('BTX Recycling HC'!L218+'BTX Recycling HC'!L91)</f>
        <v>1.060308795796389</v>
      </c>
      <c r="N93" s="44">
        <f>N52-'Overall recycling rates'!$G$61/SUM('Overall recycling rates'!$G$61:$G$62)*('BTX Recycling HC'!M215+'BTX Recycling HC'!M88)-'Overall recycling rates'!$E$61/SUM('Overall recycling rates'!$E$61:$E$62)*('BTX Recycling HC'!M216+'BTX Recycling HC'!M89)-'Overall recycling rates'!$H$61/SUM('Overall recycling rates'!$H$61:$H$62)*('BTX Recycling HC'!M217+'BTX Recycling HC'!M90)-'Overall recycling rates'!$I$61/SUM('Overall recycling rates'!$I$61:$I$62)*('BTX Recycling HC'!M218+'BTX Recycling HC'!M91)</f>
        <v>1.011892761913612</v>
      </c>
      <c r="O93" s="44">
        <f>O52-'Overall recycling rates'!$G$61/SUM('Overall recycling rates'!$G$61:$G$62)*('BTX Recycling HC'!N215+'BTX Recycling HC'!N88)-'Overall recycling rates'!$E$61/SUM('Overall recycling rates'!$E$61:$E$62)*('BTX Recycling HC'!N216+'BTX Recycling HC'!N89)-'Overall recycling rates'!$H$61/SUM('Overall recycling rates'!$H$61:$H$62)*('BTX Recycling HC'!N217+'BTX Recycling HC'!N90)-'Overall recycling rates'!$I$61/SUM('Overall recycling rates'!$I$61:$I$62)*('BTX Recycling HC'!N218+'BTX Recycling HC'!N91)</f>
        <v>0.97390155371714271</v>
      </c>
      <c r="P93" s="44">
        <f>P52-'Overall recycling rates'!$G$61/SUM('Overall recycling rates'!$G$61:$G$62)*('BTX Recycling HC'!O215+'BTX Recycling HC'!O88)-'Overall recycling rates'!$E$61/SUM('Overall recycling rates'!$E$61:$E$62)*('BTX Recycling HC'!O216+'BTX Recycling HC'!O89)-'Overall recycling rates'!$H$61/SUM('Overall recycling rates'!$H$61:$H$62)*('BTX Recycling HC'!O217+'BTX Recycling HC'!O90)-'Overall recycling rates'!$I$61/SUM('Overall recycling rates'!$I$61:$I$62)*('BTX Recycling HC'!O218+'BTX Recycling HC'!O91)</f>
        <v>0.93570090667447636</v>
      </c>
      <c r="Q93" s="44">
        <f>Q52-'Overall recycling rates'!$G$61/SUM('Overall recycling rates'!$G$61:$G$62)*('BTX Recycling HC'!P215+'BTX Recycling HC'!P88)-'Overall recycling rates'!$E$61/SUM('Overall recycling rates'!$E$61:$E$62)*('BTX Recycling HC'!P216+'BTX Recycling HC'!P89)-'Overall recycling rates'!$H$61/SUM('Overall recycling rates'!$H$61:$H$62)*('BTX Recycling HC'!P217+'BTX Recycling HC'!P90)-'Overall recycling rates'!$I$61/SUM('Overall recycling rates'!$I$61:$I$62)*('BTX Recycling HC'!P218+'BTX Recycling HC'!P91)</f>
        <v>0.89747826376881601</v>
      </c>
      <c r="R93" s="44">
        <f>R52-'Overall recycling rates'!$G$61/SUM('Overall recycling rates'!$G$61:$G$62)*('BTX Recycling HC'!Q215+'BTX Recycling HC'!Q88)-'Overall recycling rates'!$E$61/SUM('Overall recycling rates'!$E$61:$E$62)*('BTX Recycling HC'!Q216+'BTX Recycling HC'!Q89)-'Overall recycling rates'!$H$61/SUM('Overall recycling rates'!$H$61:$H$62)*('BTX Recycling HC'!Q217+'BTX Recycling HC'!Q90)-'Overall recycling rates'!$I$61/SUM('Overall recycling rates'!$I$61:$I$62)*('BTX Recycling HC'!Q218+'BTX Recycling HC'!Q91)</f>
        <v>0.85941907675914275</v>
      </c>
      <c r="S93" s="44">
        <f>S52-'Overall recycling rates'!$G$61/SUM('Overall recycling rates'!$G$61:$G$62)*('BTX Recycling HC'!R215+'BTX Recycling HC'!R88)-'Overall recycling rates'!$E$61/SUM('Overall recycling rates'!$E$61:$E$62)*('BTX Recycling HC'!R216+'BTX Recycling HC'!R89)-'Overall recycling rates'!$H$61/SUM('Overall recycling rates'!$H$61:$H$62)*('BTX Recycling HC'!R217+'BTX Recycling HC'!R90)-'Overall recycling rates'!$I$61/SUM('Overall recycling rates'!$I$61:$I$62)*('BTX Recycling HC'!R218+'BTX Recycling HC'!R91)</f>
        <v>0.82170380138513499</v>
      </c>
      <c r="T93" s="44">
        <f>T52-'Overall recycling rates'!$G$61/SUM('Overall recycling rates'!$G$61:$G$62)*('BTX Recycling HC'!S215+'BTX Recycling HC'!S88)-'Overall recycling rates'!$E$61/SUM('Overall recycling rates'!$E$61:$E$62)*('BTX Recycling HC'!S216+'BTX Recycling HC'!S89)-'Overall recycling rates'!$H$61/SUM('Overall recycling rates'!$H$61:$H$62)*('BTX Recycling HC'!S217+'BTX Recycling HC'!S90)-'Overall recycling rates'!$I$61/SUM('Overall recycling rates'!$I$61:$I$62)*('BTX Recycling HC'!S218+'BTX Recycling HC'!S91)</f>
        <v>0.78282937913864736</v>
      </c>
      <c r="U93" s="44">
        <f>U52-'Overall recycling rates'!$G$61/SUM('Overall recycling rates'!$G$61:$G$62)*('BTX Recycling HC'!T215+'BTX Recycling HC'!T88)-'Overall recycling rates'!$E$61/SUM('Overall recycling rates'!$E$61:$E$62)*('BTX Recycling HC'!T216+'BTX Recycling HC'!T89)-'Overall recycling rates'!$H$61/SUM('Overall recycling rates'!$H$61:$H$62)*('BTX Recycling HC'!T217+'BTX Recycling HC'!T90)-'Overall recycling rates'!$I$61/SUM('Overall recycling rates'!$I$61:$I$62)*('BTX Recycling HC'!T218+'BTX Recycling HC'!T91)</f>
        <v>0.74385292237263734</v>
      </c>
      <c r="V93" s="44">
        <f>V52-'Overall recycling rates'!$G$61/SUM('Overall recycling rates'!$G$61:$G$62)*('BTX Recycling HC'!U215+'BTX Recycling HC'!U88)-'Overall recycling rates'!$E$61/SUM('Overall recycling rates'!$E$61:$E$62)*('BTX Recycling HC'!U216+'BTX Recycling HC'!U89)-'Overall recycling rates'!$H$61/SUM('Overall recycling rates'!$H$61:$H$62)*('BTX Recycling HC'!U217+'BTX Recycling HC'!U90)-'Overall recycling rates'!$I$61/SUM('Overall recycling rates'!$I$61:$I$62)*('BTX Recycling HC'!U218+'BTX Recycling HC'!U91)</f>
        <v>0.7048507139650152</v>
      </c>
      <c r="W93" s="44">
        <f>W52-'Overall recycling rates'!$G$61/SUM('Overall recycling rates'!$G$61:$G$62)*('BTX Recycling HC'!V215+'BTX Recycling HC'!V88)-'Overall recycling rates'!$E$61/SUM('Overall recycling rates'!$E$61:$E$62)*('BTX Recycling HC'!V216+'BTX Recycling HC'!V89)-'Overall recycling rates'!$H$61/SUM('Overall recycling rates'!$H$61:$H$62)*('BTX Recycling HC'!V217+'BTX Recycling HC'!V90)-'Overall recycling rates'!$I$61/SUM('Overall recycling rates'!$I$61:$I$62)*('BTX Recycling HC'!V218+'BTX Recycling HC'!V91)</f>
        <v>0.66589715063317734</v>
      </c>
      <c r="X93" s="44">
        <f>X52-'Overall recycling rates'!$G$61/SUM('Overall recycling rates'!$G$61:$G$62)*('BTX Recycling HC'!W215+'BTX Recycling HC'!W88)-'Overall recycling rates'!$E$61/SUM('Overall recycling rates'!$E$61:$E$62)*('BTX Recycling HC'!W216+'BTX Recycling HC'!W89)-'Overall recycling rates'!$H$61/SUM('Overall recycling rates'!$H$61:$H$62)*('BTX Recycling HC'!W217+'BTX Recycling HC'!W90)-'Overall recycling rates'!$I$61/SUM('Overall recycling rates'!$I$61:$I$62)*('BTX Recycling HC'!W218+'BTX Recycling HC'!W91)</f>
        <v>0.62706455679517903</v>
      </c>
      <c r="Y93" s="44">
        <f>Y52-'Overall recycling rates'!$G$61/SUM('Overall recycling rates'!$G$61:$G$62)*('BTX Recycling HC'!X215+'BTX Recycling HC'!X88)-'Overall recycling rates'!$E$61/SUM('Overall recycling rates'!$E$61:$E$62)*('BTX Recycling HC'!X216+'BTX Recycling HC'!X89)-'Overall recycling rates'!$H$61/SUM('Overall recycling rates'!$H$61:$H$62)*('BTX Recycling HC'!X217+'BTX Recycling HC'!X90)-'Overall recycling rates'!$I$61/SUM('Overall recycling rates'!$I$61:$I$62)*('BTX Recycling HC'!X218+'BTX Recycling HC'!X91)</f>
        <v>0.5735406166554905</v>
      </c>
      <c r="Z93" s="44">
        <f>Z52-'Overall recycling rates'!$G$61/SUM('Overall recycling rates'!$G$61:$G$62)*('BTX Recycling HC'!Y215+'BTX Recycling HC'!Y88)-'Overall recycling rates'!$E$61/SUM('Overall recycling rates'!$E$61:$E$62)*('BTX Recycling HC'!Y216+'BTX Recycling HC'!Y89)-'Overall recycling rates'!$H$61/SUM('Overall recycling rates'!$H$61:$H$62)*('BTX Recycling HC'!Y217+'BTX Recycling HC'!Y90)-'Overall recycling rates'!$I$61/SUM('Overall recycling rates'!$I$61:$I$62)*('BTX Recycling HC'!Y218+'BTX Recycling HC'!Y91)</f>
        <v>0.52022537604907304</v>
      </c>
      <c r="AA93" s="44">
        <f>AA52-'Overall recycling rates'!$G$61/SUM('Overall recycling rates'!$G$61:$G$62)*('BTX Recycling HC'!Z215+'BTX Recycling HC'!Z88)-'Overall recycling rates'!$E$61/SUM('Overall recycling rates'!$E$61:$E$62)*('BTX Recycling HC'!Z216+'BTX Recycling HC'!Z89)-'Overall recycling rates'!$H$61/SUM('Overall recycling rates'!$H$61:$H$62)*('BTX Recycling HC'!Z217+'BTX Recycling HC'!Z90)-'Overall recycling rates'!$I$61/SUM('Overall recycling rates'!$I$61:$I$62)*('BTX Recycling HC'!Z218+'BTX Recycling HC'!Z91)</f>
        <v>0.46723641282053535</v>
      </c>
      <c r="AB93" s="44">
        <f>AB52-'Overall recycling rates'!$G$61/SUM('Overall recycling rates'!$G$61:$G$62)*('BTX Recycling HC'!AA215+'BTX Recycling HC'!AA88)-'Overall recycling rates'!$E$61/SUM('Overall recycling rates'!$E$61:$E$62)*('BTX Recycling HC'!AA216+'BTX Recycling HC'!AA89)-'Overall recycling rates'!$H$61/SUM('Overall recycling rates'!$H$61:$H$62)*('BTX Recycling HC'!AA217+'BTX Recycling HC'!AA90)-'Overall recycling rates'!$I$61/SUM('Overall recycling rates'!$I$61:$I$62)*('BTX Recycling HC'!AA218+'BTX Recycling HC'!AA91)</f>
        <v>0.41468778172284104</v>
      </c>
      <c r="AC93" s="44">
        <f>AC52-'Overall recycling rates'!$G$61/SUM('Overall recycling rates'!$G$61:$G$62)*('BTX Recycling HC'!AB215+'BTX Recycling HC'!AB88)-'Overall recycling rates'!$E$61/SUM('Overall recycling rates'!$E$61:$E$62)*('BTX Recycling HC'!AB216+'BTX Recycling HC'!AB89)-'Overall recycling rates'!$H$61/SUM('Overall recycling rates'!$H$61:$H$62)*('BTX Recycling HC'!AB217+'BTX Recycling HC'!AB90)-'Overall recycling rates'!$I$61/SUM('Overall recycling rates'!$I$61:$I$62)*('BTX Recycling HC'!AB218+'BTX Recycling HC'!AB91)</f>
        <v>0.36268974527882908</v>
      </c>
      <c r="AD93" s="44">
        <f>AD52-'Overall recycling rates'!$G$61/SUM('Overall recycling rates'!$G$61:$G$62)*('BTX Recycling HC'!AC215+'BTX Recycling HC'!AC88)-'Overall recycling rates'!$E$61/SUM('Overall recycling rates'!$E$61:$E$62)*('BTX Recycling HC'!AC216+'BTX Recycling HC'!AC89)-'Overall recycling rates'!$H$61/SUM('Overall recycling rates'!$H$61:$H$62)*('BTX Recycling HC'!AC217+'BTX Recycling HC'!AC90)-'Overall recycling rates'!$I$61/SUM('Overall recycling rates'!$I$61:$I$62)*('BTX Recycling HC'!AC218+'BTX Recycling HC'!AC91)</f>
        <v>0.31314810804490101</v>
      </c>
      <c r="AE93" s="44">
        <f>AE52-'Overall recycling rates'!$G$61/SUM('Overall recycling rates'!$G$61:$G$62)*('BTX Recycling HC'!AD215+'BTX Recycling HC'!AD88)-'Overall recycling rates'!$E$61/SUM('Overall recycling rates'!$E$61:$E$62)*('BTX Recycling HC'!AD216+'BTX Recycling HC'!AD89)-'Overall recycling rates'!$H$61/SUM('Overall recycling rates'!$H$61:$H$62)*('BTX Recycling HC'!AD217+'BTX Recycling HC'!AD90)-'Overall recycling rates'!$I$61/SUM('Overall recycling rates'!$I$61:$I$62)*('BTX Recycling HC'!AD218+'BTX Recycling HC'!AD91)</f>
        <v>0.26472489727412446</v>
      </c>
      <c r="AF93" s="44">
        <f>AF52-'Overall recycling rates'!$G$61/SUM('Overall recycling rates'!$G$61:$G$62)*('BTX Recycling HC'!AE215+'BTX Recycling HC'!AE88)-'Overall recycling rates'!$E$61/SUM('Overall recycling rates'!$E$61:$E$62)*('BTX Recycling HC'!AE216+'BTX Recycling HC'!AE89)-'Overall recycling rates'!$H$61/SUM('Overall recycling rates'!$H$61:$H$62)*('BTX Recycling HC'!AE217+'BTX Recycling HC'!AE90)-'Overall recycling rates'!$I$61/SUM('Overall recycling rates'!$I$61:$I$62)*('BTX Recycling HC'!AE218+'BTX Recycling HC'!AE91)</f>
        <v>0.21755195503897581</v>
      </c>
      <c r="AG93" s="44">
        <f>AG52-'Overall recycling rates'!$G$61/SUM('Overall recycling rates'!$G$61:$G$62)*('BTX Recycling HC'!AF215+'BTX Recycling HC'!AF88)-'Overall recycling rates'!$E$61/SUM('Overall recycling rates'!$E$61:$E$62)*('BTX Recycling HC'!AF216+'BTX Recycling HC'!AF89)-'Overall recycling rates'!$H$61/SUM('Overall recycling rates'!$H$61:$H$62)*('BTX Recycling HC'!AF217+'BTX Recycling HC'!AF90)-'Overall recycling rates'!$I$61/SUM('Overall recycling rates'!$I$61:$I$62)*('BTX Recycling HC'!AF218+'BTX Recycling HC'!AF91)</f>
        <v>0.17175799126426672</v>
      </c>
      <c r="AH93" s="44">
        <f>AH52-'Overall recycling rates'!$G$61/SUM('Overall recycling rates'!$G$61:$G$62)*('BTX Recycling HC'!AG215+'BTX Recycling HC'!AG88)-'Overall recycling rates'!$E$61/SUM('Overall recycling rates'!$E$61:$E$62)*('BTX Recycling HC'!AG216+'BTX Recycling HC'!AG89)-'Overall recycling rates'!$H$61/SUM('Overall recycling rates'!$H$61:$H$62)*('BTX Recycling HC'!AG217+'BTX Recycling HC'!AG90)-'Overall recycling rates'!$I$61/SUM('Overall recycling rates'!$I$61:$I$62)*('BTX Recycling HC'!AG218+'BTX Recycling HC'!AG91)</f>
        <v>0.12746836481055795</v>
      </c>
      <c r="AJ93" s="44">
        <f>AJ52-'Overall recycling rates'!$G$61/SUM('Overall recycling rates'!$G$61:$G$62)*('BTX Recycling HC'!C215+'BTX Recycling HC'!C88)-'Overall recycling rates'!$E$61/SUM('Overall recycling rates'!$E$61:$E$62)*('BTX Recycling HC'!C216+'BTX Recycling HC'!C89)-'Overall recycling rates'!$H$61/SUM('Overall recycling rates'!$H$61:$H$62)*('BTX Recycling HC'!C217+'BTX Recycling HC'!C90)-'Overall recycling rates'!$I$61/SUM('Overall recycling rates'!$I$61:$I$62)*('BTX Recycling HC'!C218+'BTX Recycling HC'!C91)</f>
        <v>1.4471127044065453</v>
      </c>
      <c r="AK93" s="44">
        <f>AK52-'Overall recycling rates'!$G$61/SUM('Overall recycling rates'!$G$61:$G$62)*('BTX Recycling HC'!D215+'BTX Recycling HC'!D88)-'Overall recycling rates'!$E$61/SUM('Overall recycling rates'!$E$61:$E$62)*('BTX Recycling HC'!D216+'BTX Recycling HC'!D89)-'Overall recycling rates'!$H$61/SUM('Overall recycling rates'!$H$61:$H$62)*('BTX Recycling HC'!D217+'BTX Recycling HC'!D90)-'Overall recycling rates'!$I$61/SUM('Overall recycling rates'!$I$61:$I$62)*('BTX Recycling HC'!D218+'BTX Recycling HC'!D91)</f>
        <v>1.4352803511368006</v>
      </c>
      <c r="AL93" s="44">
        <f>AL52-'Overall recycling rates'!$G$61/SUM('Overall recycling rates'!$G$61:$G$62)*('BTX Recycling HC'!E215+'BTX Recycling HC'!E88)-'Overall recycling rates'!$E$61/SUM('Overall recycling rates'!$E$61:$E$62)*('BTX Recycling HC'!E216+'BTX Recycling HC'!E89)-'Overall recycling rates'!$H$61/SUM('Overall recycling rates'!$H$61:$H$62)*('BTX Recycling HC'!E217+'BTX Recycling HC'!E90)-'Overall recycling rates'!$I$61/SUM('Overall recycling rates'!$I$61:$I$62)*('BTX Recycling HC'!E218+'BTX Recycling HC'!E91)</f>
        <v>1.4182479535936763</v>
      </c>
      <c r="AM93" s="44">
        <f>AM52-'Overall recycling rates'!$G$61/SUM('Overall recycling rates'!$G$61:$G$62)*('BTX Recycling HC'!F215+'BTX Recycling HC'!F88)-'Overall recycling rates'!$E$61/SUM('Overall recycling rates'!$E$61:$E$62)*('BTX Recycling HC'!F216+'BTX Recycling HC'!F89)-'Overall recycling rates'!$H$61/SUM('Overall recycling rates'!$H$61:$H$62)*('BTX Recycling HC'!F217+'BTX Recycling HC'!F90)-'Overall recycling rates'!$I$61/SUM('Overall recycling rates'!$I$61:$I$62)*('BTX Recycling HC'!F218+'BTX Recycling HC'!F91)</f>
        <v>1.4002760579588647</v>
      </c>
      <c r="AN93" s="44">
        <f>AN52-'Overall recycling rates'!$G$61/SUM('Overall recycling rates'!$G$61:$G$62)*('BTX Recycling HC'!G215+'BTX Recycling HC'!G88)-'Overall recycling rates'!$E$61/SUM('Overall recycling rates'!$E$61:$E$62)*('BTX Recycling HC'!G216+'BTX Recycling HC'!G89)-'Overall recycling rates'!$H$61/SUM('Overall recycling rates'!$H$61:$H$62)*('BTX Recycling HC'!G217+'BTX Recycling HC'!G90)-'Overall recycling rates'!$I$61/SUM('Overall recycling rates'!$I$61:$I$62)*('BTX Recycling HC'!G218+'BTX Recycling HC'!G91)</f>
        <v>1.3815465640035667</v>
      </c>
      <c r="AO93" s="44">
        <f>AO52-'Overall recycling rates'!$G$61/SUM('Overall recycling rates'!$G$61:$G$62)*('BTX Recycling HC'!H215+'BTX Recycling HC'!H88)-'Overall recycling rates'!$E$61/SUM('Overall recycling rates'!$E$61:$E$62)*('BTX Recycling HC'!H216+'BTX Recycling HC'!H89)-'Overall recycling rates'!$H$61/SUM('Overall recycling rates'!$H$61:$H$62)*('BTX Recycling HC'!H217+'BTX Recycling HC'!H90)-'Overall recycling rates'!$I$61/SUM('Overall recycling rates'!$I$61:$I$62)*('BTX Recycling HC'!H218+'BTX Recycling HC'!H91)</f>
        <v>1.3621232636122154</v>
      </c>
      <c r="AP93" s="44">
        <f>AP52-'Overall recycling rates'!$G$61/SUM('Overall recycling rates'!$G$61:$G$62)*('BTX Recycling HC'!I215+'BTX Recycling HC'!I88)-'Overall recycling rates'!$E$61/SUM('Overall recycling rates'!$E$61:$E$62)*('BTX Recycling HC'!I216+'BTX Recycling HC'!I89)-'Overall recycling rates'!$H$61/SUM('Overall recycling rates'!$H$61:$H$62)*('BTX Recycling HC'!I217+'BTX Recycling HC'!I90)-'Overall recycling rates'!$I$61/SUM('Overall recycling rates'!$I$61:$I$62)*('BTX Recycling HC'!I218+'BTX Recycling HC'!I91)</f>
        <v>1.3429143215110482</v>
      </c>
      <c r="AQ93" s="44">
        <f>AQ52-'Overall recycling rates'!$G$61/SUM('Overall recycling rates'!$G$61:$G$62)*('BTX Recycling HC'!J215+'BTX Recycling HC'!J88)-'Overall recycling rates'!$E$61/SUM('Overall recycling rates'!$E$61:$E$62)*('BTX Recycling HC'!J216+'BTX Recycling HC'!J89)-'Overall recycling rates'!$H$61/SUM('Overall recycling rates'!$H$61:$H$62)*('BTX Recycling HC'!J217+'BTX Recycling HC'!J90)-'Overall recycling rates'!$I$61/SUM('Overall recycling rates'!$I$61:$I$62)*('BTX Recycling HC'!J218+'BTX Recycling HC'!J91)</f>
        <v>1.3231683824409968</v>
      </c>
      <c r="AR93" s="44">
        <f>AR52-'Overall recycling rates'!$G$61/SUM('Overall recycling rates'!$G$61:$G$62)*('BTX Recycling HC'!K215+'BTX Recycling HC'!K88)-'Overall recycling rates'!$E$61/SUM('Overall recycling rates'!$E$61:$E$62)*('BTX Recycling HC'!K216+'BTX Recycling HC'!K89)-'Overall recycling rates'!$H$61/SUM('Overall recycling rates'!$H$61:$H$62)*('BTX Recycling HC'!K217+'BTX Recycling HC'!K90)-'Overall recycling rates'!$I$61/SUM('Overall recycling rates'!$I$61:$I$62)*('BTX Recycling HC'!K218+'BTX Recycling HC'!K91)</f>
        <v>1.3029335690264614</v>
      </c>
      <c r="AS93" s="44">
        <f>AS52-'Overall recycling rates'!$G$61/SUM('Overall recycling rates'!$G$61:$G$62)*('BTX Recycling HC'!L215+'BTX Recycling HC'!L88)-'Overall recycling rates'!$E$61/SUM('Overall recycling rates'!$E$61:$E$62)*('BTX Recycling HC'!L216+'BTX Recycling HC'!L89)-'Overall recycling rates'!$H$61/SUM('Overall recycling rates'!$H$61:$H$62)*('BTX Recycling HC'!L217+'BTX Recycling HC'!L90)-'Overall recycling rates'!$I$61/SUM('Overall recycling rates'!$I$61:$I$62)*('BTX Recycling HC'!L218+'BTX Recycling HC'!L91)</f>
        <v>1.2822618560398364</v>
      </c>
      <c r="AT93" s="44">
        <f>AT52-'Overall recycling rates'!$G$61/SUM('Overall recycling rates'!$G$61:$G$62)*('BTX Recycling HC'!M215+'BTX Recycling HC'!M88)-'Overall recycling rates'!$E$61/SUM('Overall recycling rates'!$E$61:$E$62)*('BTX Recycling HC'!M216+'BTX Recycling HC'!M89)-'Overall recycling rates'!$H$61/SUM('Overall recycling rates'!$H$61:$H$62)*('BTX Recycling HC'!M217+'BTX Recycling HC'!M90)-'Overall recycling rates'!$I$61/SUM('Overall recycling rates'!$I$61:$I$62)*('BTX Recycling HC'!M218+'BTX Recycling HC'!M91)</f>
        <v>1.2612090224613692</v>
      </c>
      <c r="AU93" s="44">
        <f>AU52-'Overall recycling rates'!$G$61/SUM('Overall recycling rates'!$G$61:$G$62)*('BTX Recycling HC'!N215+'BTX Recycling HC'!N88)-'Overall recycling rates'!$E$61/SUM('Overall recycling rates'!$E$61:$E$62)*('BTX Recycling HC'!N216+'BTX Recycling HC'!N89)-'Overall recycling rates'!$H$61/SUM('Overall recycling rates'!$H$61:$H$62)*('BTX Recycling HC'!N217+'BTX Recycling HC'!N90)-'Overall recycling rates'!$I$61/SUM('Overall recycling rates'!$I$61:$I$62)*('BTX Recycling HC'!N218+'BTX Recycling HC'!N91)</f>
        <v>1.2437311616005784</v>
      </c>
      <c r="AV93" s="44">
        <f>AV52-'Overall recycling rates'!$G$61/SUM('Overall recycling rates'!$G$61:$G$62)*('BTX Recycling HC'!O215+'BTX Recycling HC'!O88)-'Overall recycling rates'!$E$61/SUM('Overall recycling rates'!$E$61:$E$62)*('BTX Recycling HC'!O216+'BTX Recycling HC'!O89)-'Overall recycling rates'!$H$61/SUM('Overall recycling rates'!$H$61:$H$62)*('BTX Recycling HC'!O217+'BTX Recycling HC'!O90)-'Overall recycling rates'!$I$61/SUM('Overall recycling rates'!$I$61:$I$62)*('BTX Recycling HC'!O218+'BTX Recycling HC'!O91)</f>
        <v>1.2264634009585949</v>
      </c>
      <c r="AW93" s="44">
        <f>AW52-'Overall recycling rates'!$G$61/SUM('Overall recycling rates'!$G$61:$G$62)*('BTX Recycling HC'!P215+'BTX Recycling HC'!P88)-'Overall recycling rates'!$E$61/SUM('Overall recycling rates'!$E$61:$E$62)*('BTX Recycling HC'!P216+'BTX Recycling HC'!P89)-'Overall recycling rates'!$H$61/SUM('Overall recycling rates'!$H$61:$H$62)*('BTX Recycling HC'!P217+'BTX Recycling HC'!P90)-'Overall recycling rates'!$I$61/SUM('Overall recycling rates'!$I$61:$I$62)*('BTX Recycling HC'!P218+'BTX Recycling HC'!P91)</f>
        <v>1.2095999139089399</v>
      </c>
      <c r="AX93" s="44">
        <f>AX52-'Overall recycling rates'!$G$61/SUM('Overall recycling rates'!$G$61:$G$62)*('BTX Recycling HC'!Q215+'BTX Recycling HC'!Q88)-'Overall recycling rates'!$E$61/SUM('Overall recycling rates'!$E$61:$E$62)*('BTX Recycling HC'!Q216+'BTX Recycling HC'!Q89)-'Overall recycling rates'!$H$61/SUM('Overall recycling rates'!$H$61:$H$62)*('BTX Recycling HC'!Q217+'BTX Recycling HC'!Q90)-'Overall recycling rates'!$I$61/SUM('Overall recycling rates'!$I$61:$I$62)*('BTX Recycling HC'!Q218+'BTX Recycling HC'!Q91)</f>
        <v>1.1933329797155401</v>
      </c>
      <c r="AY93" s="44">
        <f>AY52-'Overall recycling rates'!$G$61/SUM('Overall recycling rates'!$G$61:$G$62)*('BTX Recycling HC'!R215+'BTX Recycling HC'!R88)-'Overall recycling rates'!$E$61/SUM('Overall recycling rates'!$E$61:$E$62)*('BTX Recycling HC'!R216+'BTX Recycling HC'!R89)-'Overall recycling rates'!$H$61/SUM('Overall recycling rates'!$H$61:$H$62)*('BTX Recycling HC'!R217+'BTX Recycling HC'!R90)-'Overall recycling rates'!$I$61/SUM('Overall recycling rates'!$I$61:$I$62)*('BTX Recycling HC'!R218+'BTX Recycling HC'!R91)</f>
        <v>1.1778499800577198</v>
      </c>
      <c r="AZ93" s="44">
        <f>AZ52-'Overall recycling rates'!$G$61/SUM('Overall recycling rates'!$G$61:$G$62)*('BTX Recycling HC'!S215+'BTX Recycling HC'!S88)-'Overall recycling rates'!$E$61/SUM('Overall recycling rates'!$E$61:$E$62)*('BTX Recycling HC'!S216+'BTX Recycling HC'!S89)-'Overall recycling rates'!$H$61/SUM('Overall recycling rates'!$H$61:$H$62)*('BTX Recycling HC'!S217+'BTX Recycling HC'!S90)-'Overall recycling rates'!$I$61/SUM('Overall recycling rates'!$I$61:$I$62)*('BTX Recycling HC'!S218+'BTX Recycling HC'!S91)</f>
        <v>1.1616548821390134</v>
      </c>
      <c r="BA93" s="44">
        <f>BA52-'Overall recycling rates'!$G$61/SUM('Overall recycling rates'!$G$61:$G$62)*('BTX Recycling HC'!T215+'BTX Recycling HC'!T88)-'Overall recycling rates'!$E$61/SUM('Overall recycling rates'!$E$61:$E$62)*('BTX Recycling HC'!T216+'BTX Recycling HC'!T89)-'Overall recycling rates'!$H$61/SUM('Overall recycling rates'!$H$61:$H$62)*('BTX Recycling HC'!T217+'BTX Recycling HC'!T90)-'Overall recycling rates'!$I$61/SUM('Overall recycling rates'!$I$61:$I$62)*('BTX Recycling HC'!T218+'BTX Recycling HC'!T91)</f>
        <v>1.1458119251509238</v>
      </c>
      <c r="BB93" s="44">
        <f>BB52-'Overall recycling rates'!$G$61/SUM('Overall recycling rates'!$G$61:$G$62)*('BTX Recycling HC'!U215+'BTX Recycling HC'!U88)-'Overall recycling rates'!$E$61/SUM('Overall recycling rates'!$E$61:$E$62)*('BTX Recycling HC'!U216+'BTX Recycling HC'!U89)-'Overall recycling rates'!$H$61/SUM('Overall recycling rates'!$H$61:$H$62)*('BTX Recycling HC'!U217+'BTX Recycling HC'!U90)-'Overall recycling rates'!$I$61/SUM('Overall recycling rates'!$I$61:$I$62)*('BTX Recycling HC'!U218+'BTX Recycling HC'!U91)</f>
        <v>1.1304046213093049</v>
      </c>
      <c r="BC93" s="44">
        <f>BC52-'Overall recycling rates'!$G$61/SUM('Overall recycling rates'!$G$61:$G$62)*('BTX Recycling HC'!V215+'BTX Recycling HC'!V88)-'Overall recycling rates'!$E$61/SUM('Overall recycling rates'!$E$61:$E$62)*('BTX Recycling HC'!V216+'BTX Recycling HC'!V89)-'Overall recycling rates'!$H$61/SUM('Overall recycling rates'!$H$61:$H$62)*('BTX Recycling HC'!V217+'BTX Recycling HC'!V90)-'Overall recycling rates'!$I$61/SUM('Overall recycling rates'!$I$61:$I$62)*('BTX Recycling HC'!V218+'BTX Recycling HC'!V91)</f>
        <v>1.1155147005593709</v>
      </c>
      <c r="BD93" s="44">
        <f>BD52-'Overall recycling rates'!$G$61/SUM('Overall recycling rates'!$G$61:$G$62)*('BTX Recycling HC'!W215+'BTX Recycling HC'!W88)-'Overall recycling rates'!$E$61/SUM('Overall recycling rates'!$E$61:$E$62)*('BTX Recycling HC'!W216+'BTX Recycling HC'!W89)-'Overall recycling rates'!$H$61/SUM('Overall recycling rates'!$H$61:$H$62)*('BTX Recycling HC'!W217+'BTX Recycling HC'!W90)-'Overall recycling rates'!$I$61/SUM('Overall recycling rates'!$I$61:$I$62)*('BTX Recycling HC'!W218+'BTX Recycling HC'!W91)</f>
        <v>1.101221925845502</v>
      </c>
      <c r="BE93" s="44">
        <f>BE52-'Overall recycling rates'!$G$61/SUM('Overall recycling rates'!$G$61:$G$62)*('BTX Recycling HC'!X215+'BTX Recycling HC'!X88)-'Overall recycling rates'!$E$61/SUM('Overall recycling rates'!$E$61:$E$62)*('BTX Recycling HC'!X216+'BTX Recycling HC'!X89)-'Overall recycling rates'!$H$61/SUM('Overall recycling rates'!$H$61:$H$62)*('BTX Recycling HC'!X217+'BTX Recycling HC'!X90)-'Overall recycling rates'!$I$61/SUM('Overall recycling rates'!$I$61:$I$62)*('BTX Recycling HC'!X218+'BTX Recycling HC'!X91)</f>
        <v>1.0768146645519876</v>
      </c>
      <c r="BF93" s="44">
        <f>BF52-'Overall recycling rates'!$G$61/SUM('Overall recycling rates'!$G$61:$G$62)*('BTX Recycling HC'!Y215+'BTX Recycling HC'!Y88)-'Overall recycling rates'!$E$61/SUM('Overall recycling rates'!$E$61:$E$62)*('BTX Recycling HC'!Y216+'BTX Recycling HC'!Y89)-'Overall recycling rates'!$H$61/SUM('Overall recycling rates'!$H$61:$H$62)*('BTX Recycling HC'!Y217+'BTX Recycling HC'!Y90)-'Overall recycling rates'!$I$61/SUM('Overall recycling rates'!$I$61:$I$62)*('BTX Recycling HC'!Y218+'BTX Recycling HC'!Y91)</f>
        <v>1.053197161555284</v>
      </c>
      <c r="BG93" s="44">
        <f>BG52-'Overall recycling rates'!$G$61/SUM('Overall recycling rates'!$G$61:$G$62)*('BTX Recycling HC'!Z215+'BTX Recycling HC'!Z88)-'Overall recycling rates'!$E$61/SUM('Overall recycling rates'!$E$61:$E$62)*('BTX Recycling HC'!Z216+'BTX Recycling HC'!Z89)-'Overall recycling rates'!$H$61/SUM('Overall recycling rates'!$H$61:$H$62)*('BTX Recycling HC'!Z217+'BTX Recycling HC'!Z90)-'Overall recycling rates'!$I$61/SUM('Overall recycling rates'!$I$61:$I$62)*('BTX Recycling HC'!Z218+'BTX Recycling HC'!Z91)</f>
        <v>1.030496231531244</v>
      </c>
      <c r="BH93" s="44">
        <f>BH52-'Overall recycling rates'!$G$61/SUM('Overall recycling rates'!$G$61:$G$62)*('BTX Recycling HC'!AA215+'BTX Recycling HC'!AA88)-'Overall recycling rates'!$E$61/SUM('Overall recycling rates'!$E$61:$E$62)*('BTX Recycling HC'!AA216+'BTX Recycling HC'!AA89)-'Overall recycling rates'!$H$61/SUM('Overall recycling rates'!$H$61:$H$62)*('BTX Recycling HC'!AA217+'BTX Recycling HC'!AA90)-'Overall recycling rates'!$I$61/SUM('Overall recycling rates'!$I$61:$I$62)*('BTX Recycling HC'!AA218+'BTX Recycling HC'!AA91)</f>
        <v>1.0088352987110392</v>
      </c>
      <c r="BI93" s="44">
        <f>BI52-'Overall recycling rates'!$G$61/SUM('Overall recycling rates'!$G$61:$G$62)*('BTX Recycling HC'!AB215+'BTX Recycling HC'!AB88)-'Overall recycling rates'!$E$61/SUM('Overall recycling rates'!$E$61:$E$62)*('BTX Recycling HC'!AB216+'BTX Recycling HC'!AB89)-'Overall recycling rates'!$H$61/SUM('Overall recycling rates'!$H$61:$H$62)*('BTX Recycling HC'!AB217+'BTX Recycling HC'!AB90)-'Overall recycling rates'!$I$61/SUM('Overall recycling rates'!$I$61:$I$62)*('BTX Recycling HC'!AB218+'BTX Recycling HC'!AB91)</f>
        <v>0.98833412954046529</v>
      </c>
      <c r="BJ93" s="44">
        <f>BJ52-'Overall recycling rates'!$G$61/SUM('Overall recycling rates'!$G$61:$G$62)*('BTX Recycling HC'!AC215+'BTX Recycling HC'!AC88)-'Overall recycling rates'!$E$61/SUM('Overall recycling rates'!$E$61:$E$62)*('BTX Recycling HC'!AC216+'BTX Recycling HC'!AC89)-'Overall recycling rates'!$H$61/SUM('Overall recycling rates'!$H$61:$H$62)*('BTX Recycling HC'!AC217+'BTX Recycling HC'!AC90)-'Overall recycling rates'!$I$61/SUM('Overall recycling rates'!$I$61:$I$62)*('BTX Recycling HC'!AC218+'BTX Recycling HC'!AC91)</f>
        <v>0.97090816876489261</v>
      </c>
      <c r="BK93" s="44">
        <f>BK52-'Overall recycling rates'!$G$61/SUM('Overall recycling rates'!$G$61:$G$62)*('BTX Recycling HC'!AD215+'BTX Recycling HC'!AD88)-'Overall recycling rates'!$E$61/SUM('Overall recycling rates'!$E$61:$E$62)*('BTX Recycling HC'!AD216+'BTX Recycling HC'!AD89)-'Overall recycling rates'!$H$61/SUM('Overall recycling rates'!$H$61:$H$62)*('BTX Recycling HC'!AD217+'BTX Recycling HC'!AD90)-'Overall recycling rates'!$I$61/SUM('Overall recycling rates'!$I$61:$I$62)*('BTX Recycling HC'!AD218+'BTX Recycling HC'!AD91)</f>
        <v>0.95522922193738469</v>
      </c>
      <c r="BL93" s="44">
        <f>BL52-'Overall recycling rates'!$G$61/SUM('Overall recycling rates'!$G$61:$G$62)*('BTX Recycling HC'!AE215+'BTX Recycling HC'!AE88)-'Overall recycling rates'!$E$61/SUM('Overall recycling rates'!$E$61:$E$62)*('BTX Recycling HC'!AE216+'BTX Recycling HC'!AE89)-'Overall recycling rates'!$H$61/SUM('Overall recycling rates'!$H$61:$H$62)*('BTX Recycling HC'!AE217+'BTX Recycling HC'!AE90)-'Overall recycling rates'!$I$61/SUM('Overall recycling rates'!$I$61:$I$62)*('BTX Recycling HC'!AE218+'BTX Recycling HC'!AE91)</f>
        <v>0.94143904941054823</v>
      </c>
      <c r="BM93" s="44">
        <f>BM52-'Overall recycling rates'!$G$61/SUM('Overall recycling rates'!$G$61:$G$62)*('BTX Recycling HC'!AF215+'BTX Recycling HC'!AF88)-'Overall recycling rates'!$E$61/SUM('Overall recycling rates'!$E$61:$E$62)*('BTX Recycling HC'!AF216+'BTX Recycling HC'!AF89)-'Overall recycling rates'!$H$61/SUM('Overall recycling rates'!$H$61:$H$62)*('BTX Recycling HC'!AF217+'BTX Recycling HC'!AF90)-'Overall recycling rates'!$I$61/SUM('Overall recycling rates'!$I$61:$I$62)*('BTX Recycling HC'!AF218+'BTX Recycling HC'!AF91)</f>
        <v>0.92967642126292893</v>
      </c>
      <c r="BN93" s="44">
        <f>BN52-'Overall recycling rates'!$G$61/SUM('Overall recycling rates'!$G$61:$G$62)*('BTX Recycling HC'!AG215+'BTX Recycling HC'!AG88)-'Overall recycling rates'!$E$61/SUM('Overall recycling rates'!$E$61:$E$62)*('BTX Recycling HC'!AG216+'BTX Recycling HC'!AG89)-'Overall recycling rates'!$H$61/SUM('Overall recycling rates'!$H$61:$H$62)*('BTX Recycling HC'!AG217+'BTX Recycling HC'!AG90)-'Overall recycling rates'!$I$61/SUM('Overall recycling rates'!$I$61:$I$62)*('BTX Recycling HC'!AG218+'BTX Recycling HC'!AG91)</f>
        <v>0.92007690030058731</v>
      </c>
    </row>
    <row r="94" spans="1:66" s="68" customFormat="1" outlineLevel="1" x14ac:dyDescent="0.2">
      <c r="A94" s="683"/>
      <c r="B94" s="62" t="s">
        <v>166</v>
      </c>
      <c r="C94" s="283" t="s">
        <v>153</v>
      </c>
      <c r="D94" s="284">
        <f>D53-'Overall recycling rates'!$G$62/SUM('Overall recycling rates'!$G$61:$G$62)*('BTX Recycling HC'!C215+'BTX Recycling HC'!C88)-'Overall recycling rates'!$E$62/SUM('Overall recycling rates'!$E$61:$E$62)*('BTX Recycling HC'!C216+'BTX Recycling HC'!C89)-'Overall recycling rates'!$H$62/SUM('Overall recycling rates'!$H$61:$H$62)*('BTX Recycling HC'!C217+'BTX Recycling HC'!C90)-'Overall recycling rates'!$I$62/SUM('Overall recycling rates'!$I$61:$I$62)*('BTX Recycling HC'!C218+'BTX Recycling HC'!C91)</f>
        <v>11.565136270954032</v>
      </c>
      <c r="E94" s="284">
        <f>E53-'Overall recycling rates'!$G$62/SUM('Overall recycling rates'!$G$61:$G$62)*('BTX Recycling HC'!D215+'BTX Recycling HC'!D88)-'Overall recycling rates'!$E$62/SUM('Overall recycling rates'!$E$61:$E$62)*('BTX Recycling HC'!D216+'BTX Recycling HC'!D89)-'Overall recycling rates'!$H$62/SUM('Overall recycling rates'!$H$61:$H$62)*('BTX Recycling HC'!D217+'BTX Recycling HC'!D90)-'Overall recycling rates'!$I$62/SUM('Overall recycling rates'!$I$61:$I$62)*('BTX Recycling HC'!D218+'BTX Recycling HC'!D91)</f>
        <v>11.331246081998074</v>
      </c>
      <c r="F94" s="284">
        <f>F53-'Overall recycling rates'!$G$62/SUM('Overall recycling rates'!$G$61:$G$62)*('BTX Recycling HC'!E215+'BTX Recycling HC'!E88)-'Overall recycling rates'!$E$62/SUM('Overall recycling rates'!$E$61:$E$62)*('BTX Recycling HC'!E216+'BTX Recycling HC'!E89)-'Overall recycling rates'!$H$62/SUM('Overall recycling rates'!$H$61:$H$62)*('BTX Recycling HC'!E217+'BTX Recycling HC'!E90)-'Overall recycling rates'!$I$62/SUM('Overall recycling rates'!$I$61:$I$62)*('BTX Recycling HC'!E218+'BTX Recycling HC'!E91)</f>
        <v>11.06411111755023</v>
      </c>
      <c r="G94" s="284">
        <f>G53-'Overall recycling rates'!$G$62/SUM('Overall recycling rates'!$G$61:$G$62)*('BTX Recycling HC'!F215+'BTX Recycling HC'!F88)-'Overall recycling rates'!$E$62/SUM('Overall recycling rates'!$E$61:$E$62)*('BTX Recycling HC'!F216+'BTX Recycling HC'!F89)-'Overall recycling rates'!$H$62/SUM('Overall recycling rates'!$H$61:$H$62)*('BTX Recycling HC'!F217+'BTX Recycling HC'!F90)-'Overall recycling rates'!$I$62/SUM('Overall recycling rates'!$I$61:$I$62)*('BTX Recycling HC'!F218+'BTX Recycling HC'!F91)</f>
        <v>10.78857988392094</v>
      </c>
      <c r="H94" s="284">
        <f>H53-'Overall recycling rates'!$G$62/SUM('Overall recycling rates'!$G$61:$G$62)*('BTX Recycling HC'!G215+'BTX Recycling HC'!G88)-'Overall recycling rates'!$E$62/SUM('Overall recycling rates'!$E$61:$E$62)*('BTX Recycling HC'!G216+'BTX Recycling HC'!G89)-'Overall recycling rates'!$H$62/SUM('Overall recycling rates'!$H$61:$H$62)*('BTX Recycling HC'!G217+'BTX Recycling HC'!G90)-'Overall recycling rates'!$I$62/SUM('Overall recycling rates'!$I$61:$I$62)*('BTX Recycling HC'!G218+'BTX Recycling HC'!G91)</f>
        <v>10.505409735087754</v>
      </c>
      <c r="I94" s="284">
        <f>I53-'Overall recycling rates'!$G$62/SUM('Overall recycling rates'!$G$61:$G$62)*('BTX Recycling HC'!H215+'BTX Recycling HC'!H88)-'Overall recycling rates'!$E$62/SUM('Overall recycling rates'!$E$61:$E$62)*('BTX Recycling HC'!H216+'BTX Recycling HC'!H89)-'Overall recycling rates'!$H$62/SUM('Overall recycling rates'!$H$61:$H$62)*('BTX Recycling HC'!H217+'BTX Recycling HC'!H90)-'Overall recycling rates'!$I$62/SUM('Overall recycling rates'!$I$61:$I$62)*('BTX Recycling HC'!H218+'BTX Recycling HC'!H91)</f>
        <v>10.214497399428106</v>
      </c>
      <c r="J94" s="284">
        <f>J53-'Overall recycling rates'!$G$62/SUM('Overall recycling rates'!$G$61:$G$62)*('BTX Recycling HC'!I215+'BTX Recycling HC'!I88)-'Overall recycling rates'!$E$62/SUM('Overall recycling rates'!$E$61:$E$62)*('BTX Recycling HC'!I216+'BTX Recycling HC'!I89)-'Overall recycling rates'!$H$62/SUM('Overall recycling rates'!$H$61:$H$62)*('BTX Recycling HC'!I217+'BTX Recycling HC'!I90)-'Overall recycling rates'!$I$62/SUM('Overall recycling rates'!$I$61:$I$62)*('BTX Recycling HC'!I218+'BTX Recycling HC'!I91)</f>
        <v>9.9210811403333246</v>
      </c>
      <c r="K94" s="284">
        <f>K53-'Overall recycling rates'!$G$62/SUM('Overall recycling rates'!$G$61:$G$62)*('BTX Recycling HC'!J215+'BTX Recycling HC'!J88)-'Overall recycling rates'!$E$62/SUM('Overall recycling rates'!$E$61:$E$62)*('BTX Recycling HC'!J216+'BTX Recycling HC'!J89)-'Overall recycling rates'!$H$62/SUM('Overall recycling rates'!$H$61:$H$62)*('BTX Recycling HC'!J217+'BTX Recycling HC'!J90)-'Overall recycling rates'!$I$62/SUM('Overall recycling rates'!$I$61:$I$62)*('BTX Recycling HC'!J218+'BTX Recycling HC'!J91)</f>
        <v>9.6203693687080687</v>
      </c>
      <c r="L94" s="284">
        <f>L53-'Overall recycling rates'!$G$62/SUM('Overall recycling rates'!$G$61:$G$62)*('BTX Recycling HC'!K215+'BTX Recycling HC'!K88)-'Overall recycling rates'!$E$62/SUM('Overall recycling rates'!$E$61:$E$62)*('BTX Recycling HC'!K216+'BTX Recycling HC'!K89)-'Overall recycling rates'!$H$62/SUM('Overall recycling rates'!$H$61:$H$62)*('BTX Recycling HC'!K217+'BTX Recycling HC'!K90)-'Overall recycling rates'!$I$62/SUM('Overall recycling rates'!$I$61:$I$62)*('BTX Recycling HC'!K218+'BTX Recycling HC'!K91)</f>
        <v>9.3123658879333018</v>
      </c>
      <c r="M94" s="284">
        <f>M53-'Overall recycling rates'!$G$62/SUM('Overall recycling rates'!$G$61:$G$62)*('BTX Recycling HC'!L215+'BTX Recycling HC'!L88)-'Overall recycling rates'!$E$62/SUM('Overall recycling rates'!$E$61:$E$62)*('BTX Recycling HC'!L216+'BTX Recycling HC'!L89)-'Overall recycling rates'!$H$62/SUM('Overall recycling rates'!$H$61:$H$62)*('BTX Recycling HC'!L217+'BTX Recycling HC'!L90)-'Overall recycling rates'!$I$62/SUM('Overall recycling rates'!$I$61:$I$62)*('BTX Recycling HC'!L218+'BTX Recycling HC'!L91)</f>
        <v>8.9970890269197259</v>
      </c>
      <c r="N94" s="284">
        <f>N53-'Overall recycling rates'!$G$62/SUM('Overall recycling rates'!$G$61:$G$62)*('BTX Recycling HC'!M215+'BTX Recycling HC'!M88)-'Overall recycling rates'!$E$62/SUM('Overall recycling rates'!$E$61:$E$62)*('BTX Recycling HC'!M216+'BTX Recycling HC'!M89)-'Overall recycling rates'!$H$62/SUM('Overall recycling rates'!$H$61:$H$62)*('BTX Recycling HC'!M217+'BTX Recycling HC'!M90)-'Overall recycling rates'!$I$62/SUM('Overall recycling rates'!$I$61:$I$62)*('BTX Recycling HC'!M218+'BTX Recycling HC'!M91)</f>
        <v>8.6745722631980708</v>
      </c>
      <c r="O94" s="284">
        <f>O53-'Overall recycling rates'!$G$62/SUM('Overall recycling rates'!$G$61:$G$62)*('BTX Recycling HC'!N215+'BTX Recycling HC'!N88)-'Overall recycling rates'!$E$62/SUM('Overall recycling rates'!$E$61:$E$62)*('BTX Recycling HC'!N216+'BTX Recycling HC'!N89)-'Overall recycling rates'!$H$62/SUM('Overall recycling rates'!$H$61:$H$62)*('BTX Recycling HC'!N217+'BTX Recycling HC'!N90)-'Overall recycling rates'!$I$62/SUM('Overall recycling rates'!$I$61:$I$62)*('BTX Recycling HC'!N218+'BTX Recycling HC'!N91)</f>
        <v>8.4474841986696365</v>
      </c>
      <c r="P94" s="284">
        <f>P53-'Overall recycling rates'!$G$62/SUM('Overall recycling rates'!$G$61:$G$62)*('BTX Recycling HC'!O215+'BTX Recycling HC'!O88)-'Overall recycling rates'!$E$62/SUM('Overall recycling rates'!$E$61:$E$62)*('BTX Recycling HC'!O216+'BTX Recycling HC'!O89)-'Overall recycling rates'!$H$62/SUM('Overall recycling rates'!$H$61:$H$62)*('BTX Recycling HC'!O217+'BTX Recycling HC'!O90)-'Overall recycling rates'!$I$62/SUM('Overall recycling rates'!$I$61:$I$62)*('BTX Recycling HC'!O218+'BTX Recycling HC'!O91)</f>
        <v>8.2172057105416698</v>
      </c>
      <c r="Q94" s="284">
        <f>Q53-'Overall recycling rates'!$G$62/SUM('Overall recycling rates'!$G$61:$G$62)*('BTX Recycling HC'!P215+'BTX Recycling HC'!P88)-'Overall recycling rates'!$E$62/SUM('Overall recycling rates'!$E$61:$E$62)*('BTX Recycling HC'!P216+'BTX Recycling HC'!P89)-'Overall recycling rates'!$H$62/SUM('Overall recycling rates'!$H$61:$H$62)*('BTX Recycling HC'!P217+'BTX Recycling HC'!P90)-'Overall recycling rates'!$I$62/SUM('Overall recycling rates'!$I$61:$I$62)*('BTX Recycling HC'!P218+'BTX Recycling HC'!P91)</f>
        <v>7.9840707512129931</v>
      </c>
      <c r="R94" s="284">
        <f>R53-'Overall recycling rates'!$G$62/SUM('Overall recycling rates'!$G$61:$G$62)*('BTX Recycling HC'!Q215+'BTX Recycling HC'!Q88)-'Overall recycling rates'!$E$62/SUM('Overall recycling rates'!$E$61:$E$62)*('BTX Recycling HC'!Q216+'BTX Recycling HC'!Q89)-'Overall recycling rates'!$H$62/SUM('Overall recycling rates'!$H$61:$H$62)*('BTX Recycling HC'!Q217+'BTX Recycling HC'!Q90)-'Overall recycling rates'!$I$62/SUM('Overall recycling rates'!$I$61:$I$62)*('BTX Recycling HC'!Q218+'BTX Recycling HC'!Q91)</f>
        <v>7.7484254751455985</v>
      </c>
      <c r="S94" s="284">
        <f>S53-'Overall recycling rates'!$G$62/SUM('Overall recycling rates'!$G$61:$G$62)*('BTX Recycling HC'!R215+'BTX Recycling HC'!R88)-'Overall recycling rates'!$E$62/SUM('Overall recycling rates'!$E$61:$E$62)*('BTX Recycling HC'!R216+'BTX Recycling HC'!R89)-'Overall recycling rates'!$H$62/SUM('Overall recycling rates'!$H$61:$H$62)*('BTX Recycling HC'!R217+'BTX Recycling HC'!R90)-'Overall recycling rates'!$I$62/SUM('Overall recycling rates'!$I$61:$I$62)*('BTX Recycling HC'!R218+'BTX Recycling HC'!R91)</f>
        <v>7.5106236461253548</v>
      </c>
      <c r="T94" s="284">
        <f>T53-'Overall recycling rates'!$G$62/SUM('Overall recycling rates'!$G$61:$G$62)*('BTX Recycling HC'!S215+'BTX Recycling HC'!S88)-'Overall recycling rates'!$E$62/SUM('Overall recycling rates'!$E$61:$E$62)*('BTX Recycling HC'!S216+'BTX Recycling HC'!S89)-'Overall recycling rates'!$H$62/SUM('Overall recycling rates'!$H$61:$H$62)*('BTX Recycling HC'!S217+'BTX Recycling HC'!S90)-'Overall recycling rates'!$I$62/SUM('Overall recycling rates'!$I$61:$I$62)*('BTX Recycling HC'!S218+'BTX Recycling HC'!S91)</f>
        <v>7.2619675009013074</v>
      </c>
      <c r="U94" s="284">
        <f>U53-'Overall recycling rates'!$G$62/SUM('Overall recycling rates'!$G$61:$G$62)*('BTX Recycling HC'!T215+'BTX Recycling HC'!T88)-'Overall recycling rates'!$E$62/SUM('Overall recycling rates'!$E$61:$E$62)*('BTX Recycling HC'!T216+'BTX Recycling HC'!T89)-'Overall recycling rates'!$H$62/SUM('Overall recycling rates'!$H$61:$H$62)*('BTX Recycling HC'!T217+'BTX Recycling HC'!T90)-'Overall recycling rates'!$I$62/SUM('Overall recycling rates'!$I$61:$I$62)*('BTX Recycling HC'!T218+'BTX Recycling HC'!T91)</f>
        <v>7.0083772804774593</v>
      </c>
      <c r="V94" s="284">
        <f>V53-'Overall recycling rates'!$G$62/SUM('Overall recycling rates'!$G$61:$G$62)*('BTX Recycling HC'!U215+'BTX Recycling HC'!U88)-'Overall recycling rates'!$E$62/SUM('Overall recycling rates'!$E$61:$E$62)*('BTX Recycling HC'!U216+'BTX Recycling HC'!U89)-'Overall recycling rates'!$H$62/SUM('Overall recycling rates'!$H$61:$H$62)*('BTX Recycling HC'!U217+'BTX Recycling HC'!U90)-'Overall recycling rates'!$I$62/SUM('Overall recycling rates'!$I$61:$I$62)*('BTX Recycling HC'!U218+'BTX Recycling HC'!U91)</f>
        <v>6.7499088385082366</v>
      </c>
      <c r="W94" s="284">
        <f>W53-'Overall recycling rates'!$G$62/SUM('Overall recycling rates'!$G$61:$G$62)*('BTX Recycling HC'!V215+'BTX Recycling HC'!V88)-'Overall recycling rates'!$E$62/SUM('Overall recycling rates'!$E$61:$E$62)*('BTX Recycling HC'!V216+'BTX Recycling HC'!V89)-'Overall recycling rates'!$H$62/SUM('Overall recycling rates'!$H$61:$H$62)*('BTX Recycling HC'!V217+'BTX Recycling HC'!V90)-'Overall recycling rates'!$I$62/SUM('Overall recycling rates'!$I$61:$I$62)*('BTX Recycling HC'!V218+'BTX Recycling HC'!V91)</f>
        <v>6.4866390130604206</v>
      </c>
      <c r="X94" s="284">
        <f>X53-'Overall recycling rates'!$G$62/SUM('Overall recycling rates'!$G$61:$G$62)*('BTX Recycling HC'!W215+'BTX Recycling HC'!W88)-'Overall recycling rates'!$E$62/SUM('Overall recycling rates'!$E$61:$E$62)*('BTX Recycling HC'!W216+'BTX Recycling HC'!W89)-'Overall recycling rates'!$H$62/SUM('Overall recycling rates'!$H$61:$H$62)*('BTX Recycling HC'!W217+'BTX Recycling HC'!W90)-'Overall recycling rates'!$I$62/SUM('Overall recycling rates'!$I$61:$I$62)*('BTX Recycling HC'!W218+'BTX Recycling HC'!W91)</f>
        <v>6.2186664097363922</v>
      </c>
      <c r="Y94" s="284">
        <f>Y53-'Overall recycling rates'!$G$62/SUM('Overall recycling rates'!$G$61:$G$62)*('BTX Recycling HC'!X215+'BTX Recycling HC'!X88)-'Overall recycling rates'!$E$62/SUM('Overall recycling rates'!$E$61:$E$62)*('BTX Recycling HC'!X216+'BTX Recycling HC'!X89)-'Overall recycling rates'!$H$62/SUM('Overall recycling rates'!$H$61:$H$62)*('BTX Recycling HC'!X217+'BTX Recycling HC'!X90)-'Overall recycling rates'!$I$62/SUM('Overall recycling rates'!$I$61:$I$62)*('BTX Recycling HC'!X218+'BTX Recycling HC'!X91)</f>
        <v>5.8551963080484475</v>
      </c>
      <c r="Z94" s="284">
        <f>Z53-'Overall recycling rates'!$G$62/SUM('Overall recycling rates'!$G$61:$G$62)*('BTX Recycling HC'!Y215+'BTX Recycling HC'!Y88)-'Overall recycling rates'!$E$62/SUM('Overall recycling rates'!$E$61:$E$62)*('BTX Recycling HC'!Y216+'BTX Recycling HC'!Y89)-'Overall recycling rates'!$H$62/SUM('Overall recycling rates'!$H$61:$H$62)*('BTX Recycling HC'!Y217+'BTX Recycling HC'!Y90)-'Overall recycling rates'!$I$62/SUM('Overall recycling rates'!$I$61:$I$62)*('BTX Recycling HC'!Y218+'BTX Recycling HC'!Y91)</f>
        <v>5.4861887286990552</v>
      </c>
      <c r="AA94" s="284">
        <f>AA53-'Overall recycling rates'!$G$62/SUM('Overall recycling rates'!$G$61:$G$62)*('BTX Recycling HC'!Z215+'BTX Recycling HC'!Z88)-'Overall recycling rates'!$E$62/SUM('Overall recycling rates'!$E$61:$E$62)*('BTX Recycling HC'!Z216+'BTX Recycling HC'!Z89)-'Overall recycling rates'!$H$62/SUM('Overall recycling rates'!$H$61:$H$62)*('BTX Recycling HC'!Z217+'BTX Recycling HC'!Z90)-'Overall recycling rates'!$I$62/SUM('Overall recycling rates'!$I$61:$I$62)*('BTX Recycling HC'!Z218+'BTX Recycling HC'!Z91)</f>
        <v>5.111885597887496</v>
      </c>
      <c r="AB94" s="284">
        <f>AB53-'Overall recycling rates'!$G$62/SUM('Overall recycling rates'!$G$61:$G$62)*('BTX Recycling HC'!AA215+'BTX Recycling HC'!AA88)-'Overall recycling rates'!$E$62/SUM('Overall recycling rates'!$E$61:$E$62)*('BTX Recycling HC'!AA216+'BTX Recycling HC'!AA89)-'Overall recycling rates'!$H$62/SUM('Overall recycling rates'!$H$61:$H$62)*('BTX Recycling HC'!AA217+'BTX Recycling HC'!AA90)-'Overall recycling rates'!$I$62/SUM('Overall recycling rates'!$I$61:$I$62)*('BTX Recycling HC'!AA218+'BTX Recycling HC'!AA91)</f>
        <v>4.7325683915039276</v>
      </c>
      <c r="AC94" s="284">
        <f>AC53-'Overall recycling rates'!$G$62/SUM('Overall recycling rates'!$G$61:$G$62)*('BTX Recycling HC'!AB215+'BTX Recycling HC'!AB88)-'Overall recycling rates'!$E$62/SUM('Overall recycling rates'!$E$61:$E$62)*('BTX Recycling HC'!AB216+'BTX Recycling HC'!AB89)-'Overall recycling rates'!$H$62/SUM('Overall recycling rates'!$H$61:$H$62)*('BTX Recycling HC'!AB217+'BTX Recycling HC'!AB90)-'Overall recycling rates'!$I$62/SUM('Overall recycling rates'!$I$61:$I$62)*('BTX Recycling HC'!AB218+'BTX Recycling HC'!AB91)</f>
        <v>4.348559399270667</v>
      </c>
      <c r="AD94" s="284">
        <f>AD53-'Overall recycling rates'!$G$62/SUM('Overall recycling rates'!$G$61:$G$62)*('BTX Recycling HC'!AC215+'BTX Recycling HC'!AC88)-'Overall recycling rates'!$E$62/SUM('Overall recycling rates'!$E$61:$E$62)*('BTX Recycling HC'!AC216+'BTX Recycling HC'!AC89)-'Overall recycling rates'!$H$62/SUM('Overall recycling rates'!$H$61:$H$62)*('BTX Recycling HC'!AC217+'BTX Recycling HC'!AC90)-'Overall recycling rates'!$I$62/SUM('Overall recycling rates'!$I$61:$I$62)*('BTX Recycling HC'!AC218+'BTX Recycling HC'!AC91)</f>
        <v>3.9710462337211685</v>
      </c>
      <c r="AE94" s="284">
        <f>AE53-'Overall recycling rates'!$G$62/SUM('Overall recycling rates'!$G$61:$G$62)*('BTX Recycling HC'!AD215+'BTX Recycling HC'!AD88)-'Overall recycling rates'!$E$62/SUM('Overall recycling rates'!$E$61:$E$62)*('BTX Recycling HC'!AD216+'BTX Recycling HC'!AD89)-'Overall recycling rates'!$H$62/SUM('Overall recycling rates'!$H$61:$H$62)*('BTX Recycling HC'!AD217+'BTX Recycling HC'!AD90)-'Overall recycling rates'!$I$62/SUM('Overall recycling rates'!$I$61:$I$62)*('BTX Recycling HC'!AD218+'BTX Recycling HC'!AD91)</f>
        <v>3.5917829899649503</v>
      </c>
      <c r="AF94" s="284">
        <f>AF53-'Overall recycling rates'!$G$62/SUM('Overall recycling rates'!$G$61:$G$62)*('BTX Recycling HC'!AE215+'BTX Recycling HC'!AE88)-'Overall recycling rates'!$E$62/SUM('Overall recycling rates'!$E$61:$E$62)*('BTX Recycling HC'!AE216+'BTX Recycling HC'!AE89)-'Overall recycling rates'!$H$62/SUM('Overall recycling rates'!$H$61:$H$62)*('BTX Recycling HC'!AE217+'BTX Recycling HC'!AE90)-'Overall recycling rates'!$I$62/SUM('Overall recycling rates'!$I$61:$I$62)*('BTX Recycling HC'!AE218+'BTX Recycling HC'!AE91)</f>
        <v>3.2114290009077893</v>
      </c>
      <c r="AG94" s="284">
        <f>AG53-'Overall recycling rates'!$G$62/SUM('Overall recycling rates'!$G$61:$G$62)*('BTX Recycling HC'!AF215+'BTX Recycling HC'!AF88)-'Overall recycling rates'!$E$62/SUM('Overall recycling rates'!$E$61:$E$62)*('BTX Recycling HC'!AF216+'BTX Recycling HC'!AF89)-'Overall recycling rates'!$H$62/SUM('Overall recycling rates'!$H$61:$H$62)*('BTX Recycling HC'!AF217+'BTX Recycling HC'!AF90)-'Overall recycling rates'!$I$62/SUM('Overall recycling rates'!$I$61:$I$62)*('BTX Recycling HC'!AF218+'BTX Recycling HC'!AF91)</f>
        <v>2.8306991182531136</v>
      </c>
      <c r="AH94" s="284">
        <f>AH53-'Overall recycling rates'!$G$62/SUM('Overall recycling rates'!$G$61:$G$62)*('BTX Recycling HC'!AG215+'BTX Recycling HC'!AG88)-'Overall recycling rates'!$E$62/SUM('Overall recycling rates'!$E$61:$E$62)*('BTX Recycling HC'!AG216+'BTX Recycling HC'!AG89)-'Overall recycling rates'!$H$62/SUM('Overall recycling rates'!$H$61:$H$62)*('BTX Recycling HC'!AG217+'BTX Recycling HC'!AG90)-'Overall recycling rates'!$I$62/SUM('Overall recycling rates'!$I$61:$I$62)*('BTX Recycling HC'!AG218+'BTX Recycling HC'!AG91)</f>
        <v>2.4503650542097311</v>
      </c>
      <c r="AJ94" s="284">
        <f>AJ53-'Overall recycling rates'!$G$62/SUM('Overall recycling rates'!$G$61:$G$62)*('BTX Recycling HC'!C215+'BTX Recycling HC'!C88)-'Overall recycling rates'!$E$62/SUM('Overall recycling rates'!$E$61:$E$62)*('BTX Recycling HC'!C216+'BTX Recycling HC'!C89)-'Overall recycling rates'!$H$62/SUM('Overall recycling rates'!$H$61:$H$62)*('BTX Recycling HC'!C217+'BTX Recycling HC'!C90)-'Overall recycling rates'!$I$62/SUM('Overall recycling rates'!$I$61:$I$62)*('BTX Recycling HC'!C218+'BTX Recycling HC'!C91)</f>
        <v>11.565136270954032</v>
      </c>
      <c r="AK94" s="284">
        <f>AK53-'Overall recycling rates'!$G$62/SUM('Overall recycling rates'!$G$61:$G$62)*('BTX Recycling HC'!D215+'BTX Recycling HC'!D88)-'Overall recycling rates'!$E$62/SUM('Overall recycling rates'!$E$61:$E$62)*('BTX Recycling HC'!D216+'BTX Recycling HC'!D89)-'Overall recycling rates'!$H$62/SUM('Overall recycling rates'!$H$61:$H$62)*('BTX Recycling HC'!D217+'BTX Recycling HC'!D90)-'Overall recycling rates'!$I$62/SUM('Overall recycling rates'!$I$61:$I$62)*('BTX Recycling HC'!D218+'BTX Recycling HC'!D91)</f>
        <v>11.511884954807831</v>
      </c>
      <c r="AL94" s="284">
        <f>AL53-'Overall recycling rates'!$G$62/SUM('Overall recycling rates'!$G$61:$G$62)*('BTX Recycling HC'!E215+'BTX Recycling HC'!E88)-'Overall recycling rates'!$E$62/SUM('Overall recycling rates'!$E$61:$E$62)*('BTX Recycling HC'!E216+'BTX Recycling HC'!E89)-'Overall recycling rates'!$H$62/SUM('Overall recycling rates'!$H$61:$H$62)*('BTX Recycling HC'!E217+'BTX Recycling HC'!E90)-'Overall recycling rates'!$I$62/SUM('Overall recycling rates'!$I$61:$I$62)*('BTX Recycling HC'!E218+'BTX Recycling HC'!E91)</f>
        <v>11.429346788607733</v>
      </c>
      <c r="AM94" s="284">
        <f>AM53-'Overall recycling rates'!$G$62/SUM('Overall recycling rates'!$G$61:$G$62)*('BTX Recycling HC'!F215+'BTX Recycling HC'!F88)-'Overall recycling rates'!$E$62/SUM('Overall recycling rates'!$E$61:$E$62)*('BTX Recycling HC'!F216+'BTX Recycling HC'!F89)-'Overall recycling rates'!$H$62/SUM('Overall recycling rates'!$H$61:$H$62)*('BTX Recycling HC'!F217+'BTX Recycling HC'!F90)-'Overall recycling rates'!$I$62/SUM('Overall recycling rates'!$I$61:$I$62)*('BTX Recycling HC'!F218+'BTX Recycling HC'!F91)</f>
        <v>11.342435319373017</v>
      </c>
      <c r="AN94" s="284">
        <f>AN53-'Overall recycling rates'!$G$62/SUM('Overall recycling rates'!$G$61:$G$62)*('BTX Recycling HC'!G215+'BTX Recycling HC'!G88)-'Overall recycling rates'!$E$62/SUM('Overall recycling rates'!$E$61:$E$62)*('BTX Recycling HC'!G216+'BTX Recycling HC'!G89)-'Overall recycling rates'!$H$62/SUM('Overall recycling rates'!$H$61:$H$62)*('BTX Recycling HC'!G217+'BTX Recycling HC'!G90)-'Overall recycling rates'!$I$62/SUM('Overall recycling rates'!$I$61:$I$62)*('BTX Recycling HC'!G218+'BTX Recycling HC'!G91)</f>
        <v>11.251973891848669</v>
      </c>
      <c r="AO94" s="284">
        <f>AO53-'Overall recycling rates'!$G$62/SUM('Overall recycling rates'!$G$61:$G$62)*('BTX Recycling HC'!H215+'BTX Recycling HC'!H88)-'Overall recycling rates'!$E$62/SUM('Overall recycling rates'!$E$61:$E$62)*('BTX Recycling HC'!H216+'BTX Recycling HC'!H89)-'Overall recycling rates'!$H$62/SUM('Overall recycling rates'!$H$61:$H$62)*('BTX Recycling HC'!H217+'BTX Recycling HC'!H90)-'Overall recycling rates'!$I$62/SUM('Overall recycling rates'!$I$61:$I$62)*('BTX Recycling HC'!H218+'BTX Recycling HC'!H91)</f>
        <v>11.157926188248467</v>
      </c>
      <c r="AP94" s="284">
        <f>AP53-'Overall recycling rates'!$G$62/SUM('Overall recycling rates'!$G$61:$G$62)*('BTX Recycling HC'!I215+'BTX Recycling HC'!I88)-'Overall recycling rates'!$E$62/SUM('Overall recycling rates'!$E$61:$E$62)*('BTX Recycling HC'!I216+'BTX Recycling HC'!I89)-'Overall recycling rates'!$H$62/SUM('Overall recycling rates'!$H$61:$H$62)*('BTX Recycling HC'!I217+'BTX Recycling HC'!I90)-'Overall recycling rates'!$I$62/SUM('Overall recycling rates'!$I$61:$I$62)*('BTX Recycling HC'!I218+'BTX Recycling HC'!I91)</f>
        <v>11.065598402050309</v>
      </c>
      <c r="AQ94" s="284">
        <f>AQ53-'Overall recycling rates'!$G$62/SUM('Overall recycling rates'!$G$61:$G$62)*('BTX Recycling HC'!J215+'BTX Recycling HC'!J88)-'Overall recycling rates'!$E$62/SUM('Overall recycling rates'!$E$61:$E$62)*('BTX Recycling HC'!J216+'BTX Recycling HC'!J89)-'Overall recycling rates'!$H$62/SUM('Overall recycling rates'!$H$61:$H$62)*('BTX Recycling HC'!J217+'BTX Recycling HC'!J90)-'Overall recycling rates'!$I$62/SUM('Overall recycling rates'!$I$61:$I$62)*('BTX Recycling HC'!J218+'BTX Recycling HC'!J91)</f>
        <v>10.970267863850195</v>
      </c>
      <c r="AR94" s="284">
        <f>AR53-'Overall recycling rates'!$G$62/SUM('Overall recycling rates'!$G$61:$G$62)*('BTX Recycling HC'!K215+'BTX Recycling HC'!K88)-'Overall recycling rates'!$E$62/SUM('Overall recycling rates'!$E$61:$E$62)*('BTX Recycling HC'!K216+'BTX Recycling HC'!K89)-'Overall recycling rates'!$H$62/SUM('Overall recycling rates'!$H$61:$H$62)*('BTX Recycling HC'!K217+'BTX Recycling HC'!K90)-'Overall recycling rates'!$I$62/SUM('Overall recycling rates'!$I$61:$I$62)*('BTX Recycling HC'!K218+'BTX Recycling HC'!K91)</f>
        <v>10.872008299855187</v>
      </c>
      <c r="AS94" s="284">
        <f>AS53-'Overall recycling rates'!$G$62/SUM('Overall recycling rates'!$G$61:$G$62)*('BTX Recycling HC'!L215+'BTX Recycling HC'!L88)-'Overall recycling rates'!$E$62/SUM('Overall recycling rates'!$E$61:$E$62)*('BTX Recycling HC'!L216+'BTX Recycling HC'!L89)-'Overall recycling rates'!$H$62/SUM('Overall recycling rates'!$H$61:$H$62)*('BTX Recycling HC'!L217+'BTX Recycling HC'!L90)-'Overall recycling rates'!$I$62/SUM('Overall recycling rates'!$I$61:$I$62)*('BTX Recycling HC'!L218+'BTX Recycling HC'!L91)</f>
        <v>10.770908978644508</v>
      </c>
      <c r="AT94" s="284">
        <f>AT53-'Overall recycling rates'!$G$62/SUM('Overall recycling rates'!$G$61:$G$62)*('BTX Recycling HC'!M215+'BTX Recycling HC'!M88)-'Overall recycling rates'!$E$62/SUM('Overall recycling rates'!$E$61:$E$62)*('BTX Recycling HC'!M216+'BTX Recycling HC'!M89)-'Overall recycling rates'!$H$62/SUM('Overall recycling rates'!$H$61:$H$62)*('BTX Recycling HC'!M217+'BTX Recycling HC'!M90)-'Overall recycling rates'!$I$62/SUM('Overall recycling rates'!$I$61:$I$62)*('BTX Recycling HC'!M218+'BTX Recycling HC'!M91)</f>
        <v>10.66707534814746</v>
      </c>
      <c r="AU94" s="284">
        <f>AU53-'Overall recycling rates'!$G$62/SUM('Overall recycling rates'!$G$61:$G$62)*('BTX Recycling HC'!N215+'BTX Recycling HC'!N88)-'Overall recycling rates'!$E$62/SUM('Overall recycling rates'!$E$61:$E$62)*('BTX Recycling HC'!N216+'BTX Recycling HC'!N89)-'Overall recycling rates'!$H$62/SUM('Overall recycling rates'!$H$61:$H$62)*('BTX Recycling HC'!N217+'BTX Recycling HC'!N90)-'Overall recycling rates'!$I$62/SUM('Overall recycling rates'!$I$61:$I$62)*('BTX Recycling HC'!N218+'BTX Recycling HC'!N91)</f>
        <v>10.603927283999175</v>
      </c>
      <c r="AV94" s="284">
        <f>AV53-'Overall recycling rates'!$G$62/SUM('Overall recycling rates'!$G$61:$G$62)*('BTX Recycling HC'!O215+'BTX Recycling HC'!O88)-'Overall recycling rates'!$E$62/SUM('Overall recycling rates'!$E$61:$E$62)*('BTX Recycling HC'!O216+'BTX Recycling HC'!O89)-'Overall recycling rates'!$H$62/SUM('Overall recycling rates'!$H$61:$H$62)*('BTX Recycling HC'!O217+'BTX Recycling HC'!O90)-'Overall recycling rates'!$I$62/SUM('Overall recycling rates'!$I$61:$I$62)*('BTX Recycling HC'!O218+'BTX Recycling HC'!O91)</f>
        <v>10.540941697820804</v>
      </c>
      <c r="AW94" s="284">
        <f>AW53-'Overall recycling rates'!$G$62/SUM('Overall recycling rates'!$G$61:$G$62)*('BTX Recycling HC'!P215+'BTX Recycling HC'!P88)-'Overall recycling rates'!$E$62/SUM('Overall recycling rates'!$E$61:$E$62)*('BTX Recycling HC'!P216+'BTX Recycling HC'!P89)-'Overall recycling rates'!$H$62/SUM('Overall recycling rates'!$H$61:$H$62)*('BTX Recycling HC'!P217+'BTX Recycling HC'!P90)-'Overall recycling rates'!$I$62/SUM('Overall recycling rates'!$I$61:$I$62)*('BTX Recycling HC'!P218+'BTX Recycling HC'!P91)</f>
        <v>10.478506330414067</v>
      </c>
      <c r="AX94" s="284">
        <f>AX53-'Overall recycling rates'!$G$62/SUM('Overall recycling rates'!$G$61:$G$62)*('BTX Recycling HC'!Q215+'BTX Recycling HC'!Q88)-'Overall recycling rates'!$E$62/SUM('Overall recycling rates'!$E$61:$E$62)*('BTX Recycling HC'!Q216+'BTX Recycling HC'!Q89)-'Overall recycling rates'!$H$62/SUM('Overall recycling rates'!$H$61:$H$62)*('BTX Recycling HC'!Q217+'BTX Recycling HC'!Q90)-'Overall recycling rates'!$I$62/SUM('Overall recycling rates'!$I$61:$I$62)*('BTX Recycling HC'!Q218+'BTX Recycling HC'!Q91)</f>
        <v>10.417021900771305</v>
      </c>
      <c r="AY94" s="284">
        <f>AY53-'Overall recycling rates'!$G$62/SUM('Overall recycling rates'!$G$61:$G$62)*('BTX Recycling HC'!R215+'BTX Recycling HC'!R88)-'Overall recycling rates'!$E$62/SUM('Overall recycling rates'!$E$61:$E$62)*('BTX Recycling HC'!R216+'BTX Recycling HC'!R89)-'Overall recycling rates'!$H$62/SUM('Overall recycling rates'!$H$61:$H$62)*('BTX Recycling HC'!R217+'BTX Recycling HC'!R90)-'Overall recycling rates'!$I$62/SUM('Overall recycling rates'!$I$61:$I$62)*('BTX Recycling HC'!R218+'BTX Recycling HC'!R91)</f>
        <v>10.356897523886053</v>
      </c>
      <c r="AZ94" s="284">
        <f>AZ53-'Overall recycling rates'!$G$62/SUM('Overall recycling rates'!$G$61:$G$62)*('BTX Recycling HC'!S215+'BTX Recycling HC'!S88)-'Overall recycling rates'!$E$62/SUM('Overall recycling rates'!$E$61:$E$62)*('BTX Recycling HC'!S216+'BTX Recycling HC'!S89)-'Overall recycling rates'!$H$62/SUM('Overall recycling rates'!$H$61:$H$62)*('BTX Recycling HC'!S217+'BTX Recycling HC'!S90)-'Overall recycling rates'!$I$62/SUM('Overall recycling rates'!$I$61:$I$62)*('BTX Recycling HC'!S218+'BTX Recycling HC'!S91)</f>
        <v>10.289491585080111</v>
      </c>
      <c r="BA94" s="284">
        <f>BA53-'Overall recycling rates'!$G$62/SUM('Overall recycling rates'!$G$61:$G$62)*('BTX Recycling HC'!T215+'BTX Recycling HC'!T88)-'Overall recycling rates'!$E$62/SUM('Overall recycling rates'!$E$61:$E$62)*('BTX Recycling HC'!T216+'BTX Recycling HC'!T89)-'Overall recycling rates'!$H$62/SUM('Overall recycling rates'!$H$61:$H$62)*('BTX Recycling HC'!T217+'BTX Recycling HC'!T90)-'Overall recycling rates'!$I$62/SUM('Overall recycling rates'!$I$61:$I$62)*('BTX Recycling HC'!T218+'BTX Recycling HC'!T91)</f>
        <v>10.220781282122992</v>
      </c>
      <c r="BB94" s="284">
        <f>BB53-'Overall recycling rates'!$G$62/SUM('Overall recycling rates'!$G$61:$G$62)*('BTX Recycling HC'!U215+'BTX Recycling HC'!U88)-'Overall recycling rates'!$E$62/SUM('Overall recycling rates'!$E$61:$E$62)*('BTX Recycling HC'!U216+'BTX Recycling HC'!U89)-'Overall recycling rates'!$H$62/SUM('Overall recycling rates'!$H$61:$H$62)*('BTX Recycling HC'!U217+'BTX Recycling HC'!U90)-'Overall recycling rates'!$I$62/SUM('Overall recycling rates'!$I$61:$I$62)*('BTX Recycling HC'!U218+'BTX Recycling HC'!U91)</f>
        <v>10.150880244596459</v>
      </c>
      <c r="BC94" s="284">
        <f>BC53-'Overall recycling rates'!$G$62/SUM('Overall recycling rates'!$G$61:$G$62)*('BTX Recycling HC'!V215+'BTX Recycling HC'!V88)-'Overall recycling rates'!$E$62/SUM('Overall recycling rates'!$E$61:$E$62)*('BTX Recycling HC'!V216+'BTX Recycling HC'!V89)-'Overall recycling rates'!$H$62/SUM('Overall recycling rates'!$H$61:$H$62)*('BTX Recycling HC'!V217+'BTX Recycling HC'!V90)-'Overall recycling rates'!$I$62/SUM('Overall recycling rates'!$I$61:$I$62)*('BTX Recycling HC'!V218+'BTX Recycling HC'!V91)</f>
        <v>10.07992391676898</v>
      </c>
      <c r="BD94" s="284">
        <f>BD53-'Overall recycling rates'!$G$62/SUM('Overall recycling rates'!$G$61:$G$62)*('BTX Recycling HC'!W215+'BTX Recycling HC'!W88)-'Overall recycling rates'!$E$62/SUM('Overall recycling rates'!$E$61:$E$62)*('BTX Recycling HC'!W216+'BTX Recycling HC'!W89)-'Overall recycling rates'!$H$62/SUM('Overall recycling rates'!$H$61:$H$62)*('BTX Recycling HC'!W217+'BTX Recycling HC'!W90)-'Overall recycling rates'!$I$62/SUM('Overall recycling rates'!$I$61:$I$62)*('BTX Recycling HC'!W218+'BTX Recycling HC'!W91)</f>
        <v>10.008070351976585</v>
      </c>
      <c r="BE94" s="284">
        <f>BE53-'Overall recycling rates'!$G$62/SUM('Overall recycling rates'!$G$61:$G$62)*('BTX Recycling HC'!X215+'BTX Recycling HC'!X88)-'Overall recycling rates'!$E$62/SUM('Overall recycling rates'!$E$61:$E$62)*('BTX Recycling HC'!X216+'BTX Recycling HC'!X89)-'Overall recycling rates'!$H$62/SUM('Overall recycling rates'!$H$61:$H$62)*('BTX Recycling HC'!X217+'BTX Recycling HC'!X90)-'Overall recycling rates'!$I$62/SUM('Overall recycling rates'!$I$61:$I$62)*('BTX Recycling HC'!X218+'BTX Recycling HC'!X91)</f>
        <v>9.877296955658041</v>
      </c>
      <c r="BF94" s="284">
        <f>BF53-'Overall recycling rates'!$G$62/SUM('Overall recycling rates'!$G$61:$G$62)*('BTX Recycling HC'!Y215+'BTX Recycling HC'!Y88)-'Overall recycling rates'!$E$62/SUM('Overall recycling rates'!$E$61:$E$62)*('BTX Recycling HC'!Y216+'BTX Recycling HC'!Y89)-'Overall recycling rates'!$H$62/SUM('Overall recycling rates'!$H$61:$H$62)*('BTX Recycling HC'!Y217+'BTX Recycling HC'!Y90)-'Overall recycling rates'!$I$62/SUM('Overall recycling rates'!$I$61:$I$62)*('BTX Recycling HC'!Y218+'BTX Recycling HC'!Y91)</f>
        <v>9.7456298276428992</v>
      </c>
      <c r="BG94" s="284">
        <f>BG53-'Overall recycling rates'!$G$62/SUM('Overall recycling rates'!$G$61:$G$62)*('BTX Recycling HC'!Z215+'BTX Recycling HC'!Z88)-'Overall recycling rates'!$E$62/SUM('Overall recycling rates'!$E$61:$E$62)*('BTX Recycling HC'!Z216+'BTX Recycling HC'!Z89)-'Overall recycling rates'!$H$62/SUM('Overall recycling rates'!$H$61:$H$62)*('BTX Recycling HC'!Z217+'BTX Recycling HC'!Z90)-'Overall recycling rates'!$I$62/SUM('Overall recycling rates'!$I$61:$I$62)*('BTX Recycling HC'!Z218+'BTX Recycling HC'!Z91)</f>
        <v>9.6133847136827981</v>
      </c>
      <c r="BH94" s="284">
        <f>BH53-'Overall recycling rates'!$G$62/SUM('Overall recycling rates'!$G$61:$G$62)*('BTX Recycling HC'!AA215+'BTX Recycling HC'!AA88)-'Overall recycling rates'!$E$62/SUM('Overall recycling rates'!$E$61:$E$62)*('BTX Recycling HC'!AA216+'BTX Recycling HC'!AA89)-'Overall recycling rates'!$H$62/SUM('Overall recycling rates'!$H$61:$H$62)*('BTX Recycling HC'!AA217+'BTX Recycling HC'!AA90)-'Overall recycling rates'!$I$62/SUM('Overall recycling rates'!$I$61:$I$62)*('BTX Recycling HC'!AA218+'BTX Recycling HC'!AA91)</f>
        <v>9.4809179693175061</v>
      </c>
      <c r="BI94" s="284">
        <f>BI53-'Overall recycling rates'!$G$62/SUM('Overall recycling rates'!$G$61:$G$62)*('BTX Recycling HC'!AB215+'BTX Recycling HC'!AB88)-'Overall recycling rates'!$E$62/SUM('Overall recycling rates'!$E$61:$E$62)*('BTX Recycling HC'!AB216+'BTX Recycling HC'!AB89)-'Overall recycling rates'!$H$62/SUM('Overall recycling rates'!$H$61:$H$62)*('BTX Recycling HC'!AB217+'BTX Recycling HC'!AB90)-'Overall recycling rates'!$I$62/SUM('Overall recycling rates'!$I$61:$I$62)*('BTX Recycling HC'!AB218+'BTX Recycling HC'!AB91)</f>
        <v>9.3486278383838943</v>
      </c>
      <c r="BJ94" s="284">
        <f>BJ53-'Overall recycling rates'!$G$62/SUM('Overall recycling rates'!$G$61:$G$62)*('BTX Recycling HC'!AC215+'BTX Recycling HC'!AC88)-'Overall recycling rates'!$E$62/SUM('Overall recycling rates'!$E$61:$E$62)*('BTX Recycling HC'!AC216+'BTX Recycling HC'!AC89)-'Overall recycling rates'!$H$62/SUM('Overall recycling rates'!$H$61:$H$62)*('BTX Recycling HC'!AC217+'BTX Recycling HC'!AC90)-'Overall recycling rates'!$I$62/SUM('Overall recycling rates'!$I$61:$I$62)*('BTX Recycling HC'!AC218+'BTX Recycling HC'!AC91)</f>
        <v>9.2277789765501588</v>
      </c>
      <c r="BK94" s="284">
        <f>BK53-'Overall recycling rates'!$G$62/SUM('Overall recycling rates'!$G$61:$G$62)*('BTX Recycling HC'!AD215+'BTX Recycling HC'!AD88)-'Overall recycling rates'!$E$62/SUM('Overall recycling rates'!$E$61:$E$62)*('BTX Recycling HC'!AD216+'BTX Recycling HC'!AD89)-'Overall recycling rates'!$H$62/SUM('Overall recycling rates'!$H$61:$H$62)*('BTX Recycling HC'!AD217+'BTX Recycling HC'!AD90)-'Overall recycling rates'!$I$62/SUM('Overall recycling rates'!$I$61:$I$62)*('BTX Recycling HC'!AD218+'BTX Recycling HC'!AD91)</f>
        <v>9.1102036258259442</v>
      </c>
      <c r="BL94" s="284">
        <f>BL53-'Overall recycling rates'!$G$62/SUM('Overall recycling rates'!$G$61:$G$62)*('BTX Recycling HC'!AE215+'BTX Recycling HC'!AE88)-'Overall recycling rates'!$E$62/SUM('Overall recycling rates'!$E$61:$E$62)*('BTX Recycling HC'!AE216+'BTX Recycling HC'!AE89)-'Overall recycling rates'!$H$62/SUM('Overall recycling rates'!$H$61:$H$62)*('BTX Recycling HC'!AE217+'BTX Recycling HC'!AE90)-'Overall recycling rates'!$I$62/SUM('Overall recycling rates'!$I$61:$I$62)*('BTX Recycling HC'!AE218+'BTX Recycling HC'!AE91)</f>
        <v>8.99664038472012</v>
      </c>
      <c r="BM94" s="284">
        <f>BM53-'Overall recycling rates'!$G$62/SUM('Overall recycling rates'!$G$61:$G$62)*('BTX Recycling HC'!AF215+'BTX Recycling HC'!AF88)-'Overall recycling rates'!$E$62/SUM('Overall recycling rates'!$E$61:$E$62)*('BTX Recycling HC'!AF216+'BTX Recycling HC'!AF89)-'Overall recycling rates'!$H$62/SUM('Overall recycling rates'!$H$61:$H$62)*('BTX Recycling HC'!AF217+'BTX Recycling HC'!AF90)-'Overall recycling rates'!$I$62/SUM('Overall recycling rates'!$I$61:$I$62)*('BTX Recycling HC'!AF218+'BTX Recycling HC'!AF91)</f>
        <v>8.8878845043745969</v>
      </c>
      <c r="BN94" s="284">
        <f>BN53-'Overall recycling rates'!$G$62/SUM('Overall recycling rates'!$G$61:$G$62)*('BTX Recycling HC'!AG215+'BTX Recycling HC'!AG88)-'Overall recycling rates'!$E$62/SUM('Overall recycling rates'!$E$61:$E$62)*('BTX Recycling HC'!AG216+'BTX Recycling HC'!AG89)-'Overall recycling rates'!$H$62/SUM('Overall recycling rates'!$H$61:$H$62)*('BTX Recycling HC'!AG217+'BTX Recycling HC'!AG90)-'Overall recycling rates'!$I$62/SUM('Overall recycling rates'!$I$61:$I$62)*('BTX Recycling HC'!AG218+'BTX Recycling HC'!AG91)</f>
        <v>8.7847892456017131</v>
      </c>
    </row>
    <row r="95" spans="1:66" outlineLevel="1" x14ac:dyDescent="0.2">
      <c r="A95" s="58" t="s">
        <v>223</v>
      </c>
      <c r="B95" s="58" t="s">
        <v>197</v>
      </c>
      <c r="C95" s="100" t="s">
        <v>153</v>
      </c>
      <c r="D95" s="101">
        <f t="shared" ref="D95:AH95" si="90">D41</f>
        <v>14.733107457344531</v>
      </c>
      <c r="E95" s="101">
        <f t="shared" si="90"/>
        <v>14.53613331430585</v>
      </c>
      <c r="F95" s="101">
        <f t="shared" si="90"/>
        <v>14.333075064313762</v>
      </c>
      <c r="G95" s="101">
        <f t="shared" si="90"/>
        <v>14.123823041074358</v>
      </c>
      <c r="H95" s="101">
        <f t="shared" si="90"/>
        <v>13.908265905640807</v>
      </c>
      <c r="I95" s="101">
        <f t="shared" si="90"/>
        <v>13.686290622926476</v>
      </c>
      <c r="J95" s="101">
        <f t="shared" si="90"/>
        <v>13.457782437904177</v>
      </c>
      <c r="K95" s="101">
        <f t="shared" si="90"/>
        <v>13.222624851487504</v>
      </c>
      <c r="L95" s="101">
        <f t="shared" si="90"/>
        <v>12.980699596090135</v>
      </c>
      <c r="M95" s="101">
        <f t="shared" si="90"/>
        <v>12.731886610858931</v>
      </c>
      <c r="N95" s="101">
        <f t="shared" si="90"/>
        <v>12.476064016576649</v>
      </c>
      <c r="O95" s="101">
        <f t="shared" si="90"/>
        <v>12.213108090229982</v>
      </c>
      <c r="P95" s="101">
        <f t="shared" si="90"/>
        <v>11.942893239238581</v>
      </c>
      <c r="Q95" s="101">
        <f t="shared" si="90"/>
        <v>11.665291975340752</v>
      </c>
      <c r="R95" s="101">
        <f t="shared" si="90"/>
        <v>11.380174888131297</v>
      </c>
      <c r="S95" s="101">
        <f t="shared" si="90"/>
        <v>11.087410618247139</v>
      </c>
      <c r="T95" s="101">
        <f t="shared" si="90"/>
        <v>10.786865830196053</v>
      </c>
      <c r="U95" s="101">
        <f t="shared" si="90"/>
        <v>10.478405184824021</v>
      </c>
      <c r="V95" s="101">
        <f t="shared" si="90"/>
        <v>10.161891311416472</v>
      </c>
      <c r="W95" s="101">
        <f t="shared" si="90"/>
        <v>9.8371847794287213</v>
      </c>
      <c r="X95" s="101">
        <f t="shared" si="90"/>
        <v>9.5041440698408515</v>
      </c>
      <c r="Y95" s="101">
        <f t="shared" si="90"/>
        <v>9.1491213103044302</v>
      </c>
      <c r="Z95" s="101">
        <f t="shared" si="90"/>
        <v>8.7851790658586353</v>
      </c>
      <c r="AA95" s="101">
        <f t="shared" si="90"/>
        <v>8.4121645140324368</v>
      </c>
      <c r="AB95" s="101">
        <f t="shared" si="90"/>
        <v>8.0299225544209438</v>
      </c>
      <c r="AC95" s="101">
        <f t="shared" si="90"/>
        <v>7.6382957771159816</v>
      </c>
      <c r="AD95" s="101">
        <f t="shared" si="90"/>
        <v>7.2371244307183531</v>
      </c>
      <c r="AE95" s="101">
        <f t="shared" si="90"/>
        <v>6.826246389926415</v>
      </c>
      <c r="AF95" s="101">
        <f t="shared" si="90"/>
        <v>6.4054971226955288</v>
      </c>
      <c r="AG95" s="101">
        <f t="shared" si="90"/>
        <v>5.9747096569628528</v>
      </c>
      <c r="AH95" s="101">
        <f t="shared" si="90"/>
        <v>5.5337145469319271</v>
      </c>
      <c r="AJ95" s="101">
        <f t="shared" ref="AJ95:BN95" si="91">AJ41</f>
        <v>14.733107457344531</v>
      </c>
      <c r="AK95" s="101">
        <f t="shared" si="91"/>
        <v>14.742357129122936</v>
      </c>
      <c r="AL95" s="101">
        <f t="shared" si="91"/>
        <v>14.75004120355713</v>
      </c>
      <c r="AM95" s="101">
        <f t="shared" si="91"/>
        <v>14.756124267158723</v>
      </c>
      <c r="AN95" s="101">
        <f t="shared" si="91"/>
        <v>14.760570318407398</v>
      </c>
      <c r="AO95" s="101">
        <f t="shared" si="91"/>
        <v>14.763342759117018</v>
      </c>
      <c r="AP95" s="101">
        <f t="shared" si="91"/>
        <v>14.764404385683164</v>
      </c>
      <c r="AQ95" s="101">
        <f t="shared" si="91"/>
        <v>14.763717380210487</v>
      </c>
      <c r="AR95" s="101">
        <f t="shared" si="91"/>
        <v>14.761243301518331</v>
      </c>
      <c r="AS95" s="101">
        <f t="shared" si="91"/>
        <v>14.756943076023006</v>
      </c>
      <c r="AT95" s="101">
        <f t="shared" si="91"/>
        <v>14.750776988495103</v>
      </c>
      <c r="AU95" s="101">
        <f t="shared" si="91"/>
        <v>14.742704672690159</v>
      </c>
      <c r="AV95" s="101">
        <f t="shared" si="91"/>
        <v>14.732685101851102</v>
      </c>
      <c r="AW95" s="101">
        <f t="shared" si="91"/>
        <v>14.720676579080671</v>
      </c>
      <c r="AX95" s="101">
        <f t="shared" si="91"/>
        <v>14.706636727582213</v>
      </c>
      <c r="AY95" s="101">
        <f t="shared" si="91"/>
        <v>14.690522480767051</v>
      </c>
      <c r="AZ95" s="101">
        <f t="shared" si="91"/>
        <v>14.672290072226708</v>
      </c>
      <c r="BA95" s="101">
        <f t="shared" si="91"/>
        <v>14.651895025568194</v>
      </c>
      <c r="BB95" s="101">
        <f t="shared" si="91"/>
        <v>14.629292144110593</v>
      </c>
      <c r="BC95" s="101">
        <f t="shared" si="91"/>
        <v>14.604435500441079</v>
      </c>
      <c r="BD95" s="101">
        <f t="shared" si="91"/>
        <v>14.57727842582856</v>
      </c>
      <c r="BE95" s="101">
        <f t="shared" si="91"/>
        <v>14.542040039932827</v>
      </c>
      <c r="BF95" s="101">
        <f t="shared" si="91"/>
        <v>14.504279994455297</v>
      </c>
      <c r="BG95" s="101">
        <f t="shared" si="91"/>
        <v>14.463947267354422</v>
      </c>
      <c r="BH95" s="101">
        <f t="shared" si="91"/>
        <v>14.420990021308661</v>
      </c>
      <c r="BI95" s="101">
        <f t="shared" si="91"/>
        <v>14.375355591976762</v>
      </c>
      <c r="BJ95" s="101">
        <f t="shared" si="91"/>
        <v>14.326990476098677</v>
      </c>
      <c r="BK95" s="101">
        <f t="shared" si="91"/>
        <v>14.275840319435028</v>
      </c>
      <c r="BL95" s="101">
        <f t="shared" si="91"/>
        <v>14.221849904542989</v>
      </c>
      <c r="BM95" s="101">
        <f t="shared" si="91"/>
        <v>14.164963138386476</v>
      </c>
      <c r="BN95" s="101">
        <f t="shared" si="91"/>
        <v>14.105123039778466</v>
      </c>
    </row>
    <row r="96" spans="1:66" outlineLevel="1" x14ac:dyDescent="0.2">
      <c r="A96"/>
      <c r="B96" t="s">
        <v>217</v>
      </c>
      <c r="C96" s="54" t="s">
        <v>153</v>
      </c>
      <c r="D96" s="44">
        <f>'BTX Recycling HC'!C251</f>
        <v>0</v>
      </c>
      <c r="E96" s="44">
        <f>'BTX Recycling HC'!D251</f>
        <v>3.4039389417713818E-3</v>
      </c>
      <c r="F96" s="44">
        <f>'BTX Recycling HC'!E251</f>
        <v>7.3024491368407773E-3</v>
      </c>
      <c r="G96" s="44">
        <f>'BTX Recycling HC'!F251</f>
        <v>1.1702537479041191E-2</v>
      </c>
      <c r="H96" s="44">
        <f>'BTX Recycling HC'!G251</f>
        <v>1.6605035663419511E-2</v>
      </c>
      <c r="I96" s="44">
        <f>'BTX Recycling HC'!H251</f>
        <v>2.2004216797951958E-2</v>
      </c>
      <c r="J96" s="44">
        <f>'BTX Recycling HC'!I251</f>
        <v>2.7960200361766285E-2</v>
      </c>
      <c r="K96" s="44">
        <f>'BTX Recycling HC'!J251</f>
        <v>3.449496036906459E-2</v>
      </c>
      <c r="L96" s="44">
        <f>'BTX Recycling HC'!K251</f>
        <v>4.1630054873085923E-2</v>
      </c>
      <c r="M96" s="44">
        <f>'BTX Recycling HC'!L251</f>
        <v>4.9386544691289419E-2</v>
      </c>
      <c r="N96" s="44">
        <f>'BTX Recycling HC'!M251</f>
        <v>5.7784910750598939E-2</v>
      </c>
      <c r="O96" s="44">
        <f>'BTX Recycling HC'!N251</f>
        <v>7.2831823663293618E-2</v>
      </c>
      <c r="P96" s="44">
        <f>'BTX Recycling HC'!O251</f>
        <v>8.9037192952566874E-2</v>
      </c>
      <c r="Q96" s="44">
        <f>'BTX Recycling HC'!P251</f>
        <v>0.10636010457576073</v>
      </c>
      <c r="R96" s="44">
        <f>'BTX Recycling HC'!Q251</f>
        <v>0.12474703533851901</v>
      </c>
      <c r="S96" s="44">
        <f>'BTX Recycling HC'!R251</f>
        <v>0.14413190970019166</v>
      </c>
      <c r="T96" s="44">
        <f>'BTX Recycling HC'!S251</f>
        <v>0.16474304223597677</v>
      </c>
      <c r="U96" s="44">
        <f>'BTX Recycling HC'!T251</f>
        <v>0.18660694628630964</v>
      </c>
      <c r="V96" s="44">
        <f>'BTX Recycling HC'!U251</f>
        <v>0.20974995788612089</v>
      </c>
      <c r="W96" s="44">
        <f>'BTX Recycling HC'!V251</f>
        <v>0.23419821306939409</v>
      </c>
      <c r="X96" s="44">
        <f>'BTX Recycling HC'!W251</f>
        <v>0.25997762492407217</v>
      </c>
      <c r="Y96" s="44">
        <f>'BTX Recycling HC'!X251</f>
        <v>0.29886499455250859</v>
      </c>
      <c r="Z96" s="44">
        <f>'BTX Recycling HC'!Y251</f>
        <v>0.33997713181861183</v>
      </c>
      <c r="AA96" s="44">
        <f>'BTX Recycling HC'!Z251</f>
        <v>0.38335815512189791</v>
      </c>
      <c r="AB96" s="44">
        <f>'BTX Recycling HC'!AA251</f>
        <v>0.42905185981503774</v>
      </c>
      <c r="AC96" s="44">
        <f>'BTX Recycling HC'!AB251</f>
        <v>0.47710168358046334</v>
      </c>
      <c r="AD96" s="44">
        <f>'BTX Recycling HC'!AC251</f>
        <v>0.52755571393408363</v>
      </c>
      <c r="AE96" s="44">
        <f>'BTX Recycling HC'!AD251</f>
        <v>0.58045807567859953</v>
      </c>
      <c r="AF96" s="44">
        <f>'BTX Recycling HC'!AE251</f>
        <v>0.63585257411162621</v>
      </c>
      <c r="AG96" s="44">
        <f>'BTX Recycling HC'!AF251</f>
        <v>0.6937826635791694</v>
      </c>
      <c r="AH96" s="44">
        <f>'BTX Recycling HC'!AG251</f>
        <v>0.75429141574799741</v>
      </c>
      <c r="AJ96" s="44">
        <f>D96</f>
        <v>0</v>
      </c>
      <c r="AK96" s="44">
        <f>E96</f>
        <v>3.4039389417713818E-3</v>
      </c>
      <c r="AL96" s="44">
        <f t="shared" ref="AL96:BA99" si="92">F96</f>
        <v>7.3024491368407773E-3</v>
      </c>
      <c r="AM96" s="44">
        <f t="shared" si="92"/>
        <v>1.1702537479041191E-2</v>
      </c>
      <c r="AN96" s="44">
        <f t="shared" si="92"/>
        <v>1.6605035663419511E-2</v>
      </c>
      <c r="AO96" s="44">
        <f t="shared" si="92"/>
        <v>2.2004216797951958E-2</v>
      </c>
      <c r="AP96" s="44">
        <f t="shared" si="92"/>
        <v>2.7960200361766285E-2</v>
      </c>
      <c r="AQ96" s="44">
        <f t="shared" si="92"/>
        <v>3.449496036906459E-2</v>
      </c>
      <c r="AR96" s="44">
        <f t="shared" si="92"/>
        <v>4.1630054873085923E-2</v>
      </c>
      <c r="AS96" s="44">
        <f t="shared" si="92"/>
        <v>4.9386544691289419E-2</v>
      </c>
      <c r="AT96" s="44">
        <f t="shared" si="92"/>
        <v>5.7784910750598939E-2</v>
      </c>
      <c r="AU96" s="44">
        <f t="shared" si="92"/>
        <v>7.2831823663293618E-2</v>
      </c>
      <c r="AV96" s="44">
        <f t="shared" si="92"/>
        <v>8.9037192952566874E-2</v>
      </c>
      <c r="AW96" s="44">
        <f t="shared" si="92"/>
        <v>0.10636010457576073</v>
      </c>
      <c r="AX96" s="44">
        <f t="shared" si="92"/>
        <v>0.12474703533851901</v>
      </c>
      <c r="AY96" s="44">
        <f t="shared" si="92"/>
        <v>0.14413190970019166</v>
      </c>
      <c r="AZ96" s="44">
        <f t="shared" si="92"/>
        <v>0.16474304223597677</v>
      </c>
      <c r="BA96" s="44">
        <f t="shared" si="92"/>
        <v>0.18660694628630964</v>
      </c>
      <c r="BB96" s="44">
        <f t="shared" ref="BB96:BN99" si="93">V96</f>
        <v>0.20974995788612089</v>
      </c>
      <c r="BC96" s="44">
        <f t="shared" si="93"/>
        <v>0.23419821306939409</v>
      </c>
      <c r="BD96" s="44">
        <f t="shared" si="93"/>
        <v>0.25997762492407217</v>
      </c>
      <c r="BE96" s="44">
        <f t="shared" si="93"/>
        <v>0.29886499455250859</v>
      </c>
      <c r="BF96" s="44">
        <f t="shared" si="93"/>
        <v>0.33997713181861183</v>
      </c>
      <c r="BG96" s="44">
        <f t="shared" si="93"/>
        <v>0.38335815512189791</v>
      </c>
      <c r="BH96" s="44">
        <f t="shared" si="93"/>
        <v>0.42905185981503774</v>
      </c>
      <c r="BI96" s="44">
        <f t="shared" si="93"/>
        <v>0.47710168358046334</v>
      </c>
      <c r="BJ96" s="44">
        <f t="shared" si="93"/>
        <v>0.52755571393408363</v>
      </c>
      <c r="BK96" s="44">
        <f t="shared" si="93"/>
        <v>0.58045807567859953</v>
      </c>
      <c r="BL96" s="44">
        <f t="shared" si="93"/>
        <v>0.63585257411162621</v>
      </c>
      <c r="BM96" s="44">
        <f t="shared" si="93"/>
        <v>0.6937826635791694</v>
      </c>
      <c r="BN96" s="44">
        <f t="shared" si="93"/>
        <v>0.75429141574799741</v>
      </c>
    </row>
    <row r="97" spans="1:66" outlineLevel="1" x14ac:dyDescent="0.2">
      <c r="A97"/>
      <c r="B97" t="s">
        <v>222</v>
      </c>
      <c r="C97" s="54" t="s">
        <v>153</v>
      </c>
      <c r="D97" s="44">
        <f>'BTX Recycling HC'!C117</f>
        <v>0</v>
      </c>
      <c r="E97" s="44">
        <f>'BTX Recycling HC'!D117</f>
        <v>0.13629920286466923</v>
      </c>
      <c r="F97" s="44">
        <f>'BTX Recycling HC'!E117</f>
        <v>0.25928489126244614</v>
      </c>
      <c r="G97" s="44">
        <f>'BTX Recycling HC'!F117</f>
        <v>0.38494456941548538</v>
      </c>
      <c r="H97" s="44">
        <f>'BTX Recycling HC'!G117</f>
        <v>0.50667304719150774</v>
      </c>
      <c r="I97" s="44">
        <f>'BTX Recycling HC'!H117</f>
        <v>0.62351766528534114</v>
      </c>
      <c r="J97" s="44">
        <f>'BTX Recycling HC'!I117</f>
        <v>0.74092954579754844</v>
      </c>
      <c r="K97" s="44">
        <f>'BTX Recycling HC'!J117</f>
        <v>0.85871527885729471</v>
      </c>
      <c r="L97" s="44">
        <f>'BTX Recycling HC'!K117</f>
        <v>0.97667478112040707</v>
      </c>
      <c r="M97" s="44">
        <f>'BTX Recycling HC'!L117</f>
        <v>1.0946016703189567</v>
      </c>
      <c r="N97" s="44">
        <f>'BTX Recycling HC'!M117</f>
        <v>1.2122836718303382</v>
      </c>
      <c r="O97" s="44">
        <f>'BTX Recycling HC'!N117</f>
        <v>1.3826132791129813</v>
      </c>
      <c r="P97" s="44">
        <f>'BTX Recycling HC'!O117</f>
        <v>1.5390540396809951</v>
      </c>
      <c r="Q97" s="44">
        <f>'BTX Recycling HC'!P117</f>
        <v>1.6801692262372669</v>
      </c>
      <c r="R97" s="44">
        <f>'BTX Recycling HC'!Q117</f>
        <v>1.804635939707925</v>
      </c>
      <c r="S97" s="44">
        <f>'BTX Recycling HC'!R117</f>
        <v>1.9112625325251393</v>
      </c>
      <c r="T97" s="44">
        <f>'BTX Recycling HC'!S117</f>
        <v>2.0066153425128954</v>
      </c>
      <c r="U97" s="44">
        <f>'BTX Recycling HC'!T117</f>
        <v>2.0902376102372475</v>
      </c>
      <c r="V97" s="44">
        <f>'BTX Recycling HC'!U117</f>
        <v>2.1616709562585461</v>
      </c>
      <c r="W97" s="44">
        <f>'BTX Recycling HC'!V117</f>
        <v>2.22045573537868</v>
      </c>
      <c r="X97" s="44">
        <f>'BTX Recycling HC'!W117</f>
        <v>2.2661313985234592</v>
      </c>
      <c r="Y97" s="44">
        <f>'BTX Recycling HC'!X117</f>
        <v>2.3931086983027399</v>
      </c>
      <c r="Z97" s="44">
        <f>'BTX Recycling HC'!Y117</f>
        <v>2.4999409377829522</v>
      </c>
      <c r="AA97" s="44">
        <f>'BTX Recycling HC'!Z117</f>
        <v>2.5858958253324689</v>
      </c>
      <c r="AB97" s="44">
        <f>'BTX Recycling HC'!AA117</f>
        <v>2.6502394748478242</v>
      </c>
      <c r="AC97" s="44">
        <f>'BTX Recycling HC'!AB117</f>
        <v>2.6922369385927585</v>
      </c>
      <c r="AD97" s="44">
        <f>'BTX Recycling HC'!AC117</f>
        <v>2.7111994199826963</v>
      </c>
      <c r="AE97" s="44">
        <f>'BTX Recycling HC'!AD117</f>
        <v>2.7063914102476723</v>
      </c>
      <c r="AF97" s="44">
        <f>'BTX Recycling HC'!AE117</f>
        <v>2.6770766032422042</v>
      </c>
      <c r="AG97" s="44">
        <f>'BTX Recycling HC'!AF117</f>
        <v>2.6225183934960379</v>
      </c>
      <c r="AH97" s="44">
        <f>'BTX Recycling HC'!AG117</f>
        <v>2.5419803827205731</v>
      </c>
      <c r="AJ97" s="44">
        <f t="shared" ref="AJ97:AY99" si="94">D97</f>
        <v>0</v>
      </c>
      <c r="AK97" s="44">
        <f t="shared" si="94"/>
        <v>0.13629920286466923</v>
      </c>
      <c r="AL97" s="44">
        <f t="shared" si="94"/>
        <v>0.25928489126244614</v>
      </c>
      <c r="AM97" s="44">
        <f t="shared" si="94"/>
        <v>0.38494456941548538</v>
      </c>
      <c r="AN97" s="44">
        <f t="shared" si="94"/>
        <v>0.50667304719150774</v>
      </c>
      <c r="AO97" s="44">
        <f t="shared" si="94"/>
        <v>0.62351766528534114</v>
      </c>
      <c r="AP97" s="44">
        <f t="shared" si="94"/>
        <v>0.74092954579754844</v>
      </c>
      <c r="AQ97" s="44">
        <f t="shared" si="94"/>
        <v>0.85871527885729471</v>
      </c>
      <c r="AR97" s="44">
        <f t="shared" si="94"/>
        <v>0.97667478112040707</v>
      </c>
      <c r="AS97" s="44">
        <f t="shared" si="94"/>
        <v>1.0946016703189567</v>
      </c>
      <c r="AT97" s="44">
        <f t="shared" si="94"/>
        <v>1.2122836718303382</v>
      </c>
      <c r="AU97" s="44">
        <f t="shared" si="94"/>
        <v>1.3826132791129813</v>
      </c>
      <c r="AV97" s="44">
        <f t="shared" si="94"/>
        <v>1.5390540396809951</v>
      </c>
      <c r="AW97" s="44">
        <f t="shared" si="94"/>
        <v>1.6801692262372669</v>
      </c>
      <c r="AX97" s="44">
        <f t="shared" si="94"/>
        <v>1.804635939707925</v>
      </c>
      <c r="AY97" s="44">
        <f t="shared" si="94"/>
        <v>1.9112625325251393</v>
      </c>
      <c r="AZ97" s="44">
        <f t="shared" si="92"/>
        <v>2.0066153425128954</v>
      </c>
      <c r="BA97" s="44">
        <f t="shared" si="92"/>
        <v>2.0902376102372475</v>
      </c>
      <c r="BB97" s="44">
        <f t="shared" si="93"/>
        <v>2.1616709562585461</v>
      </c>
      <c r="BC97" s="44">
        <f t="shared" si="93"/>
        <v>2.22045573537868</v>
      </c>
      <c r="BD97" s="44">
        <f t="shared" si="93"/>
        <v>2.2661313985234592</v>
      </c>
      <c r="BE97" s="44">
        <f t="shared" si="93"/>
        <v>2.3931086983027399</v>
      </c>
      <c r="BF97" s="44">
        <f t="shared" si="93"/>
        <v>2.4999409377829522</v>
      </c>
      <c r="BG97" s="44">
        <f t="shared" si="93"/>
        <v>2.5858958253324689</v>
      </c>
      <c r="BH97" s="44">
        <f t="shared" si="93"/>
        <v>2.6502394748478242</v>
      </c>
      <c r="BI97" s="44">
        <f t="shared" si="93"/>
        <v>2.6922369385927585</v>
      </c>
      <c r="BJ97" s="44">
        <f t="shared" si="93"/>
        <v>2.7111994199826963</v>
      </c>
      <c r="BK97" s="44">
        <f t="shared" si="93"/>
        <v>2.7063914102476723</v>
      </c>
      <c r="BL97" s="44">
        <f t="shared" si="93"/>
        <v>2.6770766032422042</v>
      </c>
      <c r="BM97" s="44">
        <f t="shared" si="93"/>
        <v>2.6225183934960379</v>
      </c>
      <c r="BN97" s="44">
        <f t="shared" si="93"/>
        <v>2.5419803827205731</v>
      </c>
    </row>
    <row r="98" spans="1:66" outlineLevel="1" x14ac:dyDescent="0.2">
      <c r="A98" s="181"/>
      <c r="B98" s="181" t="s">
        <v>218</v>
      </c>
      <c r="C98" s="176" t="s">
        <v>153</v>
      </c>
      <c r="D98" s="238">
        <f>'BTX Recycling HC'!C162</f>
        <v>0</v>
      </c>
      <c r="E98" s="238">
        <f>'BTX Recycling HC'!D162</f>
        <v>6.1242424012041621E-3</v>
      </c>
      <c r="F98" s="238">
        <f>'BTX Recycling HC'!E162</f>
        <v>1.2367139071990645E-2</v>
      </c>
      <c r="G98" s="238">
        <f>'BTX Recycling HC'!F162</f>
        <v>1.8666427257236547E-2</v>
      </c>
      <c r="H98" s="238">
        <f>'BTX Recycling HC'!G162</f>
        <v>2.4956413176890648E-2</v>
      </c>
      <c r="I98" s="238">
        <f>'BTX Recycling HC'!H162</f>
        <v>3.1168920317611631E-2</v>
      </c>
      <c r="J98" s="238">
        <f>'BTX Recycling HC'!I162</f>
        <v>3.7362573783696701E-2</v>
      </c>
      <c r="K98" s="238">
        <f>'BTX Recycling HC'!J162</f>
        <v>4.35059960958218E-2</v>
      </c>
      <c r="L98" s="238">
        <f>'BTX Recycling HC'!K162</f>
        <v>4.9566132504338098E-2</v>
      </c>
      <c r="M98" s="238">
        <f>'BTX Recycling HC'!L162</f>
        <v>5.5508294501964414E-2</v>
      </c>
      <c r="N98" s="238">
        <f>'BTX Recycling HC'!M162</f>
        <v>6.1296211933746431E-2</v>
      </c>
      <c r="O98" s="238">
        <f>'BTX Recycling HC'!N162</f>
        <v>7.3336727503361121E-2</v>
      </c>
      <c r="P98" s="238">
        <f>'BTX Recycling HC'!O162</f>
        <v>8.4878509501651739E-2</v>
      </c>
      <c r="Q98" s="238">
        <f>'BTX Recycling HC'!P162</f>
        <v>9.5392973622958455E-2</v>
      </c>
      <c r="R98" s="238">
        <f>'BTX Recycling HC'!Q162</f>
        <v>0.10508719587756696</v>
      </c>
      <c r="S98" s="238">
        <f>'BTX Recycling HC'!R162</f>
        <v>0.11385062454472453</v>
      </c>
      <c r="T98" s="238">
        <f>'BTX Recycling HC'!S162</f>
        <v>0.12183956748397973</v>
      </c>
      <c r="U98" s="238">
        <f>'BTX Recycling HC'!T162</f>
        <v>0.12899830559154873</v>
      </c>
      <c r="V98" s="238">
        <f>'BTX Recycling HC'!U162</f>
        <v>0.1352705826339774</v>
      </c>
      <c r="W98" s="238">
        <f>'BTX Recycling HC'!V162</f>
        <v>0.14059966735521282</v>
      </c>
      <c r="X98" s="238">
        <f>'BTX Recycling HC'!W162</f>
        <v>0.14492841767869097</v>
      </c>
      <c r="Y98" s="238">
        <f>'BTX Recycling HC'!X162</f>
        <v>0.15470435666039195</v>
      </c>
      <c r="Z98" s="238">
        <f>'BTX Recycling HC'!Y162</f>
        <v>0.16282487917490981</v>
      </c>
      <c r="AA98" s="238">
        <f>'BTX Recycling HC'!Z162</f>
        <v>0.16755196725223986</v>
      </c>
      <c r="AB98" s="238">
        <f>'BTX Recycling HC'!AA162</f>
        <v>0.17031262482257448</v>
      </c>
      <c r="AC98" s="238">
        <f>'BTX Recycling HC'!AB162</f>
        <v>0.17105806796727208</v>
      </c>
      <c r="AD98" s="238">
        <f>'BTX Recycling HC'!AC162</f>
        <v>0.16974694666415668</v>
      </c>
      <c r="AE98" s="238">
        <f>'BTX Recycling HC'!AD162</f>
        <v>0.16634201352478203</v>
      </c>
      <c r="AF98" s="238">
        <f>'BTX Recycling HC'!AE162</f>
        <v>0.16081231001648785</v>
      </c>
      <c r="AG98" s="238">
        <f>'BTX Recycling HC'!AF162</f>
        <v>0.1531335668473145</v>
      </c>
      <c r="AH98" s="238">
        <f>'BTX Recycling HC'!AG162</f>
        <v>0.14328860984754174</v>
      </c>
      <c r="AJ98" s="44">
        <f t="shared" si="94"/>
        <v>0</v>
      </c>
      <c r="AK98" s="44">
        <f t="shared" si="94"/>
        <v>6.1242424012041621E-3</v>
      </c>
      <c r="AL98" s="44">
        <f t="shared" si="94"/>
        <v>1.2367139071990645E-2</v>
      </c>
      <c r="AM98" s="44">
        <f t="shared" si="94"/>
        <v>1.8666427257236547E-2</v>
      </c>
      <c r="AN98" s="44">
        <f t="shared" si="94"/>
        <v>2.4956413176890648E-2</v>
      </c>
      <c r="AO98" s="44">
        <f t="shared" si="94"/>
        <v>3.1168920317611631E-2</v>
      </c>
      <c r="AP98" s="44">
        <f t="shared" si="94"/>
        <v>3.7362573783696701E-2</v>
      </c>
      <c r="AQ98" s="44">
        <f t="shared" si="94"/>
        <v>4.35059960958218E-2</v>
      </c>
      <c r="AR98" s="44">
        <f t="shared" si="94"/>
        <v>4.9566132504338098E-2</v>
      </c>
      <c r="AS98" s="44">
        <f t="shared" si="94"/>
        <v>5.5508294501964414E-2</v>
      </c>
      <c r="AT98" s="44">
        <f t="shared" si="94"/>
        <v>6.1296211933746431E-2</v>
      </c>
      <c r="AU98" s="44">
        <f t="shared" si="94"/>
        <v>7.3336727503361121E-2</v>
      </c>
      <c r="AV98" s="44">
        <f t="shared" si="94"/>
        <v>8.4878509501651739E-2</v>
      </c>
      <c r="AW98" s="44">
        <f t="shared" si="94"/>
        <v>9.5392973622958455E-2</v>
      </c>
      <c r="AX98" s="44">
        <f t="shared" si="94"/>
        <v>0.10508719587756696</v>
      </c>
      <c r="AY98" s="44">
        <f t="shared" si="94"/>
        <v>0.11385062454472453</v>
      </c>
      <c r="AZ98" s="44">
        <f t="shared" si="92"/>
        <v>0.12183956748397973</v>
      </c>
      <c r="BA98" s="44">
        <f t="shared" si="92"/>
        <v>0.12899830559154873</v>
      </c>
      <c r="BB98" s="44">
        <f t="shared" si="93"/>
        <v>0.1352705826339774</v>
      </c>
      <c r="BC98" s="44">
        <f t="shared" si="93"/>
        <v>0.14059966735521282</v>
      </c>
      <c r="BD98" s="44">
        <f t="shared" si="93"/>
        <v>0.14492841767869097</v>
      </c>
      <c r="BE98" s="44">
        <f t="shared" si="93"/>
        <v>0.15470435666039195</v>
      </c>
      <c r="BF98" s="44">
        <f t="shared" si="93"/>
        <v>0.16282487917490981</v>
      </c>
      <c r="BG98" s="44">
        <f t="shared" si="93"/>
        <v>0.16755196725223986</v>
      </c>
      <c r="BH98" s="44">
        <f t="shared" si="93"/>
        <v>0.17031262482257448</v>
      </c>
      <c r="BI98" s="44">
        <f t="shared" si="93"/>
        <v>0.17105806796727208</v>
      </c>
      <c r="BJ98" s="44">
        <f t="shared" si="93"/>
        <v>0.16974694666415668</v>
      </c>
      <c r="BK98" s="44">
        <f t="shared" si="93"/>
        <v>0.16634201352478203</v>
      </c>
      <c r="BL98" s="44">
        <f t="shared" si="93"/>
        <v>0.16081231001648785</v>
      </c>
      <c r="BM98" s="44">
        <f t="shared" si="93"/>
        <v>0.1531335668473145</v>
      </c>
      <c r="BN98" s="44">
        <f t="shared" si="93"/>
        <v>0.14328860984754174</v>
      </c>
    </row>
    <row r="99" spans="1:66" outlineLevel="1" x14ac:dyDescent="0.2">
      <c r="A99" s="181"/>
      <c r="B99" s="181" t="s">
        <v>224</v>
      </c>
      <c r="C99" s="176" t="s">
        <v>153</v>
      </c>
      <c r="D99" s="238">
        <f>'BTX Recycling HC'!C224</f>
        <v>0</v>
      </c>
      <c r="E99" s="238">
        <f>'BTX Recycling HC'!D224</f>
        <v>-1.072732726938698E-2</v>
      </c>
      <c r="F99" s="238">
        <f>'BTX Recycling HC'!E224</f>
        <v>1.3453319674309169E-2</v>
      </c>
      <c r="G99" s="238">
        <f>'BTX Recycling HC'!F224</f>
        <v>4.0455022530981849E-2</v>
      </c>
      <c r="H99" s="238">
        <f>'BTX Recycling HC'!G224</f>
        <v>7.0323073520251911E-2</v>
      </c>
      <c r="I99" s="238">
        <f>'BTX Recycling HC'!H224</f>
        <v>0.10306997341614982</v>
      </c>
      <c r="J99" s="238">
        <f>'BTX Recycling HC'!I224</f>
        <v>0.13150392797856952</v>
      </c>
      <c r="K99" s="238">
        <f>'BTX Recycling HC'!J224</f>
        <v>0.16106708601345709</v>
      </c>
      <c r="L99" s="238">
        <f>'BTX Recycling HC'!K224</f>
        <v>0.19160286072242771</v>
      </c>
      <c r="M99" s="238">
        <f>'BTX Recycling HC'!L224</f>
        <v>0.22293226293690244</v>
      </c>
      <c r="N99" s="238">
        <f>'BTX Recycling HC'!M224</f>
        <v>0.25485317161799531</v>
      </c>
      <c r="O99" s="238">
        <f>'BTX Recycling HC'!N224</f>
        <v>0.29938000486737038</v>
      </c>
      <c r="P99" s="238">
        <f>'BTX Recycling HC'!O224</f>
        <v>0.34454329924240928</v>
      </c>
      <c r="Q99" s="238">
        <f>'BTX Recycling HC'!P224</f>
        <v>0.38974177806618454</v>
      </c>
      <c r="R99" s="238">
        <f>'BTX Recycling HC'!Q224</f>
        <v>0.43432910587959817</v>
      </c>
      <c r="S99" s="238">
        <f>'BTX Recycling HC'!R224</f>
        <v>0.47762169785464126</v>
      </c>
      <c r="T99" s="238">
        <f>'BTX Recycling HC'!S224</f>
        <v>0.5287288979656587</v>
      </c>
      <c r="U99" s="238">
        <f>'BTX Recycling HC'!T224</f>
        <v>0.58049001984863335</v>
      </c>
      <c r="V99" s="238">
        <f>'BTX Recycling HC'!U224</f>
        <v>0.6325832686675098</v>
      </c>
      <c r="W99" s="238">
        <f>'BTX Recycling HC'!V224</f>
        <v>0.68466141403768921</v>
      </c>
      <c r="X99" s="238">
        <f>'BTX Recycling HC'!W224</f>
        <v>0.73635118649005504</v>
      </c>
      <c r="Y99" s="238">
        <f>'BTX Recycling HC'!X224</f>
        <v>0.80980175065447446</v>
      </c>
      <c r="Z99" s="238">
        <f>'BTX Recycling HC'!Y224</f>
        <v>0.88283423234276404</v>
      </c>
      <c r="AA99" s="238">
        <f>'BTX Recycling HC'!Z224</f>
        <v>0.95479732520494687</v>
      </c>
      <c r="AB99" s="238">
        <f>'BTX Recycling HC'!AA224</f>
        <v>1.0249943431644746</v>
      </c>
      <c r="AC99" s="238">
        <f>'BTX Recycling HC'!AB224</f>
        <v>1.0926822365205171</v>
      </c>
      <c r="AD99" s="238">
        <f>'BTX Recycling HC'!AC224</f>
        <v>1.1444438274986972</v>
      </c>
      <c r="AE99" s="238">
        <f>'BTX Recycling HC'!AD224</f>
        <v>1.1895343555748916</v>
      </c>
      <c r="AF99" s="238">
        <f>'BTX Recycling HC'!AE224</f>
        <v>1.2268248482889739</v>
      </c>
      <c r="AG99" s="238">
        <f>'BTX Recycling HC'!AF224</f>
        <v>1.2551248128167618</v>
      </c>
      <c r="AH99" s="238">
        <f>'BTX Recycling HC'!AG224</f>
        <v>1.2731811459193232</v>
      </c>
      <c r="AJ99" s="44">
        <f t="shared" si="94"/>
        <v>0</v>
      </c>
      <c r="AK99" s="44">
        <f t="shared" si="94"/>
        <v>-1.072732726938698E-2</v>
      </c>
      <c r="AL99" s="44">
        <f t="shared" si="94"/>
        <v>1.3453319674309169E-2</v>
      </c>
      <c r="AM99" s="44">
        <f t="shared" si="94"/>
        <v>4.0455022530981849E-2</v>
      </c>
      <c r="AN99" s="44">
        <f t="shared" si="94"/>
        <v>7.0323073520251911E-2</v>
      </c>
      <c r="AO99" s="44">
        <f t="shared" si="94"/>
        <v>0.10306997341614982</v>
      </c>
      <c r="AP99" s="44">
        <f t="shared" si="94"/>
        <v>0.13150392797856952</v>
      </c>
      <c r="AQ99" s="44">
        <f t="shared" si="94"/>
        <v>0.16106708601345709</v>
      </c>
      <c r="AR99" s="44">
        <f t="shared" si="94"/>
        <v>0.19160286072242771</v>
      </c>
      <c r="AS99" s="44">
        <f t="shared" si="94"/>
        <v>0.22293226293690244</v>
      </c>
      <c r="AT99" s="44">
        <f t="shared" si="94"/>
        <v>0.25485317161799531</v>
      </c>
      <c r="AU99" s="44">
        <f t="shared" si="94"/>
        <v>0.29938000486737038</v>
      </c>
      <c r="AV99" s="44">
        <f t="shared" si="94"/>
        <v>0.34454329924240928</v>
      </c>
      <c r="AW99" s="44">
        <f t="shared" si="94"/>
        <v>0.38974177806618454</v>
      </c>
      <c r="AX99" s="44">
        <f t="shared" si="94"/>
        <v>0.43432910587959817</v>
      </c>
      <c r="AY99" s="44">
        <f t="shared" si="94"/>
        <v>0.47762169785464126</v>
      </c>
      <c r="AZ99" s="44">
        <f t="shared" si="92"/>
        <v>0.5287288979656587</v>
      </c>
      <c r="BA99" s="44">
        <f t="shared" si="92"/>
        <v>0.58049001984863335</v>
      </c>
      <c r="BB99" s="44">
        <f t="shared" si="93"/>
        <v>0.6325832686675098</v>
      </c>
      <c r="BC99" s="44">
        <f t="shared" si="93"/>
        <v>0.68466141403768921</v>
      </c>
      <c r="BD99" s="44">
        <f t="shared" si="93"/>
        <v>0.73635118649005504</v>
      </c>
      <c r="BE99" s="44">
        <f t="shared" si="93"/>
        <v>0.80980175065447446</v>
      </c>
      <c r="BF99" s="44">
        <f t="shared" si="93"/>
        <v>0.88283423234276404</v>
      </c>
      <c r="BG99" s="44">
        <f t="shared" si="93"/>
        <v>0.95479732520494687</v>
      </c>
      <c r="BH99" s="44">
        <f t="shared" si="93"/>
        <v>1.0249943431644746</v>
      </c>
      <c r="BI99" s="44">
        <f t="shared" si="93"/>
        <v>1.0926822365205171</v>
      </c>
      <c r="BJ99" s="44">
        <f t="shared" si="93"/>
        <v>1.1444438274986972</v>
      </c>
      <c r="BK99" s="44">
        <f t="shared" si="93"/>
        <v>1.1895343555748916</v>
      </c>
      <c r="BL99" s="44">
        <f t="shared" si="93"/>
        <v>1.2268248482889739</v>
      </c>
      <c r="BM99" s="44">
        <f t="shared" si="93"/>
        <v>1.2551248128167618</v>
      </c>
      <c r="BN99" s="44">
        <f t="shared" si="93"/>
        <v>1.2731811459193232</v>
      </c>
    </row>
    <row r="100" spans="1:66" outlineLevel="1" x14ac:dyDescent="0.2">
      <c r="A100" s="239"/>
      <c r="B100" s="239" t="s">
        <v>219</v>
      </c>
      <c r="C100" s="240" t="s">
        <v>153</v>
      </c>
      <c r="D100" s="241">
        <f>D95-D96-D97-D98-D99</f>
        <v>14.733107457344531</v>
      </c>
      <c r="E100" s="241">
        <f t="shared" ref="E100:AG100" si="95">E95-E96-E97-E98-E99</f>
        <v>14.401033257367594</v>
      </c>
      <c r="F100" s="241">
        <f t="shared" si="95"/>
        <v>14.040667265168176</v>
      </c>
      <c r="G100" s="241">
        <f t="shared" si="95"/>
        <v>13.668054484391615</v>
      </c>
      <c r="H100" s="241">
        <f t="shared" si="95"/>
        <v>13.289708336088738</v>
      </c>
      <c r="I100" s="241">
        <f t="shared" si="95"/>
        <v>12.906529847109422</v>
      </c>
      <c r="J100" s="241">
        <f t="shared" si="95"/>
        <v>12.520026189982596</v>
      </c>
      <c r="K100" s="241">
        <f t="shared" si="95"/>
        <v>12.124841530151865</v>
      </c>
      <c r="L100" s="241">
        <f t="shared" si="95"/>
        <v>11.721225766869876</v>
      </c>
      <c r="M100" s="241">
        <f t="shared" si="95"/>
        <v>11.309457838409818</v>
      </c>
      <c r="N100" s="241">
        <f t="shared" si="95"/>
        <v>10.889846050443971</v>
      </c>
      <c r="O100" s="241">
        <f t="shared" si="95"/>
        <v>10.384946255082976</v>
      </c>
      <c r="P100" s="241">
        <f t="shared" si="95"/>
        <v>9.8853801978609592</v>
      </c>
      <c r="Q100" s="241">
        <f t="shared" si="95"/>
        <v>9.3936278928385821</v>
      </c>
      <c r="R100" s="241">
        <f t="shared" si="95"/>
        <v>8.9113756113276867</v>
      </c>
      <c r="S100" s="241">
        <f t="shared" si="95"/>
        <v>8.440543853622442</v>
      </c>
      <c r="T100" s="241">
        <f t="shared" si="95"/>
        <v>7.9649389799975445</v>
      </c>
      <c r="U100" s="241">
        <f t="shared" si="95"/>
        <v>7.492072302860282</v>
      </c>
      <c r="V100" s="241">
        <f t="shared" si="95"/>
        <v>7.0226165459703171</v>
      </c>
      <c r="W100" s="241">
        <f t="shared" si="95"/>
        <v>6.5572697495877446</v>
      </c>
      <c r="X100" s="241">
        <f t="shared" si="95"/>
        <v>6.0967554422245733</v>
      </c>
      <c r="Y100" s="241">
        <f t="shared" si="95"/>
        <v>5.492641510134316</v>
      </c>
      <c r="Z100" s="241">
        <f t="shared" si="95"/>
        <v>4.899601884739397</v>
      </c>
      <c r="AA100" s="241">
        <f t="shared" si="95"/>
        <v>4.3205612411208829</v>
      </c>
      <c r="AB100" s="241">
        <f t="shared" si="95"/>
        <v>3.7553242517710328</v>
      </c>
      <c r="AC100" s="241">
        <f t="shared" si="95"/>
        <v>3.2052168504549705</v>
      </c>
      <c r="AD100" s="241">
        <f t="shared" si="95"/>
        <v>2.6841785226387191</v>
      </c>
      <c r="AE100" s="241">
        <f t="shared" si="95"/>
        <v>2.1835205349004694</v>
      </c>
      <c r="AF100" s="241">
        <f t="shared" si="95"/>
        <v>1.7049307870362362</v>
      </c>
      <c r="AG100" s="241">
        <f t="shared" si="95"/>
        <v>1.2501502202235697</v>
      </c>
      <c r="AH100" s="241">
        <f>AH95-AH96-AH97-AH98-AH99</f>
        <v>0.82097299269649171</v>
      </c>
      <c r="AJ100" s="241">
        <f>AJ95-AJ96-AJ97-AJ98-AJ99</f>
        <v>14.733107457344531</v>
      </c>
      <c r="AK100" s="241">
        <f t="shared" ref="AK100:BN100" si="96">AK95-AK96-AK97-AK98-AK99</f>
        <v>14.60725707218468</v>
      </c>
      <c r="AL100" s="241">
        <f t="shared" si="96"/>
        <v>14.457633404411544</v>
      </c>
      <c r="AM100" s="241">
        <f t="shared" si="96"/>
        <v>14.30035571047598</v>
      </c>
      <c r="AN100" s="241">
        <f t="shared" si="96"/>
        <v>14.142012748855327</v>
      </c>
      <c r="AO100" s="241">
        <f t="shared" si="96"/>
        <v>13.983581983299963</v>
      </c>
      <c r="AP100" s="241">
        <f t="shared" si="96"/>
        <v>13.826648137761584</v>
      </c>
      <c r="AQ100" s="241">
        <f t="shared" si="96"/>
        <v>13.665934058874848</v>
      </c>
      <c r="AR100" s="241">
        <f t="shared" si="96"/>
        <v>13.501769472298072</v>
      </c>
      <c r="AS100" s="241">
        <f t="shared" si="96"/>
        <v>13.334514303573894</v>
      </c>
      <c r="AT100" s="241">
        <f t="shared" si="96"/>
        <v>13.164559022362425</v>
      </c>
      <c r="AU100" s="241">
        <f t="shared" si="96"/>
        <v>12.914542837543154</v>
      </c>
      <c r="AV100" s="241">
        <f t="shared" si="96"/>
        <v>12.67517206047348</v>
      </c>
      <c r="AW100" s="241">
        <f t="shared" si="96"/>
        <v>12.449012496578501</v>
      </c>
      <c r="AX100" s="241">
        <f t="shared" si="96"/>
        <v>12.237837450778603</v>
      </c>
      <c r="AY100" s="241">
        <f t="shared" si="96"/>
        <v>12.043655716142354</v>
      </c>
      <c r="AZ100" s="241">
        <f t="shared" si="96"/>
        <v>11.8503632220282</v>
      </c>
      <c r="BA100" s="241">
        <f t="shared" si="96"/>
        <v>11.665562143604454</v>
      </c>
      <c r="BB100" s="241">
        <f t="shared" si="96"/>
        <v>11.490017378664438</v>
      </c>
      <c r="BC100" s="241">
        <f t="shared" si="96"/>
        <v>11.324520470600103</v>
      </c>
      <c r="BD100" s="241">
        <f t="shared" si="96"/>
        <v>11.169889798212282</v>
      </c>
      <c r="BE100" s="241">
        <f t="shared" si="96"/>
        <v>10.885560239762713</v>
      </c>
      <c r="BF100" s="241">
        <f t="shared" si="96"/>
        <v>10.618702813336059</v>
      </c>
      <c r="BG100" s="241">
        <f t="shared" si="96"/>
        <v>10.372343994442868</v>
      </c>
      <c r="BH100" s="241">
        <f t="shared" si="96"/>
        <v>10.14639171865875</v>
      </c>
      <c r="BI100" s="241">
        <f t="shared" si="96"/>
        <v>9.9422766653157524</v>
      </c>
      <c r="BJ100" s="241">
        <f t="shared" si="96"/>
        <v>9.7740445680190433</v>
      </c>
      <c r="BK100" s="241">
        <f t="shared" si="96"/>
        <v>9.6331144644090827</v>
      </c>
      <c r="BL100" s="241">
        <f t="shared" si="96"/>
        <v>9.5212835688836979</v>
      </c>
      <c r="BM100" s="241">
        <f t="shared" si="96"/>
        <v>9.4404037016471918</v>
      </c>
      <c r="BN100" s="241">
        <f t="shared" si="96"/>
        <v>9.3923814855430301</v>
      </c>
    </row>
    <row r="101" spans="1:66" s="67" customFormat="1" outlineLevel="1" x14ac:dyDescent="0.2">
      <c r="A101" s="681"/>
      <c r="B101" s="58" t="s">
        <v>7</v>
      </c>
      <c r="C101" s="59" t="s">
        <v>153</v>
      </c>
      <c r="D101" s="60">
        <f>D42-'Overall recycling rates'!$G$60/SUM('Overall recycling rates'!$G$60:$G$62)*('BTX Recycling HC'!C225+'BTX Recycling HC'!C252+'BTX Recycling HC'!C163+'BTX Recycling HC'!C118)-'Overall recycling rates'!$E$60/SUM('Overall recycling rates'!$E$60:$E$62)*('BTX Recycling HC'!C226+'BTX Recycling HC'!C253+'BTX Recycling HC'!C164+'BTX Recycling HC'!C119)-'Overall recycling rates'!$H$60/SUM('Overall recycling rates'!$H$60:$H$62)*('BTX Recycling HC'!C227+'BTX Recycling HC'!C254+'BTX Recycling HC'!C165+'BTX Recycling HC'!C120)-'Overall recycling rates'!$I$60/SUM('Overall recycling rates'!$I$60:$I$62)*('BTX Recycling HC'!C228+'BTX Recycling HC'!C255+'BTX Recycling HC'!C166+'BTX Recycling HC'!C121)</f>
        <v>12.002819069097551</v>
      </c>
      <c r="E101" s="60">
        <f>E42-'Overall recycling rates'!$G$60/SUM('Overall recycling rates'!$G$60:$G$62)*('BTX Recycling HC'!D225+'BTX Recycling HC'!D252+'BTX Recycling HC'!D163+'BTX Recycling HC'!D118)-'Overall recycling rates'!$E$60/SUM('Overall recycling rates'!$E$60:$E$62)*('BTX Recycling HC'!D226+'BTX Recycling HC'!D253+'BTX Recycling HC'!D164+'BTX Recycling HC'!D119)-'Overall recycling rates'!$H$60/SUM('Overall recycling rates'!$H$60:$H$62)*('BTX Recycling HC'!D227+'BTX Recycling HC'!D254+'BTX Recycling HC'!D165+'BTX Recycling HC'!D120)-'Overall recycling rates'!$I$60/SUM('Overall recycling rates'!$I$60:$I$62)*('BTX Recycling HC'!D228+'BTX Recycling HC'!D255+'BTX Recycling HC'!D166+'BTX Recycling HC'!D121)</f>
        <v>11.78771385773295</v>
      </c>
      <c r="F101" s="60">
        <f>F42-'Overall recycling rates'!$G$60/SUM('Overall recycling rates'!$G$60:$G$62)*('BTX Recycling HC'!E225+'BTX Recycling HC'!E252+'BTX Recycling HC'!E163+'BTX Recycling HC'!E118)-'Overall recycling rates'!$E$60/SUM('Overall recycling rates'!$E$60:$E$62)*('BTX Recycling HC'!E226+'BTX Recycling HC'!E253+'BTX Recycling HC'!E164+'BTX Recycling HC'!E119)-'Overall recycling rates'!$H$60/SUM('Overall recycling rates'!$H$60:$H$62)*('BTX Recycling HC'!E227+'BTX Recycling HC'!E254+'BTX Recycling HC'!E165+'BTX Recycling HC'!E120)-'Overall recycling rates'!$I$60/SUM('Overall recycling rates'!$I$60:$I$62)*('BTX Recycling HC'!E228+'BTX Recycling HC'!E255+'BTX Recycling HC'!E166+'BTX Recycling HC'!E121)</f>
        <v>11.561022820818835</v>
      </c>
      <c r="G101" s="60">
        <f>G42-'Overall recycling rates'!$G$60/SUM('Overall recycling rates'!$G$60:$G$62)*('BTX Recycling HC'!F225+'BTX Recycling HC'!F252+'BTX Recycling HC'!F163+'BTX Recycling HC'!F118)-'Overall recycling rates'!$E$60/SUM('Overall recycling rates'!$E$60:$E$62)*('BTX Recycling HC'!F226+'BTX Recycling HC'!F253+'BTX Recycling HC'!F164+'BTX Recycling HC'!F119)-'Overall recycling rates'!$H$60/SUM('Overall recycling rates'!$H$60:$H$62)*('BTX Recycling HC'!F227+'BTX Recycling HC'!F254+'BTX Recycling HC'!F165+'BTX Recycling HC'!F120)-'Overall recycling rates'!$I$60/SUM('Overall recycling rates'!$I$60:$I$62)*('BTX Recycling HC'!F228+'BTX Recycling HC'!F255+'BTX Recycling HC'!F166+'BTX Recycling HC'!F121)</f>
        <v>11.323806412098362</v>
      </c>
      <c r="H101" s="60">
        <f>H42-'Overall recycling rates'!$G$60/SUM('Overall recycling rates'!$G$60:$G$62)*('BTX Recycling HC'!G225+'BTX Recycling HC'!G252+'BTX Recycling HC'!G163+'BTX Recycling HC'!G118)-'Overall recycling rates'!$E$60/SUM('Overall recycling rates'!$E$60:$E$62)*('BTX Recycling HC'!G226+'BTX Recycling HC'!G253+'BTX Recycling HC'!G164+'BTX Recycling HC'!G119)-'Overall recycling rates'!$H$60/SUM('Overall recycling rates'!$H$60:$H$62)*('BTX Recycling HC'!G227+'BTX Recycling HC'!G254+'BTX Recycling HC'!G165+'BTX Recycling HC'!G120)-'Overall recycling rates'!$I$60/SUM('Overall recycling rates'!$I$60:$I$62)*('BTX Recycling HC'!G228+'BTX Recycling HC'!G255+'BTX Recycling HC'!G166+'BTX Recycling HC'!G121)</f>
        <v>11.076435358932002</v>
      </c>
      <c r="I101" s="60">
        <f>I42-'Overall recycling rates'!$G$60/SUM('Overall recycling rates'!$G$60:$G$62)*('BTX Recycling HC'!H225+'BTX Recycling HC'!H252+'BTX Recycling HC'!H163+'BTX Recycling HC'!H118)-'Overall recycling rates'!$E$60/SUM('Overall recycling rates'!$E$60:$E$62)*('BTX Recycling HC'!H226+'BTX Recycling HC'!H253+'BTX Recycling HC'!H164+'BTX Recycling HC'!H119)-'Overall recycling rates'!$H$60/SUM('Overall recycling rates'!$H$60:$H$62)*('BTX Recycling HC'!H227+'BTX Recycling HC'!H254+'BTX Recycling HC'!H165+'BTX Recycling HC'!H120)-'Overall recycling rates'!$I$60/SUM('Overall recycling rates'!$I$60:$I$62)*('BTX Recycling HC'!H228+'BTX Recycling HC'!H255+'BTX Recycling HC'!H166+'BTX Recycling HC'!H121)</f>
        <v>10.8192304675897</v>
      </c>
      <c r="J101" s="60">
        <f>J42-'Overall recycling rates'!$G$60/SUM('Overall recycling rates'!$G$60:$G$62)*('BTX Recycling HC'!I225+'BTX Recycling HC'!I252+'BTX Recycling HC'!I163+'BTX Recycling HC'!I118)-'Overall recycling rates'!$E$60/SUM('Overall recycling rates'!$E$60:$E$62)*('BTX Recycling HC'!I226+'BTX Recycling HC'!I253+'BTX Recycling HC'!I164+'BTX Recycling HC'!I119)-'Overall recycling rates'!$H$60/SUM('Overall recycling rates'!$H$60:$H$62)*('BTX Recycling HC'!I227+'BTX Recycling HC'!I254+'BTX Recycling HC'!I165+'BTX Recycling HC'!I120)-'Overall recycling rates'!$I$60/SUM('Overall recycling rates'!$I$60:$I$62)*('BTX Recycling HC'!I228+'BTX Recycling HC'!I255+'BTX Recycling HC'!I166+'BTX Recycling HC'!I121)</f>
        <v>10.551944074117992</v>
      </c>
      <c r="K101" s="60">
        <f>K42-'Overall recycling rates'!$G$60/SUM('Overall recycling rates'!$G$60:$G$62)*('BTX Recycling HC'!J225+'BTX Recycling HC'!J252+'BTX Recycling HC'!J163+'BTX Recycling HC'!J118)-'Overall recycling rates'!$E$60/SUM('Overall recycling rates'!$E$60:$E$62)*('BTX Recycling HC'!J226+'BTX Recycling HC'!J253+'BTX Recycling HC'!J164+'BTX Recycling HC'!J119)-'Overall recycling rates'!$H$60/SUM('Overall recycling rates'!$H$60:$H$62)*('BTX Recycling HC'!J227+'BTX Recycling HC'!J254+'BTX Recycling HC'!J165+'BTX Recycling HC'!J120)-'Overall recycling rates'!$I$60/SUM('Overall recycling rates'!$I$60:$I$62)*('BTX Recycling HC'!J228+'BTX Recycling HC'!J255+'BTX Recycling HC'!J166+'BTX Recycling HC'!J121)</f>
        <v>10.274287513304882</v>
      </c>
      <c r="L101" s="60">
        <f>L42-'Overall recycling rates'!$G$60/SUM('Overall recycling rates'!$G$60:$G$62)*('BTX Recycling HC'!K225+'BTX Recycling HC'!K252+'BTX Recycling HC'!K163+'BTX Recycling HC'!K118)-'Overall recycling rates'!$E$60/SUM('Overall recycling rates'!$E$60:$E$62)*('BTX Recycling HC'!K226+'BTX Recycling HC'!K253+'BTX Recycling HC'!K164+'BTX Recycling HC'!K119)-'Overall recycling rates'!$H$60/SUM('Overall recycling rates'!$H$60:$H$62)*('BTX Recycling HC'!K227+'BTX Recycling HC'!K254+'BTX Recycling HC'!K165+'BTX Recycling HC'!K120)-'Overall recycling rates'!$I$60/SUM('Overall recycling rates'!$I$60:$I$62)*('BTX Recycling HC'!K228+'BTX Recycling HC'!K255+'BTX Recycling HC'!K166+'BTX Recycling HC'!K121)</f>
        <v>9.986215972542194</v>
      </c>
      <c r="M101" s="60">
        <f>M42-'Overall recycling rates'!$G$60/SUM('Overall recycling rates'!$G$60:$G$62)*('BTX Recycling HC'!L225+'BTX Recycling HC'!L252+'BTX Recycling HC'!L163+'BTX Recycling HC'!L118)-'Overall recycling rates'!$E$60/SUM('Overall recycling rates'!$E$60:$E$62)*('BTX Recycling HC'!L226+'BTX Recycling HC'!L253+'BTX Recycling HC'!L164+'BTX Recycling HC'!L119)-'Overall recycling rates'!$H$60/SUM('Overall recycling rates'!$H$60:$H$62)*('BTX Recycling HC'!L227+'BTX Recycling HC'!L254+'BTX Recycling HC'!L165+'BTX Recycling HC'!L120)-'Overall recycling rates'!$I$60/SUM('Overall recycling rates'!$I$60:$I$62)*('BTX Recycling HC'!L228+'BTX Recycling HC'!L255+'BTX Recycling HC'!L166+'BTX Recycling HC'!L121)</f>
        <v>9.6877035440355375</v>
      </c>
      <c r="N101" s="60">
        <f>N42-'Overall recycling rates'!$G$60/SUM('Overall recycling rates'!$G$60:$G$62)*('BTX Recycling HC'!M225+'BTX Recycling HC'!M252+'BTX Recycling HC'!M163+'BTX Recycling HC'!M118)-'Overall recycling rates'!$E$60/SUM('Overall recycling rates'!$E$60:$E$62)*('BTX Recycling HC'!M226+'BTX Recycling HC'!M253+'BTX Recycling HC'!M164+'BTX Recycling HC'!M119)-'Overall recycling rates'!$H$60/SUM('Overall recycling rates'!$H$60:$H$62)*('BTX Recycling HC'!M227+'BTX Recycling HC'!M254+'BTX Recycling HC'!M165+'BTX Recycling HC'!M120)-'Overall recycling rates'!$I$60/SUM('Overall recycling rates'!$I$60:$I$62)*('BTX Recycling HC'!M228+'BTX Recycling HC'!M255+'BTX Recycling HC'!M166+'BTX Recycling HC'!M121)</f>
        <v>9.3787437242967808</v>
      </c>
      <c r="O101" s="60">
        <f>O42-'Overall recycling rates'!$G$60/SUM('Overall recycling rates'!$G$60:$G$62)*('BTX Recycling HC'!N225+'BTX Recycling HC'!N252+'BTX Recycling HC'!N163+'BTX Recycling HC'!N118)-'Overall recycling rates'!$E$60/SUM('Overall recycling rates'!$E$60:$E$62)*('BTX Recycling HC'!N226+'BTX Recycling HC'!N253+'BTX Recycling HC'!N164+'BTX Recycling HC'!N119)-'Overall recycling rates'!$H$60/SUM('Overall recycling rates'!$H$60:$H$62)*('BTX Recycling HC'!N227+'BTX Recycling HC'!N254+'BTX Recycling HC'!N165+'BTX Recycling HC'!N120)-'Overall recycling rates'!$I$60/SUM('Overall recycling rates'!$I$60:$I$62)*('BTX Recycling HC'!N228+'BTX Recycling HC'!N255+'BTX Recycling HC'!N166+'BTX Recycling HC'!N121)</f>
        <v>9.0385182570592395</v>
      </c>
      <c r="P101" s="60">
        <f>P42-'Overall recycling rates'!$G$60/SUM('Overall recycling rates'!$G$60:$G$62)*('BTX Recycling HC'!O225+'BTX Recycling HC'!O252+'BTX Recycling HC'!O163+'BTX Recycling HC'!O118)-'Overall recycling rates'!$E$60/SUM('Overall recycling rates'!$E$60:$E$62)*('BTX Recycling HC'!O226+'BTX Recycling HC'!O253+'BTX Recycling HC'!O164+'BTX Recycling HC'!O119)-'Overall recycling rates'!$H$60/SUM('Overall recycling rates'!$H$60:$H$62)*('BTX Recycling HC'!O227+'BTX Recycling HC'!O254+'BTX Recycling HC'!O165+'BTX Recycling HC'!O120)-'Overall recycling rates'!$I$60/SUM('Overall recycling rates'!$I$60:$I$62)*('BTX Recycling HC'!O228+'BTX Recycling HC'!O255+'BTX Recycling HC'!O166+'BTX Recycling HC'!O121)</f>
        <v>8.6890952788266844</v>
      </c>
      <c r="Q101" s="60">
        <f>Q42-'Overall recycling rates'!$G$60/SUM('Overall recycling rates'!$G$60:$G$62)*('BTX Recycling HC'!P225+'BTX Recycling HC'!P252+'BTX Recycling HC'!P163+'BTX Recycling HC'!P118)-'Overall recycling rates'!$E$60/SUM('Overall recycling rates'!$E$60:$E$62)*('BTX Recycling HC'!P226+'BTX Recycling HC'!P253+'BTX Recycling HC'!P164+'BTX Recycling HC'!P119)-'Overall recycling rates'!$H$60/SUM('Overall recycling rates'!$H$60:$H$62)*('BTX Recycling HC'!P227+'BTX Recycling HC'!P254+'BTX Recycling HC'!P165+'BTX Recycling HC'!P120)-'Overall recycling rates'!$I$60/SUM('Overall recycling rates'!$I$60:$I$62)*('BTX Recycling HC'!P228+'BTX Recycling HC'!P255+'BTX Recycling HC'!P166+'BTX Recycling HC'!P121)</f>
        <v>8.3320510533855927</v>
      </c>
      <c r="R101" s="60">
        <f>R42-'Overall recycling rates'!$G$60/SUM('Overall recycling rates'!$G$60:$G$62)*('BTX Recycling HC'!Q225+'BTX Recycling HC'!Q252+'BTX Recycling HC'!Q163+'BTX Recycling HC'!Q118)-'Overall recycling rates'!$E$60/SUM('Overall recycling rates'!$E$60:$E$62)*('BTX Recycling HC'!Q226+'BTX Recycling HC'!Q253+'BTX Recycling HC'!Q164+'BTX Recycling HC'!Q119)-'Overall recycling rates'!$H$60/SUM('Overall recycling rates'!$H$60:$H$62)*('BTX Recycling HC'!Q227+'BTX Recycling HC'!Q254+'BTX Recycling HC'!Q165+'BTX Recycling HC'!Q120)-'Overall recycling rates'!$I$60/SUM('Overall recycling rates'!$I$60:$I$62)*('BTX Recycling HC'!Q228+'BTX Recycling HC'!Q255+'BTX Recycling HC'!Q166+'BTX Recycling HC'!Q121)</f>
        <v>7.9685350957360077</v>
      </c>
      <c r="S101" s="60">
        <f>S42-'Overall recycling rates'!$G$60/SUM('Overall recycling rates'!$G$60:$G$62)*('BTX Recycling HC'!R225+'BTX Recycling HC'!R252+'BTX Recycling HC'!R163+'BTX Recycling HC'!R118)-'Overall recycling rates'!$E$60/SUM('Overall recycling rates'!$E$60:$E$62)*('BTX Recycling HC'!R226+'BTX Recycling HC'!R253+'BTX Recycling HC'!R164+'BTX Recycling HC'!R119)-'Overall recycling rates'!$H$60/SUM('Overall recycling rates'!$H$60:$H$62)*('BTX Recycling HC'!R227+'BTX Recycling HC'!R254+'BTX Recycling HC'!R165+'BTX Recycling HC'!R120)-'Overall recycling rates'!$I$60/SUM('Overall recycling rates'!$I$60:$I$62)*('BTX Recycling HC'!R228+'BTX Recycling HC'!R255+'BTX Recycling HC'!R166+'BTX Recycling HC'!R121)</f>
        <v>7.599987803251163</v>
      </c>
      <c r="T101" s="60">
        <f>T42-'Overall recycling rates'!$G$60/SUM('Overall recycling rates'!$G$60:$G$62)*('BTX Recycling HC'!S225+'BTX Recycling HC'!S252+'BTX Recycling HC'!S163+'BTX Recycling HC'!S118)-'Overall recycling rates'!$E$60/SUM('Overall recycling rates'!$E$60:$E$62)*('BTX Recycling HC'!S226+'BTX Recycling HC'!S253+'BTX Recycling HC'!S164+'BTX Recycling HC'!S119)-'Overall recycling rates'!$H$60/SUM('Overall recycling rates'!$H$60:$H$62)*('BTX Recycling HC'!S227+'BTX Recycling HC'!S254+'BTX Recycling HC'!S165+'BTX Recycling HC'!S120)-'Overall recycling rates'!$I$60/SUM('Overall recycling rates'!$I$60:$I$62)*('BTX Recycling HC'!S228+'BTX Recycling HC'!S255+'BTX Recycling HC'!S166+'BTX Recycling HC'!S121)</f>
        <v>7.2246709696412372</v>
      </c>
      <c r="U101" s="60">
        <f>U42-'Overall recycling rates'!$G$60/SUM('Overall recycling rates'!$G$60:$G$62)*('BTX Recycling HC'!T225+'BTX Recycling HC'!T252+'BTX Recycling HC'!T163+'BTX Recycling HC'!T118)-'Overall recycling rates'!$E$60/SUM('Overall recycling rates'!$E$60:$E$62)*('BTX Recycling HC'!T226+'BTX Recycling HC'!T253+'BTX Recycling HC'!T164+'BTX Recycling HC'!T119)-'Overall recycling rates'!$H$60/SUM('Overall recycling rates'!$H$60:$H$62)*('BTX Recycling HC'!T227+'BTX Recycling HC'!T254+'BTX Recycling HC'!T165+'BTX Recycling HC'!T120)-'Overall recycling rates'!$I$60/SUM('Overall recycling rates'!$I$60:$I$62)*('BTX Recycling HC'!T228+'BTX Recycling HC'!T255+'BTX Recycling HC'!T166+'BTX Recycling HC'!T121)</f>
        <v>6.8436703648469805</v>
      </c>
      <c r="V101" s="60">
        <f>V42-'Overall recycling rates'!$G$60/SUM('Overall recycling rates'!$G$60:$G$62)*('BTX Recycling HC'!U225+'BTX Recycling HC'!U252+'BTX Recycling HC'!U163+'BTX Recycling HC'!U118)-'Overall recycling rates'!$E$60/SUM('Overall recycling rates'!$E$60:$E$62)*('BTX Recycling HC'!U226+'BTX Recycling HC'!U253+'BTX Recycling HC'!U164+'BTX Recycling HC'!U119)-'Overall recycling rates'!$H$60/SUM('Overall recycling rates'!$H$60:$H$62)*('BTX Recycling HC'!U227+'BTX Recycling HC'!U254+'BTX Recycling HC'!U165+'BTX Recycling HC'!U120)-'Overall recycling rates'!$I$60/SUM('Overall recycling rates'!$I$60:$I$62)*('BTX Recycling HC'!U228+'BTX Recycling HC'!U255+'BTX Recycling HC'!U166+'BTX Recycling HC'!U121)</f>
        <v>6.4578319328624296</v>
      </c>
      <c r="W101" s="60">
        <f>W42-'Overall recycling rates'!$G$60/SUM('Overall recycling rates'!$G$60:$G$62)*('BTX Recycling HC'!V225+'BTX Recycling HC'!V252+'BTX Recycling HC'!V163+'BTX Recycling HC'!V118)-'Overall recycling rates'!$E$60/SUM('Overall recycling rates'!$E$60:$E$62)*('BTX Recycling HC'!V226+'BTX Recycling HC'!V253+'BTX Recycling HC'!V164+'BTX Recycling HC'!V119)-'Overall recycling rates'!$H$60/SUM('Overall recycling rates'!$H$60:$H$62)*('BTX Recycling HC'!V227+'BTX Recycling HC'!V254+'BTX Recycling HC'!V165+'BTX Recycling HC'!V120)-'Overall recycling rates'!$I$60/SUM('Overall recycling rates'!$I$60:$I$62)*('BTX Recycling HC'!V228+'BTX Recycling HC'!V255+'BTX Recycling HC'!V166+'BTX Recycling HC'!V121)</f>
        <v>6.0680393009582971</v>
      </c>
      <c r="X101" s="60">
        <f>X42-'Overall recycling rates'!$G$60/SUM('Overall recycling rates'!$G$60:$G$62)*('BTX Recycling HC'!W225+'BTX Recycling HC'!W252+'BTX Recycling HC'!W163+'BTX Recycling HC'!W118)-'Overall recycling rates'!$E$60/SUM('Overall recycling rates'!$E$60:$E$62)*('BTX Recycling HC'!W226+'BTX Recycling HC'!W253+'BTX Recycling HC'!W164+'BTX Recycling HC'!W119)-'Overall recycling rates'!$H$60/SUM('Overall recycling rates'!$H$60:$H$62)*('BTX Recycling HC'!W227+'BTX Recycling HC'!W254+'BTX Recycling HC'!W165+'BTX Recycling HC'!W120)-'Overall recycling rates'!$I$60/SUM('Overall recycling rates'!$I$60:$I$62)*('BTX Recycling HC'!W228+'BTX Recycling HC'!W255+'BTX Recycling HC'!W166+'BTX Recycling HC'!W121)</f>
        <v>5.6752137037739869</v>
      </c>
      <c r="Y101" s="60">
        <f>Y42-'Overall recycling rates'!$G$60/SUM('Overall recycling rates'!$G$60:$G$62)*('BTX Recycling HC'!X225+'BTX Recycling HC'!X252+'BTX Recycling HC'!X163+'BTX Recycling HC'!X118)-'Overall recycling rates'!$E$60/SUM('Overall recycling rates'!$E$60:$E$62)*('BTX Recycling HC'!X226+'BTX Recycling HC'!X253+'BTX Recycling HC'!X164+'BTX Recycling HC'!X119)-'Overall recycling rates'!$H$60/SUM('Overall recycling rates'!$H$60:$H$62)*('BTX Recycling HC'!X227+'BTX Recycling HC'!X254+'BTX Recycling HC'!X165+'BTX Recycling HC'!X120)-'Overall recycling rates'!$I$60/SUM('Overall recycling rates'!$I$60:$I$62)*('BTX Recycling HC'!X228+'BTX Recycling HC'!X255+'BTX Recycling HC'!X166+'BTX Recycling HC'!X121)</f>
        <v>5.2179613767673967</v>
      </c>
      <c r="Z101" s="60">
        <f>Z42-'Overall recycling rates'!$G$60/SUM('Overall recycling rates'!$G$60:$G$62)*('BTX Recycling HC'!Y225+'BTX Recycling HC'!Y252+'BTX Recycling HC'!Y163+'BTX Recycling HC'!Y118)-'Overall recycling rates'!$E$60/SUM('Overall recycling rates'!$E$60:$E$62)*('BTX Recycling HC'!Y226+'BTX Recycling HC'!Y253+'BTX Recycling HC'!Y164+'BTX Recycling HC'!Y119)-'Overall recycling rates'!$H$60/SUM('Overall recycling rates'!$H$60:$H$62)*('BTX Recycling HC'!Y227+'BTX Recycling HC'!Y254+'BTX Recycling HC'!Y165+'BTX Recycling HC'!Y120)-'Overall recycling rates'!$I$60/SUM('Overall recycling rates'!$I$60:$I$62)*('BTX Recycling HC'!Y228+'BTX Recycling HC'!Y255+'BTX Recycling HC'!Y166+'BTX Recycling HC'!Y121)</f>
        <v>4.758640747922585</v>
      </c>
      <c r="AA101" s="60">
        <f>AA42-'Overall recycling rates'!$G$60/SUM('Overall recycling rates'!$G$60:$G$62)*('BTX Recycling HC'!Z225+'BTX Recycling HC'!Z252+'BTX Recycling HC'!Z163+'BTX Recycling HC'!Z118)-'Overall recycling rates'!$E$60/SUM('Overall recycling rates'!$E$60:$E$62)*('BTX Recycling HC'!Z226+'BTX Recycling HC'!Z253+'BTX Recycling HC'!Z164+'BTX Recycling HC'!Z119)-'Overall recycling rates'!$H$60/SUM('Overall recycling rates'!$H$60:$H$62)*('BTX Recycling HC'!Z227+'BTX Recycling HC'!Z254+'BTX Recycling HC'!Z165+'BTX Recycling HC'!Z120)-'Overall recycling rates'!$I$60/SUM('Overall recycling rates'!$I$60:$I$62)*('BTX Recycling HC'!Z228+'BTX Recycling HC'!Z255+'BTX Recycling HC'!Z166+'BTX Recycling HC'!Z121)</f>
        <v>4.2998871846078695</v>
      </c>
      <c r="AB101" s="60">
        <f>AB42-'Overall recycling rates'!$G$60/SUM('Overall recycling rates'!$G$60:$G$62)*('BTX Recycling HC'!AA225+'BTX Recycling HC'!AA252+'BTX Recycling HC'!AA163+'BTX Recycling HC'!AA118)-'Overall recycling rates'!$E$60/SUM('Overall recycling rates'!$E$60:$E$62)*('BTX Recycling HC'!AA226+'BTX Recycling HC'!AA253+'BTX Recycling HC'!AA164+'BTX Recycling HC'!AA119)-'Overall recycling rates'!$H$60/SUM('Overall recycling rates'!$H$60:$H$62)*('BTX Recycling HC'!AA227+'BTX Recycling HC'!AA254+'BTX Recycling HC'!AA165+'BTX Recycling HC'!AA120)-'Overall recycling rates'!$I$60/SUM('Overall recycling rates'!$I$60:$I$62)*('BTX Recycling HC'!AA228+'BTX Recycling HC'!AA255+'BTX Recycling HC'!AA166+'BTX Recycling HC'!AA121)</f>
        <v>3.8423450004685717</v>
      </c>
      <c r="AC101" s="60">
        <f>AC42-'Overall recycling rates'!$G$60/SUM('Overall recycling rates'!$G$60:$G$62)*('BTX Recycling HC'!AB225+'BTX Recycling HC'!AB252+'BTX Recycling HC'!AB163+'BTX Recycling HC'!AB118)-'Overall recycling rates'!$E$60/SUM('Overall recycling rates'!$E$60:$E$62)*('BTX Recycling HC'!AB226+'BTX Recycling HC'!AB253+'BTX Recycling HC'!AB164+'BTX Recycling HC'!AB119)-'Overall recycling rates'!$H$60/SUM('Overall recycling rates'!$H$60:$H$62)*('BTX Recycling HC'!AB227+'BTX Recycling HC'!AB254+'BTX Recycling HC'!AB165+'BTX Recycling HC'!AB120)-'Overall recycling rates'!$I$60/SUM('Overall recycling rates'!$I$60:$I$62)*('BTX Recycling HC'!AB228+'BTX Recycling HC'!AB255+'BTX Recycling HC'!AB166+'BTX Recycling HC'!AB121)</f>
        <v>3.3876832885561488</v>
      </c>
      <c r="AD101" s="60">
        <f>AD42-'Overall recycling rates'!$G$60/SUM('Overall recycling rates'!$G$60:$G$62)*('BTX Recycling HC'!AC225+'BTX Recycling HC'!AC252+'BTX Recycling HC'!AC163+'BTX Recycling HC'!AC118)-'Overall recycling rates'!$E$60/SUM('Overall recycling rates'!$E$60:$E$62)*('BTX Recycling HC'!AC226+'BTX Recycling HC'!AC253+'BTX Recycling HC'!AC164+'BTX Recycling HC'!AC119)-'Overall recycling rates'!$H$60/SUM('Overall recycling rates'!$H$60:$H$62)*('BTX Recycling HC'!AC227+'BTX Recycling HC'!AC254+'BTX Recycling HC'!AC165+'BTX Recycling HC'!AC120)-'Overall recycling rates'!$I$60/SUM('Overall recycling rates'!$I$60:$I$62)*('BTX Recycling HC'!AC228+'BTX Recycling HC'!AC255+'BTX Recycling HC'!AC166+'BTX Recycling HC'!AC121)</f>
        <v>2.9381117053415213</v>
      </c>
      <c r="AE101" s="60">
        <f>AE42-'Overall recycling rates'!$G$60/SUM('Overall recycling rates'!$G$60:$G$62)*('BTX Recycling HC'!AD225+'BTX Recycling HC'!AD252+'BTX Recycling HC'!AD163+'BTX Recycling HC'!AD118)-'Overall recycling rates'!$E$60/SUM('Overall recycling rates'!$E$60:$E$62)*('BTX Recycling HC'!AD226+'BTX Recycling HC'!AD253+'BTX Recycling HC'!AD164+'BTX Recycling HC'!AD119)-'Overall recycling rates'!$H$60/SUM('Overall recycling rates'!$H$60:$H$62)*('BTX Recycling HC'!AD227+'BTX Recycling HC'!AD254+'BTX Recycling HC'!AD165+'BTX Recycling HC'!AD120)-'Overall recycling rates'!$I$60/SUM('Overall recycling rates'!$I$60:$I$62)*('BTX Recycling HC'!AD228+'BTX Recycling HC'!AD255+'BTX Recycling HC'!AD166+'BTX Recycling HC'!AD121)</f>
        <v>2.4950033541142993</v>
      </c>
      <c r="AF101" s="60">
        <f>AF42-'Overall recycling rates'!$G$60/SUM('Overall recycling rates'!$G$60:$G$62)*('BTX Recycling HC'!AE225+'BTX Recycling HC'!AE252+'BTX Recycling HC'!AE163+'BTX Recycling HC'!AE118)-'Overall recycling rates'!$E$60/SUM('Overall recycling rates'!$E$60:$E$62)*('BTX Recycling HC'!AE226+'BTX Recycling HC'!AE253+'BTX Recycling HC'!AE164+'BTX Recycling HC'!AE119)-'Overall recycling rates'!$H$60/SUM('Overall recycling rates'!$H$60:$H$62)*('BTX Recycling HC'!AE227+'BTX Recycling HC'!AE254+'BTX Recycling HC'!AE165+'BTX Recycling HC'!AE120)-'Overall recycling rates'!$I$60/SUM('Overall recycling rates'!$I$60:$I$62)*('BTX Recycling HC'!AE228+'BTX Recycling HC'!AE255+'BTX Recycling HC'!AE166+'BTX Recycling HC'!AE121)</f>
        <v>2.0602071412613032</v>
      </c>
      <c r="AG101" s="60">
        <f>AG42-'Overall recycling rates'!$G$60/SUM('Overall recycling rates'!$G$60:$G$62)*('BTX Recycling HC'!AF225+'BTX Recycling HC'!AF252+'BTX Recycling HC'!AF163+'BTX Recycling HC'!AF118)-'Overall recycling rates'!$E$60/SUM('Overall recycling rates'!$E$60:$E$62)*('BTX Recycling HC'!AF226+'BTX Recycling HC'!AF253+'BTX Recycling HC'!AF164+'BTX Recycling HC'!AF119)-'Overall recycling rates'!$H$60/SUM('Overall recycling rates'!$H$60:$H$62)*('BTX Recycling HC'!AF227+'BTX Recycling HC'!AF254+'BTX Recycling HC'!AF165+'BTX Recycling HC'!AF120)-'Overall recycling rates'!$I$60/SUM('Overall recycling rates'!$I$60:$I$62)*('BTX Recycling HC'!AF228+'BTX Recycling HC'!AF255+'BTX Recycling HC'!AF166+'BTX Recycling HC'!AF121)</f>
        <v>1.6356300277025895</v>
      </c>
      <c r="AH101" s="60">
        <f>AH42-'Overall recycling rates'!$G$60/SUM('Overall recycling rates'!$G$60:$G$62)*('BTX Recycling HC'!AG225+'BTX Recycling HC'!AG252+'BTX Recycling HC'!AG163+'BTX Recycling HC'!AG118)-'Overall recycling rates'!$E$60/SUM('Overall recycling rates'!$E$60:$E$62)*('BTX Recycling HC'!AG226+'BTX Recycling HC'!AG253+'BTX Recycling HC'!AG164+'BTX Recycling HC'!AG119)-'Overall recycling rates'!$H$60/SUM('Overall recycling rates'!$H$60:$H$62)*('BTX Recycling HC'!AG227+'BTX Recycling HC'!AG254+'BTX Recycling HC'!AG165+'BTX Recycling HC'!AG120)-'Overall recycling rates'!$I$60/SUM('Overall recycling rates'!$I$60:$I$62)*('BTX Recycling HC'!AG228+'BTX Recycling HC'!AG255+'BTX Recycling HC'!AG166+'BTX Recycling HC'!AG121)</f>
        <v>1.223236666404294</v>
      </c>
      <c r="AJ101" s="60">
        <f>AJ42-'Overall recycling rates'!$G$60/SUM('Overall recycling rates'!$G$60:$G$62)*('BTX Recycling HC'!C225+'BTX Recycling HC'!C252+'BTX Recycling HC'!C163+'BTX Recycling HC'!C118)-'Overall recycling rates'!$E$60/SUM('Overall recycling rates'!$E$60:$E$62)*('BTX Recycling HC'!C226+'BTX Recycling HC'!C253+'BTX Recycling HC'!C164+'BTX Recycling HC'!C119)-'Overall recycling rates'!$H$60/SUM('Overall recycling rates'!$H$60:$H$62)*('BTX Recycling HC'!C227+'BTX Recycling HC'!C254+'BTX Recycling HC'!C165+'BTX Recycling HC'!C120)-'Overall recycling rates'!$I$60/SUM('Overall recycling rates'!$I$60:$I$62)*('BTX Recycling HC'!C228+'BTX Recycling HC'!C255+'BTX Recycling HC'!C166+'BTX Recycling HC'!C121)</f>
        <v>12.002819069097551</v>
      </c>
      <c r="AK101" s="60">
        <f>AK42-'Overall recycling rates'!$G$60/SUM('Overall recycling rates'!$G$60:$G$62)*('BTX Recycling HC'!D225+'BTX Recycling HC'!D252+'BTX Recycling HC'!D163+'BTX Recycling HC'!D118)-'Overall recycling rates'!$E$60/SUM('Overall recycling rates'!$E$60:$E$62)*('BTX Recycling HC'!D226+'BTX Recycling HC'!D253+'BTX Recycling HC'!D164+'BTX Recycling HC'!D119)-'Overall recycling rates'!$H$60/SUM('Overall recycling rates'!$H$60:$H$62)*('BTX Recycling HC'!D227+'BTX Recycling HC'!D254+'BTX Recycling HC'!D165+'BTX Recycling HC'!D120)-'Overall recycling rates'!$I$60/SUM('Overall recycling rates'!$I$60:$I$62)*('BTX Recycling HC'!D228+'BTX Recycling HC'!D255+'BTX Recycling HC'!D166+'BTX Recycling HC'!D121)</f>
        <v>11.955720990250986</v>
      </c>
      <c r="AL101" s="60">
        <f>AL42-'Overall recycling rates'!$G$60/SUM('Overall recycling rates'!$G$60:$G$62)*('BTX Recycling HC'!E225+'BTX Recycling HC'!E252+'BTX Recycling HC'!E163+'BTX Recycling HC'!E118)-'Overall recycling rates'!$E$60/SUM('Overall recycling rates'!$E$60:$E$62)*('BTX Recycling HC'!E226+'BTX Recycling HC'!E253+'BTX Recycling HC'!E164+'BTX Recycling HC'!E119)-'Overall recycling rates'!$H$60/SUM('Overall recycling rates'!$H$60:$H$62)*('BTX Recycling HC'!E227+'BTX Recycling HC'!E254+'BTX Recycling HC'!E165+'BTX Recycling HC'!E120)-'Overall recycling rates'!$I$60/SUM('Overall recycling rates'!$I$60:$I$62)*('BTX Recycling HC'!E228+'BTX Recycling HC'!E255+'BTX Recycling HC'!E166+'BTX Recycling HC'!E121)</f>
        <v>11.900718240930861</v>
      </c>
      <c r="AM101" s="60">
        <f>AM42-'Overall recycling rates'!$G$60/SUM('Overall recycling rates'!$G$60:$G$62)*('BTX Recycling HC'!F225+'BTX Recycling HC'!F252+'BTX Recycling HC'!F163+'BTX Recycling HC'!F118)-'Overall recycling rates'!$E$60/SUM('Overall recycling rates'!$E$60:$E$62)*('BTX Recycling HC'!F226+'BTX Recycling HC'!F253+'BTX Recycling HC'!F164+'BTX Recycling HC'!F119)-'Overall recycling rates'!$H$60/SUM('Overall recycling rates'!$H$60:$H$62)*('BTX Recycling HC'!F227+'BTX Recycling HC'!F254+'BTX Recycling HC'!F165+'BTX Recycling HC'!F120)-'Overall recycling rates'!$I$60/SUM('Overall recycling rates'!$I$60:$I$62)*('BTX Recycling HC'!F228+'BTX Recycling HC'!F255+'BTX Recycling HC'!F166+'BTX Recycling HC'!F121)</f>
        <v>11.838931767413397</v>
      </c>
      <c r="AN101" s="60">
        <f>AN42-'Overall recycling rates'!$G$60/SUM('Overall recycling rates'!$G$60:$G$62)*('BTX Recycling HC'!G225+'BTX Recycling HC'!G252+'BTX Recycling HC'!G163+'BTX Recycling HC'!G118)-'Overall recycling rates'!$E$60/SUM('Overall recycling rates'!$E$60:$E$62)*('BTX Recycling HC'!G226+'BTX Recycling HC'!G253+'BTX Recycling HC'!G164+'BTX Recycling HC'!G119)-'Overall recycling rates'!$H$60/SUM('Overall recycling rates'!$H$60:$H$62)*('BTX Recycling HC'!G227+'BTX Recycling HC'!G254+'BTX Recycling HC'!G165+'BTX Recycling HC'!G120)-'Overall recycling rates'!$I$60/SUM('Overall recycling rates'!$I$60:$I$62)*('BTX Recycling HC'!G228+'BTX Recycling HC'!G255+'BTX Recycling HC'!G166+'BTX Recycling HC'!G121)</f>
        <v>11.77079367321492</v>
      </c>
      <c r="AO101" s="60">
        <f>AO42-'Overall recycling rates'!$G$60/SUM('Overall recycling rates'!$G$60:$G$62)*('BTX Recycling HC'!H225+'BTX Recycling HC'!H252+'BTX Recycling HC'!H163+'BTX Recycling HC'!H118)-'Overall recycling rates'!$E$60/SUM('Overall recycling rates'!$E$60:$E$62)*('BTX Recycling HC'!H226+'BTX Recycling HC'!H253+'BTX Recycling HC'!H164+'BTX Recycling HC'!H119)-'Overall recycling rates'!$H$60/SUM('Overall recycling rates'!$H$60:$H$62)*('BTX Recycling HC'!H227+'BTX Recycling HC'!H254+'BTX Recycling HC'!H165+'BTX Recycling HC'!H120)-'Overall recycling rates'!$I$60/SUM('Overall recycling rates'!$I$60:$I$62)*('BTX Recycling HC'!H228+'BTX Recycling HC'!H255+'BTX Recycling HC'!H166+'BTX Recycling HC'!H121)</f>
        <v>11.69668703648451</v>
      </c>
      <c r="AP101" s="60">
        <f>AP42-'Overall recycling rates'!$G$60/SUM('Overall recycling rates'!$G$60:$G$62)*('BTX Recycling HC'!I225+'BTX Recycling HC'!I252+'BTX Recycling HC'!I163+'BTX Recycling HC'!I118)-'Overall recycling rates'!$E$60/SUM('Overall recycling rates'!$E$60:$E$62)*('BTX Recycling HC'!I226+'BTX Recycling HC'!I253+'BTX Recycling HC'!I164+'BTX Recycling HC'!I119)-'Overall recycling rates'!$H$60/SUM('Overall recycling rates'!$H$60:$H$62)*('BTX Recycling HC'!I227+'BTX Recycling HC'!I254+'BTX Recycling HC'!I165+'BTX Recycling HC'!I120)-'Overall recycling rates'!$I$60/SUM('Overall recycling rates'!$I$60:$I$62)*('BTX Recycling HC'!I228+'BTX Recycling HC'!I255+'BTX Recycling HC'!I166+'BTX Recycling HC'!I121)</f>
        <v>11.616427373130714</v>
      </c>
      <c r="AQ101" s="60">
        <f>AQ42-'Overall recycling rates'!$G$60/SUM('Overall recycling rates'!$G$60:$G$62)*('BTX Recycling HC'!J225+'BTX Recycling HC'!J252+'BTX Recycling HC'!J163+'BTX Recycling HC'!J118)-'Overall recycling rates'!$E$60/SUM('Overall recycling rates'!$E$60:$E$62)*('BTX Recycling HC'!J226+'BTX Recycling HC'!J253+'BTX Recycling HC'!J164+'BTX Recycling HC'!J119)-'Overall recycling rates'!$H$60/SUM('Overall recycling rates'!$H$60:$H$62)*('BTX Recycling HC'!J227+'BTX Recycling HC'!J254+'BTX Recycling HC'!J165+'BTX Recycling HC'!J120)-'Overall recycling rates'!$I$60/SUM('Overall recycling rates'!$I$60:$I$62)*('BTX Recycling HC'!J228+'BTX Recycling HC'!J255+'BTX Recycling HC'!J166+'BTX Recycling HC'!J121)</f>
        <v>11.529790118207076</v>
      </c>
      <c r="AR101" s="60">
        <f>AR42-'Overall recycling rates'!$G$60/SUM('Overall recycling rates'!$G$60:$G$62)*('BTX Recycling HC'!K225+'BTX Recycling HC'!K252+'BTX Recycling HC'!K163+'BTX Recycling HC'!K118)-'Overall recycling rates'!$E$60/SUM('Overall recycling rates'!$E$60:$E$62)*('BTX Recycling HC'!K226+'BTX Recycling HC'!K253+'BTX Recycling HC'!K164+'BTX Recycling HC'!K119)-'Overall recycling rates'!$H$60/SUM('Overall recycling rates'!$H$60:$H$62)*('BTX Recycling HC'!K227+'BTX Recycling HC'!K254+'BTX Recycling HC'!K165+'BTX Recycling HC'!K120)-'Overall recycling rates'!$I$60/SUM('Overall recycling rates'!$I$60:$I$62)*('BTX Recycling HC'!K228+'BTX Recycling HC'!K255+'BTX Recycling HC'!K166+'BTX Recycling HC'!K121)</f>
        <v>11.436795492358383</v>
      </c>
      <c r="AS101" s="60">
        <f>AS42-'Overall recycling rates'!$G$60/SUM('Overall recycling rates'!$G$60:$G$62)*('BTX Recycling HC'!L225+'BTX Recycling HC'!L252+'BTX Recycling HC'!L163+'BTX Recycling HC'!L118)-'Overall recycling rates'!$E$60/SUM('Overall recycling rates'!$E$60:$E$62)*('BTX Recycling HC'!L226+'BTX Recycling HC'!L253+'BTX Recycling HC'!L164+'BTX Recycling HC'!L119)-'Overall recycling rates'!$H$60/SUM('Overall recycling rates'!$H$60:$H$62)*('BTX Recycling HC'!L227+'BTX Recycling HC'!L254+'BTX Recycling HC'!L165+'BTX Recycling HC'!L120)-'Overall recycling rates'!$I$60/SUM('Overall recycling rates'!$I$60:$I$62)*('BTX Recycling HC'!L228+'BTX Recycling HC'!L255+'BTX Recycling HC'!L166+'BTX Recycling HC'!L121)</f>
        <v>11.33748356677974</v>
      </c>
      <c r="AT101" s="60">
        <f>AT42-'Overall recycling rates'!$G$60/SUM('Overall recycling rates'!$G$60:$G$62)*('BTX Recycling HC'!M225+'BTX Recycling HC'!M252+'BTX Recycling HC'!M163+'BTX Recycling HC'!M118)-'Overall recycling rates'!$E$60/SUM('Overall recycling rates'!$E$60:$E$62)*('BTX Recycling HC'!M226+'BTX Recycling HC'!M253+'BTX Recycling HC'!M164+'BTX Recycling HC'!M119)-'Overall recycling rates'!$H$60/SUM('Overall recycling rates'!$H$60:$H$62)*('BTX Recycling HC'!M227+'BTX Recycling HC'!M254+'BTX Recycling HC'!M165+'BTX Recycling HC'!M120)-'Overall recycling rates'!$I$60/SUM('Overall recycling rates'!$I$60:$I$62)*('BTX Recycling HC'!M228+'BTX Recycling HC'!M255+'BTX Recycling HC'!M166+'BTX Recycling HC'!M121)</f>
        <v>11.231914775625514</v>
      </c>
      <c r="AU101" s="60">
        <f>AU42-'Overall recycling rates'!$G$60/SUM('Overall recycling rates'!$G$60:$G$62)*('BTX Recycling HC'!N225+'BTX Recycling HC'!N252+'BTX Recycling HC'!N163+'BTX Recycling HC'!N118)-'Overall recycling rates'!$E$60/SUM('Overall recycling rates'!$E$60:$E$62)*('BTX Recycling HC'!N226+'BTX Recycling HC'!N253+'BTX Recycling HC'!N164+'BTX Recycling HC'!N119)-'Overall recycling rates'!$H$60/SUM('Overall recycling rates'!$H$60:$H$62)*('BTX Recycling HC'!N227+'BTX Recycling HC'!N254+'BTX Recycling HC'!N165+'BTX Recycling HC'!N120)-'Overall recycling rates'!$I$60/SUM('Overall recycling rates'!$I$60:$I$62)*('BTX Recycling HC'!N228+'BTX Recycling HC'!N255+'BTX Recycling HC'!N166+'BTX Recycling HC'!N121)</f>
        <v>11.099338772010499</v>
      </c>
      <c r="AV101" s="60">
        <f>AV42-'Overall recycling rates'!$G$60/SUM('Overall recycling rates'!$G$60:$G$62)*('BTX Recycling HC'!O225+'BTX Recycling HC'!O252+'BTX Recycling HC'!O163+'BTX Recycling HC'!O118)-'Overall recycling rates'!$E$60/SUM('Overall recycling rates'!$E$60:$E$62)*('BTX Recycling HC'!O226+'BTX Recycling HC'!O253+'BTX Recycling HC'!O164+'BTX Recycling HC'!O119)-'Overall recycling rates'!$H$60/SUM('Overall recycling rates'!$H$60:$H$62)*('BTX Recycling HC'!O227+'BTX Recycling HC'!O254+'BTX Recycling HC'!O165+'BTX Recycling HC'!O120)-'Overall recycling rates'!$I$60/SUM('Overall recycling rates'!$I$60:$I$62)*('BTX Recycling HC'!O228+'BTX Recycling HC'!O255+'BTX Recycling HC'!O166+'BTX Recycling HC'!O121)</f>
        <v>10.961892586816594</v>
      </c>
      <c r="AW101" s="60">
        <f>AW42-'Overall recycling rates'!$G$60/SUM('Overall recycling rates'!$G$60:$G$62)*('BTX Recycling HC'!P225+'BTX Recycling HC'!P252+'BTX Recycling HC'!P163+'BTX Recycling HC'!P118)-'Overall recycling rates'!$E$60/SUM('Overall recycling rates'!$E$60:$E$62)*('BTX Recycling HC'!P226+'BTX Recycling HC'!P253+'BTX Recycling HC'!P164+'BTX Recycling HC'!P119)-'Overall recycling rates'!$H$60/SUM('Overall recycling rates'!$H$60:$H$62)*('BTX Recycling HC'!P227+'BTX Recycling HC'!P254+'BTX Recycling HC'!P165+'BTX Recycling HC'!P120)-'Overall recycling rates'!$I$60/SUM('Overall recycling rates'!$I$60:$I$62)*('BTX Recycling HC'!P228+'BTX Recycling HC'!P255+'BTX Recycling HC'!P166+'BTX Recycling HC'!P121)</f>
        <v>10.821222376636531</v>
      </c>
      <c r="AX101" s="60">
        <f>AX42-'Overall recycling rates'!$G$60/SUM('Overall recycling rates'!$G$60:$G$62)*('BTX Recycling HC'!Q225+'BTX Recycling HC'!Q252+'BTX Recycling HC'!Q163+'BTX Recycling HC'!Q118)-'Overall recycling rates'!$E$60/SUM('Overall recycling rates'!$E$60:$E$62)*('BTX Recycling HC'!Q226+'BTX Recycling HC'!Q253+'BTX Recycling HC'!Q164+'BTX Recycling HC'!Q119)-'Overall recycling rates'!$H$60/SUM('Overall recycling rates'!$H$60:$H$62)*('BTX Recycling HC'!Q227+'BTX Recycling HC'!Q254+'BTX Recycling HC'!Q165+'BTX Recycling HC'!Q120)-'Overall recycling rates'!$I$60/SUM('Overall recycling rates'!$I$60:$I$62)*('BTX Recycling HC'!Q228+'BTX Recycling HC'!Q255+'BTX Recycling HC'!Q166+'BTX Recycling HC'!Q121)</f>
        <v>10.678548561312342</v>
      </c>
      <c r="AY101" s="60">
        <f>AY42-'Overall recycling rates'!$G$60/SUM('Overall recycling rates'!$G$60:$G$62)*('BTX Recycling HC'!R225+'BTX Recycling HC'!R252+'BTX Recycling HC'!R163+'BTX Recycling HC'!R118)-'Overall recycling rates'!$E$60/SUM('Overall recycling rates'!$E$60:$E$62)*('BTX Recycling HC'!R226+'BTX Recycling HC'!R253+'BTX Recycling HC'!R164+'BTX Recycling HC'!R119)-'Overall recycling rates'!$H$60/SUM('Overall recycling rates'!$H$60:$H$62)*('BTX Recycling HC'!R227+'BTX Recycling HC'!R254+'BTX Recycling HC'!R165+'BTX Recycling HC'!R120)-'Overall recycling rates'!$I$60/SUM('Overall recycling rates'!$I$60:$I$62)*('BTX Recycling HC'!R228+'BTX Recycling HC'!R255+'BTX Recycling HC'!R166+'BTX Recycling HC'!R121)</f>
        <v>10.535383468880852</v>
      </c>
      <c r="AZ101" s="60">
        <f>AZ42-'Overall recycling rates'!$G$60/SUM('Overall recycling rates'!$G$60:$G$62)*('BTX Recycling HC'!S225+'BTX Recycling HC'!S252+'BTX Recycling HC'!S163+'BTX Recycling HC'!S118)-'Overall recycling rates'!$E$60/SUM('Overall recycling rates'!$E$60:$E$62)*('BTX Recycling HC'!S226+'BTX Recycling HC'!S253+'BTX Recycling HC'!S164+'BTX Recycling HC'!S119)-'Overall recycling rates'!$H$60/SUM('Overall recycling rates'!$H$60:$H$62)*('BTX Recycling HC'!S227+'BTX Recycling HC'!S254+'BTX Recycling HC'!S165+'BTX Recycling HC'!S120)-'Overall recycling rates'!$I$60/SUM('Overall recycling rates'!$I$60:$I$62)*('BTX Recycling HC'!S228+'BTX Recycling HC'!S255+'BTX Recycling HC'!S166+'BTX Recycling HC'!S121)</f>
        <v>10.390061863503968</v>
      </c>
      <c r="BA101" s="60">
        <f>BA42-'Overall recycling rates'!$G$60/SUM('Overall recycling rates'!$G$60:$G$62)*('BTX Recycling HC'!T225+'BTX Recycling HC'!T252+'BTX Recycling HC'!T163+'BTX Recycling HC'!T118)-'Overall recycling rates'!$E$60/SUM('Overall recycling rates'!$E$60:$E$62)*('BTX Recycling HC'!T226+'BTX Recycling HC'!T253+'BTX Recycling HC'!T164+'BTX Recycling HC'!T119)-'Overall recycling rates'!$H$60/SUM('Overall recycling rates'!$H$60:$H$62)*('BTX Recycling HC'!T227+'BTX Recycling HC'!T254+'BTX Recycling HC'!T165+'BTX Recycling HC'!T120)-'Overall recycling rates'!$I$60/SUM('Overall recycling rates'!$I$60:$I$62)*('BTX Recycling HC'!T228+'BTX Recycling HC'!T255+'BTX Recycling HC'!T166+'BTX Recycling HC'!T121)</f>
        <v>10.243743539511648</v>
      </c>
      <c r="BB101" s="60">
        <f>BB42-'Overall recycling rates'!$G$60/SUM('Overall recycling rates'!$G$60:$G$62)*('BTX Recycling HC'!U225+'BTX Recycling HC'!U252+'BTX Recycling HC'!U163+'BTX Recycling HC'!U118)-'Overall recycling rates'!$E$60/SUM('Overall recycling rates'!$E$60:$E$62)*('BTX Recycling HC'!U226+'BTX Recycling HC'!U253+'BTX Recycling HC'!U164+'BTX Recycling HC'!U119)-'Overall recycling rates'!$H$60/SUM('Overall recycling rates'!$H$60:$H$62)*('BTX Recycling HC'!U227+'BTX Recycling HC'!U254+'BTX Recycling HC'!U165+'BTX Recycling HC'!U120)-'Overall recycling rates'!$I$60/SUM('Overall recycling rates'!$I$60:$I$62)*('BTX Recycling HC'!U228+'BTX Recycling HC'!U255+'BTX Recycling HC'!U166+'BTX Recycling HC'!U121)</f>
        <v>10.097349533559269</v>
      </c>
      <c r="BC101" s="60">
        <f>BC42-'Overall recycling rates'!$G$60/SUM('Overall recycling rates'!$G$60:$G$62)*('BTX Recycling HC'!V225+'BTX Recycling HC'!V252+'BTX Recycling HC'!V163+'BTX Recycling HC'!V118)-'Overall recycling rates'!$E$60/SUM('Overall recycling rates'!$E$60:$E$62)*('BTX Recycling HC'!V226+'BTX Recycling HC'!V253+'BTX Recycling HC'!V164+'BTX Recycling HC'!V119)-'Overall recycling rates'!$H$60/SUM('Overall recycling rates'!$H$60:$H$62)*('BTX Recycling HC'!V227+'BTX Recycling HC'!V254+'BTX Recycling HC'!V165+'BTX Recycling HC'!V120)-'Overall recycling rates'!$I$60/SUM('Overall recycling rates'!$I$60:$I$62)*('BTX Recycling HC'!V228+'BTX Recycling HC'!V255+'BTX Recycling HC'!V166+'BTX Recycling HC'!V121)</f>
        <v>9.9518396483732285</v>
      </c>
      <c r="BD101" s="60">
        <f>BD42-'Overall recycling rates'!$G$60/SUM('Overall recycling rates'!$G$60:$G$62)*('BTX Recycling HC'!W225+'BTX Recycling HC'!W252+'BTX Recycling HC'!W163+'BTX Recycling HC'!W118)-'Overall recycling rates'!$E$60/SUM('Overall recycling rates'!$E$60:$E$62)*('BTX Recycling HC'!W226+'BTX Recycling HC'!W253+'BTX Recycling HC'!W164+'BTX Recycling HC'!W119)-'Overall recycling rates'!$H$60/SUM('Overall recycling rates'!$H$60:$H$62)*('BTX Recycling HC'!W227+'BTX Recycling HC'!W254+'BTX Recycling HC'!W165+'BTX Recycling HC'!W120)-'Overall recycling rates'!$I$60/SUM('Overall recycling rates'!$I$60:$I$62)*('BTX Recycling HC'!W228+'BTX Recycling HC'!W255+'BTX Recycling HC'!W166+'BTX Recycling HC'!W121)</f>
        <v>9.8082123915551076</v>
      </c>
      <c r="BE101" s="60">
        <f>BE42-'Overall recycling rates'!$G$60/SUM('Overall recycling rates'!$G$60:$G$62)*('BTX Recycling HC'!X225+'BTX Recycling HC'!X252+'BTX Recycling HC'!X163+'BTX Recycling HC'!X118)-'Overall recycling rates'!$E$60/SUM('Overall recycling rates'!$E$60:$E$62)*('BTX Recycling HC'!X226+'BTX Recycling HC'!X253+'BTX Recycling HC'!X164+'BTX Recycling HC'!X119)-'Overall recycling rates'!$H$60/SUM('Overall recycling rates'!$H$60:$H$62)*('BTX Recycling HC'!X227+'BTX Recycling HC'!X254+'BTX Recycling HC'!X165+'BTX Recycling HC'!X120)-'Overall recycling rates'!$I$60/SUM('Overall recycling rates'!$I$60:$I$62)*('BTX Recycling HC'!X228+'BTX Recycling HC'!X255+'BTX Recycling HC'!X166+'BTX Recycling HC'!X121)</f>
        <v>9.6114831068901712</v>
      </c>
      <c r="BF101" s="60">
        <f>BF42-'Overall recycling rates'!$G$60/SUM('Overall recycling rates'!$G$60:$G$62)*('BTX Recycling HC'!Y225+'BTX Recycling HC'!Y252+'BTX Recycling HC'!Y163+'BTX Recycling HC'!Y118)-'Overall recycling rates'!$E$60/SUM('Overall recycling rates'!$E$60:$E$62)*('BTX Recycling HC'!Y226+'BTX Recycling HC'!Y253+'BTX Recycling HC'!Y164+'BTX Recycling HC'!Y119)-'Overall recycling rates'!$H$60/SUM('Overall recycling rates'!$H$60:$H$62)*('BTX Recycling HC'!Y227+'BTX Recycling HC'!Y254+'BTX Recycling HC'!Y165+'BTX Recycling HC'!Y120)-'Overall recycling rates'!$I$60/SUM('Overall recycling rates'!$I$60:$I$62)*('BTX Recycling HC'!Y228+'BTX Recycling HC'!Y255+'BTX Recycling HC'!Y166+'BTX Recycling HC'!Y121)</f>
        <v>9.4178977229087728</v>
      </c>
      <c r="BG101" s="60">
        <f>BG42-'Overall recycling rates'!$G$60/SUM('Overall recycling rates'!$G$60:$G$62)*('BTX Recycling HC'!Z225+'BTX Recycling HC'!Z252+'BTX Recycling HC'!Z163+'BTX Recycling HC'!Z118)-'Overall recycling rates'!$E$60/SUM('Overall recycling rates'!$E$60:$E$62)*('BTX Recycling HC'!Z226+'BTX Recycling HC'!Z253+'BTX Recycling HC'!Z164+'BTX Recycling HC'!Z119)-'Overall recycling rates'!$H$60/SUM('Overall recycling rates'!$H$60:$H$62)*('BTX Recycling HC'!Z227+'BTX Recycling HC'!Z254+'BTX Recycling HC'!Z165+'BTX Recycling HC'!Z120)-'Overall recycling rates'!$I$60/SUM('Overall recycling rates'!$I$60:$I$62)*('BTX Recycling HC'!Z228+'BTX Recycling HC'!Z255+'BTX Recycling HC'!Z166+'BTX Recycling HC'!Z121)</f>
        <v>9.2301745421061128</v>
      </c>
      <c r="BH101" s="60">
        <f>BH42-'Overall recycling rates'!$G$60/SUM('Overall recycling rates'!$G$60:$G$62)*('BTX Recycling HC'!AA225+'BTX Recycling HC'!AA252+'BTX Recycling HC'!AA163+'BTX Recycling HC'!AA118)-'Overall recycling rates'!$E$60/SUM('Overall recycling rates'!$E$60:$E$62)*('BTX Recycling HC'!AA226+'BTX Recycling HC'!AA253+'BTX Recycling HC'!AA164+'BTX Recycling HC'!AA119)-'Overall recycling rates'!$H$60/SUM('Overall recycling rates'!$H$60:$H$62)*('BTX Recycling HC'!AA227+'BTX Recycling HC'!AA254+'BTX Recycling HC'!AA165+'BTX Recycling HC'!AA120)-'Overall recycling rates'!$I$60/SUM('Overall recycling rates'!$I$60:$I$62)*('BTX Recycling HC'!AA228+'BTX Recycling HC'!AA255+'BTX Recycling HC'!AA166+'BTX Recycling HC'!AA121)</f>
        <v>9.0490420048543072</v>
      </c>
      <c r="BI101" s="60">
        <f>BI42-'Overall recycling rates'!$G$60/SUM('Overall recycling rates'!$G$60:$G$62)*('BTX Recycling HC'!AB225+'BTX Recycling HC'!AB252+'BTX Recycling HC'!AB163+'BTX Recycling HC'!AB118)-'Overall recycling rates'!$E$60/SUM('Overall recycling rates'!$E$60:$E$62)*('BTX Recycling HC'!AB226+'BTX Recycling HC'!AB253+'BTX Recycling HC'!AB164+'BTX Recycling HC'!AB119)-'Overall recycling rates'!$H$60/SUM('Overall recycling rates'!$H$60:$H$62)*('BTX Recycling HC'!AB227+'BTX Recycling HC'!AB254+'BTX Recycling HC'!AB165+'BTX Recycling HC'!AB120)-'Overall recycling rates'!$I$60/SUM('Overall recycling rates'!$I$60:$I$62)*('BTX Recycling HC'!AB228+'BTX Recycling HC'!AB255+'BTX Recycling HC'!AB166+'BTX Recycling HC'!AB121)</f>
        <v>8.8762545386864673</v>
      </c>
      <c r="BJ101" s="60">
        <f>BJ42-'Overall recycling rates'!$G$60/SUM('Overall recycling rates'!$G$60:$G$62)*('BTX Recycling HC'!AC225+'BTX Recycling HC'!AC252+'BTX Recycling HC'!AC163+'BTX Recycling HC'!AC118)-'Overall recycling rates'!$E$60/SUM('Overall recycling rates'!$E$60:$E$62)*('BTX Recycling HC'!AC226+'BTX Recycling HC'!AC253+'BTX Recycling HC'!AC164+'BTX Recycling HC'!AC119)-'Overall recycling rates'!$H$60/SUM('Overall recycling rates'!$H$60:$H$62)*('BTX Recycling HC'!AC227+'BTX Recycling HC'!AC254+'BTX Recycling HC'!AC165+'BTX Recycling HC'!AC120)-'Overall recycling rates'!$I$60/SUM('Overall recycling rates'!$I$60:$I$62)*('BTX Recycling HC'!AC228+'BTX Recycling HC'!AC255+'BTX Recycling HC'!AC166+'BTX Recycling HC'!AC121)</f>
        <v>8.7141083586759258</v>
      </c>
      <c r="BK101" s="60">
        <f>BK42-'Overall recycling rates'!$G$60/SUM('Overall recycling rates'!$G$60:$G$62)*('BTX Recycling HC'!AD225+'BTX Recycling HC'!AD252+'BTX Recycling HC'!AD163+'BTX Recycling HC'!AD118)-'Overall recycling rates'!$E$60/SUM('Overall recycling rates'!$E$60:$E$62)*('BTX Recycling HC'!AD226+'BTX Recycling HC'!AD253+'BTX Recycling HC'!AD164+'BTX Recycling HC'!AD119)-'Overall recycling rates'!$H$60/SUM('Overall recycling rates'!$H$60:$H$62)*('BTX Recycling HC'!AD227+'BTX Recycling HC'!AD254+'BTX Recycling HC'!AD165+'BTX Recycling HC'!AD120)-'Overall recycling rates'!$I$60/SUM('Overall recycling rates'!$I$60:$I$62)*('BTX Recycling HC'!AD228+'BTX Recycling HC'!AD255+'BTX Recycling HC'!AD166+'BTX Recycling HC'!AD121)</f>
        <v>8.5640643674149892</v>
      </c>
      <c r="BL101" s="60">
        <f>BL42-'Overall recycling rates'!$G$60/SUM('Overall recycling rates'!$G$60:$G$62)*('BTX Recycling HC'!AE225+'BTX Recycling HC'!AE252+'BTX Recycling HC'!AE163+'BTX Recycling HC'!AE118)-'Overall recycling rates'!$E$60/SUM('Overall recycling rates'!$E$60:$E$62)*('BTX Recycling HC'!AE226+'BTX Recycling HC'!AE253+'BTX Recycling HC'!AE164+'BTX Recycling HC'!AE119)-'Overall recycling rates'!$H$60/SUM('Overall recycling rates'!$H$60:$H$62)*('BTX Recycling HC'!AE227+'BTX Recycling HC'!AE254+'BTX Recycling HC'!AE165+'BTX Recycling HC'!AE120)-'Overall recycling rates'!$I$60/SUM('Overall recycling rates'!$I$60:$I$62)*('BTX Recycling HC'!AE228+'BTX Recycling HC'!AE255+'BTX Recycling HC'!AE166+'BTX Recycling HC'!AE121)</f>
        <v>8.4280605280893131</v>
      </c>
      <c r="BM101" s="60">
        <f>BM42-'Overall recycling rates'!$G$60/SUM('Overall recycling rates'!$G$60:$G$62)*('BTX Recycling HC'!AF225+'BTX Recycling HC'!AF252+'BTX Recycling HC'!AF163+'BTX Recycling HC'!AF118)-'Overall recycling rates'!$E$60/SUM('Overall recycling rates'!$E$60:$E$62)*('BTX Recycling HC'!AF226+'BTX Recycling HC'!AF253+'BTX Recycling HC'!AF164+'BTX Recycling HC'!AF119)-'Overall recycling rates'!$H$60/SUM('Overall recycling rates'!$H$60:$H$62)*('BTX Recycling HC'!AF227+'BTX Recycling HC'!AF254+'BTX Recycling HC'!AF165+'BTX Recycling HC'!AF120)-'Overall recycling rates'!$I$60/SUM('Overall recycling rates'!$I$60:$I$62)*('BTX Recycling HC'!AF228+'BTX Recycling HC'!AF255+'BTX Recycling HC'!AF166+'BTX Recycling HC'!AF121)</f>
        <v>8.3080941329289431</v>
      </c>
      <c r="BN101" s="60">
        <f>BN42-'Overall recycling rates'!$G$60/SUM('Overall recycling rates'!$G$60:$G$62)*('BTX Recycling HC'!AG225+'BTX Recycling HC'!AG252+'BTX Recycling HC'!AG163+'BTX Recycling HC'!AG118)-'Overall recycling rates'!$E$60/SUM('Overall recycling rates'!$E$60:$E$62)*('BTX Recycling HC'!AG226+'BTX Recycling HC'!AG253+'BTX Recycling HC'!AG164+'BTX Recycling HC'!AG119)-'Overall recycling rates'!$H$60/SUM('Overall recycling rates'!$H$60:$H$62)*('BTX Recycling HC'!AG227+'BTX Recycling HC'!AG254+'BTX Recycling HC'!AG165+'BTX Recycling HC'!AG120)-'Overall recycling rates'!$I$60/SUM('Overall recycling rates'!$I$60:$I$62)*('BTX Recycling HC'!AG228+'BTX Recycling HC'!AG255+'BTX Recycling HC'!AG166+'BTX Recycling HC'!AG121)</f>
        <v>8.2062214579579873</v>
      </c>
    </row>
    <row r="102" spans="1:66" outlineLevel="1" x14ac:dyDescent="0.2">
      <c r="A102" s="682"/>
      <c r="B102" s="1" t="s">
        <v>8</v>
      </c>
      <c r="C102" s="54" t="s">
        <v>153</v>
      </c>
      <c r="D102" s="44">
        <f>D43-'Overall recycling rates'!$G$61/SUM('Overall recycling rates'!$G$60:$G$62)*('BTX Recycling HC'!C225+'BTX Recycling HC'!C252+'BTX Recycling HC'!C163+'BTX Recycling HC'!C118)-'Overall recycling rates'!$E$61/SUM('Overall recycling rates'!$E$60:$E$62)*('BTX Recycling HC'!C226+'BTX Recycling HC'!C253+'BTX Recycling HC'!C164+'BTX Recycling HC'!C119)-'Overall recycling rates'!$H$61/SUM('Overall recycling rates'!$H$60:$H$62)*('BTX Recycling HC'!C227+'BTX Recycling HC'!C254+'BTX Recycling HC'!C165+'BTX Recycling HC'!C120)-'Overall recycling rates'!$I$61/SUM('Overall recycling rates'!$I$60:$I$62)*('BTX Recycling HC'!C228+'BTX Recycling HC'!C255+'BTX Recycling HC'!C166+'BTX Recycling HC'!C121)</f>
        <v>2.5611801774531888</v>
      </c>
      <c r="E102" s="44">
        <f>E43-'Overall recycling rates'!$G$61/SUM('Overall recycling rates'!$G$60:$G$62)*('BTX Recycling HC'!D225+'BTX Recycling HC'!D252+'BTX Recycling HC'!D163+'BTX Recycling HC'!D118)-'Overall recycling rates'!$E$61/SUM('Overall recycling rates'!$E$60:$E$62)*('BTX Recycling HC'!D226+'BTX Recycling HC'!D253+'BTX Recycling HC'!D164+'BTX Recycling HC'!D119)-'Overall recycling rates'!$H$61/SUM('Overall recycling rates'!$H$60:$H$62)*('BTX Recycling HC'!D227+'BTX Recycling HC'!D254+'BTX Recycling HC'!D165+'BTX Recycling HC'!D120)-'Overall recycling rates'!$I$61/SUM('Overall recycling rates'!$I$60:$I$62)*('BTX Recycling HC'!D228+'BTX Recycling HC'!D255+'BTX Recycling HC'!D166+'BTX Recycling HC'!D121)</f>
        <v>2.4991557929026809</v>
      </c>
      <c r="F102" s="44">
        <f>F43-'Overall recycling rates'!$G$61/SUM('Overall recycling rates'!$G$60:$G$62)*('BTX Recycling HC'!E225+'BTX Recycling HC'!E252+'BTX Recycling HC'!E163+'BTX Recycling HC'!E118)-'Overall recycling rates'!$E$61/SUM('Overall recycling rates'!$E$60:$E$62)*('BTX Recycling HC'!E226+'BTX Recycling HC'!E253+'BTX Recycling HC'!E164+'BTX Recycling HC'!E119)-'Overall recycling rates'!$H$61/SUM('Overall recycling rates'!$H$60:$H$62)*('BTX Recycling HC'!E227+'BTX Recycling HC'!E254+'BTX Recycling HC'!E165+'BTX Recycling HC'!E120)-'Overall recycling rates'!$I$61/SUM('Overall recycling rates'!$I$60:$I$62)*('BTX Recycling HC'!E228+'BTX Recycling HC'!E255+'BTX Recycling HC'!E166+'BTX Recycling HC'!E121)</f>
        <v>2.431849907174779</v>
      </c>
      <c r="G102" s="44">
        <f>G43-'Overall recycling rates'!$G$61/SUM('Overall recycling rates'!$G$60:$G$62)*('BTX Recycling HC'!F225+'BTX Recycling HC'!F252+'BTX Recycling HC'!F163+'BTX Recycling HC'!F118)-'Overall recycling rates'!$E$61/SUM('Overall recycling rates'!$E$60:$E$62)*('BTX Recycling HC'!F226+'BTX Recycling HC'!F253+'BTX Recycling HC'!F164+'BTX Recycling HC'!F119)-'Overall recycling rates'!$H$61/SUM('Overall recycling rates'!$H$60:$H$62)*('BTX Recycling HC'!F227+'BTX Recycling HC'!F254+'BTX Recycling HC'!F165+'BTX Recycling HC'!F120)-'Overall recycling rates'!$I$61/SUM('Overall recycling rates'!$I$60:$I$62)*('BTX Recycling HC'!F228+'BTX Recycling HC'!F255+'BTX Recycling HC'!F166+'BTX Recycling HC'!F121)</f>
        <v>2.3613640321398841</v>
      </c>
      <c r="H102" s="44">
        <f>H43-'Overall recycling rates'!$G$61/SUM('Overall recycling rates'!$G$60:$G$62)*('BTX Recycling HC'!G225+'BTX Recycling HC'!G252+'BTX Recycling HC'!G163+'BTX Recycling HC'!G118)-'Overall recycling rates'!$E$61/SUM('Overall recycling rates'!$E$60:$E$62)*('BTX Recycling HC'!G226+'BTX Recycling HC'!G253+'BTX Recycling HC'!G164+'BTX Recycling HC'!G119)-'Overall recycling rates'!$H$61/SUM('Overall recycling rates'!$H$60:$H$62)*('BTX Recycling HC'!G227+'BTX Recycling HC'!G254+'BTX Recycling HC'!G165+'BTX Recycling HC'!G120)-'Overall recycling rates'!$I$61/SUM('Overall recycling rates'!$I$60:$I$62)*('BTX Recycling HC'!G228+'BTX Recycling HC'!G255+'BTX Recycling HC'!G166+'BTX Recycling HC'!G121)</f>
        <v>2.2885161210893528</v>
      </c>
      <c r="I102" s="44">
        <f>I43-'Overall recycling rates'!$G$61/SUM('Overall recycling rates'!$G$60:$G$62)*('BTX Recycling HC'!H225+'BTX Recycling HC'!H252+'BTX Recycling HC'!H163+'BTX Recycling HC'!H118)-'Overall recycling rates'!$E$61/SUM('Overall recycling rates'!$E$60:$E$62)*('BTX Recycling HC'!H226+'BTX Recycling HC'!H253+'BTX Recycling HC'!H164+'BTX Recycling HC'!H119)-'Overall recycling rates'!$H$61/SUM('Overall recycling rates'!$H$60:$H$62)*('BTX Recycling HC'!H227+'BTX Recycling HC'!H254+'BTX Recycling HC'!H165+'BTX Recycling HC'!H120)-'Overall recycling rates'!$I$61/SUM('Overall recycling rates'!$I$60:$I$62)*('BTX Recycling HC'!H228+'BTX Recycling HC'!H255+'BTX Recycling HC'!H166+'BTX Recycling HC'!H121)</f>
        <v>2.2134928591932832</v>
      </c>
      <c r="J102" s="44">
        <f>J43-'Overall recycling rates'!$G$61/SUM('Overall recycling rates'!$G$60:$G$62)*('BTX Recycling HC'!I225+'BTX Recycling HC'!I252+'BTX Recycling HC'!I163+'BTX Recycling HC'!I118)-'Overall recycling rates'!$E$61/SUM('Overall recycling rates'!$E$60:$E$62)*('BTX Recycling HC'!I226+'BTX Recycling HC'!I253+'BTX Recycling HC'!I164+'BTX Recycling HC'!I119)-'Overall recycling rates'!$H$61/SUM('Overall recycling rates'!$H$60:$H$62)*('BTX Recycling HC'!I227+'BTX Recycling HC'!I254+'BTX Recycling HC'!I165+'BTX Recycling HC'!I120)-'Overall recycling rates'!$I$61/SUM('Overall recycling rates'!$I$60:$I$62)*('BTX Recycling HC'!I228+'BTX Recycling HC'!I255+'BTX Recycling HC'!I166+'BTX Recycling HC'!I121)</f>
        <v>2.1364388952871254</v>
      </c>
      <c r="K102" s="44">
        <f>K43-'Overall recycling rates'!$G$61/SUM('Overall recycling rates'!$G$60:$G$62)*('BTX Recycling HC'!J225+'BTX Recycling HC'!J252+'BTX Recycling HC'!J163+'BTX Recycling HC'!J118)-'Overall recycling rates'!$E$61/SUM('Overall recycling rates'!$E$60:$E$62)*('BTX Recycling HC'!J226+'BTX Recycling HC'!J253+'BTX Recycling HC'!J164+'BTX Recycling HC'!J119)-'Overall recycling rates'!$H$61/SUM('Overall recycling rates'!$H$60:$H$62)*('BTX Recycling HC'!J227+'BTX Recycling HC'!J254+'BTX Recycling HC'!J165+'BTX Recycling HC'!J120)-'Overall recycling rates'!$I$61/SUM('Overall recycling rates'!$I$60:$I$62)*('BTX Recycling HC'!J228+'BTX Recycling HC'!J255+'BTX Recycling HC'!J166+'BTX Recycling HC'!J121)</f>
        <v>2.0566927299020974</v>
      </c>
      <c r="L102" s="44">
        <f>L43-'Overall recycling rates'!$G$61/SUM('Overall recycling rates'!$G$60:$G$62)*('BTX Recycling HC'!K225+'BTX Recycling HC'!K252+'BTX Recycling HC'!K163+'BTX Recycling HC'!K118)-'Overall recycling rates'!$E$61/SUM('Overall recycling rates'!$E$60:$E$62)*('BTX Recycling HC'!K226+'BTX Recycling HC'!K253+'BTX Recycling HC'!K164+'BTX Recycling HC'!K119)-'Overall recycling rates'!$H$61/SUM('Overall recycling rates'!$H$60:$H$62)*('BTX Recycling HC'!K227+'BTX Recycling HC'!K254+'BTX Recycling HC'!K165+'BTX Recycling HC'!K120)-'Overall recycling rates'!$I$61/SUM('Overall recycling rates'!$I$60:$I$62)*('BTX Recycling HC'!K228+'BTX Recycling HC'!K255+'BTX Recycling HC'!K166+'BTX Recycling HC'!K121)</f>
        <v>1.9742841694561566</v>
      </c>
      <c r="M102" s="44">
        <f>M43-'Overall recycling rates'!$G$61/SUM('Overall recycling rates'!$G$60:$G$62)*('BTX Recycling HC'!L225+'BTX Recycling HC'!L252+'BTX Recycling HC'!L163+'BTX Recycling HC'!L118)-'Overall recycling rates'!$E$61/SUM('Overall recycling rates'!$E$60:$E$62)*('BTX Recycling HC'!L226+'BTX Recycling HC'!L253+'BTX Recycling HC'!L164+'BTX Recycling HC'!L119)-'Overall recycling rates'!$H$61/SUM('Overall recycling rates'!$H$60:$H$62)*('BTX Recycling HC'!L227+'BTX Recycling HC'!L254+'BTX Recycling HC'!L165+'BTX Recycling HC'!L120)-'Overall recycling rates'!$I$61/SUM('Overall recycling rates'!$I$60:$I$62)*('BTX Recycling HC'!L228+'BTX Recycling HC'!L255+'BTX Recycling HC'!L166+'BTX Recycling HC'!L121)</f>
        <v>1.8892517318269151</v>
      </c>
      <c r="N102" s="44">
        <f>N43-'Overall recycling rates'!$G$61/SUM('Overall recycling rates'!$G$60:$G$62)*('BTX Recycling HC'!M225+'BTX Recycling HC'!M252+'BTX Recycling HC'!M163+'BTX Recycling HC'!M118)-'Overall recycling rates'!$E$61/SUM('Overall recycling rates'!$E$60:$E$62)*('BTX Recycling HC'!M226+'BTX Recycling HC'!M253+'BTX Recycling HC'!M164+'BTX Recycling HC'!M119)-'Overall recycling rates'!$H$61/SUM('Overall recycling rates'!$H$60:$H$62)*('BTX Recycling HC'!M227+'BTX Recycling HC'!M254+'BTX Recycling HC'!M165+'BTX Recycling HC'!M120)-'Overall recycling rates'!$I$61/SUM('Overall recycling rates'!$I$60:$I$62)*('BTX Recycling HC'!M228+'BTX Recycling HC'!M255+'BTX Recycling HC'!M166+'BTX Recycling HC'!M121)</f>
        <v>1.8016428619431704</v>
      </c>
      <c r="O102" s="44">
        <f>O43-'Overall recycling rates'!$G$61/SUM('Overall recycling rates'!$G$60:$G$62)*('BTX Recycling HC'!N225+'BTX Recycling HC'!N252+'BTX Recycling HC'!N163+'BTX Recycling HC'!N118)-'Overall recycling rates'!$E$61/SUM('Overall recycling rates'!$E$60:$E$62)*('BTX Recycling HC'!N226+'BTX Recycling HC'!N253+'BTX Recycling HC'!N164+'BTX Recycling HC'!N119)-'Overall recycling rates'!$H$61/SUM('Overall recycling rates'!$H$60:$H$62)*('BTX Recycling HC'!N227+'BTX Recycling HC'!N254+'BTX Recycling HC'!N165+'BTX Recycling HC'!N120)-'Overall recycling rates'!$I$61/SUM('Overall recycling rates'!$I$60:$I$62)*('BTX Recycling HC'!N228+'BTX Recycling HC'!N255+'BTX Recycling HC'!N166+'BTX Recycling HC'!N121)</f>
        <v>1.6989325240502178</v>
      </c>
      <c r="P102" s="44">
        <f>P43-'Overall recycling rates'!$G$61/SUM('Overall recycling rates'!$G$60:$G$62)*('BTX Recycling HC'!O225+'BTX Recycling HC'!O252+'BTX Recycling HC'!O163+'BTX Recycling HC'!O118)-'Overall recycling rates'!$E$61/SUM('Overall recycling rates'!$E$60:$E$62)*('BTX Recycling HC'!O226+'BTX Recycling HC'!O253+'BTX Recycling HC'!O164+'BTX Recycling HC'!O119)-'Overall recycling rates'!$H$61/SUM('Overall recycling rates'!$H$60:$H$62)*('BTX Recycling HC'!O227+'BTX Recycling HC'!O254+'BTX Recycling HC'!O165+'BTX Recycling HC'!O120)-'Overall recycling rates'!$I$61/SUM('Overall recycling rates'!$I$60:$I$62)*('BTX Recycling HC'!O228+'BTX Recycling HC'!O255+'BTX Recycling HC'!O166+'BTX Recycling HC'!O121)</f>
        <v>1.5953960706431585</v>
      </c>
      <c r="Q102" s="44">
        <f>Q43-'Overall recycling rates'!$G$61/SUM('Overall recycling rates'!$G$60:$G$62)*('BTX Recycling HC'!P225+'BTX Recycling HC'!P252+'BTX Recycling HC'!P163+'BTX Recycling HC'!P118)-'Overall recycling rates'!$E$61/SUM('Overall recycling rates'!$E$60:$E$62)*('BTX Recycling HC'!P226+'BTX Recycling HC'!P253+'BTX Recycling HC'!P164+'BTX Recycling HC'!P119)-'Overall recycling rates'!$H$61/SUM('Overall recycling rates'!$H$60:$H$62)*('BTX Recycling HC'!P227+'BTX Recycling HC'!P254+'BTX Recycling HC'!P165+'BTX Recycling HC'!P120)-'Overall recycling rates'!$I$61/SUM('Overall recycling rates'!$I$60:$I$62)*('BTX Recycling HC'!P228+'BTX Recycling HC'!P255+'BTX Recycling HC'!P166+'BTX Recycling HC'!P121)</f>
        <v>1.4916848778442897</v>
      </c>
      <c r="R102" s="44">
        <f>R43-'Overall recycling rates'!$G$61/SUM('Overall recycling rates'!$G$60:$G$62)*('BTX Recycling HC'!Q225+'BTX Recycling HC'!Q252+'BTX Recycling HC'!Q163+'BTX Recycling HC'!Q118)-'Overall recycling rates'!$E$61/SUM('Overall recycling rates'!$E$60:$E$62)*('BTX Recycling HC'!Q226+'BTX Recycling HC'!Q253+'BTX Recycling HC'!Q164+'BTX Recycling HC'!Q119)-'Overall recycling rates'!$H$61/SUM('Overall recycling rates'!$H$60:$H$62)*('BTX Recycling HC'!Q227+'BTX Recycling HC'!Q254+'BTX Recycling HC'!Q165+'BTX Recycling HC'!Q120)-'Overall recycling rates'!$I$61/SUM('Overall recycling rates'!$I$60:$I$62)*('BTX Recycling HC'!Q228+'BTX Recycling HC'!Q255+'BTX Recycling HC'!Q166+'BTX Recycling HC'!Q121)</f>
        <v>1.3883257393468151</v>
      </c>
      <c r="S102" s="44">
        <f>S43-'Overall recycling rates'!$G$61/SUM('Overall recycling rates'!$G$60:$G$62)*('BTX Recycling HC'!R225+'BTX Recycling HC'!R252+'BTX Recycling HC'!R163+'BTX Recycling HC'!R118)-'Overall recycling rates'!$E$61/SUM('Overall recycling rates'!$E$60:$E$62)*('BTX Recycling HC'!R226+'BTX Recycling HC'!R253+'BTX Recycling HC'!R164+'BTX Recycling HC'!R119)-'Overall recycling rates'!$H$61/SUM('Overall recycling rates'!$H$60:$H$62)*('BTX Recycling HC'!R227+'BTX Recycling HC'!R254+'BTX Recycling HC'!R165+'BTX Recycling HC'!R120)-'Overall recycling rates'!$I$61/SUM('Overall recycling rates'!$I$60:$I$62)*('BTX Recycling HC'!R228+'BTX Recycling HC'!R255+'BTX Recycling HC'!R166+'BTX Recycling HC'!R121)</f>
        <v>1.2859161850433463</v>
      </c>
      <c r="T102" s="44">
        <f>T43-'Overall recycling rates'!$G$61/SUM('Overall recycling rates'!$G$60:$G$62)*('BTX Recycling HC'!S225+'BTX Recycling HC'!S252+'BTX Recycling HC'!S163+'BTX Recycling HC'!S118)-'Overall recycling rates'!$E$61/SUM('Overall recycling rates'!$E$60:$E$62)*('BTX Recycling HC'!S226+'BTX Recycling HC'!S253+'BTX Recycling HC'!S164+'BTX Recycling HC'!S119)-'Overall recycling rates'!$H$61/SUM('Overall recycling rates'!$H$60:$H$62)*('BTX Recycling HC'!S227+'BTX Recycling HC'!S254+'BTX Recycling HC'!S165+'BTX Recycling HC'!S120)-'Overall recycling rates'!$I$61/SUM('Overall recycling rates'!$I$60:$I$62)*('BTX Recycling HC'!S228+'BTX Recycling HC'!S255+'BTX Recycling HC'!S166+'BTX Recycling HC'!S121)</f>
        <v>1.1822702896668189</v>
      </c>
      <c r="U102" s="44">
        <f>U43-'Overall recycling rates'!$G$61/SUM('Overall recycling rates'!$G$60:$G$62)*('BTX Recycling HC'!T225+'BTX Recycling HC'!T252+'BTX Recycling HC'!T163+'BTX Recycling HC'!T118)-'Overall recycling rates'!$E$61/SUM('Overall recycling rates'!$E$60:$E$62)*('BTX Recycling HC'!T226+'BTX Recycling HC'!T253+'BTX Recycling HC'!T164+'BTX Recycling HC'!T119)-'Overall recycling rates'!$H$61/SUM('Overall recycling rates'!$H$60:$H$62)*('BTX Recycling HC'!T227+'BTX Recycling HC'!T254+'BTX Recycling HC'!T165+'BTX Recycling HC'!T120)-'Overall recycling rates'!$I$61/SUM('Overall recycling rates'!$I$60:$I$62)*('BTX Recycling HC'!T228+'BTX Recycling HC'!T255+'BTX Recycling HC'!T166+'BTX Recycling HC'!T121)</f>
        <v>1.0785351144217219</v>
      </c>
      <c r="V102" s="44">
        <f>V43-'Overall recycling rates'!$G$61/SUM('Overall recycling rates'!$G$60:$G$62)*('BTX Recycling HC'!U225+'BTX Recycling HC'!U252+'BTX Recycling HC'!U163+'BTX Recycling HC'!U118)-'Overall recycling rates'!$E$61/SUM('Overall recycling rates'!$E$60:$E$62)*('BTX Recycling HC'!U226+'BTX Recycling HC'!U253+'BTX Recycling HC'!U164+'BTX Recycling HC'!U119)-'Overall recycling rates'!$H$61/SUM('Overall recycling rates'!$H$60:$H$62)*('BTX Recycling HC'!U227+'BTX Recycling HC'!U254+'BTX Recycling HC'!U165+'BTX Recycling HC'!U120)-'Overall recycling rates'!$I$61/SUM('Overall recycling rates'!$I$60:$I$62)*('BTX Recycling HC'!U228+'BTX Recycling HC'!U255+'BTX Recycling HC'!U166+'BTX Recycling HC'!U121)</f>
        <v>0.97503122902220696</v>
      </c>
      <c r="W102" s="44">
        <f>W43-'Overall recycling rates'!$G$61/SUM('Overall recycling rates'!$G$60:$G$62)*('BTX Recycling HC'!V225+'BTX Recycling HC'!V252+'BTX Recycling HC'!V163+'BTX Recycling HC'!V118)-'Overall recycling rates'!$E$61/SUM('Overall recycling rates'!$E$60:$E$62)*('BTX Recycling HC'!V226+'BTX Recycling HC'!V253+'BTX Recycling HC'!V164+'BTX Recycling HC'!V119)-'Overall recycling rates'!$H$61/SUM('Overall recycling rates'!$H$60:$H$62)*('BTX Recycling HC'!V227+'BTX Recycling HC'!V254+'BTX Recycling HC'!V165+'BTX Recycling HC'!V120)-'Overall recycling rates'!$I$61/SUM('Overall recycling rates'!$I$60:$I$62)*('BTX Recycling HC'!V228+'BTX Recycling HC'!V255+'BTX Recycling HC'!V166+'BTX Recycling HC'!V121)</f>
        <v>0.87209311057344041</v>
      </c>
      <c r="X102" s="44">
        <f>X43-'Overall recycling rates'!$G$61/SUM('Overall recycling rates'!$G$60:$G$62)*('BTX Recycling HC'!W225+'BTX Recycling HC'!W252+'BTX Recycling HC'!W163+'BTX Recycling HC'!W118)-'Overall recycling rates'!$E$61/SUM('Overall recycling rates'!$E$60:$E$62)*('BTX Recycling HC'!W226+'BTX Recycling HC'!W253+'BTX Recycling HC'!W164+'BTX Recycling HC'!W119)-'Overall recycling rates'!$H$61/SUM('Overall recycling rates'!$H$60:$H$62)*('BTX Recycling HC'!W227+'BTX Recycling HC'!W254+'BTX Recycling HC'!W165+'BTX Recycling HC'!W120)-'Overall recycling rates'!$I$61/SUM('Overall recycling rates'!$I$60:$I$62)*('BTX Recycling HC'!W228+'BTX Recycling HC'!W255+'BTX Recycling HC'!W166+'BTX Recycling HC'!W121)</f>
        <v>0.77006916387383506</v>
      </c>
      <c r="Y102" s="44">
        <f>Y43-'Overall recycling rates'!$G$61/SUM('Overall recycling rates'!$G$60:$G$62)*('BTX Recycling HC'!X225+'BTX Recycling HC'!X252+'BTX Recycling HC'!X163+'BTX Recycling HC'!X118)-'Overall recycling rates'!$E$61/SUM('Overall recycling rates'!$E$60:$E$62)*('BTX Recycling HC'!X226+'BTX Recycling HC'!X253+'BTX Recycling HC'!X164+'BTX Recycling HC'!X119)-'Overall recycling rates'!$H$61/SUM('Overall recycling rates'!$H$60:$H$62)*('BTX Recycling HC'!X227+'BTX Recycling HC'!X254+'BTX Recycling HC'!X165+'BTX Recycling HC'!X120)-'Overall recycling rates'!$I$61/SUM('Overall recycling rates'!$I$60:$I$62)*('BTX Recycling HC'!X228+'BTX Recycling HC'!X255+'BTX Recycling HC'!X166+'BTX Recycling HC'!X121)</f>
        <v>0.64018604714184557</v>
      </c>
      <c r="Z102" s="44">
        <f>Z43-'Overall recycling rates'!$G$61/SUM('Overall recycling rates'!$G$60:$G$62)*('BTX Recycling HC'!Y225+'BTX Recycling HC'!Y252+'BTX Recycling HC'!Y163+'BTX Recycling HC'!Y118)-'Overall recycling rates'!$E$61/SUM('Overall recycling rates'!$E$60:$E$62)*('BTX Recycling HC'!Y226+'BTX Recycling HC'!Y253+'BTX Recycling HC'!Y164+'BTX Recycling HC'!Y119)-'Overall recycling rates'!$H$61/SUM('Overall recycling rates'!$H$60:$H$62)*('BTX Recycling HC'!Y227+'BTX Recycling HC'!Y254+'BTX Recycling HC'!Y165+'BTX Recycling HC'!Y120)-'Overall recycling rates'!$I$61/SUM('Overall recycling rates'!$I$60:$I$62)*('BTX Recycling HC'!Y228+'BTX Recycling HC'!Y255+'BTX Recycling HC'!Y166+'BTX Recycling HC'!Y121)</f>
        <v>0.51220583481795379</v>
      </c>
      <c r="AA102" s="44">
        <f>AA43-'Overall recycling rates'!$G$61/SUM('Overall recycling rates'!$G$60:$G$62)*('BTX Recycling HC'!Z225+'BTX Recycling HC'!Z252+'BTX Recycling HC'!Z163+'BTX Recycling HC'!Z118)-'Overall recycling rates'!$E$61/SUM('Overall recycling rates'!$E$60:$E$62)*('BTX Recycling HC'!Z226+'BTX Recycling HC'!Z253+'BTX Recycling HC'!Z164+'BTX Recycling HC'!Z119)-'Overall recycling rates'!$H$61/SUM('Overall recycling rates'!$H$60:$H$62)*('BTX Recycling HC'!Z227+'BTX Recycling HC'!Z254+'BTX Recycling HC'!Z165+'BTX Recycling HC'!Z120)-'Overall recycling rates'!$I$61/SUM('Overall recycling rates'!$I$60:$I$62)*('BTX Recycling HC'!Z228+'BTX Recycling HC'!Z255+'BTX Recycling HC'!Z166+'BTX Recycling HC'!Z121)</f>
        <v>0.38711329548857643</v>
      </c>
      <c r="AB102" s="44">
        <f>AB43-'Overall recycling rates'!$G$61/SUM('Overall recycling rates'!$G$60:$G$62)*('BTX Recycling HC'!AA225+'BTX Recycling HC'!AA252+'BTX Recycling HC'!AA163+'BTX Recycling HC'!AA118)-'Overall recycling rates'!$E$61/SUM('Overall recycling rates'!$E$60:$E$62)*('BTX Recycling HC'!AA226+'BTX Recycling HC'!AA253+'BTX Recycling HC'!AA164+'BTX Recycling HC'!AA119)-'Overall recycling rates'!$H$61/SUM('Overall recycling rates'!$H$60:$H$62)*('BTX Recycling HC'!AA227+'BTX Recycling HC'!AA254+'BTX Recycling HC'!AA165+'BTX Recycling HC'!AA120)-'Overall recycling rates'!$I$61/SUM('Overall recycling rates'!$I$60:$I$62)*('BTX Recycling HC'!AA228+'BTX Recycling HC'!AA255+'BTX Recycling HC'!AA166+'BTX Recycling HC'!AA121)</f>
        <v>0.26517051239554179</v>
      </c>
      <c r="AC102" s="44">
        <f>AC43-'Overall recycling rates'!$G$61/SUM('Overall recycling rates'!$G$60:$G$62)*('BTX Recycling HC'!AB225+'BTX Recycling HC'!AB252+'BTX Recycling HC'!AB163+'BTX Recycling HC'!AB118)-'Overall recycling rates'!$E$61/SUM('Overall recycling rates'!$E$60:$E$62)*('BTX Recycling HC'!AB226+'BTX Recycling HC'!AB253+'BTX Recycling HC'!AB164+'BTX Recycling HC'!AB119)-'Overall recycling rates'!$H$61/SUM('Overall recycling rates'!$H$60:$H$62)*('BTX Recycling HC'!AB227+'BTX Recycling HC'!AB254+'BTX Recycling HC'!AB165+'BTX Recycling HC'!AB120)-'Overall recycling rates'!$I$61/SUM('Overall recycling rates'!$I$60:$I$62)*('BTX Recycling HC'!AB228+'BTX Recycling HC'!AB255+'BTX Recycling HC'!AB166+'BTX Recycling HC'!AB121)</f>
        <v>0.14700367693273209</v>
      </c>
      <c r="AD102" s="44">
        <f>AD43-'Overall recycling rates'!$G$61/SUM('Overall recycling rates'!$G$60:$G$62)*('BTX Recycling HC'!AC225+'BTX Recycling HC'!AC252+'BTX Recycling HC'!AC163+'BTX Recycling HC'!AC118)-'Overall recycling rates'!$E$61/SUM('Overall recycling rates'!$E$60:$E$62)*('BTX Recycling HC'!AC226+'BTX Recycling HC'!AC253+'BTX Recycling HC'!AC164+'BTX Recycling HC'!AC119)-'Overall recycling rates'!$H$61/SUM('Overall recycling rates'!$H$60:$H$62)*('BTX Recycling HC'!AC227+'BTX Recycling HC'!AC254+'BTX Recycling HC'!AC165+'BTX Recycling HC'!AC120)-'Overall recycling rates'!$I$61/SUM('Overall recycling rates'!$I$60:$I$62)*('BTX Recycling HC'!AC228+'BTX Recycling HC'!AC255+'BTX Recycling HC'!AC166+'BTX Recycling HC'!AC121)</f>
        <v>3.4793039064162645E-2</v>
      </c>
      <c r="AE102" s="44">
        <f>AE43-'Overall recycling rates'!$G$61/SUM('Overall recycling rates'!$G$60:$G$62)*('BTX Recycling HC'!AD225+'BTX Recycling HC'!AD252+'BTX Recycling HC'!AD163+'BTX Recycling HC'!AD118)-'Overall recycling rates'!$E$61/SUM('Overall recycling rates'!$E$60:$E$62)*('BTX Recycling HC'!AD226+'BTX Recycling HC'!AD253+'BTX Recycling HC'!AD164+'BTX Recycling HC'!AD119)-'Overall recycling rates'!$H$61/SUM('Overall recycling rates'!$H$60:$H$62)*('BTX Recycling HC'!AD227+'BTX Recycling HC'!AD254+'BTX Recycling HC'!AD165+'BTX Recycling HC'!AD120)-'Overall recycling rates'!$I$61/SUM('Overall recycling rates'!$I$60:$I$62)*('BTX Recycling HC'!AD228+'BTX Recycling HC'!AD255+'BTX Recycling HC'!AD166+'BTX Recycling HC'!AD121)</f>
        <v>-7.2030742961149974E-2</v>
      </c>
      <c r="AF102" s="44">
        <f>AF43-'Overall recycling rates'!$G$61/SUM('Overall recycling rates'!$G$60:$G$62)*('BTX Recycling HC'!AE225+'BTX Recycling HC'!AE252+'BTX Recycling HC'!AE163+'BTX Recycling HC'!AE118)-'Overall recycling rates'!$E$61/SUM('Overall recycling rates'!$E$60:$E$62)*('BTX Recycling HC'!AE226+'BTX Recycling HC'!AE253+'BTX Recycling HC'!AE164+'BTX Recycling HC'!AE119)-'Overall recycling rates'!$H$61/SUM('Overall recycling rates'!$H$60:$H$62)*('BTX Recycling HC'!AE227+'BTX Recycling HC'!AE254+'BTX Recycling HC'!AE165+'BTX Recycling HC'!AE120)-'Overall recycling rates'!$I$61/SUM('Overall recycling rates'!$I$60:$I$62)*('BTX Recycling HC'!AE228+'BTX Recycling HC'!AE255+'BTX Recycling HC'!AE166+'BTX Recycling HC'!AE121)</f>
        <v>-0.17275104146595899</v>
      </c>
      <c r="AG102" s="44">
        <f>AG43-'Overall recycling rates'!$G$61/SUM('Overall recycling rates'!$G$60:$G$62)*('BTX Recycling HC'!AF225+'BTX Recycling HC'!AF252+'BTX Recycling HC'!AF163+'BTX Recycling HC'!AF118)-'Overall recycling rates'!$E$61/SUM('Overall recycling rates'!$E$60:$E$62)*('BTX Recycling HC'!AF226+'BTX Recycling HC'!AF253+'BTX Recycling HC'!AF164+'BTX Recycling HC'!AF119)-'Overall recycling rates'!$H$61/SUM('Overall recycling rates'!$H$60:$H$62)*('BTX Recycling HC'!AF227+'BTX Recycling HC'!AF254+'BTX Recycling HC'!AF165+'BTX Recycling HC'!AF120)-'Overall recycling rates'!$I$61/SUM('Overall recycling rates'!$I$60:$I$62)*('BTX Recycling HC'!AF228+'BTX Recycling HC'!AF255+'BTX Recycling HC'!AF166+'BTX Recycling HC'!AF121)</f>
        <v>-0.26662947488922661</v>
      </c>
      <c r="AH102" s="44">
        <f>AH43-'Overall recycling rates'!$G$61/SUM('Overall recycling rates'!$G$60:$G$62)*('BTX Recycling HC'!AG225+'BTX Recycling HC'!AG252+'BTX Recycling HC'!AG163+'BTX Recycling HC'!AG118)-'Overall recycling rates'!$E$61/SUM('Overall recycling rates'!$E$60:$E$62)*('BTX Recycling HC'!AG226+'BTX Recycling HC'!AG253+'BTX Recycling HC'!AG164+'BTX Recycling HC'!AG119)-'Overall recycling rates'!$H$61/SUM('Overall recycling rates'!$H$60:$H$62)*('BTX Recycling HC'!AG227+'BTX Recycling HC'!AG254+'BTX Recycling HC'!AG165+'BTX Recycling HC'!AG120)-'Overall recycling rates'!$I$61/SUM('Overall recycling rates'!$I$60:$I$62)*('BTX Recycling HC'!AG228+'BTX Recycling HC'!AG255+'BTX Recycling HC'!AG166+'BTX Recycling HC'!AG121)</f>
        <v>-0.35290615567344152</v>
      </c>
      <c r="AJ102" s="44">
        <f>AJ43-'Overall recycling rates'!$G$61/SUM('Overall recycling rates'!$G$60:$G$62)*('BTX Recycling HC'!C225+'BTX Recycling HC'!C252+'BTX Recycling HC'!C163+'BTX Recycling HC'!C118)-'Overall recycling rates'!$E$61/SUM('Overall recycling rates'!$E$60:$E$62)*('BTX Recycling HC'!C226+'BTX Recycling HC'!C253+'BTX Recycling HC'!C164+'BTX Recycling HC'!C119)-'Overall recycling rates'!$H$61/SUM('Overall recycling rates'!$H$60:$H$62)*('BTX Recycling HC'!C227+'BTX Recycling HC'!C254+'BTX Recycling HC'!C165+'BTX Recycling HC'!C120)-'Overall recycling rates'!$I$61/SUM('Overall recycling rates'!$I$60:$I$62)*('BTX Recycling HC'!C228+'BTX Recycling HC'!C255+'BTX Recycling HC'!C166+'BTX Recycling HC'!C121)</f>
        <v>2.5611801774531888</v>
      </c>
      <c r="AK102" s="44">
        <f>AK43-'Overall recycling rates'!$G$61/SUM('Overall recycling rates'!$G$60:$G$62)*('BTX Recycling HC'!D225+'BTX Recycling HC'!D252+'BTX Recycling HC'!D163+'BTX Recycling HC'!D118)-'Overall recycling rates'!$E$61/SUM('Overall recycling rates'!$E$60:$E$62)*('BTX Recycling HC'!D226+'BTX Recycling HC'!D253+'BTX Recycling HC'!D164+'BTX Recycling HC'!D119)-'Overall recycling rates'!$H$61/SUM('Overall recycling rates'!$H$60:$H$62)*('BTX Recycling HC'!D227+'BTX Recycling HC'!D254+'BTX Recycling HC'!D165+'BTX Recycling HC'!D120)-'Overall recycling rates'!$I$61/SUM('Overall recycling rates'!$I$60:$I$62)*('BTX Recycling HC'!D228+'BTX Recycling HC'!D255+'BTX Recycling HC'!D166+'BTX Recycling HC'!D121)</f>
        <v>2.5350054158120017</v>
      </c>
      <c r="AL102" s="44">
        <f>AL43-'Overall recycling rates'!$G$61/SUM('Overall recycling rates'!$G$60:$G$62)*('BTX Recycling HC'!E225+'BTX Recycling HC'!E252+'BTX Recycling HC'!E163+'BTX Recycling HC'!E118)-'Overall recycling rates'!$E$61/SUM('Overall recycling rates'!$E$60:$E$62)*('BTX Recycling HC'!E226+'BTX Recycling HC'!E253+'BTX Recycling HC'!E164+'BTX Recycling HC'!E119)-'Overall recycling rates'!$H$61/SUM('Overall recycling rates'!$H$60:$H$62)*('BTX Recycling HC'!E227+'BTX Recycling HC'!E254+'BTX Recycling HC'!E165+'BTX Recycling HC'!E120)-'Overall recycling rates'!$I$61/SUM('Overall recycling rates'!$I$60:$I$62)*('BTX Recycling HC'!E228+'BTX Recycling HC'!E255+'BTX Recycling HC'!E166+'BTX Recycling HC'!E121)</f>
        <v>2.5043346435816209</v>
      </c>
      <c r="AM102" s="44">
        <f>AM43-'Overall recycling rates'!$G$61/SUM('Overall recycling rates'!$G$60:$G$62)*('BTX Recycling HC'!F225+'BTX Recycling HC'!F252+'BTX Recycling HC'!F163+'BTX Recycling HC'!F118)-'Overall recycling rates'!$E$61/SUM('Overall recycling rates'!$E$60:$E$62)*('BTX Recycling HC'!F226+'BTX Recycling HC'!F253+'BTX Recycling HC'!F164+'BTX Recycling HC'!F119)-'Overall recycling rates'!$H$61/SUM('Overall recycling rates'!$H$60:$H$62)*('BTX Recycling HC'!F227+'BTX Recycling HC'!F254+'BTX Recycling HC'!F165+'BTX Recycling HC'!F120)-'Overall recycling rates'!$I$61/SUM('Overall recycling rates'!$I$60:$I$62)*('BTX Recycling HC'!F228+'BTX Recycling HC'!F255+'BTX Recycling HC'!F166+'BTX Recycling HC'!F121)</f>
        <v>2.4712822806231207</v>
      </c>
      <c r="AN102" s="44">
        <f>AN43-'Overall recycling rates'!$G$61/SUM('Overall recycling rates'!$G$60:$G$62)*('BTX Recycling HC'!G225+'BTX Recycling HC'!G252+'BTX Recycling HC'!G163+'BTX Recycling HC'!G118)-'Overall recycling rates'!$E$61/SUM('Overall recycling rates'!$E$60:$E$62)*('BTX Recycling HC'!G226+'BTX Recycling HC'!G253+'BTX Recycling HC'!G164+'BTX Recycling HC'!G119)-'Overall recycling rates'!$H$61/SUM('Overall recycling rates'!$H$60:$H$62)*('BTX Recycling HC'!G227+'BTX Recycling HC'!G254+'BTX Recycling HC'!G165+'BTX Recycling HC'!G120)-'Overall recycling rates'!$I$61/SUM('Overall recycling rates'!$I$60:$I$62)*('BTX Recycling HC'!G228+'BTX Recycling HC'!G255+'BTX Recycling HC'!G166+'BTX Recycling HC'!G121)</f>
        <v>2.4366793767673309</v>
      </c>
      <c r="AO102" s="44">
        <f>AO43-'Overall recycling rates'!$G$61/SUM('Overall recycling rates'!$G$60:$G$62)*('BTX Recycling HC'!H225+'BTX Recycling HC'!H252+'BTX Recycling HC'!H163+'BTX Recycling HC'!H118)-'Overall recycling rates'!$E$61/SUM('Overall recycling rates'!$E$60:$E$62)*('BTX Recycling HC'!H226+'BTX Recycling HC'!H253+'BTX Recycling HC'!H164+'BTX Recycling HC'!H119)-'Overall recycling rates'!$H$61/SUM('Overall recycling rates'!$H$60:$H$62)*('BTX Recycling HC'!H227+'BTX Recycling HC'!H254+'BTX Recycling HC'!H165+'BTX Recycling HC'!H120)-'Overall recycling rates'!$I$61/SUM('Overall recycling rates'!$I$60:$I$62)*('BTX Recycling HC'!H228+'BTX Recycling HC'!H255+'BTX Recycling HC'!H166+'BTX Recycling HC'!H121)</f>
        <v>2.4007259048546512</v>
      </c>
      <c r="AP102" s="44">
        <f>AP43-'Overall recycling rates'!$G$61/SUM('Overall recycling rates'!$G$60:$G$62)*('BTX Recycling HC'!I225+'BTX Recycling HC'!I252+'BTX Recycling HC'!I163+'BTX Recycling HC'!I118)-'Overall recycling rates'!$E$61/SUM('Overall recycling rates'!$E$60:$E$62)*('BTX Recycling HC'!I226+'BTX Recycling HC'!I253+'BTX Recycling HC'!I164+'BTX Recycling HC'!I119)-'Overall recycling rates'!$H$61/SUM('Overall recycling rates'!$H$60:$H$62)*('BTX Recycling HC'!I227+'BTX Recycling HC'!I254+'BTX Recycling HC'!I165+'BTX Recycling HC'!I120)-'Overall recycling rates'!$I$61/SUM('Overall recycling rates'!$I$60:$I$62)*('BTX Recycling HC'!I228+'BTX Recycling HC'!I255+'BTX Recycling HC'!I166+'BTX Recycling HC'!I121)</f>
        <v>2.3635799951376235</v>
      </c>
      <c r="AQ102" s="44">
        <f>AQ43-'Overall recycling rates'!$G$61/SUM('Overall recycling rates'!$G$60:$G$62)*('BTX Recycling HC'!J225+'BTX Recycling HC'!J252+'BTX Recycling HC'!J163+'BTX Recycling HC'!J118)-'Overall recycling rates'!$E$61/SUM('Overall recycling rates'!$E$60:$E$62)*('BTX Recycling HC'!J226+'BTX Recycling HC'!J253+'BTX Recycling HC'!J164+'BTX Recycling HC'!J119)-'Overall recycling rates'!$H$61/SUM('Overall recycling rates'!$H$60:$H$62)*('BTX Recycling HC'!J227+'BTX Recycling HC'!J254+'BTX Recycling HC'!J165+'BTX Recycling HC'!J120)-'Overall recycling rates'!$I$61/SUM('Overall recycling rates'!$I$60:$I$62)*('BTX Recycling HC'!J228+'BTX Recycling HC'!J255+'BTX Recycling HC'!J166+'BTX Recycling HC'!J121)</f>
        <v>2.3245938259617005</v>
      </c>
      <c r="AR102" s="44">
        <f>AR43-'Overall recycling rates'!$G$61/SUM('Overall recycling rates'!$G$60:$G$62)*('BTX Recycling HC'!K225+'BTX Recycling HC'!K252+'BTX Recycling HC'!K163+'BTX Recycling HC'!K118)-'Overall recycling rates'!$E$61/SUM('Overall recycling rates'!$E$60:$E$62)*('BTX Recycling HC'!K226+'BTX Recycling HC'!K253+'BTX Recycling HC'!K164+'BTX Recycling HC'!K119)-'Overall recycling rates'!$H$61/SUM('Overall recycling rates'!$H$60:$H$62)*('BTX Recycling HC'!K227+'BTX Recycling HC'!K254+'BTX Recycling HC'!K165+'BTX Recycling HC'!K120)-'Overall recycling rates'!$I$61/SUM('Overall recycling rates'!$I$60:$I$62)*('BTX Recycling HC'!K228+'BTX Recycling HC'!K255+'BTX Recycling HC'!K166+'BTX Recycling HC'!K121)</f>
        <v>2.2838110806413741</v>
      </c>
      <c r="AS102" s="44">
        <f>AS43-'Overall recycling rates'!$G$61/SUM('Overall recycling rates'!$G$60:$G$62)*('BTX Recycling HC'!L225+'BTX Recycling HC'!L252+'BTX Recycling HC'!L163+'BTX Recycling HC'!L118)-'Overall recycling rates'!$E$61/SUM('Overall recycling rates'!$E$60:$E$62)*('BTX Recycling HC'!L226+'BTX Recycling HC'!L253+'BTX Recycling HC'!L164+'BTX Recycling HC'!L119)-'Overall recycling rates'!$H$61/SUM('Overall recycling rates'!$H$60:$H$62)*('BTX Recycling HC'!L227+'BTX Recycling HC'!L254+'BTX Recycling HC'!L165+'BTX Recycling HC'!L120)-'Overall recycling rates'!$I$61/SUM('Overall recycling rates'!$I$60:$I$62)*('BTX Recycling HC'!L228+'BTX Recycling HC'!L255+'BTX Recycling HC'!L166+'BTX Recycling HC'!L121)</f>
        <v>2.2412843557535225</v>
      </c>
      <c r="AT102" s="44">
        <f>AT43-'Overall recycling rates'!$G$61/SUM('Overall recycling rates'!$G$60:$G$62)*('BTX Recycling HC'!M225+'BTX Recycling HC'!M252+'BTX Recycling HC'!M163+'BTX Recycling HC'!M118)-'Overall recycling rates'!$E$61/SUM('Overall recycling rates'!$E$60:$E$62)*('BTX Recycling HC'!M226+'BTX Recycling HC'!M253+'BTX Recycling HC'!M164+'BTX Recycling HC'!M119)-'Overall recycling rates'!$H$61/SUM('Overall recycling rates'!$H$60:$H$62)*('BTX Recycling HC'!M227+'BTX Recycling HC'!M254+'BTX Recycling HC'!M165+'BTX Recycling HC'!M120)-'Overall recycling rates'!$I$61/SUM('Overall recycling rates'!$I$60:$I$62)*('BTX Recycling HC'!M228+'BTX Recycling HC'!M255+'BTX Recycling HC'!M166+'BTX Recycling HC'!M121)</f>
        <v>2.1970753794850766</v>
      </c>
      <c r="AU102" s="44">
        <f>AU43-'Overall recycling rates'!$G$61/SUM('Overall recycling rates'!$G$60:$G$62)*('BTX Recycling HC'!N225+'BTX Recycling HC'!N252+'BTX Recycling HC'!N163+'BTX Recycling HC'!N118)-'Overall recycling rates'!$E$61/SUM('Overall recycling rates'!$E$60:$E$62)*('BTX Recycling HC'!N226+'BTX Recycling HC'!N253+'BTX Recycling HC'!N164+'BTX Recycling HC'!N119)-'Overall recycling rates'!$H$61/SUM('Overall recycling rates'!$H$60:$H$62)*('BTX Recycling HC'!N227+'BTX Recycling HC'!N254+'BTX Recycling HC'!N165+'BTX Recycling HC'!N120)-'Overall recycling rates'!$I$61/SUM('Overall recycling rates'!$I$60:$I$62)*('BTX Recycling HC'!N228+'BTX Recycling HC'!N255+'BTX Recycling HC'!N166+'BTX Recycling HC'!N121)</f>
        <v>2.1386736066906384</v>
      </c>
      <c r="AV102" s="44">
        <f>AV43-'Overall recycling rates'!$G$61/SUM('Overall recycling rates'!$G$60:$G$62)*('BTX Recycling HC'!O225+'BTX Recycling HC'!O252+'BTX Recycling HC'!O163+'BTX Recycling HC'!O118)-'Overall recycling rates'!$E$61/SUM('Overall recycling rates'!$E$60:$E$62)*('BTX Recycling HC'!O226+'BTX Recycling HC'!O253+'BTX Recycling HC'!O164+'BTX Recycling HC'!O119)-'Overall recycling rates'!$H$61/SUM('Overall recycling rates'!$H$60:$H$62)*('BTX Recycling HC'!O227+'BTX Recycling HC'!O254+'BTX Recycling HC'!O165+'BTX Recycling HC'!O120)-'Overall recycling rates'!$I$61/SUM('Overall recycling rates'!$I$60:$I$62)*('BTX Recycling HC'!O228+'BTX Recycling HC'!O255+'BTX Recycling HC'!O166+'BTX Recycling HC'!O121)</f>
        <v>2.0803690906547314</v>
      </c>
      <c r="AW102" s="44">
        <f>AW43-'Overall recycling rates'!$G$61/SUM('Overall recycling rates'!$G$60:$G$62)*('BTX Recycling HC'!P225+'BTX Recycling HC'!P252+'BTX Recycling HC'!P163+'BTX Recycling HC'!P118)-'Overall recycling rates'!$E$61/SUM('Overall recycling rates'!$E$60:$E$62)*('BTX Recycling HC'!P226+'BTX Recycling HC'!P253+'BTX Recycling HC'!P164+'BTX Recycling HC'!P119)-'Overall recycling rates'!$H$61/SUM('Overall recycling rates'!$H$60:$H$62)*('BTX Recycling HC'!P227+'BTX Recycling HC'!P254+'BTX Recycling HC'!P165+'BTX Recycling HC'!P120)-'Overall recycling rates'!$I$61/SUM('Overall recycling rates'!$I$60:$I$62)*('BTX Recycling HC'!P228+'BTX Recycling HC'!P255+'BTX Recycling HC'!P166+'BTX Recycling HC'!P121)</f>
        <v>2.0228281213352171</v>
      </c>
      <c r="AX102" s="44">
        <f>AX43-'Overall recycling rates'!$G$61/SUM('Overall recycling rates'!$G$60:$G$62)*('BTX Recycling HC'!Q225+'BTX Recycling HC'!Q252+'BTX Recycling HC'!Q163+'BTX Recycling HC'!Q118)-'Overall recycling rates'!$E$61/SUM('Overall recycling rates'!$E$60:$E$62)*('BTX Recycling HC'!Q226+'BTX Recycling HC'!Q253+'BTX Recycling HC'!Q164+'BTX Recycling HC'!Q119)-'Overall recycling rates'!$H$61/SUM('Overall recycling rates'!$H$60:$H$62)*('BTX Recycling HC'!Q227+'BTX Recycling HC'!Q254+'BTX Recycling HC'!Q165+'BTX Recycling HC'!Q120)-'Overall recycling rates'!$I$61/SUM('Overall recycling rates'!$I$60:$I$62)*('BTX Recycling HC'!Q228+'BTX Recycling HC'!Q255+'BTX Recycling HC'!Q166+'BTX Recycling HC'!Q121)</f>
        <v>1.9665926222106245</v>
      </c>
      <c r="AY102" s="44">
        <f>AY43-'Overall recycling rates'!$G$61/SUM('Overall recycling rates'!$G$60:$G$62)*('BTX Recycling HC'!R225+'BTX Recycling HC'!R252+'BTX Recycling HC'!R163+'BTX Recycling HC'!R118)-'Overall recycling rates'!$E$61/SUM('Overall recycling rates'!$E$60:$E$62)*('BTX Recycling HC'!R226+'BTX Recycling HC'!R253+'BTX Recycling HC'!R164+'BTX Recycling HC'!R119)-'Overall recycling rates'!$H$61/SUM('Overall recycling rates'!$H$60:$H$62)*('BTX Recycling HC'!R227+'BTX Recycling HC'!R254+'BTX Recycling HC'!R165+'BTX Recycling HC'!R120)-'Overall recycling rates'!$I$61/SUM('Overall recycling rates'!$I$60:$I$62)*('BTX Recycling HC'!R228+'BTX Recycling HC'!R255+'BTX Recycling HC'!R166+'BTX Recycling HC'!R121)</f>
        <v>1.9122754718502937</v>
      </c>
      <c r="AZ102" s="44">
        <f>AZ43-'Overall recycling rates'!$G$61/SUM('Overall recycling rates'!$G$60:$G$62)*('BTX Recycling HC'!S225+'BTX Recycling HC'!S252+'BTX Recycling HC'!S163+'BTX Recycling HC'!S118)-'Overall recycling rates'!$E$61/SUM('Overall recycling rates'!$E$60:$E$62)*('BTX Recycling HC'!S226+'BTX Recycling HC'!S253+'BTX Recycling HC'!S164+'BTX Recycling HC'!S119)-'Overall recycling rates'!$H$61/SUM('Overall recycling rates'!$H$60:$H$62)*('BTX Recycling HC'!S227+'BTX Recycling HC'!S254+'BTX Recycling HC'!S165+'BTX Recycling HC'!S120)-'Overall recycling rates'!$I$61/SUM('Overall recycling rates'!$I$60:$I$62)*('BTX Recycling HC'!S228+'BTX Recycling HC'!S255+'BTX Recycling HC'!S166+'BTX Recycling HC'!S121)</f>
        <v>1.8577063155354985</v>
      </c>
      <c r="BA102" s="44">
        <f>BA43-'Overall recycling rates'!$G$61/SUM('Overall recycling rates'!$G$60:$G$62)*('BTX Recycling HC'!T225+'BTX Recycling HC'!T252+'BTX Recycling HC'!T163+'BTX Recycling HC'!T118)-'Overall recycling rates'!$E$61/SUM('Overall recycling rates'!$E$60:$E$62)*('BTX Recycling HC'!T226+'BTX Recycling HC'!T253+'BTX Recycling HC'!T164+'BTX Recycling HC'!T119)-'Overall recycling rates'!$H$61/SUM('Overall recycling rates'!$H$60:$H$62)*('BTX Recycling HC'!T227+'BTX Recycling HC'!T254+'BTX Recycling HC'!T165+'BTX Recycling HC'!T120)-'Overall recycling rates'!$I$61/SUM('Overall recycling rates'!$I$60:$I$62)*('BTX Recycling HC'!T228+'BTX Recycling HC'!T255+'BTX Recycling HC'!T166+'BTX Recycling HC'!T121)</f>
        <v>1.804048009909883</v>
      </c>
      <c r="BB102" s="44">
        <f>BB43-'Overall recycling rates'!$G$61/SUM('Overall recycling rates'!$G$60:$G$62)*('BTX Recycling HC'!U225+'BTX Recycling HC'!U252+'BTX Recycling HC'!U163+'BTX Recycling HC'!U118)-'Overall recycling rates'!$E$61/SUM('Overall recycling rates'!$E$60:$E$62)*('BTX Recycling HC'!U226+'BTX Recycling HC'!U253+'BTX Recycling HC'!U164+'BTX Recycling HC'!U119)-'Overall recycling rates'!$H$61/SUM('Overall recycling rates'!$H$60:$H$62)*('BTX Recycling HC'!U227+'BTX Recycling HC'!U254+'BTX Recycling HC'!U165+'BTX Recycling HC'!U120)-'Overall recycling rates'!$I$61/SUM('Overall recycling rates'!$I$60:$I$62)*('BTX Recycling HC'!U228+'BTX Recycling HC'!U255+'BTX Recycling HC'!U166+'BTX Recycling HC'!U121)</f>
        <v>1.7516371480763198</v>
      </c>
      <c r="BC102" s="44">
        <f>BC43-'Overall recycling rates'!$G$61/SUM('Overall recycling rates'!$G$60:$G$62)*('BTX Recycling HC'!V225+'BTX Recycling HC'!V252+'BTX Recycling HC'!V163+'BTX Recycling HC'!V118)-'Overall recycling rates'!$E$61/SUM('Overall recycling rates'!$E$60:$E$62)*('BTX Recycling HC'!V226+'BTX Recycling HC'!V253+'BTX Recycling HC'!V164+'BTX Recycling HC'!V119)-'Overall recycling rates'!$H$61/SUM('Overall recycling rates'!$H$60:$H$62)*('BTX Recycling HC'!V227+'BTX Recycling HC'!V254+'BTX Recycling HC'!V165+'BTX Recycling HC'!V120)-'Overall recycling rates'!$I$61/SUM('Overall recycling rates'!$I$60:$I$62)*('BTX Recycling HC'!V228+'BTX Recycling HC'!V255+'BTX Recycling HC'!V166+'BTX Recycling HC'!V121)</f>
        <v>1.7008244615770352</v>
      </c>
      <c r="BD102" s="44">
        <f>BD43-'Overall recycling rates'!$G$61/SUM('Overall recycling rates'!$G$60:$G$62)*('BTX Recycling HC'!W225+'BTX Recycling HC'!W252+'BTX Recycling HC'!W163+'BTX Recycling HC'!W118)-'Overall recycling rates'!$E$61/SUM('Overall recycling rates'!$E$60:$E$62)*('BTX Recycling HC'!W226+'BTX Recycling HC'!W253+'BTX Recycling HC'!W164+'BTX Recycling HC'!W119)-'Overall recycling rates'!$H$61/SUM('Overall recycling rates'!$H$60:$H$62)*('BTX Recycling HC'!W227+'BTX Recycling HC'!W254+'BTX Recycling HC'!W165+'BTX Recycling HC'!W120)-'Overall recycling rates'!$I$61/SUM('Overall recycling rates'!$I$60:$I$62)*('BTX Recycling HC'!W228+'BTX Recycling HC'!W255+'BTX Recycling HC'!W166+'BTX Recycling HC'!W121)</f>
        <v>1.6519748438351447</v>
      </c>
      <c r="BE102" s="44">
        <f>BE43-'Overall recycling rates'!$G$61/SUM('Overall recycling rates'!$G$60:$G$62)*('BTX Recycling HC'!X225+'BTX Recycling HC'!X252+'BTX Recycling HC'!X163+'BTX Recycling HC'!X118)-'Overall recycling rates'!$E$61/SUM('Overall recycling rates'!$E$60:$E$62)*('BTX Recycling HC'!X226+'BTX Recycling HC'!X253+'BTX Recycling HC'!X164+'BTX Recycling HC'!X119)-'Overall recycling rates'!$H$61/SUM('Overall recycling rates'!$H$60:$H$62)*('BTX Recycling HC'!X227+'BTX Recycling HC'!X254+'BTX Recycling HC'!X165+'BTX Recycling HC'!X120)-'Overall recycling rates'!$I$61/SUM('Overall recycling rates'!$I$60:$I$62)*('BTX Recycling HC'!X228+'BTX Recycling HC'!X255+'BTX Recycling HC'!X166+'BTX Recycling HC'!X121)</f>
        <v>1.5776825385595341</v>
      </c>
      <c r="BF102" s="44">
        <f>BF43-'Overall recycling rates'!$G$61/SUM('Overall recycling rates'!$G$60:$G$62)*('BTX Recycling HC'!Y225+'BTX Recycling HC'!Y252+'BTX Recycling HC'!Y163+'BTX Recycling HC'!Y118)-'Overall recycling rates'!$E$61/SUM('Overall recycling rates'!$E$60:$E$62)*('BTX Recycling HC'!Y226+'BTX Recycling HC'!Y253+'BTX Recycling HC'!Y164+'BTX Recycling HC'!Y119)-'Overall recycling rates'!$H$61/SUM('Overall recycling rates'!$H$60:$H$62)*('BTX Recycling HC'!Y227+'BTX Recycling HC'!Y254+'BTX Recycling HC'!Y165+'BTX Recycling HC'!Y120)-'Overall recycling rates'!$I$61/SUM('Overall recycling rates'!$I$60:$I$62)*('BTX Recycling HC'!Y228+'BTX Recycling HC'!Y255+'BTX Recycling HC'!Y166+'BTX Recycling HC'!Y121)</f>
        <v>1.5064053255624517</v>
      </c>
      <c r="BG102" s="44">
        <f>BG43-'Overall recycling rates'!$G$61/SUM('Overall recycling rates'!$G$60:$G$62)*('BTX Recycling HC'!Z225+'BTX Recycling HC'!Z252+'BTX Recycling HC'!Z163+'BTX Recycling HC'!Z118)-'Overall recycling rates'!$E$61/SUM('Overall recycling rates'!$E$60:$E$62)*('BTX Recycling HC'!Z226+'BTX Recycling HC'!Z253+'BTX Recycling HC'!Z164+'BTX Recycling HC'!Z119)-'Overall recycling rates'!$H$61/SUM('Overall recycling rates'!$H$60:$H$62)*('BTX Recycling HC'!Z227+'BTX Recycling HC'!Z254+'BTX Recycling HC'!Z165+'BTX Recycling HC'!Z120)-'Overall recycling rates'!$I$61/SUM('Overall recycling rates'!$I$60:$I$62)*('BTX Recycling HC'!Z228+'BTX Recycling HC'!Z255+'BTX Recycling HC'!Z166+'BTX Recycling HC'!Z121)</f>
        <v>1.439145670256512</v>
      </c>
      <c r="BH102" s="44">
        <f>BH43-'Overall recycling rates'!$G$61/SUM('Overall recycling rates'!$G$60:$G$62)*('BTX Recycling HC'!AA225+'BTX Recycling HC'!AA252+'BTX Recycling HC'!AA163+'BTX Recycling HC'!AA118)-'Overall recycling rates'!$E$61/SUM('Overall recycling rates'!$E$60:$E$62)*('BTX Recycling HC'!AA226+'BTX Recycling HC'!AA253+'BTX Recycling HC'!AA164+'BTX Recycling HC'!AA119)-'Overall recycling rates'!$H$61/SUM('Overall recycling rates'!$H$60:$H$62)*('BTX Recycling HC'!AA227+'BTX Recycling HC'!AA254+'BTX Recycling HC'!AA165+'BTX Recycling HC'!AA120)-'Overall recycling rates'!$I$61/SUM('Overall recycling rates'!$I$60:$I$62)*('BTX Recycling HC'!AA228+'BTX Recycling HC'!AA255+'BTX Recycling HC'!AA166+'BTX Recycling HC'!AA121)</f>
        <v>1.3761836069751863</v>
      </c>
      <c r="BI102" s="44">
        <f>BI43-'Overall recycling rates'!$G$61/SUM('Overall recycling rates'!$G$60:$G$62)*('BTX Recycling HC'!AB225+'BTX Recycling HC'!AB252+'BTX Recycling HC'!AB163+'BTX Recycling HC'!AB118)-'Overall recycling rates'!$E$61/SUM('Overall recycling rates'!$E$60:$E$62)*('BTX Recycling HC'!AB226+'BTX Recycling HC'!AB253+'BTX Recycling HC'!AB164+'BTX Recycling HC'!AB119)-'Overall recycling rates'!$H$61/SUM('Overall recycling rates'!$H$60:$H$62)*('BTX Recycling HC'!AB227+'BTX Recycling HC'!AB254+'BTX Recycling HC'!AB165+'BTX Recycling HC'!AB120)-'Overall recycling rates'!$I$61/SUM('Overall recycling rates'!$I$60:$I$62)*('BTX Recycling HC'!AB228+'BTX Recycling HC'!AB255+'BTX Recycling HC'!AB166+'BTX Recycling HC'!AB121)</f>
        <v>1.318163535916606</v>
      </c>
      <c r="BJ102" s="44">
        <f>BJ43-'Overall recycling rates'!$G$61/SUM('Overall recycling rates'!$G$60:$G$62)*('BTX Recycling HC'!AC225+'BTX Recycling HC'!AC252+'BTX Recycling HC'!AC163+'BTX Recycling HC'!AC118)-'Overall recycling rates'!$E$61/SUM('Overall recycling rates'!$E$60:$E$62)*('BTX Recycling HC'!AC226+'BTX Recycling HC'!AC253+'BTX Recycling HC'!AC164+'BTX Recycling HC'!AC119)-'Overall recycling rates'!$H$61/SUM('Overall recycling rates'!$H$60:$H$62)*('BTX Recycling HC'!AC227+'BTX Recycling HC'!AC254+'BTX Recycling HC'!AC165+'BTX Recycling HC'!AC120)-'Overall recycling rates'!$I$61/SUM('Overall recycling rates'!$I$60:$I$62)*('BTX Recycling HC'!AC228+'BTX Recycling HC'!AC255+'BTX Recycling HC'!AC166+'BTX Recycling HC'!AC121)</f>
        <v>1.2672841770538228</v>
      </c>
      <c r="BK102" s="44">
        <f>BK43-'Overall recycling rates'!$G$61/SUM('Overall recycling rates'!$G$60:$G$62)*('BTX Recycling HC'!AD225+'BTX Recycling HC'!AD252+'BTX Recycling HC'!AD163+'BTX Recycling HC'!AD118)-'Overall recycling rates'!$E$61/SUM('Overall recycling rates'!$E$60:$E$62)*('BTX Recycling HC'!AD226+'BTX Recycling HC'!AD253+'BTX Recycling HC'!AD164+'BTX Recycling HC'!AD119)-'Overall recycling rates'!$H$61/SUM('Overall recycling rates'!$H$60:$H$62)*('BTX Recycling HC'!AD227+'BTX Recycling HC'!AD254+'BTX Recycling HC'!AD165+'BTX Recycling HC'!AD120)-'Overall recycling rates'!$I$61/SUM('Overall recycling rates'!$I$60:$I$62)*('BTX Recycling HC'!AD228+'BTX Recycling HC'!AD255+'BTX Recycling HC'!AD166+'BTX Recycling HC'!AD121)</f>
        <v>1.2229949233874464</v>
      </c>
      <c r="BL102" s="44">
        <f>BL43-'Overall recycling rates'!$G$61/SUM('Overall recycling rates'!$G$60:$G$62)*('BTX Recycling HC'!AE225+'BTX Recycling HC'!AE252+'BTX Recycling HC'!AE163+'BTX Recycling HC'!AE118)-'Overall recycling rates'!$E$61/SUM('Overall recycling rates'!$E$60:$E$62)*('BTX Recycling HC'!AE226+'BTX Recycling HC'!AE253+'BTX Recycling HC'!AE164+'BTX Recycling HC'!AE119)-'Overall recycling rates'!$H$61/SUM('Overall recycling rates'!$H$60:$H$62)*('BTX Recycling HC'!AE227+'BTX Recycling HC'!AE254+'BTX Recycling HC'!AE165+'BTX Recycling HC'!AE120)-'Overall recycling rates'!$I$61/SUM('Overall recycling rates'!$I$60:$I$62)*('BTX Recycling HC'!AE228+'BTX Recycling HC'!AE255+'BTX Recycling HC'!AE166+'BTX Recycling HC'!AE121)</f>
        <v>1.1860314056727936</v>
      </c>
      <c r="BM102" s="44">
        <f>BM43-'Overall recycling rates'!$G$61/SUM('Overall recycling rates'!$G$60:$G$62)*('BTX Recycling HC'!AF225+'BTX Recycling HC'!AF252+'BTX Recycling HC'!AF163+'BTX Recycling HC'!AF118)-'Overall recycling rates'!$E$61/SUM('Overall recycling rates'!$E$60:$E$62)*('BTX Recycling HC'!AF226+'BTX Recycling HC'!AF253+'BTX Recycling HC'!AF164+'BTX Recycling HC'!AF119)-'Overall recycling rates'!$H$61/SUM('Overall recycling rates'!$H$60:$H$62)*('BTX Recycling HC'!AF227+'BTX Recycling HC'!AF254+'BTX Recycling HC'!AF165+'BTX Recycling HC'!AF120)-'Overall recycling rates'!$I$61/SUM('Overall recycling rates'!$I$60:$I$62)*('BTX Recycling HC'!AF228+'BTX Recycling HC'!AF255+'BTX Recycling HC'!AF166+'BTX Recycling HC'!AF121)</f>
        <v>1.1571512805061428</v>
      </c>
      <c r="BN102" s="44">
        <f>BN43-'Overall recycling rates'!$G$61/SUM('Overall recycling rates'!$G$60:$G$62)*('BTX Recycling HC'!AG225+'BTX Recycling HC'!AG252+'BTX Recycling HC'!AG163+'BTX Recycling HC'!AG118)-'Overall recycling rates'!$E$61/SUM('Overall recycling rates'!$E$60:$E$62)*('BTX Recycling HC'!AG226+'BTX Recycling HC'!AG253+'BTX Recycling HC'!AG164+'BTX Recycling HC'!AG119)-'Overall recycling rates'!$H$61/SUM('Overall recycling rates'!$H$60:$H$62)*('BTX Recycling HC'!AG227+'BTX Recycling HC'!AG254+'BTX Recycling HC'!AG165+'BTX Recycling HC'!AG120)-'Overall recycling rates'!$I$61/SUM('Overall recycling rates'!$I$60:$I$62)*('BTX Recycling HC'!AG228+'BTX Recycling HC'!AG255+'BTX Recycling HC'!AG166+'BTX Recycling HC'!AG121)</f>
        <v>1.1371339861154395</v>
      </c>
    </row>
    <row r="103" spans="1:66" s="68" customFormat="1" outlineLevel="1" x14ac:dyDescent="0.2">
      <c r="A103" s="683"/>
      <c r="B103" s="62" t="s">
        <v>166</v>
      </c>
      <c r="C103" s="283" t="s">
        <v>153</v>
      </c>
      <c r="D103" s="284">
        <f>D44-'Overall recycling rates'!$G$62/SUM('Overall recycling rates'!$G$60:$G$62)*('BTX Recycling HC'!C225+'BTX Recycling HC'!C252+'BTX Recycling HC'!C163+'BTX Recycling HC'!C118)-'Overall recycling rates'!$E$62/SUM('Overall recycling rates'!$E$60:$E$62)*('BTX Recycling HC'!C226+'BTX Recycling HC'!C253+'BTX Recycling HC'!C164+'BTX Recycling HC'!C119)-'Overall recycling rates'!$H$62/SUM('Overall recycling rates'!$H$60:$H$62)*('BTX Recycling HC'!C227+'BTX Recycling HC'!C254+'BTX Recycling HC'!C165+'BTX Recycling HC'!C120)-'Overall recycling rates'!$I$62/SUM('Overall recycling rates'!$I$60:$I$62)*('BTX Recycling HC'!C228+'BTX Recycling HC'!C255+'BTX Recycling HC'!C166+'BTX Recycling HC'!C121)</f>
        <v>0.16910821079379051</v>
      </c>
      <c r="E103" s="284">
        <f>E44-'Overall recycling rates'!$G$62/SUM('Overall recycling rates'!$G$60:$G$62)*('BTX Recycling HC'!D225+'BTX Recycling HC'!D252+'BTX Recycling HC'!D163+'BTX Recycling HC'!D118)-'Overall recycling rates'!$E$62/SUM('Overall recycling rates'!$E$60:$E$62)*('BTX Recycling HC'!D226+'BTX Recycling HC'!D253+'BTX Recycling HC'!D164+'BTX Recycling HC'!D119)-'Overall recycling rates'!$H$62/SUM('Overall recycling rates'!$H$60:$H$62)*('BTX Recycling HC'!D227+'BTX Recycling HC'!D254+'BTX Recycling HC'!D165+'BTX Recycling HC'!D120)-'Overall recycling rates'!$I$62/SUM('Overall recycling rates'!$I$60:$I$62)*('BTX Recycling HC'!D228+'BTX Recycling HC'!D255+'BTX Recycling HC'!D166+'BTX Recycling HC'!D121)</f>
        <v>0.11416360673196148</v>
      </c>
      <c r="F103" s="284">
        <f>F44-'Overall recycling rates'!$G$62/SUM('Overall recycling rates'!$G$60:$G$62)*('BTX Recycling HC'!E225+'BTX Recycling HC'!E252+'BTX Recycling HC'!E163+'BTX Recycling HC'!E118)-'Overall recycling rates'!$E$62/SUM('Overall recycling rates'!$E$60:$E$62)*('BTX Recycling HC'!E226+'BTX Recycling HC'!E253+'BTX Recycling HC'!E164+'BTX Recycling HC'!E119)-'Overall recycling rates'!$H$62/SUM('Overall recycling rates'!$H$60:$H$62)*('BTX Recycling HC'!E227+'BTX Recycling HC'!E254+'BTX Recycling HC'!E165+'BTX Recycling HC'!E120)-'Overall recycling rates'!$I$62/SUM('Overall recycling rates'!$I$60:$I$62)*('BTX Recycling HC'!E228+'BTX Recycling HC'!E255+'BTX Recycling HC'!E166+'BTX Recycling HC'!E121)</f>
        <v>4.7794537174561169E-2</v>
      </c>
      <c r="G103" s="284">
        <f>G44-'Overall recycling rates'!$G$62/SUM('Overall recycling rates'!$G$60:$G$62)*('BTX Recycling HC'!F225+'BTX Recycling HC'!F252+'BTX Recycling HC'!F163+'BTX Recycling HC'!F118)-'Overall recycling rates'!$E$62/SUM('Overall recycling rates'!$E$60:$E$62)*('BTX Recycling HC'!F226+'BTX Recycling HC'!F253+'BTX Recycling HC'!F164+'BTX Recycling HC'!F119)-'Overall recycling rates'!$H$62/SUM('Overall recycling rates'!$H$60:$H$62)*('BTX Recycling HC'!F227+'BTX Recycling HC'!F254+'BTX Recycling HC'!F165+'BTX Recycling HC'!F120)-'Overall recycling rates'!$I$62/SUM('Overall recycling rates'!$I$60:$I$62)*('BTX Recycling HC'!F228+'BTX Recycling HC'!F255+'BTX Recycling HC'!F166+'BTX Recycling HC'!F121)</f>
        <v>-1.7115959846635047E-2</v>
      </c>
      <c r="H103" s="284">
        <f>H44-'Overall recycling rates'!$G$62/SUM('Overall recycling rates'!$G$60:$G$62)*('BTX Recycling HC'!G225+'BTX Recycling HC'!G252+'BTX Recycling HC'!G163+'BTX Recycling HC'!G118)-'Overall recycling rates'!$E$62/SUM('Overall recycling rates'!$E$60:$E$62)*('BTX Recycling HC'!G226+'BTX Recycling HC'!G253+'BTX Recycling HC'!G164+'BTX Recycling HC'!G119)-'Overall recycling rates'!$H$62/SUM('Overall recycling rates'!$H$60:$H$62)*('BTX Recycling HC'!G227+'BTX Recycling HC'!G254+'BTX Recycling HC'!G165+'BTX Recycling HC'!G120)-'Overall recycling rates'!$I$62/SUM('Overall recycling rates'!$I$60:$I$62)*('BTX Recycling HC'!G228+'BTX Recycling HC'!G255+'BTX Recycling HC'!G166+'BTX Recycling HC'!G121)</f>
        <v>-7.5243143932616816E-2</v>
      </c>
      <c r="I103" s="284">
        <f>I44-'Overall recycling rates'!$G$62/SUM('Overall recycling rates'!$G$60:$G$62)*('BTX Recycling HC'!H225+'BTX Recycling HC'!H252+'BTX Recycling HC'!H163+'BTX Recycling HC'!H118)-'Overall recycling rates'!$E$62/SUM('Overall recycling rates'!$E$60:$E$62)*('BTX Recycling HC'!H226+'BTX Recycling HC'!H253+'BTX Recycling HC'!H164+'BTX Recycling HC'!H119)-'Overall recycling rates'!$H$62/SUM('Overall recycling rates'!$H$60:$H$62)*('BTX Recycling HC'!H227+'BTX Recycling HC'!H254+'BTX Recycling HC'!H165+'BTX Recycling HC'!H120)-'Overall recycling rates'!$I$62/SUM('Overall recycling rates'!$I$60:$I$62)*('BTX Recycling HC'!H228+'BTX Recycling HC'!H255+'BTX Recycling HC'!H166+'BTX Recycling HC'!H121)</f>
        <v>-0.12619347967355954</v>
      </c>
      <c r="J103" s="284">
        <f>J44-'Overall recycling rates'!$G$62/SUM('Overall recycling rates'!$G$60:$G$62)*('BTX Recycling HC'!I225+'BTX Recycling HC'!I252+'BTX Recycling HC'!I163+'BTX Recycling HC'!I118)-'Overall recycling rates'!$E$62/SUM('Overall recycling rates'!$E$60:$E$62)*('BTX Recycling HC'!I226+'BTX Recycling HC'!I253+'BTX Recycling HC'!I164+'BTX Recycling HC'!I119)-'Overall recycling rates'!$H$62/SUM('Overall recycling rates'!$H$60:$H$62)*('BTX Recycling HC'!I227+'BTX Recycling HC'!I254+'BTX Recycling HC'!I165+'BTX Recycling HC'!I120)-'Overall recycling rates'!$I$62/SUM('Overall recycling rates'!$I$60:$I$62)*('BTX Recycling HC'!I228+'BTX Recycling HC'!I255+'BTX Recycling HC'!I166+'BTX Recycling HC'!I121)</f>
        <v>-0.16835677942252306</v>
      </c>
      <c r="K103" s="284">
        <f>K44-'Overall recycling rates'!$G$62/SUM('Overall recycling rates'!$G$60:$G$62)*('BTX Recycling HC'!J225+'BTX Recycling HC'!J252+'BTX Recycling HC'!J163+'BTX Recycling HC'!J118)-'Overall recycling rates'!$E$62/SUM('Overall recycling rates'!$E$60:$E$62)*('BTX Recycling HC'!J226+'BTX Recycling HC'!J253+'BTX Recycling HC'!J164+'BTX Recycling HC'!J119)-'Overall recycling rates'!$H$62/SUM('Overall recycling rates'!$H$60:$H$62)*('BTX Recycling HC'!J227+'BTX Recycling HC'!J254+'BTX Recycling HC'!J165+'BTX Recycling HC'!J120)-'Overall recycling rates'!$I$62/SUM('Overall recycling rates'!$I$60:$I$62)*('BTX Recycling HC'!J228+'BTX Recycling HC'!J255+'BTX Recycling HC'!J166+'BTX Recycling HC'!J121)</f>
        <v>-0.20613871305511369</v>
      </c>
      <c r="L103" s="284">
        <f>L44-'Overall recycling rates'!$G$62/SUM('Overall recycling rates'!$G$60:$G$62)*('BTX Recycling HC'!K225+'BTX Recycling HC'!K252+'BTX Recycling HC'!K163+'BTX Recycling HC'!K118)-'Overall recycling rates'!$E$62/SUM('Overall recycling rates'!$E$60:$E$62)*('BTX Recycling HC'!K226+'BTX Recycling HC'!K253+'BTX Recycling HC'!K164+'BTX Recycling HC'!K119)-'Overall recycling rates'!$H$62/SUM('Overall recycling rates'!$H$60:$H$62)*('BTX Recycling HC'!K227+'BTX Recycling HC'!K254+'BTX Recycling HC'!K165+'BTX Recycling HC'!K120)-'Overall recycling rates'!$I$62/SUM('Overall recycling rates'!$I$60:$I$62)*('BTX Recycling HC'!K228+'BTX Recycling HC'!K255+'BTX Recycling HC'!K166+'BTX Recycling HC'!K121)</f>
        <v>-0.23927437512847352</v>
      </c>
      <c r="M103" s="284">
        <f>M44-'Overall recycling rates'!$G$62/SUM('Overall recycling rates'!$G$60:$G$62)*('BTX Recycling HC'!L225+'BTX Recycling HC'!L252+'BTX Recycling HC'!L163+'BTX Recycling HC'!L118)-'Overall recycling rates'!$E$62/SUM('Overall recycling rates'!$E$60:$E$62)*('BTX Recycling HC'!L226+'BTX Recycling HC'!L253+'BTX Recycling HC'!L164+'BTX Recycling HC'!L119)-'Overall recycling rates'!$H$62/SUM('Overall recycling rates'!$H$60:$H$62)*('BTX Recycling HC'!L227+'BTX Recycling HC'!L254+'BTX Recycling HC'!L165+'BTX Recycling HC'!L120)-'Overall recycling rates'!$I$62/SUM('Overall recycling rates'!$I$60:$I$62)*('BTX Recycling HC'!L228+'BTX Recycling HC'!L255+'BTX Recycling HC'!L166+'BTX Recycling HC'!L121)</f>
        <v>-0.26749743745263316</v>
      </c>
      <c r="N103" s="284">
        <f>N44-'Overall recycling rates'!$G$62/SUM('Overall recycling rates'!$G$60:$G$62)*('BTX Recycling HC'!M225+'BTX Recycling HC'!M252+'BTX Recycling HC'!M163+'BTX Recycling HC'!M118)-'Overall recycling rates'!$E$62/SUM('Overall recycling rates'!$E$60:$E$62)*('BTX Recycling HC'!M226+'BTX Recycling HC'!M253+'BTX Recycling HC'!M164+'BTX Recycling HC'!M119)-'Overall recycling rates'!$H$62/SUM('Overall recycling rates'!$H$60:$H$62)*('BTX Recycling HC'!M227+'BTX Recycling HC'!M254+'BTX Recycling HC'!M165+'BTX Recycling HC'!M120)-'Overall recycling rates'!$I$62/SUM('Overall recycling rates'!$I$60:$I$62)*('BTX Recycling HC'!M228+'BTX Recycling HC'!M255+'BTX Recycling HC'!M166+'BTX Recycling HC'!M121)</f>
        <v>-0.29054053579598171</v>
      </c>
      <c r="O103" s="284">
        <f>O44-'Overall recycling rates'!$G$62/SUM('Overall recycling rates'!$G$60:$G$62)*('BTX Recycling HC'!N225+'BTX Recycling HC'!N252+'BTX Recycling HC'!N163+'BTX Recycling HC'!N118)-'Overall recycling rates'!$E$62/SUM('Overall recycling rates'!$E$60:$E$62)*('BTX Recycling HC'!N226+'BTX Recycling HC'!N253+'BTX Recycling HC'!N164+'BTX Recycling HC'!N119)-'Overall recycling rates'!$H$62/SUM('Overall recycling rates'!$H$60:$H$62)*('BTX Recycling HC'!N227+'BTX Recycling HC'!N254+'BTX Recycling HC'!N165+'BTX Recycling HC'!N120)-'Overall recycling rates'!$I$62/SUM('Overall recycling rates'!$I$60:$I$62)*('BTX Recycling HC'!N228+'BTX Recycling HC'!N255+'BTX Recycling HC'!N166+'BTX Recycling HC'!N121)</f>
        <v>-0.35250452602648041</v>
      </c>
      <c r="P103" s="284">
        <f>P44-'Overall recycling rates'!$G$62/SUM('Overall recycling rates'!$G$60:$G$62)*('BTX Recycling HC'!O225+'BTX Recycling HC'!O252+'BTX Recycling HC'!O163+'BTX Recycling HC'!O118)-'Overall recycling rates'!$E$62/SUM('Overall recycling rates'!$E$60:$E$62)*('BTX Recycling HC'!O226+'BTX Recycling HC'!O253+'BTX Recycling HC'!O164+'BTX Recycling HC'!O119)-'Overall recycling rates'!$H$62/SUM('Overall recycling rates'!$H$60:$H$62)*('BTX Recycling HC'!O227+'BTX Recycling HC'!O254+'BTX Recycling HC'!O165+'BTX Recycling HC'!O120)-'Overall recycling rates'!$I$62/SUM('Overall recycling rates'!$I$60:$I$62)*('BTX Recycling HC'!O228+'BTX Recycling HC'!O255+'BTX Recycling HC'!O166+'BTX Recycling HC'!O121)</f>
        <v>-0.39911115160888316</v>
      </c>
      <c r="Q103" s="284">
        <f>Q44-'Overall recycling rates'!$G$62/SUM('Overall recycling rates'!$G$60:$G$62)*('BTX Recycling HC'!P225+'BTX Recycling HC'!P252+'BTX Recycling HC'!P163+'BTX Recycling HC'!P118)-'Overall recycling rates'!$E$62/SUM('Overall recycling rates'!$E$60:$E$62)*('BTX Recycling HC'!P226+'BTX Recycling HC'!P253+'BTX Recycling HC'!P164+'BTX Recycling HC'!P119)-'Overall recycling rates'!$H$62/SUM('Overall recycling rates'!$H$60:$H$62)*('BTX Recycling HC'!P227+'BTX Recycling HC'!P254+'BTX Recycling HC'!P165+'BTX Recycling HC'!P120)-'Overall recycling rates'!$I$62/SUM('Overall recycling rates'!$I$60:$I$62)*('BTX Recycling HC'!P228+'BTX Recycling HC'!P255+'BTX Recycling HC'!P166+'BTX Recycling HC'!P121)</f>
        <v>-0.43010803839130052</v>
      </c>
      <c r="R103" s="284">
        <f>R44-'Overall recycling rates'!$G$62/SUM('Overall recycling rates'!$G$60:$G$62)*('BTX Recycling HC'!Q225+'BTX Recycling HC'!Q252+'BTX Recycling HC'!Q163+'BTX Recycling HC'!Q118)-'Overall recycling rates'!$E$62/SUM('Overall recycling rates'!$E$60:$E$62)*('BTX Recycling HC'!Q226+'BTX Recycling HC'!Q253+'BTX Recycling HC'!Q164+'BTX Recycling HC'!Q119)-'Overall recycling rates'!$H$62/SUM('Overall recycling rates'!$H$60:$H$62)*('BTX Recycling HC'!Q227+'BTX Recycling HC'!Q254+'BTX Recycling HC'!Q165+'BTX Recycling HC'!Q120)-'Overall recycling rates'!$I$62/SUM('Overall recycling rates'!$I$60:$I$62)*('BTX Recycling HC'!Q228+'BTX Recycling HC'!Q255+'BTX Recycling HC'!Q166+'BTX Recycling HC'!Q121)</f>
        <v>-0.44548522375513422</v>
      </c>
      <c r="S103" s="284">
        <f>S44-'Overall recycling rates'!$G$62/SUM('Overall recycling rates'!$G$60:$G$62)*('BTX Recycling HC'!R225+'BTX Recycling HC'!R252+'BTX Recycling HC'!R163+'BTX Recycling HC'!R118)-'Overall recycling rates'!$E$62/SUM('Overall recycling rates'!$E$60:$E$62)*('BTX Recycling HC'!R226+'BTX Recycling HC'!R253+'BTX Recycling HC'!R164+'BTX Recycling HC'!R119)-'Overall recycling rates'!$H$62/SUM('Overall recycling rates'!$H$60:$H$62)*('BTX Recycling HC'!R227+'BTX Recycling HC'!R254+'BTX Recycling HC'!R165+'BTX Recycling HC'!R120)-'Overall recycling rates'!$I$62/SUM('Overall recycling rates'!$I$60:$I$62)*('BTX Recycling HC'!R228+'BTX Recycling HC'!R255+'BTX Recycling HC'!R166+'BTX Recycling HC'!R121)</f>
        <v>-0.44536013467206448</v>
      </c>
      <c r="T103" s="284">
        <f>T44-'Overall recycling rates'!$G$62/SUM('Overall recycling rates'!$G$60:$G$62)*('BTX Recycling HC'!S225+'BTX Recycling HC'!S252+'BTX Recycling HC'!S163+'BTX Recycling HC'!S118)-'Overall recycling rates'!$E$62/SUM('Overall recycling rates'!$E$60:$E$62)*('BTX Recycling HC'!S226+'BTX Recycling HC'!S253+'BTX Recycling HC'!S164+'BTX Recycling HC'!S119)-'Overall recycling rates'!$H$62/SUM('Overall recycling rates'!$H$60:$H$62)*('BTX Recycling HC'!S227+'BTX Recycling HC'!S254+'BTX Recycling HC'!S165+'BTX Recycling HC'!S120)-'Overall recycling rates'!$I$62/SUM('Overall recycling rates'!$I$60:$I$62)*('BTX Recycling HC'!S228+'BTX Recycling HC'!S255+'BTX Recycling HC'!S166+'BTX Recycling HC'!S121)</f>
        <v>-0.44200227931051228</v>
      </c>
      <c r="U103" s="284">
        <f>U44-'Overall recycling rates'!$G$62/SUM('Overall recycling rates'!$G$60:$G$62)*('BTX Recycling HC'!T225+'BTX Recycling HC'!T252+'BTX Recycling HC'!T163+'BTX Recycling HC'!T118)-'Overall recycling rates'!$E$62/SUM('Overall recycling rates'!$E$60:$E$62)*('BTX Recycling HC'!T226+'BTX Recycling HC'!T253+'BTX Recycling HC'!T164+'BTX Recycling HC'!T119)-'Overall recycling rates'!$H$62/SUM('Overall recycling rates'!$H$60:$H$62)*('BTX Recycling HC'!T227+'BTX Recycling HC'!T254+'BTX Recycling HC'!T165+'BTX Recycling HC'!T120)-'Overall recycling rates'!$I$62/SUM('Overall recycling rates'!$I$60:$I$62)*('BTX Recycling HC'!T228+'BTX Recycling HC'!T255+'BTX Recycling HC'!T166+'BTX Recycling HC'!T121)</f>
        <v>-0.43013317640842036</v>
      </c>
      <c r="V103" s="284">
        <f>V44-'Overall recycling rates'!$G$62/SUM('Overall recycling rates'!$G$60:$G$62)*('BTX Recycling HC'!U225+'BTX Recycling HC'!U252+'BTX Recycling HC'!U163+'BTX Recycling HC'!U118)-'Overall recycling rates'!$E$62/SUM('Overall recycling rates'!$E$60:$E$62)*('BTX Recycling HC'!U226+'BTX Recycling HC'!U253+'BTX Recycling HC'!U164+'BTX Recycling HC'!U119)-'Overall recycling rates'!$H$62/SUM('Overall recycling rates'!$H$60:$H$62)*('BTX Recycling HC'!U227+'BTX Recycling HC'!U254+'BTX Recycling HC'!U165+'BTX Recycling HC'!U120)-'Overall recycling rates'!$I$62/SUM('Overall recycling rates'!$I$60:$I$62)*('BTX Recycling HC'!U228+'BTX Recycling HC'!U255+'BTX Recycling HC'!U166+'BTX Recycling HC'!U121)</f>
        <v>-0.41024661591431766</v>
      </c>
      <c r="W103" s="284">
        <f>W44-'Overall recycling rates'!$G$62/SUM('Overall recycling rates'!$G$60:$G$62)*('BTX Recycling HC'!V225+'BTX Recycling HC'!V252+'BTX Recycling HC'!V163+'BTX Recycling HC'!V118)-'Overall recycling rates'!$E$62/SUM('Overall recycling rates'!$E$60:$E$62)*('BTX Recycling HC'!V226+'BTX Recycling HC'!V253+'BTX Recycling HC'!V164+'BTX Recycling HC'!V119)-'Overall recycling rates'!$H$62/SUM('Overall recycling rates'!$H$60:$H$62)*('BTX Recycling HC'!V227+'BTX Recycling HC'!V254+'BTX Recycling HC'!V165+'BTX Recycling HC'!V120)-'Overall recycling rates'!$I$62/SUM('Overall recycling rates'!$I$60:$I$62)*('BTX Recycling HC'!V228+'BTX Recycling HC'!V255+'BTX Recycling HC'!V166+'BTX Recycling HC'!V121)</f>
        <v>-0.38286266194398993</v>
      </c>
      <c r="X103" s="284">
        <f>X44-'Overall recycling rates'!$G$62/SUM('Overall recycling rates'!$G$60:$G$62)*('BTX Recycling HC'!W225+'BTX Recycling HC'!W252+'BTX Recycling HC'!W163+'BTX Recycling HC'!W118)-'Overall recycling rates'!$E$62/SUM('Overall recycling rates'!$E$60:$E$62)*('BTX Recycling HC'!W226+'BTX Recycling HC'!W253+'BTX Recycling HC'!W164+'BTX Recycling HC'!W119)-'Overall recycling rates'!$H$62/SUM('Overall recycling rates'!$H$60:$H$62)*('BTX Recycling HC'!W227+'BTX Recycling HC'!W254+'BTX Recycling HC'!W165+'BTX Recycling HC'!W120)-'Overall recycling rates'!$I$62/SUM('Overall recycling rates'!$I$60:$I$62)*('BTX Recycling HC'!W228+'BTX Recycling HC'!W255+'BTX Recycling HC'!W166+'BTX Recycling HC'!W121)</f>
        <v>-0.34852742542324511</v>
      </c>
      <c r="Y103" s="284">
        <f>Y44-'Overall recycling rates'!$G$62/SUM('Overall recycling rates'!$G$60:$G$62)*('BTX Recycling HC'!X225+'BTX Recycling HC'!X252+'BTX Recycling HC'!X163+'BTX Recycling HC'!X118)-'Overall recycling rates'!$E$62/SUM('Overall recycling rates'!$E$60:$E$62)*('BTX Recycling HC'!X226+'BTX Recycling HC'!X253+'BTX Recycling HC'!X164+'BTX Recycling HC'!X119)-'Overall recycling rates'!$H$62/SUM('Overall recycling rates'!$H$60:$H$62)*('BTX Recycling HC'!X227+'BTX Recycling HC'!X254+'BTX Recycling HC'!X165+'BTX Recycling HC'!X120)-'Overall recycling rates'!$I$62/SUM('Overall recycling rates'!$I$60:$I$62)*('BTX Recycling HC'!X228+'BTX Recycling HC'!X255+'BTX Recycling HC'!X166+'BTX Recycling HC'!X121)</f>
        <v>-0.36550591377492464</v>
      </c>
      <c r="Z103" s="284">
        <f>Z44-'Overall recycling rates'!$G$62/SUM('Overall recycling rates'!$G$60:$G$62)*('BTX Recycling HC'!Y225+'BTX Recycling HC'!Y252+'BTX Recycling HC'!Y163+'BTX Recycling HC'!Y118)-'Overall recycling rates'!$E$62/SUM('Overall recycling rates'!$E$60:$E$62)*('BTX Recycling HC'!Y226+'BTX Recycling HC'!Y253+'BTX Recycling HC'!Y164+'BTX Recycling HC'!Y119)-'Overall recycling rates'!$H$62/SUM('Overall recycling rates'!$H$60:$H$62)*('BTX Recycling HC'!Y227+'BTX Recycling HC'!Y254+'BTX Recycling HC'!Y165+'BTX Recycling HC'!Y120)-'Overall recycling rates'!$I$62/SUM('Overall recycling rates'!$I$60:$I$62)*('BTX Recycling HC'!Y228+'BTX Recycling HC'!Y255+'BTX Recycling HC'!Y166+'BTX Recycling HC'!Y121)</f>
        <v>-0.37124469800113868</v>
      </c>
      <c r="AA103" s="284">
        <f>AA44-'Overall recycling rates'!$G$62/SUM('Overall recycling rates'!$G$60:$G$62)*('BTX Recycling HC'!Z225+'BTX Recycling HC'!Z252+'BTX Recycling HC'!Z163+'BTX Recycling HC'!Z118)-'Overall recycling rates'!$E$62/SUM('Overall recycling rates'!$E$60:$E$62)*('BTX Recycling HC'!Z226+'BTX Recycling HC'!Z253+'BTX Recycling HC'!Z164+'BTX Recycling HC'!Z119)-'Overall recycling rates'!$H$62/SUM('Overall recycling rates'!$H$60:$H$62)*('BTX Recycling HC'!Z227+'BTX Recycling HC'!Z254+'BTX Recycling HC'!Z165+'BTX Recycling HC'!Z120)-'Overall recycling rates'!$I$62/SUM('Overall recycling rates'!$I$60:$I$62)*('BTX Recycling HC'!Z228+'BTX Recycling HC'!Z255+'BTX Recycling HC'!Z166+'BTX Recycling HC'!Z121)</f>
        <v>-0.36643923897555974</v>
      </c>
      <c r="AB103" s="284">
        <f>AB44-'Overall recycling rates'!$G$62/SUM('Overall recycling rates'!$G$60:$G$62)*('BTX Recycling HC'!AA225+'BTX Recycling HC'!AA252+'BTX Recycling HC'!AA163+'BTX Recycling HC'!AA118)-'Overall recycling rates'!$E$62/SUM('Overall recycling rates'!$E$60:$E$62)*('BTX Recycling HC'!AA226+'BTX Recycling HC'!AA253+'BTX Recycling HC'!AA164+'BTX Recycling HC'!AA119)-'Overall recycling rates'!$H$62/SUM('Overall recycling rates'!$H$60:$H$62)*('BTX Recycling HC'!AA227+'BTX Recycling HC'!AA254+'BTX Recycling HC'!AA165+'BTX Recycling HC'!AA120)-'Overall recycling rates'!$I$62/SUM('Overall recycling rates'!$I$60:$I$62)*('BTX Recycling HC'!AA228+'BTX Recycling HC'!AA255+'BTX Recycling HC'!AA166+'BTX Recycling HC'!AA121)</f>
        <v>-0.35219126109307763</v>
      </c>
      <c r="AC103" s="284">
        <f>AC44-'Overall recycling rates'!$G$62/SUM('Overall recycling rates'!$G$60:$G$62)*('BTX Recycling HC'!AB225+'BTX Recycling HC'!AB252+'BTX Recycling HC'!AB163+'BTX Recycling HC'!AB118)-'Overall recycling rates'!$E$62/SUM('Overall recycling rates'!$E$60:$E$62)*('BTX Recycling HC'!AB226+'BTX Recycling HC'!AB253+'BTX Recycling HC'!AB164+'BTX Recycling HC'!AB119)-'Overall recycling rates'!$H$62/SUM('Overall recycling rates'!$H$60:$H$62)*('BTX Recycling HC'!AB227+'BTX Recycling HC'!AB254+'BTX Recycling HC'!AB165+'BTX Recycling HC'!AB120)-'Overall recycling rates'!$I$62/SUM('Overall recycling rates'!$I$60:$I$62)*('BTX Recycling HC'!AB228+'BTX Recycling HC'!AB255+'BTX Recycling HC'!AB166+'BTX Recycling HC'!AB121)</f>
        <v>-0.32947011503390788</v>
      </c>
      <c r="AD103" s="284">
        <f>AD44-'Overall recycling rates'!$G$62/SUM('Overall recycling rates'!$G$60:$G$62)*('BTX Recycling HC'!AC225+'BTX Recycling HC'!AC252+'BTX Recycling HC'!AC163+'BTX Recycling HC'!AC118)-'Overall recycling rates'!$E$62/SUM('Overall recycling rates'!$E$60:$E$62)*('BTX Recycling HC'!AC226+'BTX Recycling HC'!AC253+'BTX Recycling HC'!AC164+'BTX Recycling HC'!AC119)-'Overall recycling rates'!$H$62/SUM('Overall recycling rates'!$H$60:$H$62)*('BTX Recycling HC'!AC227+'BTX Recycling HC'!AC254+'BTX Recycling HC'!AC165+'BTX Recycling HC'!AC120)-'Overall recycling rates'!$I$62/SUM('Overall recycling rates'!$I$60:$I$62)*('BTX Recycling HC'!AC228+'BTX Recycling HC'!AC255+'BTX Recycling HC'!AC166+'BTX Recycling HC'!AC121)</f>
        <v>-0.28872622176696028</v>
      </c>
      <c r="AE103" s="284">
        <f>AE44-'Overall recycling rates'!$G$62/SUM('Overall recycling rates'!$G$60:$G$62)*('BTX Recycling HC'!AD225+'BTX Recycling HC'!AD252+'BTX Recycling HC'!AD163+'BTX Recycling HC'!AD118)-'Overall recycling rates'!$E$62/SUM('Overall recycling rates'!$E$60:$E$62)*('BTX Recycling HC'!AD226+'BTX Recycling HC'!AD253+'BTX Recycling HC'!AD164+'BTX Recycling HC'!AD119)-'Overall recycling rates'!$H$62/SUM('Overall recycling rates'!$H$60:$H$62)*('BTX Recycling HC'!AD227+'BTX Recycling HC'!AD254+'BTX Recycling HC'!AD165+'BTX Recycling HC'!AD120)-'Overall recycling rates'!$I$62/SUM('Overall recycling rates'!$I$60:$I$62)*('BTX Recycling HC'!AD228+'BTX Recycling HC'!AD255+'BTX Recycling HC'!AD166+'BTX Recycling HC'!AD121)</f>
        <v>-0.23945207625267628</v>
      </c>
      <c r="AF103" s="284">
        <f>AF44-'Overall recycling rates'!$G$62/SUM('Overall recycling rates'!$G$60:$G$62)*('BTX Recycling HC'!AE225+'BTX Recycling HC'!AE252+'BTX Recycling HC'!AE163+'BTX Recycling HC'!AE118)-'Overall recycling rates'!$E$62/SUM('Overall recycling rates'!$E$60:$E$62)*('BTX Recycling HC'!AE226+'BTX Recycling HC'!AE253+'BTX Recycling HC'!AE164+'BTX Recycling HC'!AE119)-'Overall recycling rates'!$H$62/SUM('Overall recycling rates'!$H$60:$H$62)*('BTX Recycling HC'!AE227+'BTX Recycling HC'!AE254+'BTX Recycling HC'!AE165+'BTX Recycling HC'!AE120)-'Overall recycling rates'!$I$62/SUM('Overall recycling rates'!$I$60:$I$62)*('BTX Recycling HC'!AE228+'BTX Recycling HC'!AE255+'BTX Recycling HC'!AE166+'BTX Recycling HC'!AE121)</f>
        <v>-0.18252531275910372</v>
      </c>
      <c r="AG103" s="284">
        <f>AG44-'Overall recycling rates'!$G$62/SUM('Overall recycling rates'!$G$60:$G$62)*('BTX Recycling HC'!AF225+'BTX Recycling HC'!AF252+'BTX Recycling HC'!AF163+'BTX Recycling HC'!AF118)-'Overall recycling rates'!$E$62/SUM('Overall recycling rates'!$E$60:$E$62)*('BTX Recycling HC'!AF226+'BTX Recycling HC'!AF253+'BTX Recycling HC'!AF164+'BTX Recycling HC'!AF119)-'Overall recycling rates'!$H$62/SUM('Overall recycling rates'!$H$60:$H$62)*('BTX Recycling HC'!AF227+'BTX Recycling HC'!AF254+'BTX Recycling HC'!AF165+'BTX Recycling HC'!AF120)-'Overall recycling rates'!$I$62/SUM('Overall recycling rates'!$I$60:$I$62)*('BTX Recycling HC'!AF228+'BTX Recycling HC'!AF255+'BTX Recycling HC'!AF166+'BTX Recycling HC'!AF121)</f>
        <v>-0.11885033258979028</v>
      </c>
      <c r="AH103" s="284">
        <f>AH44-'Overall recycling rates'!$G$62/SUM('Overall recycling rates'!$G$60:$G$62)*('BTX Recycling HC'!AG225+'BTX Recycling HC'!AG252+'BTX Recycling HC'!AG163+'BTX Recycling HC'!AG118)-'Overall recycling rates'!$E$62/SUM('Overall recycling rates'!$E$60:$E$62)*('BTX Recycling HC'!AG226+'BTX Recycling HC'!AG253+'BTX Recycling HC'!AG164+'BTX Recycling HC'!AG119)-'Overall recycling rates'!$H$62/SUM('Overall recycling rates'!$H$60:$H$62)*('BTX Recycling HC'!AG227+'BTX Recycling HC'!AG254+'BTX Recycling HC'!AG165+'BTX Recycling HC'!AG120)-'Overall recycling rates'!$I$62/SUM('Overall recycling rates'!$I$60:$I$62)*('BTX Recycling HC'!AG228+'BTX Recycling HC'!AG255+'BTX Recycling HC'!AG166+'BTX Recycling HC'!AG121)</f>
        <v>-4.9357518034360393E-2</v>
      </c>
      <c r="AJ103" s="284">
        <f>AJ44-'Overall recycling rates'!$G$62/SUM('Overall recycling rates'!$G$60:$G$62)*('BTX Recycling HC'!C225+'BTX Recycling HC'!C252+'BTX Recycling HC'!C163+'BTX Recycling HC'!C118)-'Overall recycling rates'!$E$62/SUM('Overall recycling rates'!$E$60:$E$62)*('BTX Recycling HC'!C226+'BTX Recycling HC'!C253+'BTX Recycling HC'!C164+'BTX Recycling HC'!C119)-'Overall recycling rates'!$H$62/SUM('Overall recycling rates'!$H$60:$H$62)*('BTX Recycling HC'!C227+'BTX Recycling HC'!C254+'BTX Recycling HC'!C165+'BTX Recycling HC'!C120)-'Overall recycling rates'!$I$62/SUM('Overall recycling rates'!$I$60:$I$62)*('BTX Recycling HC'!C228+'BTX Recycling HC'!C255+'BTX Recycling HC'!C166+'BTX Recycling HC'!C121)</f>
        <v>0.16910821079379051</v>
      </c>
      <c r="AK103" s="284">
        <f>AK44-'Overall recycling rates'!$G$62/SUM('Overall recycling rates'!$G$60:$G$62)*('BTX Recycling HC'!D225+'BTX Recycling HC'!D252+'BTX Recycling HC'!D163+'BTX Recycling HC'!D118)-'Overall recycling rates'!$E$62/SUM('Overall recycling rates'!$E$60:$E$62)*('BTX Recycling HC'!D226+'BTX Recycling HC'!D253+'BTX Recycling HC'!D164+'BTX Recycling HC'!D119)-'Overall recycling rates'!$H$62/SUM('Overall recycling rates'!$H$60:$H$62)*('BTX Recycling HC'!D227+'BTX Recycling HC'!D254+'BTX Recycling HC'!D165+'BTX Recycling HC'!D120)-'Overall recycling rates'!$I$62/SUM('Overall recycling rates'!$I$60:$I$62)*('BTX Recycling HC'!D228+'BTX Recycling HC'!D255+'BTX Recycling HC'!D166+'BTX Recycling HC'!D121)</f>
        <v>0.11653066612169009</v>
      </c>
      <c r="AL103" s="284">
        <f>AL44-'Overall recycling rates'!$G$62/SUM('Overall recycling rates'!$G$60:$G$62)*('BTX Recycling HC'!E225+'BTX Recycling HC'!E252+'BTX Recycling HC'!E163+'BTX Recycling HC'!E118)-'Overall recycling rates'!$E$62/SUM('Overall recycling rates'!$E$60:$E$62)*('BTX Recycling HC'!E226+'BTX Recycling HC'!E253+'BTX Recycling HC'!E164+'BTX Recycling HC'!E119)-'Overall recycling rates'!$H$62/SUM('Overall recycling rates'!$H$60:$H$62)*('BTX Recycling HC'!E227+'BTX Recycling HC'!E254+'BTX Recycling HC'!E165+'BTX Recycling HC'!E120)-'Overall recycling rates'!$I$62/SUM('Overall recycling rates'!$I$60:$I$62)*('BTX Recycling HC'!E228+'BTX Recycling HC'!E255+'BTX Recycling HC'!E166+'BTX Recycling HC'!E121)</f>
        <v>5.2580519899060291E-2</v>
      </c>
      <c r="AM103" s="284">
        <f>AM44-'Overall recycling rates'!$G$62/SUM('Overall recycling rates'!$G$60:$G$62)*('BTX Recycling HC'!F225+'BTX Recycling HC'!F252+'BTX Recycling HC'!F163+'BTX Recycling HC'!F118)-'Overall recycling rates'!$E$62/SUM('Overall recycling rates'!$E$60:$E$62)*('BTX Recycling HC'!F226+'BTX Recycling HC'!F253+'BTX Recycling HC'!F164+'BTX Recycling HC'!F119)-'Overall recycling rates'!$H$62/SUM('Overall recycling rates'!$H$60:$H$62)*('BTX Recycling HC'!F227+'BTX Recycling HC'!F254+'BTX Recycling HC'!F165+'BTX Recycling HC'!F120)-'Overall recycling rates'!$I$62/SUM('Overall recycling rates'!$I$60:$I$62)*('BTX Recycling HC'!F228+'BTX Recycling HC'!F255+'BTX Recycling HC'!F166+'BTX Recycling HC'!F121)</f>
        <v>-9.8583375605406573E-3</v>
      </c>
      <c r="AN103" s="284">
        <f>AN44-'Overall recycling rates'!$G$62/SUM('Overall recycling rates'!$G$60:$G$62)*('BTX Recycling HC'!G225+'BTX Recycling HC'!G252+'BTX Recycling HC'!G163+'BTX Recycling HC'!G118)-'Overall recycling rates'!$E$62/SUM('Overall recycling rates'!$E$60:$E$62)*('BTX Recycling HC'!G226+'BTX Recycling HC'!G253+'BTX Recycling HC'!G164+'BTX Recycling HC'!G119)-'Overall recycling rates'!$H$62/SUM('Overall recycling rates'!$H$60:$H$62)*('BTX Recycling HC'!G227+'BTX Recycling HC'!G254+'BTX Recycling HC'!G165+'BTX Recycling HC'!G120)-'Overall recycling rates'!$I$62/SUM('Overall recycling rates'!$I$60:$I$62)*('BTX Recycling HC'!G228+'BTX Recycling HC'!G255+'BTX Recycling HC'!G166+'BTX Recycling HC'!G121)</f>
        <v>-6.5460301126922069E-2</v>
      </c>
      <c r="AO103" s="284">
        <f>AO44-'Overall recycling rates'!$G$62/SUM('Overall recycling rates'!$G$60:$G$62)*('BTX Recycling HC'!H225+'BTX Recycling HC'!H252+'BTX Recycling HC'!H163+'BTX Recycling HC'!H118)-'Overall recycling rates'!$E$62/SUM('Overall recycling rates'!$E$60:$E$62)*('BTX Recycling HC'!H226+'BTX Recycling HC'!H253+'BTX Recycling HC'!H164+'BTX Recycling HC'!H119)-'Overall recycling rates'!$H$62/SUM('Overall recycling rates'!$H$60:$H$62)*('BTX Recycling HC'!H227+'BTX Recycling HC'!H254+'BTX Recycling HC'!H165+'BTX Recycling HC'!H120)-'Overall recycling rates'!$I$62/SUM('Overall recycling rates'!$I$60:$I$62)*('BTX Recycling HC'!H228+'BTX Recycling HC'!H255+'BTX Recycling HC'!H166+'BTX Recycling HC'!H121)</f>
        <v>-0.11383095803919682</v>
      </c>
      <c r="AP103" s="284">
        <f>AP44-'Overall recycling rates'!$G$62/SUM('Overall recycling rates'!$G$60:$G$62)*('BTX Recycling HC'!I225+'BTX Recycling HC'!I252+'BTX Recycling HC'!I163+'BTX Recycling HC'!I118)-'Overall recycling rates'!$E$62/SUM('Overall recycling rates'!$E$60:$E$62)*('BTX Recycling HC'!I226+'BTX Recycling HC'!I253+'BTX Recycling HC'!I164+'BTX Recycling HC'!I119)-'Overall recycling rates'!$H$62/SUM('Overall recycling rates'!$H$60:$H$62)*('BTX Recycling HC'!I227+'BTX Recycling HC'!I254+'BTX Recycling HC'!I165+'BTX Recycling HC'!I120)-'Overall recycling rates'!$I$62/SUM('Overall recycling rates'!$I$60:$I$62)*('BTX Recycling HC'!I228+'BTX Recycling HC'!I255+'BTX Recycling HC'!I166+'BTX Recycling HC'!I121)</f>
        <v>-0.15335923050675429</v>
      </c>
      <c r="AQ103" s="284">
        <f>AQ44-'Overall recycling rates'!$G$62/SUM('Overall recycling rates'!$G$60:$G$62)*('BTX Recycling HC'!J225+'BTX Recycling HC'!J252+'BTX Recycling HC'!J163+'BTX Recycling HC'!J118)-'Overall recycling rates'!$E$62/SUM('Overall recycling rates'!$E$60:$E$62)*('BTX Recycling HC'!J226+'BTX Recycling HC'!J253+'BTX Recycling HC'!J164+'BTX Recycling HC'!J119)-'Overall recycling rates'!$H$62/SUM('Overall recycling rates'!$H$60:$H$62)*('BTX Recycling HC'!J227+'BTX Recycling HC'!J254+'BTX Recycling HC'!J165+'BTX Recycling HC'!J120)-'Overall recycling rates'!$I$62/SUM('Overall recycling rates'!$I$60:$I$62)*('BTX Recycling HC'!J228+'BTX Recycling HC'!J255+'BTX Recycling HC'!J166+'BTX Recycling HC'!J121)</f>
        <v>-0.18844988529392706</v>
      </c>
      <c r="AR103" s="284">
        <f>AR44-'Overall recycling rates'!$G$62/SUM('Overall recycling rates'!$G$60:$G$62)*('BTX Recycling HC'!K225+'BTX Recycling HC'!K252+'BTX Recycling HC'!K163+'BTX Recycling HC'!K118)-'Overall recycling rates'!$E$62/SUM('Overall recycling rates'!$E$60:$E$62)*('BTX Recycling HC'!K226+'BTX Recycling HC'!K253+'BTX Recycling HC'!K164+'BTX Recycling HC'!K119)-'Overall recycling rates'!$H$62/SUM('Overall recycling rates'!$H$60:$H$62)*('BTX Recycling HC'!K227+'BTX Recycling HC'!K254+'BTX Recycling HC'!K165+'BTX Recycling HC'!K120)-'Overall recycling rates'!$I$62/SUM('Overall recycling rates'!$I$60:$I$62)*('BTX Recycling HC'!K228+'BTX Recycling HC'!K255+'BTX Recycling HC'!K166+'BTX Recycling HC'!K121)</f>
        <v>-0.21883710070168544</v>
      </c>
      <c r="AS103" s="284">
        <f>AS44-'Overall recycling rates'!$G$62/SUM('Overall recycling rates'!$G$60:$G$62)*('BTX Recycling HC'!L225+'BTX Recycling HC'!L252+'BTX Recycling HC'!L163+'BTX Recycling HC'!L118)-'Overall recycling rates'!$E$62/SUM('Overall recycling rates'!$E$60:$E$62)*('BTX Recycling HC'!L226+'BTX Recycling HC'!L253+'BTX Recycling HC'!L164+'BTX Recycling HC'!L119)-'Overall recycling rates'!$H$62/SUM('Overall recycling rates'!$H$60:$H$62)*('BTX Recycling HC'!L227+'BTX Recycling HC'!L254+'BTX Recycling HC'!L165+'BTX Recycling HC'!L120)-'Overall recycling rates'!$I$62/SUM('Overall recycling rates'!$I$60:$I$62)*('BTX Recycling HC'!L228+'BTX Recycling HC'!L255+'BTX Recycling HC'!L166+'BTX Recycling HC'!L121)</f>
        <v>-0.24425361895936751</v>
      </c>
      <c r="AT103" s="284">
        <f>AT44-'Overall recycling rates'!$G$62/SUM('Overall recycling rates'!$G$60:$G$62)*('BTX Recycling HC'!M225+'BTX Recycling HC'!M252+'BTX Recycling HC'!M163+'BTX Recycling HC'!M118)-'Overall recycling rates'!$E$62/SUM('Overall recycling rates'!$E$60:$E$62)*('BTX Recycling HC'!M226+'BTX Recycling HC'!M253+'BTX Recycling HC'!M164+'BTX Recycling HC'!M119)-'Overall recycling rates'!$H$62/SUM('Overall recycling rates'!$H$60:$H$62)*('BTX Recycling HC'!M227+'BTX Recycling HC'!M254+'BTX Recycling HC'!M165+'BTX Recycling HC'!M120)-'Overall recycling rates'!$I$62/SUM('Overall recycling rates'!$I$60:$I$62)*('BTX Recycling HC'!M228+'BTX Recycling HC'!M255+'BTX Recycling HC'!M166+'BTX Recycling HC'!M121)</f>
        <v>-0.26443113274816815</v>
      </c>
      <c r="AU103" s="284">
        <f>AU44-'Overall recycling rates'!$G$62/SUM('Overall recycling rates'!$G$60:$G$62)*('BTX Recycling HC'!N225+'BTX Recycling HC'!N252+'BTX Recycling HC'!N163+'BTX Recycling HC'!N118)-'Overall recycling rates'!$E$62/SUM('Overall recycling rates'!$E$60:$E$62)*('BTX Recycling HC'!N226+'BTX Recycling HC'!N253+'BTX Recycling HC'!N164+'BTX Recycling HC'!N119)-'Overall recycling rates'!$H$62/SUM('Overall recycling rates'!$H$60:$H$62)*('BTX Recycling HC'!N227+'BTX Recycling HC'!N254+'BTX Recycling HC'!N165+'BTX Recycling HC'!N120)-'Overall recycling rates'!$I$62/SUM('Overall recycling rates'!$I$60:$I$62)*('BTX Recycling HC'!N228+'BTX Recycling HC'!N255+'BTX Recycling HC'!N166+'BTX Recycling HC'!N121)</f>
        <v>-0.3234695411579841</v>
      </c>
      <c r="AV103" s="284">
        <f>AV44-'Overall recycling rates'!$G$62/SUM('Overall recycling rates'!$G$60:$G$62)*('BTX Recycling HC'!O225+'BTX Recycling HC'!O252+'BTX Recycling HC'!O163+'BTX Recycling HC'!O118)-'Overall recycling rates'!$E$62/SUM('Overall recycling rates'!$E$60:$E$62)*('BTX Recycling HC'!O226+'BTX Recycling HC'!O253+'BTX Recycling HC'!O164+'BTX Recycling HC'!O119)-'Overall recycling rates'!$H$62/SUM('Overall recycling rates'!$H$60:$H$62)*('BTX Recycling HC'!O227+'BTX Recycling HC'!O254+'BTX Recycling HC'!O165+'BTX Recycling HC'!O120)-'Overall recycling rates'!$I$62/SUM('Overall recycling rates'!$I$60:$I$62)*('BTX Recycling HC'!O228+'BTX Recycling HC'!O255+'BTX Recycling HC'!O166+'BTX Recycling HC'!O121)</f>
        <v>-0.36708961699784654</v>
      </c>
      <c r="AW103" s="284">
        <f>AW44-'Overall recycling rates'!$G$62/SUM('Overall recycling rates'!$G$60:$G$62)*('BTX Recycling HC'!P225+'BTX Recycling HC'!P252+'BTX Recycling HC'!P163+'BTX Recycling HC'!P118)-'Overall recycling rates'!$E$62/SUM('Overall recycling rates'!$E$60:$E$62)*('BTX Recycling HC'!P226+'BTX Recycling HC'!P253+'BTX Recycling HC'!P164+'BTX Recycling HC'!P119)-'Overall recycling rates'!$H$62/SUM('Overall recycling rates'!$H$60:$H$62)*('BTX Recycling HC'!P227+'BTX Recycling HC'!P254+'BTX Recycling HC'!P165+'BTX Recycling HC'!P120)-'Overall recycling rates'!$I$62/SUM('Overall recycling rates'!$I$60:$I$62)*('BTX Recycling HC'!P228+'BTX Recycling HC'!P255+'BTX Recycling HC'!P166+'BTX Recycling HC'!P121)</f>
        <v>-0.39503800139324824</v>
      </c>
      <c r="AX103" s="284">
        <f>AX44-'Overall recycling rates'!$G$62/SUM('Overall recycling rates'!$G$60:$G$62)*('BTX Recycling HC'!Q225+'BTX Recycling HC'!Q252+'BTX Recycling HC'!Q163+'BTX Recycling HC'!Q118)-'Overall recycling rates'!$E$62/SUM('Overall recycling rates'!$E$60:$E$62)*('BTX Recycling HC'!Q226+'BTX Recycling HC'!Q253+'BTX Recycling HC'!Q164+'BTX Recycling HC'!Q119)-'Overall recycling rates'!$H$62/SUM('Overall recycling rates'!$H$60:$H$62)*('BTX Recycling HC'!Q227+'BTX Recycling HC'!Q254+'BTX Recycling HC'!Q165+'BTX Recycling HC'!Q120)-'Overall recycling rates'!$I$62/SUM('Overall recycling rates'!$I$60:$I$62)*('BTX Recycling HC'!Q228+'BTX Recycling HC'!Q255+'BTX Recycling HC'!Q166+'BTX Recycling HC'!Q121)</f>
        <v>-0.40730373274436038</v>
      </c>
      <c r="AY103" s="284">
        <f>AY44-'Overall recycling rates'!$G$62/SUM('Overall recycling rates'!$G$60:$G$62)*('BTX Recycling HC'!R225+'BTX Recycling HC'!R252+'BTX Recycling HC'!R163+'BTX Recycling HC'!R118)-'Overall recycling rates'!$E$62/SUM('Overall recycling rates'!$E$60:$E$62)*('BTX Recycling HC'!R226+'BTX Recycling HC'!R253+'BTX Recycling HC'!R164+'BTX Recycling HC'!R119)-'Overall recycling rates'!$H$62/SUM('Overall recycling rates'!$H$60:$H$62)*('BTX Recycling HC'!R227+'BTX Recycling HC'!R254+'BTX Recycling HC'!R165+'BTX Recycling HC'!R120)-'Overall recycling rates'!$I$62/SUM('Overall recycling rates'!$I$60:$I$62)*('BTX Recycling HC'!R228+'BTX Recycling HC'!R255+'BTX Recycling HC'!R166+'BTX Recycling HC'!R121)</f>
        <v>-0.40400322458878962</v>
      </c>
      <c r="AZ103" s="284">
        <f>AZ44-'Overall recycling rates'!$G$62/SUM('Overall recycling rates'!$G$60:$G$62)*('BTX Recycling HC'!S225+'BTX Recycling HC'!S252+'BTX Recycling HC'!S163+'BTX Recycling HC'!S118)-'Overall recycling rates'!$E$62/SUM('Overall recycling rates'!$E$60:$E$62)*('BTX Recycling HC'!S226+'BTX Recycling HC'!S253+'BTX Recycling HC'!S164+'BTX Recycling HC'!S119)-'Overall recycling rates'!$H$62/SUM('Overall recycling rates'!$H$60:$H$62)*('BTX Recycling HC'!S227+'BTX Recycling HC'!S254+'BTX Recycling HC'!S165+'BTX Recycling HC'!S120)-'Overall recycling rates'!$I$62/SUM('Overall recycling rates'!$I$60:$I$62)*('BTX Recycling HC'!S228+'BTX Recycling HC'!S255+'BTX Recycling HC'!S166+'BTX Recycling HC'!S121)</f>
        <v>-0.39740495701126594</v>
      </c>
      <c r="BA103" s="284">
        <f>BA44-'Overall recycling rates'!$G$62/SUM('Overall recycling rates'!$G$60:$G$62)*('BTX Recycling HC'!T225+'BTX Recycling HC'!T252+'BTX Recycling HC'!T163+'BTX Recycling HC'!T118)-'Overall recycling rates'!$E$62/SUM('Overall recycling rates'!$E$60:$E$62)*('BTX Recycling HC'!T226+'BTX Recycling HC'!T253+'BTX Recycling HC'!T164+'BTX Recycling HC'!T119)-'Overall recycling rates'!$H$62/SUM('Overall recycling rates'!$H$60:$H$62)*('BTX Recycling HC'!T227+'BTX Recycling HC'!T254+'BTX Recycling HC'!T165+'BTX Recycling HC'!T120)-'Overall recycling rates'!$I$62/SUM('Overall recycling rates'!$I$60:$I$62)*('BTX Recycling HC'!T228+'BTX Recycling HC'!T255+'BTX Recycling HC'!T166+'BTX Recycling HC'!T121)</f>
        <v>-0.38222940581707249</v>
      </c>
      <c r="BB103" s="284">
        <f>BB44-'Overall recycling rates'!$G$62/SUM('Overall recycling rates'!$G$60:$G$62)*('BTX Recycling HC'!U225+'BTX Recycling HC'!U252+'BTX Recycling HC'!U163+'BTX Recycling HC'!U118)-'Overall recycling rates'!$E$62/SUM('Overall recycling rates'!$E$60:$E$62)*('BTX Recycling HC'!U226+'BTX Recycling HC'!U253+'BTX Recycling HC'!U164+'BTX Recycling HC'!U119)-'Overall recycling rates'!$H$62/SUM('Overall recycling rates'!$H$60:$H$62)*('BTX Recycling HC'!U227+'BTX Recycling HC'!U254+'BTX Recycling HC'!U165+'BTX Recycling HC'!U120)-'Overall recycling rates'!$I$62/SUM('Overall recycling rates'!$I$60:$I$62)*('BTX Recycling HC'!U228+'BTX Recycling HC'!U255+'BTX Recycling HC'!U166+'BTX Recycling HC'!U121)</f>
        <v>-0.3589693029711486</v>
      </c>
      <c r="BC103" s="284">
        <f>BC44-'Overall recycling rates'!$G$62/SUM('Overall recycling rates'!$G$60:$G$62)*('BTX Recycling HC'!V225+'BTX Recycling HC'!V252+'BTX Recycling HC'!V163+'BTX Recycling HC'!V118)-'Overall recycling rates'!$E$62/SUM('Overall recycling rates'!$E$60:$E$62)*('BTX Recycling HC'!V226+'BTX Recycling HC'!V253+'BTX Recycling HC'!V164+'BTX Recycling HC'!V119)-'Overall recycling rates'!$H$62/SUM('Overall recycling rates'!$H$60:$H$62)*('BTX Recycling HC'!V227+'BTX Recycling HC'!V254+'BTX Recycling HC'!V165+'BTX Recycling HC'!V120)-'Overall recycling rates'!$I$62/SUM('Overall recycling rates'!$I$60:$I$62)*('BTX Recycling HC'!V228+'BTX Recycling HC'!V255+'BTX Recycling HC'!V166+'BTX Recycling HC'!V121)</f>
        <v>-0.32814363935015672</v>
      </c>
      <c r="BD103" s="284">
        <f>BD44-'Overall recycling rates'!$G$62/SUM('Overall recycling rates'!$G$60:$G$62)*('BTX Recycling HC'!W225+'BTX Recycling HC'!W252+'BTX Recycling HC'!W163+'BTX Recycling HC'!W118)-'Overall recycling rates'!$E$62/SUM('Overall recycling rates'!$E$60:$E$62)*('BTX Recycling HC'!W226+'BTX Recycling HC'!W253+'BTX Recycling HC'!W164+'BTX Recycling HC'!W119)-'Overall recycling rates'!$H$62/SUM('Overall recycling rates'!$H$60:$H$62)*('BTX Recycling HC'!W227+'BTX Recycling HC'!W254+'BTX Recycling HC'!W165+'BTX Recycling HC'!W120)-'Overall recycling rates'!$I$62/SUM('Overall recycling rates'!$I$60:$I$62)*('BTX Recycling HC'!W228+'BTX Recycling HC'!W255+'BTX Recycling HC'!W166+'BTX Recycling HC'!W121)</f>
        <v>-0.29029743717796708</v>
      </c>
      <c r="BE103" s="284">
        <f>BE44-'Overall recycling rates'!$G$62/SUM('Overall recycling rates'!$G$60:$G$62)*('BTX Recycling HC'!X225+'BTX Recycling HC'!X252+'BTX Recycling HC'!X163+'BTX Recycling HC'!X118)-'Overall recycling rates'!$E$62/SUM('Overall recycling rates'!$E$60:$E$62)*('BTX Recycling HC'!X226+'BTX Recycling HC'!X253+'BTX Recycling HC'!X164+'BTX Recycling HC'!X119)-'Overall recycling rates'!$H$62/SUM('Overall recycling rates'!$H$60:$H$62)*('BTX Recycling HC'!X227+'BTX Recycling HC'!X254+'BTX Recycling HC'!X165+'BTX Recycling HC'!X120)-'Overall recycling rates'!$I$62/SUM('Overall recycling rates'!$I$60:$I$62)*('BTX Recycling HC'!X228+'BTX Recycling HC'!X255+'BTX Recycling HC'!X166+'BTX Recycling HC'!X121)</f>
        <v>-0.30360540568698902</v>
      </c>
      <c r="BF103" s="284">
        <f>BF44-'Overall recycling rates'!$G$62/SUM('Overall recycling rates'!$G$60:$G$62)*('BTX Recycling HC'!Y225+'BTX Recycling HC'!Y252+'BTX Recycling HC'!Y163+'BTX Recycling HC'!Y118)-'Overall recycling rates'!$E$62/SUM('Overall recycling rates'!$E$60:$E$62)*('BTX Recycling HC'!Y226+'BTX Recycling HC'!Y253+'BTX Recycling HC'!Y164+'BTX Recycling HC'!Y119)-'Overall recycling rates'!$H$62/SUM('Overall recycling rates'!$H$60:$H$62)*('BTX Recycling HC'!Y227+'BTX Recycling HC'!Y254+'BTX Recycling HC'!Y165+'BTX Recycling HC'!Y120)-'Overall recycling rates'!$I$62/SUM('Overall recycling rates'!$I$60:$I$62)*('BTX Recycling HC'!Y228+'BTX Recycling HC'!Y255+'BTX Recycling HC'!Y166+'BTX Recycling HC'!Y121)</f>
        <v>-0.30560023513516271</v>
      </c>
      <c r="BG103" s="284">
        <f>BG44-'Overall recycling rates'!$G$62/SUM('Overall recycling rates'!$G$60:$G$62)*('BTX Recycling HC'!Z225+'BTX Recycling HC'!Z252+'BTX Recycling HC'!Z163+'BTX Recycling HC'!Z118)-'Overall recycling rates'!$E$62/SUM('Overall recycling rates'!$E$60:$E$62)*('BTX Recycling HC'!Z226+'BTX Recycling HC'!Z253+'BTX Recycling HC'!Z164+'BTX Recycling HC'!Z119)-'Overall recycling rates'!$H$62/SUM('Overall recycling rates'!$H$60:$H$62)*('BTX Recycling HC'!Z227+'BTX Recycling HC'!Z254+'BTX Recycling HC'!Z165+'BTX Recycling HC'!Z120)-'Overall recycling rates'!$I$62/SUM('Overall recycling rates'!$I$60:$I$62)*('BTX Recycling HC'!Z228+'BTX Recycling HC'!Z255+'BTX Recycling HC'!Z166+'BTX Recycling HC'!Z121)</f>
        <v>-0.29697621791975204</v>
      </c>
      <c r="BH103" s="284">
        <f>BH44-'Overall recycling rates'!$G$62/SUM('Overall recycling rates'!$G$60:$G$62)*('BTX Recycling HC'!AA225+'BTX Recycling HC'!AA252+'BTX Recycling HC'!AA163+'BTX Recycling HC'!AA118)-'Overall recycling rates'!$E$62/SUM('Overall recycling rates'!$E$60:$E$62)*('BTX Recycling HC'!AA226+'BTX Recycling HC'!AA253+'BTX Recycling HC'!AA164+'BTX Recycling HC'!AA119)-'Overall recycling rates'!$H$62/SUM('Overall recycling rates'!$H$60:$H$62)*('BTX Recycling HC'!AA227+'BTX Recycling HC'!AA254+'BTX Recycling HC'!AA165+'BTX Recycling HC'!AA120)-'Overall recycling rates'!$I$62/SUM('Overall recycling rates'!$I$60:$I$62)*('BTX Recycling HC'!AA228+'BTX Recycling HC'!AA255+'BTX Recycling HC'!AA166+'BTX Recycling HC'!AA121)</f>
        <v>-0.27883389317073826</v>
      </c>
      <c r="BI103" s="284">
        <f>BI44-'Overall recycling rates'!$G$62/SUM('Overall recycling rates'!$G$60:$G$62)*('BTX Recycling HC'!AB225+'BTX Recycling HC'!AB252+'BTX Recycling HC'!AB163+'BTX Recycling HC'!AB118)-'Overall recycling rates'!$E$62/SUM('Overall recycling rates'!$E$60:$E$62)*('BTX Recycling HC'!AB226+'BTX Recycling HC'!AB253+'BTX Recycling HC'!AB164+'BTX Recycling HC'!AB119)-'Overall recycling rates'!$H$62/SUM('Overall recycling rates'!$H$60:$H$62)*('BTX Recycling HC'!AB227+'BTX Recycling HC'!AB254+'BTX Recycling HC'!AB165+'BTX Recycling HC'!AB120)-'Overall recycling rates'!$I$62/SUM('Overall recycling rates'!$I$60:$I$62)*('BTX Recycling HC'!AB228+'BTX Recycling HC'!AB255+'BTX Recycling HC'!AB166+'BTX Recycling HC'!AB121)</f>
        <v>-0.25214140928732021</v>
      </c>
      <c r="BJ103" s="284">
        <f>BJ44-'Overall recycling rates'!$G$62/SUM('Overall recycling rates'!$G$60:$G$62)*('BTX Recycling HC'!AC225+'BTX Recycling HC'!AC252+'BTX Recycling HC'!AC163+'BTX Recycling HC'!AC118)-'Overall recycling rates'!$E$62/SUM('Overall recycling rates'!$E$60:$E$62)*('BTX Recycling HC'!AC226+'BTX Recycling HC'!AC253+'BTX Recycling HC'!AC164+'BTX Recycling HC'!AC119)-'Overall recycling rates'!$H$62/SUM('Overall recycling rates'!$H$60:$H$62)*('BTX Recycling HC'!AC227+'BTX Recycling HC'!AC254+'BTX Recycling HC'!AC165+'BTX Recycling HC'!AC120)-'Overall recycling rates'!$I$62/SUM('Overall recycling rates'!$I$60:$I$62)*('BTX Recycling HC'!AC228+'BTX Recycling HC'!AC255+'BTX Recycling HC'!AC166+'BTX Recycling HC'!AC121)</f>
        <v>-0.20734796771070352</v>
      </c>
      <c r="BK103" s="284">
        <f>BK44-'Overall recycling rates'!$G$62/SUM('Overall recycling rates'!$G$60:$G$62)*('BTX Recycling HC'!AD225+'BTX Recycling HC'!AD252+'BTX Recycling HC'!AD163+'BTX Recycling HC'!AD118)-'Overall recycling rates'!$E$62/SUM('Overall recycling rates'!$E$60:$E$62)*('BTX Recycling HC'!AD226+'BTX Recycling HC'!AD253+'BTX Recycling HC'!AD164+'BTX Recycling HC'!AD119)-'Overall recycling rates'!$H$62/SUM('Overall recycling rates'!$H$60:$H$62)*('BTX Recycling HC'!AD227+'BTX Recycling HC'!AD254+'BTX Recycling HC'!AD165+'BTX Recycling HC'!AD120)-'Overall recycling rates'!$I$62/SUM('Overall recycling rates'!$I$60:$I$62)*('BTX Recycling HC'!AD228+'BTX Recycling HC'!AD255+'BTX Recycling HC'!AD166+'BTX Recycling HC'!AD121)</f>
        <v>-0.1539448263933485</v>
      </c>
      <c r="BL103" s="284">
        <f>BL44-'Overall recycling rates'!$G$62/SUM('Overall recycling rates'!$G$60:$G$62)*('BTX Recycling HC'!AE225+'BTX Recycling HC'!AE252+'BTX Recycling HC'!AE163+'BTX Recycling HC'!AE118)-'Overall recycling rates'!$E$62/SUM('Overall recycling rates'!$E$60:$E$62)*('BTX Recycling HC'!AE226+'BTX Recycling HC'!AE253+'BTX Recycling HC'!AE164+'BTX Recycling HC'!AE119)-'Overall recycling rates'!$H$62/SUM('Overall recycling rates'!$H$60:$H$62)*('BTX Recycling HC'!AE227+'BTX Recycling HC'!AE254+'BTX Recycling HC'!AE165+'BTX Recycling HC'!AE120)-'Overall recycling rates'!$I$62/SUM('Overall recycling rates'!$I$60:$I$62)*('BTX Recycling HC'!AE228+'BTX Recycling HC'!AE255+'BTX Recycling HC'!AE166+'BTX Recycling HC'!AE121)</f>
        <v>-9.2808364878406491E-2</v>
      </c>
      <c r="BM103" s="284">
        <f>BM44-'Overall recycling rates'!$G$62/SUM('Overall recycling rates'!$G$60:$G$62)*('BTX Recycling HC'!AF225+'BTX Recycling HC'!AF252+'BTX Recycling HC'!AF163+'BTX Recycling HC'!AF118)-'Overall recycling rates'!$E$62/SUM('Overall recycling rates'!$E$60:$E$62)*('BTX Recycling HC'!AF226+'BTX Recycling HC'!AF253+'BTX Recycling HC'!AF164+'BTX Recycling HC'!AF119)-'Overall recycling rates'!$H$62/SUM('Overall recycling rates'!$H$60:$H$62)*('BTX Recycling HC'!AF227+'BTX Recycling HC'!AF254+'BTX Recycling HC'!AF165+'BTX Recycling HC'!AF120)-'Overall recycling rates'!$I$62/SUM('Overall recycling rates'!$I$60:$I$62)*('BTX Recycling HC'!AF228+'BTX Recycling HC'!AF255+'BTX Recycling HC'!AF166+'BTX Recycling HC'!AF121)</f>
        <v>-2.4841711787889187E-2</v>
      </c>
      <c r="BN103" s="284">
        <f>BN44-'Overall recycling rates'!$G$62/SUM('Overall recycling rates'!$G$60:$G$62)*('BTX Recycling HC'!AG225+'BTX Recycling HC'!AG252+'BTX Recycling HC'!AG163+'BTX Recycling HC'!AG118)-'Overall recycling rates'!$E$62/SUM('Overall recycling rates'!$E$60:$E$62)*('BTX Recycling HC'!AG226+'BTX Recycling HC'!AG253+'BTX Recycling HC'!AG164+'BTX Recycling HC'!AG119)-'Overall recycling rates'!$H$62/SUM('Overall recycling rates'!$H$60:$H$62)*('BTX Recycling HC'!AG227+'BTX Recycling HC'!AG254+'BTX Recycling HC'!AG165+'BTX Recycling HC'!AG120)-'Overall recycling rates'!$I$62/SUM('Overall recycling rates'!$I$60:$I$62)*('BTX Recycling HC'!AG228+'BTX Recycling HC'!AG255+'BTX Recycling HC'!AG166+'BTX Recycling HC'!AG121)</f>
        <v>4.902604146960543E-2</v>
      </c>
    </row>
    <row r="104" spans="1:66" outlineLevel="1" x14ac:dyDescent="0.2">
      <c r="A104" s="178" t="s">
        <v>225</v>
      </c>
      <c r="B104" s="242" t="s">
        <v>197</v>
      </c>
      <c r="C104" s="243" t="s">
        <v>153</v>
      </c>
      <c r="D104" s="180">
        <f>D57+D63</f>
        <v>31.171306671622546</v>
      </c>
      <c r="E104" s="180">
        <f t="shared" ref="E104:AH104" si="97">E57+E63</f>
        <v>32.95872930783213</v>
      </c>
      <c r="F104" s="180">
        <f t="shared" si="97"/>
        <v>34.68796356506823</v>
      </c>
      <c r="G104" s="180">
        <f t="shared" si="97"/>
        <v>36.451843520626731</v>
      </c>
      <c r="H104" s="180">
        <f t="shared" si="97"/>
        <v>38.25086546437759</v>
      </c>
      <c r="I104" s="180">
        <f t="shared" si="97"/>
        <v>40.085535239758769</v>
      </c>
      <c r="J104" s="180">
        <f t="shared" si="97"/>
        <v>40.928462476050612</v>
      </c>
      <c r="K104" s="180">
        <f t="shared" si="97"/>
        <v>41.7806781866351</v>
      </c>
      <c r="L104" s="180">
        <f t="shared" si="97"/>
        <v>42.642309849545299</v>
      </c>
      <c r="M104" s="180">
        <f t="shared" si="97"/>
        <v>43.513499375666264</v>
      </c>
      <c r="N104" s="180">
        <f t="shared" si="97"/>
        <v>44.394404953702661</v>
      </c>
      <c r="O104" s="180">
        <f t="shared" si="97"/>
        <v>44.417839572251012</v>
      </c>
      <c r="P104" s="180">
        <f t="shared" si="97"/>
        <v>44.441381285912748</v>
      </c>
      <c r="Q104" s="180">
        <f t="shared" si="97"/>
        <v>44.465290136678846</v>
      </c>
      <c r="R104" s="180">
        <f t="shared" si="97"/>
        <v>44.489856948573248</v>
      </c>
      <c r="S104" s="180">
        <f t="shared" si="97"/>
        <v>44.515406593798176</v>
      </c>
      <c r="T104" s="180">
        <f t="shared" si="97"/>
        <v>44.482853919493422</v>
      </c>
      <c r="U104" s="180">
        <f t="shared" si="97"/>
        <v>44.451813199387253</v>
      </c>
      <c r="V104" s="180">
        <f t="shared" si="97"/>
        <v>44.422743852985285</v>
      </c>
      <c r="W104" s="180">
        <f t="shared" si="97"/>
        <v>44.396156508415423</v>
      </c>
      <c r="X104" s="180">
        <f t="shared" si="97"/>
        <v>44.372618396416989</v>
      </c>
      <c r="Y104" s="180">
        <f t="shared" si="97"/>
        <v>43.616179072756317</v>
      </c>
      <c r="Z104" s="180">
        <f t="shared" si="97"/>
        <v>42.866079113432441</v>
      </c>
      <c r="AA104" s="180">
        <f t="shared" si="97"/>
        <v>42.123221581999879</v>
      </c>
      <c r="AB104" s="180">
        <f t="shared" si="97"/>
        <v>41.388596214764021</v>
      </c>
      <c r="AC104" s="180">
        <f t="shared" si="97"/>
        <v>40.663288346850798</v>
      </c>
      <c r="AD104" s="180">
        <f t="shared" si="97"/>
        <v>39.775698772662118</v>
      </c>
      <c r="AE104" s="180">
        <f t="shared" si="97"/>
        <v>38.901682427291938</v>
      </c>
      <c r="AF104" s="180">
        <f t="shared" si="97"/>
        <v>38.042696640041356</v>
      </c>
      <c r="AG104" s="180">
        <f t="shared" si="97"/>
        <v>37.200340604265847</v>
      </c>
      <c r="AH104" s="180">
        <f t="shared" si="97"/>
        <v>36.376370085944892</v>
      </c>
      <c r="AI104" s="180"/>
      <c r="AJ104" s="180">
        <f>AJ57+AJ63</f>
        <v>31.171306671622546</v>
      </c>
      <c r="AK104" s="180">
        <f t="shared" ref="AK104:BN104" si="98">AK57+AK63</f>
        <v>33.067876635941417</v>
      </c>
      <c r="AL104" s="180">
        <f t="shared" si="98"/>
        <v>34.91921192027074</v>
      </c>
      <c r="AM104" s="180">
        <f t="shared" si="98"/>
        <v>36.81874674265049</v>
      </c>
      <c r="AN104" s="180">
        <f t="shared" si="98"/>
        <v>38.767598917109339</v>
      </c>
      <c r="AO104" s="180">
        <f t="shared" si="98"/>
        <v>40.76691787278574</v>
      </c>
      <c r="AP104" s="180">
        <f t="shared" si="98"/>
        <v>41.768787838396008</v>
      </c>
      <c r="AQ104" s="180">
        <f t="shared" si="98"/>
        <v>42.788051635920354</v>
      </c>
      <c r="AR104" s="180">
        <f t="shared" si="98"/>
        <v>43.825084163334537</v>
      </c>
      <c r="AS104" s="180">
        <f t="shared" si="98"/>
        <v>44.880280846598694</v>
      </c>
      <c r="AT104" s="180">
        <f t="shared" si="98"/>
        <v>45.95405961852164</v>
      </c>
      <c r="AU104" s="180">
        <f t="shared" si="98"/>
        <v>46.145549506231369</v>
      </c>
      <c r="AV104" s="180">
        <f t="shared" si="98"/>
        <v>46.339418267170444</v>
      </c>
      <c r="AW104" s="180">
        <f t="shared" si="98"/>
        <v>46.53594448154707</v>
      </c>
      <c r="AX104" s="180">
        <f t="shared" si="98"/>
        <v>46.735437545429789</v>
      </c>
      <c r="AY104" s="180">
        <f t="shared" si="98"/>
        <v>46.938240934515434</v>
      </c>
      <c r="AZ104" s="180">
        <f t="shared" si="98"/>
        <v>47.081778694542848</v>
      </c>
      <c r="BA104" s="180">
        <f t="shared" si="98"/>
        <v>47.228684059483335</v>
      </c>
      <c r="BB104" s="180">
        <f t="shared" si="98"/>
        <v>47.379421641504997</v>
      </c>
      <c r="BC104" s="180">
        <f t="shared" si="98"/>
        <v>47.534507033664042</v>
      </c>
      <c r="BD104" s="180">
        <f t="shared" si="98"/>
        <v>47.69451219730815</v>
      </c>
      <c r="BE104" s="180">
        <f t="shared" si="98"/>
        <v>47.070010439070181</v>
      </c>
      <c r="BF104" s="180">
        <f t="shared" si="98"/>
        <v>46.44724625336287</v>
      </c>
      <c r="BG104" s="180">
        <f t="shared" si="98"/>
        <v>45.827005970028772</v>
      </c>
      <c r="BH104" s="180">
        <f t="shared" si="98"/>
        <v>45.210160688169374</v>
      </c>
      <c r="BI104" s="180">
        <f t="shared" si="98"/>
        <v>44.597675175287669</v>
      </c>
      <c r="BJ104" s="180">
        <f t="shared" si="98"/>
        <v>43.79978000192019</v>
      </c>
      <c r="BK104" s="180">
        <f t="shared" si="98"/>
        <v>43.008714319098424</v>
      </c>
      <c r="BL104" s="180">
        <f t="shared" si="98"/>
        <v>42.225794874741844</v>
      </c>
      <c r="BM104" s="180">
        <f t="shared" si="98"/>
        <v>41.452478150090229</v>
      </c>
      <c r="BN104" s="180">
        <f t="shared" si="98"/>
        <v>40.690375039034507</v>
      </c>
    </row>
    <row r="105" spans="1:66" outlineLevel="1" x14ac:dyDescent="0.2">
      <c r="A105" s="178"/>
      <c r="B105" s="181" t="s">
        <v>217</v>
      </c>
      <c r="C105" s="176" t="s">
        <v>153</v>
      </c>
      <c r="D105" s="238">
        <f>'BTX Recycling HC'!C268</f>
        <v>0</v>
      </c>
      <c r="E105" s="238">
        <f>'BTX Recycling HC'!D268</f>
        <v>7.4875470925794274E-2</v>
      </c>
      <c r="F105" s="238">
        <f>'BTX Recycling HC'!E268</f>
        <v>0.150881856199644</v>
      </c>
      <c r="G105" s="238">
        <f>'BTX Recycling HC'!F268</f>
        <v>0.22757634017961259</v>
      </c>
      <c r="H105" s="238">
        <f>'BTX Recycling HC'!G268</f>
        <v>0.30448885236267176</v>
      </c>
      <c r="I105" s="238">
        <f>'BTX Recycling HC'!H268</f>
        <v>0.38112671371263052</v>
      </c>
      <c r="J105" s="238">
        <f>'BTX Recycling HC'!I268</f>
        <v>0.45078521091067791</v>
      </c>
      <c r="K105" s="238">
        <f>'BTX Recycling HC'!J268</f>
        <v>0.52156536628084582</v>
      </c>
      <c r="L105" s="238">
        <f>'BTX Recycling HC'!K268</f>
        <v>0.59339717038448081</v>
      </c>
      <c r="M105" s="238">
        <f>'BTX Recycling HC'!L268</f>
        <v>0.66620670974421847</v>
      </c>
      <c r="N105" s="238">
        <f>'BTX Recycling HC'!M268</f>
        <v>0.73991625291872587</v>
      </c>
      <c r="O105" s="238">
        <f>'BTX Recycling HC'!N268</f>
        <v>0.87031193950825936</v>
      </c>
      <c r="P105" s="238">
        <f>'BTX Recycling HC'!O268</f>
        <v>0.99974331281452289</v>
      </c>
      <c r="Q105" s="238">
        <f>'BTX Recycling HC'!P268</f>
        <v>1.1274801184916154</v>
      </c>
      <c r="R105" s="238">
        <f>'BTX Recycling HC'!Q268</f>
        <v>1.2527878478804522</v>
      </c>
      <c r="S105" s="238">
        <f>'BTX Recycling HC'!R268</f>
        <v>1.3749346702518053</v>
      </c>
      <c r="T105" s="238">
        <f>'BTX Recycling HC'!S268</f>
        <v>1.4975695781184815</v>
      </c>
      <c r="U105" s="238">
        <f>'BTX Recycling HC'!T268</f>
        <v>1.6206363125630792</v>
      </c>
      <c r="V105" s="238">
        <f>'BTX Recycling HC'!U268</f>
        <v>1.744077602027033</v>
      </c>
      <c r="W105" s="238">
        <f>'BTX Recycling HC'!V268</f>
        <v>1.8678351895709446</v>
      </c>
      <c r="X105" s="238">
        <f>'BTX Recycling HC'!W268</f>
        <v>1.9918498613090261</v>
      </c>
      <c r="Y105" s="238">
        <f>'BTX Recycling HC'!X268</f>
        <v>2.1943278185937638</v>
      </c>
      <c r="Z105" s="238">
        <f>'BTX Recycling HC'!Y268</f>
        <v>2.3973850620779378</v>
      </c>
      <c r="AA105" s="238">
        <f>'BTX Recycling HC'!Z268</f>
        <v>2.6009290613198068</v>
      </c>
      <c r="AB105" s="238">
        <f>'BTX Recycling HC'!AA268</f>
        <v>2.8048658314926893</v>
      </c>
      <c r="AC105" s="238">
        <f>'BTX Recycling HC'!AB268</f>
        <v>3.0090999762714512</v>
      </c>
      <c r="AD105" s="238">
        <f>'BTX Recycling HC'!AC268</f>
        <v>3.2126111949157021</v>
      </c>
      <c r="AE105" s="238">
        <f>'BTX Recycling HC'!AD268</f>
        <v>3.4161593805605612</v>
      </c>
      <c r="AF105" s="238">
        <f>'BTX Recycling HC'!AE268</f>
        <v>3.6196484237613369</v>
      </c>
      <c r="AG105" s="238">
        <f>'BTX Recycling HC'!AF268</f>
        <v>3.8229810013367658</v>
      </c>
      <c r="AH105" s="238">
        <f>'BTX Recycling HC'!AG268</f>
        <v>4.0260586193398513</v>
      </c>
      <c r="AJ105" s="238">
        <f>D105</f>
        <v>0</v>
      </c>
      <c r="AK105" s="238">
        <f t="shared" ref="AK105:AZ107" si="99">E105</f>
        <v>7.4875470925794274E-2</v>
      </c>
      <c r="AL105" s="238">
        <f t="shared" si="99"/>
        <v>0.150881856199644</v>
      </c>
      <c r="AM105" s="238">
        <f t="shared" si="99"/>
        <v>0.22757634017961259</v>
      </c>
      <c r="AN105" s="238">
        <f t="shared" si="99"/>
        <v>0.30448885236267176</v>
      </c>
      <c r="AO105" s="238">
        <f t="shared" si="99"/>
        <v>0.38112671371263052</v>
      </c>
      <c r="AP105" s="238">
        <f t="shared" si="99"/>
        <v>0.45078521091067791</v>
      </c>
      <c r="AQ105" s="238">
        <f t="shared" si="99"/>
        <v>0.52156536628084582</v>
      </c>
      <c r="AR105" s="238">
        <f t="shared" si="99"/>
        <v>0.59339717038448081</v>
      </c>
      <c r="AS105" s="238">
        <f t="shared" si="99"/>
        <v>0.66620670974421847</v>
      </c>
      <c r="AT105" s="238">
        <f t="shared" si="99"/>
        <v>0.73991625291872587</v>
      </c>
      <c r="AU105" s="238">
        <f t="shared" si="99"/>
        <v>0.87031193950825936</v>
      </c>
      <c r="AV105" s="238">
        <f t="shared" si="99"/>
        <v>0.99974331281452289</v>
      </c>
      <c r="AW105" s="238">
        <f t="shared" si="99"/>
        <v>1.1274801184916154</v>
      </c>
      <c r="AX105" s="238">
        <f t="shared" si="99"/>
        <v>1.2527878478804522</v>
      </c>
      <c r="AY105" s="238">
        <f t="shared" si="99"/>
        <v>1.3749346702518053</v>
      </c>
      <c r="AZ105" s="238">
        <f t="shared" si="99"/>
        <v>1.4975695781184815</v>
      </c>
      <c r="BA105" s="238">
        <f t="shared" ref="BA105:BN107" si="100">U105</f>
        <v>1.6206363125630792</v>
      </c>
      <c r="BB105" s="238">
        <f t="shared" si="100"/>
        <v>1.744077602027033</v>
      </c>
      <c r="BC105" s="238">
        <f t="shared" si="100"/>
        <v>1.8678351895709446</v>
      </c>
      <c r="BD105" s="238">
        <f t="shared" si="100"/>
        <v>1.9918498613090261</v>
      </c>
      <c r="BE105" s="238">
        <f t="shared" si="100"/>
        <v>2.1943278185937638</v>
      </c>
      <c r="BF105" s="238">
        <f t="shared" si="100"/>
        <v>2.3973850620779378</v>
      </c>
      <c r="BG105" s="238">
        <f t="shared" si="100"/>
        <v>2.6009290613198068</v>
      </c>
      <c r="BH105" s="238">
        <f t="shared" si="100"/>
        <v>2.8048658314926893</v>
      </c>
      <c r="BI105" s="238">
        <f t="shared" si="100"/>
        <v>3.0090999762714512</v>
      </c>
      <c r="BJ105" s="238">
        <f t="shared" si="100"/>
        <v>3.2126111949157021</v>
      </c>
      <c r="BK105" s="238">
        <f t="shared" si="100"/>
        <v>3.4161593805605612</v>
      </c>
      <c r="BL105" s="238">
        <f t="shared" si="100"/>
        <v>3.6196484237613369</v>
      </c>
      <c r="BM105" s="238">
        <f t="shared" si="100"/>
        <v>3.8229810013367658</v>
      </c>
      <c r="BN105" s="238">
        <f t="shared" si="100"/>
        <v>4.0260586193398513</v>
      </c>
    </row>
    <row r="106" spans="1:66" outlineLevel="1" x14ac:dyDescent="0.2">
      <c r="A106"/>
      <c r="B106" t="s">
        <v>222</v>
      </c>
      <c r="C106" s="54" t="s">
        <v>153</v>
      </c>
      <c r="D106" s="44">
        <f>'BTX Recycling HC'!C107</f>
        <v>0</v>
      </c>
      <c r="E106" s="44">
        <f>'BTX Recycling HC'!D107</f>
        <v>2.7714254543733108E-2</v>
      </c>
      <c r="F106" s="44">
        <f>'BTX Recycling HC'!E107</f>
        <v>5.2385507781770535E-2</v>
      </c>
      <c r="G106" s="44">
        <f>'BTX Recycling HC'!F107</f>
        <v>7.7462754061691896E-2</v>
      </c>
      <c r="H106" s="44">
        <f>'BTX Recycling HC'!G107</f>
        <v>0.10153437074329164</v>
      </c>
      <c r="I106" s="44">
        <f>'BTX Recycling HC'!H107</f>
        <v>0.1244080924822607</v>
      </c>
      <c r="J106" s="44">
        <f>'BTX Recycling HC'!I107</f>
        <v>0.1472497610346577</v>
      </c>
      <c r="K106" s="44">
        <f>'BTX Recycling HC'!J107</f>
        <v>0.17001888989466718</v>
      </c>
      <c r="L106" s="44">
        <f>'BTX Recycling HC'!K107</f>
        <v>0.19267412423783481</v>
      </c>
      <c r="M106" s="44">
        <f>'BTX Recycling HC'!L107</f>
        <v>0.21517333371755565</v>
      </c>
      <c r="N106" s="44">
        <f>'BTX Recycling HC'!M107</f>
        <v>0.23747371012322649</v>
      </c>
      <c r="O106" s="44">
        <f>'BTX Recycling HC'!N107</f>
        <v>0.27059034581138353</v>
      </c>
      <c r="P106" s="44">
        <f>'BTX Recycling HC'!O107</f>
        <v>0.30060856272700831</v>
      </c>
      <c r="Q106" s="44">
        <f>'BTX Recycling HC'!P107</f>
        <v>0.32726136128740613</v>
      </c>
      <c r="R106" s="44">
        <f>'BTX Recycling HC'!Q107</f>
        <v>0.35030867215540495</v>
      </c>
      <c r="S106" s="44">
        <f>'BTX Recycling HC'!R107</f>
        <v>0.36954050245233472</v>
      </c>
      <c r="T106" s="44">
        <f>'BTX Recycling HC'!S107</f>
        <v>0.38633891637565598</v>
      </c>
      <c r="U106" s="44">
        <f>'BTX Recycling HC'!T107</f>
        <v>0.40063405922184636</v>
      </c>
      <c r="V106" s="44">
        <f>'BTX Recycling HC'!U107</f>
        <v>0.41235664006217343</v>
      </c>
      <c r="W106" s="44">
        <f>'BTX Recycling HC'!V107</f>
        <v>0.42143799463659704</v>
      </c>
      <c r="X106" s="44">
        <f>'BTX Recycling HC'!W107</f>
        <v>0.42781014859289657</v>
      </c>
      <c r="Y106" s="44">
        <f>'BTX Recycling HC'!X107</f>
        <v>0.45053415629191162</v>
      </c>
      <c r="Z106" s="44">
        <f>'BTX Recycling HC'!Y107</f>
        <v>0.4690657956922818</v>
      </c>
      <c r="AA106" s="44">
        <f>'BTX Recycling HC'!Z107</f>
        <v>0.48329793657883791</v>
      </c>
      <c r="AB106" s="44">
        <f>'BTX Recycling HC'!AA107</f>
        <v>0.493124474826106</v>
      </c>
      <c r="AC106" s="44">
        <f>'BTX Recycling HC'!AB107</f>
        <v>0.49844042243925357</v>
      </c>
      <c r="AD106" s="44">
        <f>'BTX Recycling HC'!AC107</f>
        <v>0.49915126089505213</v>
      </c>
      <c r="AE106" s="44">
        <f>'BTX Recycling HC'!AD107</f>
        <v>0.49515440430452895</v>
      </c>
      <c r="AF106" s="44">
        <f>'BTX Recycling HC'!AE107</f>
        <v>0.4863483810494228</v>
      </c>
      <c r="AG106" s="44">
        <f>'BTX Recycling HC'!AF107</f>
        <v>0.47263291450772893</v>
      </c>
      <c r="AH106" s="44">
        <f>'BTX Recycling HC'!AG107</f>
        <v>0.45390900394520473</v>
      </c>
      <c r="AJ106" s="238">
        <f t="shared" ref="AJ106:AJ107" si="101">D106</f>
        <v>0</v>
      </c>
      <c r="AK106" s="238">
        <f t="shared" si="99"/>
        <v>2.7714254543733108E-2</v>
      </c>
      <c r="AL106" s="238">
        <f t="shared" si="99"/>
        <v>5.2385507781770535E-2</v>
      </c>
      <c r="AM106" s="238">
        <f t="shared" si="99"/>
        <v>7.7462754061691896E-2</v>
      </c>
      <c r="AN106" s="238">
        <f t="shared" si="99"/>
        <v>0.10153437074329164</v>
      </c>
      <c r="AO106" s="238">
        <f t="shared" si="99"/>
        <v>0.1244080924822607</v>
      </c>
      <c r="AP106" s="238">
        <f t="shared" si="99"/>
        <v>0.1472497610346577</v>
      </c>
      <c r="AQ106" s="238">
        <f t="shared" si="99"/>
        <v>0.17001888989466718</v>
      </c>
      <c r="AR106" s="238">
        <f t="shared" si="99"/>
        <v>0.19267412423783481</v>
      </c>
      <c r="AS106" s="238">
        <f t="shared" si="99"/>
        <v>0.21517333371755565</v>
      </c>
      <c r="AT106" s="238">
        <f t="shared" si="99"/>
        <v>0.23747371012322649</v>
      </c>
      <c r="AU106" s="238">
        <f t="shared" si="99"/>
        <v>0.27059034581138353</v>
      </c>
      <c r="AV106" s="238">
        <f t="shared" si="99"/>
        <v>0.30060856272700831</v>
      </c>
      <c r="AW106" s="238">
        <f t="shared" si="99"/>
        <v>0.32726136128740613</v>
      </c>
      <c r="AX106" s="238">
        <f t="shared" si="99"/>
        <v>0.35030867215540495</v>
      </c>
      <c r="AY106" s="238">
        <f t="shared" si="99"/>
        <v>0.36954050245233472</v>
      </c>
      <c r="AZ106" s="238">
        <f t="shared" si="99"/>
        <v>0.38633891637565598</v>
      </c>
      <c r="BA106" s="238">
        <f t="shared" si="100"/>
        <v>0.40063405922184636</v>
      </c>
      <c r="BB106" s="238">
        <f t="shared" si="100"/>
        <v>0.41235664006217343</v>
      </c>
      <c r="BC106" s="238">
        <f t="shared" si="100"/>
        <v>0.42143799463659704</v>
      </c>
      <c r="BD106" s="238">
        <f t="shared" si="100"/>
        <v>0.42781014859289657</v>
      </c>
      <c r="BE106" s="238">
        <f t="shared" si="100"/>
        <v>0.45053415629191162</v>
      </c>
      <c r="BF106" s="238">
        <f t="shared" si="100"/>
        <v>0.4690657956922818</v>
      </c>
      <c r="BG106" s="238">
        <f t="shared" si="100"/>
        <v>0.48329793657883791</v>
      </c>
      <c r="BH106" s="238">
        <f t="shared" si="100"/>
        <v>0.493124474826106</v>
      </c>
      <c r="BI106" s="238">
        <f t="shared" si="100"/>
        <v>0.49844042243925357</v>
      </c>
      <c r="BJ106" s="238">
        <f t="shared" si="100"/>
        <v>0.49915126089505213</v>
      </c>
      <c r="BK106" s="238">
        <f t="shared" si="100"/>
        <v>0.49515440430452895</v>
      </c>
      <c r="BL106" s="238">
        <f t="shared" si="100"/>
        <v>0.4863483810494228</v>
      </c>
      <c r="BM106" s="238">
        <f t="shared" si="100"/>
        <v>0.47263291450772893</v>
      </c>
      <c r="BN106" s="238">
        <f t="shared" si="100"/>
        <v>0.45390900394520473</v>
      </c>
    </row>
    <row r="107" spans="1:66" outlineLevel="1" x14ac:dyDescent="0.2">
      <c r="A107" s="181"/>
      <c r="B107" s="181" t="s">
        <v>218</v>
      </c>
      <c r="C107" s="176" t="s">
        <v>153</v>
      </c>
      <c r="D107" s="238">
        <f>'BTX Recycling HC'!C182</f>
        <v>0</v>
      </c>
      <c r="E107" s="238">
        <f>'BTX Recycling HC'!D182</f>
        <v>4.2398601239105726E-3</v>
      </c>
      <c r="F107" s="238">
        <f>'BTX Recycling HC'!E182</f>
        <v>8.5618655113781413E-3</v>
      </c>
      <c r="G107" s="238">
        <f>'BTX Recycling HC'!F182</f>
        <v>1.2922911178086844E-2</v>
      </c>
      <c r="H107" s="238">
        <f>'BTX Recycling HC'!G182</f>
        <v>1.7277516814770445E-2</v>
      </c>
      <c r="I107" s="238">
        <f>'BTX Recycling HC'!H182</f>
        <v>2.1578483296808046E-2</v>
      </c>
      <c r="J107" s="238">
        <f>'BTX Recycling HC'!I182</f>
        <v>2.5866397234866952E-2</v>
      </c>
      <c r="K107" s="238">
        <f>'BTX Recycling HC'!J182</f>
        <v>3.0119535758645857E-2</v>
      </c>
      <c r="L107" s="238">
        <f>'BTX Recycling HC'!K182</f>
        <v>3.4315014810695599E-2</v>
      </c>
      <c r="M107" s="238">
        <f>'BTX Recycling HC'!L182</f>
        <v>3.8428819270590733E-2</v>
      </c>
      <c r="N107" s="238">
        <f>'BTX Recycling HC'!M182</f>
        <v>4.2435839031055217E-2</v>
      </c>
      <c r="O107" s="238">
        <f>'BTX Recycling HC'!N182</f>
        <v>5.0771580579250006E-2</v>
      </c>
      <c r="P107" s="238">
        <f>'BTX Recycling HC'!O182</f>
        <v>5.876204503960504E-2</v>
      </c>
      <c r="Q107" s="238">
        <f>'BTX Recycling HC'!P182</f>
        <v>6.6041289431278932E-2</v>
      </c>
      <c r="R107" s="238">
        <f>'BTX Recycling HC'!Q182</f>
        <v>7.2752674069084811E-2</v>
      </c>
      <c r="S107" s="238">
        <f>'BTX Recycling HC'!R182</f>
        <v>7.8819663146347738E-2</v>
      </c>
      <c r="T107" s="238">
        <f>'BTX Recycling HC'!S182</f>
        <v>8.4350469796601338E-2</v>
      </c>
      <c r="U107" s="238">
        <f>'BTX Recycling HC'!T182</f>
        <v>8.9306519255687555E-2</v>
      </c>
      <c r="V107" s="238">
        <f>'BTX Recycling HC'!U182</f>
        <v>9.3648864900445897E-2</v>
      </c>
      <c r="W107" s="238">
        <f>'BTX Recycling HC'!V182</f>
        <v>9.7338231245916548E-2</v>
      </c>
      <c r="X107" s="238">
        <f>'BTX Recycling HC'!W182</f>
        <v>0.10033505839293989</v>
      </c>
      <c r="Y107" s="238">
        <f>'BTX Recycling HC'!X182</f>
        <v>0.1071030161495021</v>
      </c>
      <c r="Z107" s="238">
        <f>'BTX Recycling HC'!Y182</f>
        <v>0.11272491635186066</v>
      </c>
      <c r="AA107" s="238">
        <f>'BTX Recycling HC'!Z182</f>
        <v>0.11599751579001222</v>
      </c>
      <c r="AB107" s="238">
        <f>'BTX Recycling HC'!AA182</f>
        <v>0.11790874026178233</v>
      </c>
      <c r="AC107" s="238">
        <f>'BTX Recycling HC'!AB182</f>
        <v>0.11842481628503448</v>
      </c>
      <c r="AD107" s="238">
        <f>'BTX Recycling HC'!AC182</f>
        <v>0.11751711692133923</v>
      </c>
      <c r="AE107" s="238">
        <f>'BTX Recycling HC'!AD182</f>
        <v>0.11515985551715677</v>
      </c>
      <c r="AF107" s="238">
        <f>'BTX Recycling HC'!AE182</f>
        <v>0.11133159924218389</v>
      </c>
      <c r="AG107" s="238">
        <f>'BTX Recycling HC'!AF182</f>
        <v>0.10601554627891004</v>
      </c>
      <c r="AH107" s="238">
        <f>'BTX Recycling HC'!AG182</f>
        <v>9.9199806817528893E-2</v>
      </c>
      <c r="AJ107" s="238">
        <f t="shared" si="101"/>
        <v>0</v>
      </c>
      <c r="AK107" s="238">
        <f t="shared" si="99"/>
        <v>4.2398601239105726E-3</v>
      </c>
      <c r="AL107" s="238">
        <f t="shared" si="99"/>
        <v>8.5618655113781413E-3</v>
      </c>
      <c r="AM107" s="238">
        <f t="shared" si="99"/>
        <v>1.2922911178086844E-2</v>
      </c>
      <c r="AN107" s="238">
        <f t="shared" si="99"/>
        <v>1.7277516814770445E-2</v>
      </c>
      <c r="AO107" s="238">
        <f t="shared" si="99"/>
        <v>2.1578483296808046E-2</v>
      </c>
      <c r="AP107" s="238">
        <f t="shared" si="99"/>
        <v>2.5866397234866952E-2</v>
      </c>
      <c r="AQ107" s="238">
        <f t="shared" si="99"/>
        <v>3.0119535758645857E-2</v>
      </c>
      <c r="AR107" s="238">
        <f t="shared" si="99"/>
        <v>3.4315014810695599E-2</v>
      </c>
      <c r="AS107" s="238">
        <f t="shared" si="99"/>
        <v>3.8428819270590733E-2</v>
      </c>
      <c r="AT107" s="238">
        <f t="shared" si="99"/>
        <v>4.2435839031055217E-2</v>
      </c>
      <c r="AU107" s="238">
        <f t="shared" si="99"/>
        <v>5.0771580579250006E-2</v>
      </c>
      <c r="AV107" s="238">
        <f t="shared" si="99"/>
        <v>5.876204503960504E-2</v>
      </c>
      <c r="AW107" s="238">
        <f t="shared" si="99"/>
        <v>6.6041289431278932E-2</v>
      </c>
      <c r="AX107" s="238">
        <f t="shared" si="99"/>
        <v>7.2752674069084811E-2</v>
      </c>
      <c r="AY107" s="238">
        <f t="shared" si="99"/>
        <v>7.8819663146347738E-2</v>
      </c>
      <c r="AZ107" s="238">
        <f t="shared" si="99"/>
        <v>8.4350469796601338E-2</v>
      </c>
      <c r="BA107" s="238">
        <f t="shared" si="100"/>
        <v>8.9306519255687555E-2</v>
      </c>
      <c r="BB107" s="238">
        <f t="shared" si="100"/>
        <v>9.3648864900445897E-2</v>
      </c>
      <c r="BC107" s="238">
        <f t="shared" si="100"/>
        <v>9.7338231245916548E-2</v>
      </c>
      <c r="BD107" s="238">
        <f t="shared" si="100"/>
        <v>0.10033505839293989</v>
      </c>
      <c r="BE107" s="238">
        <f t="shared" si="100"/>
        <v>0.1071030161495021</v>
      </c>
      <c r="BF107" s="238">
        <f t="shared" si="100"/>
        <v>0.11272491635186066</v>
      </c>
      <c r="BG107" s="238">
        <f t="shared" si="100"/>
        <v>0.11599751579001222</v>
      </c>
      <c r="BH107" s="238">
        <f t="shared" si="100"/>
        <v>0.11790874026178233</v>
      </c>
      <c r="BI107" s="238">
        <f t="shared" si="100"/>
        <v>0.11842481628503448</v>
      </c>
      <c r="BJ107" s="238">
        <f t="shared" si="100"/>
        <v>0.11751711692133923</v>
      </c>
      <c r="BK107" s="238">
        <f t="shared" si="100"/>
        <v>0.11515985551715677</v>
      </c>
      <c r="BL107" s="238">
        <f t="shared" si="100"/>
        <v>0.11133159924218389</v>
      </c>
      <c r="BM107" s="238">
        <f t="shared" si="100"/>
        <v>0.10601554627891004</v>
      </c>
      <c r="BN107" s="238">
        <f t="shared" si="100"/>
        <v>9.9199806817528893E-2</v>
      </c>
    </row>
    <row r="108" spans="1:66" outlineLevel="1" x14ac:dyDescent="0.2">
      <c r="A108" s="181"/>
      <c r="B108" s="181" t="s">
        <v>226</v>
      </c>
      <c r="C108" s="176" t="s">
        <v>153</v>
      </c>
      <c r="D108" s="238">
        <f>'BTX Recycling HC'!C234</f>
        <v>0</v>
      </c>
      <c r="E108" s="238">
        <f>'BTX Recycling HC'!D234</f>
        <v>-1.072732726938698E-2</v>
      </c>
      <c r="F108" s="238">
        <f>'BTX Recycling HC'!E234</f>
        <v>1.3453319674309169E-2</v>
      </c>
      <c r="G108" s="238">
        <f>'BTX Recycling HC'!F234</f>
        <v>4.0455022530981849E-2</v>
      </c>
      <c r="H108" s="238">
        <f>'BTX Recycling HC'!G234</f>
        <v>7.0323073520251911E-2</v>
      </c>
      <c r="I108" s="238">
        <f>'BTX Recycling HC'!H234</f>
        <v>0.10306997341614982</v>
      </c>
      <c r="J108" s="238">
        <f>'BTX Recycling HC'!I234</f>
        <v>0.13150392797856952</v>
      </c>
      <c r="K108" s="238">
        <f>'BTX Recycling HC'!J234</f>
        <v>0.16106708601345709</v>
      </c>
      <c r="L108" s="238">
        <f>'BTX Recycling HC'!K234</f>
        <v>0.19160286072242771</v>
      </c>
      <c r="M108" s="238">
        <f>'BTX Recycling HC'!L234</f>
        <v>0.22293226293690244</v>
      </c>
      <c r="N108" s="238">
        <f>'BTX Recycling HC'!M234</f>
        <v>0.25485317161799531</v>
      </c>
      <c r="O108" s="238">
        <f>'BTX Recycling HC'!N234</f>
        <v>0.29938000486737038</v>
      </c>
      <c r="P108" s="238">
        <f>'BTX Recycling HC'!O234</f>
        <v>0.34454329924240928</v>
      </c>
      <c r="Q108" s="238">
        <f>'BTX Recycling HC'!P234</f>
        <v>0.38974177806618454</v>
      </c>
      <c r="R108" s="238">
        <f>'BTX Recycling HC'!Q234</f>
        <v>0.43432910587959817</v>
      </c>
      <c r="S108" s="238">
        <f>'BTX Recycling HC'!R234</f>
        <v>0.47762169785464126</v>
      </c>
      <c r="T108" s="238">
        <f>'BTX Recycling HC'!S234</f>
        <v>0.5287288979656587</v>
      </c>
      <c r="U108" s="238">
        <f>'BTX Recycling HC'!T234</f>
        <v>0.58049001984863335</v>
      </c>
      <c r="V108" s="238">
        <f>'BTX Recycling HC'!U234</f>
        <v>0.6325832686675098</v>
      </c>
      <c r="W108" s="238">
        <f>'BTX Recycling HC'!V234</f>
        <v>0.68466141403768921</v>
      </c>
      <c r="X108" s="238">
        <f>'BTX Recycling HC'!W234</f>
        <v>0.73635118649005504</v>
      </c>
      <c r="Y108" s="238">
        <f>'BTX Recycling HC'!X234</f>
        <v>0.80980175065447446</v>
      </c>
      <c r="Z108" s="238">
        <f>'BTX Recycling HC'!Y234</f>
        <v>0.88283423234276404</v>
      </c>
      <c r="AA108" s="238">
        <f>'BTX Recycling HC'!Z234</f>
        <v>0.95479732520494687</v>
      </c>
      <c r="AB108" s="238">
        <f>'BTX Recycling HC'!AA234</f>
        <v>1.0249943431644746</v>
      </c>
      <c r="AC108" s="238">
        <f>'BTX Recycling HC'!AB234</f>
        <v>1.0926822365205171</v>
      </c>
      <c r="AD108" s="238">
        <f>'BTX Recycling HC'!AC234</f>
        <v>1.1444438274986972</v>
      </c>
      <c r="AE108" s="238">
        <f>'BTX Recycling HC'!AD234</f>
        <v>1.1895343555748916</v>
      </c>
      <c r="AF108" s="238">
        <f>'BTX Recycling HC'!AE234</f>
        <v>1.2268248482889739</v>
      </c>
      <c r="AG108" s="238">
        <f>'BTX Recycling HC'!AF234</f>
        <v>1.2551248128167618</v>
      </c>
      <c r="AH108" s="238">
        <f>'BTX Recycling HC'!AG234</f>
        <v>1.2731811459193232</v>
      </c>
      <c r="AJ108" s="238">
        <f t="shared" ref="AJ108" si="102">D108</f>
        <v>0</v>
      </c>
      <c r="AK108" s="238">
        <f t="shared" ref="AK108" si="103">E108</f>
        <v>-1.072732726938698E-2</v>
      </c>
      <c r="AL108" s="238">
        <f t="shared" ref="AL108" si="104">F108</f>
        <v>1.3453319674309169E-2</v>
      </c>
      <c r="AM108" s="238">
        <f t="shared" ref="AM108" si="105">G108</f>
        <v>4.0455022530981849E-2</v>
      </c>
      <c r="AN108" s="238">
        <f t="shared" ref="AN108" si="106">H108</f>
        <v>7.0323073520251911E-2</v>
      </c>
      <c r="AO108" s="238">
        <f t="shared" ref="AO108" si="107">I108</f>
        <v>0.10306997341614982</v>
      </c>
      <c r="AP108" s="238">
        <f t="shared" ref="AP108" si="108">J108</f>
        <v>0.13150392797856952</v>
      </c>
      <c r="AQ108" s="238">
        <f t="shared" ref="AQ108" si="109">K108</f>
        <v>0.16106708601345709</v>
      </c>
      <c r="AR108" s="238">
        <f t="shared" ref="AR108" si="110">L108</f>
        <v>0.19160286072242771</v>
      </c>
      <c r="AS108" s="238">
        <f t="shared" ref="AS108" si="111">M108</f>
        <v>0.22293226293690244</v>
      </c>
      <c r="AT108" s="238">
        <f t="shared" ref="AT108" si="112">N108</f>
        <v>0.25485317161799531</v>
      </c>
      <c r="AU108" s="238">
        <f t="shared" ref="AU108" si="113">O108</f>
        <v>0.29938000486737038</v>
      </c>
      <c r="AV108" s="238">
        <f t="shared" ref="AV108" si="114">P108</f>
        <v>0.34454329924240928</v>
      </c>
      <c r="AW108" s="238">
        <f t="shared" ref="AW108" si="115">Q108</f>
        <v>0.38974177806618454</v>
      </c>
      <c r="AX108" s="238">
        <f t="shared" ref="AX108" si="116">R108</f>
        <v>0.43432910587959817</v>
      </c>
      <c r="AY108" s="238">
        <f t="shared" ref="AY108" si="117">S108</f>
        <v>0.47762169785464126</v>
      </c>
      <c r="AZ108" s="238">
        <f t="shared" ref="AZ108" si="118">T108</f>
        <v>0.5287288979656587</v>
      </c>
      <c r="BA108" s="238">
        <f t="shared" ref="BA108" si="119">U108</f>
        <v>0.58049001984863335</v>
      </c>
      <c r="BB108" s="238">
        <f t="shared" ref="BB108" si="120">V108</f>
        <v>0.6325832686675098</v>
      </c>
      <c r="BC108" s="238">
        <f t="shared" ref="BC108" si="121">W108</f>
        <v>0.68466141403768921</v>
      </c>
      <c r="BD108" s="238">
        <f t="shared" ref="BD108" si="122">X108</f>
        <v>0.73635118649005504</v>
      </c>
      <c r="BE108" s="238">
        <f t="shared" ref="BE108" si="123">Y108</f>
        <v>0.80980175065447446</v>
      </c>
      <c r="BF108" s="238">
        <f t="shared" ref="BF108" si="124">Z108</f>
        <v>0.88283423234276404</v>
      </c>
      <c r="BG108" s="238">
        <f t="shared" ref="BG108" si="125">AA108</f>
        <v>0.95479732520494687</v>
      </c>
      <c r="BH108" s="238">
        <f t="shared" ref="BH108" si="126">AB108</f>
        <v>1.0249943431644746</v>
      </c>
      <c r="BI108" s="238">
        <f t="shared" ref="BI108" si="127">AC108</f>
        <v>1.0926822365205171</v>
      </c>
      <c r="BJ108" s="238">
        <f t="shared" ref="BJ108" si="128">AD108</f>
        <v>1.1444438274986972</v>
      </c>
      <c r="BK108" s="238">
        <f t="shared" ref="BK108" si="129">AE108</f>
        <v>1.1895343555748916</v>
      </c>
      <c r="BL108" s="238">
        <f t="shared" ref="BL108" si="130">AF108</f>
        <v>1.2268248482889739</v>
      </c>
      <c r="BM108" s="238">
        <f t="shared" ref="BM108" si="131">AG108</f>
        <v>1.2551248128167618</v>
      </c>
      <c r="BN108" s="238">
        <f t="shared" ref="BN108" si="132">AH108</f>
        <v>1.2731811459193232</v>
      </c>
    </row>
    <row r="109" spans="1:66" outlineLevel="1" x14ac:dyDescent="0.2">
      <c r="A109" s="178"/>
      <c r="B109" s="239" t="s">
        <v>219</v>
      </c>
      <c r="C109" s="179" t="s">
        <v>153</v>
      </c>
      <c r="D109" s="241">
        <f>D104-D105-D106-D107-D108</f>
        <v>31.171306671622546</v>
      </c>
      <c r="E109" s="241">
        <f t="shared" ref="E109:AH109" si="133">E104-E105-E106-E107-E108</f>
        <v>32.862627049508077</v>
      </c>
      <c r="F109" s="241">
        <f t="shared" si="133"/>
        <v>34.462681015901126</v>
      </c>
      <c r="G109" s="241">
        <f t="shared" si="133"/>
        <v>36.093426492676357</v>
      </c>
      <c r="H109" s="241">
        <f t="shared" si="133"/>
        <v>37.757241650936599</v>
      </c>
      <c r="I109" s="241">
        <f t="shared" si="133"/>
        <v>39.45535197685092</v>
      </c>
      <c r="J109" s="241">
        <f t="shared" si="133"/>
        <v>40.173057178891838</v>
      </c>
      <c r="K109" s="241">
        <f t="shared" si="133"/>
        <v>40.897907308687479</v>
      </c>
      <c r="L109" s="241">
        <f t="shared" si="133"/>
        <v>41.630320679389868</v>
      </c>
      <c r="M109" s="241">
        <f t="shared" si="133"/>
        <v>42.370758249996996</v>
      </c>
      <c r="N109" s="241">
        <f t="shared" si="133"/>
        <v>43.119725980011658</v>
      </c>
      <c r="O109" s="241">
        <f t="shared" si="133"/>
        <v>42.926785701484739</v>
      </c>
      <c r="P109" s="241">
        <f t="shared" si="133"/>
        <v>42.7377240660892</v>
      </c>
      <c r="Q109" s="241">
        <f t="shared" si="133"/>
        <v>42.554765589402365</v>
      </c>
      <c r="R109" s="241">
        <f t="shared" si="133"/>
        <v>42.379678648588701</v>
      </c>
      <c r="S109" s="241">
        <f t="shared" si="133"/>
        <v>42.214490060093041</v>
      </c>
      <c r="T109" s="241">
        <f t="shared" si="133"/>
        <v>41.985866057237025</v>
      </c>
      <c r="U109" s="241">
        <f t="shared" si="133"/>
        <v>41.760746288498012</v>
      </c>
      <c r="V109" s="241">
        <f t="shared" si="133"/>
        <v>41.540077477328126</v>
      </c>
      <c r="W109" s="241">
        <f t="shared" si="133"/>
        <v>41.324883678924273</v>
      </c>
      <c r="X109" s="241">
        <f t="shared" si="133"/>
        <v>41.116272141632066</v>
      </c>
      <c r="Y109" s="241">
        <f t="shared" si="133"/>
        <v>40.054412331066672</v>
      </c>
      <c r="Z109" s="241">
        <f t="shared" si="133"/>
        <v>39.004069106967599</v>
      </c>
      <c r="AA109" s="241">
        <f t="shared" si="133"/>
        <v>37.968199743106268</v>
      </c>
      <c r="AB109" s="241">
        <f t="shared" si="133"/>
        <v>36.947702825018972</v>
      </c>
      <c r="AC109" s="241">
        <f t="shared" si="133"/>
        <v>35.944640895334544</v>
      </c>
      <c r="AD109" s="241">
        <f t="shared" si="133"/>
        <v>34.801975372431322</v>
      </c>
      <c r="AE109" s="241">
        <f t="shared" si="133"/>
        <v>33.685674431334796</v>
      </c>
      <c r="AF109" s="241">
        <f t="shared" si="133"/>
        <v>32.598543387699436</v>
      </c>
      <c r="AG109" s="241">
        <f t="shared" si="133"/>
        <v>31.543586329325684</v>
      </c>
      <c r="AH109" s="241">
        <f t="shared" si="133"/>
        <v>30.524021509922981</v>
      </c>
      <c r="AJ109" s="241">
        <f>AJ104-AJ105-AJ106-AJ107-AJ108</f>
        <v>31.171306671622546</v>
      </c>
      <c r="AK109" s="241">
        <f t="shared" ref="AK109:BN109" si="134">AK104-AK105-AK106-AK107-AK108</f>
        <v>32.971774377617365</v>
      </c>
      <c r="AL109" s="241">
        <f t="shared" si="134"/>
        <v>34.693929371103636</v>
      </c>
      <c r="AM109" s="241">
        <f t="shared" si="134"/>
        <v>36.460329714700116</v>
      </c>
      <c r="AN109" s="241">
        <f t="shared" si="134"/>
        <v>38.273975103668349</v>
      </c>
      <c r="AO109" s="241">
        <f t="shared" si="134"/>
        <v>40.136734609877891</v>
      </c>
      <c r="AP109" s="241">
        <f t="shared" si="134"/>
        <v>41.013382541237235</v>
      </c>
      <c r="AQ109" s="241">
        <f t="shared" si="134"/>
        <v>41.905280757972733</v>
      </c>
      <c r="AR109" s="241">
        <f t="shared" si="134"/>
        <v>42.813094993179106</v>
      </c>
      <c r="AS109" s="241">
        <f t="shared" si="134"/>
        <v>43.737539720929426</v>
      </c>
      <c r="AT109" s="241">
        <f t="shared" si="134"/>
        <v>44.679380644830637</v>
      </c>
      <c r="AU109" s="241">
        <f t="shared" si="134"/>
        <v>44.654495635465096</v>
      </c>
      <c r="AV109" s="241">
        <f t="shared" si="134"/>
        <v>44.635761047346897</v>
      </c>
      <c r="AW109" s="241">
        <f t="shared" si="134"/>
        <v>44.625419934270589</v>
      </c>
      <c r="AX109" s="241">
        <f t="shared" si="134"/>
        <v>44.625259245445243</v>
      </c>
      <c r="AY109" s="241">
        <f t="shared" si="134"/>
        <v>44.6373244008103</v>
      </c>
      <c r="AZ109" s="241">
        <f t="shared" si="134"/>
        <v>44.584790832286451</v>
      </c>
      <c r="BA109" s="241">
        <f t="shared" si="134"/>
        <v>44.537617148594094</v>
      </c>
      <c r="BB109" s="241">
        <f t="shared" si="134"/>
        <v>44.496755265847838</v>
      </c>
      <c r="BC109" s="241">
        <f t="shared" si="134"/>
        <v>44.463234204172892</v>
      </c>
      <c r="BD109" s="241">
        <f t="shared" si="134"/>
        <v>44.438165942523227</v>
      </c>
      <c r="BE109" s="241">
        <f t="shared" si="134"/>
        <v>43.508243697380536</v>
      </c>
      <c r="BF109" s="241">
        <f t="shared" si="134"/>
        <v>42.585236246898027</v>
      </c>
      <c r="BG109" s="241">
        <f t="shared" si="134"/>
        <v>41.671984131135162</v>
      </c>
      <c r="BH109" s="241">
        <f t="shared" si="134"/>
        <v>40.769267298424325</v>
      </c>
      <c r="BI109" s="241">
        <f t="shared" si="134"/>
        <v>39.879027723771415</v>
      </c>
      <c r="BJ109" s="241">
        <f t="shared" si="134"/>
        <v>38.826056601689395</v>
      </c>
      <c r="BK109" s="241">
        <f t="shared" si="134"/>
        <v>37.792706323141282</v>
      </c>
      <c r="BL109" s="241">
        <f t="shared" si="134"/>
        <v>36.781641622399917</v>
      </c>
      <c r="BM109" s="241">
        <f t="shared" si="134"/>
        <v>35.795723875150067</v>
      </c>
      <c r="BN109" s="241">
        <f t="shared" si="134"/>
        <v>34.838026463012596</v>
      </c>
    </row>
    <row r="110" spans="1:66" s="67" customFormat="1" outlineLevel="1" x14ac:dyDescent="0.2">
      <c r="A110" s="681"/>
      <c r="B110" s="58" t="s">
        <v>7</v>
      </c>
      <c r="C110" s="59" t="s">
        <v>153</v>
      </c>
      <c r="D110" s="60">
        <f>D58+D64-'Overall recycling rates'!$G$60/SUM('Overall recycling rates'!$G$60:$G$62)*('BTX Recycling HC'!C183+'BTX Recycling HC'!C235+'BTX Recycling HC'!C269+'BTX Recycling HC'!C108)-'Overall recycling rates'!$E$60/SUM('Overall recycling rates'!$E$60:$E$62)*('BTX Recycling HC'!C184+'BTX Recycling HC'!C236+'BTX Recycling HC'!C270+'BTX Recycling HC'!C109)-'Overall recycling rates'!$H$60/SUM('Overall recycling rates'!$H$60:$H$62)*('BTX Recycling HC'!C185+'BTX Recycling HC'!C237+'BTX Recycling HC'!C271+'BTX Recycling HC'!C110)-'Overall recycling rates'!$I$60/SUM('Overall recycling rates'!$I$60:$I$62)*('BTX Recycling HC'!C186+'BTX Recycling HC'!C238+'BTX Recycling HC'!C272+'BTX Recycling HC'!C111)</f>
        <v>19.499127736654014</v>
      </c>
      <c r="E110" s="60">
        <f>E58+E64-'Overall recycling rates'!$G$60/SUM('Overall recycling rates'!$G$60:$G$62)*('BTX Recycling HC'!D183+'BTX Recycling HC'!D235+'BTX Recycling HC'!D269+'BTX Recycling HC'!D108)-'Overall recycling rates'!$E$60/SUM('Overall recycling rates'!$E$60:$E$62)*('BTX Recycling HC'!D184+'BTX Recycling HC'!D236+'BTX Recycling HC'!D270+'BTX Recycling HC'!D109)-'Overall recycling rates'!$H$60/SUM('Overall recycling rates'!$H$60:$H$62)*('BTX Recycling HC'!D185+'BTX Recycling HC'!D237+'BTX Recycling HC'!D271+'BTX Recycling HC'!D110)-'Overall recycling rates'!$I$60/SUM('Overall recycling rates'!$I$60:$I$62)*('BTX Recycling HC'!D186+'BTX Recycling HC'!D238+'BTX Recycling HC'!D272+'BTX Recycling HC'!D111)</f>
        <v>20.539214358857492</v>
      </c>
      <c r="F110" s="60">
        <f>F58+F64-'Overall recycling rates'!$G$60/SUM('Overall recycling rates'!$G$60:$G$62)*('BTX Recycling HC'!E183+'BTX Recycling HC'!E235+'BTX Recycling HC'!E269+'BTX Recycling HC'!E108)-'Overall recycling rates'!$E$60/SUM('Overall recycling rates'!$E$60:$E$62)*('BTX Recycling HC'!E184+'BTX Recycling HC'!E236+'BTX Recycling HC'!E270+'BTX Recycling HC'!E109)-'Overall recycling rates'!$H$60/SUM('Overall recycling rates'!$H$60:$H$62)*('BTX Recycling HC'!E185+'BTX Recycling HC'!E237+'BTX Recycling HC'!E271+'BTX Recycling HC'!E110)-'Overall recycling rates'!$I$60/SUM('Overall recycling rates'!$I$60:$I$62)*('BTX Recycling HC'!E186+'BTX Recycling HC'!E238+'BTX Recycling HC'!E272+'BTX Recycling HC'!E111)</f>
        <v>21.552422768533383</v>
      </c>
      <c r="G110" s="60">
        <f>G58+G64-'Overall recycling rates'!$G$60/SUM('Overall recycling rates'!$G$60:$G$62)*('BTX Recycling HC'!F183+'BTX Recycling HC'!F235+'BTX Recycling HC'!F269+'BTX Recycling HC'!F108)-'Overall recycling rates'!$E$60/SUM('Overall recycling rates'!$E$60:$E$62)*('BTX Recycling HC'!F184+'BTX Recycling HC'!F236+'BTX Recycling HC'!F270+'BTX Recycling HC'!F109)-'Overall recycling rates'!$H$60/SUM('Overall recycling rates'!$H$60:$H$62)*('BTX Recycling HC'!F185+'BTX Recycling HC'!F237+'BTX Recycling HC'!F271+'BTX Recycling HC'!F110)-'Overall recycling rates'!$I$60/SUM('Overall recycling rates'!$I$60:$I$62)*('BTX Recycling HC'!F186+'BTX Recycling HC'!F238+'BTX Recycling HC'!F272+'BTX Recycling HC'!F111)</f>
        <v>22.585944464966172</v>
      </c>
      <c r="H110" s="60">
        <f>H58+H64-'Overall recycling rates'!$G$60/SUM('Overall recycling rates'!$G$60:$G$62)*('BTX Recycling HC'!G183+'BTX Recycling HC'!G235+'BTX Recycling HC'!G269+'BTX Recycling HC'!G108)-'Overall recycling rates'!$E$60/SUM('Overall recycling rates'!$E$60:$E$62)*('BTX Recycling HC'!G184+'BTX Recycling HC'!G236+'BTX Recycling HC'!G270+'BTX Recycling HC'!G109)-'Overall recycling rates'!$H$60/SUM('Overall recycling rates'!$H$60:$H$62)*('BTX Recycling HC'!G185+'BTX Recycling HC'!G237+'BTX Recycling HC'!G271+'BTX Recycling HC'!G110)-'Overall recycling rates'!$I$60/SUM('Overall recycling rates'!$I$60:$I$62)*('BTX Recycling HC'!G186+'BTX Recycling HC'!G238+'BTX Recycling HC'!G272+'BTX Recycling HC'!G111)</f>
        <v>23.640510807704459</v>
      </c>
      <c r="I110" s="60">
        <f>I58+I64-'Overall recycling rates'!$G$60/SUM('Overall recycling rates'!$G$60:$G$62)*('BTX Recycling HC'!H183+'BTX Recycling HC'!H235+'BTX Recycling HC'!H269+'BTX Recycling HC'!H108)-'Overall recycling rates'!$E$60/SUM('Overall recycling rates'!$E$60:$E$62)*('BTX Recycling HC'!H184+'BTX Recycling HC'!H236+'BTX Recycling HC'!H270+'BTX Recycling HC'!H109)-'Overall recycling rates'!$H$60/SUM('Overall recycling rates'!$H$60:$H$62)*('BTX Recycling HC'!H185+'BTX Recycling HC'!H237+'BTX Recycling HC'!H271+'BTX Recycling HC'!H110)-'Overall recycling rates'!$I$60/SUM('Overall recycling rates'!$I$60:$I$62)*('BTX Recycling HC'!H186+'BTX Recycling HC'!H238+'BTX Recycling HC'!H272+'BTX Recycling HC'!H111)</f>
        <v>24.716866654163788</v>
      </c>
      <c r="J110" s="60">
        <f>J58+J64-'Overall recycling rates'!$G$60/SUM('Overall recycling rates'!$G$60:$G$62)*('BTX Recycling HC'!I183+'BTX Recycling HC'!I235+'BTX Recycling HC'!I269+'BTX Recycling HC'!I108)-'Overall recycling rates'!$E$60/SUM('Overall recycling rates'!$E$60:$E$62)*('BTX Recycling HC'!I184+'BTX Recycling HC'!I236+'BTX Recycling HC'!I270+'BTX Recycling HC'!I109)-'Overall recycling rates'!$H$60/SUM('Overall recycling rates'!$H$60:$H$62)*('BTX Recycling HC'!I185+'BTX Recycling HC'!I237+'BTX Recycling HC'!I271+'BTX Recycling HC'!I110)-'Overall recycling rates'!$I$60/SUM('Overall recycling rates'!$I$60:$I$62)*('BTX Recycling HC'!I186+'BTX Recycling HC'!I238+'BTX Recycling HC'!I272+'BTX Recycling HC'!I111)</f>
        <v>25.177496751959005</v>
      </c>
      <c r="K110" s="60">
        <f>K58+K64-'Overall recycling rates'!$G$60/SUM('Overall recycling rates'!$G$60:$G$62)*('BTX Recycling HC'!J183+'BTX Recycling HC'!J235+'BTX Recycling HC'!J269+'BTX Recycling HC'!J108)-'Overall recycling rates'!$E$60/SUM('Overall recycling rates'!$E$60:$E$62)*('BTX Recycling HC'!J184+'BTX Recycling HC'!J236+'BTX Recycling HC'!J270+'BTX Recycling HC'!J109)-'Overall recycling rates'!$H$60/SUM('Overall recycling rates'!$H$60:$H$62)*('BTX Recycling HC'!J185+'BTX Recycling HC'!J237+'BTX Recycling HC'!J271+'BTX Recycling HC'!J110)-'Overall recycling rates'!$I$60/SUM('Overall recycling rates'!$I$60:$I$62)*('BTX Recycling HC'!J186+'BTX Recycling HC'!J238+'BTX Recycling HC'!J272+'BTX Recycling HC'!J111)</f>
        <v>25.642367842813808</v>
      </c>
      <c r="L110" s="60">
        <f>L58+L64-'Overall recycling rates'!$G$60/SUM('Overall recycling rates'!$G$60:$G$62)*('BTX Recycling HC'!K183+'BTX Recycling HC'!K235+'BTX Recycling HC'!K269+'BTX Recycling HC'!K108)-'Overall recycling rates'!$E$60/SUM('Overall recycling rates'!$E$60:$E$62)*('BTX Recycling HC'!K184+'BTX Recycling HC'!K236+'BTX Recycling HC'!K270+'BTX Recycling HC'!K109)-'Overall recycling rates'!$H$60/SUM('Overall recycling rates'!$H$60:$H$62)*('BTX Recycling HC'!K185+'BTX Recycling HC'!K237+'BTX Recycling HC'!K271+'BTX Recycling HC'!K110)-'Overall recycling rates'!$I$60/SUM('Overall recycling rates'!$I$60:$I$62)*('BTX Recycling HC'!K186+'BTX Recycling HC'!K238+'BTX Recycling HC'!K272+'BTX Recycling HC'!K111)</f>
        <v>26.111616203419192</v>
      </c>
      <c r="M110" s="60">
        <f>M58+M64-'Overall recycling rates'!$G$60/SUM('Overall recycling rates'!$G$60:$G$62)*('BTX Recycling HC'!L183+'BTX Recycling HC'!L235+'BTX Recycling HC'!L269+'BTX Recycling HC'!L108)-'Overall recycling rates'!$E$60/SUM('Overall recycling rates'!$E$60:$E$62)*('BTX Recycling HC'!L184+'BTX Recycling HC'!L236+'BTX Recycling HC'!L270+'BTX Recycling HC'!L109)-'Overall recycling rates'!$H$60/SUM('Overall recycling rates'!$H$60:$H$62)*('BTX Recycling HC'!L185+'BTX Recycling HC'!L237+'BTX Recycling HC'!L271+'BTX Recycling HC'!L110)-'Overall recycling rates'!$I$60/SUM('Overall recycling rates'!$I$60:$I$62)*('BTX Recycling HC'!L186+'BTX Recycling HC'!L238+'BTX Recycling HC'!L272+'BTX Recycling HC'!L111)</f>
        <v>26.585390784404346</v>
      </c>
      <c r="N110" s="60">
        <f>N58+N64-'Overall recycling rates'!$G$60/SUM('Overall recycling rates'!$G$60:$G$62)*('BTX Recycling HC'!M183+'BTX Recycling HC'!M235+'BTX Recycling HC'!M269+'BTX Recycling HC'!M108)-'Overall recycling rates'!$E$60/SUM('Overall recycling rates'!$E$60:$E$62)*('BTX Recycling HC'!M184+'BTX Recycling HC'!M236+'BTX Recycling HC'!M270+'BTX Recycling HC'!M109)-'Overall recycling rates'!$H$60/SUM('Overall recycling rates'!$H$60:$H$62)*('BTX Recycling HC'!M185+'BTX Recycling HC'!M237+'BTX Recycling HC'!M271+'BTX Recycling HC'!M110)-'Overall recycling rates'!$I$60/SUM('Overall recycling rates'!$I$60:$I$62)*('BTX Recycling HC'!M186+'BTX Recycling HC'!M238+'BTX Recycling HC'!M272+'BTX Recycling HC'!M111)</f>
        <v>27.063854043370167</v>
      </c>
      <c r="O110" s="60">
        <f>O58+O64-'Overall recycling rates'!$G$60/SUM('Overall recycling rates'!$G$60:$G$62)*('BTX Recycling HC'!N183+'BTX Recycling HC'!N235+'BTX Recycling HC'!N269+'BTX Recycling HC'!N108)-'Overall recycling rates'!$E$60/SUM('Overall recycling rates'!$E$60:$E$62)*('BTX Recycling HC'!N184+'BTX Recycling HC'!N236+'BTX Recycling HC'!N270+'BTX Recycling HC'!N109)-'Overall recycling rates'!$H$60/SUM('Overall recycling rates'!$H$60:$H$62)*('BTX Recycling HC'!N185+'BTX Recycling HC'!N237+'BTX Recycling HC'!N271+'BTX Recycling HC'!N110)-'Overall recycling rates'!$I$60/SUM('Overall recycling rates'!$I$60:$I$62)*('BTX Recycling HC'!N186+'BTX Recycling HC'!N238+'BTX Recycling HC'!N272+'BTX Recycling HC'!N111)</f>
        <v>26.958116375399104</v>
      </c>
      <c r="P110" s="60">
        <f>P58+P64-'Overall recycling rates'!$G$60/SUM('Overall recycling rates'!$G$60:$G$62)*('BTX Recycling HC'!O183+'BTX Recycling HC'!O235+'BTX Recycling HC'!O269+'BTX Recycling HC'!O108)-'Overall recycling rates'!$E$60/SUM('Overall recycling rates'!$E$60:$E$62)*('BTX Recycling HC'!O184+'BTX Recycling HC'!O236+'BTX Recycling HC'!O270+'BTX Recycling HC'!O109)-'Overall recycling rates'!$H$60/SUM('Overall recycling rates'!$H$60:$H$62)*('BTX Recycling HC'!O185+'BTX Recycling HC'!O237+'BTX Recycling HC'!O271+'BTX Recycling HC'!O110)-'Overall recycling rates'!$I$60/SUM('Overall recycling rates'!$I$60:$I$62)*('BTX Recycling HC'!O186+'BTX Recycling HC'!O238+'BTX Recycling HC'!O272+'BTX Recycling HC'!O111)</f>
        <v>26.852746707121049</v>
      </c>
      <c r="Q110" s="60">
        <f>Q58+Q64-'Overall recycling rates'!$G$60/SUM('Overall recycling rates'!$G$60:$G$62)*('BTX Recycling HC'!P183+'BTX Recycling HC'!P235+'BTX Recycling HC'!P269+'BTX Recycling HC'!P108)-'Overall recycling rates'!$E$60/SUM('Overall recycling rates'!$E$60:$E$62)*('BTX Recycling HC'!P184+'BTX Recycling HC'!P236+'BTX Recycling HC'!P270+'BTX Recycling HC'!P109)-'Overall recycling rates'!$H$60/SUM('Overall recycling rates'!$H$60:$H$62)*('BTX Recycling HC'!P185+'BTX Recycling HC'!P237+'BTX Recycling HC'!P271+'BTX Recycling HC'!P110)-'Overall recycling rates'!$I$60/SUM('Overall recycling rates'!$I$60:$I$62)*('BTX Recycling HC'!P186+'BTX Recycling HC'!P238+'BTX Recycling HC'!P272+'BTX Recycling HC'!P111)</f>
        <v>26.748832081856687</v>
      </c>
      <c r="R110" s="60">
        <f>R58+R64-'Overall recycling rates'!$G$60/SUM('Overall recycling rates'!$G$60:$G$62)*('BTX Recycling HC'!Q183+'BTX Recycling HC'!Q235+'BTX Recycling HC'!Q269+'BTX Recycling HC'!Q108)-'Overall recycling rates'!$E$60/SUM('Overall recycling rates'!$E$60:$E$62)*('BTX Recycling HC'!Q184+'BTX Recycling HC'!Q236+'BTX Recycling HC'!Q270+'BTX Recycling HC'!Q109)-'Overall recycling rates'!$H$60/SUM('Overall recycling rates'!$H$60:$H$62)*('BTX Recycling HC'!Q185+'BTX Recycling HC'!Q237+'BTX Recycling HC'!Q271+'BTX Recycling HC'!Q110)-'Overall recycling rates'!$I$60/SUM('Overall recycling rates'!$I$60:$I$62)*('BTX Recycling HC'!Q186+'BTX Recycling HC'!Q238+'BTX Recycling HC'!Q272+'BTX Recycling HC'!Q111)</f>
        <v>26.647130905481799</v>
      </c>
      <c r="S110" s="60">
        <f>S58+S64-'Overall recycling rates'!$G$60/SUM('Overall recycling rates'!$G$60:$G$62)*('BTX Recycling HC'!R183+'BTX Recycling HC'!R235+'BTX Recycling HC'!R269+'BTX Recycling HC'!R108)-'Overall recycling rates'!$E$60/SUM('Overall recycling rates'!$E$60:$E$62)*('BTX Recycling HC'!R184+'BTX Recycling HC'!R236+'BTX Recycling HC'!R270+'BTX Recycling HC'!R109)-'Overall recycling rates'!$H$60/SUM('Overall recycling rates'!$H$60:$H$62)*('BTX Recycling HC'!R185+'BTX Recycling HC'!R237+'BTX Recycling HC'!R271+'BTX Recycling HC'!R110)-'Overall recycling rates'!$I$60/SUM('Overall recycling rates'!$I$60:$I$62)*('BTX Recycling HC'!R186+'BTX Recycling HC'!R238+'BTX Recycling HC'!R272+'BTX Recycling HC'!R111)</f>
        <v>26.548576309290727</v>
      </c>
      <c r="T110" s="60">
        <f>T58+T64-'Overall recycling rates'!$G$60/SUM('Overall recycling rates'!$G$60:$G$62)*('BTX Recycling HC'!S183+'BTX Recycling HC'!S235+'BTX Recycling HC'!S269+'BTX Recycling HC'!S108)-'Overall recycling rates'!$E$60/SUM('Overall recycling rates'!$E$60:$E$62)*('BTX Recycling HC'!S184+'BTX Recycling HC'!S236+'BTX Recycling HC'!S270+'BTX Recycling HC'!S109)-'Overall recycling rates'!$H$60/SUM('Overall recycling rates'!$H$60:$H$62)*('BTX Recycling HC'!S185+'BTX Recycling HC'!S237+'BTX Recycling HC'!S271+'BTX Recycling HC'!S110)-'Overall recycling rates'!$I$60/SUM('Overall recycling rates'!$I$60:$I$62)*('BTX Recycling HC'!S186+'BTX Recycling HC'!S238+'BTX Recycling HC'!S272+'BTX Recycling HC'!S111)</f>
        <v>26.412869123664471</v>
      </c>
      <c r="U110" s="60">
        <f>U58+U64-'Overall recycling rates'!$G$60/SUM('Overall recycling rates'!$G$60:$G$62)*('BTX Recycling HC'!T183+'BTX Recycling HC'!T235+'BTX Recycling HC'!T269+'BTX Recycling HC'!T108)-'Overall recycling rates'!$E$60/SUM('Overall recycling rates'!$E$60:$E$62)*('BTX Recycling HC'!T184+'BTX Recycling HC'!T236+'BTX Recycling HC'!T270+'BTX Recycling HC'!T109)-'Overall recycling rates'!$H$60/SUM('Overall recycling rates'!$H$60:$H$62)*('BTX Recycling HC'!T185+'BTX Recycling HC'!T237+'BTX Recycling HC'!T271+'BTX Recycling HC'!T110)-'Overall recycling rates'!$I$60/SUM('Overall recycling rates'!$I$60:$I$62)*('BTX Recycling HC'!T186+'BTX Recycling HC'!T238+'BTX Recycling HC'!T272+'BTX Recycling HC'!T111)</f>
        <v>26.277690714188324</v>
      </c>
      <c r="V110" s="60">
        <f>V58+V64-'Overall recycling rates'!$G$60/SUM('Overall recycling rates'!$G$60:$G$62)*('BTX Recycling HC'!U183+'BTX Recycling HC'!U235+'BTX Recycling HC'!U269+'BTX Recycling HC'!U108)-'Overall recycling rates'!$E$60/SUM('Overall recycling rates'!$E$60:$E$62)*('BTX Recycling HC'!U184+'BTX Recycling HC'!U236+'BTX Recycling HC'!U270+'BTX Recycling HC'!U109)-'Overall recycling rates'!$H$60/SUM('Overall recycling rates'!$H$60:$H$62)*('BTX Recycling HC'!U185+'BTX Recycling HC'!U237+'BTX Recycling HC'!U271+'BTX Recycling HC'!U110)-'Overall recycling rates'!$I$60/SUM('Overall recycling rates'!$I$60:$I$62)*('BTX Recycling HC'!U186+'BTX Recycling HC'!U238+'BTX Recycling HC'!U272+'BTX Recycling HC'!U111)</f>
        <v>26.143438903589253</v>
      </c>
      <c r="W110" s="60">
        <f>W58+W64-'Overall recycling rates'!$G$60/SUM('Overall recycling rates'!$G$60:$G$62)*('BTX Recycling HC'!V183+'BTX Recycling HC'!V235+'BTX Recycling HC'!V269+'BTX Recycling HC'!V108)-'Overall recycling rates'!$E$60/SUM('Overall recycling rates'!$E$60:$E$62)*('BTX Recycling HC'!V184+'BTX Recycling HC'!V236+'BTX Recycling HC'!V270+'BTX Recycling HC'!V109)-'Overall recycling rates'!$H$60/SUM('Overall recycling rates'!$H$60:$H$62)*('BTX Recycling HC'!V185+'BTX Recycling HC'!V237+'BTX Recycling HC'!V271+'BTX Recycling HC'!V110)-'Overall recycling rates'!$I$60/SUM('Overall recycling rates'!$I$60:$I$62)*('BTX Recycling HC'!V186+'BTX Recycling HC'!V238+'BTX Recycling HC'!V272+'BTX Recycling HC'!V111)</f>
        <v>26.010540963651678</v>
      </c>
      <c r="X110" s="60">
        <f>X58+X64-'Overall recycling rates'!$G$60/SUM('Overall recycling rates'!$G$60:$G$62)*('BTX Recycling HC'!W183+'BTX Recycling HC'!W235+'BTX Recycling HC'!W269+'BTX Recycling HC'!W108)-'Overall recycling rates'!$E$60/SUM('Overall recycling rates'!$E$60:$E$62)*('BTX Recycling HC'!W184+'BTX Recycling HC'!W236+'BTX Recycling HC'!W270+'BTX Recycling HC'!W109)-'Overall recycling rates'!$H$60/SUM('Overall recycling rates'!$H$60:$H$62)*('BTX Recycling HC'!W185+'BTX Recycling HC'!W237+'BTX Recycling HC'!W271+'BTX Recycling HC'!W110)-'Overall recycling rates'!$I$60/SUM('Overall recycling rates'!$I$60:$I$62)*('BTX Recycling HC'!W186+'BTX Recycling HC'!W238+'BTX Recycling HC'!W272+'BTX Recycling HC'!W111)</f>
        <v>25.87945617465029</v>
      </c>
      <c r="Y110" s="60">
        <f>Y58+Y64-'Overall recycling rates'!$G$60/SUM('Overall recycling rates'!$G$60:$G$62)*('BTX Recycling HC'!X183+'BTX Recycling HC'!X235+'BTX Recycling HC'!X269+'BTX Recycling HC'!X108)-'Overall recycling rates'!$E$60/SUM('Overall recycling rates'!$E$60:$E$62)*('BTX Recycling HC'!X184+'BTX Recycling HC'!X236+'BTX Recycling HC'!X270+'BTX Recycling HC'!X109)-'Overall recycling rates'!$H$60/SUM('Overall recycling rates'!$H$60:$H$62)*('BTX Recycling HC'!X185+'BTX Recycling HC'!X237+'BTX Recycling HC'!X271+'BTX Recycling HC'!X110)-'Overall recycling rates'!$I$60/SUM('Overall recycling rates'!$I$60:$I$62)*('BTX Recycling HC'!X186+'BTX Recycling HC'!X238+'BTX Recycling HC'!X272+'BTX Recycling HC'!X111)</f>
        <v>25.223281908303122</v>
      </c>
      <c r="Z110" s="60">
        <f>Z58+Z64-'Overall recycling rates'!$G$60/SUM('Overall recycling rates'!$G$60:$G$62)*('BTX Recycling HC'!Y183+'BTX Recycling HC'!Y235+'BTX Recycling HC'!Y269+'BTX Recycling HC'!Y108)-'Overall recycling rates'!$E$60/SUM('Overall recycling rates'!$E$60:$E$62)*('BTX Recycling HC'!Y184+'BTX Recycling HC'!Y236+'BTX Recycling HC'!Y270+'BTX Recycling HC'!Y109)-'Overall recycling rates'!$H$60/SUM('Overall recycling rates'!$H$60:$H$62)*('BTX Recycling HC'!Y185+'BTX Recycling HC'!Y237+'BTX Recycling HC'!Y271+'BTX Recycling HC'!Y110)-'Overall recycling rates'!$I$60/SUM('Overall recycling rates'!$I$60:$I$62)*('BTX Recycling HC'!Y186+'BTX Recycling HC'!Y238+'BTX Recycling HC'!Y272+'BTX Recycling HC'!Y111)</f>
        <v>24.571002550755292</v>
      </c>
      <c r="AA110" s="60">
        <f>AA58+AA64-'Overall recycling rates'!$G$60/SUM('Overall recycling rates'!$G$60:$G$62)*('BTX Recycling HC'!Z183+'BTX Recycling HC'!Z235+'BTX Recycling HC'!Z269+'BTX Recycling HC'!Z108)-'Overall recycling rates'!$E$60/SUM('Overall recycling rates'!$E$60:$E$62)*('BTX Recycling HC'!Z184+'BTX Recycling HC'!Z236+'BTX Recycling HC'!Z270+'BTX Recycling HC'!Z109)-'Overall recycling rates'!$H$60/SUM('Overall recycling rates'!$H$60:$H$62)*('BTX Recycling HC'!Z185+'BTX Recycling HC'!Z237+'BTX Recycling HC'!Z271+'BTX Recycling HC'!Z110)-'Overall recycling rates'!$I$60/SUM('Overall recycling rates'!$I$60:$I$62)*('BTX Recycling HC'!Z186+'BTX Recycling HC'!Z238+'BTX Recycling HC'!Z272+'BTX Recycling HC'!Z111)</f>
        <v>23.924103583944593</v>
      </c>
      <c r="AB110" s="60">
        <f>AB58+AB64-'Overall recycling rates'!$G$60/SUM('Overall recycling rates'!$G$60:$G$62)*('BTX Recycling HC'!AA183+'BTX Recycling HC'!AA235+'BTX Recycling HC'!AA269+'BTX Recycling HC'!AA108)-'Overall recycling rates'!$E$60/SUM('Overall recycling rates'!$E$60:$E$62)*('BTX Recycling HC'!AA184+'BTX Recycling HC'!AA236+'BTX Recycling HC'!AA270+'BTX Recycling HC'!AA109)-'Overall recycling rates'!$H$60/SUM('Overall recycling rates'!$H$60:$H$62)*('BTX Recycling HC'!AA185+'BTX Recycling HC'!AA237+'BTX Recycling HC'!AA271+'BTX Recycling HC'!AA110)-'Overall recycling rates'!$I$60/SUM('Overall recycling rates'!$I$60:$I$62)*('BTX Recycling HC'!AA186+'BTX Recycling HC'!AA238+'BTX Recycling HC'!AA272+'BTX Recycling HC'!AA111)</f>
        <v>23.282699212238668</v>
      </c>
      <c r="AC110" s="60">
        <f>AC58+AC64-'Overall recycling rates'!$G$60/SUM('Overall recycling rates'!$G$60:$G$62)*('BTX Recycling HC'!AB183+'BTX Recycling HC'!AB235+'BTX Recycling HC'!AB269+'BTX Recycling HC'!AB108)-'Overall recycling rates'!$E$60/SUM('Overall recycling rates'!$E$60:$E$62)*('BTX Recycling HC'!AB184+'BTX Recycling HC'!AB236+'BTX Recycling HC'!AB270+'BTX Recycling HC'!AB109)-'Overall recycling rates'!$H$60/SUM('Overall recycling rates'!$H$60:$H$62)*('BTX Recycling HC'!AB185+'BTX Recycling HC'!AB237+'BTX Recycling HC'!AB271+'BTX Recycling HC'!AB110)-'Overall recycling rates'!$I$60/SUM('Overall recycling rates'!$I$60:$I$62)*('BTX Recycling HC'!AB186+'BTX Recycling HC'!AB238+'BTX Recycling HC'!AB272+'BTX Recycling HC'!AB111)</f>
        <v>22.647624621495606</v>
      </c>
      <c r="AD110" s="60">
        <f>AD58+AD64-'Overall recycling rates'!$G$60/SUM('Overall recycling rates'!$G$60:$G$62)*('BTX Recycling HC'!AC183+'BTX Recycling HC'!AC235+'BTX Recycling HC'!AC269+'BTX Recycling HC'!AC108)-'Overall recycling rates'!$E$60/SUM('Overall recycling rates'!$E$60:$E$62)*('BTX Recycling HC'!AC184+'BTX Recycling HC'!AC236+'BTX Recycling HC'!AC270+'BTX Recycling HC'!AC109)-'Overall recycling rates'!$H$60/SUM('Overall recycling rates'!$H$60:$H$62)*('BTX Recycling HC'!AC185+'BTX Recycling HC'!AC237+'BTX Recycling HC'!AC271+'BTX Recycling HC'!AC110)-'Overall recycling rates'!$I$60/SUM('Overall recycling rates'!$I$60:$I$62)*('BTX Recycling HC'!AC186+'BTX Recycling HC'!AC238+'BTX Recycling HC'!AC272+'BTX Recycling HC'!AC111)</f>
        <v>21.912874438672855</v>
      </c>
      <c r="AE110" s="60">
        <f>AE58+AE64-'Overall recycling rates'!$G$60/SUM('Overall recycling rates'!$G$60:$G$62)*('BTX Recycling HC'!AD183+'BTX Recycling HC'!AD235+'BTX Recycling HC'!AD269+'BTX Recycling HC'!AD108)-'Overall recycling rates'!$E$60/SUM('Overall recycling rates'!$E$60:$E$62)*('BTX Recycling HC'!AD184+'BTX Recycling HC'!AD236+'BTX Recycling HC'!AD270+'BTX Recycling HC'!AD109)-'Overall recycling rates'!$H$60/SUM('Overall recycling rates'!$H$60:$H$62)*('BTX Recycling HC'!AD185+'BTX Recycling HC'!AD237+'BTX Recycling HC'!AD271+'BTX Recycling HC'!AD110)-'Overall recycling rates'!$I$60/SUM('Overall recycling rates'!$I$60:$I$62)*('BTX Recycling HC'!AD186+'BTX Recycling HC'!AD238+'BTX Recycling HC'!AD272+'BTX Recycling HC'!AD111)</f>
        <v>21.187545496720428</v>
      </c>
      <c r="AF110" s="60">
        <f>AF58+AF64-'Overall recycling rates'!$G$60/SUM('Overall recycling rates'!$G$60:$G$62)*('BTX Recycling HC'!AE183+'BTX Recycling HC'!AE235+'BTX Recycling HC'!AE269+'BTX Recycling HC'!AE108)-'Overall recycling rates'!$E$60/SUM('Overall recycling rates'!$E$60:$E$62)*('BTX Recycling HC'!AE184+'BTX Recycling HC'!AE236+'BTX Recycling HC'!AE270+'BTX Recycling HC'!AE109)-'Overall recycling rates'!$H$60/SUM('Overall recycling rates'!$H$60:$H$62)*('BTX Recycling HC'!AE185+'BTX Recycling HC'!AE237+'BTX Recycling HC'!AE271+'BTX Recycling HC'!AE110)-'Overall recycling rates'!$I$60/SUM('Overall recycling rates'!$I$60:$I$62)*('BTX Recycling HC'!AE186+'BTX Recycling HC'!AE238+'BTX Recycling HC'!AE272+'BTX Recycling HC'!AE111)</f>
        <v>20.472679154770297</v>
      </c>
      <c r="AG110" s="60">
        <f>AG58+AG64-'Overall recycling rates'!$G$60/SUM('Overall recycling rates'!$G$60:$G$62)*('BTX Recycling HC'!AF183+'BTX Recycling HC'!AF235+'BTX Recycling HC'!AF269+'BTX Recycling HC'!AF108)-'Overall recycling rates'!$E$60/SUM('Overall recycling rates'!$E$60:$E$62)*('BTX Recycling HC'!AF184+'BTX Recycling HC'!AF236+'BTX Recycling HC'!AF270+'BTX Recycling HC'!AF109)-'Overall recycling rates'!$H$60/SUM('Overall recycling rates'!$H$60:$H$62)*('BTX Recycling HC'!AF185+'BTX Recycling HC'!AF237+'BTX Recycling HC'!AF271+'BTX Recycling HC'!AF110)-'Overall recycling rates'!$I$60/SUM('Overall recycling rates'!$I$60:$I$62)*('BTX Recycling HC'!AF186+'BTX Recycling HC'!AF238+'BTX Recycling HC'!AF272+'BTX Recycling HC'!AF111)</f>
        <v>19.769391153594359</v>
      </c>
      <c r="AH110" s="60">
        <f>AH58+AH64-'Overall recycling rates'!$G$60/SUM('Overall recycling rates'!$G$60:$G$62)*('BTX Recycling HC'!AG183+'BTX Recycling HC'!AG235+'BTX Recycling HC'!AG269+'BTX Recycling HC'!AG108)-'Overall recycling rates'!$E$60/SUM('Overall recycling rates'!$E$60:$E$62)*('BTX Recycling HC'!AG184+'BTX Recycling HC'!AG236+'BTX Recycling HC'!AG270+'BTX Recycling HC'!AG109)-'Overall recycling rates'!$H$60/SUM('Overall recycling rates'!$H$60:$H$62)*('BTX Recycling HC'!AG185+'BTX Recycling HC'!AG237+'BTX Recycling HC'!AG271+'BTX Recycling HC'!AG110)-'Overall recycling rates'!$I$60/SUM('Overall recycling rates'!$I$60:$I$62)*('BTX Recycling HC'!AG186+'BTX Recycling HC'!AG238+'BTX Recycling HC'!AG272+'BTX Recycling HC'!AG111)</f>
        <v>19.078878685073221</v>
      </c>
      <c r="AJ110" s="60">
        <f>AJ58+AJ64-'Overall recycling rates'!$G$60/SUM('Overall recycling rates'!$G$60:$G$62)*('BTX Recycling HC'!C183+'BTX Recycling HC'!C235+'BTX Recycling HC'!C269+'BTX Recycling HC'!C108)-'Overall recycling rates'!$E$60/SUM('Overall recycling rates'!$E$60:$E$62)*('BTX Recycling HC'!C184+'BTX Recycling HC'!C236+'BTX Recycling HC'!C270+'BTX Recycling HC'!C109)-'Overall recycling rates'!$H$60/SUM('Overall recycling rates'!$H$60:$H$62)*('BTX Recycling HC'!C185+'BTX Recycling HC'!C237+'BTX Recycling HC'!C271+'BTX Recycling HC'!C110)-'Overall recycling rates'!$I$60/SUM('Overall recycling rates'!$I$60:$I$62)*('BTX Recycling HC'!C186+'BTX Recycling HC'!C238+'BTX Recycling HC'!C272+'BTX Recycling HC'!C111)</f>
        <v>19.499127736654014</v>
      </c>
      <c r="AK110" s="60">
        <f>AK58+AK64-'Overall recycling rates'!$G$60/SUM('Overall recycling rates'!$G$60:$G$62)*('BTX Recycling HC'!D183+'BTX Recycling HC'!D235+'BTX Recycling HC'!D269+'BTX Recycling HC'!D108)-'Overall recycling rates'!$E$60/SUM('Overall recycling rates'!$E$60:$E$62)*('BTX Recycling HC'!D184+'BTX Recycling HC'!D236+'BTX Recycling HC'!D270+'BTX Recycling HC'!D109)-'Overall recycling rates'!$H$60/SUM('Overall recycling rates'!$H$60:$H$62)*('BTX Recycling HC'!D185+'BTX Recycling HC'!D237+'BTX Recycling HC'!D271+'BTX Recycling HC'!D110)-'Overall recycling rates'!$I$60/SUM('Overall recycling rates'!$I$60:$I$62)*('BTX Recycling HC'!D186+'BTX Recycling HC'!D238+'BTX Recycling HC'!D272+'BTX Recycling HC'!D111)</f>
        <v>20.607491178797645</v>
      </c>
      <c r="AL110" s="60">
        <f>AL58+AL64-'Overall recycling rates'!$G$60/SUM('Overall recycling rates'!$G$60:$G$62)*('BTX Recycling HC'!E183+'BTX Recycling HC'!E235+'BTX Recycling HC'!E269+'BTX Recycling HC'!E108)-'Overall recycling rates'!$E$60/SUM('Overall recycling rates'!$E$60:$E$62)*('BTX Recycling HC'!E184+'BTX Recycling HC'!E236+'BTX Recycling HC'!E270+'BTX Recycling HC'!E109)-'Overall recycling rates'!$H$60/SUM('Overall recycling rates'!$H$60:$H$62)*('BTX Recycling HC'!E185+'BTX Recycling HC'!E237+'BTX Recycling HC'!E271+'BTX Recycling HC'!E110)-'Overall recycling rates'!$I$60/SUM('Overall recycling rates'!$I$60:$I$62)*('BTX Recycling HC'!E186+'BTX Recycling HC'!E238+'BTX Recycling HC'!E272+'BTX Recycling HC'!E111)</f>
        <v>21.697079560258121</v>
      </c>
      <c r="AM110" s="60">
        <f>AM58+AM64-'Overall recycling rates'!$G$60/SUM('Overall recycling rates'!$G$60:$G$62)*('BTX Recycling HC'!F183+'BTX Recycling HC'!F235+'BTX Recycling HC'!F269+'BTX Recycling HC'!F108)-'Overall recycling rates'!$E$60/SUM('Overall recycling rates'!$E$60:$E$62)*('BTX Recycling HC'!F184+'BTX Recycling HC'!F236+'BTX Recycling HC'!F270+'BTX Recycling HC'!F109)-'Overall recycling rates'!$H$60/SUM('Overall recycling rates'!$H$60:$H$62)*('BTX Recycling HC'!F185+'BTX Recycling HC'!F237+'BTX Recycling HC'!F271+'BTX Recycling HC'!F110)-'Overall recycling rates'!$I$60/SUM('Overall recycling rates'!$I$60:$I$62)*('BTX Recycling HC'!F186+'BTX Recycling HC'!F238+'BTX Recycling HC'!F272+'BTX Recycling HC'!F111)</f>
        <v>22.815459796761495</v>
      </c>
      <c r="AN110" s="60">
        <f>AN58+AN64-'Overall recycling rates'!$G$60/SUM('Overall recycling rates'!$G$60:$G$62)*('BTX Recycling HC'!G183+'BTX Recycling HC'!G235+'BTX Recycling HC'!G269+'BTX Recycling HC'!G108)-'Overall recycling rates'!$E$60/SUM('Overall recycling rates'!$E$60:$E$62)*('BTX Recycling HC'!G184+'BTX Recycling HC'!G236+'BTX Recycling HC'!G270+'BTX Recycling HC'!G109)-'Overall recycling rates'!$H$60/SUM('Overall recycling rates'!$H$60:$H$62)*('BTX Recycling HC'!G185+'BTX Recycling HC'!G237+'BTX Recycling HC'!G271+'BTX Recycling HC'!G110)-'Overall recycling rates'!$I$60/SUM('Overall recycling rates'!$I$60:$I$62)*('BTX Recycling HC'!G186+'BTX Recycling HC'!G238+'BTX Recycling HC'!G272+'BTX Recycling HC'!G111)</f>
        <v>23.963752040635878</v>
      </c>
      <c r="AO110" s="60">
        <f>AO58+AO64-'Overall recycling rates'!$G$60/SUM('Overall recycling rates'!$G$60:$G$62)*('BTX Recycling HC'!H183+'BTX Recycling HC'!H235+'BTX Recycling HC'!H269+'BTX Recycling HC'!H108)-'Overall recycling rates'!$E$60/SUM('Overall recycling rates'!$E$60:$E$62)*('BTX Recycling HC'!H184+'BTX Recycling HC'!H236+'BTX Recycling HC'!H270+'BTX Recycling HC'!H109)-'Overall recycling rates'!$H$60/SUM('Overall recycling rates'!$H$60:$H$62)*('BTX Recycling HC'!H185+'BTX Recycling HC'!H237+'BTX Recycling HC'!H271+'BTX Recycling HC'!H110)-'Overall recycling rates'!$I$60/SUM('Overall recycling rates'!$I$60:$I$62)*('BTX Recycling HC'!H186+'BTX Recycling HC'!H238+'BTX Recycling HC'!H272+'BTX Recycling HC'!H111)</f>
        <v>25.143103742614944</v>
      </c>
      <c r="AP110" s="60">
        <f>AP58+AP64-'Overall recycling rates'!$G$60/SUM('Overall recycling rates'!$G$60:$G$62)*('BTX Recycling HC'!I183+'BTX Recycling HC'!I235+'BTX Recycling HC'!I269+'BTX Recycling HC'!I108)-'Overall recycling rates'!$E$60/SUM('Overall recycling rates'!$E$60:$E$62)*('BTX Recycling HC'!I184+'BTX Recycling HC'!I236+'BTX Recycling HC'!I270+'BTX Recycling HC'!I109)-'Overall recycling rates'!$H$60/SUM('Overall recycling rates'!$H$60:$H$62)*('BTX Recycling HC'!I185+'BTX Recycling HC'!I237+'BTX Recycling HC'!I271+'BTX Recycling HC'!I110)-'Overall recycling rates'!$I$60/SUM('Overall recycling rates'!$I$60:$I$62)*('BTX Recycling HC'!I186+'BTX Recycling HC'!I238+'BTX Recycling HC'!I272+'BTX Recycling HC'!I111)</f>
        <v>25.70316004074375</v>
      </c>
      <c r="AQ110" s="60">
        <f>AQ58+AQ64-'Overall recycling rates'!$G$60/SUM('Overall recycling rates'!$G$60:$G$62)*('BTX Recycling HC'!J183+'BTX Recycling HC'!J235+'BTX Recycling HC'!J269+'BTX Recycling HC'!J108)-'Overall recycling rates'!$E$60/SUM('Overall recycling rates'!$E$60:$E$62)*('BTX Recycling HC'!J184+'BTX Recycling HC'!J236+'BTX Recycling HC'!J270+'BTX Recycling HC'!J109)-'Overall recycling rates'!$H$60/SUM('Overall recycling rates'!$H$60:$H$62)*('BTX Recycling HC'!J185+'BTX Recycling HC'!J237+'BTX Recycling HC'!J271+'BTX Recycling HC'!J110)-'Overall recycling rates'!$I$60/SUM('Overall recycling rates'!$I$60:$I$62)*('BTX Recycling HC'!J186+'BTX Recycling HC'!J238+'BTX Recycling HC'!J272+'BTX Recycling HC'!J111)</f>
        <v>26.272527616770585</v>
      </c>
      <c r="AR110" s="60">
        <f>AR58+AR64-'Overall recycling rates'!$G$60/SUM('Overall recycling rates'!$G$60:$G$62)*('BTX Recycling HC'!K183+'BTX Recycling HC'!K235+'BTX Recycling HC'!K269+'BTX Recycling HC'!K108)-'Overall recycling rates'!$E$60/SUM('Overall recycling rates'!$E$60:$E$62)*('BTX Recycling HC'!K184+'BTX Recycling HC'!K236+'BTX Recycling HC'!K270+'BTX Recycling HC'!K109)-'Overall recycling rates'!$H$60/SUM('Overall recycling rates'!$H$60:$H$62)*('BTX Recycling HC'!K185+'BTX Recycling HC'!K237+'BTX Recycling HC'!K271+'BTX Recycling HC'!K110)-'Overall recycling rates'!$I$60/SUM('Overall recycling rates'!$I$60:$I$62)*('BTX Recycling HC'!K186+'BTX Recycling HC'!K238+'BTX Recycling HC'!K272+'BTX Recycling HC'!K111)</f>
        <v>26.851497520271582</v>
      </c>
      <c r="AS110" s="60">
        <f>AS58+AS64-'Overall recycling rates'!$G$60/SUM('Overall recycling rates'!$G$60:$G$62)*('BTX Recycling HC'!L183+'BTX Recycling HC'!L235+'BTX Recycling HC'!L269+'BTX Recycling HC'!L108)-'Overall recycling rates'!$E$60/SUM('Overall recycling rates'!$E$60:$E$62)*('BTX Recycling HC'!L184+'BTX Recycling HC'!L236+'BTX Recycling HC'!L270+'BTX Recycling HC'!L109)-'Overall recycling rates'!$H$60/SUM('Overall recycling rates'!$H$60:$H$62)*('BTX Recycling HC'!L185+'BTX Recycling HC'!L237+'BTX Recycling HC'!L271+'BTX Recycling HC'!L110)-'Overall recycling rates'!$I$60/SUM('Overall recycling rates'!$I$60:$I$62)*('BTX Recycling HC'!L186+'BTX Recycling HC'!L238+'BTX Recycling HC'!L272+'BTX Recycling HC'!L111)</f>
        <v>27.440377287554877</v>
      </c>
      <c r="AT110" s="60">
        <f>AT58+AT64-'Overall recycling rates'!$G$60/SUM('Overall recycling rates'!$G$60:$G$62)*('BTX Recycling HC'!M183+'BTX Recycling HC'!M235+'BTX Recycling HC'!M269+'BTX Recycling HC'!M108)-'Overall recycling rates'!$E$60/SUM('Overall recycling rates'!$E$60:$E$62)*('BTX Recycling HC'!M184+'BTX Recycling HC'!M236+'BTX Recycling HC'!M270+'BTX Recycling HC'!M109)-'Overall recycling rates'!$H$60/SUM('Overall recycling rates'!$H$60:$H$62)*('BTX Recycling HC'!M185+'BTX Recycling HC'!M237+'BTX Recycling HC'!M271+'BTX Recycling HC'!M110)-'Overall recycling rates'!$I$60/SUM('Overall recycling rates'!$I$60:$I$62)*('BTX Recycling HC'!M186+'BTX Recycling HC'!M238+'BTX Recycling HC'!M272+'BTX Recycling HC'!M111)</f>
        <v>28.039491858452831</v>
      </c>
      <c r="AU110" s="60">
        <f>AU58+AU64-'Overall recycling rates'!$G$60/SUM('Overall recycling rates'!$G$60:$G$62)*('BTX Recycling HC'!N183+'BTX Recycling HC'!N235+'BTX Recycling HC'!N269+'BTX Recycling HC'!N108)-'Overall recycling rates'!$E$60/SUM('Overall recycling rates'!$E$60:$E$62)*('BTX Recycling HC'!N184+'BTX Recycling HC'!N236+'BTX Recycling HC'!N270+'BTX Recycling HC'!N109)-'Overall recycling rates'!$H$60/SUM('Overall recycling rates'!$H$60:$H$62)*('BTX Recycling HC'!N185+'BTX Recycling HC'!N237+'BTX Recycling HC'!N271+'BTX Recycling HC'!N110)-'Overall recycling rates'!$I$60/SUM('Overall recycling rates'!$I$60:$I$62)*('BTX Recycling HC'!N186+'BTX Recycling HC'!N238+'BTX Recycling HC'!N272+'BTX Recycling HC'!N111)</f>
        <v>28.038880715805739</v>
      </c>
      <c r="AV110" s="60">
        <f>AV58+AV64-'Overall recycling rates'!$G$60/SUM('Overall recycling rates'!$G$60:$G$62)*('BTX Recycling HC'!O183+'BTX Recycling HC'!O235+'BTX Recycling HC'!O269+'BTX Recycling HC'!O108)-'Overall recycling rates'!$E$60/SUM('Overall recycling rates'!$E$60:$E$62)*('BTX Recycling HC'!O184+'BTX Recycling HC'!O236+'BTX Recycling HC'!O270+'BTX Recycling HC'!O109)-'Overall recycling rates'!$H$60/SUM('Overall recycling rates'!$H$60:$H$62)*('BTX Recycling HC'!O185+'BTX Recycling HC'!O237+'BTX Recycling HC'!O271+'BTX Recycling HC'!O110)-'Overall recycling rates'!$I$60/SUM('Overall recycling rates'!$I$60:$I$62)*('BTX Recycling HC'!O186+'BTX Recycling HC'!O238+'BTX Recycling HC'!O272+'BTX Recycling HC'!O111)</f>
        <v>28.040058677591954</v>
      </c>
      <c r="AW110" s="60">
        <f>AW58+AW64-'Overall recycling rates'!$G$60/SUM('Overall recycling rates'!$G$60:$G$62)*('BTX Recycling HC'!P183+'BTX Recycling HC'!P235+'BTX Recycling HC'!P269+'BTX Recycling HC'!P108)-'Overall recycling rates'!$E$60/SUM('Overall recycling rates'!$E$60:$E$62)*('BTX Recycling HC'!P184+'BTX Recycling HC'!P236+'BTX Recycling HC'!P270+'BTX Recycling HC'!P109)-'Overall recycling rates'!$H$60/SUM('Overall recycling rates'!$H$60:$H$62)*('BTX Recycling HC'!P185+'BTX Recycling HC'!P237+'BTX Recycling HC'!P271+'BTX Recycling HC'!P110)-'Overall recycling rates'!$I$60/SUM('Overall recycling rates'!$I$60:$I$62)*('BTX Recycling HC'!P186+'BTX Recycling HC'!P238+'BTX Recycling HC'!P272+'BTX Recycling HC'!P111)</f>
        <v>28.044124383664499</v>
      </c>
      <c r="AX110" s="60">
        <f>AX58+AX64-'Overall recycling rates'!$G$60/SUM('Overall recycling rates'!$G$60:$G$62)*('BTX Recycling HC'!Q183+'BTX Recycling HC'!Q235+'BTX Recycling HC'!Q269+'BTX Recycling HC'!Q108)-'Overall recycling rates'!$E$60/SUM('Overall recycling rates'!$E$60:$E$62)*('BTX Recycling HC'!Q184+'BTX Recycling HC'!Q236+'BTX Recycling HC'!Q270+'BTX Recycling HC'!Q109)-'Overall recycling rates'!$H$60/SUM('Overall recycling rates'!$H$60:$H$62)*('BTX Recycling HC'!Q185+'BTX Recycling HC'!Q237+'BTX Recycling HC'!Q271+'BTX Recycling HC'!Q110)-'Overall recycling rates'!$I$60/SUM('Overall recycling rates'!$I$60:$I$62)*('BTX Recycling HC'!Q186+'BTX Recycling HC'!Q238+'BTX Recycling HC'!Q272+'BTX Recycling HC'!Q111)</f>
        <v>28.051847857592112</v>
      </c>
      <c r="AY110" s="60">
        <f>AY58+AY64-'Overall recycling rates'!$G$60/SUM('Overall recycling rates'!$G$60:$G$62)*('BTX Recycling HC'!R183+'BTX Recycling HC'!R235+'BTX Recycling HC'!R269+'BTX Recycling HC'!R108)-'Overall recycling rates'!$E$60/SUM('Overall recycling rates'!$E$60:$E$62)*('BTX Recycling HC'!R184+'BTX Recycling HC'!R236+'BTX Recycling HC'!R270+'BTX Recycling HC'!R109)-'Overall recycling rates'!$H$60/SUM('Overall recycling rates'!$H$60:$H$62)*('BTX Recycling HC'!R185+'BTX Recycling HC'!R237+'BTX Recycling HC'!R271+'BTX Recycling HC'!R110)-'Overall recycling rates'!$I$60/SUM('Overall recycling rates'!$I$60:$I$62)*('BTX Recycling HC'!R186+'BTX Recycling HC'!R238+'BTX Recycling HC'!R272+'BTX Recycling HC'!R111)</f>
        <v>28.064173868035564</v>
      </c>
      <c r="AZ110" s="60">
        <f>AZ58+AZ64-'Overall recycling rates'!$G$60/SUM('Overall recycling rates'!$G$60:$G$62)*('BTX Recycling HC'!S183+'BTX Recycling HC'!S235+'BTX Recycling HC'!S269+'BTX Recycling HC'!S108)-'Overall recycling rates'!$E$60/SUM('Overall recycling rates'!$E$60:$E$62)*('BTX Recycling HC'!S184+'BTX Recycling HC'!S236+'BTX Recycling HC'!S270+'BTX Recycling HC'!S109)-'Overall recycling rates'!$H$60/SUM('Overall recycling rates'!$H$60:$H$62)*('BTX Recycling HC'!S185+'BTX Recycling HC'!S237+'BTX Recycling HC'!S271+'BTX Recycling HC'!S110)-'Overall recycling rates'!$I$60/SUM('Overall recycling rates'!$I$60:$I$62)*('BTX Recycling HC'!S186+'BTX Recycling HC'!S238+'BTX Recycling HC'!S272+'BTX Recycling HC'!S111)</f>
        <v>28.038619583871458</v>
      </c>
      <c r="BA110" s="60">
        <f>BA58+BA64-'Overall recycling rates'!$G$60/SUM('Overall recycling rates'!$G$60:$G$62)*('BTX Recycling HC'!T183+'BTX Recycling HC'!T235+'BTX Recycling HC'!T269+'BTX Recycling HC'!T108)-'Overall recycling rates'!$E$60/SUM('Overall recycling rates'!$E$60:$E$62)*('BTX Recycling HC'!T184+'BTX Recycling HC'!T236+'BTX Recycling HC'!T270+'BTX Recycling HC'!T109)-'Overall recycling rates'!$H$60/SUM('Overall recycling rates'!$H$60:$H$62)*('BTX Recycling HC'!T185+'BTX Recycling HC'!T237+'BTX Recycling HC'!T271+'BTX Recycling HC'!T110)-'Overall recycling rates'!$I$60/SUM('Overall recycling rates'!$I$60:$I$62)*('BTX Recycling HC'!T186+'BTX Recycling HC'!T238+'BTX Recycling HC'!T272+'BTX Recycling HC'!T111)</f>
        <v>28.014754873211828</v>
      </c>
      <c r="BB110" s="60">
        <f>BB58+BB64-'Overall recycling rates'!$G$60/SUM('Overall recycling rates'!$G$60:$G$62)*('BTX Recycling HC'!U183+'BTX Recycling HC'!U235+'BTX Recycling HC'!U269+'BTX Recycling HC'!U108)-'Overall recycling rates'!$E$60/SUM('Overall recycling rates'!$E$60:$E$62)*('BTX Recycling HC'!U184+'BTX Recycling HC'!U236+'BTX Recycling HC'!U270+'BTX Recycling HC'!U109)-'Overall recycling rates'!$H$60/SUM('Overall recycling rates'!$H$60:$H$62)*('BTX Recycling HC'!U185+'BTX Recycling HC'!U237+'BTX Recycling HC'!U271+'BTX Recycling HC'!U110)-'Overall recycling rates'!$I$60/SUM('Overall recycling rates'!$I$60:$I$62)*('BTX Recycling HC'!U186+'BTX Recycling HC'!U238+'BTX Recycling HC'!U272+'BTX Recycling HC'!U111)</f>
        <v>27.9929808070398</v>
      </c>
      <c r="BC110" s="60">
        <f>BC58+BC64-'Overall recycling rates'!$G$60/SUM('Overall recycling rates'!$G$60:$G$62)*('BTX Recycling HC'!V183+'BTX Recycling HC'!V235+'BTX Recycling HC'!V269+'BTX Recycling HC'!V108)-'Overall recycling rates'!$E$60/SUM('Overall recycling rates'!$E$60:$E$62)*('BTX Recycling HC'!V184+'BTX Recycling HC'!V236+'BTX Recycling HC'!V270+'BTX Recycling HC'!V109)-'Overall recycling rates'!$H$60/SUM('Overall recycling rates'!$H$60:$H$62)*('BTX Recycling HC'!V185+'BTX Recycling HC'!V237+'BTX Recycling HC'!V271+'BTX Recycling HC'!V110)-'Overall recycling rates'!$I$60/SUM('Overall recycling rates'!$I$60:$I$62)*('BTX Recycling HC'!V186+'BTX Recycling HC'!V238+'BTX Recycling HC'!V272+'BTX Recycling HC'!V111)</f>
        <v>27.973727762937454</v>
      </c>
      <c r="BD110" s="60">
        <f>BD58+BD64-'Overall recycling rates'!$G$60/SUM('Overall recycling rates'!$G$60:$G$62)*('BTX Recycling HC'!W183+'BTX Recycling HC'!W235+'BTX Recycling HC'!W269+'BTX Recycling HC'!W108)-'Overall recycling rates'!$E$60/SUM('Overall recycling rates'!$E$60:$E$62)*('BTX Recycling HC'!W184+'BTX Recycling HC'!W236+'BTX Recycling HC'!W270+'BTX Recycling HC'!W109)-'Overall recycling rates'!$H$60/SUM('Overall recycling rates'!$H$60:$H$62)*('BTX Recycling HC'!W185+'BTX Recycling HC'!W237+'BTX Recycling HC'!W271+'BTX Recycling HC'!W110)-'Overall recycling rates'!$I$60/SUM('Overall recycling rates'!$I$60:$I$62)*('BTX Recycling HC'!W186+'BTX Recycling HC'!W238+'BTX Recycling HC'!W272+'BTX Recycling HC'!W111)</f>
        <v>27.957457980398917</v>
      </c>
      <c r="BE110" s="60">
        <f>BE58+BE64-'Overall recycling rates'!$G$60/SUM('Overall recycling rates'!$G$60:$G$62)*('BTX Recycling HC'!X183+'BTX Recycling HC'!X235+'BTX Recycling HC'!X269+'BTX Recycling HC'!X108)-'Overall recycling rates'!$E$60/SUM('Overall recycling rates'!$E$60:$E$62)*('BTX Recycling HC'!X184+'BTX Recycling HC'!X236+'BTX Recycling HC'!X270+'BTX Recycling HC'!X109)-'Overall recycling rates'!$H$60/SUM('Overall recycling rates'!$H$60:$H$62)*('BTX Recycling HC'!X185+'BTX Recycling HC'!X237+'BTX Recycling HC'!X271+'BTX Recycling HC'!X110)-'Overall recycling rates'!$I$60/SUM('Overall recycling rates'!$I$60:$I$62)*('BTX Recycling HC'!X186+'BTX Recycling HC'!X238+'BTX Recycling HC'!X272+'BTX Recycling HC'!X111)</f>
        <v>27.383816906148649</v>
      </c>
      <c r="BF110" s="60">
        <f>BF58+BF64-'Overall recycling rates'!$G$60/SUM('Overall recycling rates'!$G$60:$G$62)*('BTX Recycling HC'!Y183+'BTX Recycling HC'!Y235+'BTX Recycling HC'!Y269+'BTX Recycling HC'!Y108)-'Overall recycling rates'!$E$60/SUM('Overall recycling rates'!$E$60:$E$62)*('BTX Recycling HC'!Y184+'BTX Recycling HC'!Y236+'BTX Recycling HC'!Y270+'BTX Recycling HC'!Y109)-'Overall recycling rates'!$H$60/SUM('Overall recycling rates'!$H$60:$H$62)*('BTX Recycling HC'!Y185+'BTX Recycling HC'!Y237+'BTX Recycling HC'!Y271+'BTX Recycling HC'!Y110)-'Overall recycling rates'!$I$60/SUM('Overall recycling rates'!$I$60:$I$62)*('BTX Recycling HC'!Y186+'BTX Recycling HC'!Y238+'BTX Recycling HC'!Y272+'BTX Recycling HC'!Y111)</f>
        <v>26.811192102109011</v>
      </c>
      <c r="BG110" s="60">
        <f>BG58+BG64-'Overall recycling rates'!$G$60/SUM('Overall recycling rates'!$G$60:$G$62)*('BTX Recycling HC'!Z183+'BTX Recycling HC'!Z235+'BTX Recycling HC'!Z269+'BTX Recycling HC'!Z108)-'Overall recycling rates'!$E$60/SUM('Overall recycling rates'!$E$60:$E$62)*('BTX Recycling HC'!Z184+'BTX Recycling HC'!Z236+'BTX Recycling HC'!Z270+'BTX Recycling HC'!Z109)-'Overall recycling rates'!$H$60/SUM('Overall recycling rates'!$H$60:$H$62)*('BTX Recycling HC'!Z185+'BTX Recycling HC'!Z237+'BTX Recycling HC'!Z271+'BTX Recycling HC'!Z110)-'Overall recycling rates'!$I$60/SUM('Overall recycling rates'!$I$60:$I$62)*('BTX Recycling HC'!Z186+'BTX Recycling HC'!Z238+'BTX Recycling HC'!Z272+'BTX Recycling HC'!Z111)</f>
        <v>26.240996027755678</v>
      </c>
      <c r="BH110" s="60">
        <f>BH58+BH64-'Overall recycling rates'!$G$60/SUM('Overall recycling rates'!$G$60:$G$62)*('BTX Recycling HC'!AA183+'BTX Recycling HC'!AA235+'BTX Recycling HC'!AA269+'BTX Recycling HC'!AA108)-'Overall recycling rates'!$E$60/SUM('Overall recycling rates'!$E$60:$E$62)*('BTX Recycling HC'!AA184+'BTX Recycling HC'!AA236+'BTX Recycling HC'!AA270+'BTX Recycling HC'!AA109)-'Overall recycling rates'!$H$60/SUM('Overall recycling rates'!$H$60:$H$62)*('BTX Recycling HC'!AA185+'BTX Recycling HC'!AA237+'BTX Recycling HC'!AA271+'BTX Recycling HC'!AA110)-'Overall recycling rates'!$I$60/SUM('Overall recycling rates'!$I$60:$I$62)*('BTX Recycling HC'!AA186+'BTX Recycling HC'!AA238+'BTX Recycling HC'!AA272+'BTX Recycling HC'!AA111)</f>
        <v>25.67326867426986</v>
      </c>
      <c r="BI110" s="60">
        <f>BI58+BI64-'Overall recycling rates'!$G$60/SUM('Overall recycling rates'!$G$60:$G$62)*('BTX Recycling HC'!AB183+'BTX Recycling HC'!AB235+'BTX Recycling HC'!AB269+'BTX Recycling HC'!AB108)-'Overall recycling rates'!$E$60/SUM('Overall recycling rates'!$E$60:$E$62)*('BTX Recycling HC'!AB184+'BTX Recycling HC'!AB236+'BTX Recycling HC'!AB270+'BTX Recycling HC'!AB109)-'Overall recycling rates'!$H$60/SUM('Overall recycling rates'!$H$60:$H$62)*('BTX Recycling HC'!AB185+'BTX Recycling HC'!AB237+'BTX Recycling HC'!AB271+'BTX Recycling HC'!AB110)-'Overall recycling rates'!$I$60/SUM('Overall recycling rates'!$I$60:$I$62)*('BTX Recycling HC'!AB186+'BTX Recycling HC'!AB238+'BTX Recycling HC'!AB272+'BTX Recycling HC'!AB111)</f>
        <v>25.108769806754733</v>
      </c>
      <c r="BJ110" s="60">
        <f>BJ58+BJ64-'Overall recycling rates'!$G$60/SUM('Overall recycling rates'!$G$60:$G$62)*('BTX Recycling HC'!AC183+'BTX Recycling HC'!AC235+'BTX Recycling HC'!AC269+'BTX Recycling HC'!AC108)-'Overall recycling rates'!$E$60/SUM('Overall recycling rates'!$E$60:$E$62)*('BTX Recycling HC'!AC184+'BTX Recycling HC'!AC236+'BTX Recycling HC'!AC270+'BTX Recycling HC'!AC109)-'Overall recycling rates'!$H$60/SUM('Overall recycling rates'!$H$60:$H$62)*('BTX Recycling HC'!AC185+'BTX Recycling HC'!AC237+'BTX Recycling HC'!AC271+'BTX Recycling HC'!AC110)-'Overall recycling rates'!$I$60/SUM('Overall recycling rates'!$I$60:$I$62)*('BTX Recycling HC'!AC186+'BTX Recycling HC'!AC238+'BTX Recycling HC'!AC272+'BTX Recycling HC'!AC111)</f>
        <v>24.430127717099204</v>
      </c>
      <c r="BK110" s="60">
        <f>BK58+BK64-'Overall recycling rates'!$G$60/SUM('Overall recycling rates'!$G$60:$G$62)*('BTX Recycling HC'!AD183+'BTX Recycling HC'!AD235+'BTX Recycling HC'!AD269+'BTX Recycling HC'!AD108)-'Overall recycling rates'!$E$60/SUM('Overall recycling rates'!$E$60:$E$62)*('BTX Recycling HC'!AD184+'BTX Recycling HC'!AD236+'BTX Recycling HC'!AD270+'BTX Recycling HC'!AD109)-'Overall recycling rates'!$H$60/SUM('Overall recycling rates'!$H$60:$H$62)*('BTX Recycling HC'!AD185+'BTX Recycling HC'!AD237+'BTX Recycling HC'!AD271+'BTX Recycling HC'!AD110)-'Overall recycling rates'!$I$60/SUM('Overall recycling rates'!$I$60:$I$62)*('BTX Recycling HC'!AD186+'BTX Recycling HC'!AD238+'BTX Recycling HC'!AD272+'BTX Recycling HC'!AD111)</f>
        <v>23.756688340826873</v>
      </c>
      <c r="BL110" s="60">
        <f>BL58+BL64-'Overall recycling rates'!$G$60/SUM('Overall recycling rates'!$G$60:$G$62)*('BTX Recycling HC'!AE183+'BTX Recycling HC'!AE235+'BTX Recycling HC'!AE269+'BTX Recycling HC'!AE108)-'Overall recycling rates'!$E$60/SUM('Overall recycling rates'!$E$60:$E$62)*('BTX Recycling HC'!AE184+'BTX Recycling HC'!AE236+'BTX Recycling HC'!AE270+'BTX Recycling HC'!AE109)-'Overall recycling rates'!$H$60/SUM('Overall recycling rates'!$H$60:$H$62)*('BTX Recycling HC'!AE185+'BTX Recycling HC'!AE237+'BTX Recycling HC'!AE271+'BTX Recycling HC'!AE110)-'Overall recycling rates'!$I$60/SUM('Overall recycling rates'!$I$60:$I$62)*('BTX Recycling HC'!AE186+'BTX Recycling HC'!AE238+'BTX Recycling HC'!AE272+'BTX Recycling HC'!AE111)</f>
        <v>23.089405096761453</v>
      </c>
      <c r="BM110" s="60">
        <f>BM58+BM64-'Overall recycling rates'!$G$60/SUM('Overall recycling rates'!$G$60:$G$62)*('BTX Recycling HC'!AF183+'BTX Recycling HC'!AF235+'BTX Recycling HC'!AF269+'BTX Recycling HC'!AF108)-'Overall recycling rates'!$E$60/SUM('Overall recycling rates'!$E$60:$E$62)*('BTX Recycling HC'!AF184+'BTX Recycling HC'!AF236+'BTX Recycling HC'!AF270+'BTX Recycling HC'!AF109)-'Overall recycling rates'!$H$60/SUM('Overall recycling rates'!$H$60:$H$62)*('BTX Recycling HC'!AF185+'BTX Recycling HC'!AF237+'BTX Recycling HC'!AF271+'BTX Recycling HC'!AF110)-'Overall recycling rates'!$I$60/SUM('Overall recycling rates'!$I$60:$I$62)*('BTX Recycling HC'!AF186+'BTX Recycling HC'!AF238+'BTX Recycling HC'!AF272+'BTX Recycling HC'!AF111)</f>
        <v>22.429304452491568</v>
      </c>
      <c r="BN110" s="60">
        <f>BN58+BN64-'Overall recycling rates'!$G$60/SUM('Overall recycling rates'!$G$60:$G$62)*('BTX Recycling HC'!AG183+'BTX Recycling HC'!AG235+'BTX Recycling HC'!AG269+'BTX Recycling HC'!AG108)-'Overall recycling rates'!$E$60/SUM('Overall recycling rates'!$E$60:$E$62)*('BTX Recycling HC'!AG184+'BTX Recycling HC'!AG236+'BTX Recycling HC'!AG270+'BTX Recycling HC'!AG109)-'Overall recycling rates'!$H$60/SUM('Overall recycling rates'!$H$60:$H$62)*('BTX Recycling HC'!AG185+'BTX Recycling HC'!AG237+'BTX Recycling HC'!AG271+'BTX Recycling HC'!AG110)-'Overall recycling rates'!$I$60/SUM('Overall recycling rates'!$I$60:$I$62)*('BTX Recycling HC'!AG186+'BTX Recycling HC'!AG238+'BTX Recycling HC'!AG272+'BTX Recycling HC'!AG111)</f>
        <v>21.777492975549286</v>
      </c>
    </row>
    <row r="111" spans="1:66" outlineLevel="1" x14ac:dyDescent="0.2">
      <c r="A111" s="682"/>
      <c r="B111" s="1" t="s">
        <v>8</v>
      </c>
      <c r="C111" s="54" t="s">
        <v>153</v>
      </c>
      <c r="D111" s="44">
        <f>D59+D65-'Overall recycling rates'!$G$61/SUM('Overall recycling rates'!$G$60:$G$62)*('BTX Recycling HC'!C183+'BTX Recycling HC'!C235+'BTX Recycling HC'!C269+'BTX Recycling HC'!C108)-'Overall recycling rates'!$E$61/SUM('Overall recycling rates'!$E$60:$E$62)*('BTX Recycling HC'!C184+'BTX Recycling HC'!C236+'BTX Recycling HC'!C270+'BTX Recycling HC'!C109)-'Overall recycling rates'!$H$61/SUM('Overall recycling rates'!$H$60:$H$62)*('BTX Recycling HC'!C185+'BTX Recycling HC'!C237+'BTX Recycling HC'!C271+'BTX Recycling HC'!C110)-'Overall recycling rates'!$I$61/SUM('Overall recycling rates'!$I$60:$I$62)*('BTX Recycling HC'!C186+'BTX Recycling HC'!C238+'BTX Recycling HC'!C272+'BTX Recycling HC'!C111)</f>
        <v>10.725172954523309</v>
      </c>
      <c r="E111" s="44">
        <f>E59+E65-'Overall recycling rates'!$G$61/SUM('Overall recycling rates'!$G$60:$G$62)*('BTX Recycling HC'!D183+'BTX Recycling HC'!D235+'BTX Recycling HC'!D269+'BTX Recycling HC'!D108)-'Overall recycling rates'!$E$61/SUM('Overall recycling rates'!$E$60:$E$62)*('BTX Recycling HC'!D184+'BTX Recycling HC'!D236+'BTX Recycling HC'!D270+'BTX Recycling HC'!D109)-'Overall recycling rates'!$H$61/SUM('Overall recycling rates'!$H$60:$H$62)*('BTX Recycling HC'!D185+'BTX Recycling HC'!D237+'BTX Recycling HC'!D271+'BTX Recycling HC'!D110)-'Overall recycling rates'!$I$61/SUM('Overall recycling rates'!$I$60:$I$62)*('BTX Recycling HC'!D186+'BTX Recycling HC'!D238+'BTX Recycling HC'!D272+'BTX Recycling HC'!D111)</f>
        <v>11.286098158912241</v>
      </c>
      <c r="F111" s="44">
        <f>F59+F65-'Overall recycling rates'!$G$61/SUM('Overall recycling rates'!$G$60:$G$62)*('BTX Recycling HC'!E183+'BTX Recycling HC'!E235+'BTX Recycling HC'!E269+'BTX Recycling HC'!E108)-'Overall recycling rates'!$E$61/SUM('Overall recycling rates'!$E$60:$E$62)*('BTX Recycling HC'!E184+'BTX Recycling HC'!E236+'BTX Recycling HC'!E270+'BTX Recycling HC'!E109)-'Overall recycling rates'!$H$61/SUM('Overall recycling rates'!$H$60:$H$62)*('BTX Recycling HC'!E185+'BTX Recycling HC'!E237+'BTX Recycling HC'!E271+'BTX Recycling HC'!E110)-'Overall recycling rates'!$I$61/SUM('Overall recycling rates'!$I$60:$I$62)*('BTX Recycling HC'!E186+'BTX Recycling HC'!E238+'BTX Recycling HC'!E272+'BTX Recycling HC'!E111)</f>
        <v>11.85418812120926</v>
      </c>
      <c r="G111" s="44">
        <f>G59+G65-'Overall recycling rates'!$G$61/SUM('Overall recycling rates'!$G$60:$G$62)*('BTX Recycling HC'!F183+'BTX Recycling HC'!F235+'BTX Recycling HC'!F269+'BTX Recycling HC'!F108)-'Overall recycling rates'!$E$61/SUM('Overall recycling rates'!$E$60:$E$62)*('BTX Recycling HC'!F184+'BTX Recycling HC'!F236+'BTX Recycling HC'!F270+'BTX Recycling HC'!F109)-'Overall recycling rates'!$H$61/SUM('Overall recycling rates'!$H$60:$H$62)*('BTX Recycling HC'!F185+'BTX Recycling HC'!F237+'BTX Recycling HC'!F271+'BTX Recycling HC'!F110)-'Overall recycling rates'!$I$61/SUM('Overall recycling rates'!$I$60:$I$62)*('BTX Recycling HC'!F186+'BTX Recycling HC'!F238+'BTX Recycling HC'!F272+'BTX Recycling HC'!F111)</f>
        <v>12.433221952746761</v>
      </c>
      <c r="H111" s="44">
        <f>H59+H65-'Overall recycling rates'!$G$61/SUM('Overall recycling rates'!$G$60:$G$62)*('BTX Recycling HC'!G183+'BTX Recycling HC'!G235+'BTX Recycling HC'!G269+'BTX Recycling HC'!G108)-'Overall recycling rates'!$E$61/SUM('Overall recycling rates'!$E$60:$E$62)*('BTX Recycling HC'!G184+'BTX Recycling HC'!G236+'BTX Recycling HC'!G270+'BTX Recycling HC'!G109)-'Overall recycling rates'!$H$61/SUM('Overall recycling rates'!$H$60:$H$62)*('BTX Recycling HC'!G185+'BTX Recycling HC'!G237+'BTX Recycling HC'!G271+'BTX Recycling HC'!G110)-'Overall recycling rates'!$I$61/SUM('Overall recycling rates'!$I$60:$I$62)*('BTX Recycling HC'!G186+'BTX Recycling HC'!G238+'BTX Recycling HC'!G272+'BTX Recycling HC'!G111)</f>
        <v>13.023591081750837</v>
      </c>
      <c r="I111" s="44">
        <f>I59+I65-'Overall recycling rates'!$G$61/SUM('Overall recycling rates'!$G$60:$G$62)*('BTX Recycling HC'!H183+'BTX Recycling HC'!H235+'BTX Recycling HC'!H269+'BTX Recycling HC'!H108)-'Overall recycling rates'!$E$61/SUM('Overall recycling rates'!$E$60:$E$62)*('BTX Recycling HC'!H184+'BTX Recycling HC'!H236+'BTX Recycling HC'!H270+'BTX Recycling HC'!H109)-'Overall recycling rates'!$H$61/SUM('Overall recycling rates'!$H$60:$H$62)*('BTX Recycling HC'!H185+'BTX Recycling HC'!H237+'BTX Recycling HC'!H271+'BTX Recycling HC'!H110)-'Overall recycling rates'!$I$61/SUM('Overall recycling rates'!$I$60:$I$62)*('BTX Recycling HC'!H186+'BTX Recycling HC'!H238+'BTX Recycling HC'!H272+'BTX Recycling HC'!H111)</f>
        <v>13.625560445668286</v>
      </c>
      <c r="J111" s="44">
        <f>J59+J65-'Overall recycling rates'!$G$61/SUM('Overall recycling rates'!$G$60:$G$62)*('BTX Recycling HC'!I183+'BTX Recycling HC'!I235+'BTX Recycling HC'!I269+'BTX Recycling HC'!I108)-'Overall recycling rates'!$E$61/SUM('Overall recycling rates'!$E$60:$E$62)*('BTX Recycling HC'!I184+'BTX Recycling HC'!I236+'BTX Recycling HC'!I270+'BTX Recycling HC'!I109)-'Overall recycling rates'!$H$61/SUM('Overall recycling rates'!$H$60:$H$62)*('BTX Recycling HC'!I185+'BTX Recycling HC'!I237+'BTX Recycling HC'!I271+'BTX Recycling HC'!I110)-'Overall recycling rates'!$I$61/SUM('Overall recycling rates'!$I$60:$I$62)*('BTX Recycling HC'!I186+'BTX Recycling HC'!I238+'BTX Recycling HC'!I272+'BTX Recycling HC'!I111)</f>
        <v>13.887802417289118</v>
      </c>
      <c r="K111" s="44">
        <f>K59+K65-'Overall recycling rates'!$G$61/SUM('Overall recycling rates'!$G$60:$G$62)*('BTX Recycling HC'!J183+'BTX Recycling HC'!J235+'BTX Recycling HC'!J269+'BTX Recycling HC'!J108)-'Overall recycling rates'!$E$61/SUM('Overall recycling rates'!$E$60:$E$62)*('BTX Recycling HC'!J184+'BTX Recycling HC'!J236+'BTX Recycling HC'!J270+'BTX Recycling HC'!J109)-'Overall recycling rates'!$H$61/SUM('Overall recycling rates'!$H$60:$H$62)*('BTX Recycling HC'!J185+'BTX Recycling HC'!J237+'BTX Recycling HC'!J271+'BTX Recycling HC'!J110)-'Overall recycling rates'!$I$61/SUM('Overall recycling rates'!$I$60:$I$62)*('BTX Recycling HC'!J186+'BTX Recycling HC'!J238+'BTX Recycling HC'!J272+'BTX Recycling HC'!J111)</f>
        <v>14.152249175889965</v>
      </c>
      <c r="L111" s="44">
        <f>L59+L65-'Overall recycling rates'!$G$61/SUM('Overall recycling rates'!$G$60:$G$62)*('BTX Recycling HC'!K183+'BTX Recycling HC'!K235+'BTX Recycling HC'!K269+'BTX Recycling HC'!K108)-'Overall recycling rates'!$E$61/SUM('Overall recycling rates'!$E$60:$E$62)*('BTX Recycling HC'!K184+'BTX Recycling HC'!K236+'BTX Recycling HC'!K270+'BTX Recycling HC'!K109)-'Overall recycling rates'!$H$61/SUM('Overall recycling rates'!$H$60:$H$62)*('BTX Recycling HC'!K185+'BTX Recycling HC'!K237+'BTX Recycling HC'!K271+'BTX Recycling HC'!K110)-'Overall recycling rates'!$I$61/SUM('Overall recycling rates'!$I$60:$I$62)*('BTX Recycling HC'!K186+'BTX Recycling HC'!K238+'BTX Recycling HC'!K272+'BTX Recycling HC'!K111)</f>
        <v>14.41892695944793</v>
      </c>
      <c r="M111" s="44">
        <f>M59+M65-'Overall recycling rates'!$G$61/SUM('Overall recycling rates'!$G$60:$G$62)*('BTX Recycling HC'!L183+'BTX Recycling HC'!L235+'BTX Recycling HC'!L269+'BTX Recycling HC'!L108)-'Overall recycling rates'!$E$61/SUM('Overall recycling rates'!$E$60:$E$62)*('BTX Recycling HC'!L184+'BTX Recycling HC'!L236+'BTX Recycling HC'!L270+'BTX Recycling HC'!L109)-'Overall recycling rates'!$H$61/SUM('Overall recycling rates'!$H$60:$H$62)*('BTX Recycling HC'!L185+'BTX Recycling HC'!L237+'BTX Recycling HC'!L271+'BTX Recycling HC'!L110)-'Overall recycling rates'!$I$61/SUM('Overall recycling rates'!$I$60:$I$62)*('BTX Recycling HC'!L186+'BTX Recycling HC'!L238+'BTX Recycling HC'!L272+'BTX Recycling HC'!L111)</f>
        <v>14.687864794229167</v>
      </c>
      <c r="N111" s="44">
        <f>N59+N65-'Overall recycling rates'!$G$61/SUM('Overall recycling rates'!$G$60:$G$62)*('BTX Recycling HC'!M183+'BTX Recycling HC'!M235+'BTX Recycling HC'!M269+'BTX Recycling HC'!M108)-'Overall recycling rates'!$E$61/SUM('Overall recycling rates'!$E$60:$E$62)*('BTX Recycling HC'!M184+'BTX Recycling HC'!M236+'BTX Recycling HC'!M270+'BTX Recycling HC'!M109)-'Overall recycling rates'!$H$61/SUM('Overall recycling rates'!$H$60:$H$62)*('BTX Recycling HC'!M185+'BTX Recycling HC'!M237+'BTX Recycling HC'!M271+'BTX Recycling HC'!M110)-'Overall recycling rates'!$I$61/SUM('Overall recycling rates'!$I$60:$I$62)*('BTX Recycling HC'!M186+'BTX Recycling HC'!M238+'BTX Recycling HC'!M272+'BTX Recycling HC'!M111)</f>
        <v>14.959094525317452</v>
      </c>
      <c r="O111" s="44">
        <f>O59+O65-'Overall recycling rates'!$G$61/SUM('Overall recycling rates'!$G$60:$G$62)*('BTX Recycling HC'!N183+'BTX Recycling HC'!N235+'BTX Recycling HC'!N269+'BTX Recycling HC'!N108)-'Overall recycling rates'!$E$61/SUM('Overall recycling rates'!$E$60:$E$62)*('BTX Recycling HC'!N184+'BTX Recycling HC'!N236+'BTX Recycling HC'!N270+'BTX Recycling HC'!N109)-'Overall recycling rates'!$H$61/SUM('Overall recycling rates'!$H$60:$H$62)*('BTX Recycling HC'!N185+'BTX Recycling HC'!N237+'BTX Recycling HC'!N271+'BTX Recycling HC'!N110)-'Overall recycling rates'!$I$61/SUM('Overall recycling rates'!$I$60:$I$62)*('BTX Recycling HC'!N186+'BTX Recycling HC'!N238+'BTX Recycling HC'!N272+'BTX Recycling HC'!N111)</f>
        <v>14.918347616513108</v>
      </c>
      <c r="P111" s="44">
        <f>P59+P65-'Overall recycling rates'!$G$61/SUM('Overall recycling rates'!$G$60:$G$62)*('BTX Recycling HC'!O183+'BTX Recycling HC'!O235+'BTX Recycling HC'!O269+'BTX Recycling HC'!O108)-'Overall recycling rates'!$E$61/SUM('Overall recycling rates'!$E$60:$E$62)*('BTX Recycling HC'!O184+'BTX Recycling HC'!O236+'BTX Recycling HC'!O270+'BTX Recycling HC'!O109)-'Overall recycling rates'!$H$61/SUM('Overall recycling rates'!$H$60:$H$62)*('BTX Recycling HC'!O185+'BTX Recycling HC'!O237+'BTX Recycling HC'!O271+'BTX Recycling HC'!O110)-'Overall recycling rates'!$I$61/SUM('Overall recycling rates'!$I$60:$I$62)*('BTX Recycling HC'!O186+'BTX Recycling HC'!O238+'BTX Recycling HC'!O272+'BTX Recycling HC'!O111)</f>
        <v>14.877151760909863</v>
      </c>
      <c r="Q111" s="44">
        <f>Q59+Q65-'Overall recycling rates'!$G$61/SUM('Overall recycling rates'!$G$60:$G$62)*('BTX Recycling HC'!P183+'BTX Recycling HC'!P235+'BTX Recycling HC'!P269+'BTX Recycling HC'!P108)-'Overall recycling rates'!$E$61/SUM('Overall recycling rates'!$E$60:$E$62)*('BTX Recycling HC'!P184+'BTX Recycling HC'!P236+'BTX Recycling HC'!P270+'BTX Recycling HC'!P109)-'Overall recycling rates'!$H$61/SUM('Overall recycling rates'!$H$60:$H$62)*('BTX Recycling HC'!P185+'BTX Recycling HC'!P237+'BTX Recycling HC'!P271+'BTX Recycling HC'!P110)-'Overall recycling rates'!$I$61/SUM('Overall recycling rates'!$I$60:$I$62)*('BTX Recycling HC'!P186+'BTX Recycling HC'!P238+'BTX Recycling HC'!P272+'BTX Recycling HC'!P111)</f>
        <v>14.835836857209495</v>
      </c>
      <c r="R111" s="44">
        <f>R59+R65-'Overall recycling rates'!$G$61/SUM('Overall recycling rates'!$G$60:$G$62)*('BTX Recycling HC'!Q183+'BTX Recycling HC'!Q235+'BTX Recycling HC'!Q269+'BTX Recycling HC'!Q108)-'Overall recycling rates'!$E$61/SUM('Overall recycling rates'!$E$60:$E$62)*('BTX Recycling HC'!Q184+'BTX Recycling HC'!Q236+'BTX Recycling HC'!Q270+'BTX Recycling HC'!Q109)-'Overall recycling rates'!$H$61/SUM('Overall recycling rates'!$H$60:$H$62)*('BTX Recycling HC'!Q185+'BTX Recycling HC'!Q237+'BTX Recycling HC'!Q271+'BTX Recycling HC'!Q110)-'Overall recycling rates'!$I$61/SUM('Overall recycling rates'!$I$60:$I$62)*('BTX Recycling HC'!Q186+'BTX Recycling HC'!Q238+'BTX Recycling HC'!Q272+'BTX Recycling HC'!Q111)</f>
        <v>14.794639030790837</v>
      </c>
      <c r="S111" s="44">
        <f>S59+S65-'Overall recycling rates'!$G$61/SUM('Overall recycling rates'!$G$60:$G$62)*('BTX Recycling HC'!R183+'BTX Recycling HC'!R235+'BTX Recycling HC'!R269+'BTX Recycling HC'!R108)-'Overall recycling rates'!$E$61/SUM('Overall recycling rates'!$E$60:$E$62)*('BTX Recycling HC'!R184+'BTX Recycling HC'!R236+'BTX Recycling HC'!R270+'BTX Recycling HC'!R109)-'Overall recycling rates'!$H$61/SUM('Overall recycling rates'!$H$60:$H$62)*('BTX Recycling HC'!R185+'BTX Recycling HC'!R237+'BTX Recycling HC'!R271+'BTX Recycling HC'!R110)-'Overall recycling rates'!$I$61/SUM('Overall recycling rates'!$I$60:$I$62)*('BTX Recycling HC'!R186+'BTX Recycling HC'!R238+'BTX Recycling HC'!R272+'BTX Recycling HC'!R111)</f>
        <v>14.753838123686364</v>
      </c>
      <c r="T111" s="44">
        <f>T59+T65-'Overall recycling rates'!$G$61/SUM('Overall recycling rates'!$G$60:$G$62)*('BTX Recycling HC'!S183+'BTX Recycling HC'!S235+'BTX Recycling HC'!S269+'BTX Recycling HC'!S108)-'Overall recycling rates'!$E$61/SUM('Overall recycling rates'!$E$60:$E$62)*('BTX Recycling HC'!S184+'BTX Recycling HC'!S236+'BTX Recycling HC'!S270+'BTX Recycling HC'!S109)-'Overall recycling rates'!$H$61/SUM('Overall recycling rates'!$H$60:$H$62)*('BTX Recycling HC'!S185+'BTX Recycling HC'!S237+'BTX Recycling HC'!S271+'BTX Recycling HC'!S110)-'Overall recycling rates'!$I$61/SUM('Overall recycling rates'!$I$60:$I$62)*('BTX Recycling HC'!S186+'BTX Recycling HC'!S238+'BTX Recycling HC'!S272+'BTX Recycling HC'!S111)</f>
        <v>14.690881284594299</v>
      </c>
      <c r="U111" s="44">
        <f>U59+U65-'Overall recycling rates'!$G$61/SUM('Overall recycling rates'!$G$60:$G$62)*('BTX Recycling HC'!T183+'BTX Recycling HC'!T235+'BTX Recycling HC'!T269+'BTX Recycling HC'!T108)-'Overall recycling rates'!$E$61/SUM('Overall recycling rates'!$E$60:$E$62)*('BTX Recycling HC'!T184+'BTX Recycling HC'!T236+'BTX Recycling HC'!T270+'BTX Recycling HC'!T109)-'Overall recycling rates'!$H$61/SUM('Overall recycling rates'!$H$60:$H$62)*('BTX Recycling HC'!T185+'BTX Recycling HC'!T237+'BTX Recycling HC'!T271+'BTX Recycling HC'!T110)-'Overall recycling rates'!$I$61/SUM('Overall recycling rates'!$I$60:$I$62)*('BTX Recycling HC'!T186+'BTX Recycling HC'!T238+'BTX Recycling HC'!T272+'BTX Recycling HC'!T111)</f>
        <v>14.627041401450207</v>
      </c>
      <c r="V111" s="44">
        <f>V59+V65-'Overall recycling rates'!$G$61/SUM('Overall recycling rates'!$G$60:$G$62)*('BTX Recycling HC'!U183+'BTX Recycling HC'!U235+'BTX Recycling HC'!U269+'BTX Recycling HC'!U108)-'Overall recycling rates'!$E$61/SUM('Overall recycling rates'!$E$60:$E$62)*('BTX Recycling HC'!U184+'BTX Recycling HC'!U236+'BTX Recycling HC'!U270+'BTX Recycling HC'!U109)-'Overall recycling rates'!$H$61/SUM('Overall recycling rates'!$H$60:$H$62)*('BTX Recycling HC'!U185+'BTX Recycling HC'!U237+'BTX Recycling HC'!U271+'BTX Recycling HC'!U110)-'Overall recycling rates'!$I$61/SUM('Overall recycling rates'!$I$60:$I$62)*('BTX Recycling HC'!U186+'BTX Recycling HC'!U238+'BTX Recycling HC'!U272+'BTX Recycling HC'!U111)</f>
        <v>14.562385493814251</v>
      </c>
      <c r="W111" s="44">
        <f>W59+W65-'Overall recycling rates'!$G$61/SUM('Overall recycling rates'!$G$60:$G$62)*('BTX Recycling HC'!V183+'BTX Recycling HC'!V235+'BTX Recycling HC'!V269+'BTX Recycling HC'!V108)-'Overall recycling rates'!$E$61/SUM('Overall recycling rates'!$E$60:$E$62)*('BTX Recycling HC'!V184+'BTX Recycling HC'!V236+'BTX Recycling HC'!V270+'BTX Recycling HC'!V109)-'Overall recycling rates'!$H$61/SUM('Overall recycling rates'!$H$60:$H$62)*('BTX Recycling HC'!V185+'BTX Recycling HC'!V237+'BTX Recycling HC'!V271+'BTX Recycling HC'!V110)-'Overall recycling rates'!$I$61/SUM('Overall recycling rates'!$I$60:$I$62)*('BTX Recycling HC'!V186+'BTX Recycling HC'!V238+'BTX Recycling HC'!V272+'BTX Recycling HC'!V111)</f>
        <v>14.496984605091644</v>
      </c>
      <c r="X111" s="44">
        <f>X59+X65-'Overall recycling rates'!$G$61/SUM('Overall recycling rates'!$G$60:$G$62)*('BTX Recycling HC'!W183+'BTX Recycling HC'!W235+'BTX Recycling HC'!W269+'BTX Recycling HC'!W108)-'Overall recycling rates'!$E$61/SUM('Overall recycling rates'!$E$60:$E$62)*('BTX Recycling HC'!W184+'BTX Recycling HC'!W236+'BTX Recycling HC'!W270+'BTX Recycling HC'!W109)-'Overall recycling rates'!$H$61/SUM('Overall recycling rates'!$H$60:$H$62)*('BTX Recycling HC'!W185+'BTX Recycling HC'!W237+'BTX Recycling HC'!W271+'BTX Recycling HC'!W110)-'Overall recycling rates'!$I$61/SUM('Overall recycling rates'!$I$60:$I$62)*('BTX Recycling HC'!W186+'BTX Recycling HC'!W238+'BTX Recycling HC'!W272+'BTX Recycling HC'!W111)</f>
        <v>14.430913862028032</v>
      </c>
      <c r="Y111" s="44">
        <f>Y59+Y65-'Overall recycling rates'!$G$61/SUM('Overall recycling rates'!$G$60:$G$62)*('BTX Recycling HC'!X183+'BTX Recycling HC'!X235+'BTX Recycling HC'!X269+'BTX Recycling HC'!X108)-'Overall recycling rates'!$E$61/SUM('Overall recycling rates'!$E$60:$E$62)*('BTX Recycling HC'!X184+'BTX Recycling HC'!X236+'BTX Recycling HC'!X270+'BTX Recycling HC'!X109)-'Overall recycling rates'!$H$61/SUM('Overall recycling rates'!$H$60:$H$62)*('BTX Recycling HC'!X185+'BTX Recycling HC'!X237+'BTX Recycling HC'!X271+'BTX Recycling HC'!X110)-'Overall recycling rates'!$I$61/SUM('Overall recycling rates'!$I$60:$I$62)*('BTX Recycling HC'!X186+'BTX Recycling HC'!X238+'BTX Recycling HC'!X272+'BTX Recycling HC'!X111)</f>
        <v>14.087652813509642</v>
      </c>
      <c r="Z111" s="44">
        <f>Z59+Z65-'Overall recycling rates'!$G$61/SUM('Overall recycling rates'!$G$60:$G$62)*('BTX Recycling HC'!Y183+'BTX Recycling HC'!Y235+'BTX Recycling HC'!Y269+'BTX Recycling HC'!Y108)-'Overall recycling rates'!$E$61/SUM('Overall recycling rates'!$E$60:$E$62)*('BTX Recycling HC'!Y184+'BTX Recycling HC'!Y236+'BTX Recycling HC'!Y270+'BTX Recycling HC'!Y109)-'Overall recycling rates'!$H$61/SUM('Overall recycling rates'!$H$60:$H$62)*('BTX Recycling HC'!Y185+'BTX Recycling HC'!Y237+'BTX Recycling HC'!Y271+'BTX Recycling HC'!Y110)-'Overall recycling rates'!$I$61/SUM('Overall recycling rates'!$I$60:$I$62)*('BTX Recycling HC'!Y186+'BTX Recycling HC'!Y238+'BTX Recycling HC'!Y272+'BTX Recycling HC'!Y111)</f>
        <v>13.74456463062352</v>
      </c>
      <c r="AA111" s="44">
        <f>AA59+AA65-'Overall recycling rates'!$G$61/SUM('Overall recycling rates'!$G$60:$G$62)*('BTX Recycling HC'!Z183+'BTX Recycling HC'!Z235+'BTX Recycling HC'!Z269+'BTX Recycling HC'!Z108)-'Overall recycling rates'!$E$61/SUM('Overall recycling rates'!$E$60:$E$62)*('BTX Recycling HC'!Z184+'BTX Recycling HC'!Z236+'BTX Recycling HC'!Z270+'BTX Recycling HC'!Z109)-'Overall recycling rates'!$H$61/SUM('Overall recycling rates'!$H$60:$H$62)*('BTX Recycling HC'!Z185+'BTX Recycling HC'!Z237+'BTX Recycling HC'!Z271+'BTX Recycling HC'!Z110)-'Overall recycling rates'!$I$61/SUM('Overall recycling rates'!$I$60:$I$62)*('BTX Recycling HC'!Z186+'BTX Recycling HC'!Z238+'BTX Recycling HC'!Z272+'BTX Recycling HC'!Z111)</f>
        <v>13.402100465302873</v>
      </c>
      <c r="AB111" s="44">
        <f>AB59+AB65-'Overall recycling rates'!$G$61/SUM('Overall recycling rates'!$G$60:$G$62)*('BTX Recycling HC'!AA183+'BTX Recycling HC'!AA235+'BTX Recycling HC'!AA269+'BTX Recycling HC'!AA108)-'Overall recycling rates'!$E$61/SUM('Overall recycling rates'!$E$60:$E$62)*('BTX Recycling HC'!AA184+'BTX Recycling HC'!AA236+'BTX Recycling HC'!AA270+'BTX Recycling HC'!AA109)-'Overall recycling rates'!$H$61/SUM('Overall recycling rates'!$H$60:$H$62)*('BTX Recycling HC'!AA185+'BTX Recycling HC'!AA237+'BTX Recycling HC'!AA271+'BTX Recycling HC'!AA110)-'Overall recycling rates'!$I$61/SUM('Overall recycling rates'!$I$60:$I$62)*('BTX Recycling HC'!AA186+'BTX Recycling HC'!AA238+'BTX Recycling HC'!AA272+'BTX Recycling HC'!AA111)</f>
        <v>13.060202995366531</v>
      </c>
      <c r="AC111" s="44">
        <f>AC59+AC65-'Overall recycling rates'!$G$61/SUM('Overall recycling rates'!$G$60:$G$62)*('BTX Recycling HC'!AB183+'BTX Recycling HC'!AB235+'BTX Recycling HC'!AB269+'BTX Recycling HC'!AB108)-'Overall recycling rates'!$E$61/SUM('Overall recycling rates'!$E$60:$E$62)*('BTX Recycling HC'!AB184+'BTX Recycling HC'!AB236+'BTX Recycling HC'!AB270+'BTX Recycling HC'!AB109)-'Overall recycling rates'!$H$61/SUM('Overall recycling rates'!$H$60:$H$62)*('BTX Recycling HC'!AB185+'BTX Recycling HC'!AB237+'BTX Recycling HC'!AB271+'BTX Recycling HC'!AB110)-'Overall recycling rates'!$I$61/SUM('Overall recycling rates'!$I$60:$I$62)*('BTX Recycling HC'!AB186+'BTX Recycling HC'!AB238+'BTX Recycling HC'!AB272+'BTX Recycling HC'!AB111)</f>
        <v>12.719058913346302</v>
      </c>
      <c r="AD111" s="44">
        <f>AD59+AD65-'Overall recycling rates'!$G$61/SUM('Overall recycling rates'!$G$60:$G$62)*('BTX Recycling HC'!AC183+'BTX Recycling HC'!AC235+'BTX Recycling HC'!AC269+'BTX Recycling HC'!AC108)-'Overall recycling rates'!$E$61/SUM('Overall recycling rates'!$E$60:$E$62)*('BTX Recycling HC'!AC184+'BTX Recycling HC'!AC236+'BTX Recycling HC'!AC270+'BTX Recycling HC'!AC109)-'Overall recycling rates'!$H$61/SUM('Overall recycling rates'!$H$60:$H$62)*('BTX Recycling HC'!AC185+'BTX Recycling HC'!AC237+'BTX Recycling HC'!AC271+'BTX Recycling HC'!AC110)-'Overall recycling rates'!$I$61/SUM('Overall recycling rates'!$I$60:$I$62)*('BTX Recycling HC'!AC186+'BTX Recycling HC'!AC238+'BTX Recycling HC'!AC272+'BTX Recycling HC'!AC111)</f>
        <v>12.321156765823048</v>
      </c>
      <c r="AE111" s="44">
        <f>AE59+AE65-'Overall recycling rates'!$G$61/SUM('Overall recycling rates'!$G$60:$G$62)*('BTX Recycling HC'!AD183+'BTX Recycling HC'!AD235+'BTX Recycling HC'!AD269+'BTX Recycling HC'!AD108)-'Overall recycling rates'!$E$61/SUM('Overall recycling rates'!$E$60:$E$62)*('BTX Recycling HC'!AD184+'BTX Recycling HC'!AD236+'BTX Recycling HC'!AD270+'BTX Recycling HC'!AD109)-'Overall recycling rates'!$H$61/SUM('Overall recycling rates'!$H$60:$H$62)*('BTX Recycling HC'!AD185+'BTX Recycling HC'!AD237+'BTX Recycling HC'!AD271+'BTX Recycling HC'!AD110)-'Overall recycling rates'!$I$61/SUM('Overall recycling rates'!$I$60:$I$62)*('BTX Recycling HC'!AD186+'BTX Recycling HC'!AD238+'BTX Recycling HC'!AD272+'BTX Recycling HC'!AD111)</f>
        <v>11.925328477135656</v>
      </c>
      <c r="AF111" s="44">
        <f>AF59+AF65-'Overall recycling rates'!$G$61/SUM('Overall recycling rates'!$G$60:$G$62)*('BTX Recycling HC'!AE183+'BTX Recycling HC'!AE235+'BTX Recycling HC'!AE269+'BTX Recycling HC'!AE108)-'Overall recycling rates'!$E$61/SUM('Overall recycling rates'!$E$60:$E$62)*('BTX Recycling HC'!AE184+'BTX Recycling HC'!AE236+'BTX Recycling HC'!AE270+'BTX Recycling HC'!AE109)-'Overall recycling rates'!$H$61/SUM('Overall recycling rates'!$H$60:$H$62)*('BTX Recycling HC'!AE185+'BTX Recycling HC'!AE237+'BTX Recycling HC'!AE271+'BTX Recycling HC'!AE110)-'Overall recycling rates'!$I$61/SUM('Overall recycling rates'!$I$60:$I$62)*('BTX Recycling HC'!AE186+'BTX Recycling HC'!AE238+'BTX Recycling HC'!AE272+'BTX Recycling HC'!AE111)</f>
        <v>11.531816109300241</v>
      </c>
      <c r="AG111" s="44">
        <f>AG59+AG65-'Overall recycling rates'!$G$61/SUM('Overall recycling rates'!$G$60:$G$62)*('BTX Recycling HC'!AF183+'BTX Recycling HC'!AF235+'BTX Recycling HC'!AF269+'BTX Recycling HC'!AF108)-'Overall recycling rates'!$E$61/SUM('Overall recycling rates'!$E$60:$E$62)*('BTX Recycling HC'!AF184+'BTX Recycling HC'!AF236+'BTX Recycling HC'!AF270+'BTX Recycling HC'!AF109)-'Overall recycling rates'!$H$61/SUM('Overall recycling rates'!$H$60:$H$62)*('BTX Recycling HC'!AF185+'BTX Recycling HC'!AF237+'BTX Recycling HC'!AF271+'BTX Recycling HC'!AF110)-'Overall recycling rates'!$I$61/SUM('Overall recycling rates'!$I$60:$I$62)*('BTX Recycling HC'!AF186+'BTX Recycling HC'!AF238+'BTX Recycling HC'!AF272+'BTX Recycling HC'!AF111)</f>
        <v>11.140869452829504</v>
      </c>
      <c r="AH111" s="44">
        <f>AH59+AH65-'Overall recycling rates'!$G$61/SUM('Overall recycling rates'!$G$60:$G$62)*('BTX Recycling HC'!AG183+'BTX Recycling HC'!AG235+'BTX Recycling HC'!AG269+'BTX Recycling HC'!AG108)-'Overall recycling rates'!$E$61/SUM('Overall recycling rates'!$E$60:$E$62)*('BTX Recycling HC'!AG184+'BTX Recycling HC'!AG236+'BTX Recycling HC'!AG270+'BTX Recycling HC'!AG109)-'Overall recycling rates'!$H$61/SUM('Overall recycling rates'!$H$60:$H$62)*('BTX Recycling HC'!AG185+'BTX Recycling HC'!AG237+'BTX Recycling HC'!AG271+'BTX Recycling HC'!AG110)-'Overall recycling rates'!$I$61/SUM('Overall recycling rates'!$I$60:$I$62)*('BTX Recycling HC'!AG186+'BTX Recycling HC'!AG238+'BTX Recycling HC'!AG272+'BTX Recycling HC'!AG111)</f>
        <v>10.752745983810302</v>
      </c>
      <c r="AJ111" s="44">
        <f>AJ59+AJ65-'Overall recycling rates'!$G$61/SUM('Overall recycling rates'!$G$60:$G$62)*('BTX Recycling HC'!C183+'BTX Recycling HC'!C235+'BTX Recycling HC'!C269+'BTX Recycling HC'!C108)-'Overall recycling rates'!$E$61/SUM('Overall recycling rates'!$E$60:$E$62)*('BTX Recycling HC'!C184+'BTX Recycling HC'!C236+'BTX Recycling HC'!C270+'BTX Recycling HC'!C109)-'Overall recycling rates'!$H$61/SUM('Overall recycling rates'!$H$60:$H$62)*('BTX Recycling HC'!C185+'BTX Recycling HC'!C237+'BTX Recycling HC'!C271+'BTX Recycling HC'!C110)-'Overall recycling rates'!$I$61/SUM('Overall recycling rates'!$I$60:$I$62)*('BTX Recycling HC'!C186+'BTX Recycling HC'!C238+'BTX Recycling HC'!C272+'BTX Recycling HC'!C111)</f>
        <v>10.725172954523309</v>
      </c>
      <c r="AK111" s="44">
        <f>AK59+AK65-'Overall recycling rates'!$G$61/SUM('Overall recycling rates'!$G$60:$G$62)*('BTX Recycling HC'!D183+'BTX Recycling HC'!D235+'BTX Recycling HC'!D269+'BTX Recycling HC'!D108)-'Overall recycling rates'!$E$61/SUM('Overall recycling rates'!$E$60:$E$62)*('BTX Recycling HC'!D184+'BTX Recycling HC'!D236+'BTX Recycling HC'!D270+'BTX Recycling HC'!D109)-'Overall recycling rates'!$H$61/SUM('Overall recycling rates'!$H$60:$H$62)*('BTX Recycling HC'!D185+'BTX Recycling HC'!D237+'BTX Recycling HC'!D271+'BTX Recycling HC'!D110)-'Overall recycling rates'!$I$61/SUM('Overall recycling rates'!$I$60:$I$62)*('BTX Recycling HC'!D186+'BTX Recycling HC'!D238+'BTX Recycling HC'!D272+'BTX Recycling HC'!D111)</f>
        <v>11.323652695327036</v>
      </c>
      <c r="AL111" s="44">
        <f>AL59+AL65-'Overall recycling rates'!$G$61/SUM('Overall recycling rates'!$G$60:$G$62)*('BTX Recycling HC'!E183+'BTX Recycling HC'!E235+'BTX Recycling HC'!E269+'BTX Recycling HC'!E108)-'Overall recycling rates'!$E$61/SUM('Overall recycling rates'!$E$60:$E$62)*('BTX Recycling HC'!E184+'BTX Recycling HC'!E236+'BTX Recycling HC'!E270+'BTX Recycling HC'!E109)-'Overall recycling rates'!$H$61/SUM('Overall recycling rates'!$H$60:$H$62)*('BTX Recycling HC'!E185+'BTX Recycling HC'!E237+'BTX Recycling HC'!E271+'BTX Recycling HC'!E110)-'Overall recycling rates'!$I$61/SUM('Overall recycling rates'!$I$60:$I$62)*('BTX Recycling HC'!E186+'BTX Recycling HC'!E238+'BTX Recycling HC'!E272+'BTX Recycling HC'!E111)</f>
        <v>11.933754198792201</v>
      </c>
      <c r="AM111" s="44">
        <f>AM59+AM65-'Overall recycling rates'!$G$61/SUM('Overall recycling rates'!$G$60:$G$62)*('BTX Recycling HC'!F183+'BTX Recycling HC'!F235+'BTX Recycling HC'!F269+'BTX Recycling HC'!F108)-'Overall recycling rates'!$E$61/SUM('Overall recycling rates'!$E$60:$E$62)*('BTX Recycling HC'!F184+'BTX Recycling HC'!F236+'BTX Recycling HC'!F270+'BTX Recycling HC'!F109)-'Overall recycling rates'!$H$61/SUM('Overall recycling rates'!$H$60:$H$62)*('BTX Recycling HC'!F185+'BTX Recycling HC'!F237+'BTX Recycling HC'!F271+'BTX Recycling HC'!F110)-'Overall recycling rates'!$I$61/SUM('Overall recycling rates'!$I$60:$I$62)*('BTX Recycling HC'!F186+'BTX Recycling HC'!F238+'BTX Recycling HC'!F272+'BTX Recycling HC'!F111)</f>
        <v>12.55946306786046</v>
      </c>
      <c r="AN111" s="44">
        <f>AN59+AN65-'Overall recycling rates'!$G$61/SUM('Overall recycling rates'!$G$60:$G$62)*('BTX Recycling HC'!G183+'BTX Recycling HC'!G235+'BTX Recycling HC'!G269+'BTX Recycling HC'!G108)-'Overall recycling rates'!$E$61/SUM('Overall recycling rates'!$E$60:$E$62)*('BTX Recycling HC'!G184+'BTX Recycling HC'!G236+'BTX Recycling HC'!G270+'BTX Recycling HC'!G109)-'Overall recycling rates'!$H$61/SUM('Overall recycling rates'!$H$60:$H$62)*('BTX Recycling HC'!G185+'BTX Recycling HC'!G237+'BTX Recycling HC'!G271+'BTX Recycling HC'!G110)-'Overall recycling rates'!$I$61/SUM('Overall recycling rates'!$I$60:$I$62)*('BTX Recycling HC'!G186+'BTX Recycling HC'!G238+'BTX Recycling HC'!G272+'BTX Recycling HC'!G111)</f>
        <v>13.201384579800804</v>
      </c>
      <c r="AO111" s="44">
        <f>AO59+AO65-'Overall recycling rates'!$G$61/SUM('Overall recycling rates'!$G$60:$G$62)*('BTX Recycling HC'!H183+'BTX Recycling HC'!H235+'BTX Recycling HC'!H269+'BTX Recycling HC'!H108)-'Overall recycling rates'!$E$61/SUM('Overall recycling rates'!$E$60:$E$62)*('BTX Recycling HC'!H184+'BTX Recycling HC'!H236+'BTX Recycling HC'!H270+'BTX Recycling HC'!H109)-'Overall recycling rates'!$H$61/SUM('Overall recycling rates'!$H$60:$H$62)*('BTX Recycling HC'!H185+'BTX Recycling HC'!H237+'BTX Recycling HC'!H271+'BTX Recycling HC'!H110)-'Overall recycling rates'!$I$61/SUM('Overall recycling rates'!$I$60:$I$62)*('BTX Recycling HC'!H186+'BTX Recycling HC'!H238+'BTX Recycling HC'!H272+'BTX Recycling HC'!H111)</f>
        <v>13.860005111861112</v>
      </c>
      <c r="AP111" s="44">
        <f>AP59+AP65-'Overall recycling rates'!$G$61/SUM('Overall recycling rates'!$G$60:$G$62)*('BTX Recycling HC'!I183+'BTX Recycling HC'!I235+'BTX Recycling HC'!I269+'BTX Recycling HC'!I108)-'Overall recycling rates'!$E$61/SUM('Overall recycling rates'!$E$60:$E$62)*('BTX Recycling HC'!I184+'BTX Recycling HC'!I236+'BTX Recycling HC'!I270+'BTX Recycling HC'!I109)-'Overall recycling rates'!$H$61/SUM('Overall recycling rates'!$H$60:$H$62)*('BTX Recycling HC'!I185+'BTX Recycling HC'!I237+'BTX Recycling HC'!I271+'BTX Recycling HC'!I110)-'Overall recycling rates'!$I$61/SUM('Overall recycling rates'!$I$60:$I$62)*('BTX Recycling HC'!I186+'BTX Recycling HC'!I238+'BTX Recycling HC'!I272+'BTX Recycling HC'!I111)</f>
        <v>14.176934821784425</v>
      </c>
      <c r="AQ111" s="44">
        <f>AQ59+AQ65-'Overall recycling rates'!$G$61/SUM('Overall recycling rates'!$G$60:$G$62)*('BTX Recycling HC'!J183+'BTX Recycling HC'!J235+'BTX Recycling HC'!J269+'BTX Recycling HC'!J108)-'Overall recycling rates'!$E$61/SUM('Overall recycling rates'!$E$60:$E$62)*('BTX Recycling HC'!J184+'BTX Recycling HC'!J236+'BTX Recycling HC'!J270+'BTX Recycling HC'!J109)-'Overall recycling rates'!$H$61/SUM('Overall recycling rates'!$H$60:$H$62)*('BTX Recycling HC'!J185+'BTX Recycling HC'!J237+'BTX Recycling HC'!J271+'BTX Recycling HC'!J110)-'Overall recycling rates'!$I$61/SUM('Overall recycling rates'!$I$60:$I$62)*('BTX Recycling HC'!J186+'BTX Recycling HC'!J238+'BTX Recycling HC'!J272+'BTX Recycling HC'!J111)</f>
        <v>14.498858145067858</v>
      </c>
      <c r="AR111" s="44">
        <f>AR59+AR65-'Overall recycling rates'!$G$61/SUM('Overall recycling rates'!$G$60:$G$62)*('BTX Recycling HC'!K183+'BTX Recycling HC'!K235+'BTX Recycling HC'!K269+'BTX Recycling HC'!K108)-'Overall recycling rates'!$E$61/SUM('Overall recycling rates'!$E$60:$E$62)*('BTX Recycling HC'!K184+'BTX Recycling HC'!K236+'BTX Recycling HC'!K270+'BTX Recycling HC'!K109)-'Overall recycling rates'!$H$61/SUM('Overall recycling rates'!$H$60:$H$62)*('BTX Recycling HC'!K185+'BTX Recycling HC'!K237+'BTX Recycling HC'!K271+'BTX Recycling HC'!K110)-'Overall recycling rates'!$I$61/SUM('Overall recycling rates'!$I$60:$I$62)*('BTX Recycling HC'!K186+'BTX Recycling HC'!K238+'BTX Recycling HC'!K272+'BTX Recycling HC'!K111)</f>
        <v>14.825886449956093</v>
      </c>
      <c r="AS111" s="44">
        <f>AS59+AS65-'Overall recycling rates'!$G$61/SUM('Overall recycling rates'!$G$60:$G$62)*('BTX Recycling HC'!L183+'BTX Recycling HC'!L235+'BTX Recycling HC'!L269+'BTX Recycling HC'!L108)-'Overall recycling rates'!$E$61/SUM('Overall recycling rates'!$E$60:$E$62)*('BTX Recycling HC'!L184+'BTX Recycling HC'!L236+'BTX Recycling HC'!L270+'BTX Recycling HC'!L109)-'Overall recycling rates'!$H$61/SUM('Overall recycling rates'!$H$60:$H$62)*('BTX Recycling HC'!L185+'BTX Recycling HC'!L237+'BTX Recycling HC'!L271+'BTX Recycling HC'!L110)-'Overall recycling rates'!$I$61/SUM('Overall recycling rates'!$I$60:$I$62)*('BTX Recycling HC'!L186+'BTX Recycling HC'!L238+'BTX Recycling HC'!L272+'BTX Recycling HC'!L111)</f>
        <v>15.158135990147084</v>
      </c>
      <c r="AT111" s="44">
        <f>AT59+AT65-'Overall recycling rates'!$G$61/SUM('Overall recycling rates'!$G$60:$G$62)*('BTX Recycling HC'!M183+'BTX Recycling HC'!M235+'BTX Recycling HC'!M269+'BTX Recycling HC'!M108)-'Overall recycling rates'!$E$61/SUM('Overall recycling rates'!$E$60:$E$62)*('BTX Recycling HC'!M184+'BTX Recycling HC'!M236+'BTX Recycling HC'!M270+'BTX Recycling HC'!M109)-'Overall recycling rates'!$H$61/SUM('Overall recycling rates'!$H$60:$H$62)*('BTX Recycling HC'!M185+'BTX Recycling HC'!M237+'BTX Recycling HC'!M271+'BTX Recycling HC'!M110)-'Overall recycling rates'!$I$61/SUM('Overall recycling rates'!$I$60:$I$62)*('BTX Recycling HC'!M186+'BTX Recycling HC'!M238+'BTX Recycling HC'!M272+'BTX Recycling HC'!M111)</f>
        <v>15.495727981390724</v>
      </c>
      <c r="AU111" s="44">
        <f>AU59+AU65-'Overall recycling rates'!$G$61/SUM('Overall recycling rates'!$G$60:$G$62)*('BTX Recycling HC'!N183+'BTX Recycling HC'!N235+'BTX Recycling HC'!N269+'BTX Recycling HC'!N108)-'Overall recycling rates'!$E$61/SUM('Overall recycling rates'!$E$60:$E$62)*('BTX Recycling HC'!N184+'BTX Recycling HC'!N236+'BTX Recycling HC'!N270+'BTX Recycling HC'!N109)-'Overall recycling rates'!$H$61/SUM('Overall recycling rates'!$H$60:$H$62)*('BTX Recycling HC'!N185+'BTX Recycling HC'!N237+'BTX Recycling HC'!N271+'BTX Recycling HC'!N110)-'Overall recycling rates'!$I$61/SUM('Overall recycling rates'!$I$60:$I$62)*('BTX Recycling HC'!N186+'BTX Recycling HC'!N238+'BTX Recycling HC'!N272+'BTX Recycling HC'!N111)</f>
        <v>15.512804180442027</v>
      </c>
      <c r="AV111" s="44">
        <f>AV59+AV65-'Overall recycling rates'!$G$61/SUM('Overall recycling rates'!$G$60:$G$62)*('BTX Recycling HC'!O183+'BTX Recycling HC'!O235+'BTX Recycling HC'!O269+'BTX Recycling HC'!O108)-'Overall recycling rates'!$E$61/SUM('Overall recycling rates'!$E$60:$E$62)*('BTX Recycling HC'!O184+'BTX Recycling HC'!O236+'BTX Recycling HC'!O270+'BTX Recycling HC'!O109)-'Overall recycling rates'!$H$61/SUM('Overall recycling rates'!$H$60:$H$62)*('BTX Recycling HC'!O185+'BTX Recycling HC'!O237+'BTX Recycling HC'!O271+'BTX Recycling HC'!O110)-'Overall recycling rates'!$I$61/SUM('Overall recycling rates'!$I$60:$I$62)*('BTX Recycling HC'!O186+'BTX Recycling HC'!O238+'BTX Recycling HC'!O272+'BTX Recycling HC'!O111)</f>
        <v>15.530213087870607</v>
      </c>
      <c r="AW111" s="44">
        <f>AW59+AW65-'Overall recycling rates'!$G$61/SUM('Overall recycling rates'!$G$60:$G$62)*('BTX Recycling HC'!P183+'BTX Recycling HC'!P235+'BTX Recycling HC'!P269+'BTX Recycling HC'!P108)-'Overall recycling rates'!$E$61/SUM('Overall recycling rates'!$E$60:$E$62)*('BTX Recycling HC'!P184+'BTX Recycling HC'!P236+'BTX Recycling HC'!P270+'BTX Recycling HC'!P109)-'Overall recycling rates'!$H$61/SUM('Overall recycling rates'!$H$60:$H$62)*('BTX Recycling HC'!P185+'BTX Recycling HC'!P237+'BTX Recycling HC'!P271+'BTX Recycling HC'!P110)-'Overall recycling rates'!$I$61/SUM('Overall recycling rates'!$I$60:$I$62)*('BTX Recycling HC'!P186+'BTX Recycling HC'!P238+'BTX Recycling HC'!P272+'BTX Recycling HC'!P111)</f>
        <v>15.548290980859194</v>
      </c>
      <c r="AX111" s="44">
        <f>AX59+AX65-'Overall recycling rates'!$G$61/SUM('Overall recycling rates'!$G$60:$G$62)*('BTX Recycling HC'!Q183+'BTX Recycling HC'!Q235+'BTX Recycling HC'!Q269+'BTX Recycling HC'!Q108)-'Overall recycling rates'!$E$61/SUM('Overall recycling rates'!$E$60:$E$62)*('BTX Recycling HC'!Q184+'BTX Recycling HC'!Q236+'BTX Recycling HC'!Q270+'BTX Recycling HC'!Q109)-'Overall recycling rates'!$H$61/SUM('Overall recycling rates'!$H$60:$H$62)*('BTX Recycling HC'!Q185+'BTX Recycling HC'!Q237+'BTX Recycling HC'!Q271+'BTX Recycling HC'!Q110)-'Overall recycling rates'!$I$61/SUM('Overall recycling rates'!$I$60:$I$62)*('BTX Recycling HC'!Q186+'BTX Recycling HC'!Q238+'BTX Recycling HC'!Q272+'BTX Recycling HC'!Q111)</f>
        <v>15.56728037490663</v>
      </c>
      <c r="AY111" s="44">
        <f>AY59+AY65-'Overall recycling rates'!$G$61/SUM('Overall recycling rates'!$G$60:$G$62)*('BTX Recycling HC'!R183+'BTX Recycling HC'!R235+'BTX Recycling HC'!R269+'BTX Recycling HC'!R108)-'Overall recycling rates'!$E$61/SUM('Overall recycling rates'!$E$60:$E$62)*('BTX Recycling HC'!R184+'BTX Recycling HC'!R236+'BTX Recycling HC'!R270+'BTX Recycling HC'!R109)-'Overall recycling rates'!$H$61/SUM('Overall recycling rates'!$H$60:$H$62)*('BTX Recycling HC'!R185+'BTX Recycling HC'!R237+'BTX Recycling HC'!R271+'BTX Recycling HC'!R110)-'Overall recycling rates'!$I$61/SUM('Overall recycling rates'!$I$60:$I$62)*('BTX Recycling HC'!R186+'BTX Recycling HC'!R238+'BTX Recycling HC'!R272+'BTX Recycling HC'!R111)</f>
        <v>15.587467512986471</v>
      </c>
      <c r="AZ111" s="44">
        <f>AZ59+AZ65-'Overall recycling rates'!$G$61/SUM('Overall recycling rates'!$G$60:$G$62)*('BTX Recycling HC'!S183+'BTX Recycling HC'!S235+'BTX Recycling HC'!S269+'BTX Recycling HC'!S108)-'Overall recycling rates'!$E$61/SUM('Overall recycling rates'!$E$60:$E$62)*('BTX Recycling HC'!S184+'BTX Recycling HC'!S236+'BTX Recycling HC'!S270+'BTX Recycling HC'!S109)-'Overall recycling rates'!$H$61/SUM('Overall recycling rates'!$H$60:$H$62)*('BTX Recycling HC'!S185+'BTX Recycling HC'!S237+'BTX Recycling HC'!S271+'BTX Recycling HC'!S110)-'Overall recycling rates'!$I$61/SUM('Overall recycling rates'!$I$60:$I$62)*('BTX Recycling HC'!S186+'BTX Recycling HC'!S238+'BTX Recycling HC'!S272+'BTX Recycling HC'!S111)</f>
        <v>15.585098456875249</v>
      </c>
      <c r="BA111" s="44">
        <f>BA59+BA65-'Overall recycling rates'!$G$61/SUM('Overall recycling rates'!$G$60:$G$62)*('BTX Recycling HC'!T183+'BTX Recycling HC'!T235+'BTX Recycling HC'!T269+'BTX Recycling HC'!T108)-'Overall recycling rates'!$E$61/SUM('Overall recycling rates'!$E$60:$E$62)*('BTX Recycling HC'!T184+'BTX Recycling HC'!T236+'BTX Recycling HC'!T270+'BTX Recycling HC'!T109)-'Overall recycling rates'!$H$61/SUM('Overall recycling rates'!$H$60:$H$62)*('BTX Recycling HC'!T185+'BTX Recycling HC'!T237+'BTX Recycling HC'!T271+'BTX Recycling HC'!T110)-'Overall recycling rates'!$I$61/SUM('Overall recycling rates'!$I$60:$I$62)*('BTX Recycling HC'!T186+'BTX Recycling HC'!T238+'BTX Recycling HC'!T272+'BTX Recycling HC'!T111)</f>
        <v>15.582484834112574</v>
      </c>
      <c r="BB111" s="44">
        <f>BB59+BB65-'Overall recycling rates'!$G$61/SUM('Overall recycling rates'!$G$60:$G$62)*('BTX Recycling HC'!U183+'BTX Recycling HC'!U235+'BTX Recycling HC'!U269+'BTX Recycling HC'!U108)-'Overall recycling rates'!$E$61/SUM('Overall recycling rates'!$E$60:$E$62)*('BTX Recycling HC'!U184+'BTX Recycling HC'!U236+'BTX Recycling HC'!U270+'BTX Recycling HC'!U109)-'Overall recycling rates'!$H$61/SUM('Overall recycling rates'!$H$60:$H$62)*('BTX Recycling HC'!U185+'BTX Recycling HC'!U237+'BTX Recycling HC'!U271+'BTX Recycling HC'!U110)-'Overall recycling rates'!$I$61/SUM('Overall recycling rates'!$I$60:$I$62)*('BTX Recycling HC'!U186+'BTX Recycling HC'!U238+'BTX Recycling HC'!U272+'BTX Recycling HC'!U111)</f>
        <v>15.579695450908224</v>
      </c>
      <c r="BC111" s="44">
        <f>BC59+BC65-'Overall recycling rates'!$G$61/SUM('Overall recycling rates'!$G$60:$G$62)*('BTX Recycling HC'!V183+'BTX Recycling HC'!V235+'BTX Recycling HC'!V269+'BTX Recycling HC'!V108)-'Overall recycling rates'!$E$61/SUM('Overall recycling rates'!$E$60:$E$62)*('BTX Recycling HC'!V184+'BTX Recycling HC'!V236+'BTX Recycling HC'!V270+'BTX Recycling HC'!V109)-'Overall recycling rates'!$H$61/SUM('Overall recycling rates'!$H$60:$H$62)*('BTX Recycling HC'!V185+'BTX Recycling HC'!V237+'BTX Recycling HC'!V271+'BTX Recycling HC'!V110)-'Overall recycling rates'!$I$61/SUM('Overall recycling rates'!$I$60:$I$62)*('BTX Recycling HC'!V186+'BTX Recycling HC'!V238+'BTX Recycling HC'!V272+'BTX Recycling HC'!V111)</f>
        <v>15.576803058960085</v>
      </c>
      <c r="BD111" s="44">
        <f>BD59+BD65-'Overall recycling rates'!$G$61/SUM('Overall recycling rates'!$G$60:$G$62)*('BTX Recycling HC'!W183+'BTX Recycling HC'!W235+'BTX Recycling HC'!W269+'BTX Recycling HC'!W108)-'Overall recycling rates'!$E$61/SUM('Overall recycling rates'!$E$60:$E$62)*('BTX Recycling HC'!W184+'BTX Recycling HC'!W236+'BTX Recycling HC'!W270+'BTX Recycling HC'!W109)-'Overall recycling rates'!$H$61/SUM('Overall recycling rates'!$H$60:$H$62)*('BTX Recycling HC'!W185+'BTX Recycling HC'!W237+'BTX Recycling HC'!W271+'BTX Recycling HC'!W110)-'Overall recycling rates'!$I$61/SUM('Overall recycling rates'!$I$60:$I$62)*('BTX Recycling HC'!W186+'BTX Recycling HC'!W238+'BTX Recycling HC'!W272+'BTX Recycling HC'!W111)</f>
        <v>15.573884412683553</v>
      </c>
      <c r="BE111" s="44">
        <f>BE59+BE65-'Overall recycling rates'!$G$61/SUM('Overall recycling rates'!$G$60:$G$62)*('BTX Recycling HC'!X183+'BTX Recycling HC'!X235+'BTX Recycling HC'!X269+'BTX Recycling HC'!X108)-'Overall recycling rates'!$E$61/SUM('Overall recycling rates'!$E$60:$E$62)*('BTX Recycling HC'!X184+'BTX Recycling HC'!X236+'BTX Recycling HC'!X270+'BTX Recycling HC'!X109)-'Overall recycling rates'!$H$61/SUM('Overall recycling rates'!$H$60:$H$62)*('BTX Recycling HC'!X185+'BTX Recycling HC'!X237+'BTX Recycling HC'!X271+'BTX Recycling HC'!X110)-'Overall recycling rates'!$I$61/SUM('Overall recycling rates'!$I$60:$I$62)*('BTX Recycling HC'!X186+'BTX Recycling HC'!X238+'BTX Recycling HC'!X272+'BTX Recycling HC'!X111)</f>
        <v>15.27601938247342</v>
      </c>
      <c r="BF111" s="44">
        <f>BF59+BF65-'Overall recycling rates'!$G$61/SUM('Overall recycling rates'!$G$60:$G$62)*('BTX Recycling HC'!Y183+'BTX Recycling HC'!Y235+'BTX Recycling HC'!Y269+'BTX Recycling HC'!Y108)-'Overall recycling rates'!$E$61/SUM('Overall recycling rates'!$E$60:$E$62)*('BTX Recycling HC'!Y184+'BTX Recycling HC'!Y236+'BTX Recycling HC'!Y270+'BTX Recycling HC'!Y109)-'Overall recycling rates'!$H$61/SUM('Overall recycling rates'!$H$60:$H$62)*('BTX Recycling HC'!Y185+'BTX Recycling HC'!Y237+'BTX Recycling HC'!Y271+'BTX Recycling HC'!Y110)-'Overall recycling rates'!$I$61/SUM('Overall recycling rates'!$I$60:$I$62)*('BTX Recycling HC'!Y186+'BTX Recycling HC'!Y238+'BTX Recycling HC'!Y272+'BTX Recycling HC'!Y111)</f>
        <v>14.976743870314346</v>
      </c>
      <c r="BG111" s="44">
        <f>BG59+BG65-'Overall recycling rates'!$G$61/SUM('Overall recycling rates'!$G$60:$G$62)*('BTX Recycling HC'!Z183+'BTX Recycling HC'!Z235+'BTX Recycling HC'!Z269+'BTX Recycling HC'!Z108)-'Overall recycling rates'!$E$61/SUM('Overall recycling rates'!$E$60:$E$62)*('BTX Recycling HC'!Z184+'BTX Recycling HC'!Z236+'BTX Recycling HC'!Z270+'BTX Recycling HC'!Z109)-'Overall recycling rates'!$H$61/SUM('Overall recycling rates'!$H$60:$H$62)*('BTX Recycling HC'!Z185+'BTX Recycling HC'!Z237+'BTX Recycling HC'!Z271+'BTX Recycling HC'!Z110)-'Overall recycling rates'!$I$61/SUM('Overall recycling rates'!$I$60:$I$62)*('BTX Recycling HC'!Z186+'BTX Recycling HC'!Z238+'BTX Recycling HC'!Z272+'BTX Recycling HC'!Z111)</f>
        <v>14.676468863341075</v>
      </c>
      <c r="BH111" s="44">
        <f>BH59+BH65-'Overall recycling rates'!$G$61/SUM('Overall recycling rates'!$G$60:$G$62)*('BTX Recycling HC'!AA183+'BTX Recycling HC'!AA235+'BTX Recycling HC'!AA269+'BTX Recycling HC'!AA108)-'Overall recycling rates'!$E$61/SUM('Overall recycling rates'!$E$60:$E$62)*('BTX Recycling HC'!AA184+'BTX Recycling HC'!AA236+'BTX Recycling HC'!AA270+'BTX Recycling HC'!AA109)-'Overall recycling rates'!$H$61/SUM('Overall recycling rates'!$H$60:$H$62)*('BTX Recycling HC'!AA185+'BTX Recycling HC'!AA237+'BTX Recycling HC'!AA271+'BTX Recycling HC'!AA110)-'Overall recycling rates'!$I$61/SUM('Overall recycling rates'!$I$60:$I$62)*('BTX Recycling HC'!AA186+'BTX Recycling HC'!AA238+'BTX Recycling HC'!AA272+'BTX Recycling HC'!AA111)</f>
        <v>14.375096219635745</v>
      </c>
      <c r="BI111" s="44">
        <f>BI59+BI65-'Overall recycling rates'!$G$61/SUM('Overall recycling rates'!$G$60:$G$62)*('BTX Recycling HC'!AB183+'BTX Recycling HC'!AB235+'BTX Recycling HC'!AB269+'BTX Recycling HC'!AB108)-'Overall recycling rates'!$E$61/SUM('Overall recycling rates'!$E$60:$E$62)*('BTX Recycling HC'!AB184+'BTX Recycling HC'!AB236+'BTX Recycling HC'!AB270+'BTX Recycling HC'!AB109)-'Overall recycling rates'!$H$61/SUM('Overall recycling rates'!$H$60:$H$62)*('BTX Recycling HC'!AB185+'BTX Recycling HC'!AB237+'BTX Recycling HC'!AB271+'BTX Recycling HC'!AB110)-'Overall recycling rates'!$I$61/SUM('Overall recycling rates'!$I$60:$I$62)*('BTX Recycling HC'!AB186+'BTX Recycling HC'!AB238+'BTX Recycling HC'!AB272+'BTX Recycling HC'!AB111)</f>
        <v>14.072771147790384</v>
      </c>
      <c r="BJ111" s="44">
        <f>BJ59+BJ65-'Overall recycling rates'!$G$61/SUM('Overall recycling rates'!$G$60:$G$62)*('BTX Recycling HC'!AC183+'BTX Recycling HC'!AC235+'BTX Recycling HC'!AC269+'BTX Recycling HC'!AC108)-'Overall recycling rates'!$E$61/SUM('Overall recycling rates'!$E$60:$E$62)*('BTX Recycling HC'!AC184+'BTX Recycling HC'!AC236+'BTX Recycling HC'!AC270+'BTX Recycling HC'!AC109)-'Overall recycling rates'!$H$61/SUM('Overall recycling rates'!$H$60:$H$62)*('BTX Recycling HC'!AC185+'BTX Recycling HC'!AC237+'BTX Recycling HC'!AC271+'BTX Recycling HC'!AC110)-'Overall recycling rates'!$I$61/SUM('Overall recycling rates'!$I$60:$I$62)*('BTX Recycling HC'!AC186+'BTX Recycling HC'!AC238+'BTX Recycling HC'!AC272+'BTX Recycling HC'!AC111)</f>
        <v>13.705730329629862</v>
      </c>
      <c r="BK111" s="44">
        <f>BK59+BK65-'Overall recycling rates'!$G$61/SUM('Overall recycling rates'!$G$60:$G$62)*('BTX Recycling HC'!AD183+'BTX Recycling HC'!AD235+'BTX Recycling HC'!AD269+'BTX Recycling HC'!AD108)-'Overall recycling rates'!$E$61/SUM('Overall recycling rates'!$E$60:$E$62)*('BTX Recycling HC'!AD184+'BTX Recycling HC'!AD236+'BTX Recycling HC'!AD270+'BTX Recycling HC'!AD109)-'Overall recycling rates'!$H$61/SUM('Overall recycling rates'!$H$60:$H$62)*('BTX Recycling HC'!AD185+'BTX Recycling HC'!AD237+'BTX Recycling HC'!AD271+'BTX Recycling HC'!AD110)-'Overall recycling rates'!$I$61/SUM('Overall recycling rates'!$I$60:$I$62)*('BTX Recycling HC'!AD186+'BTX Recycling HC'!AD238+'BTX Recycling HC'!AD272+'BTX Recycling HC'!AD111)</f>
        <v>13.338443038979422</v>
      </c>
      <c r="BL111" s="44">
        <f>BL59+BL65-'Overall recycling rates'!$G$61/SUM('Overall recycling rates'!$G$60:$G$62)*('BTX Recycling HC'!AE183+'BTX Recycling HC'!AE235+'BTX Recycling HC'!AE269+'BTX Recycling HC'!AE108)-'Overall recycling rates'!$E$61/SUM('Overall recycling rates'!$E$60:$E$62)*('BTX Recycling HC'!AE184+'BTX Recycling HC'!AE236+'BTX Recycling HC'!AE270+'BTX Recycling HC'!AE109)-'Overall recycling rates'!$H$61/SUM('Overall recycling rates'!$H$60:$H$62)*('BTX Recycling HC'!AE185+'BTX Recycling HC'!AE237+'BTX Recycling HC'!AE271+'BTX Recycling HC'!AE110)-'Overall recycling rates'!$I$61/SUM('Overall recycling rates'!$I$60:$I$62)*('BTX Recycling HC'!AE186+'BTX Recycling HC'!AE238+'BTX Recycling HC'!AE272+'BTX Recycling HC'!AE111)</f>
        <v>12.971102967741986</v>
      </c>
      <c r="BM111" s="44">
        <f>BM59+BM65-'Overall recycling rates'!$G$61/SUM('Overall recycling rates'!$G$60:$G$62)*('BTX Recycling HC'!AF183+'BTX Recycling HC'!AF235+'BTX Recycling HC'!AF269+'BTX Recycling HC'!AF108)-'Overall recycling rates'!$E$61/SUM('Overall recycling rates'!$E$60:$E$62)*('BTX Recycling HC'!AF184+'BTX Recycling HC'!AF236+'BTX Recycling HC'!AF270+'BTX Recycling HC'!AF109)-'Overall recycling rates'!$H$61/SUM('Overall recycling rates'!$H$60:$H$62)*('BTX Recycling HC'!AF185+'BTX Recycling HC'!AF237+'BTX Recycling HC'!AF271+'BTX Recycling HC'!AF110)-'Overall recycling rates'!$I$61/SUM('Overall recycling rates'!$I$60:$I$62)*('BTX Recycling HC'!AF186+'BTX Recycling HC'!AF238+'BTX Recycling HC'!AF272+'BTX Recycling HC'!AF111)</f>
        <v>12.603910803191186</v>
      </c>
      <c r="BN111" s="44">
        <f>BN59+BN65-'Overall recycling rates'!$G$61/SUM('Overall recycling rates'!$G$60:$G$62)*('BTX Recycling HC'!AG183+'BTX Recycling HC'!AG235+'BTX Recycling HC'!AG269+'BTX Recycling HC'!AG108)-'Overall recycling rates'!$E$61/SUM('Overall recycling rates'!$E$60:$E$62)*('BTX Recycling HC'!AG184+'BTX Recycling HC'!AG236+'BTX Recycling HC'!AG270+'BTX Recycling HC'!AG109)-'Overall recycling rates'!$H$61/SUM('Overall recycling rates'!$H$60:$H$62)*('BTX Recycling HC'!AG185+'BTX Recycling HC'!AG237+'BTX Recycling HC'!AG271+'BTX Recycling HC'!AG110)-'Overall recycling rates'!$I$61/SUM('Overall recycling rates'!$I$60:$I$62)*('BTX Recycling HC'!AG186+'BTX Recycling HC'!AG238+'BTX Recycling HC'!AG272+'BTX Recycling HC'!AG111)</f>
        <v>12.23707417498869</v>
      </c>
    </row>
    <row r="112" spans="1:66" s="68" customFormat="1" outlineLevel="1" x14ac:dyDescent="0.2">
      <c r="A112" s="683"/>
      <c r="B112" s="62" t="s">
        <v>166</v>
      </c>
      <c r="C112" s="283" t="s">
        <v>153</v>
      </c>
      <c r="D112" s="284">
        <f>D60+D66-'Overall recycling rates'!$G$62/SUM('Overall recycling rates'!$G$60:$G$62)*('BTX Recycling HC'!C183+'BTX Recycling HC'!C235+'BTX Recycling HC'!C269+'BTX Recycling HC'!C108)-'Overall recycling rates'!$E$62/SUM('Overall recycling rates'!$E$60:$E$62)*('BTX Recycling HC'!C184+'BTX Recycling HC'!C236+'BTX Recycling HC'!C270+'BTX Recycling HC'!C109)-'Overall recycling rates'!$H$62/SUM('Overall recycling rates'!$H$60:$H$62)*('BTX Recycling HC'!C185+'BTX Recycling HC'!C237+'BTX Recycling HC'!C271+'BTX Recycling HC'!C110)-'Overall recycling rates'!$I$62/SUM('Overall recycling rates'!$I$60:$I$62)*('BTX Recycling HC'!C186+'BTX Recycling HC'!C238+'BTX Recycling HC'!C272+'BTX Recycling HC'!C111)</f>
        <v>0.94700598044522621</v>
      </c>
      <c r="E112" s="284">
        <f>E60+E66-'Overall recycling rates'!$G$62/SUM('Overall recycling rates'!$G$60:$G$62)*('BTX Recycling HC'!D183+'BTX Recycling HC'!D235+'BTX Recycling HC'!D269+'BTX Recycling HC'!D108)-'Overall recycling rates'!$E$62/SUM('Overall recycling rates'!$E$60:$E$62)*('BTX Recycling HC'!D184+'BTX Recycling HC'!D236+'BTX Recycling HC'!D270+'BTX Recycling HC'!D109)-'Overall recycling rates'!$H$62/SUM('Overall recycling rates'!$H$60:$H$62)*('BTX Recycling HC'!D185+'BTX Recycling HC'!D237+'BTX Recycling HC'!D271+'BTX Recycling HC'!D110)-'Overall recycling rates'!$I$62/SUM('Overall recycling rates'!$I$60:$I$62)*('BTX Recycling HC'!D186+'BTX Recycling HC'!D238+'BTX Recycling HC'!D272+'BTX Recycling HC'!D111)</f>
        <v>1.0373145317383439</v>
      </c>
      <c r="F112" s="284">
        <f>F60+F66-'Overall recycling rates'!$G$62/SUM('Overall recycling rates'!$G$60:$G$62)*('BTX Recycling HC'!E183+'BTX Recycling HC'!E235+'BTX Recycling HC'!E269+'BTX Recycling HC'!E108)-'Overall recycling rates'!$E$62/SUM('Overall recycling rates'!$E$60:$E$62)*('BTX Recycling HC'!E184+'BTX Recycling HC'!E236+'BTX Recycling HC'!E270+'BTX Recycling HC'!E109)-'Overall recycling rates'!$H$62/SUM('Overall recycling rates'!$H$60:$H$62)*('BTX Recycling HC'!E185+'BTX Recycling HC'!E237+'BTX Recycling HC'!E271+'BTX Recycling HC'!E110)-'Overall recycling rates'!$I$62/SUM('Overall recycling rates'!$I$60:$I$62)*('BTX Recycling HC'!E186+'BTX Recycling HC'!E238+'BTX Recycling HC'!E272+'BTX Recycling HC'!E111)</f>
        <v>1.0560701261584868</v>
      </c>
      <c r="G112" s="284">
        <f>G60+G66-'Overall recycling rates'!$G$62/SUM('Overall recycling rates'!$G$60:$G$62)*('BTX Recycling HC'!F183+'BTX Recycling HC'!F235+'BTX Recycling HC'!F269+'BTX Recycling HC'!F108)-'Overall recycling rates'!$E$62/SUM('Overall recycling rates'!$E$60:$E$62)*('BTX Recycling HC'!F184+'BTX Recycling HC'!F236+'BTX Recycling HC'!F270+'BTX Recycling HC'!F109)-'Overall recycling rates'!$H$62/SUM('Overall recycling rates'!$H$60:$H$62)*('BTX Recycling HC'!F185+'BTX Recycling HC'!F237+'BTX Recycling HC'!F271+'BTX Recycling HC'!F110)-'Overall recycling rates'!$I$62/SUM('Overall recycling rates'!$I$60:$I$62)*('BTX Recycling HC'!F186+'BTX Recycling HC'!F238+'BTX Recycling HC'!F272+'BTX Recycling HC'!F111)</f>
        <v>1.074260074963425</v>
      </c>
      <c r="H112" s="284">
        <f>H60+H66-'Overall recycling rates'!$G$62/SUM('Overall recycling rates'!$G$60:$G$62)*('BTX Recycling HC'!G183+'BTX Recycling HC'!G235+'BTX Recycling HC'!G269+'BTX Recycling HC'!G108)-'Overall recycling rates'!$E$62/SUM('Overall recycling rates'!$E$60:$E$62)*('BTX Recycling HC'!G184+'BTX Recycling HC'!G236+'BTX Recycling HC'!G270+'BTX Recycling HC'!G109)-'Overall recycling rates'!$H$62/SUM('Overall recycling rates'!$H$60:$H$62)*('BTX Recycling HC'!G185+'BTX Recycling HC'!G237+'BTX Recycling HC'!G271+'BTX Recycling HC'!G110)-'Overall recycling rates'!$I$62/SUM('Overall recycling rates'!$I$60:$I$62)*('BTX Recycling HC'!G186+'BTX Recycling HC'!G238+'BTX Recycling HC'!G272+'BTX Recycling HC'!G111)</f>
        <v>1.0931397614813125</v>
      </c>
      <c r="I112" s="284">
        <f>I60+I66-'Overall recycling rates'!$G$62/SUM('Overall recycling rates'!$G$60:$G$62)*('BTX Recycling HC'!H183+'BTX Recycling HC'!H235+'BTX Recycling HC'!H269+'BTX Recycling HC'!H108)-'Overall recycling rates'!$E$62/SUM('Overall recycling rates'!$E$60:$E$62)*('BTX Recycling HC'!H184+'BTX Recycling HC'!H236+'BTX Recycling HC'!H270+'BTX Recycling HC'!H109)-'Overall recycling rates'!$H$62/SUM('Overall recycling rates'!$H$60:$H$62)*('BTX Recycling HC'!H185+'BTX Recycling HC'!H237+'BTX Recycling HC'!H271+'BTX Recycling HC'!H110)-'Overall recycling rates'!$I$62/SUM('Overall recycling rates'!$I$60:$I$62)*('BTX Recycling HC'!H186+'BTX Recycling HC'!H238+'BTX Recycling HC'!H272+'BTX Recycling HC'!H111)</f>
        <v>1.1129248770188467</v>
      </c>
      <c r="J112" s="284">
        <f>J60+J66-'Overall recycling rates'!$G$62/SUM('Overall recycling rates'!$G$60:$G$62)*('BTX Recycling HC'!I183+'BTX Recycling HC'!I235+'BTX Recycling HC'!I269+'BTX Recycling HC'!I108)-'Overall recycling rates'!$E$62/SUM('Overall recycling rates'!$E$60:$E$62)*('BTX Recycling HC'!I184+'BTX Recycling HC'!I236+'BTX Recycling HC'!I270+'BTX Recycling HC'!I109)-'Overall recycling rates'!$H$62/SUM('Overall recycling rates'!$H$60:$H$62)*('BTX Recycling HC'!I185+'BTX Recycling HC'!I237+'BTX Recycling HC'!I271+'BTX Recycling HC'!I110)-'Overall recycling rates'!$I$62/SUM('Overall recycling rates'!$I$60:$I$62)*('BTX Recycling HC'!I186+'BTX Recycling HC'!I238+'BTX Recycling HC'!I272+'BTX Recycling HC'!I111)</f>
        <v>1.107758009643717</v>
      </c>
      <c r="K112" s="284">
        <f>K60+K66-'Overall recycling rates'!$G$62/SUM('Overall recycling rates'!$G$60:$G$62)*('BTX Recycling HC'!J183+'BTX Recycling HC'!J235+'BTX Recycling HC'!J269+'BTX Recycling HC'!J108)-'Overall recycling rates'!$E$62/SUM('Overall recycling rates'!$E$60:$E$62)*('BTX Recycling HC'!J184+'BTX Recycling HC'!J236+'BTX Recycling HC'!J270+'BTX Recycling HC'!J109)-'Overall recycling rates'!$H$62/SUM('Overall recycling rates'!$H$60:$H$62)*('BTX Recycling HC'!J185+'BTX Recycling HC'!J237+'BTX Recycling HC'!J271+'BTX Recycling HC'!J110)-'Overall recycling rates'!$I$62/SUM('Overall recycling rates'!$I$60:$I$62)*('BTX Recycling HC'!J186+'BTX Recycling HC'!J238+'BTX Recycling HC'!J272+'BTX Recycling HC'!J111)</f>
        <v>1.1032902899837049</v>
      </c>
      <c r="L112" s="284">
        <f>L60+L66-'Overall recycling rates'!$G$62/SUM('Overall recycling rates'!$G$60:$G$62)*('BTX Recycling HC'!K183+'BTX Recycling HC'!K235+'BTX Recycling HC'!K269+'BTX Recycling HC'!K108)-'Overall recycling rates'!$E$62/SUM('Overall recycling rates'!$E$60:$E$62)*('BTX Recycling HC'!K184+'BTX Recycling HC'!K236+'BTX Recycling HC'!K270+'BTX Recycling HC'!K109)-'Overall recycling rates'!$H$62/SUM('Overall recycling rates'!$H$60:$H$62)*('BTX Recycling HC'!K185+'BTX Recycling HC'!K237+'BTX Recycling HC'!K271+'BTX Recycling HC'!K110)-'Overall recycling rates'!$I$62/SUM('Overall recycling rates'!$I$60:$I$62)*('BTX Recycling HC'!K186+'BTX Recycling HC'!K238+'BTX Recycling HC'!K272+'BTX Recycling HC'!K111)</f>
        <v>1.0997775165227375</v>
      </c>
      <c r="M112" s="284">
        <f>M60+M66-'Overall recycling rates'!$G$62/SUM('Overall recycling rates'!$G$60:$G$62)*('BTX Recycling HC'!L183+'BTX Recycling HC'!L235+'BTX Recycling HC'!L269+'BTX Recycling HC'!L108)-'Overall recycling rates'!$E$62/SUM('Overall recycling rates'!$E$60:$E$62)*('BTX Recycling HC'!L184+'BTX Recycling HC'!L236+'BTX Recycling HC'!L270+'BTX Recycling HC'!L109)-'Overall recycling rates'!$H$62/SUM('Overall recycling rates'!$H$60:$H$62)*('BTX Recycling HC'!L185+'BTX Recycling HC'!L237+'BTX Recycling HC'!L271+'BTX Recycling HC'!L110)-'Overall recycling rates'!$I$62/SUM('Overall recycling rates'!$I$60:$I$62)*('BTX Recycling HC'!L186+'BTX Recycling HC'!L238+'BTX Recycling HC'!L272+'BTX Recycling HC'!L111)</f>
        <v>1.097502671363483</v>
      </c>
      <c r="N112" s="284">
        <f>N60+N66-'Overall recycling rates'!$G$62/SUM('Overall recycling rates'!$G$60:$G$62)*('BTX Recycling HC'!M183+'BTX Recycling HC'!M235+'BTX Recycling HC'!M269+'BTX Recycling HC'!M108)-'Overall recycling rates'!$E$62/SUM('Overall recycling rates'!$E$60:$E$62)*('BTX Recycling HC'!M184+'BTX Recycling HC'!M236+'BTX Recycling HC'!M270+'BTX Recycling HC'!M109)-'Overall recycling rates'!$H$62/SUM('Overall recycling rates'!$H$60:$H$62)*('BTX Recycling HC'!M185+'BTX Recycling HC'!M237+'BTX Recycling HC'!M271+'BTX Recycling HC'!M110)-'Overall recycling rates'!$I$62/SUM('Overall recycling rates'!$I$60:$I$62)*('BTX Recycling HC'!M186+'BTX Recycling HC'!M238+'BTX Recycling HC'!M272+'BTX Recycling HC'!M111)</f>
        <v>1.0967774113240383</v>
      </c>
      <c r="O112" s="284">
        <f>O60+O66-'Overall recycling rates'!$G$62/SUM('Overall recycling rates'!$G$60:$G$62)*('BTX Recycling HC'!N183+'BTX Recycling HC'!N235+'BTX Recycling HC'!N269+'BTX Recycling HC'!N108)-'Overall recycling rates'!$E$62/SUM('Overall recycling rates'!$E$60:$E$62)*('BTX Recycling HC'!N184+'BTX Recycling HC'!N236+'BTX Recycling HC'!N270+'BTX Recycling HC'!N109)-'Overall recycling rates'!$H$62/SUM('Overall recycling rates'!$H$60:$H$62)*('BTX Recycling HC'!N185+'BTX Recycling HC'!N237+'BTX Recycling HC'!N271+'BTX Recycling HC'!N110)-'Overall recycling rates'!$I$62/SUM('Overall recycling rates'!$I$60:$I$62)*('BTX Recycling HC'!N186+'BTX Recycling HC'!N238+'BTX Recycling HC'!N272+'BTX Recycling HC'!N111)</f>
        <v>1.0503217095725401</v>
      </c>
      <c r="P112" s="284">
        <f>P60+P66-'Overall recycling rates'!$G$62/SUM('Overall recycling rates'!$G$60:$G$62)*('BTX Recycling HC'!O183+'BTX Recycling HC'!O235+'BTX Recycling HC'!O269+'BTX Recycling HC'!O108)-'Overall recycling rates'!$E$62/SUM('Overall recycling rates'!$E$60:$E$62)*('BTX Recycling HC'!O184+'BTX Recycling HC'!O236+'BTX Recycling HC'!O270+'BTX Recycling HC'!O109)-'Overall recycling rates'!$H$62/SUM('Overall recycling rates'!$H$60:$H$62)*('BTX Recycling HC'!O185+'BTX Recycling HC'!O237+'BTX Recycling HC'!O271+'BTX Recycling HC'!O110)-'Overall recycling rates'!$I$62/SUM('Overall recycling rates'!$I$60:$I$62)*('BTX Recycling HC'!O186+'BTX Recycling HC'!O238+'BTX Recycling HC'!O272+'BTX Recycling HC'!O111)</f>
        <v>1.0078255980582869</v>
      </c>
      <c r="Q112" s="284">
        <f>Q60+Q66-'Overall recycling rates'!$G$62/SUM('Overall recycling rates'!$G$60:$G$62)*('BTX Recycling HC'!P183+'BTX Recycling HC'!P235+'BTX Recycling HC'!P269+'BTX Recycling HC'!P108)-'Overall recycling rates'!$E$62/SUM('Overall recycling rates'!$E$60:$E$62)*('BTX Recycling HC'!P184+'BTX Recycling HC'!P236+'BTX Recycling HC'!P270+'BTX Recycling HC'!P109)-'Overall recycling rates'!$H$62/SUM('Overall recycling rates'!$H$60:$H$62)*('BTX Recycling HC'!P185+'BTX Recycling HC'!P237+'BTX Recycling HC'!P271+'BTX Recycling HC'!P110)-'Overall recycling rates'!$I$62/SUM('Overall recycling rates'!$I$60:$I$62)*('BTX Recycling HC'!P186+'BTX Recycling HC'!P238+'BTX Recycling HC'!P272+'BTX Recycling HC'!P111)</f>
        <v>0.9700966503361762</v>
      </c>
      <c r="R112" s="284">
        <f>R60+R66-'Overall recycling rates'!$G$62/SUM('Overall recycling rates'!$G$60:$G$62)*('BTX Recycling HC'!Q183+'BTX Recycling HC'!Q235+'BTX Recycling HC'!Q269+'BTX Recycling HC'!Q108)-'Overall recycling rates'!$E$62/SUM('Overall recycling rates'!$E$60:$E$62)*('BTX Recycling HC'!Q184+'BTX Recycling HC'!Q236+'BTX Recycling HC'!Q270+'BTX Recycling HC'!Q109)-'Overall recycling rates'!$H$62/SUM('Overall recycling rates'!$H$60:$H$62)*('BTX Recycling HC'!Q185+'BTX Recycling HC'!Q237+'BTX Recycling HC'!Q271+'BTX Recycling HC'!Q110)-'Overall recycling rates'!$I$62/SUM('Overall recycling rates'!$I$60:$I$62)*('BTX Recycling HC'!Q186+'BTX Recycling HC'!Q238+'BTX Recycling HC'!Q272+'BTX Recycling HC'!Q111)</f>
        <v>0.93790871231607975</v>
      </c>
      <c r="S112" s="284">
        <f>S60+S66-'Overall recycling rates'!$G$62/SUM('Overall recycling rates'!$G$60:$G$62)*('BTX Recycling HC'!R183+'BTX Recycling HC'!R235+'BTX Recycling HC'!R269+'BTX Recycling HC'!R108)-'Overall recycling rates'!$E$62/SUM('Overall recycling rates'!$E$60:$E$62)*('BTX Recycling HC'!R184+'BTX Recycling HC'!R236+'BTX Recycling HC'!R270+'BTX Recycling HC'!R109)-'Overall recycling rates'!$H$62/SUM('Overall recycling rates'!$H$60:$H$62)*('BTX Recycling HC'!R185+'BTX Recycling HC'!R237+'BTX Recycling HC'!R271+'BTX Recycling HC'!R110)-'Overall recycling rates'!$I$62/SUM('Overall recycling rates'!$I$60:$I$62)*('BTX Recycling HC'!R186+'BTX Recycling HC'!R238+'BTX Recycling HC'!R272+'BTX Recycling HC'!R111)</f>
        <v>0.91207562711595391</v>
      </c>
      <c r="T112" s="284">
        <f>T60+T66-'Overall recycling rates'!$G$62/SUM('Overall recycling rates'!$G$60:$G$62)*('BTX Recycling HC'!S183+'BTX Recycling HC'!S235+'BTX Recycling HC'!S269+'BTX Recycling HC'!S108)-'Overall recycling rates'!$E$62/SUM('Overall recycling rates'!$E$60:$E$62)*('BTX Recycling HC'!S184+'BTX Recycling HC'!S236+'BTX Recycling HC'!S270+'BTX Recycling HC'!S109)-'Overall recycling rates'!$H$62/SUM('Overall recycling rates'!$H$60:$H$62)*('BTX Recycling HC'!S185+'BTX Recycling HC'!S237+'BTX Recycling HC'!S271+'BTX Recycling HC'!S110)-'Overall recycling rates'!$I$62/SUM('Overall recycling rates'!$I$60:$I$62)*('BTX Recycling HC'!S186+'BTX Recycling HC'!S238+'BTX Recycling HC'!S272+'BTX Recycling HC'!S111)</f>
        <v>0.88211564897825245</v>
      </c>
      <c r="U112" s="284">
        <f>U60+U66-'Overall recycling rates'!$G$62/SUM('Overall recycling rates'!$G$60:$G$62)*('BTX Recycling HC'!T183+'BTX Recycling HC'!T235+'BTX Recycling HC'!T269+'BTX Recycling HC'!T108)-'Overall recycling rates'!$E$62/SUM('Overall recycling rates'!$E$60:$E$62)*('BTX Recycling HC'!T184+'BTX Recycling HC'!T236+'BTX Recycling HC'!T270+'BTX Recycling HC'!T109)-'Overall recycling rates'!$H$62/SUM('Overall recycling rates'!$H$60:$H$62)*('BTX Recycling HC'!T185+'BTX Recycling HC'!T237+'BTX Recycling HC'!T271+'BTX Recycling HC'!T110)-'Overall recycling rates'!$I$62/SUM('Overall recycling rates'!$I$60:$I$62)*('BTX Recycling HC'!T186+'BTX Recycling HC'!T238+'BTX Recycling HC'!T272+'BTX Recycling HC'!T111)</f>
        <v>0.85601417285947823</v>
      </c>
      <c r="V112" s="284">
        <f>V60+V66-'Overall recycling rates'!$G$62/SUM('Overall recycling rates'!$G$60:$G$62)*('BTX Recycling HC'!U183+'BTX Recycling HC'!U235+'BTX Recycling HC'!U269+'BTX Recycling HC'!U108)-'Overall recycling rates'!$E$62/SUM('Overall recycling rates'!$E$60:$E$62)*('BTX Recycling HC'!U184+'BTX Recycling HC'!U236+'BTX Recycling HC'!U270+'BTX Recycling HC'!U109)-'Overall recycling rates'!$H$62/SUM('Overall recycling rates'!$H$60:$H$62)*('BTX Recycling HC'!U185+'BTX Recycling HC'!U237+'BTX Recycling HC'!U271+'BTX Recycling HC'!U110)-'Overall recycling rates'!$I$62/SUM('Overall recycling rates'!$I$60:$I$62)*('BTX Recycling HC'!U186+'BTX Recycling HC'!U238+'BTX Recycling HC'!U272+'BTX Recycling HC'!U111)</f>
        <v>0.83425307992462361</v>
      </c>
      <c r="W112" s="284">
        <f>W60+W66-'Overall recycling rates'!$G$62/SUM('Overall recycling rates'!$G$60:$G$62)*('BTX Recycling HC'!V183+'BTX Recycling HC'!V235+'BTX Recycling HC'!V269+'BTX Recycling HC'!V108)-'Overall recycling rates'!$E$62/SUM('Overall recycling rates'!$E$60:$E$62)*('BTX Recycling HC'!V184+'BTX Recycling HC'!V236+'BTX Recycling HC'!V270+'BTX Recycling HC'!V109)-'Overall recycling rates'!$H$62/SUM('Overall recycling rates'!$H$60:$H$62)*('BTX Recycling HC'!V185+'BTX Recycling HC'!V237+'BTX Recycling HC'!V271+'BTX Recycling HC'!V110)-'Overall recycling rates'!$I$62/SUM('Overall recycling rates'!$I$60:$I$62)*('BTX Recycling HC'!V186+'BTX Recycling HC'!V238+'BTX Recycling HC'!V272+'BTX Recycling HC'!V111)</f>
        <v>0.81735811018096016</v>
      </c>
      <c r="X112" s="284">
        <f>X60+X66-'Overall recycling rates'!$G$62/SUM('Overall recycling rates'!$G$60:$G$62)*('BTX Recycling HC'!W183+'BTX Recycling HC'!W235+'BTX Recycling HC'!W269+'BTX Recycling HC'!W108)-'Overall recycling rates'!$E$62/SUM('Overall recycling rates'!$E$60:$E$62)*('BTX Recycling HC'!W184+'BTX Recycling HC'!W236+'BTX Recycling HC'!W270+'BTX Recycling HC'!W109)-'Overall recycling rates'!$H$62/SUM('Overall recycling rates'!$H$60:$H$62)*('BTX Recycling HC'!W185+'BTX Recycling HC'!W237+'BTX Recycling HC'!W271+'BTX Recycling HC'!W110)-'Overall recycling rates'!$I$62/SUM('Overall recycling rates'!$I$60:$I$62)*('BTX Recycling HC'!W186+'BTX Recycling HC'!W238+'BTX Recycling HC'!W272+'BTX Recycling HC'!W111)</f>
        <v>0.80590210495374359</v>
      </c>
      <c r="Y112" s="284">
        <f>Y60+Y66-'Overall recycling rates'!$G$62/SUM('Overall recycling rates'!$G$60:$G$62)*('BTX Recycling HC'!X183+'BTX Recycling HC'!X235+'BTX Recycling HC'!X269+'BTX Recycling HC'!X108)-'Overall recycling rates'!$E$62/SUM('Overall recycling rates'!$E$60:$E$62)*('BTX Recycling HC'!X184+'BTX Recycling HC'!X236+'BTX Recycling HC'!X270+'BTX Recycling HC'!X109)-'Overall recycling rates'!$H$62/SUM('Overall recycling rates'!$H$60:$H$62)*('BTX Recycling HC'!X185+'BTX Recycling HC'!X237+'BTX Recycling HC'!X271+'BTX Recycling HC'!X110)-'Overall recycling rates'!$I$62/SUM('Overall recycling rates'!$I$60:$I$62)*('BTX Recycling HC'!X186+'BTX Recycling HC'!X238+'BTX Recycling HC'!X272+'BTX Recycling HC'!X111)</f>
        <v>0.74347760925390027</v>
      </c>
      <c r="Z112" s="284">
        <f>Z60+Z66-'Overall recycling rates'!$G$62/SUM('Overall recycling rates'!$G$60:$G$62)*('BTX Recycling HC'!Y183+'BTX Recycling HC'!Y235+'BTX Recycling HC'!Y269+'BTX Recycling HC'!Y108)-'Overall recycling rates'!$E$62/SUM('Overall recycling rates'!$E$60:$E$62)*('BTX Recycling HC'!Y184+'BTX Recycling HC'!Y236+'BTX Recycling HC'!Y270+'BTX Recycling HC'!Y109)-'Overall recycling rates'!$H$62/SUM('Overall recycling rates'!$H$60:$H$62)*('BTX Recycling HC'!Y185+'BTX Recycling HC'!Y237+'BTX Recycling HC'!Y271+'BTX Recycling HC'!Y110)-'Overall recycling rates'!$I$62/SUM('Overall recycling rates'!$I$60:$I$62)*('BTX Recycling HC'!Y186+'BTX Recycling HC'!Y238+'BTX Recycling HC'!Y272+'BTX Recycling HC'!Y111)</f>
        <v>0.68850192558878742</v>
      </c>
      <c r="AA112" s="284">
        <f>AA60+AA66-'Overall recycling rates'!$G$62/SUM('Overall recycling rates'!$G$60:$G$62)*('BTX Recycling HC'!Z183+'BTX Recycling HC'!Z235+'BTX Recycling HC'!Z269+'BTX Recycling HC'!Z108)-'Overall recycling rates'!$E$62/SUM('Overall recycling rates'!$E$60:$E$62)*('BTX Recycling HC'!Z184+'BTX Recycling HC'!Z236+'BTX Recycling HC'!Z270+'BTX Recycling HC'!Z109)-'Overall recycling rates'!$H$62/SUM('Overall recycling rates'!$H$60:$H$62)*('BTX Recycling HC'!Z185+'BTX Recycling HC'!Z237+'BTX Recycling HC'!Z271+'BTX Recycling HC'!Z110)-'Overall recycling rates'!$I$62/SUM('Overall recycling rates'!$I$60:$I$62)*('BTX Recycling HC'!Z186+'BTX Recycling HC'!Z238+'BTX Recycling HC'!Z272+'BTX Recycling HC'!Z111)</f>
        <v>0.64199569385880673</v>
      </c>
      <c r="AB112" s="284">
        <f>AB60+AB66-'Overall recycling rates'!$G$62/SUM('Overall recycling rates'!$G$60:$G$62)*('BTX Recycling HC'!AA183+'BTX Recycling HC'!AA235+'BTX Recycling HC'!AA269+'BTX Recycling HC'!AA108)-'Overall recycling rates'!$E$62/SUM('Overall recycling rates'!$E$60:$E$62)*('BTX Recycling HC'!AA184+'BTX Recycling HC'!AA236+'BTX Recycling HC'!AA270+'BTX Recycling HC'!AA109)-'Overall recycling rates'!$H$62/SUM('Overall recycling rates'!$H$60:$H$62)*('BTX Recycling HC'!AA185+'BTX Recycling HC'!AA237+'BTX Recycling HC'!AA271+'BTX Recycling HC'!AA110)-'Overall recycling rates'!$I$62/SUM('Overall recycling rates'!$I$60:$I$62)*('BTX Recycling HC'!AA186+'BTX Recycling HC'!AA238+'BTX Recycling HC'!AA272+'BTX Recycling HC'!AA111)</f>
        <v>0.60480061741376323</v>
      </c>
      <c r="AC112" s="284">
        <f>AC60+AC66-'Overall recycling rates'!$G$62/SUM('Overall recycling rates'!$G$60:$G$62)*('BTX Recycling HC'!AB183+'BTX Recycling HC'!AB235+'BTX Recycling HC'!AB269+'BTX Recycling HC'!AB108)-'Overall recycling rates'!$E$62/SUM('Overall recycling rates'!$E$60:$E$62)*('BTX Recycling HC'!AB184+'BTX Recycling HC'!AB236+'BTX Recycling HC'!AB270+'BTX Recycling HC'!AB109)-'Overall recycling rates'!$H$62/SUM('Overall recycling rates'!$H$60:$H$62)*('BTX Recycling HC'!AB185+'BTX Recycling HC'!AB237+'BTX Recycling HC'!AB271+'BTX Recycling HC'!AB110)-'Overall recycling rates'!$I$62/SUM('Overall recycling rates'!$I$60:$I$62)*('BTX Recycling HC'!AB186+'BTX Recycling HC'!AB238+'BTX Recycling HC'!AB272+'BTX Recycling HC'!AB111)</f>
        <v>0.57795736049263136</v>
      </c>
      <c r="AD112" s="284">
        <f>AD60+AD66-'Overall recycling rates'!$G$62/SUM('Overall recycling rates'!$G$60:$G$62)*('BTX Recycling HC'!AC183+'BTX Recycling HC'!AC235+'BTX Recycling HC'!AC269+'BTX Recycling HC'!AC108)-'Overall recycling rates'!$E$62/SUM('Overall recycling rates'!$E$60:$E$62)*('BTX Recycling HC'!AC184+'BTX Recycling HC'!AC236+'BTX Recycling HC'!AC270+'BTX Recycling HC'!AC109)-'Overall recycling rates'!$H$62/SUM('Overall recycling rates'!$H$60:$H$62)*('BTX Recycling HC'!AC185+'BTX Recycling HC'!AC237+'BTX Recycling HC'!AC271+'BTX Recycling HC'!AC110)-'Overall recycling rates'!$I$62/SUM('Overall recycling rates'!$I$60:$I$62)*('BTX Recycling HC'!AC186+'BTX Recycling HC'!AC238+'BTX Recycling HC'!AC272+'BTX Recycling HC'!AC111)</f>
        <v>0.56794416793542568</v>
      </c>
      <c r="AE112" s="284">
        <f>AE60+AE66-'Overall recycling rates'!$G$62/SUM('Overall recycling rates'!$G$60:$G$62)*('BTX Recycling HC'!AD183+'BTX Recycling HC'!AD235+'BTX Recycling HC'!AD269+'BTX Recycling HC'!AD108)-'Overall recycling rates'!$E$62/SUM('Overall recycling rates'!$E$60:$E$62)*('BTX Recycling HC'!AD184+'BTX Recycling HC'!AD236+'BTX Recycling HC'!AD270+'BTX Recycling HC'!AD109)-'Overall recycling rates'!$H$62/SUM('Overall recycling rates'!$H$60:$H$62)*('BTX Recycling HC'!AD185+'BTX Recycling HC'!AD237+'BTX Recycling HC'!AD271+'BTX Recycling HC'!AD110)-'Overall recycling rates'!$I$62/SUM('Overall recycling rates'!$I$60:$I$62)*('BTX Recycling HC'!AD186+'BTX Recycling HC'!AD238+'BTX Recycling HC'!AD272+'BTX Recycling HC'!AD111)</f>
        <v>0.57280045747871955</v>
      </c>
      <c r="AF112" s="284">
        <f>AF60+AF66-'Overall recycling rates'!$G$62/SUM('Overall recycling rates'!$G$60:$G$62)*('BTX Recycling HC'!AE183+'BTX Recycling HC'!AE235+'BTX Recycling HC'!AE269+'BTX Recycling HC'!AE108)-'Overall recycling rates'!$E$62/SUM('Overall recycling rates'!$E$60:$E$62)*('BTX Recycling HC'!AE184+'BTX Recycling HC'!AE236+'BTX Recycling HC'!AE270+'BTX Recycling HC'!AE109)-'Overall recycling rates'!$H$62/SUM('Overall recycling rates'!$H$60:$H$62)*('BTX Recycling HC'!AE185+'BTX Recycling HC'!AE237+'BTX Recycling HC'!AE271+'BTX Recycling HC'!AE110)-'Overall recycling rates'!$I$62/SUM('Overall recycling rates'!$I$60:$I$62)*('BTX Recycling HC'!AE186+'BTX Recycling HC'!AE238+'BTX Recycling HC'!AE272+'BTX Recycling HC'!AE111)</f>
        <v>0.5940481236289078</v>
      </c>
      <c r="AG112" s="284">
        <f>AG60+AG66-'Overall recycling rates'!$G$62/SUM('Overall recycling rates'!$G$60:$G$62)*('BTX Recycling HC'!AF183+'BTX Recycling HC'!AF235+'BTX Recycling HC'!AF269+'BTX Recycling HC'!AF108)-'Overall recycling rates'!$E$62/SUM('Overall recycling rates'!$E$60:$E$62)*('BTX Recycling HC'!AF184+'BTX Recycling HC'!AF236+'BTX Recycling HC'!AF270+'BTX Recycling HC'!AF109)-'Overall recycling rates'!$H$62/SUM('Overall recycling rates'!$H$60:$H$62)*('BTX Recycling HC'!AF185+'BTX Recycling HC'!AF237+'BTX Recycling HC'!AF271+'BTX Recycling HC'!AF110)-'Overall recycling rates'!$I$62/SUM('Overall recycling rates'!$I$60:$I$62)*('BTX Recycling HC'!AF186+'BTX Recycling HC'!AF238+'BTX Recycling HC'!AF272+'BTX Recycling HC'!AF111)</f>
        <v>0.63332572290181921</v>
      </c>
      <c r="AH112" s="284">
        <f>AH60+AH66-'Overall recycling rates'!$G$62/SUM('Overall recycling rates'!$G$60:$G$62)*('BTX Recycling HC'!AG183+'BTX Recycling HC'!AG235+'BTX Recycling HC'!AG269+'BTX Recycling HC'!AG108)-'Overall recycling rates'!$E$62/SUM('Overall recycling rates'!$E$60:$E$62)*('BTX Recycling HC'!AG184+'BTX Recycling HC'!AG236+'BTX Recycling HC'!AG270+'BTX Recycling HC'!AG109)-'Overall recycling rates'!$H$62/SUM('Overall recycling rates'!$H$60:$H$62)*('BTX Recycling HC'!AG185+'BTX Recycling HC'!AG237+'BTX Recycling HC'!AG271+'BTX Recycling HC'!AG110)-'Overall recycling rates'!$I$62/SUM('Overall recycling rates'!$I$60:$I$62)*('BTX Recycling HC'!AG186+'BTX Recycling HC'!AG238+'BTX Recycling HC'!AG272+'BTX Recycling HC'!AG111)</f>
        <v>0.69239684103947141</v>
      </c>
      <c r="AJ112" s="284">
        <f>AJ60+AJ66-'Overall recycling rates'!$G$62/SUM('Overall recycling rates'!$G$60:$G$62)*('BTX Recycling HC'!C183+'BTX Recycling HC'!C235+'BTX Recycling HC'!C269+'BTX Recycling HC'!C108)-'Overall recycling rates'!$E$62/SUM('Overall recycling rates'!$E$60:$E$62)*('BTX Recycling HC'!C184+'BTX Recycling HC'!C236+'BTX Recycling HC'!C270+'BTX Recycling HC'!C109)-'Overall recycling rates'!$H$62/SUM('Overall recycling rates'!$H$60:$H$62)*('BTX Recycling HC'!C185+'BTX Recycling HC'!C237+'BTX Recycling HC'!C271+'BTX Recycling HC'!C110)-'Overall recycling rates'!$I$62/SUM('Overall recycling rates'!$I$60:$I$62)*('BTX Recycling HC'!C186+'BTX Recycling HC'!C238+'BTX Recycling HC'!C272+'BTX Recycling HC'!C111)</f>
        <v>0.94700598044522621</v>
      </c>
      <c r="AK112" s="284">
        <f>AK60+AK66-'Overall recycling rates'!$G$62/SUM('Overall recycling rates'!$G$60:$G$62)*('BTX Recycling HC'!D183+'BTX Recycling HC'!D235+'BTX Recycling HC'!D269+'BTX Recycling HC'!D108)-'Overall recycling rates'!$E$62/SUM('Overall recycling rates'!$E$60:$E$62)*('BTX Recycling HC'!D184+'BTX Recycling HC'!D236+'BTX Recycling HC'!D270+'BTX Recycling HC'!D109)-'Overall recycling rates'!$H$62/SUM('Overall recycling rates'!$H$60:$H$62)*('BTX Recycling HC'!D185+'BTX Recycling HC'!D237+'BTX Recycling HC'!D271+'BTX Recycling HC'!D110)-'Overall recycling rates'!$I$62/SUM('Overall recycling rates'!$I$60:$I$62)*('BTX Recycling HC'!D186+'BTX Recycling HC'!D238+'BTX Recycling HC'!D272+'BTX Recycling HC'!D111)</f>
        <v>1.0406305034926884</v>
      </c>
      <c r="AL112" s="284">
        <f>AL60+AL66-'Overall recycling rates'!$G$62/SUM('Overall recycling rates'!$G$60:$G$62)*('BTX Recycling HC'!E183+'BTX Recycling HC'!E235+'BTX Recycling HC'!E269+'BTX Recycling HC'!E108)-'Overall recycling rates'!$E$62/SUM('Overall recycling rates'!$E$60:$E$62)*('BTX Recycling HC'!E184+'BTX Recycling HC'!E236+'BTX Recycling HC'!E270+'BTX Recycling HC'!E109)-'Overall recycling rates'!$H$62/SUM('Overall recycling rates'!$H$60:$H$62)*('BTX Recycling HC'!E185+'BTX Recycling HC'!E237+'BTX Recycling HC'!E271+'BTX Recycling HC'!E110)-'Overall recycling rates'!$I$62/SUM('Overall recycling rates'!$I$60:$I$62)*('BTX Recycling HC'!E186+'BTX Recycling HC'!E238+'BTX Recycling HC'!E272+'BTX Recycling HC'!E111)</f>
        <v>1.0630956120533166</v>
      </c>
      <c r="AM112" s="284">
        <f>AM60+AM66-'Overall recycling rates'!$G$62/SUM('Overall recycling rates'!$G$60:$G$62)*('BTX Recycling HC'!F183+'BTX Recycling HC'!F235+'BTX Recycling HC'!F269+'BTX Recycling HC'!F108)-'Overall recycling rates'!$E$62/SUM('Overall recycling rates'!$E$60:$E$62)*('BTX Recycling HC'!F184+'BTX Recycling HC'!F236+'BTX Recycling HC'!F270+'BTX Recycling HC'!F109)-'Overall recycling rates'!$H$62/SUM('Overall recycling rates'!$H$60:$H$62)*('BTX Recycling HC'!F185+'BTX Recycling HC'!F237+'BTX Recycling HC'!F271+'BTX Recycling HC'!F110)-'Overall recycling rates'!$I$62/SUM('Overall recycling rates'!$I$60:$I$62)*('BTX Recycling HC'!F186+'BTX Recycling HC'!F238+'BTX Recycling HC'!F272+'BTX Recycling HC'!F111)</f>
        <v>1.0854068500781635</v>
      </c>
      <c r="AN112" s="284">
        <f>AN60+AN66-'Overall recycling rates'!$G$62/SUM('Overall recycling rates'!$G$60:$G$62)*('BTX Recycling HC'!G183+'BTX Recycling HC'!G235+'BTX Recycling HC'!G269+'BTX Recycling HC'!G108)-'Overall recycling rates'!$E$62/SUM('Overall recycling rates'!$E$60:$E$62)*('BTX Recycling HC'!G184+'BTX Recycling HC'!G236+'BTX Recycling HC'!G270+'BTX Recycling HC'!G109)-'Overall recycling rates'!$H$62/SUM('Overall recycling rates'!$H$60:$H$62)*('BTX Recycling HC'!G185+'BTX Recycling HC'!G237+'BTX Recycling HC'!G271+'BTX Recycling HC'!G110)-'Overall recycling rates'!$I$62/SUM('Overall recycling rates'!$I$60:$I$62)*('BTX Recycling HC'!G186+'BTX Recycling HC'!G238+'BTX Recycling HC'!G272+'BTX Recycling HC'!G111)</f>
        <v>1.1088384832316767</v>
      </c>
      <c r="AO112" s="284">
        <f>AO60+AO66-'Overall recycling rates'!$G$62/SUM('Overall recycling rates'!$G$60:$G$62)*('BTX Recycling HC'!H183+'BTX Recycling HC'!H235+'BTX Recycling HC'!H269+'BTX Recycling HC'!H108)-'Overall recycling rates'!$E$62/SUM('Overall recycling rates'!$E$60:$E$62)*('BTX Recycling HC'!H184+'BTX Recycling HC'!H236+'BTX Recycling HC'!H270+'BTX Recycling HC'!H109)-'Overall recycling rates'!$H$62/SUM('Overall recycling rates'!$H$60:$H$62)*('BTX Recycling HC'!H185+'BTX Recycling HC'!H237+'BTX Recycling HC'!H271+'BTX Recycling HC'!H110)-'Overall recycling rates'!$I$62/SUM('Overall recycling rates'!$I$60:$I$62)*('BTX Recycling HC'!H186+'BTX Recycling HC'!H238+'BTX Recycling HC'!H272+'BTX Recycling HC'!H111)</f>
        <v>1.1336257554018339</v>
      </c>
      <c r="AP112" s="284">
        <f>AP60+AP66-'Overall recycling rates'!$G$62/SUM('Overall recycling rates'!$G$60:$G$62)*('BTX Recycling HC'!I183+'BTX Recycling HC'!I235+'BTX Recycling HC'!I269+'BTX Recycling HC'!I108)-'Overall recycling rates'!$E$62/SUM('Overall recycling rates'!$E$60:$E$62)*('BTX Recycling HC'!I184+'BTX Recycling HC'!I236+'BTX Recycling HC'!I270+'BTX Recycling HC'!I109)-'Overall recycling rates'!$H$62/SUM('Overall recycling rates'!$H$60:$H$62)*('BTX Recycling HC'!I185+'BTX Recycling HC'!I237+'BTX Recycling HC'!I271+'BTX Recycling HC'!I110)-'Overall recycling rates'!$I$62/SUM('Overall recycling rates'!$I$60:$I$62)*('BTX Recycling HC'!I186+'BTX Recycling HC'!I238+'BTX Recycling HC'!I272+'BTX Recycling HC'!I111)</f>
        <v>1.1332876787090613</v>
      </c>
      <c r="AQ112" s="284">
        <f>AQ60+AQ66-'Overall recycling rates'!$G$62/SUM('Overall recycling rates'!$G$60:$G$62)*('BTX Recycling HC'!J183+'BTX Recycling HC'!J235+'BTX Recycling HC'!J269+'BTX Recycling HC'!J108)-'Overall recycling rates'!$E$62/SUM('Overall recycling rates'!$E$60:$E$62)*('BTX Recycling HC'!J184+'BTX Recycling HC'!J236+'BTX Recycling HC'!J270+'BTX Recycling HC'!J109)-'Overall recycling rates'!$H$62/SUM('Overall recycling rates'!$H$60:$H$62)*('BTX Recycling HC'!J185+'BTX Recycling HC'!J237+'BTX Recycling HC'!J271+'BTX Recycling HC'!J110)-'Overall recycling rates'!$I$62/SUM('Overall recycling rates'!$I$60:$I$62)*('BTX Recycling HC'!J186+'BTX Recycling HC'!J238+'BTX Recycling HC'!J272+'BTX Recycling HC'!J111)</f>
        <v>1.133894996134293</v>
      </c>
      <c r="AR112" s="284">
        <f>AR60+AR66-'Overall recycling rates'!$G$62/SUM('Overall recycling rates'!$G$60:$G$62)*('BTX Recycling HC'!K183+'BTX Recycling HC'!K235+'BTX Recycling HC'!K269+'BTX Recycling HC'!K108)-'Overall recycling rates'!$E$62/SUM('Overall recycling rates'!$E$60:$E$62)*('BTX Recycling HC'!K184+'BTX Recycling HC'!K236+'BTX Recycling HC'!K270+'BTX Recycling HC'!K109)-'Overall recycling rates'!$H$62/SUM('Overall recycling rates'!$H$60:$H$62)*('BTX Recycling HC'!K185+'BTX Recycling HC'!K237+'BTX Recycling HC'!K271+'BTX Recycling HC'!K110)-'Overall recycling rates'!$I$62/SUM('Overall recycling rates'!$I$60:$I$62)*('BTX Recycling HC'!K186+'BTX Recycling HC'!K238+'BTX Recycling HC'!K272+'BTX Recycling HC'!K111)</f>
        <v>1.1357110229514273</v>
      </c>
      <c r="AS112" s="284">
        <f>AS60+AS66-'Overall recycling rates'!$G$62/SUM('Overall recycling rates'!$G$60:$G$62)*('BTX Recycling HC'!L183+'BTX Recycling HC'!L235+'BTX Recycling HC'!L269+'BTX Recycling HC'!L108)-'Overall recycling rates'!$E$62/SUM('Overall recycling rates'!$E$60:$E$62)*('BTX Recycling HC'!L184+'BTX Recycling HC'!L236+'BTX Recycling HC'!L270+'BTX Recycling HC'!L109)-'Overall recycling rates'!$H$62/SUM('Overall recycling rates'!$H$60:$H$62)*('BTX Recycling HC'!L185+'BTX Recycling HC'!L237+'BTX Recycling HC'!L271+'BTX Recycling HC'!L110)-'Overall recycling rates'!$I$62/SUM('Overall recycling rates'!$I$60:$I$62)*('BTX Recycling HC'!L186+'BTX Recycling HC'!L238+'BTX Recycling HC'!L272+'BTX Recycling HC'!L111)</f>
        <v>1.139026443227467</v>
      </c>
      <c r="AT112" s="284">
        <f>AT60+AT66-'Overall recycling rates'!$G$62/SUM('Overall recycling rates'!$G$60:$G$62)*('BTX Recycling HC'!M183+'BTX Recycling HC'!M235+'BTX Recycling HC'!M269+'BTX Recycling HC'!M108)-'Overall recycling rates'!$E$62/SUM('Overall recycling rates'!$E$60:$E$62)*('BTX Recycling HC'!M184+'BTX Recycling HC'!M236+'BTX Recycling HC'!M270+'BTX Recycling HC'!M109)-'Overall recycling rates'!$H$62/SUM('Overall recycling rates'!$H$60:$H$62)*('BTX Recycling HC'!M185+'BTX Recycling HC'!M237+'BTX Recycling HC'!M271+'BTX Recycling HC'!M110)-'Overall recycling rates'!$I$62/SUM('Overall recycling rates'!$I$60:$I$62)*('BTX Recycling HC'!M186+'BTX Recycling HC'!M238+'BTX Recycling HC'!M272+'BTX Recycling HC'!M111)</f>
        <v>1.1441608049870793</v>
      </c>
      <c r="AU112" s="284">
        <f>AU60+AU66-'Overall recycling rates'!$G$62/SUM('Overall recycling rates'!$G$60:$G$62)*('BTX Recycling HC'!N183+'BTX Recycling HC'!N235+'BTX Recycling HC'!N269+'BTX Recycling HC'!N108)-'Overall recycling rates'!$E$62/SUM('Overall recycling rates'!$E$60:$E$62)*('BTX Recycling HC'!N184+'BTX Recycling HC'!N236+'BTX Recycling HC'!N270+'BTX Recycling HC'!N109)-'Overall recycling rates'!$H$62/SUM('Overall recycling rates'!$H$60:$H$62)*('BTX Recycling HC'!N185+'BTX Recycling HC'!N237+'BTX Recycling HC'!N271+'BTX Recycling HC'!N110)-'Overall recycling rates'!$I$62/SUM('Overall recycling rates'!$I$60:$I$62)*('BTX Recycling HC'!N186+'BTX Recycling HC'!N238+'BTX Recycling HC'!N272+'BTX Recycling HC'!N111)</f>
        <v>1.1028107392173427</v>
      </c>
      <c r="AV112" s="284">
        <f>AV60+AV66-'Overall recycling rates'!$G$62/SUM('Overall recycling rates'!$G$60:$G$62)*('BTX Recycling HC'!O183+'BTX Recycling HC'!O235+'BTX Recycling HC'!O269+'BTX Recycling HC'!O108)-'Overall recycling rates'!$E$62/SUM('Overall recycling rates'!$E$60:$E$62)*('BTX Recycling HC'!O184+'BTX Recycling HC'!O236+'BTX Recycling HC'!O270+'BTX Recycling HC'!O109)-'Overall recycling rates'!$H$62/SUM('Overall recycling rates'!$H$60:$H$62)*('BTX Recycling HC'!O185+'BTX Recycling HC'!O237+'BTX Recycling HC'!O271+'BTX Recycling HC'!O110)-'Overall recycling rates'!$I$62/SUM('Overall recycling rates'!$I$60:$I$62)*('BTX Recycling HC'!O186+'BTX Recycling HC'!O238+'BTX Recycling HC'!O272+'BTX Recycling HC'!O111)</f>
        <v>1.0654892818843358</v>
      </c>
      <c r="AW112" s="284">
        <f>AW60+AW66-'Overall recycling rates'!$G$62/SUM('Overall recycling rates'!$G$60:$G$62)*('BTX Recycling HC'!P183+'BTX Recycling HC'!P235+'BTX Recycling HC'!P269+'BTX Recycling HC'!P108)-'Overall recycling rates'!$E$62/SUM('Overall recycling rates'!$E$60:$E$62)*('BTX Recycling HC'!P184+'BTX Recycling HC'!P236+'BTX Recycling HC'!P270+'BTX Recycling HC'!P109)-'Overall recycling rates'!$H$62/SUM('Overall recycling rates'!$H$60:$H$62)*('BTX Recycling HC'!P185+'BTX Recycling HC'!P237+'BTX Recycling HC'!P271+'BTX Recycling HC'!P110)-'Overall recycling rates'!$I$62/SUM('Overall recycling rates'!$I$60:$I$62)*('BTX Recycling HC'!P186+'BTX Recycling HC'!P238+'BTX Recycling HC'!P272+'BTX Recycling HC'!P111)</f>
        <v>1.0330045697468908</v>
      </c>
      <c r="AX112" s="284">
        <f>AX60+AX66-'Overall recycling rates'!$G$62/SUM('Overall recycling rates'!$G$60:$G$62)*('BTX Recycling HC'!Q183+'BTX Recycling HC'!Q235+'BTX Recycling HC'!Q269+'BTX Recycling HC'!Q108)-'Overall recycling rates'!$E$62/SUM('Overall recycling rates'!$E$60:$E$62)*('BTX Recycling HC'!Q184+'BTX Recycling HC'!Q236+'BTX Recycling HC'!Q270+'BTX Recycling HC'!Q109)-'Overall recycling rates'!$H$62/SUM('Overall recycling rates'!$H$60:$H$62)*('BTX Recycling HC'!Q185+'BTX Recycling HC'!Q237+'BTX Recycling HC'!Q271+'BTX Recycling HC'!Q110)-'Overall recycling rates'!$I$62/SUM('Overall recycling rates'!$I$60:$I$62)*('BTX Recycling HC'!Q186+'BTX Recycling HC'!Q238+'BTX Recycling HC'!Q272+'BTX Recycling HC'!Q111)</f>
        <v>1.0061310129465142</v>
      </c>
      <c r="AY112" s="284">
        <f>AY60+AY66-'Overall recycling rates'!$G$62/SUM('Overall recycling rates'!$G$60:$G$62)*('BTX Recycling HC'!R183+'BTX Recycling HC'!R235+'BTX Recycling HC'!R269+'BTX Recycling HC'!R108)-'Overall recycling rates'!$E$62/SUM('Overall recycling rates'!$E$60:$E$62)*('BTX Recycling HC'!R184+'BTX Recycling HC'!R236+'BTX Recycling HC'!R270+'BTX Recycling HC'!R109)-'Overall recycling rates'!$H$62/SUM('Overall recycling rates'!$H$60:$H$62)*('BTX Recycling HC'!R185+'BTX Recycling HC'!R237+'BTX Recycling HC'!R271+'BTX Recycling HC'!R110)-'Overall recycling rates'!$I$62/SUM('Overall recycling rates'!$I$60:$I$62)*('BTX Recycling HC'!R186+'BTX Recycling HC'!R238+'BTX Recycling HC'!R272+'BTX Recycling HC'!R111)</f>
        <v>0.98568301978827033</v>
      </c>
      <c r="AZ112" s="284">
        <f>AZ60+AZ66-'Overall recycling rates'!$G$62/SUM('Overall recycling rates'!$G$60:$G$62)*('BTX Recycling HC'!S183+'BTX Recycling HC'!S235+'BTX Recycling HC'!S269+'BTX Recycling HC'!S108)-'Overall recycling rates'!$E$62/SUM('Overall recycling rates'!$E$60:$E$62)*('BTX Recycling HC'!S184+'BTX Recycling HC'!S236+'BTX Recycling HC'!S270+'BTX Recycling HC'!S109)-'Overall recycling rates'!$H$62/SUM('Overall recycling rates'!$H$60:$H$62)*('BTX Recycling HC'!S185+'BTX Recycling HC'!S237+'BTX Recycling HC'!S271+'BTX Recycling HC'!S110)-'Overall recycling rates'!$I$62/SUM('Overall recycling rates'!$I$60:$I$62)*('BTX Recycling HC'!S186+'BTX Recycling HC'!S238+'BTX Recycling HC'!S272+'BTX Recycling HC'!S111)</f>
        <v>0.96107279153973746</v>
      </c>
      <c r="BA112" s="284">
        <f>BA60+BA66-'Overall recycling rates'!$G$62/SUM('Overall recycling rates'!$G$60:$G$62)*('BTX Recycling HC'!T183+'BTX Recycling HC'!T235+'BTX Recycling HC'!T269+'BTX Recycling HC'!T108)-'Overall recycling rates'!$E$62/SUM('Overall recycling rates'!$E$60:$E$62)*('BTX Recycling HC'!T184+'BTX Recycling HC'!T236+'BTX Recycling HC'!T270+'BTX Recycling HC'!T109)-'Overall recycling rates'!$H$62/SUM('Overall recycling rates'!$H$60:$H$62)*('BTX Recycling HC'!T185+'BTX Recycling HC'!T237+'BTX Recycling HC'!T271+'BTX Recycling HC'!T110)-'Overall recycling rates'!$I$62/SUM('Overall recycling rates'!$I$60:$I$62)*('BTX Recycling HC'!T186+'BTX Recycling HC'!T238+'BTX Recycling HC'!T272+'BTX Recycling HC'!T111)</f>
        <v>0.94037744126968847</v>
      </c>
      <c r="BB112" s="284">
        <f>BB60+BB66-'Overall recycling rates'!$G$62/SUM('Overall recycling rates'!$G$60:$G$62)*('BTX Recycling HC'!U183+'BTX Recycling HC'!U235+'BTX Recycling HC'!U269+'BTX Recycling HC'!U108)-'Overall recycling rates'!$E$62/SUM('Overall recycling rates'!$E$60:$E$62)*('BTX Recycling HC'!U184+'BTX Recycling HC'!U236+'BTX Recycling HC'!U270+'BTX Recycling HC'!U109)-'Overall recycling rates'!$H$62/SUM('Overall recycling rates'!$H$60:$H$62)*('BTX Recycling HC'!U185+'BTX Recycling HC'!U237+'BTX Recycling HC'!U271+'BTX Recycling HC'!U110)-'Overall recycling rates'!$I$62/SUM('Overall recycling rates'!$I$60:$I$62)*('BTX Recycling HC'!U186+'BTX Recycling HC'!U238+'BTX Recycling HC'!U272+'BTX Recycling HC'!U111)</f>
        <v>0.9240790078998139</v>
      </c>
      <c r="BC112" s="284">
        <f>BC60+BC66-'Overall recycling rates'!$G$62/SUM('Overall recycling rates'!$G$60:$G$62)*('BTX Recycling HC'!V183+'BTX Recycling HC'!V235+'BTX Recycling HC'!V269+'BTX Recycling HC'!V108)-'Overall recycling rates'!$E$62/SUM('Overall recycling rates'!$E$60:$E$62)*('BTX Recycling HC'!V184+'BTX Recycling HC'!V236+'BTX Recycling HC'!V270+'BTX Recycling HC'!V109)-'Overall recycling rates'!$H$62/SUM('Overall recycling rates'!$H$60:$H$62)*('BTX Recycling HC'!V185+'BTX Recycling HC'!V237+'BTX Recycling HC'!V271+'BTX Recycling HC'!V110)-'Overall recycling rates'!$I$62/SUM('Overall recycling rates'!$I$60:$I$62)*('BTX Recycling HC'!V186+'BTX Recycling HC'!V238+'BTX Recycling HC'!V272+'BTX Recycling HC'!V111)</f>
        <v>0.91270338227536085</v>
      </c>
      <c r="BD112" s="284">
        <f>BD60+BD66-'Overall recycling rates'!$G$62/SUM('Overall recycling rates'!$G$60:$G$62)*('BTX Recycling HC'!W183+'BTX Recycling HC'!W235+'BTX Recycling HC'!W269+'BTX Recycling HC'!W108)-'Overall recycling rates'!$E$62/SUM('Overall recycling rates'!$E$60:$E$62)*('BTX Recycling HC'!W184+'BTX Recycling HC'!W236+'BTX Recycling HC'!W270+'BTX Recycling HC'!W109)-'Overall recycling rates'!$H$62/SUM('Overall recycling rates'!$H$60:$H$62)*('BTX Recycling HC'!W185+'BTX Recycling HC'!W237+'BTX Recycling HC'!W271+'BTX Recycling HC'!W110)-'Overall recycling rates'!$I$62/SUM('Overall recycling rates'!$I$60:$I$62)*('BTX Recycling HC'!W186+'BTX Recycling HC'!W238+'BTX Recycling HC'!W272+'BTX Recycling HC'!W111)</f>
        <v>0.90682354944075794</v>
      </c>
      <c r="BE112" s="284">
        <f>BE60+BE66-'Overall recycling rates'!$G$62/SUM('Overall recycling rates'!$G$60:$G$62)*('BTX Recycling HC'!X183+'BTX Recycling HC'!X235+'BTX Recycling HC'!X269+'BTX Recycling HC'!X108)-'Overall recycling rates'!$E$62/SUM('Overall recycling rates'!$E$60:$E$62)*('BTX Recycling HC'!X184+'BTX Recycling HC'!X236+'BTX Recycling HC'!X270+'BTX Recycling HC'!X109)-'Overall recycling rates'!$H$62/SUM('Overall recycling rates'!$H$60:$H$62)*('BTX Recycling HC'!X185+'BTX Recycling HC'!X237+'BTX Recycling HC'!X271+'BTX Recycling HC'!X110)-'Overall recycling rates'!$I$62/SUM('Overall recycling rates'!$I$60:$I$62)*('BTX Recycling HC'!X186+'BTX Recycling HC'!X238+'BTX Recycling HC'!X272+'BTX Recycling HC'!X111)</f>
        <v>0.84840740875846132</v>
      </c>
      <c r="BF112" s="284">
        <f>BF60+BF66-'Overall recycling rates'!$G$62/SUM('Overall recycling rates'!$G$60:$G$62)*('BTX Recycling HC'!Y183+'BTX Recycling HC'!Y235+'BTX Recycling HC'!Y269+'BTX Recycling HC'!Y108)-'Overall recycling rates'!$E$62/SUM('Overall recycling rates'!$E$60:$E$62)*('BTX Recycling HC'!Y184+'BTX Recycling HC'!Y236+'BTX Recycling HC'!Y270+'BTX Recycling HC'!Y109)-'Overall recycling rates'!$H$62/SUM('Overall recycling rates'!$H$60:$H$62)*('BTX Recycling HC'!Y185+'BTX Recycling HC'!Y237+'BTX Recycling HC'!Y271+'BTX Recycling HC'!Y110)-'Overall recycling rates'!$I$62/SUM('Overall recycling rates'!$I$60:$I$62)*('BTX Recycling HC'!Y186+'BTX Recycling HC'!Y238+'BTX Recycling HC'!Y272+'BTX Recycling HC'!Y111)</f>
        <v>0.79730027447467045</v>
      </c>
      <c r="BG112" s="284">
        <f>BG60+BG66-'Overall recycling rates'!$G$62/SUM('Overall recycling rates'!$G$60:$G$62)*('BTX Recycling HC'!Z183+'BTX Recycling HC'!Z235+'BTX Recycling HC'!Z269+'BTX Recycling HC'!Z108)-'Overall recycling rates'!$E$62/SUM('Overall recycling rates'!$E$60:$E$62)*('BTX Recycling HC'!Z184+'BTX Recycling HC'!Z236+'BTX Recycling HC'!Z270+'BTX Recycling HC'!Z109)-'Overall recycling rates'!$H$62/SUM('Overall recycling rates'!$H$60:$H$62)*('BTX Recycling HC'!Z185+'BTX Recycling HC'!Z237+'BTX Recycling HC'!Z271+'BTX Recycling HC'!Z110)-'Overall recycling rates'!$I$62/SUM('Overall recycling rates'!$I$60:$I$62)*('BTX Recycling HC'!Z186+'BTX Recycling HC'!Z238+'BTX Recycling HC'!Z272+'BTX Recycling HC'!Z111)</f>
        <v>0.75451924003841397</v>
      </c>
      <c r="BH112" s="284">
        <f>BH60+BH66-'Overall recycling rates'!$G$62/SUM('Overall recycling rates'!$G$60:$G$62)*('BTX Recycling HC'!AA183+'BTX Recycling HC'!AA235+'BTX Recycling HC'!AA269+'BTX Recycling HC'!AA108)-'Overall recycling rates'!$E$62/SUM('Overall recycling rates'!$E$60:$E$62)*('BTX Recycling HC'!AA184+'BTX Recycling HC'!AA236+'BTX Recycling HC'!AA270+'BTX Recycling HC'!AA109)-'Overall recycling rates'!$H$62/SUM('Overall recycling rates'!$H$60:$H$62)*('BTX Recycling HC'!AA185+'BTX Recycling HC'!AA237+'BTX Recycling HC'!AA271+'BTX Recycling HC'!AA110)-'Overall recycling rates'!$I$62/SUM('Overall recycling rates'!$I$60:$I$62)*('BTX Recycling HC'!AA186+'BTX Recycling HC'!AA238+'BTX Recycling HC'!AA272+'BTX Recycling HC'!AA111)</f>
        <v>0.72090240451871512</v>
      </c>
      <c r="BI112" s="284">
        <f>BI60+BI66-'Overall recycling rates'!$G$62/SUM('Overall recycling rates'!$G$60:$G$62)*('BTX Recycling HC'!AB183+'BTX Recycling HC'!AB235+'BTX Recycling HC'!AB269+'BTX Recycling HC'!AB108)-'Overall recycling rates'!$E$62/SUM('Overall recycling rates'!$E$60:$E$62)*('BTX Recycling HC'!AB184+'BTX Recycling HC'!AB236+'BTX Recycling HC'!AB270+'BTX Recycling HC'!AB109)-'Overall recycling rates'!$H$62/SUM('Overall recycling rates'!$H$60:$H$62)*('BTX Recycling HC'!AB185+'BTX Recycling HC'!AB237+'BTX Recycling HC'!AB271+'BTX Recycling HC'!AB110)-'Overall recycling rates'!$I$62/SUM('Overall recycling rates'!$I$60:$I$62)*('BTX Recycling HC'!AB186+'BTX Recycling HC'!AB238+'BTX Recycling HC'!AB272+'BTX Recycling HC'!AB111)</f>
        <v>0.6974867692262916</v>
      </c>
      <c r="BJ112" s="284">
        <f>BJ60+BJ66-'Overall recycling rates'!$G$62/SUM('Overall recycling rates'!$G$60:$G$62)*('BTX Recycling HC'!AC183+'BTX Recycling HC'!AC235+'BTX Recycling HC'!AC269+'BTX Recycling HC'!AC108)-'Overall recycling rates'!$E$62/SUM('Overall recycling rates'!$E$60:$E$62)*('BTX Recycling HC'!AC184+'BTX Recycling HC'!AC236+'BTX Recycling HC'!AC270+'BTX Recycling HC'!AC109)-'Overall recycling rates'!$H$62/SUM('Overall recycling rates'!$H$60:$H$62)*('BTX Recycling HC'!AC185+'BTX Recycling HC'!AC237+'BTX Recycling HC'!AC271+'BTX Recycling HC'!AC110)-'Overall recycling rates'!$I$62/SUM('Overall recycling rates'!$I$60:$I$62)*('BTX Recycling HC'!AC186+'BTX Recycling HC'!AC238+'BTX Recycling HC'!AC272+'BTX Recycling HC'!AC111)</f>
        <v>0.69019855496033766</v>
      </c>
      <c r="BK112" s="284">
        <f>BK60+BK66-'Overall recycling rates'!$G$62/SUM('Overall recycling rates'!$G$60:$G$62)*('BTX Recycling HC'!AD183+'BTX Recycling HC'!AD235+'BTX Recycling HC'!AD269+'BTX Recycling HC'!AD108)-'Overall recycling rates'!$E$62/SUM('Overall recycling rates'!$E$60:$E$62)*('BTX Recycling HC'!AD184+'BTX Recycling HC'!AD236+'BTX Recycling HC'!AD270+'BTX Recycling HC'!AD109)-'Overall recycling rates'!$H$62/SUM('Overall recycling rates'!$H$60:$H$62)*('BTX Recycling HC'!AD185+'BTX Recycling HC'!AD237+'BTX Recycling HC'!AD271+'BTX Recycling HC'!AD110)-'Overall recycling rates'!$I$62/SUM('Overall recycling rates'!$I$60:$I$62)*('BTX Recycling HC'!AD186+'BTX Recycling HC'!AD238+'BTX Recycling HC'!AD272+'BTX Recycling HC'!AD111)</f>
        <v>0.69757494333499559</v>
      </c>
      <c r="BL112" s="284">
        <f>BL60+BL66-'Overall recycling rates'!$G$62/SUM('Overall recycling rates'!$G$60:$G$62)*('BTX Recycling HC'!AE183+'BTX Recycling HC'!AE235+'BTX Recycling HC'!AE269+'BTX Recycling HC'!AE108)-'Overall recycling rates'!$E$62/SUM('Overall recycling rates'!$E$60:$E$62)*('BTX Recycling HC'!AE184+'BTX Recycling HC'!AE236+'BTX Recycling HC'!AE270+'BTX Recycling HC'!AE109)-'Overall recycling rates'!$H$62/SUM('Overall recycling rates'!$H$60:$H$62)*('BTX Recycling HC'!AE185+'BTX Recycling HC'!AE237+'BTX Recycling HC'!AE271+'BTX Recycling HC'!AE110)-'Overall recycling rates'!$I$62/SUM('Overall recycling rates'!$I$60:$I$62)*('BTX Recycling HC'!AE186+'BTX Recycling HC'!AE238+'BTX Recycling HC'!AE272+'BTX Recycling HC'!AE111)</f>
        <v>0.72113355789649292</v>
      </c>
      <c r="BM112" s="284">
        <f>BM60+BM66-'Overall recycling rates'!$G$62/SUM('Overall recycling rates'!$G$60:$G$62)*('BTX Recycling HC'!AF183+'BTX Recycling HC'!AF235+'BTX Recycling HC'!AF269+'BTX Recycling HC'!AF108)-'Overall recycling rates'!$E$62/SUM('Overall recycling rates'!$E$60:$E$62)*('BTX Recycling HC'!AF184+'BTX Recycling HC'!AF236+'BTX Recycling HC'!AF270+'BTX Recycling HC'!AF109)-'Overall recycling rates'!$H$62/SUM('Overall recycling rates'!$H$60:$H$62)*('BTX Recycling HC'!AF185+'BTX Recycling HC'!AF237+'BTX Recycling HC'!AF271+'BTX Recycling HC'!AF110)-'Overall recycling rates'!$I$62/SUM('Overall recycling rates'!$I$60:$I$62)*('BTX Recycling HC'!AF186+'BTX Recycling HC'!AF238+'BTX Recycling HC'!AF272+'BTX Recycling HC'!AF111)</f>
        <v>0.76250861946730919</v>
      </c>
      <c r="BN112" s="284">
        <f>BN60+BN66-'Overall recycling rates'!$G$62/SUM('Overall recycling rates'!$G$60:$G$62)*('BTX Recycling HC'!AG183+'BTX Recycling HC'!AG235+'BTX Recycling HC'!AG269+'BTX Recycling HC'!AG108)-'Overall recycling rates'!$E$62/SUM('Overall recycling rates'!$E$60:$E$62)*('BTX Recycling HC'!AG184+'BTX Recycling HC'!AG236+'BTX Recycling HC'!AG270+'BTX Recycling HC'!AG109)-'Overall recycling rates'!$H$62/SUM('Overall recycling rates'!$H$60:$H$62)*('BTX Recycling HC'!AG185+'BTX Recycling HC'!AG237+'BTX Recycling HC'!AG271+'BTX Recycling HC'!AG110)-'Overall recycling rates'!$I$62/SUM('Overall recycling rates'!$I$60:$I$62)*('BTX Recycling HC'!AG186+'BTX Recycling HC'!AG238+'BTX Recycling HC'!AG272+'BTX Recycling HC'!AG111)</f>
        <v>0.823459312474633</v>
      </c>
    </row>
    <row r="113" spans="1:67" outlineLevel="1" x14ac:dyDescent="0.2">
      <c r="A113" s="58" t="s">
        <v>67</v>
      </c>
      <c r="B113" s="58" t="s">
        <v>227</v>
      </c>
      <c r="C113" s="100" t="s">
        <v>153</v>
      </c>
      <c r="D113" s="101">
        <f>D77+D97+D98+D106+D107+D90+D99+D108</f>
        <v>0</v>
      </c>
      <c r="E113" s="101">
        <f t="shared" ref="E113:AG113" si="135">E77+E97+E98+E106+E107+E90+E99+E108</f>
        <v>0.1694592742765213</v>
      </c>
      <c r="F113" s="101">
        <f t="shared" si="135"/>
        <v>0.38929364033599578</v>
      </c>
      <c r="G113" s="101">
        <f t="shared" si="135"/>
        <v>0.61750277938437714</v>
      </c>
      <c r="H113" s="101">
        <f t="shared" si="135"/>
        <v>0.84492664086642244</v>
      </c>
      <c r="I113" s="101">
        <f t="shared" si="135"/>
        <v>1.0702163727517897</v>
      </c>
      <c r="J113" s="101">
        <f t="shared" si="135"/>
        <v>1.2866367748227592</v>
      </c>
      <c r="K113" s="101">
        <f t="shared" si="135"/>
        <v>1.5047501108850354</v>
      </c>
      <c r="L113" s="101">
        <f t="shared" si="135"/>
        <v>1.7239123354673587</v>
      </c>
      <c r="M113" s="101">
        <f t="shared" si="135"/>
        <v>1.9434264437764077</v>
      </c>
      <c r="N113" s="101">
        <f t="shared" si="135"/>
        <v>2.1625417441407162</v>
      </c>
      <c r="O113" s="101">
        <f t="shared" si="135"/>
        <v>2.4888061417998948</v>
      </c>
      <c r="P113" s="101">
        <f t="shared" si="135"/>
        <v>2.7953571190523525</v>
      </c>
      <c r="Q113" s="101">
        <f t="shared" si="135"/>
        <v>3.078249809904547</v>
      </c>
      <c r="R113" s="101">
        <f t="shared" si="135"/>
        <v>3.3350380311183656</v>
      </c>
      <c r="S113" s="101">
        <f t="shared" si="135"/>
        <v>3.5627846832680286</v>
      </c>
      <c r="T113" s="101">
        <f t="shared" si="135"/>
        <v>3.7889422903288614</v>
      </c>
      <c r="U113" s="101">
        <f t="shared" si="135"/>
        <v>3.9986308078235862</v>
      </c>
      <c r="V113" s="101">
        <f t="shared" si="135"/>
        <v>4.1906505854585081</v>
      </c>
      <c r="W113" s="101">
        <f t="shared" si="135"/>
        <v>4.363754238934292</v>
      </c>
      <c r="X113" s="101">
        <f t="shared" si="135"/>
        <v>4.5166459750981218</v>
      </c>
      <c r="Y113" s="101">
        <f t="shared" si="135"/>
        <v>4.8292280828935734</v>
      </c>
      <c r="Z113" s="101">
        <f t="shared" si="135"/>
        <v>5.1106923347967541</v>
      </c>
      <c r="AA113" s="101">
        <f t="shared" si="135"/>
        <v>5.3557013186241953</v>
      </c>
      <c r="AB113" s="101">
        <f t="shared" si="135"/>
        <v>5.5649200756493062</v>
      </c>
      <c r="AC113" s="101">
        <f t="shared" si="135"/>
        <v>5.736090080671584</v>
      </c>
      <c r="AD113" s="101">
        <f t="shared" si="135"/>
        <v>5.8416865197887278</v>
      </c>
      <c r="AE113" s="101">
        <f t="shared" si="135"/>
        <v>5.8994851582727064</v>
      </c>
      <c r="AF113" s="101">
        <f t="shared" si="135"/>
        <v>5.9065126337849865</v>
      </c>
      <c r="AG113" s="101">
        <f t="shared" si="135"/>
        <v>5.8596931312768872</v>
      </c>
      <c r="AH113" s="580">
        <f>AH77+AH97+AH98+AH106+AH107+AH90+AH99+AH108</f>
        <v>5.7558475062877656</v>
      </c>
      <c r="AI113" s="44"/>
      <c r="AJ113" s="101">
        <f>AJ77+AJ97+AJ98+AJ106+AJ107+AJ90+AJ99+AJ108</f>
        <v>0</v>
      </c>
      <c r="AK113" s="101">
        <f t="shared" ref="AK113:BN113" si="136">AK77+AK97+AK98+AK106+AK107+AK90+AK99+AK108</f>
        <v>0.1694592742765213</v>
      </c>
      <c r="AL113" s="101">
        <f t="shared" si="136"/>
        <v>0.38929364033599578</v>
      </c>
      <c r="AM113" s="101">
        <f t="shared" si="136"/>
        <v>0.61750277938437714</v>
      </c>
      <c r="AN113" s="101">
        <f t="shared" si="136"/>
        <v>0.84492664086642244</v>
      </c>
      <c r="AO113" s="101">
        <f t="shared" si="136"/>
        <v>1.0702163727517897</v>
      </c>
      <c r="AP113" s="101">
        <f t="shared" si="136"/>
        <v>1.2866367748227592</v>
      </c>
      <c r="AQ113" s="101">
        <f t="shared" si="136"/>
        <v>1.5047501108850354</v>
      </c>
      <c r="AR113" s="101">
        <f t="shared" si="136"/>
        <v>1.7239123354673587</v>
      </c>
      <c r="AS113" s="101">
        <f t="shared" si="136"/>
        <v>1.9434264437764077</v>
      </c>
      <c r="AT113" s="101">
        <f t="shared" si="136"/>
        <v>2.1625417441407162</v>
      </c>
      <c r="AU113" s="101">
        <f t="shared" si="136"/>
        <v>2.4888061417998948</v>
      </c>
      <c r="AV113" s="101">
        <f t="shared" si="136"/>
        <v>2.7953571190523525</v>
      </c>
      <c r="AW113" s="101">
        <f t="shared" si="136"/>
        <v>3.078249809904547</v>
      </c>
      <c r="AX113" s="101">
        <f t="shared" si="136"/>
        <v>3.3350380311183656</v>
      </c>
      <c r="AY113" s="101">
        <f t="shared" si="136"/>
        <v>3.5627846832680286</v>
      </c>
      <c r="AZ113" s="101">
        <f t="shared" si="136"/>
        <v>3.7889422903288614</v>
      </c>
      <c r="BA113" s="101">
        <f t="shared" si="136"/>
        <v>3.9986308078235862</v>
      </c>
      <c r="BB113" s="101">
        <f t="shared" si="136"/>
        <v>4.1906505854585081</v>
      </c>
      <c r="BC113" s="101">
        <f t="shared" si="136"/>
        <v>4.363754238934292</v>
      </c>
      <c r="BD113" s="101">
        <f t="shared" si="136"/>
        <v>4.5166459750981218</v>
      </c>
      <c r="BE113" s="101">
        <f t="shared" si="136"/>
        <v>4.8292280828935734</v>
      </c>
      <c r="BF113" s="101">
        <f t="shared" si="136"/>
        <v>5.1106923347967541</v>
      </c>
      <c r="BG113" s="101">
        <f t="shared" si="136"/>
        <v>5.3557013186241953</v>
      </c>
      <c r="BH113" s="101">
        <f t="shared" si="136"/>
        <v>5.5649200756493062</v>
      </c>
      <c r="BI113" s="101">
        <f t="shared" si="136"/>
        <v>5.736090080671584</v>
      </c>
      <c r="BJ113" s="101">
        <f t="shared" si="136"/>
        <v>5.8416865197887278</v>
      </c>
      <c r="BK113" s="101">
        <f t="shared" si="136"/>
        <v>5.8994851582727064</v>
      </c>
      <c r="BL113" s="101">
        <f t="shared" si="136"/>
        <v>5.9065126337849865</v>
      </c>
      <c r="BM113" s="101">
        <f t="shared" si="136"/>
        <v>5.8596931312768872</v>
      </c>
      <c r="BN113" s="101">
        <f t="shared" si="136"/>
        <v>5.7558475062877656</v>
      </c>
    </row>
    <row r="114" spans="1:67" outlineLevel="1" x14ac:dyDescent="0.2">
      <c r="A114" s="68"/>
      <c r="B114" s="62" t="s">
        <v>228</v>
      </c>
      <c r="C114" s="63" t="s">
        <v>153</v>
      </c>
      <c r="D114" s="64">
        <f>D76+D83+D96+D105+IF(D91=0,0,D89)</f>
        <v>0</v>
      </c>
      <c r="E114" s="64">
        <f t="shared" ref="E114:AG114" si="137">E76+E83+E96+E105+IF(E91=0,0,E89)</f>
        <v>0.22835058932426316</v>
      </c>
      <c r="F114" s="64">
        <f t="shared" si="137"/>
        <v>0.48484572197858888</v>
      </c>
      <c r="G114" s="64">
        <f t="shared" si="137"/>
        <v>0.74937436193023965</v>
      </c>
      <c r="H114" s="64">
        <f t="shared" si="137"/>
        <v>1.015891112678954</v>
      </c>
      <c r="I114" s="64">
        <f t="shared" si="137"/>
        <v>1.2827727251067602</v>
      </c>
      <c r="J114" s="64">
        <f t="shared" si="137"/>
        <v>1.5407657735922951</v>
      </c>
      <c r="K114" s="64">
        <f t="shared" si="137"/>
        <v>1.8032664924532635</v>
      </c>
      <c r="L114" s="64">
        <f t="shared" si="137"/>
        <v>2.0698955405924311</v>
      </c>
      <c r="M114" s="64">
        <f t="shared" si="137"/>
        <v>2.3402417461107339</v>
      </c>
      <c r="N114" s="64">
        <f t="shared" si="137"/>
        <v>2.6138617648507454</v>
      </c>
      <c r="O114" s="64">
        <f t="shared" si="137"/>
        <v>3.0294267398445118</v>
      </c>
      <c r="P114" s="64">
        <f t="shared" si="137"/>
        <v>3.4330102628648369</v>
      </c>
      <c r="Q114" s="64">
        <f t="shared" si="137"/>
        <v>3.8211817375078518</v>
      </c>
      <c r="R114" s="64">
        <f t="shared" si="137"/>
        <v>4.1913568052526982</v>
      </c>
      <c r="S114" s="64">
        <f t="shared" si="137"/>
        <v>4.5407073566659371</v>
      </c>
      <c r="T114" s="64">
        <f t="shared" si="137"/>
        <v>4.8889787613861726</v>
      </c>
      <c r="U114" s="64">
        <f t="shared" si="137"/>
        <v>5.2286849039130887</v>
      </c>
      <c r="V114" s="64">
        <f t="shared" si="137"/>
        <v>5.5591803138625284</v>
      </c>
      <c r="W114" s="64">
        <f t="shared" si="137"/>
        <v>5.8797960618518985</v>
      </c>
      <c r="X114" s="64">
        <f t="shared" si="137"/>
        <v>6.189839378613974</v>
      </c>
      <c r="Y114" s="64">
        <f t="shared" si="137"/>
        <v>6.7642967651718466</v>
      </c>
      <c r="Z114" s="64">
        <f t="shared" si="137"/>
        <v>7.3206939900298575</v>
      </c>
      <c r="AA114" s="64">
        <f t="shared" si="137"/>
        <v>7.8523972641848383</v>
      </c>
      <c r="AB114" s="64">
        <f t="shared" si="137"/>
        <v>8.3619446635218981</v>
      </c>
      <c r="AC114" s="64">
        <f t="shared" si="137"/>
        <v>8.8478181633560773</v>
      </c>
      <c r="AD114" s="64">
        <f t="shared" si="137"/>
        <v>9.2949535068845677</v>
      </c>
      <c r="AE114" s="64">
        <f t="shared" si="137"/>
        <v>9.7126703117821993</v>
      </c>
      <c r="AF114" s="64">
        <f t="shared" si="137"/>
        <v>10.09903583887435</v>
      </c>
      <c r="AG114" s="64">
        <f t="shared" si="137"/>
        <v>10.452042124828413</v>
      </c>
      <c r="AH114" s="438">
        <f>AH76+AH83+AH96+AH105+IF(AH91=0,0,AH89)</f>
        <v>10.7696045823816</v>
      </c>
      <c r="AI114" s="44">
        <f>AH114+AH113</f>
        <v>16.525452088669365</v>
      </c>
      <c r="AJ114" s="64">
        <f t="shared" ref="AJ114:BM114" si="138">AJ76+AJ83+AJ96+AJ105+IF(AJ91=0,0,AJ89)</f>
        <v>0</v>
      </c>
      <c r="AK114" s="64">
        <f t="shared" si="138"/>
        <v>0.22835058932426316</v>
      </c>
      <c r="AL114" s="64">
        <f t="shared" si="138"/>
        <v>0.48484572197858888</v>
      </c>
      <c r="AM114" s="64">
        <f t="shared" si="138"/>
        <v>0.74937436193023965</v>
      </c>
      <c r="AN114" s="64">
        <f t="shared" si="138"/>
        <v>1.015891112678954</v>
      </c>
      <c r="AO114" s="64">
        <f t="shared" si="138"/>
        <v>1.2827727251067602</v>
      </c>
      <c r="AP114" s="64">
        <f t="shared" si="138"/>
        <v>1.5407657735922951</v>
      </c>
      <c r="AQ114" s="64">
        <f t="shared" si="138"/>
        <v>1.8032664924532635</v>
      </c>
      <c r="AR114" s="64">
        <f t="shared" si="138"/>
        <v>2.0698955405924311</v>
      </c>
      <c r="AS114" s="64">
        <f t="shared" si="138"/>
        <v>2.3402417461107339</v>
      </c>
      <c r="AT114" s="64">
        <f t="shared" si="138"/>
        <v>2.6138617648507454</v>
      </c>
      <c r="AU114" s="64">
        <f t="shared" si="138"/>
        <v>3.0294267398445118</v>
      </c>
      <c r="AV114" s="64">
        <f t="shared" si="138"/>
        <v>3.4330102628648369</v>
      </c>
      <c r="AW114" s="64">
        <f t="shared" si="138"/>
        <v>3.8211817375078518</v>
      </c>
      <c r="AX114" s="64">
        <f t="shared" si="138"/>
        <v>4.1913568052526982</v>
      </c>
      <c r="AY114" s="64">
        <f t="shared" si="138"/>
        <v>4.5407073566659371</v>
      </c>
      <c r="AZ114" s="64">
        <f t="shared" si="138"/>
        <v>4.8889787613861726</v>
      </c>
      <c r="BA114" s="64">
        <f t="shared" si="138"/>
        <v>5.2286849039130887</v>
      </c>
      <c r="BB114" s="64">
        <f t="shared" si="138"/>
        <v>5.5591803138625284</v>
      </c>
      <c r="BC114" s="64">
        <f t="shared" si="138"/>
        <v>5.8797960618518985</v>
      </c>
      <c r="BD114" s="64">
        <f t="shared" si="138"/>
        <v>6.189839378613974</v>
      </c>
      <c r="BE114" s="64">
        <f t="shared" si="138"/>
        <v>6.7642967651718466</v>
      </c>
      <c r="BF114" s="64">
        <f t="shared" si="138"/>
        <v>7.3206939900298575</v>
      </c>
      <c r="BG114" s="64">
        <f t="shared" si="138"/>
        <v>7.8523972641848383</v>
      </c>
      <c r="BH114" s="64">
        <f t="shared" si="138"/>
        <v>8.3619446635218981</v>
      </c>
      <c r="BI114" s="64">
        <f t="shared" si="138"/>
        <v>8.8478181633560773</v>
      </c>
      <c r="BJ114" s="64">
        <f t="shared" si="138"/>
        <v>9.2949535068845677</v>
      </c>
      <c r="BK114" s="64">
        <f t="shared" si="138"/>
        <v>9.7126703117821993</v>
      </c>
      <c r="BL114" s="64">
        <f t="shared" si="138"/>
        <v>10.09903583887435</v>
      </c>
      <c r="BM114" s="64">
        <f t="shared" si="138"/>
        <v>10.452042124828413</v>
      </c>
      <c r="BN114" s="64">
        <f>BN76+BN83+BN96+BN105+IF(BN91=0,0,BN89)</f>
        <v>10.7696045823816</v>
      </c>
    </row>
    <row r="115" spans="1:67" x14ac:dyDescent="0.2">
      <c r="A115" s="102" t="s">
        <v>229</v>
      </c>
      <c r="B115" s="102"/>
      <c r="C115" s="103" t="s">
        <v>153</v>
      </c>
      <c r="D115" s="105">
        <f>D70-D113-D114</f>
        <v>116.10918671199683</v>
      </c>
      <c r="E115" s="105">
        <f t="shared" ref="E115:AH115" si="139">E70-E113-E114</f>
        <v>117.08642709862426</v>
      </c>
      <c r="F115" s="105">
        <f t="shared" si="139"/>
        <v>117.68917789719866</v>
      </c>
      <c r="G115" s="105">
        <f t="shared" si="139"/>
        <v>118.39602876301724</v>
      </c>
      <c r="H115" s="105">
        <f t="shared" si="139"/>
        <v>119.11423949259341</v>
      </c>
      <c r="I115" s="105">
        <f t="shared" si="139"/>
        <v>119.84685939760146</v>
      </c>
      <c r="J115" s="105">
        <f t="shared" si="139"/>
        <v>119.58205140065922</v>
      </c>
      <c r="K115" s="105">
        <f t="shared" si="139"/>
        <v>119.29644588938909</v>
      </c>
      <c r="L115" s="105">
        <f t="shared" si="139"/>
        <v>118.99074470878608</v>
      </c>
      <c r="M115" s="105">
        <f t="shared" si="139"/>
        <v>118.66574193670527</v>
      </c>
      <c r="N115" s="105">
        <f t="shared" si="139"/>
        <v>118.32232669837236</v>
      </c>
      <c r="O115" s="105">
        <f t="shared" si="139"/>
        <v>115.97638258389112</v>
      </c>
      <c r="P115" s="105">
        <f t="shared" si="139"/>
        <v>113.61619001419655</v>
      </c>
      <c r="Q115" s="105">
        <f t="shared" si="139"/>
        <v>111.24856048942078</v>
      </c>
      <c r="R115" s="105">
        <f t="shared" si="139"/>
        <v>108.87797873011803</v>
      </c>
      <c r="S115" s="105">
        <f t="shared" si="139"/>
        <v>106.50968535182891</v>
      </c>
      <c r="T115" s="105">
        <f t="shared" si="139"/>
        <v>104.03653484052161</v>
      </c>
      <c r="U115" s="105">
        <f t="shared" si="139"/>
        <v>101.53963197610561</v>
      </c>
      <c r="V115" s="105">
        <f t="shared" si="139"/>
        <v>99.020392272037611</v>
      </c>
      <c r="W115" s="105">
        <f t="shared" si="139"/>
        <v>96.480340081256941</v>
      </c>
      <c r="X115" s="105">
        <f t="shared" si="139"/>
        <v>93.921114854140043</v>
      </c>
      <c r="Y115" s="105">
        <f t="shared" si="139"/>
        <v>90.136094083365336</v>
      </c>
      <c r="Z115" s="105">
        <f t="shared" si="139"/>
        <v>86.351197904856576</v>
      </c>
      <c r="AA115" s="105">
        <f t="shared" si="139"/>
        <v>82.578330340872611</v>
      </c>
      <c r="AB115" s="105">
        <f t="shared" si="139"/>
        <v>78.814293008799211</v>
      </c>
      <c r="AC115" s="105">
        <f t="shared" si="139"/>
        <v>75.062947824037821</v>
      </c>
      <c r="AD115" s="105">
        <f t="shared" si="139"/>
        <v>71.194269502851412</v>
      </c>
      <c r="AE115" s="105">
        <f t="shared" si="139"/>
        <v>67.355987055070102</v>
      </c>
      <c r="AF115" s="105">
        <f t="shared" si="139"/>
        <v>63.553417758588388</v>
      </c>
      <c r="AG115" s="105">
        <f t="shared" si="139"/>
        <v>59.792182601562828</v>
      </c>
      <c r="AH115" s="579">
        <f t="shared" si="139"/>
        <v>56.078223044430814</v>
      </c>
      <c r="AI115" s="44">
        <f>AH70-AH115</f>
        <v>16.525452088669368</v>
      </c>
      <c r="AJ115" s="105">
        <f t="shared" ref="AJ115:BN115" si="140">AJ70-AJ113-AJ114</f>
        <v>116.10918671199683</v>
      </c>
      <c r="AK115" s="105">
        <f t="shared" si="140"/>
        <v>117.72060044279935</v>
      </c>
      <c r="AL115" s="105">
        <f t="shared" si="140"/>
        <v>119.02159375219372</v>
      </c>
      <c r="AM115" s="105">
        <f t="shared" si="140"/>
        <v>120.43287055293615</v>
      </c>
      <c r="AN115" s="105">
        <f t="shared" si="140"/>
        <v>121.88207446671036</v>
      </c>
      <c r="AO115" s="105">
        <f t="shared" si="140"/>
        <v>123.37310232065798</v>
      </c>
      <c r="AP115" s="105">
        <f t="shared" si="140"/>
        <v>123.87379855501605</v>
      </c>
      <c r="AQ115" s="105">
        <f t="shared" si="140"/>
        <v>124.37481531368911</v>
      </c>
      <c r="AR115" s="105">
        <f t="shared" si="140"/>
        <v>124.87731488042627</v>
      </c>
      <c r="AS115" s="105">
        <f t="shared" si="140"/>
        <v>125.38256098027274</v>
      </c>
      <c r="AT115" s="105">
        <f t="shared" si="140"/>
        <v>125.89192177070946</v>
      </c>
      <c r="AU115" s="105">
        <f t="shared" si="140"/>
        <v>124.52482342419408</v>
      </c>
      <c r="AV115" s="105">
        <f t="shared" si="140"/>
        <v>123.16323452036235</v>
      </c>
      <c r="AW115" s="105">
        <f t="shared" si="140"/>
        <v>121.81427576885821</v>
      </c>
      <c r="AX115" s="105">
        <f t="shared" si="140"/>
        <v>120.48274545685072</v>
      </c>
      <c r="AY115" s="105">
        <f t="shared" si="140"/>
        <v>119.17420218164349</v>
      </c>
      <c r="AZ115" s="105">
        <f t="shared" si="140"/>
        <v>117.77831345100375</v>
      </c>
      <c r="BA115" s="105">
        <f t="shared" si="140"/>
        <v>116.37951133527105</v>
      </c>
      <c r="BB115" s="105">
        <f t="shared" si="140"/>
        <v>114.97952944062698</v>
      </c>
      <c r="BC115" s="105">
        <f t="shared" si="140"/>
        <v>113.58021461860886</v>
      </c>
      <c r="BD115" s="105">
        <f t="shared" si="140"/>
        <v>112.18353328206486</v>
      </c>
      <c r="BE115" s="105">
        <f t="shared" si="140"/>
        <v>109.62893842308469</v>
      </c>
      <c r="BF115" s="105">
        <f t="shared" si="140"/>
        <v>107.09272832243416</v>
      </c>
      <c r="BG115" s="105">
        <f t="shared" si="140"/>
        <v>104.58706577700232</v>
      </c>
      <c r="BH115" s="105">
        <f t="shared" si="140"/>
        <v>102.10901482951309</v>
      </c>
      <c r="BI115" s="105">
        <f t="shared" si="140"/>
        <v>99.662703521886684</v>
      </c>
      <c r="BJ115" s="105">
        <f t="shared" si="140"/>
        <v>97.100328750699802</v>
      </c>
      <c r="BK115" s="105">
        <f t="shared" si="140"/>
        <v>94.586401935425343</v>
      </c>
      <c r="BL115" s="105">
        <f t="shared" si="140"/>
        <v>92.12650383636165</v>
      </c>
      <c r="BM115" s="105">
        <f t="shared" si="140"/>
        <v>89.726522745047944</v>
      </c>
      <c r="BN115" s="579">
        <f t="shared" si="140"/>
        <v>87.392671299770029</v>
      </c>
      <c r="BO115" s="44"/>
    </row>
    <row r="116" spans="1:67" s="67" customFormat="1" x14ac:dyDescent="0.2">
      <c r="A116" s="681"/>
      <c r="B116" s="58" t="s">
        <v>7</v>
      </c>
      <c r="C116" s="59" t="s">
        <v>153</v>
      </c>
      <c r="D116" s="60">
        <f>D79+D85+D92+D101+D110</f>
        <v>41.944590154283404</v>
      </c>
      <c r="E116" s="60">
        <f t="shared" ref="E116:AH118" si="141">E79+E85+E92+E101+E110</f>
        <v>42.796788565582261</v>
      </c>
      <c r="F116" s="60">
        <f t="shared" si="141"/>
        <v>43.606271712289796</v>
      </c>
      <c r="G116" s="60">
        <f t="shared" si="141"/>
        <v>44.42110260023118</v>
      </c>
      <c r="H116" s="60">
        <f t="shared" si="141"/>
        <v>45.242526324721119</v>
      </c>
      <c r="I116" s="60">
        <f t="shared" si="141"/>
        <v>46.071747763277173</v>
      </c>
      <c r="J116" s="60">
        <f t="shared" si="141"/>
        <v>46.270717487377517</v>
      </c>
      <c r="K116" s="60">
        <f t="shared" si="141"/>
        <v>46.459058093769883</v>
      </c>
      <c r="L116" s="60">
        <f t="shared" si="141"/>
        <v>46.63681828671092</v>
      </c>
      <c r="M116" s="60">
        <f t="shared" si="141"/>
        <v>46.804091597892466</v>
      </c>
      <c r="N116" s="60">
        <f t="shared" si="141"/>
        <v>46.961018208373915</v>
      </c>
      <c r="O116" s="60">
        <f t="shared" si="141"/>
        <v>46.276146867175228</v>
      </c>
      <c r="P116" s="60">
        <f t="shared" si="141"/>
        <v>45.655923402824051</v>
      </c>
      <c r="Q116" s="60">
        <f t="shared" si="141"/>
        <v>45.023016510763242</v>
      </c>
      <c r="R116" s="60">
        <f t="shared" si="141"/>
        <v>44.379886060322633</v>
      </c>
      <c r="S116" s="60">
        <f t="shared" si="141"/>
        <v>43.729796689515453</v>
      </c>
      <c r="T116" s="60">
        <f t="shared" si="141"/>
        <v>43.02987691981896</v>
      </c>
      <c r="U116" s="60">
        <f t="shared" si="141"/>
        <v>42.319352839103395</v>
      </c>
      <c r="V116" s="60">
        <f t="shared" si="141"/>
        <v>41.599946412304703</v>
      </c>
      <c r="W116" s="60">
        <f t="shared" si="141"/>
        <v>40.873465786164061</v>
      </c>
      <c r="X116" s="60">
        <f t="shared" si="141"/>
        <v>40.141807548048874</v>
      </c>
      <c r="Y116" s="60">
        <f t="shared" si="141"/>
        <v>38.724072809672307</v>
      </c>
      <c r="Z116" s="60">
        <f t="shared" si="141"/>
        <v>37.302385129057328</v>
      </c>
      <c r="AA116" s="60">
        <f t="shared" si="141"/>
        <v>35.885576482135171</v>
      </c>
      <c r="AB116" s="60">
        <f t="shared" si="141"/>
        <v>34.472690727189786</v>
      </c>
      <c r="AC116" s="60">
        <f t="shared" si="141"/>
        <v>33.067387989308159</v>
      </c>
      <c r="AD116" s="60">
        <f t="shared" si="141"/>
        <v>31.567044706781431</v>
      </c>
      <c r="AE116" s="60">
        <f t="shared" si="141"/>
        <v>30.083356844246961</v>
      </c>
      <c r="AF116" s="60">
        <f t="shared" si="141"/>
        <v>28.620477056833053</v>
      </c>
      <c r="AG116" s="60">
        <f t="shared" si="141"/>
        <v>27.182726233157943</v>
      </c>
      <c r="AH116" s="436">
        <f t="shared" si="141"/>
        <v>25.774599582205241</v>
      </c>
      <c r="AI116" s="60"/>
      <c r="AJ116" s="60">
        <f>AJ79+AJ85+AJ92+AJ101+AJ110</f>
        <v>41.944590154283404</v>
      </c>
      <c r="AK116" s="60">
        <f t="shared" ref="AK116:BN116" si="142">AK79+AK85+AK92+AK101+AK110</f>
        <v>43.054494376171967</v>
      </c>
      <c r="AL116" s="60">
        <f t="shared" si="142"/>
        <v>44.133978991465156</v>
      </c>
      <c r="AM116" s="60">
        <f t="shared" si="142"/>
        <v>45.231552009612471</v>
      </c>
      <c r="AN116" s="60">
        <f t="shared" si="142"/>
        <v>46.348917932487737</v>
      </c>
      <c r="AO116" s="60">
        <f t="shared" si="142"/>
        <v>47.487755885500476</v>
      </c>
      <c r="AP116" s="60">
        <f t="shared" si="142"/>
        <v>47.997249540313092</v>
      </c>
      <c r="AQ116" s="60">
        <f t="shared" si="142"/>
        <v>48.505735213208894</v>
      </c>
      <c r="AR116" s="60">
        <f t="shared" si="142"/>
        <v>49.013491245367824</v>
      </c>
      <c r="AS116" s="60">
        <f t="shared" si="142"/>
        <v>49.520845717692154</v>
      </c>
      <c r="AT116" s="60">
        <f t="shared" si="142"/>
        <v>50.028178371661909</v>
      </c>
      <c r="AU116" s="60">
        <f t="shared" si="142"/>
        <v>49.723513504574399</v>
      </c>
      <c r="AV116" s="60">
        <f t="shared" si="142"/>
        <v>49.490800493274705</v>
      </c>
      <c r="AW116" s="60">
        <f t="shared" si="142"/>
        <v>49.252955058709219</v>
      </c>
      <c r="AX116" s="60">
        <f t="shared" si="142"/>
        <v>49.012551721132397</v>
      </c>
      <c r="AY116" s="60">
        <f t="shared" si="142"/>
        <v>48.772971341929114</v>
      </c>
      <c r="AZ116" s="60">
        <f t="shared" si="142"/>
        <v>48.489264941831244</v>
      </c>
      <c r="BA116" s="60">
        <f t="shared" si="142"/>
        <v>48.202654869027519</v>
      </c>
      <c r="BB116" s="60">
        <f t="shared" si="142"/>
        <v>47.914975714116324</v>
      </c>
      <c r="BC116" s="60">
        <f t="shared" si="142"/>
        <v>47.628149749545742</v>
      </c>
      <c r="BD116" s="60">
        <f t="shared" si="142"/>
        <v>47.344189207514034</v>
      </c>
      <c r="BE116" s="60">
        <f t="shared" si="142"/>
        <v>46.378976871370753</v>
      </c>
      <c r="BF116" s="60">
        <f t="shared" si="142"/>
        <v>45.414749458070702</v>
      </c>
      <c r="BG116" s="60">
        <f t="shared" si="142"/>
        <v>44.460396338786012</v>
      </c>
      <c r="BH116" s="60">
        <f t="shared" si="142"/>
        <v>43.515019534714767</v>
      </c>
      <c r="BI116" s="60">
        <f t="shared" si="142"/>
        <v>42.582338112371446</v>
      </c>
      <c r="BJ116" s="60">
        <f t="shared" si="142"/>
        <v>41.548498551303467</v>
      </c>
      <c r="BK116" s="60">
        <f t="shared" si="142"/>
        <v>40.535584337630738</v>
      </c>
      <c r="BL116" s="60">
        <f t="shared" si="142"/>
        <v>39.547800676494347</v>
      </c>
      <c r="BM116" s="60">
        <f t="shared" si="142"/>
        <v>38.589521774281735</v>
      </c>
      <c r="BN116" s="436">
        <f t="shared" si="142"/>
        <v>37.665296936827602</v>
      </c>
      <c r="BO116" s="60"/>
    </row>
    <row r="117" spans="1:67" x14ac:dyDescent="0.2">
      <c r="A117" s="682"/>
      <c r="B117" s="1" t="s">
        <v>8</v>
      </c>
      <c r="C117" s="54" t="s">
        <v>153</v>
      </c>
      <c r="D117" s="44">
        <f>D80+D86+D93+D102+D111+D11</f>
        <v>27.181969038530035</v>
      </c>
      <c r="E117" s="44">
        <f t="shared" ref="E117:AH117" si="143">E80+E86+E93+E102+E111+E11</f>
        <v>27.576396823674241</v>
      </c>
      <c r="F117" s="44">
        <f t="shared" si="143"/>
        <v>27.965163100169068</v>
      </c>
      <c r="G117" s="44">
        <f t="shared" si="143"/>
        <v>28.356956718388208</v>
      </c>
      <c r="H117" s="44">
        <f t="shared" si="143"/>
        <v>28.75371981177954</v>
      </c>
      <c r="I117" s="44">
        <f t="shared" si="143"/>
        <v>29.156019421478632</v>
      </c>
      <c r="J117" s="44">
        <f t="shared" si="143"/>
        <v>29.212985017784771</v>
      </c>
      <c r="K117" s="44">
        <f t="shared" si="143"/>
        <v>29.265071289045451</v>
      </c>
      <c r="L117" s="44">
        <f t="shared" si="143"/>
        <v>29.312316079467703</v>
      </c>
      <c r="M117" s="44">
        <f t="shared" si="143"/>
        <v>29.35477082665891</v>
      </c>
      <c r="N117" s="44">
        <f t="shared" si="143"/>
        <v>29.392500690773318</v>
      </c>
      <c r="O117" s="44">
        <f t="shared" si="143"/>
        <v>28.671910945796874</v>
      </c>
      <c r="P117" s="44">
        <f t="shared" si="143"/>
        <v>28.036699602210856</v>
      </c>
      <c r="Q117" s="44">
        <f t="shared" si="143"/>
        <v>27.391542672404945</v>
      </c>
      <c r="R117" s="44">
        <f t="shared" si="143"/>
        <v>26.737264746642165</v>
      </c>
      <c r="S117" s="44">
        <f t="shared" si="143"/>
        <v>26.074862037174832</v>
      </c>
      <c r="T117" s="44">
        <f t="shared" si="143"/>
        <v>25.377068188836645</v>
      </c>
      <c r="U117" s="44">
        <f t="shared" si="143"/>
        <v>24.667153025013576</v>
      </c>
      <c r="V117" s="44">
        <f t="shared" si="143"/>
        <v>23.945368329551222</v>
      </c>
      <c r="W117" s="44">
        <f t="shared" si="143"/>
        <v>23.21197703020561</v>
      </c>
      <c r="X117" s="44">
        <f t="shared" si="143"/>
        <v>22.46725304431088</v>
      </c>
      <c r="Y117" s="44">
        <f t="shared" si="143"/>
        <v>21.533901238700757</v>
      </c>
      <c r="Z117" s="44">
        <f t="shared" si="143"/>
        <v>20.594729070572622</v>
      </c>
      <c r="AA117" s="44">
        <f t="shared" si="143"/>
        <v>19.652499616912145</v>
      </c>
      <c r="AB117" s="44">
        <f t="shared" si="143"/>
        <v>18.70640400164099</v>
      </c>
      <c r="AC117" s="44">
        <f t="shared" si="143"/>
        <v>17.757244707008876</v>
      </c>
      <c r="AD117" s="44">
        <f t="shared" si="143"/>
        <v>16.751469541385351</v>
      </c>
      <c r="AE117" s="44">
        <f t="shared" si="143"/>
        <v>15.745885347001717</v>
      </c>
      <c r="AF117" s="44">
        <f t="shared" si="143"/>
        <v>14.741467502688936</v>
      </c>
      <c r="AG117" s="44">
        <f t="shared" si="143"/>
        <v>13.739220807457063</v>
      </c>
      <c r="AH117" s="44">
        <f t="shared" si="143"/>
        <v>12.740179444960496</v>
      </c>
      <c r="AI117" s="44"/>
      <c r="AJ117" s="44">
        <f>AJ80+AJ86+AJ93+AJ102+AJ111+AJ11</f>
        <v>27.181969038530035</v>
      </c>
      <c r="AK117" s="44">
        <f t="shared" ref="AK117:BN117" si="144">AK80+AK86+AK93+AK102+AK111+AK11</f>
        <v>27.683754121839844</v>
      </c>
      <c r="AL117" s="44">
        <f t="shared" si="144"/>
        <v>28.185891806988657</v>
      </c>
      <c r="AM117" s="44">
        <f t="shared" si="144"/>
        <v>28.697303480719324</v>
      </c>
      <c r="AN117" s="44">
        <f t="shared" si="144"/>
        <v>29.220171557423221</v>
      </c>
      <c r="AO117" s="44">
        <f t="shared" si="144"/>
        <v>29.755311342472048</v>
      </c>
      <c r="AP117" s="44">
        <f t="shared" si="144"/>
        <v>29.944817313553497</v>
      </c>
      <c r="AQ117" s="44">
        <f t="shared" si="144"/>
        <v>30.133924041210175</v>
      </c>
      <c r="AR117" s="44">
        <f t="shared" si="144"/>
        <v>30.322782535043512</v>
      </c>
      <c r="AS117" s="44">
        <f t="shared" si="144"/>
        <v>30.511559910059646</v>
      </c>
      <c r="AT117" s="44">
        <f t="shared" si="144"/>
        <v>30.700439567649866</v>
      </c>
      <c r="AU117" s="44">
        <f t="shared" si="144"/>
        <v>30.146909090394757</v>
      </c>
      <c r="AV117" s="44">
        <f t="shared" si="144"/>
        <v>29.673430881443558</v>
      </c>
      <c r="AW117" s="44">
        <f t="shared" si="144"/>
        <v>29.193058198643342</v>
      </c>
      <c r="AX117" s="44">
        <f t="shared" si="144"/>
        <v>28.706660426459973</v>
      </c>
      <c r="AY117" s="44">
        <f t="shared" si="144"/>
        <v>28.215279165118822</v>
      </c>
      <c r="AZ117" s="44">
        <f t="shared" si="144"/>
        <v>27.690486550820268</v>
      </c>
      <c r="BA117" s="44">
        <f t="shared" si="144"/>
        <v>27.156631324519743</v>
      </c>
      <c r="BB117" s="44">
        <f t="shared" si="144"/>
        <v>26.614007842890913</v>
      </c>
      <c r="BC117" s="44">
        <f t="shared" si="144"/>
        <v>26.062922145026473</v>
      </c>
      <c r="BD117" s="44">
        <f t="shared" si="144"/>
        <v>25.50369180461065</v>
      </c>
      <c r="BE117" s="44">
        <f t="shared" si="144"/>
        <v>24.758689815644239</v>
      </c>
      <c r="BF117" s="44">
        <f t="shared" si="144"/>
        <v>24.009333115097473</v>
      </c>
      <c r="BG117" s="44">
        <f t="shared" si="144"/>
        <v>23.258395841685413</v>
      </c>
      <c r="BH117" s="44">
        <f t="shared" si="144"/>
        <v>22.505080299880575</v>
      </c>
      <c r="BI117" s="44">
        <f t="shared" si="144"/>
        <v>21.750200273035052</v>
      </c>
      <c r="BJ117" s="44">
        <f t="shared" si="144"/>
        <v>20.934005285704092</v>
      </c>
      <c r="BK117" s="44">
        <f t="shared" si="144"/>
        <v>20.118993917743719</v>
      </c>
      <c r="BL117" s="44">
        <f t="shared" si="144"/>
        <v>19.306148384657916</v>
      </c>
      <c r="BM117" s="44">
        <f t="shared" si="144"/>
        <v>18.496480419259164</v>
      </c>
      <c r="BN117" s="44">
        <f t="shared" si="144"/>
        <v>17.691031237839017</v>
      </c>
    </row>
    <row r="118" spans="1:67" s="68" customFormat="1" x14ac:dyDescent="0.2">
      <c r="A118" s="683"/>
      <c r="B118" s="62" t="s">
        <v>166</v>
      </c>
      <c r="C118" s="283" t="s">
        <v>153</v>
      </c>
      <c r="D118" s="284">
        <f t="shared" ref="D118" si="145">D81+D87+D94+D103+D112</f>
        <v>46.982627519183374</v>
      </c>
      <c r="E118" s="284">
        <f t="shared" si="141"/>
        <v>46.713241709367736</v>
      </c>
      <c r="F118" s="284">
        <f t="shared" si="141"/>
        <v>46.335731285805217</v>
      </c>
      <c r="G118" s="284">
        <f t="shared" si="141"/>
        <v>45.947899394296122</v>
      </c>
      <c r="H118" s="284">
        <f t="shared" si="141"/>
        <v>45.561863864896189</v>
      </c>
      <c r="I118" s="284">
        <f t="shared" si="141"/>
        <v>45.178927706646341</v>
      </c>
      <c r="J118" s="284">
        <f t="shared" si="141"/>
        <v>44.776199685161814</v>
      </c>
      <c r="K118" s="284">
        <f t="shared" si="141"/>
        <v>44.370259058730703</v>
      </c>
      <c r="L118" s="284">
        <f t="shared" si="141"/>
        <v>43.961747552871465</v>
      </c>
      <c r="M118" s="284">
        <f t="shared" si="141"/>
        <v>43.551340980604976</v>
      </c>
      <c r="N118" s="284">
        <f t="shared" si="141"/>
        <v>43.139750108146636</v>
      </c>
      <c r="O118" s="284">
        <f t="shared" si="141"/>
        <v>41.028324770919056</v>
      </c>
      <c r="P118" s="284">
        <f t="shared" si="141"/>
        <v>39.92356700916163</v>
      </c>
      <c r="Q118" s="284">
        <f t="shared" si="141"/>
        <v>38.83400130625261</v>
      </c>
      <c r="R118" s="284">
        <f t="shared" si="141"/>
        <v>37.760827923153244</v>
      </c>
      <c r="S118" s="284">
        <f t="shared" si="141"/>
        <v>36.705026625138601</v>
      </c>
      <c r="T118" s="284">
        <f t="shared" si="141"/>
        <v>35.629589731865984</v>
      </c>
      <c r="U118" s="284">
        <f t="shared" si="141"/>
        <v>34.553126111988625</v>
      </c>
      <c r="V118" s="284">
        <f t="shared" si="141"/>
        <v>33.475077530181686</v>
      </c>
      <c r="W118" s="284">
        <f t="shared" si="141"/>
        <v>32.394897264887248</v>
      </c>
      <c r="X118" s="284">
        <f t="shared" si="141"/>
        <v>31.312054261780272</v>
      </c>
      <c r="Y118" s="284">
        <f t="shared" si="141"/>
        <v>29.878120034992293</v>
      </c>
      <c r="Z118" s="284">
        <f t="shared" si="141"/>
        <v>28.454083705226587</v>
      </c>
      <c r="AA118" s="284">
        <f t="shared" si="141"/>
        <v>27.040254241825309</v>
      </c>
      <c r="AB118" s="284">
        <f t="shared" si="141"/>
        <v>25.63519827996841</v>
      </c>
      <c r="AC118" s="284">
        <f t="shared" si="141"/>
        <v>24.238315127720767</v>
      </c>
      <c r="AD118" s="284">
        <f t="shared" si="141"/>
        <v>22.875755254684645</v>
      </c>
      <c r="AE118" s="284">
        <f t="shared" si="141"/>
        <v>21.526744863821449</v>
      </c>
      <c r="AF118" s="284">
        <f t="shared" si="141"/>
        <v>20.191473199066429</v>
      </c>
      <c r="AG118" s="284">
        <f t="shared" si="141"/>
        <v>18.870235560947791</v>
      </c>
      <c r="AH118" s="437">
        <f t="shared" si="141"/>
        <v>17.563444017265081</v>
      </c>
      <c r="AJ118" s="284">
        <f t="shared" ref="AJ118:BN118" si="146">AJ81+AJ87+AJ94+AJ103+AJ112</f>
        <v>46.982627519183374</v>
      </c>
      <c r="AK118" s="284">
        <f t="shared" si="146"/>
        <v>46.989984245802098</v>
      </c>
      <c r="AL118" s="284">
        <f t="shared" si="146"/>
        <v>46.895763935011729</v>
      </c>
      <c r="AM118" s="284">
        <f t="shared" si="146"/>
        <v>46.797891794589752</v>
      </c>
      <c r="AN118" s="284">
        <f t="shared" si="146"/>
        <v>46.708609922595009</v>
      </c>
      <c r="AO118" s="284">
        <f t="shared" si="146"/>
        <v>46.629347844561039</v>
      </c>
      <c r="AP118" s="284">
        <f t="shared" si="146"/>
        <v>46.536699314468002</v>
      </c>
      <c r="AQ118" s="284">
        <f t="shared" si="146"/>
        <v>46.44777339012488</v>
      </c>
      <c r="AR118" s="284">
        <f t="shared" si="146"/>
        <v>46.363331146620851</v>
      </c>
      <c r="AS118" s="284">
        <f t="shared" si="146"/>
        <v>46.284169600398286</v>
      </c>
      <c r="AT118" s="284">
        <f t="shared" si="146"/>
        <v>46.211122602386908</v>
      </c>
      <c r="AU118" s="284">
        <f t="shared" si="146"/>
        <v>44.654400829224926</v>
      </c>
      <c r="AV118" s="284">
        <f t="shared" si="146"/>
        <v>43.999003145644096</v>
      </c>
      <c r="AW118" s="284">
        <f t="shared" si="146"/>
        <v>43.368262511505648</v>
      </c>
      <c r="AX118" s="284">
        <f t="shared" si="146"/>
        <v>42.763533309258342</v>
      </c>
      <c r="AY118" s="284">
        <f t="shared" si="146"/>
        <v>42.185951674595536</v>
      </c>
      <c r="AZ118" s="284">
        <f t="shared" si="146"/>
        <v>41.598561958352228</v>
      </c>
      <c r="BA118" s="284">
        <f t="shared" si="146"/>
        <v>41.020225141723785</v>
      </c>
      <c r="BB118" s="284">
        <f t="shared" si="146"/>
        <v>40.45054588361976</v>
      </c>
      <c r="BC118" s="284">
        <f t="shared" si="146"/>
        <v>39.889142724036653</v>
      </c>
      <c r="BD118" s="284">
        <f t="shared" si="146"/>
        <v>39.335652269940148</v>
      </c>
      <c r="BE118" s="284">
        <f t="shared" si="146"/>
        <v>38.49127173606972</v>
      </c>
      <c r="BF118" s="284">
        <f t="shared" si="146"/>
        <v>37.668645749265941</v>
      </c>
      <c r="BG118" s="284">
        <f t="shared" si="146"/>
        <v>36.868273596530919</v>
      </c>
      <c r="BH118" s="284">
        <f t="shared" si="146"/>
        <v>36.088914994917737</v>
      </c>
      <c r="BI118" s="284">
        <f t="shared" si="146"/>
        <v>35.330165136480183</v>
      </c>
      <c r="BJ118" s="284">
        <f t="shared" si="146"/>
        <v>34.617824913692253</v>
      </c>
      <c r="BK118" s="284">
        <f t="shared" si="146"/>
        <v>33.931823680050925</v>
      </c>
      <c r="BL118" s="284">
        <f t="shared" si="146"/>
        <v>33.272554775209407</v>
      </c>
      <c r="BM118" s="284">
        <f t="shared" si="146"/>
        <v>32.640520551507024</v>
      </c>
      <c r="BN118" s="437">
        <f t="shared" si="146"/>
        <v>32.036343125103436</v>
      </c>
    </row>
    <row r="119" spans="1:67" x14ac:dyDescent="0.2">
      <c r="A119" s="1" t="s">
        <v>230</v>
      </c>
      <c r="C119" s="59" t="s">
        <v>153</v>
      </c>
      <c r="D119" s="66">
        <f>'BTX Recycling HC'!C364</f>
        <v>3.6713971786805374E-6</v>
      </c>
      <c r="E119" s="66">
        <f>'BTX Recycling HC'!D364</f>
        <v>8.1877889082501904E-6</v>
      </c>
      <c r="F119" s="66">
        <f>'BTX Recycling HC'!E364</f>
        <v>1.7761688977785825E-5</v>
      </c>
      <c r="G119" s="66">
        <f>'BTX Recycling HC'!F364</f>
        <v>3.8168311969135723E-5</v>
      </c>
      <c r="H119" s="66">
        <f>'BTX Recycling HC'!G364</f>
        <v>8.119271683108149E-5</v>
      </c>
      <c r="I119" s="66">
        <f>'BTX Recycling HC'!H364</f>
        <v>1.7079880757287416E-4</v>
      </c>
      <c r="J119" s="66">
        <f>'BTX Recycling HC'!I364</f>
        <v>3.4998936680740746E-4</v>
      </c>
      <c r="K119" s="66">
        <f>'BTX Recycling HC'!J364</f>
        <v>7.0809599373300729E-4</v>
      </c>
      <c r="L119" s="66">
        <f>'BTX Recycling HC'!K364</f>
        <v>1.409959674539395E-3</v>
      </c>
      <c r="M119" s="66">
        <f>'BTX Recycling HC'!L364</f>
        <v>2.7513752692899852E-3</v>
      </c>
      <c r="N119" s="66">
        <f>'BTX Recycling HC'!M364</f>
        <v>5.2558091421924628E-3</v>
      </c>
      <c r="O119" s="66">
        <f>'BTX Recycling HC'!N364</f>
        <v>9.242216777822462E-3</v>
      </c>
      <c r="P119" s="66">
        <f>'BTX Recycling HC'!O364</f>
        <v>1.5678854019376329E-2</v>
      </c>
      <c r="Q119" s="66">
        <f>'BTX Recycling HC'!P364</f>
        <v>2.5349667340555986E-2</v>
      </c>
      <c r="R119" s="66">
        <f>'BTX Recycling HC'!Q364</f>
        <v>3.8806941472081989E-2</v>
      </c>
      <c r="S119" s="66">
        <f>'BTX Recycling HC'!R364</f>
        <v>5.6007715417686413E-2</v>
      </c>
      <c r="T119" s="66">
        <f>'BTX Recycling HC'!S364</f>
        <v>7.6508880591913977E-2</v>
      </c>
      <c r="U119" s="66">
        <f>'BTX Recycling HC'!T364</f>
        <v>9.8707015946077406E-2</v>
      </c>
      <c r="V119" s="66">
        <f>'BTX Recycling HC'!U364</f>
        <v>0.1208574293739922</v>
      </c>
      <c r="W119" s="66">
        <f>'BTX Recycling HC'!V364</f>
        <v>0.14142453210046441</v>
      </c>
      <c r="X119" s="66">
        <f>'BTX Recycling HC'!W364</f>
        <v>0.15942710862589135</v>
      </c>
      <c r="Y119" s="66">
        <f>'BTX Recycling HC'!X364</f>
        <v>0.16537698121093014</v>
      </c>
      <c r="Z119" s="66">
        <f>'BTX Recycling HC'!Y364</f>
        <v>0.16732319283226138</v>
      </c>
      <c r="AA119" s="66">
        <f>'BTX Recycling HC'!Z364</f>
        <v>0.16612758780109638</v>
      </c>
      <c r="AB119" s="66">
        <f>'BTX Recycling HC'!AA364</f>
        <v>0.17428536667186298</v>
      </c>
      <c r="AC119" s="66">
        <f>'BTX Recycling HC'!AB364</f>
        <v>0.18619643553912113</v>
      </c>
      <c r="AD119" s="66">
        <f>'BTX Recycling HC'!AC364</f>
        <v>0.1982256388605346</v>
      </c>
      <c r="AE119" s="66">
        <f>'BTX Recycling HC'!AD364</f>
        <v>0.21171581420206681</v>
      </c>
      <c r="AF119" s="66">
        <f>'BTX Recycling HC'!AE364</f>
        <v>0.227606376191966</v>
      </c>
      <c r="AG119" s="66">
        <f>'BTX Recycling HC'!AF364</f>
        <v>0.24630387930433922</v>
      </c>
      <c r="AH119" s="66">
        <f>'BTX Recycling HC'!AG364</f>
        <v>0.26727542370693846</v>
      </c>
      <c r="AJ119" s="43">
        <f>'BTX Recycling LC'!C364</f>
        <v>3.6713971786805374E-6</v>
      </c>
      <c r="AK119" s="43">
        <f>'BTX Recycling LC'!D364</f>
        <v>8.2051573729558536E-6</v>
      </c>
      <c r="AL119" s="43">
        <f>'BTX Recycling LC'!E364</f>
        <v>1.7851114255486595E-5</v>
      </c>
      <c r="AM119" s="43">
        <f>'BTX Recycling LC'!F364</f>
        <v>3.8456197036160756E-5</v>
      </c>
      <c r="AN119" s="43">
        <f>'BTX Recycling LC'!G364</f>
        <v>8.2009015678554721E-5</v>
      </c>
      <c r="AO119" s="43">
        <f>'BTX Recycling LC'!H364</f>
        <v>1.7294657724951587E-4</v>
      </c>
      <c r="AP119" s="43">
        <f>'BTX Recycling LC'!I364</f>
        <v>3.5879046637086044E-4</v>
      </c>
      <c r="AQ119" s="43">
        <f>'BTX Recycling LC'!J364</f>
        <v>7.3512385034360896E-4</v>
      </c>
      <c r="AR119" s="43">
        <f>'BTX Recycling LC'!K364</f>
        <v>1.4828206460636125E-3</v>
      </c>
      <c r="AS119" s="43">
        <f>'BTX Recycling LC'!L364</f>
        <v>2.9321321317791293E-3</v>
      </c>
      <c r="AT119" s="43">
        <f>'BTX Recycling LC'!M364</f>
        <v>5.6776622905083873E-3</v>
      </c>
      <c r="AU119" s="43">
        <f>'BTX Recycling LC'!N364</f>
        <v>1.0195070782906294E-2</v>
      </c>
      <c r="AV119" s="43">
        <f>'BTX Recycling LC'!O364</f>
        <v>1.7692094384829271E-2</v>
      </c>
      <c r="AW119" s="43">
        <f>'BTX Recycling LC'!P364</f>
        <v>2.9321905652396004E-2</v>
      </c>
      <c r="AX119" s="43">
        <f>'BTX Recycling LC'!Q364</f>
        <v>4.6100045097043699E-2</v>
      </c>
      <c r="AY119" s="43">
        <f>'BTX Recycling LC'!R364</f>
        <v>6.8460902479624192E-2</v>
      </c>
      <c r="AZ119" s="43">
        <f>'BTX Recycling LC'!S364</f>
        <v>9.6054936609861391E-2</v>
      </c>
      <c r="BA119" s="43">
        <f>'BTX Recycling LC'!T364</f>
        <v>0.1274812504734871</v>
      </c>
      <c r="BB119" s="43">
        <f>'BTX Recycling LC'!U364</f>
        <v>0.16081962405553524</v>
      </c>
      <c r="BC119" s="43">
        <f>'BTX Recycling LC'!V364</f>
        <v>0.1941914202268254</v>
      </c>
      <c r="BD119" s="43">
        <f>'BTX Recycling LC'!W364</f>
        <v>0.22624004964070057</v>
      </c>
      <c r="BE119" s="43">
        <f>'BTX Recycling LC'!X364</f>
        <v>0.24723163992511907</v>
      </c>
      <c r="BF119" s="43">
        <f>'BTX Recycling LC'!Y364</f>
        <v>0.26506520142519574</v>
      </c>
      <c r="BG119" s="43">
        <f>'BTX Recycling LC'!Z364</f>
        <v>0.28089119968149739</v>
      </c>
      <c r="BH119" s="43">
        <f>'BTX Recycling LC'!AA364</f>
        <v>0.29606074677220146</v>
      </c>
      <c r="BI119" s="43">
        <f>'BTX Recycling LC'!AB364</f>
        <v>0.31231535950360256</v>
      </c>
      <c r="BJ119" s="43">
        <f>'BTX Recycling LC'!AC364</f>
        <v>0.33210940085752128</v>
      </c>
      <c r="BK119" s="43">
        <f>'BTX Recycling LC'!AD364</f>
        <v>0.3576636997544218</v>
      </c>
      <c r="BL119" s="43">
        <f>'BTX Recycling LC'!AE364</f>
        <v>0.39146259706964603</v>
      </c>
      <c r="BM119" s="43">
        <f>'BTX Recycling LC'!AF364</f>
        <v>0.43553733297530811</v>
      </c>
      <c r="BN119" s="43">
        <f>'BTX Recycling LC'!AG364</f>
        <v>0.49079146413452379</v>
      </c>
    </row>
    <row r="120" spans="1:67" x14ac:dyDescent="0.2">
      <c r="A120" s="1" t="s">
        <v>231</v>
      </c>
      <c r="C120" s="283" t="s">
        <v>153</v>
      </c>
      <c r="D120" s="66">
        <f>'BTX Recycling HC'!C366</f>
        <v>2.1477883961671542E-5</v>
      </c>
      <c r="E120" s="66">
        <f>'BTX Recycling HC'!D366</f>
        <v>4.7899034486173435E-5</v>
      </c>
      <c r="F120" s="66">
        <f>'BTX Recycling HC'!E366</f>
        <v>1.0390689872602824E-4</v>
      </c>
      <c r="G120" s="66">
        <f>'BTX Recycling HC'!F366</f>
        <v>2.2328681305480401E-4</v>
      </c>
      <c r="H120" s="66">
        <f>'BTX Recycling HC'!G366</f>
        <v>4.7498204791276359E-4</v>
      </c>
      <c r="I120" s="66">
        <f>'BTX Recycling HC'!H366</f>
        <v>9.9918281550797575E-4</v>
      </c>
      <c r="J120" s="66">
        <f>'BTX Recycling HC'!I366</f>
        <v>2.047457859301929E-3</v>
      </c>
      <c r="K120" s="66">
        <f>'BTX Recycling HC'!J366</f>
        <v>4.1424021556250622E-3</v>
      </c>
      <c r="L120" s="66">
        <f>'BTX Recycling HC'!K366</f>
        <v>8.2483449233560404E-3</v>
      </c>
      <c r="M120" s="66">
        <f>'BTX Recycling HC'!L366</f>
        <v>1.6095703050591974E-2</v>
      </c>
      <c r="N120" s="66">
        <f>'BTX Recycling HC'!M366</f>
        <v>3.0746784776162897E-2</v>
      </c>
      <c r="O120" s="66">
        <f>'BTX Recycling HC'!N366</f>
        <v>5.4067497969267589E-2</v>
      </c>
      <c r="P120" s="66">
        <f>'BTX Recycling HC'!O366</f>
        <v>9.1722194818806363E-2</v>
      </c>
      <c r="Q120" s="66">
        <f>'BTX Recycling HC'!P366</f>
        <v>0.14829700713642446</v>
      </c>
      <c r="R120" s="66">
        <f>'BTX Recycling HC'!Q366</f>
        <v>0.22702283225709297</v>
      </c>
      <c r="S120" s="66">
        <f>'BTX Recycling HC'!R366</f>
        <v>0.32764834588986386</v>
      </c>
      <c r="T120" s="66">
        <f>'BTX Recycling HC'!S366</f>
        <v>0.447581337408196</v>
      </c>
      <c r="U120" s="66">
        <f>'BTX Recycling HC'!T366</f>
        <v>0.57744170175960796</v>
      </c>
      <c r="V120" s="66">
        <f>'BTX Recycling HC'!U366</f>
        <v>0.70702289010676</v>
      </c>
      <c r="W120" s="66">
        <f>'BTX Recycling HC'!V366</f>
        <v>0.82734162008565715</v>
      </c>
      <c r="X120" s="66">
        <f>'BTX Recycling HC'!W366</f>
        <v>0.93265772477449727</v>
      </c>
      <c r="Y120" s="66">
        <f>'BTX Recycling HC'!X366</f>
        <v>0.9674648204791686</v>
      </c>
      <c r="Z120" s="66">
        <f>'BTX Recycling HC'!Y366</f>
        <v>0.97885027003241798</v>
      </c>
      <c r="AA120" s="66">
        <f>'BTX Recycling HC'!Z366</f>
        <v>0.97185591206088917</v>
      </c>
      <c r="AB120" s="66">
        <f>'BTX Recycling HC'!AA366</f>
        <v>1.0195793861074292</v>
      </c>
      <c r="AC120" s="66">
        <f>'BTX Recycling HC'!AB366</f>
        <v>1.08925982179442</v>
      </c>
      <c r="AD120" s="66">
        <f>'BTX Recycling HC'!AC366</f>
        <v>1.1596313508103913</v>
      </c>
      <c r="AE120" s="66">
        <f>'BTX Recycling HC'!AD366</f>
        <v>1.2385496498956898</v>
      </c>
      <c r="AF120" s="66">
        <f>'BTX Recycling HC'!AE366</f>
        <v>1.3315103484784188</v>
      </c>
      <c r="AG120" s="66">
        <f>'BTX Recycling HC'!AF366</f>
        <v>1.4408918135382327</v>
      </c>
      <c r="AH120" s="66">
        <f>'BTX Recycling HC'!AG366</f>
        <v>1.563576550507483</v>
      </c>
      <c r="AJ120" s="43">
        <f>'BTX Recycling LC'!C366</f>
        <v>1.0738941980835771E-5</v>
      </c>
      <c r="AK120" s="43">
        <f>'BTX Recycling LC'!D366</f>
        <v>2.400032050018279E-5</v>
      </c>
      <c r="AL120" s="43">
        <f>'BTX Recycling LC'!E366</f>
        <v>5.2215020863484091E-5</v>
      </c>
      <c r="AM120" s="43">
        <f>'BTX Recycling LC'!F366</f>
        <v>1.1248547860009504E-4</v>
      </c>
      <c r="AN120" s="43">
        <f>'BTX Recycling LC'!G366</f>
        <v>2.3987872148280106E-4</v>
      </c>
      <c r="AO120" s="43">
        <f>'BTX Recycling LC'!H366</f>
        <v>5.0587369561965075E-4</v>
      </c>
      <c r="AP120" s="43">
        <f>'BTX Recycling LC'!I366</f>
        <v>1.0494723981398324E-3</v>
      </c>
      <c r="AQ120" s="43">
        <f>'BTX Recycling LC'!J366</f>
        <v>2.1502583330975378E-3</v>
      </c>
      <c r="AR120" s="43">
        <f>'BTX Recycling LC'!K366</f>
        <v>4.3372928917991497E-3</v>
      </c>
      <c r="AS120" s="43">
        <f>'BTX Recycling LC'!L366</f>
        <v>8.5765705291076244E-3</v>
      </c>
      <c r="AT120" s="43">
        <f>'BTX Recycling LC'!M366</f>
        <v>1.6607324938475179E-2</v>
      </c>
      <c r="AU120" s="43">
        <f>'BTX Recycling LC'!N366</f>
        <v>2.9820874261142223E-2</v>
      </c>
      <c r="AV120" s="43">
        <f>'BTX Recycling LC'!O366</f>
        <v>5.1749883183827554E-2</v>
      </c>
      <c r="AW120" s="43">
        <f>'BTX Recycling LC'!P366</f>
        <v>8.5767414486543792E-2</v>
      </c>
      <c r="AX120" s="43">
        <f>'BTX Recycling LC'!Q366</f>
        <v>0.13484395327366525</v>
      </c>
      <c r="AY120" s="43">
        <f>'BTX Recycling LC'!R366</f>
        <v>0.20025010204658991</v>
      </c>
      <c r="AZ120" s="43">
        <f>'BTX Recycling LC'!S366</f>
        <v>0.28096344280486701</v>
      </c>
      <c r="BA120" s="43">
        <f>'BTX Recycling LC'!T366</f>
        <v>0.37288631162787461</v>
      </c>
      <c r="BB120" s="43">
        <f>'BTX Recycling LC'!U366</f>
        <v>0.47040200993260323</v>
      </c>
      <c r="BC120" s="43">
        <f>'BTX Recycling LC'!V366</f>
        <v>0.56801547026885579</v>
      </c>
      <c r="BD120" s="43">
        <f>'BTX Recycling LC'!W366</f>
        <v>0.66175862991376322</v>
      </c>
      <c r="BE120" s="43">
        <f>'BTX Recycling LC'!X366</f>
        <v>0.72315963317728438</v>
      </c>
      <c r="BF120" s="43">
        <f>'BTX Recycling LC'!Y366</f>
        <v>0.77532331172808011</v>
      </c>
      <c r="BG120" s="43">
        <f>'BTX Recycling LC'!Z366</f>
        <v>0.82161481024808269</v>
      </c>
      <c r="BH120" s="43">
        <f>'BTX Recycling LC'!AA366</f>
        <v>0.86598617029286351</v>
      </c>
      <c r="BI120" s="43">
        <f>'BTX Recycling LC'!AB366</f>
        <v>0.91353137843790144</v>
      </c>
      <c r="BJ120" s="43">
        <f>'BTX Recycling LC'!AC366</f>
        <v>0.97142951675438605</v>
      </c>
      <c r="BK120" s="43">
        <f>'BTX Recycling LC'!AD366</f>
        <v>1.0461765734902568</v>
      </c>
      <c r="BL120" s="43">
        <f>'BTX Recycling LC'!AE366</f>
        <v>1.1450393169145094</v>
      </c>
      <c r="BM120" s="43">
        <f>'BTX Recycling LC'!AF366</f>
        <v>1.2739591827519805</v>
      </c>
      <c r="BN120" s="43">
        <f>'BTX Recycling LC'!AG366</f>
        <v>1.4355791001409126</v>
      </c>
    </row>
    <row r="121" spans="1:67" s="104" customFormat="1" x14ac:dyDescent="0.2">
      <c r="A121" s="102" t="s">
        <v>232</v>
      </c>
      <c r="B121" s="102"/>
      <c r="C121" s="103" t="s">
        <v>153</v>
      </c>
      <c r="D121" s="105">
        <f>D115-D119-D120</f>
        <v>116.10916156271568</v>
      </c>
      <c r="E121" s="105">
        <f t="shared" ref="E121:AH121" si="147">E115-E119-E120</f>
        <v>117.08637101180086</v>
      </c>
      <c r="F121" s="105">
        <f t="shared" si="147"/>
        <v>117.68905622861095</v>
      </c>
      <c r="G121" s="105">
        <f t="shared" si="147"/>
        <v>118.39576730789221</v>
      </c>
      <c r="H121" s="105">
        <f t="shared" si="147"/>
        <v>119.11368331782866</v>
      </c>
      <c r="I121" s="105">
        <f t="shared" si="147"/>
        <v>119.84568941597838</v>
      </c>
      <c r="J121" s="105">
        <f t="shared" si="147"/>
        <v>119.57965395343311</v>
      </c>
      <c r="K121" s="105">
        <f t="shared" si="147"/>
        <v>119.29159539123974</v>
      </c>
      <c r="L121" s="105">
        <f t="shared" si="147"/>
        <v>118.98108640418819</v>
      </c>
      <c r="M121" s="105">
        <f t="shared" si="147"/>
        <v>118.64689485838539</v>
      </c>
      <c r="N121" s="105">
        <f t="shared" si="147"/>
        <v>118.286324104454</v>
      </c>
      <c r="O121" s="105">
        <f t="shared" si="147"/>
        <v>115.91307286914403</v>
      </c>
      <c r="P121" s="105">
        <f t="shared" si="147"/>
        <v>113.50878896535838</v>
      </c>
      <c r="Q121" s="105">
        <f t="shared" si="147"/>
        <v>111.07491381494381</v>
      </c>
      <c r="R121" s="105">
        <f t="shared" si="147"/>
        <v>108.61214895638885</v>
      </c>
      <c r="S121" s="105">
        <f t="shared" si="147"/>
        <v>106.12602929052134</v>
      </c>
      <c r="T121" s="105">
        <f t="shared" si="147"/>
        <v>103.5124446225215</v>
      </c>
      <c r="U121" s="105">
        <f t="shared" si="147"/>
        <v>100.86348325839992</v>
      </c>
      <c r="V121" s="105">
        <f t="shared" si="147"/>
        <v>98.192511952556856</v>
      </c>
      <c r="W121" s="105">
        <f t="shared" si="147"/>
        <v>95.511573929070821</v>
      </c>
      <c r="X121" s="105">
        <f t="shared" si="147"/>
        <v>92.829030020739651</v>
      </c>
      <c r="Y121" s="105">
        <f t="shared" si="147"/>
        <v>89.003252281675245</v>
      </c>
      <c r="Z121" s="105">
        <f t="shared" si="147"/>
        <v>85.205024441991895</v>
      </c>
      <c r="AA121" s="105">
        <f t="shared" si="147"/>
        <v>81.440346841010623</v>
      </c>
      <c r="AB121" s="105">
        <f t="shared" si="147"/>
        <v>77.62042825601992</v>
      </c>
      <c r="AC121" s="105">
        <f t="shared" si="147"/>
        <v>73.78749156670429</v>
      </c>
      <c r="AD121" s="105">
        <f t="shared" si="147"/>
        <v>69.836412513180491</v>
      </c>
      <c r="AE121" s="105">
        <f t="shared" si="147"/>
        <v>65.905721590972348</v>
      </c>
      <c r="AF121" s="105">
        <f t="shared" si="147"/>
        <v>61.994301033918006</v>
      </c>
      <c r="AG121" s="105">
        <f t="shared" si="147"/>
        <v>58.104986908720257</v>
      </c>
      <c r="AH121" s="105">
        <f t="shared" si="147"/>
        <v>54.247371070216388</v>
      </c>
      <c r="AI121" s="193"/>
      <c r="AJ121" s="105">
        <f>AJ115-AJ119-AJ120</f>
        <v>116.10917230165767</v>
      </c>
      <c r="AK121" s="105">
        <f t="shared" ref="AK121:BN121" si="148">AK115-AK119-AK120</f>
        <v>117.72056823732149</v>
      </c>
      <c r="AL121" s="105">
        <f t="shared" si="148"/>
        <v>119.02152368605861</v>
      </c>
      <c r="AM121" s="105">
        <f t="shared" si="148"/>
        <v>120.43271961126052</v>
      </c>
      <c r="AN121" s="105">
        <f t="shared" si="148"/>
        <v>121.88175257897319</v>
      </c>
      <c r="AO121" s="105">
        <f t="shared" si="148"/>
        <v>123.37242350038511</v>
      </c>
      <c r="AP121" s="105">
        <f t="shared" si="148"/>
        <v>123.87239029215155</v>
      </c>
      <c r="AQ121" s="105">
        <f t="shared" si="148"/>
        <v>124.37192993150566</v>
      </c>
      <c r="AR121" s="105">
        <f t="shared" si="148"/>
        <v>124.8714947668884</v>
      </c>
      <c r="AS121" s="105">
        <f t="shared" si="148"/>
        <v>125.37105227761187</v>
      </c>
      <c r="AT121" s="105">
        <f t="shared" si="148"/>
        <v>125.86963678348047</v>
      </c>
      <c r="AU121" s="105">
        <f t="shared" si="148"/>
        <v>124.48480747915002</v>
      </c>
      <c r="AV121" s="105">
        <f t="shared" si="148"/>
        <v>123.09379254279369</v>
      </c>
      <c r="AW121" s="105">
        <f t="shared" si="148"/>
        <v>121.69918644871927</v>
      </c>
      <c r="AX121" s="105">
        <f t="shared" si="148"/>
        <v>120.30180145848001</v>
      </c>
      <c r="AY121" s="105">
        <f t="shared" si="148"/>
        <v>118.90549117711727</v>
      </c>
      <c r="AZ121" s="105">
        <f t="shared" si="148"/>
        <v>117.40129507158903</v>
      </c>
      <c r="BA121" s="105">
        <f t="shared" si="148"/>
        <v>115.87914377316967</v>
      </c>
      <c r="BB121" s="105">
        <f t="shared" si="148"/>
        <v>114.34830780663884</v>
      </c>
      <c r="BC121" s="105">
        <f t="shared" si="148"/>
        <v>112.81800772811317</v>
      </c>
      <c r="BD121" s="105">
        <f t="shared" si="148"/>
        <v>111.2955346025104</v>
      </c>
      <c r="BE121" s="105">
        <f t="shared" si="148"/>
        <v>108.65854714998228</v>
      </c>
      <c r="BF121" s="105">
        <f t="shared" si="148"/>
        <v>106.05233980928087</v>
      </c>
      <c r="BG121" s="105">
        <f t="shared" si="148"/>
        <v>103.48455976707275</v>
      </c>
      <c r="BH121" s="105">
        <f t="shared" si="148"/>
        <v>100.94696791244803</v>
      </c>
      <c r="BI121" s="105">
        <f t="shared" si="148"/>
        <v>98.436856783945188</v>
      </c>
      <c r="BJ121" s="105">
        <f t="shared" si="148"/>
        <v>95.7967898330879</v>
      </c>
      <c r="BK121" s="105">
        <f t="shared" si="148"/>
        <v>93.18256166218066</v>
      </c>
      <c r="BL121" s="105">
        <f t="shared" si="148"/>
        <v>90.590001922377496</v>
      </c>
      <c r="BM121" s="105">
        <f t="shared" si="148"/>
        <v>88.017026229320649</v>
      </c>
      <c r="BN121" s="105">
        <f t="shared" si="148"/>
        <v>85.466300735494599</v>
      </c>
    </row>
    <row r="122" spans="1:67" s="67" customFormat="1" x14ac:dyDescent="0.2">
      <c r="A122" s="681"/>
      <c r="B122" s="58" t="s">
        <v>7</v>
      </c>
      <c r="C122" s="59" t="s">
        <v>153</v>
      </c>
      <c r="D122" s="60">
        <f>D116-D120*D116/SUM(D116:D118)</f>
        <v>41.94458239537073</v>
      </c>
      <c r="E122" s="60">
        <f t="shared" ref="E122:AH122" si="149">E116-E120*E116/SUM(E116:E118)</f>
        <v>42.796771057789925</v>
      </c>
      <c r="F122" s="60">
        <f t="shared" si="149"/>
        <v>43.606233283815868</v>
      </c>
      <c r="G122" s="60">
        <f t="shared" si="149"/>
        <v>44.421019057874148</v>
      </c>
      <c r="H122" s="60">
        <f t="shared" si="149"/>
        <v>45.242346584611425</v>
      </c>
      <c r="I122" s="60">
        <f t="shared" si="149"/>
        <v>46.071365441524328</v>
      </c>
      <c r="J122" s="60">
        <f t="shared" si="149"/>
        <v>46.269929715705914</v>
      </c>
      <c r="K122" s="60">
        <f t="shared" si="149"/>
        <v>46.457455586734433</v>
      </c>
      <c r="L122" s="60">
        <f t="shared" si="149"/>
        <v>46.633610266244382</v>
      </c>
      <c r="M122" s="60">
        <f t="shared" si="149"/>
        <v>46.797798527306306</v>
      </c>
      <c r="N122" s="60">
        <f t="shared" si="149"/>
        <v>46.948934679889696</v>
      </c>
      <c r="O122" s="60">
        <f t="shared" si="149"/>
        <v>46.254573203460062</v>
      </c>
      <c r="P122" s="60">
        <f t="shared" si="149"/>
        <v>45.619065438299252</v>
      </c>
      <c r="Q122" s="60">
        <f t="shared" si="149"/>
        <v>44.96299974675815</v>
      </c>
      <c r="R122" s="60">
        <f t="shared" si="149"/>
        <v>44.287349006033303</v>
      </c>
      <c r="S122" s="60">
        <f t="shared" si="149"/>
        <v>43.595273753839784</v>
      </c>
      <c r="T122" s="60">
        <f t="shared" si="149"/>
        <v>42.844755703605777</v>
      </c>
      <c r="U122" s="60">
        <f t="shared" si="149"/>
        <v>42.078688591605157</v>
      </c>
      <c r="V122" s="60">
        <f t="shared" si="149"/>
        <v>41.302915531434117</v>
      </c>
      <c r="W122" s="60">
        <f t="shared" si="149"/>
        <v>40.522966198646436</v>
      </c>
      <c r="X122" s="60">
        <f t="shared" si="149"/>
        <v>39.743190400517761</v>
      </c>
      <c r="Y122" s="60">
        <f t="shared" si="149"/>
        <v>38.308432676493453</v>
      </c>
      <c r="Z122" s="60">
        <f t="shared" si="149"/>
        <v>36.879536915687289</v>
      </c>
      <c r="AA122" s="60">
        <f t="shared" si="149"/>
        <v>35.463242807938634</v>
      </c>
      <c r="AB122" s="60">
        <f t="shared" si="149"/>
        <v>34.026735513899027</v>
      </c>
      <c r="AC122" s="60">
        <f t="shared" si="149"/>
        <v>32.587537701082383</v>
      </c>
      <c r="AD122" s="60">
        <f t="shared" si="149"/>
        <v>31.052872218601735</v>
      </c>
      <c r="AE122" s="60">
        <f t="shared" si="149"/>
        <v>29.530180612761175</v>
      </c>
      <c r="AF122" s="60">
        <f t="shared" si="149"/>
        <v>28.020848229248678</v>
      </c>
      <c r="AG122" s="60">
        <f t="shared" si="149"/>
        <v>26.52766789618423</v>
      </c>
      <c r="AH122" s="60">
        <f t="shared" si="149"/>
        <v>25.055950571634312</v>
      </c>
      <c r="AJ122" s="60">
        <f>AJ116-AJ120*AJ116/SUM(AJ116:AJ118)</f>
        <v>41.944586274827067</v>
      </c>
      <c r="AK122" s="60">
        <f t="shared" ref="AK122:BN122" si="150">AK116-AK120*AK116/SUM(AK116:AK118)</f>
        <v>43.054485598993885</v>
      </c>
      <c r="AL122" s="60">
        <f t="shared" si="150"/>
        <v>44.133959661310691</v>
      </c>
      <c r="AM122" s="60">
        <f t="shared" si="150"/>
        <v>45.231509865738886</v>
      </c>
      <c r="AN122" s="60">
        <f t="shared" si="150"/>
        <v>46.348827007329433</v>
      </c>
      <c r="AO122" s="60">
        <f t="shared" si="150"/>
        <v>47.487561953650903</v>
      </c>
      <c r="AP122" s="60">
        <f t="shared" si="150"/>
        <v>47.99684487861753</v>
      </c>
      <c r="AQ122" s="60">
        <f t="shared" si="150"/>
        <v>48.504901397539804</v>
      </c>
      <c r="AR122" s="60">
        <f t="shared" si="150"/>
        <v>49.011800023925211</v>
      </c>
      <c r="AS122" s="60">
        <f t="shared" si="150"/>
        <v>49.517483379652262</v>
      </c>
      <c r="AT122" s="60">
        <f t="shared" si="150"/>
        <v>50.021633264426363</v>
      </c>
      <c r="AU122" s="60">
        <f t="shared" si="150"/>
        <v>49.711605849511997</v>
      </c>
      <c r="AV122" s="60">
        <f t="shared" si="150"/>
        <v>49.470005788148818</v>
      </c>
      <c r="AW122" s="60">
        <f t="shared" si="150"/>
        <v>49.218276868615774</v>
      </c>
      <c r="AX122" s="60">
        <f t="shared" si="150"/>
        <v>48.957697009704241</v>
      </c>
      <c r="AY122" s="60">
        <f t="shared" si="150"/>
        <v>48.691017426488166</v>
      </c>
      <c r="AZ122" s="60">
        <f t="shared" si="150"/>
        <v>48.373592451557371</v>
      </c>
      <c r="BA122" s="60">
        <f t="shared" si="150"/>
        <v>48.048210929724469</v>
      </c>
      <c r="BB122" s="60">
        <f t="shared" si="150"/>
        <v>47.718946899322546</v>
      </c>
      <c r="BC122" s="60">
        <f t="shared" si="150"/>
        <v>47.389961030067909</v>
      </c>
      <c r="BD122" s="60">
        <f t="shared" si="150"/>
        <v>47.064910913563637</v>
      </c>
      <c r="BE122" s="60">
        <f t="shared" si="150"/>
        <v>46.073041190665705</v>
      </c>
      <c r="BF122" s="60">
        <f t="shared" si="150"/>
        <v>45.085958563462817</v>
      </c>
      <c r="BG122" s="60">
        <f t="shared" si="150"/>
        <v>44.111124468215202</v>
      </c>
      <c r="BH122" s="60">
        <f t="shared" si="150"/>
        <v>43.145968817890157</v>
      </c>
      <c r="BI122" s="60">
        <f t="shared" si="150"/>
        <v>42.192018557931895</v>
      </c>
      <c r="BJ122" s="60">
        <f t="shared" si="150"/>
        <v>41.132831185509175</v>
      </c>
      <c r="BK122" s="60">
        <f t="shared" si="150"/>
        <v>40.08723893217045</v>
      </c>
      <c r="BL122" s="60">
        <f t="shared" si="150"/>
        <v>39.056261490848932</v>
      </c>
      <c r="BM122" s="60">
        <f t="shared" si="150"/>
        <v>38.041618276872804</v>
      </c>
      <c r="BN122" s="60">
        <f t="shared" si="150"/>
        <v>37.04657785799732</v>
      </c>
    </row>
    <row r="123" spans="1:67" x14ac:dyDescent="0.2">
      <c r="A123" s="682"/>
      <c r="B123" s="1" t="s">
        <v>8</v>
      </c>
      <c r="C123" s="54" t="s">
        <v>153</v>
      </c>
      <c r="D123" s="44">
        <f>D117-D119*'Overall recycling rates'!$G$61/SUM('Overall recycling rates'!$G$61:$G$62)-D120*D117/SUM(D116:D118)</f>
        <v>27.181963602105995</v>
      </c>
      <c r="E123" s="44">
        <f>E117-E119*'Overall recycling rates'!$G$61/SUM('Overall recycling rates'!$G$61:$G$62)-E120*E117/SUM(E116:E118)</f>
        <v>27.576384631834301</v>
      </c>
      <c r="F123" s="44">
        <f>F117-F119*'Overall recycling rates'!$G$61/SUM('Overall recycling rates'!$G$61:$G$62)-F120*F117/SUM(F116:F118)</f>
        <v>27.965136480277021</v>
      </c>
      <c r="G123" s="44">
        <f>G117-G119*'Overall recycling rates'!$G$61/SUM('Overall recycling rates'!$G$61:$G$62)-G120*G117/SUM(G116:G118)</f>
        <v>28.356899142963744</v>
      </c>
      <c r="H123" s="44">
        <f>H117-H119*'Overall recycling rates'!$G$61/SUM('Overall recycling rates'!$G$61:$G$62)-H120*H117/SUM(H116:H118)</f>
        <v>28.753596549049512</v>
      </c>
      <c r="I123" s="44">
        <f>I117-I119*'Overall recycling rates'!$G$61/SUM('Overall recycling rates'!$G$61:$G$62)-I120*I117/SUM(I116:I118)</f>
        <v>29.155758478387195</v>
      </c>
      <c r="J123" s="44">
        <f>J117-J119*'Overall recycling rates'!$G$61/SUM('Overall recycling rates'!$G$61:$G$62)-J120*J117/SUM(J116:J118)</f>
        <v>29.212448735823923</v>
      </c>
      <c r="K123" s="44">
        <f>K117-K119*'Overall recycling rates'!$G$61/SUM('Overall recycling rates'!$G$61:$G$62)-K120*K117/SUM(K116:K118)</f>
        <v>29.263983103781101</v>
      </c>
      <c r="L123" s="44">
        <f>L117-L119*'Overall recycling rates'!$G$61/SUM('Overall recycling rates'!$G$61:$G$62)-L120*L117/SUM(L116:L118)</f>
        <v>29.310142960767799</v>
      </c>
      <c r="M123" s="44">
        <f>M117-M119*'Overall recycling rates'!$G$61/SUM('Overall recycling rates'!$G$61:$G$62)-M120*M117/SUM(M116:M118)</f>
        <v>29.350517929580725</v>
      </c>
      <c r="N123" s="44">
        <f>N117-N119*'Overall recycling rates'!$G$61/SUM('Overall recycling rates'!$G$61:$G$62)-N120*N117/SUM(N116:N118)</f>
        <v>29.384353206561606</v>
      </c>
      <c r="O123" s="44">
        <f>O117-O119*'Overall recycling rates'!$G$61/SUM('Overall recycling rates'!$G$61:$G$62)-O120*O117/SUM(O116:O118)</f>
        <v>28.65751643040506</v>
      </c>
      <c r="P123" s="44">
        <f>P117-P119*'Overall recycling rates'!$G$61/SUM('Overall recycling rates'!$G$61:$G$62)-P120*P117/SUM(P116:P118)</f>
        <v>28.012321942912951</v>
      </c>
      <c r="Q123" s="44">
        <f>Q117-Q119*'Overall recycling rates'!$G$61/SUM('Overall recycling rates'!$G$61:$G$62)-Q120*Q117/SUM(Q116:Q118)</f>
        <v>27.352209910705074</v>
      </c>
      <c r="R123" s="44">
        <f>R117-R119*'Overall recycling rates'!$G$61/SUM('Overall recycling rates'!$G$61:$G$62)-R120*R117/SUM(R116:R118)</f>
        <v>26.677198761148773</v>
      </c>
      <c r="S123" s="44">
        <f>S117-S119*'Overall recycling rates'!$G$61/SUM('Overall recycling rates'!$G$61:$G$62)-S120*S117/SUM(S116:S118)</f>
        <v>25.988421044242944</v>
      </c>
      <c r="T123" s="44">
        <f>T117-T119*'Overall recycling rates'!$G$61/SUM('Overall recycling rates'!$G$61:$G$62)-T120*T117/SUM(T116:T118)</f>
        <v>25.259383425442145</v>
      </c>
      <c r="U123" s="44">
        <f>U117-U119*'Overall recycling rates'!$G$61/SUM('Overall recycling rates'!$G$61:$G$62)-U120*U117/SUM(U116:U118)</f>
        <v>24.515897009091873</v>
      </c>
      <c r="V123" s="44">
        <f>V117-V119*'Overall recycling rates'!$G$61/SUM('Overall recycling rates'!$G$61:$G$62)-V120*V117/SUM(V116:V118)</f>
        <v>23.760953473652922</v>
      </c>
      <c r="W123" s="44">
        <f>W117-W119*'Overall recycling rates'!$G$61/SUM('Overall recycling rates'!$G$61:$G$62)-W120*W117/SUM(W116:W118)</f>
        <v>22.997200819921087</v>
      </c>
      <c r="X123" s="44">
        <f>X117-X119*'Overall recycling rates'!$G$61/SUM('Overall recycling rates'!$G$61:$G$62)-X120*X117/SUM(X116:X118)</f>
        <v>22.22641804523521</v>
      </c>
      <c r="Y123" s="44">
        <f>Y117-Y119*'Overall recycling rates'!$G$61/SUM('Overall recycling rates'!$G$61:$G$62)-Y120*Y117/SUM(Y116:Y118)</f>
        <v>21.284377890080837</v>
      </c>
      <c r="Z123" s="44">
        <f>Z117-Z119*'Overall recycling rates'!$G$61/SUM('Overall recycling rates'!$G$61:$G$62)-Z120*Z117/SUM(Z116:Z118)</f>
        <v>20.342665363885693</v>
      </c>
      <c r="AA123" s="44">
        <f>AA117-AA119*'Overall recycling rates'!$G$61/SUM('Overall recycling rates'!$G$61:$G$62)-AA120*AA117/SUM(AA116:AA118)</f>
        <v>19.402736051030914</v>
      </c>
      <c r="AB123" s="44">
        <f>AB117-AB119*'Overall recycling rates'!$G$61/SUM('Overall recycling rates'!$G$61:$G$62)-AB120*AB117/SUM(AB116:AB118)</f>
        <v>18.445026463272516</v>
      </c>
      <c r="AC123" s="44">
        <f>AC117-AC119*'Overall recycling rates'!$G$61/SUM('Overall recycling rates'!$G$61:$G$62)-AC120*AC117/SUM(AC116:AC118)</f>
        <v>17.47885707103341</v>
      </c>
      <c r="AD123" s="44">
        <f>AD117-AD119*'Overall recycling rates'!$G$61/SUM('Overall recycling rates'!$G$61:$G$62)-AD120*AD117/SUM(AD116:AD118)</f>
        <v>16.456572128437202</v>
      </c>
      <c r="AE123" s="44">
        <f>AE117-AE119*'Overall recycling rates'!$G$61/SUM('Overall recycling rates'!$G$61:$G$62)-AE120*AE117/SUM(AE116:AE118)</f>
        <v>15.432802944018842</v>
      </c>
      <c r="AF123" s="44">
        <f>AF117-AF119*'Overall recycling rates'!$G$61/SUM('Overall recycling rates'!$G$61:$G$62)-AF120*AF117/SUM(AF116:AF118)</f>
        <v>14.407305928780113</v>
      </c>
      <c r="AG123" s="44">
        <f>AG117-AG119*'Overall recycling rates'!$G$61/SUM('Overall recycling rates'!$G$61:$G$62)-AG120*AG117/SUM(AG116:AG118)</f>
        <v>13.38073667300405</v>
      </c>
      <c r="AH123" s="44">
        <f>AH117-AH119*'Overall recycling rates'!$G$61/SUM('Overall recycling rates'!$G$61:$G$62)-AH120*AH117/SUM(AH116:AH118)</f>
        <v>12.355232837580335</v>
      </c>
      <c r="AI123" s="54" t="s">
        <v>165</v>
      </c>
      <c r="AJ123" s="44">
        <f>AJ117-AJ119*'Overall recycling rates'!$G$61/SUM('Overall recycling rates'!$G$61:$G$62)-AJ120*AJ117/SUM(AJ116:AJ118)</f>
        <v>27.181966116167082</v>
      </c>
      <c r="AK123" s="44">
        <f>AK117-AK119*'Overall recycling rates'!$G$61/SUM('Overall recycling rates'!$G$61:$G$62)-AK120*AK117/SUM(AK116:AK118)</f>
        <v>27.683747565664117</v>
      </c>
      <c r="AL123" s="44">
        <f>AL117-AL119*'Overall recycling rates'!$G$61/SUM('Overall recycling rates'!$G$61:$G$62)-AL120*AL117/SUM(AL116:AL118)</f>
        <v>28.18587747665493</v>
      </c>
      <c r="AM123" s="44">
        <f>AM117-AM119*'Overall recycling rates'!$G$61/SUM('Overall recycling rates'!$G$61:$G$62)-AM120*AM117/SUM(AM116:AM118)</f>
        <v>28.697272465629094</v>
      </c>
      <c r="AN123" s="44">
        <f>AN117-AN119*'Overall recycling rates'!$G$61/SUM('Overall recycling rates'!$G$61:$G$62)-AN120*AN117/SUM(AN116:AN118)</f>
        <v>29.220105114293602</v>
      </c>
      <c r="AO123" s="44">
        <f>AO117-AO119*'Overall recycling rates'!$G$61/SUM('Overall recycling rates'!$G$61:$G$62)-AO120*AO117/SUM(AO116:AO118)</f>
        <v>29.755170593223117</v>
      </c>
      <c r="AP123" s="44">
        <f>AP117-AP119*'Overall recycling rates'!$G$61/SUM('Overall recycling rates'!$G$61:$G$62)-AP120*AP117/SUM(AP116:AP118)</f>
        <v>29.94452494908942</v>
      </c>
      <c r="AQ123" s="44">
        <f>AQ117-AQ119*'Overall recycling rates'!$G$61/SUM('Overall recycling rates'!$G$61:$G$62)-AQ120*AQ117/SUM(AQ116:AQ118)</f>
        <v>30.133324283481933</v>
      </c>
      <c r="AR123" s="44">
        <f>AR117-AR119*'Overall recycling rates'!$G$61/SUM('Overall recycling rates'!$G$61:$G$62)-AR120*AR117/SUM(AR116:AR118)</f>
        <v>30.32157133385223</v>
      </c>
      <c r="AS123" s="44">
        <f>AS117-AS119*'Overall recycling rates'!$G$61/SUM('Overall recycling rates'!$G$61:$G$62)-AS120*AS117/SUM(AS116:AS118)</f>
        <v>30.509162166594951</v>
      </c>
      <c r="AT123" s="44">
        <f>AT117-AT119*'Overall recycling rates'!$G$61/SUM('Overall recycling rates'!$G$61:$G$62)-AT120*AT117/SUM(AT116:AT118)</f>
        <v>30.69579165606342</v>
      </c>
      <c r="AU123" s="44">
        <f>AU117-AU119*'Overall recycling rates'!$G$61/SUM('Overall recycling rates'!$G$61:$G$62)-AU120*AU117/SUM(AU116:AU118)</f>
        <v>30.138555778726644</v>
      </c>
      <c r="AV123" s="44">
        <f>AV117-AV119*'Overall recycling rates'!$G$61/SUM('Overall recycling rates'!$G$61:$G$62)-AV120*AV117/SUM(AV116:AV118)</f>
        <v>29.658995337082942</v>
      </c>
      <c r="AW123" s="44">
        <f>AW117-AW119*'Overall recycling rates'!$G$61/SUM('Overall recycling rates'!$G$61:$G$62)-AW120*AW117/SUM(AW116:AW118)</f>
        <v>29.169242914450745</v>
      </c>
      <c r="AX123" s="44">
        <f>AX117-AX119*'Overall recycling rates'!$G$61/SUM('Overall recycling rates'!$G$61:$G$62)-AX120*AX117/SUM(AX116:AX118)</f>
        <v>28.669405153405879</v>
      </c>
      <c r="AY123" s="44">
        <f>AY117-AY119*'Overall recycling rates'!$G$61/SUM('Overall recycling rates'!$G$61:$G$62)-AY120*AY117/SUM(AY116:AY118)</f>
        <v>28.160254986591511</v>
      </c>
      <c r="AZ123" s="44">
        <f>AZ117-AZ119*'Overall recycling rates'!$G$61/SUM('Overall recycling rates'!$G$61:$G$62)-AZ120*AZ117/SUM(AZ116:AZ118)</f>
        <v>27.613747704128969</v>
      </c>
      <c r="BA123" s="44">
        <f>BA117-BA119*'Overall recycling rates'!$G$61/SUM('Overall recycling rates'!$G$61:$G$62)-BA120*BA117/SUM(BA116:BA118)</f>
        <v>27.05544260364314</v>
      </c>
      <c r="BB123" s="44">
        <f>BB117-BB119*'Overall recycling rates'!$G$61/SUM('Overall recycling rates'!$G$61:$G$62)-BB120*BB117/SUM(BB116:BB118)</f>
        <v>26.487240129001265</v>
      </c>
      <c r="BC123" s="44">
        <f>BC117-BC119*'Overall recycling rates'!$G$61/SUM('Overall recycling rates'!$G$61:$G$62)-BC120*BC117/SUM(BC116:BC118)</f>
        <v>25.910984950195221</v>
      </c>
      <c r="BD123" s="44">
        <f>BD117-BD119*'Overall recycling rates'!$G$61/SUM('Overall recycling rates'!$G$61:$G$62)-BD120*BD117/SUM(BD116:BD118)</f>
        <v>25.328087749930731</v>
      </c>
      <c r="BE123" s="44">
        <f>BE117-BE119*'Overall recycling rates'!$G$61/SUM('Overall recycling rates'!$G$61:$G$62)-BE120*BE117/SUM(BE116:BE118)</f>
        <v>24.567875827924077</v>
      </c>
      <c r="BF123" s="44">
        <f>BF117-BF119*'Overall recycling rates'!$G$61/SUM('Overall recycling rates'!$G$61:$G$62)-BF120*BF117/SUM(BF116:BF118)</f>
        <v>23.806033511425188</v>
      </c>
      <c r="BG123" s="44">
        <f>BG117-BG119*'Overall recycling rates'!$G$61/SUM('Overall recycling rates'!$G$61:$G$62)-BG120*BG117/SUM(BG116:BG118)</f>
        <v>23.044444240938731</v>
      </c>
      <c r="BH123" s="44">
        <f>BH117-BH119*'Overall recycling rates'!$G$61/SUM('Overall recycling rates'!$G$61:$G$62)-BH120*BH117/SUM(BH116:BH118)</f>
        <v>22.281289416616993</v>
      </c>
      <c r="BI123" s="44">
        <f>BI117-BI119*'Overall recycling rates'!$G$61/SUM('Overall recycling rates'!$G$61:$G$62)-BI120*BI117/SUM(BI116:BI118)</f>
        <v>21.516099826507684</v>
      </c>
      <c r="BJ123" s="44">
        <f>BJ117-BJ119*'Overall recycling rates'!$G$61/SUM('Overall recycling rates'!$G$61:$G$62)-BJ120*BJ117/SUM(BJ116:BJ118)</f>
        <v>20.687638931863713</v>
      </c>
      <c r="BK123" s="44">
        <f>BK117-BK119*'Overall recycling rates'!$G$61/SUM('Overall recycling rates'!$G$61:$G$62)-BK120*BK117/SUM(BK116:BK118)</f>
        <v>19.856690660437664</v>
      </c>
      <c r="BL123" s="44">
        <f>BL117-BL119*'Overall recycling rates'!$G$61/SUM('Overall recycling rates'!$G$61:$G$62)-BL120*BL117/SUM(BL116:BL118)</f>
        <v>19.022657303772036</v>
      </c>
      <c r="BM123" s="44">
        <f>BM117-BM119*'Overall recycling rates'!$G$61/SUM('Overall recycling rates'!$G$61:$G$62)-BM120*BM117/SUM(BM116:BM118)</f>
        <v>18.18542605965785</v>
      </c>
      <c r="BN123" s="44">
        <f>BN117-BN119*'Overall recycling rates'!$G$61/SUM('Overall recycling rates'!$G$61:$G$62)-BN120*BN117/SUM(BN116:BN118)</f>
        <v>17.345843087560468</v>
      </c>
      <c r="BO123" s="54" t="s">
        <v>165</v>
      </c>
    </row>
    <row r="124" spans="1:67" s="68" customFormat="1" x14ac:dyDescent="0.2">
      <c r="A124" s="683"/>
      <c r="B124" s="62" t="s">
        <v>166</v>
      </c>
      <c r="C124" s="283" t="s">
        <v>153</v>
      </c>
      <c r="D124" s="284">
        <f>D118-D119*'Overall recycling rates'!$G$62/SUM('Overall recycling rates'!$G$61:$G$62)-D120*D118/SUM(D116:D118)</f>
        <v>46.982615565238945</v>
      </c>
      <c r="E124" s="284">
        <f>E118-E119*'Overall recycling rates'!$G$62/SUM('Overall recycling rates'!$G$61:$G$62)-E120*E118/SUM(E116:E118)</f>
        <v>46.713215322176623</v>
      </c>
      <c r="F124" s="284">
        <f>F118-F119*'Overall recycling rates'!$G$62/SUM('Overall recycling rates'!$G$61:$G$62)-F120*F118/SUM(F116:F118)</f>
        <v>46.33567466558349</v>
      </c>
      <c r="G124" s="284">
        <f>G118-G119*'Overall recycling rates'!$G$62/SUM('Overall recycling rates'!$G$61:$G$62)-G120*G118/SUM(G116:G118)</f>
        <v>45.947779056952591</v>
      </c>
      <c r="H124" s="284">
        <f>H118-H119*'Overall recycling rates'!$G$62/SUM('Overall recycling rates'!$G$61:$G$62)-H120*H118/SUM(H116:H118)</f>
        <v>45.561610692971172</v>
      </c>
      <c r="I124" s="284">
        <f>I118-I119*'Overall recycling rates'!$G$62/SUM('Overall recycling rates'!$G$61:$G$62)-I120*I118/SUM(I116:I118)</f>
        <v>45.178400989867548</v>
      </c>
      <c r="J124" s="284">
        <f>J118-J119*'Overall recycling rates'!$G$62/SUM('Overall recycling rates'!$G$61:$G$62)-J120*J118/SUM(J116:J118)</f>
        <v>44.775126291568156</v>
      </c>
      <c r="K124" s="284">
        <f>K118-K119*'Overall recycling rates'!$G$62/SUM('Overall recycling rates'!$G$61:$G$62)-K120*K118/SUM(K116:K118)</f>
        <v>44.368099252881152</v>
      </c>
      <c r="L124" s="284">
        <f>L118-L119*'Overall recycling rates'!$G$62/SUM('Overall recycling rates'!$G$61:$G$62)-L120*L118/SUM(L116:L118)</f>
        <v>43.957470387440011</v>
      </c>
      <c r="M124" s="284">
        <f>M118-M119*'Overall recycling rates'!$G$62/SUM('Overall recycling rates'!$G$61:$G$62)-M120*M118/SUM(M116:M118)</f>
        <v>43.543039869949446</v>
      </c>
      <c r="N124" s="284">
        <f>N118-N119*'Overall recycling rates'!$G$62/SUM('Overall recycling rates'!$G$61:$G$62)-N120*N118/SUM(N116:N118)</f>
        <v>43.123978526924212</v>
      </c>
      <c r="O124" s="284">
        <f>O118-O119*'Overall recycling rates'!$G$62/SUM('Overall recycling rates'!$G$61:$G$62)-O120*O118/SUM(O116:O118)</f>
        <v>41.000983235278945</v>
      </c>
      <c r="P124" s="284">
        <f>P118-P119*'Overall recycling rates'!$G$62/SUM('Overall recycling rates'!$G$61:$G$62)-P120*P118/SUM(P116:P118)</f>
        <v>39.877401584146149</v>
      </c>
      <c r="Q124" s="284">
        <f>Q118-Q119*'Overall recycling rates'!$G$62/SUM('Overall recycling rates'!$G$61:$G$62)-Q120*Q118/SUM(Q116:Q118)</f>
        <v>38.759704157480591</v>
      </c>
      <c r="R124" s="284">
        <f>R118-R119*'Overall recycling rates'!$G$62/SUM('Overall recycling rates'!$G$61:$G$62)-R120*R118/SUM(R116:R118)</f>
        <v>37.647601189206789</v>
      </c>
      <c r="S124" s="284">
        <f>S118-S119*'Overall recycling rates'!$G$62/SUM('Overall recycling rates'!$G$61:$G$62)-S120*S118/SUM(S116:S118)</f>
        <v>36.542334492438606</v>
      </c>
      <c r="T124" s="284">
        <f>T118-T119*'Overall recycling rates'!$G$62/SUM('Overall recycling rates'!$G$61:$G$62)-T120*T118/SUM(T116:T118)</f>
        <v>35.408305493473556</v>
      </c>
      <c r="U124" s="284">
        <f>U118-U119*'Overall recycling rates'!$G$62/SUM('Overall recycling rates'!$G$61:$G$62)-U120*U118/SUM(U116:U118)</f>
        <v>34.26889765770288</v>
      </c>
      <c r="V124" s="284">
        <f>V118-V119*'Overall recycling rates'!$G$62/SUM('Overall recycling rates'!$G$61:$G$62)-V120*V118/SUM(V116:V118)</f>
        <v>33.128642947469821</v>
      </c>
      <c r="W124" s="284">
        <f>W118-W119*'Overall recycling rates'!$G$62/SUM('Overall recycling rates'!$G$61:$G$62)-W120*W118/SUM(W116:W118)</f>
        <v>31.991406910503276</v>
      </c>
      <c r="X124" s="284">
        <f>X118-X119*'Overall recycling rates'!$G$62/SUM('Overall recycling rates'!$G$61:$G$62)-X120*X118/SUM(X116:X118)</f>
        <v>30.859421574986662</v>
      </c>
      <c r="Y124" s="284">
        <f>Y118-Y119*'Overall recycling rates'!$G$62/SUM('Overall recycling rates'!$G$61:$G$62)-Y120*Y118/SUM(Y116:Y118)</f>
        <v>29.410441715100973</v>
      </c>
      <c r="Z124" s="284">
        <f>Z118-Z119*'Overall recycling rates'!$G$62/SUM('Overall recycling rates'!$G$61:$G$62)-Z120*Z118/SUM(Z116:Z118)</f>
        <v>27.98282216241887</v>
      </c>
      <c r="AA124" s="284">
        <f>AA118-AA119*'Overall recycling rates'!$G$62/SUM('Overall recycling rates'!$G$61:$G$62)-AA120*AA118/SUM(AA116:AA118)</f>
        <v>26.574367982041096</v>
      </c>
      <c r="AB124" s="284">
        <f>AB118-AB119*'Overall recycling rates'!$G$62/SUM('Overall recycling rates'!$G$61:$G$62)-AB120*AB118/SUM(AB116:AB118)</f>
        <v>25.148666278848356</v>
      </c>
      <c r="AC124" s="284">
        <f>AC118-AC119*'Overall recycling rates'!$G$62/SUM('Overall recycling rates'!$G$61:$G$62)-AC120*AC118/SUM(AC116:AC118)</f>
        <v>23.721096794588465</v>
      </c>
      <c r="AD124" s="284">
        <f>AD118-AD119*'Overall recycling rates'!$G$62/SUM('Overall recycling rates'!$G$61:$G$62)-AD120*AD118/SUM(AD116:AD118)</f>
        <v>22.326968166141562</v>
      </c>
      <c r="AE124" s="284">
        <f>AE118-AE119*'Overall recycling rates'!$G$62/SUM('Overall recycling rates'!$G$61:$G$62)-AE120*AE118/SUM(AE116:AE118)</f>
        <v>20.942738034192356</v>
      </c>
      <c r="AF124" s="284">
        <f>AF118-AF119*'Overall recycling rates'!$G$62/SUM('Overall recycling rates'!$G$61:$G$62)-AF120*AF118/SUM(AF116:AF118)</f>
        <v>19.566146875889238</v>
      </c>
      <c r="AG124" s="284">
        <f>AG118-AG119*'Overall recycling rates'!$G$62/SUM('Overall recycling rates'!$G$61:$G$62)-AG120*AG118/SUM(AG116:AG118)</f>
        <v>18.196582339531943</v>
      </c>
      <c r="AH124" s="284">
        <f>AH118-AH119*'Overall recycling rates'!$G$62/SUM('Overall recycling rates'!$G$61:$G$62)-AH120*AH118/SUM(AH116:AH118)</f>
        <v>16.836187661001752</v>
      </c>
      <c r="AJ124" s="284">
        <f>AJ118-AJ119*'Overall recycling rates'!$G$62/SUM('Overall recycling rates'!$G$61:$G$62)-AJ120*AJ118/SUM(AJ116:AJ118)</f>
        <v>46.982619910663502</v>
      </c>
      <c r="AK124" s="284">
        <f>AK118-AK119*'Overall recycling rates'!$G$62/SUM('Overall recycling rates'!$G$61:$G$62)-AK120*AK118/SUM(AK116:AK118)</f>
        <v>46.989967373678034</v>
      </c>
      <c r="AL124" s="284">
        <f>AL118-AL119*'Overall recycling rates'!$G$62/SUM('Overall recycling rates'!$G$61:$G$62)-AL120*AL118/SUM(AL116:AL118)</f>
        <v>46.895727529364798</v>
      </c>
      <c r="AM124" s="284">
        <f>AM118-AM119*'Overall recycling rates'!$G$62/SUM('Overall recycling rates'!$G$61:$G$62)-AM120*AM118/SUM(AM116:AM118)</f>
        <v>46.797814011877925</v>
      </c>
      <c r="AN124" s="284">
        <f>AN118-AN119*'Overall recycling rates'!$G$62/SUM('Overall recycling rates'!$G$61:$G$62)-AN120*AN118/SUM(AN116:AN118)</f>
        <v>46.708445403145767</v>
      </c>
      <c r="AO124" s="284">
        <f>AO118-AO119*'Overall recycling rates'!$G$62/SUM('Overall recycling rates'!$G$61:$G$62)-AO120*AO118/SUM(AO116:AO118)</f>
        <v>46.62900370538668</v>
      </c>
      <c r="AP124" s="284">
        <f>AP118-AP119*'Overall recycling rates'!$G$62/SUM('Overall recycling rates'!$G$61:$G$62)-AP120*AP118/SUM(AP116:AP118)</f>
        <v>46.535988077763129</v>
      </c>
      <c r="AQ124" s="284">
        <f>AQ118-AQ119*'Overall recycling rates'!$G$62/SUM('Overall recycling rates'!$G$61:$G$62)-AQ120*AQ118/SUM(AQ116:AQ118)</f>
        <v>46.446321581338772</v>
      </c>
      <c r="AR124" s="284">
        <f>AR118-AR119*'Overall recycling rates'!$G$62/SUM('Overall recycling rates'!$G$61:$G$62)-AR120*AR118/SUM(AR116:AR118)</f>
        <v>46.360413455716888</v>
      </c>
      <c r="AS124" s="284">
        <f>AS118-AS119*'Overall recycling rates'!$G$62/SUM('Overall recycling rates'!$G$61:$G$62)-AS120*AS118/SUM(AS116:AS118)</f>
        <v>46.278420979241986</v>
      </c>
      <c r="AT124" s="284">
        <f>AT118-AT119*'Overall recycling rates'!$G$62/SUM('Overall recycling rates'!$G$61:$G$62)-AT120*AT118/SUM(AT116:AT118)</f>
        <v>46.200030633979921</v>
      </c>
      <c r="AU124" s="284">
        <f>AU118-AU119*'Overall recycling rates'!$G$62/SUM('Overall recycling rates'!$G$61:$G$62)-AU120*AU118/SUM(AU116:AU118)</f>
        <v>44.634645850911397</v>
      </c>
      <c r="AV124" s="284">
        <f>AV118-AV119*'Overall recycling rates'!$G$62/SUM('Overall recycling rates'!$G$61:$G$62)-AV120*AV118/SUM(AV116:AV118)</f>
        <v>43.964791417561941</v>
      </c>
      <c r="AW124" s="284">
        <f>AW118-AW119*'Overall recycling rates'!$G$62/SUM('Overall recycling rates'!$G$61:$G$62)-AW120*AW118/SUM(AW116:AW118)</f>
        <v>43.311666665652751</v>
      </c>
      <c r="AX124" s="284">
        <f>AX118-AX119*'Overall recycling rates'!$G$62/SUM('Overall recycling rates'!$G$61:$G$62)-AX120*AX118/SUM(AX116:AX118)</f>
        <v>42.674699295369884</v>
      </c>
      <c r="AY124" s="284">
        <f>AY118-AY119*'Overall recycling rates'!$G$62/SUM('Overall recycling rates'!$G$61:$G$62)-AY120*AY118/SUM(AY116:AY118)</f>
        <v>42.054218764037579</v>
      </c>
      <c r="AZ124" s="284">
        <f>AZ118-AZ119*'Overall recycling rates'!$G$62/SUM('Overall recycling rates'!$G$61:$G$62)-AZ120*AZ118/SUM(AZ116:AZ118)</f>
        <v>41.413954915902671</v>
      </c>
      <c r="BA124" s="284">
        <f>BA118-BA119*'Overall recycling rates'!$G$62/SUM('Overall recycling rates'!$G$61:$G$62)-BA120*BA118/SUM(BA116:BA118)</f>
        <v>40.775490239802075</v>
      </c>
      <c r="BB124" s="284">
        <f>BB118-BB119*'Overall recycling rates'!$G$62/SUM('Overall recycling rates'!$G$61:$G$62)-BB120*BB118/SUM(BB116:BB118)</f>
        <v>40.142120778315046</v>
      </c>
      <c r="BC124" s="284">
        <f>BC118-BC119*'Overall recycling rates'!$G$62/SUM('Overall recycling rates'!$G$61:$G$62)-BC120*BC118/SUM(BC116:BC118)</f>
        <v>39.51706174785005</v>
      </c>
      <c r="BD124" s="284">
        <f>BD118-BD119*'Overall recycling rates'!$G$62/SUM('Overall recycling rates'!$G$61:$G$62)-BD120*BD118/SUM(BD116:BD118)</f>
        <v>38.902535939016005</v>
      </c>
      <c r="BE124" s="284">
        <f>BE118-BE119*'Overall recycling rates'!$G$62/SUM('Overall recycling rates'!$G$61:$G$62)-BE120*BE118/SUM(BE116:BE118)</f>
        <v>38.017630131392522</v>
      </c>
      <c r="BF124" s="284">
        <f>BF118-BF119*'Overall recycling rates'!$G$62/SUM('Overall recycling rates'!$G$61:$G$62)-BF120*BF118/SUM(BF116:BF118)</f>
        <v>37.160347734392836</v>
      </c>
      <c r="BG124" s="284">
        <f>BG118-BG119*'Overall recycling rates'!$G$62/SUM('Overall recycling rates'!$G$61:$G$62)-BG120*BG118/SUM(BG116:BG118)</f>
        <v>36.328991057918834</v>
      </c>
      <c r="BH124" s="284">
        <f>BH118-BH119*'Overall recycling rates'!$G$62/SUM('Overall recycling rates'!$G$61:$G$62)-BH120*BH118/SUM(BH116:BH118)</f>
        <v>35.519709677940867</v>
      </c>
      <c r="BI124" s="284">
        <f>BI118-BI119*'Overall recycling rates'!$G$62/SUM('Overall recycling rates'!$G$61:$G$62)-BI120*BI118/SUM(BI116:BI118)</f>
        <v>34.728738399505595</v>
      </c>
      <c r="BJ124" s="284">
        <f>BJ118-BJ119*'Overall recycling rates'!$G$62/SUM('Overall recycling rates'!$G$61:$G$62)-BJ120*BJ118/SUM(BJ116:BJ118)</f>
        <v>33.976319715715015</v>
      </c>
      <c r="BK124" s="284">
        <f>BK118-BK119*'Overall recycling rates'!$G$62/SUM('Overall recycling rates'!$G$61:$G$62)-BK120*BK118/SUM(BK116:BK118)</f>
        <v>33.238632069572589</v>
      </c>
      <c r="BL124" s="284">
        <f>BL118-BL119*'Overall recycling rates'!$G$62/SUM('Overall recycling rates'!$G$61:$G$62)-BL120*BL118/SUM(BL116:BL118)</f>
        <v>32.511083127756542</v>
      </c>
      <c r="BM124" s="284">
        <f>BM118-BM119*'Overall recycling rates'!$G$62/SUM('Overall recycling rates'!$G$61:$G$62)-BM120*BM118/SUM(BM116:BM118)</f>
        <v>31.789981892789982</v>
      </c>
      <c r="BN124" s="284">
        <f>BN118-BN119*'Overall recycling rates'!$G$62/SUM('Overall recycling rates'!$G$61:$G$62)-BN120*BN118/SUM(BN116:BN118)</f>
        <v>31.073879789936825</v>
      </c>
    </row>
    <row r="125" spans="1:67" s="426" customFormat="1" x14ac:dyDescent="0.2">
      <c r="A125" s="425" t="s">
        <v>233</v>
      </c>
      <c r="C125" s="429" t="s">
        <v>153</v>
      </c>
      <c r="D125" s="430">
        <f>'BTX Recycling HC'!C373</f>
        <v>5.2955726726823178</v>
      </c>
      <c r="E125" s="430">
        <f>'BTX Recycling HC'!D373</f>
        <v>5.9194107270833252</v>
      </c>
      <c r="F125" s="430">
        <f>'BTX Recycling HC'!E373</f>
        <v>6.4528132111655543</v>
      </c>
      <c r="G125" s="430">
        <f>'BTX Recycling HC'!F373</f>
        <v>6.9908092113906326</v>
      </c>
      <c r="H125" s="430">
        <f>'BTX Recycling HC'!G373</f>
        <v>7.5285918047596088</v>
      </c>
      <c r="I125" s="430">
        <f>'BTX Recycling HC'!H373</f>
        <v>8.0618878118111947</v>
      </c>
      <c r="J125" s="430">
        <f>'BTX Recycling HC'!I373</f>
        <v>8.4709945074201585</v>
      </c>
      <c r="K125" s="430">
        <f>'BTX Recycling HC'!J373</f>
        <v>8.8745097760675371</v>
      </c>
      <c r="L125" s="430">
        <f>'BTX Recycling HC'!K373</f>
        <v>9.2704863811720415</v>
      </c>
      <c r="M125" s="430">
        <f>'BTX Recycling HC'!L373</f>
        <v>9.6561077291990873</v>
      </c>
      <c r="N125" s="430">
        <f>'BTX Recycling HC'!M373</f>
        <v>10.027030548103186</v>
      </c>
      <c r="O125" s="430">
        <f>'BTX Recycling HC'!N373</f>
        <v>9.9509236783906125</v>
      </c>
      <c r="P125" s="430">
        <f>'BTX Recycling HC'!O373</f>
        <v>9.8307774647855677</v>
      </c>
      <c r="Q125" s="430">
        <f>'BTX Recycling HC'!P373</f>
        <v>9.6599023701455344</v>
      </c>
      <c r="R125" s="430">
        <f>'BTX Recycling HC'!Q373</f>
        <v>9.4377982207198468</v>
      </c>
      <c r="S125" s="430">
        <f>'BTX Recycling HC'!R373</f>
        <v>9.1661881763861945</v>
      </c>
      <c r="T125" s="430">
        <f>'BTX Recycling HC'!S373</f>
        <v>8.9080982141268752</v>
      </c>
      <c r="U125" s="430">
        <f>'BTX Recycling HC'!T373</f>
        <v>8.6336429017838672</v>
      </c>
      <c r="V125" s="430">
        <f>'BTX Recycling HC'!U373</f>
        <v>8.3553387605666849</v>
      </c>
      <c r="W125" s="430">
        <f>'BTX Recycling HC'!V373</f>
        <v>8.0843383600980765</v>
      </c>
      <c r="X125" s="430">
        <f>'BTX Recycling HC'!W373</f>
        <v>7.8280673656896909</v>
      </c>
      <c r="Y125" s="430">
        <f>'BTX Recycling HC'!X373</f>
        <v>7.1918146916401469</v>
      </c>
      <c r="Z125" s="430">
        <f>'BTX Recycling HC'!Y373</f>
        <v>6.5959807756912445</v>
      </c>
      <c r="AA125" s="430">
        <f>'BTX Recycling HC'!Z373</f>
        <v>6.0329714629210915</v>
      </c>
      <c r="AB125" s="430">
        <f>'BTX Recycling HC'!AA373</f>
        <v>5.8847599172606921</v>
      </c>
      <c r="AC125" s="430">
        <f>'BTX Recycling HC'!AB373</f>
        <v>5.8590181569926667</v>
      </c>
      <c r="AD125" s="430">
        <f>'BTX Recycling HC'!AC373</f>
        <v>5.7858380592069292</v>
      </c>
      <c r="AE125" s="430">
        <f>'BTX Recycling HC'!AD373</f>
        <v>5.6679537409599261</v>
      </c>
      <c r="AF125" s="430">
        <f>'BTX Recycling HC'!AE373</f>
        <v>5.4998062137943702</v>
      </c>
      <c r="AG125" s="430">
        <f>'BTX Recycling HC'!AF373</f>
        <v>5.2795652007037317</v>
      </c>
      <c r="AH125" s="430">
        <f>'BTX Recycling HC'!AG373</f>
        <v>5.0119184860962491</v>
      </c>
      <c r="AI125" s="101"/>
      <c r="AJ125" s="430">
        <f>'BTX Recycling LC'!C373</f>
        <v>5.2955834116242988</v>
      </c>
      <c r="AK125" s="430">
        <f>'BTX Recycling LC'!D373</f>
        <v>5.9319913623444345</v>
      </c>
      <c r="AL125" s="430">
        <f>'BTX Recycling LC'!E373</f>
        <v>6.4853535873112618</v>
      </c>
      <c r="AM125" s="430">
        <f>'BTX Recycling LC'!F373</f>
        <v>7.0436499804781025</v>
      </c>
      <c r="AN125" s="430">
        <f>'BTX Recycling LC'!G373</f>
        <v>7.604522965324847</v>
      </c>
      <c r="AO125" s="430">
        <f>'BTX Recycling LC'!H373</f>
        <v>8.1637707292037263</v>
      </c>
      <c r="AP125" s="430">
        <f>'BTX Recycling LC'!I373</f>
        <v>8.6850620687429672</v>
      </c>
      <c r="AQ125" s="430">
        <f>'BTX Recycling LC'!J373</f>
        <v>9.2153979736628298</v>
      </c>
      <c r="AR125" s="430">
        <f>'BTX Recycling LC'!K373</f>
        <v>9.7538846404385549</v>
      </c>
      <c r="AS125" s="430">
        <f>'BTX Recycling LC'!L373</f>
        <v>10.299060771912455</v>
      </c>
      <c r="AT125" s="430">
        <f>'BTX Recycling LC'!M373</f>
        <v>10.848449138165488</v>
      </c>
      <c r="AU125" s="430">
        <f>'BTX Recycling LC'!N373</f>
        <v>11.006664817148298</v>
      </c>
      <c r="AV125" s="430">
        <f>'BTX Recycling LC'!O373</f>
        <v>11.144846519474678</v>
      </c>
      <c r="AW125" s="430">
        <f>'BTX Recycling LC'!P373</f>
        <v>11.259355694897945</v>
      </c>
      <c r="AX125" s="430">
        <f>'BTX Recycling LC'!Q373</f>
        <v>11.346315589217603</v>
      </c>
      <c r="AY125" s="430">
        <f>'BTX Recycling LC'!R373</f>
        <v>11.404519195573947</v>
      </c>
      <c r="AZ125" s="430">
        <f>'BTX Recycling LC'!S373</f>
        <v>11.464852197319066</v>
      </c>
      <c r="BA125" s="430">
        <f>'BTX Recycling LC'!T373</f>
        <v>11.523335777775388</v>
      </c>
      <c r="BB125" s="430">
        <f>'BTX Recycling LC'!U373</f>
        <v>11.588480933925775</v>
      </c>
      <c r="BC125" s="430">
        <f>'BTX Recycling LC'!V373</f>
        <v>11.668700227185189</v>
      </c>
      <c r="BD125" s="430">
        <f>'BTX Recycling LC'!W373</f>
        <v>11.770423678592726</v>
      </c>
      <c r="BE125" s="430">
        <f>'BTX Recycling LC'!X373</f>
        <v>11.474620490864309</v>
      </c>
      <c r="BF125" s="430">
        <f>'BTX Recycling LC'!Y373</f>
        <v>11.224352781647557</v>
      </c>
      <c r="BG125" s="430">
        <f>'BTX Recycling LC'!Z373</f>
        <v>11.022260075097709</v>
      </c>
      <c r="BH125" s="430">
        <f>'BTX Recycling LC'!AA373</f>
        <v>10.862501936068803</v>
      </c>
      <c r="BI125" s="430">
        <f>'BTX Recycling LC'!AB373</f>
        <v>10.741116727969652</v>
      </c>
      <c r="BJ125" s="430">
        <f>'BTX Recycling LC'!AC373</f>
        <v>10.665085808379644</v>
      </c>
      <c r="BK125" s="430">
        <f>'BTX Recycling LC'!AD373</f>
        <v>10.621376766584065</v>
      </c>
      <c r="BL125" s="430">
        <f>'BTX Recycling LC'!AE373</f>
        <v>10.604213791077223</v>
      </c>
      <c r="BM125" s="430">
        <f>'BTX Recycling LC'!AF373</f>
        <v>10.609775383772899</v>
      </c>
      <c r="BN125" s="430">
        <f>'BTX Recycling LC'!AG373</f>
        <v>10.638845071243393</v>
      </c>
    </row>
    <row r="126" spans="1:67" s="428" customFormat="1" x14ac:dyDescent="0.2">
      <c r="A126" s="427" t="s">
        <v>234</v>
      </c>
      <c r="C126" s="431" t="s">
        <v>153</v>
      </c>
      <c r="D126" s="432">
        <f>'BTX Recycling HC'!C374</f>
        <v>53.295119039485314</v>
      </c>
      <c r="E126" s="432">
        <f>'BTX Recycling HC'!D374</f>
        <v>54.936072190642207</v>
      </c>
      <c r="F126" s="432">
        <f>'BTX Recycling HC'!E374</f>
        <v>56.265543838301411</v>
      </c>
      <c r="G126" s="432">
        <f>'BTX Recycling HC'!F374</f>
        <v>57.526795857554049</v>
      </c>
      <c r="H126" s="432">
        <f>'BTX Recycling HC'!G374</f>
        <v>58.65759305167618</v>
      </c>
      <c r="I126" s="432">
        <f>'BTX Recycling HC'!H374</f>
        <v>59.648884896740554</v>
      </c>
      <c r="J126" s="432">
        <f>'BTX Recycling HC'!I374</f>
        <v>59.998916198100829</v>
      </c>
      <c r="K126" s="432">
        <f>'BTX Recycling HC'!J374</f>
        <v>60.30300486349168</v>
      </c>
      <c r="L126" s="432">
        <f>'BTX Recycling HC'!K374</f>
        <v>60.559015730863266</v>
      </c>
      <c r="M126" s="432">
        <f>'BTX Recycling HC'!L374</f>
        <v>60.7640269932687</v>
      </c>
      <c r="N126" s="432">
        <f>'BTX Recycling HC'!M374</f>
        <v>60.913674253493355</v>
      </c>
      <c r="O126" s="432">
        <f>'BTX Recycling HC'!N374</f>
        <v>60.154628957126121</v>
      </c>
      <c r="P126" s="432">
        <f>'BTX Recycling HC'!O374</f>
        <v>59.235054264217119</v>
      </c>
      <c r="Q126" s="432">
        <f>'BTX Recycling HC'!P374</f>
        <v>58.145395147120581</v>
      </c>
      <c r="R126" s="432">
        <f>'BTX Recycling HC'!Q374</f>
        <v>56.897506272499335</v>
      </c>
      <c r="S126" s="432">
        <f>'BTX Recycling HC'!R374</f>
        <v>55.49904818923838</v>
      </c>
      <c r="T126" s="432">
        <f>'BTX Recycling HC'!S374</f>
        <v>54.226963765189097</v>
      </c>
      <c r="U126" s="432">
        <f>'BTX Recycling HC'!T374</f>
        <v>52.926225217458502</v>
      </c>
      <c r="V126" s="432">
        <f>'BTX Recycling HC'!U374</f>
        <v>51.610001487977513</v>
      </c>
      <c r="W126" s="432">
        <f>'BTX Recycling HC'!V374</f>
        <v>50.290111170192901</v>
      </c>
      <c r="X126" s="432">
        <f>'BTX Recycling HC'!W374</f>
        <v>48.974659027598811</v>
      </c>
      <c r="Y126" s="432">
        <f>'BTX Recycling HC'!X374</f>
        <v>47.264509897350436</v>
      </c>
      <c r="Z126" s="432">
        <f>'BTX Recycling HC'!Y374</f>
        <v>45.586295448903073</v>
      </c>
      <c r="AA126" s="432">
        <f>'BTX Recycling HC'!Z374</f>
        <v>43.915428038003235</v>
      </c>
      <c r="AB126" s="432">
        <f>'BTX Recycling HC'!AA374</f>
        <v>42.1912088918153</v>
      </c>
      <c r="AC126" s="432">
        <f>'BTX Recycling HC'!AB374</f>
        <v>40.455169599791112</v>
      </c>
      <c r="AD126" s="432">
        <f>'BTX Recycling HC'!AC374</f>
        <v>38.658888377033399</v>
      </c>
      <c r="AE126" s="432">
        <f>'BTX Recycling HC'!AD374</f>
        <v>36.878148924043643</v>
      </c>
      <c r="AF126" s="432">
        <f>'BTX Recycling HC'!AE374</f>
        <v>35.110791939750143</v>
      </c>
      <c r="AG126" s="432">
        <f>'BTX Recycling HC'!AF374</f>
        <v>33.358497202094931</v>
      </c>
      <c r="AH126" s="432">
        <f>'BTX Recycling HC'!AG374</f>
        <v>31.629571543195908</v>
      </c>
      <c r="AI126" s="64"/>
      <c r="AJ126" s="432">
        <f>'BTX Recycling LC'!C374</f>
        <v>53.295129778427295</v>
      </c>
      <c r="AK126" s="432">
        <f>'BTX Recycling LC'!D374</f>
        <v>54.9980328560437</v>
      </c>
      <c r="AL126" s="432">
        <f>'BTX Recycling LC'!E374</f>
        <v>56.418191760079154</v>
      </c>
      <c r="AM126" s="432">
        <f>'BTX Recycling LC'!F374</f>
        <v>57.763349012252149</v>
      </c>
      <c r="AN126" s="432">
        <f>'BTX Recycling LC'!G374</f>
        <v>58.982622985909011</v>
      </c>
      <c r="AO126" s="432">
        <f>'BTX Recycling LC'!H374</f>
        <v>60.066554550293013</v>
      </c>
      <c r="AP126" s="432">
        <f>'BTX Recycling LC'!I374</f>
        <v>60.842245582340716</v>
      </c>
      <c r="AQ126" s="432">
        <f>'BTX Recycling LC'!J374</f>
        <v>61.594558022869784</v>
      </c>
      <c r="AR126" s="432">
        <f>'BTX Recycling LC'!K374</f>
        <v>62.3220187804734</v>
      </c>
      <c r="AS126" s="432">
        <f>'BTX Recycling LC'!L374</f>
        <v>63.022643698055774</v>
      </c>
      <c r="AT126" s="432">
        <f>'BTX Recycling LC'!M374</f>
        <v>63.693491118309197</v>
      </c>
      <c r="AU126" s="432">
        <f>'BTX Recycling LC'!N374</f>
        <v>63.601137792134885</v>
      </c>
      <c r="AV126" s="432">
        <f>'BTX Recycling LC'!O374</f>
        <v>63.374414580648242</v>
      </c>
      <c r="AW126" s="432">
        <f>'BTX Recycling LC'!P374</f>
        <v>63.010015756185851</v>
      </c>
      <c r="AX126" s="432">
        <f>'BTX Recycling LC'!Q374</f>
        <v>62.508101868698418</v>
      </c>
      <c r="AY126" s="432">
        <f>'BTX Recycling LC'!R374</f>
        <v>61.870747463055196</v>
      </c>
      <c r="AZ126" s="432">
        <f>'BTX Recycling LC'!S374</f>
        <v>61.285302008314183</v>
      </c>
      <c r="BA126" s="432">
        <f>'BTX Recycling LC'!T374</f>
        <v>60.685271941441194</v>
      </c>
      <c r="BB126" s="432">
        <f>'BTX Recycling LC'!U374</f>
        <v>60.079555465172596</v>
      </c>
      <c r="BC126" s="432">
        <f>'BTX Recycling LC'!V374</f>
        <v>59.47696369200716</v>
      </c>
      <c r="BD126" s="432">
        <f>'BTX Recycling LC'!W374</f>
        <v>58.884336247798117</v>
      </c>
      <c r="BE126" s="432">
        <f>'BTX Recycling LC'!X374</f>
        <v>57.881132906525913</v>
      </c>
      <c r="BF126" s="432">
        <f>'BTX Recycling LC'!Y374</f>
        <v>56.913267020897393</v>
      </c>
      <c r="BG126" s="432">
        <f>'BTX Recycling LC'!Z374</f>
        <v>55.97817336516448</v>
      </c>
      <c r="BH126" s="432">
        <f>'BTX Recycling LC'!AA374</f>
        <v>55.075923756927423</v>
      </c>
      <c r="BI126" s="432">
        <f>'BTX Recycling LC'!AB374</f>
        <v>54.202997889449641</v>
      </c>
      <c r="BJ126" s="432">
        <f>'BTX Recycling LC'!AC374</f>
        <v>53.334664937245243</v>
      </c>
      <c r="BK126" s="432">
        <f>'BTX Recycling LC'!AD374</f>
        <v>52.491003052605727</v>
      </c>
      <c r="BL126" s="432">
        <f>'BTX Recycling LC'!AE374</f>
        <v>51.666703380470928</v>
      </c>
      <c r="BM126" s="432">
        <f>'BTX Recycling LC'!AF374</f>
        <v>50.858418665477892</v>
      </c>
      <c r="BN126" s="432">
        <f>'BTX Recycling LC'!AG374</f>
        <v>50.067413610501859</v>
      </c>
    </row>
    <row r="128" spans="1:67" s="104" customFormat="1" x14ac:dyDescent="0.2">
      <c r="A128" s="102" t="s">
        <v>232</v>
      </c>
      <c r="B128" s="102"/>
      <c r="C128" s="103" t="s">
        <v>153</v>
      </c>
      <c r="D128" s="105">
        <f>D121</f>
        <v>116.10916156271568</v>
      </c>
      <c r="E128" s="105">
        <f t="shared" ref="E128:AH128" si="151">E121</f>
        <v>117.08637101180086</v>
      </c>
      <c r="F128" s="105">
        <f t="shared" si="151"/>
        <v>117.68905622861095</v>
      </c>
      <c r="G128" s="105">
        <f t="shared" si="151"/>
        <v>118.39576730789221</v>
      </c>
      <c r="H128" s="105">
        <f t="shared" si="151"/>
        <v>119.11368331782866</v>
      </c>
      <c r="I128" s="105">
        <f t="shared" si="151"/>
        <v>119.84568941597838</v>
      </c>
      <c r="J128" s="105">
        <f t="shared" si="151"/>
        <v>119.57965395343311</v>
      </c>
      <c r="K128" s="105">
        <f t="shared" si="151"/>
        <v>119.29159539123974</v>
      </c>
      <c r="L128" s="105">
        <f t="shared" si="151"/>
        <v>118.98108640418819</v>
      </c>
      <c r="M128" s="105">
        <f t="shared" si="151"/>
        <v>118.64689485838539</v>
      </c>
      <c r="N128" s="105">
        <f t="shared" si="151"/>
        <v>118.286324104454</v>
      </c>
      <c r="O128" s="105">
        <f t="shared" si="151"/>
        <v>115.91307286914403</v>
      </c>
      <c r="P128" s="105">
        <f t="shared" si="151"/>
        <v>113.50878896535838</v>
      </c>
      <c r="Q128" s="105">
        <f t="shared" si="151"/>
        <v>111.07491381494381</v>
      </c>
      <c r="R128" s="105">
        <f t="shared" si="151"/>
        <v>108.61214895638885</v>
      </c>
      <c r="S128" s="105">
        <f t="shared" si="151"/>
        <v>106.12602929052134</v>
      </c>
      <c r="T128" s="105">
        <f t="shared" si="151"/>
        <v>103.5124446225215</v>
      </c>
      <c r="U128" s="105">
        <f t="shared" si="151"/>
        <v>100.86348325839992</v>
      </c>
      <c r="V128" s="105">
        <f t="shared" si="151"/>
        <v>98.192511952556856</v>
      </c>
      <c r="W128" s="105">
        <f t="shared" si="151"/>
        <v>95.511573929070821</v>
      </c>
      <c r="X128" s="105">
        <f t="shared" si="151"/>
        <v>92.829030020739651</v>
      </c>
      <c r="Y128" s="105">
        <f t="shared" si="151"/>
        <v>89.003252281675245</v>
      </c>
      <c r="Z128" s="105">
        <f t="shared" si="151"/>
        <v>85.205024441991895</v>
      </c>
      <c r="AA128" s="105">
        <f t="shared" si="151"/>
        <v>81.440346841010623</v>
      </c>
      <c r="AB128" s="105">
        <f t="shared" si="151"/>
        <v>77.62042825601992</v>
      </c>
      <c r="AC128" s="105">
        <f t="shared" si="151"/>
        <v>73.78749156670429</v>
      </c>
      <c r="AD128" s="105">
        <f t="shared" si="151"/>
        <v>69.836412513180491</v>
      </c>
      <c r="AE128" s="105">
        <f t="shared" si="151"/>
        <v>65.905721590972348</v>
      </c>
      <c r="AF128" s="105">
        <f t="shared" si="151"/>
        <v>61.994301033918006</v>
      </c>
      <c r="AG128" s="105">
        <f t="shared" si="151"/>
        <v>58.104986908720257</v>
      </c>
      <c r="AH128" s="105">
        <f t="shared" si="151"/>
        <v>54.247371070216388</v>
      </c>
      <c r="AI128" s="193"/>
      <c r="AJ128" s="105">
        <f>AJ121</f>
        <v>116.10917230165767</v>
      </c>
      <c r="AK128" s="105">
        <f t="shared" ref="AK128:BN128" si="152">AK121</f>
        <v>117.72056823732149</v>
      </c>
      <c r="AL128" s="105">
        <f t="shared" si="152"/>
        <v>119.02152368605861</v>
      </c>
      <c r="AM128" s="105">
        <f t="shared" si="152"/>
        <v>120.43271961126052</v>
      </c>
      <c r="AN128" s="105">
        <f t="shared" si="152"/>
        <v>121.88175257897319</v>
      </c>
      <c r="AO128" s="105">
        <f t="shared" si="152"/>
        <v>123.37242350038511</v>
      </c>
      <c r="AP128" s="105">
        <f t="shared" si="152"/>
        <v>123.87239029215155</v>
      </c>
      <c r="AQ128" s="105">
        <f t="shared" si="152"/>
        <v>124.37192993150566</v>
      </c>
      <c r="AR128" s="105">
        <f t="shared" si="152"/>
        <v>124.8714947668884</v>
      </c>
      <c r="AS128" s="105">
        <f t="shared" si="152"/>
        <v>125.37105227761187</v>
      </c>
      <c r="AT128" s="105">
        <f t="shared" si="152"/>
        <v>125.86963678348047</v>
      </c>
      <c r="AU128" s="105">
        <f t="shared" si="152"/>
        <v>124.48480747915002</v>
      </c>
      <c r="AV128" s="105">
        <f t="shared" si="152"/>
        <v>123.09379254279369</v>
      </c>
      <c r="AW128" s="105">
        <f t="shared" si="152"/>
        <v>121.69918644871927</v>
      </c>
      <c r="AX128" s="105">
        <f t="shared" si="152"/>
        <v>120.30180145848001</v>
      </c>
      <c r="AY128" s="105">
        <f t="shared" si="152"/>
        <v>118.90549117711727</v>
      </c>
      <c r="AZ128" s="105">
        <f t="shared" si="152"/>
        <v>117.40129507158903</v>
      </c>
      <c r="BA128" s="105">
        <f t="shared" si="152"/>
        <v>115.87914377316967</v>
      </c>
      <c r="BB128" s="105">
        <f t="shared" si="152"/>
        <v>114.34830780663884</v>
      </c>
      <c r="BC128" s="105">
        <f t="shared" si="152"/>
        <v>112.81800772811317</v>
      </c>
      <c r="BD128" s="105">
        <f t="shared" si="152"/>
        <v>111.2955346025104</v>
      </c>
      <c r="BE128" s="105">
        <f t="shared" si="152"/>
        <v>108.65854714998228</v>
      </c>
      <c r="BF128" s="105">
        <f t="shared" si="152"/>
        <v>106.05233980928087</v>
      </c>
      <c r="BG128" s="105">
        <f t="shared" si="152"/>
        <v>103.48455976707275</v>
      </c>
      <c r="BH128" s="105">
        <f t="shared" si="152"/>
        <v>100.94696791244803</v>
      </c>
      <c r="BI128" s="105">
        <f t="shared" si="152"/>
        <v>98.436856783945188</v>
      </c>
      <c r="BJ128" s="105">
        <f t="shared" si="152"/>
        <v>95.7967898330879</v>
      </c>
      <c r="BK128" s="105">
        <f t="shared" si="152"/>
        <v>93.18256166218066</v>
      </c>
      <c r="BL128" s="105">
        <f t="shared" si="152"/>
        <v>90.590001922377496</v>
      </c>
      <c r="BM128" s="105">
        <f t="shared" si="152"/>
        <v>88.017026229320649</v>
      </c>
      <c r="BN128" s="105">
        <f t="shared" si="152"/>
        <v>85.466300735494599</v>
      </c>
    </row>
    <row r="129" spans="1:67" s="67" customFormat="1" x14ac:dyDescent="0.2">
      <c r="A129" s="681"/>
      <c r="B129" s="58" t="s">
        <v>7</v>
      </c>
      <c r="C129" s="59" t="s">
        <v>153</v>
      </c>
      <c r="D129" s="60">
        <f>D$128*'Yearly Demand - BTX'!$C16</f>
        <v>51.832289605000035</v>
      </c>
      <c r="E129" s="60">
        <f>E$128*'Yearly Demand - BTX'!$C16</f>
        <v>52.268525664997476</v>
      </c>
      <c r="F129" s="60">
        <f>F$128*'Yearly Demand - BTX'!$C16</f>
        <v>52.537570366362232</v>
      </c>
      <c r="G129" s="60">
        <f>G$128*'Yearly Demand - BTX'!$C16</f>
        <v>52.853053251910268</v>
      </c>
      <c r="H129" s="60">
        <f>H$128*'Yearly Demand - BTX'!$C16</f>
        <v>53.173538130435482</v>
      </c>
      <c r="I129" s="60">
        <f>I$128*'Yearly Demand - BTX'!$C16</f>
        <v>53.500312965093372</v>
      </c>
      <c r="J129" s="60">
        <f>J$128*'Yearly Demand - BTX'!$C16</f>
        <v>53.381552077026853</v>
      </c>
      <c r="K129" s="60">
        <f>K$128*'Yearly Demand - BTX'!$C16</f>
        <v>53.252959857275599</v>
      </c>
      <c r="L129" s="60">
        <f>L$128*'Yearly Demand - BTX'!$C16</f>
        <v>53.114345543597018</v>
      </c>
      <c r="M129" s="60">
        <f>M$128*'Yearly Demand - BTX'!$C16</f>
        <v>52.965159099112732</v>
      </c>
      <c r="N129" s="60">
        <f>N$128*'Yearly Demand - BTX'!$C16</f>
        <v>52.804196712602256</v>
      </c>
      <c r="O129" s="60">
        <f>O$128*'Yearly Demand - BTX'!$C16</f>
        <v>51.744753653343174</v>
      </c>
      <c r="P129" s="60">
        <f>P$128*'Yearly Demand - BTX'!$C16</f>
        <v>50.671457300872788</v>
      </c>
      <c r="Q129" s="60">
        <f>Q$128*'Yearly Demand - BTX'!$C16</f>
        <v>49.584951120302705</v>
      </c>
      <c r="R129" s="60">
        <f>R$128*'Yearly Demand - BTX'!$C16</f>
        <v>48.48554828542229</v>
      </c>
      <c r="S129" s="60">
        <f>S$128*'Yearly Demand - BTX'!$C16</f>
        <v>47.375719631252508</v>
      </c>
      <c r="T129" s="60">
        <f>T$128*'Yearly Demand - BTX'!$C16</f>
        <v>46.208989326807206</v>
      </c>
      <c r="U129" s="60">
        <f>U$128*'Yearly Demand - BTX'!$C16</f>
        <v>45.026466511814327</v>
      </c>
      <c r="V129" s="60">
        <f>V$128*'Yearly Demand - BTX'!$C16</f>
        <v>43.834118238966589</v>
      </c>
      <c r="W129" s="60">
        <f>W$128*'Yearly Demand - BTX'!$C16</f>
        <v>42.637320723799569</v>
      </c>
      <c r="X129" s="60">
        <f>X$128*'Yearly Demand - BTX'!$C16</f>
        <v>41.439806325595541</v>
      </c>
      <c r="Y129" s="60">
        <f>Y$128*'Yearly Demand - BTX'!$C16</f>
        <v>39.731940924910177</v>
      </c>
      <c r="Z129" s="60">
        <f>Z$128*'Yearly Demand - BTX'!$C16</f>
        <v>38.036374074520836</v>
      </c>
      <c r="AA129" s="60">
        <f>AA$128*'Yearly Demand - BTX'!$C16</f>
        <v>36.355784385841375</v>
      </c>
      <c r="AB129" s="60">
        <f>AB$128*'Yearly Demand - BTX'!$C16</f>
        <v>34.650534570065084</v>
      </c>
      <c r="AC129" s="60">
        <f>AC$128*'Yearly Demand - BTX'!$C16</f>
        <v>32.939473342472574</v>
      </c>
      <c r="AD129" s="60">
        <f>AD$128*'Yearly Demand - BTX'!$C16</f>
        <v>31.175672183303259</v>
      </c>
      <c r="AE129" s="60">
        <f>AE$128*'Yearly Demand - BTX'!$C16</f>
        <v>29.420972489622415</v>
      </c>
      <c r="AF129" s="60">
        <f>AF$128*'Yearly Demand - BTX'!$C16</f>
        <v>27.674875279449353</v>
      </c>
      <c r="AG129" s="60">
        <f>AG$128*'Yearly Demand - BTX'!$C16</f>
        <v>25.938646601291357</v>
      </c>
      <c r="AH129" s="60">
        <f>AH$128*'Yearly Demand - BTX'!$C16</f>
        <v>24.216568354966526</v>
      </c>
      <c r="AJ129" s="60">
        <f>AJ$128*'Yearly Demand - BTX'!$C16</f>
        <v>51.832294398971015</v>
      </c>
      <c r="AK129" s="60">
        <f>AK$128*'Yearly Demand - BTX'!$C16</f>
        <v>52.551637641842788</v>
      </c>
      <c r="AL129" s="60">
        <f>AL$128*'Yearly Demand - BTX'!$C16</f>
        <v>53.132397150176011</v>
      </c>
      <c r="AM129" s="60">
        <f>AM$128*'Yearly Demand - BTX'!$C16</f>
        <v>53.762369108460739</v>
      </c>
      <c r="AN129" s="60">
        <f>AN$128*'Yearly Demand - BTX'!$C16</f>
        <v>54.409231900498966</v>
      </c>
      <c r="AO129" s="60">
        <f>AO$128*'Yearly Demand - BTX'!$C16</f>
        <v>55.074682291014796</v>
      </c>
      <c r="AP129" s="60">
        <f>AP$128*'Yearly Demand - BTX'!$C16</f>
        <v>55.29787246132468</v>
      </c>
      <c r="AQ129" s="60">
        <f>AQ$128*'Yearly Demand - BTX'!$C16</f>
        <v>55.520871946530626</v>
      </c>
      <c r="AR129" s="60">
        <f>AR$128*'Yearly Demand - BTX'!$C16</f>
        <v>55.743882679495449</v>
      </c>
      <c r="AS129" s="60">
        <f>AS$128*'Yearly Demand - BTX'!$C16</f>
        <v>55.966890142659203</v>
      </c>
      <c r="AT129" s="60">
        <f>AT$128*'Yearly Demand - BTX'!$C16</f>
        <v>56.189463246735826</v>
      </c>
      <c r="AU129" s="60">
        <f>AU$128*'Yearly Demand - BTX'!$C16</f>
        <v>55.571261611399962</v>
      </c>
      <c r="AV129" s="60">
        <f>AV$128*'Yearly Demand - BTX'!$C16</f>
        <v>54.950298648135792</v>
      </c>
      <c r="AW129" s="60">
        <f>AW$128*'Yearly Demand - BTX'!$C16</f>
        <v>54.327732556192061</v>
      </c>
      <c r="AX129" s="60">
        <f>AX$128*'Yearly Demand - BTX'!$C16</f>
        <v>53.7039259372403</v>
      </c>
      <c r="AY129" s="60">
        <f>AY$128*'Yearly Demand - BTX'!$C16</f>
        <v>53.080599079066921</v>
      </c>
      <c r="AZ129" s="60">
        <f>AZ$128*'Yearly Demand - BTX'!$C16</f>
        <v>52.409110911250465</v>
      </c>
      <c r="BA129" s="60">
        <f>BA$128*'Yearly Demand - BTX'!$C16</f>
        <v>51.729607365962323</v>
      </c>
      <c r="BB129" s="60">
        <f>BB$128*'Yearly Demand - BTX'!$C16</f>
        <v>51.046226898072909</v>
      </c>
      <c r="BC129" s="60">
        <f>BC$128*'Yearly Demand - BTX'!$C16</f>
        <v>50.363085655942307</v>
      </c>
      <c r="BD129" s="60">
        <f>BD$128*'Yearly Demand - BTX'!$C16</f>
        <v>49.683438443784567</v>
      </c>
      <c r="BE129" s="60">
        <f>BE$128*'Yearly Demand - BTX'!$C16</f>
        <v>48.50626090254152</v>
      </c>
      <c r="BF129" s="60">
        <f>BF$128*'Yearly Demand - BTX'!$C16</f>
        <v>47.342823910698748</v>
      </c>
      <c r="BG129" s="60">
        <f>BG$128*'Yearly Demand - BTX'!$C16</f>
        <v>46.196541248776498</v>
      </c>
      <c r="BH129" s="60">
        <f>BH$128*'Yearly Demand - BTX'!$C16</f>
        <v>45.063734895359218</v>
      </c>
      <c r="BI129" s="60">
        <f>BI$128*'Yearly Demand - BTX'!$C16</f>
        <v>43.94319621260405</v>
      </c>
      <c r="BJ129" s="60">
        <f>BJ$128*'Yearly Demand - BTX'!$C16</f>
        <v>42.764643952543928</v>
      </c>
      <c r="BK129" s="60">
        <f>BK$128*'Yearly Demand - BTX'!$C16</f>
        <v>41.597626381972432</v>
      </c>
      <c r="BL129" s="60">
        <f>BL$128*'Yearly Demand - BTX'!$C16</f>
        <v>40.440281815504626</v>
      </c>
      <c r="BM129" s="60">
        <f>BM$128*'Yearly Demand - BTX'!$C16</f>
        <v>39.291679763141062</v>
      </c>
      <c r="BN129" s="60">
        <f>BN$128*'Yearly Demand - BTX'!$C16</f>
        <v>38.153010421984582</v>
      </c>
    </row>
    <row r="130" spans="1:67" x14ac:dyDescent="0.2">
      <c r="A130" s="682"/>
      <c r="B130" s="1" t="s">
        <v>8</v>
      </c>
      <c r="C130" s="54" t="s">
        <v>153</v>
      </c>
      <c r="D130" s="44">
        <f>D$128*'Yearly Demand - BTX'!$C17</f>
        <v>14.015257795291385</v>
      </c>
      <c r="E130" s="44">
        <f>E$128*'Yearly Demand - BTX'!$C17</f>
        <v>14.133214398927056</v>
      </c>
      <c r="F130" s="44">
        <f>F$128*'Yearly Demand - BTX'!$C17</f>
        <v>14.205963082745964</v>
      </c>
      <c r="G130" s="44">
        <f>G$128*'Yearly Demand - BTX'!$C17</f>
        <v>14.291268478372006</v>
      </c>
      <c r="H130" s="44">
        <f>H$128*'Yearly Demand - BTX'!$C17</f>
        <v>14.377926394243627</v>
      </c>
      <c r="I130" s="44">
        <f>I$128*'Yearly Demand - BTX'!$C17</f>
        <v>14.466285090794479</v>
      </c>
      <c r="J130" s="44">
        <f>J$128*'Yearly Demand - BTX'!$C17</f>
        <v>14.434172589592343</v>
      </c>
      <c r="K130" s="44">
        <f>K$128*'Yearly Demand - BTX'!$C17</f>
        <v>14.399401732969626</v>
      </c>
      <c r="L130" s="44">
        <f>L$128*'Yearly Demand - BTX'!$C17</f>
        <v>14.361920939527399</v>
      </c>
      <c r="M130" s="44">
        <f>M$128*'Yearly Demand - BTX'!$C17</f>
        <v>14.321581481345168</v>
      </c>
      <c r="N130" s="44">
        <f>N$128*'Yearly Demand - BTX'!$C17</f>
        <v>14.278057852358652</v>
      </c>
      <c r="O130" s="44">
        <f>O$128*'Yearly Demand - BTX'!$C17</f>
        <v>13.991588400437783</v>
      </c>
      <c r="P130" s="44">
        <f>P$128*'Yearly Demand - BTX'!$C17</f>
        <v>13.701373069699867</v>
      </c>
      <c r="Q130" s="44">
        <f>Q$128*'Yearly Demand - BTX'!$C17</f>
        <v>13.40758585071122</v>
      </c>
      <c r="R130" s="44">
        <f>R$128*'Yearly Demand - BTX'!$C17</f>
        <v>13.110311424496469</v>
      </c>
      <c r="S130" s="44">
        <f>S$128*'Yearly Demand - BTX'!$C17</f>
        <v>12.810217895630048</v>
      </c>
      <c r="T130" s="44">
        <f>T$128*'Yearly Demand - BTX'!$C17</f>
        <v>12.494738372749735</v>
      </c>
      <c r="U130" s="44">
        <f>U$128*'Yearly Demand - BTX'!$C17</f>
        <v>12.174988613917161</v>
      </c>
      <c r="V130" s="44">
        <f>V$128*'Yearly Demand - BTX'!$C17</f>
        <v>11.852582087925699</v>
      </c>
      <c r="W130" s="44">
        <f>W$128*'Yearly Demand - BTX'!$C17</f>
        <v>11.528972503405011</v>
      </c>
      <c r="X130" s="44">
        <f>X$128*'Yearly Demand - BTX'!$C17</f>
        <v>11.205169076384808</v>
      </c>
      <c r="Y130" s="44">
        <f>Y$128*'Yearly Demand - BTX'!$C17</f>
        <v>10.743368641700654</v>
      </c>
      <c r="Z130" s="44">
        <f>Z$128*'Yearly Demand - BTX'!$C17</f>
        <v>10.284893689147825</v>
      </c>
      <c r="AA130" s="44">
        <f>AA$128*'Yearly Demand - BTX'!$C17</f>
        <v>9.8304685052624698</v>
      </c>
      <c r="AB130" s="44">
        <f>AB$128*'Yearly Demand - BTX'!$C17</f>
        <v>9.3693753149826335</v>
      </c>
      <c r="AC130" s="44">
        <f>AC$128*'Yearly Demand - BTX'!$C17</f>
        <v>8.9067107406219534</v>
      </c>
      <c r="AD130" s="44">
        <f>AD$128*'Yearly Demand - BTX'!$C17</f>
        <v>8.4297854854619541</v>
      </c>
      <c r="AE130" s="44">
        <f>AE$128*'Yearly Demand - BTX'!$C17</f>
        <v>7.9553212326251748</v>
      </c>
      <c r="AF130" s="44">
        <f>AF$128*'Yearly Demand - BTX'!$C17</f>
        <v>7.4831830592450457</v>
      </c>
      <c r="AG130" s="44">
        <f>AG$128*'Yearly Demand - BTX'!$C17</f>
        <v>7.013713300116077</v>
      </c>
      <c r="AH130" s="44">
        <f>AH$128*'Yearly Demand - BTX'!$C17</f>
        <v>6.548069764979294</v>
      </c>
      <c r="AI130" s="54" t="s">
        <v>235</v>
      </c>
      <c r="AJ130" s="44">
        <f>AJ$128*'Yearly Demand - BTX'!$C17</f>
        <v>14.015259091563257</v>
      </c>
      <c r="AK130" s="44">
        <f>AK$128*'Yearly Demand - BTX'!$C17</f>
        <v>14.209766821570545</v>
      </c>
      <c r="AL130" s="44">
        <f>AL$128*'Yearly Demand - BTX'!$C17</f>
        <v>14.36680202662102</v>
      </c>
      <c r="AM130" s="44">
        <f>AM$128*'Yearly Demand - BTX'!$C17</f>
        <v>14.537144094595444</v>
      </c>
      <c r="AN130" s="44">
        <f>AN$128*'Yearly Demand - BTX'!$C17</f>
        <v>14.712053381020699</v>
      </c>
      <c r="AO130" s="44">
        <f>AO$128*'Yearly Demand - BTX'!$C17</f>
        <v>14.89198868474992</v>
      </c>
      <c r="AP130" s="44">
        <f>AP$128*'Yearly Demand - BTX'!$C17</f>
        <v>14.952338474390823</v>
      </c>
      <c r="AQ130" s="44">
        <f>AQ$128*'Yearly Demand - BTX'!$C17</f>
        <v>15.012636703490799</v>
      </c>
      <c r="AR130" s="44">
        <f>AR$128*'Yearly Demand - BTX'!$C17</f>
        <v>15.072937973942826</v>
      </c>
      <c r="AS130" s="44">
        <f>AS$128*'Yearly Demand - BTX'!$C17</f>
        <v>15.133238360252838</v>
      </c>
      <c r="AT130" s="44">
        <f>AT$128*'Yearly Demand - BTX'!$C17</f>
        <v>15.193421297485678</v>
      </c>
      <c r="AU130" s="44">
        <f>AU$128*'Yearly Demand - BTX'!$C17</f>
        <v>15.026261880937984</v>
      </c>
      <c r="AV130" s="44">
        <f>AV$128*'Yearly Demand - BTX'!$C17</f>
        <v>14.858355811617137</v>
      </c>
      <c r="AW130" s="44">
        <f>AW$128*'Yearly Demand - BTX'!$C17</f>
        <v>14.690016262280372</v>
      </c>
      <c r="AX130" s="44">
        <f>AX$128*'Yearly Demand - BTX'!$C17</f>
        <v>14.521341279067308</v>
      </c>
      <c r="AY130" s="44">
        <f>AY$128*'Yearly Demand - BTX'!$C17</f>
        <v>14.352796021379401</v>
      </c>
      <c r="AZ130" s="44">
        <f>AZ$128*'Yearly Demand - BTX'!$C17</f>
        <v>14.171228125186605</v>
      </c>
      <c r="BA130" s="44">
        <f>BA$128*'Yearly Demand - BTX'!$C17</f>
        <v>13.98749290081965</v>
      </c>
      <c r="BB130" s="44">
        <f>BB$128*'Yearly Demand - BTX'!$C17</f>
        <v>13.802709371040693</v>
      </c>
      <c r="BC130" s="44">
        <f>BC$128*'Yearly Demand - BTX'!$C17</f>
        <v>13.617990527014703</v>
      </c>
      <c r="BD130" s="44">
        <f>BD$128*'Yearly Demand - BTX'!$C17</f>
        <v>13.434216455662026</v>
      </c>
      <c r="BE130" s="44">
        <f>BE$128*'Yearly Demand - BTX'!$C17</f>
        <v>13.115912038915656</v>
      </c>
      <c r="BF130" s="44">
        <f>BF$128*'Yearly Demand - BTX'!$C17</f>
        <v>12.801323015480314</v>
      </c>
      <c r="BG130" s="44">
        <f>BG$128*'Yearly Demand - BTX'!$C17</f>
        <v>12.491372458876629</v>
      </c>
      <c r="BH130" s="44">
        <f>BH$128*'Yearly Demand - BTX'!$C17</f>
        <v>12.185065845831396</v>
      </c>
      <c r="BI130" s="44">
        <f>BI$128*'Yearly Demand - BTX'!$C17</f>
        <v>11.882076365179648</v>
      </c>
      <c r="BJ130" s="44">
        <f>BJ$128*'Yearly Demand - BTX'!$C17</f>
        <v>11.563400229592297</v>
      </c>
      <c r="BK130" s="44">
        <f>BK$128*'Yearly Demand - BTX'!$C17</f>
        <v>11.247843031022848</v>
      </c>
      <c r="BL130" s="44">
        <f>BL$128*'Yearly Demand - BTX'!$C17</f>
        <v>10.934901376686566</v>
      </c>
      <c r="BM130" s="44">
        <f>BM$128*'Yearly Demand - BTX'!$C17</f>
        <v>10.624323665557956</v>
      </c>
      <c r="BN130" s="44">
        <f>BN$128*'Yearly Demand - BTX'!$C17</f>
        <v>10.316431722494666</v>
      </c>
      <c r="BO130" s="54" t="s">
        <v>235</v>
      </c>
    </row>
    <row r="131" spans="1:67" s="68" customFormat="1" x14ac:dyDescent="0.2">
      <c r="A131" s="683"/>
      <c r="B131" s="62" t="s">
        <v>166</v>
      </c>
      <c r="C131" s="283" t="s">
        <v>153</v>
      </c>
      <c r="D131" s="284">
        <f>D$128*SUM('Yearly Demand - BTX'!$C18,'Yearly Demand - BTX'!$C19,'Yearly Demand - BTX'!$C20)</f>
        <v>50.26161416242428</v>
      </c>
      <c r="E131" s="284">
        <f>E$128*SUM('Yearly Demand - BTX'!$C18,'Yearly Demand - BTX'!$C19,'Yearly Demand - BTX'!$C20)</f>
        <v>50.684630947876343</v>
      </c>
      <c r="F131" s="284">
        <f>F$128*SUM('Yearly Demand - BTX'!$C18,'Yearly Demand - BTX'!$C19,'Yearly Demand - BTX'!$C20)</f>
        <v>50.945522779502767</v>
      </c>
      <c r="G131" s="284">
        <f>G$128*SUM('Yearly Demand - BTX'!$C18,'Yearly Demand - BTX'!$C19,'Yearly Demand - BTX'!$C20)</f>
        <v>51.251445577609957</v>
      </c>
      <c r="H131" s="284">
        <f>H$128*SUM('Yearly Demand - BTX'!$C18,'Yearly Demand - BTX'!$C19,'Yearly Demand - BTX'!$C20)</f>
        <v>51.562218793149562</v>
      </c>
      <c r="I131" s="284">
        <f>I$128*SUM('Yearly Demand - BTX'!$C18,'Yearly Demand - BTX'!$C19,'Yearly Demand - BTX'!$C20)</f>
        <v>51.879091360090548</v>
      </c>
      <c r="J131" s="284">
        <f>J$128*SUM('Yearly Demand - BTX'!$C18,'Yearly Demand - BTX'!$C19,'Yearly Demand - BTX'!$C20)</f>
        <v>51.763929286813919</v>
      </c>
      <c r="K131" s="284">
        <f>K$128*SUM('Yearly Demand - BTX'!$C18,'Yearly Demand - BTX'!$C19,'Yearly Demand - BTX'!$C20)</f>
        <v>51.639233800994525</v>
      </c>
      <c r="L131" s="284">
        <f>L$128*SUM('Yearly Demand - BTX'!$C18,'Yearly Demand - BTX'!$C19,'Yearly Demand - BTX'!$C20)</f>
        <v>51.504819921063778</v>
      </c>
      <c r="M131" s="284">
        <f>M$128*SUM('Yearly Demand - BTX'!$C18,'Yearly Demand - BTX'!$C19,'Yearly Demand - BTX'!$C20)</f>
        <v>51.360154277927499</v>
      </c>
      <c r="N131" s="284">
        <f>N$128*SUM('Yearly Demand - BTX'!$C18,'Yearly Demand - BTX'!$C19,'Yearly Demand - BTX'!$C20)</f>
        <v>51.204069539493098</v>
      </c>
      <c r="O131" s="284">
        <f>O$128*SUM('Yearly Demand - BTX'!$C18,'Yearly Demand - BTX'!$C19,'Yearly Demand - BTX'!$C20)</f>
        <v>50.176730815363086</v>
      </c>
      <c r="P131" s="284">
        <f>P$128*SUM('Yearly Demand - BTX'!$C18,'Yearly Demand - BTX'!$C19,'Yearly Demand - BTX'!$C20)</f>
        <v>49.135958594785734</v>
      </c>
      <c r="Q131" s="284">
        <f>Q$128*SUM('Yearly Demand - BTX'!$C18,'Yearly Demand - BTX'!$C19,'Yearly Demand - BTX'!$C20)</f>
        <v>48.0823768439299</v>
      </c>
      <c r="R131" s="284">
        <f>R$128*SUM('Yearly Demand - BTX'!$C18,'Yearly Demand - BTX'!$C19,'Yearly Demand - BTX'!$C20)</f>
        <v>47.016289246470102</v>
      </c>
      <c r="S131" s="284">
        <f>S$128*SUM('Yearly Demand - BTX'!$C18,'Yearly Demand - BTX'!$C19,'Yearly Demand - BTX'!$C20)</f>
        <v>45.940091763638797</v>
      </c>
      <c r="T131" s="284">
        <f>T$128*SUM('Yearly Demand - BTX'!$C18,'Yearly Demand - BTX'!$C19,'Yearly Demand - BTX'!$C20)</f>
        <v>44.808716922964564</v>
      </c>
      <c r="U131" s="284">
        <f>U$128*SUM('Yearly Demand - BTX'!$C18,'Yearly Demand - BTX'!$C19,'Yearly Demand - BTX'!$C20)</f>
        <v>43.662028132668446</v>
      </c>
      <c r="V131" s="284">
        <f>V$128*SUM('Yearly Demand - BTX'!$C18,'Yearly Demand - BTX'!$C19,'Yearly Demand - BTX'!$C20)</f>
        <v>42.505811625664577</v>
      </c>
      <c r="W131" s="284">
        <f>W$128*SUM('Yearly Demand - BTX'!$C18,'Yearly Demand - BTX'!$C19,'Yearly Demand - BTX'!$C20)</f>
        <v>41.345280701866251</v>
      </c>
      <c r="X131" s="284">
        <f>X$128*SUM('Yearly Demand - BTX'!$C18,'Yearly Demand - BTX'!$C19,'Yearly Demand - BTX'!$C20)</f>
        <v>40.184054618759312</v>
      </c>
      <c r="Y131" s="284">
        <f>Y$128*SUM('Yearly Demand - BTX'!$C18,'Yearly Demand - BTX'!$C19,'Yearly Demand - BTX'!$C20)</f>
        <v>38.52794271506442</v>
      </c>
      <c r="Z131" s="284">
        <f>Z$128*SUM('Yearly Demand - BTX'!$C18,'Yearly Demand - BTX'!$C19,'Yearly Demand - BTX'!$C20)</f>
        <v>36.883756678323238</v>
      </c>
      <c r="AA131" s="284">
        <f>AA$128*SUM('Yearly Demand - BTX'!$C18,'Yearly Demand - BTX'!$C19,'Yearly Demand - BTX'!$C20)</f>
        <v>35.254093949906789</v>
      </c>
      <c r="AB131" s="284">
        <f>AB$128*SUM('Yearly Demand - BTX'!$C18,'Yearly Demand - BTX'!$C19,'Yearly Demand - BTX'!$C20)</f>
        <v>33.60051837097221</v>
      </c>
      <c r="AC131" s="284">
        <f>AC$128*SUM('Yearly Demand - BTX'!$C18,'Yearly Demand - BTX'!$C19,'Yearly Demand - BTX'!$C20)</f>
        <v>31.941307483609769</v>
      </c>
      <c r="AD131" s="284">
        <f>AD$128*SUM('Yearly Demand - BTX'!$C18,'Yearly Demand - BTX'!$C19,'Yearly Demand - BTX'!$C20)</f>
        <v>30.230954844415283</v>
      </c>
      <c r="AE131" s="284">
        <f>AE$128*SUM('Yearly Demand - BTX'!$C18,'Yearly Demand - BTX'!$C19,'Yearly Demand - BTX'!$C20)</f>
        <v>28.529427868724767</v>
      </c>
      <c r="AF131" s="284">
        <f>AF$128*SUM('Yearly Demand - BTX'!$C18,'Yearly Demand - BTX'!$C19,'Yearly Demand - BTX'!$C20)</f>
        <v>26.836242695223614</v>
      </c>
      <c r="AG131" s="284">
        <f>AG$128*SUM('Yearly Demand - BTX'!$C18,'Yearly Demand - BTX'!$C19,'Yearly Demand - BTX'!$C20)</f>
        <v>25.15262700731283</v>
      </c>
      <c r="AH131" s="284">
        <f>AH$128*SUM('Yearly Demand - BTX'!$C18,'Yearly Demand - BTX'!$C19,'Yearly Demand - BTX'!$C20)</f>
        <v>23.482732950270574</v>
      </c>
      <c r="AI131" s="284"/>
      <c r="AJ131" s="284">
        <f>AJ$128*SUM('Yearly Demand - BTX'!$C18,'Yearly Demand - BTX'!$C19,'Yearly Demand - BTX'!$C20)</f>
        <v>50.261618811123405</v>
      </c>
      <c r="AK131" s="284">
        <f>AK$128*SUM('Yearly Demand - BTX'!$C18,'Yearly Demand - BTX'!$C19,'Yearly Demand - BTX'!$C20)</f>
        <v>50.959163773908166</v>
      </c>
      <c r="AL131" s="284">
        <f>AL$128*SUM('Yearly Demand - BTX'!$C18,'Yearly Demand - BTX'!$C19,'Yearly Demand - BTX'!$C20)</f>
        <v>51.522324509261594</v>
      </c>
      <c r="AM131" s="284">
        <f>AM$128*SUM('Yearly Demand - BTX'!$C18,'Yearly Demand - BTX'!$C19,'Yearly Demand - BTX'!$C20)</f>
        <v>52.133206408204352</v>
      </c>
      <c r="AN131" s="284">
        <f>AN$128*SUM('Yearly Demand - BTX'!$C18,'Yearly Demand - BTX'!$C19,'Yearly Demand - BTX'!$C20)</f>
        <v>52.760467297453545</v>
      </c>
      <c r="AO131" s="284">
        <f>AO$128*SUM('Yearly Demand - BTX'!$C18,'Yearly Demand - BTX'!$C19,'Yearly Demand - BTX'!$C20)</f>
        <v>53.405752524620411</v>
      </c>
      <c r="AP131" s="284">
        <f>AP$128*SUM('Yearly Demand - BTX'!$C18,'Yearly Demand - BTX'!$C19,'Yearly Demand - BTX'!$C20)</f>
        <v>53.622179356436057</v>
      </c>
      <c r="AQ131" s="284">
        <f>AQ$128*SUM('Yearly Demand - BTX'!$C18,'Yearly Demand - BTX'!$C19,'Yearly Demand - BTX'!$C20)</f>
        <v>53.838421281484244</v>
      </c>
      <c r="AR131" s="284">
        <f>AR$128*SUM('Yearly Demand - BTX'!$C18,'Yearly Demand - BTX'!$C19,'Yearly Demand - BTX'!$C20)</f>
        <v>54.05467411345014</v>
      </c>
      <c r="AS131" s="284">
        <f>AS$128*SUM('Yearly Demand - BTX'!$C18,'Yearly Demand - BTX'!$C19,'Yearly Demand - BTX'!$C20)</f>
        <v>54.270923774699838</v>
      </c>
      <c r="AT131" s="284">
        <f>AT$128*SUM('Yearly Demand - BTX'!$C18,'Yearly Demand - BTX'!$C19,'Yearly Demand - BTX'!$C20)</f>
        <v>54.486752239258983</v>
      </c>
      <c r="AU131" s="284">
        <f>AU$128*SUM('Yearly Demand - BTX'!$C18,'Yearly Demand - BTX'!$C19,'Yearly Demand - BTX'!$C20)</f>
        <v>53.887283986812086</v>
      </c>
      <c r="AV131" s="284">
        <f>AV$128*SUM('Yearly Demand - BTX'!$C18,'Yearly Demand - BTX'!$C19,'Yearly Demand - BTX'!$C20)</f>
        <v>53.285138083040771</v>
      </c>
      <c r="AW131" s="284">
        <f>AW$128*SUM('Yearly Demand - BTX'!$C18,'Yearly Demand - BTX'!$C19,'Yearly Demand - BTX'!$C20)</f>
        <v>52.681437630246855</v>
      </c>
      <c r="AX131" s="284">
        <f>AX$128*SUM('Yearly Demand - BTX'!$C18,'Yearly Demand - BTX'!$C19,'Yearly Demand - BTX'!$C20)</f>
        <v>52.076534242172414</v>
      </c>
      <c r="AY131" s="284">
        <f>AY$128*SUM('Yearly Demand - BTX'!$C18,'Yearly Demand - BTX'!$C19,'Yearly Demand - BTX'!$C20)</f>
        <v>51.472096076670958</v>
      </c>
      <c r="AZ131" s="284">
        <f>AZ$128*SUM('Yearly Demand - BTX'!$C18,'Yearly Demand - BTX'!$C19,'Yearly Demand - BTX'!$C20)</f>
        <v>50.820956035151973</v>
      </c>
      <c r="BA131" s="284">
        <f>BA$128*SUM('Yearly Demand - BTX'!$C18,'Yearly Demand - BTX'!$C19,'Yearly Demand - BTX'!$C20)</f>
        <v>50.162043506387711</v>
      </c>
      <c r="BB131" s="284">
        <f>BB$128*SUM('Yearly Demand - BTX'!$C18,'Yearly Demand - BTX'!$C19,'Yearly Demand - BTX'!$C20)</f>
        <v>49.499371537525249</v>
      </c>
      <c r="BC131" s="284">
        <f>BC$128*SUM('Yearly Demand - BTX'!$C18,'Yearly Demand - BTX'!$C19,'Yearly Demand - BTX'!$C20)</f>
        <v>48.836931545156176</v>
      </c>
      <c r="BD131" s="284">
        <f>BD$128*SUM('Yearly Demand - BTX'!$C18,'Yearly Demand - BTX'!$C19,'Yearly Demand - BTX'!$C20)</f>
        <v>48.177879703063823</v>
      </c>
      <c r="BE131" s="284">
        <f>BE$128*SUM('Yearly Demand - BTX'!$C18,'Yearly Demand - BTX'!$C19,'Yearly Demand - BTX'!$C20)</f>
        <v>47.036374208525118</v>
      </c>
      <c r="BF131" s="284">
        <f>BF$128*SUM('Yearly Demand - BTX'!$C18,'Yearly Demand - BTX'!$C19,'Yearly Demand - BTX'!$C20)</f>
        <v>45.908192883101819</v>
      </c>
      <c r="BG131" s="284">
        <f>BG$128*SUM('Yearly Demand - BTX'!$C18,'Yearly Demand - BTX'!$C19,'Yearly Demand - BTX'!$C20)</f>
        <v>44.796646059419636</v>
      </c>
      <c r="BH131" s="284">
        <f>BH$128*SUM('Yearly Demand - BTX'!$C18,'Yearly Demand - BTX'!$C19,'Yearly Demand - BTX'!$C20)</f>
        <v>43.698167171257424</v>
      </c>
      <c r="BI131" s="284">
        <f>BI$128*SUM('Yearly Demand - BTX'!$C18,'Yearly Demand - BTX'!$C19,'Yearly Demand - BTX'!$C20)</f>
        <v>42.611584206161503</v>
      </c>
      <c r="BJ131" s="284">
        <f>BJ$128*SUM('Yearly Demand - BTX'!$C18,'Yearly Demand - BTX'!$C19,'Yearly Demand - BTX'!$C20)</f>
        <v>41.468745650951689</v>
      </c>
      <c r="BK131" s="284">
        <f>BK$128*SUM('Yearly Demand - BTX'!$C18,'Yearly Demand - BTX'!$C19,'Yearly Demand - BTX'!$C20)</f>
        <v>40.337092249185389</v>
      </c>
      <c r="BL131" s="284">
        <f>BL$128*SUM('Yearly Demand - BTX'!$C18,'Yearly Demand - BTX'!$C19,'Yearly Demand - BTX'!$C20)</f>
        <v>39.214818730186309</v>
      </c>
      <c r="BM131" s="284">
        <f>BM$128*SUM('Yearly Demand - BTX'!$C18,'Yearly Demand - BTX'!$C19,'Yearly Demand - BTX'!$C20)</f>
        <v>38.101022800621635</v>
      </c>
      <c r="BN131" s="284">
        <f>BN$128*SUM('Yearly Demand - BTX'!$C18,'Yearly Demand - BTX'!$C19,'Yearly Demand - BTX'!$C20)</f>
        <v>36.996858591015354</v>
      </c>
    </row>
  </sheetData>
  <mergeCells count="19">
    <mergeCell ref="D1:AH1"/>
    <mergeCell ref="AJ1:BN1"/>
    <mergeCell ref="A5:A7"/>
    <mergeCell ref="A13:A15"/>
    <mergeCell ref="A24:A26"/>
    <mergeCell ref="A101:A103"/>
    <mergeCell ref="A110:A112"/>
    <mergeCell ref="A116:A118"/>
    <mergeCell ref="A129:A131"/>
    <mergeCell ref="A35:A37"/>
    <mergeCell ref="A122:A124"/>
    <mergeCell ref="A42:A44"/>
    <mergeCell ref="A51:A53"/>
    <mergeCell ref="A58:A60"/>
    <mergeCell ref="A64:A66"/>
    <mergeCell ref="A71:A73"/>
    <mergeCell ref="A79:A81"/>
    <mergeCell ref="A85:A87"/>
    <mergeCell ref="A92:A94"/>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146A8-9693-4D43-80E3-538E00E2E060}">
  <sheetPr>
    <tabColor theme="9"/>
  </sheetPr>
  <dimension ref="A1:CJ78"/>
  <sheetViews>
    <sheetView zoomScale="90" zoomScaleNormal="90" workbookViewId="0">
      <pane xSplit="3" ySplit="3" topLeftCell="D4" activePane="bottomRight" state="frozen"/>
      <selection pane="topRight" activeCell="D1" sqref="D1"/>
      <selection pane="bottomLeft" activeCell="A4" sqref="A4"/>
      <selection pane="bottomRight" activeCell="B20" sqref="B20"/>
    </sheetView>
  </sheetViews>
  <sheetFormatPr baseColWidth="10" defaultColWidth="8.83203125" defaultRowHeight="15" outlineLevelRow="2" outlineLevelCol="1" x14ac:dyDescent="0.2"/>
  <cols>
    <col min="1" max="1" width="42.5" style="1" customWidth="1"/>
    <col min="2" max="2" width="26.5" style="1" customWidth="1"/>
    <col min="3" max="3" width="10.83203125" customWidth="1"/>
    <col min="4" max="4" width="18.83203125" customWidth="1"/>
    <col min="5" max="6" width="8.83203125" hidden="1" customWidth="1" outlineLevel="1"/>
    <col min="7" max="7" width="11.1640625" hidden="1" customWidth="1" outlineLevel="1"/>
    <col min="8" max="8" width="8.83203125" hidden="1" customWidth="1" outlineLevel="1"/>
    <col min="9" max="9" width="9.5" hidden="1" customWidth="1" outlineLevel="1"/>
    <col min="10" max="13" width="8.83203125" hidden="1" customWidth="1" outlineLevel="1"/>
    <col min="14" max="14" width="8.83203125" customWidth="1" collapsed="1"/>
    <col min="15" max="15" width="11.5" hidden="1" customWidth="1" outlineLevel="1"/>
    <col min="16" max="23" width="8.83203125" hidden="1" customWidth="1" outlineLevel="1"/>
    <col min="24" max="24" width="8.6640625" collapsed="1"/>
    <col min="25" max="25" width="7.1640625" hidden="1" customWidth="1" outlineLevel="1"/>
    <col min="26" max="33" width="8.83203125" hidden="1" customWidth="1" outlineLevel="1"/>
    <col min="34" max="34" width="8.6640625" collapsed="1"/>
    <col min="35" max="35" width="16.5" bestFit="1" customWidth="1"/>
    <col min="36" max="36" width="18.83203125" customWidth="1"/>
    <col min="37" max="38" width="8.83203125" hidden="1" customWidth="1" outlineLevel="1"/>
    <col min="39" max="39" width="11.1640625" hidden="1" customWidth="1" outlineLevel="1"/>
    <col min="40" max="40" width="8.83203125" hidden="1" customWidth="1" outlineLevel="1"/>
    <col min="41" max="41" width="9.5" hidden="1" customWidth="1" outlineLevel="1"/>
    <col min="42" max="45" width="8.83203125" hidden="1" customWidth="1" outlineLevel="1"/>
    <col min="46" max="46" width="8.83203125" customWidth="1" collapsed="1"/>
    <col min="47" max="47" width="11.5" hidden="1" customWidth="1" outlineLevel="1"/>
    <col min="48" max="55" width="8.83203125" hidden="1" customWidth="1" outlineLevel="1"/>
    <col min="56" max="56" width="11.5" bestFit="1" customWidth="1" collapsed="1"/>
    <col min="57" max="57" width="7.1640625" hidden="1" customWidth="1" outlineLevel="1"/>
    <col min="58" max="65" width="8.83203125" hidden="1" customWidth="1" outlineLevel="1"/>
    <col min="66" max="66" width="11.5" bestFit="1" customWidth="1" collapsed="1"/>
    <col min="67" max="68" width="8.83203125" bestFit="1" customWidth="1"/>
    <col min="69" max="69" width="27" customWidth="1"/>
    <col min="70" max="70" width="37.5" bestFit="1" customWidth="1"/>
    <col min="71" max="97" width="8.83203125" bestFit="1" customWidth="1"/>
  </cols>
  <sheetData>
    <row r="1" spans="1:88" x14ac:dyDescent="0.2">
      <c r="D1" s="684" t="s">
        <v>64</v>
      </c>
      <c r="E1" s="684"/>
      <c r="F1" s="684"/>
      <c r="G1" s="684"/>
      <c r="H1" s="684"/>
      <c r="I1" s="684"/>
      <c r="J1" s="684"/>
      <c r="K1" s="684"/>
      <c r="L1" s="684"/>
      <c r="M1" s="684"/>
      <c r="N1" s="684"/>
      <c r="O1" s="684"/>
      <c r="P1" s="684"/>
      <c r="Q1" s="684"/>
      <c r="R1" s="684"/>
      <c r="S1" s="684"/>
      <c r="T1" s="684"/>
      <c r="U1" s="684"/>
      <c r="V1" s="684"/>
      <c r="W1" s="684"/>
      <c r="X1" s="684"/>
      <c r="Y1" s="684"/>
      <c r="Z1" s="684"/>
      <c r="AA1" s="684"/>
      <c r="AB1" s="684"/>
      <c r="AC1" s="684"/>
      <c r="AD1" s="684"/>
      <c r="AE1" s="684"/>
      <c r="AF1" s="684"/>
      <c r="AG1" s="684"/>
      <c r="AH1" s="684"/>
      <c r="AJ1" s="684" t="s">
        <v>65</v>
      </c>
      <c r="AK1" s="684"/>
      <c r="AL1" s="684"/>
      <c r="AM1" s="684"/>
      <c r="AN1" s="684"/>
      <c r="AO1" s="684"/>
      <c r="AP1" s="684"/>
      <c r="AQ1" s="684"/>
      <c r="AR1" s="684"/>
      <c r="AS1" s="684"/>
      <c r="AT1" s="684"/>
      <c r="AU1" s="684"/>
      <c r="AV1" s="684"/>
      <c r="AW1" s="684"/>
      <c r="AX1" s="684"/>
      <c r="AY1" s="684"/>
      <c r="AZ1" s="684"/>
      <c r="BA1" s="684"/>
      <c r="BB1" s="684"/>
      <c r="BC1" s="684"/>
      <c r="BD1" s="684"/>
      <c r="BE1" s="684"/>
      <c r="BF1" s="684"/>
      <c r="BG1" s="684"/>
      <c r="BH1" s="684"/>
      <c r="BI1" s="684"/>
      <c r="BJ1" s="684"/>
      <c r="BK1" s="684"/>
      <c r="BL1" s="684"/>
      <c r="BM1" s="684"/>
      <c r="BN1" s="684"/>
    </row>
    <row r="2" spans="1:88" s="53" customFormat="1" x14ac:dyDescent="0.2">
      <c r="A2" s="52" t="s">
        <v>236</v>
      </c>
      <c r="B2" s="52"/>
      <c r="C2" s="52"/>
      <c r="AI2"/>
    </row>
    <row r="3" spans="1:88" s="1" customFormat="1" ht="16" thickBot="1" x14ac:dyDescent="0.25">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c r="AJ3" s="1">
        <v>2020</v>
      </c>
      <c r="AK3" s="1">
        <f>AJ3+1</f>
        <v>2021</v>
      </c>
      <c r="AL3" s="1">
        <f t="shared" ref="AL3:AW3" si="1">AK3+1</f>
        <v>2022</v>
      </c>
      <c r="AM3" s="1">
        <f t="shared" si="1"/>
        <v>2023</v>
      </c>
      <c r="AN3" s="1">
        <f t="shared" si="1"/>
        <v>2024</v>
      </c>
      <c r="AO3" s="1">
        <f t="shared" si="1"/>
        <v>2025</v>
      </c>
      <c r="AP3" s="1">
        <f t="shared" si="1"/>
        <v>2026</v>
      </c>
      <c r="AQ3" s="1">
        <f t="shared" si="1"/>
        <v>2027</v>
      </c>
      <c r="AR3" s="1">
        <f t="shared" si="1"/>
        <v>2028</v>
      </c>
      <c r="AS3" s="1">
        <f t="shared" si="1"/>
        <v>2029</v>
      </c>
      <c r="AT3" s="1">
        <f t="shared" si="1"/>
        <v>2030</v>
      </c>
      <c r="AU3" s="1">
        <f t="shared" si="1"/>
        <v>2031</v>
      </c>
      <c r="AV3" s="1">
        <f t="shared" si="1"/>
        <v>2032</v>
      </c>
      <c r="AW3" s="1">
        <f t="shared" si="1"/>
        <v>2033</v>
      </c>
      <c r="AX3" s="1">
        <f>AW3+1</f>
        <v>2034</v>
      </c>
      <c r="AY3" s="1">
        <f t="shared" ref="AY3:BH3" si="2">AX3+1</f>
        <v>2035</v>
      </c>
      <c r="AZ3" s="1">
        <f t="shared" si="2"/>
        <v>2036</v>
      </c>
      <c r="BA3" s="1">
        <f t="shared" si="2"/>
        <v>2037</v>
      </c>
      <c r="BB3" s="1">
        <f t="shared" si="2"/>
        <v>2038</v>
      </c>
      <c r="BC3" s="1">
        <f t="shared" si="2"/>
        <v>2039</v>
      </c>
      <c r="BD3" s="1">
        <f t="shared" si="2"/>
        <v>2040</v>
      </c>
      <c r="BE3" s="1">
        <f t="shared" si="2"/>
        <v>2041</v>
      </c>
      <c r="BF3" s="1">
        <f t="shared" si="2"/>
        <v>2042</v>
      </c>
      <c r="BG3" s="1">
        <f t="shared" si="2"/>
        <v>2043</v>
      </c>
      <c r="BH3" s="1">
        <f t="shared" si="2"/>
        <v>2044</v>
      </c>
      <c r="BI3" s="1">
        <f>BH3+1</f>
        <v>2045</v>
      </c>
      <c r="BJ3" s="1">
        <f t="shared" ref="BJ3:BL3" si="3">BI3+1</f>
        <v>2046</v>
      </c>
      <c r="BK3" s="1">
        <f t="shared" si="3"/>
        <v>2047</v>
      </c>
      <c r="BL3" s="1">
        <f t="shared" si="3"/>
        <v>2048</v>
      </c>
      <c r="BM3" s="1">
        <f>BL3+1</f>
        <v>2049</v>
      </c>
      <c r="BN3" s="1">
        <f t="shared" ref="BN3" si="4">BM3+1</f>
        <v>2050</v>
      </c>
    </row>
    <row r="4" spans="1:88" s="554" customFormat="1" x14ac:dyDescent="0.2">
      <c r="A4" s="550" t="s">
        <v>237</v>
      </c>
      <c r="B4" s="551"/>
      <c r="C4" s="552" t="s">
        <v>153</v>
      </c>
      <c r="D4" s="553">
        <f>'Yearly Demand - C4'!O5</f>
        <v>14.947368421052632</v>
      </c>
      <c r="E4" s="553">
        <f>'Yearly Demand - C4'!P5</f>
        <v>15.331407031113367</v>
      </c>
      <c r="F4" s="553">
        <f>'Yearly Demand - C4'!Q5</f>
        <v>15.725312639154138</v>
      </c>
      <c r="G4" s="553">
        <f>'Yearly Demand - C4'!R5</f>
        <v>16.129338755229892</v>
      </c>
      <c r="H4" s="553">
        <f>'Yearly Demand - C4'!S5</f>
        <v>16.543745402759424</v>
      </c>
      <c r="I4" s="553">
        <f>'Yearly Demand - C4'!T5</f>
        <v>16.968799285871444</v>
      </c>
      <c r="J4" s="553">
        <f>'Yearly Demand - C4'!U5</f>
        <v>17.381667623855559</v>
      </c>
      <c r="K4" s="553">
        <f>'Yearly Demand - C4'!V5</f>
        <v>17.804581473112339</v>
      </c>
      <c r="L4" s="553">
        <f>'Yearly Demand - C4'!W5</f>
        <v>18.237785251262231</v>
      </c>
      <c r="M4" s="553">
        <f>'Yearly Demand - C4'!X5</f>
        <v>18.681529322857759</v>
      </c>
      <c r="N4" s="553">
        <f>'Yearly Demand - C4'!Y5</f>
        <v>19.136070144078495</v>
      </c>
      <c r="O4" s="553">
        <f>'Yearly Demand - C4'!Z5</f>
        <v>19.545918749372461</v>
      </c>
      <c r="P4" s="553">
        <f>'Yearly Demand - C4'!AA5</f>
        <v>19.964545326214225</v>
      </c>
      <c r="Q4" s="553">
        <f>'Yearly Demand - C4'!AB5</f>
        <v>20.392137877645641</v>
      </c>
      <c r="R4" s="553">
        <f>'Yearly Demand - C4'!AC5</f>
        <v>20.82888843328162</v>
      </c>
      <c r="S4" s="553">
        <f>'Yearly Demand - C4'!AD5</f>
        <v>21.274993135549639</v>
      </c>
      <c r="T4" s="553">
        <f>'Yearly Demand - C4'!AE5</f>
        <v>21.525497628002075</v>
      </c>
      <c r="U4" s="553">
        <f>'Yearly Demand - C4'!AF5</f>
        <v>21.778951710160086</v>
      </c>
      <c r="V4" s="553">
        <f>'Yearly Demand - C4'!AG5</f>
        <v>22.035390112256838</v>
      </c>
      <c r="W4" s="553">
        <f>'Yearly Demand - C4'!AH5</f>
        <v>22.29484797346003</v>
      </c>
      <c r="X4" s="553">
        <f>'Yearly Demand - C4'!AI5</f>
        <v>22.557360846686933</v>
      </c>
      <c r="Y4" s="553">
        <f>'Yearly Demand - C4'!AJ5</f>
        <v>22.802623116794138</v>
      </c>
      <c r="Z4" s="553">
        <f>'Yearly Demand - C4'!AK5</f>
        <v>23.050552081003854</v>
      </c>
      <c r="AA4" s="553">
        <f>'Yearly Demand - C4'!AL5</f>
        <v>23.301176733818313</v>
      </c>
      <c r="AB4" s="553">
        <f>'Yearly Demand - C4'!AM5</f>
        <v>23.554526384991924</v>
      </c>
      <c r="AC4" s="553">
        <f>'Yearly Demand - C4'!AN5</f>
        <v>23.810630662958982</v>
      </c>
      <c r="AD4" s="553">
        <f>'Yearly Demand - C4'!AO5</f>
        <v>24.054451507660676</v>
      </c>
      <c r="AE4" s="553">
        <f>'Yearly Demand - C4'!AP5</f>
        <v>24.300769077676058</v>
      </c>
      <c r="AF4" s="553">
        <f>'Yearly Demand - C4'!AQ5</f>
        <v>24.549608939470946</v>
      </c>
      <c r="AG4" s="553">
        <f>'Yearly Demand - C4'!AR5</f>
        <v>24.800996921311754</v>
      </c>
      <c r="AH4" s="553">
        <f>'Yearly Demand - C4'!AS5</f>
        <v>25.054959115946328</v>
      </c>
      <c r="AJ4" s="553">
        <f>D4</f>
        <v>14.947368421052632</v>
      </c>
      <c r="AK4" s="553">
        <f t="shared" ref="AK4:AZ4" si="5">E4</f>
        <v>15.331407031113367</v>
      </c>
      <c r="AL4" s="553">
        <f t="shared" si="5"/>
        <v>15.725312639154138</v>
      </c>
      <c r="AM4" s="553">
        <f t="shared" si="5"/>
        <v>16.129338755229892</v>
      </c>
      <c r="AN4" s="553">
        <f t="shared" si="5"/>
        <v>16.543745402759424</v>
      </c>
      <c r="AO4" s="553">
        <f t="shared" si="5"/>
        <v>16.968799285871444</v>
      </c>
      <c r="AP4" s="553">
        <f t="shared" si="5"/>
        <v>17.381667623855559</v>
      </c>
      <c r="AQ4" s="553">
        <f t="shared" si="5"/>
        <v>17.804581473112339</v>
      </c>
      <c r="AR4" s="553">
        <f t="shared" si="5"/>
        <v>18.237785251262231</v>
      </c>
      <c r="AS4" s="553">
        <f t="shared" si="5"/>
        <v>18.681529322857759</v>
      </c>
      <c r="AT4" s="553">
        <f t="shared" si="5"/>
        <v>19.136070144078495</v>
      </c>
      <c r="AU4" s="553">
        <f t="shared" si="5"/>
        <v>19.545918749372461</v>
      </c>
      <c r="AV4" s="553">
        <f t="shared" si="5"/>
        <v>19.964545326214225</v>
      </c>
      <c r="AW4" s="553">
        <f t="shared" si="5"/>
        <v>20.392137877645641</v>
      </c>
      <c r="AX4" s="553">
        <f t="shared" si="5"/>
        <v>20.82888843328162</v>
      </c>
      <c r="AY4" s="553">
        <f t="shared" si="5"/>
        <v>21.274993135549639</v>
      </c>
      <c r="AZ4" s="553">
        <f t="shared" si="5"/>
        <v>21.525497628002075</v>
      </c>
      <c r="BA4" s="553">
        <f t="shared" ref="BA4:BN4" si="6">U4</f>
        <v>21.778951710160086</v>
      </c>
      <c r="BB4" s="553">
        <f t="shared" si="6"/>
        <v>22.035390112256838</v>
      </c>
      <c r="BC4" s="553">
        <f t="shared" si="6"/>
        <v>22.29484797346003</v>
      </c>
      <c r="BD4" s="553">
        <f t="shared" si="6"/>
        <v>22.557360846686933</v>
      </c>
      <c r="BE4" s="553">
        <f t="shared" si="6"/>
        <v>22.802623116794138</v>
      </c>
      <c r="BF4" s="553">
        <f t="shared" si="6"/>
        <v>23.050552081003854</v>
      </c>
      <c r="BG4" s="553">
        <f t="shared" si="6"/>
        <v>23.301176733818313</v>
      </c>
      <c r="BH4" s="553">
        <f t="shared" si="6"/>
        <v>23.554526384991924</v>
      </c>
      <c r="BI4" s="553">
        <f t="shared" si="6"/>
        <v>23.810630662958982</v>
      </c>
      <c r="BJ4" s="553">
        <f t="shared" si="6"/>
        <v>24.054451507660676</v>
      </c>
      <c r="BK4" s="553">
        <f t="shared" si="6"/>
        <v>24.300769077676058</v>
      </c>
      <c r="BL4" s="553">
        <f t="shared" si="6"/>
        <v>24.549608939470946</v>
      </c>
      <c r="BM4" s="553">
        <f t="shared" si="6"/>
        <v>24.800996921311754</v>
      </c>
      <c r="BN4" s="553">
        <f t="shared" si="6"/>
        <v>25.054959115946328</v>
      </c>
    </row>
    <row r="5" spans="1:88" x14ac:dyDescent="0.2">
      <c r="C5" s="54"/>
      <c r="BY5" s="30" t="s">
        <v>168</v>
      </c>
      <c r="BZ5" s="543"/>
      <c r="CA5" s="544"/>
      <c r="CB5" s="541"/>
      <c r="CD5" s="543"/>
      <c r="CE5" s="545">
        <f>-BN7+AH11-AH15</f>
        <v>-6.7417911762692704</v>
      </c>
      <c r="CF5" s="546">
        <f>-AH21</f>
        <v>-3.6033295020104349E-2</v>
      </c>
      <c r="CG5" s="540">
        <f>-AH27</f>
        <v>-1.5809619425196451</v>
      </c>
      <c r="CH5" s="546">
        <f>-AH37</f>
        <v>-1.4047702093197456</v>
      </c>
      <c r="CJ5" s="543"/>
    </row>
    <row r="6" spans="1:88" outlineLevel="1" x14ac:dyDescent="0.2">
      <c r="A6" s="58" t="s">
        <v>169</v>
      </c>
      <c r="B6" s="58" t="s">
        <v>170</v>
      </c>
      <c r="C6" s="67"/>
      <c r="D6" s="60">
        <v>0</v>
      </c>
      <c r="E6" s="60">
        <f>$D$6*(1+'Demand Breakdown - C4'!$K$28)^(E3-$D$3)</f>
        <v>0</v>
      </c>
      <c r="F6" s="60">
        <f>$D$6*(1+'Demand Breakdown - C4'!$K$28)^(F3-$D$3)</f>
        <v>0</v>
      </c>
      <c r="G6" s="60">
        <f>$D$6*(1+'Demand Breakdown - C4'!$K$28)^(G3-$D$3)</f>
        <v>0</v>
      </c>
      <c r="H6" s="60">
        <f>$D$6*(1+'Demand Breakdown - C4'!$K$28)^(H3-$D$3)</f>
        <v>0</v>
      </c>
      <c r="I6" s="60">
        <f>$D$6*(1+'Demand Breakdown - C4'!$K$28)^(I3-$D$3)</f>
        <v>0</v>
      </c>
      <c r="J6" s="60">
        <f>$D$6*(1+'Demand Breakdown - C4'!$K$28)^(J3-$D$3)</f>
        <v>0</v>
      </c>
      <c r="K6" s="60">
        <f>$D$6*(1+'Demand Breakdown - C4'!$K$28)^(K3-$D$3)</f>
        <v>0</v>
      </c>
      <c r="L6" s="60">
        <f>$D$6*(1+'Demand Breakdown - C4'!$K$28)^(L3-$D$3)</f>
        <v>0</v>
      </c>
      <c r="M6" s="60">
        <f>$D$6*(1+'Demand Breakdown - C4'!$K$28)^(M3-$D$3)</f>
        <v>0</v>
      </c>
      <c r="N6" s="60">
        <f>$D$6*(1+'Demand Breakdown - C4'!$K$28)^(N3-$D$3)</f>
        <v>0</v>
      </c>
      <c r="O6" s="60">
        <f>$D$6*(1+'Demand Breakdown - C4'!$K$28)^(O3-$D$3)</f>
        <v>0</v>
      </c>
      <c r="P6" s="60">
        <f>$D$6*(1+'Demand Breakdown - C4'!$K$28)^(P3-$D$3)</f>
        <v>0</v>
      </c>
      <c r="Q6" s="60">
        <f>$D$6*(1+'Demand Breakdown - C4'!$K$28)^(Q3-$D$3)</f>
        <v>0</v>
      </c>
      <c r="R6" s="60">
        <f>$D$6*(1+'Demand Breakdown - C4'!$K$28)^(R3-$D$3)</f>
        <v>0</v>
      </c>
      <c r="S6" s="60">
        <f>$D$6*(1+'Demand Breakdown - C4'!$K$28)^(S3-$D$3)</f>
        <v>0</v>
      </c>
      <c r="T6" s="60">
        <f>$D$6*(1+'Demand Breakdown - C4'!$K$28)^(T3-$D$3)</f>
        <v>0</v>
      </c>
      <c r="U6" s="60">
        <f>$D$6*(1+'Demand Breakdown - C4'!$K$28)^(U3-$D$3)</f>
        <v>0</v>
      </c>
      <c r="V6" s="60">
        <f>$D$6*(1+'Demand Breakdown - C4'!$K$28)^(V3-$D$3)</f>
        <v>0</v>
      </c>
      <c r="W6" s="60">
        <f>$D$6*(1+'Demand Breakdown - C4'!$K$28)^(W3-$D$3)</f>
        <v>0</v>
      </c>
      <c r="X6" s="60">
        <f>$D$6*(1+'Demand Breakdown - C4'!$K$28)^(X3-$D$3)</f>
        <v>0</v>
      </c>
      <c r="Y6" s="60">
        <f>$D$6*(1+'Demand Breakdown - C4'!$K$28)^(Y3-$D$3)</f>
        <v>0</v>
      </c>
      <c r="Z6" s="60">
        <f>$D$6*(1+'Demand Breakdown - C4'!$K$28)^(Z3-$D$3)</f>
        <v>0</v>
      </c>
      <c r="AA6" s="60">
        <f>$D$6*(1+'Demand Breakdown - C4'!$K$28)^(AA3-$D$3)</f>
        <v>0</v>
      </c>
      <c r="AB6" s="60">
        <f>$D$6*(1+'Demand Breakdown - C4'!$K$28)^(AB3-$D$3)</f>
        <v>0</v>
      </c>
      <c r="AC6" s="60">
        <f>$D$6*(1+'Demand Breakdown - C4'!$K$28)^(AC3-$D$3)</f>
        <v>0</v>
      </c>
      <c r="AD6" s="60">
        <f>$D$6*(1+'Demand Breakdown - C4'!$K$28)^(AD3-$D$3)</f>
        <v>0</v>
      </c>
      <c r="AE6" s="60">
        <f>$D$6*(1+'Demand Breakdown - C4'!$K$28)^(AE3-$D$3)</f>
        <v>0</v>
      </c>
      <c r="AF6" s="60">
        <f>$D$6*(1+'Demand Breakdown - C4'!$K$28)^(AF3-$D$3)</f>
        <v>0</v>
      </c>
      <c r="AG6" s="60">
        <f>$D$6*(1+'Demand Breakdown - C4'!$K$28)^(AG3-$D$3)</f>
        <v>0</v>
      </c>
      <c r="AH6" s="60">
        <f>$D$6*(1+'Demand Breakdown - C4'!$K$28)^(AH3-$D$3)</f>
        <v>0</v>
      </c>
      <c r="AJ6" s="60">
        <f t="shared" ref="AJ6:AY10" si="7">D6</f>
        <v>0</v>
      </c>
      <c r="AK6" s="60">
        <f t="shared" si="7"/>
        <v>0</v>
      </c>
      <c r="AL6" s="60">
        <f t="shared" si="7"/>
        <v>0</v>
      </c>
      <c r="AM6" s="60">
        <f t="shared" si="7"/>
        <v>0</v>
      </c>
      <c r="AN6" s="60">
        <f t="shared" si="7"/>
        <v>0</v>
      </c>
      <c r="AO6" s="60">
        <f t="shared" si="7"/>
        <v>0</v>
      </c>
      <c r="AP6" s="60">
        <f t="shared" si="7"/>
        <v>0</v>
      </c>
      <c r="AQ6" s="60">
        <f t="shared" si="7"/>
        <v>0</v>
      </c>
      <c r="AR6" s="60">
        <f t="shared" si="7"/>
        <v>0</v>
      </c>
      <c r="AS6" s="60">
        <f t="shared" si="7"/>
        <v>0</v>
      </c>
      <c r="AT6" s="60">
        <f t="shared" si="7"/>
        <v>0</v>
      </c>
      <c r="AU6" s="60">
        <f t="shared" si="7"/>
        <v>0</v>
      </c>
      <c r="AV6" s="60">
        <f t="shared" si="7"/>
        <v>0</v>
      </c>
      <c r="AW6" s="60">
        <f t="shared" si="7"/>
        <v>0</v>
      </c>
      <c r="AX6" s="60">
        <f t="shared" si="7"/>
        <v>0</v>
      </c>
      <c r="AY6" s="60">
        <f t="shared" si="7"/>
        <v>0</v>
      </c>
      <c r="AZ6" s="60">
        <f t="shared" ref="AZ6:BN10" si="8">T6</f>
        <v>0</v>
      </c>
      <c r="BA6" s="60">
        <f t="shared" si="8"/>
        <v>0</v>
      </c>
      <c r="BB6" s="60">
        <f t="shared" si="8"/>
        <v>0</v>
      </c>
      <c r="BC6" s="60">
        <f t="shared" si="8"/>
        <v>0</v>
      </c>
      <c r="BD6" s="60">
        <f t="shared" si="8"/>
        <v>0</v>
      </c>
      <c r="BE6" s="60">
        <f t="shared" si="8"/>
        <v>0</v>
      </c>
      <c r="BF6" s="60">
        <f t="shared" si="8"/>
        <v>0</v>
      </c>
      <c r="BG6" s="60">
        <f t="shared" si="8"/>
        <v>0</v>
      </c>
      <c r="BH6" s="60">
        <f t="shared" si="8"/>
        <v>0</v>
      </c>
      <c r="BI6" s="60">
        <f t="shared" si="8"/>
        <v>0</v>
      </c>
      <c r="BJ6" s="60">
        <f t="shared" si="8"/>
        <v>0</v>
      </c>
      <c r="BK6" s="60">
        <f t="shared" si="8"/>
        <v>0</v>
      </c>
      <c r="BL6" s="60">
        <f t="shared" si="8"/>
        <v>0</v>
      </c>
      <c r="BM6" s="60">
        <f t="shared" si="8"/>
        <v>0</v>
      </c>
      <c r="BN6" s="60">
        <f t="shared" si="8"/>
        <v>0</v>
      </c>
      <c r="BQ6" t="s">
        <v>171</v>
      </c>
      <c r="BY6" s="30" t="s">
        <v>172</v>
      </c>
      <c r="CF6" s="43">
        <f>-AH24</f>
        <v>-1.7844239399908132E-2</v>
      </c>
      <c r="CG6" s="43">
        <f>-AH28</f>
        <v>0</v>
      </c>
      <c r="CH6" s="43">
        <f>-AH38</f>
        <v>-0.46825673643991528</v>
      </c>
    </row>
    <row r="7" spans="1:88" outlineLevel="1" x14ac:dyDescent="0.2">
      <c r="B7" s="1" t="s">
        <v>173</v>
      </c>
      <c r="D7" s="44">
        <f>D6*('R&amp;S - Transportation'!$D$19*(D3-$D$3)/10)</f>
        <v>0</v>
      </c>
      <c r="E7" s="44">
        <f>E6*'R&amp;S - Transportation'!$B$9*'R&amp;S - Transportation'!$D$19*(E3-$D$3)/10</f>
        <v>0</v>
      </c>
      <c r="F7" s="44">
        <f>F6*'R&amp;S - Transportation'!$B$9*'R&amp;S - Transportation'!$D$19*(F3-$D$3)/10</f>
        <v>0</v>
      </c>
      <c r="G7" s="44">
        <f>G6*'R&amp;S - Transportation'!$B$9*'R&amp;S - Transportation'!$D$19*(G3-$D$3)/10</f>
        <v>0</v>
      </c>
      <c r="H7" s="44">
        <f>H6*'R&amp;S - Transportation'!$B$9*'R&amp;S - Transportation'!$D$19*(H3-$D$3)/10</f>
        <v>0</v>
      </c>
      <c r="I7" s="44">
        <f>I6*'R&amp;S - Transportation'!$B$9*'R&amp;S - Transportation'!$D$19*(I3-$D$3)/10</f>
        <v>0</v>
      </c>
      <c r="J7" s="44">
        <f>J6*'R&amp;S - Transportation'!$B$9*'R&amp;S - Transportation'!$D$19*(J3-$D$3)/10</f>
        <v>0</v>
      </c>
      <c r="K7" s="44">
        <f>K6*'R&amp;S - Transportation'!$B$9*'R&amp;S - Transportation'!$D$19*(K3-$D$3)/10</f>
        <v>0</v>
      </c>
      <c r="L7" s="44">
        <f>L6*'R&amp;S - Transportation'!$B$9*'R&amp;S - Transportation'!$D$19*(L3-$D$3)/10</f>
        <v>0</v>
      </c>
      <c r="M7" s="44">
        <f>M6*'R&amp;S - Transportation'!$B$9*'R&amp;S - Transportation'!$D$19*(M3-$D$3)/10</f>
        <v>0</v>
      </c>
      <c r="N7" s="44">
        <f>N6*'R&amp;S - Transportation'!$B$9*'R&amp;S - Transportation'!$D$19*(N3-$D$3)/10</f>
        <v>0</v>
      </c>
      <c r="O7" s="44">
        <f>O6*'R&amp;S - Transportation'!$B$9*('R&amp;S - Transportation'!$D$19+('R&amp;S - Transportation'!$D$20-'R&amp;S - Transportation'!$D$19)*(O3-$N$3)/10)</f>
        <v>0</v>
      </c>
      <c r="P7" s="44">
        <f>P6*'R&amp;S - Transportation'!$B$9*('R&amp;S - Transportation'!$D$19+('R&amp;S - Transportation'!$D$20-'R&amp;S - Transportation'!$D$19)*(P3-$N$3)/10)</f>
        <v>0</v>
      </c>
      <c r="Q7" s="44">
        <f>Q6*'R&amp;S - Transportation'!$B$9*('R&amp;S - Transportation'!$D$19+('R&amp;S - Transportation'!$D$20-'R&amp;S - Transportation'!$D$19)*(Q3-$N$3)/10)</f>
        <v>0</v>
      </c>
      <c r="R7" s="44">
        <f>R6*'R&amp;S - Transportation'!$B$9*('R&amp;S - Transportation'!$D$19+('R&amp;S - Transportation'!$D$20-'R&amp;S - Transportation'!$D$19)*(R3-$N$3)/10)</f>
        <v>0</v>
      </c>
      <c r="S7" s="44">
        <f>S6*'R&amp;S - Transportation'!$B$9*('R&amp;S - Transportation'!$D$19+('R&amp;S - Transportation'!$D$20-'R&amp;S - Transportation'!$D$19)*(S3-$N$3)/10)</f>
        <v>0</v>
      </c>
      <c r="T7" s="44">
        <f>T6*'R&amp;S - Transportation'!$B$9*('R&amp;S - Transportation'!$D$19+('R&amp;S - Transportation'!$D$20-'R&amp;S - Transportation'!$D$19)*(T3-$N$3)/10)</f>
        <v>0</v>
      </c>
      <c r="U7" s="44">
        <f>U6*'R&amp;S - Transportation'!$B$9*('R&amp;S - Transportation'!$D$19+('R&amp;S - Transportation'!$D$20-'R&amp;S - Transportation'!$D$19)*(U3-$N$3)/10)</f>
        <v>0</v>
      </c>
      <c r="V7" s="44">
        <f>V6*'R&amp;S - Transportation'!$B$9*('R&amp;S - Transportation'!$D$19+('R&amp;S - Transportation'!$D$20-'R&amp;S - Transportation'!$D$19)*(V3-$N$3)/10)</f>
        <v>0</v>
      </c>
      <c r="W7" s="44">
        <f>W6*'R&amp;S - Transportation'!$B$9*('R&amp;S - Transportation'!$D$19+('R&amp;S - Transportation'!$D$20-'R&amp;S - Transportation'!$D$19)*(W3-$N$3)/10)</f>
        <v>0</v>
      </c>
      <c r="X7" s="44">
        <f>X6*'R&amp;S - Transportation'!$B$9*('R&amp;S - Transportation'!$D$19+('R&amp;S - Transportation'!$D$20-'R&amp;S - Transportation'!$D$19)*(X3-$N$3)/10)</f>
        <v>0</v>
      </c>
      <c r="Y7" s="44">
        <f>Y6*'R&amp;S - Transportation'!$B$9*('R&amp;S - Transportation'!$D$20+('R&amp;S - Transportation'!$D$21-'R&amp;S - Transportation'!$D$20)*(Y3-$X$3)/10)</f>
        <v>0</v>
      </c>
      <c r="Z7" s="44">
        <f>Z6*'R&amp;S - Transportation'!$B$9*('R&amp;S - Transportation'!$D$20+('R&amp;S - Transportation'!$D$21-'R&amp;S - Transportation'!$D$20)*(Z3-$X$3)/10)</f>
        <v>0</v>
      </c>
      <c r="AA7" s="44">
        <f>AA6*'R&amp;S - Transportation'!$B$9*('R&amp;S - Transportation'!$D$20+('R&amp;S - Transportation'!$D$21-'R&amp;S - Transportation'!$D$20)*(AA3-$X$3)/10)</f>
        <v>0</v>
      </c>
      <c r="AB7" s="44">
        <f>AB6*'R&amp;S - Transportation'!$B$9*('R&amp;S - Transportation'!$D$20+('R&amp;S - Transportation'!$D$21-'R&amp;S - Transportation'!$D$20)*(AB3-$X$3)/10)</f>
        <v>0</v>
      </c>
      <c r="AC7" s="44">
        <f>AC6*'R&amp;S - Transportation'!$B$9*('R&amp;S - Transportation'!$D$20+('R&amp;S - Transportation'!$D$21-'R&amp;S - Transportation'!$D$20)*(AC3-$X$3)/10)</f>
        <v>0</v>
      </c>
      <c r="AD7" s="44">
        <f>AD6*'R&amp;S - Transportation'!$B$9*('R&amp;S - Transportation'!$D$20+('R&amp;S - Transportation'!$D$21-'R&amp;S - Transportation'!$D$20)*(AD3-$X$3)/10)</f>
        <v>0</v>
      </c>
      <c r="AE7" s="44">
        <f>AE6*'R&amp;S - Transportation'!$B$9*('R&amp;S - Transportation'!$D$20+('R&amp;S - Transportation'!$D$21-'R&amp;S - Transportation'!$D$20)*(AE3-$X$3)/10)</f>
        <v>0</v>
      </c>
      <c r="AF7" s="44">
        <f>AF6*'R&amp;S - Transportation'!$B$9*('R&amp;S - Transportation'!$D$20+('R&amp;S - Transportation'!$D$21-'R&amp;S - Transportation'!$D$20)*(AF3-$X$3)/10)</f>
        <v>0</v>
      </c>
      <c r="AG7" s="44">
        <f>AG6*'R&amp;S - Transportation'!$B$9*('R&amp;S - Transportation'!$D$20+('R&amp;S - Transportation'!$D$21-'R&amp;S - Transportation'!$D$20)*(AG3-$X$3)/10)</f>
        <v>0</v>
      </c>
      <c r="AH7" s="44">
        <f>AH6*'R&amp;S - Transportation'!$B$9*('R&amp;S - Transportation'!$D$20+('R&amp;S - Transportation'!$D$21-'R&amp;S - Transportation'!$D$20)*(AH3-$X$3)/10)</f>
        <v>0</v>
      </c>
      <c r="AJ7" s="44">
        <f t="shared" si="7"/>
        <v>0</v>
      </c>
      <c r="AK7" s="44">
        <f t="shared" si="7"/>
        <v>0</v>
      </c>
      <c r="AL7" s="44">
        <f t="shared" si="7"/>
        <v>0</v>
      </c>
      <c r="AM7" s="44">
        <f t="shared" si="7"/>
        <v>0</v>
      </c>
      <c r="AN7" s="44">
        <f t="shared" si="7"/>
        <v>0</v>
      </c>
      <c r="AO7" s="44">
        <f t="shared" si="7"/>
        <v>0</v>
      </c>
      <c r="AP7" s="44">
        <f t="shared" si="7"/>
        <v>0</v>
      </c>
      <c r="AQ7" s="44">
        <f t="shared" si="7"/>
        <v>0</v>
      </c>
      <c r="AR7" s="44">
        <f t="shared" si="7"/>
        <v>0</v>
      </c>
      <c r="AS7" s="44">
        <f t="shared" si="7"/>
        <v>0</v>
      </c>
      <c r="AT7" s="44">
        <f t="shared" si="7"/>
        <v>0</v>
      </c>
      <c r="AU7" s="44">
        <f t="shared" si="7"/>
        <v>0</v>
      </c>
      <c r="AV7" s="44">
        <f t="shared" si="7"/>
        <v>0</v>
      </c>
      <c r="AW7" s="44">
        <f t="shared" si="7"/>
        <v>0</v>
      </c>
      <c r="AX7" s="44">
        <f t="shared" si="7"/>
        <v>0</v>
      </c>
      <c r="AY7" s="44">
        <f t="shared" si="7"/>
        <v>0</v>
      </c>
      <c r="AZ7" s="44">
        <f t="shared" si="8"/>
        <v>0</v>
      </c>
      <c r="BA7" s="44">
        <f t="shared" si="8"/>
        <v>0</v>
      </c>
      <c r="BB7" s="44">
        <f t="shared" si="8"/>
        <v>0</v>
      </c>
      <c r="BC7" s="44">
        <f t="shared" si="8"/>
        <v>0</v>
      </c>
      <c r="BD7" s="44">
        <f t="shared" si="8"/>
        <v>0</v>
      </c>
      <c r="BE7" s="44">
        <f t="shared" si="8"/>
        <v>0</v>
      </c>
      <c r="BF7" s="44">
        <f t="shared" si="8"/>
        <v>0</v>
      </c>
      <c r="BG7" s="44">
        <f t="shared" si="8"/>
        <v>0</v>
      </c>
      <c r="BH7" s="44">
        <f t="shared" si="8"/>
        <v>0</v>
      </c>
      <c r="BI7" s="44">
        <f t="shared" si="8"/>
        <v>0</v>
      </c>
      <c r="BJ7" s="44">
        <f t="shared" si="8"/>
        <v>0</v>
      </c>
      <c r="BK7" s="44">
        <f t="shared" si="8"/>
        <v>0</v>
      </c>
      <c r="BL7" s="44">
        <f t="shared" si="8"/>
        <v>0</v>
      </c>
      <c r="BM7" s="44">
        <f t="shared" si="8"/>
        <v>0</v>
      </c>
      <c r="BN7" s="44">
        <f t="shared" si="8"/>
        <v>0</v>
      </c>
      <c r="BQ7" t="s">
        <v>174</v>
      </c>
      <c r="BR7" s="44" t="e">
        <f>#REF!-#REF!</f>
        <v>#REF!</v>
      </c>
      <c r="BY7" s="30" t="s">
        <v>175</v>
      </c>
      <c r="CA7" s="539" t="e">
        <f>#REF!-#REF!</f>
        <v>#REF!</v>
      </c>
      <c r="CC7" s="538">
        <f>65</f>
        <v>65</v>
      </c>
      <c r="CI7" s="44">
        <f>AH42</f>
        <v>0</v>
      </c>
    </row>
    <row r="8" spans="1:88" outlineLevel="1" x14ac:dyDescent="0.2">
      <c r="B8" s="1" t="s">
        <v>176</v>
      </c>
      <c r="D8" s="44">
        <f>D6-D7</f>
        <v>0</v>
      </c>
      <c r="E8" s="44">
        <f t="shared" ref="E8:AH8" si="9">E6-E7</f>
        <v>0</v>
      </c>
      <c r="F8" s="44">
        <f t="shared" si="9"/>
        <v>0</v>
      </c>
      <c r="G8" s="44">
        <f t="shared" si="9"/>
        <v>0</v>
      </c>
      <c r="H8" s="44">
        <f t="shared" si="9"/>
        <v>0</v>
      </c>
      <c r="I8" s="44">
        <f t="shared" si="9"/>
        <v>0</v>
      </c>
      <c r="J8" s="44">
        <f t="shared" si="9"/>
        <v>0</v>
      </c>
      <c r="K8" s="44">
        <f t="shared" si="9"/>
        <v>0</v>
      </c>
      <c r="L8" s="44">
        <f t="shared" si="9"/>
        <v>0</v>
      </c>
      <c r="M8" s="44">
        <f t="shared" si="9"/>
        <v>0</v>
      </c>
      <c r="N8" s="44">
        <f t="shared" si="9"/>
        <v>0</v>
      </c>
      <c r="O8" s="44">
        <f t="shared" si="9"/>
        <v>0</v>
      </c>
      <c r="P8" s="44">
        <f t="shared" si="9"/>
        <v>0</v>
      </c>
      <c r="Q8" s="44">
        <f t="shared" si="9"/>
        <v>0</v>
      </c>
      <c r="R8" s="44">
        <f t="shared" si="9"/>
        <v>0</v>
      </c>
      <c r="S8" s="44">
        <f t="shared" si="9"/>
        <v>0</v>
      </c>
      <c r="T8" s="44">
        <f t="shared" si="9"/>
        <v>0</v>
      </c>
      <c r="U8" s="44">
        <f t="shared" si="9"/>
        <v>0</v>
      </c>
      <c r="V8" s="44">
        <f t="shared" si="9"/>
        <v>0</v>
      </c>
      <c r="W8" s="44">
        <f t="shared" si="9"/>
        <v>0</v>
      </c>
      <c r="X8" s="44">
        <f t="shared" si="9"/>
        <v>0</v>
      </c>
      <c r="Y8" s="44">
        <f t="shared" si="9"/>
        <v>0</v>
      </c>
      <c r="Z8" s="44">
        <f t="shared" si="9"/>
        <v>0</v>
      </c>
      <c r="AA8" s="44">
        <f t="shared" si="9"/>
        <v>0</v>
      </c>
      <c r="AB8" s="44">
        <f t="shared" si="9"/>
        <v>0</v>
      </c>
      <c r="AC8" s="44">
        <f t="shared" si="9"/>
        <v>0</v>
      </c>
      <c r="AD8" s="44">
        <f t="shared" si="9"/>
        <v>0</v>
      </c>
      <c r="AE8" s="44">
        <f t="shared" si="9"/>
        <v>0</v>
      </c>
      <c r="AF8" s="44">
        <f t="shared" si="9"/>
        <v>0</v>
      </c>
      <c r="AG8" s="44">
        <f t="shared" si="9"/>
        <v>0</v>
      </c>
      <c r="AH8" s="44">
        <f t="shared" si="9"/>
        <v>0</v>
      </c>
      <c r="AJ8" s="44">
        <f t="shared" si="7"/>
        <v>0</v>
      </c>
      <c r="AK8" s="44">
        <f t="shared" si="7"/>
        <v>0</v>
      </c>
      <c r="AL8" s="44">
        <f t="shared" si="7"/>
        <v>0</v>
      </c>
      <c r="AM8" s="44">
        <f t="shared" si="7"/>
        <v>0</v>
      </c>
      <c r="AN8" s="44">
        <f t="shared" si="7"/>
        <v>0</v>
      </c>
      <c r="AO8" s="44">
        <f t="shared" si="7"/>
        <v>0</v>
      </c>
      <c r="AP8" s="44">
        <f t="shared" si="7"/>
        <v>0</v>
      </c>
      <c r="AQ8" s="44">
        <f t="shared" si="7"/>
        <v>0</v>
      </c>
      <c r="AR8" s="44">
        <f t="shared" si="7"/>
        <v>0</v>
      </c>
      <c r="AS8" s="44">
        <f t="shared" si="7"/>
        <v>0</v>
      </c>
      <c r="AT8" s="44">
        <f t="shared" si="7"/>
        <v>0</v>
      </c>
      <c r="AU8" s="44">
        <f t="shared" si="7"/>
        <v>0</v>
      </c>
      <c r="AV8" s="44">
        <f t="shared" si="7"/>
        <v>0</v>
      </c>
      <c r="AW8" s="44">
        <f t="shared" si="7"/>
        <v>0</v>
      </c>
      <c r="AX8" s="44">
        <f t="shared" si="7"/>
        <v>0</v>
      </c>
      <c r="AY8" s="44">
        <f t="shared" si="7"/>
        <v>0</v>
      </c>
      <c r="AZ8" s="44">
        <f t="shared" si="8"/>
        <v>0</v>
      </c>
      <c r="BA8" s="44">
        <f t="shared" si="8"/>
        <v>0</v>
      </c>
      <c r="BB8" s="44">
        <f t="shared" si="8"/>
        <v>0</v>
      </c>
      <c r="BC8" s="44">
        <f t="shared" si="8"/>
        <v>0</v>
      </c>
      <c r="BD8" s="44">
        <f t="shared" si="8"/>
        <v>0</v>
      </c>
      <c r="BE8" s="44">
        <f t="shared" si="8"/>
        <v>0</v>
      </c>
      <c r="BF8" s="44">
        <f t="shared" si="8"/>
        <v>0</v>
      </c>
      <c r="BG8" s="44">
        <f t="shared" si="8"/>
        <v>0</v>
      </c>
      <c r="BH8" s="44">
        <f t="shared" si="8"/>
        <v>0</v>
      </c>
      <c r="BI8" s="44">
        <f t="shared" si="8"/>
        <v>0</v>
      </c>
      <c r="BJ8" s="44">
        <f t="shared" si="8"/>
        <v>0</v>
      </c>
      <c r="BK8" s="44">
        <f t="shared" si="8"/>
        <v>0</v>
      </c>
      <c r="BL8" s="44">
        <f t="shared" si="8"/>
        <v>0</v>
      </c>
      <c r="BM8" s="44">
        <f t="shared" si="8"/>
        <v>0</v>
      </c>
      <c r="BN8" s="44">
        <f t="shared" si="8"/>
        <v>0</v>
      </c>
    </row>
    <row r="9" spans="1:88" outlineLevel="1" x14ac:dyDescent="0.2">
      <c r="A9" s="1" t="s">
        <v>238</v>
      </c>
      <c r="C9" s="1"/>
      <c r="D9" s="66">
        <f t="shared" ref="D9:AH9" si="10">D4-D7</f>
        <v>14.947368421052632</v>
      </c>
      <c r="E9" s="66">
        <f t="shared" si="10"/>
        <v>15.331407031113367</v>
      </c>
      <c r="F9" s="66">
        <f t="shared" si="10"/>
        <v>15.725312639154138</v>
      </c>
      <c r="G9" s="66">
        <f t="shared" si="10"/>
        <v>16.129338755229892</v>
      </c>
      <c r="H9" s="66">
        <f t="shared" si="10"/>
        <v>16.543745402759424</v>
      </c>
      <c r="I9" s="66">
        <f t="shared" si="10"/>
        <v>16.968799285871444</v>
      </c>
      <c r="J9" s="66">
        <f t="shared" si="10"/>
        <v>17.381667623855559</v>
      </c>
      <c r="K9" s="66">
        <f t="shared" si="10"/>
        <v>17.804581473112339</v>
      </c>
      <c r="L9" s="66">
        <f t="shared" si="10"/>
        <v>18.237785251262231</v>
      </c>
      <c r="M9" s="66">
        <f t="shared" si="10"/>
        <v>18.681529322857759</v>
      </c>
      <c r="N9" s="66">
        <f t="shared" si="10"/>
        <v>19.136070144078495</v>
      </c>
      <c r="O9" s="66">
        <f t="shared" si="10"/>
        <v>19.545918749372461</v>
      </c>
      <c r="P9" s="66">
        <f t="shared" si="10"/>
        <v>19.964545326214225</v>
      </c>
      <c r="Q9" s="66">
        <f t="shared" si="10"/>
        <v>20.392137877645641</v>
      </c>
      <c r="R9" s="66">
        <f t="shared" si="10"/>
        <v>20.82888843328162</v>
      </c>
      <c r="S9" s="66">
        <f t="shared" si="10"/>
        <v>21.274993135549639</v>
      </c>
      <c r="T9" s="66">
        <f t="shared" si="10"/>
        <v>21.525497628002075</v>
      </c>
      <c r="U9" s="66">
        <f t="shared" si="10"/>
        <v>21.778951710160086</v>
      </c>
      <c r="V9" s="66">
        <f t="shared" si="10"/>
        <v>22.035390112256838</v>
      </c>
      <c r="W9" s="66">
        <f t="shared" si="10"/>
        <v>22.29484797346003</v>
      </c>
      <c r="X9" s="66">
        <f t="shared" si="10"/>
        <v>22.557360846686933</v>
      </c>
      <c r="Y9" s="66">
        <f t="shared" si="10"/>
        <v>22.802623116794138</v>
      </c>
      <c r="Z9" s="66">
        <f t="shared" si="10"/>
        <v>23.050552081003854</v>
      </c>
      <c r="AA9" s="66">
        <f t="shared" si="10"/>
        <v>23.301176733818313</v>
      </c>
      <c r="AB9" s="66">
        <f t="shared" si="10"/>
        <v>23.554526384991924</v>
      </c>
      <c r="AC9" s="66">
        <f t="shared" si="10"/>
        <v>23.810630662958982</v>
      </c>
      <c r="AD9" s="66">
        <f t="shared" si="10"/>
        <v>24.054451507660676</v>
      </c>
      <c r="AE9" s="66">
        <f t="shared" si="10"/>
        <v>24.300769077676058</v>
      </c>
      <c r="AF9" s="66">
        <f t="shared" si="10"/>
        <v>24.549608939470946</v>
      </c>
      <c r="AG9" s="66">
        <f t="shared" si="10"/>
        <v>24.800996921311754</v>
      </c>
      <c r="AH9" s="66">
        <f t="shared" si="10"/>
        <v>25.054959115946328</v>
      </c>
      <c r="AJ9" s="66">
        <f t="shared" si="7"/>
        <v>14.947368421052632</v>
      </c>
      <c r="AK9" s="66">
        <f t="shared" si="7"/>
        <v>15.331407031113367</v>
      </c>
      <c r="AL9" s="66">
        <f t="shared" si="7"/>
        <v>15.725312639154138</v>
      </c>
      <c r="AM9" s="66">
        <f t="shared" si="7"/>
        <v>16.129338755229892</v>
      </c>
      <c r="AN9" s="66">
        <f t="shared" si="7"/>
        <v>16.543745402759424</v>
      </c>
      <c r="AO9" s="66">
        <f t="shared" si="7"/>
        <v>16.968799285871444</v>
      </c>
      <c r="AP9" s="66">
        <f t="shared" si="7"/>
        <v>17.381667623855559</v>
      </c>
      <c r="AQ9" s="66">
        <f t="shared" si="7"/>
        <v>17.804581473112339</v>
      </c>
      <c r="AR9" s="66">
        <f t="shared" si="7"/>
        <v>18.237785251262231</v>
      </c>
      <c r="AS9" s="66">
        <f t="shared" si="7"/>
        <v>18.681529322857759</v>
      </c>
      <c r="AT9" s="66">
        <f t="shared" si="7"/>
        <v>19.136070144078495</v>
      </c>
      <c r="AU9" s="66">
        <f t="shared" si="7"/>
        <v>19.545918749372461</v>
      </c>
      <c r="AV9" s="66">
        <f t="shared" si="7"/>
        <v>19.964545326214225</v>
      </c>
      <c r="AW9" s="66">
        <f t="shared" si="7"/>
        <v>20.392137877645641</v>
      </c>
      <c r="AX9" s="66">
        <f t="shared" si="7"/>
        <v>20.82888843328162</v>
      </c>
      <c r="AY9" s="66">
        <f t="shared" si="7"/>
        <v>21.274993135549639</v>
      </c>
      <c r="AZ9" s="66">
        <f t="shared" si="8"/>
        <v>21.525497628002075</v>
      </c>
      <c r="BA9" s="66">
        <f t="shared" si="8"/>
        <v>21.778951710160086</v>
      </c>
      <c r="BB9" s="66">
        <f t="shared" si="8"/>
        <v>22.035390112256838</v>
      </c>
      <c r="BC9" s="66">
        <f t="shared" si="8"/>
        <v>22.29484797346003</v>
      </c>
      <c r="BD9" s="66">
        <f t="shared" si="8"/>
        <v>22.557360846686933</v>
      </c>
      <c r="BE9" s="66">
        <f t="shared" si="8"/>
        <v>22.802623116794138</v>
      </c>
      <c r="BF9" s="66">
        <f t="shared" si="8"/>
        <v>23.050552081003854</v>
      </c>
      <c r="BG9" s="66">
        <f t="shared" si="8"/>
        <v>23.301176733818313</v>
      </c>
      <c r="BH9" s="66">
        <f t="shared" si="8"/>
        <v>23.554526384991924</v>
      </c>
      <c r="BI9" s="66">
        <f t="shared" si="8"/>
        <v>23.810630662958982</v>
      </c>
      <c r="BJ9" s="66">
        <f t="shared" si="8"/>
        <v>24.054451507660676</v>
      </c>
      <c r="BK9" s="66">
        <f t="shared" si="8"/>
        <v>24.300769077676058</v>
      </c>
      <c r="BL9" s="66">
        <f t="shared" si="8"/>
        <v>24.549608939470946</v>
      </c>
      <c r="BM9" s="66">
        <f t="shared" si="8"/>
        <v>24.800996921311754</v>
      </c>
      <c r="BN9" s="66">
        <f t="shared" si="8"/>
        <v>25.054959115946328</v>
      </c>
      <c r="BQ9" s="1" t="s">
        <v>178</v>
      </c>
      <c r="BR9" t="s">
        <v>179</v>
      </c>
      <c r="BS9" s="44" t="e">
        <f>#REF!</f>
        <v>#REF!</v>
      </c>
    </row>
    <row r="10" spans="1:88" s="1" customFormat="1" ht="16" outlineLevel="1" x14ac:dyDescent="0.2">
      <c r="A10" s="58" t="s">
        <v>185</v>
      </c>
      <c r="B10" s="58" t="s">
        <v>186</v>
      </c>
      <c r="C10" s="100" t="s">
        <v>153</v>
      </c>
      <c r="D10" s="101">
        <f>'Demand Breakdown - C4'!O28</f>
        <v>8.1566721804511282</v>
      </c>
      <c r="E10" s="101">
        <f>D10*(1+'Demand Breakdown - C4'!$K$28)</f>
        <v>8.2732337029546006</v>
      </c>
      <c r="F10" s="101">
        <f>E10*(1+'Demand Breakdown - C4'!$K$28)</f>
        <v>8.3914609278704955</v>
      </c>
      <c r="G10" s="101">
        <f>F10*(1+'Demand Breakdown - C4'!$K$28)</f>
        <v>8.511377658632977</v>
      </c>
      <c r="H10" s="101">
        <f>G10*(1+'Demand Breakdown - C4'!$K$28)</f>
        <v>8.6330080388350936</v>
      </c>
      <c r="I10" s="101">
        <f>H10*(1+'Demand Breakdown - C4'!$K$28)</f>
        <v>8.7563765570897623</v>
      </c>
      <c r="J10" s="101">
        <f>I10*(1+'Demand Breakdown - C4'!$K$28)</f>
        <v>8.8815080519602159</v>
      </c>
      <c r="K10" s="101">
        <f>J10*(1+'Demand Breakdown - C4'!$K$28)</f>
        <v>9.0084277169609077</v>
      </c>
      <c r="L10" s="101">
        <f>K10*(1+'Demand Breakdown - C4'!$K$28)</f>
        <v>9.1371611056298843</v>
      </c>
      <c r="M10" s="101">
        <f>L10*(1+'Demand Breakdown - C4'!$K$28)</f>
        <v>9.2677341366736332</v>
      </c>
      <c r="N10" s="101">
        <f>M10*(1+'Demand Breakdown - C4'!$K$28)</f>
        <v>9.4001730991854657</v>
      </c>
      <c r="O10" s="101">
        <f>N10*(1+'Demand Breakdown - C4'!$K$28)</f>
        <v>9.5345046579384665</v>
      </c>
      <c r="P10" s="101">
        <f>O10*(1+'Demand Breakdown - C4'!$K$28)</f>
        <v>9.6707558587540774</v>
      </c>
      <c r="Q10" s="101">
        <f>P10*(1+'Demand Breakdown - C4'!$K$28)</f>
        <v>9.8089541339474042</v>
      </c>
      <c r="R10" s="101">
        <f>Q10*(1+'Demand Breakdown - C4'!$K$28)</f>
        <v>9.9491273078503415</v>
      </c>
      <c r="S10" s="101">
        <f>R10*(1+'Demand Breakdown - C4'!$K$28)</f>
        <v>10.091303602413618</v>
      </c>
      <c r="T10" s="101">
        <f>S10*(1+'Demand Breakdown - C4'!$K$28)</f>
        <v>10.235511642888898</v>
      </c>
      <c r="U10" s="101">
        <f>T10*(1+'Demand Breakdown - C4'!$K$28)</f>
        <v>10.381780463592094</v>
      </c>
      <c r="V10" s="101">
        <f>U10*(1+'Demand Breakdown - C4'!$K$28)</f>
        <v>10.530139513749011</v>
      </c>
      <c r="W10" s="101">
        <f>V10*(1+'Demand Breakdown - C4'!$K$28)</f>
        <v>10.680618663424568</v>
      </c>
      <c r="X10" s="101">
        <f>W10*(1+'Demand Breakdown - C4'!$K$28)</f>
        <v>10.833248209536706</v>
      </c>
      <c r="Y10" s="101">
        <f>X10*(1+'Demand Breakdown - C4'!$K$28)</f>
        <v>10.988058881956272</v>
      </c>
      <c r="Z10" s="101">
        <f>Y10*(1+'Demand Breakdown - C4'!$K$28)</f>
        <v>11.145081849694051</v>
      </c>
      <c r="AA10" s="101">
        <f>Z10*(1+'Demand Breakdown - C4'!$K$28)</f>
        <v>11.304348727176222</v>
      </c>
      <c r="AB10" s="101">
        <f>AA10*(1+'Demand Breakdown - C4'!$K$28)</f>
        <v>11.465891580609492</v>
      </c>
      <c r="AC10" s="101">
        <f>AB10*(1+'Demand Breakdown - C4'!$K$28)</f>
        <v>11.629742934437182</v>
      </c>
      <c r="AD10" s="101">
        <f>AC10*(1+'Demand Breakdown - C4'!$K$28)</f>
        <v>11.795935777887587</v>
      </c>
      <c r="AE10" s="101">
        <f>AD10*(1+'Demand Breakdown - C4'!$K$28)</f>
        <v>11.9645035716159</v>
      </c>
      <c r="AF10" s="101">
        <f>AE10*(1+'Demand Breakdown - C4'!$K$28)</f>
        <v>12.135480254441056</v>
      </c>
      <c r="AG10" s="101">
        <f>AF10*(1+'Demand Breakdown - C4'!$K$28)</f>
        <v>12.308900250178857</v>
      </c>
      <c r="AH10" s="101">
        <f>AG10*(1+'Demand Breakdown - C4'!$K$28)</f>
        <v>12.484798474572724</v>
      </c>
      <c r="AJ10" s="101">
        <f>D10</f>
        <v>8.1566721804511282</v>
      </c>
      <c r="AK10" s="101">
        <f t="shared" si="7"/>
        <v>8.2732337029546006</v>
      </c>
      <c r="AL10" s="101">
        <f t="shared" si="7"/>
        <v>8.3914609278704955</v>
      </c>
      <c r="AM10" s="101">
        <f t="shared" si="7"/>
        <v>8.511377658632977</v>
      </c>
      <c r="AN10" s="101">
        <f t="shared" si="7"/>
        <v>8.6330080388350936</v>
      </c>
      <c r="AO10" s="101">
        <f t="shared" si="7"/>
        <v>8.7563765570897623</v>
      </c>
      <c r="AP10" s="101">
        <f t="shared" si="7"/>
        <v>8.8815080519602159</v>
      </c>
      <c r="AQ10" s="101">
        <f t="shared" si="7"/>
        <v>9.0084277169609077</v>
      </c>
      <c r="AR10" s="101">
        <f t="shared" si="7"/>
        <v>9.1371611056298843</v>
      </c>
      <c r="AS10" s="101">
        <f t="shared" si="7"/>
        <v>9.2677341366736332</v>
      </c>
      <c r="AT10" s="101">
        <f t="shared" si="7"/>
        <v>9.4001730991854657</v>
      </c>
      <c r="AU10" s="101">
        <f t="shared" si="7"/>
        <v>9.5345046579384665</v>
      </c>
      <c r="AV10" s="101">
        <f t="shared" si="7"/>
        <v>9.6707558587540774</v>
      </c>
      <c r="AW10" s="101">
        <f t="shared" si="7"/>
        <v>9.8089541339474042</v>
      </c>
      <c r="AX10" s="101">
        <f t="shared" si="7"/>
        <v>9.9491273078503415</v>
      </c>
      <c r="AY10" s="101">
        <f t="shared" si="7"/>
        <v>10.091303602413618</v>
      </c>
      <c r="AZ10" s="101">
        <f t="shared" si="8"/>
        <v>10.235511642888898</v>
      </c>
      <c r="BA10" s="101">
        <f t="shared" si="8"/>
        <v>10.381780463592094</v>
      </c>
      <c r="BB10" s="101">
        <f t="shared" si="8"/>
        <v>10.530139513749011</v>
      </c>
      <c r="BC10" s="101">
        <f t="shared" si="8"/>
        <v>10.680618663424568</v>
      </c>
      <c r="BD10" s="101">
        <f t="shared" si="8"/>
        <v>10.833248209536706</v>
      </c>
      <c r="BE10" s="101">
        <f t="shared" si="8"/>
        <v>10.988058881956272</v>
      </c>
      <c r="BF10" s="101">
        <f t="shared" si="8"/>
        <v>11.145081849694051</v>
      </c>
      <c r="BG10" s="101">
        <f t="shared" si="8"/>
        <v>11.304348727176222</v>
      </c>
      <c r="BH10" s="101">
        <f t="shared" si="8"/>
        <v>11.465891580609492</v>
      </c>
      <c r="BI10" s="101">
        <f t="shared" si="8"/>
        <v>11.629742934437182</v>
      </c>
      <c r="BJ10" s="101">
        <f t="shared" si="8"/>
        <v>11.795935777887587</v>
      </c>
      <c r="BK10" s="101">
        <f t="shared" si="8"/>
        <v>11.9645035716159</v>
      </c>
      <c r="BL10" s="101">
        <f t="shared" si="8"/>
        <v>12.135480254441056</v>
      </c>
      <c r="BM10" s="101">
        <f t="shared" si="8"/>
        <v>12.308900250178857</v>
      </c>
      <c r="BN10" s="101">
        <f t="shared" si="8"/>
        <v>12.484798474572724</v>
      </c>
      <c r="BR10" s="1" t="s">
        <v>187</v>
      </c>
      <c r="BS10" s="66">
        <f>AH6</f>
        <v>0</v>
      </c>
      <c r="BY10" s="30" t="s">
        <v>188</v>
      </c>
      <c r="BZ10" s="143">
        <f>D4</f>
        <v>14.947368421052632</v>
      </c>
      <c r="CA10" s="137"/>
      <c r="CB10" s="143" t="s">
        <v>167</v>
      </c>
      <c r="CC10" s="137"/>
      <c r="CD10" s="137"/>
      <c r="CE10" s="137"/>
      <c r="CF10" s="137"/>
      <c r="CG10" s="548" t="s">
        <v>167</v>
      </c>
      <c r="CI10" s="140"/>
    </row>
    <row r="11" spans="1:88" outlineLevel="1" x14ac:dyDescent="0.2">
      <c r="B11" s="1" t="s">
        <v>189</v>
      </c>
      <c r="C11" s="54" t="s">
        <v>153</v>
      </c>
      <c r="D11" s="44">
        <v>0</v>
      </c>
      <c r="E11" s="44">
        <v>0</v>
      </c>
      <c r="F11" s="44">
        <v>0</v>
      </c>
      <c r="G11" s="44">
        <v>0</v>
      </c>
      <c r="H11" s="44">
        <v>0</v>
      </c>
      <c r="I11" s="44">
        <v>0</v>
      </c>
      <c r="J11" s="44">
        <v>0</v>
      </c>
      <c r="K11" s="44">
        <v>0</v>
      </c>
      <c r="L11" s="44">
        <v>0</v>
      </c>
      <c r="M11" s="44">
        <v>0</v>
      </c>
      <c r="N11" s="44">
        <v>0</v>
      </c>
      <c r="O11" s="44">
        <v>0</v>
      </c>
      <c r="P11" s="44">
        <v>0</v>
      </c>
      <c r="Q11" s="44">
        <v>0</v>
      </c>
      <c r="R11" s="44">
        <v>0</v>
      </c>
      <c r="S11" s="44">
        <v>0</v>
      </c>
      <c r="T11" s="44">
        <v>0</v>
      </c>
      <c r="U11" s="44">
        <v>0</v>
      </c>
      <c r="V11" s="44">
        <v>0</v>
      </c>
      <c r="W11" s="44">
        <v>0</v>
      </c>
      <c r="X11" s="44">
        <v>0</v>
      </c>
      <c r="Y11" s="44">
        <v>0</v>
      </c>
      <c r="Z11" s="44">
        <v>0</v>
      </c>
      <c r="AA11" s="44">
        <v>0</v>
      </c>
      <c r="AB11" s="44">
        <v>0</v>
      </c>
      <c r="AC11" s="44">
        <v>0</v>
      </c>
      <c r="AD11" s="44">
        <v>0</v>
      </c>
      <c r="AE11" s="44">
        <v>0</v>
      </c>
      <c r="AF11" s="44">
        <v>0</v>
      </c>
      <c r="AG11" s="44">
        <v>0</v>
      </c>
      <c r="AH11" s="44">
        <v>0</v>
      </c>
      <c r="AJ11" s="44">
        <v>0</v>
      </c>
      <c r="AK11" s="44">
        <v>0</v>
      </c>
      <c r="AL11" s="44">
        <v>0</v>
      </c>
      <c r="AM11" s="44">
        <v>0</v>
      </c>
      <c r="AN11" s="44">
        <v>0</v>
      </c>
      <c r="AO11" s="44">
        <v>0</v>
      </c>
      <c r="AP11" s="44">
        <v>0</v>
      </c>
      <c r="AQ11" s="44">
        <v>0</v>
      </c>
      <c r="AR11" s="44">
        <v>0</v>
      </c>
      <c r="AS11" s="44">
        <v>0</v>
      </c>
      <c r="AT11" s="44">
        <v>0</v>
      </c>
      <c r="AU11" s="44">
        <v>0</v>
      </c>
      <c r="AV11" s="44">
        <v>0</v>
      </c>
      <c r="AW11" s="44">
        <v>0</v>
      </c>
      <c r="AX11" s="44">
        <v>0</v>
      </c>
      <c r="AY11" s="44">
        <v>0</v>
      </c>
      <c r="AZ11" s="44">
        <v>0</v>
      </c>
      <c r="BA11" s="44">
        <v>0</v>
      </c>
      <c r="BB11" s="44">
        <v>0</v>
      </c>
      <c r="BC11" s="44">
        <v>0</v>
      </c>
      <c r="BD11" s="44">
        <v>0</v>
      </c>
      <c r="BE11" s="44">
        <v>0</v>
      </c>
      <c r="BF11" s="44">
        <v>0</v>
      </c>
      <c r="BG11" s="44">
        <v>0</v>
      </c>
      <c r="BH11" s="44">
        <v>0</v>
      </c>
      <c r="BI11" s="44">
        <v>0</v>
      </c>
      <c r="BJ11" s="44">
        <v>0</v>
      </c>
      <c r="BK11" s="44">
        <v>0</v>
      </c>
      <c r="BL11" s="44">
        <v>0</v>
      </c>
      <c r="BM11" s="44">
        <v>0</v>
      </c>
      <c r="BN11" s="44">
        <v>0</v>
      </c>
      <c r="BR11" t="s">
        <v>190</v>
      </c>
      <c r="BS11" s="44" t="e">
        <f>#REF!</f>
        <v>#REF!</v>
      </c>
      <c r="BY11" s="30" t="s">
        <v>183</v>
      </c>
      <c r="BZ11" s="137"/>
      <c r="CA11" s="137"/>
      <c r="CB11" s="137"/>
      <c r="CC11" s="137"/>
      <c r="CD11" s="143">
        <f>AH43</f>
        <v>9.9077205261709906</v>
      </c>
      <c r="CE11" s="137"/>
      <c r="CF11" s="137"/>
      <c r="CG11" s="137"/>
    </row>
    <row r="12" spans="1:88" outlineLevel="1" x14ac:dyDescent="0.2">
      <c r="B12" s="1" t="s">
        <v>191</v>
      </c>
      <c r="C12" s="54" t="s">
        <v>153</v>
      </c>
      <c r="D12" s="44">
        <f>SUM(D10:D11)</f>
        <v>8.1566721804511282</v>
      </c>
      <c r="E12" s="44">
        <f t="shared" ref="E12:AH12" si="11">SUM(E10:E11)</f>
        <v>8.2732337029546006</v>
      </c>
      <c r="F12" s="44">
        <f t="shared" si="11"/>
        <v>8.3914609278704955</v>
      </c>
      <c r="G12" s="44">
        <f t="shared" si="11"/>
        <v>8.511377658632977</v>
      </c>
      <c r="H12" s="44">
        <f t="shared" si="11"/>
        <v>8.6330080388350936</v>
      </c>
      <c r="I12" s="44">
        <f t="shared" si="11"/>
        <v>8.7563765570897623</v>
      </c>
      <c r="J12" s="44">
        <f t="shared" si="11"/>
        <v>8.8815080519602159</v>
      </c>
      <c r="K12" s="44">
        <f t="shared" si="11"/>
        <v>9.0084277169609077</v>
      </c>
      <c r="L12" s="44">
        <f t="shared" si="11"/>
        <v>9.1371611056298843</v>
      </c>
      <c r="M12" s="44">
        <f t="shared" si="11"/>
        <v>9.2677341366736332</v>
      </c>
      <c r="N12" s="44">
        <f t="shared" si="11"/>
        <v>9.4001730991854657</v>
      </c>
      <c r="O12" s="44">
        <f>SUM(O10:O11)</f>
        <v>9.5345046579384665</v>
      </c>
      <c r="P12" s="44">
        <f t="shared" si="11"/>
        <v>9.6707558587540774</v>
      </c>
      <c r="Q12" s="44">
        <f t="shared" si="11"/>
        <v>9.8089541339474042</v>
      </c>
      <c r="R12" s="44">
        <f t="shared" si="11"/>
        <v>9.9491273078503415</v>
      </c>
      <c r="S12" s="44">
        <f t="shared" si="11"/>
        <v>10.091303602413618</v>
      </c>
      <c r="T12" s="44">
        <f t="shared" si="11"/>
        <v>10.235511642888898</v>
      </c>
      <c r="U12" s="44">
        <f t="shared" si="11"/>
        <v>10.381780463592094</v>
      </c>
      <c r="V12" s="44">
        <f t="shared" si="11"/>
        <v>10.530139513749011</v>
      </c>
      <c r="W12" s="44">
        <f t="shared" si="11"/>
        <v>10.680618663424568</v>
      </c>
      <c r="X12" s="44">
        <f t="shared" si="11"/>
        <v>10.833248209536706</v>
      </c>
      <c r="Y12" s="44">
        <f t="shared" si="11"/>
        <v>10.988058881956272</v>
      </c>
      <c r="Z12" s="44">
        <f t="shared" si="11"/>
        <v>11.145081849694051</v>
      </c>
      <c r="AA12" s="44">
        <f t="shared" si="11"/>
        <v>11.304348727176222</v>
      </c>
      <c r="AB12" s="44">
        <f t="shared" si="11"/>
        <v>11.465891580609492</v>
      </c>
      <c r="AC12" s="44">
        <f t="shared" si="11"/>
        <v>11.629742934437182</v>
      </c>
      <c r="AD12" s="44">
        <f t="shared" si="11"/>
        <v>11.795935777887587</v>
      </c>
      <c r="AE12" s="44">
        <f t="shared" si="11"/>
        <v>11.9645035716159</v>
      </c>
      <c r="AF12" s="44">
        <f t="shared" si="11"/>
        <v>12.135480254441056</v>
      </c>
      <c r="AG12" s="44">
        <f t="shared" si="11"/>
        <v>12.308900250178857</v>
      </c>
      <c r="AH12" s="44">
        <f t="shared" si="11"/>
        <v>12.484798474572724</v>
      </c>
      <c r="AJ12" s="44">
        <f>SUM(AJ10:AJ11)</f>
        <v>8.1566721804511282</v>
      </c>
      <c r="AK12" s="44">
        <f t="shared" ref="AK12:AT12" si="12">SUM(AK10:AK11)</f>
        <v>8.2732337029546006</v>
      </c>
      <c r="AL12" s="44">
        <f t="shared" si="12"/>
        <v>8.3914609278704955</v>
      </c>
      <c r="AM12" s="44">
        <f t="shared" si="12"/>
        <v>8.511377658632977</v>
      </c>
      <c r="AN12" s="44">
        <f t="shared" si="12"/>
        <v>8.6330080388350936</v>
      </c>
      <c r="AO12" s="44">
        <f t="shared" si="12"/>
        <v>8.7563765570897623</v>
      </c>
      <c r="AP12" s="44">
        <f t="shared" si="12"/>
        <v>8.8815080519602159</v>
      </c>
      <c r="AQ12" s="44">
        <f t="shared" si="12"/>
        <v>9.0084277169609077</v>
      </c>
      <c r="AR12" s="44">
        <f t="shared" si="12"/>
        <v>9.1371611056298843</v>
      </c>
      <c r="AS12" s="44">
        <f t="shared" si="12"/>
        <v>9.2677341366736332</v>
      </c>
      <c r="AT12" s="44">
        <f t="shared" si="12"/>
        <v>9.4001730991854657</v>
      </c>
      <c r="AU12" s="44">
        <f>SUM(AU10:AU11)</f>
        <v>9.5345046579384665</v>
      </c>
      <c r="AV12" s="44">
        <f t="shared" ref="AV12:BN12" si="13">SUM(AV10:AV11)</f>
        <v>9.6707558587540774</v>
      </c>
      <c r="AW12" s="44">
        <f t="shared" si="13"/>
        <v>9.8089541339474042</v>
      </c>
      <c r="AX12" s="44">
        <f t="shared" si="13"/>
        <v>9.9491273078503415</v>
      </c>
      <c r="AY12" s="44">
        <f t="shared" si="13"/>
        <v>10.091303602413618</v>
      </c>
      <c r="AZ12" s="44">
        <f t="shared" si="13"/>
        <v>10.235511642888898</v>
      </c>
      <c r="BA12" s="44">
        <f t="shared" si="13"/>
        <v>10.381780463592094</v>
      </c>
      <c r="BB12" s="44">
        <f t="shared" si="13"/>
        <v>10.530139513749011</v>
      </c>
      <c r="BC12" s="44">
        <f t="shared" si="13"/>
        <v>10.680618663424568</v>
      </c>
      <c r="BD12" s="44">
        <f t="shared" si="13"/>
        <v>10.833248209536706</v>
      </c>
      <c r="BE12" s="44">
        <f t="shared" si="13"/>
        <v>10.988058881956272</v>
      </c>
      <c r="BF12" s="44">
        <f t="shared" si="13"/>
        <v>11.145081849694051</v>
      </c>
      <c r="BG12" s="44">
        <f t="shared" si="13"/>
        <v>11.304348727176222</v>
      </c>
      <c r="BH12" s="44">
        <f t="shared" si="13"/>
        <v>11.465891580609492</v>
      </c>
      <c r="BI12" s="44">
        <f t="shared" si="13"/>
        <v>11.629742934437182</v>
      </c>
      <c r="BJ12" s="44">
        <f t="shared" si="13"/>
        <v>11.795935777887587</v>
      </c>
      <c r="BK12" s="44">
        <f t="shared" si="13"/>
        <v>11.9645035716159</v>
      </c>
      <c r="BL12" s="44">
        <f t="shared" si="13"/>
        <v>12.135480254441056</v>
      </c>
      <c r="BM12" s="44">
        <f t="shared" si="13"/>
        <v>12.308900250178857</v>
      </c>
      <c r="BN12" s="44">
        <f t="shared" si="13"/>
        <v>12.484798474572724</v>
      </c>
      <c r="BR12" t="s">
        <v>192</v>
      </c>
      <c r="BS12" s="44" t="e">
        <f>#REF!</f>
        <v>#REF!</v>
      </c>
      <c r="BY12" s="30" t="s">
        <v>28</v>
      </c>
      <c r="BZ12" s="137"/>
      <c r="CA12" s="137"/>
      <c r="CB12" s="137"/>
      <c r="CC12" s="137"/>
      <c r="CD12" s="137"/>
      <c r="CE12" s="143">
        <f>AH44</f>
        <v>0.53497009551515395</v>
      </c>
      <c r="CF12" s="137"/>
      <c r="CG12" s="137"/>
    </row>
    <row r="13" spans="1:88" outlineLevel="1" x14ac:dyDescent="0.2">
      <c r="B13" s="61" t="s">
        <v>77</v>
      </c>
      <c r="C13" s="54" t="s">
        <v>153</v>
      </c>
      <c r="D13" s="44">
        <v>0</v>
      </c>
      <c r="E13" s="44">
        <f>E12*'R&amp;S - Transportation'!$B$15*('R&amp;S - Transportation'!$B$10*'R&amp;S - Transportation'!$B$19*(E$3-$D$3)/10)</f>
        <v>2.7301671219750183E-2</v>
      </c>
      <c r="F13" s="44">
        <f>F12*'R&amp;S - Transportation'!$B$15*('R&amp;S - Transportation'!$B$10*'R&amp;S - Transportation'!$B$19*(F$3-$D$3)/10)</f>
        <v>5.5383642123945268E-2</v>
      </c>
      <c r="G13" s="44">
        <f>G12*'R&amp;S - Transportation'!$B$15*('R&amp;S - Transportation'!$B$10*'R&amp;S - Transportation'!$B$19*(G$3-$D$3)/10)</f>
        <v>8.4262638820466473E-2</v>
      </c>
      <c r="H13" s="44">
        <f>H12*'R&amp;S - Transportation'!$B$15*('R&amp;S - Transportation'!$B$10*'R&amp;S - Transportation'!$B$19*(H$3-$D$3)/10)</f>
        <v>0.11395570611262323</v>
      </c>
      <c r="I13" s="44">
        <f>I12*'R&amp;S - Transportation'!$B$15*('R&amp;S - Transportation'!$B$10*'R&amp;S - Transportation'!$B$19*(I$3-$D$3)/10)</f>
        <v>0.14448021319198109</v>
      </c>
      <c r="J13" s="44">
        <f>J12*'R&amp;S - Transportation'!$B$15*('R&amp;S - Transportation'!$B$10*'R&amp;S - Transportation'!$B$19*(J$3-$D$3)/10)</f>
        <v>0.17585385942881229</v>
      </c>
      <c r="K13" s="44">
        <f>K12*'R&amp;S - Transportation'!$B$15*('R&amp;S - Transportation'!$B$10*'R&amp;S - Transportation'!$B$19*(K$3-$D$3)/10)</f>
        <v>0.20809468026179698</v>
      </c>
      <c r="L13" s="44">
        <f>L12*'R&amp;S - Transportation'!$B$15*('R&amp;S - Transportation'!$B$10*'R&amp;S - Transportation'!$B$19*(L$3-$D$3)/10)</f>
        <v>0.24122105318862894</v>
      </c>
      <c r="M13" s="44">
        <f>M12*'R&amp;S - Transportation'!$B$15*('R&amp;S - Transportation'!$B$10*'R&amp;S - Transportation'!$B$19*(M$3-$D$3)/10)</f>
        <v>0.27525170385920694</v>
      </c>
      <c r="N13" s="44">
        <f>N12*'R&amp;S - Transportation'!$B$15*('R&amp;S - Transportation'!$B$10*'R&amp;S - Transportation'!$B$19*(N$3-$D$3)/10)</f>
        <v>0.31020571227312038</v>
      </c>
      <c r="O13" s="44">
        <f>O12*('R&amp;S - Transportation'!$B$15*('R&amp;S - Transportation'!$B$10*('R&amp;S - Transportation'!$B$19+('R&amp;S - Transportation'!$B$20-'R&amp;S - Transportation'!$B$19)*(O3-$N$3)/10)))</f>
        <v>0.40903024982556024</v>
      </c>
      <c r="P13" s="44">
        <f>P12*('R&amp;S - Transportation'!$B$15*('R&amp;S - Transportation'!$B$10*('R&amp;S - Transportation'!$B$19+('R&amp;S - Transportation'!$B$20-'R&amp;S - Transportation'!$B$19)*(P3-$N$3)/10)))</f>
        <v>0.51061590934221546</v>
      </c>
      <c r="Q13" s="44">
        <f>Q12*('R&amp;S - Transportation'!$B$15*('R&amp;S - Transportation'!$B$10*('R&amp;S - Transportation'!$B$19+('R&amp;S - Transportation'!$B$20-'R&amp;S - Transportation'!$B$19)*(Q3-$N$3)/10)))</f>
        <v>0.61502142419850225</v>
      </c>
      <c r="R13" s="44">
        <f>R12*('R&amp;S - Transportation'!$B$15*('R&amp;S - Transportation'!$B$10*('R&amp;S - Transportation'!$B$19+('R&amp;S - Transportation'!$B$20-'R&amp;S - Transportation'!$B$19)*(R3-$N$3)/10)))</f>
        <v>0.72230664254993493</v>
      </c>
      <c r="S13" s="44">
        <f>S12*('R&amp;S - Transportation'!$B$15*('R&amp;S - Transportation'!$B$10*('R&amp;S - Transportation'!$B$19+('R&amp;S - Transportation'!$B$20-'R&amp;S - Transportation'!$B$19)*(S3-$N$3)/10)))</f>
        <v>0.83253254719912351</v>
      </c>
      <c r="T13" s="44">
        <f>T12*('R&amp;S - Transportation'!$B$15*('R&amp;S - Transportation'!$B$10*('R&amp;S - Transportation'!$B$19+('R&amp;S - Transportation'!$B$20-'R&amp;S - Transportation'!$B$19)*(T3-$N$3)/10)))</f>
        <v>0.94576127580293434</v>
      </c>
      <c r="U13" s="44">
        <f>U12*('R&amp;S - Transportation'!$B$15*('R&amp;S - Transportation'!$B$10*('R&amp;S - Transportation'!$B$19+('R&amp;S - Transportation'!$B$20-'R&amp;S - Transportation'!$B$19)*(U3-$N$3)/10)))</f>
        <v>1.0620561414254714</v>
      </c>
      <c r="V13" s="44">
        <f>V12*('R&amp;S - Transportation'!$B$15*('R&amp;S - Transportation'!$B$10*('R&amp;S - Transportation'!$B$19+('R&amp;S - Transportation'!$B$20-'R&amp;S - Transportation'!$B$19)*(V3-$N$3)/10)))</f>
        <v>1.1814816534426396</v>
      </c>
      <c r="W13" s="44">
        <f>W12*('R&amp;S - Transportation'!$B$15*('R&amp;S - Transportation'!$B$10*('R&amp;S - Transportation'!$B$19+('R&amp;S - Transportation'!$B$20-'R&amp;S - Transportation'!$B$19)*(W3-$N$3)/10)))</f>
        <v>1.3041035388041398</v>
      </c>
      <c r="X13" s="44">
        <f>X12*('R&amp;S - Transportation'!$B$15*('R&amp;S - Transportation'!$B$10*('R&amp;S - Transportation'!$B$19+('R&amp;S - Transportation'!$B$20-'R&amp;S - Transportation'!$B$19)*(X3-$N$3)/10)))</f>
        <v>1.4299887636588453</v>
      </c>
      <c r="Y13" s="44">
        <f>Y12*('R&amp;S - Transportation'!$B$15*('R&amp;S - Transportation'!$B$10*('R&amp;S - Transportation'!$B$20+('R&amp;S - Transportation'!$B$21-'R&amp;S - Transportation'!$B$20)*(Y3-$X$3)/10)))</f>
        <v>1.6679873382809622</v>
      </c>
      <c r="Z13" s="44">
        <f>Z12*('R&amp;S - Transportation'!$B$15*('R&amp;S - Transportation'!$B$10*('R&amp;S - Transportation'!$B$20+('R&amp;S - Transportation'!$B$21-'R&amp;S - Transportation'!$B$20)*(Z3-$X$3)/10)))</f>
        <v>1.9124960454074993</v>
      </c>
      <c r="AA13" s="44">
        <f>AA12*('R&amp;S - Transportation'!$B$15*('R&amp;S - Transportation'!$B$10*('R&amp;S - Transportation'!$B$20+('R&amp;S - Transportation'!$B$21-'R&amp;S - Transportation'!$B$20)*(AA3-$X$3)/10)))</f>
        <v>2.1636523463815296</v>
      </c>
      <c r="AB13" s="44">
        <f>AB12*('R&amp;S - Transportation'!$B$15*('R&amp;S - Transportation'!$B$10*('R&amp;S - Transportation'!$B$20+('R&amp;S - Transportation'!$B$21-'R&amp;S - Transportation'!$B$20)*(AB3-$X$3)/10)))</f>
        <v>2.4215963018247249</v>
      </c>
      <c r="AC13" s="44">
        <f>AC12*('R&amp;S - Transportation'!$B$15*('R&amp;S - Transportation'!$B$10*('R&amp;S - Transportation'!$B$20+('R&amp;S - Transportation'!$B$21-'R&amp;S - Transportation'!$B$20)*(AC3-$X$3)/10)))</f>
        <v>2.6864706178549889</v>
      </c>
      <c r="AD13" s="44">
        <f>AD12*('R&amp;S - Transportation'!$B$15*('R&amp;S - Transportation'!$B$10*('R&amp;S - Transportation'!$B$20+('R&amp;S - Transportation'!$B$21-'R&amp;S - Transportation'!$B$20)*(AD3-$X$3)/10)))</f>
        <v>2.9584206930942072</v>
      </c>
      <c r="AE13" s="44">
        <f>AE12*('R&amp;S - Transportation'!$B$15*('R&amp;S - Transportation'!$B$10*('R&amp;S - Transportation'!$B$20+('R&amp;S - Transportation'!$B$21-'R&amp;S - Transportation'!$B$20)*(AE3-$X$3)/10)))</f>
        <v>3.2375946664792625</v>
      </c>
      <c r="AF13" s="44">
        <f>AF12*('R&amp;S - Transportation'!$B$15*('R&amp;S - Transportation'!$B$10*('R&amp;S - Transportation'!$B$20+('R&amp;S - Transportation'!$B$21-'R&amp;S - Transportation'!$B$20)*(AF3-$X$3)/10)))</f>
        <v>3.5241434658896824</v>
      </c>
      <c r="AG13" s="44">
        <f>AG12*('R&amp;S - Transportation'!$B$15*('R&amp;S - Transportation'!$B$10*('R&amp;S - Transportation'!$B$20+('R&amp;S - Transportation'!$B$21-'R&amp;S - Transportation'!$B$20)*(AG3-$X$3)/10)))</f>
        <v>3.818220857605481</v>
      </c>
      <c r="AH13" s="44">
        <f>AH12*('R&amp;S - Transportation'!$B$15*('R&amp;S - Transportation'!$B$10*('R&amp;S - Transportation'!$B$20+('R&amp;S - Transportation'!$B$21-'R&amp;S - Transportation'!$B$20)*(AH3-$X$3)/10)))</f>
        <v>4.1199834966089988</v>
      </c>
      <c r="AJ13" s="44">
        <v>0</v>
      </c>
      <c r="AK13" s="44">
        <f>AK12*'R&amp;S - Transportation'!$B$16*('R&amp;S - Transportation'!$B$10*'R&amp;S - Transportation'!$B$19*(AK$3-$D$3)/10)</f>
        <v>1.3650835609875091E-2</v>
      </c>
      <c r="AL13" s="44">
        <f>AL12*'R&amp;S - Transportation'!$B$16*('R&amp;S - Transportation'!$B$10*'R&amp;S - Transportation'!$B$19*(AL$3-$D$3)/10)</f>
        <v>2.7691821061972634E-2</v>
      </c>
      <c r="AM13" s="44">
        <f>AM12*'R&amp;S - Transportation'!$B$16*('R&amp;S - Transportation'!$B$10*'R&amp;S - Transportation'!$B$19*(AM$3-$D$3)/10)</f>
        <v>4.2131319410233237E-2</v>
      </c>
      <c r="AN13" s="44">
        <f>AN12*'R&amp;S - Transportation'!$B$16*('R&amp;S - Transportation'!$B$10*'R&amp;S - Transportation'!$B$19*(AN$3-$D$3)/10)</f>
        <v>5.6977853056311617E-2</v>
      </c>
      <c r="AO13" s="44">
        <f>AO12*'R&amp;S - Transportation'!$B$16*('R&amp;S - Transportation'!$B$10*'R&amp;S - Transportation'!$B$19*(AO$3-$D$3)/10)</f>
        <v>7.2240106595990547E-2</v>
      </c>
      <c r="AP13" s="44">
        <f>AP12*'R&amp;S - Transportation'!$B$16*('R&amp;S - Transportation'!$B$10*'R&amp;S - Transportation'!$B$19*(AP$3-$D$3)/10)</f>
        <v>8.7926929714406146E-2</v>
      </c>
      <c r="AQ13" s="44">
        <f>AQ12*'R&amp;S - Transportation'!$B$16*('R&amp;S - Transportation'!$B$10*'R&amp;S - Transportation'!$B$19*(AQ$3-$D$3)/10)</f>
        <v>0.10404734013089849</v>
      </c>
      <c r="AR13" s="44">
        <f>AR12*'R&amp;S - Transportation'!$B$16*('R&amp;S - Transportation'!$B$10*'R&amp;S - Transportation'!$B$19*(AR$3-$D$3)/10)</f>
        <v>0.12061052659431447</v>
      </c>
      <c r="AS13" s="44">
        <f>AS12*'R&amp;S - Transportation'!$B$16*('R&amp;S - Transportation'!$B$10*'R&amp;S - Transportation'!$B$19*(AS$3-$D$3)/10)</f>
        <v>0.13762585192960347</v>
      </c>
      <c r="AT13" s="44">
        <f>AT12*'R&amp;S - Transportation'!$B$16*('R&amp;S - Transportation'!$B$10*'R&amp;S - Transportation'!$B$19*(AT$3-$D$3)/10)</f>
        <v>0.15510285613656019</v>
      </c>
      <c r="AU13" s="44">
        <f>AU12*('R&amp;S - Transportation'!$B$16*('R&amp;S - Transportation'!$B$10*('R&amp;S - Transportation'!$B$19+('R&amp;S - Transportation'!$B$20-'R&amp;S - Transportation'!$B$19)*(AU3-$N$3)/10)))</f>
        <v>0.20451512491278012</v>
      </c>
      <c r="AV13" s="44">
        <f>AV12*('R&amp;S - Transportation'!$B$16*('R&amp;S - Transportation'!$B$10*('R&amp;S - Transportation'!$B$19+('R&amp;S - Transportation'!$B$20-'R&amp;S - Transportation'!$B$19)*(AV3-$N$3)/10)))</f>
        <v>0.25530795467110773</v>
      </c>
      <c r="AW13" s="44">
        <f>AW12*('R&amp;S - Transportation'!$B$16*('R&amp;S - Transportation'!$B$10*('R&amp;S - Transportation'!$B$19+('R&amp;S - Transportation'!$B$20-'R&amp;S - Transportation'!$B$19)*(AW3-$N$3)/10)))</f>
        <v>0.30751071209925113</v>
      </c>
      <c r="AX13" s="44">
        <f>AX12*('R&amp;S - Transportation'!$B$16*('R&amp;S - Transportation'!$B$10*('R&amp;S - Transportation'!$B$19+('R&amp;S - Transportation'!$B$20-'R&amp;S - Transportation'!$B$19)*(AX3-$N$3)/10)))</f>
        <v>0.36115332127496746</v>
      </c>
      <c r="AY13" s="44">
        <f>AY12*('R&amp;S - Transportation'!$B$16*('R&amp;S - Transportation'!$B$10*('R&amp;S - Transportation'!$B$19+('R&amp;S - Transportation'!$B$20-'R&amp;S - Transportation'!$B$19)*(AY3-$N$3)/10)))</f>
        <v>0.41626627359956175</v>
      </c>
      <c r="AZ13" s="44">
        <f>AZ12*('R&amp;S - Transportation'!$B$16*('R&amp;S - Transportation'!$B$10*('R&amp;S - Transportation'!$B$19+('R&amp;S - Transportation'!$B$20-'R&amp;S - Transportation'!$B$19)*(AZ3-$N$3)/10)))</f>
        <v>0.47288063790146717</v>
      </c>
      <c r="BA13" s="44">
        <f>BA12*('R&amp;S - Transportation'!$B$16*('R&amp;S - Transportation'!$B$10*('R&amp;S - Transportation'!$B$19+('R&amp;S - Transportation'!$B$20-'R&amp;S - Transportation'!$B$19)*(BA3-$N$3)/10)))</f>
        <v>0.53102807071273572</v>
      </c>
      <c r="BB13" s="44">
        <f>BB12*('R&amp;S - Transportation'!$B$16*('R&amp;S - Transportation'!$B$10*('R&amp;S - Transportation'!$B$19+('R&amp;S - Transportation'!$B$20-'R&amp;S - Transportation'!$B$19)*(BB3-$N$3)/10)))</f>
        <v>0.59074082672131978</v>
      </c>
      <c r="BC13" s="44">
        <f>BC12*('R&amp;S - Transportation'!$B$16*('R&amp;S - Transportation'!$B$10*('R&amp;S - Transportation'!$B$19+('R&amp;S - Transportation'!$B$20-'R&amp;S - Transportation'!$B$19)*(BC3-$N$3)/10)))</f>
        <v>0.65205176940206988</v>
      </c>
      <c r="BD13" s="44">
        <f>BD12*('R&amp;S - Transportation'!$B$16*('R&amp;S - Transportation'!$B$10*('R&amp;S - Transportation'!$B$19+('R&amp;S - Transportation'!$B$20-'R&amp;S - Transportation'!$B$19)*(BD3-$N$3)/10)))</f>
        <v>0.71499438182942265</v>
      </c>
      <c r="BE13" s="44">
        <f>BE12*('R&amp;S - Transportation'!$B$16*('R&amp;S - Transportation'!$B$10*('R&amp;S - Transportation'!$B$20+('R&amp;S - Transportation'!$B$21-'R&amp;S - Transportation'!$B$20)*(BE3-$X$3)/10)))</f>
        <v>0.83399366914048112</v>
      </c>
      <c r="BF13" s="44">
        <f>BF12*('R&amp;S - Transportation'!$B$16*('R&amp;S - Transportation'!$B$10*('R&amp;S - Transportation'!$B$20+('R&amp;S - Transportation'!$B$21-'R&amp;S - Transportation'!$B$20)*(BF3-$X$3)/10)))</f>
        <v>0.95624802270374964</v>
      </c>
      <c r="BG13" s="44">
        <f>BG12*('R&amp;S - Transportation'!$B$16*('R&amp;S - Transportation'!$B$10*('R&amp;S - Transportation'!$B$20+('R&amp;S - Transportation'!$B$21-'R&amp;S - Transportation'!$B$20)*(BG3-$X$3)/10)))</f>
        <v>1.0818261731907648</v>
      </c>
      <c r="BH13" s="44">
        <f>BH12*('R&amp;S - Transportation'!$B$16*('R&amp;S - Transportation'!$B$10*('R&amp;S - Transportation'!$B$20+('R&amp;S - Transportation'!$B$21-'R&amp;S - Transportation'!$B$20)*(BH3-$X$3)/10)))</f>
        <v>1.2107981509123624</v>
      </c>
      <c r="BI13" s="44">
        <f>BI12*('R&amp;S - Transportation'!$B$16*('R&amp;S - Transportation'!$B$10*('R&amp;S - Transportation'!$B$20+('R&amp;S - Transportation'!$B$21-'R&amp;S - Transportation'!$B$20)*(BI3-$X$3)/10)))</f>
        <v>1.3432353089274944</v>
      </c>
      <c r="BJ13" s="44">
        <f>BJ12*('R&amp;S - Transportation'!$B$16*('R&amp;S - Transportation'!$B$10*('R&amp;S - Transportation'!$B$20+('R&amp;S - Transportation'!$B$21-'R&amp;S - Transportation'!$B$20)*(BJ3-$X$3)/10)))</f>
        <v>1.4792103465471036</v>
      </c>
      <c r="BK13" s="44">
        <f>BK12*('R&amp;S - Transportation'!$B$16*('R&amp;S - Transportation'!$B$10*('R&amp;S - Transportation'!$B$20+('R&amp;S - Transportation'!$B$21-'R&amp;S - Transportation'!$B$20)*(BK3-$X$3)/10)))</f>
        <v>1.6187973332396313</v>
      </c>
      <c r="BL13" s="44">
        <f>BL12*('R&amp;S - Transportation'!$B$16*('R&amp;S - Transportation'!$B$10*('R&amp;S - Transportation'!$B$20+('R&amp;S - Transportation'!$B$21-'R&amp;S - Transportation'!$B$20)*(BL3-$X$3)/10)))</f>
        <v>1.7620717329448412</v>
      </c>
      <c r="BM13" s="44">
        <f>BM12*('R&amp;S - Transportation'!$B$16*('R&amp;S - Transportation'!$B$10*('R&amp;S - Transportation'!$B$20+('R&amp;S - Transportation'!$B$21-'R&amp;S - Transportation'!$B$20)*(BM3-$X$3)/10)))</f>
        <v>1.9091104288027405</v>
      </c>
      <c r="BN13" s="44">
        <f>BN12*('R&amp;S - Transportation'!$B$16*('R&amp;S - Transportation'!$B$10*('R&amp;S - Transportation'!$B$20+('R&amp;S - Transportation'!$B$21-'R&amp;S - Transportation'!$B$20)*(BN3-$X$3)/10)))</f>
        <v>2.0599917483044994</v>
      </c>
      <c r="BS13" s="442" t="e">
        <f>SUM(BS9:BS12)</f>
        <v>#REF!</v>
      </c>
      <c r="BY13" s="30" t="s">
        <v>193</v>
      </c>
      <c r="BZ13" s="137"/>
      <c r="CA13" s="137"/>
      <c r="CB13" s="137"/>
      <c r="CC13" s="137"/>
      <c r="CD13" s="137"/>
      <c r="CE13" s="137"/>
      <c r="CF13" s="143">
        <f>SUM(AH71:AH72)</f>
        <v>1.5460717763237883</v>
      </c>
      <c r="CG13" s="137"/>
    </row>
    <row r="14" spans="1:88" outlineLevel="1" x14ac:dyDescent="0.2">
      <c r="B14" s="61" t="s">
        <v>194</v>
      </c>
      <c r="C14" s="54" t="s">
        <v>153</v>
      </c>
      <c r="D14" s="44">
        <v>0</v>
      </c>
      <c r="E14" s="44">
        <f>E12*'R&amp;S - Transportation'!$B$15*('R&amp;S - Transportation'!$B$11*'R&amp;S - Transportation'!$B$19*(E$3-$D$3)/10)</f>
        <v>1.7373790776204663E-2</v>
      </c>
      <c r="F14" s="44">
        <f>F12*'R&amp;S - Transportation'!$B$15*('R&amp;S - Transportation'!$B$11*'R&amp;S - Transportation'!$B$19*(F$3-$D$3)/10)</f>
        <v>3.5244135897056085E-2</v>
      </c>
      <c r="G14" s="44">
        <f>G12*'R&amp;S - Transportation'!$B$15*('R&amp;S - Transportation'!$B$11*'R&amp;S - Transportation'!$B$19*(G$3-$D$3)/10)</f>
        <v>5.3621679249387759E-2</v>
      </c>
      <c r="H14" s="44">
        <f>H12*'R&amp;S - Transportation'!$B$15*('R&amp;S - Transportation'!$B$11*'R&amp;S - Transportation'!$B$19*(H$3-$D$3)/10)</f>
        <v>7.251726752621479E-2</v>
      </c>
      <c r="I14" s="44">
        <f>I12*'R&amp;S - Transportation'!$B$15*('R&amp;S - Transportation'!$B$11*'R&amp;S - Transportation'!$B$19*(I$3-$D$3)/10)</f>
        <v>9.1941953849442509E-2</v>
      </c>
      <c r="J14" s="44">
        <f>J12*'R&amp;S - Transportation'!$B$15*('R&amp;S - Transportation'!$B$11*'R&amp;S - Transportation'!$B$19*(J$3-$D$3)/10)</f>
        <v>0.11190700145469872</v>
      </c>
      <c r="K14" s="44">
        <f>K12*'R&amp;S - Transportation'!$B$15*('R&amp;S - Transportation'!$B$11*'R&amp;S - Transportation'!$B$19*(K$3-$D$3)/10)</f>
        <v>0.13242388743932534</v>
      </c>
      <c r="L14" s="44">
        <f>L12*'R&amp;S - Transportation'!$B$15*('R&amp;S - Transportation'!$B$11*'R&amp;S - Transportation'!$B$19*(L$3-$D$3)/10)</f>
        <v>0.15350430657458208</v>
      </c>
      <c r="M14" s="44">
        <f>M12*'R&amp;S - Transportation'!$B$15*('R&amp;S - Transportation'!$B$11*'R&amp;S - Transportation'!$B$19*(M$3-$D$3)/10)</f>
        <v>0.17516017518313168</v>
      </c>
      <c r="N14" s="44">
        <f>N12*'R&amp;S - Transportation'!$B$15*('R&amp;S - Transportation'!$B$11*'R&amp;S - Transportation'!$B$19*(N$3-$D$3)/10)</f>
        <v>0.1974036350828948</v>
      </c>
      <c r="O14" s="44">
        <f>O12*('R&amp;S - Transportation'!$B$15*('R&amp;S - Transportation'!$B$11*('R&amp;S - Transportation'!$B$19+('R&amp;S - Transportation'!$B$20-'R&amp;S - Transportation'!$B$19)*(O3-$N$3)/10)))</f>
        <v>0.26029197716172014</v>
      </c>
      <c r="P14" s="44">
        <f>P12*('R&amp;S - Transportation'!$B$15*('R&amp;S - Transportation'!$B$11*('R&amp;S - Transportation'!$B$19+('R&amp;S - Transportation'!$B$20-'R&amp;S - Transportation'!$B$19)*(P3-$N$3)/10)))</f>
        <v>0.32493739685413703</v>
      </c>
      <c r="Q14" s="44">
        <f>Q12*('R&amp;S - Transportation'!$B$15*('R&amp;S - Transportation'!$B$11*('R&amp;S - Transportation'!$B$19+('R&amp;S - Transportation'!$B$20-'R&amp;S - Transportation'!$B$19)*(Q3-$N$3)/10)))</f>
        <v>0.39137726994450139</v>
      </c>
      <c r="R14" s="44">
        <f>R12*('R&amp;S - Transportation'!$B$15*('R&amp;S - Transportation'!$B$11*('R&amp;S - Transportation'!$B$19+('R&amp;S - Transportation'!$B$20-'R&amp;S - Transportation'!$B$19)*(R3-$N$3)/10)))</f>
        <v>0.45964968162268582</v>
      </c>
      <c r="S14" s="44">
        <f>S12*('R&amp;S - Transportation'!$B$15*('R&amp;S - Transportation'!$B$11*('R&amp;S - Transportation'!$B$19+('R&amp;S - Transportation'!$B$20-'R&amp;S - Transportation'!$B$19)*(S3-$N$3)/10)))</f>
        <v>0.52979343912671495</v>
      </c>
      <c r="T14" s="44">
        <f>T12*('R&amp;S - Transportation'!$B$15*('R&amp;S - Transportation'!$B$11*('R&amp;S - Transportation'!$B$19+('R&amp;S - Transportation'!$B$20-'R&amp;S - Transportation'!$B$19)*(T3-$N$3)/10)))</f>
        <v>0.60184808460186723</v>
      </c>
      <c r="U14" s="44">
        <f>U12*('R&amp;S - Transportation'!$B$15*('R&amp;S - Transportation'!$B$11*('R&amp;S - Transportation'!$B$19+('R&amp;S - Transportation'!$B$20-'R&amp;S - Transportation'!$B$19)*(U3-$N$3)/10)))</f>
        <v>0.67585390817984536</v>
      </c>
      <c r="V14" s="44">
        <f>V12*('R&amp;S - Transportation'!$B$15*('R&amp;S - Transportation'!$B$11*('R&amp;S - Transportation'!$B$19+('R&amp;S - Transportation'!$B$20-'R&amp;S - Transportation'!$B$19)*(V3-$N$3)/10)))</f>
        <v>0.75185196128167964</v>
      </c>
      <c r="W14" s="44">
        <f>W12*('R&amp;S - Transportation'!$B$15*('R&amp;S - Transportation'!$B$11*('R&amp;S - Transportation'!$B$19+('R&amp;S - Transportation'!$B$20-'R&amp;S - Transportation'!$B$19)*(W3-$N$3)/10)))</f>
        <v>0.82988407014808885</v>
      </c>
      <c r="X14" s="44">
        <f>X12*('R&amp;S - Transportation'!$B$15*('R&amp;S - Transportation'!$B$11*('R&amp;S - Transportation'!$B$19+('R&amp;S - Transportation'!$B$20-'R&amp;S - Transportation'!$B$19)*(X3-$N$3)/10)))</f>
        <v>0.90999284960108329</v>
      </c>
      <c r="Y14" s="44">
        <f>Y12*('R&amp;S - Transportation'!$B$15*('R&amp;S - Transportation'!$B$11*('R&amp;S - Transportation'!$B$20+('R&amp;S - Transportation'!$B$21-'R&amp;S - Transportation'!$B$20)*(Y3-$X$3)/10)))</f>
        <v>1.0614464879969761</v>
      </c>
      <c r="Z14" s="44">
        <f>Z12*('R&amp;S - Transportation'!$B$15*('R&amp;S - Transportation'!$B$11*('R&amp;S - Transportation'!$B$20+('R&amp;S - Transportation'!$B$21-'R&amp;S - Transportation'!$B$20)*(Z3-$X$3)/10)))</f>
        <v>1.2170429379865906</v>
      </c>
      <c r="AA14" s="44">
        <f>AA12*('R&amp;S - Transportation'!$B$15*('R&amp;S - Transportation'!$B$11*('R&amp;S - Transportation'!$B$20+('R&amp;S - Transportation'!$B$21-'R&amp;S - Transportation'!$B$20)*(AA3-$X$3)/10)))</f>
        <v>1.376869674970064</v>
      </c>
      <c r="AB14" s="44">
        <f>AB12*('R&amp;S - Transportation'!$B$15*('R&amp;S - Transportation'!$B$11*('R&amp;S - Transportation'!$B$20+('R&amp;S - Transportation'!$B$21-'R&amp;S - Transportation'!$B$20)*(AB3-$X$3)/10)))</f>
        <v>1.5410158284339157</v>
      </c>
      <c r="AC14" s="44">
        <f>AC12*('R&amp;S - Transportation'!$B$15*('R&amp;S - Transportation'!$B$11*('R&amp;S - Transportation'!$B$20+('R&amp;S - Transportation'!$B$21-'R&amp;S - Transportation'!$B$20)*(AC3-$X$3)/10)))</f>
        <v>1.7095722113622658</v>
      </c>
      <c r="AD14" s="44">
        <f>AD12*('R&amp;S - Transportation'!$B$15*('R&amp;S - Transportation'!$B$11*('R&amp;S - Transportation'!$B$20+('R&amp;S - Transportation'!$B$21-'R&amp;S - Transportation'!$B$20)*(AD3-$X$3)/10)))</f>
        <v>1.8826313501508589</v>
      </c>
      <c r="AE14" s="44">
        <f>AE12*('R&amp;S - Transportation'!$B$15*('R&amp;S - Transportation'!$B$11*('R&amp;S - Transportation'!$B$20+('R&amp;S - Transportation'!$B$21-'R&amp;S - Transportation'!$B$20)*(AE3-$X$3)/10)))</f>
        <v>2.0602875150322584</v>
      </c>
      <c r="AF14" s="44">
        <f>AF12*('R&amp;S - Transportation'!$B$15*('R&amp;S - Transportation'!$B$11*('R&amp;S - Transportation'!$B$20+('R&amp;S - Transportation'!$B$21-'R&amp;S - Transportation'!$B$20)*(AF3-$X$3)/10)))</f>
        <v>2.242636751020707</v>
      </c>
      <c r="AG14" s="44">
        <f>AG12*('R&amp;S - Transportation'!$B$15*('R&amp;S - Transportation'!$B$11*('R&amp;S - Transportation'!$B$20+('R&amp;S - Transportation'!$B$21-'R&amp;S - Transportation'!$B$20)*(AG3-$X$3)/10)))</f>
        <v>2.4297769093853061</v>
      </c>
      <c r="AH14" s="44">
        <f>AH12*('R&amp;S - Transportation'!$B$15*('R&amp;S - Transportation'!$B$11*('R&amp;S - Transportation'!$B$20+('R&amp;S - Transportation'!$B$21-'R&amp;S - Transportation'!$B$20)*(AH3-$X$3)/10)))</f>
        <v>2.6218076796602721</v>
      </c>
      <c r="AJ14" s="44">
        <v>0</v>
      </c>
      <c r="AK14" s="44">
        <f>AK12*'R&amp;S - Transportation'!$B$16*('R&amp;S - Transportation'!$B$11*'R&amp;S - Transportation'!$B$19*(AK$3-$D$3)/10)</f>
        <v>8.6868953881023316E-3</v>
      </c>
      <c r="AL14" s="44">
        <f>AL12*'R&amp;S - Transportation'!$B$16*('R&amp;S - Transportation'!$B$11*'R&amp;S - Transportation'!$B$19*(AL$3-$D$3)/10)</f>
        <v>1.7622067948528043E-2</v>
      </c>
      <c r="AM14" s="44">
        <f>AM12*'R&amp;S - Transportation'!$B$16*('R&amp;S - Transportation'!$B$11*'R&amp;S - Transportation'!$B$19*(AM$3-$D$3)/10)</f>
        <v>2.6810839624693879E-2</v>
      </c>
      <c r="AN14" s="44">
        <f>AN12*'R&amp;S - Transportation'!$B$16*('R&amp;S - Transportation'!$B$11*'R&amp;S - Transportation'!$B$19*(AN$3-$D$3)/10)</f>
        <v>3.6258633763107395E-2</v>
      </c>
      <c r="AO14" s="44">
        <f>AO12*'R&amp;S - Transportation'!$B$16*('R&amp;S - Transportation'!$B$11*'R&amp;S - Transportation'!$B$19*(AO$3-$D$3)/10)</f>
        <v>4.5970976924721255E-2</v>
      </c>
      <c r="AP14" s="44">
        <f>AP12*'R&amp;S - Transportation'!$B$16*('R&amp;S - Transportation'!$B$11*'R&amp;S - Transportation'!$B$19*(AP$3-$D$3)/10)</f>
        <v>5.5953500727349358E-2</v>
      </c>
      <c r="AQ14" s="44">
        <f>AQ12*'R&amp;S - Transportation'!$B$16*('R&amp;S - Transportation'!$B$11*'R&amp;S - Transportation'!$B$19*(AQ$3-$D$3)/10)</f>
        <v>6.6211943719662672E-2</v>
      </c>
      <c r="AR14" s="44">
        <f>AR12*'R&amp;S - Transportation'!$B$16*('R&amp;S - Transportation'!$B$11*'R&amp;S - Transportation'!$B$19*(AR$3-$D$3)/10)</f>
        <v>7.6752153287291042E-2</v>
      </c>
      <c r="AS14" s="44">
        <f>AS12*'R&amp;S - Transportation'!$B$16*('R&amp;S - Transportation'!$B$11*'R&amp;S - Transportation'!$B$19*(AS$3-$D$3)/10)</f>
        <v>8.7580087591565839E-2</v>
      </c>
      <c r="AT14" s="44">
        <f>AT12*'R&amp;S - Transportation'!$B$16*('R&amp;S - Transportation'!$B$11*'R&amp;S - Transportation'!$B$19*(AT$3-$D$3)/10)</f>
        <v>9.8701817541447398E-2</v>
      </c>
      <c r="AU14" s="44">
        <f>AU12*('R&amp;S - Transportation'!$B$16*('R&amp;S - Transportation'!$B$11*('R&amp;S - Transportation'!$B$19+('R&amp;S - Transportation'!$B$20-'R&amp;S - Transportation'!$B$19)*(AU3-$N$3)/10)))</f>
        <v>0.13014598858086007</v>
      </c>
      <c r="AV14" s="44">
        <f>AV12*('R&amp;S - Transportation'!$B$16*('R&amp;S - Transportation'!$B$11*('R&amp;S - Transportation'!$B$19+('R&amp;S - Transportation'!$B$20-'R&amp;S - Transportation'!$B$19)*(AV3-$N$3)/10)))</f>
        <v>0.16246869842706851</v>
      </c>
      <c r="AW14" s="44">
        <f>AW12*('R&amp;S - Transportation'!$B$16*('R&amp;S - Transportation'!$B$11*('R&amp;S - Transportation'!$B$19+('R&amp;S - Transportation'!$B$20-'R&amp;S - Transportation'!$B$19)*(AW3-$N$3)/10)))</f>
        <v>0.1956886349722507</v>
      </c>
      <c r="AX14" s="44">
        <f>AX12*('R&amp;S - Transportation'!$B$16*('R&amp;S - Transportation'!$B$11*('R&amp;S - Transportation'!$B$19+('R&amp;S - Transportation'!$B$20-'R&amp;S - Transportation'!$B$19)*(AX3-$N$3)/10)))</f>
        <v>0.22982484081134291</v>
      </c>
      <c r="AY14" s="44">
        <f>AY12*('R&amp;S - Transportation'!$B$16*('R&amp;S - Transportation'!$B$11*('R&amp;S - Transportation'!$B$19+('R&amp;S - Transportation'!$B$20-'R&amp;S - Transportation'!$B$19)*(AY3-$N$3)/10)))</f>
        <v>0.26489671956335747</v>
      </c>
      <c r="AZ14" s="44">
        <f>AZ12*('R&amp;S - Transportation'!$B$16*('R&amp;S - Transportation'!$B$11*('R&amp;S - Transportation'!$B$19+('R&amp;S - Transportation'!$B$20-'R&amp;S - Transportation'!$B$19)*(AZ3-$N$3)/10)))</f>
        <v>0.30092404230093361</v>
      </c>
      <c r="BA14" s="44">
        <f>BA12*('R&amp;S - Transportation'!$B$16*('R&amp;S - Transportation'!$B$11*('R&amp;S - Transportation'!$B$19+('R&amp;S - Transportation'!$B$20-'R&amp;S - Transportation'!$B$19)*(BA3-$N$3)/10)))</f>
        <v>0.33792695408992268</v>
      </c>
      <c r="BB14" s="44">
        <f>BB12*('R&amp;S - Transportation'!$B$16*('R&amp;S - Transportation'!$B$11*('R&amp;S - Transportation'!$B$19+('R&amp;S - Transportation'!$B$20-'R&amp;S - Transportation'!$B$19)*(BB3-$N$3)/10)))</f>
        <v>0.37592598064083982</v>
      </c>
      <c r="BC14" s="44">
        <f>BC12*('R&amp;S - Transportation'!$B$16*('R&amp;S - Transportation'!$B$11*('R&amp;S - Transportation'!$B$19+('R&amp;S - Transportation'!$B$20-'R&amp;S - Transportation'!$B$19)*(BC3-$N$3)/10)))</f>
        <v>0.41494203507404442</v>
      </c>
      <c r="BD14" s="44">
        <f>BD12*('R&amp;S - Transportation'!$B$16*('R&amp;S - Transportation'!$B$11*('R&amp;S - Transportation'!$B$19+('R&amp;S - Transportation'!$B$20-'R&amp;S - Transportation'!$B$19)*(BD3-$N$3)/10)))</f>
        <v>0.45499642480054164</v>
      </c>
      <c r="BE14" s="44">
        <f>BE12*('R&amp;S - Transportation'!$B$16*('R&amp;S - Transportation'!$B$11*('R&amp;S - Transportation'!$B$20+('R&amp;S - Transportation'!$B$21-'R&amp;S - Transportation'!$B$20)*(BE3-$X$3)/10)))</f>
        <v>0.53072324399848803</v>
      </c>
      <c r="BF14" s="44">
        <f>BF12*('R&amp;S - Transportation'!$B$16*('R&amp;S - Transportation'!$B$11*('R&amp;S - Transportation'!$B$20+('R&amp;S - Transportation'!$B$21-'R&amp;S - Transportation'!$B$20)*(BF3-$X$3)/10)))</f>
        <v>0.60852146899329529</v>
      </c>
      <c r="BG14" s="44">
        <f>BG12*('R&amp;S - Transportation'!$B$16*('R&amp;S - Transportation'!$B$11*('R&amp;S - Transportation'!$B$20+('R&amp;S - Transportation'!$B$21-'R&amp;S - Transportation'!$B$20)*(BG3-$X$3)/10)))</f>
        <v>0.68843483748503198</v>
      </c>
      <c r="BH14" s="44">
        <f>BH12*('R&amp;S - Transportation'!$B$16*('R&amp;S - Transportation'!$B$11*('R&amp;S - Transportation'!$B$20+('R&amp;S - Transportation'!$B$21-'R&amp;S - Transportation'!$B$20)*(BH3-$X$3)/10)))</f>
        <v>0.77050791421695786</v>
      </c>
      <c r="BI14" s="44">
        <f>BI12*('R&amp;S - Transportation'!$B$16*('R&amp;S - Transportation'!$B$11*('R&amp;S - Transportation'!$B$20+('R&amp;S - Transportation'!$B$21-'R&amp;S - Transportation'!$B$20)*(BI3-$X$3)/10)))</f>
        <v>0.85478610568113289</v>
      </c>
      <c r="BJ14" s="44">
        <f>BJ12*('R&amp;S - Transportation'!$B$16*('R&amp;S - Transportation'!$B$11*('R&amp;S - Transportation'!$B$20+('R&amp;S - Transportation'!$B$21-'R&amp;S - Transportation'!$B$20)*(BJ3-$X$3)/10)))</f>
        <v>0.94131567507542946</v>
      </c>
      <c r="BK14" s="44">
        <f>BK12*('R&amp;S - Transportation'!$B$16*('R&amp;S - Transportation'!$B$11*('R&amp;S - Transportation'!$B$20+('R&amp;S - Transportation'!$B$21-'R&amp;S - Transportation'!$B$20)*(BK3-$X$3)/10)))</f>
        <v>1.0301437575161292</v>
      </c>
      <c r="BL14" s="44">
        <f>BL12*('R&amp;S - Transportation'!$B$16*('R&amp;S - Transportation'!$B$11*('R&amp;S - Transportation'!$B$20+('R&amp;S - Transportation'!$B$21-'R&amp;S - Transportation'!$B$20)*(BL3-$X$3)/10)))</f>
        <v>1.1213183755103535</v>
      </c>
      <c r="BM14" s="44">
        <f>BM12*('R&amp;S - Transportation'!$B$16*('R&amp;S - Transportation'!$B$11*('R&amp;S - Transportation'!$B$20+('R&amp;S - Transportation'!$B$21-'R&amp;S - Transportation'!$B$20)*(BM3-$X$3)/10)))</f>
        <v>1.2148884546926531</v>
      </c>
      <c r="BN14" s="44">
        <f>BN12*('R&amp;S - Transportation'!$B$16*('R&amp;S - Transportation'!$B$11*('R&amp;S - Transportation'!$B$20+('R&amp;S - Transportation'!$B$21-'R&amp;S - Transportation'!$B$20)*(BN3-$X$3)/10)))</f>
        <v>1.310903839830136</v>
      </c>
      <c r="BR14" t="s">
        <v>53</v>
      </c>
      <c r="BS14" s="44">
        <f>AH4</f>
        <v>25.054959115946328</v>
      </c>
      <c r="BY14" s="30" t="s">
        <v>195</v>
      </c>
      <c r="BZ14" s="137"/>
      <c r="CA14" s="137"/>
      <c r="CB14" s="137"/>
      <c r="CC14" s="137"/>
      <c r="CD14" s="137"/>
      <c r="CE14" s="137"/>
      <c r="CF14" s="143">
        <f>SUM(AH74:AH75)</f>
        <v>0</v>
      </c>
      <c r="CG14" s="137"/>
    </row>
    <row r="15" spans="1:88" outlineLevel="1" x14ac:dyDescent="0.2">
      <c r="B15" s="1" t="s">
        <v>168</v>
      </c>
      <c r="C15" s="54" t="s">
        <v>153</v>
      </c>
      <c r="D15" s="44">
        <f>SUM(D13:D14)</f>
        <v>0</v>
      </c>
      <c r="E15" s="44">
        <f t="shared" ref="E15:AG15" si="14">SUM(E13:E14)</f>
        <v>4.4675461995954846E-2</v>
      </c>
      <c r="F15" s="44">
        <f t="shared" si="14"/>
        <v>9.0627778021001359E-2</v>
      </c>
      <c r="G15" s="44">
        <f t="shared" si="14"/>
        <v>0.13788431806985424</v>
      </c>
      <c r="H15" s="44">
        <f t="shared" si="14"/>
        <v>0.18647297363883802</v>
      </c>
      <c r="I15" s="44">
        <f t="shared" si="14"/>
        <v>0.2364221670414236</v>
      </c>
      <c r="J15" s="44">
        <f t="shared" si="14"/>
        <v>0.28776086088351099</v>
      </c>
      <c r="K15" s="44">
        <f t="shared" si="14"/>
        <v>0.34051856770112232</v>
      </c>
      <c r="L15" s="44">
        <f t="shared" si="14"/>
        <v>0.39472535976321099</v>
      </c>
      <c r="M15" s="44">
        <f t="shared" si="14"/>
        <v>0.45041187904233859</v>
      </c>
      <c r="N15" s="44">
        <f t="shared" si="14"/>
        <v>0.50760934735601515</v>
      </c>
      <c r="O15" s="44">
        <f t="shared" si="14"/>
        <v>0.66932222698728039</v>
      </c>
      <c r="P15" s="44">
        <f t="shared" si="14"/>
        <v>0.83555330619635249</v>
      </c>
      <c r="Q15" s="44">
        <f t="shared" si="14"/>
        <v>1.0063986941430036</v>
      </c>
      <c r="R15" s="44">
        <f t="shared" si="14"/>
        <v>1.1819563241726208</v>
      </c>
      <c r="S15" s="44">
        <f t="shared" si="14"/>
        <v>1.3623259863258386</v>
      </c>
      <c r="T15" s="44">
        <f t="shared" si="14"/>
        <v>1.5476093604048016</v>
      </c>
      <c r="U15" s="44">
        <f t="shared" si="14"/>
        <v>1.7379100496053168</v>
      </c>
      <c r="V15" s="44">
        <f t="shared" si="14"/>
        <v>1.9333336147243192</v>
      </c>
      <c r="W15" s="44">
        <f t="shared" si="14"/>
        <v>2.1339876089522285</v>
      </c>
      <c r="X15" s="44">
        <f t="shared" si="14"/>
        <v>2.3399816132599285</v>
      </c>
      <c r="Y15" s="44">
        <f t="shared" si="14"/>
        <v>2.7294338262779383</v>
      </c>
      <c r="Z15" s="44">
        <f t="shared" si="14"/>
        <v>3.1295389833940899</v>
      </c>
      <c r="AA15" s="44">
        <f t="shared" si="14"/>
        <v>3.5405220213515936</v>
      </c>
      <c r="AB15" s="44">
        <f t="shared" si="14"/>
        <v>3.9626121302586403</v>
      </c>
      <c r="AC15" s="44">
        <f t="shared" si="14"/>
        <v>4.3960428292172544</v>
      </c>
      <c r="AD15" s="44">
        <f t="shared" si="14"/>
        <v>4.8410520432450657</v>
      </c>
      <c r="AE15" s="44">
        <f t="shared" si="14"/>
        <v>5.2978821815115209</v>
      </c>
      <c r="AF15" s="44">
        <f t="shared" si="14"/>
        <v>5.766780216910389</v>
      </c>
      <c r="AG15" s="44">
        <f t="shared" si="14"/>
        <v>6.2479977669907871</v>
      </c>
      <c r="AH15" s="44">
        <f>SUM(AH13:AH14)</f>
        <v>6.7417911762692704</v>
      </c>
      <c r="AJ15" s="44">
        <f>SUM(AJ13:AJ14)</f>
        <v>0</v>
      </c>
      <c r="AK15" s="44">
        <f t="shared" ref="AK15:BM15" si="15">SUM(AK13:AK14)</f>
        <v>2.2337730997977423E-2</v>
      </c>
      <c r="AL15" s="44">
        <f t="shared" si="15"/>
        <v>4.531388901050068E-2</v>
      </c>
      <c r="AM15" s="44">
        <f t="shared" si="15"/>
        <v>6.894215903492712E-2</v>
      </c>
      <c r="AN15" s="44">
        <f t="shared" si="15"/>
        <v>9.3236486819419012E-2</v>
      </c>
      <c r="AO15" s="44">
        <f t="shared" si="15"/>
        <v>0.1182110835207118</v>
      </c>
      <c r="AP15" s="44">
        <f t="shared" si="15"/>
        <v>0.1438804304417555</v>
      </c>
      <c r="AQ15" s="44">
        <f t="shared" si="15"/>
        <v>0.17025928385056116</v>
      </c>
      <c r="AR15" s="44">
        <f t="shared" si="15"/>
        <v>0.1973626798816055</v>
      </c>
      <c r="AS15" s="44">
        <f t="shared" si="15"/>
        <v>0.2252059395211693</v>
      </c>
      <c r="AT15" s="44">
        <f t="shared" si="15"/>
        <v>0.25380467367800758</v>
      </c>
      <c r="AU15" s="44">
        <f t="shared" si="15"/>
        <v>0.33466111349364019</v>
      </c>
      <c r="AV15" s="44">
        <f t="shared" si="15"/>
        <v>0.41777665309817624</v>
      </c>
      <c r="AW15" s="44">
        <f t="shared" si="15"/>
        <v>0.50319934707150182</v>
      </c>
      <c r="AX15" s="44">
        <f t="shared" si="15"/>
        <v>0.59097816208631038</v>
      </c>
      <c r="AY15" s="44">
        <f t="shared" si="15"/>
        <v>0.68116299316291928</v>
      </c>
      <c r="AZ15" s="44">
        <f t="shared" si="15"/>
        <v>0.77380468020240079</v>
      </c>
      <c r="BA15" s="44">
        <f t="shared" si="15"/>
        <v>0.8689550248026584</v>
      </c>
      <c r="BB15" s="44">
        <f t="shared" si="15"/>
        <v>0.9666668073621596</v>
      </c>
      <c r="BC15" s="44">
        <f t="shared" si="15"/>
        <v>1.0669938044761142</v>
      </c>
      <c r="BD15" s="44">
        <f t="shared" si="15"/>
        <v>1.1699908066299642</v>
      </c>
      <c r="BE15" s="44">
        <f t="shared" si="15"/>
        <v>1.3647169131389691</v>
      </c>
      <c r="BF15" s="44">
        <f t="shared" si="15"/>
        <v>1.5647694916970449</v>
      </c>
      <c r="BG15" s="44">
        <f t="shared" si="15"/>
        <v>1.7702610106757968</v>
      </c>
      <c r="BH15" s="44">
        <f t="shared" si="15"/>
        <v>1.9813060651293202</v>
      </c>
      <c r="BI15" s="44">
        <f t="shared" si="15"/>
        <v>2.1980214146086272</v>
      </c>
      <c r="BJ15" s="44">
        <f t="shared" si="15"/>
        <v>2.4205260216225328</v>
      </c>
      <c r="BK15" s="44">
        <f t="shared" si="15"/>
        <v>2.6489410907557605</v>
      </c>
      <c r="BL15" s="44">
        <f t="shared" si="15"/>
        <v>2.8833901084551945</v>
      </c>
      <c r="BM15" s="44">
        <f t="shared" si="15"/>
        <v>3.1239988834953936</v>
      </c>
      <c r="BN15" s="44">
        <f>SUM(BN13:BN14)</f>
        <v>3.3708955881346352</v>
      </c>
      <c r="BY15" s="30" t="s">
        <v>175</v>
      </c>
      <c r="BZ15" s="137"/>
      <c r="CA15" s="143">
        <f>AH4-D4</f>
        <v>10.107590694893696</v>
      </c>
      <c r="CB15" s="137"/>
      <c r="CC15" s="549">
        <f>AH11+AH45</f>
        <v>0</v>
      </c>
      <c r="CD15" s="137"/>
      <c r="CE15" s="137"/>
      <c r="CF15" s="137"/>
      <c r="CG15" s="137"/>
    </row>
    <row r="16" spans="1:88" outlineLevel="1" x14ac:dyDescent="0.2">
      <c r="B16" s="1" t="s">
        <v>172</v>
      </c>
      <c r="C16" s="54" t="s">
        <v>153</v>
      </c>
      <c r="D16">
        <v>0</v>
      </c>
      <c r="E16">
        <v>0</v>
      </c>
      <c r="F16">
        <v>0</v>
      </c>
      <c r="G16">
        <v>0</v>
      </c>
      <c r="H16">
        <v>0</v>
      </c>
      <c r="I16">
        <v>0</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Q16" t="s">
        <v>196</v>
      </c>
      <c r="BR16">
        <v>2020</v>
      </c>
      <c r="BS16">
        <v>2050</v>
      </c>
    </row>
    <row r="17" spans="1:75" outlineLevel="1" x14ac:dyDescent="0.2">
      <c r="B17" s="1" t="s">
        <v>197</v>
      </c>
      <c r="C17" s="65" t="s">
        <v>153</v>
      </c>
      <c r="D17" s="66">
        <f>D12-D15-D16</f>
        <v>8.1566721804511282</v>
      </c>
      <c r="E17" s="66">
        <f t="shared" ref="E17:AH17" si="16">E12-E15-E16</f>
        <v>8.2285582409586464</v>
      </c>
      <c r="F17" s="66">
        <f t="shared" si="16"/>
        <v>8.3008331498494936</v>
      </c>
      <c r="G17" s="66">
        <f t="shared" si="16"/>
        <v>8.3734933405631224</v>
      </c>
      <c r="H17" s="66">
        <f t="shared" si="16"/>
        <v>8.4465350651962563</v>
      </c>
      <c r="I17" s="66">
        <f t="shared" si="16"/>
        <v>8.5199543900483388</v>
      </c>
      <c r="J17" s="66">
        <f t="shared" si="16"/>
        <v>8.5937471910767051</v>
      </c>
      <c r="K17" s="66">
        <f t="shared" si="16"/>
        <v>8.6679091492597848</v>
      </c>
      <c r="L17" s="66">
        <f t="shared" si="16"/>
        <v>8.7424357458666737</v>
      </c>
      <c r="M17" s="66">
        <f t="shared" si="16"/>
        <v>8.8173222576312948</v>
      </c>
      <c r="N17" s="66">
        <f t="shared" si="16"/>
        <v>8.8925637518294511</v>
      </c>
      <c r="O17" s="66">
        <f t="shared" si="16"/>
        <v>8.8651824309511866</v>
      </c>
      <c r="P17" s="66">
        <f t="shared" si="16"/>
        <v>8.8352025525577247</v>
      </c>
      <c r="Q17" s="66">
        <f t="shared" si="16"/>
        <v>8.8025554398044008</v>
      </c>
      <c r="R17" s="66">
        <f t="shared" si="16"/>
        <v>8.7671709836777207</v>
      </c>
      <c r="S17" s="66">
        <f t="shared" si="16"/>
        <v>8.7289776160877786</v>
      </c>
      <c r="T17" s="66">
        <f t="shared" si="16"/>
        <v>8.6879022824840959</v>
      </c>
      <c r="U17" s="66">
        <f t="shared" si="16"/>
        <v>8.643870413986777</v>
      </c>
      <c r="V17" s="66">
        <f t="shared" si="16"/>
        <v>8.5968058990246927</v>
      </c>
      <c r="W17" s="66">
        <f t="shared" si="16"/>
        <v>8.5466310544723392</v>
      </c>
      <c r="X17" s="66">
        <f t="shared" si="16"/>
        <v>8.4932665962767775</v>
      </c>
      <c r="Y17" s="66">
        <f t="shared" si="16"/>
        <v>8.2586250556783334</v>
      </c>
      <c r="Z17" s="66">
        <f t="shared" si="16"/>
        <v>8.0155428662999615</v>
      </c>
      <c r="AA17" s="66">
        <f t="shared" si="16"/>
        <v>7.7638267058246289</v>
      </c>
      <c r="AB17" s="66">
        <f t="shared" si="16"/>
        <v>7.5032794503508518</v>
      </c>
      <c r="AC17" s="66">
        <f t="shared" si="16"/>
        <v>7.2337001052199277</v>
      </c>
      <c r="AD17" s="66">
        <f t="shared" si="16"/>
        <v>6.9548837346425216</v>
      </c>
      <c r="AE17" s="66">
        <f t="shared" si="16"/>
        <v>6.6666213901043792</v>
      </c>
      <c r="AF17" s="66">
        <f t="shared" si="16"/>
        <v>6.368700037530667</v>
      </c>
      <c r="AG17" s="66">
        <f t="shared" si="16"/>
        <v>6.0609024831880696</v>
      </c>
      <c r="AH17" s="66">
        <f t="shared" si="16"/>
        <v>5.7430072983034535</v>
      </c>
      <c r="AJ17" s="66">
        <f>AJ12-AJ15-AJ16</f>
        <v>8.1566721804511282</v>
      </c>
      <c r="AK17" s="66">
        <f t="shared" ref="AK17:BN17" si="17">AK12-AK15-AK16</f>
        <v>8.2508959719566235</v>
      </c>
      <c r="AL17" s="66">
        <f t="shared" si="17"/>
        <v>8.3461470388599945</v>
      </c>
      <c r="AM17" s="66">
        <f t="shared" si="17"/>
        <v>8.4424354995980497</v>
      </c>
      <c r="AN17" s="66">
        <f t="shared" si="17"/>
        <v>8.5397715520156741</v>
      </c>
      <c r="AO17" s="66">
        <f t="shared" si="17"/>
        <v>8.6381654735690496</v>
      </c>
      <c r="AP17" s="66">
        <f t="shared" si="17"/>
        <v>8.7376276215184596</v>
      </c>
      <c r="AQ17" s="66">
        <f t="shared" si="17"/>
        <v>8.8381684331103472</v>
      </c>
      <c r="AR17" s="66">
        <f t="shared" si="17"/>
        <v>8.939798425748279</v>
      </c>
      <c r="AS17" s="66">
        <f t="shared" si="17"/>
        <v>9.042528197152464</v>
      </c>
      <c r="AT17" s="66">
        <f t="shared" si="17"/>
        <v>9.1463684255074575</v>
      </c>
      <c r="AU17" s="66">
        <f t="shared" si="17"/>
        <v>9.1998435444448265</v>
      </c>
      <c r="AV17" s="66">
        <f t="shared" si="17"/>
        <v>9.252979205655901</v>
      </c>
      <c r="AW17" s="66">
        <f t="shared" si="17"/>
        <v>9.3057547868759016</v>
      </c>
      <c r="AX17" s="66">
        <f t="shared" si="17"/>
        <v>9.3581491457640311</v>
      </c>
      <c r="AY17" s="66">
        <f t="shared" si="17"/>
        <v>9.4101406092506981</v>
      </c>
      <c r="AZ17" s="66">
        <f t="shared" si="17"/>
        <v>9.4617069626864971</v>
      </c>
      <c r="BA17" s="66">
        <f t="shared" si="17"/>
        <v>9.5128254387894344</v>
      </c>
      <c r="BB17" s="66">
        <f t="shared" si="17"/>
        <v>9.5634727063868521</v>
      </c>
      <c r="BC17" s="66">
        <f t="shared" si="17"/>
        <v>9.6136248589484534</v>
      </c>
      <c r="BD17" s="66">
        <f t="shared" si="17"/>
        <v>9.6632574029067406</v>
      </c>
      <c r="BE17" s="66">
        <f t="shared" si="17"/>
        <v>9.6233419688173036</v>
      </c>
      <c r="BF17" s="66">
        <f t="shared" si="17"/>
        <v>9.5803123579970055</v>
      </c>
      <c r="BG17" s="66">
        <f t="shared" si="17"/>
        <v>9.5340877165004265</v>
      </c>
      <c r="BH17" s="66">
        <f t="shared" si="17"/>
        <v>9.4845855154801715</v>
      </c>
      <c r="BI17" s="66">
        <f t="shared" si="17"/>
        <v>9.4317215198285549</v>
      </c>
      <c r="BJ17" s="66">
        <f t="shared" si="17"/>
        <v>9.3754097562650536</v>
      </c>
      <c r="BK17" s="66">
        <f t="shared" si="17"/>
        <v>9.3155624808601392</v>
      </c>
      <c r="BL17" s="66">
        <f t="shared" si="17"/>
        <v>9.2520901459858607</v>
      </c>
      <c r="BM17" s="66">
        <f t="shared" si="17"/>
        <v>9.1849013666834622</v>
      </c>
      <c r="BN17" s="66">
        <f t="shared" si="17"/>
        <v>9.1139028864380887</v>
      </c>
      <c r="BR17" s="44" t="e">
        <f>SUM(D10,D18,D26,D30,#REF!,D36)</f>
        <v>#REF!</v>
      </c>
      <c r="BS17" s="44" t="e">
        <f>SUM(AH10,AH18,AH26,AH30,#REF!,AH36)</f>
        <v>#REF!</v>
      </c>
    </row>
    <row r="18" spans="1:75" s="58" customFormat="1" outlineLevel="1" x14ac:dyDescent="0.2">
      <c r="A18" s="58" t="s">
        <v>198</v>
      </c>
      <c r="B18" s="58" t="s">
        <v>199</v>
      </c>
      <c r="C18" s="100" t="s">
        <v>153</v>
      </c>
      <c r="D18" s="101">
        <f>'Demand Breakdown - C4'!O26</f>
        <v>5.631954887218045E-2</v>
      </c>
      <c r="E18" s="101">
        <f>D18*(1+'Demand Breakdown - C4'!$K$26)</f>
        <v>5.7124373709812576E-2</v>
      </c>
      <c r="F18" s="101">
        <f>E18*(1+'Demand Breakdown - C4'!$K$26)</f>
        <v>5.7940699758520439E-2</v>
      </c>
      <c r="G18" s="101">
        <f>F18*(1+'Demand Breakdown - C4'!$K$26)</f>
        <v>5.8768691374385056E-2</v>
      </c>
      <c r="H18" s="101">
        <f>G18*(1+'Demand Breakdown - C4'!$K$26)</f>
        <v>5.9608515262189764E-2</v>
      </c>
      <c r="I18" s="101">
        <f>H18*(1+'Demand Breakdown - C4'!$K$26)</f>
        <v>6.0460340508983974E-2</v>
      </c>
      <c r="J18" s="101">
        <f>I18*(1+'Demand Breakdown - C4'!$K$26)</f>
        <v>6.1324338618126535E-2</v>
      </c>
      <c r="K18" s="101">
        <f>J18*(1+'Demand Breakdown - C4'!$K$26)</f>
        <v>6.2200683543815569E-2</v>
      </c>
      <c r="L18" s="101">
        <f>K18*(1+'Demand Breakdown - C4'!$K$26)</f>
        <v>6.3089551726111789E-2</v>
      </c>
      <c r="M18" s="101">
        <f>L18*(1+'Demand Breakdown - C4'!$K$26)</f>
        <v>6.3991122126462296E-2</v>
      </c>
      <c r="N18" s="101">
        <f>M18*(1+'Demand Breakdown - C4'!$K$26)</f>
        <v>6.4905576263731973E-2</v>
      </c>
      <c r="O18" s="101">
        <f>N18*(1+'Demand Breakdown - C4'!$K$26)</f>
        <v>6.5833098250749886E-2</v>
      </c>
      <c r="P18" s="101">
        <f>O18*(1+'Demand Breakdown - C4'!$K$26)</f>
        <v>6.6773874831377852E-2</v>
      </c>
      <c r="Q18" s="101">
        <f>P18*(1+'Demand Breakdown - C4'!$K$26)</f>
        <v>6.7728095418108744E-2</v>
      </c>
      <c r="R18" s="101">
        <f>Q18*(1+'Demand Breakdown - C4'!$K$26)</f>
        <v>6.8695952130202145E-2</v>
      </c>
      <c r="S18" s="101">
        <f>R18*(1+'Demand Breakdown - C4'!$K$26)</f>
        <v>6.9677639832364899E-2</v>
      </c>
      <c r="T18" s="101">
        <f>S18*(1+'Demand Breakdown - C4'!$K$26)</f>
        <v>7.0673356173984472E-2</v>
      </c>
      <c r="U18" s="101">
        <f>T18*(1+'Demand Breakdown - C4'!$K$26)</f>
        <v>7.1683301628922946E-2</v>
      </c>
      <c r="V18" s="101">
        <f>U18*(1+'Demand Breakdown - C4'!$K$26)</f>
        <v>7.2707679535879699E-2</v>
      </c>
      <c r="W18" s="101">
        <f>V18*(1+'Demand Breakdown - C4'!$K$26)</f>
        <v>7.3746696139330825E-2</v>
      </c>
      <c r="X18" s="101">
        <f>W18*(1+'Demand Breakdown - C4'!$K$26)</f>
        <v>7.4800560631053711E-2</v>
      </c>
      <c r="Y18" s="101">
        <f>X18*(1+'Demand Breakdown - C4'!$K$26)</f>
        <v>7.5869485192244873E-2</v>
      </c>
      <c r="Z18" s="101">
        <f>Y18*(1+'Demand Breakdown - C4'!$K$26)</f>
        <v>7.6953685036239769E-2</v>
      </c>
      <c r="AA18" s="101">
        <f>Z18*(1+'Demand Breakdown - C4'!$K$26)</f>
        <v>7.805337845184307E-2</v>
      </c>
      <c r="AB18" s="101">
        <f>AA18*(1+'Demand Breakdown - C4'!$K$26)</f>
        <v>7.91687868472781E-2</v>
      </c>
      <c r="AC18" s="101">
        <f>AB18*(1+'Demand Breakdown - C4'!$K$26)</f>
        <v>8.0300134794764347E-2</v>
      </c>
      <c r="AD18" s="101">
        <f>AC18*(1+'Demand Breakdown - C4'!$K$26)</f>
        <v>8.1447650075732042E-2</v>
      </c>
      <c r="AE18" s="101">
        <f>AD18*(1+'Demand Breakdown - C4'!$K$26)</f>
        <v>8.2611563726682796E-2</v>
      </c>
      <c r="AF18" s="101">
        <f>AE18*(1+'Demand Breakdown - C4'!$K$26)</f>
        <v>8.3792110085705668E-2</v>
      </c>
      <c r="AG18" s="101">
        <f>AF18*(1+'Demand Breakdown - C4'!$K$26)</f>
        <v>8.4989526839657908E-2</v>
      </c>
      <c r="AH18" s="101">
        <f>AG18*(1+'Demand Breakdown - C4'!$K$26)</f>
        <v>8.6204055072019975E-2</v>
      </c>
      <c r="AJ18" s="101">
        <f>D18</f>
        <v>5.631954887218045E-2</v>
      </c>
      <c r="AK18" s="101">
        <f t="shared" ref="AK18:BN18" si="18">E18</f>
        <v>5.7124373709812576E-2</v>
      </c>
      <c r="AL18" s="101">
        <f t="shared" si="18"/>
        <v>5.7940699758520439E-2</v>
      </c>
      <c r="AM18" s="101">
        <f t="shared" si="18"/>
        <v>5.8768691374385056E-2</v>
      </c>
      <c r="AN18" s="101">
        <f t="shared" si="18"/>
        <v>5.9608515262189764E-2</v>
      </c>
      <c r="AO18" s="101">
        <f t="shared" si="18"/>
        <v>6.0460340508983974E-2</v>
      </c>
      <c r="AP18" s="101">
        <f t="shared" si="18"/>
        <v>6.1324338618126535E-2</v>
      </c>
      <c r="AQ18" s="101">
        <f t="shared" si="18"/>
        <v>6.2200683543815569E-2</v>
      </c>
      <c r="AR18" s="101">
        <f t="shared" si="18"/>
        <v>6.3089551726111789E-2</v>
      </c>
      <c r="AS18" s="101">
        <f t="shared" si="18"/>
        <v>6.3991122126462296E-2</v>
      </c>
      <c r="AT18" s="101">
        <f t="shared" si="18"/>
        <v>6.4905576263731973E-2</v>
      </c>
      <c r="AU18" s="101">
        <f t="shared" si="18"/>
        <v>6.5833098250749886E-2</v>
      </c>
      <c r="AV18" s="101">
        <f t="shared" si="18"/>
        <v>6.6773874831377852E-2</v>
      </c>
      <c r="AW18" s="101">
        <f t="shared" si="18"/>
        <v>6.7728095418108744E-2</v>
      </c>
      <c r="AX18" s="101">
        <f t="shared" si="18"/>
        <v>6.8695952130202145E-2</v>
      </c>
      <c r="AY18" s="101">
        <f t="shared" si="18"/>
        <v>6.9677639832364899E-2</v>
      </c>
      <c r="AZ18" s="101">
        <f t="shared" si="18"/>
        <v>7.0673356173984472E-2</v>
      </c>
      <c r="BA18" s="101">
        <f t="shared" si="18"/>
        <v>7.1683301628922946E-2</v>
      </c>
      <c r="BB18" s="101">
        <f t="shared" si="18"/>
        <v>7.2707679535879699E-2</v>
      </c>
      <c r="BC18" s="101">
        <f t="shared" si="18"/>
        <v>7.3746696139330825E-2</v>
      </c>
      <c r="BD18" s="101">
        <f t="shared" si="18"/>
        <v>7.4800560631053711E-2</v>
      </c>
      <c r="BE18" s="101">
        <f t="shared" si="18"/>
        <v>7.5869485192244873E-2</v>
      </c>
      <c r="BF18" s="101">
        <f t="shared" si="18"/>
        <v>7.6953685036239769E-2</v>
      </c>
      <c r="BG18" s="101">
        <f t="shared" si="18"/>
        <v>7.805337845184307E-2</v>
      </c>
      <c r="BH18" s="101">
        <f t="shared" si="18"/>
        <v>7.91687868472781E-2</v>
      </c>
      <c r="BI18" s="101">
        <f t="shared" si="18"/>
        <v>8.0300134794764347E-2</v>
      </c>
      <c r="BJ18" s="101">
        <f t="shared" si="18"/>
        <v>8.1447650075732042E-2</v>
      </c>
      <c r="BK18" s="101">
        <f t="shared" si="18"/>
        <v>8.2611563726682796E-2</v>
      </c>
      <c r="BL18" s="101">
        <f t="shared" si="18"/>
        <v>8.3792110085705668E-2</v>
      </c>
      <c r="BM18" s="101">
        <f t="shared" si="18"/>
        <v>8.4989526839657908E-2</v>
      </c>
      <c r="BN18" s="101">
        <f t="shared" si="18"/>
        <v>8.6204055072019975E-2</v>
      </c>
      <c r="BR18" s="101" t="e">
        <f>#REF!</f>
        <v>#REF!</v>
      </c>
      <c r="BS18" s="101" t="e">
        <f>#REF!</f>
        <v>#REF!</v>
      </c>
    </row>
    <row r="19" spans="1:75" outlineLevel="1" x14ac:dyDescent="0.2">
      <c r="B19" s="61" t="s">
        <v>25</v>
      </c>
      <c r="C19" s="54" t="s">
        <v>153</v>
      </c>
      <c r="D19" s="44">
        <v>0</v>
      </c>
      <c r="E19" s="44">
        <f>E18*'R&amp;S - Packaging and hh goods'!$C$7*('R&amp;S - Packaging and hh goods'!$B$14*'R&amp;S - Packaging and hh goods'!$B$19*('Yearly HC Ethylene'!E$3-'Yearly HC Ethylene'!$D$3)/10)</f>
        <v>5.758136869949108E-5</v>
      </c>
      <c r="F19" s="44">
        <f>F18*'R&amp;S - Packaging and hh goods'!$C$7*('R&amp;S - Packaging and hh goods'!$B$14*'R&amp;S - Packaging and hh goods'!$B$19*('Yearly HC Ethylene'!F$3-'Yearly HC Ethylene'!$D$3)/10)</f>
        <v>1.1680845071317721E-4</v>
      </c>
      <c r="G19" s="44">
        <f>G18*'R&amp;S - Packaging and hh goods'!$C$7*('R&amp;S - Packaging and hh goods'!$B$14*'R&amp;S - Packaging and hh goods'!$B$19*('Yearly HC Ethylene'!G$3-'Yearly HC Ethylene'!$D$3)/10)</f>
        <v>1.7771652271614044E-4</v>
      </c>
      <c r="H19" s="44">
        <f>H18*'R&amp;S - Packaging and hh goods'!$C$7*('R&amp;S - Packaging and hh goods'!$B$14*'R&amp;S - Packaging and hh goods'!$B$19*('Yearly HC Ethylene'!H$3-'Yearly HC Ethylene'!$D$3)/10)</f>
        <v>2.4034153353714912E-4</v>
      </c>
      <c r="I19" s="44">
        <f>I18*'R&amp;S - Packaging and hh goods'!$C$7*('R&amp;S - Packaging and hh goods'!$B$14*'R&amp;S - Packaging and hh goods'!$B$19*('Yearly HC Ethylene'!I$3-'Yearly HC Ethylene'!$D$3)/10)</f>
        <v>3.0472011616527924E-4</v>
      </c>
      <c r="J19" s="44">
        <f>J18*'R&amp;S - Packaging and hh goods'!$C$7*('R&amp;S - Packaging and hh goods'!$B$14*'R&amp;S - Packaging and hh goods'!$B$19*('Yearly HC Ethylene'!J$3-'Yearly HC Ethylene'!$D$3)/10)</f>
        <v>3.708895999624293E-4</v>
      </c>
      <c r="K19" s="44">
        <f>K18*'R&amp;S - Packaging and hh goods'!$C$7*('R&amp;S - Packaging and hh goods'!$B$14*'R&amp;S - Packaging and hh goods'!$B$19*('Yearly HC Ethylene'!K$3-'Yearly HC Ethylene'!$D$3)/10)</f>
        <v>4.388880230851627E-4</v>
      </c>
      <c r="L19" s="44">
        <f>L18*'R&amp;S - Packaging and hh goods'!$C$7*('R&amp;S - Packaging and hh goods'!$B$14*'R&amp;S - Packaging and hh goods'!$B$19*('Yearly HC Ethylene'!L$3-'Yearly HC Ethylene'!$D$3)/10)</f>
        <v>5.0875414511936546E-4</v>
      </c>
      <c r="M19" s="44">
        <f>M18*'R&amp;S - Packaging and hh goods'!$C$7*('R&amp;S - Packaging and hh goods'!$B$14*'R&amp;S - Packaging and hh goods'!$B$19*('Yearly HC Ethylene'!M$3-'Yearly HC Ethylene'!$D$3)/10)</f>
        <v>5.8052745993126599E-4</v>
      </c>
      <c r="N19" s="44">
        <f>N18*'R&amp;S - Packaging and hh goods'!$C$7*('R&amp;S - Packaging and hh goods'!$B$14*'R&amp;S - Packaging and hh goods'!$B$19*('Yearly HC Ethylene'!N$3-'Yearly HC Ethylene'!$D$3)/10)</f>
        <v>6.5424820873841833E-4</v>
      </c>
      <c r="O19" s="44">
        <f>O18*'R&amp;S - Packaging and hh goods'!$C$7*('R&amp;S - Packaging and hh goods'!$B$14*('R&amp;S - Packaging and hh goods'!$B$19+('R&amp;S - Packaging and hh goods'!$B$20-'R&amp;S - Packaging and hh goods'!$B$19)*('Yearly HC Ethylene'!O$3-'Yearly HC Ethylene'!$N$3)/10))</f>
        <v>1.0451662678289053E-3</v>
      </c>
      <c r="P19" s="44">
        <f>P18*'R&amp;S - Packaging and hh goods'!$C$7*('R&amp;S - Packaging and hh goods'!$B$14*('R&amp;S - Packaging and hh goods'!$B$19+('R&amp;S - Packaging and hh goods'!$B$20-'R&amp;S - Packaging and hh goods'!$B$19)*('Yearly HC Ethylene'!P$3-'Yearly HC Ethylene'!$N$3)/10))</f>
        <v>1.4471234153456208E-3</v>
      </c>
      <c r="Q19" s="44">
        <f>Q18*'R&amp;S - Packaging and hh goods'!$C$7*('R&amp;S - Packaging and hh goods'!$B$14*('R&amp;S - Packaging and hh goods'!$B$19+('R&amp;S - Packaging and hh goods'!$B$20-'R&amp;S - Packaging and hh goods'!$B$19)*('Yearly HC Ethylene'!Q$3-'Yearly HC Ethylene'!$N$3)/10))</f>
        <v>1.8603553249446111E-3</v>
      </c>
      <c r="R19" s="44">
        <f>R18*'R&amp;S - Packaging and hh goods'!$C$7*('R&amp;S - Packaging and hh goods'!$B$14*('R&amp;S - Packaging and hh goods'!$B$19+('R&amp;S - Packaging and hh goods'!$B$20-'R&amp;S - Packaging and hh goods'!$B$19)*('Yearly HC Ethylene'!R$3-'Yearly HC Ethylene'!$N$3)/10))</f>
        <v>2.2851021516590441E-3</v>
      </c>
      <c r="S19" s="44">
        <f>S18*'R&amp;S - Packaging and hh goods'!$C$7*('R&amp;S - Packaging and hh goods'!$B$14*('R&amp;S - Packaging and hh goods'!$B$19+('R&amp;S - Packaging and hh goods'!$B$20-'R&amp;S - Packaging and hh goods'!$B$19)*('Yearly HC Ethylene'!S$3-'Yearly HC Ethylene'!$N$3)/10))</f>
        <v>2.7216086118521735E-3</v>
      </c>
      <c r="T19" s="44">
        <f>T18*'R&amp;S - Packaging and hh goods'!$C$7*('R&amp;S - Packaging and hh goods'!$B$14*('R&amp;S - Packaging and hh goods'!$B$19+('R&amp;S - Packaging and hh goods'!$B$20-'R&amp;S - Packaging and hh goods'!$B$19)*('Yearly HC Ethylene'!T$3-'Yearly HC Ethylene'!$N$3)/10))</f>
        <v>3.170124064540248E-3</v>
      </c>
      <c r="U19" s="44">
        <f>U18*'R&amp;S - Packaging and hh goods'!$C$7*('R&amp;S - Packaging and hh goods'!$B$14*('R&amp;S - Packaging and hh goods'!$B$19+('R&amp;S - Packaging and hh goods'!$B$20-'R&amp;S - Packaging and hh goods'!$B$19)*('Yearly HC Ethylene'!U$3-'Yearly HC Ethylene'!$N$3)/10))</f>
        <v>3.630902594108205E-3</v>
      </c>
      <c r="V19" s="44">
        <f>V18*'R&amp;S - Packaging and hh goods'!$C$7*('R&amp;S - Packaging and hh goods'!$B$14*('R&amp;S - Packaging and hh goods'!$B$19+('R&amp;S - Packaging and hh goods'!$B$20-'R&amp;S - Packaging and hh goods'!$B$19)*('Yearly HC Ethylene'!V$3-'Yearly HC Ethylene'!$N$3)/10))</f>
        <v>4.1042030944413374E-3</v>
      </c>
      <c r="W19" s="44">
        <f>W18*'R&amp;S - Packaging and hh goods'!$C$7*('R&amp;S - Packaging and hh goods'!$B$14*('R&amp;S - Packaging and hh goods'!$B$19+('R&amp;S - Packaging and hh goods'!$B$20-'R&amp;S - Packaging and hh goods'!$B$19)*('Yearly HC Ethylene'!W$3-'Yearly HC Ethylene'!$N$3)/10))</f>
        <v>4.5902893544965085E-3</v>
      </c>
      <c r="X19" s="44">
        <f>X18*'R&amp;S - Packaging and hh goods'!$C$7*('R&amp;S - Packaging and hh goods'!$B$14*('R&amp;S - Packaging and hh goods'!$B$19+('R&amp;S - Packaging and hh goods'!$B$20-'R&amp;S - Packaging and hh goods'!$B$19)*('Yearly HC Ethylene'!X$3-'Yearly HC Ethylene'!$N$3)/10))</f>
        <v>5.0894301453368951E-3</v>
      </c>
      <c r="Y19" s="44">
        <f>Y18*'R&amp;S - Packaging and hh goods'!$C$7*('R&amp;S - Packaging and hh goods'!$B$14*('R&amp;S - Packaging and hh goods'!$B$20+('R&amp;S - Packaging and hh goods'!$B$21-'R&amp;S - Packaging and hh goods'!$B$20)*('Yearly HC Ethylene'!Y$3-'Yearly HC Ethylene'!$X$3)/10))</f>
        <v>5.6018993086545937E-3</v>
      </c>
      <c r="Z19" s="44">
        <f>Z18*'R&amp;S - Packaging and hh goods'!$C$7*('R&amp;S - Packaging and hh goods'!$B$14*('R&amp;S - Packaging and hh goods'!$B$20+('R&amp;S - Packaging and hh goods'!$B$21-'R&amp;S - Packaging and hh goods'!$B$20)*('Yearly HC Ethylene'!Z$3-'Yearly HC Ethylene'!$X$3)/10))</f>
        <v>6.1279758468058458E-3</v>
      </c>
      <c r="AA19" s="44">
        <f>AA18*'R&amp;S - Packaging and hh goods'!$C$7*('R&amp;S - Packaging and hh goods'!$B$14*('R&amp;S - Packaging and hh goods'!$B$20+('R&amp;S - Packaging and hh goods'!$B$21-'R&amp;S - Packaging and hh goods'!$B$20)*('Yearly HC Ethylene'!AA$3-'Yearly HC Ethylene'!$X$3)/10))</f>
        <v>6.6679440143840498E-3</v>
      </c>
      <c r="AB19" s="44">
        <f>AB18*'R&amp;S - Packaging and hh goods'!$C$7*('R&amp;S - Packaging and hh goods'!$B$14*('R&amp;S - Packaging and hh goods'!$B$20+('R&amp;S - Packaging and hh goods'!$B$21-'R&amp;S - Packaging and hh goods'!$B$20)*('Yearly HC Ethylene'!AB$3-'Yearly HC Ethylene'!$X$3)/10))</f>
        <v>7.2220934113560965E-3</v>
      </c>
      <c r="AC19" s="44">
        <f>AC18*'R&amp;S - Packaging and hh goods'!$C$7*('R&amp;S - Packaging and hh goods'!$B$14*('R&amp;S - Packaging and hh goods'!$B$20+('R&amp;S - Packaging and hh goods'!$B$21-'R&amp;S - Packaging and hh goods'!$B$20)*('Yearly HC Ethylene'!AC$3-'Yearly HC Ethylene'!$X$3)/10))</f>
        <v>7.7907190777880371E-3</v>
      </c>
      <c r="AD19" s="44">
        <f>AD18*'R&amp;S - Packaging and hh goods'!$C$7*('R&amp;S - Packaging and hh goods'!$B$14*('R&amp;S - Packaging and hh goods'!$B$20+('R&amp;S - Packaging and hh goods'!$B$21-'R&amp;S - Packaging and hh goods'!$B$20)*('Yearly HC Ethylene'!AD$3-'Yearly HC Ethylene'!$X$3)/10))</f>
        <v>8.3741215901864674E-3</v>
      </c>
      <c r="AE19" s="44">
        <f>AE18*'R&amp;S - Packaging and hh goods'!$C$7*('R&amp;S - Packaging and hh goods'!$B$14*('R&amp;S - Packaging and hh goods'!$B$20+('R&amp;S - Packaging and hh goods'!$B$21-'R&amp;S - Packaging and hh goods'!$B$20)*('Yearly HC Ethylene'!AE$3-'Yearly HC Ethylene'!$X$3)/10))</f>
        <v>8.9726071594824729E-3</v>
      </c>
      <c r="AF19" s="44">
        <f>AF18*'R&amp;S - Packaging and hh goods'!$C$7*('R&amp;S - Packaging and hh goods'!$B$14*('R&amp;S - Packaging and hh goods'!$B$20+('R&amp;S - Packaging and hh goods'!$B$21-'R&amp;S - Packaging and hh goods'!$B$20)*('Yearly HC Ethylene'!AF$3-'Yearly HC Ethylene'!$X$3)/10))</f>
        <v>9.5864877306854144E-3</v>
      </c>
      <c r="AG19" s="44">
        <f>AG18*'R&amp;S - Packaging and hh goods'!$C$7*('R&amp;S - Packaging and hh goods'!$B$14*('R&amp;S - Packaging and hh goods'!$B$20+('R&amp;S - Packaging and hh goods'!$B$21-'R&amp;S - Packaging and hh goods'!$B$20)*('Yearly HC Ethylene'!AG$3-'Yearly HC Ethylene'!$X$3)/10))</f>
        <v>1.0216081084234238E-2</v>
      </c>
      <c r="AH19" s="44">
        <f>AH18*'R&amp;S - Packaging and hh goods'!$C$7*('R&amp;S - Packaging and hh goods'!$B$14*('R&amp;S - Packaging and hh goods'!$B$20+('R&amp;S - Packaging and hh goods'!$B$21-'R&amp;S - Packaging and hh goods'!$B$20)*('Yearly HC Ethylene'!AH$3-'Yearly HC Ethylene'!$X$3)/10))</f>
        <v>1.0861710939074516E-2</v>
      </c>
      <c r="AJ19" s="44">
        <v>0</v>
      </c>
      <c r="AK19" s="44">
        <f>AK18*'R&amp;S - Packaging and hh goods'!$C$7*('R&amp;S - Packaging and hh goods'!$B$15*'R&amp;S - Packaging and hh goods'!$B$19*(AK$3-$D$3)/10)</f>
        <v>4.2610212837623394E-5</v>
      </c>
      <c r="AL19" s="44">
        <f>AL18*'R&amp;S - Packaging and hh goods'!$C$7*('R&amp;S - Packaging and hh goods'!$B$15*'R&amp;S - Packaging and hh goods'!$B$19*(AL$3-$D$3)/10)</f>
        <v>8.6438253527751135E-5</v>
      </c>
      <c r="AM19" s="44">
        <f>AM18*'R&amp;S - Packaging and hh goods'!$C$7*('R&amp;S - Packaging and hh goods'!$B$15*'R&amp;S - Packaging and hh goods'!$B$19*(AM$3-$D$3)/10)</f>
        <v>1.3151022680994392E-4</v>
      </c>
      <c r="AN19" s="44">
        <f>AN18*'R&amp;S - Packaging and hh goods'!$C$7*('R&amp;S - Packaging and hh goods'!$B$15*'R&amp;S - Packaging and hh goods'!$B$19*(AN$3-$D$3)/10)</f>
        <v>1.7785273481749035E-4</v>
      </c>
      <c r="AO19" s="44">
        <f>AO18*'R&amp;S - Packaging and hh goods'!$C$7*('R&amp;S - Packaging and hh goods'!$B$15*'R&amp;S - Packaging and hh goods'!$B$19*(AO$3-$D$3)/10)</f>
        <v>2.2549288596230665E-4</v>
      </c>
      <c r="AP19" s="44">
        <f>AP18*'R&amp;S - Packaging and hh goods'!$C$7*('R&amp;S - Packaging and hh goods'!$B$15*'R&amp;S - Packaging and hh goods'!$B$19*(AP$3-$D$3)/10)</f>
        <v>2.7445830397219767E-4</v>
      </c>
      <c r="AQ19" s="44">
        <f>AQ18*'R&amp;S - Packaging and hh goods'!$C$7*('R&amp;S - Packaging and hh goods'!$B$15*'R&amp;S - Packaging and hh goods'!$B$19*(AQ$3-$D$3)/10)</f>
        <v>3.2477713708302033E-4</v>
      </c>
      <c r="AR19" s="44">
        <f>AR18*'R&amp;S - Packaging and hh goods'!$C$7*('R&amp;S - Packaging and hh goods'!$B$15*'R&amp;S - Packaging and hh goods'!$B$19*(AR$3-$D$3)/10)</f>
        <v>3.7647806738833045E-4</v>
      </c>
      <c r="AS19" s="44">
        <f>AS18*'R&amp;S - Packaging and hh goods'!$C$7*('R&amp;S - Packaging and hh goods'!$B$15*'R&amp;S - Packaging and hh goods'!$B$19*(AS$3-$D$3)/10)</f>
        <v>4.2959032034913691E-4</v>
      </c>
      <c r="AT19" s="44">
        <f>AT18*'R&amp;S - Packaging and hh goods'!$C$7*('R&amp;S - Packaging and hh goods'!$B$15*'R&amp;S - Packaging and hh goods'!$B$19*(AT$3-$D$3)/10)</f>
        <v>4.8414367446642962E-4</v>
      </c>
      <c r="AU19" s="44">
        <f>AU18*'R&amp;S - Packaging and hh goods'!$C$7*('R&amp;S - Packaging and hh goods'!$B$15*('R&amp;S - Packaging and hh goods'!$B$19+('R&amp;S - Packaging and hh goods'!$B$20-'R&amp;S - Packaging and hh goods'!$B$19)*(AU$3-$N$3)/10))</f>
        <v>7.7342303819338994E-4</v>
      </c>
      <c r="AV19" s="44">
        <f>AV18*'R&amp;S - Packaging and hh goods'!$C$7*('R&amp;S - Packaging and hh goods'!$B$15*('R&amp;S - Packaging and hh goods'!$B$19+('R&amp;S - Packaging and hh goods'!$B$20-'R&amp;S - Packaging and hh goods'!$B$19)*(AV$3-$N$3)/10))</f>
        <v>1.0708713273557592E-3</v>
      </c>
      <c r="AW19" s="44">
        <f>AW18*'R&amp;S - Packaging and hh goods'!$C$7*('R&amp;S - Packaging and hh goods'!$B$15*('R&amp;S - Packaging and hh goods'!$B$19+('R&amp;S - Packaging and hh goods'!$B$20-'R&amp;S - Packaging and hh goods'!$B$19)*(AW$3-$N$3)/10))</f>
        <v>1.3766629404590124E-3</v>
      </c>
      <c r="AX19" s="44">
        <f>AX18*'R&amp;S - Packaging and hh goods'!$C$7*('R&amp;S - Packaging and hh goods'!$B$15*('R&amp;S - Packaging and hh goods'!$B$19+('R&amp;S - Packaging and hh goods'!$B$20-'R&amp;S - Packaging and hh goods'!$B$19)*(AX$3-$N$3)/10))</f>
        <v>1.6909755922276926E-3</v>
      </c>
      <c r="AY19" s="44">
        <f>AY18*'R&amp;S - Packaging and hh goods'!$C$7*('R&amp;S - Packaging and hh goods'!$B$15*('R&amp;S - Packaging and hh goods'!$B$19+('R&amp;S - Packaging and hh goods'!$B$20-'R&amp;S - Packaging and hh goods'!$B$19)*(AY$3-$N$3)/10))</f>
        <v>2.0139903727706084E-3</v>
      </c>
      <c r="AZ19" s="44">
        <f>AZ18*'R&amp;S - Packaging and hh goods'!$C$7*('R&amp;S - Packaging and hh goods'!$B$15*('R&amp;S - Packaging and hh goods'!$B$19+('R&amp;S - Packaging and hh goods'!$B$20-'R&amp;S - Packaging and hh goods'!$B$19)*(AZ$3-$N$3)/10))</f>
        <v>2.3458918077597832E-3</v>
      </c>
      <c r="BA19" s="44">
        <f>BA18*'R&amp;S - Packaging and hh goods'!$C$7*('R&amp;S - Packaging and hh goods'!$B$15*('R&amp;S - Packaging and hh goods'!$B$19+('R&amp;S - Packaging and hh goods'!$B$20-'R&amp;S - Packaging and hh goods'!$B$19)*(BA$3-$N$3)/10))</f>
        <v>2.6868679196400719E-3</v>
      </c>
      <c r="BB19" s="44">
        <f>BB18*'R&amp;S - Packaging and hh goods'!$C$7*('R&amp;S - Packaging and hh goods'!$B$15*('R&amp;S - Packaging and hh goods'!$B$19+('R&amp;S - Packaging and hh goods'!$B$20-'R&amp;S - Packaging and hh goods'!$B$19)*(BB$3-$N$3)/10))</f>
        <v>3.0371102898865891E-3</v>
      </c>
      <c r="BC19" s="44">
        <f>BC18*'R&amp;S - Packaging and hh goods'!$C$7*('R&amp;S - Packaging and hh goods'!$B$15*('R&amp;S - Packaging and hh goods'!$B$19+('R&amp;S - Packaging and hh goods'!$B$20-'R&amp;S - Packaging and hh goods'!$B$19)*(BC$3-$N$3)/10))</f>
        <v>3.3968141223274166E-3</v>
      </c>
      <c r="BD19" s="44">
        <f>BD18*'R&amp;S - Packaging and hh goods'!$C$7*('R&amp;S - Packaging and hh goods'!$B$15*('R&amp;S - Packaging and hh goods'!$B$19+('R&amp;S - Packaging and hh goods'!$B$20-'R&amp;S - Packaging and hh goods'!$B$19)*(BD$3-$N$3)/10))</f>
        <v>3.7661783075493018E-3</v>
      </c>
      <c r="BE19" s="44">
        <f>BE18*'R&amp;S - Packaging and hh goods'!$C$7*('R&amp;S - Packaging and hh goods'!$B$15*('R&amp;S - Packaging and hh goods'!$B$20+('R&amp;S - Packaging and hh goods'!$B$21-'R&amp;S - Packaging and hh goods'!$B$20)*(BE$3-$X$3)/10))</f>
        <v>4.145405488404399E-3</v>
      </c>
      <c r="BF19" s="44">
        <f>BF18*'R&amp;S - Packaging and hh goods'!$C$7*('R&amp;S - Packaging and hh goods'!$B$15*('R&amp;S - Packaging and hh goods'!$B$20+('R&amp;S - Packaging and hh goods'!$B$21-'R&amp;S - Packaging and hh goods'!$B$20)*(BF$3-$X$3)/10))</f>
        <v>4.5347021266363254E-3</v>
      </c>
      <c r="BG19" s="44">
        <f>BG18*'R&amp;S - Packaging and hh goods'!$C$7*('R&amp;S - Packaging and hh goods'!$B$15*('R&amp;S - Packaging and hh goods'!$B$20+('R&amp;S - Packaging and hh goods'!$B$21-'R&amp;S - Packaging and hh goods'!$B$20)*(BG$3-$X$3)/10))</f>
        <v>4.9342785706441971E-3</v>
      </c>
      <c r="BH19" s="44">
        <f>BH18*'R&amp;S - Packaging and hh goods'!$C$7*('R&amp;S - Packaging and hh goods'!$B$15*('R&amp;S - Packaging and hh goods'!$B$20+('R&amp;S - Packaging and hh goods'!$B$21-'R&amp;S - Packaging and hh goods'!$B$20)*(BH$3-$X$3)/10))</f>
        <v>5.3443491244035118E-3</v>
      </c>
      <c r="BI19" s="44">
        <f>BI18*'R&amp;S - Packaging and hh goods'!$C$7*('R&amp;S - Packaging and hh goods'!$B$15*('R&amp;S - Packaging and hh goods'!$B$20+('R&amp;S - Packaging and hh goods'!$B$21-'R&amp;S - Packaging and hh goods'!$B$20)*(BI$3-$X$3)/10))</f>
        <v>5.7651321175631468E-3</v>
      </c>
      <c r="BJ19" s="44">
        <f>BJ18*'R&amp;S - Packaging and hh goods'!$C$7*('R&amp;S - Packaging and hh goods'!$B$15*('R&amp;S - Packaging and hh goods'!$B$20+('R&amp;S - Packaging and hh goods'!$B$21-'R&amp;S - Packaging and hh goods'!$B$20)*(BJ$3-$X$3)/10))</f>
        <v>6.1968499767379856E-3</v>
      </c>
      <c r="BK19" s="44">
        <f>BK18*'R&amp;S - Packaging and hh goods'!$C$7*('R&amp;S - Packaging and hh goods'!$B$15*('R&amp;S - Packaging and hh goods'!$B$20+('R&amp;S - Packaging and hh goods'!$B$21-'R&amp;S - Packaging and hh goods'!$B$20)*(BK$3-$X$3)/10))</f>
        <v>6.6397292980170291E-3</v>
      </c>
      <c r="BL19" s="44">
        <f>BL18*'R&amp;S - Packaging and hh goods'!$C$7*('R&amp;S - Packaging and hh goods'!$B$15*('R&amp;S - Packaging and hh goods'!$B$20+('R&amp;S - Packaging and hh goods'!$B$21-'R&amp;S - Packaging and hh goods'!$B$20)*(BL$3-$X$3)/10))</f>
        <v>7.0940009207072054E-3</v>
      </c>
      <c r="BM19" s="44">
        <f>BM18*'R&amp;S - Packaging and hh goods'!$C$7*('R&amp;S - Packaging and hh goods'!$B$15*('R&amp;S - Packaging and hh goods'!$B$20+('R&amp;S - Packaging and hh goods'!$B$21-'R&amp;S - Packaging and hh goods'!$B$20)*(BM$3-$X$3)/10))</f>
        <v>7.5599000023333363E-3</v>
      </c>
      <c r="BN19" s="44">
        <f>BN18*'R&amp;S - Packaging and hh goods'!$C$7*('R&amp;S - Packaging and hh goods'!$B$15*('R&amp;S - Packaging and hh goods'!$B$20+('R&amp;S - Packaging and hh goods'!$B$21-'R&amp;S - Packaging and hh goods'!$B$20)*(BN$3-$X$3)/10))</f>
        <v>8.0376660949151423E-3</v>
      </c>
    </row>
    <row r="20" spans="1:75" outlineLevel="1" x14ac:dyDescent="0.2">
      <c r="B20" s="61" t="s">
        <v>200</v>
      </c>
      <c r="C20" s="54" t="s">
        <v>153</v>
      </c>
      <c r="D20" s="44">
        <v>0</v>
      </c>
      <c r="E20" s="44">
        <f>E18*'R&amp;S - Packaging and hh goods'!$C$8*('R&amp;S - Packaging and hh goods'!$B$14*'R&amp;S - Packaging and hh goods'!$C$19*('Yearly HC Ethylene'!E$3-'Yearly HC Ethylene'!$D$3)/10)</f>
        <v>3.3360634246530537E-4</v>
      </c>
      <c r="F20" s="44">
        <f>F18*'R&amp;S - Packaging and hh goods'!$C$8*('R&amp;S - Packaging and hh goods'!$B$14*'R&amp;S - Packaging and hh goods'!$C$19*('Yearly HC Ethylene'!F$3-'Yearly HC Ethylene'!$D$3)/10)</f>
        <v>6.7674737317951876E-4</v>
      </c>
      <c r="G20" s="44">
        <f>G18*'R&amp;S - Packaging and hh goods'!$C$8*('R&amp;S - Packaging and hh goods'!$B$14*'R&amp;S - Packaging and hh goods'!$C$19*('Yearly HC Ethylene'!G$3-'Yearly HC Ethylene'!$D$3)/10)</f>
        <v>1.0296274728792262E-3</v>
      </c>
      <c r="H20" s="44">
        <f>H18*'R&amp;S - Packaging and hh goods'!$C$8*('R&amp;S - Packaging and hh goods'!$B$14*'R&amp;S - Packaging and hh goods'!$C$19*('Yearly HC Ethylene'!H$3-'Yearly HC Ethylene'!$D$3)/10)</f>
        <v>1.3924549165247528E-3</v>
      </c>
      <c r="I20" s="44">
        <f>I18*'R&amp;S - Packaging and hh goods'!$C$8*('R&amp;S - Packaging and hh goods'!$B$14*'R&amp;S - Packaging and hh goods'!$C$19*('Yearly HC Ethylene'!I$3-'Yearly HC Ethylene'!$D$3)/10)</f>
        <v>1.765441942862332E-3</v>
      </c>
      <c r="J20" s="44">
        <f>J18*'R&amp;S - Packaging and hh goods'!$C$8*('R&amp;S - Packaging and hh goods'!$B$14*'R&amp;S - Packaging and hh goods'!$C$19*('Yearly HC Ethylene'!J$3-'Yearly HC Ethylene'!$D$3)/10)</f>
        <v>2.148804825179154E-3</v>
      </c>
      <c r="K20" s="44">
        <f>K18*'R&amp;S - Packaging and hh goods'!$C$8*('R&amp;S - Packaging and hh goods'!$B$14*'R&amp;S - Packaging and hh goods'!$C$19*('Yearly HC Ethylene'!K$3-'Yearly HC Ethylene'!$D$3)/10)</f>
        <v>2.5427639432711808E-3</v>
      </c>
      <c r="L20" s="44">
        <f>L18*'R&amp;S - Packaging and hh goods'!$C$8*('R&amp;S - Packaging and hh goods'!$B$14*'R&amp;S - Packaging and hh goods'!$C$19*('Yearly HC Ethylene'!L$3-'Yearly HC Ethylene'!$D$3)/10)</f>
        <v>2.9475438566439428E-3</v>
      </c>
      <c r="M20" s="44">
        <f>M18*'R&amp;S - Packaging and hh goods'!$C$8*('R&amp;S - Packaging and hh goods'!$B$14*'R&amp;S - Packaging and hh goods'!$C$19*('Yearly HC Ethylene'!M$3-'Yearly HC Ethylene'!$D$3)/10)</f>
        <v>3.3633733789668577E-3</v>
      </c>
      <c r="N20" s="44">
        <f>N18*'R&amp;S - Packaging and hh goods'!$C$8*('R&amp;S - Packaging and hh goods'!$B$14*'R&amp;S - Packaging and hh goods'!$C$19*('Yearly HC Ethylene'!N$3-'Yearly HC Ethylene'!$D$3)/10)</f>
        <v>3.7904856538019472E-3</v>
      </c>
      <c r="O20" s="44">
        <f>O18*'R&amp;S - Packaging and hh goods'!$C$8*('R&amp;S - Packaging and hh goods'!$B$14*('R&amp;S - Packaging and hh goods'!$C$19+('R&amp;S - Packaging and hh goods'!$C$20-'R&amp;S - Packaging and hh goods'!$C$19)*('Yearly HC Ethylene'!O$3-'Yearly HC Ethylene'!$N$3)/10))</f>
        <v>4.5943602607233331E-3</v>
      </c>
      <c r="P20" s="44">
        <f>P18*'R&amp;S - Packaging and hh goods'!$C$8*('R&amp;S - Packaging and hh goods'!$B$14*('R&amp;S - Packaging and hh goods'!$C$19+('R&amp;S - Packaging and hh goods'!$C$20-'R&amp;S - Packaging and hh goods'!$C$19)*('Yearly HC Ethylene'!P$3-'Yearly HC Ethylene'!$N$3)/10))</f>
        <v>5.4204360633119293E-3</v>
      </c>
      <c r="Q20" s="44">
        <f>Q18*'R&amp;S - Packaging and hh goods'!$C$8*('R&amp;S - Packaging and hh goods'!$B$14*('R&amp;S - Packaging and hh goods'!$C$19+('R&amp;S - Packaging and hh goods'!$C$20-'R&amp;S - Packaging and hh goods'!$C$19)*('Yearly HC Ethylene'!Q$3-'Yearly HC Ethylene'!$N$3)/10))</f>
        <v>6.2691834242818174E-3</v>
      </c>
      <c r="R20" s="44">
        <f>R18*'R&amp;S - Packaging and hh goods'!$C$8*('R&amp;S - Packaging and hh goods'!$B$14*('R&amp;S - Packaging and hh goods'!$C$19+('R&amp;S - Packaging and hh goods'!$C$20-'R&amp;S - Packaging and hh goods'!$C$19)*('Yearly HC Ethylene'!R$3-'Yearly HC Ethylene'!$N$3)/10))</f>
        <v>7.1410816158387729E-3</v>
      </c>
      <c r="S20" s="44">
        <f>S18*'R&amp;S - Packaging and hh goods'!$C$8*('R&amp;S - Packaging and hh goods'!$B$14*('R&amp;S - Packaging and hh goods'!$C$19+('R&amp;S - Packaging and hh goods'!$C$20-'R&amp;S - Packaging and hh goods'!$C$19)*('Yearly HC Ethylene'!S$3-'Yearly HC Ethylene'!$N$3)/10))</f>
        <v>8.0366189782649679E-3</v>
      </c>
      <c r="T20" s="44">
        <f>T18*'R&amp;S - Packaging and hh goods'!$C$8*('R&amp;S - Packaging and hh goods'!$B$14*('R&amp;S - Packaging and hh goods'!$C$19+('R&amp;S - Packaging and hh goods'!$C$20-'R&amp;S - Packaging and hh goods'!$C$19)*('Yearly HC Ethylene'!T$3-'Yearly HC Ethylene'!$N$3)/10))</f>
        <v>8.9562930812167024E-3</v>
      </c>
      <c r="U20" s="44">
        <f>U18*'R&amp;S - Packaging and hh goods'!$C$8*('R&amp;S - Packaging and hh goods'!$B$14*('R&amp;S - Packaging and hh goods'!$C$19+('R&amp;S - Packaging and hh goods'!$C$20-'R&amp;S - Packaging and hh goods'!$C$19)*('Yearly HC Ethylene'!U$3-'Yearly HC Ethylene'!$N$3)/10))</f>
        <v>9.9006108877803204E-3</v>
      </c>
      <c r="V20" s="44">
        <f>V18*'R&amp;S - Packaging and hh goods'!$C$8*('R&amp;S - Packaging and hh goods'!$B$14*('R&amp;S - Packaging and hh goods'!$C$19+('R&amp;S - Packaging and hh goods'!$C$20-'R&amp;S - Packaging and hh goods'!$C$19)*('Yearly HC Ethylene'!V$3-'Yearly HC Ethylene'!$N$3)/10))</f>
        <v>1.0870088921332158E-2</v>
      </c>
      <c r="W20" s="44">
        <f>W18*'R&amp;S - Packaging and hh goods'!$C$8*('R&amp;S - Packaging and hh goods'!$B$14*('R&amp;S - Packaging and hh goods'!$C$19+('R&amp;S - Packaging and hh goods'!$C$20-'R&amp;S - Packaging and hh goods'!$C$19)*('Yearly HC Ethylene'!W$3-'Yearly HC Ethylene'!$N$3)/10))</f>
        <v>1.1865253435249214E-2</v>
      </c>
      <c r="X20" s="44">
        <f>X18*'R&amp;S - Packaging and hh goods'!$C$8*('R&amp;S - Packaging and hh goods'!$B$14*('R&amp;S - Packaging and hh goods'!$C$19+('R&amp;S - Packaging and hh goods'!$C$20-'R&amp;S - Packaging and hh goods'!$C$19)*('Yearly HC Ethylene'!X$3-'Yearly HC Ethylene'!$N$3)/10))</f>
        <v>1.2886640585517932E-2</v>
      </c>
      <c r="Y20" s="44">
        <f>Y18*'R&amp;S - Packaging and hh goods'!$C$8*('R&amp;S - Packaging and hh goods'!$B$14*('R&amp;S - Packaging and hh goods'!$C$20+('R&amp;S - Packaging and hh goods'!$C$21-'R&amp;S - Packaging and hh goods'!$C$20)*('Yearly HC Ethylene'!Y$3-'Yearly HC Ethylene'!$X$3)/10))</f>
        <v>1.3979104385641502E-2</v>
      </c>
      <c r="Z20" s="44">
        <f>Z18*'R&amp;S - Packaging and hh goods'!$C$8*('R&amp;S - Packaging and hh goods'!$B$14*('R&amp;S - Packaging and hh goods'!$C$20+('R&amp;S - Packaging and hh goods'!$C$21-'R&amp;S - Packaging and hh goods'!$C$20)*('Yearly HC Ethylene'!Z$3-'Yearly HC Ethylene'!$X$3)/10))</f>
        <v>1.5100159892551111E-2</v>
      </c>
      <c r="AA20" s="44">
        <f>AA18*'R&amp;S - Packaging and hh goods'!$C$8*('R&amp;S - Packaging and hh goods'!$B$14*('R&amp;S - Packaging and hh goods'!$C$20+('R&amp;S - Packaging and hh goods'!$C$21-'R&amp;S - Packaging and hh goods'!$C$20)*('Yearly HC Ethylene'!AA$3-'Yearly HC Ethylene'!$X$3)/10))</f>
        <v>1.6250401180159916E-2</v>
      </c>
      <c r="AB20" s="44">
        <f>AB18*'R&amp;S - Packaging and hh goods'!$C$8*('R&amp;S - Packaging and hh goods'!$B$14*('R&amp;S - Packaging and hh goods'!$C$20+('R&amp;S - Packaging and hh goods'!$C$21-'R&amp;S - Packaging and hh goods'!$C$20)*('Yearly HC Ethylene'!AB$3-'Yearly HC Ethylene'!$X$3)/10))</f>
        <v>1.7430433462591523E-2</v>
      </c>
      <c r="AC20" s="44">
        <f>AC18*'R&amp;S - Packaging and hh goods'!$C$8*('R&amp;S - Packaging and hh goods'!$B$14*('R&amp;S - Packaging and hh goods'!$C$20+('R&amp;S - Packaging and hh goods'!$C$21-'R&amp;S - Packaging and hh goods'!$C$20)*('Yearly HC Ethylene'!AC$3-'Yearly HC Ethylene'!$X$3)/10))</f>
        <v>1.8640873291256594E-2</v>
      </c>
      <c r="AD20" s="44">
        <f>AD18*'R&amp;S - Packaging and hh goods'!$C$8*('R&amp;S - Packaging and hh goods'!$B$14*('R&amp;S - Packaging and hh goods'!$C$20+('R&amp;S - Packaging and hh goods'!$C$21-'R&amp;S - Packaging and hh goods'!$C$20)*('Yearly HC Ethylene'!AD$3-'Yearly HC Ethylene'!$X$3)/10))</f>
        <v>1.9882348755287098E-2</v>
      </c>
      <c r="AE20" s="44">
        <f>AE18*'R&amp;S - Packaging and hh goods'!$C$8*('R&amp;S - Packaging and hh goods'!$B$14*('R&amp;S - Packaging and hh goods'!$C$20+('R&amp;S - Packaging and hh goods'!$C$21-'R&amp;S - Packaging and hh goods'!$C$20)*('Yearly HC Ethylene'!AE$3-'Yearly HC Ethylene'!$X$3)/10))</f>
        <v>2.1155499685383838E-2</v>
      </c>
      <c r="AF20" s="44">
        <f>AF18*'R&amp;S - Packaging and hh goods'!$C$8*('R&amp;S - Packaging and hh goods'!$B$14*('R&amp;S - Packaging and hh goods'!$C$20+('R&amp;S - Packaging and hh goods'!$C$21-'R&amp;S - Packaging and hh goods'!$C$20)*('Yearly HC Ethylene'!AF$3-'Yearly HC Ethylene'!$X$3)/10))</f>
        <v>2.2460977861133914E-2</v>
      </c>
      <c r="AG20" s="44">
        <f>AG18*'R&amp;S - Packaging and hh goods'!$C$8*('R&amp;S - Packaging and hh goods'!$B$14*('R&amp;S - Packaging and hh goods'!$C$20+('R&amp;S - Packaging and hh goods'!$C$21-'R&amp;S - Packaging and hh goods'!$C$20)*('Yearly HC Ethylene'!AG$3-'Yearly HC Ethylene'!$X$3)/10))</f>
        <v>2.3799447221855726E-2</v>
      </c>
      <c r="AH20" s="44">
        <f>AH18*'R&amp;S - Packaging and hh goods'!$C$8*('R&amp;S - Packaging and hh goods'!$B$14*('R&amp;S - Packaging and hh goods'!$C$20+('R&amp;S - Packaging and hh goods'!$C$21-'R&amp;S - Packaging and hh goods'!$C$20)*('Yearly HC Ethylene'!AH$3-'Yearly HC Ethylene'!$X$3)/10))</f>
        <v>2.5171584081029832E-2</v>
      </c>
      <c r="AJ20" s="44">
        <v>0</v>
      </c>
      <c r="AK20" s="44">
        <f>AK18*'R&amp;S - Packaging and hh goods'!$C$8*('R&amp;S - Packaging and hh goods'!$B$15*'R&amp;S - Packaging and hh goods'!$C$19*(AK$3-$D$3)/10)</f>
        <v>2.4686869342432596E-4</v>
      </c>
      <c r="AL20" s="44">
        <f>AL18*'R&amp;S - Packaging and hh goods'!$C$8*('R&amp;S - Packaging and hh goods'!$B$15*'R&amp;S - Packaging and hh goods'!$C$19*(AL$3-$D$3)/10)</f>
        <v>5.007930561528438E-4</v>
      </c>
      <c r="AM20" s="44">
        <f>AM18*'R&amp;S - Packaging and hh goods'!$C$8*('R&amp;S - Packaging and hh goods'!$B$15*'R&amp;S - Packaging and hh goods'!$C$19*(AM$3-$D$3)/10)</f>
        <v>7.6192432993062718E-4</v>
      </c>
      <c r="AN20" s="44">
        <f>AN18*'R&amp;S - Packaging and hh goods'!$C$8*('R&amp;S - Packaging and hh goods'!$B$15*'R&amp;S - Packaging and hh goods'!$C$19*(AN$3-$D$3)/10)</f>
        <v>1.0304166382283169E-3</v>
      </c>
      <c r="AO20" s="44">
        <f>AO18*'R&amp;S - Packaging and hh goods'!$C$8*('R&amp;S - Packaging and hh goods'!$B$15*'R&amp;S - Packaging and hh goods'!$C$19*(AO$3-$D$3)/10)</f>
        <v>1.3064270377181255E-3</v>
      </c>
      <c r="AP20" s="44">
        <f>AP18*'R&amp;S - Packaging and hh goods'!$C$8*('R&amp;S - Packaging and hh goods'!$B$15*'R&amp;S - Packaging and hh goods'!$C$19*(AP$3-$D$3)/10)</f>
        <v>1.5901155706325733E-3</v>
      </c>
      <c r="AQ20" s="44">
        <f>AQ18*'R&amp;S - Packaging and hh goods'!$C$8*('R&amp;S - Packaging and hh goods'!$B$15*'R&amp;S - Packaging and hh goods'!$C$19*(AQ$3-$D$3)/10)</f>
        <v>1.8816453180206735E-3</v>
      </c>
      <c r="AR20" s="44">
        <f>AR18*'R&amp;S - Packaging and hh goods'!$C$8*('R&amp;S - Packaging and hh goods'!$B$15*'R&amp;S - Packaging and hh goods'!$C$19*(AR$3-$D$3)/10)</f>
        <v>2.1811824539165175E-3</v>
      </c>
      <c r="AS20" s="44">
        <f>AS18*'R&amp;S - Packaging and hh goods'!$C$8*('R&amp;S - Packaging and hh goods'!$B$15*'R&amp;S - Packaging and hh goods'!$C$19*(AS$3-$D$3)/10)</f>
        <v>2.4888963004354747E-3</v>
      </c>
      <c r="AT20" s="44">
        <f>AT18*'R&amp;S - Packaging and hh goods'!$C$8*('R&amp;S - Packaging and hh goods'!$B$15*'R&amp;S - Packaging and hh goods'!$C$19*(AT$3-$D$3)/10)</f>
        <v>2.8049593838134408E-3</v>
      </c>
      <c r="AU20" s="44">
        <f>AU18*'R&amp;S - Packaging and hh goods'!$C$8*('R&amp;S - Packaging and hh goods'!$B$15*('R&amp;S - Packaging and hh goods'!$C$19+('R&amp;S - Packaging and hh goods'!$C$20-'R&amp;S - Packaging and hh goods'!$C$19)*(AU$3-$N$3)/10))</f>
        <v>3.3998265929352663E-3</v>
      </c>
      <c r="AV20" s="44">
        <f>AV18*'R&amp;S - Packaging and hh goods'!$C$8*('R&amp;S - Packaging and hh goods'!$B$15*('R&amp;S - Packaging and hh goods'!$C$19+('R&amp;S - Packaging and hh goods'!$C$20-'R&amp;S - Packaging and hh goods'!$C$19)*(AV$3-$N$3)/10))</f>
        <v>4.0111226868508277E-3</v>
      </c>
      <c r="AW20" s="44">
        <f>AW18*'R&amp;S - Packaging and hh goods'!$C$8*('R&amp;S - Packaging and hh goods'!$B$15*('R&amp;S - Packaging and hh goods'!$C$19+('R&amp;S - Packaging and hh goods'!$C$20-'R&amp;S - Packaging and hh goods'!$C$19)*(AW$3-$N$3)/10))</f>
        <v>4.6391957339685453E-3</v>
      </c>
      <c r="AX20" s="44">
        <f>AX18*'R&amp;S - Packaging and hh goods'!$C$8*('R&amp;S - Packaging and hh goods'!$B$15*('R&amp;S - Packaging and hh goods'!$C$19+('R&amp;S - Packaging and hh goods'!$C$20-'R&amp;S - Packaging and hh goods'!$C$19)*(AX$3-$N$3)/10))</f>
        <v>5.2844003957206922E-3</v>
      </c>
      <c r="AY20" s="44">
        <f>AY18*'R&amp;S - Packaging and hh goods'!$C$8*('R&amp;S - Packaging and hh goods'!$B$15*('R&amp;S - Packaging and hh goods'!$C$19+('R&amp;S - Packaging and hh goods'!$C$20-'R&amp;S - Packaging and hh goods'!$C$19)*(AY$3-$N$3)/10))</f>
        <v>5.9470980439160761E-3</v>
      </c>
      <c r="AZ20" s="44">
        <f>AZ18*'R&amp;S - Packaging and hh goods'!$C$8*('R&amp;S - Packaging and hh goods'!$B$15*('R&amp;S - Packaging and hh goods'!$C$19+('R&amp;S - Packaging and hh goods'!$C$20-'R&amp;S - Packaging and hh goods'!$C$19)*(AZ$3-$N$3)/10))</f>
        <v>6.6276568801003606E-3</v>
      </c>
      <c r="BA20" s="44">
        <f>BA18*'R&amp;S - Packaging and hh goods'!$C$8*('R&amp;S - Packaging and hh goods'!$B$15*('R&amp;S - Packaging and hh goods'!$C$19+('R&amp;S - Packaging and hh goods'!$C$20-'R&amp;S - Packaging and hh goods'!$C$19)*(BA$3-$N$3)/10))</f>
        <v>7.3264520569574377E-3</v>
      </c>
      <c r="BB20" s="44">
        <f>BB18*'R&amp;S - Packaging and hh goods'!$C$8*('R&amp;S - Packaging and hh goods'!$B$15*('R&amp;S - Packaging and hh goods'!$C$19+('R&amp;S - Packaging and hh goods'!$C$20-'R&amp;S - Packaging and hh goods'!$C$19)*(BB$3-$N$3)/10))</f>
        <v>8.0438658017857965E-3</v>
      </c>
      <c r="BC20" s="44">
        <f>BC18*'R&amp;S - Packaging and hh goods'!$C$8*('R&amp;S - Packaging and hh goods'!$B$15*('R&amp;S - Packaging and hh goods'!$C$19+('R&amp;S - Packaging and hh goods'!$C$20-'R&amp;S - Packaging and hh goods'!$C$19)*(BC$3-$N$3)/10))</f>
        <v>8.7802875420844185E-3</v>
      </c>
      <c r="BD20" s="44">
        <f>BD18*'R&amp;S - Packaging and hh goods'!$C$8*('R&amp;S - Packaging and hh goods'!$B$15*('R&amp;S - Packaging and hh goods'!$C$19+('R&amp;S - Packaging and hh goods'!$C$20-'R&amp;S - Packaging and hh goods'!$C$19)*(BD$3-$N$3)/10))</f>
        <v>9.5361140332832703E-3</v>
      </c>
      <c r="BE20" s="44">
        <f>BE18*'R&amp;S - Packaging and hh goods'!$C$8*('R&amp;S - Packaging and hh goods'!$B$15*('R&amp;S - Packaging and hh goods'!$C$20+('R&amp;S - Packaging and hh goods'!$C$21-'R&amp;S - Packaging and hh goods'!$C$20)*(BE$3-$X$3)/10))</f>
        <v>1.0344537245374711E-2</v>
      </c>
      <c r="BF20" s="44">
        <f>BF18*'R&amp;S - Packaging and hh goods'!$C$8*('R&amp;S - Packaging and hh goods'!$B$15*('R&amp;S - Packaging and hh goods'!$C$20+('R&amp;S - Packaging and hh goods'!$C$21-'R&amp;S - Packaging and hh goods'!$C$20)*(BF$3-$X$3)/10))</f>
        <v>1.1174118320487822E-2</v>
      </c>
      <c r="BG20" s="44">
        <f>BG18*'R&amp;S - Packaging and hh goods'!$C$8*('R&amp;S - Packaging and hh goods'!$B$15*('R&amp;S - Packaging and hh goods'!$C$20+('R&amp;S - Packaging and hh goods'!$C$21-'R&amp;S - Packaging and hh goods'!$C$20)*(BG$3-$X$3)/10))</f>
        <v>1.2025296873318339E-2</v>
      </c>
      <c r="BH20" s="44">
        <f>BH18*'R&amp;S - Packaging and hh goods'!$C$8*('R&amp;S - Packaging and hh goods'!$B$15*('R&amp;S - Packaging and hh goods'!$C$20+('R&amp;S - Packaging and hh goods'!$C$21-'R&amp;S - Packaging and hh goods'!$C$20)*(BH$3-$X$3)/10))</f>
        <v>1.2898520762317728E-2</v>
      </c>
      <c r="BI20" s="44">
        <f>BI18*'R&amp;S - Packaging and hh goods'!$C$8*('R&amp;S - Packaging and hh goods'!$B$15*('R&amp;S - Packaging and hh goods'!$C$20+('R&amp;S - Packaging and hh goods'!$C$21-'R&amp;S - Packaging and hh goods'!$C$20)*(BI$3-$X$3)/10))</f>
        <v>1.3794246235529878E-2</v>
      </c>
      <c r="BJ20" s="44">
        <f>BJ18*'R&amp;S - Packaging and hh goods'!$C$8*('R&amp;S - Packaging and hh goods'!$B$15*('R&amp;S - Packaging and hh goods'!$C$20+('R&amp;S - Packaging and hh goods'!$C$21-'R&amp;S - Packaging and hh goods'!$C$20)*(BJ$3-$X$3)/10))</f>
        <v>1.4712938078912453E-2</v>
      </c>
      <c r="BK20" s="44">
        <f>BK18*'R&amp;S - Packaging and hh goods'!$C$8*('R&amp;S - Packaging and hh goods'!$B$15*('R&amp;S - Packaging and hh goods'!$C$20+('R&amp;S - Packaging and hh goods'!$C$21-'R&amp;S - Packaging and hh goods'!$C$20)*(BK$3-$X$3)/10))</f>
        <v>1.5655069767184039E-2</v>
      </c>
      <c r="BL20" s="44">
        <f>BL18*'R&amp;S - Packaging and hh goods'!$C$8*('R&amp;S - Packaging and hh goods'!$B$15*('R&amp;S - Packaging and hh goods'!$C$20+('R&amp;S - Packaging and hh goods'!$C$21-'R&amp;S - Packaging and hh goods'!$C$20)*(BL$3-$X$3)/10))</f>
        <v>1.6621123617239098E-2</v>
      </c>
      <c r="BM20" s="44">
        <f>BM18*'R&amp;S - Packaging and hh goods'!$C$8*('R&amp;S - Packaging and hh goods'!$B$15*('R&amp;S - Packaging and hh goods'!$C$20+('R&amp;S - Packaging and hh goods'!$C$21-'R&amp;S - Packaging and hh goods'!$C$20)*(BM$3-$X$3)/10))</f>
        <v>1.7611590944173236E-2</v>
      </c>
      <c r="BN20" s="44">
        <f>BN18*'R&amp;S - Packaging and hh goods'!$C$8*('R&amp;S - Packaging and hh goods'!$B$15*('R&amp;S - Packaging and hh goods'!$C$20+('R&amp;S - Packaging and hh goods'!$C$21-'R&amp;S - Packaging and hh goods'!$C$20)*(BN$3-$X$3)/10))</f>
        <v>1.8626972219962075E-2</v>
      </c>
      <c r="BQ20" s="1" t="s">
        <v>201</v>
      </c>
      <c r="BR20" t="s">
        <v>179</v>
      </c>
      <c r="BS20" s="44" t="e">
        <f>#REF!</f>
        <v>#REF!</v>
      </c>
      <c r="BU20" t="str" cm="1">
        <f t="array" ref="BU20:BW24">'Sankey Methanol_detailed'!Q21:S25</f>
        <v>Fuel</v>
      </c>
      <c r="BV20" s="44">
        <v>28.587862624213781</v>
      </c>
      <c r="BW20" s="169">
        <v>0.27471012342412782</v>
      </c>
    </row>
    <row r="21" spans="1:75" outlineLevel="1" x14ac:dyDescent="0.2">
      <c r="B21" s="1" t="s">
        <v>168</v>
      </c>
      <c r="C21" s="54" t="s">
        <v>153</v>
      </c>
      <c r="D21" s="44">
        <f>SUM(D19:D20)</f>
        <v>0</v>
      </c>
      <c r="E21" s="44">
        <f t="shared" ref="E21:AH21" si="19">SUM(E19:E20)</f>
        <v>3.9118771116479647E-4</v>
      </c>
      <c r="F21" s="44">
        <f t="shared" si="19"/>
        <v>7.9355582389269597E-4</v>
      </c>
      <c r="G21" s="44">
        <f t="shared" si="19"/>
        <v>1.2073439955953666E-3</v>
      </c>
      <c r="H21" s="44">
        <f t="shared" si="19"/>
        <v>1.632796450061902E-3</v>
      </c>
      <c r="I21" s="44">
        <f t="shared" si="19"/>
        <v>2.0701620590276113E-3</v>
      </c>
      <c r="J21" s="44">
        <f t="shared" si="19"/>
        <v>2.5196944251415832E-3</v>
      </c>
      <c r="K21" s="44">
        <f t="shared" si="19"/>
        <v>2.9816519663563436E-3</v>
      </c>
      <c r="L21" s="44">
        <f t="shared" si="19"/>
        <v>3.4562980017633083E-3</v>
      </c>
      <c r="M21" s="44">
        <f t="shared" si="19"/>
        <v>3.9439008388981239E-3</v>
      </c>
      <c r="N21" s="44">
        <f t="shared" si="19"/>
        <v>4.4447338625403657E-3</v>
      </c>
      <c r="O21" s="44">
        <f t="shared" si="19"/>
        <v>5.6395265285522382E-3</v>
      </c>
      <c r="P21" s="44">
        <f t="shared" si="19"/>
        <v>6.8675594786575499E-3</v>
      </c>
      <c r="Q21" s="44">
        <f t="shared" si="19"/>
        <v>8.1295387492264278E-3</v>
      </c>
      <c r="R21" s="44">
        <f t="shared" si="19"/>
        <v>9.4261837674978165E-3</v>
      </c>
      <c r="S21" s="44">
        <f t="shared" si="19"/>
        <v>1.0758227590117141E-2</v>
      </c>
      <c r="T21" s="44">
        <f t="shared" si="19"/>
        <v>1.212641714575695E-2</v>
      </c>
      <c r="U21" s="44">
        <f t="shared" si="19"/>
        <v>1.3531513481888526E-2</v>
      </c>
      <c r="V21" s="44">
        <f t="shared" si="19"/>
        <v>1.4974292015773496E-2</v>
      </c>
      <c r="W21" s="44">
        <f t="shared" si="19"/>
        <v>1.6455542789745724E-2</v>
      </c>
      <c r="X21" s="44">
        <f t="shared" si="19"/>
        <v>1.7976070730854828E-2</v>
      </c>
      <c r="Y21" s="44">
        <f t="shared" si="19"/>
        <v>1.9581003694296096E-2</v>
      </c>
      <c r="Z21" s="44">
        <f t="shared" si="19"/>
        <v>2.1228135739356956E-2</v>
      </c>
      <c r="AA21" s="44">
        <f t="shared" si="19"/>
        <v>2.2918345194543964E-2</v>
      </c>
      <c r="AB21" s="44">
        <f t="shared" si="19"/>
        <v>2.465252687394762E-2</v>
      </c>
      <c r="AC21" s="44">
        <f t="shared" si="19"/>
        <v>2.6431592369044632E-2</v>
      </c>
      <c r="AD21" s="44">
        <f t="shared" si="19"/>
        <v>2.8256470345473565E-2</v>
      </c>
      <c r="AE21" s="44">
        <f t="shared" si="19"/>
        <v>3.0128106844866311E-2</v>
      </c>
      <c r="AF21" s="44">
        <f t="shared" si="19"/>
        <v>3.2047465591819327E-2</v>
      </c>
      <c r="AG21" s="44">
        <f t="shared" si="19"/>
        <v>3.4015528306089962E-2</v>
      </c>
      <c r="AH21" s="44">
        <f t="shared" si="19"/>
        <v>3.6033295020104349E-2</v>
      </c>
      <c r="AJ21" s="44">
        <f>SUM(AJ19:AJ20)</f>
        <v>0</v>
      </c>
      <c r="AK21" s="44">
        <f t="shared" ref="AK21:BM21" si="20">SUM(AK19:AK20)</f>
        <v>2.8947890626194935E-4</v>
      </c>
      <c r="AL21" s="44">
        <f t="shared" si="20"/>
        <v>5.8723130968059488E-4</v>
      </c>
      <c r="AM21" s="44">
        <f t="shared" si="20"/>
        <v>8.934345567405711E-4</v>
      </c>
      <c r="AN21" s="44">
        <f t="shared" si="20"/>
        <v>1.2082693730458072E-3</v>
      </c>
      <c r="AO21" s="44">
        <f t="shared" si="20"/>
        <v>1.5319199236804321E-3</v>
      </c>
      <c r="AP21" s="44">
        <f t="shared" si="20"/>
        <v>1.864573874604771E-3</v>
      </c>
      <c r="AQ21" s="44">
        <f t="shared" si="20"/>
        <v>2.2064224551036939E-3</v>
      </c>
      <c r="AR21" s="44">
        <f t="shared" si="20"/>
        <v>2.557660521304848E-3</v>
      </c>
      <c r="AS21" s="44">
        <f t="shared" si="20"/>
        <v>2.9184866207846117E-3</v>
      </c>
      <c r="AT21" s="44">
        <f t="shared" si="20"/>
        <v>3.2891030582798703E-3</v>
      </c>
      <c r="AU21" s="44">
        <f t="shared" si="20"/>
        <v>4.1732496311286567E-3</v>
      </c>
      <c r="AV21" s="44">
        <f t="shared" si="20"/>
        <v>5.0819940142065867E-3</v>
      </c>
      <c r="AW21" s="44">
        <f t="shared" si="20"/>
        <v>6.0158586744275579E-3</v>
      </c>
      <c r="AX21" s="44">
        <f t="shared" si="20"/>
        <v>6.9753759879483852E-3</v>
      </c>
      <c r="AY21" s="44">
        <f t="shared" si="20"/>
        <v>7.961088416686685E-3</v>
      </c>
      <c r="AZ21" s="44">
        <f t="shared" si="20"/>
        <v>8.9735486878601434E-3</v>
      </c>
      <c r="BA21" s="44">
        <f t="shared" si="20"/>
        <v>1.0013319976597509E-2</v>
      </c>
      <c r="BB21" s="44">
        <f t="shared" si="20"/>
        <v>1.1080976091672386E-2</v>
      </c>
      <c r="BC21" s="44">
        <f t="shared" si="20"/>
        <v>1.2177101664411836E-2</v>
      </c>
      <c r="BD21" s="44">
        <f t="shared" si="20"/>
        <v>1.3302292340832573E-2</v>
      </c>
      <c r="BE21" s="44">
        <f t="shared" si="20"/>
        <v>1.4489942733779109E-2</v>
      </c>
      <c r="BF21" s="44">
        <f t="shared" si="20"/>
        <v>1.5708820447124149E-2</v>
      </c>
      <c r="BG21" s="44">
        <f t="shared" si="20"/>
        <v>1.6959575443962538E-2</v>
      </c>
      <c r="BH21" s="44">
        <f t="shared" si="20"/>
        <v>1.824286988672124E-2</v>
      </c>
      <c r="BI21" s="44">
        <f t="shared" si="20"/>
        <v>1.9559378353093026E-2</v>
      </c>
      <c r="BJ21" s="44">
        <f t="shared" si="20"/>
        <v>2.0909788055650438E-2</v>
      </c>
      <c r="BK21" s="44">
        <f t="shared" si="20"/>
        <v>2.2294799065201067E-2</v>
      </c>
      <c r="BL21" s="44">
        <f t="shared" si="20"/>
        <v>2.3715124537946303E-2</v>
      </c>
      <c r="BM21" s="44">
        <f t="shared" si="20"/>
        <v>2.5171490946506572E-2</v>
      </c>
      <c r="BN21" s="44">
        <f>SUM(BN19:BN20)</f>
        <v>2.6664638314877219E-2</v>
      </c>
      <c r="BR21" t="s">
        <v>187</v>
      </c>
      <c r="BS21" s="44">
        <f>D6</f>
        <v>0</v>
      </c>
      <c r="BU21" t="str">
        <v>Major Polymers</v>
      </c>
      <c r="BV21" s="44">
        <v>28.851572700948026</v>
      </c>
      <c r="BW21" s="169">
        <v>0.27724419981452192</v>
      </c>
    </row>
    <row r="22" spans="1:75" outlineLevel="1" x14ac:dyDescent="0.2">
      <c r="B22" s="61" t="s">
        <v>202</v>
      </c>
      <c r="C22" s="54" t="s">
        <v>153</v>
      </c>
      <c r="D22" s="44">
        <v>0</v>
      </c>
      <c r="E22" s="44">
        <f>E18*'R&amp;S - Packaging and hh goods'!$C$9*('R&amp;S - Packaging and hh goods'!$C$14*'R&amp;S - Packaging and hh goods'!$D$19*('Yearly HC Ethylene'!E$3-'Yearly HC Ethylene'!$D$3)/10)</f>
        <v>1.4738088417131642E-4</v>
      </c>
      <c r="F22" s="44">
        <f>F18*'R&amp;S - Packaging and hh goods'!$C$9*('R&amp;S - Packaging and hh goods'!$C$14*'R&amp;S - Packaging and hh goods'!$D$19*('Yearly HC Ethylene'!F$3-'Yearly HC Ethylene'!$D$3)/10)</f>
        <v>2.989740107539654E-4</v>
      </c>
      <c r="G22" s="44">
        <f>G18*'R&amp;S - Packaging and hh goods'!$C$9*('R&amp;S - Packaging and hh goods'!$C$14*'R&amp;S - Packaging and hh goods'!$D$19*('Yearly HC Ethylene'!G$3-'Yearly HC Ethylene'!$D$3)/10)</f>
        <v>4.5486967123774025E-4</v>
      </c>
      <c r="H22" s="44">
        <f>H18*'R&amp;S - Packaging and hh goods'!$C$9*('R&amp;S - Packaging and hh goods'!$C$14*'R&amp;S - Packaging and hh goods'!$D$19*('Yearly HC Ethylene'!H$3-'Yearly HC Ethylene'!$D$3)/10)</f>
        <v>6.1515987750579838E-4</v>
      </c>
      <c r="I22" s="44">
        <f>I18*'R&amp;S - Packaging and hh goods'!$C$9*('R&amp;S - Packaging and hh goods'!$C$14*'R&amp;S - Packaging and hh goods'!$D$19*('Yearly HC Ethylene'!I$3-'Yearly HC Ethylene'!$D$3)/10)</f>
        <v>7.7993839256589308E-4</v>
      </c>
      <c r="J22" s="44">
        <f>J18*'R&amp;S - Packaging and hh goods'!$C$9*('R&amp;S - Packaging and hh goods'!$C$14*'R&amp;S - Packaging and hh goods'!$D$19*('Yearly HC Ethylene'!J$3-'Yearly HC Ethylene'!$D$3)/10)</f>
        <v>9.4930076180859866E-4</v>
      </c>
      <c r="K22" s="44">
        <f>K18*'R&amp;S - Packaging and hh goods'!$C$9*('R&amp;S - Packaging and hh goods'!$C$14*'R&amp;S - Packaging and hh goods'!$D$19*('Yearly HC Ethylene'!K$3-'Yearly HC Ethylene'!$D$3)/10)</f>
        <v>1.1233443448013091E-3</v>
      </c>
      <c r="L22" s="44">
        <f>L18*'R&amp;S - Packaging and hh goods'!$C$9*('R&amp;S - Packaging and hh goods'!$C$14*'R&amp;S - Packaging and hh goods'!$D$19*('Yearly HC Ethylene'!L$3-'Yearly HC Ethylene'!$D$3)/10)</f>
        <v>1.3021683476269472E-3</v>
      </c>
      <c r="M22" s="44">
        <f>M18*'R&amp;S - Packaging and hh goods'!$C$9*('R&amp;S - Packaging and hh goods'!$C$14*'R&amp;S - Packaging and hh goods'!$D$19*('Yearly HC Ethylene'!M$3-'Yearly HC Ethylene'!$D$3)/10)</f>
        <v>1.4858738557764542E-3</v>
      </c>
      <c r="N22" s="44">
        <f>N18*'R&amp;S - Packaging and hh goods'!$C$9*('R&amp;S - Packaging and hh goods'!$C$14*'R&amp;S - Packaging and hh goods'!$D$19*('Yearly HC Ethylene'!N$3-'Yearly HC Ethylene'!$D$3)/10)</f>
        <v>1.6745638676042846E-3</v>
      </c>
      <c r="O22" s="44">
        <f>O18*'R&amp;S - Packaging and hh goods'!$C$9*('R&amp;S - Packaging and hh goods'!$C$14*'R&amp;S - Packaging and hh goods'!$D$19*('Yearly HC Ethylene'!O$3-'Yearly HC Ethylene'!$D$3)/10)</f>
        <v>1.8683433283562816E-3</v>
      </c>
      <c r="P22" s="44">
        <f>P18*'R&amp;S - Packaging and hh goods'!$C$9*('R&amp;S - Packaging and hh goods'!$C$14*'R&amp;S - Packaging and hh goods'!$D$19*('Yearly HC Ethylene'!P$3-'Yearly HC Ethylene'!$D$3)/10)</f>
        <v>2.0673191647794581E-3</v>
      </c>
      <c r="Q22" s="44">
        <f>Q18*'R&amp;S - Packaging and hh goods'!$C$9*('R&amp;S - Packaging and hh goods'!$C$14*'R&amp;S - Packaging and hh goods'!$D$19*('Yearly HC Ethylene'!Q$3-'Yearly HC Ethylene'!$D$3)/10)</f>
        <v>2.2716003203233671E-3</v>
      </c>
      <c r="R22" s="44">
        <f>R18*'R&amp;S - Packaging and hh goods'!$C$9*('R&amp;S - Packaging and hh goods'!$C$14*'R&amp;S - Packaging and hh goods'!$D$19*('Yearly HC Ethylene'!R$3-'Yearly HC Ethylene'!$D$3)/10)</f>
        <v>2.4812977909429014E-3</v>
      </c>
      <c r="S22" s="44">
        <f>S18*'R&amp;S - Packaging and hh goods'!$C$9*('R&amp;S - Packaging and hh goods'!$C$14*'R&amp;S - Packaging and hh goods'!$D$19*('Yearly HC Ethylene'!S$3-'Yearly HC Ethylene'!$D$3)/10)</f>
        <v>2.6965246615125215E-3</v>
      </c>
      <c r="T22" s="44">
        <f>T18*'R&amp;S - Packaging and hh goods'!$C$9*('R&amp;S - Packaging and hh goods'!$C$14*'R&amp;S - Packaging and hh goods'!$D$19*('Yearly HC Ethylene'!T$3-'Yearly HC Ethylene'!$D$3)/10)</f>
        <v>2.9173961428620786E-3</v>
      </c>
      <c r="U22" s="44">
        <f>U18*'R&amp;S - Packaging and hh goods'!$C$9*('R&amp;S - Packaging and hh goods'!$C$14*'R&amp;S - Packaging and hh goods'!$D$19*('Yearly HC Ethylene'!U$3-'Yearly HC Ethylene'!$D$3)/10)</f>
        <v>3.1440296094445599E-3</v>
      </c>
      <c r="V22" s="44">
        <f>V18*'R&amp;S - Packaging and hh goods'!$C$9*('R&amp;S - Packaging and hh goods'!$C$14*'R&amp;S - Packaging and hh goods'!$D$19*('Yearly HC Ethylene'!V$3-'Yearly HC Ethylene'!$D$3)/10)</f>
        <v>3.3765446376462526E-3</v>
      </c>
      <c r="W22" s="44">
        <f>W18*'R&amp;S - Packaging and hh goods'!$C$9*('R&amp;S - Packaging and hh goods'!$C$14*'R&amp;S - Packaging and hh goods'!$D$19*('Yearly HC Ethylene'!W$3-'Yearly HC Ethylene'!$D$3)/10)</f>
        <v>3.6150630447499971E-3</v>
      </c>
      <c r="X22" s="44">
        <f>X18*'R&amp;S - Packaging and hh goods'!$C$9*('R&amp;S - Packaging and hh goods'!$C$14*'R&amp;S - Packaging and hh goods'!$D$19*('Yearly HC Ethylene'!X$3-'Yearly HC Ethylene'!$D$3)/10)</f>
        <v>3.859708928562371E-3</v>
      </c>
      <c r="Y22" s="44">
        <f>Y18*'R&amp;S - Packaging and hh goods'!$C$9*('R&amp;S - Packaging and hh goods'!$C$14*('R&amp;S - Packaging and hh goods'!$D$20+('R&amp;S - Packaging and hh goods'!$D$21-'R&amp;S - Packaging and hh goods'!$D$20)*('Yearly HC Ethylene'!Y$3-'Yearly HC Ethylene'!$X$3)/10))</f>
        <v>4.645640317291538E-3</v>
      </c>
      <c r="Z22" s="44">
        <f>Z18*'R&amp;S - Packaging and hh goods'!$C$9*('R&amp;S - Packaging and hh goods'!$C$14*('R&amp;S - Packaging and hh goods'!$D$20+('R&amp;S - Packaging and hh goods'!$D$21-'R&amp;S - Packaging and hh goods'!$D$20)*('Yearly HC Ethylene'!Z$3-'Yearly HC Ethylene'!$X$3)/10))</f>
        <v>4.9238045833587653E-3</v>
      </c>
      <c r="AA22" s="44">
        <f>AA18*'R&amp;S - Packaging and hh goods'!$C$9*('R&amp;S - Packaging and hh goods'!$C$14*('R&amp;S - Packaging and hh goods'!$D$20+('R&amp;S - Packaging and hh goods'!$D$21-'R&amp;S - Packaging and hh goods'!$D$20)*('Yearly HC Ethylene'!AA$3-'Yearly HC Ethylene'!$X$3)/10))</f>
        <v>5.2089702643621991E-3</v>
      </c>
      <c r="AB22" s="44">
        <f>AB18*'R&amp;S - Packaging and hh goods'!$C$9*('R&amp;S - Packaging and hh goods'!$C$14*('R&amp;S - Packaging and hh goods'!$D$20+('R&amp;S - Packaging and hh goods'!$D$21-'R&amp;S - Packaging and hh goods'!$D$20)*('Yearly HC Ethylene'!AB$3-'Yearly HC Ethylene'!$X$3)/10))</f>
        <v>5.5012806604436606E-3</v>
      </c>
      <c r="AC22" s="44">
        <f>AC18*'R&amp;S - Packaging and hh goods'!$C$9*('R&amp;S - Packaging and hh goods'!$C$14*('R&amp;S - Packaging and hh goods'!$D$20+('R&amp;S - Packaging and hh goods'!$D$21-'R&amp;S - Packaging and hh goods'!$D$20)*('Yearly HC Ethylene'!AC$3-'Yearly HC Ethylene'!$X$3)/10))</f>
        <v>5.8008817375737763E-3</v>
      </c>
      <c r="AD22" s="44">
        <f>AD18*'R&amp;S - Packaging and hh goods'!$C$9*('R&amp;S - Packaging and hh goods'!$C$14*('R&amp;S - Packaging and hh goods'!$D$20+('R&amp;S - Packaging and hh goods'!$D$21-'R&amp;S - Packaging and hh goods'!$D$20)*('Yearly HC Ethylene'!AD$3-'Yearly HC Ethylene'!$X$3)/10))</f>
        <v>6.1079221744792965E-3</v>
      </c>
      <c r="AE22" s="44">
        <f>AE18*'R&amp;S - Packaging and hh goods'!$C$9*('R&amp;S - Packaging and hh goods'!$C$14*('R&amp;S - Packaging and hh goods'!$D$20+('R&amp;S - Packaging and hh goods'!$D$21-'R&amp;S - Packaging and hh goods'!$D$20)*('Yearly HC Ethylene'!AE$3-'Yearly HC Ethylene'!$X$3)/10))</f>
        <v>6.4225534103672273E-3</v>
      </c>
      <c r="AF22" s="44">
        <f>AF18*'R&amp;S - Packaging and hh goods'!$C$9*('R&amp;S - Packaging and hh goods'!$C$14*('R&amp;S - Packaging and hh goods'!$D$20+('R&amp;S - Packaging and hh goods'!$D$21-'R&amp;S - Packaging and hh goods'!$D$20)*('Yearly HC Ethylene'!AF$3-'Yearly HC Ethylene'!$X$3)/10))</f>
        <v>6.7449296934589623E-3</v>
      </c>
      <c r="AG22" s="44">
        <f>AG18*'R&amp;S - Packaging and hh goods'!$C$9*('R&amp;S - Packaging and hh goods'!$C$14*('R&amp;S - Packaging and hh goods'!$D$20+('R&amp;S - Packaging and hh goods'!$D$21-'R&amp;S - Packaging and hh goods'!$D$20)*('Yearly HC Ethylene'!AG$3-'Yearly HC Ethylene'!$X$3)/10))</f>
        <v>7.0752081303478414E-3</v>
      </c>
      <c r="AH22" s="44">
        <f>AH18*'R&amp;S - Packaging and hh goods'!$C$9*('R&amp;S - Packaging and hh goods'!$C$14*('R&amp;S - Packaging and hh goods'!$D$20+('R&amp;S - Packaging and hh goods'!$D$21-'R&amp;S - Packaging and hh goods'!$D$20)*('Yearly HC Ethylene'!AH$3-'Yearly HC Ethylene'!$X$3)/10))</f>
        <v>7.4135487361937169E-3</v>
      </c>
      <c r="AJ22" s="44">
        <v>0</v>
      </c>
      <c r="AK22" s="44">
        <f>AK18*'R&amp;S - Packaging and hh goods'!$C$9*('R&amp;S - Packaging and hh goods'!$C$15*'R&amp;S - Packaging and hh goods'!$D$19*(AK$3-$D$3)/10)</f>
        <v>1.2822136922904529E-4</v>
      </c>
      <c r="AL22" s="44">
        <f>AL18*'R&amp;S - Packaging and hh goods'!$C$9*('R&amp;S - Packaging and hh goods'!$C$15*'R&amp;S - Packaging and hh goods'!$D$19*(AL$3-$D$3)/10)</f>
        <v>2.6010738935594997E-4</v>
      </c>
      <c r="AM22" s="44">
        <f>AM18*'R&amp;S - Packaging and hh goods'!$C$9*('R&amp;S - Packaging and hh goods'!$C$15*'R&amp;S - Packaging and hh goods'!$D$19*(AM$3-$D$3)/10)</f>
        <v>3.957366139768341E-4</v>
      </c>
      <c r="AN22" s="44">
        <f>AN18*'R&amp;S - Packaging and hh goods'!$C$9*('R&amp;S - Packaging and hh goods'!$C$15*'R&amp;S - Packaging and hh goods'!$D$19*(AN$3-$D$3)/10)</f>
        <v>5.3518909343004456E-4</v>
      </c>
      <c r="AO22" s="44">
        <f>AO18*'R&amp;S - Packaging and hh goods'!$C$9*('R&amp;S - Packaging and hh goods'!$C$15*'R&amp;S - Packaging and hh goods'!$D$19*(AO$3-$D$3)/10)</f>
        <v>6.7854640153232706E-4</v>
      </c>
      <c r="AP22" s="44">
        <f>AP18*'R&amp;S - Packaging and hh goods'!$C$9*('R&amp;S - Packaging and hh goods'!$C$15*'R&amp;S - Packaging and hh goods'!$D$19*(AP$3-$D$3)/10)</f>
        <v>8.2589166277348088E-4</v>
      </c>
      <c r="AQ22" s="44">
        <f>AQ18*'R&amp;S - Packaging and hh goods'!$C$9*('R&amp;S - Packaging and hh goods'!$C$15*'R&amp;S - Packaging and hh goods'!$D$19*(AQ$3-$D$3)/10)</f>
        <v>9.77309579977139E-4</v>
      </c>
      <c r="AR22" s="44">
        <f>AR18*'R&amp;S - Packaging and hh goods'!$C$9*('R&amp;S - Packaging and hh goods'!$C$15*'R&amp;S - Packaging and hh goods'!$D$19*(AR$3-$D$3)/10)</f>
        <v>1.1328864624354442E-3</v>
      </c>
      <c r="AS22" s="44">
        <f>AS18*'R&amp;S - Packaging and hh goods'!$C$9*('R&amp;S - Packaging and hh goods'!$C$15*'R&amp;S - Packaging and hh goods'!$D$19*(AS$3-$D$3)/10)</f>
        <v>1.2927102545255155E-3</v>
      </c>
      <c r="AT22" s="44">
        <f>AT18*'R&amp;S - Packaging and hh goods'!$C$9*('R&amp;S - Packaging and hh goods'!$C$15*'R&amp;S - Packaging and hh goods'!$D$19*(AT$3-$D$3)/10)</f>
        <v>1.4568705648157279E-3</v>
      </c>
      <c r="AU22" s="44">
        <f>AU18*'R&amp;S - Packaging and hh goods'!$C$9*('R&amp;S - Packaging and hh goods'!$C$15*'R&amp;S - Packaging and hh goods'!$D$19*(AU$3-$D$3)/10)</f>
        <v>1.6254586956699652E-3</v>
      </c>
      <c r="AV22" s="44">
        <f>AV18*'R&amp;S - Packaging and hh goods'!$C$9*('R&amp;S - Packaging and hh goods'!$C$15*'R&amp;S - Packaging and hh goods'!$D$19*(AV$3-$D$3)/10)</f>
        <v>1.7985676733581289E-3</v>
      </c>
      <c r="AW22" s="44">
        <f>AW18*'R&amp;S - Packaging and hh goods'!$C$9*('R&amp;S - Packaging and hh goods'!$C$15*'R&amp;S - Packaging and hh goods'!$D$19*(AW$3-$D$3)/10)</f>
        <v>1.9762922786813295E-3</v>
      </c>
      <c r="AX22" s="44">
        <f>AX18*'R&amp;S - Packaging and hh goods'!$C$9*('R&amp;S - Packaging and hh goods'!$C$15*'R&amp;S - Packaging and hh goods'!$D$19*(AX$3-$D$3)/10)</f>
        <v>2.1587290781203239E-3</v>
      </c>
      <c r="AY22" s="44">
        <f>AY18*'R&amp;S - Packaging and hh goods'!$C$9*('R&amp;S - Packaging and hh goods'!$C$15*'R&amp;S - Packaging and hh goods'!$D$19*(AY$3-$D$3)/10)</f>
        <v>2.3459764555158937E-3</v>
      </c>
      <c r="AZ22" s="44">
        <f>AZ18*'R&amp;S - Packaging and hh goods'!$C$9*('R&amp;S - Packaging and hh goods'!$C$15*'R&amp;S - Packaging and hh goods'!$D$19*(AZ$3-$D$3)/10)</f>
        <v>2.5381346442900085E-3</v>
      </c>
      <c r="BA22" s="44">
        <f>BA18*'R&amp;S - Packaging and hh goods'!$C$9*('R&amp;S - Packaging and hh goods'!$C$15*'R&amp;S - Packaging and hh goods'!$D$19*(BA$3-$D$3)/10)</f>
        <v>2.7353057602167675E-3</v>
      </c>
      <c r="BB22" s="44">
        <f>BB18*'R&amp;S - Packaging and hh goods'!$C$9*('R&amp;S - Packaging and hh goods'!$C$15*'R&amp;S - Packaging and hh goods'!$D$19*(BB$3-$D$3)/10)</f>
        <v>2.9375938347522405E-3</v>
      </c>
      <c r="BC22" s="44">
        <f>BC18*'R&amp;S - Packaging and hh goods'!$C$9*('R&amp;S - Packaging and hh goods'!$C$15*'R&amp;S - Packaging and hh goods'!$D$19*(BC$3-$D$3)/10)</f>
        <v>3.1451048489324978E-3</v>
      </c>
      <c r="BD22" s="44">
        <f>BD18*'R&amp;S - Packaging and hh goods'!$C$9*('R&amp;S - Packaging and hh goods'!$C$15*'R&amp;S - Packaging and hh goods'!$D$19*(BD$3-$D$3)/10)</f>
        <v>3.357946767849263E-3</v>
      </c>
      <c r="BE22" s="44">
        <f>BE18*'R&amp;S - Packaging and hh goods'!$C$9*('R&amp;S - Packaging and hh goods'!$C$15*('R&amp;S - Packaging and hh goods'!$D$20+('R&amp;S - Packaging and hh goods'!$D$21-'R&amp;S - Packaging and hh goods'!$D$20)*(BE$3-$X$3)/10))</f>
        <v>4.0417070760436387E-3</v>
      </c>
      <c r="BF22" s="44">
        <f>BF18*'R&amp;S - Packaging and hh goods'!$C$9*('R&amp;S - Packaging and hh goods'!$C$15*('R&amp;S - Packaging and hh goods'!$D$20+('R&amp;S - Packaging and hh goods'!$D$21-'R&amp;S - Packaging and hh goods'!$D$20)*(BF$3-$X$3)/10))</f>
        <v>4.283709987522125E-3</v>
      </c>
      <c r="BG22" s="44">
        <f>BG18*'R&amp;S - Packaging and hh goods'!$C$9*('R&amp;S - Packaging and hh goods'!$C$15*('R&amp;S - Packaging and hh goods'!$D$20+('R&amp;S - Packaging and hh goods'!$D$21-'R&amp;S - Packaging and hh goods'!$D$20)*(BG$3-$X$3)/10))</f>
        <v>4.5318041299951132E-3</v>
      </c>
      <c r="BH22" s="44">
        <f>BH18*'R&amp;S - Packaging and hh goods'!$C$9*('R&amp;S - Packaging and hh goods'!$C$15*('R&amp;S - Packaging and hh goods'!$D$20+('R&amp;S - Packaging and hh goods'!$D$21-'R&amp;S - Packaging and hh goods'!$D$20)*(BH$3-$X$3)/10))</f>
        <v>4.7861141745859847E-3</v>
      </c>
      <c r="BI22" s="44">
        <f>BI18*'R&amp;S - Packaging and hh goods'!$C$9*('R&amp;S - Packaging and hh goods'!$C$15*('R&amp;S - Packaging and hh goods'!$D$20+('R&amp;S - Packaging and hh goods'!$D$21-'R&amp;S - Packaging and hh goods'!$D$20)*(BI$3-$X$3)/10))</f>
        <v>5.0467671116891854E-3</v>
      </c>
      <c r="BJ22" s="44">
        <f>BJ18*'R&amp;S - Packaging and hh goods'!$C$9*('R&amp;S - Packaging and hh goods'!$C$15*('R&amp;S - Packaging and hh goods'!$D$20+('R&amp;S - Packaging and hh goods'!$D$21-'R&amp;S - Packaging and hh goods'!$D$20)*(BJ$3-$X$3)/10))</f>
        <v>5.3138922917969882E-3</v>
      </c>
      <c r="BK22" s="44">
        <f>BK18*'R&amp;S - Packaging and hh goods'!$C$9*('R&amp;S - Packaging and hh goods'!$C$15*('R&amp;S - Packaging and hh goods'!$D$20+('R&amp;S - Packaging and hh goods'!$D$21-'R&amp;S - Packaging and hh goods'!$D$20)*(BK$3-$X$3)/10))</f>
        <v>5.5876214670194883E-3</v>
      </c>
      <c r="BL22" s="44">
        <f>BL18*'R&amp;S - Packaging and hh goods'!$C$9*('R&amp;S - Packaging and hh goods'!$C$15*('R&amp;S - Packaging and hh goods'!$D$20+('R&amp;S - Packaging and hh goods'!$D$21-'R&amp;S - Packaging and hh goods'!$D$20)*(BL$3-$X$3)/10))</f>
        <v>5.868088833309297E-3</v>
      </c>
      <c r="BM22" s="44">
        <f>BM18*'R&amp;S - Packaging and hh goods'!$C$9*('R&amp;S - Packaging and hh goods'!$C$15*('R&amp;S - Packaging and hh goods'!$D$20+('R&amp;S - Packaging and hh goods'!$D$21-'R&amp;S - Packaging and hh goods'!$D$20)*(BM$3-$X$3)/10))</f>
        <v>6.1554310734026219E-3</v>
      </c>
      <c r="BN22" s="44">
        <f>BN18*'R&amp;S - Packaging and hh goods'!$C$9*('R&amp;S - Packaging and hh goods'!$C$15*('R&amp;S - Packaging and hh goods'!$D$20+('R&amp;S - Packaging and hh goods'!$D$21-'R&amp;S - Packaging and hh goods'!$D$20)*(BN$3-$X$3)/10))</f>
        <v>6.4497874004885341E-3</v>
      </c>
      <c r="BR22" t="s">
        <v>190</v>
      </c>
      <c r="BS22" s="44" t="e">
        <f>#REF!</f>
        <v>#REF!</v>
      </c>
      <c r="BU22" t="str">
        <v>Minor Polymers</v>
      </c>
      <c r="BV22" s="44">
        <v>22.580763290736638</v>
      </c>
      <c r="BW22" s="169">
        <v>0.21698594092708512</v>
      </c>
    </row>
    <row r="23" spans="1:75" outlineLevel="1" x14ac:dyDescent="0.2">
      <c r="B23" s="61" t="s">
        <v>203</v>
      </c>
      <c r="C23" s="54" t="s">
        <v>153</v>
      </c>
      <c r="D23" s="44">
        <v>0</v>
      </c>
      <c r="E23" s="44">
        <f>E18*'R&amp;S - Packaging and hh goods'!$C$10*('R&amp;S - Packaging and hh goods'!$C$14*'R&amp;S - Packaging and hh goods'!$E$19*('Yearly HC Ethylene'!E$3-'Yearly HC Ethylene'!$D$3)/10)</f>
        <v>2.211855750043943E-4</v>
      </c>
      <c r="F23" s="44">
        <f>F18*'R&amp;S - Packaging and hh goods'!$C$10*('R&amp;S - Packaging and hh goods'!$C$14*'R&amp;S - Packaging and hh goods'!$E$19*('Yearly HC Ethylene'!F$3-'Yearly HC Ethylene'!$D$3)/10)</f>
        <v>4.486927789299823E-4</v>
      </c>
      <c r="G23" s="44">
        <f>G18*'R&amp;S - Packaging and hh goods'!$C$10*('R&amp;S - Packaging and hh goods'!$C$14*'R&amp;S - Packaging and hh goods'!$E$19*('Yearly HC Ethylene'!G$3-'Yearly HC Ethylene'!$D$3)/10)</f>
        <v>6.8265711900485678E-4</v>
      </c>
      <c r="H23" s="44">
        <f>H18*'R&amp;S - Packaging and hh goods'!$C$10*('R&amp;S - Packaging and hh goods'!$C$14*'R&amp;S - Packaging and hh goods'!$E$19*('Yearly HC Ethylene'!H$3-'Yearly HC Ethylene'!$D$3)/10)</f>
        <v>9.2321668438079512E-4</v>
      </c>
      <c r="I23" s="44">
        <f>I18*'R&amp;S - Packaging and hh goods'!$C$10*('R&amp;S - Packaging and hh goods'!$C$14*'R&amp;S - Packaging and hh goods'!$E$19*('Yearly HC Ethylene'!I$3-'Yearly HC Ethylene'!$D$3)/10)</f>
        <v>1.1705121922539296E-3</v>
      </c>
      <c r="J23" s="44">
        <f>J18*'R&amp;S - Packaging and hh goods'!$C$10*('R&amp;S - Packaging and hh goods'!$C$14*'R&amp;S - Packaging and hh goods'!$E$19*('Yearly HC Ethylene'!J$3-'Yearly HC Ethylene'!$D$3)/10)</f>
        <v>1.4246870347763157E-3</v>
      </c>
      <c r="K23" s="44">
        <f>K18*'R&amp;S - Packaging and hh goods'!$C$10*('R&amp;S - Packaging and hh goods'!$C$14*'R&amp;S - Packaging and hh goods'!$E$19*('Yearly HC Ethylene'!K$3-'Yearly HC Ethylene'!$D$3)/10)</f>
        <v>1.6858873267715773E-3</v>
      </c>
      <c r="L23" s="44">
        <f>L18*'R&amp;S - Packaging and hh goods'!$C$10*('R&amp;S - Packaging and hh goods'!$C$14*'R&amp;S - Packaging and hh goods'!$E$19*('Yearly HC Ethylene'!L$3-'Yearly HC Ethylene'!$D$3)/10)</f>
        <v>1.9542619542680388E-3</v>
      </c>
      <c r="M23" s="44">
        <f>M18*'R&amp;S - Packaging and hh goods'!$C$10*('R&amp;S - Packaging and hh goods'!$C$14*'R&amp;S - Packaging and hh goods'!$E$19*('Yearly HC Ethylene'!M$3-'Yearly HC Ethylene'!$D$3)/10)</f>
        <v>2.2299626238629577E-3</v>
      </c>
      <c r="N23" s="44">
        <f>N18*'R&amp;S - Packaging and hh goods'!$C$10*('R&amp;S - Packaging and hh goods'!$C$14*'R&amp;S - Packaging and hh goods'!$E$19*('Yearly HC Ethylene'!N$3-'Yearly HC Ethylene'!$D$3)/10)</f>
        <v>2.5131439129317018E-3</v>
      </c>
      <c r="O23" s="44">
        <f>O18*'R&amp;S - Packaging and hh goods'!$C$10*('R&amp;S - Packaging and hh goods'!$C$14*'R&amp;S - Packaging and hh goods'!$E$19*('Yearly HC Ethylene'!O$3-'Yearly HC Ethylene'!$D$3)/10)</f>
        <v>2.803963320695939E-3</v>
      </c>
      <c r="P23" s="44">
        <f>P18*'R&amp;S - Packaging and hh goods'!$C$10*('R&amp;S - Packaging and hh goods'!$C$14*('R&amp;S - Packaging and hh goods'!$E$19+('R&amp;S - Packaging and hh goods'!$E$20-'R&amp;S - Packaging and hh goods'!$E$19)*('Yearly HC Ethylene'!P$3-'Yearly HC Ethylene'!$O$3)/10))</f>
        <v>2.8682717933818354E-3</v>
      </c>
      <c r="Q23" s="44">
        <f>Q18*'R&amp;S - Packaging and hh goods'!$C$10*('R&amp;S - Packaging and hh goods'!$C$14*('R&amp;S - Packaging and hh goods'!$E$19+('R&amp;S - Packaging and hh goods'!$E$20-'R&amp;S - Packaging and hh goods'!$E$19)*('Yearly HC Ethylene'!Q$3-'Yearly HC Ethylene'!$O$3)/10))</f>
        <v>3.1960888227805517E-3</v>
      </c>
      <c r="R23" s="44">
        <f>R18*'R&amp;S - Packaging and hh goods'!$C$10*('R&amp;S - Packaging and hh goods'!$C$14*('R&amp;S - Packaging and hh goods'!$E$19+('R&amp;S - Packaging and hh goods'!$E$20-'R&amp;S - Packaging and hh goods'!$E$19)*('Yearly HC Ethylene'!R$3-'Yearly HC Ethylene'!$O$3)/10))</f>
        <v>3.5326893382956457E-3</v>
      </c>
      <c r="S23" s="44">
        <f>S18*'R&amp;S - Packaging and hh goods'!$C$10*('R&amp;S - Packaging and hh goods'!$C$14*('R&amp;S - Packaging and hh goods'!$E$19+('R&amp;S - Packaging and hh goods'!$E$20-'R&amp;S - Packaging and hh goods'!$E$19)*('Yearly HC Ethylene'!S$3-'Yearly HC Ethylene'!$O$3)/10))</f>
        <v>3.8782574330694305E-3</v>
      </c>
      <c r="T23" s="44">
        <f>T18*'R&amp;S - Packaging and hh goods'!$C$10*('R&amp;S - Packaging and hh goods'!$C$14*('R&amp;S - Packaging and hh goods'!$E$19+('R&amp;S - Packaging and hh goods'!$E$20-'R&amp;S - Packaging and hh goods'!$E$19)*('Yearly HC Ethylene'!T$3-'Yearly HC Ethylene'!$O$3)/10))</f>
        <v>4.2329806680407997E-3</v>
      </c>
      <c r="U23" s="44">
        <f>U18*'R&amp;S - Packaging and hh goods'!$C$10*('R&amp;S - Packaging and hh goods'!$C$14*('R&amp;S - Packaging and hh goods'!$E$19+('R&amp;S - Packaging and hh goods'!$E$20-'R&amp;S - Packaging and hh goods'!$E$19)*('Yearly HC Ethylene'!U$3-'Yearly HC Ethylene'!$O$3)/10))</f>
        <v>4.5970501334628286E-3</v>
      </c>
      <c r="V23" s="44">
        <f>V18*'R&amp;S - Packaging and hh goods'!$C$10*('R&amp;S - Packaging and hh goods'!$C$14*('R&amp;S - Packaging and hh goods'!$E$19+('R&amp;S - Packaging and hh goods'!$E$20-'R&amp;S - Packaging and hh goods'!$E$19)*('Yearly HC Ethylene'!V$3-'Yearly HC Ethylene'!$O$3)/10))</f>
        <v>4.9706605114704155E-3</v>
      </c>
      <c r="W23" s="44">
        <f>W18*'R&amp;S - Packaging and hh goods'!$C$10*('R&amp;S - Packaging and hh goods'!$C$14*('R&amp;S - Packaging and hh goods'!$E$19+('R&amp;S - Packaging and hh goods'!$E$20-'R&amp;S - Packaging and hh goods'!$E$19)*('Yearly HC Ethylene'!W$3-'Yearly HC Ethylene'!$O$3)/10))</f>
        <v>5.3540101397154182E-3</v>
      </c>
      <c r="X23" s="44">
        <f>X18*'R&amp;S - Packaging and hh goods'!$C$10*('R&amp;S - Packaging and hh goods'!$C$14*('R&amp;S - Packaging and hh goods'!$E$19+('R&amp;S - Packaging and hh goods'!$E$20-'R&amp;S - Packaging and hh goods'!$E$19)*('Yearly HC Ethylene'!X$3-'Yearly HC Ethylene'!$O$3)/10))</f>
        <v>5.7473010760870124E-3</v>
      </c>
      <c r="Y23" s="44">
        <f>Y18*'R&amp;S - Packaging and hh goods'!$C$10*('R&amp;S - Packaging and hh goods'!$C$14*('R&amp;S - Packaging and hh goods'!$E$20+('R&amp;S - Packaging and hh goods'!$E$21-'R&amp;S - Packaging and hh goods'!$E$20)*('Yearly HC Ethylene'!Y$3-'Yearly HC Ethylene'!$X$3)/10))</f>
        <v>6.4536860189079257E-3</v>
      </c>
      <c r="Z23" s="44">
        <f>Z18*'R&amp;S - Packaging and hh goods'!$C$10*('R&amp;S - Packaging and hh goods'!$C$14*('R&amp;S - Packaging and hh goods'!$E$20+('R&amp;S - Packaging and hh goods'!$E$21-'R&amp;S - Packaging and hh goods'!$E$20)*('Yearly HC Ethylene'!Z$3-'Yearly HC Ethylene'!$X$3)/10))</f>
        <v>6.8531873745873682E-3</v>
      </c>
      <c r="AA23" s="44">
        <f>AA18*'R&amp;S - Packaging and hh goods'!$C$10*('R&amp;S - Packaging and hh goods'!$C$14*('R&amp;S - Packaging and hh goods'!$E$20+('R&amp;S - Packaging and hh goods'!$E$21-'R&amp;S - Packaging and hh goods'!$E$20)*('Yearly HC Ethylene'!AA$3-'Yearly HC Ethylene'!$X$3)/10))</f>
        <v>7.2627888115655457E-3</v>
      </c>
      <c r="AB23" s="44">
        <f>AB18*'R&amp;S - Packaging and hh goods'!$C$10*('R&amp;S - Packaging and hh goods'!$C$14*('R&amp;S - Packaging and hh goods'!$E$20+('R&amp;S - Packaging and hh goods'!$E$21-'R&amp;S - Packaging and hh goods'!$E$20)*('Yearly HC Ethylene'!AB$3-'Yearly HC Ethylene'!$X$3)/10))</f>
        <v>7.6826974132335624E-3</v>
      </c>
      <c r="AC23" s="44">
        <f>AC18*'R&amp;S - Packaging and hh goods'!$C$10*('R&amp;S - Packaging and hh goods'!$C$14*('R&amp;S - Packaging and hh goods'!$E$20+('R&amp;S - Packaging and hh goods'!$E$21-'R&amp;S - Packaging and hh goods'!$E$20)*('Yearly HC Ethylene'!AC$3-'Yearly HC Ethylene'!$X$3)/10))</f>
        <v>8.1131241189890142E-3</v>
      </c>
      <c r="AD23" s="44">
        <f>AD18*'R&amp;S - Packaging and hh goods'!$C$10*('R&amp;S - Packaging and hh goods'!$C$14*('R&amp;S - Packaging and hh goods'!$E$20+('R&amp;S - Packaging and hh goods'!$E$21-'R&amp;S - Packaging and hh goods'!$E$20)*('Yearly HC Ethylene'!AD$3-'Yearly HC Ethylene'!$X$3)/10))</f>
        <v>8.5542837921539841E-3</v>
      </c>
      <c r="AE23" s="44">
        <f>AE18*'R&amp;S - Packaging and hh goods'!$C$10*('R&amp;S - Packaging and hh goods'!$C$14*('R&amp;S - Packaging and hh goods'!$E$20+('R&amp;S - Packaging and hh goods'!$E$21-'R&amp;S - Packaging and hh goods'!$E$20)*('Yearly HC Ethylene'!AE$3-'Yearly HC Ethylene'!$X$3)/10))</f>
        <v>9.0063952890466863E-3</v>
      </c>
      <c r="AF23" s="44">
        <f>AF18*'R&amp;S - Packaging and hh goods'!$C$10*('R&amp;S - Packaging and hh goods'!$C$14*('R&amp;S - Packaging and hh goods'!$E$20+('R&amp;S - Packaging and hh goods'!$E$21-'R&amp;S - Packaging and hh goods'!$E$20)*('Yearly HC Ethylene'!AF$3-'Yearly HC Ethylene'!$X$3)/10))</f>
        <v>9.4696815292259397E-3</v>
      </c>
      <c r="AG23" s="44">
        <f>AG18*'R&amp;S - Packaging and hh goods'!$C$10*('R&amp;S - Packaging and hh goods'!$C$14*('R&amp;S - Packaging and hh goods'!$E$20+('R&amp;S - Packaging and hh goods'!$E$21-'R&amp;S - Packaging and hh goods'!$E$20)*('Yearly HC Ethylene'!AG$3-'Yearly HC Ethylene'!$X$3)/10))</f>
        <v>9.9443695669278534E-3</v>
      </c>
      <c r="AH23" s="44">
        <f>AH18*'R&amp;S - Packaging and hh goods'!$C$10*('R&amp;S - Packaging and hh goods'!$C$14*('R&amp;S - Packaging and hh goods'!$E$20+('R&amp;S - Packaging and hh goods'!$E$21-'R&amp;S - Packaging and hh goods'!$E$20)*('Yearly HC Ethylene'!AH$3-'Yearly HC Ethylene'!$X$3)/10))</f>
        <v>1.0430690663714416E-2</v>
      </c>
      <c r="AJ23" s="44">
        <v>0</v>
      </c>
      <c r="AK23" s="44">
        <f>AK18*'R&amp;S - Packaging and hh goods'!$C$10*('R&amp;S - Packaging and hh goods'!$C$15*'R&amp;S - Packaging and hh goods'!$E$19*(AK$3-$D$3)/10)</f>
        <v>1.9243145025382301E-4</v>
      </c>
      <c r="AL23" s="44">
        <f>AL18*'R&amp;S - Packaging and hh goods'!$C$10*('R&amp;S - Packaging and hh goods'!$C$15*'R&amp;S - Packaging and hh goods'!$E$19*(AL$3-$D$3)/10)</f>
        <v>3.9036271766908453E-4</v>
      </c>
      <c r="AM23" s="44">
        <f>AM18*'R&amp;S - Packaging and hh goods'!$C$10*('R&amp;S - Packaging and hh goods'!$C$15*'R&amp;S - Packaging and hh goods'!$E$19*(AM$3-$D$3)/10)</f>
        <v>5.9391169353422541E-4</v>
      </c>
      <c r="AN23" s="44">
        <f>AN18*'R&amp;S - Packaging and hh goods'!$C$10*('R&amp;S - Packaging and hh goods'!$C$15*'R&amp;S - Packaging and hh goods'!$E$19*(AN$3-$D$3)/10)</f>
        <v>8.0319851541129164E-4</v>
      </c>
      <c r="AO23" s="44">
        <f>AO18*'R&amp;S - Packaging and hh goods'!$C$10*('R&amp;S - Packaging and hh goods'!$C$15*'R&amp;S - Packaging and hh goods'!$E$19*(AO$3-$D$3)/10)</f>
        <v>1.0183456072609188E-3</v>
      </c>
      <c r="AP23" s="44">
        <f>AP18*'R&amp;S - Packaging and hh goods'!$C$10*('R&amp;S - Packaging and hh goods'!$C$15*'R&amp;S - Packaging and hh goods'!$E$19*(AP$3-$D$3)/10)</f>
        <v>1.2394777202553945E-3</v>
      </c>
      <c r="AQ23" s="44">
        <f>AQ18*'R&amp;S - Packaging and hh goods'!$C$10*('R&amp;S - Packaging and hh goods'!$C$15*'R&amp;S - Packaging and hh goods'!$E$19*(AQ$3-$D$3)/10)</f>
        <v>1.466721974291272E-3</v>
      </c>
      <c r="AR23" s="44">
        <f>AR18*'R&amp;S - Packaging and hh goods'!$C$10*('R&amp;S - Packaging and hh goods'!$C$15*'R&amp;S - Packaging and hh goods'!$E$19*(AR$3-$D$3)/10)</f>
        <v>1.7002079002131935E-3</v>
      </c>
      <c r="AS23" s="44">
        <f>AS18*'R&amp;S - Packaging and hh goods'!$C$10*('R&amp;S - Packaging and hh goods'!$C$15*'R&amp;S - Packaging and hh goods'!$E$19*(AS$3-$D$3)/10)</f>
        <v>1.9400674827607736E-3</v>
      </c>
      <c r="AT23" s="44">
        <f>AT18*'R&amp;S - Packaging and hh goods'!$C$10*('R&amp;S - Packaging and hh goods'!$C$15*'R&amp;S - Packaging and hh goods'!$E$19*(AT$3-$D$3)/10)</f>
        <v>2.1864352042505805E-3</v>
      </c>
      <c r="AU23" s="44">
        <f>AU18*'R&amp;S - Packaging and hh goods'!$C$10*('R&amp;S - Packaging and hh goods'!$C$15*'R&amp;S - Packaging and hh goods'!$E$19*(AU$3-$D$3)/10)</f>
        <v>2.4394480890054665E-3</v>
      </c>
      <c r="AV23" s="44">
        <f>AV18*'R&amp;S - Packaging and hh goods'!$C$10*('R&amp;S - Packaging and hh goods'!$C$15*('R&amp;S - Packaging and hh goods'!$E$19+('R&amp;S - Packaging and hh goods'!$E$20-'R&amp;S - Packaging and hh goods'!$E$19)*(AV$3-$O$3)/10))</f>
        <v>2.4953964602421968E-3</v>
      </c>
      <c r="AW23" s="44">
        <f>AW18*'R&amp;S - Packaging and hh goods'!$C$10*('R&amp;S - Packaging and hh goods'!$C$15*('R&amp;S - Packaging and hh goods'!$E$19+('R&amp;S - Packaging and hh goods'!$E$20-'R&amp;S - Packaging and hh goods'!$E$19)*(AW$3-$O$3)/10))</f>
        <v>2.7805972758190799E-3</v>
      </c>
      <c r="AX23" s="44">
        <f>AX18*'R&amp;S - Packaging and hh goods'!$C$10*('R&amp;S - Packaging and hh goods'!$C$15*('R&amp;S - Packaging and hh goods'!$E$19+('R&amp;S - Packaging and hh goods'!$E$20-'R&amp;S - Packaging and hh goods'!$E$19)*(AX$3-$O$3)/10))</f>
        <v>3.0734397243172115E-3</v>
      </c>
      <c r="AY23" s="44">
        <f>AY18*'R&amp;S - Packaging and hh goods'!$C$10*('R&amp;S - Packaging and hh goods'!$C$15*('R&amp;S - Packaging and hh goods'!$E$19+('R&amp;S - Packaging and hh goods'!$E$20-'R&amp;S - Packaging and hh goods'!$E$19)*(AY$3-$O$3)/10))</f>
        <v>3.3740839667704046E-3</v>
      </c>
      <c r="AZ23" s="44">
        <f>AZ18*'R&amp;S - Packaging and hh goods'!$C$10*('R&amp;S - Packaging and hh goods'!$C$15*('R&amp;S - Packaging and hh goods'!$E$19+('R&amp;S - Packaging and hh goods'!$E$20-'R&amp;S - Packaging and hh goods'!$E$19)*(AZ$3-$O$3)/10))</f>
        <v>3.6826931811954956E-3</v>
      </c>
      <c r="BA23" s="44">
        <f>BA18*'R&amp;S - Packaging and hh goods'!$C$10*('R&amp;S - Packaging and hh goods'!$C$15*('R&amp;S - Packaging and hh goods'!$E$19+('R&amp;S - Packaging and hh goods'!$E$20-'R&amp;S - Packaging and hh goods'!$E$19)*(BA$3-$O$3)/10))</f>
        <v>3.9994336161126602E-3</v>
      </c>
      <c r="BB23" s="44">
        <f>BB18*'R&amp;S - Packaging and hh goods'!$C$10*('R&amp;S - Packaging and hh goods'!$C$15*('R&amp;S - Packaging and hh goods'!$E$19+('R&amp;S - Packaging and hh goods'!$E$20-'R&amp;S - Packaging and hh goods'!$E$19)*(BB$3-$O$3)/10))</f>
        <v>4.3244746449792619E-3</v>
      </c>
      <c r="BC23" s="44">
        <f>BC18*'R&amp;S - Packaging and hh goods'!$C$10*('R&amp;S - Packaging and hh goods'!$C$15*('R&amp;S - Packaging and hh goods'!$E$19+('R&amp;S - Packaging and hh goods'!$E$20-'R&amp;S - Packaging and hh goods'!$E$19)*(BC$3-$O$3)/10))</f>
        <v>4.657988821552413E-3</v>
      </c>
      <c r="BD23" s="44">
        <f>BD18*'R&amp;S - Packaging and hh goods'!$C$10*('R&amp;S - Packaging and hh goods'!$C$15*('R&amp;S - Packaging and hh goods'!$E$19+('R&amp;S - Packaging and hh goods'!$E$20-'R&amp;S - Packaging and hh goods'!$E$19)*(BD$3-$O$3)/10))</f>
        <v>5.0001519361957004E-3</v>
      </c>
      <c r="BE23" s="44">
        <f>BE18*'R&amp;S - Packaging and hh goods'!$C$10*('R&amp;S - Packaging and hh goods'!$C$15*('R&amp;S - Packaging and hh goods'!$E$20+('R&amp;S - Packaging and hh goods'!$E$21-'R&amp;S - Packaging and hh goods'!$E$20)*(BE$3-$X$3)/10))</f>
        <v>5.614706836449896E-3</v>
      </c>
      <c r="BF23" s="44">
        <f>BF18*'R&amp;S - Packaging and hh goods'!$C$10*('R&amp;S - Packaging and hh goods'!$C$15*('R&amp;S - Packaging and hh goods'!$E$20+('R&amp;S - Packaging and hh goods'!$E$21-'R&amp;S - Packaging and hh goods'!$E$20)*(BF$3-$X$3)/10))</f>
        <v>5.9622730158910104E-3</v>
      </c>
      <c r="BG23" s="44">
        <f>BG18*'R&amp;S - Packaging and hh goods'!$C$10*('R&amp;S - Packaging and hh goods'!$C$15*('R&amp;S - Packaging and hh goods'!$E$20+('R&amp;S - Packaging and hh goods'!$E$21-'R&amp;S - Packaging and hh goods'!$E$20)*(BG$3-$X$3)/10))</f>
        <v>6.3186262660620248E-3</v>
      </c>
      <c r="BH23" s="44">
        <f>BH18*'R&amp;S - Packaging and hh goods'!$C$10*('R&amp;S - Packaging and hh goods'!$C$15*('R&amp;S - Packaging and hh goods'!$E$20+('R&amp;S - Packaging and hh goods'!$E$21-'R&amp;S - Packaging and hh goods'!$E$20)*(BH$3-$X$3)/10))</f>
        <v>6.6839467495131985E-3</v>
      </c>
      <c r="BI23" s="44">
        <f>BI18*'R&amp;S - Packaging and hh goods'!$C$10*('R&amp;S - Packaging and hh goods'!$C$15*('R&amp;S - Packaging and hh goods'!$E$20+('R&amp;S - Packaging and hh goods'!$E$21-'R&amp;S - Packaging and hh goods'!$E$20)*(BI$3-$X$3)/10))</f>
        <v>7.058417983520443E-3</v>
      </c>
      <c r="BJ23" s="44">
        <f>BJ18*'R&amp;S - Packaging and hh goods'!$C$10*('R&amp;S - Packaging and hh goods'!$C$15*('R&amp;S - Packaging and hh goods'!$E$20+('R&amp;S - Packaging and hh goods'!$E$21-'R&amp;S - Packaging and hh goods'!$E$20)*(BJ$3-$X$3)/10))</f>
        <v>7.4422268991739659E-3</v>
      </c>
      <c r="BK23" s="44">
        <f>BK18*'R&amp;S - Packaging and hh goods'!$C$10*('R&amp;S - Packaging and hh goods'!$C$15*('R&amp;S - Packaging and hh goods'!$E$20+('R&amp;S - Packaging and hh goods'!$E$21-'R&amp;S - Packaging and hh goods'!$E$20)*(BK$3-$X$3)/10))</f>
        <v>7.8355639014706172E-3</v>
      </c>
      <c r="BL23" s="44">
        <f>BL18*'R&amp;S - Packaging and hh goods'!$C$10*('R&amp;S - Packaging and hh goods'!$C$15*('R&amp;S - Packaging and hh goods'!$E$20+('R&amp;S - Packaging and hh goods'!$E$21-'R&amp;S - Packaging and hh goods'!$E$20)*(BL$3-$X$3)/10))</f>
        <v>8.2386229304265667E-3</v>
      </c>
      <c r="BM23" s="44">
        <f>BM18*'R&amp;S - Packaging and hh goods'!$C$10*('R&amp;S - Packaging and hh goods'!$C$15*('R&amp;S - Packaging and hh goods'!$E$20+('R&amp;S - Packaging and hh goods'!$E$21-'R&amp;S - Packaging and hh goods'!$E$20)*(BM$3-$X$3)/10))</f>
        <v>8.6516015232272325E-3</v>
      </c>
      <c r="BN23" s="44">
        <f>BN18*'R&amp;S - Packaging and hh goods'!$C$10*('R&amp;S - Packaging and hh goods'!$C$15*('R&amp;S - Packaging and hh goods'!$E$20+('R&amp;S - Packaging and hh goods'!$E$21-'R&amp;S - Packaging and hh goods'!$E$20)*(BN$3-$X$3)/10))</f>
        <v>9.0747008774315421E-3</v>
      </c>
      <c r="BR23" t="s">
        <v>192</v>
      </c>
      <c r="BS23" s="44" t="e">
        <f>#REF!</f>
        <v>#REF!</v>
      </c>
      <c r="BU23" t="str">
        <v>Other</v>
      </c>
      <c r="BV23" s="44">
        <v>24.045360628442481</v>
      </c>
      <c r="BW23" s="169">
        <v>0.23105973583426512</v>
      </c>
    </row>
    <row r="24" spans="1:75" outlineLevel="1" x14ac:dyDescent="0.2">
      <c r="B24" s="1" t="s">
        <v>172</v>
      </c>
      <c r="C24" s="54" t="s">
        <v>153</v>
      </c>
      <c r="D24" s="44">
        <f>SUM(D22:D23)</f>
        <v>0</v>
      </c>
      <c r="E24" s="44">
        <f t="shared" ref="E24:AH24" si="21">SUM(E22:E23)</f>
        <v>3.6856645917571071E-4</v>
      </c>
      <c r="F24" s="44">
        <f t="shared" si="21"/>
        <v>7.476667896839477E-4</v>
      </c>
      <c r="G24" s="44">
        <f t="shared" si="21"/>
        <v>1.1375267902425971E-3</v>
      </c>
      <c r="H24" s="44">
        <f t="shared" si="21"/>
        <v>1.5383765618865934E-3</v>
      </c>
      <c r="I24" s="44">
        <f t="shared" si="21"/>
        <v>1.9504505848198226E-3</v>
      </c>
      <c r="J24" s="44">
        <f t="shared" si="21"/>
        <v>2.3739877965849145E-3</v>
      </c>
      <c r="K24" s="44">
        <f t="shared" si="21"/>
        <v>2.8092316715728864E-3</v>
      </c>
      <c r="L24" s="44">
        <f t="shared" si="21"/>
        <v>3.2564303018949858E-3</v>
      </c>
      <c r="M24" s="44">
        <f t="shared" si="21"/>
        <v>3.7158364796394117E-3</v>
      </c>
      <c r="N24" s="44">
        <f t="shared" si="21"/>
        <v>4.1877077805359863E-3</v>
      </c>
      <c r="O24" s="44">
        <f t="shared" si="21"/>
        <v>4.672306649052221E-3</v>
      </c>
      <c r="P24" s="44">
        <f t="shared" si="21"/>
        <v>4.9355909581612935E-3</v>
      </c>
      <c r="Q24" s="44">
        <f t="shared" si="21"/>
        <v>5.4676891431039189E-3</v>
      </c>
      <c r="R24" s="44">
        <f t="shared" si="21"/>
        <v>6.0139871292385471E-3</v>
      </c>
      <c r="S24" s="44">
        <f t="shared" si="21"/>
        <v>6.574782094581952E-3</v>
      </c>
      <c r="T24" s="44">
        <f t="shared" si="21"/>
        <v>7.1503768109028778E-3</v>
      </c>
      <c r="U24" s="44">
        <f t="shared" si="21"/>
        <v>7.7410797429073881E-3</v>
      </c>
      <c r="V24" s="44">
        <f t="shared" si="21"/>
        <v>8.3472051491166686E-3</v>
      </c>
      <c r="W24" s="44">
        <f t="shared" si="21"/>
        <v>8.9690731844654162E-3</v>
      </c>
      <c r="X24" s="44">
        <f t="shared" si="21"/>
        <v>9.6070100046493842E-3</v>
      </c>
      <c r="Y24" s="44">
        <f t="shared" si="21"/>
        <v>1.1099326336199464E-2</v>
      </c>
      <c r="Z24" s="44">
        <f t="shared" si="21"/>
        <v>1.1776991957946133E-2</v>
      </c>
      <c r="AA24" s="44">
        <f t="shared" si="21"/>
        <v>1.2471759075927746E-2</v>
      </c>
      <c r="AB24" s="44">
        <f t="shared" si="21"/>
        <v>1.3183978073677223E-2</v>
      </c>
      <c r="AC24" s="44">
        <f t="shared" si="21"/>
        <v>1.391400585656279E-2</v>
      </c>
      <c r="AD24" s="44">
        <f t="shared" si="21"/>
        <v>1.4662205966633281E-2</v>
      </c>
      <c r="AE24" s="44">
        <f t="shared" si="21"/>
        <v>1.5428948699413914E-2</v>
      </c>
      <c r="AF24" s="44">
        <f t="shared" si="21"/>
        <v>1.6214611222684902E-2</v>
      </c>
      <c r="AG24" s="44">
        <f t="shared" si="21"/>
        <v>1.7019577697275697E-2</v>
      </c>
      <c r="AH24" s="44">
        <f t="shared" si="21"/>
        <v>1.7844239399908132E-2</v>
      </c>
      <c r="AJ24" s="44">
        <f>SUM(AJ22:AJ23)</f>
        <v>0</v>
      </c>
      <c r="AK24" s="44">
        <f t="shared" ref="AK24:BN24" si="22">SUM(AK22:AK23)</f>
        <v>3.2065281948286833E-4</v>
      </c>
      <c r="AL24" s="44">
        <f t="shared" si="22"/>
        <v>6.5047010702503445E-4</v>
      </c>
      <c r="AM24" s="44">
        <f t="shared" si="22"/>
        <v>9.8964830751105946E-4</v>
      </c>
      <c r="AN24" s="44">
        <f t="shared" si="22"/>
        <v>1.3383876088413362E-3</v>
      </c>
      <c r="AO24" s="44">
        <f t="shared" si="22"/>
        <v>1.6968920087932458E-3</v>
      </c>
      <c r="AP24" s="44">
        <f t="shared" si="22"/>
        <v>2.0653693830288752E-3</v>
      </c>
      <c r="AQ24" s="44">
        <f t="shared" si="22"/>
        <v>2.4440315542684108E-3</v>
      </c>
      <c r="AR24" s="44">
        <f t="shared" si="22"/>
        <v>2.8330943626486377E-3</v>
      </c>
      <c r="AS24" s="44">
        <f t="shared" si="22"/>
        <v>3.2327777372862894E-3</v>
      </c>
      <c r="AT24" s="44">
        <f t="shared" si="22"/>
        <v>3.6433057690663084E-3</v>
      </c>
      <c r="AU24" s="44">
        <f t="shared" si="22"/>
        <v>4.0649067846754315E-3</v>
      </c>
      <c r="AV24" s="44">
        <f t="shared" si="22"/>
        <v>4.2939641336003261E-3</v>
      </c>
      <c r="AW24" s="44">
        <f t="shared" si="22"/>
        <v>4.7568895545004094E-3</v>
      </c>
      <c r="AX24" s="44">
        <f t="shared" si="22"/>
        <v>5.2321688024375354E-3</v>
      </c>
      <c r="AY24" s="44">
        <f t="shared" si="22"/>
        <v>5.7200604222862987E-3</v>
      </c>
      <c r="AZ24" s="44">
        <f t="shared" si="22"/>
        <v>6.2208278254855046E-3</v>
      </c>
      <c r="BA24" s="44">
        <f t="shared" si="22"/>
        <v>6.7347393763294277E-3</v>
      </c>
      <c r="BB24" s="44">
        <f t="shared" si="22"/>
        <v>7.2620684797315028E-3</v>
      </c>
      <c r="BC24" s="44">
        <f t="shared" si="22"/>
        <v>7.8030936704849112E-3</v>
      </c>
      <c r="BD24" s="44">
        <f t="shared" si="22"/>
        <v>8.3580987040449625E-3</v>
      </c>
      <c r="BE24" s="44">
        <f t="shared" si="22"/>
        <v>9.6564139124935347E-3</v>
      </c>
      <c r="BF24" s="44">
        <f t="shared" si="22"/>
        <v>1.0245983003413135E-2</v>
      </c>
      <c r="BG24" s="44">
        <f t="shared" si="22"/>
        <v>1.0850430396057138E-2</v>
      </c>
      <c r="BH24" s="44">
        <f t="shared" si="22"/>
        <v>1.1470060924099183E-2</v>
      </c>
      <c r="BI24" s="44">
        <f t="shared" si="22"/>
        <v>1.2105185095209629E-2</v>
      </c>
      <c r="BJ24" s="44">
        <f t="shared" si="22"/>
        <v>1.2756119190970954E-2</v>
      </c>
      <c r="BK24" s="44">
        <f t="shared" si="22"/>
        <v>1.3423185368490105E-2</v>
      </c>
      <c r="BL24" s="44">
        <f t="shared" si="22"/>
        <v>1.4106711763735864E-2</v>
      </c>
      <c r="BM24" s="44">
        <f t="shared" si="22"/>
        <v>1.4807032596629854E-2</v>
      </c>
      <c r="BN24" s="44">
        <f t="shared" si="22"/>
        <v>1.5524488277920075E-2</v>
      </c>
      <c r="BS24" s="442" t="e">
        <f>SUM(BS20:BS23)</f>
        <v>#REF!</v>
      </c>
      <c r="BU24" t="str">
        <v>Total</v>
      </c>
      <c r="BV24" s="44">
        <v>104.06555924434093</v>
      </c>
      <c r="BW24" s="169">
        <v>0</v>
      </c>
    </row>
    <row r="25" spans="1:75" s="68" customFormat="1" outlineLevel="1" x14ac:dyDescent="0.2">
      <c r="A25" s="62"/>
      <c r="B25" s="62" t="s">
        <v>197</v>
      </c>
      <c r="C25" s="63" t="s">
        <v>153</v>
      </c>
      <c r="D25" s="64">
        <f>D18-D21-D24</f>
        <v>5.631954887218045E-2</v>
      </c>
      <c r="E25" s="64">
        <f t="shared" ref="E25:AG25" si="23">E18-E21-E24</f>
        <v>5.6364619539472069E-2</v>
      </c>
      <c r="F25" s="64">
        <f t="shared" si="23"/>
        <v>5.6399477144943796E-2</v>
      </c>
      <c r="G25" s="64">
        <f t="shared" si="23"/>
        <v>5.6423820588547086E-2</v>
      </c>
      <c r="H25" s="64">
        <f t="shared" si="23"/>
        <v>5.6437342250241267E-2</v>
      </c>
      <c r="I25" s="64">
        <f t="shared" si="23"/>
        <v>5.6439727865136541E-2</v>
      </c>
      <c r="J25" s="64">
        <f t="shared" si="23"/>
        <v>5.6430656396400034E-2</v>
      </c>
      <c r="K25" s="64">
        <f t="shared" si="23"/>
        <v>5.6409799905886335E-2</v>
      </c>
      <c r="L25" s="64">
        <f t="shared" si="23"/>
        <v>5.6376823422453495E-2</v>
      </c>
      <c r="M25" s="64">
        <f t="shared" si="23"/>
        <v>5.633138480792476E-2</v>
      </c>
      <c r="N25" s="64">
        <f t="shared" si="23"/>
        <v>5.627313462065562E-2</v>
      </c>
      <c r="O25" s="241">
        <f t="shared" si="23"/>
        <v>5.5521265073145427E-2</v>
      </c>
      <c r="P25" s="64">
        <f t="shared" si="23"/>
        <v>5.4970724394559009E-2</v>
      </c>
      <c r="Q25" s="64">
        <f t="shared" si="23"/>
        <v>5.4130867525778392E-2</v>
      </c>
      <c r="R25" s="64">
        <f t="shared" si="23"/>
        <v>5.3255781233465777E-2</v>
      </c>
      <c r="S25" s="64">
        <f t="shared" si="23"/>
        <v>5.2344630147665799E-2</v>
      </c>
      <c r="T25" s="64">
        <f t="shared" si="23"/>
        <v>5.1396562217324644E-2</v>
      </c>
      <c r="U25" s="64">
        <f t="shared" si="23"/>
        <v>5.0410708404127036E-2</v>
      </c>
      <c r="V25" s="64">
        <f t="shared" si="23"/>
        <v>4.9386182370989538E-2</v>
      </c>
      <c r="W25" s="64">
        <f t="shared" si="23"/>
        <v>4.8322080165119685E-2</v>
      </c>
      <c r="X25" s="64">
        <f>X18-X21-X24</f>
        <v>4.7217479895549495E-2</v>
      </c>
      <c r="Y25" s="241">
        <f t="shared" si="23"/>
        <v>4.5189155161749317E-2</v>
      </c>
      <c r="Z25" s="64">
        <f t="shared" si="23"/>
        <v>4.3948557338936677E-2</v>
      </c>
      <c r="AA25" s="64">
        <f t="shared" si="23"/>
        <v>4.2663274181371363E-2</v>
      </c>
      <c r="AB25" s="64">
        <f t="shared" si="23"/>
        <v>4.133228189965326E-2</v>
      </c>
      <c r="AC25" s="64">
        <f t="shared" si="23"/>
        <v>3.9954536569156929E-2</v>
      </c>
      <c r="AD25" s="64">
        <f t="shared" si="23"/>
        <v>3.8528973763625199E-2</v>
      </c>
      <c r="AE25" s="64">
        <f t="shared" si="23"/>
        <v>3.7054508182402572E-2</v>
      </c>
      <c r="AF25" s="64">
        <f t="shared" si="23"/>
        <v>3.5530033271201439E-2</v>
      </c>
      <c r="AG25" s="64">
        <f t="shared" si="23"/>
        <v>3.395442083629225E-2</v>
      </c>
      <c r="AH25" s="64">
        <f>AH18-AH21-AH24</f>
        <v>3.2326520652007494E-2</v>
      </c>
      <c r="AJ25" s="64">
        <f>AJ18-AJ21-AJ24</f>
        <v>5.631954887218045E-2</v>
      </c>
      <c r="AK25" s="64">
        <f t="shared" ref="AK25:BC25" si="24">AK18-AK21-AK24</f>
        <v>5.6514241984067758E-2</v>
      </c>
      <c r="AL25" s="64">
        <f t="shared" si="24"/>
        <v>5.670299834181481E-2</v>
      </c>
      <c r="AM25" s="64">
        <f t="shared" si="24"/>
        <v>5.6885608510133426E-2</v>
      </c>
      <c r="AN25" s="64">
        <f t="shared" si="24"/>
        <v>5.7061858280302621E-2</v>
      </c>
      <c r="AO25" s="64">
        <f t="shared" si="24"/>
        <v>5.7231528576510302E-2</v>
      </c>
      <c r="AP25" s="64">
        <f t="shared" si="24"/>
        <v>5.7394395360492886E-2</v>
      </c>
      <c r="AQ25" s="64">
        <f t="shared" si="24"/>
        <v>5.755022953444347E-2</v>
      </c>
      <c r="AR25" s="64">
        <f t="shared" si="24"/>
        <v>5.7698796842158305E-2</v>
      </c>
      <c r="AS25" s="64">
        <f t="shared" si="24"/>
        <v>5.7839857768391401E-2</v>
      </c>
      <c r="AT25" s="64">
        <f t="shared" si="24"/>
        <v>5.7973167436385795E-2</v>
      </c>
      <c r="AU25" s="241">
        <f t="shared" si="24"/>
        <v>5.7594941834945804E-2</v>
      </c>
      <c r="AV25" s="64">
        <f t="shared" si="24"/>
        <v>5.7397916683570943E-2</v>
      </c>
      <c r="AW25" s="64">
        <f t="shared" si="24"/>
        <v>5.6955347189180779E-2</v>
      </c>
      <c r="AX25" s="64">
        <f t="shared" si="24"/>
        <v>5.6488407339816228E-2</v>
      </c>
      <c r="AY25" s="64">
        <f t="shared" si="24"/>
        <v>5.599649099339192E-2</v>
      </c>
      <c r="AZ25" s="64">
        <f t="shared" si="24"/>
        <v>5.5478979660638826E-2</v>
      </c>
      <c r="BA25" s="64">
        <f t="shared" si="24"/>
        <v>5.4935242275996006E-2</v>
      </c>
      <c r="BB25" s="64">
        <f t="shared" si="24"/>
        <v>5.4364634964475814E-2</v>
      </c>
      <c r="BC25" s="64">
        <f t="shared" si="24"/>
        <v>5.3766500804434084E-2</v>
      </c>
      <c r="BD25" s="64">
        <f>BD18-BD21-BD24</f>
        <v>5.3140169586176178E-2</v>
      </c>
      <c r="BE25" s="241">
        <f t="shared" ref="BE25:BM25" si="25">BE18-BE21-BE24</f>
        <v>5.1723128545972226E-2</v>
      </c>
      <c r="BF25" s="64">
        <f t="shared" si="25"/>
        <v>5.0998881585702482E-2</v>
      </c>
      <c r="BG25" s="64">
        <f t="shared" si="25"/>
        <v>5.0243372611823392E-2</v>
      </c>
      <c r="BH25" s="64">
        <f t="shared" si="25"/>
        <v>4.9455856036457677E-2</v>
      </c>
      <c r="BI25" s="64">
        <f t="shared" si="25"/>
        <v>4.8635571346461688E-2</v>
      </c>
      <c r="BJ25" s="64">
        <f t="shared" si="25"/>
        <v>4.7781742829110643E-2</v>
      </c>
      <c r="BK25" s="64">
        <f t="shared" si="25"/>
        <v>4.6893579292991622E-2</v>
      </c>
      <c r="BL25" s="64">
        <f t="shared" si="25"/>
        <v>4.5970273784023505E-2</v>
      </c>
      <c r="BM25" s="64">
        <f t="shared" si="25"/>
        <v>4.5011003296521482E-2</v>
      </c>
      <c r="BN25" s="64">
        <f>BN18-BN21-BN24</f>
        <v>4.4014928479222684E-2</v>
      </c>
      <c r="BR25" s="68" t="s">
        <v>53</v>
      </c>
      <c r="BS25" s="284">
        <f>D4</f>
        <v>14.947368421052632</v>
      </c>
    </row>
    <row r="26" spans="1:75" s="1" customFormat="1" outlineLevel="1" x14ac:dyDescent="0.2">
      <c r="A26" s="1" t="s">
        <v>204</v>
      </c>
      <c r="B26" s="1" t="s">
        <v>199</v>
      </c>
      <c r="C26" s="65" t="s">
        <v>153</v>
      </c>
      <c r="D26" s="66">
        <f>'Demand Breakdown - C4'!O27</f>
        <v>1.8779766917293235</v>
      </c>
      <c r="E26" s="66">
        <f>D26*(1+'Demand Breakdown - C4'!$K$27)</f>
        <v>1.9048135950118452</v>
      </c>
      <c r="F26" s="66">
        <f>E26*(1+'Demand Breakdown - C4'!$K$27)</f>
        <v>1.9320340064502282</v>
      </c>
      <c r="G26" s="66">
        <f>F26*(1+'Demand Breakdown - C4'!$K$27)</f>
        <v>1.9596434065018882</v>
      </c>
      <c r="H26" s="66">
        <f>G26*(1+'Demand Breakdown - C4'!$K$27)</f>
        <v>1.9876473539417761</v>
      </c>
      <c r="I26" s="66">
        <f>H26*(1+'Demand Breakdown - C4'!$K$27)</f>
        <v>2.0160514869815613</v>
      </c>
      <c r="J26" s="66">
        <f>I26*(1+'Demand Breakdown - C4'!$K$27)</f>
        <v>2.044861524404809</v>
      </c>
      <c r="K26" s="66">
        <f>J26*(1+'Demand Breakdown - C4'!$K$27)</f>
        <v>2.0740832667183775</v>
      </c>
      <c r="L26" s="66">
        <f>K26*(1+'Demand Breakdown - C4'!$K$27)</f>
        <v>2.1037225973202722</v>
      </c>
      <c r="M26" s="66">
        <f>L26*(1+'Demand Breakdown - C4'!$K$27)</f>
        <v>2.133785483684187</v>
      </c>
      <c r="N26" s="66">
        <f>M26*(1+'Demand Breakdown - C4'!$K$27)</f>
        <v>2.1642779785609738</v>
      </c>
      <c r="O26" s="66">
        <f>N26*(1+'Demand Breakdown - C4'!$K$27)</f>
        <v>2.1952062211972803</v>
      </c>
      <c r="P26" s="66">
        <f>O26*(1+'Demand Breakdown - C4'!$K$27)</f>
        <v>2.2265764385716036</v>
      </c>
      <c r="Q26" s="66">
        <f>P26*(1+'Demand Breakdown - C4'!$K$27)</f>
        <v>2.2583949466480076</v>
      </c>
      <c r="R26" s="66">
        <f>Q26*(1+'Demand Breakdown - C4'!$K$27)</f>
        <v>2.2906681516477554</v>
      </c>
      <c r="S26" s="66">
        <f>R26*(1+'Demand Breakdown - C4'!$K$27)</f>
        <v>2.3234025513391146</v>
      </c>
      <c r="T26" s="66">
        <f>S26*(1+'Demand Breakdown - C4'!$K$27)</f>
        <v>2.3566047363455933</v>
      </c>
      <c r="U26" s="66">
        <f>T26*(1+'Demand Breakdown - C4'!$K$27)</f>
        <v>2.3902813914728736</v>
      </c>
      <c r="V26" s="66">
        <f>U26*(1+'Demand Breakdown - C4'!$K$27)</f>
        <v>2.4244392970547044</v>
      </c>
      <c r="W26" s="66">
        <f>V26*(1+'Demand Breakdown - C4'!$K$27)</f>
        <v>2.4590853303180289</v>
      </c>
      <c r="X26" s="66">
        <f>W26*(1+'Demand Breakdown - C4'!$K$27)</f>
        <v>2.4942264667676204</v>
      </c>
      <c r="Y26" s="66">
        <f>X26*(1+'Demand Breakdown - C4'!$K$27)</f>
        <v>2.5298697815905054</v>
      </c>
      <c r="Z26" s="66">
        <f>Y26*(1+'Demand Breakdown - C4'!$K$27)</f>
        <v>2.5660224510804546</v>
      </c>
      <c r="AA26" s="66">
        <f>Z26*(1+'Demand Breakdown - C4'!$K$27)</f>
        <v>2.6026917540828323</v>
      </c>
      <c r="AB26" s="66">
        <f>AA26*(1+'Demand Breakdown - C4'!$K$27)</f>
        <v>2.6398850734600918</v>
      </c>
      <c r="AC26" s="66">
        <f>AB26*(1+'Demand Breakdown - C4'!$K$27)</f>
        <v>2.6776098975782139</v>
      </c>
      <c r="AD26" s="66">
        <f>AC26*(1+'Demand Breakdown - C4'!$K$27)</f>
        <v>2.715873821814387</v>
      </c>
      <c r="AE26" s="66">
        <f>AD26*(1+'Demand Breakdown - C4'!$K$27)</f>
        <v>2.7546845500862323</v>
      </c>
      <c r="AF26" s="66">
        <f>AE26*(1+'Demand Breakdown - C4'!$K$27)</f>
        <v>2.7940498964028819</v>
      </c>
      <c r="AG26" s="66">
        <f>AF26*(1+'Demand Breakdown - C4'!$K$27)</f>
        <v>2.8339777864382243</v>
      </c>
      <c r="AH26" s="66">
        <f>AG26*(1+'Demand Breakdown - C4'!$K$27)</f>
        <v>2.8744762591266273</v>
      </c>
      <c r="AJ26" s="66">
        <f>D26</f>
        <v>1.8779766917293235</v>
      </c>
      <c r="AK26" s="66">
        <f t="shared" ref="AK26:BN26" si="26">E26</f>
        <v>1.9048135950118452</v>
      </c>
      <c r="AL26" s="66">
        <f t="shared" si="26"/>
        <v>1.9320340064502282</v>
      </c>
      <c r="AM26" s="66">
        <f t="shared" si="26"/>
        <v>1.9596434065018882</v>
      </c>
      <c r="AN26" s="66">
        <f t="shared" si="26"/>
        <v>1.9876473539417761</v>
      </c>
      <c r="AO26" s="66">
        <f t="shared" si="26"/>
        <v>2.0160514869815613</v>
      </c>
      <c r="AP26" s="66">
        <f t="shared" si="26"/>
        <v>2.044861524404809</v>
      </c>
      <c r="AQ26" s="66">
        <f t="shared" si="26"/>
        <v>2.0740832667183775</v>
      </c>
      <c r="AR26" s="66">
        <f t="shared" si="26"/>
        <v>2.1037225973202722</v>
      </c>
      <c r="AS26" s="66">
        <f t="shared" si="26"/>
        <v>2.133785483684187</v>
      </c>
      <c r="AT26" s="66">
        <f t="shared" si="26"/>
        <v>2.1642779785609738</v>
      </c>
      <c r="AU26" s="66">
        <f t="shared" si="26"/>
        <v>2.1952062211972803</v>
      </c>
      <c r="AV26" s="66">
        <f t="shared" si="26"/>
        <v>2.2265764385716036</v>
      </c>
      <c r="AW26" s="66">
        <f t="shared" si="26"/>
        <v>2.2583949466480076</v>
      </c>
      <c r="AX26" s="66">
        <f t="shared" si="26"/>
        <v>2.2906681516477554</v>
      </c>
      <c r="AY26" s="66">
        <f t="shared" si="26"/>
        <v>2.3234025513391146</v>
      </c>
      <c r="AZ26" s="66">
        <f t="shared" si="26"/>
        <v>2.3566047363455933</v>
      </c>
      <c r="BA26" s="66">
        <f t="shared" si="26"/>
        <v>2.3902813914728736</v>
      </c>
      <c r="BB26" s="66">
        <f t="shared" si="26"/>
        <v>2.4244392970547044</v>
      </c>
      <c r="BC26" s="66">
        <f t="shared" si="26"/>
        <v>2.4590853303180289</v>
      </c>
      <c r="BD26" s="66">
        <f t="shared" si="26"/>
        <v>2.4942264667676204</v>
      </c>
      <c r="BE26" s="66">
        <f t="shared" si="26"/>
        <v>2.5298697815905054</v>
      </c>
      <c r="BF26" s="66">
        <f t="shared" si="26"/>
        <v>2.5660224510804546</v>
      </c>
      <c r="BG26" s="66">
        <f t="shared" si="26"/>
        <v>2.6026917540828323</v>
      </c>
      <c r="BH26" s="66">
        <f t="shared" si="26"/>
        <v>2.6398850734600918</v>
      </c>
      <c r="BI26" s="66">
        <f t="shared" si="26"/>
        <v>2.6776098975782139</v>
      </c>
      <c r="BJ26" s="66">
        <f t="shared" si="26"/>
        <v>2.715873821814387</v>
      </c>
      <c r="BK26" s="66">
        <f t="shared" si="26"/>
        <v>2.7546845500862323</v>
      </c>
      <c r="BL26" s="66">
        <f t="shared" si="26"/>
        <v>2.7940498964028819</v>
      </c>
      <c r="BM26" s="66">
        <f t="shared" si="26"/>
        <v>2.8339777864382243</v>
      </c>
      <c r="BN26" s="66">
        <f t="shared" si="26"/>
        <v>2.8744762591266273</v>
      </c>
    </row>
    <row r="27" spans="1:75" outlineLevel="1" x14ac:dyDescent="0.2">
      <c r="B27" s="1" t="s">
        <v>168</v>
      </c>
      <c r="C27" s="54" t="s">
        <v>153</v>
      </c>
      <c r="D27">
        <v>0</v>
      </c>
      <c r="E27" s="43">
        <f>E26*'R&amp;S - Buildings'!$H$7*'R&amp;S - Buildings'!$B$11*'R&amp;S - Buildings'!$B$15*('Yearly Butadiene'!E$3-'Yearly Butadiene'!$D$3)/10</f>
        <v>3.4572366749464997E-2</v>
      </c>
      <c r="F27" s="43">
        <f>F26*'R&amp;S - Buildings'!$H$7*'R&amp;S - Buildings'!$B$11*'R&amp;S - Buildings'!$B$15*('Yearly Butadiene'!F$3-'Yearly Butadiene'!$D$3)/10</f>
        <v>7.0132834434143282E-2</v>
      </c>
      <c r="G27" s="43">
        <f>G26*'R&amp;S - Buildings'!$H$7*'R&amp;S - Buildings'!$B$11*'R&amp;S - Buildings'!$B$15*('Yearly Butadiene'!G$3-'Yearly Butadiene'!$D$3)/10</f>
        <v>0.10670258348402784</v>
      </c>
      <c r="H27" s="43">
        <f>H26*'R&amp;S - Buildings'!$H$7*'R&amp;S - Buildings'!$B$11*'R&amp;S - Buildings'!$B$15*('Yearly Butadiene'!H$3-'Yearly Butadiene'!$D$3)/10</f>
        <v>0.14430319789617296</v>
      </c>
      <c r="I27" s="43">
        <f>I26*'R&amp;S - Buildings'!$H$7*'R&amp;S - Buildings'!$B$11*'R&amp;S - Buildings'!$B$15*('Yearly Butadiene'!I$3-'Yearly Butadiene'!$D$3)/10</f>
        <v>0.18295667244357672</v>
      </c>
      <c r="J27" s="43">
        <f>J26*'R&amp;S - Buildings'!$H$7*'R&amp;S - Buildings'!$B$11*'R&amp;S - Buildings'!$B$15*('Yearly Butadiene'!J$3-'Yearly Butadiene'!$D$3)/10</f>
        <v>0.22268542000768377</v>
      </c>
      <c r="K27" s="43">
        <f>K26*'R&amp;S - Buildings'!$H$7*'R&amp;S - Buildings'!$B$11*'R&amp;S - Buildings'!$B$15*('Yearly Butadiene'!K$3-'Yearly Butadiene'!$D$3)/10</f>
        <v>0.26351227903656993</v>
      </c>
      <c r="L27" s="43">
        <f>L26*'R&amp;S - Buildings'!$H$7*'R&amp;S - Buildings'!$B$11*'R&amp;S - Buildings'!$B$15*('Yearly Butadiene'!L$3-'Yearly Butadiene'!$D$3)/10</f>
        <v>0.30546052113090355</v>
      </c>
      <c r="M27" s="43">
        <f>M26*'R&amp;S - Buildings'!$H$7*'R&amp;S - Buildings'!$B$11*'R&amp;S - Buildings'!$B$15*('Yearly Butadiene'!M$3-'Yearly Butadiene'!$D$3)/10</f>
        <v>0.34855385875981199</v>
      </c>
      <c r="N27" s="43">
        <f>N26*'R&amp;S - Buildings'!$H$7*'R&amp;S - Buildings'!$B$11*'R&amp;S - Buildings'!$B$15*('Yearly Butadiene'!N$3-'Yearly Butadiene'!$D$3)/10</f>
        <v>0.3928164531088168</v>
      </c>
      <c r="O27" s="43">
        <f>O26*'R&amp;S - Buildings'!$H$7*('R&amp;S - Buildings'!$B$11*('R&amp;S - Buildings'!$B$15+('R&amp;S - Buildings'!$B$16-'R&amp;S - Buildings'!$B$15)*('Yearly Butadiene'!O$3-'Yearly Butadiene'!$N$3)/10))</f>
        <v>0.43827292206203705</v>
      </c>
      <c r="P27" s="43">
        <f>P26*'R&amp;S - Buildings'!$H$7*('R&amp;S - Buildings'!$B$11*('R&amp;S - Buildings'!$B$15+('R&amp;S - Buildings'!$B$16-'R&amp;S - Buildings'!$B$15)*('Yearly Butadiene'!P$3-'Yearly Butadiene'!$N$3)/10))</f>
        <v>0.48494834832089528</v>
      </c>
      <c r="Q27" s="43">
        <f>Q26*'R&amp;S - Buildings'!$H$7*('R&amp;S - Buildings'!$B$11*('R&amp;S - Buildings'!$B$15+('R&amp;S - Buildings'!$B$16-'R&amp;S - Buildings'!$B$15)*('Yearly Butadiene'!Q$3-'Yearly Butadiene'!$N$3)/10))</f>
        <v>0.53286828766159744</v>
      </c>
      <c r="R27" s="43">
        <f>R26*'R&amp;S - Buildings'!$H$7*('R&amp;S - Buildings'!$B$11*('R&amp;S - Buildings'!$B$15+('R&amp;S - Buildings'!$B$16-'R&amp;S - Buildings'!$B$15)*('Yearly Butadiene'!R$3-'Yearly Butadiene'!$N$3)/10))</f>
        <v>0.58205877733369471</v>
      </c>
      <c r="S27" s="43">
        <f>S26*'R&amp;S - Buildings'!$H$7*('R&amp;S - Buildings'!$B$11*('R&amp;S - Buildings'!$B$15+('R&amp;S - Buildings'!$B$16-'R&amp;S - Buildings'!$B$15)*('Yearly Butadiene'!S$3-'Yearly Butadiene'!$N$3)/10))</f>
        <v>0.63254634460207393</v>
      </c>
      <c r="T27" s="43">
        <f>T26*'R&amp;S - Buildings'!$H$7*('R&amp;S - Buildings'!$B$11*('R&amp;S - Buildings'!$B$15+('R&amp;S - Buildings'!$B$16-'R&amp;S - Buildings'!$B$15)*('Yearly Butadiene'!T$3-'Yearly Butadiene'!$N$3)/10))</f>
        <v>0.68435801543476038</v>
      </c>
      <c r="U27" s="43">
        <f>U26*'R&amp;S - Buildings'!$H$7*('R&amp;S - Buildings'!$B$11*('R&amp;S - Buildings'!$B$15+('R&amp;S - Buildings'!$B$16-'R&amp;S - Buildings'!$B$15)*('Yearly Butadiene'!U$3-'Yearly Butadiene'!$N$3)/10))</f>
        <v>0.73752132333895526</v>
      </c>
      <c r="V27" s="43">
        <f>V26*'R&amp;S - Buildings'!$H$7*('R&amp;S - Buildings'!$B$11*('R&amp;S - Buildings'!$B$15+('R&amp;S - Buildings'!$B$16-'R&amp;S - Buildings'!$B$15)*('Yearly Butadiene'!V$3-'Yearly Butadiene'!$N$3)/10))</f>
        <v>0.79206431834777213</v>
      </c>
      <c r="W27" s="43">
        <f>W26*'R&amp;S - Buildings'!$H$7*('R&amp;S - Buildings'!$B$11*('R&amp;S - Buildings'!$B$15+('R&amp;S - Buildings'!$B$16-'R&amp;S - Buildings'!$B$15)*('Yearly Butadiene'!W$3-'Yearly Butadiene'!$N$3)/10))</f>
        <v>0.84801557616017231</v>
      </c>
      <c r="X27" s="43">
        <f>X26*'R&amp;S - Buildings'!$H$7*('R&amp;S - Buildings'!$B$11*('R&amp;S - Buildings'!$B$15+('R&amp;S - Buildings'!$B$16-'R&amp;S - Buildings'!$B$15)*('Yearly Butadiene'!X$3-'Yearly Butadiene'!$N$3)/10))</f>
        <v>0.9054042074366464</v>
      </c>
      <c r="Y27" s="43">
        <f>Y26*'R&amp;S - Buildings'!$H$7*('R&amp;S - Buildings'!$B$11*('R&amp;S - Buildings'!$B$16+('R&amp;S - Buildings'!$B$17-'R&amp;S - Buildings'!$B$16)*('Yearly Butadiene'!Y$3-'Yearly Butadiene'!$X$3)/10))</f>
        <v>0.96565129563309604</v>
      </c>
      <c r="Z27" s="43">
        <f>Z26*'R&amp;S - Buildings'!$H$7*('R&amp;S - Buildings'!$B$11*('R&amp;S - Buildings'!$B$16+('R&amp;S - Buildings'!$B$17-'R&amp;S - Buildings'!$B$16)*('Yearly Butadiene'!Z$3-'Yearly Butadiene'!$X$3)/10))</f>
        <v>1.027435389412614</v>
      </c>
      <c r="AA27" s="43">
        <f>AA26*'R&amp;S - Buildings'!$H$7*('R&amp;S - Buildings'!$B$11*('R&amp;S - Buildings'!$B$16+('R&amp;S - Buildings'!$B$17-'R&amp;S - Buildings'!$B$16)*('Yearly Butadiene'!AA$3-'Yearly Butadiene'!$X$3)/10))</f>
        <v>1.0907881141361151</v>
      </c>
      <c r="AB27" s="43">
        <f>AB26*'R&amp;S - Buildings'!$H$7*('R&amp;S - Buildings'!$B$11*('R&amp;S - Buildings'!$B$16+('R&amp;S - Buildings'!$B$17-'R&amp;S - Buildings'!$B$16)*('Yearly Butadiene'!AB$3-'Yearly Butadiene'!$X$3)/10))</f>
        <v>1.1557416851608284</v>
      </c>
      <c r="AC27" s="43">
        <f>AC26*'R&amp;S - Buildings'!$H$7*('R&amp;S - Buildings'!$B$11*('R&amp;S - Buildings'!$B$16+('R&amp;S - Buildings'!$B$17-'R&amp;S - Buildings'!$B$16)*('Yearly Butadiene'!AC$3-'Yearly Butadiene'!$X$3)/10))</f>
        <v>1.2223289182444548</v>
      </c>
      <c r="AD27" s="43">
        <f>AD26*'R&amp;S - Buildings'!$H$7*('R&amp;S - Buildings'!$B$11*('R&amp;S - Buildings'!$B$16+('R&amp;S - Buildings'!$B$17-'R&amp;S - Buildings'!$B$16)*('Yearly Butadiene'!AD$3-'Yearly Butadiene'!$X$3)/10))</f>
        <v>1.290583240126197</v>
      </c>
      <c r="AE27" s="43">
        <f>AE26*'R&amp;S - Buildings'!$H$7*('R&amp;S - Buildings'!$B$11*('R&amp;S - Buildings'!$B$16+('R&amp;S - Buildings'!$B$17-'R&amp;S - Buildings'!$B$16)*('Yearly Butadiene'!AE$3-'Yearly Butadiene'!$X$3)/10))</f>
        <v>1.3605386992875901</v>
      </c>
      <c r="AF27" s="43">
        <f>AF26*'R&amp;S - Buildings'!$H$7*('R&amp;S - Buildings'!$B$11*('R&amp;S - Buildings'!$B$16+('R&amp;S - Buildings'!$B$17-'R&amp;S - Buildings'!$B$16)*('Yearly Butadiene'!AF$3-'Yearly Butadiene'!$X$3)/10))</f>
        <v>1.4322299768961173</v>
      </c>
      <c r="AG27" s="43">
        <f>AG26*'R&amp;S - Buildings'!$H$7*('R&amp;S - Buildings'!$B$11*('R&amp;S - Buildings'!$B$16+('R&amp;S - Buildings'!$B$17-'R&amp;S - Buildings'!$B$16)*('Yearly Butadiene'!AG$3-'Yearly Butadiene'!$X$3)/10))</f>
        <v>1.5056923979346286</v>
      </c>
      <c r="AH27" s="43">
        <f>AH26*'R&amp;S - Buildings'!$H$7*('R&amp;S - Buildings'!$B$11*('R&amp;S - Buildings'!$B$16+('R&amp;S - Buildings'!$B$17-'R&amp;S - Buildings'!$B$16)*('Yearly Butadiene'!AH$3-'Yearly Butadiene'!$X$3)/10))</f>
        <v>1.5809619425196451</v>
      </c>
      <c r="AJ27">
        <v>0</v>
      </c>
      <c r="AK27" s="43">
        <f>AK26*'R&amp;S - Buildings'!$H$7*'R&amp;S - Buildings'!$B$12*'R&amp;S - Buildings'!$B$15*('Yearly Butadiene'!AK$3-'Yearly Butadiene'!$D$3)/10</f>
        <v>1.3828946699785996E-2</v>
      </c>
      <c r="AL27" s="43">
        <f>AL26*'R&amp;S - Buildings'!$H$7*'R&amp;S - Buildings'!$B$12*'R&amp;S - Buildings'!$B$15*('Yearly Butadiene'!AL$3-'Yearly Butadiene'!$D$3)/10</f>
        <v>2.8053133773657313E-2</v>
      </c>
      <c r="AM27" s="43">
        <f>AM26*'R&amp;S - Buildings'!$H$7*'R&amp;S - Buildings'!$B$12*'R&amp;S - Buildings'!$B$15*('Yearly Butadiene'!AM$3-'Yearly Butadiene'!$D$3)/10</f>
        <v>4.268103339361113E-2</v>
      </c>
      <c r="AN27" s="43">
        <f>AN26*'R&amp;S - Buildings'!$H$7*'R&amp;S - Buildings'!$B$12*'R&amp;S - Buildings'!$B$15*('Yearly Butadiene'!AN$3-'Yearly Butadiene'!$D$3)/10</f>
        <v>5.7721279158469183E-2</v>
      </c>
      <c r="AO27" s="43">
        <f>AO26*'R&amp;S - Buildings'!$H$7*'R&amp;S - Buildings'!$B$12*'R&amp;S - Buildings'!$B$15*('Yearly Butadiene'!AO$3-'Yearly Butadiene'!$D$3)/10</f>
        <v>7.3182668977430684E-2</v>
      </c>
      <c r="AP27" s="43">
        <f>AP26*'R&amp;S - Buildings'!$H$7*'R&amp;S - Buildings'!$B$12*'R&amp;S - Buildings'!$B$15*('Yearly Butadiene'!AP$3-'Yearly Butadiene'!$D$3)/10</f>
        <v>8.9074168003073495E-2</v>
      </c>
      <c r="AQ27" s="43">
        <f>AQ26*'R&amp;S - Buildings'!$H$7*'R&amp;S - Buildings'!$B$12*'R&amp;S - Buildings'!$B$15*('Yearly Butadiene'!AQ$3-'Yearly Butadiene'!$D$3)/10</f>
        <v>0.10540491161462798</v>
      </c>
      <c r="AR27" s="43">
        <f>AR26*'R&amp;S - Buildings'!$H$7*'R&amp;S - Buildings'!$B$12*'R&amp;S - Buildings'!$B$15*('Yearly Butadiene'!AR$3-'Yearly Butadiene'!$D$3)/10</f>
        <v>0.12218420845236141</v>
      </c>
      <c r="AS27" s="43">
        <f>AS26*'R&amp;S - Buildings'!$H$7*'R&amp;S - Buildings'!$B$12*'R&amp;S - Buildings'!$B$15*('Yearly Butadiene'!AS$3-'Yearly Butadiene'!$D$3)/10</f>
        <v>0.13942154350392477</v>
      </c>
      <c r="AT27" s="43">
        <f>AT26*'R&amp;S - Buildings'!$H$7*'R&amp;S - Buildings'!$B$12*'R&amp;S - Buildings'!$B$15*('Yearly Butadiene'!AT$3-'Yearly Butadiene'!$D$3)/10</f>
        <v>0.15712658124352669</v>
      </c>
      <c r="AU27" s="43">
        <f>AU26*'R&amp;S - Buildings'!$H$7*('R&amp;S - Buildings'!$B$12*('R&amp;S - Buildings'!$B$15+('R&amp;S - Buildings'!$B$16-'R&amp;S - Buildings'!$B$15)*('Yearly Butadiene'!AU$3-'Yearly Butadiene'!$N$3)/10))</f>
        <v>0.17530916882481482</v>
      </c>
      <c r="AV27" s="43">
        <f>AV26*'R&amp;S - Buildings'!$H$7*('R&amp;S - Buildings'!$B$12*('R&amp;S - Buildings'!$B$15+('R&amp;S - Buildings'!$B$16-'R&amp;S - Buildings'!$B$15)*('Yearly Butadiene'!AV$3-'Yearly Butadiene'!$N$3)/10))</f>
        <v>0.19397933932835809</v>
      </c>
      <c r="AW27" s="43">
        <f>AW26*'R&amp;S - Buildings'!$H$7*('R&amp;S - Buildings'!$B$12*('R&amp;S - Buildings'!$B$15+('R&amp;S - Buildings'!$B$16-'R&amp;S - Buildings'!$B$15)*('Yearly Butadiene'!AW$3-'Yearly Butadiene'!$N$3)/10))</f>
        <v>0.21314731506463896</v>
      </c>
      <c r="AX27" s="43">
        <f>AX26*'R&amp;S - Buildings'!$H$7*('R&amp;S - Buildings'!$B$12*('R&amp;S - Buildings'!$B$15+('R&amp;S - Buildings'!$B$16-'R&amp;S - Buildings'!$B$15)*('Yearly Butadiene'!AX$3-'Yearly Butadiene'!$N$3)/10))</f>
        <v>0.23282351093347786</v>
      </c>
      <c r="AY27" s="43">
        <f>AY26*'R&amp;S - Buildings'!$H$7*('R&amp;S - Buildings'!$B$12*('R&amp;S - Buildings'!$B$15+('R&amp;S - Buildings'!$B$16-'R&amp;S - Buildings'!$B$15)*('Yearly Butadiene'!AY$3-'Yearly Butadiene'!$N$3)/10))</f>
        <v>0.25301853784082956</v>
      </c>
      <c r="AZ27" s="43">
        <f>AZ26*'R&amp;S - Buildings'!$H$7*('R&amp;S - Buildings'!$B$12*('R&amp;S - Buildings'!$B$15+('R&amp;S - Buildings'!$B$16-'R&amp;S - Buildings'!$B$15)*('Yearly Butadiene'!AZ$3-'Yearly Butadiene'!$N$3)/10))</f>
        <v>0.27374320617390413</v>
      </c>
      <c r="BA27" s="43">
        <f>BA26*'R&amp;S - Buildings'!$H$7*('R&amp;S - Buildings'!$B$12*('R&amp;S - Buildings'!$B$15+('R&amp;S - Buildings'!$B$16-'R&amp;S - Buildings'!$B$15)*('Yearly Butadiene'!BA$3-'Yearly Butadiene'!$N$3)/10))</f>
        <v>0.29500852933558214</v>
      </c>
      <c r="BB27" s="43">
        <f>BB26*'R&amp;S - Buildings'!$H$7*('R&amp;S - Buildings'!$B$12*('R&amp;S - Buildings'!$B$15+('R&amp;S - Buildings'!$B$16-'R&amp;S - Buildings'!$B$15)*('Yearly Butadiene'!BB$3-'Yearly Butadiene'!$N$3)/10))</f>
        <v>0.3168257273391088</v>
      </c>
      <c r="BC27" s="43">
        <f>BC26*'R&amp;S - Buildings'!$H$7*('R&amp;S - Buildings'!$B$12*('R&amp;S - Buildings'!$B$15+('R&amp;S - Buildings'!$B$16-'R&amp;S - Buildings'!$B$15)*('Yearly Butadiene'!BC$3-'Yearly Butadiene'!$N$3)/10))</f>
        <v>0.33920623046406889</v>
      </c>
      <c r="BD27" s="43">
        <f>BD26*'R&amp;S - Buildings'!$H$7*('R&amp;S - Buildings'!$B$12*('R&amp;S - Buildings'!$B$15+('R&amp;S - Buildings'!$B$16-'R&amp;S - Buildings'!$B$15)*('Yearly Butadiene'!BD$3-'Yearly Butadiene'!$N$3)/10))</f>
        <v>0.36216168297465856</v>
      </c>
      <c r="BE27" s="43">
        <f>BE26*'R&amp;S - Buildings'!$H$7*('R&amp;S - Buildings'!$B$12*('R&amp;S - Buildings'!$B$16+('R&amp;S - Buildings'!$B$17-'R&amp;S - Buildings'!$B$16)*('Yearly Butadiene'!BE$3-'Yearly Butadiene'!$X$3)/10))</f>
        <v>0.38626051825323837</v>
      </c>
      <c r="BF27" s="43">
        <f>BF26*'R&amp;S - Buildings'!$H$7*('R&amp;S - Buildings'!$B$12*('R&amp;S - Buildings'!$B$16+('R&amp;S - Buildings'!$B$17-'R&amp;S - Buildings'!$B$16)*('Yearly Butadiene'!BF$3-'Yearly Butadiene'!$X$3)/10))</f>
        <v>0.41097415576504559</v>
      </c>
      <c r="BG27" s="43">
        <f>BG26*'R&amp;S - Buildings'!$H$7*('R&amp;S - Buildings'!$B$12*('R&amp;S - Buildings'!$B$16+('R&amp;S - Buildings'!$B$17-'R&amp;S - Buildings'!$B$16)*('Yearly Butadiene'!BG$3-'Yearly Butadiene'!$X$3)/10))</f>
        <v>0.43631524565444602</v>
      </c>
      <c r="BH27" s="43">
        <f>BH26*'R&amp;S - Buildings'!$H$7*('R&amp;S - Buildings'!$B$12*('R&amp;S - Buildings'!$B$16+('R&amp;S - Buildings'!$B$17-'R&amp;S - Buildings'!$B$16)*('Yearly Butadiene'!BH$3-'Yearly Butadiene'!$X$3)/10))</f>
        <v>0.46229667406433134</v>
      </c>
      <c r="BI27" s="43">
        <f>BI26*'R&amp;S - Buildings'!$H$7*('R&amp;S - Buildings'!$B$12*('R&amp;S - Buildings'!$B$16+('R&amp;S - Buildings'!$B$17-'R&amp;S - Buildings'!$B$16)*('Yearly Butadiene'!BI$3-'Yearly Butadiene'!$X$3)/10))</f>
        <v>0.48893156729778192</v>
      </c>
      <c r="BJ27" s="43">
        <f>BJ26*'R&amp;S - Buildings'!$H$7*('R&amp;S - Buildings'!$B$12*('R&amp;S - Buildings'!$B$16+('R&amp;S - Buildings'!$B$17-'R&amp;S - Buildings'!$B$16)*('Yearly Butadiene'!BJ$3-'Yearly Butadiene'!$X$3)/10))</f>
        <v>0.51623329605047874</v>
      </c>
      <c r="BK27" s="43">
        <f>BK26*'R&amp;S - Buildings'!$H$7*('R&amp;S - Buildings'!$B$12*('R&amp;S - Buildings'!$B$16+('R&amp;S - Buildings'!$B$17-'R&amp;S - Buildings'!$B$16)*('Yearly Butadiene'!BK$3-'Yearly Butadiene'!$X$3)/10))</f>
        <v>0.54421547971503603</v>
      </c>
      <c r="BL27" s="43">
        <f>BL26*'R&amp;S - Buildings'!$H$7*('R&amp;S - Buildings'!$B$12*('R&amp;S - Buildings'!$B$16+('R&amp;S - Buildings'!$B$17-'R&amp;S - Buildings'!$B$16)*('Yearly Butadiene'!BL$3-'Yearly Butadiene'!$X$3)/10))</f>
        <v>0.57289199075844688</v>
      </c>
      <c r="BM27" s="43">
        <f>BM26*'R&amp;S - Buildings'!$H$7*('R&amp;S - Buildings'!$B$12*('R&amp;S - Buildings'!$B$16+('R&amp;S - Buildings'!$B$17-'R&amp;S - Buildings'!$B$16)*('Yearly Butadiene'!BM$3-'Yearly Butadiene'!$X$3)/10))</f>
        <v>0.60227695917385138</v>
      </c>
      <c r="BN27" s="43">
        <f>BN26*'R&amp;S - Buildings'!$H$7*('R&amp;S - Buildings'!$B$12*('R&amp;S - Buildings'!$B$16+('R&amp;S - Buildings'!$B$17-'R&amp;S - Buildings'!$B$16)*('Yearly Butadiene'!BN$3-'Yearly Butadiene'!$X$3)/10))</f>
        <v>0.632384777007858</v>
      </c>
    </row>
    <row r="28" spans="1:75" outlineLevel="1" x14ac:dyDescent="0.2">
      <c r="B28" s="1" t="s">
        <v>172</v>
      </c>
      <c r="C28" s="54" t="s">
        <v>153</v>
      </c>
      <c r="D28">
        <v>0</v>
      </c>
      <c r="E28" s="43">
        <f>E26*'R&amp;S - Buildings'!$H$8*'R&amp;S - Buildings'!$C$11*'R&amp;S - Buildings'!$B$15*('Yearly Butadiene'!E$3-'Yearly Butadiene'!$D$3)/10</f>
        <v>0</v>
      </c>
      <c r="F28" s="43">
        <f>F26*'R&amp;S - Buildings'!$H$8*'R&amp;S - Buildings'!$C$11*'R&amp;S - Buildings'!$B$15*('Yearly Butadiene'!F$3-'Yearly Butadiene'!$D$3)/10</f>
        <v>0</v>
      </c>
      <c r="G28" s="43">
        <f>G26*'R&amp;S - Buildings'!$H$8*'R&amp;S - Buildings'!$C$11*'R&amp;S - Buildings'!$B$15*('Yearly Butadiene'!G$3-'Yearly Butadiene'!$D$3)/10</f>
        <v>0</v>
      </c>
      <c r="H28" s="43">
        <f>H26*'R&amp;S - Buildings'!$H$8*'R&amp;S - Buildings'!$C$11*'R&amp;S - Buildings'!$B$15*('Yearly Butadiene'!H$3-'Yearly Butadiene'!$D$3)/10</f>
        <v>0</v>
      </c>
      <c r="I28" s="43">
        <f>I26*'R&amp;S - Buildings'!$H$8*'R&amp;S - Buildings'!$C$11*'R&amp;S - Buildings'!$B$15*('Yearly Butadiene'!I$3-'Yearly Butadiene'!$D$3)/10</f>
        <v>0</v>
      </c>
      <c r="J28" s="43">
        <f>J26*'R&amp;S - Buildings'!$H$8*'R&amp;S - Buildings'!$C$11*'R&amp;S - Buildings'!$B$15*('Yearly Butadiene'!J$3-'Yearly Butadiene'!$D$3)/10</f>
        <v>0</v>
      </c>
      <c r="K28" s="43">
        <f>K26*'R&amp;S - Buildings'!$H$8*'R&amp;S - Buildings'!$C$11*'R&amp;S - Buildings'!$B$15*('Yearly Butadiene'!K$3-'Yearly Butadiene'!$D$3)/10</f>
        <v>0</v>
      </c>
      <c r="L28" s="43">
        <f>L26*'R&amp;S - Buildings'!$H$8*'R&amp;S - Buildings'!$C$11*'R&amp;S - Buildings'!$B$15*('Yearly Butadiene'!L$3-'Yearly Butadiene'!$D$3)/10</f>
        <v>0</v>
      </c>
      <c r="M28" s="43">
        <f>M26*'R&amp;S - Buildings'!$H$8*'R&amp;S - Buildings'!$C$11*'R&amp;S - Buildings'!$B$15*('Yearly Butadiene'!M$3-'Yearly Butadiene'!$D$3)/10</f>
        <v>0</v>
      </c>
      <c r="N28" s="43">
        <f>N26*'R&amp;S - Buildings'!$H$8*'R&amp;S - Buildings'!$C$11*'R&amp;S - Buildings'!$B$15*('Yearly Butadiene'!N$3-'Yearly Butadiene'!$D$3)/10</f>
        <v>0</v>
      </c>
      <c r="O28" s="43">
        <f>O26*'R&amp;S - Buildings'!$H$8*'R&amp;S - Buildings'!$C$11*('R&amp;S - Buildings'!$B$15+('R&amp;S - Buildings'!$B$16-'R&amp;S - Buildings'!$B$15)*('Yearly Butadiene'!O$3-'Yearly Butadiene'!$N$3)/10)</f>
        <v>0</v>
      </c>
      <c r="P28" s="43">
        <f>P26*'R&amp;S - Buildings'!$H$8*'R&amp;S - Buildings'!$C$11*('R&amp;S - Buildings'!$B$15+('R&amp;S - Buildings'!$B$16-'R&amp;S - Buildings'!$B$15)*('Yearly Butadiene'!P$3-'Yearly Butadiene'!$N$3)/10)</f>
        <v>0</v>
      </c>
      <c r="Q28" s="43">
        <f>Q26*'R&amp;S - Buildings'!$H$8*'R&amp;S - Buildings'!$C$11*('R&amp;S - Buildings'!$B$15+('R&amp;S - Buildings'!$B$16-'R&amp;S - Buildings'!$B$15)*('Yearly Butadiene'!Q$3-'Yearly Butadiene'!$N$3)/10)</f>
        <v>0</v>
      </c>
      <c r="R28" s="43">
        <f>R26*'R&amp;S - Buildings'!$H$8*'R&amp;S - Buildings'!$C$11*('R&amp;S - Buildings'!$B$15+('R&amp;S - Buildings'!$B$16-'R&amp;S - Buildings'!$B$15)*('Yearly Butadiene'!R$3-'Yearly Butadiene'!$N$3)/10)</f>
        <v>0</v>
      </c>
      <c r="S28" s="43">
        <f>S26*'R&amp;S - Buildings'!$H$8*'R&amp;S - Buildings'!$C$11*('R&amp;S - Buildings'!$B$15+('R&amp;S - Buildings'!$B$16-'R&amp;S - Buildings'!$B$15)*('Yearly Butadiene'!S$3-'Yearly Butadiene'!$N$3)/10)</f>
        <v>0</v>
      </c>
      <c r="T28" s="43">
        <f>T26*'R&amp;S - Buildings'!$H$8*'R&amp;S - Buildings'!$C$11*('R&amp;S - Buildings'!$B$15+('R&amp;S - Buildings'!$B$16-'R&amp;S - Buildings'!$B$15)*('Yearly Butadiene'!T$3-'Yearly Butadiene'!$N$3)/10)</f>
        <v>0</v>
      </c>
      <c r="U28" s="43">
        <f>U26*'R&amp;S - Buildings'!$H$8*'R&amp;S - Buildings'!$C$11*('R&amp;S - Buildings'!$B$15+('R&amp;S - Buildings'!$B$16-'R&amp;S - Buildings'!$B$15)*('Yearly Butadiene'!U$3-'Yearly Butadiene'!$N$3)/10)</f>
        <v>0</v>
      </c>
      <c r="V28" s="43">
        <f>V26*'R&amp;S - Buildings'!$H$8*'R&amp;S - Buildings'!$C$11*('R&amp;S - Buildings'!$B$15+('R&amp;S - Buildings'!$B$16-'R&amp;S - Buildings'!$B$15)*('Yearly Butadiene'!V$3-'Yearly Butadiene'!$N$3)/10)</f>
        <v>0</v>
      </c>
      <c r="W28" s="43">
        <f>W26*'R&amp;S - Buildings'!$H$8*'R&amp;S - Buildings'!$C$11*('R&amp;S - Buildings'!$B$15+('R&amp;S - Buildings'!$B$16-'R&amp;S - Buildings'!$B$15)*('Yearly Butadiene'!W$3-'Yearly Butadiene'!$N$3)/10)</f>
        <v>0</v>
      </c>
      <c r="X28" s="43">
        <f>X26*'R&amp;S - Buildings'!$H$8*'R&amp;S - Buildings'!$C$11*('R&amp;S - Buildings'!$B$15+('R&amp;S - Buildings'!$B$16-'R&amp;S - Buildings'!$B$15)*('Yearly Butadiene'!X$3-'Yearly Butadiene'!$N$3)/10)</f>
        <v>0</v>
      </c>
      <c r="Y28" s="43">
        <f>Y26*'R&amp;S - Buildings'!$H$8*'R&amp;S - Buildings'!$C$11*('R&amp;S - Buildings'!$B$16+('R&amp;S - Buildings'!$B$17-'R&amp;S - Buildings'!$B$16)*('Yearly Butadiene'!Y$3-'Yearly Butadiene'!$X$3)/10)</f>
        <v>0</v>
      </c>
      <c r="Z28" s="43">
        <f>Z26*'R&amp;S - Buildings'!$H$8*'R&amp;S - Buildings'!$C$11*('R&amp;S - Buildings'!$B$16+('R&amp;S - Buildings'!$B$17-'R&amp;S - Buildings'!$B$16)*('Yearly Butadiene'!Z$3-'Yearly Butadiene'!$X$3)/10)</f>
        <v>0</v>
      </c>
      <c r="AA28" s="43">
        <f>AA26*'R&amp;S - Buildings'!$H$8*'R&amp;S - Buildings'!$C$11*('R&amp;S - Buildings'!$B$16+('R&amp;S - Buildings'!$B$17-'R&amp;S - Buildings'!$B$16)*('Yearly Butadiene'!AA$3-'Yearly Butadiene'!$X$3)/10)</f>
        <v>0</v>
      </c>
      <c r="AB28" s="43">
        <f>AB26*'R&amp;S - Buildings'!$H$8*'R&amp;S - Buildings'!$C$11*('R&amp;S - Buildings'!$B$16+('R&amp;S - Buildings'!$B$17-'R&amp;S - Buildings'!$B$16)*('Yearly Butadiene'!AB$3-'Yearly Butadiene'!$X$3)/10)</f>
        <v>0</v>
      </c>
      <c r="AC28" s="43">
        <f>AC26*'R&amp;S - Buildings'!$H$8*'R&amp;S - Buildings'!$C$11*('R&amp;S - Buildings'!$B$16+('R&amp;S - Buildings'!$B$17-'R&amp;S - Buildings'!$B$16)*('Yearly Butadiene'!AC$3-'Yearly Butadiene'!$X$3)/10)</f>
        <v>0</v>
      </c>
      <c r="AD28" s="43">
        <f>AD26*'R&amp;S - Buildings'!$H$8*'R&amp;S - Buildings'!$C$11*('R&amp;S - Buildings'!$B$16+('R&amp;S - Buildings'!$B$17-'R&amp;S - Buildings'!$B$16)*('Yearly Butadiene'!AD$3-'Yearly Butadiene'!$X$3)/10)</f>
        <v>0</v>
      </c>
      <c r="AE28" s="43">
        <f>AE26*'R&amp;S - Buildings'!$H$8*'R&amp;S - Buildings'!$C$11*('R&amp;S - Buildings'!$B$16+('R&amp;S - Buildings'!$B$17-'R&amp;S - Buildings'!$B$16)*('Yearly Butadiene'!AE$3-'Yearly Butadiene'!$X$3)/10)</f>
        <v>0</v>
      </c>
      <c r="AF28" s="43">
        <f>AF26*'R&amp;S - Buildings'!$H$8*'R&amp;S - Buildings'!$C$11*('R&amp;S - Buildings'!$B$16+('R&amp;S - Buildings'!$B$17-'R&amp;S - Buildings'!$B$16)*('Yearly Butadiene'!AF$3-'Yearly Butadiene'!$X$3)/10)</f>
        <v>0</v>
      </c>
      <c r="AG28" s="43">
        <f>AG26*'R&amp;S - Buildings'!$H$8*'R&amp;S - Buildings'!$C$11*('R&amp;S - Buildings'!$B$16+('R&amp;S - Buildings'!$B$17-'R&amp;S - Buildings'!$B$16)*('Yearly Butadiene'!AG$3-'Yearly Butadiene'!$X$3)/10)</f>
        <v>0</v>
      </c>
      <c r="AH28" s="43">
        <f>AH26*'R&amp;S - Buildings'!$H$8*'R&amp;S - Buildings'!$C$11*('R&amp;S - Buildings'!$B$16+('R&amp;S - Buildings'!$B$17-'R&amp;S - Buildings'!$B$16)*('Yearly Butadiene'!AH$3-'Yearly Butadiene'!$X$3)/10)</f>
        <v>0</v>
      </c>
      <c r="AJ28">
        <v>0</v>
      </c>
      <c r="AK28" s="43">
        <f>AK26*'R&amp;S - Buildings'!$H$8*'R&amp;S - Buildings'!$C$12*'R&amp;S - Buildings'!$B$15*('Yearly Butadiene'!AK$3-'Yearly Butadiene'!$D$3)/10</f>
        <v>0</v>
      </c>
      <c r="AL28" s="43">
        <f>AL26*'R&amp;S - Buildings'!$H$8*'R&amp;S - Buildings'!$C$12*'R&amp;S - Buildings'!$B$15*('Yearly Butadiene'!AL$3-'Yearly Butadiene'!$D$3)/10</f>
        <v>0</v>
      </c>
      <c r="AM28" s="43">
        <f>AM26*'R&amp;S - Buildings'!$H$8*'R&amp;S - Buildings'!$C$12*'R&amp;S - Buildings'!$B$15*('Yearly Butadiene'!AM$3-'Yearly Butadiene'!$D$3)/10</f>
        <v>0</v>
      </c>
      <c r="AN28" s="43">
        <f>AN26*'R&amp;S - Buildings'!$H$8*'R&amp;S - Buildings'!$C$12*'R&amp;S - Buildings'!$B$15*('Yearly Butadiene'!AN$3-'Yearly Butadiene'!$D$3)/10</f>
        <v>0</v>
      </c>
      <c r="AO28" s="43">
        <f>AO26*'R&amp;S - Buildings'!$H$8*'R&amp;S - Buildings'!$C$12*'R&amp;S - Buildings'!$B$15*('Yearly Butadiene'!AO$3-'Yearly Butadiene'!$D$3)/10</f>
        <v>0</v>
      </c>
      <c r="AP28" s="43">
        <f>AP26*'R&amp;S - Buildings'!$H$8*'R&amp;S - Buildings'!$C$12*'R&amp;S - Buildings'!$B$15*('Yearly Butadiene'!AP$3-'Yearly Butadiene'!$D$3)/10</f>
        <v>0</v>
      </c>
      <c r="AQ28" s="43">
        <f>AQ26*'R&amp;S - Buildings'!$H$8*'R&amp;S - Buildings'!$C$12*'R&amp;S - Buildings'!$B$15*('Yearly Butadiene'!AQ$3-'Yearly Butadiene'!$D$3)/10</f>
        <v>0</v>
      </c>
      <c r="AR28" s="43">
        <f>AR26*'R&amp;S - Buildings'!$H$8*'R&amp;S - Buildings'!$C$12*'R&amp;S - Buildings'!$B$15*('Yearly Butadiene'!AR$3-'Yearly Butadiene'!$D$3)/10</f>
        <v>0</v>
      </c>
      <c r="AS28" s="43">
        <f>AS26*'R&amp;S - Buildings'!$H$8*'R&amp;S - Buildings'!$C$12*'R&amp;S - Buildings'!$B$15*('Yearly Butadiene'!AS$3-'Yearly Butadiene'!$D$3)/10</f>
        <v>0</v>
      </c>
      <c r="AT28" s="43">
        <f>AT26*'R&amp;S - Buildings'!$H$8*'R&amp;S - Buildings'!$C$12*'R&amp;S - Buildings'!$B$15*('Yearly Butadiene'!AT$3-'Yearly Butadiene'!$D$3)/10</f>
        <v>0</v>
      </c>
      <c r="AU28" s="43">
        <f>AU26*'R&amp;S - Buildings'!$H$8*'R&amp;S - Buildings'!$C$12*('R&amp;S - Buildings'!$B$15+('R&amp;S - Buildings'!$B$16-'R&amp;S - Buildings'!$B$15)*('Yearly Butadiene'!AU$3-'Yearly Butadiene'!$N$3)/10)</f>
        <v>0</v>
      </c>
      <c r="AV28" s="43">
        <f>AV26*'R&amp;S - Buildings'!$H$8*'R&amp;S - Buildings'!$C$12*('R&amp;S - Buildings'!$B$15+('R&amp;S - Buildings'!$B$16-'R&amp;S - Buildings'!$B$15)*('Yearly Butadiene'!AV$3-'Yearly Butadiene'!$N$3)/10)</f>
        <v>0</v>
      </c>
      <c r="AW28" s="43">
        <f>AW26*'R&amp;S - Buildings'!$H$8*'R&amp;S - Buildings'!$C$12*('R&amp;S - Buildings'!$B$15+('R&amp;S - Buildings'!$B$16-'R&amp;S - Buildings'!$B$15)*('Yearly Butadiene'!AW$3-'Yearly Butadiene'!$N$3)/10)</f>
        <v>0</v>
      </c>
      <c r="AX28" s="43">
        <f>AX26*'R&amp;S - Buildings'!$H$8*'R&amp;S - Buildings'!$C$12*('R&amp;S - Buildings'!$B$15+('R&amp;S - Buildings'!$B$16-'R&amp;S - Buildings'!$B$15)*('Yearly Butadiene'!AX$3-'Yearly Butadiene'!$N$3)/10)</f>
        <v>0</v>
      </c>
      <c r="AY28" s="43">
        <f>AY26*'R&amp;S - Buildings'!$H$8*'R&amp;S - Buildings'!$C$12*('R&amp;S - Buildings'!$B$15+('R&amp;S - Buildings'!$B$16-'R&amp;S - Buildings'!$B$15)*('Yearly Butadiene'!AY$3-'Yearly Butadiene'!$N$3)/10)</f>
        <v>0</v>
      </c>
      <c r="AZ28" s="43">
        <f>AZ26*'R&amp;S - Buildings'!$H$8*'R&amp;S - Buildings'!$C$12*('R&amp;S - Buildings'!$B$15+('R&amp;S - Buildings'!$B$16-'R&amp;S - Buildings'!$B$15)*('Yearly Butadiene'!AZ$3-'Yearly Butadiene'!$N$3)/10)</f>
        <v>0</v>
      </c>
      <c r="BA28" s="43">
        <f>BA26*'R&amp;S - Buildings'!$H$8*'R&amp;S - Buildings'!$C$12*('R&amp;S - Buildings'!$B$15+('R&amp;S - Buildings'!$B$16-'R&amp;S - Buildings'!$B$15)*('Yearly Butadiene'!BA$3-'Yearly Butadiene'!$N$3)/10)</f>
        <v>0</v>
      </c>
      <c r="BB28" s="43">
        <f>BB26*'R&amp;S - Buildings'!$H$8*'R&amp;S - Buildings'!$C$12*('R&amp;S - Buildings'!$B$15+('R&amp;S - Buildings'!$B$16-'R&amp;S - Buildings'!$B$15)*('Yearly Butadiene'!BB$3-'Yearly Butadiene'!$N$3)/10)</f>
        <v>0</v>
      </c>
      <c r="BC28" s="43">
        <f>BC26*'R&amp;S - Buildings'!$H$8*'R&amp;S - Buildings'!$C$12*('R&amp;S - Buildings'!$B$15+('R&amp;S - Buildings'!$B$16-'R&amp;S - Buildings'!$B$15)*('Yearly Butadiene'!BC$3-'Yearly Butadiene'!$N$3)/10)</f>
        <v>0</v>
      </c>
      <c r="BD28" s="43">
        <f>BD26*'R&amp;S - Buildings'!$H$8*'R&amp;S - Buildings'!$C$12*('R&amp;S - Buildings'!$B$15+('R&amp;S - Buildings'!$B$16-'R&amp;S - Buildings'!$B$15)*('Yearly Butadiene'!BD$3-'Yearly Butadiene'!$N$3)/10)</f>
        <v>0</v>
      </c>
      <c r="BE28" s="43">
        <f>BE26*'R&amp;S - Buildings'!$H$8*'R&amp;S - Buildings'!$C$12*('R&amp;S - Buildings'!$B$16+('R&amp;S - Buildings'!$B$17-'R&amp;S - Buildings'!$B$16)*('Yearly Butadiene'!BE$3-'Yearly Butadiene'!$X$3)/10)</f>
        <v>0</v>
      </c>
      <c r="BF28" s="43">
        <f>BF26*'R&amp;S - Buildings'!$H$8*'R&amp;S - Buildings'!$C$12*('R&amp;S - Buildings'!$B$16+('R&amp;S - Buildings'!$B$17-'R&amp;S - Buildings'!$B$16)*('Yearly Butadiene'!BF$3-'Yearly Butadiene'!$X$3)/10)</f>
        <v>0</v>
      </c>
      <c r="BG28" s="43">
        <f>BG26*'R&amp;S - Buildings'!$H$8*'R&amp;S - Buildings'!$C$12*('R&amp;S - Buildings'!$B$16+('R&amp;S - Buildings'!$B$17-'R&amp;S - Buildings'!$B$16)*('Yearly Butadiene'!BG$3-'Yearly Butadiene'!$X$3)/10)</f>
        <v>0</v>
      </c>
      <c r="BH28" s="43">
        <f>BH26*'R&amp;S - Buildings'!$H$8*'R&amp;S - Buildings'!$C$12*('R&amp;S - Buildings'!$B$16+('R&amp;S - Buildings'!$B$17-'R&amp;S - Buildings'!$B$16)*('Yearly Butadiene'!BH$3-'Yearly Butadiene'!$X$3)/10)</f>
        <v>0</v>
      </c>
      <c r="BI28" s="43">
        <f>BI26*'R&amp;S - Buildings'!$H$8*'R&amp;S - Buildings'!$C$12*('R&amp;S - Buildings'!$B$16+('R&amp;S - Buildings'!$B$17-'R&amp;S - Buildings'!$B$16)*('Yearly Butadiene'!BI$3-'Yearly Butadiene'!$X$3)/10)</f>
        <v>0</v>
      </c>
      <c r="BJ28" s="43">
        <f>BJ26*'R&amp;S - Buildings'!$H$8*'R&amp;S - Buildings'!$C$12*('R&amp;S - Buildings'!$B$16+('R&amp;S - Buildings'!$B$17-'R&amp;S - Buildings'!$B$16)*('Yearly Butadiene'!BJ$3-'Yearly Butadiene'!$X$3)/10)</f>
        <v>0</v>
      </c>
      <c r="BK28" s="43">
        <f>BK26*'R&amp;S - Buildings'!$H$8*'R&amp;S - Buildings'!$C$12*('R&amp;S - Buildings'!$B$16+('R&amp;S - Buildings'!$B$17-'R&amp;S - Buildings'!$B$16)*('Yearly Butadiene'!BK$3-'Yearly Butadiene'!$X$3)/10)</f>
        <v>0</v>
      </c>
      <c r="BL28" s="43">
        <f>BL26*'R&amp;S - Buildings'!$H$8*'R&amp;S - Buildings'!$C$12*('R&amp;S - Buildings'!$B$16+('R&amp;S - Buildings'!$B$17-'R&amp;S - Buildings'!$B$16)*('Yearly Butadiene'!BL$3-'Yearly Butadiene'!$X$3)/10)</f>
        <v>0</v>
      </c>
      <c r="BM28" s="43">
        <f>BM26*'R&amp;S - Buildings'!$H$8*'R&amp;S - Buildings'!$C$12*('R&amp;S - Buildings'!$B$16+('R&amp;S - Buildings'!$B$17-'R&amp;S - Buildings'!$B$16)*('Yearly Butadiene'!BM$3-'Yearly Butadiene'!$X$3)/10)</f>
        <v>0</v>
      </c>
      <c r="BN28" s="43">
        <f>BN26*'R&amp;S - Buildings'!$H$8*'R&amp;S - Buildings'!$C$12*('R&amp;S - Buildings'!$B$16+('R&amp;S - Buildings'!$B$17-'R&amp;S - Buildings'!$B$16)*('Yearly Butadiene'!BN$3-'Yearly Butadiene'!$X$3)/10)</f>
        <v>0</v>
      </c>
    </row>
    <row r="29" spans="1:75" outlineLevel="1" x14ac:dyDescent="0.2">
      <c r="B29" s="1" t="s">
        <v>197</v>
      </c>
      <c r="C29" s="65" t="s">
        <v>153</v>
      </c>
      <c r="D29" s="66">
        <f>D26-D27-D28</f>
        <v>1.8779766917293235</v>
      </c>
      <c r="E29" s="66">
        <f t="shared" ref="E29:AG29" si="27">E26-E27-E28</f>
        <v>1.8702412282623802</v>
      </c>
      <c r="F29" s="66">
        <f t="shared" si="27"/>
        <v>1.861901172016085</v>
      </c>
      <c r="G29" s="66">
        <f t="shared" si="27"/>
        <v>1.8529408230178603</v>
      </c>
      <c r="H29" s="66">
        <f t="shared" si="27"/>
        <v>1.8433441560456032</v>
      </c>
      <c r="I29" s="66">
        <f t="shared" si="27"/>
        <v>1.8330948145379846</v>
      </c>
      <c r="J29" s="66">
        <f t="shared" si="27"/>
        <v>1.8221761043971252</v>
      </c>
      <c r="K29" s="66">
        <f t="shared" si="27"/>
        <v>1.8105709876818077</v>
      </c>
      <c r="L29" s="66">
        <f t="shared" si="27"/>
        <v>1.7982620761893686</v>
      </c>
      <c r="M29" s="66">
        <f t="shared" si="27"/>
        <v>1.7852316249243749</v>
      </c>
      <c r="N29" s="66">
        <f t="shared" si="27"/>
        <v>1.7714615254521571</v>
      </c>
      <c r="O29" s="66">
        <f t="shared" si="27"/>
        <v>1.7569332991352433</v>
      </c>
      <c r="P29" s="66">
        <f t="shared" si="27"/>
        <v>1.7416280902507082</v>
      </c>
      <c r="Q29" s="66">
        <f t="shared" si="27"/>
        <v>1.7255266589864102</v>
      </c>
      <c r="R29" s="66">
        <f t="shared" si="27"/>
        <v>1.7086093743140607</v>
      </c>
      <c r="S29" s="66">
        <f t="shared" si="27"/>
        <v>1.6908562067370405</v>
      </c>
      <c r="T29" s="66">
        <f t="shared" si="27"/>
        <v>1.6722467209108329</v>
      </c>
      <c r="U29" s="66">
        <f t="shared" si="27"/>
        <v>1.6527600681339183</v>
      </c>
      <c r="V29" s="66">
        <f t="shared" si="27"/>
        <v>1.6323749787069324</v>
      </c>
      <c r="W29" s="66">
        <f t="shared" si="27"/>
        <v>1.6110697541578567</v>
      </c>
      <c r="X29" s="66">
        <f t="shared" si="27"/>
        <v>1.588822259330974</v>
      </c>
      <c r="Y29" s="66">
        <f t="shared" si="27"/>
        <v>1.5642184859574093</v>
      </c>
      <c r="Z29" s="66">
        <f t="shared" si="27"/>
        <v>1.5385870616678405</v>
      </c>
      <c r="AA29" s="66">
        <f t="shared" si="27"/>
        <v>1.5119036399467172</v>
      </c>
      <c r="AB29" s="66">
        <f t="shared" si="27"/>
        <v>1.4841433882992634</v>
      </c>
      <c r="AC29" s="66">
        <f t="shared" si="27"/>
        <v>1.4552809793337591</v>
      </c>
      <c r="AD29" s="66">
        <f t="shared" si="27"/>
        <v>1.42529058168819</v>
      </c>
      <c r="AE29" s="66">
        <f t="shared" si="27"/>
        <v>1.3941458507986422</v>
      </c>
      <c r="AF29" s="66">
        <f t="shared" si="27"/>
        <v>1.3618199195067646</v>
      </c>
      <c r="AG29" s="66">
        <f t="shared" si="27"/>
        <v>1.3282853885035957</v>
      </c>
      <c r="AH29" s="66">
        <f>AH26-AH27-AH28</f>
        <v>1.2935143166069822</v>
      </c>
      <c r="AJ29" s="66">
        <f>AJ26-AJ27-AJ28</f>
        <v>1.8779766917293235</v>
      </c>
      <c r="AK29" s="66">
        <f t="shared" ref="AK29:BM29" si="28">AK26-AK27-AK28</f>
        <v>1.8909846483120591</v>
      </c>
      <c r="AL29" s="66">
        <f t="shared" si="28"/>
        <v>1.9039808726765708</v>
      </c>
      <c r="AM29" s="66">
        <f t="shared" si="28"/>
        <v>1.916962373108277</v>
      </c>
      <c r="AN29" s="66">
        <f t="shared" si="28"/>
        <v>1.9299260747833069</v>
      </c>
      <c r="AO29" s="66">
        <f t="shared" si="28"/>
        <v>1.9428688180041307</v>
      </c>
      <c r="AP29" s="66">
        <f t="shared" si="28"/>
        <v>1.9557873564017354</v>
      </c>
      <c r="AQ29" s="66">
        <f t="shared" si="28"/>
        <v>1.9686783551037494</v>
      </c>
      <c r="AR29" s="66">
        <f t="shared" si="28"/>
        <v>1.9815383888679108</v>
      </c>
      <c r="AS29" s="66">
        <f t="shared" si="28"/>
        <v>1.9943639401802622</v>
      </c>
      <c r="AT29" s="66">
        <f t="shared" si="28"/>
        <v>2.0071513973174473</v>
      </c>
      <c r="AU29" s="66">
        <f t="shared" si="28"/>
        <v>2.0198970523724653</v>
      </c>
      <c r="AV29" s="66">
        <f t="shared" si="28"/>
        <v>2.0325970992432456</v>
      </c>
      <c r="AW29" s="66">
        <f t="shared" si="28"/>
        <v>2.0452476315833685</v>
      </c>
      <c r="AX29" s="66">
        <f t="shared" si="28"/>
        <v>2.0578446407142774</v>
      </c>
      <c r="AY29" s="66">
        <f t="shared" si="28"/>
        <v>2.0703840134982849</v>
      </c>
      <c r="AZ29" s="66">
        <f t="shared" si="28"/>
        <v>2.0828615301716891</v>
      </c>
      <c r="BA29" s="66">
        <f t="shared" si="28"/>
        <v>2.0952728621372914</v>
      </c>
      <c r="BB29" s="66">
        <f t="shared" si="28"/>
        <v>2.1076135697155958</v>
      </c>
      <c r="BC29" s="66">
        <f t="shared" si="28"/>
        <v>2.1198790998539598</v>
      </c>
      <c r="BD29" s="66">
        <f t="shared" si="28"/>
        <v>2.1320647837929618</v>
      </c>
      <c r="BE29" s="66">
        <f t="shared" si="28"/>
        <v>2.1436092633372672</v>
      </c>
      <c r="BF29" s="66">
        <f t="shared" si="28"/>
        <v>2.1550482953154089</v>
      </c>
      <c r="BG29" s="66">
        <f t="shared" si="28"/>
        <v>2.1663765084283861</v>
      </c>
      <c r="BH29" s="66">
        <f t="shared" si="28"/>
        <v>2.1775883993957605</v>
      </c>
      <c r="BI29" s="66">
        <f t="shared" si="28"/>
        <v>2.1886783302804318</v>
      </c>
      <c r="BJ29" s="66">
        <f t="shared" si="28"/>
        <v>2.1996405257639084</v>
      </c>
      <c r="BK29" s="66">
        <f t="shared" si="28"/>
        <v>2.2104690703711962</v>
      </c>
      <c r="BL29" s="66">
        <f t="shared" si="28"/>
        <v>2.2211579056444348</v>
      </c>
      <c r="BM29" s="66">
        <f t="shared" si="28"/>
        <v>2.231700827264373</v>
      </c>
      <c r="BN29" s="66">
        <f>BN26-BN27-BN28</f>
        <v>2.2420914821187692</v>
      </c>
    </row>
    <row r="30" spans="1:75" s="67" customFormat="1" outlineLevel="1" x14ac:dyDescent="0.2">
      <c r="A30" s="58" t="s">
        <v>205</v>
      </c>
      <c r="B30" s="58" t="s">
        <v>199</v>
      </c>
      <c r="C30" s="59" t="s">
        <v>153</v>
      </c>
      <c r="D30" s="580">
        <f>'Demand Breakdown - C4'!O29</f>
        <v>0.15963789473684212</v>
      </c>
      <c r="E30" s="580">
        <f>D30*(1+'Demand Breakdown - C4'!$K$29)</f>
        <v>0.16191917264627823</v>
      </c>
      <c r="F30" s="580">
        <f>E30*(1+'Demand Breakdown - C4'!$K$29)</f>
        <v>0.16423305076576258</v>
      </c>
      <c r="G30" s="580">
        <f>F30*(1+'Demand Breakdown - C4'!$K$29)</f>
        <v>0.16657999496299628</v>
      </c>
      <c r="H30" s="580">
        <f>G30*(1+'Demand Breakdown - C4'!$K$29)</f>
        <v>0.16896047776308271</v>
      </c>
      <c r="I30" s="580">
        <f>H30*(1+'Demand Breakdown - C4'!$K$29)</f>
        <v>0.17137497844366414</v>
      </c>
      <c r="J30" s="580">
        <f>I30*(1+'Demand Breakdown - C4'!$K$29)</f>
        <v>0.17382398313141761</v>
      </c>
      <c r="K30" s="580">
        <f>J30*(1+'Demand Breakdown - C4'!$K$29)</f>
        <v>0.17630798489992994</v>
      </c>
      <c r="L30" s="580">
        <f>K30*(1+'Demand Breakdown - C4'!$K$29)</f>
        <v>0.17882748386897129</v>
      </c>
      <c r="M30" s="580">
        <f>L30*(1+'Demand Breakdown - C4'!$K$29)</f>
        <v>0.18138298730518754</v>
      </c>
      <c r="N30" s="580">
        <f>M30*(1+'Demand Breakdown - C4'!$K$29)</f>
        <v>0.18397500972423136</v>
      </c>
      <c r="O30" s="580">
        <f>N30*(1+'Demand Breakdown - C4'!$K$29)</f>
        <v>0.18660407299435305</v>
      </c>
      <c r="P30" s="580">
        <f>O30*(1+'Demand Breakdown - C4'!$K$29)</f>
        <v>0.1892707064414714</v>
      </c>
      <c r="Q30" s="580">
        <f>P30*(1+'Demand Breakdown - C4'!$K$29)</f>
        <v>0.19197544695574634</v>
      </c>
      <c r="R30" s="580">
        <f>Q30*(1+'Demand Breakdown - C4'!$K$29)</f>
        <v>0.19471883909967441</v>
      </c>
      <c r="S30" s="580">
        <f>R30*(1+'Demand Breakdown - C4'!$K$29)</f>
        <v>0.19750143521772892</v>
      </c>
      <c r="T30" s="580">
        <f>S30*(1+'Demand Breakdown - C4'!$K$29)</f>
        <v>0.20032379554756702</v>
      </c>
      <c r="U30" s="580">
        <f>T30*(1+'Demand Breakdown - C4'!$K$29)</f>
        <v>0.20318648833282582</v>
      </c>
      <c r="V30" s="580">
        <f>U30*(1+'Demand Breakdown - C4'!$K$29)</f>
        <v>0.20609008993753053</v>
      </c>
      <c r="W30" s="580">
        <f>V30*(1+'Demand Breakdown - C4'!$K$29)</f>
        <v>0.20903518496213741</v>
      </c>
      <c r="X30" s="580">
        <f>W30*(1+'Demand Breakdown - C4'!$K$29)</f>
        <v>0.21202236636123514</v>
      </c>
      <c r="Y30" s="580">
        <f>X30*(1+'Demand Breakdown - C4'!$K$29)</f>
        <v>0.21505223556292807</v>
      </c>
      <c r="Z30" s="580">
        <f>Y30*(1+'Demand Breakdown - C4'!$K$29)</f>
        <v>0.21812540258992555</v>
      </c>
      <c r="AA30" s="580">
        <f>Z30*(1+'Demand Breakdown - C4'!$K$29)</f>
        <v>0.22124248618236167</v>
      </c>
      <c r="AB30" s="580">
        <f>AA30*(1+'Demand Breakdown - C4'!$K$29)</f>
        <v>0.22440411392237011</v>
      </c>
      <c r="AC30" s="580">
        <f>AB30*(1+'Demand Breakdown - C4'!$K$29)</f>
        <v>0.2276109223604392</v>
      </c>
      <c r="AD30" s="580">
        <f>AC30*(1+'Demand Breakdown - C4'!$K$29)</f>
        <v>0.23086355714357265</v>
      </c>
      <c r="AE30" s="580">
        <f>AD30*(1+'Demand Breakdown - C4'!$K$29)</f>
        <v>0.23416267314528177</v>
      </c>
      <c r="AF30" s="580">
        <f>AE30*(1+'Demand Breakdown - C4'!$K$29)</f>
        <v>0.23750893459743533</v>
      </c>
      <c r="AG30" s="580">
        <f>AF30*(1+'Demand Breakdown - C4'!$K$29)</f>
        <v>0.24090301522399343</v>
      </c>
      <c r="AH30" s="580">
        <f>AG30*(1+'Demand Breakdown - C4'!$K$29)</f>
        <v>0.24434559837665271</v>
      </c>
      <c r="AJ30" s="580">
        <f>D30</f>
        <v>0.15963789473684212</v>
      </c>
      <c r="AK30" s="580">
        <f t="shared" ref="AK30:BN30" si="29">E30</f>
        <v>0.16191917264627823</v>
      </c>
      <c r="AL30" s="580">
        <f t="shared" si="29"/>
        <v>0.16423305076576258</v>
      </c>
      <c r="AM30" s="580">
        <f t="shared" si="29"/>
        <v>0.16657999496299628</v>
      </c>
      <c r="AN30" s="580">
        <f t="shared" si="29"/>
        <v>0.16896047776308271</v>
      </c>
      <c r="AO30" s="580">
        <f t="shared" si="29"/>
        <v>0.17137497844366414</v>
      </c>
      <c r="AP30" s="580">
        <f t="shared" si="29"/>
        <v>0.17382398313141761</v>
      </c>
      <c r="AQ30" s="580">
        <f t="shared" si="29"/>
        <v>0.17630798489992994</v>
      </c>
      <c r="AR30" s="580">
        <f t="shared" si="29"/>
        <v>0.17882748386897129</v>
      </c>
      <c r="AS30" s="580">
        <f t="shared" si="29"/>
        <v>0.18138298730518754</v>
      </c>
      <c r="AT30" s="580">
        <f t="shared" si="29"/>
        <v>0.18397500972423136</v>
      </c>
      <c r="AU30" s="580">
        <f t="shared" si="29"/>
        <v>0.18660407299435305</v>
      </c>
      <c r="AV30" s="580">
        <f t="shared" si="29"/>
        <v>0.1892707064414714</v>
      </c>
      <c r="AW30" s="580">
        <f t="shared" si="29"/>
        <v>0.19197544695574634</v>
      </c>
      <c r="AX30" s="580">
        <f t="shared" si="29"/>
        <v>0.19471883909967441</v>
      </c>
      <c r="AY30" s="580">
        <f t="shared" si="29"/>
        <v>0.19750143521772892</v>
      </c>
      <c r="AZ30" s="580">
        <f t="shared" si="29"/>
        <v>0.20032379554756702</v>
      </c>
      <c r="BA30" s="580">
        <f t="shared" si="29"/>
        <v>0.20318648833282582</v>
      </c>
      <c r="BB30" s="580">
        <f t="shared" si="29"/>
        <v>0.20609008993753053</v>
      </c>
      <c r="BC30" s="580">
        <f t="shared" si="29"/>
        <v>0.20903518496213741</v>
      </c>
      <c r="BD30" s="580">
        <f t="shared" si="29"/>
        <v>0.21202236636123514</v>
      </c>
      <c r="BE30" s="580">
        <f t="shared" si="29"/>
        <v>0.21505223556292807</v>
      </c>
      <c r="BF30" s="580">
        <f t="shared" si="29"/>
        <v>0.21812540258992555</v>
      </c>
      <c r="BG30" s="580">
        <f t="shared" si="29"/>
        <v>0.22124248618236167</v>
      </c>
      <c r="BH30" s="580">
        <f t="shared" si="29"/>
        <v>0.22440411392237011</v>
      </c>
      <c r="BI30" s="580">
        <f t="shared" si="29"/>
        <v>0.2276109223604392</v>
      </c>
      <c r="BJ30" s="580">
        <f t="shared" si="29"/>
        <v>0.23086355714357265</v>
      </c>
      <c r="BK30" s="580">
        <f t="shared" si="29"/>
        <v>0.23416267314528177</v>
      </c>
      <c r="BL30" s="580">
        <f t="shared" si="29"/>
        <v>0.23750893459743533</v>
      </c>
      <c r="BM30" s="580">
        <f t="shared" si="29"/>
        <v>0.24090301522399343</v>
      </c>
      <c r="BN30" s="580">
        <f t="shared" si="29"/>
        <v>0.24434559837665271</v>
      </c>
    </row>
    <row r="31" spans="1:75" outlineLevel="1" x14ac:dyDescent="0.2">
      <c r="B31" s="61" t="s">
        <v>206</v>
      </c>
      <c r="C31" s="54" t="s">
        <v>153</v>
      </c>
      <c r="D31" s="43">
        <f>D30*'R&amp;S - Apparel'!$C$7*'R&amp;S - Apparel'!$B$13*'R&amp;S - Apparel'!$B$17*(D$3-$D$3)/10</f>
        <v>0</v>
      </c>
      <c r="E31" s="43">
        <f>E30*'R&amp;S - Apparel'!$C$7*'R&amp;S - Apparel'!$B$13*'R&amp;S - Apparel'!$B$17*(E$3-$D$3)/10</f>
        <v>2.833585521309869E-3</v>
      </c>
      <c r="F31" s="43">
        <f>F30*'R&amp;S - Apparel'!$C$7*'R&amp;S - Apparel'!$B$13*'R&amp;S - Apparel'!$B$17*(F$3-$D$3)/10</f>
        <v>5.7481567768016897E-3</v>
      </c>
      <c r="G31" s="43">
        <f>G30*'R&amp;S - Apparel'!$C$7*'R&amp;S - Apparel'!$B$13*'R&amp;S - Apparel'!$B$17*(G$3-$D$3)/10</f>
        <v>8.7454497355573032E-3</v>
      </c>
      <c r="H31" s="43">
        <f>H30*'R&amp;S - Apparel'!$C$7*'R&amp;S - Apparel'!$B$13*'R&amp;S - Apparel'!$B$17*(H$3-$D$3)/10</f>
        <v>1.1827233443415788E-2</v>
      </c>
      <c r="I31" s="43">
        <f>I30*'R&amp;S - Apparel'!$C$7*'R&amp;S - Apparel'!$B$13*'R&amp;S - Apparel'!$B$17*(I$3-$D$3)/10</f>
        <v>1.4995310613820612E-2</v>
      </c>
      <c r="J31" s="43">
        <f>J30*'R&amp;S - Apparel'!$C$7*'R&amp;S - Apparel'!$B$13*'R&amp;S - Apparel'!$B$17*(J$3-$D$3)/10</f>
        <v>1.8251518228798846E-2</v>
      </c>
      <c r="K31" s="43">
        <f>K30*'R&amp;S - Apparel'!$C$7*'R&amp;S - Apparel'!$B$13*'R&amp;S - Apparel'!$B$17*(K$3-$D$3)/10</f>
        <v>2.1597728150241417E-2</v>
      </c>
      <c r="L31" s="43">
        <f>L30*'R&amp;S - Apparel'!$C$7*'R&amp;S - Apparel'!$B$13*'R&amp;S - Apparel'!$B$17*(L$3-$D$3)/10</f>
        <v>2.503584774165598E-2</v>
      </c>
      <c r="M31" s="43">
        <f>M30*'R&amp;S - Apparel'!$C$7*'R&amp;S - Apparel'!$B$13*'R&amp;S - Apparel'!$B$17*(M$3-$D$3)/10</f>
        <v>2.8567820500567036E-2</v>
      </c>
      <c r="N31" s="43">
        <f>N30*'R&amp;S - Apparel'!$C$7*'R&amp;S - Apparel'!$B$13*'R&amp;S - Apparel'!$B$17*(N$3-$D$3)/10</f>
        <v>3.219562670174049E-2</v>
      </c>
      <c r="O31" s="43">
        <f>O30*'R&amp;S - Apparel'!$C$7*'R&amp;S - Apparel'!$B$13*('R&amp;S - Apparel'!$B$17+('R&amp;S - Apparel'!$B$18-'R&amp;S - Apparel'!$B$17)*(O$3-$N$3)/10)</f>
        <v>3.3588733138983549E-2</v>
      </c>
      <c r="P31" s="43">
        <f>P30*'R&amp;S - Apparel'!$C$7*'R&amp;S - Apparel'!$B$13*('R&amp;S - Apparel'!$B$17+('R&amp;S - Apparel'!$B$18-'R&amp;S - Apparel'!$B$17)*(P$3-$N$3)/10)</f>
        <v>3.501508069167221E-2</v>
      </c>
      <c r="Q31" s="43">
        <f>Q30*'R&amp;S - Apparel'!$C$7*'R&amp;S - Apparel'!$B$13*('R&amp;S - Apparel'!$B$17+('R&amp;S - Apparel'!$B$18-'R&amp;S - Apparel'!$B$17)*(Q$3-$N$3)/10)</f>
        <v>3.6475334921591808E-2</v>
      </c>
      <c r="R31" s="43">
        <f>R30*'R&amp;S - Apparel'!$C$7*'R&amp;S - Apparel'!$B$13*('R&amp;S - Apparel'!$B$17+('R&amp;S - Apparel'!$B$18-'R&amp;S - Apparel'!$B$17)*(R$3-$N$3)/10)</f>
        <v>3.7970173624436512E-2</v>
      </c>
      <c r="S31" s="43">
        <f>S30*'R&amp;S - Apparel'!$C$7*'R&amp;S - Apparel'!$B$13*('R&amp;S - Apparel'!$B$17+('R&amp;S - Apparel'!$B$18-'R&amp;S - Apparel'!$B$17)*(S$3-$N$3)/10)</f>
        <v>3.9500287043545787E-2</v>
      </c>
      <c r="T31" s="43">
        <f>T30*'R&amp;S - Apparel'!$C$7*'R&amp;S - Apparel'!$B$13*('R&amp;S - Apparel'!$B$17+('R&amp;S - Apparel'!$B$18-'R&amp;S - Apparel'!$B$17)*(T$3-$N$3)/10)</f>
        <v>4.1066378087251235E-2</v>
      </c>
      <c r="U31" s="43">
        <f>U30*'R&amp;S - Apparel'!$C$7*'R&amp;S - Apparel'!$B$13*('R&amp;S - Apparel'!$B$17+('R&amp;S - Apparel'!$B$18-'R&amp;S - Apparel'!$B$17)*(U$3-$N$3)/10)</f>
        <v>4.2669162549893419E-2</v>
      </c>
      <c r="V31" s="43">
        <f>V30*'R&amp;S - Apparel'!$C$7*'R&amp;S - Apparel'!$B$13*('R&amp;S - Apparel'!$B$17+('R&amp;S - Apparel'!$B$18-'R&amp;S - Apparel'!$B$17)*(V$3-$N$3)/10)</f>
        <v>4.4309369336569066E-2</v>
      </c>
      <c r="W31" s="43">
        <f>W30*'R&amp;S - Apparel'!$C$7*'R&amp;S - Apparel'!$B$13*('R&amp;S - Apparel'!$B$17+('R&amp;S - Apparel'!$B$18-'R&amp;S - Apparel'!$B$17)*(W$3-$N$3)/10)</f>
        <v>4.5987740691670227E-2</v>
      </c>
      <c r="X31" s="43">
        <f>X30*'R&amp;S - Apparel'!$C$7*'R&amp;S - Apparel'!$B$13*('R&amp;S - Apparel'!$B$17+('R&amp;S - Apparel'!$B$18-'R&amp;S - Apparel'!$B$17)*(X$3-$N$3)/10)</f>
        <v>4.7705032431277911E-2</v>
      </c>
      <c r="Y31" s="43">
        <f>Y30*'R&amp;S - Apparel'!$C$7*'R&amp;S - Apparel'!$B$13*('R&amp;S - Apparel'!$B$18+('R&amp;S - Apparel'!$B$19-'R&amp;S - Apparel'!$B$18)*(Y$3-$X$3)/10)</f>
        <v>4.892438359056614E-2</v>
      </c>
      <c r="Z31" s="43">
        <f>Z30*'R&amp;S - Apparel'!$C$7*'R&amp;S - Apparel'!$B$13*('R&amp;S - Apparel'!$B$18+('R&amp;S - Apparel'!$B$19-'R&amp;S - Apparel'!$B$18)*(Z$3-$X$3)/10)</f>
        <v>5.0168842595682876E-2</v>
      </c>
      <c r="AA31" s="43">
        <f>AA30*'R&amp;S - Apparel'!$C$7*'R&amp;S - Apparel'!$B$13*('R&amp;S - Apparel'!$B$18+('R&amp;S - Apparel'!$B$19-'R&amp;S - Apparel'!$B$18)*(AA$3-$X$3)/10)</f>
        <v>5.1438878037399091E-2</v>
      </c>
      <c r="AB31" s="43">
        <f>AB30*'R&amp;S - Apparel'!$C$7*'R&amp;S - Apparel'!$B$13*('R&amp;S - Apparel'!$B$18+('R&amp;S - Apparel'!$B$19-'R&amp;S - Apparel'!$B$18)*(AB$3-$X$3)/10)</f>
        <v>5.2734966771756979E-2</v>
      </c>
      <c r="AC31" s="43">
        <f>AC30*'R&amp;S - Apparel'!$C$7*'R&amp;S - Apparel'!$B$13*('R&amp;S - Apparel'!$B$18+('R&amp;S - Apparel'!$B$19-'R&amp;S - Apparel'!$B$18)*(AC$3-$X$3)/10)</f>
        <v>5.4057594060604307E-2</v>
      </c>
      <c r="AD31" s="43">
        <f>AD30*'R&amp;S - Apparel'!$C$7*'R&amp;S - Apparel'!$B$13*('R&amp;S - Apparel'!$B$18+('R&amp;S - Apparel'!$B$19-'R&amp;S - Apparel'!$B$18)*(AD$3-$X$3)/10)</f>
        <v>5.5407253714457434E-2</v>
      </c>
      <c r="AE31" s="43">
        <f>AE30*'R&amp;S - Apparel'!$C$7*'R&amp;S - Apparel'!$B$13*('R&amp;S - Apparel'!$B$18+('R&amp;S - Apparel'!$B$19-'R&amp;S - Apparel'!$B$18)*(AE$3-$X$3)/10)</f>
        <v>5.6784448237730829E-2</v>
      </c>
      <c r="AF31" s="43">
        <f>AF30*'R&amp;S - Apparel'!$C$7*'R&amp;S - Apparel'!$B$13*('R&amp;S - Apparel'!$B$18+('R&amp;S - Apparel'!$B$19-'R&amp;S - Apparel'!$B$18)*(AF$3-$X$3)/10)</f>
        <v>5.8189688976371653E-2</v>
      </c>
      <c r="AG31" s="43">
        <f>AG30*'R&amp;S - Apparel'!$C$7*'R&amp;S - Apparel'!$B$13*('R&amp;S - Apparel'!$B$18+('R&amp;S - Apparel'!$B$19-'R&amp;S - Apparel'!$B$18)*(AG$3-$X$3)/10)</f>
        <v>5.9623496267938371E-2</v>
      </c>
      <c r="AH31" s="43">
        <f>AH30*'R&amp;S - Apparel'!$C$7*'R&amp;S - Apparel'!$B$13*('R&amp;S - Apparel'!$B$18+('R&amp;S - Apparel'!$B$19-'R&amp;S - Apparel'!$B$18)*(AH$3-$X$3)/10)</f>
        <v>6.1086399594163177E-2</v>
      </c>
      <c r="AJ31" s="43">
        <f>AJ30*'R&amp;S - Apparel'!$C$7*'R&amp;S - Apparel'!$B$14*'R&amp;S - Apparel'!$B$17*(AJ$3-$D$3)/10</f>
        <v>0</v>
      </c>
      <c r="AK31" s="43">
        <f>AK30*'R&amp;S - Apparel'!$C$7*'R&amp;S - Apparel'!$B$14*'R&amp;S - Apparel'!$B$17*(AK$3-$D$3)/10</f>
        <v>1.4167927606549345E-3</v>
      </c>
      <c r="AL31" s="43">
        <f>AL30*'R&amp;S - Apparel'!$C$7*'R&amp;S - Apparel'!$B$14*'R&amp;S - Apparel'!$B$17*(AL$3-$D$3)/10</f>
        <v>2.8740783884008449E-3</v>
      </c>
      <c r="AM31" s="43">
        <f>AM30*'R&amp;S - Apparel'!$C$7*'R&amp;S - Apparel'!$B$14*'R&amp;S - Apparel'!$B$17*(AM$3-$D$3)/10</f>
        <v>4.3727248677786516E-3</v>
      </c>
      <c r="AN31" s="43">
        <f>AN30*'R&amp;S - Apparel'!$C$7*'R&amp;S - Apparel'!$B$14*'R&amp;S - Apparel'!$B$17*(AN$3-$D$3)/10</f>
        <v>5.913616721707894E-3</v>
      </c>
      <c r="AO31" s="43">
        <f>AO30*'R&amp;S - Apparel'!$C$7*'R&amp;S - Apparel'!$B$14*'R&amp;S - Apparel'!$B$17*(AO$3-$D$3)/10</f>
        <v>7.497655306910306E-3</v>
      </c>
      <c r="AP31" s="43">
        <f>AP30*'R&amp;S - Apparel'!$C$7*'R&amp;S - Apparel'!$B$14*'R&amp;S - Apparel'!$B$17*(AP$3-$D$3)/10</f>
        <v>9.1257591143994229E-3</v>
      </c>
      <c r="AQ31" s="43">
        <f>AQ30*'R&amp;S - Apparel'!$C$7*'R&amp;S - Apparel'!$B$14*'R&amp;S - Apparel'!$B$17*(AQ$3-$D$3)/10</f>
        <v>1.0798864075120708E-2</v>
      </c>
      <c r="AR31" s="43">
        <f>AR30*'R&amp;S - Apparel'!$C$7*'R&amp;S - Apparel'!$B$14*'R&amp;S - Apparel'!$B$17*(AR$3-$D$3)/10</f>
        <v>1.251792387082799E-2</v>
      </c>
      <c r="AS31" s="43">
        <f>AS30*'R&amp;S - Apparel'!$C$7*'R&amp;S - Apparel'!$B$14*'R&amp;S - Apparel'!$B$17*(AS$3-$D$3)/10</f>
        <v>1.4283910250283518E-2</v>
      </c>
      <c r="AT31" s="43">
        <f>AT30*'R&amp;S - Apparel'!$C$7*'R&amp;S - Apparel'!$B$14*'R&amp;S - Apparel'!$B$17*(AT$3-$D$3)/10</f>
        <v>1.6097813350870245E-2</v>
      </c>
      <c r="AU31" s="43">
        <f>AU30*'R&amp;S - Apparel'!$C$7*'R&amp;S - Apparel'!$B$14*('R&amp;S - Apparel'!$B$17+('R&amp;S - Apparel'!$B$18-'R&amp;S - Apparel'!$B$17)*(AU$3-$N$3)/10)</f>
        <v>1.6794366569491775E-2</v>
      </c>
      <c r="AV31" s="43">
        <f>AV30*'R&amp;S - Apparel'!$C$7*'R&amp;S - Apparel'!$B$14*('R&amp;S - Apparel'!$B$17+('R&amp;S - Apparel'!$B$18-'R&amp;S - Apparel'!$B$17)*(AV$3-$N$3)/10)</f>
        <v>1.7507540345836105E-2</v>
      </c>
      <c r="AW31" s="43">
        <f>AW30*'R&amp;S - Apparel'!$C$7*'R&amp;S - Apparel'!$B$14*('R&amp;S - Apparel'!$B$17+('R&amp;S - Apparel'!$B$18-'R&amp;S - Apparel'!$B$17)*(AW$3-$N$3)/10)</f>
        <v>1.8237667460795904E-2</v>
      </c>
      <c r="AX31" s="43">
        <f>AX30*'R&amp;S - Apparel'!$C$7*'R&amp;S - Apparel'!$B$14*('R&amp;S - Apparel'!$B$17+('R&amp;S - Apparel'!$B$18-'R&amp;S - Apparel'!$B$17)*(AX$3-$N$3)/10)</f>
        <v>1.8985086812218256E-2</v>
      </c>
      <c r="AY31" s="43">
        <f>AY30*'R&amp;S - Apparel'!$C$7*'R&amp;S - Apparel'!$B$14*('R&amp;S - Apparel'!$B$17+('R&amp;S - Apparel'!$B$18-'R&amp;S - Apparel'!$B$17)*(AY$3-$N$3)/10)</f>
        <v>1.9750143521772894E-2</v>
      </c>
      <c r="AZ31" s="43">
        <f>AZ30*'R&amp;S - Apparel'!$C$7*'R&amp;S - Apparel'!$B$14*('R&amp;S - Apparel'!$B$17+('R&amp;S - Apparel'!$B$18-'R&amp;S - Apparel'!$B$17)*(AZ$3-$N$3)/10)</f>
        <v>2.0533189043625617E-2</v>
      </c>
      <c r="BA31" s="43">
        <f>BA30*'R&amp;S - Apparel'!$C$7*'R&amp;S - Apparel'!$B$14*('R&amp;S - Apparel'!$B$17+('R&amp;S - Apparel'!$B$18-'R&amp;S - Apparel'!$B$17)*(BA$3-$N$3)/10)</f>
        <v>2.133458127494671E-2</v>
      </c>
      <c r="BB31" s="43">
        <f>BB30*'R&amp;S - Apparel'!$C$7*'R&amp;S - Apparel'!$B$14*('R&amp;S - Apparel'!$B$17+('R&amp;S - Apparel'!$B$18-'R&amp;S - Apparel'!$B$17)*(BB$3-$N$3)/10)</f>
        <v>2.2154684668284533E-2</v>
      </c>
      <c r="BC31" s="43">
        <f>BC30*'R&amp;S - Apparel'!$C$7*'R&amp;S - Apparel'!$B$14*('R&amp;S - Apparel'!$B$17+('R&amp;S - Apparel'!$B$18-'R&amp;S - Apparel'!$B$17)*(BC$3-$N$3)/10)</f>
        <v>2.2993870345835114E-2</v>
      </c>
      <c r="BD31" s="43">
        <f>BD30*'R&amp;S - Apparel'!$C$7*'R&amp;S - Apparel'!$B$14*('R&amp;S - Apparel'!$B$17+('R&amp;S - Apparel'!$B$18-'R&amp;S - Apparel'!$B$17)*(BD$3-$N$3)/10)</f>
        <v>2.3852516215638955E-2</v>
      </c>
      <c r="BE31" s="43">
        <f>BE30*'R&amp;S - Apparel'!$C$7*'R&amp;S - Apparel'!$B$14*('R&amp;S - Apparel'!$B$18+('R&amp;S - Apparel'!$B$19-'R&amp;S - Apparel'!$B$18)*(BE$3-$X$3)/10)</f>
        <v>2.446219179528307E-2</v>
      </c>
      <c r="BF31" s="43">
        <f>BF30*'R&amp;S - Apparel'!$C$7*'R&amp;S - Apparel'!$B$14*('R&amp;S - Apparel'!$B$18+('R&amp;S - Apparel'!$B$19-'R&amp;S - Apparel'!$B$18)*(BF$3-$X$3)/10)</f>
        <v>2.5084421297841438E-2</v>
      </c>
      <c r="BG31" s="43">
        <f>BG30*'R&amp;S - Apparel'!$C$7*'R&amp;S - Apparel'!$B$14*('R&amp;S - Apparel'!$B$18+('R&amp;S - Apparel'!$B$19-'R&amp;S - Apparel'!$B$18)*(BG$3-$X$3)/10)</f>
        <v>2.5719439018699546E-2</v>
      </c>
      <c r="BH31" s="43">
        <f>BH30*'R&amp;S - Apparel'!$C$7*'R&amp;S - Apparel'!$B$14*('R&amp;S - Apparel'!$B$18+('R&amp;S - Apparel'!$B$19-'R&amp;S - Apparel'!$B$18)*(BH$3-$X$3)/10)</f>
        <v>2.6367483385878489E-2</v>
      </c>
      <c r="BI31" s="43">
        <f>BI30*'R&amp;S - Apparel'!$C$7*'R&amp;S - Apparel'!$B$14*('R&amp;S - Apparel'!$B$18+('R&amp;S - Apparel'!$B$19-'R&amp;S - Apparel'!$B$18)*(BI$3-$X$3)/10)</f>
        <v>2.7028797030302153E-2</v>
      </c>
      <c r="BJ31" s="43">
        <f>BJ30*'R&amp;S - Apparel'!$C$7*'R&amp;S - Apparel'!$B$14*('R&amp;S - Apparel'!$B$18+('R&amp;S - Apparel'!$B$19-'R&amp;S - Apparel'!$B$18)*(BJ$3-$X$3)/10)</f>
        <v>2.7703626857228717E-2</v>
      </c>
      <c r="BK31" s="43">
        <f>BK30*'R&amp;S - Apparel'!$C$7*'R&amp;S - Apparel'!$B$14*('R&amp;S - Apparel'!$B$18+('R&amp;S - Apparel'!$B$19-'R&amp;S - Apparel'!$B$18)*(BK$3-$X$3)/10)</f>
        <v>2.8392224118865415E-2</v>
      </c>
      <c r="BL31" s="43">
        <f>BL30*'R&amp;S - Apparel'!$C$7*'R&amp;S - Apparel'!$B$14*('R&amp;S - Apparel'!$B$18+('R&amp;S - Apparel'!$B$19-'R&amp;S - Apparel'!$B$18)*(BL$3-$X$3)/10)</f>
        <v>2.9094844488185827E-2</v>
      </c>
      <c r="BM31" s="43">
        <f>BM30*'R&amp;S - Apparel'!$C$7*'R&amp;S - Apparel'!$B$14*('R&amp;S - Apparel'!$B$18+('R&amp;S - Apparel'!$B$19-'R&amp;S - Apparel'!$B$18)*(BM$3-$X$3)/10)</f>
        <v>2.9811748133969185E-2</v>
      </c>
      <c r="BN31" s="43">
        <f>BN30*'R&amp;S - Apparel'!$C$7*'R&amp;S - Apparel'!$B$14*('R&amp;S - Apparel'!$B$18+('R&amp;S - Apparel'!$B$19-'R&amp;S - Apparel'!$B$18)*(BN$3-$X$3)/10)</f>
        <v>3.0543199797081588E-2</v>
      </c>
    </row>
    <row r="32" spans="1:75" outlineLevel="1" x14ac:dyDescent="0.2">
      <c r="B32" s="61" t="s">
        <v>207</v>
      </c>
      <c r="C32" s="54" t="s">
        <v>153</v>
      </c>
      <c r="D32" s="43">
        <f>D30*'R&amp;S - Apparel'!$C$8*'R&amp;S - Apparel'!$B$13*'R&amp;S - Apparel'!$C$17*(D$3-$D$3)/10</f>
        <v>0</v>
      </c>
      <c r="E32" s="43">
        <f>E30*'R&amp;S - Apparel'!$C$8*'R&amp;S - Apparel'!$B$13*'R&amp;S - Apparel'!$C$17*(E$3-$D$3)/10</f>
        <v>1.1010503739946921E-3</v>
      </c>
      <c r="F32" s="43">
        <f>F30*'R&amp;S - Apparel'!$C$8*'R&amp;S - Apparel'!$B$13*'R&amp;S - Apparel'!$C$17*(F$3-$D$3)/10</f>
        <v>2.2335694904143714E-3</v>
      </c>
      <c r="G32" s="43">
        <f>G30*'R&amp;S - Apparel'!$C$8*'R&amp;S - Apparel'!$B$13*'R&amp;S - Apparel'!$C$17*(G$3-$D$3)/10</f>
        <v>3.3982318972451244E-3</v>
      </c>
      <c r="H32" s="43">
        <f>H30*'R&amp;S - Apparel'!$C$8*'R&amp;S - Apparel'!$B$13*'R&amp;S - Apparel'!$C$17*(H$3-$D$3)/10</f>
        <v>4.5957249951558508E-3</v>
      </c>
      <c r="I32" s="43">
        <f>I30*'R&amp;S - Apparel'!$C$8*'R&amp;S - Apparel'!$B$13*'R&amp;S - Apparel'!$C$17*(I$3-$D$3)/10</f>
        <v>5.8267492670845819E-3</v>
      </c>
      <c r="J32" s="43">
        <f>J30*'R&amp;S - Apparel'!$C$8*'R&amp;S - Apparel'!$B$13*'R&amp;S - Apparel'!$C$17*(J$3-$D$3)/10</f>
        <v>7.0920185117618398E-3</v>
      </c>
      <c r="K32" s="43">
        <f>K30*'R&amp;S - Apparel'!$C$8*'R&amp;S - Apparel'!$B$13*'R&amp;S - Apparel'!$C$17*(K$3-$D$3)/10</f>
        <v>8.3922600812366653E-3</v>
      </c>
      <c r="L32" s="43">
        <f>L30*'R&amp;S - Apparel'!$C$8*'R&amp;S - Apparel'!$B$13*'R&amp;S - Apparel'!$C$17*(L$3-$D$3)/10</f>
        <v>9.7282151224720396E-3</v>
      </c>
      <c r="M32" s="43">
        <f>M30*'R&amp;S - Apparel'!$C$8*'R&amp;S - Apparel'!$B$13*'R&amp;S - Apparel'!$C$17*(M$3-$D$3)/10</f>
        <v>1.1100638823077479E-2</v>
      </c>
      <c r="N32" s="43">
        <f>N30*'R&amp;S - Apparel'!$C$8*'R&amp;S - Apparel'!$B$13*'R&amp;S - Apparel'!$C$17*(N$3-$D$3)/10</f>
        <v>1.2510300661247734E-2</v>
      </c>
      <c r="O32" s="43">
        <f>O30*'R&amp;S - Apparel'!$C$8*'R&amp;S - Apparel'!$B$13*('R&amp;S - Apparel'!$C$17+('R&amp;S - Apparel'!$C$18-'R&amp;S - Apparel'!$C$17)*(O$3-$N$3)/10)</f>
        <v>1.459243850815841E-2</v>
      </c>
      <c r="P32" s="43">
        <f>P30*'R&amp;S - Apparel'!$C$8*'R&amp;S - Apparel'!$B$13*('R&amp;S - Apparel'!$C$17+('R&amp;S - Apparel'!$C$18-'R&amp;S - Apparel'!$C$17)*(P$3-$N$3)/10)</f>
        <v>1.6731530449426074E-2</v>
      </c>
      <c r="Q32" s="43">
        <f>Q30*'R&amp;S - Apparel'!$C$8*'R&amp;S - Apparel'!$B$13*('R&amp;S - Apparel'!$C$17+('R&amp;S - Apparel'!$C$18-'R&amp;S - Apparel'!$C$17)*(Q$3-$N$3)/10)</f>
        <v>1.8928779069836591E-2</v>
      </c>
      <c r="R32" s="43">
        <f>R30*'R&amp;S - Apparel'!$C$8*'R&amp;S - Apparel'!$B$13*('R&amp;S - Apparel'!$C$17+('R&amp;S - Apparel'!$C$18-'R&amp;S - Apparel'!$C$17)*(R$3-$N$3)/10)</f>
        <v>2.1185409694044581E-2</v>
      </c>
      <c r="S32" s="43">
        <f>S30*'R&amp;S - Apparel'!$C$8*'R&amp;S - Apparel'!$B$13*('R&amp;S - Apparel'!$C$17+('R&amp;S - Apparel'!$C$18-'R&amp;S - Apparel'!$C$17)*(S$3-$N$3)/10)</f>
        <v>2.3502670790909744E-2</v>
      </c>
      <c r="T32" s="43">
        <f>T30*'R&amp;S - Apparel'!$C$8*'R&amp;S - Apparel'!$B$13*('R&amp;S - Apparel'!$C$17+('R&amp;S - Apparel'!$C$18-'R&amp;S - Apparel'!$C$17)*(T$3-$N$3)/10)</f>
        <v>2.5881834384745662E-2</v>
      </c>
      <c r="U32" s="43">
        <f>U30*'R&amp;S - Apparel'!$C$8*'R&amp;S - Apparel'!$B$13*('R&amp;S - Apparel'!$C$17+('R&amp;S - Apparel'!$C$18-'R&amp;S - Apparel'!$C$17)*(U$3-$N$3)/10)</f>
        <v>2.8324196473595922E-2</v>
      </c>
      <c r="V32" s="43">
        <f>V30*'R&amp;S - Apparel'!$C$8*'R&amp;S - Apparel'!$B$13*('R&amp;S - Apparel'!$C$17+('R&amp;S - Apparel'!$C$18-'R&amp;S - Apparel'!$C$17)*(V$3-$N$3)/10)</f>
        <v>3.0831077454654569E-2</v>
      </c>
      <c r="W32" s="43">
        <f>W30*'R&amp;S - Apparel'!$C$8*'R&amp;S - Apparel'!$B$13*('R&amp;S - Apparel'!$C$17+('R&amp;S - Apparel'!$C$18-'R&amp;S - Apparel'!$C$17)*(W$3-$N$3)/10)</f>
        <v>3.3403822556949556E-2</v>
      </c>
      <c r="X32" s="43">
        <f>X30*'R&amp;S - Apparel'!$C$8*'R&amp;S - Apparel'!$B$13*('R&amp;S - Apparel'!$C$17+('R&amp;S - Apparel'!$C$18-'R&amp;S - Apparel'!$C$17)*(X$3-$N$3)/10)</f>
        <v>3.6043802281409978E-2</v>
      </c>
      <c r="Y32" s="43">
        <f>Y30*'R&amp;S - Apparel'!$C$8*'R&amp;S - Apparel'!$B$13*('R&amp;S - Apparel'!$C$18+('R&amp;S - Apparel'!$C$19-'R&amp;S - Apparel'!$C$18)*(Y$3-$X$3)/10)</f>
        <v>4.0214768050267552E-2</v>
      </c>
      <c r="Z32" s="43">
        <f>Z30*'R&amp;S - Apparel'!$C$8*'R&amp;S - Apparel'!$B$13*('R&amp;S - Apparel'!$C$18+('R&amp;S - Apparel'!$C$19-'R&amp;S - Apparel'!$C$18)*(Z$3-$X$3)/10)</f>
        <v>4.4497582128344808E-2</v>
      </c>
      <c r="AA32" s="43">
        <f>AA30*'R&amp;S - Apparel'!$C$8*'R&amp;S - Apparel'!$B$13*('R&amp;S - Apparel'!$C$18+('R&amp;S - Apparel'!$C$19-'R&amp;S - Apparel'!$C$18)*(AA$3-$X$3)/10)</f>
        <v>4.8894589446301935E-2</v>
      </c>
      <c r="AB32" s="43">
        <f>AB30*'R&amp;S - Apparel'!$C$8*'R&amp;S - Apparel'!$B$13*('R&amp;S - Apparel'!$C$18+('R&amp;S - Apparel'!$C$19-'R&amp;S - Apparel'!$C$18)*(AB$3-$X$3)/10)</f>
        <v>5.3408179113524086E-2</v>
      </c>
      <c r="AC32" s="43">
        <f>AC30*'R&amp;S - Apparel'!$C$8*'R&amp;S - Apparel'!$B$13*('R&amp;S - Apparel'!$C$18+('R&amp;S - Apparel'!$C$19-'R&amp;S - Apparel'!$C$18)*(AC$3-$X$3)/10)</f>
        <v>5.8040785201911999E-2</v>
      </c>
      <c r="AD32" s="43">
        <f>AD30*'R&amp;S - Apparel'!$C$8*'R&amp;S - Apparel'!$B$13*('R&amp;S - Apparel'!$C$18+('R&amp;S - Apparel'!$C$19-'R&amp;S - Apparel'!$C$18)*(AD$3-$X$3)/10)</f>
        <v>6.2794887543051778E-2</v>
      </c>
      <c r="AE32" s="43">
        <f>AE30*'R&amp;S - Apparel'!$C$8*'R&amp;S - Apparel'!$B$13*('R&amp;S - Apparel'!$C$18+('R&amp;S - Apparel'!$C$19-'R&amp;S - Apparel'!$C$18)*(AE$3-$X$3)/10)</f>
        <v>6.7673012538986443E-2</v>
      </c>
      <c r="AF32" s="43">
        <f>AF30*'R&amp;S - Apparel'!$C$8*'R&amp;S - Apparel'!$B$13*('R&amp;S - Apparel'!$C$18+('R&amp;S - Apparel'!$C$19-'R&amp;S - Apparel'!$C$18)*(AF$3-$X$3)/10)</f>
        <v>7.2677733986815221E-2</v>
      </c>
      <c r="AG32" s="43">
        <f>AG30*'R&amp;S - Apparel'!$C$8*'R&amp;S - Apparel'!$B$13*('R&amp;S - Apparel'!$C$18+('R&amp;S - Apparel'!$C$19-'R&amp;S - Apparel'!$C$18)*(AG$3-$X$3)/10)</f>
        <v>7.7811673917349888E-2</v>
      </c>
      <c r="AH32" s="43">
        <f>AH30*'R&amp;S - Apparel'!$C$8*'R&amp;S - Apparel'!$B$13*('R&amp;S - Apparel'!$C$18+('R&amp;S - Apparel'!$C$19-'R&amp;S - Apparel'!$C$18)*(AH$3-$X$3)/10)</f>
        <v>8.3077503448061932E-2</v>
      </c>
      <c r="AJ32" s="43">
        <f>AJ30*'R&amp;S - Apparel'!$C$8*'R&amp;S - Apparel'!$B$14*'R&amp;S - Apparel'!$C$17*(AJ$3-$D$3)/10</f>
        <v>0</v>
      </c>
      <c r="AK32" s="43">
        <f>AK30*'R&amp;S - Apparel'!$C$8*'R&amp;S - Apparel'!$B$14*'R&amp;S - Apparel'!$C$17*(AK$3-$D$3)/10</f>
        <v>5.5052518699734605E-4</v>
      </c>
      <c r="AL32" s="43">
        <f>AL30*'R&amp;S - Apparel'!$C$8*'R&amp;S - Apparel'!$B$14*'R&amp;S - Apparel'!$C$17*(AL$3-$D$3)/10</f>
        <v>1.1167847452071857E-3</v>
      </c>
      <c r="AM32" s="43">
        <f>AM30*'R&amp;S - Apparel'!$C$8*'R&amp;S - Apparel'!$B$14*'R&amp;S - Apparel'!$C$17*(AM$3-$D$3)/10</f>
        <v>1.6991159486225622E-3</v>
      </c>
      <c r="AN32" s="43">
        <f>AN30*'R&amp;S - Apparel'!$C$8*'R&amp;S - Apparel'!$B$14*'R&amp;S - Apparel'!$C$17*(AN$3-$D$3)/10</f>
        <v>2.2978624975779254E-3</v>
      </c>
      <c r="AO32" s="43">
        <f>AO30*'R&amp;S - Apparel'!$C$8*'R&amp;S - Apparel'!$B$14*'R&amp;S - Apparel'!$C$17*(AO$3-$D$3)/10</f>
        <v>2.9133746335422909E-3</v>
      </c>
      <c r="AP32" s="43">
        <f>AP30*'R&amp;S - Apparel'!$C$8*'R&amp;S - Apparel'!$B$14*'R&amp;S - Apparel'!$C$17*(AP$3-$D$3)/10</f>
        <v>3.5460092558809199E-3</v>
      </c>
      <c r="AQ32" s="43">
        <f>AQ30*'R&amp;S - Apparel'!$C$8*'R&amp;S - Apparel'!$B$14*'R&amp;S - Apparel'!$C$17*(AQ$3-$D$3)/10</f>
        <v>4.1961300406183327E-3</v>
      </c>
      <c r="AR32" s="43">
        <f>AR30*'R&amp;S - Apparel'!$C$8*'R&amp;S - Apparel'!$B$14*'R&amp;S - Apparel'!$C$17*(AR$3-$D$3)/10</f>
        <v>4.8641075612360198E-3</v>
      </c>
      <c r="AS32" s="43">
        <f>AS30*'R&amp;S - Apparel'!$C$8*'R&amp;S - Apparel'!$B$14*'R&amp;S - Apparel'!$C$17*(AS$3-$D$3)/10</f>
        <v>5.5503194115387395E-3</v>
      </c>
      <c r="AT32" s="43">
        <f>AT30*'R&amp;S - Apparel'!$C$8*'R&amp;S - Apparel'!$B$14*'R&amp;S - Apparel'!$C$17*(AT$3-$D$3)/10</f>
        <v>6.2551503306238669E-3</v>
      </c>
      <c r="AU32" s="43">
        <f>AU30*'R&amp;S - Apparel'!$C$8*'R&amp;S - Apparel'!$B$14*('R&amp;S - Apparel'!$C$17+('R&amp;S - Apparel'!$C$18-'R&amp;S - Apparel'!$C$17)*(AU$3-$N$3)/10)</f>
        <v>7.2962192540792052E-3</v>
      </c>
      <c r="AV32" s="43">
        <f>AV30*'R&amp;S - Apparel'!$C$8*'R&amp;S - Apparel'!$B$14*('R&amp;S - Apparel'!$C$17+('R&amp;S - Apparel'!$C$18-'R&amp;S - Apparel'!$C$17)*(AV$3-$N$3)/10)</f>
        <v>8.3657652247130371E-3</v>
      </c>
      <c r="AW32" s="43">
        <f>AW30*'R&amp;S - Apparel'!$C$8*'R&amp;S - Apparel'!$B$14*('R&amp;S - Apparel'!$C$17+('R&amp;S - Apparel'!$C$18-'R&amp;S - Apparel'!$C$17)*(AW$3-$N$3)/10)</f>
        <v>9.4643895349182956E-3</v>
      </c>
      <c r="AX32" s="43">
        <f>AX30*'R&amp;S - Apparel'!$C$8*'R&amp;S - Apparel'!$B$14*('R&amp;S - Apparel'!$C$17+('R&amp;S - Apparel'!$C$18-'R&amp;S - Apparel'!$C$17)*(AX$3-$N$3)/10)</f>
        <v>1.0592704847022291E-2</v>
      </c>
      <c r="AY32" s="43">
        <f>AY30*'R&amp;S - Apparel'!$C$8*'R&amp;S - Apparel'!$B$14*('R&amp;S - Apparel'!$C$17+('R&amp;S - Apparel'!$C$18-'R&amp;S - Apparel'!$C$17)*(AY$3-$N$3)/10)</f>
        <v>1.1751335395454872E-2</v>
      </c>
      <c r="AZ32" s="43">
        <f>AZ30*'R&amp;S - Apparel'!$C$8*'R&amp;S - Apparel'!$B$14*('R&amp;S - Apparel'!$C$17+('R&amp;S - Apparel'!$C$18-'R&amp;S - Apparel'!$C$17)*(AZ$3-$N$3)/10)</f>
        <v>1.2940917192372831E-2</v>
      </c>
      <c r="BA32" s="43">
        <f>BA30*'R&amp;S - Apparel'!$C$8*'R&amp;S - Apparel'!$B$14*('R&amp;S - Apparel'!$C$17+('R&amp;S - Apparel'!$C$18-'R&amp;S - Apparel'!$C$17)*(BA$3-$N$3)/10)</f>
        <v>1.4162098236797961E-2</v>
      </c>
      <c r="BB32" s="43">
        <f>BB30*'R&amp;S - Apparel'!$C$8*'R&amp;S - Apparel'!$B$14*('R&amp;S - Apparel'!$C$17+('R&amp;S - Apparel'!$C$18-'R&amp;S - Apparel'!$C$17)*(BB$3-$N$3)/10)</f>
        <v>1.5415538727327285E-2</v>
      </c>
      <c r="BC32" s="43">
        <f>BC30*'R&amp;S - Apparel'!$C$8*'R&amp;S - Apparel'!$B$14*('R&amp;S - Apparel'!$C$17+('R&amp;S - Apparel'!$C$18-'R&amp;S - Apparel'!$C$17)*(BC$3-$N$3)/10)</f>
        <v>1.6701911278474778E-2</v>
      </c>
      <c r="BD32" s="43">
        <f>BD30*'R&amp;S - Apparel'!$C$8*'R&amp;S - Apparel'!$B$14*('R&amp;S - Apparel'!$C$17+('R&amp;S - Apparel'!$C$18-'R&amp;S - Apparel'!$C$17)*(BD$3-$N$3)/10)</f>
        <v>1.8021901140704989E-2</v>
      </c>
      <c r="BE32" s="43">
        <f>BE30*'R&amp;S - Apparel'!$C$8*'R&amp;S - Apparel'!$B$14*('R&amp;S - Apparel'!$C$18+('R&amp;S - Apparel'!$C$19-'R&amp;S - Apparel'!$C$18)*(BE$3-$X$3)/10)</f>
        <v>2.0107384025133776E-2</v>
      </c>
      <c r="BF32" s="43">
        <f>BF30*'R&amp;S - Apparel'!$C$8*'R&amp;S - Apparel'!$B$14*('R&amp;S - Apparel'!$C$18+('R&amp;S - Apparel'!$C$19-'R&amp;S - Apparel'!$C$18)*(BF$3-$X$3)/10)</f>
        <v>2.2248791064172404E-2</v>
      </c>
      <c r="BG32" s="43">
        <f>BG30*'R&amp;S - Apparel'!$C$8*'R&amp;S - Apparel'!$B$14*('R&amp;S - Apparel'!$C$18+('R&amp;S - Apparel'!$C$19-'R&amp;S - Apparel'!$C$18)*(BG$3-$X$3)/10)</f>
        <v>2.4447294723150968E-2</v>
      </c>
      <c r="BH32" s="43">
        <f>BH30*'R&amp;S - Apparel'!$C$8*'R&amp;S - Apparel'!$B$14*('R&amp;S - Apparel'!$C$18+('R&amp;S - Apparel'!$C$19-'R&amp;S - Apparel'!$C$18)*(BH$3-$X$3)/10)</f>
        <v>2.6704089556762043E-2</v>
      </c>
      <c r="BI32" s="43">
        <f>BI30*'R&amp;S - Apparel'!$C$8*'R&amp;S - Apparel'!$B$14*('R&amp;S - Apparel'!$C$18+('R&amp;S - Apparel'!$C$19-'R&amp;S - Apparel'!$C$18)*(BI$3-$X$3)/10)</f>
        <v>2.9020392600955999E-2</v>
      </c>
      <c r="BJ32" s="43">
        <f>BJ30*'R&amp;S - Apparel'!$C$8*'R&amp;S - Apparel'!$B$14*('R&amp;S - Apparel'!$C$18+('R&amp;S - Apparel'!$C$19-'R&amp;S - Apparel'!$C$18)*(BJ$3-$X$3)/10)</f>
        <v>3.1397443771525889E-2</v>
      </c>
      <c r="BK32" s="43">
        <f>BK30*'R&amp;S - Apparel'!$C$8*'R&amp;S - Apparel'!$B$14*('R&amp;S - Apparel'!$C$18+('R&amp;S - Apparel'!$C$19-'R&amp;S - Apparel'!$C$18)*(BK$3-$X$3)/10)</f>
        <v>3.3836506269493222E-2</v>
      </c>
      <c r="BL32" s="43">
        <f>BL30*'R&amp;S - Apparel'!$C$8*'R&amp;S - Apparel'!$B$14*('R&amp;S - Apparel'!$C$18+('R&amp;S - Apparel'!$C$19-'R&amp;S - Apparel'!$C$18)*(BL$3-$X$3)/10)</f>
        <v>3.6338866993407611E-2</v>
      </c>
      <c r="BM32" s="43">
        <f>BM30*'R&amp;S - Apparel'!$C$8*'R&amp;S - Apparel'!$B$14*('R&amp;S - Apparel'!$C$18+('R&amp;S - Apparel'!$C$19-'R&amp;S - Apparel'!$C$18)*(BM$3-$X$3)/10)</f>
        <v>3.8905836958674944E-2</v>
      </c>
      <c r="BN32" s="43">
        <f>BN30*'R&amp;S - Apparel'!$C$8*'R&amp;S - Apparel'!$B$14*('R&amp;S - Apparel'!$C$18+('R&amp;S - Apparel'!$C$19-'R&amp;S - Apparel'!$C$18)*(BN$3-$X$3)/10)</f>
        <v>4.1538751724030966E-2</v>
      </c>
    </row>
    <row r="33" spans="1:66" outlineLevel="1" x14ac:dyDescent="0.2">
      <c r="B33" s="1" t="s">
        <v>168</v>
      </c>
      <c r="C33" s="54" t="s">
        <v>153</v>
      </c>
      <c r="D33" s="43">
        <f>SUM(D31:D32)</f>
        <v>0</v>
      </c>
      <c r="E33" s="43">
        <f>SUM(E31:E32)</f>
        <v>3.9346358953045611E-3</v>
      </c>
      <c r="F33" s="43">
        <f t="shared" ref="F33:AH33" si="30">SUM(F31:F32)</f>
        <v>7.9817262672160615E-3</v>
      </c>
      <c r="G33" s="43">
        <f t="shared" si="30"/>
        <v>1.2143681632802428E-2</v>
      </c>
      <c r="H33" s="43">
        <f t="shared" si="30"/>
        <v>1.6422958438571639E-2</v>
      </c>
      <c r="I33" s="43">
        <f t="shared" si="30"/>
        <v>2.0822059880905193E-2</v>
      </c>
      <c r="J33" s="43">
        <f t="shared" si="30"/>
        <v>2.5343536740560686E-2</v>
      </c>
      <c r="K33" s="43">
        <f t="shared" si="30"/>
        <v>2.9989988231478082E-2</v>
      </c>
      <c r="L33" s="43">
        <f t="shared" si="30"/>
        <v>3.4764062864128017E-2</v>
      </c>
      <c r="M33" s="43">
        <f t="shared" si="30"/>
        <v>3.9668459323644517E-2</v>
      </c>
      <c r="N33" s="43">
        <f t="shared" si="30"/>
        <v>4.4705927362988222E-2</v>
      </c>
      <c r="O33" s="43">
        <f>SUM(O31:O32)</f>
        <v>4.818117164714196E-2</v>
      </c>
      <c r="P33" s="43">
        <f t="shared" si="30"/>
        <v>5.1746611141098284E-2</v>
      </c>
      <c r="Q33" s="43">
        <f t="shared" si="30"/>
        <v>5.5404113991428403E-2</v>
      </c>
      <c r="R33" s="43">
        <f t="shared" si="30"/>
        <v>5.9155583318481093E-2</v>
      </c>
      <c r="S33" s="43">
        <f t="shared" si="30"/>
        <v>6.3002957834455531E-2</v>
      </c>
      <c r="T33" s="43">
        <f t="shared" si="30"/>
        <v>6.6948212471996893E-2</v>
      </c>
      <c r="U33" s="43">
        <f t="shared" si="30"/>
        <v>7.0993359023489341E-2</v>
      </c>
      <c r="V33" s="43">
        <f t="shared" si="30"/>
        <v>7.5140446791223642E-2</v>
      </c>
      <c r="W33" s="43">
        <f t="shared" si="30"/>
        <v>7.939156324861979E-2</v>
      </c>
      <c r="X33" s="43">
        <f t="shared" si="30"/>
        <v>8.3748834712687889E-2</v>
      </c>
      <c r="Y33" s="43">
        <f t="shared" si="30"/>
        <v>8.9139151640833691E-2</v>
      </c>
      <c r="Z33" s="43">
        <f t="shared" si="30"/>
        <v>9.4666424724027684E-2</v>
      </c>
      <c r="AA33" s="43">
        <f t="shared" si="30"/>
        <v>0.10033346748370103</v>
      </c>
      <c r="AB33" s="43">
        <f t="shared" si="30"/>
        <v>0.10614314588528106</v>
      </c>
      <c r="AC33" s="43">
        <f t="shared" si="30"/>
        <v>0.11209837926251631</v>
      </c>
      <c r="AD33" s="43">
        <f t="shared" si="30"/>
        <v>0.11820214125750922</v>
      </c>
      <c r="AE33" s="43">
        <f t="shared" si="30"/>
        <v>0.12445746077671727</v>
      </c>
      <c r="AF33" s="43">
        <f t="shared" si="30"/>
        <v>0.13086742296318687</v>
      </c>
      <c r="AG33" s="43">
        <f t="shared" si="30"/>
        <v>0.13743517018528825</v>
      </c>
      <c r="AH33" s="43">
        <f t="shared" si="30"/>
        <v>0.14416390304222509</v>
      </c>
      <c r="AJ33" s="43">
        <f>SUM(AJ31:AJ32)</f>
        <v>0</v>
      </c>
      <c r="AK33" s="43">
        <f>SUM(AK31:AK32)</f>
        <v>1.9673179476522805E-3</v>
      </c>
      <c r="AL33" s="43">
        <f t="shared" ref="AL33:AT33" si="31">SUM(AL31:AL32)</f>
        <v>3.9908631336080308E-3</v>
      </c>
      <c r="AM33" s="43">
        <f t="shared" si="31"/>
        <v>6.0718408164012142E-3</v>
      </c>
      <c r="AN33" s="43">
        <f t="shared" si="31"/>
        <v>8.2114792192858194E-3</v>
      </c>
      <c r="AO33" s="43">
        <f t="shared" si="31"/>
        <v>1.0411029940452596E-2</v>
      </c>
      <c r="AP33" s="43">
        <f t="shared" si="31"/>
        <v>1.2671768370280343E-2</v>
      </c>
      <c r="AQ33" s="43">
        <f t="shared" si="31"/>
        <v>1.4994994115739041E-2</v>
      </c>
      <c r="AR33" s="43">
        <f t="shared" si="31"/>
        <v>1.7382031432064009E-2</v>
      </c>
      <c r="AS33" s="43">
        <f t="shared" si="31"/>
        <v>1.9834229661822259E-2</v>
      </c>
      <c r="AT33" s="43">
        <f t="shared" si="31"/>
        <v>2.2352963681494111E-2</v>
      </c>
      <c r="AU33" s="43">
        <f>SUM(AU31:AU32)</f>
        <v>2.409058582357098E-2</v>
      </c>
      <c r="AV33" s="43">
        <f t="shared" ref="AV33:BN33" si="32">SUM(AV31:AV32)</f>
        <v>2.5873305570549142E-2</v>
      </c>
      <c r="AW33" s="43">
        <f t="shared" si="32"/>
        <v>2.7702056995714201E-2</v>
      </c>
      <c r="AX33" s="43">
        <f t="shared" si="32"/>
        <v>2.9577791659240547E-2</v>
      </c>
      <c r="AY33" s="43">
        <f t="shared" si="32"/>
        <v>3.1501478917227765E-2</v>
      </c>
      <c r="AZ33" s="43">
        <f t="shared" si="32"/>
        <v>3.3474106235998446E-2</v>
      </c>
      <c r="BA33" s="43">
        <f t="shared" si="32"/>
        <v>3.5496679511744671E-2</v>
      </c>
      <c r="BB33" s="43">
        <f t="shared" si="32"/>
        <v>3.7570223395611821E-2</v>
      </c>
      <c r="BC33" s="43">
        <f t="shared" si="32"/>
        <v>3.9695781624309895E-2</v>
      </c>
      <c r="BD33" s="43">
        <f t="shared" si="32"/>
        <v>4.1874417356343945E-2</v>
      </c>
      <c r="BE33" s="43">
        <f t="shared" si="32"/>
        <v>4.4569575820416846E-2</v>
      </c>
      <c r="BF33" s="43">
        <f t="shared" si="32"/>
        <v>4.7333212362013842E-2</v>
      </c>
      <c r="BG33" s="43">
        <f t="shared" si="32"/>
        <v>5.0166733741850517E-2</v>
      </c>
      <c r="BH33" s="43">
        <f t="shared" si="32"/>
        <v>5.3071572942640532E-2</v>
      </c>
      <c r="BI33" s="43">
        <f t="shared" si="32"/>
        <v>5.6049189631258156E-2</v>
      </c>
      <c r="BJ33" s="43">
        <f t="shared" si="32"/>
        <v>5.9101070628754609E-2</v>
      </c>
      <c r="BK33" s="43">
        <f t="shared" si="32"/>
        <v>6.2228730388358633E-2</v>
      </c>
      <c r="BL33" s="43">
        <f t="shared" si="32"/>
        <v>6.5433711481593437E-2</v>
      </c>
      <c r="BM33" s="43">
        <f t="shared" si="32"/>
        <v>6.8717585092644126E-2</v>
      </c>
      <c r="BN33" s="43">
        <f t="shared" si="32"/>
        <v>7.2081951521112547E-2</v>
      </c>
    </row>
    <row r="34" spans="1:66" outlineLevel="1" x14ac:dyDescent="0.2">
      <c r="B34" s="1" t="s">
        <v>172</v>
      </c>
      <c r="C34" s="54" t="s">
        <v>153</v>
      </c>
      <c r="D34" s="43">
        <f>D30*'R&amp;S - Apparel'!$C$10*'R&amp;S - Apparel'!$B$13*'R&amp;S - Apparel'!$D$17*(D$3-$D$3)/10</f>
        <v>0</v>
      </c>
      <c r="E34" s="43">
        <f>E30*'R&amp;S - Apparel'!$C$10*'R&amp;S - Apparel'!$B$13*'R&amp;S - Apparel'!$D$17*(E$3-$D$3)/10</f>
        <v>1.0686665394654365E-3</v>
      </c>
      <c r="F34" s="43">
        <f>F30*'R&amp;S - Apparel'!$C$10*'R&amp;S - Apparel'!$B$13*'R&amp;S - Apparel'!$D$17*(F$3-$D$3)/10</f>
        <v>2.1678762701080661E-3</v>
      </c>
      <c r="G34" s="43">
        <f>G30*'R&amp;S - Apparel'!$C$10*'R&amp;S - Apparel'!$B$13*'R&amp;S - Apparel'!$D$17*(G$3-$D$3)/10</f>
        <v>3.2982839002673272E-3</v>
      </c>
      <c r="H34" s="43">
        <f>H30*'R&amp;S - Apparel'!$C$10*'R&amp;S - Apparel'!$B$13*'R&amp;S - Apparel'!$D$17*(H$3-$D$3)/10</f>
        <v>4.4605566129453846E-3</v>
      </c>
      <c r="I34" s="43">
        <f>I30*'R&amp;S - Apparel'!$C$10*'R&amp;S - Apparel'!$B$13*'R&amp;S - Apparel'!$D$17*(I$3-$D$3)/10</f>
        <v>5.6553742886409171E-3</v>
      </c>
      <c r="J34" s="43">
        <f>J30*'R&amp;S - Apparel'!$C$10*'R&amp;S - Apparel'!$B$13*'R&amp;S - Apparel'!$D$17*(J$3-$D$3)/10</f>
        <v>6.8834297320041387E-3</v>
      </c>
      <c r="K34" s="43">
        <f>K30*'R&amp;S - Apparel'!$C$10*'R&amp;S - Apparel'!$B$13*'R&amp;S - Apparel'!$D$17*(K$3-$D$3)/10</f>
        <v>8.1454289023767633E-3</v>
      </c>
      <c r="L34" s="43">
        <f>L30*'R&amp;S - Apparel'!$C$10*'R&amp;S - Apparel'!$B$13*'R&amp;S - Apparel'!$D$17*(L$3-$D$3)/10</f>
        <v>9.4420911482816852E-3</v>
      </c>
      <c r="M34" s="43">
        <f>M30*'R&amp;S - Apparel'!$C$10*'R&amp;S - Apparel'!$B$13*'R&amp;S - Apparel'!$D$17*(M$3-$D$3)/10</f>
        <v>1.0774149445928142E-2</v>
      </c>
      <c r="N34" s="43">
        <f>N30*'R&amp;S - Apparel'!$C$10*'R&amp;S - Apparel'!$B$13*'R&amp;S - Apparel'!$D$17*(N$3-$D$3)/10</f>
        <v>1.214235064179927E-2</v>
      </c>
      <c r="O34" s="43">
        <f>O30*'R&amp;S - Apparel'!$C$10*'R&amp;S - Apparel'!$B$13*('R&amp;S - Apparel'!$D$17+('R&amp;S - Apparel'!$D$18-'R&amp;S - Apparel'!$D$17)*(O$3-$N$3)/10)</f>
        <v>1.3547455699390032E-2</v>
      </c>
      <c r="P34" s="43">
        <f>P30*'R&amp;S - Apparel'!$C$10*'R&amp;S - Apparel'!$B$13*('R&amp;S - Apparel'!$D$17+('R&amp;S - Apparel'!$D$18-'R&amp;S - Apparel'!$D$17)*(P$3-$N$3)/10)</f>
        <v>1.4990239950164538E-2</v>
      </c>
      <c r="Q34" s="43">
        <f>Q30*'R&amp;S - Apparel'!$C$10*'R&amp;S - Apparel'!$B$13*('R&amp;S - Apparel'!$D$17+('R&amp;S - Apparel'!$D$18-'R&amp;S - Apparel'!$D$17)*(Q$3-$N$3)/10)</f>
        <v>1.6471493348803039E-2</v>
      </c>
      <c r="R34" s="43">
        <f>R30*'R&amp;S - Apparel'!$C$10*'R&amp;S - Apparel'!$B$13*('R&amp;S - Apparel'!$D$17+('R&amp;S - Apparel'!$D$18-'R&amp;S - Apparel'!$D$17)*(R$3-$N$3)/10)</f>
        <v>1.7992020732809918E-2</v>
      </c>
      <c r="S34" s="43">
        <f>S30*'R&amp;S - Apparel'!$C$10*'R&amp;S - Apparel'!$B$13*('R&amp;S - Apparel'!$D$17+('R&amp;S - Apparel'!$D$18-'R&amp;S - Apparel'!$D$17)*(S$3-$N$3)/10)</f>
        <v>1.9552642086555164E-2</v>
      </c>
      <c r="T34" s="43">
        <f>T30*'R&amp;S - Apparel'!$C$10*'R&amp;S - Apparel'!$B$13*('R&amp;S - Apparel'!$D$17+('R&amp;S - Apparel'!$D$18-'R&amp;S - Apparel'!$D$17)*(T$3-$N$3)/10)</f>
        <v>2.1154192809823079E-2</v>
      </c>
      <c r="U34" s="43">
        <f>U30*'R&amp;S - Apparel'!$C$10*'R&amp;S - Apparel'!$B$13*('R&amp;S - Apparel'!$D$17+('R&amp;S - Apparel'!$D$18-'R&amp;S - Apparel'!$D$17)*(U$3-$N$3)/10)</f>
        <v>2.279752399094306E-2</v>
      </c>
      <c r="V34" s="43">
        <f>V30*'R&amp;S - Apparel'!$C$10*'R&amp;S - Apparel'!$B$13*('R&amp;S - Apparel'!$D$17+('R&amp;S - Apparel'!$D$18-'R&amp;S - Apparel'!$D$17)*(V$3-$N$3)/10)</f>
        <v>2.4483502684578631E-2</v>
      </c>
      <c r="W34" s="43">
        <f>W30*'R&amp;S - Apparel'!$C$10*'R&amp;S - Apparel'!$B$13*('R&amp;S - Apparel'!$D$17+('R&amp;S - Apparel'!$D$18-'R&amp;S - Apparel'!$D$17)*(W$3-$N$3)/10)</f>
        <v>2.6213012194252035E-2</v>
      </c>
      <c r="X34" s="43">
        <f>X30*'R&amp;S - Apparel'!$C$10*'R&amp;S - Apparel'!$B$13*('R&amp;S - Apparel'!$D$17+('R&amp;S - Apparel'!$D$18-'R&amp;S - Apparel'!$D$17)*(X$3-$N$3)/10)</f>
        <v>2.7986952359683039E-2</v>
      </c>
      <c r="Y34" s="43">
        <f>Y30*'R&amp;S - Apparel'!$C$10*'R&amp;S - Apparel'!$B$13*('R&amp;S - Apparel'!$D$18+('R&amp;S - Apparel'!$D$19-'R&amp;S - Apparel'!$D$18)*(Y$3-$X$3)/10)</f>
        <v>2.984925029613442E-2</v>
      </c>
      <c r="Z34" s="43">
        <f>Z30*'R&amp;S - Apparel'!$C$10*'R&amp;S - Apparel'!$B$13*('R&amp;S - Apparel'!$D$18+('R&amp;S - Apparel'!$D$19-'R&amp;S - Apparel'!$D$18)*(Z$3-$X$3)/10)</f>
        <v>3.1759058617093161E-2</v>
      </c>
      <c r="AA34" s="43">
        <f>AA30*'R&amp;S - Apparel'!$C$10*'R&amp;S - Apparel'!$B$13*('R&amp;S - Apparel'!$D$18+('R&amp;S - Apparel'!$D$19-'R&amp;S - Apparel'!$D$18)*(AA$3-$X$3)/10)</f>
        <v>3.371735489419192E-2</v>
      </c>
      <c r="AB34" s="43">
        <f>AB30*'R&amp;S - Apparel'!$C$10*'R&amp;S - Apparel'!$B$13*('R&amp;S - Apparel'!$D$18+('R&amp;S - Apparel'!$D$19-'R&amp;S - Apparel'!$D$18)*(AB$3-$X$3)/10)</f>
        <v>3.5725134936441326E-2</v>
      </c>
      <c r="AC34" s="43">
        <f>AC30*'R&amp;S - Apparel'!$C$10*'R&amp;S - Apparel'!$B$13*('R&amp;S - Apparel'!$D$18+('R&amp;S - Apparel'!$D$19-'R&amp;S - Apparel'!$D$18)*(AC$3-$X$3)/10)</f>
        <v>3.7783413111832913E-2</v>
      </c>
      <c r="AD34" s="43">
        <f>AD30*'R&amp;S - Apparel'!$C$10*'R&amp;S - Apparel'!$B$13*('R&amp;S - Apparel'!$D$18+('R&amp;S - Apparel'!$D$19-'R&amp;S - Apparel'!$D$18)*(AD$3-$X$3)/10)</f>
        <v>3.9893222674409361E-2</v>
      </c>
      <c r="AE34" s="43">
        <f>AE30*'R&amp;S - Apparel'!$C$10*'R&amp;S - Apparel'!$B$13*('R&amp;S - Apparel'!$D$18+('R&amp;S - Apparel'!$D$19-'R&amp;S - Apparel'!$D$18)*(AE$3-$X$3)/10)</f>
        <v>4.2055616096892609E-2</v>
      </c>
      <c r="AF34" s="43">
        <f>AF30*'R&amp;S - Apparel'!$C$10*'R&amp;S - Apparel'!$B$13*('R&amp;S - Apparel'!$D$18+('R&amp;S - Apparel'!$D$19-'R&amp;S - Apparel'!$D$18)*(AF$3-$X$3)/10)</f>
        <v>4.4271665408961942E-2</v>
      </c>
      <c r="AG34" s="43">
        <f>AG30*'R&amp;S - Apparel'!$C$10*'R&amp;S - Apparel'!$B$13*('R&amp;S - Apparel'!$D$18+('R&amp;S - Apparel'!$D$19-'R&amp;S - Apparel'!$D$18)*(AG$3-$X$3)/10)</f>
        <v>4.6542462541275531E-2</v>
      </c>
      <c r="AH34" s="43">
        <f>AH30*'R&amp;S - Apparel'!$C$10*'R&amp;S - Apparel'!$B$13*('R&amp;S - Apparel'!$D$18+('R&amp;S - Apparel'!$D$19-'R&amp;S - Apparel'!$D$18)*(AH$3-$X$3)/10)</f>
        <v>4.8869119675330544E-2</v>
      </c>
      <c r="AJ34" s="43">
        <f>AJ30*'R&amp;S - Apparel'!$C$10*'R&amp;S - Apparel'!$B$14*'R&amp;S - Apparel'!$D$17*(AJ$3-$D$3)/10</f>
        <v>0</v>
      </c>
      <c r="AK34" s="43">
        <f>AK30*'R&amp;S - Apparel'!$C$10*'R&amp;S - Apparel'!$B$14*'R&amp;S - Apparel'!$D$17*(AK$3-$D$3)/10</f>
        <v>5.3433326973271827E-4</v>
      </c>
      <c r="AL34" s="43">
        <f>AL30*'R&amp;S - Apparel'!$C$10*'R&amp;S - Apparel'!$B$14*'R&amp;S - Apparel'!$D$17*(AL$3-$D$3)/10</f>
        <v>1.0839381350540331E-3</v>
      </c>
      <c r="AM34" s="43">
        <f>AM30*'R&amp;S - Apparel'!$C$10*'R&amp;S - Apparel'!$B$14*'R&amp;S - Apparel'!$D$17*(AM$3-$D$3)/10</f>
        <v>1.6491419501336636E-3</v>
      </c>
      <c r="AN34" s="43">
        <f>AN30*'R&amp;S - Apparel'!$C$10*'R&amp;S - Apparel'!$B$14*'R&amp;S - Apparel'!$D$17*(AN$3-$D$3)/10</f>
        <v>2.2302783064726923E-3</v>
      </c>
      <c r="AO34" s="43">
        <f>AO30*'R&amp;S - Apparel'!$C$10*'R&amp;S - Apparel'!$B$14*'R&amp;S - Apparel'!$D$17*(AO$3-$D$3)/10</f>
        <v>2.8276871443204585E-3</v>
      </c>
      <c r="AP34" s="43">
        <f>AP30*'R&amp;S - Apparel'!$C$10*'R&amp;S - Apparel'!$B$14*'R&amp;S - Apparel'!$D$17*(AP$3-$D$3)/10</f>
        <v>3.4417148660020693E-3</v>
      </c>
      <c r="AQ34" s="43">
        <f>AQ30*'R&amp;S - Apparel'!$C$10*'R&amp;S - Apparel'!$B$14*'R&amp;S - Apparel'!$D$17*(AQ$3-$D$3)/10</f>
        <v>4.0727144511883816E-3</v>
      </c>
      <c r="AR34" s="43">
        <f>AR30*'R&amp;S - Apparel'!$C$10*'R&amp;S - Apparel'!$B$14*'R&amp;S - Apparel'!$D$17*(AR$3-$D$3)/10</f>
        <v>4.7210455741408426E-3</v>
      </c>
      <c r="AS34" s="43">
        <f>AS30*'R&amp;S - Apparel'!$C$10*'R&amp;S - Apparel'!$B$14*'R&amp;S - Apparel'!$D$17*(AS$3-$D$3)/10</f>
        <v>5.3870747229640709E-3</v>
      </c>
      <c r="AT34" s="43">
        <f>AT30*'R&amp;S - Apparel'!$C$10*'R&amp;S - Apparel'!$B$14*'R&amp;S - Apparel'!$D$17*(AT$3-$D$3)/10</f>
        <v>6.0711753208996348E-3</v>
      </c>
      <c r="AU34" s="43">
        <f>AU30*'R&amp;S - Apparel'!$C$10*'R&amp;S - Apparel'!$B$14*('R&amp;S - Apparel'!$D$17+('R&amp;S - Apparel'!$D$18-'R&amp;S - Apparel'!$D$17)*(AU$3-$N$3)/10)</f>
        <v>6.773727849695016E-3</v>
      </c>
      <c r="AV34" s="43">
        <f>AV30*'R&amp;S - Apparel'!$C$10*'R&amp;S - Apparel'!$B$14*('R&amp;S - Apparel'!$D$17+('R&amp;S - Apparel'!$D$18-'R&amp;S - Apparel'!$D$17)*(AV$3-$N$3)/10)</f>
        <v>7.495119975082269E-3</v>
      </c>
      <c r="AW34" s="43">
        <f>AW30*'R&amp;S - Apparel'!$C$10*'R&amp;S - Apparel'!$B$14*('R&amp;S - Apparel'!$D$17+('R&amp;S - Apparel'!$D$18-'R&amp;S - Apparel'!$D$17)*(AW$3-$N$3)/10)</f>
        <v>8.2357466744015194E-3</v>
      </c>
      <c r="AX34" s="43">
        <f>AX30*'R&amp;S - Apparel'!$C$10*'R&amp;S - Apparel'!$B$14*('R&amp;S - Apparel'!$D$17+('R&amp;S - Apparel'!$D$18-'R&amp;S - Apparel'!$D$17)*(AX$3-$N$3)/10)</f>
        <v>8.9960103664049589E-3</v>
      </c>
      <c r="AY34" s="43">
        <f>AY30*'R&amp;S - Apparel'!$C$10*'R&amp;S - Apparel'!$B$14*('R&amp;S - Apparel'!$D$17+('R&amp;S - Apparel'!$D$18-'R&amp;S - Apparel'!$D$17)*(AY$3-$N$3)/10)</f>
        <v>9.7763210432775822E-3</v>
      </c>
      <c r="AZ34" s="43">
        <f>AZ30*'R&amp;S - Apparel'!$C$10*'R&amp;S - Apparel'!$B$14*('R&amp;S - Apparel'!$D$17+('R&amp;S - Apparel'!$D$18-'R&amp;S - Apparel'!$D$17)*(AZ$3-$N$3)/10)</f>
        <v>1.0577096404911539E-2</v>
      </c>
      <c r="BA34" s="43">
        <f>BA30*'R&amp;S - Apparel'!$C$10*'R&amp;S - Apparel'!$B$14*('R&amp;S - Apparel'!$D$17+('R&amp;S - Apparel'!$D$18-'R&amp;S - Apparel'!$D$17)*(BA$3-$N$3)/10)</f>
        <v>1.139876199547153E-2</v>
      </c>
      <c r="BB34" s="43">
        <f>BB30*'R&amp;S - Apparel'!$C$10*'R&amp;S - Apparel'!$B$14*('R&amp;S - Apparel'!$D$17+('R&amp;S - Apparel'!$D$18-'R&amp;S - Apparel'!$D$17)*(BB$3-$N$3)/10)</f>
        <v>1.2241751342289315E-2</v>
      </c>
      <c r="BC34" s="43">
        <f>BC30*'R&amp;S - Apparel'!$C$10*'R&amp;S - Apparel'!$B$14*('R&amp;S - Apparel'!$D$17+('R&amp;S - Apparel'!$D$18-'R&amp;S - Apparel'!$D$17)*(BC$3-$N$3)/10)</f>
        <v>1.3106506097126018E-2</v>
      </c>
      <c r="BD34" s="43">
        <f>BD30*'R&amp;S - Apparel'!$C$10*'R&amp;S - Apparel'!$B$14*('R&amp;S - Apparel'!$D$17+('R&amp;S - Apparel'!$D$18-'R&amp;S - Apparel'!$D$17)*(BD$3-$N$3)/10)</f>
        <v>1.399347617984152E-2</v>
      </c>
      <c r="BE34" s="43">
        <f>BE30*'R&amp;S - Apparel'!$C$10*'R&amp;S - Apparel'!$B$14*('R&amp;S - Apparel'!$D$18+('R&amp;S - Apparel'!$D$19-'R&amp;S - Apparel'!$D$18)*(BE$3-$X$3)/10)</f>
        <v>1.492462514806721E-2</v>
      </c>
      <c r="BF34" s="43">
        <f>BF30*'R&amp;S - Apparel'!$C$10*'R&amp;S - Apparel'!$B$14*('R&amp;S - Apparel'!$D$18+('R&amp;S - Apparel'!$D$19-'R&amp;S - Apparel'!$D$18)*(BF$3-$X$3)/10)</f>
        <v>1.5879529308546581E-2</v>
      </c>
      <c r="BG34" s="43">
        <f>BG30*'R&amp;S - Apparel'!$C$10*'R&amp;S - Apparel'!$B$14*('R&amp;S - Apparel'!$D$18+('R&amp;S - Apparel'!$D$19-'R&amp;S - Apparel'!$D$18)*(BG$3-$X$3)/10)</f>
        <v>1.685867744709596E-2</v>
      </c>
      <c r="BH34" s="43">
        <f>BH30*'R&amp;S - Apparel'!$C$10*'R&amp;S - Apparel'!$B$14*('R&amp;S - Apparel'!$D$18+('R&amp;S - Apparel'!$D$19-'R&amp;S - Apparel'!$D$18)*(BH$3-$X$3)/10)</f>
        <v>1.7862567468220663E-2</v>
      </c>
      <c r="BI34" s="43">
        <f>BI30*'R&amp;S - Apparel'!$C$10*'R&amp;S - Apparel'!$B$14*('R&amp;S - Apparel'!$D$18+('R&amp;S - Apparel'!$D$19-'R&amp;S - Apparel'!$D$18)*(BI$3-$X$3)/10)</f>
        <v>1.8891706555916456E-2</v>
      </c>
      <c r="BJ34" s="43">
        <f>BJ30*'R&amp;S - Apparel'!$C$10*'R&amp;S - Apparel'!$B$14*('R&amp;S - Apparel'!$D$18+('R&amp;S - Apparel'!$D$19-'R&amp;S - Apparel'!$D$18)*(BJ$3-$X$3)/10)</f>
        <v>1.994661133720468E-2</v>
      </c>
      <c r="BK34" s="43">
        <f>BK30*'R&amp;S - Apparel'!$C$10*'R&amp;S - Apparel'!$B$14*('R&amp;S - Apparel'!$D$18+('R&amp;S - Apparel'!$D$19-'R&amp;S - Apparel'!$D$18)*(BK$3-$X$3)/10)</f>
        <v>2.1027808048446305E-2</v>
      </c>
      <c r="BL34" s="43">
        <f>BL30*'R&amp;S - Apparel'!$C$10*'R&amp;S - Apparel'!$B$14*('R&amp;S - Apparel'!$D$18+('R&amp;S - Apparel'!$D$19-'R&amp;S - Apparel'!$D$18)*(BL$3-$X$3)/10)</f>
        <v>2.2135832704480971E-2</v>
      </c>
      <c r="BM34" s="43">
        <f>BM30*'R&amp;S - Apparel'!$C$10*'R&amp;S - Apparel'!$B$14*('R&amp;S - Apparel'!$D$18+('R&amp;S - Apparel'!$D$19-'R&amp;S - Apparel'!$D$18)*(BM$3-$X$3)/10)</f>
        <v>2.3271231270637766E-2</v>
      </c>
      <c r="BN34" s="43">
        <f>BN30*'R&amp;S - Apparel'!$C$10*'R&amp;S - Apparel'!$B$14*('R&amp;S - Apparel'!$D$18+('R&amp;S - Apparel'!$D$19-'R&amp;S - Apparel'!$D$18)*(BN$3-$X$3)/10)</f>
        <v>2.4434559837665272E-2</v>
      </c>
    </row>
    <row r="35" spans="1:66" s="68" customFormat="1" outlineLevel="1" x14ac:dyDescent="0.2">
      <c r="A35" s="62"/>
      <c r="B35" s="62" t="s">
        <v>197</v>
      </c>
      <c r="C35" s="283" t="s">
        <v>153</v>
      </c>
      <c r="D35" s="438">
        <f>D30-D33-D34</f>
        <v>0.15963789473684212</v>
      </c>
      <c r="E35" s="438">
        <f t="shared" ref="E35:AG35" si="33">E30-E33-E34</f>
        <v>0.15691587021150821</v>
      </c>
      <c r="F35" s="438">
        <f t="shared" si="33"/>
        <v>0.15408344822843847</v>
      </c>
      <c r="G35" s="438">
        <f t="shared" si="33"/>
        <v>0.15113802942992652</v>
      </c>
      <c r="H35" s="438">
        <f t="shared" si="33"/>
        <v>0.14807696271156567</v>
      </c>
      <c r="I35" s="438">
        <f t="shared" si="33"/>
        <v>0.14489754427411805</v>
      </c>
      <c r="J35" s="438">
        <f t="shared" si="33"/>
        <v>0.14159701665885277</v>
      </c>
      <c r="K35" s="438">
        <f t="shared" si="33"/>
        <v>0.13817256776607509</v>
      </c>
      <c r="L35" s="438">
        <f t="shared" si="33"/>
        <v>0.13462132985656158</v>
      </c>
      <c r="M35" s="438">
        <f t="shared" si="33"/>
        <v>0.13094037853561488</v>
      </c>
      <c r="N35" s="438">
        <f t="shared" si="33"/>
        <v>0.12712673171944386</v>
      </c>
      <c r="O35" s="438">
        <f t="shared" si="33"/>
        <v>0.12487544564782105</v>
      </c>
      <c r="P35" s="438">
        <f t="shared" si="33"/>
        <v>0.1225338553502086</v>
      </c>
      <c r="Q35" s="438">
        <f t="shared" si="33"/>
        <v>0.1200998396155149</v>
      </c>
      <c r="R35" s="438">
        <f t="shared" si="33"/>
        <v>0.1175712350483834</v>
      </c>
      <c r="S35" s="438">
        <f t="shared" si="33"/>
        <v>0.11494583529671823</v>
      </c>
      <c r="T35" s="438">
        <f t="shared" si="33"/>
        <v>0.11222139026574704</v>
      </c>
      <c r="U35" s="438">
        <f t="shared" si="33"/>
        <v>0.1093956053183934</v>
      </c>
      <c r="V35" s="438">
        <f t="shared" si="33"/>
        <v>0.10646614046172825</v>
      </c>
      <c r="W35" s="438">
        <f t="shared" si="33"/>
        <v>0.10343060951926558</v>
      </c>
      <c r="X35" s="438">
        <f t="shared" si="33"/>
        <v>0.10028657928886422</v>
      </c>
      <c r="Y35" s="438">
        <f t="shared" si="33"/>
        <v>9.6063833625959966E-2</v>
      </c>
      <c r="Z35" s="438">
        <f t="shared" si="33"/>
        <v>9.1699919248804704E-2</v>
      </c>
      <c r="AA35" s="438">
        <f t="shared" si="33"/>
        <v>8.7191663804468716E-2</v>
      </c>
      <c r="AB35" s="438">
        <f t="shared" si="33"/>
        <v>8.2535833100647715E-2</v>
      </c>
      <c r="AC35" s="438">
        <f t="shared" si="33"/>
        <v>7.7729129986089968E-2</v>
      </c>
      <c r="AD35" s="438">
        <f t="shared" si="33"/>
        <v>7.2768193211654064E-2</v>
      </c>
      <c r="AE35" s="438">
        <f t="shared" si="33"/>
        <v>6.76495962716719E-2</v>
      </c>
      <c r="AF35" s="438">
        <f t="shared" si="33"/>
        <v>6.2369846225286511E-2</v>
      </c>
      <c r="AG35" s="438">
        <f t="shared" si="33"/>
        <v>5.692538249742965E-2</v>
      </c>
      <c r="AH35" s="438">
        <f>AH30-AH33-AH34</f>
        <v>5.1312575659097068E-2</v>
      </c>
      <c r="AJ35" s="438">
        <f>AJ30-AJ33-AJ34</f>
        <v>0.15963789473684212</v>
      </c>
      <c r="AK35" s="438">
        <f t="shared" ref="AK35:BM35" si="34">AK30-AK33-AK34</f>
        <v>0.15941752142889323</v>
      </c>
      <c r="AL35" s="438">
        <f t="shared" si="34"/>
        <v>0.15915824949710053</v>
      </c>
      <c r="AM35" s="438">
        <f t="shared" si="34"/>
        <v>0.1588590121964614</v>
      </c>
      <c r="AN35" s="438">
        <f t="shared" si="34"/>
        <v>0.15851872023732419</v>
      </c>
      <c r="AO35" s="438">
        <f t="shared" si="34"/>
        <v>0.15813626135889108</v>
      </c>
      <c r="AP35" s="438">
        <f t="shared" si="34"/>
        <v>0.15771049989513522</v>
      </c>
      <c r="AQ35" s="438">
        <f t="shared" si="34"/>
        <v>0.15724027633300253</v>
      </c>
      <c r="AR35" s="438">
        <f t="shared" si="34"/>
        <v>0.15672440686276642</v>
      </c>
      <c r="AS35" s="438">
        <f t="shared" si="34"/>
        <v>0.15616168292040122</v>
      </c>
      <c r="AT35" s="438">
        <f t="shared" si="34"/>
        <v>0.15555087072183763</v>
      </c>
      <c r="AU35" s="438">
        <f t="shared" si="34"/>
        <v>0.15573975932108705</v>
      </c>
      <c r="AV35" s="438">
        <f t="shared" si="34"/>
        <v>0.15590228089583999</v>
      </c>
      <c r="AW35" s="438">
        <f t="shared" si="34"/>
        <v>0.15603764328563061</v>
      </c>
      <c r="AX35" s="438">
        <f t="shared" si="34"/>
        <v>0.15614503707402891</v>
      </c>
      <c r="AY35" s="438">
        <f t="shared" si="34"/>
        <v>0.15622363525722358</v>
      </c>
      <c r="AZ35" s="438">
        <f t="shared" si="34"/>
        <v>0.15627259290665704</v>
      </c>
      <c r="BA35" s="438">
        <f t="shared" si="34"/>
        <v>0.15629104682560963</v>
      </c>
      <c r="BB35" s="438">
        <f t="shared" si="34"/>
        <v>0.15627811519962939</v>
      </c>
      <c r="BC35" s="438">
        <f t="shared" si="34"/>
        <v>0.1562328972407015</v>
      </c>
      <c r="BD35" s="438">
        <f t="shared" si="34"/>
        <v>0.15615447282504968</v>
      </c>
      <c r="BE35" s="438">
        <f t="shared" si="34"/>
        <v>0.15555803459444401</v>
      </c>
      <c r="BF35" s="438">
        <f t="shared" si="34"/>
        <v>0.15491266091936512</v>
      </c>
      <c r="BG35" s="438">
        <f t="shared" si="34"/>
        <v>0.15421707499341519</v>
      </c>
      <c r="BH35" s="438">
        <f t="shared" si="34"/>
        <v>0.15346997351150893</v>
      </c>
      <c r="BI35" s="438">
        <f t="shared" si="34"/>
        <v>0.15267002617326458</v>
      </c>
      <c r="BJ35" s="438">
        <f t="shared" si="34"/>
        <v>0.15181587517761336</v>
      </c>
      <c r="BK35" s="438">
        <f t="shared" si="34"/>
        <v>0.15090613470847683</v>
      </c>
      <c r="BL35" s="438">
        <f t="shared" si="34"/>
        <v>0.14993939041136092</v>
      </c>
      <c r="BM35" s="438">
        <f t="shared" si="34"/>
        <v>0.14891419886071153</v>
      </c>
      <c r="BN35" s="438">
        <f>BN30-BN33-BN34</f>
        <v>0.14782908701787489</v>
      </c>
    </row>
    <row r="36" spans="1:66" outlineLevel="1" x14ac:dyDescent="0.2">
      <c r="A36" s="1" t="s">
        <v>208</v>
      </c>
      <c r="B36" s="1" t="s">
        <v>209</v>
      </c>
      <c r="C36" s="54" t="s">
        <v>153</v>
      </c>
      <c r="D36" s="44">
        <f>D4-D10-D18-D26-D30-D6</f>
        <v>4.696762105263157</v>
      </c>
      <c r="E36" s="44">
        <f t="shared" ref="E36:AH36" si="35">E4-E10-E18-E26-E30-E6</f>
        <v>4.9343161867908307</v>
      </c>
      <c r="F36" s="44">
        <f t="shared" si="35"/>
        <v>5.1796439543091317</v>
      </c>
      <c r="G36" s="44">
        <f t="shared" si="35"/>
        <v>5.4329690037576457</v>
      </c>
      <c r="H36" s="44">
        <f t="shared" si="35"/>
        <v>5.6945210169572809</v>
      </c>
      <c r="I36" s="44">
        <f t="shared" si="35"/>
        <v>5.9645359228474728</v>
      </c>
      <c r="J36" s="44">
        <f t="shared" si="35"/>
        <v>6.220149725740991</v>
      </c>
      <c r="K36" s="44">
        <f t="shared" si="35"/>
        <v>6.4835618209893084</v>
      </c>
      <c r="L36" s="44">
        <f t="shared" si="35"/>
        <v>6.754984512716991</v>
      </c>
      <c r="M36" s="44">
        <f t="shared" si="35"/>
        <v>7.0346355930682893</v>
      </c>
      <c r="N36" s="44">
        <f t="shared" si="35"/>
        <v>7.3227384803440927</v>
      </c>
      <c r="O36" s="44">
        <f t="shared" si="35"/>
        <v>7.5637706989916129</v>
      </c>
      <c r="P36" s="44">
        <f t="shared" si="35"/>
        <v>7.8111684476156942</v>
      </c>
      <c r="Q36" s="44">
        <f t="shared" si="35"/>
        <v>8.0650852546763758</v>
      </c>
      <c r="R36" s="44">
        <f t="shared" si="35"/>
        <v>8.325678182553645</v>
      </c>
      <c r="S36" s="44">
        <f t="shared" si="35"/>
        <v>8.5931079067468126</v>
      </c>
      <c r="T36" s="44">
        <f t="shared" si="35"/>
        <v>8.6623840970460328</v>
      </c>
      <c r="U36" s="44">
        <f t="shared" si="35"/>
        <v>8.732020065133371</v>
      </c>
      <c r="V36" s="44">
        <f t="shared" si="35"/>
        <v>8.8020135319797124</v>
      </c>
      <c r="W36" s="44">
        <f t="shared" si="35"/>
        <v>8.8723620986159641</v>
      </c>
      <c r="X36" s="44">
        <f t="shared" si="35"/>
        <v>8.9430632433903163</v>
      </c>
      <c r="Y36" s="44">
        <f t="shared" si="35"/>
        <v>8.9937727324921877</v>
      </c>
      <c r="Z36" s="44">
        <f t="shared" si="35"/>
        <v>9.0443686926031823</v>
      </c>
      <c r="AA36" s="44">
        <f t="shared" si="35"/>
        <v>9.0948403879250534</v>
      </c>
      <c r="AB36" s="44">
        <f t="shared" si="35"/>
        <v>9.1451768301526908</v>
      </c>
      <c r="AC36" s="44">
        <f t="shared" si="35"/>
        <v>9.1953667737883809</v>
      </c>
      <c r="AD36" s="44">
        <f t="shared" si="35"/>
        <v>9.2303307007393958</v>
      </c>
      <c r="AE36" s="44">
        <f t="shared" si="35"/>
        <v>9.2648067191019621</v>
      </c>
      <c r="AF36" s="44">
        <f t="shared" si="35"/>
        <v>9.2987777439438677</v>
      </c>
      <c r="AG36" s="44">
        <f t="shared" si="35"/>
        <v>9.3322263426310208</v>
      </c>
      <c r="AH36" s="44">
        <f t="shared" si="35"/>
        <v>9.3651347287983047</v>
      </c>
      <c r="AJ36" s="44">
        <f t="shared" ref="AJ36:BN36" si="36">AJ4-AJ10-AJ18-AJ26-AJ30-AJ6</f>
        <v>4.696762105263157</v>
      </c>
      <c r="AK36" s="44">
        <f t="shared" si="36"/>
        <v>4.9343161867908307</v>
      </c>
      <c r="AL36" s="44">
        <f t="shared" si="36"/>
        <v>5.1796439543091317</v>
      </c>
      <c r="AM36" s="44">
        <f t="shared" si="36"/>
        <v>5.4329690037576457</v>
      </c>
      <c r="AN36" s="44">
        <f t="shared" si="36"/>
        <v>5.6945210169572809</v>
      </c>
      <c r="AO36" s="44">
        <f t="shared" si="36"/>
        <v>5.9645359228474728</v>
      </c>
      <c r="AP36" s="44">
        <f t="shared" si="36"/>
        <v>6.220149725740991</v>
      </c>
      <c r="AQ36" s="44">
        <f t="shared" si="36"/>
        <v>6.4835618209893084</v>
      </c>
      <c r="AR36" s="44">
        <f t="shared" si="36"/>
        <v>6.754984512716991</v>
      </c>
      <c r="AS36" s="44">
        <f t="shared" si="36"/>
        <v>7.0346355930682893</v>
      </c>
      <c r="AT36" s="44">
        <f t="shared" si="36"/>
        <v>7.3227384803440927</v>
      </c>
      <c r="AU36" s="44">
        <f t="shared" si="36"/>
        <v>7.5637706989916129</v>
      </c>
      <c r="AV36" s="44">
        <f t="shared" si="36"/>
        <v>7.8111684476156942</v>
      </c>
      <c r="AW36" s="44">
        <f t="shared" si="36"/>
        <v>8.0650852546763758</v>
      </c>
      <c r="AX36" s="44">
        <f t="shared" si="36"/>
        <v>8.325678182553645</v>
      </c>
      <c r="AY36" s="44">
        <f t="shared" si="36"/>
        <v>8.5931079067468126</v>
      </c>
      <c r="AZ36" s="44">
        <f t="shared" si="36"/>
        <v>8.6623840970460328</v>
      </c>
      <c r="BA36" s="44">
        <f t="shared" si="36"/>
        <v>8.732020065133371</v>
      </c>
      <c r="BB36" s="44">
        <f t="shared" si="36"/>
        <v>8.8020135319797124</v>
      </c>
      <c r="BC36" s="44">
        <f t="shared" si="36"/>
        <v>8.8723620986159641</v>
      </c>
      <c r="BD36" s="44">
        <f t="shared" si="36"/>
        <v>8.9430632433903163</v>
      </c>
      <c r="BE36" s="44">
        <f t="shared" si="36"/>
        <v>8.9937727324921877</v>
      </c>
      <c r="BF36" s="44">
        <f t="shared" si="36"/>
        <v>9.0443686926031823</v>
      </c>
      <c r="BG36" s="44">
        <f t="shared" si="36"/>
        <v>9.0948403879250534</v>
      </c>
      <c r="BH36" s="44">
        <f t="shared" si="36"/>
        <v>9.1451768301526908</v>
      </c>
      <c r="BI36" s="44">
        <f t="shared" si="36"/>
        <v>9.1953667737883809</v>
      </c>
      <c r="BJ36" s="44">
        <f t="shared" si="36"/>
        <v>9.2303307007393958</v>
      </c>
      <c r="BK36" s="44">
        <f t="shared" si="36"/>
        <v>9.2648067191019621</v>
      </c>
      <c r="BL36" s="44">
        <f t="shared" si="36"/>
        <v>9.2987777439438677</v>
      </c>
      <c r="BM36" s="44">
        <f t="shared" si="36"/>
        <v>9.3322263426310208</v>
      </c>
      <c r="BN36" s="44">
        <f t="shared" si="36"/>
        <v>9.3651347287983047</v>
      </c>
    </row>
    <row r="37" spans="1:66" outlineLevel="1" x14ac:dyDescent="0.2">
      <c r="B37" s="1" t="s">
        <v>168</v>
      </c>
      <c r="C37" s="54" t="s">
        <v>153</v>
      </c>
      <c r="D37">
        <v>0</v>
      </c>
      <c r="E37" s="43">
        <f>E36*'R&amp;S - Others'!$D$7*'R&amp;S - Others'!$B$11*'R&amp;S - Others'!$B$15*(E$3-$D$3)/10</f>
        <v>2.4424865124614611E-2</v>
      </c>
      <c r="F37" s="43">
        <f>F36*'R&amp;S - Others'!$D$7*'R&amp;S - Others'!$B$11*'R&amp;S - Others'!$B$15*(F$3-$D$3)/10</f>
        <v>5.1278475147660409E-2</v>
      </c>
      <c r="G37" s="43">
        <f>G36*'R&amp;S - Others'!$D$7*'R&amp;S - Others'!$B$11*'R&amp;S - Others'!$B$15*(G$3-$D$3)/10</f>
        <v>8.0679589705801052E-2</v>
      </c>
      <c r="H37" s="43">
        <f>H36*'R&amp;S - Others'!$D$7*'R&amp;S - Others'!$B$11*'R&amp;S - Others'!$B$15*(H$3-$D$3)/10</f>
        <v>0.11275151613575415</v>
      </c>
      <c r="I37" s="43">
        <f>I36*'R&amp;S - Others'!$D$7*'R&amp;S - Others'!$B$11*'R&amp;S - Others'!$B$15*(I$3-$D$3)/10</f>
        <v>0.14762226409047496</v>
      </c>
      <c r="J37" s="43">
        <f>J36*'R&amp;S - Others'!$D$7*'R&amp;S - Others'!$B$11*'R&amp;S - Others'!$B$15*(J$3-$D$3)/10</f>
        <v>0.18473844685450747</v>
      </c>
      <c r="K37" s="43">
        <f>K36*'R&amp;S - Others'!$D$7*'R&amp;S - Others'!$B$11*'R&amp;S - Others'!$B$15*(K$3-$D$3)/10</f>
        <v>0.22465541709727957</v>
      </c>
      <c r="L37" s="43">
        <f>L36*'R&amp;S - Others'!$D$7*'R&amp;S - Others'!$B$11*'R&amp;S - Others'!$B$15*(L$3-$D$3)/10</f>
        <v>0.26749738670359291</v>
      </c>
      <c r="M37" s="43">
        <f>M36*'R&amp;S - Others'!$D$7*'R&amp;S - Others'!$B$11*'R&amp;S - Others'!$B$15*(M$3-$D$3)/10</f>
        <v>0.31339301567119227</v>
      </c>
      <c r="N37" s="43">
        <f>N36*'R&amp;S - Others'!$D$7*'R&amp;S - Others'!$B$11*'R&amp;S - Others'!$B$15*(N$3-$D$3)/10</f>
        <v>0.36247555477703258</v>
      </c>
      <c r="O37" s="43">
        <f>O36*'R&amp;S - Others'!$D$7*'R&amp;S - Others'!$B$11*('R&amp;S - Others'!$B$15+('R&amp;S - Others'!$B$16-'R&amp;S - Others'!$B$15)*(O$3-$N$3)/10)</f>
        <v>0.41184731456009327</v>
      </c>
      <c r="P37" s="43">
        <f>P36*'R&amp;S - Others'!$D$7*'R&amp;S - Others'!$B$11*('R&amp;S - Others'!$B$15+('R&amp;S - Others'!$B$16-'R&amp;S - Others'!$B$15)*(P$3-$N$3)/10)</f>
        <v>0.46398340578837222</v>
      </c>
      <c r="Q37" s="43">
        <f>Q36*'R&amp;S - Others'!$D$7*'R&amp;S - Others'!$B$11*('R&amp;S - Others'!$B$15+('R&amp;S - Others'!$B$16-'R&amp;S - Others'!$B$15)*(Q$3-$N$3)/10)</f>
        <v>0.51898823613842482</v>
      </c>
      <c r="R37" s="43">
        <f>R36*'R&amp;S - Others'!$D$7*'R&amp;S - Others'!$B$11*('R&amp;S - Others'!$B$15+('R&amp;S - Others'!$B$16-'R&amp;S - Others'!$B$15)*(R$3-$N$3)/10)</f>
        <v>0.57696949805096753</v>
      </c>
      <c r="S37" s="43">
        <f>S36*'R&amp;S - Others'!$D$7*'R&amp;S - Others'!$B$11*('R&amp;S - Others'!$B$15+('R&amp;S - Others'!$B$16-'R&amp;S - Others'!$B$15)*(S$3-$N$3)/10)</f>
        <v>0.63803826207595082</v>
      </c>
      <c r="T37" s="43">
        <f>T36*'R&amp;S - Others'!$D$7*'R&amp;S - Others'!$B$11*('R&amp;S - Others'!$B$15+('R&amp;S - Others'!$B$16-'R&amp;S - Others'!$B$15)*(T$3-$N$3)/10)</f>
        <v>0.68606082048604577</v>
      </c>
      <c r="U37" s="43">
        <f>U36*'R&amp;S - Others'!$D$7*'R&amp;S - Others'!$B$11*('R&amp;S - Others'!$B$15+('R&amp;S - Others'!$B$16-'R&amp;S - Others'!$B$15)*(U$3-$N$3)/10)</f>
        <v>0.73479948848097321</v>
      </c>
      <c r="V37" s="43">
        <f>V36*'R&amp;S - Others'!$D$7*'R&amp;S - Others'!$B$11*('R&amp;S - Others'!$B$15+('R&amp;S - Others'!$B$16-'R&amp;S - Others'!$B$15)*(V$3-$N$3)/10)</f>
        <v>0.78425940569939245</v>
      </c>
      <c r="W37" s="43">
        <f>W36*'R&amp;S - Others'!$D$7*'R&amp;S - Others'!$B$11*('R&amp;S - Others'!$B$15+('R&amp;S - Others'!$B$16-'R&amp;S - Others'!$B$15)*(W$3-$N$3)/10)</f>
        <v>0.8344456553748314</v>
      </c>
      <c r="X37" s="43">
        <f>X36*'R&amp;S - Others'!$D$7*'R&amp;S - Others'!$B$11*('R&amp;S - Others'!$B$15+('R&amp;S - Others'!$B$16-'R&amp;S - Others'!$B$15)*(X$3-$N$3)/10)</f>
        <v>0.88536326109564134</v>
      </c>
      <c r="Y37" s="43">
        <f>Y36*'R&amp;S - Others'!$D$7*'R&amp;S - Others'!$B$11*('R&amp;S - Others'!$B$16+('R&amp;S - Others'!$B$17-'R&amp;S - Others'!$B$16)*(Y$3-$X$3)/10)</f>
        <v>0.93625174145243673</v>
      </c>
      <c r="Z37" s="43">
        <f>Z36*'R&amp;S - Others'!$D$7*'R&amp;S - Others'!$B$11*('R&amp;S - Others'!$B$16+('R&amp;S - Others'!$B$17-'R&amp;S - Others'!$B$16)*(Z$3-$X$3)/10)</f>
        <v>0.98764506123226747</v>
      </c>
      <c r="AA37" s="43">
        <f>AA36*'R&amp;S - Others'!$D$7*'R&amp;S - Others'!$B$11*('R&amp;S - Others'!$B$16+('R&amp;S - Others'!$B$17-'R&amp;S - Others'!$B$16)*(AA$3-$X$3)/10)</f>
        <v>1.0395402563398335</v>
      </c>
      <c r="AB37" s="43">
        <f>AB36*'R&amp;S - Others'!$D$7*'R&amp;S - Others'!$B$11*('R&amp;S - Others'!$B$16+('R&amp;S - Others'!$B$17-'R&amp;S - Others'!$B$16)*(AB$3-$X$3)/10)</f>
        <v>1.0919341135202314</v>
      </c>
      <c r="AC37" s="43">
        <f>AC36*'R&amp;S - Others'!$D$7*'R&amp;S - Others'!$B$11*('R&amp;S - Others'!$B$16+('R&amp;S - Others'!$B$17-'R&amp;S - Others'!$B$16)*(AC$3-$X$3)/10)</f>
        <v>1.1448231633366535</v>
      </c>
      <c r="AD37" s="43">
        <f>AD36*'R&amp;S - Others'!$D$7*'R&amp;S - Others'!$B$11*('R&amp;S - Others'!$B$16+('R&amp;S - Others'!$B$17-'R&amp;S - Others'!$B$16)*(AD$3-$X$3)/10)</f>
        <v>1.1962508588158258</v>
      </c>
      <c r="AE37" s="43">
        <f>AE36*'R&amp;S - Others'!$D$7*'R&amp;S - Others'!$B$11*('R&amp;S - Others'!$B$16+('R&amp;S - Others'!$B$17-'R&amp;S - Others'!$B$16)*(AE$3-$X$3)/10)</f>
        <v>1.2479694650630342</v>
      </c>
      <c r="AF37" s="43">
        <f>AF36*'R&amp;S - Others'!$D$7*'R&amp;S - Others'!$B$11*('R&amp;S - Others'!$B$16+('R&amp;S - Others'!$B$17-'R&amp;S - Others'!$B$16)*(AF$3-$X$3)/10)</f>
        <v>1.2999691286033526</v>
      </c>
      <c r="AG37" s="43">
        <f>AG36*'R&amp;S - Others'!$D$7*'R&amp;S - Others'!$B$11*('R&amp;S - Others'!$B$16+('R&amp;S - Others'!$B$17-'R&amp;S - Others'!$B$16)*(AG$3-$X$3)/10)</f>
        <v>1.352239597047235</v>
      </c>
      <c r="AH37" s="43">
        <f>AH36*'R&amp;S - Others'!$D$7*'R&amp;S - Others'!$B$11*('R&amp;S - Others'!$B$16+('R&amp;S - Others'!$B$17-'R&amp;S - Others'!$B$16)*(AH$3-$X$3)/10)</f>
        <v>1.4047702093197456</v>
      </c>
      <c r="AJ37">
        <v>0</v>
      </c>
      <c r="AK37" s="43">
        <f>AK36*'R&amp;S - Others'!$D$7*'R&amp;S - Others'!$B$12*'R&amp;S - Others'!$B$15*(AK$3-$D$3)/10</f>
        <v>1.2212432562307305E-2</v>
      </c>
      <c r="AL37" s="43">
        <f>AL36*'R&amp;S - Others'!$D$7*'R&amp;S - Others'!$B$12*'R&amp;S - Others'!$B$15*(AL$3-$D$3)/10</f>
        <v>2.5639237573830204E-2</v>
      </c>
      <c r="AM37" s="43">
        <f>AM36*'R&amp;S - Others'!$D$7*'R&amp;S - Others'!$B$12*'R&amp;S - Others'!$B$15*(AM$3-$D$3)/10</f>
        <v>4.0339794852900526E-2</v>
      </c>
      <c r="AN37" s="43">
        <f>AN36*'R&amp;S - Others'!$D$7*'R&amp;S - Others'!$B$12*'R&amp;S - Others'!$B$15*(AN$3-$D$3)/10</f>
        <v>5.6375758067877077E-2</v>
      </c>
      <c r="AO37" s="43">
        <f>AO36*'R&amp;S - Others'!$D$7*'R&amp;S - Others'!$B$12*'R&amp;S - Others'!$B$15*(AO$3-$D$3)/10</f>
        <v>7.3811132045237482E-2</v>
      </c>
      <c r="AP37" s="43">
        <f>AP36*'R&amp;S - Others'!$D$7*'R&amp;S - Others'!$B$12*'R&amp;S - Others'!$B$15*(AP$3-$D$3)/10</f>
        <v>9.2369223427253733E-2</v>
      </c>
      <c r="AQ37" s="43">
        <f>AQ36*'R&amp;S - Others'!$D$7*'R&amp;S - Others'!$B$12*'R&amp;S - Others'!$B$15*(AQ$3-$D$3)/10</f>
        <v>0.11232770854863978</v>
      </c>
      <c r="AR37" s="43">
        <f>AR36*'R&amp;S - Others'!$D$7*'R&amp;S - Others'!$B$12*'R&amp;S - Others'!$B$15*(AR$3-$D$3)/10</f>
        <v>0.13374869335179645</v>
      </c>
      <c r="AS37" s="43">
        <f>AS36*'R&amp;S - Others'!$D$7*'R&amp;S - Others'!$B$12*'R&amp;S - Others'!$B$15*(AS$3-$D$3)/10</f>
        <v>0.15669650783559613</v>
      </c>
      <c r="AT37" s="43">
        <f>AT36*'R&amp;S - Others'!$D$7*'R&amp;S - Others'!$B$12*'R&amp;S - Others'!$B$15*(AT$3-$D$3)/10</f>
        <v>0.18123777738851629</v>
      </c>
      <c r="AU37" s="43">
        <f>AU36*'R&amp;S - Others'!$D$7*'R&amp;S - Others'!$B$12*('R&amp;S - Others'!$B$15+('R&amp;S - Others'!$B$16-'R&amp;S - Others'!$B$15)*(AU$3-$N$3)/10)</f>
        <v>0.20592365728004663</v>
      </c>
      <c r="AV37" s="43">
        <f>AV36*'R&amp;S - Others'!$D$7*'R&amp;S - Others'!$B$12*('R&amp;S - Others'!$B$15+('R&amp;S - Others'!$B$16-'R&amp;S - Others'!$B$15)*(AV$3-$N$3)/10)</f>
        <v>0.23199170289418611</v>
      </c>
      <c r="AW37" s="43">
        <f>AW36*'R&amp;S - Others'!$D$7*'R&amp;S - Others'!$B$12*('R&amp;S - Others'!$B$15+('R&amp;S - Others'!$B$16-'R&amp;S - Others'!$B$15)*(AW$3-$N$3)/10)</f>
        <v>0.25949411806921241</v>
      </c>
      <c r="AX37" s="43">
        <f>AX36*'R&amp;S - Others'!$D$7*'R&amp;S - Others'!$B$12*('R&amp;S - Others'!$B$15+('R&amp;S - Others'!$B$16-'R&amp;S - Others'!$B$15)*(AX$3-$N$3)/10)</f>
        <v>0.28848474902548377</v>
      </c>
      <c r="AY37" s="43">
        <f>AY36*'R&amp;S - Others'!$D$7*'R&amp;S - Others'!$B$12*('R&amp;S - Others'!$B$15+('R&amp;S - Others'!$B$16-'R&amp;S - Others'!$B$15)*(AY$3-$N$3)/10)</f>
        <v>0.31901913103797541</v>
      </c>
      <c r="AZ37" s="43">
        <f>AZ36*'R&amp;S - Others'!$D$7*'R&amp;S - Others'!$B$12*('R&amp;S - Others'!$B$15+('R&amp;S - Others'!$B$16-'R&amp;S - Others'!$B$15)*(AZ$3-$N$3)/10)</f>
        <v>0.34303041024302289</v>
      </c>
      <c r="BA37" s="43">
        <f>BA36*'R&amp;S - Others'!$D$7*'R&amp;S - Others'!$B$12*('R&amp;S - Others'!$B$15+('R&amp;S - Others'!$B$16-'R&amp;S - Others'!$B$15)*(BA$3-$N$3)/10)</f>
        <v>0.3673997442404866</v>
      </c>
      <c r="BB37" s="43">
        <f>BB36*'R&amp;S - Others'!$D$7*'R&amp;S - Others'!$B$12*('R&amp;S - Others'!$B$15+('R&amp;S - Others'!$B$16-'R&amp;S - Others'!$B$15)*(BB$3-$N$3)/10)</f>
        <v>0.39212970284969623</v>
      </c>
      <c r="BC37" s="43">
        <f>BC36*'R&amp;S - Others'!$D$7*'R&amp;S - Others'!$B$12*('R&amp;S - Others'!$B$15+('R&amp;S - Others'!$B$16-'R&amp;S - Others'!$B$15)*(BC$3-$N$3)/10)</f>
        <v>0.4172228276874157</v>
      </c>
      <c r="BD37" s="43">
        <f>BD36*'R&amp;S - Others'!$D$7*'R&amp;S - Others'!$B$12*('R&amp;S - Others'!$B$15+('R&amp;S - Others'!$B$16-'R&amp;S - Others'!$B$15)*(BD$3-$N$3)/10)</f>
        <v>0.44268163054782067</v>
      </c>
      <c r="BE37" s="43">
        <f>BE36*'R&amp;S - Others'!$D$7*'R&amp;S - Others'!$B$12*('R&amp;S - Others'!$B$16+('R&amp;S - Others'!$B$17-'R&amp;S - Others'!$B$16)*(BE$3-$X$3)/10)</f>
        <v>0.46812587072621836</v>
      </c>
      <c r="BF37" s="43">
        <f>BF36*'R&amp;S - Others'!$D$7*'R&amp;S - Others'!$B$12*('R&amp;S - Others'!$B$16+('R&amp;S - Others'!$B$17-'R&amp;S - Others'!$B$16)*(BF$3-$X$3)/10)</f>
        <v>0.49382253061613374</v>
      </c>
      <c r="BG37" s="43">
        <f>BG36*'R&amp;S - Others'!$D$7*'R&amp;S - Others'!$B$12*('R&amp;S - Others'!$B$16+('R&amp;S - Others'!$B$17-'R&amp;S - Others'!$B$16)*(BG$3-$X$3)/10)</f>
        <v>0.51977012816991675</v>
      </c>
      <c r="BH37" s="43">
        <f>BH36*'R&amp;S - Others'!$D$7*'R&amp;S - Others'!$B$12*('R&amp;S - Others'!$B$16+('R&amp;S - Others'!$B$17-'R&amp;S - Others'!$B$16)*(BH$3-$X$3)/10)</f>
        <v>0.5459670567601157</v>
      </c>
      <c r="BI37" s="43">
        <f>BI36*'R&amp;S - Others'!$D$7*'R&amp;S - Others'!$B$12*('R&amp;S - Others'!$B$16+('R&amp;S - Others'!$B$17-'R&amp;S - Others'!$B$16)*(BI$3-$X$3)/10)</f>
        <v>0.57241158166832673</v>
      </c>
      <c r="BJ37" s="43">
        <f>BJ36*'R&amp;S - Others'!$D$7*'R&amp;S - Others'!$B$12*('R&amp;S - Others'!$B$16+('R&amp;S - Others'!$B$17-'R&amp;S - Others'!$B$16)*(BJ$3-$X$3)/10)</f>
        <v>0.59812542940791291</v>
      </c>
      <c r="BK37" s="43">
        <f>BK36*'R&amp;S - Others'!$D$7*'R&amp;S - Others'!$B$12*('R&amp;S - Others'!$B$16+('R&amp;S - Others'!$B$17-'R&amp;S - Others'!$B$16)*(BK$3-$X$3)/10)</f>
        <v>0.62398473253151709</v>
      </c>
      <c r="BL37" s="43">
        <f>BL36*'R&amp;S - Others'!$D$7*'R&amp;S - Others'!$B$12*('R&amp;S - Others'!$B$16+('R&amp;S - Others'!$B$17-'R&amp;S - Others'!$B$16)*(BL$3-$X$3)/10)</f>
        <v>0.64998456430167628</v>
      </c>
      <c r="BM37" s="43">
        <f>BM36*'R&amp;S - Others'!$D$7*'R&amp;S - Others'!$B$12*('R&amp;S - Others'!$B$16+('R&amp;S - Others'!$B$17-'R&amp;S - Others'!$B$16)*(BM$3-$X$3)/10)</f>
        <v>0.67611979852361748</v>
      </c>
      <c r="BN37" s="43">
        <f>BN36*'R&amp;S - Others'!$D$7*'R&amp;S - Others'!$B$12*('R&amp;S - Others'!$B$16+('R&amp;S - Others'!$B$17-'R&amp;S - Others'!$B$16)*(BN$3-$X$3)/10)</f>
        <v>0.70238510465987281</v>
      </c>
    </row>
    <row r="38" spans="1:66" outlineLevel="1" x14ac:dyDescent="0.2">
      <c r="B38" s="1" t="s">
        <v>172</v>
      </c>
      <c r="C38" s="54" t="s">
        <v>153</v>
      </c>
      <c r="D38">
        <v>0</v>
      </c>
      <c r="E38" s="43">
        <f>E36*'R&amp;S - Others'!$D$8*'R&amp;S - Others'!$B$11*'R&amp;S - Others'!$C$15*(E$3-$D$3)/10</f>
        <v>8.1416217082048714E-3</v>
      </c>
      <c r="F38" s="43">
        <f>F36*'R&amp;S - Others'!$D$8*'R&amp;S - Others'!$B$11*'R&amp;S - Others'!$C$15*(F$3-$D$3)/10</f>
        <v>1.7092825049220137E-2</v>
      </c>
      <c r="G38" s="43">
        <f>G36*'R&amp;S - Others'!$D$8*'R&amp;S - Others'!$B$11*'R&amp;S - Others'!$C$15*(G$3-$D$3)/10</f>
        <v>2.6893196568600349E-2</v>
      </c>
      <c r="H38" s="43">
        <f>H36*'R&amp;S - Others'!$D$8*'R&amp;S - Others'!$B$11*'R&amp;S - Others'!$C$15*(H$3-$D$3)/10</f>
        <v>3.7583838711918061E-2</v>
      </c>
      <c r="I38" s="43">
        <f>I36*'R&amp;S - Others'!$D$8*'R&amp;S - Others'!$B$11*'R&amp;S - Others'!$C$15*(I$3-$D$3)/10</f>
        <v>4.9207421363491648E-2</v>
      </c>
      <c r="J38" s="43">
        <f>J36*'R&amp;S - Others'!$D$8*'R&amp;S - Others'!$B$11*'R&amp;S - Others'!$C$15*(J$3-$D$3)/10</f>
        <v>6.1579482284835819E-2</v>
      </c>
      <c r="K38" s="43">
        <f>K36*'R&amp;S - Others'!$D$8*'R&amp;S - Others'!$B$11*'R&amp;S - Others'!$C$15*(K$3-$D$3)/10</f>
        <v>7.4885139032426523E-2</v>
      </c>
      <c r="L38" s="43">
        <f>L36*'R&amp;S - Others'!$D$8*'R&amp;S - Others'!$B$11*'R&amp;S - Others'!$C$15*(L$3-$D$3)/10</f>
        <v>8.9165795567864289E-2</v>
      </c>
      <c r="M38" s="43">
        <f>M36*'R&amp;S - Others'!$D$8*'R&amp;S - Others'!$B$11*'R&amp;S - Others'!$C$15*(M$3-$D$3)/10</f>
        <v>0.10446433855706412</v>
      </c>
      <c r="N38" s="43">
        <f>N36*'R&amp;S - Others'!$D$8*'R&amp;S - Others'!$B$11*'R&amp;S - Others'!$C$15*(N$3-$D$3)/10</f>
        <v>0.12082518492567754</v>
      </c>
      <c r="O38" s="43">
        <f>O36*'R&amp;S - Others'!$D$8*'R&amp;S - Others'!$B$11*'R&amp;S - Others'!$C$15*(O$3-$D$3)/10</f>
        <v>0.13728243818669777</v>
      </c>
      <c r="P38" s="43">
        <f>P36*'R&amp;S - Others'!$D$8*'R&amp;S - Others'!$B$11*'R&amp;S - Others'!$C$15*(P$3-$D$3)/10</f>
        <v>0.15466113526279077</v>
      </c>
      <c r="Q38" s="43">
        <f>Q36*'R&amp;S - Others'!$D$8*'R&amp;S - Others'!$B$11*'R&amp;S - Others'!$C$15*(Q$3-$D$3)/10</f>
        <v>0.17299607871280825</v>
      </c>
      <c r="R38" s="43">
        <f>R36*'R&amp;S - Others'!$D$8*'R&amp;S - Others'!$B$11*'R&amp;S - Others'!$C$15*(R$3-$D$3)/10</f>
        <v>0.19232316601698921</v>
      </c>
      <c r="S38" s="43">
        <f>S36*'R&amp;S - Others'!$D$8*'R&amp;S - Others'!$B$11*'R&amp;S - Others'!$C$15*(S$3-$D$3)/10</f>
        <v>0.21267942069198362</v>
      </c>
      <c r="T38" s="43">
        <f>T36*'R&amp;S - Others'!$D$8*'R&amp;S - Others'!$B$11*'R&amp;S - Others'!$C$15*(T$3-$D$3)/10</f>
        <v>0.2286869401620153</v>
      </c>
      <c r="U38" s="43">
        <f>U36*'R&amp;S - Others'!$D$8*'R&amp;S - Others'!$B$11*'R&amp;S - Others'!$C$15*(U$3-$D$3)/10</f>
        <v>0.24493316282699107</v>
      </c>
      <c r="V38" s="43">
        <f>V36*'R&amp;S - Others'!$D$8*'R&amp;S - Others'!$B$11*'R&amp;S - Others'!$C$15*(V$3-$D$3)/10</f>
        <v>0.26141980189979747</v>
      </c>
      <c r="W38" s="43">
        <f>W36*'R&amp;S - Others'!$D$8*'R&amp;S - Others'!$B$11*'R&amp;S - Others'!$C$15*(W$3-$D$3)/10</f>
        <v>0.27814855179161047</v>
      </c>
      <c r="X38" s="43">
        <f>X36*'R&amp;S - Others'!$D$8*'R&amp;S - Others'!$B$11*'R&amp;S - Others'!$C$15*(X$3-$D$3)/10</f>
        <v>0.29512108703188045</v>
      </c>
      <c r="Y38" s="43">
        <f>Y36*'R&amp;S - Others'!$D$8*'R&amp;S - Others'!$B$11*('R&amp;S - Others'!$C$16+('R&amp;S - Others'!$C$17-'R&amp;S - Others'!$C$16)*(Y$3-$X$3)/10)</f>
        <v>0.31208391381747896</v>
      </c>
      <c r="Z38" s="43">
        <f>Z36*'R&amp;S - Others'!$D$8*'R&amp;S - Others'!$B$11*('R&amp;S - Others'!$C$16+('R&amp;S - Others'!$C$17-'R&amp;S - Others'!$C$16)*(Z$3-$X$3)/10)</f>
        <v>0.32921502041075584</v>
      </c>
      <c r="AA38" s="43">
        <f>AA36*'R&amp;S - Others'!$D$8*'R&amp;S - Others'!$B$11*('R&amp;S - Others'!$C$16+('R&amp;S - Others'!$C$17-'R&amp;S - Others'!$C$16)*(AA$3-$X$3)/10)</f>
        <v>0.34651341877994457</v>
      </c>
      <c r="AB38" s="43">
        <f>AB36*'R&amp;S - Others'!$D$8*'R&amp;S - Others'!$B$11*('R&amp;S - Others'!$C$16+('R&amp;S - Others'!$C$17-'R&amp;S - Others'!$C$16)*(AB$3-$X$3)/10)</f>
        <v>0.36397803784007715</v>
      </c>
      <c r="AC38" s="43">
        <f>AC36*'R&amp;S - Others'!$D$8*'R&amp;S - Others'!$B$11*('R&amp;S - Others'!$C$16+('R&amp;S - Others'!$C$17-'R&amp;S - Others'!$C$16)*(AC$3-$X$3)/10)</f>
        <v>0.38160772111221786</v>
      </c>
      <c r="AD38" s="43">
        <f>AD36*'R&amp;S - Others'!$D$8*'R&amp;S - Others'!$B$11*('R&amp;S - Others'!$C$16+('R&amp;S - Others'!$C$17-'R&amp;S - Others'!$C$16)*(AD$3-$X$3)/10)</f>
        <v>0.39875028627194198</v>
      </c>
      <c r="AE38" s="43">
        <f>AE36*'R&amp;S - Others'!$D$8*'R&amp;S - Others'!$B$11*('R&amp;S - Others'!$C$16+('R&amp;S - Others'!$C$17-'R&amp;S - Others'!$C$16)*(AE$3-$X$3)/10)</f>
        <v>0.41598982168767812</v>
      </c>
      <c r="AF38" s="43">
        <f>AF36*'R&amp;S - Others'!$D$8*'R&amp;S - Others'!$B$11*('R&amp;S - Others'!$C$16+('R&amp;S - Others'!$C$17-'R&amp;S - Others'!$C$16)*(AF$3-$X$3)/10)</f>
        <v>0.43332304286778422</v>
      </c>
      <c r="AG38" s="43">
        <f>AG36*'R&amp;S - Others'!$D$8*'R&amp;S - Others'!$B$11*('R&amp;S - Others'!$C$16+('R&amp;S - Others'!$C$17-'R&amp;S - Others'!$C$16)*(AG$3-$X$3)/10)</f>
        <v>0.4507465323490783</v>
      </c>
      <c r="AH38" s="43">
        <f>AH36*'R&amp;S - Others'!$D$8*'R&amp;S - Others'!$B$11*('R&amp;S - Others'!$C$16+('R&amp;S - Others'!$C$17-'R&amp;S - Others'!$C$16)*(AH$3-$X$3)/10)</f>
        <v>0.46825673643991528</v>
      </c>
      <c r="AJ38">
        <v>0</v>
      </c>
      <c r="AK38" s="43">
        <f>AK36*'R&amp;S - Others'!$D$8*'R&amp;S - Others'!$B$12*'R&amp;S - Others'!$C$15*(AK$3-$D$3)/10</f>
        <v>4.0708108541024357E-3</v>
      </c>
      <c r="AL38" s="43">
        <f>AL36*'R&amp;S - Others'!$D$8*'R&amp;S - Others'!$B$12*'R&amp;S - Others'!$C$15*(AL$3-$D$3)/10</f>
        <v>8.5464125246100687E-3</v>
      </c>
      <c r="AM38" s="43">
        <f>AM36*'R&amp;S - Others'!$D$8*'R&amp;S - Others'!$B$12*'R&amp;S - Others'!$C$15*(AM$3-$D$3)/10</f>
        <v>1.3446598284300174E-2</v>
      </c>
      <c r="AN38" s="43">
        <f>AN36*'R&amp;S - Others'!$D$8*'R&amp;S - Others'!$B$12*'R&amp;S - Others'!$C$15*(AN$3-$D$3)/10</f>
        <v>1.879191935595903E-2</v>
      </c>
      <c r="AO38" s="43">
        <f>AO36*'R&amp;S - Others'!$D$8*'R&amp;S - Others'!$B$12*'R&amp;S - Others'!$C$15*(AO$3-$D$3)/10</f>
        <v>2.4603710681745824E-2</v>
      </c>
      <c r="AP38" s="43">
        <f>AP36*'R&amp;S - Others'!$D$8*'R&amp;S - Others'!$B$12*'R&amp;S - Others'!$C$15*(AP$3-$D$3)/10</f>
        <v>3.078974114241791E-2</v>
      </c>
      <c r="AQ38" s="43">
        <f>AQ36*'R&amp;S - Others'!$D$8*'R&amp;S - Others'!$B$12*'R&amp;S - Others'!$C$15*(AQ$3-$D$3)/10</f>
        <v>3.7442569516213262E-2</v>
      </c>
      <c r="AR38" s="43">
        <f>AR36*'R&amp;S - Others'!$D$8*'R&amp;S - Others'!$B$12*'R&amp;S - Others'!$C$15*(AR$3-$D$3)/10</f>
        <v>4.4582897783932145E-2</v>
      </c>
      <c r="AS38" s="43">
        <f>AS36*'R&amp;S - Others'!$D$8*'R&amp;S - Others'!$B$12*'R&amp;S - Others'!$C$15*(AS$3-$D$3)/10</f>
        <v>5.223216927853206E-2</v>
      </c>
      <c r="AT38" s="43">
        <f>AT36*'R&amp;S - Others'!$D$8*'R&amp;S - Others'!$B$12*'R&amp;S - Others'!$C$15*(AT$3-$D$3)/10</f>
        <v>6.0412592462838768E-2</v>
      </c>
      <c r="AU38" s="43">
        <f>AU36*'R&amp;S - Others'!$D$8*'R&amp;S - Others'!$B$12*'R&amp;S - Others'!$C$15*(AU$3-$D$3)/10</f>
        <v>6.8641219093348887E-2</v>
      </c>
      <c r="AV38" s="43">
        <f>AV36*'R&amp;S - Others'!$D$8*'R&amp;S - Others'!$B$12*'R&amp;S - Others'!$C$15*(AV$3-$D$3)/10</f>
        <v>7.7330567631395383E-2</v>
      </c>
      <c r="AW38" s="43">
        <f>AW36*'R&amp;S - Others'!$D$8*'R&amp;S - Others'!$B$12*'R&amp;S - Others'!$C$15*(AW$3-$D$3)/10</f>
        <v>8.6498039356404127E-2</v>
      </c>
      <c r="AX38" s="43">
        <f>AX36*'R&amp;S - Others'!$D$8*'R&amp;S - Others'!$B$12*'R&amp;S - Others'!$C$15*(AX$3-$D$3)/10</f>
        <v>9.6161583008494603E-2</v>
      </c>
      <c r="AY38" s="43">
        <f>AY36*'R&amp;S - Others'!$D$8*'R&amp;S - Others'!$B$12*'R&amp;S - Others'!$C$15*(AY$3-$D$3)/10</f>
        <v>0.10633971034599181</v>
      </c>
      <c r="AZ38" s="43">
        <f>AZ36*'R&amp;S - Others'!$D$8*'R&amp;S - Others'!$B$12*'R&amp;S - Others'!$C$15*(AZ$3-$D$3)/10</f>
        <v>0.11434347008100765</v>
      </c>
      <c r="BA38" s="43">
        <f>BA36*'R&amp;S - Others'!$D$8*'R&amp;S - Others'!$B$12*'R&amp;S - Others'!$C$15*(BA$3-$D$3)/10</f>
        <v>0.12246658141349553</v>
      </c>
      <c r="BB38" s="43">
        <f>BB36*'R&amp;S - Others'!$D$8*'R&amp;S - Others'!$B$12*'R&amp;S - Others'!$C$15*(BB$3-$D$3)/10</f>
        <v>0.13070990094989873</v>
      </c>
      <c r="BC38" s="43">
        <f>BC36*'R&amp;S - Others'!$D$8*'R&amp;S - Others'!$B$12*'R&amp;S - Others'!$C$15*(BC$3-$D$3)/10</f>
        <v>0.13907427589580523</v>
      </c>
      <c r="BD38" s="43">
        <f>BD36*'R&amp;S - Others'!$D$8*'R&amp;S - Others'!$B$12*'R&amp;S - Others'!$C$15*(BD$3-$D$3)/10</f>
        <v>0.14756054351594022</v>
      </c>
      <c r="BE38" s="43">
        <f>BE36*'R&amp;S - Others'!$D$8*'R&amp;S - Others'!$B$12*('R&amp;S - Others'!$C$16+('R&amp;S - Others'!$C$17-'R&amp;S - Others'!$C$16)*(BE$3-$X$3)/10)</f>
        <v>0.15604195690873948</v>
      </c>
      <c r="BF38" s="43">
        <f>BF36*'R&amp;S - Others'!$D$8*'R&amp;S - Others'!$B$12*('R&amp;S - Others'!$C$16+('R&amp;S - Others'!$C$17-'R&amp;S - Others'!$C$16)*(BF$3-$X$3)/10)</f>
        <v>0.16460751020537792</v>
      </c>
      <c r="BG38" s="43">
        <f>BG36*'R&amp;S - Others'!$D$8*'R&amp;S - Others'!$B$12*('R&amp;S - Others'!$C$16+('R&amp;S - Others'!$C$17-'R&amp;S - Others'!$C$16)*(BG$3-$X$3)/10)</f>
        <v>0.17325670938997229</v>
      </c>
      <c r="BH38" s="43">
        <f>BH36*'R&amp;S - Others'!$D$8*'R&amp;S - Others'!$B$12*('R&amp;S - Others'!$C$16+('R&amp;S - Others'!$C$17-'R&amp;S - Others'!$C$16)*(BH$3-$X$3)/10)</f>
        <v>0.18198901892003858</v>
      </c>
      <c r="BI38" s="43">
        <f>BI36*'R&amp;S - Others'!$D$8*'R&amp;S - Others'!$B$12*('R&amp;S - Others'!$C$16+('R&amp;S - Others'!$C$17-'R&amp;S - Others'!$C$16)*(BI$3-$X$3)/10)</f>
        <v>0.19080386055610893</v>
      </c>
      <c r="BJ38" s="43">
        <f>BJ36*'R&amp;S - Others'!$D$8*'R&amp;S - Others'!$B$12*('R&amp;S - Others'!$C$16+('R&amp;S - Others'!$C$17-'R&amp;S - Others'!$C$16)*(BJ$3-$X$3)/10)</f>
        <v>0.19937514313597099</v>
      </c>
      <c r="BK38" s="43">
        <f>BK36*'R&amp;S - Others'!$D$8*'R&amp;S - Others'!$B$12*('R&amp;S - Others'!$C$16+('R&amp;S - Others'!$C$17-'R&amp;S - Others'!$C$16)*(BK$3-$X$3)/10)</f>
        <v>0.20799491084383906</v>
      </c>
      <c r="BL38" s="43">
        <f>BL36*'R&amp;S - Others'!$D$8*'R&amp;S - Others'!$B$12*('R&amp;S - Others'!$C$16+('R&amp;S - Others'!$C$17-'R&amp;S - Others'!$C$16)*(BL$3-$X$3)/10)</f>
        <v>0.21666152143389211</v>
      </c>
      <c r="BM38" s="43">
        <f>BM36*'R&amp;S - Others'!$D$8*'R&amp;S - Others'!$B$12*('R&amp;S - Others'!$C$16+('R&amp;S - Others'!$C$17-'R&amp;S - Others'!$C$16)*(BM$3-$X$3)/10)</f>
        <v>0.22537326617453915</v>
      </c>
      <c r="BN38" s="43">
        <f>BN36*'R&amp;S - Others'!$D$8*'R&amp;S - Others'!$B$12*('R&amp;S - Others'!$C$16+('R&amp;S - Others'!$C$17-'R&amp;S - Others'!$C$16)*(BN$3-$X$3)/10)</f>
        <v>0.23412836821995764</v>
      </c>
    </row>
    <row r="39" spans="1:66" outlineLevel="1" x14ac:dyDescent="0.2">
      <c r="A39" s="178"/>
      <c r="B39" s="178" t="s">
        <v>197</v>
      </c>
      <c r="C39" s="179" t="s">
        <v>153</v>
      </c>
      <c r="D39" s="180">
        <f>D36-D37-D38</f>
        <v>4.696762105263157</v>
      </c>
      <c r="E39" s="180">
        <f t="shared" ref="E39:AH39" si="37">E36-E37-E38</f>
        <v>4.9017496999580112</v>
      </c>
      <c r="F39" s="180">
        <f t="shared" si="37"/>
        <v>5.1112726541122511</v>
      </c>
      <c r="G39" s="180">
        <f t="shared" si="37"/>
        <v>5.3253962174832434</v>
      </c>
      <c r="H39" s="180">
        <f t="shared" si="37"/>
        <v>5.5441856621096086</v>
      </c>
      <c r="I39" s="180">
        <f t="shared" si="37"/>
        <v>5.7677062373935062</v>
      </c>
      <c r="J39" s="180">
        <f t="shared" si="37"/>
        <v>5.9738317966016474</v>
      </c>
      <c r="K39" s="180">
        <f t="shared" si="37"/>
        <v>6.1840212648596022</v>
      </c>
      <c r="L39" s="180">
        <f t="shared" si="37"/>
        <v>6.3983213304455333</v>
      </c>
      <c r="M39" s="180">
        <f t="shared" si="37"/>
        <v>6.6167782388400331</v>
      </c>
      <c r="N39" s="180">
        <f t="shared" si="37"/>
        <v>6.8394377406413831</v>
      </c>
      <c r="O39" s="180">
        <f t="shared" si="37"/>
        <v>7.014640946244822</v>
      </c>
      <c r="P39" s="180">
        <f t="shared" si="37"/>
        <v>7.1925239065645306</v>
      </c>
      <c r="Q39" s="180">
        <f t="shared" si="37"/>
        <v>7.373100939825143</v>
      </c>
      <c r="R39" s="180">
        <f t="shared" si="37"/>
        <v>7.5563855184856878</v>
      </c>
      <c r="S39" s="180">
        <f t="shared" si="37"/>
        <v>7.7423902239788776</v>
      </c>
      <c r="T39" s="180">
        <f t="shared" si="37"/>
        <v>7.7476363363979717</v>
      </c>
      <c r="U39" s="180">
        <f t="shared" si="37"/>
        <v>7.7522874138254068</v>
      </c>
      <c r="V39" s="180">
        <f t="shared" si="37"/>
        <v>7.7563343243805223</v>
      </c>
      <c r="W39" s="180">
        <f t="shared" si="37"/>
        <v>7.7597678914495232</v>
      </c>
      <c r="X39" s="180">
        <f t="shared" si="37"/>
        <v>7.762578895262795</v>
      </c>
      <c r="Y39" s="180">
        <f t="shared" si="37"/>
        <v>7.7454370772222729</v>
      </c>
      <c r="Z39" s="180">
        <f t="shared" si="37"/>
        <v>7.7275086109601583</v>
      </c>
      <c r="AA39" s="180">
        <f t="shared" si="37"/>
        <v>7.7087867128052752</v>
      </c>
      <c r="AB39" s="180">
        <f t="shared" si="37"/>
        <v>7.689264678792382</v>
      </c>
      <c r="AC39" s="180">
        <f t="shared" si="37"/>
        <v>7.6689358893395099</v>
      </c>
      <c r="AD39" s="180">
        <f t="shared" si="37"/>
        <v>7.6353295556516274</v>
      </c>
      <c r="AE39" s="180">
        <f t="shared" si="37"/>
        <v>7.6008474323512489</v>
      </c>
      <c r="AF39" s="180">
        <f t="shared" si="37"/>
        <v>7.5654855724727303</v>
      </c>
      <c r="AG39" s="180">
        <f t="shared" si="37"/>
        <v>7.5292402132347078</v>
      </c>
      <c r="AH39" s="180">
        <f t="shared" si="37"/>
        <v>7.4921077830386436</v>
      </c>
      <c r="AJ39" s="180">
        <f>AJ36-AJ37-AJ38</f>
        <v>4.696762105263157</v>
      </c>
      <c r="AK39" s="180">
        <f t="shared" ref="AK39:BN39" si="38">AK36-AK37-AK38</f>
        <v>4.9180329433744205</v>
      </c>
      <c r="AL39" s="180">
        <f t="shared" si="38"/>
        <v>5.1454583042106918</v>
      </c>
      <c r="AM39" s="180">
        <f t="shared" si="38"/>
        <v>5.379182610620445</v>
      </c>
      <c r="AN39" s="180">
        <f t="shared" si="38"/>
        <v>5.6193533395334452</v>
      </c>
      <c r="AO39" s="180">
        <f t="shared" si="38"/>
        <v>5.8661210801204895</v>
      </c>
      <c r="AP39" s="180">
        <f t="shared" si="38"/>
        <v>6.0969907611713188</v>
      </c>
      <c r="AQ39" s="180">
        <f t="shared" si="38"/>
        <v>6.3337915429244553</v>
      </c>
      <c r="AR39" s="180">
        <f t="shared" si="38"/>
        <v>6.576652921581263</v>
      </c>
      <c r="AS39" s="180">
        <f t="shared" si="38"/>
        <v>6.8257069159541617</v>
      </c>
      <c r="AT39" s="180">
        <f t="shared" si="38"/>
        <v>7.081088110492737</v>
      </c>
      <c r="AU39" s="180">
        <f t="shared" si="38"/>
        <v>7.289205822618217</v>
      </c>
      <c r="AV39" s="180">
        <f t="shared" si="38"/>
        <v>7.5018461770901128</v>
      </c>
      <c r="AW39" s="180">
        <f t="shared" si="38"/>
        <v>7.7190930972507594</v>
      </c>
      <c r="AX39" s="180">
        <f t="shared" si="38"/>
        <v>7.9410318505196669</v>
      </c>
      <c r="AY39" s="180">
        <f t="shared" si="38"/>
        <v>8.1677490653628446</v>
      </c>
      <c r="AZ39" s="180">
        <f t="shared" si="38"/>
        <v>8.2050102167220036</v>
      </c>
      <c r="BA39" s="180">
        <f t="shared" si="38"/>
        <v>8.242153739479388</v>
      </c>
      <c r="BB39" s="180">
        <f t="shared" si="38"/>
        <v>8.2791739281801178</v>
      </c>
      <c r="BC39" s="180">
        <f t="shared" si="38"/>
        <v>8.3160649950327432</v>
      </c>
      <c r="BD39" s="180">
        <f t="shared" si="38"/>
        <v>8.3528210693265557</v>
      </c>
      <c r="BE39" s="180">
        <f t="shared" si="38"/>
        <v>8.3696049048572299</v>
      </c>
      <c r="BF39" s="180">
        <f t="shared" si="38"/>
        <v>8.3859386517816699</v>
      </c>
      <c r="BG39" s="180">
        <f t="shared" si="38"/>
        <v>8.4018135503651639</v>
      </c>
      <c r="BH39" s="180">
        <f t="shared" si="38"/>
        <v>8.4172207544725364</v>
      </c>
      <c r="BI39" s="180">
        <f t="shared" si="38"/>
        <v>8.4321513315639454</v>
      </c>
      <c r="BJ39" s="180">
        <f t="shared" si="38"/>
        <v>8.432830128195512</v>
      </c>
      <c r="BK39" s="180">
        <f t="shared" si="38"/>
        <v>8.4328270757266068</v>
      </c>
      <c r="BL39" s="180">
        <f t="shared" si="38"/>
        <v>8.4321316582083004</v>
      </c>
      <c r="BM39" s="180">
        <f t="shared" si="38"/>
        <v>8.4307332779328643</v>
      </c>
      <c r="BN39" s="180">
        <f t="shared" si="38"/>
        <v>8.4286212559184737</v>
      </c>
    </row>
    <row r="40" spans="1:66" s="67" customFormat="1" outlineLevel="2" x14ac:dyDescent="0.2">
      <c r="B40" s="58" t="s">
        <v>210</v>
      </c>
      <c r="C40" s="59" t="s">
        <v>153</v>
      </c>
      <c r="D40" s="60">
        <v>0</v>
      </c>
      <c r="E40" s="60">
        <v>0</v>
      </c>
      <c r="F40" s="60">
        <v>0</v>
      </c>
      <c r="G40" s="60">
        <v>0</v>
      </c>
      <c r="H40" s="60">
        <v>0</v>
      </c>
      <c r="I40" s="60">
        <v>0</v>
      </c>
      <c r="J40" s="60">
        <v>0</v>
      </c>
      <c r="K40" s="60">
        <v>0</v>
      </c>
      <c r="L40" s="60">
        <v>0</v>
      </c>
      <c r="M40" s="60">
        <v>0</v>
      </c>
      <c r="N40" s="60">
        <v>0</v>
      </c>
      <c r="O40" s="60">
        <v>0</v>
      </c>
      <c r="P40" s="60">
        <v>0</v>
      </c>
      <c r="Q40" s="60">
        <v>0</v>
      </c>
      <c r="R40" s="60">
        <v>0</v>
      </c>
      <c r="S40" s="60">
        <v>0</v>
      </c>
      <c r="T40" s="60">
        <v>0</v>
      </c>
      <c r="U40" s="60">
        <v>0</v>
      </c>
      <c r="V40" s="60">
        <v>0</v>
      </c>
      <c r="W40" s="60">
        <v>0</v>
      </c>
      <c r="X40" s="60">
        <v>0</v>
      </c>
      <c r="Y40" s="60">
        <v>0</v>
      </c>
      <c r="Z40" s="60">
        <v>0</v>
      </c>
      <c r="AA40" s="60">
        <v>0</v>
      </c>
      <c r="AB40" s="60">
        <v>0</v>
      </c>
      <c r="AC40" s="60">
        <v>0</v>
      </c>
      <c r="AD40" s="60">
        <v>0</v>
      </c>
      <c r="AE40" s="60">
        <v>0</v>
      </c>
      <c r="AF40" s="60">
        <v>0</v>
      </c>
      <c r="AG40" s="60">
        <v>0</v>
      </c>
      <c r="AH40" s="60">
        <v>0</v>
      </c>
      <c r="AJ40" s="60">
        <f>D40</f>
        <v>0</v>
      </c>
      <c r="AK40" s="60">
        <f t="shared" ref="AK40:AZ41" si="39">E40</f>
        <v>0</v>
      </c>
      <c r="AL40" s="60">
        <f t="shared" si="39"/>
        <v>0</v>
      </c>
      <c r="AM40" s="60">
        <f t="shared" si="39"/>
        <v>0</v>
      </c>
      <c r="AN40" s="60">
        <f t="shared" si="39"/>
        <v>0</v>
      </c>
      <c r="AO40" s="60">
        <f t="shared" si="39"/>
        <v>0</v>
      </c>
      <c r="AP40" s="60">
        <f t="shared" si="39"/>
        <v>0</v>
      </c>
      <c r="AQ40" s="60">
        <f t="shared" si="39"/>
        <v>0</v>
      </c>
      <c r="AR40" s="60">
        <f t="shared" si="39"/>
        <v>0</v>
      </c>
      <c r="AS40" s="60">
        <f t="shared" si="39"/>
        <v>0</v>
      </c>
      <c r="AT40" s="60">
        <f t="shared" si="39"/>
        <v>0</v>
      </c>
      <c r="AU40" s="60">
        <f t="shared" si="39"/>
        <v>0</v>
      </c>
      <c r="AV40" s="60">
        <f t="shared" si="39"/>
        <v>0</v>
      </c>
      <c r="AW40" s="60">
        <f t="shared" si="39"/>
        <v>0</v>
      </c>
      <c r="AX40" s="60">
        <f t="shared" si="39"/>
        <v>0</v>
      </c>
      <c r="AY40" s="60">
        <f t="shared" si="39"/>
        <v>0</v>
      </c>
      <c r="AZ40" s="60">
        <f t="shared" si="39"/>
        <v>0</v>
      </c>
      <c r="BA40" s="60">
        <f t="shared" ref="BA40:BN41" si="40">U40</f>
        <v>0</v>
      </c>
      <c r="BB40" s="60">
        <f t="shared" si="40"/>
        <v>0</v>
      </c>
      <c r="BC40" s="60">
        <f t="shared" si="40"/>
        <v>0</v>
      </c>
      <c r="BD40" s="60">
        <f t="shared" si="40"/>
        <v>0</v>
      </c>
      <c r="BE40" s="60">
        <f t="shared" si="40"/>
        <v>0</v>
      </c>
      <c r="BF40" s="60">
        <f t="shared" si="40"/>
        <v>0</v>
      </c>
      <c r="BG40" s="60">
        <f t="shared" si="40"/>
        <v>0</v>
      </c>
      <c r="BH40" s="60">
        <f t="shared" si="40"/>
        <v>0</v>
      </c>
      <c r="BI40" s="60">
        <f t="shared" si="40"/>
        <v>0</v>
      </c>
      <c r="BJ40" s="60">
        <f t="shared" si="40"/>
        <v>0</v>
      </c>
      <c r="BK40" s="60">
        <f t="shared" si="40"/>
        <v>0</v>
      </c>
      <c r="BL40" s="60">
        <f t="shared" si="40"/>
        <v>0</v>
      </c>
      <c r="BM40" s="60">
        <f t="shared" si="40"/>
        <v>0</v>
      </c>
      <c r="BN40" s="60">
        <f t="shared" si="40"/>
        <v>0</v>
      </c>
    </row>
    <row r="41" spans="1:66" outlineLevel="2" x14ac:dyDescent="0.2">
      <c r="B41" s="1" t="s">
        <v>211</v>
      </c>
      <c r="C41" s="54" t="s">
        <v>153</v>
      </c>
      <c r="D41" s="44">
        <v>0</v>
      </c>
      <c r="E41" s="44">
        <v>0</v>
      </c>
      <c r="F41" s="44">
        <v>0</v>
      </c>
      <c r="G41" s="44">
        <v>0</v>
      </c>
      <c r="H41" s="44">
        <v>0</v>
      </c>
      <c r="I41" s="44">
        <v>0</v>
      </c>
      <c r="J41" s="44">
        <v>0</v>
      </c>
      <c r="K41" s="44">
        <v>0</v>
      </c>
      <c r="L41" s="44">
        <v>0</v>
      </c>
      <c r="M41" s="44">
        <v>0</v>
      </c>
      <c r="N41" s="44">
        <v>0</v>
      </c>
      <c r="O41" s="44">
        <v>0</v>
      </c>
      <c r="P41" s="44">
        <v>0</v>
      </c>
      <c r="Q41" s="44">
        <v>0</v>
      </c>
      <c r="R41" s="44">
        <v>0</v>
      </c>
      <c r="S41" s="44">
        <v>0</v>
      </c>
      <c r="T41" s="44">
        <v>0</v>
      </c>
      <c r="U41" s="44">
        <v>0</v>
      </c>
      <c r="V41" s="44">
        <v>0</v>
      </c>
      <c r="W41" s="44">
        <v>0</v>
      </c>
      <c r="X41" s="44">
        <v>0</v>
      </c>
      <c r="Y41" s="44">
        <v>0</v>
      </c>
      <c r="Z41" s="44">
        <v>0</v>
      </c>
      <c r="AA41" s="44">
        <v>0</v>
      </c>
      <c r="AB41" s="44">
        <v>0</v>
      </c>
      <c r="AC41" s="44">
        <v>0</v>
      </c>
      <c r="AD41" s="44">
        <v>0</v>
      </c>
      <c r="AE41" s="44">
        <v>0</v>
      </c>
      <c r="AF41" s="44">
        <v>0</v>
      </c>
      <c r="AG41" s="44">
        <v>0</v>
      </c>
      <c r="AH41" s="44">
        <v>0</v>
      </c>
      <c r="AJ41" s="44">
        <f>D41</f>
        <v>0</v>
      </c>
      <c r="AK41" s="44">
        <f t="shared" si="39"/>
        <v>0</v>
      </c>
      <c r="AL41" s="44">
        <f t="shared" si="39"/>
        <v>0</v>
      </c>
      <c r="AM41" s="44">
        <f t="shared" si="39"/>
        <v>0</v>
      </c>
      <c r="AN41" s="44">
        <f t="shared" si="39"/>
        <v>0</v>
      </c>
      <c r="AO41" s="44">
        <f t="shared" si="39"/>
        <v>0</v>
      </c>
      <c r="AP41" s="44">
        <f t="shared" si="39"/>
        <v>0</v>
      </c>
      <c r="AQ41" s="44">
        <f t="shared" si="39"/>
        <v>0</v>
      </c>
      <c r="AR41" s="44">
        <f t="shared" si="39"/>
        <v>0</v>
      </c>
      <c r="AS41" s="44">
        <f t="shared" si="39"/>
        <v>0</v>
      </c>
      <c r="AT41" s="44">
        <f t="shared" si="39"/>
        <v>0</v>
      </c>
      <c r="AU41" s="44">
        <f t="shared" si="39"/>
        <v>0</v>
      </c>
      <c r="AV41" s="44">
        <f t="shared" si="39"/>
        <v>0</v>
      </c>
      <c r="AW41" s="44">
        <f t="shared" si="39"/>
        <v>0</v>
      </c>
      <c r="AX41" s="44">
        <f t="shared" si="39"/>
        <v>0</v>
      </c>
      <c r="AY41" s="44">
        <f t="shared" si="39"/>
        <v>0</v>
      </c>
      <c r="AZ41" s="44">
        <f t="shared" si="39"/>
        <v>0</v>
      </c>
      <c r="BA41" s="44">
        <f t="shared" si="40"/>
        <v>0</v>
      </c>
      <c r="BB41" s="44">
        <f t="shared" si="40"/>
        <v>0</v>
      </c>
      <c r="BC41" s="44">
        <f t="shared" si="40"/>
        <v>0</v>
      </c>
      <c r="BD41" s="44">
        <f t="shared" si="40"/>
        <v>0</v>
      </c>
      <c r="BE41" s="44">
        <f t="shared" si="40"/>
        <v>0</v>
      </c>
      <c r="BF41" s="44">
        <f t="shared" si="40"/>
        <v>0</v>
      </c>
      <c r="BG41" s="44">
        <f t="shared" si="40"/>
        <v>0</v>
      </c>
      <c r="BH41" s="44">
        <f t="shared" si="40"/>
        <v>0</v>
      </c>
      <c r="BI41" s="44">
        <f t="shared" si="40"/>
        <v>0</v>
      </c>
      <c r="BJ41" s="44">
        <f t="shared" si="40"/>
        <v>0</v>
      </c>
      <c r="BK41" s="44">
        <f t="shared" si="40"/>
        <v>0</v>
      </c>
      <c r="BL41" s="44">
        <f t="shared" si="40"/>
        <v>0</v>
      </c>
      <c r="BM41" s="44">
        <f t="shared" si="40"/>
        <v>0</v>
      </c>
      <c r="BN41" s="44">
        <f t="shared" si="40"/>
        <v>0</v>
      </c>
    </row>
    <row r="42" spans="1:66" s="193" customFormat="1" ht="15.5" customHeight="1" outlineLevel="1" x14ac:dyDescent="0.2">
      <c r="A42" s="189" t="s">
        <v>212</v>
      </c>
      <c r="B42" s="190" t="s">
        <v>213</v>
      </c>
      <c r="C42" s="191" t="s">
        <v>153</v>
      </c>
      <c r="D42" s="192">
        <f>D40+D41</f>
        <v>0</v>
      </c>
      <c r="E42" s="192">
        <f t="shared" ref="E42:AH42" si="41">E40+E41</f>
        <v>0</v>
      </c>
      <c r="F42" s="192">
        <f t="shared" si="41"/>
        <v>0</v>
      </c>
      <c r="G42" s="192">
        <f t="shared" si="41"/>
        <v>0</v>
      </c>
      <c r="H42" s="192">
        <f t="shared" si="41"/>
        <v>0</v>
      </c>
      <c r="I42" s="192">
        <f t="shared" si="41"/>
        <v>0</v>
      </c>
      <c r="J42" s="192">
        <f t="shared" si="41"/>
        <v>0</v>
      </c>
      <c r="K42" s="192">
        <f t="shared" si="41"/>
        <v>0</v>
      </c>
      <c r="L42" s="192">
        <f t="shared" si="41"/>
        <v>0</v>
      </c>
      <c r="M42" s="192">
        <f t="shared" si="41"/>
        <v>0</v>
      </c>
      <c r="N42" s="192">
        <f t="shared" si="41"/>
        <v>0</v>
      </c>
      <c r="O42" s="192">
        <f t="shared" si="41"/>
        <v>0</v>
      </c>
      <c r="P42" s="192">
        <f t="shared" si="41"/>
        <v>0</v>
      </c>
      <c r="Q42" s="192">
        <f t="shared" si="41"/>
        <v>0</v>
      </c>
      <c r="R42" s="192">
        <f t="shared" si="41"/>
        <v>0</v>
      </c>
      <c r="S42" s="192">
        <f t="shared" si="41"/>
        <v>0</v>
      </c>
      <c r="T42" s="192">
        <f t="shared" si="41"/>
        <v>0</v>
      </c>
      <c r="U42" s="192">
        <f t="shared" si="41"/>
        <v>0</v>
      </c>
      <c r="V42" s="192">
        <f t="shared" si="41"/>
        <v>0</v>
      </c>
      <c r="W42" s="192">
        <f t="shared" si="41"/>
        <v>0</v>
      </c>
      <c r="X42" s="192">
        <f t="shared" si="41"/>
        <v>0</v>
      </c>
      <c r="Y42" s="192">
        <f t="shared" si="41"/>
        <v>0</v>
      </c>
      <c r="Z42" s="192">
        <f t="shared" si="41"/>
        <v>0</v>
      </c>
      <c r="AA42" s="192">
        <f t="shared" si="41"/>
        <v>0</v>
      </c>
      <c r="AB42" s="192">
        <f t="shared" si="41"/>
        <v>0</v>
      </c>
      <c r="AC42" s="192">
        <f t="shared" si="41"/>
        <v>0</v>
      </c>
      <c r="AD42" s="192">
        <f t="shared" si="41"/>
        <v>0</v>
      </c>
      <c r="AE42" s="192">
        <f t="shared" si="41"/>
        <v>0</v>
      </c>
      <c r="AF42" s="192">
        <f t="shared" si="41"/>
        <v>0</v>
      </c>
      <c r="AG42" s="192">
        <f t="shared" si="41"/>
        <v>0</v>
      </c>
      <c r="AH42" s="192">
        <f t="shared" si="41"/>
        <v>0</v>
      </c>
      <c r="AJ42" s="192">
        <f>AJ40+AJ41</f>
        <v>0</v>
      </c>
      <c r="AK42" s="192">
        <f t="shared" ref="AK42:BN42" si="42">AK40+AK41</f>
        <v>0</v>
      </c>
      <c r="AL42" s="192">
        <f t="shared" si="42"/>
        <v>0</v>
      </c>
      <c r="AM42" s="192">
        <f t="shared" si="42"/>
        <v>0</v>
      </c>
      <c r="AN42" s="192">
        <f t="shared" si="42"/>
        <v>0</v>
      </c>
      <c r="AO42" s="192">
        <f t="shared" si="42"/>
        <v>0</v>
      </c>
      <c r="AP42" s="192">
        <f t="shared" si="42"/>
        <v>0</v>
      </c>
      <c r="AQ42" s="192">
        <f t="shared" si="42"/>
        <v>0</v>
      </c>
      <c r="AR42" s="192">
        <f t="shared" si="42"/>
        <v>0</v>
      </c>
      <c r="AS42" s="192">
        <f t="shared" si="42"/>
        <v>0</v>
      </c>
      <c r="AT42" s="192">
        <f t="shared" si="42"/>
        <v>0</v>
      </c>
      <c r="AU42" s="192">
        <f t="shared" si="42"/>
        <v>0</v>
      </c>
      <c r="AV42" s="192">
        <f t="shared" si="42"/>
        <v>0</v>
      </c>
      <c r="AW42" s="192">
        <f t="shared" si="42"/>
        <v>0</v>
      </c>
      <c r="AX42" s="192">
        <f t="shared" si="42"/>
        <v>0</v>
      </c>
      <c r="AY42" s="192">
        <f t="shared" si="42"/>
        <v>0</v>
      </c>
      <c r="AZ42" s="192">
        <f t="shared" si="42"/>
        <v>0</v>
      </c>
      <c r="BA42" s="192">
        <f t="shared" si="42"/>
        <v>0</v>
      </c>
      <c r="BB42" s="192">
        <f t="shared" si="42"/>
        <v>0</v>
      </c>
      <c r="BC42" s="192">
        <f t="shared" si="42"/>
        <v>0</v>
      </c>
      <c r="BD42" s="192">
        <f t="shared" si="42"/>
        <v>0</v>
      </c>
      <c r="BE42" s="192">
        <f t="shared" si="42"/>
        <v>0</v>
      </c>
      <c r="BF42" s="192">
        <f t="shared" si="42"/>
        <v>0</v>
      </c>
      <c r="BG42" s="192">
        <f t="shared" si="42"/>
        <v>0</v>
      </c>
      <c r="BH42" s="192">
        <f t="shared" si="42"/>
        <v>0</v>
      </c>
      <c r="BI42" s="192">
        <f t="shared" si="42"/>
        <v>0</v>
      </c>
      <c r="BJ42" s="192">
        <f t="shared" si="42"/>
        <v>0</v>
      </c>
      <c r="BK42" s="192">
        <f t="shared" si="42"/>
        <v>0</v>
      </c>
      <c r="BL42" s="192">
        <f t="shared" si="42"/>
        <v>0</v>
      </c>
      <c r="BM42" s="192">
        <f t="shared" si="42"/>
        <v>0</v>
      </c>
      <c r="BN42" s="192">
        <f t="shared" si="42"/>
        <v>0</v>
      </c>
    </row>
    <row r="43" spans="1:66" outlineLevel="1" x14ac:dyDescent="0.2">
      <c r="A43" s="1" t="s">
        <v>67</v>
      </c>
      <c r="B43" s="1" t="s">
        <v>168</v>
      </c>
      <c r="C43" s="54" t="s">
        <v>153</v>
      </c>
      <c r="D43" s="66">
        <f t="shared" ref="D43:AH43" si="43">D15+D21+D27+D33+D37</f>
        <v>0</v>
      </c>
      <c r="E43" s="66">
        <f t="shared" si="43"/>
        <v>0.10799851747650381</v>
      </c>
      <c r="F43" s="66">
        <f t="shared" si="43"/>
        <v>0.2208143696939138</v>
      </c>
      <c r="G43" s="66">
        <f t="shared" si="43"/>
        <v>0.33861751688808095</v>
      </c>
      <c r="H43" s="66">
        <f t="shared" si="43"/>
        <v>0.46158344255939876</v>
      </c>
      <c r="I43" s="66">
        <f t="shared" si="43"/>
        <v>0.58989332551540807</v>
      </c>
      <c r="J43" s="66">
        <f t="shared" si="43"/>
        <v>0.7230479589114045</v>
      </c>
      <c r="K43" s="66">
        <f t="shared" si="43"/>
        <v>0.86165790403280618</v>
      </c>
      <c r="L43" s="66">
        <f t="shared" si="43"/>
        <v>1.0059036284635987</v>
      </c>
      <c r="M43" s="66">
        <f t="shared" si="43"/>
        <v>1.1559711136358854</v>
      </c>
      <c r="N43" s="66">
        <f t="shared" si="43"/>
        <v>1.3120520164673932</v>
      </c>
      <c r="O43" s="66">
        <f t="shared" si="43"/>
        <v>1.5732631617851047</v>
      </c>
      <c r="P43" s="66">
        <f t="shared" si="43"/>
        <v>1.843099230925376</v>
      </c>
      <c r="Q43" s="66">
        <f t="shared" si="43"/>
        <v>2.1217888706836807</v>
      </c>
      <c r="R43" s="66">
        <f t="shared" si="43"/>
        <v>2.4095663666432618</v>
      </c>
      <c r="S43" s="66">
        <f t="shared" si="43"/>
        <v>2.7066717784284364</v>
      </c>
      <c r="T43" s="66">
        <f t="shared" si="43"/>
        <v>2.9971028259433612</v>
      </c>
      <c r="U43" s="66">
        <f t="shared" si="43"/>
        <v>3.2947557339306233</v>
      </c>
      <c r="V43" s="66">
        <f t="shared" si="43"/>
        <v>3.5997720775784812</v>
      </c>
      <c r="W43" s="66">
        <f t="shared" si="43"/>
        <v>3.9122959465255978</v>
      </c>
      <c r="X43" s="66">
        <f t="shared" si="43"/>
        <v>4.2324739872357586</v>
      </c>
      <c r="Y43" s="66">
        <f t="shared" si="43"/>
        <v>4.7400570186986002</v>
      </c>
      <c r="Z43" s="66">
        <f t="shared" si="43"/>
        <v>5.2605139945023565</v>
      </c>
      <c r="AA43" s="66">
        <f t="shared" si="43"/>
        <v>5.7941022045057871</v>
      </c>
      <c r="AB43" s="66">
        <f t="shared" si="43"/>
        <v>6.3410836016989292</v>
      </c>
      <c r="AC43" s="66">
        <f t="shared" si="43"/>
        <v>6.9017248824299235</v>
      </c>
      <c r="AD43" s="66">
        <f t="shared" si="43"/>
        <v>7.4743447537900707</v>
      </c>
      <c r="AE43" s="66">
        <f t="shared" si="43"/>
        <v>8.0609759134837304</v>
      </c>
      <c r="AF43" s="66">
        <f t="shared" si="43"/>
        <v>8.6618942109648653</v>
      </c>
      <c r="AG43" s="66">
        <f t="shared" si="43"/>
        <v>9.2773804604640286</v>
      </c>
      <c r="AH43" s="66">
        <f t="shared" si="43"/>
        <v>9.9077205261709906</v>
      </c>
      <c r="AJ43" s="66">
        <f t="shared" ref="AJ43:BN43" si="44">AJ15+AJ21+AJ27+AJ33+AJ37</f>
        <v>0</v>
      </c>
      <c r="AK43" s="66">
        <f t="shared" si="44"/>
        <v>5.0635907113984954E-2</v>
      </c>
      <c r="AL43" s="66">
        <f t="shared" si="44"/>
        <v>0.10358435480127681</v>
      </c>
      <c r="AM43" s="66">
        <f t="shared" si="44"/>
        <v>0.15892826265458054</v>
      </c>
      <c r="AN43" s="66">
        <f t="shared" si="44"/>
        <v>0.21675327263809691</v>
      </c>
      <c r="AO43" s="66">
        <f t="shared" si="44"/>
        <v>0.27714783440751301</v>
      </c>
      <c r="AP43" s="66">
        <f t="shared" si="44"/>
        <v>0.33986016411696784</v>
      </c>
      <c r="AQ43" s="66">
        <f t="shared" si="44"/>
        <v>0.40519332058467167</v>
      </c>
      <c r="AR43" s="66">
        <f t="shared" si="44"/>
        <v>0.4732352736391322</v>
      </c>
      <c r="AS43" s="66">
        <f t="shared" si="44"/>
        <v>0.54407670714329703</v>
      </c>
      <c r="AT43" s="66">
        <f t="shared" si="44"/>
        <v>0.61781109904982456</v>
      </c>
      <c r="AU43" s="66">
        <f t="shared" si="44"/>
        <v>0.74415777505320113</v>
      </c>
      <c r="AV43" s="66">
        <f t="shared" si="44"/>
        <v>0.87470299490547621</v>
      </c>
      <c r="AW43" s="66">
        <f t="shared" si="44"/>
        <v>1.009558695875495</v>
      </c>
      <c r="AX43" s="66">
        <f t="shared" si="44"/>
        <v>1.148839589692461</v>
      </c>
      <c r="AY43" s="66">
        <f t="shared" si="44"/>
        <v>1.2926632293756386</v>
      </c>
      <c r="AZ43" s="66">
        <f t="shared" si="44"/>
        <v>1.4330259515431865</v>
      </c>
      <c r="BA43" s="66">
        <f t="shared" si="44"/>
        <v>1.5768732978670692</v>
      </c>
      <c r="BB43" s="66">
        <f t="shared" si="44"/>
        <v>1.7242734370382489</v>
      </c>
      <c r="BC43" s="66">
        <f t="shared" si="44"/>
        <v>1.8752957459163206</v>
      </c>
      <c r="BD43" s="66">
        <f t="shared" si="44"/>
        <v>2.03001082984962</v>
      </c>
      <c r="BE43" s="66">
        <f t="shared" si="44"/>
        <v>2.2781628206726214</v>
      </c>
      <c r="BF43" s="66">
        <f t="shared" si="44"/>
        <v>2.5326082108873624</v>
      </c>
      <c r="BG43" s="66">
        <f t="shared" si="44"/>
        <v>2.7934726936859726</v>
      </c>
      <c r="BH43" s="66">
        <f t="shared" si="44"/>
        <v>3.060884238783129</v>
      </c>
      <c r="BI43" s="66">
        <f t="shared" si="44"/>
        <v>3.3349731315590869</v>
      </c>
      <c r="BJ43" s="66">
        <f t="shared" si="44"/>
        <v>3.6148956057653296</v>
      </c>
      <c r="BK43" s="66">
        <f t="shared" si="44"/>
        <v>3.9016648324558734</v>
      </c>
      <c r="BL43" s="66">
        <f t="shared" si="44"/>
        <v>4.1954154995348576</v>
      </c>
      <c r="BM43" s="66">
        <f t="shared" si="44"/>
        <v>4.4962847172320126</v>
      </c>
      <c r="BN43" s="66">
        <f t="shared" si="44"/>
        <v>4.8044120596383557</v>
      </c>
    </row>
    <row r="44" spans="1:66" outlineLevel="1" x14ac:dyDescent="0.2">
      <c r="B44" s="1" t="s">
        <v>172</v>
      </c>
      <c r="C44" s="54" t="s">
        <v>153</v>
      </c>
      <c r="D44" s="66">
        <f t="shared" ref="D44:AH44" si="45">D16+D24+D28+D34+D38</f>
        <v>0</v>
      </c>
      <c r="E44" s="66">
        <f t="shared" si="45"/>
        <v>9.5788547068460187E-3</v>
      </c>
      <c r="F44" s="66">
        <f t="shared" si="45"/>
        <v>2.0008368109012152E-2</v>
      </c>
      <c r="G44" s="66">
        <f t="shared" si="45"/>
        <v>3.1329007259110274E-2</v>
      </c>
      <c r="H44" s="66">
        <f t="shared" si="45"/>
        <v>4.3582771886750041E-2</v>
      </c>
      <c r="I44" s="66">
        <f t="shared" si="45"/>
        <v>5.6813246236952386E-2</v>
      </c>
      <c r="J44" s="66">
        <f t="shared" si="45"/>
        <v>7.0836899813424878E-2</v>
      </c>
      <c r="K44" s="66">
        <f t="shared" si="45"/>
        <v>8.5839799606376166E-2</v>
      </c>
      <c r="L44" s="66">
        <f t="shared" si="45"/>
        <v>0.10186431701804097</v>
      </c>
      <c r="M44" s="66">
        <f t="shared" si="45"/>
        <v>0.11895432448263167</v>
      </c>
      <c r="N44" s="66">
        <f t="shared" si="45"/>
        <v>0.1371552433480128</v>
      </c>
      <c r="O44" s="66">
        <f t="shared" si="45"/>
        <v>0.15550220053514002</v>
      </c>
      <c r="P44" s="66">
        <f t="shared" si="45"/>
        <v>0.1745869661711166</v>
      </c>
      <c r="Q44" s="66">
        <f t="shared" si="45"/>
        <v>0.19493526120471522</v>
      </c>
      <c r="R44" s="66">
        <f t="shared" si="45"/>
        <v>0.21632917387903766</v>
      </c>
      <c r="S44" s="66">
        <f t="shared" si="45"/>
        <v>0.23880684487312073</v>
      </c>
      <c r="T44" s="66">
        <f t="shared" si="45"/>
        <v>0.25699150978274127</v>
      </c>
      <c r="U44" s="66">
        <f t="shared" si="45"/>
        <v>0.27547176656084149</v>
      </c>
      <c r="V44" s="66">
        <f t="shared" si="45"/>
        <v>0.29425050973349276</v>
      </c>
      <c r="W44" s="66">
        <f t="shared" si="45"/>
        <v>0.31333063717032794</v>
      </c>
      <c r="X44" s="66">
        <f t="shared" si="45"/>
        <v>0.33271504939621288</v>
      </c>
      <c r="Y44" s="66">
        <f t="shared" si="45"/>
        <v>0.35303249044981283</v>
      </c>
      <c r="Z44" s="66">
        <f t="shared" si="45"/>
        <v>0.37275107098579513</v>
      </c>
      <c r="AA44" s="66">
        <f t="shared" si="45"/>
        <v>0.39270253275006423</v>
      </c>
      <c r="AB44" s="66">
        <f t="shared" si="45"/>
        <v>0.41288715085019567</v>
      </c>
      <c r="AC44" s="66">
        <f t="shared" si="45"/>
        <v>0.43330514008061355</v>
      </c>
      <c r="AD44" s="66">
        <f t="shared" si="45"/>
        <v>0.4533057149129846</v>
      </c>
      <c r="AE44" s="66">
        <f t="shared" si="45"/>
        <v>0.47347438648398465</v>
      </c>
      <c r="AF44" s="66">
        <f t="shared" si="45"/>
        <v>0.49380931949943108</v>
      </c>
      <c r="AG44" s="66">
        <f t="shared" si="45"/>
        <v>0.51430857258762952</v>
      </c>
      <c r="AH44" s="66">
        <f t="shared" si="45"/>
        <v>0.53497009551515395</v>
      </c>
      <c r="AJ44" s="66">
        <f t="shared" ref="AJ44:BN44" si="46">AJ16+AJ24+AJ28+AJ34+AJ38</f>
        <v>0</v>
      </c>
      <c r="AK44" s="66">
        <f t="shared" si="46"/>
        <v>4.9257969433180223E-3</v>
      </c>
      <c r="AL44" s="66">
        <f t="shared" si="46"/>
        <v>1.0280820766689135E-2</v>
      </c>
      <c r="AM44" s="66">
        <f t="shared" si="46"/>
        <v>1.6085388541944898E-2</v>
      </c>
      <c r="AN44" s="66">
        <f t="shared" si="46"/>
        <v>2.2360585271273058E-2</v>
      </c>
      <c r="AO44" s="66">
        <f t="shared" si="46"/>
        <v>2.912828983485953E-2</v>
      </c>
      <c r="AP44" s="66">
        <f t="shared" si="46"/>
        <v>3.629682539144885E-2</v>
      </c>
      <c r="AQ44" s="66">
        <f t="shared" si="46"/>
        <v>4.3959315521670053E-2</v>
      </c>
      <c r="AR44" s="66">
        <f t="shared" si="46"/>
        <v>5.2137037720721625E-2</v>
      </c>
      <c r="AS44" s="66">
        <f t="shared" si="46"/>
        <v>6.0852021738782416E-2</v>
      </c>
      <c r="AT44" s="66">
        <f t="shared" si="46"/>
        <v>7.0127073552804717E-2</v>
      </c>
      <c r="AU44" s="66">
        <f t="shared" si="46"/>
        <v>7.9479853727719332E-2</v>
      </c>
      <c r="AV44" s="66">
        <f t="shared" si="46"/>
        <v>8.9119651740077979E-2</v>
      </c>
      <c r="AW44" s="66">
        <f t="shared" si="46"/>
        <v>9.9490675585306054E-2</v>
      </c>
      <c r="AX44" s="66">
        <f t="shared" si="46"/>
        <v>0.11038976217733709</v>
      </c>
      <c r="AY44" s="66">
        <f t="shared" si="46"/>
        <v>0.12183609181155569</v>
      </c>
      <c r="AZ44" s="66">
        <f t="shared" si="46"/>
        <v>0.1311413943114047</v>
      </c>
      <c r="BA44" s="66">
        <f t="shared" si="46"/>
        <v>0.14060008278529648</v>
      </c>
      <c r="BB44" s="66">
        <f t="shared" si="46"/>
        <v>0.15021372077191955</v>
      </c>
      <c r="BC44" s="66">
        <f t="shared" si="46"/>
        <v>0.15998387566341615</v>
      </c>
      <c r="BD44" s="66">
        <f t="shared" si="46"/>
        <v>0.1699121183998267</v>
      </c>
      <c r="BE44" s="66">
        <f t="shared" si="46"/>
        <v>0.18062299596930023</v>
      </c>
      <c r="BF44" s="66">
        <f t="shared" si="46"/>
        <v>0.19073302251733765</v>
      </c>
      <c r="BG44" s="66">
        <f t="shared" si="46"/>
        <v>0.2009658172331254</v>
      </c>
      <c r="BH44" s="66">
        <f t="shared" si="46"/>
        <v>0.21132164731235842</v>
      </c>
      <c r="BI44" s="66">
        <f t="shared" si="46"/>
        <v>0.22180075220723502</v>
      </c>
      <c r="BJ44" s="66">
        <f t="shared" si="46"/>
        <v>0.23207787366414662</v>
      </c>
      <c r="BK44" s="66">
        <f t="shared" si="46"/>
        <v>0.24244590426077547</v>
      </c>
      <c r="BL44" s="66">
        <f t="shared" si="46"/>
        <v>0.25290406590210895</v>
      </c>
      <c r="BM44" s="66">
        <f t="shared" si="46"/>
        <v>0.26345153004180677</v>
      </c>
      <c r="BN44" s="66">
        <f t="shared" si="46"/>
        <v>0.27408741633554301</v>
      </c>
    </row>
    <row r="45" spans="1:66" outlineLevel="1" x14ac:dyDescent="0.2">
      <c r="B45" s="1" t="s">
        <v>214</v>
      </c>
      <c r="C45" s="54" t="s">
        <v>153</v>
      </c>
      <c r="D45" s="66">
        <f t="shared" ref="D45:AH45" si="47">D11+D42</f>
        <v>0</v>
      </c>
      <c r="E45" s="66">
        <f t="shared" si="47"/>
        <v>0</v>
      </c>
      <c r="F45" s="66">
        <f t="shared" si="47"/>
        <v>0</v>
      </c>
      <c r="G45" s="66">
        <f t="shared" si="47"/>
        <v>0</v>
      </c>
      <c r="H45" s="66">
        <f t="shared" si="47"/>
        <v>0</v>
      </c>
      <c r="I45" s="66">
        <f t="shared" si="47"/>
        <v>0</v>
      </c>
      <c r="J45" s="66">
        <f t="shared" si="47"/>
        <v>0</v>
      </c>
      <c r="K45" s="66">
        <f t="shared" si="47"/>
        <v>0</v>
      </c>
      <c r="L45" s="66">
        <f t="shared" si="47"/>
        <v>0</v>
      </c>
      <c r="M45" s="66">
        <f t="shared" si="47"/>
        <v>0</v>
      </c>
      <c r="N45" s="66">
        <f t="shared" si="47"/>
        <v>0</v>
      </c>
      <c r="O45" s="66">
        <f t="shared" si="47"/>
        <v>0</v>
      </c>
      <c r="P45" s="66">
        <f t="shared" si="47"/>
        <v>0</v>
      </c>
      <c r="Q45" s="66">
        <f t="shared" si="47"/>
        <v>0</v>
      </c>
      <c r="R45" s="66">
        <f t="shared" si="47"/>
        <v>0</v>
      </c>
      <c r="S45" s="66">
        <f t="shared" si="47"/>
        <v>0</v>
      </c>
      <c r="T45" s="66">
        <f t="shared" si="47"/>
        <v>0</v>
      </c>
      <c r="U45" s="66">
        <f t="shared" si="47"/>
        <v>0</v>
      </c>
      <c r="V45" s="66">
        <f t="shared" si="47"/>
        <v>0</v>
      </c>
      <c r="W45" s="66">
        <f t="shared" si="47"/>
        <v>0</v>
      </c>
      <c r="X45" s="66">
        <f t="shared" si="47"/>
        <v>0</v>
      </c>
      <c r="Y45" s="66">
        <f t="shared" si="47"/>
        <v>0</v>
      </c>
      <c r="Z45" s="66">
        <f t="shared" si="47"/>
        <v>0</v>
      </c>
      <c r="AA45" s="66">
        <f t="shared" si="47"/>
        <v>0</v>
      </c>
      <c r="AB45" s="66">
        <f t="shared" si="47"/>
        <v>0</v>
      </c>
      <c r="AC45" s="66">
        <f t="shared" si="47"/>
        <v>0</v>
      </c>
      <c r="AD45" s="66">
        <f t="shared" si="47"/>
        <v>0</v>
      </c>
      <c r="AE45" s="66">
        <f t="shared" si="47"/>
        <v>0</v>
      </c>
      <c r="AF45" s="66">
        <f t="shared" si="47"/>
        <v>0</v>
      </c>
      <c r="AG45" s="66">
        <f t="shared" si="47"/>
        <v>0</v>
      </c>
      <c r="AH45" s="66">
        <f t="shared" si="47"/>
        <v>0</v>
      </c>
      <c r="AJ45" s="66">
        <f t="shared" ref="AJ45:BN45" si="48">AJ11+AJ42</f>
        <v>0</v>
      </c>
      <c r="AK45" s="66">
        <f t="shared" si="48"/>
        <v>0</v>
      </c>
      <c r="AL45" s="66">
        <f t="shared" si="48"/>
        <v>0</v>
      </c>
      <c r="AM45" s="66">
        <f t="shared" si="48"/>
        <v>0</v>
      </c>
      <c r="AN45" s="66">
        <f t="shared" si="48"/>
        <v>0</v>
      </c>
      <c r="AO45" s="66">
        <f t="shared" si="48"/>
        <v>0</v>
      </c>
      <c r="AP45" s="66">
        <f t="shared" si="48"/>
        <v>0</v>
      </c>
      <c r="AQ45" s="66">
        <f t="shared" si="48"/>
        <v>0</v>
      </c>
      <c r="AR45" s="66">
        <f t="shared" si="48"/>
        <v>0</v>
      </c>
      <c r="AS45" s="66">
        <f t="shared" si="48"/>
        <v>0</v>
      </c>
      <c r="AT45" s="66">
        <f t="shared" si="48"/>
        <v>0</v>
      </c>
      <c r="AU45" s="66">
        <f t="shared" si="48"/>
        <v>0</v>
      </c>
      <c r="AV45" s="66">
        <f t="shared" si="48"/>
        <v>0</v>
      </c>
      <c r="AW45" s="66">
        <f t="shared" si="48"/>
        <v>0</v>
      </c>
      <c r="AX45" s="66">
        <f t="shared" si="48"/>
        <v>0</v>
      </c>
      <c r="AY45" s="66">
        <f t="shared" si="48"/>
        <v>0</v>
      </c>
      <c r="AZ45" s="66">
        <f t="shared" si="48"/>
        <v>0</v>
      </c>
      <c r="BA45" s="66">
        <f t="shared" si="48"/>
        <v>0</v>
      </c>
      <c r="BB45" s="66">
        <f t="shared" si="48"/>
        <v>0</v>
      </c>
      <c r="BC45" s="66">
        <f t="shared" si="48"/>
        <v>0</v>
      </c>
      <c r="BD45" s="66">
        <f t="shared" si="48"/>
        <v>0</v>
      </c>
      <c r="BE45" s="66">
        <f t="shared" si="48"/>
        <v>0</v>
      </c>
      <c r="BF45" s="66">
        <f t="shared" si="48"/>
        <v>0</v>
      </c>
      <c r="BG45" s="66">
        <f t="shared" si="48"/>
        <v>0</v>
      </c>
      <c r="BH45" s="66">
        <f t="shared" si="48"/>
        <v>0</v>
      </c>
      <c r="BI45" s="66">
        <f t="shared" si="48"/>
        <v>0</v>
      </c>
      <c r="BJ45" s="66">
        <f t="shared" si="48"/>
        <v>0</v>
      </c>
      <c r="BK45" s="66">
        <f t="shared" si="48"/>
        <v>0</v>
      </c>
      <c r="BL45" s="66">
        <f t="shared" si="48"/>
        <v>0</v>
      </c>
      <c r="BM45" s="66">
        <f t="shared" si="48"/>
        <v>0</v>
      </c>
      <c r="BN45" s="66">
        <f t="shared" si="48"/>
        <v>0</v>
      </c>
    </row>
    <row r="46" spans="1:66" s="193" customFormat="1" x14ac:dyDescent="0.2">
      <c r="A46" s="102" t="s">
        <v>239</v>
      </c>
      <c r="B46" s="102"/>
      <c r="C46" s="103" t="s">
        <v>153</v>
      </c>
      <c r="D46" s="105">
        <f t="shared" ref="D46:AH46" si="49">D9+D45-D43-D44</f>
        <v>14.947368421052632</v>
      </c>
      <c r="E46" s="105">
        <f t="shared" si="49"/>
        <v>15.213829658930017</v>
      </c>
      <c r="F46" s="105">
        <f t="shared" si="49"/>
        <v>15.484489901351212</v>
      </c>
      <c r="G46" s="105">
        <f t="shared" si="49"/>
        <v>15.7593922310827</v>
      </c>
      <c r="H46" s="105">
        <f t="shared" si="49"/>
        <v>16.038579188313275</v>
      </c>
      <c r="I46" s="105">
        <f t="shared" si="49"/>
        <v>16.322092714119083</v>
      </c>
      <c r="J46" s="105">
        <f t="shared" si="49"/>
        <v>16.587782765130729</v>
      </c>
      <c r="K46" s="105">
        <f t="shared" si="49"/>
        <v>16.857083769473157</v>
      </c>
      <c r="L46" s="105">
        <f t="shared" si="49"/>
        <v>17.130017305780591</v>
      </c>
      <c r="M46" s="105">
        <f t="shared" si="49"/>
        <v>17.406603884739241</v>
      </c>
      <c r="N46" s="105">
        <f t="shared" si="49"/>
        <v>17.686862884263089</v>
      </c>
      <c r="O46" s="105">
        <f t="shared" si="49"/>
        <v>17.817153387052219</v>
      </c>
      <c r="P46" s="105">
        <f t="shared" si="49"/>
        <v>17.946859129117733</v>
      </c>
      <c r="Q46" s="105">
        <f t="shared" si="49"/>
        <v>18.075413745757245</v>
      </c>
      <c r="R46" s="105">
        <f t="shared" si="49"/>
        <v>18.202992892759319</v>
      </c>
      <c r="S46" s="105">
        <f t="shared" si="49"/>
        <v>18.329514512248082</v>
      </c>
      <c r="T46" s="105">
        <f t="shared" si="49"/>
        <v>18.271403292275973</v>
      </c>
      <c r="U46" s="105">
        <f t="shared" si="49"/>
        <v>18.208724209668624</v>
      </c>
      <c r="V46" s="105">
        <f t="shared" si="49"/>
        <v>18.141367524944862</v>
      </c>
      <c r="W46" s="105">
        <f t="shared" si="49"/>
        <v>18.069221389764106</v>
      </c>
      <c r="X46" s="105">
        <f t="shared" si="49"/>
        <v>17.992171810054963</v>
      </c>
      <c r="Y46" s="105">
        <f t="shared" si="49"/>
        <v>17.709533607645724</v>
      </c>
      <c r="Z46" s="105">
        <f t="shared" si="49"/>
        <v>17.417287015515701</v>
      </c>
      <c r="AA46" s="105">
        <f t="shared" si="49"/>
        <v>17.114371996562461</v>
      </c>
      <c r="AB46" s="105">
        <f t="shared" si="49"/>
        <v>16.800555632442798</v>
      </c>
      <c r="AC46" s="105">
        <f t="shared" si="49"/>
        <v>16.475600640448445</v>
      </c>
      <c r="AD46" s="105">
        <f t="shared" si="49"/>
        <v>16.12680103895762</v>
      </c>
      <c r="AE46" s="105">
        <f t="shared" si="49"/>
        <v>15.766318777708344</v>
      </c>
      <c r="AF46" s="105">
        <f t="shared" si="49"/>
        <v>15.393905409006649</v>
      </c>
      <c r="AG46" s="105">
        <f t="shared" si="49"/>
        <v>15.009307888260096</v>
      </c>
      <c r="AH46" s="105">
        <f t="shared" si="49"/>
        <v>14.612268494260183</v>
      </c>
      <c r="AJ46" s="105">
        <f t="shared" ref="AJ46:BN46" si="50">AJ9+AJ45-AJ43-AJ44</f>
        <v>14.947368421052632</v>
      </c>
      <c r="AK46" s="105">
        <f t="shared" si="50"/>
        <v>15.275845327056063</v>
      </c>
      <c r="AL46" s="105">
        <f t="shared" si="50"/>
        <v>15.611447463586172</v>
      </c>
      <c r="AM46" s="105">
        <f t="shared" si="50"/>
        <v>15.954325104033366</v>
      </c>
      <c r="AN46" s="105">
        <f t="shared" si="50"/>
        <v>16.304631544850054</v>
      </c>
      <c r="AO46" s="105">
        <f t="shared" si="50"/>
        <v>16.662523161629075</v>
      </c>
      <c r="AP46" s="105">
        <f t="shared" si="50"/>
        <v>17.005510634347143</v>
      </c>
      <c r="AQ46" s="105">
        <f t="shared" si="50"/>
        <v>17.355428837005999</v>
      </c>
      <c r="AR46" s="105">
        <f t="shared" si="50"/>
        <v>17.712412939902375</v>
      </c>
      <c r="AS46" s="105">
        <f t="shared" si="50"/>
        <v>18.07660059397568</v>
      </c>
      <c r="AT46" s="105">
        <f t="shared" si="50"/>
        <v>18.448131971475867</v>
      </c>
      <c r="AU46" s="105">
        <f t="shared" si="50"/>
        <v>18.722281120591543</v>
      </c>
      <c r="AV46" s="105">
        <f t="shared" si="50"/>
        <v>19.000722679568671</v>
      </c>
      <c r="AW46" s="105">
        <f t="shared" si="50"/>
        <v>19.283088506184843</v>
      </c>
      <c r="AX46" s="105">
        <f t="shared" si="50"/>
        <v>19.569659081411821</v>
      </c>
      <c r="AY46" s="105">
        <f t="shared" si="50"/>
        <v>19.860493814362446</v>
      </c>
      <c r="AZ46" s="105">
        <f t="shared" si="50"/>
        <v>19.961330282147483</v>
      </c>
      <c r="BA46" s="105">
        <f t="shared" si="50"/>
        <v>20.061478329507718</v>
      </c>
      <c r="BB46" s="105">
        <f t="shared" si="50"/>
        <v>20.160902954446669</v>
      </c>
      <c r="BC46" s="105">
        <f t="shared" si="50"/>
        <v>20.25956835188029</v>
      </c>
      <c r="BD46" s="105">
        <f t="shared" si="50"/>
        <v>20.357437898437489</v>
      </c>
      <c r="BE46" s="105">
        <f t="shared" si="50"/>
        <v>20.343837300152217</v>
      </c>
      <c r="BF46" s="105">
        <f t="shared" si="50"/>
        <v>20.327210847599151</v>
      </c>
      <c r="BG46" s="105">
        <f t="shared" si="50"/>
        <v>20.306738222899213</v>
      </c>
      <c r="BH46" s="105">
        <f t="shared" si="50"/>
        <v>20.282320498896436</v>
      </c>
      <c r="BI46" s="105">
        <f t="shared" si="50"/>
        <v>20.253856779192663</v>
      </c>
      <c r="BJ46" s="105">
        <f t="shared" si="50"/>
        <v>20.207478028231201</v>
      </c>
      <c r="BK46" s="105">
        <f t="shared" si="50"/>
        <v>20.15665834095941</v>
      </c>
      <c r="BL46" s="105">
        <f t="shared" si="50"/>
        <v>20.101289374033982</v>
      </c>
      <c r="BM46" s="105">
        <f t="shared" si="50"/>
        <v>20.041260674037936</v>
      </c>
      <c r="BN46" s="105">
        <f t="shared" si="50"/>
        <v>19.976459639972429</v>
      </c>
    </row>
    <row r="47" spans="1:66" x14ac:dyDescent="0.2">
      <c r="A47" s="512"/>
      <c r="C47" s="54"/>
      <c r="D47" s="44"/>
      <c r="E47" s="44"/>
      <c r="F47" s="44"/>
      <c r="G47" s="44"/>
      <c r="H47" s="44"/>
      <c r="I47" s="44"/>
      <c r="J47" s="44"/>
      <c r="K47" s="44"/>
      <c r="L47" s="44"/>
      <c r="M47" s="44"/>
      <c r="N47" s="44"/>
      <c r="O47" s="44"/>
      <c r="P47" s="44"/>
      <c r="Q47" s="44"/>
      <c r="R47" s="44"/>
      <c r="S47" s="44"/>
      <c r="T47" s="44"/>
      <c r="U47" s="44"/>
      <c r="V47" s="44"/>
      <c r="W47" s="44"/>
      <c r="X47" s="44"/>
      <c r="Y47" s="44"/>
      <c r="Z47" s="44"/>
      <c r="AA47" s="44"/>
      <c r="AB47" s="44"/>
      <c r="AC47" s="44"/>
      <c r="AD47" s="44"/>
      <c r="AE47" s="44"/>
      <c r="AF47" s="44"/>
      <c r="AG47" s="44"/>
      <c r="AH47" s="44"/>
      <c r="AJ47" s="44"/>
      <c r="AK47" s="44"/>
      <c r="AL47" s="44"/>
      <c r="AM47" s="44"/>
      <c r="AN47" s="44"/>
      <c r="AO47" s="44"/>
      <c r="AP47" s="44"/>
      <c r="AQ47" s="44"/>
      <c r="AR47" s="44"/>
      <c r="AS47" s="44"/>
      <c r="AT47" s="44"/>
      <c r="AU47" s="44"/>
      <c r="AV47" s="44"/>
      <c r="AW47" s="44"/>
      <c r="AX47" s="44"/>
      <c r="AY47" s="44"/>
      <c r="AZ47" s="44"/>
      <c r="BA47" s="44"/>
      <c r="BB47" s="44"/>
      <c r="BC47" s="44"/>
      <c r="BD47" s="44"/>
      <c r="BE47" s="44"/>
      <c r="BF47" s="44"/>
      <c r="BG47" s="44"/>
      <c r="BH47" s="44"/>
      <c r="BI47" s="44"/>
      <c r="BJ47" s="44"/>
      <c r="BK47" s="44"/>
      <c r="BL47" s="44"/>
      <c r="BM47" s="44"/>
      <c r="BN47" s="44"/>
    </row>
    <row r="48" spans="1:66" outlineLevel="1" x14ac:dyDescent="0.2">
      <c r="A48" s="58" t="s">
        <v>216</v>
      </c>
      <c r="B48" s="58" t="s">
        <v>197</v>
      </c>
      <c r="C48" s="100" t="s">
        <v>153</v>
      </c>
      <c r="D48" s="101">
        <f t="shared" ref="D48:AH48" si="51">D25</f>
        <v>5.631954887218045E-2</v>
      </c>
      <c r="E48" s="101">
        <f t="shared" si="51"/>
        <v>5.6364619539472069E-2</v>
      </c>
      <c r="F48" s="101">
        <f t="shared" si="51"/>
        <v>5.6399477144943796E-2</v>
      </c>
      <c r="G48" s="101">
        <f t="shared" si="51"/>
        <v>5.6423820588547086E-2</v>
      </c>
      <c r="H48" s="101">
        <f t="shared" si="51"/>
        <v>5.6437342250241267E-2</v>
      </c>
      <c r="I48" s="101">
        <f t="shared" si="51"/>
        <v>5.6439727865136541E-2</v>
      </c>
      <c r="J48" s="101">
        <f t="shared" si="51"/>
        <v>5.6430656396400034E-2</v>
      </c>
      <c r="K48" s="101">
        <f t="shared" si="51"/>
        <v>5.6409799905886335E-2</v>
      </c>
      <c r="L48" s="101">
        <f t="shared" si="51"/>
        <v>5.6376823422453495E-2</v>
      </c>
      <c r="M48" s="101">
        <f t="shared" si="51"/>
        <v>5.633138480792476E-2</v>
      </c>
      <c r="N48" s="101">
        <f t="shared" si="51"/>
        <v>5.627313462065562E-2</v>
      </c>
      <c r="O48" s="101">
        <f t="shared" si="51"/>
        <v>5.5521265073145427E-2</v>
      </c>
      <c r="P48" s="101">
        <f t="shared" si="51"/>
        <v>5.4970724394559009E-2</v>
      </c>
      <c r="Q48" s="101">
        <f t="shared" si="51"/>
        <v>5.4130867525778392E-2</v>
      </c>
      <c r="R48" s="101">
        <f t="shared" si="51"/>
        <v>5.3255781233465777E-2</v>
      </c>
      <c r="S48" s="101">
        <f t="shared" si="51"/>
        <v>5.2344630147665799E-2</v>
      </c>
      <c r="T48" s="101">
        <f t="shared" si="51"/>
        <v>5.1396562217324644E-2</v>
      </c>
      <c r="U48" s="101">
        <f t="shared" si="51"/>
        <v>5.0410708404127036E-2</v>
      </c>
      <c r="V48" s="101">
        <f t="shared" si="51"/>
        <v>4.9386182370989538E-2</v>
      </c>
      <c r="W48" s="101">
        <f t="shared" si="51"/>
        <v>4.8322080165119685E-2</v>
      </c>
      <c r="X48" s="101">
        <f t="shared" si="51"/>
        <v>4.7217479895549495E-2</v>
      </c>
      <c r="Y48" s="101">
        <f t="shared" si="51"/>
        <v>4.5189155161749317E-2</v>
      </c>
      <c r="Z48" s="101">
        <f t="shared" si="51"/>
        <v>4.3948557338936677E-2</v>
      </c>
      <c r="AA48" s="101">
        <f t="shared" si="51"/>
        <v>4.2663274181371363E-2</v>
      </c>
      <c r="AB48" s="101">
        <f t="shared" si="51"/>
        <v>4.133228189965326E-2</v>
      </c>
      <c r="AC48" s="101">
        <f t="shared" si="51"/>
        <v>3.9954536569156929E-2</v>
      </c>
      <c r="AD48" s="101">
        <f t="shared" si="51"/>
        <v>3.8528973763625199E-2</v>
      </c>
      <c r="AE48" s="101">
        <f t="shared" si="51"/>
        <v>3.7054508182402572E-2</v>
      </c>
      <c r="AF48" s="101">
        <f t="shared" si="51"/>
        <v>3.5530033271201439E-2</v>
      </c>
      <c r="AG48" s="101">
        <f t="shared" si="51"/>
        <v>3.395442083629225E-2</v>
      </c>
      <c r="AH48" s="101">
        <f t="shared" si="51"/>
        <v>3.2326520652007494E-2</v>
      </c>
      <c r="AJ48" s="101">
        <f t="shared" ref="AJ48:BN48" si="52">AJ25</f>
        <v>5.631954887218045E-2</v>
      </c>
      <c r="AK48" s="101">
        <f t="shared" si="52"/>
        <v>5.6514241984067758E-2</v>
      </c>
      <c r="AL48" s="101">
        <f t="shared" si="52"/>
        <v>5.670299834181481E-2</v>
      </c>
      <c r="AM48" s="101">
        <f t="shared" si="52"/>
        <v>5.6885608510133426E-2</v>
      </c>
      <c r="AN48" s="101">
        <f t="shared" si="52"/>
        <v>5.7061858280302621E-2</v>
      </c>
      <c r="AO48" s="101">
        <f t="shared" si="52"/>
        <v>5.7231528576510302E-2</v>
      </c>
      <c r="AP48" s="101">
        <f t="shared" si="52"/>
        <v>5.7394395360492886E-2</v>
      </c>
      <c r="AQ48" s="101">
        <f t="shared" si="52"/>
        <v>5.755022953444347E-2</v>
      </c>
      <c r="AR48" s="101">
        <f t="shared" si="52"/>
        <v>5.7698796842158305E-2</v>
      </c>
      <c r="AS48" s="101">
        <f t="shared" si="52"/>
        <v>5.7839857768391401E-2</v>
      </c>
      <c r="AT48" s="101">
        <f t="shared" si="52"/>
        <v>5.7973167436385795E-2</v>
      </c>
      <c r="AU48" s="101">
        <f t="shared" si="52"/>
        <v>5.7594941834945804E-2</v>
      </c>
      <c r="AV48" s="101">
        <f t="shared" si="52"/>
        <v>5.7397916683570943E-2</v>
      </c>
      <c r="AW48" s="101">
        <f t="shared" si="52"/>
        <v>5.6955347189180779E-2</v>
      </c>
      <c r="AX48" s="101">
        <f t="shared" si="52"/>
        <v>5.6488407339816228E-2</v>
      </c>
      <c r="AY48" s="101">
        <f t="shared" si="52"/>
        <v>5.599649099339192E-2</v>
      </c>
      <c r="AZ48" s="101">
        <f t="shared" si="52"/>
        <v>5.5478979660638826E-2</v>
      </c>
      <c r="BA48" s="101">
        <f t="shared" si="52"/>
        <v>5.4935242275996006E-2</v>
      </c>
      <c r="BB48" s="101">
        <f t="shared" si="52"/>
        <v>5.4364634964475814E-2</v>
      </c>
      <c r="BC48" s="101">
        <f t="shared" si="52"/>
        <v>5.3766500804434084E-2</v>
      </c>
      <c r="BD48" s="101">
        <f t="shared" si="52"/>
        <v>5.3140169586176178E-2</v>
      </c>
      <c r="BE48" s="101">
        <f t="shared" si="52"/>
        <v>5.1723128545972226E-2</v>
      </c>
      <c r="BF48" s="101">
        <f t="shared" si="52"/>
        <v>5.0998881585702482E-2</v>
      </c>
      <c r="BG48" s="101">
        <f t="shared" si="52"/>
        <v>5.0243372611823392E-2</v>
      </c>
      <c r="BH48" s="101">
        <f t="shared" si="52"/>
        <v>4.9455856036457677E-2</v>
      </c>
      <c r="BI48" s="101">
        <f t="shared" si="52"/>
        <v>4.8635571346461688E-2</v>
      </c>
      <c r="BJ48" s="101">
        <f t="shared" si="52"/>
        <v>4.7781742829110643E-2</v>
      </c>
      <c r="BK48" s="101">
        <f t="shared" si="52"/>
        <v>4.6893579292991622E-2</v>
      </c>
      <c r="BL48" s="101">
        <f t="shared" si="52"/>
        <v>4.5970273784023505E-2</v>
      </c>
      <c r="BM48" s="101">
        <f t="shared" si="52"/>
        <v>4.5011003296521482E-2</v>
      </c>
      <c r="BN48" s="101">
        <f t="shared" si="52"/>
        <v>4.4014928479222684E-2</v>
      </c>
    </row>
    <row r="49" spans="1:66" outlineLevel="1" x14ac:dyDescent="0.2">
      <c r="A49"/>
      <c r="B49" t="s">
        <v>217</v>
      </c>
      <c r="C49" s="54" t="s">
        <v>153</v>
      </c>
      <c r="D49" s="44">
        <f>'Butadiene Recycling HC'!C73</f>
        <v>0</v>
      </c>
      <c r="E49" s="44">
        <f>'Butadiene Recycling HC'!D73</f>
        <v>0</v>
      </c>
      <c r="F49" s="44">
        <f>'Butadiene Recycling HC'!E73</f>
        <v>0</v>
      </c>
      <c r="G49" s="44">
        <f>'Butadiene Recycling HC'!F73</f>
        <v>0</v>
      </c>
      <c r="H49" s="44">
        <f>'Butadiene Recycling HC'!G73</f>
        <v>0</v>
      </c>
      <c r="I49" s="44">
        <f>'Butadiene Recycling HC'!H73</f>
        <v>0</v>
      </c>
      <c r="J49" s="44">
        <f>'Butadiene Recycling HC'!I73</f>
        <v>0</v>
      </c>
      <c r="K49" s="44">
        <f>'Butadiene Recycling HC'!J73</f>
        <v>0</v>
      </c>
      <c r="L49" s="44">
        <f>'Butadiene Recycling HC'!K73</f>
        <v>0</v>
      </c>
      <c r="M49" s="44">
        <f>'Butadiene Recycling HC'!L73</f>
        <v>0</v>
      </c>
      <c r="N49" s="44">
        <f>'Butadiene Recycling HC'!M73</f>
        <v>0</v>
      </c>
      <c r="O49" s="44">
        <f>'Butadiene Recycling HC'!N73</f>
        <v>0</v>
      </c>
      <c r="P49" s="44">
        <f>'Butadiene Recycling HC'!O73</f>
        <v>0</v>
      </c>
      <c r="Q49" s="44">
        <f>'Butadiene Recycling HC'!P73</f>
        <v>0</v>
      </c>
      <c r="R49" s="44">
        <f>'Butadiene Recycling HC'!Q73</f>
        <v>0</v>
      </c>
      <c r="S49" s="44">
        <f>'Butadiene Recycling HC'!R73</f>
        <v>0</v>
      </c>
      <c r="T49" s="44">
        <f>'Butadiene Recycling HC'!S73</f>
        <v>0</v>
      </c>
      <c r="U49" s="44">
        <f>'Butadiene Recycling HC'!T73</f>
        <v>0</v>
      </c>
      <c r="V49" s="44">
        <f>'Butadiene Recycling HC'!U73</f>
        <v>0</v>
      </c>
      <c r="W49" s="44">
        <f>'Butadiene Recycling HC'!V73</f>
        <v>0</v>
      </c>
      <c r="X49" s="44">
        <f>'Butadiene Recycling HC'!W73</f>
        <v>0</v>
      </c>
      <c r="Y49" s="44">
        <f>'Butadiene Recycling HC'!X73</f>
        <v>0</v>
      </c>
      <c r="Z49" s="44">
        <f>'Butadiene Recycling HC'!Y73</f>
        <v>0</v>
      </c>
      <c r="AA49" s="44">
        <f>'Butadiene Recycling HC'!Z73</f>
        <v>0</v>
      </c>
      <c r="AB49" s="44">
        <f>'Butadiene Recycling HC'!AA73</f>
        <v>0</v>
      </c>
      <c r="AC49" s="44">
        <f>'Butadiene Recycling HC'!AB73</f>
        <v>0</v>
      </c>
      <c r="AD49" s="44">
        <f>'Butadiene Recycling HC'!AC73</f>
        <v>0</v>
      </c>
      <c r="AE49" s="44">
        <f>'Butadiene Recycling HC'!AD73</f>
        <v>0</v>
      </c>
      <c r="AF49" s="44">
        <f>'Butadiene Recycling HC'!AE73</f>
        <v>0</v>
      </c>
      <c r="AG49" s="44">
        <f>'Butadiene Recycling HC'!AF73</f>
        <v>0</v>
      </c>
      <c r="AH49" s="44">
        <f>'Butadiene Recycling HC'!AG73</f>
        <v>0</v>
      </c>
      <c r="AJ49" s="44">
        <f>D49</f>
        <v>0</v>
      </c>
      <c r="AK49" s="44">
        <f t="shared" ref="AK49:AZ50" si="53">E49</f>
        <v>0</v>
      </c>
      <c r="AL49" s="44">
        <f t="shared" si="53"/>
        <v>0</v>
      </c>
      <c r="AM49" s="44">
        <f t="shared" si="53"/>
        <v>0</v>
      </c>
      <c r="AN49" s="44">
        <f t="shared" si="53"/>
        <v>0</v>
      </c>
      <c r="AO49" s="44">
        <f t="shared" si="53"/>
        <v>0</v>
      </c>
      <c r="AP49" s="44">
        <f t="shared" si="53"/>
        <v>0</v>
      </c>
      <c r="AQ49" s="44">
        <f t="shared" si="53"/>
        <v>0</v>
      </c>
      <c r="AR49" s="44">
        <f t="shared" si="53"/>
        <v>0</v>
      </c>
      <c r="AS49" s="44">
        <f t="shared" si="53"/>
        <v>0</v>
      </c>
      <c r="AT49" s="44">
        <f t="shared" si="53"/>
        <v>0</v>
      </c>
      <c r="AU49" s="44">
        <f t="shared" si="53"/>
        <v>0</v>
      </c>
      <c r="AV49" s="44">
        <f t="shared" si="53"/>
        <v>0</v>
      </c>
      <c r="AW49" s="44">
        <f t="shared" si="53"/>
        <v>0</v>
      </c>
      <c r="AX49" s="44">
        <f t="shared" si="53"/>
        <v>0</v>
      </c>
      <c r="AY49" s="44">
        <f t="shared" si="53"/>
        <v>0</v>
      </c>
      <c r="AZ49" s="44">
        <f t="shared" si="53"/>
        <v>0</v>
      </c>
      <c r="BA49" s="44">
        <f t="shared" ref="BA49:BN50" si="54">U49</f>
        <v>0</v>
      </c>
      <c r="BB49" s="44">
        <f t="shared" si="54"/>
        <v>0</v>
      </c>
      <c r="BC49" s="44">
        <f t="shared" si="54"/>
        <v>0</v>
      </c>
      <c r="BD49" s="44">
        <f t="shared" si="54"/>
        <v>0</v>
      </c>
      <c r="BE49" s="44">
        <f t="shared" si="54"/>
        <v>0</v>
      </c>
      <c r="BF49" s="44">
        <f t="shared" si="54"/>
        <v>0</v>
      </c>
      <c r="BG49" s="44">
        <f t="shared" si="54"/>
        <v>0</v>
      </c>
      <c r="BH49" s="44">
        <f t="shared" si="54"/>
        <v>0</v>
      </c>
      <c r="BI49" s="44">
        <f t="shared" si="54"/>
        <v>0</v>
      </c>
      <c r="BJ49" s="44">
        <f t="shared" si="54"/>
        <v>0</v>
      </c>
      <c r="BK49" s="44">
        <f t="shared" si="54"/>
        <v>0</v>
      </c>
      <c r="BL49" s="44">
        <f t="shared" si="54"/>
        <v>0</v>
      </c>
      <c r="BM49" s="44">
        <f t="shared" si="54"/>
        <v>0</v>
      </c>
      <c r="BN49" s="44">
        <f t="shared" si="54"/>
        <v>0</v>
      </c>
    </row>
    <row r="50" spans="1:66" outlineLevel="1" x14ac:dyDescent="0.2">
      <c r="A50"/>
      <c r="B50" s="181" t="s">
        <v>218</v>
      </c>
      <c r="C50" s="54" t="s">
        <v>153</v>
      </c>
      <c r="D50" s="44">
        <f>'Butadiene Recycling HC'!C112</f>
        <v>0</v>
      </c>
      <c r="E50" s="44">
        <f>'Butadiene Recycling HC'!D112</f>
        <v>0</v>
      </c>
      <c r="F50" s="44">
        <f>'Butadiene Recycling HC'!E112</f>
        <v>0</v>
      </c>
      <c r="G50" s="44">
        <f>'Butadiene Recycling HC'!F112</f>
        <v>0</v>
      </c>
      <c r="H50" s="44">
        <f>'Butadiene Recycling HC'!G112</f>
        <v>0</v>
      </c>
      <c r="I50" s="44">
        <f>'Butadiene Recycling HC'!H112</f>
        <v>0</v>
      </c>
      <c r="J50" s="44">
        <f>'Butadiene Recycling HC'!I112</f>
        <v>0</v>
      </c>
      <c r="K50" s="44">
        <f>'Butadiene Recycling HC'!J112</f>
        <v>0</v>
      </c>
      <c r="L50" s="44">
        <f>'Butadiene Recycling HC'!K112</f>
        <v>0</v>
      </c>
      <c r="M50" s="44">
        <f>'Butadiene Recycling HC'!L112</f>
        <v>0</v>
      </c>
      <c r="N50" s="44">
        <f>'Butadiene Recycling HC'!M112</f>
        <v>0</v>
      </c>
      <c r="O50" s="44">
        <f>'Butadiene Recycling HC'!N112</f>
        <v>0</v>
      </c>
      <c r="P50" s="44">
        <f>'Butadiene Recycling HC'!O112</f>
        <v>0</v>
      </c>
      <c r="Q50" s="44">
        <f>'Butadiene Recycling HC'!P112</f>
        <v>0</v>
      </c>
      <c r="R50" s="44">
        <f>'Butadiene Recycling HC'!Q112</f>
        <v>0</v>
      </c>
      <c r="S50" s="44">
        <f>'Butadiene Recycling HC'!R112</f>
        <v>0</v>
      </c>
      <c r="T50" s="44">
        <f>'Butadiene Recycling HC'!S112</f>
        <v>0</v>
      </c>
      <c r="U50" s="44">
        <f>'Butadiene Recycling HC'!T112</f>
        <v>0</v>
      </c>
      <c r="V50" s="44">
        <f>'Butadiene Recycling HC'!U112</f>
        <v>0</v>
      </c>
      <c r="W50" s="44">
        <f>'Butadiene Recycling HC'!V112</f>
        <v>0</v>
      </c>
      <c r="X50" s="44">
        <f>'Butadiene Recycling HC'!W112</f>
        <v>0</v>
      </c>
      <c r="Y50" s="44">
        <f>'Butadiene Recycling HC'!X112</f>
        <v>0</v>
      </c>
      <c r="Z50" s="44">
        <f>'Butadiene Recycling HC'!Y112</f>
        <v>0</v>
      </c>
      <c r="AA50" s="44">
        <f>'Butadiene Recycling HC'!Z112</f>
        <v>0</v>
      </c>
      <c r="AB50" s="44">
        <f>'Butadiene Recycling HC'!AA112</f>
        <v>0</v>
      </c>
      <c r="AC50" s="44">
        <f>'Butadiene Recycling HC'!AB112</f>
        <v>0</v>
      </c>
      <c r="AD50" s="44">
        <f>'Butadiene Recycling HC'!AC112</f>
        <v>0</v>
      </c>
      <c r="AE50" s="44">
        <f>'Butadiene Recycling HC'!AD112</f>
        <v>0</v>
      </c>
      <c r="AF50" s="44">
        <f>'Butadiene Recycling HC'!AE112</f>
        <v>0</v>
      </c>
      <c r="AG50" s="44">
        <f>'Butadiene Recycling HC'!AF112</f>
        <v>0</v>
      </c>
      <c r="AH50" s="44">
        <f>'Butadiene Recycling HC'!AG112</f>
        <v>0</v>
      </c>
      <c r="AJ50" s="44">
        <f>D50</f>
        <v>0</v>
      </c>
      <c r="AK50" s="44">
        <f t="shared" si="53"/>
        <v>0</v>
      </c>
      <c r="AL50" s="44">
        <f t="shared" si="53"/>
        <v>0</v>
      </c>
      <c r="AM50" s="44">
        <f t="shared" si="53"/>
        <v>0</v>
      </c>
      <c r="AN50" s="44">
        <f t="shared" si="53"/>
        <v>0</v>
      </c>
      <c r="AO50" s="44">
        <f t="shared" si="53"/>
        <v>0</v>
      </c>
      <c r="AP50" s="44">
        <f t="shared" si="53"/>
        <v>0</v>
      </c>
      <c r="AQ50" s="44">
        <f t="shared" si="53"/>
        <v>0</v>
      </c>
      <c r="AR50" s="44">
        <f t="shared" si="53"/>
        <v>0</v>
      </c>
      <c r="AS50" s="44">
        <f t="shared" si="53"/>
        <v>0</v>
      </c>
      <c r="AT50" s="44">
        <f t="shared" si="53"/>
        <v>0</v>
      </c>
      <c r="AU50" s="44">
        <f t="shared" si="53"/>
        <v>0</v>
      </c>
      <c r="AV50" s="44">
        <f t="shared" si="53"/>
        <v>0</v>
      </c>
      <c r="AW50" s="44">
        <f t="shared" si="53"/>
        <v>0</v>
      </c>
      <c r="AX50" s="44">
        <f t="shared" si="53"/>
        <v>0</v>
      </c>
      <c r="AY50" s="44">
        <f t="shared" si="53"/>
        <v>0</v>
      </c>
      <c r="AZ50" s="44">
        <f t="shared" si="53"/>
        <v>0</v>
      </c>
      <c r="BA50" s="44">
        <f t="shared" si="54"/>
        <v>0</v>
      </c>
      <c r="BB50" s="44">
        <f t="shared" si="54"/>
        <v>0</v>
      </c>
      <c r="BC50" s="44">
        <f t="shared" si="54"/>
        <v>0</v>
      </c>
      <c r="BD50" s="44">
        <f t="shared" si="54"/>
        <v>0</v>
      </c>
      <c r="BE50" s="44">
        <f t="shared" si="54"/>
        <v>0</v>
      </c>
      <c r="BF50" s="44">
        <f t="shared" si="54"/>
        <v>0</v>
      </c>
      <c r="BG50" s="44">
        <f t="shared" si="54"/>
        <v>0</v>
      </c>
      <c r="BH50" s="44">
        <f t="shared" si="54"/>
        <v>0</v>
      </c>
      <c r="BI50" s="44">
        <f t="shared" si="54"/>
        <v>0</v>
      </c>
      <c r="BJ50" s="44">
        <f t="shared" si="54"/>
        <v>0</v>
      </c>
      <c r="BK50" s="44">
        <f t="shared" si="54"/>
        <v>0</v>
      </c>
      <c r="BL50" s="44">
        <f t="shared" si="54"/>
        <v>0</v>
      </c>
      <c r="BM50" s="44">
        <f t="shared" si="54"/>
        <v>0</v>
      </c>
      <c r="BN50" s="44">
        <f t="shared" si="54"/>
        <v>0</v>
      </c>
    </row>
    <row r="51" spans="1:66" outlineLevel="1" x14ac:dyDescent="0.2">
      <c r="A51" s="62"/>
      <c r="B51" s="62" t="s">
        <v>219</v>
      </c>
      <c r="C51" s="63" t="s">
        <v>153</v>
      </c>
      <c r="D51" s="64">
        <f>D48-D49-D50</f>
        <v>5.631954887218045E-2</v>
      </c>
      <c r="E51" s="64">
        <f t="shared" ref="E51:AG51" si="55">E48-E49-E50</f>
        <v>5.6364619539472069E-2</v>
      </c>
      <c r="F51" s="64">
        <f t="shared" si="55"/>
        <v>5.6399477144943796E-2</v>
      </c>
      <c r="G51" s="64">
        <f t="shared" si="55"/>
        <v>5.6423820588547086E-2</v>
      </c>
      <c r="H51" s="64">
        <f t="shared" si="55"/>
        <v>5.6437342250241267E-2</v>
      </c>
      <c r="I51" s="64">
        <f t="shared" si="55"/>
        <v>5.6439727865136541E-2</v>
      </c>
      <c r="J51" s="64">
        <f t="shared" si="55"/>
        <v>5.6430656396400034E-2</v>
      </c>
      <c r="K51" s="64">
        <f t="shared" si="55"/>
        <v>5.6409799905886335E-2</v>
      </c>
      <c r="L51" s="64">
        <f t="shared" si="55"/>
        <v>5.6376823422453495E-2</v>
      </c>
      <c r="M51" s="64">
        <f t="shared" si="55"/>
        <v>5.633138480792476E-2</v>
      </c>
      <c r="N51" s="64">
        <f t="shared" si="55"/>
        <v>5.627313462065562E-2</v>
      </c>
      <c r="O51" s="64">
        <f t="shared" si="55"/>
        <v>5.5521265073145427E-2</v>
      </c>
      <c r="P51" s="64">
        <f t="shared" si="55"/>
        <v>5.4970724394559009E-2</v>
      </c>
      <c r="Q51" s="64">
        <f t="shared" si="55"/>
        <v>5.4130867525778392E-2</v>
      </c>
      <c r="R51" s="64">
        <f t="shared" si="55"/>
        <v>5.3255781233465777E-2</v>
      </c>
      <c r="S51" s="64">
        <f t="shared" si="55"/>
        <v>5.2344630147665799E-2</v>
      </c>
      <c r="T51" s="64">
        <f t="shared" si="55"/>
        <v>5.1396562217324644E-2</v>
      </c>
      <c r="U51" s="64">
        <f t="shared" si="55"/>
        <v>5.0410708404127036E-2</v>
      </c>
      <c r="V51" s="64">
        <f t="shared" si="55"/>
        <v>4.9386182370989538E-2</v>
      </c>
      <c r="W51" s="64">
        <f t="shared" si="55"/>
        <v>4.8322080165119685E-2</v>
      </c>
      <c r="X51" s="64">
        <f t="shared" si="55"/>
        <v>4.7217479895549495E-2</v>
      </c>
      <c r="Y51" s="64">
        <f t="shared" si="55"/>
        <v>4.5189155161749317E-2</v>
      </c>
      <c r="Z51" s="64">
        <f t="shared" si="55"/>
        <v>4.3948557338936677E-2</v>
      </c>
      <c r="AA51" s="64">
        <f t="shared" si="55"/>
        <v>4.2663274181371363E-2</v>
      </c>
      <c r="AB51" s="64">
        <f t="shared" si="55"/>
        <v>4.133228189965326E-2</v>
      </c>
      <c r="AC51" s="64">
        <f t="shared" si="55"/>
        <v>3.9954536569156929E-2</v>
      </c>
      <c r="AD51" s="64">
        <f t="shared" si="55"/>
        <v>3.8528973763625199E-2</v>
      </c>
      <c r="AE51" s="64">
        <f t="shared" si="55"/>
        <v>3.7054508182402572E-2</v>
      </c>
      <c r="AF51" s="64">
        <f t="shared" si="55"/>
        <v>3.5530033271201439E-2</v>
      </c>
      <c r="AG51" s="64">
        <f t="shared" si="55"/>
        <v>3.395442083629225E-2</v>
      </c>
      <c r="AH51" s="64">
        <f>AH48-AH49-AH50</f>
        <v>3.2326520652007494E-2</v>
      </c>
      <c r="AJ51" s="64">
        <f>AJ48-AJ49-AJ50</f>
        <v>5.631954887218045E-2</v>
      </c>
      <c r="AK51" s="64">
        <f t="shared" ref="AK51:BM51" si="56">AK48-AK49-AK50</f>
        <v>5.6514241984067758E-2</v>
      </c>
      <c r="AL51" s="64">
        <f t="shared" si="56"/>
        <v>5.670299834181481E-2</v>
      </c>
      <c r="AM51" s="64">
        <f t="shared" si="56"/>
        <v>5.6885608510133426E-2</v>
      </c>
      <c r="AN51" s="64">
        <f t="shared" si="56"/>
        <v>5.7061858280302621E-2</v>
      </c>
      <c r="AO51" s="64">
        <f t="shared" si="56"/>
        <v>5.7231528576510302E-2</v>
      </c>
      <c r="AP51" s="64">
        <f t="shared" si="56"/>
        <v>5.7394395360492886E-2</v>
      </c>
      <c r="AQ51" s="64">
        <f t="shared" si="56"/>
        <v>5.755022953444347E-2</v>
      </c>
      <c r="AR51" s="64">
        <f t="shared" si="56"/>
        <v>5.7698796842158305E-2</v>
      </c>
      <c r="AS51" s="64">
        <f t="shared" si="56"/>
        <v>5.7839857768391401E-2</v>
      </c>
      <c r="AT51" s="64">
        <f t="shared" si="56"/>
        <v>5.7973167436385795E-2</v>
      </c>
      <c r="AU51" s="64">
        <f t="shared" si="56"/>
        <v>5.7594941834945804E-2</v>
      </c>
      <c r="AV51" s="64">
        <f t="shared" si="56"/>
        <v>5.7397916683570943E-2</v>
      </c>
      <c r="AW51" s="64">
        <f t="shared" si="56"/>
        <v>5.6955347189180779E-2</v>
      </c>
      <c r="AX51" s="64">
        <f t="shared" si="56"/>
        <v>5.6488407339816228E-2</v>
      </c>
      <c r="AY51" s="64">
        <f t="shared" si="56"/>
        <v>5.599649099339192E-2</v>
      </c>
      <c r="AZ51" s="64">
        <f t="shared" si="56"/>
        <v>5.5478979660638826E-2</v>
      </c>
      <c r="BA51" s="64">
        <f t="shared" si="56"/>
        <v>5.4935242275996006E-2</v>
      </c>
      <c r="BB51" s="64">
        <f t="shared" si="56"/>
        <v>5.4364634964475814E-2</v>
      </c>
      <c r="BC51" s="64">
        <f t="shared" si="56"/>
        <v>5.3766500804434084E-2</v>
      </c>
      <c r="BD51" s="64">
        <f t="shared" si="56"/>
        <v>5.3140169586176178E-2</v>
      </c>
      <c r="BE51" s="64">
        <f t="shared" si="56"/>
        <v>5.1723128545972226E-2</v>
      </c>
      <c r="BF51" s="64">
        <f t="shared" si="56"/>
        <v>5.0998881585702482E-2</v>
      </c>
      <c r="BG51" s="64">
        <f t="shared" si="56"/>
        <v>5.0243372611823392E-2</v>
      </c>
      <c r="BH51" s="64">
        <f t="shared" si="56"/>
        <v>4.9455856036457677E-2</v>
      </c>
      <c r="BI51" s="64">
        <f t="shared" si="56"/>
        <v>4.8635571346461688E-2</v>
      </c>
      <c r="BJ51" s="64">
        <f t="shared" si="56"/>
        <v>4.7781742829110643E-2</v>
      </c>
      <c r="BK51" s="64">
        <f t="shared" si="56"/>
        <v>4.6893579292991622E-2</v>
      </c>
      <c r="BL51" s="64">
        <f t="shared" si="56"/>
        <v>4.5970273784023505E-2</v>
      </c>
      <c r="BM51" s="64">
        <f t="shared" si="56"/>
        <v>4.5011003296521482E-2</v>
      </c>
      <c r="BN51" s="64">
        <f>BN48-BN49-BN50</f>
        <v>4.4014928479222684E-2</v>
      </c>
    </row>
    <row r="52" spans="1:66" outlineLevel="1" x14ac:dyDescent="0.2">
      <c r="A52" s="58" t="s">
        <v>220</v>
      </c>
      <c r="B52" s="58" t="s">
        <v>197</v>
      </c>
      <c r="C52" s="100" t="s">
        <v>153</v>
      </c>
      <c r="D52" s="101">
        <f t="shared" ref="D52:AH52" si="57">D17</f>
        <v>8.1566721804511282</v>
      </c>
      <c r="E52" s="101">
        <f t="shared" si="57"/>
        <v>8.2285582409586464</v>
      </c>
      <c r="F52" s="101">
        <f t="shared" si="57"/>
        <v>8.3008331498494936</v>
      </c>
      <c r="G52" s="101">
        <f t="shared" si="57"/>
        <v>8.3734933405631224</v>
      </c>
      <c r="H52" s="101">
        <f t="shared" si="57"/>
        <v>8.4465350651962563</v>
      </c>
      <c r="I52" s="101">
        <f t="shared" si="57"/>
        <v>8.5199543900483388</v>
      </c>
      <c r="J52" s="101">
        <f t="shared" si="57"/>
        <v>8.5937471910767051</v>
      </c>
      <c r="K52" s="101">
        <f t="shared" si="57"/>
        <v>8.6679091492597848</v>
      </c>
      <c r="L52" s="101">
        <f t="shared" si="57"/>
        <v>8.7424357458666737</v>
      </c>
      <c r="M52" s="101">
        <f t="shared" si="57"/>
        <v>8.8173222576312948</v>
      </c>
      <c r="N52" s="101">
        <f t="shared" si="57"/>
        <v>8.8925637518294511</v>
      </c>
      <c r="O52" s="101">
        <f t="shared" si="57"/>
        <v>8.8651824309511866</v>
      </c>
      <c r="P52" s="101">
        <f t="shared" si="57"/>
        <v>8.8352025525577247</v>
      </c>
      <c r="Q52" s="101">
        <f t="shared" si="57"/>
        <v>8.8025554398044008</v>
      </c>
      <c r="R52" s="101">
        <f t="shared" si="57"/>
        <v>8.7671709836777207</v>
      </c>
      <c r="S52" s="101">
        <f t="shared" si="57"/>
        <v>8.7289776160877786</v>
      </c>
      <c r="T52" s="101">
        <f t="shared" si="57"/>
        <v>8.6879022824840959</v>
      </c>
      <c r="U52" s="101">
        <f t="shared" si="57"/>
        <v>8.643870413986777</v>
      </c>
      <c r="V52" s="101">
        <f t="shared" si="57"/>
        <v>8.5968058990246927</v>
      </c>
      <c r="W52" s="101">
        <f t="shared" si="57"/>
        <v>8.5466310544723392</v>
      </c>
      <c r="X52" s="101">
        <f t="shared" si="57"/>
        <v>8.4932665962767775</v>
      </c>
      <c r="Y52" s="101">
        <f t="shared" si="57"/>
        <v>8.2586250556783334</v>
      </c>
      <c r="Z52" s="101">
        <f t="shared" si="57"/>
        <v>8.0155428662999615</v>
      </c>
      <c r="AA52" s="101">
        <f t="shared" si="57"/>
        <v>7.7638267058246289</v>
      </c>
      <c r="AB52" s="101">
        <f t="shared" si="57"/>
        <v>7.5032794503508518</v>
      </c>
      <c r="AC52" s="101">
        <f t="shared" si="57"/>
        <v>7.2337001052199277</v>
      </c>
      <c r="AD52" s="101">
        <f t="shared" si="57"/>
        <v>6.9548837346425216</v>
      </c>
      <c r="AE52" s="101">
        <f t="shared" si="57"/>
        <v>6.6666213901043792</v>
      </c>
      <c r="AF52" s="101">
        <f t="shared" si="57"/>
        <v>6.368700037530667</v>
      </c>
      <c r="AG52" s="101">
        <f t="shared" si="57"/>
        <v>6.0609024831880696</v>
      </c>
      <c r="AH52" s="101">
        <f t="shared" si="57"/>
        <v>5.7430072983034535</v>
      </c>
      <c r="AJ52" s="101">
        <f t="shared" ref="AJ52:BN52" si="58">AJ17</f>
        <v>8.1566721804511282</v>
      </c>
      <c r="AK52" s="101">
        <f t="shared" si="58"/>
        <v>8.2508959719566235</v>
      </c>
      <c r="AL52" s="101">
        <f t="shared" si="58"/>
        <v>8.3461470388599945</v>
      </c>
      <c r="AM52" s="101">
        <f t="shared" si="58"/>
        <v>8.4424354995980497</v>
      </c>
      <c r="AN52" s="101">
        <f t="shared" si="58"/>
        <v>8.5397715520156741</v>
      </c>
      <c r="AO52" s="101">
        <f t="shared" si="58"/>
        <v>8.6381654735690496</v>
      </c>
      <c r="AP52" s="101">
        <f t="shared" si="58"/>
        <v>8.7376276215184596</v>
      </c>
      <c r="AQ52" s="101">
        <f t="shared" si="58"/>
        <v>8.8381684331103472</v>
      </c>
      <c r="AR52" s="101">
        <f t="shared" si="58"/>
        <v>8.939798425748279</v>
      </c>
      <c r="AS52" s="101">
        <f t="shared" si="58"/>
        <v>9.042528197152464</v>
      </c>
      <c r="AT52" s="101">
        <f t="shared" si="58"/>
        <v>9.1463684255074575</v>
      </c>
      <c r="AU52" s="101">
        <f t="shared" si="58"/>
        <v>9.1998435444448265</v>
      </c>
      <c r="AV52" s="101">
        <f t="shared" si="58"/>
        <v>9.252979205655901</v>
      </c>
      <c r="AW52" s="101">
        <f t="shared" si="58"/>
        <v>9.3057547868759016</v>
      </c>
      <c r="AX52" s="101">
        <f t="shared" si="58"/>
        <v>9.3581491457640311</v>
      </c>
      <c r="AY52" s="101">
        <f t="shared" si="58"/>
        <v>9.4101406092506981</v>
      </c>
      <c r="AZ52" s="101">
        <f t="shared" si="58"/>
        <v>9.4617069626864971</v>
      </c>
      <c r="BA52" s="101">
        <f t="shared" si="58"/>
        <v>9.5128254387894344</v>
      </c>
      <c r="BB52" s="101">
        <f t="shared" si="58"/>
        <v>9.5634727063868521</v>
      </c>
      <c r="BC52" s="101">
        <f t="shared" si="58"/>
        <v>9.6136248589484534</v>
      </c>
      <c r="BD52" s="101">
        <f t="shared" si="58"/>
        <v>9.6632574029067406</v>
      </c>
      <c r="BE52" s="101">
        <f t="shared" si="58"/>
        <v>9.6233419688173036</v>
      </c>
      <c r="BF52" s="101">
        <f t="shared" si="58"/>
        <v>9.5803123579970055</v>
      </c>
      <c r="BG52" s="101">
        <f t="shared" si="58"/>
        <v>9.5340877165004265</v>
      </c>
      <c r="BH52" s="101">
        <f t="shared" si="58"/>
        <v>9.4845855154801715</v>
      </c>
      <c r="BI52" s="101">
        <f t="shared" si="58"/>
        <v>9.4317215198285549</v>
      </c>
      <c r="BJ52" s="101">
        <f t="shared" si="58"/>
        <v>9.3754097562650536</v>
      </c>
      <c r="BK52" s="101">
        <f t="shared" si="58"/>
        <v>9.3155624808601392</v>
      </c>
      <c r="BL52" s="101">
        <f t="shared" si="58"/>
        <v>9.2520901459858607</v>
      </c>
      <c r="BM52" s="101">
        <f t="shared" si="58"/>
        <v>9.1849013666834622</v>
      </c>
      <c r="BN52" s="101">
        <f t="shared" si="58"/>
        <v>9.1139028864380887</v>
      </c>
    </row>
    <row r="53" spans="1:66" outlineLevel="1" x14ac:dyDescent="0.2">
      <c r="A53"/>
      <c r="B53" t="s">
        <v>217</v>
      </c>
      <c r="C53" s="54" t="s">
        <v>153</v>
      </c>
      <c r="D53" s="44">
        <f>'Butadiene Recycling HC'!C108</f>
        <v>0</v>
      </c>
      <c r="E53" s="44">
        <f>'Butadiene Recycling HC'!D108</f>
        <v>3.4450816091453657E-3</v>
      </c>
      <c r="F53" s="44">
        <f>'Butadiene Recycling HC'!E108</f>
        <v>7.938106885249617E-3</v>
      </c>
      <c r="G53" s="44">
        <f>'Butadiene Recycling HC'!F108</f>
        <v>1.3530711596759292E-2</v>
      </c>
      <c r="H53" s="44">
        <f>'Butadiene Recycling HC'!G108</f>
        <v>2.0261864508349756E-2</v>
      </c>
      <c r="I53" s="44">
        <f>'Butadiene Recycling HC'!H108</f>
        <v>2.8156495720251532E-2</v>
      </c>
      <c r="J53" s="44">
        <f>'Butadiene Recycling HC'!I108</f>
        <v>3.7304641596000325E-2</v>
      </c>
      <c r="K53" s="44">
        <f>'Butadiene Recycling HC'!J108</f>
        <v>4.7766693371041086E-2</v>
      </c>
      <c r="L53" s="44">
        <f>'Butadiene Recycling HC'!K108</f>
        <v>5.9602417928327552E-2</v>
      </c>
      <c r="M53" s="44">
        <f>'Butadiene Recycling HC'!L108</f>
        <v>7.2870749372194565E-2</v>
      </c>
      <c r="N53" s="44">
        <f>'Butadiene Recycling HC'!M108</f>
        <v>8.7629575745957186E-2</v>
      </c>
      <c r="O53" s="44">
        <f>'Butadiene Recycling HC'!N108</f>
        <v>0.10378681159027671</v>
      </c>
      <c r="P53" s="44">
        <f>'Butadiene Recycling HC'!O108</f>
        <v>0.12132107216791799</v>
      </c>
      <c r="Q53" s="44">
        <f>'Butadiene Recycling HC'!P108</f>
        <v>0.13943908043863251</v>
      </c>
      <c r="R53" s="44">
        <f>'Butadiene Recycling HC'!Q108</f>
        <v>0.15862879919546696</v>
      </c>
      <c r="S53" s="44">
        <f>'Butadiene Recycling HC'!R108</f>
        <v>0.17880392336634418</v>
      </c>
      <c r="T53" s="44">
        <f>'Butadiene Recycling HC'!S108</f>
        <v>0.20022495855430095</v>
      </c>
      <c r="U53" s="44">
        <f>'Butadiene Recycling HC'!T108</f>
        <v>0.22290082209578732</v>
      </c>
      <c r="V53" s="44">
        <f>'Butadiene Recycling HC'!U108</f>
        <v>0.24683950236241176</v>
      </c>
      <c r="W53" s="44">
        <f>'Butadiene Recycling HC'!V108</f>
        <v>0.27204803623375906</v>
      </c>
      <c r="X53" s="44">
        <f>'Butadiene Recycling HC'!W108</f>
        <v>0.29853248718006353</v>
      </c>
      <c r="Y53" s="44">
        <f>'Butadiene Recycling HC'!X108</f>
        <v>0.32630151796796797</v>
      </c>
      <c r="Z53" s="44">
        <f>'Butadiene Recycling HC'!Y108</f>
        <v>0.3553601480802952</v>
      </c>
      <c r="AA53" s="44">
        <f>'Butadiene Recycling HC'!Z108</f>
        <v>0.38128368618944342</v>
      </c>
      <c r="AB53" s="44">
        <f>'Butadiene Recycling HC'!AA108</f>
        <v>0.4077218674989001</v>
      </c>
      <c r="AC53" s="44">
        <f>'Butadiene Recycling HC'!AB108</f>
        <v>0.4346179238221986</v>
      </c>
      <c r="AD53" s="44">
        <f>'Butadiene Recycling HC'!AC108</f>
        <v>0.46191702374714172</v>
      </c>
      <c r="AE53" s="44">
        <f>'Butadiene Recycling HC'!AD108</f>
        <v>0.48955832967846691</v>
      </c>
      <c r="AF53" s="44">
        <f>'Butadiene Recycling HC'!AE108</f>
        <v>0.51747859554931142</v>
      </c>
      <c r="AG53" s="44">
        <f>'Butadiene Recycling HC'!AF108</f>
        <v>0.54561216669945978</v>
      </c>
      <c r="AH53" s="44">
        <f>'Butadiene Recycling HC'!AG108</f>
        <v>0.57389098193363275</v>
      </c>
      <c r="AI53" s="44"/>
      <c r="AJ53" s="44">
        <f>D53</f>
        <v>0</v>
      </c>
      <c r="AK53" s="44">
        <f t="shared" ref="AK53:BN53" si="59">E53</f>
        <v>3.4450816091453657E-3</v>
      </c>
      <c r="AL53" s="44">
        <f t="shared" si="59"/>
        <v>7.938106885249617E-3</v>
      </c>
      <c r="AM53" s="44">
        <f t="shared" si="59"/>
        <v>1.3530711596759292E-2</v>
      </c>
      <c r="AN53" s="44">
        <f t="shared" si="59"/>
        <v>2.0261864508349756E-2</v>
      </c>
      <c r="AO53" s="44">
        <f t="shared" si="59"/>
        <v>2.8156495720251532E-2</v>
      </c>
      <c r="AP53" s="44">
        <f t="shared" si="59"/>
        <v>3.7304641596000325E-2</v>
      </c>
      <c r="AQ53" s="44">
        <f t="shared" si="59"/>
        <v>4.7766693371041086E-2</v>
      </c>
      <c r="AR53" s="44">
        <f t="shared" si="59"/>
        <v>5.9602417928327552E-2</v>
      </c>
      <c r="AS53" s="44">
        <f t="shared" si="59"/>
        <v>7.2870749372194565E-2</v>
      </c>
      <c r="AT53" s="44">
        <f t="shared" si="59"/>
        <v>8.7629575745957186E-2</v>
      </c>
      <c r="AU53" s="44">
        <f t="shared" si="59"/>
        <v>0.10378681159027671</v>
      </c>
      <c r="AV53" s="44">
        <f t="shared" si="59"/>
        <v>0.12132107216791799</v>
      </c>
      <c r="AW53" s="44">
        <f t="shared" si="59"/>
        <v>0.13943908043863251</v>
      </c>
      <c r="AX53" s="44">
        <f t="shared" si="59"/>
        <v>0.15862879919546696</v>
      </c>
      <c r="AY53" s="44">
        <f t="shared" si="59"/>
        <v>0.17880392336634418</v>
      </c>
      <c r="AZ53" s="44">
        <f t="shared" si="59"/>
        <v>0.20022495855430095</v>
      </c>
      <c r="BA53" s="44">
        <f t="shared" si="59"/>
        <v>0.22290082209578732</v>
      </c>
      <c r="BB53" s="44">
        <f t="shared" si="59"/>
        <v>0.24683950236241176</v>
      </c>
      <c r="BC53" s="44">
        <f t="shared" si="59"/>
        <v>0.27204803623375906</v>
      </c>
      <c r="BD53" s="44">
        <f t="shared" si="59"/>
        <v>0.29853248718006353</v>
      </c>
      <c r="BE53" s="44">
        <f t="shared" si="59"/>
        <v>0.32630151796796797</v>
      </c>
      <c r="BF53" s="44">
        <f t="shared" si="59"/>
        <v>0.3553601480802952</v>
      </c>
      <c r="BG53" s="44">
        <f t="shared" si="59"/>
        <v>0.38128368618944342</v>
      </c>
      <c r="BH53" s="44">
        <f t="shared" si="59"/>
        <v>0.4077218674989001</v>
      </c>
      <c r="BI53" s="44">
        <f t="shared" si="59"/>
        <v>0.4346179238221986</v>
      </c>
      <c r="BJ53" s="44">
        <f t="shared" si="59"/>
        <v>0.46191702374714172</v>
      </c>
      <c r="BK53" s="44">
        <f t="shared" si="59"/>
        <v>0.48955832967846691</v>
      </c>
      <c r="BL53" s="44">
        <f t="shared" si="59"/>
        <v>0.51747859554931142</v>
      </c>
      <c r="BM53" s="44">
        <f t="shared" si="59"/>
        <v>0.54561216669945978</v>
      </c>
      <c r="BN53" s="44">
        <f t="shared" si="59"/>
        <v>0.57389098193363275</v>
      </c>
    </row>
    <row r="54" spans="1:66" outlineLevel="1" x14ac:dyDescent="0.2">
      <c r="A54" s="62"/>
      <c r="B54" s="62" t="s">
        <v>219</v>
      </c>
      <c r="C54" s="63" t="s">
        <v>153</v>
      </c>
      <c r="D54" s="64">
        <f>D52-D53</f>
        <v>8.1566721804511282</v>
      </c>
      <c r="E54" s="64">
        <f t="shared" ref="E54:AG54" si="60">E52-E53</f>
        <v>8.225113159349501</v>
      </c>
      <c r="F54" s="64">
        <f t="shared" si="60"/>
        <v>8.2928950429642434</v>
      </c>
      <c r="G54" s="64">
        <f t="shared" si="60"/>
        <v>8.3599626289663629</v>
      </c>
      <c r="H54" s="64">
        <f t="shared" si="60"/>
        <v>8.4262732006879073</v>
      </c>
      <c r="I54" s="64">
        <f t="shared" si="60"/>
        <v>8.4917978943280872</v>
      </c>
      <c r="J54" s="64">
        <f t="shared" si="60"/>
        <v>8.556442549480705</v>
      </c>
      <c r="K54" s="64">
        <f t="shared" si="60"/>
        <v>8.6201424558887432</v>
      </c>
      <c r="L54" s="64">
        <f t="shared" si="60"/>
        <v>8.6828333279383454</v>
      </c>
      <c r="M54" s="64">
        <f t="shared" si="60"/>
        <v>8.7444515082591003</v>
      </c>
      <c r="N54" s="64">
        <f t="shared" si="60"/>
        <v>8.8049341760834938</v>
      </c>
      <c r="O54" s="64">
        <f t="shared" si="60"/>
        <v>8.7613956193609095</v>
      </c>
      <c r="P54" s="64">
        <f t="shared" si="60"/>
        <v>8.7138814803898068</v>
      </c>
      <c r="Q54" s="64">
        <f t="shared" si="60"/>
        <v>8.6631163593657678</v>
      </c>
      <c r="R54" s="64">
        <f t="shared" si="60"/>
        <v>8.6085421844822534</v>
      </c>
      <c r="S54" s="64">
        <f t="shared" si="60"/>
        <v>8.5501736927214349</v>
      </c>
      <c r="T54" s="64">
        <f t="shared" si="60"/>
        <v>8.4876773239297947</v>
      </c>
      <c r="U54" s="64">
        <f t="shared" si="60"/>
        <v>8.420969591890989</v>
      </c>
      <c r="V54" s="64">
        <f t="shared" si="60"/>
        <v>8.3499663966622801</v>
      </c>
      <c r="W54" s="64">
        <f t="shared" si="60"/>
        <v>8.2745830182385802</v>
      </c>
      <c r="X54" s="64">
        <f t="shared" si="60"/>
        <v>8.1947341090967143</v>
      </c>
      <c r="Y54" s="64">
        <f t="shared" si="60"/>
        <v>7.9323235377103654</v>
      </c>
      <c r="Z54" s="64">
        <f t="shared" si="60"/>
        <v>7.6601827182196667</v>
      </c>
      <c r="AA54" s="64">
        <f t="shared" si="60"/>
        <v>7.3825430196351851</v>
      </c>
      <c r="AB54" s="64">
        <f t="shared" si="60"/>
        <v>7.0955575828519519</v>
      </c>
      <c r="AC54" s="64">
        <f t="shared" si="60"/>
        <v>6.7990821813977291</v>
      </c>
      <c r="AD54" s="64">
        <f t="shared" si="60"/>
        <v>6.4929667108953799</v>
      </c>
      <c r="AE54" s="64">
        <f t="shared" si="60"/>
        <v>6.1770630604259118</v>
      </c>
      <c r="AF54" s="64">
        <f t="shared" si="60"/>
        <v>5.8512214419813553</v>
      </c>
      <c r="AG54" s="64">
        <f t="shared" si="60"/>
        <v>5.5152903164886098</v>
      </c>
      <c r="AH54" s="64">
        <f>AH52-AH53</f>
        <v>5.1691163163698208</v>
      </c>
      <c r="AJ54" s="64">
        <f>AJ52-AJ53</f>
        <v>8.1566721804511282</v>
      </c>
      <c r="AK54" s="64">
        <f t="shared" ref="AK54:BN54" si="61">AK52-AK53</f>
        <v>8.2474508903474781</v>
      </c>
      <c r="AL54" s="64">
        <f t="shared" si="61"/>
        <v>8.3382089319747443</v>
      </c>
      <c r="AM54" s="64">
        <f t="shared" si="61"/>
        <v>8.4289047880012902</v>
      </c>
      <c r="AN54" s="64">
        <f t="shared" si="61"/>
        <v>8.5195096875073251</v>
      </c>
      <c r="AO54" s="64">
        <f t="shared" si="61"/>
        <v>8.610008977848798</v>
      </c>
      <c r="AP54" s="64">
        <f t="shared" si="61"/>
        <v>8.7003229799224595</v>
      </c>
      <c r="AQ54" s="64">
        <f t="shared" si="61"/>
        <v>8.7904017397393055</v>
      </c>
      <c r="AR54" s="64">
        <f t="shared" si="61"/>
        <v>8.8801960078199507</v>
      </c>
      <c r="AS54" s="64">
        <f t="shared" si="61"/>
        <v>8.9696574477802695</v>
      </c>
      <c r="AT54" s="64">
        <f t="shared" si="61"/>
        <v>9.0587388497615002</v>
      </c>
      <c r="AU54" s="64">
        <f t="shared" si="61"/>
        <v>9.0960567328545494</v>
      </c>
      <c r="AV54" s="64">
        <f t="shared" si="61"/>
        <v>9.1316581334879832</v>
      </c>
      <c r="AW54" s="64">
        <f t="shared" si="61"/>
        <v>9.1663157064372687</v>
      </c>
      <c r="AX54" s="64">
        <f t="shared" si="61"/>
        <v>9.1995203465685638</v>
      </c>
      <c r="AY54" s="64">
        <f t="shared" si="61"/>
        <v>9.2313366858843544</v>
      </c>
      <c r="AZ54" s="64">
        <f t="shared" si="61"/>
        <v>9.2614820041321959</v>
      </c>
      <c r="BA54" s="64">
        <f t="shared" si="61"/>
        <v>9.2899246166936464</v>
      </c>
      <c r="BB54" s="64">
        <f t="shared" si="61"/>
        <v>9.3166332040244395</v>
      </c>
      <c r="BC54" s="64">
        <f t="shared" si="61"/>
        <v>9.3415768227146945</v>
      </c>
      <c r="BD54" s="64">
        <f t="shared" si="61"/>
        <v>9.3647249157266774</v>
      </c>
      <c r="BE54" s="64">
        <f t="shared" si="61"/>
        <v>9.2970404508493356</v>
      </c>
      <c r="BF54" s="64">
        <f t="shared" si="61"/>
        <v>9.2249522099167098</v>
      </c>
      <c r="BG54" s="64">
        <f t="shared" si="61"/>
        <v>9.1528040303109837</v>
      </c>
      <c r="BH54" s="64">
        <f t="shared" si="61"/>
        <v>9.0768636479812717</v>
      </c>
      <c r="BI54" s="64">
        <f t="shared" si="61"/>
        <v>8.9971035960063563</v>
      </c>
      <c r="BJ54" s="64">
        <f t="shared" si="61"/>
        <v>8.9134927325179127</v>
      </c>
      <c r="BK54" s="64">
        <f t="shared" si="61"/>
        <v>8.8260041511816727</v>
      </c>
      <c r="BL54" s="64">
        <f t="shared" si="61"/>
        <v>8.7346115504365489</v>
      </c>
      <c r="BM54" s="64">
        <f t="shared" si="61"/>
        <v>8.6392891999840025</v>
      </c>
      <c r="BN54" s="64">
        <f t="shared" si="61"/>
        <v>8.5400119045044551</v>
      </c>
    </row>
    <row r="55" spans="1:66" outlineLevel="1" x14ac:dyDescent="0.2">
      <c r="A55" s="58" t="s">
        <v>221</v>
      </c>
      <c r="B55" s="58" t="s">
        <v>197</v>
      </c>
      <c r="C55" s="54" t="s">
        <v>153</v>
      </c>
      <c r="D55" s="66">
        <f t="shared" ref="D55:AH55" si="62">D35</f>
        <v>0.15963789473684212</v>
      </c>
      <c r="E55" s="66">
        <f t="shared" si="62"/>
        <v>0.15691587021150821</v>
      </c>
      <c r="F55" s="66">
        <f t="shared" si="62"/>
        <v>0.15408344822843847</v>
      </c>
      <c r="G55" s="66">
        <f t="shared" si="62"/>
        <v>0.15113802942992652</v>
      </c>
      <c r="H55" s="66">
        <f t="shared" si="62"/>
        <v>0.14807696271156567</v>
      </c>
      <c r="I55" s="66">
        <f t="shared" si="62"/>
        <v>0.14489754427411805</v>
      </c>
      <c r="J55" s="66">
        <f t="shared" si="62"/>
        <v>0.14159701665885277</v>
      </c>
      <c r="K55" s="66">
        <f t="shared" si="62"/>
        <v>0.13817256776607509</v>
      </c>
      <c r="L55" s="66">
        <f t="shared" si="62"/>
        <v>0.13462132985656158</v>
      </c>
      <c r="M55" s="66">
        <f t="shared" si="62"/>
        <v>0.13094037853561488</v>
      </c>
      <c r="N55" s="66">
        <f t="shared" si="62"/>
        <v>0.12712673171944386</v>
      </c>
      <c r="O55" s="66">
        <f t="shared" si="62"/>
        <v>0.12487544564782105</v>
      </c>
      <c r="P55" s="66">
        <f t="shared" si="62"/>
        <v>0.1225338553502086</v>
      </c>
      <c r="Q55" s="66">
        <f t="shared" si="62"/>
        <v>0.1200998396155149</v>
      </c>
      <c r="R55" s="66">
        <f t="shared" si="62"/>
        <v>0.1175712350483834</v>
      </c>
      <c r="S55" s="66">
        <f t="shared" si="62"/>
        <v>0.11494583529671823</v>
      </c>
      <c r="T55" s="66">
        <f t="shared" si="62"/>
        <v>0.11222139026574704</v>
      </c>
      <c r="U55" s="66">
        <f t="shared" si="62"/>
        <v>0.1093956053183934</v>
      </c>
      <c r="V55" s="66">
        <f t="shared" si="62"/>
        <v>0.10646614046172825</v>
      </c>
      <c r="W55" s="66">
        <f t="shared" si="62"/>
        <v>0.10343060951926558</v>
      </c>
      <c r="X55" s="66">
        <f t="shared" si="62"/>
        <v>0.10028657928886422</v>
      </c>
      <c r="Y55" s="66">
        <f t="shared" si="62"/>
        <v>9.6063833625959966E-2</v>
      </c>
      <c r="Z55" s="66">
        <f t="shared" si="62"/>
        <v>9.1699919248804704E-2</v>
      </c>
      <c r="AA55" s="66">
        <f t="shared" si="62"/>
        <v>8.7191663804468716E-2</v>
      </c>
      <c r="AB55" s="66">
        <f t="shared" si="62"/>
        <v>8.2535833100647715E-2</v>
      </c>
      <c r="AC55" s="66">
        <f t="shared" si="62"/>
        <v>7.7729129986089968E-2</v>
      </c>
      <c r="AD55" s="66">
        <f t="shared" si="62"/>
        <v>7.2768193211654064E-2</v>
      </c>
      <c r="AE55" s="66">
        <f t="shared" si="62"/>
        <v>6.76495962716719E-2</v>
      </c>
      <c r="AF55" s="66">
        <f t="shared" si="62"/>
        <v>6.2369846225286511E-2</v>
      </c>
      <c r="AG55" s="66">
        <f t="shared" si="62"/>
        <v>5.692538249742965E-2</v>
      </c>
      <c r="AH55" s="66">
        <f t="shared" si="62"/>
        <v>5.1312575659097068E-2</v>
      </c>
      <c r="AJ55" s="66">
        <f t="shared" ref="AJ55:BN55" si="63">AJ35</f>
        <v>0.15963789473684212</v>
      </c>
      <c r="AK55" s="66">
        <f t="shared" si="63"/>
        <v>0.15941752142889323</v>
      </c>
      <c r="AL55" s="66">
        <f t="shared" si="63"/>
        <v>0.15915824949710053</v>
      </c>
      <c r="AM55" s="66">
        <f t="shared" si="63"/>
        <v>0.1588590121964614</v>
      </c>
      <c r="AN55" s="66">
        <f t="shared" si="63"/>
        <v>0.15851872023732419</v>
      </c>
      <c r="AO55" s="66">
        <f t="shared" si="63"/>
        <v>0.15813626135889108</v>
      </c>
      <c r="AP55" s="66">
        <f t="shared" si="63"/>
        <v>0.15771049989513522</v>
      </c>
      <c r="AQ55" s="66">
        <f t="shared" si="63"/>
        <v>0.15724027633300253</v>
      </c>
      <c r="AR55" s="66">
        <f t="shared" si="63"/>
        <v>0.15672440686276642</v>
      </c>
      <c r="AS55" s="66">
        <f t="shared" si="63"/>
        <v>0.15616168292040122</v>
      </c>
      <c r="AT55" s="66">
        <f t="shared" si="63"/>
        <v>0.15555087072183763</v>
      </c>
      <c r="AU55" s="66">
        <f t="shared" si="63"/>
        <v>0.15573975932108705</v>
      </c>
      <c r="AV55" s="66">
        <f t="shared" si="63"/>
        <v>0.15590228089583999</v>
      </c>
      <c r="AW55" s="66">
        <f t="shared" si="63"/>
        <v>0.15603764328563061</v>
      </c>
      <c r="AX55" s="66">
        <f t="shared" si="63"/>
        <v>0.15614503707402891</v>
      </c>
      <c r="AY55" s="66">
        <f t="shared" si="63"/>
        <v>0.15622363525722358</v>
      </c>
      <c r="AZ55" s="66">
        <f t="shared" si="63"/>
        <v>0.15627259290665704</v>
      </c>
      <c r="BA55" s="66">
        <f t="shared" si="63"/>
        <v>0.15629104682560963</v>
      </c>
      <c r="BB55" s="66">
        <f t="shared" si="63"/>
        <v>0.15627811519962939</v>
      </c>
      <c r="BC55" s="66">
        <f t="shared" si="63"/>
        <v>0.1562328972407015</v>
      </c>
      <c r="BD55" s="66">
        <f t="shared" si="63"/>
        <v>0.15615447282504968</v>
      </c>
      <c r="BE55" s="66">
        <f t="shared" si="63"/>
        <v>0.15555803459444401</v>
      </c>
      <c r="BF55" s="66">
        <f t="shared" si="63"/>
        <v>0.15491266091936512</v>
      </c>
      <c r="BG55" s="66">
        <f t="shared" si="63"/>
        <v>0.15421707499341519</v>
      </c>
      <c r="BH55" s="66">
        <f t="shared" si="63"/>
        <v>0.15346997351150893</v>
      </c>
      <c r="BI55" s="66">
        <f t="shared" si="63"/>
        <v>0.15267002617326458</v>
      </c>
      <c r="BJ55" s="66">
        <f t="shared" si="63"/>
        <v>0.15181587517761336</v>
      </c>
      <c r="BK55" s="66">
        <f t="shared" si="63"/>
        <v>0.15090613470847683</v>
      </c>
      <c r="BL55" s="66">
        <f t="shared" si="63"/>
        <v>0.14993939041136092</v>
      </c>
      <c r="BM55" s="66">
        <f t="shared" si="63"/>
        <v>0.14891419886071153</v>
      </c>
      <c r="BN55" s="66">
        <f t="shared" si="63"/>
        <v>0.14782908701787489</v>
      </c>
    </row>
    <row r="56" spans="1:66" outlineLevel="1" x14ac:dyDescent="0.2">
      <c r="A56"/>
      <c r="B56" t="s">
        <v>217</v>
      </c>
      <c r="C56" s="54" t="s">
        <v>153</v>
      </c>
      <c r="D56" s="44">
        <f>'Butadiene Recycling HC'!C137</f>
        <v>0</v>
      </c>
      <c r="E56" s="44">
        <f>'Butadiene Recycling HC'!D137</f>
        <v>0</v>
      </c>
      <c r="F56" s="44">
        <f>'Butadiene Recycling HC'!E137</f>
        <v>0</v>
      </c>
      <c r="G56" s="44">
        <f>'Butadiene Recycling HC'!F137</f>
        <v>0</v>
      </c>
      <c r="H56" s="44">
        <f>'Butadiene Recycling HC'!G137</f>
        <v>0</v>
      </c>
      <c r="I56" s="44">
        <f>'Butadiene Recycling HC'!H137</f>
        <v>0</v>
      </c>
      <c r="J56" s="44">
        <f>'Butadiene Recycling HC'!I137</f>
        <v>0</v>
      </c>
      <c r="K56" s="44">
        <f>'Butadiene Recycling HC'!J137</f>
        <v>0</v>
      </c>
      <c r="L56" s="44">
        <f>'Butadiene Recycling HC'!K137</f>
        <v>0</v>
      </c>
      <c r="M56" s="44">
        <f>'Butadiene Recycling HC'!L137</f>
        <v>0</v>
      </c>
      <c r="N56" s="44">
        <f>'Butadiene Recycling HC'!M137</f>
        <v>0</v>
      </c>
      <c r="O56" s="44">
        <f>'Butadiene Recycling HC'!N137</f>
        <v>0</v>
      </c>
      <c r="P56" s="44">
        <f>'Butadiene Recycling HC'!O137</f>
        <v>0</v>
      </c>
      <c r="Q56" s="44">
        <f>'Butadiene Recycling HC'!P137</f>
        <v>0</v>
      </c>
      <c r="R56" s="44">
        <f>'Butadiene Recycling HC'!Q137</f>
        <v>0</v>
      </c>
      <c r="S56" s="44">
        <f>'Butadiene Recycling HC'!R137</f>
        <v>0</v>
      </c>
      <c r="T56" s="44">
        <f>'Butadiene Recycling HC'!S137</f>
        <v>0</v>
      </c>
      <c r="U56" s="44">
        <f>'Butadiene Recycling HC'!T137</f>
        <v>0</v>
      </c>
      <c r="V56" s="44">
        <f>'Butadiene Recycling HC'!U137</f>
        <v>0</v>
      </c>
      <c r="W56" s="44">
        <f>'Butadiene Recycling HC'!V137</f>
        <v>0</v>
      </c>
      <c r="X56" s="44">
        <f>'Butadiene Recycling HC'!W137</f>
        <v>0</v>
      </c>
      <c r="Y56" s="44">
        <f>'Butadiene Recycling HC'!X137</f>
        <v>0</v>
      </c>
      <c r="Z56" s="44">
        <f>'Butadiene Recycling HC'!Y137</f>
        <v>0</v>
      </c>
      <c r="AA56" s="44">
        <f>'Butadiene Recycling HC'!Z137</f>
        <v>0</v>
      </c>
      <c r="AB56" s="44">
        <f>'Butadiene Recycling HC'!AA137</f>
        <v>0</v>
      </c>
      <c r="AC56" s="44">
        <f>'Butadiene Recycling HC'!AB137</f>
        <v>0</v>
      </c>
      <c r="AD56" s="44">
        <f>'Butadiene Recycling HC'!AC137</f>
        <v>0</v>
      </c>
      <c r="AE56" s="44">
        <f>'Butadiene Recycling HC'!AD137</f>
        <v>0</v>
      </c>
      <c r="AF56" s="44">
        <f>'Butadiene Recycling HC'!AE137</f>
        <v>0</v>
      </c>
      <c r="AG56" s="44">
        <f>'Butadiene Recycling HC'!AF137</f>
        <v>0</v>
      </c>
      <c r="AH56" s="44">
        <f>'Butadiene Recycling HC'!AG137</f>
        <v>0</v>
      </c>
      <c r="AJ56" s="44">
        <f>D56</f>
        <v>0</v>
      </c>
      <c r="AK56" s="44">
        <f>E56</f>
        <v>0</v>
      </c>
      <c r="AL56" s="44">
        <f>F56</f>
        <v>0</v>
      </c>
      <c r="AM56" s="44">
        <f t="shared" ref="AM56:BB57" si="64">G56</f>
        <v>0</v>
      </c>
      <c r="AN56" s="44">
        <f t="shared" si="64"/>
        <v>0</v>
      </c>
      <c r="AO56" s="44">
        <f t="shared" si="64"/>
        <v>0</v>
      </c>
      <c r="AP56" s="44">
        <f t="shared" si="64"/>
        <v>0</v>
      </c>
      <c r="AQ56" s="44">
        <f t="shared" si="64"/>
        <v>0</v>
      </c>
      <c r="AR56" s="44">
        <f t="shared" si="64"/>
        <v>0</v>
      </c>
      <c r="AS56" s="44">
        <f t="shared" si="64"/>
        <v>0</v>
      </c>
      <c r="AT56" s="44">
        <f t="shared" si="64"/>
        <v>0</v>
      </c>
      <c r="AU56" s="44">
        <f t="shared" si="64"/>
        <v>0</v>
      </c>
      <c r="AV56" s="44">
        <f t="shared" si="64"/>
        <v>0</v>
      </c>
      <c r="AW56" s="44">
        <f t="shared" si="64"/>
        <v>0</v>
      </c>
      <c r="AX56" s="44">
        <f t="shared" si="64"/>
        <v>0</v>
      </c>
      <c r="AY56" s="44">
        <f t="shared" si="64"/>
        <v>0</v>
      </c>
      <c r="AZ56" s="44">
        <f t="shared" si="64"/>
        <v>0</v>
      </c>
      <c r="BA56" s="44">
        <f t="shared" si="64"/>
        <v>0</v>
      </c>
      <c r="BB56" s="44">
        <f t="shared" si="64"/>
        <v>0</v>
      </c>
      <c r="BC56" s="44">
        <f t="shared" ref="BC56:BN57" si="65">W56</f>
        <v>0</v>
      </c>
      <c r="BD56" s="44">
        <f t="shared" si="65"/>
        <v>0</v>
      </c>
      <c r="BE56" s="44">
        <f t="shared" si="65"/>
        <v>0</v>
      </c>
      <c r="BF56" s="44">
        <f t="shared" si="65"/>
        <v>0</v>
      </c>
      <c r="BG56" s="44">
        <f t="shared" si="65"/>
        <v>0</v>
      </c>
      <c r="BH56" s="44">
        <f t="shared" si="65"/>
        <v>0</v>
      </c>
      <c r="BI56" s="44">
        <f t="shared" si="65"/>
        <v>0</v>
      </c>
      <c r="BJ56" s="44">
        <f t="shared" si="65"/>
        <v>0</v>
      </c>
      <c r="BK56" s="44">
        <f t="shared" si="65"/>
        <v>0</v>
      </c>
      <c r="BL56" s="44">
        <f t="shared" si="65"/>
        <v>0</v>
      </c>
      <c r="BM56" s="44">
        <f t="shared" si="65"/>
        <v>0</v>
      </c>
      <c r="BN56" s="44">
        <f t="shared" si="65"/>
        <v>0</v>
      </c>
    </row>
    <row r="57" spans="1:66" outlineLevel="1" x14ac:dyDescent="0.2">
      <c r="A57"/>
      <c r="B57" t="s">
        <v>222</v>
      </c>
      <c r="C57" s="54" t="s">
        <v>153</v>
      </c>
      <c r="D57" s="44">
        <f>'Butadiene Recycling HC'!C75</f>
        <v>0</v>
      </c>
      <c r="E57" s="44">
        <f>'Butadiene Recycling HC'!D75</f>
        <v>0</v>
      </c>
      <c r="F57" s="44">
        <f>'Butadiene Recycling HC'!E75</f>
        <v>0</v>
      </c>
      <c r="G57" s="44">
        <f>'Butadiene Recycling HC'!F75</f>
        <v>0</v>
      </c>
      <c r="H57" s="44">
        <f>'Butadiene Recycling HC'!G75</f>
        <v>0</v>
      </c>
      <c r="I57" s="44">
        <f>'Butadiene Recycling HC'!H75</f>
        <v>0</v>
      </c>
      <c r="J57" s="44">
        <f>'Butadiene Recycling HC'!I75</f>
        <v>0</v>
      </c>
      <c r="K57" s="44">
        <f>'Butadiene Recycling HC'!J75</f>
        <v>0</v>
      </c>
      <c r="L57" s="44">
        <f>'Butadiene Recycling HC'!K75</f>
        <v>0</v>
      </c>
      <c r="M57" s="44">
        <f>'Butadiene Recycling HC'!L75</f>
        <v>0</v>
      </c>
      <c r="N57" s="44">
        <f>'Butadiene Recycling HC'!M75</f>
        <v>0</v>
      </c>
      <c r="O57" s="44">
        <f>'Butadiene Recycling HC'!N75</f>
        <v>0</v>
      </c>
      <c r="P57" s="44">
        <f>'Butadiene Recycling HC'!O75</f>
        <v>0</v>
      </c>
      <c r="Q57" s="44">
        <f>'Butadiene Recycling HC'!P75</f>
        <v>0</v>
      </c>
      <c r="R57" s="44">
        <f>'Butadiene Recycling HC'!Q75</f>
        <v>0</v>
      </c>
      <c r="S57" s="44">
        <f>'Butadiene Recycling HC'!R75</f>
        <v>0</v>
      </c>
      <c r="T57" s="44">
        <f>'Butadiene Recycling HC'!S75</f>
        <v>0</v>
      </c>
      <c r="U57" s="44">
        <f>'Butadiene Recycling HC'!T75</f>
        <v>0</v>
      </c>
      <c r="V57" s="44">
        <f>'Butadiene Recycling HC'!U75</f>
        <v>0</v>
      </c>
      <c r="W57" s="44">
        <f>'Butadiene Recycling HC'!V75</f>
        <v>0</v>
      </c>
      <c r="X57" s="44">
        <f>'Butadiene Recycling HC'!W75</f>
        <v>0</v>
      </c>
      <c r="Y57" s="44">
        <f>'Butadiene Recycling HC'!X75</f>
        <v>0</v>
      </c>
      <c r="Z57" s="44">
        <f>'Butadiene Recycling HC'!Y75</f>
        <v>0</v>
      </c>
      <c r="AA57" s="44">
        <f>'Butadiene Recycling HC'!Z75</f>
        <v>0</v>
      </c>
      <c r="AB57" s="44">
        <f>'Butadiene Recycling HC'!AA75</f>
        <v>0</v>
      </c>
      <c r="AC57" s="44">
        <f>'Butadiene Recycling HC'!AB75</f>
        <v>0</v>
      </c>
      <c r="AD57" s="44">
        <f>'Butadiene Recycling HC'!AC75</f>
        <v>0</v>
      </c>
      <c r="AE57" s="44">
        <f>'Butadiene Recycling HC'!AD75</f>
        <v>0</v>
      </c>
      <c r="AF57" s="44">
        <f>'Butadiene Recycling HC'!AE75</f>
        <v>0</v>
      </c>
      <c r="AG57" s="44">
        <f>'Butadiene Recycling HC'!AF75</f>
        <v>0</v>
      </c>
      <c r="AH57" s="44">
        <f>'Butadiene Recycling HC'!AG75</f>
        <v>0</v>
      </c>
      <c r="AJ57" s="44">
        <f>D57</f>
        <v>0</v>
      </c>
      <c r="AK57" s="44">
        <f t="shared" ref="AK57:AZ57" si="66">E57</f>
        <v>0</v>
      </c>
      <c r="AL57" s="44">
        <f t="shared" si="66"/>
        <v>0</v>
      </c>
      <c r="AM57" s="44">
        <f t="shared" si="66"/>
        <v>0</v>
      </c>
      <c r="AN57" s="44">
        <f t="shared" si="66"/>
        <v>0</v>
      </c>
      <c r="AO57" s="44">
        <f t="shared" si="66"/>
        <v>0</v>
      </c>
      <c r="AP57" s="44">
        <f t="shared" si="66"/>
        <v>0</v>
      </c>
      <c r="AQ57" s="44">
        <f t="shared" si="66"/>
        <v>0</v>
      </c>
      <c r="AR57" s="44">
        <f t="shared" si="66"/>
        <v>0</v>
      </c>
      <c r="AS57" s="44">
        <f t="shared" si="66"/>
        <v>0</v>
      </c>
      <c r="AT57" s="44">
        <f t="shared" si="66"/>
        <v>0</v>
      </c>
      <c r="AU57" s="44">
        <f t="shared" si="66"/>
        <v>0</v>
      </c>
      <c r="AV57" s="44">
        <f t="shared" si="66"/>
        <v>0</v>
      </c>
      <c r="AW57" s="44">
        <f t="shared" si="66"/>
        <v>0</v>
      </c>
      <c r="AX57" s="44">
        <f t="shared" si="66"/>
        <v>0</v>
      </c>
      <c r="AY57" s="44">
        <f t="shared" si="66"/>
        <v>0</v>
      </c>
      <c r="AZ57" s="44">
        <f t="shared" si="66"/>
        <v>0</v>
      </c>
      <c r="BA57" s="44">
        <f t="shared" si="64"/>
        <v>0</v>
      </c>
      <c r="BB57" s="44">
        <f t="shared" si="64"/>
        <v>0</v>
      </c>
      <c r="BC57" s="44">
        <f t="shared" si="65"/>
        <v>0</v>
      </c>
      <c r="BD57" s="44">
        <f t="shared" si="65"/>
        <v>0</v>
      </c>
      <c r="BE57" s="44">
        <f t="shared" si="65"/>
        <v>0</v>
      </c>
      <c r="BF57" s="44">
        <f t="shared" si="65"/>
        <v>0</v>
      </c>
      <c r="BG57" s="44">
        <f t="shared" si="65"/>
        <v>0</v>
      </c>
      <c r="BH57" s="44">
        <f t="shared" si="65"/>
        <v>0</v>
      </c>
      <c r="BI57" s="44">
        <f t="shared" si="65"/>
        <v>0</v>
      </c>
      <c r="BJ57" s="44">
        <f t="shared" si="65"/>
        <v>0</v>
      </c>
      <c r="BK57" s="44">
        <f t="shared" si="65"/>
        <v>0</v>
      </c>
      <c r="BL57" s="44">
        <f t="shared" si="65"/>
        <v>0</v>
      </c>
      <c r="BM57" s="44">
        <f t="shared" si="65"/>
        <v>0</v>
      </c>
      <c r="BN57" s="43">
        <f t="shared" si="65"/>
        <v>0</v>
      </c>
    </row>
    <row r="58" spans="1:66" outlineLevel="1" x14ac:dyDescent="0.2">
      <c r="A58" s="62"/>
      <c r="B58" s="62" t="s">
        <v>219</v>
      </c>
      <c r="C58" s="54" t="s">
        <v>153</v>
      </c>
      <c r="D58" s="64">
        <f>IF(D55-D56-D57&lt;0,0,D55-D56-D57)</f>
        <v>0.15963789473684212</v>
      </c>
      <c r="E58" s="64">
        <f t="shared" ref="E58:AG58" si="67">IF(E55-E56-E57&lt;0,0,E55-E56-E57)</f>
        <v>0.15691587021150821</v>
      </c>
      <c r="F58" s="64">
        <f t="shared" si="67"/>
        <v>0.15408344822843847</v>
      </c>
      <c r="G58" s="64">
        <f t="shared" si="67"/>
        <v>0.15113802942992652</v>
      </c>
      <c r="H58" s="64">
        <f t="shared" si="67"/>
        <v>0.14807696271156567</v>
      </c>
      <c r="I58" s="64">
        <f t="shared" si="67"/>
        <v>0.14489754427411805</v>
      </c>
      <c r="J58" s="64">
        <f t="shared" si="67"/>
        <v>0.14159701665885277</v>
      </c>
      <c r="K58" s="64">
        <f t="shared" si="67"/>
        <v>0.13817256776607509</v>
      </c>
      <c r="L58" s="64">
        <f t="shared" si="67"/>
        <v>0.13462132985656158</v>
      </c>
      <c r="M58" s="64">
        <f t="shared" si="67"/>
        <v>0.13094037853561488</v>
      </c>
      <c r="N58" s="64">
        <f t="shared" si="67"/>
        <v>0.12712673171944386</v>
      </c>
      <c r="O58" s="64">
        <f t="shared" si="67"/>
        <v>0.12487544564782105</v>
      </c>
      <c r="P58" s="64">
        <f t="shared" si="67"/>
        <v>0.1225338553502086</v>
      </c>
      <c r="Q58" s="64">
        <f t="shared" si="67"/>
        <v>0.1200998396155149</v>
      </c>
      <c r="R58" s="64">
        <f t="shared" si="67"/>
        <v>0.1175712350483834</v>
      </c>
      <c r="S58" s="64">
        <f t="shared" si="67"/>
        <v>0.11494583529671823</v>
      </c>
      <c r="T58" s="64">
        <f t="shared" si="67"/>
        <v>0.11222139026574704</v>
      </c>
      <c r="U58" s="64">
        <f t="shared" si="67"/>
        <v>0.1093956053183934</v>
      </c>
      <c r="V58" s="64">
        <f t="shared" si="67"/>
        <v>0.10646614046172825</v>
      </c>
      <c r="W58" s="64">
        <f t="shared" si="67"/>
        <v>0.10343060951926558</v>
      </c>
      <c r="X58" s="64">
        <f t="shared" si="67"/>
        <v>0.10028657928886422</v>
      </c>
      <c r="Y58" s="64">
        <f t="shared" si="67"/>
        <v>9.6063833625959966E-2</v>
      </c>
      <c r="Z58" s="64">
        <f t="shared" si="67"/>
        <v>9.1699919248804704E-2</v>
      </c>
      <c r="AA58" s="64">
        <f t="shared" si="67"/>
        <v>8.7191663804468716E-2</v>
      </c>
      <c r="AB58" s="64">
        <f t="shared" si="67"/>
        <v>8.2535833100647715E-2</v>
      </c>
      <c r="AC58" s="64">
        <f t="shared" si="67"/>
        <v>7.7729129986089968E-2</v>
      </c>
      <c r="AD58" s="64">
        <f t="shared" si="67"/>
        <v>7.2768193211654064E-2</v>
      </c>
      <c r="AE58" s="64">
        <f t="shared" si="67"/>
        <v>6.76495962716719E-2</v>
      </c>
      <c r="AF58" s="64">
        <f t="shared" si="67"/>
        <v>6.2369846225286511E-2</v>
      </c>
      <c r="AG58" s="64">
        <f t="shared" si="67"/>
        <v>5.692538249742965E-2</v>
      </c>
      <c r="AH58" s="581">
        <f>IF(AH55-AH56-AH57&lt;0,0,AH55-AH56-AH57)</f>
        <v>5.1312575659097068E-2</v>
      </c>
      <c r="AI58" s="44"/>
      <c r="AJ58" s="64">
        <f>IF(AJ55-AJ56-AJ57&lt;0,0,AJ55-AJ56-AJ57)</f>
        <v>0.15963789473684212</v>
      </c>
      <c r="AK58" s="64">
        <f t="shared" ref="AK58:BN58" si="68">IF(AK55-AK56-AK57&lt;0,0,AK55-AK56-AK57)</f>
        <v>0.15941752142889323</v>
      </c>
      <c r="AL58" s="64">
        <f t="shared" si="68"/>
        <v>0.15915824949710053</v>
      </c>
      <c r="AM58" s="64">
        <f t="shared" si="68"/>
        <v>0.1588590121964614</v>
      </c>
      <c r="AN58" s="64">
        <f t="shared" si="68"/>
        <v>0.15851872023732419</v>
      </c>
      <c r="AO58" s="64">
        <f t="shared" si="68"/>
        <v>0.15813626135889108</v>
      </c>
      <c r="AP58" s="64">
        <f t="shared" si="68"/>
        <v>0.15771049989513522</v>
      </c>
      <c r="AQ58" s="64">
        <f t="shared" si="68"/>
        <v>0.15724027633300253</v>
      </c>
      <c r="AR58" s="64">
        <f t="shared" si="68"/>
        <v>0.15672440686276642</v>
      </c>
      <c r="AS58" s="64">
        <f t="shared" si="68"/>
        <v>0.15616168292040122</v>
      </c>
      <c r="AT58" s="64">
        <f t="shared" si="68"/>
        <v>0.15555087072183763</v>
      </c>
      <c r="AU58" s="64">
        <f t="shared" si="68"/>
        <v>0.15573975932108705</v>
      </c>
      <c r="AV58" s="64">
        <f t="shared" si="68"/>
        <v>0.15590228089583999</v>
      </c>
      <c r="AW58" s="64">
        <f t="shared" si="68"/>
        <v>0.15603764328563061</v>
      </c>
      <c r="AX58" s="64">
        <f t="shared" si="68"/>
        <v>0.15614503707402891</v>
      </c>
      <c r="AY58" s="64">
        <f t="shared" si="68"/>
        <v>0.15622363525722358</v>
      </c>
      <c r="AZ58" s="64">
        <f t="shared" si="68"/>
        <v>0.15627259290665704</v>
      </c>
      <c r="BA58" s="64">
        <f t="shared" si="68"/>
        <v>0.15629104682560963</v>
      </c>
      <c r="BB58" s="64">
        <f t="shared" si="68"/>
        <v>0.15627811519962939</v>
      </c>
      <c r="BC58" s="64">
        <f t="shared" si="68"/>
        <v>0.1562328972407015</v>
      </c>
      <c r="BD58" s="64">
        <f t="shared" si="68"/>
        <v>0.15615447282504968</v>
      </c>
      <c r="BE58" s="64">
        <f t="shared" si="68"/>
        <v>0.15555803459444401</v>
      </c>
      <c r="BF58" s="64">
        <f t="shared" si="68"/>
        <v>0.15491266091936512</v>
      </c>
      <c r="BG58" s="64">
        <f t="shared" si="68"/>
        <v>0.15421707499341519</v>
      </c>
      <c r="BH58" s="64">
        <f t="shared" si="68"/>
        <v>0.15346997351150893</v>
      </c>
      <c r="BI58" s="64">
        <f t="shared" si="68"/>
        <v>0.15267002617326458</v>
      </c>
      <c r="BJ58" s="64">
        <f t="shared" si="68"/>
        <v>0.15181587517761336</v>
      </c>
      <c r="BK58" s="64">
        <f t="shared" si="68"/>
        <v>0.15090613470847683</v>
      </c>
      <c r="BL58" s="64">
        <f t="shared" si="68"/>
        <v>0.14993939041136092</v>
      </c>
      <c r="BM58" s="64">
        <f t="shared" si="68"/>
        <v>0.14891419886071153</v>
      </c>
      <c r="BN58" s="64">
        <f t="shared" si="68"/>
        <v>0.14782908701787489</v>
      </c>
    </row>
    <row r="59" spans="1:66" outlineLevel="1" x14ac:dyDescent="0.2">
      <c r="A59" s="58" t="s">
        <v>223</v>
      </c>
      <c r="B59" s="58" t="s">
        <v>197</v>
      </c>
      <c r="C59" s="100" t="s">
        <v>153</v>
      </c>
      <c r="D59" s="101">
        <f t="shared" ref="D59:AH59" si="69">D29</f>
        <v>1.8779766917293235</v>
      </c>
      <c r="E59" s="101">
        <f t="shared" si="69"/>
        <v>1.8702412282623802</v>
      </c>
      <c r="F59" s="101">
        <f t="shared" si="69"/>
        <v>1.861901172016085</v>
      </c>
      <c r="G59" s="101">
        <f t="shared" si="69"/>
        <v>1.8529408230178603</v>
      </c>
      <c r="H59" s="101">
        <f t="shared" si="69"/>
        <v>1.8433441560456032</v>
      </c>
      <c r="I59" s="101">
        <f t="shared" si="69"/>
        <v>1.8330948145379846</v>
      </c>
      <c r="J59" s="101">
        <f t="shared" si="69"/>
        <v>1.8221761043971252</v>
      </c>
      <c r="K59" s="101">
        <f t="shared" si="69"/>
        <v>1.8105709876818077</v>
      </c>
      <c r="L59" s="101">
        <f t="shared" si="69"/>
        <v>1.7982620761893686</v>
      </c>
      <c r="M59" s="101">
        <f t="shared" si="69"/>
        <v>1.7852316249243749</v>
      </c>
      <c r="N59" s="101">
        <f t="shared" si="69"/>
        <v>1.7714615254521571</v>
      </c>
      <c r="O59" s="101">
        <f t="shared" si="69"/>
        <v>1.7569332991352433</v>
      </c>
      <c r="P59" s="101">
        <f t="shared" si="69"/>
        <v>1.7416280902507082</v>
      </c>
      <c r="Q59" s="101">
        <f t="shared" si="69"/>
        <v>1.7255266589864102</v>
      </c>
      <c r="R59" s="101">
        <f t="shared" si="69"/>
        <v>1.7086093743140607</v>
      </c>
      <c r="S59" s="101">
        <f t="shared" si="69"/>
        <v>1.6908562067370405</v>
      </c>
      <c r="T59" s="101">
        <f t="shared" si="69"/>
        <v>1.6722467209108329</v>
      </c>
      <c r="U59" s="101">
        <f t="shared" si="69"/>
        <v>1.6527600681339183</v>
      </c>
      <c r="V59" s="101">
        <f t="shared" si="69"/>
        <v>1.6323749787069324</v>
      </c>
      <c r="W59" s="101">
        <f t="shared" si="69"/>
        <v>1.6110697541578567</v>
      </c>
      <c r="X59" s="101">
        <f t="shared" si="69"/>
        <v>1.588822259330974</v>
      </c>
      <c r="Y59" s="101">
        <f t="shared" si="69"/>
        <v>1.5642184859574093</v>
      </c>
      <c r="Z59" s="101">
        <f t="shared" si="69"/>
        <v>1.5385870616678405</v>
      </c>
      <c r="AA59" s="101">
        <f t="shared" si="69"/>
        <v>1.5119036399467172</v>
      </c>
      <c r="AB59" s="101">
        <f t="shared" si="69"/>
        <v>1.4841433882992634</v>
      </c>
      <c r="AC59" s="101">
        <f t="shared" si="69"/>
        <v>1.4552809793337591</v>
      </c>
      <c r="AD59" s="101">
        <f t="shared" si="69"/>
        <v>1.42529058168819</v>
      </c>
      <c r="AE59" s="101">
        <f t="shared" si="69"/>
        <v>1.3941458507986422</v>
      </c>
      <c r="AF59" s="101">
        <f t="shared" si="69"/>
        <v>1.3618199195067646</v>
      </c>
      <c r="AG59" s="101">
        <f t="shared" si="69"/>
        <v>1.3282853885035957</v>
      </c>
      <c r="AH59" s="101">
        <f t="shared" si="69"/>
        <v>1.2935143166069822</v>
      </c>
      <c r="AJ59" s="101">
        <f t="shared" ref="AJ59:BN59" si="70">AJ29</f>
        <v>1.8779766917293235</v>
      </c>
      <c r="AK59" s="101">
        <f t="shared" si="70"/>
        <v>1.8909846483120591</v>
      </c>
      <c r="AL59" s="101">
        <f t="shared" si="70"/>
        <v>1.9039808726765708</v>
      </c>
      <c r="AM59" s="101">
        <f t="shared" si="70"/>
        <v>1.916962373108277</v>
      </c>
      <c r="AN59" s="101">
        <f t="shared" si="70"/>
        <v>1.9299260747833069</v>
      </c>
      <c r="AO59" s="101">
        <f t="shared" si="70"/>
        <v>1.9428688180041307</v>
      </c>
      <c r="AP59" s="101">
        <f t="shared" si="70"/>
        <v>1.9557873564017354</v>
      </c>
      <c r="AQ59" s="101">
        <f t="shared" si="70"/>
        <v>1.9686783551037494</v>
      </c>
      <c r="AR59" s="101">
        <f t="shared" si="70"/>
        <v>1.9815383888679108</v>
      </c>
      <c r="AS59" s="101">
        <f t="shared" si="70"/>
        <v>1.9943639401802622</v>
      </c>
      <c r="AT59" s="101">
        <f t="shared" si="70"/>
        <v>2.0071513973174473</v>
      </c>
      <c r="AU59" s="101">
        <f t="shared" si="70"/>
        <v>2.0198970523724653</v>
      </c>
      <c r="AV59" s="101">
        <f t="shared" si="70"/>
        <v>2.0325970992432456</v>
      </c>
      <c r="AW59" s="101">
        <f t="shared" si="70"/>
        <v>2.0452476315833685</v>
      </c>
      <c r="AX59" s="101">
        <f t="shared" si="70"/>
        <v>2.0578446407142774</v>
      </c>
      <c r="AY59" s="101">
        <f t="shared" si="70"/>
        <v>2.0703840134982849</v>
      </c>
      <c r="AZ59" s="101">
        <f t="shared" si="70"/>
        <v>2.0828615301716891</v>
      </c>
      <c r="BA59" s="101">
        <f t="shared" si="70"/>
        <v>2.0952728621372914</v>
      </c>
      <c r="BB59" s="101">
        <f t="shared" si="70"/>
        <v>2.1076135697155958</v>
      </c>
      <c r="BC59" s="101">
        <f t="shared" si="70"/>
        <v>2.1198790998539598</v>
      </c>
      <c r="BD59" s="101">
        <f t="shared" si="70"/>
        <v>2.1320647837929618</v>
      </c>
      <c r="BE59" s="101">
        <f t="shared" si="70"/>
        <v>2.1436092633372672</v>
      </c>
      <c r="BF59" s="101">
        <f t="shared" si="70"/>
        <v>2.1550482953154089</v>
      </c>
      <c r="BG59" s="101">
        <f t="shared" si="70"/>
        <v>2.1663765084283861</v>
      </c>
      <c r="BH59" s="101">
        <f t="shared" si="70"/>
        <v>2.1775883993957605</v>
      </c>
      <c r="BI59" s="101">
        <f t="shared" si="70"/>
        <v>2.1886783302804318</v>
      </c>
      <c r="BJ59" s="101">
        <f t="shared" si="70"/>
        <v>2.1996405257639084</v>
      </c>
      <c r="BK59" s="101">
        <f t="shared" si="70"/>
        <v>2.2104690703711962</v>
      </c>
      <c r="BL59" s="101">
        <f t="shared" si="70"/>
        <v>2.2211579056444348</v>
      </c>
      <c r="BM59" s="101">
        <f t="shared" si="70"/>
        <v>2.231700827264373</v>
      </c>
      <c r="BN59" s="101">
        <f t="shared" si="70"/>
        <v>2.2420914821187692</v>
      </c>
    </row>
    <row r="60" spans="1:66" outlineLevel="1" x14ac:dyDescent="0.2">
      <c r="A60"/>
      <c r="B60" t="s">
        <v>217</v>
      </c>
      <c r="C60" s="54" t="s">
        <v>153</v>
      </c>
      <c r="D60" s="44">
        <f>'Butadiene Recycling HC'!C151</f>
        <v>0</v>
      </c>
      <c r="E60" s="44">
        <f>'Butadiene Recycling HC'!D151</f>
        <v>6.8575510127137293E-4</v>
      </c>
      <c r="F60" s="44">
        <f>'Butadiene Recycling HC'!E151</f>
        <v>1.4137798758990748E-3</v>
      </c>
      <c r="G60" s="44">
        <f>'Butadiene Recycling HC'!F151</f>
        <v>2.1803177816155017E-3</v>
      </c>
      <c r="H60" s="44">
        <f>'Butadiene Recycling HC'!G151</f>
        <v>2.9810552488453018E-3</v>
      </c>
      <c r="I60" s="44">
        <f>'Butadiene Recycling HC'!H151</f>
        <v>3.8111588287271458E-3</v>
      </c>
      <c r="J60" s="44">
        <f>'Butadiene Recycling HC'!I151</f>
        <v>4.67538696680581E-3</v>
      </c>
      <c r="K60" s="44">
        <f>'Butadiene Recycling HC'!J151</f>
        <v>5.5737262490058786E-3</v>
      </c>
      <c r="L60" s="44">
        <f>'Butadiene Recycling HC'!K151</f>
        <v>6.5060985696927774E-3</v>
      </c>
      <c r="M60" s="44">
        <f>'Butadiene Recycling HC'!L151</f>
        <v>7.4723593626091784E-3</v>
      </c>
      <c r="N60" s="44">
        <f>'Butadiene Recycling HC'!M151</f>
        <v>8.4722959688281318E-3</v>
      </c>
      <c r="O60" s="44">
        <f>'Butadiene Recycling HC'!N151</f>
        <v>9.4920255900893084E-3</v>
      </c>
      <c r="P60" s="44">
        <f>'Butadiene Recycling HC'!O151</f>
        <v>1.0526647660798702E-2</v>
      </c>
      <c r="Q60" s="44">
        <f>'Butadiene Recycling HC'!P151</f>
        <v>1.1570993579342994E-2</v>
      </c>
      <c r="R60" s="44">
        <f>'Butadiene Recycling HC'!Q151</f>
        <v>1.2619667941422514E-2</v>
      </c>
      <c r="S60" s="44">
        <f>'Butadiene Recycling HC'!R151</f>
        <v>1.3667093518410865E-2</v>
      </c>
      <c r="T60" s="44">
        <f>'Butadiene Recycling HC'!S151</f>
        <v>1.4734057644551869E-2</v>
      </c>
      <c r="U60" s="44">
        <f>'Butadiene Recycling HC'!T151</f>
        <v>1.5820536392552507E-2</v>
      </c>
      <c r="V60" s="44">
        <f>'Butadiene Recycling HC'!U151</f>
        <v>1.6926496686890214E-2</v>
      </c>
      <c r="W60" s="44">
        <f>'Butadiene Recycling HC'!V151</f>
        <v>1.8051896186725893E-2</v>
      </c>
      <c r="X60" s="44">
        <f>'Butadiene Recycling HC'!W151</f>
        <v>1.9196683173433635E-2</v>
      </c>
      <c r="Y60" s="44">
        <f>'Butadiene Recycling HC'!X151</f>
        <v>2.0361020705099583E-2</v>
      </c>
      <c r="Z60" s="44">
        <f>'Butadiene Recycling HC'!Y151</f>
        <v>2.1544877458779924E-2</v>
      </c>
      <c r="AA60" s="44">
        <f>'Butadiene Recycling HC'!Z151</f>
        <v>2.2748213782914663E-2</v>
      </c>
      <c r="AB60" s="44">
        <f>'Butadiene Recycling HC'!AA151</f>
        <v>2.3970981600412514E-2</v>
      </c>
      <c r="AC60" s="44">
        <f>'Butadiene Recycling HC'!AB151</f>
        <v>2.5213124315565019E-2</v>
      </c>
      <c r="AD60" s="44">
        <f>'Butadiene Recycling HC'!AC151</f>
        <v>2.6474827021831491E-2</v>
      </c>
      <c r="AE60" s="44">
        <f>'Butadiene Recycling HC'!AD151</f>
        <v>2.7756052501347869E-2</v>
      </c>
      <c r="AF60" s="44">
        <f>'Butadiene Recycling HC'!AE151</f>
        <v>2.9056755923110099E-2</v>
      </c>
      <c r="AG60" s="44">
        <f>'Butadiene Recycling HC'!AF151</f>
        <v>3.0376884761938429E-2</v>
      </c>
      <c r="AH60" s="44">
        <f>'Butadiene Recycling HC'!AG151</f>
        <v>3.1716378720642334E-2</v>
      </c>
      <c r="AJ60" s="44">
        <f>D60</f>
        <v>0</v>
      </c>
      <c r="AK60" s="44">
        <f>E60</f>
        <v>6.8575510127137293E-4</v>
      </c>
      <c r="AL60" s="44">
        <f t="shared" ref="AL60:BA63" si="71">F60</f>
        <v>1.4137798758990748E-3</v>
      </c>
      <c r="AM60" s="44">
        <f t="shared" si="71"/>
        <v>2.1803177816155017E-3</v>
      </c>
      <c r="AN60" s="44">
        <f t="shared" si="71"/>
        <v>2.9810552488453018E-3</v>
      </c>
      <c r="AO60" s="44">
        <f t="shared" si="71"/>
        <v>3.8111588287271458E-3</v>
      </c>
      <c r="AP60" s="44">
        <f t="shared" si="71"/>
        <v>4.67538696680581E-3</v>
      </c>
      <c r="AQ60" s="44">
        <f t="shared" si="71"/>
        <v>5.5737262490058786E-3</v>
      </c>
      <c r="AR60" s="44">
        <f t="shared" si="71"/>
        <v>6.5060985696927774E-3</v>
      </c>
      <c r="AS60" s="44">
        <f t="shared" si="71"/>
        <v>7.4723593626091784E-3</v>
      </c>
      <c r="AT60" s="44">
        <f t="shared" si="71"/>
        <v>8.4722959688281318E-3</v>
      </c>
      <c r="AU60" s="44">
        <f t="shared" si="71"/>
        <v>9.4920255900893084E-3</v>
      </c>
      <c r="AV60" s="44">
        <f t="shared" si="71"/>
        <v>1.0526647660798702E-2</v>
      </c>
      <c r="AW60" s="44">
        <f t="shared" si="71"/>
        <v>1.1570993579342994E-2</v>
      </c>
      <c r="AX60" s="44">
        <f t="shared" si="71"/>
        <v>1.2619667941422514E-2</v>
      </c>
      <c r="AY60" s="44">
        <f t="shared" si="71"/>
        <v>1.3667093518410865E-2</v>
      </c>
      <c r="AZ60" s="44">
        <f t="shared" si="71"/>
        <v>1.4734057644551869E-2</v>
      </c>
      <c r="BA60" s="44">
        <f t="shared" si="71"/>
        <v>1.5820536392552507E-2</v>
      </c>
      <c r="BB60" s="44">
        <f t="shared" ref="BB60:BN63" si="72">V60</f>
        <v>1.6926496686890214E-2</v>
      </c>
      <c r="BC60" s="44">
        <f t="shared" si="72"/>
        <v>1.8051896186725893E-2</v>
      </c>
      <c r="BD60" s="44">
        <f t="shared" si="72"/>
        <v>1.9196683173433635E-2</v>
      </c>
      <c r="BE60" s="44">
        <f t="shared" si="72"/>
        <v>2.0361020705099583E-2</v>
      </c>
      <c r="BF60" s="44">
        <f t="shared" si="72"/>
        <v>2.1544877458779924E-2</v>
      </c>
      <c r="BG60" s="44">
        <f t="shared" si="72"/>
        <v>2.2748213782914663E-2</v>
      </c>
      <c r="BH60" s="44">
        <f t="shared" si="72"/>
        <v>2.3970981600412514E-2</v>
      </c>
      <c r="BI60" s="44">
        <f t="shared" si="72"/>
        <v>2.5213124315565019E-2</v>
      </c>
      <c r="BJ60" s="44">
        <f t="shared" si="72"/>
        <v>2.6474827021831491E-2</v>
      </c>
      <c r="BK60" s="44">
        <f t="shared" si="72"/>
        <v>2.7756052501347869E-2</v>
      </c>
      <c r="BL60" s="44">
        <f t="shared" si="72"/>
        <v>2.9056755923110099E-2</v>
      </c>
      <c r="BM60" s="44">
        <f t="shared" si="72"/>
        <v>3.0376884761938429E-2</v>
      </c>
      <c r="BN60" s="44">
        <f t="shared" si="72"/>
        <v>3.1716378720642334E-2</v>
      </c>
    </row>
    <row r="61" spans="1:66" outlineLevel="1" x14ac:dyDescent="0.2">
      <c r="A61"/>
      <c r="B61" t="s">
        <v>222</v>
      </c>
      <c r="C61" s="54" t="s">
        <v>153</v>
      </c>
      <c r="D61" s="44">
        <f>'Butadiene Recycling HC'!C81</f>
        <v>0</v>
      </c>
      <c r="E61" s="44">
        <f>'Butadiene Recycling HC'!D81</f>
        <v>0</v>
      </c>
      <c r="F61" s="44">
        <f>'Butadiene Recycling HC'!E81</f>
        <v>0</v>
      </c>
      <c r="G61" s="44">
        <f>'Butadiene Recycling HC'!F81</f>
        <v>0</v>
      </c>
      <c r="H61" s="44">
        <f>'Butadiene Recycling HC'!G81</f>
        <v>0</v>
      </c>
      <c r="I61" s="44">
        <f>'Butadiene Recycling HC'!H81</f>
        <v>0</v>
      </c>
      <c r="J61" s="44">
        <f>'Butadiene Recycling HC'!I81</f>
        <v>0</v>
      </c>
      <c r="K61" s="44">
        <f>'Butadiene Recycling HC'!J81</f>
        <v>0</v>
      </c>
      <c r="L61" s="44">
        <f>'Butadiene Recycling HC'!K81</f>
        <v>0</v>
      </c>
      <c r="M61" s="44">
        <f>'Butadiene Recycling HC'!L81</f>
        <v>0</v>
      </c>
      <c r="N61" s="44">
        <f>'Butadiene Recycling HC'!M81</f>
        <v>0</v>
      </c>
      <c r="O61" s="44">
        <f>'Butadiene Recycling HC'!N81</f>
        <v>0</v>
      </c>
      <c r="P61" s="44">
        <f>'Butadiene Recycling HC'!O81</f>
        <v>0</v>
      </c>
      <c r="Q61" s="44">
        <f>'Butadiene Recycling HC'!P81</f>
        <v>0</v>
      </c>
      <c r="R61" s="44">
        <f>'Butadiene Recycling HC'!Q81</f>
        <v>0</v>
      </c>
      <c r="S61" s="44">
        <f>'Butadiene Recycling HC'!R81</f>
        <v>0</v>
      </c>
      <c r="T61" s="44">
        <f>'Butadiene Recycling HC'!S81</f>
        <v>0</v>
      </c>
      <c r="U61" s="44">
        <f>'Butadiene Recycling HC'!T81</f>
        <v>0</v>
      </c>
      <c r="V61" s="44">
        <f>'Butadiene Recycling HC'!U81</f>
        <v>0</v>
      </c>
      <c r="W61" s="44">
        <f>'Butadiene Recycling HC'!V81</f>
        <v>0</v>
      </c>
      <c r="X61" s="44">
        <f>'Butadiene Recycling HC'!W81</f>
        <v>0</v>
      </c>
      <c r="Y61" s="44">
        <f>'Butadiene Recycling HC'!X81</f>
        <v>0</v>
      </c>
      <c r="Z61" s="44">
        <f>'Butadiene Recycling HC'!Y81</f>
        <v>0</v>
      </c>
      <c r="AA61" s="44">
        <f>'Butadiene Recycling HC'!Z81</f>
        <v>0</v>
      </c>
      <c r="AB61" s="44">
        <f>'Butadiene Recycling HC'!AA81</f>
        <v>0</v>
      </c>
      <c r="AC61" s="44">
        <f>'Butadiene Recycling HC'!AB81</f>
        <v>0</v>
      </c>
      <c r="AD61" s="44">
        <f>'Butadiene Recycling HC'!AC81</f>
        <v>0</v>
      </c>
      <c r="AE61" s="44">
        <f>'Butadiene Recycling HC'!AD81</f>
        <v>0</v>
      </c>
      <c r="AF61" s="44">
        <f>'Butadiene Recycling HC'!AE81</f>
        <v>0</v>
      </c>
      <c r="AG61" s="44">
        <f>'Butadiene Recycling HC'!AF81</f>
        <v>0</v>
      </c>
      <c r="AH61" s="44">
        <f>'Butadiene Recycling HC'!AG81</f>
        <v>0</v>
      </c>
      <c r="AJ61" s="44">
        <f t="shared" ref="AJ61:AY63" si="73">D61</f>
        <v>0</v>
      </c>
      <c r="AK61" s="44">
        <f t="shared" si="73"/>
        <v>0</v>
      </c>
      <c r="AL61" s="44">
        <f t="shared" si="73"/>
        <v>0</v>
      </c>
      <c r="AM61" s="44">
        <f t="shared" si="73"/>
        <v>0</v>
      </c>
      <c r="AN61" s="44">
        <f t="shared" si="73"/>
        <v>0</v>
      </c>
      <c r="AO61" s="44">
        <f t="shared" si="73"/>
        <v>0</v>
      </c>
      <c r="AP61" s="44">
        <f t="shared" si="73"/>
        <v>0</v>
      </c>
      <c r="AQ61" s="44">
        <f t="shared" si="73"/>
        <v>0</v>
      </c>
      <c r="AR61" s="44">
        <f t="shared" si="73"/>
        <v>0</v>
      </c>
      <c r="AS61" s="44">
        <f t="shared" si="73"/>
        <v>0</v>
      </c>
      <c r="AT61" s="44">
        <f t="shared" si="73"/>
        <v>0</v>
      </c>
      <c r="AU61" s="44">
        <f t="shared" si="73"/>
        <v>0</v>
      </c>
      <c r="AV61" s="44">
        <f t="shared" si="73"/>
        <v>0</v>
      </c>
      <c r="AW61" s="44">
        <f t="shared" si="73"/>
        <v>0</v>
      </c>
      <c r="AX61" s="44">
        <f t="shared" si="73"/>
        <v>0</v>
      </c>
      <c r="AY61" s="44">
        <f t="shared" si="73"/>
        <v>0</v>
      </c>
      <c r="AZ61" s="44">
        <f t="shared" si="71"/>
        <v>0</v>
      </c>
      <c r="BA61" s="44">
        <f t="shared" si="71"/>
        <v>0</v>
      </c>
      <c r="BB61" s="44">
        <f t="shared" si="72"/>
        <v>0</v>
      </c>
      <c r="BC61" s="44">
        <f t="shared" si="72"/>
        <v>0</v>
      </c>
      <c r="BD61" s="44">
        <f t="shared" si="72"/>
        <v>0</v>
      </c>
      <c r="BE61" s="44">
        <f t="shared" si="72"/>
        <v>0</v>
      </c>
      <c r="BF61" s="44">
        <f t="shared" si="72"/>
        <v>0</v>
      </c>
      <c r="BG61" s="44">
        <f t="shared" si="72"/>
        <v>0</v>
      </c>
      <c r="BH61" s="44">
        <f t="shared" si="72"/>
        <v>0</v>
      </c>
      <c r="BI61" s="44">
        <f t="shared" si="72"/>
        <v>0</v>
      </c>
      <c r="BJ61" s="44">
        <f t="shared" si="72"/>
        <v>0</v>
      </c>
      <c r="BK61" s="44">
        <f t="shared" si="72"/>
        <v>0</v>
      </c>
      <c r="BL61" s="44">
        <f t="shared" si="72"/>
        <v>0</v>
      </c>
      <c r="BM61" s="44">
        <f t="shared" si="72"/>
        <v>0</v>
      </c>
      <c r="BN61" s="44">
        <f t="shared" si="72"/>
        <v>0</v>
      </c>
    </row>
    <row r="62" spans="1:66" outlineLevel="1" x14ac:dyDescent="0.2">
      <c r="A62" s="181"/>
      <c r="B62" s="181" t="s">
        <v>218</v>
      </c>
      <c r="C62" s="176" t="s">
        <v>153</v>
      </c>
      <c r="D62" s="238">
        <f>'Butadiene Recycling HC'!C110</f>
        <v>0</v>
      </c>
      <c r="E62" s="238">
        <f>'Butadiene Recycling HC'!D110</f>
        <v>4.225012498373637E-2</v>
      </c>
      <c r="F62" s="238">
        <f>'Butadiene Recycling HC'!E110</f>
        <v>8.5363867248392344E-2</v>
      </c>
      <c r="G62" s="238">
        <f>'Butadiene Recycling HC'!F110</f>
        <v>0.12903706107457963</v>
      </c>
      <c r="H62" s="238">
        <f>'Butadiene Recycling HC'!G110</f>
        <v>0.17294962698923894</v>
      </c>
      <c r="I62" s="238">
        <f>'Butadiene Recycling HC'!H110</f>
        <v>0.21676943042518537</v>
      </c>
      <c r="J62" s="238">
        <f>'Butadiene Recycling HC'!I110</f>
        <v>0.26128880011248878</v>
      </c>
      <c r="K62" s="238">
        <f>'Butadiene Recycling HC'!J110</f>
        <v>0.30644653005976108</v>
      </c>
      <c r="L62" s="238">
        <f>'Butadiene Recycling HC'!K110</f>
        <v>0.35217837916707451</v>
      </c>
      <c r="M62" s="238">
        <f>'Butadiene Recycling HC'!L110</f>
        <v>0.39841717289585488</v>
      </c>
      <c r="N62" s="238">
        <f>'Butadiene Recycling HC'!M110</f>
        <v>0.44509291715113763</v>
      </c>
      <c r="O62" s="238">
        <f>'Butadiene Recycling HC'!N110</f>
        <v>0.49105004527989926</v>
      </c>
      <c r="P62" s="238">
        <f>'Butadiene Recycling HC'!O110</f>
        <v>0.53601242991714315</v>
      </c>
      <c r="Q62" s="238">
        <f>'Butadiene Recycling HC'!P110</f>
        <v>0.57514566117387866</v>
      </c>
      <c r="R62" s="238">
        <f>'Butadiene Recycling HC'!Q110</f>
        <v>0.61228400058953747</v>
      </c>
      <c r="S62" s="238">
        <f>'Butadiene Recycling HC'!R110</f>
        <v>0.64719336277723949</v>
      </c>
      <c r="T62" s="238">
        <f>'Butadiene Recycling HC'!S110</f>
        <v>0.68135628277795623</v>
      </c>
      <c r="U62" s="238">
        <f>'Butadiene Recycling HC'!T110</f>
        <v>0.71474578952390255</v>
      </c>
      <c r="V62" s="238">
        <f>'Butadiene Recycling HC'!U110</f>
        <v>0.7473353132947721</v>
      </c>
      <c r="W62" s="238">
        <f>'Butadiene Recycling HC'!V110</f>
        <v>0.77909871368472816</v>
      </c>
      <c r="X62" s="238">
        <f>'Butadiene Recycling HC'!W110</f>
        <v>0.81001030745711267</v>
      </c>
      <c r="Y62" s="238">
        <f>'Butadiene Recycling HC'!X110</f>
        <v>0.84005706444328954</v>
      </c>
      <c r="Z62" s="238">
        <f>'Butadiene Recycling HC'!Y110</f>
        <v>0.86921528066509868</v>
      </c>
      <c r="AA62" s="238">
        <f>'Butadiene Recycling HC'!Z110</f>
        <v>0.88411767764925042</v>
      </c>
      <c r="AB62" s="238">
        <f>'Butadiene Recycling HC'!AA110</f>
        <v>0.89730067598074903</v>
      </c>
      <c r="AC62" s="238">
        <f>'Butadiene Recycling HC'!AB110</f>
        <v>0.90876174792882025</v>
      </c>
      <c r="AD62" s="238">
        <f>'Butadiene Recycling HC'!AC110</f>
        <v>0.91851157597656241</v>
      </c>
      <c r="AE62" s="238">
        <f>'Butadiene Recycling HC'!AD110</f>
        <v>0.92655195582648686</v>
      </c>
      <c r="AF62" s="238">
        <f>'Butadiene Recycling HC'!AE110</f>
        <v>0.93288667473729048</v>
      </c>
      <c r="AG62" s="238">
        <f>'Butadiene Recycling HC'!AF110</f>
        <v>0.93752154161217638</v>
      </c>
      <c r="AH62" s="238">
        <f>'Butadiene Recycling HC'!AG110</f>
        <v>0.94046441566951311</v>
      </c>
      <c r="AJ62" s="44">
        <f t="shared" si="73"/>
        <v>0</v>
      </c>
      <c r="AK62" s="44">
        <f t="shared" si="73"/>
        <v>4.225012498373637E-2</v>
      </c>
      <c r="AL62" s="44">
        <f t="shared" si="73"/>
        <v>8.5363867248392344E-2</v>
      </c>
      <c r="AM62" s="44">
        <f t="shared" si="73"/>
        <v>0.12903706107457963</v>
      </c>
      <c r="AN62" s="44">
        <f t="shared" si="73"/>
        <v>0.17294962698923894</v>
      </c>
      <c r="AO62" s="44">
        <f t="shared" si="73"/>
        <v>0.21676943042518537</v>
      </c>
      <c r="AP62" s="44">
        <f t="shared" si="73"/>
        <v>0.26128880011248878</v>
      </c>
      <c r="AQ62" s="44">
        <f t="shared" si="73"/>
        <v>0.30644653005976108</v>
      </c>
      <c r="AR62" s="44">
        <f t="shared" si="73"/>
        <v>0.35217837916707451</v>
      </c>
      <c r="AS62" s="44">
        <f t="shared" si="73"/>
        <v>0.39841717289585488</v>
      </c>
      <c r="AT62" s="44">
        <f t="shared" si="73"/>
        <v>0.44509291715113763</v>
      </c>
      <c r="AU62" s="44">
        <f t="shared" si="73"/>
        <v>0.49105004527989926</v>
      </c>
      <c r="AV62" s="44">
        <f t="shared" si="73"/>
        <v>0.53601242991714315</v>
      </c>
      <c r="AW62" s="44">
        <f t="shared" si="73"/>
        <v>0.57514566117387866</v>
      </c>
      <c r="AX62" s="44">
        <f t="shared" si="73"/>
        <v>0.61228400058953747</v>
      </c>
      <c r="AY62" s="44">
        <f t="shared" si="73"/>
        <v>0.64719336277723949</v>
      </c>
      <c r="AZ62" s="44">
        <f t="shared" si="71"/>
        <v>0.68135628277795623</v>
      </c>
      <c r="BA62" s="44">
        <f t="shared" si="71"/>
        <v>0.71474578952390255</v>
      </c>
      <c r="BB62" s="44">
        <f t="shared" si="72"/>
        <v>0.7473353132947721</v>
      </c>
      <c r="BC62" s="44">
        <f t="shared" si="72"/>
        <v>0.77909871368472816</v>
      </c>
      <c r="BD62" s="44">
        <f t="shared" si="72"/>
        <v>0.81001030745711267</v>
      </c>
      <c r="BE62" s="44">
        <f t="shared" si="72"/>
        <v>0.84005706444328954</v>
      </c>
      <c r="BF62" s="44">
        <f t="shared" si="72"/>
        <v>0.86921528066509868</v>
      </c>
      <c r="BG62" s="44">
        <f t="shared" si="72"/>
        <v>0.88411767764925042</v>
      </c>
      <c r="BH62" s="44">
        <f t="shared" si="72"/>
        <v>0.89730067598074903</v>
      </c>
      <c r="BI62" s="44">
        <f t="shared" si="72"/>
        <v>0.90876174792882025</v>
      </c>
      <c r="BJ62" s="44">
        <f t="shared" si="72"/>
        <v>0.91851157597656241</v>
      </c>
      <c r="BK62" s="44">
        <f t="shared" si="72"/>
        <v>0.92655195582648686</v>
      </c>
      <c r="BL62" s="44">
        <f t="shared" si="72"/>
        <v>0.93288667473729048</v>
      </c>
      <c r="BM62" s="44">
        <f t="shared" si="72"/>
        <v>0.93752154161217638</v>
      </c>
      <c r="BN62" s="44">
        <f t="shared" si="72"/>
        <v>0.94046441566951311</v>
      </c>
    </row>
    <row r="63" spans="1:66" outlineLevel="1" x14ac:dyDescent="0.2">
      <c r="A63" s="181"/>
      <c r="B63" s="181" t="s">
        <v>224</v>
      </c>
      <c r="C63" s="176" t="s">
        <v>153</v>
      </c>
      <c r="D63" s="238">
        <f>'Butadiene Recycling HC'!C140</f>
        <v>0</v>
      </c>
      <c r="E63" s="238">
        <f>'Butadiene Recycling HC'!D140</f>
        <v>0</v>
      </c>
      <c r="F63" s="238">
        <f>'Butadiene Recycling HC'!E140</f>
        <v>0</v>
      </c>
      <c r="G63" s="238">
        <f>'Butadiene Recycling HC'!F140</f>
        <v>0</v>
      </c>
      <c r="H63" s="238">
        <f>'Butadiene Recycling HC'!G140</f>
        <v>0</v>
      </c>
      <c r="I63" s="238">
        <f>'Butadiene Recycling HC'!H140</f>
        <v>0</v>
      </c>
      <c r="J63" s="238">
        <f>'Butadiene Recycling HC'!I140</f>
        <v>0</v>
      </c>
      <c r="K63" s="238">
        <f>'Butadiene Recycling HC'!J140</f>
        <v>0</v>
      </c>
      <c r="L63" s="238">
        <f>'Butadiene Recycling HC'!K140</f>
        <v>0</v>
      </c>
      <c r="M63" s="238">
        <f>'Butadiene Recycling HC'!L140</f>
        <v>0</v>
      </c>
      <c r="N63" s="238">
        <f>'Butadiene Recycling HC'!M140</f>
        <v>0</v>
      </c>
      <c r="O63" s="238">
        <f>'Butadiene Recycling HC'!N140</f>
        <v>0</v>
      </c>
      <c r="P63" s="238">
        <f>'Butadiene Recycling HC'!O140</f>
        <v>0</v>
      </c>
      <c r="Q63" s="238">
        <f>'Butadiene Recycling HC'!P140</f>
        <v>0</v>
      </c>
      <c r="R63" s="238">
        <f>'Butadiene Recycling HC'!Q140</f>
        <v>0</v>
      </c>
      <c r="S63" s="238">
        <f>'Butadiene Recycling HC'!R140</f>
        <v>0</v>
      </c>
      <c r="T63" s="238">
        <f>'Butadiene Recycling HC'!S140</f>
        <v>0</v>
      </c>
      <c r="U63" s="238">
        <f>'Butadiene Recycling HC'!T140</f>
        <v>0</v>
      </c>
      <c r="V63" s="238">
        <f>'Butadiene Recycling HC'!U140</f>
        <v>0</v>
      </c>
      <c r="W63" s="238">
        <f>'Butadiene Recycling HC'!V140</f>
        <v>0</v>
      </c>
      <c r="X63" s="238">
        <f>'Butadiene Recycling HC'!W140</f>
        <v>0</v>
      </c>
      <c r="Y63" s="238">
        <f>'Butadiene Recycling HC'!X140</f>
        <v>0</v>
      </c>
      <c r="Z63" s="238">
        <f>'Butadiene Recycling HC'!Y140</f>
        <v>0</v>
      </c>
      <c r="AA63" s="238">
        <f>'Butadiene Recycling HC'!Z140</f>
        <v>0</v>
      </c>
      <c r="AB63" s="238">
        <f>'Butadiene Recycling HC'!AA140</f>
        <v>0</v>
      </c>
      <c r="AC63" s="238">
        <f>'Butadiene Recycling HC'!AB140</f>
        <v>0</v>
      </c>
      <c r="AD63" s="238">
        <f>'Butadiene Recycling HC'!AC140</f>
        <v>0</v>
      </c>
      <c r="AE63" s="238">
        <f>'Butadiene Recycling HC'!AD140</f>
        <v>0</v>
      </c>
      <c r="AF63" s="238">
        <f>'Butadiene Recycling HC'!AE140</f>
        <v>0</v>
      </c>
      <c r="AG63" s="238">
        <f>'Butadiene Recycling HC'!AF140</f>
        <v>0</v>
      </c>
      <c r="AH63" s="238">
        <f>'Butadiene Recycling HC'!AG140</f>
        <v>0</v>
      </c>
      <c r="AJ63" s="44">
        <f t="shared" si="73"/>
        <v>0</v>
      </c>
      <c r="AK63" s="44">
        <f t="shared" si="73"/>
        <v>0</v>
      </c>
      <c r="AL63" s="44">
        <f t="shared" si="73"/>
        <v>0</v>
      </c>
      <c r="AM63" s="44">
        <f t="shared" si="73"/>
        <v>0</v>
      </c>
      <c r="AN63" s="44">
        <f t="shared" si="73"/>
        <v>0</v>
      </c>
      <c r="AO63" s="44">
        <f t="shared" si="73"/>
        <v>0</v>
      </c>
      <c r="AP63" s="44">
        <f t="shared" si="73"/>
        <v>0</v>
      </c>
      <c r="AQ63" s="44">
        <f t="shared" si="73"/>
        <v>0</v>
      </c>
      <c r="AR63" s="44">
        <f t="shared" si="73"/>
        <v>0</v>
      </c>
      <c r="AS63" s="44">
        <f t="shared" si="73"/>
        <v>0</v>
      </c>
      <c r="AT63" s="44">
        <f t="shared" si="73"/>
        <v>0</v>
      </c>
      <c r="AU63" s="44">
        <f t="shared" si="73"/>
        <v>0</v>
      </c>
      <c r="AV63" s="44">
        <f t="shared" si="73"/>
        <v>0</v>
      </c>
      <c r="AW63" s="44">
        <f t="shared" si="73"/>
        <v>0</v>
      </c>
      <c r="AX63" s="44">
        <f t="shared" si="73"/>
        <v>0</v>
      </c>
      <c r="AY63" s="44">
        <f t="shared" si="73"/>
        <v>0</v>
      </c>
      <c r="AZ63" s="44">
        <f t="shared" si="71"/>
        <v>0</v>
      </c>
      <c r="BA63" s="44">
        <f t="shared" si="71"/>
        <v>0</v>
      </c>
      <c r="BB63" s="44">
        <f t="shared" si="72"/>
        <v>0</v>
      </c>
      <c r="BC63" s="44">
        <f t="shared" si="72"/>
        <v>0</v>
      </c>
      <c r="BD63" s="44">
        <f t="shared" si="72"/>
        <v>0</v>
      </c>
      <c r="BE63" s="44">
        <f t="shared" si="72"/>
        <v>0</v>
      </c>
      <c r="BF63" s="44">
        <f t="shared" si="72"/>
        <v>0</v>
      </c>
      <c r="BG63" s="44">
        <f t="shared" si="72"/>
        <v>0</v>
      </c>
      <c r="BH63" s="44">
        <f t="shared" si="72"/>
        <v>0</v>
      </c>
      <c r="BI63" s="44">
        <f t="shared" si="72"/>
        <v>0</v>
      </c>
      <c r="BJ63" s="44">
        <f t="shared" si="72"/>
        <v>0</v>
      </c>
      <c r="BK63" s="44">
        <f t="shared" si="72"/>
        <v>0</v>
      </c>
      <c r="BL63" s="44">
        <f t="shared" si="72"/>
        <v>0</v>
      </c>
      <c r="BM63" s="44">
        <f t="shared" si="72"/>
        <v>0</v>
      </c>
      <c r="BN63" s="44">
        <f t="shared" si="72"/>
        <v>0</v>
      </c>
    </row>
    <row r="64" spans="1:66" outlineLevel="1" x14ac:dyDescent="0.2">
      <c r="A64" s="239"/>
      <c r="B64" s="239" t="s">
        <v>219</v>
      </c>
      <c r="C64" s="240" t="s">
        <v>153</v>
      </c>
      <c r="D64" s="241">
        <f>D59-D60-D61-D62-D63</f>
        <v>1.8779766917293235</v>
      </c>
      <c r="E64" s="241">
        <f t="shared" ref="E64:AG64" si="74">E59-E60-E61-E62-E63</f>
        <v>1.8273053481773724</v>
      </c>
      <c r="F64" s="241">
        <f t="shared" si="74"/>
        <v>1.7751235248917936</v>
      </c>
      <c r="G64" s="241">
        <f t="shared" si="74"/>
        <v>1.7217234441616651</v>
      </c>
      <c r="H64" s="241">
        <f t="shared" si="74"/>
        <v>1.6674134738075188</v>
      </c>
      <c r="I64" s="241">
        <f t="shared" si="74"/>
        <v>1.6125142252840723</v>
      </c>
      <c r="J64" s="241">
        <f t="shared" si="74"/>
        <v>1.5562119173178304</v>
      </c>
      <c r="K64" s="241">
        <f t="shared" si="74"/>
        <v>1.4985507313730406</v>
      </c>
      <c r="L64" s="241">
        <f t="shared" si="74"/>
        <v>1.4395775984526014</v>
      </c>
      <c r="M64" s="241">
        <f t="shared" si="74"/>
        <v>1.3793420926659108</v>
      </c>
      <c r="N64" s="241">
        <f t="shared" si="74"/>
        <v>1.3178963123321914</v>
      </c>
      <c r="O64" s="241">
        <f t="shared" si="74"/>
        <v>1.256391228265255</v>
      </c>
      <c r="P64" s="241">
        <f t="shared" si="74"/>
        <v>1.1950890126727662</v>
      </c>
      <c r="Q64" s="241">
        <f t="shared" si="74"/>
        <v>1.1388100042331883</v>
      </c>
      <c r="R64" s="241">
        <f t="shared" si="74"/>
        <v>1.0837057057831005</v>
      </c>
      <c r="S64" s="241">
        <f t="shared" si="74"/>
        <v>1.0299957504413901</v>
      </c>
      <c r="T64" s="241">
        <f t="shared" si="74"/>
        <v>0.97615638048832487</v>
      </c>
      <c r="U64" s="241">
        <f t="shared" si="74"/>
        <v>0.9221937422174632</v>
      </c>
      <c r="V64" s="241">
        <f t="shared" si="74"/>
        <v>0.86811316872527</v>
      </c>
      <c r="W64" s="241">
        <f t="shared" si="74"/>
        <v>0.81391914428640255</v>
      </c>
      <c r="X64" s="241">
        <f t="shared" si="74"/>
        <v>0.75961526870042773</v>
      </c>
      <c r="Y64" s="241">
        <f t="shared" si="74"/>
        <v>0.70380040080902029</v>
      </c>
      <c r="Z64" s="241">
        <f t="shared" si="74"/>
        <v>0.647826903543962</v>
      </c>
      <c r="AA64" s="241">
        <f t="shared" si="74"/>
        <v>0.60503774851455205</v>
      </c>
      <c r="AB64" s="241">
        <f t="shared" si="74"/>
        <v>0.56287173071810181</v>
      </c>
      <c r="AC64" s="241">
        <f t="shared" si="74"/>
        <v>0.52130610708937375</v>
      </c>
      <c r="AD64" s="241">
        <f t="shared" si="74"/>
        <v>0.48030417868979602</v>
      </c>
      <c r="AE64" s="241">
        <f t="shared" si="74"/>
        <v>0.43983784247080748</v>
      </c>
      <c r="AF64" s="241">
        <f t="shared" si="74"/>
        <v>0.39987648884636406</v>
      </c>
      <c r="AG64" s="241">
        <f t="shared" si="74"/>
        <v>0.36038696212948096</v>
      </c>
      <c r="AH64" s="241">
        <f>AH59-AH60-AH61-AH62-AH63</f>
        <v>0.32133352221682687</v>
      </c>
      <c r="AJ64" s="241">
        <f>AJ59-AJ60-AJ61-AJ62-AJ63</f>
        <v>1.8779766917293235</v>
      </c>
      <c r="AK64" s="241">
        <f t="shared" ref="AK64:BN64" si="75">AK59-AK60-AK61-AK62-AK63</f>
        <v>1.8480487682270514</v>
      </c>
      <c r="AL64" s="241">
        <f t="shared" si="75"/>
        <v>1.8172032255522794</v>
      </c>
      <c r="AM64" s="241">
        <f t="shared" si="75"/>
        <v>1.7857449942520818</v>
      </c>
      <c r="AN64" s="241">
        <f t="shared" si="75"/>
        <v>1.7539953925452225</v>
      </c>
      <c r="AO64" s="241">
        <f t="shared" si="75"/>
        <v>1.7222882287502181</v>
      </c>
      <c r="AP64" s="241">
        <f t="shared" si="75"/>
        <v>1.6898231693224406</v>
      </c>
      <c r="AQ64" s="241">
        <f t="shared" si="75"/>
        <v>1.6566580987949826</v>
      </c>
      <c r="AR64" s="241">
        <f t="shared" si="75"/>
        <v>1.6228539111311435</v>
      </c>
      <c r="AS64" s="241">
        <f t="shared" si="75"/>
        <v>1.5884744079217983</v>
      </c>
      <c r="AT64" s="241">
        <f t="shared" si="75"/>
        <v>1.5535861841974814</v>
      </c>
      <c r="AU64" s="241">
        <f t="shared" si="75"/>
        <v>1.5193549815024765</v>
      </c>
      <c r="AV64" s="241">
        <f t="shared" si="75"/>
        <v>1.4860580216653037</v>
      </c>
      <c r="AW64" s="241">
        <f t="shared" si="75"/>
        <v>1.4585309768301467</v>
      </c>
      <c r="AX64" s="241">
        <f t="shared" si="75"/>
        <v>1.4329409721833173</v>
      </c>
      <c r="AY64" s="241">
        <f t="shared" si="75"/>
        <v>1.4095235572026348</v>
      </c>
      <c r="AZ64" s="241">
        <f t="shared" si="75"/>
        <v>1.3867711897491808</v>
      </c>
      <c r="BA64" s="241">
        <f t="shared" si="75"/>
        <v>1.3647065362208366</v>
      </c>
      <c r="BB64" s="241">
        <f t="shared" si="75"/>
        <v>1.3433517597339337</v>
      </c>
      <c r="BC64" s="241">
        <f t="shared" si="75"/>
        <v>1.3227284899825058</v>
      </c>
      <c r="BD64" s="241">
        <f t="shared" si="75"/>
        <v>1.3028577931624152</v>
      </c>
      <c r="BE64" s="241">
        <f t="shared" si="75"/>
        <v>1.2831911781888778</v>
      </c>
      <c r="BF64" s="241">
        <f t="shared" si="75"/>
        <v>1.2642881371915302</v>
      </c>
      <c r="BG64" s="241">
        <f t="shared" si="75"/>
        <v>1.2595106169962214</v>
      </c>
      <c r="BH64" s="241">
        <f t="shared" si="75"/>
        <v>1.2563167418145991</v>
      </c>
      <c r="BI64" s="241">
        <f t="shared" si="75"/>
        <v>1.2547034580360465</v>
      </c>
      <c r="BJ64" s="241">
        <f t="shared" si="75"/>
        <v>1.2546541227655146</v>
      </c>
      <c r="BK64" s="241">
        <f t="shared" si="75"/>
        <v>1.2561610620433616</v>
      </c>
      <c r="BL64" s="241">
        <f t="shared" si="75"/>
        <v>1.2592144749840344</v>
      </c>
      <c r="BM64" s="241">
        <f t="shared" si="75"/>
        <v>1.2638024008902584</v>
      </c>
      <c r="BN64" s="241">
        <f t="shared" si="75"/>
        <v>1.2699106877286139</v>
      </c>
    </row>
    <row r="65" spans="1:67" outlineLevel="1" x14ac:dyDescent="0.2">
      <c r="A65" s="178" t="s">
        <v>225</v>
      </c>
      <c r="B65" s="242" t="s">
        <v>197</v>
      </c>
      <c r="C65" s="243" t="s">
        <v>153</v>
      </c>
      <c r="D65" s="180">
        <f t="shared" ref="D65:AH65" si="76">D39+D42</f>
        <v>4.696762105263157</v>
      </c>
      <c r="E65" s="180">
        <f t="shared" si="76"/>
        <v>4.9017496999580112</v>
      </c>
      <c r="F65" s="180">
        <f t="shared" si="76"/>
        <v>5.1112726541122511</v>
      </c>
      <c r="G65" s="180">
        <f t="shared" si="76"/>
        <v>5.3253962174832434</v>
      </c>
      <c r="H65" s="180">
        <f t="shared" si="76"/>
        <v>5.5441856621096086</v>
      </c>
      <c r="I65" s="180">
        <f t="shared" si="76"/>
        <v>5.7677062373935062</v>
      </c>
      <c r="J65" s="180">
        <f t="shared" si="76"/>
        <v>5.9738317966016474</v>
      </c>
      <c r="K65" s="180">
        <f t="shared" si="76"/>
        <v>6.1840212648596022</v>
      </c>
      <c r="L65" s="180">
        <f t="shared" si="76"/>
        <v>6.3983213304455333</v>
      </c>
      <c r="M65" s="180">
        <f t="shared" si="76"/>
        <v>6.6167782388400331</v>
      </c>
      <c r="N65" s="180">
        <f t="shared" si="76"/>
        <v>6.8394377406413831</v>
      </c>
      <c r="O65" s="180">
        <f t="shared" si="76"/>
        <v>7.014640946244822</v>
      </c>
      <c r="P65" s="180">
        <f t="shared" si="76"/>
        <v>7.1925239065645306</v>
      </c>
      <c r="Q65" s="180">
        <f t="shared" si="76"/>
        <v>7.373100939825143</v>
      </c>
      <c r="R65" s="180">
        <f t="shared" si="76"/>
        <v>7.5563855184856878</v>
      </c>
      <c r="S65" s="180">
        <f t="shared" si="76"/>
        <v>7.7423902239788776</v>
      </c>
      <c r="T65" s="180">
        <f t="shared" si="76"/>
        <v>7.7476363363979717</v>
      </c>
      <c r="U65" s="180">
        <f t="shared" si="76"/>
        <v>7.7522874138254068</v>
      </c>
      <c r="V65" s="180">
        <f t="shared" si="76"/>
        <v>7.7563343243805223</v>
      </c>
      <c r="W65" s="180">
        <f t="shared" si="76"/>
        <v>7.7597678914495232</v>
      </c>
      <c r="X65" s="180">
        <f t="shared" si="76"/>
        <v>7.762578895262795</v>
      </c>
      <c r="Y65" s="180">
        <f t="shared" si="76"/>
        <v>7.7454370772222729</v>
      </c>
      <c r="Z65" s="180">
        <f t="shared" si="76"/>
        <v>7.7275086109601583</v>
      </c>
      <c r="AA65" s="180">
        <f t="shared" si="76"/>
        <v>7.7087867128052752</v>
      </c>
      <c r="AB65" s="180">
        <f t="shared" si="76"/>
        <v>7.689264678792382</v>
      </c>
      <c r="AC65" s="180">
        <f t="shared" si="76"/>
        <v>7.6689358893395099</v>
      </c>
      <c r="AD65" s="180">
        <f t="shared" si="76"/>
        <v>7.6353295556516274</v>
      </c>
      <c r="AE65" s="180">
        <f t="shared" si="76"/>
        <v>7.6008474323512489</v>
      </c>
      <c r="AF65" s="180">
        <f t="shared" si="76"/>
        <v>7.5654855724727303</v>
      </c>
      <c r="AG65" s="180">
        <f t="shared" si="76"/>
        <v>7.5292402132347078</v>
      </c>
      <c r="AH65" s="180">
        <f t="shared" si="76"/>
        <v>7.4921077830386436</v>
      </c>
      <c r="AI65" s="180"/>
      <c r="AJ65" s="180">
        <f t="shared" ref="AJ65:BN65" si="77">AJ39+AJ42</f>
        <v>4.696762105263157</v>
      </c>
      <c r="AK65" s="180">
        <f t="shared" si="77"/>
        <v>4.9180329433744205</v>
      </c>
      <c r="AL65" s="180">
        <f t="shared" si="77"/>
        <v>5.1454583042106918</v>
      </c>
      <c r="AM65" s="180">
        <f t="shared" si="77"/>
        <v>5.379182610620445</v>
      </c>
      <c r="AN65" s="180">
        <f t="shared" si="77"/>
        <v>5.6193533395334452</v>
      </c>
      <c r="AO65" s="180">
        <f t="shared" si="77"/>
        <v>5.8661210801204895</v>
      </c>
      <c r="AP65" s="180">
        <f t="shared" si="77"/>
        <v>6.0969907611713188</v>
      </c>
      <c r="AQ65" s="180">
        <f t="shared" si="77"/>
        <v>6.3337915429244553</v>
      </c>
      <c r="AR65" s="180">
        <f t="shared" si="77"/>
        <v>6.576652921581263</v>
      </c>
      <c r="AS65" s="180">
        <f t="shared" si="77"/>
        <v>6.8257069159541617</v>
      </c>
      <c r="AT65" s="180">
        <f t="shared" si="77"/>
        <v>7.081088110492737</v>
      </c>
      <c r="AU65" s="180">
        <f t="shared" si="77"/>
        <v>7.289205822618217</v>
      </c>
      <c r="AV65" s="180">
        <f t="shared" si="77"/>
        <v>7.5018461770901128</v>
      </c>
      <c r="AW65" s="180">
        <f t="shared" si="77"/>
        <v>7.7190930972507594</v>
      </c>
      <c r="AX65" s="180">
        <f t="shared" si="77"/>
        <v>7.9410318505196669</v>
      </c>
      <c r="AY65" s="180">
        <f t="shared" si="77"/>
        <v>8.1677490653628446</v>
      </c>
      <c r="AZ65" s="180">
        <f t="shared" si="77"/>
        <v>8.2050102167220036</v>
      </c>
      <c r="BA65" s="180">
        <f t="shared" si="77"/>
        <v>8.242153739479388</v>
      </c>
      <c r="BB65" s="180">
        <f t="shared" si="77"/>
        <v>8.2791739281801178</v>
      </c>
      <c r="BC65" s="180">
        <f t="shared" si="77"/>
        <v>8.3160649950327432</v>
      </c>
      <c r="BD65" s="180">
        <f t="shared" si="77"/>
        <v>8.3528210693265557</v>
      </c>
      <c r="BE65" s="180">
        <f t="shared" si="77"/>
        <v>8.3696049048572299</v>
      </c>
      <c r="BF65" s="180">
        <f t="shared" si="77"/>
        <v>8.3859386517816699</v>
      </c>
      <c r="BG65" s="180">
        <f t="shared" si="77"/>
        <v>8.4018135503651639</v>
      </c>
      <c r="BH65" s="180">
        <f t="shared" si="77"/>
        <v>8.4172207544725364</v>
      </c>
      <c r="BI65" s="180">
        <f t="shared" si="77"/>
        <v>8.4321513315639454</v>
      </c>
      <c r="BJ65" s="180">
        <f t="shared" si="77"/>
        <v>8.432830128195512</v>
      </c>
      <c r="BK65" s="180">
        <f t="shared" si="77"/>
        <v>8.4328270757266068</v>
      </c>
      <c r="BL65" s="180">
        <f t="shared" si="77"/>
        <v>8.4321316582083004</v>
      </c>
      <c r="BM65" s="180">
        <f t="shared" si="77"/>
        <v>8.4307332779328643</v>
      </c>
      <c r="BN65" s="180">
        <f t="shared" si="77"/>
        <v>8.4286212559184737</v>
      </c>
    </row>
    <row r="66" spans="1:67" outlineLevel="1" x14ac:dyDescent="0.2">
      <c r="A66" s="178"/>
      <c r="B66" s="181" t="s">
        <v>217</v>
      </c>
      <c r="C66" s="176" t="s">
        <v>153</v>
      </c>
      <c r="D66" s="238">
        <f>'Butadiene Recycling HC'!C160</f>
        <v>0</v>
      </c>
      <c r="E66" s="238">
        <f>'Butadiene Recycling HC'!D160</f>
        <v>0</v>
      </c>
      <c r="F66" s="238">
        <f>'Butadiene Recycling HC'!E160</f>
        <v>0</v>
      </c>
      <c r="G66" s="238">
        <f>'Butadiene Recycling HC'!F160</f>
        <v>0</v>
      </c>
      <c r="H66" s="238">
        <f>'Butadiene Recycling HC'!G160</f>
        <v>0</v>
      </c>
      <c r="I66" s="238">
        <f>'Butadiene Recycling HC'!H160</f>
        <v>0</v>
      </c>
      <c r="J66" s="238">
        <f>'Butadiene Recycling HC'!I160</f>
        <v>0</v>
      </c>
      <c r="K66" s="238">
        <f>'Butadiene Recycling HC'!J160</f>
        <v>0</v>
      </c>
      <c r="L66" s="238">
        <f>'Butadiene Recycling HC'!K160</f>
        <v>0</v>
      </c>
      <c r="M66" s="238">
        <f>'Butadiene Recycling HC'!L160</f>
        <v>0</v>
      </c>
      <c r="N66" s="238">
        <f>'Butadiene Recycling HC'!M160</f>
        <v>0</v>
      </c>
      <c r="O66" s="238">
        <f>'Butadiene Recycling HC'!N160</f>
        <v>0</v>
      </c>
      <c r="P66" s="238">
        <f>'Butadiene Recycling HC'!O160</f>
        <v>0</v>
      </c>
      <c r="Q66" s="238">
        <f>'Butadiene Recycling HC'!P160</f>
        <v>0</v>
      </c>
      <c r="R66" s="238">
        <f>'Butadiene Recycling HC'!Q160</f>
        <v>0</v>
      </c>
      <c r="S66" s="238">
        <f>'Butadiene Recycling HC'!R160</f>
        <v>0</v>
      </c>
      <c r="T66" s="238">
        <f>'Butadiene Recycling HC'!S160</f>
        <v>0</v>
      </c>
      <c r="U66" s="238">
        <f>'Butadiene Recycling HC'!T160</f>
        <v>0</v>
      </c>
      <c r="V66" s="238">
        <f>'Butadiene Recycling HC'!U160</f>
        <v>0</v>
      </c>
      <c r="W66" s="238">
        <f>'Butadiene Recycling HC'!V160</f>
        <v>0</v>
      </c>
      <c r="X66" s="238">
        <f>'Butadiene Recycling HC'!W160</f>
        <v>0</v>
      </c>
      <c r="Y66" s="238">
        <f>'Butadiene Recycling HC'!X160</f>
        <v>0</v>
      </c>
      <c r="Z66" s="238">
        <f>'Butadiene Recycling HC'!Y160</f>
        <v>0</v>
      </c>
      <c r="AA66" s="238">
        <f>'Butadiene Recycling HC'!Z160</f>
        <v>0</v>
      </c>
      <c r="AB66" s="238">
        <f>'Butadiene Recycling HC'!AA160</f>
        <v>0</v>
      </c>
      <c r="AC66" s="238">
        <f>'Butadiene Recycling HC'!AB160</f>
        <v>0</v>
      </c>
      <c r="AD66" s="238">
        <f>'Butadiene Recycling HC'!AC160</f>
        <v>0</v>
      </c>
      <c r="AE66" s="238">
        <f>'Butadiene Recycling HC'!AD160</f>
        <v>0</v>
      </c>
      <c r="AF66" s="238">
        <f>'Butadiene Recycling HC'!AE160</f>
        <v>0</v>
      </c>
      <c r="AG66" s="238">
        <f>'Butadiene Recycling HC'!AF160</f>
        <v>0</v>
      </c>
      <c r="AH66" s="238">
        <f>'Butadiene Recycling HC'!AG160</f>
        <v>0</v>
      </c>
      <c r="AJ66" s="238">
        <f>D66</f>
        <v>0</v>
      </c>
      <c r="AK66" s="238">
        <f t="shared" ref="AK66:AZ69" si="78">E66</f>
        <v>0</v>
      </c>
      <c r="AL66" s="238">
        <f t="shared" si="78"/>
        <v>0</v>
      </c>
      <c r="AM66" s="238">
        <f t="shared" si="78"/>
        <v>0</v>
      </c>
      <c r="AN66" s="238">
        <f t="shared" si="78"/>
        <v>0</v>
      </c>
      <c r="AO66" s="238">
        <f t="shared" si="78"/>
        <v>0</v>
      </c>
      <c r="AP66" s="238">
        <f t="shared" si="78"/>
        <v>0</v>
      </c>
      <c r="AQ66" s="238">
        <f t="shared" si="78"/>
        <v>0</v>
      </c>
      <c r="AR66" s="238">
        <f t="shared" si="78"/>
        <v>0</v>
      </c>
      <c r="AS66" s="238">
        <f t="shared" si="78"/>
        <v>0</v>
      </c>
      <c r="AT66" s="238">
        <f t="shared" si="78"/>
        <v>0</v>
      </c>
      <c r="AU66" s="238">
        <f t="shared" si="78"/>
        <v>0</v>
      </c>
      <c r="AV66" s="238">
        <f t="shared" si="78"/>
        <v>0</v>
      </c>
      <c r="AW66" s="238">
        <f t="shared" si="78"/>
        <v>0</v>
      </c>
      <c r="AX66" s="238">
        <f t="shared" si="78"/>
        <v>0</v>
      </c>
      <c r="AY66" s="238">
        <f t="shared" si="78"/>
        <v>0</v>
      </c>
      <c r="AZ66" s="238">
        <f t="shared" si="78"/>
        <v>0</v>
      </c>
      <c r="BA66" s="238">
        <f t="shared" ref="BA66:BN69" si="79">U66</f>
        <v>0</v>
      </c>
      <c r="BB66" s="238">
        <f t="shared" si="79"/>
        <v>0</v>
      </c>
      <c r="BC66" s="238">
        <f t="shared" si="79"/>
        <v>0</v>
      </c>
      <c r="BD66" s="238">
        <f t="shared" si="79"/>
        <v>0</v>
      </c>
      <c r="BE66" s="238">
        <f t="shared" si="79"/>
        <v>0</v>
      </c>
      <c r="BF66" s="238">
        <f t="shared" si="79"/>
        <v>0</v>
      </c>
      <c r="BG66" s="238">
        <f t="shared" si="79"/>
        <v>0</v>
      </c>
      <c r="BH66" s="238">
        <f t="shared" si="79"/>
        <v>0</v>
      </c>
      <c r="BI66" s="238">
        <f t="shared" si="79"/>
        <v>0</v>
      </c>
      <c r="BJ66" s="238">
        <f t="shared" si="79"/>
        <v>0</v>
      </c>
      <c r="BK66" s="238">
        <f t="shared" si="79"/>
        <v>0</v>
      </c>
      <c r="BL66" s="238">
        <f t="shared" si="79"/>
        <v>0</v>
      </c>
      <c r="BM66" s="238">
        <f t="shared" si="79"/>
        <v>0</v>
      </c>
      <c r="BN66" s="238">
        <f t="shared" si="79"/>
        <v>0</v>
      </c>
    </row>
    <row r="67" spans="1:67" outlineLevel="1" x14ac:dyDescent="0.2">
      <c r="A67"/>
      <c r="B67" t="s">
        <v>222</v>
      </c>
      <c r="C67" s="54" t="s">
        <v>153</v>
      </c>
      <c r="D67" s="44">
        <f>'Butadiene Recycling HC'!C78</f>
        <v>0</v>
      </c>
      <c r="E67" s="44">
        <f>'Butadiene Recycling HC'!D78</f>
        <v>0</v>
      </c>
      <c r="F67" s="44">
        <f>'Butadiene Recycling HC'!E78</f>
        <v>0</v>
      </c>
      <c r="G67" s="44">
        <f>'Butadiene Recycling HC'!F78</f>
        <v>0</v>
      </c>
      <c r="H67" s="44">
        <f>'Butadiene Recycling HC'!G78</f>
        <v>0</v>
      </c>
      <c r="I67" s="44">
        <f>'Butadiene Recycling HC'!H78</f>
        <v>0</v>
      </c>
      <c r="J67" s="44">
        <f>'Butadiene Recycling HC'!I78</f>
        <v>0</v>
      </c>
      <c r="K67" s="44">
        <f>'Butadiene Recycling HC'!J78</f>
        <v>0</v>
      </c>
      <c r="L67" s="44">
        <f>'Butadiene Recycling HC'!K78</f>
        <v>0</v>
      </c>
      <c r="M67" s="44">
        <f>'Butadiene Recycling HC'!L78</f>
        <v>0</v>
      </c>
      <c r="N67" s="44">
        <f>'Butadiene Recycling HC'!M78</f>
        <v>0</v>
      </c>
      <c r="O67" s="44">
        <f>'Butadiene Recycling HC'!N78</f>
        <v>0</v>
      </c>
      <c r="P67" s="44">
        <f>'Butadiene Recycling HC'!O78</f>
        <v>0</v>
      </c>
      <c r="Q67" s="44">
        <f>'Butadiene Recycling HC'!P78</f>
        <v>0</v>
      </c>
      <c r="R67" s="44">
        <f>'Butadiene Recycling HC'!Q78</f>
        <v>0</v>
      </c>
      <c r="S67" s="44">
        <f>'Butadiene Recycling HC'!R78</f>
        <v>0</v>
      </c>
      <c r="T67" s="44">
        <f>'Butadiene Recycling HC'!S78</f>
        <v>0</v>
      </c>
      <c r="U67" s="44">
        <f>'Butadiene Recycling HC'!T78</f>
        <v>0</v>
      </c>
      <c r="V67" s="44">
        <f>'Butadiene Recycling HC'!U78</f>
        <v>0</v>
      </c>
      <c r="W67" s="44">
        <f>'Butadiene Recycling HC'!V78</f>
        <v>0</v>
      </c>
      <c r="X67" s="44">
        <f>'Butadiene Recycling HC'!W78</f>
        <v>0</v>
      </c>
      <c r="Y67" s="44">
        <f>'Butadiene Recycling HC'!X78</f>
        <v>0</v>
      </c>
      <c r="Z67" s="44">
        <f>'Butadiene Recycling HC'!Y78</f>
        <v>0</v>
      </c>
      <c r="AA67" s="44">
        <f>'Butadiene Recycling HC'!Z78</f>
        <v>0</v>
      </c>
      <c r="AB67" s="44">
        <f>'Butadiene Recycling HC'!AA78</f>
        <v>0</v>
      </c>
      <c r="AC67" s="44">
        <f>'Butadiene Recycling HC'!AB78</f>
        <v>0</v>
      </c>
      <c r="AD67" s="44">
        <f>'Butadiene Recycling HC'!AC78</f>
        <v>0</v>
      </c>
      <c r="AE67" s="44">
        <f>'Butadiene Recycling HC'!AD78</f>
        <v>0</v>
      </c>
      <c r="AF67" s="44">
        <f>'Butadiene Recycling HC'!AE78</f>
        <v>0</v>
      </c>
      <c r="AG67" s="44">
        <f>'Butadiene Recycling HC'!AF78</f>
        <v>0</v>
      </c>
      <c r="AH67" s="44">
        <f>'Butadiene Recycling HC'!AG78</f>
        <v>0</v>
      </c>
      <c r="AJ67" s="238">
        <f t="shared" ref="AJ67:AJ69" si="80">D67</f>
        <v>0</v>
      </c>
      <c r="AK67" s="238">
        <f t="shared" si="78"/>
        <v>0</v>
      </c>
      <c r="AL67" s="238">
        <f t="shared" si="78"/>
        <v>0</v>
      </c>
      <c r="AM67" s="238">
        <f t="shared" si="78"/>
        <v>0</v>
      </c>
      <c r="AN67" s="238">
        <f t="shared" si="78"/>
        <v>0</v>
      </c>
      <c r="AO67" s="238">
        <f t="shared" si="78"/>
        <v>0</v>
      </c>
      <c r="AP67" s="238">
        <f t="shared" si="78"/>
        <v>0</v>
      </c>
      <c r="AQ67" s="238">
        <f t="shared" si="78"/>
        <v>0</v>
      </c>
      <c r="AR67" s="238">
        <f t="shared" si="78"/>
        <v>0</v>
      </c>
      <c r="AS67" s="238">
        <f t="shared" si="78"/>
        <v>0</v>
      </c>
      <c r="AT67" s="238">
        <f t="shared" si="78"/>
        <v>0</v>
      </c>
      <c r="AU67" s="238">
        <f t="shared" si="78"/>
        <v>0</v>
      </c>
      <c r="AV67" s="238">
        <f t="shared" si="78"/>
        <v>0</v>
      </c>
      <c r="AW67" s="238">
        <f t="shared" si="78"/>
        <v>0</v>
      </c>
      <c r="AX67" s="238">
        <f t="shared" si="78"/>
        <v>0</v>
      </c>
      <c r="AY67" s="238">
        <f t="shared" si="78"/>
        <v>0</v>
      </c>
      <c r="AZ67" s="238">
        <f t="shared" si="78"/>
        <v>0</v>
      </c>
      <c r="BA67" s="238">
        <f t="shared" si="79"/>
        <v>0</v>
      </c>
      <c r="BB67" s="238">
        <f t="shared" si="79"/>
        <v>0</v>
      </c>
      <c r="BC67" s="238">
        <f t="shared" si="79"/>
        <v>0</v>
      </c>
      <c r="BD67" s="238">
        <f t="shared" si="79"/>
        <v>0</v>
      </c>
      <c r="BE67" s="238">
        <f t="shared" si="79"/>
        <v>0</v>
      </c>
      <c r="BF67" s="238">
        <f t="shared" si="79"/>
        <v>0</v>
      </c>
      <c r="BG67" s="238">
        <f t="shared" si="79"/>
        <v>0</v>
      </c>
      <c r="BH67" s="238">
        <f t="shared" si="79"/>
        <v>0</v>
      </c>
      <c r="BI67" s="238">
        <f t="shared" si="79"/>
        <v>0</v>
      </c>
      <c r="BJ67" s="238">
        <f t="shared" si="79"/>
        <v>0</v>
      </c>
      <c r="BK67" s="238">
        <f t="shared" si="79"/>
        <v>0</v>
      </c>
      <c r="BL67" s="238">
        <f t="shared" si="79"/>
        <v>0</v>
      </c>
      <c r="BM67" s="238">
        <f t="shared" si="79"/>
        <v>0</v>
      </c>
      <c r="BN67" s="238">
        <f t="shared" si="79"/>
        <v>0</v>
      </c>
    </row>
    <row r="68" spans="1:67" outlineLevel="1" x14ac:dyDescent="0.2">
      <c r="A68" s="181"/>
      <c r="B68" s="181" t="s">
        <v>218</v>
      </c>
      <c r="C68" s="176" t="s">
        <v>153</v>
      </c>
      <c r="D68" s="238">
        <f>'Butadiene Recycling HC'!C112</f>
        <v>0</v>
      </c>
      <c r="E68" s="238">
        <f>'Butadiene Recycling HC'!D112</f>
        <v>0</v>
      </c>
      <c r="F68" s="238">
        <f>'Butadiene Recycling HC'!E112</f>
        <v>0</v>
      </c>
      <c r="G68" s="238">
        <f>'Butadiene Recycling HC'!F112</f>
        <v>0</v>
      </c>
      <c r="H68" s="238">
        <f>'Butadiene Recycling HC'!G112</f>
        <v>0</v>
      </c>
      <c r="I68" s="238">
        <f>'Butadiene Recycling HC'!H112</f>
        <v>0</v>
      </c>
      <c r="J68" s="238">
        <f>'Butadiene Recycling HC'!I112</f>
        <v>0</v>
      </c>
      <c r="K68" s="238">
        <f>'Butadiene Recycling HC'!J112</f>
        <v>0</v>
      </c>
      <c r="L68" s="238">
        <f>'Butadiene Recycling HC'!K112</f>
        <v>0</v>
      </c>
      <c r="M68" s="238">
        <f>'Butadiene Recycling HC'!L112</f>
        <v>0</v>
      </c>
      <c r="N68" s="238">
        <f>'Butadiene Recycling HC'!M112</f>
        <v>0</v>
      </c>
      <c r="O68" s="238">
        <f>'Butadiene Recycling HC'!N112</f>
        <v>0</v>
      </c>
      <c r="P68" s="238">
        <f>'Butadiene Recycling HC'!O112</f>
        <v>0</v>
      </c>
      <c r="Q68" s="238">
        <f>'Butadiene Recycling HC'!P112</f>
        <v>0</v>
      </c>
      <c r="R68" s="238">
        <f>'Butadiene Recycling HC'!Q112</f>
        <v>0</v>
      </c>
      <c r="S68" s="238">
        <f>'Butadiene Recycling HC'!R112</f>
        <v>0</v>
      </c>
      <c r="T68" s="238">
        <f>'Butadiene Recycling HC'!S112</f>
        <v>0</v>
      </c>
      <c r="U68" s="238">
        <f>'Butadiene Recycling HC'!T112</f>
        <v>0</v>
      </c>
      <c r="V68" s="238">
        <f>'Butadiene Recycling HC'!U112</f>
        <v>0</v>
      </c>
      <c r="W68" s="238">
        <f>'Butadiene Recycling HC'!V112</f>
        <v>0</v>
      </c>
      <c r="X68" s="238">
        <f>'Butadiene Recycling HC'!W112</f>
        <v>0</v>
      </c>
      <c r="Y68" s="238">
        <f>'Butadiene Recycling HC'!X112</f>
        <v>0</v>
      </c>
      <c r="Z68" s="238">
        <f>'Butadiene Recycling HC'!Y112</f>
        <v>0</v>
      </c>
      <c r="AA68" s="238">
        <f>'Butadiene Recycling HC'!Z112</f>
        <v>0</v>
      </c>
      <c r="AB68" s="238">
        <f>'Butadiene Recycling HC'!AA112</f>
        <v>0</v>
      </c>
      <c r="AC68" s="238">
        <f>'Butadiene Recycling HC'!AB112</f>
        <v>0</v>
      </c>
      <c r="AD68" s="238">
        <f>'Butadiene Recycling HC'!AC112</f>
        <v>0</v>
      </c>
      <c r="AE68" s="238">
        <f>'Butadiene Recycling HC'!AD112</f>
        <v>0</v>
      </c>
      <c r="AF68" s="238">
        <f>'Butadiene Recycling HC'!AE112</f>
        <v>0</v>
      </c>
      <c r="AG68" s="238">
        <f>'Butadiene Recycling HC'!AF112</f>
        <v>0</v>
      </c>
      <c r="AH68" s="238">
        <f>'Butadiene Recycling HC'!AG112</f>
        <v>0</v>
      </c>
      <c r="AJ68" s="238">
        <f t="shared" si="80"/>
        <v>0</v>
      </c>
      <c r="AK68" s="238">
        <f t="shared" si="78"/>
        <v>0</v>
      </c>
      <c r="AL68" s="238">
        <f t="shared" si="78"/>
        <v>0</v>
      </c>
      <c r="AM68" s="238">
        <f t="shared" si="78"/>
        <v>0</v>
      </c>
      <c r="AN68" s="238">
        <f t="shared" si="78"/>
        <v>0</v>
      </c>
      <c r="AO68" s="238">
        <f t="shared" si="78"/>
        <v>0</v>
      </c>
      <c r="AP68" s="238">
        <f t="shared" si="78"/>
        <v>0</v>
      </c>
      <c r="AQ68" s="238">
        <f t="shared" si="78"/>
        <v>0</v>
      </c>
      <c r="AR68" s="238">
        <f t="shared" si="78"/>
        <v>0</v>
      </c>
      <c r="AS68" s="238">
        <f t="shared" si="78"/>
        <v>0</v>
      </c>
      <c r="AT68" s="238">
        <f t="shared" si="78"/>
        <v>0</v>
      </c>
      <c r="AU68" s="238">
        <f t="shared" si="78"/>
        <v>0</v>
      </c>
      <c r="AV68" s="238">
        <f t="shared" si="78"/>
        <v>0</v>
      </c>
      <c r="AW68" s="238">
        <f t="shared" si="78"/>
        <v>0</v>
      </c>
      <c r="AX68" s="238">
        <f t="shared" si="78"/>
        <v>0</v>
      </c>
      <c r="AY68" s="238">
        <f t="shared" si="78"/>
        <v>0</v>
      </c>
      <c r="AZ68" s="238">
        <f t="shared" si="78"/>
        <v>0</v>
      </c>
      <c r="BA68" s="238">
        <f t="shared" si="79"/>
        <v>0</v>
      </c>
      <c r="BB68" s="238">
        <f t="shared" si="79"/>
        <v>0</v>
      </c>
      <c r="BC68" s="238">
        <f t="shared" si="79"/>
        <v>0</v>
      </c>
      <c r="BD68" s="238">
        <f t="shared" si="79"/>
        <v>0</v>
      </c>
      <c r="BE68" s="238">
        <f t="shared" si="79"/>
        <v>0</v>
      </c>
      <c r="BF68" s="238">
        <f t="shared" si="79"/>
        <v>0</v>
      </c>
      <c r="BG68" s="238">
        <f t="shared" si="79"/>
        <v>0</v>
      </c>
      <c r="BH68" s="238">
        <f t="shared" si="79"/>
        <v>0</v>
      </c>
      <c r="BI68" s="238">
        <f t="shared" si="79"/>
        <v>0</v>
      </c>
      <c r="BJ68" s="238">
        <f t="shared" si="79"/>
        <v>0</v>
      </c>
      <c r="BK68" s="238">
        <f t="shared" si="79"/>
        <v>0</v>
      </c>
      <c r="BL68" s="238">
        <f t="shared" si="79"/>
        <v>0</v>
      </c>
      <c r="BM68" s="238">
        <f t="shared" si="79"/>
        <v>0</v>
      </c>
      <c r="BN68" s="238">
        <f t="shared" si="79"/>
        <v>0</v>
      </c>
    </row>
    <row r="69" spans="1:67" outlineLevel="1" x14ac:dyDescent="0.2">
      <c r="A69" s="181"/>
      <c r="B69" s="181" t="s">
        <v>226</v>
      </c>
      <c r="C69" s="176" t="s">
        <v>153</v>
      </c>
      <c r="D69" s="238">
        <f>'Butadiene Recycling HC'!C142</f>
        <v>0</v>
      </c>
      <c r="E69" s="238">
        <f>'Butadiene Recycling HC'!D142</f>
        <v>0</v>
      </c>
      <c r="F69" s="238">
        <f>'Butadiene Recycling HC'!E142</f>
        <v>0</v>
      </c>
      <c r="G69" s="238">
        <f>'Butadiene Recycling HC'!F142</f>
        <v>0</v>
      </c>
      <c r="H69" s="238">
        <f>'Butadiene Recycling HC'!G142</f>
        <v>0</v>
      </c>
      <c r="I69" s="238">
        <f>'Butadiene Recycling HC'!H142</f>
        <v>0</v>
      </c>
      <c r="J69" s="238">
        <f>'Butadiene Recycling HC'!I142</f>
        <v>0</v>
      </c>
      <c r="K69" s="238">
        <f>'Butadiene Recycling HC'!J142</f>
        <v>0</v>
      </c>
      <c r="L69" s="238">
        <f>'Butadiene Recycling HC'!K142</f>
        <v>0</v>
      </c>
      <c r="M69" s="238">
        <f>'Butadiene Recycling HC'!L142</f>
        <v>0</v>
      </c>
      <c r="N69" s="238">
        <f>'Butadiene Recycling HC'!M142</f>
        <v>0</v>
      </c>
      <c r="O69" s="238">
        <f>'Butadiene Recycling HC'!N142</f>
        <v>0</v>
      </c>
      <c r="P69" s="238">
        <f>'Butadiene Recycling HC'!O142</f>
        <v>0</v>
      </c>
      <c r="Q69" s="238">
        <f>'Butadiene Recycling HC'!P142</f>
        <v>0</v>
      </c>
      <c r="R69" s="238">
        <f>'Butadiene Recycling HC'!Q142</f>
        <v>0</v>
      </c>
      <c r="S69" s="238">
        <f>'Butadiene Recycling HC'!R142</f>
        <v>0</v>
      </c>
      <c r="T69" s="238">
        <f>'Butadiene Recycling HC'!S142</f>
        <v>0</v>
      </c>
      <c r="U69" s="238">
        <f>'Butadiene Recycling HC'!T142</f>
        <v>0</v>
      </c>
      <c r="V69" s="238">
        <f>'Butadiene Recycling HC'!U142</f>
        <v>0</v>
      </c>
      <c r="W69" s="238">
        <f>'Butadiene Recycling HC'!V142</f>
        <v>0</v>
      </c>
      <c r="X69" s="238">
        <f>'Butadiene Recycling HC'!W142</f>
        <v>0</v>
      </c>
      <c r="Y69" s="238">
        <f>'Butadiene Recycling HC'!X142</f>
        <v>0</v>
      </c>
      <c r="Z69" s="238">
        <f>'Butadiene Recycling HC'!Y142</f>
        <v>0</v>
      </c>
      <c r="AA69" s="238">
        <f>'Butadiene Recycling HC'!Z142</f>
        <v>0</v>
      </c>
      <c r="AB69" s="238">
        <f>'Butadiene Recycling HC'!AA142</f>
        <v>0</v>
      </c>
      <c r="AC69" s="238">
        <f>'Butadiene Recycling HC'!AB142</f>
        <v>0</v>
      </c>
      <c r="AD69" s="238">
        <f>'Butadiene Recycling HC'!AC142</f>
        <v>0</v>
      </c>
      <c r="AE69" s="238">
        <f>'Butadiene Recycling HC'!AD142</f>
        <v>0</v>
      </c>
      <c r="AF69" s="238">
        <f>'Butadiene Recycling HC'!AE142</f>
        <v>0</v>
      </c>
      <c r="AG69" s="238">
        <f>'Butadiene Recycling HC'!AF142</f>
        <v>0</v>
      </c>
      <c r="AH69" s="238">
        <f>'Butadiene Recycling HC'!AG142</f>
        <v>0</v>
      </c>
      <c r="AJ69" s="238">
        <f t="shared" si="80"/>
        <v>0</v>
      </c>
      <c r="AK69" s="238">
        <f t="shared" si="78"/>
        <v>0</v>
      </c>
      <c r="AL69" s="238">
        <f t="shared" si="78"/>
        <v>0</v>
      </c>
      <c r="AM69" s="238">
        <f t="shared" si="78"/>
        <v>0</v>
      </c>
      <c r="AN69" s="238">
        <f t="shared" si="78"/>
        <v>0</v>
      </c>
      <c r="AO69" s="238">
        <f t="shared" si="78"/>
        <v>0</v>
      </c>
      <c r="AP69" s="238">
        <f t="shared" si="78"/>
        <v>0</v>
      </c>
      <c r="AQ69" s="238">
        <f t="shared" si="78"/>
        <v>0</v>
      </c>
      <c r="AR69" s="238">
        <f t="shared" si="78"/>
        <v>0</v>
      </c>
      <c r="AS69" s="238">
        <f t="shared" si="78"/>
        <v>0</v>
      </c>
      <c r="AT69" s="238">
        <f t="shared" si="78"/>
        <v>0</v>
      </c>
      <c r="AU69" s="238">
        <f t="shared" si="78"/>
        <v>0</v>
      </c>
      <c r="AV69" s="238">
        <f t="shared" si="78"/>
        <v>0</v>
      </c>
      <c r="AW69" s="238">
        <f t="shared" si="78"/>
        <v>0</v>
      </c>
      <c r="AX69" s="238">
        <f t="shared" si="78"/>
        <v>0</v>
      </c>
      <c r="AY69" s="238">
        <f t="shared" si="78"/>
        <v>0</v>
      </c>
      <c r="AZ69" s="238">
        <f t="shared" si="78"/>
        <v>0</v>
      </c>
      <c r="BA69" s="238">
        <f t="shared" si="79"/>
        <v>0</v>
      </c>
      <c r="BB69" s="238">
        <f t="shared" si="79"/>
        <v>0</v>
      </c>
      <c r="BC69" s="238">
        <f t="shared" si="79"/>
        <v>0</v>
      </c>
      <c r="BD69" s="238">
        <f t="shared" si="79"/>
        <v>0</v>
      </c>
      <c r="BE69" s="238">
        <f t="shared" si="79"/>
        <v>0</v>
      </c>
      <c r="BF69" s="238">
        <f t="shared" si="79"/>
        <v>0</v>
      </c>
      <c r="BG69" s="238">
        <f t="shared" si="79"/>
        <v>0</v>
      </c>
      <c r="BH69" s="238">
        <f t="shared" si="79"/>
        <v>0</v>
      </c>
      <c r="BI69" s="238">
        <f t="shared" si="79"/>
        <v>0</v>
      </c>
      <c r="BJ69" s="238">
        <f t="shared" si="79"/>
        <v>0</v>
      </c>
      <c r="BK69" s="238">
        <f t="shared" si="79"/>
        <v>0</v>
      </c>
      <c r="BL69" s="238">
        <f t="shared" si="79"/>
        <v>0</v>
      </c>
      <c r="BM69" s="238">
        <f t="shared" si="79"/>
        <v>0</v>
      </c>
      <c r="BN69" s="238">
        <f t="shared" si="79"/>
        <v>0</v>
      </c>
    </row>
    <row r="70" spans="1:67" outlineLevel="1" x14ac:dyDescent="0.2">
      <c r="A70" s="178"/>
      <c r="B70" s="239" t="s">
        <v>219</v>
      </c>
      <c r="C70" s="179" t="s">
        <v>153</v>
      </c>
      <c r="D70" s="241">
        <f>D65-D66-D67-D68-D69</f>
        <v>4.696762105263157</v>
      </c>
      <c r="E70" s="241">
        <f t="shared" ref="E70:AH70" si="81">E65-E66-E67-E68-E69</f>
        <v>4.9017496999580112</v>
      </c>
      <c r="F70" s="241">
        <f t="shared" si="81"/>
        <v>5.1112726541122511</v>
      </c>
      <c r="G70" s="241">
        <f t="shared" si="81"/>
        <v>5.3253962174832434</v>
      </c>
      <c r="H70" s="241">
        <f t="shared" si="81"/>
        <v>5.5441856621096086</v>
      </c>
      <c r="I70" s="241">
        <f t="shared" si="81"/>
        <v>5.7677062373935062</v>
      </c>
      <c r="J70" s="241">
        <f t="shared" si="81"/>
        <v>5.9738317966016474</v>
      </c>
      <c r="K70" s="241">
        <f t="shared" si="81"/>
        <v>6.1840212648596022</v>
      </c>
      <c r="L70" s="241">
        <f t="shared" si="81"/>
        <v>6.3983213304455333</v>
      </c>
      <c r="M70" s="241">
        <f t="shared" si="81"/>
        <v>6.6167782388400331</v>
      </c>
      <c r="N70" s="241">
        <f t="shared" si="81"/>
        <v>6.8394377406413831</v>
      </c>
      <c r="O70" s="241">
        <f t="shared" si="81"/>
        <v>7.014640946244822</v>
      </c>
      <c r="P70" s="241">
        <f t="shared" si="81"/>
        <v>7.1925239065645306</v>
      </c>
      <c r="Q70" s="241">
        <f t="shared" si="81"/>
        <v>7.373100939825143</v>
      </c>
      <c r="R70" s="241">
        <f t="shared" si="81"/>
        <v>7.5563855184856878</v>
      </c>
      <c r="S70" s="241">
        <f t="shared" si="81"/>
        <v>7.7423902239788776</v>
      </c>
      <c r="T70" s="241">
        <f t="shared" si="81"/>
        <v>7.7476363363979717</v>
      </c>
      <c r="U70" s="241">
        <f t="shared" si="81"/>
        <v>7.7522874138254068</v>
      </c>
      <c r="V70" s="241">
        <f t="shared" si="81"/>
        <v>7.7563343243805223</v>
      </c>
      <c r="W70" s="241">
        <f t="shared" si="81"/>
        <v>7.7597678914495232</v>
      </c>
      <c r="X70" s="241">
        <f t="shared" si="81"/>
        <v>7.762578895262795</v>
      </c>
      <c r="Y70" s="241">
        <f t="shared" si="81"/>
        <v>7.7454370772222729</v>
      </c>
      <c r="Z70" s="241">
        <f t="shared" si="81"/>
        <v>7.7275086109601583</v>
      </c>
      <c r="AA70" s="241">
        <f t="shared" si="81"/>
        <v>7.7087867128052752</v>
      </c>
      <c r="AB70" s="241">
        <f t="shared" si="81"/>
        <v>7.689264678792382</v>
      </c>
      <c r="AC70" s="241">
        <f t="shared" si="81"/>
        <v>7.6689358893395099</v>
      </c>
      <c r="AD70" s="241">
        <f t="shared" si="81"/>
        <v>7.6353295556516274</v>
      </c>
      <c r="AE70" s="241">
        <f t="shared" si="81"/>
        <v>7.6008474323512489</v>
      </c>
      <c r="AF70" s="241">
        <f t="shared" si="81"/>
        <v>7.5654855724727303</v>
      </c>
      <c r="AG70" s="241">
        <f t="shared" si="81"/>
        <v>7.5292402132347078</v>
      </c>
      <c r="AH70" s="241">
        <f t="shared" si="81"/>
        <v>7.4921077830386436</v>
      </c>
      <c r="AJ70" s="241">
        <f>AJ65-AJ66-AJ67-AJ68-AJ69</f>
        <v>4.696762105263157</v>
      </c>
      <c r="AK70" s="241">
        <f t="shared" ref="AK70:BN70" si="82">AK65-AK66-AK67-AK68-AK69</f>
        <v>4.9180329433744205</v>
      </c>
      <c r="AL70" s="241">
        <f t="shared" si="82"/>
        <v>5.1454583042106918</v>
      </c>
      <c r="AM70" s="241">
        <f t="shared" si="82"/>
        <v>5.379182610620445</v>
      </c>
      <c r="AN70" s="241">
        <f t="shared" si="82"/>
        <v>5.6193533395334452</v>
      </c>
      <c r="AO70" s="241">
        <f t="shared" si="82"/>
        <v>5.8661210801204895</v>
      </c>
      <c r="AP70" s="241">
        <f t="shared" si="82"/>
        <v>6.0969907611713188</v>
      </c>
      <c r="AQ70" s="241">
        <f t="shared" si="82"/>
        <v>6.3337915429244553</v>
      </c>
      <c r="AR70" s="241">
        <f t="shared" si="82"/>
        <v>6.576652921581263</v>
      </c>
      <c r="AS70" s="241">
        <f t="shared" si="82"/>
        <v>6.8257069159541617</v>
      </c>
      <c r="AT70" s="241">
        <f t="shared" si="82"/>
        <v>7.081088110492737</v>
      </c>
      <c r="AU70" s="241">
        <f t="shared" si="82"/>
        <v>7.289205822618217</v>
      </c>
      <c r="AV70" s="241">
        <f t="shared" si="82"/>
        <v>7.5018461770901128</v>
      </c>
      <c r="AW70" s="241">
        <f t="shared" si="82"/>
        <v>7.7190930972507594</v>
      </c>
      <c r="AX70" s="241">
        <f t="shared" si="82"/>
        <v>7.9410318505196669</v>
      </c>
      <c r="AY70" s="241">
        <f t="shared" si="82"/>
        <v>8.1677490653628446</v>
      </c>
      <c r="AZ70" s="241">
        <f t="shared" si="82"/>
        <v>8.2050102167220036</v>
      </c>
      <c r="BA70" s="241">
        <f t="shared" si="82"/>
        <v>8.242153739479388</v>
      </c>
      <c r="BB70" s="241">
        <f t="shared" si="82"/>
        <v>8.2791739281801178</v>
      </c>
      <c r="BC70" s="241">
        <f t="shared" si="82"/>
        <v>8.3160649950327432</v>
      </c>
      <c r="BD70" s="241">
        <f t="shared" si="82"/>
        <v>8.3528210693265557</v>
      </c>
      <c r="BE70" s="241">
        <f t="shared" si="82"/>
        <v>8.3696049048572299</v>
      </c>
      <c r="BF70" s="241">
        <f t="shared" si="82"/>
        <v>8.3859386517816699</v>
      </c>
      <c r="BG70" s="241">
        <f t="shared" si="82"/>
        <v>8.4018135503651639</v>
      </c>
      <c r="BH70" s="241">
        <f t="shared" si="82"/>
        <v>8.4172207544725364</v>
      </c>
      <c r="BI70" s="241">
        <f t="shared" si="82"/>
        <v>8.4321513315639454</v>
      </c>
      <c r="BJ70" s="241">
        <f t="shared" si="82"/>
        <v>8.432830128195512</v>
      </c>
      <c r="BK70" s="241">
        <f t="shared" si="82"/>
        <v>8.4328270757266068</v>
      </c>
      <c r="BL70" s="241">
        <f t="shared" si="82"/>
        <v>8.4321316582083004</v>
      </c>
      <c r="BM70" s="241">
        <f t="shared" si="82"/>
        <v>8.4307332779328643</v>
      </c>
      <c r="BN70" s="241">
        <f t="shared" si="82"/>
        <v>8.4286212559184737</v>
      </c>
    </row>
    <row r="71" spans="1:67" outlineLevel="1" x14ac:dyDescent="0.2">
      <c r="A71" s="58" t="s">
        <v>67</v>
      </c>
      <c r="B71" s="58" t="s">
        <v>227</v>
      </c>
      <c r="C71" s="100" t="s">
        <v>153</v>
      </c>
      <c r="D71" s="101">
        <f t="shared" ref="D71:AH71" si="83">D50+D61+D62+D67+D68+D57+D63+D69</f>
        <v>0</v>
      </c>
      <c r="E71" s="101">
        <f t="shared" si="83"/>
        <v>4.225012498373637E-2</v>
      </c>
      <c r="F71" s="101">
        <f t="shared" si="83"/>
        <v>8.5363867248392344E-2</v>
      </c>
      <c r="G71" s="101">
        <f t="shared" si="83"/>
        <v>0.12903706107457963</v>
      </c>
      <c r="H71" s="101">
        <f t="shared" si="83"/>
        <v>0.17294962698923894</v>
      </c>
      <c r="I71" s="101">
        <f t="shared" si="83"/>
        <v>0.21676943042518537</v>
      </c>
      <c r="J71" s="101">
        <f t="shared" si="83"/>
        <v>0.26128880011248878</v>
      </c>
      <c r="K71" s="101">
        <f t="shared" si="83"/>
        <v>0.30644653005976108</v>
      </c>
      <c r="L71" s="101">
        <f t="shared" si="83"/>
        <v>0.35217837916707451</v>
      </c>
      <c r="M71" s="101">
        <f t="shared" si="83"/>
        <v>0.39841717289585488</v>
      </c>
      <c r="N71" s="101">
        <f t="shared" si="83"/>
        <v>0.44509291715113763</v>
      </c>
      <c r="O71" s="101">
        <f t="shared" si="83"/>
        <v>0.49105004527989926</v>
      </c>
      <c r="P71" s="101">
        <f t="shared" si="83"/>
        <v>0.53601242991714315</v>
      </c>
      <c r="Q71" s="101">
        <f t="shared" si="83"/>
        <v>0.57514566117387866</v>
      </c>
      <c r="R71" s="101">
        <f t="shared" si="83"/>
        <v>0.61228400058953747</v>
      </c>
      <c r="S71" s="101">
        <f t="shared" si="83"/>
        <v>0.64719336277723949</v>
      </c>
      <c r="T71" s="101">
        <f t="shared" si="83"/>
        <v>0.68135628277795623</v>
      </c>
      <c r="U71" s="101">
        <f t="shared" si="83"/>
        <v>0.71474578952390255</v>
      </c>
      <c r="V71" s="101">
        <f t="shared" si="83"/>
        <v>0.7473353132947721</v>
      </c>
      <c r="W71" s="101">
        <f t="shared" si="83"/>
        <v>0.77909871368472816</v>
      </c>
      <c r="X71" s="101">
        <f t="shared" si="83"/>
        <v>0.81001030745711267</v>
      </c>
      <c r="Y71" s="101">
        <f t="shared" si="83"/>
        <v>0.84005706444328954</v>
      </c>
      <c r="Z71" s="101">
        <f t="shared" si="83"/>
        <v>0.86921528066509868</v>
      </c>
      <c r="AA71" s="101">
        <f t="shared" si="83"/>
        <v>0.88411767764925042</v>
      </c>
      <c r="AB71" s="101">
        <f t="shared" si="83"/>
        <v>0.89730067598074903</v>
      </c>
      <c r="AC71" s="101">
        <f t="shared" si="83"/>
        <v>0.90876174792882025</v>
      </c>
      <c r="AD71" s="101">
        <f t="shared" si="83"/>
        <v>0.91851157597656241</v>
      </c>
      <c r="AE71" s="101">
        <f t="shared" si="83"/>
        <v>0.92655195582648686</v>
      </c>
      <c r="AF71" s="101">
        <f t="shared" si="83"/>
        <v>0.93288667473729048</v>
      </c>
      <c r="AG71" s="101">
        <f t="shared" si="83"/>
        <v>0.93752154161217638</v>
      </c>
      <c r="AH71" s="580">
        <f t="shared" si="83"/>
        <v>0.94046441566951311</v>
      </c>
      <c r="AI71" s="44"/>
      <c r="AJ71" s="101">
        <f t="shared" ref="AJ71:BN71" si="84">AJ50+AJ61+AJ62+AJ67+AJ68+AJ57+AJ63+AJ69</f>
        <v>0</v>
      </c>
      <c r="AK71" s="101">
        <f t="shared" si="84"/>
        <v>4.225012498373637E-2</v>
      </c>
      <c r="AL71" s="101">
        <f t="shared" si="84"/>
        <v>8.5363867248392344E-2</v>
      </c>
      <c r="AM71" s="101">
        <f t="shared" si="84"/>
        <v>0.12903706107457963</v>
      </c>
      <c r="AN71" s="101">
        <f t="shared" si="84"/>
        <v>0.17294962698923894</v>
      </c>
      <c r="AO71" s="101">
        <f t="shared" si="84"/>
        <v>0.21676943042518537</v>
      </c>
      <c r="AP71" s="101">
        <f t="shared" si="84"/>
        <v>0.26128880011248878</v>
      </c>
      <c r="AQ71" s="101">
        <f t="shared" si="84"/>
        <v>0.30644653005976108</v>
      </c>
      <c r="AR71" s="101">
        <f t="shared" si="84"/>
        <v>0.35217837916707451</v>
      </c>
      <c r="AS71" s="101">
        <f t="shared" si="84"/>
        <v>0.39841717289585488</v>
      </c>
      <c r="AT71" s="101">
        <f t="shared" si="84"/>
        <v>0.44509291715113763</v>
      </c>
      <c r="AU71" s="101">
        <f t="shared" si="84"/>
        <v>0.49105004527989926</v>
      </c>
      <c r="AV71" s="101">
        <f t="shared" si="84"/>
        <v>0.53601242991714315</v>
      </c>
      <c r="AW71" s="101">
        <f t="shared" si="84"/>
        <v>0.57514566117387866</v>
      </c>
      <c r="AX71" s="101">
        <f t="shared" si="84"/>
        <v>0.61228400058953747</v>
      </c>
      <c r="AY71" s="101">
        <f t="shared" si="84"/>
        <v>0.64719336277723949</v>
      </c>
      <c r="AZ71" s="101">
        <f t="shared" si="84"/>
        <v>0.68135628277795623</v>
      </c>
      <c r="BA71" s="101">
        <f t="shared" si="84"/>
        <v>0.71474578952390255</v>
      </c>
      <c r="BB71" s="101">
        <f t="shared" si="84"/>
        <v>0.7473353132947721</v>
      </c>
      <c r="BC71" s="101">
        <f t="shared" si="84"/>
        <v>0.77909871368472816</v>
      </c>
      <c r="BD71" s="101">
        <f t="shared" si="84"/>
        <v>0.81001030745711267</v>
      </c>
      <c r="BE71" s="101">
        <f t="shared" si="84"/>
        <v>0.84005706444328954</v>
      </c>
      <c r="BF71" s="101">
        <f t="shared" si="84"/>
        <v>0.86921528066509868</v>
      </c>
      <c r="BG71" s="101">
        <f t="shared" si="84"/>
        <v>0.88411767764925042</v>
      </c>
      <c r="BH71" s="101">
        <f t="shared" si="84"/>
        <v>0.89730067598074903</v>
      </c>
      <c r="BI71" s="101">
        <f t="shared" si="84"/>
        <v>0.90876174792882025</v>
      </c>
      <c r="BJ71" s="101">
        <f t="shared" si="84"/>
        <v>0.91851157597656241</v>
      </c>
      <c r="BK71" s="101">
        <f t="shared" si="84"/>
        <v>0.92655195582648686</v>
      </c>
      <c r="BL71" s="101">
        <f t="shared" si="84"/>
        <v>0.93288667473729048</v>
      </c>
      <c r="BM71" s="101">
        <f t="shared" si="84"/>
        <v>0.93752154161217638</v>
      </c>
      <c r="BN71" s="101">
        <f t="shared" si="84"/>
        <v>0.94046441566951311</v>
      </c>
    </row>
    <row r="72" spans="1:67" outlineLevel="1" x14ac:dyDescent="0.2">
      <c r="A72" s="68"/>
      <c r="B72" s="62" t="s">
        <v>228</v>
      </c>
      <c r="C72" s="63" t="s">
        <v>153</v>
      </c>
      <c r="D72" s="64">
        <f t="shared" ref="D72:AH72" si="85">D49+D53+D60+D66+IF(D58=0,0,D56)</f>
        <v>0</v>
      </c>
      <c r="E72" s="64">
        <f t="shared" si="85"/>
        <v>4.1308367104167382E-3</v>
      </c>
      <c r="F72" s="64">
        <f t="shared" si="85"/>
        <v>9.3518867611486912E-3</v>
      </c>
      <c r="G72" s="64">
        <f t="shared" si="85"/>
        <v>1.5711029378374795E-2</v>
      </c>
      <c r="H72" s="64">
        <f t="shared" si="85"/>
        <v>2.3242919757195057E-2</v>
      </c>
      <c r="I72" s="64">
        <f t="shared" si="85"/>
        <v>3.196765454897868E-2</v>
      </c>
      <c r="J72" s="64">
        <f t="shared" si="85"/>
        <v>4.1980028562806138E-2</v>
      </c>
      <c r="K72" s="64">
        <f t="shared" si="85"/>
        <v>5.3340419620046965E-2</v>
      </c>
      <c r="L72" s="64">
        <f t="shared" si="85"/>
        <v>6.6108516498020325E-2</v>
      </c>
      <c r="M72" s="64">
        <f t="shared" si="85"/>
        <v>8.0343108734803742E-2</v>
      </c>
      <c r="N72" s="64">
        <f t="shared" si="85"/>
        <v>9.610187171478532E-2</v>
      </c>
      <c r="O72" s="64">
        <f t="shared" si="85"/>
        <v>0.11327883718036602</v>
      </c>
      <c r="P72" s="64">
        <f t="shared" si="85"/>
        <v>0.13184771982871668</v>
      </c>
      <c r="Q72" s="64">
        <f t="shared" si="85"/>
        <v>0.1510100740179755</v>
      </c>
      <c r="R72" s="64">
        <f t="shared" si="85"/>
        <v>0.17124846713688949</v>
      </c>
      <c r="S72" s="64">
        <f t="shared" si="85"/>
        <v>0.19247101688475504</v>
      </c>
      <c r="T72" s="64">
        <f t="shared" si="85"/>
        <v>0.21495901619885283</v>
      </c>
      <c r="U72" s="64">
        <f t="shared" si="85"/>
        <v>0.23872135848833984</v>
      </c>
      <c r="V72" s="64">
        <f t="shared" si="85"/>
        <v>0.26376599904930198</v>
      </c>
      <c r="W72" s="64">
        <f t="shared" si="85"/>
        <v>0.29009993242048493</v>
      </c>
      <c r="X72" s="64">
        <f t="shared" si="85"/>
        <v>0.31772917035349718</v>
      </c>
      <c r="Y72" s="64">
        <f t="shared" si="85"/>
        <v>0.34666253867306757</v>
      </c>
      <c r="Z72" s="64">
        <f t="shared" si="85"/>
        <v>0.37690502553907512</v>
      </c>
      <c r="AA72" s="64">
        <f t="shared" si="85"/>
        <v>0.40403189997235806</v>
      </c>
      <c r="AB72" s="64">
        <f t="shared" si="85"/>
        <v>0.4316928490993126</v>
      </c>
      <c r="AC72" s="64">
        <f t="shared" si="85"/>
        <v>0.4598310481377636</v>
      </c>
      <c r="AD72" s="64">
        <f t="shared" si="85"/>
        <v>0.48839185076897323</v>
      </c>
      <c r="AE72" s="64">
        <f t="shared" si="85"/>
        <v>0.51731438217981474</v>
      </c>
      <c r="AF72" s="64">
        <f t="shared" si="85"/>
        <v>0.54653535147242149</v>
      </c>
      <c r="AG72" s="64">
        <f t="shared" si="85"/>
        <v>0.57598905146139823</v>
      </c>
      <c r="AH72" s="438">
        <f t="shared" si="85"/>
        <v>0.60560736065427512</v>
      </c>
      <c r="AI72" s="44">
        <f>SUM(AH71:AH72)</f>
        <v>1.5460717763237883</v>
      </c>
      <c r="AJ72" s="64">
        <f t="shared" ref="AJ72:BN72" si="86">AJ49+AJ53+AJ60+AJ66+IF(AJ58=0,0,AJ56)</f>
        <v>0</v>
      </c>
      <c r="AK72" s="64">
        <f t="shared" si="86"/>
        <v>4.1308367104167382E-3</v>
      </c>
      <c r="AL72" s="64">
        <f t="shared" si="86"/>
        <v>9.3518867611486912E-3</v>
      </c>
      <c r="AM72" s="64">
        <f t="shared" si="86"/>
        <v>1.5711029378374795E-2</v>
      </c>
      <c r="AN72" s="64">
        <f t="shared" si="86"/>
        <v>2.3242919757195057E-2</v>
      </c>
      <c r="AO72" s="64">
        <f t="shared" si="86"/>
        <v>3.196765454897868E-2</v>
      </c>
      <c r="AP72" s="64">
        <f t="shared" si="86"/>
        <v>4.1980028562806138E-2</v>
      </c>
      <c r="AQ72" s="64">
        <f t="shared" si="86"/>
        <v>5.3340419620046965E-2</v>
      </c>
      <c r="AR72" s="64">
        <f t="shared" si="86"/>
        <v>6.6108516498020325E-2</v>
      </c>
      <c r="AS72" s="64">
        <f t="shared" si="86"/>
        <v>8.0343108734803742E-2</v>
      </c>
      <c r="AT72" s="64">
        <f t="shared" si="86"/>
        <v>9.610187171478532E-2</v>
      </c>
      <c r="AU72" s="64">
        <f t="shared" si="86"/>
        <v>0.11327883718036602</v>
      </c>
      <c r="AV72" s="64">
        <f t="shared" si="86"/>
        <v>0.13184771982871668</v>
      </c>
      <c r="AW72" s="64">
        <f t="shared" si="86"/>
        <v>0.1510100740179755</v>
      </c>
      <c r="AX72" s="64">
        <f t="shared" si="86"/>
        <v>0.17124846713688949</v>
      </c>
      <c r="AY72" s="64">
        <f t="shared" si="86"/>
        <v>0.19247101688475504</v>
      </c>
      <c r="AZ72" s="64">
        <f t="shared" si="86"/>
        <v>0.21495901619885283</v>
      </c>
      <c r="BA72" s="64">
        <f t="shared" si="86"/>
        <v>0.23872135848833984</v>
      </c>
      <c r="BB72" s="64">
        <f t="shared" si="86"/>
        <v>0.26376599904930198</v>
      </c>
      <c r="BC72" s="64">
        <f t="shared" si="86"/>
        <v>0.29009993242048493</v>
      </c>
      <c r="BD72" s="64">
        <f t="shared" si="86"/>
        <v>0.31772917035349718</v>
      </c>
      <c r="BE72" s="64">
        <f t="shared" si="86"/>
        <v>0.34666253867306757</v>
      </c>
      <c r="BF72" s="64">
        <f t="shared" si="86"/>
        <v>0.37690502553907512</v>
      </c>
      <c r="BG72" s="64">
        <f t="shared" si="86"/>
        <v>0.40403189997235806</v>
      </c>
      <c r="BH72" s="64">
        <f t="shared" si="86"/>
        <v>0.4316928490993126</v>
      </c>
      <c r="BI72" s="64">
        <f t="shared" si="86"/>
        <v>0.4598310481377636</v>
      </c>
      <c r="BJ72" s="64">
        <f t="shared" si="86"/>
        <v>0.48839185076897323</v>
      </c>
      <c r="BK72" s="64">
        <f t="shared" si="86"/>
        <v>0.51731438217981474</v>
      </c>
      <c r="BL72" s="64">
        <f t="shared" si="86"/>
        <v>0.54653535147242149</v>
      </c>
      <c r="BM72" s="64">
        <f t="shared" si="86"/>
        <v>0.57598905146139823</v>
      </c>
      <c r="BN72" s="64">
        <f t="shared" si="86"/>
        <v>0.60560736065427512</v>
      </c>
    </row>
    <row r="73" spans="1:67" x14ac:dyDescent="0.2">
      <c r="A73" s="102" t="s">
        <v>240</v>
      </c>
      <c r="B73" s="102"/>
      <c r="C73" s="103" t="s">
        <v>153</v>
      </c>
      <c r="D73" s="105">
        <f t="shared" ref="D73:AH73" si="87">D46-D71-D72</f>
        <v>14.947368421052632</v>
      </c>
      <c r="E73" s="105">
        <f t="shared" si="87"/>
        <v>15.167448697235864</v>
      </c>
      <c r="F73" s="105">
        <f t="shared" si="87"/>
        <v>15.38977414734167</v>
      </c>
      <c r="G73" s="105">
        <f t="shared" si="87"/>
        <v>15.614644140629744</v>
      </c>
      <c r="H73" s="105">
        <f t="shared" si="87"/>
        <v>15.842386641566842</v>
      </c>
      <c r="I73" s="105">
        <f t="shared" si="87"/>
        <v>16.07335562914492</v>
      </c>
      <c r="J73" s="105">
        <f t="shared" si="87"/>
        <v>16.284513936455433</v>
      </c>
      <c r="K73" s="105">
        <f t="shared" si="87"/>
        <v>16.497296819793348</v>
      </c>
      <c r="L73" s="105">
        <f t="shared" si="87"/>
        <v>16.711730410115496</v>
      </c>
      <c r="M73" s="105">
        <f t="shared" si="87"/>
        <v>16.927843603108581</v>
      </c>
      <c r="N73" s="105">
        <f t="shared" si="87"/>
        <v>17.145668095397166</v>
      </c>
      <c r="O73" s="105">
        <f t="shared" si="87"/>
        <v>17.212824504591953</v>
      </c>
      <c r="P73" s="105">
        <f t="shared" si="87"/>
        <v>17.278998979371874</v>
      </c>
      <c r="Q73" s="105">
        <f t="shared" si="87"/>
        <v>17.349258010565393</v>
      </c>
      <c r="R73" s="105">
        <f t="shared" si="87"/>
        <v>17.419460425032891</v>
      </c>
      <c r="S73" s="105">
        <f t="shared" si="87"/>
        <v>17.489850132586085</v>
      </c>
      <c r="T73" s="105">
        <f t="shared" si="87"/>
        <v>17.375087993299164</v>
      </c>
      <c r="U73" s="105">
        <f t="shared" si="87"/>
        <v>17.25525706165638</v>
      </c>
      <c r="V73" s="105">
        <f t="shared" si="87"/>
        <v>17.130266212600787</v>
      </c>
      <c r="W73" s="105">
        <f t="shared" si="87"/>
        <v>17.000022743658892</v>
      </c>
      <c r="X73" s="105">
        <f t="shared" si="87"/>
        <v>16.864432332244352</v>
      </c>
      <c r="Y73" s="105">
        <f t="shared" si="87"/>
        <v>16.522814004529366</v>
      </c>
      <c r="Z73" s="105">
        <f t="shared" si="87"/>
        <v>16.171166709311528</v>
      </c>
      <c r="AA73" s="105">
        <f t="shared" si="87"/>
        <v>15.826222418940853</v>
      </c>
      <c r="AB73" s="105">
        <f t="shared" si="87"/>
        <v>15.471562107362736</v>
      </c>
      <c r="AC73" s="105">
        <f t="shared" si="87"/>
        <v>15.107007844381862</v>
      </c>
      <c r="AD73" s="105">
        <f t="shared" si="87"/>
        <v>14.719897612212083</v>
      </c>
      <c r="AE73" s="105">
        <f t="shared" si="87"/>
        <v>14.322452439702044</v>
      </c>
      <c r="AF73" s="105">
        <f t="shared" si="87"/>
        <v>13.914483382796938</v>
      </c>
      <c r="AG73" s="105">
        <f t="shared" si="87"/>
        <v>13.495797295186522</v>
      </c>
      <c r="AH73" s="579">
        <f t="shared" si="87"/>
        <v>13.066196717936394</v>
      </c>
      <c r="AI73" s="44">
        <f>AH46-AH73</f>
        <v>1.5460717763237888</v>
      </c>
      <c r="AJ73" s="105">
        <f t="shared" ref="AJ73:BN73" si="88">AJ46-AJ71-AJ72</f>
        <v>14.947368421052632</v>
      </c>
      <c r="AK73" s="105">
        <f t="shared" si="88"/>
        <v>15.22946436536191</v>
      </c>
      <c r="AL73" s="105">
        <f t="shared" si="88"/>
        <v>15.51673170957663</v>
      </c>
      <c r="AM73" s="105">
        <f t="shared" si="88"/>
        <v>15.809577013580411</v>
      </c>
      <c r="AN73" s="105">
        <f t="shared" si="88"/>
        <v>16.108438998103619</v>
      </c>
      <c r="AO73" s="105">
        <f t="shared" si="88"/>
        <v>16.413786076654912</v>
      </c>
      <c r="AP73" s="105">
        <f t="shared" si="88"/>
        <v>16.702241805671846</v>
      </c>
      <c r="AQ73" s="105">
        <f t="shared" si="88"/>
        <v>16.99564188732619</v>
      </c>
      <c r="AR73" s="105">
        <f t="shared" si="88"/>
        <v>17.294126044237281</v>
      </c>
      <c r="AS73" s="105">
        <f t="shared" si="88"/>
        <v>17.597840312345021</v>
      </c>
      <c r="AT73" s="105">
        <f t="shared" si="88"/>
        <v>17.906937182609944</v>
      </c>
      <c r="AU73" s="105">
        <f t="shared" si="88"/>
        <v>18.117952238131277</v>
      </c>
      <c r="AV73" s="105">
        <f t="shared" si="88"/>
        <v>18.332862529822812</v>
      </c>
      <c r="AW73" s="105">
        <f t="shared" si="88"/>
        <v>18.55693277099299</v>
      </c>
      <c r="AX73" s="105">
        <f t="shared" si="88"/>
        <v>18.786126613685393</v>
      </c>
      <c r="AY73" s="105">
        <f t="shared" si="88"/>
        <v>19.020829434700449</v>
      </c>
      <c r="AZ73" s="105">
        <f t="shared" si="88"/>
        <v>19.065014983170673</v>
      </c>
      <c r="BA73" s="105">
        <f t="shared" si="88"/>
        <v>19.108011181495474</v>
      </c>
      <c r="BB73" s="105">
        <f t="shared" si="88"/>
        <v>19.149801642102595</v>
      </c>
      <c r="BC73" s="105">
        <f t="shared" si="88"/>
        <v>19.190369705775076</v>
      </c>
      <c r="BD73" s="105">
        <f t="shared" si="88"/>
        <v>19.229698420626878</v>
      </c>
      <c r="BE73" s="105">
        <f t="shared" si="88"/>
        <v>19.157117697035858</v>
      </c>
      <c r="BF73" s="105">
        <f t="shared" si="88"/>
        <v>19.081090541394978</v>
      </c>
      <c r="BG73" s="105">
        <f t="shared" si="88"/>
        <v>19.018588645277603</v>
      </c>
      <c r="BH73" s="105">
        <f t="shared" si="88"/>
        <v>18.953326973816374</v>
      </c>
      <c r="BI73" s="105">
        <f t="shared" si="88"/>
        <v>18.885263983126077</v>
      </c>
      <c r="BJ73" s="105">
        <f t="shared" si="88"/>
        <v>18.800574601485664</v>
      </c>
      <c r="BK73" s="105">
        <f t="shared" si="88"/>
        <v>18.712792002953108</v>
      </c>
      <c r="BL73" s="105">
        <f t="shared" si="88"/>
        <v>18.621867347824271</v>
      </c>
      <c r="BM73" s="105">
        <f t="shared" si="88"/>
        <v>18.52775008096436</v>
      </c>
      <c r="BN73" s="579">
        <f t="shared" si="88"/>
        <v>18.43038786364864</v>
      </c>
      <c r="BO73" s="44"/>
    </row>
    <row r="74" spans="1:67" x14ac:dyDescent="0.2">
      <c r="A74" s="1" t="s">
        <v>230</v>
      </c>
      <c r="C74" s="59" t="s">
        <v>153</v>
      </c>
      <c r="D74" s="44">
        <f>'Butadiene Recycling HC'!C252</f>
        <v>0</v>
      </c>
      <c r="E74" s="44">
        <f>'Butadiene Recycling HC'!D252</f>
        <v>0</v>
      </c>
      <c r="F74" s="44">
        <f>'Butadiene Recycling HC'!E252</f>
        <v>0</v>
      </c>
      <c r="G74" s="44">
        <f>'Butadiene Recycling HC'!F252</f>
        <v>0</v>
      </c>
      <c r="H74" s="44">
        <f>'Butadiene Recycling HC'!G252</f>
        <v>0</v>
      </c>
      <c r="I74" s="44">
        <f>'Butadiene Recycling HC'!H252</f>
        <v>0</v>
      </c>
      <c r="J74" s="44">
        <f>'Butadiene Recycling HC'!I252</f>
        <v>0</v>
      </c>
      <c r="K74" s="44">
        <f>'Butadiene Recycling HC'!J252</f>
        <v>0</v>
      </c>
      <c r="L74" s="44">
        <f>'Butadiene Recycling HC'!K252</f>
        <v>0</v>
      </c>
      <c r="M74" s="44">
        <f>'Butadiene Recycling HC'!L252</f>
        <v>0</v>
      </c>
      <c r="N74" s="44">
        <f>'Butadiene Recycling HC'!M252</f>
        <v>0</v>
      </c>
      <c r="O74" s="44">
        <f>'Butadiene Recycling HC'!N252</f>
        <v>0</v>
      </c>
      <c r="P74" s="44">
        <f>'Butadiene Recycling HC'!O252</f>
        <v>0</v>
      </c>
      <c r="Q74" s="44">
        <f>'Butadiene Recycling HC'!P252</f>
        <v>0</v>
      </c>
      <c r="R74" s="44">
        <f>'Butadiene Recycling HC'!Q252</f>
        <v>0</v>
      </c>
      <c r="S74" s="44">
        <f>'Butadiene Recycling HC'!R252</f>
        <v>0</v>
      </c>
      <c r="T74" s="44">
        <f>'Butadiene Recycling HC'!S252</f>
        <v>0</v>
      </c>
      <c r="U74" s="44">
        <f>'Butadiene Recycling HC'!T252</f>
        <v>0</v>
      </c>
      <c r="V74" s="44">
        <f>'Butadiene Recycling HC'!U252</f>
        <v>0</v>
      </c>
      <c r="W74" s="44">
        <f>'Butadiene Recycling HC'!V252</f>
        <v>0</v>
      </c>
      <c r="X74" s="44">
        <f>'Butadiene Recycling HC'!W252</f>
        <v>0</v>
      </c>
      <c r="Y74" s="44">
        <f>'Butadiene Recycling HC'!X252</f>
        <v>0</v>
      </c>
      <c r="Z74" s="44">
        <f>'Butadiene Recycling HC'!Y252</f>
        <v>0</v>
      </c>
      <c r="AA74" s="44">
        <f>'Butadiene Recycling HC'!Z252</f>
        <v>0</v>
      </c>
      <c r="AB74" s="44">
        <f>'Butadiene Recycling HC'!AA252</f>
        <v>0</v>
      </c>
      <c r="AC74" s="44">
        <f>'Butadiene Recycling HC'!AB252</f>
        <v>0</v>
      </c>
      <c r="AD74" s="44">
        <f>'Butadiene Recycling HC'!AC252</f>
        <v>0</v>
      </c>
      <c r="AE74" s="44">
        <f>'Butadiene Recycling HC'!AD252</f>
        <v>0</v>
      </c>
      <c r="AF74" s="44">
        <f>'Butadiene Recycling HC'!AE252</f>
        <v>0</v>
      </c>
      <c r="AG74" s="44">
        <f>'Butadiene Recycling HC'!AF252</f>
        <v>0</v>
      </c>
      <c r="AH74" s="44">
        <f>'Butadiene Recycling HC'!AG252</f>
        <v>0</v>
      </c>
      <c r="AJ74" s="43">
        <f>'Butadiene Recycling LC'!C252</f>
        <v>0</v>
      </c>
      <c r="AK74" s="43">
        <f>'Butadiene Recycling LC'!D252</f>
        <v>0</v>
      </c>
      <c r="AL74" s="43">
        <f>'Butadiene Recycling LC'!E252</f>
        <v>0</v>
      </c>
      <c r="AM74" s="43">
        <f>'Butadiene Recycling LC'!F252</f>
        <v>0</v>
      </c>
      <c r="AN74" s="43">
        <f>'Butadiene Recycling LC'!G252</f>
        <v>0</v>
      </c>
      <c r="AO74" s="43">
        <f>'Butadiene Recycling LC'!H252</f>
        <v>0</v>
      </c>
      <c r="AP74" s="43">
        <f>'Butadiene Recycling LC'!I252</f>
        <v>0</v>
      </c>
      <c r="AQ74" s="43">
        <f>'Butadiene Recycling LC'!J252</f>
        <v>0</v>
      </c>
      <c r="AR74" s="43">
        <f>'Butadiene Recycling LC'!K252</f>
        <v>0</v>
      </c>
      <c r="AS74" s="43">
        <f>'Butadiene Recycling LC'!L252</f>
        <v>0</v>
      </c>
      <c r="AT74" s="43">
        <f>'Butadiene Recycling LC'!M252</f>
        <v>0</v>
      </c>
      <c r="AU74" s="43">
        <f>'Butadiene Recycling LC'!N252</f>
        <v>0</v>
      </c>
      <c r="AV74" s="43">
        <f>'Butadiene Recycling LC'!O252</f>
        <v>0</v>
      </c>
      <c r="AW74" s="43">
        <f>'Butadiene Recycling LC'!P252</f>
        <v>0</v>
      </c>
      <c r="AX74" s="43">
        <f>'Butadiene Recycling LC'!Q252</f>
        <v>0</v>
      </c>
      <c r="AY74" s="43">
        <f>'Butadiene Recycling LC'!R252</f>
        <v>0</v>
      </c>
      <c r="AZ74" s="43">
        <f>'Butadiene Recycling LC'!S252</f>
        <v>0</v>
      </c>
      <c r="BA74" s="43">
        <f>'Butadiene Recycling LC'!T252</f>
        <v>0</v>
      </c>
      <c r="BB74" s="43">
        <f>'Butadiene Recycling LC'!U252</f>
        <v>0</v>
      </c>
      <c r="BC74" s="43">
        <f>'Butadiene Recycling LC'!V252</f>
        <v>0</v>
      </c>
      <c r="BD74" s="43">
        <f>'Butadiene Recycling LC'!W252</f>
        <v>0</v>
      </c>
      <c r="BE74" s="43">
        <f>'Butadiene Recycling LC'!X252</f>
        <v>0</v>
      </c>
      <c r="BF74" s="43">
        <f>'Butadiene Recycling LC'!Y252</f>
        <v>0</v>
      </c>
      <c r="BG74" s="43">
        <f>'Butadiene Recycling LC'!Z252</f>
        <v>0</v>
      </c>
      <c r="BH74" s="43">
        <f>'Butadiene Recycling LC'!AA252</f>
        <v>0</v>
      </c>
      <c r="BI74" s="43">
        <f>'Butadiene Recycling LC'!AB252</f>
        <v>0</v>
      </c>
      <c r="BJ74" s="43">
        <f>'Butadiene Recycling LC'!AC252</f>
        <v>0</v>
      </c>
      <c r="BK74" s="43">
        <f>'Butadiene Recycling LC'!AD252</f>
        <v>0</v>
      </c>
      <c r="BL74" s="43">
        <f>'Butadiene Recycling LC'!AE252</f>
        <v>0</v>
      </c>
      <c r="BM74" s="43">
        <f>'Butadiene Recycling LC'!AF252</f>
        <v>0</v>
      </c>
      <c r="BN74" s="43">
        <f>'Butadiene Recycling LC'!AG252</f>
        <v>0</v>
      </c>
    </row>
    <row r="75" spans="1:67" x14ac:dyDescent="0.2">
      <c r="A75" s="1" t="s">
        <v>231</v>
      </c>
      <c r="C75" s="283" t="s">
        <v>153</v>
      </c>
      <c r="D75" s="44">
        <f>'Butadiene Recycling HC'!C254</f>
        <v>0</v>
      </c>
      <c r="E75" s="44">
        <f>'Butadiene Recycling HC'!D254</f>
        <v>6.1664959236066042E-6</v>
      </c>
      <c r="F75" s="44">
        <f>'Butadiene Recycling HC'!E254</f>
        <v>1.297040460853009E-5</v>
      </c>
      <c r="G75" s="44">
        <f>'Butadiene Recycling HC'!F254</f>
        <v>2.7109617380721362E-5</v>
      </c>
      <c r="H75" s="44">
        <f>'Butadiene Recycling HC'!G254</f>
        <v>5.6252822407677498E-5</v>
      </c>
      <c r="I75" s="44">
        <f>'Butadiene Recycling HC'!H254</f>
        <v>1.1572952877802408E-4</v>
      </c>
      <c r="J75" s="44">
        <f>'Butadiene Recycling HC'!I254</f>
        <v>2.3466961615437252E-4</v>
      </c>
      <c r="K75" s="44">
        <f>'Butadiene Recycling HC'!J254</f>
        <v>4.7061522778275725E-4</v>
      </c>
      <c r="L75" s="44">
        <f>'Butadiene Recycling HC'!K254</f>
        <v>9.3026974874156447E-4</v>
      </c>
      <c r="M75" s="44">
        <f>'Butadiene Recycling HC'!L254</f>
        <v>1.8045669395737205E-3</v>
      </c>
      <c r="N75" s="44">
        <f>'Butadiene Recycling HC'!M254</f>
        <v>0</v>
      </c>
      <c r="O75" s="44">
        <f>'Butadiene Recycling HC'!N254</f>
        <v>6.2566347343687633E-3</v>
      </c>
      <c r="P75" s="44">
        <f>'Butadiene Recycling HC'!O254</f>
        <v>1.1011765050919107E-2</v>
      </c>
      <c r="Q75" s="44">
        <f>'Butadiene Recycling HC'!P254</f>
        <v>1.8470793270351889E-2</v>
      </c>
      <c r="R75" s="44">
        <f>'Butadiene Recycling HC'!Q254</f>
        <v>2.9345211014657084E-2</v>
      </c>
      <c r="S75" s="44">
        <f>'Butadiene Recycling HC'!R254</f>
        <v>4.3966053265649299E-2</v>
      </c>
      <c r="T75" s="44">
        <f>'Butadiene Recycling HC'!S254</f>
        <v>6.2116411177626979E-2</v>
      </c>
      <c r="U75" s="44">
        <f>'Butadiene Recycling HC'!T254</f>
        <v>8.2892442782134021E-2</v>
      </c>
      <c r="V75" s="44">
        <f>'Butadiene Recycling HC'!U254</f>
        <v>0.10498962797814569</v>
      </c>
      <c r="W75" s="44">
        <f>'Butadiene Recycling HC'!V254</f>
        <v>0.12709244617895366</v>
      </c>
      <c r="X75" s="44">
        <f>'Butadiene Recycling HC'!W254</f>
        <v>0</v>
      </c>
      <c r="Y75" s="44">
        <f>'Butadiene Recycling HC'!X254</f>
        <v>0.1676790476032495</v>
      </c>
      <c r="Z75" s="44">
        <f>'Butadiene Recycling HC'!Y254</f>
        <v>0.18572757372749266</v>
      </c>
      <c r="AA75" s="44">
        <f>'Butadiene Recycling HC'!Z254</f>
        <v>0.20274351397087684</v>
      </c>
      <c r="AB75" s="44">
        <f>'Butadiene Recycling HC'!AA254</f>
        <v>0.21936151014596475</v>
      </c>
      <c r="AC75" s="44">
        <f>'Butadiene Recycling HC'!AB254</f>
        <v>0.23664049743855772</v>
      </c>
      <c r="AD75" s="44">
        <f>'Butadiene Recycling HC'!AC254</f>
        <v>0.25585984926702454</v>
      </c>
      <c r="AE75" s="44">
        <f>'Butadiene Recycling HC'!AD254</f>
        <v>0.27880032208777639</v>
      </c>
      <c r="AF75" s="44">
        <f>'Butadiene Recycling HC'!AE254</f>
        <v>0.30715910520310225</v>
      </c>
      <c r="AG75" s="44">
        <f>'Butadiene Recycling HC'!AF254</f>
        <v>0.34215529639484937</v>
      </c>
      <c r="AH75" s="44">
        <f>'Butadiene Recycling HC'!AG254</f>
        <v>0</v>
      </c>
      <c r="AJ75" s="43">
        <f>'Butadiene Recycling LC'!C254</f>
        <v>0</v>
      </c>
      <c r="AK75" s="43">
        <f>'Butadiene Recycling LC'!D254</f>
        <v>6.1672498548664866E-6</v>
      </c>
      <c r="AL75" s="43">
        <f>'Butadiene Recycling LC'!E254</f>
        <v>1.297366824190068E-5</v>
      </c>
      <c r="AM75" s="43">
        <f>'Butadiene Recycling LC'!F254</f>
        <v>2.7120123932512921E-5</v>
      </c>
      <c r="AN75" s="43">
        <f>'Butadiene Recycling LC'!G254</f>
        <v>5.6282613762286485E-5</v>
      </c>
      <c r="AO75" s="43">
        <f>'Butadiene Recycling LC'!H254</f>
        <v>1.1580791302204613E-4</v>
      </c>
      <c r="AP75" s="43">
        <f>'Butadiene Recycling LC'!I254</f>
        <v>2.3559862739281303E-4</v>
      </c>
      <c r="AQ75" s="43">
        <f>'Butadiene Recycling LC'!J254</f>
        <v>4.7410482883724286E-4</v>
      </c>
      <c r="AR75" s="43">
        <f>'Butadiene Recycling LC'!K254</f>
        <v>9.4054253969484605E-4</v>
      </c>
      <c r="AS75" s="43">
        <f>'Butadiene Recycling LC'!L254</f>
        <v>1.8313466473614043E-3</v>
      </c>
      <c r="AT75" s="43">
        <f>'Butadiene Recycling LC'!M254</f>
        <v>0</v>
      </c>
      <c r="AU75" s="43">
        <f>'Butadiene Recycling LC'!N254</f>
        <v>6.4012380483502293E-3</v>
      </c>
      <c r="AV75" s="43">
        <f>'Butadiene Recycling LC'!O254</f>
        <v>1.1315302444141051E-2</v>
      </c>
      <c r="AW75" s="43">
        <f>'Butadiene Recycling LC'!P254</f>
        <v>1.9068342607228637E-2</v>
      </c>
      <c r="AX75" s="43">
        <f>'Butadiene Recycling LC'!Q254</f>
        <v>3.043836883314506E-2</v>
      </c>
      <c r="AY75" s="43">
        <f>'Butadiene Recycling LC'!R254</f>
        <v>4.582447535103007E-2</v>
      </c>
      <c r="AZ75" s="43">
        <f>'Butadiene Recycling LC'!S254</f>
        <v>6.5046423193378097E-2</v>
      </c>
      <c r="BA75" s="43">
        <f>'Butadiene Recycling LC'!T254</f>
        <v>8.7217675571388084E-2</v>
      </c>
      <c r="BB75" s="43">
        <f>'Butadiene Recycling LC'!U254</f>
        <v>0.11100552584042911</v>
      </c>
      <c r="BC75" s="43">
        <f>'Butadiene Recycling LC'!V254</f>
        <v>0.13504030400834438</v>
      </c>
      <c r="BD75" s="43">
        <f>'Butadiene Recycling LC'!W254</f>
        <v>0</v>
      </c>
      <c r="BE75" s="43">
        <f>'Butadiene Recycling LC'!X254</f>
        <v>0.18001149228204383</v>
      </c>
      <c r="BF75" s="43">
        <f>'Butadiene Recycling LC'!Y254</f>
        <v>0.20043199440961024</v>
      </c>
      <c r="BG75" s="43">
        <f>'Butadiene Recycling LC'!Z254</f>
        <v>0.219876315621817</v>
      </c>
      <c r="BH75" s="43">
        <f>'Butadiene Recycling LC'!AA254</f>
        <v>0.23906943120875243</v>
      </c>
      <c r="BI75" s="43">
        <f>'Butadiene Recycling LC'!AB254</f>
        <v>0.25916579552030633</v>
      </c>
      <c r="BJ75" s="43">
        <f>'Butadiene Recycling LC'!AC254</f>
        <v>0.2816611523325665</v>
      </c>
      <c r="BK75" s="43">
        <f>'Butadiene Recycling LC'!AD254</f>
        <v>0.30849978523158084</v>
      </c>
      <c r="BL75" s="43">
        <f>'Butadiene Recycling LC'!AE254</f>
        <v>0.34163607239221594</v>
      </c>
      <c r="BM75" s="43">
        <f>'Butadiene Recycling LC'!AF254</f>
        <v>0.38253007548560114</v>
      </c>
      <c r="BN75" s="43">
        <f>'Butadiene Recycling LC'!AG254</f>
        <v>0</v>
      </c>
    </row>
    <row r="76" spans="1:67" s="104" customFormat="1" x14ac:dyDescent="0.2">
      <c r="A76" s="102" t="s">
        <v>241</v>
      </c>
      <c r="B76" s="102"/>
      <c r="C76" s="103" t="s">
        <v>153</v>
      </c>
      <c r="D76" s="105">
        <f t="shared" ref="D76:AH76" si="89">D73-D74-D75</f>
        <v>14.947368421052632</v>
      </c>
      <c r="E76" s="105">
        <f t="shared" si="89"/>
        <v>15.16744253073994</v>
      </c>
      <c r="F76" s="105">
        <f t="shared" si="89"/>
        <v>15.389761176937062</v>
      </c>
      <c r="G76" s="105">
        <f t="shared" si="89"/>
        <v>15.614617031012363</v>
      </c>
      <c r="H76" s="105">
        <f t="shared" si="89"/>
        <v>15.842330388744434</v>
      </c>
      <c r="I76" s="105">
        <f t="shared" si="89"/>
        <v>16.073239899616141</v>
      </c>
      <c r="J76" s="105">
        <f t="shared" si="89"/>
        <v>16.284279266839278</v>
      </c>
      <c r="K76" s="105">
        <f t="shared" si="89"/>
        <v>16.496826204565565</v>
      </c>
      <c r="L76" s="105">
        <f t="shared" si="89"/>
        <v>16.710800140366754</v>
      </c>
      <c r="M76" s="105">
        <f t="shared" si="89"/>
        <v>16.926039036169009</v>
      </c>
      <c r="N76" s="105">
        <f t="shared" si="89"/>
        <v>17.145668095397166</v>
      </c>
      <c r="O76" s="105">
        <f t="shared" si="89"/>
        <v>17.206567869857583</v>
      </c>
      <c r="P76" s="105">
        <f t="shared" si="89"/>
        <v>17.267987214320954</v>
      </c>
      <c r="Q76" s="105">
        <f t="shared" si="89"/>
        <v>17.33078721729504</v>
      </c>
      <c r="R76" s="105">
        <f t="shared" si="89"/>
        <v>17.390115214018234</v>
      </c>
      <c r="S76" s="105">
        <f t="shared" si="89"/>
        <v>17.445884079320436</v>
      </c>
      <c r="T76" s="105">
        <f t="shared" si="89"/>
        <v>17.312971582121538</v>
      </c>
      <c r="U76" s="105">
        <f t="shared" si="89"/>
        <v>17.172364618874244</v>
      </c>
      <c r="V76" s="105">
        <f t="shared" si="89"/>
        <v>17.025276584622642</v>
      </c>
      <c r="W76" s="105">
        <f t="shared" si="89"/>
        <v>16.87293029747994</v>
      </c>
      <c r="X76" s="105">
        <f t="shared" si="89"/>
        <v>16.864432332244352</v>
      </c>
      <c r="Y76" s="105">
        <f t="shared" si="89"/>
        <v>16.355134956926115</v>
      </c>
      <c r="Z76" s="105">
        <f t="shared" si="89"/>
        <v>15.985439135584036</v>
      </c>
      <c r="AA76" s="105">
        <f t="shared" si="89"/>
        <v>15.623478904969977</v>
      </c>
      <c r="AB76" s="105">
        <f t="shared" si="89"/>
        <v>15.25220059721677</v>
      </c>
      <c r="AC76" s="105">
        <f t="shared" si="89"/>
        <v>14.870367346943304</v>
      </c>
      <c r="AD76" s="105">
        <f t="shared" si="89"/>
        <v>14.464037762945059</v>
      </c>
      <c r="AE76" s="105">
        <f t="shared" si="89"/>
        <v>14.043652117614268</v>
      </c>
      <c r="AF76" s="105">
        <f t="shared" si="89"/>
        <v>13.607324277593836</v>
      </c>
      <c r="AG76" s="105">
        <f t="shared" si="89"/>
        <v>13.153641998791672</v>
      </c>
      <c r="AH76" s="105">
        <f t="shared" si="89"/>
        <v>13.066196717936394</v>
      </c>
      <c r="AI76" s="193"/>
      <c r="AJ76" s="105">
        <f t="shared" ref="AJ76:BN76" si="90">AJ73-AJ74-AJ75</f>
        <v>14.947368421052632</v>
      </c>
      <c r="AK76" s="105">
        <f t="shared" si="90"/>
        <v>15.229458198112054</v>
      </c>
      <c r="AL76" s="105">
        <f t="shared" si="90"/>
        <v>15.516718735908389</v>
      </c>
      <c r="AM76" s="105">
        <f t="shared" si="90"/>
        <v>15.809549893456477</v>
      </c>
      <c r="AN76" s="105">
        <f t="shared" si="90"/>
        <v>16.108382715489856</v>
      </c>
      <c r="AO76" s="105">
        <f t="shared" si="90"/>
        <v>16.413670268741889</v>
      </c>
      <c r="AP76" s="105">
        <f t="shared" si="90"/>
        <v>16.702006207044455</v>
      </c>
      <c r="AQ76" s="105">
        <f t="shared" si="90"/>
        <v>16.995167782497354</v>
      </c>
      <c r="AR76" s="105">
        <f t="shared" si="90"/>
        <v>17.293185501697586</v>
      </c>
      <c r="AS76" s="105">
        <f t="shared" si="90"/>
        <v>17.59600896569766</v>
      </c>
      <c r="AT76" s="105">
        <f t="shared" si="90"/>
        <v>17.906937182609944</v>
      </c>
      <c r="AU76" s="105">
        <f t="shared" si="90"/>
        <v>18.111551000082926</v>
      </c>
      <c r="AV76" s="105">
        <f t="shared" si="90"/>
        <v>18.321547227378669</v>
      </c>
      <c r="AW76" s="105">
        <f t="shared" si="90"/>
        <v>18.537864428385763</v>
      </c>
      <c r="AX76" s="105">
        <f t="shared" si="90"/>
        <v>18.755688244852248</v>
      </c>
      <c r="AY76" s="105">
        <f t="shared" si="90"/>
        <v>18.97500495934942</v>
      </c>
      <c r="AZ76" s="105">
        <f t="shared" si="90"/>
        <v>18.999968559977294</v>
      </c>
      <c r="BA76" s="105">
        <f t="shared" si="90"/>
        <v>19.020793505924086</v>
      </c>
      <c r="BB76" s="105">
        <f t="shared" si="90"/>
        <v>19.038796116262166</v>
      </c>
      <c r="BC76" s="105">
        <f t="shared" si="90"/>
        <v>19.055329401766731</v>
      </c>
      <c r="BD76" s="105">
        <f t="shared" si="90"/>
        <v>19.229698420626878</v>
      </c>
      <c r="BE76" s="105">
        <f t="shared" si="90"/>
        <v>18.977106204753813</v>
      </c>
      <c r="BF76" s="105">
        <f t="shared" si="90"/>
        <v>18.880658546985369</v>
      </c>
      <c r="BG76" s="105">
        <f t="shared" si="90"/>
        <v>18.798712329655785</v>
      </c>
      <c r="BH76" s="105">
        <f t="shared" si="90"/>
        <v>18.714257542607623</v>
      </c>
      <c r="BI76" s="105">
        <f t="shared" si="90"/>
        <v>18.62609818760577</v>
      </c>
      <c r="BJ76" s="105">
        <f t="shared" si="90"/>
        <v>18.518913449153096</v>
      </c>
      <c r="BK76" s="105">
        <f t="shared" si="90"/>
        <v>18.404292217721526</v>
      </c>
      <c r="BL76" s="105">
        <f t="shared" si="90"/>
        <v>18.280231275432055</v>
      </c>
      <c r="BM76" s="105">
        <f t="shared" si="90"/>
        <v>18.145220005478759</v>
      </c>
      <c r="BN76" s="105">
        <f t="shared" si="90"/>
        <v>18.43038786364864</v>
      </c>
    </row>
    <row r="77" spans="1:67" s="426" customFormat="1" x14ac:dyDescent="0.2">
      <c r="A77" s="425" t="s">
        <v>233</v>
      </c>
      <c r="C77" s="429" t="s">
        <v>153</v>
      </c>
      <c r="D77" s="430">
        <f>'Butadiene Recycling HC'!C261</f>
        <v>4.9675667212869898</v>
      </c>
      <c r="E77" s="430">
        <f>'Butadiene Recycling HC'!D261</f>
        <v>5.1164327797512037</v>
      </c>
      <c r="F77" s="430">
        <f>'Butadiene Recycling HC'!E261</f>
        <v>5.2558990978180073</v>
      </c>
      <c r="G77" s="430">
        <f>'Butadiene Recycling HC'!F261</f>
        <v>5.3849744173494418</v>
      </c>
      <c r="H77" s="430">
        <f>'Butadiene Recycling HC'!G261</f>
        <v>5.5027255500086802</v>
      </c>
      <c r="I77" s="430">
        <f>'Butadiene Recycling HC'!H261</f>
        <v>5.6082886268600785</v>
      </c>
      <c r="J77" s="430">
        <f>'Butadiene Recycling HC'!I261</f>
        <v>5.6891964910985848</v>
      </c>
      <c r="K77" s="430">
        <f>'Butadiene Recycling HC'!J261</f>
        <v>5.7680408929585107</v>
      </c>
      <c r="L77" s="430">
        <f>'Butadiene Recycling HC'!K261</f>
        <v>5.8446894725620542</v>
      </c>
      <c r="M77" s="430">
        <f>'Butadiene Recycling HC'!L261</f>
        <v>5.9190108384404398</v>
      </c>
      <c r="N77" s="430">
        <f>'Butadiene Recycling HC'!M261</f>
        <v>5.990874879815701</v>
      </c>
      <c r="O77" s="430">
        <f>'Butadiene Recycling HC'!N261</f>
        <v>6.0490920236999255</v>
      </c>
      <c r="P77" s="430">
        <f>'Butadiene Recycling HC'!O261</f>
        <v>6.0963848863309469</v>
      </c>
      <c r="Q77" s="430">
        <f>'Butadiene Recycling HC'!P261</f>
        <v>6.1175250151270975</v>
      </c>
      <c r="R77" s="430">
        <f>'Butadiene Recycling HC'!Q261</f>
        <v>6.1264077767563441</v>
      </c>
      <c r="S77" s="430">
        <f>'Butadiene Recycling HC'!R261</f>
        <v>6.1229415046989262</v>
      </c>
      <c r="T77" s="430">
        <f>'Butadiene Recycling HC'!S261</f>
        <v>6.1197424010882777</v>
      </c>
      <c r="U77" s="430">
        <f>'Butadiene Recycling HC'!T261</f>
        <v>6.1152164820543726</v>
      </c>
      <c r="V77" s="430">
        <f>'Butadiene Recycling HC'!U261</f>
        <v>6.1093524880762038</v>
      </c>
      <c r="W77" s="430">
        <f>'Butadiene Recycling HC'!V261</f>
        <v>6.1021396499312441</v>
      </c>
      <c r="X77" s="430">
        <f>'Butadiene Recycling HC'!W261</f>
        <v>6.0935677000102135</v>
      </c>
      <c r="Y77" s="430">
        <f>'Butadiene Recycling HC'!X261</f>
        <v>6.0805354944485686</v>
      </c>
      <c r="Z77" s="430">
        <f>'Butadiene Recycling HC'!Y261</f>
        <v>6.0691631720833605</v>
      </c>
      <c r="AA77" s="430">
        <f>'Butadiene Recycling HC'!Z261</f>
        <v>6.0315917995775958</v>
      </c>
      <c r="AB77" s="430">
        <f>'Butadiene Recycling HC'!AA261</f>
        <v>5.9930897901956914</v>
      </c>
      <c r="AC77" s="430">
        <f>'Butadiene Recycling HC'!AB261</f>
        <v>5.953675375723412</v>
      </c>
      <c r="AD77" s="430">
        <f>'Butadiene Recycling HC'!AC261</f>
        <v>5.9116482854602364</v>
      </c>
      <c r="AE77" s="430">
        <f>'Butadiene Recycling HC'!AD261</f>
        <v>5.868752852150239</v>
      </c>
      <c r="AF77" s="430">
        <f>'Butadiene Recycling HC'!AE261</f>
        <v>5.8250076464765037</v>
      </c>
      <c r="AG77" s="430">
        <f>'Butadiene Recycling HC'!AF261</f>
        <v>5.7804318261487628</v>
      </c>
      <c r="AH77" s="430">
        <f>'Butadiene Recycling HC'!AG261</f>
        <v>5.7350451293008797</v>
      </c>
      <c r="AI77" s="101"/>
      <c r="AJ77" s="430">
        <f>'Butadiene Recycling LC'!C261</f>
        <v>4.9675667212869898</v>
      </c>
      <c r="AK77" s="430">
        <f>'Butadiene Recycling LC'!D261</f>
        <v>5.1168923573482461</v>
      </c>
      <c r="AL77" s="430">
        <f>'Butadiene Recycling LC'!E261</f>
        <v>5.256851071636035</v>
      </c>
      <c r="AM77" s="430">
        <f>'Butadiene Recycling LC'!F261</f>
        <v>5.3864494673698449</v>
      </c>
      <c r="AN77" s="430">
        <f>'Butadiene Recycling LC'!G261</f>
        <v>5.5047517912294133</v>
      </c>
      <c r="AO77" s="430">
        <f>'Butadiene Recycling LC'!H261</f>
        <v>5.6108911994763586</v>
      </c>
      <c r="AP77" s="430">
        <f>'Butadiene Recycling LC'!I261</f>
        <v>5.70439536596301</v>
      </c>
      <c r="AQ77" s="430">
        <f>'Butadiene Recycling LC'!J261</f>
        <v>5.7965022136805597</v>
      </c>
      <c r="AR77" s="430">
        <f>'Butadiene Recycling LC'!K261</f>
        <v>5.8870869396513736</v>
      </c>
      <c r="AS77" s="430">
        <f>'Butadiene Recycling LC'!L261</f>
        <v>5.9760246542557995</v>
      </c>
      <c r="AT77" s="430">
        <f>'Butadiene Recycling LC'!M261</f>
        <v>6.0631906410058569</v>
      </c>
      <c r="AU77" s="430">
        <f>'Butadiene Recycling LC'!N261</f>
        <v>6.1378946776542911</v>
      </c>
      <c r="AV77" s="430">
        <f>'Butadiene Recycling LC'!O261</f>
        <v>6.2020882257120853</v>
      </c>
      <c r="AW77" s="430">
        <f>'Butadiene Recycling LC'!P261</f>
        <v>6.2472806532342764</v>
      </c>
      <c r="AX77" s="430">
        <f>'Butadiene Recycling LC'!Q261</f>
        <v>6.2805432463449371</v>
      </c>
      <c r="AY77" s="430">
        <f>'Butadiene Recycling LC'!R261</f>
        <v>6.3016534823758494</v>
      </c>
      <c r="AZ77" s="430">
        <f>'Butadiene Recycling LC'!S261</f>
        <v>6.3226434362070139</v>
      </c>
      <c r="BA77" s="430">
        <f>'Butadiene Recycling LC'!T261</f>
        <v>6.3427078159489714</v>
      </c>
      <c r="BB77" s="430">
        <f>'Butadiene Recycling LC'!U261</f>
        <v>6.3618327136522925</v>
      </c>
      <c r="BC77" s="430">
        <f>'Butadiene Recycling LC'!V261</f>
        <v>6.3800044927691655</v>
      </c>
      <c r="BD77" s="430">
        <f>'Butadiene Recycling LC'!W261</f>
        <v>6.3972097983296177</v>
      </c>
      <c r="BE77" s="430">
        <f>'Butadiene Recycling LC'!X261</f>
        <v>6.4107790218832506</v>
      </c>
      <c r="BF77" s="430">
        <f>'Butadiene Recycling LC'!Y261</f>
        <v>6.4260127771239084</v>
      </c>
      <c r="BG77" s="430">
        <f>'Butadiene Recycling LC'!Z261</f>
        <v>6.4278732711124471</v>
      </c>
      <c r="BH77" s="430">
        <f>'Butadiene Recycling LC'!AA261</f>
        <v>6.4289873639943291</v>
      </c>
      <c r="BI77" s="430">
        <f>'Butadiene Recycling LC'!AB261</f>
        <v>6.4293568595010973</v>
      </c>
      <c r="BJ77" s="430">
        <f>'Butadiene Recycling LC'!AC261</f>
        <v>6.4281571761599432</v>
      </c>
      <c r="BK77" s="430">
        <f>'Butadiene Recycling LC'!AD261</f>
        <v>6.4262538452093221</v>
      </c>
      <c r="BL77" s="430">
        <f>'Butadiene Recycling LC'!AE261</f>
        <v>6.4236495468380692</v>
      </c>
      <c r="BM77" s="430">
        <f>'Butadiene Recycling LC'!AF261</f>
        <v>6.4203472878475853</v>
      </c>
      <c r="BN77" s="430">
        <f>'Butadiene Recycling LC'!AG261</f>
        <v>6.41635040148212</v>
      </c>
    </row>
    <row r="78" spans="1:67" s="428" customFormat="1" x14ac:dyDescent="0.2">
      <c r="A78" s="427" t="s">
        <v>234</v>
      </c>
      <c r="C78" s="431" t="s">
        <v>153</v>
      </c>
      <c r="D78" s="432">
        <f>'Butadiene Recycling HC'!C262</f>
        <v>4.9675667212869898</v>
      </c>
      <c r="E78" s="432">
        <f>'Butadiene Recycling HC'!D262</f>
        <v>5.1164327797512037</v>
      </c>
      <c r="F78" s="432">
        <f>'Butadiene Recycling HC'!E262</f>
        <v>5.2558990978180073</v>
      </c>
      <c r="G78" s="432">
        <f>'Butadiene Recycling HC'!F262</f>
        <v>5.3849744173494418</v>
      </c>
      <c r="H78" s="432">
        <f>'Butadiene Recycling HC'!G262</f>
        <v>5.5027255500086802</v>
      </c>
      <c r="I78" s="432">
        <f>'Butadiene Recycling HC'!H262</f>
        <v>5.6082886268600785</v>
      </c>
      <c r="J78" s="432">
        <f>'Butadiene Recycling HC'!I262</f>
        <v>5.6891964910985848</v>
      </c>
      <c r="K78" s="432">
        <f>'Butadiene Recycling HC'!J262</f>
        <v>5.7680408929585107</v>
      </c>
      <c r="L78" s="432">
        <f>'Butadiene Recycling HC'!K262</f>
        <v>5.8446894725620542</v>
      </c>
      <c r="M78" s="432">
        <f>'Butadiene Recycling HC'!L262</f>
        <v>5.9190108384404398</v>
      </c>
      <c r="N78" s="432">
        <f>'Butadiene Recycling HC'!M262</f>
        <v>5.990874879815701</v>
      </c>
      <c r="O78" s="432">
        <f>'Butadiene Recycling HC'!N262</f>
        <v>6.0490920236999255</v>
      </c>
      <c r="P78" s="432">
        <f>'Butadiene Recycling HC'!O262</f>
        <v>6.0963848863309469</v>
      </c>
      <c r="Q78" s="432">
        <f>'Butadiene Recycling HC'!P262</f>
        <v>6.1175250151270975</v>
      </c>
      <c r="R78" s="432">
        <f>'Butadiene Recycling HC'!Q262</f>
        <v>6.1264077767563441</v>
      </c>
      <c r="S78" s="432">
        <f>'Butadiene Recycling HC'!R262</f>
        <v>6.1229415046989262</v>
      </c>
      <c r="T78" s="432">
        <f>'Butadiene Recycling HC'!S262</f>
        <v>6.1197424010882777</v>
      </c>
      <c r="U78" s="432">
        <f>'Butadiene Recycling HC'!T262</f>
        <v>6.1152164820543726</v>
      </c>
      <c r="V78" s="432">
        <f>'Butadiene Recycling HC'!U262</f>
        <v>6.1093524880762038</v>
      </c>
      <c r="W78" s="432">
        <f>'Butadiene Recycling HC'!V262</f>
        <v>6.1021396499312441</v>
      </c>
      <c r="X78" s="432">
        <f>'Butadiene Recycling HC'!W262</f>
        <v>6.0935677000102135</v>
      </c>
      <c r="Y78" s="432">
        <f>'Butadiene Recycling HC'!X262</f>
        <v>6.0805354944485686</v>
      </c>
      <c r="Z78" s="432">
        <f>'Butadiene Recycling HC'!Y262</f>
        <v>6.0691631720833605</v>
      </c>
      <c r="AA78" s="432">
        <f>'Butadiene Recycling HC'!Z262</f>
        <v>6.0315917995775958</v>
      </c>
      <c r="AB78" s="432">
        <f>'Butadiene Recycling HC'!AA262</f>
        <v>5.9930897901956914</v>
      </c>
      <c r="AC78" s="432">
        <f>'Butadiene Recycling HC'!AB262</f>
        <v>5.953675375723412</v>
      </c>
      <c r="AD78" s="432">
        <f>'Butadiene Recycling HC'!AC262</f>
        <v>5.9116482854602364</v>
      </c>
      <c r="AE78" s="432">
        <f>'Butadiene Recycling HC'!AD262</f>
        <v>5.868752852150239</v>
      </c>
      <c r="AF78" s="432">
        <f>'Butadiene Recycling HC'!AE262</f>
        <v>5.8250076464765037</v>
      </c>
      <c r="AG78" s="432">
        <f>'Butadiene Recycling HC'!AF262</f>
        <v>5.7804318261487628</v>
      </c>
      <c r="AH78" s="432">
        <f>'Butadiene Recycling HC'!AG262</f>
        <v>5.7350451293008797</v>
      </c>
      <c r="AI78" s="64"/>
      <c r="AJ78" s="432">
        <f>'Butadiene Recycling LC'!C262</f>
        <v>4.9675667212869898</v>
      </c>
      <c r="AK78" s="432">
        <f>'Butadiene Recycling LC'!D262</f>
        <v>5.1168923573482461</v>
      </c>
      <c r="AL78" s="432">
        <f>'Butadiene Recycling LC'!E262</f>
        <v>5.256851071636035</v>
      </c>
      <c r="AM78" s="432">
        <f>'Butadiene Recycling LC'!F262</f>
        <v>5.3864494673698449</v>
      </c>
      <c r="AN78" s="432">
        <f>'Butadiene Recycling LC'!G262</f>
        <v>5.5047517912294133</v>
      </c>
      <c r="AO78" s="432">
        <f>'Butadiene Recycling LC'!H262</f>
        <v>5.6108911994763586</v>
      </c>
      <c r="AP78" s="432">
        <f>'Butadiene Recycling LC'!I262</f>
        <v>5.70439536596301</v>
      </c>
      <c r="AQ78" s="432">
        <f>'Butadiene Recycling LC'!J262</f>
        <v>5.7965022136805597</v>
      </c>
      <c r="AR78" s="432">
        <f>'Butadiene Recycling LC'!K262</f>
        <v>5.8870869396513736</v>
      </c>
      <c r="AS78" s="432">
        <f>'Butadiene Recycling LC'!L262</f>
        <v>5.9760246542557995</v>
      </c>
      <c r="AT78" s="432">
        <f>'Butadiene Recycling LC'!M262</f>
        <v>6.0631906410058569</v>
      </c>
      <c r="AU78" s="432">
        <f>'Butadiene Recycling LC'!N262</f>
        <v>6.1378946776542911</v>
      </c>
      <c r="AV78" s="432">
        <f>'Butadiene Recycling LC'!O262</f>
        <v>6.2020882257120853</v>
      </c>
      <c r="AW78" s="432">
        <f>'Butadiene Recycling LC'!P262</f>
        <v>6.2472806532342764</v>
      </c>
      <c r="AX78" s="432">
        <f>'Butadiene Recycling LC'!Q262</f>
        <v>6.2805432463449371</v>
      </c>
      <c r="AY78" s="432">
        <f>'Butadiene Recycling LC'!R262</f>
        <v>6.3016534823758494</v>
      </c>
      <c r="AZ78" s="432">
        <f>'Butadiene Recycling LC'!S262</f>
        <v>6.3226434362070139</v>
      </c>
      <c r="BA78" s="432">
        <f>'Butadiene Recycling LC'!T262</f>
        <v>6.3427078159489714</v>
      </c>
      <c r="BB78" s="432">
        <f>'Butadiene Recycling LC'!U262</f>
        <v>6.3618327136522925</v>
      </c>
      <c r="BC78" s="432">
        <f>'Butadiene Recycling LC'!V262</f>
        <v>6.3800044927691655</v>
      </c>
      <c r="BD78" s="432">
        <f>'Butadiene Recycling LC'!W262</f>
        <v>6.3972097983296177</v>
      </c>
      <c r="BE78" s="432">
        <f>'Butadiene Recycling LC'!X262</f>
        <v>6.4107790218832506</v>
      </c>
      <c r="BF78" s="432">
        <f>'Butadiene Recycling LC'!Y262</f>
        <v>6.4260127771239084</v>
      </c>
      <c r="BG78" s="432">
        <f>'Butadiene Recycling LC'!Z262</f>
        <v>6.4278732711124471</v>
      </c>
      <c r="BH78" s="432">
        <f>'Butadiene Recycling LC'!AA262</f>
        <v>6.4289873639943291</v>
      </c>
      <c r="BI78" s="432">
        <f>'Butadiene Recycling LC'!AB262</f>
        <v>6.4293568595010973</v>
      </c>
      <c r="BJ78" s="432">
        <f>'Butadiene Recycling LC'!AC262</f>
        <v>6.4281571761599432</v>
      </c>
      <c r="BK78" s="432">
        <f>'Butadiene Recycling LC'!AD262</f>
        <v>6.4262538452093221</v>
      </c>
      <c r="BL78" s="432">
        <f>'Butadiene Recycling LC'!AE262</f>
        <v>6.4236495468380692</v>
      </c>
      <c r="BM78" s="432">
        <f>'Butadiene Recycling LC'!AF262</f>
        <v>6.4203472878475853</v>
      </c>
      <c r="BN78" s="432">
        <f>'Butadiene Recycling LC'!AG262</f>
        <v>6.41635040148212</v>
      </c>
    </row>
  </sheetData>
  <mergeCells count="2">
    <mergeCell ref="D1:AH1"/>
    <mergeCell ref="AJ1:BN1"/>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48E91-F1E2-4555-A624-59109D0309BA}">
  <sheetPr>
    <tabColor theme="9"/>
  </sheetPr>
  <dimension ref="A1:CK128"/>
  <sheetViews>
    <sheetView zoomScale="85" zoomScaleNormal="85" workbookViewId="0">
      <pane xSplit="3" ySplit="3" topLeftCell="D100" activePane="bottomRight" state="frozen"/>
      <selection pane="topRight" activeCell="D1" sqref="D1"/>
      <selection pane="bottomLeft" activeCell="A4" sqref="A4"/>
      <selection pane="bottomRight" activeCell="D49" sqref="D49"/>
    </sheetView>
  </sheetViews>
  <sheetFormatPr baseColWidth="10" defaultColWidth="8.83203125" defaultRowHeight="15" outlineLevelRow="1" outlineLevelCol="1" x14ac:dyDescent="0.2"/>
  <cols>
    <col min="1" max="1" width="42.5" style="1" customWidth="1"/>
    <col min="2" max="2" width="26.5" style="1" customWidth="1"/>
    <col min="3" max="3" width="10.83203125" customWidth="1"/>
    <col min="4" max="4" width="18.83203125" customWidth="1"/>
    <col min="5" max="6" width="8.83203125" hidden="1" customWidth="1" outlineLevel="1"/>
    <col min="7" max="7" width="11.1640625" hidden="1" customWidth="1" outlineLevel="1"/>
    <col min="8" max="8" width="8.83203125" hidden="1" customWidth="1" outlineLevel="1"/>
    <col min="9" max="9" width="9.5" hidden="1" customWidth="1" outlineLevel="1"/>
    <col min="10" max="13" width="8.83203125" hidden="1" customWidth="1" outlineLevel="1"/>
    <col min="14" max="14" width="8.83203125" customWidth="1" collapsed="1"/>
    <col min="15" max="15" width="11.5" hidden="1" customWidth="1" outlineLevel="1"/>
    <col min="16" max="23" width="8.83203125" hidden="1" customWidth="1" outlineLevel="1"/>
    <col min="24" max="24" width="8.6640625" collapsed="1"/>
    <col min="25" max="25" width="7.1640625" hidden="1" customWidth="1" outlineLevel="1"/>
    <col min="26" max="33" width="8.83203125" hidden="1" customWidth="1" outlineLevel="1"/>
    <col min="34" max="34" width="8.6640625" collapsed="1"/>
    <col min="36" max="36" width="18.83203125" customWidth="1"/>
    <col min="37" max="38" width="8.83203125" hidden="1" customWidth="1" outlineLevel="1"/>
    <col min="39" max="39" width="11.1640625" hidden="1" customWidth="1" outlineLevel="1"/>
    <col min="40" max="40" width="8.83203125" hidden="1" customWidth="1" outlineLevel="1"/>
    <col min="41" max="41" width="9.5" hidden="1" customWidth="1" outlineLevel="1"/>
    <col min="42" max="45" width="8.83203125" hidden="1" customWidth="1" outlineLevel="1"/>
    <col min="46" max="46" width="8.83203125" customWidth="1" collapsed="1"/>
    <col min="47" max="47" width="11.5" hidden="1" customWidth="1" outlineLevel="1"/>
    <col min="48" max="55" width="8.83203125" hidden="1" customWidth="1" outlineLevel="1"/>
    <col min="56" max="56" width="11.5" bestFit="1" customWidth="1" collapsed="1"/>
    <col min="57" max="57" width="7.1640625" hidden="1" customWidth="1" outlineLevel="1"/>
    <col min="58" max="65" width="8.83203125" hidden="1" customWidth="1" outlineLevel="1"/>
    <col min="66" max="66" width="11.33203125" bestFit="1" customWidth="1" collapsed="1"/>
    <col min="67" max="67" width="8.83203125" customWidth="1"/>
    <col min="68" max="68" width="8.83203125" bestFit="1" customWidth="1"/>
    <col min="69" max="69" width="27" customWidth="1"/>
    <col min="70" max="70" width="37.5" bestFit="1" customWidth="1"/>
    <col min="71" max="97" width="8.83203125" bestFit="1" customWidth="1"/>
  </cols>
  <sheetData>
    <row r="1" spans="1:89" x14ac:dyDescent="0.2">
      <c r="D1" s="684" t="s">
        <v>64</v>
      </c>
      <c r="E1" s="684"/>
      <c r="F1" s="684"/>
      <c r="G1" s="684"/>
      <c r="H1" s="684"/>
      <c r="I1" s="684"/>
      <c r="J1" s="684"/>
      <c r="K1" s="684"/>
      <c r="L1" s="684"/>
      <c r="M1" s="684"/>
      <c r="N1" s="684"/>
      <c r="O1" s="684"/>
      <c r="P1" s="684"/>
      <c r="Q1" s="684"/>
      <c r="R1" s="684"/>
      <c r="S1" s="684"/>
      <c r="T1" s="684"/>
      <c r="U1" s="684"/>
      <c r="V1" s="684"/>
      <c r="W1" s="684"/>
      <c r="X1" s="684"/>
      <c r="Y1" s="684"/>
      <c r="Z1" s="684"/>
      <c r="AA1" s="684"/>
      <c r="AB1" s="684"/>
      <c r="AC1" s="684"/>
      <c r="AD1" s="684"/>
      <c r="AE1" s="684"/>
      <c r="AF1" s="684"/>
      <c r="AG1" s="684"/>
      <c r="AH1" s="684"/>
      <c r="AJ1" s="684" t="s">
        <v>65</v>
      </c>
      <c r="AK1" s="684"/>
      <c r="AL1" s="684"/>
      <c r="AM1" s="684"/>
      <c r="AN1" s="684"/>
      <c r="AO1" s="684"/>
      <c r="AP1" s="684"/>
      <c r="AQ1" s="684"/>
      <c r="AR1" s="684"/>
      <c r="AS1" s="684"/>
      <c r="AT1" s="684"/>
      <c r="AU1" s="684"/>
      <c r="AV1" s="684"/>
      <c r="AW1" s="684"/>
      <c r="AX1" s="684"/>
      <c r="AY1" s="684"/>
      <c r="AZ1" s="684"/>
      <c r="BA1" s="684"/>
      <c r="BB1" s="684"/>
      <c r="BC1" s="684"/>
      <c r="BD1" s="684"/>
      <c r="BE1" s="684"/>
      <c r="BF1" s="684"/>
      <c r="BG1" s="684"/>
      <c r="BH1" s="684"/>
      <c r="BI1" s="684"/>
      <c r="BJ1" s="684"/>
      <c r="BK1" s="684"/>
      <c r="BL1" s="684"/>
      <c r="BM1" s="684"/>
      <c r="BN1" s="684"/>
    </row>
    <row r="2" spans="1:89" s="53" customFormat="1" x14ac:dyDescent="0.2">
      <c r="A2" s="52" t="s">
        <v>6</v>
      </c>
      <c r="B2" s="52"/>
      <c r="C2" s="52"/>
    </row>
    <row r="3" spans="1:89" s="1" customFormat="1" x14ac:dyDescent="0.2">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c r="AJ3" s="1">
        <v>2020</v>
      </c>
      <c r="AK3" s="1">
        <f>AJ3+1</f>
        <v>2021</v>
      </c>
      <c r="AL3" s="1">
        <f t="shared" ref="AL3" si="1">AK3+1</f>
        <v>2022</v>
      </c>
      <c r="AM3" s="1">
        <f t="shared" ref="AM3" si="2">AL3+1</f>
        <v>2023</v>
      </c>
      <c r="AN3" s="1">
        <f t="shared" ref="AN3" si="3">AM3+1</f>
        <v>2024</v>
      </c>
      <c r="AO3" s="1">
        <f t="shared" ref="AO3" si="4">AN3+1</f>
        <v>2025</v>
      </c>
      <c r="AP3" s="1">
        <f t="shared" ref="AP3" si="5">AO3+1</f>
        <v>2026</v>
      </c>
      <c r="AQ3" s="1">
        <f t="shared" ref="AQ3" si="6">AP3+1</f>
        <v>2027</v>
      </c>
      <c r="AR3" s="1">
        <f t="shared" ref="AR3" si="7">AQ3+1</f>
        <v>2028</v>
      </c>
      <c r="AS3" s="1">
        <f t="shared" ref="AS3" si="8">AR3+1</f>
        <v>2029</v>
      </c>
      <c r="AT3" s="1">
        <f t="shared" ref="AT3" si="9">AS3+1</f>
        <v>2030</v>
      </c>
      <c r="AU3" s="1">
        <f t="shared" ref="AU3" si="10">AT3+1</f>
        <v>2031</v>
      </c>
      <c r="AV3" s="1">
        <f t="shared" ref="AV3" si="11">AU3+1</f>
        <v>2032</v>
      </c>
      <c r="AW3" s="1">
        <f t="shared" ref="AW3" si="12">AV3+1</f>
        <v>2033</v>
      </c>
      <c r="AX3" s="1">
        <f>AW3+1</f>
        <v>2034</v>
      </c>
      <c r="AY3" s="1">
        <f t="shared" ref="AY3" si="13">AX3+1</f>
        <v>2035</v>
      </c>
      <c r="AZ3" s="1">
        <f t="shared" ref="AZ3" si="14">AY3+1</f>
        <v>2036</v>
      </c>
      <c r="BA3" s="1">
        <f t="shared" ref="BA3" si="15">AZ3+1</f>
        <v>2037</v>
      </c>
      <c r="BB3" s="1">
        <f t="shared" ref="BB3" si="16">BA3+1</f>
        <v>2038</v>
      </c>
      <c r="BC3" s="1">
        <f t="shared" ref="BC3" si="17">BB3+1</f>
        <v>2039</v>
      </c>
      <c r="BD3" s="1">
        <f t="shared" ref="BD3" si="18">BC3+1</f>
        <v>2040</v>
      </c>
      <c r="BE3" s="1">
        <f t="shared" ref="BE3" si="19">BD3+1</f>
        <v>2041</v>
      </c>
      <c r="BF3" s="1">
        <f t="shared" ref="BF3" si="20">BE3+1</f>
        <v>2042</v>
      </c>
      <c r="BG3" s="1">
        <f t="shared" ref="BG3" si="21">BF3+1</f>
        <v>2043</v>
      </c>
      <c r="BH3" s="1">
        <f t="shared" ref="BH3" si="22">BG3+1</f>
        <v>2044</v>
      </c>
      <c r="BI3" s="1">
        <f>BH3+1</f>
        <v>2045</v>
      </c>
      <c r="BJ3" s="1">
        <f t="shared" ref="BJ3" si="23">BI3+1</f>
        <v>2046</v>
      </c>
      <c r="BK3" s="1">
        <f t="shared" ref="BK3" si="24">BJ3+1</f>
        <v>2047</v>
      </c>
      <c r="BL3" s="1">
        <f t="shared" ref="BL3" si="25">BK3+1</f>
        <v>2048</v>
      </c>
      <c r="BM3" s="1">
        <f>BL3+1</f>
        <v>2049</v>
      </c>
      <c r="BN3" s="1">
        <f t="shared" ref="BN3" si="26">BM3+1</f>
        <v>2050</v>
      </c>
    </row>
    <row r="4" spans="1:89" s="67" customFormat="1" x14ac:dyDescent="0.2">
      <c r="A4" s="518" t="s">
        <v>242</v>
      </c>
      <c r="B4" s="58"/>
      <c r="C4" s="59" t="s">
        <v>153</v>
      </c>
      <c r="D4" s="60">
        <f>'Yearly Demand - Methanol'!G10</f>
        <v>102.16223893794903</v>
      </c>
      <c r="E4" s="67">
        <f>$D4+($N4-$D4)/($N$3-$D$3)*(E$3-$D$3)</f>
        <v>106.84601504415413</v>
      </c>
      <c r="F4" s="67">
        <f t="shared" ref="F4:M4" si="27">$D4+($N4-$D4)/($N$3-$D$3)*(F$3-$D$3)</f>
        <v>111.52979115035922</v>
      </c>
      <c r="G4" s="67">
        <f t="shared" si="27"/>
        <v>116.21356725656432</v>
      </c>
      <c r="H4" s="67">
        <f t="shared" si="27"/>
        <v>120.89734336276942</v>
      </c>
      <c r="I4" s="67">
        <f t="shared" si="27"/>
        <v>125.58111946897452</v>
      </c>
      <c r="J4" s="67">
        <f t="shared" si="27"/>
        <v>130.26489557517959</v>
      </c>
      <c r="K4" s="67">
        <f t="shared" si="27"/>
        <v>134.94867168138472</v>
      </c>
      <c r="L4" s="67">
        <f t="shared" si="27"/>
        <v>139.6324477875898</v>
      </c>
      <c r="M4" s="67">
        <f t="shared" si="27"/>
        <v>144.3162238937949</v>
      </c>
      <c r="N4" s="60">
        <f>'Yearly Demand - Methanol'!J10</f>
        <v>149</v>
      </c>
      <c r="O4" s="60">
        <f>$N$4+($S$4-$N$4)/($S$3-$N$3)*(O3-$N$3)</f>
        <v>151</v>
      </c>
      <c r="P4" s="60">
        <f t="shared" ref="P4:R4" si="28">$N$4+($S$4-$N$4)/($S$3-$N$3)*(P3-$N$3)</f>
        <v>153</v>
      </c>
      <c r="Q4" s="60">
        <f t="shared" si="28"/>
        <v>155</v>
      </c>
      <c r="R4" s="60">
        <f t="shared" si="28"/>
        <v>157</v>
      </c>
      <c r="S4" s="60">
        <f>'Yearly Demand - Methanol'!K10</f>
        <v>159</v>
      </c>
      <c r="T4" s="60">
        <f>$S$4+($X$4-$S$4)/($X$3-$S$3)*(T3-$S$3)</f>
        <v>160.80000000000001</v>
      </c>
      <c r="U4" s="60">
        <f t="shared" ref="U4:W4" si="29">$S$4+($X$4-$S$4)/($X$3-$S$3)*(U3-$S$3)</f>
        <v>162.6</v>
      </c>
      <c r="V4" s="60">
        <f t="shared" si="29"/>
        <v>164.4</v>
      </c>
      <c r="W4" s="60">
        <f t="shared" si="29"/>
        <v>166.2</v>
      </c>
      <c r="X4" s="60">
        <f>'Yearly Demand - Methanol'!L10</f>
        <v>168</v>
      </c>
      <c r="Y4" s="60">
        <f>$X$4+($AC$4-$X$4)/($AC$3-$X$3)*(Y3-$X$3)</f>
        <v>169.4</v>
      </c>
      <c r="Z4" s="60">
        <f t="shared" ref="Z4:AB4" si="30">$X$4+($AC$4-$X$4)/($AC$3-$X$3)*(Z3-$X$3)</f>
        <v>170.8</v>
      </c>
      <c r="AA4" s="60">
        <f t="shared" si="30"/>
        <v>172.2</v>
      </c>
      <c r="AB4" s="60">
        <f t="shared" si="30"/>
        <v>173.6</v>
      </c>
      <c r="AC4" s="60">
        <f>'Yearly Demand - Methanol'!M10</f>
        <v>175</v>
      </c>
      <c r="AD4" s="60">
        <f>$AC$4+($AH$4-$AC$4)/($AH$3-$AC$3)*(AD3-$AC$3)</f>
        <v>176.4</v>
      </c>
      <c r="AE4" s="60">
        <f t="shared" ref="AE4:AG4" si="31">$AC$4+($AH$4-$AC$4)/($AH$3-$AC$3)*(AE3-$AC$3)</f>
        <v>177.8</v>
      </c>
      <c r="AF4" s="60">
        <f t="shared" si="31"/>
        <v>179.2</v>
      </c>
      <c r="AG4" s="60">
        <f t="shared" si="31"/>
        <v>180.6</v>
      </c>
      <c r="AH4" s="60">
        <f>'Yearly Demand - Methanol'!N10</f>
        <v>182</v>
      </c>
      <c r="AJ4" s="60">
        <f>D4</f>
        <v>102.16223893794903</v>
      </c>
      <c r="AK4" s="60">
        <f t="shared" ref="AK4:BN4" si="32">E4</f>
        <v>106.84601504415413</v>
      </c>
      <c r="AL4" s="60">
        <f t="shared" si="32"/>
        <v>111.52979115035922</v>
      </c>
      <c r="AM4" s="60">
        <f t="shared" si="32"/>
        <v>116.21356725656432</v>
      </c>
      <c r="AN4" s="60">
        <f t="shared" si="32"/>
        <v>120.89734336276942</v>
      </c>
      <c r="AO4" s="60">
        <f t="shared" si="32"/>
        <v>125.58111946897452</v>
      </c>
      <c r="AP4" s="60">
        <f t="shared" si="32"/>
        <v>130.26489557517959</v>
      </c>
      <c r="AQ4" s="60">
        <f t="shared" si="32"/>
        <v>134.94867168138472</v>
      </c>
      <c r="AR4" s="60">
        <f t="shared" si="32"/>
        <v>139.6324477875898</v>
      </c>
      <c r="AS4" s="60">
        <f t="shared" si="32"/>
        <v>144.3162238937949</v>
      </c>
      <c r="AT4" s="60">
        <f t="shared" si="32"/>
        <v>149</v>
      </c>
      <c r="AU4" s="60">
        <f t="shared" si="32"/>
        <v>151</v>
      </c>
      <c r="AV4" s="60">
        <f t="shared" si="32"/>
        <v>153</v>
      </c>
      <c r="AW4" s="60">
        <f t="shared" si="32"/>
        <v>155</v>
      </c>
      <c r="AX4" s="60">
        <f t="shared" si="32"/>
        <v>157</v>
      </c>
      <c r="AY4" s="60">
        <f t="shared" si="32"/>
        <v>159</v>
      </c>
      <c r="AZ4" s="60">
        <f t="shared" si="32"/>
        <v>160.80000000000001</v>
      </c>
      <c r="BA4" s="60">
        <f t="shared" si="32"/>
        <v>162.6</v>
      </c>
      <c r="BB4" s="60">
        <f t="shared" si="32"/>
        <v>164.4</v>
      </c>
      <c r="BC4" s="60">
        <f t="shared" si="32"/>
        <v>166.2</v>
      </c>
      <c r="BD4" s="60">
        <f t="shared" si="32"/>
        <v>168</v>
      </c>
      <c r="BE4" s="60">
        <f t="shared" si="32"/>
        <v>169.4</v>
      </c>
      <c r="BF4" s="60">
        <f t="shared" si="32"/>
        <v>170.8</v>
      </c>
      <c r="BG4" s="60">
        <f t="shared" si="32"/>
        <v>172.2</v>
      </c>
      <c r="BH4" s="60">
        <f t="shared" si="32"/>
        <v>173.6</v>
      </c>
      <c r="BI4" s="60">
        <f t="shared" si="32"/>
        <v>175</v>
      </c>
      <c r="BJ4" s="60">
        <f t="shared" si="32"/>
        <v>176.4</v>
      </c>
      <c r="BK4" s="60">
        <f t="shared" si="32"/>
        <v>177.8</v>
      </c>
      <c r="BL4" s="60">
        <f t="shared" si="32"/>
        <v>179.2</v>
      </c>
      <c r="BM4" s="60">
        <f t="shared" si="32"/>
        <v>180.6</v>
      </c>
      <c r="BN4" s="60">
        <f t="shared" si="32"/>
        <v>182</v>
      </c>
    </row>
    <row r="5" spans="1:89" x14ac:dyDescent="0.2">
      <c r="A5" s="519" t="s">
        <v>243</v>
      </c>
      <c r="C5" s="54" t="s">
        <v>153</v>
      </c>
      <c r="D5" s="44">
        <f>'Yearly Demand - Methanol'!G8</f>
        <v>31.201972235932139</v>
      </c>
      <c r="E5" s="44">
        <f t="shared" ref="E5:AG5" si="33">$D$5+($AH$5-$D$5)/($AH$3-$D$3)*(E3-$D$3)</f>
        <v>31.457144589972497</v>
      </c>
      <c r="F5" s="44">
        <f t="shared" si="33"/>
        <v>31.712316944012855</v>
      </c>
      <c r="G5" s="44">
        <f t="shared" si="33"/>
        <v>31.967489298053209</v>
      </c>
      <c r="H5" s="44">
        <f t="shared" si="33"/>
        <v>32.222661652093571</v>
      </c>
      <c r="I5" s="44">
        <f t="shared" si="33"/>
        <v>32.477834006133925</v>
      </c>
      <c r="J5" s="44">
        <f t="shared" si="33"/>
        <v>32.733006360174279</v>
      </c>
      <c r="K5" s="44">
        <f t="shared" si="33"/>
        <v>32.988178714214641</v>
      </c>
      <c r="L5" s="44">
        <f t="shared" si="33"/>
        <v>33.243351068254995</v>
      </c>
      <c r="M5" s="44">
        <f t="shared" si="33"/>
        <v>33.498523422295357</v>
      </c>
      <c r="N5" s="44">
        <f t="shared" si="33"/>
        <v>33.753695776335711</v>
      </c>
      <c r="O5" s="44">
        <f t="shared" si="33"/>
        <v>34.008868130376065</v>
      </c>
      <c r="P5" s="44">
        <f t="shared" si="33"/>
        <v>34.264040484416427</v>
      </c>
      <c r="Q5" s="44">
        <f t="shared" si="33"/>
        <v>34.519212838456781</v>
      </c>
      <c r="R5" s="44">
        <f t="shared" si="33"/>
        <v>34.774385192497142</v>
      </c>
      <c r="S5" s="44">
        <f t="shared" si="33"/>
        <v>35.029557546537497</v>
      </c>
      <c r="T5" s="44">
        <f t="shared" si="33"/>
        <v>35.284729900577851</v>
      </c>
      <c r="U5" s="44">
        <f t="shared" si="33"/>
        <v>35.539902254618212</v>
      </c>
      <c r="V5" s="44">
        <f t="shared" si="33"/>
        <v>35.795074608658567</v>
      </c>
      <c r="W5" s="44">
        <f t="shared" si="33"/>
        <v>36.050246962698928</v>
      </c>
      <c r="X5" s="44">
        <f t="shared" si="33"/>
        <v>36.305419316739282</v>
      </c>
      <c r="Y5" s="44">
        <f t="shared" si="33"/>
        <v>36.560591670779637</v>
      </c>
      <c r="Z5" s="44">
        <f t="shared" si="33"/>
        <v>36.815764024819998</v>
      </c>
      <c r="AA5" s="44">
        <f t="shared" si="33"/>
        <v>37.070936378860353</v>
      </c>
      <c r="AB5" s="44">
        <f t="shared" si="33"/>
        <v>37.326108732900707</v>
      </c>
      <c r="AC5" s="44">
        <f t="shared" si="33"/>
        <v>37.581281086941068</v>
      </c>
      <c r="AD5" s="44">
        <f t="shared" si="33"/>
        <v>37.836453440981423</v>
      </c>
      <c r="AE5" s="44">
        <f t="shared" si="33"/>
        <v>38.091625795021784</v>
      </c>
      <c r="AF5" s="44">
        <f t="shared" si="33"/>
        <v>38.346798149062138</v>
      </c>
      <c r="AG5" s="44">
        <f t="shared" si="33"/>
        <v>38.601970503102493</v>
      </c>
      <c r="AH5" s="44">
        <f>'Yearly Demand - Methanol'!N8</f>
        <v>38.857142857142854</v>
      </c>
      <c r="AJ5" s="44">
        <f t="shared" ref="AJ5:AJ6" si="34">D5</f>
        <v>31.201972235932139</v>
      </c>
      <c r="AK5" s="44">
        <f t="shared" ref="AK5:AK8" si="35">E5</f>
        <v>31.457144589972497</v>
      </c>
      <c r="AL5" s="44">
        <f t="shared" ref="AL5:AL8" si="36">F5</f>
        <v>31.712316944012855</v>
      </c>
      <c r="AM5" s="44">
        <f t="shared" ref="AM5:AM8" si="37">G5</f>
        <v>31.967489298053209</v>
      </c>
      <c r="AN5" s="44">
        <f t="shared" ref="AN5:AN8" si="38">H5</f>
        <v>32.222661652093571</v>
      </c>
      <c r="AO5" s="44">
        <f t="shared" ref="AO5:AO8" si="39">I5</f>
        <v>32.477834006133925</v>
      </c>
      <c r="AP5" s="44">
        <f t="shared" ref="AP5:AP8" si="40">J5</f>
        <v>32.733006360174279</v>
      </c>
      <c r="AQ5" s="44">
        <f t="shared" ref="AQ5:AQ8" si="41">K5</f>
        <v>32.988178714214641</v>
      </c>
      <c r="AR5" s="44">
        <f t="shared" ref="AR5:AR8" si="42">L5</f>
        <v>33.243351068254995</v>
      </c>
      <c r="AS5" s="44">
        <f t="shared" ref="AS5:AS8" si="43">M5</f>
        <v>33.498523422295357</v>
      </c>
      <c r="AT5" s="44">
        <f t="shared" ref="AT5:AT8" si="44">N5</f>
        <v>33.753695776335711</v>
      </c>
      <c r="AU5" s="44">
        <f t="shared" ref="AU5:AU8" si="45">O5</f>
        <v>34.008868130376065</v>
      </c>
      <c r="AV5" s="44">
        <f t="shared" ref="AV5:AV8" si="46">P5</f>
        <v>34.264040484416427</v>
      </c>
      <c r="AW5" s="44">
        <f t="shared" ref="AW5:AW8" si="47">Q5</f>
        <v>34.519212838456781</v>
      </c>
      <c r="AX5" s="44">
        <f t="shared" ref="AX5:AX8" si="48">R5</f>
        <v>34.774385192497142</v>
      </c>
      <c r="AY5" s="44">
        <f t="shared" ref="AY5:AY8" si="49">S5</f>
        <v>35.029557546537497</v>
      </c>
      <c r="AZ5" s="44">
        <f t="shared" ref="AZ5:AZ8" si="50">T5</f>
        <v>35.284729900577851</v>
      </c>
      <c r="BA5" s="44">
        <f t="shared" ref="BA5:BA8" si="51">U5</f>
        <v>35.539902254618212</v>
      </c>
      <c r="BB5" s="44">
        <f t="shared" ref="BB5:BB8" si="52">V5</f>
        <v>35.795074608658567</v>
      </c>
      <c r="BC5" s="44">
        <f t="shared" ref="BC5:BC8" si="53">W5</f>
        <v>36.050246962698928</v>
      </c>
      <c r="BD5" s="44">
        <f t="shared" ref="BD5:BD8" si="54">X5</f>
        <v>36.305419316739282</v>
      </c>
      <c r="BE5" s="44">
        <f t="shared" ref="BE5:BE8" si="55">Y5</f>
        <v>36.560591670779637</v>
      </c>
      <c r="BF5" s="44">
        <f t="shared" ref="BF5:BF8" si="56">Z5</f>
        <v>36.815764024819998</v>
      </c>
      <c r="BG5" s="44">
        <f t="shared" ref="BG5:BG8" si="57">AA5</f>
        <v>37.070936378860353</v>
      </c>
      <c r="BH5" s="44">
        <f t="shared" ref="BH5:BH8" si="58">AB5</f>
        <v>37.326108732900707</v>
      </c>
      <c r="BI5" s="44">
        <f t="shared" ref="BI5:BI8" si="59">AC5</f>
        <v>37.581281086941068</v>
      </c>
      <c r="BJ5" s="44">
        <f t="shared" ref="BJ5:BJ8" si="60">AD5</f>
        <v>37.836453440981423</v>
      </c>
      <c r="BK5" s="44">
        <f t="shared" ref="BK5:BK8" si="61">AE5</f>
        <v>38.091625795021784</v>
      </c>
      <c r="BL5" s="44">
        <f t="shared" ref="BL5:BL8" si="62">AF5</f>
        <v>38.346798149062138</v>
      </c>
      <c r="BM5" s="44">
        <f t="shared" ref="BM5:BM8" si="63">AG5</f>
        <v>38.601970503102493</v>
      </c>
      <c r="BN5" s="44">
        <f t="shared" ref="BN5:BN8" si="64">AH5</f>
        <v>38.857142857142854</v>
      </c>
    </row>
    <row r="6" spans="1:89" s="62" customFormat="1" x14ac:dyDescent="0.2">
      <c r="A6" s="520" t="s">
        <v>244</v>
      </c>
      <c r="C6" s="63" t="s">
        <v>153</v>
      </c>
      <c r="D6" s="64">
        <f t="shared" ref="D6:AG6" si="65">D4-D5</f>
        <v>70.960266702016895</v>
      </c>
      <c r="E6" s="64">
        <f t="shared" si="65"/>
        <v>75.388870454181628</v>
      </c>
      <c r="F6" s="64">
        <f t="shared" si="65"/>
        <v>79.817474206346361</v>
      </c>
      <c r="G6" s="64">
        <f t="shared" si="65"/>
        <v>84.246077958511108</v>
      </c>
      <c r="H6" s="64">
        <f t="shared" si="65"/>
        <v>88.674681710675856</v>
      </c>
      <c r="I6" s="64">
        <f t="shared" si="65"/>
        <v>93.103285462840603</v>
      </c>
      <c r="J6" s="64">
        <f t="shared" si="65"/>
        <v>97.531889215005322</v>
      </c>
      <c r="K6" s="64">
        <f t="shared" si="65"/>
        <v>101.96049296717008</v>
      </c>
      <c r="L6" s="64">
        <f t="shared" si="65"/>
        <v>106.3890967193348</v>
      </c>
      <c r="M6" s="64">
        <f t="shared" si="65"/>
        <v>110.81770047149953</v>
      </c>
      <c r="N6" s="64">
        <f t="shared" si="65"/>
        <v>115.24630422366428</v>
      </c>
      <c r="O6" s="64">
        <f t="shared" si="65"/>
        <v>116.99113186962393</v>
      </c>
      <c r="P6" s="64">
        <f t="shared" si="65"/>
        <v>118.73595951558357</v>
      </c>
      <c r="Q6" s="64">
        <f t="shared" si="65"/>
        <v>120.48078716154322</v>
      </c>
      <c r="R6" s="64">
        <f t="shared" si="65"/>
        <v>122.22561480750286</v>
      </c>
      <c r="S6" s="64">
        <f t="shared" si="65"/>
        <v>123.97044245346251</v>
      </c>
      <c r="T6" s="64">
        <f t="shared" si="65"/>
        <v>125.51527009942217</v>
      </c>
      <c r="U6" s="64">
        <f t="shared" si="65"/>
        <v>127.06009774538178</v>
      </c>
      <c r="V6" s="64">
        <f t="shared" si="65"/>
        <v>128.60492539134145</v>
      </c>
      <c r="W6" s="64">
        <f t="shared" si="65"/>
        <v>130.14975303730105</v>
      </c>
      <c r="X6" s="64">
        <f t="shared" si="65"/>
        <v>131.69458068326071</v>
      </c>
      <c r="Y6" s="64">
        <f t="shared" si="65"/>
        <v>132.83940832922036</v>
      </c>
      <c r="Z6" s="64">
        <f t="shared" si="65"/>
        <v>133.98423597518001</v>
      </c>
      <c r="AA6" s="64">
        <f t="shared" si="65"/>
        <v>135.12906362113964</v>
      </c>
      <c r="AB6" s="64">
        <f t="shared" si="65"/>
        <v>136.27389126709929</v>
      </c>
      <c r="AC6" s="64">
        <f t="shared" si="65"/>
        <v>137.41871891305894</v>
      </c>
      <c r="AD6" s="64">
        <f t="shared" si="65"/>
        <v>138.56354655901859</v>
      </c>
      <c r="AE6" s="64">
        <f t="shared" si="65"/>
        <v>139.70837420497821</v>
      </c>
      <c r="AF6" s="64">
        <f t="shared" si="65"/>
        <v>140.85320185093786</v>
      </c>
      <c r="AG6" s="64">
        <f t="shared" si="65"/>
        <v>141.99802949689752</v>
      </c>
      <c r="AH6" s="64">
        <f>AH4-AH5</f>
        <v>143.14285714285714</v>
      </c>
      <c r="AJ6" s="64">
        <f t="shared" si="34"/>
        <v>70.960266702016895</v>
      </c>
      <c r="AK6" s="64">
        <f t="shared" si="35"/>
        <v>75.388870454181628</v>
      </c>
      <c r="AL6" s="64">
        <f t="shared" si="36"/>
        <v>79.817474206346361</v>
      </c>
      <c r="AM6" s="64">
        <f t="shared" si="37"/>
        <v>84.246077958511108</v>
      </c>
      <c r="AN6" s="64">
        <f t="shared" si="38"/>
        <v>88.674681710675856</v>
      </c>
      <c r="AO6" s="64">
        <f t="shared" si="39"/>
        <v>93.103285462840603</v>
      </c>
      <c r="AP6" s="64">
        <f t="shared" si="40"/>
        <v>97.531889215005322</v>
      </c>
      <c r="AQ6" s="64">
        <f t="shared" si="41"/>
        <v>101.96049296717008</v>
      </c>
      <c r="AR6" s="64">
        <f t="shared" si="42"/>
        <v>106.3890967193348</v>
      </c>
      <c r="AS6" s="64">
        <f t="shared" si="43"/>
        <v>110.81770047149953</v>
      </c>
      <c r="AT6" s="64">
        <f t="shared" si="44"/>
        <v>115.24630422366428</v>
      </c>
      <c r="AU6" s="64">
        <f t="shared" si="45"/>
        <v>116.99113186962393</v>
      </c>
      <c r="AV6" s="64">
        <f t="shared" si="46"/>
        <v>118.73595951558357</v>
      </c>
      <c r="AW6" s="64">
        <f t="shared" si="47"/>
        <v>120.48078716154322</v>
      </c>
      <c r="AX6" s="64">
        <f t="shared" si="48"/>
        <v>122.22561480750286</v>
      </c>
      <c r="AY6" s="64">
        <f t="shared" si="49"/>
        <v>123.97044245346251</v>
      </c>
      <c r="AZ6" s="64">
        <f t="shared" si="50"/>
        <v>125.51527009942217</v>
      </c>
      <c r="BA6" s="64">
        <f t="shared" si="51"/>
        <v>127.06009774538178</v>
      </c>
      <c r="BB6" s="64">
        <f t="shared" si="52"/>
        <v>128.60492539134145</v>
      </c>
      <c r="BC6" s="64">
        <f t="shared" si="53"/>
        <v>130.14975303730105</v>
      </c>
      <c r="BD6" s="64">
        <f t="shared" si="54"/>
        <v>131.69458068326071</v>
      </c>
      <c r="BE6" s="64">
        <f t="shared" si="55"/>
        <v>132.83940832922036</v>
      </c>
      <c r="BF6" s="64">
        <f t="shared" si="56"/>
        <v>133.98423597518001</v>
      </c>
      <c r="BG6" s="64">
        <f t="shared" si="57"/>
        <v>135.12906362113964</v>
      </c>
      <c r="BH6" s="64">
        <f t="shared" si="58"/>
        <v>136.27389126709929</v>
      </c>
      <c r="BI6" s="64">
        <f t="shared" si="59"/>
        <v>137.41871891305894</v>
      </c>
      <c r="BJ6" s="64">
        <f t="shared" si="60"/>
        <v>138.56354655901859</v>
      </c>
      <c r="BK6" s="64">
        <f t="shared" si="61"/>
        <v>139.70837420497821</v>
      </c>
      <c r="BL6" s="64">
        <f t="shared" si="62"/>
        <v>140.85320185093786</v>
      </c>
      <c r="BM6" s="64">
        <f t="shared" si="63"/>
        <v>141.99802949689752</v>
      </c>
      <c r="BN6" s="64">
        <f t="shared" si="64"/>
        <v>143.14285714285714</v>
      </c>
      <c r="BO6" s="283" t="s">
        <v>245</v>
      </c>
    </row>
    <row r="7" spans="1:89" ht="96" x14ac:dyDescent="0.2">
      <c r="A7" s="682"/>
      <c r="B7" s="1" t="s">
        <v>246</v>
      </c>
      <c r="C7" s="54" t="s">
        <v>153</v>
      </c>
      <c r="D7" s="44">
        <f>'Sankey Methanol_detailed'!H9</f>
        <v>7.192774760698633</v>
      </c>
      <c r="E7" s="44">
        <f t="shared" ref="E7:T7" si="66">$D7/$D$6*E$6</f>
        <v>7.6416731481225399</v>
      </c>
      <c r="F7" s="44">
        <f t="shared" si="66"/>
        <v>8.0905715355464469</v>
      </c>
      <c r="G7" s="44">
        <f t="shared" si="66"/>
        <v>8.5394699229703548</v>
      </c>
      <c r="H7" s="44">
        <f t="shared" si="66"/>
        <v>8.9883683103942644</v>
      </c>
      <c r="I7" s="44">
        <f t="shared" si="66"/>
        <v>9.4372666978181723</v>
      </c>
      <c r="J7" s="44">
        <f t="shared" si="66"/>
        <v>9.8861650852420784</v>
      </c>
      <c r="K7" s="44">
        <f t="shared" si="66"/>
        <v>10.335063472665988</v>
      </c>
      <c r="L7" s="44">
        <f t="shared" si="66"/>
        <v>10.783961860089894</v>
      </c>
      <c r="M7" s="44">
        <f t="shared" si="66"/>
        <v>11.2328602475138</v>
      </c>
      <c r="N7" s="44">
        <f t="shared" si="66"/>
        <v>11.68175863493771</v>
      </c>
      <c r="O7" s="44">
        <f t="shared" si="66"/>
        <v>11.858620318763244</v>
      </c>
      <c r="P7" s="44">
        <f t="shared" si="66"/>
        <v>12.035482002588779</v>
      </c>
      <c r="Q7" s="44">
        <f t="shared" si="66"/>
        <v>12.212343686414314</v>
      </c>
      <c r="R7" s="44">
        <f t="shared" si="66"/>
        <v>12.389205370239848</v>
      </c>
      <c r="S7" s="44">
        <f t="shared" si="66"/>
        <v>12.566067054065384</v>
      </c>
      <c r="T7" s="44">
        <f t="shared" si="66"/>
        <v>12.722656055458923</v>
      </c>
      <c r="U7" s="44">
        <f t="shared" ref="U7:AH7" si="67">$D7/$D$6*U$6</f>
        <v>12.87924505685246</v>
      </c>
      <c r="V7" s="44">
        <f t="shared" si="67"/>
        <v>13.035834058246001</v>
      </c>
      <c r="W7" s="44">
        <f t="shared" si="67"/>
        <v>13.192423059639536</v>
      </c>
      <c r="X7" s="44">
        <f t="shared" si="67"/>
        <v>13.349012061033076</v>
      </c>
      <c r="Y7" s="44">
        <f t="shared" si="67"/>
        <v>13.465055697562624</v>
      </c>
      <c r="Z7" s="44">
        <f t="shared" si="67"/>
        <v>13.581099334092171</v>
      </c>
      <c r="AA7" s="44">
        <f t="shared" si="67"/>
        <v>13.697142970621716</v>
      </c>
      <c r="AB7" s="44">
        <f t="shared" si="67"/>
        <v>13.813186607151264</v>
      </c>
      <c r="AC7" s="44">
        <f t="shared" si="67"/>
        <v>13.929230243680811</v>
      </c>
      <c r="AD7" s="44">
        <f t="shared" si="67"/>
        <v>14.04527388021036</v>
      </c>
      <c r="AE7" s="44">
        <f t="shared" si="67"/>
        <v>14.161317516739903</v>
      </c>
      <c r="AF7" s="44">
        <f t="shared" si="67"/>
        <v>14.277361153269451</v>
      </c>
      <c r="AG7" s="44">
        <f t="shared" si="67"/>
        <v>14.393404789798998</v>
      </c>
      <c r="AH7" s="44">
        <f t="shared" si="67"/>
        <v>14.509448426328543</v>
      </c>
      <c r="AJ7" s="44">
        <f t="shared" ref="AJ7:AJ8" si="68">D7</f>
        <v>7.192774760698633</v>
      </c>
      <c r="AK7" s="44">
        <f t="shared" si="35"/>
        <v>7.6416731481225399</v>
      </c>
      <c r="AL7" s="44">
        <f t="shared" si="36"/>
        <v>8.0905715355464469</v>
      </c>
      <c r="AM7" s="44">
        <f t="shared" si="37"/>
        <v>8.5394699229703548</v>
      </c>
      <c r="AN7" s="44">
        <f t="shared" si="38"/>
        <v>8.9883683103942644</v>
      </c>
      <c r="AO7" s="44">
        <f t="shared" si="39"/>
        <v>9.4372666978181723</v>
      </c>
      <c r="AP7" s="44">
        <f t="shared" si="40"/>
        <v>9.8861650852420784</v>
      </c>
      <c r="AQ7" s="44">
        <f t="shared" si="41"/>
        <v>10.335063472665988</v>
      </c>
      <c r="AR7" s="44">
        <f t="shared" si="42"/>
        <v>10.783961860089894</v>
      </c>
      <c r="AS7" s="44">
        <f t="shared" si="43"/>
        <v>11.2328602475138</v>
      </c>
      <c r="AT7" s="44">
        <f t="shared" si="44"/>
        <v>11.68175863493771</v>
      </c>
      <c r="AU7" s="44">
        <f t="shared" si="45"/>
        <v>11.858620318763244</v>
      </c>
      <c r="AV7" s="44">
        <f t="shared" si="46"/>
        <v>12.035482002588779</v>
      </c>
      <c r="AW7" s="44">
        <f t="shared" si="47"/>
        <v>12.212343686414314</v>
      </c>
      <c r="AX7" s="44">
        <f t="shared" si="48"/>
        <v>12.389205370239848</v>
      </c>
      <c r="AY7" s="44">
        <f t="shared" si="49"/>
        <v>12.566067054065384</v>
      </c>
      <c r="AZ7" s="44">
        <f t="shared" si="50"/>
        <v>12.722656055458923</v>
      </c>
      <c r="BA7" s="44">
        <f t="shared" si="51"/>
        <v>12.87924505685246</v>
      </c>
      <c r="BB7" s="44">
        <f t="shared" si="52"/>
        <v>13.035834058246001</v>
      </c>
      <c r="BC7" s="44">
        <f t="shared" si="53"/>
        <v>13.192423059639536</v>
      </c>
      <c r="BD7" s="44">
        <f t="shared" si="54"/>
        <v>13.349012061033076</v>
      </c>
      <c r="BE7" s="44">
        <f t="shared" si="55"/>
        <v>13.465055697562624</v>
      </c>
      <c r="BF7" s="44">
        <f t="shared" si="56"/>
        <v>13.581099334092171</v>
      </c>
      <c r="BG7" s="44">
        <f t="shared" si="57"/>
        <v>13.697142970621716</v>
      </c>
      <c r="BH7" s="44">
        <f t="shared" si="58"/>
        <v>13.813186607151264</v>
      </c>
      <c r="BI7" s="44">
        <f t="shared" si="59"/>
        <v>13.929230243680811</v>
      </c>
      <c r="BJ7" s="44">
        <f t="shared" si="60"/>
        <v>14.04527388021036</v>
      </c>
      <c r="BK7" s="44">
        <f t="shared" si="61"/>
        <v>14.161317516739903</v>
      </c>
      <c r="BL7" s="44">
        <f t="shared" si="62"/>
        <v>14.277361153269451</v>
      </c>
      <c r="BM7" s="44">
        <f t="shared" si="63"/>
        <v>14.393404789798998</v>
      </c>
      <c r="BN7" s="44">
        <f t="shared" si="64"/>
        <v>14.509448426328543</v>
      </c>
      <c r="BY7" s="30"/>
      <c r="BZ7" s="139" t="s">
        <v>154</v>
      </c>
      <c r="CA7" s="535" t="s">
        <v>155</v>
      </c>
      <c r="CB7" s="139" t="s">
        <v>156</v>
      </c>
      <c r="CC7" s="536" t="s">
        <v>157</v>
      </c>
      <c r="CD7" s="537" t="s">
        <v>158</v>
      </c>
      <c r="CE7" s="537" t="s">
        <v>159</v>
      </c>
      <c r="CF7" s="139" t="s">
        <v>160</v>
      </c>
      <c r="CG7" s="139" t="s">
        <v>161</v>
      </c>
      <c r="CH7" s="139" t="s">
        <v>162</v>
      </c>
      <c r="CI7" s="139" t="s">
        <v>163</v>
      </c>
      <c r="CJ7" s="139" t="s">
        <v>164</v>
      </c>
    </row>
    <row r="8" spans="1:89" x14ac:dyDescent="0.2">
      <c r="A8" s="682"/>
      <c r="B8" s="1" t="s">
        <v>247</v>
      </c>
      <c r="C8" s="54" t="s">
        <v>153</v>
      </c>
      <c r="D8" s="44">
        <f>D11</f>
        <v>28.065001267929215</v>
      </c>
      <c r="E8" s="44">
        <f t="shared" ref="E8:AH8" si="69">E11</f>
        <v>28.710496297091584</v>
      </c>
      <c r="F8" s="44">
        <f t="shared" si="69"/>
        <v>29.37083771192469</v>
      </c>
      <c r="G8" s="44">
        <f t="shared" si="69"/>
        <v>30.046366979298952</v>
      </c>
      <c r="H8" s="44">
        <f t="shared" si="69"/>
        <v>30.737433419822828</v>
      </c>
      <c r="I8" s="44">
        <f t="shared" si="69"/>
        <v>31.444394388478745</v>
      </c>
      <c r="J8" s="44">
        <f t="shared" si="69"/>
        <v>32.16761545941376</v>
      </c>
      <c r="K8" s="44">
        <f t="shared" si="69"/>
        <v>32.907470614980269</v>
      </c>
      <c r="L8" s="44">
        <f t="shared" si="69"/>
        <v>33.664342439124809</v>
      </c>
      <c r="M8" s="44">
        <f t="shared" si="69"/>
        <v>34.438622315224677</v>
      </c>
      <c r="N8" s="44">
        <f t="shared" si="69"/>
        <v>35.230710628474846</v>
      </c>
      <c r="O8" s="44">
        <f t="shared" si="69"/>
        <v>36.041016972929761</v>
      </c>
      <c r="P8" s="44">
        <f t="shared" si="69"/>
        <v>36.869960363307143</v>
      </c>
      <c r="Q8" s="44">
        <f t="shared" si="69"/>
        <v>37.717969451663201</v>
      </c>
      <c r="R8" s="44">
        <f t="shared" si="69"/>
        <v>38.585482749051458</v>
      </c>
      <c r="S8" s="44">
        <f t="shared" si="69"/>
        <v>39.472948852279629</v>
      </c>
      <c r="T8" s="44">
        <f t="shared" si="69"/>
        <v>40.380826675882055</v>
      </c>
      <c r="U8" s="44">
        <f t="shared" si="69"/>
        <v>41.309585689427344</v>
      </c>
      <c r="V8" s="44">
        <f t="shared" si="69"/>
        <v>42.259706160284168</v>
      </c>
      <c r="W8" s="44">
        <f t="shared" si="69"/>
        <v>43.231679401970695</v>
      </c>
      <c r="X8" s="44">
        <f t="shared" si="69"/>
        <v>44.226008028216022</v>
      </c>
      <c r="Y8" s="44">
        <f t="shared" si="69"/>
        <v>45.243206212864983</v>
      </c>
      <c r="Z8" s="44">
        <f t="shared" si="69"/>
        <v>46.283799955760877</v>
      </c>
      <c r="AA8" s="44">
        <f t="shared" si="69"/>
        <v>47.348327354743368</v>
      </c>
      <c r="AB8" s="44">
        <f t="shared" si="69"/>
        <v>48.437338883902463</v>
      </c>
      <c r="AC8" s="44">
        <f t="shared" si="69"/>
        <v>49.551397678232213</v>
      </c>
      <c r="AD8" s="44">
        <f t="shared" si="69"/>
        <v>50.691079824831547</v>
      </c>
      <c r="AE8" s="44">
        <f t="shared" si="69"/>
        <v>51.85697466080267</v>
      </c>
      <c r="AF8" s="44">
        <f t="shared" si="69"/>
        <v>53.049685078001126</v>
      </c>
      <c r="AG8" s="44">
        <f t="shared" si="69"/>
        <v>54.269827834795151</v>
      </c>
      <c r="AH8" s="44">
        <f t="shared" si="69"/>
        <v>55.518033874995439</v>
      </c>
      <c r="AJ8" s="44">
        <f t="shared" si="68"/>
        <v>28.065001267929215</v>
      </c>
      <c r="AK8" s="44">
        <f t="shared" si="35"/>
        <v>28.710496297091584</v>
      </c>
      <c r="AL8" s="44">
        <f t="shared" si="36"/>
        <v>29.37083771192469</v>
      </c>
      <c r="AM8" s="44">
        <f t="shared" si="37"/>
        <v>30.046366979298952</v>
      </c>
      <c r="AN8" s="44">
        <f t="shared" si="38"/>
        <v>30.737433419822828</v>
      </c>
      <c r="AO8" s="44">
        <f t="shared" si="39"/>
        <v>31.444394388478745</v>
      </c>
      <c r="AP8" s="44">
        <f t="shared" si="40"/>
        <v>32.16761545941376</v>
      </c>
      <c r="AQ8" s="44">
        <f t="shared" si="41"/>
        <v>32.907470614980269</v>
      </c>
      <c r="AR8" s="44">
        <f t="shared" si="42"/>
        <v>33.664342439124809</v>
      </c>
      <c r="AS8" s="44">
        <f t="shared" si="43"/>
        <v>34.438622315224677</v>
      </c>
      <c r="AT8" s="44">
        <f t="shared" si="44"/>
        <v>35.230710628474846</v>
      </c>
      <c r="AU8" s="44">
        <f t="shared" si="45"/>
        <v>36.041016972929761</v>
      </c>
      <c r="AV8" s="44">
        <f t="shared" si="46"/>
        <v>36.869960363307143</v>
      </c>
      <c r="AW8" s="44">
        <f t="shared" si="47"/>
        <v>37.717969451663201</v>
      </c>
      <c r="AX8" s="44">
        <f t="shared" si="48"/>
        <v>38.585482749051458</v>
      </c>
      <c r="AY8" s="44">
        <f t="shared" si="49"/>
        <v>39.472948852279629</v>
      </c>
      <c r="AZ8" s="44">
        <f t="shared" si="50"/>
        <v>40.380826675882055</v>
      </c>
      <c r="BA8" s="44">
        <f t="shared" si="51"/>
        <v>41.309585689427344</v>
      </c>
      <c r="BB8" s="44">
        <f t="shared" si="52"/>
        <v>42.259706160284168</v>
      </c>
      <c r="BC8" s="44">
        <f t="shared" si="53"/>
        <v>43.231679401970695</v>
      </c>
      <c r="BD8" s="44">
        <f t="shared" si="54"/>
        <v>44.226008028216022</v>
      </c>
      <c r="BE8" s="44">
        <f t="shared" si="55"/>
        <v>45.243206212864983</v>
      </c>
      <c r="BF8" s="44">
        <f t="shared" si="56"/>
        <v>46.283799955760877</v>
      </c>
      <c r="BG8" s="44">
        <f t="shared" si="57"/>
        <v>47.348327354743368</v>
      </c>
      <c r="BH8" s="44">
        <f t="shared" si="58"/>
        <v>48.437338883902463</v>
      </c>
      <c r="BI8" s="44">
        <f t="shared" si="59"/>
        <v>49.551397678232213</v>
      </c>
      <c r="BJ8" s="44">
        <f t="shared" si="60"/>
        <v>50.691079824831547</v>
      </c>
      <c r="BK8" s="44">
        <f t="shared" si="61"/>
        <v>51.85697466080267</v>
      </c>
      <c r="BL8" s="44">
        <f t="shared" si="62"/>
        <v>53.049685078001126</v>
      </c>
      <c r="BM8" s="44">
        <f t="shared" si="63"/>
        <v>54.269827834795151</v>
      </c>
      <c r="BN8" s="44">
        <f t="shared" si="64"/>
        <v>55.518033874995439</v>
      </c>
    </row>
    <row r="9" spans="1:89" s="68" customFormat="1" x14ac:dyDescent="0.2">
      <c r="A9" s="683"/>
      <c r="B9" s="62" t="s">
        <v>248</v>
      </c>
      <c r="C9" s="283" t="s">
        <v>153</v>
      </c>
      <c r="D9" s="284">
        <f>D6-D7-D8</f>
        <v>35.70249067338905</v>
      </c>
      <c r="E9" s="284">
        <f t="shared" ref="E9:AH9" si="70">E6-E7-E8</f>
        <v>39.036701008967512</v>
      </c>
      <c r="F9" s="284">
        <f t="shared" si="70"/>
        <v>42.356064958875223</v>
      </c>
      <c r="G9" s="284">
        <f t="shared" si="70"/>
        <v>45.660241056241802</v>
      </c>
      <c r="H9" s="284">
        <f t="shared" si="70"/>
        <v>48.948879980458763</v>
      </c>
      <c r="I9" s="284">
        <f t="shared" si="70"/>
        <v>52.221624376543687</v>
      </c>
      <c r="J9" s="284">
        <f t="shared" si="70"/>
        <v>55.478108670349478</v>
      </c>
      <c r="K9" s="284">
        <f t="shared" si="70"/>
        <v>58.71795887952382</v>
      </c>
      <c r="L9" s="284">
        <f t="shared" si="70"/>
        <v>61.940792420120104</v>
      </c>
      <c r="M9" s="284">
        <f t="shared" si="70"/>
        <v>65.146217908761059</v>
      </c>
      <c r="N9" s="284">
        <f t="shared" si="70"/>
        <v>68.333834960251721</v>
      </c>
      <c r="O9" s="284">
        <f t="shared" si="70"/>
        <v>69.091494577930916</v>
      </c>
      <c r="P9" s="284">
        <f t="shared" si="70"/>
        <v>69.830517149687651</v>
      </c>
      <c r="Q9" s="284">
        <f t="shared" si="70"/>
        <v>70.550474023465711</v>
      </c>
      <c r="R9" s="284">
        <f t="shared" si="70"/>
        <v>71.250926688211564</v>
      </c>
      <c r="S9" s="284">
        <f t="shared" si="70"/>
        <v>71.931426547117496</v>
      </c>
      <c r="T9" s="284">
        <f t="shared" si="70"/>
        <v>72.411787368081178</v>
      </c>
      <c r="U9" s="284">
        <f t="shared" si="70"/>
        <v>72.871266999101977</v>
      </c>
      <c r="V9" s="284">
        <f t="shared" si="70"/>
        <v>73.30938517281129</v>
      </c>
      <c r="W9" s="284">
        <f t="shared" si="70"/>
        <v>73.725650575690821</v>
      </c>
      <c r="X9" s="284">
        <f t="shared" si="70"/>
        <v>74.119560594011602</v>
      </c>
      <c r="Y9" s="284">
        <f t="shared" si="70"/>
        <v>74.131146418792753</v>
      </c>
      <c r="Z9" s="284">
        <f t="shared" si="70"/>
        <v>74.119336685326971</v>
      </c>
      <c r="AA9" s="284">
        <f t="shared" si="70"/>
        <v>74.083593295774563</v>
      </c>
      <c r="AB9" s="284">
        <f t="shared" si="70"/>
        <v>74.023365776045551</v>
      </c>
      <c r="AC9" s="284">
        <f t="shared" si="70"/>
        <v>73.938090991145913</v>
      </c>
      <c r="AD9" s="284">
        <f t="shared" si="70"/>
        <v>73.827192853976683</v>
      </c>
      <c r="AE9" s="284">
        <f t="shared" si="70"/>
        <v>73.690082027435636</v>
      </c>
      <c r="AF9" s="284">
        <f t="shared" si="70"/>
        <v>73.526155619667293</v>
      </c>
      <c r="AG9" s="284">
        <f t="shared" si="70"/>
        <v>73.334796872303372</v>
      </c>
      <c r="AH9" s="284">
        <f t="shared" si="70"/>
        <v>73.115374841533168</v>
      </c>
      <c r="AJ9" s="284">
        <f>AJ6-AJ7-AJ8</f>
        <v>35.70249067338905</v>
      </c>
      <c r="AK9" s="284">
        <f t="shared" ref="AK9" si="71">AK6-AK7-AK8</f>
        <v>39.036701008967512</v>
      </c>
      <c r="AL9" s="284">
        <f t="shared" ref="AL9" si="72">AL6-AL7-AL8</f>
        <v>42.356064958875223</v>
      </c>
      <c r="AM9" s="284">
        <f t="shared" ref="AM9" si="73">AM6-AM7-AM8</f>
        <v>45.660241056241802</v>
      </c>
      <c r="AN9" s="284">
        <f t="shared" ref="AN9" si="74">AN6-AN7-AN8</f>
        <v>48.948879980458763</v>
      </c>
      <c r="AO9" s="284">
        <f t="shared" ref="AO9" si="75">AO6-AO7-AO8</f>
        <v>52.221624376543687</v>
      </c>
      <c r="AP9" s="284">
        <f t="shared" ref="AP9" si="76">AP6-AP7-AP8</f>
        <v>55.478108670349478</v>
      </c>
      <c r="AQ9" s="284">
        <f t="shared" ref="AQ9" si="77">AQ6-AQ7-AQ8</f>
        <v>58.71795887952382</v>
      </c>
      <c r="AR9" s="284">
        <f t="shared" ref="AR9" si="78">AR6-AR7-AR8</f>
        <v>61.940792420120104</v>
      </c>
      <c r="AS9" s="284">
        <f t="shared" ref="AS9" si="79">AS6-AS7-AS8</f>
        <v>65.146217908761059</v>
      </c>
      <c r="AT9" s="284">
        <f t="shared" ref="AT9" si="80">AT6-AT7-AT8</f>
        <v>68.333834960251721</v>
      </c>
      <c r="AU9" s="284">
        <f t="shared" ref="AU9" si="81">AU6-AU7-AU8</f>
        <v>69.091494577930916</v>
      </c>
      <c r="AV9" s="284">
        <f t="shared" ref="AV9" si="82">AV6-AV7-AV8</f>
        <v>69.830517149687651</v>
      </c>
      <c r="AW9" s="284">
        <f t="shared" ref="AW9" si="83">AW6-AW7-AW8</f>
        <v>70.550474023465711</v>
      </c>
      <c r="AX9" s="284">
        <f t="shared" ref="AX9" si="84">AX6-AX7-AX8</f>
        <v>71.250926688211564</v>
      </c>
      <c r="AY9" s="284">
        <f t="shared" ref="AY9" si="85">AY6-AY7-AY8</f>
        <v>71.931426547117496</v>
      </c>
      <c r="AZ9" s="284">
        <f t="shared" ref="AZ9" si="86">AZ6-AZ7-AZ8</f>
        <v>72.411787368081178</v>
      </c>
      <c r="BA9" s="284">
        <f t="shared" ref="BA9" si="87">BA6-BA7-BA8</f>
        <v>72.871266999101977</v>
      </c>
      <c r="BB9" s="284">
        <f t="shared" ref="BB9" si="88">BB6-BB7-BB8</f>
        <v>73.30938517281129</v>
      </c>
      <c r="BC9" s="284">
        <f t="shared" ref="BC9" si="89">BC6-BC7-BC8</f>
        <v>73.725650575690821</v>
      </c>
      <c r="BD9" s="284">
        <f t="shared" ref="BD9" si="90">BD6-BD7-BD8</f>
        <v>74.119560594011602</v>
      </c>
      <c r="BE9" s="284">
        <f t="shared" ref="BE9" si="91">BE6-BE7-BE8</f>
        <v>74.131146418792753</v>
      </c>
      <c r="BF9" s="284">
        <f t="shared" ref="BF9" si="92">BF6-BF7-BF8</f>
        <v>74.119336685326971</v>
      </c>
      <c r="BG9" s="284">
        <f t="shared" ref="BG9" si="93">BG6-BG7-BG8</f>
        <v>74.083593295774563</v>
      </c>
      <c r="BH9" s="284">
        <f t="shared" ref="BH9" si="94">BH6-BH7-BH8</f>
        <v>74.023365776045551</v>
      </c>
      <c r="BI9" s="284">
        <f t="shared" ref="BI9" si="95">BI6-BI7-BI8</f>
        <v>73.938090991145913</v>
      </c>
      <c r="BJ9" s="284">
        <f t="shared" ref="BJ9" si="96">BJ6-BJ7-BJ8</f>
        <v>73.827192853976683</v>
      </c>
      <c r="BK9" s="284">
        <f t="shared" ref="BK9" si="97">BK6-BK7-BK8</f>
        <v>73.690082027435636</v>
      </c>
      <c r="BL9" s="284">
        <f t="shared" ref="BL9" si="98">BL6-BL7-BL8</f>
        <v>73.526155619667293</v>
      </c>
      <c r="BM9" s="284">
        <f t="shared" ref="BM9" si="99">BM6-BM7-BM8</f>
        <v>73.334796872303372</v>
      </c>
      <c r="BN9" s="284">
        <f t="shared" ref="BN9" si="100">BN6-BN7-BN8</f>
        <v>73.115374841533168</v>
      </c>
      <c r="BY9" s="30" t="s">
        <v>67</v>
      </c>
      <c r="BZ9" s="534">
        <f>AJ6</f>
        <v>70.960266702016895</v>
      </c>
      <c r="CB9" s="541" t="s">
        <v>167</v>
      </c>
      <c r="CC9" s="538"/>
      <c r="CD9" s="542" t="s">
        <v>167</v>
      </c>
      <c r="CE9" s="541"/>
      <c r="CF9" s="543"/>
      <c r="CG9" s="538"/>
      <c r="CI9" s="543"/>
      <c r="CJ9" s="68" t="s">
        <v>167</v>
      </c>
      <c r="CK9" s="547"/>
    </row>
    <row r="10" spans="1:89" x14ac:dyDescent="0.2">
      <c r="C10" s="54"/>
      <c r="BY10" s="30" t="s">
        <v>168</v>
      </c>
      <c r="BZ10" s="543"/>
      <c r="CA10" s="544"/>
      <c r="CB10" s="541"/>
      <c r="CD10" s="543"/>
      <c r="CE10" s="545">
        <f>-BN12+AH19-AH23</f>
        <v>-61.64669976013586</v>
      </c>
      <c r="CF10" s="546">
        <f>-AH32</f>
        <v>-0.39321963623862277</v>
      </c>
      <c r="CG10" s="540">
        <f>-AH41</f>
        <v>-2.9364445385341043</v>
      </c>
      <c r="CH10" s="546">
        <f>-AH57</f>
        <v>-9.4781859083066244</v>
      </c>
      <c r="CJ10" s="543"/>
    </row>
    <row r="11" spans="1:89" x14ac:dyDescent="0.2">
      <c r="A11" s="58" t="s">
        <v>169</v>
      </c>
      <c r="B11" s="58" t="s">
        <v>170</v>
      </c>
      <c r="C11" s="67"/>
      <c r="D11" s="60">
        <f>'R&amp;S - Transportation'!F4</f>
        <v>28.065001267929215</v>
      </c>
      <c r="E11" s="60">
        <f>$D$11*(1+'R&amp;S - Transportation'!$B$6)^(E3-$D$3)</f>
        <v>28.710496297091584</v>
      </c>
      <c r="F11" s="60">
        <f>$D$11*(1+'R&amp;S - Transportation'!$B$6)^(F3-$D$3)</f>
        <v>29.37083771192469</v>
      </c>
      <c r="G11" s="60">
        <f>$D$11*(1+'R&amp;S - Transportation'!$B$6)^(G3-$D$3)</f>
        <v>30.046366979298952</v>
      </c>
      <c r="H11" s="60">
        <f>$D$11*(1+'R&amp;S - Transportation'!$B$6)^(H3-$D$3)</f>
        <v>30.737433419822828</v>
      </c>
      <c r="I11" s="60">
        <f>$D$11*(1+'R&amp;S - Transportation'!$B$6)^(I3-$D$3)</f>
        <v>31.444394388478745</v>
      </c>
      <c r="J11" s="60">
        <f>$D$11*(1+'R&amp;S - Transportation'!$B$6)^(J3-$D$3)</f>
        <v>32.16761545941376</v>
      </c>
      <c r="K11" s="60">
        <f>$D$11*(1+'R&amp;S - Transportation'!$B$6)^(K3-$D$3)</f>
        <v>32.907470614980269</v>
      </c>
      <c r="L11" s="60">
        <f>$D$11*(1+'R&amp;S - Transportation'!$B$6)^(L3-$D$3)</f>
        <v>33.664342439124809</v>
      </c>
      <c r="M11" s="60">
        <f>$D$11*(1+'R&amp;S - Transportation'!$B$6)^(M3-$D$3)</f>
        <v>34.438622315224677</v>
      </c>
      <c r="N11" s="60">
        <f>$D$11*(1+'R&amp;S - Transportation'!$B$6)^(N3-$D$3)</f>
        <v>35.230710628474846</v>
      </c>
      <c r="O11" s="60">
        <f>$D$11*(1+'R&amp;S - Transportation'!$B$6)^(O3-$D$3)</f>
        <v>36.041016972929761</v>
      </c>
      <c r="P11" s="60">
        <f>$D$11*(1+'R&amp;S - Transportation'!$B$6)^(P3-$D$3)</f>
        <v>36.869960363307143</v>
      </c>
      <c r="Q11" s="60">
        <f>$D$11*(1+'R&amp;S - Transportation'!$B$6)^(Q3-$D$3)</f>
        <v>37.717969451663201</v>
      </c>
      <c r="R11" s="60">
        <f>$D$11*(1+'R&amp;S - Transportation'!$B$6)^(R3-$D$3)</f>
        <v>38.585482749051458</v>
      </c>
      <c r="S11" s="60">
        <f>$D$11*(1+'R&amp;S - Transportation'!$B$6)^(S3-$D$3)</f>
        <v>39.472948852279629</v>
      </c>
      <c r="T11" s="60">
        <f>$D$11*(1+'R&amp;S - Transportation'!$B$6)^(T3-$D$3)</f>
        <v>40.380826675882055</v>
      </c>
      <c r="U11" s="60">
        <f>$D$11*(1+'R&amp;S - Transportation'!$B$6)^(U3-$D$3)</f>
        <v>41.309585689427344</v>
      </c>
      <c r="V11" s="60">
        <f>$D$11*(1+'R&amp;S - Transportation'!$B$6)^(V3-$D$3)</f>
        <v>42.259706160284168</v>
      </c>
      <c r="W11" s="60">
        <f>$D$11*(1+'R&amp;S - Transportation'!$B$6)^(W3-$D$3)</f>
        <v>43.231679401970695</v>
      </c>
      <c r="X11" s="60">
        <f>$D$11*(1+'R&amp;S - Transportation'!$B$6)^(X3-$D$3)</f>
        <v>44.226008028216022</v>
      </c>
      <c r="Y11" s="60">
        <f>$D$11*(1+'R&amp;S - Transportation'!$B$6)^(Y3-$D$3)</f>
        <v>45.243206212864983</v>
      </c>
      <c r="Z11" s="60">
        <f>$D$11*(1+'R&amp;S - Transportation'!$B$6)^(Z3-$D$3)</f>
        <v>46.283799955760877</v>
      </c>
      <c r="AA11" s="60">
        <f>$D$11*(1+'R&amp;S - Transportation'!$B$6)^(AA3-$D$3)</f>
        <v>47.348327354743368</v>
      </c>
      <c r="AB11" s="60">
        <f>$D$11*(1+'R&amp;S - Transportation'!$B$6)^(AB3-$D$3)</f>
        <v>48.437338883902463</v>
      </c>
      <c r="AC11" s="60">
        <f>$D$11*(1+'R&amp;S - Transportation'!$B$6)^(AC3-$D$3)</f>
        <v>49.551397678232213</v>
      </c>
      <c r="AD11" s="60">
        <f>$D$11*(1+'R&amp;S - Transportation'!$B$6)^(AD3-$D$3)</f>
        <v>50.691079824831547</v>
      </c>
      <c r="AE11" s="60">
        <f>$D$11*(1+'R&amp;S - Transportation'!$B$6)^(AE3-$D$3)</f>
        <v>51.85697466080267</v>
      </c>
      <c r="AF11" s="60">
        <f>$D$11*(1+'R&amp;S - Transportation'!$B$6)^(AF3-$D$3)</f>
        <v>53.049685078001126</v>
      </c>
      <c r="AG11" s="60">
        <f>$D$11*(1+'R&amp;S - Transportation'!$B$6)^(AG3-$D$3)</f>
        <v>54.269827834795151</v>
      </c>
      <c r="AH11" s="60">
        <f>$D$11*(1+'R&amp;S - Transportation'!$B$6)^(AH3-$D$3)</f>
        <v>55.518033874995439</v>
      </c>
      <c r="AJ11" s="60">
        <f>D11</f>
        <v>28.065001267929215</v>
      </c>
      <c r="AK11" s="60">
        <f t="shared" ref="AK11:BN11" si="101">E11</f>
        <v>28.710496297091584</v>
      </c>
      <c r="AL11" s="60">
        <f t="shared" si="101"/>
        <v>29.37083771192469</v>
      </c>
      <c r="AM11" s="60">
        <f t="shared" si="101"/>
        <v>30.046366979298952</v>
      </c>
      <c r="AN11" s="60">
        <f t="shared" si="101"/>
        <v>30.737433419822828</v>
      </c>
      <c r="AO11" s="60">
        <f t="shared" si="101"/>
        <v>31.444394388478745</v>
      </c>
      <c r="AP11" s="60">
        <f t="shared" si="101"/>
        <v>32.16761545941376</v>
      </c>
      <c r="AQ11" s="60">
        <f t="shared" si="101"/>
        <v>32.907470614980269</v>
      </c>
      <c r="AR11" s="60">
        <f t="shared" si="101"/>
        <v>33.664342439124809</v>
      </c>
      <c r="AS11" s="60">
        <f t="shared" si="101"/>
        <v>34.438622315224677</v>
      </c>
      <c r="AT11" s="60">
        <f t="shared" si="101"/>
        <v>35.230710628474846</v>
      </c>
      <c r="AU11" s="60">
        <f t="shared" si="101"/>
        <v>36.041016972929761</v>
      </c>
      <c r="AV11" s="60">
        <f t="shared" si="101"/>
        <v>36.869960363307143</v>
      </c>
      <c r="AW11" s="60">
        <f t="shared" si="101"/>
        <v>37.717969451663201</v>
      </c>
      <c r="AX11" s="60">
        <f t="shared" si="101"/>
        <v>38.585482749051458</v>
      </c>
      <c r="AY11" s="60">
        <f t="shared" si="101"/>
        <v>39.472948852279629</v>
      </c>
      <c r="AZ11" s="60">
        <f t="shared" si="101"/>
        <v>40.380826675882055</v>
      </c>
      <c r="BA11" s="60">
        <f t="shared" si="101"/>
        <v>41.309585689427344</v>
      </c>
      <c r="BB11" s="60">
        <f t="shared" si="101"/>
        <v>42.259706160284168</v>
      </c>
      <c r="BC11" s="60">
        <f t="shared" si="101"/>
        <v>43.231679401970695</v>
      </c>
      <c r="BD11" s="60">
        <f t="shared" si="101"/>
        <v>44.226008028216022</v>
      </c>
      <c r="BE11" s="60">
        <f t="shared" si="101"/>
        <v>45.243206212864983</v>
      </c>
      <c r="BF11" s="60">
        <f t="shared" si="101"/>
        <v>46.283799955760877</v>
      </c>
      <c r="BG11" s="60">
        <f t="shared" si="101"/>
        <v>47.348327354743368</v>
      </c>
      <c r="BH11" s="60">
        <f t="shared" si="101"/>
        <v>48.437338883902463</v>
      </c>
      <c r="BI11" s="60">
        <f t="shared" si="101"/>
        <v>49.551397678232213</v>
      </c>
      <c r="BJ11" s="60">
        <f t="shared" si="101"/>
        <v>50.691079824831547</v>
      </c>
      <c r="BK11" s="60">
        <f t="shared" si="101"/>
        <v>51.85697466080267</v>
      </c>
      <c r="BL11" s="60">
        <f t="shared" si="101"/>
        <v>53.049685078001126</v>
      </c>
      <c r="BM11" s="60">
        <f t="shared" si="101"/>
        <v>54.269827834795151</v>
      </c>
      <c r="BN11" s="60">
        <f t="shared" si="101"/>
        <v>55.518033874995439</v>
      </c>
      <c r="BQ11" t="s">
        <v>171</v>
      </c>
      <c r="BY11" s="30" t="s">
        <v>172</v>
      </c>
      <c r="CF11" s="43">
        <f>-AH35</f>
        <v>-0.28658380268238615</v>
      </c>
      <c r="CG11" s="43">
        <f>-AH42</f>
        <v>-0.95636598059990419</v>
      </c>
      <c r="CH11" s="43">
        <f>-AH58</f>
        <v>-3.1593953027688748</v>
      </c>
    </row>
    <row r="12" spans="1:89" x14ac:dyDescent="0.2">
      <c r="B12" s="1" t="s">
        <v>173</v>
      </c>
      <c r="D12" s="44">
        <f>D11*('R&amp;S - Transportation'!$D$19*(D3-$D$3)/10)</f>
        <v>0</v>
      </c>
      <c r="E12" s="44">
        <f>E11*'R&amp;S - Transportation'!$B$9*'R&amp;S - Transportation'!$D$19*(E3-$D$3)/10</f>
        <v>0.57420992594183173</v>
      </c>
      <c r="F12" s="44">
        <f>F11*'R&amp;S - Transportation'!$B$9*'R&amp;S - Transportation'!$D$19*(F3-$D$3)/10</f>
        <v>1.1748335084769876</v>
      </c>
      <c r="G12" s="44">
        <f>G11*'R&amp;S - Transportation'!$B$9*'R&amp;S - Transportation'!$D$19*(G3-$D$3)/10</f>
        <v>1.8027820187579373</v>
      </c>
      <c r="H12" s="44">
        <f>H11*'R&amp;S - Transportation'!$B$9*'R&amp;S - Transportation'!$D$19*(H3-$D$3)/10</f>
        <v>2.4589946735858264</v>
      </c>
      <c r="I12" s="44">
        <f>I11*'R&amp;S - Transportation'!$B$9*'R&amp;S - Transportation'!$D$19*(I3-$D$3)/10</f>
        <v>3.1444394388478747</v>
      </c>
      <c r="J12" s="44">
        <f>J11*'R&amp;S - Transportation'!$B$9*'R&amp;S - Transportation'!$D$19*(J3-$D$3)/10</f>
        <v>3.8601138551296517</v>
      </c>
      <c r="K12" s="44">
        <f>K11*'R&amp;S - Transportation'!$B$9*'R&amp;S - Transportation'!$D$19*(K3-$D$3)/10</f>
        <v>4.6070458860972376</v>
      </c>
      <c r="L12" s="44">
        <f>L11*'R&amp;S - Transportation'!$B$9*'R&amp;S - Transportation'!$D$19*(L3-$D$3)/10</f>
        <v>5.3862947902599698</v>
      </c>
      <c r="M12" s="44">
        <f>M11*'R&amp;S - Transportation'!$B$9*'R&amp;S - Transportation'!$D$19*(M3-$D$3)/10</f>
        <v>6.1989520167404422</v>
      </c>
      <c r="N12" s="44">
        <f>N11*'R&amp;S - Transportation'!$B$9*'R&amp;S - Transportation'!$D$19*(N3-$D$3)/10</f>
        <v>7.0461421256949688</v>
      </c>
      <c r="O12" s="44">
        <f>O11*'R&amp;S - Transportation'!$B$9*('R&amp;S - Transportation'!$D$19+('R&amp;S - Transportation'!$D$20-'R&amp;S - Transportation'!$D$19)*(O3-$N$3)/10)</f>
        <v>9.0102542432324402</v>
      </c>
      <c r="P12" s="44">
        <f>P11*'R&amp;S - Transportation'!$B$9*('R&amp;S - Transportation'!$D$19+('R&amp;S - Transportation'!$D$20-'R&amp;S - Transportation'!$D$19)*(P3-$N$3)/10)</f>
        <v>11.060988108992143</v>
      </c>
      <c r="Q12" s="44">
        <f>Q11*'R&amp;S - Transportation'!$B$9*('R&amp;S - Transportation'!$D$19+('R&amp;S - Transportation'!$D$20-'R&amp;S - Transportation'!$D$19)*(Q3-$N$3)/10)</f>
        <v>13.201289308082119</v>
      </c>
      <c r="R12" s="44">
        <f>R11*'R&amp;S - Transportation'!$B$9*('R&amp;S - Transportation'!$D$19+('R&amp;S - Transportation'!$D$20-'R&amp;S - Transportation'!$D$19)*(R3-$N$3)/10)</f>
        <v>15.434193099620584</v>
      </c>
      <c r="S12" s="44">
        <f>S11*'R&amp;S - Transportation'!$B$9*('R&amp;S - Transportation'!$D$19+('R&amp;S - Transportation'!$D$20-'R&amp;S - Transportation'!$D$19)*(S3-$N$3)/10)</f>
        <v>17.76282698352583</v>
      </c>
      <c r="T12" s="44">
        <f>T11*'R&amp;S - Transportation'!$B$9*('R&amp;S - Transportation'!$D$19+('R&amp;S - Transportation'!$D$20-'R&amp;S - Transportation'!$D$19)*(T3-$N$3)/10)</f>
        <v>20.190413337941024</v>
      </c>
      <c r="U12" s="44">
        <f>U11*'R&amp;S - Transportation'!$B$9*('R&amp;S - Transportation'!$D$19+('R&amp;S - Transportation'!$D$20-'R&amp;S - Transportation'!$D$19)*(U3-$N$3)/10)</f>
        <v>22.720272129185041</v>
      </c>
      <c r="V12" s="44">
        <f>V11*'R&amp;S - Transportation'!$B$9*('R&amp;S - Transportation'!$D$19+('R&amp;S - Transportation'!$D$20-'R&amp;S - Transportation'!$D$19)*(V3-$N$3)/10)</f>
        <v>25.3558236961705</v>
      </c>
      <c r="W12" s="44">
        <f>W11*'R&amp;S - Transportation'!$B$9*('R&amp;S - Transportation'!$D$19+('R&amp;S - Transportation'!$D$20-'R&amp;S - Transportation'!$D$19)*(W3-$N$3)/10)</f>
        <v>28.100591611280947</v>
      </c>
      <c r="X12" s="44">
        <f>X11*'R&amp;S - Transportation'!$B$9*('R&amp;S - Transportation'!$D$19+('R&amp;S - Transportation'!$D$20-'R&amp;S - Transportation'!$D$19)*(X3-$N$3)/10)</f>
        <v>30.958205619751212</v>
      </c>
      <c r="Y12" s="44">
        <f>Y11*'R&amp;S - Transportation'!$B$9*('R&amp;S - Transportation'!$D$20+('R&amp;S - Transportation'!$D$21-'R&amp;S - Transportation'!$D$20)*(Y3-$X$3)/10)</f>
        <v>33.027540535391438</v>
      </c>
      <c r="Z12" s="44">
        <f>Z11*'R&amp;S - Transportation'!$B$9*('R&amp;S - Transportation'!$D$20+('R&amp;S - Transportation'!$D$21-'R&amp;S - Transportation'!$D$20)*(Z3-$X$3)/10)</f>
        <v>35.17568796637827</v>
      </c>
      <c r="AA12" s="44">
        <f>AA11*'R&amp;S - Transportation'!$B$9*('R&amp;S - Transportation'!$D$20+('R&amp;S - Transportation'!$D$21-'R&amp;S - Transportation'!$D$20)*(AA3-$X$3)/10)</f>
        <v>37.405178610247255</v>
      </c>
      <c r="AB12" s="44">
        <f>AB11*'R&amp;S - Transportation'!$B$9*('R&amp;S - Transportation'!$D$20+('R&amp;S - Transportation'!$D$21-'R&amp;S - Transportation'!$D$20)*(AB3-$X$3)/10)</f>
        <v>39.718617884800018</v>
      </c>
      <c r="AC12" s="44">
        <f>AC11*'R&amp;S - Transportation'!$B$9*('R&amp;S - Transportation'!$D$20+('R&amp;S - Transportation'!$D$21-'R&amp;S - Transportation'!$D$20)*(AC3-$X$3)/10)</f>
        <v>42.118688026497381</v>
      </c>
      <c r="AD12" s="44">
        <f>AD11*'R&amp;S - Transportation'!$B$9*('R&amp;S - Transportation'!$D$20+('R&amp;S - Transportation'!$D$21-'R&amp;S - Transportation'!$D$20)*(AD3-$X$3)/10)</f>
        <v>44.60815024585176</v>
      </c>
      <c r="AE12" s="44">
        <f>AE11*'R&amp;S - Transportation'!$B$9*('R&amp;S - Transportation'!$D$20+('R&amp;S - Transportation'!$D$21-'R&amp;S - Transportation'!$D$20)*(AE3-$X$3)/10)</f>
        <v>47.18984694133043</v>
      </c>
      <c r="AF12" s="44">
        <f>AF11*'R&amp;S - Transportation'!$B$9*('R&amp;S - Transportation'!$D$20+('R&amp;S - Transportation'!$D$21-'R&amp;S - Transportation'!$D$20)*(AF3-$X$3)/10)</f>
        <v>49.866703973321059</v>
      </c>
      <c r="AG12" s="44">
        <f>AG11*'R&amp;S - Transportation'!$B$9*('R&amp;S - Transportation'!$D$20+('R&amp;S - Transportation'!$D$21-'R&amp;S - Transportation'!$D$20)*(AG3-$X$3)/10)</f>
        <v>52.641732999751298</v>
      </c>
      <c r="AH12" s="44">
        <f>AH11*'R&amp;S - Transportation'!$B$9*('R&amp;S - Transportation'!$D$20+('R&amp;S - Transportation'!$D$21-'R&amp;S - Transportation'!$D$20)*(AH3-$X$3)/10)</f>
        <v>55.518033874995439</v>
      </c>
      <c r="AJ12" s="44">
        <f t="shared" ref="AJ12:AJ14" si="102">D12</f>
        <v>0</v>
      </c>
      <c r="AK12" s="44">
        <f t="shared" ref="AK12:AK14" si="103">E12</f>
        <v>0.57420992594183173</v>
      </c>
      <c r="AL12" s="44">
        <f t="shared" ref="AL12:AL14" si="104">F12</f>
        <v>1.1748335084769876</v>
      </c>
      <c r="AM12" s="44">
        <f t="shared" ref="AM12:AM14" si="105">G12</f>
        <v>1.8027820187579373</v>
      </c>
      <c r="AN12" s="44">
        <f t="shared" ref="AN12:AN14" si="106">H12</f>
        <v>2.4589946735858264</v>
      </c>
      <c r="AO12" s="44">
        <f t="shared" ref="AO12:AO14" si="107">I12</f>
        <v>3.1444394388478747</v>
      </c>
      <c r="AP12" s="44">
        <f t="shared" ref="AP12:AP14" si="108">J12</f>
        <v>3.8601138551296517</v>
      </c>
      <c r="AQ12" s="44">
        <f t="shared" ref="AQ12:AQ14" si="109">K12</f>
        <v>4.6070458860972376</v>
      </c>
      <c r="AR12" s="44">
        <f t="shared" ref="AR12:AR14" si="110">L12</f>
        <v>5.3862947902599698</v>
      </c>
      <c r="AS12" s="44">
        <f t="shared" ref="AS12:AS14" si="111">M12</f>
        <v>6.1989520167404422</v>
      </c>
      <c r="AT12" s="44">
        <f t="shared" ref="AT12:AT14" si="112">N12</f>
        <v>7.0461421256949688</v>
      </c>
      <c r="AU12" s="44">
        <f t="shared" ref="AU12:AU14" si="113">O12</f>
        <v>9.0102542432324402</v>
      </c>
      <c r="AV12" s="44">
        <f t="shared" ref="AV12:AV14" si="114">P12</f>
        <v>11.060988108992143</v>
      </c>
      <c r="AW12" s="44">
        <f t="shared" ref="AW12:AW14" si="115">Q12</f>
        <v>13.201289308082119</v>
      </c>
      <c r="AX12" s="44">
        <f t="shared" ref="AX12:AX14" si="116">R12</f>
        <v>15.434193099620584</v>
      </c>
      <c r="AY12" s="44">
        <f t="shared" ref="AY12:AY14" si="117">S12</f>
        <v>17.76282698352583</v>
      </c>
      <c r="AZ12" s="44">
        <f t="shared" ref="AZ12:AZ14" si="118">T12</f>
        <v>20.190413337941024</v>
      </c>
      <c r="BA12" s="44">
        <f t="shared" ref="BA12:BA14" si="119">U12</f>
        <v>22.720272129185041</v>
      </c>
      <c r="BB12" s="44">
        <f t="shared" ref="BB12:BB14" si="120">V12</f>
        <v>25.3558236961705</v>
      </c>
      <c r="BC12" s="44">
        <f t="shared" ref="BC12:BC14" si="121">W12</f>
        <v>28.100591611280947</v>
      </c>
      <c r="BD12" s="44">
        <f t="shared" ref="BD12:BD14" si="122">X12</f>
        <v>30.958205619751212</v>
      </c>
      <c r="BE12" s="44">
        <f t="shared" ref="BE12:BE14" si="123">Y12</f>
        <v>33.027540535391438</v>
      </c>
      <c r="BF12" s="44">
        <f t="shared" ref="BF12:BF14" si="124">Z12</f>
        <v>35.17568796637827</v>
      </c>
      <c r="BG12" s="44">
        <f t="shared" ref="BG12:BG14" si="125">AA12</f>
        <v>37.405178610247255</v>
      </c>
      <c r="BH12" s="44">
        <f t="shared" ref="BH12:BH14" si="126">AB12</f>
        <v>39.718617884800018</v>
      </c>
      <c r="BI12" s="44">
        <f t="shared" ref="BI12:BI14" si="127">AC12</f>
        <v>42.118688026497381</v>
      </c>
      <c r="BJ12" s="44">
        <f t="shared" ref="BJ12:BJ14" si="128">AD12</f>
        <v>44.60815024585176</v>
      </c>
      <c r="BK12" s="44">
        <f t="shared" ref="BK12:BK14" si="129">AE12</f>
        <v>47.18984694133043</v>
      </c>
      <c r="BL12" s="44">
        <f t="shared" ref="BL12:BL14" si="130">AF12</f>
        <v>49.866703973321059</v>
      </c>
      <c r="BM12" s="44">
        <f t="shared" ref="BM12:BM14" si="131">AG12</f>
        <v>52.641732999751298</v>
      </c>
      <c r="BN12" s="44">
        <f t="shared" ref="BN12:BN14" si="132">AH12</f>
        <v>55.518033874995439</v>
      </c>
      <c r="BQ12" t="s">
        <v>174</v>
      </c>
      <c r="BR12" s="44">
        <f>AH6-D6</f>
        <v>72.182590440840244</v>
      </c>
      <c r="BY12" s="30" t="s">
        <v>175</v>
      </c>
      <c r="CA12" s="539">
        <f>AH6-D6</f>
        <v>72.182590440840244</v>
      </c>
      <c r="CC12" s="538">
        <f>65</f>
        <v>65</v>
      </c>
      <c r="CI12" s="44">
        <f>AH65</f>
        <v>1.2159793468079723</v>
      </c>
    </row>
    <row r="13" spans="1:89" x14ac:dyDescent="0.2">
      <c r="B13" s="1" t="s">
        <v>176</v>
      </c>
      <c r="D13" s="44">
        <f>D11-D12</f>
        <v>28.065001267929215</v>
      </c>
      <c r="E13" s="44">
        <f t="shared" ref="E13:AH13" si="133">E11-E12</f>
        <v>28.136286371149751</v>
      </c>
      <c r="F13" s="44">
        <f t="shared" si="133"/>
        <v>28.196004203447703</v>
      </c>
      <c r="G13" s="44">
        <f t="shared" si="133"/>
        <v>28.243584960541014</v>
      </c>
      <c r="H13" s="44">
        <f t="shared" si="133"/>
        <v>28.278438746237001</v>
      </c>
      <c r="I13" s="44">
        <f t="shared" si="133"/>
        <v>28.29995494963087</v>
      </c>
      <c r="J13" s="44">
        <f t="shared" si="133"/>
        <v>28.307501604284109</v>
      </c>
      <c r="K13" s="44">
        <f t="shared" si="133"/>
        <v>28.30042472888303</v>
      </c>
      <c r="L13" s="44">
        <f t="shared" si="133"/>
        <v>28.278047648864838</v>
      </c>
      <c r="M13" s="44">
        <f t="shared" si="133"/>
        <v>28.239670298484235</v>
      </c>
      <c r="N13" s="44">
        <f t="shared" si="133"/>
        <v>28.184568502779875</v>
      </c>
      <c r="O13" s="44">
        <f t="shared" si="133"/>
        <v>27.030762729697322</v>
      </c>
      <c r="P13" s="44">
        <f t="shared" si="133"/>
        <v>25.808972254315002</v>
      </c>
      <c r="Q13" s="44">
        <f t="shared" si="133"/>
        <v>24.516680143581084</v>
      </c>
      <c r="R13" s="44">
        <f t="shared" si="133"/>
        <v>23.151289649430872</v>
      </c>
      <c r="S13" s="44">
        <f t="shared" si="133"/>
        <v>21.710121868753799</v>
      </c>
      <c r="T13" s="44">
        <f t="shared" si="133"/>
        <v>20.190413337941031</v>
      </c>
      <c r="U13" s="44">
        <f t="shared" si="133"/>
        <v>18.589313560242303</v>
      </c>
      <c r="V13" s="44">
        <f t="shared" si="133"/>
        <v>16.903882464113668</v>
      </c>
      <c r="W13" s="44">
        <f t="shared" si="133"/>
        <v>15.131087790689747</v>
      </c>
      <c r="X13" s="44">
        <f t="shared" si="133"/>
        <v>13.26780240846481</v>
      </c>
      <c r="Y13" s="44">
        <f t="shared" si="133"/>
        <v>12.215665677473545</v>
      </c>
      <c r="Z13" s="44">
        <f t="shared" si="133"/>
        <v>11.108111989382607</v>
      </c>
      <c r="AA13" s="44">
        <f t="shared" si="133"/>
        <v>9.9431487444961135</v>
      </c>
      <c r="AB13" s="44">
        <f t="shared" si="133"/>
        <v>8.7187209991024446</v>
      </c>
      <c r="AC13" s="44">
        <f t="shared" si="133"/>
        <v>7.4327096517348323</v>
      </c>
      <c r="AD13" s="44">
        <f t="shared" si="133"/>
        <v>6.0829295789797868</v>
      </c>
      <c r="AE13" s="44">
        <f t="shared" si="133"/>
        <v>4.6671277194722407</v>
      </c>
      <c r="AF13" s="44">
        <f t="shared" si="133"/>
        <v>3.1829811046800671</v>
      </c>
      <c r="AG13" s="44">
        <f t="shared" si="133"/>
        <v>1.6280948350438535</v>
      </c>
      <c r="AH13" s="44">
        <f t="shared" si="133"/>
        <v>0</v>
      </c>
      <c r="AJ13" s="44">
        <f t="shared" si="102"/>
        <v>28.065001267929215</v>
      </c>
      <c r="AK13" s="44">
        <f t="shared" si="103"/>
        <v>28.136286371149751</v>
      </c>
      <c r="AL13" s="44">
        <f t="shared" si="104"/>
        <v>28.196004203447703</v>
      </c>
      <c r="AM13" s="44">
        <f t="shared" si="105"/>
        <v>28.243584960541014</v>
      </c>
      <c r="AN13" s="44">
        <f t="shared" si="106"/>
        <v>28.278438746237001</v>
      </c>
      <c r="AO13" s="44">
        <f t="shared" si="107"/>
        <v>28.29995494963087</v>
      </c>
      <c r="AP13" s="44">
        <f t="shared" si="108"/>
        <v>28.307501604284109</v>
      </c>
      <c r="AQ13" s="44">
        <f t="shared" si="109"/>
        <v>28.30042472888303</v>
      </c>
      <c r="AR13" s="44">
        <f t="shared" si="110"/>
        <v>28.278047648864838</v>
      </c>
      <c r="AS13" s="44">
        <f t="shared" si="111"/>
        <v>28.239670298484235</v>
      </c>
      <c r="AT13" s="44">
        <f t="shared" si="112"/>
        <v>28.184568502779875</v>
      </c>
      <c r="AU13" s="44">
        <f t="shared" si="113"/>
        <v>27.030762729697322</v>
      </c>
      <c r="AV13" s="44">
        <f t="shared" si="114"/>
        <v>25.808972254315002</v>
      </c>
      <c r="AW13" s="44">
        <f t="shared" si="115"/>
        <v>24.516680143581084</v>
      </c>
      <c r="AX13" s="44">
        <f t="shared" si="116"/>
        <v>23.151289649430872</v>
      </c>
      <c r="AY13" s="44">
        <f t="shared" si="117"/>
        <v>21.710121868753799</v>
      </c>
      <c r="AZ13" s="44">
        <f t="shared" si="118"/>
        <v>20.190413337941031</v>
      </c>
      <c r="BA13" s="44">
        <f t="shared" si="119"/>
        <v>18.589313560242303</v>
      </c>
      <c r="BB13" s="44">
        <f t="shared" si="120"/>
        <v>16.903882464113668</v>
      </c>
      <c r="BC13" s="44">
        <f t="shared" si="121"/>
        <v>15.131087790689747</v>
      </c>
      <c r="BD13" s="44">
        <f t="shared" si="122"/>
        <v>13.26780240846481</v>
      </c>
      <c r="BE13" s="44">
        <f t="shared" si="123"/>
        <v>12.215665677473545</v>
      </c>
      <c r="BF13" s="44">
        <f t="shared" si="124"/>
        <v>11.108111989382607</v>
      </c>
      <c r="BG13" s="44">
        <f t="shared" si="125"/>
        <v>9.9431487444961135</v>
      </c>
      <c r="BH13" s="44">
        <f t="shared" si="126"/>
        <v>8.7187209991024446</v>
      </c>
      <c r="BI13" s="44">
        <f t="shared" si="127"/>
        <v>7.4327096517348323</v>
      </c>
      <c r="BJ13" s="44">
        <f t="shared" si="128"/>
        <v>6.0829295789797868</v>
      </c>
      <c r="BK13" s="44">
        <f t="shared" si="129"/>
        <v>4.6671277194722407</v>
      </c>
      <c r="BL13" s="44">
        <f t="shared" si="130"/>
        <v>3.1829811046800671</v>
      </c>
      <c r="BM13" s="44">
        <f t="shared" si="131"/>
        <v>1.6280948350438535</v>
      </c>
      <c r="BN13" s="44">
        <f t="shared" si="132"/>
        <v>0</v>
      </c>
    </row>
    <row r="14" spans="1:89" x14ac:dyDescent="0.2">
      <c r="A14" s="1" t="s">
        <v>249</v>
      </c>
      <c r="C14" s="1"/>
      <c r="D14" s="66">
        <f t="shared" ref="D14:AH14" si="134">D6-D12</f>
        <v>70.960266702016895</v>
      </c>
      <c r="E14" s="66">
        <f t="shared" si="134"/>
        <v>74.814660528239799</v>
      </c>
      <c r="F14" s="66">
        <f t="shared" si="134"/>
        <v>78.642640697869368</v>
      </c>
      <c r="G14" s="66">
        <f t="shared" si="134"/>
        <v>82.44329593975317</v>
      </c>
      <c r="H14" s="66">
        <f t="shared" si="134"/>
        <v>86.215687037090035</v>
      </c>
      <c r="I14" s="66">
        <f t="shared" si="134"/>
        <v>89.958846023992734</v>
      </c>
      <c r="J14" s="66">
        <f t="shared" si="134"/>
        <v>93.671775359875667</v>
      </c>
      <c r="K14" s="66">
        <f t="shared" si="134"/>
        <v>97.353447081072844</v>
      </c>
      <c r="L14" s="66">
        <f t="shared" si="134"/>
        <v>101.00280192907483</v>
      </c>
      <c r="M14" s="66">
        <f t="shared" si="134"/>
        <v>104.6187484547591</v>
      </c>
      <c r="N14" s="66">
        <f t="shared" si="134"/>
        <v>108.20016209796931</v>
      </c>
      <c r="O14" s="66">
        <f t="shared" si="134"/>
        <v>107.98087762639149</v>
      </c>
      <c r="P14" s="66">
        <f t="shared" si="134"/>
        <v>107.67497140659142</v>
      </c>
      <c r="Q14" s="66">
        <f t="shared" si="134"/>
        <v>107.27949785346109</v>
      </c>
      <c r="R14" s="66">
        <f t="shared" si="134"/>
        <v>106.79142170788228</v>
      </c>
      <c r="S14" s="66">
        <f t="shared" si="134"/>
        <v>106.20761546993668</v>
      </c>
      <c r="T14" s="66">
        <f t="shared" si="134"/>
        <v>105.32485676148114</v>
      </c>
      <c r="U14" s="66">
        <f t="shared" si="134"/>
        <v>104.33982561619675</v>
      </c>
      <c r="V14" s="66">
        <f t="shared" si="134"/>
        <v>103.24910169517095</v>
      </c>
      <c r="W14" s="66">
        <f t="shared" si="134"/>
        <v>102.04916142602011</v>
      </c>
      <c r="X14" s="66">
        <f t="shared" si="134"/>
        <v>100.7363750635095</v>
      </c>
      <c r="Y14" s="66">
        <f t="shared" si="134"/>
        <v>99.811867793828924</v>
      </c>
      <c r="Z14" s="66">
        <f t="shared" si="134"/>
        <v>98.80854800880175</v>
      </c>
      <c r="AA14" s="66">
        <f t="shared" si="134"/>
        <v>97.723885010892388</v>
      </c>
      <c r="AB14" s="66">
        <f t="shared" si="134"/>
        <v>96.555273382299276</v>
      </c>
      <c r="AC14" s="66">
        <f t="shared" si="134"/>
        <v>95.300030886561558</v>
      </c>
      <c r="AD14" s="66">
        <f t="shared" si="134"/>
        <v>93.95539631316683</v>
      </c>
      <c r="AE14" s="66">
        <f t="shared" si="134"/>
        <v>92.518527263647783</v>
      </c>
      <c r="AF14" s="66">
        <f t="shared" si="134"/>
        <v>90.986497877616813</v>
      </c>
      <c r="AG14" s="66">
        <f t="shared" si="134"/>
        <v>89.356296497146218</v>
      </c>
      <c r="AH14" s="66">
        <f t="shared" si="134"/>
        <v>87.6248232678617</v>
      </c>
      <c r="AJ14" s="66">
        <f t="shared" si="102"/>
        <v>70.960266702016895</v>
      </c>
      <c r="AK14" s="66">
        <f t="shared" si="103"/>
        <v>74.814660528239799</v>
      </c>
      <c r="AL14" s="66">
        <f t="shared" si="104"/>
        <v>78.642640697869368</v>
      </c>
      <c r="AM14" s="66">
        <f t="shared" si="105"/>
        <v>82.44329593975317</v>
      </c>
      <c r="AN14" s="66">
        <f t="shared" si="106"/>
        <v>86.215687037090035</v>
      </c>
      <c r="AO14" s="66">
        <f t="shared" si="107"/>
        <v>89.958846023992734</v>
      </c>
      <c r="AP14" s="66">
        <f t="shared" si="108"/>
        <v>93.671775359875667</v>
      </c>
      <c r="AQ14" s="66">
        <f t="shared" si="109"/>
        <v>97.353447081072844</v>
      </c>
      <c r="AR14" s="66">
        <f t="shared" si="110"/>
        <v>101.00280192907483</v>
      </c>
      <c r="AS14" s="66">
        <f t="shared" si="111"/>
        <v>104.6187484547591</v>
      </c>
      <c r="AT14" s="66">
        <f t="shared" si="112"/>
        <v>108.20016209796931</v>
      </c>
      <c r="AU14" s="66">
        <f t="shared" si="113"/>
        <v>107.98087762639149</v>
      </c>
      <c r="AV14" s="66">
        <f t="shared" si="114"/>
        <v>107.67497140659142</v>
      </c>
      <c r="AW14" s="66">
        <f t="shared" si="115"/>
        <v>107.27949785346109</v>
      </c>
      <c r="AX14" s="66">
        <f t="shared" si="116"/>
        <v>106.79142170788228</v>
      </c>
      <c r="AY14" s="66">
        <f t="shared" si="117"/>
        <v>106.20761546993668</v>
      </c>
      <c r="AZ14" s="66">
        <f t="shared" si="118"/>
        <v>105.32485676148114</v>
      </c>
      <c r="BA14" s="66">
        <f t="shared" si="119"/>
        <v>104.33982561619675</v>
      </c>
      <c r="BB14" s="66">
        <f t="shared" si="120"/>
        <v>103.24910169517095</v>
      </c>
      <c r="BC14" s="66">
        <f t="shared" si="121"/>
        <v>102.04916142602011</v>
      </c>
      <c r="BD14" s="66">
        <f t="shared" si="122"/>
        <v>100.7363750635095</v>
      </c>
      <c r="BE14" s="66">
        <f t="shared" si="123"/>
        <v>99.811867793828924</v>
      </c>
      <c r="BF14" s="66">
        <f t="shared" si="124"/>
        <v>98.80854800880175</v>
      </c>
      <c r="BG14" s="66">
        <f t="shared" si="125"/>
        <v>97.723885010892388</v>
      </c>
      <c r="BH14" s="66">
        <f t="shared" si="126"/>
        <v>96.555273382299276</v>
      </c>
      <c r="BI14" s="66">
        <f t="shared" si="127"/>
        <v>95.300030886561558</v>
      </c>
      <c r="BJ14" s="66">
        <f t="shared" si="128"/>
        <v>93.95539631316683</v>
      </c>
      <c r="BK14" s="66">
        <f t="shared" si="129"/>
        <v>92.518527263647783</v>
      </c>
      <c r="BL14" s="66">
        <f t="shared" si="130"/>
        <v>90.986497877616813</v>
      </c>
      <c r="BM14" s="66">
        <f t="shared" si="131"/>
        <v>89.356296497146218</v>
      </c>
      <c r="BN14" s="66">
        <f t="shared" si="132"/>
        <v>87.6248232678617</v>
      </c>
      <c r="BQ14" s="1" t="s">
        <v>178</v>
      </c>
      <c r="BR14" t="s">
        <v>179</v>
      </c>
      <c r="BS14" s="44">
        <f>AH5</f>
        <v>38.857142857142854</v>
      </c>
    </row>
    <row r="15" spans="1:89" s="67" customFormat="1" x14ac:dyDescent="0.2">
      <c r="A15" s="681"/>
      <c r="B15" s="58" t="s">
        <v>246</v>
      </c>
      <c r="C15" s="59" t="s">
        <v>153</v>
      </c>
      <c r="D15" s="60">
        <f t="shared" ref="D15:AH15" si="135">D7</f>
        <v>7.192774760698633</v>
      </c>
      <c r="E15" s="60">
        <f t="shared" si="135"/>
        <v>7.6416731481225399</v>
      </c>
      <c r="F15" s="60">
        <f t="shared" si="135"/>
        <v>8.0905715355464469</v>
      </c>
      <c r="G15" s="60">
        <f t="shared" si="135"/>
        <v>8.5394699229703548</v>
      </c>
      <c r="H15" s="60">
        <f t="shared" si="135"/>
        <v>8.9883683103942644</v>
      </c>
      <c r="I15" s="60">
        <f t="shared" si="135"/>
        <v>9.4372666978181723</v>
      </c>
      <c r="J15" s="60">
        <f t="shared" si="135"/>
        <v>9.8861650852420784</v>
      </c>
      <c r="K15" s="60">
        <f t="shared" si="135"/>
        <v>10.335063472665988</v>
      </c>
      <c r="L15" s="60">
        <f t="shared" si="135"/>
        <v>10.783961860089894</v>
      </c>
      <c r="M15" s="60">
        <f t="shared" si="135"/>
        <v>11.2328602475138</v>
      </c>
      <c r="N15" s="60">
        <f t="shared" si="135"/>
        <v>11.68175863493771</v>
      </c>
      <c r="O15" s="60">
        <f t="shared" si="135"/>
        <v>11.858620318763244</v>
      </c>
      <c r="P15" s="60">
        <f t="shared" si="135"/>
        <v>12.035482002588779</v>
      </c>
      <c r="Q15" s="60">
        <f t="shared" si="135"/>
        <v>12.212343686414314</v>
      </c>
      <c r="R15" s="60">
        <f t="shared" si="135"/>
        <v>12.389205370239848</v>
      </c>
      <c r="S15" s="60">
        <f t="shared" si="135"/>
        <v>12.566067054065384</v>
      </c>
      <c r="T15" s="60">
        <f t="shared" si="135"/>
        <v>12.722656055458923</v>
      </c>
      <c r="U15" s="60">
        <f t="shared" si="135"/>
        <v>12.87924505685246</v>
      </c>
      <c r="V15" s="60">
        <f t="shared" si="135"/>
        <v>13.035834058246001</v>
      </c>
      <c r="W15" s="60">
        <f t="shared" si="135"/>
        <v>13.192423059639536</v>
      </c>
      <c r="X15" s="60">
        <f t="shared" si="135"/>
        <v>13.349012061033076</v>
      </c>
      <c r="Y15" s="60">
        <f t="shared" si="135"/>
        <v>13.465055697562624</v>
      </c>
      <c r="Z15" s="60">
        <f t="shared" si="135"/>
        <v>13.581099334092171</v>
      </c>
      <c r="AA15" s="60">
        <f t="shared" si="135"/>
        <v>13.697142970621716</v>
      </c>
      <c r="AB15" s="60">
        <f t="shared" si="135"/>
        <v>13.813186607151264</v>
      </c>
      <c r="AC15" s="60">
        <f t="shared" si="135"/>
        <v>13.929230243680811</v>
      </c>
      <c r="AD15" s="60">
        <f t="shared" si="135"/>
        <v>14.04527388021036</v>
      </c>
      <c r="AE15" s="60">
        <f t="shared" si="135"/>
        <v>14.161317516739903</v>
      </c>
      <c r="AF15" s="60">
        <f t="shared" si="135"/>
        <v>14.277361153269451</v>
      </c>
      <c r="AG15" s="60">
        <f t="shared" si="135"/>
        <v>14.393404789798998</v>
      </c>
      <c r="AH15" s="60">
        <f t="shared" si="135"/>
        <v>14.509448426328543</v>
      </c>
      <c r="AJ15" s="60">
        <f t="shared" ref="AJ15:AJ17" si="136">D15</f>
        <v>7.192774760698633</v>
      </c>
      <c r="AK15" s="60">
        <f t="shared" ref="AK15:AK18" si="137">E15</f>
        <v>7.6416731481225399</v>
      </c>
      <c r="AL15" s="60">
        <f t="shared" ref="AL15:AL18" si="138">F15</f>
        <v>8.0905715355464469</v>
      </c>
      <c r="AM15" s="60">
        <f t="shared" ref="AM15:AM18" si="139">G15</f>
        <v>8.5394699229703548</v>
      </c>
      <c r="AN15" s="60">
        <f t="shared" ref="AN15:AN18" si="140">H15</f>
        <v>8.9883683103942644</v>
      </c>
      <c r="AO15" s="60">
        <f t="shared" ref="AO15:AO18" si="141">I15</f>
        <v>9.4372666978181723</v>
      </c>
      <c r="AP15" s="60">
        <f t="shared" ref="AP15:AP18" si="142">J15</f>
        <v>9.8861650852420784</v>
      </c>
      <c r="AQ15" s="60">
        <f t="shared" ref="AQ15:AQ18" si="143">K15</f>
        <v>10.335063472665988</v>
      </c>
      <c r="AR15" s="60">
        <f t="shared" ref="AR15:AR18" si="144">L15</f>
        <v>10.783961860089894</v>
      </c>
      <c r="AS15" s="60">
        <f t="shared" ref="AS15:AS18" si="145">M15</f>
        <v>11.2328602475138</v>
      </c>
      <c r="AT15" s="60">
        <f t="shared" ref="AT15:AT18" si="146">N15</f>
        <v>11.68175863493771</v>
      </c>
      <c r="AU15" s="60">
        <f t="shared" ref="AU15:AU18" si="147">O15</f>
        <v>11.858620318763244</v>
      </c>
      <c r="AV15" s="60">
        <f t="shared" ref="AV15:AV18" si="148">P15</f>
        <v>12.035482002588779</v>
      </c>
      <c r="AW15" s="60">
        <f t="shared" ref="AW15:AW18" si="149">Q15</f>
        <v>12.212343686414314</v>
      </c>
      <c r="AX15" s="60">
        <f t="shared" ref="AX15:AX18" si="150">R15</f>
        <v>12.389205370239848</v>
      </c>
      <c r="AY15" s="60">
        <f t="shared" ref="AY15:AY18" si="151">S15</f>
        <v>12.566067054065384</v>
      </c>
      <c r="AZ15" s="60">
        <f t="shared" ref="AZ15:AZ18" si="152">T15</f>
        <v>12.722656055458923</v>
      </c>
      <c r="BA15" s="60">
        <f t="shared" ref="BA15:BA18" si="153">U15</f>
        <v>12.87924505685246</v>
      </c>
      <c r="BB15" s="60">
        <f t="shared" ref="BB15:BB18" si="154">V15</f>
        <v>13.035834058246001</v>
      </c>
      <c r="BC15" s="60">
        <f t="shared" ref="BC15:BC18" si="155">W15</f>
        <v>13.192423059639536</v>
      </c>
      <c r="BD15" s="60">
        <f t="shared" ref="BD15:BD18" si="156">X15</f>
        <v>13.349012061033076</v>
      </c>
      <c r="BE15" s="60">
        <f t="shared" ref="BE15:BE18" si="157">Y15</f>
        <v>13.465055697562624</v>
      </c>
      <c r="BF15" s="60">
        <f t="shared" ref="BF15:BF18" si="158">Z15</f>
        <v>13.581099334092171</v>
      </c>
      <c r="BG15" s="60">
        <f t="shared" ref="BG15:BG18" si="159">AA15</f>
        <v>13.697142970621716</v>
      </c>
      <c r="BH15" s="60">
        <f t="shared" ref="BH15:BH18" si="160">AB15</f>
        <v>13.813186607151264</v>
      </c>
      <c r="BI15" s="60">
        <f t="shared" ref="BI15:BI18" si="161">AC15</f>
        <v>13.929230243680811</v>
      </c>
      <c r="BJ15" s="60">
        <f t="shared" ref="BJ15:BJ18" si="162">AD15</f>
        <v>14.04527388021036</v>
      </c>
      <c r="BK15" s="60">
        <f t="shared" ref="BK15:BK18" si="163">AE15</f>
        <v>14.161317516739903</v>
      </c>
      <c r="BL15" s="60">
        <f t="shared" ref="BL15:BL18" si="164">AF15</f>
        <v>14.277361153269451</v>
      </c>
      <c r="BM15" s="60">
        <f t="shared" ref="BM15:BM18" si="165">AG15</f>
        <v>14.393404789798998</v>
      </c>
      <c r="BN15" s="60">
        <f t="shared" ref="BN15:BN18" si="166">AH15</f>
        <v>14.509448426328543</v>
      </c>
    </row>
    <row r="16" spans="1:89" ht="64" x14ac:dyDescent="0.2">
      <c r="A16" s="682"/>
      <c r="B16" s="1" t="s">
        <v>247</v>
      </c>
      <c r="C16" s="54" t="s">
        <v>153</v>
      </c>
      <c r="D16" s="44">
        <f t="shared" ref="D16:AH16" si="167">D8-D12</f>
        <v>28.065001267929215</v>
      </c>
      <c r="E16" s="44">
        <f t="shared" si="167"/>
        <v>28.136286371149751</v>
      </c>
      <c r="F16" s="44">
        <f t="shared" si="167"/>
        <v>28.196004203447703</v>
      </c>
      <c r="G16" s="44">
        <f t="shared" si="167"/>
        <v>28.243584960541014</v>
      </c>
      <c r="H16" s="44">
        <f t="shared" si="167"/>
        <v>28.278438746237001</v>
      </c>
      <c r="I16" s="44">
        <f t="shared" si="167"/>
        <v>28.29995494963087</v>
      </c>
      <c r="J16" s="44">
        <f t="shared" si="167"/>
        <v>28.307501604284109</v>
      </c>
      <c r="K16" s="44">
        <f t="shared" si="167"/>
        <v>28.30042472888303</v>
      </c>
      <c r="L16" s="44">
        <f t="shared" si="167"/>
        <v>28.278047648864838</v>
      </c>
      <c r="M16" s="44">
        <f t="shared" si="167"/>
        <v>28.239670298484235</v>
      </c>
      <c r="N16" s="44">
        <f t="shared" si="167"/>
        <v>28.184568502779875</v>
      </c>
      <c r="O16" s="44">
        <f t="shared" si="167"/>
        <v>27.030762729697322</v>
      </c>
      <c r="P16" s="44">
        <f t="shared" si="167"/>
        <v>25.808972254315002</v>
      </c>
      <c r="Q16" s="44">
        <f t="shared" si="167"/>
        <v>24.516680143581084</v>
      </c>
      <c r="R16" s="44">
        <f t="shared" si="167"/>
        <v>23.151289649430872</v>
      </c>
      <c r="S16" s="44">
        <f t="shared" si="167"/>
        <v>21.710121868753799</v>
      </c>
      <c r="T16" s="44">
        <f t="shared" si="167"/>
        <v>20.190413337941031</v>
      </c>
      <c r="U16" s="44">
        <f t="shared" si="167"/>
        <v>18.589313560242303</v>
      </c>
      <c r="V16" s="44">
        <f t="shared" si="167"/>
        <v>16.903882464113668</v>
      </c>
      <c r="W16" s="44">
        <f t="shared" si="167"/>
        <v>15.131087790689747</v>
      </c>
      <c r="X16" s="44">
        <f t="shared" si="167"/>
        <v>13.26780240846481</v>
      </c>
      <c r="Y16" s="44">
        <f t="shared" si="167"/>
        <v>12.215665677473545</v>
      </c>
      <c r="Z16" s="44">
        <f t="shared" si="167"/>
        <v>11.108111989382607</v>
      </c>
      <c r="AA16" s="44">
        <f t="shared" si="167"/>
        <v>9.9431487444961135</v>
      </c>
      <c r="AB16" s="44">
        <f t="shared" si="167"/>
        <v>8.7187209991024446</v>
      </c>
      <c r="AC16" s="44">
        <f t="shared" si="167"/>
        <v>7.4327096517348323</v>
      </c>
      <c r="AD16" s="44">
        <f t="shared" si="167"/>
        <v>6.0829295789797868</v>
      </c>
      <c r="AE16" s="44">
        <f t="shared" si="167"/>
        <v>4.6671277194722407</v>
      </c>
      <c r="AF16" s="44">
        <f t="shared" si="167"/>
        <v>3.1829811046800671</v>
      </c>
      <c r="AG16" s="44">
        <f t="shared" si="167"/>
        <v>1.6280948350438535</v>
      </c>
      <c r="AH16" s="44">
        <f t="shared" si="167"/>
        <v>0</v>
      </c>
      <c r="AJ16" s="44">
        <f t="shared" si="136"/>
        <v>28.065001267929215</v>
      </c>
      <c r="AK16" s="44">
        <f t="shared" si="137"/>
        <v>28.136286371149751</v>
      </c>
      <c r="AL16" s="44">
        <f t="shared" si="138"/>
        <v>28.196004203447703</v>
      </c>
      <c r="AM16" s="44">
        <f t="shared" si="139"/>
        <v>28.243584960541014</v>
      </c>
      <c r="AN16" s="44">
        <f t="shared" si="140"/>
        <v>28.278438746237001</v>
      </c>
      <c r="AO16" s="44">
        <f t="shared" si="141"/>
        <v>28.29995494963087</v>
      </c>
      <c r="AP16" s="44">
        <f t="shared" si="142"/>
        <v>28.307501604284109</v>
      </c>
      <c r="AQ16" s="44">
        <f t="shared" si="143"/>
        <v>28.30042472888303</v>
      </c>
      <c r="AR16" s="44">
        <f t="shared" si="144"/>
        <v>28.278047648864838</v>
      </c>
      <c r="AS16" s="44">
        <f t="shared" si="145"/>
        <v>28.239670298484235</v>
      </c>
      <c r="AT16" s="44">
        <f t="shared" si="146"/>
        <v>28.184568502779875</v>
      </c>
      <c r="AU16" s="44">
        <f t="shared" si="147"/>
        <v>27.030762729697322</v>
      </c>
      <c r="AV16" s="44">
        <f t="shared" si="148"/>
        <v>25.808972254315002</v>
      </c>
      <c r="AW16" s="44">
        <f t="shared" si="149"/>
        <v>24.516680143581084</v>
      </c>
      <c r="AX16" s="44">
        <f t="shared" si="150"/>
        <v>23.151289649430872</v>
      </c>
      <c r="AY16" s="44">
        <f t="shared" si="151"/>
        <v>21.710121868753799</v>
      </c>
      <c r="AZ16" s="44">
        <f t="shared" si="152"/>
        <v>20.190413337941031</v>
      </c>
      <c r="BA16" s="44">
        <f t="shared" si="153"/>
        <v>18.589313560242303</v>
      </c>
      <c r="BB16" s="44">
        <f t="shared" si="154"/>
        <v>16.903882464113668</v>
      </c>
      <c r="BC16" s="44">
        <f t="shared" si="155"/>
        <v>15.131087790689747</v>
      </c>
      <c r="BD16" s="44">
        <f t="shared" si="156"/>
        <v>13.26780240846481</v>
      </c>
      <c r="BE16" s="44">
        <f t="shared" si="157"/>
        <v>12.215665677473545</v>
      </c>
      <c r="BF16" s="44">
        <f t="shared" si="158"/>
        <v>11.108111989382607</v>
      </c>
      <c r="BG16" s="44">
        <f t="shared" si="159"/>
        <v>9.9431487444961135</v>
      </c>
      <c r="BH16" s="44">
        <f t="shared" si="160"/>
        <v>8.7187209991024446</v>
      </c>
      <c r="BI16" s="44">
        <f t="shared" si="161"/>
        <v>7.4327096517348323</v>
      </c>
      <c r="BJ16" s="44">
        <f t="shared" si="162"/>
        <v>6.0829295789797868</v>
      </c>
      <c r="BK16" s="44">
        <f t="shared" si="163"/>
        <v>4.6671277194722407</v>
      </c>
      <c r="BL16" s="44">
        <f t="shared" si="164"/>
        <v>3.1829811046800671</v>
      </c>
      <c r="BM16" s="44">
        <f t="shared" si="165"/>
        <v>1.6280948350438535</v>
      </c>
      <c r="BN16" s="44">
        <f t="shared" si="166"/>
        <v>0</v>
      </c>
      <c r="BY16" s="30"/>
      <c r="BZ16" s="139" t="s">
        <v>1</v>
      </c>
      <c r="CA16" s="139" t="s">
        <v>180</v>
      </c>
      <c r="CB16" s="139"/>
      <c r="CC16" s="139" t="s">
        <v>181</v>
      </c>
      <c r="CD16" s="139" t="s">
        <v>182</v>
      </c>
      <c r="CE16" s="139" t="s">
        <v>183</v>
      </c>
      <c r="CF16" s="263" t="s">
        <v>28</v>
      </c>
      <c r="CG16" s="139" t="s">
        <v>51</v>
      </c>
      <c r="CH16" s="139" t="s">
        <v>184</v>
      </c>
    </row>
    <row r="17" spans="1:87" s="68" customFormat="1" x14ac:dyDescent="0.2">
      <c r="A17" s="683"/>
      <c r="B17" s="62" t="s">
        <v>248</v>
      </c>
      <c r="C17" s="283" t="s">
        <v>153</v>
      </c>
      <c r="D17" s="284">
        <f>D9</f>
        <v>35.70249067338905</v>
      </c>
      <c r="E17" s="284">
        <f t="shared" ref="E17:AH17" si="168">E9</f>
        <v>39.036701008967512</v>
      </c>
      <c r="F17" s="284">
        <f t="shared" si="168"/>
        <v>42.356064958875223</v>
      </c>
      <c r="G17" s="284">
        <f t="shared" si="168"/>
        <v>45.660241056241802</v>
      </c>
      <c r="H17" s="284">
        <f t="shared" si="168"/>
        <v>48.948879980458763</v>
      </c>
      <c r="I17" s="284">
        <f t="shared" si="168"/>
        <v>52.221624376543687</v>
      </c>
      <c r="J17" s="284">
        <f t="shared" si="168"/>
        <v>55.478108670349478</v>
      </c>
      <c r="K17" s="284">
        <f t="shared" si="168"/>
        <v>58.71795887952382</v>
      </c>
      <c r="L17" s="284">
        <f t="shared" si="168"/>
        <v>61.940792420120104</v>
      </c>
      <c r="M17" s="284">
        <f t="shared" si="168"/>
        <v>65.146217908761059</v>
      </c>
      <c r="N17" s="284">
        <f t="shared" si="168"/>
        <v>68.333834960251721</v>
      </c>
      <c r="O17" s="284">
        <f t="shared" si="168"/>
        <v>69.091494577930916</v>
      </c>
      <c r="P17" s="284">
        <f t="shared" si="168"/>
        <v>69.830517149687651</v>
      </c>
      <c r="Q17" s="284">
        <f t="shared" si="168"/>
        <v>70.550474023465711</v>
      </c>
      <c r="R17" s="284">
        <f t="shared" si="168"/>
        <v>71.250926688211564</v>
      </c>
      <c r="S17" s="284">
        <f t="shared" si="168"/>
        <v>71.931426547117496</v>
      </c>
      <c r="T17" s="284">
        <f t="shared" si="168"/>
        <v>72.411787368081178</v>
      </c>
      <c r="U17" s="284">
        <f t="shared" si="168"/>
        <v>72.871266999101977</v>
      </c>
      <c r="V17" s="284">
        <f t="shared" si="168"/>
        <v>73.30938517281129</v>
      </c>
      <c r="W17" s="284">
        <f t="shared" si="168"/>
        <v>73.725650575690821</v>
      </c>
      <c r="X17" s="284">
        <f t="shared" si="168"/>
        <v>74.119560594011602</v>
      </c>
      <c r="Y17" s="284">
        <f t="shared" si="168"/>
        <v>74.131146418792753</v>
      </c>
      <c r="Z17" s="284">
        <f t="shared" si="168"/>
        <v>74.119336685326971</v>
      </c>
      <c r="AA17" s="284">
        <f t="shared" si="168"/>
        <v>74.083593295774563</v>
      </c>
      <c r="AB17" s="284">
        <f t="shared" si="168"/>
        <v>74.023365776045551</v>
      </c>
      <c r="AC17" s="284">
        <f t="shared" si="168"/>
        <v>73.938090991145913</v>
      </c>
      <c r="AD17" s="284">
        <f t="shared" si="168"/>
        <v>73.827192853976683</v>
      </c>
      <c r="AE17" s="284">
        <f t="shared" si="168"/>
        <v>73.690082027435636</v>
      </c>
      <c r="AF17" s="284">
        <f t="shared" si="168"/>
        <v>73.526155619667293</v>
      </c>
      <c r="AG17" s="284">
        <f t="shared" si="168"/>
        <v>73.334796872303372</v>
      </c>
      <c r="AH17" s="284">
        <f t="shared" si="168"/>
        <v>73.115374841533168</v>
      </c>
      <c r="AJ17" s="284">
        <f t="shared" si="136"/>
        <v>35.70249067338905</v>
      </c>
      <c r="AK17" s="284">
        <f t="shared" si="137"/>
        <v>39.036701008967512</v>
      </c>
      <c r="AL17" s="284">
        <f t="shared" si="138"/>
        <v>42.356064958875223</v>
      </c>
      <c r="AM17" s="284">
        <f t="shared" si="139"/>
        <v>45.660241056241802</v>
      </c>
      <c r="AN17" s="284">
        <f t="shared" si="140"/>
        <v>48.948879980458763</v>
      </c>
      <c r="AO17" s="284">
        <f t="shared" si="141"/>
        <v>52.221624376543687</v>
      </c>
      <c r="AP17" s="284">
        <f t="shared" si="142"/>
        <v>55.478108670349478</v>
      </c>
      <c r="AQ17" s="284">
        <f t="shared" si="143"/>
        <v>58.71795887952382</v>
      </c>
      <c r="AR17" s="284">
        <f t="shared" si="144"/>
        <v>61.940792420120104</v>
      </c>
      <c r="AS17" s="284">
        <f t="shared" si="145"/>
        <v>65.146217908761059</v>
      </c>
      <c r="AT17" s="284">
        <f t="shared" si="146"/>
        <v>68.333834960251721</v>
      </c>
      <c r="AU17" s="284">
        <f t="shared" si="147"/>
        <v>69.091494577930916</v>
      </c>
      <c r="AV17" s="284">
        <f t="shared" si="148"/>
        <v>69.830517149687651</v>
      </c>
      <c r="AW17" s="284">
        <f t="shared" si="149"/>
        <v>70.550474023465711</v>
      </c>
      <c r="AX17" s="284">
        <f t="shared" si="150"/>
        <v>71.250926688211564</v>
      </c>
      <c r="AY17" s="284">
        <f t="shared" si="151"/>
        <v>71.931426547117496</v>
      </c>
      <c r="AZ17" s="284">
        <f t="shared" si="152"/>
        <v>72.411787368081178</v>
      </c>
      <c r="BA17" s="284">
        <f t="shared" si="153"/>
        <v>72.871266999101977</v>
      </c>
      <c r="BB17" s="284">
        <f t="shared" si="154"/>
        <v>73.30938517281129</v>
      </c>
      <c r="BC17" s="284">
        <f t="shared" si="155"/>
        <v>73.725650575690821</v>
      </c>
      <c r="BD17" s="284">
        <f t="shared" si="156"/>
        <v>74.119560594011602</v>
      </c>
      <c r="BE17" s="284">
        <f t="shared" si="157"/>
        <v>74.131146418792753</v>
      </c>
      <c r="BF17" s="284">
        <f t="shared" si="158"/>
        <v>74.119336685326971</v>
      </c>
      <c r="BG17" s="284">
        <f t="shared" si="159"/>
        <v>74.083593295774563</v>
      </c>
      <c r="BH17" s="284">
        <f t="shared" si="160"/>
        <v>74.023365776045551</v>
      </c>
      <c r="BI17" s="284">
        <f t="shared" si="161"/>
        <v>73.938090991145913</v>
      </c>
      <c r="BJ17" s="284">
        <f t="shared" si="162"/>
        <v>73.827192853976683</v>
      </c>
      <c r="BK17" s="284">
        <f t="shared" si="163"/>
        <v>73.690082027435636</v>
      </c>
      <c r="BL17" s="284">
        <f t="shared" si="164"/>
        <v>73.526155619667293</v>
      </c>
      <c r="BM17" s="284">
        <f t="shared" si="165"/>
        <v>73.334796872303372</v>
      </c>
      <c r="BN17" s="284">
        <f t="shared" si="166"/>
        <v>73.115374841533168</v>
      </c>
      <c r="BY17" s="138"/>
      <c r="CA17" s="139"/>
      <c r="CC17" s="139"/>
      <c r="CD17" s="139"/>
      <c r="CE17" s="139"/>
      <c r="CF17" s="139"/>
      <c r="CG17" s="139"/>
      <c r="CH17" s="139"/>
      <c r="CI17" s="139"/>
    </row>
    <row r="18" spans="1:87" s="1" customFormat="1" ht="16" x14ac:dyDescent="0.2">
      <c r="A18" s="58" t="s">
        <v>250</v>
      </c>
      <c r="B18" s="58" t="s">
        <v>186</v>
      </c>
      <c r="C18" s="100" t="s">
        <v>153</v>
      </c>
      <c r="D18" s="101">
        <f>'Demand - Industry shares'!L84</f>
        <v>7.4818743268684171</v>
      </c>
      <c r="E18" s="101">
        <f>D18*(1+'Demand Breakdown - Methanol'!$N$39)</f>
        <v>7.6090661904251791</v>
      </c>
      <c r="F18" s="101">
        <f>E18*(1+'Demand Breakdown - Methanol'!$N$39)</f>
        <v>7.7384203156624061</v>
      </c>
      <c r="G18" s="101">
        <f>F18*(1+'Demand Breakdown - Methanol'!$N$39)</f>
        <v>7.8699734610286658</v>
      </c>
      <c r="H18" s="101">
        <f>G18*(1+'Demand Breakdown - Methanol'!$N$39)</f>
        <v>8.0037630098661516</v>
      </c>
      <c r="I18" s="101">
        <f>H18*(1+'Demand Breakdown - Methanol'!$N$39)</f>
        <v>8.1398269810338757</v>
      </c>
      <c r="J18" s="101">
        <f>I18*(1+'Demand Breakdown - Methanol'!$N$39)</f>
        <v>8.2782040397114507</v>
      </c>
      <c r="K18" s="101">
        <f>J18*(1+'Demand Breakdown - Methanol'!$N$39)</f>
        <v>8.4189335083865444</v>
      </c>
      <c r="L18" s="101">
        <f>K18*(1+'Demand Breakdown - Methanol'!$N$39)</f>
        <v>8.5620553780291146</v>
      </c>
      <c r="M18" s="101">
        <f>L18*(1+'Demand Breakdown - Methanol'!$N$39)</f>
        <v>8.7076103194556094</v>
      </c>
      <c r="N18" s="101">
        <f>M18*(1+'Demand Breakdown - Methanol'!$N$39)</f>
        <v>8.8556396948863547</v>
      </c>
      <c r="O18" s="101">
        <f>N18*(1+'Demand Breakdown - Methanol'!$N$39)</f>
        <v>9.0061855696994222</v>
      </c>
      <c r="P18" s="101">
        <f>O18*(1+'Demand Breakdown - Methanol'!$N$39)</f>
        <v>9.1592907243843111</v>
      </c>
      <c r="Q18" s="101">
        <f>P18*(1+'Demand Breakdown - Methanol'!$N$39)</f>
        <v>9.3149986666988429</v>
      </c>
      <c r="R18" s="101">
        <f>Q18*(1+'Demand Breakdown - Methanol'!$N$39)</f>
        <v>9.4733536440327217</v>
      </c>
      <c r="S18" s="101">
        <f>R18*(1+'Demand Breakdown - Methanol'!$N$39)</f>
        <v>9.6344006559812776</v>
      </c>
      <c r="T18" s="101">
        <f>S18*(1+'Demand Breakdown - Methanol'!$N$39)</f>
        <v>9.7981854671329582</v>
      </c>
      <c r="U18" s="101">
        <f>T18*(1+'Demand Breakdown - Methanol'!$N$39)</f>
        <v>9.964754620074217</v>
      </c>
      <c r="V18" s="101">
        <f>U18*(1+'Demand Breakdown - Methanol'!$N$39)</f>
        <v>10.134155448615477</v>
      </c>
      <c r="W18" s="101">
        <f>V18*(1+'Demand Breakdown - Methanol'!$N$39)</f>
        <v>10.30643609124194</v>
      </c>
      <c r="X18" s="101">
        <f>W18*(1+'Demand Breakdown - Methanol'!$N$39)</f>
        <v>10.481645504793052</v>
      </c>
      <c r="Y18" s="101">
        <f>X18*(1+'Demand Breakdown - Methanol'!$N$39)</f>
        <v>10.659833478374534</v>
      </c>
      <c r="Z18" s="101">
        <f>Y18*(1+'Demand Breakdown - Methanol'!$N$39)</f>
        <v>10.841050647506899</v>
      </c>
      <c r="AA18" s="101">
        <f>Z18*(1+'Demand Breakdown - Methanol'!$N$39)</f>
        <v>11.025348508514515</v>
      </c>
      <c r="AB18" s="101">
        <f>AA18*(1+'Demand Breakdown - Methanol'!$N$39)</f>
        <v>11.212779433159261</v>
      </c>
      <c r="AC18" s="101">
        <f>AB18*(1+'Demand Breakdown - Methanol'!$N$39)</f>
        <v>11.403396683522967</v>
      </c>
      <c r="AD18" s="101">
        <f>AC18*(1+'Demand Breakdown - Methanol'!$N$39)</f>
        <v>11.597254427142856</v>
      </c>
      <c r="AE18" s="101">
        <f>AD18*(1+'Demand Breakdown - Methanol'!$N$39)</f>
        <v>11.794407752404283</v>
      </c>
      <c r="AF18" s="101">
        <f>AE18*(1+'Demand Breakdown - Methanol'!$N$39)</f>
        <v>11.994912684195155</v>
      </c>
      <c r="AG18" s="101">
        <f>AF18*(1+'Demand Breakdown - Methanol'!$N$39)</f>
        <v>12.198826199826472</v>
      </c>
      <c r="AH18" s="101">
        <f>AG18*(1+'Demand Breakdown - Methanol'!$N$39)</f>
        <v>12.406206245223521</v>
      </c>
      <c r="AJ18" s="101">
        <f>D18</f>
        <v>7.4818743268684171</v>
      </c>
      <c r="AK18" s="101">
        <f t="shared" si="137"/>
        <v>7.6090661904251791</v>
      </c>
      <c r="AL18" s="101">
        <f t="shared" si="138"/>
        <v>7.7384203156624061</v>
      </c>
      <c r="AM18" s="101">
        <f t="shared" si="139"/>
        <v>7.8699734610286658</v>
      </c>
      <c r="AN18" s="101">
        <f t="shared" si="140"/>
        <v>8.0037630098661516</v>
      </c>
      <c r="AO18" s="101">
        <f t="shared" si="141"/>
        <v>8.1398269810338757</v>
      </c>
      <c r="AP18" s="101">
        <f t="shared" si="142"/>
        <v>8.2782040397114507</v>
      </c>
      <c r="AQ18" s="101">
        <f t="shared" si="143"/>
        <v>8.4189335083865444</v>
      </c>
      <c r="AR18" s="101">
        <f t="shared" si="144"/>
        <v>8.5620553780291146</v>
      </c>
      <c r="AS18" s="101">
        <f t="shared" si="145"/>
        <v>8.7076103194556094</v>
      </c>
      <c r="AT18" s="101">
        <f t="shared" si="146"/>
        <v>8.8556396948863547</v>
      </c>
      <c r="AU18" s="101">
        <f t="shared" si="147"/>
        <v>9.0061855696994222</v>
      </c>
      <c r="AV18" s="101">
        <f t="shared" si="148"/>
        <v>9.1592907243843111</v>
      </c>
      <c r="AW18" s="101">
        <f t="shared" si="149"/>
        <v>9.3149986666988429</v>
      </c>
      <c r="AX18" s="101">
        <f t="shared" si="150"/>
        <v>9.4733536440327217</v>
      </c>
      <c r="AY18" s="101">
        <f t="shared" si="151"/>
        <v>9.6344006559812776</v>
      </c>
      <c r="AZ18" s="101">
        <f t="shared" si="152"/>
        <v>9.7981854671329582</v>
      </c>
      <c r="BA18" s="101">
        <f t="shared" si="153"/>
        <v>9.964754620074217</v>
      </c>
      <c r="BB18" s="101">
        <f t="shared" si="154"/>
        <v>10.134155448615477</v>
      </c>
      <c r="BC18" s="101">
        <f t="shared" si="155"/>
        <v>10.30643609124194</v>
      </c>
      <c r="BD18" s="101">
        <f t="shared" si="156"/>
        <v>10.481645504793052</v>
      </c>
      <c r="BE18" s="101">
        <f t="shared" si="157"/>
        <v>10.659833478374534</v>
      </c>
      <c r="BF18" s="101">
        <f t="shared" si="158"/>
        <v>10.841050647506899</v>
      </c>
      <c r="BG18" s="101">
        <f t="shared" si="159"/>
        <v>11.025348508514515</v>
      </c>
      <c r="BH18" s="101">
        <f t="shared" si="160"/>
        <v>11.212779433159261</v>
      </c>
      <c r="BI18" s="101">
        <f t="shared" si="161"/>
        <v>11.403396683522967</v>
      </c>
      <c r="BJ18" s="101">
        <f t="shared" si="162"/>
        <v>11.597254427142856</v>
      </c>
      <c r="BK18" s="101">
        <f t="shared" si="163"/>
        <v>11.794407752404283</v>
      </c>
      <c r="BL18" s="101">
        <f t="shared" si="164"/>
        <v>11.994912684195155</v>
      </c>
      <c r="BM18" s="101">
        <f t="shared" si="165"/>
        <v>12.198826199826472</v>
      </c>
      <c r="BN18" s="101">
        <f t="shared" si="166"/>
        <v>12.406206245223521</v>
      </c>
      <c r="BR18" s="1" t="s">
        <v>187</v>
      </c>
      <c r="BS18" s="66">
        <f>AH11</f>
        <v>55.518033874995439</v>
      </c>
      <c r="BY18" s="30" t="s">
        <v>188</v>
      </c>
      <c r="BZ18" s="143">
        <v>71</v>
      </c>
      <c r="CA18" s="137"/>
      <c r="CB18" s="137"/>
      <c r="CC18" s="143" t="s">
        <v>167</v>
      </c>
      <c r="CD18" s="137"/>
      <c r="CE18" s="137"/>
      <c r="CF18" s="137"/>
      <c r="CG18" s="137"/>
      <c r="CH18" s="548" t="s">
        <v>167</v>
      </c>
      <c r="CI18" s="140"/>
    </row>
    <row r="19" spans="1:87" x14ac:dyDescent="0.2">
      <c r="B19" s="1" t="s">
        <v>189</v>
      </c>
      <c r="C19" s="54" t="s">
        <v>153</v>
      </c>
      <c r="D19" s="44">
        <v>0</v>
      </c>
      <c r="E19" s="44">
        <f>E18*('R&amp;S - Transportation'!$B$8*'R&amp;S - Transportation'!$D$19*(E3-$D$3)/10)</f>
        <v>1.5218132380850362E-2</v>
      </c>
      <c r="F19" s="44">
        <f>F18*('R&amp;S - Transportation'!$B$8*'R&amp;S - Transportation'!$D$19*(F3-$D$3)/10)</f>
        <v>3.0953681262649631E-2</v>
      </c>
      <c r="G19" s="44">
        <f>G18*('R&amp;S - Transportation'!$B$8*'R&amp;S - Transportation'!$D$19*(G3-$D$3)/10)</f>
        <v>4.7219840766172E-2</v>
      </c>
      <c r="H19" s="44">
        <f>H18*('R&amp;S - Transportation'!$B$8*'R&amp;S - Transportation'!$D$19*(H3-$D$3)/10)</f>
        <v>6.4030104078929229E-2</v>
      </c>
      <c r="I19" s="44">
        <f>I18*('R&amp;S - Transportation'!$B$8*'R&amp;S - Transportation'!$D$19*(I3-$D$3)/10)</f>
        <v>8.1398269810338778E-2</v>
      </c>
      <c r="J19" s="44">
        <f>J18*('R&amp;S - Transportation'!$B$8*'R&amp;S - Transportation'!$D$19*(J3-$D$3)/10)</f>
        <v>9.933844847653743E-2</v>
      </c>
      <c r="K19" s="44">
        <f>K18*('R&amp;S - Transportation'!$B$8*'R&amp;S - Transportation'!$D$19*(K3-$D$3)/10)</f>
        <v>0.11786506911741164</v>
      </c>
      <c r="L19" s="44">
        <f>L18*('R&amp;S - Transportation'!$B$8*'R&amp;S - Transportation'!$D$19*(L3-$D$3)/10)</f>
        <v>0.13699288604846588</v>
      </c>
      <c r="M19" s="44">
        <f>M18*('R&amp;S - Transportation'!$B$8*'R&amp;S - Transportation'!$D$19*(M3-$D$3)/10)</f>
        <v>0.15673698575020101</v>
      </c>
      <c r="N19" s="44">
        <f>N18*('R&amp;S - Transportation'!$B$8*'R&amp;S - Transportation'!$D$19*(N3-$D$3)/10)</f>
        <v>0.17711279389772713</v>
      </c>
      <c r="O19" s="44">
        <f>O18*('R&amp;S - Transportation'!$B$8*('R&amp;S - Transportation'!$D$19+('R&amp;S - Transportation'!$D$20-'R&amp;S - Transportation'!$D$19)*(O3-$N$3)/10))</f>
        <v>0.22515463924248558</v>
      </c>
      <c r="P19" s="44">
        <f>P18*('R&amp;S - Transportation'!$B$8*('R&amp;S - Transportation'!$D$19+('R&amp;S - Transportation'!$D$20-'R&amp;S - Transportation'!$D$19)*(P3-$N$3)/10))</f>
        <v>0.27477872173152934</v>
      </c>
      <c r="Q19" s="44">
        <f>Q18*('R&amp;S - Transportation'!$B$8*('R&amp;S - Transportation'!$D$19+('R&amp;S - Transportation'!$D$20-'R&amp;S - Transportation'!$D$19)*(Q3-$N$3)/10))</f>
        <v>0.32602495333445947</v>
      </c>
      <c r="R19" s="44">
        <f>R18*('R&amp;S - Transportation'!$B$8*('R&amp;S - Transportation'!$D$19+('R&amp;S - Transportation'!$D$20-'R&amp;S - Transportation'!$D$19)*(R3-$N$3)/10))</f>
        <v>0.37893414576130896</v>
      </c>
      <c r="S19" s="44">
        <f>S18*('R&amp;S - Transportation'!$B$8*('R&amp;S - Transportation'!$D$19+('R&amp;S - Transportation'!$D$20-'R&amp;S - Transportation'!$D$19)*(S3-$N$3)/10))</f>
        <v>0.4335480295191575</v>
      </c>
      <c r="T19" s="44">
        <f>T18*('R&amp;S - Transportation'!$B$8*('R&amp;S - Transportation'!$D$19+('R&amp;S - Transportation'!$D$20-'R&amp;S - Transportation'!$D$19)*(T3-$N$3)/10))</f>
        <v>0.48990927335664786</v>
      </c>
      <c r="U19" s="44">
        <f>U18*('R&amp;S - Transportation'!$B$8*('R&amp;S - Transportation'!$D$19+('R&amp;S - Transportation'!$D$20-'R&amp;S - Transportation'!$D$19)*(U3-$N$3)/10))</f>
        <v>0.54806150410408205</v>
      </c>
      <c r="V19" s="44">
        <f>V18*('R&amp;S - Transportation'!$B$8*('R&amp;S - Transportation'!$D$19+('R&amp;S - Transportation'!$D$20-'R&amp;S - Transportation'!$D$19)*(V3-$N$3)/10))</f>
        <v>0.60804932691692859</v>
      </c>
      <c r="W19" s="44">
        <f>W18*('R&amp;S - Transportation'!$B$8*('R&amp;S - Transportation'!$D$19+('R&amp;S - Transportation'!$D$20-'R&amp;S - Transportation'!$D$19)*(W3-$N$3)/10))</f>
        <v>0.66991834593072597</v>
      </c>
      <c r="X19" s="44">
        <f>X18*('R&amp;S - Transportation'!$B$8*('R&amp;S - Transportation'!$D$19+('R&amp;S - Transportation'!$D$20-'R&amp;S - Transportation'!$D$19)*(X3-$N$3)/10))</f>
        <v>0.73371518533551361</v>
      </c>
      <c r="Y19" s="44">
        <f>Y18*('R&amp;S - Transportation'!$B$8*('R&amp;S - Transportation'!$D$20+('R&amp;S - Transportation'!$D$21-'R&amp;S - Transportation'!$D$20)*(Y3-$X$3)/10))</f>
        <v>0.77816784392134086</v>
      </c>
      <c r="Z19" s="44">
        <f>Z18*('R&amp;S - Transportation'!$B$8*('R&amp;S - Transportation'!$D$20+('R&amp;S - Transportation'!$D$21-'R&amp;S - Transportation'!$D$20)*(Z3-$X$3)/10))</f>
        <v>0.82391984921052441</v>
      </c>
      <c r="AA19" s="44">
        <f>AA18*('R&amp;S - Transportation'!$B$8*('R&amp;S - Transportation'!$D$20+('R&amp;S - Transportation'!$D$21-'R&amp;S - Transportation'!$D$20)*(AA3-$X$3)/10))</f>
        <v>0.87100253217264667</v>
      </c>
      <c r="AB19" s="44">
        <f>AB18*('R&amp;S - Transportation'!$B$8*('R&amp;S - Transportation'!$D$20+('R&amp;S - Transportation'!$D$21-'R&amp;S - Transportation'!$D$20)*(AB3-$X$3)/10))</f>
        <v>0.91944791351905941</v>
      </c>
      <c r="AC19" s="44">
        <f>AC18*('R&amp;S - Transportation'!$B$8*('R&amp;S - Transportation'!$D$20+('R&amp;S - Transportation'!$D$21-'R&amp;S - Transportation'!$D$20)*(AC3-$X$3)/10))</f>
        <v>0.96928871809945227</v>
      </c>
      <c r="AD19" s="44">
        <f>AD18*('R&amp;S - Transportation'!$B$8*('R&amp;S - Transportation'!$D$20+('R&amp;S - Transportation'!$D$21-'R&amp;S - Transportation'!$D$20)*(AD3-$X$3)/10))</f>
        <v>1.0205583895885715</v>
      </c>
      <c r="AE19" s="44">
        <f>AE18*('R&amp;S - Transportation'!$B$8*('R&amp;S - Transportation'!$D$20+('R&amp;S - Transportation'!$D$21-'R&amp;S - Transportation'!$D$20)*(AE3-$X$3)/10))</f>
        <v>1.0732911054687899</v>
      </c>
      <c r="AF19" s="44">
        <f>AF18*('R&amp;S - Transportation'!$B$8*('R&amp;S - Transportation'!$D$20+('R&amp;S - Transportation'!$D$21-'R&amp;S - Transportation'!$D$20)*(AF3-$X$3)/10))</f>
        <v>1.1275217923143446</v>
      </c>
      <c r="AG19" s="44">
        <f>AG18*('R&amp;S - Transportation'!$B$8*('R&amp;S - Transportation'!$D$20+('R&amp;S - Transportation'!$D$21-'R&amp;S - Transportation'!$D$20)*(AG3-$X$3)/10))</f>
        <v>1.1832861413831679</v>
      </c>
      <c r="AH19" s="44">
        <f>AH18*('R&amp;S - Transportation'!$B$8*('R&amp;S - Transportation'!$D$20+('R&amp;S - Transportation'!$D$21-'R&amp;S - Transportation'!$D$20)*(AH3-$X$3)/10))</f>
        <v>1.2406206245223521</v>
      </c>
      <c r="AJ19" s="44">
        <v>0</v>
      </c>
      <c r="AK19" s="44">
        <f>AK18*('R&amp;S - Transportation'!$B$8*'R&amp;S - Transportation'!$D$19*(AK3-$D$3)/10)</f>
        <v>1.5218132380850362E-2</v>
      </c>
      <c r="AL19" s="44">
        <f>AL18*('R&amp;S - Transportation'!$B$8*'R&amp;S - Transportation'!$D$19*(AL3-$D$3)/10)</f>
        <v>3.0953681262649631E-2</v>
      </c>
      <c r="AM19" s="44">
        <f>AM18*('R&amp;S - Transportation'!$B$8*'R&amp;S - Transportation'!$D$19*(AM3-$D$3)/10)</f>
        <v>4.7219840766172E-2</v>
      </c>
      <c r="AN19" s="44">
        <f>AN18*('R&amp;S - Transportation'!$B$8*'R&amp;S - Transportation'!$D$19*(AN3-$D$3)/10)</f>
        <v>6.4030104078929229E-2</v>
      </c>
      <c r="AO19" s="44">
        <f>AO18*('R&amp;S - Transportation'!$B$8*'R&amp;S - Transportation'!$D$19*(AO3-$D$3)/10)</f>
        <v>8.1398269810338778E-2</v>
      </c>
      <c r="AP19" s="44">
        <f>AP18*('R&amp;S - Transportation'!$B$8*'R&amp;S - Transportation'!$D$19*(AP3-$D$3)/10)</f>
        <v>9.933844847653743E-2</v>
      </c>
      <c r="AQ19" s="44">
        <f>AQ18*('R&amp;S - Transportation'!$B$8*'R&amp;S - Transportation'!$D$19*(AQ3-$D$3)/10)</f>
        <v>0.11786506911741164</v>
      </c>
      <c r="AR19" s="44">
        <f>AR18*('R&amp;S - Transportation'!$B$8*'R&amp;S - Transportation'!$D$19*(AR3-$D$3)/10)</f>
        <v>0.13699288604846588</v>
      </c>
      <c r="AS19" s="44">
        <f>AS18*('R&amp;S - Transportation'!$B$8*'R&amp;S - Transportation'!$D$19*(AS3-$D$3)/10)</f>
        <v>0.15673698575020101</v>
      </c>
      <c r="AT19" s="44">
        <f>AT18*('R&amp;S - Transportation'!$B$8*'R&amp;S - Transportation'!$D$19*(AT3-$D$3)/10)</f>
        <v>0.17711279389772713</v>
      </c>
      <c r="AU19" s="44">
        <f>AU18*('R&amp;S - Transportation'!$B$8*('R&amp;S - Transportation'!$D$19+('R&amp;S - Transportation'!$D$20-'R&amp;S - Transportation'!$D$19)*(AU3-$N$3)/10))</f>
        <v>0.22515463924248558</v>
      </c>
      <c r="AV19" s="44">
        <f>AV18*('R&amp;S - Transportation'!$B$8*('R&amp;S - Transportation'!$D$19+('R&amp;S - Transportation'!$D$20-'R&amp;S - Transportation'!$D$19)*(AV3-$N$3)/10))</f>
        <v>0.27477872173152934</v>
      </c>
      <c r="AW19" s="44">
        <f>AW18*('R&amp;S - Transportation'!$B$8*('R&amp;S - Transportation'!$D$19+('R&amp;S - Transportation'!$D$20-'R&amp;S - Transportation'!$D$19)*(AW3-$N$3)/10))</f>
        <v>0.32602495333445947</v>
      </c>
      <c r="AX19" s="44">
        <f>AX18*('R&amp;S - Transportation'!$B$8*('R&amp;S - Transportation'!$D$19+('R&amp;S - Transportation'!$D$20-'R&amp;S - Transportation'!$D$19)*(AX3-$N$3)/10))</f>
        <v>0.37893414576130896</v>
      </c>
      <c r="AY19" s="44">
        <f>AY18*('R&amp;S - Transportation'!$B$8*('R&amp;S - Transportation'!$D$19+('R&amp;S - Transportation'!$D$20-'R&amp;S - Transportation'!$D$19)*(AY3-$N$3)/10))</f>
        <v>0.4335480295191575</v>
      </c>
      <c r="AZ19" s="44">
        <f>AZ18*('R&amp;S - Transportation'!$B$8*('R&amp;S - Transportation'!$D$19+('R&amp;S - Transportation'!$D$20-'R&amp;S - Transportation'!$D$19)*(AZ3-$N$3)/10))</f>
        <v>0.48990927335664786</v>
      </c>
      <c r="BA19" s="44">
        <f>BA18*('R&amp;S - Transportation'!$B$8*('R&amp;S - Transportation'!$D$19+('R&amp;S - Transportation'!$D$20-'R&amp;S - Transportation'!$D$19)*(BA3-$N$3)/10))</f>
        <v>0.54806150410408205</v>
      </c>
      <c r="BB19" s="44">
        <f>BB18*('R&amp;S - Transportation'!$B$8*('R&amp;S - Transportation'!$D$19+('R&amp;S - Transportation'!$D$20-'R&amp;S - Transportation'!$D$19)*(BB3-$N$3)/10))</f>
        <v>0.60804932691692859</v>
      </c>
      <c r="BC19" s="44">
        <f>BC18*('R&amp;S - Transportation'!$B$8*('R&amp;S - Transportation'!$D$19+('R&amp;S - Transportation'!$D$20-'R&amp;S - Transportation'!$D$19)*(BC3-$N$3)/10))</f>
        <v>0.66991834593072597</v>
      </c>
      <c r="BD19" s="44">
        <f>BD18*('R&amp;S - Transportation'!$B$8*('R&amp;S - Transportation'!$D$19+('R&amp;S - Transportation'!$D$20-'R&amp;S - Transportation'!$D$19)*(BD3-$N$3)/10))</f>
        <v>0.73371518533551361</v>
      </c>
      <c r="BE19" s="44">
        <f>BE18*('R&amp;S - Transportation'!$B$8*('R&amp;S - Transportation'!$D$20+('R&amp;S - Transportation'!$D$21-'R&amp;S - Transportation'!$D$20)*(BE3-$X$3)/10))</f>
        <v>0.77816784392134086</v>
      </c>
      <c r="BF19" s="44">
        <f>BF18*('R&amp;S - Transportation'!$B$8*('R&amp;S - Transportation'!$D$20+('R&amp;S - Transportation'!$D$21-'R&amp;S - Transportation'!$D$20)*(BF3-$X$3)/10))</f>
        <v>0.82391984921052441</v>
      </c>
      <c r="BG19" s="44">
        <f>BG18*('R&amp;S - Transportation'!$B$8*('R&amp;S - Transportation'!$D$20+('R&amp;S - Transportation'!$D$21-'R&amp;S - Transportation'!$D$20)*(BG3-$X$3)/10))</f>
        <v>0.87100253217264667</v>
      </c>
      <c r="BH19" s="44">
        <f>BH18*('R&amp;S - Transportation'!$B$8*('R&amp;S - Transportation'!$D$20+('R&amp;S - Transportation'!$D$21-'R&amp;S - Transportation'!$D$20)*(BH3-$X$3)/10))</f>
        <v>0.91944791351905941</v>
      </c>
      <c r="BI19" s="44">
        <f>BI18*('R&amp;S - Transportation'!$B$8*('R&amp;S - Transportation'!$D$20+('R&amp;S - Transportation'!$D$21-'R&amp;S - Transportation'!$D$20)*(BI3-$X$3)/10))</f>
        <v>0.96928871809945227</v>
      </c>
      <c r="BJ19" s="44">
        <f>BJ18*('R&amp;S - Transportation'!$B$8*('R&amp;S - Transportation'!$D$20+('R&amp;S - Transportation'!$D$21-'R&amp;S - Transportation'!$D$20)*(BJ3-$X$3)/10))</f>
        <v>1.0205583895885715</v>
      </c>
      <c r="BK19" s="44">
        <f>BK18*('R&amp;S - Transportation'!$B$8*('R&amp;S - Transportation'!$D$20+('R&amp;S - Transportation'!$D$21-'R&amp;S - Transportation'!$D$20)*(BK3-$X$3)/10))</f>
        <v>1.0732911054687899</v>
      </c>
      <c r="BL19" s="44">
        <f>BL18*('R&amp;S - Transportation'!$B$8*('R&amp;S - Transportation'!$D$20+('R&amp;S - Transportation'!$D$21-'R&amp;S - Transportation'!$D$20)*(BL3-$X$3)/10))</f>
        <v>1.1275217923143446</v>
      </c>
      <c r="BM19" s="44">
        <f>BM18*('R&amp;S - Transportation'!$B$8*('R&amp;S - Transportation'!$D$20+('R&amp;S - Transportation'!$D$21-'R&amp;S - Transportation'!$D$20)*(BM3-$X$3)/10))</f>
        <v>1.1832861413831679</v>
      </c>
      <c r="BN19" s="44">
        <f>BN18*('R&amp;S - Transportation'!$B$8*('R&amp;S - Transportation'!$D$20+('R&amp;S - Transportation'!$D$21-'R&amp;S - Transportation'!$D$20)*(BN3-$X$3)/10))</f>
        <v>1.2406206245223521</v>
      </c>
      <c r="BR19" t="s">
        <v>190</v>
      </c>
      <c r="BS19" s="44" t="e">
        <f>#REF!</f>
        <v>#REF!</v>
      </c>
      <c r="BY19" s="30" t="s">
        <v>183</v>
      </c>
      <c r="BZ19" s="137"/>
      <c r="CA19" s="137"/>
      <c r="CB19" s="137"/>
      <c r="CC19" s="137"/>
      <c r="CD19" s="137"/>
      <c r="CE19" s="143">
        <f>-SUM(CE10:CH10)</f>
        <v>74.454549843215219</v>
      </c>
      <c r="CF19" s="137"/>
      <c r="CG19" s="137"/>
      <c r="CH19" s="137"/>
    </row>
    <row r="20" spans="1:87" x14ac:dyDescent="0.2">
      <c r="B20" s="1" t="s">
        <v>191</v>
      </c>
      <c r="C20" s="54" t="s">
        <v>153</v>
      </c>
      <c r="D20" s="44">
        <f>SUM(D18:D19)</f>
        <v>7.4818743268684171</v>
      </c>
      <c r="E20" s="44">
        <f t="shared" ref="E20:AH20" si="169">SUM(E18:E19)</f>
        <v>7.6242843228060293</v>
      </c>
      <c r="F20" s="44">
        <f t="shared" si="169"/>
        <v>7.7693739969250553</v>
      </c>
      <c r="G20" s="44">
        <f t="shared" si="169"/>
        <v>7.9171933017948382</v>
      </c>
      <c r="H20" s="44">
        <f t="shared" si="169"/>
        <v>8.0677931139450809</v>
      </c>
      <c r="I20" s="44">
        <f t="shared" si="169"/>
        <v>8.2212252508442152</v>
      </c>
      <c r="J20" s="44">
        <f t="shared" si="169"/>
        <v>8.3775424881879879</v>
      </c>
      <c r="K20" s="44">
        <f t="shared" si="169"/>
        <v>8.5367985775039568</v>
      </c>
      <c r="L20" s="44">
        <f t="shared" si="169"/>
        <v>8.6990482640775806</v>
      </c>
      <c r="M20" s="44">
        <f t="shared" si="169"/>
        <v>8.8643473052058113</v>
      </c>
      <c r="N20" s="44">
        <f t="shared" si="169"/>
        <v>9.032752488784082</v>
      </c>
      <c r="O20" s="44">
        <f>SUM(O18:O19)</f>
        <v>9.2313402089419085</v>
      </c>
      <c r="P20" s="44">
        <f t="shared" si="169"/>
        <v>9.4340694461158403</v>
      </c>
      <c r="Q20" s="44">
        <f t="shared" si="169"/>
        <v>9.6410236200333017</v>
      </c>
      <c r="R20" s="44">
        <f t="shared" si="169"/>
        <v>9.8522877897940315</v>
      </c>
      <c r="S20" s="44">
        <f t="shared" si="169"/>
        <v>10.067948685500435</v>
      </c>
      <c r="T20" s="44">
        <f t="shared" si="169"/>
        <v>10.288094740489607</v>
      </c>
      <c r="U20" s="44">
        <f t="shared" si="169"/>
        <v>10.512816124178299</v>
      </c>
      <c r="V20" s="44">
        <f t="shared" si="169"/>
        <v>10.742204775532405</v>
      </c>
      <c r="W20" s="44">
        <f t="shared" si="169"/>
        <v>10.976354437172667</v>
      </c>
      <c r="X20" s="44">
        <f t="shared" si="169"/>
        <v>11.215360690128566</v>
      </c>
      <c r="Y20" s="44">
        <f t="shared" si="169"/>
        <v>11.438001322295875</v>
      </c>
      <c r="Z20" s="44">
        <f t="shared" si="169"/>
        <v>11.664970496717423</v>
      </c>
      <c r="AA20" s="44">
        <f t="shared" si="169"/>
        <v>11.896351040687161</v>
      </c>
      <c r="AB20" s="44">
        <f t="shared" si="169"/>
        <v>12.13222734667832</v>
      </c>
      <c r="AC20" s="44">
        <f t="shared" si="169"/>
        <v>12.372685401622419</v>
      </c>
      <c r="AD20" s="44">
        <f t="shared" si="169"/>
        <v>12.617812816731426</v>
      </c>
      <c r="AE20" s="44">
        <f t="shared" si="169"/>
        <v>12.867698857873073</v>
      </c>
      <c r="AF20" s="44">
        <f t="shared" si="169"/>
        <v>13.1224344765095</v>
      </c>
      <c r="AG20" s="44">
        <f t="shared" si="169"/>
        <v>13.382112341209639</v>
      </c>
      <c r="AH20" s="44">
        <f t="shared" si="169"/>
        <v>13.646826869745873</v>
      </c>
      <c r="AJ20" s="44">
        <f>SUM(AJ18:AJ19)</f>
        <v>7.4818743268684171</v>
      </c>
      <c r="AK20" s="44">
        <f t="shared" ref="AK20:AT20" si="170">SUM(AK18:AK19)</f>
        <v>7.6242843228060293</v>
      </c>
      <c r="AL20" s="44">
        <f t="shared" si="170"/>
        <v>7.7693739969250553</v>
      </c>
      <c r="AM20" s="44">
        <f t="shared" si="170"/>
        <v>7.9171933017948382</v>
      </c>
      <c r="AN20" s="44">
        <f t="shared" si="170"/>
        <v>8.0677931139450809</v>
      </c>
      <c r="AO20" s="44">
        <f t="shared" si="170"/>
        <v>8.2212252508442152</v>
      </c>
      <c r="AP20" s="44">
        <f t="shared" si="170"/>
        <v>8.3775424881879879</v>
      </c>
      <c r="AQ20" s="44">
        <f t="shared" si="170"/>
        <v>8.5367985775039568</v>
      </c>
      <c r="AR20" s="44">
        <f t="shared" si="170"/>
        <v>8.6990482640775806</v>
      </c>
      <c r="AS20" s="44">
        <f t="shared" si="170"/>
        <v>8.8643473052058113</v>
      </c>
      <c r="AT20" s="44">
        <f t="shared" si="170"/>
        <v>9.032752488784082</v>
      </c>
      <c r="AU20" s="44">
        <f>SUM(AU18:AU19)</f>
        <v>9.2313402089419085</v>
      </c>
      <c r="AV20" s="44">
        <f t="shared" ref="AV20:BN20" si="171">SUM(AV18:AV19)</f>
        <v>9.4340694461158403</v>
      </c>
      <c r="AW20" s="44">
        <f t="shared" si="171"/>
        <v>9.6410236200333017</v>
      </c>
      <c r="AX20" s="44">
        <f t="shared" si="171"/>
        <v>9.8522877897940315</v>
      </c>
      <c r="AY20" s="44">
        <f t="shared" si="171"/>
        <v>10.067948685500435</v>
      </c>
      <c r="AZ20" s="44">
        <f t="shared" si="171"/>
        <v>10.288094740489607</v>
      </c>
      <c r="BA20" s="44">
        <f t="shared" si="171"/>
        <v>10.512816124178299</v>
      </c>
      <c r="BB20" s="44">
        <f t="shared" si="171"/>
        <v>10.742204775532405</v>
      </c>
      <c r="BC20" s="44">
        <f t="shared" si="171"/>
        <v>10.976354437172667</v>
      </c>
      <c r="BD20" s="44">
        <f t="shared" si="171"/>
        <v>11.215360690128566</v>
      </c>
      <c r="BE20" s="44">
        <f t="shared" si="171"/>
        <v>11.438001322295875</v>
      </c>
      <c r="BF20" s="44">
        <f t="shared" si="171"/>
        <v>11.664970496717423</v>
      </c>
      <c r="BG20" s="44">
        <f t="shared" si="171"/>
        <v>11.896351040687161</v>
      </c>
      <c r="BH20" s="44">
        <f t="shared" si="171"/>
        <v>12.13222734667832</v>
      </c>
      <c r="BI20" s="44">
        <f t="shared" si="171"/>
        <v>12.372685401622419</v>
      </c>
      <c r="BJ20" s="44">
        <f t="shared" si="171"/>
        <v>12.617812816731426</v>
      </c>
      <c r="BK20" s="44">
        <f t="shared" si="171"/>
        <v>12.867698857873073</v>
      </c>
      <c r="BL20" s="44">
        <f t="shared" si="171"/>
        <v>13.1224344765095</v>
      </c>
      <c r="BM20" s="44">
        <f t="shared" si="171"/>
        <v>13.382112341209639</v>
      </c>
      <c r="BN20" s="44">
        <f t="shared" si="171"/>
        <v>13.646826869745873</v>
      </c>
      <c r="BR20" t="s">
        <v>192</v>
      </c>
      <c r="BS20" s="44" t="e">
        <f>#REF!</f>
        <v>#REF!</v>
      </c>
      <c r="BY20" s="30" t="s">
        <v>28</v>
      </c>
      <c r="BZ20" s="137"/>
      <c r="CA20" s="137"/>
      <c r="CB20" s="137"/>
      <c r="CC20" s="137"/>
      <c r="CD20" s="137"/>
      <c r="CE20" s="137"/>
      <c r="CF20" s="143">
        <f>-SUM(CE11:CH11)</f>
        <v>4.4023450860511648</v>
      </c>
      <c r="CG20" s="137"/>
      <c r="CH20" s="137"/>
    </row>
    <row r="21" spans="1:87" x14ac:dyDescent="0.2">
      <c r="B21" s="61" t="s">
        <v>77</v>
      </c>
      <c r="C21" s="54" t="s">
        <v>153</v>
      </c>
      <c r="D21" s="44">
        <v>0</v>
      </c>
      <c r="E21" s="44">
        <f>E20*'R&amp;S - Transportation'!$B$15*('R&amp;S - Transportation'!$B$10*'R&amp;S - Transportation'!$B$19*(E$3-$D$3)/10)</f>
        <v>2.5160138265259896E-2</v>
      </c>
      <c r="F21" s="44">
        <f>F20*'R&amp;S - Transportation'!$B$15*('R&amp;S - Transportation'!$B$10*'R&amp;S - Transportation'!$B$19*(F$3-$D$3)/10)</f>
        <v>5.1277868379705362E-2</v>
      </c>
      <c r="G21" s="44">
        <f>G20*'R&amp;S - Transportation'!$B$15*('R&amp;S - Transportation'!$B$10*'R&amp;S - Transportation'!$B$19*(G$3-$D$3)/10)</f>
        <v>7.8380213687768902E-2</v>
      </c>
      <c r="H21" s="44">
        <f>H20*'R&amp;S - Transportation'!$B$15*('R&amp;S - Transportation'!$B$10*'R&amp;S - Transportation'!$B$19*(H$3-$D$3)/10)</f>
        <v>0.10649486910407507</v>
      </c>
      <c r="I21" s="44">
        <f>I20*'R&amp;S - Transportation'!$B$15*('R&amp;S - Transportation'!$B$10*'R&amp;S - Transportation'!$B$19*(I$3-$D$3)/10)</f>
        <v>0.13565021663892957</v>
      </c>
      <c r="J21" s="44">
        <f>J20*'R&amp;S - Transportation'!$B$15*('R&amp;S - Transportation'!$B$10*'R&amp;S - Transportation'!$B$19*(J$3-$D$3)/10)</f>
        <v>0.16587534126612216</v>
      </c>
      <c r="K21" s="44">
        <f>K20*'R&amp;S - Transportation'!$B$15*('R&amp;S - Transportation'!$B$10*'R&amp;S - Transportation'!$B$19*(K$3-$D$3)/10)</f>
        <v>0.19720004714034142</v>
      </c>
      <c r="L21" s="44">
        <f>L20*'R&amp;S - Transportation'!$B$15*('R&amp;S - Transportation'!$B$10*'R&amp;S - Transportation'!$B$19*(L$3-$D$3)/10)</f>
        <v>0.22965487417164812</v>
      </c>
      <c r="M21" s="44">
        <f>M20*'R&amp;S - Transportation'!$B$15*('R&amp;S - Transportation'!$B$10*'R&amp;S - Transportation'!$B$19*(M$3-$D$3)/10)</f>
        <v>0.26327111496461264</v>
      </c>
      <c r="N21" s="44">
        <f>N20*'R&amp;S - Transportation'!$B$15*('R&amp;S - Transportation'!$B$10*'R&amp;S - Transportation'!$B$19*(N$3-$D$3)/10)</f>
        <v>0.29808083212987474</v>
      </c>
      <c r="O21" s="44">
        <f>O20*('R&amp;S - Transportation'!$B$15*('R&amp;S - Transportation'!$B$10*('R&amp;S - Transportation'!$B$19+('R&amp;S - Transportation'!$B$20-'R&amp;S - Transportation'!$B$19)*(O3-$N$3)/10)))</f>
        <v>0.39602449496360786</v>
      </c>
      <c r="P21" s="44">
        <f>P20*('R&amp;S - Transportation'!$B$15*('R&amp;S - Transportation'!$B$10*('R&amp;S - Transportation'!$B$19+('R&amp;S - Transportation'!$B$20-'R&amp;S - Transportation'!$B$19)*(P3-$N$3)/10)))</f>
        <v>0.49811886675491651</v>
      </c>
      <c r="Q21" s="44">
        <f>Q20*('R&amp;S - Transportation'!$B$15*('R&amp;S - Transportation'!$B$10*('R&amp;S - Transportation'!$B$19+('R&amp;S - Transportation'!$B$20-'R&amp;S - Transportation'!$B$19)*(Q3-$N$3)/10)))</f>
        <v>0.60449218097608803</v>
      </c>
      <c r="R21" s="44">
        <f>R20*('R&amp;S - Transportation'!$B$15*('R&amp;S - Transportation'!$B$10*('R&amp;S - Transportation'!$B$19+('R&amp;S - Transportation'!$B$20-'R&amp;S - Transportation'!$B$19)*(R3-$N$3)/10)))</f>
        <v>0.71527609353904675</v>
      </c>
      <c r="S21" s="44">
        <f>S20*('R&amp;S - Transportation'!$B$15*('R&amp;S - Transportation'!$B$10*('R&amp;S - Transportation'!$B$19+('R&amp;S - Transportation'!$B$20-'R&amp;S - Transportation'!$B$19)*(S3-$N$3)/10)))</f>
        <v>0.83060576655378593</v>
      </c>
      <c r="T21" s="44">
        <f>T20*('R&amp;S - Transportation'!$B$15*('R&amp;S - Transportation'!$B$10*('R&amp;S - Transportation'!$B$19+('R&amp;S - Transportation'!$B$20-'R&amp;S - Transportation'!$B$19)*(T3-$N$3)/10)))</f>
        <v>0.95061995402123978</v>
      </c>
      <c r="U21" s="44">
        <f>U20*('R&amp;S - Transportation'!$B$15*('R&amp;S - Transportation'!$B$10*('R&amp;S - Transportation'!$B$19+('R&amp;S - Transportation'!$B$20-'R&amp;S - Transportation'!$B$19)*(U3-$N$3)/10)))</f>
        <v>1.0754610895034402</v>
      </c>
      <c r="V21" s="44">
        <f>V20*('R&amp;S - Transportation'!$B$15*('R&amp;S - Transportation'!$B$10*('R&amp;S - Transportation'!$B$19+('R&amp;S - Transportation'!$B$20-'R&amp;S - Transportation'!$B$19)*(V3-$N$3)/10)))</f>
        <v>1.2052753758147363</v>
      </c>
      <c r="W21" s="44">
        <f>W20*('R&amp;S - Transportation'!$B$15*('R&amp;S - Transportation'!$B$10*('R&amp;S - Transportation'!$B$19+('R&amp;S - Transportation'!$B$20-'R&amp;S - Transportation'!$B$19)*(W3-$N$3)/10)))</f>
        <v>1.3402128767787826</v>
      </c>
      <c r="X21" s="44">
        <f>X20*('R&amp;S - Transportation'!$B$15*('R&amp;S - Transportation'!$B$10*('R&amp;S - Transportation'!$B$19+('R&amp;S - Transportation'!$B$20-'R&amp;S - Transportation'!$B$19)*(X3-$N$3)/10)))</f>
        <v>1.4804276110969707</v>
      </c>
      <c r="Y21" s="44">
        <f>Y20*('R&amp;S - Transportation'!$B$15*('R&amp;S - Transportation'!$B$10*('R&amp;S - Transportation'!$B$20+('R&amp;S - Transportation'!$B$21-'R&amp;S - Transportation'!$B$20)*(Y3-$X$3)/10)))</f>
        <v>1.736288600724514</v>
      </c>
      <c r="Z21" s="44">
        <f>Z20*('R&amp;S - Transportation'!$B$15*('R&amp;S - Transportation'!$B$10*('R&amp;S - Transportation'!$B$20+('R&amp;S - Transportation'!$B$21-'R&amp;S - Transportation'!$B$20)*(Z3-$X$3)/10)))</f>
        <v>2.0017089372367098</v>
      </c>
      <c r="AA21" s="44">
        <f>AA20*('R&amp;S - Transportation'!$B$15*('R&amp;S - Transportation'!$B$10*('R&amp;S - Transportation'!$B$20+('R&amp;S - Transportation'!$B$21-'R&amp;S - Transportation'!$B$20)*(AA3-$X$3)/10)))</f>
        <v>2.2769615891875232</v>
      </c>
      <c r="AB21" s="44">
        <f>AB20*('R&amp;S - Transportation'!$B$15*('R&amp;S - Transportation'!$B$10*('R&amp;S - Transportation'!$B$20+('R&amp;S - Transportation'!$B$21-'R&amp;S - Transportation'!$B$20)*(AB3-$X$3)/10)))</f>
        <v>2.5623264156184615</v>
      </c>
      <c r="AC21" s="44">
        <f>AC20*('R&amp;S - Transportation'!$B$15*('R&amp;S - Transportation'!$B$10*('R&amp;S - Transportation'!$B$20+('R&amp;S - Transportation'!$B$21-'R&amp;S - Transportation'!$B$20)*(AC3-$X$3)/10)))</f>
        <v>2.8580903277747787</v>
      </c>
      <c r="AD21" s="44">
        <f>AD20*('R&amp;S - Transportation'!$B$15*('R&amp;S - Transportation'!$B$10*('R&amp;S - Transportation'!$B$20+('R&amp;S - Transportation'!$B$21-'R&amp;S - Transportation'!$B$20)*(AD3-$X$3)/10)))</f>
        <v>3.1645474544362422</v>
      </c>
      <c r="AE21" s="44">
        <f>AE20*('R&amp;S - Transportation'!$B$15*('R&amp;S - Transportation'!$B$10*('R&amp;S - Transportation'!$B$20+('R&amp;S - Transportation'!$B$21-'R&amp;S - Transportation'!$B$20)*(AE3-$X$3)/10)))</f>
        <v>3.4819993109404535</v>
      </c>
      <c r="AF21" s="44">
        <f>AF20*('R&amp;S - Transportation'!$B$15*('R&amp;S - Transportation'!$B$10*('R&amp;S - Transportation'!$B$20+('R&amp;S - Transportation'!$B$21-'R&amp;S - Transportation'!$B$20)*(AF3-$X$3)/10)))</f>
        <v>3.8107549719783589</v>
      </c>
      <c r="AG21" s="44">
        <f>AG20*('R&amp;S - Transportation'!$B$15*('R&amp;S - Transportation'!$B$10*('R&amp;S - Transportation'!$B$20+('R&amp;S - Transportation'!$B$21-'R&amp;S - Transportation'!$B$20)*(AG3-$X$3)/10)))</f>
        <v>4.1511312482432299</v>
      </c>
      <c r="AH21" s="44">
        <f>AH20*('R&amp;S - Transportation'!$B$15*('R&amp;S - Transportation'!$B$10*('R&amp;S - Transportation'!$B$20+('R&amp;S - Transportation'!$B$21-'R&amp;S - Transportation'!$B$20)*(AH3-$X$3)/10)))</f>
        <v>4.5034528670161382</v>
      </c>
      <c r="AJ21" s="44">
        <v>0</v>
      </c>
      <c r="AK21" s="44">
        <f>AK20*'R&amp;S - Transportation'!$B$16*('R&amp;S - Transportation'!$B$10*'R&amp;S - Transportation'!$B$19*(AK$3-$D$3)/10)</f>
        <v>1.2580069132629948E-2</v>
      </c>
      <c r="AL21" s="44">
        <f>AL20*'R&amp;S - Transportation'!$B$16*('R&amp;S - Transportation'!$B$10*'R&amp;S - Transportation'!$B$19*(AL$3-$D$3)/10)</f>
        <v>2.5638934189852681E-2</v>
      </c>
      <c r="AM21" s="44">
        <f>AM20*'R&amp;S - Transportation'!$B$16*('R&amp;S - Transportation'!$B$10*'R&amp;S - Transportation'!$B$19*(AM$3-$D$3)/10)</f>
        <v>3.9190106843884451E-2</v>
      </c>
      <c r="AN21" s="44">
        <f>AN20*'R&amp;S - Transportation'!$B$16*('R&amp;S - Transportation'!$B$10*'R&amp;S - Transportation'!$B$19*(AN$3-$D$3)/10)</f>
        <v>5.3247434552037537E-2</v>
      </c>
      <c r="AO21" s="44">
        <f>AO20*'R&amp;S - Transportation'!$B$16*('R&amp;S - Transportation'!$B$10*'R&amp;S - Transportation'!$B$19*(AO$3-$D$3)/10)</f>
        <v>6.7825108319464783E-2</v>
      </c>
      <c r="AP21" s="44">
        <f>AP20*'R&amp;S - Transportation'!$B$16*('R&amp;S - Transportation'!$B$10*'R&amp;S - Transportation'!$B$19*(AP$3-$D$3)/10)</f>
        <v>8.2937670633061081E-2</v>
      </c>
      <c r="AQ21" s="44">
        <f>AQ20*'R&amp;S - Transportation'!$B$16*('R&amp;S - Transportation'!$B$10*'R&amp;S - Transportation'!$B$19*(AQ$3-$D$3)/10)</f>
        <v>9.8600023570170711E-2</v>
      </c>
      <c r="AR21" s="44">
        <f>AR20*'R&amp;S - Transportation'!$B$16*('R&amp;S - Transportation'!$B$10*'R&amp;S - Transportation'!$B$19*(AR$3-$D$3)/10)</f>
        <v>0.11482743708582406</v>
      </c>
      <c r="AS21" s="44">
        <f>AS20*'R&amp;S - Transportation'!$B$16*('R&amp;S - Transportation'!$B$10*'R&amp;S - Transportation'!$B$19*(AS$3-$D$3)/10)</f>
        <v>0.13163555748230632</v>
      </c>
      <c r="AT21" s="44">
        <f>AT20*'R&amp;S - Transportation'!$B$16*('R&amp;S - Transportation'!$B$10*'R&amp;S - Transportation'!$B$19*(AT$3-$D$3)/10)</f>
        <v>0.14904041606493737</v>
      </c>
      <c r="AU21" s="44">
        <f>AU20*('R&amp;S - Transportation'!$B$16*('R&amp;S - Transportation'!$B$10*('R&amp;S - Transportation'!$B$19+('R&amp;S - Transportation'!$B$20-'R&amp;S - Transportation'!$B$19)*(AU3-$N$3)/10)))</f>
        <v>0.19801224748180393</v>
      </c>
      <c r="AV21" s="44">
        <f>AV20*('R&amp;S - Transportation'!$B$16*('R&amp;S - Transportation'!$B$10*('R&amp;S - Transportation'!$B$19+('R&amp;S - Transportation'!$B$20-'R&amp;S - Transportation'!$B$19)*(AV3-$N$3)/10)))</f>
        <v>0.24905943337745826</v>
      </c>
      <c r="AW21" s="44">
        <f>AW20*('R&amp;S - Transportation'!$B$16*('R&amp;S - Transportation'!$B$10*('R&amp;S - Transportation'!$B$19+('R&amp;S - Transportation'!$B$20-'R&amp;S - Transportation'!$B$19)*(AW3-$N$3)/10)))</f>
        <v>0.30224609048804402</v>
      </c>
      <c r="AX21" s="44">
        <f>AX20*('R&amp;S - Transportation'!$B$16*('R&amp;S - Transportation'!$B$10*('R&amp;S - Transportation'!$B$19+('R&amp;S - Transportation'!$B$20-'R&amp;S - Transportation'!$B$19)*(AX3-$N$3)/10)))</f>
        <v>0.35763804676952338</v>
      </c>
      <c r="AY21" s="44">
        <f>AY20*('R&amp;S - Transportation'!$B$16*('R&amp;S - Transportation'!$B$10*('R&amp;S - Transportation'!$B$19+('R&amp;S - Transportation'!$B$20-'R&amp;S - Transportation'!$B$19)*(AY3-$N$3)/10)))</f>
        <v>0.41530288327689296</v>
      </c>
      <c r="AZ21" s="44">
        <f>AZ20*('R&amp;S - Transportation'!$B$16*('R&amp;S - Transportation'!$B$10*('R&amp;S - Transportation'!$B$19+('R&amp;S - Transportation'!$B$20-'R&amp;S - Transportation'!$B$19)*(AZ3-$N$3)/10)))</f>
        <v>0.47530997701061989</v>
      </c>
      <c r="BA21" s="44">
        <f>BA20*('R&amp;S - Transportation'!$B$16*('R&amp;S - Transportation'!$B$10*('R&amp;S - Transportation'!$B$19+('R&amp;S - Transportation'!$B$20-'R&amp;S - Transportation'!$B$19)*(BA3-$N$3)/10)))</f>
        <v>0.53773054475172011</v>
      </c>
      <c r="BB21" s="44">
        <f>BB20*('R&amp;S - Transportation'!$B$16*('R&amp;S - Transportation'!$B$10*('R&amp;S - Transportation'!$B$19+('R&amp;S - Transportation'!$B$20-'R&amp;S - Transportation'!$B$19)*(BB3-$N$3)/10)))</f>
        <v>0.60263768790736816</v>
      </c>
      <c r="BC21" s="44">
        <f>BC20*('R&amp;S - Transportation'!$B$16*('R&amp;S - Transportation'!$B$10*('R&amp;S - Transportation'!$B$19+('R&amp;S - Transportation'!$B$20-'R&amp;S - Transportation'!$B$19)*(BC3-$N$3)/10)))</f>
        <v>0.67010643838939132</v>
      </c>
      <c r="BD21" s="44">
        <f>BD20*('R&amp;S - Transportation'!$B$16*('R&amp;S - Transportation'!$B$10*('R&amp;S - Transportation'!$B$19+('R&amp;S - Transportation'!$B$20-'R&amp;S - Transportation'!$B$19)*(BD3-$N$3)/10)))</f>
        <v>0.74021380554848537</v>
      </c>
      <c r="BE21" s="44">
        <f>BE20*('R&amp;S - Transportation'!$B$16*('R&amp;S - Transportation'!$B$10*('R&amp;S - Transportation'!$B$20+('R&amp;S - Transportation'!$B$21-'R&amp;S - Transportation'!$B$20)*(BE3-$X$3)/10)))</f>
        <v>0.86814430036225698</v>
      </c>
      <c r="BF21" s="44">
        <f>BF20*('R&amp;S - Transportation'!$B$16*('R&amp;S - Transportation'!$B$10*('R&amp;S - Transportation'!$B$20+('R&amp;S - Transportation'!$B$21-'R&amp;S - Transportation'!$B$20)*(BF3-$X$3)/10)))</f>
        <v>1.0008544686183549</v>
      </c>
      <c r="BG21" s="44">
        <f>BG20*('R&amp;S - Transportation'!$B$16*('R&amp;S - Transportation'!$B$10*('R&amp;S - Transportation'!$B$20+('R&amp;S - Transportation'!$B$21-'R&amp;S - Transportation'!$B$20)*(BG3-$X$3)/10)))</f>
        <v>1.1384807945937616</v>
      </c>
      <c r="BH21" s="44">
        <f>BH20*('R&amp;S - Transportation'!$B$16*('R&amp;S - Transportation'!$B$10*('R&amp;S - Transportation'!$B$20+('R&amp;S - Transportation'!$B$21-'R&amp;S - Transportation'!$B$20)*(BH3-$X$3)/10)))</f>
        <v>1.2811632078092308</v>
      </c>
      <c r="BI21" s="44">
        <f>BI20*('R&amp;S - Transportation'!$B$16*('R&amp;S - Transportation'!$B$10*('R&amp;S - Transportation'!$B$20+('R&amp;S - Transportation'!$B$21-'R&amp;S - Transportation'!$B$20)*(BI3-$X$3)/10)))</f>
        <v>1.4290451638873893</v>
      </c>
      <c r="BJ21" s="44">
        <f>BJ20*('R&amp;S - Transportation'!$B$16*('R&amp;S - Transportation'!$B$10*('R&amp;S - Transportation'!$B$20+('R&amp;S - Transportation'!$B$21-'R&amp;S - Transportation'!$B$20)*(BJ3-$X$3)/10)))</f>
        <v>1.5822737272181211</v>
      </c>
      <c r="BK21" s="44">
        <f>BK20*('R&amp;S - Transportation'!$B$16*('R&amp;S - Transportation'!$B$10*('R&amp;S - Transportation'!$B$20+('R&amp;S - Transportation'!$B$21-'R&amp;S - Transportation'!$B$20)*(BK3-$X$3)/10)))</f>
        <v>1.7409996554702267</v>
      </c>
      <c r="BL21" s="44">
        <f>BL20*('R&amp;S - Transportation'!$B$16*('R&amp;S - Transportation'!$B$10*('R&amp;S - Transportation'!$B$20+('R&amp;S - Transportation'!$B$21-'R&amp;S - Transportation'!$B$20)*(BL3-$X$3)/10)))</f>
        <v>1.9053774859891794</v>
      </c>
      <c r="BM21" s="44">
        <f>BM20*('R&amp;S - Transportation'!$B$16*('R&amp;S - Transportation'!$B$10*('R&amp;S - Transportation'!$B$20+('R&amp;S - Transportation'!$B$21-'R&amp;S - Transportation'!$B$20)*(BM3-$X$3)/10)))</f>
        <v>2.0755656241216149</v>
      </c>
      <c r="BN21" s="44">
        <f>BN20*('R&amp;S - Transportation'!$B$16*('R&amp;S - Transportation'!$B$10*('R&amp;S - Transportation'!$B$20+('R&amp;S - Transportation'!$B$21-'R&amp;S - Transportation'!$B$20)*(BN3-$X$3)/10)))</f>
        <v>2.2517264335080691</v>
      </c>
      <c r="BS21" s="442" t="e">
        <f>SUM(BS14:BS20)</f>
        <v>#REF!</v>
      </c>
      <c r="BY21" s="30" t="s">
        <v>193</v>
      </c>
      <c r="BZ21" s="137"/>
      <c r="CA21" s="137"/>
      <c r="CB21" s="137"/>
      <c r="CC21" s="137"/>
      <c r="CD21" s="137"/>
      <c r="CE21" s="137"/>
      <c r="CF21" s="137"/>
      <c r="CG21" s="143">
        <f>SUM(AH114:AH115)</f>
        <v>3.4861996003428253</v>
      </c>
      <c r="CH21" s="137"/>
    </row>
    <row r="22" spans="1:87" x14ac:dyDescent="0.2">
      <c r="B22" s="61" t="s">
        <v>194</v>
      </c>
      <c r="C22" s="54" t="s">
        <v>153</v>
      </c>
      <c r="D22" s="44">
        <v>0</v>
      </c>
      <c r="E22" s="44">
        <f>E20*'R&amp;S - Transportation'!$B$15*('R&amp;S - Transportation'!$B$11*'R&amp;S - Transportation'!$B$19*(E$3-$D$3)/10)</f>
        <v>1.6010997077892664E-2</v>
      </c>
      <c r="F22" s="44">
        <f>F20*'R&amp;S - Transportation'!$B$15*('R&amp;S - Transportation'!$B$11*'R&amp;S - Transportation'!$B$19*(F$3-$D$3)/10)</f>
        <v>3.2631370787085237E-2</v>
      </c>
      <c r="G22" s="44">
        <f>G20*'R&amp;S - Transportation'!$B$15*('R&amp;S - Transportation'!$B$11*'R&amp;S - Transportation'!$B$19*(G$3-$D$3)/10)</f>
        <v>4.9878317801307484E-2</v>
      </c>
      <c r="H22" s="44">
        <f>H20*'R&amp;S - Transportation'!$B$15*('R&amp;S - Transportation'!$B$11*'R&amp;S - Transportation'!$B$19*(H$3-$D$3)/10)</f>
        <v>6.7769462157138693E-2</v>
      </c>
      <c r="I22" s="44">
        <f>I20*'R&amp;S - Transportation'!$B$15*('R&amp;S - Transportation'!$B$11*'R&amp;S - Transportation'!$B$19*(I$3-$D$3)/10)</f>
        <v>8.6322865133864266E-2</v>
      </c>
      <c r="J22" s="44">
        <f>J20*'R&amp;S - Transportation'!$B$15*('R&amp;S - Transportation'!$B$11*'R&amp;S - Transportation'!$B$19*(J$3-$D$3)/10)</f>
        <v>0.10555703535116864</v>
      </c>
      <c r="K22" s="44">
        <f>K20*'R&amp;S - Transportation'!$B$15*('R&amp;S - Transportation'!$B$11*'R&amp;S - Transportation'!$B$19*(K$3-$D$3)/10)</f>
        <v>0.12549093908930817</v>
      </c>
      <c r="L22" s="44">
        <f>L20*'R&amp;S - Transportation'!$B$15*('R&amp;S - Transportation'!$B$11*'R&amp;S - Transportation'!$B$19*(L$3-$D$3)/10)</f>
        <v>0.14614401083650339</v>
      </c>
      <c r="M22" s="44">
        <f>M20*'R&amp;S - Transportation'!$B$15*('R&amp;S - Transportation'!$B$11*'R&amp;S - Transportation'!$B$19*(M$3-$D$3)/10)</f>
        <v>0.16753616406838984</v>
      </c>
      <c r="N22" s="44">
        <f>N20*'R&amp;S - Transportation'!$B$15*('R&amp;S - Transportation'!$B$11*'R&amp;S - Transportation'!$B$19*(N$3-$D$3)/10)</f>
        <v>0.18968780226446574</v>
      </c>
      <c r="O22" s="44">
        <f>O20*('R&amp;S - Transportation'!$B$15*('R&amp;S - Transportation'!$B$11*('R&amp;S - Transportation'!$B$19+('R&amp;S - Transportation'!$B$20-'R&amp;S - Transportation'!$B$19)*(O3-$N$3)/10)))</f>
        <v>0.25201558770411414</v>
      </c>
      <c r="P22" s="44">
        <f>P20*('R&amp;S - Transportation'!$B$15*('R&amp;S - Transportation'!$B$11*('R&amp;S - Transportation'!$B$19+('R&amp;S - Transportation'!$B$20-'R&amp;S - Transportation'!$B$19)*(P3-$N$3)/10)))</f>
        <v>0.31698473338949229</v>
      </c>
      <c r="Q22" s="44">
        <f>Q20*('R&amp;S - Transportation'!$B$15*('R&amp;S - Transportation'!$B$11*('R&amp;S - Transportation'!$B$19+('R&amp;S - Transportation'!$B$20-'R&amp;S - Transportation'!$B$19)*(Q3-$N$3)/10)))</f>
        <v>0.3846768424393287</v>
      </c>
      <c r="R22" s="44">
        <f>R20*('R&amp;S - Transportation'!$B$15*('R&amp;S - Transportation'!$B$11*('R&amp;S - Transportation'!$B$19+('R&amp;S - Transportation'!$B$20-'R&amp;S - Transportation'!$B$19)*(R3-$N$3)/10)))</f>
        <v>0.45517569588848433</v>
      </c>
      <c r="S22" s="44">
        <f>S20*('R&amp;S - Transportation'!$B$15*('R&amp;S - Transportation'!$B$11*('R&amp;S - Transportation'!$B$19+('R&amp;S - Transportation'!$B$20-'R&amp;S - Transportation'!$B$19)*(S3-$N$3)/10)))</f>
        <v>0.52856730598877277</v>
      </c>
      <c r="T22" s="44">
        <f>T20*('R&amp;S - Transportation'!$B$15*('R&amp;S - Transportation'!$B$11*('R&amp;S - Transportation'!$B$19+('R&amp;S - Transportation'!$B$20-'R&amp;S - Transportation'!$B$19)*(T3-$N$3)/10)))</f>
        <v>0.60493997074078887</v>
      </c>
      <c r="U22" s="44">
        <f>U20*('R&amp;S - Transportation'!$B$15*('R&amp;S - Transportation'!$B$11*('R&amp;S - Transportation'!$B$19+('R&amp;S - Transportation'!$B$20-'R&amp;S - Transportation'!$B$19)*(U3-$N$3)/10)))</f>
        <v>0.68438432968400731</v>
      </c>
      <c r="V22" s="44">
        <f>V20*('R&amp;S - Transportation'!$B$15*('R&amp;S - Transportation'!$B$11*('R&amp;S - Transportation'!$B$19+('R&amp;S - Transportation'!$B$20-'R&amp;S - Transportation'!$B$19)*(V3-$N$3)/10)))</f>
        <v>0.76699342097301393</v>
      </c>
      <c r="W22" s="44">
        <f>W20*('R&amp;S - Transportation'!$B$15*('R&amp;S - Transportation'!$B$11*('R&amp;S - Transportation'!$B$19+('R&amp;S - Transportation'!$B$20-'R&amp;S - Transportation'!$B$19)*(W3-$N$3)/10)))</f>
        <v>0.85286273976831606</v>
      </c>
      <c r="X22" s="44">
        <f>X20*('R&amp;S - Transportation'!$B$15*('R&amp;S - Transportation'!$B$11*('R&amp;S - Transportation'!$B$19+('R&amp;S - Transportation'!$B$20-'R&amp;S - Transportation'!$B$19)*(X3-$N$3)/10)))</f>
        <v>0.94209029797079957</v>
      </c>
      <c r="Y22" s="44">
        <f>Y20*('R&amp;S - Transportation'!$B$15*('R&amp;S - Transportation'!$B$11*('R&amp;S - Transportation'!$B$20+('R&amp;S - Transportation'!$B$21-'R&amp;S - Transportation'!$B$20)*(Y3-$X$3)/10)))</f>
        <v>1.1049109277337816</v>
      </c>
      <c r="Z22" s="44">
        <f>Z20*('R&amp;S - Transportation'!$B$15*('R&amp;S - Transportation'!$B$11*('R&amp;S - Transportation'!$B$20+('R&amp;S - Transportation'!$B$21-'R&amp;S - Transportation'!$B$20)*(Z3-$X$3)/10)))</f>
        <v>1.2738147782415428</v>
      </c>
      <c r="AA22" s="44">
        <f>AA20*('R&amp;S - Transportation'!$B$15*('R&amp;S - Transportation'!$B$11*('R&amp;S - Transportation'!$B$20+('R&amp;S - Transportation'!$B$21-'R&amp;S - Transportation'!$B$20)*(AA3-$X$3)/10)))</f>
        <v>1.4489755567556963</v>
      </c>
      <c r="AB22" s="44">
        <f>AB20*('R&amp;S - Transportation'!$B$15*('R&amp;S - Transportation'!$B$11*('R&amp;S - Transportation'!$B$20+('R&amp;S - Transportation'!$B$21-'R&amp;S - Transportation'!$B$20)*(AB3-$X$3)/10)))</f>
        <v>1.6305713553935661</v>
      </c>
      <c r="AC22" s="44">
        <f>AC20*('R&amp;S - Transportation'!$B$15*('R&amp;S - Transportation'!$B$11*('R&amp;S - Transportation'!$B$20+('R&amp;S - Transportation'!$B$21-'R&amp;S - Transportation'!$B$20)*(AC3-$X$3)/10)))</f>
        <v>1.8187847540384956</v>
      </c>
      <c r="AD22" s="44">
        <f>AD20*('R&amp;S - Transportation'!$B$15*('R&amp;S - Transportation'!$B$11*('R&amp;S - Transportation'!$B$20+('R&amp;S - Transportation'!$B$21-'R&amp;S - Transportation'!$B$20)*(AD3-$X$3)/10)))</f>
        <v>2.0138029255503356</v>
      </c>
      <c r="AE22" s="44">
        <f>AE20*('R&amp;S - Transportation'!$B$15*('R&amp;S - Transportation'!$B$11*('R&amp;S - Transportation'!$B$20+('R&amp;S - Transportation'!$B$21-'R&amp;S - Transportation'!$B$20)*(AE3-$X$3)/10)))</f>
        <v>2.2158177433257435</v>
      </c>
      <c r="AF22" s="44">
        <f>AF20*('R&amp;S - Transportation'!$B$15*('R&amp;S - Transportation'!$B$11*('R&amp;S - Transportation'!$B$20+('R&amp;S - Transportation'!$B$21-'R&amp;S - Transportation'!$B$20)*(AF3-$X$3)/10)))</f>
        <v>2.4250258912589557</v>
      </c>
      <c r="AG22" s="44">
        <f>AG20*('R&amp;S - Transportation'!$B$15*('R&amp;S - Transportation'!$B$11*('R&amp;S - Transportation'!$B$20+('R&amp;S - Transportation'!$B$21-'R&amp;S - Transportation'!$B$20)*(AG3-$X$3)/10)))</f>
        <v>2.6416289761547826</v>
      </c>
      <c r="AH22" s="44">
        <f>AH20*('R&amp;S - Transportation'!$B$15*('R&amp;S - Transportation'!$B$11*('R&amp;S - Transportation'!$B$20+('R&amp;S - Transportation'!$B$21-'R&amp;S - Transportation'!$B$20)*(AH3-$X$3)/10)))</f>
        <v>2.8658336426466331</v>
      </c>
      <c r="AJ22" s="44">
        <v>0</v>
      </c>
      <c r="AK22" s="44">
        <f>AK20*'R&amp;S - Transportation'!$B$16*('R&amp;S - Transportation'!$B$11*'R&amp;S - Transportation'!$B$19*(AK$3-$D$3)/10)</f>
        <v>8.0054985389463318E-3</v>
      </c>
      <c r="AL22" s="44">
        <f>AL20*'R&amp;S - Transportation'!$B$16*('R&amp;S - Transportation'!$B$11*'R&amp;S - Transportation'!$B$19*(AL$3-$D$3)/10)</f>
        <v>1.6315685393542619E-2</v>
      </c>
      <c r="AM22" s="44">
        <f>AM20*'R&amp;S - Transportation'!$B$16*('R&amp;S - Transportation'!$B$11*'R&amp;S - Transportation'!$B$19*(AM$3-$D$3)/10)</f>
        <v>2.4939158900653742E-2</v>
      </c>
      <c r="AN22" s="44">
        <f>AN20*'R&amp;S - Transportation'!$B$16*('R&amp;S - Transportation'!$B$11*'R&amp;S - Transportation'!$B$19*(AN$3-$D$3)/10)</f>
        <v>3.3884731078569347E-2</v>
      </c>
      <c r="AO22" s="44">
        <f>AO20*'R&amp;S - Transportation'!$B$16*('R&amp;S - Transportation'!$B$11*'R&amp;S - Transportation'!$B$19*(AO$3-$D$3)/10)</f>
        <v>4.3161432566932133E-2</v>
      </c>
      <c r="AP22" s="44">
        <f>AP20*'R&amp;S - Transportation'!$B$16*('R&amp;S - Transportation'!$B$11*'R&amp;S - Transportation'!$B$19*(AP$3-$D$3)/10)</f>
        <v>5.2778517675584322E-2</v>
      </c>
      <c r="AQ22" s="44">
        <f>AQ20*'R&amp;S - Transportation'!$B$16*('R&amp;S - Transportation'!$B$11*'R&amp;S - Transportation'!$B$19*(AQ$3-$D$3)/10)</f>
        <v>6.2745469544654084E-2</v>
      </c>
      <c r="AR22" s="44">
        <f>AR20*'R&amp;S - Transportation'!$B$16*('R&amp;S - Transportation'!$B$11*'R&amp;S - Transportation'!$B$19*(AR$3-$D$3)/10)</f>
        <v>7.3072005418251693E-2</v>
      </c>
      <c r="AS22" s="44">
        <f>AS20*'R&amp;S - Transportation'!$B$16*('R&amp;S - Transportation'!$B$11*'R&amp;S - Transportation'!$B$19*(AS$3-$D$3)/10)</f>
        <v>8.3768082034194918E-2</v>
      </c>
      <c r="AT22" s="44">
        <f>AT20*'R&amp;S - Transportation'!$B$16*('R&amp;S - Transportation'!$B$11*'R&amp;S - Transportation'!$B$19*(AT$3-$D$3)/10)</f>
        <v>9.4843901132232872E-2</v>
      </c>
      <c r="AU22" s="44">
        <f>AU20*('R&amp;S - Transportation'!$B$16*('R&amp;S - Transportation'!$B$11*('R&amp;S - Transportation'!$B$19+('R&amp;S - Transportation'!$B$20-'R&amp;S - Transportation'!$B$19)*(AU3-$N$3)/10)))</f>
        <v>0.12600779385205707</v>
      </c>
      <c r="AV22" s="44">
        <f>AV20*('R&amp;S - Transportation'!$B$16*('R&amp;S - Transportation'!$B$11*('R&amp;S - Transportation'!$B$19+('R&amp;S - Transportation'!$B$20-'R&amp;S - Transportation'!$B$19)*(AV3-$N$3)/10)))</f>
        <v>0.15849236669474615</v>
      </c>
      <c r="AW22" s="44">
        <f>AW20*('R&amp;S - Transportation'!$B$16*('R&amp;S - Transportation'!$B$11*('R&amp;S - Transportation'!$B$19+('R&amp;S - Transportation'!$B$20-'R&amp;S - Transportation'!$B$19)*(AW3-$N$3)/10)))</f>
        <v>0.19233842121966435</v>
      </c>
      <c r="AX22" s="44">
        <f>AX20*('R&amp;S - Transportation'!$B$16*('R&amp;S - Transportation'!$B$11*('R&amp;S - Transportation'!$B$19+('R&amp;S - Transportation'!$B$20-'R&amp;S - Transportation'!$B$19)*(AX3-$N$3)/10)))</f>
        <v>0.22758784794424217</v>
      </c>
      <c r="AY22" s="44">
        <f>AY20*('R&amp;S - Transportation'!$B$16*('R&amp;S - Transportation'!$B$11*('R&amp;S - Transportation'!$B$19+('R&amp;S - Transportation'!$B$20-'R&amp;S - Transportation'!$B$19)*(AY3-$N$3)/10)))</f>
        <v>0.26428365299438639</v>
      </c>
      <c r="AZ22" s="44">
        <f>AZ20*('R&amp;S - Transportation'!$B$16*('R&amp;S - Transportation'!$B$11*('R&amp;S - Transportation'!$B$19+('R&amp;S - Transportation'!$B$20-'R&amp;S - Transportation'!$B$19)*(AZ3-$N$3)/10)))</f>
        <v>0.30246998537039443</v>
      </c>
      <c r="BA22" s="44">
        <f>BA20*('R&amp;S - Transportation'!$B$16*('R&amp;S - Transportation'!$B$11*('R&amp;S - Transportation'!$B$19+('R&amp;S - Transportation'!$B$20-'R&amp;S - Transportation'!$B$19)*(BA3-$N$3)/10)))</f>
        <v>0.34219216484200365</v>
      </c>
      <c r="BB22" s="44">
        <f>BB20*('R&amp;S - Transportation'!$B$16*('R&amp;S - Transportation'!$B$11*('R&amp;S - Transportation'!$B$19+('R&amp;S - Transportation'!$B$20-'R&amp;S - Transportation'!$B$19)*(BB3-$N$3)/10)))</f>
        <v>0.38349671048650696</v>
      </c>
      <c r="BC22" s="44">
        <f>BC20*('R&amp;S - Transportation'!$B$16*('R&amp;S - Transportation'!$B$11*('R&amp;S - Transportation'!$B$19+('R&amp;S - Transportation'!$B$20-'R&amp;S - Transportation'!$B$19)*(BC3-$N$3)/10)))</f>
        <v>0.42643136988415803</v>
      </c>
      <c r="BD22" s="44">
        <f>BD20*('R&amp;S - Transportation'!$B$16*('R&amp;S - Transportation'!$B$11*('R&amp;S - Transportation'!$B$19+('R&amp;S - Transportation'!$B$20-'R&amp;S - Transportation'!$B$19)*(BD3-$N$3)/10)))</f>
        <v>0.47104514898539979</v>
      </c>
      <c r="BE22" s="44">
        <f>BE20*('R&amp;S - Transportation'!$B$16*('R&amp;S - Transportation'!$B$11*('R&amp;S - Transportation'!$B$20+('R&amp;S - Transportation'!$B$21-'R&amp;S - Transportation'!$B$20)*(BE3-$X$3)/10)))</f>
        <v>0.55245546386689082</v>
      </c>
      <c r="BF22" s="44">
        <f>BF20*('R&amp;S - Transportation'!$B$16*('R&amp;S - Transportation'!$B$11*('R&amp;S - Transportation'!$B$20+('R&amp;S - Transportation'!$B$21-'R&amp;S - Transportation'!$B$20)*(BF3-$X$3)/10)))</f>
        <v>0.63690738912077138</v>
      </c>
      <c r="BG22" s="44">
        <f>BG20*('R&amp;S - Transportation'!$B$16*('R&amp;S - Transportation'!$B$11*('R&amp;S - Transportation'!$B$20+('R&amp;S - Transportation'!$B$21-'R&amp;S - Transportation'!$B$20)*(BG3-$X$3)/10)))</f>
        <v>0.72448777837784817</v>
      </c>
      <c r="BH22" s="44">
        <f>BH20*('R&amp;S - Transportation'!$B$16*('R&amp;S - Transportation'!$B$11*('R&amp;S - Transportation'!$B$20+('R&amp;S - Transportation'!$B$21-'R&amp;S - Transportation'!$B$20)*(BH3-$X$3)/10)))</f>
        <v>0.81528567769678306</v>
      </c>
      <c r="BI22" s="44">
        <f>BI20*('R&amp;S - Transportation'!$B$16*('R&amp;S - Transportation'!$B$11*('R&amp;S - Transportation'!$B$20+('R&amp;S - Transportation'!$B$21-'R&amp;S - Transportation'!$B$20)*(BI3-$X$3)/10)))</f>
        <v>0.9093923770192478</v>
      </c>
      <c r="BJ22" s="44">
        <f>BJ20*('R&amp;S - Transportation'!$B$16*('R&amp;S - Transportation'!$B$11*('R&amp;S - Transportation'!$B$20+('R&amp;S - Transportation'!$B$21-'R&amp;S - Transportation'!$B$20)*(BJ3-$X$3)/10)))</f>
        <v>1.0069014627751678</v>
      </c>
      <c r="BK22" s="44">
        <f>BK20*('R&amp;S - Transportation'!$B$16*('R&amp;S - Transportation'!$B$11*('R&amp;S - Transportation'!$B$20+('R&amp;S - Transportation'!$B$21-'R&amp;S - Transportation'!$B$20)*(BK3-$X$3)/10)))</f>
        <v>1.1079088716628718</v>
      </c>
      <c r="BL22" s="44">
        <f>BL20*('R&amp;S - Transportation'!$B$16*('R&amp;S - Transportation'!$B$11*('R&amp;S - Transportation'!$B$20+('R&amp;S - Transportation'!$B$21-'R&amp;S - Transportation'!$B$20)*(BL3-$X$3)/10)))</f>
        <v>1.2125129456294779</v>
      </c>
      <c r="BM22" s="44">
        <f>BM20*('R&amp;S - Transportation'!$B$16*('R&amp;S - Transportation'!$B$11*('R&amp;S - Transportation'!$B$20+('R&amp;S - Transportation'!$B$21-'R&amp;S - Transportation'!$B$20)*(BM3-$X$3)/10)))</f>
        <v>1.3208144880773913</v>
      </c>
      <c r="BN22" s="44">
        <f>BN20*('R&amp;S - Transportation'!$B$16*('R&amp;S - Transportation'!$B$11*('R&amp;S - Transportation'!$B$20+('R&amp;S - Transportation'!$B$21-'R&amp;S - Transportation'!$B$20)*(BN3-$X$3)/10)))</f>
        <v>1.4329168213233165</v>
      </c>
      <c r="BR22" t="s">
        <v>53</v>
      </c>
      <c r="BS22" s="44">
        <f>AH4</f>
        <v>182</v>
      </c>
      <c r="BY22" s="30" t="s">
        <v>195</v>
      </c>
      <c r="BZ22" s="137"/>
      <c r="CA22" s="137"/>
      <c r="CB22" s="137"/>
      <c r="CC22" s="137"/>
      <c r="CD22" s="137"/>
      <c r="CE22" s="137"/>
      <c r="CF22" s="137"/>
      <c r="CG22" s="143">
        <f>SUM(AH120:AH121)</f>
        <v>0.46558034255883163</v>
      </c>
      <c r="CH22" s="137"/>
    </row>
    <row r="23" spans="1:87" x14ac:dyDescent="0.2">
      <c r="B23" s="1" t="s">
        <v>168</v>
      </c>
      <c r="C23" s="54" t="s">
        <v>153</v>
      </c>
      <c r="D23" s="44">
        <f>SUM(D21:D22)</f>
        <v>0</v>
      </c>
      <c r="E23" s="44">
        <f t="shared" ref="E23:AG23" si="172">SUM(E21:E22)</f>
        <v>4.117113534315256E-2</v>
      </c>
      <c r="F23" s="44">
        <f t="shared" si="172"/>
        <v>8.3909239166790606E-2</v>
      </c>
      <c r="G23" s="44">
        <f t="shared" si="172"/>
        <v>0.1282585314890764</v>
      </c>
      <c r="H23" s="44">
        <f t="shared" si="172"/>
        <v>0.17426433126121377</v>
      </c>
      <c r="I23" s="44">
        <f t="shared" si="172"/>
        <v>0.22197308177279385</v>
      </c>
      <c r="J23" s="44">
        <f t="shared" si="172"/>
        <v>0.2714323766172908</v>
      </c>
      <c r="K23" s="44">
        <f t="shared" si="172"/>
        <v>0.32269098622964959</v>
      </c>
      <c r="L23" s="44">
        <f t="shared" si="172"/>
        <v>0.37579888500815151</v>
      </c>
      <c r="M23" s="44">
        <f t="shared" si="172"/>
        <v>0.43080727903300248</v>
      </c>
      <c r="N23" s="44">
        <f t="shared" si="172"/>
        <v>0.48776863439434048</v>
      </c>
      <c r="O23" s="44">
        <f t="shared" si="172"/>
        <v>0.64804008266772195</v>
      </c>
      <c r="P23" s="44">
        <f t="shared" si="172"/>
        <v>0.81510360014440875</v>
      </c>
      <c r="Q23" s="44">
        <f t="shared" si="172"/>
        <v>0.98916902341541668</v>
      </c>
      <c r="R23" s="44">
        <f t="shared" si="172"/>
        <v>1.170451789427531</v>
      </c>
      <c r="S23" s="44">
        <f t="shared" si="172"/>
        <v>1.3591730725425588</v>
      </c>
      <c r="T23" s="44">
        <f t="shared" si="172"/>
        <v>1.5555599247620286</v>
      </c>
      <c r="U23" s="44">
        <f t="shared" si="172"/>
        <v>1.7598454191874475</v>
      </c>
      <c r="V23" s="44">
        <f t="shared" si="172"/>
        <v>1.9722687967877501</v>
      </c>
      <c r="W23" s="44">
        <f t="shared" si="172"/>
        <v>2.1930756165470986</v>
      </c>
      <c r="X23" s="44">
        <f t="shared" si="172"/>
        <v>2.4225179090677704</v>
      </c>
      <c r="Y23" s="44">
        <f t="shared" si="172"/>
        <v>2.8411995284582954</v>
      </c>
      <c r="Z23" s="44">
        <f t="shared" si="172"/>
        <v>3.2755237154782524</v>
      </c>
      <c r="AA23" s="44">
        <f t="shared" si="172"/>
        <v>3.7259371459432193</v>
      </c>
      <c r="AB23" s="44">
        <f t="shared" si="172"/>
        <v>4.1928977710120279</v>
      </c>
      <c r="AC23" s="44">
        <f t="shared" si="172"/>
        <v>4.6768750818132743</v>
      </c>
      <c r="AD23" s="44">
        <f t="shared" si="172"/>
        <v>5.1783503799865773</v>
      </c>
      <c r="AE23" s="44">
        <f t="shared" si="172"/>
        <v>5.6978170542661974</v>
      </c>
      <c r="AF23" s="44">
        <f t="shared" si="172"/>
        <v>6.2357808632373146</v>
      </c>
      <c r="AG23" s="44">
        <f t="shared" si="172"/>
        <v>6.7927602243980125</v>
      </c>
      <c r="AH23" s="44">
        <f>SUM(AH21:AH22)</f>
        <v>7.3692865096627713</v>
      </c>
      <c r="AJ23" s="44">
        <f>SUM(AJ21:AJ22)</f>
        <v>0</v>
      </c>
      <c r="AK23" s="44">
        <f t="shared" ref="AK23:BM23" si="173">SUM(AK21:AK22)</f>
        <v>2.058556767157628E-2</v>
      </c>
      <c r="AL23" s="44">
        <f t="shared" si="173"/>
        <v>4.1954619583395303E-2</v>
      </c>
      <c r="AM23" s="44">
        <f t="shared" si="173"/>
        <v>6.41292657445382E-2</v>
      </c>
      <c r="AN23" s="44">
        <f t="shared" si="173"/>
        <v>8.7132165630606884E-2</v>
      </c>
      <c r="AO23" s="44">
        <f t="shared" si="173"/>
        <v>0.11098654088639692</v>
      </c>
      <c r="AP23" s="44">
        <f t="shared" si="173"/>
        <v>0.1357161883086454</v>
      </c>
      <c r="AQ23" s="44">
        <f t="shared" si="173"/>
        <v>0.1613454931148248</v>
      </c>
      <c r="AR23" s="44">
        <f t="shared" si="173"/>
        <v>0.18789944250407575</v>
      </c>
      <c r="AS23" s="44">
        <f t="shared" si="173"/>
        <v>0.21540363951650124</v>
      </c>
      <c r="AT23" s="44">
        <f t="shared" si="173"/>
        <v>0.24388431719717024</v>
      </c>
      <c r="AU23" s="44">
        <f t="shared" si="173"/>
        <v>0.32402004133386098</v>
      </c>
      <c r="AV23" s="44">
        <f t="shared" si="173"/>
        <v>0.40755180007220437</v>
      </c>
      <c r="AW23" s="44">
        <f t="shared" si="173"/>
        <v>0.49458451170770834</v>
      </c>
      <c r="AX23" s="44">
        <f t="shared" si="173"/>
        <v>0.58522589471376552</v>
      </c>
      <c r="AY23" s="44">
        <f t="shared" si="173"/>
        <v>0.67958653627127941</v>
      </c>
      <c r="AZ23" s="44">
        <f t="shared" si="173"/>
        <v>0.77777996238101432</v>
      </c>
      <c r="BA23" s="44">
        <f t="shared" si="173"/>
        <v>0.87992270959372376</v>
      </c>
      <c r="BB23" s="44">
        <f t="shared" si="173"/>
        <v>0.98613439839387507</v>
      </c>
      <c r="BC23" s="44">
        <f t="shared" si="173"/>
        <v>1.0965378082735493</v>
      </c>
      <c r="BD23" s="44">
        <f t="shared" si="173"/>
        <v>1.2112589545338852</v>
      </c>
      <c r="BE23" s="44">
        <f t="shared" si="173"/>
        <v>1.4205997642291477</v>
      </c>
      <c r="BF23" s="44">
        <f t="shared" si="173"/>
        <v>1.6377618577391262</v>
      </c>
      <c r="BG23" s="44">
        <f t="shared" si="173"/>
        <v>1.8629685729716097</v>
      </c>
      <c r="BH23" s="44">
        <f t="shared" si="173"/>
        <v>2.0964488855060139</v>
      </c>
      <c r="BI23" s="44">
        <f t="shared" si="173"/>
        <v>2.3384375409066371</v>
      </c>
      <c r="BJ23" s="44">
        <f t="shared" si="173"/>
        <v>2.5891751899932887</v>
      </c>
      <c r="BK23" s="44">
        <f t="shared" si="173"/>
        <v>2.8489085271330987</v>
      </c>
      <c r="BL23" s="44">
        <f t="shared" si="173"/>
        <v>3.1178904316186573</v>
      </c>
      <c r="BM23" s="44">
        <f t="shared" si="173"/>
        <v>3.3963801121990063</v>
      </c>
      <c r="BN23" s="44">
        <f>SUM(BN21:BN22)</f>
        <v>3.6846432548313857</v>
      </c>
      <c r="BY23" s="30" t="s">
        <v>175</v>
      </c>
      <c r="BZ23" s="137"/>
      <c r="CA23" s="143">
        <v>72.099999999999994</v>
      </c>
      <c r="CB23" s="143">
        <v>300</v>
      </c>
      <c r="CC23" s="137"/>
      <c r="CD23" s="549">
        <f>CI12</f>
        <v>1.2159793468079723</v>
      </c>
      <c r="CE23" s="137"/>
      <c r="CF23" s="137"/>
      <c r="CG23" s="137"/>
      <c r="CH23" s="137"/>
    </row>
    <row r="24" spans="1:87" x14ac:dyDescent="0.2">
      <c r="B24" s="1" t="s">
        <v>172</v>
      </c>
      <c r="C24" s="54" t="s">
        <v>153</v>
      </c>
      <c r="D24">
        <v>0</v>
      </c>
      <c r="E24">
        <v>0</v>
      </c>
      <c r="F24">
        <v>0</v>
      </c>
      <c r="G24">
        <v>0</v>
      </c>
      <c r="H24">
        <v>0</v>
      </c>
      <c r="I24">
        <v>0</v>
      </c>
      <c r="J24">
        <v>0</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Q24" t="s">
        <v>196</v>
      </c>
      <c r="BR24">
        <v>2020</v>
      </c>
      <c r="BS24">
        <v>2050</v>
      </c>
    </row>
    <row r="25" spans="1:87" x14ac:dyDescent="0.2">
      <c r="B25" s="1" t="s">
        <v>197</v>
      </c>
      <c r="C25" s="65" t="s">
        <v>153</v>
      </c>
      <c r="D25" s="66">
        <f>D20-D23-D24</f>
        <v>7.4818743268684171</v>
      </c>
      <c r="E25" s="66">
        <f t="shared" ref="E25:AH25" si="174">E20-E23-E24</f>
        <v>7.5831131874628763</v>
      </c>
      <c r="F25" s="66">
        <f t="shared" si="174"/>
        <v>7.6854647577582647</v>
      </c>
      <c r="G25" s="66">
        <f t="shared" si="174"/>
        <v>7.7889347703057616</v>
      </c>
      <c r="H25" s="66">
        <f t="shared" si="174"/>
        <v>7.8935287826838669</v>
      </c>
      <c r="I25" s="66">
        <f t="shared" si="174"/>
        <v>7.9992521690714211</v>
      </c>
      <c r="J25" s="66">
        <f t="shared" si="174"/>
        <v>8.1061101115706968</v>
      </c>
      <c r="K25" s="66">
        <f t="shared" si="174"/>
        <v>8.214107591274308</v>
      </c>
      <c r="L25" s="66">
        <f t="shared" si="174"/>
        <v>8.3232493790694289</v>
      </c>
      <c r="M25" s="66">
        <f t="shared" si="174"/>
        <v>8.4335400261728086</v>
      </c>
      <c r="N25" s="66">
        <f t="shared" si="174"/>
        <v>8.5449838543897414</v>
      </c>
      <c r="O25" s="66">
        <f t="shared" si="174"/>
        <v>8.583300126274187</v>
      </c>
      <c r="P25" s="66">
        <f t="shared" si="174"/>
        <v>8.6189658459714309</v>
      </c>
      <c r="Q25" s="66">
        <f t="shared" si="174"/>
        <v>8.6518545966178841</v>
      </c>
      <c r="R25" s="66">
        <f t="shared" si="174"/>
        <v>8.6818360003665003</v>
      </c>
      <c r="S25" s="66">
        <f t="shared" si="174"/>
        <v>8.7087756129578757</v>
      </c>
      <c r="T25" s="66">
        <f t="shared" si="174"/>
        <v>8.7325348157275773</v>
      </c>
      <c r="U25" s="66">
        <f t="shared" si="174"/>
        <v>8.7529707049908509</v>
      </c>
      <c r="V25" s="66">
        <f t="shared" si="174"/>
        <v>8.7699359787446554</v>
      </c>
      <c r="W25" s="66">
        <f t="shared" si="174"/>
        <v>8.7832788206255685</v>
      </c>
      <c r="X25" s="66">
        <f t="shared" si="174"/>
        <v>8.792842781060795</v>
      </c>
      <c r="Y25" s="66">
        <f t="shared" si="174"/>
        <v>8.5968017938375798</v>
      </c>
      <c r="Z25" s="66">
        <f t="shared" si="174"/>
        <v>8.3894467812391706</v>
      </c>
      <c r="AA25" s="66">
        <f t="shared" si="174"/>
        <v>8.1704138947439411</v>
      </c>
      <c r="AB25" s="66">
        <f t="shared" si="174"/>
        <v>7.9393295756662923</v>
      </c>
      <c r="AC25" s="66">
        <f t="shared" si="174"/>
        <v>7.6958103198091452</v>
      </c>
      <c r="AD25" s="66">
        <f t="shared" si="174"/>
        <v>7.439462436744849</v>
      </c>
      <c r="AE25" s="66">
        <f t="shared" si="174"/>
        <v>7.1698818036068754</v>
      </c>
      <c r="AF25" s="66">
        <f t="shared" si="174"/>
        <v>6.8866536132721858</v>
      </c>
      <c r="AG25" s="66">
        <f t="shared" si="174"/>
        <v>6.5893521168116269</v>
      </c>
      <c r="AH25" s="66">
        <f t="shared" si="174"/>
        <v>6.2775403600831012</v>
      </c>
      <c r="AJ25" s="66">
        <f>AJ20-AJ23-AJ24</f>
        <v>7.4818743268684171</v>
      </c>
      <c r="AK25" s="66">
        <f t="shared" ref="AK25" si="175">AK20-AK23-AK24</f>
        <v>7.6036987551344533</v>
      </c>
      <c r="AL25" s="66">
        <f t="shared" ref="AL25" si="176">AL20-AL23-AL24</f>
        <v>7.7274193773416595</v>
      </c>
      <c r="AM25" s="66">
        <f t="shared" ref="AM25" si="177">AM20-AM23-AM24</f>
        <v>7.8530640360503003</v>
      </c>
      <c r="AN25" s="66">
        <f t="shared" ref="AN25" si="178">AN20-AN23-AN24</f>
        <v>7.9806609483144744</v>
      </c>
      <c r="AO25" s="66">
        <f t="shared" ref="AO25" si="179">AO20-AO23-AO24</f>
        <v>8.1102387099578177</v>
      </c>
      <c r="AP25" s="66">
        <f t="shared" ref="AP25" si="180">AP20-AP23-AP24</f>
        <v>8.2418262998793423</v>
      </c>
      <c r="AQ25" s="66">
        <f t="shared" ref="AQ25" si="181">AQ20-AQ23-AQ24</f>
        <v>8.3754530843891324</v>
      </c>
      <c r="AR25" s="66">
        <f t="shared" ref="AR25" si="182">AR20-AR23-AR24</f>
        <v>8.5111488215735047</v>
      </c>
      <c r="AS25" s="66">
        <f t="shared" ref="AS25" si="183">AS20-AS23-AS24</f>
        <v>8.6489436656893108</v>
      </c>
      <c r="AT25" s="66">
        <f t="shared" ref="AT25" si="184">AT20-AT23-AT24</f>
        <v>8.7888681715869126</v>
      </c>
      <c r="AU25" s="66">
        <f t="shared" ref="AU25" si="185">AU20-AU23-AU24</f>
        <v>8.9073201676080469</v>
      </c>
      <c r="AV25" s="66">
        <f t="shared" ref="AV25" si="186">AV20-AV23-AV24</f>
        <v>9.0265176460436365</v>
      </c>
      <c r="AW25" s="66">
        <f t="shared" ref="AW25" si="187">AW20-AW23-AW24</f>
        <v>9.1464391083255929</v>
      </c>
      <c r="AX25" s="66">
        <f t="shared" ref="AX25" si="188">AX20-AX23-AX24</f>
        <v>9.2670618950802659</v>
      </c>
      <c r="AY25" s="66">
        <f t="shared" ref="AY25" si="189">AY20-AY23-AY24</f>
        <v>9.388362149229156</v>
      </c>
      <c r="AZ25" s="66">
        <f t="shared" ref="AZ25" si="190">AZ20-AZ23-AZ24</f>
        <v>9.5103147781085919</v>
      </c>
      <c r="BA25" s="66">
        <f t="shared" ref="BA25" si="191">BA20-BA23-BA24</f>
        <v>9.6328934145845757</v>
      </c>
      <c r="BB25" s="66">
        <f t="shared" ref="BB25" si="192">BB20-BB23-BB24</f>
        <v>9.7560703771385313</v>
      </c>
      <c r="BC25" s="66">
        <f t="shared" ref="BC25" si="193">BC20-BC23-BC24</f>
        <v>9.8798166288991176</v>
      </c>
      <c r="BD25" s="66">
        <f t="shared" ref="BD25" si="194">BD20-BD23-BD24</f>
        <v>10.004101735594681</v>
      </c>
      <c r="BE25" s="66">
        <f t="shared" ref="BE25" si="195">BE20-BE23-BE24</f>
        <v>10.017401558066727</v>
      </c>
      <c r="BF25" s="66">
        <f t="shared" ref="BF25" si="196">BF20-BF23-BF24</f>
        <v>10.027208638978298</v>
      </c>
      <c r="BG25" s="66">
        <f t="shared" ref="BG25" si="197">BG20-BG23-BG24</f>
        <v>10.033382467715551</v>
      </c>
      <c r="BH25" s="66">
        <f t="shared" ref="BH25" si="198">BH20-BH23-BH24</f>
        <v>10.035778461172306</v>
      </c>
      <c r="BI25" s="66">
        <f t="shared" ref="BI25" si="199">BI20-BI23-BI24</f>
        <v>10.034247860715782</v>
      </c>
      <c r="BJ25" s="66">
        <f t="shared" ref="BJ25" si="200">BJ20-BJ23-BJ24</f>
        <v>10.028637626738139</v>
      </c>
      <c r="BK25" s="66">
        <f t="shared" ref="BK25" si="201">BK20-BK23-BK24</f>
        <v>10.018790330739975</v>
      </c>
      <c r="BL25" s="66">
        <f t="shared" ref="BL25" si="202">BL20-BL23-BL24</f>
        <v>10.004544044890842</v>
      </c>
      <c r="BM25" s="66">
        <f t="shared" ref="BM25" si="203">BM20-BM23-BM24</f>
        <v>9.9857322290106332</v>
      </c>
      <c r="BN25" s="66">
        <f t="shared" ref="BN25" si="204">BN20-BN23-BN24</f>
        <v>9.9621836149144869</v>
      </c>
      <c r="BR25" s="44" t="e">
        <f>SUM(D18,D29,D40,D47,#REF!,D56)</f>
        <v>#REF!</v>
      </c>
      <c r="BS25" s="44" t="e">
        <f>SUM(AH18,AH29,AH40,AH47,#REF!,AH56)</f>
        <v>#REF!</v>
      </c>
    </row>
    <row r="26" spans="1:87" s="67" customFormat="1" x14ac:dyDescent="0.2">
      <c r="A26" s="681"/>
      <c r="B26" s="58" t="s">
        <v>246</v>
      </c>
      <c r="C26" s="59" t="s">
        <v>153</v>
      </c>
      <c r="D26" s="60">
        <f>D$7/(D$7+D$9)*D25</f>
        <v>1.2545775454801726</v>
      </c>
      <c r="E26" s="60">
        <f t="shared" ref="E26" si="205">E$7/(E$7+E$9)*E25</f>
        <v>1.2414243955625697</v>
      </c>
      <c r="F26" s="60">
        <f t="shared" ref="F26" si="206">F$7/(F$7+F$9)*F25</f>
        <v>1.2325856930707395</v>
      </c>
      <c r="G26" s="60">
        <f t="shared" ref="G26" si="207">G$7/(G$7+G$9)*G25</f>
        <v>1.227190569863273</v>
      </c>
      <c r="H26" s="60">
        <f t="shared" ref="H26" si="208">H$7/(H$7+H$9)*H25</f>
        <v>1.2245998224023709</v>
      </c>
      <c r="I26" s="60">
        <f t="shared" ref="I26" si="209">I$7/(I$7+I$9)*I25</f>
        <v>1.2243339895877101</v>
      </c>
      <c r="J26" s="60">
        <f t="shared" ref="J26" si="210">J$7/(J$7+J$9)*J25</f>
        <v>1.2260266680509488</v>
      </c>
      <c r="K26" s="60">
        <f t="shared" ref="K26" si="211">K$7/(K$7+K$9)*K25</f>
        <v>1.2293933043820691</v>
      </c>
      <c r="L26" s="60">
        <f t="shared" ref="L26" si="212">L$7/(L$7+L$9)*L25</f>
        <v>1.2342097920339983</v>
      </c>
      <c r="M26" s="60">
        <f t="shared" ref="M26" si="213">M$7/(M$7+M$9)*M25</f>
        <v>1.2402974583168669</v>
      </c>
      <c r="N26" s="60">
        <f t="shared" ref="N26" si="214">N$7/(N$7+N$9)*N25</f>
        <v>1.2475123215535568</v>
      </c>
      <c r="O26" s="60">
        <f t="shared" ref="O26" si="215">O$7/(O$7+O$9)*O25</f>
        <v>1.257392869786216</v>
      </c>
      <c r="P26" s="60">
        <f t="shared" ref="P26" si="216">P$7/(P$7+P$9)*P25</f>
        <v>1.2671122247853495</v>
      </c>
      <c r="Q26" s="60">
        <f t="shared" ref="Q26" si="217">Q$7/(Q$7+Q$9)*Q25</f>
        <v>1.2766532699401765</v>
      </c>
      <c r="R26" s="60">
        <f t="shared" ref="R26" si="218">R$7/(R$7+R$9)*R25</f>
        <v>1.2859980795357171</v>
      </c>
      <c r="S26" s="60">
        <f t="shared" ref="S26" si="219">S$7/(S$7+S$9)*S25</f>
        <v>1.2951278629370617</v>
      </c>
      <c r="T26" s="60">
        <f t="shared" ref="T26" si="220">T$7/(T$7+T$9)*T25</f>
        <v>1.3050069100716331</v>
      </c>
      <c r="U26" s="60">
        <f t="shared" ref="U26" si="221">U$7/(U$7+U$9)*U25</f>
        <v>1.3146470147194862</v>
      </c>
      <c r="V26" s="60">
        <f t="shared" ref="V26" si="222">V$7/(V$7+V$9)*V25</f>
        <v>1.3240273305048935</v>
      </c>
      <c r="W26" s="60">
        <f t="shared" ref="W26" si="223">W$7/(W$7+W$9)*W25</f>
        <v>1.3331258414517424</v>
      </c>
      <c r="X26" s="60">
        <f t="shared" ref="X26" si="224">X$7/(X$7+X$9)*X25</f>
        <v>1.3419192833756457</v>
      </c>
      <c r="Y26" s="60">
        <f t="shared" ref="Y26" si="225">Y$7/(Y$7+Y$9)*Y25</f>
        <v>1.321477554713711</v>
      </c>
      <c r="Z26" s="60">
        <f t="shared" ref="Z26" si="226">Z$7/(Z$7+Z$9)*Z25</f>
        <v>1.2991715351205348</v>
      </c>
      <c r="AA26" s="60">
        <f t="shared" ref="AA26" si="227">AA$7/(AA$7+AA$9)*AA25</f>
        <v>1.2748962016658685</v>
      </c>
      <c r="AB26" s="60">
        <f t="shared" ref="AB26" si="228">AB$7/(AB$7+AB$9)*AB25</f>
        <v>1.2485399072349406</v>
      </c>
      <c r="AC26" s="60">
        <f t="shared" ref="AC26" si="229">AC$7/(AC$7+AC$9)*AC25</f>
        <v>1.2199838614612095</v>
      </c>
      <c r="AD26" s="60">
        <f t="shared" ref="AD26" si="230">AD$7/(AD$7+AD$9)*AD25</f>
        <v>1.1891015619454175</v>
      </c>
      <c r="AE26" s="60">
        <f t="shared" ref="AE26" si="231">AE$7/(AE$7+AE$9)*AE25</f>
        <v>1.1557581701053778</v>
      </c>
      <c r="AF26" s="60">
        <f t="shared" ref="AF26" si="232">AF$7/(AF$7+AF$9)*AF25</f>
        <v>1.1198098252536135</v>
      </c>
      <c r="AG26" s="60">
        <f t="shared" ref="AG26" si="233">AG$7/(AG$7+AG$9)*AG25</f>
        <v>1.0811028896396482</v>
      </c>
      <c r="AH26" s="60">
        <f t="shared" ref="AH26" si="234">AH$7/(AH$7+AH$9)*AH25</f>
        <v>1.0394731162011774</v>
      </c>
      <c r="AJ26" s="60">
        <f>AJ$7/(AJ$7+AJ$9)*AJ25</f>
        <v>1.2545775454801726</v>
      </c>
      <c r="AK26" s="60">
        <f t="shared" ref="AK26" si="235">AK$7/(AK$7+AK$9)*AK25</f>
        <v>1.244794439668762</v>
      </c>
      <c r="AL26" s="60">
        <f t="shared" ref="AL26" si="236">AL$7/(AL$7+AL$9)*AL25</f>
        <v>1.2393143250385741</v>
      </c>
      <c r="AM26" s="60">
        <f t="shared" ref="AM26" si="237">AM$7/(AM$7+AM$9)*AM25</f>
        <v>1.2372944971004072</v>
      </c>
      <c r="AN26" s="60">
        <f t="shared" ref="AN26" si="238">AN$7/(AN$7+AN$9)*AN25</f>
        <v>1.2381174819301159</v>
      </c>
      <c r="AO26" s="60">
        <f t="shared" ref="AO26" si="239">AO$7/(AO$7+AO$9)*AO25</f>
        <v>1.2413211518276217</v>
      </c>
      <c r="AP26" s="60">
        <f t="shared" ref="AP26" si="240">AP$7/(AP$7+AP$9)*AP25</f>
        <v>1.2465533650563492</v>
      </c>
      <c r="AQ26" s="60">
        <f t="shared" ref="AQ26" si="241">AQ$7/(AQ$7+AQ$9)*AQ25</f>
        <v>1.2535416451145789</v>
      </c>
      <c r="AR26" s="60">
        <f t="shared" ref="AR26" si="242">AR$7/(AR$7+AR$9)*AR25</f>
        <v>1.2620723876735618</v>
      </c>
      <c r="AS26" s="60">
        <f t="shared" ref="AS26" si="243">AS$7/(AS$7+AS$9)*AS25</f>
        <v>1.2719762771492193</v>
      </c>
      <c r="AT26" s="60">
        <f t="shared" ref="AT26" si="244">AT$7/(AT$7+AT$9)*AT25</f>
        <v>1.2831178529298213</v>
      </c>
      <c r="AU26" s="60">
        <f t="shared" ref="AU26" si="245">AU$7/(AU$7+AU$9)*AU25</f>
        <v>1.304859518236954</v>
      </c>
      <c r="AV26" s="60">
        <f t="shared" ref="AV26" si="246">AV$7/(AV$7+AV$9)*AV25</f>
        <v>1.3270282143986674</v>
      </c>
      <c r="AW26" s="60">
        <f t="shared" ref="AW26" si="247">AW$7/(AW$7+AW$9)*AW25</f>
        <v>1.349633337633436</v>
      </c>
      <c r="AX26" s="60">
        <f t="shared" ref="AX26" si="248">AX$7/(AX$7+AX$9)*AX25</f>
        <v>1.3726847408208074</v>
      </c>
      <c r="AY26" s="60">
        <f t="shared" ref="AY26" si="249">AY$7/(AY$7+AY$9)*AY25</f>
        <v>1.3961927539755032</v>
      </c>
      <c r="AZ26" s="60">
        <f t="shared" ref="AZ26" si="250">AZ$7/(AZ$7+AZ$9)*AZ25</f>
        <v>1.4212398535228765</v>
      </c>
      <c r="BA26" s="60">
        <f t="shared" ref="BA26" si="251">BA$7/(BA$7+BA$9)*BA25</f>
        <v>1.4468064611908062</v>
      </c>
      <c r="BB26" s="60">
        <f t="shared" ref="BB26" si="252">BB$7/(BB$7+BB$9)*BB25</f>
        <v>1.4729074247483396</v>
      </c>
      <c r="BC26" s="60">
        <f t="shared" ref="BC26" si="253">BC$7/(BC$7+BC$9)*BC25</f>
        <v>1.4995583227826959</v>
      </c>
      <c r="BD26" s="60">
        <f t="shared" ref="BD26" si="254">BD$7/(BD$7+BD$9)*BD25</f>
        <v>1.5267755111875969</v>
      </c>
      <c r="BE26" s="60">
        <f t="shared" ref="BE26" si="255">BE$7/(BE$7+BE$9)*BE25</f>
        <v>1.5398483800136613</v>
      </c>
      <c r="BF26" s="60">
        <f t="shared" ref="BF26" si="256">BF$7/(BF$7+BF$9)*BF25</f>
        <v>1.5527917847464012</v>
      </c>
      <c r="BG26" s="60">
        <f t="shared" ref="BG26" si="257">BG$7/(BG$7+BG$9)*BG25</f>
        <v>1.5655903559769855</v>
      </c>
      <c r="BH26" s="60">
        <f t="shared" ref="BH26" si="258">BH$7/(BH$7+BH$9)*BH25</f>
        <v>1.5782277067004018</v>
      </c>
      <c r="BI26" s="60">
        <f t="shared" ref="BI26" si="259">BI$7/(BI$7+BI$9)*BI25</f>
        <v>1.5906863531270754</v>
      </c>
      <c r="BJ26" s="60">
        <f t="shared" ref="BJ26" si="260">BJ$7/(BJ$7+BJ$9)*BJ25</f>
        <v>1.6029476279413464</v>
      </c>
      <c r="BK26" s="60">
        <f t="shared" ref="BK26" si="261">BK$7/(BK$7+BK$9)*BK25</f>
        <v>1.6149915851472492</v>
      </c>
      <c r="BL26" s="60">
        <f t="shared" ref="BL26" si="262">BL$7/(BL$7+BL$9)*BL25</f>
        <v>1.6267968955284962</v>
      </c>
      <c r="BM26" s="60">
        <f t="shared" ref="BM26" si="263">BM$7/(BM$7+BM$9)*BM25</f>
        <v>1.6383407316188168</v>
      </c>
      <c r="BN26" s="60">
        <f t="shared" ref="BN26" si="264">BN$7/(BN$7+BN$9)*BN25</f>
        <v>1.6495986409279557</v>
      </c>
    </row>
    <row r="27" spans="1:87" x14ac:dyDescent="0.2">
      <c r="A27" s="682"/>
      <c r="B27" s="1" t="s">
        <v>247</v>
      </c>
      <c r="C27" s="54" t="s">
        <v>153</v>
      </c>
      <c r="D27" s="44">
        <v>0</v>
      </c>
      <c r="E27" s="44">
        <v>0</v>
      </c>
      <c r="F27" s="44">
        <v>0</v>
      </c>
      <c r="G27" s="44">
        <v>0</v>
      </c>
      <c r="H27" s="44">
        <v>0</v>
      </c>
      <c r="I27" s="44">
        <v>0</v>
      </c>
      <c r="J27" s="44">
        <v>0</v>
      </c>
      <c r="K27" s="44">
        <v>0</v>
      </c>
      <c r="L27" s="44">
        <v>0</v>
      </c>
      <c r="M27" s="44">
        <v>0</v>
      </c>
      <c r="N27" s="44">
        <v>0</v>
      </c>
      <c r="O27" s="44">
        <v>0</v>
      </c>
      <c r="P27" s="44">
        <v>0</v>
      </c>
      <c r="Q27" s="44">
        <v>0</v>
      </c>
      <c r="R27" s="44">
        <v>0</v>
      </c>
      <c r="S27" s="44">
        <v>0</v>
      </c>
      <c r="T27" s="44">
        <v>0</v>
      </c>
      <c r="U27" s="44">
        <v>0</v>
      </c>
      <c r="V27" s="44">
        <v>0</v>
      </c>
      <c r="W27" s="44">
        <v>0</v>
      </c>
      <c r="X27" s="44">
        <v>0</v>
      </c>
      <c r="Y27" s="44">
        <v>0</v>
      </c>
      <c r="Z27" s="44">
        <v>0</v>
      </c>
      <c r="AA27" s="44">
        <v>0</v>
      </c>
      <c r="AB27" s="44">
        <v>0</v>
      </c>
      <c r="AC27" s="44">
        <v>0</v>
      </c>
      <c r="AD27" s="44">
        <v>0</v>
      </c>
      <c r="AE27" s="44">
        <v>0</v>
      </c>
      <c r="AF27" s="44">
        <v>0</v>
      </c>
      <c r="AG27" s="44">
        <v>0</v>
      </c>
      <c r="AH27" s="44">
        <v>0</v>
      </c>
      <c r="AJ27" s="44">
        <v>0</v>
      </c>
      <c r="AK27" s="44">
        <v>0</v>
      </c>
      <c r="AL27" s="44">
        <v>0</v>
      </c>
      <c r="AM27" s="44">
        <v>0</v>
      </c>
      <c r="AN27" s="44">
        <v>0</v>
      </c>
      <c r="AO27" s="44">
        <v>0</v>
      </c>
      <c r="AP27" s="44">
        <v>0</v>
      </c>
      <c r="AQ27" s="44">
        <v>0</v>
      </c>
      <c r="AR27" s="44">
        <v>0</v>
      </c>
      <c r="AS27" s="44">
        <v>0</v>
      </c>
      <c r="AT27" s="44">
        <v>0</v>
      </c>
      <c r="AU27" s="44">
        <v>0</v>
      </c>
      <c r="AV27" s="44">
        <v>0</v>
      </c>
      <c r="AW27" s="44">
        <v>0</v>
      </c>
      <c r="AX27" s="44">
        <v>0</v>
      </c>
      <c r="AY27" s="44">
        <v>0</v>
      </c>
      <c r="AZ27" s="44">
        <v>0</v>
      </c>
      <c r="BA27" s="44">
        <v>0</v>
      </c>
      <c r="BB27" s="44">
        <v>0</v>
      </c>
      <c r="BC27" s="44">
        <v>0</v>
      </c>
      <c r="BD27" s="44">
        <v>0</v>
      </c>
      <c r="BE27" s="44">
        <v>0</v>
      </c>
      <c r="BF27" s="44">
        <v>0</v>
      </c>
      <c r="BG27" s="44">
        <v>0</v>
      </c>
      <c r="BH27" s="44">
        <v>0</v>
      </c>
      <c r="BI27" s="44">
        <v>0</v>
      </c>
      <c r="BJ27" s="44">
        <v>0</v>
      </c>
      <c r="BK27" s="44">
        <v>0</v>
      </c>
      <c r="BL27" s="44">
        <v>0</v>
      </c>
      <c r="BM27" s="44">
        <v>0</v>
      </c>
      <c r="BN27" s="44">
        <v>0</v>
      </c>
    </row>
    <row r="28" spans="1:87" s="68" customFormat="1" x14ac:dyDescent="0.2">
      <c r="A28" s="683"/>
      <c r="B28" s="62" t="s">
        <v>248</v>
      </c>
      <c r="C28" s="283" t="s">
        <v>153</v>
      </c>
      <c r="D28" s="284">
        <f>D$9/(D$7+D$9)*D25</f>
        <v>6.2272967813882438</v>
      </c>
      <c r="E28" s="284">
        <f t="shared" ref="E28:AH28" si="265">E$9/(E$7+E$9)*E25</f>
        <v>6.3416887919003067</v>
      </c>
      <c r="F28" s="284">
        <f t="shared" si="265"/>
        <v>6.4528790646875258</v>
      </c>
      <c r="G28" s="284">
        <f t="shared" si="265"/>
        <v>6.5617442004424884</v>
      </c>
      <c r="H28" s="284">
        <f t="shared" si="265"/>
        <v>6.6689289602814963</v>
      </c>
      <c r="I28" s="284">
        <f t="shared" si="265"/>
        <v>6.774918179483711</v>
      </c>
      <c r="J28" s="284">
        <f t="shared" si="265"/>
        <v>6.8800834435197489</v>
      </c>
      <c r="K28" s="284">
        <f t="shared" si="265"/>
        <v>6.9847142868922383</v>
      </c>
      <c r="L28" s="284">
        <f t="shared" si="265"/>
        <v>7.0890395870354315</v>
      </c>
      <c r="M28" s="284">
        <f t="shared" si="265"/>
        <v>7.1932425678559424</v>
      </c>
      <c r="N28" s="284">
        <f t="shared" si="265"/>
        <v>7.2974715328361848</v>
      </c>
      <c r="O28" s="284">
        <f t="shared" si="265"/>
        <v>7.3259072564879704</v>
      </c>
      <c r="P28" s="284">
        <f t="shared" si="265"/>
        <v>7.3518536211860814</v>
      </c>
      <c r="Q28" s="284">
        <f t="shared" si="265"/>
        <v>7.3752013266777077</v>
      </c>
      <c r="R28" s="284">
        <f t="shared" si="265"/>
        <v>7.3958379208307825</v>
      </c>
      <c r="S28" s="284">
        <f t="shared" si="265"/>
        <v>7.4136477500208136</v>
      </c>
      <c r="T28" s="284">
        <f t="shared" si="265"/>
        <v>7.4275279056559436</v>
      </c>
      <c r="U28" s="284">
        <f t="shared" si="265"/>
        <v>7.4383236902713659</v>
      </c>
      <c r="V28" s="284">
        <f t="shared" si="265"/>
        <v>7.4459086482397625</v>
      </c>
      <c r="W28" s="284">
        <f t="shared" si="265"/>
        <v>7.4501529791738257</v>
      </c>
      <c r="X28" s="284">
        <f t="shared" si="265"/>
        <v>7.4509234976851495</v>
      </c>
      <c r="Y28" s="284">
        <f t="shared" si="265"/>
        <v>7.2753242391238686</v>
      </c>
      <c r="Z28" s="284">
        <f t="shared" si="265"/>
        <v>7.0902752461186358</v>
      </c>
      <c r="AA28" s="284">
        <f t="shared" si="265"/>
        <v>6.8955176930780731</v>
      </c>
      <c r="AB28" s="284">
        <f t="shared" si="265"/>
        <v>6.6907896684313508</v>
      </c>
      <c r="AC28" s="284">
        <f t="shared" si="265"/>
        <v>6.4758264583479361</v>
      </c>
      <c r="AD28" s="284">
        <f t="shared" si="265"/>
        <v>6.2503608747994317</v>
      </c>
      <c r="AE28" s="284">
        <f t="shared" si="265"/>
        <v>6.014123633501498</v>
      </c>
      <c r="AF28" s="284">
        <f t="shared" si="265"/>
        <v>5.7668437880185728</v>
      </c>
      <c r="AG28" s="284">
        <f t="shared" si="265"/>
        <v>5.5082492271719792</v>
      </c>
      <c r="AH28" s="284">
        <f t="shared" si="265"/>
        <v>5.2380672438819236</v>
      </c>
      <c r="AJ28" s="284">
        <f>AJ$9/(AJ$7+AJ$9)*AJ25</f>
        <v>6.2272967813882438</v>
      </c>
      <c r="AK28" s="284">
        <f t="shared" ref="AK28:BN28" si="266">AK$9/(AK$7+AK$9)*AK25</f>
        <v>6.3589043154656908</v>
      </c>
      <c r="AL28" s="284">
        <f t="shared" si="266"/>
        <v>6.4881050523030854</v>
      </c>
      <c r="AM28" s="284">
        <f t="shared" si="266"/>
        <v>6.6157695389498929</v>
      </c>
      <c r="AN28" s="284">
        <f t="shared" si="266"/>
        <v>6.7425434663843582</v>
      </c>
      <c r="AO28" s="284">
        <f t="shared" si="266"/>
        <v>6.8689175581301951</v>
      </c>
      <c r="AP28" s="284">
        <f t="shared" si="266"/>
        <v>6.9952729348229941</v>
      </c>
      <c r="AQ28" s="284">
        <f t="shared" si="266"/>
        <v>7.1219114392745526</v>
      </c>
      <c r="AR28" s="284">
        <f t="shared" si="266"/>
        <v>7.249076433899944</v>
      </c>
      <c r="AS28" s="284">
        <f t="shared" si="266"/>
        <v>7.3769673885400922</v>
      </c>
      <c r="AT28" s="284">
        <f t="shared" si="266"/>
        <v>7.5057503186570909</v>
      </c>
      <c r="AU28" s="284">
        <f t="shared" si="266"/>
        <v>7.6024606493710927</v>
      </c>
      <c r="AV28" s="284">
        <f t="shared" si="266"/>
        <v>7.6994894316449685</v>
      </c>
      <c r="AW28" s="284">
        <f t="shared" si="266"/>
        <v>7.7968057706921572</v>
      </c>
      <c r="AX28" s="284">
        <f t="shared" si="266"/>
        <v>7.8943771542594581</v>
      </c>
      <c r="AY28" s="284">
        <f t="shared" si="266"/>
        <v>7.9921693952536526</v>
      </c>
      <c r="AZ28" s="284">
        <f t="shared" si="266"/>
        <v>8.0890749245857148</v>
      </c>
      <c r="BA28" s="284">
        <f t="shared" si="266"/>
        <v>8.1860869533937706</v>
      </c>
      <c r="BB28" s="284">
        <f t="shared" si="266"/>
        <v>8.2831629523901924</v>
      </c>
      <c r="BC28" s="284">
        <f t="shared" si="266"/>
        <v>8.3802583061164206</v>
      </c>
      <c r="BD28" s="284">
        <f t="shared" si="266"/>
        <v>8.4773262244070828</v>
      </c>
      <c r="BE28" s="284">
        <f t="shared" si="266"/>
        <v>8.477553178053066</v>
      </c>
      <c r="BF28" s="284">
        <f t="shared" si="266"/>
        <v>8.4744168542318956</v>
      </c>
      <c r="BG28" s="284">
        <f t="shared" si="266"/>
        <v>8.4677921117385662</v>
      </c>
      <c r="BH28" s="284">
        <f t="shared" si="266"/>
        <v>8.4575507544719031</v>
      </c>
      <c r="BI28" s="284">
        <f t="shared" si="266"/>
        <v>8.4435615075887078</v>
      </c>
      <c r="BJ28" s="284">
        <f t="shared" si="266"/>
        <v>8.425689998796793</v>
      </c>
      <c r="BK28" s="284">
        <f t="shared" si="266"/>
        <v>8.4037987455927254</v>
      </c>
      <c r="BL28" s="284">
        <f t="shared" si="266"/>
        <v>8.3777471493623459</v>
      </c>
      <c r="BM28" s="284">
        <f t="shared" si="266"/>
        <v>8.3473914973918166</v>
      </c>
      <c r="BN28" s="284">
        <f t="shared" si="266"/>
        <v>8.3125849739865316</v>
      </c>
    </row>
    <row r="29" spans="1:87" s="1" customFormat="1" x14ac:dyDescent="0.2">
      <c r="A29" s="1" t="s">
        <v>198</v>
      </c>
      <c r="B29" s="1" t="s">
        <v>199</v>
      </c>
      <c r="C29" s="65" t="s">
        <v>153</v>
      </c>
      <c r="D29" s="66">
        <f>'Demand - Industry shares'!L82+'Demand - Industry shares'!L86</f>
        <v>4.3918200345154137</v>
      </c>
      <c r="E29" s="66">
        <f>D29*(1+'Demand Breakdown - Methanol'!$N$37)</f>
        <v>4.4533055149986298</v>
      </c>
      <c r="F29" s="66">
        <f>E29*(1+'Demand Breakdown - Methanol'!$N$37)</f>
        <v>4.5156517922086108</v>
      </c>
      <c r="G29" s="66">
        <f>F29*(1+'Demand Breakdown - Methanol'!$N$37)</f>
        <v>4.5788709172995317</v>
      </c>
      <c r="H29" s="66">
        <f>G29*(1+'Demand Breakdown - Methanol'!$N$37)</f>
        <v>4.6429751101417249</v>
      </c>
      <c r="I29" s="66">
        <f>H29*(1+'Demand Breakdown - Methanol'!$N$37)</f>
        <v>4.7079767616837094</v>
      </c>
      <c r="J29" s="66">
        <f>I29*(1+'Demand Breakdown - Methanol'!$N$37)</f>
        <v>4.7738884363472813</v>
      </c>
      <c r="K29" s="66">
        <f>J29*(1+'Demand Breakdown - Methanol'!$N$37)</f>
        <v>4.8407228744561435</v>
      </c>
      <c r="L29" s="66">
        <f>K29*(1+'Demand Breakdown - Methanol'!$N$37)</f>
        <v>4.9084929946985296</v>
      </c>
      <c r="M29" s="66">
        <f>L29*(1+'Demand Breakdown - Methanol'!$N$37)</f>
        <v>4.9772118966243095</v>
      </c>
      <c r="N29" s="66">
        <f>M29*(1+'Demand Breakdown - Methanol'!$N$37)</f>
        <v>5.0468928631770495</v>
      </c>
      <c r="O29" s="66">
        <f>N29*(1+'Demand Breakdown - Methanol'!$N$37)</f>
        <v>5.1175493632615279</v>
      </c>
      <c r="P29" s="66">
        <f>O29*(1+'Demand Breakdown - Methanol'!$N$37)</f>
        <v>5.1891950543471896</v>
      </c>
      <c r="Q29" s="66">
        <f>P29*(1+'Demand Breakdown - Methanol'!$N$37)</f>
        <v>5.2618437851080504</v>
      </c>
      <c r="R29" s="66">
        <f>Q29*(1+'Demand Breakdown - Methanol'!$N$37)</f>
        <v>5.3355095980995628</v>
      </c>
      <c r="S29" s="66">
        <f>R29*(1+'Demand Breakdown - Methanol'!$N$37)</f>
        <v>5.4102067324729566</v>
      </c>
      <c r="T29" s="66">
        <f>S29*(1+'Demand Breakdown - Methanol'!$N$37)</f>
        <v>5.485949626727578</v>
      </c>
      <c r="U29" s="66">
        <f>T29*(1+'Demand Breakdown - Methanol'!$N$37)</f>
        <v>5.5627529215017644</v>
      </c>
      <c r="V29" s="66">
        <f>U29*(1+'Demand Breakdown - Methanol'!$N$37)</f>
        <v>5.6406314624027889</v>
      </c>
      <c r="W29" s="66">
        <f>V29*(1+'Demand Breakdown - Methanol'!$N$37)</f>
        <v>5.7196003028764277</v>
      </c>
      <c r="X29" s="66">
        <f>W29*(1+'Demand Breakdown - Methanol'!$N$37)</f>
        <v>5.7996747071166981</v>
      </c>
      <c r="Y29" s="66">
        <f>X29*(1+'Demand Breakdown - Methanol'!$N$37)</f>
        <v>5.8808701530163319</v>
      </c>
      <c r="Z29" s="66">
        <f>Y29*(1+'Demand Breakdown - Methanol'!$N$37)</f>
        <v>5.9632023351585604</v>
      </c>
      <c r="AA29" s="66">
        <f>Z29*(1+'Demand Breakdown - Methanol'!$N$37)</f>
        <v>6.0466871678507799</v>
      </c>
      <c r="AB29" s="66">
        <f>AA29*(1+'Demand Breakdown - Methanol'!$N$37)</f>
        <v>6.1313407882006912</v>
      </c>
      <c r="AC29" s="66">
        <f>AB29*(1+'Demand Breakdown - Methanol'!$N$37)</f>
        <v>6.2171795592355013</v>
      </c>
      <c r="AD29" s="66">
        <f>AC29*(1+'Demand Breakdown - Methanol'!$N$37)</f>
        <v>6.3042200730647986</v>
      </c>
      <c r="AE29" s="66">
        <f>AD29*(1+'Demand Breakdown - Methanol'!$N$37)</f>
        <v>6.392479154087706</v>
      </c>
      <c r="AF29" s="66">
        <f>AE29*(1+'Demand Breakdown - Methanol'!$N$37)</f>
        <v>6.4819738622449341</v>
      </c>
      <c r="AG29" s="66">
        <f>AF29*(1+'Demand Breakdown - Methanol'!$N$37)</f>
        <v>6.5727214963163636</v>
      </c>
      <c r="AH29" s="66">
        <f>AG29*(1+'Demand Breakdown - Methanol'!$N$37)</f>
        <v>6.6647395972647931</v>
      </c>
      <c r="AJ29" s="66">
        <f>D29</f>
        <v>4.3918200345154137</v>
      </c>
      <c r="AK29" s="66">
        <f>AJ29*(1+'Demand Breakdown - Methanol'!$N$37)</f>
        <v>4.4533055149986298</v>
      </c>
      <c r="AL29" s="66">
        <f>AK29*(1+'Demand Breakdown - Methanol'!$N$37)</f>
        <v>4.5156517922086108</v>
      </c>
      <c r="AM29" s="66">
        <f>AL29*(1+'Demand Breakdown - Methanol'!$N$37)</f>
        <v>4.5788709172995317</v>
      </c>
      <c r="AN29" s="66">
        <f>AM29*(1+'Demand Breakdown - Methanol'!$N$37)</f>
        <v>4.6429751101417249</v>
      </c>
      <c r="AO29" s="66">
        <f>AN29*(1+'Demand Breakdown - Methanol'!$N$37)</f>
        <v>4.7079767616837094</v>
      </c>
      <c r="AP29" s="66">
        <f>AO29*(1+'Demand Breakdown - Methanol'!$N$37)</f>
        <v>4.7738884363472813</v>
      </c>
      <c r="AQ29" s="66">
        <f>AP29*(1+'Demand Breakdown - Methanol'!$N$37)</f>
        <v>4.8407228744561435</v>
      </c>
      <c r="AR29" s="66">
        <f>AQ29*(1+'Demand Breakdown - Methanol'!$N$37)</f>
        <v>4.9084929946985296</v>
      </c>
      <c r="AS29" s="66">
        <f>AR29*(1+'Demand Breakdown - Methanol'!$N$37)</f>
        <v>4.9772118966243095</v>
      </c>
      <c r="AT29" s="66">
        <f>AS29*(1+'Demand Breakdown - Methanol'!$N$37)</f>
        <v>5.0468928631770495</v>
      </c>
      <c r="AU29" s="66">
        <f>AT29*(1+'Demand Breakdown - Methanol'!$N$37)</f>
        <v>5.1175493632615279</v>
      </c>
      <c r="AV29" s="66">
        <f>AU29*(1+'Demand Breakdown - Methanol'!$N$37)</f>
        <v>5.1891950543471896</v>
      </c>
      <c r="AW29" s="66">
        <f>AV29*(1+'Demand Breakdown - Methanol'!$N$37)</f>
        <v>5.2618437851080504</v>
      </c>
      <c r="AX29" s="66">
        <f>AW29*(1+'Demand Breakdown - Methanol'!$N$37)</f>
        <v>5.3355095980995628</v>
      </c>
      <c r="AY29" s="66">
        <f>AX29*(1+'Demand Breakdown - Methanol'!$N$37)</f>
        <v>5.4102067324729566</v>
      </c>
      <c r="AZ29" s="66">
        <f>AY29*(1+'Demand Breakdown - Methanol'!$N$37)</f>
        <v>5.485949626727578</v>
      </c>
      <c r="BA29" s="66">
        <f>AZ29*(1+'Demand Breakdown - Methanol'!$N$37)</f>
        <v>5.5627529215017644</v>
      </c>
      <c r="BB29" s="66">
        <f>BA29*(1+'Demand Breakdown - Methanol'!$N$37)</f>
        <v>5.6406314624027889</v>
      </c>
      <c r="BC29" s="66">
        <f>BB29*(1+'Demand Breakdown - Methanol'!$N$37)</f>
        <v>5.7196003028764277</v>
      </c>
      <c r="BD29" s="66">
        <f>BC29*(1+'Demand Breakdown - Methanol'!$N$37)</f>
        <v>5.7996747071166981</v>
      </c>
      <c r="BE29" s="66">
        <f>BD29*(1+'Demand Breakdown - Methanol'!$N$37)</f>
        <v>5.8808701530163319</v>
      </c>
      <c r="BF29" s="66">
        <f>BE29*(1+'Demand Breakdown - Methanol'!$N$37)</f>
        <v>5.9632023351585604</v>
      </c>
      <c r="BG29" s="66">
        <f>BF29*(1+'Demand Breakdown - Methanol'!$N$37)</f>
        <v>6.0466871678507799</v>
      </c>
      <c r="BH29" s="66">
        <f>BG29*(1+'Demand Breakdown - Methanol'!$N$37)</f>
        <v>6.1313407882006912</v>
      </c>
      <c r="BI29" s="66">
        <f>BH29*(1+'Demand Breakdown - Methanol'!$N$37)</f>
        <v>6.2171795592355013</v>
      </c>
      <c r="BJ29" s="66">
        <f>BI29*(1+'Demand Breakdown - Methanol'!$N$37)</f>
        <v>6.3042200730647986</v>
      </c>
      <c r="BK29" s="66">
        <f>BJ29*(1+'Demand Breakdown - Methanol'!$N$37)</f>
        <v>6.392479154087706</v>
      </c>
      <c r="BL29" s="66">
        <f>BK29*(1+'Demand Breakdown - Methanol'!$N$37)</f>
        <v>6.4819738622449341</v>
      </c>
      <c r="BM29" s="66">
        <f>BL29*(1+'Demand Breakdown - Methanol'!$N$37)</f>
        <v>6.5727214963163636</v>
      </c>
      <c r="BN29" s="66">
        <f>BM29*(1+'Demand Breakdown - Methanol'!$N$37)</f>
        <v>6.6647395972647931</v>
      </c>
      <c r="BR29" s="66" t="e">
        <f>#REF!</f>
        <v>#REF!</v>
      </c>
      <c r="BS29" s="66" t="e">
        <f>#REF!</f>
        <v>#REF!</v>
      </c>
    </row>
    <row r="30" spans="1:87" x14ac:dyDescent="0.2">
      <c r="B30" s="61" t="s">
        <v>25</v>
      </c>
      <c r="C30" s="54" t="s">
        <v>153</v>
      </c>
      <c r="D30" s="43">
        <v>0</v>
      </c>
      <c r="E30" s="43">
        <f>E29*'R&amp;S - Packaging and hh goods'!$D$7*('R&amp;S - Packaging and hh goods'!$F$14*'R&amp;S - Packaging and hh goods'!$U$19*(E$3-$D$3)/10)</f>
        <v>5.8783632797981919E-4</v>
      </c>
      <c r="F30" s="43">
        <f>F29*'R&amp;S - Packaging and hh goods'!$D$7*('R&amp;S - Packaging and hh goods'!$F$14*'R&amp;S - Packaging and hh goods'!$U$19*(F$3-$D$3)/10)</f>
        <v>1.1921320731430732E-3</v>
      </c>
      <c r="G30" s="43">
        <f>G29*'R&amp;S - Packaging and hh goods'!$D$7*('R&amp;S - Packaging and hh goods'!$F$14*'R&amp;S - Packaging and hh goods'!$U$19*(G$3-$D$3)/10)</f>
        <v>1.8132328832506143E-3</v>
      </c>
      <c r="H30" s="43">
        <f>H29*'R&amp;S - Packaging and hh goods'!$D$7*('R&amp;S - Packaging and hh goods'!$F$14*'R&amp;S - Packaging and hh goods'!$U$19*(H$3-$D$3)/10)</f>
        <v>2.4514908581548308E-3</v>
      </c>
      <c r="I30" s="43">
        <f>I29*'R&amp;S - Packaging and hh goods'!$D$7*('R&amp;S - Packaging and hh goods'!$F$14*'R&amp;S - Packaging and hh goods'!$U$19*(I$3-$D$3)/10)</f>
        <v>3.1072646627112481E-3</v>
      </c>
      <c r="J30" s="43">
        <f>J29*'R&amp;S - Packaging and hh goods'!$D$7*('R&amp;S - Packaging and hh goods'!$F$14*'R&amp;S - Packaging and hh goods'!$U$19*(J$3-$D$3)/10)</f>
        <v>3.7809196415870463E-3</v>
      </c>
      <c r="K30" s="43">
        <f>K29*'R&amp;S - Packaging and hh goods'!$D$7*('R&amp;S - Packaging and hh goods'!$F$14*'R&amp;S - Packaging and hh goods'!$U$19*(K$3-$D$3)/10)</f>
        <v>4.4728279359974761E-3</v>
      </c>
      <c r="L30" s="43">
        <f>L29*'R&amp;S - Packaging and hh goods'!$D$7*('R&amp;S - Packaging and hh goods'!$F$14*'R&amp;S - Packaging and hh goods'!$U$19*(L$3-$D$3)/10)</f>
        <v>5.1833686024016466E-3</v>
      </c>
      <c r="M30" s="43">
        <f>M29*'R&amp;S - Packaging and hh goods'!$D$7*('R&amp;S - Packaging and hh goods'!$F$14*'R&amp;S - Packaging and hh goods'!$U$19*(M$3-$D$3)/10)</f>
        <v>5.9129277331896801E-3</v>
      </c>
      <c r="N30" s="43">
        <f>N29*'R&amp;S - Packaging and hh goods'!$D$7*('R&amp;S - Packaging and hh goods'!$F$14*'R&amp;S - Packaging and hh goods'!$U$19*(N$3-$D$3)/10)</f>
        <v>6.6618985793937043E-3</v>
      </c>
      <c r="O30" s="43">
        <f>O29*('R&amp;S - Packaging and hh goods'!$D$7*'R&amp;S - Packaging and hh goods'!$F$14*('R&amp;S - Packaging and hh goods'!$U$19+('R&amp;S - Packaging and hh goods'!$U$20-'R&amp;S - Packaging and hh goods'!$U$19)*(O$3-$N$3)/10))</f>
        <v>1.2046711201117635E-2</v>
      </c>
      <c r="P30" s="43">
        <f>P29*('R&amp;S - Packaging and hh goods'!$D$7*'R&amp;S - Packaging and hh goods'!$F$14*('R&amp;S - Packaging and hh goods'!$U$19+('R&amp;S - Packaging and hh goods'!$U$20-'R&amp;S - Packaging and hh goods'!$U$19)*(P$3-$N$3)/10))</f>
        <v>1.7580992844128278E-2</v>
      </c>
      <c r="Q30" s="43">
        <f>Q29*('R&amp;S - Packaging and hh goods'!$D$7*'R&amp;S - Packaging and hh goods'!$F$14*('R&amp;S - Packaging and hh goods'!$U$19+('R&amp;S - Packaging and hh goods'!$U$20-'R&amp;S - Packaging and hh goods'!$U$19)*(Q$3-$N$3)/10))</f>
        <v>2.3267873217747797E-2</v>
      </c>
      <c r="R30" s="43">
        <f>R29*('R&amp;S - Packaging and hh goods'!$D$7*'R&amp;S - Packaging and hh goods'!$F$14*('R&amp;S - Packaging and hh goods'!$U$19+('R&amp;S - Packaging and hh goods'!$U$20-'R&amp;S - Packaging and hh goods'!$U$19)*(R$3-$N$3)/10))</f>
        <v>2.9110540367231215E-2</v>
      </c>
      <c r="S30" s="43">
        <f>S29*('R&amp;S - Packaging and hh goods'!$D$7*'R&amp;S - Packaging and hh goods'!$F$14*('R&amp;S - Packaging and hh goods'!$U$19+('R&amp;S - Packaging and hh goods'!$U$20-'R&amp;S - Packaging and hh goods'!$U$19)*(S$3-$N$3)/10))</f>
        <v>3.5112241693749491E-2</v>
      </c>
      <c r="T30" s="43">
        <f>T29*('R&amp;S - Packaging and hh goods'!$D$7*'R&amp;S - Packaging and hh goods'!$F$14*('R&amp;S - Packaging and hh goods'!$U$19+('R&amp;S - Packaging and hh goods'!$U$20-'R&amp;S - Packaging and hh goods'!$U$19)*(T$3-$N$3)/10))</f>
        <v>4.1276284991498297E-2</v>
      </c>
      <c r="U30" s="43">
        <f>U29*('R&amp;S - Packaging and hh goods'!$D$7*'R&amp;S - Packaging and hh goods'!$F$14*('R&amp;S - Packaging and hh goods'!$U$19+('R&amp;S - Packaging and hh goods'!$U$20-'R&amp;S - Packaging and hh goods'!$U$19)*(U$3-$N$3)/10))</f>
        <v>4.7606039502212094E-2</v>
      </c>
      <c r="V30" s="43">
        <f>V29*('R&amp;S - Packaging and hh goods'!$D$7*'R&amp;S - Packaging and hh goods'!$F$14*('R&amp;S - Packaging and hh goods'!$U$19+('R&amp;S - Packaging and hh goods'!$U$20-'R&amp;S - Packaging and hh goods'!$U$19)*(V$3-$N$3)/10))</f>
        <v>5.4104936987367548E-2</v>
      </c>
      <c r="W30" s="43">
        <f>W29*('R&amp;S - Packaging and hh goods'!$D$7*'R&amp;S - Packaging and hh goods'!$F$14*('R&amp;S - Packaging and hh goods'!$U$19+('R&amp;S - Packaging and hh goods'!$U$20-'R&amp;S - Packaging and hh goods'!$U$19)*(W$3-$N$3)/10))</f>
        <v>6.0776472818364922E-2</v>
      </c>
      <c r="X30" s="43">
        <f>X29*('R&amp;S - Packaging and hh goods'!$D$7*'R&amp;S - Packaging and hh goods'!$F$14*('R&amp;S - Packaging and hh goods'!$U$19+('R&amp;S - Packaging and hh goods'!$U$20-'R&amp;S - Packaging and hh goods'!$U$19)*(X$3-$N$3)/10))</f>
        <v>6.7624207084980695E-2</v>
      </c>
      <c r="Y30" s="43">
        <f>Y29*('R&amp;S - Packaging and hh goods'!$D$7*'R&amp;S - Packaging and hh goods'!$F$14*('R&amp;S - Packaging and hh goods'!$U$20+('R&amp;S - Packaging and hh goods'!$U$21-'R&amp;S - Packaging and hh goods'!$U$20)*(Y$3-$X$3)/10))</f>
        <v>7.4651765722389324E-2</v>
      </c>
      <c r="Z30" s="43">
        <f>Z29*('R&amp;S - Packaging and hh goods'!$D$7*'R&amp;S - Packaging and hh goods'!$F$14*('R&amp;S - Packaging and hh goods'!$U$20+('R&amp;S - Packaging and hh goods'!$U$21-'R&amp;S - Packaging and hh goods'!$U$20)*(Z$3-$X$3)/10))</f>
        <v>8.1862841657056706E-2</v>
      </c>
      <c r="AA30" s="43">
        <f>AA29*('R&amp;S - Packaging and hh goods'!$D$7*'R&amp;S - Packaging and hh goods'!$F$14*('R&amp;S - Packaging and hh goods'!$U$20+('R&amp;S - Packaging and hh goods'!$U$21-'R&amp;S - Packaging and hh goods'!$U$20)*(AA$3-$X$3)/10))</f>
        <v>8.9261195971813215E-2</v>
      </c>
      <c r="AB30" s="43">
        <f>AB29*('R&amp;S - Packaging and hh goods'!$D$7*'R&amp;S - Packaging and hh goods'!$F$14*('R&amp;S - Packaging and hh goods'!$U$20+('R&amp;S - Packaging and hh goods'!$U$21-'R&amp;S - Packaging and hh goods'!$U$20)*(AB$3-$X$3)/10))</f>
        <v>9.6850659090418109E-2</v>
      </c>
      <c r="AC30" s="43">
        <f>AC29*('R&amp;S - Packaging and hh goods'!$D$7*'R&amp;S - Packaging and hh goods'!$F$14*('R&amp;S - Packaging and hh goods'!$U$20+('R&amp;S - Packaging and hh goods'!$U$21-'R&amp;S - Packaging and hh goods'!$U$20)*(AC$3-$X$3)/10))</f>
        <v>0.10463513198193347</v>
      </c>
      <c r="AD30" s="43">
        <f>AD29*('R&amp;S - Packaging and hh goods'!$D$7*'R&amp;S - Packaging and hh goods'!$F$14*('R&amp;S - Packaging and hh goods'!$U$20+('R&amp;S - Packaging and hh goods'!$U$21-'R&amp;S - Packaging and hh goods'!$U$20)*(AD$3-$X$3)/10))</f>
        <v>0.11261858738522958</v>
      </c>
      <c r="AE30" s="43">
        <f>AE29*('R&amp;S - Packaging and hh goods'!$D$7*'R&amp;S - Packaging and hh goods'!$F$14*('R&amp;S - Packaging and hh goods'!$U$20+('R&amp;S - Packaging and hh goods'!$U$21-'R&amp;S - Packaging and hh goods'!$U$20)*(AE$3-$X$3)/10))</f>
        <v>0.12080507105394946</v>
      </c>
      <c r="AF30" s="43">
        <f>AF29*('R&amp;S - Packaging and hh goods'!$D$7*'R&amp;S - Packaging and hh goods'!$F$14*('R&amp;S - Packaging and hh goods'!$U$20+('R&amp;S - Packaging and hh goods'!$U$21-'R&amp;S - Packaging and hh goods'!$U$20)*(AF$3-$X$3)/10))</f>
        <v>0.12919870302226602</v>
      </c>
      <c r="AG30" s="43">
        <f>AG29*('R&amp;S - Packaging and hh goods'!$D$7*'R&amp;S - Packaging and hh goods'!$F$14*('R&amp;S - Packaging and hh goods'!$U$20+('R&amp;S - Packaging and hh goods'!$U$21-'R&amp;S - Packaging and hh goods'!$U$20)*(AG$3-$X$3)/10))</f>
        <v>0.13780367889176887</v>
      </c>
      <c r="AH30" s="43">
        <f>AH29*('R&amp;S - Packaging and hh goods'!$D$7*'R&amp;S - Packaging and hh goods'!$F$14*('R&amp;S - Packaging and hh goods'!$U$20+('R&amp;S - Packaging and hh goods'!$U$21-'R&amp;S - Packaging and hh goods'!$U$20)*(AH$3-$X$3)/10))</f>
        <v>0.14662427113982543</v>
      </c>
      <c r="AJ30" s="43">
        <v>0</v>
      </c>
      <c r="AK30" s="43">
        <f>AK29*'R&amp;S - Packaging and hh goods'!$D$7*('R&amp;S - Packaging and hh goods'!$F$15*'R&amp;S - Packaging and hh goods'!$U$19*(AK$3-$D$3)/10)</f>
        <v>4.2324215614546971E-4</v>
      </c>
      <c r="AL30" s="43">
        <f>AL29*'R&amp;S - Packaging and hh goods'!$D$7*('R&amp;S - Packaging and hh goods'!$F$15*'R&amp;S - Packaging and hh goods'!$U$19*(AL$3-$D$3)/10)</f>
        <v>8.5833509266301257E-4</v>
      </c>
      <c r="AM30" s="43">
        <f>AM29*'R&amp;S - Packaging and hh goods'!$D$7*('R&amp;S - Packaging and hh goods'!$F$15*'R&amp;S - Packaging and hh goods'!$U$19*(AM$3-$D$3)/10)</f>
        <v>1.3055276759404422E-3</v>
      </c>
      <c r="AN30" s="43">
        <f>AN29*'R&amp;S - Packaging and hh goods'!$D$7*('R&amp;S - Packaging and hh goods'!$F$15*'R&amp;S - Packaging and hh goods'!$U$19*(AN$3-$D$3)/10)</f>
        <v>1.7650734178714777E-3</v>
      </c>
      <c r="AO30" s="43">
        <f>AO29*'R&amp;S - Packaging and hh goods'!$D$7*('R&amp;S - Packaging and hh goods'!$F$15*'R&amp;S - Packaging and hh goods'!$U$19*(AO$3-$D$3)/10)</f>
        <v>2.2372305571520985E-3</v>
      </c>
      <c r="AP30" s="43">
        <f>AP29*'R&amp;S - Packaging and hh goods'!$D$7*('R&amp;S - Packaging and hh goods'!$F$15*'R&amp;S - Packaging and hh goods'!$U$19*(AP$3-$D$3)/10)</f>
        <v>2.7222621419426734E-3</v>
      </c>
      <c r="AQ30" s="43">
        <f>AQ29*'R&amp;S - Packaging and hh goods'!$D$7*('R&amp;S - Packaging and hh goods'!$F$15*'R&amp;S - Packaging and hh goods'!$U$19*(AQ$3-$D$3)/10)</f>
        <v>3.2204361139181823E-3</v>
      </c>
      <c r="AR30" s="43">
        <f>AR29*'R&amp;S - Packaging and hh goods'!$D$7*('R&amp;S - Packaging and hh goods'!$F$15*'R&amp;S - Packaging and hh goods'!$U$19*(AR$3-$D$3)/10)</f>
        <v>3.732025393729185E-3</v>
      </c>
      <c r="AS30" s="43">
        <f>AS29*'R&amp;S - Packaging and hh goods'!$D$7*('R&amp;S - Packaging and hh goods'!$F$15*'R&amp;S - Packaging and hh goods'!$U$19*(AS$3-$D$3)/10)</f>
        <v>4.2573079678965686E-3</v>
      </c>
      <c r="AT30" s="43">
        <f>AT29*'R&amp;S - Packaging and hh goods'!$D$7*('R&amp;S - Packaging and hh goods'!$F$15*'R&amp;S - Packaging and hh goods'!$U$19*(AT$3-$D$3)/10)</f>
        <v>4.7965669771634668E-3</v>
      </c>
      <c r="AU30" s="43">
        <f>AU29*('R&amp;S - Packaging and hh goods'!$D$7*'R&amp;S - Packaging and hh goods'!$F$15*('R&amp;S - Packaging and hh goods'!$U$19+('R&amp;S - Packaging and hh goods'!$U$20-'R&amp;S - Packaging and hh goods'!$U$19)*(AU$3-$N$3)/10))</f>
        <v>8.6736320648046986E-3</v>
      </c>
      <c r="AV30" s="43">
        <f>AV29*('R&amp;S - Packaging and hh goods'!$D$7*'R&amp;S - Packaging and hh goods'!$F$15*('R&amp;S - Packaging and hh goods'!$U$19+('R&amp;S - Packaging and hh goods'!$U$20-'R&amp;S - Packaging and hh goods'!$U$19)*(AV$3-$N$3)/10))</f>
        <v>1.265831484777236E-2</v>
      </c>
      <c r="AW30" s="43">
        <f>AW29*('R&amp;S - Packaging and hh goods'!$D$7*'R&amp;S - Packaging and hh goods'!$F$15*('R&amp;S - Packaging and hh goods'!$U$19+('R&amp;S - Packaging and hh goods'!$U$20-'R&amp;S - Packaging and hh goods'!$U$19)*(AW$3-$N$3)/10))</f>
        <v>1.6752868716778415E-2</v>
      </c>
      <c r="AX30" s="43">
        <f>AX29*('R&amp;S - Packaging and hh goods'!$D$7*'R&amp;S - Packaging and hh goods'!$F$15*('R&amp;S - Packaging and hh goods'!$U$19+('R&amp;S - Packaging and hh goods'!$U$20-'R&amp;S - Packaging and hh goods'!$U$19)*(AX$3-$N$3)/10))</f>
        <v>2.0959589064406474E-2</v>
      </c>
      <c r="AY30" s="43">
        <f>AY29*('R&amp;S - Packaging and hh goods'!$D$7*'R&amp;S - Packaging and hh goods'!$F$15*('R&amp;S - Packaging and hh goods'!$U$19+('R&amp;S - Packaging and hh goods'!$U$20-'R&amp;S - Packaging and hh goods'!$U$19)*(AY$3-$N$3)/10))</f>
        <v>2.5280814019499633E-2</v>
      </c>
      <c r="AZ30" s="43">
        <f>AZ29*('R&amp;S - Packaging and hh goods'!$D$7*'R&amp;S - Packaging and hh goods'!$F$15*('R&amp;S - Packaging and hh goods'!$U$19+('R&amp;S - Packaging and hh goods'!$U$20-'R&amp;S - Packaging and hh goods'!$U$19)*(AZ$3-$N$3)/10))</f>
        <v>2.9718925193878774E-2</v>
      </c>
      <c r="BA30" s="43">
        <f>BA29*('R&amp;S - Packaging and hh goods'!$D$7*'R&amp;S - Packaging and hh goods'!$F$15*('R&amp;S - Packaging and hh goods'!$U$19+('R&amp;S - Packaging and hh goods'!$U$20-'R&amp;S - Packaging and hh goods'!$U$19)*(BA$3-$N$3)/10))</f>
        <v>3.4276348441592712E-2</v>
      </c>
      <c r="BB30" s="43">
        <f>BB29*('R&amp;S - Packaging and hh goods'!$D$7*'R&amp;S - Packaging and hh goods'!$F$15*('R&amp;S - Packaging and hh goods'!$U$19+('R&amp;S - Packaging and hh goods'!$U$20-'R&amp;S - Packaging and hh goods'!$U$19)*(BB$3-$N$3)/10))</f>
        <v>3.8955554630904637E-2</v>
      </c>
      <c r="BC30" s="43">
        <f>BC29*('R&amp;S - Packaging and hh goods'!$D$7*'R&amp;S - Packaging and hh goods'!$F$15*('R&amp;S - Packaging and hh goods'!$U$19+('R&amp;S - Packaging and hh goods'!$U$20-'R&amp;S - Packaging and hh goods'!$U$19)*(BC$3-$N$3)/10))</f>
        <v>4.375906042922275E-2</v>
      </c>
      <c r="BD30" s="43">
        <f>BD29*('R&amp;S - Packaging and hh goods'!$D$7*'R&amp;S - Packaging and hh goods'!$F$15*('R&amp;S - Packaging and hh goods'!$U$19+('R&amp;S - Packaging and hh goods'!$U$20-'R&amp;S - Packaging and hh goods'!$U$19)*(BD$3-$N$3)/10))</f>
        <v>4.8689429101186107E-2</v>
      </c>
      <c r="BE30" s="43">
        <f>BE29*('R&amp;S - Packaging and hh goods'!$D$7*'R&amp;S - Packaging and hh goods'!$F$15*('R&amp;S - Packaging and hh goods'!$U$20+('R&amp;S - Packaging and hh goods'!$U$21-'R&amp;S - Packaging and hh goods'!$U$20)*(BE$3-$X$3)/10))</f>
        <v>5.3749271320120313E-2</v>
      </c>
      <c r="BF30" s="43">
        <f>BF29*('R&amp;S - Packaging and hh goods'!$D$7*'R&amp;S - Packaging and hh goods'!$F$15*('R&amp;S - Packaging and hh goods'!$U$20+('R&amp;S - Packaging and hh goods'!$U$21-'R&amp;S - Packaging and hh goods'!$U$20)*(BF$3-$X$3)/10))</f>
        <v>5.8941245993080836E-2</v>
      </c>
      <c r="BG30" s="43">
        <f>BG29*('R&amp;S - Packaging and hh goods'!$D$7*'R&amp;S - Packaging and hh goods'!$F$15*('R&amp;S - Packaging and hh goods'!$U$20+('R&amp;S - Packaging and hh goods'!$U$21-'R&amp;S - Packaging and hh goods'!$U$20)*(BG$3-$X$3)/10))</f>
        <v>6.4268061099705509E-2</v>
      </c>
      <c r="BH30" s="43">
        <f>BH29*('R&amp;S - Packaging and hh goods'!$D$7*'R&amp;S - Packaging and hh goods'!$F$15*('R&amp;S - Packaging and hh goods'!$U$20+('R&amp;S - Packaging and hh goods'!$U$21-'R&amp;S - Packaging and hh goods'!$U$20)*(BH$3-$X$3)/10))</f>
        <v>6.9732474545101036E-2</v>
      </c>
      <c r="BI30" s="43">
        <f>BI29*('R&amp;S - Packaging and hh goods'!$D$7*'R&amp;S - Packaging and hh goods'!$F$15*('R&amp;S - Packaging and hh goods'!$U$20+('R&amp;S - Packaging and hh goods'!$U$21-'R&amp;S - Packaging and hh goods'!$U$20)*(BI$3-$X$3)/10))</f>
        <v>7.5337295026992115E-2</v>
      </c>
      <c r="BJ30" s="43">
        <f>BJ29*('R&amp;S - Packaging and hh goods'!$D$7*'R&amp;S - Packaging and hh goods'!$F$15*('R&amp;S - Packaging and hh goods'!$U$20+('R&amp;S - Packaging and hh goods'!$U$21-'R&amp;S - Packaging and hh goods'!$U$20)*(BJ$3-$X$3)/10))</f>
        <v>8.1085382917365292E-2</v>
      </c>
      <c r="BK30" s="43">
        <f>BK29*('R&amp;S - Packaging and hh goods'!$D$7*'R&amp;S - Packaging and hh goods'!$F$15*('R&amp;S - Packaging and hh goods'!$U$20+('R&amp;S - Packaging and hh goods'!$U$21-'R&amp;S - Packaging and hh goods'!$U$20)*(BK$3-$X$3)/10))</f>
        <v>8.6979651158843624E-2</v>
      </c>
      <c r="BL30" s="43">
        <f>BL29*('R&amp;S - Packaging and hh goods'!$D$7*'R&amp;S - Packaging and hh goods'!$F$15*('R&amp;S - Packaging and hh goods'!$U$20+('R&amp;S - Packaging and hh goods'!$U$21-'R&amp;S - Packaging and hh goods'!$U$20)*(BL$3-$X$3)/10))</f>
        <v>9.3023066176031538E-2</v>
      </c>
      <c r="BM30" s="43">
        <f>BM29*('R&amp;S - Packaging and hh goods'!$D$7*'R&amp;S - Packaging and hh goods'!$F$15*('R&amp;S - Packaging and hh goods'!$U$20+('R&amp;S - Packaging and hh goods'!$U$21-'R&amp;S - Packaging and hh goods'!$U$20)*(BM$3-$X$3)/10))</f>
        <v>9.9218648802073595E-2</v>
      </c>
      <c r="BN30" s="43">
        <f>BN29*('R&amp;S - Packaging and hh goods'!$D$7*'R&amp;S - Packaging and hh goods'!$F$15*('R&amp;S - Packaging and hh goods'!$U$20+('R&amp;S - Packaging and hh goods'!$U$21-'R&amp;S - Packaging and hh goods'!$U$20)*(BN$3-$X$3)/10))</f>
        <v>0.10556947522067432</v>
      </c>
    </row>
    <row r="31" spans="1:87" x14ac:dyDescent="0.2">
      <c r="B31" s="61" t="s">
        <v>200</v>
      </c>
      <c r="C31" s="54" t="s">
        <v>153</v>
      </c>
      <c r="D31" s="43">
        <v>0</v>
      </c>
      <c r="E31" s="43">
        <f>E29*'R&amp;S - Packaging and hh goods'!$D$8*('R&amp;S - Packaging and hh goods'!$F$14*'R&amp;S - Packaging and hh goods'!$V$19*(E$3-$D$3)/10)</f>
        <v>2.8011291689341382E-3</v>
      </c>
      <c r="F31" s="43">
        <f>F29*'R&amp;S - Packaging and hh goods'!$D$8*('R&amp;S - Packaging and hh goods'!$F$14*'R&amp;S - Packaging and hh goods'!$V$19*('Yearly Methanol'!F$3-'Yearly Methanol'!$D$3)/10)</f>
        <v>5.6806899545984325E-3</v>
      </c>
      <c r="G31" s="43">
        <f>G29*'R&amp;S - Packaging and hh goods'!$D$8*('R&amp;S - Packaging and hh goods'!$F$14*'R&amp;S - Packaging and hh goods'!$V$19*('Yearly Methanol'!G$3-'Yearly Methanol'!$D$3)/10)</f>
        <v>8.6403294209442157E-3</v>
      </c>
      <c r="H31" s="43">
        <f>H29*'R&amp;S - Packaging and hh goods'!$D$8*('R&amp;S - Packaging and hh goods'!$F$14*'R&amp;S - Packaging and hh goods'!$V$19*('Yearly Methanol'!H$3-'Yearly Methanol'!$D$3)/10)</f>
        <v>1.1681725377116581E-2</v>
      </c>
      <c r="I31" s="43">
        <f>I29*'R&amp;S - Packaging and hh goods'!$D$8*('R&amp;S - Packaging and hh goods'!$F$14*'R&amp;S - Packaging and hh goods'!$V$19*('Yearly Methanol'!I$3-'Yearly Methanol'!$D$3)/10)</f>
        <v>1.4806586915495266E-2</v>
      </c>
      <c r="J31" s="43">
        <f>J29*'R&amp;S - Packaging and hh goods'!$D$8*('R&amp;S - Packaging and hh goods'!$F$14*'R&amp;S - Packaging and hh goods'!$V$19*('Yearly Methanol'!J$3-'Yearly Methanol'!$D$3)/10)</f>
        <v>1.801665495877464E-2</v>
      </c>
      <c r="K31" s="43">
        <f>K29*'R&amp;S - Packaging and hh goods'!$D$8*('R&amp;S - Packaging and hh goods'!$F$14*'R&amp;S - Packaging and hh goods'!$V$19*('Yearly Methanol'!K$3-'Yearly Methanol'!$D$3)/10)</f>
        <v>2.1313702816230403E-2</v>
      </c>
      <c r="L31" s="43">
        <f>L29*'R&amp;S - Packaging and hh goods'!$D$8*('R&amp;S - Packaging and hh goods'!$F$14*'R&amp;S - Packaging and hh goods'!$V$19*('Yearly Methanol'!L$3-'Yearly Methanol'!$D$3)/10)</f>
        <v>2.4699536749323001E-2</v>
      </c>
      <c r="M31" s="43">
        <f>M29*'R&amp;S - Packaging and hh goods'!$D$8*('R&amp;S - Packaging and hh goods'!$F$14*'R&amp;S - Packaging and hh goods'!$V$19*('Yearly Methanol'!M$3-'Yearly Methanol'!$D$3)/10)</f>
        <v>2.8175996546790216E-2</v>
      </c>
      <c r="N31" s="43">
        <f>N29*'R&amp;S - Packaging and hh goods'!$D$8*('R&amp;S - Packaging and hh goods'!$F$14*'R&amp;S - Packaging and hh goods'!$V$19*('Yearly Methanol'!N$3-'Yearly Methanol'!$D$3)/10)</f>
        <v>3.1744956109383646E-2</v>
      </c>
      <c r="O31" s="43">
        <f>O29*'R&amp;S - Packaging and hh goods'!$D$8*'R&amp;S - Packaging and hh goods'!$F$14*('R&amp;S - Packaging and hh goods'!$V$19+('R&amp;S - Packaging and hh goods'!$V$20-'R&amp;S - Packaging and hh goods'!$V$19)*(O$3-$N$3)/10)</f>
        <v>3.9763358552542073E-2</v>
      </c>
      <c r="P31" s="43">
        <f>P29*'R&amp;S - Packaging and hh goods'!$D$8*'R&amp;S - Packaging and hh goods'!$F$14*('R&amp;S - Packaging and hh goods'!$V$19+('R&amp;S - Packaging and hh goods'!$V$20-'R&amp;S - Packaging and hh goods'!$V$19)*(P$3-$N$3)/10)</f>
        <v>4.8000054252711505E-2</v>
      </c>
      <c r="Q31" s="43">
        <f>Q29*'R&amp;S - Packaging and hh goods'!$D$8*'R&amp;S - Packaging and hh goods'!$F$14*('R&amp;S - Packaging and hh goods'!$V$19+('R&amp;S - Packaging and hh goods'!$V$20-'R&amp;S - Packaging and hh goods'!$V$19)*(Q$3-$N$3)/10)</f>
        <v>5.6459583814209374E-2</v>
      </c>
      <c r="R31" s="43">
        <f>R29*'R&amp;S - Packaging and hh goods'!$D$8*'R&amp;S - Packaging and hh goods'!$F$14*('R&amp;S - Packaging and hh goods'!$V$19+('R&amp;S - Packaging and hh goods'!$V$20-'R&amp;S - Packaging and hh goods'!$V$19)*(R$3-$N$3)/10)</f>
        <v>6.5146572192795654E-2</v>
      </c>
      <c r="S31" s="43">
        <f>S29*'R&amp;S - Packaging and hh goods'!$D$8*'R&amp;S - Packaging and hh goods'!$F$14*('R&amp;S - Packaging and hh goods'!$V$19+('R&amp;S - Packaging and hh goods'!$V$20-'R&amp;S - Packaging and hh goods'!$V$19)*(S$3-$N$3)/10)</f>
        <v>7.4065730167554772E-2</v>
      </c>
      <c r="T31" s="43">
        <f>T29*'R&amp;S - Packaging and hh goods'!$D$8*'R&amp;S - Packaging and hh goods'!$F$14*('R&amp;S - Packaging and hh goods'!$V$19+('R&amp;S - Packaging and hh goods'!$V$20-'R&amp;S - Packaging and hh goods'!$V$19)*(T$3-$N$3)/10)</f>
        <v>8.3221855837457337E-2</v>
      </c>
      <c r="U31" s="43">
        <f>U29*'R&amp;S - Packaging and hh goods'!$D$8*'R&amp;S - Packaging and hh goods'!$F$14*('R&amp;S - Packaging and hh goods'!$V$19+('R&amp;S - Packaging and hh goods'!$V$20-'R&amp;S - Packaging and hh goods'!$V$19)*(U$3-$N$3)/10)</f>
        <v>9.2619836143004369E-2</v>
      </c>
      <c r="V31" s="43">
        <f>V29*'R&amp;S - Packaging and hh goods'!$D$8*'R&amp;S - Packaging and hh goods'!$F$14*('R&amp;S - Packaging and hh goods'!$V$19+('R&amp;S - Packaging and hh goods'!$V$20-'R&amp;S - Packaging and hh goods'!$V$19)*(V$3-$N$3)/10)</f>
        <v>0.10226464841336255</v>
      </c>
      <c r="W31" s="43">
        <f>W29*'R&amp;S - Packaging and hh goods'!$D$8*'R&amp;S - Packaging and hh goods'!$F$14*('R&amp;S - Packaging and hh goods'!$V$19+('R&amp;S - Packaging and hh goods'!$V$20-'R&amp;S - Packaging and hh goods'!$V$19)*(W$3-$N$3)/10)</f>
        <v>0.11216136193940673</v>
      </c>
      <c r="X31" s="43">
        <f>X29*'R&amp;S - Packaging and hh goods'!$D$8*'R&amp;S - Packaging and hh goods'!$F$14*('R&amp;S - Packaging and hh goods'!$V$19+('R&amp;S - Packaging and hh goods'!$V$20-'R&amp;S - Packaging and hh goods'!$V$19)*(X$3-$N$3)/10)</f>
        <v>0.12231513957309115</v>
      </c>
      <c r="Y31" s="43">
        <f>Y29*'R&amp;S - Packaging and hh goods'!$D$8*'R&amp;S - Packaging and hh goods'!$F$14*('R&amp;S - Packaging and hh goods'!$V$20+('R&amp;S - Packaging and hh goods'!$V$21-'R&amp;S - Packaging and hh goods'!$V$20)*(Y$3-$X$3)/10)</f>
        <v>0.1333840159405634</v>
      </c>
      <c r="Z31" s="43">
        <f>Z29*'R&amp;S - Packaging and hh goods'!$D$8*'R&amp;S - Packaging and hh goods'!$F$14*('R&amp;S - Packaging and hh goods'!$V$20+('R&amp;S - Packaging and hh goods'!$V$21-'R&amp;S - Packaging and hh goods'!$V$20)*(Z$3-$X$3)/10)</f>
        <v>0.14473884707896856</v>
      </c>
      <c r="AA31" s="43">
        <f>AA29*'R&amp;S - Packaging and hh goods'!$D$8*'R&amp;S - Packaging and hh goods'!$F$14*('R&amp;S - Packaging and hh goods'!$V$20+('R&amp;S - Packaging and hh goods'!$V$21-'R&amp;S - Packaging and hh goods'!$V$20)*(AA$3-$X$3)/10)</f>
        <v>0.15638547022212471</v>
      </c>
      <c r="AB31" s="43">
        <f>AB29*'R&amp;S - Packaging and hh goods'!$D$8*'R&amp;S - Packaging and hh goods'!$F$14*('R&amp;S - Packaging and hh goods'!$V$20+('R&amp;S - Packaging and hh goods'!$V$21-'R&amp;S - Packaging and hh goods'!$V$20)*(AB$3-$X$3)/10)</f>
        <v>0.16832982999926177</v>
      </c>
      <c r="AC31" s="43">
        <f>AC29*'R&amp;S - Packaging and hh goods'!$D$8*'R&amp;S - Packaging and hh goods'!$F$14*('R&amp;S - Packaging and hh goods'!$V$20+('R&amp;S - Packaging and hh goods'!$V$21-'R&amp;S - Packaging and hh goods'!$V$20)*(AC$3-$X$3)/10)</f>
        <v>0.1805779802979951</v>
      </c>
      <c r="AD31" s="43">
        <f>AD29*'R&amp;S - Packaging and hh goods'!$D$8*'R&amp;S - Packaging and hh goods'!$F$14*('R&amp;S - Packaging and hh goods'!$V$20+('R&amp;S - Packaging and hh goods'!$V$21-'R&amp;S - Packaging and hh goods'!$V$20)*(AD$3-$X$3)/10)</f>
        <v>0.19313608615841316</v>
      </c>
      <c r="AE31" s="43">
        <f>AE29*'R&amp;S - Packaging and hh goods'!$D$8*'R&amp;S - Packaging and hh goods'!$F$14*('R&amp;S - Packaging and hh goods'!$V$20+('R&amp;S - Packaging and hh goods'!$V$21-'R&amp;S - Packaging and hh goods'!$V$20)*(AE$3-$X$3)/10)</f>
        <v>0.20601042569878447</v>
      </c>
      <c r="AF31" s="43">
        <f>AF29*'R&amp;S - Packaging and hh goods'!$D$8*'R&amp;S - Packaging and hh goods'!$F$14*('R&amp;S - Packaging and hh goods'!$V$20+('R&amp;S - Packaging and hh goods'!$V$21-'R&amp;S - Packaging and hh goods'!$V$20)*(AF$3-$X$3)/10)</f>
        <v>0.21920739207339915</v>
      </c>
      <c r="AG31" s="43">
        <f>AG29*'R&amp;S - Packaging and hh goods'!$D$8*'R&amp;S - Packaging and hh goods'!$F$14*('R&amp;S - Packaging and hh goods'!$V$20+('R&amp;S - Packaging and hh goods'!$V$21-'R&amp;S - Packaging and hh goods'!$V$20)*(AG$3-$X$3)/10)</f>
        <v>0.23273349546306613</v>
      </c>
      <c r="AH31" s="43">
        <f>AH29*'R&amp;S - Packaging and hh goods'!$D$8*'R&amp;S - Packaging and hh goods'!$F$14*('R&amp;S - Packaging and hh goods'!$V$20+('R&amp;S - Packaging and hh goods'!$V$21-'R&amp;S - Packaging and hh goods'!$V$20)*(AH$3-$X$3)/10)</f>
        <v>0.24659536509879734</v>
      </c>
      <c r="AJ31" s="43">
        <v>0</v>
      </c>
      <c r="AK31" s="43">
        <f>AK29*'R&amp;S - Packaging and hh goods'!$D$8*('R&amp;S - Packaging and hh goods'!$F$15*'R&amp;S - Packaging and hh goods'!$V$19*(AK$3-$D$3)/10)</f>
        <v>2.0168130016325796E-3</v>
      </c>
      <c r="AL31" s="43">
        <f>AL29*'R&amp;S - Packaging and hh goods'!$D$8*('R&amp;S - Packaging and hh goods'!$F$15*'R&amp;S - Packaging and hh goods'!$V$19*('Yearly Methanol'!AL$3-'Yearly Methanol'!$D$3)/10)</f>
        <v>4.0900967673108716E-3</v>
      </c>
      <c r="AM31" s="43">
        <f>AM29*'R&amp;S - Packaging and hh goods'!$D$8*('R&amp;S - Packaging and hh goods'!$F$15*'R&amp;S - Packaging and hh goods'!$V$19*('Yearly Methanol'!AM$3-'Yearly Methanol'!$D$3)/10)</f>
        <v>6.2210371830798356E-3</v>
      </c>
      <c r="AN31" s="43">
        <f>AN29*'R&amp;S - Packaging and hh goods'!$D$8*('R&amp;S - Packaging and hh goods'!$F$15*'R&amp;S - Packaging and hh goods'!$V$19*('Yearly Methanol'!AN$3-'Yearly Methanol'!$D$3)/10)</f>
        <v>8.4108422715239387E-3</v>
      </c>
      <c r="AO31" s="43">
        <f>AO29*'R&amp;S - Packaging and hh goods'!$D$8*('R&amp;S - Packaging and hh goods'!$F$15*'R&amp;S - Packaging and hh goods'!$V$19*('Yearly Methanol'!AO$3-'Yearly Methanol'!$D$3)/10)</f>
        <v>1.0660742579156593E-2</v>
      </c>
      <c r="AP31" s="43">
        <f>AP29*'R&amp;S - Packaging and hh goods'!$D$8*('R&amp;S - Packaging and hh goods'!$F$15*'R&amp;S - Packaging and hh goods'!$V$19*('Yearly Methanol'!AP$3-'Yearly Methanol'!$D$3)/10)</f>
        <v>1.2971991570317741E-2</v>
      </c>
      <c r="AQ31" s="43">
        <f>AQ29*'R&amp;S - Packaging and hh goods'!$D$8*('R&amp;S - Packaging and hh goods'!$F$15*'R&amp;S - Packaging and hh goods'!$V$19*('Yearly Methanol'!AQ$3-'Yearly Methanol'!$D$3)/10)</f>
        <v>1.5345866027685888E-2</v>
      </c>
      <c r="AR31" s="43">
        <f>AR29*'R&amp;S - Packaging and hh goods'!$D$8*('R&amp;S - Packaging and hh goods'!$F$15*'R&amp;S - Packaging and hh goods'!$V$19*('Yearly Methanol'!AR$3-'Yearly Methanol'!$D$3)/10)</f>
        <v>1.778366645951256E-2</v>
      </c>
      <c r="AS31" s="43">
        <f>AS29*'R&amp;S - Packaging and hh goods'!$D$8*('R&amp;S - Packaging and hh goods'!$F$15*'R&amp;S - Packaging and hh goods'!$V$19*('Yearly Methanol'!AS$3-'Yearly Methanol'!$D$3)/10)</f>
        <v>2.0286717513688959E-2</v>
      </c>
      <c r="AT31" s="43">
        <f>AT29*'R&amp;S - Packaging and hh goods'!$D$8*('R&amp;S - Packaging and hh goods'!$F$15*'R&amp;S - Packaging and hh goods'!$V$19*('Yearly Methanol'!AT$3-'Yearly Methanol'!$D$3)/10)</f>
        <v>2.2856368398756228E-2</v>
      </c>
      <c r="AU31" s="43">
        <f>AU29*'R&amp;S - Packaging and hh goods'!$D$8*'R&amp;S - Packaging and hh goods'!$F$15*('R&amp;S - Packaging and hh goods'!$V$19+('R&amp;S - Packaging and hh goods'!$V$20-'R&amp;S - Packaging and hh goods'!$V$19)*(AU$3-$N$3)/10)</f>
        <v>2.8629618157830293E-2</v>
      </c>
      <c r="AV31" s="43">
        <f>AV29*'R&amp;S - Packaging and hh goods'!$D$8*'R&amp;S - Packaging and hh goods'!$F$15*('R&amp;S - Packaging and hh goods'!$V$19+('R&amp;S - Packaging and hh goods'!$V$20-'R&amp;S - Packaging and hh goods'!$V$19)*(AV$3-$N$3)/10)</f>
        <v>3.4560039061952284E-2</v>
      </c>
      <c r="AW31" s="43">
        <f>AW29*'R&amp;S - Packaging and hh goods'!$D$8*'R&amp;S - Packaging and hh goods'!$F$15*('R&amp;S - Packaging and hh goods'!$V$19+('R&amp;S - Packaging and hh goods'!$V$20-'R&amp;S - Packaging and hh goods'!$V$19)*(AW$3-$N$3)/10)</f>
        <v>4.0650900346230749E-2</v>
      </c>
      <c r="AX31" s="43">
        <f>AX29*'R&amp;S - Packaging and hh goods'!$D$8*'R&amp;S - Packaging and hh goods'!$F$15*('R&amp;S - Packaging and hh goods'!$V$19+('R&amp;S - Packaging and hh goods'!$V$20-'R&amp;S - Packaging and hh goods'!$V$19)*(AX$3-$N$3)/10)</f>
        <v>4.6905531978812864E-2</v>
      </c>
      <c r="AY31" s="43">
        <f>AY29*'R&amp;S - Packaging and hh goods'!$D$8*'R&amp;S - Packaging and hh goods'!$F$15*('R&amp;S - Packaging and hh goods'!$V$19+('R&amp;S - Packaging and hh goods'!$V$20-'R&amp;S - Packaging and hh goods'!$V$19)*(AY$3-$N$3)/10)</f>
        <v>5.3327325720639425E-2</v>
      </c>
      <c r="AZ31" s="43">
        <f>AZ29*'R&amp;S - Packaging and hh goods'!$D$8*'R&amp;S - Packaging and hh goods'!$F$15*('R&amp;S - Packaging and hh goods'!$V$19+('R&amp;S - Packaging and hh goods'!$V$20-'R&amp;S - Packaging and hh goods'!$V$19)*(AZ$3-$N$3)/10)</f>
        <v>5.9919736202969288E-2</v>
      </c>
      <c r="BA31" s="43">
        <f>BA29*'R&amp;S - Packaging and hh goods'!$D$8*'R&amp;S - Packaging and hh goods'!$F$15*('R&amp;S - Packaging and hh goods'!$V$19+('R&amp;S - Packaging and hh goods'!$V$20-'R&amp;S - Packaging and hh goods'!$V$19)*(BA$3-$N$3)/10)</f>
        <v>6.6686282022963131E-2</v>
      </c>
      <c r="BB31" s="43">
        <f>BB29*'R&amp;S - Packaging and hh goods'!$D$8*'R&amp;S - Packaging and hh goods'!$F$15*('R&amp;S - Packaging and hh goods'!$V$19+('R&amp;S - Packaging and hh goods'!$V$20-'R&amp;S - Packaging and hh goods'!$V$19)*(BB$3-$N$3)/10)</f>
        <v>7.3630546857621035E-2</v>
      </c>
      <c r="BC31" s="43">
        <f>BC29*'R&amp;S - Packaging and hh goods'!$D$8*'R&amp;S - Packaging and hh goods'!$F$15*('R&amp;S - Packaging and hh goods'!$V$19+('R&amp;S - Packaging and hh goods'!$V$20-'R&amp;S - Packaging and hh goods'!$V$19)*(BC$3-$N$3)/10)</f>
        <v>8.0756180596372837E-2</v>
      </c>
      <c r="BD31" s="43">
        <f>BD29*'R&amp;S - Packaging and hh goods'!$D$8*'R&amp;S - Packaging and hh goods'!$F$15*('R&amp;S - Packaging and hh goods'!$V$19+('R&amp;S - Packaging and hh goods'!$V$20-'R&amp;S - Packaging and hh goods'!$V$19)*(BD$3-$N$3)/10)</f>
        <v>8.8066900492625624E-2</v>
      </c>
      <c r="BE31" s="43">
        <f>BE29*'R&amp;S - Packaging and hh goods'!$D$8*'R&amp;S - Packaging and hh goods'!$F$15*('R&amp;S - Packaging and hh goods'!$V$20+('R&amp;S - Packaging and hh goods'!$V$21-'R&amp;S - Packaging and hh goods'!$V$20)*(BE$3-$X$3)/10)</f>
        <v>9.6036491477205652E-2</v>
      </c>
      <c r="BF31" s="43">
        <f>BF29*'R&amp;S - Packaging and hh goods'!$D$8*'R&amp;S - Packaging and hh goods'!$F$15*('R&amp;S - Packaging and hh goods'!$V$20+('R&amp;S - Packaging and hh goods'!$V$21-'R&amp;S - Packaging and hh goods'!$V$20)*(BF$3-$X$3)/10)</f>
        <v>0.10421196989685734</v>
      </c>
      <c r="BG31" s="43">
        <f>BG29*'R&amp;S - Packaging and hh goods'!$D$8*'R&amp;S - Packaging and hh goods'!$F$15*('R&amp;S - Packaging and hh goods'!$V$20+('R&amp;S - Packaging and hh goods'!$V$21-'R&amp;S - Packaging and hh goods'!$V$20)*(BG$3-$X$3)/10)</f>
        <v>0.11259753855992977</v>
      </c>
      <c r="BH31" s="43">
        <f>BH29*'R&amp;S - Packaging and hh goods'!$D$8*'R&amp;S - Packaging and hh goods'!$F$15*('R&amp;S - Packaging and hh goods'!$V$20+('R&amp;S - Packaging and hh goods'!$V$21-'R&amp;S - Packaging and hh goods'!$V$20)*(BH$3-$X$3)/10)</f>
        <v>0.12119747759946847</v>
      </c>
      <c r="BI31" s="43">
        <f>BI29*'R&amp;S - Packaging and hh goods'!$D$8*'R&amp;S - Packaging and hh goods'!$F$15*('R&amp;S - Packaging and hh goods'!$V$20+('R&amp;S - Packaging and hh goods'!$V$21-'R&amp;S - Packaging and hh goods'!$V$20)*(BI$3-$X$3)/10)</f>
        <v>0.13001614581455645</v>
      </c>
      <c r="BJ31" s="43">
        <f>BJ29*'R&amp;S - Packaging and hh goods'!$D$8*'R&amp;S - Packaging and hh goods'!$F$15*('R&amp;S - Packaging and hh goods'!$V$20+('R&amp;S - Packaging and hh goods'!$V$21-'R&amp;S - Packaging and hh goods'!$V$20)*(BJ$3-$X$3)/10)</f>
        <v>0.13905798203405748</v>
      </c>
      <c r="BK31" s="43">
        <f>BK29*'R&amp;S - Packaging and hh goods'!$D$8*'R&amp;S - Packaging and hh goods'!$F$15*('R&amp;S - Packaging and hh goods'!$V$20+('R&amp;S - Packaging and hh goods'!$V$21-'R&amp;S - Packaging and hh goods'!$V$20)*(BK$3-$X$3)/10)</f>
        <v>0.14832750650312482</v>
      </c>
      <c r="BL31" s="43">
        <f>BL29*'R&amp;S - Packaging and hh goods'!$D$8*'R&amp;S - Packaging and hh goods'!$F$15*('R&amp;S - Packaging and hh goods'!$V$20+('R&amp;S - Packaging and hh goods'!$V$21-'R&amp;S - Packaging and hh goods'!$V$20)*(BL$3-$X$3)/10)</f>
        <v>0.15782932229284738</v>
      </c>
      <c r="BM31" s="43">
        <f>BM29*'R&amp;S - Packaging and hh goods'!$D$8*'R&amp;S - Packaging and hh goods'!$F$15*('R&amp;S - Packaging and hh goods'!$V$20+('R&amp;S - Packaging and hh goods'!$V$21-'R&amp;S - Packaging and hh goods'!$V$20)*(BM$3-$X$3)/10)</f>
        <v>0.1675681167334076</v>
      </c>
      <c r="BN31" s="43">
        <f>BN29*'R&amp;S - Packaging and hh goods'!$D$8*'R&amp;S - Packaging and hh goods'!$F$15*('R&amp;S - Packaging and hh goods'!$V$20+('R&amp;S - Packaging and hh goods'!$V$21-'R&amp;S - Packaging and hh goods'!$V$20)*(BN$3-$X$3)/10)</f>
        <v>0.17754866287113408</v>
      </c>
      <c r="BQ31" s="1" t="s">
        <v>201</v>
      </c>
      <c r="BR31" t="s">
        <v>179</v>
      </c>
      <c r="BS31" s="44">
        <f>D5</f>
        <v>31.201972235932139</v>
      </c>
      <c r="BU31" t="str" cm="1">
        <f t="array" ref="BU31:BW35">'Sankey Methanol_detailed'!Q21:S25</f>
        <v>Fuel</v>
      </c>
      <c r="BV31" s="44">
        <v>28.587862624213781</v>
      </c>
      <c r="BW31" s="2">
        <v>0.27471012342412782</v>
      </c>
    </row>
    <row r="32" spans="1:87" x14ac:dyDescent="0.2">
      <c r="B32" s="1" t="s">
        <v>168</v>
      </c>
      <c r="C32" s="54" t="s">
        <v>153</v>
      </c>
      <c r="D32" s="43">
        <f>SUM(D30:D31)</f>
        <v>0</v>
      </c>
      <c r="E32" s="43">
        <f t="shared" ref="E32:Y32" si="267">SUM(E30:E31)</f>
        <v>3.3889654969139573E-3</v>
      </c>
      <c r="F32" s="43">
        <f t="shared" si="267"/>
        <v>6.8728220277415059E-3</v>
      </c>
      <c r="G32" s="43">
        <f t="shared" si="267"/>
        <v>1.045356230419483E-2</v>
      </c>
      <c r="H32" s="43">
        <f t="shared" si="267"/>
        <v>1.4133216235271412E-2</v>
      </c>
      <c r="I32" s="43">
        <f t="shared" si="267"/>
        <v>1.7913851578206515E-2</v>
      </c>
      <c r="J32" s="43">
        <f t="shared" si="267"/>
        <v>2.1797574600361684E-2</v>
      </c>
      <c r="K32" s="43">
        <f t="shared" si="267"/>
        <v>2.5786530752227879E-2</v>
      </c>
      <c r="L32" s="43">
        <f t="shared" si="267"/>
        <v>2.9882905351724647E-2</v>
      </c>
      <c r="M32" s="43">
        <f t="shared" si="267"/>
        <v>3.4088924279979893E-2</v>
      </c>
      <c r="N32" s="43">
        <f t="shared" si="267"/>
        <v>3.8406854688777352E-2</v>
      </c>
      <c r="O32" s="43">
        <f t="shared" si="267"/>
        <v>5.1810069753659704E-2</v>
      </c>
      <c r="P32" s="43">
        <f t="shared" ref="P32:X32" si="268">SUM(P30:P31)</f>
        <v>6.558104709683979E-2</v>
      </c>
      <c r="Q32" s="43">
        <f t="shared" si="268"/>
        <v>7.9727457031957175E-2</v>
      </c>
      <c r="R32" s="43">
        <f t="shared" si="268"/>
        <v>9.4257112560026862E-2</v>
      </c>
      <c r="S32" s="43">
        <f t="shared" si="268"/>
        <v>0.10917797186130426</v>
      </c>
      <c r="T32" s="43">
        <f t="shared" si="268"/>
        <v>0.12449814082895563</v>
      </c>
      <c r="U32" s="43">
        <f t="shared" si="268"/>
        <v>0.14022587564521646</v>
      </c>
      <c r="V32" s="43">
        <f t="shared" si="268"/>
        <v>0.15636958540073009</v>
      </c>
      <c r="W32" s="43">
        <f t="shared" si="268"/>
        <v>0.17293783475777166</v>
      </c>
      <c r="X32" s="43">
        <f t="shared" si="268"/>
        <v>0.18993934665807183</v>
      </c>
      <c r="Y32" s="43">
        <f t="shared" si="267"/>
        <v>0.20803578166295272</v>
      </c>
      <c r="Z32" s="43">
        <f t="shared" ref="Z32:AH32" si="269">SUM(Z30:Z31)</f>
        <v>0.22660168873602526</v>
      </c>
      <c r="AA32" s="43">
        <f t="shared" si="269"/>
        <v>0.24564666619393793</v>
      </c>
      <c r="AB32" s="43">
        <f t="shared" si="269"/>
        <v>0.26518048908967989</v>
      </c>
      <c r="AC32" s="43">
        <f t="shared" si="269"/>
        <v>0.28521311227992857</v>
      </c>
      <c r="AD32" s="43">
        <f t="shared" si="269"/>
        <v>0.30575467354364272</v>
      </c>
      <c r="AE32" s="43">
        <f t="shared" si="269"/>
        <v>0.32681549675273391</v>
      </c>
      <c r="AF32" s="43">
        <f t="shared" si="269"/>
        <v>0.34840609509566517</v>
      </c>
      <c r="AG32" s="43">
        <f t="shared" si="269"/>
        <v>0.37053717435483502</v>
      </c>
      <c r="AH32" s="43">
        <f t="shared" si="269"/>
        <v>0.39321963623862277</v>
      </c>
      <c r="AJ32" s="43">
        <f>SUM(AJ30:AJ31)</f>
        <v>0</v>
      </c>
      <c r="AK32" s="43">
        <f t="shared" ref="AK32:BN32" si="270">SUM(AK30:AK31)</f>
        <v>2.4400551577780493E-3</v>
      </c>
      <c r="AL32" s="43">
        <f t="shared" si="270"/>
        <v>4.9484318599738843E-3</v>
      </c>
      <c r="AM32" s="43">
        <f t="shared" si="270"/>
        <v>7.526564859020278E-3</v>
      </c>
      <c r="AN32" s="43">
        <f t="shared" si="270"/>
        <v>1.0175915689395416E-2</v>
      </c>
      <c r="AO32" s="43">
        <f t="shared" si="270"/>
        <v>1.2897973136308692E-2</v>
      </c>
      <c r="AP32" s="43">
        <f t="shared" si="270"/>
        <v>1.5694253712260416E-2</v>
      </c>
      <c r="AQ32" s="43">
        <f t="shared" si="270"/>
        <v>1.8566302141604069E-2</v>
      </c>
      <c r="AR32" s="43">
        <f t="shared" si="270"/>
        <v>2.1515691853241745E-2</v>
      </c>
      <c r="AS32" s="43">
        <f t="shared" si="270"/>
        <v>2.4544025481585525E-2</v>
      </c>
      <c r="AT32" s="43">
        <f t="shared" si="270"/>
        <v>2.7652935375919695E-2</v>
      </c>
      <c r="AU32" s="43">
        <f t="shared" si="270"/>
        <v>3.730325022263499E-2</v>
      </c>
      <c r="AV32" s="43">
        <f t="shared" si="270"/>
        <v>4.7218353909724647E-2</v>
      </c>
      <c r="AW32" s="43">
        <f t="shared" si="270"/>
        <v>5.7403769063009161E-2</v>
      </c>
      <c r="AX32" s="43">
        <f t="shared" si="270"/>
        <v>6.7865121043219345E-2</v>
      </c>
      <c r="AY32" s="43">
        <f t="shared" si="270"/>
        <v>7.8608139740139055E-2</v>
      </c>
      <c r="AZ32" s="43">
        <f t="shared" si="270"/>
        <v>8.9638661396848063E-2</v>
      </c>
      <c r="BA32" s="43">
        <f t="shared" si="270"/>
        <v>0.10096263046455584</v>
      </c>
      <c r="BB32" s="43">
        <f t="shared" si="270"/>
        <v>0.11258610148852567</v>
      </c>
      <c r="BC32" s="43">
        <f t="shared" si="270"/>
        <v>0.12451524102559558</v>
      </c>
      <c r="BD32" s="43">
        <f t="shared" si="270"/>
        <v>0.13675632959381173</v>
      </c>
      <c r="BE32" s="43">
        <f t="shared" si="270"/>
        <v>0.14978576279732597</v>
      </c>
      <c r="BF32" s="43">
        <f t="shared" si="270"/>
        <v>0.16315321588993817</v>
      </c>
      <c r="BG32" s="43">
        <f t="shared" si="270"/>
        <v>0.17686559965963528</v>
      </c>
      <c r="BH32" s="43">
        <f t="shared" si="270"/>
        <v>0.19092995214456951</v>
      </c>
      <c r="BI32" s="43">
        <f t="shared" si="270"/>
        <v>0.20535344084154855</v>
      </c>
      <c r="BJ32" s="43">
        <f t="shared" si="270"/>
        <v>0.22014336495142278</v>
      </c>
      <c r="BK32" s="43">
        <f t="shared" si="270"/>
        <v>0.23530715766196844</v>
      </c>
      <c r="BL32" s="43">
        <f t="shared" si="270"/>
        <v>0.25085238846887892</v>
      </c>
      <c r="BM32" s="43">
        <f t="shared" si="270"/>
        <v>0.2667867655354812</v>
      </c>
      <c r="BN32" s="43">
        <f t="shared" si="270"/>
        <v>0.28311813809180841</v>
      </c>
      <c r="BR32" t="s">
        <v>187</v>
      </c>
      <c r="BS32" s="44">
        <f>D11</f>
        <v>28.065001267929215</v>
      </c>
      <c r="BU32" t="str">
        <v>Major Polymers</v>
      </c>
      <c r="BV32" s="44">
        <v>28.851572700948026</v>
      </c>
      <c r="BW32" s="2">
        <v>0.27724419981452192</v>
      </c>
    </row>
    <row r="33" spans="1:75" x14ac:dyDescent="0.2">
      <c r="B33" s="61" t="s">
        <v>202</v>
      </c>
      <c r="C33" s="54" t="s">
        <v>153</v>
      </c>
      <c r="D33" s="43">
        <v>0</v>
      </c>
      <c r="E33" s="43">
        <f>E29*'R&amp;S - Packaging and hh goods'!$D$9*('R&amp;S - Packaging and hh goods'!$G$14*'R&amp;S - Packaging and hh goods'!$W$19*(E$3-$D$3)/10)</f>
        <v>2.0039874817493835E-3</v>
      </c>
      <c r="F33" s="43">
        <f>F29*'R&amp;S - Packaging and hh goods'!$D$9*('R&amp;S - Packaging and hh goods'!$G$14*'R&amp;S - Packaging and hh goods'!$W$19*('Yearly Methanol'!F$3-'Yearly Methanol'!$D$3)/10)</f>
        <v>4.0640866129877497E-3</v>
      </c>
      <c r="G33" s="43">
        <f>G29*'R&amp;S - Packaging and hh goods'!$D$9*('R&amp;S - Packaging and hh goods'!$G$14*'R&amp;S - Packaging and hh goods'!$W$19*('Yearly Methanol'!G$3-'Yearly Methanol'!$D$3)/10)</f>
        <v>6.1814757383543669E-3</v>
      </c>
      <c r="H33" s="43">
        <f>H29*'R&amp;S - Packaging and hh goods'!$D$9*('R&amp;S - Packaging and hh goods'!$G$14*'R&amp;S - Packaging and hh goods'!$W$19*('Yearly Methanol'!H$3-'Yearly Methanol'!$D$3)/10)</f>
        <v>8.3573551982551036E-3</v>
      </c>
      <c r="I33" s="43">
        <f>I29*'R&amp;S - Packaging and hh goods'!$D$9*('R&amp;S - Packaging and hh goods'!$G$14*'R&amp;S - Packaging and hh goods'!$W$19*('Yearly Methanol'!I$3-'Yearly Methanol'!$D$3)/10)</f>
        <v>1.0592947713788345E-2</v>
      </c>
      <c r="J33" s="43">
        <f>J29*'R&amp;S - Packaging and hh goods'!$D$9*('R&amp;S - Packaging and hh goods'!$G$14*'R&amp;S - Packaging and hh goods'!$W$19*('Yearly Methanol'!J$3-'Yearly Methanol'!$D$3)/10)</f>
        <v>1.2889498778137658E-2</v>
      </c>
      <c r="K33" s="43">
        <f>K29*'R&amp;S - Packaging and hh goods'!$D$9*('R&amp;S - Packaging and hh goods'!$G$14*'R&amp;S - Packaging and hh goods'!$W$19*('Yearly Methanol'!K$3-'Yearly Methanol'!$D$3)/10)</f>
        <v>1.5248277054536848E-2</v>
      </c>
      <c r="L33" s="43">
        <f>L29*'R&amp;S - Packaging and hh goods'!$D$9*('R&amp;S - Packaging and hh goods'!$G$14*'R&amp;S - Packaging and hh goods'!$W$19*('Yearly Methanol'!L$3-'Yearly Methanol'!$D$3)/10)</f>
        <v>1.7670574780914706E-2</v>
      </c>
      <c r="M33" s="43">
        <f>M29*'R&amp;S - Packaging and hh goods'!$D$9*('R&amp;S - Packaging and hh goods'!$G$14*'R&amp;S - Packaging and hh goods'!$W$19*('Yearly Methanol'!M$3-'Yearly Methanol'!$D$3)/10)</f>
        <v>2.0157708181328452E-2</v>
      </c>
      <c r="N33" s="43">
        <f>N29*'R&amp;S - Packaging and hh goods'!$D$9*('R&amp;S - Packaging and hh goods'!$G$14*'R&amp;S - Packaging and hh goods'!$W$19*('Yearly Methanol'!N$3-'Yearly Methanol'!$D$3)/10)</f>
        <v>2.2711017884296723E-2</v>
      </c>
      <c r="O33" s="43">
        <f>O29*'R&amp;S - Packaging and hh goods'!$D$9*'R&amp;S - Packaging and hh goods'!$G$14*('R&amp;S - Packaging and hh goods'!$W$19+('R&amp;S - Packaging and hh goods'!$W$20-'R&amp;S - Packaging and hh goods'!$W$19)*('Yearly Methanol'!O$3-'Yearly Methanol'!$N$3)/10)</f>
        <v>2.6621491787686462E-2</v>
      </c>
      <c r="P33" s="43">
        <f>P29*'R&amp;S - Packaging and hh goods'!$D$9*'R&amp;S - Packaging and hh goods'!$G$14*('R&amp;S - Packaging and hh goods'!$W$19+('R&amp;S - Packaging and hh goods'!$W$20-'R&amp;S - Packaging and hh goods'!$W$19)*('Yearly Methanol'!P$3-'Yearly Methanol'!$N$3)/10)</f>
        <v>3.0637007600865806E-2</v>
      </c>
      <c r="Q33" s="43">
        <f>Q29*'R&amp;S - Packaging and hh goods'!$D$9*'R&amp;S - Packaging and hh goods'!$G$14*('R&amp;S - Packaging and hh goods'!$W$19+('R&amp;S - Packaging and hh goods'!$W$20-'R&amp;S - Packaging and hh goods'!$W$19)*('Yearly Methanol'!Q$3-'Yearly Methanol'!$N$3)/10)</f>
        <v>3.4759740044423781E-2</v>
      </c>
      <c r="R33" s="43">
        <f>R29*'R&amp;S - Packaging and hh goods'!$D$9*'R&amp;S - Packaging and hh goods'!$G$14*('R&amp;S - Packaging and hh goods'!$W$19+('R&amp;S - Packaging and hh goods'!$W$20-'R&amp;S - Packaging and hh goods'!$W$19)*('Yearly Methanol'!R$3-'Yearly Methanol'!$N$3)/10)</f>
        <v>3.8991904142911607E-2</v>
      </c>
      <c r="S33" s="43">
        <f>S29*'R&amp;S - Packaging and hh goods'!$D$9*'R&amp;S - Packaging and hh goods'!$G$14*('R&amp;S - Packaging and hh goods'!$W$19+('R&amp;S - Packaging and hh goods'!$W$20-'R&amp;S - Packaging and hh goods'!$W$19)*('Yearly Methanol'!S$3-'Yearly Methanol'!$N$3)/10)</f>
        <v>4.333575592710838E-2</v>
      </c>
      <c r="T33" s="43">
        <f>T29*'R&amp;S - Packaging and hh goods'!$D$9*'R&amp;S - Packaging and hh goods'!$G$14*('R&amp;S - Packaging and hh goods'!$W$19+('R&amp;S - Packaging and hh goods'!$W$20-'R&amp;S - Packaging and hh goods'!$W$19)*('Yearly Methanol'!T$3-'Yearly Methanol'!$N$3)/10)</f>
        <v>4.779359314805065E-2</v>
      </c>
      <c r="U33" s="43">
        <f>U29*'R&amp;S - Packaging and hh goods'!$D$9*'R&amp;S - Packaging and hh goods'!$G$14*('R&amp;S - Packaging and hh goods'!$W$19+('R&amp;S - Packaging and hh goods'!$W$20-'R&amp;S - Packaging and hh goods'!$W$19)*('Yearly Methanol'!U$3-'Yearly Methanol'!$N$3)/10)</f>
        <v>5.2367756003017608E-2</v>
      </c>
      <c r="V33" s="43">
        <f>V29*'R&amp;S - Packaging and hh goods'!$D$9*'R&amp;S - Packaging and hh goods'!$G$14*('R&amp;S - Packaging and hh goods'!$W$19+('R&amp;S - Packaging and hh goods'!$W$20-'R&amp;S - Packaging and hh goods'!$W$19)*('Yearly Methanol'!V$3-'Yearly Methanol'!$N$3)/10)</f>
        <v>5.7060627873666614E-2</v>
      </c>
      <c r="W33" s="43">
        <f>W29*'R&amp;S - Packaging and hh goods'!$D$9*'R&amp;S - Packaging and hh goods'!$G$14*('R&amp;S - Packaging and hh goods'!$W$19+('R&amp;S - Packaging and hh goods'!$W$20-'R&amp;S - Packaging and hh goods'!$W$19)*('Yearly Methanol'!W$3-'Yearly Methanol'!$N$3)/10)</f>
        <v>6.1874636076517192E-2</v>
      </c>
      <c r="X33" s="43">
        <f>X29*'R&amp;S - Packaging and hh goods'!$D$9*'R&amp;S - Packaging and hh goods'!$G$14*('R&amp;S - Packaging and hh goods'!$W$19+('R&amp;S - Packaging and hh goods'!$W$20-'R&amp;S - Packaging and hh goods'!$W$19)*('Yearly Methanol'!X$3-'Yearly Methanol'!$N$3)/10)</f>
        <v>6.6812252625984364E-2</v>
      </c>
      <c r="Y33" s="43">
        <f>Y29*'R&amp;S - Packaging and hh goods'!$D$9*'R&amp;S - Packaging and hh goods'!$G$14*('R&amp;S - Packaging and hh goods'!$W$20+('R&amp;S - Packaging and hh goods'!$W$21-'R&amp;S - Packaging and hh goods'!$W$20)*('Yearly Methanol'!Y$3-'Yearly Methanol'!$X$3)/10)</f>
        <v>7.1558428021902723E-2</v>
      </c>
      <c r="Z33" s="43">
        <f>Z29*'R&amp;S - Packaging and hh goods'!$D$9*'R&amp;S - Packaging and hh goods'!$G$14*('R&amp;S - Packaging and hh goods'!$W$20+('R&amp;S - Packaging and hh goods'!$W$21-'R&amp;S - Packaging and hh goods'!$W$20)*('Yearly Methanol'!Z$3-'Yearly Methanol'!$X$3)/10)</f>
        <v>7.64244011273921E-2</v>
      </c>
      <c r="AA33" s="43">
        <f>AA29*'R&amp;S - Packaging and hh goods'!$D$9*'R&amp;S - Packaging and hh goods'!$G$14*('R&amp;S - Packaging and hh goods'!$W$20+('R&amp;S - Packaging and hh goods'!$W$21-'R&amp;S - Packaging and hh goods'!$W$20)*('Yearly Methanol'!AA$3-'Yearly Methanol'!$X$3)/10)</f>
        <v>8.1412596027942888E-2</v>
      </c>
      <c r="AB33" s="43">
        <f>AB29*'R&amp;S - Packaging and hh goods'!$D$9*'R&amp;S - Packaging and hh goods'!$G$14*('R&amp;S - Packaging and hh goods'!$W$20+('R&amp;S - Packaging and hh goods'!$W$21-'R&amp;S - Packaging and hh goods'!$W$20)*('Yearly Methanol'!AB$3-'Yearly Methanol'!$X$3)/10)</f>
        <v>8.6525481203088145E-2</v>
      </c>
      <c r="AC33" s="43">
        <f>AC29*'R&amp;S - Packaging and hh goods'!$D$9*'R&amp;S - Packaging and hh goods'!$G$14*('R&amp;S - Packaging and hh goods'!$W$20+('R&amp;S - Packaging and hh goods'!$W$21-'R&amp;S - Packaging and hh goods'!$W$20)*('Yearly Methanol'!AC$3-'Yearly Methanol'!$X$3)/10)</f>
        <v>9.1765570294315993E-2</v>
      </c>
      <c r="AD33" s="43">
        <f>AD29*'R&amp;S - Packaging and hh goods'!$D$9*'R&amp;S - Packaging and hh goods'!$G$14*('R&amp;S - Packaging and hh goods'!$W$20+('R&amp;S - Packaging and hh goods'!$W$21-'R&amp;S - Packaging and hh goods'!$W$20)*('Yearly Methanol'!AD$3-'Yearly Methanol'!$X$3)/10)</f>
        <v>9.7135422885782419E-2</v>
      </c>
      <c r="AE33" s="43">
        <f>AE29*'R&amp;S - Packaging and hh goods'!$D$9*'R&amp;S - Packaging and hh goods'!$G$14*('R&amp;S - Packaging and hh goods'!$W$20+('R&amp;S - Packaging and hh goods'!$W$21-'R&amp;S - Packaging and hh goods'!$W$20)*('Yearly Methanol'!AE$3-'Yearly Methanol'!$X$3)/10)</f>
        <v>0.10263764529803221</v>
      </c>
      <c r="AF33" s="43">
        <f>AF29*'R&amp;S - Packaging and hh goods'!$D$9*'R&amp;S - Packaging and hh goods'!$G$14*('R&amp;S - Packaging and hh goods'!$W$20+('R&amp;S - Packaging and hh goods'!$W$21-'R&amp;S - Packaging and hh goods'!$W$20)*('Yearly Methanol'!AF$3-'Yearly Methanol'!$X$3)/10)</f>
        <v>0.10827489139493936</v>
      </c>
      <c r="AG33" s="43">
        <f>AG29*'R&amp;S - Packaging and hh goods'!$D$9*'R&amp;S - Packaging and hh goods'!$G$14*('R&amp;S - Packaging and hh goods'!$W$20+('R&amp;S - Packaging and hh goods'!$W$21-'R&amp;S - Packaging and hh goods'!$W$20)*('Yearly Methanol'!AG$3-'Yearly Methanol'!$X$3)/10)</f>
        <v>0.11404986340408152</v>
      </c>
      <c r="AH33" s="43">
        <f>AH29*'R&amp;S - Packaging and hh goods'!$D$9*'R&amp;S - Packaging and hh goods'!$G$14*('R&amp;S - Packaging and hh goods'!$W$20+('R&amp;S - Packaging and hh goods'!$W$21-'R&amp;S - Packaging and hh goods'!$W$20)*('Yearly Methanol'!AH$3-'Yearly Methanol'!$X$3)/10)</f>
        <v>0.11996531275076627</v>
      </c>
      <c r="AJ33" s="43">
        <v>0</v>
      </c>
      <c r="AK33" s="43">
        <f>AK29*'R&amp;S - Packaging and hh goods'!$D$9*('R&amp;S - Packaging and hh goods'!$G$15*'R&amp;S - Packaging and hh goods'!$W$19*(AK$3-$D$3)/10)</f>
        <v>1.6432697350344939E-3</v>
      </c>
      <c r="AL33" s="43">
        <f>AL29*'R&amp;S - Packaging and hh goods'!$D$9*('R&amp;S - Packaging and hh goods'!$G$15*'R&amp;S - Packaging and hh goods'!$W$19*('Yearly Methanol'!AL$3-'Yearly Methanol'!$D$3)/10)</f>
        <v>3.3325510226499544E-3</v>
      </c>
      <c r="AM33" s="43">
        <f>AM29*'R&amp;S - Packaging and hh goods'!$D$9*('R&amp;S - Packaging and hh goods'!$G$15*'R&amp;S - Packaging and hh goods'!$W$19*('Yearly Methanol'!AM$3-'Yearly Methanol'!$D$3)/10)</f>
        <v>5.0688101054505814E-3</v>
      </c>
      <c r="AN33" s="43">
        <f>AN29*'R&amp;S - Packaging and hh goods'!$D$9*('R&amp;S - Packaging and hh goods'!$G$15*'R&amp;S - Packaging and hh goods'!$W$19*('Yearly Methanol'!AN$3-'Yearly Methanol'!$D$3)/10)</f>
        <v>6.8530312625691842E-3</v>
      </c>
      <c r="AO33" s="43">
        <f>AO29*'R&amp;S - Packaging and hh goods'!$D$9*('R&amp;S - Packaging and hh goods'!$G$15*'R&amp;S - Packaging and hh goods'!$W$19*('Yearly Methanol'!AO$3-'Yearly Methanol'!$D$3)/10)</f>
        <v>8.6862171253064419E-3</v>
      </c>
      <c r="AP33" s="43">
        <f>AP29*'R&amp;S - Packaging and hh goods'!$D$9*('R&amp;S - Packaging and hh goods'!$G$15*'R&amp;S - Packaging and hh goods'!$W$19*('Yearly Methanol'!AP$3-'Yearly Methanol'!$D$3)/10)</f>
        <v>1.056938899807288E-2</v>
      </c>
      <c r="AQ33" s="43">
        <f>AQ29*'R&amp;S - Packaging and hh goods'!$D$9*('R&amp;S - Packaging and hh goods'!$G$15*'R&amp;S - Packaging and hh goods'!$W$19*('Yearly Methanol'!AQ$3-'Yearly Methanol'!$D$3)/10)</f>
        <v>1.2503587184720217E-2</v>
      </c>
      <c r="AR33" s="43">
        <f>AR29*'R&amp;S - Packaging and hh goods'!$D$9*('R&amp;S - Packaging and hh goods'!$G$15*'R&amp;S - Packaging and hh goods'!$W$19*('Yearly Methanol'!AR$3-'Yearly Methanol'!$D$3)/10)</f>
        <v>1.4489871320350057E-2</v>
      </c>
      <c r="AS33" s="43">
        <f>AS29*'R&amp;S - Packaging and hh goods'!$D$9*('R&amp;S - Packaging and hh goods'!$G$15*'R&amp;S - Packaging and hh goods'!$W$19*('Yearly Methanol'!AS$3-'Yearly Methanol'!$D$3)/10)</f>
        <v>1.6529320708689333E-2</v>
      </c>
      <c r="AT33" s="43">
        <f>AT29*'R&amp;S - Packaging and hh goods'!$D$9*('R&amp;S - Packaging and hh goods'!$G$15*'R&amp;S - Packaging and hh goods'!$W$19*('Yearly Methanol'!AT$3-'Yearly Methanol'!$D$3)/10)</f>
        <v>1.8623034665123311E-2</v>
      </c>
      <c r="AU33" s="43">
        <f>AU29*'R&amp;S - Packaging and hh goods'!$D$9*'R&amp;S - Packaging and hh goods'!$G$15*('R&amp;S - Packaging and hh goods'!$W$19+('R&amp;S - Packaging and hh goods'!$W$20-'R&amp;S - Packaging and hh goods'!$W$19)*('Yearly Methanol'!AU$3-'Yearly Methanol'!$N$3)/10)</f>
        <v>2.1829623265902896E-2</v>
      </c>
      <c r="AV33" s="43">
        <f>AV29*'R&amp;S - Packaging and hh goods'!$D$9*'R&amp;S - Packaging and hh goods'!$G$15*('R&amp;S - Packaging and hh goods'!$W$19+('R&amp;S - Packaging and hh goods'!$W$20-'R&amp;S - Packaging and hh goods'!$W$19)*('Yearly Methanol'!AV$3-'Yearly Methanol'!$N$3)/10)</f>
        <v>2.5122346232709963E-2</v>
      </c>
      <c r="AW33" s="43">
        <f>AW29*'R&amp;S - Packaging and hh goods'!$D$9*'R&amp;S - Packaging and hh goods'!$G$15*('R&amp;S - Packaging and hh goods'!$W$19+('R&amp;S - Packaging and hh goods'!$W$20-'R&amp;S - Packaging and hh goods'!$W$19)*('Yearly Methanol'!AW$3-'Yearly Methanol'!$N$3)/10)</f>
        <v>2.8502986836427494E-2</v>
      </c>
      <c r="AX33" s="43">
        <f>AX29*'R&amp;S - Packaging and hh goods'!$D$9*'R&amp;S - Packaging and hh goods'!$G$15*('R&amp;S - Packaging and hh goods'!$W$19+('R&amp;S - Packaging and hh goods'!$W$20-'R&amp;S - Packaging and hh goods'!$W$19)*('Yearly Methanol'!AX$3-'Yearly Methanol'!$N$3)/10)</f>
        <v>3.1973361397187518E-2</v>
      </c>
      <c r="AY33" s="43">
        <f>AY29*'R&amp;S - Packaging and hh goods'!$D$9*'R&amp;S - Packaging and hh goods'!$G$15*('R&amp;S - Packaging and hh goods'!$W$19+('R&amp;S - Packaging and hh goods'!$W$20-'R&amp;S - Packaging and hh goods'!$W$19)*('Yearly Methanol'!AY$3-'Yearly Methanol'!$N$3)/10)</f>
        <v>3.553531986022887E-2</v>
      </c>
      <c r="AZ33" s="43">
        <f>AZ29*'R&amp;S - Packaging and hh goods'!$D$9*'R&amp;S - Packaging and hh goods'!$G$15*('R&amp;S - Packaging and hh goods'!$W$19+('R&amp;S - Packaging and hh goods'!$W$20-'R&amp;S - Packaging and hh goods'!$W$19)*('Yearly Methanol'!AZ$3-'Yearly Methanol'!$N$3)/10)</f>
        <v>3.9190746381401534E-2</v>
      </c>
      <c r="BA33" s="43">
        <f>BA29*'R&amp;S - Packaging and hh goods'!$D$9*'R&amp;S - Packaging and hh goods'!$G$15*('R&amp;S - Packaging and hh goods'!$W$19+('R&amp;S - Packaging and hh goods'!$W$20-'R&amp;S - Packaging and hh goods'!$W$19)*('Yearly Methanol'!BA$3-'Yearly Methanol'!$N$3)/10)</f>
        <v>4.2941559922474434E-2</v>
      </c>
      <c r="BB33" s="43">
        <f>BB29*'R&amp;S - Packaging and hh goods'!$D$9*'R&amp;S - Packaging and hh goods'!$G$15*('R&amp;S - Packaging and hh goods'!$W$19+('R&amp;S - Packaging and hh goods'!$W$20-'R&amp;S - Packaging and hh goods'!$W$19)*('Yearly Methanol'!BB$3-'Yearly Methanol'!$N$3)/10)</f>
        <v>4.6789714856406622E-2</v>
      </c>
      <c r="BC33" s="43">
        <f>BC29*'R&amp;S - Packaging and hh goods'!$D$9*'R&amp;S - Packaging and hh goods'!$G$15*('R&amp;S - Packaging and hh goods'!$W$19+('R&amp;S - Packaging and hh goods'!$W$20-'R&amp;S - Packaging and hh goods'!$W$19)*('Yearly Methanol'!BC$3-'Yearly Methanol'!$N$3)/10)</f>
        <v>5.0737201582744092E-2</v>
      </c>
      <c r="BD33" s="43">
        <f>BD29*'R&amp;S - Packaging and hh goods'!$D$9*'R&amp;S - Packaging and hh goods'!$G$15*('R&amp;S - Packaging and hh goods'!$W$19+('R&amp;S - Packaging and hh goods'!$W$20-'R&amp;S - Packaging and hh goods'!$W$19)*('Yearly Methanol'!BD$3-'Yearly Methanol'!$N$3)/10)</f>
        <v>5.478604715330717E-2</v>
      </c>
      <c r="BE33" s="43">
        <f>BE29*'R&amp;S - Packaging and hh goods'!$D$9*'R&amp;S - Packaging and hh goods'!$G$15*('R&amp;S - Packaging and hh goods'!$W$20+('R&amp;S - Packaging and hh goods'!$W$21-'R&amp;S - Packaging and hh goods'!$W$20)*('Yearly Methanol'!BE$3-'Yearly Methanol'!$X$3)/10)</f>
        <v>5.8677910977960226E-2</v>
      </c>
      <c r="BF33" s="43">
        <f>BF29*'R&amp;S - Packaging and hh goods'!$D$9*'R&amp;S - Packaging and hh goods'!$G$15*('R&amp;S - Packaging and hh goods'!$W$20+('R&amp;S - Packaging and hh goods'!$W$21-'R&amp;S - Packaging and hh goods'!$W$20)*('Yearly Methanol'!BF$3-'Yearly Methanol'!$X$3)/10)</f>
        <v>6.2668008924461518E-2</v>
      </c>
      <c r="BG33" s="43">
        <f>BG29*'R&amp;S - Packaging and hh goods'!$D$9*'R&amp;S - Packaging and hh goods'!$G$15*('R&amp;S - Packaging and hh goods'!$W$20+('R&amp;S - Packaging and hh goods'!$W$21-'R&amp;S - Packaging and hh goods'!$W$20)*('Yearly Methanol'!BG$3-'Yearly Methanol'!$X$3)/10)</f>
        <v>6.6758328742913167E-2</v>
      </c>
      <c r="BH33" s="43">
        <f>BH29*'R&amp;S - Packaging and hh goods'!$D$9*'R&amp;S - Packaging and hh goods'!$G$15*('R&amp;S - Packaging and hh goods'!$W$20+('R&amp;S - Packaging and hh goods'!$W$21-'R&amp;S - Packaging and hh goods'!$W$20)*('Yearly Methanol'!BH$3-'Yearly Methanol'!$X$3)/10)</f>
        <v>7.0950894586532268E-2</v>
      </c>
      <c r="BI33" s="43">
        <f>BI29*'R&amp;S - Packaging and hh goods'!$D$9*'R&amp;S - Packaging and hh goods'!$G$15*('R&amp;S - Packaging and hh goods'!$W$20+('R&amp;S - Packaging and hh goods'!$W$21-'R&amp;S - Packaging and hh goods'!$W$20)*('Yearly Methanol'!BI$3-'Yearly Methanol'!$X$3)/10)</f>
        <v>7.5247767641339114E-2</v>
      </c>
      <c r="BJ33" s="43">
        <f>BJ29*'R&amp;S - Packaging and hh goods'!$D$9*'R&amp;S - Packaging and hh goods'!$G$15*('R&amp;S - Packaging and hh goods'!$W$20+('R&amp;S - Packaging and hh goods'!$W$21-'R&amp;S - Packaging and hh goods'!$W$20)*('Yearly Methanol'!BJ$3-'Yearly Methanol'!$X$3)/10)</f>
        <v>7.9651046766341577E-2</v>
      </c>
      <c r="BK33" s="43">
        <f>BK29*'R&amp;S - Packaging and hh goods'!$D$9*'R&amp;S - Packaging and hh goods'!$G$15*('R&amp;S - Packaging and hh goods'!$W$20+('R&amp;S - Packaging and hh goods'!$W$21-'R&amp;S - Packaging and hh goods'!$W$20)*('Yearly Methanol'!BK$3-'Yearly Methanol'!$X$3)/10)</f>
        <v>8.4162869144386393E-2</v>
      </c>
      <c r="BL33" s="43">
        <f>BL29*'R&amp;S - Packaging and hh goods'!$D$9*'R&amp;S - Packaging and hh goods'!$G$15*('R&amp;S - Packaging and hh goods'!$W$20+('R&amp;S - Packaging and hh goods'!$W$21-'R&amp;S - Packaging and hh goods'!$W$20)*('Yearly Methanol'!BL$3-'Yearly Methanol'!$X$3)/10)</f>
        <v>8.8785410943850271E-2</v>
      </c>
      <c r="BM33" s="43">
        <f>BM29*'R&amp;S - Packaging and hh goods'!$D$9*'R&amp;S - Packaging and hh goods'!$G$15*('R&amp;S - Packaging and hh goods'!$W$20+('R&amp;S - Packaging and hh goods'!$W$21-'R&amp;S - Packaging and hh goods'!$W$20)*('Yearly Methanol'!BM$3-'Yearly Methanol'!$X$3)/10)</f>
        <v>9.3520887991346849E-2</v>
      </c>
      <c r="BN33" s="43">
        <f>BN29*'R&amp;S - Packaging and hh goods'!$D$9*'R&amp;S - Packaging and hh goods'!$G$15*('R&amp;S - Packaging and hh goods'!$W$20+('R&amp;S - Packaging and hh goods'!$W$21-'R&amp;S - Packaging and hh goods'!$W$20)*('Yearly Methanol'!BN$3-'Yearly Methanol'!$X$3)/10)</f>
        <v>9.8371556455628339E-2</v>
      </c>
      <c r="BR33" t="s">
        <v>190</v>
      </c>
      <c r="BS33" s="44" t="e">
        <f>#REF!</f>
        <v>#REF!</v>
      </c>
      <c r="BU33" t="str">
        <v>Minor Polymers</v>
      </c>
      <c r="BV33" s="44">
        <v>22.580763290736638</v>
      </c>
      <c r="BW33" s="2">
        <v>0.21698594092708512</v>
      </c>
    </row>
    <row r="34" spans="1:75" x14ac:dyDescent="0.2">
      <c r="B34" s="61" t="s">
        <v>203</v>
      </c>
      <c r="C34" s="54" t="s">
        <v>153</v>
      </c>
      <c r="D34" s="43">
        <v>0</v>
      </c>
      <c r="E34" s="43">
        <f>E29*'R&amp;S - Packaging and hh goods'!$D$10*('R&amp;S - Packaging and hh goods'!$G$14*'R&amp;S - Packaging and hh goods'!$X$19*(E$3-$D$3)/10)</f>
        <v>2.671983308999178E-3</v>
      </c>
      <c r="F34" s="43">
        <f>F29*'R&amp;S - Packaging and hh goods'!$D$10*('R&amp;S - Packaging and hh goods'!$G$14*'R&amp;S - Packaging and hh goods'!$X$19*('Yearly Methanol'!F$3-'Yearly Methanol'!$D$3)/10)</f>
        <v>5.4187821506503329E-3</v>
      </c>
      <c r="G34" s="43">
        <f>G29*'R&amp;S - Packaging and hh goods'!$D$10*('R&amp;S - Packaging and hh goods'!$G$14*'R&amp;S - Packaging and hh goods'!$X$19*('Yearly Methanol'!G$3-'Yearly Methanol'!$D$3)/10)</f>
        <v>8.2419676511391558E-3</v>
      </c>
      <c r="H34" s="43">
        <f>H29*'R&amp;S - Packaging and hh goods'!$D$10*('R&amp;S - Packaging and hh goods'!$G$14*'R&amp;S - Packaging and hh goods'!$X$19*('Yearly Methanol'!H$3-'Yearly Methanol'!$D$3)/10)</f>
        <v>1.1143140264340139E-2</v>
      </c>
      <c r="I34" s="43">
        <f>I29*'R&amp;S - Packaging and hh goods'!$D$10*('R&amp;S - Packaging and hh goods'!$G$14*'R&amp;S - Packaging and hh goods'!$X$19*('Yearly Methanol'!I$3-'Yearly Methanol'!$D$3)/10)</f>
        <v>1.4123930285051128E-2</v>
      </c>
      <c r="J34" s="43">
        <f>J29*'R&amp;S - Packaging and hh goods'!$D$10*('R&amp;S - Packaging and hh goods'!$G$14*'R&amp;S - Packaging and hh goods'!$X$19*('Yearly Methanol'!J$3-'Yearly Methanol'!$D$3)/10)</f>
        <v>1.7185998370850213E-2</v>
      </c>
      <c r="K34" s="43">
        <f>K29*'R&amp;S - Packaging and hh goods'!$D$10*('R&amp;S - Packaging and hh goods'!$G$14*'R&amp;S - Packaging and hh goods'!$X$19*('Yearly Methanol'!K$3-'Yearly Methanol'!$D$3)/10)</f>
        <v>2.0331036072715802E-2</v>
      </c>
      <c r="L34" s="43">
        <f>L29*'R&amp;S - Packaging and hh goods'!$D$10*('R&amp;S - Packaging and hh goods'!$G$14*'R&amp;S - Packaging and hh goods'!$X$19*('Yearly Methanol'!L$3-'Yearly Methanol'!$D$3)/10)</f>
        <v>2.3560766374552945E-2</v>
      </c>
      <c r="M34" s="43">
        <f>M29*'R&amp;S - Packaging and hh goods'!$D$10*('R&amp;S - Packaging and hh goods'!$G$14*'R&amp;S - Packaging and hh goods'!$X$19*('Yearly Methanol'!M$3-'Yearly Methanol'!$D$3)/10)</f>
        <v>2.6876944241771273E-2</v>
      </c>
      <c r="N34" s="43">
        <f>N29*'R&amp;S - Packaging and hh goods'!$D$10*('R&amp;S - Packaging and hh goods'!$G$14*'R&amp;S - Packaging and hh goods'!$X$19*('Yearly Methanol'!N$3-'Yearly Methanol'!$D$3)/10)</f>
        <v>3.0281357179062295E-2</v>
      </c>
      <c r="O34" s="43">
        <f>O29*'R&amp;S - Packaging and hh goods'!$D$10*'R&amp;S - Packaging and hh goods'!$G$14*('R&amp;S - Packaging and hh goods'!$X$19+('R&amp;S - Packaging and hh goods'!$X$20-'R&amp;S - Packaging and hh goods'!$X$19)*('Yearly Methanol'!O$3-'Yearly Methanol'!$N$3)/10)</f>
        <v>3.5694906808749149E-2</v>
      </c>
      <c r="P34" s="43">
        <f>P29*'R&amp;S - Packaging and hh goods'!$D$10*'R&amp;S - Packaging and hh goods'!$G$14*('R&amp;S - Packaging and hh goods'!$X$19+('R&amp;S - Packaging and hh goods'!$X$20-'R&amp;S - Packaging and hh goods'!$X$19)*('Yearly Methanol'!P$3-'Yearly Methanol'!$N$3)/10)</f>
        <v>4.125410068206016E-2</v>
      </c>
      <c r="Q34" s="43">
        <f>Q29*'R&amp;S - Packaging and hh goods'!$D$10*'R&amp;S - Packaging and hh goods'!$G$14*('R&amp;S - Packaging and hh goods'!$X$19+('R&amp;S - Packaging and hh goods'!$X$20-'R&amp;S - Packaging and hh goods'!$X$19)*('Yearly Methanol'!Q$3-'Yearly Methanol'!$N$3)/10)</f>
        <v>4.6961955782089344E-2</v>
      </c>
      <c r="R34" s="43">
        <f>R29*'R&amp;S - Packaging and hh goods'!$D$10*'R&amp;S - Packaging and hh goods'!$G$14*('R&amp;S - Packaging and hh goods'!$X$19+('R&amp;S - Packaging and hh goods'!$X$20-'R&amp;S - Packaging and hh goods'!$X$19)*('Yearly Methanol'!R$3-'Yearly Methanol'!$N$3)/10)</f>
        <v>5.2821545021185669E-2</v>
      </c>
      <c r="S34" s="43">
        <f>S29*'R&amp;S - Packaging and hh goods'!$D$10*'R&amp;S - Packaging and hh goods'!$G$14*('R&amp;S - Packaging and hh goods'!$X$19+('R&amp;S - Packaging and hh goods'!$X$20-'R&amp;S - Packaging and hh goods'!$X$19)*('Yearly Methanol'!S$3-'Yearly Methanol'!$N$3)/10)</f>
        <v>5.8835998215643399E-2</v>
      </c>
      <c r="T34" s="43">
        <f>T29*'R&amp;S - Packaging and hh goods'!$D$10*'R&amp;S - Packaging and hh goods'!$G$14*('R&amp;S - Packaging and hh goods'!$X$19+('R&amp;S - Packaging and hh goods'!$X$20-'R&amp;S - Packaging and hh goods'!$X$19)*('Yearly Methanol'!T$3-'Yearly Methanol'!$N$3)/10)</f>
        <v>6.5008503076721805E-2</v>
      </c>
      <c r="U34" s="43">
        <f>U29*'R&amp;S - Packaging and hh goods'!$D$10*'R&amp;S - Packaging and hh goods'!$G$14*('R&amp;S - Packaging and hh goods'!$X$19+('R&amp;S - Packaging and hh goods'!$X$20-'R&amp;S - Packaging and hh goods'!$X$19)*('Yearly Methanol'!U$3-'Yearly Methanol'!$N$3)/10)</f>
        <v>7.1342306218260126E-2</v>
      </c>
      <c r="V34" s="43">
        <f>V29*'R&amp;S - Packaging and hh goods'!$D$10*'R&amp;S - Packaging and hh goods'!$G$14*('R&amp;S - Packaging and hh goods'!$X$19+('R&amp;S - Packaging and hh goods'!$X$20-'R&amp;S - Packaging and hh goods'!$X$19)*('Yearly Methanol'!V$3-'Yearly Methanol'!$N$3)/10)</f>
        <v>7.7840714181158496E-2</v>
      </c>
      <c r="W34" s="43">
        <f>W29*'R&amp;S - Packaging and hh goods'!$D$10*'R&amp;S - Packaging and hh goods'!$G$14*('R&amp;S - Packaging and hh goods'!$X$19+('R&amp;S - Packaging and hh goods'!$X$20-'R&amp;S - Packaging and hh goods'!$X$19)*('Yearly Methanol'!W$3-'Yearly Methanol'!$N$3)/10)</f>
        <v>8.4507094474999211E-2</v>
      </c>
      <c r="X34" s="43">
        <f>X29*'R&amp;S - Packaging and hh goods'!$D$10*'R&amp;S - Packaging and hh goods'!$G$14*('R&amp;S - Packaging and hh goods'!$X$19+('R&amp;S - Packaging and hh goods'!$X$20-'R&amp;S - Packaging and hh goods'!$X$19)*('Yearly Methanol'!X$3-'Yearly Methanol'!$N$3)/10)</f>
        <v>9.1344876637088013E-2</v>
      </c>
      <c r="Y34" s="43">
        <f>Y29*'R&amp;S - Packaging and hh goods'!$D$10*'R&amp;S - Packaging and hh goods'!$G$14*('R&amp;S - Packaging and hh goods'!$X$20+('R&amp;S - Packaging and hh goods'!$X$21-'R&amp;S - Packaging and hh goods'!$X$20)*('Yearly Methanol'!Y$3-'Yearly Methanol'!$X$3)/10)</f>
        <v>9.8063509801547349E-2</v>
      </c>
      <c r="Z34" s="43">
        <f>Z29*'R&amp;S - Packaging and hh goods'!$D$10*'R&amp;S - Packaging and hh goods'!$G$14*('R&amp;S - Packaging and hh goods'!$X$20+('R&amp;S - Packaging and hh goods'!$X$21-'R&amp;S - Packaging and hh goods'!$X$20)*('Yearly Methanol'!Z$3-'Yearly Methanol'!$X$3)/10)</f>
        <v>0.10495236109879066</v>
      </c>
      <c r="AA34" s="43">
        <f>AA29*'R&amp;S - Packaging and hh goods'!$D$10*'R&amp;S - Packaging and hh goods'!$G$14*('R&amp;S - Packaging and hh goods'!$X$20+('R&amp;S - Packaging and hh goods'!$X$21-'R&amp;S - Packaging and hh goods'!$X$20)*('Yearly Methanol'!AA$3-'Yearly Methanol'!$X$3)/10)</f>
        <v>0.11201487978443571</v>
      </c>
      <c r="AB34" s="43">
        <f>AB29*'R&amp;S - Packaging and hh goods'!$D$10*'R&amp;S - Packaging and hh goods'!$G$14*('R&amp;S - Packaging and hh goods'!$X$20+('R&amp;S - Packaging and hh goods'!$X$21-'R&amp;S - Packaging and hh goods'!$X$20)*('Yearly Methanol'!AB$3-'Yearly Methanol'!$X$3)/10)</f>
        <v>0.11925457833050346</v>
      </c>
      <c r="AC34" s="43">
        <f>AC29*'R&amp;S - Packaging and hh goods'!$D$10*'R&amp;S - Packaging and hh goods'!$G$14*('R&amp;S - Packaging and hh goods'!$X$20+('R&amp;S - Packaging and hh goods'!$X$21-'R&amp;S - Packaging and hh goods'!$X$20)*('Yearly Methanol'!AC$3-'Yearly Methanol'!$X$3)/10)</f>
        <v>0.12667503351942333</v>
      </c>
      <c r="AD34" s="43">
        <f>AD29*'R&amp;S - Packaging and hh goods'!$D$10*'R&amp;S - Packaging and hh goods'!$G$14*('R&amp;S - Packaging and hh goods'!$X$20+('R&amp;S - Packaging and hh goods'!$X$21-'R&amp;S - Packaging and hh goods'!$X$20)*('Yearly Methanol'!AD$3-'Yearly Methanol'!$X$3)/10)</f>
        <v>0.1342798875562802</v>
      </c>
      <c r="AE34" s="43">
        <f>AE29*'R&amp;S - Packaging and hh goods'!$D$10*'R&amp;S - Packaging and hh goods'!$G$14*('R&amp;S - Packaging and hh goods'!$X$20+('R&amp;S - Packaging and hh goods'!$X$21-'R&amp;S - Packaging and hh goods'!$X$20)*('Yearly Methanol'!AE$3-'Yearly Methanol'!$X$3)/10)</f>
        <v>0.14207284919959928</v>
      </c>
      <c r="AF34" s="43">
        <f>AF29*'R&amp;S - Packaging and hh goods'!$D$10*'R&amp;S - Packaging and hh goods'!$G$14*('R&amp;S - Packaging and hh goods'!$X$20+('R&amp;S - Packaging and hh goods'!$X$21-'R&amp;S - Packaging and hh goods'!$X$20)*('Yearly Methanol'!AF$3-'Yearly Methanol'!$X$3)/10)</f>
        <v>0.15005769491097021</v>
      </c>
      <c r="AG34" s="43">
        <f>AG29*'R&amp;S - Packaging and hh goods'!$D$10*'R&amp;S - Packaging and hh goods'!$G$14*('R&amp;S - Packaging and hh goods'!$X$20+('R&amp;S - Packaging and hh goods'!$X$21-'R&amp;S - Packaging and hh goods'!$X$20)*('Yearly Methanol'!AG$3-'Yearly Methanol'!$X$3)/10)</f>
        <v>0.15823827002381646</v>
      </c>
      <c r="AH34" s="43">
        <f>AH29*'R&amp;S - Packaging and hh goods'!$D$10*'R&amp;S - Packaging and hh goods'!$G$14*('R&amp;S - Packaging and hh goods'!$X$20+('R&amp;S - Packaging and hh goods'!$X$21-'R&amp;S - Packaging and hh goods'!$X$20)*('Yearly Methanol'!AH$3-'Yearly Methanol'!$X$3)/10)</f>
        <v>0.16661848993161985</v>
      </c>
      <c r="AJ34" s="43">
        <v>0</v>
      </c>
      <c r="AK34" s="43">
        <f>AK29*'R&amp;S - Packaging and hh goods'!$D$10*('R&amp;S - Packaging and hh goods'!$G$15*'R&amp;S - Packaging and hh goods'!$X$19*(AK$3-$D$3)/10)</f>
        <v>2.1910263133793255E-3</v>
      </c>
      <c r="AL34" s="43">
        <f>AL29*'R&amp;S - Packaging and hh goods'!$D$10*('R&amp;S - Packaging and hh goods'!$G$15*'R&amp;S - Packaging and hh goods'!$X$19*('Yearly Methanol'!AL$3-'Yearly Methanol'!$D$3)/10)</f>
        <v>4.4434013635332725E-3</v>
      </c>
      <c r="AM34" s="43">
        <f>AM29*'R&amp;S - Packaging and hh goods'!$D$10*('R&amp;S - Packaging and hh goods'!$G$15*'R&amp;S - Packaging and hh goods'!$X$19*('Yearly Methanol'!AM$3-'Yearly Methanol'!$D$3)/10)</f>
        <v>6.7584134739341085E-3</v>
      </c>
      <c r="AN34" s="43">
        <f>AN29*'R&amp;S - Packaging and hh goods'!$D$10*('R&amp;S - Packaging and hh goods'!$G$15*'R&amp;S - Packaging and hh goods'!$X$19*('Yearly Methanol'!AN$3-'Yearly Methanol'!$D$3)/10)</f>
        <v>9.1373750167589134E-3</v>
      </c>
      <c r="AO34" s="43">
        <f>AO29*'R&amp;S - Packaging and hh goods'!$D$10*('R&amp;S - Packaging and hh goods'!$G$15*'R&amp;S - Packaging and hh goods'!$X$19*('Yearly Methanol'!AO$3-'Yearly Methanol'!$D$3)/10)</f>
        <v>1.1581622833741924E-2</v>
      </c>
      <c r="AP34" s="43">
        <f>AP29*'R&amp;S - Packaging and hh goods'!$D$10*('R&amp;S - Packaging and hh goods'!$G$15*'R&amp;S - Packaging and hh goods'!$X$19*('Yearly Methanol'!AP$3-'Yearly Methanol'!$D$3)/10)</f>
        <v>1.4092518664097175E-2</v>
      </c>
      <c r="AQ34" s="43">
        <f>AQ29*'R&amp;S - Packaging and hh goods'!$D$10*('R&amp;S - Packaging and hh goods'!$G$15*'R&amp;S - Packaging and hh goods'!$X$19*('Yearly Methanol'!AQ$3-'Yearly Methanol'!$D$3)/10)</f>
        <v>1.6671449579626955E-2</v>
      </c>
      <c r="AR34" s="43">
        <f>AR29*'R&amp;S - Packaging and hh goods'!$D$10*('R&amp;S - Packaging and hh goods'!$G$15*'R&amp;S - Packaging and hh goods'!$X$19*('Yearly Methanol'!AR$3-'Yearly Methanol'!$D$3)/10)</f>
        <v>1.9319828427133409E-2</v>
      </c>
      <c r="AS34" s="43">
        <f>AS29*'R&amp;S - Packaging and hh goods'!$D$10*('R&amp;S - Packaging and hh goods'!$G$15*'R&amp;S - Packaging and hh goods'!$X$19*('Yearly Methanol'!AS$3-'Yearly Methanol'!$D$3)/10)</f>
        <v>2.2039094278252444E-2</v>
      </c>
      <c r="AT34" s="43">
        <f>AT29*'R&amp;S - Packaging and hh goods'!$D$10*('R&amp;S - Packaging and hh goods'!$G$15*'R&amp;S - Packaging and hh goods'!$X$19*('Yearly Methanol'!AT$3-'Yearly Methanol'!$D$3)/10)</f>
        <v>2.4830712886831079E-2</v>
      </c>
      <c r="AU34" s="43">
        <f>AU29*'R&amp;S - Packaging and hh goods'!$D$10*'R&amp;S - Packaging and hh goods'!$G$15*('R&amp;S - Packaging and hh goods'!$X$19+('R&amp;S - Packaging and hh goods'!$X$20-'R&amp;S - Packaging and hh goods'!$X$19)*('Yearly Methanol'!AU$3-'Yearly Methanol'!$N$3)/10)</f>
        <v>2.9269823583174304E-2</v>
      </c>
      <c r="AV34" s="43">
        <f>AV29*'R&amp;S - Packaging and hh goods'!$D$10*'R&amp;S - Packaging and hh goods'!$G$15*('R&amp;S - Packaging and hh goods'!$X$19+('R&amp;S - Packaging and hh goods'!$X$20-'R&amp;S - Packaging and hh goods'!$X$19)*('Yearly Methanol'!AV$3-'Yearly Methanol'!$N$3)/10)</f>
        <v>3.3828362559289331E-2</v>
      </c>
      <c r="AW34" s="43">
        <f>AW29*'R&amp;S - Packaging and hh goods'!$D$10*'R&amp;S - Packaging and hh goods'!$G$15*('R&amp;S - Packaging and hh goods'!$X$19+('R&amp;S - Packaging and hh goods'!$X$20-'R&amp;S - Packaging and hh goods'!$X$19)*('Yearly Methanol'!AW$3-'Yearly Methanol'!$N$3)/10)</f>
        <v>3.8508803741313262E-2</v>
      </c>
      <c r="AX34" s="43">
        <f>AX29*'R&amp;S - Packaging and hh goods'!$D$10*'R&amp;S - Packaging and hh goods'!$G$15*('R&amp;S - Packaging and hh goods'!$X$19+('R&amp;S - Packaging and hh goods'!$X$20-'R&amp;S - Packaging and hh goods'!$X$19)*('Yearly Methanol'!AX$3-'Yearly Methanol'!$N$3)/10)</f>
        <v>4.3313666917372248E-2</v>
      </c>
      <c r="AY34" s="43">
        <f>AY29*'R&amp;S - Packaging and hh goods'!$D$10*'R&amp;S - Packaging and hh goods'!$G$15*('R&amp;S - Packaging and hh goods'!$X$19+('R&amp;S - Packaging and hh goods'!$X$20-'R&amp;S - Packaging and hh goods'!$X$19)*('Yearly Methanol'!AY$3-'Yearly Methanol'!$N$3)/10)</f>
        <v>4.824551853682759E-2</v>
      </c>
      <c r="AZ34" s="43">
        <f>AZ29*'R&amp;S - Packaging and hh goods'!$D$10*'R&amp;S - Packaging and hh goods'!$G$15*('R&amp;S - Packaging and hh goods'!$X$19+('R&amp;S - Packaging and hh goods'!$X$20-'R&amp;S - Packaging and hh goods'!$X$19)*('Yearly Methanol'!AZ$3-'Yearly Methanol'!$N$3)/10)</f>
        <v>5.3306972522911875E-2</v>
      </c>
      <c r="BA34" s="43">
        <f>BA29*'R&amp;S - Packaging and hh goods'!$D$10*'R&amp;S - Packaging and hh goods'!$G$15*('R&amp;S - Packaging and hh goods'!$X$19+('R&amp;S - Packaging and hh goods'!$X$20-'R&amp;S - Packaging and hh goods'!$X$19)*('Yearly Methanol'!BA$3-'Yearly Methanol'!$N$3)/10)</f>
        <v>5.8500691098973309E-2</v>
      </c>
      <c r="BB34" s="43">
        <f>BB29*'R&amp;S - Packaging and hh goods'!$D$10*'R&amp;S - Packaging and hh goods'!$G$15*('R&amp;S - Packaging and hh goods'!$X$19+('R&amp;S - Packaging and hh goods'!$X$20-'R&amp;S - Packaging and hh goods'!$X$19)*('Yearly Methanol'!BB$3-'Yearly Methanol'!$N$3)/10)</f>
        <v>6.3829385628549964E-2</v>
      </c>
      <c r="BC34" s="43">
        <f>BC29*'R&amp;S - Packaging and hh goods'!$D$10*'R&amp;S - Packaging and hh goods'!$G$15*('R&amp;S - Packaging and hh goods'!$X$19+('R&amp;S - Packaging and hh goods'!$X$20-'R&amp;S - Packaging and hh goods'!$X$19)*('Yearly Methanol'!BC$3-'Yearly Methanol'!$N$3)/10)</f>
        <v>6.9295817469499352E-2</v>
      </c>
      <c r="BD34" s="43">
        <f>BD29*'R&amp;S - Packaging and hh goods'!$D$10*'R&amp;S - Packaging and hh goods'!$G$15*('R&amp;S - Packaging and hh goods'!$X$19+('R&amp;S - Packaging and hh goods'!$X$20-'R&amp;S - Packaging and hh goods'!$X$19)*('Yearly Methanol'!BD$3-'Yearly Methanol'!$N$3)/10)</f>
        <v>7.490279884241216E-2</v>
      </c>
      <c r="BE34" s="43">
        <f>BE29*'R&amp;S - Packaging and hh goods'!$D$10*'R&amp;S - Packaging and hh goods'!$G$15*('R&amp;S - Packaging and hh goods'!$X$20+('R&amp;S - Packaging and hh goods'!$X$21-'R&amp;S - Packaging and hh goods'!$X$20)*('Yearly Methanol'!BE$3-'Yearly Methanol'!$X$3)/10)</f>
        <v>8.0412078037268811E-2</v>
      </c>
      <c r="BF34" s="43">
        <f>BF29*'R&amp;S - Packaging and hh goods'!$D$10*'R&amp;S - Packaging and hh goods'!$G$15*('R&amp;S - Packaging and hh goods'!$X$20+('R&amp;S - Packaging and hh goods'!$X$21-'R&amp;S - Packaging and hh goods'!$X$20)*('Yearly Methanol'!BF$3-'Yearly Methanol'!$X$3)/10)</f>
        <v>8.6060936101008331E-2</v>
      </c>
      <c r="BG34" s="43">
        <f>BG29*'R&amp;S - Packaging and hh goods'!$D$10*'R&amp;S - Packaging and hh goods'!$G$15*('R&amp;S - Packaging and hh goods'!$X$20+('R&amp;S - Packaging and hh goods'!$X$21-'R&amp;S - Packaging and hh goods'!$X$20)*('Yearly Methanol'!BG$3-'Yearly Methanol'!$X$3)/10)</f>
        <v>9.1852201423237273E-2</v>
      </c>
      <c r="BH34" s="43">
        <f>BH29*'R&amp;S - Packaging and hh goods'!$D$10*'R&amp;S - Packaging and hh goods'!$G$15*('R&amp;S - Packaging and hh goods'!$X$20+('R&amp;S - Packaging and hh goods'!$X$21-'R&amp;S - Packaging and hh goods'!$X$20)*('Yearly Methanol'!BH$3-'Yearly Methanol'!$X$3)/10)</f>
        <v>9.7788754231012839E-2</v>
      </c>
      <c r="BI34" s="43">
        <f>BI29*'R&amp;S - Packaging and hh goods'!$D$10*'R&amp;S - Packaging and hh goods'!$G$15*('R&amp;S - Packaging and hh goods'!$X$20+('R&amp;S - Packaging and hh goods'!$X$21-'R&amp;S - Packaging and hh goods'!$X$20)*('Yearly Methanol'!BI$3-'Yearly Methanol'!$X$3)/10)</f>
        <v>0.10387352748592714</v>
      </c>
      <c r="BJ34" s="43">
        <f>BJ29*'R&amp;S - Packaging and hh goods'!$D$10*'R&amp;S - Packaging and hh goods'!$G$15*('R&amp;S - Packaging and hh goods'!$X$20+('R&amp;S - Packaging and hh goods'!$X$21-'R&amp;S - Packaging and hh goods'!$X$20)*('Yearly Methanol'!BJ$3-'Yearly Methanol'!$X$3)/10)</f>
        <v>0.11010950779614977</v>
      </c>
      <c r="BK34" s="43">
        <f>BK29*'R&amp;S - Packaging and hh goods'!$D$10*'R&amp;S - Packaging and hh goods'!$G$15*('R&amp;S - Packaging and hh goods'!$X$20+('R&amp;S - Packaging and hh goods'!$X$21-'R&amp;S - Packaging and hh goods'!$X$20)*('Yearly Methanol'!BK$3-'Yearly Methanol'!$X$3)/10)</f>
        <v>0.11649973634367142</v>
      </c>
      <c r="BL34" s="43">
        <f>BL29*'R&amp;S - Packaging and hh goods'!$D$10*'R&amp;S - Packaging and hh goods'!$G$15*('R&amp;S - Packaging and hh goods'!$X$20+('R&amp;S - Packaging and hh goods'!$X$21-'R&amp;S - Packaging and hh goods'!$X$20)*('Yearly Methanol'!BL$3-'Yearly Methanol'!$X$3)/10)</f>
        <v>0.12304730982699558</v>
      </c>
      <c r="BM34" s="43">
        <f>BM29*'R&amp;S - Packaging and hh goods'!$D$10*'R&amp;S - Packaging and hh goods'!$G$15*('R&amp;S - Packaging and hh goods'!$X$20+('R&amp;S - Packaging and hh goods'!$X$21-'R&amp;S - Packaging and hh goods'!$X$20)*('Yearly Methanol'!BM$3-'Yearly Methanol'!$X$3)/10)</f>
        <v>0.1297553814195295</v>
      </c>
      <c r="BN34" s="43">
        <f>BN29*'R&amp;S - Packaging and hh goods'!$D$10*'R&amp;S - Packaging and hh goods'!$G$15*('R&amp;S - Packaging and hh goods'!$X$20+('R&amp;S - Packaging and hh goods'!$X$21-'R&amp;S - Packaging and hh goods'!$X$20)*('Yearly Methanol'!BN$3-'Yearly Methanol'!$X$3)/10)</f>
        <v>0.13662716174392828</v>
      </c>
      <c r="BR34" t="s">
        <v>192</v>
      </c>
      <c r="BS34" s="44" t="e">
        <f>#REF!</f>
        <v>#REF!</v>
      </c>
      <c r="BU34" t="str">
        <v>Other</v>
      </c>
      <c r="BV34" s="44">
        <v>24.045360628442481</v>
      </c>
      <c r="BW34" s="2">
        <v>0.23105973583426512</v>
      </c>
    </row>
    <row r="35" spans="1:75" x14ac:dyDescent="0.2">
      <c r="B35" s="1" t="s">
        <v>172</v>
      </c>
      <c r="C35" s="54" t="s">
        <v>153</v>
      </c>
      <c r="D35" s="43">
        <f>SUM(D33:D34)</f>
        <v>0</v>
      </c>
      <c r="E35" s="43">
        <f t="shared" ref="E35:AG35" si="271">SUM(E33:E34)</f>
        <v>4.6759707907485619E-3</v>
      </c>
      <c r="F35" s="43">
        <f t="shared" si="271"/>
        <v>9.4828687636380818E-3</v>
      </c>
      <c r="G35" s="43">
        <f t="shared" si="271"/>
        <v>1.4423443389493522E-2</v>
      </c>
      <c r="H35" s="43">
        <f t="shared" si="271"/>
        <v>1.9500495462595243E-2</v>
      </c>
      <c r="I35" s="43">
        <f t="shared" si="271"/>
        <v>2.4716877998839475E-2</v>
      </c>
      <c r="J35" s="43">
        <f t="shared" si="271"/>
        <v>3.007549714898787E-2</v>
      </c>
      <c r="K35" s="43">
        <f t="shared" si="271"/>
        <v>3.5579313127252654E-2</v>
      </c>
      <c r="L35" s="43">
        <f t="shared" si="271"/>
        <v>4.123134115546765E-2</v>
      </c>
      <c r="M35" s="43">
        <f t="shared" si="271"/>
        <v>4.7034652423099725E-2</v>
      </c>
      <c r="N35" s="43">
        <f t="shared" si="271"/>
        <v>5.2992375063359021E-2</v>
      </c>
      <c r="O35" s="43">
        <f t="shared" si="271"/>
        <v>6.2316398596435611E-2</v>
      </c>
      <c r="P35" s="43">
        <f t="shared" si="271"/>
        <v>7.189110828292597E-2</v>
      </c>
      <c r="Q35" s="43">
        <f t="shared" si="271"/>
        <v>8.1721695826513119E-2</v>
      </c>
      <c r="R35" s="43">
        <f t="shared" si="271"/>
        <v>9.1813449164097283E-2</v>
      </c>
      <c r="S35" s="43">
        <f t="shared" si="271"/>
        <v>0.10217175414275179</v>
      </c>
      <c r="T35" s="43">
        <f t="shared" si="271"/>
        <v>0.11280209622477246</v>
      </c>
      <c r="U35" s="43">
        <f t="shared" si="271"/>
        <v>0.12371006222127773</v>
      </c>
      <c r="V35" s="43">
        <f t="shared" si="271"/>
        <v>0.13490134205482512</v>
      </c>
      <c r="W35" s="43">
        <f t="shared" si="271"/>
        <v>0.1463817305515164</v>
      </c>
      <c r="X35" s="43">
        <f t="shared" si="271"/>
        <v>0.15815712926307238</v>
      </c>
      <c r="Y35" s="43">
        <f t="shared" si="271"/>
        <v>0.16962193782345009</v>
      </c>
      <c r="Z35" s="43">
        <f t="shared" si="271"/>
        <v>0.18137676222618276</v>
      </c>
      <c r="AA35" s="43">
        <f t="shared" si="271"/>
        <v>0.1934274758123786</v>
      </c>
      <c r="AB35" s="43">
        <f t="shared" si="271"/>
        <v>0.2057800595335916</v>
      </c>
      <c r="AC35" s="43">
        <f t="shared" si="271"/>
        <v>0.21844060381373931</v>
      </c>
      <c r="AD35" s="43">
        <f t="shared" si="271"/>
        <v>0.23141531044206262</v>
      </c>
      <c r="AE35" s="43">
        <f t="shared" si="271"/>
        <v>0.24471049449763149</v>
      </c>
      <c r="AF35" s="43">
        <f t="shared" si="271"/>
        <v>0.25833258630590955</v>
      </c>
      <c r="AG35" s="43">
        <f t="shared" si="271"/>
        <v>0.27228813342789798</v>
      </c>
      <c r="AH35" s="43">
        <f>SUM(AH33:AH34)</f>
        <v>0.28658380268238615</v>
      </c>
      <c r="AJ35" s="43">
        <f>SUM(AJ33:AJ34)</f>
        <v>0</v>
      </c>
      <c r="AK35" s="43">
        <f t="shared" ref="AK35:BM35" si="272">SUM(AK33:AK34)</f>
        <v>3.8342960484138195E-3</v>
      </c>
      <c r="AL35" s="43">
        <f t="shared" si="272"/>
        <v>7.7759523861832269E-3</v>
      </c>
      <c r="AM35" s="43">
        <f t="shared" si="272"/>
        <v>1.1827223579384691E-2</v>
      </c>
      <c r="AN35" s="43">
        <f t="shared" si="272"/>
        <v>1.5990406279328098E-2</v>
      </c>
      <c r="AO35" s="43">
        <f t="shared" si="272"/>
        <v>2.0267839959048364E-2</v>
      </c>
      <c r="AP35" s="43">
        <f t="shared" si="272"/>
        <v>2.4661907662170055E-2</v>
      </c>
      <c r="AQ35" s="43">
        <f t="shared" si="272"/>
        <v>2.917503676434717E-2</v>
      </c>
      <c r="AR35" s="43">
        <f t="shared" si="272"/>
        <v>3.3809699747483463E-2</v>
      </c>
      <c r="AS35" s="43">
        <f t="shared" si="272"/>
        <v>3.8568414986941774E-2</v>
      </c>
      <c r="AT35" s="43">
        <f t="shared" si="272"/>
        <v>4.3453747551954386E-2</v>
      </c>
      <c r="AU35" s="43">
        <f t="shared" si="272"/>
        <v>5.1099446849077204E-2</v>
      </c>
      <c r="AV35" s="43">
        <f t="shared" si="272"/>
        <v>5.895070879199929E-2</v>
      </c>
      <c r="AW35" s="43">
        <f t="shared" si="272"/>
        <v>6.701179057774076E-2</v>
      </c>
      <c r="AX35" s="43">
        <f t="shared" si="272"/>
        <v>7.5287028314559773E-2</v>
      </c>
      <c r="AY35" s="43">
        <f t="shared" si="272"/>
        <v>8.3780838397056467E-2</v>
      </c>
      <c r="AZ35" s="43">
        <f t="shared" si="272"/>
        <v>9.2497718904313408E-2</v>
      </c>
      <c r="BA35" s="43">
        <f t="shared" si="272"/>
        <v>0.10144225102144774</v>
      </c>
      <c r="BB35" s="43">
        <f t="shared" si="272"/>
        <v>0.11061910048495659</v>
      </c>
      <c r="BC35" s="43">
        <f t="shared" si="272"/>
        <v>0.12003301905224345</v>
      </c>
      <c r="BD35" s="43">
        <f t="shared" si="272"/>
        <v>0.12968884599571934</v>
      </c>
      <c r="BE35" s="43">
        <f t="shared" si="272"/>
        <v>0.13908998901522904</v>
      </c>
      <c r="BF35" s="43">
        <f t="shared" si="272"/>
        <v>0.14872894502546985</v>
      </c>
      <c r="BG35" s="43">
        <f t="shared" si="272"/>
        <v>0.15861053016615045</v>
      </c>
      <c r="BH35" s="43">
        <f t="shared" si="272"/>
        <v>0.16873964881754511</v>
      </c>
      <c r="BI35" s="43">
        <f t="shared" si="272"/>
        <v>0.17912129512726627</v>
      </c>
      <c r="BJ35" s="43">
        <f t="shared" si="272"/>
        <v>0.18976055456249136</v>
      </c>
      <c r="BK35" s="43">
        <f t="shared" si="272"/>
        <v>0.20066260548805781</v>
      </c>
      <c r="BL35" s="43">
        <f t="shared" si="272"/>
        <v>0.21183272077084586</v>
      </c>
      <c r="BM35" s="43">
        <f t="shared" si="272"/>
        <v>0.22327626941087636</v>
      </c>
      <c r="BN35" s="43">
        <f>SUM(BN33:BN34)</f>
        <v>0.23499871819955662</v>
      </c>
      <c r="BS35" s="442" t="e">
        <f>SUM(BS31:BS34)</f>
        <v>#REF!</v>
      </c>
      <c r="BU35" t="str">
        <v>Total</v>
      </c>
      <c r="BV35" s="44">
        <v>104.06555924434093</v>
      </c>
      <c r="BW35" s="2">
        <v>0</v>
      </c>
    </row>
    <row r="36" spans="1:75" x14ac:dyDescent="0.2">
      <c r="B36" s="1" t="s">
        <v>197</v>
      </c>
      <c r="C36" s="65" t="s">
        <v>153</v>
      </c>
      <c r="D36" s="66">
        <f>D29-D32-D35</f>
        <v>4.3918200345154137</v>
      </c>
      <c r="E36" s="66">
        <f t="shared" ref="E36:AG36" si="273">E29-E32-E35</f>
        <v>4.4452405787109672</v>
      </c>
      <c r="F36" s="66">
        <f t="shared" si="273"/>
        <v>4.4992961014172312</v>
      </c>
      <c r="G36" s="66">
        <f t="shared" si="273"/>
        <v>4.5539939116058425</v>
      </c>
      <c r="H36" s="66">
        <f t="shared" si="273"/>
        <v>4.609341398443858</v>
      </c>
      <c r="I36" s="66">
        <f t="shared" si="273"/>
        <v>4.6653460321066635</v>
      </c>
      <c r="J36" s="66">
        <f t="shared" si="273"/>
        <v>4.7220153645979321</v>
      </c>
      <c r="K36" s="66">
        <f t="shared" si="273"/>
        <v>4.7793570305766631</v>
      </c>
      <c r="L36" s="66">
        <f t="shared" si="273"/>
        <v>4.8373787481913375</v>
      </c>
      <c r="M36" s="66">
        <f t="shared" si="273"/>
        <v>4.8960883199212297</v>
      </c>
      <c r="N36" s="66">
        <f t="shared" si="273"/>
        <v>4.9554936334249131</v>
      </c>
      <c r="O36" s="66">
        <f t="shared" si="273"/>
        <v>5.0034228949114326</v>
      </c>
      <c r="P36" s="66">
        <f t="shared" si="273"/>
        <v>5.0517228989674239</v>
      </c>
      <c r="Q36" s="66">
        <f t="shared" si="273"/>
        <v>5.1003946322495803</v>
      </c>
      <c r="R36" s="66">
        <f t="shared" si="273"/>
        <v>5.1494390363754388</v>
      </c>
      <c r="S36" s="66">
        <f t="shared" si="273"/>
        <v>5.1988570064689004</v>
      </c>
      <c r="T36" s="66">
        <f t="shared" si="273"/>
        <v>5.24864938967385</v>
      </c>
      <c r="U36" s="66">
        <f t="shared" si="273"/>
        <v>5.2988169836352697</v>
      </c>
      <c r="V36" s="66">
        <f t="shared" si="273"/>
        <v>5.3493605349472331</v>
      </c>
      <c r="W36" s="66">
        <f t="shared" si="273"/>
        <v>5.4002807375671402</v>
      </c>
      <c r="X36" s="66">
        <f t="shared" si="273"/>
        <v>5.4515782311955538</v>
      </c>
      <c r="Y36" s="66">
        <f t="shared" si="273"/>
        <v>5.5032124335299288</v>
      </c>
      <c r="Z36" s="66">
        <f t="shared" si="273"/>
        <v>5.5552238841963524</v>
      </c>
      <c r="AA36" s="66">
        <f t="shared" si="273"/>
        <v>5.6076130258444632</v>
      </c>
      <c r="AB36" s="66">
        <f t="shared" si="273"/>
        <v>5.6603802395774201</v>
      </c>
      <c r="AC36" s="66">
        <f t="shared" si="273"/>
        <v>5.7135258431418334</v>
      </c>
      <c r="AD36" s="66">
        <f t="shared" si="273"/>
        <v>5.7670500890790937</v>
      </c>
      <c r="AE36" s="66">
        <f t="shared" si="273"/>
        <v>5.8209531628373403</v>
      </c>
      <c r="AF36" s="66">
        <f t="shared" si="273"/>
        <v>5.8752351808433589</v>
      </c>
      <c r="AG36" s="66">
        <f t="shared" si="273"/>
        <v>5.9298961885336308</v>
      </c>
      <c r="AH36" s="66">
        <f>AH29-AH32-AH35</f>
        <v>5.9849361583437837</v>
      </c>
      <c r="AJ36" s="66">
        <f>AJ29-AJ32-AJ35</f>
        <v>4.3918200345154137</v>
      </c>
      <c r="AK36" s="66">
        <f t="shared" ref="AK36:BM36" si="274">AK29-AK32-AK35</f>
        <v>4.4470311637924382</v>
      </c>
      <c r="AL36" s="66">
        <f t="shared" si="274"/>
        <v>4.5029274079624537</v>
      </c>
      <c r="AM36" s="66">
        <f t="shared" si="274"/>
        <v>4.5595171288611267</v>
      </c>
      <c r="AN36" s="66">
        <f t="shared" si="274"/>
        <v>4.6168087881730013</v>
      </c>
      <c r="AO36" s="66">
        <f t="shared" si="274"/>
        <v>4.6748109485883518</v>
      </c>
      <c r="AP36" s="66">
        <f t="shared" si="274"/>
        <v>4.7335322749728501</v>
      </c>
      <c r="AQ36" s="66">
        <f t="shared" si="274"/>
        <v>4.7929815355501919</v>
      </c>
      <c r="AR36" s="66">
        <f t="shared" si="274"/>
        <v>4.8531676030978046</v>
      </c>
      <c r="AS36" s="66">
        <f t="shared" si="274"/>
        <v>4.9140994561557827</v>
      </c>
      <c r="AT36" s="66">
        <f t="shared" si="274"/>
        <v>4.9757861802491758</v>
      </c>
      <c r="AU36" s="66">
        <f t="shared" si="274"/>
        <v>5.0291466661898152</v>
      </c>
      <c r="AV36" s="66">
        <f t="shared" si="274"/>
        <v>5.0830259916454654</v>
      </c>
      <c r="AW36" s="66">
        <f t="shared" si="274"/>
        <v>5.1374282254672998</v>
      </c>
      <c r="AX36" s="66">
        <f t="shared" si="274"/>
        <v>5.1923574487417836</v>
      </c>
      <c r="AY36" s="66">
        <f t="shared" si="274"/>
        <v>5.2478177543357605</v>
      </c>
      <c r="AZ36" s="66">
        <f t="shared" si="274"/>
        <v>5.3038132464264161</v>
      </c>
      <c r="BA36" s="66">
        <f t="shared" si="274"/>
        <v>5.3603480400157606</v>
      </c>
      <c r="BB36" s="66">
        <f t="shared" si="274"/>
        <v>5.4174262604293073</v>
      </c>
      <c r="BC36" s="66">
        <f t="shared" si="274"/>
        <v>5.4750520427985885</v>
      </c>
      <c r="BD36" s="66">
        <f t="shared" si="274"/>
        <v>5.5332295315271667</v>
      </c>
      <c r="BE36" s="66">
        <f t="shared" si="274"/>
        <v>5.5919944012037766</v>
      </c>
      <c r="BF36" s="66">
        <f t="shared" si="274"/>
        <v>5.6513201742431525</v>
      </c>
      <c r="BG36" s="66">
        <f t="shared" si="274"/>
        <v>5.7112110380249943</v>
      </c>
      <c r="BH36" s="66">
        <f t="shared" si="274"/>
        <v>5.7716711872385771</v>
      </c>
      <c r="BI36" s="66">
        <f t="shared" si="274"/>
        <v>5.8327048232666865</v>
      </c>
      <c r="BJ36" s="66">
        <f t="shared" si="274"/>
        <v>5.8943161535508839</v>
      </c>
      <c r="BK36" s="66">
        <f t="shared" si="274"/>
        <v>5.9565093909376792</v>
      </c>
      <c r="BL36" s="66">
        <f t="shared" si="274"/>
        <v>6.0192887530052088</v>
      </c>
      <c r="BM36" s="66">
        <f t="shared" si="274"/>
        <v>6.0826584613700065</v>
      </c>
      <c r="BN36" s="66">
        <f>BN29-BN32-BN35</f>
        <v>6.1466227409734282</v>
      </c>
      <c r="BR36" t="s">
        <v>53</v>
      </c>
      <c r="BS36" s="44">
        <f>D4</f>
        <v>102.16223893794903</v>
      </c>
    </row>
    <row r="37" spans="1:75" s="67" customFormat="1" x14ac:dyDescent="0.2">
      <c r="A37" s="681"/>
      <c r="B37" s="58" t="s">
        <v>246</v>
      </c>
      <c r="C37" s="59" t="s">
        <v>153</v>
      </c>
      <c r="D37" s="60">
        <f>D$7/(D$7+D$9)*D36</f>
        <v>0.73643027914893988</v>
      </c>
      <c r="E37" s="60">
        <f t="shared" ref="E37" si="275">E$7/(E$7+E$9)*E36</f>
        <v>0.72772619399642657</v>
      </c>
      <c r="F37" s="60">
        <f t="shared" ref="F37" si="276">F$7/(F$7+F$9)*F36</f>
        <v>0.72159175512418217</v>
      </c>
      <c r="G37" s="60">
        <f t="shared" ref="G37" si="277">G$7/(G$7+G$9)*G36</f>
        <v>0.71750740612738029</v>
      </c>
      <c r="H37" s="60">
        <f t="shared" ref="H37" si="278">H$7/(H$7+H$9)*H36</f>
        <v>0.71509192065136584</v>
      </c>
      <c r="I37" s="60">
        <f t="shared" ref="I37" si="279">I$7/(I$7+I$9)*I36</f>
        <v>0.71405946450609326</v>
      </c>
      <c r="J37" s="60">
        <f t="shared" ref="J37" si="280">J$7/(J$7+J$9)*J36</f>
        <v>0.7141917250395714</v>
      </c>
      <c r="K37" s="60">
        <f t="shared" ref="K37" si="281">K$7/(K$7+K$9)*K36</f>
        <v>0.7153192805611619</v>
      </c>
      <c r="L37" s="60">
        <f t="shared" ref="L37" si="282">L$7/(L$7+L$9)*L36</f>
        <v>0.71730882337955626</v>
      </c>
      <c r="M37" s="60">
        <f t="shared" ref="M37" si="283">M$7/(M$7+M$9)*M36</f>
        <v>0.72005419788693237</v>
      </c>
      <c r="N37" s="60">
        <f t="shared" ref="N37" si="284">N$7/(N$7+N$9)*N36</f>
        <v>0.72346998805643592</v>
      </c>
      <c r="O37" s="60">
        <f t="shared" ref="O37" si="285">O$7/(O$7+O$9)*O36</f>
        <v>0.73296612958093521</v>
      </c>
      <c r="P37" s="60">
        <f t="shared" ref="P37" si="286">P$7/(P$7+P$9)*P36</f>
        <v>0.74267608851259459</v>
      </c>
      <c r="Q37" s="60">
        <f t="shared" ref="Q37" si="287">Q$7/(Q$7+Q$9)*Q36</f>
        <v>0.7526057462630209</v>
      </c>
      <c r="R37" s="60">
        <f t="shared" ref="R37" si="288">R$7/(R$7+R$9)*R36</f>
        <v>0.76276132274158548</v>
      </c>
      <c r="S37" s="60">
        <f t="shared" ref="S37" si="289">S$7/(S$7+S$9)*S36</f>
        <v>0.77314939134326344</v>
      </c>
      <c r="T37" s="60">
        <f t="shared" ref="T37" si="290">T$7/(T$7+T$9)*T36</f>
        <v>0.78436832679228718</v>
      </c>
      <c r="U37" s="60">
        <f t="shared" ref="U37" si="291">U$7/(U$7+U$9)*U36</f>
        <v>0.79585253554076651</v>
      </c>
      <c r="V37" s="60">
        <f t="shared" ref="V37" si="292">V$7/(V$7+V$9)*V36</f>
        <v>0.80761131736428526</v>
      </c>
      <c r="W37" s="60">
        <f t="shared" ref="W37" si="293">W$7/(W$7+W$9)*W36</f>
        <v>0.81965447634874011</v>
      </c>
      <c r="X37" s="60">
        <f t="shared" ref="X37" si="294">X$7/(X$7+X$9)*X36</f>
        <v>0.83199235280647588</v>
      </c>
      <c r="Y37" s="60">
        <f t="shared" ref="Y37" si="295">Y$7/(Y$7+Y$9)*Y36</f>
        <v>0.8459392090375113</v>
      </c>
      <c r="Z37" s="60">
        <f t="shared" ref="Z37" si="296">Z$7/(Z$7+Z$9)*Z36</f>
        <v>0.86026992360318832</v>
      </c>
      <c r="AA37" s="60">
        <f t="shared" ref="AA37" si="297">AA$7/(AA$7+AA$9)*AA36</f>
        <v>0.87500151634425927</v>
      </c>
      <c r="AB37" s="60">
        <f t="shared" ref="AB37" si="298">AB$7/(AB$7+AB$9)*AB36</f>
        <v>0.89015206534531366</v>
      </c>
      <c r="AC37" s="60">
        <f t="shared" ref="AC37" si="299">AC$7/(AC$7+AC$9)*AC36</f>
        <v>0.90574079024955123</v>
      </c>
      <c r="AD37" s="60">
        <f t="shared" ref="AD37" si="300">AD$7/(AD$7+AD$9)*AD36</f>
        <v>0.92178814357210048</v>
      </c>
      <c r="AE37" s="60">
        <f t="shared" ref="AE37" si="301">AE$7/(AE$7+AE$9)*AE36</f>
        <v>0.93831591092137767</v>
      </c>
      <c r="AF37" s="60">
        <f t="shared" ref="AF37" si="302">AF$7/(AF$7+AF$9)*AF36</f>
        <v>0.95534732115820908</v>
      </c>
      <c r="AG37" s="60">
        <f t="shared" ref="AG37" si="303">AG$7/(AG$7+AG$9)*AG36</f>
        <v>0.97290716766079188</v>
      </c>
      <c r="AH37" s="60">
        <f t="shared" ref="AH37" si="304">AH$7/(AH$7+AH$9)*AH36</f>
        <v>0.99102194202322291</v>
      </c>
      <c r="AJ37" s="60">
        <f>AJ$7/(AJ$7+AJ$9)*AJ36</f>
        <v>0.73643027914893988</v>
      </c>
      <c r="AK37" s="60">
        <f t="shared" ref="AK37" si="305">AK$7/(AK$7+AK$9)*AK36</f>
        <v>0.72801932901202193</v>
      </c>
      <c r="AL37" s="60">
        <f t="shared" ref="AL37" si="306">AL$7/(AL$7+AL$9)*AL36</f>
        <v>0.722174139747087</v>
      </c>
      <c r="AM37" s="60">
        <f t="shared" ref="AM37" si="307">AM$7/(AM$7+AM$9)*AM36</f>
        <v>0.71837762013364348</v>
      </c>
      <c r="AN37" s="60">
        <f t="shared" ref="AN37" si="308">AN$7/(AN$7+AN$9)*AN36</f>
        <v>0.71625040938154938</v>
      </c>
      <c r="AO37" s="60">
        <f t="shared" ref="AO37" si="309">AO$7/(AO$7+AO$9)*AO36</f>
        <v>0.71550812729509061</v>
      </c>
      <c r="AP37" s="60">
        <f t="shared" ref="AP37" si="310">AP$7/(AP$7+AP$9)*AP36</f>
        <v>0.71593362578590436</v>
      </c>
      <c r="AQ37" s="60">
        <f t="shared" ref="AQ37" si="311">AQ$7/(AQ$7+AQ$9)*AQ36</f>
        <v>0.71735844001991678</v>
      </c>
      <c r="AR37" s="60">
        <f t="shared" ref="AR37" si="312">AR$7/(AR$7+AR$9)*AR36</f>
        <v>0.71965006757915562</v>
      </c>
      <c r="AS37" s="60">
        <f t="shared" ref="AS37" si="313">AS$7/(AS$7+AS$9)*AS36</f>
        <v>0.7227030459891276</v>
      </c>
      <c r="AT37" s="60">
        <f t="shared" ref="AT37" si="314">AT$7/(AT$7+AT$9)*AT36</f>
        <v>0.72643256851654592</v>
      </c>
      <c r="AU37" s="60">
        <f t="shared" ref="AU37" si="315">AU$7/(AU$7+AU$9)*AU36</f>
        <v>0.73673448046155277</v>
      </c>
      <c r="AV37" s="60">
        <f t="shared" ref="AV37" si="316">AV$7/(AV$7+AV$9)*AV36</f>
        <v>0.74727809438136994</v>
      </c>
      <c r="AW37" s="60">
        <f t="shared" ref="AW37" si="317">AW$7/(AW$7+AW$9)*AW36</f>
        <v>0.75807036166438446</v>
      </c>
      <c r="AX37" s="60">
        <f t="shared" ref="AX37" si="318">AX$7/(AX$7+AX$9)*AX36</f>
        <v>0.76911861811983395</v>
      </c>
      <c r="AY37" s="60">
        <f t="shared" ref="AY37" si="319">AY$7/(AY$7+AY$9)*AY36</f>
        <v>0.7804306018797087</v>
      </c>
      <c r="AZ37" s="60">
        <f t="shared" ref="AZ37" si="320">AZ$7/(AZ$7+AZ$9)*AZ36</f>
        <v>0.79261212034907269</v>
      </c>
      <c r="BA37" s="60">
        <f t="shared" ref="BA37" si="321">BA$7/(BA$7+BA$9)*BA36</f>
        <v>0.80509415445044996</v>
      </c>
      <c r="BB37" s="60">
        <f t="shared" ref="BB37" si="322">BB$7/(BB$7+BB$9)*BB36</f>
        <v>0.81788743352149917</v>
      </c>
      <c r="BC37" s="60">
        <f t="shared" ref="BC37" si="323">BC$7/(BC$7+BC$9)*BC36</f>
        <v>0.83100326320144069</v>
      </c>
      <c r="BD37" s="60">
        <f t="shared" ref="BD37" si="324">BD$7/(BD$7+BD$9)*BD36</f>
        <v>0.84445356212818612</v>
      </c>
      <c r="BE37" s="60">
        <f t="shared" ref="BE37" si="325">BE$7/(BE$7+BE$9)*BE36</f>
        <v>0.85958653746939495</v>
      </c>
      <c r="BF37" s="60">
        <f t="shared" ref="BF37" si="326">BF$7/(BF$7+BF$9)*BF36</f>
        <v>0.87515118668464364</v>
      </c>
      <c r="BG37" s="60">
        <f t="shared" ref="BG37" si="327">BG$7/(BG$7+BG$9)*BG36</f>
        <v>0.89116675765646003</v>
      </c>
      <c r="BH37" s="60">
        <f t="shared" ref="BH37" si="328">BH$7/(BH$7+BH$9)*BH36</f>
        <v>0.90765369292540921</v>
      </c>
      <c r="BI37" s="60">
        <f t="shared" ref="BI37" si="329">BI$7/(BI$7+BI$9)*BI36</f>
        <v>0.92463372372056918</v>
      </c>
      <c r="BJ37" s="60">
        <f t="shared" ref="BJ37" si="330">BJ$7/(BJ$7+BJ$9)*BJ36</f>
        <v>0.94212997301646917</v>
      </c>
      <c r="BK37" s="60">
        <f t="shared" ref="BK37" si="331">BK$7/(BK$7+BK$9)*BK36</f>
        <v>0.96016706864294854</v>
      </c>
      <c r="BL37" s="60">
        <f t="shared" ref="BL37" si="332">BL$7/(BL$7+BL$9)*BL36</f>
        <v>0.97877126761005806</v>
      </c>
      <c r="BM37" s="60">
        <f t="shared" ref="BM37" si="333">BM$7/(BM$7+BM$9)*BM36</f>
        <v>0.99797059296628887</v>
      </c>
      <c r="BN37" s="60">
        <f t="shared" ref="BN37" si="334">BN$7/(BN$7+BN$9)*BN36</f>
        <v>1.0177949846885721</v>
      </c>
    </row>
    <row r="38" spans="1:75" x14ac:dyDescent="0.2">
      <c r="A38" s="682"/>
      <c r="B38" s="1" t="s">
        <v>247</v>
      </c>
      <c r="C38" s="54" t="s">
        <v>153</v>
      </c>
      <c r="D38" s="44">
        <v>0</v>
      </c>
      <c r="E38" s="44">
        <v>0</v>
      </c>
      <c r="F38" s="44">
        <v>0</v>
      </c>
      <c r="G38" s="44">
        <v>0</v>
      </c>
      <c r="H38" s="44">
        <v>0</v>
      </c>
      <c r="I38" s="44">
        <v>0</v>
      </c>
      <c r="J38" s="44">
        <v>0</v>
      </c>
      <c r="K38" s="44">
        <v>0</v>
      </c>
      <c r="L38" s="44">
        <v>0</v>
      </c>
      <c r="M38" s="44">
        <v>0</v>
      </c>
      <c r="N38" s="44">
        <v>0</v>
      </c>
      <c r="O38" s="44">
        <v>0</v>
      </c>
      <c r="P38" s="44">
        <v>0</v>
      </c>
      <c r="Q38" s="44">
        <v>0</v>
      </c>
      <c r="R38" s="44">
        <v>0</v>
      </c>
      <c r="S38" s="44">
        <v>0</v>
      </c>
      <c r="T38" s="44">
        <v>0</v>
      </c>
      <c r="U38" s="44">
        <v>0</v>
      </c>
      <c r="V38" s="44">
        <v>0</v>
      </c>
      <c r="W38" s="44">
        <v>0</v>
      </c>
      <c r="X38" s="44">
        <v>0</v>
      </c>
      <c r="Y38" s="44">
        <v>0</v>
      </c>
      <c r="Z38" s="44">
        <v>0</v>
      </c>
      <c r="AA38" s="44">
        <v>0</v>
      </c>
      <c r="AB38" s="44">
        <v>0</v>
      </c>
      <c r="AC38" s="44">
        <v>0</v>
      </c>
      <c r="AD38" s="44">
        <v>0</v>
      </c>
      <c r="AE38" s="44">
        <v>0</v>
      </c>
      <c r="AF38" s="44">
        <v>0</v>
      </c>
      <c r="AG38" s="44">
        <v>0</v>
      </c>
      <c r="AH38" s="44">
        <v>0</v>
      </c>
      <c r="AJ38" s="44">
        <v>0</v>
      </c>
      <c r="AK38" s="44">
        <v>0</v>
      </c>
      <c r="AL38" s="44">
        <v>0</v>
      </c>
      <c r="AM38" s="44">
        <v>0</v>
      </c>
      <c r="AN38" s="44">
        <v>0</v>
      </c>
      <c r="AO38" s="44">
        <v>0</v>
      </c>
      <c r="AP38" s="44">
        <v>0</v>
      </c>
      <c r="AQ38" s="44">
        <v>0</v>
      </c>
      <c r="AR38" s="44">
        <v>0</v>
      </c>
      <c r="AS38" s="44">
        <v>0</v>
      </c>
      <c r="AT38" s="44">
        <v>0</v>
      </c>
      <c r="AU38" s="44">
        <v>0</v>
      </c>
      <c r="AV38" s="44">
        <v>0</v>
      </c>
      <c r="AW38" s="44">
        <v>0</v>
      </c>
      <c r="AX38" s="44">
        <v>0</v>
      </c>
      <c r="AY38" s="44">
        <v>0</v>
      </c>
      <c r="AZ38" s="44">
        <v>0</v>
      </c>
      <c r="BA38" s="44">
        <v>0</v>
      </c>
      <c r="BB38" s="44">
        <v>0</v>
      </c>
      <c r="BC38" s="44">
        <v>0</v>
      </c>
      <c r="BD38" s="44">
        <v>0</v>
      </c>
      <c r="BE38" s="44">
        <v>0</v>
      </c>
      <c r="BF38" s="44">
        <v>0</v>
      </c>
      <c r="BG38" s="44">
        <v>0</v>
      </c>
      <c r="BH38" s="44">
        <v>0</v>
      </c>
      <c r="BI38" s="44">
        <v>0</v>
      </c>
      <c r="BJ38" s="44">
        <v>0</v>
      </c>
      <c r="BK38" s="44">
        <v>0</v>
      </c>
      <c r="BL38" s="44">
        <v>0</v>
      </c>
      <c r="BM38" s="44">
        <v>0</v>
      </c>
      <c r="BN38" s="44">
        <v>0</v>
      </c>
    </row>
    <row r="39" spans="1:75" s="68" customFormat="1" x14ac:dyDescent="0.2">
      <c r="A39" s="683"/>
      <c r="B39" s="62" t="s">
        <v>248</v>
      </c>
      <c r="C39" s="283" t="s">
        <v>153</v>
      </c>
      <c r="D39" s="284">
        <f>D$9/(D$7+D$9)*D36</f>
        <v>3.6553897553664738</v>
      </c>
      <c r="E39" s="284">
        <f t="shared" ref="E39:AH39" si="335">E$9/(E$7+E$9)*E36</f>
        <v>3.7175143847145402</v>
      </c>
      <c r="F39" s="284">
        <f t="shared" si="335"/>
        <v>3.7777043462930493</v>
      </c>
      <c r="G39" s="284">
        <f t="shared" si="335"/>
        <v>3.836486505478462</v>
      </c>
      <c r="H39" s="284">
        <f t="shared" si="335"/>
        <v>3.8942494777924921</v>
      </c>
      <c r="I39" s="284">
        <f t="shared" si="335"/>
        <v>3.9512865676005702</v>
      </c>
      <c r="J39" s="284">
        <f t="shared" si="335"/>
        <v>4.0078236395583611</v>
      </c>
      <c r="K39" s="284">
        <f t="shared" si="335"/>
        <v>4.0640377500155012</v>
      </c>
      <c r="L39" s="284">
        <f t="shared" si="335"/>
        <v>4.1200699248117818</v>
      </c>
      <c r="M39" s="284">
        <f t="shared" si="335"/>
        <v>4.1760341220342978</v>
      </c>
      <c r="N39" s="284">
        <f t="shared" si="335"/>
        <v>4.2320236453684767</v>
      </c>
      <c r="O39" s="284">
        <f t="shared" si="335"/>
        <v>4.270456765330497</v>
      </c>
      <c r="P39" s="284">
        <f t="shared" si="335"/>
        <v>4.309046810454829</v>
      </c>
      <c r="Q39" s="284">
        <f t="shared" si="335"/>
        <v>4.3477888859865592</v>
      </c>
      <c r="R39" s="284">
        <f t="shared" si="335"/>
        <v>4.3866777136338531</v>
      </c>
      <c r="S39" s="284">
        <f t="shared" si="335"/>
        <v>4.4257076151256367</v>
      </c>
      <c r="T39" s="284">
        <f t="shared" si="335"/>
        <v>4.4642810628815628</v>
      </c>
      <c r="U39" s="284">
        <f t="shared" si="335"/>
        <v>4.5029644480945032</v>
      </c>
      <c r="V39" s="284">
        <f t="shared" si="335"/>
        <v>4.5417492175829484</v>
      </c>
      <c r="W39" s="284">
        <f t="shared" si="335"/>
        <v>4.5806262612183994</v>
      </c>
      <c r="X39" s="284">
        <f t="shared" si="335"/>
        <v>4.6195858783890777</v>
      </c>
      <c r="Y39" s="284">
        <f t="shared" si="335"/>
        <v>4.6572732244924175</v>
      </c>
      <c r="Z39" s="284">
        <f t="shared" si="335"/>
        <v>4.6949539605931641</v>
      </c>
      <c r="AA39" s="284">
        <f t="shared" si="335"/>
        <v>4.7326115095002041</v>
      </c>
      <c r="AB39" s="284">
        <f t="shared" si="335"/>
        <v>4.7702281742321064</v>
      </c>
      <c r="AC39" s="284">
        <f t="shared" si="335"/>
        <v>4.8077850528922825</v>
      </c>
      <c r="AD39" s="284">
        <f t="shared" si="335"/>
        <v>4.8452619455069934</v>
      </c>
      <c r="AE39" s="284">
        <f t="shared" si="335"/>
        <v>4.8826372519159627</v>
      </c>
      <c r="AF39" s="284">
        <f t="shared" si="335"/>
        <v>4.9198878596851499</v>
      </c>
      <c r="AG39" s="284">
        <f t="shared" si="335"/>
        <v>4.9569890208728395</v>
      </c>
      <c r="AH39" s="284">
        <f t="shared" si="335"/>
        <v>4.9939142163205608</v>
      </c>
      <c r="AJ39" s="284">
        <f>AJ$9/(AJ$7+AJ$9)*AJ36</f>
        <v>3.6553897553664738</v>
      </c>
      <c r="AK39" s="284">
        <f t="shared" ref="AK39:BN39" si="336">AK$9/(AK$7+AK$9)*AK36</f>
        <v>3.719011834780416</v>
      </c>
      <c r="AL39" s="284">
        <f t="shared" si="336"/>
        <v>3.7807532682153666</v>
      </c>
      <c r="AM39" s="284">
        <f t="shared" si="336"/>
        <v>3.8411395087274829</v>
      </c>
      <c r="AN39" s="284">
        <f t="shared" si="336"/>
        <v>3.9005583787914522</v>
      </c>
      <c r="AO39" s="284">
        <f t="shared" si="336"/>
        <v>3.9593028212932611</v>
      </c>
      <c r="AP39" s="284">
        <f t="shared" si="336"/>
        <v>4.0175986491869464</v>
      </c>
      <c r="AQ39" s="284">
        <f t="shared" si="336"/>
        <v>4.0756230955302746</v>
      </c>
      <c r="AR39" s="284">
        <f t="shared" si="336"/>
        <v>4.1335175355186493</v>
      </c>
      <c r="AS39" s="284">
        <f t="shared" si="336"/>
        <v>4.1913964101666554</v>
      </c>
      <c r="AT39" s="284">
        <f t="shared" si="336"/>
        <v>4.24935361173263</v>
      </c>
      <c r="AU39" s="284">
        <f t="shared" si="336"/>
        <v>4.2924121857282627</v>
      </c>
      <c r="AV39" s="284">
        <f t="shared" si="336"/>
        <v>4.3357478972640955</v>
      </c>
      <c r="AW39" s="284">
        <f t="shared" si="336"/>
        <v>4.3793578638029151</v>
      </c>
      <c r="AX39" s="284">
        <f t="shared" si="336"/>
        <v>4.4232388306219494</v>
      </c>
      <c r="AY39" s="284">
        <f t="shared" si="336"/>
        <v>4.4673871524560518</v>
      </c>
      <c r="AZ39" s="284">
        <f t="shared" si="336"/>
        <v>4.511201126077343</v>
      </c>
      <c r="BA39" s="284">
        <f t="shared" si="336"/>
        <v>4.5552538855653113</v>
      </c>
      <c r="BB39" s="284">
        <f t="shared" si="336"/>
        <v>4.5995388269078088</v>
      </c>
      <c r="BC39" s="284">
        <f t="shared" si="336"/>
        <v>4.6440487795971475</v>
      </c>
      <c r="BD39" s="284">
        <f t="shared" si="336"/>
        <v>4.6887759693989803</v>
      </c>
      <c r="BE39" s="284">
        <f t="shared" si="336"/>
        <v>4.7324078637343812</v>
      </c>
      <c r="BF39" s="284">
        <f t="shared" si="336"/>
        <v>4.7761689875585089</v>
      </c>
      <c r="BG39" s="284">
        <f t="shared" si="336"/>
        <v>4.8200442803685348</v>
      </c>
      <c r="BH39" s="284">
        <f t="shared" si="336"/>
        <v>4.8640174943131678</v>
      </c>
      <c r="BI39" s="284">
        <f t="shared" si="336"/>
        <v>4.9080710995461176</v>
      </c>
      <c r="BJ39" s="284">
        <f t="shared" si="336"/>
        <v>4.9521861805344152</v>
      </c>
      <c r="BK39" s="284">
        <f t="shared" si="336"/>
        <v>4.9963423222947307</v>
      </c>
      <c r="BL39" s="284">
        <f t="shared" si="336"/>
        <v>5.0405174853951511</v>
      </c>
      <c r="BM39" s="284">
        <f t="shared" si="336"/>
        <v>5.0846878684037184</v>
      </c>
      <c r="BN39" s="284">
        <f t="shared" si="336"/>
        <v>5.1288277562848563</v>
      </c>
    </row>
    <row r="40" spans="1:75" s="1" customFormat="1" x14ac:dyDescent="0.2">
      <c r="A40" s="58" t="s">
        <v>204</v>
      </c>
      <c r="B40" s="58" t="s">
        <v>199</v>
      </c>
      <c r="C40" s="100" t="s">
        <v>153</v>
      </c>
      <c r="D40" s="101">
        <f>'Demand - Industry shares'!L83</f>
        <v>3.219812080101577</v>
      </c>
      <c r="E40" s="101">
        <f>D40*(1+'Demand Breakdown - Methanol'!$N$38)</f>
        <v>3.2745488854633034</v>
      </c>
      <c r="F40" s="101">
        <f>E40*(1+'Demand Breakdown - Methanol'!$N$38)</f>
        <v>3.3302162165161793</v>
      </c>
      <c r="G40" s="101">
        <f>F40*(1+'Demand Breakdown - Methanol'!$N$38)</f>
        <v>3.3868298921969542</v>
      </c>
      <c r="H40" s="101">
        <f>G40*(1+'Demand Breakdown - Methanol'!$N$38)</f>
        <v>3.4444060003643022</v>
      </c>
      <c r="I40" s="101">
        <f>H40*(1+'Demand Breakdown - Methanol'!$N$38)</f>
        <v>3.5029609023704951</v>
      </c>
      <c r="J40" s="101">
        <f>I40*(1+'Demand Breakdown - Methanol'!$N$38)</f>
        <v>3.562511237710793</v>
      </c>
      <c r="K40" s="101">
        <f>J40*(1+'Demand Breakdown - Methanol'!$N$38)</f>
        <v>3.6230739287518761</v>
      </c>
      <c r="L40" s="101">
        <f>K40*(1+'Demand Breakdown - Methanol'!$N$38)</f>
        <v>3.6846661855406575</v>
      </c>
      <c r="M40" s="101">
        <f>L40*(1+'Demand Breakdown - Methanol'!$N$38)</f>
        <v>3.7473055106948485</v>
      </c>
      <c r="N40" s="101">
        <f>M40*(1+'Demand Breakdown - Methanol'!$N$38)</f>
        <v>3.8110097043766604</v>
      </c>
      <c r="O40" s="101">
        <f>N40*(1+'Demand Breakdown - Methanol'!$N$38)</f>
        <v>3.8757968693510634</v>
      </c>
      <c r="P40" s="101">
        <f>O40*(1+'Demand Breakdown - Methanol'!$N$38)</f>
        <v>3.941685416130031</v>
      </c>
      <c r="Q40" s="101">
        <f>P40*(1+'Demand Breakdown - Methanol'!$N$38)</f>
        <v>4.0086940682042416</v>
      </c>
      <c r="R40" s="101">
        <f>Q40*(1+'Demand Breakdown - Methanol'!$N$38)</f>
        <v>4.0768418673637132</v>
      </c>
      <c r="S40" s="101">
        <f>R40*(1+'Demand Breakdown - Methanol'!$N$38)</f>
        <v>4.1461481791088959</v>
      </c>
      <c r="T40" s="101">
        <f>S40*(1+'Demand Breakdown - Methanol'!$N$38)</f>
        <v>4.216632698153747</v>
      </c>
      <c r="U40" s="101">
        <f>T40*(1+'Demand Breakdown - Methanol'!$N$38)</f>
        <v>4.28831545402236</v>
      </c>
      <c r="V40" s="101">
        <f>U40*(1+'Demand Breakdown - Methanol'!$N$38)</f>
        <v>4.3612168167407397</v>
      </c>
      <c r="W40" s="101">
        <f>V40*(1+'Demand Breakdown - Methanol'!$N$38)</f>
        <v>4.4353575026253322</v>
      </c>
      <c r="X40" s="101">
        <f>W40*(1+'Demand Breakdown - Methanol'!$N$38)</f>
        <v>4.5107585801699628</v>
      </c>
      <c r="Y40" s="101">
        <f>X40*(1+'Demand Breakdown - Methanol'!$N$38)</f>
        <v>4.5874414760328515</v>
      </c>
      <c r="Z40" s="101">
        <f>Y40*(1+'Demand Breakdown - Methanol'!$N$38)</f>
        <v>4.6654279811254096</v>
      </c>
      <c r="AA40" s="101">
        <f>Z40*(1+'Demand Breakdown - Methanol'!$N$38)</f>
        <v>4.7447402568045414</v>
      </c>
      <c r="AB40" s="101">
        <f>AA40*(1+'Demand Breakdown - Methanol'!$N$38)</f>
        <v>4.8254008411702181</v>
      </c>
      <c r="AC40" s="101">
        <f>AB40*(1+'Demand Breakdown - Methanol'!$N$38)</f>
        <v>4.9074326554701111</v>
      </c>
      <c r="AD40" s="101">
        <f>AC40*(1+'Demand Breakdown - Methanol'!$N$38)</f>
        <v>4.9908590106131028</v>
      </c>
      <c r="AE40" s="101">
        <f>AD40*(1+'Demand Breakdown - Methanol'!$N$38)</f>
        <v>5.0757036137935252</v>
      </c>
      <c r="AF40" s="101">
        <f>AE40*(1+'Demand Breakdown - Methanol'!$N$38)</f>
        <v>5.1619905752280149</v>
      </c>
      <c r="AG40" s="101">
        <f>AF40*(1+'Demand Breakdown - Methanol'!$N$38)</f>
        <v>5.2497444150068908</v>
      </c>
      <c r="AH40" s="101">
        <f>AG40*(1+'Demand Breakdown - Methanol'!$N$38)</f>
        <v>5.3389900700620077</v>
      </c>
      <c r="AJ40" s="101">
        <f>D40</f>
        <v>3.219812080101577</v>
      </c>
      <c r="AK40" s="101">
        <f>AJ40*(1+'Demand Breakdown - Methanol'!$N$38)</f>
        <v>3.2745488854633034</v>
      </c>
      <c r="AL40" s="101">
        <f>AK40*(1+'Demand Breakdown - Methanol'!$N$38)</f>
        <v>3.3302162165161793</v>
      </c>
      <c r="AM40" s="101">
        <f>AL40*(1+'Demand Breakdown - Methanol'!$N$38)</f>
        <v>3.3868298921969542</v>
      </c>
      <c r="AN40" s="101">
        <f>AM40*(1+'Demand Breakdown - Methanol'!$N$38)</f>
        <v>3.4444060003643022</v>
      </c>
      <c r="AO40" s="101">
        <f>AN40*(1+'Demand Breakdown - Methanol'!$N$38)</f>
        <v>3.5029609023704951</v>
      </c>
      <c r="AP40" s="101">
        <f>AO40*(1+'Demand Breakdown - Methanol'!$N$38)</f>
        <v>3.562511237710793</v>
      </c>
      <c r="AQ40" s="101">
        <f>AP40*(1+'Demand Breakdown - Methanol'!$N$38)</f>
        <v>3.6230739287518761</v>
      </c>
      <c r="AR40" s="101">
        <f>AQ40*(1+'Demand Breakdown - Methanol'!$N$38)</f>
        <v>3.6846661855406575</v>
      </c>
      <c r="AS40" s="101">
        <f>AR40*(1+'Demand Breakdown - Methanol'!$N$38)</f>
        <v>3.7473055106948485</v>
      </c>
      <c r="AT40" s="101">
        <f>AS40*(1+'Demand Breakdown - Methanol'!$N$38)</f>
        <v>3.8110097043766604</v>
      </c>
      <c r="AU40" s="101">
        <f>AT40*(1+'Demand Breakdown - Methanol'!$N$38)</f>
        <v>3.8757968693510634</v>
      </c>
      <c r="AV40" s="101">
        <f>AU40*(1+'Demand Breakdown - Methanol'!$N$38)</f>
        <v>3.941685416130031</v>
      </c>
      <c r="AW40" s="101">
        <f>AV40*(1+'Demand Breakdown - Methanol'!$N$38)</f>
        <v>4.0086940682042416</v>
      </c>
      <c r="AX40" s="101">
        <f>AW40*(1+'Demand Breakdown - Methanol'!$N$38)</f>
        <v>4.0768418673637132</v>
      </c>
      <c r="AY40" s="101">
        <f>AX40*(1+'Demand Breakdown - Methanol'!$N$38)</f>
        <v>4.1461481791088959</v>
      </c>
      <c r="AZ40" s="101">
        <f>AY40*(1+'Demand Breakdown - Methanol'!$N$38)</f>
        <v>4.216632698153747</v>
      </c>
      <c r="BA40" s="101">
        <f>AZ40*(1+'Demand Breakdown - Methanol'!$N$38)</f>
        <v>4.28831545402236</v>
      </c>
      <c r="BB40" s="101">
        <f>BA40*(1+'Demand Breakdown - Methanol'!$N$38)</f>
        <v>4.3612168167407397</v>
      </c>
      <c r="BC40" s="101">
        <f>BB40*(1+'Demand Breakdown - Methanol'!$N$38)</f>
        <v>4.4353575026253322</v>
      </c>
      <c r="BD40" s="101">
        <f>BC40*(1+'Demand Breakdown - Methanol'!$N$38)</f>
        <v>4.5107585801699628</v>
      </c>
      <c r="BE40" s="101">
        <f>BD40*(1+'Demand Breakdown - Methanol'!$N$38)</f>
        <v>4.5874414760328515</v>
      </c>
      <c r="BF40" s="101">
        <f>BE40*(1+'Demand Breakdown - Methanol'!$N$38)</f>
        <v>4.6654279811254096</v>
      </c>
      <c r="BG40" s="101">
        <f>BF40*(1+'Demand Breakdown - Methanol'!$N$38)</f>
        <v>4.7447402568045414</v>
      </c>
      <c r="BH40" s="101">
        <f>BG40*(1+'Demand Breakdown - Methanol'!$N$38)</f>
        <v>4.8254008411702181</v>
      </c>
      <c r="BI40" s="101">
        <f>BH40*(1+'Demand Breakdown - Methanol'!$N$38)</f>
        <v>4.9074326554701111</v>
      </c>
      <c r="BJ40" s="101">
        <f>BI40*(1+'Demand Breakdown - Methanol'!$N$38)</f>
        <v>4.9908590106131028</v>
      </c>
      <c r="BK40" s="101">
        <f>BJ40*(1+'Demand Breakdown - Methanol'!$N$38)</f>
        <v>5.0757036137935252</v>
      </c>
      <c r="BL40" s="101">
        <f>BK40*(1+'Demand Breakdown - Methanol'!$N$38)</f>
        <v>5.1619905752280149</v>
      </c>
      <c r="BM40" s="101">
        <f>BL40*(1+'Demand Breakdown - Methanol'!$N$38)</f>
        <v>5.2497444150068908</v>
      </c>
      <c r="BN40" s="101">
        <f>BM40*(1+'Demand Breakdown - Methanol'!$N$38)</f>
        <v>5.3389900700620077</v>
      </c>
    </row>
    <row r="41" spans="1:75" x14ac:dyDescent="0.2">
      <c r="B41" s="1" t="s">
        <v>168</v>
      </c>
      <c r="C41" s="54" t="s">
        <v>153</v>
      </c>
      <c r="D41">
        <v>0</v>
      </c>
      <c r="E41" s="43">
        <f>E40*'R&amp;S - Buildings'!$D$7*'R&amp;S - Buildings'!$B$11*'R&amp;S - Buildings'!$B$15*('Yearly Methanol'!E$3-'Yearly Methanol'!$D$3)/10</f>
        <v>5.9433062271158965E-2</v>
      </c>
      <c r="F41" s="43">
        <f>F40*'R&amp;S - Buildings'!$D$7*'R&amp;S - Buildings'!$B$11*'R&amp;S - Buildings'!$B$15*('Yearly Methanol'!F$3-'Yearly Methanol'!$D$3)/10</f>
        <v>0.12088684865953732</v>
      </c>
      <c r="G41" s="43">
        <f>G40*'R&amp;S - Buildings'!$D$7*'R&amp;S - Buildings'!$B$11*'R&amp;S - Buildings'!$B$15*('Yearly Methanol'!G$3-'Yearly Methanol'!$D$3)/10</f>
        <v>0.18441288763012417</v>
      </c>
      <c r="H41" s="43">
        <f>H40*'R&amp;S - Buildings'!$D$7*'R&amp;S - Buildings'!$B$11*'R&amp;S - Buildings'!$B$15*('Yearly Methanol'!H$3-'Yearly Methanol'!$D$3)/10</f>
        <v>0.25006387562644838</v>
      </c>
      <c r="I41" s="43">
        <f>I40*'R&amp;S - Buildings'!$D$7*'R&amp;S - Buildings'!$B$11*'R&amp;S - Buildings'!$B$15*('Yearly Methanol'!I$3-'Yearly Methanol'!$D$3)/10</f>
        <v>0.3178937018901225</v>
      </c>
      <c r="J41" s="43">
        <f>J40*'R&amp;S - Buildings'!$D$7*'R&amp;S - Buildings'!$B$11*'R&amp;S - Buildings'!$B$15*('Yearly Methanol'!J$3-'Yearly Methanol'!$D$3)/10</f>
        <v>0.38795747378670542</v>
      </c>
      <c r="K41" s="43">
        <f>K40*'R&amp;S - Buildings'!$D$7*'R&amp;S - Buildings'!$B$11*'R&amp;S - Buildings'!$B$15*('Yearly Methanol'!K$3-'Yearly Methanol'!$D$3)/10</f>
        <v>0.46031154264792595</v>
      </c>
      <c r="L41" s="43">
        <f>L40*'R&amp;S - Buildings'!$D$7*'R&amp;S - Buildings'!$B$11*'R&amp;S - Buildings'!$B$15*('Yearly Methanol'!L$3-'Yearly Methanol'!$D$3)/10</f>
        <v>0.53501353014050357</v>
      </c>
      <c r="M41" s="43">
        <f>M40*'R&amp;S - Buildings'!$D$7*'R&amp;S - Buildings'!$B$11*'R&amp;S - Buildings'!$B$15*('Yearly Methanol'!M$3-'Yearly Methanol'!$D$3)/10</f>
        <v>0.61212235517200353</v>
      </c>
      <c r="N41" s="43">
        <f>N40*'R&amp;S - Buildings'!$D$7*'R&amp;S - Buildings'!$B$11*'R&amp;S - Buildings'!$B$15*('Yearly Methanol'!N$3-'Yearly Methanol'!$D$3)/10</f>
        <v>0.69169826134436396</v>
      </c>
      <c r="O41" s="43">
        <f>O40*'R&amp;S - Buildings'!$D$7*('R&amp;S - Buildings'!$B$11*('R&amp;S - Buildings'!$B$15+('R&amp;S - Buildings'!$B$16-'R&amp;S - Buildings'!$B$15)*('Yearly Methanol'!O$3-'Yearly Methanol'!$N$3)/10))</f>
        <v>0.77380284496593987</v>
      </c>
      <c r="P41" s="43">
        <f>P40*'R&amp;S - Buildings'!$D$7*('R&amp;S - Buildings'!$B$11*('R&amp;S - Buildings'!$B$15+('R&amp;S - Buildings'!$B$16-'R&amp;S - Buildings'!$B$15)*('Yearly Methanol'!P$3-'Yearly Methanol'!$N$3)/10))</f>
        <v>0.85849908363312089</v>
      </c>
      <c r="Q41" s="43">
        <f>Q40*'R&amp;S - Buildings'!$D$7*('R&amp;S - Buildings'!$B$11*('R&amp;S - Buildings'!$B$15+('R&amp;S - Buildings'!$B$16-'R&amp;S - Buildings'!$B$15)*('Yearly Methanol'!Q$3-'Yearly Methanol'!$N$3)/10))</f>
        <v>0.94585136539279102</v>
      </c>
      <c r="R41" s="43">
        <f>R40*'R&amp;S - Buildings'!$D$7*('R&amp;S - Buildings'!$B$11*('R&amp;S - Buildings'!$B$15+('R&amp;S - Buildings'!$B$16-'R&amp;S - Buildings'!$B$15)*('Yearly Methanol'!R$3-'Yearly Methanol'!$N$3)/10))</f>
        <v>1.0359255184971197</v>
      </c>
      <c r="S41" s="43">
        <f>S40*'R&amp;S - Buildings'!$D$7*('R&amp;S - Buildings'!$B$11*('R&amp;S - Buildings'!$B$15+('R&amp;S - Buildings'!$B$16-'R&amp;S - Buildings'!$B$15)*('Yearly Methanol'!S$3-'Yearly Methanol'!$N$3)/10))</f>
        <v>1.128788841762397</v>
      </c>
      <c r="T41" s="43">
        <f>T40*'R&amp;S - Buildings'!$D$7*('R&amp;S - Buildings'!$B$11*('R&amp;S - Buildings'!$B$15+('R&amp;S - Buildings'!$B$16-'R&amp;S - Buildings'!$B$15)*('Yearly Methanol'!T$3-'Yearly Methanol'!$N$3)/10))</f>
        <v>1.2245101355438484</v>
      </c>
      <c r="U41" s="43">
        <f>U40*'R&amp;S - Buildings'!$D$7*('R&amp;S - Buildings'!$B$11*('R&amp;S - Buildings'!$B$15+('R&amp;S - Buildings'!$B$16-'R&amp;S - Buildings'!$B$15)*('Yearly Methanol'!U$3-'Yearly Methanol'!$N$3)/10))</f>
        <v>1.3231597333385994</v>
      </c>
      <c r="V41" s="43">
        <f>V40*'R&amp;S - Buildings'!$D$7*('R&amp;S - Buildings'!$B$11*('R&amp;S - Buildings'!$B$15+('R&amp;S - Buildings'!$B$16-'R&amp;S - Buildings'!$B$15)*('Yearly Methanol'!V$3-'Yearly Methanol'!$N$3)/10))</f>
        <v>1.4248095340292</v>
      </c>
      <c r="W41" s="43">
        <f>W40*'R&amp;S - Buildings'!$D$7*('R&amp;S - Buildings'!$B$11*('R&amp;S - Buildings'!$B$15+('R&amp;S - Buildings'!$B$16-'R&amp;S - Buildings'!$B$15)*('Yearly Methanol'!W$3-'Yearly Methanol'!$N$3)/10))</f>
        <v>1.529533034780346</v>
      </c>
      <c r="X41" s="43">
        <f>X40*'R&amp;S - Buildings'!$D$7*('R&amp;S - Buildings'!$B$11*('R&amp;S - Buildings'!$B$15+('R&amp;S - Buildings'!$B$16-'R&amp;S - Buildings'!$B$15)*('Yearly Methanol'!X$3-'Yearly Methanol'!$N$3)/10))</f>
        <v>1.6374053646016966</v>
      </c>
      <c r="Y41" s="43">
        <f>Y40*'R&amp;S - Buildings'!$D$7*('R&amp;S - Buildings'!$B$11*('R&amp;S - Buildings'!$B$16+('R&amp;S - Buildings'!$B$17-'R&amp;S - Buildings'!$B$16)*('Yearly Methanol'!Y$3-'Yearly Methanol'!$X$3)/10))</f>
        <v>1.7510264114017398</v>
      </c>
      <c r="Z41" s="43">
        <f>Z40*'R&amp;S - Buildings'!$D$7*('R&amp;S - Buildings'!$B$11*('R&amp;S - Buildings'!$B$16+('R&amp;S - Buildings'!$B$17-'R&amp;S - Buildings'!$B$16)*('Yearly Methanol'!Z$3-'Yearly Methanol'!$X$3)/10))</f>
        <v>1.868037363642614</v>
      </c>
      <c r="AA41" s="43">
        <f>AA40*'R&amp;S - Buildings'!$D$7*('R&amp;S - Buildings'!$B$11*('R&amp;S - Buildings'!$B$16+('R&amp;S - Buildings'!$B$17-'R&amp;S - Buildings'!$B$16)*('Yearly Methanol'!AA$3-'Yearly Methanol'!$X$3)/10))</f>
        <v>1.9885206416267835</v>
      </c>
      <c r="AB41" s="43">
        <f>AB40*'R&amp;S - Buildings'!$D$7*('R&amp;S - Buildings'!$B$11*('R&amp;S - Buildings'!$B$16+('R&amp;S - Buildings'!$B$17-'R&amp;S - Buildings'!$B$16)*('Yearly Methanol'!AB$3-'Yearly Methanol'!$X$3)/10))</f>
        <v>2.1125604882643216</v>
      </c>
      <c r="AC41" s="43">
        <f>AC40*'R&amp;S - Buildings'!$D$7*('R&amp;S - Buildings'!$B$11*('R&amp;S - Buildings'!$B$16+('R&amp;S - Buildings'!$B$17-'R&amp;S - Buildings'!$B$16)*('Yearly Methanol'!AC$3-'Yearly Methanol'!$X$3)/10))</f>
        <v>2.240243007222106</v>
      </c>
      <c r="AD41" s="43">
        <f>AD40*'R&amp;S - Buildings'!$D$7*('R&amp;S - Buildings'!$B$11*('R&amp;S - Buildings'!$B$16+('R&amp;S - Buildings'!$B$17-'R&amp;S - Buildings'!$B$16)*('Yearly Methanol'!AD$3-'Yearly Methanol'!$X$3)/10))</f>
        <v>2.3716562018433471</v>
      </c>
      <c r="AE41" s="43">
        <f>AE40*'R&amp;S - Buildings'!$D$7*('R&amp;S - Buildings'!$B$11*('R&amp;S - Buildings'!$B$16+('R&amp;S - Buildings'!$B$17-'R&amp;S - Buildings'!$B$16)*('Yearly Methanol'!AE$3-'Yearly Methanol'!$X$3)/10))</f>
        <v>2.5068900148526225</v>
      </c>
      <c r="AF41" s="43">
        <f>AF40*'R&amp;S - Buildings'!$D$7*('R&amp;S - Buildings'!$B$11*('R&amp;S - Buildings'!$B$16+('R&amp;S - Buildings'!$B$17-'R&amp;S - Buildings'!$B$16)*('Yearly Methanol'!AF$3-'Yearly Methanol'!$X$3)/10))</f>
        <v>2.6460363688618806</v>
      </c>
      <c r="AG41" s="43">
        <f>AG40*'R&amp;S - Buildings'!$D$7*('R&amp;S - Buildings'!$B$11*('R&amp;S - Buildings'!$B$16+('R&amp;S - Buildings'!$B$17-'R&amp;S - Buildings'!$B$16)*('Yearly Methanol'!AG$3-'Yearly Methanol'!$X$3)/10))</f>
        <v>2.7891892076931613</v>
      </c>
      <c r="AH41" s="43">
        <f>AH40*'R&amp;S - Buildings'!$D$7*('R&amp;S - Buildings'!$B$11*('R&amp;S - Buildings'!$B$16+('R&amp;S - Buildings'!$B$17-'R&amp;S - Buildings'!$B$16)*('Yearly Methanol'!AH$3-'Yearly Methanol'!$X$3)/10))</f>
        <v>2.9364445385341043</v>
      </c>
      <c r="AJ41">
        <v>0</v>
      </c>
      <c r="AK41" s="43">
        <f>AK40*'R&amp;S - Buildings'!$D$7*'R&amp;S - Buildings'!$B$12*'R&amp;S - Buildings'!$B$15*('Yearly Methanol'!AK$3-'Yearly Methanol'!$D$3)/10</f>
        <v>2.3773224908463585E-2</v>
      </c>
      <c r="AL41" s="43">
        <f>AL40*'R&amp;S - Buildings'!$D$7*'R&amp;S - Buildings'!$B$12*'R&amp;S - Buildings'!$B$15*('Yearly Methanol'!AL$3-'Yearly Methanol'!$D$3)/10</f>
        <v>4.8354739463814925E-2</v>
      </c>
      <c r="AM41" s="43">
        <f>AM40*'R&amp;S - Buildings'!$D$7*'R&amp;S - Buildings'!$B$12*'R&amp;S - Buildings'!$B$15*('Yearly Methanol'!AM$3-'Yearly Methanol'!$D$3)/10</f>
        <v>7.3765155052049669E-2</v>
      </c>
      <c r="AN41" s="43">
        <f>AN40*'R&amp;S - Buildings'!$D$7*'R&amp;S - Buildings'!$B$12*'R&amp;S - Buildings'!$B$15*('Yearly Methanol'!AN$3-'Yearly Methanol'!$D$3)/10</f>
        <v>0.10002555025057933</v>
      </c>
      <c r="AO41" s="43">
        <f>AO40*'R&amp;S - Buildings'!$D$7*'R&amp;S - Buildings'!$B$12*'R&amp;S - Buildings'!$B$15*('Yearly Methanol'!AO$3-'Yearly Methanol'!$D$3)/10</f>
        <v>0.12715748075604899</v>
      </c>
      <c r="AP41" s="43">
        <f>AP40*'R&amp;S - Buildings'!$D$7*'R&amp;S - Buildings'!$B$12*'R&amp;S - Buildings'!$B$15*('Yearly Methanol'!AP$3-'Yearly Methanol'!$D$3)/10</f>
        <v>0.15518298951468212</v>
      </c>
      <c r="AQ41" s="43">
        <f>AQ40*'R&amp;S - Buildings'!$D$7*'R&amp;S - Buildings'!$B$12*'R&amp;S - Buildings'!$B$15*('Yearly Methanol'!AQ$3-'Yearly Methanol'!$D$3)/10</f>
        <v>0.18412461705917033</v>
      </c>
      <c r="AR41" s="43">
        <f>AR40*'R&amp;S - Buildings'!$D$7*'R&amp;S - Buildings'!$B$12*'R&amp;S - Buildings'!$B$15*('Yearly Methanol'!AR$3-'Yearly Methanol'!$D$3)/10</f>
        <v>0.21400541205620144</v>
      </c>
      <c r="AS41" s="43">
        <f>AS40*'R&amp;S - Buildings'!$D$7*'R&amp;S - Buildings'!$B$12*'R&amp;S - Buildings'!$B$15*('Yearly Methanol'!AS$3-'Yearly Methanol'!$D$3)/10</f>
        <v>0.24484894206880142</v>
      </c>
      <c r="AT41" s="43">
        <f>AT40*'R&amp;S - Buildings'!$D$7*'R&amp;S - Buildings'!$B$12*'R&amp;S - Buildings'!$B$15*('Yearly Methanol'!AT$3-'Yearly Methanol'!$D$3)/10</f>
        <v>0.27667930453774553</v>
      </c>
      <c r="AU41" s="43">
        <f>AU40*'R&amp;S - Buildings'!$D$7*('R&amp;S - Buildings'!$B$12*('R&amp;S - Buildings'!$B$15+('R&amp;S - Buildings'!$B$16-'R&amp;S - Buildings'!$B$15)*('Yearly Methanol'!AU$3-'Yearly Methanol'!$N$3)/10))</f>
        <v>0.30952113798637593</v>
      </c>
      <c r="AV41" s="43">
        <f>AV40*'R&amp;S - Buildings'!$D$7*('R&amp;S - Buildings'!$B$12*('R&amp;S - Buildings'!$B$15+('R&amp;S - Buildings'!$B$16-'R&amp;S - Buildings'!$B$15)*('Yearly Methanol'!AV$3-'Yearly Methanol'!$N$3)/10))</f>
        <v>0.34339963345324831</v>
      </c>
      <c r="AW41" s="43">
        <f>AW40*'R&amp;S - Buildings'!$D$7*('R&amp;S - Buildings'!$B$12*('R&amp;S - Buildings'!$B$15+('R&amp;S - Buildings'!$B$16-'R&amp;S - Buildings'!$B$15)*('Yearly Methanol'!AW$3-'Yearly Methanol'!$N$3)/10))</f>
        <v>0.37834054615711638</v>
      </c>
      <c r="AX41" s="43">
        <f>AX40*'R&amp;S - Buildings'!$D$7*('R&amp;S - Buildings'!$B$12*('R&amp;S - Buildings'!$B$15+('R&amp;S - Buildings'!$B$16-'R&amp;S - Buildings'!$B$15)*('Yearly Methanol'!AX$3-'Yearly Methanol'!$N$3)/10))</f>
        <v>0.41437020739884783</v>
      </c>
      <c r="AY41" s="43">
        <f>AY40*'R&amp;S - Buildings'!$D$7*('R&amp;S - Buildings'!$B$12*('R&amp;S - Buildings'!$B$15+('R&amp;S - Buildings'!$B$16-'R&amp;S - Buildings'!$B$15)*('Yearly Methanol'!AY$3-'Yearly Methanol'!$N$3)/10))</f>
        <v>0.45151553670495881</v>
      </c>
      <c r="AZ41" s="43">
        <f>AZ40*'R&amp;S - Buildings'!$D$7*('R&amp;S - Buildings'!$B$12*('R&amp;S - Buildings'!$B$15+('R&amp;S - Buildings'!$B$16-'R&amp;S - Buildings'!$B$15)*('Yearly Methanol'!AZ$3-'Yearly Methanol'!$N$3)/10))</f>
        <v>0.48980405421753931</v>
      </c>
      <c r="BA41" s="43">
        <f>BA40*'R&amp;S - Buildings'!$D$7*('R&amp;S - Buildings'!$B$12*('R&amp;S - Buildings'!$B$15+('R&amp;S - Buildings'!$B$16-'R&amp;S - Buildings'!$B$15)*('Yearly Methanol'!BA$3-'Yearly Methanol'!$N$3)/10))</f>
        <v>0.52926389333543966</v>
      </c>
      <c r="BB41" s="43">
        <f>BB40*'R&amp;S - Buildings'!$D$7*('R&amp;S - Buildings'!$B$12*('R&amp;S - Buildings'!$B$15+('R&amp;S - Buildings'!$B$16-'R&amp;S - Buildings'!$B$15)*('Yearly Methanol'!BB$3-'Yearly Methanol'!$N$3)/10))</f>
        <v>0.56992381361167999</v>
      </c>
      <c r="BC41" s="43">
        <f>BC40*'R&amp;S - Buildings'!$D$7*('R&amp;S - Buildings'!$B$12*('R&amp;S - Buildings'!$B$15+('R&amp;S - Buildings'!$B$16-'R&amp;S - Buildings'!$B$15)*('Yearly Methanol'!BC$3-'Yearly Methanol'!$N$3)/10))</f>
        <v>0.61181321391213828</v>
      </c>
      <c r="BD41" s="43">
        <f>BD40*'R&amp;S - Buildings'!$D$7*('R&amp;S - Buildings'!$B$12*('R&amp;S - Buildings'!$B$15+('R&amp;S - Buildings'!$B$16-'R&amp;S - Buildings'!$B$15)*('Yearly Methanol'!BD$3-'Yearly Methanol'!$N$3)/10))</f>
        <v>0.65496214584067869</v>
      </c>
      <c r="BE41" s="43">
        <f>BE40*'R&amp;S - Buildings'!$D$7*('R&amp;S - Buildings'!$B$12*('R&amp;S - Buildings'!$B$16+('R&amp;S - Buildings'!$B$17-'R&amp;S - Buildings'!$B$16)*('Yearly Methanol'!BE$3-'Yearly Methanol'!$X$3)/10))</f>
        <v>0.70041056456069584</v>
      </c>
      <c r="BF41" s="43">
        <f>BF40*'R&amp;S - Buildings'!$D$7*('R&amp;S - Buildings'!$B$12*('R&amp;S - Buildings'!$B$16+('R&amp;S - Buildings'!$B$17-'R&amp;S - Buildings'!$B$16)*('Yearly Methanol'!BF$3-'Yearly Methanol'!$X$3)/10))</f>
        <v>0.74721494545704548</v>
      </c>
      <c r="BG41" s="43">
        <f>BG40*'R&amp;S - Buildings'!$D$7*('R&amp;S - Buildings'!$B$12*('R&amp;S - Buildings'!$B$16+('R&amp;S - Buildings'!$B$17-'R&amp;S - Buildings'!$B$16)*('Yearly Methanol'!BG$3-'Yearly Methanol'!$X$3)/10))</f>
        <v>0.79540825665071335</v>
      </c>
      <c r="BH41" s="43">
        <f>BH40*'R&amp;S - Buildings'!$D$7*('R&amp;S - Buildings'!$B$12*('R&amp;S - Buildings'!$B$16+('R&amp;S - Buildings'!$B$17-'R&amp;S - Buildings'!$B$16)*('Yearly Methanol'!BH$3-'Yearly Methanol'!$X$3)/10))</f>
        <v>0.8450241953057287</v>
      </c>
      <c r="BI41" s="43">
        <f>BI40*'R&amp;S - Buildings'!$D$7*('R&amp;S - Buildings'!$B$12*('R&amp;S - Buildings'!$B$16+('R&amp;S - Buildings'!$B$17-'R&amp;S - Buildings'!$B$16)*('Yearly Methanol'!BI$3-'Yearly Methanol'!$X$3)/10))</f>
        <v>0.89609720288884231</v>
      </c>
      <c r="BJ41" s="43">
        <f>BJ40*'R&amp;S - Buildings'!$D$7*('R&amp;S - Buildings'!$B$12*('R&amp;S - Buildings'!$B$16+('R&amp;S - Buildings'!$B$17-'R&amp;S - Buildings'!$B$16)*('Yearly Methanol'!BJ$3-'Yearly Methanol'!$X$3)/10))</f>
        <v>0.94866248073733872</v>
      </c>
      <c r="BK41" s="43">
        <f>BK40*'R&amp;S - Buildings'!$D$7*('R&amp;S - Buildings'!$B$12*('R&amp;S - Buildings'!$B$16+('R&amp;S - Buildings'!$B$17-'R&amp;S - Buildings'!$B$16)*('Yearly Methanol'!BK$3-'Yearly Methanol'!$X$3)/10))</f>
        <v>1.002756005941049</v>
      </c>
      <c r="BL41" s="43">
        <f>BL40*'R&amp;S - Buildings'!$D$7*('R&amp;S - Buildings'!$B$12*('R&amp;S - Buildings'!$B$16+('R&amp;S - Buildings'!$B$17-'R&amp;S - Buildings'!$B$16)*('Yearly Methanol'!BL$3-'Yearly Methanol'!$X$3)/10))</f>
        <v>1.0584145475447522</v>
      </c>
      <c r="BM41" s="43">
        <f>BM40*'R&amp;S - Buildings'!$D$7*('R&amp;S - Buildings'!$B$12*('R&amp;S - Buildings'!$B$16+('R&amp;S - Buildings'!$B$17-'R&amp;S - Buildings'!$B$16)*('Yearly Methanol'!BM$3-'Yearly Methanol'!$X$3)/10))</f>
        <v>1.1156756830772645</v>
      </c>
      <c r="BN41" s="43">
        <f>BN40*'R&amp;S - Buildings'!$D$7*('R&amp;S - Buildings'!$B$12*('R&amp;S - Buildings'!$B$16+('R&amp;S - Buildings'!$B$17-'R&amp;S - Buildings'!$B$16)*('Yearly Methanol'!BN$3-'Yearly Methanol'!$X$3)/10))</f>
        <v>1.1745778154136417</v>
      </c>
    </row>
    <row r="42" spans="1:75" x14ac:dyDescent="0.2">
      <c r="B42" s="1" t="s">
        <v>172</v>
      </c>
      <c r="C42" s="54" t="s">
        <v>153</v>
      </c>
      <c r="D42">
        <v>0</v>
      </c>
      <c r="E42" s="43">
        <f>E40*'R&amp;S - Buildings'!$D$8*'R&amp;S - Buildings'!$C$11*'R&amp;S - Buildings'!$B$15*('Yearly Methanol'!E$3-'Yearly Methanol'!$D$3)/10</f>
        <v>1.9356660115020238E-2</v>
      </c>
      <c r="F42" s="43">
        <f>F40*'R&amp;S - Buildings'!$D$8*'R&amp;S - Buildings'!$C$11*'R&amp;S - Buildings'!$B$15*('Yearly Methanol'!F$3-'Yearly Methanol'!$D$3)/10</f>
        <v>3.9371446673951163E-2</v>
      </c>
      <c r="G42" s="43">
        <f>G40*'R&amp;S - Buildings'!$D$8*'R&amp;S - Buildings'!$C$11*'R&amp;S - Buildings'!$B$15*('Yearly Methanol'!G$3-'Yearly Methanol'!$D$3)/10</f>
        <v>6.0061141901112489E-2</v>
      </c>
      <c r="H42" s="43">
        <f>H40*'R&amp;S - Buildings'!$D$8*'R&amp;S - Buildings'!$C$11*'R&amp;S - Buildings'!$B$15*('Yearly Methanol'!H$3-'Yearly Methanol'!$D$3)/10</f>
        <v>8.1442908417908549E-2</v>
      </c>
      <c r="I42" s="43">
        <f>I40*'R&amp;S - Buildings'!$D$8*'R&amp;S - Buildings'!$C$11*'R&amp;S - Buildings'!$B$15*('Yearly Methanol'!I$3-'Yearly Methanol'!$D$3)/10</f>
        <v>0.10353429732626625</v>
      </c>
      <c r="J42" s="43">
        <f>J40*'R&amp;S - Buildings'!$D$8*'R&amp;S - Buildings'!$C$11*'R&amp;S - Buildings'!$B$15*('Yearly Methanol'!J$3-'Yearly Methanol'!$D$3)/10</f>
        <v>0.12635325645697529</v>
      </c>
      <c r="K42" s="43">
        <f>K40*'R&amp;S - Buildings'!$D$8*'R&amp;S - Buildings'!$C$11*'R&amp;S - Buildings'!$B$15*('Yearly Methanol'!K$3-'Yearly Methanol'!$D$3)/10</f>
        <v>0.14991813878620114</v>
      </c>
      <c r="L42" s="43">
        <f>L40*'R&amp;S - Buildings'!$D$8*'R&amp;S - Buildings'!$C$11*'R&amp;S - Buildings'!$B$15*('Yearly Methanol'!L$3-'Yearly Methanol'!$D$3)/10</f>
        <v>0.17424771102350461</v>
      </c>
      <c r="M42" s="43">
        <f>M40*'R&amp;S - Buildings'!$D$8*'R&amp;S - Buildings'!$C$11*'R&amp;S - Buildings'!$B$15*('Yearly Methanol'!M$3-'Yearly Methanol'!$D$3)/10</f>
        <v>0.19936116237476725</v>
      </c>
      <c r="N42" s="43">
        <f>N40*'R&amp;S - Buildings'!$D$8*'R&amp;S - Buildings'!$C$11*'R&amp;S - Buildings'!$B$15*('Yearly Methanol'!N$3-'Yearly Methanol'!$D$3)/10</f>
        <v>0.22527811348348697</v>
      </c>
      <c r="O42" s="43">
        <f>O40*'R&amp;S - Buildings'!$D$8*'R&amp;S - Buildings'!$C$11*('R&amp;S - Buildings'!$B$15+('R&amp;S - Buildings'!$B$16-'R&amp;S - Buildings'!$B$15)*('Yearly Methanol'!O$3-'Yearly Methanol'!$N$3)/10)</f>
        <v>0.2520186255539768</v>
      </c>
      <c r="P42" s="43">
        <f>P40*'R&amp;S - Buildings'!$D$8*'R&amp;S - Buildings'!$C$11*('R&amp;S - Buildings'!$B$15+('R&amp;S - Buildings'!$B$16-'R&amp;S - Buildings'!$B$15)*('Yearly Methanol'!P$3-'Yearly Methanol'!$N$3)/10)</f>
        <v>0.27960320966006663</v>
      </c>
      <c r="Q42" s="43">
        <f>Q40*'R&amp;S - Buildings'!$D$8*'R&amp;S - Buildings'!$C$11*('R&amp;S - Buildings'!$B$15+('R&amp;S - Buildings'!$B$16-'R&amp;S - Buildings'!$B$15)*('Yearly Methanol'!Q$3-'Yearly Methanol'!$N$3)/10)</f>
        <v>0.30805283624297841</v>
      </c>
      <c r="R42" s="43">
        <f>R40*'R&amp;S - Buildings'!$D$8*'R&amp;S - Buildings'!$C$11*('R&amp;S - Buildings'!$B$15+('R&amp;S - Buildings'!$B$16-'R&amp;S - Buildings'!$B$15)*('Yearly Methanol'!R$3-'Yearly Methanol'!$N$3)/10)</f>
        <v>0.3373889448021174</v>
      </c>
      <c r="S42" s="43">
        <f>S40*'R&amp;S - Buildings'!$D$8*'R&amp;S - Buildings'!$C$11*('R&amp;S - Buildings'!$B$15+('R&amp;S - Buildings'!$B$16-'R&amp;S - Buildings'!$B$15)*('Yearly Methanol'!S$3-'Yearly Methanol'!$N$3)/10)</f>
        <v>0.36763345378259282</v>
      </c>
      <c r="T42" s="43">
        <f>T40*'R&amp;S - Buildings'!$D$8*'R&amp;S - Buildings'!$C$11*('R&amp;S - Buildings'!$B$15+('R&amp;S - Buildings'!$B$16-'R&amp;S - Buildings'!$B$15)*('Yearly Methanol'!T$3-'Yearly Methanol'!$N$3)/10)</f>
        <v>0.39880877066335674</v>
      </c>
      <c r="U42" s="43">
        <f>U40*'R&amp;S - Buildings'!$D$8*'R&amp;S - Buildings'!$C$11*('R&amp;S - Buildings'!$B$15+('R&amp;S - Buildings'!$B$16-'R&amp;S - Buildings'!$B$15)*('Yearly Methanol'!U$3-'Yearly Methanol'!$N$3)/10)</f>
        <v>0.4309378022499234</v>
      </c>
      <c r="V42" s="43">
        <f>V40*'R&amp;S - Buildings'!$D$8*'R&amp;S - Buildings'!$C$11*('R&amp;S - Buildings'!$B$15+('R&amp;S - Buildings'!$B$16-'R&amp;S - Buildings'!$B$15)*('Yearly Methanol'!V$3-'Yearly Methanol'!$N$3)/10)</f>
        <v>0.46404396517571156</v>
      </c>
      <c r="W42" s="43">
        <f>W40*'R&amp;S - Buildings'!$D$8*'R&amp;S - Buildings'!$C$11*('R&amp;S - Buildings'!$B$15+('R&amp;S - Buildings'!$B$16-'R&amp;S - Buildings'!$B$15)*('Yearly Methanol'!W$3-'Yearly Methanol'!$N$3)/10)</f>
        <v>0.49815119661612628</v>
      </c>
      <c r="X42" s="43">
        <f>X40*'R&amp;S - Buildings'!$D$8*'R&amp;S - Buildings'!$C$11*('R&amp;S - Buildings'!$B$15+('R&amp;S - Buildings'!$B$16-'R&amp;S - Buildings'!$B$15)*('Yearly Methanol'!X$3-'Yearly Methanol'!$N$3)/10)</f>
        <v>0.53328396521957944</v>
      </c>
      <c r="Y42" s="43">
        <f>Y40*'R&amp;S - Buildings'!$D$8*'R&amp;S - Buildings'!$C$11*('R&amp;S - Buildings'!$B$16+('R&amp;S - Buildings'!$B$17-'R&amp;S - Buildings'!$B$16)*('Yearly Methanol'!Y$3-'Yearly Methanol'!$X$3)/10)</f>
        <v>0.57028902436977069</v>
      </c>
      <c r="Z42" s="43">
        <f>Z40*'R&amp;S - Buildings'!$D$8*'R&amp;S - Buildings'!$C$11*('R&amp;S - Buildings'!$B$16+('R&amp;S - Buildings'!$B$17-'R&amp;S - Buildings'!$B$16)*('Yearly Methanol'!Z$3-'Yearly Methanol'!$X$3)/10)</f>
        <v>0.60839813646511998</v>
      </c>
      <c r="AA42" s="43">
        <f>AA40*'R&amp;S - Buildings'!$D$8*'R&amp;S - Buildings'!$C$11*('R&amp;S - Buildings'!$B$16+('R&amp;S - Buildings'!$B$17-'R&amp;S - Buildings'!$B$16)*('Yearly Methanol'!AA$3-'Yearly Methanol'!$X$3)/10)</f>
        <v>0.64763814484366844</v>
      </c>
      <c r="AB42" s="43">
        <f>AB40*'R&amp;S - Buildings'!$D$8*'R&amp;S - Buildings'!$C$11*('R&amp;S - Buildings'!$B$16+('R&amp;S - Buildings'!$B$17-'R&amp;S - Buildings'!$B$16)*('Yearly Methanol'!AB$3-'Yearly Methanol'!$X$3)/10)</f>
        <v>0.68803648644564908</v>
      </c>
      <c r="AC42" s="43">
        <f>AC40*'R&amp;S - Buildings'!$D$8*'R&amp;S - Buildings'!$C$11*('R&amp;S - Buildings'!$B$16+('R&amp;S - Buildings'!$B$17-'R&amp;S - Buildings'!$B$16)*('Yearly Methanol'!AC$3-'Yearly Methanol'!$X$3)/10)</f>
        <v>0.72962120423823706</v>
      </c>
      <c r="AD42" s="43">
        <f>AD40*'R&amp;S - Buildings'!$D$8*'R&amp;S - Buildings'!$C$11*('R&amp;S - Buildings'!$B$16+('R&amp;S - Buildings'!$B$17-'R&amp;S - Buildings'!$B$16)*('Yearly Methanol'!AD$3-'Yearly Methanol'!$X$3)/10)</f>
        <v>0.77242095989119042</v>
      </c>
      <c r="AE42" s="43">
        <f>AE40*'R&amp;S - Buildings'!$D$8*'R&amp;S - Buildings'!$C$11*('R&amp;S - Buildings'!$B$16+('R&amp;S - Buildings'!$B$17-'R&amp;S - Buildings'!$B$16)*('Yearly Methanol'!AE$3-'Yearly Methanol'!$X$3)/10)</f>
        <v>0.81646504670831932</v>
      </c>
      <c r="AF42" s="43">
        <f>AF40*'R&amp;S - Buildings'!$D$8*'R&amp;S - Buildings'!$C$11*('R&amp;S - Buildings'!$B$16+('R&amp;S - Buildings'!$B$17-'R&amp;S - Buildings'!$B$16)*('Yearly Methanol'!AF$3-'Yearly Methanol'!$X$3)/10)</f>
        <v>0.86178340281982191</v>
      </c>
      <c r="AG42" s="43">
        <f>AG40*'R&amp;S - Buildings'!$D$8*'R&amp;S - Buildings'!$C$11*('R&amp;S - Buildings'!$B$16+('R&amp;S - Buildings'!$B$17-'R&amp;S - Buildings'!$B$16)*('Yearly Methanol'!AG$3-'Yearly Methanol'!$X$3)/10)</f>
        <v>0.90840662464061694</v>
      </c>
      <c r="AH42" s="43">
        <f>AH40*'R&amp;S - Buildings'!$D$8*'R&amp;S - Buildings'!$C$11*('R&amp;S - Buildings'!$B$16+('R&amp;S - Buildings'!$B$17-'R&amp;S - Buildings'!$B$16)*('Yearly Methanol'!AH$3-'Yearly Methanol'!$X$3)/10)</f>
        <v>0.95636598059990419</v>
      </c>
      <c r="AJ42">
        <v>0</v>
      </c>
      <c r="AK42" s="43">
        <f>AK40*'R&amp;S - Buildings'!$D$8*'R&amp;S - Buildings'!$C$12*'R&amp;S - Buildings'!$B$15*('Yearly Methanol'!AK$3-'Yearly Methanol'!$D$3)/10</f>
        <v>9.6783300575101188E-3</v>
      </c>
      <c r="AL42" s="43">
        <f>AL40*'R&amp;S - Buildings'!$D$8*'R&amp;S - Buildings'!$C$12*'R&amp;S - Buildings'!$B$15*('Yearly Methanol'!AL$3-'Yearly Methanol'!$D$3)/10</f>
        <v>1.9685723336975582E-2</v>
      </c>
      <c r="AM42" s="43">
        <f>AM40*'R&amp;S - Buildings'!$D$8*'R&amp;S - Buildings'!$C$12*'R&amp;S - Buildings'!$B$15*('Yearly Methanol'!AM$3-'Yearly Methanol'!$D$3)/10</f>
        <v>3.0030570950556244E-2</v>
      </c>
      <c r="AN42" s="43">
        <f>AN40*'R&amp;S - Buildings'!$D$8*'R&amp;S - Buildings'!$C$12*'R&amp;S - Buildings'!$B$15*('Yearly Methanol'!AN$3-'Yearly Methanol'!$D$3)/10</f>
        <v>4.0721454208954275E-2</v>
      </c>
      <c r="AO42" s="43">
        <f>AO40*'R&amp;S - Buildings'!$D$8*'R&amp;S - Buildings'!$C$12*'R&amp;S - Buildings'!$B$15*('Yearly Methanol'!AO$3-'Yearly Methanol'!$D$3)/10</f>
        <v>5.1767148663133124E-2</v>
      </c>
      <c r="AP42" s="43">
        <f>AP40*'R&amp;S - Buildings'!$D$8*'R&amp;S - Buildings'!$C$12*'R&amp;S - Buildings'!$B$15*('Yearly Methanol'!AP$3-'Yearly Methanol'!$D$3)/10</f>
        <v>6.3176628228487644E-2</v>
      </c>
      <c r="AQ42" s="43">
        <f>AQ40*'R&amp;S - Buildings'!$D$8*'R&amp;S - Buildings'!$C$12*'R&amp;S - Buildings'!$B$15*('Yearly Methanol'!AQ$3-'Yearly Methanol'!$D$3)/10</f>
        <v>7.4959069393100569E-2</v>
      </c>
      <c r="AR42" s="43">
        <f>AR40*'R&amp;S - Buildings'!$D$8*'R&amp;S - Buildings'!$C$12*'R&amp;S - Buildings'!$B$15*('Yearly Methanol'!AR$3-'Yearly Methanol'!$D$3)/10</f>
        <v>8.7123855511752307E-2</v>
      </c>
      <c r="AS42" s="43">
        <f>AS40*'R&amp;S - Buildings'!$D$8*'R&amp;S - Buildings'!$C$12*'R&amp;S - Buildings'!$B$15*('Yearly Methanol'!AS$3-'Yearly Methanol'!$D$3)/10</f>
        <v>9.9680581187383627E-2</v>
      </c>
      <c r="AT42" s="43">
        <f>AT40*'R&amp;S - Buildings'!$D$8*'R&amp;S - Buildings'!$C$12*'R&amp;S - Buildings'!$B$15*('Yearly Methanol'!AT$3-'Yearly Methanol'!$D$3)/10</f>
        <v>0.11263905674174349</v>
      </c>
      <c r="AU42" s="43">
        <f>AU40*'R&amp;S - Buildings'!$D$8*'R&amp;S - Buildings'!$C$12*('R&amp;S - Buildings'!$B$15+('R&amp;S - Buildings'!$B$16-'R&amp;S - Buildings'!$B$15)*('Yearly Methanol'!AU$3-'Yearly Methanol'!$N$3)/10)</f>
        <v>0.1260093127769884</v>
      </c>
      <c r="AV42" s="43">
        <f>AV40*'R&amp;S - Buildings'!$D$8*'R&amp;S - Buildings'!$C$12*('R&amp;S - Buildings'!$B$15+('R&amp;S - Buildings'!$B$16-'R&amp;S - Buildings'!$B$15)*('Yearly Methanol'!AV$3-'Yearly Methanol'!$N$3)/10)</f>
        <v>0.13980160483003332</v>
      </c>
      <c r="AW42" s="43">
        <f>AW40*'R&amp;S - Buildings'!$D$8*'R&amp;S - Buildings'!$C$12*('R&amp;S - Buildings'!$B$15+('R&amp;S - Buildings'!$B$16-'R&amp;S - Buildings'!$B$15)*('Yearly Methanol'!AW$3-'Yearly Methanol'!$N$3)/10)</f>
        <v>0.15402641812148921</v>
      </c>
      <c r="AX42" s="43">
        <f>AX40*'R&amp;S - Buildings'!$D$8*'R&amp;S - Buildings'!$C$12*('R&amp;S - Buildings'!$B$15+('R&amp;S - Buildings'!$B$16-'R&amp;S - Buildings'!$B$15)*('Yearly Methanol'!AX$3-'Yearly Methanol'!$N$3)/10)</f>
        <v>0.1686944724010587</v>
      </c>
      <c r="AY42" s="43">
        <f>AY40*'R&amp;S - Buildings'!$D$8*'R&amp;S - Buildings'!$C$12*('R&amp;S - Buildings'!$B$15+('R&amp;S - Buildings'!$B$16-'R&amp;S - Buildings'!$B$15)*('Yearly Methanol'!AY$3-'Yearly Methanol'!$N$3)/10)</f>
        <v>0.18381672689129641</v>
      </c>
      <c r="AZ42" s="43">
        <f>AZ40*'R&amp;S - Buildings'!$D$8*'R&amp;S - Buildings'!$C$12*('R&amp;S - Buildings'!$B$15+('R&amp;S - Buildings'!$B$16-'R&amp;S - Buildings'!$B$15)*('Yearly Methanol'!AZ$3-'Yearly Methanol'!$N$3)/10)</f>
        <v>0.19940438533167837</v>
      </c>
      <c r="BA42" s="43">
        <f>BA40*'R&amp;S - Buildings'!$D$8*'R&amp;S - Buildings'!$C$12*('R&amp;S - Buildings'!$B$15+('R&amp;S - Buildings'!$B$16-'R&amp;S - Buildings'!$B$15)*('Yearly Methanol'!BA$3-'Yearly Methanol'!$N$3)/10)</f>
        <v>0.2154689011249617</v>
      </c>
      <c r="BB42" s="43">
        <f>BB40*'R&amp;S - Buildings'!$D$8*'R&amp;S - Buildings'!$C$12*('R&amp;S - Buildings'!$B$15+('R&amp;S - Buildings'!$B$16-'R&amp;S - Buildings'!$B$15)*('Yearly Methanol'!BB$3-'Yearly Methanol'!$N$3)/10)</f>
        <v>0.23202198258785578</v>
      </c>
      <c r="BC42" s="43">
        <f>BC40*'R&amp;S - Buildings'!$D$8*'R&amp;S - Buildings'!$C$12*('R&amp;S - Buildings'!$B$15+('R&amp;S - Buildings'!$B$16-'R&amp;S - Buildings'!$B$15)*('Yearly Methanol'!BC$3-'Yearly Methanol'!$N$3)/10)</f>
        <v>0.24907559830806314</v>
      </c>
      <c r="BD42" s="43">
        <f>BD40*'R&amp;S - Buildings'!$D$8*'R&amp;S - Buildings'!$C$12*('R&amp;S - Buildings'!$B$15+('R&amp;S - Buildings'!$B$16-'R&amp;S - Buildings'!$B$15)*('Yearly Methanol'!BD$3-'Yearly Methanol'!$N$3)/10)</f>
        <v>0.26664198260978972</v>
      </c>
      <c r="BE42" s="43">
        <f>BE40*'R&amp;S - Buildings'!$D$8*'R&amp;S - Buildings'!$C$12*('R&amp;S - Buildings'!$B$16+('R&amp;S - Buildings'!$B$17-'R&amp;S - Buildings'!$B$16)*('Yearly Methanol'!BE$3-'Yearly Methanol'!$X$3)/10)</f>
        <v>0.28514451218488535</v>
      </c>
      <c r="BF42" s="43">
        <f>BF40*'R&amp;S - Buildings'!$D$8*'R&amp;S - Buildings'!$C$12*('R&amp;S - Buildings'!$B$16+('R&amp;S - Buildings'!$B$17-'R&amp;S - Buildings'!$B$16)*('Yearly Methanol'!BF$3-'Yearly Methanol'!$X$3)/10)</f>
        <v>0.30419906823255999</v>
      </c>
      <c r="BG42" s="43">
        <f>BG40*'R&amp;S - Buildings'!$D$8*'R&amp;S - Buildings'!$C$12*('R&amp;S - Buildings'!$B$16+('R&amp;S - Buildings'!$B$17-'R&amp;S - Buildings'!$B$16)*('Yearly Methanol'!BG$3-'Yearly Methanol'!$X$3)/10)</f>
        <v>0.32381907242183422</v>
      </c>
      <c r="BH42" s="43">
        <f>BH40*'R&amp;S - Buildings'!$D$8*'R&amp;S - Buildings'!$C$12*('R&amp;S - Buildings'!$B$16+('R&amp;S - Buildings'!$B$17-'R&amp;S - Buildings'!$B$16)*('Yearly Methanol'!BH$3-'Yearly Methanol'!$X$3)/10)</f>
        <v>0.34401824322282454</v>
      </c>
      <c r="BI42" s="43">
        <f>BI40*'R&amp;S - Buildings'!$D$8*'R&amp;S - Buildings'!$C$12*('R&amp;S - Buildings'!$B$16+('R&amp;S - Buildings'!$B$17-'R&amp;S - Buildings'!$B$16)*('Yearly Methanol'!BI$3-'Yearly Methanol'!$X$3)/10)</f>
        <v>0.36481060211911853</v>
      </c>
      <c r="BJ42" s="43">
        <f>BJ40*'R&amp;S - Buildings'!$D$8*'R&amp;S - Buildings'!$C$12*('R&amp;S - Buildings'!$B$16+('R&amp;S - Buildings'!$B$17-'R&amp;S - Buildings'!$B$16)*('Yearly Methanol'!BJ$3-'Yearly Methanol'!$X$3)/10)</f>
        <v>0.38621047994559521</v>
      </c>
      <c r="BK42" s="43">
        <f>BK40*'R&amp;S - Buildings'!$D$8*'R&amp;S - Buildings'!$C$12*('R&amp;S - Buildings'!$B$16+('R&amp;S - Buildings'!$B$17-'R&amp;S - Buildings'!$B$16)*('Yearly Methanol'!BK$3-'Yearly Methanol'!$X$3)/10)</f>
        <v>0.40823252335415966</v>
      </c>
      <c r="BL42" s="43">
        <f>BL40*'R&amp;S - Buildings'!$D$8*'R&amp;S - Buildings'!$C$12*('R&amp;S - Buildings'!$B$16+('R&amp;S - Buildings'!$B$17-'R&amp;S - Buildings'!$B$16)*('Yearly Methanol'!BL$3-'Yearly Methanol'!$X$3)/10)</f>
        <v>0.43089170140991095</v>
      </c>
      <c r="BM42" s="43">
        <f>BM40*'R&amp;S - Buildings'!$D$8*'R&amp;S - Buildings'!$C$12*('R&amp;S - Buildings'!$B$16+('R&amp;S - Buildings'!$B$17-'R&amp;S - Buildings'!$B$16)*('Yearly Methanol'!BM$3-'Yearly Methanol'!$X$3)/10)</f>
        <v>0.45420331232030847</v>
      </c>
      <c r="BN42" s="43">
        <f>BN40*'R&amp;S - Buildings'!$D$8*'R&amp;S - Buildings'!$C$12*('R&amp;S - Buildings'!$B$16+('R&amp;S - Buildings'!$B$17-'R&amp;S - Buildings'!$B$16)*('Yearly Methanol'!BN$3-'Yearly Methanol'!$X$3)/10)</f>
        <v>0.47818299029995209</v>
      </c>
    </row>
    <row r="43" spans="1:75" x14ac:dyDescent="0.2">
      <c r="B43" s="1" t="s">
        <v>197</v>
      </c>
      <c r="C43" s="65" t="s">
        <v>153</v>
      </c>
      <c r="D43" s="66">
        <f>D40-D41-D42</f>
        <v>3.219812080101577</v>
      </c>
      <c r="E43" s="66">
        <f t="shared" ref="E43:AG43" si="337">E40-E41-E42</f>
        <v>3.1957591630771245</v>
      </c>
      <c r="F43" s="66">
        <f t="shared" si="337"/>
        <v>3.1699579211826907</v>
      </c>
      <c r="G43" s="66">
        <f t="shared" si="337"/>
        <v>3.1423558626657178</v>
      </c>
      <c r="H43" s="66">
        <f t="shared" si="337"/>
        <v>3.1128992163199452</v>
      </c>
      <c r="I43" s="66">
        <f t="shared" si="337"/>
        <v>3.0815329031541063</v>
      </c>
      <c r="J43" s="66">
        <f t="shared" si="337"/>
        <v>3.0482005074671124</v>
      </c>
      <c r="K43" s="66">
        <f t="shared" si="337"/>
        <v>3.0128442473177488</v>
      </c>
      <c r="L43" s="66">
        <f t="shared" si="337"/>
        <v>2.975404944376649</v>
      </c>
      <c r="M43" s="66">
        <f t="shared" si="337"/>
        <v>2.9358219931480778</v>
      </c>
      <c r="N43" s="66">
        <f t="shared" si="337"/>
        <v>2.8940333295488094</v>
      </c>
      <c r="O43" s="66">
        <f t="shared" si="337"/>
        <v>2.8499753988311469</v>
      </c>
      <c r="P43" s="66">
        <f t="shared" si="337"/>
        <v>2.8035831228368435</v>
      </c>
      <c r="Q43" s="66">
        <f t="shared" si="337"/>
        <v>2.7547898665684722</v>
      </c>
      <c r="R43" s="66">
        <f t="shared" si="337"/>
        <v>2.7035274040644763</v>
      </c>
      <c r="S43" s="66">
        <f t="shared" si="337"/>
        <v>2.6497258835639061</v>
      </c>
      <c r="T43" s="66">
        <f t="shared" si="337"/>
        <v>2.5933137919465414</v>
      </c>
      <c r="U43" s="66">
        <f t="shared" si="337"/>
        <v>2.5342179184338374</v>
      </c>
      <c r="V43" s="66">
        <f t="shared" si="337"/>
        <v>2.4723633175358279</v>
      </c>
      <c r="W43" s="66">
        <f t="shared" si="337"/>
        <v>2.4076732712288598</v>
      </c>
      <c r="X43" s="66">
        <f t="shared" si="337"/>
        <v>2.3400692503486868</v>
      </c>
      <c r="Y43" s="66">
        <f t="shared" si="337"/>
        <v>2.2661260402613408</v>
      </c>
      <c r="Z43" s="66">
        <f t="shared" si="337"/>
        <v>2.1889924810176757</v>
      </c>
      <c r="AA43" s="66">
        <f t="shared" si="337"/>
        <v>2.1085814703340895</v>
      </c>
      <c r="AB43" s="66">
        <f t="shared" si="337"/>
        <v>2.0248038664602475</v>
      </c>
      <c r="AC43" s="66">
        <f t="shared" si="337"/>
        <v>1.937568444009768</v>
      </c>
      <c r="AD43" s="66">
        <f t="shared" si="337"/>
        <v>1.8467818488785652</v>
      </c>
      <c r="AE43" s="66">
        <f t="shared" si="337"/>
        <v>1.7523485522325832</v>
      </c>
      <c r="AF43" s="66">
        <f t="shared" si="337"/>
        <v>1.6541708035463123</v>
      </c>
      <c r="AG43" s="66">
        <f t="shared" si="337"/>
        <v>1.5521485826731127</v>
      </c>
      <c r="AH43" s="66">
        <f>AH40-AH41-AH42</f>
        <v>1.4461795509279991</v>
      </c>
      <c r="AJ43" s="66">
        <f>AJ40-AJ41-AJ42</f>
        <v>3.219812080101577</v>
      </c>
      <c r="AK43" s="66">
        <f t="shared" ref="AK43:BM43" si="338">AK40-AK41-AK42</f>
        <v>3.2410973304973294</v>
      </c>
      <c r="AL43" s="66">
        <f t="shared" si="338"/>
        <v>3.2621757537153888</v>
      </c>
      <c r="AM43" s="66">
        <f t="shared" si="338"/>
        <v>3.2830341661943483</v>
      </c>
      <c r="AN43" s="66">
        <f t="shared" si="338"/>
        <v>3.3036589959047684</v>
      </c>
      <c r="AO43" s="66">
        <f t="shared" si="338"/>
        <v>3.3240362729513127</v>
      </c>
      <c r="AP43" s="66">
        <f t="shared" si="338"/>
        <v>3.3441516199676231</v>
      </c>
      <c r="AQ43" s="66">
        <f t="shared" si="338"/>
        <v>3.3639902422996055</v>
      </c>
      <c r="AR43" s="66">
        <f t="shared" si="338"/>
        <v>3.383536917972704</v>
      </c>
      <c r="AS43" s="66">
        <f t="shared" si="338"/>
        <v>3.4027759874386634</v>
      </c>
      <c r="AT43" s="66">
        <f t="shared" si="338"/>
        <v>3.4216913430971716</v>
      </c>
      <c r="AU43" s="66">
        <f t="shared" si="338"/>
        <v>3.440266418587699</v>
      </c>
      <c r="AV43" s="66">
        <f t="shared" si="338"/>
        <v>3.4584841778467492</v>
      </c>
      <c r="AW43" s="66">
        <f t="shared" si="338"/>
        <v>3.4763271039256356</v>
      </c>
      <c r="AX43" s="66">
        <f t="shared" si="338"/>
        <v>3.4937771875638068</v>
      </c>
      <c r="AY43" s="66">
        <f t="shared" si="338"/>
        <v>3.5108159155126408</v>
      </c>
      <c r="AZ43" s="66">
        <f t="shared" si="338"/>
        <v>3.5274242586045292</v>
      </c>
      <c r="BA43" s="66">
        <f t="shared" si="338"/>
        <v>3.5435826595619586</v>
      </c>
      <c r="BB43" s="66">
        <f t="shared" si="338"/>
        <v>3.5592710205412041</v>
      </c>
      <c r="BC43" s="66">
        <f t="shared" si="338"/>
        <v>3.5744686904051308</v>
      </c>
      <c r="BD43" s="66">
        <f t="shared" si="338"/>
        <v>3.5891544517194944</v>
      </c>
      <c r="BE43" s="66">
        <f t="shared" si="338"/>
        <v>3.6018863992872703</v>
      </c>
      <c r="BF43" s="66">
        <f t="shared" si="338"/>
        <v>3.6140139674358038</v>
      </c>
      <c r="BG43" s="66">
        <f t="shared" si="338"/>
        <v>3.625512927731994</v>
      </c>
      <c r="BH43" s="66">
        <f t="shared" si="338"/>
        <v>3.6363584026416649</v>
      </c>
      <c r="BI43" s="66">
        <f t="shared" si="338"/>
        <v>3.6465248504621508</v>
      </c>
      <c r="BJ43" s="66">
        <f t="shared" si="338"/>
        <v>3.6559860499301688</v>
      </c>
      <c r="BK43" s="66">
        <f t="shared" si="338"/>
        <v>3.6647150844983165</v>
      </c>
      <c r="BL43" s="66">
        <f t="shared" si="338"/>
        <v>3.6726843262733513</v>
      </c>
      <c r="BM43" s="66">
        <f t="shared" si="338"/>
        <v>3.6798654196093179</v>
      </c>
      <c r="BN43" s="66">
        <f>BN40-BN41-BN42</f>
        <v>3.6862292643484138</v>
      </c>
    </row>
    <row r="44" spans="1:75" s="67" customFormat="1" x14ac:dyDescent="0.2">
      <c r="A44" s="681"/>
      <c r="B44" s="58" t="s">
        <v>246</v>
      </c>
      <c r="C44" s="59" t="s">
        <v>153</v>
      </c>
      <c r="D44" s="60">
        <f>D$7/(D$7+D$9)*D43</f>
        <v>0.53990534455448469</v>
      </c>
      <c r="E44" s="60">
        <f t="shared" ref="E44" si="339">E$7/(E$7+E$9)*E43</f>
        <v>0.52317475544815406</v>
      </c>
      <c r="F44" s="60">
        <f t="shared" ref="F44" si="340">F$7/(F$7+F$9)*F43</f>
        <v>0.50839407953068705</v>
      </c>
      <c r="G44" s="60">
        <f t="shared" ref="G44" si="341">G$7/(G$7+G$9)*G43</f>
        <v>0.49509587582109865</v>
      </c>
      <c r="H44" s="60">
        <f t="shared" ref="H44" si="342">H$7/(H$7+H$9)*H43</f>
        <v>0.48293430383435593</v>
      </c>
      <c r="I44" s="60">
        <f t="shared" ref="I44" si="343">I$7/(I$7+I$9)*I43</f>
        <v>0.47164727322284516</v>
      </c>
      <c r="J44" s="60">
        <f t="shared" ref="J44" si="344">J$7/(J$7+J$9)*J43</f>
        <v>0.46103187105571819</v>
      </c>
      <c r="K44" s="60">
        <f t="shared" ref="K44" si="345">K$7/(K$7+K$9)*K43</f>
        <v>0.45092793144481486</v>
      </c>
      <c r="L44" s="60">
        <f t="shared" ref="L44" si="346">L$7/(L$7+L$9)*L43</f>
        <v>0.44120676317241486</v>
      </c>
      <c r="M44" s="60">
        <f t="shared" ref="M44" si="347">M$7/(M$7+M$9)*M43</f>
        <v>0.4317632387908118</v>
      </c>
      <c r="N44" s="60">
        <f t="shared" ref="N44" si="348">N$7/(N$7+N$9)*N43</f>
        <v>0.42251012981658181</v>
      </c>
      <c r="O44" s="60">
        <f t="shared" ref="O44" si="349">O$7/(O$7+O$9)*O43</f>
        <v>0.41750127489855621</v>
      </c>
      <c r="P44" s="60">
        <f t="shared" ref="P44" si="350">P$7/(P$7+P$9)*P43</f>
        <v>0.41216713369491936</v>
      </c>
      <c r="Q44" s="60">
        <f t="shared" ref="Q44" si="351">Q$7/(Q$7+Q$9)*Q43</f>
        <v>0.40649220948853049</v>
      </c>
      <c r="R44" s="60">
        <f t="shared" ref="R44" si="352">R$7/(R$7+R$9)*R43</f>
        <v>0.40046034611254239</v>
      </c>
      <c r="S44" s="60">
        <f t="shared" ref="S44" si="353">S$7/(S$7+S$9)*S43</f>
        <v>0.39405468385739872</v>
      </c>
      <c r="T44" s="60">
        <f t="shared" ref="T44" si="354">T$7/(T$7+T$9)*T43</f>
        <v>0.38754983402746773</v>
      </c>
      <c r="U44" s="60">
        <f t="shared" ref="U44" si="355">U$7/(U$7+U$9)*U43</f>
        <v>0.38062529093328629</v>
      </c>
      <c r="V44" s="60">
        <f t="shared" ref="V44" si="356">V$7/(V$7+V$9)*V43</f>
        <v>0.37326117445885343</v>
      </c>
      <c r="W44" s="60">
        <f t="shared" ref="W44" si="357">W$7/(W$7+W$9)*W43</f>
        <v>0.36543658936461237</v>
      </c>
      <c r="X44" s="60">
        <f t="shared" ref="X44" si="358">X$7/(X$7+X$9)*X43</f>
        <v>0.35712955748976249</v>
      </c>
      <c r="Y44" s="60">
        <f t="shared" ref="Y44" si="359">Y$7/(Y$7+Y$9)*Y43</f>
        <v>0.34834288031442767</v>
      </c>
      <c r="Z44" s="60">
        <f t="shared" ref="Z44" si="360">Z$7/(Z$7+Z$9)*Z43</f>
        <v>0.33898262854359329</v>
      </c>
      <c r="AA44" s="60">
        <f t="shared" ref="AA44" si="361">AA$7/(AA$7+AA$9)*AA43</f>
        <v>0.32901913441145336</v>
      </c>
      <c r="AB44" s="60">
        <f t="shared" ref="AB44" si="362">AB$7/(AB$7+AB$9)*AB43</f>
        <v>0.31842089530425688</v>
      </c>
      <c r="AC44" s="60">
        <f t="shared" ref="AC44" si="363">AC$7/(AC$7+AC$9)*AC43</f>
        <v>0.30715442999991271</v>
      </c>
      <c r="AD44" s="60">
        <f t="shared" ref="AD44" si="364">AD$7/(AD$7+AD$9)*AD43</f>
        <v>0.2951841211305069</v>
      </c>
      <c r="AE44" s="60">
        <f t="shared" ref="AE44" si="365">AE$7/(AE$7+AE$9)*AE43</f>
        <v>0.2824720423000972</v>
      </c>
      <c r="AF44" s="60">
        <f t="shared" ref="AF44" si="366">AF$7/(AF$7+AF$9)*AF43</f>
        <v>0.2689777680830211</v>
      </c>
      <c r="AG44" s="60">
        <f t="shared" ref="AG44" si="367">AG$7/(AG$7+AG$9)*AG43</f>
        <v>0.25465816488949927</v>
      </c>
      <c r="AH44" s="60">
        <f t="shared" ref="AH44" si="368">AH$7/(AH$7+AH$9)*AH43</f>
        <v>0.23946716041020352</v>
      </c>
      <c r="AJ44" s="60">
        <f>AJ$7/(AJ$7+AJ$9)*AJ43</f>
        <v>0.53990534455448469</v>
      </c>
      <c r="AK44" s="60">
        <f t="shared" ref="AK44" si="369">AK$7/(AK$7+AK$9)*AK43</f>
        <v>0.53059702459990521</v>
      </c>
      <c r="AL44" s="60">
        <f t="shared" ref="AL44" si="370">AL$7/(AL$7+AL$9)*AL43</f>
        <v>0.52318386578415388</v>
      </c>
      <c r="AM44" s="60">
        <f t="shared" ref="AM44" si="371">AM$7/(AM$7+AM$9)*AM43</f>
        <v>0.51726053537542704</v>
      </c>
      <c r="AN44" s="60">
        <f t="shared" ref="AN44" si="372">AN$7/(AN$7+AN$9)*AN43</f>
        <v>0.51252872207649258</v>
      </c>
      <c r="AO44" s="60">
        <f t="shared" ref="AO44" si="373">AO$7/(AO$7+AO$9)*AO43</f>
        <v>0.50876388262043881</v>
      </c>
      <c r="AP44" s="60">
        <f t="shared" ref="AP44" si="374">AP$7/(AP$7+AP$9)*AP43</f>
        <v>0.50579365585395919</v>
      </c>
      <c r="AQ44" s="60">
        <f t="shared" ref="AQ44" si="375">AQ$7/(AQ$7+AQ$9)*AQ43</f>
        <v>0.50348343188041389</v>
      </c>
      <c r="AR44" s="60">
        <f t="shared" ref="AR44" si="376">AR$7/(AR$7+AR$9)*AR43</f>
        <v>0.50172645389814563</v>
      </c>
      <c r="AS44" s="60">
        <f t="shared" ref="AS44" si="377">AS$7/(AS$7+AS$9)*AS43</f>
        <v>0.50043687411739357</v>
      </c>
      <c r="AT44" s="60">
        <f t="shared" ref="AT44" si="378">AT$7/(AT$7+AT$9)*AT43</f>
        <v>0.49954478367726679</v>
      </c>
      <c r="AU44" s="60">
        <f t="shared" ref="AU44" si="379">AU$7/(AU$7+AU$9)*AU43</f>
        <v>0.50397474179606139</v>
      </c>
      <c r="AV44" s="60">
        <f t="shared" ref="AV44" si="380">AV$7/(AV$7+AV$9)*AV43</f>
        <v>0.50844702941068487</v>
      </c>
      <c r="AW44" s="60">
        <f t="shared" ref="AW44" si="381">AW$7/(AW$7+AW$9)*AW43</f>
        <v>0.5129610437909139</v>
      </c>
      <c r="AX44" s="60">
        <f t="shared" ref="AX44" si="382">AX$7/(AX$7+AX$9)*AX43</f>
        <v>0.5175161974198873</v>
      </c>
      <c r="AY44" s="60">
        <f t="shared" ref="AY44" si="383">AY$7/(AY$7+AY$9)*AY43</f>
        <v>0.52211191514199184</v>
      </c>
      <c r="AZ44" s="60">
        <f t="shared" ref="AZ44" si="384">AZ$7/(AZ$7+AZ$9)*AZ43</f>
        <v>0.52714511071201253</v>
      </c>
      <c r="BA44" s="60">
        <f t="shared" ref="BA44" si="385">BA$7/(BA$7+BA$9)*BA43</f>
        <v>0.5322262031733529</v>
      </c>
      <c r="BB44" s="60">
        <f t="shared" ref="BB44" si="386">BB$7/(BB$7+BB$9)*BB43</f>
        <v>0.537355360323299</v>
      </c>
      <c r="BC44" s="60">
        <f t="shared" ref="BC44" si="387">BC$7/(BC$7+BC$9)*BC43</f>
        <v>0.54253276913505244</v>
      </c>
      <c r="BD44" s="60">
        <f t="shared" ref="BD44" si="388">BD$7/(BD$7+BD$9)*BD43</f>
        <v>0.5477586361660014</v>
      </c>
      <c r="BE44" s="60">
        <f t="shared" ref="BE44" si="389">BE$7/(BE$7+BE$9)*BE43</f>
        <v>0.55367241742140394</v>
      </c>
      <c r="BF44" s="60">
        <f t="shared" ref="BF44" si="390">BF$7/(BF$7+BF$9)*BF43</f>
        <v>0.5596583656171803</v>
      </c>
      <c r="BG44" s="60">
        <f t="shared" ref="BG44" si="391">BG$7/(BG$7+BG$9)*BG43</f>
        <v>0.5657183002233791</v>
      </c>
      <c r="BH44" s="60">
        <f t="shared" ref="BH44" si="392">BH$7/(BH$7+BH$9)*BH43</f>
        <v>0.57185415209648849</v>
      </c>
      <c r="BI44" s="60">
        <f t="shared" ref="BI44" si="393">BI$7/(BI$7+BI$9)*BI43</f>
        <v>0.57806797245639518</v>
      </c>
      <c r="BJ44" s="60">
        <f t="shared" ref="BJ44" si="394">BJ$7/(BJ$7+BJ$9)*BJ43</f>
        <v>0.58436194273262665</v>
      </c>
      <c r="BK44" s="60">
        <f t="shared" ref="BK44" si="395">BK$7/(BK$7+BK$9)*BK43</f>
        <v>0.5907383853784911</v>
      </c>
      <c r="BL44" s="60">
        <f t="shared" ref="BL44" si="396">BL$7/(BL$7+BL$9)*BL43</f>
        <v>0.5971997757647779</v>
      </c>
      <c r="BM44" s="60">
        <f t="shared" ref="BM44" si="397">BM$7/(BM$7+BM$9)*BM43</f>
        <v>0.60374875527969596</v>
      </c>
      <c r="BN44" s="60">
        <f t="shared" ref="BN44" si="398">BN$7/(BN$7+BN$9)*BN43</f>
        <v>0.61038814577904144</v>
      </c>
    </row>
    <row r="45" spans="1:75" x14ac:dyDescent="0.2">
      <c r="A45" s="682"/>
      <c r="B45" s="1" t="s">
        <v>247</v>
      </c>
      <c r="C45" s="54" t="s">
        <v>153</v>
      </c>
      <c r="D45" s="44">
        <v>0</v>
      </c>
      <c r="E45" s="44">
        <v>0</v>
      </c>
      <c r="F45" s="44">
        <v>0</v>
      </c>
      <c r="G45" s="44">
        <v>0</v>
      </c>
      <c r="H45" s="44">
        <v>0</v>
      </c>
      <c r="I45" s="44">
        <v>0</v>
      </c>
      <c r="J45" s="44">
        <v>0</v>
      </c>
      <c r="K45" s="44">
        <v>0</v>
      </c>
      <c r="L45" s="44">
        <v>0</v>
      </c>
      <c r="M45" s="44">
        <v>0</v>
      </c>
      <c r="N45" s="44">
        <v>0</v>
      </c>
      <c r="O45" s="44">
        <v>0</v>
      </c>
      <c r="P45" s="44">
        <v>0</v>
      </c>
      <c r="Q45" s="44">
        <v>0</v>
      </c>
      <c r="R45" s="44">
        <v>0</v>
      </c>
      <c r="S45" s="44">
        <v>0</v>
      </c>
      <c r="T45" s="44">
        <v>0</v>
      </c>
      <c r="U45" s="44">
        <v>0</v>
      </c>
      <c r="V45" s="44">
        <v>0</v>
      </c>
      <c r="W45" s="44">
        <v>0</v>
      </c>
      <c r="X45" s="44">
        <v>0</v>
      </c>
      <c r="Y45" s="44">
        <v>0</v>
      </c>
      <c r="Z45" s="44">
        <v>0</v>
      </c>
      <c r="AA45" s="44">
        <v>0</v>
      </c>
      <c r="AB45" s="44">
        <v>0</v>
      </c>
      <c r="AC45" s="44">
        <v>0</v>
      </c>
      <c r="AD45" s="44">
        <v>0</v>
      </c>
      <c r="AE45" s="44">
        <v>0</v>
      </c>
      <c r="AF45" s="44">
        <v>0</v>
      </c>
      <c r="AG45" s="44">
        <v>0</v>
      </c>
      <c r="AH45" s="44">
        <v>0</v>
      </c>
      <c r="AJ45" s="44">
        <v>0</v>
      </c>
      <c r="AK45" s="44">
        <v>0</v>
      </c>
      <c r="AL45" s="44">
        <v>0</v>
      </c>
      <c r="AM45" s="44">
        <v>0</v>
      </c>
      <c r="AN45" s="44">
        <v>0</v>
      </c>
      <c r="AO45" s="44">
        <v>0</v>
      </c>
      <c r="AP45" s="44">
        <v>0</v>
      </c>
      <c r="AQ45" s="44">
        <v>0</v>
      </c>
      <c r="AR45" s="44">
        <v>0</v>
      </c>
      <c r="AS45" s="44">
        <v>0</v>
      </c>
      <c r="AT45" s="44">
        <v>0</v>
      </c>
      <c r="AU45" s="44">
        <v>0</v>
      </c>
      <c r="AV45" s="44">
        <v>0</v>
      </c>
      <c r="AW45" s="44">
        <v>0</v>
      </c>
      <c r="AX45" s="44">
        <v>0</v>
      </c>
      <c r="AY45" s="44">
        <v>0</v>
      </c>
      <c r="AZ45" s="44">
        <v>0</v>
      </c>
      <c r="BA45" s="44">
        <v>0</v>
      </c>
      <c r="BB45" s="44">
        <v>0</v>
      </c>
      <c r="BC45" s="44">
        <v>0</v>
      </c>
      <c r="BD45" s="44">
        <v>0</v>
      </c>
      <c r="BE45" s="44">
        <v>0</v>
      </c>
      <c r="BF45" s="44">
        <v>0</v>
      </c>
      <c r="BG45" s="44">
        <v>0</v>
      </c>
      <c r="BH45" s="44">
        <v>0</v>
      </c>
      <c r="BI45" s="44">
        <v>0</v>
      </c>
      <c r="BJ45" s="44">
        <v>0</v>
      </c>
      <c r="BK45" s="44">
        <v>0</v>
      </c>
      <c r="BL45" s="44">
        <v>0</v>
      </c>
      <c r="BM45" s="44">
        <v>0</v>
      </c>
      <c r="BN45" s="44">
        <v>0</v>
      </c>
    </row>
    <row r="46" spans="1:75" s="68" customFormat="1" x14ac:dyDescent="0.2">
      <c r="A46" s="683"/>
      <c r="B46" s="62" t="s">
        <v>248</v>
      </c>
      <c r="C46" s="283" t="s">
        <v>153</v>
      </c>
      <c r="D46" s="284">
        <f>D$9/(D$7+D$9)*D43</f>
        <v>2.6799067355470925</v>
      </c>
      <c r="E46" s="284">
        <f t="shared" ref="E46:AH46" si="399">E$9/(E$7+E$9)*E43</f>
        <v>2.6725844076289702</v>
      </c>
      <c r="F46" s="284">
        <f t="shared" si="399"/>
        <v>2.6615638416520038</v>
      </c>
      <c r="G46" s="284">
        <f t="shared" si="399"/>
        <v>2.6472599868446189</v>
      </c>
      <c r="H46" s="284">
        <f t="shared" si="399"/>
        <v>2.6299649124855891</v>
      </c>
      <c r="I46" s="284">
        <f t="shared" si="399"/>
        <v>2.6098856299312612</v>
      </c>
      <c r="J46" s="284">
        <f t="shared" si="399"/>
        <v>2.5871686364113944</v>
      </c>
      <c r="K46" s="284">
        <f t="shared" si="399"/>
        <v>2.5619163158729337</v>
      </c>
      <c r="L46" s="284">
        <f t="shared" si="399"/>
        <v>2.5341981812042347</v>
      </c>
      <c r="M46" s="284">
        <f t="shared" si="399"/>
        <v>2.5040587543572661</v>
      </c>
      <c r="N46" s="284">
        <f t="shared" si="399"/>
        <v>2.4715231997322276</v>
      </c>
      <c r="O46" s="284">
        <f t="shared" si="399"/>
        <v>2.4324741239325904</v>
      </c>
      <c r="P46" s="284">
        <f t="shared" si="399"/>
        <v>2.3914159891419242</v>
      </c>
      <c r="Q46" s="284">
        <f t="shared" si="399"/>
        <v>2.3482976570799416</v>
      </c>
      <c r="R46" s="284">
        <f t="shared" si="399"/>
        <v>2.3030670579519339</v>
      </c>
      <c r="S46" s="284">
        <f t="shared" si="399"/>
        <v>2.2556711997065073</v>
      </c>
      <c r="T46" s="284">
        <f t="shared" si="399"/>
        <v>2.2057639579190735</v>
      </c>
      <c r="U46" s="284">
        <f t="shared" si="399"/>
        <v>2.1535926275005512</v>
      </c>
      <c r="V46" s="284">
        <f t="shared" si="399"/>
        <v>2.0991021430769745</v>
      </c>
      <c r="W46" s="284">
        <f t="shared" si="399"/>
        <v>2.0422366818642472</v>
      </c>
      <c r="X46" s="284">
        <f t="shared" si="399"/>
        <v>1.9829396928589245</v>
      </c>
      <c r="Y46" s="284">
        <f t="shared" si="399"/>
        <v>1.9177831599469131</v>
      </c>
      <c r="Z46" s="284">
        <f t="shared" si="399"/>
        <v>1.8500098524740825</v>
      </c>
      <c r="AA46" s="284">
        <f t="shared" si="399"/>
        <v>1.7795623359226362</v>
      </c>
      <c r="AB46" s="284">
        <f t="shared" si="399"/>
        <v>1.7063829711559906</v>
      </c>
      <c r="AC46" s="284">
        <f t="shared" si="399"/>
        <v>1.6304140140098553</v>
      </c>
      <c r="AD46" s="284">
        <f t="shared" si="399"/>
        <v>1.5515977277480584</v>
      </c>
      <c r="AE46" s="284">
        <f t="shared" si="399"/>
        <v>1.469876509932486</v>
      </c>
      <c r="AF46" s="284">
        <f t="shared" si="399"/>
        <v>1.3851930354632913</v>
      </c>
      <c r="AG46" s="284">
        <f t="shared" si="399"/>
        <v>1.2974904177836135</v>
      </c>
      <c r="AH46" s="284">
        <f t="shared" si="399"/>
        <v>1.2067123905177957</v>
      </c>
      <c r="AJ46" s="284">
        <f>AJ$9/(AJ$7+AJ$9)*AJ43</f>
        <v>2.6799067355470925</v>
      </c>
      <c r="AK46" s="284">
        <f t="shared" ref="AK46:BN46" si="400">AK$9/(AK$7+AK$9)*AK43</f>
        <v>2.710500305897424</v>
      </c>
      <c r="AL46" s="284">
        <f t="shared" si="400"/>
        <v>2.7389918879312352</v>
      </c>
      <c r="AM46" s="284">
        <f t="shared" si="400"/>
        <v>2.7657736308189209</v>
      </c>
      <c r="AN46" s="284">
        <f t="shared" si="400"/>
        <v>2.7911302738282759</v>
      </c>
      <c r="AO46" s="284">
        <f t="shared" si="400"/>
        <v>2.8152723903308736</v>
      </c>
      <c r="AP46" s="284">
        <f t="shared" si="400"/>
        <v>2.8383579641136643</v>
      </c>
      <c r="AQ46" s="284">
        <f t="shared" si="400"/>
        <v>2.8605068104191913</v>
      </c>
      <c r="AR46" s="284">
        <f t="shared" si="400"/>
        <v>2.8818104640745585</v>
      </c>
      <c r="AS46" s="284">
        <f t="shared" si="400"/>
        <v>2.9023391133212701</v>
      </c>
      <c r="AT46" s="284">
        <f t="shared" si="400"/>
        <v>2.9221465594199048</v>
      </c>
      <c r="AU46" s="284">
        <f t="shared" si="400"/>
        <v>2.9362916767916376</v>
      </c>
      <c r="AV46" s="284">
        <f t="shared" si="400"/>
        <v>2.9500371484360643</v>
      </c>
      <c r="AW46" s="284">
        <f t="shared" si="400"/>
        <v>2.9633660601347218</v>
      </c>
      <c r="AX46" s="284">
        <f t="shared" si="400"/>
        <v>2.9762609901439192</v>
      </c>
      <c r="AY46" s="284">
        <f t="shared" si="400"/>
        <v>2.9887040003706487</v>
      </c>
      <c r="AZ46" s="284">
        <f t="shared" si="400"/>
        <v>3.0002791478925164</v>
      </c>
      <c r="BA46" s="284">
        <f t="shared" si="400"/>
        <v>3.0113564563886062</v>
      </c>
      <c r="BB46" s="284">
        <f t="shared" si="400"/>
        <v>3.0219156602179056</v>
      </c>
      <c r="BC46" s="284">
        <f t="shared" si="400"/>
        <v>3.0319359212700778</v>
      </c>
      <c r="BD46" s="284">
        <f t="shared" si="400"/>
        <v>3.0413958155534928</v>
      </c>
      <c r="BE46" s="284">
        <f t="shared" si="400"/>
        <v>3.0482139818658665</v>
      </c>
      <c r="BF46" s="284">
        <f t="shared" si="400"/>
        <v>3.0543556018186235</v>
      </c>
      <c r="BG46" s="284">
        <f t="shared" si="400"/>
        <v>3.059794627508615</v>
      </c>
      <c r="BH46" s="284">
        <f t="shared" si="400"/>
        <v>3.0645042505451761</v>
      </c>
      <c r="BI46" s="284">
        <f t="shared" si="400"/>
        <v>3.068456878005756</v>
      </c>
      <c r="BJ46" s="284">
        <f t="shared" si="400"/>
        <v>3.0716241071975423</v>
      </c>
      <c r="BK46" s="284">
        <f t="shared" si="400"/>
        <v>3.0739766991198256</v>
      </c>
      <c r="BL46" s="284">
        <f t="shared" si="400"/>
        <v>3.0754845505085737</v>
      </c>
      <c r="BM46" s="284">
        <f t="shared" si="400"/>
        <v>3.0761166643296223</v>
      </c>
      <c r="BN46" s="284">
        <f t="shared" si="400"/>
        <v>3.0758411185693726</v>
      </c>
    </row>
    <row r="47" spans="1:75" x14ac:dyDescent="0.2">
      <c r="A47" s="1" t="s">
        <v>205</v>
      </c>
      <c r="B47" s="58" t="s">
        <v>199</v>
      </c>
      <c r="C47" s="59" t="s">
        <v>153</v>
      </c>
      <c r="D47" s="443">
        <f>'Demand - Industry shares'!L87</f>
        <v>1.4464073070604898E-2</v>
      </c>
      <c r="E47" s="443">
        <f>D47*(1+'Demand Breakdown - Methanol'!$N$42)</f>
        <v>1.47678186050876E-2</v>
      </c>
      <c r="F47" s="443">
        <f>E47*(1+'Demand Breakdown - Methanol'!$N$42)</f>
        <v>1.5077942795794438E-2</v>
      </c>
      <c r="G47" s="443">
        <f>F47*(1+'Demand Breakdown - Methanol'!$N$42)</f>
        <v>1.539457959450612E-2</v>
      </c>
      <c r="H47" s="443">
        <f>G47*(1+'Demand Breakdown - Methanol'!$N$42)</f>
        <v>1.5717865765990748E-2</v>
      </c>
      <c r="I47" s="443">
        <f>H47*(1+'Demand Breakdown - Methanol'!$N$42)</f>
        <v>1.6047940947076553E-2</v>
      </c>
      <c r="J47" s="443">
        <f>I47*(1+'Demand Breakdown - Methanol'!$N$42)</f>
        <v>1.638494770696516E-2</v>
      </c>
      <c r="K47" s="443">
        <f>J47*(1+'Demand Breakdown - Methanol'!$N$42)</f>
        <v>1.6729031608811427E-2</v>
      </c>
      <c r="L47" s="443">
        <f>K47*(1+'Demand Breakdown - Methanol'!$N$42)</f>
        <v>1.7080341272596465E-2</v>
      </c>
      <c r="M47" s="443">
        <f>L47*(1+'Demand Breakdown - Methanol'!$N$42)</f>
        <v>1.7439028439320988E-2</v>
      </c>
      <c r="N47" s="443">
        <f>M47*(1+'Demand Breakdown - Methanol'!$N$42)</f>
        <v>1.7805248036546727E-2</v>
      </c>
      <c r="O47" s="443">
        <f>N47*(1+'Demand Breakdown - Methanol'!$N$42)</f>
        <v>1.8179158245314207E-2</v>
      </c>
      <c r="P47" s="443">
        <f>O47*(1+'Demand Breakdown - Methanol'!$N$42)</f>
        <v>1.8560920568465804E-2</v>
      </c>
      <c r="Q47" s="443">
        <f>P47*(1+'Demand Breakdown - Methanol'!$N$42)</f>
        <v>1.8950699900403583E-2</v>
      </c>
      <c r="R47" s="443">
        <f>Q47*(1+'Demand Breakdown - Methanol'!$N$42)</f>
        <v>1.9348664598312058E-2</v>
      </c>
      <c r="S47" s="443">
        <f>R47*(1+'Demand Breakdown - Methanol'!$N$42)</f>
        <v>1.9754986554876609E-2</v>
      </c>
      <c r="T47" s="443">
        <f>S47*(1+'Demand Breakdown - Methanol'!$N$42)</f>
        <v>2.0169841272529014E-2</v>
      </c>
      <c r="U47" s="443">
        <f>T47*(1+'Demand Breakdown - Methanol'!$N$42)</f>
        <v>2.0593407939252122E-2</v>
      </c>
      <c r="V47" s="443">
        <f>U47*(1+'Demand Breakdown - Methanol'!$N$42)</f>
        <v>2.1025869505976413E-2</v>
      </c>
      <c r="W47" s="443">
        <f>V47*(1+'Demand Breakdown - Methanol'!$N$42)</f>
        <v>2.1467412765601917E-2</v>
      </c>
      <c r="X47" s="443">
        <f>W47*(1+'Demand Breakdown - Methanol'!$N$42)</f>
        <v>2.1918228433679555E-2</v>
      </c>
      <c r="Y47" s="443">
        <f>X47*(1+'Demand Breakdown - Methanol'!$N$42)</f>
        <v>2.2378511230786824E-2</v>
      </c>
      <c r="Z47" s="443">
        <f>Y47*(1+'Demand Breakdown - Methanol'!$N$42)</f>
        <v>2.2848459966633344E-2</v>
      </c>
      <c r="AA47" s="443">
        <f>Z47*(1+'Demand Breakdown - Methanol'!$N$42)</f>
        <v>2.3328277625932644E-2</v>
      </c>
      <c r="AB47" s="443">
        <f>AA47*(1+'Demand Breakdown - Methanol'!$N$42)</f>
        <v>2.3818171456077227E-2</v>
      </c>
      <c r="AC47" s="443">
        <f>AB47*(1+'Demand Breakdown - Methanol'!$N$42)</f>
        <v>2.4318353056654848E-2</v>
      </c>
      <c r="AD47" s="443">
        <f>AC47*(1+'Demand Breakdown - Methanol'!$N$42)</f>
        <v>2.4829038470844597E-2</v>
      </c>
      <c r="AE47" s="443">
        <f>AD47*(1+'Demand Breakdown - Methanol'!$N$42)</f>
        <v>2.535044827873233E-2</v>
      </c>
      <c r="AF47" s="443">
        <f>AE47*(1+'Demand Breakdown - Methanol'!$N$42)</f>
        <v>2.5882807692585708E-2</v>
      </c>
      <c r="AG47" s="443">
        <f>AF47*(1+'Demand Breakdown - Methanol'!$N$42)</f>
        <v>2.6426346654130007E-2</v>
      </c>
      <c r="AH47" s="443">
        <f>AG47*(1+'Demand Breakdown - Methanol'!$N$42)</f>
        <v>2.6981299933866734E-2</v>
      </c>
      <c r="AJ47" s="443">
        <f>D47</f>
        <v>1.4464073070604898E-2</v>
      </c>
      <c r="AK47" s="443">
        <f>AJ47*(1+'Demand Breakdown - Methanol'!$N$42)</f>
        <v>1.47678186050876E-2</v>
      </c>
      <c r="AL47" s="443">
        <f>AK47*(1+'Demand Breakdown - Methanol'!$N$42)</f>
        <v>1.5077942795794438E-2</v>
      </c>
      <c r="AM47" s="443">
        <f>AL47*(1+'Demand Breakdown - Methanol'!$N$42)</f>
        <v>1.539457959450612E-2</v>
      </c>
      <c r="AN47" s="443">
        <f>AM47*(1+'Demand Breakdown - Methanol'!$N$42)</f>
        <v>1.5717865765990748E-2</v>
      </c>
      <c r="AO47" s="443">
        <f>AN47*(1+'Demand Breakdown - Methanol'!$N$42)</f>
        <v>1.6047940947076553E-2</v>
      </c>
      <c r="AP47" s="443">
        <f>AO47*(1+'Demand Breakdown - Methanol'!$N$42)</f>
        <v>1.638494770696516E-2</v>
      </c>
      <c r="AQ47" s="443">
        <f>AP47*(1+'Demand Breakdown - Methanol'!$N$42)</f>
        <v>1.6729031608811427E-2</v>
      </c>
      <c r="AR47" s="443">
        <f>AQ47*(1+'Demand Breakdown - Methanol'!$N$42)</f>
        <v>1.7080341272596465E-2</v>
      </c>
      <c r="AS47" s="443">
        <f>AR47*(1+'Demand Breakdown - Methanol'!$N$42)</f>
        <v>1.7439028439320988E-2</v>
      </c>
      <c r="AT47" s="443">
        <f>AS47*(1+'Demand Breakdown - Methanol'!$N$42)</f>
        <v>1.7805248036546727E-2</v>
      </c>
      <c r="AU47" s="443">
        <f>AT47*(1+'Demand Breakdown - Methanol'!$N$42)</f>
        <v>1.8179158245314207E-2</v>
      </c>
      <c r="AV47" s="443">
        <f>AU47*(1+'Demand Breakdown - Methanol'!$N$42)</f>
        <v>1.8560920568465804E-2</v>
      </c>
      <c r="AW47" s="443">
        <f>AV47*(1+'Demand Breakdown - Methanol'!$N$42)</f>
        <v>1.8950699900403583E-2</v>
      </c>
      <c r="AX47" s="443">
        <f>AW47*(1+'Demand Breakdown - Methanol'!$N$42)</f>
        <v>1.9348664598312058E-2</v>
      </c>
      <c r="AY47" s="443">
        <f>AX47*(1+'Demand Breakdown - Methanol'!$N$42)</f>
        <v>1.9754986554876609E-2</v>
      </c>
      <c r="AZ47" s="443">
        <f>AY47*(1+'Demand Breakdown - Methanol'!$N$42)</f>
        <v>2.0169841272529014E-2</v>
      </c>
      <c r="BA47" s="443">
        <f>AZ47*(1+'Demand Breakdown - Methanol'!$N$42)</f>
        <v>2.0593407939252122E-2</v>
      </c>
      <c r="BB47" s="443">
        <f>BA47*(1+'Demand Breakdown - Methanol'!$N$42)</f>
        <v>2.1025869505976413E-2</v>
      </c>
      <c r="BC47" s="443">
        <f>BB47*(1+'Demand Breakdown - Methanol'!$N$42)</f>
        <v>2.1467412765601917E-2</v>
      </c>
      <c r="BD47" s="443">
        <f>BC47*(1+'Demand Breakdown - Methanol'!$N$42)</f>
        <v>2.1918228433679555E-2</v>
      </c>
      <c r="BE47" s="443">
        <f>BD47*(1+'Demand Breakdown - Methanol'!$N$42)</f>
        <v>2.2378511230786824E-2</v>
      </c>
      <c r="BF47" s="443">
        <f>BE47*(1+'Demand Breakdown - Methanol'!$N$42)</f>
        <v>2.2848459966633344E-2</v>
      </c>
      <c r="BG47" s="443">
        <f>BF47*(1+'Demand Breakdown - Methanol'!$N$42)</f>
        <v>2.3328277625932644E-2</v>
      </c>
      <c r="BH47" s="443">
        <f>BG47*(1+'Demand Breakdown - Methanol'!$N$42)</f>
        <v>2.3818171456077227E-2</v>
      </c>
      <c r="BI47" s="443">
        <f>BH47*(1+'Demand Breakdown - Methanol'!$N$42)</f>
        <v>2.4318353056654848E-2</v>
      </c>
      <c r="BJ47" s="443">
        <f>BI47*(1+'Demand Breakdown - Methanol'!$N$42)</f>
        <v>2.4829038470844597E-2</v>
      </c>
      <c r="BK47" s="443">
        <f>BJ47*(1+'Demand Breakdown - Methanol'!$N$42)</f>
        <v>2.535044827873233E-2</v>
      </c>
      <c r="BL47" s="443">
        <f>BK47*(1+'Demand Breakdown - Methanol'!$N$42)</f>
        <v>2.5882807692585708E-2</v>
      </c>
      <c r="BM47" s="443">
        <f>BL47*(1+'Demand Breakdown - Methanol'!$N$42)</f>
        <v>2.6426346654130007E-2</v>
      </c>
      <c r="BN47" s="443">
        <f>BM47*(1+'Demand Breakdown - Methanol'!$N$42)</f>
        <v>2.6981299933866734E-2</v>
      </c>
    </row>
    <row r="48" spans="1:75" x14ac:dyDescent="0.2">
      <c r="B48" s="61" t="s">
        <v>206</v>
      </c>
      <c r="C48" s="54" t="s">
        <v>153</v>
      </c>
      <c r="D48" s="43">
        <f>D47*'R&amp;S - Apparel'!$C$7*'R&amp;S - Apparel'!$B$13*'R&amp;S - Apparel'!$B$17*(D$3-$D$3)/10</f>
        <v>0</v>
      </c>
      <c r="E48" s="43">
        <f>E47*'R&amp;S - Apparel'!$C$7*'R&amp;S - Apparel'!$B$13*'R&amp;S - Apparel'!$B$17*(E$3-$D$3)/10</f>
        <v>2.5843682558903297E-4</v>
      </c>
      <c r="F48" s="43">
        <f>F47*'R&amp;S - Apparel'!$C$7*'R&amp;S - Apparel'!$B$13*'R&amp;S - Apparel'!$B$17*(F$3-$D$3)/10</f>
        <v>5.2772799785280535E-4</v>
      </c>
      <c r="G48" s="43">
        <f>G47*'R&amp;S - Apparel'!$C$7*'R&amp;S - Apparel'!$B$13*'R&amp;S - Apparel'!$B$17*(G$3-$D$3)/10</f>
        <v>8.0821542871157127E-4</v>
      </c>
      <c r="H48" s="43">
        <f>H47*'R&amp;S - Apparel'!$C$7*'R&amp;S - Apparel'!$B$13*'R&amp;S - Apparel'!$B$17*(H$3-$D$3)/10</f>
        <v>1.1002506036193523E-3</v>
      </c>
      <c r="I48" s="43">
        <f>I47*'R&amp;S - Apparel'!$C$7*'R&amp;S - Apparel'!$B$13*'R&amp;S - Apparel'!$B$17*(I$3-$D$3)/10</f>
        <v>1.4041948328691982E-3</v>
      </c>
      <c r="J48" s="43">
        <f>J47*'R&amp;S - Apparel'!$C$7*'R&amp;S - Apparel'!$B$13*'R&amp;S - Apparel'!$B$17*(J$3-$D$3)/10</f>
        <v>1.7204195092313419E-3</v>
      </c>
      <c r="K48" s="43">
        <f>K47*'R&amp;S - Apparel'!$C$7*'R&amp;S - Apparel'!$B$13*'R&amp;S - Apparel'!$B$17*(K$3-$D$3)/10</f>
        <v>2.0493063720793997E-3</v>
      </c>
      <c r="L48" s="43">
        <f>L47*'R&amp;S - Apparel'!$C$7*'R&amp;S - Apparel'!$B$13*'R&amp;S - Apparel'!$B$17*(L$3-$D$3)/10</f>
        <v>2.391247778163505E-3</v>
      </c>
      <c r="M48" s="43">
        <f>M47*'R&amp;S - Apparel'!$C$7*'R&amp;S - Apparel'!$B$13*'R&amp;S - Apparel'!$B$17*(M$3-$D$3)/10</f>
        <v>2.7466469791930554E-3</v>
      </c>
      <c r="N48" s="43">
        <f>N47*'R&amp;S - Apparel'!$C$7*'R&amp;S - Apparel'!$B$13*'R&amp;S - Apparel'!$B$17*(N$3-$D$3)/10</f>
        <v>3.1159184063956772E-3</v>
      </c>
      <c r="O48" s="43">
        <f>O47*'R&amp;S - Apparel'!$C$7*'R&amp;S - Apparel'!$B$13*('R&amp;S - Apparel'!$B$17+('R&amp;S - Apparel'!$B$18-'R&amp;S - Apparel'!$B$17)*(O$3-$N$3)/10)</f>
        <v>3.272248484156557E-3</v>
      </c>
      <c r="P48" s="43">
        <f>P47*'R&amp;S - Apparel'!$C$7*'R&amp;S - Apparel'!$B$13*('R&amp;S - Apparel'!$B$17+('R&amp;S - Apparel'!$B$18-'R&amp;S - Apparel'!$B$17)*(P$3-$N$3)/10)</f>
        <v>3.4337703051661736E-3</v>
      </c>
      <c r="Q48" s="43">
        <f>Q47*'R&amp;S - Apparel'!$C$7*'R&amp;S - Apparel'!$B$13*('R&amp;S - Apparel'!$B$17+('R&amp;S - Apparel'!$B$18-'R&amp;S - Apparel'!$B$17)*(Q$3-$N$3)/10)</f>
        <v>3.6006329810766807E-3</v>
      </c>
      <c r="R48" s="43">
        <f>R47*'R&amp;S - Apparel'!$C$7*'R&amp;S - Apparel'!$B$13*('R&amp;S - Apparel'!$B$17+('R&amp;S - Apparel'!$B$18-'R&amp;S - Apparel'!$B$17)*(R$3-$N$3)/10)</f>
        <v>3.7729895966708512E-3</v>
      </c>
      <c r="S48" s="43">
        <f>S47*'R&amp;S - Apparel'!$C$7*'R&amp;S - Apparel'!$B$13*('R&amp;S - Apparel'!$B$17+('R&amp;S - Apparel'!$B$18-'R&amp;S - Apparel'!$B$17)*(S$3-$N$3)/10)</f>
        <v>3.9509973109753222E-3</v>
      </c>
      <c r="T48" s="43">
        <f>T47*'R&amp;S - Apparel'!$C$7*'R&amp;S - Apparel'!$B$13*('R&amp;S - Apparel'!$B$17+('R&amp;S - Apparel'!$B$18-'R&amp;S - Apparel'!$B$17)*(T$3-$N$3)/10)</f>
        <v>4.1348174608684474E-3</v>
      </c>
      <c r="U48" s="43">
        <f>U47*'R&amp;S - Apparel'!$C$7*'R&amp;S - Apparel'!$B$13*('R&amp;S - Apparel'!$B$17+('R&amp;S - Apparel'!$B$18-'R&amp;S - Apparel'!$B$17)*(U$3-$N$3)/10)</f>
        <v>4.3246156672429453E-3</v>
      </c>
      <c r="V48" s="43">
        <f>V47*'R&amp;S - Apparel'!$C$7*'R&amp;S - Apparel'!$B$13*('R&amp;S - Apparel'!$B$17+('R&amp;S - Apparel'!$B$18-'R&amp;S - Apparel'!$B$17)*(V$3-$N$3)/10)</f>
        <v>4.5205619437849289E-3</v>
      </c>
      <c r="W48" s="43">
        <f>W47*'R&amp;S - Apparel'!$C$7*'R&amp;S - Apparel'!$B$13*('R&amp;S - Apparel'!$B$17+('R&amp;S - Apparel'!$B$18-'R&amp;S - Apparel'!$B$17)*(W$3-$N$3)/10)</f>
        <v>4.7228308084324216E-3</v>
      </c>
      <c r="X48" s="43">
        <f>X47*'R&amp;S - Apparel'!$C$7*'R&amp;S - Apparel'!$B$13*('R&amp;S - Apparel'!$B$17+('R&amp;S - Apparel'!$B$18-'R&amp;S - Apparel'!$B$17)*(X$3-$N$3)/10)</f>
        <v>4.9316013975779002E-3</v>
      </c>
      <c r="Y48" s="43">
        <f>Y47*'R&amp;S - Apparel'!$C$7*'R&amp;S - Apparel'!$B$13*('R&amp;S - Apparel'!$B$18+('R&amp;S - Apparel'!$B$19-'R&amp;S - Apparel'!$B$18)*(Y$3-$X$3)/10)</f>
        <v>5.0911113050040027E-3</v>
      </c>
      <c r="Z48" s="43">
        <f>Z47*'R&amp;S - Apparel'!$C$7*'R&amp;S - Apparel'!$B$13*('R&amp;S - Apparel'!$B$18+('R&amp;S - Apparel'!$B$19-'R&amp;S - Apparel'!$B$18)*(Z$3-$X$3)/10)</f>
        <v>5.2551457923256696E-3</v>
      </c>
      <c r="AA48" s="43">
        <f>AA47*'R&amp;S - Apparel'!$C$7*'R&amp;S - Apparel'!$B$13*('R&amp;S - Apparel'!$B$18+('R&amp;S - Apparel'!$B$19-'R&amp;S - Apparel'!$B$18)*(AA$3-$X$3)/10)</f>
        <v>5.4238245480293396E-3</v>
      </c>
      <c r="AB48" s="43">
        <f>AB47*'R&amp;S - Apparel'!$C$7*'R&amp;S - Apparel'!$B$13*('R&amp;S - Apparel'!$B$18+('R&amp;S - Apparel'!$B$19-'R&amp;S - Apparel'!$B$18)*(AB$3-$X$3)/10)</f>
        <v>5.5972702921781485E-3</v>
      </c>
      <c r="AC48" s="43">
        <f>AC47*'R&amp;S - Apparel'!$C$7*'R&amp;S - Apparel'!$B$13*('R&amp;S - Apparel'!$B$18+('R&amp;S - Apparel'!$B$19-'R&amp;S - Apparel'!$B$18)*(AC$3-$X$3)/10)</f>
        <v>5.7756088509555263E-3</v>
      </c>
      <c r="AD48" s="43">
        <f>AD47*'R&amp;S - Apparel'!$C$7*'R&amp;S - Apparel'!$B$13*('R&amp;S - Apparel'!$B$18+('R&amp;S - Apparel'!$B$19-'R&amp;S - Apparel'!$B$18)*(AD$3-$X$3)/10)</f>
        <v>5.9589692330027028E-3</v>
      </c>
      <c r="AE48" s="43">
        <f>AE47*'R&amp;S - Apparel'!$C$7*'R&amp;S - Apparel'!$B$13*('R&amp;S - Apparel'!$B$18+('R&amp;S - Apparel'!$B$19-'R&amp;S - Apparel'!$B$18)*(AE$3-$X$3)/10)</f>
        <v>6.14748370759259E-3</v>
      </c>
      <c r="AF48" s="43">
        <f>AF47*'R&amp;S - Apparel'!$C$7*'R&amp;S - Apparel'!$B$13*('R&amp;S - Apparel'!$B$18+('R&amp;S - Apparel'!$B$19-'R&amp;S - Apparel'!$B$18)*(AF$3-$X$3)/10)</f>
        <v>6.3412878846834985E-3</v>
      </c>
      <c r="AG48" s="43">
        <f>AG47*'R&amp;S - Apparel'!$C$7*'R&amp;S - Apparel'!$B$13*('R&amp;S - Apparel'!$B$18+('R&amp;S - Apparel'!$B$19-'R&amp;S - Apparel'!$B$18)*(AG$3-$X$3)/10)</f>
        <v>6.5405207968971769E-3</v>
      </c>
      <c r="AH48" s="43">
        <f>AH47*'R&amp;S - Apparel'!$C$7*'R&amp;S - Apparel'!$B$13*('R&amp;S - Apparel'!$B$18+('R&amp;S - Apparel'!$B$19-'R&amp;S - Apparel'!$B$18)*(AH$3-$X$3)/10)</f>
        <v>6.7453249834666835E-3</v>
      </c>
      <c r="AJ48" s="43">
        <f>AJ47*'R&amp;S - Apparel'!$C$7*'R&amp;S - Apparel'!$B$14*'R&amp;S - Apparel'!$B$17*(AJ$3-$D$3)/10</f>
        <v>0</v>
      </c>
      <c r="AK48" s="43">
        <f>AK47*'R&amp;S - Apparel'!$C$7*'R&amp;S - Apparel'!$B$14*'R&amp;S - Apparel'!$B$17*(AK$3-$D$3)/10</f>
        <v>1.2921841279451649E-4</v>
      </c>
      <c r="AL48" s="43">
        <f>AL47*'R&amp;S - Apparel'!$C$7*'R&amp;S - Apparel'!$B$14*'R&amp;S - Apparel'!$B$17*(AL$3-$D$3)/10</f>
        <v>2.6386399892640267E-4</v>
      </c>
      <c r="AM48" s="43">
        <f>AM47*'R&amp;S - Apparel'!$C$7*'R&amp;S - Apparel'!$B$14*'R&amp;S - Apparel'!$B$17*(AM$3-$D$3)/10</f>
        <v>4.0410771435578564E-4</v>
      </c>
      <c r="AN48" s="43">
        <f>AN47*'R&amp;S - Apparel'!$C$7*'R&amp;S - Apparel'!$B$14*'R&amp;S - Apparel'!$B$17*(AN$3-$D$3)/10</f>
        <v>5.5012530180967615E-4</v>
      </c>
      <c r="AO48" s="43">
        <f>AO47*'R&amp;S - Apparel'!$C$7*'R&amp;S - Apparel'!$B$14*'R&amp;S - Apparel'!$B$17*(AO$3-$D$3)/10</f>
        <v>7.0209741643459909E-4</v>
      </c>
      <c r="AP48" s="43">
        <f>AP47*'R&amp;S - Apparel'!$C$7*'R&amp;S - Apparel'!$B$14*'R&amp;S - Apparel'!$B$17*(AP$3-$D$3)/10</f>
        <v>8.6020975461567097E-4</v>
      </c>
      <c r="AQ48" s="43">
        <f>AQ47*'R&amp;S - Apparel'!$C$7*'R&amp;S - Apparel'!$B$14*'R&amp;S - Apparel'!$B$17*(AQ$3-$D$3)/10</f>
        <v>1.0246531860396999E-3</v>
      </c>
      <c r="AR48" s="43">
        <f>AR47*'R&amp;S - Apparel'!$C$7*'R&amp;S - Apparel'!$B$14*'R&amp;S - Apparel'!$B$17*(AR$3-$D$3)/10</f>
        <v>1.1956238890817525E-3</v>
      </c>
      <c r="AS48" s="43">
        <f>AS47*'R&amp;S - Apparel'!$C$7*'R&amp;S - Apparel'!$B$14*'R&amp;S - Apparel'!$B$17*(AS$3-$D$3)/10</f>
        <v>1.3733234895965277E-3</v>
      </c>
      <c r="AT48" s="43">
        <f>AT47*'R&amp;S - Apparel'!$C$7*'R&amp;S - Apparel'!$B$14*'R&amp;S - Apparel'!$B$17*(AT$3-$D$3)/10</f>
        <v>1.5579592031978386E-3</v>
      </c>
      <c r="AU48" s="43">
        <f>AU47*'R&amp;S - Apparel'!$C$7*'R&amp;S - Apparel'!$B$14*('R&amp;S - Apparel'!$B$17+('R&amp;S - Apparel'!$B$18-'R&amp;S - Apparel'!$B$17)*(AU$3-$N$3)/10)</f>
        <v>1.6361242420782785E-3</v>
      </c>
      <c r="AV48" s="43">
        <f>AV47*'R&amp;S - Apparel'!$C$7*'R&amp;S - Apparel'!$B$14*('R&amp;S - Apparel'!$B$17+('R&amp;S - Apparel'!$B$18-'R&amp;S - Apparel'!$B$17)*(AV$3-$N$3)/10)</f>
        <v>1.7168851525830868E-3</v>
      </c>
      <c r="AW48" s="43">
        <f>AW47*'R&amp;S - Apparel'!$C$7*'R&amp;S - Apparel'!$B$14*('R&amp;S - Apparel'!$B$17+('R&amp;S - Apparel'!$B$18-'R&amp;S - Apparel'!$B$17)*(AW$3-$N$3)/10)</f>
        <v>1.8003164905383404E-3</v>
      </c>
      <c r="AX48" s="43">
        <f>AX47*'R&amp;S - Apparel'!$C$7*'R&amp;S - Apparel'!$B$14*('R&amp;S - Apparel'!$B$17+('R&amp;S - Apparel'!$B$18-'R&amp;S - Apparel'!$B$17)*(AX$3-$N$3)/10)</f>
        <v>1.8864947983354256E-3</v>
      </c>
      <c r="AY48" s="43">
        <f>AY47*'R&amp;S - Apparel'!$C$7*'R&amp;S - Apparel'!$B$14*('R&amp;S - Apparel'!$B$17+('R&amp;S - Apparel'!$B$18-'R&amp;S - Apparel'!$B$17)*(AY$3-$N$3)/10)</f>
        <v>1.9754986554876611E-3</v>
      </c>
      <c r="AZ48" s="43">
        <f>AZ47*'R&amp;S - Apparel'!$C$7*'R&amp;S - Apparel'!$B$14*('R&amp;S - Apparel'!$B$17+('R&amp;S - Apparel'!$B$18-'R&amp;S - Apparel'!$B$17)*(AZ$3-$N$3)/10)</f>
        <v>2.0674087304342237E-3</v>
      </c>
      <c r="BA48" s="43">
        <f>BA47*'R&amp;S - Apparel'!$C$7*'R&amp;S - Apparel'!$B$14*('R&amp;S - Apparel'!$B$17+('R&amp;S - Apparel'!$B$18-'R&amp;S - Apparel'!$B$17)*(BA$3-$N$3)/10)</f>
        <v>2.1623078336214727E-3</v>
      </c>
      <c r="BB48" s="43">
        <f>BB47*'R&amp;S - Apparel'!$C$7*'R&amp;S - Apparel'!$B$14*('R&amp;S - Apparel'!$B$17+('R&amp;S - Apparel'!$B$18-'R&amp;S - Apparel'!$B$17)*(BB$3-$N$3)/10)</f>
        <v>2.2602809718924644E-3</v>
      </c>
      <c r="BC48" s="43">
        <f>BC47*'R&amp;S - Apparel'!$C$7*'R&amp;S - Apparel'!$B$14*('R&amp;S - Apparel'!$B$17+('R&amp;S - Apparel'!$B$18-'R&amp;S - Apparel'!$B$17)*(BC$3-$N$3)/10)</f>
        <v>2.3614154042162108E-3</v>
      </c>
      <c r="BD48" s="43">
        <f>BD47*'R&amp;S - Apparel'!$C$7*'R&amp;S - Apparel'!$B$14*('R&amp;S - Apparel'!$B$17+('R&amp;S - Apparel'!$B$18-'R&amp;S - Apparel'!$B$17)*(BD$3-$N$3)/10)</f>
        <v>2.4658006987889501E-3</v>
      </c>
      <c r="BE48" s="43">
        <f>BE47*'R&amp;S - Apparel'!$C$7*'R&amp;S - Apparel'!$B$14*('R&amp;S - Apparel'!$B$18+('R&amp;S - Apparel'!$B$19-'R&amp;S - Apparel'!$B$18)*(BE$3-$X$3)/10)</f>
        <v>2.5455556525020013E-3</v>
      </c>
      <c r="BF48" s="43">
        <f>BF47*'R&amp;S - Apparel'!$C$7*'R&amp;S - Apparel'!$B$14*('R&amp;S - Apparel'!$B$18+('R&amp;S - Apparel'!$B$19-'R&amp;S - Apparel'!$B$18)*(BF$3-$X$3)/10)</f>
        <v>2.6275728961628348E-3</v>
      </c>
      <c r="BG48" s="43">
        <f>BG47*'R&amp;S - Apparel'!$C$7*'R&amp;S - Apparel'!$B$14*('R&amp;S - Apparel'!$B$18+('R&amp;S - Apparel'!$B$19-'R&amp;S - Apparel'!$B$18)*(BG$3-$X$3)/10)</f>
        <v>2.7119122740146698E-3</v>
      </c>
      <c r="BH48" s="43">
        <f>BH47*'R&amp;S - Apparel'!$C$7*'R&amp;S - Apparel'!$B$14*('R&amp;S - Apparel'!$B$18+('R&amp;S - Apparel'!$B$19-'R&amp;S - Apparel'!$B$18)*(BH$3-$X$3)/10)</f>
        <v>2.7986351460890743E-3</v>
      </c>
      <c r="BI48" s="43">
        <f>BI47*'R&amp;S - Apparel'!$C$7*'R&amp;S - Apparel'!$B$14*('R&amp;S - Apparel'!$B$18+('R&amp;S - Apparel'!$B$19-'R&amp;S - Apparel'!$B$18)*(BI$3-$X$3)/10)</f>
        <v>2.8878044254777632E-3</v>
      </c>
      <c r="BJ48" s="43">
        <f>BJ47*'R&amp;S - Apparel'!$C$7*'R&amp;S - Apparel'!$B$14*('R&amp;S - Apparel'!$B$18+('R&amp;S - Apparel'!$B$19-'R&amp;S - Apparel'!$B$18)*(BJ$3-$X$3)/10)</f>
        <v>2.9794846165013514E-3</v>
      </c>
      <c r="BK48" s="43">
        <f>BK47*'R&amp;S - Apparel'!$C$7*'R&amp;S - Apparel'!$B$14*('R&amp;S - Apparel'!$B$18+('R&amp;S - Apparel'!$B$19-'R&amp;S - Apparel'!$B$18)*(BK$3-$X$3)/10)</f>
        <v>3.073741853796295E-3</v>
      </c>
      <c r="BL48" s="43">
        <f>BL47*'R&amp;S - Apparel'!$C$7*'R&amp;S - Apparel'!$B$14*('R&amp;S - Apparel'!$B$18+('R&amp;S - Apparel'!$B$19-'R&amp;S - Apparel'!$B$18)*(BL$3-$X$3)/10)</f>
        <v>3.1706439423417492E-3</v>
      </c>
      <c r="BM48" s="43">
        <f>BM47*'R&amp;S - Apparel'!$C$7*'R&amp;S - Apparel'!$B$14*('R&amp;S - Apparel'!$B$18+('R&amp;S - Apparel'!$B$19-'R&amp;S - Apparel'!$B$18)*(BM$3-$X$3)/10)</f>
        <v>3.2702603984485885E-3</v>
      </c>
      <c r="BN48" s="43">
        <f>BN47*'R&amp;S - Apparel'!$C$7*'R&amp;S - Apparel'!$B$14*('R&amp;S - Apparel'!$B$18+('R&amp;S - Apparel'!$B$19-'R&amp;S - Apparel'!$B$18)*(BN$3-$X$3)/10)</f>
        <v>3.3726624917333418E-3</v>
      </c>
    </row>
    <row r="49" spans="1:66" x14ac:dyDescent="0.2">
      <c r="B49" s="61" t="s">
        <v>207</v>
      </c>
      <c r="C49" s="54" t="s">
        <v>153</v>
      </c>
      <c r="D49" s="43">
        <f>D47*'R&amp;S - Apparel'!$C$8*'R&amp;S - Apparel'!$B$13*'R&amp;S - Apparel'!$C$17*(D$3-$D$3)/10</f>
        <v>0</v>
      </c>
      <c r="E49" s="43">
        <f>E47*'R&amp;S - Apparel'!$C$8*'R&amp;S - Apparel'!$B$13*'R&amp;S - Apparel'!$C$17*(E$3-$D$3)/10</f>
        <v>1.0042116651459568E-4</v>
      </c>
      <c r="F49" s="43">
        <f>F47*'R&amp;S - Apparel'!$C$8*'R&amp;S - Apparel'!$B$13*'R&amp;S - Apparel'!$C$17*(F$3-$D$3)/10</f>
        <v>2.0506002202280439E-4</v>
      </c>
      <c r="G49" s="43">
        <f>G47*'R&amp;S - Apparel'!$C$8*'R&amp;S - Apparel'!$B$13*'R&amp;S - Apparel'!$C$17*(G$3-$D$3)/10</f>
        <v>3.1404942372792487E-4</v>
      </c>
      <c r="H49" s="43">
        <f>H47*'R&amp;S - Apparel'!$C$8*'R&amp;S - Apparel'!$B$13*'R&amp;S - Apparel'!$C$17*(H$3-$D$3)/10</f>
        <v>4.2752594883494843E-4</v>
      </c>
      <c r="I49" s="43">
        <f>I47*'R&amp;S - Apparel'!$C$8*'R&amp;S - Apparel'!$B$13*'R&amp;S - Apparel'!$C$17*(I$3-$D$3)/10</f>
        <v>5.4562999220060288E-4</v>
      </c>
      <c r="J49" s="43">
        <f>J47*'R&amp;S - Apparel'!$C$8*'R&amp;S - Apparel'!$B$13*'R&amp;S - Apparel'!$C$17*(J$3-$D$3)/10</f>
        <v>6.6850586644417868E-4</v>
      </c>
      <c r="K49" s="43">
        <f>K47*'R&amp;S - Apparel'!$C$8*'R&amp;S - Apparel'!$B$13*'R&amp;S - Apparel'!$C$17*(K$3-$D$3)/10</f>
        <v>7.9630190457942397E-4</v>
      </c>
      <c r="L49" s="43">
        <f>L47*'R&amp;S - Apparel'!$C$8*'R&amp;S - Apparel'!$B$13*'R&amp;S - Apparel'!$C$17*(L$3-$D$3)/10</f>
        <v>9.2917056522924773E-4</v>
      </c>
      <c r="M49" s="43">
        <f>M47*'R&amp;S - Apparel'!$C$8*'R&amp;S - Apparel'!$B$13*'R&amp;S - Apparel'!$C$17*(M$3-$D$3)/10</f>
        <v>1.0672685404864448E-3</v>
      </c>
      <c r="N49" s="43">
        <f>N47*'R&amp;S - Apparel'!$C$8*'R&amp;S - Apparel'!$B$13*'R&amp;S - Apparel'!$C$17*(N$3-$D$3)/10</f>
        <v>1.2107568664851776E-3</v>
      </c>
      <c r="O49" s="43">
        <f>O47*'R&amp;S - Apparel'!$C$8*'R&amp;S - Apparel'!$B$13*('R&amp;S - Apparel'!$C$17+('R&amp;S - Apparel'!$C$18-'R&amp;S - Apparel'!$C$17)*(O$3-$N$3)/10)</f>
        <v>1.4216101747835713E-3</v>
      </c>
      <c r="P49" s="43">
        <f>P47*'R&amp;S - Apparel'!$C$8*'R&amp;S - Apparel'!$B$13*('R&amp;S - Apparel'!$C$17+('R&amp;S - Apparel'!$C$18-'R&amp;S - Apparel'!$C$17)*(P$3-$N$3)/10)</f>
        <v>1.6407853782523774E-3</v>
      </c>
      <c r="Q49" s="43">
        <f>Q47*'R&amp;S - Apparel'!$C$8*'R&amp;S - Apparel'!$B$13*('R&amp;S - Apparel'!$C$17+('R&amp;S - Apparel'!$C$18-'R&amp;S - Apparel'!$C$17)*(Q$3-$N$3)/10)</f>
        <v>1.8685390101797936E-3</v>
      </c>
      <c r="R49" s="43">
        <f>R47*'R&amp;S - Apparel'!$C$8*'R&amp;S - Apparel'!$B$13*('R&amp;S - Apparel'!$C$17+('R&amp;S - Apparel'!$C$18-'R&amp;S - Apparel'!$C$17)*(R$3-$N$3)/10)</f>
        <v>2.105134708296352E-3</v>
      </c>
      <c r="S49" s="43">
        <f>S47*'R&amp;S - Apparel'!$C$8*'R&amp;S - Apparel'!$B$13*('R&amp;S - Apparel'!$C$17+('R&amp;S - Apparel'!$C$18-'R&amp;S - Apparel'!$C$17)*(S$3-$N$3)/10)</f>
        <v>2.3508434000303166E-3</v>
      </c>
      <c r="T49" s="43">
        <f>T47*'R&amp;S - Apparel'!$C$8*'R&amp;S - Apparel'!$B$13*('R&amp;S - Apparel'!$C$17+('R&amp;S - Apparel'!$C$18-'R&amp;S - Apparel'!$C$17)*(T$3-$N$3)/10)</f>
        <v>2.6059434924107488E-3</v>
      </c>
      <c r="U49" s="43">
        <f>U47*'R&amp;S - Apparel'!$C$8*'R&amp;S - Apparel'!$B$13*('R&amp;S - Apparel'!$C$17+('R&amp;S - Apparel'!$C$18-'R&amp;S - Apparel'!$C$17)*(U$3-$N$3)/10)</f>
        <v>2.8707210667317466E-3</v>
      </c>
      <c r="V49" s="43">
        <f>V47*'R&amp;S - Apparel'!$C$8*'R&amp;S - Apparel'!$B$13*('R&amp;S - Apparel'!$C$17+('R&amp;S - Apparel'!$C$18-'R&amp;S - Apparel'!$C$17)*(V$3-$N$3)/10)</f>
        <v>3.1454700780940716E-3</v>
      </c>
      <c r="W49" s="43">
        <f>W47*'R&amp;S - Apparel'!$C$8*'R&amp;S - Apparel'!$B$13*('R&amp;S - Apparel'!$C$17+('R&amp;S - Apparel'!$C$18-'R&amp;S - Apparel'!$C$17)*(W$3-$N$3)/10)</f>
        <v>3.4304925599431863E-3</v>
      </c>
      <c r="X49" s="43">
        <f>X47*'R&amp;S - Apparel'!$C$8*'R&amp;S - Apparel'!$B$13*('R&amp;S - Apparel'!$C$17+('R&amp;S - Apparel'!$C$18-'R&amp;S - Apparel'!$C$17)*(X$3-$N$3)/10)</f>
        <v>3.7260988337255246E-3</v>
      </c>
      <c r="Y49" s="43">
        <f>Y47*'R&amp;S - Apparel'!$C$8*'R&amp;S - Apparel'!$B$13*('R&amp;S - Apparel'!$C$18+('R&amp;S - Apparel'!$C$19-'R&amp;S - Apparel'!$C$18)*(Y$3-$X$3)/10)</f>
        <v>4.1847816001571369E-3</v>
      </c>
      <c r="Z49" s="43">
        <f>Z47*'R&amp;S - Apparel'!$C$8*'R&amp;S - Apparel'!$B$13*('R&amp;S - Apparel'!$C$18+('R&amp;S - Apparel'!$C$19-'R&amp;S - Apparel'!$C$18)*(Z$3-$X$3)/10)</f>
        <v>4.6610858331932025E-3</v>
      </c>
      <c r="AA49" s="43">
        <f>AA47*'R&amp;S - Apparel'!$C$8*'R&amp;S - Apparel'!$B$13*('R&amp;S - Apparel'!$C$18+('R&amp;S - Apparel'!$C$19-'R&amp;S - Apparel'!$C$18)*(AA$3-$X$3)/10)</f>
        <v>5.1555493553311149E-3</v>
      </c>
      <c r="AB49" s="43">
        <f>AB47*'R&amp;S - Apparel'!$C$8*'R&amp;S - Apparel'!$B$13*('R&amp;S - Apparel'!$C$18+('R&amp;S - Apparel'!$C$19-'R&amp;S - Apparel'!$C$18)*(AB$3-$X$3)/10)</f>
        <v>5.66872480654638E-3</v>
      </c>
      <c r="AC49" s="43">
        <f>AC47*'R&amp;S - Apparel'!$C$8*'R&amp;S - Apparel'!$B$13*('R&amp;S - Apparel'!$C$18+('R&amp;S - Apparel'!$C$19-'R&amp;S - Apparel'!$C$18)*(AC$3-$X$3)/10)</f>
        <v>6.2011800294469862E-3</v>
      </c>
      <c r="AD49" s="43">
        <f>AD47*'R&amp;S - Apparel'!$C$8*'R&amp;S - Apparel'!$B$13*('R&amp;S - Apparel'!$C$18+('R&amp;S - Apparel'!$C$19-'R&amp;S - Apparel'!$C$18)*(AD$3-$X$3)/10)</f>
        <v>6.7534984640697307E-3</v>
      </c>
      <c r="AE49" s="43">
        <f>AE47*'R&amp;S - Apparel'!$C$8*'R&amp;S - Apparel'!$B$13*('R&amp;S - Apparel'!$C$18+('R&amp;S - Apparel'!$C$19-'R&amp;S - Apparel'!$C$18)*(AE$3-$X$3)/10)</f>
        <v>7.3262795525536441E-3</v>
      </c>
      <c r="AF49" s="43">
        <f>AF47*'R&amp;S - Apparel'!$C$8*'R&amp;S - Apparel'!$B$13*('R&amp;S - Apparel'!$C$18+('R&amp;S - Apparel'!$C$19-'R&amp;S - Apparel'!$C$18)*(AF$3-$X$3)/10)</f>
        <v>7.9201391539312268E-3</v>
      </c>
      <c r="AG49" s="43">
        <f>AG47*'R&amp;S - Apparel'!$C$8*'R&amp;S - Apparel'!$B$13*('R&amp;S - Apparel'!$C$18+('R&amp;S - Apparel'!$C$19-'R&amp;S - Apparel'!$C$18)*(AG$3-$X$3)/10)</f>
        <v>8.5357099692839923E-3</v>
      </c>
      <c r="AH49" s="43">
        <f>AH47*'R&amp;S - Apparel'!$C$8*'R&amp;S - Apparel'!$B$13*('R&amp;S - Apparel'!$C$18+('R&amp;S - Apparel'!$C$19-'R&amp;S - Apparel'!$C$18)*(AH$3-$X$3)/10)</f>
        <v>9.1736419775146905E-3</v>
      </c>
      <c r="AJ49" s="43">
        <f>AJ47*'R&amp;S - Apparel'!$C$8*'R&amp;S - Apparel'!$B$14*'R&amp;S - Apparel'!$C$17*(AJ$3-$D$3)/10</f>
        <v>0</v>
      </c>
      <c r="AK49" s="43">
        <f>AK47*'R&amp;S - Apparel'!$C$8*'R&amp;S - Apparel'!$B$14*'R&amp;S - Apparel'!$C$17*(AK$3-$D$3)/10</f>
        <v>5.0210583257297842E-5</v>
      </c>
      <c r="AL49" s="43">
        <f>AL47*'R&amp;S - Apparel'!$C$8*'R&amp;S - Apparel'!$B$14*'R&amp;S - Apparel'!$C$17*(AL$3-$D$3)/10</f>
        <v>1.0253001101140219E-4</v>
      </c>
      <c r="AM49" s="43">
        <f>AM47*'R&amp;S - Apparel'!$C$8*'R&amp;S - Apparel'!$B$14*'R&amp;S - Apparel'!$C$17*(AM$3-$D$3)/10</f>
        <v>1.5702471186396244E-4</v>
      </c>
      <c r="AN49" s="43">
        <f>AN47*'R&amp;S - Apparel'!$C$8*'R&amp;S - Apparel'!$B$14*'R&amp;S - Apparel'!$C$17*(AN$3-$D$3)/10</f>
        <v>2.1376297441747422E-4</v>
      </c>
      <c r="AO49" s="43">
        <f>AO47*'R&amp;S - Apparel'!$C$8*'R&amp;S - Apparel'!$B$14*'R&amp;S - Apparel'!$C$17*(AO$3-$D$3)/10</f>
        <v>2.7281499610030144E-4</v>
      </c>
      <c r="AP49" s="43">
        <f>AP47*'R&amp;S - Apparel'!$C$8*'R&amp;S - Apparel'!$B$14*'R&amp;S - Apparel'!$C$17*(AP$3-$D$3)/10</f>
        <v>3.3425293322208934E-4</v>
      </c>
      <c r="AQ49" s="43">
        <f>AQ47*'R&amp;S - Apparel'!$C$8*'R&amp;S - Apparel'!$B$14*'R&amp;S - Apparel'!$C$17*(AQ$3-$D$3)/10</f>
        <v>3.9815095228971199E-4</v>
      </c>
      <c r="AR49" s="43">
        <f>AR47*'R&amp;S - Apparel'!$C$8*'R&amp;S - Apparel'!$B$14*'R&amp;S - Apparel'!$C$17*(AR$3-$D$3)/10</f>
        <v>4.6458528261462387E-4</v>
      </c>
      <c r="AS49" s="43">
        <f>AS47*'R&amp;S - Apparel'!$C$8*'R&amp;S - Apparel'!$B$14*'R&amp;S - Apparel'!$C$17*(AS$3-$D$3)/10</f>
        <v>5.3363427024322239E-4</v>
      </c>
      <c r="AT49" s="43">
        <f>AT47*'R&amp;S - Apparel'!$C$8*'R&amp;S - Apparel'!$B$14*'R&amp;S - Apparel'!$C$17*(AT$3-$D$3)/10</f>
        <v>6.0537843324258878E-4</v>
      </c>
      <c r="AU49" s="43">
        <f>AU47*'R&amp;S - Apparel'!$C$8*'R&amp;S - Apparel'!$B$14*('R&amp;S - Apparel'!$C$17+('R&amp;S - Apparel'!$C$18-'R&amp;S - Apparel'!$C$17)*(AU$3-$N$3)/10)</f>
        <v>7.1080508739178566E-4</v>
      </c>
      <c r="AV49" s="43">
        <f>AV47*'R&amp;S - Apparel'!$C$8*'R&amp;S - Apparel'!$B$14*('R&amp;S - Apparel'!$C$17+('R&amp;S - Apparel'!$C$18-'R&amp;S - Apparel'!$C$17)*(AV$3-$N$3)/10)</f>
        <v>8.203926891261887E-4</v>
      </c>
      <c r="AW49" s="43">
        <f>AW47*'R&amp;S - Apparel'!$C$8*'R&amp;S - Apparel'!$B$14*('R&amp;S - Apparel'!$C$17+('R&amp;S - Apparel'!$C$18-'R&amp;S - Apparel'!$C$17)*(AW$3-$N$3)/10)</f>
        <v>9.3426950508989682E-4</v>
      </c>
      <c r="AX49" s="43">
        <f>AX47*'R&amp;S - Apparel'!$C$8*'R&amp;S - Apparel'!$B$14*('R&amp;S - Apparel'!$C$17+('R&amp;S - Apparel'!$C$18-'R&amp;S - Apparel'!$C$17)*(AX$3-$N$3)/10)</f>
        <v>1.052567354148176E-3</v>
      </c>
      <c r="AY49" s="43">
        <f>AY47*'R&amp;S - Apparel'!$C$8*'R&amp;S - Apparel'!$B$14*('R&amp;S - Apparel'!$C$17+('R&amp;S - Apparel'!$C$18-'R&amp;S - Apparel'!$C$17)*(AY$3-$N$3)/10)</f>
        <v>1.1754217000151583E-3</v>
      </c>
      <c r="AZ49" s="43">
        <f>AZ47*'R&amp;S - Apparel'!$C$8*'R&amp;S - Apparel'!$B$14*('R&amp;S - Apparel'!$C$17+('R&amp;S - Apparel'!$C$18-'R&amp;S - Apparel'!$C$17)*(AZ$3-$N$3)/10)</f>
        <v>1.3029717462053744E-3</v>
      </c>
      <c r="BA49" s="43">
        <f>BA47*'R&amp;S - Apparel'!$C$8*'R&amp;S - Apparel'!$B$14*('R&amp;S - Apparel'!$C$17+('R&amp;S - Apparel'!$C$18-'R&amp;S - Apparel'!$C$17)*(BA$3-$N$3)/10)</f>
        <v>1.4353605333658733E-3</v>
      </c>
      <c r="BB49" s="43">
        <f>BB47*'R&amp;S - Apparel'!$C$8*'R&amp;S - Apparel'!$B$14*('R&amp;S - Apparel'!$C$17+('R&amp;S - Apparel'!$C$18-'R&amp;S - Apparel'!$C$17)*(BB$3-$N$3)/10)</f>
        <v>1.5727350390470358E-3</v>
      </c>
      <c r="BC49" s="43">
        <f>BC47*'R&amp;S - Apparel'!$C$8*'R&amp;S - Apparel'!$B$14*('R&amp;S - Apparel'!$C$17+('R&amp;S - Apparel'!$C$18-'R&amp;S - Apparel'!$C$17)*(BC$3-$N$3)/10)</f>
        <v>1.7152462799715931E-3</v>
      </c>
      <c r="BD49" s="43">
        <f>BD47*'R&amp;S - Apparel'!$C$8*'R&amp;S - Apparel'!$B$14*('R&amp;S - Apparel'!$C$17+('R&amp;S - Apparel'!$C$18-'R&amp;S - Apparel'!$C$17)*(BD$3-$N$3)/10)</f>
        <v>1.8630494168627623E-3</v>
      </c>
      <c r="BE49" s="43">
        <f>BE47*'R&amp;S - Apparel'!$C$8*'R&amp;S - Apparel'!$B$14*('R&amp;S - Apparel'!$C$18+('R&amp;S - Apparel'!$C$19-'R&amp;S - Apparel'!$C$18)*(BE$3-$X$3)/10)</f>
        <v>2.0923908000785685E-3</v>
      </c>
      <c r="BF49" s="43">
        <f>BF47*'R&amp;S - Apparel'!$C$8*'R&amp;S - Apparel'!$B$14*('R&amp;S - Apparel'!$C$18+('R&amp;S - Apparel'!$C$19-'R&amp;S - Apparel'!$C$18)*(BF$3-$X$3)/10)</f>
        <v>2.3305429165966013E-3</v>
      </c>
      <c r="BG49" s="43">
        <f>BG47*'R&amp;S - Apparel'!$C$8*'R&amp;S - Apparel'!$B$14*('R&amp;S - Apparel'!$C$18+('R&amp;S - Apparel'!$C$19-'R&amp;S - Apparel'!$C$18)*(BG$3-$X$3)/10)</f>
        <v>2.5777746776655575E-3</v>
      </c>
      <c r="BH49" s="43">
        <f>BH47*'R&amp;S - Apparel'!$C$8*'R&amp;S - Apparel'!$B$14*('R&amp;S - Apparel'!$C$18+('R&amp;S - Apparel'!$C$19-'R&amp;S - Apparel'!$C$18)*(BH$3-$X$3)/10)</f>
        <v>2.83436240327319E-3</v>
      </c>
      <c r="BI49" s="43">
        <f>BI47*'R&amp;S - Apparel'!$C$8*'R&amp;S - Apparel'!$B$14*('R&amp;S - Apparel'!$C$18+('R&amp;S - Apparel'!$C$19-'R&amp;S - Apparel'!$C$18)*(BI$3-$X$3)/10)</f>
        <v>3.1005900147234931E-3</v>
      </c>
      <c r="BJ49" s="43">
        <f>BJ47*'R&amp;S - Apparel'!$C$8*'R&amp;S - Apparel'!$B$14*('R&amp;S - Apparel'!$C$18+('R&amp;S - Apparel'!$C$19-'R&amp;S - Apparel'!$C$18)*(BJ$3-$X$3)/10)</f>
        <v>3.3767492320348654E-3</v>
      </c>
      <c r="BK49" s="43">
        <f>BK47*'R&amp;S - Apparel'!$C$8*'R&amp;S - Apparel'!$B$14*('R&amp;S - Apparel'!$C$18+('R&amp;S - Apparel'!$C$19-'R&amp;S - Apparel'!$C$18)*(BK$3-$X$3)/10)</f>
        <v>3.6631397762768221E-3</v>
      </c>
      <c r="BL49" s="43">
        <f>BL47*'R&amp;S - Apparel'!$C$8*'R&amp;S - Apparel'!$B$14*('R&amp;S - Apparel'!$C$18+('R&amp;S - Apparel'!$C$19-'R&amp;S - Apparel'!$C$18)*(BL$3-$X$3)/10)</f>
        <v>3.9600695769656134E-3</v>
      </c>
      <c r="BM49" s="43">
        <f>BM47*'R&amp;S - Apparel'!$C$8*'R&amp;S - Apparel'!$B$14*('R&amp;S - Apparel'!$C$18+('R&amp;S - Apparel'!$C$19-'R&amp;S - Apparel'!$C$18)*(BM$3-$X$3)/10)</f>
        <v>4.2678549846419962E-3</v>
      </c>
      <c r="BN49" s="43">
        <f>BN47*'R&amp;S - Apparel'!$C$8*'R&amp;S - Apparel'!$B$14*('R&amp;S - Apparel'!$C$18+('R&amp;S - Apparel'!$C$19-'R&amp;S - Apparel'!$C$18)*(BN$3-$X$3)/10)</f>
        <v>4.5868209887573452E-3</v>
      </c>
    </row>
    <row r="50" spans="1:66" x14ac:dyDescent="0.2">
      <c r="B50" s="1" t="s">
        <v>168</v>
      </c>
      <c r="C50" s="54" t="s">
        <v>153</v>
      </c>
      <c r="D50" s="43">
        <f>SUM(D48:D49)</f>
        <v>0</v>
      </c>
      <c r="E50" s="43">
        <f>SUM(E48:E49)</f>
        <v>3.5885799210362866E-4</v>
      </c>
      <c r="F50" s="43">
        <f t="shared" ref="F50:AH50" si="401">SUM(F48:F49)</f>
        <v>7.3278801987560968E-4</v>
      </c>
      <c r="G50" s="43">
        <f t="shared" si="401"/>
        <v>1.1222648524394961E-3</v>
      </c>
      <c r="H50" s="43">
        <f t="shared" si="401"/>
        <v>1.5277765524543008E-3</v>
      </c>
      <c r="I50" s="43">
        <f t="shared" si="401"/>
        <v>1.9498248250698011E-3</v>
      </c>
      <c r="J50" s="43">
        <f t="shared" si="401"/>
        <v>2.3889253756755207E-3</v>
      </c>
      <c r="K50" s="43">
        <f t="shared" si="401"/>
        <v>2.8456082766588238E-3</v>
      </c>
      <c r="L50" s="43">
        <f t="shared" si="401"/>
        <v>3.3204183433927529E-3</v>
      </c>
      <c r="M50" s="43">
        <f t="shared" si="401"/>
        <v>3.8139155196795001E-3</v>
      </c>
      <c r="N50" s="43">
        <f t="shared" si="401"/>
        <v>4.3266752728808545E-3</v>
      </c>
      <c r="O50" s="43">
        <f>SUM(O48:O49)</f>
        <v>4.6938586589401286E-3</v>
      </c>
      <c r="P50" s="43">
        <f t="shared" si="401"/>
        <v>5.0745556834185506E-3</v>
      </c>
      <c r="Q50" s="43">
        <f t="shared" si="401"/>
        <v>5.4691719912564746E-3</v>
      </c>
      <c r="R50" s="43">
        <f t="shared" si="401"/>
        <v>5.8781243049672027E-3</v>
      </c>
      <c r="S50" s="43">
        <f t="shared" si="401"/>
        <v>6.3018407110056393E-3</v>
      </c>
      <c r="T50" s="43">
        <f t="shared" si="401"/>
        <v>6.7407609532791962E-3</v>
      </c>
      <c r="U50" s="43">
        <f t="shared" si="401"/>
        <v>7.1953367339746919E-3</v>
      </c>
      <c r="V50" s="43">
        <f t="shared" si="401"/>
        <v>7.6660320218790001E-3</v>
      </c>
      <c r="W50" s="43">
        <f t="shared" si="401"/>
        <v>8.1533233683756083E-3</v>
      </c>
      <c r="X50" s="43">
        <f t="shared" si="401"/>
        <v>8.6577002313034251E-3</v>
      </c>
      <c r="Y50" s="43">
        <f t="shared" ref="Y50:AG50" si="402">SUM(Y48:Y49)</f>
        <v>9.2758929051611396E-3</v>
      </c>
      <c r="Z50" s="43">
        <f t="shared" si="402"/>
        <v>9.9162316255188721E-3</v>
      </c>
      <c r="AA50" s="43">
        <f t="shared" si="402"/>
        <v>1.0579373903360455E-2</v>
      </c>
      <c r="AB50" s="43">
        <f t="shared" si="402"/>
        <v>1.1265995098724529E-2</v>
      </c>
      <c r="AC50" s="43">
        <f t="shared" si="402"/>
        <v>1.1976788880402513E-2</v>
      </c>
      <c r="AD50" s="43">
        <f t="shared" si="402"/>
        <v>1.2712467697072433E-2</v>
      </c>
      <c r="AE50" s="43">
        <f t="shared" si="402"/>
        <v>1.3473763260146234E-2</v>
      </c>
      <c r="AF50" s="43">
        <f t="shared" si="402"/>
        <v>1.4261427038614726E-2</v>
      </c>
      <c r="AG50" s="43">
        <f t="shared" si="402"/>
        <v>1.507623076618117E-2</v>
      </c>
      <c r="AH50" s="43">
        <f t="shared" si="401"/>
        <v>1.5918966960981374E-2</v>
      </c>
      <c r="AJ50" s="43">
        <f>SUM(AJ48:AJ49)</f>
        <v>0</v>
      </c>
      <c r="AK50" s="43">
        <f>SUM(AK48:AK49)</f>
        <v>1.7942899605181433E-4</v>
      </c>
      <c r="AL50" s="43">
        <f t="shared" ref="AL50:AT50" si="403">SUM(AL48:AL49)</f>
        <v>3.6639400993780484E-4</v>
      </c>
      <c r="AM50" s="43">
        <f t="shared" si="403"/>
        <v>5.6113242621974807E-4</v>
      </c>
      <c r="AN50" s="43">
        <f t="shared" si="403"/>
        <v>7.6388827622715042E-4</v>
      </c>
      <c r="AO50" s="43">
        <f t="shared" si="403"/>
        <v>9.7491241253490053E-4</v>
      </c>
      <c r="AP50" s="43">
        <f t="shared" si="403"/>
        <v>1.1944626878377604E-3</v>
      </c>
      <c r="AQ50" s="43">
        <f t="shared" si="403"/>
        <v>1.4228041383294119E-3</v>
      </c>
      <c r="AR50" s="43">
        <f t="shared" si="403"/>
        <v>1.6602091716963765E-3</v>
      </c>
      <c r="AS50" s="43">
        <f t="shared" si="403"/>
        <v>1.9069577598397501E-3</v>
      </c>
      <c r="AT50" s="43">
        <f t="shared" si="403"/>
        <v>2.1633376364404273E-3</v>
      </c>
      <c r="AU50" s="43">
        <f>SUM(AU48:AU49)</f>
        <v>2.3469293294700643E-3</v>
      </c>
      <c r="AV50" s="43">
        <f t="shared" ref="AV50:BN50" si="404">SUM(AV48:AV49)</f>
        <v>2.5372778417092753E-3</v>
      </c>
      <c r="AW50" s="43">
        <f t="shared" si="404"/>
        <v>2.7345859956282373E-3</v>
      </c>
      <c r="AX50" s="43">
        <f t="shared" si="404"/>
        <v>2.9390621524836014E-3</v>
      </c>
      <c r="AY50" s="43">
        <f t="shared" si="404"/>
        <v>3.1509203555028197E-3</v>
      </c>
      <c r="AZ50" s="43">
        <f t="shared" si="404"/>
        <v>3.3703804766395981E-3</v>
      </c>
      <c r="BA50" s="43">
        <f t="shared" si="404"/>
        <v>3.5976683669873459E-3</v>
      </c>
      <c r="BB50" s="43">
        <f t="shared" si="404"/>
        <v>3.8330160109395E-3</v>
      </c>
      <c r="BC50" s="43">
        <f t="shared" si="404"/>
        <v>4.0766616841878042E-3</v>
      </c>
      <c r="BD50" s="43">
        <f t="shared" si="404"/>
        <v>4.3288501156517126E-3</v>
      </c>
      <c r="BE50" s="43">
        <f t="shared" si="404"/>
        <v>4.6379464525805698E-3</v>
      </c>
      <c r="BF50" s="43">
        <f t="shared" si="404"/>
        <v>4.9581158127594361E-3</v>
      </c>
      <c r="BG50" s="43">
        <f t="shared" si="404"/>
        <v>5.2896869516802277E-3</v>
      </c>
      <c r="BH50" s="43">
        <f t="shared" si="404"/>
        <v>5.6329975493622647E-3</v>
      </c>
      <c r="BI50" s="43">
        <f t="shared" si="404"/>
        <v>5.9883944402012567E-3</v>
      </c>
      <c r="BJ50" s="43">
        <f t="shared" si="404"/>
        <v>6.3562338485362163E-3</v>
      </c>
      <c r="BK50" s="43">
        <f t="shared" si="404"/>
        <v>6.7368816300731171E-3</v>
      </c>
      <c r="BL50" s="43">
        <f t="shared" si="404"/>
        <v>7.1307135193073631E-3</v>
      </c>
      <c r="BM50" s="43">
        <f t="shared" si="404"/>
        <v>7.538115383090585E-3</v>
      </c>
      <c r="BN50" s="43">
        <f t="shared" si="404"/>
        <v>7.959483480490687E-3</v>
      </c>
    </row>
    <row r="51" spans="1:66" x14ac:dyDescent="0.2">
      <c r="B51" s="1" t="s">
        <v>172</v>
      </c>
      <c r="C51" s="54" t="s">
        <v>153</v>
      </c>
      <c r="D51" s="43">
        <f>D47*'R&amp;S - Apparel'!$C$10*'R&amp;S - Apparel'!$B$13*'R&amp;S - Apparel'!$D$17*(D$3-$D$3)/10</f>
        <v>0</v>
      </c>
      <c r="E51" s="43">
        <f>E47*'R&amp;S - Apparel'!$C$10*'R&amp;S - Apparel'!$B$13*'R&amp;S - Apparel'!$D$17*(E$3-$D$3)/10</f>
        <v>9.7467602793578162E-5</v>
      </c>
      <c r="F51" s="43">
        <f>F47*'R&amp;S - Apparel'!$C$10*'R&amp;S - Apparel'!$B$13*'R&amp;S - Apparel'!$D$17*(F$3-$D$3)/10</f>
        <v>1.9902884490448656E-4</v>
      </c>
      <c r="G51" s="43">
        <f>G47*'R&amp;S - Apparel'!$C$10*'R&amp;S - Apparel'!$B$13*'R&amp;S - Apparel'!$D$17*(G$3-$D$3)/10</f>
        <v>3.0481267597122117E-4</v>
      </c>
      <c r="H51" s="43">
        <f>H47*'R&amp;S - Apparel'!$C$10*'R&amp;S - Apparel'!$B$13*'R&amp;S - Apparel'!$D$17*(H$3-$D$3)/10</f>
        <v>4.1495165622215582E-4</v>
      </c>
      <c r="I51" s="43">
        <f>I47*'R&amp;S - Apparel'!$C$10*'R&amp;S - Apparel'!$B$13*'R&amp;S - Apparel'!$D$17*(I$3-$D$3)/10</f>
        <v>5.2958205125352628E-4</v>
      </c>
      <c r="J51" s="43">
        <f>J47*'R&amp;S - Apparel'!$C$10*'R&amp;S - Apparel'!$B$13*'R&amp;S - Apparel'!$D$17*(J$3-$D$3)/10</f>
        <v>6.4884392919582041E-4</v>
      </c>
      <c r="K51" s="43">
        <f>K47*'R&amp;S - Apparel'!$C$10*'R&amp;S - Apparel'!$B$13*'R&amp;S - Apparel'!$D$17*(K$3-$D$3)/10</f>
        <v>7.7288126032708801E-4</v>
      </c>
      <c r="L51" s="43">
        <f>L47*'R&amp;S - Apparel'!$C$10*'R&amp;S - Apparel'!$B$13*'R&amp;S - Apparel'!$D$17*(L$3-$D$3)/10</f>
        <v>9.0184201919309343E-4</v>
      </c>
      <c r="M51" s="43">
        <f>M47*'R&amp;S - Apparel'!$C$10*'R&amp;S - Apparel'!$B$13*'R&amp;S - Apparel'!$D$17*(M$3-$D$3)/10</f>
        <v>1.0358782892956667E-3</v>
      </c>
      <c r="N51" s="43">
        <f>N47*'R&amp;S - Apparel'!$C$10*'R&amp;S - Apparel'!$B$13*'R&amp;S - Apparel'!$D$17*(N$3-$D$3)/10</f>
        <v>1.175146370412084E-3</v>
      </c>
      <c r="O51" s="43">
        <f>O47*'R&amp;S - Apparel'!$C$10*'R&amp;S - Apparel'!$B$13*('R&amp;S - Apparel'!$D$17+('R&amp;S - Apparel'!$D$18-'R&amp;S - Apparel'!$D$17)*(O$3-$N$3)/10)</f>
        <v>1.3198068886098116E-3</v>
      </c>
      <c r="P51" s="43">
        <f>P47*'R&amp;S - Apparel'!$C$10*'R&amp;S - Apparel'!$B$13*('R&amp;S - Apparel'!$D$17+('R&amp;S - Apparel'!$D$18-'R&amp;S - Apparel'!$D$17)*(P$3-$N$3)/10)</f>
        <v>1.4700249090224919E-3</v>
      </c>
      <c r="Q51" s="43">
        <f>Q47*'R&amp;S - Apparel'!$C$10*'R&amp;S - Apparel'!$B$13*('R&amp;S - Apparel'!$D$17+('R&amp;S - Apparel'!$D$18-'R&amp;S - Apparel'!$D$17)*(Q$3-$N$3)/10)</f>
        <v>1.6259700514546277E-3</v>
      </c>
      <c r="R51" s="43">
        <f>R47*'R&amp;S - Apparel'!$C$10*'R&amp;S - Apparel'!$B$13*('R&amp;S - Apparel'!$D$17+('R&amp;S - Apparel'!$D$18-'R&amp;S - Apparel'!$D$17)*(R$3-$N$3)/10)</f>
        <v>1.7878166088840344E-3</v>
      </c>
      <c r="S51" s="43">
        <f>S47*'R&amp;S - Apparel'!$C$10*'R&amp;S - Apparel'!$B$13*('R&amp;S - Apparel'!$D$17+('R&amp;S - Apparel'!$D$18-'R&amp;S - Apparel'!$D$17)*(S$3-$N$3)/10)</f>
        <v>1.9557436689327844E-3</v>
      </c>
      <c r="T51" s="43">
        <f>T47*'R&amp;S - Apparel'!$C$10*'R&amp;S - Apparel'!$B$13*('R&amp;S - Apparel'!$D$17+('R&amp;S - Apparel'!$D$18-'R&amp;S - Apparel'!$D$17)*(T$3-$N$3)/10)</f>
        <v>2.1299352383790642E-3</v>
      </c>
      <c r="U51" s="43">
        <f>U47*'R&amp;S - Apparel'!$C$10*'R&amp;S - Apparel'!$B$13*('R&amp;S - Apparel'!$D$17+('R&amp;S - Apparel'!$D$18-'R&amp;S - Apparel'!$D$17)*(U$3-$N$3)/10)</f>
        <v>2.3105803707840883E-3</v>
      </c>
      <c r="V51" s="43">
        <f>V47*'R&amp;S - Apparel'!$C$10*'R&amp;S - Apparel'!$B$13*('R&amp;S - Apparel'!$D$17+('R&amp;S - Apparel'!$D$18-'R&amp;S - Apparel'!$D$17)*(V$3-$N$3)/10)</f>
        <v>2.4978732973099985E-3</v>
      </c>
      <c r="W51" s="43">
        <f>W47*'R&amp;S - Apparel'!$C$10*'R&amp;S - Apparel'!$B$13*('R&amp;S - Apparel'!$D$17+('R&amp;S - Apparel'!$D$18-'R&amp;S - Apparel'!$D$17)*(W$3-$N$3)/10)</f>
        <v>2.6920135608064803E-3</v>
      </c>
      <c r="X51" s="43">
        <f>X47*'R&amp;S - Apparel'!$C$10*'R&amp;S - Apparel'!$B$13*('R&amp;S - Apparel'!$D$17+('R&amp;S - Apparel'!$D$18-'R&amp;S - Apparel'!$D$17)*(X$3-$N$3)/10)</f>
        <v>2.8932061532457019E-3</v>
      </c>
      <c r="Y51" s="43">
        <f>Y47*'R&amp;S - Apparel'!$C$10*'R&amp;S - Apparel'!$B$13*('R&amp;S - Apparel'!$D$18+('R&amp;S - Apparel'!$D$19-'R&amp;S - Apparel'!$D$18)*(Y$3-$X$3)/10)</f>
        <v>3.1061373588332115E-3</v>
      </c>
      <c r="Z51" s="43">
        <f>Z47*'R&amp;S - Apparel'!$C$10*'R&amp;S - Apparel'!$B$13*('R&amp;S - Apparel'!$D$18+('R&amp;S - Apparel'!$D$19-'R&amp;S - Apparel'!$D$18)*(Z$3-$X$3)/10)</f>
        <v>3.3267357711418148E-3</v>
      </c>
      <c r="AA51" s="43">
        <f>AA47*'R&amp;S - Apparel'!$C$10*'R&amp;S - Apparel'!$B$13*('R&amp;S - Apparel'!$D$18+('R&amp;S - Apparel'!$D$19-'R&amp;S - Apparel'!$D$18)*(AA$3-$X$3)/10)</f>
        <v>3.5552295101921351E-3</v>
      </c>
      <c r="AB51" s="43">
        <f>AB47*'R&amp;S - Apparel'!$C$10*'R&amp;S - Apparel'!$B$13*('R&amp;S - Apparel'!$D$18+('R&amp;S - Apparel'!$D$19-'R&amp;S - Apparel'!$D$18)*(AB$3-$X$3)/10)</f>
        <v>3.7918528958074951E-3</v>
      </c>
      <c r="AC51" s="43">
        <f>AC47*'R&amp;S - Apparel'!$C$10*'R&amp;S - Apparel'!$B$13*('R&amp;S - Apparel'!$D$18+('R&amp;S - Apparel'!$D$19-'R&amp;S - Apparel'!$D$18)*(AC$3-$X$3)/10)</f>
        <v>4.0368466074047057E-3</v>
      </c>
      <c r="AD51" s="43">
        <f>AD47*'R&amp;S - Apparel'!$C$10*'R&amp;S - Apparel'!$B$13*('R&amp;S - Apparel'!$D$18+('R&amp;S - Apparel'!$D$19-'R&amp;S - Apparel'!$D$18)*(AD$3-$X$3)/10)</f>
        <v>4.2904578477619467E-3</v>
      </c>
      <c r="AE51" s="43">
        <f>AE47*'R&amp;S - Apparel'!$C$10*'R&amp;S - Apparel'!$B$13*('R&amp;S - Apparel'!$D$18+('R&amp;S - Apparel'!$D$19-'R&amp;S - Apparel'!$D$18)*(AE$3-$X$3)/10)</f>
        <v>4.5529405108603272E-3</v>
      </c>
      <c r="AF51" s="43">
        <f>AF47*'R&amp;S - Apparel'!$C$10*'R&amp;S - Apparel'!$B$13*('R&amp;S - Apparel'!$D$18+('R&amp;S - Apparel'!$D$19-'R&amp;S - Apparel'!$D$18)*(AF$3-$X$3)/10)</f>
        <v>4.8245553538979764E-3</v>
      </c>
      <c r="AG51" s="43">
        <f>AG47*'R&amp;S - Apparel'!$C$10*'R&amp;S - Apparel'!$B$13*('R&amp;S - Apparel'!$D$18+('R&amp;S - Apparel'!$D$19-'R&amp;S - Apparel'!$D$18)*(AG$3-$X$3)/10)</f>
        <v>5.105570173577917E-3</v>
      </c>
      <c r="AH51" s="43">
        <f>AH47*'R&amp;S - Apparel'!$C$10*'R&amp;S - Apparel'!$B$13*('R&amp;S - Apparel'!$D$18+('R&amp;S - Apparel'!$D$19-'R&amp;S - Apparel'!$D$18)*(AH$3-$X$3)/10)</f>
        <v>5.3962599867733475E-3</v>
      </c>
      <c r="AJ51" s="43">
        <f>AJ47*'R&amp;S - Apparel'!$C$10*'R&amp;S - Apparel'!$B$14*'R&amp;S - Apparel'!$D$17*(AJ$3-$D$3)/10</f>
        <v>0</v>
      </c>
      <c r="AK51" s="43">
        <f>AK47*'R&amp;S - Apparel'!$C$10*'R&amp;S - Apparel'!$B$14*'R&amp;S - Apparel'!$D$17*(AK$3-$D$3)/10</f>
        <v>4.8733801396789081E-5</v>
      </c>
      <c r="AL51" s="43">
        <f>AL47*'R&amp;S - Apparel'!$C$10*'R&amp;S - Apparel'!$B$14*'R&amp;S - Apparel'!$D$17*(AL$3-$D$3)/10</f>
        <v>9.9514422452243282E-5</v>
      </c>
      <c r="AM51" s="43">
        <f>AM47*'R&amp;S - Apparel'!$C$10*'R&amp;S - Apparel'!$B$14*'R&amp;S - Apparel'!$D$17*(AM$3-$D$3)/10</f>
        <v>1.5240633798561059E-4</v>
      </c>
      <c r="AN51" s="43">
        <f>AN47*'R&amp;S - Apparel'!$C$10*'R&amp;S - Apparel'!$B$14*'R&amp;S - Apparel'!$D$17*(AN$3-$D$3)/10</f>
        <v>2.0747582811107791E-4</v>
      </c>
      <c r="AO51" s="43">
        <f>AO47*'R&amp;S - Apparel'!$C$10*'R&amp;S - Apparel'!$B$14*'R&amp;S - Apparel'!$D$17*(AO$3-$D$3)/10</f>
        <v>2.6479102562676314E-4</v>
      </c>
      <c r="AP51" s="43">
        <f>AP47*'R&amp;S - Apparel'!$C$10*'R&amp;S - Apparel'!$B$14*'R&amp;S - Apparel'!$D$17*(AP$3-$D$3)/10</f>
        <v>3.244219645979102E-4</v>
      </c>
      <c r="AQ51" s="43">
        <f>AQ47*'R&amp;S - Apparel'!$C$10*'R&amp;S - Apparel'!$B$14*'R&amp;S - Apparel'!$D$17*(AQ$3-$D$3)/10</f>
        <v>3.8644063016354401E-4</v>
      </c>
      <c r="AR51" s="43">
        <f>AR47*'R&amp;S - Apparel'!$C$10*'R&amp;S - Apparel'!$B$14*'R&amp;S - Apparel'!$D$17*(AR$3-$D$3)/10</f>
        <v>4.5092100959654672E-4</v>
      </c>
      <c r="AS51" s="43">
        <f>AS47*'R&amp;S - Apparel'!$C$10*'R&amp;S - Apparel'!$B$14*'R&amp;S - Apparel'!$D$17*(AS$3-$D$3)/10</f>
        <v>5.1793914464783335E-4</v>
      </c>
      <c r="AT51" s="43">
        <f>AT47*'R&amp;S - Apparel'!$C$10*'R&amp;S - Apparel'!$B$14*'R&amp;S - Apparel'!$D$17*(AT$3-$D$3)/10</f>
        <v>5.87573185206042E-4</v>
      </c>
      <c r="AU51" s="43">
        <f>AU47*'R&amp;S - Apparel'!$C$10*'R&amp;S - Apparel'!$B$14*('R&amp;S - Apparel'!$D$17+('R&amp;S - Apparel'!$D$18-'R&amp;S - Apparel'!$D$17)*(AU$3-$N$3)/10)</f>
        <v>6.5990344430490579E-4</v>
      </c>
      <c r="AV51" s="43">
        <f>AV47*'R&amp;S - Apparel'!$C$10*'R&amp;S - Apparel'!$B$14*('R&amp;S - Apparel'!$D$17+('R&amp;S - Apparel'!$D$18-'R&amp;S - Apparel'!$D$17)*(AV$3-$N$3)/10)</f>
        <v>7.3501245451124597E-4</v>
      </c>
      <c r="AW51" s="43">
        <f>AW47*'R&amp;S - Apparel'!$C$10*'R&amp;S - Apparel'!$B$14*('R&amp;S - Apparel'!$D$17+('R&amp;S - Apparel'!$D$18-'R&amp;S - Apparel'!$D$17)*(AW$3-$N$3)/10)</f>
        <v>8.1298502572731384E-4</v>
      </c>
      <c r="AX51" s="43">
        <f>AX47*'R&amp;S - Apparel'!$C$10*'R&amp;S - Apparel'!$B$14*('R&amp;S - Apparel'!$D$17+('R&amp;S - Apparel'!$D$18-'R&amp;S - Apparel'!$D$17)*(AX$3-$N$3)/10)</f>
        <v>8.9390830444201718E-4</v>
      </c>
      <c r="AY51" s="43">
        <f>AY47*'R&amp;S - Apparel'!$C$10*'R&amp;S - Apparel'!$B$14*('R&amp;S - Apparel'!$D$17+('R&amp;S - Apparel'!$D$18-'R&amp;S - Apparel'!$D$17)*(AY$3-$N$3)/10)</f>
        <v>9.778718344663922E-4</v>
      </c>
      <c r="AZ51" s="43">
        <f>AZ47*'R&amp;S - Apparel'!$C$10*'R&amp;S - Apparel'!$B$14*('R&amp;S - Apparel'!$D$17+('R&amp;S - Apparel'!$D$18-'R&amp;S - Apparel'!$D$17)*(AZ$3-$N$3)/10)</f>
        <v>1.0649676191895321E-3</v>
      </c>
      <c r="BA51" s="43">
        <f>BA47*'R&amp;S - Apparel'!$C$10*'R&amp;S - Apparel'!$B$14*('R&amp;S - Apparel'!$D$17+('R&amp;S - Apparel'!$D$18-'R&amp;S - Apparel'!$D$17)*(BA$3-$N$3)/10)</f>
        <v>1.1552901853920442E-3</v>
      </c>
      <c r="BB51" s="43">
        <f>BB47*'R&amp;S - Apparel'!$C$10*'R&amp;S - Apparel'!$B$14*('R&amp;S - Apparel'!$D$17+('R&amp;S - Apparel'!$D$18-'R&amp;S - Apparel'!$D$17)*(BB$3-$N$3)/10)</f>
        <v>1.2489366486549993E-3</v>
      </c>
      <c r="BC51" s="43">
        <f>BC47*'R&amp;S - Apparel'!$C$10*'R&amp;S - Apparel'!$B$14*('R&amp;S - Apparel'!$D$17+('R&amp;S - Apparel'!$D$18-'R&amp;S - Apparel'!$D$17)*(BC$3-$N$3)/10)</f>
        <v>1.3460067804032401E-3</v>
      </c>
      <c r="BD51" s="43">
        <f>BD47*'R&amp;S - Apparel'!$C$10*'R&amp;S - Apparel'!$B$14*('R&amp;S - Apparel'!$D$17+('R&amp;S - Apparel'!$D$18-'R&amp;S - Apparel'!$D$17)*(BD$3-$N$3)/10)</f>
        <v>1.4466030766228509E-3</v>
      </c>
      <c r="BE51" s="43">
        <f>BE47*'R&amp;S - Apparel'!$C$10*'R&amp;S - Apparel'!$B$14*('R&amp;S - Apparel'!$D$18+('R&amp;S - Apparel'!$D$19-'R&amp;S - Apparel'!$D$18)*(BE$3-$X$3)/10)</f>
        <v>1.5530686794166058E-3</v>
      </c>
      <c r="BF51" s="43">
        <f>BF47*'R&amp;S - Apparel'!$C$10*'R&amp;S - Apparel'!$B$14*('R&amp;S - Apparel'!$D$18+('R&amp;S - Apparel'!$D$19-'R&amp;S - Apparel'!$D$18)*(BF$3-$X$3)/10)</f>
        <v>1.6633678855709074E-3</v>
      </c>
      <c r="BG51" s="43">
        <f>BG47*'R&amp;S - Apparel'!$C$10*'R&amp;S - Apparel'!$B$14*('R&amp;S - Apparel'!$D$18+('R&amp;S - Apparel'!$D$19-'R&amp;S - Apparel'!$D$18)*(BG$3-$X$3)/10)</f>
        <v>1.7776147550960675E-3</v>
      </c>
      <c r="BH51" s="43">
        <f>BH47*'R&amp;S - Apparel'!$C$10*'R&amp;S - Apparel'!$B$14*('R&amp;S - Apparel'!$D$18+('R&amp;S - Apparel'!$D$19-'R&amp;S - Apparel'!$D$18)*(BH$3-$X$3)/10)</f>
        <v>1.8959264479037475E-3</v>
      </c>
      <c r="BI51" s="43">
        <f>BI47*'R&amp;S - Apparel'!$C$10*'R&amp;S - Apparel'!$B$14*('R&amp;S - Apparel'!$D$18+('R&amp;S - Apparel'!$D$19-'R&amp;S - Apparel'!$D$18)*(BI$3-$X$3)/10)</f>
        <v>2.0184233037023529E-3</v>
      </c>
      <c r="BJ51" s="43">
        <f>BJ47*'R&amp;S - Apparel'!$C$10*'R&amp;S - Apparel'!$B$14*('R&amp;S - Apparel'!$D$18+('R&amp;S - Apparel'!$D$19-'R&amp;S - Apparel'!$D$18)*(BJ$3-$X$3)/10)</f>
        <v>2.1452289238809734E-3</v>
      </c>
      <c r="BK51" s="43">
        <f>BK47*'R&amp;S - Apparel'!$C$10*'R&amp;S - Apparel'!$B$14*('R&amp;S - Apparel'!$D$18+('R&amp;S - Apparel'!$D$19-'R&amp;S - Apparel'!$D$18)*(BK$3-$X$3)/10)</f>
        <v>2.2764702554301636E-3</v>
      </c>
      <c r="BL51" s="43">
        <f>BL47*'R&amp;S - Apparel'!$C$10*'R&amp;S - Apparel'!$B$14*('R&amp;S - Apparel'!$D$18+('R&amp;S - Apparel'!$D$19-'R&amp;S - Apparel'!$D$18)*(BL$3-$X$3)/10)</f>
        <v>2.4122776769489882E-3</v>
      </c>
      <c r="BM51" s="43">
        <f>BM47*'R&amp;S - Apparel'!$C$10*'R&amp;S - Apparel'!$B$14*('R&amp;S - Apparel'!$D$18+('R&amp;S - Apparel'!$D$19-'R&amp;S - Apparel'!$D$18)*(BM$3-$X$3)/10)</f>
        <v>2.5527850867889585E-3</v>
      </c>
      <c r="BN51" s="43">
        <f>BN47*'R&amp;S - Apparel'!$C$10*'R&amp;S - Apparel'!$B$14*('R&amp;S - Apparel'!$D$18+('R&amp;S - Apparel'!$D$19-'R&amp;S - Apparel'!$D$18)*(BN$3-$X$3)/10)</f>
        <v>2.6981299933866738E-3</v>
      </c>
    </row>
    <row r="52" spans="1:66" x14ac:dyDescent="0.2">
      <c r="B52" s="1" t="s">
        <v>197</v>
      </c>
      <c r="C52" s="54" t="s">
        <v>153</v>
      </c>
      <c r="D52" s="443">
        <f>D47-D50-D51</f>
        <v>1.4464073070604898E-2</v>
      </c>
      <c r="E52" s="443">
        <f t="shared" ref="E52:AG52" si="405">E47-E50-E51</f>
        <v>1.4311493010190393E-2</v>
      </c>
      <c r="F52" s="443">
        <f t="shared" si="405"/>
        <v>1.4146125931014341E-2</v>
      </c>
      <c r="G52" s="443">
        <f t="shared" si="405"/>
        <v>1.3967502066095403E-2</v>
      </c>
      <c r="H52" s="443">
        <f t="shared" si="405"/>
        <v>1.3775137557314292E-2</v>
      </c>
      <c r="I52" s="443">
        <f t="shared" si="405"/>
        <v>1.3568534070753225E-2</v>
      </c>
      <c r="J52" s="443">
        <f t="shared" si="405"/>
        <v>1.334717840209382E-2</v>
      </c>
      <c r="K52" s="443">
        <f t="shared" si="405"/>
        <v>1.3110542071825515E-2</v>
      </c>
      <c r="L52" s="443">
        <f t="shared" si="405"/>
        <v>1.2858080910010618E-2</v>
      </c>
      <c r="M52" s="443">
        <f t="shared" si="405"/>
        <v>1.2589234630345822E-2</v>
      </c>
      <c r="N52" s="443">
        <f t="shared" si="405"/>
        <v>1.2303426393253786E-2</v>
      </c>
      <c r="O52" s="443">
        <f t="shared" si="405"/>
        <v>1.2165492697764266E-2</v>
      </c>
      <c r="P52" s="443">
        <f t="shared" si="405"/>
        <v>1.2016339976024762E-2</v>
      </c>
      <c r="Q52" s="443">
        <f t="shared" si="405"/>
        <v>1.185555785769248E-2</v>
      </c>
      <c r="R52" s="443">
        <f t="shared" si="405"/>
        <v>1.168272368446082E-2</v>
      </c>
      <c r="S52" s="443">
        <f t="shared" si="405"/>
        <v>1.1497402174938186E-2</v>
      </c>
      <c r="T52" s="443">
        <f t="shared" si="405"/>
        <v>1.1299145080870753E-2</v>
      </c>
      <c r="U52" s="443">
        <f t="shared" si="405"/>
        <v>1.1087490834493341E-2</v>
      </c>
      <c r="V52" s="443">
        <f t="shared" si="405"/>
        <v>1.0861964186787414E-2</v>
      </c>
      <c r="W52" s="443">
        <f t="shared" si="405"/>
        <v>1.0622075836419827E-2</v>
      </c>
      <c r="X52" s="443">
        <f t="shared" si="405"/>
        <v>1.0367322049130429E-2</v>
      </c>
      <c r="Y52" s="443">
        <f t="shared" si="405"/>
        <v>9.9964809667924728E-3</v>
      </c>
      <c r="Z52" s="443">
        <f t="shared" si="405"/>
        <v>9.6054925699726578E-3</v>
      </c>
      <c r="AA52" s="443">
        <f t="shared" si="405"/>
        <v>9.1936742123800534E-3</v>
      </c>
      <c r="AB52" s="443">
        <f t="shared" si="405"/>
        <v>8.7603234615452018E-3</v>
      </c>
      <c r="AC52" s="443">
        <f t="shared" si="405"/>
        <v>8.3047175688476284E-3</v>
      </c>
      <c r="AD52" s="443">
        <f t="shared" si="405"/>
        <v>7.8261129260102178E-3</v>
      </c>
      <c r="AE52" s="443">
        <f t="shared" si="405"/>
        <v>7.3237445077257686E-3</v>
      </c>
      <c r="AF52" s="443">
        <f t="shared" si="405"/>
        <v>6.7968253000730058E-3</v>
      </c>
      <c r="AG52" s="443">
        <f t="shared" si="405"/>
        <v>6.2445457143709198E-3</v>
      </c>
      <c r="AH52" s="443">
        <f>AH47-AH50-AH51</f>
        <v>5.6660729861120127E-3</v>
      </c>
      <c r="AJ52" s="443">
        <f>AJ47-AJ50-AJ51</f>
        <v>1.4464073070604898E-2</v>
      </c>
      <c r="AK52" s="443">
        <f t="shared" ref="AK52:BM52" si="406">AK47-AK50-AK51</f>
        <v>1.4539655807638996E-2</v>
      </c>
      <c r="AL52" s="443">
        <f t="shared" si="406"/>
        <v>1.4612034363404389E-2</v>
      </c>
      <c r="AM52" s="443">
        <f t="shared" si="406"/>
        <v>1.4681040830300762E-2</v>
      </c>
      <c r="AN52" s="443">
        <f t="shared" si="406"/>
        <v>1.474650166165252E-2</v>
      </c>
      <c r="AO52" s="443">
        <f t="shared" si="406"/>
        <v>1.480823750891489E-2</v>
      </c>
      <c r="AP52" s="443">
        <f t="shared" si="406"/>
        <v>1.4866063054529489E-2</v>
      </c>
      <c r="AQ52" s="443">
        <f t="shared" si="406"/>
        <v>1.491978684031847E-2</v>
      </c>
      <c r="AR52" s="443">
        <f t="shared" si="406"/>
        <v>1.4969211091303541E-2</v>
      </c>
      <c r="AS52" s="443">
        <f t="shared" si="406"/>
        <v>1.5014131534833403E-2</v>
      </c>
      <c r="AT52" s="443">
        <f t="shared" si="406"/>
        <v>1.5054337214900258E-2</v>
      </c>
      <c r="AU52" s="443">
        <f t="shared" si="406"/>
        <v>1.5172325471539239E-2</v>
      </c>
      <c r="AV52" s="443">
        <f t="shared" si="406"/>
        <v>1.5288630272245281E-2</v>
      </c>
      <c r="AW52" s="443">
        <f t="shared" si="406"/>
        <v>1.5403128879048033E-2</v>
      </c>
      <c r="AX52" s="443">
        <f t="shared" si="406"/>
        <v>1.5515694141386439E-2</v>
      </c>
      <c r="AY52" s="443">
        <f t="shared" si="406"/>
        <v>1.5626194364907395E-2</v>
      </c>
      <c r="AZ52" s="443">
        <f t="shared" si="406"/>
        <v>1.5734493176699883E-2</v>
      </c>
      <c r="BA52" s="443">
        <f t="shared" si="406"/>
        <v>1.5840449386872731E-2</v>
      </c>
      <c r="BB52" s="443">
        <f t="shared" si="406"/>
        <v>1.5943916846381911E-2</v>
      </c>
      <c r="BC52" s="443">
        <f t="shared" si="406"/>
        <v>1.6044744301010876E-2</v>
      </c>
      <c r="BD52" s="443">
        <f t="shared" si="406"/>
        <v>1.6142775241404991E-2</v>
      </c>
      <c r="BE52" s="443">
        <f t="shared" si="406"/>
        <v>1.6187496098789646E-2</v>
      </c>
      <c r="BF52" s="443">
        <f t="shared" si="406"/>
        <v>1.6226976268303002E-2</v>
      </c>
      <c r="BG52" s="443">
        <f t="shared" si="406"/>
        <v>1.6260975919156352E-2</v>
      </c>
      <c r="BH52" s="443">
        <f t="shared" si="406"/>
        <v>1.6289247458811214E-2</v>
      </c>
      <c r="BI52" s="443">
        <f t="shared" si="406"/>
        <v>1.6311535312751237E-2</v>
      </c>
      <c r="BJ52" s="443">
        <f t="shared" si="406"/>
        <v>1.6327575698427407E-2</v>
      </c>
      <c r="BK52" s="443">
        <f t="shared" si="406"/>
        <v>1.6337096393229052E-2</v>
      </c>
      <c r="BL52" s="443">
        <f t="shared" si="406"/>
        <v>1.633981649632936E-2</v>
      </c>
      <c r="BM52" s="443">
        <f t="shared" si="406"/>
        <v>1.6335446184250462E-2</v>
      </c>
      <c r="BN52" s="443">
        <f>BN47-BN50-BN51</f>
        <v>1.6323686459989377E-2</v>
      </c>
    </row>
    <row r="53" spans="1:66" s="67" customFormat="1" x14ac:dyDescent="0.2">
      <c r="A53" s="681"/>
      <c r="B53" s="58" t="s">
        <v>246</v>
      </c>
      <c r="C53" s="59" t="s">
        <v>153</v>
      </c>
      <c r="D53" s="60">
        <f>D$7/(D$7+D$9)*D52</f>
        <v>2.4253683632989597E-3</v>
      </c>
      <c r="E53" s="60">
        <f t="shared" ref="E53" si="407">E$7/(E$7+E$9)*E52</f>
        <v>2.3429211882458833E-3</v>
      </c>
      <c r="F53" s="60">
        <f t="shared" ref="F53" si="408">F$7/(F$7+F$9)*F52</f>
        <v>2.2687388446279446E-3</v>
      </c>
      <c r="G53" s="60">
        <f t="shared" ref="G53" si="409">G$7/(G$7+G$9)*G52</f>
        <v>2.2006586684234337E-3</v>
      </c>
      <c r="H53" s="60">
        <f t="shared" ref="H53" si="410">H$7/(H$7+H$9)*H52</f>
        <v>2.1370709438928146E-3</v>
      </c>
      <c r="I53" s="60">
        <f t="shared" ref="I53" si="411">I$7/(I$7+I$9)*I52</f>
        <v>2.0767463133532509E-3</v>
      </c>
      <c r="J53" s="60">
        <f t="shared" ref="J53" si="412">J$7/(J$7+J$9)*J52</f>
        <v>2.0187237082855106E-3</v>
      </c>
      <c r="K53" s="60">
        <f t="shared" ref="K53" si="413">K$7/(K$7+K$9)*K52</f>
        <v>1.9622353932937974E-3</v>
      </c>
      <c r="L53" s="60">
        <f t="shared" ref="L53" si="414">L$7/(L$7+L$9)*L52</f>
        <v>1.9066555191543243E-3</v>
      </c>
      <c r="M53" s="60">
        <f t="shared" ref="M53" si="415">M$7/(M$7+M$9)*M52</f>
        <v>1.8514639956310865E-3</v>
      </c>
      <c r="N53" s="60">
        <f t="shared" ref="N53" si="416">N$7/(N$7+N$9)*N52</f>
        <v>1.7962205996476391E-3</v>
      </c>
      <c r="O53" s="60">
        <f t="shared" ref="O53" si="417">O$7/(O$7+O$9)*O52</f>
        <v>1.7821587909736831E-3</v>
      </c>
      <c r="P53" s="60">
        <f t="shared" ref="P53" si="418">P$7/(P$7+P$9)*P52</f>
        <v>1.7665751962475452E-3</v>
      </c>
      <c r="Q53" s="60">
        <f t="shared" ref="Q53" si="419">Q$7/(Q$7+Q$9)*Q52</f>
        <v>1.7493863930520383E-3</v>
      </c>
      <c r="R53" s="60">
        <f t="shared" ref="R53" si="420">R$7/(R$7+R$9)*R52</f>
        <v>1.7305049555564999E-3</v>
      </c>
      <c r="S53" s="60">
        <f t="shared" ref="S53" si="421">S$7/(S$7+S$9)*S52</f>
        <v>1.7098391978316372E-3</v>
      </c>
      <c r="T53" s="60">
        <f t="shared" ref="T53" si="422">T$7/(T$7+T$9)*T52</f>
        <v>1.6885661173524529E-3</v>
      </c>
      <c r="U53" s="60">
        <f t="shared" ref="U53" si="423">U$7/(U$7+U$9)*U52</f>
        <v>1.6652788199079858E-3</v>
      </c>
      <c r="V53" s="60">
        <f t="shared" ref="V53" si="424">V$7/(V$7+V$9)*V52</f>
        <v>1.6398680082873871E-3</v>
      </c>
      <c r="W53" s="60">
        <f t="shared" ref="W53" si="425">W$7/(W$7+W$9)*W52</f>
        <v>1.6122184068822318E-3</v>
      </c>
      <c r="X53" s="60">
        <f t="shared" ref="X53" si="426">X$7/(X$7+X$9)*X52</f>
        <v>1.5822083620850591E-3</v>
      </c>
      <c r="Y53" s="60">
        <f t="shared" ref="Y53" si="427">Y$7/(Y$7+Y$9)*Y52</f>
        <v>1.5366325222489652E-3</v>
      </c>
      <c r="Z53" s="60">
        <f t="shared" ref="Z53" si="428">Z$7/(Z$7+Z$9)*Z52</f>
        <v>1.487485748837067E-3</v>
      </c>
      <c r="AA53" s="60">
        <f t="shared" ref="AA53" si="429">AA$7/(AA$7+AA$9)*AA52</f>
        <v>1.434563840181576E-3</v>
      </c>
      <c r="AB53" s="60">
        <f t="shared" ref="AB53" si="430">AB$7/(AB$7+AB$9)*AB52</f>
        <v>1.3776495027425289E-3</v>
      </c>
      <c r="AC53" s="60">
        <f t="shared" ref="AC53" si="431">AC$7/(AC$7+AC$9)*AC52</f>
        <v>1.3165113206998506E-3</v>
      </c>
      <c r="AD53" s="60">
        <f t="shared" ref="AD53" si="432">AD$7/(AD$7+AD$9)*AD52</f>
        <v>1.2509026268236456E-3</v>
      </c>
      <c r="AE53" s="60">
        <f t="shared" ref="AE53" si="433">AE$7/(AE$7+AE$9)*AE52</f>
        <v>1.1805602633937857E-3</v>
      </c>
      <c r="AF53" s="60">
        <f t="shared" ref="AF53" si="434">AF$7/(AF$7+AF$9)*AF52</f>
        <v>1.1052032204561049E-3</v>
      </c>
      <c r="AG53" s="60">
        <f t="shared" ref="AG53" si="435">AG$7/(AG$7+AG$9)*AG52</f>
        <v>1.0245311369943711E-3</v>
      </c>
      <c r="AH53" s="60">
        <f t="shared" ref="AH53" si="436">AH$7/(AH$7+AH$9)*AH52</f>
        <v>9.3822264862653904E-4</v>
      </c>
      <c r="AJ53" s="60">
        <f>AJ$7/(AJ$7+AJ$9)*AJ52</f>
        <v>2.4253683632989597E-3</v>
      </c>
      <c r="AK53" s="60">
        <f t="shared" ref="AK53" si="437">AK$7/(AK$7+AK$9)*AK52</f>
        <v>2.3802735072618762E-3</v>
      </c>
      <c r="AL53" s="60">
        <f t="shared" ref="AL53" si="438">AL$7/(AL$7+AL$9)*AL52</f>
        <v>2.343460684639673E-3</v>
      </c>
      <c r="AM53" s="60">
        <f t="shared" ref="AM53" si="439">AM$7/(AM$7+AM$9)*AM52</f>
        <v>2.3130807220787032E-3</v>
      </c>
      <c r="AN53" s="60">
        <f t="shared" ref="AN53" si="440">AN$7/(AN$7+AN$9)*AN52</f>
        <v>2.2877680962576888E-3</v>
      </c>
      <c r="AO53" s="60">
        <f t="shared" ref="AO53" si="441">AO$7/(AO$7+AO$9)*AO52</f>
        <v>2.2664904324621077E-3</v>
      </c>
      <c r="AP53" s="60">
        <f t="shared" ref="AP53" si="442">AP$7/(AP$7+AP$9)*AP52</f>
        <v>2.2484507985851259E-3</v>
      </c>
      <c r="AQ53" s="60">
        <f t="shared" ref="AQ53" si="443">AQ$7/(AQ$7+AQ$9)*AQ52</f>
        <v>2.2330223752827266E-3</v>
      </c>
      <c r="AR53" s="60">
        <f t="shared" ref="AR53" si="444">AR$7/(AR$7+AR$9)*AR52</f>
        <v>2.2197036357423615E-3</v>
      </c>
      <c r="AS53" s="60">
        <f t="shared" ref="AS53" si="445">AS$7/(AS$7+AS$9)*AS52</f>
        <v>2.2080868915896712E-3</v>
      </c>
      <c r="AT53" s="60">
        <f t="shared" ref="AT53" si="446">AT$7/(AT$7+AT$9)*AT52</f>
        <v>2.1978357699017066E-3</v>
      </c>
      <c r="AU53" s="60">
        <f t="shared" ref="AU53" si="447">AU$7/(AU$7+AU$9)*AU52</f>
        <v>2.2226385638772208E-3</v>
      </c>
      <c r="AV53" s="60">
        <f t="shared" ref="AV53" si="448">AV$7/(AV$7+AV$9)*AV52</f>
        <v>2.2476490410088088E-3</v>
      </c>
      <c r="AW53" s="60">
        <f t="shared" ref="AW53" si="449">AW$7/(AW$7+AW$9)*AW52</f>
        <v>2.2728600707683775E-3</v>
      </c>
      <c r="AX53" s="60">
        <f t="shared" ref="AX53" si="450">AX$7/(AX$7+AX$9)*AX52</f>
        <v>2.2982641998356367E-3</v>
      </c>
      <c r="AY53" s="60">
        <f t="shared" ref="AY53" si="451">AY$7/(AY$7+AY$9)*AY52</f>
        <v>2.3238536176715206E-3</v>
      </c>
      <c r="AZ53" s="60">
        <f t="shared" ref="AZ53" si="452">AZ$7/(AZ$7+AZ$9)*AZ52</f>
        <v>2.351393124146106E-3</v>
      </c>
      <c r="BA53" s="60">
        <f t="shared" ref="BA53" si="453">BA$7/(BA$7+BA$9)*BA52</f>
        <v>2.3791464863915728E-3</v>
      </c>
      <c r="BB53" s="60">
        <f t="shared" ref="BB53" si="454">BB$7/(BB$7+BB$9)*BB52</f>
        <v>2.4071078410459264E-3</v>
      </c>
      <c r="BC53" s="60">
        <f t="shared" ref="BC53" si="455">BC$7/(BC$7+BC$9)*BC52</f>
        <v>2.4352708918831457E-3</v>
      </c>
      <c r="BD53" s="60">
        <f t="shared" ref="BD53" si="456">BD$7/(BD$7+BD$9)*BD52</f>
        <v>2.4636288766926974E-3</v>
      </c>
      <c r="BE53" s="60">
        <f t="shared" ref="BE53" si="457">BE$7/(BE$7+BE$9)*BE52</f>
        <v>2.4882989365766486E-3</v>
      </c>
      <c r="BF53" s="60">
        <f t="shared" ref="BF53" si="458">BF$7/(BF$7+BF$9)*BF52</f>
        <v>2.512874354957386E-3</v>
      </c>
      <c r="BG53" s="60">
        <f t="shared" ref="BG53" si="459">BG$7/(BG$7+BG$9)*BG52</f>
        <v>2.5373324658679725E-3</v>
      </c>
      <c r="BH53" s="60">
        <f t="shared" ref="BH53" si="460">BH$7/(BH$7+BH$9)*BH52</f>
        <v>2.5616489802219025E-3</v>
      </c>
      <c r="BI53" s="60">
        <f t="shared" ref="BI53" si="461">BI$7/(BI$7+BI$9)*BI52</f>
        <v>2.5857978575678621E-3</v>
      </c>
      <c r="BJ53" s="60">
        <f t="shared" ref="BJ53" si="462">BJ$7/(BJ$7+BJ$9)*BJ52</f>
        <v>2.6097511656066916E-3</v>
      </c>
      <c r="BK53" s="60">
        <f t="shared" ref="BK53" si="463">BK$7/(BK$7+BK$9)*BK52</f>
        <v>2.6334789260786624E-3</v>
      </c>
      <c r="BL53" s="60">
        <f t="shared" ref="BL53" si="464">BL$7/(BL$7+BL$9)*BL52</f>
        <v>2.6569489454453133E-3</v>
      </c>
      <c r="BM53" s="60">
        <f t="shared" ref="BM53" si="465">BM$7/(BM$7+BM$9)*BM52</f>
        <v>2.680126628578377E-3</v>
      </c>
      <c r="BN53" s="60">
        <f t="shared" ref="BN53" si="466">BN$7/(BN$7+BN$9)*BN52</f>
        <v>2.7029747734240782E-3</v>
      </c>
    </row>
    <row r="54" spans="1:66" x14ac:dyDescent="0.2">
      <c r="A54" s="682"/>
      <c r="B54" s="1" t="s">
        <v>247</v>
      </c>
      <c r="C54" s="54" t="s">
        <v>153</v>
      </c>
      <c r="D54" s="44">
        <v>0</v>
      </c>
      <c r="E54" s="44">
        <v>0</v>
      </c>
      <c r="F54" s="44">
        <v>0</v>
      </c>
      <c r="G54" s="44">
        <v>0</v>
      </c>
      <c r="H54" s="44">
        <v>0</v>
      </c>
      <c r="I54" s="44">
        <v>0</v>
      </c>
      <c r="J54" s="44">
        <v>0</v>
      </c>
      <c r="K54" s="44">
        <v>0</v>
      </c>
      <c r="L54" s="44">
        <v>0</v>
      </c>
      <c r="M54" s="44">
        <v>0</v>
      </c>
      <c r="N54" s="44">
        <v>0</v>
      </c>
      <c r="O54" s="44">
        <v>0</v>
      </c>
      <c r="P54" s="44">
        <v>0</v>
      </c>
      <c r="Q54" s="44">
        <v>0</v>
      </c>
      <c r="R54" s="44">
        <v>0</v>
      </c>
      <c r="S54" s="44">
        <v>0</v>
      </c>
      <c r="T54" s="44">
        <v>0</v>
      </c>
      <c r="U54" s="44">
        <v>0</v>
      </c>
      <c r="V54" s="44">
        <v>0</v>
      </c>
      <c r="W54" s="44">
        <v>0</v>
      </c>
      <c r="X54" s="44">
        <v>0</v>
      </c>
      <c r="Y54" s="44">
        <v>0</v>
      </c>
      <c r="Z54" s="44">
        <v>0</v>
      </c>
      <c r="AA54" s="44">
        <v>0</v>
      </c>
      <c r="AB54" s="44">
        <v>0</v>
      </c>
      <c r="AC54" s="44">
        <v>0</v>
      </c>
      <c r="AD54" s="44">
        <v>0</v>
      </c>
      <c r="AE54" s="44">
        <v>0</v>
      </c>
      <c r="AF54" s="44">
        <v>0</v>
      </c>
      <c r="AG54" s="44">
        <v>0</v>
      </c>
      <c r="AH54" s="44">
        <v>0</v>
      </c>
      <c r="AJ54" s="44">
        <v>0</v>
      </c>
      <c r="AK54" s="44">
        <v>0</v>
      </c>
      <c r="AL54" s="44">
        <v>0</v>
      </c>
      <c r="AM54" s="44">
        <v>0</v>
      </c>
      <c r="AN54" s="44">
        <v>0</v>
      </c>
      <c r="AO54" s="44">
        <v>0</v>
      </c>
      <c r="AP54" s="44">
        <v>0</v>
      </c>
      <c r="AQ54" s="44">
        <v>0</v>
      </c>
      <c r="AR54" s="44">
        <v>0</v>
      </c>
      <c r="AS54" s="44">
        <v>0</v>
      </c>
      <c r="AT54" s="44">
        <v>0</v>
      </c>
      <c r="AU54" s="44">
        <v>0</v>
      </c>
      <c r="AV54" s="44">
        <v>0</v>
      </c>
      <c r="AW54" s="44">
        <v>0</v>
      </c>
      <c r="AX54" s="44">
        <v>0</v>
      </c>
      <c r="AY54" s="44">
        <v>0</v>
      </c>
      <c r="AZ54" s="44">
        <v>0</v>
      </c>
      <c r="BA54" s="44">
        <v>0</v>
      </c>
      <c r="BB54" s="44">
        <v>0</v>
      </c>
      <c r="BC54" s="44">
        <v>0</v>
      </c>
      <c r="BD54" s="44">
        <v>0</v>
      </c>
      <c r="BE54" s="44">
        <v>0</v>
      </c>
      <c r="BF54" s="44">
        <v>0</v>
      </c>
      <c r="BG54" s="44">
        <v>0</v>
      </c>
      <c r="BH54" s="44">
        <v>0</v>
      </c>
      <c r="BI54" s="44">
        <v>0</v>
      </c>
      <c r="BJ54" s="44">
        <v>0</v>
      </c>
      <c r="BK54" s="44">
        <v>0</v>
      </c>
      <c r="BL54" s="44">
        <v>0</v>
      </c>
      <c r="BM54" s="44">
        <v>0</v>
      </c>
      <c r="BN54" s="44">
        <v>0</v>
      </c>
    </row>
    <row r="55" spans="1:66" s="68" customFormat="1" x14ac:dyDescent="0.2">
      <c r="A55" s="683"/>
      <c r="B55" s="62" t="s">
        <v>248</v>
      </c>
      <c r="C55" s="283" t="s">
        <v>153</v>
      </c>
      <c r="D55" s="284">
        <f>D$9/(D$7+D$9)*D52</f>
        <v>1.2038704707305939E-2</v>
      </c>
      <c r="E55" s="284">
        <f t="shared" ref="E55:AH55" si="467">E$9/(E$7+E$9)*E52</f>
        <v>1.196857182194451E-2</v>
      </c>
      <c r="F55" s="284">
        <f t="shared" si="467"/>
        <v>1.1877387086386396E-2</v>
      </c>
      <c r="G55" s="284">
        <f t="shared" si="467"/>
        <v>1.1766843397671969E-2</v>
      </c>
      <c r="H55" s="284">
        <f t="shared" si="467"/>
        <v>1.1638066613421478E-2</v>
      </c>
      <c r="I55" s="284">
        <f t="shared" si="467"/>
        <v>1.1491787757399972E-2</v>
      </c>
      <c r="J55" s="284">
        <f t="shared" si="467"/>
        <v>1.1328454693808309E-2</v>
      </c>
      <c r="K55" s="284">
        <f t="shared" si="467"/>
        <v>1.1148306678531717E-2</v>
      </c>
      <c r="L55" s="284">
        <f t="shared" si="467"/>
        <v>1.0951425390856296E-2</v>
      </c>
      <c r="M55" s="284">
        <f t="shared" si="467"/>
        <v>1.0737770634714736E-2</v>
      </c>
      <c r="N55" s="284">
        <f t="shared" si="467"/>
        <v>1.0507205793606146E-2</v>
      </c>
      <c r="O55" s="284">
        <f t="shared" si="467"/>
        <v>1.0383333906790583E-2</v>
      </c>
      <c r="P55" s="284">
        <f t="shared" si="467"/>
        <v>1.0249764779777217E-2</v>
      </c>
      <c r="Q55" s="284">
        <f t="shared" si="467"/>
        <v>1.0106171464640441E-2</v>
      </c>
      <c r="R55" s="284">
        <f t="shared" si="467"/>
        <v>9.9522187289043194E-3</v>
      </c>
      <c r="S55" s="284">
        <f t="shared" si="467"/>
        <v>9.7875629771065481E-3</v>
      </c>
      <c r="T55" s="284">
        <f t="shared" si="467"/>
        <v>9.6105789635182997E-3</v>
      </c>
      <c r="U55" s="284">
        <f t="shared" si="467"/>
        <v>9.4222120145853565E-3</v>
      </c>
      <c r="V55" s="284">
        <f t="shared" si="467"/>
        <v>9.2220961785000281E-3</v>
      </c>
      <c r="W55" s="284">
        <f t="shared" si="467"/>
        <v>9.0098574295375943E-3</v>
      </c>
      <c r="X55" s="284">
        <f t="shared" si="467"/>
        <v>8.7851136870453692E-3</v>
      </c>
      <c r="Y55" s="284">
        <f t="shared" si="467"/>
        <v>8.4598484445435069E-3</v>
      </c>
      <c r="Z55" s="284">
        <f t="shared" si="467"/>
        <v>8.1180068211355906E-3</v>
      </c>
      <c r="AA55" s="284">
        <f t="shared" si="467"/>
        <v>7.7591103721984783E-3</v>
      </c>
      <c r="AB55" s="284">
        <f t="shared" si="467"/>
        <v>7.3826739588026729E-3</v>
      </c>
      <c r="AC55" s="284">
        <f t="shared" si="467"/>
        <v>6.9882062481477778E-3</v>
      </c>
      <c r="AD55" s="284">
        <f t="shared" si="467"/>
        <v>6.5752102991865728E-3</v>
      </c>
      <c r="AE55" s="284">
        <f t="shared" si="467"/>
        <v>6.1431842443319829E-3</v>
      </c>
      <c r="AF55" s="284">
        <f t="shared" si="467"/>
        <v>5.6916220796169011E-3</v>
      </c>
      <c r="AG55" s="284">
        <f t="shared" si="467"/>
        <v>5.2200145773765487E-3</v>
      </c>
      <c r="AH55" s="284">
        <f t="shared" si="467"/>
        <v>4.7278503374854732E-3</v>
      </c>
      <c r="AJ55" s="284">
        <f>AJ$9/(AJ$7+AJ$9)*AJ52</f>
        <v>1.2038704707305939E-2</v>
      </c>
      <c r="AK55" s="284">
        <f t="shared" ref="AK55:BN55" si="468">AK$9/(AK$7+AK$9)*AK52</f>
        <v>1.2159382300377119E-2</v>
      </c>
      <c r="AL55" s="284">
        <f t="shared" si="468"/>
        <v>1.2268573678764718E-2</v>
      </c>
      <c r="AM55" s="284">
        <f t="shared" si="468"/>
        <v>1.2367960108222057E-2</v>
      </c>
      <c r="AN55" s="284">
        <f t="shared" si="468"/>
        <v>1.2458733565394831E-2</v>
      </c>
      <c r="AO55" s="284">
        <f t="shared" si="468"/>
        <v>1.2541747076452781E-2</v>
      </c>
      <c r="AP55" s="284">
        <f t="shared" si="468"/>
        <v>1.2617612255944363E-2</v>
      </c>
      <c r="AQ55" s="284">
        <f t="shared" si="468"/>
        <v>1.2686764465035742E-2</v>
      </c>
      <c r="AR55" s="284">
        <f t="shared" si="468"/>
        <v>1.2749507455561181E-2</v>
      </c>
      <c r="AS55" s="284">
        <f t="shared" si="468"/>
        <v>1.2806044643243733E-2</v>
      </c>
      <c r="AT55" s="284">
        <f t="shared" si="468"/>
        <v>1.2856501444998551E-2</v>
      </c>
      <c r="AU55" s="284">
        <f t="shared" si="468"/>
        <v>1.2949686907662017E-2</v>
      </c>
      <c r="AV55" s="284">
        <f t="shared" si="468"/>
        <v>1.3040981231236473E-2</v>
      </c>
      <c r="AW55" s="284">
        <f t="shared" si="468"/>
        <v>1.3130268808279656E-2</v>
      </c>
      <c r="AX55" s="284">
        <f t="shared" si="468"/>
        <v>1.3217429941550802E-2</v>
      </c>
      <c r="AY55" s="284">
        <f t="shared" si="468"/>
        <v>1.3302340747235875E-2</v>
      </c>
      <c r="AZ55" s="284">
        <f t="shared" si="468"/>
        <v>1.3383100052553776E-2</v>
      </c>
      <c r="BA55" s="284">
        <f t="shared" si="468"/>
        <v>1.346130290048116E-2</v>
      </c>
      <c r="BB55" s="284">
        <f t="shared" si="468"/>
        <v>1.3536809005335985E-2</v>
      </c>
      <c r="BC55" s="284">
        <f t="shared" si="468"/>
        <v>1.3609473409127729E-2</v>
      </c>
      <c r="BD55" s="284">
        <f t="shared" si="468"/>
        <v>1.3679146364712293E-2</v>
      </c>
      <c r="BE55" s="284">
        <f t="shared" si="468"/>
        <v>1.3699197162212996E-2</v>
      </c>
      <c r="BF55" s="284">
        <f t="shared" si="468"/>
        <v>1.3714101913345616E-2</v>
      </c>
      <c r="BG55" s="284">
        <f t="shared" si="468"/>
        <v>1.3723643453288381E-2</v>
      </c>
      <c r="BH55" s="284">
        <f t="shared" si="468"/>
        <v>1.3727598478589311E-2</v>
      </c>
      <c r="BI55" s="284">
        <f t="shared" si="468"/>
        <v>1.3725737455183375E-2</v>
      </c>
      <c r="BJ55" s="284">
        <f t="shared" si="468"/>
        <v>1.3717824532820716E-2</v>
      </c>
      <c r="BK55" s="284">
        <f t="shared" si="468"/>
        <v>1.3703617467150391E-2</v>
      </c>
      <c r="BL55" s="284">
        <f t="shared" si="468"/>
        <v>1.3682867550884046E-2</v>
      </c>
      <c r="BM55" s="284">
        <f t="shared" si="468"/>
        <v>1.3655319555672086E-2</v>
      </c>
      <c r="BN55" s="284">
        <f t="shared" si="468"/>
        <v>1.3620711686565298E-2</v>
      </c>
    </row>
    <row r="56" spans="1:66" x14ac:dyDescent="0.2">
      <c r="A56" s="58" t="s">
        <v>208</v>
      </c>
      <c r="B56" s="58" t="s">
        <v>209</v>
      </c>
      <c r="C56" s="59" t="s">
        <v>153</v>
      </c>
      <c r="D56" s="44">
        <f>D6-D18-D29-D40-D47-D11</f>
        <v>27.787294919531671</v>
      </c>
      <c r="E56" s="44">
        <f t="shared" ref="E56:AH56" si="469">E6-E18-E29-E40-E47-E11</f>
        <v>31.326685747597839</v>
      </c>
      <c r="F56" s="44">
        <f t="shared" si="469"/>
        <v>34.847270227238667</v>
      </c>
      <c r="G56" s="44">
        <f t="shared" si="469"/>
        <v>38.348642129092511</v>
      </c>
      <c r="H56" s="44">
        <f t="shared" si="469"/>
        <v>41.830386304714871</v>
      </c>
      <c r="I56" s="44">
        <f t="shared" si="469"/>
        <v>45.292078488326709</v>
      </c>
      <c r="J56" s="44">
        <f t="shared" si="469"/>
        <v>48.733285094115068</v>
      </c>
      <c r="K56" s="44">
        <f t="shared" si="469"/>
        <v>52.153563008986424</v>
      </c>
      <c r="L56" s="44">
        <f t="shared" si="469"/>
        <v>55.552459380669077</v>
      </c>
      <c r="M56" s="44">
        <f t="shared" si="469"/>
        <v>58.929511401060765</v>
      </c>
      <c r="N56" s="44">
        <f t="shared" si="469"/>
        <v>62.284246084712827</v>
      </c>
      <c r="O56" s="44">
        <f t="shared" si="469"/>
        <v>62.932403936136829</v>
      </c>
      <c r="P56" s="44">
        <f t="shared" si="469"/>
        <v>63.55726703684644</v>
      </c>
      <c r="Q56" s="44">
        <f t="shared" si="469"/>
        <v>64.158330489968478</v>
      </c>
      <c r="R56" s="44">
        <f t="shared" si="469"/>
        <v>64.735078284357087</v>
      </c>
      <c r="S56" s="44">
        <f t="shared" si="469"/>
        <v>65.286983047064879</v>
      </c>
      <c r="T56" s="44">
        <f t="shared" si="469"/>
        <v>65.613505790253299</v>
      </c>
      <c r="U56" s="44">
        <f t="shared" si="469"/>
        <v>65.914095652416847</v>
      </c>
      <c r="V56" s="44">
        <f t="shared" si="469"/>
        <v>66.188189633792305</v>
      </c>
      <c r="W56" s="44">
        <f t="shared" si="469"/>
        <v>66.435212325821055</v>
      </c>
      <c r="X56" s="44">
        <f t="shared" si="469"/>
        <v>66.654575634531312</v>
      </c>
      <c r="Y56" s="44">
        <f t="shared" si="469"/>
        <v>66.445678497700868</v>
      </c>
      <c r="Z56" s="44">
        <f t="shared" si="469"/>
        <v>66.207906595661626</v>
      </c>
      <c r="AA56" s="44">
        <f t="shared" si="469"/>
        <v>65.940632055600503</v>
      </c>
      <c r="AB56" s="44">
        <f t="shared" si="469"/>
        <v>65.643213149210595</v>
      </c>
      <c r="AC56" s="44">
        <f t="shared" si="469"/>
        <v>65.314993983541484</v>
      </c>
      <c r="AD56" s="44">
        <f t="shared" si="469"/>
        <v>64.955304184895439</v>
      </c>
      <c r="AE56" s="44">
        <f t="shared" si="469"/>
        <v>64.563458575611293</v>
      </c>
      <c r="AF56" s="44">
        <f t="shared" si="469"/>
        <v>64.138756843576061</v>
      </c>
      <c r="AG56" s="44">
        <f t="shared" si="469"/>
        <v>63.680483204298511</v>
      </c>
      <c r="AH56" s="44">
        <f t="shared" si="469"/>
        <v>63.187906055377496</v>
      </c>
      <c r="AJ56" s="44">
        <f>AJ6-AJ18-AJ29-AJ40-AJ47-AJ11</f>
        <v>27.787294919531671</v>
      </c>
      <c r="AK56" s="44">
        <f t="shared" ref="AK56:BN56" si="470">AK6-AK18-AK29-AK40-AK47-AK11</f>
        <v>31.326685747597839</v>
      </c>
      <c r="AL56" s="44">
        <f t="shared" si="470"/>
        <v>34.847270227238667</v>
      </c>
      <c r="AM56" s="44">
        <f t="shared" si="470"/>
        <v>38.348642129092511</v>
      </c>
      <c r="AN56" s="44">
        <f t="shared" si="470"/>
        <v>41.830386304714871</v>
      </c>
      <c r="AO56" s="44">
        <f t="shared" si="470"/>
        <v>45.292078488326709</v>
      </c>
      <c r="AP56" s="44">
        <f t="shared" si="470"/>
        <v>48.733285094115068</v>
      </c>
      <c r="AQ56" s="44">
        <f t="shared" si="470"/>
        <v>52.153563008986424</v>
      </c>
      <c r="AR56" s="44">
        <f t="shared" si="470"/>
        <v>55.552459380669077</v>
      </c>
      <c r="AS56" s="44">
        <f t="shared" si="470"/>
        <v>58.929511401060765</v>
      </c>
      <c r="AT56" s="44">
        <f t="shared" si="470"/>
        <v>62.284246084712827</v>
      </c>
      <c r="AU56" s="44">
        <f t="shared" si="470"/>
        <v>62.932403936136829</v>
      </c>
      <c r="AV56" s="44">
        <f t="shared" si="470"/>
        <v>63.55726703684644</v>
      </c>
      <c r="AW56" s="44">
        <f t="shared" si="470"/>
        <v>64.158330489968478</v>
      </c>
      <c r="AX56" s="44">
        <f t="shared" si="470"/>
        <v>64.735078284357087</v>
      </c>
      <c r="AY56" s="44">
        <f t="shared" si="470"/>
        <v>65.286983047064879</v>
      </c>
      <c r="AZ56" s="44">
        <f t="shared" si="470"/>
        <v>65.613505790253299</v>
      </c>
      <c r="BA56" s="44">
        <f t="shared" si="470"/>
        <v>65.914095652416847</v>
      </c>
      <c r="BB56" s="44">
        <f t="shared" si="470"/>
        <v>66.188189633792305</v>
      </c>
      <c r="BC56" s="44">
        <f t="shared" si="470"/>
        <v>66.435212325821055</v>
      </c>
      <c r="BD56" s="44">
        <f t="shared" si="470"/>
        <v>66.654575634531312</v>
      </c>
      <c r="BE56" s="44">
        <f t="shared" si="470"/>
        <v>66.445678497700868</v>
      </c>
      <c r="BF56" s="44">
        <f t="shared" si="470"/>
        <v>66.207906595661626</v>
      </c>
      <c r="BG56" s="44">
        <f t="shared" si="470"/>
        <v>65.940632055600503</v>
      </c>
      <c r="BH56" s="44">
        <f t="shared" si="470"/>
        <v>65.643213149210595</v>
      </c>
      <c r="BI56" s="44">
        <f t="shared" si="470"/>
        <v>65.314993983541484</v>
      </c>
      <c r="BJ56" s="44">
        <f t="shared" si="470"/>
        <v>64.955304184895439</v>
      </c>
      <c r="BK56" s="44">
        <f t="shared" si="470"/>
        <v>64.563458575611293</v>
      </c>
      <c r="BL56" s="44">
        <f t="shared" si="470"/>
        <v>64.138756843576061</v>
      </c>
      <c r="BM56" s="44">
        <f t="shared" si="470"/>
        <v>63.680483204298511</v>
      </c>
      <c r="BN56" s="44">
        <f t="shared" si="470"/>
        <v>63.187906055377496</v>
      </c>
    </row>
    <row r="57" spans="1:66" x14ac:dyDescent="0.2">
      <c r="B57" s="1" t="s">
        <v>168</v>
      </c>
      <c r="C57" s="54" t="s">
        <v>153</v>
      </c>
      <c r="D57">
        <v>0</v>
      </c>
      <c r="E57" s="43">
        <f>E56*'R&amp;S - Others'!$D$7*'R&amp;S - Others'!$B$11*'R&amp;S - Others'!$B$15*(E$3-$D$3)/10</f>
        <v>0.15506709445060929</v>
      </c>
      <c r="F57" s="43">
        <f>F56*'R&amp;S - Others'!$D$7*'R&amp;S - Others'!$B$11*'R&amp;S - Others'!$B$15*(F$3-$D$3)/10</f>
        <v>0.34498797524966285</v>
      </c>
      <c r="G57" s="43">
        <f>G56*'R&amp;S - Others'!$D$7*'R&amp;S - Others'!$B$11*'R&amp;S - Others'!$B$15*(G$3-$D$3)/10</f>
        <v>0.56947733561702374</v>
      </c>
      <c r="H57" s="43">
        <f>H56*'R&amp;S - Others'!$D$7*'R&amp;S - Others'!$B$11*'R&amp;S - Others'!$B$15*(H$3-$D$3)/10</f>
        <v>0.82824164883335438</v>
      </c>
      <c r="I57" s="43">
        <f>I56*'R&amp;S - Others'!$D$7*'R&amp;S - Others'!$B$11*'R&amp;S - Others'!$B$15*(I$3-$D$3)/10</f>
        <v>1.1209789425860861</v>
      </c>
      <c r="J57" s="43">
        <f>J56*'R&amp;S - Others'!$D$7*'R&amp;S - Others'!$B$11*'R&amp;S - Others'!$B$15*(J$3-$D$3)/10</f>
        <v>1.4473785672952175</v>
      </c>
      <c r="K57" s="43">
        <f>K56*'R&amp;S - Others'!$D$7*'R&amp;S - Others'!$B$11*'R&amp;S - Others'!$B$15*(K$3-$D$3)/10</f>
        <v>1.8071209582613796</v>
      </c>
      <c r="L57" s="43">
        <f>L56*'R&amp;S - Others'!$D$7*'R&amp;S - Others'!$B$11*'R&amp;S - Others'!$B$15*(L$3-$D$3)/10</f>
        <v>2.1998773914744953</v>
      </c>
      <c r="M57" s="43">
        <f>M56*'R&amp;S - Others'!$D$7*'R&amp;S - Others'!$B$11*'R&amp;S - Others'!$B$15*(M$3-$D$3)/10</f>
        <v>2.6253097329172572</v>
      </c>
      <c r="N57" s="43">
        <f>N56*'R&amp;S - Others'!$D$7*'R&amp;S - Others'!$B$11*'R&amp;S - Others'!$B$15*(N$3-$D$3)/10</f>
        <v>3.083070181193285</v>
      </c>
      <c r="O57" s="43">
        <f>O56*'R&amp;S - Others'!$D$7*'R&amp;S - Others'!$B$11*('R&amp;S - Others'!$B$15+('R&amp;S - Others'!$B$16-'R&amp;S - Others'!$B$15)*(O$3-$N$3)/10)</f>
        <v>3.4266693943226501</v>
      </c>
      <c r="P57" s="43">
        <f>P56*'R&amp;S - Others'!$D$7*'R&amp;S - Others'!$B$11*('R&amp;S - Others'!$B$15+('R&amp;S - Others'!$B$16-'R&amp;S - Others'!$B$15)*(P$3-$N$3)/10)</f>
        <v>3.7753016619886788</v>
      </c>
      <c r="Q57" s="43">
        <f>Q56*'R&amp;S - Others'!$D$7*'R&amp;S - Others'!$B$11*('R&amp;S - Others'!$B$15+('R&amp;S - Others'!$B$16-'R&amp;S - Others'!$B$15)*(Q$3-$N$3)/10)</f>
        <v>4.128588567029472</v>
      </c>
      <c r="R57" s="43">
        <f>R56*'R&amp;S - Others'!$D$7*'R&amp;S - Others'!$B$11*('R&amp;S - Others'!$B$15+('R&amp;S - Others'!$B$16-'R&amp;S - Others'!$B$15)*(R$3-$N$3)/10)</f>
        <v>4.4861409251059463</v>
      </c>
      <c r="S57" s="43">
        <f>S56*'R&amp;S - Others'!$D$7*'R&amp;S - Others'!$B$11*('R&amp;S - Others'!$B$15+('R&amp;S - Others'!$B$16-'R&amp;S - Others'!$B$15)*(S$3-$N$3)/10)</f>
        <v>4.8475584912445671</v>
      </c>
      <c r="T57" s="43">
        <f>T56*'R&amp;S - Others'!$D$7*'R&amp;S - Others'!$B$11*('R&amp;S - Others'!$B$15+('R&amp;S - Others'!$B$16-'R&amp;S - Others'!$B$15)*(T$3-$N$3)/10)</f>
        <v>5.1965896585880618</v>
      </c>
      <c r="U57" s="43">
        <f>U56*'R&amp;S - Others'!$D$7*'R&amp;S - Others'!$B$11*('R&amp;S - Others'!$B$15+('R&amp;S - Others'!$B$16-'R&amp;S - Others'!$B$15)*(U$3-$N$3)/10)</f>
        <v>5.5466711491508782</v>
      </c>
      <c r="V57" s="43">
        <f>V56*'R&amp;S - Others'!$D$7*'R&amp;S - Others'!$B$11*('R&amp;S - Others'!$B$15+('R&amp;S - Others'!$B$16-'R&amp;S - Others'!$B$15)*(V$3-$N$3)/10)</f>
        <v>5.8973676963708943</v>
      </c>
      <c r="W57" s="43">
        <f>W56*'R&amp;S - Others'!$D$7*'R&amp;S - Others'!$B$11*('R&amp;S - Others'!$B$15+('R&amp;S - Others'!$B$16-'R&amp;S - Others'!$B$15)*(W$3-$N$3)/10)</f>
        <v>6.2482317192434698</v>
      </c>
      <c r="X57" s="43">
        <f>X56*'R&amp;S - Others'!$D$7*'R&amp;S - Others'!$B$11*('R&amp;S - Others'!$B$15+('R&amp;S - Others'!$B$16-'R&amp;S - Others'!$B$15)*(X$3-$N$3)/10)</f>
        <v>6.5988029878186003</v>
      </c>
      <c r="Y57" s="43">
        <f>Y56*'R&amp;S - Others'!$D$7*'R&amp;S - Others'!$B$11*('R&amp;S - Others'!$B$16+('R&amp;S - Others'!$B$17-'R&amp;S - Others'!$B$16)*(Y$3-$X$3)/10)</f>
        <v>6.9169951316106602</v>
      </c>
      <c r="Z57" s="43">
        <f>Z56*'R&amp;S - Others'!$D$7*'R&amp;S - Others'!$B$11*('R&amp;S - Others'!$B$16+('R&amp;S - Others'!$B$17-'R&amp;S - Others'!$B$16)*(Z$3-$X$3)/10)</f>
        <v>7.2299034002462488</v>
      </c>
      <c r="AA57" s="43">
        <f>AA56*'R&amp;S - Others'!$D$7*'R&amp;S - Others'!$B$11*('R&amp;S - Others'!$B$16+('R&amp;S - Others'!$B$17-'R&amp;S - Others'!$B$16)*(AA$3-$X$3)/10)</f>
        <v>7.5370142439551371</v>
      </c>
      <c r="AB57" s="43">
        <f>AB56*'R&amp;S - Others'!$D$7*'R&amp;S - Others'!$B$11*('R&amp;S - Others'!$B$16+('R&amp;S - Others'!$B$17-'R&amp;S - Others'!$B$16)*(AB$3-$X$3)/10)</f>
        <v>7.8377996500157456</v>
      </c>
      <c r="AC57" s="43">
        <f>AC56*'R&amp;S - Others'!$D$7*'R&amp;S - Others'!$B$11*('R&amp;S - Others'!$B$16+('R&amp;S - Others'!$B$17-'R&amp;S - Others'!$B$16)*(AC$3-$X$3)/10)</f>
        <v>8.1317167509509165</v>
      </c>
      <c r="AD57" s="43">
        <f>AD56*'R&amp;S - Others'!$D$7*'R&amp;S - Others'!$B$11*('R&amp;S - Others'!$B$16+('R&amp;S - Others'!$B$17-'R&amp;S - Others'!$B$16)*(AD$3-$X$3)/10)</f>
        <v>8.4182074223624497</v>
      </c>
      <c r="AE57" s="43">
        <f>AE56*'R&amp;S - Others'!$D$7*'R&amp;S - Others'!$B$11*('R&amp;S - Others'!$B$16+('R&amp;S - Others'!$B$17-'R&amp;S - Others'!$B$16)*(AE$3-$X$3)/10)</f>
        <v>8.696697870134841</v>
      </c>
      <c r="AF57" s="43">
        <f>AF56*'R&amp;S - Others'!$D$7*'R&amp;S - Others'!$B$11*('R&amp;S - Others'!$B$16+('R&amp;S - Others'!$B$17-'R&amp;S - Others'!$B$16)*(AF$3-$X$3)/10)</f>
        <v>8.9665982067319323</v>
      </c>
      <c r="AG57" s="43">
        <f>AG56*'R&amp;S - Others'!$D$7*'R&amp;S - Others'!$B$11*('R&amp;S - Others'!$B$16+('R&amp;S - Others'!$B$17-'R&amp;S - Others'!$B$16)*(AG$3-$X$3)/10)</f>
        <v>9.2273020163028541</v>
      </c>
      <c r="AH57" s="43">
        <f>AH56*'R&amp;S - Others'!$D$7*'R&amp;S - Others'!$B$11*('R&amp;S - Others'!$B$16+('R&amp;S - Others'!$B$17-'R&amp;S - Others'!$B$16)*(AH$3-$X$3)/10)</f>
        <v>9.4781859083066244</v>
      </c>
      <c r="AJ57">
        <v>0</v>
      </c>
      <c r="AK57" s="43">
        <f>AK56*'R&amp;S - Others'!$D$7*'R&amp;S - Others'!$B$12*'R&amp;S - Others'!$B$15*(AK$3-$D$3)/10</f>
        <v>7.7533547225304644E-2</v>
      </c>
      <c r="AL57" s="43">
        <f>AL56*'R&amp;S - Others'!$D$7*'R&amp;S - Others'!$B$12*'R&amp;S - Others'!$B$15*(AL$3-$D$3)/10</f>
        <v>0.17249398762483142</v>
      </c>
      <c r="AM57" s="43">
        <f>AM56*'R&amp;S - Others'!$D$7*'R&amp;S - Others'!$B$12*'R&amp;S - Others'!$B$15*(AM$3-$D$3)/10</f>
        <v>0.28473866780851187</v>
      </c>
      <c r="AN57" s="43">
        <f>AN56*'R&amp;S - Others'!$D$7*'R&amp;S - Others'!$B$12*'R&amp;S - Others'!$B$15*(AN$3-$D$3)/10</f>
        <v>0.41412082441667719</v>
      </c>
      <c r="AO57" s="43">
        <f>AO56*'R&amp;S - Others'!$D$7*'R&amp;S - Others'!$B$12*'R&amp;S - Others'!$B$15*(AO$3-$D$3)/10</f>
        <v>0.56048947129304305</v>
      </c>
      <c r="AP57" s="43">
        <f>AP56*'R&amp;S - Others'!$D$7*'R&amp;S - Others'!$B$12*'R&amp;S - Others'!$B$15*(AP$3-$D$3)/10</f>
        <v>0.72368928364760876</v>
      </c>
      <c r="AQ57" s="43">
        <f>AQ56*'R&amp;S - Others'!$D$7*'R&amp;S - Others'!$B$12*'R&amp;S - Others'!$B$15*(AQ$3-$D$3)/10</f>
        <v>0.90356047913068982</v>
      </c>
      <c r="AR57" s="43">
        <f>AR56*'R&amp;S - Others'!$D$7*'R&amp;S - Others'!$B$12*'R&amp;S - Others'!$B$15*(AR$3-$D$3)/10</f>
        <v>1.0999386957372477</v>
      </c>
      <c r="AS57" s="43">
        <f>AS56*'R&amp;S - Others'!$D$7*'R&amp;S - Others'!$B$12*'R&amp;S - Others'!$B$15*(AS$3-$D$3)/10</f>
        <v>1.3126548664586286</v>
      </c>
      <c r="AT57" s="43">
        <f>AT56*'R&amp;S - Others'!$D$7*'R&amp;S - Others'!$B$12*'R&amp;S - Others'!$B$15*(AT$3-$D$3)/10</f>
        <v>1.5415350905966425</v>
      </c>
      <c r="AU57" s="43">
        <f>AU56*'R&amp;S - Others'!$D$7*'R&amp;S - Others'!$B$12*('R&amp;S - Others'!$B$15+('R&amp;S - Others'!$B$16-'R&amp;S - Others'!$B$15)*(AU$3-$N$3)/10)</f>
        <v>1.713334697161325</v>
      </c>
      <c r="AV57" s="43">
        <f>AV56*'R&amp;S - Others'!$D$7*'R&amp;S - Others'!$B$12*('R&amp;S - Others'!$B$15+('R&amp;S - Others'!$B$16-'R&amp;S - Others'!$B$15)*(AV$3-$N$3)/10)</f>
        <v>1.8876508309943394</v>
      </c>
      <c r="AW57" s="43">
        <f>AW56*'R&amp;S - Others'!$D$7*'R&amp;S - Others'!$B$12*('R&amp;S - Others'!$B$15+('R&amp;S - Others'!$B$16-'R&amp;S - Others'!$B$15)*(AW$3-$N$3)/10)</f>
        <v>2.064294283514736</v>
      </c>
      <c r="AX57" s="43">
        <f>AX56*'R&amp;S - Others'!$D$7*'R&amp;S - Others'!$B$12*('R&amp;S - Others'!$B$15+('R&amp;S - Others'!$B$16-'R&amp;S - Others'!$B$15)*(AX$3-$N$3)/10)</f>
        <v>2.2430704625529732</v>
      </c>
      <c r="AY57" s="43">
        <f>AY56*'R&amp;S - Others'!$D$7*'R&amp;S - Others'!$B$12*('R&amp;S - Others'!$B$15+('R&amp;S - Others'!$B$16-'R&amp;S - Others'!$B$15)*(AY$3-$N$3)/10)</f>
        <v>2.4237792456222835</v>
      </c>
      <c r="AZ57" s="43">
        <f>AZ56*'R&amp;S - Others'!$D$7*'R&amp;S - Others'!$B$12*('R&amp;S - Others'!$B$15+('R&amp;S - Others'!$B$16-'R&amp;S - Others'!$B$15)*(AZ$3-$N$3)/10)</f>
        <v>2.5982948292940309</v>
      </c>
      <c r="BA57" s="43">
        <f>BA56*'R&amp;S - Others'!$D$7*'R&amp;S - Others'!$B$12*('R&amp;S - Others'!$B$15+('R&amp;S - Others'!$B$16-'R&amp;S - Others'!$B$15)*(BA$3-$N$3)/10)</f>
        <v>2.7733355745754391</v>
      </c>
      <c r="BB57" s="43">
        <f>BB56*'R&amp;S - Others'!$D$7*'R&amp;S - Others'!$B$12*('R&amp;S - Others'!$B$15+('R&amp;S - Others'!$B$16-'R&amp;S - Others'!$B$15)*(BB$3-$N$3)/10)</f>
        <v>2.9486838481854472</v>
      </c>
      <c r="BC57" s="43">
        <f>BC56*'R&amp;S - Others'!$D$7*'R&amp;S - Others'!$B$12*('R&amp;S - Others'!$B$15+('R&amp;S - Others'!$B$16-'R&amp;S - Others'!$B$15)*(BC$3-$N$3)/10)</f>
        <v>3.1241158596217349</v>
      </c>
      <c r="BD57" s="43">
        <f>BD56*'R&amp;S - Others'!$D$7*'R&amp;S - Others'!$B$12*('R&amp;S - Others'!$B$15+('R&amp;S - Others'!$B$16-'R&amp;S - Others'!$B$15)*(BD$3-$N$3)/10)</f>
        <v>3.2994014939093002</v>
      </c>
      <c r="BE57" s="43">
        <f>BE56*'R&amp;S - Others'!$D$7*'R&amp;S - Others'!$B$12*('R&amp;S - Others'!$B$16+('R&amp;S - Others'!$B$17-'R&amp;S - Others'!$B$16)*(BE$3-$X$3)/10)</f>
        <v>3.4584975658053301</v>
      </c>
      <c r="BF57" s="43">
        <f>BF56*'R&amp;S - Others'!$D$7*'R&amp;S - Others'!$B$12*('R&amp;S - Others'!$B$16+('R&amp;S - Others'!$B$17-'R&amp;S - Others'!$B$16)*(BF$3-$X$3)/10)</f>
        <v>3.6149517001231244</v>
      </c>
      <c r="BG57" s="43">
        <f>BG56*'R&amp;S - Others'!$D$7*'R&amp;S - Others'!$B$12*('R&amp;S - Others'!$B$16+('R&amp;S - Others'!$B$17-'R&amp;S - Others'!$B$16)*(BG$3-$X$3)/10)</f>
        <v>3.7685071219775685</v>
      </c>
      <c r="BH57" s="43">
        <f>BH56*'R&amp;S - Others'!$D$7*'R&amp;S - Others'!$B$12*('R&amp;S - Others'!$B$16+('R&amp;S - Others'!$B$17-'R&amp;S - Others'!$B$16)*(BH$3-$X$3)/10)</f>
        <v>3.9188998250078728</v>
      </c>
      <c r="BI57" s="43">
        <f>BI56*'R&amp;S - Others'!$D$7*'R&amp;S - Others'!$B$12*('R&amp;S - Others'!$B$16+('R&amp;S - Others'!$B$17-'R&amp;S - Others'!$B$16)*(BI$3-$X$3)/10)</f>
        <v>4.0658583754754583</v>
      </c>
      <c r="BJ57" s="43">
        <f>BJ56*'R&amp;S - Others'!$D$7*'R&amp;S - Others'!$B$12*('R&amp;S - Others'!$B$16+('R&amp;S - Others'!$B$17-'R&amp;S - Others'!$B$16)*(BJ$3-$X$3)/10)</f>
        <v>4.2091037111812248</v>
      </c>
      <c r="BK57" s="43">
        <f>BK56*'R&amp;S - Others'!$D$7*'R&amp;S - Others'!$B$12*('R&amp;S - Others'!$B$16+('R&amp;S - Others'!$B$17-'R&amp;S - Others'!$B$16)*(BK$3-$X$3)/10)</f>
        <v>4.3483489350674205</v>
      </c>
      <c r="BL57" s="43">
        <f>BL56*'R&amp;S - Others'!$D$7*'R&amp;S - Others'!$B$12*('R&amp;S - Others'!$B$16+('R&amp;S - Others'!$B$17-'R&amp;S - Others'!$B$16)*(BL$3-$X$3)/10)</f>
        <v>4.4832991033659662</v>
      </c>
      <c r="BM57" s="43">
        <f>BM56*'R&amp;S - Others'!$D$7*'R&amp;S - Others'!$B$12*('R&amp;S - Others'!$B$16+('R&amp;S - Others'!$B$17-'R&amp;S - Others'!$B$16)*(BM$3-$X$3)/10)</f>
        <v>4.613651008151427</v>
      </c>
      <c r="BN57" s="43">
        <f>BN56*'R&amp;S - Others'!$D$7*'R&amp;S - Others'!$B$12*('R&amp;S - Others'!$B$16+('R&amp;S - Others'!$B$17-'R&amp;S - Others'!$B$16)*(BN$3-$X$3)/10)</f>
        <v>4.7390929541533122</v>
      </c>
    </row>
    <row r="58" spans="1:66" x14ac:dyDescent="0.2">
      <c r="B58" s="1" t="s">
        <v>172</v>
      </c>
      <c r="C58" s="54" t="s">
        <v>153</v>
      </c>
      <c r="D58">
        <v>0</v>
      </c>
      <c r="E58" s="43">
        <f>E56*'R&amp;S - Others'!$D$8*'R&amp;S - Others'!$B$11*'R&amp;S - Others'!$C$15*(E$3-$D$3)/10</f>
        <v>5.1689031483536443E-2</v>
      </c>
      <c r="F58" s="43">
        <f>F56*'R&amp;S - Others'!$D$8*'R&amp;S - Others'!$B$11*'R&amp;S - Others'!$C$15*(F$3-$D$3)/10</f>
        <v>0.11499599174988762</v>
      </c>
      <c r="G58" s="43">
        <f>G56*'R&amp;S - Others'!$D$8*'R&amp;S - Others'!$B$11*'R&amp;S - Others'!$C$15*(G$3-$D$3)/10</f>
        <v>0.18982577853900792</v>
      </c>
      <c r="H58" s="43">
        <f>H56*'R&amp;S - Others'!$D$8*'R&amp;S - Others'!$B$11*'R&amp;S - Others'!$C$15*(H$3-$D$3)/10</f>
        <v>0.27608054961111816</v>
      </c>
      <c r="I58" s="43">
        <f>I56*'R&amp;S - Others'!$D$8*'R&amp;S - Others'!$B$11*'R&amp;S - Others'!$C$15*(I$3-$D$3)/10</f>
        <v>0.3736596475286954</v>
      </c>
      <c r="J58" s="43">
        <f>J56*'R&amp;S - Others'!$D$8*'R&amp;S - Others'!$B$11*'R&amp;S - Others'!$C$15*(J$3-$D$3)/10</f>
        <v>0.48245952243173928</v>
      </c>
      <c r="K58" s="43">
        <f>K56*'R&amp;S - Others'!$D$8*'R&amp;S - Others'!$B$11*'R&amp;S - Others'!$C$15*(K$3-$D$3)/10</f>
        <v>0.60237365275379329</v>
      </c>
      <c r="L58" s="43">
        <f>L56*'R&amp;S - Others'!$D$8*'R&amp;S - Others'!$B$11*'R&amp;S - Others'!$C$15*(L$3-$D$3)/10</f>
        <v>0.73329246382483182</v>
      </c>
      <c r="M58" s="43">
        <f>M56*'R&amp;S - Others'!$D$8*'R&amp;S - Others'!$B$11*'R&amp;S - Others'!$C$15*(M$3-$D$3)/10</f>
        <v>0.87510324430575248</v>
      </c>
      <c r="N58" s="43">
        <f>N56*'R&amp;S - Others'!$D$8*'R&amp;S - Others'!$B$11*'R&amp;S - Others'!$C$15*(N$3-$D$3)/10</f>
        <v>1.0276900603977617</v>
      </c>
      <c r="O58" s="43">
        <f>O56*'R&amp;S - Others'!$D$8*'R&amp;S - Others'!$B$11*'R&amp;S - Others'!$C$15*(O$3-$D$3)/10</f>
        <v>1.1422231314408837</v>
      </c>
      <c r="P58" s="43">
        <f>P56*'R&amp;S - Others'!$D$8*'R&amp;S - Others'!$B$11*'R&amp;S - Others'!$C$15*(P$3-$D$3)/10</f>
        <v>1.2584338873295597</v>
      </c>
      <c r="Q58" s="43">
        <f>Q56*'R&amp;S - Others'!$D$8*'R&amp;S - Others'!$B$11*'R&amp;S - Others'!$C$15*(Q$3-$D$3)/10</f>
        <v>1.376196189009824</v>
      </c>
      <c r="R58" s="43">
        <f>R56*'R&amp;S - Others'!$D$8*'R&amp;S - Others'!$B$11*'R&amp;S - Others'!$C$15*(R$3-$D$3)/10</f>
        <v>1.4953803083686488</v>
      </c>
      <c r="S58" s="43">
        <f>S56*'R&amp;S - Others'!$D$8*'R&amp;S - Others'!$B$11*'R&amp;S - Others'!$C$15*(S$3-$D$3)/10</f>
        <v>1.6158528304148558</v>
      </c>
      <c r="T58" s="43">
        <f>T56*'R&amp;S - Others'!$D$8*'R&amp;S - Others'!$B$11*'R&amp;S - Others'!$C$15*(T$3-$D$3)/10</f>
        <v>1.7321965528626873</v>
      </c>
      <c r="U58" s="43">
        <f>U56*'R&amp;S - Others'!$D$8*'R&amp;S - Others'!$B$11*'R&amp;S - Others'!$C$15*(U$3-$D$3)/10</f>
        <v>1.8488903830502927</v>
      </c>
      <c r="V58" s="43">
        <f>V56*'R&amp;S - Others'!$D$8*'R&amp;S - Others'!$B$11*'R&amp;S - Others'!$C$15*(V$3-$D$3)/10</f>
        <v>1.9657892321236319</v>
      </c>
      <c r="W58" s="43">
        <f>W56*'R&amp;S - Others'!$D$8*'R&amp;S - Others'!$B$11*'R&amp;S - Others'!$C$15*(W$3-$D$3)/10</f>
        <v>2.0827439064144904</v>
      </c>
      <c r="X58" s="43">
        <f>X56*'R&amp;S - Others'!$D$8*'R&amp;S - Others'!$B$11*'R&amp;S - Others'!$C$15*(X$3-$D$3)/10</f>
        <v>2.1996009959395333</v>
      </c>
      <c r="Y58" s="43">
        <f>Y56*'R&amp;S - Others'!$D$8*'R&amp;S - Others'!$B$11*('R&amp;S - Others'!$C$16+('R&amp;S - Others'!$C$17-'R&amp;S - Others'!$C$16)*(Y$3-$X$3)/10)</f>
        <v>2.3056650438702206</v>
      </c>
      <c r="Z58" s="43">
        <f>Z56*'R&amp;S - Others'!$D$8*'R&amp;S - Others'!$B$11*('R&amp;S - Others'!$C$16+('R&amp;S - Others'!$C$17-'R&amp;S - Others'!$C$16)*(Z$3-$X$3)/10)</f>
        <v>2.4099678000820832</v>
      </c>
      <c r="AA58" s="43">
        <f>AA56*'R&amp;S - Others'!$D$8*'R&amp;S - Others'!$B$11*('R&amp;S - Others'!$C$16+('R&amp;S - Others'!$C$17-'R&amp;S - Others'!$C$16)*(AA$3-$X$3)/10)</f>
        <v>2.5123380813183793</v>
      </c>
      <c r="AB58" s="43">
        <f>AB56*'R&amp;S - Others'!$D$8*'R&amp;S - Others'!$B$11*('R&amp;S - Others'!$C$16+('R&amp;S - Others'!$C$17-'R&amp;S - Others'!$C$16)*(AB$3-$X$3)/10)</f>
        <v>2.6125998833385817</v>
      </c>
      <c r="AC58" s="43">
        <f>AC56*'R&amp;S - Others'!$D$8*'R&amp;S - Others'!$B$11*('R&amp;S - Others'!$C$16+('R&amp;S - Others'!$C$17-'R&amp;S - Others'!$C$16)*(AC$3-$X$3)/10)</f>
        <v>2.710572250316972</v>
      </c>
      <c r="AD58" s="43">
        <f>AD56*'R&amp;S - Others'!$D$8*'R&amp;S - Others'!$B$11*('R&amp;S - Others'!$C$16+('R&amp;S - Others'!$C$17-'R&amp;S - Others'!$C$16)*(AD$3-$X$3)/10)</f>
        <v>2.8060691407874834</v>
      </c>
      <c r="AE58" s="43">
        <f>AE56*'R&amp;S - Others'!$D$8*'R&amp;S - Others'!$B$11*('R&amp;S - Others'!$C$16+('R&amp;S - Others'!$C$17-'R&amp;S - Others'!$C$16)*(AE$3-$X$3)/10)</f>
        <v>2.8988992900449473</v>
      </c>
      <c r="AF58" s="43">
        <f>AF56*'R&amp;S - Others'!$D$8*'R&amp;S - Others'!$B$11*('R&amp;S - Others'!$C$16+('R&amp;S - Others'!$C$17-'R&amp;S - Others'!$C$16)*(AF$3-$X$3)/10)</f>
        <v>2.9888660689106441</v>
      </c>
      <c r="AG58" s="43">
        <f>AG56*'R&amp;S - Others'!$D$8*'R&amp;S - Others'!$B$11*('R&amp;S - Others'!$C$16+('R&amp;S - Others'!$C$17-'R&amp;S - Others'!$C$16)*(AG$3-$X$3)/10)</f>
        <v>3.0757673387676183</v>
      </c>
      <c r="AH58" s="43">
        <f>AH56*'R&amp;S - Others'!$D$8*'R&amp;S - Others'!$B$11*('R&amp;S - Others'!$C$16+('R&amp;S - Others'!$C$17-'R&amp;S - Others'!$C$16)*(AH$3-$X$3)/10)</f>
        <v>3.1593953027688748</v>
      </c>
      <c r="AJ58">
        <v>0</v>
      </c>
      <c r="AK58" s="43">
        <f>AK56*'R&amp;S - Others'!$D$8*'R&amp;S - Others'!$B$12*'R&amp;S - Others'!$C$15*(AK$3-$D$3)/10</f>
        <v>2.5844515741768222E-2</v>
      </c>
      <c r="AL58" s="43">
        <f>AL56*'R&amp;S - Others'!$D$8*'R&amp;S - Others'!$B$12*'R&amp;S - Others'!$C$15*(AL$3-$D$3)/10</f>
        <v>5.7497995874943808E-2</v>
      </c>
      <c r="AM58" s="43">
        <f>AM56*'R&amp;S - Others'!$D$8*'R&amp;S - Others'!$B$12*'R&amp;S - Others'!$C$15*(AM$3-$D$3)/10</f>
        <v>9.4912889269503961E-2</v>
      </c>
      <c r="AN58" s="43">
        <f>AN56*'R&amp;S - Others'!$D$8*'R&amp;S - Others'!$B$12*'R&amp;S - Others'!$C$15*(AN$3-$D$3)/10</f>
        <v>0.13804027480555908</v>
      </c>
      <c r="AO58" s="43">
        <f>AO56*'R&amp;S - Others'!$D$8*'R&amp;S - Others'!$B$12*'R&amp;S - Others'!$C$15*(AO$3-$D$3)/10</f>
        <v>0.1868298237643477</v>
      </c>
      <c r="AP58" s="43">
        <f>AP56*'R&amp;S - Others'!$D$8*'R&amp;S - Others'!$B$12*'R&amp;S - Others'!$C$15*(AP$3-$D$3)/10</f>
        <v>0.24122976121586964</v>
      </c>
      <c r="AQ58" s="43">
        <f>AQ56*'R&amp;S - Others'!$D$8*'R&amp;S - Others'!$B$12*'R&amp;S - Others'!$C$15*(AQ$3-$D$3)/10</f>
        <v>0.30118682637689664</v>
      </c>
      <c r="AR58" s="43">
        <f>AR56*'R&amp;S - Others'!$D$8*'R&amp;S - Others'!$B$12*'R&amp;S - Others'!$C$15*(AR$3-$D$3)/10</f>
        <v>0.36664623191241591</v>
      </c>
      <c r="AS58" s="43">
        <f>AS56*'R&amp;S - Others'!$D$8*'R&amp;S - Others'!$B$12*'R&amp;S - Others'!$C$15*(AS$3-$D$3)/10</f>
        <v>0.43755162215287624</v>
      </c>
      <c r="AT58" s="43">
        <f>AT56*'R&amp;S - Others'!$D$8*'R&amp;S - Others'!$B$12*'R&amp;S - Others'!$C$15*(AT$3-$D$3)/10</f>
        <v>0.51384503019888084</v>
      </c>
      <c r="AU58" s="43">
        <f>AU56*'R&amp;S - Others'!$D$8*'R&amp;S - Others'!$B$12*'R&amp;S - Others'!$C$15*(AU$3-$D$3)/10</f>
        <v>0.57111156572044186</v>
      </c>
      <c r="AV58" s="43">
        <f>AV56*'R&amp;S - Others'!$D$8*'R&amp;S - Others'!$B$12*'R&amp;S - Others'!$C$15*(AV$3-$D$3)/10</f>
        <v>0.62921694366477987</v>
      </c>
      <c r="AW58" s="43">
        <f>AW56*'R&amp;S - Others'!$D$8*'R&amp;S - Others'!$B$12*'R&amp;S - Others'!$C$15*(AW$3-$D$3)/10</f>
        <v>0.68809809450491199</v>
      </c>
      <c r="AX58" s="43">
        <f>AX56*'R&amp;S - Others'!$D$8*'R&amp;S - Others'!$B$12*'R&amp;S - Others'!$C$15*(AX$3-$D$3)/10</f>
        <v>0.74769015418432438</v>
      </c>
      <c r="AY58" s="43">
        <f>AY56*'R&amp;S - Others'!$D$8*'R&amp;S - Others'!$B$12*'R&amp;S - Others'!$C$15*(AY$3-$D$3)/10</f>
        <v>0.80792641520742792</v>
      </c>
      <c r="AZ58" s="43">
        <f>AZ56*'R&amp;S - Others'!$D$8*'R&amp;S - Others'!$B$12*'R&amp;S - Others'!$C$15*(AZ$3-$D$3)/10</f>
        <v>0.86609827643134363</v>
      </c>
      <c r="BA58" s="43">
        <f>BA56*'R&amp;S - Others'!$D$8*'R&amp;S - Others'!$B$12*'R&amp;S - Others'!$C$15*(BA$3-$D$3)/10</f>
        <v>0.92444519152514637</v>
      </c>
      <c r="BB58" s="43">
        <f>BB56*'R&amp;S - Others'!$D$8*'R&amp;S - Others'!$B$12*'R&amp;S - Others'!$C$15*(BB$3-$D$3)/10</f>
        <v>0.98289461606181594</v>
      </c>
      <c r="BC58" s="43">
        <f>BC56*'R&amp;S - Others'!$D$8*'R&amp;S - Others'!$B$12*'R&amp;S - Others'!$C$15*(BC$3-$D$3)/10</f>
        <v>1.0413719532072452</v>
      </c>
      <c r="BD58" s="43">
        <f>BD56*'R&amp;S - Others'!$D$8*'R&amp;S - Others'!$B$12*'R&amp;S - Others'!$C$15*(BD$3-$D$3)/10</f>
        <v>1.0998004979697666</v>
      </c>
      <c r="BE58" s="43">
        <f>BE56*'R&amp;S - Others'!$D$8*'R&amp;S - Others'!$B$12*('R&amp;S - Others'!$C$16+('R&amp;S - Others'!$C$17-'R&amp;S - Others'!$C$16)*(BE$3-$X$3)/10)</f>
        <v>1.1528325219351103</v>
      </c>
      <c r="BF58" s="43">
        <f>BF56*'R&amp;S - Others'!$D$8*'R&amp;S - Others'!$B$12*('R&amp;S - Others'!$C$16+('R&amp;S - Others'!$C$17-'R&amp;S - Others'!$C$16)*(BF$3-$X$3)/10)</f>
        <v>1.2049839000410416</v>
      </c>
      <c r="BG58" s="43">
        <f>BG56*'R&amp;S - Others'!$D$8*'R&amp;S - Others'!$B$12*('R&amp;S - Others'!$C$16+('R&amp;S - Others'!$C$17-'R&amp;S - Others'!$C$16)*(BG$3-$X$3)/10)</f>
        <v>1.2561690406591897</v>
      </c>
      <c r="BH58" s="43">
        <f>BH56*'R&amp;S - Others'!$D$8*'R&amp;S - Others'!$B$12*('R&amp;S - Others'!$C$16+('R&amp;S - Others'!$C$17-'R&amp;S - Others'!$C$16)*(BH$3-$X$3)/10)</f>
        <v>1.3062999416692909</v>
      </c>
      <c r="BI58" s="43">
        <f>BI56*'R&amp;S - Others'!$D$8*'R&amp;S - Others'!$B$12*('R&amp;S - Others'!$C$16+('R&amp;S - Others'!$C$17-'R&amp;S - Others'!$C$16)*(BI$3-$X$3)/10)</f>
        <v>1.355286125158486</v>
      </c>
      <c r="BJ58" s="43">
        <f>BJ56*'R&amp;S - Others'!$D$8*'R&amp;S - Others'!$B$12*('R&amp;S - Others'!$C$16+('R&amp;S - Others'!$C$17-'R&amp;S - Others'!$C$16)*(BJ$3-$X$3)/10)</f>
        <v>1.4030345703937417</v>
      </c>
      <c r="BK58" s="43">
        <f>BK56*'R&amp;S - Others'!$D$8*'R&amp;S - Others'!$B$12*('R&amp;S - Others'!$C$16+('R&amp;S - Others'!$C$17-'R&amp;S - Others'!$C$16)*(BK$3-$X$3)/10)</f>
        <v>1.4494496450224736</v>
      </c>
      <c r="BL58" s="43">
        <f>BL56*'R&amp;S - Others'!$D$8*'R&amp;S - Others'!$B$12*('R&amp;S - Others'!$C$16+('R&amp;S - Others'!$C$17-'R&amp;S - Others'!$C$16)*(BL$3-$X$3)/10)</f>
        <v>1.4944330344553221</v>
      </c>
      <c r="BM58" s="43">
        <f>BM56*'R&amp;S - Others'!$D$8*'R&amp;S - Others'!$B$12*('R&amp;S - Others'!$C$16+('R&amp;S - Others'!$C$17-'R&amp;S - Others'!$C$16)*(BM$3-$X$3)/10)</f>
        <v>1.5378836693838092</v>
      </c>
      <c r="BN58" s="43">
        <f>BN56*'R&amp;S - Others'!$D$8*'R&amp;S - Others'!$B$12*('R&amp;S - Others'!$C$16+('R&amp;S - Others'!$C$17-'R&amp;S - Others'!$C$16)*(BN$3-$X$3)/10)</f>
        <v>1.5796976513844374</v>
      </c>
    </row>
    <row r="59" spans="1:66" x14ac:dyDescent="0.2">
      <c r="A59" s="178"/>
      <c r="B59" s="178" t="s">
        <v>197</v>
      </c>
      <c r="C59" s="179" t="s">
        <v>153</v>
      </c>
      <c r="D59" s="180">
        <f>D56-D57-D58</f>
        <v>27.787294919531671</v>
      </c>
      <c r="E59" s="180">
        <f t="shared" ref="E59:AH59" si="471">E56-E57-E58</f>
        <v>31.119929621663694</v>
      </c>
      <c r="F59" s="180">
        <f t="shared" si="471"/>
        <v>34.387286260239115</v>
      </c>
      <c r="G59" s="180">
        <f t="shared" si="471"/>
        <v>37.589339014936478</v>
      </c>
      <c r="H59" s="180">
        <f t="shared" si="471"/>
        <v>40.7260641062704</v>
      </c>
      <c r="I59" s="180">
        <f t="shared" si="471"/>
        <v>43.797439898211927</v>
      </c>
      <c r="J59" s="180">
        <f t="shared" si="471"/>
        <v>46.803447004388111</v>
      </c>
      <c r="K59" s="180">
        <f t="shared" si="471"/>
        <v>49.744068397971255</v>
      </c>
      <c r="L59" s="180">
        <f t="shared" si="471"/>
        <v>52.619289525369751</v>
      </c>
      <c r="M59" s="180">
        <f t="shared" si="471"/>
        <v>55.42909842383775</v>
      </c>
      <c r="N59" s="180">
        <f t="shared" si="471"/>
        <v>58.173485843121782</v>
      </c>
      <c r="O59" s="180">
        <f t="shared" si="471"/>
        <v>58.363511410373292</v>
      </c>
      <c r="P59" s="180">
        <f t="shared" si="471"/>
        <v>58.523531487528203</v>
      </c>
      <c r="Q59" s="180">
        <f t="shared" si="471"/>
        <v>58.653545733929178</v>
      </c>
      <c r="R59" s="180">
        <f t="shared" si="471"/>
        <v>58.753557050882492</v>
      </c>
      <c r="S59" s="180">
        <f t="shared" si="471"/>
        <v>58.823571725405451</v>
      </c>
      <c r="T59" s="180">
        <f t="shared" si="471"/>
        <v>58.68471957880255</v>
      </c>
      <c r="U59" s="180">
        <f t="shared" si="471"/>
        <v>58.518534120215676</v>
      </c>
      <c r="V59" s="180">
        <f t="shared" si="471"/>
        <v>58.32503270529778</v>
      </c>
      <c r="W59" s="180">
        <f t="shared" si="471"/>
        <v>58.104236700163092</v>
      </c>
      <c r="X59" s="180">
        <f t="shared" si="471"/>
        <v>57.856171650773177</v>
      </c>
      <c r="Y59" s="180">
        <f t="shared" si="471"/>
        <v>57.223018322219986</v>
      </c>
      <c r="Z59" s="180">
        <f t="shared" si="471"/>
        <v>56.56803539533329</v>
      </c>
      <c r="AA59" s="180">
        <f t="shared" si="471"/>
        <v>55.891279730326985</v>
      </c>
      <c r="AB59" s="180">
        <f t="shared" si="471"/>
        <v>55.192813615856267</v>
      </c>
      <c r="AC59" s="180">
        <f t="shared" si="471"/>
        <v>54.472704982273598</v>
      </c>
      <c r="AD59" s="180">
        <f t="shared" si="471"/>
        <v>53.731027621745504</v>
      </c>
      <c r="AE59" s="180">
        <f t="shared" si="471"/>
        <v>52.967861415431507</v>
      </c>
      <c r="AF59" s="180">
        <f t="shared" si="471"/>
        <v>52.183292567933485</v>
      </c>
      <c r="AG59" s="180">
        <f t="shared" si="471"/>
        <v>51.377413849228034</v>
      </c>
      <c r="AH59" s="180">
        <f t="shared" si="471"/>
        <v>50.550324844301997</v>
      </c>
      <c r="AJ59" s="180">
        <f>AJ56-AJ57-AJ58</f>
        <v>27.787294919531671</v>
      </c>
      <c r="AK59" s="180">
        <f t="shared" ref="AK59" si="472">AK56-AK57-AK58</f>
        <v>31.223307684630768</v>
      </c>
      <c r="AL59" s="180">
        <f t="shared" ref="AL59" si="473">AL56-AL57-AL58</f>
        <v>34.617278243738888</v>
      </c>
      <c r="AM59" s="180">
        <f t="shared" ref="AM59" si="474">AM56-AM57-AM58</f>
        <v>37.968990572014498</v>
      </c>
      <c r="AN59" s="180">
        <f t="shared" ref="AN59" si="475">AN56-AN57-AN58</f>
        <v>41.278225205492632</v>
      </c>
      <c r="AO59" s="180">
        <f t="shared" ref="AO59" si="476">AO56-AO57-AO58</f>
        <v>44.544759193269314</v>
      </c>
      <c r="AP59" s="180">
        <f t="shared" ref="AP59" si="477">AP56-AP57-AP58</f>
        <v>47.76836604925159</v>
      </c>
      <c r="AQ59" s="180">
        <f t="shared" ref="AQ59" si="478">AQ56-AQ57-AQ58</f>
        <v>50.948815703478836</v>
      </c>
      <c r="AR59" s="180">
        <f t="shared" ref="AR59" si="479">AR56-AR57-AR58</f>
        <v>54.085874453019407</v>
      </c>
      <c r="AS59" s="180">
        <f t="shared" ref="AS59" si="480">AS56-AS57-AS58</f>
        <v>57.179304912449261</v>
      </c>
      <c r="AT59" s="180">
        <f t="shared" ref="AT59" si="481">AT56-AT57-AT58</f>
        <v>60.228865963917308</v>
      </c>
      <c r="AU59" s="180">
        <f t="shared" ref="AU59" si="482">AU56-AU57-AU58</f>
        <v>60.647957673255064</v>
      </c>
      <c r="AV59" s="180">
        <f t="shared" ref="AV59" si="483">AV56-AV57-AV58</f>
        <v>61.040399262187321</v>
      </c>
      <c r="AW59" s="180">
        <f t="shared" ref="AW59" si="484">AW56-AW57-AW58</f>
        <v>61.405938111948835</v>
      </c>
      <c r="AX59" s="180">
        <f t="shared" ref="AX59" si="485">AX56-AX57-AX58</f>
        <v>61.744317667619789</v>
      </c>
      <c r="AY59" s="180">
        <f t="shared" ref="AY59" si="486">AY56-AY57-AY58</f>
        <v>62.055277386235169</v>
      </c>
      <c r="AZ59" s="180">
        <f t="shared" ref="AZ59" si="487">AZ56-AZ57-AZ58</f>
        <v>62.149112684527921</v>
      </c>
      <c r="BA59" s="180">
        <f t="shared" ref="BA59" si="488">BA56-BA57-BA58</f>
        <v>62.216314886316262</v>
      </c>
      <c r="BB59" s="180">
        <f t="shared" ref="BB59" si="489">BB56-BB57-BB58</f>
        <v>62.256611169545046</v>
      </c>
      <c r="BC59" s="180">
        <f t="shared" ref="BC59" si="490">BC56-BC57-BC58</f>
        <v>62.269724512992077</v>
      </c>
      <c r="BD59" s="180">
        <f t="shared" ref="BD59" si="491">BD56-BD57-BD58</f>
        <v>62.255373642652245</v>
      </c>
      <c r="BE59" s="180">
        <f t="shared" ref="BE59" si="492">BE56-BE57-BE58</f>
        <v>61.834348409960427</v>
      </c>
      <c r="BF59" s="180">
        <f t="shared" ref="BF59" si="493">BF56-BF57-BF58</f>
        <v>61.387970995497462</v>
      </c>
      <c r="BG59" s="180">
        <f t="shared" ref="BG59" si="494">BG56-BG57-BG58</f>
        <v>60.915955892963744</v>
      </c>
      <c r="BH59" s="180">
        <f t="shared" ref="BH59" si="495">BH56-BH57-BH58</f>
        <v>60.418013382533438</v>
      </c>
      <c r="BI59" s="180">
        <f t="shared" ref="BI59" si="496">BI56-BI57-BI58</f>
        <v>59.893849482907541</v>
      </c>
      <c r="BJ59" s="180">
        <f t="shared" ref="BJ59" si="497">BJ56-BJ57-BJ58</f>
        <v>59.343165903320468</v>
      </c>
      <c r="BK59" s="180">
        <f t="shared" ref="BK59" si="498">BK56-BK57-BK58</f>
        <v>58.765659995521396</v>
      </c>
      <c r="BL59" s="180">
        <f t="shared" ref="BL59" si="499">BL56-BL57-BL58</f>
        <v>58.161024705754777</v>
      </c>
      <c r="BM59" s="180">
        <f t="shared" ref="BM59" si="500">BM56-BM57-BM58</f>
        <v>57.528948526763273</v>
      </c>
      <c r="BN59" s="180">
        <f t="shared" ref="BN59" si="501">BN56-BN57-BN58</f>
        <v>56.869115449839747</v>
      </c>
    </row>
    <row r="60" spans="1:66" s="67" customFormat="1" x14ac:dyDescent="0.2">
      <c r="A60" s="681"/>
      <c r="B60" s="58" t="s">
        <v>246</v>
      </c>
      <c r="C60" s="59" t="s">
        <v>153</v>
      </c>
      <c r="D60" s="60">
        <f>D$7/(D$7+D$9)*D59</f>
        <v>4.6594362231517366</v>
      </c>
      <c r="E60" s="60">
        <f t="shared" ref="E60:AH60" si="502">E$7/(E$7+E$9)*E59</f>
        <v>5.0946146873285993</v>
      </c>
      <c r="F60" s="60">
        <f t="shared" si="502"/>
        <v>5.5149920536831525</v>
      </c>
      <c r="G60" s="60">
        <f t="shared" si="502"/>
        <v>5.9224122074285663</v>
      </c>
      <c r="H60" s="60">
        <f t="shared" si="502"/>
        <v>6.3182300647453919</v>
      </c>
      <c r="I60" s="60">
        <f t="shared" si="502"/>
        <v>6.7034634226977312</v>
      </c>
      <c r="J60" s="60">
        <f t="shared" si="502"/>
        <v>7.0788915267979649</v>
      </c>
      <c r="K60" s="60">
        <f t="shared" si="502"/>
        <v>7.4451209631285282</v>
      </c>
      <c r="L60" s="60">
        <f t="shared" si="502"/>
        <v>7.8026308505662305</v>
      </c>
      <c r="M60" s="60">
        <f t="shared" si="502"/>
        <v>8.1518045421644771</v>
      </c>
      <c r="N60" s="60">
        <f t="shared" si="502"/>
        <v>8.4929523114000922</v>
      </c>
      <c r="O60" s="60">
        <f t="shared" si="502"/>
        <v>8.5498423710537264</v>
      </c>
      <c r="P60" s="60">
        <f t="shared" si="502"/>
        <v>8.6038027659801362</v>
      </c>
      <c r="Q60" s="60">
        <f t="shared" si="502"/>
        <v>8.6548196249250395</v>
      </c>
      <c r="R60" s="60">
        <f t="shared" si="502"/>
        <v>8.7028782310720292</v>
      </c>
      <c r="S60" s="60">
        <f t="shared" si="502"/>
        <v>8.7479629887000776</v>
      </c>
      <c r="T60" s="60">
        <f t="shared" si="502"/>
        <v>8.7699581143407741</v>
      </c>
      <c r="U60" s="60">
        <f t="shared" si="502"/>
        <v>8.7891549943194232</v>
      </c>
      <c r="V60" s="60">
        <f t="shared" si="502"/>
        <v>8.8055303415635642</v>
      </c>
      <c r="W60" s="60">
        <f t="shared" si="502"/>
        <v>8.8190596045884391</v>
      </c>
      <c r="X60" s="60">
        <f t="shared" si="502"/>
        <v>8.8297168883414709</v>
      </c>
      <c r="Y60" s="60">
        <f t="shared" si="502"/>
        <v>8.796170499125715</v>
      </c>
      <c r="Z60" s="60">
        <f t="shared" si="502"/>
        <v>8.7600032874221014</v>
      </c>
      <c r="AA60" s="60">
        <f t="shared" si="502"/>
        <v>8.7211714305290471</v>
      </c>
      <c r="AB60" s="60">
        <f t="shared" si="502"/>
        <v>8.6796283911911267</v>
      </c>
      <c r="AC60" s="60">
        <f t="shared" si="502"/>
        <v>8.6353247035536995</v>
      </c>
      <c r="AD60" s="60">
        <f t="shared" si="502"/>
        <v>8.5882077385561555</v>
      </c>
      <c r="AE60" s="60">
        <f t="shared" si="502"/>
        <v>8.5382214464258066</v>
      </c>
      <c r="AF60" s="60">
        <f t="shared" si="502"/>
        <v>8.4853060736258357</v>
      </c>
      <c r="AG60" s="60">
        <f t="shared" si="502"/>
        <v>8.429397851254695</v>
      </c>
      <c r="AH60" s="60">
        <f t="shared" si="502"/>
        <v>8.370428651484259</v>
      </c>
      <c r="AJ60" s="60">
        <f>AJ$7/(AJ$7+AJ$9)*AJ59</f>
        <v>4.6594362231517366</v>
      </c>
      <c r="AK60" s="60">
        <f t="shared" ref="AK60" si="503">AK$7/(AK$7+AK$9)*AK59</f>
        <v>5.1115386137109065</v>
      </c>
      <c r="AL60" s="60">
        <f t="shared" ref="AL60" si="504">AL$7/(AL$7+AL$9)*AL59</f>
        <v>5.5518778943340532</v>
      </c>
      <c r="AM60" s="60">
        <f t="shared" ref="AM60" si="505">AM$7/(AM$7+AM$9)*AM59</f>
        <v>5.982228449882701</v>
      </c>
      <c r="AN60" s="60">
        <f t="shared" ref="AN60" si="506">AN$7/(AN$7+AN$9)*AN59</f>
        <v>6.4038921814818739</v>
      </c>
      <c r="AO60" s="60">
        <f t="shared" ref="AO60" si="507">AO$7/(AO$7+AO$9)*AO59</f>
        <v>6.8178451667251476</v>
      </c>
      <c r="AP60" s="60">
        <f t="shared" ref="AP60" si="508">AP$7/(AP$7+AP$9)*AP59</f>
        <v>7.224832855651151</v>
      </c>
      <c r="AQ60" s="60">
        <f t="shared" ref="AQ60" si="509">AQ$7/(AQ$7+AQ$9)*AQ59</f>
        <v>7.6254337061021795</v>
      </c>
      <c r="AR60" s="60">
        <f t="shared" ref="AR60" si="510">AR$7/(AR$7+AR$9)*AR59</f>
        <v>8.0201028252864024</v>
      </c>
      <c r="AS60" s="60">
        <f t="shared" ref="AS60" si="511">AS$7/(AS$7+AS$9)*AS59</f>
        <v>8.4092025805466637</v>
      </c>
      <c r="AT60" s="60">
        <f t="shared" ref="AT60" si="512">AT$7/(AT$7+AT$9)*AT59</f>
        <v>8.7930245022739726</v>
      </c>
      <c r="AU60" s="60">
        <f t="shared" ref="AU60" si="513">AU$7/(AU$7+AU$9)*AU59</f>
        <v>8.8844976202118584</v>
      </c>
      <c r="AV60" s="60">
        <f t="shared" ref="AV60" si="514">AV$7/(AV$7+AV$9)*AV59</f>
        <v>8.9738186103902287</v>
      </c>
      <c r="AW60" s="60">
        <f t="shared" ref="AW60" si="515">AW$7/(AW$7+AW$9)*AW59</f>
        <v>9.0609580649920769</v>
      </c>
      <c r="AX60" s="60">
        <f t="shared" ref="AX60" si="516">AX$7/(AX$7+AX$9)*AX59</f>
        <v>9.1458850339318012</v>
      </c>
      <c r="AY60" s="60">
        <f t="shared" ref="AY60" si="517">AY$7/(AY$7+AY$9)*AY59</f>
        <v>9.2285669486786066</v>
      </c>
      <c r="AZ60" s="60">
        <f t="shared" ref="AZ60" si="518">AZ$7/(AZ$7+AZ$9)*AZ59</f>
        <v>9.2876837275308368</v>
      </c>
      <c r="BA60" s="60">
        <f t="shared" ref="BA60" si="519">BA$7/(BA$7+BA$9)*BA59</f>
        <v>9.3445408866164712</v>
      </c>
      <c r="BB60" s="60">
        <f t="shared" ref="BB60" si="520">BB$7/(BB$7+BB$9)*BB59</f>
        <v>9.3990942343108141</v>
      </c>
      <c r="BC60" s="60">
        <f t="shared" ref="BC60" si="521">BC$7/(BC$7+BC$9)*BC59</f>
        <v>9.4512972414598035</v>
      </c>
      <c r="BD60" s="60">
        <f t="shared" ref="BD60" si="522">BD$7/(BD$7+BD$9)*BD59</f>
        <v>9.5011008913720438</v>
      </c>
      <c r="BE60" s="60">
        <f t="shared" ref="BE60" si="523">BE$7/(BE$7+BE$9)*BE59</f>
        <v>9.5050119211407225</v>
      </c>
      <c r="BF60" s="60">
        <f t="shared" ref="BF60" si="524">BF$7/(BF$7+BF$9)*BF59</f>
        <v>9.5064080619121878</v>
      </c>
      <c r="BG60" s="60">
        <f t="shared" ref="BG60" si="525">BG$7/(BG$7+BG$9)*BG59</f>
        <v>9.505212561966415</v>
      </c>
      <c r="BH60" s="60">
        <f t="shared" ref="BH60" si="526">BH$7/(BH$7+BH$9)*BH59</f>
        <v>9.501343923944237</v>
      </c>
      <c r="BI60" s="60">
        <f t="shared" ref="BI60" si="527">BI$7/(BI$7+BI$9)*BI59</f>
        <v>9.494715531365399</v>
      </c>
      <c r="BJ60" s="60">
        <f t="shared" ref="BJ60" si="528">BJ$7/(BJ$7+BJ$9)*BJ59</f>
        <v>9.4852352392950969</v>
      </c>
      <c r="BK60" s="60">
        <f t="shared" ref="BK60" si="529">BK$7/(BK$7+BK$9)*BK59</f>
        <v>9.4728049250813839</v>
      </c>
      <c r="BL60" s="60">
        <f t="shared" ref="BL60" si="530">BL$7/(BL$7+BL$9)*BL59</f>
        <v>9.4573199945475768</v>
      </c>
      <c r="BM60" s="60">
        <f t="shared" ref="BM60" si="531">BM$7/(BM$7+BM$9)*BM59</f>
        <v>9.4386688384029398</v>
      </c>
      <c r="BN60" s="60">
        <f t="shared" ref="BN60" si="532">BN$7/(BN$7+BN$9)*BN59</f>
        <v>9.4167322329197916</v>
      </c>
    </row>
    <row r="61" spans="1:66" x14ac:dyDescent="0.2">
      <c r="A61" s="682"/>
      <c r="B61" s="1" t="s">
        <v>247</v>
      </c>
      <c r="C61" s="54" t="s">
        <v>153</v>
      </c>
      <c r="D61" s="44">
        <v>0</v>
      </c>
      <c r="E61" s="44">
        <v>0</v>
      </c>
      <c r="F61" s="44">
        <v>0</v>
      </c>
      <c r="G61" s="44">
        <v>0</v>
      </c>
      <c r="H61" s="44">
        <v>0</v>
      </c>
      <c r="I61" s="44">
        <v>0</v>
      </c>
      <c r="J61" s="44">
        <v>0</v>
      </c>
      <c r="K61" s="44">
        <v>0</v>
      </c>
      <c r="L61" s="44">
        <v>0</v>
      </c>
      <c r="M61" s="44">
        <v>0</v>
      </c>
      <c r="N61" s="44">
        <v>0</v>
      </c>
      <c r="O61" s="44">
        <v>0</v>
      </c>
      <c r="P61" s="44">
        <v>0</v>
      </c>
      <c r="Q61" s="44">
        <v>0</v>
      </c>
      <c r="R61" s="44">
        <v>0</v>
      </c>
      <c r="S61" s="44">
        <v>0</v>
      </c>
      <c r="T61" s="44">
        <v>0</v>
      </c>
      <c r="U61" s="44">
        <v>0</v>
      </c>
      <c r="V61" s="44">
        <v>0</v>
      </c>
      <c r="W61" s="44">
        <v>0</v>
      </c>
      <c r="X61" s="44">
        <v>0</v>
      </c>
      <c r="Y61" s="44">
        <v>0</v>
      </c>
      <c r="Z61" s="44">
        <v>0</v>
      </c>
      <c r="AA61" s="44">
        <v>0</v>
      </c>
      <c r="AB61" s="44">
        <v>0</v>
      </c>
      <c r="AC61" s="44">
        <v>0</v>
      </c>
      <c r="AD61" s="44">
        <v>0</v>
      </c>
      <c r="AE61" s="44">
        <v>0</v>
      </c>
      <c r="AF61" s="44">
        <v>0</v>
      </c>
      <c r="AG61" s="44">
        <v>0</v>
      </c>
      <c r="AH61" s="44">
        <v>0</v>
      </c>
      <c r="AJ61" s="44">
        <v>0</v>
      </c>
      <c r="AK61" s="44">
        <v>0</v>
      </c>
      <c r="AL61" s="44">
        <v>0</v>
      </c>
      <c r="AM61" s="44">
        <v>0</v>
      </c>
      <c r="AN61" s="44">
        <v>0</v>
      </c>
      <c r="AO61" s="44">
        <v>0</v>
      </c>
      <c r="AP61" s="44">
        <v>0</v>
      </c>
      <c r="AQ61" s="44">
        <v>0</v>
      </c>
      <c r="AR61" s="44">
        <v>0</v>
      </c>
      <c r="AS61" s="44">
        <v>0</v>
      </c>
      <c r="AT61" s="44">
        <v>0</v>
      </c>
      <c r="AU61" s="44">
        <v>0</v>
      </c>
      <c r="AV61" s="44">
        <v>0</v>
      </c>
      <c r="AW61" s="44">
        <v>0</v>
      </c>
      <c r="AX61" s="44">
        <v>0</v>
      </c>
      <c r="AY61" s="44">
        <v>0</v>
      </c>
      <c r="AZ61" s="44">
        <v>0</v>
      </c>
      <c r="BA61" s="44">
        <v>0</v>
      </c>
      <c r="BB61" s="44">
        <v>0</v>
      </c>
      <c r="BC61" s="44">
        <v>0</v>
      </c>
      <c r="BD61" s="44">
        <v>0</v>
      </c>
      <c r="BE61" s="44">
        <v>0</v>
      </c>
      <c r="BF61" s="44">
        <v>0</v>
      </c>
      <c r="BG61" s="44">
        <v>0</v>
      </c>
      <c r="BH61" s="44">
        <v>0</v>
      </c>
      <c r="BI61" s="44">
        <v>0</v>
      </c>
      <c r="BJ61" s="44">
        <v>0</v>
      </c>
      <c r="BK61" s="44">
        <v>0</v>
      </c>
      <c r="BL61" s="44">
        <v>0</v>
      </c>
      <c r="BM61" s="44">
        <v>0</v>
      </c>
      <c r="BN61" s="44">
        <v>0</v>
      </c>
    </row>
    <row r="62" spans="1:66" s="68" customFormat="1" x14ac:dyDescent="0.2">
      <c r="A62" s="683"/>
      <c r="B62" s="62" t="s">
        <v>248</v>
      </c>
      <c r="C62" s="283" t="s">
        <v>153</v>
      </c>
      <c r="D62" s="284">
        <f>D$9/(D$7+D$9)*D59</f>
        <v>23.127858696379935</v>
      </c>
      <c r="E62" s="284">
        <f t="shared" ref="E62:AH62" si="533">E$9/(E$7+E$9)*E59</f>
        <v>26.025314934335093</v>
      </c>
      <c r="F62" s="284">
        <f t="shared" si="533"/>
        <v>28.872294206555964</v>
      </c>
      <c r="G62" s="284">
        <f t="shared" si="533"/>
        <v>31.66692680750791</v>
      </c>
      <c r="H62" s="284">
        <f t="shared" si="533"/>
        <v>34.407834041525007</v>
      </c>
      <c r="I62" s="284">
        <f t="shared" si="533"/>
        <v>37.093976475514197</v>
      </c>
      <c r="J62" s="284">
        <f t="shared" si="533"/>
        <v>39.724555477590151</v>
      </c>
      <c r="K62" s="284">
        <f t="shared" si="533"/>
        <v>42.298947434842724</v>
      </c>
      <c r="L62" s="284">
        <f t="shared" si="533"/>
        <v>44.816658674803527</v>
      </c>
      <c r="M62" s="284">
        <f t="shared" si="533"/>
        <v>47.27729388167328</v>
      </c>
      <c r="N62" s="284">
        <f t="shared" si="533"/>
        <v>49.680533531721686</v>
      </c>
      <c r="O62" s="284">
        <f t="shared" si="533"/>
        <v>49.813669039319564</v>
      </c>
      <c r="P62" s="284">
        <f t="shared" si="533"/>
        <v>49.919728721548069</v>
      </c>
      <c r="Q62" s="284">
        <f t="shared" si="533"/>
        <v>49.998726109004139</v>
      </c>
      <c r="R62" s="284">
        <f t="shared" si="533"/>
        <v>50.050678819810457</v>
      </c>
      <c r="S62" s="284">
        <f t="shared" si="533"/>
        <v>50.075608736705369</v>
      </c>
      <c r="T62" s="284">
        <f t="shared" si="533"/>
        <v>49.914761464461776</v>
      </c>
      <c r="U62" s="284">
        <f t="shared" si="533"/>
        <v>49.729379125896259</v>
      </c>
      <c r="V62" s="284">
        <f t="shared" si="533"/>
        <v>49.519502363734219</v>
      </c>
      <c r="W62" s="284">
        <f t="shared" si="533"/>
        <v>49.285177095574646</v>
      </c>
      <c r="X62" s="284">
        <f t="shared" si="533"/>
        <v>49.026454762431705</v>
      </c>
      <c r="Y62" s="284">
        <f t="shared" si="533"/>
        <v>48.42684782309427</v>
      </c>
      <c r="Z62" s="284">
        <f t="shared" si="533"/>
        <v>47.808032107911188</v>
      </c>
      <c r="AA62" s="284">
        <f t="shared" si="533"/>
        <v>47.170108299797946</v>
      </c>
      <c r="AB62" s="284">
        <f t="shared" si="533"/>
        <v>46.513185224665136</v>
      </c>
      <c r="AC62" s="284">
        <f t="shared" si="533"/>
        <v>45.837380278719898</v>
      </c>
      <c r="AD62" s="284">
        <f t="shared" si="533"/>
        <v>45.142819883189354</v>
      </c>
      <c r="AE62" s="284">
        <f t="shared" si="533"/>
        <v>44.429639969005699</v>
      </c>
      <c r="AF62" s="284">
        <f t="shared" si="533"/>
        <v>43.697986494307649</v>
      </c>
      <c r="AG62" s="284">
        <f t="shared" si="533"/>
        <v>42.948015997973343</v>
      </c>
      <c r="AH62" s="284">
        <f t="shared" si="533"/>
        <v>42.179896192817736</v>
      </c>
      <c r="AJ62" s="284">
        <f>AJ$9/(AJ$7+AJ$9)*AJ59</f>
        <v>23.127858696379935</v>
      </c>
      <c r="AK62" s="284">
        <f t="shared" ref="AK62:BN62" si="534">AK$9/(AK$7+AK$9)*AK59</f>
        <v>26.111769070919859</v>
      </c>
      <c r="AL62" s="284">
        <f t="shared" si="534"/>
        <v>29.065400349404836</v>
      </c>
      <c r="AM62" s="284">
        <f t="shared" si="534"/>
        <v>31.986762122131797</v>
      </c>
      <c r="AN62" s="284">
        <f t="shared" si="534"/>
        <v>34.87433302401076</v>
      </c>
      <c r="AO62" s="284">
        <f t="shared" si="534"/>
        <v>37.726914026544165</v>
      </c>
      <c r="AP62" s="284">
        <f t="shared" si="534"/>
        <v>40.543533193600439</v>
      </c>
      <c r="AQ62" s="284">
        <f t="shared" si="534"/>
        <v>43.323381997376657</v>
      </c>
      <c r="AR62" s="284">
        <f t="shared" si="534"/>
        <v>46.065771627733007</v>
      </c>
      <c r="AS62" s="284">
        <f t="shared" si="534"/>
        <v>48.770102331902599</v>
      </c>
      <c r="AT62" s="284">
        <f t="shared" si="534"/>
        <v>51.435841461643335</v>
      </c>
      <c r="AU62" s="284">
        <f t="shared" si="534"/>
        <v>51.763460053043204</v>
      </c>
      <c r="AV62" s="284">
        <f t="shared" si="534"/>
        <v>52.066580651797089</v>
      </c>
      <c r="AW62" s="284">
        <f t="shared" si="534"/>
        <v>52.344980046956756</v>
      </c>
      <c r="AX62" s="284">
        <f t="shared" si="534"/>
        <v>52.598432633687985</v>
      </c>
      <c r="AY62" s="284">
        <f t="shared" si="534"/>
        <v>52.826710437556557</v>
      </c>
      <c r="AZ62" s="284">
        <f t="shared" si="534"/>
        <v>52.861428956997081</v>
      </c>
      <c r="BA62" s="284">
        <f t="shared" si="534"/>
        <v>52.871773999699798</v>
      </c>
      <c r="BB62" s="284">
        <f t="shared" si="534"/>
        <v>52.857516935234237</v>
      </c>
      <c r="BC62" s="284">
        <f t="shared" si="534"/>
        <v>52.818427271532272</v>
      </c>
      <c r="BD62" s="284">
        <f t="shared" si="534"/>
        <v>52.754272751280205</v>
      </c>
      <c r="BE62" s="284">
        <f t="shared" si="534"/>
        <v>52.329336488819706</v>
      </c>
      <c r="BF62" s="284">
        <f t="shared" si="534"/>
        <v>51.881562933585272</v>
      </c>
      <c r="BG62" s="284">
        <f t="shared" si="534"/>
        <v>51.410743330997335</v>
      </c>
      <c r="BH62" s="284">
        <f t="shared" si="534"/>
        <v>50.916669458589197</v>
      </c>
      <c r="BI62" s="284">
        <f t="shared" si="534"/>
        <v>50.399133951542147</v>
      </c>
      <c r="BJ62" s="284">
        <f t="shared" si="534"/>
        <v>49.857930664025375</v>
      </c>
      <c r="BK62" s="284">
        <f t="shared" si="534"/>
        <v>49.292855070440012</v>
      </c>
      <c r="BL62" s="284">
        <f t="shared" si="534"/>
        <v>48.703704711207202</v>
      </c>
      <c r="BM62" s="284">
        <f t="shared" si="534"/>
        <v>48.090279688360333</v>
      </c>
      <c r="BN62" s="284">
        <f t="shared" si="534"/>
        <v>47.452383216919955</v>
      </c>
    </row>
    <row r="63" spans="1:66" s="67" customFormat="1" outlineLevel="1" x14ac:dyDescent="0.2">
      <c r="B63" s="58" t="s">
        <v>210</v>
      </c>
      <c r="C63" s="59" t="s">
        <v>153</v>
      </c>
      <c r="D63" s="60">
        <f>'Demand - Wind'!D38/1000000</f>
        <v>0</v>
      </c>
      <c r="E63" s="60">
        <f>'Demand - Wind'!E38/1000000</f>
        <v>6.129704891101373E-2</v>
      </c>
      <c r="F63" s="60">
        <f>'Demand - Wind'!F38/1000000</f>
        <v>6.7755254540806636E-2</v>
      </c>
      <c r="G63" s="60">
        <f>'Demand - Wind'!G38/1000000</f>
        <v>7.4893891295713597E-2</v>
      </c>
      <c r="H63" s="60">
        <f>'Demand - Wind'!H38/1000000</f>
        <v>8.2784648828025637E-2</v>
      </c>
      <c r="I63" s="60">
        <f>'Demand - Wind'!I38/1000000</f>
        <v>9.1506769951633565E-2</v>
      </c>
      <c r="J63" s="60">
        <f>'Demand - Wind'!J38/1000000</f>
        <v>0.10114784643679577</v>
      </c>
      <c r="K63" s="60">
        <f>'Demand - Wind'!K38/1000000</f>
        <v>0.11180469864917326</v>
      </c>
      <c r="L63" s="60">
        <f>'Demand - Wind'!L38/1000000</f>
        <v>0.1235843478668969</v>
      </c>
      <c r="M63" s="60">
        <f>'Demand - Wind'!M38/1000000</f>
        <v>0.13660509104014423</v>
      </c>
      <c r="N63" s="60">
        <f>'Demand - Wind'!N38/1000000</f>
        <v>0.15099768878648243</v>
      </c>
      <c r="O63" s="60">
        <f>'Demand - Wind'!O38/1000000</f>
        <v>0.16690667855240518</v>
      </c>
      <c r="P63" s="60">
        <f>'Demand - Wind'!P38/1000000</f>
        <v>0.18449182612846571</v>
      </c>
      <c r="Q63" s="60">
        <f>'Demand - Wind'!Q38/1000000</f>
        <v>0.20392973009482734</v>
      </c>
      <c r="R63" s="60">
        <f>'Demand - Wind'!R38/1000000</f>
        <v>0.22541559530984792</v>
      </c>
      <c r="S63" s="60">
        <f>'Demand - Wind'!S38/1000000</f>
        <v>0.24916519325193778</v>
      </c>
      <c r="T63" s="60">
        <f>'Demand - Wind'!T38/1000000</f>
        <v>0.27541702890138564</v>
      </c>
      <c r="U63" s="60">
        <f>'Demand - Wind'!U38/1000000</f>
        <v>0.30443473592303938</v>
      </c>
      <c r="V63" s="60">
        <f>'Demand - Wind'!V38/1000000</f>
        <v>0.33650972420342046</v>
      </c>
      <c r="W63" s="60">
        <f>'Demand - Wind'!W38/1000000</f>
        <v>0.37196410633012905</v>
      </c>
      <c r="X63" s="60">
        <f>'Demand - Wind'!X38/1000000</f>
        <v>0.41115393240266129</v>
      </c>
      <c r="Y63" s="60">
        <f>'Demand - Wind'!Y38/1000000</f>
        <v>0.45447276566018346</v>
      </c>
      <c r="Z63" s="60">
        <f>'Demand - Wind'!Z38/1000000</f>
        <v>0.5023556348344409</v>
      </c>
      <c r="AA63" s="60">
        <f>'Demand - Wind'!AA38/1000000</f>
        <v>0.55528340291926137</v>
      </c>
      <c r="AB63" s="60">
        <f>'Demand - Wind'!AB38/1000000</f>
        <v>0.61378759622993462</v>
      </c>
      <c r="AC63" s="60">
        <f>'Demand - Wind'!AC38/1000000</f>
        <v>0.67845574224825034</v>
      </c>
      <c r="AD63" s="60">
        <f>'Demand - Wind'!AD38/1000000</f>
        <v>0.74993726985839415</v>
      </c>
      <c r="AE63" s="60">
        <f>'Demand - Wind'!AE38/1000000</f>
        <v>0.82895003122676159</v>
      </c>
      <c r="AF63" s="60">
        <f>'Demand - Wind'!AF38/1000000</f>
        <v>0.91628751082153881</v>
      </c>
      <c r="AG63" s="60">
        <f>'Demand - Wind'!AG38/1000000</f>
        <v>1.0128267939685505</v>
      </c>
      <c r="AH63" s="60">
        <f>'Demand - Wind'!AH38/1000000</f>
        <v>1.1195373749674611</v>
      </c>
      <c r="AJ63" s="60">
        <f>D63</f>
        <v>0</v>
      </c>
      <c r="AK63" s="60">
        <f t="shared" ref="AK63:BN64" si="535">E63</f>
        <v>6.129704891101373E-2</v>
      </c>
      <c r="AL63" s="60">
        <f t="shared" si="535"/>
        <v>6.7755254540806636E-2</v>
      </c>
      <c r="AM63" s="60">
        <f t="shared" si="535"/>
        <v>7.4893891295713597E-2</v>
      </c>
      <c r="AN63" s="60">
        <f t="shared" si="535"/>
        <v>8.2784648828025637E-2</v>
      </c>
      <c r="AO63" s="60">
        <f t="shared" si="535"/>
        <v>9.1506769951633565E-2</v>
      </c>
      <c r="AP63" s="60">
        <f t="shared" si="535"/>
        <v>0.10114784643679577</v>
      </c>
      <c r="AQ63" s="60">
        <f t="shared" si="535"/>
        <v>0.11180469864917326</v>
      </c>
      <c r="AR63" s="60">
        <f t="shared" si="535"/>
        <v>0.1235843478668969</v>
      </c>
      <c r="AS63" s="60">
        <f t="shared" si="535"/>
        <v>0.13660509104014423</v>
      </c>
      <c r="AT63" s="60">
        <f t="shared" si="535"/>
        <v>0.15099768878648243</v>
      </c>
      <c r="AU63" s="60">
        <f t="shared" si="535"/>
        <v>0.16690667855240518</v>
      </c>
      <c r="AV63" s="60">
        <f t="shared" si="535"/>
        <v>0.18449182612846571</v>
      </c>
      <c r="AW63" s="60">
        <f t="shared" si="535"/>
        <v>0.20392973009482734</v>
      </c>
      <c r="AX63" s="60">
        <f t="shared" si="535"/>
        <v>0.22541559530984792</v>
      </c>
      <c r="AY63" s="60">
        <f t="shared" si="535"/>
        <v>0.24916519325193778</v>
      </c>
      <c r="AZ63" s="60">
        <f t="shared" si="535"/>
        <v>0.27541702890138564</v>
      </c>
      <c r="BA63" s="60">
        <f t="shared" si="535"/>
        <v>0.30443473592303938</v>
      </c>
      <c r="BB63" s="60">
        <f t="shared" si="535"/>
        <v>0.33650972420342046</v>
      </c>
      <c r="BC63" s="60">
        <f t="shared" si="535"/>
        <v>0.37196410633012905</v>
      </c>
      <c r="BD63" s="60">
        <f t="shared" si="535"/>
        <v>0.41115393240266129</v>
      </c>
      <c r="BE63" s="60">
        <f t="shared" si="535"/>
        <v>0.45447276566018346</v>
      </c>
      <c r="BF63" s="60">
        <f t="shared" si="535"/>
        <v>0.5023556348344409</v>
      </c>
      <c r="BG63" s="60">
        <f t="shared" si="535"/>
        <v>0.55528340291926137</v>
      </c>
      <c r="BH63" s="60">
        <f t="shared" si="535"/>
        <v>0.61378759622993462</v>
      </c>
      <c r="BI63" s="60">
        <f t="shared" si="535"/>
        <v>0.67845574224825034</v>
      </c>
      <c r="BJ63" s="60">
        <f t="shared" si="535"/>
        <v>0.74993726985839415</v>
      </c>
      <c r="BK63" s="60">
        <f t="shared" si="535"/>
        <v>0.82895003122676159</v>
      </c>
      <c r="BL63" s="60">
        <f t="shared" si="535"/>
        <v>0.91628751082153881</v>
      </c>
      <c r="BM63" s="60">
        <f t="shared" si="535"/>
        <v>1.0128267939685505</v>
      </c>
      <c r="BN63" s="60">
        <f t="shared" si="535"/>
        <v>1.1195373749674611</v>
      </c>
    </row>
    <row r="64" spans="1:66" outlineLevel="1" x14ac:dyDescent="0.2">
      <c r="B64" s="1" t="s">
        <v>211</v>
      </c>
      <c r="C64" s="54" t="s">
        <v>153</v>
      </c>
      <c r="D64" s="44">
        <f>'Demand - Solar'!D33/1000000</f>
        <v>0</v>
      </c>
      <c r="E64" s="44">
        <f>'Demand - Solar'!E33/1000000</f>
        <v>2.4710292294198855E-3</v>
      </c>
      <c r="F64" s="44">
        <f>'Demand - Solar'!F33/1000000</f>
        <v>2.8038407140394492E-3</v>
      </c>
      <c r="G64" s="44">
        <f>'Demand - Solar'!G33/1000000</f>
        <v>3.1814770364132329E-3</v>
      </c>
      <c r="H64" s="44">
        <f>'Demand - Solar'!H33/1000000</f>
        <v>3.6099754463734899E-3</v>
      </c>
      <c r="I64" s="44">
        <f>'Demand - Solar'!I33/1000000</f>
        <v>4.0961863229764337E-3</v>
      </c>
      <c r="J64" s="44">
        <f>'Demand - Solar'!J33/1000000</f>
        <v>4.6478826911121518E-3</v>
      </c>
      <c r="K64" s="44">
        <f>'Demand - Solar'!K33/1000000</f>
        <v>5.2738844883995755E-3</v>
      </c>
      <c r="L64" s="44">
        <f>'Demand - Solar'!L33/1000000</f>
        <v>5.9841995690141465E-3</v>
      </c>
      <c r="M64" s="44">
        <f>'Demand - Solar'!M33/1000000</f>
        <v>6.7901836986680618E-3</v>
      </c>
      <c r="N64" s="44">
        <f>'Demand - Solar'!N33/1000000</f>
        <v>7.7047220985735163E-3</v>
      </c>
      <c r="O64" s="44">
        <f>'Demand - Solar'!O33/1000000</f>
        <v>8.7424354407218147E-3</v>
      </c>
      <c r="P64" s="44">
        <f>'Demand - Solar'!P33/1000000</f>
        <v>9.9199135877125633E-3</v>
      </c>
      <c r="Q64" s="44">
        <f>'Demand - Solar'!Q33/1000000</f>
        <v>1.1255980813918345E-2</v>
      </c>
      <c r="R64" s="44">
        <f>'Demand - Solar'!R33/1000000</f>
        <v>1.2771996748059667E-2</v>
      </c>
      <c r="S64" s="44">
        <f>'Demand - Solar'!S33/1000000</f>
        <v>1.4492197848342041E-2</v>
      </c>
      <c r="T64" s="44">
        <f>'Demand - Solar'!T33/1000000</f>
        <v>1.6444084869297892E-2</v>
      </c>
      <c r="U64" s="44">
        <f>'Demand - Solar'!U33/1000000</f>
        <v>1.8658862514743208E-2</v>
      </c>
      <c r="V64" s="44">
        <f>'Demand - Solar'!V33/1000000</f>
        <v>2.1171938305555239E-2</v>
      </c>
      <c r="W64" s="44">
        <f>'Demand - Solar'!W33/1000000</f>
        <v>2.4023488637640918E-2</v>
      </c>
      <c r="X64" s="44">
        <f>'Demand - Solar'!X33/1000000</f>
        <v>2.7259101079631962E-2</v>
      </c>
      <c r="Y64" s="44">
        <f>'Demand - Solar'!Y33/1000000</f>
        <v>3.0930503178682379E-2</v>
      </c>
      <c r="Z64" s="44">
        <f>'Demand - Solar'!Z33/1000000</f>
        <v>3.5096389425743953E-2</v>
      </c>
      <c r="AA64" s="44">
        <f>'Demand - Solar'!AA33/1000000</f>
        <v>3.9823359600965405E-2</v>
      </c>
      <c r="AB64" s="44">
        <f>'Demand - Solar'!AB33/1000000</f>
        <v>4.5186983500488283E-2</v>
      </c>
      <c r="AC64" s="44">
        <f>'Demand - Solar'!AC33/1000000</f>
        <v>5.1273009066364686E-2</v>
      </c>
      <c r="AD64" s="44">
        <f>'Demand - Solar'!AD33/1000000</f>
        <v>5.8178733233899237E-2</v>
      </c>
      <c r="AE64" s="44">
        <f>'Demand - Solar'!AE33/1000000</f>
        <v>6.6014557412071864E-2</v>
      </c>
      <c r="AF64" s="44">
        <f>'Demand - Solar'!AF33/1000000</f>
        <v>7.490575246441572E-2</v>
      </c>
      <c r="AG64" s="44">
        <f>'Demand - Solar'!AG33/1000000</f>
        <v>8.4994461406996888E-2</v>
      </c>
      <c r="AH64" s="44">
        <f>'Demand - Solar'!AH33/1000000</f>
        <v>9.6441971840511176E-2</v>
      </c>
      <c r="AJ64" s="44">
        <f>D64</f>
        <v>0</v>
      </c>
      <c r="AK64" s="44">
        <f t="shared" si="535"/>
        <v>2.4710292294198855E-3</v>
      </c>
      <c r="AL64" s="44">
        <f t="shared" si="535"/>
        <v>2.8038407140394492E-3</v>
      </c>
      <c r="AM64" s="44">
        <f t="shared" si="535"/>
        <v>3.1814770364132329E-3</v>
      </c>
      <c r="AN64" s="44">
        <f t="shared" si="535"/>
        <v>3.6099754463734899E-3</v>
      </c>
      <c r="AO64" s="44">
        <f t="shared" si="535"/>
        <v>4.0961863229764337E-3</v>
      </c>
      <c r="AP64" s="44">
        <f t="shared" si="535"/>
        <v>4.6478826911121518E-3</v>
      </c>
      <c r="AQ64" s="44">
        <f t="shared" si="535"/>
        <v>5.2738844883995755E-3</v>
      </c>
      <c r="AR64" s="44">
        <f t="shared" si="535"/>
        <v>5.9841995690141465E-3</v>
      </c>
      <c r="AS64" s="44">
        <f t="shared" si="535"/>
        <v>6.7901836986680618E-3</v>
      </c>
      <c r="AT64" s="44">
        <f t="shared" si="535"/>
        <v>7.7047220985735163E-3</v>
      </c>
      <c r="AU64" s="44">
        <f t="shared" si="535"/>
        <v>8.7424354407218147E-3</v>
      </c>
      <c r="AV64" s="44">
        <f t="shared" si="535"/>
        <v>9.9199135877125633E-3</v>
      </c>
      <c r="AW64" s="44">
        <f t="shared" si="535"/>
        <v>1.1255980813918345E-2</v>
      </c>
      <c r="AX64" s="44">
        <f t="shared" si="535"/>
        <v>1.2771996748059667E-2</v>
      </c>
      <c r="AY64" s="44">
        <f t="shared" si="535"/>
        <v>1.4492197848342041E-2</v>
      </c>
      <c r="AZ64" s="44">
        <f t="shared" si="535"/>
        <v>1.6444084869297892E-2</v>
      </c>
      <c r="BA64" s="44">
        <f t="shared" si="535"/>
        <v>1.8658862514743208E-2</v>
      </c>
      <c r="BB64" s="44">
        <f t="shared" si="535"/>
        <v>2.1171938305555239E-2</v>
      </c>
      <c r="BC64" s="44">
        <f t="shared" si="535"/>
        <v>2.4023488637640918E-2</v>
      </c>
      <c r="BD64" s="44">
        <f t="shared" si="535"/>
        <v>2.7259101079631962E-2</v>
      </c>
      <c r="BE64" s="44">
        <f t="shared" si="535"/>
        <v>3.0930503178682379E-2</v>
      </c>
      <c r="BF64" s="44">
        <f t="shared" si="535"/>
        <v>3.5096389425743953E-2</v>
      </c>
      <c r="BG64" s="44">
        <f t="shared" si="535"/>
        <v>3.9823359600965405E-2</v>
      </c>
      <c r="BH64" s="44">
        <f t="shared" si="535"/>
        <v>4.5186983500488283E-2</v>
      </c>
      <c r="BI64" s="44">
        <f t="shared" si="535"/>
        <v>5.1273009066364686E-2</v>
      </c>
      <c r="BJ64" s="44">
        <f t="shared" si="535"/>
        <v>5.8178733233899237E-2</v>
      </c>
      <c r="BK64" s="44">
        <f t="shared" si="535"/>
        <v>6.6014557412071864E-2</v>
      </c>
      <c r="BL64" s="44">
        <f t="shared" si="535"/>
        <v>7.490575246441572E-2</v>
      </c>
      <c r="BM64" s="44">
        <f t="shared" si="535"/>
        <v>8.4994461406996888E-2</v>
      </c>
      <c r="BN64" s="44">
        <f t="shared" si="535"/>
        <v>9.6441971840511176E-2</v>
      </c>
    </row>
    <row r="65" spans="1:66" s="193" customFormat="1" ht="15.5" customHeight="1" x14ac:dyDescent="0.2">
      <c r="A65" s="189" t="s">
        <v>212</v>
      </c>
      <c r="B65" s="190" t="s">
        <v>213</v>
      </c>
      <c r="C65" s="191" t="s">
        <v>153</v>
      </c>
      <c r="D65" s="192">
        <f>D63+D64</f>
        <v>0</v>
      </c>
      <c r="E65" s="192">
        <f t="shared" ref="E65:AH65" si="536">E63+E64</f>
        <v>6.3768078140433615E-2</v>
      </c>
      <c r="F65" s="192">
        <f t="shared" si="536"/>
        <v>7.0559095254846091E-2</v>
      </c>
      <c r="G65" s="192">
        <f t="shared" si="536"/>
        <v>7.8075368332126832E-2</v>
      </c>
      <c r="H65" s="192">
        <f t="shared" si="536"/>
        <v>8.6394624274399132E-2</v>
      </c>
      <c r="I65" s="192">
        <f t="shared" si="536"/>
        <v>9.5602956274610004E-2</v>
      </c>
      <c r="J65" s="192">
        <f t="shared" si="536"/>
        <v>0.10579572912790791</v>
      </c>
      <c r="K65" s="192">
        <f t="shared" si="536"/>
        <v>0.11707858313757284</v>
      </c>
      <c r="L65" s="192">
        <f t="shared" si="536"/>
        <v>0.12956854743591104</v>
      </c>
      <c r="M65" s="192">
        <f t="shared" si="536"/>
        <v>0.14339527473881231</v>
      </c>
      <c r="N65" s="192">
        <f t="shared" si="536"/>
        <v>0.15870241088505593</v>
      </c>
      <c r="O65" s="192">
        <f t="shared" si="536"/>
        <v>0.17564911399312699</v>
      </c>
      <c r="P65" s="192">
        <f t="shared" si="536"/>
        <v>0.19441173971617828</v>
      </c>
      <c r="Q65" s="192">
        <f t="shared" si="536"/>
        <v>0.21518571090874569</v>
      </c>
      <c r="R65" s="192">
        <f t="shared" si="536"/>
        <v>0.2381875920579076</v>
      </c>
      <c r="S65" s="192">
        <f t="shared" si="536"/>
        <v>0.2636573911002798</v>
      </c>
      <c r="T65" s="192">
        <f t="shared" si="536"/>
        <v>0.29186111377068352</v>
      </c>
      <c r="U65" s="192">
        <f t="shared" si="536"/>
        <v>0.32309359843778257</v>
      </c>
      <c r="V65" s="192">
        <f t="shared" si="536"/>
        <v>0.35768166250897571</v>
      </c>
      <c r="W65" s="192">
        <f t="shared" si="536"/>
        <v>0.39598759496776997</v>
      </c>
      <c r="X65" s="192">
        <f t="shared" si="536"/>
        <v>0.43841303348229327</v>
      </c>
      <c r="Y65" s="192">
        <f t="shared" si="536"/>
        <v>0.48540326883886586</v>
      </c>
      <c r="Z65" s="192">
        <f t="shared" si="536"/>
        <v>0.5374520242601849</v>
      </c>
      <c r="AA65" s="192">
        <f t="shared" si="536"/>
        <v>0.59510676252022676</v>
      </c>
      <c r="AB65" s="192">
        <f t="shared" si="536"/>
        <v>0.65897457973042295</v>
      </c>
      <c r="AC65" s="192">
        <f t="shared" si="536"/>
        <v>0.72972875131461501</v>
      </c>
      <c r="AD65" s="192">
        <f t="shared" si="536"/>
        <v>0.80811600309229337</v>
      </c>
      <c r="AE65" s="192">
        <f t="shared" si="536"/>
        <v>0.89496458863883344</v>
      </c>
      <c r="AF65" s="192">
        <f t="shared" si="536"/>
        <v>0.99119326328595458</v>
      </c>
      <c r="AG65" s="192">
        <f t="shared" si="536"/>
        <v>1.0978212553755473</v>
      </c>
      <c r="AH65" s="192">
        <f t="shared" si="536"/>
        <v>1.2159793468079723</v>
      </c>
      <c r="AJ65" s="192">
        <f>AJ63+AJ64</f>
        <v>0</v>
      </c>
      <c r="AK65" s="192">
        <f t="shared" ref="AK65:BN65" si="537">AK63+AK64</f>
        <v>6.3768078140433615E-2</v>
      </c>
      <c r="AL65" s="192">
        <f t="shared" si="537"/>
        <v>7.0559095254846091E-2</v>
      </c>
      <c r="AM65" s="192">
        <f t="shared" si="537"/>
        <v>7.8075368332126832E-2</v>
      </c>
      <c r="AN65" s="192">
        <f t="shared" si="537"/>
        <v>8.6394624274399132E-2</v>
      </c>
      <c r="AO65" s="192">
        <f t="shared" si="537"/>
        <v>9.5602956274610004E-2</v>
      </c>
      <c r="AP65" s="192">
        <f t="shared" si="537"/>
        <v>0.10579572912790791</v>
      </c>
      <c r="AQ65" s="192">
        <f t="shared" si="537"/>
        <v>0.11707858313757284</v>
      </c>
      <c r="AR65" s="192">
        <f t="shared" si="537"/>
        <v>0.12956854743591104</v>
      </c>
      <c r="AS65" s="192">
        <f t="shared" si="537"/>
        <v>0.14339527473881231</v>
      </c>
      <c r="AT65" s="192">
        <f t="shared" si="537"/>
        <v>0.15870241088505593</v>
      </c>
      <c r="AU65" s="192">
        <f t="shared" si="537"/>
        <v>0.17564911399312699</v>
      </c>
      <c r="AV65" s="192">
        <f t="shared" si="537"/>
        <v>0.19441173971617828</v>
      </c>
      <c r="AW65" s="192">
        <f t="shared" si="537"/>
        <v>0.21518571090874569</v>
      </c>
      <c r="AX65" s="192">
        <f t="shared" si="537"/>
        <v>0.2381875920579076</v>
      </c>
      <c r="AY65" s="192">
        <f t="shared" si="537"/>
        <v>0.2636573911002798</v>
      </c>
      <c r="AZ65" s="192">
        <f t="shared" si="537"/>
        <v>0.29186111377068352</v>
      </c>
      <c r="BA65" s="192">
        <f t="shared" si="537"/>
        <v>0.32309359843778257</v>
      </c>
      <c r="BB65" s="192">
        <f t="shared" si="537"/>
        <v>0.35768166250897571</v>
      </c>
      <c r="BC65" s="192">
        <f t="shared" si="537"/>
        <v>0.39598759496776997</v>
      </c>
      <c r="BD65" s="192">
        <f t="shared" si="537"/>
        <v>0.43841303348229327</v>
      </c>
      <c r="BE65" s="192">
        <f t="shared" si="537"/>
        <v>0.48540326883886586</v>
      </c>
      <c r="BF65" s="192">
        <f t="shared" si="537"/>
        <v>0.5374520242601849</v>
      </c>
      <c r="BG65" s="192">
        <f t="shared" si="537"/>
        <v>0.59510676252022676</v>
      </c>
      <c r="BH65" s="192">
        <f t="shared" si="537"/>
        <v>0.65897457973042295</v>
      </c>
      <c r="BI65" s="192">
        <f t="shared" si="537"/>
        <v>0.72972875131461501</v>
      </c>
      <c r="BJ65" s="192">
        <f t="shared" si="537"/>
        <v>0.80811600309229337</v>
      </c>
      <c r="BK65" s="192">
        <f t="shared" si="537"/>
        <v>0.89496458863883344</v>
      </c>
      <c r="BL65" s="192">
        <f t="shared" si="537"/>
        <v>0.99119326328595458</v>
      </c>
      <c r="BM65" s="192">
        <f t="shared" si="537"/>
        <v>1.0978212553755473</v>
      </c>
      <c r="BN65" s="192">
        <f t="shared" si="537"/>
        <v>1.2159793468079723</v>
      </c>
    </row>
    <row r="66" spans="1:66" x14ac:dyDescent="0.2">
      <c r="A66" s="682"/>
      <c r="B66" s="1" t="s">
        <v>246</v>
      </c>
      <c r="C66" s="54" t="s">
        <v>153</v>
      </c>
      <c r="D66" s="44">
        <f>D64+0.5*D63</f>
        <v>0</v>
      </c>
      <c r="E66" s="44">
        <f t="shared" ref="E66:AH66" si="538">E64+0.5*E63</f>
        <v>3.311955368492675E-2</v>
      </c>
      <c r="F66" s="44">
        <f t="shared" si="538"/>
        <v>3.6681467984442766E-2</v>
      </c>
      <c r="G66" s="44">
        <f t="shared" si="538"/>
        <v>4.0628422684270034E-2</v>
      </c>
      <c r="H66" s="44">
        <f t="shared" si="538"/>
        <v>4.5002299860386306E-2</v>
      </c>
      <c r="I66" s="44">
        <f t="shared" si="538"/>
        <v>4.9849571298793215E-2</v>
      </c>
      <c r="J66" s="44">
        <f t="shared" si="538"/>
        <v>5.5221805909510036E-2</v>
      </c>
      <c r="K66" s="44">
        <f t="shared" si="538"/>
        <v>6.117623381298621E-2</v>
      </c>
      <c r="L66" s="44">
        <f t="shared" si="538"/>
        <v>6.77763735024626E-2</v>
      </c>
      <c r="M66" s="44">
        <f t="shared" si="538"/>
        <v>7.5092729218740176E-2</v>
      </c>
      <c r="N66" s="44">
        <f t="shared" si="538"/>
        <v>8.3203566491814734E-2</v>
      </c>
      <c r="O66" s="44">
        <f t="shared" si="538"/>
        <v>9.2195774716924403E-2</v>
      </c>
      <c r="P66" s="44">
        <f t="shared" si="538"/>
        <v>0.10216582665194542</v>
      </c>
      <c r="Q66" s="44">
        <f t="shared" si="538"/>
        <v>0.11322084586133202</v>
      </c>
      <c r="R66" s="44">
        <f t="shared" si="538"/>
        <v>0.12547979440298362</v>
      </c>
      <c r="S66" s="44">
        <f t="shared" si="538"/>
        <v>0.13907479447431093</v>
      </c>
      <c r="T66" s="44">
        <f t="shared" si="538"/>
        <v>0.1541525993199907</v>
      </c>
      <c r="U66" s="44">
        <f t="shared" si="538"/>
        <v>0.17087623047626291</v>
      </c>
      <c r="V66" s="44">
        <f t="shared" si="538"/>
        <v>0.18942680040726548</v>
      </c>
      <c r="W66" s="44">
        <f t="shared" si="538"/>
        <v>0.21000554180270545</v>
      </c>
      <c r="X66" s="44">
        <f t="shared" si="538"/>
        <v>0.23283606728096262</v>
      </c>
      <c r="Y66" s="44">
        <f t="shared" si="538"/>
        <v>0.25816688600877413</v>
      </c>
      <c r="Z66" s="44">
        <f t="shared" si="538"/>
        <v>0.2862742068429644</v>
      </c>
      <c r="AA66" s="44">
        <f t="shared" si="538"/>
        <v>0.31746506106059608</v>
      </c>
      <c r="AB66" s="44">
        <f t="shared" si="538"/>
        <v>0.35208078161545558</v>
      </c>
      <c r="AC66" s="44">
        <f t="shared" si="538"/>
        <v>0.39050088019048984</v>
      </c>
      <c r="AD66" s="44">
        <f t="shared" si="538"/>
        <v>0.43314736816309629</v>
      </c>
      <c r="AE66" s="44">
        <f t="shared" si="538"/>
        <v>0.48048957302545264</v>
      </c>
      <c r="AF66" s="44">
        <f t="shared" si="538"/>
        <v>0.53304950787518512</v>
      </c>
      <c r="AG66" s="44">
        <f t="shared" si="538"/>
        <v>0.59140785839127208</v>
      </c>
      <c r="AH66" s="44">
        <f t="shared" si="538"/>
        <v>0.65621065932424172</v>
      </c>
      <c r="AJ66" s="44">
        <f>AJ64+0.5*AJ63</f>
        <v>0</v>
      </c>
      <c r="AK66" s="44">
        <f t="shared" ref="AK66:BN66" si="539">AK64+0.5*AK63</f>
        <v>3.311955368492675E-2</v>
      </c>
      <c r="AL66" s="44">
        <f t="shared" si="539"/>
        <v>3.6681467984442766E-2</v>
      </c>
      <c r="AM66" s="44">
        <f t="shared" si="539"/>
        <v>4.0628422684270034E-2</v>
      </c>
      <c r="AN66" s="44">
        <f t="shared" si="539"/>
        <v>4.5002299860386306E-2</v>
      </c>
      <c r="AO66" s="44">
        <f t="shared" si="539"/>
        <v>4.9849571298793215E-2</v>
      </c>
      <c r="AP66" s="44">
        <f t="shared" si="539"/>
        <v>5.5221805909510036E-2</v>
      </c>
      <c r="AQ66" s="44">
        <f t="shared" si="539"/>
        <v>6.117623381298621E-2</v>
      </c>
      <c r="AR66" s="44">
        <f t="shared" si="539"/>
        <v>6.77763735024626E-2</v>
      </c>
      <c r="AS66" s="44">
        <f t="shared" si="539"/>
        <v>7.5092729218740176E-2</v>
      </c>
      <c r="AT66" s="44">
        <f t="shared" si="539"/>
        <v>8.3203566491814734E-2</v>
      </c>
      <c r="AU66" s="44">
        <f t="shared" si="539"/>
        <v>9.2195774716924403E-2</v>
      </c>
      <c r="AV66" s="44">
        <f t="shared" si="539"/>
        <v>0.10216582665194542</v>
      </c>
      <c r="AW66" s="44">
        <f t="shared" si="539"/>
        <v>0.11322084586133202</v>
      </c>
      <c r="AX66" s="44">
        <f t="shared" si="539"/>
        <v>0.12547979440298362</v>
      </c>
      <c r="AY66" s="44">
        <f t="shared" si="539"/>
        <v>0.13907479447431093</v>
      </c>
      <c r="AZ66" s="44">
        <f t="shared" si="539"/>
        <v>0.1541525993199907</v>
      </c>
      <c r="BA66" s="44">
        <f t="shared" si="539"/>
        <v>0.17087623047626291</v>
      </c>
      <c r="BB66" s="44">
        <f t="shared" si="539"/>
        <v>0.18942680040726548</v>
      </c>
      <c r="BC66" s="44">
        <f t="shared" si="539"/>
        <v>0.21000554180270545</v>
      </c>
      <c r="BD66" s="44">
        <f t="shared" si="539"/>
        <v>0.23283606728096262</v>
      </c>
      <c r="BE66" s="44">
        <f t="shared" si="539"/>
        <v>0.25816688600877413</v>
      </c>
      <c r="BF66" s="44">
        <f t="shared" si="539"/>
        <v>0.2862742068429644</v>
      </c>
      <c r="BG66" s="44">
        <f t="shared" si="539"/>
        <v>0.31746506106059608</v>
      </c>
      <c r="BH66" s="44">
        <f t="shared" si="539"/>
        <v>0.35208078161545558</v>
      </c>
      <c r="BI66" s="44">
        <f t="shared" si="539"/>
        <v>0.39050088019048984</v>
      </c>
      <c r="BJ66" s="44">
        <f t="shared" si="539"/>
        <v>0.43314736816309629</v>
      </c>
      <c r="BK66" s="44">
        <f t="shared" si="539"/>
        <v>0.48048957302545264</v>
      </c>
      <c r="BL66" s="44">
        <f t="shared" si="539"/>
        <v>0.53304950787518512</v>
      </c>
      <c r="BM66" s="44">
        <f t="shared" si="539"/>
        <v>0.59140785839127208</v>
      </c>
      <c r="BN66" s="44">
        <f t="shared" si="539"/>
        <v>0.65621065932424172</v>
      </c>
    </row>
    <row r="67" spans="1:66" x14ac:dyDescent="0.2">
      <c r="A67" s="682"/>
      <c r="B67" s="1" t="s">
        <v>247</v>
      </c>
      <c r="C67" s="54" t="s">
        <v>153</v>
      </c>
      <c r="D67" s="44">
        <v>0</v>
      </c>
      <c r="E67" s="44">
        <v>0</v>
      </c>
      <c r="F67" s="44">
        <v>0</v>
      </c>
      <c r="G67" s="44">
        <v>0</v>
      </c>
      <c r="H67" s="44">
        <v>0</v>
      </c>
      <c r="I67" s="44">
        <v>0</v>
      </c>
      <c r="J67" s="44">
        <v>0</v>
      </c>
      <c r="K67" s="44">
        <v>0</v>
      </c>
      <c r="L67" s="44">
        <v>0</v>
      </c>
      <c r="M67" s="44">
        <v>0</v>
      </c>
      <c r="N67" s="44">
        <v>0</v>
      </c>
      <c r="O67" s="44">
        <v>0</v>
      </c>
      <c r="P67" s="44">
        <v>0</v>
      </c>
      <c r="Q67" s="44">
        <v>0</v>
      </c>
      <c r="R67" s="44">
        <v>0</v>
      </c>
      <c r="S67" s="44">
        <v>0</v>
      </c>
      <c r="T67" s="44">
        <v>0</v>
      </c>
      <c r="U67" s="44">
        <v>0</v>
      </c>
      <c r="V67" s="44">
        <v>0</v>
      </c>
      <c r="W67" s="44">
        <v>0</v>
      </c>
      <c r="X67" s="44">
        <v>0</v>
      </c>
      <c r="Y67" s="44">
        <v>0</v>
      </c>
      <c r="Z67" s="44">
        <v>0</v>
      </c>
      <c r="AA67" s="44">
        <v>0</v>
      </c>
      <c r="AB67" s="44">
        <v>0</v>
      </c>
      <c r="AC67" s="44">
        <v>0</v>
      </c>
      <c r="AD67" s="44">
        <v>0</v>
      </c>
      <c r="AE67" s="44">
        <v>0</v>
      </c>
      <c r="AF67" s="44">
        <v>0</v>
      </c>
      <c r="AG67" s="44">
        <v>0</v>
      </c>
      <c r="AH67" s="44">
        <v>0</v>
      </c>
      <c r="AJ67" s="44">
        <v>0</v>
      </c>
      <c r="AK67" s="44">
        <v>0</v>
      </c>
      <c r="AL67" s="44">
        <v>0</v>
      </c>
      <c r="AM67" s="44">
        <v>0</v>
      </c>
      <c r="AN67" s="44">
        <v>0</v>
      </c>
      <c r="AO67" s="44">
        <v>0</v>
      </c>
      <c r="AP67" s="44">
        <v>0</v>
      </c>
      <c r="AQ67" s="44">
        <v>0</v>
      </c>
      <c r="AR67" s="44">
        <v>0</v>
      </c>
      <c r="AS67" s="44">
        <v>0</v>
      </c>
      <c r="AT67" s="44">
        <v>0</v>
      </c>
      <c r="AU67" s="44">
        <v>0</v>
      </c>
      <c r="AV67" s="44">
        <v>0</v>
      </c>
      <c r="AW67" s="44">
        <v>0</v>
      </c>
      <c r="AX67" s="44">
        <v>0</v>
      </c>
      <c r="AY67" s="44">
        <v>0</v>
      </c>
      <c r="AZ67" s="44">
        <v>0</v>
      </c>
      <c r="BA67" s="44">
        <v>0</v>
      </c>
      <c r="BB67" s="44">
        <v>0</v>
      </c>
      <c r="BC67" s="44">
        <v>0</v>
      </c>
      <c r="BD67" s="44">
        <v>0</v>
      </c>
      <c r="BE67" s="44">
        <v>0</v>
      </c>
      <c r="BF67" s="44">
        <v>0</v>
      </c>
      <c r="BG67" s="44">
        <v>0</v>
      </c>
      <c r="BH67" s="44">
        <v>0</v>
      </c>
      <c r="BI67" s="44">
        <v>0</v>
      </c>
      <c r="BJ67" s="44">
        <v>0</v>
      </c>
      <c r="BK67" s="44">
        <v>0</v>
      </c>
      <c r="BL67" s="44">
        <v>0</v>
      </c>
      <c r="BM67" s="44">
        <v>0</v>
      </c>
      <c r="BN67" s="44">
        <v>0</v>
      </c>
    </row>
    <row r="68" spans="1:66" s="68" customFormat="1" x14ac:dyDescent="0.2">
      <c r="A68" s="683"/>
      <c r="B68" s="62" t="s">
        <v>248</v>
      </c>
      <c r="C68" s="283" t="s">
        <v>153</v>
      </c>
      <c r="D68" s="284">
        <f>0.5*D63</f>
        <v>0</v>
      </c>
      <c r="E68" s="284">
        <f t="shared" ref="E68:AH68" si="540">0.5*E63</f>
        <v>3.0648524455506865E-2</v>
      </c>
      <c r="F68" s="284">
        <f t="shared" si="540"/>
        <v>3.3877627270403318E-2</v>
      </c>
      <c r="G68" s="284">
        <f t="shared" si="540"/>
        <v>3.7446945647856798E-2</v>
      </c>
      <c r="H68" s="284">
        <f t="shared" si="540"/>
        <v>4.1392324414012818E-2</v>
      </c>
      <c r="I68" s="284">
        <f t="shared" si="540"/>
        <v>4.5753384975816783E-2</v>
      </c>
      <c r="J68" s="284">
        <f t="shared" si="540"/>
        <v>5.0573923218397883E-2</v>
      </c>
      <c r="K68" s="284">
        <f t="shared" si="540"/>
        <v>5.5902349324586632E-2</v>
      </c>
      <c r="L68" s="284">
        <f t="shared" si="540"/>
        <v>6.1792173933448449E-2</v>
      </c>
      <c r="M68" s="284">
        <f t="shared" si="540"/>
        <v>6.8302545520072117E-2</v>
      </c>
      <c r="N68" s="284">
        <f t="shared" si="540"/>
        <v>7.5498844393241213E-2</v>
      </c>
      <c r="O68" s="284">
        <f t="shared" si="540"/>
        <v>8.345333927620259E-2</v>
      </c>
      <c r="P68" s="284">
        <f t="shared" si="540"/>
        <v>9.2245913064232854E-2</v>
      </c>
      <c r="Q68" s="284">
        <f t="shared" si="540"/>
        <v>0.10196486504741367</v>
      </c>
      <c r="R68" s="284">
        <f t="shared" si="540"/>
        <v>0.11270779765492396</v>
      </c>
      <c r="S68" s="284">
        <f t="shared" si="540"/>
        <v>0.12458259662596889</v>
      </c>
      <c r="T68" s="284">
        <f t="shared" si="540"/>
        <v>0.13770851445069282</v>
      </c>
      <c r="U68" s="284">
        <f t="shared" si="540"/>
        <v>0.15221736796151969</v>
      </c>
      <c r="V68" s="284">
        <f t="shared" si="540"/>
        <v>0.16825486210171023</v>
      </c>
      <c r="W68" s="284">
        <f t="shared" si="540"/>
        <v>0.18598205316506453</v>
      </c>
      <c r="X68" s="284">
        <f t="shared" si="540"/>
        <v>0.20557696620133065</v>
      </c>
      <c r="Y68" s="284">
        <f t="shared" si="540"/>
        <v>0.22723638283009173</v>
      </c>
      <c r="Z68" s="284">
        <f t="shared" si="540"/>
        <v>0.25117781741722045</v>
      </c>
      <c r="AA68" s="284">
        <f t="shared" si="540"/>
        <v>0.27764170145963069</v>
      </c>
      <c r="AB68" s="284">
        <f t="shared" si="540"/>
        <v>0.30689379811496731</v>
      </c>
      <c r="AC68" s="284">
        <f t="shared" si="540"/>
        <v>0.33922787112412517</v>
      </c>
      <c r="AD68" s="284">
        <f t="shared" si="540"/>
        <v>0.37496863492919708</v>
      </c>
      <c r="AE68" s="284">
        <f t="shared" si="540"/>
        <v>0.41447501561338079</v>
      </c>
      <c r="AF68" s="284">
        <f t="shared" si="540"/>
        <v>0.4581437554107694</v>
      </c>
      <c r="AG68" s="284">
        <f t="shared" si="540"/>
        <v>0.50641339698427523</v>
      </c>
      <c r="AH68" s="284">
        <f t="shared" si="540"/>
        <v>0.55976868748373054</v>
      </c>
      <c r="AJ68" s="284">
        <f>0.5*AJ63</f>
        <v>0</v>
      </c>
      <c r="AK68" s="284">
        <f t="shared" ref="AK68:BN68" si="541">0.5*AK63</f>
        <v>3.0648524455506865E-2</v>
      </c>
      <c r="AL68" s="284">
        <f t="shared" si="541"/>
        <v>3.3877627270403318E-2</v>
      </c>
      <c r="AM68" s="284">
        <f t="shared" si="541"/>
        <v>3.7446945647856798E-2</v>
      </c>
      <c r="AN68" s="284">
        <f t="shared" si="541"/>
        <v>4.1392324414012818E-2</v>
      </c>
      <c r="AO68" s="284">
        <f t="shared" si="541"/>
        <v>4.5753384975816783E-2</v>
      </c>
      <c r="AP68" s="284">
        <f t="shared" si="541"/>
        <v>5.0573923218397883E-2</v>
      </c>
      <c r="AQ68" s="284">
        <f t="shared" si="541"/>
        <v>5.5902349324586632E-2</v>
      </c>
      <c r="AR68" s="284">
        <f t="shared" si="541"/>
        <v>6.1792173933448449E-2</v>
      </c>
      <c r="AS68" s="284">
        <f t="shared" si="541"/>
        <v>6.8302545520072117E-2</v>
      </c>
      <c r="AT68" s="284">
        <f t="shared" si="541"/>
        <v>7.5498844393241213E-2</v>
      </c>
      <c r="AU68" s="284">
        <f t="shared" si="541"/>
        <v>8.345333927620259E-2</v>
      </c>
      <c r="AV68" s="284">
        <f t="shared" si="541"/>
        <v>9.2245913064232854E-2</v>
      </c>
      <c r="AW68" s="284">
        <f t="shared" si="541"/>
        <v>0.10196486504741367</v>
      </c>
      <c r="AX68" s="284">
        <f t="shared" si="541"/>
        <v>0.11270779765492396</v>
      </c>
      <c r="AY68" s="284">
        <f t="shared" si="541"/>
        <v>0.12458259662596889</v>
      </c>
      <c r="AZ68" s="284">
        <f t="shared" si="541"/>
        <v>0.13770851445069282</v>
      </c>
      <c r="BA68" s="284">
        <f t="shared" si="541"/>
        <v>0.15221736796151969</v>
      </c>
      <c r="BB68" s="284">
        <f t="shared" si="541"/>
        <v>0.16825486210171023</v>
      </c>
      <c r="BC68" s="284">
        <f t="shared" si="541"/>
        <v>0.18598205316506453</v>
      </c>
      <c r="BD68" s="284">
        <f t="shared" si="541"/>
        <v>0.20557696620133065</v>
      </c>
      <c r="BE68" s="284">
        <f t="shared" si="541"/>
        <v>0.22723638283009173</v>
      </c>
      <c r="BF68" s="284">
        <f t="shared" si="541"/>
        <v>0.25117781741722045</v>
      </c>
      <c r="BG68" s="284">
        <f t="shared" si="541"/>
        <v>0.27764170145963069</v>
      </c>
      <c r="BH68" s="284">
        <f t="shared" si="541"/>
        <v>0.30689379811496731</v>
      </c>
      <c r="BI68" s="284">
        <f t="shared" si="541"/>
        <v>0.33922787112412517</v>
      </c>
      <c r="BJ68" s="284">
        <f t="shared" si="541"/>
        <v>0.37496863492919708</v>
      </c>
      <c r="BK68" s="284">
        <f t="shared" si="541"/>
        <v>0.41447501561338079</v>
      </c>
      <c r="BL68" s="284">
        <f t="shared" si="541"/>
        <v>0.4581437554107694</v>
      </c>
      <c r="BM68" s="284">
        <f t="shared" si="541"/>
        <v>0.50641339698427523</v>
      </c>
      <c r="BN68" s="284">
        <f t="shared" si="541"/>
        <v>0.55976868748373054</v>
      </c>
    </row>
    <row r="69" spans="1:66" x14ac:dyDescent="0.2">
      <c r="A69" s="1" t="s">
        <v>67</v>
      </c>
      <c r="B69" s="1" t="s">
        <v>168</v>
      </c>
      <c r="C69" s="54" t="s">
        <v>153</v>
      </c>
      <c r="D69" s="66">
        <f t="shared" ref="D69:AH69" si="542">D23+D32+D41+D50+D57</f>
        <v>0</v>
      </c>
      <c r="E69" s="66">
        <f t="shared" si="542"/>
        <v>0.25941911555393837</v>
      </c>
      <c r="F69" s="66">
        <f t="shared" si="542"/>
        <v>0.55738967312360788</v>
      </c>
      <c r="G69" s="66">
        <f t="shared" si="542"/>
        <v>0.89372458189285864</v>
      </c>
      <c r="H69" s="66">
        <f t="shared" si="542"/>
        <v>1.2682308485087423</v>
      </c>
      <c r="I69" s="66">
        <f t="shared" si="542"/>
        <v>1.6807094026522789</v>
      </c>
      <c r="J69" s="66">
        <f t="shared" si="542"/>
        <v>2.1309549176752509</v>
      </c>
      <c r="K69" s="66">
        <f t="shared" si="542"/>
        <v>2.6187556261678417</v>
      </c>
      <c r="L69" s="66">
        <f t="shared" si="542"/>
        <v>3.143893130318268</v>
      </c>
      <c r="M69" s="66">
        <f t="shared" si="542"/>
        <v>3.7061422069219225</v>
      </c>
      <c r="N69" s="66">
        <f t="shared" si="542"/>
        <v>4.3052706068936475</v>
      </c>
      <c r="O69" s="66">
        <f t="shared" si="542"/>
        <v>4.9050162503689121</v>
      </c>
      <c r="P69" s="66">
        <f t="shared" si="542"/>
        <v>5.5195599485464673</v>
      </c>
      <c r="Q69" s="66">
        <f t="shared" si="542"/>
        <v>6.1488055848608933</v>
      </c>
      <c r="R69" s="66">
        <f t="shared" si="542"/>
        <v>6.7926534698955914</v>
      </c>
      <c r="S69" s="66">
        <f t="shared" si="542"/>
        <v>7.4510002181218322</v>
      </c>
      <c r="T69" s="66">
        <f t="shared" si="542"/>
        <v>8.1078986206761741</v>
      </c>
      <c r="U69" s="66">
        <f t="shared" si="542"/>
        <v>8.7770975140561163</v>
      </c>
      <c r="V69" s="66">
        <f t="shared" si="542"/>
        <v>9.4584816446104547</v>
      </c>
      <c r="W69" s="66">
        <f t="shared" si="542"/>
        <v>10.151931528697062</v>
      </c>
      <c r="X69" s="66">
        <f t="shared" si="542"/>
        <v>10.857323308377442</v>
      </c>
      <c r="Y69" s="66">
        <f t="shared" si="542"/>
        <v>11.72653274603881</v>
      </c>
      <c r="Z69" s="66">
        <f t="shared" si="542"/>
        <v>12.60998239972866</v>
      </c>
      <c r="AA69" s="66">
        <f t="shared" si="542"/>
        <v>13.507698071622439</v>
      </c>
      <c r="AB69" s="66">
        <f t="shared" si="542"/>
        <v>14.419704393480499</v>
      </c>
      <c r="AC69" s="66">
        <f t="shared" si="542"/>
        <v>15.346024741146628</v>
      </c>
      <c r="AD69" s="66">
        <f t="shared" si="542"/>
        <v>16.286681145433089</v>
      </c>
      <c r="AE69" s="66">
        <f t="shared" si="542"/>
        <v>17.24169419926654</v>
      </c>
      <c r="AF69" s="66">
        <f t="shared" si="542"/>
        <v>18.211082960965406</v>
      </c>
      <c r="AG69" s="66">
        <f t="shared" si="542"/>
        <v>19.194864853515043</v>
      </c>
      <c r="AH69" s="66">
        <f t="shared" si="542"/>
        <v>20.193055559703105</v>
      </c>
      <c r="AJ69" s="66">
        <f t="shared" ref="AJ69:BN69" si="543">AJ23+AJ32+AJ41+AJ50+AJ57</f>
        <v>0</v>
      </c>
      <c r="AK69" s="66">
        <f t="shared" si="543"/>
        <v>0.12451182395917437</v>
      </c>
      <c r="AL69" s="66">
        <f t="shared" si="543"/>
        <v>0.26811817254195336</v>
      </c>
      <c r="AM69" s="66">
        <f t="shared" si="543"/>
        <v>0.4307207858903398</v>
      </c>
      <c r="AN69" s="66">
        <f t="shared" si="543"/>
        <v>0.61221834426348598</v>
      </c>
      <c r="AO69" s="66">
        <f t="shared" si="543"/>
        <v>0.81250637848433249</v>
      </c>
      <c r="AP69" s="66">
        <f t="shared" si="543"/>
        <v>1.0314771778710345</v>
      </c>
      <c r="AQ69" s="66">
        <f t="shared" si="543"/>
        <v>1.2690196955846185</v>
      </c>
      <c r="AR69" s="66">
        <f t="shared" si="543"/>
        <v>1.5250194513224631</v>
      </c>
      <c r="AS69" s="66">
        <f t="shared" si="543"/>
        <v>1.7993584312853566</v>
      </c>
      <c r="AT69" s="66">
        <f t="shared" si="543"/>
        <v>2.0919149853439185</v>
      </c>
      <c r="AU69" s="66">
        <f t="shared" si="543"/>
        <v>2.386526056033667</v>
      </c>
      <c r="AV69" s="66">
        <f t="shared" si="543"/>
        <v>2.688357896271226</v>
      </c>
      <c r="AW69" s="66">
        <f t="shared" si="543"/>
        <v>2.9973576964381978</v>
      </c>
      <c r="AX69" s="66">
        <f t="shared" si="543"/>
        <v>3.3134707478612895</v>
      </c>
      <c r="AY69" s="66">
        <f t="shared" si="543"/>
        <v>3.6366403786941639</v>
      </c>
      <c r="AZ69" s="66">
        <f t="shared" si="543"/>
        <v>3.958887887766072</v>
      </c>
      <c r="BA69" s="66">
        <f t="shared" si="543"/>
        <v>4.2870824763361455</v>
      </c>
      <c r="BB69" s="66">
        <f t="shared" si="543"/>
        <v>4.6211611776904675</v>
      </c>
      <c r="BC69" s="66">
        <f t="shared" si="543"/>
        <v>4.9610587845172063</v>
      </c>
      <c r="BD69" s="66">
        <f t="shared" si="543"/>
        <v>5.3067077739933275</v>
      </c>
      <c r="BE69" s="66">
        <f t="shared" si="543"/>
        <v>5.7339316038450807</v>
      </c>
      <c r="BF69" s="66">
        <f t="shared" si="543"/>
        <v>6.168039835021994</v>
      </c>
      <c r="BG69" s="66">
        <f t="shared" si="543"/>
        <v>6.6090392382112064</v>
      </c>
      <c r="BH69" s="66">
        <f t="shared" si="543"/>
        <v>7.0569358555135473</v>
      </c>
      <c r="BI69" s="66">
        <f t="shared" si="543"/>
        <v>7.5117349545526881</v>
      </c>
      <c r="BJ69" s="66">
        <f t="shared" si="543"/>
        <v>7.9734409807118114</v>
      </c>
      <c r="BK69" s="66">
        <f t="shared" si="543"/>
        <v>8.4420575074336099</v>
      </c>
      <c r="BL69" s="66">
        <f t="shared" si="543"/>
        <v>8.9175871845175614</v>
      </c>
      <c r="BM69" s="66">
        <f t="shared" si="543"/>
        <v>9.4000316843462706</v>
      </c>
      <c r="BN69" s="66">
        <f t="shared" si="543"/>
        <v>9.8893916459706386</v>
      </c>
    </row>
    <row r="70" spans="1:66" x14ac:dyDescent="0.2">
      <c r="B70" s="1" t="s">
        <v>172</v>
      </c>
      <c r="C70" s="54" t="s">
        <v>153</v>
      </c>
      <c r="D70" s="66">
        <f t="shared" ref="D70:AH70" si="544">D24+D35+D42+D51+D58</f>
        <v>0</v>
      </c>
      <c r="E70" s="66">
        <f t="shared" si="544"/>
        <v>7.5819129992098819E-2</v>
      </c>
      <c r="F70" s="66">
        <f t="shared" si="544"/>
        <v>0.16404933603238134</v>
      </c>
      <c r="G70" s="66">
        <f t="shared" si="544"/>
        <v>0.26461517650558514</v>
      </c>
      <c r="H70" s="66">
        <f t="shared" si="544"/>
        <v>0.37743890514784412</v>
      </c>
      <c r="I70" s="66">
        <f t="shared" si="544"/>
        <v>0.50244040490505459</v>
      </c>
      <c r="J70" s="66">
        <f t="shared" si="544"/>
        <v>0.63953711996689822</v>
      </c>
      <c r="K70" s="66">
        <f t="shared" si="544"/>
        <v>0.78864398592757423</v>
      </c>
      <c r="L70" s="66">
        <f t="shared" si="544"/>
        <v>0.94967335802299724</v>
      </c>
      <c r="M70" s="66">
        <f t="shared" si="544"/>
        <v>1.1225349373929152</v>
      </c>
      <c r="N70" s="66">
        <f t="shared" si="544"/>
        <v>1.3071356953150197</v>
      </c>
      <c r="O70" s="66">
        <f t="shared" si="544"/>
        <v>1.4578779624799059</v>
      </c>
      <c r="P70" s="66">
        <f t="shared" si="544"/>
        <v>1.6113982301815748</v>
      </c>
      <c r="Q70" s="66">
        <f t="shared" si="544"/>
        <v>1.7675966911307701</v>
      </c>
      <c r="R70" s="66">
        <f t="shared" si="544"/>
        <v>1.9263705189437474</v>
      </c>
      <c r="S70" s="66">
        <f t="shared" si="544"/>
        <v>2.0876137820091332</v>
      </c>
      <c r="T70" s="66">
        <f t="shared" si="544"/>
        <v>2.2459373549891954</v>
      </c>
      <c r="U70" s="66">
        <f t="shared" si="544"/>
        <v>2.4058488278922781</v>
      </c>
      <c r="V70" s="66">
        <f t="shared" si="544"/>
        <v>2.5672324126514785</v>
      </c>
      <c r="W70" s="66">
        <f t="shared" si="544"/>
        <v>2.7299688471429393</v>
      </c>
      <c r="X70" s="66">
        <f t="shared" si="544"/>
        <v>2.8939352965754308</v>
      </c>
      <c r="Y70" s="66">
        <f t="shared" si="544"/>
        <v>3.0486821434222744</v>
      </c>
      <c r="Z70" s="66">
        <f t="shared" si="544"/>
        <v>3.2030694345445276</v>
      </c>
      <c r="AA70" s="66">
        <f t="shared" si="544"/>
        <v>3.3569589314846184</v>
      </c>
      <c r="AB70" s="66">
        <f t="shared" si="544"/>
        <v>3.5102082822136298</v>
      </c>
      <c r="AC70" s="66">
        <f t="shared" si="544"/>
        <v>3.6626709049763528</v>
      </c>
      <c r="AD70" s="66">
        <f t="shared" si="544"/>
        <v>3.8141958689684987</v>
      </c>
      <c r="AE70" s="66">
        <f t="shared" si="544"/>
        <v>3.9646277717617586</v>
      </c>
      <c r="AF70" s="66">
        <f t="shared" si="544"/>
        <v>4.113806613390274</v>
      </c>
      <c r="AG70" s="66">
        <f t="shared" si="544"/>
        <v>4.2615676670097109</v>
      </c>
      <c r="AH70" s="66">
        <f t="shared" si="544"/>
        <v>4.4077413460379384</v>
      </c>
      <c r="AJ70" s="66">
        <f t="shared" ref="AJ70:BN70" si="545">AJ24+AJ35+AJ42+AJ51+AJ58</f>
        <v>0</v>
      </c>
      <c r="AK70" s="66">
        <f t="shared" si="545"/>
        <v>3.9405875649088949E-2</v>
      </c>
      <c r="AL70" s="66">
        <f t="shared" si="545"/>
        <v>8.5059186020554858E-2</v>
      </c>
      <c r="AM70" s="66">
        <f t="shared" si="545"/>
        <v>0.13692309013743051</v>
      </c>
      <c r="AN70" s="66">
        <f t="shared" si="545"/>
        <v>0.19495961112195254</v>
      </c>
      <c r="AO70" s="66">
        <f t="shared" si="545"/>
        <v>0.25912960341215596</v>
      </c>
      <c r="AP70" s="66">
        <f t="shared" si="545"/>
        <v>0.32939271907112522</v>
      </c>
      <c r="AQ70" s="66">
        <f t="shared" si="545"/>
        <v>0.40570737316450795</v>
      </c>
      <c r="AR70" s="66">
        <f t="shared" si="545"/>
        <v>0.48803070818124822</v>
      </c>
      <c r="AS70" s="66">
        <f t="shared" si="545"/>
        <v>0.57631855747184946</v>
      </c>
      <c r="AT70" s="66">
        <f t="shared" si="545"/>
        <v>0.67052540767778479</v>
      </c>
      <c r="AU70" s="66">
        <f t="shared" si="545"/>
        <v>0.7488802287908124</v>
      </c>
      <c r="AV70" s="66">
        <f t="shared" si="545"/>
        <v>0.82870426974132372</v>
      </c>
      <c r="AW70" s="66">
        <f t="shared" si="545"/>
        <v>0.90994928822986931</v>
      </c>
      <c r="AX70" s="66">
        <f t="shared" si="545"/>
        <v>0.99256556320438483</v>
      </c>
      <c r="AY70" s="66">
        <f t="shared" si="545"/>
        <v>1.0765018523302472</v>
      </c>
      <c r="AZ70" s="66">
        <f t="shared" si="545"/>
        <v>1.159065348286525</v>
      </c>
      <c r="BA70" s="66">
        <f t="shared" si="545"/>
        <v>1.2425116338569477</v>
      </c>
      <c r="BB70" s="66">
        <f t="shared" si="545"/>
        <v>1.3267846357832833</v>
      </c>
      <c r="BC70" s="66">
        <f t="shared" si="545"/>
        <v>1.411826577347955</v>
      </c>
      <c r="BD70" s="66">
        <f t="shared" si="545"/>
        <v>1.4975779296518985</v>
      </c>
      <c r="BE70" s="66">
        <f t="shared" si="545"/>
        <v>1.5786200918146414</v>
      </c>
      <c r="BF70" s="66">
        <f t="shared" si="545"/>
        <v>1.6595752811846425</v>
      </c>
      <c r="BG70" s="66">
        <f t="shared" si="545"/>
        <v>1.7403762580022704</v>
      </c>
      <c r="BH70" s="66">
        <f t="shared" si="545"/>
        <v>1.8209537601575643</v>
      </c>
      <c r="BI70" s="66">
        <f t="shared" si="545"/>
        <v>1.9012364457085731</v>
      </c>
      <c r="BJ70" s="66">
        <f t="shared" si="545"/>
        <v>1.9811508338257093</v>
      </c>
      <c r="BK70" s="66">
        <f t="shared" si="545"/>
        <v>2.0606212441201213</v>
      </c>
      <c r="BL70" s="66">
        <f t="shared" si="545"/>
        <v>2.139569734313028</v>
      </c>
      <c r="BM70" s="66">
        <f t="shared" si="545"/>
        <v>2.2179160362017827</v>
      </c>
      <c r="BN70" s="66">
        <f t="shared" si="545"/>
        <v>2.2955774898773327</v>
      </c>
    </row>
    <row r="71" spans="1:66" x14ac:dyDescent="0.2">
      <c r="B71" s="1" t="s">
        <v>214</v>
      </c>
      <c r="C71" s="54" t="s">
        <v>153</v>
      </c>
      <c r="D71" s="66">
        <f t="shared" ref="D71:AH71" si="546">D19+D65</f>
        <v>0</v>
      </c>
      <c r="E71" s="66">
        <f t="shared" si="546"/>
        <v>7.8986210521283975E-2</v>
      </c>
      <c r="F71" s="66">
        <f t="shared" si="546"/>
        <v>0.10151277651749573</v>
      </c>
      <c r="G71" s="66">
        <f t="shared" si="546"/>
        <v>0.12529520909829883</v>
      </c>
      <c r="H71" s="66">
        <f t="shared" si="546"/>
        <v>0.15042472835332837</v>
      </c>
      <c r="I71" s="66">
        <f t="shared" si="546"/>
        <v>0.17700122608494878</v>
      </c>
      <c r="J71" s="66">
        <f t="shared" si="546"/>
        <v>0.20513417760444536</v>
      </c>
      <c r="K71" s="66">
        <f t="shared" si="546"/>
        <v>0.23494365225498448</v>
      </c>
      <c r="L71" s="66">
        <f t="shared" si="546"/>
        <v>0.26656143348437689</v>
      </c>
      <c r="M71" s="66">
        <f t="shared" si="546"/>
        <v>0.30013226048901331</v>
      </c>
      <c r="N71" s="66">
        <f t="shared" si="546"/>
        <v>0.33581520478278304</v>
      </c>
      <c r="O71" s="66">
        <f t="shared" si="546"/>
        <v>0.40080375323561257</v>
      </c>
      <c r="P71" s="66">
        <f t="shared" si="546"/>
        <v>0.4691904614477076</v>
      </c>
      <c r="Q71" s="66">
        <f t="shared" si="546"/>
        <v>0.54121066424320519</v>
      </c>
      <c r="R71" s="66">
        <f t="shared" si="546"/>
        <v>0.61712173781921653</v>
      </c>
      <c r="S71" s="66">
        <f t="shared" si="546"/>
        <v>0.69720542061943735</v>
      </c>
      <c r="T71" s="66">
        <f t="shared" si="546"/>
        <v>0.78177038712733138</v>
      </c>
      <c r="U71" s="66">
        <f t="shared" si="546"/>
        <v>0.87115510254186468</v>
      </c>
      <c r="V71" s="66">
        <f t="shared" si="546"/>
        <v>0.9657309894259043</v>
      </c>
      <c r="W71" s="66">
        <f t="shared" si="546"/>
        <v>1.0659059408984959</v>
      </c>
      <c r="X71" s="66">
        <f t="shared" si="546"/>
        <v>1.1721282188178068</v>
      </c>
      <c r="Y71" s="66">
        <f t="shared" si="546"/>
        <v>1.2635711127602067</v>
      </c>
      <c r="Z71" s="66">
        <f t="shared" si="546"/>
        <v>1.3613718734707092</v>
      </c>
      <c r="AA71" s="66">
        <f t="shared" si="546"/>
        <v>1.4661092946928735</v>
      </c>
      <c r="AB71" s="66">
        <f t="shared" si="546"/>
        <v>1.5784224932494824</v>
      </c>
      <c r="AC71" s="66">
        <f t="shared" si="546"/>
        <v>1.6990174694140672</v>
      </c>
      <c r="AD71" s="66">
        <f t="shared" si="546"/>
        <v>1.8286743926808648</v>
      </c>
      <c r="AE71" s="66">
        <f t="shared" si="546"/>
        <v>1.9682556941076235</v>
      </c>
      <c r="AF71" s="66">
        <f t="shared" si="546"/>
        <v>2.1187150556002994</v>
      </c>
      <c r="AG71" s="66">
        <f t="shared" si="546"/>
        <v>2.2811073967587152</v>
      </c>
      <c r="AH71" s="66">
        <f t="shared" si="546"/>
        <v>2.4565999713303244</v>
      </c>
      <c r="AJ71" s="66">
        <f t="shared" ref="AJ71:BN71" si="547">AJ19+AJ65</f>
        <v>0</v>
      </c>
      <c r="AK71" s="66">
        <f t="shared" si="547"/>
        <v>7.8986210521283975E-2</v>
      </c>
      <c r="AL71" s="66">
        <f t="shared" si="547"/>
        <v>0.10151277651749573</v>
      </c>
      <c r="AM71" s="66">
        <f t="shared" si="547"/>
        <v>0.12529520909829883</v>
      </c>
      <c r="AN71" s="66">
        <f t="shared" si="547"/>
        <v>0.15042472835332837</v>
      </c>
      <c r="AO71" s="66">
        <f t="shared" si="547"/>
        <v>0.17700122608494878</v>
      </c>
      <c r="AP71" s="66">
        <f t="shared" si="547"/>
        <v>0.20513417760444536</v>
      </c>
      <c r="AQ71" s="66">
        <f t="shared" si="547"/>
        <v>0.23494365225498448</v>
      </c>
      <c r="AR71" s="66">
        <f t="shared" si="547"/>
        <v>0.26656143348437689</v>
      </c>
      <c r="AS71" s="66">
        <f t="shared" si="547"/>
        <v>0.30013226048901331</v>
      </c>
      <c r="AT71" s="66">
        <f t="shared" si="547"/>
        <v>0.33581520478278304</v>
      </c>
      <c r="AU71" s="66">
        <f t="shared" si="547"/>
        <v>0.40080375323561257</v>
      </c>
      <c r="AV71" s="66">
        <f t="shared" si="547"/>
        <v>0.4691904614477076</v>
      </c>
      <c r="AW71" s="66">
        <f t="shared" si="547"/>
        <v>0.54121066424320519</v>
      </c>
      <c r="AX71" s="66">
        <f t="shared" si="547"/>
        <v>0.61712173781921653</v>
      </c>
      <c r="AY71" s="66">
        <f t="shared" si="547"/>
        <v>0.69720542061943735</v>
      </c>
      <c r="AZ71" s="66">
        <f t="shared" si="547"/>
        <v>0.78177038712733138</v>
      </c>
      <c r="BA71" s="66">
        <f t="shared" si="547"/>
        <v>0.87115510254186468</v>
      </c>
      <c r="BB71" s="66">
        <f t="shared" si="547"/>
        <v>0.9657309894259043</v>
      </c>
      <c r="BC71" s="66">
        <f t="shared" si="547"/>
        <v>1.0659059408984959</v>
      </c>
      <c r="BD71" s="66">
        <f t="shared" si="547"/>
        <v>1.1721282188178068</v>
      </c>
      <c r="BE71" s="66">
        <f t="shared" si="547"/>
        <v>1.2635711127602067</v>
      </c>
      <c r="BF71" s="66">
        <f t="shared" si="547"/>
        <v>1.3613718734707092</v>
      </c>
      <c r="BG71" s="66">
        <f t="shared" si="547"/>
        <v>1.4661092946928735</v>
      </c>
      <c r="BH71" s="66">
        <f t="shared" si="547"/>
        <v>1.5784224932494824</v>
      </c>
      <c r="BI71" s="66">
        <f t="shared" si="547"/>
        <v>1.6990174694140672</v>
      </c>
      <c r="BJ71" s="66">
        <f t="shared" si="547"/>
        <v>1.8286743926808648</v>
      </c>
      <c r="BK71" s="66">
        <f t="shared" si="547"/>
        <v>1.9682556941076235</v>
      </c>
      <c r="BL71" s="66">
        <f t="shared" si="547"/>
        <v>2.1187150556002994</v>
      </c>
      <c r="BM71" s="66">
        <f t="shared" si="547"/>
        <v>2.2811073967587152</v>
      </c>
      <c r="BN71" s="66">
        <f t="shared" si="547"/>
        <v>2.4565999713303244</v>
      </c>
    </row>
    <row r="72" spans="1:66" x14ac:dyDescent="0.2">
      <c r="A72" s="69" t="s">
        <v>251</v>
      </c>
      <c r="B72" s="69"/>
      <c r="C72" s="70" t="s">
        <v>153</v>
      </c>
      <c r="D72" s="71">
        <f t="shared" ref="D72:AH72" si="548">D14+D71-D69-D70</f>
        <v>70.960266702016895</v>
      </c>
      <c r="E72" s="71">
        <f t="shared" si="548"/>
        <v>74.55840849321504</v>
      </c>
      <c r="F72" s="71">
        <f t="shared" si="548"/>
        <v>78.022714465230877</v>
      </c>
      <c r="G72" s="71">
        <f t="shared" si="548"/>
        <v>81.410251390453027</v>
      </c>
      <c r="H72" s="71">
        <f t="shared" si="548"/>
        <v>84.720442011786787</v>
      </c>
      <c r="I72" s="71">
        <f t="shared" si="548"/>
        <v>87.952697442520346</v>
      </c>
      <c r="J72" s="71">
        <f t="shared" si="548"/>
        <v>91.10641749983796</v>
      </c>
      <c r="K72" s="71">
        <f t="shared" si="548"/>
        <v>94.18099112123241</v>
      </c>
      <c r="L72" s="71">
        <f t="shared" si="548"/>
        <v>97.175796874217966</v>
      </c>
      <c r="M72" s="71">
        <f t="shared" si="548"/>
        <v>100.09020357093327</v>
      </c>
      <c r="N72" s="71">
        <f t="shared" si="548"/>
        <v>102.92357100054343</v>
      </c>
      <c r="O72" s="71">
        <f t="shared" si="548"/>
        <v>102.01878716677827</v>
      </c>
      <c r="P72" s="71">
        <f t="shared" si="548"/>
        <v>101.01320368931108</v>
      </c>
      <c r="Q72" s="71">
        <f t="shared" si="548"/>
        <v>99.904306241712632</v>
      </c>
      <c r="R72" s="71">
        <f t="shared" si="548"/>
        <v>98.689519456862158</v>
      </c>
      <c r="S72" s="71">
        <f t="shared" si="548"/>
        <v>97.366206890425161</v>
      </c>
      <c r="T72" s="71">
        <f t="shared" si="548"/>
        <v>95.75279117294312</v>
      </c>
      <c r="U72" s="71">
        <f t="shared" si="548"/>
        <v>94.028034376790231</v>
      </c>
      <c r="V72" s="71">
        <f t="shared" si="548"/>
        <v>92.189118627334921</v>
      </c>
      <c r="W72" s="71">
        <f t="shared" si="548"/>
        <v>90.233166991078591</v>
      </c>
      <c r="X72" s="71">
        <f t="shared" si="548"/>
        <v>88.157244677374422</v>
      </c>
      <c r="Y72" s="71">
        <f t="shared" si="548"/>
        <v>86.300224017128045</v>
      </c>
      <c r="Z72" s="71">
        <f t="shared" si="548"/>
        <v>84.356868047999271</v>
      </c>
      <c r="AA72" s="71">
        <f t="shared" si="548"/>
        <v>82.325337302478204</v>
      </c>
      <c r="AB72" s="71">
        <f t="shared" si="548"/>
        <v>80.203783199854627</v>
      </c>
      <c r="AC72" s="71">
        <f t="shared" si="548"/>
        <v>77.990352709852658</v>
      </c>
      <c r="AD72" s="71">
        <f t="shared" si="548"/>
        <v>75.683193691446107</v>
      </c>
      <c r="AE72" s="71">
        <f t="shared" si="548"/>
        <v>73.280460986727107</v>
      </c>
      <c r="AF72" s="71">
        <f t="shared" si="548"/>
        <v>70.780323358861438</v>
      </c>
      <c r="AG72" s="71">
        <f t="shared" si="548"/>
        <v>68.180971373380174</v>
      </c>
      <c r="AH72" s="71">
        <f t="shared" si="548"/>
        <v>65.480626333450971</v>
      </c>
      <c r="AJ72" s="71">
        <f t="shared" ref="AJ72:BN72" si="549">AJ14+AJ71-AJ69-AJ70</f>
        <v>70.960266702016895</v>
      </c>
      <c r="AK72" s="71">
        <f t="shared" si="549"/>
        <v>74.729729039152815</v>
      </c>
      <c r="AL72" s="71">
        <f t="shared" si="549"/>
        <v>78.390976115824358</v>
      </c>
      <c r="AM72" s="71">
        <f t="shared" si="549"/>
        <v>82.000947272823694</v>
      </c>
      <c r="AN72" s="71">
        <f t="shared" si="549"/>
        <v>85.558933810057923</v>
      </c>
      <c r="AO72" s="71">
        <f t="shared" si="549"/>
        <v>89.064211268181197</v>
      </c>
      <c r="AP72" s="71">
        <f t="shared" si="549"/>
        <v>92.516039640537954</v>
      </c>
      <c r="AQ72" s="71">
        <f t="shared" si="549"/>
        <v>95.913663664578706</v>
      </c>
      <c r="AR72" s="71">
        <f t="shared" si="549"/>
        <v>99.256313203055512</v>
      </c>
      <c r="AS72" s="71">
        <f t="shared" si="549"/>
        <v>102.5432037264909</v>
      </c>
      <c r="AT72" s="71">
        <f t="shared" si="549"/>
        <v>105.7735369097304</v>
      </c>
      <c r="AU72" s="71">
        <f t="shared" si="549"/>
        <v>105.24627509480261</v>
      </c>
      <c r="AV72" s="71">
        <f t="shared" si="549"/>
        <v>104.62709970202658</v>
      </c>
      <c r="AW72" s="71">
        <f t="shared" si="549"/>
        <v>103.91340153303624</v>
      </c>
      <c r="AX72" s="71">
        <f t="shared" si="549"/>
        <v>103.10250713463583</v>
      </c>
      <c r="AY72" s="71">
        <f t="shared" si="549"/>
        <v>102.1916786595317</v>
      </c>
      <c r="AZ72" s="71">
        <f t="shared" si="549"/>
        <v>100.9886739125559</v>
      </c>
      <c r="BA72" s="71">
        <f t="shared" si="549"/>
        <v>99.681386608545509</v>
      </c>
      <c r="BB72" s="71">
        <f t="shared" si="549"/>
        <v>98.266886871123106</v>
      </c>
      <c r="BC72" s="71">
        <f t="shared" si="549"/>
        <v>96.742182005053436</v>
      </c>
      <c r="BD72" s="71">
        <f t="shared" si="549"/>
        <v>95.104217578682082</v>
      </c>
      <c r="BE72" s="71">
        <f t="shared" si="549"/>
        <v>93.762887210929406</v>
      </c>
      <c r="BF72" s="71">
        <f t="shared" si="549"/>
        <v>92.342304766065823</v>
      </c>
      <c r="BG72" s="71">
        <f t="shared" si="549"/>
        <v>90.840578809371777</v>
      </c>
      <c r="BH72" s="71">
        <f t="shared" si="549"/>
        <v>89.255806259877644</v>
      </c>
      <c r="BI72" s="71">
        <f t="shared" si="549"/>
        <v>87.586076955714361</v>
      </c>
      <c r="BJ72" s="71">
        <f t="shared" si="549"/>
        <v>85.829478891310174</v>
      </c>
      <c r="BK72" s="71">
        <f t="shared" si="549"/>
        <v>83.984104206201678</v>
      </c>
      <c r="BL72" s="71">
        <f t="shared" si="549"/>
        <v>82.048056014386532</v>
      </c>
      <c r="BM72" s="71">
        <f t="shared" si="549"/>
        <v>80.019456173356872</v>
      </c>
      <c r="BN72" s="71">
        <f t="shared" si="549"/>
        <v>77.896454103344055</v>
      </c>
    </row>
    <row r="73" spans="1:66" s="67" customFormat="1" x14ac:dyDescent="0.2">
      <c r="A73" s="681"/>
      <c r="B73" s="58" t="s">
        <v>246</v>
      </c>
      <c r="C73" s="59" t="s">
        <v>153</v>
      </c>
      <c r="D73" s="60">
        <f>D26+D37+D44+D53+D60+D66</f>
        <v>7.192774760698633</v>
      </c>
      <c r="E73" s="60">
        <f t="shared" ref="E73:AG73" si="550">E26+E37+E44+E53+E60+E66</f>
        <v>7.6224025072089212</v>
      </c>
      <c r="F73" s="60">
        <f t="shared" si="550"/>
        <v>8.0165137882378321</v>
      </c>
      <c r="G73" s="60">
        <f t="shared" si="550"/>
        <v>8.4050351405930126</v>
      </c>
      <c r="H73" s="60">
        <f t="shared" si="550"/>
        <v>8.7879954824377631</v>
      </c>
      <c r="I73" s="60">
        <f t="shared" si="550"/>
        <v>9.1654304676265266</v>
      </c>
      <c r="J73" s="60">
        <f t="shared" si="550"/>
        <v>9.5373823205619974</v>
      </c>
      <c r="K73" s="60">
        <f t="shared" si="550"/>
        <v>9.9038999487228541</v>
      </c>
      <c r="L73" s="60">
        <f t="shared" si="550"/>
        <v>10.265039258173816</v>
      </c>
      <c r="M73" s="60">
        <f t="shared" si="550"/>
        <v>10.62086363037346</v>
      </c>
      <c r="N73" s="60">
        <f t="shared" si="550"/>
        <v>10.971444537918128</v>
      </c>
      <c r="O73" s="60">
        <f t="shared" si="550"/>
        <v>11.05168057882733</v>
      </c>
      <c r="P73" s="60">
        <f t="shared" si="550"/>
        <v>11.129690614821193</v>
      </c>
      <c r="Q73" s="60">
        <f t="shared" si="550"/>
        <v>11.20554108287115</v>
      </c>
      <c r="R73" s="60">
        <f t="shared" si="550"/>
        <v>11.279308278820414</v>
      </c>
      <c r="S73" s="60">
        <f t="shared" si="550"/>
        <v>11.351079560509945</v>
      </c>
      <c r="T73" s="60">
        <f t="shared" si="550"/>
        <v>11.402724350669505</v>
      </c>
      <c r="U73" s="60">
        <f t="shared" si="550"/>
        <v>11.452821344809134</v>
      </c>
      <c r="V73" s="60">
        <f t="shared" si="550"/>
        <v>11.501496832307149</v>
      </c>
      <c r="W73" s="60">
        <f t="shared" si="550"/>
        <v>11.548894271963121</v>
      </c>
      <c r="X73" s="60">
        <f t="shared" si="550"/>
        <v>11.595176357656401</v>
      </c>
      <c r="Y73" s="60">
        <f t="shared" si="550"/>
        <v>11.571633661722389</v>
      </c>
      <c r="Z73" s="60">
        <f t="shared" si="550"/>
        <v>11.546189067281219</v>
      </c>
      <c r="AA73" s="60">
        <f t="shared" si="550"/>
        <v>11.518987907851406</v>
      </c>
      <c r="AB73" s="60">
        <f t="shared" si="550"/>
        <v>11.490199690193837</v>
      </c>
      <c r="AC73" s="60">
        <f t="shared" si="550"/>
        <v>11.460021176775562</v>
      </c>
      <c r="AD73" s="60">
        <f t="shared" si="550"/>
        <v>11.428679835994101</v>
      </c>
      <c r="AE73" s="60">
        <f t="shared" si="550"/>
        <v>11.396437703041506</v>
      </c>
      <c r="AF73" s="60">
        <f t="shared" si="550"/>
        <v>11.363595699216321</v>
      </c>
      <c r="AG73" s="60">
        <f t="shared" si="550"/>
        <v>11.330498462972901</v>
      </c>
      <c r="AH73" s="60">
        <f>AH26+AH37+AH44+AH53+AH60+AH66</f>
        <v>11.297539752091732</v>
      </c>
      <c r="AJ73" s="60">
        <f>AJ26+AJ37+AJ44+AJ53+AJ60+AJ66</f>
        <v>7.192774760698633</v>
      </c>
      <c r="AK73" s="60">
        <f t="shared" ref="AK73:BM73" si="551">AK26+AK37+AK44+AK53+AK60+AK66</f>
        <v>7.6504492341837835</v>
      </c>
      <c r="AL73" s="60">
        <f t="shared" si="551"/>
        <v>8.0755751535729505</v>
      </c>
      <c r="AM73" s="60">
        <f t="shared" si="551"/>
        <v>8.4981026058985272</v>
      </c>
      <c r="AN73" s="60">
        <f t="shared" si="551"/>
        <v>8.9180788628266754</v>
      </c>
      <c r="AO73" s="60">
        <f t="shared" si="551"/>
        <v>9.3355543901995546</v>
      </c>
      <c r="AP73" s="60">
        <f t="shared" si="551"/>
        <v>9.7505837590554574</v>
      </c>
      <c r="AQ73" s="60">
        <f t="shared" si="551"/>
        <v>10.163226479305358</v>
      </c>
      <c r="AR73" s="60">
        <f t="shared" si="551"/>
        <v>10.573547811575471</v>
      </c>
      <c r="AS73" s="60">
        <f t="shared" si="551"/>
        <v>10.981619593912734</v>
      </c>
      <c r="AT73" s="60">
        <f t="shared" si="551"/>
        <v>11.387521109659323</v>
      </c>
      <c r="AU73" s="60">
        <f t="shared" si="551"/>
        <v>11.524484773987227</v>
      </c>
      <c r="AV73" s="60">
        <f t="shared" si="551"/>
        <v>11.660985424273905</v>
      </c>
      <c r="AW73" s="60">
        <f t="shared" si="551"/>
        <v>11.797116514012911</v>
      </c>
      <c r="AX73" s="60">
        <f t="shared" si="551"/>
        <v>11.932982648895148</v>
      </c>
      <c r="AY73" s="60">
        <f t="shared" si="551"/>
        <v>12.068700867767793</v>
      </c>
      <c r="AZ73" s="60">
        <f t="shared" si="551"/>
        <v>12.185184804558935</v>
      </c>
      <c r="BA73" s="60">
        <f t="shared" si="551"/>
        <v>12.301923082393735</v>
      </c>
      <c r="BB73" s="60">
        <f t="shared" si="551"/>
        <v>12.419078361152263</v>
      </c>
      <c r="BC73" s="60">
        <f t="shared" si="551"/>
        <v>12.536832409273581</v>
      </c>
      <c r="BD73" s="60">
        <f t="shared" si="551"/>
        <v>12.655388297011482</v>
      </c>
      <c r="BE73" s="60">
        <f t="shared" si="551"/>
        <v>12.718774440990535</v>
      </c>
      <c r="BF73" s="60">
        <f t="shared" si="551"/>
        <v>12.782796480158336</v>
      </c>
      <c r="BG73" s="60">
        <f t="shared" si="551"/>
        <v>12.847690369349705</v>
      </c>
      <c r="BH73" s="60">
        <f t="shared" si="551"/>
        <v>12.913721906262214</v>
      </c>
      <c r="BI73" s="60">
        <f t="shared" si="551"/>
        <v>12.981190258717497</v>
      </c>
      <c r="BJ73" s="60">
        <f t="shared" si="551"/>
        <v>13.050431902314243</v>
      </c>
      <c r="BK73" s="60">
        <f t="shared" si="551"/>
        <v>13.121825016201605</v>
      </c>
      <c r="BL73" s="60">
        <f t="shared" si="551"/>
        <v>13.195794390271539</v>
      </c>
      <c r="BM73" s="60">
        <f t="shared" si="551"/>
        <v>13.272816903287591</v>
      </c>
      <c r="BN73" s="60">
        <f>BN26+BN37+BN44+BN53+BN60+BN66</f>
        <v>13.353427638413027</v>
      </c>
    </row>
    <row r="74" spans="1:66" x14ac:dyDescent="0.2">
      <c r="A74" s="682"/>
      <c r="B74" s="1" t="s">
        <v>247</v>
      </c>
      <c r="C74" s="54" t="s">
        <v>153</v>
      </c>
      <c r="D74" s="44">
        <f>D16</f>
        <v>28.065001267929215</v>
      </c>
      <c r="E74" s="44">
        <f t="shared" ref="E74:AH74" si="552">E16</f>
        <v>28.136286371149751</v>
      </c>
      <c r="F74" s="44">
        <f t="shared" si="552"/>
        <v>28.196004203447703</v>
      </c>
      <c r="G74" s="44">
        <f t="shared" si="552"/>
        <v>28.243584960541014</v>
      </c>
      <c r="H74" s="44">
        <f t="shared" si="552"/>
        <v>28.278438746237001</v>
      </c>
      <c r="I74" s="44">
        <f t="shared" si="552"/>
        <v>28.29995494963087</v>
      </c>
      <c r="J74" s="44">
        <f t="shared" si="552"/>
        <v>28.307501604284109</v>
      </c>
      <c r="K74" s="44">
        <f t="shared" si="552"/>
        <v>28.30042472888303</v>
      </c>
      <c r="L74" s="44">
        <f t="shared" si="552"/>
        <v>28.278047648864838</v>
      </c>
      <c r="M74" s="44">
        <f t="shared" si="552"/>
        <v>28.239670298484235</v>
      </c>
      <c r="N74" s="44">
        <f t="shared" si="552"/>
        <v>28.184568502779875</v>
      </c>
      <c r="O74" s="44">
        <f t="shared" si="552"/>
        <v>27.030762729697322</v>
      </c>
      <c r="P74" s="44">
        <f t="shared" si="552"/>
        <v>25.808972254315002</v>
      </c>
      <c r="Q74" s="44">
        <f t="shared" si="552"/>
        <v>24.516680143581084</v>
      </c>
      <c r="R74" s="44">
        <f t="shared" si="552"/>
        <v>23.151289649430872</v>
      </c>
      <c r="S74" s="44">
        <f t="shared" si="552"/>
        <v>21.710121868753799</v>
      </c>
      <c r="T74" s="44">
        <f t="shared" si="552"/>
        <v>20.190413337941031</v>
      </c>
      <c r="U74" s="44">
        <f t="shared" si="552"/>
        <v>18.589313560242303</v>
      </c>
      <c r="V74" s="44">
        <f t="shared" si="552"/>
        <v>16.903882464113668</v>
      </c>
      <c r="W74" s="44">
        <f t="shared" si="552"/>
        <v>15.131087790689747</v>
      </c>
      <c r="X74" s="44">
        <f t="shared" si="552"/>
        <v>13.26780240846481</v>
      </c>
      <c r="Y74" s="44">
        <f t="shared" si="552"/>
        <v>12.215665677473545</v>
      </c>
      <c r="Z74" s="44">
        <f t="shared" si="552"/>
        <v>11.108111989382607</v>
      </c>
      <c r="AA74" s="44">
        <f t="shared" si="552"/>
        <v>9.9431487444961135</v>
      </c>
      <c r="AB74" s="44">
        <f t="shared" si="552"/>
        <v>8.7187209991024446</v>
      </c>
      <c r="AC74" s="44">
        <f t="shared" si="552"/>
        <v>7.4327096517348323</v>
      </c>
      <c r="AD74" s="44">
        <f t="shared" si="552"/>
        <v>6.0829295789797868</v>
      </c>
      <c r="AE74" s="44">
        <f t="shared" si="552"/>
        <v>4.6671277194722407</v>
      </c>
      <c r="AF74" s="44">
        <f t="shared" si="552"/>
        <v>3.1829811046800671</v>
      </c>
      <c r="AG74" s="44">
        <f t="shared" si="552"/>
        <v>1.6280948350438535</v>
      </c>
      <c r="AH74" s="44">
        <f t="shared" si="552"/>
        <v>0</v>
      </c>
      <c r="AJ74" s="44">
        <f>AJ16</f>
        <v>28.065001267929215</v>
      </c>
      <c r="AK74" s="44">
        <f t="shared" ref="AK74:BN74" si="553">AK16</f>
        <v>28.136286371149751</v>
      </c>
      <c r="AL74" s="44">
        <f t="shared" si="553"/>
        <v>28.196004203447703</v>
      </c>
      <c r="AM74" s="44">
        <f t="shared" si="553"/>
        <v>28.243584960541014</v>
      </c>
      <c r="AN74" s="44">
        <f t="shared" si="553"/>
        <v>28.278438746237001</v>
      </c>
      <c r="AO74" s="44">
        <f t="shared" si="553"/>
        <v>28.29995494963087</v>
      </c>
      <c r="AP74" s="44">
        <f t="shared" si="553"/>
        <v>28.307501604284109</v>
      </c>
      <c r="AQ74" s="44">
        <f t="shared" si="553"/>
        <v>28.30042472888303</v>
      </c>
      <c r="AR74" s="44">
        <f t="shared" si="553"/>
        <v>28.278047648864838</v>
      </c>
      <c r="AS74" s="44">
        <f t="shared" si="553"/>
        <v>28.239670298484235</v>
      </c>
      <c r="AT74" s="44">
        <f t="shared" si="553"/>
        <v>28.184568502779875</v>
      </c>
      <c r="AU74" s="44">
        <f t="shared" si="553"/>
        <v>27.030762729697322</v>
      </c>
      <c r="AV74" s="44">
        <f t="shared" si="553"/>
        <v>25.808972254315002</v>
      </c>
      <c r="AW74" s="44">
        <f t="shared" si="553"/>
        <v>24.516680143581084</v>
      </c>
      <c r="AX74" s="44">
        <f t="shared" si="553"/>
        <v>23.151289649430872</v>
      </c>
      <c r="AY74" s="44">
        <f t="shared" si="553"/>
        <v>21.710121868753799</v>
      </c>
      <c r="AZ74" s="44">
        <f t="shared" si="553"/>
        <v>20.190413337941031</v>
      </c>
      <c r="BA74" s="44">
        <f t="shared" si="553"/>
        <v>18.589313560242303</v>
      </c>
      <c r="BB74" s="44">
        <f t="shared" si="553"/>
        <v>16.903882464113668</v>
      </c>
      <c r="BC74" s="44">
        <f t="shared" si="553"/>
        <v>15.131087790689747</v>
      </c>
      <c r="BD74" s="44">
        <f t="shared" si="553"/>
        <v>13.26780240846481</v>
      </c>
      <c r="BE74" s="44">
        <f t="shared" si="553"/>
        <v>12.215665677473545</v>
      </c>
      <c r="BF74" s="44">
        <f t="shared" si="553"/>
        <v>11.108111989382607</v>
      </c>
      <c r="BG74" s="44">
        <f t="shared" si="553"/>
        <v>9.9431487444961135</v>
      </c>
      <c r="BH74" s="44">
        <f t="shared" si="553"/>
        <v>8.7187209991024446</v>
      </c>
      <c r="BI74" s="44">
        <f t="shared" si="553"/>
        <v>7.4327096517348323</v>
      </c>
      <c r="BJ74" s="44">
        <f t="shared" si="553"/>
        <v>6.0829295789797868</v>
      </c>
      <c r="BK74" s="44">
        <f t="shared" si="553"/>
        <v>4.6671277194722407</v>
      </c>
      <c r="BL74" s="44">
        <f t="shared" si="553"/>
        <v>3.1829811046800671</v>
      </c>
      <c r="BM74" s="44">
        <f t="shared" si="553"/>
        <v>1.6280948350438535</v>
      </c>
      <c r="BN74" s="44">
        <f t="shared" si="553"/>
        <v>0</v>
      </c>
    </row>
    <row r="75" spans="1:66" s="68" customFormat="1" x14ac:dyDescent="0.2">
      <c r="A75" s="683"/>
      <c r="B75" s="62" t="s">
        <v>248</v>
      </c>
      <c r="C75" s="283" t="s">
        <v>153</v>
      </c>
      <c r="D75" s="284">
        <f>D28+D39+D46+D55+D62+D68</f>
        <v>35.70249067338905</v>
      </c>
      <c r="E75" s="284">
        <f t="shared" ref="E75:AH75" si="554">E28+E39+E46+E55+E62+E68</f>
        <v>38.799719614856365</v>
      </c>
      <c r="F75" s="284">
        <f t="shared" si="554"/>
        <v>41.810196473545339</v>
      </c>
      <c r="G75" s="284">
        <f t="shared" si="554"/>
        <v>44.761631289319006</v>
      </c>
      <c r="H75" s="284">
        <f t="shared" si="554"/>
        <v>47.654007783112014</v>
      </c>
      <c r="I75" s="284">
        <f t="shared" si="554"/>
        <v>50.487312025262959</v>
      </c>
      <c r="J75" s="284">
        <f t="shared" si="554"/>
        <v>53.261533574991866</v>
      </c>
      <c r="K75" s="284">
        <f t="shared" si="554"/>
        <v>55.976666443626513</v>
      </c>
      <c r="L75" s="284">
        <f t="shared" si="554"/>
        <v>58.632709967179281</v>
      </c>
      <c r="M75" s="284">
        <f t="shared" si="554"/>
        <v>61.229669642075571</v>
      </c>
      <c r="N75" s="284">
        <f t="shared" si="554"/>
        <v>63.767557959845426</v>
      </c>
      <c r="O75" s="284">
        <f t="shared" si="554"/>
        <v>63.936343858253615</v>
      </c>
      <c r="P75" s="284">
        <f t="shared" si="554"/>
        <v>64.074540820174917</v>
      </c>
      <c r="Q75" s="284">
        <f t="shared" si="554"/>
        <v>64.182085015260398</v>
      </c>
      <c r="R75" s="284">
        <f t="shared" si="554"/>
        <v>64.258921528610855</v>
      </c>
      <c r="S75" s="284">
        <f t="shared" si="554"/>
        <v>64.3050054611614</v>
      </c>
      <c r="T75" s="284">
        <f t="shared" si="554"/>
        <v>64.159653484332566</v>
      </c>
      <c r="U75" s="284">
        <f t="shared" si="554"/>
        <v>63.985899471738783</v>
      </c>
      <c r="V75" s="284">
        <f t="shared" si="554"/>
        <v>63.783739330914116</v>
      </c>
      <c r="W75" s="284">
        <f t="shared" si="554"/>
        <v>63.553184928425722</v>
      </c>
      <c r="X75" s="284">
        <f t="shared" si="554"/>
        <v>63.294265911253227</v>
      </c>
      <c r="Y75" s="284">
        <f t="shared" si="554"/>
        <v>62.512924677932105</v>
      </c>
      <c r="Z75" s="284">
        <f t="shared" si="554"/>
        <v>61.702566991335431</v>
      </c>
      <c r="AA75" s="284">
        <f t="shared" si="554"/>
        <v>60.863200650130686</v>
      </c>
      <c r="AB75" s="284">
        <f t="shared" si="554"/>
        <v>59.994862510558356</v>
      </c>
      <c r="AC75" s="284">
        <f t="shared" si="554"/>
        <v>59.097621881342242</v>
      </c>
      <c r="AD75" s="284">
        <f t="shared" si="554"/>
        <v>58.171584276472217</v>
      </c>
      <c r="AE75" s="284">
        <f t="shared" si="554"/>
        <v>57.21689556421336</v>
      </c>
      <c r="AF75" s="284">
        <f t="shared" si="554"/>
        <v>56.233746554965045</v>
      </c>
      <c r="AG75" s="284">
        <f t="shared" si="554"/>
        <v>55.22237807536343</v>
      </c>
      <c r="AH75" s="284">
        <f t="shared" si="554"/>
        <v>54.183086581359234</v>
      </c>
      <c r="AJ75" s="284">
        <f>AJ28+AJ39+AJ46+AJ55+AJ62+AJ68</f>
        <v>35.70249067338905</v>
      </c>
      <c r="AK75" s="284">
        <f t="shared" ref="AK75:BN75" si="555">AK28+AK39+AK46+AK55+AK62+AK68</f>
        <v>38.942993433819275</v>
      </c>
      <c r="AL75" s="284">
        <f t="shared" si="555"/>
        <v>42.119396758803695</v>
      </c>
      <c r="AM75" s="284">
        <f t="shared" si="555"/>
        <v>45.259259706384171</v>
      </c>
      <c r="AN75" s="284">
        <f t="shared" si="555"/>
        <v>48.362416200994254</v>
      </c>
      <c r="AO75" s="284">
        <f t="shared" si="555"/>
        <v>51.428701928350769</v>
      </c>
      <c r="AP75" s="284">
        <f t="shared" si="555"/>
        <v>54.45795427719839</v>
      </c>
      <c r="AQ75" s="284">
        <f t="shared" si="555"/>
        <v>57.450012456390297</v>
      </c>
      <c r="AR75" s="284">
        <f t="shared" si="555"/>
        <v>60.404717742615169</v>
      </c>
      <c r="AS75" s="284">
        <f t="shared" si="555"/>
        <v>63.321913834093934</v>
      </c>
      <c r="AT75" s="284">
        <f t="shared" si="555"/>
        <v>66.201447297291196</v>
      </c>
      <c r="AU75" s="284">
        <f t="shared" si="555"/>
        <v>66.691027591118058</v>
      </c>
      <c r="AV75" s="284">
        <f t="shared" si="555"/>
        <v>67.157142023437686</v>
      </c>
      <c r="AW75" s="284">
        <f t="shared" si="555"/>
        <v>67.599604875442239</v>
      </c>
      <c r="AX75" s="284">
        <f t="shared" si="555"/>
        <v>68.018234836309787</v>
      </c>
      <c r="AY75" s="284">
        <f t="shared" si="555"/>
        <v>68.412855923010113</v>
      </c>
      <c r="AZ75" s="284">
        <f t="shared" si="555"/>
        <v>68.6130757700559</v>
      </c>
      <c r="BA75" s="284">
        <f t="shared" si="555"/>
        <v>68.790149965909492</v>
      </c>
      <c r="BB75" s="284">
        <f t="shared" si="555"/>
        <v>68.943926045857182</v>
      </c>
      <c r="BC75" s="284">
        <f t="shared" si="555"/>
        <v>69.074261805090103</v>
      </c>
      <c r="BD75" s="284">
        <f t="shared" si="555"/>
        <v>69.181026873205809</v>
      </c>
      <c r="BE75" s="284">
        <f t="shared" si="555"/>
        <v>68.828447092465325</v>
      </c>
      <c r="BF75" s="284">
        <f t="shared" si="555"/>
        <v>68.451396296524862</v>
      </c>
      <c r="BG75" s="284">
        <f t="shared" si="555"/>
        <v>68.049739695525972</v>
      </c>
      <c r="BH75" s="284">
        <f t="shared" si="555"/>
        <v>67.623363354513003</v>
      </c>
      <c r="BI75" s="284">
        <f t="shared" si="555"/>
        <v>67.172177045262032</v>
      </c>
      <c r="BJ75" s="284">
        <f t="shared" si="555"/>
        <v>66.696117410016157</v>
      </c>
      <c r="BK75" s="284">
        <f t="shared" si="555"/>
        <v>66.195151470527819</v>
      </c>
      <c r="BL75" s="284">
        <f t="shared" si="555"/>
        <v>65.669280519434935</v>
      </c>
      <c r="BM75" s="284">
        <f t="shared" si="555"/>
        <v>65.118544435025427</v>
      </c>
      <c r="BN75" s="284">
        <f t="shared" si="555"/>
        <v>64.543026464931003</v>
      </c>
    </row>
    <row r="76" spans="1:66" x14ac:dyDescent="0.2">
      <c r="A76" s="512"/>
      <c r="C76" s="54"/>
      <c r="D76" s="44"/>
      <c r="E76" s="44"/>
      <c r="F76" s="44"/>
      <c r="G76" s="44"/>
      <c r="H76" s="44"/>
      <c r="I76" s="44"/>
      <c r="J76" s="44"/>
      <c r="K76" s="44"/>
      <c r="L76" s="44"/>
      <c r="M76" s="44"/>
      <c r="N76" s="44"/>
      <c r="O76" s="44"/>
      <c r="P76" s="44"/>
      <c r="Q76" s="44"/>
      <c r="R76" s="44"/>
      <c r="S76" s="44"/>
      <c r="T76" s="44"/>
      <c r="U76" s="44"/>
      <c r="V76" s="44"/>
      <c r="W76" s="44"/>
      <c r="X76" s="44"/>
      <c r="Y76" s="44"/>
      <c r="Z76" s="44"/>
      <c r="AA76" s="44"/>
      <c r="AB76" s="44"/>
      <c r="AC76" s="44"/>
      <c r="AD76" s="44"/>
      <c r="AE76" s="44"/>
      <c r="AF76" s="44"/>
      <c r="AG76" s="44"/>
      <c r="AH76" s="44"/>
      <c r="AJ76" s="44"/>
      <c r="AK76" s="44"/>
      <c r="AL76" s="44"/>
      <c r="AM76" s="44"/>
      <c r="AN76" s="44"/>
      <c r="AO76" s="44"/>
      <c r="AP76" s="44"/>
      <c r="AQ76" s="44"/>
      <c r="AR76" s="44"/>
      <c r="AS76" s="44"/>
      <c r="AT76" s="44"/>
      <c r="AU76" s="44"/>
      <c r="AV76" s="44"/>
      <c r="AW76" s="44"/>
      <c r="AX76" s="44"/>
      <c r="AY76" s="44"/>
      <c r="AZ76" s="44"/>
      <c r="BA76" s="44"/>
      <c r="BB76" s="44"/>
      <c r="BC76" s="44"/>
      <c r="BD76" s="44"/>
      <c r="BE76" s="44"/>
      <c r="BF76" s="44"/>
      <c r="BG76" s="44"/>
      <c r="BH76" s="44"/>
      <c r="BI76" s="44"/>
      <c r="BJ76" s="44"/>
      <c r="BK76" s="44"/>
      <c r="BL76" s="44"/>
      <c r="BM76" s="44"/>
      <c r="BN76" s="44"/>
    </row>
    <row r="77" spans="1:66" x14ac:dyDescent="0.2">
      <c r="A77" s="58" t="s">
        <v>216</v>
      </c>
      <c r="B77" s="58" t="s">
        <v>197</v>
      </c>
      <c r="C77" s="100" t="s">
        <v>153</v>
      </c>
      <c r="D77" s="101">
        <f t="shared" ref="D77:AH77" si="556">D36</f>
        <v>4.3918200345154137</v>
      </c>
      <c r="E77" s="101">
        <f t="shared" si="556"/>
        <v>4.4452405787109672</v>
      </c>
      <c r="F77" s="101">
        <f t="shared" si="556"/>
        <v>4.4992961014172312</v>
      </c>
      <c r="G77" s="101">
        <f t="shared" si="556"/>
        <v>4.5539939116058425</v>
      </c>
      <c r="H77" s="101">
        <f t="shared" si="556"/>
        <v>4.609341398443858</v>
      </c>
      <c r="I77" s="101">
        <f t="shared" si="556"/>
        <v>4.6653460321066635</v>
      </c>
      <c r="J77" s="101">
        <f t="shared" si="556"/>
        <v>4.7220153645979321</v>
      </c>
      <c r="K77" s="101">
        <f t="shared" si="556"/>
        <v>4.7793570305766631</v>
      </c>
      <c r="L77" s="101">
        <f t="shared" si="556"/>
        <v>4.8373787481913375</v>
      </c>
      <c r="M77" s="101">
        <f t="shared" si="556"/>
        <v>4.8960883199212297</v>
      </c>
      <c r="N77" s="101">
        <f t="shared" si="556"/>
        <v>4.9554936334249131</v>
      </c>
      <c r="O77" s="101">
        <f t="shared" si="556"/>
        <v>5.0034228949114326</v>
      </c>
      <c r="P77" s="101">
        <f t="shared" si="556"/>
        <v>5.0517228989674239</v>
      </c>
      <c r="Q77" s="101">
        <f t="shared" si="556"/>
        <v>5.1003946322495803</v>
      </c>
      <c r="R77" s="101">
        <f t="shared" si="556"/>
        <v>5.1494390363754388</v>
      </c>
      <c r="S77" s="101">
        <f t="shared" si="556"/>
        <v>5.1988570064689004</v>
      </c>
      <c r="T77" s="101">
        <f t="shared" si="556"/>
        <v>5.24864938967385</v>
      </c>
      <c r="U77" s="101">
        <f t="shared" si="556"/>
        <v>5.2988169836352697</v>
      </c>
      <c r="V77" s="101">
        <f t="shared" si="556"/>
        <v>5.3493605349472331</v>
      </c>
      <c r="W77" s="101">
        <f t="shared" si="556"/>
        <v>5.4002807375671402</v>
      </c>
      <c r="X77" s="101">
        <f t="shared" si="556"/>
        <v>5.4515782311955538</v>
      </c>
      <c r="Y77" s="101">
        <f t="shared" si="556"/>
        <v>5.5032124335299288</v>
      </c>
      <c r="Z77" s="101">
        <f t="shared" si="556"/>
        <v>5.5552238841963524</v>
      </c>
      <c r="AA77" s="101">
        <f t="shared" si="556"/>
        <v>5.6076130258444632</v>
      </c>
      <c r="AB77" s="101">
        <f t="shared" si="556"/>
        <v>5.6603802395774201</v>
      </c>
      <c r="AC77" s="101">
        <f t="shared" si="556"/>
        <v>5.7135258431418334</v>
      </c>
      <c r="AD77" s="101">
        <f t="shared" si="556"/>
        <v>5.7670500890790937</v>
      </c>
      <c r="AE77" s="101">
        <f t="shared" si="556"/>
        <v>5.8209531628373403</v>
      </c>
      <c r="AF77" s="101">
        <f t="shared" si="556"/>
        <v>5.8752351808433589</v>
      </c>
      <c r="AG77" s="101">
        <f t="shared" si="556"/>
        <v>5.9298961885336308</v>
      </c>
      <c r="AH77" s="101">
        <f t="shared" si="556"/>
        <v>5.9849361583437837</v>
      </c>
      <c r="AJ77" s="101">
        <f t="shared" ref="AJ77:BN77" si="557">AJ36</f>
        <v>4.3918200345154137</v>
      </c>
      <c r="AK77" s="101">
        <f t="shared" si="557"/>
        <v>4.4470311637924382</v>
      </c>
      <c r="AL77" s="101">
        <f t="shared" si="557"/>
        <v>4.5029274079624537</v>
      </c>
      <c r="AM77" s="101">
        <f t="shared" si="557"/>
        <v>4.5595171288611267</v>
      </c>
      <c r="AN77" s="101">
        <f t="shared" si="557"/>
        <v>4.6168087881730013</v>
      </c>
      <c r="AO77" s="101">
        <f t="shared" si="557"/>
        <v>4.6748109485883518</v>
      </c>
      <c r="AP77" s="101">
        <f t="shared" si="557"/>
        <v>4.7335322749728501</v>
      </c>
      <c r="AQ77" s="101">
        <f t="shared" si="557"/>
        <v>4.7929815355501919</v>
      </c>
      <c r="AR77" s="101">
        <f t="shared" si="557"/>
        <v>4.8531676030978046</v>
      </c>
      <c r="AS77" s="101">
        <f t="shared" si="557"/>
        <v>4.9140994561557827</v>
      </c>
      <c r="AT77" s="101">
        <f t="shared" si="557"/>
        <v>4.9757861802491758</v>
      </c>
      <c r="AU77" s="101">
        <f t="shared" si="557"/>
        <v>5.0291466661898152</v>
      </c>
      <c r="AV77" s="101">
        <f t="shared" si="557"/>
        <v>5.0830259916454654</v>
      </c>
      <c r="AW77" s="101">
        <f t="shared" si="557"/>
        <v>5.1374282254672998</v>
      </c>
      <c r="AX77" s="101">
        <f t="shared" si="557"/>
        <v>5.1923574487417836</v>
      </c>
      <c r="AY77" s="101">
        <f t="shared" si="557"/>
        <v>5.2478177543357605</v>
      </c>
      <c r="AZ77" s="101">
        <f t="shared" si="557"/>
        <v>5.3038132464264161</v>
      </c>
      <c r="BA77" s="101">
        <f t="shared" si="557"/>
        <v>5.3603480400157606</v>
      </c>
      <c r="BB77" s="101">
        <f t="shared" si="557"/>
        <v>5.4174262604293073</v>
      </c>
      <c r="BC77" s="101">
        <f t="shared" si="557"/>
        <v>5.4750520427985885</v>
      </c>
      <c r="BD77" s="101">
        <f t="shared" si="557"/>
        <v>5.5332295315271667</v>
      </c>
      <c r="BE77" s="101">
        <f t="shared" si="557"/>
        <v>5.5919944012037766</v>
      </c>
      <c r="BF77" s="101">
        <f t="shared" si="557"/>
        <v>5.6513201742431525</v>
      </c>
      <c r="BG77" s="101">
        <f t="shared" si="557"/>
        <v>5.7112110380249943</v>
      </c>
      <c r="BH77" s="101">
        <f t="shared" si="557"/>
        <v>5.7716711872385771</v>
      </c>
      <c r="BI77" s="101">
        <f t="shared" si="557"/>
        <v>5.8327048232666865</v>
      </c>
      <c r="BJ77" s="101">
        <f t="shared" si="557"/>
        <v>5.8943161535508839</v>
      </c>
      <c r="BK77" s="101">
        <f t="shared" si="557"/>
        <v>5.9565093909376792</v>
      </c>
      <c r="BL77" s="101">
        <f t="shared" si="557"/>
        <v>6.0192887530052088</v>
      </c>
      <c r="BM77" s="101">
        <f t="shared" si="557"/>
        <v>6.0826584613700065</v>
      </c>
      <c r="BN77" s="101">
        <f t="shared" si="557"/>
        <v>6.1466227409734282</v>
      </c>
    </row>
    <row r="78" spans="1:66" x14ac:dyDescent="0.2">
      <c r="A78"/>
      <c r="B78" t="s">
        <v>217</v>
      </c>
      <c r="C78" s="54" t="s">
        <v>153</v>
      </c>
      <c r="D78" s="44">
        <f>'Methanol Recycling HC'!C76</f>
        <v>0</v>
      </c>
      <c r="E78" s="44">
        <f>'Methanol Recycling HC'!D76</f>
        <v>1.3287147545683442E-2</v>
      </c>
      <c r="F78" s="44">
        <f>'Methanol Recycling HC'!E76</f>
        <v>2.6681738755498924E-2</v>
      </c>
      <c r="G78" s="44">
        <f>'Methanol Recycling HC'!F76</f>
        <v>4.00914558833185E-2</v>
      </c>
      <c r="H78" s="44">
        <f>'Methanol Recycling HC'!G76</f>
        <v>5.3420526045564465E-2</v>
      </c>
      <c r="I78" s="44">
        <f>'Methanol Recycling HC'!H76</f>
        <v>6.657085367641094E-2</v>
      </c>
      <c r="J78" s="44">
        <f>'Methanol Recycling HC'!I76</f>
        <v>7.9920133700581264E-2</v>
      </c>
      <c r="K78" s="44">
        <f>'Methanol Recycling HC'!J76</f>
        <v>9.3452852272517567E-2</v>
      </c>
      <c r="L78" s="44">
        <f>'Methanol Recycling HC'!K76</f>
        <v>0.10715275013751591</v>
      </c>
      <c r="M78" s="44">
        <f>'Methanol Recycling HC'!L76</f>
        <v>0.12100284766238006</v>
      </c>
      <c r="N78" s="44">
        <f>'Methanol Recycling HC'!M76</f>
        <v>0.13498547267625072</v>
      </c>
      <c r="O78" s="44">
        <f>'Methanol Recycling HC'!N76</f>
        <v>0.1581775134325491</v>
      </c>
      <c r="P78" s="44">
        <f>'Methanol Recycling HC'!O76</f>
        <v>0.18100671977208732</v>
      </c>
      <c r="Q78" s="44">
        <f>'Methanol Recycling HC'!P76</f>
        <v>0.20333731624672163</v>
      </c>
      <c r="R78" s="44">
        <f>'Methanol Recycling HC'!Q76</f>
        <v>0.22503518579501214</v>
      </c>
      <c r="S78" s="44">
        <f>'Methanol Recycling HC'!R76</f>
        <v>0.24596920130484118</v>
      </c>
      <c r="T78" s="44">
        <f>'Methanol Recycling HC'!S76</f>
        <v>0.26674694196834781</v>
      </c>
      <c r="U78" s="44">
        <f>'Methanol Recycling HC'!T76</f>
        <v>0.28735585679610054</v>
      </c>
      <c r="V78" s="44">
        <f>'Methanol Recycling HC'!U76</f>
        <v>0.30778341927037539</v>
      </c>
      <c r="W78" s="44">
        <f>'Methanol Recycling HC'!V76</f>
        <v>0.32801713771412888</v>
      </c>
      <c r="X78" s="44">
        <f>'Methanol Recycling HC'!W76</f>
        <v>0.3480445657295384</v>
      </c>
      <c r="Y78" s="44">
        <f>'Methanol Recycling HC'!X76</f>
        <v>0.3842798068229471</v>
      </c>
      <c r="Z78" s="44">
        <f>'Methanol Recycling HC'!Y76</f>
        <v>0.4201856377936059</v>
      </c>
      <c r="AA78" s="44">
        <f>'Methanol Recycling HC'!Z76</f>
        <v>0.45574138985979101</v>
      </c>
      <c r="AB78" s="44">
        <f>'Methanol Recycling HC'!AA76</f>
        <v>0.49092648971723091</v>
      </c>
      <c r="AC78" s="44">
        <f>'Methanol Recycling HC'!AB76</f>
        <v>0.52572047586192028</v>
      </c>
      <c r="AD78" s="44">
        <f>'Methanol Recycling HC'!AC76</f>
        <v>0.56010964913392991</v>
      </c>
      <c r="AE78" s="44">
        <f>'Methanol Recycling HC'!AD76</f>
        <v>0.59407479314128087</v>
      </c>
      <c r="AF78" s="44">
        <f>'Methanol Recycling HC'!AE76</f>
        <v>0.6275968288225815</v>
      </c>
      <c r="AG78" s="44">
        <f>'Methanol Recycling HC'!AF76</f>
        <v>0.66065682900464373</v>
      </c>
      <c r="AH78" s="44">
        <f>'Methanol Recycling HC'!AG76</f>
        <v>0.69323603297391001</v>
      </c>
      <c r="AJ78" s="44">
        <f>D78</f>
        <v>0</v>
      </c>
      <c r="AK78" s="44">
        <f t="shared" ref="AK78:BN79" si="558">E78</f>
        <v>1.3287147545683442E-2</v>
      </c>
      <c r="AL78" s="44">
        <f t="shared" si="558"/>
        <v>2.6681738755498924E-2</v>
      </c>
      <c r="AM78" s="44">
        <f t="shared" si="558"/>
        <v>4.00914558833185E-2</v>
      </c>
      <c r="AN78" s="44">
        <f t="shared" si="558"/>
        <v>5.3420526045564465E-2</v>
      </c>
      <c r="AO78" s="44">
        <f t="shared" si="558"/>
        <v>6.657085367641094E-2</v>
      </c>
      <c r="AP78" s="44">
        <f t="shared" si="558"/>
        <v>7.9920133700581264E-2</v>
      </c>
      <c r="AQ78" s="44">
        <f t="shared" si="558"/>
        <v>9.3452852272517567E-2</v>
      </c>
      <c r="AR78" s="44">
        <f t="shared" si="558"/>
        <v>0.10715275013751591</v>
      </c>
      <c r="AS78" s="44">
        <f t="shared" si="558"/>
        <v>0.12100284766238006</v>
      </c>
      <c r="AT78" s="44">
        <f t="shared" si="558"/>
        <v>0.13498547267625072</v>
      </c>
      <c r="AU78" s="44">
        <f t="shared" si="558"/>
        <v>0.1581775134325491</v>
      </c>
      <c r="AV78" s="44">
        <f t="shared" si="558"/>
        <v>0.18100671977208732</v>
      </c>
      <c r="AW78" s="44">
        <f t="shared" si="558"/>
        <v>0.20333731624672163</v>
      </c>
      <c r="AX78" s="44">
        <f t="shared" si="558"/>
        <v>0.22503518579501214</v>
      </c>
      <c r="AY78" s="44">
        <f t="shared" si="558"/>
        <v>0.24596920130484118</v>
      </c>
      <c r="AZ78" s="44">
        <f t="shared" si="558"/>
        <v>0.26674694196834781</v>
      </c>
      <c r="BA78" s="44">
        <f t="shared" si="558"/>
        <v>0.28735585679610054</v>
      </c>
      <c r="BB78" s="44">
        <f t="shared" si="558"/>
        <v>0.30778341927037539</v>
      </c>
      <c r="BC78" s="44">
        <f t="shared" si="558"/>
        <v>0.32801713771412888</v>
      </c>
      <c r="BD78" s="44">
        <f t="shared" si="558"/>
        <v>0.3480445657295384</v>
      </c>
      <c r="BE78" s="44">
        <f t="shared" si="558"/>
        <v>0.3842798068229471</v>
      </c>
      <c r="BF78" s="44">
        <f t="shared" si="558"/>
        <v>0.4201856377936059</v>
      </c>
      <c r="BG78" s="44">
        <f t="shared" si="558"/>
        <v>0.45574138985979101</v>
      </c>
      <c r="BH78" s="44">
        <f t="shared" si="558"/>
        <v>0.49092648971723091</v>
      </c>
      <c r="BI78" s="44">
        <f t="shared" si="558"/>
        <v>0.52572047586192028</v>
      </c>
      <c r="BJ78" s="44">
        <f t="shared" si="558"/>
        <v>0.56010964913392991</v>
      </c>
      <c r="BK78" s="44">
        <f t="shared" si="558"/>
        <v>0.59407479314128087</v>
      </c>
      <c r="BL78" s="44">
        <f t="shared" si="558"/>
        <v>0.6275968288225815</v>
      </c>
      <c r="BM78" s="44">
        <f t="shared" si="558"/>
        <v>0.66065682900464373</v>
      </c>
      <c r="BN78" s="44">
        <f t="shared" si="558"/>
        <v>0.69323603297391001</v>
      </c>
    </row>
    <row r="79" spans="1:66" x14ac:dyDescent="0.2">
      <c r="A79"/>
      <c r="B79" s="181" t="s">
        <v>218</v>
      </c>
      <c r="C79" s="54" t="s">
        <v>153</v>
      </c>
      <c r="D79" s="44">
        <f>'Methanol Recycling HC'!C157</f>
        <v>0</v>
      </c>
      <c r="E79" s="44">
        <f>'Methanol Recycling HC'!D157</f>
        <v>2.6140700394466552E-4</v>
      </c>
      <c r="F79" s="44">
        <f>'Methanol Recycling HC'!E157</f>
        <v>5.3032508858054253E-4</v>
      </c>
      <c r="G79" s="44">
        <f>'Methanol Recycling HC'!F157</f>
        <v>8.0409552391344074E-4</v>
      </c>
      <c r="H79" s="44">
        <f>'Methanol Recycling HC'!G157</f>
        <v>1.0798639516371902E-3</v>
      </c>
      <c r="I79" s="44">
        <f>'Methanol Recycling HC'!H157</f>
        <v>1.3546206600752065E-3</v>
      </c>
      <c r="J79" s="44">
        <f>'Methanol Recycling HC'!I157</f>
        <v>1.6307481652678916E-3</v>
      </c>
      <c r="K79" s="44">
        <f>'Methanol Recycling HC'!J157</f>
        <v>1.9068015607071902E-3</v>
      </c>
      <c r="L79" s="44">
        <f>'Methanol Recycling HC'!K157</f>
        <v>2.1812447087912468E-3</v>
      </c>
      <c r="M79" s="44">
        <f>'Methanol Recycling HC'!L157</f>
        <v>2.4524517574204801E-3</v>
      </c>
      <c r="N79" s="44">
        <f>'Methanol Recycling HC'!M157</f>
        <v>2.7187091048969138E-3</v>
      </c>
      <c r="O79" s="44">
        <f>'Methanol Recycling HC'!N157</f>
        <v>3.2605449382702408E-3</v>
      </c>
      <c r="P79" s="44">
        <f>'Methanol Recycling HC'!O157</f>
        <v>3.7841538177466119E-3</v>
      </c>
      <c r="Q79" s="44">
        <f>'Methanol Recycling HC'!P157</f>
        <v>4.2658289590222775E-3</v>
      </c>
      <c r="R79" s="44">
        <f>'Methanol Recycling HC'!Q157</f>
        <v>4.714132034878111E-3</v>
      </c>
      <c r="S79" s="44">
        <f>'Methanol Recycling HC'!R157</f>
        <v>5.1236615666716461E-3</v>
      </c>
      <c r="T79" s="44">
        <f>'Methanol Recycling HC'!S157</f>
        <v>5.5008749210772902E-3</v>
      </c>
      <c r="U79" s="44">
        <f>'Methanol Recycling HC'!T157</f>
        <v>5.8428557584825104E-3</v>
      </c>
      <c r="V79" s="44">
        <f>'Methanol Recycling HC'!U157</f>
        <v>6.1466496137017081E-3</v>
      </c>
      <c r="W79" s="44">
        <f>'Methanol Recycling HC'!V157</f>
        <v>6.4092670724820913E-3</v>
      </c>
      <c r="X79" s="44">
        <f>'Methanol Recycling HC'!W157</f>
        <v>6.6276870703913015E-3</v>
      </c>
      <c r="Y79" s="44">
        <f>'Methanol Recycling HC'!X157</f>
        <v>7.0937085853773956E-3</v>
      </c>
      <c r="Z79" s="44">
        <f>'Methanol Recycling HC'!Y157</f>
        <v>7.4866142310728431E-3</v>
      </c>
      <c r="AA79" s="44">
        <f>'Methanol Recycling HC'!Z157</f>
        <v>7.726444798150778E-3</v>
      </c>
      <c r="AB79" s="44">
        <f>'Methanol Recycling HC'!AA157</f>
        <v>7.8770829796090212E-3</v>
      </c>
      <c r="AC79" s="44">
        <f>'Methanol Recycling HC'!AB157</f>
        <v>7.9355266827668483E-3</v>
      </c>
      <c r="AD79" s="44">
        <f>'Methanol Recycling HC'!AC157</f>
        <v>7.8991224584153488E-3</v>
      </c>
      <c r="AE79" s="44">
        <f>'Methanol Recycling HC'!AD157</f>
        <v>7.7654161111195127E-3</v>
      </c>
      <c r="AF79" s="44">
        <f>'Methanol Recycling HC'!AE157</f>
        <v>7.532255653264811E-3</v>
      </c>
      <c r="AG79" s="44">
        <f>'Methanol Recycling HC'!AF157</f>
        <v>7.1978129398825178E-3</v>
      </c>
      <c r="AH79" s="44">
        <f>'Methanol Recycling HC'!AG157</f>
        <v>6.7606056524424996E-3</v>
      </c>
      <c r="AJ79" s="44">
        <f>D79</f>
        <v>0</v>
      </c>
      <c r="AK79" s="44">
        <f t="shared" si="558"/>
        <v>2.6140700394466552E-4</v>
      </c>
      <c r="AL79" s="44">
        <f t="shared" si="558"/>
        <v>5.3032508858054253E-4</v>
      </c>
      <c r="AM79" s="44">
        <f t="shared" si="558"/>
        <v>8.0409552391344074E-4</v>
      </c>
      <c r="AN79" s="44">
        <f t="shared" si="558"/>
        <v>1.0798639516371902E-3</v>
      </c>
      <c r="AO79" s="44">
        <f t="shared" si="558"/>
        <v>1.3546206600752065E-3</v>
      </c>
      <c r="AP79" s="44">
        <f t="shared" si="558"/>
        <v>1.6307481652678916E-3</v>
      </c>
      <c r="AQ79" s="44">
        <f t="shared" si="558"/>
        <v>1.9068015607071902E-3</v>
      </c>
      <c r="AR79" s="44">
        <f t="shared" si="558"/>
        <v>2.1812447087912468E-3</v>
      </c>
      <c r="AS79" s="44">
        <f t="shared" si="558"/>
        <v>2.4524517574204801E-3</v>
      </c>
      <c r="AT79" s="44">
        <f t="shared" si="558"/>
        <v>2.7187091048969138E-3</v>
      </c>
      <c r="AU79" s="44">
        <f t="shared" si="558"/>
        <v>3.2605449382702408E-3</v>
      </c>
      <c r="AV79" s="44">
        <f t="shared" si="558"/>
        <v>3.7841538177466119E-3</v>
      </c>
      <c r="AW79" s="44">
        <f t="shared" si="558"/>
        <v>4.2658289590222775E-3</v>
      </c>
      <c r="AX79" s="44">
        <f t="shared" si="558"/>
        <v>4.714132034878111E-3</v>
      </c>
      <c r="AY79" s="44">
        <f t="shared" si="558"/>
        <v>5.1236615666716461E-3</v>
      </c>
      <c r="AZ79" s="44">
        <f t="shared" si="558"/>
        <v>5.5008749210772902E-3</v>
      </c>
      <c r="BA79" s="44">
        <f t="shared" si="558"/>
        <v>5.8428557584825104E-3</v>
      </c>
      <c r="BB79" s="44">
        <f t="shared" si="558"/>
        <v>6.1466496137017081E-3</v>
      </c>
      <c r="BC79" s="44">
        <f t="shared" si="558"/>
        <v>6.4092670724820913E-3</v>
      </c>
      <c r="BD79" s="44">
        <f t="shared" si="558"/>
        <v>6.6276870703913015E-3</v>
      </c>
      <c r="BE79" s="44">
        <f t="shared" si="558"/>
        <v>7.0937085853773956E-3</v>
      </c>
      <c r="BF79" s="44">
        <f t="shared" si="558"/>
        <v>7.4866142310728431E-3</v>
      </c>
      <c r="BG79" s="44">
        <f t="shared" si="558"/>
        <v>7.726444798150778E-3</v>
      </c>
      <c r="BH79" s="44">
        <f t="shared" si="558"/>
        <v>7.8770829796090212E-3</v>
      </c>
      <c r="BI79" s="44">
        <f t="shared" si="558"/>
        <v>7.9355266827668483E-3</v>
      </c>
      <c r="BJ79" s="44">
        <f t="shared" si="558"/>
        <v>7.8991224584153488E-3</v>
      </c>
      <c r="BK79" s="44">
        <f t="shared" si="558"/>
        <v>7.7654161111195127E-3</v>
      </c>
      <c r="BL79" s="44">
        <f t="shared" si="558"/>
        <v>7.532255653264811E-3</v>
      </c>
      <c r="BM79" s="44">
        <f t="shared" si="558"/>
        <v>7.1978129398825178E-3</v>
      </c>
      <c r="BN79" s="44">
        <f t="shared" si="558"/>
        <v>6.7606056524424996E-3</v>
      </c>
    </row>
    <row r="80" spans="1:66" x14ac:dyDescent="0.2">
      <c r="A80" s="62"/>
      <c r="B80" s="62" t="s">
        <v>219</v>
      </c>
      <c r="C80" s="63" t="s">
        <v>153</v>
      </c>
      <c r="D80" s="64">
        <f>D77-D78-D79</f>
        <v>4.3918200345154137</v>
      </c>
      <c r="E80" s="64">
        <f t="shared" ref="E80:AG80" si="559">E77-E78-E79</f>
        <v>4.4316920241613396</v>
      </c>
      <c r="F80" s="64">
        <f t="shared" si="559"/>
        <v>4.4720840375731523</v>
      </c>
      <c r="G80" s="64">
        <f t="shared" si="559"/>
        <v>4.5130983601986108</v>
      </c>
      <c r="H80" s="64">
        <f t="shared" si="559"/>
        <v>4.5548410084466564</v>
      </c>
      <c r="I80" s="64">
        <f t="shared" si="559"/>
        <v>4.5974205577701772</v>
      </c>
      <c r="J80" s="64">
        <f t="shared" si="559"/>
        <v>4.6404644827320825</v>
      </c>
      <c r="K80" s="64">
        <f t="shared" si="559"/>
        <v>4.683997376743438</v>
      </c>
      <c r="L80" s="64">
        <f t="shared" si="559"/>
        <v>4.7280447533450305</v>
      </c>
      <c r="M80" s="64">
        <f t="shared" si="559"/>
        <v>4.7726330205014289</v>
      </c>
      <c r="N80" s="64">
        <f t="shared" si="559"/>
        <v>4.8177894516437654</v>
      </c>
      <c r="O80" s="64">
        <f t="shared" si="559"/>
        <v>4.8419848365406128</v>
      </c>
      <c r="P80" s="64">
        <f t="shared" si="559"/>
        <v>4.8669320253775901</v>
      </c>
      <c r="Q80" s="64">
        <f t="shared" si="559"/>
        <v>4.8927914870438363</v>
      </c>
      <c r="R80" s="64">
        <f t="shared" si="559"/>
        <v>4.9196897185455484</v>
      </c>
      <c r="S80" s="64">
        <f t="shared" si="559"/>
        <v>4.9477641435973876</v>
      </c>
      <c r="T80" s="64">
        <f t="shared" si="559"/>
        <v>4.9764015727844244</v>
      </c>
      <c r="U80" s="64">
        <f t="shared" si="559"/>
        <v>5.0056182710806869</v>
      </c>
      <c r="V80" s="64">
        <f t="shared" si="559"/>
        <v>5.0354304660631559</v>
      </c>
      <c r="W80" s="64">
        <f t="shared" si="559"/>
        <v>5.0658543327805292</v>
      </c>
      <c r="X80" s="64">
        <f t="shared" si="559"/>
        <v>5.0969059783956236</v>
      </c>
      <c r="Y80" s="64">
        <f t="shared" si="559"/>
        <v>5.1118389181216042</v>
      </c>
      <c r="Z80" s="64">
        <f t="shared" si="559"/>
        <v>5.1275516321716736</v>
      </c>
      <c r="AA80" s="64">
        <f t="shared" si="559"/>
        <v>5.1441451911865208</v>
      </c>
      <c r="AB80" s="64">
        <f t="shared" si="559"/>
        <v>5.1615766668805803</v>
      </c>
      <c r="AC80" s="64">
        <f t="shared" si="559"/>
        <v>5.1798698405971466</v>
      </c>
      <c r="AD80" s="64">
        <f t="shared" si="559"/>
        <v>5.1990413174867491</v>
      </c>
      <c r="AE80" s="64">
        <f t="shared" si="559"/>
        <v>5.2191129535849399</v>
      </c>
      <c r="AF80" s="64">
        <f t="shared" si="559"/>
        <v>5.2401060963675121</v>
      </c>
      <c r="AG80" s="64">
        <f t="shared" si="559"/>
        <v>5.2620415465891046</v>
      </c>
      <c r="AH80" s="64">
        <f>AH77-AH78-AH79</f>
        <v>5.2849395197174305</v>
      </c>
      <c r="AJ80" s="64">
        <f>AJ77-AJ78-AJ79</f>
        <v>4.3918200345154137</v>
      </c>
      <c r="AK80" s="64">
        <f t="shared" ref="AK80:BM80" si="560">AK77-AK78-AK79</f>
        <v>4.4334826092428106</v>
      </c>
      <c r="AL80" s="64">
        <f t="shared" si="560"/>
        <v>4.4757153441183748</v>
      </c>
      <c r="AM80" s="64">
        <f t="shared" si="560"/>
        <v>4.5186215774538949</v>
      </c>
      <c r="AN80" s="64">
        <f t="shared" si="560"/>
        <v>4.5623083981757997</v>
      </c>
      <c r="AO80" s="64">
        <f t="shared" si="560"/>
        <v>4.6068854742518655</v>
      </c>
      <c r="AP80" s="64">
        <f t="shared" si="560"/>
        <v>4.6519813931070013</v>
      </c>
      <c r="AQ80" s="64">
        <f t="shared" si="560"/>
        <v>4.6976218817169668</v>
      </c>
      <c r="AR80" s="64">
        <f t="shared" si="560"/>
        <v>4.7438336082514976</v>
      </c>
      <c r="AS80" s="64">
        <f t="shared" si="560"/>
        <v>4.7906441567359819</v>
      </c>
      <c r="AT80" s="64">
        <f t="shared" si="560"/>
        <v>4.8380819984680281</v>
      </c>
      <c r="AU80" s="64">
        <f t="shared" si="560"/>
        <v>4.8677086078189955</v>
      </c>
      <c r="AV80" s="64">
        <f t="shared" si="560"/>
        <v>4.8982351180556316</v>
      </c>
      <c r="AW80" s="64">
        <f t="shared" si="560"/>
        <v>4.9298250802615557</v>
      </c>
      <c r="AX80" s="64">
        <f t="shared" si="560"/>
        <v>4.9626081309118932</v>
      </c>
      <c r="AY80" s="64">
        <f t="shared" si="560"/>
        <v>4.9967248914642477</v>
      </c>
      <c r="AZ80" s="64">
        <f t="shared" si="560"/>
        <v>5.0315654295369905</v>
      </c>
      <c r="BA80" s="64">
        <f t="shared" si="560"/>
        <v>5.0671493274611779</v>
      </c>
      <c r="BB80" s="64">
        <f t="shared" si="560"/>
        <v>5.1034961915452302</v>
      </c>
      <c r="BC80" s="64">
        <f t="shared" si="560"/>
        <v>5.1406256380119775</v>
      </c>
      <c r="BD80" s="64">
        <f t="shared" si="560"/>
        <v>5.1785572787272365</v>
      </c>
      <c r="BE80" s="64">
        <f t="shared" si="560"/>
        <v>5.2006208857954519</v>
      </c>
      <c r="BF80" s="64">
        <f t="shared" si="560"/>
        <v>5.2236479222184737</v>
      </c>
      <c r="BG80" s="64">
        <f t="shared" si="560"/>
        <v>5.2477432033670519</v>
      </c>
      <c r="BH80" s="64">
        <f t="shared" si="560"/>
        <v>5.2728676145417372</v>
      </c>
      <c r="BI80" s="64">
        <f t="shared" si="560"/>
        <v>5.2990488207219997</v>
      </c>
      <c r="BJ80" s="64">
        <f t="shared" si="560"/>
        <v>5.3263073819585394</v>
      </c>
      <c r="BK80" s="64">
        <f t="shared" si="560"/>
        <v>5.3546691816852787</v>
      </c>
      <c r="BL80" s="64">
        <f t="shared" si="560"/>
        <v>5.384159668529362</v>
      </c>
      <c r="BM80" s="64">
        <f t="shared" si="560"/>
        <v>5.4148038194254804</v>
      </c>
      <c r="BN80" s="64">
        <f>BN77-BN78-BN79</f>
        <v>5.4466261023470759</v>
      </c>
    </row>
    <row r="81" spans="1:66" s="67" customFormat="1" x14ac:dyDescent="0.2">
      <c r="A81" s="681"/>
      <c r="B81" s="58" t="s">
        <v>246</v>
      </c>
      <c r="C81" s="59" t="s">
        <v>153</v>
      </c>
      <c r="D81" s="60">
        <f>D37</f>
        <v>0.73643027914893988</v>
      </c>
      <c r="E81" s="60">
        <f t="shared" ref="E81:AH82" si="561">E37</f>
        <v>0.72772619399642657</v>
      </c>
      <c r="F81" s="60">
        <f t="shared" si="561"/>
        <v>0.72159175512418217</v>
      </c>
      <c r="G81" s="60">
        <f t="shared" si="561"/>
        <v>0.71750740612738029</v>
      </c>
      <c r="H81" s="60">
        <f t="shared" si="561"/>
        <v>0.71509192065136584</v>
      </c>
      <c r="I81" s="60">
        <f t="shared" si="561"/>
        <v>0.71405946450609326</v>
      </c>
      <c r="J81" s="60">
        <f t="shared" si="561"/>
        <v>0.7141917250395714</v>
      </c>
      <c r="K81" s="60">
        <f t="shared" si="561"/>
        <v>0.7153192805611619</v>
      </c>
      <c r="L81" s="60">
        <f t="shared" si="561"/>
        <v>0.71730882337955626</v>
      </c>
      <c r="M81" s="60">
        <f t="shared" si="561"/>
        <v>0.72005419788693237</v>
      </c>
      <c r="N81" s="60">
        <f t="shared" si="561"/>
        <v>0.72346998805643592</v>
      </c>
      <c r="O81" s="60">
        <f t="shared" si="561"/>
        <v>0.73296612958093521</v>
      </c>
      <c r="P81" s="60">
        <f t="shared" si="561"/>
        <v>0.74267608851259459</v>
      </c>
      <c r="Q81" s="60">
        <f t="shared" si="561"/>
        <v>0.7526057462630209</v>
      </c>
      <c r="R81" s="60">
        <f t="shared" si="561"/>
        <v>0.76276132274158548</v>
      </c>
      <c r="S81" s="60">
        <f t="shared" si="561"/>
        <v>0.77314939134326344</v>
      </c>
      <c r="T81" s="60">
        <f t="shared" si="561"/>
        <v>0.78436832679228718</v>
      </c>
      <c r="U81" s="60">
        <f t="shared" si="561"/>
        <v>0.79585253554076651</v>
      </c>
      <c r="V81" s="60">
        <f t="shared" si="561"/>
        <v>0.80761131736428526</v>
      </c>
      <c r="W81" s="60">
        <f t="shared" si="561"/>
        <v>0.81965447634874011</v>
      </c>
      <c r="X81" s="60">
        <f t="shared" si="561"/>
        <v>0.83199235280647588</v>
      </c>
      <c r="Y81" s="60">
        <f t="shared" si="561"/>
        <v>0.8459392090375113</v>
      </c>
      <c r="Z81" s="60">
        <f t="shared" si="561"/>
        <v>0.86026992360318832</v>
      </c>
      <c r="AA81" s="60">
        <f t="shared" si="561"/>
        <v>0.87500151634425927</v>
      </c>
      <c r="AB81" s="60">
        <f t="shared" si="561"/>
        <v>0.89015206534531366</v>
      </c>
      <c r="AC81" s="60">
        <f t="shared" si="561"/>
        <v>0.90574079024955123</v>
      </c>
      <c r="AD81" s="60">
        <f t="shared" si="561"/>
        <v>0.92178814357210048</v>
      </c>
      <c r="AE81" s="60">
        <f t="shared" si="561"/>
        <v>0.93831591092137767</v>
      </c>
      <c r="AF81" s="60">
        <f t="shared" si="561"/>
        <v>0.95534732115820908</v>
      </c>
      <c r="AG81" s="60">
        <f t="shared" si="561"/>
        <v>0.97290716766079188</v>
      </c>
      <c r="AH81" s="60">
        <f t="shared" si="561"/>
        <v>0.99102194202322291</v>
      </c>
      <c r="AJ81" s="60">
        <f>AJ37</f>
        <v>0.73643027914893988</v>
      </c>
      <c r="AK81" s="60">
        <f t="shared" ref="AK81:BN81" si="562">AK37</f>
        <v>0.72801932901202193</v>
      </c>
      <c r="AL81" s="60">
        <f t="shared" si="562"/>
        <v>0.722174139747087</v>
      </c>
      <c r="AM81" s="60">
        <f t="shared" si="562"/>
        <v>0.71837762013364348</v>
      </c>
      <c r="AN81" s="60">
        <f t="shared" si="562"/>
        <v>0.71625040938154938</v>
      </c>
      <c r="AO81" s="60">
        <f t="shared" si="562"/>
        <v>0.71550812729509061</v>
      </c>
      <c r="AP81" s="60">
        <f t="shared" si="562"/>
        <v>0.71593362578590436</v>
      </c>
      <c r="AQ81" s="60">
        <f t="shared" si="562"/>
        <v>0.71735844001991678</v>
      </c>
      <c r="AR81" s="60">
        <f t="shared" si="562"/>
        <v>0.71965006757915562</v>
      </c>
      <c r="AS81" s="60">
        <f t="shared" si="562"/>
        <v>0.7227030459891276</v>
      </c>
      <c r="AT81" s="60">
        <f t="shared" si="562"/>
        <v>0.72643256851654592</v>
      </c>
      <c r="AU81" s="60">
        <f t="shared" si="562"/>
        <v>0.73673448046155277</v>
      </c>
      <c r="AV81" s="60">
        <f t="shared" si="562"/>
        <v>0.74727809438136994</v>
      </c>
      <c r="AW81" s="60">
        <f t="shared" si="562"/>
        <v>0.75807036166438446</v>
      </c>
      <c r="AX81" s="60">
        <f t="shared" si="562"/>
        <v>0.76911861811983395</v>
      </c>
      <c r="AY81" s="60">
        <f t="shared" si="562"/>
        <v>0.7804306018797087</v>
      </c>
      <c r="AZ81" s="60">
        <f t="shared" si="562"/>
        <v>0.79261212034907269</v>
      </c>
      <c r="BA81" s="60">
        <f t="shared" si="562"/>
        <v>0.80509415445044996</v>
      </c>
      <c r="BB81" s="60">
        <f t="shared" si="562"/>
        <v>0.81788743352149917</v>
      </c>
      <c r="BC81" s="60">
        <f t="shared" si="562"/>
        <v>0.83100326320144069</v>
      </c>
      <c r="BD81" s="60">
        <f t="shared" si="562"/>
        <v>0.84445356212818612</v>
      </c>
      <c r="BE81" s="60">
        <f t="shared" si="562"/>
        <v>0.85958653746939495</v>
      </c>
      <c r="BF81" s="60">
        <f t="shared" si="562"/>
        <v>0.87515118668464364</v>
      </c>
      <c r="BG81" s="60">
        <f t="shared" si="562"/>
        <v>0.89116675765646003</v>
      </c>
      <c r="BH81" s="60">
        <f t="shared" si="562"/>
        <v>0.90765369292540921</v>
      </c>
      <c r="BI81" s="60">
        <f t="shared" si="562"/>
        <v>0.92463372372056918</v>
      </c>
      <c r="BJ81" s="60">
        <f t="shared" si="562"/>
        <v>0.94212997301646917</v>
      </c>
      <c r="BK81" s="60">
        <f t="shared" si="562"/>
        <v>0.96016706864294854</v>
      </c>
      <c r="BL81" s="60">
        <f t="shared" si="562"/>
        <v>0.97877126761005806</v>
      </c>
      <c r="BM81" s="60">
        <f t="shared" si="562"/>
        <v>0.99797059296628887</v>
      </c>
      <c r="BN81" s="60">
        <f t="shared" si="562"/>
        <v>1.0177949846885721</v>
      </c>
    </row>
    <row r="82" spans="1:66" x14ac:dyDescent="0.2">
      <c r="A82" s="682"/>
      <c r="B82" s="1" t="s">
        <v>247</v>
      </c>
      <c r="C82" s="54" t="s">
        <v>153</v>
      </c>
      <c r="D82" s="44">
        <f t="shared" ref="D82:S82" si="563">D38</f>
        <v>0</v>
      </c>
      <c r="E82" s="44">
        <f t="shared" si="563"/>
        <v>0</v>
      </c>
      <c r="F82" s="44">
        <f t="shared" si="563"/>
        <v>0</v>
      </c>
      <c r="G82" s="44">
        <f t="shared" si="563"/>
        <v>0</v>
      </c>
      <c r="H82" s="44">
        <f t="shared" si="563"/>
        <v>0</v>
      </c>
      <c r="I82" s="44">
        <f t="shared" si="563"/>
        <v>0</v>
      </c>
      <c r="J82" s="44">
        <f t="shared" si="563"/>
        <v>0</v>
      </c>
      <c r="K82" s="44">
        <f t="shared" si="563"/>
        <v>0</v>
      </c>
      <c r="L82" s="44">
        <f t="shared" si="563"/>
        <v>0</v>
      </c>
      <c r="M82" s="44">
        <f t="shared" si="563"/>
        <v>0</v>
      </c>
      <c r="N82" s="44">
        <f t="shared" si="563"/>
        <v>0</v>
      </c>
      <c r="O82" s="44">
        <f t="shared" si="563"/>
        <v>0</v>
      </c>
      <c r="P82" s="44">
        <f t="shared" si="563"/>
        <v>0</v>
      </c>
      <c r="Q82" s="44">
        <f t="shared" si="563"/>
        <v>0</v>
      </c>
      <c r="R82" s="44">
        <f t="shared" si="563"/>
        <v>0</v>
      </c>
      <c r="S82" s="44">
        <f t="shared" si="563"/>
        <v>0</v>
      </c>
      <c r="T82" s="44">
        <f t="shared" si="561"/>
        <v>0</v>
      </c>
      <c r="U82" s="44">
        <f t="shared" si="561"/>
        <v>0</v>
      </c>
      <c r="V82" s="44">
        <f t="shared" si="561"/>
        <v>0</v>
      </c>
      <c r="W82" s="44">
        <f t="shared" si="561"/>
        <v>0</v>
      </c>
      <c r="X82" s="44">
        <f t="shared" si="561"/>
        <v>0</v>
      </c>
      <c r="Y82" s="44">
        <f t="shared" si="561"/>
        <v>0</v>
      </c>
      <c r="Z82" s="44">
        <f t="shared" si="561"/>
        <v>0</v>
      </c>
      <c r="AA82" s="44">
        <f t="shared" si="561"/>
        <v>0</v>
      </c>
      <c r="AB82" s="44">
        <f t="shared" si="561"/>
        <v>0</v>
      </c>
      <c r="AC82" s="44">
        <f t="shared" si="561"/>
        <v>0</v>
      </c>
      <c r="AD82" s="44">
        <f t="shared" si="561"/>
        <v>0</v>
      </c>
      <c r="AE82" s="44">
        <f t="shared" si="561"/>
        <v>0</v>
      </c>
      <c r="AF82" s="44">
        <f t="shared" si="561"/>
        <v>0</v>
      </c>
      <c r="AG82" s="44">
        <f t="shared" si="561"/>
        <v>0</v>
      </c>
      <c r="AH82" s="44">
        <f t="shared" si="561"/>
        <v>0</v>
      </c>
      <c r="AJ82" s="44">
        <f t="shared" ref="AJ82:BN82" si="564">AJ38</f>
        <v>0</v>
      </c>
      <c r="AK82" s="44">
        <f t="shared" si="564"/>
        <v>0</v>
      </c>
      <c r="AL82" s="44">
        <f t="shared" si="564"/>
        <v>0</v>
      </c>
      <c r="AM82" s="44">
        <f t="shared" si="564"/>
        <v>0</v>
      </c>
      <c r="AN82" s="44">
        <f t="shared" si="564"/>
        <v>0</v>
      </c>
      <c r="AO82" s="44">
        <f t="shared" si="564"/>
        <v>0</v>
      </c>
      <c r="AP82" s="44">
        <f t="shared" si="564"/>
        <v>0</v>
      </c>
      <c r="AQ82" s="44">
        <f t="shared" si="564"/>
        <v>0</v>
      </c>
      <c r="AR82" s="44">
        <f t="shared" si="564"/>
        <v>0</v>
      </c>
      <c r="AS82" s="44">
        <f t="shared" si="564"/>
        <v>0</v>
      </c>
      <c r="AT82" s="44">
        <f t="shared" si="564"/>
        <v>0</v>
      </c>
      <c r="AU82" s="44">
        <f t="shared" si="564"/>
        <v>0</v>
      </c>
      <c r="AV82" s="44">
        <f t="shared" si="564"/>
        <v>0</v>
      </c>
      <c r="AW82" s="44">
        <f t="shared" si="564"/>
        <v>0</v>
      </c>
      <c r="AX82" s="44">
        <f t="shared" si="564"/>
        <v>0</v>
      </c>
      <c r="AY82" s="44">
        <f t="shared" si="564"/>
        <v>0</v>
      </c>
      <c r="AZ82" s="44">
        <f t="shared" si="564"/>
        <v>0</v>
      </c>
      <c r="BA82" s="44">
        <f t="shared" si="564"/>
        <v>0</v>
      </c>
      <c r="BB82" s="44">
        <f t="shared" si="564"/>
        <v>0</v>
      </c>
      <c r="BC82" s="44">
        <f t="shared" si="564"/>
        <v>0</v>
      </c>
      <c r="BD82" s="44">
        <f t="shared" si="564"/>
        <v>0</v>
      </c>
      <c r="BE82" s="44">
        <f t="shared" si="564"/>
        <v>0</v>
      </c>
      <c r="BF82" s="44">
        <f t="shared" si="564"/>
        <v>0</v>
      </c>
      <c r="BG82" s="44">
        <f t="shared" si="564"/>
        <v>0</v>
      </c>
      <c r="BH82" s="44">
        <f t="shared" si="564"/>
        <v>0</v>
      </c>
      <c r="BI82" s="44">
        <f t="shared" si="564"/>
        <v>0</v>
      </c>
      <c r="BJ82" s="44">
        <f t="shared" si="564"/>
        <v>0</v>
      </c>
      <c r="BK82" s="44">
        <f t="shared" si="564"/>
        <v>0</v>
      </c>
      <c r="BL82" s="44">
        <f t="shared" si="564"/>
        <v>0</v>
      </c>
      <c r="BM82" s="44">
        <f t="shared" si="564"/>
        <v>0</v>
      </c>
      <c r="BN82" s="44">
        <f t="shared" si="564"/>
        <v>0</v>
      </c>
    </row>
    <row r="83" spans="1:66" s="68" customFormat="1" x14ac:dyDescent="0.2">
      <c r="A83" s="683"/>
      <c r="B83" s="62" t="s">
        <v>248</v>
      </c>
      <c r="C83" s="283" t="s">
        <v>153</v>
      </c>
      <c r="D83" s="284">
        <f>D39-(D77-D80)</f>
        <v>3.6553897553664738</v>
      </c>
      <c r="E83" s="284">
        <f t="shared" ref="E83:AH83" si="565">E39-(E77-E80)</f>
        <v>3.7039658301649125</v>
      </c>
      <c r="F83" s="284">
        <f t="shared" si="565"/>
        <v>3.7504922824489704</v>
      </c>
      <c r="G83" s="284">
        <f t="shared" si="565"/>
        <v>3.7955909540712303</v>
      </c>
      <c r="H83" s="284">
        <f t="shared" si="565"/>
        <v>3.8397490877952904</v>
      </c>
      <c r="I83" s="284">
        <f t="shared" si="565"/>
        <v>3.8833610932640839</v>
      </c>
      <c r="J83" s="284">
        <f t="shared" si="565"/>
        <v>3.9262727576925114</v>
      </c>
      <c r="K83" s="284">
        <f t="shared" si="565"/>
        <v>3.9686780961822761</v>
      </c>
      <c r="L83" s="284">
        <f t="shared" si="565"/>
        <v>4.0107359299654748</v>
      </c>
      <c r="M83" s="284">
        <f t="shared" si="565"/>
        <v>4.052578822614497</v>
      </c>
      <c r="N83" s="284">
        <f t="shared" si="565"/>
        <v>4.094319463587329</v>
      </c>
      <c r="O83" s="284">
        <f t="shared" si="565"/>
        <v>4.1090187069596773</v>
      </c>
      <c r="P83" s="284">
        <f t="shared" si="565"/>
        <v>4.1242559368649951</v>
      </c>
      <c r="Q83" s="284">
        <f t="shared" si="565"/>
        <v>4.1401857407808151</v>
      </c>
      <c r="R83" s="284">
        <f t="shared" si="565"/>
        <v>4.1569283958039627</v>
      </c>
      <c r="S83" s="284">
        <f t="shared" si="565"/>
        <v>4.1746147522541239</v>
      </c>
      <c r="T83" s="284">
        <f t="shared" si="565"/>
        <v>4.1920332459921372</v>
      </c>
      <c r="U83" s="284">
        <f t="shared" si="565"/>
        <v>4.2097657355399205</v>
      </c>
      <c r="V83" s="284">
        <f t="shared" si="565"/>
        <v>4.2278191486988712</v>
      </c>
      <c r="W83" s="284">
        <f t="shared" si="565"/>
        <v>4.2461998564317884</v>
      </c>
      <c r="X83" s="284">
        <f t="shared" si="565"/>
        <v>4.2649136255891475</v>
      </c>
      <c r="Y83" s="284">
        <f t="shared" si="565"/>
        <v>4.2658997090840929</v>
      </c>
      <c r="Z83" s="284">
        <f t="shared" si="565"/>
        <v>4.2672817085684853</v>
      </c>
      <c r="AA83" s="284">
        <f t="shared" si="565"/>
        <v>4.2691436748422618</v>
      </c>
      <c r="AB83" s="284">
        <f t="shared" si="565"/>
        <v>4.2714246015352666</v>
      </c>
      <c r="AC83" s="284">
        <f t="shared" si="565"/>
        <v>4.2741290503475957</v>
      </c>
      <c r="AD83" s="284">
        <f t="shared" si="565"/>
        <v>4.2772531739146489</v>
      </c>
      <c r="AE83" s="284">
        <f t="shared" si="565"/>
        <v>4.2807970426635622</v>
      </c>
      <c r="AF83" s="284">
        <f t="shared" si="565"/>
        <v>4.284758775209303</v>
      </c>
      <c r="AG83" s="284">
        <f t="shared" si="565"/>
        <v>4.2891343789283134</v>
      </c>
      <c r="AH83" s="284">
        <f t="shared" si="565"/>
        <v>4.2939175776942076</v>
      </c>
      <c r="AJ83" s="284">
        <f>AJ39-(AJ77-AJ80)</f>
        <v>3.6553897553664738</v>
      </c>
      <c r="AK83" s="284">
        <f t="shared" ref="AK83:BM83" si="566">AK39-(AK77-AK80)</f>
        <v>3.7054632802307883</v>
      </c>
      <c r="AL83" s="284">
        <f t="shared" si="566"/>
        <v>3.7535412043712877</v>
      </c>
      <c r="AM83" s="284">
        <f t="shared" si="566"/>
        <v>3.8002439573202511</v>
      </c>
      <c r="AN83" s="284">
        <f t="shared" si="566"/>
        <v>3.8460579887942505</v>
      </c>
      <c r="AO83" s="284">
        <f t="shared" si="566"/>
        <v>3.8913773469567747</v>
      </c>
      <c r="AP83" s="284">
        <f t="shared" si="566"/>
        <v>3.9360477673210976</v>
      </c>
      <c r="AQ83" s="284">
        <f t="shared" si="566"/>
        <v>3.9802634416970495</v>
      </c>
      <c r="AR83" s="284">
        <f t="shared" si="566"/>
        <v>4.0241835406723423</v>
      </c>
      <c r="AS83" s="284">
        <f t="shared" si="566"/>
        <v>4.0679411107468546</v>
      </c>
      <c r="AT83" s="284">
        <f t="shared" si="566"/>
        <v>4.1116494299514823</v>
      </c>
      <c r="AU83" s="284">
        <f t="shared" si="566"/>
        <v>4.130974127357443</v>
      </c>
      <c r="AV83" s="284">
        <f t="shared" si="566"/>
        <v>4.1509570236742617</v>
      </c>
      <c r="AW83" s="284">
        <f t="shared" si="566"/>
        <v>4.1717547185971711</v>
      </c>
      <c r="AX83" s="284">
        <f t="shared" si="566"/>
        <v>4.1934895127920591</v>
      </c>
      <c r="AY83" s="284">
        <f t="shared" si="566"/>
        <v>4.216294289584539</v>
      </c>
      <c r="AZ83" s="284">
        <f t="shared" si="566"/>
        <v>4.2389533091879175</v>
      </c>
      <c r="BA83" s="284">
        <f t="shared" si="566"/>
        <v>4.2620551730107286</v>
      </c>
      <c r="BB83" s="284">
        <f t="shared" si="566"/>
        <v>4.2856087580237316</v>
      </c>
      <c r="BC83" s="284">
        <f t="shared" si="566"/>
        <v>4.3096223748105364</v>
      </c>
      <c r="BD83" s="284">
        <f t="shared" si="566"/>
        <v>4.3341037165990501</v>
      </c>
      <c r="BE83" s="284">
        <f t="shared" si="566"/>
        <v>4.3410343483260565</v>
      </c>
      <c r="BF83" s="284">
        <f t="shared" si="566"/>
        <v>4.3484967355338302</v>
      </c>
      <c r="BG83" s="284">
        <f t="shared" si="566"/>
        <v>4.3565764457105924</v>
      </c>
      <c r="BH83" s="284">
        <f t="shared" si="566"/>
        <v>4.3652139216163279</v>
      </c>
      <c r="BI83" s="284">
        <f t="shared" si="566"/>
        <v>4.3744150970014308</v>
      </c>
      <c r="BJ83" s="284">
        <f t="shared" si="566"/>
        <v>4.3841774089420706</v>
      </c>
      <c r="BK83" s="284">
        <f t="shared" si="566"/>
        <v>4.3945021130423303</v>
      </c>
      <c r="BL83" s="284">
        <f t="shared" si="566"/>
        <v>4.4053884009193043</v>
      </c>
      <c r="BM83" s="284">
        <f t="shared" si="566"/>
        <v>4.4168332264591923</v>
      </c>
      <c r="BN83" s="284">
        <f>BN39-(BN77-BN80)</f>
        <v>4.428831117658504</v>
      </c>
    </row>
    <row r="84" spans="1:66" x14ac:dyDescent="0.2">
      <c r="A84" s="58" t="s">
        <v>220</v>
      </c>
      <c r="B84" s="58" t="s">
        <v>197</v>
      </c>
      <c r="C84" s="100" t="s">
        <v>153</v>
      </c>
      <c r="D84" s="101">
        <f t="shared" ref="D84:AH84" si="567">D25</f>
        <v>7.4818743268684171</v>
      </c>
      <c r="E84" s="101">
        <f t="shared" si="567"/>
        <v>7.5831131874628763</v>
      </c>
      <c r="F84" s="101">
        <f t="shared" si="567"/>
        <v>7.6854647577582647</v>
      </c>
      <c r="G84" s="101">
        <f t="shared" si="567"/>
        <v>7.7889347703057616</v>
      </c>
      <c r="H84" s="101">
        <f t="shared" si="567"/>
        <v>7.8935287826838669</v>
      </c>
      <c r="I84" s="101">
        <f t="shared" si="567"/>
        <v>7.9992521690714211</v>
      </c>
      <c r="J84" s="101">
        <f t="shared" si="567"/>
        <v>8.1061101115706968</v>
      </c>
      <c r="K84" s="101">
        <f t="shared" si="567"/>
        <v>8.214107591274308</v>
      </c>
      <c r="L84" s="101">
        <f t="shared" si="567"/>
        <v>8.3232493790694289</v>
      </c>
      <c r="M84" s="101">
        <f t="shared" si="567"/>
        <v>8.4335400261728086</v>
      </c>
      <c r="N84" s="101">
        <f t="shared" si="567"/>
        <v>8.5449838543897414</v>
      </c>
      <c r="O84" s="101">
        <f t="shared" si="567"/>
        <v>8.583300126274187</v>
      </c>
      <c r="P84" s="101">
        <f t="shared" si="567"/>
        <v>8.6189658459714309</v>
      </c>
      <c r="Q84" s="101">
        <f t="shared" si="567"/>
        <v>8.6518545966178841</v>
      </c>
      <c r="R84" s="101">
        <f t="shared" si="567"/>
        <v>8.6818360003665003</v>
      </c>
      <c r="S84" s="101">
        <f t="shared" si="567"/>
        <v>8.7087756129578757</v>
      </c>
      <c r="T84" s="101">
        <f t="shared" si="567"/>
        <v>8.7325348157275773</v>
      </c>
      <c r="U84" s="101">
        <f t="shared" si="567"/>
        <v>8.7529707049908509</v>
      </c>
      <c r="V84" s="101">
        <f t="shared" si="567"/>
        <v>8.7699359787446554</v>
      </c>
      <c r="W84" s="101">
        <f t="shared" si="567"/>
        <v>8.7832788206255685</v>
      </c>
      <c r="X84" s="101">
        <f t="shared" si="567"/>
        <v>8.792842781060795</v>
      </c>
      <c r="Y84" s="101">
        <f t="shared" si="567"/>
        <v>8.5968017938375798</v>
      </c>
      <c r="Z84" s="101">
        <f t="shared" si="567"/>
        <v>8.3894467812391706</v>
      </c>
      <c r="AA84" s="101">
        <f t="shared" si="567"/>
        <v>8.1704138947439411</v>
      </c>
      <c r="AB84" s="101">
        <f t="shared" si="567"/>
        <v>7.9393295756662923</v>
      </c>
      <c r="AC84" s="101">
        <f t="shared" si="567"/>
        <v>7.6958103198091452</v>
      </c>
      <c r="AD84" s="101">
        <f t="shared" si="567"/>
        <v>7.439462436744849</v>
      </c>
      <c r="AE84" s="101">
        <f t="shared" si="567"/>
        <v>7.1698818036068754</v>
      </c>
      <c r="AF84" s="101">
        <f t="shared" si="567"/>
        <v>6.8866536132721858</v>
      </c>
      <c r="AG84" s="101">
        <f t="shared" si="567"/>
        <v>6.5893521168116269</v>
      </c>
      <c r="AH84" s="101">
        <f t="shared" si="567"/>
        <v>6.2775403600831012</v>
      </c>
      <c r="AJ84" s="101">
        <f t="shared" ref="AJ84:BN84" si="568">AJ25</f>
        <v>7.4818743268684171</v>
      </c>
      <c r="AK84" s="101">
        <f t="shared" si="568"/>
        <v>7.6036987551344533</v>
      </c>
      <c r="AL84" s="101">
        <f t="shared" si="568"/>
        <v>7.7274193773416595</v>
      </c>
      <c r="AM84" s="101">
        <f t="shared" si="568"/>
        <v>7.8530640360503003</v>
      </c>
      <c r="AN84" s="101">
        <f t="shared" si="568"/>
        <v>7.9806609483144744</v>
      </c>
      <c r="AO84" s="101">
        <f t="shared" si="568"/>
        <v>8.1102387099578177</v>
      </c>
      <c r="AP84" s="101">
        <f t="shared" si="568"/>
        <v>8.2418262998793423</v>
      </c>
      <c r="AQ84" s="101">
        <f t="shared" si="568"/>
        <v>8.3754530843891324</v>
      </c>
      <c r="AR84" s="101">
        <f t="shared" si="568"/>
        <v>8.5111488215735047</v>
      </c>
      <c r="AS84" s="101">
        <f t="shared" si="568"/>
        <v>8.6489436656893108</v>
      </c>
      <c r="AT84" s="101">
        <f t="shared" si="568"/>
        <v>8.7888681715869126</v>
      </c>
      <c r="AU84" s="101">
        <f t="shared" si="568"/>
        <v>8.9073201676080469</v>
      </c>
      <c r="AV84" s="101">
        <f t="shared" si="568"/>
        <v>9.0265176460436365</v>
      </c>
      <c r="AW84" s="101">
        <f t="shared" si="568"/>
        <v>9.1464391083255929</v>
      </c>
      <c r="AX84" s="101">
        <f t="shared" si="568"/>
        <v>9.2670618950802659</v>
      </c>
      <c r="AY84" s="101">
        <f t="shared" si="568"/>
        <v>9.388362149229156</v>
      </c>
      <c r="AZ84" s="101">
        <f t="shared" si="568"/>
        <v>9.5103147781085919</v>
      </c>
      <c r="BA84" s="101">
        <f t="shared" si="568"/>
        <v>9.6328934145845757</v>
      </c>
      <c r="BB84" s="101">
        <f t="shared" si="568"/>
        <v>9.7560703771385313</v>
      </c>
      <c r="BC84" s="101">
        <f t="shared" si="568"/>
        <v>9.8798166288991176</v>
      </c>
      <c r="BD84" s="101">
        <f t="shared" si="568"/>
        <v>10.004101735594681</v>
      </c>
      <c r="BE84" s="101">
        <f t="shared" si="568"/>
        <v>10.017401558066727</v>
      </c>
      <c r="BF84" s="101">
        <f t="shared" si="568"/>
        <v>10.027208638978298</v>
      </c>
      <c r="BG84" s="101">
        <f t="shared" si="568"/>
        <v>10.033382467715551</v>
      </c>
      <c r="BH84" s="101">
        <f t="shared" si="568"/>
        <v>10.035778461172306</v>
      </c>
      <c r="BI84" s="101">
        <f t="shared" si="568"/>
        <v>10.034247860715782</v>
      </c>
      <c r="BJ84" s="101">
        <f t="shared" si="568"/>
        <v>10.028637626738139</v>
      </c>
      <c r="BK84" s="101">
        <f t="shared" si="568"/>
        <v>10.018790330739975</v>
      </c>
      <c r="BL84" s="101">
        <f t="shared" si="568"/>
        <v>10.004544044890842</v>
      </c>
      <c r="BM84" s="101">
        <f t="shared" si="568"/>
        <v>9.9857322290106332</v>
      </c>
      <c r="BN84" s="101">
        <f t="shared" si="568"/>
        <v>9.9621836149144869</v>
      </c>
    </row>
    <row r="85" spans="1:66" x14ac:dyDescent="0.2">
      <c r="A85"/>
      <c r="B85" t="s">
        <v>217</v>
      </c>
      <c r="C85" s="54" t="s">
        <v>153</v>
      </c>
      <c r="D85" s="44">
        <f>'Methanol Recycling HC'!C141</f>
        <v>0</v>
      </c>
      <c r="E85" s="44">
        <f>'Methanol Recycling HC'!D141</f>
        <v>4.7734390132554802E-4</v>
      </c>
      <c r="F85" s="44">
        <f>'Methanol Recycling HC'!E141</f>
        <v>1.1100629497215676E-3</v>
      </c>
      <c r="G85" s="44">
        <f>'Methanol Recycling HC'!F141</f>
        <v>1.912692445122603E-3</v>
      </c>
      <c r="H85" s="44">
        <f>'Methanol Recycling HC'!G141</f>
        <v>2.8985316234754871E-3</v>
      </c>
      <c r="I85" s="44">
        <f>'Methanol Recycling HC'!H141</f>
        <v>4.0792976178794758E-3</v>
      </c>
      <c r="J85" s="44">
        <f>'Methanol Recycling HC'!I141</f>
        <v>5.4780253026382496E-3</v>
      </c>
      <c r="K85" s="44">
        <f>'Methanol Recycling HC'!J141</f>
        <v>7.1127061400412988E-3</v>
      </c>
      <c r="L85" s="44">
        <f>'Methanol Recycling HC'!K141</f>
        <v>9.0018322306941456E-3</v>
      </c>
      <c r="M85" s="44">
        <f>'Methanol Recycling HC'!L141</f>
        <v>1.1164357373803991E-2</v>
      </c>
      <c r="N85" s="44">
        <f>'Methanol Recycling HC'!M141</f>
        <v>1.3619654315806242E-2</v>
      </c>
      <c r="O85" s="44">
        <f>'Methanol Recycling HC'!N141</f>
        <v>1.7621214751372176E-2</v>
      </c>
      <c r="P85" s="44">
        <f>'Methanol Recycling HC'!O141</f>
        <v>2.2181182215903032E-2</v>
      </c>
      <c r="Q85" s="44">
        <f>'Methanol Recycling HC'!P141</f>
        <v>2.7220324754938921E-2</v>
      </c>
      <c r="R85" s="44">
        <f>'Methanol Recycling HC'!Q141</f>
        <v>3.2805458854925557E-2</v>
      </c>
      <c r="S85" s="44">
        <f>'Methanol Recycling HC'!R141</f>
        <v>3.8935660822019214E-2</v>
      </c>
      <c r="T85" s="44">
        <f>'Methanol Recycling HC'!S141</f>
        <v>4.5687328500377912E-2</v>
      </c>
      <c r="U85" s="44">
        <f>'Methanol Recycling HC'!T141</f>
        <v>5.3086821350328578E-2</v>
      </c>
      <c r="V85" s="44">
        <f>'Methanol Recycling HC'!U141</f>
        <v>6.1160570076848955E-2</v>
      </c>
      <c r="W85" s="44">
        <f>'Methanol Recycling HC'!V141</f>
        <v>6.9935043466158031E-2</v>
      </c>
      <c r="X85" s="44">
        <f>'Methanol Recycling HC'!W141</f>
        <v>7.9436714330012981E-2</v>
      </c>
      <c r="Y85" s="44">
        <f>'Methanol Recycling HC'!X141</f>
        <v>9.3141371372721021E-2</v>
      </c>
      <c r="Z85" s="44">
        <f>'Methanol Recycling HC'!Y141</f>
        <v>0.10805464679886059</v>
      </c>
      <c r="AA85" s="44">
        <f>'Methanol Recycling HC'!Z141</f>
        <v>0.12314945500945841</v>
      </c>
      <c r="AB85" s="44">
        <f>'Methanol Recycling HC'!AA141</f>
        <v>0.1392119899048011</v>
      </c>
      <c r="AC85" s="44">
        <f>'Methanol Recycling HC'!AB141</f>
        <v>0.15623959220803144</v>
      </c>
      <c r="AD85" s="44">
        <f>'Methanol Recycling HC'!AC141</f>
        <v>0.17422753646091316</v>
      </c>
      <c r="AE85" s="44">
        <f>'Methanol Recycling HC'!AD141</f>
        <v>0.19316606927458682</v>
      </c>
      <c r="AF85" s="44">
        <f>'Methanol Recycling HC'!AE141</f>
        <v>0.21304138142953377</v>
      </c>
      <c r="AG85" s="44">
        <f>'Methanol Recycling HC'!AF141</f>
        <v>0.23383540882800968</v>
      </c>
      <c r="AH85" s="44">
        <f>'Methanol Recycling HC'!AG141</f>
        <v>0.2555256315734305</v>
      </c>
      <c r="AI85" s="44"/>
      <c r="AJ85" s="44">
        <f>D85</f>
        <v>0</v>
      </c>
      <c r="AK85" s="44">
        <f t="shared" ref="AK85:BN85" si="569">E85</f>
        <v>4.7734390132554802E-4</v>
      </c>
      <c r="AL85" s="44">
        <f t="shared" si="569"/>
        <v>1.1100629497215676E-3</v>
      </c>
      <c r="AM85" s="44">
        <f t="shared" si="569"/>
        <v>1.912692445122603E-3</v>
      </c>
      <c r="AN85" s="44">
        <f t="shared" si="569"/>
        <v>2.8985316234754871E-3</v>
      </c>
      <c r="AO85" s="44">
        <f t="shared" si="569"/>
        <v>4.0792976178794758E-3</v>
      </c>
      <c r="AP85" s="44">
        <f t="shared" si="569"/>
        <v>5.4780253026382496E-3</v>
      </c>
      <c r="AQ85" s="44">
        <f t="shared" si="569"/>
        <v>7.1127061400412988E-3</v>
      </c>
      <c r="AR85" s="44">
        <f t="shared" si="569"/>
        <v>9.0018322306941456E-3</v>
      </c>
      <c r="AS85" s="44">
        <f t="shared" si="569"/>
        <v>1.1164357373803991E-2</v>
      </c>
      <c r="AT85" s="44">
        <f t="shared" si="569"/>
        <v>1.3619654315806242E-2</v>
      </c>
      <c r="AU85" s="44">
        <f t="shared" si="569"/>
        <v>1.7621214751372176E-2</v>
      </c>
      <c r="AV85" s="44">
        <f t="shared" si="569"/>
        <v>2.2181182215903032E-2</v>
      </c>
      <c r="AW85" s="44">
        <f t="shared" si="569"/>
        <v>2.7220324754938921E-2</v>
      </c>
      <c r="AX85" s="44">
        <f t="shared" si="569"/>
        <v>3.2805458854925557E-2</v>
      </c>
      <c r="AY85" s="44">
        <f t="shared" si="569"/>
        <v>3.8935660822019214E-2</v>
      </c>
      <c r="AZ85" s="44">
        <f t="shared" si="569"/>
        <v>4.5687328500377912E-2</v>
      </c>
      <c r="BA85" s="44">
        <f t="shared" si="569"/>
        <v>5.3086821350328578E-2</v>
      </c>
      <c r="BB85" s="44">
        <f t="shared" si="569"/>
        <v>6.1160570076848955E-2</v>
      </c>
      <c r="BC85" s="44">
        <f t="shared" si="569"/>
        <v>6.9935043466158031E-2</v>
      </c>
      <c r="BD85" s="44">
        <f t="shared" si="569"/>
        <v>7.9436714330012981E-2</v>
      </c>
      <c r="BE85" s="44">
        <f t="shared" si="569"/>
        <v>9.3141371372721021E-2</v>
      </c>
      <c r="BF85" s="44">
        <f t="shared" si="569"/>
        <v>0.10805464679886059</v>
      </c>
      <c r="BG85" s="44">
        <f t="shared" si="569"/>
        <v>0.12314945500945841</v>
      </c>
      <c r="BH85" s="44">
        <f t="shared" si="569"/>
        <v>0.1392119899048011</v>
      </c>
      <c r="BI85" s="44">
        <f t="shared" si="569"/>
        <v>0.15623959220803144</v>
      </c>
      <c r="BJ85" s="44">
        <f t="shared" si="569"/>
        <v>0.17422753646091316</v>
      </c>
      <c r="BK85" s="44">
        <f t="shared" si="569"/>
        <v>0.19316606927458682</v>
      </c>
      <c r="BL85" s="44">
        <f t="shared" si="569"/>
        <v>0.21304138142953377</v>
      </c>
      <c r="BM85" s="44">
        <f t="shared" si="569"/>
        <v>0.23383540882800968</v>
      </c>
      <c r="BN85" s="44">
        <f t="shared" si="569"/>
        <v>0.2555256315734305</v>
      </c>
    </row>
    <row r="86" spans="1:66" x14ac:dyDescent="0.2">
      <c r="A86" s="62"/>
      <c r="B86" s="62" t="s">
        <v>219</v>
      </c>
      <c r="C86" s="63" t="s">
        <v>153</v>
      </c>
      <c r="D86" s="64">
        <f>D84-D85</f>
        <v>7.4818743268684171</v>
      </c>
      <c r="E86" s="64">
        <f t="shared" ref="E86:AG86" si="570">E84-E85</f>
        <v>7.5826358435615511</v>
      </c>
      <c r="F86" s="64">
        <f t="shared" si="570"/>
        <v>7.6843546948085431</v>
      </c>
      <c r="G86" s="64">
        <f t="shared" si="570"/>
        <v>7.7870220778606392</v>
      </c>
      <c r="H86" s="64">
        <f t="shared" si="570"/>
        <v>7.8906302510603918</v>
      </c>
      <c r="I86" s="64">
        <f t="shared" si="570"/>
        <v>7.9951728714535415</v>
      </c>
      <c r="J86" s="64">
        <f t="shared" si="570"/>
        <v>8.1006320862680585</v>
      </c>
      <c r="K86" s="64">
        <f t="shared" si="570"/>
        <v>8.2069948851342662</v>
      </c>
      <c r="L86" s="64">
        <f t="shared" si="570"/>
        <v>8.3142475468387342</v>
      </c>
      <c r="M86" s="64">
        <f t="shared" si="570"/>
        <v>8.4223756687990043</v>
      </c>
      <c r="N86" s="64">
        <f t="shared" si="570"/>
        <v>8.531364200073936</v>
      </c>
      <c r="O86" s="64">
        <f t="shared" si="570"/>
        <v>8.5656789115228147</v>
      </c>
      <c r="P86" s="64">
        <f t="shared" si="570"/>
        <v>8.5967846637555283</v>
      </c>
      <c r="Q86" s="64">
        <f t="shared" si="570"/>
        <v>8.624634271862945</v>
      </c>
      <c r="R86" s="64">
        <f t="shared" si="570"/>
        <v>8.6490305415115749</v>
      </c>
      <c r="S86" s="64">
        <f t="shared" si="570"/>
        <v>8.669839952135856</v>
      </c>
      <c r="T86" s="64">
        <f t="shared" si="570"/>
        <v>8.6868474872271992</v>
      </c>
      <c r="U86" s="64">
        <f t="shared" si="570"/>
        <v>8.6998838836405223</v>
      </c>
      <c r="V86" s="64">
        <f t="shared" si="570"/>
        <v>8.7087754086678064</v>
      </c>
      <c r="W86" s="64">
        <f t="shared" si="570"/>
        <v>8.7133437771594107</v>
      </c>
      <c r="X86" s="64">
        <f t="shared" si="570"/>
        <v>8.7134060667307818</v>
      </c>
      <c r="Y86" s="64">
        <f t="shared" si="570"/>
        <v>8.5036604224648595</v>
      </c>
      <c r="Z86" s="64">
        <f t="shared" si="570"/>
        <v>8.2813921344403099</v>
      </c>
      <c r="AA86" s="64">
        <f t="shared" si="570"/>
        <v>8.0472644397344819</v>
      </c>
      <c r="AB86" s="64">
        <f t="shared" si="570"/>
        <v>7.8001175857614911</v>
      </c>
      <c r="AC86" s="64">
        <f t="shared" si="570"/>
        <v>7.5395707276011139</v>
      </c>
      <c r="AD86" s="64">
        <f t="shared" si="570"/>
        <v>7.2652349002839358</v>
      </c>
      <c r="AE86" s="64">
        <f t="shared" si="570"/>
        <v>6.9767157343322888</v>
      </c>
      <c r="AF86" s="64">
        <f t="shared" si="570"/>
        <v>6.6736122318426521</v>
      </c>
      <c r="AG86" s="64">
        <f t="shared" si="570"/>
        <v>6.3555167079836172</v>
      </c>
      <c r="AH86" s="64">
        <f>AH84-AH85</f>
        <v>6.0220147285096708</v>
      </c>
      <c r="AJ86" s="64">
        <f>AJ84-AJ85</f>
        <v>7.4818743268684171</v>
      </c>
      <c r="AK86" s="64">
        <f t="shared" ref="AK86:BN86" si="571">AK84-AK85</f>
        <v>7.603221411233128</v>
      </c>
      <c r="AL86" s="64">
        <f t="shared" si="571"/>
        <v>7.7263093143919379</v>
      </c>
      <c r="AM86" s="64">
        <f t="shared" si="571"/>
        <v>7.8511513436051779</v>
      </c>
      <c r="AN86" s="64">
        <f t="shared" si="571"/>
        <v>7.9777624166909993</v>
      </c>
      <c r="AO86" s="64">
        <f t="shared" si="571"/>
        <v>8.1061594123399381</v>
      </c>
      <c r="AP86" s="64">
        <f t="shared" si="571"/>
        <v>8.236348274576704</v>
      </c>
      <c r="AQ86" s="64">
        <f t="shared" si="571"/>
        <v>8.3683403782490906</v>
      </c>
      <c r="AR86" s="64">
        <f t="shared" si="571"/>
        <v>8.5021469893428101</v>
      </c>
      <c r="AS86" s="64">
        <f t="shared" si="571"/>
        <v>8.6377793083155066</v>
      </c>
      <c r="AT86" s="64">
        <f t="shared" si="571"/>
        <v>8.7752485172711072</v>
      </c>
      <c r="AU86" s="64">
        <f t="shared" si="571"/>
        <v>8.8896989528566746</v>
      </c>
      <c r="AV86" s="64">
        <f t="shared" si="571"/>
        <v>9.0043364638277339</v>
      </c>
      <c r="AW86" s="64">
        <f t="shared" si="571"/>
        <v>9.1192187835706537</v>
      </c>
      <c r="AX86" s="64">
        <f t="shared" si="571"/>
        <v>9.2342564362253405</v>
      </c>
      <c r="AY86" s="64">
        <f t="shared" si="571"/>
        <v>9.3494264884071363</v>
      </c>
      <c r="AZ86" s="64">
        <f t="shared" si="571"/>
        <v>9.4646274496082139</v>
      </c>
      <c r="BA86" s="64">
        <f t="shared" si="571"/>
        <v>9.5798065932342471</v>
      </c>
      <c r="BB86" s="64">
        <f t="shared" si="571"/>
        <v>9.6949098070616824</v>
      </c>
      <c r="BC86" s="64">
        <f t="shared" si="571"/>
        <v>9.8098815854329597</v>
      </c>
      <c r="BD86" s="64">
        <f t="shared" si="571"/>
        <v>9.9246650212646674</v>
      </c>
      <c r="BE86" s="64">
        <f t="shared" si="571"/>
        <v>9.9242601866940063</v>
      </c>
      <c r="BF86" s="64">
        <f t="shared" si="571"/>
        <v>9.9191539921794369</v>
      </c>
      <c r="BG86" s="64">
        <f t="shared" si="571"/>
        <v>9.910233012706092</v>
      </c>
      <c r="BH86" s="64">
        <f t="shared" si="571"/>
        <v>9.896566471267505</v>
      </c>
      <c r="BI86" s="64">
        <f t="shared" si="571"/>
        <v>9.8780082685077506</v>
      </c>
      <c r="BJ86" s="64">
        <f t="shared" si="571"/>
        <v>9.8544100902772254</v>
      </c>
      <c r="BK86" s="64">
        <f t="shared" si="571"/>
        <v>9.8256242614653875</v>
      </c>
      <c r="BL86" s="64">
        <f t="shared" si="571"/>
        <v>9.7915026634613085</v>
      </c>
      <c r="BM86" s="64">
        <f t="shared" si="571"/>
        <v>9.7518968201826226</v>
      </c>
      <c r="BN86" s="64">
        <f t="shared" si="571"/>
        <v>9.7066579833410565</v>
      </c>
    </row>
    <row r="87" spans="1:66" s="67" customFormat="1" x14ac:dyDescent="0.2">
      <c r="A87" s="681"/>
      <c r="B87" s="58" t="s">
        <v>246</v>
      </c>
      <c r="C87" s="59" t="s">
        <v>153</v>
      </c>
      <c r="D87" s="60">
        <f>D26</f>
        <v>1.2545775454801726</v>
      </c>
      <c r="E87" s="60">
        <f t="shared" ref="E87:AH87" si="572">E26</f>
        <v>1.2414243955625697</v>
      </c>
      <c r="F87" s="60">
        <f t="shared" si="572"/>
        <v>1.2325856930707395</v>
      </c>
      <c r="G87" s="60">
        <f t="shared" si="572"/>
        <v>1.227190569863273</v>
      </c>
      <c r="H87" s="60">
        <f t="shared" si="572"/>
        <v>1.2245998224023709</v>
      </c>
      <c r="I87" s="60">
        <f t="shared" si="572"/>
        <v>1.2243339895877101</v>
      </c>
      <c r="J87" s="60">
        <f t="shared" si="572"/>
        <v>1.2260266680509488</v>
      </c>
      <c r="K87" s="60">
        <f t="shared" si="572"/>
        <v>1.2293933043820691</v>
      </c>
      <c r="L87" s="60">
        <f t="shared" si="572"/>
        <v>1.2342097920339983</v>
      </c>
      <c r="M87" s="60">
        <f t="shared" si="572"/>
        <v>1.2402974583168669</v>
      </c>
      <c r="N87" s="60">
        <f t="shared" si="572"/>
        <v>1.2475123215535568</v>
      </c>
      <c r="O87" s="60">
        <f t="shared" si="572"/>
        <v>1.257392869786216</v>
      </c>
      <c r="P87" s="60">
        <f t="shared" si="572"/>
        <v>1.2671122247853495</v>
      </c>
      <c r="Q87" s="60">
        <f t="shared" si="572"/>
        <v>1.2766532699401765</v>
      </c>
      <c r="R87" s="60">
        <f t="shared" si="572"/>
        <v>1.2859980795357171</v>
      </c>
      <c r="S87" s="60">
        <f t="shared" si="572"/>
        <v>1.2951278629370617</v>
      </c>
      <c r="T87" s="60">
        <f t="shared" si="572"/>
        <v>1.3050069100716331</v>
      </c>
      <c r="U87" s="60">
        <f t="shared" si="572"/>
        <v>1.3146470147194862</v>
      </c>
      <c r="V87" s="60">
        <f t="shared" si="572"/>
        <v>1.3240273305048935</v>
      </c>
      <c r="W87" s="60">
        <f t="shared" si="572"/>
        <v>1.3331258414517424</v>
      </c>
      <c r="X87" s="60">
        <f t="shared" si="572"/>
        <v>1.3419192833756457</v>
      </c>
      <c r="Y87" s="60">
        <f t="shared" si="572"/>
        <v>1.321477554713711</v>
      </c>
      <c r="Z87" s="60">
        <f t="shared" si="572"/>
        <v>1.2991715351205348</v>
      </c>
      <c r="AA87" s="60">
        <f t="shared" si="572"/>
        <v>1.2748962016658685</v>
      </c>
      <c r="AB87" s="60">
        <f t="shared" si="572"/>
        <v>1.2485399072349406</v>
      </c>
      <c r="AC87" s="60">
        <f t="shared" si="572"/>
        <v>1.2199838614612095</v>
      </c>
      <c r="AD87" s="60">
        <f t="shared" si="572"/>
        <v>1.1891015619454175</v>
      </c>
      <c r="AE87" s="60">
        <f t="shared" si="572"/>
        <v>1.1557581701053778</v>
      </c>
      <c r="AF87" s="60">
        <f t="shared" si="572"/>
        <v>1.1198098252536135</v>
      </c>
      <c r="AG87" s="60">
        <f t="shared" si="572"/>
        <v>1.0811028896396482</v>
      </c>
      <c r="AH87" s="60">
        <f t="shared" si="572"/>
        <v>1.0394731162011774</v>
      </c>
      <c r="AJ87" s="60">
        <f>AJ26</f>
        <v>1.2545775454801726</v>
      </c>
      <c r="AK87" s="60">
        <f t="shared" ref="AK87:BN87" si="573">AK26</f>
        <v>1.244794439668762</v>
      </c>
      <c r="AL87" s="60">
        <f t="shared" si="573"/>
        <v>1.2393143250385741</v>
      </c>
      <c r="AM87" s="60">
        <f t="shared" si="573"/>
        <v>1.2372944971004072</v>
      </c>
      <c r="AN87" s="60">
        <f t="shared" si="573"/>
        <v>1.2381174819301159</v>
      </c>
      <c r="AO87" s="60">
        <f t="shared" si="573"/>
        <v>1.2413211518276217</v>
      </c>
      <c r="AP87" s="60">
        <f t="shared" si="573"/>
        <v>1.2465533650563492</v>
      </c>
      <c r="AQ87" s="60">
        <f t="shared" si="573"/>
        <v>1.2535416451145789</v>
      </c>
      <c r="AR87" s="60">
        <f t="shared" si="573"/>
        <v>1.2620723876735618</v>
      </c>
      <c r="AS87" s="60">
        <f t="shared" si="573"/>
        <v>1.2719762771492193</v>
      </c>
      <c r="AT87" s="60">
        <f t="shared" si="573"/>
        <v>1.2831178529298213</v>
      </c>
      <c r="AU87" s="60">
        <f t="shared" si="573"/>
        <v>1.304859518236954</v>
      </c>
      <c r="AV87" s="60">
        <f t="shared" si="573"/>
        <v>1.3270282143986674</v>
      </c>
      <c r="AW87" s="60">
        <f t="shared" si="573"/>
        <v>1.349633337633436</v>
      </c>
      <c r="AX87" s="60">
        <f t="shared" si="573"/>
        <v>1.3726847408208074</v>
      </c>
      <c r="AY87" s="60">
        <f t="shared" si="573"/>
        <v>1.3961927539755032</v>
      </c>
      <c r="AZ87" s="60">
        <f t="shared" si="573"/>
        <v>1.4212398535228765</v>
      </c>
      <c r="BA87" s="60">
        <f t="shared" si="573"/>
        <v>1.4468064611908062</v>
      </c>
      <c r="BB87" s="60">
        <f t="shared" si="573"/>
        <v>1.4729074247483396</v>
      </c>
      <c r="BC87" s="60">
        <f t="shared" si="573"/>
        <v>1.4995583227826959</v>
      </c>
      <c r="BD87" s="60">
        <f t="shared" si="573"/>
        <v>1.5267755111875969</v>
      </c>
      <c r="BE87" s="60">
        <f t="shared" si="573"/>
        <v>1.5398483800136613</v>
      </c>
      <c r="BF87" s="60">
        <f t="shared" si="573"/>
        <v>1.5527917847464012</v>
      </c>
      <c r="BG87" s="60">
        <f t="shared" si="573"/>
        <v>1.5655903559769855</v>
      </c>
      <c r="BH87" s="60">
        <f t="shared" si="573"/>
        <v>1.5782277067004018</v>
      </c>
      <c r="BI87" s="60">
        <f t="shared" si="573"/>
        <v>1.5906863531270754</v>
      </c>
      <c r="BJ87" s="60">
        <f t="shared" si="573"/>
        <v>1.6029476279413464</v>
      </c>
      <c r="BK87" s="60">
        <f t="shared" si="573"/>
        <v>1.6149915851472492</v>
      </c>
      <c r="BL87" s="60">
        <f t="shared" si="573"/>
        <v>1.6267968955284962</v>
      </c>
      <c r="BM87" s="60">
        <f t="shared" si="573"/>
        <v>1.6383407316188168</v>
      </c>
      <c r="BN87" s="60">
        <f t="shared" si="573"/>
        <v>1.6495986409279557</v>
      </c>
    </row>
    <row r="88" spans="1:66" x14ac:dyDescent="0.2">
      <c r="A88" s="682"/>
      <c r="B88" s="1" t="s">
        <v>247</v>
      </c>
      <c r="C88" s="54" t="s">
        <v>153</v>
      </c>
      <c r="D88" s="44">
        <f t="shared" ref="D88" si="574">D27</f>
        <v>0</v>
      </c>
      <c r="E88" s="44">
        <v>0</v>
      </c>
      <c r="F88" s="44">
        <v>0</v>
      </c>
      <c r="G88" s="44">
        <v>0</v>
      </c>
      <c r="H88" s="44">
        <v>0</v>
      </c>
      <c r="I88" s="44">
        <v>0</v>
      </c>
      <c r="J88" s="44">
        <v>0</v>
      </c>
      <c r="K88" s="44">
        <v>0</v>
      </c>
      <c r="L88" s="44">
        <v>0</v>
      </c>
      <c r="M88" s="44">
        <v>0</v>
      </c>
      <c r="N88" s="44">
        <v>0</v>
      </c>
      <c r="O88" s="44">
        <v>0</v>
      </c>
      <c r="P88" s="44">
        <v>0</v>
      </c>
      <c r="Q88" s="44">
        <v>0</v>
      </c>
      <c r="R88" s="44">
        <v>0</v>
      </c>
      <c r="S88" s="44">
        <v>0</v>
      </c>
      <c r="T88" s="44">
        <v>0</v>
      </c>
      <c r="U88" s="44">
        <v>0</v>
      </c>
      <c r="V88" s="44">
        <v>0</v>
      </c>
      <c r="W88" s="44">
        <v>0</v>
      </c>
      <c r="X88" s="44">
        <v>0</v>
      </c>
      <c r="Y88" s="44">
        <v>0</v>
      </c>
      <c r="Z88" s="44">
        <v>0</v>
      </c>
      <c r="AA88" s="44">
        <v>0</v>
      </c>
      <c r="AB88" s="44">
        <v>0</v>
      </c>
      <c r="AC88" s="44">
        <v>0</v>
      </c>
      <c r="AD88" s="44">
        <v>0</v>
      </c>
      <c r="AE88" s="44">
        <v>0</v>
      </c>
      <c r="AF88" s="44">
        <v>0</v>
      </c>
      <c r="AG88" s="44">
        <v>0</v>
      </c>
      <c r="AH88" s="44">
        <v>0</v>
      </c>
      <c r="AJ88" s="44">
        <f t="shared" ref="AJ88" si="575">AJ27</f>
        <v>0</v>
      </c>
      <c r="AK88" s="44">
        <v>0</v>
      </c>
      <c r="AL88" s="44">
        <v>0</v>
      </c>
      <c r="AM88" s="44">
        <v>0</v>
      </c>
      <c r="AN88" s="44">
        <v>0</v>
      </c>
      <c r="AO88" s="44">
        <v>0</v>
      </c>
      <c r="AP88" s="44">
        <v>0</v>
      </c>
      <c r="AQ88" s="44">
        <v>0</v>
      </c>
      <c r="AR88" s="44">
        <v>0</v>
      </c>
      <c r="AS88" s="44">
        <v>0</v>
      </c>
      <c r="AT88" s="44">
        <v>0</v>
      </c>
      <c r="AU88" s="44">
        <v>0</v>
      </c>
      <c r="AV88" s="44">
        <v>0</v>
      </c>
      <c r="AW88" s="44">
        <v>0</v>
      </c>
      <c r="AX88" s="44">
        <v>0</v>
      </c>
      <c r="AY88" s="44">
        <v>0</v>
      </c>
      <c r="AZ88" s="44">
        <v>0</v>
      </c>
      <c r="BA88" s="44">
        <v>0</v>
      </c>
      <c r="BB88" s="44">
        <v>0</v>
      </c>
      <c r="BC88" s="44">
        <v>0</v>
      </c>
      <c r="BD88" s="44">
        <v>0</v>
      </c>
      <c r="BE88" s="44">
        <v>0</v>
      </c>
      <c r="BF88" s="44">
        <v>0</v>
      </c>
      <c r="BG88" s="44">
        <v>0</v>
      </c>
      <c r="BH88" s="44">
        <v>0</v>
      </c>
      <c r="BI88" s="44">
        <v>0</v>
      </c>
      <c r="BJ88" s="44">
        <v>0</v>
      </c>
      <c r="BK88" s="44">
        <v>0</v>
      </c>
      <c r="BL88" s="44">
        <v>0</v>
      </c>
      <c r="BM88" s="44">
        <v>0</v>
      </c>
      <c r="BN88" s="44">
        <v>0</v>
      </c>
    </row>
    <row r="89" spans="1:66" s="68" customFormat="1" x14ac:dyDescent="0.2">
      <c r="A89" s="683"/>
      <c r="B89" s="62" t="s">
        <v>248</v>
      </c>
      <c r="C89" s="283" t="s">
        <v>153</v>
      </c>
      <c r="D89" s="284">
        <f>D28-(D84-D86)</f>
        <v>6.2272967813882438</v>
      </c>
      <c r="E89" s="284">
        <f t="shared" ref="E89:AH89" si="576">E28-(E84-E86)</f>
        <v>6.3412114479989814</v>
      </c>
      <c r="F89" s="284">
        <f t="shared" si="576"/>
        <v>6.4517690017378042</v>
      </c>
      <c r="G89" s="284">
        <f t="shared" si="576"/>
        <v>6.5598315079973659</v>
      </c>
      <c r="H89" s="284">
        <f t="shared" si="576"/>
        <v>6.6660304286580212</v>
      </c>
      <c r="I89" s="284">
        <f t="shared" si="576"/>
        <v>6.7708388818658314</v>
      </c>
      <c r="J89" s="284">
        <f t="shared" si="576"/>
        <v>6.8746054182171106</v>
      </c>
      <c r="K89" s="284">
        <f t="shared" si="576"/>
        <v>6.9776015807521965</v>
      </c>
      <c r="L89" s="284">
        <f t="shared" si="576"/>
        <v>7.0800377548047368</v>
      </c>
      <c r="M89" s="284">
        <f t="shared" si="576"/>
        <v>7.1820782104821381</v>
      </c>
      <c r="N89" s="284">
        <f t="shared" si="576"/>
        <v>7.2838518785203794</v>
      </c>
      <c r="O89" s="284">
        <f t="shared" si="576"/>
        <v>7.308286041736598</v>
      </c>
      <c r="P89" s="284">
        <f t="shared" si="576"/>
        <v>7.3296724389701788</v>
      </c>
      <c r="Q89" s="284">
        <f t="shared" si="576"/>
        <v>7.3479810019227685</v>
      </c>
      <c r="R89" s="284">
        <f t="shared" si="576"/>
        <v>7.3630324619758571</v>
      </c>
      <c r="S89" s="284">
        <f t="shared" si="576"/>
        <v>7.3747120891987938</v>
      </c>
      <c r="T89" s="284">
        <f t="shared" si="576"/>
        <v>7.3818405771555655</v>
      </c>
      <c r="U89" s="284">
        <f t="shared" si="576"/>
        <v>7.3852368689210373</v>
      </c>
      <c r="V89" s="284">
        <f t="shared" si="576"/>
        <v>7.3847480781629136</v>
      </c>
      <c r="W89" s="284">
        <f t="shared" si="576"/>
        <v>7.3802179357076678</v>
      </c>
      <c r="X89" s="284">
        <f t="shared" si="576"/>
        <v>7.3714867833551363</v>
      </c>
      <c r="Y89" s="284">
        <f t="shared" si="576"/>
        <v>7.1821828677511483</v>
      </c>
      <c r="Z89" s="284">
        <f t="shared" si="576"/>
        <v>6.982220599319775</v>
      </c>
      <c r="AA89" s="284">
        <f t="shared" si="576"/>
        <v>6.7723682380686139</v>
      </c>
      <c r="AB89" s="284">
        <f t="shared" si="576"/>
        <v>6.5515776785265496</v>
      </c>
      <c r="AC89" s="284">
        <f t="shared" si="576"/>
        <v>6.3195868661399048</v>
      </c>
      <c r="AD89" s="284">
        <f t="shared" si="576"/>
        <v>6.0761333383385185</v>
      </c>
      <c r="AE89" s="284">
        <f t="shared" si="576"/>
        <v>5.8209575642269114</v>
      </c>
      <c r="AF89" s="284">
        <f t="shared" si="576"/>
        <v>5.553802406589039</v>
      </c>
      <c r="AG89" s="284">
        <f t="shared" si="576"/>
        <v>5.2744138183439695</v>
      </c>
      <c r="AH89" s="284">
        <f t="shared" si="576"/>
        <v>4.9825416123084931</v>
      </c>
      <c r="AJ89" s="284">
        <f>AJ28-(AJ84-AJ86)</f>
        <v>6.2272967813882438</v>
      </c>
      <c r="AK89" s="284">
        <f t="shared" ref="AK89:BN89" si="577">AK28-(AK84-AK86)</f>
        <v>6.3584269715643655</v>
      </c>
      <c r="AL89" s="284">
        <f t="shared" si="577"/>
        <v>6.4869949893533638</v>
      </c>
      <c r="AM89" s="284">
        <f t="shared" si="577"/>
        <v>6.6138568465047705</v>
      </c>
      <c r="AN89" s="284">
        <f t="shared" si="577"/>
        <v>6.7396449347608831</v>
      </c>
      <c r="AO89" s="284">
        <f t="shared" si="577"/>
        <v>6.8648382605123155</v>
      </c>
      <c r="AP89" s="284">
        <f t="shared" si="577"/>
        <v>6.9897949095203558</v>
      </c>
      <c r="AQ89" s="284">
        <f t="shared" si="577"/>
        <v>7.1147987331345108</v>
      </c>
      <c r="AR89" s="284">
        <f t="shared" si="577"/>
        <v>7.2400746016692494</v>
      </c>
      <c r="AS89" s="284">
        <f t="shared" si="577"/>
        <v>7.3658030311662879</v>
      </c>
      <c r="AT89" s="284">
        <f t="shared" si="577"/>
        <v>7.4921306643412855</v>
      </c>
      <c r="AU89" s="284">
        <f t="shared" si="577"/>
        <v>7.5848394346197203</v>
      </c>
      <c r="AV89" s="284">
        <f t="shared" si="577"/>
        <v>7.6773082494290659</v>
      </c>
      <c r="AW89" s="284">
        <f t="shared" si="577"/>
        <v>7.769585445937218</v>
      </c>
      <c r="AX89" s="284">
        <f t="shared" si="577"/>
        <v>7.8615716954045327</v>
      </c>
      <c r="AY89" s="284">
        <f t="shared" si="577"/>
        <v>7.9532337344316328</v>
      </c>
      <c r="AZ89" s="284">
        <f t="shared" si="577"/>
        <v>8.0433875960853367</v>
      </c>
      <c r="BA89" s="284">
        <f t="shared" si="577"/>
        <v>8.133000132043442</v>
      </c>
      <c r="BB89" s="284">
        <f t="shared" si="577"/>
        <v>8.2220023823133435</v>
      </c>
      <c r="BC89" s="284">
        <f t="shared" si="577"/>
        <v>8.3103232626502628</v>
      </c>
      <c r="BD89" s="284">
        <f t="shared" si="577"/>
        <v>8.3978895100770696</v>
      </c>
      <c r="BE89" s="284">
        <f t="shared" si="577"/>
        <v>8.3844118066803457</v>
      </c>
      <c r="BF89" s="284">
        <f t="shared" si="577"/>
        <v>8.3663622074330348</v>
      </c>
      <c r="BG89" s="284">
        <f t="shared" si="577"/>
        <v>8.344642656729107</v>
      </c>
      <c r="BH89" s="284">
        <f t="shared" si="577"/>
        <v>8.3183387645671019</v>
      </c>
      <c r="BI89" s="284">
        <f t="shared" si="577"/>
        <v>8.2873219153806765</v>
      </c>
      <c r="BJ89" s="284">
        <f t="shared" si="577"/>
        <v>8.2514624623358799</v>
      </c>
      <c r="BK89" s="284">
        <f t="shared" si="577"/>
        <v>8.2106326763181379</v>
      </c>
      <c r="BL89" s="284">
        <f t="shared" si="577"/>
        <v>8.1647057679328121</v>
      </c>
      <c r="BM89" s="284">
        <f t="shared" si="577"/>
        <v>8.1135560885638061</v>
      </c>
      <c r="BN89" s="284">
        <f t="shared" si="577"/>
        <v>8.0570593424131012</v>
      </c>
    </row>
    <row r="90" spans="1:66" x14ac:dyDescent="0.2">
      <c r="A90" s="58" t="s">
        <v>221</v>
      </c>
      <c r="B90" s="58" t="s">
        <v>197</v>
      </c>
      <c r="C90" s="54" t="s">
        <v>153</v>
      </c>
      <c r="D90" s="66">
        <f t="shared" ref="D90:AH90" si="578">D52</f>
        <v>1.4464073070604898E-2</v>
      </c>
      <c r="E90" s="66">
        <f t="shared" si="578"/>
        <v>1.4311493010190393E-2</v>
      </c>
      <c r="F90" s="66">
        <f t="shared" si="578"/>
        <v>1.4146125931014341E-2</v>
      </c>
      <c r="G90" s="66">
        <f t="shared" si="578"/>
        <v>1.3967502066095403E-2</v>
      </c>
      <c r="H90" s="66">
        <f t="shared" si="578"/>
        <v>1.3775137557314292E-2</v>
      </c>
      <c r="I90" s="66">
        <f t="shared" si="578"/>
        <v>1.3568534070753225E-2</v>
      </c>
      <c r="J90" s="66">
        <f t="shared" si="578"/>
        <v>1.334717840209382E-2</v>
      </c>
      <c r="K90" s="66">
        <f t="shared" si="578"/>
        <v>1.3110542071825515E-2</v>
      </c>
      <c r="L90" s="66">
        <f t="shared" si="578"/>
        <v>1.2858080910010618E-2</v>
      </c>
      <c r="M90" s="66">
        <f t="shared" si="578"/>
        <v>1.2589234630345822E-2</v>
      </c>
      <c r="N90" s="66">
        <f t="shared" si="578"/>
        <v>1.2303426393253786E-2</v>
      </c>
      <c r="O90" s="66">
        <f t="shared" si="578"/>
        <v>1.2165492697764266E-2</v>
      </c>
      <c r="P90" s="66">
        <f t="shared" si="578"/>
        <v>1.2016339976024762E-2</v>
      </c>
      <c r="Q90" s="66">
        <f t="shared" si="578"/>
        <v>1.185555785769248E-2</v>
      </c>
      <c r="R90" s="66">
        <f t="shared" si="578"/>
        <v>1.168272368446082E-2</v>
      </c>
      <c r="S90" s="66">
        <f t="shared" si="578"/>
        <v>1.1497402174938186E-2</v>
      </c>
      <c r="T90" s="66">
        <f t="shared" si="578"/>
        <v>1.1299145080870753E-2</v>
      </c>
      <c r="U90" s="66">
        <f t="shared" si="578"/>
        <v>1.1087490834493341E-2</v>
      </c>
      <c r="V90" s="66">
        <f t="shared" si="578"/>
        <v>1.0861964186787414E-2</v>
      </c>
      <c r="W90" s="66">
        <f t="shared" si="578"/>
        <v>1.0622075836419827E-2</v>
      </c>
      <c r="X90" s="66">
        <f t="shared" si="578"/>
        <v>1.0367322049130429E-2</v>
      </c>
      <c r="Y90" s="66">
        <f t="shared" si="578"/>
        <v>9.9964809667924728E-3</v>
      </c>
      <c r="Z90" s="66">
        <f t="shared" si="578"/>
        <v>9.6054925699726578E-3</v>
      </c>
      <c r="AA90" s="66">
        <f t="shared" si="578"/>
        <v>9.1936742123800534E-3</v>
      </c>
      <c r="AB90" s="66">
        <f t="shared" si="578"/>
        <v>8.7603234615452018E-3</v>
      </c>
      <c r="AC90" s="66">
        <f t="shared" si="578"/>
        <v>8.3047175688476284E-3</v>
      </c>
      <c r="AD90" s="66">
        <f t="shared" si="578"/>
        <v>7.8261129260102178E-3</v>
      </c>
      <c r="AE90" s="66">
        <f t="shared" si="578"/>
        <v>7.3237445077257686E-3</v>
      </c>
      <c r="AF90" s="66">
        <f t="shared" si="578"/>
        <v>6.7968253000730058E-3</v>
      </c>
      <c r="AG90" s="66">
        <f t="shared" si="578"/>
        <v>6.2445457143709198E-3</v>
      </c>
      <c r="AH90" s="66">
        <f t="shared" si="578"/>
        <v>5.6660729861120127E-3</v>
      </c>
      <c r="AJ90" s="66">
        <f t="shared" ref="AJ90:BN90" si="579">AJ52</f>
        <v>1.4464073070604898E-2</v>
      </c>
      <c r="AK90" s="66">
        <f t="shared" si="579"/>
        <v>1.4539655807638996E-2</v>
      </c>
      <c r="AL90" s="66">
        <f t="shared" si="579"/>
        <v>1.4612034363404389E-2</v>
      </c>
      <c r="AM90" s="66">
        <f t="shared" si="579"/>
        <v>1.4681040830300762E-2</v>
      </c>
      <c r="AN90" s="66">
        <f t="shared" si="579"/>
        <v>1.474650166165252E-2</v>
      </c>
      <c r="AO90" s="66">
        <f t="shared" si="579"/>
        <v>1.480823750891489E-2</v>
      </c>
      <c r="AP90" s="66">
        <f t="shared" si="579"/>
        <v>1.4866063054529489E-2</v>
      </c>
      <c r="AQ90" s="66">
        <f t="shared" si="579"/>
        <v>1.491978684031847E-2</v>
      </c>
      <c r="AR90" s="66">
        <f t="shared" si="579"/>
        <v>1.4969211091303541E-2</v>
      </c>
      <c r="AS90" s="66">
        <f t="shared" si="579"/>
        <v>1.5014131534833403E-2</v>
      </c>
      <c r="AT90" s="66">
        <f t="shared" si="579"/>
        <v>1.5054337214900258E-2</v>
      </c>
      <c r="AU90" s="66">
        <f t="shared" si="579"/>
        <v>1.5172325471539239E-2</v>
      </c>
      <c r="AV90" s="66">
        <f t="shared" si="579"/>
        <v>1.5288630272245281E-2</v>
      </c>
      <c r="AW90" s="66">
        <f t="shared" si="579"/>
        <v>1.5403128879048033E-2</v>
      </c>
      <c r="AX90" s="66">
        <f t="shared" si="579"/>
        <v>1.5515694141386439E-2</v>
      </c>
      <c r="AY90" s="66">
        <f t="shared" si="579"/>
        <v>1.5626194364907395E-2</v>
      </c>
      <c r="AZ90" s="66">
        <f t="shared" si="579"/>
        <v>1.5734493176699883E-2</v>
      </c>
      <c r="BA90" s="66">
        <f t="shared" si="579"/>
        <v>1.5840449386872731E-2</v>
      </c>
      <c r="BB90" s="66">
        <f t="shared" si="579"/>
        <v>1.5943916846381911E-2</v>
      </c>
      <c r="BC90" s="66">
        <f t="shared" si="579"/>
        <v>1.6044744301010876E-2</v>
      </c>
      <c r="BD90" s="66">
        <f t="shared" si="579"/>
        <v>1.6142775241404991E-2</v>
      </c>
      <c r="BE90" s="66">
        <f t="shared" si="579"/>
        <v>1.6187496098789646E-2</v>
      </c>
      <c r="BF90" s="66">
        <f t="shared" si="579"/>
        <v>1.6226976268303002E-2</v>
      </c>
      <c r="BG90" s="66">
        <f t="shared" si="579"/>
        <v>1.6260975919156352E-2</v>
      </c>
      <c r="BH90" s="66">
        <f t="shared" si="579"/>
        <v>1.6289247458811214E-2</v>
      </c>
      <c r="BI90" s="66">
        <f t="shared" si="579"/>
        <v>1.6311535312751237E-2</v>
      </c>
      <c r="BJ90" s="66">
        <f t="shared" si="579"/>
        <v>1.6327575698427407E-2</v>
      </c>
      <c r="BK90" s="66">
        <f t="shared" si="579"/>
        <v>1.6337096393229052E-2</v>
      </c>
      <c r="BL90" s="66">
        <f t="shared" si="579"/>
        <v>1.633981649632936E-2</v>
      </c>
      <c r="BM90" s="66">
        <f t="shared" si="579"/>
        <v>1.6335446184250462E-2</v>
      </c>
      <c r="BN90" s="66">
        <f t="shared" si="579"/>
        <v>1.6323686459989377E-2</v>
      </c>
    </row>
    <row r="91" spans="1:66" x14ac:dyDescent="0.2">
      <c r="A91"/>
      <c r="B91" t="s">
        <v>217</v>
      </c>
      <c r="C91" s="54" t="s">
        <v>153</v>
      </c>
      <c r="D91" s="44">
        <f>'Methanol Recycling HC'!C195</f>
        <v>0</v>
      </c>
      <c r="E91" s="44">
        <f>'Methanol Recycling HC'!D195</f>
        <v>-5.8355004134645408E-3</v>
      </c>
      <c r="F91" s="44">
        <f>'Methanol Recycling HC'!E195</f>
        <v>-1.8459246249419407E-3</v>
      </c>
      <c r="G91" s="44">
        <f>'Methanol Recycling HC'!F195</f>
        <v>2.6386493237511126E-3</v>
      </c>
      <c r="H91" s="44">
        <f>'Methanol Recycling HC'!G195</f>
        <v>7.6308302665281207E-3</v>
      </c>
      <c r="I91" s="44">
        <f>'Methanol Recycling HC'!H195</f>
        <v>1.3137721716277001E-2</v>
      </c>
      <c r="J91" s="44">
        <f>'Methanol Recycling HC'!I195</f>
        <v>1.7979758119226245E-2</v>
      </c>
      <c r="K91" s="44">
        <f>'Methanol Recycling HC'!J195</f>
        <v>2.3046017231956949E-2</v>
      </c>
      <c r="L91" s="44">
        <f>'Methanol Recycling HC'!K195</f>
        <v>2.8311502319114924E-2</v>
      </c>
      <c r="M91" s="44">
        <f>'Methanol Recycling HC'!L195</f>
        <v>3.3746995651345153E-2</v>
      </c>
      <c r="N91" s="44">
        <f>'Methanol Recycling HC'!M195</f>
        <v>3.9318889787609147E-2</v>
      </c>
      <c r="O91" s="44">
        <f>'Methanol Recycling HC'!N195</f>
        <v>4.7047306838716003E-2</v>
      </c>
      <c r="P91" s="44">
        <f>'Methanol Recycling HC'!O195</f>
        <v>5.4934880428606385E-2</v>
      </c>
      <c r="Q91" s="44">
        <f>'Methanol Recycling HC'!P195</f>
        <v>6.2879129442566656E-2</v>
      </c>
      <c r="R91" s="44">
        <f>'Methanol Recycling HC'!Q195</f>
        <v>7.0768459364620673E-2</v>
      </c>
      <c r="S91" s="44">
        <f>'Methanol Recycling HC'!R195</f>
        <v>7.8483442189796082E-2</v>
      </c>
      <c r="T91" s="44">
        <f>'Methanol Recycling HC'!S195</f>
        <v>8.7580043455728479E-2</v>
      </c>
      <c r="U91" s="44">
        <f>'Methanol Recycling HC'!T195</f>
        <v>9.6840015700072585E-2</v>
      </c>
      <c r="V91" s="44">
        <f>'Methanol Recycling HC'!U195</f>
        <v>0.10620730693917829</v>
      </c>
      <c r="W91" s="44">
        <f>'Methanol Recycling HC'!V195</f>
        <v>0.11562078500755477</v>
      </c>
      <c r="X91" s="44">
        <f>'Methanol Recycling HC'!W195</f>
        <v>0.12501410124251328</v>
      </c>
      <c r="Y91" s="44">
        <f>'Methanol Recycling HC'!X195</f>
        <v>0.13823870927925555</v>
      </c>
      <c r="Z91" s="44">
        <f>'Methanol Recycling HC'!Y195</f>
        <v>0.15145663296791045</v>
      </c>
      <c r="AA91" s="44">
        <f>'Methanol Recycling HC'!Z195</f>
        <v>0.16455118339939837</v>
      </c>
      <c r="AB91" s="44">
        <f>'Methanol Recycling HC'!AA195</f>
        <v>0.17739653284023946</v>
      </c>
      <c r="AC91" s="44">
        <f>'Methanol Recycling HC'!AB195</f>
        <v>0.18985749189244755</v>
      </c>
      <c r="AD91" s="44">
        <f>'Methanol Recycling HC'!AC195</f>
        <v>0.19956123779884194</v>
      </c>
      <c r="AE91" s="44">
        <f>'Methanol Recycling HC'!AD195</f>
        <v>0.20812140607248247</v>
      </c>
      <c r="AF91" s="44">
        <f>'Methanol Recycling HC'!AE195</f>
        <v>0.21532754255334338</v>
      </c>
      <c r="AG91" s="44">
        <f>'Methanol Recycling HC'!AF195</f>
        <v>0.22095663885967945</v>
      </c>
      <c r="AH91" s="43">
        <f>'Methanol Recycling HC'!AG195</f>
        <v>0.22477288201069395</v>
      </c>
      <c r="AJ91" s="44">
        <f>D91</f>
        <v>0</v>
      </c>
      <c r="AK91" s="44">
        <f>E91</f>
        <v>-5.8355004134645408E-3</v>
      </c>
      <c r="AL91" s="44">
        <f>F91</f>
        <v>-1.8459246249419407E-3</v>
      </c>
      <c r="AM91" s="44">
        <f t="shared" ref="AK91:BN92" si="580">G91</f>
        <v>2.6386493237511126E-3</v>
      </c>
      <c r="AN91" s="44">
        <f t="shared" si="580"/>
        <v>7.6308302665281207E-3</v>
      </c>
      <c r="AO91" s="44">
        <f t="shared" si="580"/>
        <v>1.3137721716277001E-2</v>
      </c>
      <c r="AP91" s="44">
        <f t="shared" si="580"/>
        <v>1.7979758119226245E-2</v>
      </c>
      <c r="AQ91" s="44">
        <f t="shared" si="580"/>
        <v>2.3046017231956949E-2</v>
      </c>
      <c r="AR91" s="44">
        <f t="shared" si="580"/>
        <v>2.8311502319114924E-2</v>
      </c>
      <c r="AS91" s="44">
        <f t="shared" si="580"/>
        <v>3.3746995651345153E-2</v>
      </c>
      <c r="AT91" s="44">
        <f t="shared" si="580"/>
        <v>3.9318889787609147E-2</v>
      </c>
      <c r="AU91" s="44">
        <f t="shared" si="580"/>
        <v>4.7047306838716003E-2</v>
      </c>
      <c r="AV91" s="44">
        <f t="shared" si="580"/>
        <v>5.4934880428606385E-2</v>
      </c>
      <c r="AW91" s="44">
        <f t="shared" si="580"/>
        <v>6.2879129442566656E-2</v>
      </c>
      <c r="AX91" s="44">
        <f t="shared" si="580"/>
        <v>7.0768459364620673E-2</v>
      </c>
      <c r="AY91" s="44">
        <f t="shared" si="580"/>
        <v>7.8483442189796082E-2</v>
      </c>
      <c r="AZ91" s="44">
        <f t="shared" si="580"/>
        <v>8.7580043455728479E-2</v>
      </c>
      <c r="BA91" s="44">
        <f t="shared" si="580"/>
        <v>9.6840015700072585E-2</v>
      </c>
      <c r="BB91" s="44">
        <f t="shared" si="580"/>
        <v>0.10620730693917829</v>
      </c>
      <c r="BC91" s="44">
        <f t="shared" si="580"/>
        <v>0.11562078500755477</v>
      </c>
      <c r="BD91" s="44">
        <f t="shared" si="580"/>
        <v>0.12501410124251328</v>
      </c>
      <c r="BE91" s="44">
        <f t="shared" si="580"/>
        <v>0.13823870927925555</v>
      </c>
      <c r="BF91" s="44">
        <f t="shared" si="580"/>
        <v>0.15145663296791045</v>
      </c>
      <c r="BG91" s="44">
        <f t="shared" si="580"/>
        <v>0.16455118339939837</v>
      </c>
      <c r="BH91" s="44">
        <f t="shared" si="580"/>
        <v>0.17739653284023946</v>
      </c>
      <c r="BI91" s="44">
        <f t="shared" si="580"/>
        <v>0.18985749189244755</v>
      </c>
      <c r="BJ91" s="44">
        <f t="shared" si="580"/>
        <v>0.19956123779884194</v>
      </c>
      <c r="BK91" s="44">
        <f t="shared" si="580"/>
        <v>0.20812140607248247</v>
      </c>
      <c r="BL91" s="44">
        <f t="shared" si="580"/>
        <v>0.21532754255334338</v>
      </c>
      <c r="BM91" s="44">
        <f t="shared" si="580"/>
        <v>0.22095663885967945</v>
      </c>
      <c r="BN91" s="44">
        <f t="shared" si="580"/>
        <v>0.22477288201069395</v>
      </c>
    </row>
    <row r="92" spans="1:66" x14ac:dyDescent="0.2">
      <c r="A92"/>
      <c r="B92" t="s">
        <v>222</v>
      </c>
      <c r="C92" s="54" t="s">
        <v>153</v>
      </c>
      <c r="D92" s="44">
        <f>'Methanol Recycling HC'!C84</f>
        <v>0</v>
      </c>
      <c r="E92" s="44">
        <f>'Methanol Recycling HC'!D84</f>
        <v>1.307186544784518E-3</v>
      </c>
      <c r="F92" s="44">
        <f>'Methanol Recycling HC'!E84</f>
        <v>2.5181579368760976E-3</v>
      </c>
      <c r="G92" s="44">
        <f>'Methanol Recycling HC'!F84</f>
        <v>3.6213838728735848E-3</v>
      </c>
      <c r="H92" s="44">
        <f>'Methanol Recycling HC'!G84</f>
        <v>4.6062198192948767E-3</v>
      </c>
      <c r="I92" s="44">
        <f>'Methanol Recycling HC'!H84</f>
        <v>5.4630703996209409E-3</v>
      </c>
      <c r="J92" s="44">
        <f>'Methanol Recycling HC'!I84</f>
        <v>6.2678952986825812E-3</v>
      </c>
      <c r="K92" s="44">
        <f>'Methanol Recycling HC'!J84</f>
        <v>7.0178208523763164E-3</v>
      </c>
      <c r="L92" s="44">
        <f>'Methanol Recycling HC'!K84</f>
        <v>7.7100664173797157E-3</v>
      </c>
      <c r="M92" s="44">
        <f>'Methanol Recycling HC'!L84</f>
        <v>8.3419553733242863E-3</v>
      </c>
      <c r="N92" s="44">
        <f>'Methanol Recycling HC'!M84</f>
        <v>8.9109259717871439E-3</v>
      </c>
      <c r="O92" s="44">
        <f>'Methanol Recycling HC'!N84</f>
        <v>1.0632305481344445E-2</v>
      </c>
      <c r="P92" s="44">
        <f>'Methanol Recycling HC'!O84</f>
        <v>1.2167416884841284E-2</v>
      </c>
      <c r="Q92" s="44">
        <f>'Methanol Recycling HC'!P84</f>
        <v>1.3505559693588964E-2</v>
      </c>
      <c r="R92" s="44">
        <f>'Methanol Recycling HC'!Q84</f>
        <v>1.4637803335417213E-2</v>
      </c>
      <c r="S92" s="44">
        <f>'Methanol Recycling HC'!R84</f>
        <v>1.5557090546610156E-2</v>
      </c>
      <c r="T92" s="44">
        <f>'Methanol Recycling HC'!S84</f>
        <v>1.6346913381748165E-2</v>
      </c>
      <c r="U92" s="44">
        <f>'Methanol Recycling HC'!T84</f>
        <v>1.7007444361048882E-2</v>
      </c>
      <c r="V92" s="44">
        <f>'Methanol Recycling HC'!U84</f>
        <v>1.7538994763853184E-2</v>
      </c>
      <c r="W92" s="44">
        <f>'Methanol Recycling HC'!V84</f>
        <v>1.7942015153122326E-2</v>
      </c>
      <c r="X92" s="44">
        <f>'Methanol Recycling HC'!W84</f>
        <v>1.821709573667385E-2</v>
      </c>
      <c r="Y92" s="44">
        <f>'Methanol Recycling HC'!X84</f>
        <v>1.9458765418884187E-2</v>
      </c>
      <c r="Z92" s="44">
        <f>'Methanol Recycling HC'!Y84</f>
        <v>2.0499740204228539E-2</v>
      </c>
      <c r="AA92" s="44">
        <f>'Methanol Recycling HC'!Z84</f>
        <v>2.1341109732010206E-2</v>
      </c>
      <c r="AB92" s="44">
        <f>'Methanol Recycling HC'!AA84</f>
        <v>2.198417158278388E-2</v>
      </c>
      <c r="AC92" s="44">
        <f>'Methanol Recycling HC'!AB84</f>
        <v>2.2430431084630477E-2</v>
      </c>
      <c r="AD92" s="44">
        <f>'Methanol Recycling HC'!AC84</f>
        <v>2.2682126523677862E-2</v>
      </c>
      <c r="AE92" s="44">
        <f>'Methanol Recycling HC'!AD84</f>
        <v>2.2741179553946417E-2</v>
      </c>
      <c r="AF92" s="44">
        <f>'Methanol Recycling HC'!AE84</f>
        <v>2.2609706746296879E-2</v>
      </c>
      <c r="AG92" s="44">
        <f>'Methanol Recycling HC'!AF84</f>
        <v>2.2290018638746072E-2</v>
      </c>
      <c r="AH92" s="43">
        <f>'Methanol Recycling HC'!AG84</f>
        <v>2.1784618574622341E-2</v>
      </c>
      <c r="AJ92" s="44">
        <f>D92</f>
        <v>0</v>
      </c>
      <c r="AK92" s="44">
        <f t="shared" si="580"/>
        <v>1.307186544784518E-3</v>
      </c>
      <c r="AL92" s="44">
        <f t="shared" si="580"/>
        <v>2.5181579368760976E-3</v>
      </c>
      <c r="AM92" s="44">
        <f t="shared" si="580"/>
        <v>3.6213838728735848E-3</v>
      </c>
      <c r="AN92" s="44">
        <f t="shared" si="580"/>
        <v>4.6062198192948767E-3</v>
      </c>
      <c r="AO92" s="44">
        <f t="shared" si="580"/>
        <v>5.4630703996209409E-3</v>
      </c>
      <c r="AP92" s="44">
        <f t="shared" si="580"/>
        <v>6.2678952986825812E-3</v>
      </c>
      <c r="AQ92" s="44">
        <f t="shared" si="580"/>
        <v>7.0178208523763164E-3</v>
      </c>
      <c r="AR92" s="44">
        <f t="shared" si="580"/>
        <v>7.7100664173797157E-3</v>
      </c>
      <c r="AS92" s="44">
        <f t="shared" si="580"/>
        <v>8.3419553733242863E-3</v>
      </c>
      <c r="AT92" s="44">
        <f t="shared" si="580"/>
        <v>8.9109259717871439E-3</v>
      </c>
      <c r="AU92" s="44">
        <f t="shared" si="580"/>
        <v>1.0632305481344445E-2</v>
      </c>
      <c r="AV92" s="44">
        <f t="shared" si="580"/>
        <v>1.2167416884841284E-2</v>
      </c>
      <c r="AW92" s="44">
        <f t="shared" si="580"/>
        <v>1.3505559693588964E-2</v>
      </c>
      <c r="AX92" s="44">
        <f t="shared" si="580"/>
        <v>1.4637803335417213E-2</v>
      </c>
      <c r="AY92" s="44">
        <f t="shared" si="580"/>
        <v>1.5557090546610156E-2</v>
      </c>
      <c r="AZ92" s="44">
        <f t="shared" si="580"/>
        <v>1.6346913381748165E-2</v>
      </c>
      <c r="BA92" s="44">
        <f t="shared" si="580"/>
        <v>1.7007444361048882E-2</v>
      </c>
      <c r="BB92" s="44">
        <f t="shared" si="580"/>
        <v>1.7538994763853184E-2</v>
      </c>
      <c r="BC92" s="44">
        <f t="shared" si="580"/>
        <v>1.7942015153122326E-2</v>
      </c>
      <c r="BD92" s="44">
        <f t="shared" si="580"/>
        <v>1.821709573667385E-2</v>
      </c>
      <c r="BE92" s="44">
        <f t="shared" si="580"/>
        <v>1.9458765418884187E-2</v>
      </c>
      <c r="BF92" s="44">
        <f t="shared" si="580"/>
        <v>2.0499740204228539E-2</v>
      </c>
      <c r="BG92" s="44">
        <f t="shared" si="580"/>
        <v>2.1341109732010206E-2</v>
      </c>
      <c r="BH92" s="44">
        <f t="shared" si="580"/>
        <v>2.198417158278388E-2</v>
      </c>
      <c r="BI92" s="44">
        <f t="shared" si="580"/>
        <v>2.2430431084630477E-2</v>
      </c>
      <c r="BJ92" s="44">
        <f t="shared" si="580"/>
        <v>2.2682126523677862E-2</v>
      </c>
      <c r="BK92" s="44">
        <f t="shared" si="580"/>
        <v>2.2741179553946417E-2</v>
      </c>
      <c r="BL92" s="44">
        <f t="shared" si="580"/>
        <v>2.2609706746296879E-2</v>
      </c>
      <c r="BM92" s="44">
        <f t="shared" si="580"/>
        <v>2.2290018638746072E-2</v>
      </c>
      <c r="BN92" s="44">
        <f t="shared" si="580"/>
        <v>2.1784618574622341E-2</v>
      </c>
    </row>
    <row r="93" spans="1:66" x14ac:dyDescent="0.2">
      <c r="A93" s="62"/>
      <c r="B93" s="62" t="s">
        <v>219</v>
      </c>
      <c r="C93" s="54" t="s">
        <v>153</v>
      </c>
      <c r="D93" s="64">
        <f>IF(D90-D91-D92&lt;0,0,D90-D91-D92)</f>
        <v>1.4464073070604898E-2</v>
      </c>
      <c r="E93" s="64">
        <f t="shared" ref="E93:AG93" si="581">IF(E90-E91-E92&lt;0,0,E90-E91-E92)</f>
        <v>1.8839806878870415E-2</v>
      </c>
      <c r="F93" s="64">
        <f t="shared" si="581"/>
        <v>1.3473892619080184E-2</v>
      </c>
      <c r="G93" s="64">
        <f t="shared" si="581"/>
        <v>7.7074688694707058E-3</v>
      </c>
      <c r="H93" s="64">
        <f t="shared" si="581"/>
        <v>1.5380874714912944E-3</v>
      </c>
      <c r="I93" s="64">
        <f t="shared" si="581"/>
        <v>0</v>
      </c>
      <c r="J93" s="64">
        <f t="shared" si="581"/>
        <v>0</v>
      </c>
      <c r="K93" s="64">
        <f t="shared" si="581"/>
        <v>0</v>
      </c>
      <c r="L93" s="64">
        <f t="shared" si="581"/>
        <v>0</v>
      </c>
      <c r="M93" s="64">
        <f t="shared" si="581"/>
        <v>0</v>
      </c>
      <c r="N93" s="64">
        <f t="shared" si="581"/>
        <v>0</v>
      </c>
      <c r="O93" s="64">
        <f t="shared" si="581"/>
        <v>0</v>
      </c>
      <c r="P93" s="64">
        <f t="shared" si="581"/>
        <v>0</v>
      </c>
      <c r="Q93" s="64">
        <f t="shared" si="581"/>
        <v>0</v>
      </c>
      <c r="R93" s="64">
        <f t="shared" si="581"/>
        <v>0</v>
      </c>
      <c r="S93" s="64">
        <f t="shared" si="581"/>
        <v>0</v>
      </c>
      <c r="T93" s="64">
        <f t="shared" si="581"/>
        <v>0</v>
      </c>
      <c r="U93" s="64">
        <f t="shared" si="581"/>
        <v>0</v>
      </c>
      <c r="V93" s="64">
        <f t="shared" si="581"/>
        <v>0</v>
      </c>
      <c r="W93" s="64">
        <f t="shared" si="581"/>
        <v>0</v>
      </c>
      <c r="X93" s="64">
        <f t="shared" si="581"/>
        <v>0</v>
      </c>
      <c r="Y93" s="64">
        <f t="shared" si="581"/>
        <v>0</v>
      </c>
      <c r="Z93" s="64">
        <f t="shared" si="581"/>
        <v>0</v>
      </c>
      <c r="AA93" s="64">
        <f t="shared" si="581"/>
        <v>0</v>
      </c>
      <c r="AB93" s="64">
        <f t="shared" si="581"/>
        <v>0</v>
      </c>
      <c r="AC93" s="64">
        <f t="shared" si="581"/>
        <v>0</v>
      </c>
      <c r="AD93" s="64">
        <f t="shared" si="581"/>
        <v>0</v>
      </c>
      <c r="AE93" s="64">
        <f t="shared" si="581"/>
        <v>0</v>
      </c>
      <c r="AF93" s="64">
        <f t="shared" si="581"/>
        <v>0</v>
      </c>
      <c r="AG93" s="64">
        <f t="shared" si="581"/>
        <v>0</v>
      </c>
      <c r="AH93" s="64">
        <f>IF(AH90-AH91-AH92&lt;0,0,AH90-AH91-AH92)</f>
        <v>0</v>
      </c>
      <c r="AJ93" s="64">
        <f>IF(AJ90-AJ91-AJ92&lt;0,0,AJ90-AJ91-AJ92)</f>
        <v>1.4464073070604898E-2</v>
      </c>
      <c r="AK93" s="64">
        <f t="shared" ref="AK93" si="582">IF(AK90-AK91-AK92&lt;0,0,AK90-AK91-AK92)</f>
        <v>1.9067969676319019E-2</v>
      </c>
      <c r="AL93" s="64">
        <f t="shared" ref="AL93" si="583">IF(AL90-AL91-AL92&lt;0,0,AL90-AL91-AL92)</f>
        <v>1.3939801051470233E-2</v>
      </c>
      <c r="AM93" s="64">
        <f t="shared" ref="AM93" si="584">IF(AM90-AM91-AM92&lt;0,0,AM90-AM91-AM92)</f>
        <v>8.4210076336760642E-3</v>
      </c>
      <c r="AN93" s="64">
        <f t="shared" ref="AN93" si="585">IF(AN90-AN91-AN92&lt;0,0,AN90-AN91-AN92)</f>
        <v>2.5094515758295223E-3</v>
      </c>
      <c r="AO93" s="64">
        <f t="shared" ref="AO93" si="586">IF(AO90-AO91-AO92&lt;0,0,AO90-AO91-AO92)</f>
        <v>0</v>
      </c>
      <c r="AP93" s="64">
        <f t="shared" ref="AP93" si="587">IF(AP90-AP91-AP92&lt;0,0,AP90-AP91-AP92)</f>
        <v>0</v>
      </c>
      <c r="AQ93" s="64">
        <f t="shared" ref="AQ93" si="588">IF(AQ90-AQ91-AQ92&lt;0,0,AQ90-AQ91-AQ92)</f>
        <v>0</v>
      </c>
      <c r="AR93" s="64">
        <f t="shared" ref="AR93" si="589">IF(AR90-AR91-AR92&lt;0,0,AR90-AR91-AR92)</f>
        <v>0</v>
      </c>
      <c r="AS93" s="64">
        <f t="shared" ref="AS93" si="590">IF(AS90-AS91-AS92&lt;0,0,AS90-AS91-AS92)</f>
        <v>0</v>
      </c>
      <c r="AT93" s="64">
        <f t="shared" ref="AT93" si="591">IF(AT90-AT91-AT92&lt;0,0,AT90-AT91-AT92)</f>
        <v>0</v>
      </c>
      <c r="AU93" s="64">
        <f t="shared" ref="AU93" si="592">IF(AU90-AU91-AU92&lt;0,0,AU90-AU91-AU92)</f>
        <v>0</v>
      </c>
      <c r="AV93" s="64">
        <f t="shared" ref="AV93" si="593">IF(AV90-AV91-AV92&lt;0,0,AV90-AV91-AV92)</f>
        <v>0</v>
      </c>
      <c r="AW93" s="64">
        <f t="shared" ref="AW93" si="594">IF(AW90-AW91-AW92&lt;0,0,AW90-AW91-AW92)</f>
        <v>0</v>
      </c>
      <c r="AX93" s="64">
        <f t="shared" ref="AX93" si="595">IF(AX90-AX91-AX92&lt;0,0,AX90-AX91-AX92)</f>
        <v>0</v>
      </c>
      <c r="AY93" s="64">
        <f t="shared" ref="AY93" si="596">IF(AY90-AY91-AY92&lt;0,0,AY90-AY91-AY92)</f>
        <v>0</v>
      </c>
      <c r="AZ93" s="64">
        <f t="shared" ref="AZ93" si="597">IF(AZ90-AZ91-AZ92&lt;0,0,AZ90-AZ91-AZ92)</f>
        <v>0</v>
      </c>
      <c r="BA93" s="64">
        <f t="shared" ref="BA93" si="598">IF(BA90-BA91-BA92&lt;0,0,BA90-BA91-BA92)</f>
        <v>0</v>
      </c>
      <c r="BB93" s="64">
        <f t="shared" ref="BB93" si="599">IF(BB90-BB91-BB92&lt;0,0,BB90-BB91-BB92)</f>
        <v>0</v>
      </c>
      <c r="BC93" s="64">
        <f t="shared" ref="BC93" si="600">IF(BC90-BC91-BC92&lt;0,0,BC90-BC91-BC92)</f>
        <v>0</v>
      </c>
      <c r="BD93" s="64">
        <f t="shared" ref="BD93" si="601">IF(BD90-BD91-BD92&lt;0,0,BD90-BD91-BD92)</f>
        <v>0</v>
      </c>
      <c r="BE93" s="64">
        <f t="shared" ref="BE93" si="602">IF(BE90-BE91-BE92&lt;0,0,BE90-BE91-BE92)</f>
        <v>0</v>
      </c>
      <c r="BF93" s="64">
        <f t="shared" ref="BF93" si="603">IF(BF90-BF91-BF92&lt;0,0,BF90-BF91-BF92)</f>
        <v>0</v>
      </c>
      <c r="BG93" s="64">
        <f t="shared" ref="BG93" si="604">IF(BG90-BG91-BG92&lt;0,0,BG90-BG91-BG92)</f>
        <v>0</v>
      </c>
      <c r="BH93" s="64">
        <f t="shared" ref="BH93" si="605">IF(BH90-BH91-BH92&lt;0,0,BH90-BH91-BH92)</f>
        <v>0</v>
      </c>
      <c r="BI93" s="64">
        <f t="shared" ref="BI93" si="606">IF(BI90-BI91-BI92&lt;0,0,BI90-BI91-BI92)</f>
        <v>0</v>
      </c>
      <c r="BJ93" s="64">
        <f t="shared" ref="BJ93" si="607">IF(BJ90-BJ91-BJ92&lt;0,0,BJ90-BJ91-BJ92)</f>
        <v>0</v>
      </c>
      <c r="BK93" s="64">
        <f t="shared" ref="BK93" si="608">IF(BK90-BK91-BK92&lt;0,0,BK90-BK91-BK92)</f>
        <v>0</v>
      </c>
      <c r="BL93" s="64">
        <f t="shared" ref="BL93" si="609">IF(BL90-BL91-BL92&lt;0,0,BL90-BL91-BL92)</f>
        <v>0</v>
      </c>
      <c r="BM93" s="64">
        <f t="shared" ref="BM93" si="610">IF(BM90-BM91-BM92&lt;0,0,BM90-BM91-BM92)</f>
        <v>0</v>
      </c>
      <c r="BN93" s="64">
        <f t="shared" ref="BN93" si="611">IF(BN90-BN91-BN92&lt;0,0,BN90-BN91-BN92)</f>
        <v>0</v>
      </c>
    </row>
    <row r="94" spans="1:66" s="67" customFormat="1" x14ac:dyDescent="0.2">
      <c r="A94" s="681"/>
      <c r="B94" s="58" t="s">
        <v>246</v>
      </c>
      <c r="C94" s="59" t="s">
        <v>153</v>
      </c>
      <c r="D94" s="60">
        <f>D53</f>
        <v>2.4253683632989597E-3</v>
      </c>
      <c r="E94" s="60">
        <f t="shared" ref="E94:AH95" si="612">E53</f>
        <v>2.3429211882458833E-3</v>
      </c>
      <c r="F94" s="60">
        <f t="shared" si="612"/>
        <v>2.2687388446279446E-3</v>
      </c>
      <c r="G94" s="60">
        <f t="shared" si="612"/>
        <v>2.2006586684234337E-3</v>
      </c>
      <c r="H94" s="60">
        <f t="shared" si="612"/>
        <v>2.1370709438928146E-3</v>
      </c>
      <c r="I94" s="60">
        <f t="shared" si="612"/>
        <v>2.0767463133532509E-3</v>
      </c>
      <c r="J94" s="60">
        <f t="shared" si="612"/>
        <v>2.0187237082855106E-3</v>
      </c>
      <c r="K94" s="60">
        <f t="shared" si="612"/>
        <v>1.9622353932937974E-3</v>
      </c>
      <c r="L94" s="60">
        <f t="shared" si="612"/>
        <v>1.9066555191543243E-3</v>
      </c>
      <c r="M94" s="60">
        <f t="shared" si="612"/>
        <v>1.8514639956310865E-3</v>
      </c>
      <c r="N94" s="60">
        <f t="shared" si="612"/>
        <v>1.7962205996476391E-3</v>
      </c>
      <c r="O94" s="60">
        <f t="shared" si="612"/>
        <v>1.7821587909736831E-3</v>
      </c>
      <c r="P94" s="60">
        <f t="shared" si="612"/>
        <v>1.7665751962475452E-3</v>
      </c>
      <c r="Q94" s="60">
        <f t="shared" si="612"/>
        <v>1.7493863930520383E-3</v>
      </c>
      <c r="R94" s="60">
        <f t="shared" si="612"/>
        <v>1.7305049555564999E-3</v>
      </c>
      <c r="S94" s="60">
        <f t="shared" si="612"/>
        <v>1.7098391978316372E-3</v>
      </c>
      <c r="T94" s="60">
        <f t="shared" si="612"/>
        <v>1.6885661173524529E-3</v>
      </c>
      <c r="U94" s="60">
        <f t="shared" si="612"/>
        <v>1.6652788199079858E-3</v>
      </c>
      <c r="V94" s="60">
        <f t="shared" si="612"/>
        <v>1.6398680082873871E-3</v>
      </c>
      <c r="W94" s="60">
        <f t="shared" si="612"/>
        <v>1.6122184068822318E-3</v>
      </c>
      <c r="X94" s="60">
        <f t="shared" si="612"/>
        <v>1.5822083620850591E-3</v>
      </c>
      <c r="Y94" s="60">
        <f t="shared" si="612"/>
        <v>1.5366325222489652E-3</v>
      </c>
      <c r="Z94" s="60">
        <f t="shared" si="612"/>
        <v>1.487485748837067E-3</v>
      </c>
      <c r="AA94" s="60">
        <f t="shared" si="612"/>
        <v>1.434563840181576E-3</v>
      </c>
      <c r="AB94" s="60">
        <f t="shared" si="612"/>
        <v>1.3776495027425289E-3</v>
      </c>
      <c r="AC94" s="60">
        <f t="shared" si="612"/>
        <v>1.3165113206998506E-3</v>
      </c>
      <c r="AD94" s="60">
        <f t="shared" si="612"/>
        <v>1.2509026268236456E-3</v>
      </c>
      <c r="AE94" s="60">
        <f t="shared" si="612"/>
        <v>1.1805602633937857E-3</v>
      </c>
      <c r="AF94" s="60">
        <f t="shared" si="612"/>
        <v>1.1052032204561049E-3</v>
      </c>
      <c r="AG94" s="60">
        <f t="shared" si="612"/>
        <v>1.0245311369943711E-3</v>
      </c>
      <c r="AH94" s="60">
        <f t="shared" si="612"/>
        <v>9.3822264862653904E-4</v>
      </c>
      <c r="AJ94" s="60">
        <f>AJ53</f>
        <v>2.4253683632989597E-3</v>
      </c>
      <c r="AK94" s="60">
        <f t="shared" ref="AK94:BN94" si="613">AK53</f>
        <v>2.3802735072618762E-3</v>
      </c>
      <c r="AL94" s="60">
        <f t="shared" si="613"/>
        <v>2.343460684639673E-3</v>
      </c>
      <c r="AM94" s="60">
        <f t="shared" si="613"/>
        <v>2.3130807220787032E-3</v>
      </c>
      <c r="AN94" s="60">
        <f t="shared" si="613"/>
        <v>2.2877680962576888E-3</v>
      </c>
      <c r="AO94" s="60">
        <f t="shared" si="613"/>
        <v>2.2664904324621077E-3</v>
      </c>
      <c r="AP94" s="60">
        <f t="shared" si="613"/>
        <v>2.2484507985851259E-3</v>
      </c>
      <c r="AQ94" s="60">
        <f t="shared" si="613"/>
        <v>2.2330223752827266E-3</v>
      </c>
      <c r="AR94" s="60">
        <f t="shared" si="613"/>
        <v>2.2197036357423615E-3</v>
      </c>
      <c r="AS94" s="60">
        <f t="shared" si="613"/>
        <v>2.2080868915896712E-3</v>
      </c>
      <c r="AT94" s="60">
        <f t="shared" si="613"/>
        <v>2.1978357699017066E-3</v>
      </c>
      <c r="AU94" s="60">
        <f t="shared" si="613"/>
        <v>2.2226385638772208E-3</v>
      </c>
      <c r="AV94" s="60">
        <f t="shared" si="613"/>
        <v>2.2476490410088088E-3</v>
      </c>
      <c r="AW94" s="60">
        <f t="shared" si="613"/>
        <v>2.2728600707683775E-3</v>
      </c>
      <c r="AX94" s="60">
        <f t="shared" si="613"/>
        <v>2.2982641998356367E-3</v>
      </c>
      <c r="AY94" s="60">
        <f t="shared" si="613"/>
        <v>2.3238536176715206E-3</v>
      </c>
      <c r="AZ94" s="60">
        <f t="shared" si="613"/>
        <v>2.351393124146106E-3</v>
      </c>
      <c r="BA94" s="60">
        <f t="shared" si="613"/>
        <v>2.3791464863915728E-3</v>
      </c>
      <c r="BB94" s="60">
        <f t="shared" si="613"/>
        <v>2.4071078410459264E-3</v>
      </c>
      <c r="BC94" s="60">
        <f t="shared" si="613"/>
        <v>2.4352708918831457E-3</v>
      </c>
      <c r="BD94" s="60">
        <f t="shared" si="613"/>
        <v>2.4636288766926974E-3</v>
      </c>
      <c r="BE94" s="60">
        <f t="shared" si="613"/>
        <v>2.4882989365766486E-3</v>
      </c>
      <c r="BF94" s="60">
        <f t="shared" si="613"/>
        <v>2.512874354957386E-3</v>
      </c>
      <c r="BG94" s="60">
        <f t="shared" si="613"/>
        <v>2.5373324658679725E-3</v>
      </c>
      <c r="BH94" s="60">
        <f t="shared" si="613"/>
        <v>2.5616489802219025E-3</v>
      </c>
      <c r="BI94" s="60">
        <f t="shared" si="613"/>
        <v>2.5857978575678621E-3</v>
      </c>
      <c r="BJ94" s="60">
        <f t="shared" si="613"/>
        <v>2.6097511656066916E-3</v>
      </c>
      <c r="BK94" s="60">
        <f t="shared" si="613"/>
        <v>2.6334789260786624E-3</v>
      </c>
      <c r="BL94" s="60">
        <f t="shared" si="613"/>
        <v>2.6569489454453133E-3</v>
      </c>
      <c r="BM94" s="60">
        <f t="shared" si="613"/>
        <v>2.680126628578377E-3</v>
      </c>
      <c r="BN94" s="60">
        <f t="shared" si="613"/>
        <v>2.7029747734240782E-3</v>
      </c>
    </row>
    <row r="95" spans="1:66" x14ac:dyDescent="0.2">
      <c r="A95" s="682"/>
      <c r="B95" s="1" t="s">
        <v>247</v>
      </c>
      <c r="C95" s="54" t="s">
        <v>153</v>
      </c>
      <c r="D95" s="44">
        <f t="shared" ref="D95:S95" si="614">D54</f>
        <v>0</v>
      </c>
      <c r="E95" s="44">
        <f t="shared" si="614"/>
        <v>0</v>
      </c>
      <c r="F95" s="44">
        <f t="shared" si="614"/>
        <v>0</v>
      </c>
      <c r="G95" s="44">
        <f t="shared" si="614"/>
        <v>0</v>
      </c>
      <c r="H95" s="44">
        <f t="shared" si="614"/>
        <v>0</v>
      </c>
      <c r="I95" s="44">
        <f t="shared" si="614"/>
        <v>0</v>
      </c>
      <c r="J95" s="44">
        <f t="shared" si="614"/>
        <v>0</v>
      </c>
      <c r="K95" s="44">
        <f t="shared" si="614"/>
        <v>0</v>
      </c>
      <c r="L95" s="44">
        <f t="shared" si="614"/>
        <v>0</v>
      </c>
      <c r="M95" s="44">
        <f t="shared" si="614"/>
        <v>0</v>
      </c>
      <c r="N95" s="44">
        <f t="shared" si="614"/>
        <v>0</v>
      </c>
      <c r="O95" s="44">
        <f t="shared" si="614"/>
        <v>0</v>
      </c>
      <c r="P95" s="44">
        <f t="shared" si="614"/>
        <v>0</v>
      </c>
      <c r="Q95" s="44">
        <f t="shared" si="614"/>
        <v>0</v>
      </c>
      <c r="R95" s="44">
        <f t="shared" si="614"/>
        <v>0</v>
      </c>
      <c r="S95" s="44">
        <f t="shared" si="614"/>
        <v>0</v>
      </c>
      <c r="T95" s="44">
        <f t="shared" si="612"/>
        <v>0</v>
      </c>
      <c r="U95" s="44">
        <f t="shared" si="612"/>
        <v>0</v>
      </c>
      <c r="V95" s="44">
        <f t="shared" si="612"/>
        <v>0</v>
      </c>
      <c r="W95" s="44">
        <f t="shared" si="612"/>
        <v>0</v>
      </c>
      <c r="X95" s="44">
        <f t="shared" si="612"/>
        <v>0</v>
      </c>
      <c r="Y95" s="44">
        <f t="shared" si="612"/>
        <v>0</v>
      </c>
      <c r="Z95" s="44">
        <f t="shared" si="612"/>
        <v>0</v>
      </c>
      <c r="AA95" s="44">
        <f t="shared" si="612"/>
        <v>0</v>
      </c>
      <c r="AB95" s="44">
        <f t="shared" si="612"/>
        <v>0</v>
      </c>
      <c r="AC95" s="44">
        <f t="shared" si="612"/>
        <v>0</v>
      </c>
      <c r="AD95" s="44">
        <f t="shared" si="612"/>
        <v>0</v>
      </c>
      <c r="AE95" s="44">
        <f t="shared" si="612"/>
        <v>0</v>
      </c>
      <c r="AF95" s="44">
        <f t="shared" si="612"/>
        <v>0</v>
      </c>
      <c r="AG95" s="44">
        <f t="shared" si="612"/>
        <v>0</v>
      </c>
      <c r="AH95" s="44">
        <f t="shared" si="612"/>
        <v>0</v>
      </c>
      <c r="AJ95" s="44">
        <f t="shared" ref="AJ95:BN95" si="615">AJ54</f>
        <v>0</v>
      </c>
      <c r="AK95" s="44">
        <f t="shared" si="615"/>
        <v>0</v>
      </c>
      <c r="AL95" s="44">
        <f t="shared" si="615"/>
        <v>0</v>
      </c>
      <c r="AM95" s="44">
        <f t="shared" si="615"/>
        <v>0</v>
      </c>
      <c r="AN95" s="44">
        <f t="shared" si="615"/>
        <v>0</v>
      </c>
      <c r="AO95" s="44">
        <f t="shared" si="615"/>
        <v>0</v>
      </c>
      <c r="AP95" s="44">
        <f t="shared" si="615"/>
        <v>0</v>
      </c>
      <c r="AQ95" s="44">
        <f t="shared" si="615"/>
        <v>0</v>
      </c>
      <c r="AR95" s="44">
        <f t="shared" si="615"/>
        <v>0</v>
      </c>
      <c r="AS95" s="44">
        <f t="shared" si="615"/>
        <v>0</v>
      </c>
      <c r="AT95" s="44">
        <f t="shared" si="615"/>
        <v>0</v>
      </c>
      <c r="AU95" s="44">
        <f t="shared" si="615"/>
        <v>0</v>
      </c>
      <c r="AV95" s="44">
        <f t="shared" si="615"/>
        <v>0</v>
      </c>
      <c r="AW95" s="44">
        <f t="shared" si="615"/>
        <v>0</v>
      </c>
      <c r="AX95" s="44">
        <f t="shared" si="615"/>
        <v>0</v>
      </c>
      <c r="AY95" s="44">
        <f t="shared" si="615"/>
        <v>0</v>
      </c>
      <c r="AZ95" s="44">
        <f t="shared" si="615"/>
        <v>0</v>
      </c>
      <c r="BA95" s="44">
        <f t="shared" si="615"/>
        <v>0</v>
      </c>
      <c r="BB95" s="44">
        <f t="shared" si="615"/>
        <v>0</v>
      </c>
      <c r="BC95" s="44">
        <f t="shared" si="615"/>
        <v>0</v>
      </c>
      <c r="BD95" s="44">
        <f t="shared" si="615"/>
        <v>0</v>
      </c>
      <c r="BE95" s="44">
        <f t="shared" si="615"/>
        <v>0</v>
      </c>
      <c r="BF95" s="44">
        <f t="shared" si="615"/>
        <v>0</v>
      </c>
      <c r="BG95" s="44">
        <f t="shared" si="615"/>
        <v>0</v>
      </c>
      <c r="BH95" s="44">
        <f t="shared" si="615"/>
        <v>0</v>
      </c>
      <c r="BI95" s="44">
        <f t="shared" si="615"/>
        <v>0</v>
      </c>
      <c r="BJ95" s="44">
        <f t="shared" si="615"/>
        <v>0</v>
      </c>
      <c r="BK95" s="44">
        <f t="shared" si="615"/>
        <v>0</v>
      </c>
      <c r="BL95" s="44">
        <f t="shared" si="615"/>
        <v>0</v>
      </c>
      <c r="BM95" s="44">
        <f t="shared" si="615"/>
        <v>0</v>
      </c>
      <c r="BN95" s="44">
        <f t="shared" si="615"/>
        <v>0</v>
      </c>
    </row>
    <row r="96" spans="1:66" s="68" customFormat="1" x14ac:dyDescent="0.2">
      <c r="A96" s="683"/>
      <c r="B96" s="62" t="s">
        <v>248</v>
      </c>
      <c r="C96" s="283" t="s">
        <v>153</v>
      </c>
      <c r="D96" s="284">
        <f>D55-(D90-D93)</f>
        <v>1.2038704707305939E-2</v>
      </c>
      <c r="E96" s="284">
        <f t="shared" ref="E96:AH96" si="616">E55-(E90-E93)</f>
        <v>1.6496885690624533E-2</v>
      </c>
      <c r="F96" s="284">
        <f t="shared" si="616"/>
        <v>1.1205153774452239E-2</v>
      </c>
      <c r="G96" s="284">
        <f t="shared" si="616"/>
        <v>5.5068102010472717E-3</v>
      </c>
      <c r="H96" s="284">
        <f t="shared" si="616"/>
        <v>-5.9898347240151979E-4</v>
      </c>
      <c r="I96" s="284">
        <f t="shared" si="616"/>
        <v>-2.0767463133532522E-3</v>
      </c>
      <c r="J96" s="284">
        <f t="shared" si="616"/>
        <v>-2.0187237082855101E-3</v>
      </c>
      <c r="K96" s="284">
        <f t="shared" si="616"/>
        <v>-1.9622353932937982E-3</v>
      </c>
      <c r="L96" s="284">
        <f t="shared" si="616"/>
        <v>-1.9066555191543221E-3</v>
      </c>
      <c r="M96" s="284">
        <f t="shared" si="616"/>
        <v>-1.8514639956310856E-3</v>
      </c>
      <c r="N96" s="284">
        <f t="shared" si="616"/>
        <v>-1.79622059964764E-3</v>
      </c>
      <c r="O96" s="284">
        <f t="shared" si="616"/>
        <v>-1.7821587909736831E-3</v>
      </c>
      <c r="P96" s="284">
        <f t="shared" si="616"/>
        <v>-1.7665751962475454E-3</v>
      </c>
      <c r="Q96" s="284">
        <f t="shared" si="616"/>
        <v>-1.7493863930520392E-3</v>
      </c>
      <c r="R96" s="284">
        <f t="shared" si="616"/>
        <v>-1.730504955556501E-3</v>
      </c>
      <c r="S96" s="284">
        <f t="shared" si="616"/>
        <v>-1.7098391978316377E-3</v>
      </c>
      <c r="T96" s="284">
        <f t="shared" si="616"/>
        <v>-1.6885661173524531E-3</v>
      </c>
      <c r="U96" s="284">
        <f t="shared" si="616"/>
        <v>-1.6652788199079845E-3</v>
      </c>
      <c r="V96" s="284">
        <f t="shared" si="616"/>
        <v>-1.6398680082873856E-3</v>
      </c>
      <c r="W96" s="284">
        <f t="shared" si="616"/>
        <v>-1.6122184068822331E-3</v>
      </c>
      <c r="X96" s="284">
        <f t="shared" si="616"/>
        <v>-1.5822083620850597E-3</v>
      </c>
      <c r="Y96" s="284">
        <f t="shared" si="616"/>
        <v>-1.5366325222489659E-3</v>
      </c>
      <c r="Z96" s="284">
        <f t="shared" si="616"/>
        <v>-1.4874857488370672E-3</v>
      </c>
      <c r="AA96" s="284">
        <f t="shared" si="616"/>
        <v>-1.4345638401815752E-3</v>
      </c>
      <c r="AB96" s="284">
        <f t="shared" si="616"/>
        <v>-1.3776495027425289E-3</v>
      </c>
      <c r="AC96" s="284">
        <f t="shared" si="616"/>
        <v>-1.3165113206998506E-3</v>
      </c>
      <c r="AD96" s="284">
        <f t="shared" si="616"/>
        <v>-1.250902626823645E-3</v>
      </c>
      <c r="AE96" s="284">
        <f t="shared" si="616"/>
        <v>-1.1805602633937857E-3</v>
      </c>
      <c r="AF96" s="284">
        <f t="shared" si="616"/>
        <v>-1.1052032204561047E-3</v>
      </c>
      <c r="AG96" s="284">
        <f t="shared" si="616"/>
        <v>-1.0245311369943711E-3</v>
      </c>
      <c r="AH96" s="284">
        <f t="shared" si="616"/>
        <v>-9.3822264862653947E-4</v>
      </c>
      <c r="AJ96" s="284">
        <f>AJ55-(AJ90-AJ93)</f>
        <v>1.2038704707305939E-2</v>
      </c>
      <c r="AK96" s="284">
        <f t="shared" ref="AK96:BN96" si="617">AK55-(AK90-AK93)</f>
        <v>1.6687696169057142E-2</v>
      </c>
      <c r="AL96" s="284">
        <f t="shared" si="617"/>
        <v>1.1596340366830561E-2</v>
      </c>
      <c r="AM96" s="284">
        <f t="shared" si="617"/>
        <v>6.1079269115973597E-3</v>
      </c>
      <c r="AN96" s="284">
        <f t="shared" si="617"/>
        <v>2.2168347957183393E-4</v>
      </c>
      <c r="AO96" s="284">
        <f t="shared" si="617"/>
        <v>-2.266490432462109E-3</v>
      </c>
      <c r="AP96" s="284">
        <f t="shared" si="617"/>
        <v>-2.2484507985851259E-3</v>
      </c>
      <c r="AQ96" s="284">
        <f t="shared" si="617"/>
        <v>-2.2330223752827279E-3</v>
      </c>
      <c r="AR96" s="284">
        <f t="shared" si="617"/>
        <v>-2.2197036357423598E-3</v>
      </c>
      <c r="AS96" s="284">
        <f t="shared" si="617"/>
        <v>-2.2080868915896699E-3</v>
      </c>
      <c r="AT96" s="284">
        <f t="shared" si="617"/>
        <v>-2.197835769901707E-3</v>
      </c>
      <c r="AU96" s="284">
        <f t="shared" si="617"/>
        <v>-2.2226385638772217E-3</v>
      </c>
      <c r="AV96" s="284">
        <f t="shared" si="617"/>
        <v>-2.2476490410088083E-3</v>
      </c>
      <c r="AW96" s="284">
        <f t="shared" si="617"/>
        <v>-2.2728600707683771E-3</v>
      </c>
      <c r="AX96" s="284">
        <f t="shared" si="617"/>
        <v>-2.2982641998356371E-3</v>
      </c>
      <c r="AY96" s="284">
        <f t="shared" si="617"/>
        <v>-2.3238536176715206E-3</v>
      </c>
      <c r="AZ96" s="284">
        <f t="shared" si="617"/>
        <v>-2.3513931241461068E-3</v>
      </c>
      <c r="BA96" s="284">
        <f t="shared" si="617"/>
        <v>-2.3791464863915715E-3</v>
      </c>
      <c r="BB96" s="284">
        <f t="shared" si="617"/>
        <v>-2.407107841045926E-3</v>
      </c>
      <c r="BC96" s="284">
        <f t="shared" si="617"/>
        <v>-2.435270891883147E-3</v>
      </c>
      <c r="BD96" s="284">
        <f t="shared" si="617"/>
        <v>-2.4636288766926983E-3</v>
      </c>
      <c r="BE96" s="284">
        <f t="shared" si="617"/>
        <v>-2.4882989365766495E-3</v>
      </c>
      <c r="BF96" s="284">
        <f t="shared" si="617"/>
        <v>-2.5128743549573864E-3</v>
      </c>
      <c r="BG96" s="284">
        <f t="shared" si="617"/>
        <v>-2.5373324658679707E-3</v>
      </c>
      <c r="BH96" s="284">
        <f t="shared" si="617"/>
        <v>-2.5616489802219033E-3</v>
      </c>
      <c r="BI96" s="284">
        <f t="shared" si="617"/>
        <v>-2.5857978575678613E-3</v>
      </c>
      <c r="BJ96" s="284">
        <f t="shared" si="617"/>
        <v>-2.6097511656066903E-3</v>
      </c>
      <c r="BK96" s="284">
        <f t="shared" si="617"/>
        <v>-2.6334789260786615E-3</v>
      </c>
      <c r="BL96" s="284">
        <f t="shared" si="617"/>
        <v>-2.6569489454453133E-3</v>
      </c>
      <c r="BM96" s="284">
        <f t="shared" si="617"/>
        <v>-2.6801266285783765E-3</v>
      </c>
      <c r="BN96" s="284">
        <f t="shared" si="617"/>
        <v>-2.7029747734240786E-3</v>
      </c>
    </row>
    <row r="97" spans="1:66" x14ac:dyDescent="0.2">
      <c r="A97" s="58" t="s">
        <v>223</v>
      </c>
      <c r="B97" s="58" t="s">
        <v>197</v>
      </c>
      <c r="C97" s="100" t="s">
        <v>153</v>
      </c>
      <c r="D97" s="101">
        <f t="shared" ref="D97:AH97" si="618">D43</f>
        <v>3.219812080101577</v>
      </c>
      <c r="E97" s="101">
        <f t="shared" si="618"/>
        <v>3.1957591630771245</v>
      </c>
      <c r="F97" s="101">
        <f t="shared" si="618"/>
        <v>3.1699579211826907</v>
      </c>
      <c r="G97" s="101">
        <f t="shared" si="618"/>
        <v>3.1423558626657178</v>
      </c>
      <c r="H97" s="101">
        <f t="shared" si="618"/>
        <v>3.1128992163199452</v>
      </c>
      <c r="I97" s="101">
        <f t="shared" si="618"/>
        <v>3.0815329031541063</v>
      </c>
      <c r="J97" s="101">
        <f t="shared" si="618"/>
        <v>3.0482005074671124</v>
      </c>
      <c r="K97" s="101">
        <f t="shared" si="618"/>
        <v>3.0128442473177488</v>
      </c>
      <c r="L97" s="101">
        <f t="shared" si="618"/>
        <v>2.975404944376649</v>
      </c>
      <c r="M97" s="101">
        <f t="shared" si="618"/>
        <v>2.9358219931480778</v>
      </c>
      <c r="N97" s="101">
        <f t="shared" si="618"/>
        <v>2.8940333295488094</v>
      </c>
      <c r="O97" s="101">
        <f t="shared" si="618"/>
        <v>2.8499753988311469</v>
      </c>
      <c r="P97" s="101">
        <f t="shared" si="618"/>
        <v>2.8035831228368435</v>
      </c>
      <c r="Q97" s="101">
        <f t="shared" si="618"/>
        <v>2.7547898665684722</v>
      </c>
      <c r="R97" s="101">
        <f t="shared" si="618"/>
        <v>2.7035274040644763</v>
      </c>
      <c r="S97" s="101">
        <f t="shared" si="618"/>
        <v>2.6497258835639061</v>
      </c>
      <c r="T97" s="101">
        <f t="shared" si="618"/>
        <v>2.5933137919465414</v>
      </c>
      <c r="U97" s="101">
        <f t="shared" si="618"/>
        <v>2.5342179184338374</v>
      </c>
      <c r="V97" s="101">
        <f t="shared" si="618"/>
        <v>2.4723633175358279</v>
      </c>
      <c r="W97" s="101">
        <f t="shared" si="618"/>
        <v>2.4076732712288598</v>
      </c>
      <c r="X97" s="101">
        <f t="shared" si="618"/>
        <v>2.3400692503486868</v>
      </c>
      <c r="Y97" s="101">
        <f t="shared" si="618"/>
        <v>2.2661260402613408</v>
      </c>
      <c r="Z97" s="101">
        <f t="shared" si="618"/>
        <v>2.1889924810176757</v>
      </c>
      <c r="AA97" s="101">
        <f t="shared" si="618"/>
        <v>2.1085814703340895</v>
      </c>
      <c r="AB97" s="101">
        <f t="shared" si="618"/>
        <v>2.0248038664602475</v>
      </c>
      <c r="AC97" s="101">
        <f t="shared" si="618"/>
        <v>1.937568444009768</v>
      </c>
      <c r="AD97" s="101">
        <f t="shared" si="618"/>
        <v>1.8467818488785652</v>
      </c>
      <c r="AE97" s="101">
        <f t="shared" si="618"/>
        <v>1.7523485522325832</v>
      </c>
      <c r="AF97" s="101">
        <f t="shared" si="618"/>
        <v>1.6541708035463123</v>
      </c>
      <c r="AG97" s="101">
        <f t="shared" si="618"/>
        <v>1.5521485826731127</v>
      </c>
      <c r="AH97" s="101">
        <f t="shared" si="618"/>
        <v>1.4461795509279991</v>
      </c>
      <c r="AJ97" s="101">
        <f t="shared" ref="AJ97:BN97" si="619">AJ43</f>
        <v>3.219812080101577</v>
      </c>
      <c r="AK97" s="101">
        <f t="shared" si="619"/>
        <v>3.2410973304973294</v>
      </c>
      <c r="AL97" s="101">
        <f t="shared" si="619"/>
        <v>3.2621757537153888</v>
      </c>
      <c r="AM97" s="101">
        <f t="shared" si="619"/>
        <v>3.2830341661943483</v>
      </c>
      <c r="AN97" s="101">
        <f t="shared" si="619"/>
        <v>3.3036589959047684</v>
      </c>
      <c r="AO97" s="101">
        <f t="shared" si="619"/>
        <v>3.3240362729513127</v>
      </c>
      <c r="AP97" s="101">
        <f t="shared" si="619"/>
        <v>3.3441516199676231</v>
      </c>
      <c r="AQ97" s="101">
        <f t="shared" si="619"/>
        <v>3.3639902422996055</v>
      </c>
      <c r="AR97" s="101">
        <f t="shared" si="619"/>
        <v>3.383536917972704</v>
      </c>
      <c r="AS97" s="101">
        <f t="shared" si="619"/>
        <v>3.4027759874386634</v>
      </c>
      <c r="AT97" s="101">
        <f t="shared" si="619"/>
        <v>3.4216913430971716</v>
      </c>
      <c r="AU97" s="101">
        <f t="shared" si="619"/>
        <v>3.440266418587699</v>
      </c>
      <c r="AV97" s="101">
        <f t="shared" si="619"/>
        <v>3.4584841778467492</v>
      </c>
      <c r="AW97" s="101">
        <f t="shared" si="619"/>
        <v>3.4763271039256356</v>
      </c>
      <c r="AX97" s="101">
        <f t="shared" si="619"/>
        <v>3.4937771875638068</v>
      </c>
      <c r="AY97" s="101">
        <f t="shared" si="619"/>
        <v>3.5108159155126408</v>
      </c>
      <c r="AZ97" s="101">
        <f t="shared" si="619"/>
        <v>3.5274242586045292</v>
      </c>
      <c r="BA97" s="101">
        <f t="shared" si="619"/>
        <v>3.5435826595619586</v>
      </c>
      <c r="BB97" s="101">
        <f t="shared" si="619"/>
        <v>3.5592710205412041</v>
      </c>
      <c r="BC97" s="101">
        <f t="shared" si="619"/>
        <v>3.5744686904051308</v>
      </c>
      <c r="BD97" s="101">
        <f t="shared" si="619"/>
        <v>3.5891544517194944</v>
      </c>
      <c r="BE97" s="101">
        <f t="shared" si="619"/>
        <v>3.6018863992872703</v>
      </c>
      <c r="BF97" s="101">
        <f t="shared" si="619"/>
        <v>3.6140139674358038</v>
      </c>
      <c r="BG97" s="101">
        <f t="shared" si="619"/>
        <v>3.625512927731994</v>
      </c>
      <c r="BH97" s="101">
        <f t="shared" si="619"/>
        <v>3.6363584026416649</v>
      </c>
      <c r="BI97" s="101">
        <f t="shared" si="619"/>
        <v>3.6465248504621508</v>
      </c>
      <c r="BJ97" s="101">
        <f t="shared" si="619"/>
        <v>3.6559860499301688</v>
      </c>
      <c r="BK97" s="101">
        <f t="shared" si="619"/>
        <v>3.6647150844983165</v>
      </c>
      <c r="BL97" s="101">
        <f t="shared" si="619"/>
        <v>3.6726843262733513</v>
      </c>
      <c r="BM97" s="101">
        <f t="shared" si="619"/>
        <v>3.6798654196093179</v>
      </c>
      <c r="BN97" s="101">
        <f t="shared" si="619"/>
        <v>3.6862292643484138</v>
      </c>
    </row>
    <row r="98" spans="1:66" x14ac:dyDescent="0.2">
      <c r="A98"/>
      <c r="B98" t="s">
        <v>217</v>
      </c>
      <c r="C98" s="54" t="s">
        <v>153</v>
      </c>
      <c r="D98" s="44">
        <f>'Methanol Recycling HC'!C226</f>
        <v>0</v>
      </c>
      <c r="E98" s="44">
        <f>'Methanol Recycling HC'!D226</f>
        <v>7.6354229962917095E-4</v>
      </c>
      <c r="F98" s="44">
        <f>'Methanol Recycling HC'!E226</f>
        <v>1.6405211194287022E-3</v>
      </c>
      <c r="G98" s="44">
        <f>'Methanol Recycling HC'!F226</f>
        <v>2.6327168919735066E-3</v>
      </c>
      <c r="H98" s="44">
        <f>'Methanol Recycling HC'!G226</f>
        <v>3.7404954352137096E-3</v>
      </c>
      <c r="I98" s="44">
        <f>'Methanol Recycling HC'!H226</f>
        <v>4.9627173425855556E-3</v>
      </c>
      <c r="J98" s="44">
        <f>'Methanol Recycling HC'!I226</f>
        <v>6.3130476033721608E-3</v>
      </c>
      <c r="K98" s="44">
        <f>'Methanol Recycling HC'!J226</f>
        <v>7.7965941431777262E-3</v>
      </c>
      <c r="L98" s="44">
        <f>'Methanol Recycling HC'!K226</f>
        <v>9.4183706783335115E-3</v>
      </c>
      <c r="M98" s="44">
        <f>'Methanol Recycling HC'!L226</f>
        <v>1.11832778942468E-2</v>
      </c>
      <c r="N98" s="44">
        <f>'Methanol Recycling HC'!M226</f>
        <v>1.3096084297857403E-2</v>
      </c>
      <c r="O98" s="44">
        <f>'Methanol Recycling HC'!N226</f>
        <v>1.6517490099657528E-2</v>
      </c>
      <c r="P98" s="44">
        <f>'Methanol Recycling HC'!O226</f>
        <v>2.0206461520006727E-2</v>
      </c>
      <c r="Q98" s="44">
        <f>'Methanol Recycling HC'!P226</f>
        <v>2.4153871390306978E-2</v>
      </c>
      <c r="R98" s="44">
        <f>'Methanol Recycling HC'!Q226</f>
        <v>2.8347682664161194E-2</v>
      </c>
      <c r="S98" s="44">
        <f>'Methanol Recycling HC'!R226</f>
        <v>3.2772958308326404E-2</v>
      </c>
      <c r="T98" s="44">
        <f>'Methanol Recycling HC'!S226</f>
        <v>3.7481646007118681E-2</v>
      </c>
      <c r="U98" s="44">
        <f>'Methanol Recycling HC'!T226</f>
        <v>4.2479907903875944E-2</v>
      </c>
      <c r="V98" s="44">
        <f>'Methanol Recycling HC'!U226</f>
        <v>4.7773865652631101E-2</v>
      </c>
      <c r="W98" s="44">
        <f>'Methanol Recycling HC'!V226</f>
        <v>5.3369595153757492E-2</v>
      </c>
      <c r="X98" s="44">
        <f>'Methanol Recycling HC'!W226</f>
        <v>5.9273121231246312E-2</v>
      </c>
      <c r="Y98" s="44">
        <f>'Methanol Recycling HC'!X226</f>
        <v>6.8169649436664106E-2</v>
      </c>
      <c r="Z98" s="44">
        <f>'Methanol Recycling HC'!Y226</f>
        <v>7.758058431005109E-2</v>
      </c>
      <c r="AA98" s="44">
        <f>'Methanol Recycling HC'!Z226</f>
        <v>8.7516180239551489E-2</v>
      </c>
      <c r="AB98" s="44">
        <f>'Methanol Recycling HC'!AA226</f>
        <v>9.7986617626051806E-2</v>
      </c>
      <c r="AC98" s="44">
        <f>'Methanol Recycling HC'!AB226</f>
        <v>0.10900199485072001</v>
      </c>
      <c r="AD98" s="44">
        <f>'Methanol Recycling HC'!AC226</f>
        <v>0.12057347232054216</v>
      </c>
      <c r="AE98" s="44">
        <f>'Methanol Recycling HC'!AD226</f>
        <v>0.13271130587807609</v>
      </c>
      <c r="AF98" s="44">
        <f>'Methanol Recycling HC'!AE226</f>
        <v>0.14542567809825488</v>
      </c>
      <c r="AG98" s="44">
        <f>'Methanol Recycling HC'!AF226</f>
        <v>0.15872669099239387</v>
      </c>
      <c r="AH98" s="43">
        <f>'Methanol Recycling HC'!AG226</f>
        <v>0.17262435864647313</v>
      </c>
      <c r="AJ98" s="44">
        <f>D98</f>
        <v>0</v>
      </c>
      <c r="AK98" s="44">
        <f>E98</f>
        <v>7.6354229962917095E-4</v>
      </c>
      <c r="AL98" s="44">
        <f t="shared" ref="AK98:BN101" si="620">F98</f>
        <v>1.6405211194287022E-3</v>
      </c>
      <c r="AM98" s="44">
        <f t="shared" si="620"/>
        <v>2.6327168919735066E-3</v>
      </c>
      <c r="AN98" s="44">
        <f t="shared" si="620"/>
        <v>3.7404954352137096E-3</v>
      </c>
      <c r="AO98" s="44">
        <f t="shared" si="620"/>
        <v>4.9627173425855556E-3</v>
      </c>
      <c r="AP98" s="44">
        <f t="shared" si="620"/>
        <v>6.3130476033721608E-3</v>
      </c>
      <c r="AQ98" s="44">
        <f t="shared" si="620"/>
        <v>7.7965941431777262E-3</v>
      </c>
      <c r="AR98" s="44">
        <f t="shared" si="620"/>
        <v>9.4183706783335115E-3</v>
      </c>
      <c r="AS98" s="44">
        <f t="shared" si="620"/>
        <v>1.11832778942468E-2</v>
      </c>
      <c r="AT98" s="44">
        <f t="shared" si="620"/>
        <v>1.3096084297857403E-2</v>
      </c>
      <c r="AU98" s="44">
        <f t="shared" si="620"/>
        <v>1.6517490099657528E-2</v>
      </c>
      <c r="AV98" s="44">
        <f t="shared" si="620"/>
        <v>2.0206461520006727E-2</v>
      </c>
      <c r="AW98" s="44">
        <f t="shared" si="620"/>
        <v>2.4153871390306978E-2</v>
      </c>
      <c r="AX98" s="44">
        <f t="shared" si="620"/>
        <v>2.8347682664161194E-2</v>
      </c>
      <c r="AY98" s="44">
        <f t="shared" si="620"/>
        <v>3.2772958308326404E-2</v>
      </c>
      <c r="AZ98" s="44">
        <f t="shared" si="620"/>
        <v>3.7481646007118681E-2</v>
      </c>
      <c r="BA98" s="44">
        <f t="shared" si="620"/>
        <v>4.2479907903875944E-2</v>
      </c>
      <c r="BB98" s="44">
        <f t="shared" si="620"/>
        <v>4.7773865652631101E-2</v>
      </c>
      <c r="BC98" s="44">
        <f t="shared" si="620"/>
        <v>5.3369595153757492E-2</v>
      </c>
      <c r="BD98" s="44">
        <f t="shared" si="620"/>
        <v>5.9273121231246312E-2</v>
      </c>
      <c r="BE98" s="44">
        <f t="shared" si="620"/>
        <v>6.8169649436664106E-2</v>
      </c>
      <c r="BF98" s="44">
        <f t="shared" si="620"/>
        <v>7.758058431005109E-2</v>
      </c>
      <c r="BG98" s="44">
        <f t="shared" si="620"/>
        <v>8.7516180239551489E-2</v>
      </c>
      <c r="BH98" s="44">
        <f t="shared" si="620"/>
        <v>9.7986617626051806E-2</v>
      </c>
      <c r="BI98" s="44">
        <f t="shared" si="620"/>
        <v>0.10900199485072001</v>
      </c>
      <c r="BJ98" s="44">
        <f t="shared" si="620"/>
        <v>0.12057347232054216</v>
      </c>
      <c r="BK98" s="44">
        <f t="shared" si="620"/>
        <v>0.13271130587807609</v>
      </c>
      <c r="BL98" s="44">
        <f t="shared" si="620"/>
        <v>0.14542567809825488</v>
      </c>
      <c r="BM98" s="44">
        <f t="shared" si="620"/>
        <v>0.15872669099239387</v>
      </c>
      <c r="BN98" s="44">
        <f t="shared" si="620"/>
        <v>0.17262435864647313</v>
      </c>
    </row>
    <row r="99" spans="1:66" x14ac:dyDescent="0.2">
      <c r="A99"/>
      <c r="B99" t="s">
        <v>222</v>
      </c>
      <c r="C99" s="54" t="s">
        <v>153</v>
      </c>
      <c r="D99" s="44">
        <f>'Methanol Recycling HC'!C108</f>
        <v>0</v>
      </c>
      <c r="E99" s="44">
        <f>'Methanol Recycling HC'!D108</f>
        <v>1.1564302415678684E-2</v>
      </c>
      <c r="F99" s="44">
        <f>'Methanol Recycling HC'!E108</f>
        <v>2.3073686070347516E-2</v>
      </c>
      <c r="G99" s="44">
        <f>'Methanol Recycling HC'!F108</f>
        <v>3.4450548765485506E-2</v>
      </c>
      <c r="H99" s="44">
        <f>'Methanol Recycling HC'!G108</f>
        <v>4.5615414905540913E-2</v>
      </c>
      <c r="I99" s="44">
        <f>'Methanol Recycling HC'!H108</f>
        <v>5.6487851332533312E-2</v>
      </c>
      <c r="J99" s="44">
        <f>'Methanol Recycling HC'!I108</f>
        <v>6.7526268299422376E-2</v>
      </c>
      <c r="K99" s="44">
        <f>'Methanol Recycling HC'!J108</f>
        <v>7.8719268599857173E-2</v>
      </c>
      <c r="L99" s="44">
        <f>'Methanol Recycling HC'!K108</f>
        <v>9.0054813347894336E-2</v>
      </c>
      <c r="M99" s="44">
        <f>'Methanol Recycling HC'!L108</f>
        <v>0.10152023554929968</v>
      </c>
      <c r="N99" s="44">
        <f>'Methanol Recycling HC'!M108</f>
        <v>0.11310225601202101</v>
      </c>
      <c r="O99" s="44">
        <f>'Methanol Recycling HC'!N108</f>
        <v>0.13363463937307579</v>
      </c>
      <c r="P99" s="44">
        <f>'Methanol Recycling HC'!O108</f>
        <v>0.15385972519526658</v>
      </c>
      <c r="Q99" s="44">
        <f>'Methanol Recycling HC'!P108</f>
        <v>0.17365840939852967</v>
      </c>
      <c r="R99" s="44">
        <f>'Methanol Recycling HC'!Q108</f>
        <v>0.19291228329669324</v>
      </c>
      <c r="S99" s="44">
        <f>'Methanol Recycling HC'!R108</f>
        <v>0.21150479828925678</v>
      </c>
      <c r="T99" s="44">
        <f>'Methanol Recycling HC'!S108</f>
        <v>0.23006488437930966</v>
      </c>
      <c r="U99" s="44">
        <f>'Methanol Recycling HC'!T108</f>
        <v>0.24858056990666</v>
      </c>
      <c r="V99" s="44">
        <f>'Methanol Recycling HC'!U108</f>
        <v>0.26703977473344992</v>
      </c>
      <c r="W99" s="44">
        <f>'Methanol Recycling HC'!V108</f>
        <v>0.28543031951569453</v>
      </c>
      <c r="X99" s="44">
        <f>'Methanol Recycling HC'!W108</f>
        <v>0.30373993519842524</v>
      </c>
      <c r="Y99" s="44">
        <f>'Methanol Recycling HC'!X108</f>
        <v>0.33272169411580016</v>
      </c>
      <c r="Z99" s="44">
        <f>'Methanol Recycling HC'!Y108</f>
        <v>0.36160320646950922</v>
      </c>
      <c r="AA99" s="44">
        <f>'Methanol Recycling HC'!Z108</f>
        <v>0.39036596538072771</v>
      </c>
      <c r="AB99" s="44">
        <f>'Methanol Recycling HC'!AA108</f>
        <v>0.41899134718334147</v>
      </c>
      <c r="AC99" s="44">
        <f>'Methanol Recycling HC'!AB108</f>
        <v>0.44746062545078719</v>
      </c>
      <c r="AD99" s="44">
        <f>'Methanol Recycling HC'!AC108</f>
        <v>0.47576121114989217</v>
      </c>
      <c r="AE99" s="44">
        <f>'Methanol Recycling HC'!AD108</f>
        <v>0.50387502128338202</v>
      </c>
      <c r="AF99" s="44">
        <f>'Methanol Recycling HC'!AE108</f>
        <v>0.53178390332417558</v>
      </c>
      <c r="AG99" s="44">
        <f>'Methanol Recycling HC'!AF108</f>
        <v>0.55946964848573355</v>
      </c>
      <c r="AH99" s="43">
        <f>'Methanol Recycling HC'!AG108</f>
        <v>0.58691400521050729</v>
      </c>
      <c r="AJ99" s="44">
        <f t="shared" ref="AJ99:AJ101" si="621">D99</f>
        <v>0</v>
      </c>
      <c r="AK99" s="44">
        <f t="shared" si="620"/>
        <v>1.1564302415678684E-2</v>
      </c>
      <c r="AL99" s="44">
        <f t="shared" si="620"/>
        <v>2.3073686070347516E-2</v>
      </c>
      <c r="AM99" s="44">
        <f t="shared" si="620"/>
        <v>3.4450548765485506E-2</v>
      </c>
      <c r="AN99" s="44">
        <f t="shared" si="620"/>
        <v>4.5615414905540913E-2</v>
      </c>
      <c r="AO99" s="44">
        <f t="shared" si="620"/>
        <v>5.6487851332533312E-2</v>
      </c>
      <c r="AP99" s="44">
        <f t="shared" si="620"/>
        <v>6.7526268299422376E-2</v>
      </c>
      <c r="AQ99" s="44">
        <f t="shared" si="620"/>
        <v>7.8719268599857173E-2</v>
      </c>
      <c r="AR99" s="44">
        <f t="shared" si="620"/>
        <v>9.0054813347894336E-2</v>
      </c>
      <c r="AS99" s="44">
        <f t="shared" si="620"/>
        <v>0.10152023554929968</v>
      </c>
      <c r="AT99" s="44">
        <f t="shared" si="620"/>
        <v>0.11310225601202101</v>
      </c>
      <c r="AU99" s="44">
        <f t="shared" si="620"/>
        <v>0.13363463937307579</v>
      </c>
      <c r="AV99" s="44">
        <f t="shared" si="620"/>
        <v>0.15385972519526658</v>
      </c>
      <c r="AW99" s="44">
        <f t="shared" si="620"/>
        <v>0.17365840939852967</v>
      </c>
      <c r="AX99" s="44">
        <f t="shared" si="620"/>
        <v>0.19291228329669324</v>
      </c>
      <c r="AY99" s="44">
        <f t="shared" si="620"/>
        <v>0.21150479828925678</v>
      </c>
      <c r="AZ99" s="44">
        <f t="shared" si="620"/>
        <v>0.23006488437930966</v>
      </c>
      <c r="BA99" s="44">
        <f t="shared" si="620"/>
        <v>0.24858056990666</v>
      </c>
      <c r="BB99" s="44">
        <f t="shared" si="620"/>
        <v>0.26703977473344992</v>
      </c>
      <c r="BC99" s="44">
        <f t="shared" si="620"/>
        <v>0.28543031951569453</v>
      </c>
      <c r="BD99" s="44">
        <f t="shared" si="620"/>
        <v>0.30373993519842524</v>
      </c>
      <c r="BE99" s="44">
        <f t="shared" si="620"/>
        <v>0.33272169411580016</v>
      </c>
      <c r="BF99" s="44">
        <f t="shared" si="620"/>
        <v>0.36160320646950922</v>
      </c>
      <c r="BG99" s="44">
        <f t="shared" si="620"/>
        <v>0.39036596538072771</v>
      </c>
      <c r="BH99" s="44">
        <f t="shared" si="620"/>
        <v>0.41899134718334147</v>
      </c>
      <c r="BI99" s="44">
        <f t="shared" si="620"/>
        <v>0.44746062545078719</v>
      </c>
      <c r="BJ99" s="44">
        <f t="shared" si="620"/>
        <v>0.47576121114989217</v>
      </c>
      <c r="BK99" s="44">
        <f t="shared" si="620"/>
        <v>0.50387502128338202</v>
      </c>
      <c r="BL99" s="44">
        <f t="shared" si="620"/>
        <v>0.53178390332417558</v>
      </c>
      <c r="BM99" s="44">
        <f t="shared" si="620"/>
        <v>0.55946964848573355</v>
      </c>
      <c r="BN99" s="44">
        <f t="shared" si="620"/>
        <v>0.58691400521050729</v>
      </c>
    </row>
    <row r="100" spans="1:66" x14ac:dyDescent="0.2">
      <c r="A100" s="181"/>
      <c r="B100" s="181" t="s">
        <v>218</v>
      </c>
      <c r="C100" s="176" t="s">
        <v>153</v>
      </c>
      <c r="D100" s="238">
        <f>'Methanol Recycling HC'!C149</f>
        <v>0</v>
      </c>
      <c r="E100" s="238">
        <f>'Methanol Recycling HC'!D149</f>
        <v>1.1327636837602179E-3</v>
      </c>
      <c r="F100" s="238">
        <f>'Methanol Recycling HC'!E149</f>
        <v>2.2980753838490178E-3</v>
      </c>
      <c r="G100" s="238">
        <f>'Methanol Recycling HC'!F149</f>
        <v>3.4844139369582441E-3</v>
      </c>
      <c r="H100" s="238">
        <f>'Methanol Recycling HC'!G149</f>
        <v>4.67941045709449E-3</v>
      </c>
      <c r="I100" s="238">
        <f>'Methanol Recycling HC'!H149</f>
        <v>5.8700228603258955E-3</v>
      </c>
      <c r="J100" s="238">
        <f>'Methanol Recycling HC'!I149</f>
        <v>7.0665753828275312E-3</v>
      </c>
      <c r="K100" s="238">
        <f>'Methanol Recycling HC'!J149</f>
        <v>8.2628067630644911E-3</v>
      </c>
      <c r="L100" s="238">
        <f>'Methanol Recycling HC'!K149</f>
        <v>9.4520604047620728E-3</v>
      </c>
      <c r="M100" s="238">
        <f>'Methanol Recycling HC'!L149</f>
        <v>1.0627290948822078E-2</v>
      </c>
      <c r="N100" s="238">
        <f>'Methanol Recycling HC'!M149</f>
        <v>1.1781072787886628E-2</v>
      </c>
      <c r="O100" s="238">
        <f>'Methanol Recycling HC'!N149</f>
        <v>1.4129028065837712E-2</v>
      </c>
      <c r="P100" s="238">
        <f>'Methanol Recycling HC'!O149</f>
        <v>1.6397999876901988E-2</v>
      </c>
      <c r="Q100" s="238">
        <f>'Methanol Recycling HC'!P149</f>
        <v>1.8485258822429872E-2</v>
      </c>
      <c r="R100" s="238">
        <f>'Methanol Recycling HC'!Q149</f>
        <v>2.0427905484471817E-2</v>
      </c>
      <c r="S100" s="238">
        <f>'Methanol Recycling HC'!R149</f>
        <v>2.2202533455577135E-2</v>
      </c>
      <c r="T100" s="238">
        <f>'Methanol Recycling HC'!S149</f>
        <v>2.3837124658001588E-2</v>
      </c>
      <c r="U100" s="238">
        <f>'Methanol Recycling HC'!T149</f>
        <v>2.5319041620090878E-2</v>
      </c>
      <c r="V100" s="238">
        <f>'Methanol Recycling HC'!U149</f>
        <v>2.6635481659374075E-2</v>
      </c>
      <c r="W100" s="238">
        <f>'Methanol Recycling HC'!V149</f>
        <v>2.7773490647422402E-2</v>
      </c>
      <c r="X100" s="238">
        <f>'Methanol Recycling HC'!W149</f>
        <v>2.8719977305028978E-2</v>
      </c>
      <c r="Y100" s="238">
        <f>'Methanol Recycling HC'!X149</f>
        <v>3.073940386996871E-2</v>
      </c>
      <c r="Z100" s="238">
        <f>'Methanol Recycling HC'!Y149</f>
        <v>3.2441995001315657E-2</v>
      </c>
      <c r="AA100" s="238">
        <f>'Methanol Recycling HC'!Z149</f>
        <v>3.3481260791986704E-2</v>
      </c>
      <c r="AB100" s="238">
        <f>'Methanol Recycling HC'!AA149</f>
        <v>3.4134026244972429E-2</v>
      </c>
      <c r="AC100" s="238">
        <f>'Methanol Recycling HC'!AB149</f>
        <v>3.4387282291989681E-2</v>
      </c>
      <c r="AD100" s="238">
        <f>'Methanol Recycling HC'!AC149</f>
        <v>3.4229530653133187E-2</v>
      </c>
      <c r="AE100" s="238">
        <f>'Methanol Recycling HC'!AD149</f>
        <v>3.3650136481517892E-2</v>
      </c>
      <c r="AF100" s="238">
        <f>'Methanol Recycling HC'!AE149</f>
        <v>3.2639774497480845E-2</v>
      </c>
      <c r="AG100" s="238">
        <f>'Methanol Recycling HC'!AF149</f>
        <v>3.1190522739490908E-2</v>
      </c>
      <c r="AH100" s="265">
        <f>'Methanol Recycling HC'!AG149</f>
        <v>2.9295957827250838E-2</v>
      </c>
      <c r="AJ100" s="44">
        <f t="shared" si="621"/>
        <v>0</v>
      </c>
      <c r="AK100" s="44">
        <f t="shared" si="620"/>
        <v>1.1327636837602179E-3</v>
      </c>
      <c r="AL100" s="44">
        <f t="shared" si="620"/>
        <v>2.2980753838490178E-3</v>
      </c>
      <c r="AM100" s="44">
        <f t="shared" si="620"/>
        <v>3.4844139369582441E-3</v>
      </c>
      <c r="AN100" s="44">
        <f t="shared" si="620"/>
        <v>4.67941045709449E-3</v>
      </c>
      <c r="AO100" s="44">
        <f t="shared" si="620"/>
        <v>5.8700228603258955E-3</v>
      </c>
      <c r="AP100" s="44">
        <f t="shared" si="620"/>
        <v>7.0665753828275312E-3</v>
      </c>
      <c r="AQ100" s="44">
        <f t="shared" si="620"/>
        <v>8.2628067630644911E-3</v>
      </c>
      <c r="AR100" s="44">
        <f t="shared" si="620"/>
        <v>9.4520604047620728E-3</v>
      </c>
      <c r="AS100" s="44">
        <f t="shared" si="620"/>
        <v>1.0627290948822078E-2</v>
      </c>
      <c r="AT100" s="44">
        <f t="shared" si="620"/>
        <v>1.1781072787886628E-2</v>
      </c>
      <c r="AU100" s="44">
        <f t="shared" si="620"/>
        <v>1.4129028065837712E-2</v>
      </c>
      <c r="AV100" s="44">
        <f t="shared" si="620"/>
        <v>1.6397999876901988E-2</v>
      </c>
      <c r="AW100" s="44">
        <f t="shared" si="620"/>
        <v>1.8485258822429872E-2</v>
      </c>
      <c r="AX100" s="44">
        <f t="shared" si="620"/>
        <v>2.0427905484471817E-2</v>
      </c>
      <c r="AY100" s="44">
        <f t="shared" si="620"/>
        <v>2.2202533455577135E-2</v>
      </c>
      <c r="AZ100" s="44">
        <f t="shared" si="620"/>
        <v>2.3837124658001588E-2</v>
      </c>
      <c r="BA100" s="44">
        <f t="shared" si="620"/>
        <v>2.5319041620090878E-2</v>
      </c>
      <c r="BB100" s="44">
        <f t="shared" si="620"/>
        <v>2.6635481659374075E-2</v>
      </c>
      <c r="BC100" s="44">
        <f t="shared" si="620"/>
        <v>2.7773490647422402E-2</v>
      </c>
      <c r="BD100" s="44">
        <f t="shared" si="620"/>
        <v>2.8719977305028978E-2</v>
      </c>
      <c r="BE100" s="44">
        <f t="shared" si="620"/>
        <v>3.073940386996871E-2</v>
      </c>
      <c r="BF100" s="44">
        <f t="shared" si="620"/>
        <v>3.2441995001315657E-2</v>
      </c>
      <c r="BG100" s="44">
        <f t="shared" si="620"/>
        <v>3.3481260791986704E-2</v>
      </c>
      <c r="BH100" s="44">
        <f t="shared" si="620"/>
        <v>3.4134026244972429E-2</v>
      </c>
      <c r="BI100" s="44">
        <f t="shared" si="620"/>
        <v>3.4387282291989681E-2</v>
      </c>
      <c r="BJ100" s="44">
        <f t="shared" si="620"/>
        <v>3.4229530653133187E-2</v>
      </c>
      <c r="BK100" s="44">
        <f t="shared" si="620"/>
        <v>3.3650136481517892E-2</v>
      </c>
      <c r="BL100" s="44">
        <f t="shared" si="620"/>
        <v>3.2639774497480845E-2</v>
      </c>
      <c r="BM100" s="44">
        <f t="shared" si="620"/>
        <v>3.1190522739490908E-2</v>
      </c>
      <c r="BN100" s="44">
        <f t="shared" si="620"/>
        <v>2.9295957827250838E-2</v>
      </c>
    </row>
    <row r="101" spans="1:66" x14ac:dyDescent="0.2">
      <c r="A101" s="181"/>
      <c r="B101" s="181" t="s">
        <v>224</v>
      </c>
      <c r="C101" s="176" t="s">
        <v>153</v>
      </c>
      <c r="D101" s="238">
        <f>'Methanol Recycling HC'!C203</f>
        <v>0</v>
      </c>
      <c r="E101" s="238">
        <f>'Methanol Recycling HC'!D203</f>
        <v>-5.8355004134645408E-3</v>
      </c>
      <c r="F101" s="238">
        <f>'Methanol Recycling HC'!E203</f>
        <v>-1.8459246249419407E-3</v>
      </c>
      <c r="G101" s="238">
        <f>'Methanol Recycling HC'!F203</f>
        <v>2.6386493237511126E-3</v>
      </c>
      <c r="H101" s="238">
        <f>'Methanol Recycling HC'!G203</f>
        <v>7.6308302665281207E-3</v>
      </c>
      <c r="I101" s="238">
        <f>'Methanol Recycling HC'!H203</f>
        <v>1.3137721716277001E-2</v>
      </c>
      <c r="J101" s="238">
        <f>'Methanol Recycling HC'!I203</f>
        <v>1.7979758119226245E-2</v>
      </c>
      <c r="K101" s="238">
        <f>'Methanol Recycling HC'!J203</f>
        <v>2.3046017231956949E-2</v>
      </c>
      <c r="L101" s="238">
        <f>'Methanol Recycling HC'!K203</f>
        <v>2.8311502319114924E-2</v>
      </c>
      <c r="M101" s="238">
        <f>'Methanol Recycling HC'!L203</f>
        <v>3.3746995651345153E-2</v>
      </c>
      <c r="N101" s="238">
        <f>'Methanol Recycling HC'!M203</f>
        <v>3.9318889787609147E-2</v>
      </c>
      <c r="O101" s="238">
        <f>'Methanol Recycling HC'!N203</f>
        <v>4.7047306838716003E-2</v>
      </c>
      <c r="P101" s="238">
        <f>'Methanol Recycling HC'!O203</f>
        <v>5.4934880428606385E-2</v>
      </c>
      <c r="Q101" s="238">
        <f>'Methanol Recycling HC'!P203</f>
        <v>6.2879129442566656E-2</v>
      </c>
      <c r="R101" s="238">
        <f>'Methanol Recycling HC'!Q203</f>
        <v>7.0768459364620673E-2</v>
      </c>
      <c r="S101" s="238">
        <f>'Methanol Recycling HC'!R203</f>
        <v>7.8483442189796082E-2</v>
      </c>
      <c r="T101" s="238">
        <f>'Methanol Recycling HC'!S203</f>
        <v>8.7580043455728479E-2</v>
      </c>
      <c r="U101" s="238">
        <f>'Methanol Recycling HC'!T203</f>
        <v>9.6840015700072585E-2</v>
      </c>
      <c r="V101" s="238">
        <f>'Methanol Recycling HC'!U203</f>
        <v>0.10620730693917829</v>
      </c>
      <c r="W101" s="238">
        <f>'Methanol Recycling HC'!V203</f>
        <v>0.11562078500755477</v>
      </c>
      <c r="X101" s="238">
        <f>'Methanol Recycling HC'!W203</f>
        <v>0.12501410124251328</v>
      </c>
      <c r="Y101" s="238">
        <f>'Methanol Recycling HC'!X203</f>
        <v>0.13823870927925555</v>
      </c>
      <c r="Z101" s="238">
        <f>'Methanol Recycling HC'!Y203</f>
        <v>0.15145663296791045</v>
      </c>
      <c r="AA101" s="238">
        <f>'Methanol Recycling HC'!Z203</f>
        <v>0.16455118339939837</v>
      </c>
      <c r="AB101" s="238">
        <f>'Methanol Recycling HC'!AA203</f>
        <v>0.17739653284023946</v>
      </c>
      <c r="AC101" s="238">
        <f>'Methanol Recycling HC'!AB203</f>
        <v>0.18985749189244755</v>
      </c>
      <c r="AD101" s="238">
        <f>'Methanol Recycling HC'!AC203</f>
        <v>0.19956123779884194</v>
      </c>
      <c r="AE101" s="238">
        <f>'Methanol Recycling HC'!AD203</f>
        <v>0.20812140607248247</v>
      </c>
      <c r="AF101" s="238">
        <f>'Methanol Recycling HC'!AE203</f>
        <v>0.21532754255334338</v>
      </c>
      <c r="AG101" s="238">
        <f>'Methanol Recycling HC'!AF203</f>
        <v>0.22095663885967945</v>
      </c>
      <c r="AH101" s="265">
        <f>'Methanol Recycling HC'!AG203</f>
        <v>0.22477288201069395</v>
      </c>
      <c r="AJ101" s="44">
        <f t="shared" si="621"/>
        <v>0</v>
      </c>
      <c r="AK101" s="44">
        <f t="shared" si="620"/>
        <v>-5.8355004134645408E-3</v>
      </c>
      <c r="AL101" s="44">
        <f t="shared" si="620"/>
        <v>-1.8459246249419407E-3</v>
      </c>
      <c r="AM101" s="44">
        <f t="shared" si="620"/>
        <v>2.6386493237511126E-3</v>
      </c>
      <c r="AN101" s="44">
        <f t="shared" si="620"/>
        <v>7.6308302665281207E-3</v>
      </c>
      <c r="AO101" s="44">
        <f t="shared" si="620"/>
        <v>1.3137721716277001E-2</v>
      </c>
      <c r="AP101" s="44">
        <f t="shared" si="620"/>
        <v>1.7979758119226245E-2</v>
      </c>
      <c r="AQ101" s="44">
        <f t="shared" si="620"/>
        <v>2.3046017231956949E-2</v>
      </c>
      <c r="AR101" s="44">
        <f t="shared" si="620"/>
        <v>2.8311502319114924E-2</v>
      </c>
      <c r="AS101" s="44">
        <f t="shared" si="620"/>
        <v>3.3746995651345153E-2</v>
      </c>
      <c r="AT101" s="44">
        <f t="shared" si="620"/>
        <v>3.9318889787609147E-2</v>
      </c>
      <c r="AU101" s="44">
        <f t="shared" si="620"/>
        <v>4.7047306838716003E-2</v>
      </c>
      <c r="AV101" s="44">
        <f t="shared" si="620"/>
        <v>5.4934880428606385E-2</v>
      </c>
      <c r="AW101" s="44">
        <f t="shared" si="620"/>
        <v>6.2879129442566656E-2</v>
      </c>
      <c r="AX101" s="44">
        <f t="shared" si="620"/>
        <v>7.0768459364620673E-2</v>
      </c>
      <c r="AY101" s="44">
        <f t="shared" si="620"/>
        <v>7.8483442189796082E-2</v>
      </c>
      <c r="AZ101" s="44">
        <f t="shared" si="620"/>
        <v>8.7580043455728479E-2</v>
      </c>
      <c r="BA101" s="44">
        <f t="shared" si="620"/>
        <v>9.6840015700072585E-2</v>
      </c>
      <c r="BB101" s="44">
        <f t="shared" si="620"/>
        <v>0.10620730693917829</v>
      </c>
      <c r="BC101" s="44">
        <f t="shared" si="620"/>
        <v>0.11562078500755477</v>
      </c>
      <c r="BD101" s="44">
        <f t="shared" si="620"/>
        <v>0.12501410124251328</v>
      </c>
      <c r="BE101" s="44">
        <f t="shared" si="620"/>
        <v>0.13823870927925555</v>
      </c>
      <c r="BF101" s="44">
        <f t="shared" si="620"/>
        <v>0.15145663296791045</v>
      </c>
      <c r="BG101" s="44">
        <f t="shared" si="620"/>
        <v>0.16455118339939837</v>
      </c>
      <c r="BH101" s="44">
        <f t="shared" si="620"/>
        <v>0.17739653284023946</v>
      </c>
      <c r="BI101" s="44">
        <f t="shared" si="620"/>
        <v>0.18985749189244755</v>
      </c>
      <c r="BJ101" s="44">
        <f t="shared" si="620"/>
        <v>0.19956123779884194</v>
      </c>
      <c r="BK101" s="44">
        <f t="shared" si="620"/>
        <v>0.20812140607248247</v>
      </c>
      <c r="BL101" s="44">
        <f t="shared" si="620"/>
        <v>0.21532754255334338</v>
      </c>
      <c r="BM101" s="44">
        <f t="shared" si="620"/>
        <v>0.22095663885967945</v>
      </c>
      <c r="BN101" s="44">
        <f t="shared" si="620"/>
        <v>0.22477288201069395</v>
      </c>
    </row>
    <row r="102" spans="1:66" x14ac:dyDescent="0.2">
      <c r="A102" s="239"/>
      <c r="B102" s="239" t="s">
        <v>219</v>
      </c>
      <c r="C102" s="240" t="s">
        <v>153</v>
      </c>
      <c r="D102" s="241">
        <f>D97-D98-D99-D100-D101</f>
        <v>3.219812080101577</v>
      </c>
      <c r="E102" s="241">
        <f t="shared" ref="E102:AG102" si="622">E97-E98-E99-E100-E101</f>
        <v>3.1881340550915209</v>
      </c>
      <c r="F102" s="241">
        <f t="shared" si="622"/>
        <v>3.1447915632340075</v>
      </c>
      <c r="G102" s="241">
        <f t="shared" si="622"/>
        <v>3.0991495337475494</v>
      </c>
      <c r="H102" s="241">
        <f t="shared" si="622"/>
        <v>3.0512330652555679</v>
      </c>
      <c r="I102" s="241">
        <f t="shared" si="622"/>
        <v>3.0010745899023843</v>
      </c>
      <c r="J102" s="241">
        <f t="shared" si="622"/>
        <v>2.9493148580622641</v>
      </c>
      <c r="K102" s="241">
        <f t="shared" si="622"/>
        <v>2.8950195605796925</v>
      </c>
      <c r="L102" s="241">
        <f t="shared" si="622"/>
        <v>2.8381681976265445</v>
      </c>
      <c r="M102" s="241">
        <f t="shared" si="622"/>
        <v>2.7787441931043642</v>
      </c>
      <c r="N102" s="241">
        <f t="shared" si="622"/>
        <v>2.7167350266634354</v>
      </c>
      <c r="O102" s="241">
        <f t="shared" si="622"/>
        <v>2.6386469344538601</v>
      </c>
      <c r="P102" s="241">
        <f t="shared" si="622"/>
        <v>2.5581840558160618</v>
      </c>
      <c r="Q102" s="241">
        <f t="shared" si="622"/>
        <v>2.4756131975146389</v>
      </c>
      <c r="R102" s="241">
        <f t="shared" si="622"/>
        <v>2.3910710732545293</v>
      </c>
      <c r="S102" s="241">
        <f t="shared" si="622"/>
        <v>2.3047621513209497</v>
      </c>
      <c r="T102" s="241">
        <f t="shared" si="622"/>
        <v>2.2143500934463831</v>
      </c>
      <c r="U102" s="241">
        <f t="shared" si="622"/>
        <v>2.1209983833031378</v>
      </c>
      <c r="V102" s="241">
        <f t="shared" si="622"/>
        <v>2.0247068885511945</v>
      </c>
      <c r="W102" s="241">
        <f t="shared" si="622"/>
        <v>1.9254790809044304</v>
      </c>
      <c r="X102" s="241">
        <f t="shared" si="622"/>
        <v>1.8233221153714729</v>
      </c>
      <c r="Y102" s="241">
        <f t="shared" si="622"/>
        <v>1.6962565835596521</v>
      </c>
      <c r="Z102" s="241">
        <f t="shared" si="622"/>
        <v>1.5659100622688893</v>
      </c>
      <c r="AA102" s="241">
        <f t="shared" si="622"/>
        <v>1.432666880522425</v>
      </c>
      <c r="AB102" s="241">
        <f t="shared" si="622"/>
        <v>1.2962953425656423</v>
      </c>
      <c r="AC102" s="241">
        <f t="shared" si="622"/>
        <v>1.1568610495238236</v>
      </c>
      <c r="AD102" s="241">
        <f t="shared" si="622"/>
        <v>1.0166563969561557</v>
      </c>
      <c r="AE102" s="241">
        <f t="shared" si="622"/>
        <v>0.87399068251712486</v>
      </c>
      <c r="AF102" s="241">
        <f t="shared" si="622"/>
        <v>0.72899390507305761</v>
      </c>
      <c r="AG102" s="241">
        <f t="shared" si="622"/>
        <v>0.58180508159581501</v>
      </c>
      <c r="AH102" s="241">
        <f>AH97-AH98-AH99-AH100-AH101</f>
        <v>0.43257234723307397</v>
      </c>
      <c r="AJ102" s="241">
        <f>AJ97-AJ98-AJ99-AJ100-AJ101</f>
        <v>3.219812080101577</v>
      </c>
      <c r="AK102" s="241">
        <f t="shared" ref="AK102" si="623">AK97-AK98-AK99-AK100-AK101</f>
        <v>3.2334722225117258</v>
      </c>
      <c r="AL102" s="241">
        <f t="shared" ref="AL102" si="624">AL97-AL98-AL99-AL100-AL101</f>
        <v>3.2370093957667057</v>
      </c>
      <c r="AM102" s="241">
        <f t="shared" ref="AM102" si="625">AM97-AM98-AM99-AM100-AM101</f>
        <v>3.23982783727618</v>
      </c>
      <c r="AN102" s="241">
        <f t="shared" ref="AN102" si="626">AN97-AN98-AN99-AN100-AN101</f>
        <v>3.2419928448403912</v>
      </c>
      <c r="AO102" s="241">
        <f t="shared" ref="AO102" si="627">AO97-AO98-AO99-AO100-AO101</f>
        <v>3.2435779596995906</v>
      </c>
      <c r="AP102" s="241">
        <f t="shared" ref="AP102" si="628">AP97-AP98-AP99-AP100-AP101</f>
        <v>3.2452659705627749</v>
      </c>
      <c r="AQ102" s="241">
        <f t="shared" ref="AQ102" si="629">AQ97-AQ98-AQ99-AQ100-AQ101</f>
        <v>3.2461655555615492</v>
      </c>
      <c r="AR102" s="241">
        <f t="shared" ref="AR102" si="630">AR97-AR98-AR99-AR100-AR101</f>
        <v>3.2463001712225994</v>
      </c>
      <c r="AS102" s="241">
        <f t="shared" ref="AS102" si="631">AS97-AS98-AS99-AS100-AS101</f>
        <v>3.2456981873949502</v>
      </c>
      <c r="AT102" s="241">
        <f t="shared" ref="AT102" si="632">AT97-AT98-AT99-AT100-AT101</f>
        <v>3.2443930402117975</v>
      </c>
      <c r="AU102" s="241">
        <f t="shared" ref="AU102" si="633">AU97-AU98-AU99-AU100-AU101</f>
        <v>3.2289379542104122</v>
      </c>
      <c r="AV102" s="241">
        <f t="shared" ref="AV102" si="634">AV97-AV98-AV99-AV100-AV101</f>
        <v>3.2130851108259675</v>
      </c>
      <c r="AW102" s="241">
        <f t="shared" ref="AW102" si="635">AW97-AW98-AW99-AW100-AW101</f>
        <v>3.1971504348718023</v>
      </c>
      <c r="AX102" s="241">
        <f t="shared" ref="AX102" si="636">AX97-AX98-AX99-AX100-AX101</f>
        <v>3.1813208567538598</v>
      </c>
      <c r="AY102" s="241">
        <f t="shared" ref="AY102" si="637">AY97-AY98-AY99-AY100-AY101</f>
        <v>3.1658521832696844</v>
      </c>
      <c r="AZ102" s="241">
        <f t="shared" ref="AZ102" si="638">AZ97-AZ98-AZ99-AZ100-AZ101</f>
        <v>3.1484605601043709</v>
      </c>
      <c r="BA102" s="241">
        <f t="shared" ref="BA102" si="639">BA97-BA98-BA99-BA100-BA101</f>
        <v>3.1303631244312591</v>
      </c>
      <c r="BB102" s="241">
        <f t="shared" ref="BB102" si="640">BB97-BB98-BB99-BB100-BB101</f>
        <v>3.1116145915565707</v>
      </c>
      <c r="BC102" s="241">
        <f t="shared" ref="BC102" si="641">BC97-BC98-BC99-BC100-BC101</f>
        <v>3.0922745000807015</v>
      </c>
      <c r="BD102" s="241">
        <f t="shared" ref="BD102" si="642">BD97-BD98-BD99-BD100-BD101</f>
        <v>3.0724073167422805</v>
      </c>
      <c r="BE102" s="241">
        <f t="shared" ref="BE102" si="643">BE97-BE98-BE99-BE100-BE101</f>
        <v>3.0320169425855816</v>
      </c>
      <c r="BF102" s="241">
        <f t="shared" ref="BF102" si="644">BF97-BF98-BF99-BF100-BF101</f>
        <v>2.9909315486870174</v>
      </c>
      <c r="BG102" s="241">
        <f t="shared" ref="BG102" si="645">BG97-BG98-BG99-BG100-BG101</f>
        <v>2.9495983379203294</v>
      </c>
      <c r="BH102" s="241">
        <f t="shared" ref="BH102" si="646">BH97-BH98-BH99-BH100-BH101</f>
        <v>2.9078498787470601</v>
      </c>
      <c r="BI102" s="241">
        <f t="shared" ref="BI102" si="647">BI97-BI98-BI99-BI100-BI101</f>
        <v>2.8658174559762064</v>
      </c>
      <c r="BJ102" s="241">
        <f t="shared" ref="BJ102" si="648">BJ97-BJ98-BJ99-BJ100-BJ101</f>
        <v>2.8258605980077594</v>
      </c>
      <c r="BK102" s="241">
        <f t="shared" ref="BK102" si="649">BK97-BK98-BK99-BK100-BK101</f>
        <v>2.7863572147828579</v>
      </c>
      <c r="BL102" s="241">
        <f t="shared" ref="BL102" si="650">BL97-BL98-BL99-BL100-BL101</f>
        <v>2.7475074278000968</v>
      </c>
      <c r="BM102" s="241">
        <f t="shared" ref="BM102" si="651">BM97-BM98-BM99-BM100-BM101</f>
        <v>2.7095219185320203</v>
      </c>
      <c r="BN102" s="241">
        <f t="shared" ref="BN102" si="652">BN97-BN98-BN99-BN100-BN101</f>
        <v>2.6726220606534885</v>
      </c>
    </row>
    <row r="103" spans="1:66" s="67" customFormat="1" x14ac:dyDescent="0.2">
      <c r="A103" s="681"/>
      <c r="B103" s="58" t="s">
        <v>246</v>
      </c>
      <c r="C103" s="59" t="s">
        <v>153</v>
      </c>
      <c r="D103" s="60">
        <f>D44-0.3*(D97-D102)</f>
        <v>0.53990534455448469</v>
      </c>
      <c r="E103" s="60">
        <f t="shared" ref="E103:AH103" si="653">E44-0.3*(E97-E102)</f>
        <v>0.52088722305247304</v>
      </c>
      <c r="F103" s="60">
        <f t="shared" si="653"/>
        <v>0.50084417214608212</v>
      </c>
      <c r="G103" s="60">
        <f t="shared" si="653"/>
        <v>0.48213397714564815</v>
      </c>
      <c r="H103" s="60">
        <f t="shared" si="653"/>
        <v>0.46443445851504278</v>
      </c>
      <c r="I103" s="60">
        <f t="shared" si="653"/>
        <v>0.44750977924732854</v>
      </c>
      <c r="J103" s="60">
        <f t="shared" si="653"/>
        <v>0.43136617623426371</v>
      </c>
      <c r="K103" s="60">
        <f t="shared" si="653"/>
        <v>0.41558052542339796</v>
      </c>
      <c r="L103" s="60">
        <f t="shared" si="653"/>
        <v>0.4000357391473835</v>
      </c>
      <c r="M103" s="60">
        <f t="shared" si="653"/>
        <v>0.38463989877769772</v>
      </c>
      <c r="N103" s="60">
        <f t="shared" si="653"/>
        <v>0.36932063895096962</v>
      </c>
      <c r="O103" s="60">
        <f t="shared" si="653"/>
        <v>0.3541027355853702</v>
      </c>
      <c r="P103" s="60">
        <f t="shared" si="653"/>
        <v>0.33854741358868484</v>
      </c>
      <c r="Q103" s="60">
        <f t="shared" si="653"/>
        <v>0.32273920877238049</v>
      </c>
      <c r="R103" s="60">
        <f t="shared" si="653"/>
        <v>0.30672344686955827</v>
      </c>
      <c r="S103" s="60">
        <f t="shared" si="653"/>
        <v>0.29056556418451179</v>
      </c>
      <c r="T103" s="60">
        <f t="shared" si="653"/>
        <v>0.27386072447742027</v>
      </c>
      <c r="U103" s="60">
        <f t="shared" si="653"/>
        <v>0.25665943039407646</v>
      </c>
      <c r="V103" s="60">
        <f t="shared" si="653"/>
        <v>0.2389642457634634</v>
      </c>
      <c r="W103" s="60">
        <f t="shared" si="653"/>
        <v>0.22077833226728358</v>
      </c>
      <c r="X103" s="60">
        <f t="shared" si="653"/>
        <v>0.20210541699659831</v>
      </c>
      <c r="Y103" s="60">
        <f t="shared" si="653"/>
        <v>0.17738204330392107</v>
      </c>
      <c r="Z103" s="60">
        <f t="shared" si="653"/>
        <v>0.15205790291895735</v>
      </c>
      <c r="AA103" s="60">
        <f t="shared" si="653"/>
        <v>0.12624475746795402</v>
      </c>
      <c r="AB103" s="60">
        <f t="shared" si="653"/>
        <v>9.986833813587534E-2</v>
      </c>
      <c r="AC103" s="60">
        <f t="shared" si="653"/>
        <v>7.2942211654129396E-2</v>
      </c>
      <c r="AD103" s="60">
        <f t="shared" si="653"/>
        <v>4.6146485553784061E-2</v>
      </c>
      <c r="AE103" s="60">
        <f t="shared" si="653"/>
        <v>1.8964681385459703E-2</v>
      </c>
      <c r="AF103" s="60">
        <f t="shared" si="653"/>
        <v>-8.5753014589552978E-3</v>
      </c>
      <c r="AG103" s="60">
        <f t="shared" si="653"/>
        <v>-3.6444885433690011E-2</v>
      </c>
      <c r="AH103" s="60">
        <f t="shared" si="653"/>
        <v>-6.4615000698274E-2</v>
      </c>
      <c r="AJ103" s="60">
        <f>AJ44-0.5*(AJ97-AJ102)</f>
        <v>0.53990534455448469</v>
      </c>
      <c r="AK103" s="60">
        <f t="shared" ref="AK103" si="654">AK44-0.5*(AK97-AK102)</f>
        <v>0.52678447060710343</v>
      </c>
      <c r="AL103" s="60">
        <f t="shared" ref="AL103" si="655">AL44-0.5*(AL97-AL102)</f>
        <v>0.5106006868098123</v>
      </c>
      <c r="AM103" s="60">
        <f t="shared" ref="AM103" si="656">AM44-0.5*(AM97-AM102)</f>
        <v>0.49565737091634288</v>
      </c>
      <c r="AN103" s="60">
        <f t="shared" ref="AN103" si="657">AN44-0.5*(AN97-AN102)</f>
        <v>0.48169564654430397</v>
      </c>
      <c r="AO103" s="60">
        <f t="shared" ref="AO103" si="658">AO44-0.5*(AO97-AO102)</f>
        <v>0.46853472599457779</v>
      </c>
      <c r="AP103" s="60">
        <f t="shared" ref="AP103" si="659">AP44-0.5*(AP97-AP102)</f>
        <v>0.45635083115153507</v>
      </c>
      <c r="AQ103" s="60">
        <f t="shared" ref="AQ103" si="660">AQ44-0.5*(AQ97-AQ102)</f>
        <v>0.44457108851138571</v>
      </c>
      <c r="AR103" s="60">
        <f t="shared" ref="AR103" si="661">AR44-0.5*(AR97-AR102)</f>
        <v>0.43310808052309335</v>
      </c>
      <c r="AS103" s="60">
        <f t="shared" ref="AS103" si="662">AS44-0.5*(AS97-AS102)</f>
        <v>0.42189797409553698</v>
      </c>
      <c r="AT103" s="60">
        <f t="shared" ref="AT103" si="663">AT44-0.5*(AT97-AT102)</f>
        <v>0.41089563223457976</v>
      </c>
      <c r="AU103" s="60">
        <f t="shared" ref="AU103" si="664">AU44-0.5*(AU97-AU102)</f>
        <v>0.39831050960741798</v>
      </c>
      <c r="AV103" s="60">
        <f t="shared" ref="AV103" si="665">AV44-0.5*(AV97-AV102)</f>
        <v>0.385747495900294</v>
      </c>
      <c r="AW103" s="60">
        <f t="shared" ref="AW103" si="666">AW44-0.5*(AW97-AW102)</f>
        <v>0.37337270926399724</v>
      </c>
      <c r="AX103" s="60">
        <f t="shared" ref="AX103" si="667">AX44-0.5*(AX97-AX102)</f>
        <v>0.36128803201491377</v>
      </c>
      <c r="AY103" s="60">
        <f t="shared" ref="AY103" si="668">AY44-0.5*(AY97-AY102)</f>
        <v>0.34963004902051364</v>
      </c>
      <c r="AZ103" s="60">
        <f t="shared" ref="AZ103" si="669">AZ44-0.5*(AZ97-AZ102)</f>
        <v>0.33766326146193337</v>
      </c>
      <c r="BA103" s="60">
        <f t="shared" ref="BA103" si="670">BA44-0.5*(BA97-BA102)</f>
        <v>0.32561643560800313</v>
      </c>
      <c r="BB103" s="60">
        <f t="shared" ref="BB103" si="671">BB44-0.5*(BB97-BB102)</f>
        <v>0.31352714583098229</v>
      </c>
      <c r="BC103" s="60">
        <f t="shared" ref="BC103" si="672">BC44-0.5*(BC97-BC102)</f>
        <v>0.30143567397283777</v>
      </c>
      <c r="BD103" s="60">
        <f t="shared" ref="BD103" si="673">BD44-0.5*(BD97-BD102)</f>
        <v>0.28938506867739444</v>
      </c>
      <c r="BE103" s="60">
        <f t="shared" ref="BE103" si="674">BE44-0.5*(BE97-BE102)</f>
        <v>0.26873768907055962</v>
      </c>
      <c r="BF103" s="60">
        <f t="shared" ref="BF103" si="675">BF44-0.5*(BF97-BF102)</f>
        <v>0.24811715624278707</v>
      </c>
      <c r="BG103" s="60">
        <f t="shared" ref="BG103" si="676">BG44-0.5*(BG97-BG102)</f>
        <v>0.22776100531754684</v>
      </c>
      <c r="BH103" s="60">
        <f t="shared" ref="BH103" si="677">BH44-0.5*(BH97-BH102)</f>
        <v>0.20759989014918612</v>
      </c>
      <c r="BI103" s="60">
        <f t="shared" ref="BI103" si="678">BI44-0.5*(BI97-BI102)</f>
        <v>0.18771427521342299</v>
      </c>
      <c r="BJ103" s="60">
        <f t="shared" ref="BJ103" si="679">BJ44-0.5*(BJ97-BJ102)</f>
        <v>0.1692992167714219</v>
      </c>
      <c r="BK103" s="60">
        <f t="shared" ref="BK103" si="680">BK44-0.5*(BK97-BK102)</f>
        <v>0.15155945052076181</v>
      </c>
      <c r="BL103" s="60">
        <f t="shared" ref="BL103" si="681">BL44-0.5*(BL97-BL102)</f>
        <v>0.13461132652815067</v>
      </c>
      <c r="BM103" s="60">
        <f t="shared" ref="BM103" si="682">BM44-0.5*(BM97-BM102)</f>
        <v>0.11857700474104715</v>
      </c>
      <c r="BN103" s="60">
        <f t="shared" ref="BN103" si="683">BN44-0.5*(BN97-BN102)</f>
        <v>0.10358454393157879</v>
      </c>
    </row>
    <row r="104" spans="1:66" x14ac:dyDescent="0.2">
      <c r="A104" s="682"/>
      <c r="B104" s="1" t="s">
        <v>247</v>
      </c>
      <c r="C104" s="54" t="s">
        <v>153</v>
      </c>
      <c r="D104" s="44">
        <f t="shared" ref="D104" si="684">D45</f>
        <v>0</v>
      </c>
      <c r="E104" s="44">
        <f t="shared" ref="E104:AH104" si="685">E45</f>
        <v>0</v>
      </c>
      <c r="F104" s="44">
        <f t="shared" si="685"/>
        <v>0</v>
      </c>
      <c r="G104" s="44">
        <f t="shared" si="685"/>
        <v>0</v>
      </c>
      <c r="H104" s="44">
        <f t="shared" si="685"/>
        <v>0</v>
      </c>
      <c r="I104" s="44">
        <f t="shared" si="685"/>
        <v>0</v>
      </c>
      <c r="J104" s="44">
        <f t="shared" si="685"/>
        <v>0</v>
      </c>
      <c r="K104" s="44">
        <f t="shared" si="685"/>
        <v>0</v>
      </c>
      <c r="L104" s="44">
        <f t="shared" si="685"/>
        <v>0</v>
      </c>
      <c r="M104" s="44">
        <f t="shared" si="685"/>
        <v>0</v>
      </c>
      <c r="N104" s="44">
        <f t="shared" si="685"/>
        <v>0</v>
      </c>
      <c r="O104" s="44">
        <f t="shared" si="685"/>
        <v>0</v>
      </c>
      <c r="P104" s="44">
        <f t="shared" si="685"/>
        <v>0</v>
      </c>
      <c r="Q104" s="44">
        <f t="shared" si="685"/>
        <v>0</v>
      </c>
      <c r="R104" s="44">
        <f t="shared" si="685"/>
        <v>0</v>
      </c>
      <c r="S104" s="44">
        <f t="shared" si="685"/>
        <v>0</v>
      </c>
      <c r="T104" s="44">
        <f t="shared" si="685"/>
        <v>0</v>
      </c>
      <c r="U104" s="44">
        <f t="shared" si="685"/>
        <v>0</v>
      </c>
      <c r="V104" s="44">
        <f t="shared" si="685"/>
        <v>0</v>
      </c>
      <c r="W104" s="44">
        <f t="shared" si="685"/>
        <v>0</v>
      </c>
      <c r="X104" s="44">
        <f t="shared" si="685"/>
        <v>0</v>
      </c>
      <c r="Y104" s="44">
        <f t="shared" si="685"/>
        <v>0</v>
      </c>
      <c r="Z104" s="44">
        <f t="shared" si="685"/>
        <v>0</v>
      </c>
      <c r="AA104" s="44">
        <f t="shared" si="685"/>
        <v>0</v>
      </c>
      <c r="AB104" s="44">
        <f t="shared" si="685"/>
        <v>0</v>
      </c>
      <c r="AC104" s="44">
        <f t="shared" si="685"/>
        <v>0</v>
      </c>
      <c r="AD104" s="44">
        <f t="shared" si="685"/>
        <v>0</v>
      </c>
      <c r="AE104" s="44">
        <f t="shared" si="685"/>
        <v>0</v>
      </c>
      <c r="AF104" s="44">
        <f t="shared" si="685"/>
        <v>0</v>
      </c>
      <c r="AG104" s="44">
        <f t="shared" si="685"/>
        <v>0</v>
      </c>
      <c r="AH104" s="44">
        <f t="shared" si="685"/>
        <v>0</v>
      </c>
      <c r="AJ104" s="44">
        <f t="shared" ref="AJ104:BN104" si="686">AJ45</f>
        <v>0</v>
      </c>
      <c r="AK104" s="44">
        <f t="shared" si="686"/>
        <v>0</v>
      </c>
      <c r="AL104" s="44">
        <f t="shared" si="686"/>
        <v>0</v>
      </c>
      <c r="AM104" s="44">
        <f t="shared" si="686"/>
        <v>0</v>
      </c>
      <c r="AN104" s="44">
        <f t="shared" si="686"/>
        <v>0</v>
      </c>
      <c r="AO104" s="44">
        <f t="shared" si="686"/>
        <v>0</v>
      </c>
      <c r="AP104" s="44">
        <f t="shared" si="686"/>
        <v>0</v>
      </c>
      <c r="AQ104" s="44">
        <f t="shared" si="686"/>
        <v>0</v>
      </c>
      <c r="AR104" s="44">
        <f t="shared" si="686"/>
        <v>0</v>
      </c>
      <c r="AS104" s="44">
        <f t="shared" si="686"/>
        <v>0</v>
      </c>
      <c r="AT104" s="44">
        <f t="shared" si="686"/>
        <v>0</v>
      </c>
      <c r="AU104" s="44">
        <f t="shared" si="686"/>
        <v>0</v>
      </c>
      <c r="AV104" s="44">
        <f t="shared" si="686"/>
        <v>0</v>
      </c>
      <c r="AW104" s="44">
        <f t="shared" si="686"/>
        <v>0</v>
      </c>
      <c r="AX104" s="44">
        <f t="shared" si="686"/>
        <v>0</v>
      </c>
      <c r="AY104" s="44">
        <f t="shared" si="686"/>
        <v>0</v>
      </c>
      <c r="AZ104" s="44">
        <f t="shared" si="686"/>
        <v>0</v>
      </c>
      <c r="BA104" s="44">
        <f t="shared" si="686"/>
        <v>0</v>
      </c>
      <c r="BB104" s="44">
        <f t="shared" si="686"/>
        <v>0</v>
      </c>
      <c r="BC104" s="44">
        <f t="shared" si="686"/>
        <v>0</v>
      </c>
      <c r="BD104" s="44">
        <f t="shared" si="686"/>
        <v>0</v>
      </c>
      <c r="BE104" s="44">
        <f t="shared" si="686"/>
        <v>0</v>
      </c>
      <c r="BF104" s="44">
        <f t="shared" si="686"/>
        <v>0</v>
      </c>
      <c r="BG104" s="44">
        <f t="shared" si="686"/>
        <v>0</v>
      </c>
      <c r="BH104" s="44">
        <f t="shared" si="686"/>
        <v>0</v>
      </c>
      <c r="BI104" s="44">
        <f t="shared" si="686"/>
        <v>0</v>
      </c>
      <c r="BJ104" s="44">
        <f t="shared" si="686"/>
        <v>0</v>
      </c>
      <c r="BK104" s="44">
        <f t="shared" si="686"/>
        <v>0</v>
      </c>
      <c r="BL104" s="44">
        <f t="shared" si="686"/>
        <v>0</v>
      </c>
      <c r="BM104" s="44">
        <f t="shared" si="686"/>
        <v>0</v>
      </c>
      <c r="BN104" s="44">
        <f t="shared" si="686"/>
        <v>0</v>
      </c>
    </row>
    <row r="105" spans="1:66" s="68" customFormat="1" x14ac:dyDescent="0.2">
      <c r="A105" s="683"/>
      <c r="B105" s="62" t="s">
        <v>248</v>
      </c>
      <c r="C105" s="283" t="s">
        <v>153</v>
      </c>
      <c r="D105" s="284">
        <f>D46-0.7*(D97-D102)</f>
        <v>2.6799067355470925</v>
      </c>
      <c r="E105" s="284">
        <f t="shared" ref="E105:AH105" si="687">E46-0.7*(E97-E102)</f>
        <v>2.6672468320390479</v>
      </c>
      <c r="F105" s="284">
        <f t="shared" si="687"/>
        <v>2.6439473910879254</v>
      </c>
      <c r="G105" s="284">
        <f t="shared" si="687"/>
        <v>2.6170155566019013</v>
      </c>
      <c r="H105" s="284">
        <f t="shared" si="687"/>
        <v>2.5867986067405249</v>
      </c>
      <c r="I105" s="284">
        <f t="shared" si="687"/>
        <v>2.5535648106550557</v>
      </c>
      <c r="J105" s="284">
        <f t="shared" si="687"/>
        <v>2.5179486818280008</v>
      </c>
      <c r="K105" s="284">
        <f t="shared" si="687"/>
        <v>2.479439035156294</v>
      </c>
      <c r="L105" s="284">
        <f t="shared" si="687"/>
        <v>2.4381324584791617</v>
      </c>
      <c r="M105" s="284">
        <f t="shared" si="687"/>
        <v>2.3941042943266666</v>
      </c>
      <c r="N105" s="284">
        <f t="shared" si="687"/>
        <v>2.3474143877124658</v>
      </c>
      <c r="O105" s="284">
        <f t="shared" si="687"/>
        <v>2.2845441988684896</v>
      </c>
      <c r="P105" s="284">
        <f t="shared" si="687"/>
        <v>2.219636642227377</v>
      </c>
      <c r="Q105" s="284">
        <f t="shared" si="687"/>
        <v>2.1528739887422583</v>
      </c>
      <c r="R105" s="284">
        <f t="shared" si="687"/>
        <v>2.0843476263849707</v>
      </c>
      <c r="S105" s="284">
        <f t="shared" si="687"/>
        <v>2.0141965871364378</v>
      </c>
      <c r="T105" s="284">
        <f t="shared" si="687"/>
        <v>1.9404893689689628</v>
      </c>
      <c r="U105" s="284">
        <f t="shared" si="687"/>
        <v>1.8643389529090615</v>
      </c>
      <c r="V105" s="284">
        <f t="shared" si="687"/>
        <v>1.7857426427877312</v>
      </c>
      <c r="W105" s="284">
        <f t="shared" si="687"/>
        <v>1.7047007486371468</v>
      </c>
      <c r="X105" s="284">
        <f t="shared" si="687"/>
        <v>1.6212166983748748</v>
      </c>
      <c r="Y105" s="284">
        <f t="shared" si="687"/>
        <v>1.5188745402557311</v>
      </c>
      <c r="Z105" s="284">
        <f t="shared" si="687"/>
        <v>1.413852159349932</v>
      </c>
      <c r="AA105" s="284">
        <f t="shared" si="687"/>
        <v>1.306422123054471</v>
      </c>
      <c r="AB105" s="284">
        <f t="shared" si="687"/>
        <v>1.1964270044297671</v>
      </c>
      <c r="AC105" s="284">
        <f t="shared" si="687"/>
        <v>1.0839188378696942</v>
      </c>
      <c r="AD105" s="284">
        <f t="shared" si="687"/>
        <v>0.97050991140237175</v>
      </c>
      <c r="AE105" s="284">
        <f t="shared" si="687"/>
        <v>0.85502600113166516</v>
      </c>
      <c r="AF105" s="284">
        <f t="shared" si="687"/>
        <v>0.73756920653201308</v>
      </c>
      <c r="AG105" s="284">
        <f t="shared" si="687"/>
        <v>0.61824996702950519</v>
      </c>
      <c r="AH105" s="284">
        <f t="shared" si="687"/>
        <v>0.49718734793134811</v>
      </c>
      <c r="AJ105" s="284">
        <f>AJ46-0.5*(AJ97-AJ102)</f>
        <v>2.6799067355470925</v>
      </c>
      <c r="AK105" s="284">
        <f t="shared" ref="AK105:BN105" si="688">AK46-0.5*(AK97-AK102)</f>
        <v>2.7066877519046222</v>
      </c>
      <c r="AL105" s="284">
        <f t="shared" si="688"/>
        <v>2.7264087089568934</v>
      </c>
      <c r="AM105" s="284">
        <f t="shared" si="688"/>
        <v>2.7441704663598365</v>
      </c>
      <c r="AN105" s="284">
        <f t="shared" si="688"/>
        <v>2.7602971982960876</v>
      </c>
      <c r="AO105" s="284">
        <f t="shared" si="688"/>
        <v>2.7750432337050128</v>
      </c>
      <c r="AP105" s="284">
        <f t="shared" si="688"/>
        <v>2.7889151394112401</v>
      </c>
      <c r="AQ105" s="284">
        <f t="shared" si="688"/>
        <v>2.8015944670501631</v>
      </c>
      <c r="AR105" s="284">
        <f t="shared" si="688"/>
        <v>2.8131920906995065</v>
      </c>
      <c r="AS105" s="284">
        <f t="shared" si="688"/>
        <v>2.8238002132994136</v>
      </c>
      <c r="AT105" s="284">
        <f t="shared" si="688"/>
        <v>2.8334974079772177</v>
      </c>
      <c r="AU105" s="284">
        <f t="shared" si="688"/>
        <v>2.8306274446029942</v>
      </c>
      <c r="AV105" s="284">
        <f t="shared" si="688"/>
        <v>2.8273376149256735</v>
      </c>
      <c r="AW105" s="284">
        <f t="shared" si="688"/>
        <v>2.8237777256078052</v>
      </c>
      <c r="AX105" s="284">
        <f t="shared" si="688"/>
        <v>2.8200328247389459</v>
      </c>
      <c r="AY105" s="284">
        <f t="shared" si="688"/>
        <v>2.8162221342491707</v>
      </c>
      <c r="AZ105" s="284">
        <f t="shared" si="688"/>
        <v>2.810797298642437</v>
      </c>
      <c r="BA105" s="284">
        <f t="shared" si="688"/>
        <v>2.8047466888232564</v>
      </c>
      <c r="BB105" s="284">
        <f t="shared" si="688"/>
        <v>2.7980874457255887</v>
      </c>
      <c r="BC105" s="284">
        <f t="shared" si="688"/>
        <v>2.7908388261078629</v>
      </c>
      <c r="BD105" s="284">
        <f t="shared" si="688"/>
        <v>2.7830222480648859</v>
      </c>
      <c r="BE105" s="284">
        <f t="shared" si="688"/>
        <v>2.7632792535150221</v>
      </c>
      <c r="BF105" s="284">
        <f t="shared" si="688"/>
        <v>2.7428143924442301</v>
      </c>
      <c r="BG105" s="284">
        <f t="shared" si="688"/>
        <v>2.7218373326027825</v>
      </c>
      <c r="BH105" s="284">
        <f t="shared" si="688"/>
        <v>2.7002499885978737</v>
      </c>
      <c r="BI105" s="284">
        <f t="shared" si="688"/>
        <v>2.6781031807627835</v>
      </c>
      <c r="BJ105" s="284">
        <f t="shared" si="688"/>
        <v>2.6565613812363376</v>
      </c>
      <c r="BK105" s="284">
        <f t="shared" si="688"/>
        <v>2.6347977642620961</v>
      </c>
      <c r="BL105" s="284">
        <f t="shared" si="688"/>
        <v>2.6128961012719465</v>
      </c>
      <c r="BM105" s="284">
        <f t="shared" si="688"/>
        <v>2.5909449137909735</v>
      </c>
      <c r="BN105" s="284">
        <f t="shared" si="688"/>
        <v>2.5690375167219099</v>
      </c>
    </row>
    <row r="106" spans="1:66" x14ac:dyDescent="0.2">
      <c r="A106" s="178" t="s">
        <v>225</v>
      </c>
      <c r="B106" s="242" t="s">
        <v>197</v>
      </c>
      <c r="C106" s="243" t="s">
        <v>153</v>
      </c>
      <c r="D106" s="180">
        <f>D59+D65</f>
        <v>27.787294919531671</v>
      </c>
      <c r="E106" s="180">
        <f t="shared" ref="E106:AH106" si="689">E59+E65</f>
        <v>31.183697699804128</v>
      </c>
      <c r="F106" s="180">
        <f t="shared" si="689"/>
        <v>34.457845355493959</v>
      </c>
      <c r="G106" s="180">
        <f t="shared" si="689"/>
        <v>37.667414383268607</v>
      </c>
      <c r="H106" s="180">
        <f t="shared" si="689"/>
        <v>40.812458730544797</v>
      </c>
      <c r="I106" s="180">
        <f t="shared" si="689"/>
        <v>43.893042854486538</v>
      </c>
      <c r="J106" s="180">
        <f t="shared" si="689"/>
        <v>46.909242733516017</v>
      </c>
      <c r="K106" s="180">
        <f t="shared" si="689"/>
        <v>49.861146981108824</v>
      </c>
      <c r="L106" s="180">
        <f t="shared" si="689"/>
        <v>52.74885807280566</v>
      </c>
      <c r="M106" s="180">
        <f t="shared" si="689"/>
        <v>55.572493698576565</v>
      </c>
      <c r="N106" s="180">
        <f t="shared" si="689"/>
        <v>58.332188254006837</v>
      </c>
      <c r="O106" s="180">
        <f t="shared" si="689"/>
        <v>58.539160524366416</v>
      </c>
      <c r="P106" s="180">
        <f t="shared" si="689"/>
        <v>58.717943227244383</v>
      </c>
      <c r="Q106" s="180">
        <f t="shared" si="689"/>
        <v>58.868731444837927</v>
      </c>
      <c r="R106" s="180">
        <f t="shared" si="689"/>
        <v>58.991744642940397</v>
      </c>
      <c r="S106" s="180">
        <f t="shared" si="689"/>
        <v>59.087229116505732</v>
      </c>
      <c r="T106" s="180">
        <f t="shared" si="689"/>
        <v>58.976580692573236</v>
      </c>
      <c r="U106" s="180">
        <f t="shared" si="689"/>
        <v>58.841627718653456</v>
      </c>
      <c r="V106" s="180">
        <f t="shared" si="689"/>
        <v>58.682714367806753</v>
      </c>
      <c r="W106" s="180">
        <f t="shared" si="689"/>
        <v>58.500224295130863</v>
      </c>
      <c r="X106" s="180">
        <f t="shared" si="689"/>
        <v>58.294584684255469</v>
      </c>
      <c r="Y106" s="180">
        <f t="shared" si="689"/>
        <v>57.708421591058851</v>
      </c>
      <c r="Z106" s="180">
        <f t="shared" si="689"/>
        <v>57.105487419593473</v>
      </c>
      <c r="AA106" s="180">
        <f t="shared" si="689"/>
        <v>56.48638649284721</v>
      </c>
      <c r="AB106" s="180">
        <f t="shared" si="689"/>
        <v>55.851788195586693</v>
      </c>
      <c r="AC106" s="180">
        <f t="shared" si="689"/>
        <v>55.202433733588215</v>
      </c>
      <c r="AD106" s="180">
        <f t="shared" si="689"/>
        <v>54.539143624837799</v>
      </c>
      <c r="AE106" s="180">
        <f t="shared" si="689"/>
        <v>53.862826004070342</v>
      </c>
      <c r="AF106" s="180">
        <f t="shared" si="689"/>
        <v>53.174485831219442</v>
      </c>
      <c r="AG106" s="180">
        <f t="shared" si="689"/>
        <v>52.475235104603584</v>
      </c>
      <c r="AH106" s="180">
        <f t="shared" si="689"/>
        <v>51.766304191109967</v>
      </c>
      <c r="AI106" s="180"/>
      <c r="AJ106" s="180">
        <f>AJ59+AJ65</f>
        <v>27.787294919531671</v>
      </c>
      <c r="AK106" s="180">
        <f t="shared" ref="AK106:BN106" si="690">AK59+AK65</f>
        <v>31.287075762771202</v>
      </c>
      <c r="AL106" s="180">
        <f t="shared" si="690"/>
        <v>34.687837338993731</v>
      </c>
      <c r="AM106" s="180">
        <f t="shared" si="690"/>
        <v>38.047065940346627</v>
      </c>
      <c r="AN106" s="180">
        <f t="shared" si="690"/>
        <v>41.36461982976703</v>
      </c>
      <c r="AO106" s="180">
        <f t="shared" si="690"/>
        <v>44.640362149543925</v>
      </c>
      <c r="AP106" s="180">
        <f t="shared" si="690"/>
        <v>47.874161778379495</v>
      </c>
      <c r="AQ106" s="180">
        <f t="shared" si="690"/>
        <v>51.065894286616405</v>
      </c>
      <c r="AR106" s="180">
        <f t="shared" si="690"/>
        <v>54.215443000455316</v>
      </c>
      <c r="AS106" s="180">
        <f t="shared" si="690"/>
        <v>57.322700187188076</v>
      </c>
      <c r="AT106" s="180">
        <f t="shared" si="690"/>
        <v>60.387568374802363</v>
      </c>
      <c r="AU106" s="180">
        <f t="shared" si="690"/>
        <v>60.823606787248188</v>
      </c>
      <c r="AV106" s="180">
        <f t="shared" si="690"/>
        <v>61.234811001903502</v>
      </c>
      <c r="AW106" s="180">
        <f t="shared" si="690"/>
        <v>61.621123822857584</v>
      </c>
      <c r="AX106" s="180">
        <f t="shared" si="690"/>
        <v>61.982505259677694</v>
      </c>
      <c r="AY106" s="180">
        <f t="shared" si="690"/>
        <v>62.31893477733545</v>
      </c>
      <c r="AZ106" s="180">
        <f t="shared" si="690"/>
        <v>62.440973798298607</v>
      </c>
      <c r="BA106" s="180">
        <f t="shared" si="690"/>
        <v>62.539408484754041</v>
      </c>
      <c r="BB106" s="180">
        <f t="shared" si="690"/>
        <v>62.614292832054019</v>
      </c>
      <c r="BC106" s="180">
        <f t="shared" si="690"/>
        <v>62.665712107959848</v>
      </c>
      <c r="BD106" s="180">
        <f t="shared" si="690"/>
        <v>62.693786676134536</v>
      </c>
      <c r="BE106" s="180">
        <f t="shared" si="690"/>
        <v>62.319751678799292</v>
      </c>
      <c r="BF106" s="180">
        <f t="shared" si="690"/>
        <v>61.925423019757645</v>
      </c>
      <c r="BG106" s="180">
        <f t="shared" si="690"/>
        <v>61.511062655483968</v>
      </c>
      <c r="BH106" s="180">
        <f t="shared" si="690"/>
        <v>61.076987962263864</v>
      </c>
      <c r="BI106" s="180">
        <f t="shared" si="690"/>
        <v>60.623578234222158</v>
      </c>
      <c r="BJ106" s="180">
        <f t="shared" si="690"/>
        <v>60.151281906412763</v>
      </c>
      <c r="BK106" s="180">
        <f t="shared" si="690"/>
        <v>59.660624584160232</v>
      </c>
      <c r="BL106" s="180">
        <f t="shared" si="690"/>
        <v>59.152217969040734</v>
      </c>
      <c r="BM106" s="180">
        <f t="shared" si="690"/>
        <v>58.626769782138823</v>
      </c>
      <c r="BN106" s="180">
        <f t="shared" si="690"/>
        <v>58.085094796647716</v>
      </c>
    </row>
    <row r="107" spans="1:66" x14ac:dyDescent="0.2">
      <c r="A107" s="178"/>
      <c r="B107" s="181" t="s">
        <v>217</v>
      </c>
      <c r="C107" s="176" t="s">
        <v>153</v>
      </c>
      <c r="D107" s="238">
        <f>'Methanol Recycling HC'!C241</f>
        <v>0</v>
      </c>
      <c r="E107" s="238">
        <f>'Methanol Recycling HC'!D241</f>
        <v>2.5359760423074917E-2</v>
      </c>
      <c r="F107" s="238">
        <f>'Methanol Recycling HC'!E241</f>
        <v>5.1102553053775313E-2</v>
      </c>
      <c r="G107" s="238">
        <f>'Methanol Recycling HC'!F241</f>
        <v>7.7078399555374211E-2</v>
      </c>
      <c r="H107" s="238">
        <f>'Methanol Recycling HC'!G241</f>
        <v>0.10312809057410904</v>
      </c>
      <c r="I107" s="238">
        <f>'Methanol Recycling HC'!H241</f>
        <v>0.12908475941560349</v>
      </c>
      <c r="J107" s="238">
        <f>'Methanol Recycling HC'!I241</f>
        <v>0.15267756996533133</v>
      </c>
      <c r="K107" s="238">
        <f>'Methanol Recycling HC'!J241</f>
        <v>0.17665027772531833</v>
      </c>
      <c r="L107" s="238">
        <f>'Methanol Recycling HC'!K241</f>
        <v>0.20097917102377616</v>
      </c>
      <c r="M107" s="238">
        <f>'Methanol Recycling HC'!L241</f>
        <v>0.2256392159202858</v>
      </c>
      <c r="N107" s="238">
        <f>'Methanol Recycling HC'!M241</f>
        <v>0.25060408535866774</v>
      </c>
      <c r="O107" s="238">
        <f>'Methanol Recycling HC'!N241</f>
        <v>0.29476812641545325</v>
      </c>
      <c r="P107" s="238">
        <f>'Methanol Recycling HC'!O241</f>
        <v>0.33860556179571821</v>
      </c>
      <c r="Q107" s="238">
        <f>'Methanol Recycling HC'!P241</f>
        <v>0.38186905982954478</v>
      </c>
      <c r="R107" s="238">
        <f>'Methanol Recycling HC'!Q241</f>
        <v>0.42430984794304794</v>
      </c>
      <c r="S107" s="238">
        <f>'Methanol Recycling HC'!R241</f>
        <v>0.46568006055710021</v>
      </c>
      <c r="T107" s="238">
        <f>'Methanol Recycling HC'!S241</f>
        <v>0.50721558406768941</v>
      </c>
      <c r="U107" s="238">
        <f>'Methanol Recycling HC'!T241</f>
        <v>0.54889736400144395</v>
      </c>
      <c r="V107" s="238">
        <f>'Methanol Recycling HC'!U241</f>
        <v>0.59070600291102382</v>
      </c>
      <c r="W107" s="238">
        <f>'Methanol Recycling HC'!V241</f>
        <v>0.63262176960799377</v>
      </c>
      <c r="X107" s="238">
        <f>'Methanol Recycling HC'!W241</f>
        <v>0.67462460879335073</v>
      </c>
      <c r="Y107" s="238">
        <f>'Methanol Recycling HC'!X241</f>
        <v>0.74320237430461411</v>
      </c>
      <c r="Z107" s="238">
        <f>'Methanol Recycling HC'!Y241</f>
        <v>0.81197633970687644</v>
      </c>
      <c r="AA107" s="238">
        <f>'Methanol Recycling HC'!Z241</f>
        <v>0.88091516563351369</v>
      </c>
      <c r="AB107" s="238">
        <f>'Methanol Recycling HC'!AA241</f>
        <v>0.9499870201286329</v>
      </c>
      <c r="AC107" s="238">
        <f>'Methanol Recycling HC'!AB241</f>
        <v>1.0191595931723998</v>
      </c>
      <c r="AD107" s="238">
        <f>'Methanol Recycling HC'!AC241</f>
        <v>1.0880873165564851</v>
      </c>
      <c r="AE107" s="238">
        <f>'Methanol Recycling HC'!AD241</f>
        <v>1.157027560386416</v>
      </c>
      <c r="AF107" s="238">
        <f>'Methanol Recycling HC'!AE241</f>
        <v>1.225947773114116</v>
      </c>
      <c r="AG107" s="238">
        <f>'Methanol Recycling HC'!AF241</f>
        <v>1.2948149921080303</v>
      </c>
      <c r="AH107" s="265">
        <f>'Methanol Recycling HC'!AG241</f>
        <v>1.3635958582070353</v>
      </c>
      <c r="AJ107" s="238">
        <f>D107</f>
        <v>0</v>
      </c>
      <c r="AK107" s="238">
        <f t="shared" ref="AK107:BN109" si="691">E107</f>
        <v>2.5359760423074917E-2</v>
      </c>
      <c r="AL107" s="238">
        <f t="shared" si="691"/>
        <v>5.1102553053775313E-2</v>
      </c>
      <c r="AM107" s="238">
        <f t="shared" si="691"/>
        <v>7.7078399555374211E-2</v>
      </c>
      <c r="AN107" s="238">
        <f t="shared" si="691"/>
        <v>0.10312809057410904</v>
      </c>
      <c r="AO107" s="238">
        <f t="shared" si="691"/>
        <v>0.12908475941560349</v>
      </c>
      <c r="AP107" s="238">
        <f t="shared" si="691"/>
        <v>0.15267756996533133</v>
      </c>
      <c r="AQ107" s="238">
        <f t="shared" si="691"/>
        <v>0.17665027772531833</v>
      </c>
      <c r="AR107" s="238">
        <f t="shared" si="691"/>
        <v>0.20097917102377616</v>
      </c>
      <c r="AS107" s="238">
        <f t="shared" si="691"/>
        <v>0.2256392159202858</v>
      </c>
      <c r="AT107" s="238">
        <f t="shared" si="691"/>
        <v>0.25060408535866774</v>
      </c>
      <c r="AU107" s="238">
        <f t="shared" si="691"/>
        <v>0.29476812641545325</v>
      </c>
      <c r="AV107" s="238">
        <f t="shared" si="691"/>
        <v>0.33860556179571821</v>
      </c>
      <c r="AW107" s="238">
        <f t="shared" si="691"/>
        <v>0.38186905982954478</v>
      </c>
      <c r="AX107" s="238">
        <f t="shared" si="691"/>
        <v>0.42430984794304794</v>
      </c>
      <c r="AY107" s="238">
        <f t="shared" si="691"/>
        <v>0.46568006055710021</v>
      </c>
      <c r="AZ107" s="238">
        <f t="shared" si="691"/>
        <v>0.50721558406768941</v>
      </c>
      <c r="BA107" s="238">
        <f t="shared" si="691"/>
        <v>0.54889736400144395</v>
      </c>
      <c r="BB107" s="238">
        <f t="shared" si="691"/>
        <v>0.59070600291102382</v>
      </c>
      <c r="BC107" s="238">
        <f t="shared" si="691"/>
        <v>0.63262176960799377</v>
      </c>
      <c r="BD107" s="238">
        <f t="shared" si="691"/>
        <v>0.67462460879335073</v>
      </c>
      <c r="BE107" s="238">
        <f t="shared" si="691"/>
        <v>0.74320237430461411</v>
      </c>
      <c r="BF107" s="238">
        <f t="shared" si="691"/>
        <v>0.81197633970687644</v>
      </c>
      <c r="BG107" s="238">
        <f t="shared" si="691"/>
        <v>0.88091516563351369</v>
      </c>
      <c r="BH107" s="238">
        <f t="shared" si="691"/>
        <v>0.9499870201286329</v>
      </c>
      <c r="BI107" s="238">
        <f t="shared" si="691"/>
        <v>1.0191595931723998</v>
      </c>
      <c r="BJ107" s="238">
        <f t="shared" si="691"/>
        <v>1.0880873165564851</v>
      </c>
      <c r="BK107" s="238">
        <f t="shared" si="691"/>
        <v>1.157027560386416</v>
      </c>
      <c r="BL107" s="238">
        <f t="shared" si="691"/>
        <v>1.225947773114116</v>
      </c>
      <c r="BM107" s="238">
        <f t="shared" si="691"/>
        <v>1.2948149921080303</v>
      </c>
      <c r="BN107" s="238">
        <f t="shared" si="691"/>
        <v>1.3635958582070353</v>
      </c>
    </row>
    <row r="108" spans="1:66" x14ac:dyDescent="0.2">
      <c r="A108"/>
      <c r="B108" t="s">
        <v>222</v>
      </c>
      <c r="C108" s="54" t="s">
        <v>153</v>
      </c>
      <c r="D108" s="44">
        <f>'Methanol Recycling HC'!C100</f>
        <v>0</v>
      </c>
      <c r="E108" s="44">
        <f>'Methanol Recycling HC'!D100</f>
        <v>2.3558204878263711E-3</v>
      </c>
      <c r="F108" s="44">
        <f>'Methanol Recycling HC'!E100</f>
        <v>4.6839795006361415E-3</v>
      </c>
      <c r="G108" s="44">
        <f>'Methanol Recycling HC'!F100</f>
        <v>6.968163449938905E-3</v>
      </c>
      <c r="H108" s="44">
        <f>'Methanol Recycling HC'!G100</f>
        <v>9.1918779855475891E-3</v>
      </c>
      <c r="I108" s="44">
        <f>'Methanol Recycling HC'!H100</f>
        <v>1.1338645521480131E-2</v>
      </c>
      <c r="J108" s="44">
        <f>'Methanol Recycling HC'!I100</f>
        <v>1.3506269789021419E-2</v>
      </c>
      <c r="K108" s="44">
        <f>'Methanol Recycling HC'!J100</f>
        <v>1.5692138844122162E-2</v>
      </c>
      <c r="L108" s="44">
        <f>'Methanol Recycling HC'!K100</f>
        <v>1.789354032376269E-2</v>
      </c>
      <c r="M108" s="44">
        <f>'Methanol Recycling HC'!L100</f>
        <v>2.0107665943544135E-2</v>
      </c>
      <c r="N108" s="44">
        <f>'Methanol Recycling HC'!M100</f>
        <v>2.2331616395373032E-2</v>
      </c>
      <c r="O108" s="44">
        <f>'Methanol Recycling HC'!N100</f>
        <v>2.6404639389282433E-2</v>
      </c>
      <c r="P108" s="44">
        <f>'Methanol Recycling HC'!O100</f>
        <v>3.0387326909030954E-2</v>
      </c>
      <c r="Q108" s="44">
        <f>'Methanol Recycling HC'!P100</f>
        <v>3.4255921309841064E-2</v>
      </c>
      <c r="R108" s="44">
        <f>'Methanol Recycling HC'!Q100</f>
        <v>3.798711616347987E-2</v>
      </c>
      <c r="S108" s="44">
        <f>'Methanol Recycling HC'!R100</f>
        <v>4.1558288350879352E-2</v>
      </c>
      <c r="T108" s="44">
        <f>'Methanol Recycling HC'!S100</f>
        <v>4.5099829816949058E-2</v>
      </c>
      <c r="U108" s="44">
        <f>'Methanol Recycling HC'!T100</f>
        <v>4.86095810092258E-2</v>
      </c>
      <c r="V108" s="44">
        <f>'Methanol Recycling HC'!U100</f>
        <v>5.2085387917548256E-2</v>
      </c>
      <c r="W108" s="44">
        <f>'Methanol Recycling HC'!V100</f>
        <v>5.5525103866988737E-2</v>
      </c>
      <c r="X108" s="44">
        <f>'Methanol Recycling HC'!W100</f>
        <v>5.8926591321829563E-2</v>
      </c>
      <c r="Y108" s="44">
        <f>'Methanol Recycling HC'!X100</f>
        <v>6.4458272429272948E-2</v>
      </c>
      <c r="Z108" s="44">
        <f>'Methanol Recycling HC'!Y100</f>
        <v>6.9934873346651716E-2</v>
      </c>
      <c r="AA108" s="44">
        <f>'Methanol Recycling HC'!Z100</f>
        <v>7.5353206261752945E-2</v>
      </c>
      <c r="AB108" s="44">
        <f>'Methanol Recycling HC'!AA100</f>
        <v>8.0710100045932556E-2</v>
      </c>
      <c r="AC108" s="44">
        <f>'Methanol Recycling HC'!AB100</f>
        <v>8.6002402785938528E-2</v>
      </c>
      <c r="AD108" s="44">
        <f>'Methanol Recycling HC'!AC100</f>
        <v>9.1228220023248888E-2</v>
      </c>
      <c r="AE108" s="44">
        <f>'Methanol Recycling HC'!AD100</f>
        <v>9.6384593807647648E-2</v>
      </c>
      <c r="AF108" s="44">
        <f>'Methanol Recycling HC'!AE100</f>
        <v>0.10146858913803898</v>
      </c>
      <c r="AG108" s="44">
        <f>'Methanol Recycling HC'!AF100</f>
        <v>0.10647729621745174</v>
      </c>
      <c r="AH108" s="43">
        <f>'Methanol Recycling HC'!AG100</f>
        <v>0.11140783270913222</v>
      </c>
      <c r="AJ108" s="238">
        <f t="shared" ref="AJ108:AJ109" si="692">D108</f>
        <v>0</v>
      </c>
      <c r="AK108" s="238">
        <f t="shared" si="691"/>
        <v>2.3558204878263711E-3</v>
      </c>
      <c r="AL108" s="238">
        <f t="shared" si="691"/>
        <v>4.6839795006361415E-3</v>
      </c>
      <c r="AM108" s="238">
        <f t="shared" si="691"/>
        <v>6.968163449938905E-3</v>
      </c>
      <c r="AN108" s="238">
        <f t="shared" si="691"/>
        <v>9.1918779855475891E-3</v>
      </c>
      <c r="AO108" s="238">
        <f t="shared" si="691"/>
        <v>1.1338645521480131E-2</v>
      </c>
      <c r="AP108" s="238">
        <f t="shared" si="691"/>
        <v>1.3506269789021419E-2</v>
      </c>
      <c r="AQ108" s="238">
        <f t="shared" si="691"/>
        <v>1.5692138844122162E-2</v>
      </c>
      <c r="AR108" s="238">
        <f t="shared" si="691"/>
        <v>1.789354032376269E-2</v>
      </c>
      <c r="AS108" s="238">
        <f t="shared" si="691"/>
        <v>2.0107665943544135E-2</v>
      </c>
      <c r="AT108" s="238">
        <f t="shared" si="691"/>
        <v>2.2331616395373032E-2</v>
      </c>
      <c r="AU108" s="238">
        <f t="shared" si="691"/>
        <v>2.6404639389282433E-2</v>
      </c>
      <c r="AV108" s="238">
        <f t="shared" si="691"/>
        <v>3.0387326909030954E-2</v>
      </c>
      <c r="AW108" s="238">
        <f t="shared" si="691"/>
        <v>3.4255921309841064E-2</v>
      </c>
      <c r="AX108" s="238">
        <f t="shared" si="691"/>
        <v>3.798711616347987E-2</v>
      </c>
      <c r="AY108" s="238">
        <f t="shared" si="691"/>
        <v>4.1558288350879352E-2</v>
      </c>
      <c r="AZ108" s="238">
        <f t="shared" si="691"/>
        <v>4.5099829816949058E-2</v>
      </c>
      <c r="BA108" s="238">
        <f t="shared" si="691"/>
        <v>4.86095810092258E-2</v>
      </c>
      <c r="BB108" s="238">
        <f t="shared" si="691"/>
        <v>5.2085387917548256E-2</v>
      </c>
      <c r="BC108" s="238">
        <f t="shared" si="691"/>
        <v>5.5525103866988737E-2</v>
      </c>
      <c r="BD108" s="238">
        <f t="shared" si="691"/>
        <v>5.8926591321829563E-2</v>
      </c>
      <c r="BE108" s="238">
        <f t="shared" si="691"/>
        <v>6.4458272429272948E-2</v>
      </c>
      <c r="BF108" s="238">
        <f t="shared" si="691"/>
        <v>6.9934873346651716E-2</v>
      </c>
      <c r="BG108" s="238">
        <f t="shared" si="691"/>
        <v>7.5353206261752945E-2</v>
      </c>
      <c r="BH108" s="238">
        <f t="shared" si="691"/>
        <v>8.0710100045932556E-2</v>
      </c>
      <c r="BI108" s="238">
        <f t="shared" si="691"/>
        <v>8.6002402785938528E-2</v>
      </c>
      <c r="BJ108" s="238">
        <f t="shared" si="691"/>
        <v>9.1228220023248888E-2</v>
      </c>
      <c r="BK108" s="238">
        <f t="shared" si="691"/>
        <v>9.6384593807647648E-2</v>
      </c>
      <c r="BL108" s="238">
        <f t="shared" si="691"/>
        <v>0.10146858913803898</v>
      </c>
      <c r="BM108" s="238">
        <f t="shared" si="691"/>
        <v>0.10647729621745174</v>
      </c>
      <c r="BN108" s="238">
        <f t="shared" si="691"/>
        <v>0.11140783270913222</v>
      </c>
    </row>
    <row r="109" spans="1:66" x14ac:dyDescent="0.2">
      <c r="A109" s="181"/>
      <c r="B109" s="181" t="s">
        <v>218</v>
      </c>
      <c r="C109" s="176" t="s">
        <v>153</v>
      </c>
      <c r="D109" s="238">
        <f>'Methanol Recycling HC'!C165</f>
        <v>0</v>
      </c>
      <c r="E109" s="238">
        <f>'Methanol Recycling HC'!D165</f>
        <v>7.8422101183399633E-4</v>
      </c>
      <c r="F109" s="238">
        <f>'Methanol Recycling HC'!E165</f>
        <v>1.5909752657416272E-3</v>
      </c>
      <c r="G109" s="238">
        <f>'Methanol Recycling HC'!F165</f>
        <v>2.4122865717403222E-3</v>
      </c>
      <c r="H109" s="238">
        <f>'Methanol Recycling HC'!G165</f>
        <v>3.2395918549115695E-3</v>
      </c>
      <c r="I109" s="238">
        <f>'Methanol Recycling HC'!H165</f>
        <v>4.0638619802256188E-3</v>
      </c>
      <c r="J109" s="238">
        <f>'Methanol Recycling HC'!I165</f>
        <v>4.8922444958036746E-3</v>
      </c>
      <c r="K109" s="238">
        <f>'Methanol Recycling HC'!J165</f>
        <v>5.7204046821215694E-3</v>
      </c>
      <c r="L109" s="238">
        <f>'Methanol Recycling HC'!K165</f>
        <v>6.5437341263737403E-3</v>
      </c>
      <c r="M109" s="238">
        <f>'Methanol Recycling HC'!L165</f>
        <v>7.3573552722614385E-3</v>
      </c>
      <c r="N109" s="238">
        <f>'Methanol Recycling HC'!M165</f>
        <v>8.1561273146907413E-3</v>
      </c>
      <c r="O109" s="238">
        <f>'Methanol Recycling HC'!N165</f>
        <v>9.7816348148107215E-3</v>
      </c>
      <c r="P109" s="238">
        <f>'Methanol Recycling HC'!O165</f>
        <v>1.1352461453239836E-2</v>
      </c>
      <c r="Q109" s="238">
        <f>'Methanol Recycling HC'!P165</f>
        <v>1.2797486877066831E-2</v>
      </c>
      <c r="R109" s="238">
        <f>'Methanol Recycling HC'!Q165</f>
        <v>1.4142396104634331E-2</v>
      </c>
      <c r="S109" s="238">
        <f>'Methanol Recycling HC'!R165</f>
        <v>1.5370984700014936E-2</v>
      </c>
      <c r="T109" s="238">
        <f>'Methanol Recycling HC'!S165</f>
        <v>1.6502624763231867E-2</v>
      </c>
      <c r="U109" s="238">
        <f>'Methanol Recycling HC'!T165</f>
        <v>1.7528567275447528E-2</v>
      </c>
      <c r="V109" s="238">
        <f>'Methanol Recycling HC'!U165</f>
        <v>1.8439948841105124E-2</v>
      </c>
      <c r="W109" s="238">
        <f>'Methanol Recycling HC'!V165</f>
        <v>1.9227801217446275E-2</v>
      </c>
      <c r="X109" s="238">
        <f>'Methanol Recycling HC'!W165</f>
        <v>1.9883061211173905E-2</v>
      </c>
      <c r="Y109" s="238">
        <f>'Methanol Recycling HC'!X165</f>
        <v>2.1281125756132183E-2</v>
      </c>
      <c r="Z109" s="238">
        <f>'Methanol Recycling HC'!Y165</f>
        <v>2.2459842693218532E-2</v>
      </c>
      <c r="AA109" s="238">
        <f>'Methanol Recycling HC'!Z165</f>
        <v>2.3179334394452331E-2</v>
      </c>
      <c r="AB109" s="238">
        <f>'Methanol Recycling HC'!AA165</f>
        <v>2.3631248938827069E-2</v>
      </c>
      <c r="AC109" s="238">
        <f>'Methanol Recycling HC'!AB165</f>
        <v>2.3806580048300545E-2</v>
      </c>
      <c r="AD109" s="238">
        <f>'Methanol Recycling HC'!AC165</f>
        <v>2.3697367375246053E-2</v>
      </c>
      <c r="AE109" s="238">
        <f>'Methanol Recycling HC'!AD165</f>
        <v>2.3296248333358537E-2</v>
      </c>
      <c r="AF109" s="238">
        <f>'Methanol Recycling HC'!AE165</f>
        <v>2.2596766959794429E-2</v>
      </c>
      <c r="AG109" s="238">
        <f>'Methanol Recycling HC'!AF165</f>
        <v>2.1593438819647551E-2</v>
      </c>
      <c r="AH109" s="265">
        <f>'Methanol Recycling HC'!AG165</f>
        <v>2.02818169573275E-2</v>
      </c>
      <c r="AJ109" s="238">
        <f t="shared" si="692"/>
        <v>0</v>
      </c>
      <c r="AK109" s="238">
        <f t="shared" si="691"/>
        <v>7.8422101183399633E-4</v>
      </c>
      <c r="AL109" s="238">
        <f t="shared" si="691"/>
        <v>1.5909752657416272E-3</v>
      </c>
      <c r="AM109" s="238">
        <f t="shared" si="691"/>
        <v>2.4122865717403222E-3</v>
      </c>
      <c r="AN109" s="238">
        <f t="shared" si="691"/>
        <v>3.2395918549115695E-3</v>
      </c>
      <c r="AO109" s="238">
        <f t="shared" si="691"/>
        <v>4.0638619802256188E-3</v>
      </c>
      <c r="AP109" s="238">
        <f t="shared" si="691"/>
        <v>4.8922444958036746E-3</v>
      </c>
      <c r="AQ109" s="238">
        <f t="shared" si="691"/>
        <v>5.7204046821215694E-3</v>
      </c>
      <c r="AR109" s="238">
        <f t="shared" si="691"/>
        <v>6.5437341263737403E-3</v>
      </c>
      <c r="AS109" s="238">
        <f t="shared" si="691"/>
        <v>7.3573552722614385E-3</v>
      </c>
      <c r="AT109" s="238">
        <f t="shared" si="691"/>
        <v>8.1561273146907413E-3</v>
      </c>
      <c r="AU109" s="238">
        <f t="shared" si="691"/>
        <v>9.7816348148107215E-3</v>
      </c>
      <c r="AV109" s="238">
        <f t="shared" si="691"/>
        <v>1.1352461453239836E-2</v>
      </c>
      <c r="AW109" s="238">
        <f t="shared" si="691"/>
        <v>1.2797486877066831E-2</v>
      </c>
      <c r="AX109" s="238">
        <f t="shared" si="691"/>
        <v>1.4142396104634331E-2</v>
      </c>
      <c r="AY109" s="238">
        <f t="shared" si="691"/>
        <v>1.5370984700014936E-2</v>
      </c>
      <c r="AZ109" s="238">
        <f t="shared" si="691"/>
        <v>1.6502624763231867E-2</v>
      </c>
      <c r="BA109" s="238">
        <f t="shared" si="691"/>
        <v>1.7528567275447528E-2</v>
      </c>
      <c r="BB109" s="238">
        <f t="shared" si="691"/>
        <v>1.8439948841105124E-2</v>
      </c>
      <c r="BC109" s="238">
        <f t="shared" si="691"/>
        <v>1.9227801217446275E-2</v>
      </c>
      <c r="BD109" s="238">
        <f t="shared" si="691"/>
        <v>1.9883061211173905E-2</v>
      </c>
      <c r="BE109" s="238">
        <f t="shared" si="691"/>
        <v>2.1281125756132183E-2</v>
      </c>
      <c r="BF109" s="238">
        <f t="shared" si="691"/>
        <v>2.2459842693218532E-2</v>
      </c>
      <c r="BG109" s="238">
        <f t="shared" si="691"/>
        <v>2.3179334394452331E-2</v>
      </c>
      <c r="BH109" s="238">
        <f t="shared" si="691"/>
        <v>2.3631248938827069E-2</v>
      </c>
      <c r="BI109" s="238">
        <f t="shared" si="691"/>
        <v>2.3806580048300545E-2</v>
      </c>
      <c r="BJ109" s="238">
        <f t="shared" si="691"/>
        <v>2.3697367375246053E-2</v>
      </c>
      <c r="BK109" s="238">
        <f t="shared" si="691"/>
        <v>2.3296248333358537E-2</v>
      </c>
      <c r="BL109" s="238">
        <f t="shared" si="691"/>
        <v>2.2596766959794429E-2</v>
      </c>
      <c r="BM109" s="238">
        <f t="shared" si="691"/>
        <v>2.1593438819647551E-2</v>
      </c>
      <c r="BN109" s="238">
        <f t="shared" si="691"/>
        <v>2.02818169573275E-2</v>
      </c>
    </row>
    <row r="110" spans="1:66" x14ac:dyDescent="0.2">
      <c r="A110" s="178"/>
      <c r="B110" s="239" t="s">
        <v>219</v>
      </c>
      <c r="C110" s="179" t="s">
        <v>153</v>
      </c>
      <c r="D110" s="241">
        <f t="shared" ref="D110:AH110" si="693">D106-D107-D108-D109</f>
        <v>27.787294919531671</v>
      </c>
      <c r="E110" s="241">
        <f t="shared" si="693"/>
        <v>31.155197897881393</v>
      </c>
      <c r="F110" s="241">
        <f t="shared" si="693"/>
        <v>34.400467847673809</v>
      </c>
      <c r="G110" s="241">
        <f t="shared" si="693"/>
        <v>37.580955533691551</v>
      </c>
      <c r="H110" s="241">
        <f t="shared" si="693"/>
        <v>40.696899170130223</v>
      </c>
      <c r="I110" s="241">
        <f t="shared" si="693"/>
        <v>43.748555587569221</v>
      </c>
      <c r="J110" s="241">
        <f t="shared" si="693"/>
        <v>46.738166649265857</v>
      </c>
      <c r="K110" s="241">
        <f t="shared" si="693"/>
        <v>49.663084159857263</v>
      </c>
      <c r="L110" s="241">
        <f t="shared" si="693"/>
        <v>52.523441627331749</v>
      </c>
      <c r="M110" s="241">
        <f t="shared" si="693"/>
        <v>55.319389461440473</v>
      </c>
      <c r="N110" s="241">
        <f t="shared" si="693"/>
        <v>58.051096424938109</v>
      </c>
      <c r="O110" s="241">
        <f t="shared" si="693"/>
        <v>58.208206123746869</v>
      </c>
      <c r="P110" s="241">
        <f t="shared" si="693"/>
        <v>58.337597877086395</v>
      </c>
      <c r="Q110" s="241">
        <f t="shared" si="693"/>
        <v>58.439808976821467</v>
      </c>
      <c r="R110" s="241">
        <f t="shared" si="693"/>
        <v>58.515305282729237</v>
      </c>
      <c r="S110" s="241">
        <f t="shared" si="693"/>
        <v>58.564619782897744</v>
      </c>
      <c r="T110" s="241">
        <f t="shared" si="693"/>
        <v>58.407762653925367</v>
      </c>
      <c r="U110" s="241">
        <f t="shared" si="693"/>
        <v>58.226592206367343</v>
      </c>
      <c r="V110" s="241">
        <f t="shared" si="693"/>
        <v>58.021483028137069</v>
      </c>
      <c r="W110" s="241">
        <f t="shared" si="693"/>
        <v>57.792849620438432</v>
      </c>
      <c r="X110" s="241">
        <f t="shared" si="693"/>
        <v>57.541150422929114</v>
      </c>
      <c r="Y110" s="241">
        <f t="shared" si="693"/>
        <v>56.879479818568832</v>
      </c>
      <c r="Z110" s="241">
        <f t="shared" si="693"/>
        <v>56.201116363846729</v>
      </c>
      <c r="AA110" s="241">
        <f t="shared" si="693"/>
        <v>55.506938786557498</v>
      </c>
      <c r="AB110" s="241">
        <f t="shared" si="693"/>
        <v>54.7974598264733</v>
      </c>
      <c r="AC110" s="241">
        <f t="shared" si="693"/>
        <v>54.07346515758158</v>
      </c>
      <c r="AD110" s="241">
        <f t="shared" si="693"/>
        <v>53.336130720882821</v>
      </c>
      <c r="AE110" s="241">
        <f t="shared" si="693"/>
        <v>52.586117601542917</v>
      </c>
      <c r="AF110" s="241">
        <f t="shared" si="693"/>
        <v>51.824472702007498</v>
      </c>
      <c r="AG110" s="241">
        <f t="shared" si="693"/>
        <v>51.052349377458455</v>
      </c>
      <c r="AH110" s="241">
        <f t="shared" si="693"/>
        <v>50.27101868323647</v>
      </c>
      <c r="AJ110" s="241">
        <f t="shared" ref="AJ110:BN110" si="694">AJ106-AJ107-AJ108-AJ109</f>
        <v>27.787294919531671</v>
      </c>
      <c r="AK110" s="241">
        <f t="shared" si="694"/>
        <v>31.258575960848468</v>
      </c>
      <c r="AL110" s="241">
        <f t="shared" si="694"/>
        <v>34.630459831173582</v>
      </c>
      <c r="AM110" s="241">
        <f t="shared" si="694"/>
        <v>37.960607090769571</v>
      </c>
      <c r="AN110" s="241">
        <f t="shared" si="694"/>
        <v>41.249060269352455</v>
      </c>
      <c r="AO110" s="241">
        <f t="shared" si="694"/>
        <v>44.495874882626609</v>
      </c>
      <c r="AP110" s="241">
        <f t="shared" si="694"/>
        <v>47.703085694129335</v>
      </c>
      <c r="AQ110" s="241">
        <f t="shared" si="694"/>
        <v>50.867831465364844</v>
      </c>
      <c r="AR110" s="241">
        <f t="shared" si="694"/>
        <v>53.990026554981405</v>
      </c>
      <c r="AS110" s="241">
        <f t="shared" si="694"/>
        <v>57.069595950051983</v>
      </c>
      <c r="AT110" s="241">
        <f t="shared" si="694"/>
        <v>60.106476545733635</v>
      </c>
      <c r="AU110" s="241">
        <f t="shared" si="694"/>
        <v>60.492652386628642</v>
      </c>
      <c r="AV110" s="241">
        <f t="shared" si="694"/>
        <v>60.854465651745514</v>
      </c>
      <c r="AW110" s="241">
        <f t="shared" si="694"/>
        <v>61.192201354841124</v>
      </c>
      <c r="AX110" s="241">
        <f t="shared" si="694"/>
        <v>61.506065899466535</v>
      </c>
      <c r="AY110" s="241">
        <f t="shared" si="694"/>
        <v>61.796325443727461</v>
      </c>
      <c r="AZ110" s="241">
        <f t="shared" si="694"/>
        <v>61.872155759650738</v>
      </c>
      <c r="BA110" s="241">
        <f t="shared" si="694"/>
        <v>61.924372972467928</v>
      </c>
      <c r="BB110" s="241">
        <f t="shared" si="694"/>
        <v>61.953061492384336</v>
      </c>
      <c r="BC110" s="241">
        <f t="shared" si="694"/>
        <v>61.958337433267417</v>
      </c>
      <c r="BD110" s="241">
        <f t="shared" si="694"/>
        <v>61.940352414808181</v>
      </c>
      <c r="BE110" s="241">
        <f t="shared" si="694"/>
        <v>61.490809906309273</v>
      </c>
      <c r="BF110" s="241">
        <f t="shared" si="694"/>
        <v>61.021051964010901</v>
      </c>
      <c r="BG110" s="241">
        <f t="shared" si="694"/>
        <v>60.531614949194257</v>
      </c>
      <c r="BH110" s="241">
        <f t="shared" si="694"/>
        <v>60.022659593150472</v>
      </c>
      <c r="BI110" s="241">
        <f t="shared" si="694"/>
        <v>59.494609658215523</v>
      </c>
      <c r="BJ110" s="241">
        <f t="shared" si="694"/>
        <v>58.948269002457785</v>
      </c>
      <c r="BK110" s="241">
        <f t="shared" si="694"/>
        <v>58.383916181632806</v>
      </c>
      <c r="BL110" s="241">
        <f t="shared" si="694"/>
        <v>57.802204839828789</v>
      </c>
      <c r="BM110" s="241">
        <f t="shared" si="694"/>
        <v>57.203884054993694</v>
      </c>
      <c r="BN110" s="241">
        <f t="shared" si="694"/>
        <v>56.589809288774219</v>
      </c>
    </row>
    <row r="111" spans="1:66" s="67" customFormat="1" x14ac:dyDescent="0.2">
      <c r="A111" s="681"/>
      <c r="B111" s="58" t="s">
        <v>246</v>
      </c>
      <c r="C111" s="59" t="s">
        <v>153</v>
      </c>
      <c r="D111" s="60">
        <f>D60+D66-(D60+D66)/SUM(D$60:D$62,D$66:D$68)*(D$106-D$110)</f>
        <v>4.6594362231517366</v>
      </c>
      <c r="E111" s="60">
        <f t="shared" ref="E111:AH113" si="695">E60+E66-(E60+E66)/SUM(E$60:E$62,E$66:E$68)*(E$106-E$110)</f>
        <v>5.1230478368677392</v>
      </c>
      <c r="F111" s="60">
        <f t="shared" si="695"/>
        <v>5.5424291482130723</v>
      </c>
      <c r="G111" s="60">
        <f t="shared" si="695"/>
        <v>5.949353531029927</v>
      </c>
      <c r="H111" s="60">
        <f t="shared" si="695"/>
        <v>6.3452150150575806</v>
      </c>
      <c r="I111" s="60">
        <f t="shared" si="695"/>
        <v>6.7310824154427751</v>
      </c>
      <c r="J111" s="60">
        <f t="shared" si="695"/>
        <v>7.1080955139912403</v>
      </c>
      <c r="K111" s="60">
        <f t="shared" si="695"/>
        <v>7.4764800248547552</v>
      </c>
      <c r="L111" s="60">
        <f t="shared" si="695"/>
        <v>7.8367739041125901</v>
      </c>
      <c r="M111" s="60">
        <f t="shared" si="695"/>
        <v>8.1894279692287277</v>
      </c>
      <c r="N111" s="60">
        <f t="shared" si="695"/>
        <v>8.5348289979264607</v>
      </c>
      <c r="O111" s="60">
        <f t="shared" si="695"/>
        <v>8.5931799023478685</v>
      </c>
      <c r="P111" s="60">
        <f t="shared" si="695"/>
        <v>8.6495756999175999</v>
      </c>
      <c r="Q111" s="60">
        <f t="shared" si="695"/>
        <v>8.7041557994830345</v>
      </c>
      <c r="R111" s="60">
        <f t="shared" si="695"/>
        <v>8.7570569091098136</v>
      </c>
      <c r="S111" s="60">
        <f t="shared" si="695"/>
        <v>8.8084345221472713</v>
      </c>
      <c r="T111" s="60">
        <f t="shared" si="695"/>
        <v>8.838039342733353</v>
      </c>
      <c r="U111" s="60">
        <f t="shared" si="695"/>
        <v>8.86637750364455</v>
      </c>
      <c r="V111" s="60">
        <f t="shared" si="695"/>
        <v>8.8936028057692358</v>
      </c>
      <c r="W111" s="60">
        <f t="shared" si="695"/>
        <v>8.9198872398504196</v>
      </c>
      <c r="X111" s="60">
        <f t="shared" si="695"/>
        <v>8.9454230724809118</v>
      </c>
      <c r="Y111" s="60">
        <f t="shared" si="695"/>
        <v>8.9242780580237504</v>
      </c>
      <c r="Z111" s="60">
        <f t="shared" si="695"/>
        <v>8.9030129517885506</v>
      </c>
      <c r="AA111" s="60">
        <f t="shared" si="695"/>
        <v>8.8819107328832523</v>
      </c>
      <c r="AB111" s="60">
        <f t="shared" si="695"/>
        <v>8.8612153084181173</v>
      </c>
      <c r="AC111" s="60">
        <f t="shared" si="695"/>
        <v>8.8412345654253031</v>
      </c>
      <c r="AD111" s="60">
        <f t="shared" si="695"/>
        <v>8.8223639623185015</v>
      </c>
      <c r="AE111" s="60">
        <f t="shared" si="695"/>
        <v>8.8049408742006197</v>
      </c>
      <c r="AF111" s="60">
        <f t="shared" si="695"/>
        <v>8.7893942996266201</v>
      </c>
      <c r="AG111" s="60">
        <f t="shared" si="695"/>
        <v>8.7762031715912396</v>
      </c>
      <c r="AH111" s="60">
        <f t="shared" si="695"/>
        <v>8.7659020772516349</v>
      </c>
      <c r="AJ111" s="60">
        <f>AJ60+AJ66-(AJ60+AJ66)/SUM(AJ$60:AJ$62,AJ$66:AJ$68)*(AJ$106-AJ$110)</f>
        <v>4.6594362231517366</v>
      </c>
      <c r="AK111" s="60">
        <f t="shared" ref="AK111:BN111" si="696">AK60+AK66-(AK60+AK66)/SUM(AK$60:AK$62,AK$66:AK$68)*(AK$106-AK$110)</f>
        <v>5.1399718317394525</v>
      </c>
      <c r="AL111" s="60">
        <f t="shared" si="696"/>
        <v>5.5793152689095846</v>
      </c>
      <c r="AM111" s="60">
        <f t="shared" si="696"/>
        <v>6.0091704222849476</v>
      </c>
      <c r="AN111" s="60">
        <f t="shared" si="696"/>
        <v>6.4308783261233602</v>
      </c>
      <c r="AO111" s="60">
        <f t="shared" si="696"/>
        <v>6.8454661001962425</v>
      </c>
      <c r="AP111" s="60">
        <f t="shared" si="696"/>
        <v>7.2540397257714488</v>
      </c>
      <c r="AQ111" s="60">
        <f t="shared" si="696"/>
        <v>7.656796858761334</v>
      </c>
      <c r="AR111" s="60">
        <f t="shared" si="696"/>
        <v>8.0542514927421198</v>
      </c>
      <c r="AS111" s="60">
        <f t="shared" si="696"/>
        <v>8.44683351740386</v>
      </c>
      <c r="AT111" s="60">
        <f t="shared" si="696"/>
        <v>8.8349110353062699</v>
      </c>
      <c r="AU111" s="60">
        <f t="shared" si="696"/>
        <v>8.9278492645164604</v>
      </c>
      <c r="AV111" s="60">
        <f t="shared" si="696"/>
        <v>9.0196111352836716</v>
      </c>
      <c r="AW111" s="60">
        <f t="shared" si="696"/>
        <v>9.1103207528655759</v>
      </c>
      <c r="AX111" s="60">
        <f t="shared" si="696"/>
        <v>9.2000988620981836</v>
      </c>
      <c r="AY111" s="60">
        <f t="shared" si="696"/>
        <v>9.2890842866373422</v>
      </c>
      <c r="AZ111" s="60">
        <f t="shared" si="696"/>
        <v>9.3558241061250218</v>
      </c>
      <c r="BA111" s="60">
        <f t="shared" si="696"/>
        <v>9.4218390103753702</v>
      </c>
      <c r="BB111" s="60">
        <f t="shared" si="696"/>
        <v>9.4872625149382017</v>
      </c>
      <c r="BC111" s="60">
        <f t="shared" si="696"/>
        <v>9.5522453628083763</v>
      </c>
      <c r="BD111" s="60">
        <f t="shared" si="696"/>
        <v>9.6169575578054278</v>
      </c>
      <c r="BE111" s="60">
        <f t="shared" si="696"/>
        <v>9.6333145742615365</v>
      </c>
      <c r="BF111" s="60">
        <f t="shared" si="696"/>
        <v>9.6496680111188198</v>
      </c>
      <c r="BG111" s="60">
        <f t="shared" si="696"/>
        <v>9.6662700005253157</v>
      </c>
      <c r="BH111" s="60">
        <f t="shared" si="696"/>
        <v>9.6833320807168803</v>
      </c>
      <c r="BI111" s="60">
        <f t="shared" si="696"/>
        <v>9.7011279921532267</v>
      </c>
      <c r="BJ111" s="60">
        <f t="shared" si="696"/>
        <v>9.7200170550548499</v>
      </c>
      <c r="BK111" s="60">
        <f t="shared" si="696"/>
        <v>9.7402988278949501</v>
      </c>
      <c r="BL111" s="60">
        <f t="shared" si="696"/>
        <v>9.7623623294540618</v>
      </c>
      <c r="BM111" s="60">
        <f t="shared" si="696"/>
        <v>9.7866443359959963</v>
      </c>
      <c r="BN111" s="60">
        <f t="shared" si="696"/>
        <v>9.8136349651219241</v>
      </c>
    </row>
    <row r="112" spans="1:66" x14ac:dyDescent="0.2">
      <c r="A112" s="682"/>
      <c r="B112" s="1" t="s">
        <v>247</v>
      </c>
      <c r="C112" s="54" t="s">
        <v>153</v>
      </c>
      <c r="D112" s="44">
        <f t="shared" ref="D112:S113" si="697">D61+D67-(D61+D67)/SUM(D$60:D$62,D$66:D$68)*(D$106-D$110)</f>
        <v>0</v>
      </c>
      <c r="E112" s="44">
        <f t="shared" si="697"/>
        <v>0</v>
      </c>
      <c r="F112" s="44">
        <f t="shared" si="697"/>
        <v>0</v>
      </c>
      <c r="G112" s="44">
        <f t="shared" si="697"/>
        <v>0</v>
      </c>
      <c r="H112" s="44">
        <f t="shared" si="697"/>
        <v>0</v>
      </c>
      <c r="I112" s="44">
        <f t="shared" si="697"/>
        <v>0</v>
      </c>
      <c r="J112" s="44">
        <f t="shared" si="697"/>
        <v>0</v>
      </c>
      <c r="K112" s="44">
        <f t="shared" si="697"/>
        <v>0</v>
      </c>
      <c r="L112" s="44">
        <f t="shared" si="697"/>
        <v>0</v>
      </c>
      <c r="M112" s="44">
        <f t="shared" si="697"/>
        <v>0</v>
      </c>
      <c r="N112" s="44">
        <f t="shared" si="697"/>
        <v>0</v>
      </c>
      <c r="O112" s="44">
        <f t="shared" si="697"/>
        <v>0</v>
      </c>
      <c r="P112" s="44">
        <f t="shared" si="697"/>
        <v>0</v>
      </c>
      <c r="Q112" s="44">
        <f t="shared" si="697"/>
        <v>0</v>
      </c>
      <c r="R112" s="44">
        <f t="shared" si="697"/>
        <v>0</v>
      </c>
      <c r="S112" s="44">
        <f t="shared" si="697"/>
        <v>0</v>
      </c>
      <c r="T112" s="44">
        <f t="shared" si="695"/>
        <v>0</v>
      </c>
      <c r="U112" s="44">
        <f t="shared" si="695"/>
        <v>0</v>
      </c>
      <c r="V112" s="44">
        <f t="shared" si="695"/>
        <v>0</v>
      </c>
      <c r="W112" s="44">
        <f t="shared" si="695"/>
        <v>0</v>
      </c>
      <c r="X112" s="44">
        <f t="shared" si="695"/>
        <v>0</v>
      </c>
      <c r="Y112" s="44">
        <f t="shared" si="695"/>
        <v>0</v>
      </c>
      <c r="Z112" s="44">
        <f t="shared" si="695"/>
        <v>0</v>
      </c>
      <c r="AA112" s="44">
        <f t="shared" si="695"/>
        <v>0</v>
      </c>
      <c r="AB112" s="44">
        <f t="shared" si="695"/>
        <v>0</v>
      </c>
      <c r="AC112" s="44">
        <f t="shared" si="695"/>
        <v>0</v>
      </c>
      <c r="AD112" s="44">
        <f t="shared" si="695"/>
        <v>0</v>
      </c>
      <c r="AE112" s="44">
        <f t="shared" si="695"/>
        <v>0</v>
      </c>
      <c r="AF112" s="44">
        <f t="shared" si="695"/>
        <v>0</v>
      </c>
      <c r="AG112" s="44">
        <f t="shared" si="695"/>
        <v>0</v>
      </c>
      <c r="AH112" s="44">
        <f t="shared" si="695"/>
        <v>0</v>
      </c>
      <c r="AJ112" s="44">
        <f t="shared" ref="AJ112:BN112" si="698">AJ61+AJ67-(AJ61+AJ67)/SUM(AJ$60:AJ$62,AJ$66:AJ$68)*(AJ$106-AJ$110)</f>
        <v>0</v>
      </c>
      <c r="AK112" s="44">
        <f t="shared" si="698"/>
        <v>0</v>
      </c>
      <c r="AL112" s="44">
        <f t="shared" si="698"/>
        <v>0</v>
      </c>
      <c r="AM112" s="44">
        <f t="shared" si="698"/>
        <v>0</v>
      </c>
      <c r="AN112" s="44">
        <f t="shared" si="698"/>
        <v>0</v>
      </c>
      <c r="AO112" s="44">
        <f t="shared" si="698"/>
        <v>0</v>
      </c>
      <c r="AP112" s="44">
        <f t="shared" si="698"/>
        <v>0</v>
      </c>
      <c r="AQ112" s="44">
        <f t="shared" si="698"/>
        <v>0</v>
      </c>
      <c r="AR112" s="44">
        <f t="shared" si="698"/>
        <v>0</v>
      </c>
      <c r="AS112" s="44">
        <f t="shared" si="698"/>
        <v>0</v>
      </c>
      <c r="AT112" s="44">
        <f t="shared" si="698"/>
        <v>0</v>
      </c>
      <c r="AU112" s="44">
        <f t="shared" si="698"/>
        <v>0</v>
      </c>
      <c r="AV112" s="44">
        <f t="shared" si="698"/>
        <v>0</v>
      </c>
      <c r="AW112" s="44">
        <f t="shared" si="698"/>
        <v>0</v>
      </c>
      <c r="AX112" s="44">
        <f t="shared" si="698"/>
        <v>0</v>
      </c>
      <c r="AY112" s="44">
        <f t="shared" si="698"/>
        <v>0</v>
      </c>
      <c r="AZ112" s="44">
        <f t="shared" si="698"/>
        <v>0</v>
      </c>
      <c r="BA112" s="44">
        <f t="shared" si="698"/>
        <v>0</v>
      </c>
      <c r="BB112" s="44">
        <f t="shared" si="698"/>
        <v>0</v>
      </c>
      <c r="BC112" s="44">
        <f t="shared" si="698"/>
        <v>0</v>
      </c>
      <c r="BD112" s="44">
        <f t="shared" si="698"/>
        <v>0</v>
      </c>
      <c r="BE112" s="44">
        <f t="shared" si="698"/>
        <v>0</v>
      </c>
      <c r="BF112" s="44">
        <f t="shared" si="698"/>
        <v>0</v>
      </c>
      <c r="BG112" s="44">
        <f t="shared" si="698"/>
        <v>0</v>
      </c>
      <c r="BH112" s="44">
        <f t="shared" si="698"/>
        <v>0</v>
      </c>
      <c r="BI112" s="44">
        <f t="shared" si="698"/>
        <v>0</v>
      </c>
      <c r="BJ112" s="44">
        <f t="shared" si="698"/>
        <v>0</v>
      </c>
      <c r="BK112" s="44">
        <f t="shared" si="698"/>
        <v>0</v>
      </c>
      <c r="BL112" s="44">
        <f t="shared" si="698"/>
        <v>0</v>
      </c>
      <c r="BM112" s="44">
        <f t="shared" si="698"/>
        <v>0</v>
      </c>
      <c r="BN112" s="44">
        <f t="shared" si="698"/>
        <v>0</v>
      </c>
    </row>
    <row r="113" spans="1:67" s="68" customFormat="1" x14ac:dyDescent="0.2">
      <c r="A113" s="683"/>
      <c r="B113" s="62" t="s">
        <v>248</v>
      </c>
      <c r="C113" s="283" t="s">
        <v>153</v>
      </c>
      <c r="D113" s="284">
        <f t="shared" si="697"/>
        <v>23.127858696379935</v>
      </c>
      <c r="E113" s="284">
        <f t="shared" si="695"/>
        <v>26.032150061013652</v>
      </c>
      <c r="F113" s="284">
        <f t="shared" si="695"/>
        <v>28.858038699460742</v>
      </c>
      <c r="G113" s="284">
        <f t="shared" si="695"/>
        <v>31.631602002661619</v>
      </c>
      <c r="H113" s="284">
        <f t="shared" si="695"/>
        <v>34.35168415507264</v>
      </c>
      <c r="I113" s="284">
        <f t="shared" si="695"/>
        <v>37.017473172126451</v>
      </c>
      <c r="J113" s="284">
        <f t="shared" si="695"/>
        <v>39.630071135274626</v>
      </c>
      <c r="K113" s="284">
        <f t="shared" si="695"/>
        <v>42.186604135002504</v>
      </c>
      <c r="L113" s="284">
        <f t="shared" si="695"/>
        <v>44.686667723219166</v>
      </c>
      <c r="M113" s="284">
        <f t="shared" si="695"/>
        <v>47.129961492211748</v>
      </c>
      <c r="N113" s="284">
        <f t="shared" si="695"/>
        <v>49.516267427011648</v>
      </c>
      <c r="O113" s="284">
        <f t="shared" si="695"/>
        <v>49.615026221399006</v>
      </c>
      <c r="P113" s="284">
        <f t="shared" si="695"/>
        <v>49.688022177168797</v>
      </c>
      <c r="Q113" s="284">
        <f t="shared" si="695"/>
        <v>49.735653177338428</v>
      </c>
      <c r="R113" s="284">
        <f t="shared" si="695"/>
        <v>49.758248373619423</v>
      </c>
      <c r="S113" s="284">
        <f t="shared" si="695"/>
        <v>49.75618526075047</v>
      </c>
      <c r="T113" s="284">
        <f t="shared" si="695"/>
        <v>49.569723311192014</v>
      </c>
      <c r="U113" s="284">
        <f t="shared" si="695"/>
        <v>49.3602147027228</v>
      </c>
      <c r="V113" s="284">
        <f t="shared" si="695"/>
        <v>49.127880222367843</v>
      </c>
      <c r="W113" s="284">
        <f t="shared" si="695"/>
        <v>48.872962380588</v>
      </c>
      <c r="X113" s="284">
        <f t="shared" si="695"/>
        <v>48.5957273504482</v>
      </c>
      <c r="Y113" s="284">
        <f t="shared" si="695"/>
        <v>47.955201760545087</v>
      </c>
      <c r="Z113" s="284">
        <f t="shared" si="695"/>
        <v>47.298103412058182</v>
      </c>
      <c r="AA113" s="284">
        <f t="shared" si="695"/>
        <v>46.625028053674257</v>
      </c>
      <c r="AB113" s="284">
        <f t="shared" si="695"/>
        <v>45.936244518055176</v>
      </c>
      <c r="AC113" s="284">
        <f t="shared" si="695"/>
        <v>45.232230592156277</v>
      </c>
      <c r="AD113" s="284">
        <f t="shared" si="695"/>
        <v>44.513766758564323</v>
      </c>
      <c r="AE113" s="284">
        <f t="shared" si="695"/>
        <v>43.781176727342299</v>
      </c>
      <c r="AF113" s="284">
        <f t="shared" si="695"/>
        <v>43.035078402380876</v>
      </c>
      <c r="AG113" s="284">
        <f t="shared" si="695"/>
        <v>42.276146205867221</v>
      </c>
      <c r="AH113" s="284">
        <f t="shared" si="695"/>
        <v>41.505116605984838</v>
      </c>
      <c r="AJ113" s="284">
        <f t="shared" ref="AJ113:BN113" si="699">AJ62+AJ68-(AJ62+AJ68)/SUM(AJ$60:AJ$62,AJ$66:AJ$68)*(AJ$106-AJ$110)</f>
        <v>23.127858696379935</v>
      </c>
      <c r="AK113" s="284">
        <f t="shared" si="699"/>
        <v>26.118604129109013</v>
      </c>
      <c r="AL113" s="284">
        <f t="shared" si="699"/>
        <v>29.051144562264003</v>
      </c>
      <c r="AM113" s="284">
        <f t="shared" si="699"/>
        <v>31.951436668484618</v>
      </c>
      <c r="AN113" s="284">
        <f t="shared" si="699"/>
        <v>34.818181943229099</v>
      </c>
      <c r="AO113" s="284">
        <f t="shared" si="699"/>
        <v>37.650408782430368</v>
      </c>
      <c r="AP113" s="284">
        <f t="shared" si="699"/>
        <v>40.449045968357893</v>
      </c>
      <c r="AQ113" s="284">
        <f t="shared" si="699"/>
        <v>43.211034606603512</v>
      </c>
      <c r="AR113" s="284">
        <f t="shared" si="699"/>
        <v>45.935775062239287</v>
      </c>
      <c r="AS113" s="284">
        <f t="shared" si="699"/>
        <v>48.622762432648123</v>
      </c>
      <c r="AT113" s="284">
        <f t="shared" si="699"/>
        <v>51.271565510427365</v>
      </c>
      <c r="AU113" s="284">
        <f t="shared" si="699"/>
        <v>51.564803122112181</v>
      </c>
      <c r="AV113" s="284">
        <f t="shared" si="699"/>
        <v>51.834854516461839</v>
      </c>
      <c r="AW113" s="284">
        <f t="shared" si="699"/>
        <v>52.081880601975541</v>
      </c>
      <c r="AX113" s="284">
        <f t="shared" si="699"/>
        <v>52.305967037368355</v>
      </c>
      <c r="AY113" s="284">
        <f t="shared" si="699"/>
        <v>52.507241157090114</v>
      </c>
      <c r="AZ113" s="284">
        <f t="shared" si="699"/>
        <v>52.516331653525711</v>
      </c>
      <c r="BA113" s="284">
        <f t="shared" si="699"/>
        <v>52.502533962092571</v>
      </c>
      <c r="BB113" s="284">
        <f t="shared" si="699"/>
        <v>52.465798977446141</v>
      </c>
      <c r="BC113" s="284">
        <f t="shared" si="699"/>
        <v>52.406092070459039</v>
      </c>
      <c r="BD113" s="284">
        <f t="shared" si="699"/>
        <v>52.323394857002754</v>
      </c>
      <c r="BE113" s="284">
        <f t="shared" si="699"/>
        <v>51.857495332047741</v>
      </c>
      <c r="BF113" s="284">
        <f t="shared" si="699"/>
        <v>51.371383952892081</v>
      </c>
      <c r="BG113" s="284">
        <f t="shared" si="699"/>
        <v>50.865344948668948</v>
      </c>
      <c r="BH113" s="284">
        <f t="shared" si="699"/>
        <v>50.339327512433591</v>
      </c>
      <c r="BI113" s="284">
        <f t="shared" si="699"/>
        <v>49.793481666062299</v>
      </c>
      <c r="BJ113" s="284">
        <f t="shared" si="699"/>
        <v>49.228251947402939</v>
      </c>
      <c r="BK113" s="284">
        <f t="shared" si="699"/>
        <v>48.643617353737859</v>
      </c>
      <c r="BL113" s="284">
        <f t="shared" si="699"/>
        <v>48.039842510374726</v>
      </c>
      <c r="BM113" s="284">
        <f t="shared" si="699"/>
        <v>47.417239718997699</v>
      </c>
      <c r="BN113" s="284">
        <f t="shared" si="699"/>
        <v>46.776174323652299</v>
      </c>
    </row>
    <row r="114" spans="1:67" x14ac:dyDescent="0.2">
      <c r="A114" s="58" t="s">
        <v>67</v>
      </c>
      <c r="B114" s="58" t="s">
        <v>227</v>
      </c>
      <c r="C114" s="100" t="s">
        <v>153</v>
      </c>
      <c r="D114" s="101">
        <f t="shared" ref="D114:AG114" si="700">D79+D99+D100+D108+D109+IF(D92&lt;0,0,D92)+D101</f>
        <v>0</v>
      </c>
      <c r="E114" s="101">
        <f t="shared" si="700"/>
        <v>1.1570200734363913E-2</v>
      </c>
      <c r="F114" s="101">
        <f t="shared" si="700"/>
        <v>3.2849274621088997E-2</v>
      </c>
      <c r="G114" s="101">
        <f t="shared" si="700"/>
        <v>5.4379541444661117E-2</v>
      </c>
      <c r="H114" s="101">
        <f t="shared" si="700"/>
        <v>7.6043209240554757E-2</v>
      </c>
      <c r="I114" s="101">
        <f t="shared" si="700"/>
        <v>9.7715794470538103E-2</v>
      </c>
      <c r="J114" s="101">
        <f t="shared" si="700"/>
        <v>0.11886975955025172</v>
      </c>
      <c r="K114" s="101">
        <f t="shared" si="700"/>
        <v>0.14036525853420584</v>
      </c>
      <c r="L114" s="101">
        <f t="shared" si="700"/>
        <v>0.16214696164807871</v>
      </c>
      <c r="M114" s="101">
        <f t="shared" si="700"/>
        <v>0.18415395049601724</v>
      </c>
      <c r="N114" s="101">
        <f t="shared" si="700"/>
        <v>0.20631959737426459</v>
      </c>
      <c r="O114" s="101">
        <f t="shared" si="700"/>
        <v>0.24489009890133734</v>
      </c>
      <c r="P114" s="101">
        <f t="shared" si="700"/>
        <v>0.28288396456563364</v>
      </c>
      <c r="Q114" s="101">
        <f t="shared" si="700"/>
        <v>0.31984759450304534</v>
      </c>
      <c r="R114" s="101">
        <f t="shared" si="700"/>
        <v>0.35559009578419526</v>
      </c>
      <c r="S114" s="101">
        <f t="shared" si="700"/>
        <v>0.38980079909880605</v>
      </c>
      <c r="T114" s="101">
        <f t="shared" si="700"/>
        <v>0.42493229537604615</v>
      </c>
      <c r="U114" s="101">
        <f t="shared" si="700"/>
        <v>0.45972807563102824</v>
      </c>
      <c r="V114" s="101">
        <f t="shared" si="700"/>
        <v>0.49409354446821052</v>
      </c>
      <c r="W114" s="101">
        <f t="shared" si="700"/>
        <v>0.52792878248071107</v>
      </c>
      <c r="X114" s="101">
        <f t="shared" si="700"/>
        <v>0.56112844908603599</v>
      </c>
      <c r="Y114" s="101">
        <f t="shared" si="700"/>
        <v>0.61399167945469113</v>
      </c>
      <c r="Z114" s="101">
        <f t="shared" si="700"/>
        <v>0.665882904913907</v>
      </c>
      <c r="AA114" s="101">
        <f t="shared" si="700"/>
        <v>0.71599850475847893</v>
      </c>
      <c r="AB114" s="101">
        <f t="shared" si="700"/>
        <v>0.76472450981570594</v>
      </c>
      <c r="AC114" s="101">
        <f t="shared" si="700"/>
        <v>0.81188034023686084</v>
      </c>
      <c r="AD114" s="101">
        <f t="shared" si="700"/>
        <v>0.85505881598245548</v>
      </c>
      <c r="AE114" s="101">
        <f t="shared" si="700"/>
        <v>0.8958340016434545</v>
      </c>
      <c r="AF114" s="101">
        <f t="shared" si="700"/>
        <v>0.93395853887239488</v>
      </c>
      <c r="AG114" s="101">
        <f t="shared" si="700"/>
        <v>0.9691753767006317</v>
      </c>
      <c r="AH114" s="101">
        <f>AH79+AH99+AH100+AH108+AH109+IF(AH92&lt;0,0,AH92)+AH101</f>
        <v>1.0012177189419766</v>
      </c>
      <c r="AI114" s="44"/>
      <c r="AJ114" s="101">
        <f t="shared" ref="AJ114:BM114" si="701">AJ79+AJ99+AJ100+AJ108+AJ109+IF(AJ92&lt;0,0,AJ92)+AJ101</f>
        <v>0</v>
      </c>
      <c r="AK114" s="101">
        <f t="shared" si="701"/>
        <v>1.1570200734363913E-2</v>
      </c>
      <c r="AL114" s="101">
        <f t="shared" si="701"/>
        <v>3.2849274621088997E-2</v>
      </c>
      <c r="AM114" s="101">
        <f t="shared" si="701"/>
        <v>5.4379541444661117E-2</v>
      </c>
      <c r="AN114" s="101">
        <f t="shared" si="701"/>
        <v>7.6043209240554757E-2</v>
      </c>
      <c r="AO114" s="101">
        <f t="shared" si="701"/>
        <v>9.7715794470538103E-2</v>
      </c>
      <c r="AP114" s="101">
        <f t="shared" si="701"/>
        <v>0.11886975955025172</v>
      </c>
      <c r="AQ114" s="101">
        <f t="shared" si="701"/>
        <v>0.14036525853420584</v>
      </c>
      <c r="AR114" s="101">
        <f t="shared" si="701"/>
        <v>0.16214696164807871</v>
      </c>
      <c r="AS114" s="101">
        <f t="shared" si="701"/>
        <v>0.18415395049601724</v>
      </c>
      <c r="AT114" s="101">
        <f t="shared" si="701"/>
        <v>0.20631959737426459</v>
      </c>
      <c r="AU114" s="101">
        <f t="shared" si="701"/>
        <v>0.24489009890133734</v>
      </c>
      <c r="AV114" s="101">
        <f t="shared" si="701"/>
        <v>0.28288396456563364</v>
      </c>
      <c r="AW114" s="101">
        <f t="shared" si="701"/>
        <v>0.31984759450304534</v>
      </c>
      <c r="AX114" s="101">
        <f t="shared" si="701"/>
        <v>0.35559009578419526</v>
      </c>
      <c r="AY114" s="101">
        <f t="shared" si="701"/>
        <v>0.38980079909880605</v>
      </c>
      <c r="AZ114" s="101">
        <f t="shared" si="701"/>
        <v>0.42493229537604615</v>
      </c>
      <c r="BA114" s="101">
        <f t="shared" si="701"/>
        <v>0.45972807563102824</v>
      </c>
      <c r="BB114" s="101">
        <f t="shared" si="701"/>
        <v>0.49409354446821052</v>
      </c>
      <c r="BC114" s="101">
        <f t="shared" si="701"/>
        <v>0.52792878248071107</v>
      </c>
      <c r="BD114" s="101">
        <f t="shared" si="701"/>
        <v>0.56112844908603599</v>
      </c>
      <c r="BE114" s="101">
        <f t="shared" si="701"/>
        <v>0.61399167945469113</v>
      </c>
      <c r="BF114" s="101">
        <f t="shared" si="701"/>
        <v>0.665882904913907</v>
      </c>
      <c r="BG114" s="101">
        <f t="shared" si="701"/>
        <v>0.71599850475847893</v>
      </c>
      <c r="BH114" s="101">
        <f t="shared" si="701"/>
        <v>0.76472450981570594</v>
      </c>
      <c r="BI114" s="101">
        <f t="shared" si="701"/>
        <v>0.81188034023686084</v>
      </c>
      <c r="BJ114" s="101">
        <f t="shared" si="701"/>
        <v>0.85505881598245548</v>
      </c>
      <c r="BK114" s="101">
        <f t="shared" si="701"/>
        <v>0.8958340016434545</v>
      </c>
      <c r="BL114" s="101">
        <f t="shared" si="701"/>
        <v>0.93395853887239488</v>
      </c>
      <c r="BM114" s="101">
        <f t="shared" si="701"/>
        <v>0.9691753767006317</v>
      </c>
      <c r="BN114" s="101">
        <f>BN79+BN99+BN100+BN108+BN109+IF(BN92&lt;0,0,BN92)+BN101</f>
        <v>1.0012177189419766</v>
      </c>
    </row>
    <row r="115" spans="1:67" x14ac:dyDescent="0.2">
      <c r="A115" s="68"/>
      <c r="B115" s="62" t="s">
        <v>228</v>
      </c>
      <c r="C115" s="63" t="s">
        <v>153</v>
      </c>
      <c r="D115" s="64">
        <f t="shared" ref="D115:AG115" si="702">D78+D85+D98+D107+IF(D93=0,0,D91)</f>
        <v>0</v>
      </c>
      <c r="E115" s="64">
        <f t="shared" si="702"/>
        <v>3.405229375624854E-2</v>
      </c>
      <c r="F115" s="64">
        <f t="shared" si="702"/>
        <v>7.8688951253482561E-2</v>
      </c>
      <c r="G115" s="64">
        <f t="shared" si="702"/>
        <v>0.12435391409953994</v>
      </c>
      <c r="H115" s="64">
        <f t="shared" si="702"/>
        <v>0.1708184739448908</v>
      </c>
      <c r="I115" s="64">
        <f t="shared" si="702"/>
        <v>0.20469762805247946</v>
      </c>
      <c r="J115" s="64">
        <f t="shared" si="702"/>
        <v>0.24438877657192298</v>
      </c>
      <c r="K115" s="64">
        <f t="shared" si="702"/>
        <v>0.28501243028105494</v>
      </c>
      <c r="L115" s="64">
        <f t="shared" si="702"/>
        <v>0.32655212407031975</v>
      </c>
      <c r="M115" s="64">
        <f t="shared" si="702"/>
        <v>0.36898969885071664</v>
      </c>
      <c r="N115" s="64">
        <f t="shared" si="702"/>
        <v>0.41230529664858212</v>
      </c>
      <c r="O115" s="64">
        <f t="shared" si="702"/>
        <v>0.48708434469903206</v>
      </c>
      <c r="P115" s="64">
        <f t="shared" si="702"/>
        <v>0.56199992530371534</v>
      </c>
      <c r="Q115" s="64">
        <f t="shared" si="702"/>
        <v>0.63658057222151232</v>
      </c>
      <c r="R115" s="64">
        <f t="shared" si="702"/>
        <v>0.71049817525714687</v>
      </c>
      <c r="S115" s="64">
        <f t="shared" si="702"/>
        <v>0.78335788099228698</v>
      </c>
      <c r="T115" s="64">
        <f t="shared" si="702"/>
        <v>0.85713150054353382</v>
      </c>
      <c r="U115" s="64">
        <f t="shared" si="702"/>
        <v>0.931819950051749</v>
      </c>
      <c r="V115" s="64">
        <f t="shared" si="702"/>
        <v>1.0074238579108792</v>
      </c>
      <c r="W115" s="64">
        <f t="shared" si="702"/>
        <v>1.0839435459420381</v>
      </c>
      <c r="X115" s="64">
        <f t="shared" si="702"/>
        <v>1.1613790100841483</v>
      </c>
      <c r="Y115" s="64">
        <f t="shared" si="702"/>
        <v>1.2887932019369464</v>
      </c>
      <c r="Z115" s="64">
        <f t="shared" si="702"/>
        <v>1.417797208609394</v>
      </c>
      <c r="AA115" s="64">
        <f t="shared" si="702"/>
        <v>1.5473221907423147</v>
      </c>
      <c r="AB115" s="64">
        <f t="shared" si="702"/>
        <v>1.6781121173767166</v>
      </c>
      <c r="AC115" s="64">
        <f t="shared" si="702"/>
        <v>1.8101216560930715</v>
      </c>
      <c r="AD115" s="64">
        <f t="shared" si="702"/>
        <v>1.9429979744718704</v>
      </c>
      <c r="AE115" s="64">
        <f t="shared" si="702"/>
        <v>2.0769797286803597</v>
      </c>
      <c r="AF115" s="64">
        <f t="shared" si="702"/>
        <v>2.2120116614644862</v>
      </c>
      <c r="AG115" s="64">
        <f t="shared" si="702"/>
        <v>2.3480339209330774</v>
      </c>
      <c r="AH115" s="64">
        <f>AH78+AH85+AH98+AH107+IF(AH93=0,0,AH91)</f>
        <v>2.4849818814008486</v>
      </c>
      <c r="AI115" s="44">
        <f>AH115+AH114</f>
        <v>3.4861996003428253</v>
      </c>
      <c r="AJ115" s="64">
        <f t="shared" ref="AJ115:BM115" si="703">AJ78+AJ85+AJ98+AJ107+IF(AJ93=0,0,AJ91)</f>
        <v>0</v>
      </c>
      <c r="AK115" s="64">
        <f t="shared" si="703"/>
        <v>3.405229375624854E-2</v>
      </c>
      <c r="AL115" s="64">
        <f t="shared" si="703"/>
        <v>7.8688951253482561E-2</v>
      </c>
      <c r="AM115" s="64">
        <f t="shared" si="703"/>
        <v>0.12435391409953994</v>
      </c>
      <c r="AN115" s="64">
        <f t="shared" si="703"/>
        <v>0.1708184739448908</v>
      </c>
      <c r="AO115" s="64">
        <f t="shared" si="703"/>
        <v>0.20469762805247946</v>
      </c>
      <c r="AP115" s="64">
        <f t="shared" si="703"/>
        <v>0.24438877657192298</v>
      </c>
      <c r="AQ115" s="64">
        <f t="shared" si="703"/>
        <v>0.28501243028105494</v>
      </c>
      <c r="AR115" s="64">
        <f t="shared" si="703"/>
        <v>0.32655212407031975</v>
      </c>
      <c r="AS115" s="64">
        <f t="shared" si="703"/>
        <v>0.36898969885071664</v>
      </c>
      <c r="AT115" s="64">
        <f t="shared" si="703"/>
        <v>0.41230529664858212</v>
      </c>
      <c r="AU115" s="64">
        <f t="shared" si="703"/>
        <v>0.48708434469903206</v>
      </c>
      <c r="AV115" s="64">
        <f t="shared" si="703"/>
        <v>0.56199992530371534</v>
      </c>
      <c r="AW115" s="64">
        <f t="shared" si="703"/>
        <v>0.63658057222151232</v>
      </c>
      <c r="AX115" s="64">
        <f t="shared" si="703"/>
        <v>0.71049817525714687</v>
      </c>
      <c r="AY115" s="64">
        <f t="shared" si="703"/>
        <v>0.78335788099228698</v>
      </c>
      <c r="AZ115" s="64">
        <f t="shared" si="703"/>
        <v>0.85713150054353382</v>
      </c>
      <c r="BA115" s="64">
        <f t="shared" si="703"/>
        <v>0.931819950051749</v>
      </c>
      <c r="BB115" s="64">
        <f t="shared" si="703"/>
        <v>1.0074238579108792</v>
      </c>
      <c r="BC115" s="64">
        <f t="shared" si="703"/>
        <v>1.0839435459420381</v>
      </c>
      <c r="BD115" s="64">
        <f t="shared" si="703"/>
        <v>1.1613790100841483</v>
      </c>
      <c r="BE115" s="64">
        <f t="shared" si="703"/>
        <v>1.2887932019369464</v>
      </c>
      <c r="BF115" s="64">
        <f t="shared" si="703"/>
        <v>1.417797208609394</v>
      </c>
      <c r="BG115" s="64">
        <f t="shared" si="703"/>
        <v>1.5473221907423147</v>
      </c>
      <c r="BH115" s="64">
        <f t="shared" si="703"/>
        <v>1.6781121173767166</v>
      </c>
      <c r="BI115" s="64">
        <f t="shared" si="703"/>
        <v>1.8101216560930715</v>
      </c>
      <c r="BJ115" s="64">
        <f t="shared" si="703"/>
        <v>1.9429979744718704</v>
      </c>
      <c r="BK115" s="64">
        <f t="shared" si="703"/>
        <v>2.0769797286803597</v>
      </c>
      <c r="BL115" s="64">
        <f t="shared" si="703"/>
        <v>2.2120116614644862</v>
      </c>
      <c r="BM115" s="64">
        <f t="shared" si="703"/>
        <v>2.3480339209330774</v>
      </c>
      <c r="BN115" s="64">
        <f>BN78+BN85+BN98+BN107+IF(BN93=0,0,BN91)</f>
        <v>2.4849818814008486</v>
      </c>
    </row>
    <row r="116" spans="1:67" x14ac:dyDescent="0.2">
      <c r="A116" s="102" t="s">
        <v>252</v>
      </c>
      <c r="B116" s="102"/>
      <c r="C116" s="103" t="s">
        <v>153</v>
      </c>
      <c r="D116" s="105">
        <f t="shared" ref="D116:AG116" si="704">D72-D114-D115</f>
        <v>70.960266702016895</v>
      </c>
      <c r="E116" s="105">
        <f t="shared" si="704"/>
        <v>74.512785998724425</v>
      </c>
      <c r="F116" s="105">
        <f t="shared" si="704"/>
        <v>77.911176239356308</v>
      </c>
      <c r="G116" s="105">
        <f t="shared" si="704"/>
        <v>81.231517934908823</v>
      </c>
      <c r="H116" s="105">
        <f t="shared" si="704"/>
        <v>84.473580328601344</v>
      </c>
      <c r="I116" s="105">
        <f t="shared" si="704"/>
        <v>87.650284019997329</v>
      </c>
      <c r="J116" s="105">
        <f t="shared" si="704"/>
        <v>90.743158963715786</v>
      </c>
      <c r="K116" s="105">
        <f t="shared" si="704"/>
        <v>93.75561343241715</v>
      </c>
      <c r="L116" s="105">
        <f t="shared" si="704"/>
        <v>96.687097788499571</v>
      </c>
      <c r="M116" s="105">
        <f t="shared" si="704"/>
        <v>99.537059921586547</v>
      </c>
      <c r="N116" s="105">
        <f t="shared" si="704"/>
        <v>102.30494610652059</v>
      </c>
      <c r="O116" s="105">
        <f t="shared" si="704"/>
        <v>101.2868127231779</v>
      </c>
      <c r="P116" s="105">
        <f t="shared" si="704"/>
        <v>100.16831979944175</v>
      </c>
      <c r="Q116" s="105">
        <f t="shared" si="704"/>
        <v>98.947878074988068</v>
      </c>
      <c r="R116" s="105">
        <f t="shared" si="704"/>
        <v>97.62343118582082</v>
      </c>
      <c r="S116" s="105">
        <f t="shared" si="704"/>
        <v>96.193048210334069</v>
      </c>
      <c r="T116" s="105">
        <f t="shared" si="704"/>
        <v>94.470727377023536</v>
      </c>
      <c r="U116" s="105">
        <f t="shared" si="704"/>
        <v>92.63648635110745</v>
      </c>
      <c r="V116" s="105">
        <f t="shared" si="704"/>
        <v>90.687601224955827</v>
      </c>
      <c r="W116" s="105">
        <f t="shared" si="704"/>
        <v>88.621294662655842</v>
      </c>
      <c r="X116" s="105">
        <f t="shared" si="704"/>
        <v>86.434737218204233</v>
      </c>
      <c r="Y116" s="105">
        <f t="shared" si="704"/>
        <v>84.39743913573642</v>
      </c>
      <c r="Z116" s="105">
        <f t="shared" si="704"/>
        <v>82.27318793447597</v>
      </c>
      <c r="AA116" s="105">
        <f t="shared" si="704"/>
        <v>80.062016606977409</v>
      </c>
      <c r="AB116" s="105">
        <f t="shared" si="704"/>
        <v>77.760946572662206</v>
      </c>
      <c r="AC116" s="105">
        <f t="shared" si="704"/>
        <v>75.36835071352273</v>
      </c>
      <c r="AD116" s="105">
        <f t="shared" si="704"/>
        <v>72.885136900991782</v>
      </c>
      <c r="AE116" s="105">
        <f t="shared" si="704"/>
        <v>70.3076472564033</v>
      </c>
      <c r="AF116" s="105">
        <f t="shared" si="704"/>
        <v>67.634353158524561</v>
      </c>
      <c r="AG116" s="105">
        <f t="shared" si="704"/>
        <v>64.863762075746465</v>
      </c>
      <c r="AH116" s="105">
        <f>AH72-AH114-AH115</f>
        <v>61.994426733108149</v>
      </c>
      <c r="AI116" s="44">
        <f>AH72-AH116</f>
        <v>3.4861996003428217</v>
      </c>
      <c r="AJ116" s="105">
        <f t="shared" ref="AJ116:BN116" si="705">AJ72-AJ114-AJ115</f>
        <v>70.960266702016895</v>
      </c>
      <c r="AK116" s="105">
        <f t="shared" si="705"/>
        <v>74.6841065446622</v>
      </c>
      <c r="AL116" s="105">
        <f t="shared" si="705"/>
        <v>78.27943788994979</v>
      </c>
      <c r="AM116" s="105">
        <f t="shared" si="705"/>
        <v>81.82221381727949</v>
      </c>
      <c r="AN116" s="105">
        <f t="shared" si="705"/>
        <v>85.312072126872479</v>
      </c>
      <c r="AO116" s="105">
        <f t="shared" si="705"/>
        <v>88.76179784565818</v>
      </c>
      <c r="AP116" s="105">
        <f t="shared" si="705"/>
        <v>92.15278110441578</v>
      </c>
      <c r="AQ116" s="105">
        <f t="shared" si="705"/>
        <v>95.488285975763446</v>
      </c>
      <c r="AR116" s="105">
        <f t="shared" si="705"/>
        <v>98.767614117337118</v>
      </c>
      <c r="AS116" s="105">
        <f t="shared" si="705"/>
        <v>101.99006007714418</v>
      </c>
      <c r="AT116" s="105">
        <f t="shared" si="705"/>
        <v>105.15491201570755</v>
      </c>
      <c r="AU116" s="105">
        <f t="shared" si="705"/>
        <v>104.51430065120225</v>
      </c>
      <c r="AV116" s="105">
        <f t="shared" si="705"/>
        <v>103.78221581215725</v>
      </c>
      <c r="AW116" s="105">
        <f t="shared" si="705"/>
        <v>102.95697336631167</v>
      </c>
      <c r="AX116" s="105">
        <f t="shared" si="705"/>
        <v>102.03641886359449</v>
      </c>
      <c r="AY116" s="105">
        <f t="shared" si="705"/>
        <v>101.01851997944061</v>
      </c>
      <c r="AZ116" s="105">
        <f t="shared" si="705"/>
        <v>99.706610116636313</v>
      </c>
      <c r="BA116" s="105">
        <f t="shared" si="705"/>
        <v>98.289838582862728</v>
      </c>
      <c r="BB116" s="105">
        <f t="shared" si="705"/>
        <v>96.765369468744012</v>
      </c>
      <c r="BC116" s="105">
        <f t="shared" si="705"/>
        <v>95.130309676630688</v>
      </c>
      <c r="BD116" s="105">
        <f t="shared" si="705"/>
        <v>93.381710119511894</v>
      </c>
      <c r="BE116" s="105">
        <f t="shared" si="705"/>
        <v>91.860102329537781</v>
      </c>
      <c r="BF116" s="105">
        <f t="shared" si="705"/>
        <v>90.258624652542522</v>
      </c>
      <c r="BG116" s="105">
        <f t="shared" si="705"/>
        <v>88.577258113870982</v>
      </c>
      <c r="BH116" s="105">
        <f t="shared" si="705"/>
        <v>86.812969632685224</v>
      </c>
      <c r="BI116" s="105">
        <f t="shared" si="705"/>
        <v>84.964074959384433</v>
      </c>
      <c r="BJ116" s="105">
        <f t="shared" si="705"/>
        <v>83.031422100855849</v>
      </c>
      <c r="BK116" s="105">
        <f t="shared" si="705"/>
        <v>81.011290475877871</v>
      </c>
      <c r="BL116" s="105">
        <f t="shared" si="705"/>
        <v>78.902085814049656</v>
      </c>
      <c r="BM116" s="105">
        <f t="shared" si="705"/>
        <v>76.702246875723162</v>
      </c>
      <c r="BN116" s="105">
        <f t="shared" si="705"/>
        <v>74.410254503001227</v>
      </c>
      <c r="BO116" s="44"/>
    </row>
    <row r="117" spans="1:67" s="67" customFormat="1" x14ac:dyDescent="0.2">
      <c r="A117" s="681"/>
      <c r="B117" s="58" t="s">
        <v>246</v>
      </c>
      <c r="C117" s="59" t="s">
        <v>153</v>
      </c>
      <c r="D117" s="60">
        <f>D81+D87+D94+D103+D111</f>
        <v>7.192774760698633</v>
      </c>
      <c r="E117" s="60">
        <f t="shared" ref="E117:AH117" si="706">E81+E87+E94+E103+E111</f>
        <v>7.6154285706674543</v>
      </c>
      <c r="F117" s="60">
        <f t="shared" si="706"/>
        <v>7.9997195073987042</v>
      </c>
      <c r="G117" s="60">
        <f t="shared" si="706"/>
        <v>8.3783861428346516</v>
      </c>
      <c r="H117" s="60">
        <f t="shared" si="706"/>
        <v>8.7514782875702526</v>
      </c>
      <c r="I117" s="60">
        <f t="shared" si="706"/>
        <v>9.1190623950972594</v>
      </c>
      <c r="J117" s="60">
        <f t="shared" si="706"/>
        <v>9.4816988070243102</v>
      </c>
      <c r="K117" s="60">
        <f t="shared" si="706"/>
        <v>9.8387353706146783</v>
      </c>
      <c r="L117" s="60">
        <f t="shared" si="706"/>
        <v>10.190234914192683</v>
      </c>
      <c r="M117" s="60">
        <f t="shared" si="706"/>
        <v>10.536270988205857</v>
      </c>
      <c r="N117" s="60">
        <f t="shared" si="706"/>
        <v>10.876928167087071</v>
      </c>
      <c r="O117" s="60">
        <f t="shared" si="706"/>
        <v>10.939423796091363</v>
      </c>
      <c r="P117" s="60">
        <f t="shared" si="706"/>
        <v>10.999678002000476</v>
      </c>
      <c r="Q117" s="60">
        <f t="shared" si="706"/>
        <v>11.057903410851665</v>
      </c>
      <c r="R117" s="60">
        <f t="shared" si="706"/>
        <v>11.11427026321223</v>
      </c>
      <c r="S117" s="60">
        <f t="shared" si="706"/>
        <v>11.168987179809939</v>
      </c>
      <c r="T117" s="60">
        <f t="shared" si="706"/>
        <v>11.202963870192045</v>
      </c>
      <c r="U117" s="60">
        <f t="shared" si="706"/>
        <v>11.235201763118788</v>
      </c>
      <c r="V117" s="60">
        <f t="shared" si="706"/>
        <v>11.265845567410166</v>
      </c>
      <c r="W117" s="60">
        <f t="shared" si="706"/>
        <v>11.295058108325069</v>
      </c>
      <c r="X117" s="60">
        <f t="shared" si="706"/>
        <v>11.323022334021717</v>
      </c>
      <c r="Y117" s="60">
        <f t="shared" si="706"/>
        <v>11.270613497601143</v>
      </c>
      <c r="Z117" s="60">
        <f t="shared" si="706"/>
        <v>11.215999799180068</v>
      </c>
      <c r="AA117" s="60">
        <f t="shared" si="706"/>
        <v>11.159487772201516</v>
      </c>
      <c r="AB117" s="60">
        <f t="shared" si="706"/>
        <v>11.101153268636988</v>
      </c>
      <c r="AC117" s="60">
        <f t="shared" si="706"/>
        <v>11.041217940110894</v>
      </c>
      <c r="AD117" s="60">
        <f t="shared" si="706"/>
        <v>10.980651056016628</v>
      </c>
      <c r="AE117" s="60">
        <f t="shared" si="706"/>
        <v>10.919160196876229</v>
      </c>
      <c r="AF117" s="60">
        <f t="shared" si="706"/>
        <v>10.857081347799944</v>
      </c>
      <c r="AG117" s="60">
        <f t="shared" si="706"/>
        <v>10.794792874594984</v>
      </c>
      <c r="AH117" s="60">
        <f t="shared" si="706"/>
        <v>10.732720357426388</v>
      </c>
      <c r="AI117" s="60"/>
      <c r="AJ117" s="60">
        <f>AJ81+AJ87+AJ94+AJ103+AJ111</f>
        <v>7.192774760698633</v>
      </c>
      <c r="AK117" s="60">
        <f t="shared" ref="AK117:BN117" si="707">AK81+AK87+AK94+AK103+AK111</f>
        <v>7.6419503445346013</v>
      </c>
      <c r="AL117" s="60">
        <f t="shared" si="707"/>
        <v>8.0537478811896968</v>
      </c>
      <c r="AM117" s="60">
        <f t="shared" si="707"/>
        <v>8.4628129911574206</v>
      </c>
      <c r="AN117" s="60">
        <f t="shared" si="707"/>
        <v>8.8692296320755872</v>
      </c>
      <c r="AO117" s="60">
        <f t="shared" si="707"/>
        <v>9.2730965957459937</v>
      </c>
      <c r="AP117" s="60">
        <f t="shared" si="707"/>
        <v>9.6751259985638232</v>
      </c>
      <c r="AQ117" s="60">
        <f t="shared" si="707"/>
        <v>10.074501054782498</v>
      </c>
      <c r="AR117" s="60">
        <f t="shared" si="707"/>
        <v>10.471301732153673</v>
      </c>
      <c r="AS117" s="60">
        <f t="shared" si="707"/>
        <v>10.865618901529334</v>
      </c>
      <c r="AT117" s="60">
        <f t="shared" si="707"/>
        <v>11.257554924757118</v>
      </c>
      <c r="AU117" s="60">
        <f t="shared" si="707"/>
        <v>11.369976411386261</v>
      </c>
      <c r="AV117" s="60">
        <f t="shared" si="707"/>
        <v>11.481912589005011</v>
      </c>
      <c r="AW117" s="60">
        <f t="shared" si="707"/>
        <v>11.593670021498163</v>
      </c>
      <c r="AX117" s="60">
        <f t="shared" si="707"/>
        <v>11.705488517253574</v>
      </c>
      <c r="AY117" s="60">
        <f t="shared" si="707"/>
        <v>11.81766154513074</v>
      </c>
      <c r="AZ117" s="60">
        <f t="shared" si="707"/>
        <v>11.909690734583052</v>
      </c>
      <c r="BA117" s="60">
        <f t="shared" si="707"/>
        <v>12.001735208111022</v>
      </c>
      <c r="BB117" s="60">
        <f t="shared" si="707"/>
        <v>12.093991626880069</v>
      </c>
      <c r="BC117" s="60">
        <f t="shared" si="707"/>
        <v>12.186677893657233</v>
      </c>
      <c r="BD117" s="60">
        <f t="shared" si="707"/>
        <v>12.280035328675298</v>
      </c>
      <c r="BE117" s="60">
        <f t="shared" si="707"/>
        <v>12.303975479751728</v>
      </c>
      <c r="BF117" s="60">
        <f t="shared" si="707"/>
        <v>12.328241013147608</v>
      </c>
      <c r="BG117" s="60">
        <f t="shared" si="707"/>
        <v>12.353325451942176</v>
      </c>
      <c r="BH117" s="60">
        <f t="shared" si="707"/>
        <v>12.3793750194721</v>
      </c>
      <c r="BI117" s="60">
        <f t="shared" si="707"/>
        <v>12.406748142071862</v>
      </c>
      <c r="BJ117" s="60">
        <f t="shared" si="707"/>
        <v>12.437003623949694</v>
      </c>
      <c r="BK117" s="60">
        <f t="shared" si="707"/>
        <v>12.469650411131989</v>
      </c>
      <c r="BL117" s="60">
        <f t="shared" si="707"/>
        <v>12.505198768066212</v>
      </c>
      <c r="BM117" s="60">
        <f t="shared" si="707"/>
        <v>12.544212791950727</v>
      </c>
      <c r="BN117" s="60">
        <f t="shared" si="707"/>
        <v>12.587316109443455</v>
      </c>
      <c r="BO117" s="60"/>
    </row>
    <row r="118" spans="1:67" x14ac:dyDescent="0.2">
      <c r="A118" s="682"/>
      <c r="B118" s="1" t="s">
        <v>247</v>
      </c>
      <c r="C118" s="54" t="s">
        <v>153</v>
      </c>
      <c r="D118" s="44">
        <f>D16</f>
        <v>28.065001267929215</v>
      </c>
      <c r="E118" s="44">
        <f t="shared" ref="E118:AH118" si="708">E16</f>
        <v>28.136286371149751</v>
      </c>
      <c r="F118" s="44">
        <f t="shared" si="708"/>
        <v>28.196004203447703</v>
      </c>
      <c r="G118" s="44">
        <f t="shared" si="708"/>
        <v>28.243584960541014</v>
      </c>
      <c r="H118" s="44">
        <f t="shared" si="708"/>
        <v>28.278438746237001</v>
      </c>
      <c r="I118" s="44">
        <f t="shared" si="708"/>
        <v>28.29995494963087</v>
      </c>
      <c r="J118" s="44">
        <f t="shared" si="708"/>
        <v>28.307501604284109</v>
      </c>
      <c r="K118" s="44">
        <f t="shared" si="708"/>
        <v>28.30042472888303</v>
      </c>
      <c r="L118" s="44">
        <f t="shared" si="708"/>
        <v>28.278047648864838</v>
      </c>
      <c r="M118" s="44">
        <f t="shared" si="708"/>
        <v>28.239670298484235</v>
      </c>
      <c r="N118" s="44">
        <f t="shared" si="708"/>
        <v>28.184568502779875</v>
      </c>
      <c r="O118" s="44">
        <f t="shared" si="708"/>
        <v>27.030762729697322</v>
      </c>
      <c r="P118" s="44">
        <f t="shared" si="708"/>
        <v>25.808972254315002</v>
      </c>
      <c r="Q118" s="44">
        <f t="shared" si="708"/>
        <v>24.516680143581084</v>
      </c>
      <c r="R118" s="44">
        <f t="shared" si="708"/>
        <v>23.151289649430872</v>
      </c>
      <c r="S118" s="44">
        <f t="shared" si="708"/>
        <v>21.710121868753799</v>
      </c>
      <c r="T118" s="44">
        <f t="shared" si="708"/>
        <v>20.190413337941031</v>
      </c>
      <c r="U118" s="44">
        <f t="shared" si="708"/>
        <v>18.589313560242303</v>
      </c>
      <c r="V118" s="44">
        <f t="shared" si="708"/>
        <v>16.903882464113668</v>
      </c>
      <c r="W118" s="44">
        <f t="shared" si="708"/>
        <v>15.131087790689747</v>
      </c>
      <c r="X118" s="44">
        <f t="shared" si="708"/>
        <v>13.26780240846481</v>
      </c>
      <c r="Y118" s="44">
        <f t="shared" si="708"/>
        <v>12.215665677473545</v>
      </c>
      <c r="Z118" s="44">
        <f t="shared" si="708"/>
        <v>11.108111989382607</v>
      </c>
      <c r="AA118" s="44">
        <f t="shared" si="708"/>
        <v>9.9431487444961135</v>
      </c>
      <c r="AB118" s="44">
        <f t="shared" si="708"/>
        <v>8.7187209991024446</v>
      </c>
      <c r="AC118" s="44">
        <f t="shared" si="708"/>
        <v>7.4327096517348323</v>
      </c>
      <c r="AD118" s="44">
        <f t="shared" si="708"/>
        <v>6.0829295789797868</v>
      </c>
      <c r="AE118" s="44">
        <f t="shared" si="708"/>
        <v>4.6671277194722407</v>
      </c>
      <c r="AF118" s="44">
        <f t="shared" si="708"/>
        <v>3.1829811046800671</v>
      </c>
      <c r="AG118" s="44">
        <f t="shared" si="708"/>
        <v>1.6280948350438535</v>
      </c>
      <c r="AH118" s="44">
        <f t="shared" si="708"/>
        <v>0</v>
      </c>
      <c r="AI118" s="44"/>
      <c r="AJ118" s="44">
        <f>AJ16</f>
        <v>28.065001267929215</v>
      </c>
      <c r="AK118" s="44">
        <f t="shared" ref="AK118:BN118" si="709">AK16</f>
        <v>28.136286371149751</v>
      </c>
      <c r="AL118" s="44">
        <f t="shared" si="709"/>
        <v>28.196004203447703</v>
      </c>
      <c r="AM118" s="44">
        <f t="shared" si="709"/>
        <v>28.243584960541014</v>
      </c>
      <c r="AN118" s="44">
        <f t="shared" si="709"/>
        <v>28.278438746237001</v>
      </c>
      <c r="AO118" s="44">
        <f t="shared" si="709"/>
        <v>28.29995494963087</v>
      </c>
      <c r="AP118" s="44">
        <f t="shared" si="709"/>
        <v>28.307501604284109</v>
      </c>
      <c r="AQ118" s="44">
        <f t="shared" si="709"/>
        <v>28.30042472888303</v>
      </c>
      <c r="AR118" s="44">
        <f t="shared" si="709"/>
        <v>28.278047648864838</v>
      </c>
      <c r="AS118" s="44">
        <f t="shared" si="709"/>
        <v>28.239670298484235</v>
      </c>
      <c r="AT118" s="44">
        <f t="shared" si="709"/>
        <v>28.184568502779875</v>
      </c>
      <c r="AU118" s="44">
        <f t="shared" si="709"/>
        <v>27.030762729697322</v>
      </c>
      <c r="AV118" s="44">
        <f t="shared" si="709"/>
        <v>25.808972254315002</v>
      </c>
      <c r="AW118" s="44">
        <f t="shared" si="709"/>
        <v>24.516680143581084</v>
      </c>
      <c r="AX118" s="44">
        <f t="shared" si="709"/>
        <v>23.151289649430872</v>
      </c>
      <c r="AY118" s="44">
        <f t="shared" si="709"/>
        <v>21.710121868753799</v>
      </c>
      <c r="AZ118" s="44">
        <f t="shared" si="709"/>
        <v>20.190413337941031</v>
      </c>
      <c r="BA118" s="44">
        <f t="shared" si="709"/>
        <v>18.589313560242303</v>
      </c>
      <c r="BB118" s="44">
        <f t="shared" si="709"/>
        <v>16.903882464113668</v>
      </c>
      <c r="BC118" s="44">
        <f t="shared" si="709"/>
        <v>15.131087790689747</v>
      </c>
      <c r="BD118" s="44">
        <f t="shared" si="709"/>
        <v>13.26780240846481</v>
      </c>
      <c r="BE118" s="44">
        <f t="shared" si="709"/>
        <v>12.215665677473545</v>
      </c>
      <c r="BF118" s="44">
        <f t="shared" si="709"/>
        <v>11.108111989382607</v>
      </c>
      <c r="BG118" s="44">
        <f t="shared" si="709"/>
        <v>9.9431487444961135</v>
      </c>
      <c r="BH118" s="44">
        <f t="shared" si="709"/>
        <v>8.7187209991024446</v>
      </c>
      <c r="BI118" s="44">
        <f t="shared" si="709"/>
        <v>7.4327096517348323</v>
      </c>
      <c r="BJ118" s="44">
        <f t="shared" si="709"/>
        <v>6.0829295789797868</v>
      </c>
      <c r="BK118" s="44">
        <f t="shared" si="709"/>
        <v>4.6671277194722407</v>
      </c>
      <c r="BL118" s="44">
        <f t="shared" si="709"/>
        <v>3.1829811046800671</v>
      </c>
      <c r="BM118" s="44">
        <f t="shared" si="709"/>
        <v>1.6280948350438535</v>
      </c>
      <c r="BN118" s="44">
        <f t="shared" si="709"/>
        <v>0</v>
      </c>
    </row>
    <row r="119" spans="1:67" s="68" customFormat="1" x14ac:dyDescent="0.2">
      <c r="A119" s="683"/>
      <c r="B119" s="62" t="s">
        <v>248</v>
      </c>
      <c r="C119" s="283" t="s">
        <v>153</v>
      </c>
      <c r="D119" s="284">
        <f t="shared" ref="D119:S119" si="710">D83+D89+D96+D105+D113</f>
        <v>35.70249067338905</v>
      </c>
      <c r="E119" s="284">
        <f t="shared" si="710"/>
        <v>38.76107105690722</v>
      </c>
      <c r="F119" s="284">
        <f t="shared" si="710"/>
        <v>41.7154525285099</v>
      </c>
      <c r="G119" s="284">
        <f t="shared" si="710"/>
        <v>44.609546831533166</v>
      </c>
      <c r="H119" s="284">
        <f t="shared" si="710"/>
        <v>47.443663294794078</v>
      </c>
      <c r="I119" s="284">
        <f t="shared" si="710"/>
        <v>50.223161211598068</v>
      </c>
      <c r="J119" s="284">
        <f t="shared" si="710"/>
        <v>52.946879269303963</v>
      </c>
      <c r="K119" s="284">
        <f t="shared" si="710"/>
        <v>55.610360611699974</v>
      </c>
      <c r="L119" s="284">
        <f t="shared" si="710"/>
        <v>58.213667210949389</v>
      </c>
      <c r="M119" s="284">
        <f t="shared" si="710"/>
        <v>60.756871355639419</v>
      </c>
      <c r="N119" s="284">
        <f t="shared" si="710"/>
        <v>63.240056936232179</v>
      </c>
      <c r="O119" s="284">
        <f t="shared" si="710"/>
        <v>63.315093010172795</v>
      </c>
      <c r="P119" s="284">
        <f t="shared" si="710"/>
        <v>63.359820620035102</v>
      </c>
      <c r="Q119" s="284">
        <f t="shared" si="710"/>
        <v>63.374944522391218</v>
      </c>
      <c r="R119" s="284">
        <f t="shared" si="710"/>
        <v>63.360826352828653</v>
      </c>
      <c r="S119" s="284">
        <f t="shared" si="710"/>
        <v>63.31799885014199</v>
      </c>
      <c r="T119" s="284">
        <f t="shared" ref="T119:AH119" si="711">T83+T89+T96+T105+T113</f>
        <v>63.082397937191331</v>
      </c>
      <c r="U119" s="284">
        <f t="shared" si="711"/>
        <v>62.81789098127291</v>
      </c>
      <c r="V119" s="284">
        <f t="shared" si="711"/>
        <v>62.524550224009076</v>
      </c>
      <c r="W119" s="284">
        <f t="shared" si="711"/>
        <v>62.202468702957717</v>
      </c>
      <c r="X119" s="284">
        <f t="shared" si="711"/>
        <v>61.851762249405269</v>
      </c>
      <c r="Y119" s="284">
        <f t="shared" si="711"/>
        <v>60.920622245113805</v>
      </c>
      <c r="Z119" s="284">
        <f t="shared" si="711"/>
        <v>59.959970393547536</v>
      </c>
      <c r="AA119" s="284">
        <f t="shared" si="711"/>
        <v>58.971527525799424</v>
      </c>
      <c r="AB119" s="284">
        <f t="shared" si="711"/>
        <v>57.954296153044012</v>
      </c>
      <c r="AC119" s="284">
        <f t="shared" si="711"/>
        <v>56.908548835192775</v>
      </c>
      <c r="AD119" s="284">
        <f t="shared" si="711"/>
        <v>55.836412279593034</v>
      </c>
      <c r="AE119" s="284">
        <f t="shared" si="711"/>
        <v>54.736776775101042</v>
      </c>
      <c r="AF119" s="284">
        <f t="shared" si="711"/>
        <v>53.610103587490777</v>
      </c>
      <c r="AG119" s="284">
        <f t="shared" si="711"/>
        <v>52.456919839032011</v>
      </c>
      <c r="AH119" s="284">
        <f t="shared" si="711"/>
        <v>51.277824921270259</v>
      </c>
      <c r="AJ119" s="284">
        <f t="shared" ref="AJ119:BN119" si="712">AJ83+AJ89+AJ96+AJ105+AJ113</f>
        <v>35.70249067338905</v>
      </c>
      <c r="AK119" s="284">
        <f t="shared" si="712"/>
        <v>38.905869828977849</v>
      </c>
      <c r="AL119" s="284">
        <f t="shared" si="712"/>
        <v>42.029685805312383</v>
      </c>
      <c r="AM119" s="284">
        <f t="shared" si="712"/>
        <v>45.115815865581077</v>
      </c>
      <c r="AN119" s="284">
        <f t="shared" si="712"/>
        <v>48.164403748559891</v>
      </c>
      <c r="AO119" s="284">
        <f t="shared" si="712"/>
        <v>51.179401133172007</v>
      </c>
      <c r="AP119" s="284">
        <f t="shared" si="712"/>
        <v>54.161555333812004</v>
      </c>
      <c r="AQ119" s="284">
        <f t="shared" si="712"/>
        <v>57.105458226109953</v>
      </c>
      <c r="AR119" s="284">
        <f t="shared" si="712"/>
        <v>60.011005591644647</v>
      </c>
      <c r="AS119" s="284">
        <f t="shared" si="712"/>
        <v>62.87809870096909</v>
      </c>
      <c r="AT119" s="284">
        <f t="shared" si="712"/>
        <v>65.706645176927452</v>
      </c>
      <c r="AU119" s="284">
        <f t="shared" si="712"/>
        <v>66.10902149012847</v>
      </c>
      <c r="AV119" s="284">
        <f t="shared" si="712"/>
        <v>66.48820975544983</v>
      </c>
      <c r="AW119" s="284">
        <f t="shared" si="712"/>
        <v>66.844725632046959</v>
      </c>
      <c r="AX119" s="284">
        <f t="shared" si="712"/>
        <v>67.178762806104061</v>
      </c>
      <c r="AY119" s="284">
        <f t="shared" si="712"/>
        <v>67.490667461737786</v>
      </c>
      <c r="AZ119" s="284">
        <f t="shared" si="712"/>
        <v>67.607118464317253</v>
      </c>
      <c r="BA119" s="284">
        <f t="shared" si="712"/>
        <v>67.699956809483609</v>
      </c>
      <c r="BB119" s="284">
        <f t="shared" si="712"/>
        <v>67.769090455667765</v>
      </c>
      <c r="BC119" s="284">
        <f t="shared" si="712"/>
        <v>67.814441263135819</v>
      </c>
      <c r="BD119" s="284">
        <f t="shared" si="712"/>
        <v>67.835946702867062</v>
      </c>
      <c r="BE119" s="284">
        <f t="shared" si="712"/>
        <v>67.343732441632596</v>
      </c>
      <c r="BF119" s="284">
        <f t="shared" si="712"/>
        <v>66.826544413948227</v>
      </c>
      <c r="BG119" s="284">
        <f t="shared" si="712"/>
        <v>66.285864051245568</v>
      </c>
      <c r="BH119" s="284">
        <f t="shared" si="712"/>
        <v>65.720568538234673</v>
      </c>
      <c r="BI119" s="284">
        <f t="shared" si="712"/>
        <v>65.130736061349623</v>
      </c>
      <c r="BJ119" s="284">
        <f t="shared" si="712"/>
        <v>64.51784344875162</v>
      </c>
      <c r="BK119" s="284">
        <f t="shared" si="712"/>
        <v>63.880916428434347</v>
      </c>
      <c r="BL119" s="284">
        <f t="shared" si="712"/>
        <v>63.220175831553341</v>
      </c>
      <c r="BM119" s="284">
        <f t="shared" si="712"/>
        <v>62.535893821183095</v>
      </c>
      <c r="BN119" s="284">
        <f t="shared" si="712"/>
        <v>61.828399325672393</v>
      </c>
    </row>
    <row r="120" spans="1:67" x14ac:dyDescent="0.2">
      <c r="A120" s="1" t="s">
        <v>230</v>
      </c>
      <c r="C120" s="59" t="s">
        <v>153</v>
      </c>
      <c r="D120" s="66">
        <f>'Methanol Recycling HC'!C336</f>
        <v>5.9585925954046229E-7</v>
      </c>
      <c r="E120" s="66">
        <f>'Methanol Recycling HC'!D336</f>
        <v>1.789971710539116E-6</v>
      </c>
      <c r="F120" s="66">
        <f>'Methanol Recycling HC'!E336</f>
        <v>3.8601202409020065E-6</v>
      </c>
      <c r="G120" s="66">
        <f>'Methanol Recycling HC'!F336</f>
        <v>8.2534282352661637E-6</v>
      </c>
      <c r="H120" s="66">
        <f>'Methanol Recycling HC'!G336</f>
        <v>1.7484129343075927E-5</v>
      </c>
      <c r="I120" s="66">
        <f>'Methanol Recycling HC'!H336</f>
        <v>3.6655935071756957E-5</v>
      </c>
      <c r="J120" s="66">
        <f>'Methanol Recycling HC'!I336</f>
        <v>7.5053447330572216E-5</v>
      </c>
      <c r="K120" s="66">
        <f>'Methanol Recycling HC'!J336</f>
        <v>1.518423281236145E-4</v>
      </c>
      <c r="L120" s="66">
        <f>'Methanol Recycling HC'!K336</f>
        <v>3.0255120934597862E-4</v>
      </c>
      <c r="M120" s="66">
        <f>'Methanol Recycling HC'!L336</f>
        <v>5.9118253507630682E-4</v>
      </c>
      <c r="N120" s="66">
        <f>'Methanol Recycling HC'!M336</f>
        <v>1.1315229217627304E-3</v>
      </c>
      <c r="O120" s="66">
        <f>'Methanol Recycling HC'!N336</f>
        <v>2.0291910084503429E-3</v>
      </c>
      <c r="P120" s="66">
        <f>'Methanol Recycling HC'!O336</f>
        <v>3.511962540840317E-3</v>
      </c>
      <c r="Q120" s="66">
        <f>'Methanol Recycling HC'!P336</f>
        <v>5.7951323507716146E-3</v>
      </c>
      <c r="R120" s="66">
        <f>'Methanol Recycling HC'!Q336</f>
        <v>9.0580537476831185E-3</v>
      </c>
      <c r="S120" s="66">
        <f>'Methanol Recycling HC'!R336</f>
        <v>1.3353255114615511E-2</v>
      </c>
      <c r="T120" s="66">
        <f>'Methanol Recycling HC'!S336</f>
        <v>1.8607197207189816E-2</v>
      </c>
      <c r="U120" s="66">
        <f>'Methanol Recycling HC'!T336</f>
        <v>2.4493433975013402E-2</v>
      </c>
      <c r="V120" s="66">
        <f>'Methanol Recycling HC'!U336</f>
        <v>3.0606117750982428E-2</v>
      </c>
      <c r="W120" s="66">
        <f>'Methanol Recycling HC'!V336</f>
        <v>3.6558497668397888E-2</v>
      </c>
      <c r="X120" s="66">
        <f>'Methanol Recycling HC'!W336</f>
        <v>4.207663746660957E-2</v>
      </c>
      <c r="Y120" s="66">
        <f>'Methanol Recycling HC'!X336</f>
        <v>4.5622272398397105E-2</v>
      </c>
      <c r="Z120" s="66">
        <f>'Methanol Recycling HC'!Y336</f>
        <v>4.8362531555781303E-2</v>
      </c>
      <c r="AA120" s="66">
        <f>'Methanol Recycling HC'!Z336</f>
        <v>5.0436077075912349E-2</v>
      </c>
      <c r="AB120" s="66">
        <f>'Methanol Recycling HC'!AA336</f>
        <v>5.2095073015535953E-2</v>
      </c>
      <c r="AC120" s="66">
        <f>'Methanol Recycling HC'!AB336</f>
        <v>5.3611625724771968E-2</v>
      </c>
      <c r="AD120" s="66">
        <f>'Methanol Recycling HC'!AC336</f>
        <v>5.5217178412215136E-2</v>
      </c>
      <c r="AE120" s="66">
        <f>'Methanol Recycling HC'!AD336</f>
        <v>5.7286572954874639E-2</v>
      </c>
      <c r="AF120" s="66">
        <f>'Methanol Recycling HC'!AE336</f>
        <v>6.0067992574780064E-2</v>
      </c>
      <c r="AG120" s="66">
        <f>'Methanol Recycling HC'!AF336</f>
        <v>6.366701523842476E-2</v>
      </c>
      <c r="AH120" s="66">
        <f>'Methanol Recycling HC'!AG336</f>
        <v>6.7967364418102111E-2</v>
      </c>
      <c r="AJ120" s="43">
        <f>D120/2</f>
        <v>2.9792962977023115E-7</v>
      </c>
      <c r="AK120" s="43">
        <f t="shared" ref="AK120:BN120" si="713">E120/2</f>
        <v>8.9498585526955801E-7</v>
      </c>
      <c r="AL120" s="43">
        <f t="shared" si="713"/>
        <v>1.9300601204510032E-6</v>
      </c>
      <c r="AM120" s="43">
        <f t="shared" si="713"/>
        <v>4.1267141176330818E-6</v>
      </c>
      <c r="AN120" s="43">
        <f t="shared" si="713"/>
        <v>8.7420646715379633E-6</v>
      </c>
      <c r="AO120" s="43">
        <f t="shared" si="713"/>
        <v>1.8327967535878478E-5</v>
      </c>
      <c r="AP120" s="43">
        <f t="shared" si="713"/>
        <v>3.7526723665286108E-5</v>
      </c>
      <c r="AQ120" s="43">
        <f t="shared" si="713"/>
        <v>7.5921164061807251E-5</v>
      </c>
      <c r="AR120" s="43">
        <f t="shared" si="713"/>
        <v>1.5127560467298931E-4</v>
      </c>
      <c r="AS120" s="43">
        <f t="shared" si="713"/>
        <v>2.9559126753815341E-4</v>
      </c>
      <c r="AT120" s="43">
        <f t="shared" si="713"/>
        <v>5.6576146088136521E-4</v>
      </c>
      <c r="AU120" s="43">
        <f t="shared" si="713"/>
        <v>1.0145955042251715E-3</v>
      </c>
      <c r="AV120" s="43">
        <f t="shared" si="713"/>
        <v>1.7559812704201585E-3</v>
      </c>
      <c r="AW120" s="43">
        <f t="shared" si="713"/>
        <v>2.8975661753858073E-3</v>
      </c>
      <c r="AX120" s="43">
        <f t="shared" si="713"/>
        <v>4.5290268738415592E-3</v>
      </c>
      <c r="AY120" s="43">
        <f t="shared" si="713"/>
        <v>6.6766275573077556E-3</v>
      </c>
      <c r="AZ120" s="43">
        <f t="shared" si="713"/>
        <v>9.3035986035949082E-3</v>
      </c>
      <c r="BA120" s="43">
        <f t="shared" si="713"/>
        <v>1.2246716987506701E-2</v>
      </c>
      <c r="BB120" s="43">
        <f t="shared" si="713"/>
        <v>1.5303058875491214E-2</v>
      </c>
      <c r="BC120" s="43">
        <f t="shared" si="713"/>
        <v>1.8279248834198944E-2</v>
      </c>
      <c r="BD120" s="43">
        <f t="shared" si="713"/>
        <v>2.1038318733304785E-2</v>
      </c>
      <c r="BE120" s="43">
        <f t="shared" si="713"/>
        <v>2.2811136199198553E-2</v>
      </c>
      <c r="BF120" s="43">
        <f t="shared" si="713"/>
        <v>2.4181265777890652E-2</v>
      </c>
      <c r="BG120" s="43">
        <f t="shared" si="713"/>
        <v>2.5218038537956174E-2</v>
      </c>
      <c r="BH120" s="43">
        <f t="shared" si="713"/>
        <v>2.6047536507767977E-2</v>
      </c>
      <c r="BI120" s="43">
        <f t="shared" si="713"/>
        <v>2.6805812862385984E-2</v>
      </c>
      <c r="BJ120" s="43">
        <f t="shared" si="713"/>
        <v>2.7608589206107568E-2</v>
      </c>
      <c r="BK120" s="43">
        <f t="shared" si="713"/>
        <v>2.8643286477437319E-2</v>
      </c>
      <c r="BL120" s="43">
        <f t="shared" si="713"/>
        <v>3.0033996287390032E-2</v>
      </c>
      <c r="BM120" s="43">
        <f t="shared" si="713"/>
        <v>3.183350761921238E-2</v>
      </c>
      <c r="BN120" s="43">
        <f t="shared" si="713"/>
        <v>3.3983682209051055E-2</v>
      </c>
    </row>
    <row r="121" spans="1:67" x14ac:dyDescent="0.2">
      <c r="A121" s="1" t="s">
        <v>231</v>
      </c>
      <c r="C121" s="283" t="s">
        <v>153</v>
      </c>
      <c r="D121" s="66">
        <f>'Methanol Recycling HC'!C338</f>
        <v>3.4858108265194487E-6</v>
      </c>
      <c r="E121" s="66">
        <f>'Methanol Recycling HC'!D338</f>
        <v>1.0471437118511521E-5</v>
      </c>
      <c r="F121" s="66">
        <f>'Methanol Recycling HC'!E338</f>
        <v>2.2581924694399013E-5</v>
      </c>
      <c r="G121" s="66">
        <f>'Methanol Recycling HC'!F338</f>
        <v>4.8283028312054712E-5</v>
      </c>
      <c r="H121" s="66">
        <f>'Methanol Recycling HC'!G338</f>
        <v>1.022831589516011E-4</v>
      </c>
      <c r="I121" s="66">
        <f>'Methanol Recycling HC'!H338</f>
        <v>2.1443932150667141E-4</v>
      </c>
      <c r="J121" s="66">
        <f>'Methanol Recycling HC'!I338</f>
        <v>4.390669693952288E-4</v>
      </c>
      <c r="K121" s="66">
        <f>'Methanol Recycling HC'!J338</f>
        <v>8.8828632403130739E-4</v>
      </c>
      <c r="L121" s="66">
        <f>'Methanol Recycling HC'!K338</f>
        <v>1.7699419187143614E-3</v>
      </c>
      <c r="M121" s="66">
        <f>'Methanol Recycling HC'!L338</f>
        <v>3.4584517203063909E-3</v>
      </c>
      <c r="N121" s="66">
        <f>'Methanol Recycling HC'!M338</f>
        <v>6.6194739579566869E-3</v>
      </c>
      <c r="O121" s="66">
        <f>'Methanol Recycling HC'!N338</f>
        <v>1.1870883724769573E-2</v>
      </c>
      <c r="P121" s="66">
        <f>'Methanol Recycling HC'!O338</f>
        <v>2.05451821905616E-2</v>
      </c>
      <c r="Q121" s="66">
        <f>'Methanol Recycling HC'!P338</f>
        <v>3.3901856463574936E-2</v>
      </c>
      <c r="R121" s="66">
        <f>'Methanol Recycling HC'!Q338</f>
        <v>5.2990133685628792E-2</v>
      </c>
      <c r="S121" s="66">
        <f>'Methanol Recycling HC'!R338</f>
        <v>7.8117307908751474E-2</v>
      </c>
      <c r="T121" s="66">
        <f>'Methanol Recycling HC'!S338</f>
        <v>0.10885317033761772</v>
      </c>
      <c r="U121" s="66">
        <f>'Methanol Recycling HC'!T338</f>
        <v>0.14328799286359542</v>
      </c>
      <c r="V121" s="66">
        <f>'Methanol Recycling HC'!U338</f>
        <v>0.17904754336851747</v>
      </c>
      <c r="W121" s="66">
        <f>'Methanol Recycling HC'!V338</f>
        <v>0.21386930711132757</v>
      </c>
      <c r="X121" s="66">
        <f>'Methanol Recycling HC'!W338</f>
        <v>0.24615074126356121</v>
      </c>
      <c r="Y121" s="66">
        <f>'Methanol Recycling HC'!X338</f>
        <v>0.26689290887146638</v>
      </c>
      <c r="Z121" s="66">
        <f>'Methanol Recycling HC'!Y338</f>
        <v>0.28292358203016765</v>
      </c>
      <c r="AA121" s="66">
        <f>'Methanol Recycling HC'!Z338</f>
        <v>0.29505394219093456</v>
      </c>
      <c r="AB121" s="66">
        <f>'Methanol Recycling HC'!AA338</f>
        <v>0.30475916354127774</v>
      </c>
      <c r="AC121" s="66">
        <f>'Methanol Recycling HC'!AB338</f>
        <v>0.31363108382815769</v>
      </c>
      <c r="AD121" s="66">
        <f>'Methanol Recycling HC'!AC338</f>
        <v>0.32302365908955927</v>
      </c>
      <c r="AE121" s="66">
        <f>'Methanol Recycling HC'!AD338</f>
        <v>0.33512973579415883</v>
      </c>
      <c r="AF121" s="66">
        <f>'Methanol Recycling HC'!AE338</f>
        <v>0.3514012000181726</v>
      </c>
      <c r="AG121" s="66">
        <f>'Methanol Recycling HC'!AF338</f>
        <v>0.37245568891794545</v>
      </c>
      <c r="AH121" s="66">
        <f>'Methanol Recycling HC'!AG338</f>
        <v>0.39761297814072949</v>
      </c>
      <c r="AJ121" s="43">
        <f>D121/2</f>
        <v>1.7429054132597244E-6</v>
      </c>
      <c r="AK121" s="43">
        <f t="shared" ref="AK121" si="714">E121/2</f>
        <v>5.2357185592557605E-6</v>
      </c>
      <c r="AL121" s="43">
        <f t="shared" ref="AL121" si="715">F121/2</f>
        <v>1.1290962347199507E-5</v>
      </c>
      <c r="AM121" s="43">
        <f t="shared" ref="AM121" si="716">G121/2</f>
        <v>2.4141514156027356E-5</v>
      </c>
      <c r="AN121" s="43">
        <f t="shared" ref="AN121" si="717">H121/2</f>
        <v>5.1141579475800552E-5</v>
      </c>
      <c r="AO121" s="43">
        <f t="shared" ref="AO121" si="718">I121/2</f>
        <v>1.072196607533357E-4</v>
      </c>
      <c r="AP121" s="43">
        <f t="shared" ref="AP121" si="719">J121/2</f>
        <v>2.195334846976144E-4</v>
      </c>
      <c r="AQ121" s="43">
        <f t="shared" ref="AQ121" si="720">K121/2</f>
        <v>4.4414316201565369E-4</v>
      </c>
      <c r="AR121" s="43">
        <f t="shared" ref="AR121" si="721">L121/2</f>
        <v>8.8497095935718072E-4</v>
      </c>
      <c r="AS121" s="43">
        <f t="shared" ref="AS121" si="722">M121/2</f>
        <v>1.7292258601531954E-3</v>
      </c>
      <c r="AT121" s="43">
        <f t="shared" ref="AT121" si="723">N121/2</f>
        <v>3.3097369789783435E-3</v>
      </c>
      <c r="AU121" s="43">
        <f t="shared" ref="AU121" si="724">O121/2</f>
        <v>5.9354418623847865E-3</v>
      </c>
      <c r="AV121" s="43">
        <f t="shared" ref="AV121" si="725">P121/2</f>
        <v>1.02725910952808E-2</v>
      </c>
      <c r="AW121" s="43">
        <f t="shared" ref="AW121" si="726">Q121/2</f>
        <v>1.6950928231787468E-2</v>
      </c>
      <c r="AX121" s="43">
        <f t="shared" ref="AX121" si="727">R121/2</f>
        <v>2.6495066842814396E-2</v>
      </c>
      <c r="AY121" s="43">
        <f t="shared" ref="AY121" si="728">S121/2</f>
        <v>3.9058653954375737E-2</v>
      </c>
      <c r="AZ121" s="43">
        <f t="shared" ref="AZ121" si="729">T121/2</f>
        <v>5.4426585168808862E-2</v>
      </c>
      <c r="BA121" s="43">
        <f t="shared" ref="BA121" si="730">U121/2</f>
        <v>7.164399643179771E-2</v>
      </c>
      <c r="BB121" s="43">
        <f t="shared" ref="BB121" si="731">V121/2</f>
        <v>8.9523771684258735E-2</v>
      </c>
      <c r="BC121" s="43">
        <f t="shared" ref="BC121" si="732">W121/2</f>
        <v>0.10693465355566378</v>
      </c>
      <c r="BD121" s="43">
        <f t="shared" ref="BD121" si="733">X121/2</f>
        <v>0.1230753706317806</v>
      </c>
      <c r="BE121" s="43">
        <f t="shared" ref="BE121" si="734">Y121/2</f>
        <v>0.13344645443573319</v>
      </c>
      <c r="BF121" s="43">
        <f t="shared" ref="BF121" si="735">Z121/2</f>
        <v>0.14146179101508383</v>
      </c>
      <c r="BG121" s="43">
        <f t="shared" ref="BG121" si="736">AA121/2</f>
        <v>0.14752697109546728</v>
      </c>
      <c r="BH121" s="43">
        <f t="shared" ref="BH121" si="737">AB121/2</f>
        <v>0.15237958177063887</v>
      </c>
      <c r="BI121" s="43">
        <f t="shared" ref="BI121" si="738">AC121/2</f>
        <v>0.15681554191407884</v>
      </c>
      <c r="BJ121" s="43">
        <f t="shared" ref="BJ121" si="739">AD121/2</f>
        <v>0.16151182954477963</v>
      </c>
      <c r="BK121" s="43">
        <f t="shared" ref="BK121" si="740">AE121/2</f>
        <v>0.16756486789707942</v>
      </c>
      <c r="BL121" s="43">
        <f t="shared" ref="BL121" si="741">AF121/2</f>
        <v>0.1757006000090863</v>
      </c>
      <c r="BM121" s="43">
        <f t="shared" ref="BM121" si="742">AG121/2</f>
        <v>0.18622784445897272</v>
      </c>
      <c r="BN121" s="43">
        <f t="shared" ref="BN121" si="743">AH121/2</f>
        <v>0.19880648907036474</v>
      </c>
    </row>
    <row r="122" spans="1:67" s="104" customFormat="1" x14ac:dyDescent="0.2">
      <c r="A122" s="102" t="s">
        <v>253</v>
      </c>
      <c r="B122" s="102"/>
      <c r="C122" s="103" t="s">
        <v>153</v>
      </c>
      <c r="D122" s="105">
        <f>D116-D120-D121</f>
        <v>70.960262620346811</v>
      </c>
      <c r="E122" s="105">
        <f t="shared" ref="E122:AH122" si="744">E116-E120-E121</f>
        <v>74.512773737315598</v>
      </c>
      <c r="F122" s="105">
        <f t="shared" si="744"/>
        <v>77.911149797311367</v>
      </c>
      <c r="G122" s="105">
        <f t="shared" si="744"/>
        <v>81.231461398452282</v>
      </c>
      <c r="H122" s="105">
        <f t="shared" si="744"/>
        <v>84.473460561313047</v>
      </c>
      <c r="I122" s="105">
        <f t="shared" si="744"/>
        <v>87.650032924740742</v>
      </c>
      <c r="J122" s="105">
        <f t="shared" si="744"/>
        <v>90.742644843299061</v>
      </c>
      <c r="K122" s="105">
        <f t="shared" si="744"/>
        <v>93.754573303765</v>
      </c>
      <c r="L122" s="105">
        <f t="shared" si="744"/>
        <v>96.685025295371517</v>
      </c>
      <c r="M122" s="105">
        <f t="shared" si="744"/>
        <v>99.533010287331166</v>
      </c>
      <c r="N122" s="105">
        <f t="shared" si="744"/>
        <v>102.29719510964087</v>
      </c>
      <c r="O122" s="105">
        <f t="shared" si="744"/>
        <v>101.27291264844469</v>
      </c>
      <c r="P122" s="105">
        <f t="shared" si="744"/>
        <v>100.14426265471035</v>
      </c>
      <c r="Q122" s="105">
        <f t="shared" si="744"/>
        <v>98.908181086173727</v>
      </c>
      <c r="R122" s="105">
        <f t="shared" si="744"/>
        <v>97.561382998387515</v>
      </c>
      <c r="S122" s="105">
        <f t="shared" si="744"/>
        <v>96.101577647310705</v>
      </c>
      <c r="T122" s="105">
        <f t="shared" si="744"/>
        <v>94.343267009478723</v>
      </c>
      <c r="U122" s="105">
        <f t="shared" si="744"/>
        <v>92.468704924268849</v>
      </c>
      <c r="V122" s="105">
        <f t="shared" si="744"/>
        <v>90.477947563836338</v>
      </c>
      <c r="W122" s="105">
        <f t="shared" si="744"/>
        <v>88.370866857876123</v>
      </c>
      <c r="X122" s="105">
        <f t="shared" si="744"/>
        <v>86.146509839474064</v>
      </c>
      <c r="Y122" s="105">
        <f t="shared" si="744"/>
        <v>84.084923954466547</v>
      </c>
      <c r="Z122" s="105">
        <f t="shared" si="744"/>
        <v>81.941901820890024</v>
      </c>
      <c r="AA122" s="105">
        <f t="shared" si="744"/>
        <v>79.716526587710561</v>
      </c>
      <c r="AB122" s="105">
        <f t="shared" si="744"/>
        <v>77.404092336105393</v>
      </c>
      <c r="AC122" s="105">
        <f t="shared" si="744"/>
        <v>75.001108003969804</v>
      </c>
      <c r="AD122" s="105">
        <f t="shared" si="744"/>
        <v>72.506896063490004</v>
      </c>
      <c r="AE122" s="105">
        <f t="shared" si="744"/>
        <v>69.915230947654265</v>
      </c>
      <c r="AF122" s="105">
        <f t="shared" si="744"/>
        <v>67.222883965931601</v>
      </c>
      <c r="AG122" s="105">
        <f t="shared" si="744"/>
        <v>64.427639371590089</v>
      </c>
      <c r="AH122" s="105">
        <f t="shared" si="744"/>
        <v>61.528846390549319</v>
      </c>
      <c r="AJ122" s="105">
        <f>AJ116-AJ120-AJ121</f>
        <v>70.960264661181853</v>
      </c>
      <c r="AK122" s="105">
        <f t="shared" ref="AK122" si="745">AK116-AK120-AK121</f>
        <v>74.684100413957779</v>
      </c>
      <c r="AL122" s="105">
        <f t="shared" ref="AL122" si="746">AL116-AL120-AL121</f>
        <v>78.279424668927319</v>
      </c>
      <c r="AM122" s="105">
        <f t="shared" ref="AM122" si="747">AM116-AM120-AM121</f>
        <v>81.822185549051213</v>
      </c>
      <c r="AN122" s="105">
        <f t="shared" ref="AN122" si="748">AN116-AN120-AN121</f>
        <v>85.312012243228338</v>
      </c>
      <c r="AO122" s="105">
        <f t="shared" ref="AO122" si="749">AO116-AO120-AO121</f>
        <v>88.761672298029893</v>
      </c>
      <c r="AP122" s="105">
        <f t="shared" ref="AP122" si="750">AP116-AP120-AP121</f>
        <v>92.152524044207425</v>
      </c>
      <c r="AQ122" s="105">
        <f t="shared" ref="AQ122" si="751">AQ116-AQ120-AQ121</f>
        <v>95.487765911437364</v>
      </c>
      <c r="AR122" s="105">
        <f t="shared" ref="AR122" si="752">AR116-AR120-AR121</f>
        <v>98.766577870773077</v>
      </c>
      <c r="AS122" s="105">
        <f t="shared" ref="AS122" si="753">AS116-AS120-AS121</f>
        <v>101.98803526001647</v>
      </c>
      <c r="AT122" s="105">
        <f t="shared" ref="AT122" si="754">AT116-AT120-AT121</f>
        <v>105.1510365172677</v>
      </c>
      <c r="AU122" s="105">
        <f t="shared" ref="AU122" si="755">AU116-AU120-AU121</f>
        <v>104.50735061383563</v>
      </c>
      <c r="AV122" s="105">
        <f t="shared" ref="AV122" si="756">AV116-AV120-AV121</f>
        <v>103.77018723979154</v>
      </c>
      <c r="AW122" s="105">
        <f t="shared" ref="AW122" si="757">AW116-AW120-AW121</f>
        <v>102.93712487190449</v>
      </c>
      <c r="AX122" s="105">
        <f t="shared" ref="AX122" si="758">AX116-AX120-AX121</f>
        <v>102.00539476987784</v>
      </c>
      <c r="AY122" s="105">
        <f t="shared" ref="AY122" si="759">AY116-AY120-AY121</f>
        <v>100.97278469792893</v>
      </c>
      <c r="AZ122" s="105">
        <f t="shared" ref="AZ122" si="760">AZ116-AZ120-AZ121</f>
        <v>99.642879932863906</v>
      </c>
      <c r="BA122" s="105">
        <f t="shared" ref="BA122" si="761">BA116-BA120-BA121</f>
        <v>98.20594786944342</v>
      </c>
      <c r="BB122" s="105">
        <f t="shared" ref="BB122" si="762">BB116-BB120-BB121</f>
        <v>96.660542638184268</v>
      </c>
      <c r="BC122" s="105">
        <f t="shared" ref="BC122" si="763">BC116-BC120-BC121</f>
        <v>95.005095774240814</v>
      </c>
      <c r="BD122" s="105">
        <f t="shared" ref="BD122" si="764">BD116-BD120-BD121</f>
        <v>93.237596430146809</v>
      </c>
      <c r="BE122" s="105">
        <f t="shared" ref="BE122" si="765">BE116-BE120-BE121</f>
        <v>91.703844738902859</v>
      </c>
      <c r="BF122" s="105">
        <f t="shared" ref="BF122" si="766">BF116-BF120-BF121</f>
        <v>90.092981595749549</v>
      </c>
      <c r="BG122" s="105">
        <f t="shared" ref="BG122" si="767">BG116-BG120-BG121</f>
        <v>88.404513104237552</v>
      </c>
      <c r="BH122" s="105">
        <f t="shared" ref="BH122" si="768">BH116-BH120-BH121</f>
        <v>86.634542514406817</v>
      </c>
      <c r="BI122" s="105">
        <f t="shared" ref="BI122" si="769">BI116-BI120-BI121</f>
        <v>84.780453604607956</v>
      </c>
      <c r="BJ122" s="105">
        <f t="shared" ref="BJ122" si="770">BJ116-BJ120-BJ121</f>
        <v>82.84230168210496</v>
      </c>
      <c r="BK122" s="105">
        <f t="shared" ref="BK122" si="771">BK116-BK120-BK121</f>
        <v>80.815082321503354</v>
      </c>
      <c r="BL122" s="105">
        <f t="shared" ref="BL122" si="772">BL116-BL120-BL121</f>
        <v>78.69635121775319</v>
      </c>
      <c r="BM122" s="105">
        <f t="shared" ref="BM122" si="773">BM116-BM120-BM121</f>
        <v>76.484185523644982</v>
      </c>
      <c r="BN122" s="105">
        <f t="shared" ref="BN122" si="774">BN116-BN120-BN121</f>
        <v>74.177464331721808</v>
      </c>
    </row>
    <row r="123" spans="1:67" s="67" customFormat="1" x14ac:dyDescent="0.2">
      <c r="A123" s="681"/>
      <c r="B123" s="58" t="s">
        <v>246</v>
      </c>
      <c r="C123" s="59" t="s">
        <v>153</v>
      </c>
      <c r="D123" s="60">
        <f>D117</f>
        <v>7.192774760698633</v>
      </c>
      <c r="E123" s="60">
        <f t="shared" ref="E123:AH123" si="775">E117</f>
        <v>7.6154285706674543</v>
      </c>
      <c r="F123" s="60">
        <f t="shared" si="775"/>
        <v>7.9997195073987042</v>
      </c>
      <c r="G123" s="60">
        <f t="shared" si="775"/>
        <v>8.3783861428346516</v>
      </c>
      <c r="H123" s="60">
        <f t="shared" si="775"/>
        <v>8.7514782875702526</v>
      </c>
      <c r="I123" s="60">
        <f t="shared" si="775"/>
        <v>9.1190623950972594</v>
      </c>
      <c r="J123" s="60">
        <f t="shared" si="775"/>
        <v>9.4816988070243102</v>
      </c>
      <c r="K123" s="60">
        <f t="shared" si="775"/>
        <v>9.8387353706146783</v>
      </c>
      <c r="L123" s="60">
        <f t="shared" si="775"/>
        <v>10.190234914192683</v>
      </c>
      <c r="M123" s="60">
        <f t="shared" si="775"/>
        <v>10.536270988205857</v>
      </c>
      <c r="N123" s="60">
        <f t="shared" si="775"/>
        <v>10.876928167087071</v>
      </c>
      <c r="O123" s="60">
        <f t="shared" si="775"/>
        <v>10.939423796091363</v>
      </c>
      <c r="P123" s="60">
        <f t="shared" si="775"/>
        <v>10.999678002000476</v>
      </c>
      <c r="Q123" s="60">
        <f t="shared" si="775"/>
        <v>11.057903410851665</v>
      </c>
      <c r="R123" s="60">
        <f t="shared" si="775"/>
        <v>11.11427026321223</v>
      </c>
      <c r="S123" s="60">
        <f t="shared" si="775"/>
        <v>11.168987179809939</v>
      </c>
      <c r="T123" s="60">
        <f t="shared" si="775"/>
        <v>11.202963870192045</v>
      </c>
      <c r="U123" s="60">
        <f t="shared" si="775"/>
        <v>11.235201763118788</v>
      </c>
      <c r="V123" s="60">
        <f t="shared" si="775"/>
        <v>11.265845567410166</v>
      </c>
      <c r="W123" s="60">
        <f t="shared" si="775"/>
        <v>11.295058108325069</v>
      </c>
      <c r="X123" s="60">
        <f t="shared" si="775"/>
        <v>11.323022334021717</v>
      </c>
      <c r="Y123" s="60">
        <f t="shared" si="775"/>
        <v>11.270613497601143</v>
      </c>
      <c r="Z123" s="60">
        <f t="shared" si="775"/>
        <v>11.215999799180068</v>
      </c>
      <c r="AA123" s="60">
        <f t="shared" si="775"/>
        <v>11.159487772201516</v>
      </c>
      <c r="AB123" s="60">
        <f t="shared" si="775"/>
        <v>11.101153268636988</v>
      </c>
      <c r="AC123" s="60">
        <f t="shared" si="775"/>
        <v>11.041217940110894</v>
      </c>
      <c r="AD123" s="60">
        <f t="shared" si="775"/>
        <v>10.980651056016628</v>
      </c>
      <c r="AE123" s="60">
        <f t="shared" si="775"/>
        <v>10.919160196876229</v>
      </c>
      <c r="AF123" s="60">
        <f t="shared" si="775"/>
        <v>10.857081347799944</v>
      </c>
      <c r="AG123" s="60">
        <f t="shared" si="775"/>
        <v>10.794792874594984</v>
      </c>
      <c r="AH123" s="60">
        <f t="shared" si="775"/>
        <v>10.732720357426388</v>
      </c>
      <c r="AJ123" s="60">
        <f>AJ117</f>
        <v>7.192774760698633</v>
      </c>
      <c r="AK123" s="60">
        <f t="shared" ref="AK123:BN123" si="776">AK117</f>
        <v>7.6419503445346013</v>
      </c>
      <c r="AL123" s="60">
        <f t="shared" si="776"/>
        <v>8.0537478811896968</v>
      </c>
      <c r="AM123" s="60">
        <f t="shared" si="776"/>
        <v>8.4628129911574206</v>
      </c>
      <c r="AN123" s="60">
        <f t="shared" si="776"/>
        <v>8.8692296320755872</v>
      </c>
      <c r="AO123" s="60">
        <f t="shared" si="776"/>
        <v>9.2730965957459937</v>
      </c>
      <c r="AP123" s="60">
        <f t="shared" si="776"/>
        <v>9.6751259985638232</v>
      </c>
      <c r="AQ123" s="60">
        <f t="shared" si="776"/>
        <v>10.074501054782498</v>
      </c>
      <c r="AR123" s="60">
        <f t="shared" si="776"/>
        <v>10.471301732153673</v>
      </c>
      <c r="AS123" s="60">
        <f t="shared" si="776"/>
        <v>10.865618901529334</v>
      </c>
      <c r="AT123" s="60">
        <f t="shared" si="776"/>
        <v>11.257554924757118</v>
      </c>
      <c r="AU123" s="60">
        <f t="shared" si="776"/>
        <v>11.369976411386261</v>
      </c>
      <c r="AV123" s="60">
        <f t="shared" si="776"/>
        <v>11.481912589005011</v>
      </c>
      <c r="AW123" s="60">
        <f t="shared" si="776"/>
        <v>11.593670021498163</v>
      </c>
      <c r="AX123" s="60">
        <f t="shared" si="776"/>
        <v>11.705488517253574</v>
      </c>
      <c r="AY123" s="60">
        <f t="shared" si="776"/>
        <v>11.81766154513074</v>
      </c>
      <c r="AZ123" s="60">
        <f t="shared" si="776"/>
        <v>11.909690734583052</v>
      </c>
      <c r="BA123" s="60">
        <f t="shared" si="776"/>
        <v>12.001735208111022</v>
      </c>
      <c r="BB123" s="60">
        <f t="shared" si="776"/>
        <v>12.093991626880069</v>
      </c>
      <c r="BC123" s="60">
        <f t="shared" si="776"/>
        <v>12.186677893657233</v>
      </c>
      <c r="BD123" s="60">
        <f t="shared" si="776"/>
        <v>12.280035328675298</v>
      </c>
      <c r="BE123" s="60">
        <f t="shared" si="776"/>
        <v>12.303975479751728</v>
      </c>
      <c r="BF123" s="60">
        <f t="shared" si="776"/>
        <v>12.328241013147608</v>
      </c>
      <c r="BG123" s="60">
        <f t="shared" si="776"/>
        <v>12.353325451942176</v>
      </c>
      <c r="BH123" s="60">
        <f t="shared" si="776"/>
        <v>12.3793750194721</v>
      </c>
      <c r="BI123" s="60">
        <f t="shared" si="776"/>
        <v>12.406748142071862</v>
      </c>
      <c r="BJ123" s="60">
        <f t="shared" si="776"/>
        <v>12.437003623949694</v>
      </c>
      <c r="BK123" s="60">
        <f t="shared" si="776"/>
        <v>12.469650411131989</v>
      </c>
      <c r="BL123" s="60">
        <f t="shared" si="776"/>
        <v>12.505198768066212</v>
      </c>
      <c r="BM123" s="60">
        <f t="shared" si="776"/>
        <v>12.544212791950727</v>
      </c>
      <c r="BN123" s="60">
        <f t="shared" si="776"/>
        <v>12.587316109443455</v>
      </c>
    </row>
    <row r="124" spans="1:67" x14ac:dyDescent="0.2">
      <c r="A124" s="682"/>
      <c r="B124" s="1" t="s">
        <v>247</v>
      </c>
      <c r="C124" s="54" t="s">
        <v>153</v>
      </c>
      <c r="D124" s="44">
        <f>D118</f>
        <v>28.065001267929215</v>
      </c>
      <c r="E124" s="44">
        <f t="shared" ref="E124:AH124" si="777">E118</f>
        <v>28.136286371149751</v>
      </c>
      <c r="F124" s="44">
        <f t="shared" si="777"/>
        <v>28.196004203447703</v>
      </c>
      <c r="G124" s="44">
        <f t="shared" si="777"/>
        <v>28.243584960541014</v>
      </c>
      <c r="H124" s="44">
        <f t="shared" si="777"/>
        <v>28.278438746237001</v>
      </c>
      <c r="I124" s="44">
        <f t="shared" si="777"/>
        <v>28.29995494963087</v>
      </c>
      <c r="J124" s="44">
        <f t="shared" si="777"/>
        <v>28.307501604284109</v>
      </c>
      <c r="K124" s="44">
        <f t="shared" si="777"/>
        <v>28.30042472888303</v>
      </c>
      <c r="L124" s="44">
        <f t="shared" si="777"/>
        <v>28.278047648864838</v>
      </c>
      <c r="M124" s="44">
        <f t="shared" si="777"/>
        <v>28.239670298484235</v>
      </c>
      <c r="N124" s="44">
        <f t="shared" si="777"/>
        <v>28.184568502779875</v>
      </c>
      <c r="O124" s="44">
        <f t="shared" si="777"/>
        <v>27.030762729697322</v>
      </c>
      <c r="P124" s="44">
        <f t="shared" si="777"/>
        <v>25.808972254315002</v>
      </c>
      <c r="Q124" s="44">
        <f t="shared" si="777"/>
        <v>24.516680143581084</v>
      </c>
      <c r="R124" s="44">
        <f t="shared" si="777"/>
        <v>23.151289649430872</v>
      </c>
      <c r="S124" s="44">
        <f t="shared" si="777"/>
        <v>21.710121868753799</v>
      </c>
      <c r="T124" s="44">
        <f t="shared" si="777"/>
        <v>20.190413337941031</v>
      </c>
      <c r="U124" s="44">
        <f t="shared" si="777"/>
        <v>18.589313560242303</v>
      </c>
      <c r="V124" s="44">
        <f t="shared" si="777"/>
        <v>16.903882464113668</v>
      </c>
      <c r="W124" s="44">
        <f t="shared" si="777"/>
        <v>15.131087790689747</v>
      </c>
      <c r="X124" s="44">
        <f t="shared" si="777"/>
        <v>13.26780240846481</v>
      </c>
      <c r="Y124" s="44">
        <f t="shared" si="777"/>
        <v>12.215665677473545</v>
      </c>
      <c r="Z124" s="44">
        <f t="shared" si="777"/>
        <v>11.108111989382607</v>
      </c>
      <c r="AA124" s="44">
        <f t="shared" si="777"/>
        <v>9.9431487444961135</v>
      </c>
      <c r="AB124" s="44">
        <f t="shared" si="777"/>
        <v>8.7187209991024446</v>
      </c>
      <c r="AC124" s="44">
        <f t="shared" si="777"/>
        <v>7.4327096517348323</v>
      </c>
      <c r="AD124" s="44">
        <f t="shared" si="777"/>
        <v>6.0829295789797868</v>
      </c>
      <c r="AE124" s="44">
        <f t="shared" si="777"/>
        <v>4.6671277194722407</v>
      </c>
      <c r="AF124" s="44">
        <f t="shared" si="777"/>
        <v>3.1829811046800671</v>
      </c>
      <c r="AG124" s="44">
        <f t="shared" si="777"/>
        <v>1.6280948350438535</v>
      </c>
      <c r="AH124" s="44">
        <f t="shared" si="777"/>
        <v>0</v>
      </c>
      <c r="AJ124" s="44">
        <f>AJ118</f>
        <v>28.065001267929215</v>
      </c>
      <c r="AK124" s="44">
        <f t="shared" ref="AK124:BN124" si="778">AK118</f>
        <v>28.136286371149751</v>
      </c>
      <c r="AL124" s="44">
        <f t="shared" si="778"/>
        <v>28.196004203447703</v>
      </c>
      <c r="AM124" s="44">
        <f t="shared" si="778"/>
        <v>28.243584960541014</v>
      </c>
      <c r="AN124" s="44">
        <f t="shared" si="778"/>
        <v>28.278438746237001</v>
      </c>
      <c r="AO124" s="44">
        <f t="shared" si="778"/>
        <v>28.29995494963087</v>
      </c>
      <c r="AP124" s="44">
        <f t="shared" si="778"/>
        <v>28.307501604284109</v>
      </c>
      <c r="AQ124" s="44">
        <f t="shared" si="778"/>
        <v>28.30042472888303</v>
      </c>
      <c r="AR124" s="44">
        <f t="shared" si="778"/>
        <v>28.278047648864838</v>
      </c>
      <c r="AS124" s="44">
        <f t="shared" si="778"/>
        <v>28.239670298484235</v>
      </c>
      <c r="AT124" s="44">
        <f t="shared" si="778"/>
        <v>28.184568502779875</v>
      </c>
      <c r="AU124" s="44">
        <f t="shared" si="778"/>
        <v>27.030762729697322</v>
      </c>
      <c r="AV124" s="44">
        <f t="shared" si="778"/>
        <v>25.808972254315002</v>
      </c>
      <c r="AW124" s="44">
        <f t="shared" si="778"/>
        <v>24.516680143581084</v>
      </c>
      <c r="AX124" s="44">
        <f t="shared" si="778"/>
        <v>23.151289649430872</v>
      </c>
      <c r="AY124" s="44">
        <f t="shared" si="778"/>
        <v>21.710121868753799</v>
      </c>
      <c r="AZ124" s="44">
        <f t="shared" si="778"/>
        <v>20.190413337941031</v>
      </c>
      <c r="BA124" s="44">
        <f t="shared" si="778"/>
        <v>18.589313560242303</v>
      </c>
      <c r="BB124" s="44">
        <f t="shared" si="778"/>
        <v>16.903882464113668</v>
      </c>
      <c r="BC124" s="44">
        <f t="shared" si="778"/>
        <v>15.131087790689747</v>
      </c>
      <c r="BD124" s="44">
        <f t="shared" si="778"/>
        <v>13.26780240846481</v>
      </c>
      <c r="BE124" s="44">
        <f t="shared" si="778"/>
        <v>12.215665677473545</v>
      </c>
      <c r="BF124" s="44">
        <f t="shared" si="778"/>
        <v>11.108111989382607</v>
      </c>
      <c r="BG124" s="44">
        <f t="shared" si="778"/>
        <v>9.9431487444961135</v>
      </c>
      <c r="BH124" s="44">
        <f t="shared" si="778"/>
        <v>8.7187209991024446</v>
      </c>
      <c r="BI124" s="44">
        <f t="shared" si="778"/>
        <v>7.4327096517348323</v>
      </c>
      <c r="BJ124" s="44">
        <f t="shared" si="778"/>
        <v>6.0829295789797868</v>
      </c>
      <c r="BK124" s="44">
        <f t="shared" si="778"/>
        <v>4.6671277194722407</v>
      </c>
      <c r="BL124" s="44">
        <f t="shared" si="778"/>
        <v>3.1829811046800671</v>
      </c>
      <c r="BM124" s="44">
        <f t="shared" si="778"/>
        <v>1.6280948350438535</v>
      </c>
      <c r="BN124" s="44">
        <f t="shared" si="778"/>
        <v>0</v>
      </c>
    </row>
    <row r="125" spans="1:67" s="68" customFormat="1" x14ac:dyDescent="0.2">
      <c r="A125" s="683"/>
      <c r="B125" s="62" t="s">
        <v>248</v>
      </c>
      <c r="C125" s="283" t="s">
        <v>153</v>
      </c>
      <c r="D125" s="284">
        <f>D119-D120-D121</f>
        <v>35.702486591718959</v>
      </c>
      <c r="E125" s="284">
        <f t="shared" ref="E125:AH125" si="779">E119-E120-E121</f>
        <v>38.761058795498386</v>
      </c>
      <c r="F125" s="284">
        <f t="shared" si="779"/>
        <v>41.715426086464966</v>
      </c>
      <c r="G125" s="284">
        <f t="shared" si="779"/>
        <v>44.609490295076618</v>
      </c>
      <c r="H125" s="284">
        <f t="shared" si="779"/>
        <v>47.443543527505781</v>
      </c>
      <c r="I125" s="284">
        <f t="shared" si="779"/>
        <v>50.222910116341495</v>
      </c>
      <c r="J125" s="284">
        <f t="shared" si="779"/>
        <v>52.946365148887239</v>
      </c>
      <c r="K125" s="284">
        <f t="shared" si="779"/>
        <v>55.609320483047817</v>
      </c>
      <c r="L125" s="284">
        <f t="shared" si="779"/>
        <v>58.211594717821328</v>
      </c>
      <c r="M125" s="284">
        <f t="shared" si="779"/>
        <v>60.752821721384038</v>
      </c>
      <c r="N125" s="284">
        <f t="shared" si="779"/>
        <v>63.232305939352464</v>
      </c>
      <c r="O125" s="284">
        <f t="shared" si="779"/>
        <v>63.301192935439573</v>
      </c>
      <c r="P125" s="284">
        <f t="shared" si="779"/>
        <v>63.3357634753037</v>
      </c>
      <c r="Q125" s="284">
        <f t="shared" si="779"/>
        <v>63.335247533576876</v>
      </c>
      <c r="R125" s="284">
        <f t="shared" si="779"/>
        <v>63.298778165395348</v>
      </c>
      <c r="S125" s="284">
        <f t="shared" si="779"/>
        <v>63.226528287118626</v>
      </c>
      <c r="T125" s="284">
        <f t="shared" si="779"/>
        <v>62.954937569646525</v>
      </c>
      <c r="U125" s="284">
        <f t="shared" si="779"/>
        <v>62.650109554434302</v>
      </c>
      <c r="V125" s="284">
        <f t="shared" si="779"/>
        <v>62.314896562889572</v>
      </c>
      <c r="W125" s="284">
        <f t="shared" si="779"/>
        <v>61.952040898177991</v>
      </c>
      <c r="X125" s="284">
        <f t="shared" si="779"/>
        <v>61.563534870675099</v>
      </c>
      <c r="Y125" s="284">
        <f t="shared" si="779"/>
        <v>60.608107063843939</v>
      </c>
      <c r="Z125" s="284">
        <f t="shared" si="779"/>
        <v>59.62868427996159</v>
      </c>
      <c r="AA125" s="284">
        <f t="shared" si="779"/>
        <v>58.626037506532576</v>
      </c>
      <c r="AB125" s="284">
        <f t="shared" si="779"/>
        <v>57.597441916487199</v>
      </c>
      <c r="AC125" s="284">
        <f t="shared" si="779"/>
        <v>56.541306125639849</v>
      </c>
      <c r="AD125" s="284">
        <f t="shared" si="779"/>
        <v>55.458171442091263</v>
      </c>
      <c r="AE125" s="284">
        <f t="shared" si="779"/>
        <v>54.344360466352008</v>
      </c>
      <c r="AF125" s="284">
        <f t="shared" si="779"/>
        <v>53.198634394897823</v>
      </c>
      <c r="AG125" s="284">
        <f t="shared" si="779"/>
        <v>52.020797134875643</v>
      </c>
      <c r="AH125" s="284">
        <f t="shared" si="779"/>
        <v>50.812244578711429</v>
      </c>
      <c r="AJ125" s="284">
        <f>AJ119-AJ120-AJ121</f>
        <v>35.702488632554008</v>
      </c>
      <c r="AK125" s="284">
        <f t="shared" ref="AK125:BN125" si="780">AK119-AK120-AK121</f>
        <v>38.905863698273436</v>
      </c>
      <c r="AL125" s="284">
        <f t="shared" si="780"/>
        <v>42.029672584289912</v>
      </c>
      <c r="AM125" s="284">
        <f t="shared" si="780"/>
        <v>45.115787597352806</v>
      </c>
      <c r="AN125" s="284">
        <f t="shared" si="780"/>
        <v>48.164343864915743</v>
      </c>
      <c r="AO125" s="284">
        <f t="shared" si="780"/>
        <v>51.179275585543714</v>
      </c>
      <c r="AP125" s="284">
        <f t="shared" si="780"/>
        <v>54.161298273603641</v>
      </c>
      <c r="AQ125" s="284">
        <f t="shared" si="780"/>
        <v>57.104938161783878</v>
      </c>
      <c r="AR125" s="284">
        <f t="shared" si="780"/>
        <v>60.00996934508062</v>
      </c>
      <c r="AS125" s="284">
        <f t="shared" si="780"/>
        <v>62.8760738838414</v>
      </c>
      <c r="AT125" s="284">
        <f t="shared" si="780"/>
        <v>65.702769678487599</v>
      </c>
      <c r="AU125" s="284">
        <f t="shared" si="780"/>
        <v>66.102071452761848</v>
      </c>
      <c r="AV125" s="284">
        <f t="shared" si="780"/>
        <v>66.476181183084122</v>
      </c>
      <c r="AW125" s="284">
        <f t="shared" si="780"/>
        <v>66.824877137639774</v>
      </c>
      <c r="AX125" s="284">
        <f t="shared" si="780"/>
        <v>67.147738712387408</v>
      </c>
      <c r="AY125" s="284">
        <f t="shared" si="780"/>
        <v>67.444932180226104</v>
      </c>
      <c r="AZ125" s="284">
        <f t="shared" si="780"/>
        <v>67.543388280544846</v>
      </c>
      <c r="BA125" s="284">
        <f t="shared" si="780"/>
        <v>67.616066096064301</v>
      </c>
      <c r="BB125" s="284">
        <f t="shared" si="780"/>
        <v>67.664263625108021</v>
      </c>
      <c r="BC125" s="284">
        <f t="shared" si="780"/>
        <v>67.689227360745946</v>
      </c>
      <c r="BD125" s="284">
        <f t="shared" si="780"/>
        <v>67.691833013501977</v>
      </c>
      <c r="BE125" s="284">
        <f t="shared" si="780"/>
        <v>67.187474850997674</v>
      </c>
      <c r="BF125" s="284">
        <f t="shared" si="780"/>
        <v>66.660901357155254</v>
      </c>
      <c r="BG125" s="284">
        <f t="shared" si="780"/>
        <v>66.113119041612137</v>
      </c>
      <c r="BH125" s="284">
        <f t="shared" si="780"/>
        <v>65.542141419956266</v>
      </c>
      <c r="BI125" s="284">
        <f t="shared" si="780"/>
        <v>64.947114706573146</v>
      </c>
      <c r="BJ125" s="284">
        <f t="shared" si="780"/>
        <v>64.328723030000731</v>
      </c>
      <c r="BK125" s="284">
        <f t="shared" si="780"/>
        <v>63.68470827405983</v>
      </c>
      <c r="BL125" s="284">
        <f t="shared" si="780"/>
        <v>63.014441235256861</v>
      </c>
      <c r="BM125" s="284">
        <f t="shared" si="780"/>
        <v>62.317832469104907</v>
      </c>
      <c r="BN125" s="284">
        <f t="shared" si="780"/>
        <v>61.595609154392982</v>
      </c>
    </row>
    <row r="126" spans="1:67" s="426" customFormat="1" x14ac:dyDescent="0.2">
      <c r="A126" s="425" t="s">
        <v>233</v>
      </c>
      <c r="C126" s="429" t="s">
        <v>153</v>
      </c>
      <c r="D126" s="430">
        <f>'Methanol Recycling HC'!C345</f>
        <v>0.8594591808019032</v>
      </c>
      <c r="E126" s="430">
        <f>'Methanol Recycling HC'!D345</f>
        <v>1.2940707025146438</v>
      </c>
      <c r="F126" s="430">
        <f>'Methanol Recycling HC'!E345</f>
        <v>1.4023798591638856</v>
      </c>
      <c r="G126" s="430">
        <f>'Methanol Recycling HC'!F345</f>
        <v>1.51167654936658</v>
      </c>
      <c r="H126" s="430">
        <f>'Methanol Recycling HC'!G345</f>
        <v>1.6212152767284742</v>
      </c>
      <c r="I126" s="430">
        <f>'Methanol Recycling HC'!H345</f>
        <v>1.7301996447454886</v>
      </c>
      <c r="J126" s="430">
        <f>'Methanol Recycling HC'!I345</f>
        <v>1.8165618741499703</v>
      </c>
      <c r="K126" s="430">
        <f>'Methanol Recycling HC'!J345</f>
        <v>1.9030276082340978</v>
      </c>
      <c r="L126" s="430">
        <f>'Methanol Recycling HC'!K345</f>
        <v>1.9892745278444193</v>
      </c>
      <c r="M126" s="430">
        <f>'Methanol Recycling HC'!L345</f>
        <v>2.0747886738805237</v>
      </c>
      <c r="N126" s="430">
        <f>'Methanol Recycling HC'!M345</f>
        <v>2.1587189708454595</v>
      </c>
      <c r="O126" s="430">
        <f>'Methanol Recycling HC'!N345</f>
        <v>2.1847923868675272</v>
      </c>
      <c r="P126" s="430">
        <f>'Methanol Recycling HC'!O345</f>
        <v>2.2020309750315148</v>
      </c>
      <c r="Q126" s="430">
        <f>'Methanol Recycling HC'!P345</f>
        <v>2.2083292841072049</v>
      </c>
      <c r="R126" s="430">
        <f>'Methanol Recycling HC'!Q345</f>
        <v>2.2029070135447104</v>
      </c>
      <c r="S126" s="430">
        <f>'Methanol Recycling HC'!R345</f>
        <v>2.1853854997485853</v>
      </c>
      <c r="T126" s="430">
        <f>'Methanol Recycling HC'!S345</f>
        <v>2.1664771321826448</v>
      </c>
      <c r="U126" s="430">
        <f>'Methanol Recycling HC'!T345</f>
        <v>2.1423762065120959</v>
      </c>
      <c r="V126" s="430">
        <f>'Methanol Recycling HC'!U345</f>
        <v>2.1159185933362394</v>
      </c>
      <c r="W126" s="430">
        <f>'Methanol Recycling HC'!V345</f>
        <v>2.089816106856432</v>
      </c>
      <c r="X126" s="430">
        <f>'Methanol Recycling HC'!W345</f>
        <v>2.0660147163757228</v>
      </c>
      <c r="Y126" s="430">
        <f>'Methanol Recycling HC'!X345</f>
        <v>1.9839939421939077</v>
      </c>
      <c r="Z126" s="430">
        <f>'Methanol Recycling HC'!Y345</f>
        <v>1.9064800462269746</v>
      </c>
      <c r="AA126" s="430">
        <f>'Methanol Recycling HC'!Z345</f>
        <v>1.8316007457170806</v>
      </c>
      <c r="AB126" s="430">
        <f>'Methanol Recycling HC'!AA345</f>
        <v>1.7589944779803934</v>
      </c>
      <c r="AC126" s="430">
        <f>'Methanol Recycling HC'!AB345</f>
        <v>1.6869898053517631</v>
      </c>
      <c r="AD126" s="430">
        <f>'Methanol Recycling HC'!AC345</f>
        <v>1.6116868343362394</v>
      </c>
      <c r="AE126" s="430">
        <f>'Methanol Recycling HC'!AD345</f>
        <v>1.5336485217701123</v>
      </c>
      <c r="AF126" s="430">
        <f>'Methanol Recycling HC'!AE345</f>
        <v>1.4514633743577459</v>
      </c>
      <c r="AG126" s="430">
        <f>'Methanol Recycling HC'!AF345</f>
        <v>1.3647132113178202</v>
      </c>
      <c r="AH126" s="430">
        <f>'Methanol Recycling HC'!AG345</f>
        <v>1.2745163227272185</v>
      </c>
      <c r="AI126" s="430"/>
      <c r="AJ126" s="430">
        <f>'Methanol Recycling LC'!C345</f>
        <v>0.85946092370731653</v>
      </c>
      <c r="AK126" s="430">
        <f>'Methanol Recycling LC'!D345</f>
        <v>0.95754971579591153</v>
      </c>
      <c r="AL126" s="430">
        <f>'Methanol Recycling LC'!E345</f>
        <v>1.058987962014478</v>
      </c>
      <c r="AM126" s="430">
        <f>'Methanol Recycling LC'!F345</f>
        <v>1.1632358093172204</v>
      </c>
      <c r="AN126" s="430">
        <f>'Methanol Recycling LC'!G345</f>
        <v>1.2696930980255257</v>
      </c>
      <c r="AO126" s="430">
        <f>'Methanol Recycling LC'!H345</f>
        <v>1.3777001571815706</v>
      </c>
      <c r="AP126" s="430">
        <f>'Methanol Recycling LC'!I345</f>
        <v>1.4825919826922034</v>
      </c>
      <c r="AQ126" s="430">
        <f>'Methanol Recycling LC'!J345</f>
        <v>1.5902786591356977</v>
      </c>
      <c r="AR126" s="430">
        <f>'Methanol Recycling LC'!K345</f>
        <v>1.7005620542829241</v>
      </c>
      <c r="AS126" s="430">
        <f>'Methanol Recycling LC'!L345</f>
        <v>1.8131281738804617</v>
      </c>
      <c r="AT126" s="430">
        <f>'Methanol Recycling LC'!M345</f>
        <v>1.9274627404161992</v>
      </c>
      <c r="AU126" s="430">
        <f>'Methanol Recycling LC'!N345</f>
        <v>1.9650792504017278</v>
      </c>
      <c r="AV126" s="430">
        <f>'Methanol Recycling LC'!O345</f>
        <v>1.998438641361644</v>
      </c>
      <c r="AW126" s="430">
        <f>'Methanol Recycling LC'!P345</f>
        <v>2.0264019349245905</v>
      </c>
      <c r="AX126" s="430">
        <f>'Methanol Recycling LC'!Q345</f>
        <v>2.0481440795919905</v>
      </c>
      <c r="AY126" s="430">
        <f>'Methanol Recycling LC'!R345</f>
        <v>2.0631645728555554</v>
      </c>
      <c r="AZ126" s="430">
        <f>'Methanol Recycling LC'!S345</f>
        <v>2.0766571553697215</v>
      </c>
      <c r="BA126" s="430">
        <f>'Methanol Recycling LC'!T345</f>
        <v>2.0883262528097544</v>
      </c>
      <c r="BB126" s="430">
        <f>'Methanol Recycling LC'!U345</f>
        <v>2.0995787747959969</v>
      </c>
      <c r="BC126" s="430">
        <f>'Methanol Recycling LC'!V345</f>
        <v>2.1118025806802758</v>
      </c>
      <c r="BD126" s="430">
        <f>'Methanol Recycling LC'!W345</f>
        <v>2.1260150370964714</v>
      </c>
      <c r="BE126" s="430">
        <f>'Methanol Recycling LC'!X345</f>
        <v>2.0507549523374689</v>
      </c>
      <c r="BF126" s="430">
        <f>'Methanol Recycling LC'!Y345</f>
        <v>1.9789316645845032</v>
      </c>
      <c r="BG126" s="430">
        <f>'Methanol Recycling LC'!Z345</f>
        <v>1.9096118314087969</v>
      </c>
      <c r="BH126" s="430">
        <f>'Methanol Recycling LC'!AA345</f>
        <v>1.8422943257153166</v>
      </c>
      <c r="BI126" s="430">
        <f>'Methanol Recycling LC'!AB345</f>
        <v>1.7759803373980967</v>
      </c>
      <c r="BJ126" s="430">
        <f>'Methanol Recycling LC'!AC345</f>
        <v>1.7094535804416762</v>
      </c>
      <c r="BK126" s="430">
        <f>'Methanol Recycling LC'!AD345</f>
        <v>1.6419385458813225</v>
      </c>
      <c r="BL126" s="430">
        <f>'Methanol Recycling LC'!AE345</f>
        <v>1.5725449136129241</v>
      </c>
      <c r="BM126" s="430">
        <f>'Methanol Recycling LC'!AF345</f>
        <v>1.573256081804431</v>
      </c>
      <c r="BN126" s="430">
        <f>'Methanol Recycling LC'!AG345</f>
        <v>1.568788863629601</v>
      </c>
    </row>
    <row r="127" spans="1:67" s="428" customFormat="1" x14ac:dyDescent="0.2">
      <c r="A127" s="427" t="s">
        <v>234</v>
      </c>
      <c r="C127" s="431" t="s">
        <v>153</v>
      </c>
      <c r="D127" s="432">
        <f>'Methanol Recycling HC'!C346</f>
        <v>9.4561515827997606</v>
      </c>
      <c r="E127" s="432">
        <f>'Methanol Recycling HC'!D346</f>
        <v>10.105402113023466</v>
      </c>
      <c r="F127" s="432">
        <f>'Methanol Recycling HC'!E346</f>
        <v>10.409137857090705</v>
      </c>
      <c r="G127" s="432">
        <f>'Methanol Recycling HC'!F346</f>
        <v>10.693154652830678</v>
      </c>
      <c r="H127" s="432">
        <f>'Methanol Recycling HC'!G346</f>
        <v>10.95535294417631</v>
      </c>
      <c r="I127" s="432">
        <f>'Methanol Recycling HC'!H346</f>
        <v>11.193739738020085</v>
      </c>
      <c r="J127" s="432">
        <f>'Methanol Recycling HC'!I346</f>
        <v>11.295623682027394</v>
      </c>
      <c r="K127" s="432">
        <f>'Methanol Recycling HC'!J346</f>
        <v>11.390895394496857</v>
      </c>
      <c r="L127" s="432">
        <f>'Methanol Recycling HC'!K346</f>
        <v>11.479165307979592</v>
      </c>
      <c r="M127" s="432">
        <f>'Methanol Recycling HC'!L346</f>
        <v>11.559865138340268</v>
      </c>
      <c r="N127" s="432">
        <f>'Methanol Recycling HC'!M346</f>
        <v>11.63210271283951</v>
      </c>
      <c r="O127" s="432">
        <f>'Methanol Recycling HC'!N346</f>
        <v>11.621964081218835</v>
      </c>
      <c r="P127" s="432">
        <f>'Methanol Recycling HC'!O346</f>
        <v>11.582619939884424</v>
      </c>
      <c r="Q127" s="432">
        <f>'Methanol Recycling HC'!P346</f>
        <v>11.510615903490359</v>
      </c>
      <c r="R127" s="432">
        <f>'Methanol Recycling HC'!Q346</f>
        <v>11.407183903596392</v>
      </c>
      <c r="S127" s="432">
        <f>'Methanol Recycling HC'!R346</f>
        <v>11.272487724763794</v>
      </c>
      <c r="T127" s="432">
        <f>'Methanol Recycling HC'!S346</f>
        <v>11.158995023672073</v>
      </c>
      <c r="U127" s="432">
        <f>'Methanol Recycling HC'!T346</f>
        <v>11.038039888123471</v>
      </c>
      <c r="V127" s="432">
        <f>'Methanol Recycling HC'!U346</f>
        <v>10.912512601728503</v>
      </c>
      <c r="W127" s="432">
        <f>'Methanol Recycling HC'!V346</f>
        <v>10.785181280998437</v>
      </c>
      <c r="X127" s="432">
        <f>'Methanol Recycling HC'!W346</f>
        <v>10.658050047917891</v>
      </c>
      <c r="Y127" s="432">
        <f>'Methanol Recycling HC'!X346</f>
        <v>10.470739617630883</v>
      </c>
      <c r="Z127" s="432">
        <f>'Methanol Recycling HC'!Y346</f>
        <v>10.286046829567157</v>
      </c>
      <c r="AA127" s="432">
        <f>'Methanol Recycling HC'!Z346</f>
        <v>10.098206788430096</v>
      </c>
      <c r="AB127" s="432">
        <f>'Methanol Recycling HC'!AA346</f>
        <v>9.9108122874488025</v>
      </c>
      <c r="AC127" s="432">
        <f>'Methanol Recycling HC'!AB346</f>
        <v>9.7222578822106573</v>
      </c>
      <c r="AD127" s="432">
        <f>'Methanol Recycling HC'!AC346</f>
        <v>9.5154585333300972</v>
      </c>
      <c r="AE127" s="432">
        <f>'Methanol Recycling HC'!AD346</f>
        <v>9.304414560125446</v>
      </c>
      <c r="AF127" s="432">
        <f>'Methanol Recycling HC'!AE346</f>
        <v>9.0877907745682993</v>
      </c>
      <c r="AG127" s="432">
        <f>'Methanol Recycling HC'!AF346</f>
        <v>8.8652466689146827</v>
      </c>
      <c r="AH127" s="432">
        <f>'Methanol Recycling HC'!AG346</f>
        <v>8.6379795178849577</v>
      </c>
      <c r="AI127" s="432"/>
      <c r="AJ127" s="432">
        <f>'Methanol Recycling LC'!C346</f>
        <v>9.4561533257051753</v>
      </c>
      <c r="AK127" s="432">
        <f>'Methanol Recycling LC'!D346</f>
        <v>9.7694789498196393</v>
      </c>
      <c r="AL127" s="432">
        <f>'Methanol Recycling LC'!E346</f>
        <v>10.066968498830011</v>
      </c>
      <c r="AM127" s="432">
        <f>'Methanol Recycling LC'!F346</f>
        <v>10.346583866368041</v>
      </c>
      <c r="AN127" s="432">
        <f>'Methanol Recycling LC'!G346</f>
        <v>10.606366267604695</v>
      </c>
      <c r="AO127" s="432">
        <f>'Methanol Recycling LC'!H346</f>
        <v>10.844454549470138</v>
      </c>
      <c r="AP127" s="432">
        <f>'Methanol Recycling LC'!I346</f>
        <v>11.020685408878339</v>
      </c>
      <c r="AQ127" s="432">
        <f>'Methanol Recycling LC'!J346</f>
        <v>11.194446937051826</v>
      </c>
      <c r="AR127" s="432">
        <f>'Methanol Recycling LC'!K346</f>
        <v>11.365404336153819</v>
      </c>
      <c r="AS127" s="432">
        <f>'Methanol Recycling LC'!L346</f>
        <v>11.533115109620738</v>
      </c>
      <c r="AT127" s="432">
        <f>'Methanol Recycling LC'!M346</f>
        <v>11.696945055821676</v>
      </c>
      <c r="AU127" s="432">
        <f>'Methanol Recycling LC'!N346</f>
        <v>11.761206872145278</v>
      </c>
      <c r="AV127" s="432">
        <f>'Methanol Recycling LC'!O346</f>
        <v>11.801130194743365</v>
      </c>
      <c r="AW127" s="432">
        <f>'Methanol Recycling LC'!P346</f>
        <v>11.815143394259781</v>
      </c>
      <c r="AX127" s="432">
        <f>'Methanol Recycling LC'!Q346</f>
        <v>11.80277811101295</v>
      </c>
      <c r="AY127" s="432">
        <f>'Methanol Recycling LC'!R346</f>
        <v>11.763687819387664</v>
      </c>
      <c r="AZ127" s="432">
        <f>'Methanol Recycling LC'!S346</f>
        <v>11.733169710987413</v>
      </c>
      <c r="BA127" s="432">
        <f>'Methanol Recycling LC'!T346</f>
        <v>11.698488204278279</v>
      </c>
      <c r="BB127" s="432">
        <f>'Methanol Recycling LC'!U346</f>
        <v>11.661068136127504</v>
      </c>
      <c r="BC127" s="432">
        <f>'Methanol Recycling LC'!V346</f>
        <v>11.622316875363241</v>
      </c>
      <c r="BD127" s="432">
        <f>'Methanol Recycling LC'!W346</f>
        <v>11.583272874033177</v>
      </c>
      <c r="BE127" s="432">
        <f>'Methanol Recycling LC'!X346</f>
        <v>11.452610522888254</v>
      </c>
      <c r="BF127" s="432">
        <f>'Methanol Recycling LC'!Y346</f>
        <v>11.323252239670772</v>
      </c>
      <c r="BG127" s="432">
        <f>'Methanol Recycling LC'!Z346</f>
        <v>11.193031072216883</v>
      </c>
      <c r="BH127" s="432">
        <f>'Methanol Recycling LC'!AA346</f>
        <v>11.062697409939137</v>
      </c>
      <c r="BI127" s="432">
        <f>'Methanol Recycling LC'!AB346</f>
        <v>10.931280075497643</v>
      </c>
      <c r="BJ127" s="432">
        <f>'Methanol Recycling LC'!AC346</f>
        <v>10.791013977180944</v>
      </c>
      <c r="BK127" s="432">
        <f>'Methanol Recycling LC'!AD346</f>
        <v>10.64783800511044</v>
      </c>
      <c r="BL127" s="432">
        <f>'Methanol Recycling LC'!AE346</f>
        <v>10.50089629526863</v>
      </c>
      <c r="BM127" s="432">
        <f>'Methanol Recycling LC'!AF346</f>
        <v>10.338224740739266</v>
      </c>
      <c r="BN127" s="432">
        <f>'Methanol Recycling LC'!AG346</f>
        <v>10.16976530939719</v>
      </c>
    </row>
    <row r="128" spans="1:67" x14ac:dyDescent="0.2">
      <c r="A128" s="102" t="s">
        <v>254</v>
      </c>
      <c r="D128" s="44">
        <f>D116+D5</f>
        <v>102.16223893794904</v>
      </c>
      <c r="E128" s="44">
        <f t="shared" ref="E128:AH128" si="781">E116</f>
        <v>74.512785998724425</v>
      </c>
      <c r="F128" s="44">
        <f t="shared" si="781"/>
        <v>77.911176239356308</v>
      </c>
      <c r="G128" s="44">
        <f t="shared" si="781"/>
        <v>81.231517934908823</v>
      </c>
      <c r="H128" s="44">
        <f t="shared" si="781"/>
        <v>84.473580328601344</v>
      </c>
      <c r="I128" s="44">
        <f t="shared" si="781"/>
        <v>87.650284019997329</v>
      </c>
      <c r="J128" s="44">
        <f t="shared" si="781"/>
        <v>90.743158963715786</v>
      </c>
      <c r="K128" s="44">
        <f t="shared" si="781"/>
        <v>93.75561343241715</v>
      </c>
      <c r="L128" s="44">
        <f t="shared" si="781"/>
        <v>96.687097788499571</v>
      </c>
      <c r="M128" s="44">
        <f t="shared" si="781"/>
        <v>99.537059921586547</v>
      </c>
      <c r="N128" s="44">
        <f t="shared" si="781"/>
        <v>102.30494610652059</v>
      </c>
      <c r="O128" s="44">
        <f t="shared" si="781"/>
        <v>101.2868127231779</v>
      </c>
      <c r="P128" s="44">
        <f t="shared" si="781"/>
        <v>100.16831979944175</v>
      </c>
      <c r="Q128" s="44">
        <f t="shared" si="781"/>
        <v>98.947878074988068</v>
      </c>
      <c r="R128" s="44">
        <f t="shared" si="781"/>
        <v>97.62343118582082</v>
      </c>
      <c r="S128" s="44">
        <f t="shared" si="781"/>
        <v>96.193048210334069</v>
      </c>
      <c r="T128" s="44">
        <f t="shared" si="781"/>
        <v>94.470727377023536</v>
      </c>
      <c r="U128" s="44">
        <f t="shared" si="781"/>
        <v>92.63648635110745</v>
      </c>
      <c r="V128" s="44">
        <f t="shared" si="781"/>
        <v>90.687601224955827</v>
      </c>
      <c r="W128" s="44">
        <f t="shared" si="781"/>
        <v>88.621294662655842</v>
      </c>
      <c r="X128" s="44">
        <f t="shared" si="781"/>
        <v>86.434737218204233</v>
      </c>
      <c r="Y128" s="44">
        <f t="shared" si="781"/>
        <v>84.39743913573642</v>
      </c>
      <c r="Z128" s="44">
        <f t="shared" si="781"/>
        <v>82.27318793447597</v>
      </c>
      <c r="AA128" s="44">
        <f t="shared" si="781"/>
        <v>80.062016606977409</v>
      </c>
      <c r="AB128" s="44">
        <f t="shared" si="781"/>
        <v>77.760946572662206</v>
      </c>
      <c r="AC128" s="44">
        <f t="shared" si="781"/>
        <v>75.36835071352273</v>
      </c>
      <c r="AD128" s="44">
        <f t="shared" si="781"/>
        <v>72.885136900991782</v>
      </c>
      <c r="AE128" s="44">
        <f t="shared" si="781"/>
        <v>70.3076472564033</v>
      </c>
      <c r="AF128" s="44">
        <f t="shared" si="781"/>
        <v>67.634353158524561</v>
      </c>
      <c r="AG128" s="44">
        <f t="shared" si="781"/>
        <v>64.863762075746465</v>
      </c>
      <c r="AH128" s="44">
        <f t="shared" si="781"/>
        <v>61.994426733108149</v>
      </c>
      <c r="AI128" s="44"/>
      <c r="AJ128" s="44">
        <f>AJ116+AJ5</f>
        <v>102.16223893794904</v>
      </c>
      <c r="AK128" s="44">
        <f t="shared" ref="AK128:BN128" si="782">AK116</f>
        <v>74.6841065446622</v>
      </c>
      <c r="AL128" s="44">
        <f t="shared" si="782"/>
        <v>78.27943788994979</v>
      </c>
      <c r="AM128" s="44">
        <f t="shared" si="782"/>
        <v>81.82221381727949</v>
      </c>
      <c r="AN128" s="44">
        <f t="shared" si="782"/>
        <v>85.312072126872479</v>
      </c>
      <c r="AO128" s="44">
        <f t="shared" si="782"/>
        <v>88.76179784565818</v>
      </c>
      <c r="AP128" s="44">
        <f t="shared" si="782"/>
        <v>92.15278110441578</v>
      </c>
      <c r="AQ128" s="44">
        <f t="shared" si="782"/>
        <v>95.488285975763446</v>
      </c>
      <c r="AR128" s="44">
        <f t="shared" si="782"/>
        <v>98.767614117337118</v>
      </c>
      <c r="AS128" s="44">
        <f t="shared" si="782"/>
        <v>101.99006007714418</v>
      </c>
      <c r="AT128" s="44">
        <f t="shared" si="782"/>
        <v>105.15491201570755</v>
      </c>
      <c r="AU128" s="44">
        <f t="shared" si="782"/>
        <v>104.51430065120225</v>
      </c>
      <c r="AV128" s="44">
        <f t="shared" si="782"/>
        <v>103.78221581215725</v>
      </c>
      <c r="AW128" s="44">
        <f t="shared" si="782"/>
        <v>102.95697336631167</v>
      </c>
      <c r="AX128" s="44">
        <f t="shared" si="782"/>
        <v>102.03641886359449</v>
      </c>
      <c r="AY128" s="44">
        <f t="shared" si="782"/>
        <v>101.01851997944061</v>
      </c>
      <c r="AZ128" s="44">
        <f t="shared" si="782"/>
        <v>99.706610116636313</v>
      </c>
      <c r="BA128" s="44">
        <f t="shared" si="782"/>
        <v>98.289838582862728</v>
      </c>
      <c r="BB128" s="44">
        <f t="shared" si="782"/>
        <v>96.765369468744012</v>
      </c>
      <c r="BC128" s="44">
        <f t="shared" si="782"/>
        <v>95.130309676630688</v>
      </c>
      <c r="BD128" s="44">
        <f t="shared" si="782"/>
        <v>93.381710119511894</v>
      </c>
      <c r="BE128" s="44">
        <f t="shared" si="782"/>
        <v>91.860102329537781</v>
      </c>
      <c r="BF128" s="44">
        <f t="shared" si="782"/>
        <v>90.258624652542522</v>
      </c>
      <c r="BG128" s="44">
        <f t="shared" si="782"/>
        <v>88.577258113870982</v>
      </c>
      <c r="BH128" s="44">
        <f t="shared" si="782"/>
        <v>86.812969632685224</v>
      </c>
      <c r="BI128" s="44">
        <f t="shared" si="782"/>
        <v>84.964074959384433</v>
      </c>
      <c r="BJ128" s="44">
        <f t="shared" si="782"/>
        <v>83.031422100855849</v>
      </c>
      <c r="BK128" s="44">
        <f t="shared" si="782"/>
        <v>81.011290475877871</v>
      </c>
      <c r="BL128" s="44">
        <f t="shared" si="782"/>
        <v>78.902085814049656</v>
      </c>
      <c r="BM128" s="44">
        <f t="shared" si="782"/>
        <v>76.702246875723162</v>
      </c>
      <c r="BN128" s="44">
        <f t="shared" si="782"/>
        <v>74.410254503001227</v>
      </c>
    </row>
  </sheetData>
  <mergeCells count="18">
    <mergeCell ref="A94:A96"/>
    <mergeCell ref="A103:A105"/>
    <mergeCell ref="A111:A113"/>
    <mergeCell ref="A117:A119"/>
    <mergeCell ref="A123:A125"/>
    <mergeCell ref="D1:AH1"/>
    <mergeCell ref="AJ1:BN1"/>
    <mergeCell ref="A81:A83"/>
    <mergeCell ref="A87:A89"/>
    <mergeCell ref="A7:A9"/>
    <mergeCell ref="A15:A17"/>
    <mergeCell ref="A26:A28"/>
    <mergeCell ref="A37:A39"/>
    <mergeCell ref="A44:A46"/>
    <mergeCell ref="A53:A55"/>
    <mergeCell ref="A60:A62"/>
    <mergeCell ref="A66:A68"/>
    <mergeCell ref="A73:A75"/>
  </mergeCells>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C5642-89C9-4C4F-847C-7C5A2116916C}">
  <sheetPr>
    <tabColor theme="9"/>
  </sheetPr>
  <dimension ref="A2:AU278"/>
  <sheetViews>
    <sheetView zoomScale="85" zoomScaleNormal="85" workbookViewId="0">
      <pane xSplit="3" ySplit="3" topLeftCell="D154" activePane="bottomRight" state="frozen"/>
      <selection pane="topRight" activeCell="B152" sqref="B152"/>
      <selection pane="bottomLeft" activeCell="B152" sqref="B152"/>
      <selection pane="bottomRight" activeCell="AH157" sqref="AH157"/>
    </sheetView>
  </sheetViews>
  <sheetFormatPr baseColWidth="10" defaultColWidth="8.83203125" defaultRowHeight="15" outlineLevelRow="1" outlineLevelCol="1" x14ac:dyDescent="0.2"/>
  <cols>
    <col min="1" max="1" width="29.5" style="1" customWidth="1"/>
    <col min="2" max="2" width="57.5" style="1" customWidth="1"/>
    <col min="3" max="3" width="10.5" customWidth="1"/>
    <col min="4" max="4" width="9.5" customWidth="1"/>
    <col min="5" max="13" width="8.83203125" hidden="1" customWidth="1" outlineLevel="1"/>
    <col min="14" max="14" width="8.83203125" collapsed="1"/>
    <col min="15" max="23" width="8.83203125" hidden="1" customWidth="1" outlineLevel="1"/>
    <col min="24" max="24" width="8.83203125" collapsed="1"/>
    <col min="25" max="33" width="8.83203125" hidden="1" customWidth="1" outlineLevel="1"/>
    <col min="34" max="34" width="8.83203125" collapsed="1"/>
    <col min="36" max="36" width="18.5" customWidth="1"/>
    <col min="37" max="47" width="15.5" customWidth="1"/>
  </cols>
  <sheetData>
    <row r="2" spans="1:41" s="53" customFormat="1" x14ac:dyDescent="0.2">
      <c r="A2" s="52" t="s">
        <v>255</v>
      </c>
      <c r="B2" s="52"/>
      <c r="C2" s="52"/>
    </row>
    <row r="3" spans="1:41" s="1" customFormat="1" x14ac:dyDescent="0.2">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row>
    <row r="4" spans="1:41" x14ac:dyDescent="0.2">
      <c r="A4" s="1" t="s">
        <v>256</v>
      </c>
      <c r="C4" s="54" t="s">
        <v>153</v>
      </c>
      <c r="D4" s="44">
        <f>'Yearly Demand - Eth&amp;Prop'!N3</f>
        <v>162.69230769230768</v>
      </c>
      <c r="E4" s="44">
        <f>'Yearly Demand - Eth&amp;Prop'!O3</f>
        <v>166.71878063819926</v>
      </c>
      <c r="F4" s="44">
        <f>'Yearly Demand - Eth&amp;Prop'!P3</f>
        <v>170.84490478834238</v>
      </c>
      <c r="G4" s="44">
        <f>'Yearly Demand - Eth&amp;Prop'!Q3</f>
        <v>175.07314641101752</v>
      </c>
      <c r="H4" s="44">
        <f>'Yearly Demand - Eth&amp;Prop'!R3</f>
        <v>179.40603281219435</v>
      </c>
      <c r="I4" s="44">
        <f>'Yearly Demand - Eth&amp;Prop'!S3</f>
        <v>183.84615384615384</v>
      </c>
      <c r="J4" s="44">
        <f>'Yearly Demand - Eth&amp;Prop'!T3</f>
        <v>187.89464856761026</v>
      </c>
      <c r="K4" s="44">
        <f>'Yearly Demand - Eth&amp;Prop'!U3</f>
        <v>192.03229560020711</v>
      </c>
      <c r="L4" s="44">
        <f>'Yearly Demand - Eth&amp;Prop'!V3</f>
        <v>196.26105817599196</v>
      </c>
      <c r="M4" s="44">
        <f>'Yearly Demand - Eth&amp;Prop'!W3</f>
        <v>200.58294275954361</v>
      </c>
      <c r="N4" s="44">
        <f>'Yearly Demand - Eth&amp;Prop'!X3</f>
        <v>205</v>
      </c>
      <c r="O4" s="44">
        <f>'Yearly Demand - Eth&amp;Prop'!Y3</f>
        <v>207.44116419514421</v>
      </c>
      <c r="P4" s="44">
        <f>'Yearly Demand - Eth&amp;Prop'!Z3</f>
        <v>209.91139806164284</v>
      </c>
      <c r="Q4" s="44">
        <f>'Yearly Demand - Eth&amp;Prop'!AA3</f>
        <v>212.41104776457331</v>
      </c>
      <c r="R4" s="44">
        <f>'Yearly Demand - Eth&amp;Prop'!AB3</f>
        <v>214.94046359118767</v>
      </c>
      <c r="S4" s="44">
        <f>'Yearly Demand - Eth&amp;Prop'!AC3</f>
        <v>217.5</v>
      </c>
      <c r="T4" s="44">
        <f>'Yearly Demand - Eth&amp;Prop'!AD3</f>
        <v>219.94443410654205</v>
      </c>
      <c r="U4" s="44">
        <f>'Yearly Demand - Eth&amp;Prop'!AE3</f>
        <v>222.41634066412422</v>
      </c>
      <c r="V4" s="44">
        <f>'Yearly Demand - Eth&amp;Prop'!AF3</f>
        <v>224.91602842951116</v>
      </c>
      <c r="W4" s="44">
        <f>'Yearly Demand - Eth&amp;Prop'!AG3</f>
        <v>227.4438096295161</v>
      </c>
      <c r="X4" s="44">
        <f>'Yearly Demand - Eth&amp;Prop'!AH3</f>
        <v>230</v>
      </c>
      <c r="Y4" s="44">
        <f>'Yearly Demand - Eth&amp;Prop'!AI3</f>
        <v>232.44735963345383</v>
      </c>
      <c r="Z4" s="44">
        <f>'Yearly Demand - Eth&amp;Prop'!AJ3</f>
        <v>234.92076087201835</v>
      </c>
      <c r="AA4" s="44">
        <f>'Yearly Demand - Eth&amp;Prop'!AK3</f>
        <v>237.42048081644634</v>
      </c>
      <c r="AB4" s="44">
        <f>'Yearly Demand - Eth&amp;Prop'!AL3</f>
        <v>239.9467995160349</v>
      </c>
      <c r="AC4" s="44">
        <f>'Yearly Demand - Eth&amp;Prop'!AM3</f>
        <v>242.5</v>
      </c>
      <c r="AD4" s="44">
        <f>'Yearly Demand - Eth&amp;Prop'!AN3</f>
        <v>244.9499924675749</v>
      </c>
      <c r="AE4" s="44">
        <f>'Yearly Demand - Eth&amp;Prop'!AO3</f>
        <v>247.42473736026807</v>
      </c>
      <c r="AF4" s="44">
        <f>'Yearly Demand - Eth&amp;Prop'!AP3</f>
        <v>249.9244847533582</v>
      </c>
      <c r="AG4" s="44">
        <f>'Yearly Demand - Eth&amp;Prop'!AQ3</f>
        <v>252.44948724865003</v>
      </c>
      <c r="AH4" s="44">
        <f>'Yearly Demand - Eth&amp;Prop'!AR3</f>
        <v>255</v>
      </c>
    </row>
    <row r="5" spans="1:41" s="67" customFormat="1" x14ac:dyDescent="0.2">
      <c r="A5" s="687" t="s">
        <v>257</v>
      </c>
      <c r="B5" s="58" t="s">
        <v>258</v>
      </c>
      <c r="C5" s="59" t="s">
        <v>153</v>
      </c>
      <c r="D5" s="60">
        <f>D4*'Demand Breakdown - Ethylene'!$C$6</f>
        <v>99.242307692307676</v>
      </c>
      <c r="E5" s="60">
        <f>E4*'Demand Breakdown - Ethylene'!$C$6</f>
        <v>101.69845618930155</v>
      </c>
      <c r="F5" s="60">
        <f>F4*'Demand Breakdown - Ethylene'!$C$6</f>
        <v>104.21539192088885</v>
      </c>
      <c r="G5" s="60">
        <f>G4*'Demand Breakdown - Ethylene'!$C$6</f>
        <v>106.79461931072068</v>
      </c>
      <c r="H5" s="60">
        <f>H4*'Demand Breakdown - Ethylene'!$C$6</f>
        <v>109.43768001543856</v>
      </c>
      <c r="I5" s="60">
        <f>I4*'Demand Breakdown - Ethylene'!$C$6</f>
        <v>112.14615384615384</v>
      </c>
      <c r="J5" s="60">
        <f>J4*'Demand Breakdown - Ethylene'!$C$6</f>
        <v>114.61573562624226</v>
      </c>
      <c r="K5" s="60">
        <f>K4*'Demand Breakdown - Ethylene'!$C$6</f>
        <v>117.13970031612634</v>
      </c>
      <c r="L5" s="60">
        <f>L4*'Demand Breakdown - Ethylene'!$C$6</f>
        <v>119.7192454873551</v>
      </c>
      <c r="M5" s="60">
        <f>M4*'Demand Breakdown - Ethylene'!$C$6</f>
        <v>122.3555950833216</v>
      </c>
      <c r="N5" s="60">
        <f>N4*'Demand Breakdown - Ethylene'!$C$6</f>
        <v>125.05</v>
      </c>
      <c r="O5" s="60">
        <f>O4*'Demand Breakdown - Ethylene'!$C$6</f>
        <v>126.53911015903796</v>
      </c>
      <c r="P5" s="60">
        <f>P4*'Demand Breakdown - Ethylene'!$C$6</f>
        <v>128.04595281760214</v>
      </c>
      <c r="Q5" s="60">
        <f>Q4*'Demand Breakdown - Ethylene'!$C$6</f>
        <v>129.5707391363897</v>
      </c>
      <c r="R5" s="60">
        <f>R4*'Demand Breakdown - Ethylene'!$C$6</f>
        <v>131.11368279062447</v>
      </c>
      <c r="S5" s="60">
        <f>S4*'Demand Breakdown - Ethylene'!$C$6</f>
        <v>132.67499999999998</v>
      </c>
      <c r="T5" s="60">
        <f>T4*'Demand Breakdown - Ethylene'!$C$6</f>
        <v>134.16610480499065</v>
      </c>
      <c r="U5" s="60">
        <f>U4*'Demand Breakdown - Ethylene'!$C$6</f>
        <v>135.67396780511578</v>
      </c>
      <c r="V5" s="60">
        <f>V4*'Demand Breakdown - Ethylene'!$C$6</f>
        <v>137.19877734200179</v>
      </c>
      <c r="W5" s="60">
        <f>W4*'Demand Breakdown - Ethylene'!$C$6</f>
        <v>138.74072387400483</v>
      </c>
      <c r="X5" s="60">
        <f>X4*'Demand Breakdown - Ethylene'!$C$6</f>
        <v>140.29999999999998</v>
      </c>
      <c r="Y5" s="60">
        <f>Y4*'Demand Breakdown - Ethylene'!$C$6</f>
        <v>141.79288937640683</v>
      </c>
      <c r="Z5" s="60">
        <f>Z4*'Demand Breakdown - Ethylene'!$C$6</f>
        <v>143.30166413193118</v>
      </c>
      <c r="AA5" s="60">
        <f>AA4*'Demand Breakdown - Ethylene'!$C$6</f>
        <v>144.82649329803226</v>
      </c>
      <c r="AB5" s="60">
        <f>AB4*'Demand Breakdown - Ethylene'!$C$6</f>
        <v>146.36754770478129</v>
      </c>
      <c r="AC5" s="60">
        <f>AC4*'Demand Breakdown - Ethylene'!$C$6</f>
        <v>147.92499999999998</v>
      </c>
      <c r="AD5" s="60">
        <f>AD4*'Demand Breakdown - Ethylene'!$C$6</f>
        <v>149.41949540522069</v>
      </c>
      <c r="AE5" s="60">
        <f>AE4*'Demand Breakdown - Ethylene'!$C$6</f>
        <v>150.92908978976351</v>
      </c>
      <c r="AF5" s="60">
        <f>AF4*'Demand Breakdown - Ethylene'!$C$6</f>
        <v>152.45393569954851</v>
      </c>
      <c r="AG5" s="60">
        <f>AG4*'Demand Breakdown - Ethylene'!$C$6</f>
        <v>153.99418722167653</v>
      </c>
      <c r="AH5" s="60">
        <f>AH4*'Demand Breakdown - Ethylene'!$C$6</f>
        <v>155.54999999999998</v>
      </c>
      <c r="AM5" s="67" t="s">
        <v>259</v>
      </c>
      <c r="AN5" s="67">
        <v>2020</v>
      </c>
    </row>
    <row r="6" spans="1:41" x14ac:dyDescent="0.2">
      <c r="A6" s="688"/>
      <c r="B6" s="1" t="s">
        <v>260</v>
      </c>
      <c r="C6" s="54" t="s">
        <v>153</v>
      </c>
      <c r="D6" s="44">
        <f>D4*'Demand Breakdown - Ethylene'!$C$7</f>
        <v>22.776923076923076</v>
      </c>
      <c r="E6" s="44">
        <f>E4*'Demand Breakdown - Ethylene'!$C$7</f>
        <v>23.340629289347898</v>
      </c>
      <c r="F6" s="44">
        <f>F4*'Demand Breakdown - Ethylene'!$C$7</f>
        <v>23.918286670367934</v>
      </c>
      <c r="G6" s="44">
        <f>G4*'Demand Breakdown - Ethylene'!$C$7</f>
        <v>24.510240497542455</v>
      </c>
      <c r="H6" s="44">
        <f>H4*'Demand Breakdown - Ethylene'!$C$7</f>
        <v>25.116844593707214</v>
      </c>
      <c r="I6" s="44">
        <f>I4*'Demand Breakdown - Ethylene'!$C$7</f>
        <v>25.738461538461539</v>
      </c>
      <c r="J6" s="44">
        <f>J4*'Demand Breakdown - Ethylene'!$C$7</f>
        <v>26.305250799465441</v>
      </c>
      <c r="K6" s="44">
        <f>K4*'Demand Breakdown - Ethylene'!$C$7</f>
        <v>26.884521384028996</v>
      </c>
      <c r="L6" s="44">
        <f>L4*'Demand Breakdown - Ethylene'!$C$7</f>
        <v>27.476548144638876</v>
      </c>
      <c r="M6" s="44">
        <f>M4*'Demand Breakdown - Ethylene'!$C$7</f>
        <v>28.08161198633611</v>
      </c>
      <c r="N6" s="44">
        <f>N4*'Demand Breakdown - Ethylene'!$C$7</f>
        <v>28.700000000000003</v>
      </c>
      <c r="O6" s="44">
        <f>O4*'Demand Breakdown - Ethylene'!$C$7</f>
        <v>29.041762987320194</v>
      </c>
      <c r="P6" s="44">
        <f>P4*'Demand Breakdown - Ethylene'!$C$7</f>
        <v>29.38759572863</v>
      </c>
      <c r="Q6" s="44">
        <f>Q4*'Demand Breakdown - Ethylene'!$C$7</f>
        <v>29.737546687040265</v>
      </c>
      <c r="R6" s="44">
        <f>R4*'Demand Breakdown - Ethylene'!$C$7</f>
        <v>30.091664902766276</v>
      </c>
      <c r="S6" s="44">
        <f>S4*'Demand Breakdown - Ethylene'!$C$7</f>
        <v>30.450000000000003</v>
      </c>
      <c r="T6" s="44">
        <f>T4*'Demand Breakdown - Ethylene'!$C$7</f>
        <v>30.79222077491589</v>
      </c>
      <c r="U6" s="44">
        <f>U4*'Demand Breakdown - Ethylene'!$C$7</f>
        <v>31.138287692977393</v>
      </c>
      <c r="V6" s="44">
        <f>V4*'Demand Breakdown - Ethylene'!$C$7</f>
        <v>31.488243980131564</v>
      </c>
      <c r="W6" s="44">
        <f>W4*'Demand Breakdown - Ethylene'!$C$7</f>
        <v>31.842133348132258</v>
      </c>
      <c r="X6" s="44">
        <f>X4*'Demand Breakdown - Ethylene'!$C$7</f>
        <v>32.200000000000003</v>
      </c>
      <c r="Y6" s="44">
        <f>Y4*'Demand Breakdown - Ethylene'!$C$7</f>
        <v>32.542630348683538</v>
      </c>
      <c r="Z6" s="44">
        <f>Z4*'Demand Breakdown - Ethylene'!$C$7</f>
        <v>32.888906522082571</v>
      </c>
      <c r="AA6" s="44">
        <f>AA4*'Demand Breakdown - Ethylene'!$C$7</f>
        <v>33.238867314302489</v>
      </c>
      <c r="AB6" s="44">
        <f>AB4*'Demand Breakdown - Ethylene'!$C$7</f>
        <v>33.592551932244888</v>
      </c>
      <c r="AC6" s="44">
        <f>AC4*'Demand Breakdown - Ethylene'!$C$7</f>
        <v>33.950000000000003</v>
      </c>
      <c r="AD6" s="44">
        <f>AD4*'Demand Breakdown - Ethylene'!$C$7</f>
        <v>34.292998945460489</v>
      </c>
      <c r="AE6" s="44">
        <f>AE4*'Demand Breakdown - Ethylene'!$C$7</f>
        <v>34.639463230437535</v>
      </c>
      <c r="AF6" s="44">
        <f>AF4*'Demand Breakdown - Ethylene'!$C$7</f>
        <v>34.989427865470148</v>
      </c>
      <c r="AG6" s="44">
        <f>AG4*'Demand Breakdown - Ethylene'!$C$7</f>
        <v>35.34292821481101</v>
      </c>
      <c r="AH6" s="44">
        <f>AH4*'Demand Breakdown - Ethylene'!$C$7</f>
        <v>35.700000000000003</v>
      </c>
      <c r="AM6" s="58" t="s">
        <v>261</v>
      </c>
      <c r="AN6" s="44">
        <f>D5</f>
        <v>99.242307692307676</v>
      </c>
      <c r="AO6" s="44">
        <f>AN6</f>
        <v>99.242307692307676</v>
      </c>
    </row>
    <row r="7" spans="1:41" x14ac:dyDescent="0.2">
      <c r="A7" s="688"/>
      <c r="B7" s="1" t="s">
        <v>262</v>
      </c>
      <c r="C7" s="54" t="s">
        <v>153</v>
      </c>
      <c r="D7" s="44">
        <f>D4*'Demand Breakdown - Ethylene'!$C$8</f>
        <v>19.523076923076921</v>
      </c>
      <c r="E7" s="44">
        <f>E4*'Demand Breakdown - Ethylene'!$C$8</f>
        <v>20.00625367658391</v>
      </c>
      <c r="F7" s="44">
        <f>F4*'Demand Breakdown - Ethylene'!$C$8</f>
        <v>20.501388574601084</v>
      </c>
      <c r="G7" s="44">
        <f>G4*'Demand Breakdown - Ethylene'!$C$8</f>
        <v>21.008777569322103</v>
      </c>
      <c r="H7" s="44">
        <f>H4*'Demand Breakdown - Ethylene'!$C$8</f>
        <v>21.528723937463322</v>
      </c>
      <c r="I7" s="44">
        <f>I4*'Demand Breakdown - Ethylene'!$C$8</f>
        <v>22.061538461538461</v>
      </c>
      <c r="J7" s="44">
        <f>J4*'Demand Breakdown - Ethylene'!$C$8</f>
        <v>22.547357828113231</v>
      </c>
      <c r="K7" s="44">
        <f>K4*'Demand Breakdown - Ethylene'!$C$8</f>
        <v>23.043875472024851</v>
      </c>
      <c r="L7" s="44">
        <f>L4*'Demand Breakdown - Ethylene'!$C$8</f>
        <v>23.551326981119036</v>
      </c>
      <c r="M7" s="44">
        <f>M4*'Demand Breakdown - Ethylene'!$C$8</f>
        <v>24.069953131145233</v>
      </c>
      <c r="N7" s="44">
        <f>N4*'Demand Breakdown - Ethylene'!$C$8</f>
        <v>24.599999999999998</v>
      </c>
      <c r="O7" s="44">
        <f>O4*'Demand Breakdown - Ethylene'!$C$8</f>
        <v>24.892939703417305</v>
      </c>
      <c r="P7" s="44">
        <f>P4*'Demand Breakdown - Ethylene'!$C$8</f>
        <v>25.18936776739714</v>
      </c>
      <c r="Q7" s="44">
        <f>Q4*'Demand Breakdown - Ethylene'!$C$8</f>
        <v>25.489325731748796</v>
      </c>
      <c r="R7" s="44">
        <f>R4*'Demand Breakdown - Ethylene'!$C$8</f>
        <v>25.792855630942519</v>
      </c>
      <c r="S7" s="44">
        <f>S4*'Demand Breakdown - Ethylene'!$C$8</f>
        <v>26.099999999999998</v>
      </c>
      <c r="T7" s="44">
        <f>T4*'Demand Breakdown - Ethylene'!$C$8</f>
        <v>26.393332092785045</v>
      </c>
      <c r="U7" s="44">
        <f>U4*'Demand Breakdown - Ethylene'!$C$8</f>
        <v>26.689960879694905</v>
      </c>
      <c r="V7" s="44">
        <f>V4*'Demand Breakdown - Ethylene'!$C$8</f>
        <v>26.989923411541337</v>
      </c>
      <c r="W7" s="44">
        <f>W4*'Demand Breakdown - Ethylene'!$C$8</f>
        <v>27.29325715554193</v>
      </c>
      <c r="X7" s="44">
        <f>X4*'Demand Breakdown - Ethylene'!$C$8</f>
        <v>27.599999999999998</v>
      </c>
      <c r="Y7" s="44">
        <f>Y4*'Demand Breakdown - Ethylene'!$C$8</f>
        <v>27.893683156014458</v>
      </c>
      <c r="Z7" s="44">
        <f>Z4*'Demand Breakdown - Ethylene'!$C$8</f>
        <v>28.190491304642201</v>
      </c>
      <c r="AA7" s="44">
        <f>AA4*'Demand Breakdown - Ethylene'!$C$8</f>
        <v>28.490457697973561</v>
      </c>
      <c r="AB7" s="44">
        <f>AB4*'Demand Breakdown - Ethylene'!$C$8</f>
        <v>28.793615941924187</v>
      </c>
      <c r="AC7" s="44">
        <f>AC4*'Demand Breakdown - Ethylene'!$C$8</f>
        <v>29.099999999999998</v>
      </c>
      <c r="AD7" s="44">
        <f>AD4*'Demand Breakdown - Ethylene'!$C$8</f>
        <v>29.393999096108988</v>
      </c>
      <c r="AE7" s="44">
        <f>AE4*'Demand Breakdown - Ethylene'!$C$8</f>
        <v>29.690968483232169</v>
      </c>
      <c r="AF7" s="44">
        <f>AF4*'Demand Breakdown - Ethylene'!$C$8</f>
        <v>29.990938170402984</v>
      </c>
      <c r="AG7" s="44">
        <f>AG4*'Demand Breakdown - Ethylene'!$C$8</f>
        <v>30.293938469838004</v>
      </c>
      <c r="AH7" s="44">
        <f>AH4*'Demand Breakdown - Ethylene'!$C$8</f>
        <v>30.599999999999998</v>
      </c>
      <c r="AM7" s="1" t="s">
        <v>260</v>
      </c>
      <c r="AN7" s="44">
        <f t="shared" ref="AN7:AN8" si="1">D6</f>
        <v>22.776923076923076</v>
      </c>
      <c r="AO7" s="44">
        <f>AN7*44/28</f>
        <v>35.792307692307688</v>
      </c>
    </row>
    <row r="8" spans="1:41" s="68" customFormat="1" x14ac:dyDescent="0.2">
      <c r="A8" s="689"/>
      <c r="B8" s="62" t="s">
        <v>248</v>
      </c>
      <c r="C8" s="283" t="s">
        <v>153</v>
      </c>
      <c r="D8" s="284">
        <f t="shared" ref="D8:AH8" si="2">D4-SUM(D6,D5,D7)</f>
        <v>21.150000000000006</v>
      </c>
      <c r="E8" s="284">
        <f t="shared" si="2"/>
        <v>21.673441482965899</v>
      </c>
      <c r="F8" s="284">
        <f t="shared" si="2"/>
        <v>22.209837622484486</v>
      </c>
      <c r="G8" s="284">
        <f t="shared" si="2"/>
        <v>22.759509033432295</v>
      </c>
      <c r="H8" s="284">
        <f t="shared" si="2"/>
        <v>23.322784265585256</v>
      </c>
      <c r="I8" s="284">
        <f t="shared" si="2"/>
        <v>23.900000000000006</v>
      </c>
      <c r="J8" s="284">
        <f t="shared" si="2"/>
        <v>24.426304313789331</v>
      </c>
      <c r="K8" s="284">
        <f t="shared" si="2"/>
        <v>24.964198428026947</v>
      </c>
      <c r="L8" s="284">
        <f t="shared" si="2"/>
        <v>25.513937562878937</v>
      </c>
      <c r="M8" s="284">
        <f t="shared" si="2"/>
        <v>26.075782558740656</v>
      </c>
      <c r="N8" s="284">
        <f t="shared" si="2"/>
        <v>26.650000000000006</v>
      </c>
      <c r="O8" s="284">
        <f t="shared" si="2"/>
        <v>26.967351345368741</v>
      </c>
      <c r="P8" s="284">
        <f t="shared" si="2"/>
        <v>27.288481748013567</v>
      </c>
      <c r="Q8" s="284">
        <f t="shared" si="2"/>
        <v>27.613436209394536</v>
      </c>
      <c r="R8" s="284">
        <f t="shared" si="2"/>
        <v>27.942260266854419</v>
      </c>
      <c r="S8" s="284">
        <f t="shared" si="2"/>
        <v>28.275000000000006</v>
      </c>
      <c r="T8" s="284">
        <f t="shared" si="2"/>
        <v>28.592776433850446</v>
      </c>
      <c r="U8" s="284">
        <f t="shared" si="2"/>
        <v>28.914124286336147</v>
      </c>
      <c r="V8" s="284">
        <f t="shared" si="2"/>
        <v>29.239083695836484</v>
      </c>
      <c r="W8" s="284">
        <f t="shared" si="2"/>
        <v>29.56769525183708</v>
      </c>
      <c r="X8" s="284">
        <f t="shared" si="2"/>
        <v>29.900000000000006</v>
      </c>
      <c r="Y8" s="284">
        <f t="shared" si="2"/>
        <v>30.218156752349017</v>
      </c>
      <c r="Z8" s="284">
        <f t="shared" si="2"/>
        <v>30.5396989133624</v>
      </c>
      <c r="AA8" s="284">
        <f t="shared" si="2"/>
        <v>30.864662506138018</v>
      </c>
      <c r="AB8" s="284">
        <f t="shared" si="2"/>
        <v>31.193083937084509</v>
      </c>
      <c r="AC8" s="284">
        <f t="shared" si="2"/>
        <v>31.525000000000006</v>
      </c>
      <c r="AD8" s="284">
        <f t="shared" si="2"/>
        <v>31.843499020784748</v>
      </c>
      <c r="AE8" s="284">
        <f t="shared" si="2"/>
        <v>32.165215856834834</v>
      </c>
      <c r="AF8" s="284">
        <f t="shared" si="2"/>
        <v>32.490183017936545</v>
      </c>
      <c r="AG8" s="284">
        <f t="shared" si="2"/>
        <v>32.818433342324511</v>
      </c>
      <c r="AH8" s="284">
        <f t="shared" si="2"/>
        <v>33.150000000000006</v>
      </c>
      <c r="AM8" s="1" t="s">
        <v>262</v>
      </c>
      <c r="AN8" s="44">
        <f t="shared" si="1"/>
        <v>19.523076923076921</v>
      </c>
      <c r="AO8" s="284">
        <f>AN8*83.5/28</f>
        <v>58.22060439560439</v>
      </c>
    </row>
    <row r="9" spans="1:41" s="67" customFormat="1" x14ac:dyDescent="0.2">
      <c r="A9" s="687" t="s">
        <v>263</v>
      </c>
      <c r="B9" s="58" t="s">
        <v>264</v>
      </c>
      <c r="C9" s="59" t="s">
        <v>153</v>
      </c>
      <c r="D9" s="60">
        <f>D4*'Demand Breakdown - Ethylene'!$O$14</f>
        <v>18.742153846153844</v>
      </c>
      <c r="E9" s="60">
        <f>E4*'Demand Breakdown - Ethylene'!$O$14</f>
        <v>19.206003529520554</v>
      </c>
      <c r="F9" s="60">
        <f>F4*'Demand Breakdown - Ethylene'!$O$14</f>
        <v>19.68133303161704</v>
      </c>
      <c r="G9" s="60">
        <f>G4*'Demand Breakdown - Ethylene'!$O$14</f>
        <v>20.168426466549217</v>
      </c>
      <c r="H9" s="60">
        <f>H4*'Demand Breakdown - Ethylene'!$O$14</f>
        <v>20.66757497996479</v>
      </c>
      <c r="I9" s="60">
        <f>I4*'Demand Breakdown - Ethylene'!$O$14</f>
        <v>21.17907692307692</v>
      </c>
      <c r="J9" s="60">
        <f>J4*'Demand Breakdown - Ethylene'!$O$14</f>
        <v>21.645463514988702</v>
      </c>
      <c r="K9" s="60">
        <f>K4*'Demand Breakdown - Ethylene'!$O$14</f>
        <v>22.122120453143857</v>
      </c>
      <c r="L9" s="60">
        <f>L4*'Demand Breakdown - Ethylene'!$O$14</f>
        <v>22.609273901874275</v>
      </c>
      <c r="M9" s="60">
        <f>M4*'Demand Breakdown - Ethylene'!$O$14</f>
        <v>23.107155005899422</v>
      </c>
      <c r="N9" s="60">
        <f>N4*'Demand Breakdown - Ethylene'!$O$14</f>
        <v>23.616</v>
      </c>
      <c r="O9" s="60">
        <f>O4*'Demand Breakdown - Ethylene'!$O$14</f>
        <v>23.897222115280613</v>
      </c>
      <c r="P9" s="60">
        <f>P4*'Demand Breakdown - Ethylene'!$O$14</f>
        <v>24.181793056701256</v>
      </c>
      <c r="Q9" s="60">
        <f>Q4*'Demand Breakdown - Ethylene'!$O$14</f>
        <v>24.469752702478846</v>
      </c>
      <c r="R9" s="60">
        <f>R4*'Demand Breakdown - Ethylene'!$O$14</f>
        <v>24.761141405704819</v>
      </c>
      <c r="S9" s="60">
        <f>S4*'Demand Breakdown - Ethylene'!$O$14</f>
        <v>25.056000000000001</v>
      </c>
      <c r="T9" s="60">
        <f>T4*'Demand Breakdown - Ethylene'!$O$14</f>
        <v>25.337598809073643</v>
      </c>
      <c r="U9" s="60">
        <f>U4*'Demand Breakdown - Ethylene'!$O$14</f>
        <v>25.622362444507111</v>
      </c>
      <c r="V9" s="60">
        <f>V4*'Demand Breakdown - Ethylene'!$O$14</f>
        <v>25.910326475079685</v>
      </c>
      <c r="W9" s="60">
        <f>W4*'Demand Breakdown - Ethylene'!$O$14</f>
        <v>26.201526869320254</v>
      </c>
      <c r="X9" s="60">
        <f>X4*'Demand Breakdown - Ethylene'!$O$14</f>
        <v>26.495999999999999</v>
      </c>
      <c r="Y9" s="60">
        <f>Y4*'Demand Breakdown - Ethylene'!$O$14</f>
        <v>26.777935829773881</v>
      </c>
      <c r="Z9" s="60">
        <f>Z4*'Demand Breakdown - Ethylene'!$O$14</f>
        <v>27.062871652456511</v>
      </c>
      <c r="AA9" s="60">
        <f>AA4*'Demand Breakdown - Ethylene'!$O$14</f>
        <v>27.350839390054617</v>
      </c>
      <c r="AB9" s="60">
        <f>AB4*'Demand Breakdown - Ethylene'!$O$14</f>
        <v>27.641871304247221</v>
      </c>
      <c r="AC9" s="60">
        <f>AC4*'Demand Breakdown - Ethylene'!$O$14</f>
        <v>27.936</v>
      </c>
      <c r="AD9" s="60">
        <f>AD4*'Demand Breakdown - Ethylene'!$O$14</f>
        <v>28.218239132264628</v>
      </c>
      <c r="AE9" s="60">
        <f>AE4*'Demand Breakdown - Ethylene'!$O$14</f>
        <v>28.503329743902881</v>
      </c>
      <c r="AF9" s="60">
        <f>AF4*'Demand Breakdown - Ethylene'!$O$14</f>
        <v>28.791300643586865</v>
      </c>
      <c r="AG9" s="60">
        <f>AG4*'Demand Breakdown - Ethylene'!$O$14</f>
        <v>29.082180931044483</v>
      </c>
      <c r="AH9" s="60">
        <f>AH4*'Demand Breakdown - Ethylene'!$O$14</f>
        <v>29.375999999999998</v>
      </c>
      <c r="AM9" s="67" t="s">
        <v>265</v>
      </c>
      <c r="AN9" s="60">
        <f>SUM('Demand Breakdown - Propylene'!C25:C26)*'Demand Breakdown - Propylene'!E2</f>
        <v>74.98846153846155</v>
      </c>
      <c r="AO9" s="60">
        <f>AN9</f>
        <v>74.98846153846155</v>
      </c>
    </row>
    <row r="10" spans="1:41" s="68" customFormat="1" x14ac:dyDescent="0.2">
      <c r="A10" s="689"/>
      <c r="B10" s="62" t="s">
        <v>266</v>
      </c>
      <c r="C10" s="283" t="s">
        <v>153</v>
      </c>
      <c r="D10" s="284">
        <f>D4*'Demand Breakdown - Ethylene'!$J$14</f>
        <v>15.260538461538461</v>
      </c>
      <c r="E10" s="284">
        <f>E4*'Demand Breakdown - Ethylene'!$J$14</f>
        <v>15.638221623863092</v>
      </c>
      <c r="F10" s="284">
        <f>F4*'Demand Breakdown - Ethylene'!$J$14</f>
        <v>16.025252069146518</v>
      </c>
      <c r="G10" s="284">
        <f>G4*'Demand Breakdown - Ethylene'!$J$14</f>
        <v>16.421861133353445</v>
      </c>
      <c r="H10" s="284">
        <f>H4*'Demand Breakdown - Ethylene'!$J$14</f>
        <v>16.828285877783831</v>
      </c>
      <c r="I10" s="284">
        <f>I4*'Demand Breakdown - Ethylene'!$J$14</f>
        <v>17.244769230769233</v>
      </c>
      <c r="J10" s="284">
        <f>J4*'Demand Breakdown - Ethylene'!$J$14</f>
        <v>17.624518035641845</v>
      </c>
      <c r="K10" s="284">
        <f>K4*'Demand Breakdown - Ethylene'!$J$14</f>
        <v>18.012629327299429</v>
      </c>
      <c r="L10" s="284">
        <f>L4*'Demand Breakdown - Ethylene'!$J$14</f>
        <v>18.409287256908048</v>
      </c>
      <c r="M10" s="284">
        <f>M4*'Demand Breakdown - Ethylene'!$J$14</f>
        <v>18.814680030845192</v>
      </c>
      <c r="N10" s="284">
        <f>N4*'Demand Breakdown - Ethylene'!$J$14</f>
        <v>19.229000000000003</v>
      </c>
      <c r="O10" s="284">
        <f>O4*'Demand Breakdown - Ethylene'!$J$14</f>
        <v>19.457981201504527</v>
      </c>
      <c r="P10" s="284">
        <f>P4*'Demand Breakdown - Ethylene'!$J$14</f>
        <v>19.6896891381821</v>
      </c>
      <c r="Q10" s="284">
        <f>Q4*'Demand Breakdown - Ethylene'!$J$14</f>
        <v>19.924156280316978</v>
      </c>
      <c r="R10" s="284">
        <f>R4*'Demand Breakdown - Ethylene'!$J$14</f>
        <v>20.161415484853404</v>
      </c>
      <c r="S10" s="284">
        <f>S4*'Demand Breakdown - Ethylene'!$J$14</f>
        <v>20.401500000000002</v>
      </c>
      <c r="T10" s="284">
        <f>T4*'Demand Breakdown - Ethylene'!$J$14</f>
        <v>20.630787919193647</v>
      </c>
      <c r="U10" s="284">
        <f>U4*'Demand Breakdown - Ethylene'!$J$14</f>
        <v>20.862652754294853</v>
      </c>
      <c r="V10" s="284">
        <f>V4*'Demand Breakdown - Ethylene'!$J$14</f>
        <v>21.097123466688149</v>
      </c>
      <c r="W10" s="284">
        <f>W4*'Demand Breakdown - Ethylene'!$J$14</f>
        <v>21.334229343248612</v>
      </c>
      <c r="X10" s="284">
        <f>X4*'Demand Breakdown - Ethylene'!$J$14</f>
        <v>21.574000000000002</v>
      </c>
      <c r="Y10" s="284">
        <f>Y4*'Demand Breakdown - Ethylene'!$J$14</f>
        <v>21.803562333617972</v>
      </c>
      <c r="Z10" s="284">
        <f>Z4*'Demand Breakdown - Ethylene'!$J$14</f>
        <v>22.035567369795324</v>
      </c>
      <c r="AA10" s="284">
        <f>AA4*'Demand Breakdown - Ethylene'!$J$14</f>
        <v>22.27004110058267</v>
      </c>
      <c r="AB10" s="284">
        <f>AB4*'Demand Breakdown - Ethylene'!$J$14</f>
        <v>22.507009794604077</v>
      </c>
      <c r="AC10" s="284">
        <f>AC4*'Demand Breakdown - Ethylene'!$J$14</f>
        <v>22.746500000000001</v>
      </c>
      <c r="AD10" s="284">
        <f>AD4*'Demand Breakdown - Ethylene'!$J$14</f>
        <v>22.976309293458527</v>
      </c>
      <c r="AE10" s="284">
        <f>AE4*'Demand Breakdown - Ethylene'!$J$14</f>
        <v>23.208440364393148</v>
      </c>
      <c r="AF10" s="284">
        <f>AF4*'Demand Breakdown - Ethylene'!$J$14</f>
        <v>23.442916669865003</v>
      </c>
      <c r="AG10" s="284">
        <f>AG4*'Demand Breakdown - Ethylene'!$J$14</f>
        <v>23.679761903923374</v>
      </c>
      <c r="AH10" s="284">
        <f>AH4*'Demand Breakdown - Ethylene'!$J$14</f>
        <v>23.919</v>
      </c>
      <c r="AM10" s="68" t="str">
        <f>'Yearly Methanol'!B7</f>
        <v>Acetic Acid</v>
      </c>
      <c r="AN10" s="284">
        <f>'Yearly Methanol'!D7</f>
        <v>7.192774760698633</v>
      </c>
      <c r="AO10" s="284">
        <f>AN10*60/31</f>
        <v>13.921499536836064</v>
      </c>
    </row>
    <row r="11" spans="1:41" x14ac:dyDescent="0.2">
      <c r="AM11" s="1" t="s">
        <v>267</v>
      </c>
      <c r="AN11" s="44">
        <f>'Demand Breakdown - BTX'!E3</f>
        <v>27.19285714285714</v>
      </c>
      <c r="AO11" s="44">
        <f>AN11*106/(106-28)</f>
        <v>36.9543956043956</v>
      </c>
    </row>
    <row r="12" spans="1:41" x14ac:dyDescent="0.2">
      <c r="A12" s="58" t="s">
        <v>268</v>
      </c>
      <c r="B12" s="58" t="s">
        <v>199</v>
      </c>
      <c r="C12" s="59" t="s">
        <v>153</v>
      </c>
      <c r="D12" s="60">
        <f>'R&amp;S - Transportation'!D4</f>
        <v>8.4778361655826675</v>
      </c>
      <c r="E12" s="60">
        <f>D12*(1+'R&amp;S - Transportation'!$B$5)</f>
        <v>8.6219593803975716</v>
      </c>
      <c r="F12" s="60">
        <f>E12*(1+'R&amp;S - Transportation'!$B$5)</f>
        <v>8.7685326898643297</v>
      </c>
      <c r="G12" s="60">
        <f>F12*(1+'R&amp;S - Transportation'!$B$5)</f>
        <v>8.9175977455920226</v>
      </c>
      <c r="H12" s="60">
        <f>G12*(1+'R&amp;S - Transportation'!$B$5)</f>
        <v>9.0691969072670862</v>
      </c>
      <c r="I12" s="60">
        <f>H12*(1+'R&amp;S - Transportation'!$B$5)</f>
        <v>9.2233732546906264</v>
      </c>
      <c r="J12" s="60">
        <f>I12*(1+'R&amp;S - Transportation'!$B$5)</f>
        <v>9.3801706000203655</v>
      </c>
      <c r="K12" s="60">
        <f>J12*(1+'R&amp;S - Transportation'!$B$5)</f>
        <v>9.5396335002207113</v>
      </c>
      <c r="L12" s="60">
        <f>K12*(1+'R&amp;S - Transportation'!$B$5)</f>
        <v>9.7018072697244619</v>
      </c>
      <c r="M12" s="60">
        <f>L12*(1+'R&amp;S - Transportation'!$B$5)</f>
        <v>9.8667379933097763</v>
      </c>
      <c r="N12" s="60">
        <f>M12*(1+'R&amp;S - Transportation'!$B$5)</f>
        <v>10.034472539196042</v>
      </c>
      <c r="O12" s="60">
        <f>N12*(1+'R&amp;S - Transportation'!$B$5)</f>
        <v>10.205058572362374</v>
      </c>
      <c r="P12" s="60">
        <f>O12*(1+'R&amp;S - Transportation'!$B$5)</f>
        <v>10.378544568092533</v>
      </c>
      <c r="Q12" s="60">
        <f>P12*(1+'R&amp;S - Transportation'!$B$5)</f>
        <v>10.554979825750104</v>
      </c>
      <c r="R12" s="60">
        <f>Q12*(1+'R&amp;S - Transportation'!$B$5)</f>
        <v>10.734414482787855</v>
      </c>
      <c r="S12" s="60">
        <f>R12*(1+'R&amp;S - Transportation'!$B$5)</f>
        <v>10.916899528995248</v>
      </c>
      <c r="T12" s="60">
        <f>S12*(1+'R&amp;S - Transportation'!$B$5)</f>
        <v>11.102486820988167</v>
      </c>
      <c r="U12" s="60">
        <f>T12*(1+'R&amp;S - Transportation'!$B$5)</f>
        <v>11.291229096944965</v>
      </c>
      <c r="V12" s="60">
        <f>U12*(1+'R&amp;S - Transportation'!$B$5)</f>
        <v>11.483179991593028</v>
      </c>
      <c r="W12" s="60">
        <f>V12*(1+'R&amp;S - Transportation'!$B$5)</f>
        <v>11.678394051450109</v>
      </c>
      <c r="X12" s="60">
        <f>W12*(1+'R&amp;S - Transportation'!$B$5)</f>
        <v>11.87692675032476</v>
      </c>
      <c r="Y12" s="60">
        <f>X12*(1+'R&amp;S - Transportation'!$B$5)</f>
        <v>12.07883450508028</v>
      </c>
      <c r="Z12" s="60">
        <f>Y12*(1+'R&amp;S - Transportation'!$B$5)</f>
        <v>12.284174691666644</v>
      </c>
      <c r="AA12" s="60">
        <f>Z12*(1+'R&amp;S - Transportation'!$B$5)</f>
        <v>12.493005661424975</v>
      </c>
      <c r="AB12" s="60">
        <f>AA12*(1+'R&amp;S - Transportation'!$B$5)</f>
        <v>12.705386757669199</v>
      </c>
      <c r="AC12" s="60">
        <f>AB12*(1+'R&amp;S - Transportation'!$B$5)</f>
        <v>12.921378332549574</v>
      </c>
      <c r="AD12" s="60">
        <f>AC12*(1+'R&amp;S - Transportation'!$B$5)</f>
        <v>13.141041764202916</v>
      </c>
      <c r="AE12" s="60">
        <f>AD12*(1+'R&amp;S - Transportation'!$B$5)</f>
        <v>13.364439474194365</v>
      </c>
      <c r="AF12" s="60">
        <f>AE12*(1+'R&amp;S - Transportation'!$B$5)</f>
        <v>13.591634945255668</v>
      </c>
      <c r="AG12" s="60">
        <f>AF12*(1+'R&amp;S - Transportation'!$B$5)</f>
        <v>13.822692739325014</v>
      </c>
      <c r="AH12" s="60">
        <f>AG12*(1+'R&amp;S - Transportation'!$B$5)</f>
        <v>14.057678515893537</v>
      </c>
      <c r="AJ12" s="43"/>
      <c r="AM12" s="1" t="s">
        <v>269</v>
      </c>
      <c r="AN12" s="44">
        <f>'Demand Breakdown - BTX'!T3</f>
        <v>44.283391377399667</v>
      </c>
      <c r="AO12" s="44">
        <f>AN12*166/(166-64)</f>
        <v>72.069048712238668</v>
      </c>
    </row>
    <row r="13" spans="1:41" outlineLevel="1" x14ac:dyDescent="0.2">
      <c r="B13" s="1" t="s">
        <v>270</v>
      </c>
      <c r="C13" s="54" t="s">
        <v>153</v>
      </c>
      <c r="D13" s="44">
        <v>0</v>
      </c>
      <c r="E13" s="44">
        <f>E12*('R&amp;S - Transportation'!$B$8*'R&amp;S - Transportation'!$D$19*('Yearly HC Ethylene'!E3-'Yearly HC Ethylene'!$D$3)/10)</f>
        <v>1.7243918760795146E-2</v>
      </c>
      <c r="F13" s="44">
        <f>F12*('R&amp;S - Transportation'!$B$8*'R&amp;S - Transportation'!$D$19*('Yearly HC Ethylene'!F3-'Yearly HC Ethylene'!$D$3)/10)</f>
        <v>3.5074130759457325E-2</v>
      </c>
      <c r="G13" s="44">
        <f>G12*('R&amp;S - Transportation'!$B$8*'R&amp;S - Transportation'!$D$19*('Yearly HC Ethylene'!G3-'Yearly HC Ethylene'!$D$3)/10)</f>
        <v>5.3505586473552143E-2</v>
      </c>
      <c r="H13" s="44">
        <f>H12*('R&amp;S - Transportation'!$B$8*'R&amp;S - Transportation'!$D$19*('Yearly HC Ethylene'!H3-'Yearly HC Ethylene'!$D$3)/10)</f>
        <v>7.2553575258136702E-2</v>
      </c>
      <c r="I13" s="44">
        <f>I12*('R&amp;S - Transportation'!$B$8*'R&amp;S - Transportation'!$D$19*('Yearly HC Ethylene'!I3-'Yearly HC Ethylene'!$D$3)/10)</f>
        <v>9.2233732546906283E-2</v>
      </c>
      <c r="J13" s="44">
        <f>J12*('R&amp;S - Transportation'!$B$8*'R&amp;S - Transportation'!$D$19*('Yearly HC Ethylene'!J3-'Yearly HC Ethylene'!$D$3)/10)</f>
        <v>0.1125620472002444</v>
      </c>
      <c r="K13" s="44">
        <f>K12*('R&amp;S - Transportation'!$B$8*'R&amp;S - Transportation'!$D$19*('Yearly HC Ethylene'!K3-'Yearly HC Ethylene'!$D$3)/10)</f>
        <v>0.13355486900308997</v>
      </c>
      <c r="L13" s="44">
        <f>L12*('R&amp;S - Transportation'!$B$8*'R&amp;S - Transportation'!$D$19*('Yearly HC Ethylene'!L3-'Yearly HC Ethylene'!$D$3)/10)</f>
        <v>0.15522891631559144</v>
      </c>
      <c r="M13" s="44">
        <f>M12*('R&amp;S - Transportation'!$B$8*'R&amp;S - Transportation'!$D$19*('Yearly HC Ethylene'!M3-'Yearly HC Ethylene'!$D$3)/10)</f>
        <v>0.17760128387957602</v>
      </c>
      <c r="N13" s="44">
        <f>N12*('R&amp;S - Transportation'!$B$8*'R&amp;S - Transportation'!$D$19*('Yearly HC Ethylene'!N3-'Yearly HC Ethylene'!$D$3)/10)</f>
        <v>0.20068945078392086</v>
      </c>
      <c r="O13" s="44">
        <f>O12*('R&amp;S - Transportation'!$B$8*('R&amp;S - Transportation'!$D$19+('R&amp;S - Transportation'!$D$20-'R&amp;S - Transportation'!$D$19)*('Yearly HC Ethylene'!O3-'Yearly HC Ethylene'!$N$3)/10))</f>
        <v>0.25512646430905933</v>
      </c>
      <c r="P13" s="44">
        <f>P12*('R&amp;S - Transportation'!$B$8*('R&amp;S - Transportation'!$D$19+('R&amp;S - Transportation'!$D$20-'R&amp;S - Transportation'!$D$19)*('Yearly HC Ethylene'!P3-'Yearly HC Ethylene'!$N$3)/10))</f>
        <v>0.31135633704277599</v>
      </c>
      <c r="Q13" s="44">
        <f>Q12*('R&amp;S - Transportation'!$B$8*('R&amp;S - Transportation'!$D$19+('R&amp;S - Transportation'!$D$20-'R&amp;S - Transportation'!$D$19)*('Yearly HC Ethylene'!Q3-'Yearly HC Ethylene'!$N$3)/10))</f>
        <v>0.36942429390125359</v>
      </c>
      <c r="R13" s="44">
        <f>R12*('R&amp;S - Transportation'!$B$8*('R&amp;S - Transportation'!$D$19+('R&amp;S - Transportation'!$D$20-'R&amp;S - Transportation'!$D$19)*('Yearly HC Ethylene'!R3-'Yearly HC Ethylene'!$N$3)/10))</f>
        <v>0.42937657931151429</v>
      </c>
      <c r="S13" s="44">
        <f>S12*('R&amp;S - Transportation'!$B$8*('R&amp;S - Transportation'!$D$19+('R&amp;S - Transportation'!$D$20-'R&amp;S - Transportation'!$D$19)*('Yearly HC Ethylene'!S3-'Yearly HC Ethylene'!$N$3)/10))</f>
        <v>0.49126047880478618</v>
      </c>
      <c r="T13" s="44">
        <f>T12*('R&amp;S - Transportation'!$B$8*('R&amp;S - Transportation'!$D$19+('R&amp;S - Transportation'!$D$20-'R&amp;S - Transportation'!$D$19)*('Yearly HC Ethylene'!T3-'Yearly HC Ethylene'!$N$3)/10))</f>
        <v>0.55512434104940833</v>
      </c>
      <c r="U13" s="44">
        <f>U12*('R&amp;S - Transportation'!$B$8*('R&amp;S - Transportation'!$D$19+('R&amp;S - Transportation'!$D$20-'R&amp;S - Transportation'!$D$19)*('Yearly HC Ethylene'!U3-'Yearly HC Ethylene'!$N$3)/10))</f>
        <v>0.62101760033197317</v>
      </c>
      <c r="V13" s="44">
        <f>V12*('R&amp;S - Transportation'!$B$8*('R&amp;S - Transportation'!$D$19+('R&amp;S - Transportation'!$D$20-'R&amp;S - Transportation'!$D$19)*('Yearly HC Ethylene'!V3-'Yearly HC Ethylene'!$N$3)/10))</f>
        <v>0.68899079949558162</v>
      </c>
      <c r="W13" s="44">
        <f>W12*('R&amp;S - Transportation'!$B$8*('R&amp;S - Transportation'!$D$19+('R&amp;S - Transportation'!$D$20-'R&amp;S - Transportation'!$D$19)*('Yearly HC Ethylene'!W3-'Yearly HC Ethylene'!$N$3)/10))</f>
        <v>0.7590956133442569</v>
      </c>
      <c r="X13" s="44">
        <f>X12*('R&amp;S - Transportation'!$B$8*('R&amp;S - Transportation'!$D$19+('R&amp;S - Transportation'!$D$20-'R&amp;S - Transportation'!$D$19)*('Yearly HC Ethylene'!X3-'Yearly HC Ethylene'!$N$3)/10))</f>
        <v>0.83138487252273308</v>
      </c>
      <c r="Y13" s="44">
        <f>Y12*('R&amp;S - Transportation'!$B$8*('R&amp;S - Transportation'!$D$20+('R&amp;S - Transportation'!$D$21-'R&amp;S - Transportation'!$D$20)*('Yearly HC Ethylene'!Y3-'Yearly HC Ethylene'!$X$3)/10))</f>
        <v>0.88175491887086044</v>
      </c>
      <c r="Z13" s="44">
        <f>Z12*('R&amp;S - Transportation'!$B$8*('R&amp;S - Transportation'!$D$20+('R&amp;S - Transportation'!$D$21-'R&amp;S - Transportation'!$D$20)*('Yearly HC Ethylene'!Z3-'Yearly HC Ethylene'!$X$3)/10))</f>
        <v>0.93359727656666514</v>
      </c>
      <c r="AA13" s="44">
        <f>AA12*('R&amp;S - Transportation'!$B$8*('R&amp;S - Transportation'!$D$20+('R&amp;S - Transportation'!$D$21-'R&amp;S - Transportation'!$D$20)*('Yearly HC Ethylene'!AA3-'Yearly HC Ethylene'!$X$3)/10))</f>
        <v>0.98694744725257311</v>
      </c>
      <c r="AB13" s="44">
        <f>AB12*('R&amp;S - Transportation'!$B$8*('R&amp;S - Transportation'!$D$20+('R&amp;S - Transportation'!$D$21-'R&amp;S - Transportation'!$D$20)*('Yearly HC Ethylene'!AB3-'Yearly HC Ethylene'!$X$3)/10))</f>
        <v>1.0418417141288743</v>
      </c>
      <c r="AC13" s="44">
        <f>AC12*('R&amp;S - Transportation'!$B$8*('R&amp;S - Transportation'!$D$20+('R&amp;S - Transportation'!$D$21-'R&amp;S - Transportation'!$D$20)*('Yearly HC Ethylene'!AC3-'Yearly HC Ethylene'!$X$3)/10))</f>
        <v>1.0983171582667139</v>
      </c>
      <c r="AD13" s="44">
        <f>AD12*('R&amp;S - Transportation'!$B$8*('R&amp;S - Transportation'!$D$20+('R&amp;S - Transportation'!$D$21-'R&amp;S - Transportation'!$D$20)*('Yearly HC Ethylene'!AD3-'Yearly HC Ethylene'!$X$3)/10))</f>
        <v>1.1564116752498568</v>
      </c>
      <c r="AE13" s="44">
        <f>AE12*('R&amp;S - Transportation'!$B$8*('R&amp;S - Transportation'!$D$20+('R&amp;S - Transportation'!$D$21-'R&amp;S - Transportation'!$D$20)*('Yearly HC Ethylene'!AE3-'Yearly HC Ethylene'!$X$3)/10))</f>
        <v>1.2161639921516874</v>
      </c>
      <c r="AF13" s="44">
        <f>AF12*('R&amp;S - Transportation'!$B$8*('R&amp;S - Transportation'!$D$20+('R&amp;S - Transportation'!$D$21-'R&amp;S - Transportation'!$D$20)*('Yearly HC Ethylene'!AF3-'Yearly HC Ethylene'!$X$3)/10))</f>
        <v>1.2776136848540329</v>
      </c>
      <c r="AG13" s="44">
        <f>AG12*('R&amp;S - Transportation'!$B$8*('R&amp;S - Transportation'!$D$20+('R&amp;S - Transportation'!$D$21-'R&amp;S - Transportation'!$D$20)*('Yearly HC Ethylene'!AG3-'Yearly HC Ethylene'!$X$3)/10))</f>
        <v>1.3408011957145263</v>
      </c>
      <c r="AH13" s="44">
        <f>AH12*('R&amp;S - Transportation'!$B$8*('R&amp;S - Transportation'!$D$20+('R&amp;S - Transportation'!$D$21-'R&amp;S - Transportation'!$D$20)*('Yearly HC Ethylene'!AH3-'Yearly HC Ethylene'!$X$3)/10))</f>
        <v>1.4057678515893537</v>
      </c>
      <c r="AJ13" s="43"/>
    </row>
    <row r="14" spans="1:41" outlineLevel="1" x14ac:dyDescent="0.2">
      <c r="B14" s="1" t="s">
        <v>191</v>
      </c>
      <c r="C14" s="54" t="s">
        <v>153</v>
      </c>
      <c r="D14" s="44">
        <f>SUM(D12:D13)</f>
        <v>8.4778361655826675</v>
      </c>
      <c r="E14" s="44">
        <f t="shared" ref="E14:AH14" si="3">SUM(E12:E13)</f>
        <v>8.6392032991583676</v>
      </c>
      <c r="F14" s="44">
        <f>SUM(F12:F13)</f>
        <v>8.8036068206237879</v>
      </c>
      <c r="G14" s="44">
        <f t="shared" si="3"/>
        <v>8.9711033320655744</v>
      </c>
      <c r="H14" s="44">
        <f>SUM(H12:H13)</f>
        <v>9.1417504825252234</v>
      </c>
      <c r="I14" s="44">
        <f t="shared" si="3"/>
        <v>9.3156069872375333</v>
      </c>
      <c r="J14" s="44">
        <f t="shared" si="3"/>
        <v>9.4927326472206097</v>
      </c>
      <c r="K14" s="44">
        <f t="shared" si="3"/>
        <v>9.6731883692238014</v>
      </c>
      <c r="L14" s="44">
        <f t="shared" si="3"/>
        <v>9.8570361860400535</v>
      </c>
      <c r="M14" s="44">
        <f t="shared" si="3"/>
        <v>10.044339277189353</v>
      </c>
      <c r="N14" s="44">
        <f>SUM(N12:N13)</f>
        <v>10.235161989979963</v>
      </c>
      <c r="O14" s="44">
        <f t="shared" si="3"/>
        <v>10.460185036671433</v>
      </c>
      <c r="P14" s="44">
        <f t="shared" si="3"/>
        <v>10.689900905135309</v>
      </c>
      <c r="Q14" s="44">
        <f t="shared" si="3"/>
        <v>10.924404119651358</v>
      </c>
      <c r="R14" s="44">
        <f t="shared" si="3"/>
        <v>11.163791062099369</v>
      </c>
      <c r="S14" s="44">
        <f t="shared" si="3"/>
        <v>11.408160007800035</v>
      </c>
      <c r="T14" s="44">
        <f t="shared" si="3"/>
        <v>11.657611162037576</v>
      </c>
      <c r="U14" s="44">
        <f t="shared" si="3"/>
        <v>11.912246697276938</v>
      </c>
      <c r="V14" s="44">
        <f t="shared" si="3"/>
        <v>12.172170791088609</v>
      </c>
      <c r="W14" s="44">
        <f t="shared" si="3"/>
        <v>12.437489664794366</v>
      </c>
      <c r="X14" s="44">
        <f t="shared" si="3"/>
        <v>12.708311622847493</v>
      </c>
      <c r="Y14" s="44">
        <f t="shared" si="3"/>
        <v>12.960589423951141</v>
      </c>
      <c r="Z14" s="44">
        <f t="shared" si="3"/>
        <v>13.217771968233309</v>
      </c>
      <c r="AA14" s="44">
        <f t="shared" si="3"/>
        <v>13.479953108677549</v>
      </c>
      <c r="AB14" s="44">
        <f t="shared" si="3"/>
        <v>13.747228471798074</v>
      </c>
      <c r="AC14" s="44">
        <f t="shared" si="3"/>
        <v>14.019695490816288</v>
      </c>
      <c r="AD14" s="44">
        <f t="shared" si="3"/>
        <v>14.297453439452772</v>
      </c>
      <c r="AE14" s="44">
        <f t="shared" si="3"/>
        <v>14.580603466346052</v>
      </c>
      <c r="AF14" s="44">
        <f t="shared" si="3"/>
        <v>14.869248630109702</v>
      </c>
      <c r="AG14" s="44">
        <f t="shared" si="3"/>
        <v>15.16349393503954</v>
      </c>
      <c r="AH14" s="44">
        <f t="shared" si="3"/>
        <v>15.463446367482891</v>
      </c>
      <c r="AJ14" s="43"/>
    </row>
    <row r="15" spans="1:41" outlineLevel="1" x14ac:dyDescent="0.2">
      <c r="B15" s="61" t="s">
        <v>77</v>
      </c>
      <c r="C15" s="54" t="s">
        <v>153</v>
      </c>
      <c r="D15" s="44">
        <v>0</v>
      </c>
      <c r="E15" s="44">
        <f>E14*'R&amp;S - Transportation'!$B$15*('R&amp;S - Transportation'!$B$10*'R&amp;S - Transportation'!$B$19*('Yearly HC Ethylene'!E$3-'Yearly HC Ethylene'!$D$3)/10)</f>
        <v>2.8509370887222614E-2</v>
      </c>
      <c r="F15" s="44">
        <f>F14*'R&amp;S - Transportation'!$B$15*('R&amp;S - Transportation'!$B$10*'R&amp;S - Transportation'!$B$19*('Yearly HC Ethylene'!F$3-'Yearly HC Ethylene'!$D$3)/10)</f>
        <v>5.8103805016116998E-2</v>
      </c>
      <c r="G15" s="44">
        <f>G14*'R&amp;S - Transportation'!$B$15*('R&amp;S - Transportation'!$B$10*'R&amp;S - Transportation'!$B$19*('Yearly HC Ethylene'!G$3-'Yearly HC Ethylene'!$D$3)/10)</f>
        <v>8.8813922987449195E-2</v>
      </c>
      <c r="H15" s="44">
        <f>H14*'R&amp;S - Transportation'!$B$15*('R&amp;S - Transportation'!$B$10*'R&amp;S - Transportation'!$B$19*('Yearly HC Ethylene'!H$3-'Yearly HC Ethylene'!$D$3)/10)</f>
        <v>0.12067110636933295</v>
      </c>
      <c r="I15" s="44">
        <f>I14*'R&amp;S - Transportation'!$B$15*('R&amp;S - Transportation'!$B$10*'R&amp;S - Transportation'!$B$19*('Yearly HC Ethylene'!I$3-'Yearly HC Ethylene'!$D$3)/10)</f>
        <v>0.15370751528941931</v>
      </c>
      <c r="J15" s="44">
        <f>J14*'R&amp;S - Transportation'!$B$15*('R&amp;S - Transportation'!$B$10*'R&amp;S - Transportation'!$B$19*('Yearly HC Ethylene'!J$3-'Yearly HC Ethylene'!$D$3)/10)</f>
        <v>0.1879561064149681</v>
      </c>
      <c r="K15" s="44">
        <f>K14*'R&amp;S - Transportation'!$B$15*('R&amp;S - Transportation'!$B$10*'R&amp;S - Transportation'!$B$19*('Yearly HC Ethylene'!K$3-'Yearly HC Ethylene'!$D$3)/10)</f>
        <v>0.22345065132906983</v>
      </c>
      <c r="L15" s="44">
        <f>L14*'R&amp;S - Transportation'!$B$15*('R&amp;S - Transportation'!$B$10*'R&amp;S - Transportation'!$B$19*('Yearly HC Ethylene'!L$3-'Yearly HC Ethylene'!$D$3)/10)</f>
        <v>0.26022575531145742</v>
      </c>
      <c r="M15" s="44">
        <f>M14*'R&amp;S - Transportation'!$B$15*('R&amp;S - Transportation'!$B$10*'R&amp;S - Transportation'!$B$19*('Yearly HC Ethylene'!M$3-'Yearly HC Ethylene'!$D$3)/10)</f>
        <v>0.29831687653252381</v>
      </c>
      <c r="N15" s="44">
        <f>N14*'R&amp;S - Transportation'!$B$15*('R&amp;S - Transportation'!$B$10*'R&amp;S - Transportation'!$B$19*('Yearly HC Ethylene'!N$3-'Yearly HC Ethylene'!$D$3)/10)</f>
        <v>0.33776034566933877</v>
      </c>
      <c r="O15" s="44">
        <f>O14*'R&amp;S - Transportation'!$B$15*('R&amp;S - Transportation'!$B$10*('R&amp;S - Transportation'!$B$19+('R&amp;S - Transportation'!$B$20-'R&amp;S - Transportation'!$B$19)*('Yearly HC Ethylene'!O3-'Yearly HC Ethylene'!$N$3)/10))</f>
        <v>0.4487419380732045</v>
      </c>
      <c r="P15" s="44">
        <f>P14*'R&amp;S - Transportation'!$B$15*('R&amp;S - Transportation'!$B$10*('R&amp;S - Transportation'!$B$19+('R&amp;S - Transportation'!$B$20-'R&amp;S - Transportation'!$B$19)*('Yearly HC Ethylene'!P3-'Yearly HC Ethylene'!$N$3)/10))</f>
        <v>0.56442676779114442</v>
      </c>
      <c r="Q15" s="44">
        <f>Q14*'R&amp;S - Transportation'!$B$15*('R&amp;S - Transportation'!$B$10*('R&amp;S - Transportation'!$B$19+('R&amp;S - Transportation'!$B$20-'R&amp;S - Transportation'!$B$19)*('Yearly HC Ethylene'!Q3-'Yearly HC Ethylene'!$N$3)/10))</f>
        <v>0.6849601383021402</v>
      </c>
      <c r="R15" s="44">
        <f>R14*'R&amp;S - Transportation'!$B$15*('R&amp;S - Transportation'!$B$10*('R&amp;S - Transportation'!$B$19+('R&amp;S - Transportation'!$B$20-'R&amp;S - Transportation'!$B$19)*('Yearly HC Ethylene'!R3-'Yearly HC Ethylene'!$N$3)/10))</f>
        <v>0.81049123110841437</v>
      </c>
      <c r="S15" s="44">
        <f>S14*'R&amp;S - Transportation'!$B$15*('R&amp;S - Transportation'!$B$10*('R&amp;S - Transportation'!$B$19+('R&amp;S - Transportation'!$B$20-'R&amp;S - Transportation'!$B$19)*('Yearly HC Ethylene'!S3-'Yearly HC Ethylene'!$N$3)/10))</f>
        <v>0.94117320064350296</v>
      </c>
      <c r="T15" s="44">
        <f>T14*'R&amp;S - Transportation'!$B$15*('R&amp;S - Transportation'!$B$10*('R&amp;S - Transportation'!$B$19+('R&amp;S - Transportation'!$B$20-'R&amp;S - Transportation'!$B$19)*('Yearly HC Ethylene'!T3-'Yearly HC Ethylene'!$N$3)/10))</f>
        <v>1.0771632713722721</v>
      </c>
      <c r="U15" s="44">
        <f>U14*'R&amp;S - Transportation'!$B$15*('R&amp;S - Transportation'!$B$10*('R&amp;S - Transportation'!$B$19+('R&amp;S - Transportation'!$B$20-'R&amp;S - Transportation'!$B$19)*('Yearly HC Ethylene'!U3-'Yearly HC Ethylene'!$N$3)/10))</f>
        <v>1.2186228371314309</v>
      </c>
      <c r="V15" s="44">
        <f>V14*'R&amp;S - Transportation'!$B$15*('R&amp;S - Transportation'!$B$10*('R&amp;S - Transportation'!$B$19+('R&amp;S - Transportation'!$B$20-'R&amp;S - Transportation'!$B$19)*('Yearly HC Ethylene'!V3-'Yearly HC Ethylene'!$N$3)/10))</f>
        <v>1.3657175627601423</v>
      </c>
      <c r="W15" s="44">
        <f>W14*'R&amp;S - Transportation'!$B$15*('R&amp;S - Transportation'!$B$10*('R&amp;S - Transportation'!$B$19+('R&amp;S - Transportation'!$B$20-'R&amp;S - Transportation'!$B$19)*('Yearly HC Ethylene'!W3-'Yearly HC Ethylene'!$N$3)/10))</f>
        <v>1.5186174880713921</v>
      </c>
      <c r="X15" s="44">
        <f>X14*'R&amp;S - Transportation'!$B$15*('R&amp;S - Transportation'!$B$10*('R&amp;S - Transportation'!$B$19+('R&amp;S - Transportation'!$B$20-'R&amp;S - Transportation'!$B$19)*('Yearly HC Ethylene'!X3-'Yearly HC Ethylene'!$N$3)/10))</f>
        <v>1.6774971342158691</v>
      </c>
      <c r="Y15" s="44">
        <f>Y14*'R&amp;S - Transportation'!$B$15*('R&amp;S - Transportation'!$B$10*('R&amp;S - Transportation'!$B$20+('R&amp;S - Transportation'!$B$21-'R&amp;S - Transportation'!$B$20)*('Yearly HC Ethylene'!Y3-'Yearly HC Ethylene'!$X$3)/10))</f>
        <v>1.9674174745557835</v>
      </c>
      <c r="Z15" s="44">
        <f>Z14*'R&amp;S - Transportation'!$B$15*('R&amp;S - Transportation'!$B$10*('R&amp;S - Transportation'!$B$20+('R&amp;S - Transportation'!$B$21-'R&amp;S - Transportation'!$B$20)*('Yearly HC Ethylene'!Z3-'Yearly HC Ethylene'!$X$3)/10))</f>
        <v>2.2681696697488358</v>
      </c>
      <c r="AA15" s="44">
        <f>AA14*'R&amp;S - Transportation'!$B$15*('R&amp;S - Transportation'!$B$10*('R&amp;S - Transportation'!$B$20+('R&amp;S - Transportation'!$B$21-'R&amp;S - Transportation'!$B$20)*('Yearly HC Ethylene'!AA3-'Yearly HC Ethylene'!$X$3)/10))</f>
        <v>2.5800630250008836</v>
      </c>
      <c r="AB15" s="44">
        <f>AB14*'R&amp;S - Transportation'!$B$15*('R&amp;S - Transportation'!$B$10*('R&amp;S - Transportation'!$B$20+('R&amp;S - Transportation'!$B$21-'R&amp;S - Transportation'!$B$20)*('Yearly HC Ethylene'!AB3-'Yearly HC Ethylene'!$X$3)/10))</f>
        <v>2.9034146532437535</v>
      </c>
      <c r="AC15" s="44">
        <f>AC14*'R&amp;S - Transportation'!$B$15*('R&amp;S - Transportation'!$B$10*('R&amp;S - Transportation'!$B$20+('R&amp;S - Transportation'!$B$21-'R&amp;S - Transportation'!$B$20)*('Yearly HC Ethylene'!AC3-'Yearly HC Ethylene'!$X$3)/10))</f>
        <v>3.2385496583785622</v>
      </c>
      <c r="AD15" s="44">
        <f>AD14*'R&amp;S - Transportation'!$B$15*('R&amp;S - Transportation'!$B$10*('R&amp;S - Transportation'!$B$20+('R&amp;S - Transportation'!$B$21-'R&amp;S - Transportation'!$B$20)*('Yearly HC Ethylene'!AD3-'Yearly HC Ethylene'!$X$3)/10))</f>
        <v>3.5858013226147554</v>
      </c>
      <c r="AE15" s="44">
        <f>AE14*'R&amp;S - Transportation'!$B$15*('R&amp;S - Transportation'!$B$10*('R&amp;S - Transportation'!$B$20+('R&amp;S - Transportation'!$B$21-'R&amp;S - Transportation'!$B$20)*('Yearly HC Ethylene'!AE3-'Yearly HC Ethylene'!$X$3)/10))</f>
        <v>3.9455112979932419</v>
      </c>
      <c r="AF15" s="44">
        <f>AF14*'R&amp;S - Transportation'!$B$15*('R&amp;S - Transportation'!$B$10*('R&amp;S - Transportation'!$B$20+('R&amp;S - Transportation'!$B$21-'R&amp;S - Transportation'!$B$20)*('Yearly HC Ethylene'!AF3-'Yearly HC Ethylene'!$X$3)/10))</f>
        <v>4.3180298021838572</v>
      </c>
      <c r="AG15" s="44">
        <f>AG14*'R&amp;S - Transportation'!$B$15*('R&amp;S - Transportation'!$B$10*('R&amp;S - Transportation'!$B$20+('R&amp;S - Transportation'!$B$21-'R&amp;S - Transportation'!$B$20)*('Yearly HC Ethylene'!AG3-'Yearly HC Ethylene'!$X$3)/10))</f>
        <v>4.7037158186492647</v>
      </c>
      <c r="AH15" s="44">
        <f>AH14*'R&amp;S - Transportation'!$B$15*('R&amp;S - Transportation'!$B$10*('R&amp;S - Transportation'!$B$20+('R&amp;S - Transportation'!$B$21-'R&amp;S - Transportation'!$B$20)*('Yearly HC Ethylene'!AH3-'Yearly HC Ethylene'!$X$3)/10))</f>
        <v>5.1029373012693542</v>
      </c>
      <c r="AM15" t="s">
        <v>259</v>
      </c>
      <c r="AN15">
        <v>2020</v>
      </c>
    </row>
    <row r="16" spans="1:41" outlineLevel="1" x14ac:dyDescent="0.2">
      <c r="B16" s="61" t="s">
        <v>194</v>
      </c>
      <c r="C16" s="54" t="s">
        <v>153</v>
      </c>
      <c r="D16" s="44">
        <v>0</v>
      </c>
      <c r="E16" s="44">
        <f>(E14-E15)*'R&amp;S - Transportation'!$B$15*('R&amp;S - Transportation'!$B$11*'R&amp;S - Transportation'!$B$19*('Yearly HC Ethylene'!E$3-'Yearly HC Ethylene'!$D$3)/10)</f>
        <v>1.8082457249369407E-2</v>
      </c>
      <c r="F16" s="44">
        <f>(F14-F15)*'R&amp;S - Transportation'!$B$15*('R&amp;S - Transportation'!$B$11*'R&amp;S - Transportation'!$B$19*('Yearly HC Ethylene'!F$3-'Yearly HC Ethylene'!$D$3)/10)</f>
        <v>3.6731112665552221E-2</v>
      </c>
      <c r="G16" s="44">
        <f>(G14-G15)*'R&amp;S - Transportation'!$B$15*('R&amp;S - Transportation'!$B$11*'R&amp;S - Transportation'!$B$19*('Yearly HC Ethylene'!G$3-'Yearly HC Ethylene'!$D$3)/10)</f>
        <v>5.5958423277192186E-2</v>
      </c>
      <c r="H16" s="44">
        <f>(H14-H15)*'R&amp;S - Transportation'!$B$15*('R&amp;S - Transportation'!$B$11*'R&amp;S - Transportation'!$B$19*('Yearly HC Ethylene'!H$3-'Yearly HC Ethylene'!$D$3)/10)</f>
        <v>7.5777066759709494E-2</v>
      </c>
      <c r="I16" s="44">
        <f>(I14-I15)*'R&amp;S - Transportation'!$B$15*('R&amp;S - Transportation'!$B$11*'R&amp;S - Transportation'!$B$19*('Yearly HC Ethylene'!I$3-'Yearly HC Ethylene'!$D$3)/10)</f>
        <v>9.6199944455455211E-2</v>
      </c>
      <c r="J16" s="44">
        <f>(J14-J15)*'R&amp;S - Transportation'!$B$15*('R&amp;S - Transportation'!$B$11*'R&amp;S - Transportation'!$B$19*('Yearly HC Ethylene'!J$3-'Yearly HC Ethylene'!$D$3)/10)</f>
        <v>0.1172401844141511</v>
      </c>
      <c r="K16" s="44">
        <f>(K14-K15)*'R&amp;S - Transportation'!$B$15*('R&amp;S - Transportation'!$B$11*'R&amp;S - Transportation'!$B$19*('Yearly HC Ethylene'!K$3-'Yearly HC Ethylene'!$D$3)/10)</f>
        <v>0.13891114445305255</v>
      </c>
      <c r="L16" s="44">
        <f>(L14-L15)*'R&amp;S - Transportation'!$B$15*('R&amp;S - Transportation'!$B$11*'R&amp;S - Transportation'!$B$19*('Yearly HC Ethylene'!L$3-'Yearly HC Ethylene'!$D$3)/10)</f>
        <v>0.16122641523624043</v>
      </c>
      <c r="M16" s="44">
        <f>(M14-M15)*'R&amp;S - Transportation'!$B$15*('R&amp;S - Transportation'!$B$11*'R&amp;S - Transportation'!$B$19*('Yearly HC Ethylene'!M$3-'Yearly HC Ethylene'!$D$3)/10)</f>
        <v>0.18419982337241406</v>
      </c>
      <c r="N16" s="44">
        <f>(N14-N15)*'R&amp;S - Transportation'!$B$15*('R&amp;S - Transportation'!$B$11*'R&amp;S - Transportation'!$B$19*('Yearly HC Ethylene'!N$3-'Yearly HC Ethylene'!$D$3)/10)</f>
        <v>0.20784543453052309</v>
      </c>
      <c r="O16" s="44">
        <f>(O14-O15)*'R&amp;S - Transportation'!$B$15*('R&amp;S - Transportation'!$B$11*('R&amp;S - Transportation'!$B$19+('R&amp;S - Transportation'!$B$20-'R&amp;S - Transportation'!$B$19)*('Yearly HC Ethylene'!O$3-'Yearly HC Ethylene'!$N$3)/10))</f>
        <v>0.27331239659173162</v>
      </c>
      <c r="P16" s="44">
        <f>(P14-P15)*'R&amp;S - Transportation'!$B$15*('R&amp;S - Transportation'!$B$11*('R&amp;S - Transportation'!$B$19+('R&amp;S - Transportation'!$B$20-'R&amp;S - Transportation'!$B$19)*('Yearly HC Ethylene'!P$3-'Yearly HC Ethylene'!$N$3)/10))</f>
        <v>0.34021593101476399</v>
      </c>
      <c r="Q16" s="44">
        <f>(Q14-Q15)*'R&amp;S - Transportation'!$B$15*('R&amp;S - Transportation'!$B$11*('R&amp;S - Transportation'!$B$19+('R&amp;S - Transportation'!$B$20-'R&amp;S - Transportation'!$B$19)*('Yearly HC Ethylene'!Q$3-'Yearly HC Ethylene'!$N$3)/10))</f>
        <v>0.40855381485583381</v>
      </c>
      <c r="R16" s="44">
        <f>(R14-R15)*'R&amp;S - Transportation'!$B$15*('R&amp;S - Transportation'!$B$11*('R&amp;S - Transportation'!$B$19+('R&amp;S - Transportation'!$B$20-'R&amp;S - Transportation'!$B$19)*('Yearly HC Ethylene'!R$3-'Yearly HC Ethylene'!$N$3)/10))</f>
        <v>0.47832245219178215</v>
      </c>
      <c r="S16" s="44">
        <f>(S14-S15)*'R&amp;S - Transportation'!$B$15*('R&amp;S - Transportation'!$B$11*('R&amp;S - Transportation'!$B$19+('R&amp;S - Transportation'!$B$20-'R&amp;S - Transportation'!$B$19)*('Yearly HC Ethylene'!S$3-'Yearly HC Ethylene'!$N$3)/10))</f>
        <v>0.54951680737571795</v>
      </c>
      <c r="T16" s="44">
        <f>(T14-T15)*'R&amp;S - Transportation'!$B$15*('R&amp;S - Transportation'!$B$11*('R&amp;S - Transportation'!$B$19+('R&amp;S - Transportation'!$B$20-'R&amp;S - Transportation'!$B$19)*('Yearly HC Ethylene'!T$3-'Yearly HC Ethylene'!$N$3)/10))</f>
        <v>0.62213033597111989</v>
      </c>
      <c r="U16" s="44">
        <f>(U14-U15)*'R&amp;S - Transportation'!$B$15*('R&amp;S - Transportation'!$B$11*('R&amp;S - Transportation'!$B$19+('R&amp;S - Transportation'!$B$20-'R&amp;S - Transportation'!$B$19)*('Yearly HC Ethylene'!U$3-'Yearly HC Ethylene'!$N$3)/10))</f>
        <v>0.69615491329547263</v>
      </c>
      <c r="V16" s="44">
        <f>(V14-V15)*'R&amp;S - Transportation'!$B$15*('R&amp;S - Transportation'!$B$11*('R&amp;S - Transportation'!$B$19+('R&amp;S - Transportation'!$B$20-'R&amp;S - Transportation'!$B$19)*('Yearly HC Ethylene'!V$3-'Yearly HC Ethylene'!$N$3)/10))</f>
        <v>0.77158076050265267</v>
      </c>
      <c r="W16" s="44">
        <f>(W14-W15)*'R&amp;S - Transportation'!$B$15*('R&amp;S - Transportation'!$B$11*('R&amp;S - Transportation'!$B$19+('R&amp;S - Transportation'!$B$20-'R&amp;S - Transportation'!$B$19)*('Yearly HC Ethylene'!W$3-'Yearly HC Ethylene'!$N$3)/10))</f>
        <v>0.84839636813137498</v>
      </c>
      <c r="X16" s="44">
        <f>(X14-X15)*'R&amp;S - Transportation'!$B$15*('R&amp;S - Transportation'!$B$11*('R&amp;S - Transportation'!$B$19+('R&amp;S - Transportation'!$B$20-'R&amp;S - Transportation'!$B$19)*('Yearly HC Ethylene'!X$3-'Yearly HC Ethylene'!$N$3)/10))</f>
        <v>0.92658841704505646</v>
      </c>
      <c r="Y16" s="44">
        <f>(Y14-Y15)*'R&amp;S - Transportation'!$B$15*('R&amp;S - Transportation'!$B$11*('R&amp;S - Transportation'!$B$20+('R&amp;S - Transportation'!$B$21-'R&amp;S - Transportation'!$B$20)*('Yearly HC Ethylene'!Y$3-'Yearly HC Ethylene'!$X$3)/10))</f>
        <v>1.0619404103115915</v>
      </c>
      <c r="Z16" s="44">
        <f>(Z14-Z15)*'R&amp;S - Transportation'!$B$15*('R&amp;S - Transportation'!$B$11*('R&amp;S - Transportation'!$B$20+('R&amp;S - Transportation'!$B$21-'R&amp;S - Transportation'!$B$20)*('Yearly HC Ethylene'!Z$3-'Yearly HC Ethylene'!$X$3)/10))</f>
        <v>1.1956965709945044</v>
      </c>
      <c r="AA16" s="44">
        <f>(AA14-AA15)*'R&amp;S - Transportation'!$B$15*('R&amp;S - Transportation'!$B$11*('R&amp;S - Transportation'!$B$20+('R&amp;S - Transportation'!$B$21-'R&amp;S - Transportation'!$B$20)*('Yearly HC Ethylene'!AA$3-'Yearly HC Ethylene'!$X$3)/10))</f>
        <v>1.3276066121918177</v>
      </c>
      <c r="AB16" s="44">
        <f>(AB14-AB15)*'R&amp;S - Transportation'!$B$15*('R&amp;S - Transportation'!$B$11*('R&amp;S - Transportation'!$B$20+('R&amp;S - Transportation'!$B$21-'R&amp;S - Transportation'!$B$20)*('Yearly HC Ethylene'!AB$3-'Yearly HC Ethylene'!$X$3)/10))</f>
        <v>1.4574085772137007</v>
      </c>
      <c r="AC16" s="44">
        <f>(AC14-AC15)*'R&amp;S - Transportation'!$B$15*('R&amp;S - Transportation'!$B$11*('R&amp;S - Transportation'!$B$20+('R&amp;S - Transportation'!$B$21-'R&amp;S - Transportation'!$B$20)*('Yearly HC Ethylene'!AC$3-'Yearly HC Ethylene'!$X$3)/10))</f>
        <v>1.5848284373683457</v>
      </c>
      <c r="AD16" s="44">
        <f>(AD14-AD15)*'R&amp;S - Transportation'!$B$15*('R&amp;S - Transportation'!$B$11*('R&amp;S - Transportation'!$B$20+('R&amp;S - Transportation'!$B$21-'R&amp;S - Transportation'!$B$20)*('Yearly HC Ethylene'!AD$3-'Yearly HC Ethylene'!$X$3)/10))</f>
        <v>1.7095796778473475</v>
      </c>
      <c r="AE16" s="44">
        <f>(AE14-AE15)*'R&amp;S - Transportation'!$B$15*('R&amp;S - Transportation'!$B$11*('R&amp;S - Transportation'!$B$20+('R&amp;S - Transportation'!$B$21-'R&amp;S - Transportation'!$B$20)*('Yearly HC Ethylene'!AE$3-'Yearly HC Ethylene'!$X$3)/10))</f>
        <v>1.831362871390354</v>
      </c>
      <c r="AF16" s="44">
        <f>(AF14-AF15)*'R&amp;S - Transportation'!$B$15*('R&amp;S - Transportation'!$B$11*('R&amp;S - Transportation'!$B$20+('R&amp;S - Transportation'!$B$21-'R&amp;S - Transportation'!$B$20)*('Yearly HC Ethylene'!AF$3-'Yearly HC Ethylene'!$X$3)/10))</f>
        <v>1.9498652394006959</v>
      </c>
      <c r="AG16" s="44">
        <f>(AG14-AG15)*'R&amp;S - Transportation'!$B$15*('R&amp;S - Transportation'!$B$11*('R&amp;S - Transportation'!$B$20+('R&amp;S - Transportation'!$B$21-'R&amp;S - Transportation'!$B$20)*('Yearly HC Ethylene'!AG$3-'Yearly HC Ethylene'!$X$3)/10))</f>
        <v>2.0647602001754404</v>
      </c>
      <c r="AH16" s="44">
        <f>(AH14-AH15)*'R&amp;S - Transportation'!$B$15*('R&amp;S - Transportation'!$B$11*('R&amp;S - Transportation'!$B$20+('R&amp;S - Transportation'!$B$21-'R&amp;S - Transportation'!$B$20)*('Yearly HC Ethylene'!AH$3-'Yearly HC Ethylene'!$X$3)/10))</f>
        <v>2.1757069039048429</v>
      </c>
      <c r="AM16" t="s">
        <v>261</v>
      </c>
      <c r="AN16">
        <v>99.242307692307676</v>
      </c>
    </row>
    <row r="17" spans="1:40" outlineLevel="1" x14ac:dyDescent="0.2">
      <c r="B17" s="1" t="s">
        <v>168</v>
      </c>
      <c r="C17" s="54" t="s">
        <v>153</v>
      </c>
      <c r="D17" s="44">
        <f>SUM(D15:D16)</f>
        <v>0</v>
      </c>
      <c r="E17" s="44">
        <f t="shared" ref="E17:AH17" si="4">SUM(E15:E16)</f>
        <v>4.6591828136592017E-2</v>
      </c>
      <c r="F17" s="44">
        <f t="shared" si="4"/>
        <v>9.4834917681669212E-2</v>
      </c>
      <c r="G17" s="44">
        <f t="shared" si="4"/>
        <v>0.14477234626464139</v>
      </c>
      <c r="H17" s="44">
        <f t="shared" si="4"/>
        <v>0.19644817312904245</v>
      </c>
      <c r="I17" s="44">
        <f t="shared" si="4"/>
        <v>0.24990745974487452</v>
      </c>
      <c r="J17" s="44">
        <f t="shared" si="4"/>
        <v>0.3051962908291192</v>
      </c>
      <c r="K17" s="44">
        <f t="shared" si="4"/>
        <v>0.36236179578212235</v>
      </c>
      <c r="L17" s="44">
        <f t="shared" si="4"/>
        <v>0.42145217054769785</v>
      </c>
      <c r="M17" s="44">
        <f t="shared" si="4"/>
        <v>0.48251669990493784</v>
      </c>
      <c r="N17" s="44">
        <f>SUM(N15:N16)</f>
        <v>0.54560578019986183</v>
      </c>
      <c r="O17" s="44">
        <f t="shared" si="4"/>
        <v>0.72205433466493618</v>
      </c>
      <c r="P17" s="44">
        <f t="shared" si="4"/>
        <v>0.90464269880590842</v>
      </c>
      <c r="Q17" s="44">
        <f t="shared" si="4"/>
        <v>1.0935139531579741</v>
      </c>
      <c r="R17" s="44">
        <f t="shared" si="4"/>
        <v>1.2888136833001966</v>
      </c>
      <c r="S17" s="44">
        <f t="shared" si="4"/>
        <v>1.4906900080192209</v>
      </c>
      <c r="T17" s="44">
        <f t="shared" si="4"/>
        <v>1.699293607343392</v>
      </c>
      <c r="U17" s="44">
        <f t="shared" si="4"/>
        <v>1.9147777504269037</v>
      </c>
      <c r="V17" s="44">
        <f t="shared" si="4"/>
        <v>2.1372983232627951</v>
      </c>
      <c r="W17" s="44">
        <f t="shared" si="4"/>
        <v>2.3670138562027669</v>
      </c>
      <c r="X17" s="44">
        <f t="shared" si="4"/>
        <v>2.6040855512609253</v>
      </c>
      <c r="Y17" s="44">
        <f t="shared" si="4"/>
        <v>3.029357884867375</v>
      </c>
      <c r="Z17" s="44">
        <f t="shared" si="4"/>
        <v>3.4638662407433403</v>
      </c>
      <c r="AA17" s="44">
        <f t="shared" si="4"/>
        <v>3.9076696371927016</v>
      </c>
      <c r="AB17" s="44">
        <f t="shared" si="4"/>
        <v>4.3608232304574539</v>
      </c>
      <c r="AC17" s="44">
        <f t="shared" si="4"/>
        <v>4.8233780957469081</v>
      </c>
      <c r="AD17" s="44">
        <f t="shared" si="4"/>
        <v>5.2953810004621031</v>
      </c>
      <c r="AE17" s="44">
        <f t="shared" si="4"/>
        <v>5.7768741693835963</v>
      </c>
      <c r="AF17" s="44">
        <f t="shared" si="4"/>
        <v>6.2678950415845529</v>
      </c>
      <c r="AG17" s="44">
        <f t="shared" si="4"/>
        <v>6.7684760188247051</v>
      </c>
      <c r="AH17" s="44">
        <f t="shared" si="4"/>
        <v>7.2786442051741975</v>
      </c>
      <c r="AI17" s="44"/>
      <c r="AM17" t="s">
        <v>260</v>
      </c>
      <c r="AN17">
        <v>35.792307692307688</v>
      </c>
    </row>
    <row r="18" spans="1:40" outlineLevel="1" x14ac:dyDescent="0.2">
      <c r="B18" s="1" t="s">
        <v>172</v>
      </c>
      <c r="C18" s="54" t="s">
        <v>153</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M18" t="s">
        <v>262</v>
      </c>
      <c r="AN18">
        <v>58.22060439560439</v>
      </c>
    </row>
    <row r="19" spans="1:40" s="190" customFormat="1" x14ac:dyDescent="0.2">
      <c r="A19" s="190" t="s">
        <v>197</v>
      </c>
      <c r="B19" s="190" t="s">
        <v>67</v>
      </c>
      <c r="C19" s="191" t="s">
        <v>153</v>
      </c>
      <c r="D19" s="192">
        <f>D14-D17-D18</f>
        <v>8.4778361655826675</v>
      </c>
      <c r="E19" s="192">
        <f t="shared" ref="E19:AG19" si="5">E14-E17-E18</f>
        <v>8.592611471021776</v>
      </c>
      <c r="F19" s="192">
        <f t="shared" si="5"/>
        <v>8.708771902942118</v>
      </c>
      <c r="G19" s="192">
        <f t="shared" si="5"/>
        <v>8.8263309858009329</v>
      </c>
      <c r="H19" s="192">
        <f>H14-H17-H18</f>
        <v>8.9453023093961814</v>
      </c>
      <c r="I19" s="192">
        <f t="shared" si="5"/>
        <v>9.0656995274926579</v>
      </c>
      <c r="J19" s="192">
        <f t="shared" si="5"/>
        <v>9.1875363563914902</v>
      </c>
      <c r="K19" s="192">
        <f t="shared" si="5"/>
        <v>9.3108265734416786</v>
      </c>
      <c r="L19" s="192">
        <f t="shared" si="5"/>
        <v>9.4355840154923563</v>
      </c>
      <c r="M19" s="192">
        <f t="shared" si="5"/>
        <v>9.5618225772844152</v>
      </c>
      <c r="N19" s="192">
        <f>N14-N17-N18</f>
        <v>9.6895562097801005</v>
      </c>
      <c r="O19" s="192">
        <f t="shared" si="5"/>
        <v>9.7381307020064973</v>
      </c>
      <c r="P19" s="192">
        <f t="shared" si="5"/>
        <v>9.7852582063294005</v>
      </c>
      <c r="Q19" s="192">
        <f t="shared" si="5"/>
        <v>9.8308901664933845</v>
      </c>
      <c r="R19" s="192">
        <f t="shared" si="5"/>
        <v>9.8749773787991728</v>
      </c>
      <c r="S19" s="192">
        <f t="shared" si="5"/>
        <v>9.9174699997808133</v>
      </c>
      <c r="T19" s="192">
        <f t="shared" si="5"/>
        <v>9.9583175546941831</v>
      </c>
      <c r="U19" s="192">
        <f t="shared" si="5"/>
        <v>9.9974689468500344</v>
      </c>
      <c r="V19" s="192">
        <f t="shared" si="5"/>
        <v>10.034872467825814</v>
      </c>
      <c r="W19" s="192">
        <f t="shared" si="5"/>
        <v>10.070475808591599</v>
      </c>
      <c r="X19" s="192">
        <f t="shared" si="5"/>
        <v>10.104226071586567</v>
      </c>
      <c r="Y19" s="192">
        <f t="shared" si="5"/>
        <v>9.9312315390837664</v>
      </c>
      <c r="Z19" s="192">
        <f t="shared" si="5"/>
        <v>9.7539057274899683</v>
      </c>
      <c r="AA19" s="192">
        <f t="shared" si="5"/>
        <v>9.5722834714848481</v>
      </c>
      <c r="AB19" s="192">
        <f t="shared" si="5"/>
        <v>9.3864052413406203</v>
      </c>
      <c r="AC19" s="192">
        <f t="shared" si="5"/>
        <v>9.1963173950693786</v>
      </c>
      <c r="AD19" s="192">
        <f t="shared" si="5"/>
        <v>9.0020724389906697</v>
      </c>
      <c r="AE19" s="192">
        <f t="shared" si="5"/>
        <v>8.8037292969624552</v>
      </c>
      <c r="AF19" s="192">
        <f t="shared" si="5"/>
        <v>8.60135358852515</v>
      </c>
      <c r="AG19" s="192">
        <f t="shared" si="5"/>
        <v>8.3950179162148348</v>
      </c>
      <c r="AH19" s="192">
        <f>AH14-AH17-AH18</f>
        <v>8.184802162308694</v>
      </c>
      <c r="AM19" s="190" t="s">
        <v>265</v>
      </c>
      <c r="AN19" s="190">
        <v>74.98846153846155</v>
      </c>
    </row>
    <row r="20" spans="1:40" s="67" customFormat="1" x14ac:dyDescent="0.2">
      <c r="A20" s="687" t="s">
        <v>257</v>
      </c>
      <c r="B20" s="58" t="s">
        <v>258</v>
      </c>
      <c r="C20" s="59" t="s">
        <v>153</v>
      </c>
      <c r="D20" s="60">
        <f>D19*('Demand Breakdown - Ethylene'!$C$75)</f>
        <v>2.4605530832803555</v>
      </c>
      <c r="E20" s="60">
        <f>E19*('Demand Breakdown - Ethylene'!$C$75)</f>
        <v>2.4938647357075565</v>
      </c>
      <c r="F20" s="60">
        <f>F19*('Demand Breakdown - Ethylene'!$C$75)</f>
        <v>2.5275783984080826</v>
      </c>
      <c r="G20" s="60">
        <f>G19*('Demand Breakdown - Ethylene'!$C$75)</f>
        <v>2.561697996634122</v>
      </c>
      <c r="H20" s="60">
        <f>H19*('Demand Breakdown - Ethylene'!$C$75)</f>
        <v>2.5962274746019371</v>
      </c>
      <c r="I20" s="60">
        <f>I19*('Demand Breakdown - Ethylene'!$C$75)</f>
        <v>2.6311707950931162</v>
      </c>
      <c r="J20" s="60">
        <f>J19*('Demand Breakdown - Ethylene'!$C$75)</f>
        <v>2.6665319390393933</v>
      </c>
      <c r="K20" s="60">
        <f>K19*('Demand Breakdown - Ethylene'!$C$75)</f>
        <v>2.7023149050906481</v>
      </c>
      <c r="L20" s="60">
        <f>L19*('Demand Breakdown - Ethylene'!$C$75)</f>
        <v>2.7385237091656993</v>
      </c>
      <c r="M20" s="60">
        <f>M19*('Demand Breakdown - Ethylene'!$C$75)</f>
        <v>2.7751623839854997</v>
      </c>
      <c r="N20" s="60">
        <f>N19*('Demand Breakdown - Ethylene'!$C$75)</f>
        <v>2.81223497858833</v>
      </c>
      <c r="O20" s="60">
        <f>O19*('Demand Breakdown - Ethylene'!$C$75)</f>
        <v>2.8263329293250581</v>
      </c>
      <c r="P20" s="60">
        <f>P19*('Demand Breakdown - Ethylene'!$C$75)</f>
        <v>2.840010915523917</v>
      </c>
      <c r="Q20" s="60">
        <f>Q19*('Demand Breakdown - Ethylene'!$C$75)</f>
        <v>2.8532548445271031</v>
      </c>
      <c r="R20" s="60">
        <f>R19*('Demand Breakdown - Ethylene'!$C$75)</f>
        <v>2.8660504357668386</v>
      </c>
      <c r="S20" s="60">
        <f>S19*('Demand Breakdown - Ethylene'!$C$75)</f>
        <v>2.8783832229935489</v>
      </c>
      <c r="T20" s="60">
        <f>T19*('Demand Breakdown - Ethylene'!$C$75)</f>
        <v>2.8902385567395092</v>
      </c>
      <c r="U20" s="60">
        <f>U19*('Demand Breakdown - Ethylene'!$C$75)</f>
        <v>2.9016016070276103</v>
      </c>
      <c r="V20" s="60">
        <f>V19*('Demand Breakdown - Ethylene'!$C$75)</f>
        <v>2.9124573663351705</v>
      </c>
      <c r="W20" s="60">
        <f>W19*('Demand Breakdown - Ethylene'!$C$75)</f>
        <v>2.9227906528230574</v>
      </c>
      <c r="X20" s="60">
        <f>X19*('Demand Breakdown - Ethylene'!$C$75)</f>
        <v>2.9325861138406841</v>
      </c>
      <c r="Y20" s="60">
        <f>Y19*('Demand Breakdown - Ethylene'!$C$75)</f>
        <v>2.8823772843673732</v>
      </c>
      <c r="Z20" s="60">
        <f>Z19*('Demand Breakdown - Ethylene'!$C$75)</f>
        <v>2.8309113720826287</v>
      </c>
      <c r="AA20" s="60">
        <f>AA19*('Demand Breakdown - Ethylene'!$C$75)</f>
        <v>2.7781984871816476</v>
      </c>
      <c r="AB20" s="60">
        <f>AB19*('Demand Breakdown - Ethylene'!$C$75)</f>
        <v>2.7242503754980527</v>
      </c>
      <c r="AC20" s="60">
        <f>AC19*('Demand Breakdown - Ethylene'!$C$75)</f>
        <v>2.6690804916855266</v>
      </c>
      <c r="AD20" s="60">
        <f>AD19*('Demand Breakdown - Ethylene'!$C$75)</f>
        <v>2.6127040748432844</v>
      </c>
      <c r="AE20" s="60">
        <f>AE19*('Demand Breakdown - Ethylene'!$C$75)</f>
        <v>2.555138226655949</v>
      </c>
      <c r="AF20" s="60">
        <f>AF19*('Demand Breakdown - Ethylene'!$C$75)</f>
        <v>2.4964019921203016</v>
      </c>
      <c r="AG20" s="60">
        <f>AG19*('Demand Breakdown - Ethylene'!$C$75)</f>
        <v>2.4365164429332373</v>
      </c>
      <c r="AH20" s="60">
        <f>AH19*('Demand Breakdown - Ethylene'!$C$75)</f>
        <v>2.3755047636172679</v>
      </c>
      <c r="AM20" s="67" t="s">
        <v>246</v>
      </c>
      <c r="AN20" s="67">
        <v>13.921499536836064</v>
      </c>
    </row>
    <row r="21" spans="1:40" x14ac:dyDescent="0.2">
      <c r="A21" s="688"/>
      <c r="B21" s="1" t="s">
        <v>260</v>
      </c>
      <c r="C21" s="54" t="s">
        <v>153</v>
      </c>
      <c r="D21" s="44">
        <f>D25/('Demand Breakdown - Ethylene'!$K$14)</f>
        <v>0</v>
      </c>
      <c r="E21" s="44">
        <f>E25/('Demand Breakdown - Ethylene'!$K$14)</f>
        <v>0</v>
      </c>
      <c r="F21" s="44">
        <f>F25/('Demand Breakdown - Ethylene'!$K$14)</f>
        <v>0</v>
      </c>
      <c r="G21" s="44">
        <f>G25/('Demand Breakdown - Ethylene'!$K$14)</f>
        <v>0</v>
      </c>
      <c r="H21" s="44">
        <f>H25/('Demand Breakdown - Ethylene'!$K$14)</f>
        <v>0</v>
      </c>
      <c r="I21" s="44">
        <f>I25/('Demand Breakdown - Ethylene'!$K$14)</f>
        <v>0</v>
      </c>
      <c r="J21" s="44">
        <f>J25/('Demand Breakdown - Ethylene'!$K$14)</f>
        <v>0</v>
      </c>
      <c r="K21" s="44">
        <f>K25/('Demand Breakdown - Ethylene'!$K$14)</f>
        <v>0</v>
      </c>
      <c r="L21" s="44">
        <f>L25/('Demand Breakdown - Ethylene'!$K$14)</f>
        <v>0</v>
      </c>
      <c r="M21" s="44">
        <f>M25/('Demand Breakdown - Ethylene'!$K$14)</f>
        <v>0</v>
      </c>
      <c r="N21" s="44">
        <f>N25/('Demand Breakdown - Ethylene'!$K$14)</f>
        <v>0</v>
      </c>
      <c r="O21" s="44">
        <f>O25/('Demand Breakdown - Ethylene'!$K$14)</f>
        <v>0</v>
      </c>
      <c r="P21" s="44">
        <f>P25/('Demand Breakdown - Ethylene'!$K$14)</f>
        <v>0</v>
      </c>
      <c r="Q21" s="44">
        <f>Q25/('Demand Breakdown - Ethylene'!$K$14)</f>
        <v>0</v>
      </c>
      <c r="R21" s="44">
        <f>R25/('Demand Breakdown - Ethylene'!$K$14)</f>
        <v>0</v>
      </c>
      <c r="S21" s="44">
        <f>S25/('Demand Breakdown - Ethylene'!$K$14)</f>
        <v>0</v>
      </c>
      <c r="T21" s="44">
        <f>T25/('Demand Breakdown - Ethylene'!$K$14)</f>
        <v>0</v>
      </c>
      <c r="U21" s="44">
        <f>U25/('Demand Breakdown - Ethylene'!$K$14)</f>
        <v>0</v>
      </c>
      <c r="V21" s="44">
        <f>V25/('Demand Breakdown - Ethylene'!$K$14)</f>
        <v>0</v>
      </c>
      <c r="W21" s="44">
        <f>W25/('Demand Breakdown - Ethylene'!$K$14)</f>
        <v>0</v>
      </c>
      <c r="X21" s="44">
        <f>X25/('Demand Breakdown - Ethylene'!$K$14)</f>
        <v>0</v>
      </c>
      <c r="Y21" s="44">
        <f>Y25/('Demand Breakdown - Ethylene'!$K$14)</f>
        <v>0</v>
      </c>
      <c r="Z21" s="44">
        <f>Z25/('Demand Breakdown - Ethylene'!$K$14)</f>
        <v>0</v>
      </c>
      <c r="AA21" s="44">
        <f>AA25/('Demand Breakdown - Ethylene'!$K$14)</f>
        <v>0</v>
      </c>
      <c r="AB21" s="44">
        <f>AB25/('Demand Breakdown - Ethylene'!$K$14)</f>
        <v>0</v>
      </c>
      <c r="AC21" s="44">
        <f>AC25/('Demand Breakdown - Ethylene'!$K$14)</f>
        <v>0</v>
      </c>
      <c r="AD21" s="44">
        <f>AD25/('Demand Breakdown - Ethylene'!$K$14)</f>
        <v>0</v>
      </c>
      <c r="AE21" s="44">
        <f>AE25/('Demand Breakdown - Ethylene'!$K$14)</f>
        <v>0</v>
      </c>
      <c r="AF21" s="44">
        <f>AF25/('Demand Breakdown - Ethylene'!$K$14)</f>
        <v>0</v>
      </c>
      <c r="AG21" s="44">
        <f>AG25/('Demand Breakdown - Ethylene'!$K$14)</f>
        <v>0</v>
      </c>
      <c r="AH21" s="44">
        <f>AH25/('Demand Breakdown - Ethylene'!$K$14)</f>
        <v>0</v>
      </c>
      <c r="AM21" t="s">
        <v>267</v>
      </c>
      <c r="AN21">
        <v>36.9543956043956</v>
      </c>
    </row>
    <row r="22" spans="1:40" x14ac:dyDescent="0.2">
      <c r="A22" s="688"/>
      <c r="B22" s="1" t="s">
        <v>262</v>
      </c>
      <c r="C22" s="54" t="s">
        <v>153</v>
      </c>
      <c r="D22" s="44">
        <f>D24/('Demand Breakdown - Ethylene'!$M$14)</f>
        <v>0.50059171597633134</v>
      </c>
      <c r="E22" s="44">
        <f>E24/('Demand Breakdown - Ethylene'!$M$14)</f>
        <v>0.50736886594470676</v>
      </c>
      <c r="F22" s="44">
        <f>F24/('Demand Breakdown - Ethylene'!$M$14)</f>
        <v>0.51422780362736942</v>
      </c>
      <c r="G22" s="44">
        <f>G24/('Demand Breakdown - Ethylene'!$M$14)</f>
        <v>0.52116932760441992</v>
      </c>
      <c r="H22" s="44">
        <f>H24/('Demand Breakdown - Ethylene'!$M$14)</f>
        <v>0.52819424031413942</v>
      </c>
      <c r="I22" s="44">
        <f>I24/('Demand Breakdown - Ethylene'!$M$14)</f>
        <v>0.53530334797186563</v>
      </c>
      <c r="J22" s="44">
        <f>J24/('Demand Breakdown - Ethylene'!$M$14)</f>
        <v>0.54249746048552605</v>
      </c>
      <c r="K22" s="44">
        <f>K24/('Demand Breakdown - Ethylene'!$M$14)</f>
        <v>0.5497773913677485</v>
      </c>
      <c r="L22" s="44">
        <f>L24/('Demand Breakdown - Ethylene'!$M$14)</f>
        <v>0.55714395764447189</v>
      </c>
      <c r="M22" s="44">
        <f>M24/('Demand Breakdown - Ethylene'!$M$14)</f>
        <v>0.56459797975997561</v>
      </c>
      <c r="N22" s="44">
        <f>N24/('Demand Breakdown - Ethylene'!$M$14)</f>
        <v>0.57214028147824791</v>
      </c>
      <c r="O22" s="44">
        <f>O24/('Demand Breakdown - Ethylene'!$M$14)</f>
        <v>0.57500846481434564</v>
      </c>
      <c r="P22" s="44">
        <f>P24/('Demand Breakdown - Ethylene'!$M$14)</f>
        <v>0.57779120769801429</v>
      </c>
      <c r="Q22" s="44">
        <f>Q24/('Demand Breakdown - Ethylene'!$M$14)</f>
        <v>0.58048564302274819</v>
      </c>
      <c r="R22" s="44">
        <f>R24/('Demand Breakdown - Ethylene'!$M$14)</f>
        <v>0.58308886545235394</v>
      </c>
      <c r="S22" s="44">
        <f>S24/('Demand Breakdown - Ethylene'!$M$14)</f>
        <v>0.58559793187426545</v>
      </c>
      <c r="T22" s="44">
        <f>T24/('Demand Breakdown - Ethylene'!$M$14)</f>
        <v>0.5880098619007661</v>
      </c>
      <c r="U22" s="44">
        <f>U24/('Demand Breakdown - Ethylene'!$M$14)</f>
        <v>0.59032163842007712</v>
      </c>
      <c r="V22" s="44">
        <f>V24/('Demand Breakdown - Ethylene'!$M$14)</f>
        <v>0.59253020819933699</v>
      </c>
      <c r="W22" s="44">
        <f>W24/('Demand Breakdown - Ethylene'!$M$14)</f>
        <v>0.59463248254155521</v>
      </c>
      <c r="X22" s="44">
        <f>X24/('Demand Breakdown - Ethylene'!$M$14)</f>
        <v>0.59662533799869322</v>
      </c>
      <c r="Y22" s="44">
        <f>Y24/('Demand Breakdown - Ethylene'!$M$14)</f>
        <v>0.58641051098520747</v>
      </c>
      <c r="Z22" s="44">
        <f>Z24/('Demand Breakdown - Ethylene'!$M$14)</f>
        <v>0.57593993446321667</v>
      </c>
      <c r="AA22" s="44">
        <f>AA24/('Demand Breakdown - Ethylene'!$M$14)</f>
        <v>0.56521566531984768</v>
      </c>
      <c r="AB22" s="44">
        <f>AB24/('Demand Breakdown - Ethylene'!$M$14)</f>
        <v>0.55424009320767442</v>
      </c>
      <c r="AC22" s="44">
        <f>AC24/('Demand Breakdown - Ethylene'!$M$14)</f>
        <v>0.54301595543328918</v>
      </c>
      <c r="AD22" s="44">
        <f>AD24/('Demand Breakdown - Ethylene'!$M$14)</f>
        <v>0.53154635234306424</v>
      </c>
      <c r="AE22" s="44">
        <f>AE24/('Demand Breakdown - Ethylene'!$M$14)</f>
        <v>0.51983476322046207</v>
      </c>
      <c r="AF22" s="44">
        <f>AF24/('Demand Breakdown - Ethylene'!$M$14)</f>
        <v>0.50788506270963685</v>
      </c>
      <c r="AG22" s="44">
        <f>AG24/('Demand Breakdown - Ethylene'!$M$14)</f>
        <v>0.49570153778044851</v>
      </c>
      <c r="AH22" s="44">
        <f>AH24/('Demand Breakdown - Ethylene'!$M$14)</f>
        <v>0.48328890525042356</v>
      </c>
      <c r="AM22" t="s">
        <v>269</v>
      </c>
      <c r="AN22">
        <v>72.069048712238668</v>
      </c>
    </row>
    <row r="23" spans="1:40" s="68" customFormat="1" x14ac:dyDescent="0.2">
      <c r="A23" s="689"/>
      <c r="B23" s="62" t="s">
        <v>248</v>
      </c>
      <c r="C23" s="283" t="s">
        <v>153</v>
      </c>
      <c r="D23" s="284">
        <f>D19-SUM(D21,D20,D22)</f>
        <v>5.5166913663259809</v>
      </c>
      <c r="E23" s="284">
        <f t="shared" ref="E23:AH23" si="6">E19-SUM(E21,E20,E22)</f>
        <v>5.5913778693695129</v>
      </c>
      <c r="F23" s="284">
        <f t="shared" si="6"/>
        <v>5.6669657009066654</v>
      </c>
      <c r="G23" s="284">
        <f t="shared" si="6"/>
        <v>5.7434636615623909</v>
      </c>
      <c r="H23" s="284">
        <f t="shared" si="6"/>
        <v>5.820880594480105</v>
      </c>
      <c r="I23" s="284">
        <f t="shared" si="6"/>
        <v>5.8992253844276759</v>
      </c>
      <c r="J23" s="284">
        <f t="shared" si="6"/>
        <v>5.9785069568665712</v>
      </c>
      <c r="K23" s="284">
        <f t="shared" si="6"/>
        <v>6.0587342769832819</v>
      </c>
      <c r="L23" s="284">
        <f t="shared" si="6"/>
        <v>6.1399163486821848</v>
      </c>
      <c r="M23" s="284">
        <f t="shared" si="6"/>
        <v>6.2220622135389396</v>
      </c>
      <c r="N23" s="284">
        <f t="shared" si="6"/>
        <v>6.3051809497135221</v>
      </c>
      <c r="O23" s="284">
        <f t="shared" si="6"/>
        <v>6.3367893078670932</v>
      </c>
      <c r="P23" s="284">
        <f t="shared" si="6"/>
        <v>6.3674560831074691</v>
      </c>
      <c r="Q23" s="284">
        <f t="shared" si="6"/>
        <v>6.3971496789435331</v>
      </c>
      <c r="R23" s="284">
        <f t="shared" si="6"/>
        <v>6.4258380775799804</v>
      </c>
      <c r="S23" s="284">
        <f t="shared" si="6"/>
        <v>6.4534888449129992</v>
      </c>
      <c r="T23" s="284">
        <f t="shared" si="6"/>
        <v>6.480069136053908</v>
      </c>
      <c r="U23" s="284">
        <f t="shared" si="6"/>
        <v>6.5055457014023474</v>
      </c>
      <c r="V23" s="284">
        <f t="shared" si="6"/>
        <v>6.5298848932913067</v>
      </c>
      <c r="W23" s="284">
        <f t="shared" si="6"/>
        <v>6.5530526732269863</v>
      </c>
      <c r="X23" s="284">
        <f t="shared" si="6"/>
        <v>6.575014619747189</v>
      </c>
      <c r="Y23" s="284">
        <f t="shared" si="6"/>
        <v>6.4624437437311855</v>
      </c>
      <c r="Z23" s="284">
        <f t="shared" si="6"/>
        <v>6.3470544209441231</v>
      </c>
      <c r="AA23" s="284">
        <f t="shared" si="6"/>
        <v>6.2288693189833531</v>
      </c>
      <c r="AB23" s="284">
        <f t="shared" si="6"/>
        <v>6.107914772634893</v>
      </c>
      <c r="AC23" s="284">
        <f t="shared" si="6"/>
        <v>5.984220947950563</v>
      </c>
      <c r="AD23" s="284">
        <f t="shared" si="6"/>
        <v>5.8578220118043216</v>
      </c>
      <c r="AE23" s="284">
        <f t="shared" si="6"/>
        <v>5.7287563070860443</v>
      </c>
      <c r="AF23" s="284">
        <f t="shared" si="6"/>
        <v>5.5970665336952115</v>
      </c>
      <c r="AG23" s="284">
        <f t="shared" si="6"/>
        <v>5.462799935501149</v>
      </c>
      <c r="AH23" s="284">
        <f t="shared" si="6"/>
        <v>5.3260084934410026</v>
      </c>
    </row>
    <row r="24" spans="1:40" s="67" customFormat="1" x14ac:dyDescent="0.2">
      <c r="A24" s="687" t="s">
        <v>263</v>
      </c>
      <c r="B24" s="58" t="s">
        <v>264</v>
      </c>
      <c r="C24" s="59" t="s">
        <v>153</v>
      </c>
      <c r="D24" s="60">
        <f>D19*'Demand Breakdown - Ethylene'!$E$75</f>
        <v>0.48056804733727804</v>
      </c>
      <c r="E24" s="60">
        <f>E19*'Demand Breakdown - Ethylene'!$E$75</f>
        <v>0.48707411130691847</v>
      </c>
      <c r="F24" s="60">
        <f>F19*'Demand Breakdown - Ethylene'!$E$75</f>
        <v>0.49365869148227465</v>
      </c>
      <c r="G24" s="60">
        <f>G19*'Demand Breakdown - Ethylene'!$E$75</f>
        <v>0.5003225545002431</v>
      </c>
      <c r="H24" s="60">
        <f>H19*'Demand Breakdown - Ethylene'!$E$75</f>
        <v>0.50706647070157385</v>
      </c>
      <c r="I24" s="60">
        <f>I19*'Demand Breakdown - Ethylene'!$E$75</f>
        <v>0.51389121405299099</v>
      </c>
      <c r="J24" s="60">
        <f>J19*'Demand Breakdown - Ethylene'!$E$75</f>
        <v>0.52079756206610495</v>
      </c>
      <c r="K24" s="60">
        <f>K19*'Demand Breakdown - Ethylene'!$E$75</f>
        <v>0.52778629571303859</v>
      </c>
      <c r="L24" s="60">
        <f>L19*'Demand Breakdown - Ethylene'!$E$75</f>
        <v>0.53485819933869294</v>
      </c>
      <c r="M24" s="60">
        <f>M19*'Demand Breakdown - Ethylene'!$E$75</f>
        <v>0.54201406056957657</v>
      </c>
      <c r="N24" s="60">
        <f>N19*'Demand Breakdown - Ethylene'!$E$75</f>
        <v>0.549254670219118</v>
      </c>
      <c r="O24" s="60">
        <f>O19*'Demand Breakdown - Ethylene'!$E$75</f>
        <v>0.55200812622177176</v>
      </c>
      <c r="P24" s="60">
        <f>P19*'Demand Breakdown - Ethylene'!$E$75</f>
        <v>0.55467955939009372</v>
      </c>
      <c r="Q24" s="60">
        <f>Q19*'Demand Breakdown - Ethylene'!$E$75</f>
        <v>0.55726621730183823</v>
      </c>
      <c r="R24" s="60">
        <f>R19*'Demand Breakdown - Ethylene'!$E$75</f>
        <v>0.55976531083425973</v>
      </c>
      <c r="S24" s="60">
        <f>S19*'Demand Breakdown - Ethylene'!$E$75</f>
        <v>0.56217401459929484</v>
      </c>
      <c r="T24" s="60">
        <f>T19*'Demand Breakdown - Ethylene'!$E$75</f>
        <v>0.56448946742473538</v>
      </c>
      <c r="U24" s="60">
        <f>U19*'Demand Breakdown - Ethylene'!$E$75</f>
        <v>0.56670877288327404</v>
      </c>
      <c r="V24" s="60">
        <f>V19*'Demand Breakdown - Ethylene'!$E$75</f>
        <v>0.56882899987136348</v>
      </c>
      <c r="W24" s="60">
        <f>W19*'Demand Breakdown - Ethylene'!$E$75</f>
        <v>0.57084718323989303</v>
      </c>
      <c r="X24" s="60">
        <f>X19*'Demand Breakdown - Ethylene'!$E$75</f>
        <v>0.57276032447874548</v>
      </c>
      <c r="Y24" s="60">
        <f>Y19*'Demand Breakdown - Ethylene'!$E$75</f>
        <v>0.56295409054579915</v>
      </c>
      <c r="Z24" s="60">
        <f>Z19*'Demand Breakdown - Ethylene'!$E$75</f>
        <v>0.55290233708468794</v>
      </c>
      <c r="AA24" s="60">
        <f>AA19*'Demand Breakdown - Ethylene'!$E$75</f>
        <v>0.54260703870705373</v>
      </c>
      <c r="AB24" s="60">
        <f>AB19*'Demand Breakdown - Ethylene'!$E$75</f>
        <v>0.53207048947936741</v>
      </c>
      <c r="AC24" s="60">
        <f>AC19*'Demand Breakdown - Ethylene'!$E$75</f>
        <v>0.52129531721595757</v>
      </c>
      <c r="AD24" s="60">
        <f>AD19*'Demand Breakdown - Ethylene'!$E$75</f>
        <v>0.51028449824934163</v>
      </c>
      <c r="AE24" s="60">
        <f>AE19*'Demand Breakdown - Ethylene'!$E$75</f>
        <v>0.49904137269164356</v>
      </c>
      <c r="AF24" s="60">
        <f>AF19*'Demand Breakdown - Ethylene'!$E$75</f>
        <v>0.48756966020125131</v>
      </c>
      <c r="AG24" s="60">
        <f>AG19*'Demand Breakdown - Ethylene'!$E$75</f>
        <v>0.47587347626923054</v>
      </c>
      <c r="AH24" s="60">
        <f>AH19*'Demand Breakdown - Ethylene'!$E$75</f>
        <v>0.46395734904040659</v>
      </c>
    </row>
    <row r="25" spans="1:40" s="68" customFormat="1" x14ac:dyDescent="0.2">
      <c r="A25" s="689"/>
      <c r="B25" s="62" t="s">
        <v>266</v>
      </c>
      <c r="C25" s="283" t="s">
        <v>153</v>
      </c>
      <c r="D25" s="284">
        <f>D19*'Demand Breakdown - Ethylene'!$D$75/'Demand Breakdown - Ethylene'!$L$24</f>
        <v>0</v>
      </c>
      <c r="E25" s="284">
        <f>E19*'Demand Breakdown - Ethylene'!$D$75/'Demand Breakdown - Ethylene'!$L$24</f>
        <v>0</v>
      </c>
      <c r="F25" s="284">
        <f>F19*'Demand Breakdown - Ethylene'!$D$75/'Demand Breakdown - Ethylene'!$L$24</f>
        <v>0</v>
      </c>
      <c r="G25" s="284">
        <f>G19*'Demand Breakdown - Ethylene'!$D$75/'Demand Breakdown - Ethylene'!$L$24</f>
        <v>0</v>
      </c>
      <c r="H25" s="284">
        <f>H19*'Demand Breakdown - Ethylene'!$D$75/'Demand Breakdown - Ethylene'!$L$24</f>
        <v>0</v>
      </c>
      <c r="I25" s="284">
        <f>I19*'Demand Breakdown - Ethylene'!$D$75/'Demand Breakdown - Ethylene'!$L$24</f>
        <v>0</v>
      </c>
      <c r="J25" s="284">
        <f>J19*'Demand Breakdown - Ethylene'!$D$75/'Demand Breakdown - Ethylene'!$L$24</f>
        <v>0</v>
      </c>
      <c r="K25" s="284">
        <f>K19*'Demand Breakdown - Ethylene'!$D$75/'Demand Breakdown - Ethylene'!$L$24</f>
        <v>0</v>
      </c>
      <c r="L25" s="284">
        <f>L19*'Demand Breakdown - Ethylene'!$D$75/'Demand Breakdown - Ethylene'!$L$24</f>
        <v>0</v>
      </c>
      <c r="M25" s="284">
        <f>M19*'Demand Breakdown - Ethylene'!$D$75/'Demand Breakdown - Ethylene'!$L$24</f>
        <v>0</v>
      </c>
      <c r="N25" s="284">
        <f>N19*'Demand Breakdown - Ethylene'!$D$75/'Demand Breakdown - Ethylene'!$L$24</f>
        <v>0</v>
      </c>
      <c r="O25" s="284">
        <f>O19*'Demand Breakdown - Ethylene'!$D$75/'Demand Breakdown - Ethylene'!$L$24</f>
        <v>0</v>
      </c>
      <c r="P25" s="284">
        <f>P19*'Demand Breakdown - Ethylene'!$D$75/'Demand Breakdown - Ethylene'!$L$24</f>
        <v>0</v>
      </c>
      <c r="Q25" s="284">
        <f>Q19*'Demand Breakdown - Ethylene'!$D$75/'Demand Breakdown - Ethylene'!$L$24</f>
        <v>0</v>
      </c>
      <c r="R25" s="284">
        <f>R19*'Demand Breakdown - Ethylene'!$D$75/'Demand Breakdown - Ethylene'!$L$24</f>
        <v>0</v>
      </c>
      <c r="S25" s="284">
        <f>S19*'Demand Breakdown - Ethylene'!$D$75/'Demand Breakdown - Ethylene'!$L$24</f>
        <v>0</v>
      </c>
      <c r="T25" s="284">
        <f>T19*'Demand Breakdown - Ethylene'!$D$75/'Demand Breakdown - Ethylene'!$L$24</f>
        <v>0</v>
      </c>
      <c r="U25" s="284">
        <f>U19*'Demand Breakdown - Ethylene'!$D$75/'Demand Breakdown - Ethylene'!$L$24</f>
        <v>0</v>
      </c>
      <c r="V25" s="284">
        <f>V19*'Demand Breakdown - Ethylene'!$D$75/'Demand Breakdown - Ethylene'!$L$24</f>
        <v>0</v>
      </c>
      <c r="W25" s="284">
        <f>W19*'Demand Breakdown - Ethylene'!$D$75/'Demand Breakdown - Ethylene'!$L$24</f>
        <v>0</v>
      </c>
      <c r="X25" s="284">
        <f>X19*'Demand Breakdown - Ethylene'!$D$75/'Demand Breakdown - Ethylene'!$L$24</f>
        <v>0</v>
      </c>
      <c r="Y25" s="284">
        <f>Y19*'Demand Breakdown - Ethylene'!$D$75/'Demand Breakdown - Ethylene'!$L$24</f>
        <v>0</v>
      </c>
      <c r="Z25" s="284">
        <f>Z19*'Demand Breakdown - Ethylene'!$D$75/'Demand Breakdown - Ethylene'!$L$24</f>
        <v>0</v>
      </c>
      <c r="AA25" s="284">
        <f>AA19*'Demand Breakdown - Ethylene'!$D$75/'Demand Breakdown - Ethylene'!$L$24</f>
        <v>0</v>
      </c>
      <c r="AB25" s="284">
        <f>AB19*'Demand Breakdown - Ethylene'!$D$75/'Demand Breakdown - Ethylene'!$L$24</f>
        <v>0</v>
      </c>
      <c r="AC25" s="284">
        <f>AC19*'Demand Breakdown - Ethylene'!$D$75/'Demand Breakdown - Ethylene'!$L$24</f>
        <v>0</v>
      </c>
      <c r="AD25" s="284">
        <f>AD19*'Demand Breakdown - Ethylene'!$D$75/'Demand Breakdown - Ethylene'!$L$24</f>
        <v>0</v>
      </c>
      <c r="AE25" s="284">
        <f>AE19*'Demand Breakdown - Ethylene'!$D$75/'Demand Breakdown - Ethylene'!$L$24</f>
        <v>0</v>
      </c>
      <c r="AF25" s="284">
        <f>AF19*'Demand Breakdown - Ethylene'!$D$75/'Demand Breakdown - Ethylene'!$L$24</f>
        <v>0</v>
      </c>
      <c r="AG25" s="284">
        <f>AG19*'Demand Breakdown - Ethylene'!$D$75/'Demand Breakdown - Ethylene'!$L$24</f>
        <v>0</v>
      </c>
      <c r="AH25" s="284">
        <f>AH19*'Demand Breakdown - Ethylene'!$D$75/'Demand Breakdown - Ethylene'!$L$24</f>
        <v>0</v>
      </c>
    </row>
    <row r="26" spans="1:40" x14ac:dyDescent="0.2">
      <c r="A26" s="1" t="s">
        <v>271</v>
      </c>
      <c r="B26" s="1" t="s">
        <v>199</v>
      </c>
      <c r="C26" s="54" t="s">
        <v>153</v>
      </c>
      <c r="D26" s="44">
        <f>'R&amp;S - Packaging and hh goods'!J4</f>
        <v>89.109936202323638</v>
      </c>
      <c r="E26" s="44">
        <f>D26*(1+'R&amp;S - Packaging and hh goods'!$C$5)</f>
        <v>90.357475309156172</v>
      </c>
      <c r="F26" s="44">
        <f>E26*(1+'R&amp;S - Packaging and hh goods'!$C$5)</f>
        <v>91.622479963484366</v>
      </c>
      <c r="G26" s="44">
        <f>F26*(1+'R&amp;S - Packaging and hh goods'!$C$5)</f>
        <v>92.905194682973146</v>
      </c>
      <c r="H26" s="44">
        <f>G26*(1+'R&amp;S - Packaging and hh goods'!$C$5)</f>
        <v>94.205867408534772</v>
      </c>
      <c r="I26" s="44">
        <f>H26*(1+'R&amp;S - Packaging and hh goods'!$C$5)</f>
        <v>95.524749552254264</v>
      </c>
      <c r="J26" s="44">
        <f>I26*(1+'R&amp;S - Packaging and hh goods'!$C$5)</f>
        <v>96.862096045985822</v>
      </c>
      <c r="K26" s="44">
        <f>J26*(1+'R&amp;S - Packaging and hh goods'!$C$5)</f>
        <v>98.218165390629622</v>
      </c>
      <c r="L26" s="44">
        <f>K26*(1+'R&amp;S - Packaging and hh goods'!$C$5)</f>
        <v>99.593219706098438</v>
      </c>
      <c r="M26" s="44">
        <f>L26*(1+'R&amp;S - Packaging and hh goods'!$C$5)</f>
        <v>100.98752478198382</v>
      </c>
      <c r="N26" s="44">
        <f>M26*(1+'R&amp;S - Packaging and hh goods'!$C$5)</f>
        <v>102.4013501289316</v>
      </c>
      <c r="O26" s="44">
        <f>N26*(1+'R&amp;S - Packaging and hh goods'!$C$5)</f>
        <v>103.83496903073664</v>
      </c>
      <c r="P26" s="44">
        <f>O26*(1+'R&amp;S - Packaging and hh goods'!$C$5)</f>
        <v>105.28865859716696</v>
      </c>
      <c r="Q26" s="44">
        <f>P26*(1+'R&amp;S - Packaging and hh goods'!$C$5)</f>
        <v>106.76269981752729</v>
      </c>
      <c r="R26" s="44">
        <f>Q26*(1+'R&amp;S - Packaging and hh goods'!$C$5)</f>
        <v>108.25737761497267</v>
      </c>
      <c r="S26" s="44">
        <f>R26*(1+'R&amp;S - Packaging and hh goods'!$C$5)</f>
        <v>109.77298090158229</v>
      </c>
      <c r="T26" s="44">
        <f>S26*(1+'R&amp;S - Packaging and hh goods'!$C$5)</f>
        <v>111.30980263420444</v>
      </c>
      <c r="U26" s="44">
        <f>T26*(1+'R&amp;S - Packaging and hh goods'!$C$5)</f>
        <v>112.86813987108332</v>
      </c>
      <c r="V26" s="44">
        <f>U26*(1+'R&amp;S - Packaging and hh goods'!$C$5)</f>
        <v>114.44829382927848</v>
      </c>
      <c r="W26" s="44">
        <f>V26*(1+'R&amp;S - Packaging and hh goods'!$C$5)</f>
        <v>116.05056994288839</v>
      </c>
      <c r="X26" s="44">
        <f>W26*(1+'R&amp;S - Packaging and hh goods'!$C$5)</f>
        <v>117.67527792208882</v>
      </c>
      <c r="Y26" s="44">
        <f>X26*(1+'R&amp;S - Packaging and hh goods'!$C$5)</f>
        <v>119.32273181299807</v>
      </c>
      <c r="Z26" s="44">
        <f>Y26*(1+'R&amp;S - Packaging and hh goods'!$C$5)</f>
        <v>120.99325005838004</v>
      </c>
      <c r="AA26" s="44">
        <f>Z26*(1+'R&amp;S - Packaging and hh goods'!$C$5)</f>
        <v>122.68715555919736</v>
      </c>
      <c r="AB26" s="44">
        <f>AA26*(1+'R&amp;S - Packaging and hh goods'!$C$5)</f>
        <v>124.40477573702613</v>
      </c>
      <c r="AC26" s="44">
        <f>AB26*(1+'R&amp;S - Packaging and hh goods'!$C$5)</f>
        <v>126.14644259734449</v>
      </c>
      <c r="AD26" s="44">
        <f>AC26*(1+'R&amp;S - Packaging and hh goods'!$C$5)</f>
        <v>127.91249279370732</v>
      </c>
      <c r="AE26" s="44">
        <f>AD26*(1+'R&amp;S - Packaging and hh goods'!$C$5)</f>
        <v>129.70326769281922</v>
      </c>
      <c r="AF26" s="44">
        <f>AE26*(1+'R&amp;S - Packaging and hh goods'!$C$5)</f>
        <v>131.51911344051871</v>
      </c>
      <c r="AG26" s="44">
        <f>AF26*(1+'R&amp;S - Packaging and hh goods'!$C$5)</f>
        <v>133.36038102868596</v>
      </c>
      <c r="AH26" s="44">
        <f>AG26*(1+'R&amp;S - Packaging and hh goods'!$C$5)</f>
        <v>135.22742636308757</v>
      </c>
    </row>
    <row r="27" spans="1:40" outlineLevel="1" x14ac:dyDescent="0.2">
      <c r="B27" s="61" t="s">
        <v>25</v>
      </c>
      <c r="C27" s="54" t="s">
        <v>153</v>
      </c>
      <c r="D27" s="44">
        <v>0</v>
      </c>
      <c r="E27" s="44">
        <f>E26*'R&amp;S - Packaging and hh goods'!$C$7*('R&amp;S - Packaging and hh goods'!$B$14*'R&amp;S - Packaging and hh goods'!$B$19*('Yearly HC Ethylene'!E$3-'Yearly HC Ethylene'!$D$3)/10)</f>
        <v>9.1080335111629426E-2</v>
      </c>
      <c r="F27" s="44">
        <f>F26*'R&amp;S - Packaging and hh goods'!$C$7*('R&amp;S - Packaging and hh goods'!$B$14*'R&amp;S - Packaging and hh goods'!$B$19*('Yearly HC Ethylene'!F$3-'Yearly HC Ethylene'!$D$3)/10)</f>
        <v>0.1847109196063845</v>
      </c>
      <c r="G27" s="44">
        <f>G26*'R&amp;S - Packaging and hh goods'!$C$7*('R&amp;S - Packaging and hh goods'!$B$14*'R&amp;S - Packaging and hh goods'!$B$19*('Yearly HC Ethylene'!G$3-'Yearly HC Ethylene'!$D$3)/10)</f>
        <v>0.28094530872131079</v>
      </c>
      <c r="H27" s="44">
        <f>H26*'R&amp;S - Packaging and hh goods'!$C$7*('R&amp;S - Packaging and hh goods'!$B$14*'R&amp;S - Packaging and hh goods'!$B$19*('Yearly HC Ethylene'!H$3-'Yearly HC Ethylene'!$D$3)/10)</f>
        <v>0.37983805739121224</v>
      </c>
      <c r="I27" s="44">
        <f>I26*'R&amp;S - Packaging and hh goods'!$C$7*('R&amp;S - Packaging and hh goods'!$B$14*'R&amp;S - Packaging and hh goods'!$B$19*('Yearly HC Ethylene'!I$3-'Yearly HC Ethylene'!$D$3)/10)</f>
        <v>0.48144473774336149</v>
      </c>
      <c r="J27" s="44">
        <f>J26*'R&amp;S - Packaging and hh goods'!$C$7*('R&amp;S - Packaging and hh goods'!$B$14*'R&amp;S - Packaging and hh goods'!$B$19*('Yearly HC Ethylene'!J$3-'Yearly HC Ethylene'!$D$3)/10)</f>
        <v>0.58582195688612226</v>
      </c>
      <c r="K27" s="44">
        <f>K26*'R&amp;S - Packaging and hh goods'!$C$7*('R&amp;S - Packaging and hh goods'!$B$14*'R&amp;S - Packaging and hh goods'!$B$19*('Yearly HC Ethylene'!K$3-'Yearly HC Ethylene'!$D$3)/10)</f>
        <v>0.69302737499628275</v>
      </c>
      <c r="L27" s="44">
        <f>L26*'R&amp;S - Packaging and hh goods'!$C$7*('R&amp;S - Packaging and hh goods'!$B$14*'R&amp;S - Packaging and hh goods'!$B$19*('Yearly HC Ethylene'!L$3-'Yearly HC Ethylene'!$D$3)/10)</f>
        <v>0.80311972370997786</v>
      </c>
      <c r="M27" s="44">
        <f>M26*'R&amp;S - Packaging and hh goods'!$C$7*('R&amp;S - Packaging and hh goods'!$B$14*'R&amp;S - Packaging and hh goods'!$B$19*('Yearly HC Ethylene'!M$3-'Yearly HC Ethylene'!$D$3)/10)</f>
        <v>0.91615882482215716</v>
      </c>
      <c r="N27" s="44">
        <f>N26*'R&amp;S - Packaging and hh goods'!$C$7*('R&amp;S - Packaging and hh goods'!$B$14*'R&amp;S - Packaging and hh goods'!$B$19*('Yearly HC Ethylene'!N$3-'Yearly HC Ethylene'!$D$3)/10)</f>
        <v>1.0322056092996306</v>
      </c>
      <c r="O27" s="44">
        <f>O26*'R&amp;S - Packaging and hh goods'!$C$7*('R&amp;S - Packaging and hh goods'!$B$14*('R&amp;S - Packaging and hh goods'!$B$19+('R&amp;S - Packaging and hh goods'!$B$20-'R&amp;S - Packaging and hh goods'!$B$19)*('Yearly HC Ethylene'!O$3-'Yearly HC Ethylene'!$N$3)/10))</f>
        <v>1.648483968331975</v>
      </c>
      <c r="P27" s="44">
        <f>P26*'R&amp;S - Packaging and hh goods'!$C$7*('R&amp;S - Packaging and hh goods'!$B$14*('R&amp;S - Packaging and hh goods'!$B$19+('R&amp;S - Packaging and hh goods'!$B$20-'R&amp;S - Packaging and hh goods'!$B$19)*('Yearly HC Ethylene'!P$3-'Yearly HC Ethylene'!$N$3)/10))</f>
        <v>2.2818158091178025</v>
      </c>
      <c r="Q27" s="44">
        <f>Q26*'R&amp;S - Packaging and hh goods'!$C$7*('R&amp;S - Packaging and hh goods'!$B$14*('R&amp;S - Packaging and hh goods'!$B$19+('R&amp;S - Packaging and hh goods'!$B$20-'R&amp;S - Packaging and hh goods'!$B$19)*('Yearly HC Ethylene'!Q$3-'Yearly HC Ethylene'!$N$3)/10))</f>
        <v>2.9325578385878401</v>
      </c>
      <c r="R27" s="44">
        <f>R26*'R&amp;S - Packaging and hh goods'!$C$7*('R&amp;S - Packaging and hh goods'!$B$14*('R&amp;S - Packaging and hh goods'!$B$19+('R&amp;S - Packaging and hh goods'!$B$20-'R&amp;S - Packaging and hh goods'!$B$19)*('Yearly HC Ethylene'!R$3-'Yearly HC Ethylene'!$N$3)/10))</f>
        <v>3.6010734089844507</v>
      </c>
      <c r="S27" s="44">
        <f>S26*'R&amp;S - Packaging and hh goods'!$C$7*('R&amp;S - Packaging and hh goods'!$B$14*('R&amp;S - Packaging and hh goods'!$B$19+('R&amp;S - Packaging and hh goods'!$B$20-'R&amp;S - Packaging and hh goods'!$B$19)*('Yearly HC Ethylene'!S$3-'Yearly HC Ethylene'!$N$3)/10))</f>
        <v>4.2877326340158044</v>
      </c>
      <c r="T27" s="44">
        <f>T26*'R&amp;S - Packaging and hh goods'!$C$7*('R&amp;S - Packaging and hh goods'!$B$14*('R&amp;S - Packaging and hh goods'!$B$19+('R&amp;S - Packaging and hh goods'!$B$20-'R&amp;S - Packaging and hh goods'!$B$19)*('Yearly HC Ethylene'!T$3-'Yearly HC Ethylene'!$N$3)/10))</f>
        <v>4.9929125069598754</v>
      </c>
      <c r="U27" s="44">
        <f>U26*'R&amp;S - Packaging and hh goods'!$C$7*('R&amp;S - Packaging and hh goods'!$B$14*('R&amp;S - Packaging and hh goods'!$B$19+('R&amp;S - Packaging and hh goods'!$B$20-'R&amp;S - Packaging and hh goods'!$B$19)*('Yearly HC Ethylene'!U$3-'Yearly HC Ethylene'!$N$3)/10))</f>
        <v>5.7169970207501128</v>
      </c>
      <c r="V27" s="44">
        <f>V26*'R&amp;S - Packaging and hh goods'!$C$7*('R&amp;S - Packaging and hh goods'!$B$14*('R&amp;S - Packaging and hh goods'!$B$19+('R&amp;S - Packaging and hh goods'!$B$20-'R&amp;S - Packaging and hh goods'!$B$19)*('Yearly HC Ethylene'!V$3-'Yearly HC Ethylene'!$N$3)/10))</f>
        <v>6.4603772900751117</v>
      </c>
      <c r="W27" s="44">
        <f>W26*'R&amp;S - Packaging and hh goods'!$C$7*('R&amp;S - Packaging and hh goods'!$B$14*('R&amp;S - Packaging and hh goods'!$B$19+('R&amp;S - Packaging and hh goods'!$B$20-'R&amp;S - Packaging and hh goods'!$B$19)*('Yearly HC Ethylene'!W$3-'Yearly HC Ethylene'!$N$3)/10))</f>
        <v>7.2234516755251459</v>
      </c>
      <c r="X27" s="44">
        <f>X26*'R&amp;S - Packaging and hh goods'!$C$7*('R&amp;S - Packaging and hh goods'!$B$14*('R&amp;S - Packaging and hh goods'!$B$19+('R&amp;S - Packaging and hh goods'!$B$20-'R&amp;S - Packaging and hh goods'!$B$19)*('Yearly HC Ethylene'!X$3-'Yearly HC Ethylene'!$N$3)/10))</f>
        <v>8.0066259098189239</v>
      </c>
      <c r="Y27" s="44">
        <f>Y26*'R&amp;S - Packaging and hh goods'!$C$7*('R&amp;S - Packaging and hh goods'!$B$14*('R&amp;S - Packaging and hh goods'!$B$20+('R&amp;S - Packaging and hh goods'!$B$21-'R&amp;S - Packaging and hh goods'!$B$20)*('Yearly HC Ethylene'!Y$3-'Yearly HC Ethylene'!$X$3)/10))</f>
        <v>8.8103132261445261</v>
      </c>
      <c r="Z27" s="44">
        <f>Z26*'R&amp;S - Packaging and hh goods'!$C$7*('R&amp;S - Packaging and hh goods'!$B$14*('R&amp;S - Packaging and hh goods'!$B$20+('R&amp;S - Packaging and hh goods'!$B$21-'R&amp;S - Packaging and hh goods'!$B$20)*('Yearly HC Ethylene'!Z$3-'Yearly HC Ethylene'!$X$3)/10))</f>
        <v>9.6349344886489199</v>
      </c>
      <c r="AA27" s="44">
        <f>AA26*'R&amp;S - Packaging and hh goods'!$C$7*('R&amp;S - Packaging and hh goods'!$B$14*('R&amp;S - Packaging and hh goods'!$B$20+('R&amp;S - Packaging and hh goods'!$B$21-'R&amp;S - Packaging and hh goods'!$B$20)*('Yearly HC Ethylene'!AA$3-'Yearly HC Ethylene'!$X$3)/10))</f>
        <v>10.480918325111112</v>
      </c>
      <c r="AB27" s="44">
        <f>AB26*'R&amp;S - Packaging and hh goods'!$C$7*('R&amp;S - Packaging and hh goods'!$B$14*('R&amp;S - Packaging and hh goods'!$B$20+('R&amp;S - Packaging and hh goods'!$B$21-'R&amp;S - Packaging and hh goods'!$B$20)*('Yearly HC Ethylene'!AB$3-'Yearly HC Ethylene'!$X$3)/10))</f>
        <v>11.348701261834472</v>
      </c>
      <c r="AC27" s="44">
        <f>AC26*'R&amp;S - Packaging and hh goods'!$C$7*('R&amp;S - Packaging and hh goods'!$B$14*('R&amp;S - Packaging and hh goods'!$B$20+('R&amp;S - Packaging and hh goods'!$B$21-'R&amp;S - Packaging and hh goods'!$B$20)*('Yearly HC Ethylene'!AC$3-'Yearly HC Ethylene'!$X$3)/10))</f>
        <v>12.238727860794363</v>
      </c>
      <c r="AD27" s="44">
        <f>AD26*'R&amp;S - Packaging and hh goods'!$C$7*('R&amp;S - Packaging and hh goods'!$B$14*('R&amp;S - Packaging and hh goods'!$B$20+('R&amp;S - Packaging and hh goods'!$B$21-'R&amp;S - Packaging and hh goods'!$B$20)*('Yearly HC Ethylene'!AD$3-'Yearly HC Ethylene'!$X$3)/10))</f>
        <v>13.151450859077814</v>
      </c>
      <c r="AE27" s="44">
        <f>AE26*'R&amp;S - Packaging and hh goods'!$C$7*('R&amp;S - Packaging and hh goods'!$B$14*('R&amp;S - Packaging and hh goods'!$B$20+('R&amp;S - Packaging and hh goods'!$B$21-'R&amp;S - Packaging and hh goods'!$B$20)*('Yearly HC Ethylene'!AE$3-'Yearly HC Ethylene'!$X$3)/10))</f>
        <v>14.08733131065248</v>
      </c>
      <c r="AF27" s="44">
        <f>AF26*'R&amp;S - Packaging and hh goods'!$C$7*('R&amp;S - Packaging and hh goods'!$B$14*('R&amp;S - Packaging and hh goods'!$B$20+('R&amp;S - Packaging and hh goods'!$B$21-'R&amp;S - Packaging and hh goods'!$B$20)*('Yearly HC Ethylene'!AF$3-'Yearly HC Ethylene'!$X$3)/10))</f>
        <v>15.046838730502865</v>
      </c>
      <c r="AG27" s="44">
        <f>AG26*'R&amp;S - Packaging and hh goods'!$C$7*('R&amp;S - Packaging and hh goods'!$B$14*('R&amp;S - Packaging and hh goods'!$B$20+('R&amp;S - Packaging and hh goods'!$B$21-'R&amp;S - Packaging and hh goods'!$B$20)*('Yearly HC Ethylene'!AG$3-'Yearly HC Ethylene'!$X$3)/10))</f>
        <v>16.03045124117217</v>
      </c>
      <c r="AH27" s="44">
        <f>AH26*'R&amp;S - Packaging and hh goods'!$C$7*('R&amp;S - Packaging and hh goods'!$B$14*('R&amp;S - Packaging and hh goods'!$B$20+('R&amp;S - Packaging and hh goods'!$B$21-'R&amp;S - Packaging and hh goods'!$B$20)*('Yearly HC Ethylene'!AH$3-'Yearly HC Ethylene'!$X$3)/10))</f>
        <v>17.038655721749034</v>
      </c>
    </row>
    <row r="28" spans="1:40" outlineLevel="1" x14ac:dyDescent="0.2">
      <c r="B28" s="61" t="s">
        <v>200</v>
      </c>
      <c r="C28" s="54" t="s">
        <v>153</v>
      </c>
      <c r="D28" s="44">
        <v>0</v>
      </c>
      <c r="E28" s="44">
        <f>E26*'R&amp;S - Packaging and hh goods'!$C$8*('R&amp;S - Packaging and hh goods'!$B$14*'R&amp;S - Packaging and hh goods'!$C$19*('Yearly HC Ethylene'!E$3-'Yearly HC Ethylene'!$D$3)/10)</f>
        <v>0.52768765580547206</v>
      </c>
      <c r="F28" s="44">
        <f>F26*'R&amp;S - Packaging and hh goods'!$C$8*('R&amp;S - Packaging and hh goods'!$B$14*'R&amp;S - Packaging and hh goods'!$C$19*('Yearly HC Ethylene'!F$3-'Yearly HC Ethylene'!$D$3)/10)</f>
        <v>1.0701505659734973</v>
      </c>
      <c r="G28" s="44">
        <f>G26*'R&amp;S - Packaging and hh goods'!$C$8*('R&amp;S - Packaging and hh goods'!$B$14*'R&amp;S - Packaging and hh goods'!$C$19*('Yearly HC Ethylene'!G$3-'Yearly HC Ethylene'!$D$3)/10)</f>
        <v>1.6276990108456897</v>
      </c>
      <c r="H28" s="44">
        <f>H26*'R&amp;S - Packaging and hh goods'!$C$8*('R&amp;S - Packaging and hh goods'!$B$14*'R&amp;S - Packaging and hh goods'!$C$19*('Yearly HC Ethylene'!H$3-'Yearly HC Ethylene'!$D$3)/10)</f>
        <v>2.2006490626633721</v>
      </c>
      <c r="I28" s="44">
        <f>I26*'R&amp;S - Packaging and hh goods'!$C$8*('R&amp;S - Packaging and hh goods'!$B$14*'R&amp;S - Packaging and hh goods'!$C$19*('Yearly HC Ethylene'!I$3-'Yearly HC Ethylene'!$D$3)/10)</f>
        <v>2.7893226869258245</v>
      </c>
      <c r="J28" s="44">
        <f>J26*'R&amp;S - Packaging and hh goods'!$C$8*('R&amp;S - Packaging and hh goods'!$B$14*'R&amp;S - Packaging and hh goods'!$C$19*('Yearly HC Ethylene'!J$3-'Yearly HC Ethylene'!$D$3)/10)</f>
        <v>3.3940478454513436</v>
      </c>
      <c r="K28" s="44">
        <f>K26*'R&amp;S - Packaging and hh goods'!$C$8*('R&amp;S - Packaging and hh goods'!$B$14*'R&amp;S - Packaging and hh goods'!$C$19*('Yearly HC Ethylene'!K$3-'Yearly HC Ethylene'!$D$3)/10)</f>
        <v>4.0151586011689391</v>
      </c>
      <c r="L28" s="44">
        <f>L26*'R&amp;S - Packaging and hh goods'!$C$8*('R&amp;S - Packaging and hh goods'!$B$14*'R&amp;S - Packaging and hh goods'!$C$19*('Yearly HC Ethylene'!L$3-'Yearly HC Ethylene'!$D$3)/10)</f>
        <v>4.6529952246689188</v>
      </c>
      <c r="M28" s="44">
        <f>M26*'R&amp;S - Packaging and hh goods'!$C$8*('R&amp;S - Packaging and hh goods'!$B$14*'R&amp;S - Packaging and hh goods'!$C$19*('Yearly HC Ethylene'!M$3-'Yearly HC Ethylene'!$D$3)/10)</f>
        <v>5.3079043025410693</v>
      </c>
      <c r="N28" s="44">
        <f>N26*'R&amp;S - Packaging and hh goods'!$C$8*('R&amp;S - Packaging and hh goods'!$B$14*'R&amp;S - Packaging and hh goods'!$C$19*('Yearly HC Ethylene'!N$3-'Yearly HC Ethylene'!$D$3)/10)</f>
        <v>5.9802388475296056</v>
      </c>
      <c r="O28" s="44">
        <f>O26*'R&amp;S - Packaging and hh goods'!$C$8*('R&amp;S - Packaging and hh goods'!$B$14*('R&amp;S - Packaging and hh goods'!$C$19+('R&amp;S - Packaging and hh goods'!$C$20-'R&amp;S - Packaging and hh goods'!$C$19)*('Yearly HC Ethylene'!O$3-'Yearly HC Ethylene'!$N$3)/10))</f>
        <v>7.2464348187170478</v>
      </c>
      <c r="P28" s="44">
        <f>P26*'R&amp;S - Packaging and hh goods'!$C$8*('R&amp;S - Packaging and hh goods'!$B$14*('R&amp;S - Packaging and hh goods'!$C$19+('R&amp;S - Packaging and hh goods'!$C$20-'R&amp;S - Packaging and hh goods'!$C$19)*('Yearly HC Ethylene'!P$3-'Yearly HC Ethylene'!$N$3)/10))</f>
        <v>8.5469121502836245</v>
      </c>
      <c r="Q28" s="44">
        <f>Q26*'R&amp;S - Packaging and hh goods'!$C$8*('R&amp;S - Packaging and hh goods'!$B$14*('R&amp;S - Packaging and hh goods'!$C$19+('R&amp;S - Packaging and hh goods'!$C$20-'R&amp;S - Packaging and hh goods'!$C$19)*('Yearly HC Ethylene'!Q$3-'Yearly HC Ethylene'!$N$3)/10))</f>
        <v>9.8823825459095964</v>
      </c>
      <c r="R28" s="44">
        <f>R26*'R&amp;S - Packaging and hh goods'!$C$8*('R&amp;S - Packaging and hh goods'!$B$14*('R&amp;S - Packaging and hh goods'!$C$19+('R&amp;S - Packaging and hh goods'!$C$20-'R&amp;S - Packaging and hh goods'!$C$19)*('Yearly HC Ethylene'!R$3-'Yearly HC Ethylene'!$N$3)/10))</f>
        <v>11.253570917831638</v>
      </c>
      <c r="S28" s="44">
        <f>S26*'R&amp;S - Packaging and hh goods'!$C$8*('R&amp;S - Packaging and hh goods'!$B$14*('R&amp;S - Packaging and hh goods'!$C$19+('R&amp;S - Packaging and hh goods'!$C$20-'R&amp;S - Packaging and hh goods'!$C$19)*('Yearly HC Ethylene'!S$3-'Yearly HC Ethylene'!$N$3)/10))</f>
        <v>12.6612156171885</v>
      </c>
      <c r="T28" s="44">
        <f>T26*'R&amp;S - Packaging and hh goods'!$C$8*('R&amp;S - Packaging and hh goods'!$B$14*('R&amp;S - Packaging and hh goods'!$C$19+('R&amp;S - Packaging and hh goods'!$C$20-'R&amp;S - Packaging and hh goods'!$C$19)*('Yearly HC Ethylene'!T$3-'Yearly HC Ethylene'!$N$3)/10))</f>
        <v>14.10606866822746</v>
      </c>
      <c r="U28" s="44">
        <f>U26*'R&amp;S - Packaging and hh goods'!$C$8*('R&amp;S - Packaging and hh goods'!$B$14*('R&amp;S - Packaging and hh goods'!$C$19+('R&amp;S - Packaging and hh goods'!$C$20-'R&amp;S - Packaging and hh goods'!$C$19)*('Yearly HC Ethylene'!U$3-'Yearly HC Ethylene'!$N$3)/10))</f>
        <v>15.588896006434542</v>
      </c>
      <c r="V28" s="44">
        <f>V26*'R&amp;S - Packaging and hh goods'!$C$8*('R&amp;S - Packaging and hh goods'!$B$14*('R&amp;S - Packaging and hh goods'!$C$19+('R&amp;S - Packaging and hh goods'!$C$20-'R&amp;S - Packaging and hh goods'!$C$19)*('Yearly HC Ethylene'!V$3-'Yearly HC Ethylene'!$N$3)/10))</f>
        <v>17.110477720652447</v>
      </c>
      <c r="W28" s="44">
        <f>W26*'R&amp;S - Packaging and hh goods'!$C$8*('R&amp;S - Packaging and hh goods'!$B$14*('R&amp;S - Packaging and hh goods'!$C$19+('R&amp;S - Packaging and hh goods'!$C$20-'R&amp;S - Packaging and hh goods'!$C$19)*('Yearly HC Ethylene'!W$3-'Yearly HC Ethylene'!$N$3)/10))</f>
        <v>18.671608299251197</v>
      </c>
      <c r="X28" s="44">
        <f>X26*'R&amp;S - Packaging and hh goods'!$C$8*('R&amp;S - Packaging and hh goods'!$B$14*('R&amp;S - Packaging and hh goods'!$C$19+('R&amp;S - Packaging and hh goods'!$C$20-'R&amp;S - Packaging and hh goods'!$C$19)*('Yearly HC Ethylene'!X$3-'Yearly HC Ethylene'!$N$3)/10))</f>
        <v>20.273096880417462</v>
      </c>
      <c r="Y28" s="44">
        <f>Y26*'R&amp;S - Packaging and hh goods'!$C$8*('R&amp;S - Packaging and hh goods'!$B$14*('R&amp;S - Packaging and hh goods'!$C$20+('R&amp;S - Packaging and hh goods'!$C$21-'R&amp;S - Packaging and hh goods'!$C$20)*('Yearly HC Ethylene'!Y$3-'Yearly HC Ethylene'!$X$3)/10))</f>
        <v>21.985451982008517</v>
      </c>
      <c r="Z28" s="44">
        <f>Z26*'R&amp;S - Packaging and hh goods'!$C$8*('R&amp;S - Packaging and hh goods'!$B$14*('R&amp;S - Packaging and hh goods'!$C$20+('R&amp;S - Packaging and hh goods'!$C$21-'R&amp;S - Packaging and hh goods'!$C$20)*('Yearly HC Ethylene'!Z$3-'Yearly HC Ethylene'!$X$3)/10))</f>
        <v>23.741779499455561</v>
      </c>
      <c r="AA28" s="44">
        <f>AA26*'R&amp;S - Packaging and hh goods'!$C$8*('R&amp;S - Packaging and hh goods'!$B$14*('R&amp;S - Packaging and hh goods'!$C$20+('R&amp;S - Packaging and hh goods'!$C$21-'R&amp;S - Packaging and hh goods'!$C$20)*('Yearly HC Ethylene'!AA$3-'Yearly HC Ethylene'!$X$3)/10))</f>
        <v>25.542975038802652</v>
      </c>
      <c r="AB28" s="44">
        <f>AB26*'R&amp;S - Packaging and hh goods'!$C$8*('R&amp;S - Packaging and hh goods'!$B$14*('R&amp;S - Packaging and hh goods'!$C$20+('R&amp;S - Packaging and hh goods'!$C$21-'R&amp;S - Packaging and hh goods'!$C$20)*('Yearly HC Ethylene'!AB$3-'Yearly HC Ethylene'!$X$3)/10))</f>
        <v>27.389950664469566</v>
      </c>
      <c r="AC28" s="44">
        <f>AC26*'R&amp;S - Packaging and hh goods'!$C$8*('R&amp;S - Packaging and hh goods'!$B$14*('R&amp;S - Packaging and hh goods'!$C$20+('R&amp;S - Packaging and hh goods'!$C$21-'R&amp;S - Packaging and hh goods'!$C$20)*('Yearly HC Ethylene'!AC$3-'Yearly HC Ethylene'!$X$3)/10))</f>
        <v>29.283635184547546</v>
      </c>
      <c r="AD28" s="44">
        <f>AD26*'R&amp;S - Packaging and hh goods'!$C$8*('R&amp;S - Packaging and hh goods'!$B$14*('R&amp;S - Packaging and hh goods'!$C$20+('R&amp;S - Packaging and hh goods'!$C$21-'R&amp;S - Packaging and hh goods'!$C$20)*('Yearly HC Ethylene'!AD$3-'Yearly HC Ethylene'!$X$3)/10))</f>
        <v>31.22497444085748</v>
      </c>
      <c r="AE28" s="44">
        <f>AE26*'R&amp;S - Packaging and hh goods'!$C$8*('R&amp;S - Packaging and hh goods'!$B$14*('R&amp;S - Packaging and hh goods'!$C$20+('R&amp;S - Packaging and hh goods'!$C$21-'R&amp;S - Packaging and hh goods'!$C$20)*('Yearly HC Ethylene'!AE$3-'Yearly HC Ethylene'!$X$3)/10))</f>
        <v>33.214931603847916</v>
      </c>
      <c r="AF28" s="44">
        <f>AF26*'R&amp;S - Packaging and hh goods'!$C$8*('R&amp;S - Packaging and hh goods'!$B$14*('R&amp;S - Packaging and hh goods'!$C$20+('R&amp;S - Packaging and hh goods'!$C$21-'R&amp;S - Packaging and hh goods'!$C$20)*('Yearly HC Ethylene'!AF$3-'Yearly HC Ethylene'!$X$3)/10))</f>
        <v>35.254487472411675</v>
      </c>
      <c r="AG28" s="44">
        <f>AG26*'R&amp;S - Packaging and hh goods'!$C$8*('R&amp;S - Packaging and hh goods'!$B$14*('R&amp;S - Packaging and hh goods'!$C$20+('R&amp;S - Packaging and hh goods'!$C$21-'R&amp;S - Packaging and hh goods'!$C$20)*('Yearly HC Ethylene'!AG$3-'Yearly HC Ethylene'!$X$3)/10))</f>
        <v>37.344640778700871</v>
      </c>
      <c r="AH28" s="44">
        <f>AH26*'R&amp;S - Packaging and hh goods'!$C$8*('R&amp;S - Packaging and hh goods'!$B$14*('R&amp;S - Packaging and hh goods'!$C$20+('R&amp;S - Packaging and hh goods'!$C$21-'R&amp;S - Packaging and hh goods'!$C$20)*('Yearly HC Ethylene'!AH$3-'Yearly HC Ethylene'!$X$3)/10))</f>
        <v>39.486408498021568</v>
      </c>
    </row>
    <row r="29" spans="1:40" outlineLevel="1" x14ac:dyDescent="0.2">
      <c r="B29" s="1" t="s">
        <v>168</v>
      </c>
      <c r="C29" s="54" t="s">
        <v>153</v>
      </c>
      <c r="D29" s="44">
        <f>SUM(D27:D28)</f>
        <v>0</v>
      </c>
      <c r="E29" s="44">
        <f t="shared" ref="E29:AH29" si="7">SUM(E27:E28)</f>
        <v>0.61876799091710144</v>
      </c>
      <c r="F29" s="44">
        <f t="shared" si="7"/>
        <v>1.2548614855798819</v>
      </c>
      <c r="G29" s="44">
        <f t="shared" si="7"/>
        <v>1.9086443195670004</v>
      </c>
      <c r="H29" s="44">
        <f t="shared" si="7"/>
        <v>2.5804871200545842</v>
      </c>
      <c r="I29" s="44">
        <f t="shared" si="7"/>
        <v>3.2707674246691862</v>
      </c>
      <c r="J29" s="44">
        <f t="shared" si="7"/>
        <v>3.9798698023374657</v>
      </c>
      <c r="K29" s="44">
        <f t="shared" si="7"/>
        <v>4.7081859761652218</v>
      </c>
      <c r="L29" s="44">
        <f t="shared" si="7"/>
        <v>5.4561149483788967</v>
      </c>
      <c r="M29" s="44">
        <f t="shared" si="7"/>
        <v>6.2240631273632268</v>
      </c>
      <c r="N29" s="44">
        <f t="shared" si="7"/>
        <v>7.0124444568292361</v>
      </c>
      <c r="O29" s="44">
        <f t="shared" si="7"/>
        <v>8.8949187870490221</v>
      </c>
      <c r="P29" s="44">
        <f t="shared" si="7"/>
        <v>10.828727959401427</v>
      </c>
      <c r="Q29" s="44">
        <f t="shared" si="7"/>
        <v>12.814940384497437</v>
      </c>
      <c r="R29" s="44">
        <f t="shared" si="7"/>
        <v>14.854644326816089</v>
      </c>
      <c r="S29" s="44">
        <f t="shared" si="7"/>
        <v>16.948948251204303</v>
      </c>
      <c r="T29" s="44">
        <f t="shared" si="7"/>
        <v>19.098981175187333</v>
      </c>
      <c r="U29" s="44">
        <f t="shared" si="7"/>
        <v>21.305893027184656</v>
      </c>
      <c r="V29" s="44">
        <f t="shared" si="7"/>
        <v>23.570855010727559</v>
      </c>
      <c r="W29" s="44">
        <f t="shared" si="7"/>
        <v>25.895059974776345</v>
      </c>
      <c r="X29" s="44">
        <f t="shared" si="7"/>
        <v>28.279722790236384</v>
      </c>
      <c r="Y29" s="44">
        <f t="shared" si="7"/>
        <v>30.795765208153043</v>
      </c>
      <c r="Z29" s="44">
        <f t="shared" si="7"/>
        <v>33.376713988104484</v>
      </c>
      <c r="AA29" s="44">
        <f t="shared" si="7"/>
        <v>36.023893363913764</v>
      </c>
      <c r="AB29" s="44">
        <f t="shared" si="7"/>
        <v>38.738651926304037</v>
      </c>
      <c r="AC29" s="44">
        <f t="shared" si="7"/>
        <v>41.522363045341905</v>
      </c>
      <c r="AD29" s="44">
        <f t="shared" si="7"/>
        <v>44.376425299935292</v>
      </c>
      <c r="AE29" s="44">
        <f t="shared" si="7"/>
        <v>47.302262914500396</v>
      </c>
      <c r="AF29" s="44">
        <f t="shared" si="7"/>
        <v>50.301326202914538</v>
      </c>
      <c r="AG29" s="44">
        <f t="shared" si="7"/>
        <v>53.375092019873037</v>
      </c>
      <c r="AH29" s="44">
        <f t="shared" si="7"/>
        <v>56.525064219770599</v>
      </c>
    </row>
    <row r="30" spans="1:40" outlineLevel="1" x14ac:dyDescent="0.2">
      <c r="B30" s="61" t="s">
        <v>202</v>
      </c>
      <c r="C30" s="54" t="s">
        <v>153</v>
      </c>
      <c r="D30" s="44">
        <v>0</v>
      </c>
      <c r="E30" s="44">
        <f>E26*'R&amp;S - Packaging and hh goods'!$C$9*('R&amp;S - Packaging and hh goods'!$C$14*'R&amp;S - Packaging and hh goods'!$D$19*('Yearly HC Ethylene'!E$3-'Yearly HC Ethylene'!$D$3)/10)</f>
        <v>0.23312228629762291</v>
      </c>
      <c r="F30" s="44">
        <f>F26*'R&amp;S - Packaging and hh goods'!$C$9*('R&amp;S - Packaging and hh goods'!$C$14*'R&amp;S - Packaging and hh goods'!$D$19*('Yearly HC Ethylene'!F$3-'Yearly HC Ethylene'!$D$3)/10)</f>
        <v>0.47277199661157926</v>
      </c>
      <c r="G30" s="44">
        <f>G26*'R&amp;S - Packaging and hh goods'!$C$9*('R&amp;S - Packaging and hh goods'!$C$14*'R&amp;S - Packaging and hh goods'!$D$19*('Yearly HC Ethylene'!G$3-'Yearly HC Ethylene'!$D$3)/10)</f>
        <v>0.71908620684621205</v>
      </c>
      <c r="H30" s="44">
        <f>H26*'R&amp;S - Packaging and hh goods'!$C$9*('R&amp;S - Packaging and hh goods'!$C$14*'R&amp;S - Packaging and hh goods'!$D$19*('Yearly HC Ethylene'!H$3-'Yearly HC Ethylene'!$D$3)/10)</f>
        <v>0.97220455165607877</v>
      </c>
      <c r="I30" s="44">
        <f>I26*'R&amp;S - Packaging and hh goods'!$C$9*('R&amp;S - Packaging and hh goods'!$C$14*'R&amp;S - Packaging and hh goods'!$D$19*('Yearly HC Ethylene'!I$3-'Yearly HC Ethylene'!$D$3)/10)</f>
        <v>1.2322692692240798</v>
      </c>
      <c r="J30" s="44">
        <f>J26*'R&amp;S - Packaging and hh goods'!$C$9*('R&amp;S - Packaging and hh goods'!$C$14*'R&amp;S - Packaging and hh goods'!$D$19*('Yearly HC Ethylene'!J$3-'Yearly HC Ethylene'!$D$3)/10)</f>
        <v>1.4994252467918603</v>
      </c>
      <c r="K30" s="44">
        <f>K26*'R&amp;S - Packaging and hh goods'!$C$9*('R&amp;S - Packaging and hh goods'!$C$14*'R&amp;S - Packaging and hh goods'!$D$19*('Yearly HC Ethylene'!K$3-'Yearly HC Ethylene'!$D$3)/10)</f>
        <v>1.773820066954771</v>
      </c>
      <c r="L30" s="44">
        <f>L26*'R&amp;S - Packaging and hh goods'!$C$9*('R&amp;S - Packaging and hh goods'!$C$14*'R&amp;S - Packaging and hh goods'!$D$19*('Yearly HC Ethylene'!L$3-'Yearly HC Ethylene'!$D$3)/10)</f>
        <v>2.0556040547338714</v>
      </c>
      <c r="M30" s="44">
        <f>M26*'R&amp;S - Packaging and hh goods'!$C$9*('R&amp;S - Packaging and hh goods'!$C$14*'R&amp;S - Packaging and hh goods'!$D$19*('Yearly HC Ethylene'!M$3-'Yearly HC Ethylene'!$D$3)/10)</f>
        <v>2.3449303254376641</v>
      </c>
      <c r="N30" s="44">
        <f>N26*'R&amp;S - Packaging and hh goods'!$C$9*('R&amp;S - Packaging and hh goods'!$C$14*'R&amp;S - Packaging and hh goods'!$D$19*('Yearly HC Ethylene'!N$3-'Yearly HC Ethylene'!$D$3)/10)</f>
        <v>2.6419548333264351</v>
      </c>
      <c r="O30" s="44">
        <f>O26*'R&amp;S - Packaging and hh goods'!$C$9*('R&amp;S - Packaging and hh goods'!$C$14*'R&amp;S - Packaging and hh goods'!$D$19*('Yearly HC Ethylene'!O$3-'Yearly HC Ethylene'!$D$3)/10)</f>
        <v>2.9468364210923053</v>
      </c>
      <c r="P30" s="44">
        <f>P26*'R&amp;S - Packaging and hh goods'!$C$9*('R&amp;S - Packaging and hh goods'!$C$14*'R&amp;S - Packaging and hh goods'!$D$19*('Yearly HC Ethylene'!P$3-'Yearly HC Ethylene'!$D$3)/10)</f>
        <v>3.2597368701682887</v>
      </c>
      <c r="Q30" s="44">
        <f>Q26*'R&amp;S - Packaging and hh goods'!$C$9*('R&amp;S - Packaging and hh goods'!$C$14*'R&amp;S - Packaging and hh goods'!$D$19*('Yearly HC Ethylene'!Q$3-'Yearly HC Ethylene'!$D$3)/10)</f>
        <v>3.5808209518798653</v>
      </c>
      <c r="R30" s="44">
        <f>R26*'R&amp;S - Packaging and hh goods'!$C$9*('R&amp;S - Packaging and hh goods'!$C$14*'R&amp;S - Packaging and hh goods'!$D$19*('Yearly HC Ethylene'!R$3-'Yearly HC Ethylene'!$D$3)/10)</f>
        <v>3.910256479452813</v>
      </c>
      <c r="S30" s="44">
        <f>S26*'R&amp;S - Packaging and hh goods'!$C$9*('R&amp;S - Packaging and hh goods'!$C$14*'R&amp;S - Packaging and hh goods'!$D$19*('Yearly HC Ethylene'!S$3-'Yearly HC Ethylene'!$D$3)/10)</f>
        <v>4.2482143608912342</v>
      </c>
      <c r="T30" s="44">
        <f>T26*'R&amp;S - Packaging and hh goods'!$C$9*('R&amp;S - Packaging and hh goods'!$C$14*'R&amp;S - Packaging and hh goods'!$D$19*('Yearly HC Ethylene'!T$3-'Yearly HC Ethylene'!$D$3)/10)</f>
        <v>4.5948686527399589</v>
      </c>
      <c r="U30" s="44">
        <f>U26*'R&amp;S - Packaging and hh goods'!$C$9*('R&amp;S - Packaging and hh goods'!$C$14*'R&amp;S - Packaging and hh goods'!$D$19*('Yearly HC Ethylene'!U$3-'Yearly HC Ethylene'!$D$3)/10)</f>
        <v>4.9503966147457144</v>
      </c>
      <c r="V30" s="44">
        <f>V26*'R&amp;S - Packaging and hh goods'!$C$9*('R&amp;S - Packaging and hh goods'!$C$14*'R&amp;S - Packaging and hh goods'!$D$19*('Yearly HC Ethylene'!V$3-'Yearly HC Ethylene'!$D$3)/10)</f>
        <v>5.3149787654316913</v>
      </c>
      <c r="W30" s="44">
        <f>W26*'R&amp;S - Packaging and hh goods'!$C$9*('R&amp;S - Packaging and hh goods'!$C$14*'R&amp;S - Packaging and hh goods'!$D$19*('Yearly HC Ethylene'!W$3-'Yearly HC Ethylene'!$D$3)/10)</f>
        <v>5.6887989386003888</v>
      </c>
      <c r="X30" s="44">
        <f>X26*'R&amp;S - Packaging and hh goods'!$C$9*('R&amp;S - Packaging and hh goods'!$C$14*'R&amp;S - Packaging and hh goods'!$D$19*('Yearly HC Ethylene'!X$3-'Yearly HC Ethylene'!$D$3)/10)</f>
        <v>6.0720443407797822</v>
      </c>
      <c r="Y30" s="44">
        <f>Y26*'R&amp;S - Packaging and hh goods'!$C$9*('R&amp;S - Packaging and hh goods'!$C$14*('R&amp;S - Packaging and hh goods'!$D$20+('R&amp;S - Packaging and hh goods'!$D$21-'R&amp;S - Packaging and hh goods'!$D$20)*('Yearly HC Ethylene'!Y$3-'Yearly HC Ethylene'!$X$3)/10))</f>
        <v>7.3063695143734986</v>
      </c>
      <c r="Z30" s="44">
        <f>Z26*'R&amp;S - Packaging and hh goods'!$C$9*('R&amp;S - Packaging and hh goods'!$C$14*('R&amp;S - Packaging and hh goods'!$D$20+('R&amp;S - Packaging and hh goods'!$D$21-'R&amp;S - Packaging and hh goods'!$D$20)*('Yearly HC Ethylene'!Z$3-'Yearly HC Ethylene'!$X$3)/10))</f>
        <v>7.7416321117353881</v>
      </c>
      <c r="AA30" s="44">
        <f>AA26*'R&amp;S - Packaging and hh goods'!$C$9*('R&amp;S - Packaging and hh goods'!$C$14*('R&amp;S - Packaging and hh goods'!$D$20+('R&amp;S - Packaging and hh goods'!$D$21-'R&amp;S - Packaging and hh goods'!$D$20)*('Yearly HC Ethylene'!AA$3-'Yearly HC Ethylene'!$X$3)/10))</f>
        <v>8.1876500133985939</v>
      </c>
      <c r="AB30" s="44">
        <f>AB26*'R&amp;S - Packaging and hh goods'!$C$9*('R&amp;S - Packaging and hh goods'!$C$14*('R&amp;S - Packaging and hh goods'!$D$20+('R&amp;S - Packaging and hh goods'!$D$21-'R&amp;S - Packaging and hh goods'!$D$20)*('Yearly HC Ethylene'!AB$3-'Yearly HC Ethylene'!$X$3)/10))</f>
        <v>8.6446390564144711</v>
      </c>
      <c r="AC30" s="44">
        <f>AC26*'R&amp;S - Packaging and hh goods'!$C$9*('R&amp;S - Packaging and hh goods'!$C$14*('R&amp;S - Packaging and hh goods'!$D$20+('R&amp;S - Packaging and hh goods'!$D$21-'R&amp;S - Packaging and hh goods'!$D$20)*('Yearly HC Ethylene'!AC$3-'Yearly HC Ethylene'!$X$3)/10))</f>
        <v>9.1128190132321656</v>
      </c>
      <c r="AD30" s="44">
        <f>AD26*'R&amp;S - Packaging and hh goods'!$C$9*('R&amp;S - Packaging and hh goods'!$C$14*('R&amp;S - Packaging and hh goods'!$D$20+('R&amp;S - Packaging and hh goods'!$D$21-'R&amp;S - Packaging and hh goods'!$D$20)*('Yearly HC Ethylene'!AD$3-'Yearly HC Ethylene'!$X$3)/10))</f>
        <v>9.5924136595856968</v>
      </c>
      <c r="AE30" s="44">
        <f>AE26*'R&amp;S - Packaging and hh goods'!$C$9*('R&amp;S - Packaging and hh goods'!$C$14*('R&amp;S - Packaging and hh goods'!$D$20+('R&amp;S - Packaging and hh goods'!$D$21-'R&amp;S - Packaging and hh goods'!$D$20)*('Yearly HC Ethylene'!AE$3-'Yearly HC Ethylene'!$X$3)/10))</f>
        <v>10.083650843510537</v>
      </c>
      <c r="AF30" s="44">
        <f>AF26*'R&amp;S - Packaging and hh goods'!$C$9*('R&amp;S - Packaging and hh goods'!$C$14*('R&amp;S - Packaging and hh goods'!$D$20+('R&amp;S - Packaging and hh goods'!$D$21-'R&amp;S - Packaging and hh goods'!$D$20)*('Yearly HC Ethylene'!AF$3-'Yearly HC Ethylene'!$X$3)/10))</f>
        <v>10.586762555507994</v>
      </c>
      <c r="AG30" s="44">
        <f>AG26*'R&amp;S - Packaging and hh goods'!$C$9*('R&amp;S - Packaging and hh goods'!$C$14*('R&amp;S - Packaging and hh goods'!$D$20+('R&amp;S - Packaging and hh goods'!$D$21-'R&amp;S - Packaging and hh goods'!$D$20)*('Yearly HC Ethylene'!AG$3-'Yearly HC Ethylene'!$X$3)/10))</f>
        <v>11.101984999876047</v>
      </c>
      <c r="AH30" s="44">
        <f>AH26*'R&amp;S - Packaging and hh goods'!$C$9*('R&amp;S - Packaging and hh goods'!$C$14*('R&amp;S - Packaging and hh goods'!$D$20+('R&amp;S - Packaging and hh goods'!$D$21-'R&amp;S - Packaging and hh goods'!$D$20)*('Yearly HC Ethylene'!AH$3-'Yearly HC Ethylene'!$X$3)/10))</f>
        <v>11.629558667225531</v>
      </c>
    </row>
    <row r="31" spans="1:40" outlineLevel="1" x14ac:dyDescent="0.2">
      <c r="B31" s="61" t="s">
        <v>203</v>
      </c>
      <c r="C31" s="54" t="s">
        <v>153</v>
      </c>
      <c r="D31" s="44">
        <v>0</v>
      </c>
      <c r="E31" s="44">
        <f>E26*'R&amp;S - Packaging and hh goods'!$C$10*('R&amp;S - Packaging and hh goods'!$C$14*'R&amp;S - Packaging and hh goods'!$E$19*('Yearly HC Ethylene'!E$3-'Yearly HC Ethylene'!$D$3)/10)</f>
        <v>0.34986414439705271</v>
      </c>
      <c r="F31" s="44">
        <f>F26*'R&amp;S - Packaging and hh goods'!$C$10*('R&amp;S - Packaging and hh goods'!$C$14*'R&amp;S - Packaging and hh goods'!$E$19*('Yearly HC Ethylene'!F$3-'Yearly HC Ethylene'!$D$3)/10)</f>
        <v>0.70952448483722286</v>
      </c>
      <c r="G31" s="44">
        <f>G26*'R&amp;S - Packaging and hh goods'!$C$10*('R&amp;S - Packaging and hh goods'!$C$14*'R&amp;S - Packaging and hh goods'!$E$19*('Yearly HC Ethylene'!G$3-'Yearly HC Ethylene'!$D$3)/10)</f>
        <v>1.0791867414374161</v>
      </c>
      <c r="H31" s="44">
        <f>H26*'R&amp;S - Packaging and hh goods'!$C$10*('R&amp;S - Packaging and hh goods'!$C$14*'R&amp;S - Packaging and hh goods'!$E$19*('Yearly HC Ethylene'!H$3-'Yearly HC Ethylene'!$D$3)/10)</f>
        <v>1.4590604744233866</v>
      </c>
      <c r="I31" s="44">
        <f>I26*'R&amp;S - Packaging and hh goods'!$C$10*('R&amp;S - Packaging and hh goods'!$C$14*'R&amp;S - Packaging and hh goods'!$E$19*('Yearly HC Ethylene'!I$3-'Yearly HC Ethylene'!$D$3)/10)</f>
        <v>1.8493591513316425</v>
      </c>
      <c r="J31" s="44">
        <f>J26*'R&amp;S - Packaging and hh goods'!$C$10*('R&amp;S - Packaging and hh goods'!$C$14*'R&amp;S - Packaging and hh goods'!$E$19*('Yearly HC Ethylene'!J$3-'Yearly HC Ethylene'!$D$3)/10)</f>
        <v>2.2503002153403426</v>
      </c>
      <c r="K31" s="44">
        <f>K26*'R&amp;S - Packaging and hh goods'!$C$10*('R&amp;S - Packaging and hh goods'!$C$14*'R&amp;S - Packaging and hh goods'!$E$19*('Yearly HC Ethylene'!K$3-'Yearly HC Ethylene'!$D$3)/10)</f>
        <v>2.6621051547476253</v>
      </c>
      <c r="L31" s="44">
        <f>L26*'R&amp;S - Packaging and hh goods'!$C$10*('R&amp;S - Packaging and hh goods'!$C$14*'R&amp;S - Packaging and hh goods'!$E$19*('Yearly HC Ethylene'!L$3-'Yearly HC Ethylene'!$D$3)/10)</f>
        <v>3.0849995736161051</v>
      </c>
      <c r="M31" s="44">
        <f>M26*'R&amp;S - Packaging and hh goods'!$C$10*('R&amp;S - Packaging and hh goods'!$C$14*'R&amp;S - Packaging and hh goods'!$E$19*('Yearly HC Ethylene'!M$3-'Yearly HC Ethylene'!$D$3)/10)</f>
        <v>3.5192132636025719</v>
      </c>
      <c r="N31" s="44">
        <f>N26*'R&amp;S - Packaging and hh goods'!$C$10*('R&amp;S - Packaging and hh goods'!$C$14*'R&amp;S - Packaging and hh goods'!$E$19*('Yearly HC Ethylene'!N$3-'Yearly HC Ethylene'!$D$3)/10)</f>
        <v>3.9649802769922315</v>
      </c>
      <c r="O31" s="44">
        <f>O26*'R&amp;S - Packaging and hh goods'!$C$10*('R&amp;S - Packaging and hh goods'!$C$14*'R&amp;S - Packaging and hh goods'!$E$19*('Yearly HC Ethylene'!O$3-'Yearly HC Ethylene'!$D$3)/10)</f>
        <v>4.4225390009571353</v>
      </c>
      <c r="P31" s="44">
        <f>P26*'R&amp;S - Packaging and hh goods'!$C$10*('R&amp;S - Packaging and hh goods'!$C$14*('R&amp;S - Packaging and hh goods'!$E$19+('R&amp;S - Packaging and hh goods'!$E$20-'R&amp;S - Packaging and hh goods'!$E$19)*('Yearly HC Ethylene'!P$3-'Yearly HC Ethylene'!$O$3)/10))</f>
        <v>4.5226743300413066</v>
      </c>
      <c r="Q31" s="44">
        <f>Q26*'R&amp;S - Packaging and hh goods'!$C$10*('R&amp;S - Packaging and hh goods'!$C$14*('R&amp;S - Packaging and hh goods'!$E$19+('R&amp;S - Packaging and hh goods'!$E$20-'R&amp;S - Packaging and hh goods'!$E$19)*('Yearly HC Ethylene'!Q$3-'Yearly HC Ethylene'!$O$3)/10))</f>
        <v>5.0381318043891135</v>
      </c>
      <c r="R31" s="44">
        <f>R26*'R&amp;S - Packaging and hh goods'!$C$10*('R&amp;S - Packaging and hh goods'!$C$14*('R&amp;S - Packaging and hh goods'!$E$19+('R&amp;S - Packaging and hh goods'!$E$20-'R&amp;S - Packaging and hh goods'!$E$19)*('Yearly HC Ethylene'!R$3-'Yearly HC Ethylene'!$O$3)/10))</f>
        <v>5.5671356438499702</v>
      </c>
      <c r="S31" s="44">
        <f>S26*'R&amp;S - Packaging and hh goods'!$C$10*('R&amp;S - Packaging and hh goods'!$C$14*('R&amp;S - Packaging and hh goods'!$E$19+('R&amp;S - Packaging and hh goods'!$E$20-'R&amp;S - Packaging and hh goods'!$E$19)*('Yearly HC Ethylene'!S$3-'Yearly HC Ethylene'!$O$3)/10))</f>
        <v>6.1099641169820709</v>
      </c>
      <c r="T31" s="44">
        <f>T26*'R&amp;S - Packaging and hh goods'!$C$10*('R&amp;S - Packaging and hh goods'!$C$14*('R&amp;S - Packaging and hh goods'!$E$19+('R&amp;S - Packaging and hh goods'!$E$20-'R&amp;S - Packaging and hh goods'!$E$19)*('Yearly HC Ethylene'!T$3-'Yearly HC Ethylene'!$O$3)/10))</f>
        <v>6.6669006287756742</v>
      </c>
      <c r="U31" s="44">
        <f>U26*'R&amp;S - Packaging and hh goods'!$C$10*('R&amp;S - Packaging and hh goods'!$C$14*('R&amp;S - Packaging and hh goods'!$E$19+('R&amp;S - Packaging and hh goods'!$E$20-'R&amp;S - Packaging and hh goods'!$E$19)*('Yearly HC Ethylene'!U$3-'Yearly HC Ethylene'!$O$3)/10))</f>
        <v>7.2382338099325736</v>
      </c>
      <c r="V31" s="44">
        <f>V26*'R&amp;S - Packaging and hh goods'!$C$10*('R&amp;S - Packaging and hh goods'!$C$14*('R&amp;S - Packaging and hh goods'!$E$19+('R&amp;S - Packaging and hh goods'!$E$20-'R&amp;S - Packaging and hh goods'!$E$19)*('Yearly HC Ethylene'!V$3-'Yearly HC Ethylene'!$O$3)/10))</f>
        <v>7.8242576076386241</v>
      </c>
      <c r="W31" s="44">
        <f>W26*'R&amp;S - Packaging and hh goods'!$C$10*('R&amp;S - Packaging and hh goods'!$C$14*('R&amp;S - Packaging and hh goods'!$E$19+('R&amp;S - Packaging and hh goods'!$E$20-'R&amp;S - Packaging and hh goods'!$E$19)*('Yearly HC Ethylene'!W$3-'Yearly HC Ethylene'!$O$3)/10))</f>
        <v>8.425271377853699</v>
      </c>
      <c r="X31" s="44">
        <f>X26*'R&amp;S - Packaging and hh goods'!$C$10*('R&amp;S - Packaging and hh goods'!$C$14*('R&amp;S - Packaging and hh goods'!$E$19+('R&amp;S - Packaging and hh goods'!$E$20-'R&amp;S - Packaging and hh goods'!$E$19)*('Yearly HC Ethylene'!X$3-'Yearly HC Ethylene'!$O$3)/10))</f>
        <v>9.0415799791436946</v>
      </c>
      <c r="Y31" s="44">
        <f>Y26*'R&amp;S - Packaging and hh goods'!$C$10*('R&amp;S - Packaging and hh goods'!$C$14*('R&amp;S - Packaging and hh goods'!$E$20+('R&amp;S - Packaging and hh goods'!$E$21-'R&amp;S - Packaging and hh goods'!$E$20)*('Yearly HC Ethylene'!Y$3-'Yearly HC Ethylene'!$X$3)/10))</f>
        <v>10.149949536209055</v>
      </c>
      <c r="Z31" s="44">
        <f>Z26*'R&amp;S - Packaging and hh goods'!$C$10*('R&amp;S - Packaging and hh goods'!$C$14*('R&amp;S - Packaging and hh goods'!$E$20+('R&amp;S - Packaging and hh goods'!$E$21-'R&amp;S - Packaging and hh goods'!$E$20)*('Yearly HC Ethylene'!Z$3-'Yearly HC Ethylene'!$X$3)/10))</f>
        <v>10.775174877199092</v>
      </c>
      <c r="AA31" s="44">
        <f>AA26*'R&amp;S - Packaging and hh goods'!$C$10*('R&amp;S - Packaging and hh goods'!$C$14*('R&amp;S - Packaging and hh goods'!$E$20+('R&amp;S - Packaging and hh goods'!$E$21-'R&amp;S - Packaging and hh goods'!$E$20)*('Yearly HC Ethylene'!AA$3-'Yearly HC Ethylene'!$X$3)/10))</f>
        <v>11.415917137627755</v>
      </c>
      <c r="AB31" s="44">
        <f>AB26*'R&amp;S - Packaging and hh goods'!$C$10*('R&amp;S - Packaging and hh goods'!$C$14*('R&amp;S - Packaging and hh goods'!$E$20+('R&amp;S - Packaging and hh goods'!$E$21-'R&amp;S - Packaging and hh goods'!$E$20)*('Yearly HC Ethylene'!AB$3-'Yearly HC Ethylene'!$X$3)/10))</f>
        <v>12.07248824707249</v>
      </c>
      <c r="AC31" s="44">
        <f>AC26*'R&amp;S - Packaging and hh goods'!$C$10*('R&amp;S - Packaging and hh goods'!$C$14*('R&amp;S - Packaging and hh goods'!$E$20+('R&amp;S - Packaging and hh goods'!$E$21-'R&amp;S - Packaging and hh goods'!$E$20)*('Yearly HC Ethylene'!AC$3-'Yearly HC Ethylene'!$X$3)/10))</f>
        <v>12.7452058278227</v>
      </c>
      <c r="AD31" s="44">
        <f>AD26*'R&amp;S - Packaging and hh goods'!$C$10*('R&amp;S - Packaging and hh goods'!$C$14*('R&amp;S - Packaging and hh goods'!$E$20+('R&amp;S - Packaging and hh goods'!$E$21-'R&amp;S - Packaging and hh goods'!$E$20)*('Yearly HC Ethylene'!AD$3-'Yearly HC Ethylene'!$X$3)/10))</f>
        <v>13.434393293137491</v>
      </c>
      <c r="AE31" s="44">
        <f>AE26*'R&amp;S - Packaging and hh goods'!$C$10*('R&amp;S - Packaging and hh goods'!$C$14*('R&amp;S - Packaging and hh goods'!$E$20+('R&amp;S - Packaging and hh goods'!$E$21-'R&amp;S - Packaging and hh goods'!$E$20)*('Yearly HC Ethylene'!AE$3-'Yearly HC Ethylene'!$X$3)/10))</f>
        <v>14.140379947138845</v>
      </c>
      <c r="AF31" s="44">
        <f>AF26*'R&amp;S - Packaging and hh goods'!$C$10*('R&amp;S - Packaging and hh goods'!$C$14*('R&amp;S - Packaging and hh goods'!$E$20+('R&amp;S - Packaging and hh goods'!$E$21-'R&amp;S - Packaging and hh goods'!$E$20)*('Yearly HC Ethylene'!AF$3-'Yearly HC Ethylene'!$X$3)/10))</f>
        <v>14.86350108636678</v>
      </c>
      <c r="AG31" s="44">
        <f>AG26*'R&amp;S - Packaging and hh goods'!$C$10*('R&amp;S - Packaging and hh goods'!$C$14*('R&amp;S - Packaging and hh goods'!$E$20+('R&amp;S - Packaging and hh goods'!$E$21-'R&amp;S - Packaging and hh goods'!$E$20)*('Yearly HC Ethylene'!AG$3-'Yearly HC Ethylene'!$X$3)/10))</f>
        <v>15.604098103023457</v>
      </c>
      <c r="AH31" s="44">
        <f>AH26*'R&amp;S - Packaging and hh goods'!$C$10*('R&amp;S - Packaging and hh goods'!$C$14*('R&amp;S - Packaging and hh goods'!$E$20+('R&amp;S - Packaging and hh goods'!$E$21-'R&amp;S - Packaging and hh goods'!$E$20)*('Yearly HC Ethylene'!AH$3-'Yearly HC Ethylene'!$X$3)/10))</f>
        <v>16.362518589933597</v>
      </c>
    </row>
    <row r="32" spans="1:40" outlineLevel="1" x14ac:dyDescent="0.2">
      <c r="B32" s="1" t="s">
        <v>172</v>
      </c>
      <c r="C32" s="54" t="s">
        <v>153</v>
      </c>
      <c r="D32" s="44">
        <f>SUM(D30:D31)</f>
        <v>0</v>
      </c>
      <c r="E32" s="44">
        <f t="shared" ref="E32:AH32" si="8">SUM(E30:E31)</f>
        <v>0.58298643069467559</v>
      </c>
      <c r="F32" s="44">
        <f t="shared" si="8"/>
        <v>1.1822964814488022</v>
      </c>
      <c r="G32" s="44">
        <f t="shared" si="8"/>
        <v>1.7982729482836282</v>
      </c>
      <c r="H32" s="44">
        <f t="shared" si="8"/>
        <v>2.4312650260794655</v>
      </c>
      <c r="I32" s="44">
        <f t="shared" si="8"/>
        <v>3.0816284205557221</v>
      </c>
      <c r="J32" s="44">
        <f t="shared" si="8"/>
        <v>3.7497254621322029</v>
      </c>
      <c r="K32" s="44">
        <f t="shared" si="8"/>
        <v>4.4359252217023961</v>
      </c>
      <c r="L32" s="44">
        <f t="shared" si="8"/>
        <v>5.140603628349977</v>
      </c>
      <c r="M32" s="44">
        <f t="shared" si="8"/>
        <v>5.8641435890402356</v>
      </c>
      <c r="N32" s="44">
        <f t="shared" si="8"/>
        <v>6.6069351103186662</v>
      </c>
      <c r="O32" s="44">
        <f t="shared" si="8"/>
        <v>7.3693754220494405</v>
      </c>
      <c r="P32" s="44">
        <f t="shared" si="8"/>
        <v>7.7824112002095953</v>
      </c>
      <c r="Q32" s="44">
        <f t="shared" si="8"/>
        <v>8.6189527562689783</v>
      </c>
      <c r="R32" s="44">
        <f t="shared" si="8"/>
        <v>9.4773921233027831</v>
      </c>
      <c r="S32" s="44">
        <f t="shared" si="8"/>
        <v>10.358178477873306</v>
      </c>
      <c r="T32" s="44">
        <f t="shared" si="8"/>
        <v>11.261769281515633</v>
      </c>
      <c r="U32" s="44">
        <f t="shared" si="8"/>
        <v>12.188630424678287</v>
      </c>
      <c r="V32" s="44">
        <f t="shared" si="8"/>
        <v>13.139236373070315</v>
      </c>
      <c r="W32" s="44">
        <f t="shared" si="8"/>
        <v>14.114070316454088</v>
      </c>
      <c r="X32" s="44">
        <f t="shared" si="8"/>
        <v>15.113624319923478</v>
      </c>
      <c r="Y32" s="44">
        <f t="shared" si="8"/>
        <v>17.456319050582554</v>
      </c>
      <c r="Z32" s="44">
        <f t="shared" si="8"/>
        <v>18.51680698893448</v>
      </c>
      <c r="AA32" s="44">
        <f t="shared" si="8"/>
        <v>19.603567151026347</v>
      </c>
      <c r="AB32" s="44">
        <f t="shared" si="8"/>
        <v>20.717127303486961</v>
      </c>
      <c r="AC32" s="44">
        <f t="shared" si="8"/>
        <v>21.858024841054863</v>
      </c>
      <c r="AD32" s="44">
        <f t="shared" si="8"/>
        <v>23.026806952723188</v>
      </c>
      <c r="AE32" s="44">
        <f t="shared" si="8"/>
        <v>24.22403079064938</v>
      </c>
      <c r="AF32" s="44">
        <f t="shared" si="8"/>
        <v>25.450263641874773</v>
      </c>
      <c r="AG32" s="44">
        <f t="shared" si="8"/>
        <v>26.706083102899505</v>
      </c>
      <c r="AH32" s="44">
        <f t="shared" si="8"/>
        <v>27.992077257159128</v>
      </c>
    </row>
    <row r="33" spans="1:35" s="190" customFormat="1" x14ac:dyDescent="0.2">
      <c r="A33" s="190" t="s">
        <v>197</v>
      </c>
      <c r="B33" s="190" t="s">
        <v>67</v>
      </c>
      <c r="C33" s="191" t="s">
        <v>153</v>
      </c>
      <c r="D33" s="192">
        <f>D26-D29-D32</f>
        <v>89.109936202323638</v>
      </c>
      <c r="E33" s="192">
        <f>E26-E29-E32</f>
        <v>89.155720887544391</v>
      </c>
      <c r="F33" s="192">
        <f t="shared" ref="F33:AH33" si="9">F26-F29-F32</f>
        <v>89.185321996455684</v>
      </c>
      <c r="G33" s="192">
        <f t="shared" si="9"/>
        <v>89.198277415122519</v>
      </c>
      <c r="H33" s="192">
        <f t="shared" si="9"/>
        <v>89.194115262400715</v>
      </c>
      <c r="I33" s="192">
        <f t="shared" si="9"/>
        <v>89.172353707029359</v>
      </c>
      <c r="J33" s="192">
        <f t="shared" si="9"/>
        <v>89.132500781516157</v>
      </c>
      <c r="K33" s="192">
        <f t="shared" si="9"/>
        <v>89.074054192762006</v>
      </c>
      <c r="L33" s="192">
        <f t="shared" si="9"/>
        <v>88.996501129369562</v>
      </c>
      <c r="M33" s="192">
        <f t="shared" si="9"/>
        <v>88.89931806558036</v>
      </c>
      <c r="N33" s="192">
        <f t="shared" si="9"/>
        <v>88.781970561783709</v>
      </c>
      <c r="O33" s="192">
        <f t="shared" si="9"/>
        <v>87.570674821638178</v>
      </c>
      <c r="P33" s="192">
        <f t="shared" si="9"/>
        <v>86.677519437555929</v>
      </c>
      <c r="Q33" s="192">
        <f t="shared" si="9"/>
        <v>85.328806676760877</v>
      </c>
      <c r="R33" s="192">
        <f t="shared" si="9"/>
        <v>83.925341164853805</v>
      </c>
      <c r="S33" s="192">
        <f t="shared" si="9"/>
        <v>82.465854172504677</v>
      </c>
      <c r="T33" s="192">
        <f t="shared" si="9"/>
        <v>80.949052177501471</v>
      </c>
      <c r="U33" s="192">
        <f t="shared" si="9"/>
        <v>79.373616419220383</v>
      </c>
      <c r="V33" s="192">
        <f t="shared" si="9"/>
        <v>77.73820244548061</v>
      </c>
      <c r="W33" s="192">
        <f t="shared" si="9"/>
        <v>76.041439651657953</v>
      </c>
      <c r="X33" s="192">
        <f t="shared" si="9"/>
        <v>74.281930811928959</v>
      </c>
      <c r="Y33" s="192">
        <f t="shared" si="9"/>
        <v>71.070647554262479</v>
      </c>
      <c r="Z33" s="192">
        <f t="shared" si="9"/>
        <v>69.099729081341081</v>
      </c>
      <c r="AA33" s="192">
        <f t="shared" si="9"/>
        <v>67.059695044257268</v>
      </c>
      <c r="AB33" s="192">
        <f t="shared" si="9"/>
        <v>64.948996507235137</v>
      </c>
      <c r="AC33" s="192">
        <f t="shared" si="9"/>
        <v>62.766054710947721</v>
      </c>
      <c r="AD33" s="192">
        <f t="shared" si="9"/>
        <v>60.509260541048832</v>
      </c>
      <c r="AE33" s="192">
        <f t="shared" si="9"/>
        <v>58.176973987669442</v>
      </c>
      <c r="AF33" s="192">
        <f t="shared" si="9"/>
        <v>55.767523595729401</v>
      </c>
      <c r="AG33" s="192">
        <f t="shared" si="9"/>
        <v>53.279205905913422</v>
      </c>
      <c r="AH33" s="192">
        <f t="shared" si="9"/>
        <v>50.710284886157851</v>
      </c>
    </row>
    <row r="34" spans="1:35" s="67" customFormat="1" x14ac:dyDescent="0.2">
      <c r="A34" s="687" t="s">
        <v>257</v>
      </c>
      <c r="B34" s="58" t="s">
        <v>258</v>
      </c>
      <c r="C34" s="59" t="s">
        <v>153</v>
      </c>
      <c r="D34" s="60">
        <f>D26*('Demand Breakdown - Ethylene'!$C$73)</f>
        <v>74.910171646535289</v>
      </c>
      <c r="E34" s="60">
        <f>E26*('Demand Breakdown - Ethylene'!$C$73)-E$27/'R&amp;S - Packaging and hh goods'!$C$7*'R&amp;S - Packaging and hh goods'!$S7-E$28/'R&amp;S - Packaging and hh goods'!$C$8*'R&amp;S - Packaging and hh goods'!$S8-E$30/'R&amp;S - Packaging and hh goods'!$C$9*'R&amp;S - Packaging and hh goods'!$S9-E$31/'R&amp;S - Packaging and hh goods'!$C$10*'R&amp;S - Packaging and hh goods'!$S10</f>
        <v>74.936971003840227</v>
      </c>
      <c r="F34" s="60">
        <f>F26*('Demand Breakdown - Ethylene'!$C$73)-F$27/'R&amp;S - Packaging and hh goods'!$C$7*'R&amp;S - Packaging and hh goods'!$S7-F$28/'R&amp;S - Packaging and hh goods'!$C$8*'R&amp;S - Packaging and hh goods'!$S8-F$30/'R&amp;S - Packaging and hh goods'!$C$9*'R&amp;S - Packaging and hh goods'!$S9-F$31/'R&amp;S - Packaging and hh goods'!$C$10*'R&amp;S - Packaging and hh goods'!$S10</f>
        <v>74.94983834950699</v>
      </c>
      <c r="G34" s="60">
        <f>G26*('Demand Breakdown - Ethylene'!$C$73)-G$27/'R&amp;S - Packaging and hh goods'!$C$7*'R&amp;S - Packaging and hh goods'!$S7-G$28/'R&amp;S - Packaging and hh goods'!$C$8*'R&amp;S - Packaging and hh goods'!$S8-G$30/'R&amp;S - Packaging and hh goods'!$C$9*'R&amp;S - Packaging and hh goods'!$S9-G$31/'R&amp;S - Packaging and hh goods'!$C$10*'R&amp;S - Packaging and hh goods'!$S10</f>
        <v>74.948378334535661</v>
      </c>
      <c r="H34" s="60">
        <f>H26*('Demand Breakdown - Ethylene'!$C$73)-H$27/'R&amp;S - Packaging and hh goods'!$C$7*'R&amp;S - Packaging and hh goods'!$S7-H$28/'R&amp;S - Packaging and hh goods'!$C$8*'R&amp;S - Packaging and hh goods'!$S8-H$30/'R&amp;S - Packaging and hh goods'!$C$9*'R&amp;S - Packaging and hh goods'!$S9-H$31/'R&amp;S - Packaging and hh goods'!$C$10*'R&amp;S - Packaging and hh goods'!$S10</f>
        <v>74.932187270828621</v>
      </c>
      <c r="I34" s="60">
        <f>I26*('Demand Breakdown - Ethylene'!$C$73)-I$27/'R&amp;S - Packaging and hh goods'!$C$7*'R&amp;S - Packaging and hh goods'!$S7-I$28/'R&amp;S - Packaging and hh goods'!$C$8*'R&amp;S - Packaging and hh goods'!$S8-I$30/'R&amp;S - Packaging and hh goods'!$C$9*'R&amp;S - Packaging and hh goods'!$S9-I$31/'R&amp;S - Packaging and hh goods'!$C$10*'R&amp;S - Packaging and hh goods'!$S10</f>
        <v>74.900852975184236</v>
      </c>
      <c r="J34" s="60">
        <f>J26*('Demand Breakdown - Ethylene'!$C$73)-J$27/'R&amp;S - Packaging and hh goods'!$C$7*'R&amp;S - Packaging and hh goods'!$S7-J$28/'R&amp;S - Packaging and hh goods'!$C$8*'R&amp;S - Packaging and hh goods'!$S8-J$30/'R&amp;S - Packaging and hh goods'!$C$9*'R&amp;S - Packaging and hh goods'!$S9-J$31/'R&amp;S - Packaging and hh goods'!$C$10*'R&amp;S - Packaging and hh goods'!$S10</f>
        <v>74.853954610556713</v>
      </c>
      <c r="K34" s="60">
        <f>K26*('Demand Breakdown - Ethylene'!$C$73)-K$27/'R&amp;S - Packaging and hh goods'!$C$7*'R&amp;S - Packaging and hh goods'!$S7-K$28/'R&amp;S - Packaging and hh goods'!$C$8*'R&amp;S - Packaging and hh goods'!$S8-K$30/'R&amp;S - Packaging and hh goods'!$C$9*'R&amp;S - Packaging and hh goods'!$S9-K$31/'R&amp;S - Packaging and hh goods'!$C$10*'R&amp;S - Packaging and hh goods'!$S10</f>
        <v>74.7910625245365</v>
      </c>
      <c r="L34" s="60">
        <f>L26*('Demand Breakdown - Ethylene'!$C$73)-L$27/'R&amp;S - Packaging and hh goods'!$C$7*'R&amp;S - Packaging and hh goods'!$S7-L$28/'R&amp;S - Packaging and hh goods'!$C$8*'R&amp;S - Packaging and hh goods'!$S8-L$30/'R&amp;S - Packaging and hh goods'!$C$9*'R&amp;S - Packaging and hh goods'!$S9-L$31/'R&amp;S - Packaging and hh goods'!$C$10*'R&amp;S - Packaging and hh goods'!$S10</f>
        <v>74.711738085004043</v>
      </c>
      <c r="M34" s="60">
        <f>M26*('Demand Breakdown - Ethylene'!$C$73)-M$27/'R&amp;S - Packaging and hh goods'!$C$7*'R&amp;S - Packaging and hh goods'!$S7-M$28/'R&amp;S - Packaging and hh goods'!$C$8*'R&amp;S - Packaging and hh goods'!$S8-M$30/'R&amp;S - Packaging and hh goods'!$C$9*'R&amp;S - Packaging and hh goods'!$S9-M$31/'R&amp;S - Packaging and hh goods'!$C$10*'R&amp;S - Packaging and hh goods'!$S10</f>
        <v>74.615533512909835</v>
      </c>
      <c r="N34" s="60">
        <f>N26*('Demand Breakdown - Ethylene'!$C$73)-N$27/'R&amp;S - Packaging and hh goods'!$C$7*'R&amp;S - Packaging and hh goods'!$S7-N$28/'R&amp;S - Packaging and hh goods'!$C$8*'R&amp;S - Packaging and hh goods'!$S8-N$30/'R&amp;S - Packaging and hh goods'!$C$9*'R&amp;S - Packaging and hh goods'!$S9-N$31/'R&amp;S - Packaging and hh goods'!$C$10*'R&amp;S - Packaging and hh goods'!$S10</f>
        <v>74.501991712132366</v>
      </c>
      <c r="O34" s="60">
        <f>O26*('Demand Breakdown - Ethylene'!$C$73)-O$27/'R&amp;S - Packaging and hh goods'!$C$7*'R&amp;S - Packaging and hh goods'!$S7-O$28/'R&amp;S - Packaging and hh goods'!$C$8*'R&amp;S - Packaging and hh goods'!$S8-O$30/'R&amp;S - Packaging and hh goods'!$C$9*'R&amp;S - Packaging and hh goods'!$S9-O$31/'R&amp;S - Packaging and hh goods'!$C$10*'R&amp;S - Packaging and hh goods'!$S10</f>
        <v>73.443399822920114</v>
      </c>
      <c r="P34" s="60">
        <f>P26*('Demand Breakdown - Ethylene'!$C$73)-P$27/'R&amp;S - Packaging and hh goods'!$C$7*'R&amp;S - Packaging and hh goods'!$S7-P$28/'R&amp;S - Packaging and hh goods'!$C$8*'R&amp;S - Packaging and hh goods'!$S8-P$30/'R&amp;S - Packaging and hh goods'!$C$9*'R&amp;S - Packaging and hh goods'!$S9-P$31/'R&amp;S - Packaging and hh goods'!$C$10*'R&amp;S - Packaging and hh goods'!$S10</f>
        <v>72.652008822564767</v>
      </c>
      <c r="Q34" s="60">
        <f>Q26*('Demand Breakdown - Ethylene'!$C$73)-Q$27/'R&amp;S - Packaging and hh goods'!$C$7*'R&amp;S - Packaging and hh goods'!$S7-Q$28/'R&amp;S - Packaging and hh goods'!$C$8*'R&amp;S - Packaging and hh goods'!$S8-Q$30/'R&amp;S - Packaging and hh goods'!$C$9*'R&amp;S - Packaging and hh goods'!$S9-Q$31/'R&amp;S - Packaging and hh goods'!$C$10*'R&amp;S - Packaging and hh goods'!$S10</f>
        <v>71.475590515629747</v>
      </c>
      <c r="R34" s="60">
        <f>R26*('Demand Breakdown - Ethylene'!$C$73)-R$27/'R&amp;S - Packaging and hh goods'!$C$7*'R&amp;S - Packaging and hh goods'!$S7-R$28/'R&amp;S - Packaging and hh goods'!$C$8*'R&amp;S - Packaging and hh goods'!$S8-R$30/'R&amp;S - Packaging and hh goods'!$C$9*'R&amp;S - Packaging and hh goods'!$S9-R$31/'R&amp;S - Packaging and hh goods'!$C$10*'R&amp;S - Packaging and hh goods'!$S10</f>
        <v>70.251992702371325</v>
      </c>
      <c r="S34" s="60">
        <f>S26*('Demand Breakdown - Ethylene'!$C$73)-S$27/'R&amp;S - Packaging and hh goods'!$C$7*'R&amp;S - Packaging and hh goods'!$S7-S$28/'R&amp;S - Packaging and hh goods'!$C$8*'R&amp;S - Packaging and hh goods'!$S8-S$30/'R&amp;S - Packaging and hh goods'!$C$9*'R&amp;S - Packaging and hh goods'!$S9-S$31/'R&amp;S - Packaging and hh goods'!$C$10*'R&amp;S - Packaging and hh goods'!$S10</f>
        <v>68.980124934600639</v>
      </c>
      <c r="T34" s="60">
        <f>T26*('Demand Breakdown - Ethylene'!$C$73)-T$27/'R&amp;S - Packaging and hh goods'!$C$7*'R&amp;S - Packaging and hh goods'!$S7-T$28/'R&amp;S - Packaging and hh goods'!$C$8*'R&amp;S - Packaging and hh goods'!$S8-T$30/'R&amp;S - Packaging and hh goods'!$C$9*'R&amp;S - Packaging and hh goods'!$S9-T$31/'R&amp;S - Packaging and hh goods'!$C$10*'R&amp;S - Packaging and hh goods'!$S10</f>
        <v>67.658875478762681</v>
      </c>
      <c r="U34" s="60">
        <f>U26*('Demand Breakdown - Ethylene'!$C$73)-U$27/'R&amp;S - Packaging and hh goods'!$C$7*'R&amp;S - Packaging and hh goods'!$S7-U$28/'R&amp;S - Packaging and hh goods'!$C$8*'R&amp;S - Packaging and hh goods'!$S8-U$30/'R&amp;S - Packaging and hh goods'!$C$9*'R&amp;S - Packaging and hh goods'!$S9-U$31/'R&amp;S - Packaging and hh goods'!$C$10*'R&amp;S - Packaging and hh goods'!$S10</f>
        <v>66.287110933674086</v>
      </c>
      <c r="V34" s="60">
        <f>V26*('Demand Breakdown - Ethylene'!$C$73)-V$27/'R&amp;S - Packaging and hh goods'!$C$7*'R&amp;S - Packaging and hh goods'!$S7-V$28/'R&amp;S - Packaging and hh goods'!$C$8*'R&amp;S - Packaging and hh goods'!$S8-V$30/'R&amp;S - Packaging and hh goods'!$C$9*'R&amp;S - Packaging and hh goods'!$S9-V$31/'R&amp;S - Packaging and hh goods'!$C$10*'R&amp;S - Packaging and hh goods'!$S10</f>
        <v>64.863675841729162</v>
      </c>
      <c r="W34" s="60">
        <f>W26*('Demand Breakdown - Ethylene'!$C$73)-W$27/'R&amp;S - Packaging and hh goods'!$C$7*'R&amp;S - Packaging and hh goods'!$S7-W$28/'R&amp;S - Packaging and hh goods'!$C$8*'R&amp;S - Packaging and hh goods'!$S8-W$30/'R&amp;S - Packaging and hh goods'!$C$9*'R&amp;S - Packaging and hh goods'!$S9-W$31/'R&amp;S - Packaging and hh goods'!$C$10*'R&amp;S - Packaging and hh goods'!$S10</f>
        <v>63.387392293466789</v>
      </c>
      <c r="X34" s="60">
        <f>X26*('Demand Breakdown - Ethylene'!$C$73)-X$27/'R&amp;S - Packaging and hh goods'!$C$7*'R&amp;S - Packaging and hh goods'!$S7-X$28/'R&amp;S - Packaging and hh goods'!$C$8*'R&amp;S - Packaging and hh goods'!$S8-X$30/'R&amp;S - Packaging and hh goods'!$C$9*'R&amp;S - Packaging and hh goods'!$S9-X$31/'R&amp;S - Packaging and hh goods'!$C$10*'R&amp;S - Packaging and hh goods'!$S10</f>
        <v>61.857059525388102</v>
      </c>
      <c r="Y34" s="60">
        <f>Y26*('Demand Breakdown - Ethylene'!$C$73)-Y$27/'R&amp;S - Packaging and hh goods'!$C$7*'R&amp;S - Packaging and hh goods'!$S7-Y$28/'R&amp;S - Packaging and hh goods'!$C$8*'R&amp;S - Packaging and hh goods'!$S8-Y$30/'R&amp;S - Packaging and hh goods'!$C$9*'R&amp;S - Packaging and hh goods'!$S9-Y$31/'R&amp;S - Packaging and hh goods'!$C$10*'R&amp;S - Packaging and hh goods'!$S10</f>
        <v>59.133591940344942</v>
      </c>
      <c r="Z34" s="60">
        <f>Z26*('Demand Breakdown - Ethylene'!$C$73)-Z$27/'R&amp;S - Packaging and hh goods'!$C$7*'R&amp;S - Packaging and hh goods'!$S7-Z$28/'R&amp;S - Packaging and hh goods'!$C$8*'R&amp;S - Packaging and hh goods'!$S8-Z$30/'R&amp;S - Packaging and hh goods'!$C$9*'R&amp;S - Packaging and hh goods'!$S9-Z$31/'R&amp;S - Packaging and hh goods'!$C$10*'R&amp;S - Packaging and hh goods'!$S10</f>
        <v>57.421571922284222</v>
      </c>
      <c r="AA34" s="60">
        <f>AA26*('Demand Breakdown - Ethylene'!$C$73)-AA$27/'R&amp;S - Packaging and hh goods'!$C$7*'R&amp;S - Packaging and hh goods'!$S7-AA$28/'R&amp;S - Packaging and hh goods'!$C$8*'R&amp;S - Packaging and hh goods'!$S8-AA$30/'R&amp;S - Packaging and hh goods'!$C$9*'R&amp;S - Packaging and hh goods'!$S9-AA$31/'R&amp;S - Packaging and hh goods'!$C$10*'R&amp;S - Packaging and hh goods'!$S10</f>
        <v>55.65002515969752</v>
      </c>
      <c r="AB34" s="60">
        <f>AB26*('Demand Breakdown - Ethylene'!$C$73)-AB$27/'R&amp;S - Packaging and hh goods'!$C$7*'R&amp;S - Packaging and hh goods'!$S7-AB$28/'R&amp;S - Packaging and hh goods'!$C$8*'R&amp;S - Packaging and hh goods'!$S8-AB$30/'R&amp;S - Packaging and hh goods'!$C$9*'R&amp;S - Packaging and hh goods'!$S9-AB$31/'R&amp;S - Packaging and hh goods'!$C$10*'R&amp;S - Packaging and hh goods'!$S10</f>
        <v>53.817620459661654</v>
      </c>
      <c r="AC34" s="60">
        <f>AC26*('Demand Breakdown - Ethylene'!$C$73)-AC$27/'R&amp;S - Packaging and hh goods'!$C$7*'R&amp;S - Packaging and hh goods'!$S7-AC$28/'R&amp;S - Packaging and hh goods'!$C$8*'R&amp;S - Packaging and hh goods'!$S8-AC$30/'R&amp;S - Packaging and hh goods'!$C$9*'R&amp;S - Packaging and hh goods'!$S9-AC$31/'R&amp;S - Packaging and hh goods'!$C$10*'R&amp;S - Packaging and hh goods'!$S10</f>
        <v>51.923001023093441</v>
      </c>
      <c r="AD34" s="60">
        <f>AD26*('Demand Breakdown - Ethylene'!$C$73)-AD$27/'R&amp;S - Packaging and hh goods'!$C$7*'R&amp;S - Packaging and hh goods'!$S7-AD$28/'R&amp;S - Packaging and hh goods'!$C$8*'R&amp;S - Packaging and hh goods'!$S8-AD$30/'R&amp;S - Packaging and hh goods'!$C$9*'R&amp;S - Packaging and hh goods'!$S9-AD$31/'R&amp;S - Packaging and hh goods'!$C$10*'R&amp;S - Packaging and hh goods'!$S10</f>
        <v>49.964783988691252</v>
      </c>
      <c r="AE34" s="60">
        <f>AE26*('Demand Breakdown - Ethylene'!$C$73)-AE$27/'R&amp;S - Packaging and hh goods'!$C$7*'R&amp;S - Packaging and hh goods'!$S7-AE$28/'R&amp;S - Packaging and hh goods'!$C$8*'R&amp;S - Packaging and hh goods'!$S8-AE$30/'R&amp;S - Packaging and hh goods'!$C$9*'R&amp;S - Packaging and hh goods'!$S9-AE$31/'R&amp;S - Packaging and hh goods'!$C$10*'R&amp;S - Packaging and hh goods'!$S10</f>
        <v>47.941559969125294</v>
      </c>
      <c r="AF34" s="60">
        <f>AF26*('Demand Breakdown - Ethylene'!$C$73)-AF$27/'R&amp;S - Packaging and hh goods'!$C$7*'R&amp;S - Packaging and hh goods'!$S7-AF$28/'R&amp;S - Packaging and hh goods'!$C$8*'R&amp;S - Packaging and hh goods'!$S8-AF$30/'R&amp;S - Packaging and hh goods'!$C$9*'R&amp;S - Packaging and hh goods'!$S9-AF$31/'R&amp;S - Packaging and hh goods'!$C$10*'R&amp;S - Packaging and hh goods'!$S10</f>
        <v>45.851892579349681</v>
      </c>
      <c r="AG34" s="60">
        <f>AG26*('Demand Breakdown - Ethylene'!$C$73)-AG$27/'R&amp;S - Packaging and hh goods'!$C$7*'R&amp;S - Packaging and hh goods'!$S7-AG$28/'R&amp;S - Packaging and hh goods'!$C$8*'R&amp;S - Packaging and hh goods'!$S8-AG$30/'R&amp;S - Packaging and hh goods'!$C$9*'R&amp;S - Packaging and hh goods'!$S9-AG$31/'R&amp;S - Packaging and hh goods'!$C$10*'R&amp;S - Packaging and hh goods'!$S10</f>
        <v>43.694317956906374</v>
      </c>
      <c r="AH34" s="60">
        <f>AH26*('Demand Breakdown - Ethylene'!$C$73)-AH$27/'R&amp;S - Packaging and hh goods'!$C$7*'R&amp;S - Packaging and hh goods'!$S7-AH$28/'R&amp;S - Packaging and hh goods'!$C$8*'R&amp;S - Packaging and hh goods'!$S8-AH$30/'R&amp;S - Packaging and hh goods'!$C$9*'R&amp;S - Packaging and hh goods'!$S9-AH$31/'R&amp;S - Packaging and hh goods'!$C$10*'R&amp;S - Packaging and hh goods'!$S10</f>
        <v>41.467344274089143</v>
      </c>
      <c r="AI34" s="60"/>
    </row>
    <row r="35" spans="1:35" x14ac:dyDescent="0.2">
      <c r="A35" s="688"/>
      <c r="B35" s="1" t="s">
        <v>260</v>
      </c>
      <c r="C35" s="54" t="s">
        <v>153</v>
      </c>
      <c r="D35" s="44">
        <f>D39/('Demand Breakdown - Ethylene'!$K$14)</f>
        <v>10.180685222672066</v>
      </c>
      <c r="E35" s="44">
        <f>E39/('Demand Breakdown - Ethylene'!$K$14)</f>
        <v>10.185916058739474</v>
      </c>
      <c r="F35" s="44">
        <f>F39/('Demand Breakdown - Ethylene'!$K$14)</f>
        <v>10.189297943913129</v>
      </c>
      <c r="G35" s="44">
        <f>G39/('Demand Breakdown - Ethylene'!$K$14)</f>
        <v>10.190778082324131</v>
      </c>
      <c r="H35" s="44">
        <f>H39/('Demand Breakdown - Ethylene'!$K$14)</f>
        <v>10.190302562213633</v>
      </c>
      <c r="I35" s="44">
        <f>I39/('Demand Breakdown - Ethylene'!$K$14)</f>
        <v>10.187816335035908</v>
      </c>
      <c r="J35" s="44">
        <f>J39/('Demand Breakdown - Ethylene'!$K$14)</f>
        <v>10.183263194195012</v>
      </c>
      <c r="K35" s="44">
        <f>K39/('Demand Breakdown - Ethylene'!$K$14)</f>
        <v>10.176585753408903</v>
      </c>
      <c r="L35" s="44">
        <f>L39/('Demand Breakdown - Ethylene'!$K$14)</f>
        <v>10.167725424694721</v>
      </c>
      <c r="M35" s="44">
        <f>M39/('Demand Breakdown - Ethylene'!$K$14)</f>
        <v>10.156622395968874</v>
      </c>
      <c r="N35" s="44">
        <f>N39/('Demand Breakdown - Ethylene'!$K$14)</f>
        <v>10.143215608255465</v>
      </c>
      <c r="O35" s="44">
        <f>O39/('Demand Breakdown - Ethylene'!$K$14)</f>
        <v>10.004826768945941</v>
      </c>
      <c r="P35" s="44">
        <f>P39/('Demand Breakdown - Ethylene'!$K$14)</f>
        <v>9.9027850190828204</v>
      </c>
      <c r="Q35" s="44">
        <f>Q39/('Demand Breakdown - Ethylene'!$K$14)</f>
        <v>9.7486964779095935</v>
      </c>
      <c r="R35" s="44">
        <f>R39/('Demand Breakdown - Ethylene'!$K$14)</f>
        <v>9.5883525117197745</v>
      </c>
      <c r="S35" s="44">
        <f>S39/('Demand Breakdown - Ethylene'!$K$14)</f>
        <v>9.4216081699669694</v>
      </c>
      <c r="T35" s="44">
        <f>T39/('Demand Breakdown - Ethylene'!$K$14)</f>
        <v>9.2483156695527917</v>
      </c>
      <c r="U35" s="44">
        <f>U39/('Demand Breakdown - Ethylene'!$K$14)</f>
        <v>9.0683243439257044</v>
      </c>
      <c r="V35" s="44">
        <f>V39/('Demand Breakdown - Ethylene'!$K$14)</f>
        <v>8.8814805913098223</v>
      </c>
      <c r="W35" s="44">
        <f>W39/('Demand Breakdown - Ethylene'!$K$14)</f>
        <v>8.6876278220492882</v>
      </c>
      <c r="X35" s="44">
        <f>X39/('Demand Breakdown - Ethylene'!$K$14)</f>
        <v>8.4866064050535606</v>
      </c>
      <c r="Y35" s="44">
        <f>Y39/('Demand Breakdown - Ethylene'!$K$14)</f>
        <v>8.119721797113657</v>
      </c>
      <c r="Z35" s="44">
        <f>Z39/('Demand Breakdown - Ethylene'!$K$14)</f>
        <v>7.8945471260556044</v>
      </c>
      <c r="AA35" s="44">
        <f>AA39/('Demand Breakdown - Ethylene'!$K$14)</f>
        <v>7.6614760987356947</v>
      </c>
      <c r="AB35" s="44">
        <f>AB39/('Demand Breakdown - Ethylene'!$K$14)</f>
        <v>7.4203317514141176</v>
      </c>
      <c r="AC35" s="44">
        <f>AC39/('Demand Breakdown - Ethylene'!$K$14)</f>
        <v>7.1709337130521833</v>
      </c>
      <c r="AD35" s="44">
        <f>AD39/('Demand Breakdown - Ethylene'!$K$14)</f>
        <v>6.9130981445928388</v>
      </c>
      <c r="AE35" s="44">
        <f>AE39/('Demand Breakdown - Ethylene'!$K$14)</f>
        <v>6.6466376772088758</v>
      </c>
      <c r="AF35" s="44">
        <f>AF39/('Demand Breakdown - Ethylene'!$K$14)</f>
        <v>6.3713613495018233</v>
      </c>
      <c r="AG35" s="44">
        <f>AG39/('Demand Breakdown - Ethylene'!$K$14)</f>
        <v>6.0870745436342366</v>
      </c>
      <c r="AH35" s="44">
        <f>AH39/('Demand Breakdown - Ethylene'!$K$14)</f>
        <v>5.7935789203778567</v>
      </c>
      <c r="AI35" s="44"/>
    </row>
    <row r="36" spans="1:35" x14ac:dyDescent="0.2">
      <c r="A36" s="688"/>
      <c r="B36" s="1" t="s">
        <v>262</v>
      </c>
      <c r="C36" s="54" t="s">
        <v>153</v>
      </c>
      <c r="D36" s="44">
        <f>D38/('Demand Breakdown - Ethylene'!$M$14)</f>
        <v>2.502958579881656</v>
      </c>
      <c r="E36" s="44">
        <f>E38/('Demand Breakdown - Ethylene'!$M$14)</f>
        <v>2.5255758471449905</v>
      </c>
      <c r="F36" s="44">
        <f>F38/('Demand Breakdown - Ethylene'!$M$14)</f>
        <v>2.5483358180100413</v>
      </c>
      <c r="G36" s="44">
        <f>G38/('Demand Breakdown - Ethylene'!$M$14)</f>
        <v>2.5712380551932736</v>
      </c>
      <c r="H36" s="44">
        <f>H38/('Demand Breakdown - Ethylene'!$M$14)</f>
        <v>2.594282081197306</v>
      </c>
      <c r="I36" s="44">
        <f>I38/('Demand Breakdown - Ethylene'!$M$14)</f>
        <v>2.6174673772706334</v>
      </c>
      <c r="J36" s="44">
        <f>J38/('Demand Breakdown - Ethylene'!$M$14)</f>
        <v>2.6407933823460987</v>
      </c>
      <c r="K36" s="44">
        <f>K38/('Demand Breakdown - Ethylene'!$M$14)</f>
        <v>2.6642594919577327</v>
      </c>
      <c r="L36" s="44">
        <f>L38/('Demand Breakdown - Ethylene'!$M$14)</f>
        <v>2.6878650571355522</v>
      </c>
      <c r="M36" s="44">
        <f>M38/('Demand Breakdown - Ethylene'!$M$14)</f>
        <v>2.7116093832779282</v>
      </c>
      <c r="N36" s="44">
        <f>N38/('Demand Breakdown - Ethylene'!$M$14)</f>
        <v>2.7354917290010907</v>
      </c>
      <c r="O36" s="44">
        <f>O38/('Demand Breakdown - Ethylene'!$M$14)</f>
        <v>2.7327954327251796</v>
      </c>
      <c r="P36" s="44">
        <f>P38/('Demand Breakdown - Ethylene'!$M$14)</f>
        <v>2.7294874837746588</v>
      </c>
      <c r="Q36" s="44">
        <f>Q38/('Demand Breakdown - Ethylene'!$M$14)</f>
        <v>2.7255512843487093</v>
      </c>
      <c r="R36" s="44">
        <f>R38/('Demand Breakdown - Ethylene'!$M$14)</f>
        <v>2.7209698917920138</v>
      </c>
      <c r="S36" s="44">
        <f>S38/('Demand Breakdown - Ethylene'!$M$14)</f>
        <v>2.7157260121919982</v>
      </c>
      <c r="T36" s="44">
        <f>T38/('Demand Breakdown - Ethylene'!$M$14)</f>
        <v>2.7098019938643905</v>
      </c>
      <c r="U36" s="44">
        <f>U38/('Demand Breakdown - Ethylene'!$M$14)</f>
        <v>2.7031798207252211</v>
      </c>
      <c r="V36" s="44">
        <f>V38/('Demand Breakdown - Ethylene'!$M$14)</f>
        <v>2.6958411055473572</v>
      </c>
      <c r="W36" s="44">
        <f>W38/('Demand Breakdown - Ethylene'!$M$14)</f>
        <v>2.6877670830996507</v>
      </c>
      <c r="X36" s="44">
        <f>X38/('Demand Breakdown - Ethylene'!$M$14)</f>
        <v>2.6789386031667211</v>
      </c>
      <c r="Y36" s="44">
        <f>Y38/('Demand Breakdown - Ethylene'!$M$14)</f>
        <v>2.6680931783243294</v>
      </c>
      <c r="Z36" s="44">
        <f>Z38/('Demand Breakdown - Ethylene'!$M$14)</f>
        <v>2.6564190096201314</v>
      </c>
      <c r="AA36" s="44">
        <f>AA38/('Demand Breakdown - Ethylene'!$M$14)</f>
        <v>2.6438950179292635</v>
      </c>
      <c r="AB36" s="44">
        <f>AB38/('Demand Breakdown - Ethylene'!$M$14)</f>
        <v>2.6304996963451655</v>
      </c>
      <c r="AC36" s="44">
        <f>AC38/('Demand Breakdown - Ethylene'!$M$14)</f>
        <v>2.6162111023331986</v>
      </c>
      <c r="AD36" s="44">
        <f>AD38/('Demand Breakdown - Ethylene'!$M$14)</f>
        <v>2.6010068497484133</v>
      </c>
      <c r="AE36" s="44">
        <f>AE38/('Demand Breakdown - Ethylene'!$M$14)</f>
        <v>2.5848641007151971</v>
      </c>
      <c r="AF36" s="44">
        <f>AF38/('Demand Breakdown - Ethylene'!$M$14)</f>
        <v>2.5677595573664997</v>
      </c>
      <c r="AG36" s="44">
        <f>AG38/('Demand Breakdown - Ethylene'!$M$14)</f>
        <v>2.5496694534402988</v>
      </c>
      <c r="AH36" s="44">
        <f>AH38/('Demand Breakdown - Ethylene'!$M$14)</f>
        <v>2.5305695457309199</v>
      </c>
      <c r="AI36" s="44"/>
    </row>
    <row r="37" spans="1:35" s="68" customFormat="1" x14ac:dyDescent="0.2">
      <c r="A37" s="689"/>
      <c r="B37" s="62" t="s">
        <v>248</v>
      </c>
      <c r="C37" s="283" t="s">
        <v>153</v>
      </c>
      <c r="D37" s="284">
        <f>D33-SUM(D35,D34,D36)</f>
        <v>1.516120753234631</v>
      </c>
      <c r="E37" s="284">
        <f>E33-E34-E35-E36</f>
        <v>1.5072579778196982</v>
      </c>
      <c r="F37" s="284">
        <f t="shared" ref="F37:AG37" si="10">F33-F34-F35-F36</f>
        <v>1.497849885025524</v>
      </c>
      <c r="G37" s="284">
        <f t="shared" si="10"/>
        <v>1.4878829430694522</v>
      </c>
      <c r="H37" s="284">
        <f t="shared" si="10"/>
        <v>1.4773433481611549</v>
      </c>
      <c r="I37" s="284">
        <f t="shared" si="10"/>
        <v>1.4662170195385813</v>
      </c>
      <c r="J37" s="284">
        <f t="shared" si="10"/>
        <v>1.4544895944183334</v>
      </c>
      <c r="K37" s="284">
        <f t="shared" si="10"/>
        <v>1.4421464228588707</v>
      </c>
      <c r="L37" s="284">
        <f t="shared" si="10"/>
        <v>1.4291725625352458</v>
      </c>
      <c r="M37" s="284">
        <f t="shared" si="10"/>
        <v>1.4155527734237228</v>
      </c>
      <c r="N37" s="284">
        <f t="shared" si="10"/>
        <v>1.401271512394787</v>
      </c>
      <c r="O37" s="284">
        <f t="shared" si="10"/>
        <v>1.3896527970469439</v>
      </c>
      <c r="P37" s="284">
        <f t="shared" si="10"/>
        <v>1.3932381121336834</v>
      </c>
      <c r="Q37" s="284">
        <f t="shared" si="10"/>
        <v>1.3789683988728267</v>
      </c>
      <c r="R37" s="284">
        <f t="shared" si="10"/>
        <v>1.3640260589706914</v>
      </c>
      <c r="S37" s="284">
        <f t="shared" si="10"/>
        <v>1.3483950557450712</v>
      </c>
      <c r="T37" s="284">
        <f t="shared" si="10"/>
        <v>1.332059035321608</v>
      </c>
      <c r="U37" s="284">
        <f t="shared" si="10"/>
        <v>1.3150013208953717</v>
      </c>
      <c r="V37" s="284">
        <f t="shared" si="10"/>
        <v>1.2972049068942688</v>
      </c>
      <c r="W37" s="284">
        <f t="shared" si="10"/>
        <v>1.2786524530422252</v>
      </c>
      <c r="X37" s="284">
        <f t="shared" si="10"/>
        <v>1.2593262783205748</v>
      </c>
      <c r="Y37" s="284">
        <f t="shared" si="10"/>
        <v>1.1492406384795499</v>
      </c>
      <c r="Z37" s="284">
        <f t="shared" si="10"/>
        <v>1.1271910233811231</v>
      </c>
      <c r="AA37" s="284">
        <f t="shared" si="10"/>
        <v>1.1042987678947891</v>
      </c>
      <c r="AB37" s="284">
        <f t="shared" si="10"/>
        <v>1.0805445998141994</v>
      </c>
      <c r="AC37" s="284">
        <f t="shared" si="10"/>
        <v>1.0559088724688976</v>
      </c>
      <c r="AD37" s="284">
        <f t="shared" si="10"/>
        <v>1.0303715580163275</v>
      </c>
      <c r="AE37" s="284">
        <f t="shared" si="10"/>
        <v>1.0039122406200751</v>
      </c>
      <c r="AF37" s="284">
        <f t="shared" si="10"/>
        <v>0.97651010951139705</v>
      </c>
      <c r="AG37" s="284">
        <f t="shared" si="10"/>
        <v>0.94814395193251189</v>
      </c>
      <c r="AH37" s="284">
        <f>AH33-AH34-AH35-AH36</f>
        <v>0.91879214595993108</v>
      </c>
      <c r="AI37" s="284"/>
    </row>
    <row r="38" spans="1:35" s="67" customFormat="1" x14ac:dyDescent="0.2">
      <c r="A38" s="687" t="s">
        <v>263</v>
      </c>
      <c r="B38" s="58" t="s">
        <v>264</v>
      </c>
      <c r="C38" s="59" t="s">
        <v>153</v>
      </c>
      <c r="D38" s="60">
        <f>D33*'Demand Breakdown - Ethylene'!$E$73</f>
        <v>2.4028402366863899</v>
      </c>
      <c r="E38" s="60">
        <f>E26*'Demand Breakdown - Ethylene'!$E$73-E$27/'R&amp;S - Packaging and hh goods'!$C$7*'R&amp;S - Packaging and hh goods'!$U9-E$28/'R&amp;S - Packaging and hh goods'!$C$8*'R&amp;S - Packaging and hh goods'!$U10-E$30/'R&amp;S - Packaging and hh goods'!$C$9*'R&amp;S - Packaging and hh goods'!$U11-E$31/'R&amp;S - Packaging and hh goods'!$C$10*'R&amp;S - Packaging and hh goods'!$U12</f>
        <v>2.4245528132591909</v>
      </c>
      <c r="F38" s="60">
        <f>F26*'Demand Breakdown - Ethylene'!$E$73-F$27/'R&amp;S - Packaging and hh goods'!$C$7*'R&amp;S - Packaging and hh goods'!$U9-F$28/'R&amp;S - Packaging and hh goods'!$C$8*'R&amp;S - Packaging and hh goods'!$U10-F$30/'R&amp;S - Packaging and hh goods'!$C$9*'R&amp;S - Packaging and hh goods'!$U11-F$31/'R&amp;S - Packaging and hh goods'!$C$10*'R&amp;S - Packaging and hh goods'!$U12</f>
        <v>2.4464023852896397</v>
      </c>
      <c r="G38" s="60">
        <f>G26*'Demand Breakdown - Ethylene'!$E$73-G$27/'R&amp;S - Packaging and hh goods'!$C$7*'R&amp;S - Packaging and hh goods'!$U9-G$28/'R&amp;S - Packaging and hh goods'!$C$8*'R&amp;S - Packaging and hh goods'!$U10-G$30/'R&amp;S - Packaging and hh goods'!$C$9*'R&amp;S - Packaging and hh goods'!$U11-G$31/'R&amp;S - Packaging and hh goods'!$C$10*'R&amp;S - Packaging and hh goods'!$U12</f>
        <v>2.4683885329855424</v>
      </c>
      <c r="H38" s="60">
        <f>H26*'Demand Breakdown - Ethylene'!$E$73-H$27/'R&amp;S - Packaging and hh goods'!$C$7*'R&amp;S - Packaging and hh goods'!$U9-H$28/'R&amp;S - Packaging and hh goods'!$C$8*'R&amp;S - Packaging and hh goods'!$U10-H$30/'R&amp;S - Packaging and hh goods'!$C$9*'R&amp;S - Packaging and hh goods'!$U11-H$31/'R&amp;S - Packaging and hh goods'!$C$10*'R&amp;S - Packaging and hh goods'!$U12</f>
        <v>2.4905107979494137</v>
      </c>
      <c r="I38" s="60">
        <f>I26*'Demand Breakdown - Ethylene'!$E$73-I$27/'R&amp;S - Packaging and hh goods'!$C$7*'R&amp;S - Packaging and hh goods'!$U9-I$28/'R&amp;S - Packaging and hh goods'!$C$8*'R&amp;S - Packaging and hh goods'!$U10-I$30/'R&amp;S - Packaging and hh goods'!$C$9*'R&amp;S - Packaging and hh goods'!$U11-I$31/'R&amp;S - Packaging and hh goods'!$C$10*'R&amp;S - Packaging and hh goods'!$U12</f>
        <v>2.5127686821798081</v>
      </c>
      <c r="J38" s="60">
        <f>J26*'Demand Breakdown - Ethylene'!$E$73-J$27/'R&amp;S - Packaging and hh goods'!$C$7*'R&amp;S - Packaging and hh goods'!$U9-J$28/'R&amp;S - Packaging and hh goods'!$C$8*'R&amp;S - Packaging and hh goods'!$U10-J$30/'R&amp;S - Packaging and hh goods'!$C$9*'R&amp;S - Packaging and hh goods'!$U11-J$31/'R&amp;S - Packaging and hh goods'!$C$10*'R&amp;S - Packaging and hh goods'!$U12</f>
        <v>2.5351616470522549</v>
      </c>
      <c r="K38" s="60">
        <f>K26*'Demand Breakdown - Ethylene'!$E$73-K$27/'R&amp;S - Packaging and hh goods'!$C$7*'R&amp;S - Packaging and hh goods'!$U9-K$28/'R&amp;S - Packaging and hh goods'!$C$8*'R&amp;S - Packaging and hh goods'!$U10-K$30/'R&amp;S - Packaging and hh goods'!$C$9*'R&amp;S - Packaging and hh goods'!$U11-K$31/'R&amp;S - Packaging and hh goods'!$C$10*'R&amp;S - Packaging and hh goods'!$U12</f>
        <v>2.5576891122794234</v>
      </c>
      <c r="L38" s="60">
        <f>L26*'Demand Breakdown - Ethylene'!$E$73-L$27/'R&amp;S - Packaging and hh goods'!$C$7*'R&amp;S - Packaging and hh goods'!$U9-L$28/'R&amp;S - Packaging and hh goods'!$C$8*'R&amp;S - Packaging and hh goods'!$U10-L$30/'R&amp;S - Packaging and hh goods'!$C$9*'R&amp;S - Packaging and hh goods'!$U11-L$31/'R&amp;S - Packaging and hh goods'!$C$10*'R&amp;S - Packaging and hh goods'!$U12</f>
        <v>2.5803504548501301</v>
      </c>
      <c r="M38" s="60">
        <f>M26*'Demand Breakdown - Ethylene'!$E$73-M$27/'R&amp;S - Packaging and hh goods'!$C$7*'R&amp;S - Packaging and hh goods'!$U9-M$28/'R&amp;S - Packaging and hh goods'!$C$8*'R&amp;S - Packaging and hh goods'!$U10-M$30/'R&amp;S - Packaging and hh goods'!$C$9*'R&amp;S - Packaging and hh goods'!$U11-M$31/'R&amp;S - Packaging and hh goods'!$C$10*'R&amp;S - Packaging and hh goods'!$U12</f>
        <v>2.6031450079468108</v>
      </c>
      <c r="N38" s="60">
        <f>N26*'Demand Breakdown - Ethylene'!$E$73-N$27/'R&amp;S - Packaging and hh goods'!$C$7*'R&amp;S - Packaging and hh goods'!$U9-N$28/'R&amp;S - Packaging and hh goods'!$C$8*'R&amp;S - Packaging and hh goods'!$U10-N$30/'R&amp;S - Packaging and hh goods'!$C$9*'R&amp;S - Packaging and hh goods'!$U11-N$31/'R&amp;S - Packaging and hh goods'!$C$10*'R&amp;S - Packaging and hh goods'!$U12</f>
        <v>2.626072059841047</v>
      </c>
      <c r="O38" s="60">
        <f>O26*'Demand Breakdown - Ethylene'!$E$73-O$27/'R&amp;S - Packaging and hh goods'!$C$7*'R&amp;S - Packaging and hh goods'!$U9-O$28/'R&amp;S - Packaging and hh goods'!$C$8*'R&amp;S - Packaging and hh goods'!$U10-O$30/'R&amp;S - Packaging and hh goods'!$C$9*'R&amp;S - Packaging and hh goods'!$U11-O$31/'R&amp;S - Packaging and hh goods'!$C$10*'R&amp;S - Packaging and hh goods'!$U12</f>
        <v>2.6234836154161725</v>
      </c>
      <c r="P38" s="60">
        <f>P26*'Demand Breakdown - Ethylene'!$E$73-P$27/'R&amp;S - Packaging and hh goods'!$C$7*'R&amp;S - Packaging and hh goods'!$U9-P$28/'R&amp;S - Packaging and hh goods'!$C$8*'R&amp;S - Packaging and hh goods'!$U10-P$30/'R&amp;S - Packaging and hh goods'!$C$9*'R&amp;S - Packaging and hh goods'!$U11-P$31/'R&amp;S - Packaging and hh goods'!$C$10*'R&amp;S - Packaging and hh goods'!$U12</f>
        <v>2.6203079844236723</v>
      </c>
      <c r="Q38" s="60">
        <f>Q26*'Demand Breakdown - Ethylene'!$E$73-Q$27/'R&amp;S - Packaging and hh goods'!$C$7*'R&amp;S - Packaging and hh goods'!$U9-Q$28/'R&amp;S - Packaging and hh goods'!$C$8*'R&amp;S - Packaging and hh goods'!$U10-Q$30/'R&amp;S - Packaging and hh goods'!$C$9*'R&amp;S - Packaging and hh goods'!$U11-Q$31/'R&amp;S - Packaging and hh goods'!$C$10*'R&amp;S - Packaging and hh goods'!$U12</f>
        <v>2.6165292329747607</v>
      </c>
      <c r="R38" s="60">
        <f>R26*'Demand Breakdown - Ethylene'!$E$73-R$27/'R&amp;S - Packaging and hh goods'!$C$7*'R&amp;S - Packaging and hh goods'!$U9-R$28/'R&amp;S - Packaging and hh goods'!$C$8*'R&amp;S - Packaging and hh goods'!$U10-R$30/'R&amp;S - Packaging and hh goods'!$C$9*'R&amp;S - Packaging and hh goods'!$U11-R$31/'R&amp;S - Packaging and hh goods'!$C$10*'R&amp;S - Packaging and hh goods'!$U12</f>
        <v>2.6121310961203332</v>
      </c>
      <c r="S38" s="60">
        <f>S26*'Demand Breakdown - Ethylene'!$E$73-S$27/'R&amp;S - Packaging and hh goods'!$C$7*'R&amp;S - Packaging and hh goods'!$U9-S$28/'R&amp;S - Packaging and hh goods'!$C$8*'R&amp;S - Packaging and hh goods'!$U10-S$30/'R&amp;S - Packaging and hh goods'!$C$9*'R&amp;S - Packaging and hh goods'!$U11-S$31/'R&amp;S - Packaging and hh goods'!$C$10*'R&amp;S - Packaging and hh goods'!$U12</f>
        <v>2.6070969717043182</v>
      </c>
      <c r="T38" s="60">
        <f>T26*'Demand Breakdown - Ethylene'!$E$73-T$27/'R&amp;S - Packaging and hh goods'!$C$7*'R&amp;S - Packaging and hh goods'!$U9-T$28/'R&amp;S - Packaging and hh goods'!$C$8*'R&amp;S - Packaging and hh goods'!$U10-T$30/'R&amp;S - Packaging and hh goods'!$C$9*'R&amp;S - Packaging and hh goods'!$U11-T$31/'R&amp;S - Packaging and hh goods'!$C$10*'R&amp;S - Packaging and hh goods'!$U12</f>
        <v>2.6014099141098148</v>
      </c>
      <c r="U38" s="60">
        <f>U26*'Demand Breakdown - Ethylene'!$E$73-U$27/'R&amp;S - Packaging and hh goods'!$C$7*'R&amp;S - Packaging and hh goods'!$U9-U$28/'R&amp;S - Packaging and hh goods'!$C$8*'R&amp;S - Packaging and hh goods'!$U10-U$30/'R&amp;S - Packaging and hh goods'!$C$9*'R&amp;S - Packaging and hh goods'!$U11-U$31/'R&amp;S - Packaging and hh goods'!$C$10*'R&amp;S - Packaging and hh goods'!$U12</f>
        <v>2.5950526278962123</v>
      </c>
      <c r="V38" s="60">
        <f>V26*'Demand Breakdown - Ethylene'!$E$73-V$27/'R&amp;S - Packaging and hh goods'!$C$7*'R&amp;S - Packaging and hh goods'!$U9-V$28/'R&amp;S - Packaging and hh goods'!$C$8*'R&amp;S - Packaging and hh goods'!$U10-V$30/'R&amp;S - Packaging and hh goods'!$C$9*'R&amp;S - Packaging and hh goods'!$U11-V$31/'R&amp;S - Packaging and hh goods'!$C$10*'R&amp;S - Packaging and hh goods'!$U12</f>
        <v>2.5880074613254629</v>
      </c>
      <c r="W38" s="60">
        <f>W26*'Demand Breakdown - Ethylene'!$E$73-W$27/'R&amp;S - Packaging and hh goods'!$C$7*'R&amp;S - Packaging and hh goods'!$U9-W$28/'R&amp;S - Packaging and hh goods'!$C$8*'R&amp;S - Packaging and hh goods'!$U10-W$30/'R&amp;S - Packaging and hh goods'!$C$9*'R&amp;S - Packaging and hh goods'!$U11-W$31/'R&amp;S - Packaging and hh goods'!$C$10*'R&amp;S - Packaging and hh goods'!$U12</f>
        <v>2.5802563997756645</v>
      </c>
      <c r="X38" s="60">
        <f>X26*'Demand Breakdown - Ethylene'!$E$73-X$27/'R&amp;S - Packaging and hh goods'!$C$7*'R&amp;S - Packaging and hh goods'!$U9-X$28/'R&amp;S - Packaging and hh goods'!$C$8*'R&amp;S - Packaging and hh goods'!$U10-X$30/'R&amp;S - Packaging and hh goods'!$C$9*'R&amp;S - Packaging and hh goods'!$U11-X$31/'R&amp;S - Packaging and hh goods'!$C$10*'R&amp;S - Packaging and hh goods'!$U12</f>
        <v>2.5717810590400521</v>
      </c>
      <c r="Y38" s="60">
        <f>Y26*'Demand Breakdown - Ethylene'!$E$73-Y$27/'R&amp;S - Packaging and hh goods'!$C$7*'R&amp;S - Packaging and hh goods'!$U9-Y$28/'R&amp;S - Packaging and hh goods'!$C$8*'R&amp;S - Packaging and hh goods'!$U10-Y$30/'R&amp;S - Packaging and hh goods'!$C$9*'R&amp;S - Packaging and hh goods'!$U11-Y$31/'R&amp;S - Packaging and hh goods'!$C$10*'R&amp;S - Packaging and hh goods'!$U12</f>
        <v>2.5613694511913563</v>
      </c>
      <c r="Z38" s="60">
        <f>Z26*'Demand Breakdown - Ethylene'!$E$73-Z$27/'R&amp;S - Packaging and hh goods'!$C$7*'R&amp;S - Packaging and hh goods'!$U9-Z$28/'R&amp;S - Packaging and hh goods'!$C$8*'R&amp;S - Packaging and hh goods'!$U10-Z$30/'R&amp;S - Packaging and hh goods'!$C$9*'R&amp;S - Packaging and hh goods'!$U11-Z$31/'R&amp;S - Packaging and hh goods'!$C$10*'R&amp;S - Packaging and hh goods'!$U12</f>
        <v>2.550162249235326</v>
      </c>
      <c r="AA38" s="60">
        <f>AA26*'Demand Breakdown - Ethylene'!$E$73-AA$27/'R&amp;S - Packaging and hh goods'!$C$7*'R&amp;S - Packaging and hh goods'!$U9-AA$28/'R&amp;S - Packaging and hh goods'!$C$8*'R&amp;S - Packaging and hh goods'!$U10-AA$30/'R&amp;S - Packaging and hh goods'!$C$9*'R&amp;S - Packaging and hh goods'!$U11-AA$31/'R&amp;S - Packaging and hh goods'!$C$10*'R&amp;S - Packaging and hh goods'!$U12</f>
        <v>2.5381392172120929</v>
      </c>
      <c r="AB38" s="60">
        <f>AB26*'Demand Breakdown - Ethylene'!$E$73-AB$27/'R&amp;S - Packaging and hh goods'!$C$7*'R&amp;S - Packaging and hh goods'!$U9-AB$28/'R&amp;S - Packaging and hh goods'!$C$8*'R&amp;S - Packaging and hh goods'!$U10-AB$30/'R&amp;S - Packaging and hh goods'!$C$9*'R&amp;S - Packaging and hh goods'!$U11-AB$31/'R&amp;S - Packaging and hh goods'!$C$10*'R&amp;S - Packaging and hh goods'!$U12</f>
        <v>2.5252797084913587</v>
      </c>
      <c r="AC38" s="60">
        <f>AC26*'Demand Breakdown - Ethylene'!$E$73-AC$27/'R&amp;S - Packaging and hh goods'!$C$7*'R&amp;S - Packaging and hh goods'!$U9-AC$28/'R&amp;S - Packaging and hh goods'!$C$8*'R&amp;S - Packaging and hh goods'!$U10-AC$30/'R&amp;S - Packaging and hh goods'!$C$9*'R&amp;S - Packaging and hh goods'!$U11-AC$31/'R&amp;S - Packaging and hh goods'!$C$10*'R&amp;S - Packaging and hh goods'!$U12</f>
        <v>2.5115626582398707</v>
      </c>
      <c r="AD38" s="60">
        <f>AD26*'Demand Breakdown - Ethylene'!$E$73-AD$27/'R&amp;S - Packaging and hh goods'!$C$7*'R&amp;S - Packaging and hh goods'!$U9-AD$28/'R&amp;S - Packaging and hh goods'!$C$8*'R&amp;S - Packaging and hh goods'!$U10-AD$30/'R&amp;S - Packaging and hh goods'!$C$9*'R&amp;S - Packaging and hh goods'!$U11-AD$31/'R&amp;S - Packaging and hh goods'!$C$10*'R&amp;S - Packaging and hh goods'!$U12</f>
        <v>2.4969665757584769</v>
      </c>
      <c r="AE38" s="60">
        <f>AE26*'Demand Breakdown - Ethylene'!$E$73-AE$27/'R&amp;S - Packaging and hh goods'!$C$7*'R&amp;S - Packaging and hh goods'!$U9-AE$28/'R&amp;S - Packaging and hh goods'!$C$8*'R&amp;S - Packaging and hh goods'!$U10-AE$30/'R&amp;S - Packaging and hh goods'!$C$9*'R&amp;S - Packaging and hh goods'!$U11-AE$31/'R&amp;S - Packaging and hh goods'!$C$10*'R&amp;S - Packaging and hh goods'!$U12</f>
        <v>2.4814695366865891</v>
      </c>
      <c r="AF38" s="60">
        <f>AF26*'Demand Breakdown - Ethylene'!$E$73-AF$27/'R&amp;S - Packaging and hh goods'!$C$7*'R&amp;S - Packaging and hh goods'!$U9-AF$28/'R&amp;S - Packaging and hh goods'!$C$8*'R&amp;S - Packaging and hh goods'!$U10-AF$30/'R&amp;S - Packaging and hh goods'!$C$9*'R&amp;S - Packaging and hh goods'!$U11-AF$31/'R&amp;S - Packaging and hh goods'!$C$10*'R&amp;S - Packaging and hh goods'!$U12</f>
        <v>2.4650491750718397</v>
      </c>
      <c r="AG38" s="60">
        <f>AG26*'Demand Breakdown - Ethylene'!$E$73-AG$27/'R&amp;S - Packaging and hh goods'!$C$7*'R&amp;S - Packaging and hh goods'!$U9-AG$28/'R&amp;S - Packaging and hh goods'!$C$8*'R&amp;S - Packaging and hh goods'!$U10-AG$30/'R&amp;S - Packaging and hh goods'!$C$9*'R&amp;S - Packaging and hh goods'!$U11-AG$31/'R&amp;S - Packaging and hh goods'!$C$10*'R&amp;S - Packaging and hh goods'!$U12</f>
        <v>2.4476826753026866</v>
      </c>
      <c r="AH38" s="60">
        <f>AH26*'Demand Breakdown - Ethylene'!$E$73-AH$27/'R&amp;S - Packaging and hh goods'!$C$7*'R&amp;S - Packaging and hh goods'!$U9-AH$28/'R&amp;S - Packaging and hh goods'!$C$8*'R&amp;S - Packaging and hh goods'!$U10-AH$30/'R&amp;S - Packaging and hh goods'!$C$9*'R&amp;S - Packaging and hh goods'!$U11-AH$31/'R&amp;S - Packaging and hh goods'!$C$10*'R&amp;S - Packaging and hh goods'!$U12</f>
        <v>2.429346763901683</v>
      </c>
      <c r="AI38" s="60"/>
    </row>
    <row r="39" spans="1:35" s="68" customFormat="1" x14ac:dyDescent="0.2">
      <c r="A39" s="689"/>
      <c r="B39" s="62" t="s">
        <v>266</v>
      </c>
      <c r="C39" s="283" t="s">
        <v>153</v>
      </c>
      <c r="D39" s="284">
        <f>D33*'Demand Breakdown - Ethylene'!$D$73/'Demand Breakdown - Ethylene'!$L$24</f>
        <v>6.2246933198380567</v>
      </c>
      <c r="E39" s="284">
        <f>E33*'Demand Breakdown - Ethylene'!$D$73/'Demand Breakdown - Ethylene'!$L$24</f>
        <v>6.2278915672657895</v>
      </c>
      <c r="F39" s="284">
        <f>F33*'Demand Breakdown - Ethylene'!$D$73/'Demand Breakdown - Ethylene'!$L$24</f>
        <v>6.2299593257308112</v>
      </c>
      <c r="G39" s="284">
        <f>G33*'Demand Breakdown - Ethylene'!$D$73/'Demand Breakdown - Ethylene'!$L$24</f>
        <v>6.230864314685669</v>
      </c>
      <c r="H39" s="284">
        <f>H33*'Demand Breakdown - Ethylene'!$D$73/'Demand Breakdown - Ethylene'!$L$24</f>
        <v>6.2305735713034185</v>
      </c>
      <c r="I39" s="284">
        <f>I33*'Demand Breakdown - Ethylene'!$D$73/'Demand Breakdown - Ethylene'!$L$24</f>
        <v>6.2290534377007889</v>
      </c>
      <c r="J39" s="284">
        <f>J33*'Demand Breakdown - Ethylene'!$D$73/'Demand Breakdown - Ethylene'!$L$24</f>
        <v>6.2262695479373082</v>
      </c>
      <c r="K39" s="284">
        <f>K33*'Demand Breakdown - Ethylene'!$D$73/'Demand Breakdown - Ethylene'!$L$24</f>
        <v>6.222186814786661</v>
      </c>
      <c r="L39" s="284">
        <f>L33*'Demand Breakdown - Ethylene'!$D$73/'Demand Breakdown - Ethylene'!$L$24</f>
        <v>6.2167694162764002</v>
      </c>
      <c r="M39" s="284">
        <f>M33*'Demand Breakdown - Ethylene'!$D$73/'Demand Breakdown - Ethylene'!$L$24</f>
        <v>6.2099807819921544</v>
      </c>
      <c r="N39" s="284">
        <f>N33*'Demand Breakdown - Ethylene'!$D$73/'Demand Breakdown - Ethylene'!$L$24</f>
        <v>6.2017835791423606</v>
      </c>
      <c r="O39" s="284">
        <f>O33*'Demand Breakdown - Ethylene'!$D$73/'Demand Breakdown - Ethylene'!$L$24</f>
        <v>6.1171696199884362</v>
      </c>
      <c r="P39" s="284">
        <f>P33*'Demand Breakdown - Ethylene'!$D$73/'Demand Breakdown - Ethylene'!$L$24</f>
        <v>6.0547790652443378</v>
      </c>
      <c r="Q39" s="284">
        <f>Q33*'Demand Breakdown - Ethylene'!$D$73/'Demand Breakdown - Ethylene'!$L$24</f>
        <v>5.9605659654454586</v>
      </c>
      <c r="R39" s="284">
        <f>R33*'Demand Breakdown - Ethylene'!$D$73/'Demand Breakdown - Ethylene'!$L$24</f>
        <v>5.8625281621554226</v>
      </c>
      <c r="S39" s="284">
        <f>S33*'Demand Breakdown - Ethylene'!$D$73/'Demand Breakdown - Ethylene'!$L$24</f>
        <v>5.760577029444037</v>
      </c>
      <c r="T39" s="284">
        <f>T33*'Demand Breakdown - Ethylene'!$D$73/'Demand Breakdown - Ethylene'!$L$24</f>
        <v>5.654622209496952</v>
      </c>
      <c r="U39" s="284">
        <f>U33*'Demand Breakdown - Ethylene'!$D$73/'Demand Breakdown - Ethylene'!$L$24</f>
        <v>5.5445715814935781</v>
      </c>
      <c r="V39" s="284">
        <f>V33*'Demand Breakdown - Ethylene'!$D$73/'Demand Breakdown - Ethylene'!$L$24</f>
        <v>5.4303312299530466</v>
      </c>
      <c r="W39" s="284">
        <f>W33*'Demand Breakdown - Ethylene'!$D$73/'Demand Breakdown - Ethylene'!$L$24</f>
        <v>5.3118054125394076</v>
      </c>
      <c r="X39" s="284">
        <f>X33*'Demand Breakdown - Ethylene'!$D$73/'Demand Breakdown - Ethylene'!$L$24</f>
        <v>5.1888965273171159</v>
      </c>
      <c r="Y39" s="284">
        <f>Y33*'Demand Breakdown - Ethylene'!$D$73/'Demand Breakdown - Ethylene'!$L$24</f>
        <v>4.9645752642346377</v>
      </c>
      <c r="Z39" s="284">
        <f>Z33*'Demand Breakdown - Ethylene'!$D$73/'Demand Breakdown - Ethylene'!$L$24</f>
        <v>4.8268985519038825</v>
      </c>
      <c r="AA39" s="284">
        <f>AA33*'Demand Breakdown - Ethylene'!$D$73/'Demand Breakdown - Ethylene'!$L$24</f>
        <v>4.6843938348760776</v>
      </c>
      <c r="AB39" s="284">
        <f>AB33*'Demand Breakdown - Ethylene'!$D$73/'Demand Breakdown - Ethylene'!$L$24</f>
        <v>4.5369529136553197</v>
      </c>
      <c r="AC39" s="284">
        <f>AC33*'Demand Breakdown - Ethylene'!$D$73/'Demand Breakdown - Ethylene'!$L$24</f>
        <v>4.3844655054487438</v>
      </c>
      <c r="AD39" s="284">
        <f>AD33*'Demand Breakdown - Ethylene'!$D$73/'Demand Breakdown - Ethylene'!$L$24</f>
        <v>4.2268192070413084</v>
      </c>
      <c r="AE39" s="284">
        <f>AE33*'Demand Breakdown - Ethylene'!$D$73/'Demand Breakdown - Ethylene'!$L$24</f>
        <v>4.0638994570393976</v>
      </c>
      <c r="AF39" s="284">
        <f>AF33*'Demand Breakdown - Ethylene'!$D$73/'Demand Breakdown - Ethylene'!$L$24</f>
        <v>3.8955894974728542</v>
      </c>
      <c r="AG39" s="284">
        <f>AG33*'Demand Breakdown - Ethylene'!$D$73/'Demand Breakdown - Ethylene'!$L$24</f>
        <v>3.7217703347448654</v>
      </c>
      <c r="AH39" s="284">
        <f>AH33*'Demand Breakdown - Ethylene'!$D$73/'Demand Breakdown - Ethylene'!$L$24</f>
        <v>3.5423206999189896</v>
      </c>
      <c r="AI39" s="284"/>
    </row>
    <row r="40" spans="1:35" s="67" customFormat="1" x14ac:dyDescent="0.2">
      <c r="A40" s="58" t="s">
        <v>272</v>
      </c>
      <c r="B40" s="58" t="s">
        <v>199</v>
      </c>
      <c r="C40" s="59" t="s">
        <v>153</v>
      </c>
      <c r="D40" s="60">
        <f>'R&amp;S - Buildings'!J4</f>
        <v>34.871127768537121</v>
      </c>
      <c r="E40" s="60">
        <f>D40*(1+'R&amp;S - Buildings'!$C$5)</f>
        <v>35.463936940602252</v>
      </c>
      <c r="F40" s="60">
        <f>E40*(1+'R&amp;S - Buildings'!$C$5)</f>
        <v>36.066823868592486</v>
      </c>
      <c r="G40" s="60">
        <f>F40*(1+'R&amp;S - Buildings'!$C$5)</f>
        <v>36.679959874358552</v>
      </c>
      <c r="H40" s="60">
        <f>G40*(1+'R&amp;S - Buildings'!$C$5)</f>
        <v>37.303519192222645</v>
      </c>
      <c r="I40" s="60">
        <f>H40*(1+'R&amp;S - Buildings'!$C$5)</f>
        <v>37.937679018490428</v>
      </c>
      <c r="J40" s="60">
        <f>I40*(1+'R&amp;S - Buildings'!$C$5)</f>
        <v>38.582619561804762</v>
      </c>
      <c r="K40" s="60">
        <f>J40*(1+'R&amp;S - Buildings'!$C$5)</f>
        <v>39.238524094355441</v>
      </c>
      <c r="L40" s="60">
        <f>K40*(1+'R&amp;S - Buildings'!$C$5)</f>
        <v>39.905579003959481</v>
      </c>
      <c r="M40" s="60">
        <f>L40*(1+'R&amp;S - Buildings'!$C$5)</f>
        <v>40.58397384702679</v>
      </c>
      <c r="N40" s="60">
        <f>M40*(1+'R&amp;S - Buildings'!$C$5)</f>
        <v>41.27390140242624</v>
      </c>
      <c r="O40" s="60">
        <f>N40*(1+'R&amp;S - Buildings'!$C$5)</f>
        <v>41.975557726267482</v>
      </c>
      <c r="P40" s="60">
        <f>O40*(1+'R&amp;S - Buildings'!$C$5)</f>
        <v>42.689142207614026</v>
      </c>
      <c r="Q40" s="60">
        <f>P40*(1+'R&amp;S - Buildings'!$C$5)</f>
        <v>43.414857625143462</v>
      </c>
      <c r="R40" s="60">
        <f>Q40*(1+'R&amp;S - Buildings'!$C$5)</f>
        <v>44.152910204770897</v>
      </c>
      <c r="S40" s="60">
        <f>R40*(1+'R&amp;S - Buildings'!$C$5)</f>
        <v>44.903509678252</v>
      </c>
      <c r="T40" s="60">
        <f>S40*(1+'R&amp;S - Buildings'!$C$5)</f>
        <v>45.666869342782277</v>
      </c>
      <c r="U40" s="60">
        <f>T40*(1+'R&amp;S - Buildings'!$C$5)</f>
        <v>46.44320612160957</v>
      </c>
      <c r="V40" s="60">
        <f>U40*(1+'R&amp;S - Buildings'!$C$5)</f>
        <v>47.232740625676925</v>
      </c>
      <c r="W40" s="60">
        <f>V40*(1+'R&amp;S - Buildings'!$C$5)</f>
        <v>48.03569721631343</v>
      </c>
      <c r="X40" s="60">
        <f>W40*(1+'R&amp;S - Buildings'!$C$5)</f>
        <v>48.852304068990755</v>
      </c>
      <c r="Y40" s="60">
        <f>X40*(1+'R&amp;S - Buildings'!$C$5)</f>
        <v>49.68279323816359</v>
      </c>
      <c r="Z40" s="60">
        <f>Y40*(1+'R&amp;S - Buildings'!$C$5)</f>
        <v>50.527400723212367</v>
      </c>
      <c r="AA40" s="60">
        <f>Z40*(1+'R&amp;S - Buildings'!$C$5)</f>
        <v>51.386366535506973</v>
      </c>
      <c r="AB40" s="60">
        <f>AA40*(1+'R&amp;S - Buildings'!$C$5)</f>
        <v>52.259934766610584</v>
      </c>
      <c r="AC40" s="60">
        <f>AB40*(1+'R&amp;S - Buildings'!$C$5)</f>
        <v>53.148353657642957</v>
      </c>
      <c r="AD40" s="60">
        <f>AC40*(1+'R&amp;S - Buildings'!$C$5)</f>
        <v>54.051875669822884</v>
      </c>
      <c r="AE40" s="60">
        <f>AD40*(1+'R&amp;S - Buildings'!$C$5)</f>
        <v>54.970757556209868</v>
      </c>
      <c r="AF40" s="60">
        <f>AE40*(1+'R&amp;S - Buildings'!$C$5)</f>
        <v>55.905260434665429</v>
      </c>
      <c r="AG40" s="60">
        <f>AF40*(1+'R&amp;S - Buildings'!$C$5)</f>
        <v>56.855649862054733</v>
      </c>
      <c r="AH40" s="60">
        <f>AG40*(1+'R&amp;S - Buildings'!$C$5)</f>
        <v>57.822195909709656</v>
      </c>
    </row>
    <row r="41" spans="1:35" outlineLevel="1" x14ac:dyDescent="0.2">
      <c r="B41" s="1" t="s">
        <v>168</v>
      </c>
      <c r="C41" s="54" t="s">
        <v>153</v>
      </c>
      <c r="D41">
        <v>0</v>
      </c>
      <c r="E41" s="43">
        <f>E40*'R&amp;S - Buildings'!$C$7*'R&amp;S - Buildings'!$B$11*'R&amp;S - Buildings'!$B$15*('Yearly HC Ethylene'!E$3-'Yearly HC Ethylene'!$D$3)/10</f>
        <v>0.64367045547193091</v>
      </c>
      <c r="F41" s="43">
        <f>F40*'R&amp;S - Buildings'!$C$7*'R&amp;S - Buildings'!$B$11*'R&amp;S - Buildings'!$B$15*('Yearly HC Ethylene'!F$3-'Yearly HC Ethylene'!$D$3)/10</f>
        <v>1.3092257064299075</v>
      </c>
      <c r="G41" s="43">
        <f>G40*'R&amp;S - Buildings'!$C$7*'R&amp;S - Buildings'!$B$11*'R&amp;S - Buildings'!$B$15*('Yearly HC Ethylene'!G$3-'Yearly HC Ethylene'!$D$3)/10</f>
        <v>1.9972238151588235</v>
      </c>
      <c r="H41" s="43">
        <f>H40*'R&amp;S - Buildings'!$C$7*'R&amp;S - Buildings'!$B$11*'R&amp;S - Buildings'!$B$15*('Yearly HC Ethylene'!H$3-'Yearly HC Ethylene'!$D$3)/10</f>
        <v>2.7082354933553643</v>
      </c>
      <c r="I41" s="43">
        <f>I40*'R&amp;S - Buildings'!$C$7*'R&amp;S - Buildings'!$B$11*'R&amp;S - Buildings'!$B$15*('Yearly HC Ethylene'!I$3-'Yearly HC Ethylene'!$D$3)/10</f>
        <v>3.4428443709280065</v>
      </c>
      <c r="J41" s="43">
        <f>J40*'R&amp;S - Buildings'!$C$7*'R&amp;S - Buildings'!$B$11*'R&amp;S - Buildings'!$B$15*('Yearly HC Ethylene'!J$3-'Yearly HC Ethylene'!$D$3)/10</f>
        <v>4.2016472702805387</v>
      </c>
      <c r="K41" s="43">
        <f>K40*'R&amp;S - Buildings'!$C$7*'R&amp;S - Buildings'!$B$11*'R&amp;S - Buildings'!$B$15*('Yearly HC Ethylene'!K$3-'Yearly HC Ethylene'!$D$3)/10</f>
        <v>4.9852544861878592</v>
      </c>
      <c r="L41" s="43">
        <f>L40*'R&amp;S - Buildings'!$C$7*'R&amp;S - Buildings'!$B$11*'R&amp;S - Buildings'!$B$15*('Yearly HC Ethylene'!L$3-'Yearly HC Ethylene'!$D$3)/10</f>
        <v>5.7942900713749168</v>
      </c>
      <c r="M41" s="43">
        <f>M40*'R&amp;S - Buildings'!$C$7*'R&amp;S - Buildings'!$B$11*'R&amp;S - Buildings'!$B$15*('Yearly HC Ethylene'!M$3-'Yearly HC Ethylene'!$D$3)/10</f>
        <v>6.6293921279118262</v>
      </c>
      <c r="N41" s="43">
        <f>N40*'R&amp;S - Buildings'!$C$7*'R&amp;S - Buildings'!$B$11*'R&amp;S - Buildings'!$B$15*('Yearly HC Ethylene'!N$3-'Yearly HC Ethylene'!$D$3)/10</f>
        <v>7.4912131045403623</v>
      </c>
      <c r="O41" s="43">
        <f>O40*'R&amp;S - Buildings'!$C$7*'R&amp;S - Buildings'!$B$11*('R&amp;S - Buildings'!$B$15+('R&amp;S - Buildings'!$B$16-'R&amp;S - Buildings'!$B$15)*('Yearly HC Ethylene'!O$3-'Yearly HC Ethylene'!$N$3)/10)</f>
        <v>8.380420100049303</v>
      </c>
      <c r="P41" s="43">
        <f>P40*'R&amp;S - Buildings'!$C$7*'R&amp;S - Buildings'!$B$11*('R&amp;S - Buildings'!$B$15+('R&amp;S - Buildings'!$B$16-'R&amp;S - Buildings'!$B$15)*('Yearly HC Ethylene'!P$3-'Yearly HC Ethylene'!$N$3)/10)</f>
        <v>9.2976951728183366</v>
      </c>
      <c r="Q41" s="43">
        <f>Q40*'R&amp;S - Buildings'!$C$7*'R&amp;S - Buildings'!$B$11*('R&amp;S - Buildings'!$B$15+('R&amp;S - Buildings'!$B$16-'R&amp;S - Buildings'!$B$15)*('Yearly HC Ethylene'!Q$3-'Yearly HC Ethylene'!$N$3)/10)</f>
        <v>10.243735656652602</v>
      </c>
      <c r="R41" s="43">
        <f>R40*'R&amp;S - Buildings'!$C$7*'R&amp;S - Buildings'!$B$11*('R&amp;S - Buildings'!$B$15+('R&amp;S - Buildings'!$B$16-'R&amp;S - Buildings'!$B$15)*('Yearly HC Ethylene'!R$3-'Yearly HC Ethylene'!$N$3)/10)</f>
        <v>11.219254483032286</v>
      </c>
      <c r="S41" s="43">
        <f>S40*'R&amp;S - Buildings'!$C$7*'R&amp;S - Buildings'!$B$11*('R&amp;S - Buildings'!$B$15+('R&amp;S - Buildings'!$B$16-'R&amp;S - Buildings'!$B$15)*('Yearly HC Ethylene'!S$3-'Yearly HC Ethylene'!$N$3)/10)</f>
        <v>12.224980509904107</v>
      </c>
      <c r="T41" s="43">
        <f>T40*'R&amp;S - Buildings'!$C$7*'R&amp;S - Buildings'!$B$11*('R&amp;S - Buildings'!$B$15+('R&amp;S - Buildings'!$B$16-'R&amp;S - Buildings'!$B$15)*('Yearly HC Ethylene'!T$3-'Yearly HC Ethylene'!$N$3)/10)</f>
        <v>13.261658857143974</v>
      </c>
      <c r="U41" s="43">
        <f>U40*'R&amp;S - Buildings'!$C$7*'R&amp;S - Buildings'!$B$11*('R&amp;S - Buildings'!$B$15+('R&amp;S - Buildings'!$B$16-'R&amp;S - Buildings'!$B$15)*('Yearly HC Ethylene'!U$3-'Yearly HC Ethylene'!$N$3)/10)</f>
        <v>14.330051248822635</v>
      </c>
      <c r="V41" s="43">
        <f>V40*'R&amp;S - Buildings'!$C$7*'R&amp;S - Buildings'!$B$11*('R&amp;S - Buildings'!$B$15+('R&amp;S - Buildings'!$B$16-'R&amp;S - Buildings'!$B$15)*('Yearly HC Ethylene'!V$3-'Yearly HC Ethylene'!$N$3)/10)</f>
        <v>15.430936362408655</v>
      </c>
      <c r="W41" s="43">
        <f>W40*'R&amp;S - Buildings'!$C$7*'R&amp;S - Buildings'!$B$11*('R&amp;S - Buildings'!$B$15+('R&amp;S - Buildings'!$B$16-'R&amp;S - Buildings'!$B$15)*('Yearly HC Ethylene'!W$3-'Yearly HC Ethylene'!$N$3)/10)</f>
        <v>16.56511018504569</v>
      </c>
      <c r="X41" s="43">
        <f>X40*'R&amp;S - Buildings'!$C$7*'R&amp;S - Buildings'!$B$11*('R&amp;S - Buildings'!$B$15+('R&amp;S - Buildings'!$B$16-'R&amp;S - Buildings'!$B$15)*('Yearly HC Ethylene'!X$3-'Yearly HC Ethylene'!$N$3)/10)</f>
        <v>17.733386377043647</v>
      </c>
      <c r="Y41" s="43">
        <f>Y40*'R&amp;S - Buildings'!$C$7*'R&amp;S - Buildings'!$B$11*('R&amp;S - Buildings'!$B$16+('R&amp;S - Buildings'!$B$17-'R&amp;S - Buildings'!$B$16)*('Yearly HC Ethylene'!Y$3-'Yearly HC Ethylene'!$X$3)/10)</f>
        <v>18.963922179007046</v>
      </c>
      <c r="Z41" s="43">
        <f>Z40*'R&amp;S - Buildings'!$C$7*'R&amp;S - Buildings'!$B$11*('R&amp;S - Buildings'!$B$16+('R&amp;S - Buildings'!$B$17-'R&amp;S - Buildings'!$B$16)*('Yearly HC Ethylene'!Z$3-'Yearly HC Ethylene'!$X$3)/10)</f>
        <v>20.231171249574235</v>
      </c>
      <c r="AA41" s="43">
        <f>AA40*'R&amp;S - Buildings'!$C$7*'R&amp;S - Buildings'!$B$11*('R&amp;S - Buildings'!$B$16+('R&amp;S - Buildings'!$B$17-'R&amp;S - Buildings'!$B$16)*('Yearly HC Ethylene'!AA$3-'Yearly HC Ethylene'!$X$3)/10)</f>
        <v>21.536026215030976</v>
      </c>
      <c r="AB41" s="43">
        <f>AB40*'R&amp;S - Buildings'!$C$7*'R&amp;S - Buildings'!$B$11*('R&amp;S - Buildings'!$B$16+('R&amp;S - Buildings'!$B$17-'R&amp;S - Buildings'!$B$16)*('Yearly HC Ethylene'!AB$3-'Yearly HC Ethylene'!$X$3)/10)</f>
        <v>22.879399440822116</v>
      </c>
      <c r="AC41" s="43">
        <f>AC40*'R&amp;S - Buildings'!$C$7*'R&amp;S - Buildings'!$B$11*('R&amp;S - Buildings'!$B$16+('R&amp;S - Buildings'!$B$17-'R&amp;S - Buildings'!$B$16)*('Yearly HC Ethylene'!AC$3-'Yearly HC Ethylene'!$X$3)/10)</f>
        <v>24.262223444714014</v>
      </c>
      <c r="AD41" s="43">
        <f>AD40*'R&amp;S - Buildings'!$C$7*'R&amp;S - Buildings'!$B$11*('R&amp;S - Buildings'!$B$16+('R&amp;S - Buildings'!$B$17-'R&amp;S - Buildings'!$B$16)*('Yearly HC Ethylene'!AD$3-'Yearly HC Ethylene'!$X$3)/10)</f>
        <v>25.68545131829984</v>
      </c>
      <c r="AE41" s="43">
        <f>AE40*'R&amp;S - Buildings'!$C$7*'R&amp;S - Buildings'!$B$11*('R&amp;S - Buildings'!$B$16+('R&amp;S - Buildings'!$B$17-'R&amp;S - Buildings'!$B$16)*('Yearly HC Ethylene'!AE$3-'Yearly HC Ethylene'!$X$3)/10)</f>
        <v>27.150057157012057</v>
      </c>
      <c r="AF41" s="43">
        <f>AF40*'R&amp;S - Buildings'!$C$7*'R&amp;S - Buildings'!$B$11*('R&amp;S - Buildings'!$B$16+('R&amp;S - Buildings'!$B$17-'R&amp;S - Buildings'!$B$16)*('Yearly HC Ethylene'!AF$3-'Yearly HC Ethylene'!$X$3)/10)</f>
        <v>28.6570364988095</v>
      </c>
      <c r="AG41" s="43">
        <f>AG40*'R&amp;S - Buildings'!$C$7*'R&amp;S - Buildings'!$B$11*('R&amp;S - Buildings'!$B$16+('R&amp;S - Buildings'!$B$17-'R&amp;S - Buildings'!$B$16)*('Yearly HC Ethylene'!AG$3-'Yearly HC Ethylene'!$X$3)/10)</f>
        <v>30.207406771709682</v>
      </c>
      <c r="AH41" s="43">
        <f>AH40*'R&amp;S - Buildings'!$C$7*'R&amp;S - Buildings'!$B$11*('R&amp;S - Buildings'!$B$16+('R&amp;S - Buildings'!$B$17-'R&amp;S - Buildings'!$B$16)*('Yearly HC Ethylene'!AH$3-'Yearly HC Ethylene'!$X$3)/10)</f>
        <v>31.802207750340312</v>
      </c>
    </row>
    <row r="42" spans="1:35" outlineLevel="1" x14ac:dyDescent="0.2">
      <c r="B42" s="1" t="s">
        <v>172</v>
      </c>
      <c r="C42" s="54" t="s">
        <v>153</v>
      </c>
      <c r="D42">
        <v>0</v>
      </c>
      <c r="E42" s="43">
        <f>E40*'R&amp;S - Buildings'!$C$8*'R&amp;S - Buildings'!$C$11*'R&amp;S - Buildings'!$B$15*('Yearly HC Ethylene'!E$3-'Yearly HC Ethylene'!$D$3)/10</f>
        <v>0.22672675783822607</v>
      </c>
      <c r="F42" s="43">
        <f>F40*'R&amp;S - Buildings'!$C$8*'R&amp;S - Buildings'!$C$11*'R&amp;S - Buildings'!$B$15*('Yearly HC Ethylene'!F$3-'Yearly HC Ethylene'!$D$3)/10</f>
        <v>0.46116222544295171</v>
      </c>
      <c r="G42" s="43">
        <f>G40*'R&amp;S - Buildings'!$C$8*'R&amp;S - Buildings'!$C$11*'R&amp;S - Buildings'!$B$15*('Yearly HC Ethylene'!G$3-'Yearly HC Ethylene'!$D$3)/10</f>
        <v>0.70350297491322278</v>
      </c>
      <c r="H42" s="43">
        <f>H40*'R&amp;S - Buildings'!$C$8*'R&amp;S - Buildings'!$C$11*'R&amp;S - Buildings'!$B$15*('Yearly HC Ethylene'!H$3-'Yearly HC Ethylene'!$D$3)/10</f>
        <v>0.95395003398232991</v>
      </c>
      <c r="I42" s="43">
        <f>I40*'R&amp;S - Buildings'!$C$8*'R&amp;S - Buildings'!$C$11*'R&amp;S - Buildings'!$B$15*('Yearly HC Ethylene'!I$3-'Yearly HC Ethylene'!$D$3)/10</f>
        <v>1.2127089807000369</v>
      </c>
      <c r="J42" s="43">
        <f>J40*'R&amp;S - Buildings'!$C$8*'R&amp;S - Buildings'!$C$11*'R&amp;S - Buildings'!$B$15*('Yearly HC Ethylene'!J$3-'Yearly HC Ethylene'!$D$3)/10</f>
        <v>1.4799900400463248</v>
      </c>
      <c r="K42" s="43">
        <f>K40*'R&amp;S - Buildings'!$C$8*'R&amp;S - Buildings'!$C$11*'R&amp;S - Buildings'!$B$15*('Yearly HC Ethylene'!K$3-'Yearly HC Ethylene'!$D$3)/10</f>
        <v>1.7560081825149645</v>
      </c>
      <c r="L42" s="43">
        <f>L40*'R&amp;S - Buildings'!$C$8*'R&amp;S - Buildings'!$C$11*'R&amp;S - Buildings'!$B$15*('Yearly HC Ethylene'!L$3-'Yearly HC Ethylene'!$D$3)/10</f>
        <v>2.0409832247059638</v>
      </c>
      <c r="M42" s="43">
        <f>M40*'R&amp;S - Buildings'!$C$8*'R&amp;S - Buildings'!$C$11*'R&amp;S - Buildings'!$B$15*('Yearly HC Ethylene'!M$3-'Yearly HC Ethylene'!$D$3)/10</f>
        <v>2.3351399319667112</v>
      </c>
      <c r="N42" s="43">
        <f>N40*'R&amp;S - Buildings'!$C$8*'R&amp;S - Buildings'!$C$11*'R&amp;S - Buildings'!$B$15*('Yearly HC Ethylene'!N$3-'Yearly HC Ethylene'!$D$3)/10</f>
        <v>2.6387081231223832</v>
      </c>
      <c r="O42" s="43">
        <f>O40*'R&amp;S - Buildings'!$C$8*'R&amp;S - Buildings'!$C$11*('R&amp;S - Buildings'!$B$15+('R&amp;S - Buildings'!$B$16-'R&amp;S - Buildings'!$B$15)*('Yearly HC Ethylene'!O$3-'Yearly HC Ethylene'!$N$3)/10)</f>
        <v>2.9519227773370091</v>
      </c>
      <c r="P42" s="43">
        <f>P40*'R&amp;S - Buildings'!$C$8*'R&amp;S - Buildings'!$C$11*('R&amp;S - Buildings'!$B$15+('R&amp;S - Buildings'!$B$16-'R&amp;S - Buildings'!$B$15)*('Yearly HC Ethylene'!P$3-'Yearly HC Ethylene'!$N$3)/10)</f>
        <v>3.275024143147351</v>
      </c>
      <c r="Q42" s="43">
        <f>Q40*'R&amp;S - Buildings'!$C$8*'R&amp;S - Buildings'!$C$11*('R&amp;S - Buildings'!$B$15+('R&amp;S - Buildings'!$B$16-'R&amp;S - Buildings'!$B$15)*('Yearly HC Ethylene'!Q$3-'Yearly HC Ethylene'!$N$3)/10)</f>
        <v>3.6082578497125946</v>
      </c>
      <c r="R42" s="43">
        <f>R40*'R&amp;S - Buildings'!$C$8*'R&amp;S - Buildings'!$C$11*('R&amp;S - Buildings'!$B$15+('R&amp;S - Buildings'!$B$16-'R&amp;S - Buildings'!$B$15)*('Yearly HC Ethylene'!R$3-'Yearly HC Ethylene'!$N$3)/10)</f>
        <v>3.9518750203236852</v>
      </c>
      <c r="S42" s="43">
        <f>S40*'R&amp;S - Buildings'!$C$8*'R&amp;S - Buildings'!$C$11*('R&amp;S - Buildings'!$B$15+('R&amp;S - Buildings'!$B$16-'R&amp;S - Buildings'!$B$15)*('Yearly HC Ethylene'!S$3-'Yearly HC Ethylene'!$N$3)/10)</f>
        <v>4.3061323882169864</v>
      </c>
      <c r="T42" s="43">
        <f>T40*'R&amp;S - Buildings'!$C$8*'R&amp;S - Buildings'!$C$11*('R&amp;S - Buildings'!$B$15+('R&amp;S - Buildings'!$B$16-'R&amp;S - Buildings'!$B$15)*('Yearly HC Ethylene'!T$3-'Yearly HC Ethylene'!$N$3)/10)</f>
        <v>4.6712924147377874</v>
      </c>
      <c r="U42" s="43">
        <f>U40*'R&amp;S - Buildings'!$C$8*'R&amp;S - Buildings'!$C$11*('R&amp;S - Buildings'!$B$15+('R&amp;S - Buildings'!$B$16-'R&amp;S - Buildings'!$B$15)*('Yearly HC Ethylene'!U$3-'Yearly HC Ethylene'!$N$3)/10)</f>
        <v>5.0476234099000985</v>
      </c>
      <c r="V42" s="43">
        <f>V40*'R&amp;S - Buildings'!$C$8*'R&amp;S - Buildings'!$C$11*('R&amp;S - Buildings'!$B$15+('R&amp;S - Buildings'!$B$16-'R&amp;S - Buildings'!$B$15)*('Yearly HC Ethylene'!V$3-'Yearly HC Ethylene'!$N$3)/10)</f>
        <v>5.4353996553900714</v>
      </c>
      <c r="W42" s="43">
        <f>W40*'R&amp;S - Buildings'!$C$8*'R&amp;S - Buildings'!$C$11*('R&amp;S - Buildings'!$B$15+('R&amp;S - Buildings'!$B$16-'R&amp;S - Buildings'!$B$15)*('Yearly HC Ethylene'!W$3-'Yearly HC Ethylene'!$N$3)/10)</f>
        <v>5.8349015300612406</v>
      </c>
      <c r="X42" s="43">
        <f>X40*'R&amp;S - Buildings'!$C$8*'R&amp;S - Buildings'!$C$11*('R&amp;S - Buildings'!$B$15+('R&amp;S - Buildings'!$B$16-'R&amp;S - Buildings'!$B$15)*('Yearly HC Ethylene'!X$3-'Yearly HC Ethylene'!$N$3)/10)</f>
        <v>6.2464156379708218</v>
      </c>
      <c r="Y42" s="43">
        <f>Y40*'R&amp;S - Buildings'!$C$8*'R&amp;S - Buildings'!$C$11*('R&amp;S - Buildings'!$B$16+('R&amp;S - Buildings'!$B$17-'R&amp;S - Buildings'!$B$16)*('Yearly HC Ethylene'!Y$3-'Yearly HC Ethylene'!$X$3)/10)</f>
        <v>6.6798600976492875</v>
      </c>
      <c r="Z42" s="43">
        <f>Z40*'R&amp;S - Buildings'!$C$8*'R&amp;S - Buildings'!$C$11*('R&amp;S - Buildings'!$B$16+('R&amp;S - Buildings'!$B$17-'R&amp;S - Buildings'!$B$16)*('Yearly HC Ethylene'!Z$3-'Yearly HC Ethylene'!$X$3)/10)</f>
        <v>7.1262364548374464</v>
      </c>
      <c r="AA42" s="43">
        <f>AA40*'R&amp;S - Buildings'!$C$8*'R&amp;S - Buildings'!$C$11*('R&amp;S - Buildings'!$B$16+('R&amp;S - Buildings'!$B$17-'R&amp;S - Buildings'!$B$16)*('Yearly HC Ethylene'!AA$3-'Yearly HC Ethylene'!$X$3)/10)</f>
        <v>7.5858591286017836</v>
      </c>
      <c r="AB42" s="43">
        <f>AB40*'R&amp;S - Buildings'!$C$8*'R&amp;S - Buildings'!$C$11*('R&amp;S - Buildings'!$B$16+('R&amp;S - Buildings'!$B$17-'R&amp;S - Buildings'!$B$16)*('Yearly HC Ethylene'!AB$3-'Yearly HC Ethylene'!$X$3)/10)</f>
        <v>8.0590494909386603</v>
      </c>
      <c r="AC42" s="43">
        <f>AC40*'R&amp;S - Buildings'!$C$8*'R&amp;S - Buildings'!$C$11*('R&amp;S - Buildings'!$B$16+('R&amp;S - Buildings'!$B$17-'R&amp;S - Buildings'!$B$16)*('Yearly HC Ethylene'!AC$3-'Yearly HC Ethylene'!$X$3)/10)</f>
        <v>8.5461360123068228</v>
      </c>
      <c r="AD42" s="43">
        <f>AD40*'R&amp;S - Buildings'!$C$8*'R&amp;S - Buildings'!$C$11*('R&amp;S - Buildings'!$B$16+('R&amp;S - Buildings'!$B$17-'R&amp;S - Buildings'!$B$16)*('Yearly HC Ethylene'!AD$3-'Yearly HC Ethylene'!$X$3)/10)</f>
        <v>9.0474544100986236</v>
      </c>
      <c r="AE42" s="43">
        <f>AE40*'R&amp;S - Buildings'!$C$8*'R&amp;S - Buildings'!$C$11*('R&amp;S - Buildings'!$B$16+('R&amp;S - Buildings'!$B$17-'R&amp;S - Buildings'!$B$16)*('Yearly HC Ethylene'!AE$3-'Yearly HC Ethylene'!$X$3)/10)</f>
        <v>9.5633478001077865</v>
      </c>
      <c r="AF42" s="43">
        <f>AF40*'R&amp;S - Buildings'!$C$8*'R&amp;S - Buildings'!$C$11*('R&amp;S - Buildings'!$B$16+('R&amp;S - Buildings'!$B$17-'R&amp;S - Buildings'!$B$16)*('Yearly HC Ethylene'!AF$3-'Yearly HC Ethylene'!$X$3)/10)</f>
        <v>10.094166851052744</v>
      </c>
      <c r="AG42" s="43">
        <f>AG40*'R&amp;S - Buildings'!$C$8*'R&amp;S - Buildings'!$C$11*('R&amp;S - Buildings'!$B$16+('R&amp;S - Buildings'!$B$17-'R&amp;S - Buildings'!$B$16)*('Yearly HC Ethylene'!AG$3-'Yearly HC Ethylene'!$X$3)/10)</f>
        <v>10.640269942215596</v>
      </c>
      <c r="AH42" s="43">
        <f>AH40*'R&amp;S - Buildings'!$C$8*'R&amp;S - Buildings'!$C$11*('R&amp;S - Buildings'!$B$16+('R&amp;S - Buildings'!$B$17-'R&amp;S - Buildings'!$B$16)*('Yearly HC Ethylene'!AH$3-'Yearly HC Ethylene'!$X$3)/10)</f>
        <v>11.202023324258034</v>
      </c>
    </row>
    <row r="43" spans="1:35" s="193" customFormat="1" x14ac:dyDescent="0.2">
      <c r="A43" s="189" t="s">
        <v>197</v>
      </c>
      <c r="B43" s="190" t="s">
        <v>67</v>
      </c>
      <c r="C43" s="191" t="s">
        <v>153</v>
      </c>
      <c r="D43" s="192">
        <f>D40-D41-D42</f>
        <v>34.871127768537121</v>
      </c>
      <c r="E43" s="192">
        <f t="shared" ref="E43:AH43" si="11">E40-E41-E42</f>
        <v>34.593539727292089</v>
      </c>
      <c r="F43" s="192">
        <f t="shared" si="11"/>
        <v>34.296435936719625</v>
      </c>
      <c r="G43" s="192">
        <f t="shared" si="11"/>
        <v>33.979233084286506</v>
      </c>
      <c r="H43" s="192">
        <f t="shared" si="11"/>
        <v>33.641333664884947</v>
      </c>
      <c r="I43" s="192">
        <f t="shared" si="11"/>
        <v>33.282125666862385</v>
      </c>
      <c r="J43" s="192">
        <f t="shared" si="11"/>
        <v>32.900982251477899</v>
      </c>
      <c r="K43" s="192">
        <f t="shared" si="11"/>
        <v>32.497261425652624</v>
      </c>
      <c r="L43" s="192">
        <f t="shared" si="11"/>
        <v>32.070305707878603</v>
      </c>
      <c r="M43" s="192">
        <f t="shared" si="11"/>
        <v>31.619441787148251</v>
      </c>
      <c r="N43" s="192">
        <f t="shared" si="11"/>
        <v>31.143980174763492</v>
      </c>
      <c r="O43" s="192">
        <f t="shared" si="11"/>
        <v>30.643214848881165</v>
      </c>
      <c r="P43" s="192">
        <f t="shared" si="11"/>
        <v>30.116422891648337</v>
      </c>
      <c r="Q43" s="192">
        <f t="shared" si="11"/>
        <v>29.562864118778265</v>
      </c>
      <c r="R43" s="192">
        <f t="shared" si="11"/>
        <v>28.981780701414927</v>
      </c>
      <c r="S43" s="192">
        <f t="shared" si="11"/>
        <v>28.372396780130906</v>
      </c>
      <c r="T43" s="192">
        <f t="shared" si="11"/>
        <v>27.733918070900518</v>
      </c>
      <c r="U43" s="192">
        <f t="shared" si="11"/>
        <v>27.065531462886838</v>
      </c>
      <c r="V43" s="192">
        <f t="shared" si="11"/>
        <v>26.366404607878199</v>
      </c>
      <c r="W43" s="192">
        <f t="shared" si="11"/>
        <v>25.635685501206499</v>
      </c>
      <c r="X43" s="192">
        <f t="shared" si="11"/>
        <v>24.872502053976284</v>
      </c>
      <c r="Y43" s="192">
        <f t="shared" si="11"/>
        <v>24.039010961507259</v>
      </c>
      <c r="Z43" s="192">
        <f t="shared" si="11"/>
        <v>23.169993018800685</v>
      </c>
      <c r="AA43" s="192">
        <f t="shared" si="11"/>
        <v>22.264481191874214</v>
      </c>
      <c r="AB43" s="192">
        <f t="shared" si="11"/>
        <v>21.32148583484981</v>
      </c>
      <c r="AC43" s="192">
        <f t="shared" si="11"/>
        <v>20.339994200622122</v>
      </c>
      <c r="AD43" s="192">
        <f t="shared" si="11"/>
        <v>19.31896994142442</v>
      </c>
      <c r="AE43" s="192">
        <f t="shared" si="11"/>
        <v>18.257352599090027</v>
      </c>
      <c r="AF43" s="192">
        <f t="shared" si="11"/>
        <v>17.154057084803185</v>
      </c>
      <c r="AG43" s="192">
        <f t="shared" si="11"/>
        <v>16.007973148129455</v>
      </c>
      <c r="AH43" s="192">
        <f t="shared" si="11"/>
        <v>14.81796483511131</v>
      </c>
    </row>
    <row r="44" spans="1:35" s="67" customFormat="1" x14ac:dyDescent="0.2">
      <c r="A44" s="687" t="s">
        <v>257</v>
      </c>
      <c r="B44" s="58" t="s">
        <v>258</v>
      </c>
      <c r="C44" s="59" t="s">
        <v>153</v>
      </c>
      <c r="D44" s="60">
        <f>D43*('Demand Breakdown - Ethylene'!$C$74)</f>
        <v>12.029370629370625</v>
      </c>
      <c r="E44" s="60">
        <f>E43*('Demand Breakdown - Ethylene'!$C$74)</f>
        <v>11.933612056473814</v>
      </c>
      <c r="F44" s="60">
        <f>F43*('Demand Breakdown - Ethylene'!$C$74)</f>
        <v>11.831121203986624</v>
      </c>
      <c r="G44" s="60">
        <f>G43*('Demand Breakdown - Ethylene'!$C$74)</f>
        <v>11.721696848630547</v>
      </c>
      <c r="H44" s="60">
        <f>H43*('Demand Breakdown - Ethylene'!$C$74)</f>
        <v>11.605132871164411</v>
      </c>
      <c r="I44" s="60">
        <f>I43*('Demand Breakdown - Ethylene'!$C$74)</f>
        <v>11.481218148075175</v>
      </c>
      <c r="J44" s="60">
        <f>J43*('Demand Breakdown - Ethylene'!$C$74)</f>
        <v>11.349736441001138</v>
      </c>
      <c r="K44" s="60">
        <f>K43*('Demand Breakdown - Ethylene'!$C$74)</f>
        <v>11.210466283841791</v>
      </c>
      <c r="L44" s="60">
        <f>L43*('Demand Breakdown - Ethylene'!$C$74)</f>
        <v>11.063180867507574</v>
      </c>
      <c r="M44" s="60">
        <f>M43*('Demand Breakdown - Ethylene'!$C$74)</f>
        <v>10.907647922261964</v>
      </c>
      <c r="N44" s="60">
        <f>N43*('Demand Breakdown - Ethylene'!$C$74)</f>
        <v>10.743629597607294</v>
      </c>
      <c r="O44" s="60">
        <f>O43*('Demand Breakdown - Ethylene'!$C$74)</f>
        <v>10.570882339664831</v>
      </c>
      <c r="P44" s="60">
        <f>P43*('Demand Breakdown - Ethylene'!$C$74)</f>
        <v>10.389156765998617</v>
      </c>
      <c r="Q44" s="60">
        <f>Q43*('Demand Breakdown - Ethylene'!$C$74)</f>
        <v>10.198197537831588</v>
      </c>
      <c r="R44" s="60">
        <f>R43*('Demand Breakdown - Ethylene'!$C$74)</f>
        <v>9.9977432296015074</v>
      </c>
      <c r="S44" s="60">
        <f>S43*('Demand Breakdown - Ethylene'!$C$74)</f>
        <v>9.7875261958031707</v>
      </c>
      <c r="T44" s="60">
        <f>T43*('Demand Breakdown - Ethylene'!$C$74)</f>
        <v>9.5672724350623337</v>
      </c>
      <c r="U44" s="60">
        <f>U43*('Demand Breakdown - Ethylene'!$C$74)</f>
        <v>9.3367014513857232</v>
      </c>
      <c r="V44" s="60">
        <f>V43*('Demand Breakdown - Ethylene'!$C$74)</f>
        <v>9.0955261125303704</v>
      </c>
      <c r="W44" s="60">
        <f>W43*('Demand Breakdown - Ethylene'!$C$74)</f>
        <v>8.8434525054344899</v>
      </c>
      <c r="X44" s="60">
        <f>X43*('Demand Breakdown - Ethylene'!$C$74)</f>
        <v>8.5801797886508275</v>
      </c>
      <c r="Y44" s="60">
        <f>Y43*('Demand Breakdown - Ethylene'!$C$74)</f>
        <v>8.2926532901062266</v>
      </c>
      <c r="Z44" s="60">
        <f>Z43*('Demand Breakdown - Ethylene'!$C$74)</f>
        <v>7.9928712186521862</v>
      </c>
      <c r="AA44" s="60">
        <f>AA43*('Demand Breakdown - Ethylene'!$C$74)</f>
        <v>7.6804999799678688</v>
      </c>
      <c r="AB44" s="60">
        <f>AB43*('Demand Breakdown - Ethylene'!$C$74)</f>
        <v>7.355198179386095</v>
      </c>
      <c r="AC44" s="60">
        <f>AC43*('Demand Breakdown - Ethylene'!$C$74)</f>
        <v>7.0166164530903288</v>
      </c>
      <c r="AD44" s="60">
        <f>AD43*('Demand Breakdown - Ethylene'!$C$74)</f>
        <v>6.6643972958266637</v>
      </c>
      <c r="AE44" s="60">
        <f>AE43*('Demand Breakdown - Ethylene'!$C$74)</f>
        <v>6.2981748850610941</v>
      </c>
      <c r="AF44" s="60">
        <f>AF43*('Demand Breakdown - Ethylene'!$C$74)</f>
        <v>5.9175749015109993</v>
      </c>
      <c r="AG44" s="60">
        <f>AG43*('Demand Breakdown - Ethylene'!$C$74)</f>
        <v>5.5222143459784183</v>
      </c>
      <c r="AH44" s="60">
        <f>AH43*('Demand Breakdown - Ethylene'!$C$74)</f>
        <v>5.1117013524111936</v>
      </c>
      <c r="AI44" s="60"/>
    </row>
    <row r="45" spans="1:35" x14ac:dyDescent="0.2">
      <c r="A45" s="688"/>
      <c r="B45" s="1" t="s">
        <v>260</v>
      </c>
      <c r="C45" s="54" t="s">
        <v>153</v>
      </c>
      <c r="D45" s="44">
        <f>D49/('Demand Breakdown - Ethylene'!$K$14)</f>
        <v>4.5813083502024288</v>
      </c>
      <c r="E45" s="44">
        <f>E49/('Demand Breakdown - Ethylene'!$K$14)</f>
        <v>4.54483931427926</v>
      </c>
      <c r="F45" s="44">
        <f>F49/('Demand Breakdown - Ethylene'!$K$14)</f>
        <v>4.5058063330214955</v>
      </c>
      <c r="G45" s="44">
        <f>G49/('Demand Breakdown - Ethylene'!$K$14)</f>
        <v>4.4641327718391395</v>
      </c>
      <c r="H45" s="44">
        <f>H49/('Demand Breakdown - Ethylene'!$K$14)</f>
        <v>4.41974013154634</v>
      </c>
      <c r="I45" s="44">
        <f>I49/('Demand Breakdown - Ethylene'!$K$14)</f>
        <v>4.3725480071125258</v>
      </c>
      <c r="J45" s="44">
        <f>J49/('Demand Breakdown - Ethylene'!$K$14)</f>
        <v>4.3224740455499431</v>
      </c>
      <c r="K45" s="44">
        <f>K49/('Demand Breakdown - Ethylene'!$K$14)</f>
        <v>4.2694339029201789</v>
      </c>
      <c r="L45" s="44">
        <f>L49/('Demand Breakdown - Ethylene'!$K$14)</f>
        <v>4.2133412004418371</v>
      </c>
      <c r="M45" s="44">
        <f>M49/('Demand Breakdown - Ethylene'!$K$14)</f>
        <v>4.1541074796812874</v>
      </c>
      <c r="N45" s="44">
        <f>N49/('Demand Breakdown - Ethylene'!$K$14)</f>
        <v>4.0916421568079517</v>
      </c>
      <c r="O45" s="44">
        <f>O49/('Demand Breakdown - Ethylene'!$K$14)</f>
        <v>4.0258524758952952</v>
      </c>
      <c r="P45" s="44">
        <f>P49/('Demand Breakdown - Ethylene'!$K$14)</f>
        <v>3.9566434612482912</v>
      </c>
      <c r="Q45" s="44">
        <f>Q49/('Demand Breakdown - Ethylene'!$K$14)</f>
        <v>3.8839178687377554</v>
      </c>
      <c r="R45" s="44">
        <f>R49/('Demand Breakdown - Ethylene'!$K$14)</f>
        <v>3.8075761361215603</v>
      </c>
      <c r="S45" s="44">
        <f>S49/('Demand Breakdown - Ethylene'!$K$14)</f>
        <v>3.7275163323323492</v>
      </c>
      <c r="T45" s="44">
        <f>T49/('Demand Breakdown - Ethylene'!$K$14)</f>
        <v>3.6436341057109662</v>
      </c>
      <c r="U45" s="44">
        <f>U49/('Demand Breakdown - Ethylene'!$K$14)</f>
        <v>3.5558226311644114</v>
      </c>
      <c r="V45" s="44">
        <f>V49/('Demand Breakdown - Ethylene'!$K$14)</f>
        <v>3.4639725562267234</v>
      </c>
      <c r="W45" s="44">
        <f>W49/('Demand Breakdown - Ethylene'!$K$14)</f>
        <v>3.3679719460007478</v>
      </c>
      <c r="X45" s="44">
        <f>X49/('Demand Breakdown - Ethylene'!$K$14)</f>
        <v>3.2677062269583397</v>
      </c>
      <c r="Y45" s="44">
        <f>Y49/('Demand Breakdown - Ethylene'!$K$14)</f>
        <v>3.1582036112960794</v>
      </c>
      <c r="Z45" s="44">
        <f>Z49/('Demand Breakdown - Ethylene'!$K$14)</f>
        <v>3.0440335396017111</v>
      </c>
      <c r="AA45" s="44">
        <f>AA49/('Demand Breakdown - Ethylene'!$K$14)</f>
        <v>2.9250689646260701</v>
      </c>
      <c r="AB45" s="44">
        <f>AB49/('Demand Breakdown - Ethylene'!$K$14)</f>
        <v>2.8011798684083118</v>
      </c>
      <c r="AC45" s="44">
        <f>AC49/('Demand Breakdown - Ethylene'!$K$14)</f>
        <v>2.6722331979883731</v>
      </c>
      <c r="AD45" s="44">
        <f>AD49/('Demand Breakdown - Ethylene'!$K$14)</f>
        <v>2.5380927997921865</v>
      </c>
      <c r="AE45" s="44">
        <f>AE49/('Demand Breakdown - Ethylene'!$K$14)</f>
        <v>2.3986193526631117</v>
      </c>
      <c r="AF45" s="44">
        <f>AF49/('Demand Breakdown - Ethylene'!$K$14)</f>
        <v>2.2536702995125077</v>
      </c>
      <c r="AG45" s="44">
        <f>AG49/('Demand Breakdown - Ethylene'!$K$14)</f>
        <v>2.1030997775618636</v>
      </c>
      <c r="AH45" s="44">
        <f>AH49/('Demand Breakdown - Ethylene'!$K$14)</f>
        <v>1.9467585471483384</v>
      </c>
      <c r="AI45" s="44"/>
    </row>
    <row r="46" spans="1:35" x14ac:dyDescent="0.2">
      <c r="A46" s="688"/>
      <c r="B46" s="1" t="s">
        <v>262</v>
      </c>
      <c r="C46" s="54" t="s">
        <v>153</v>
      </c>
      <c r="D46" s="44">
        <f>D48/('Demand Breakdown - Ethylene'!$M$14)</f>
        <v>13.515976331360944</v>
      </c>
      <c r="E46" s="44">
        <f>E48/('Demand Breakdown - Ethylene'!$M$14)</f>
        <v>13.408383786025434</v>
      </c>
      <c r="F46" s="44">
        <f>F48/('Demand Breakdown - Ethylene'!$M$14)</f>
        <v>13.293226976988755</v>
      </c>
      <c r="G46" s="44">
        <f>G48/('Demand Breakdown - Ethylene'!$M$14)</f>
        <v>13.170279813530668</v>
      </c>
      <c r="H46" s="44">
        <f>H48/('Demand Breakdown - Ethylene'!$M$14)</f>
        <v>13.039310703918654</v>
      </c>
      <c r="I46" s="44">
        <f>I48/('Demand Breakdown - Ethylene'!$M$14)</f>
        <v>12.900082433713724</v>
      </c>
      <c r="J46" s="44">
        <f>J48/('Demand Breakdown - Ethylene'!$M$14)</f>
        <v>12.752352041528393</v>
      </c>
      <c r="K46" s="44">
        <f>K48/('Demand Breakdown - Ethylene'!$M$14)</f>
        <v>12.59587069218542</v>
      </c>
      <c r="L46" s="44">
        <f>L48/('Demand Breakdown - Ethylene'!$M$14)</f>
        <v>12.43038354722478</v>
      </c>
      <c r="M46" s="44">
        <f>M48/('Demand Breakdown - Ethylene'!$M$14)</f>
        <v>12.255629632705435</v>
      </c>
      <c r="N46" s="44">
        <f>N48/('Demand Breakdown - Ethylene'!$M$14)</f>
        <v>12.071341704247288</v>
      </c>
      <c r="O46" s="44">
        <f>O48/('Demand Breakdown - Ethylene'!$M$14)</f>
        <v>11.877246109257712</v>
      </c>
      <c r="P46" s="44">
        <f>P48/('Demand Breakdown - Ethylene'!$M$14)</f>
        <v>11.673062646285963</v>
      </c>
      <c r="Q46" s="44">
        <f>Q48/('Demand Breakdown - Ethylene'!$M$14)</f>
        <v>11.458504421447598</v>
      </c>
      <c r="R46" s="44">
        <f>R48/('Demand Breakdown - Ethylene'!$M$14)</f>
        <v>11.233277701859954</v>
      </c>
      <c r="S46" s="44">
        <f>S48/('Demand Breakdown - Ethylene'!$M$14)</f>
        <v>10.997081766028531</v>
      </c>
      <c r="T46" s="44">
        <f>T48/('Demand Breakdown - Ethylene'!$M$14)</f>
        <v>10.749608751123002</v>
      </c>
      <c r="U46" s="44">
        <f>U48/('Demand Breakdown - Ethylene'!$M$14)</f>
        <v>10.490543497080301</v>
      </c>
      <c r="V46" s="44">
        <f>V48/('Demand Breakdown - Ethylene'!$M$14)</f>
        <v>10.219563387471075</v>
      </c>
      <c r="W46" s="44">
        <f>W48/('Demand Breakdown - Ethylene'!$M$14)</f>
        <v>9.9363381870644787</v>
      </c>
      <c r="X46" s="44">
        <f>X48/('Demand Breakdown - Ethylene'!$M$14)</f>
        <v>9.6405298760250808</v>
      </c>
      <c r="Y46" s="44">
        <f>Y48/('Demand Breakdown - Ethylene'!$M$14)</f>
        <v>9.3174704684547898</v>
      </c>
      <c r="Z46" s="44">
        <f>Z48/('Demand Breakdown - Ethylene'!$M$14)</f>
        <v>8.9806409278929351</v>
      </c>
      <c r="AA46" s="44">
        <f>AA48/('Demand Breakdown - Ethylene'!$M$14)</f>
        <v>8.6296664339865981</v>
      </c>
      <c r="AB46" s="44">
        <f>AB48/('Demand Breakdown - Ethylene'!$M$14)</f>
        <v>8.2641634020592836</v>
      </c>
      <c r="AC46" s="44">
        <f>AC48/('Demand Breakdown - Ethylene'!$M$14)</f>
        <v>7.8837392934470154</v>
      </c>
      <c r="AD46" s="44">
        <f>AD48/('Demand Breakdown - Ethylene'!$M$14)</f>
        <v>7.4879924219187357</v>
      </c>
      <c r="AE46" s="44">
        <f>AE48/('Demand Breakdown - Ethylene'!$M$14)</f>
        <v>7.0765117561026933</v>
      </c>
      <c r="AF46" s="44">
        <f>AF48/('Demand Breakdown - Ethylene'!$M$14)</f>
        <v>6.6488767178389674</v>
      </c>
      <c r="AG46" s="44">
        <f>AG48/('Demand Breakdown - Ethylene'!$M$14)</f>
        <v>6.2046569763767616</v>
      </c>
      <c r="AH46" s="44">
        <f>AH48/('Demand Breakdown - Ethylene'!$M$14)</f>
        <v>5.7434122383333843</v>
      </c>
      <c r="AI46" s="44"/>
    </row>
    <row r="47" spans="1:35" s="68" customFormat="1" x14ac:dyDescent="0.2">
      <c r="A47" s="689"/>
      <c r="B47" s="62" t="s">
        <v>248</v>
      </c>
      <c r="C47" s="283" t="s">
        <v>153</v>
      </c>
      <c r="D47" s="284">
        <f>D43-SUM(D45,D44,D46)</f>
        <v>4.7444724576031234</v>
      </c>
      <c r="E47" s="284">
        <f t="shared" ref="E47:AH47" si="12">E43-SUM(E45,E44,E46)</f>
        <v>4.7067045705135797</v>
      </c>
      <c r="F47" s="284">
        <f t="shared" si="12"/>
        <v>4.6662814227227507</v>
      </c>
      <c r="G47" s="284">
        <f t="shared" si="12"/>
        <v>4.6231236502861535</v>
      </c>
      <c r="H47" s="284">
        <f t="shared" si="12"/>
        <v>4.5771499582555393</v>
      </c>
      <c r="I47" s="284">
        <f t="shared" si="12"/>
        <v>4.5282770779609578</v>
      </c>
      <c r="J47" s="284">
        <f t="shared" si="12"/>
        <v>4.4764197233984255</v>
      </c>
      <c r="K47" s="284">
        <f t="shared" si="12"/>
        <v>4.4214905467052361</v>
      </c>
      <c r="L47" s="284">
        <f t="shared" si="12"/>
        <v>4.3634000927044099</v>
      </c>
      <c r="M47" s="284">
        <f t="shared" si="12"/>
        <v>4.3020567524995634</v>
      </c>
      <c r="N47" s="284">
        <f t="shared" si="12"/>
        <v>4.2373667161009578</v>
      </c>
      <c r="O47" s="284">
        <f t="shared" si="12"/>
        <v>4.1692339240633274</v>
      </c>
      <c r="P47" s="284">
        <f t="shared" si="12"/>
        <v>4.0975600181154661</v>
      </c>
      <c r="Q47" s="284">
        <f t="shared" si="12"/>
        <v>4.0222442907613214</v>
      </c>
      <c r="R47" s="284">
        <f t="shared" si="12"/>
        <v>3.9431836338319037</v>
      </c>
      <c r="S47" s="284">
        <f t="shared" si="12"/>
        <v>3.8602724859668527</v>
      </c>
      <c r="T47" s="284">
        <f t="shared" si="12"/>
        <v>3.7734027790042184</v>
      </c>
      <c r="U47" s="284">
        <f t="shared" si="12"/>
        <v>3.6824638832564034</v>
      </c>
      <c r="V47" s="284">
        <f t="shared" si="12"/>
        <v>3.5873425516500284</v>
      </c>
      <c r="W47" s="284">
        <f t="shared" si="12"/>
        <v>3.4879228627067818</v>
      </c>
      <c r="X47" s="284">
        <f t="shared" si="12"/>
        <v>3.3840861623420366</v>
      </c>
      <c r="Y47" s="284">
        <f t="shared" si="12"/>
        <v>3.2706835916501618</v>
      </c>
      <c r="Z47" s="284">
        <f t="shared" si="12"/>
        <v>3.1524473326538534</v>
      </c>
      <c r="AA47" s="284">
        <f t="shared" si="12"/>
        <v>3.0292458132936773</v>
      </c>
      <c r="AB47" s="284">
        <f t="shared" si="12"/>
        <v>2.9009443849961194</v>
      </c>
      <c r="AC47" s="284">
        <f t="shared" si="12"/>
        <v>2.7674052560964064</v>
      </c>
      <c r="AD47" s="284">
        <f t="shared" si="12"/>
        <v>2.6284874238868348</v>
      </c>
      <c r="AE47" s="284">
        <f t="shared" si="12"/>
        <v>2.4840466052631278</v>
      </c>
      <c r="AF47" s="284">
        <f t="shared" si="12"/>
        <v>2.3339351659407122</v>
      </c>
      <c r="AG47" s="284">
        <f t="shared" si="12"/>
        <v>2.1780020482124129</v>
      </c>
      <c r="AH47" s="284">
        <f t="shared" si="12"/>
        <v>2.0160926972183937</v>
      </c>
      <c r="AI47" s="284"/>
    </row>
    <row r="48" spans="1:35" s="67" customFormat="1" x14ac:dyDescent="0.2">
      <c r="A48" s="687" t="s">
        <v>263</v>
      </c>
      <c r="B48" s="58" t="s">
        <v>264</v>
      </c>
      <c r="C48" s="59" t="s">
        <v>153</v>
      </c>
      <c r="D48" s="60">
        <f>D43*'Demand Breakdown - Ethylene'!$E$74</f>
        <v>12.975337278106506</v>
      </c>
      <c r="E48" s="60">
        <f>E43*'Demand Breakdown - Ethylene'!$E$74</f>
        <v>12.872048434584416</v>
      </c>
      <c r="F48" s="60">
        <f>F43*'Demand Breakdown - Ethylene'!$E$74</f>
        <v>12.761497897909205</v>
      </c>
      <c r="G48" s="60">
        <f>G43*'Demand Breakdown - Ethylene'!$E$74</f>
        <v>12.64346862098944</v>
      </c>
      <c r="H48" s="60">
        <f>H43*'Demand Breakdown - Ethylene'!$E$74</f>
        <v>12.517738275761907</v>
      </c>
      <c r="I48" s="60">
        <f>I43*'Demand Breakdown - Ethylene'!$E$74</f>
        <v>12.384079136365175</v>
      </c>
      <c r="J48" s="60">
        <f>J43*'Demand Breakdown - Ethylene'!$E$74</f>
        <v>12.242257959867256</v>
      </c>
      <c r="K48" s="60">
        <f>K43*'Demand Breakdown - Ethylene'!$E$74</f>
        <v>12.092035864498003</v>
      </c>
      <c r="L48" s="60">
        <f>L43*'Demand Breakdown - Ethylene'!$E$74</f>
        <v>11.933168205335788</v>
      </c>
      <c r="M48" s="60">
        <f>M43*'Demand Breakdown - Ethylene'!$E$74</f>
        <v>11.765404447397218</v>
      </c>
      <c r="N48" s="60">
        <f>N43*'Demand Breakdown - Ethylene'!$E$74</f>
        <v>11.588488036077397</v>
      </c>
      <c r="O48" s="60">
        <f>O43*'Demand Breakdown - Ethylene'!$E$74</f>
        <v>11.402156264887402</v>
      </c>
      <c r="P48" s="60">
        <f>P43*'Demand Breakdown - Ethylene'!$E$74</f>
        <v>11.206140140434524</v>
      </c>
      <c r="Q48" s="60">
        <f>Q43*'Demand Breakdown - Ethylene'!$E$74</f>
        <v>11.000164244589694</v>
      </c>
      <c r="R48" s="60">
        <f>R43*'Demand Breakdown - Ethylene'!$E$74</f>
        <v>10.783946593785556</v>
      </c>
      <c r="S48" s="60">
        <f>S43*'Demand Breakdown - Ethylene'!$E$74</f>
        <v>10.557198495387389</v>
      </c>
      <c r="T48" s="60">
        <f>T43*'Demand Breakdown - Ethylene'!$E$74</f>
        <v>10.319624401078082</v>
      </c>
      <c r="U48" s="60">
        <f>U43*'Demand Breakdown - Ethylene'!$E$74</f>
        <v>10.070921757197089</v>
      </c>
      <c r="V48" s="60">
        <f>V43*'Demand Breakdown - Ethylene'!$E$74</f>
        <v>9.8107808519722308</v>
      </c>
      <c r="W48" s="60">
        <f>W43*'Demand Breakdown - Ethylene'!$E$74</f>
        <v>9.5388846595818997</v>
      </c>
      <c r="X48" s="60">
        <f>X43*'Demand Breakdown - Ethylene'!$E$74</f>
        <v>9.2549086809840766</v>
      </c>
      <c r="Y48" s="60">
        <f>Y43*'Demand Breakdown - Ethylene'!$E$74</f>
        <v>8.9447716497165981</v>
      </c>
      <c r="Z48" s="60">
        <f>Z43*'Demand Breakdown - Ethylene'!$E$74</f>
        <v>8.6214152907772181</v>
      </c>
      <c r="AA48" s="60">
        <f>AA43*'Demand Breakdown - Ethylene'!$E$74</f>
        <v>8.2844797766271334</v>
      </c>
      <c r="AB48" s="60">
        <f>AB43*'Demand Breakdown - Ethylene'!$E$74</f>
        <v>7.9335968659769112</v>
      </c>
      <c r="AC48" s="60">
        <f>AC43*'Demand Breakdown - Ethylene'!$E$74</f>
        <v>7.5683897217091349</v>
      </c>
      <c r="AD48" s="60">
        <f>AD43*'Demand Breakdown - Ethylene'!$E$74</f>
        <v>7.1884727250419864</v>
      </c>
      <c r="AE48" s="60">
        <f>AE43*'Demand Breakdown - Ethylene'!$E$74</f>
        <v>6.7934512858585849</v>
      </c>
      <c r="AF48" s="60">
        <f>AF43*'Demand Breakdown - Ethylene'!$E$74</f>
        <v>6.3829216491254082</v>
      </c>
      <c r="AG48" s="60">
        <f>AG43*'Demand Breakdown - Ethylene'!$E$74</f>
        <v>5.9564706973216905</v>
      </c>
      <c r="AH48" s="60">
        <f>AH43*'Demand Breakdown - Ethylene'!$E$74</f>
        <v>5.5136757488000487</v>
      </c>
      <c r="AI48" s="60"/>
    </row>
    <row r="49" spans="1:35" s="68" customFormat="1" x14ac:dyDescent="0.2">
      <c r="A49" s="689"/>
      <c r="B49" s="62" t="s">
        <v>266</v>
      </c>
      <c r="C49" s="283" t="s">
        <v>153</v>
      </c>
      <c r="D49" s="284">
        <f>D43*'Demand Breakdown - Ethylene'!$D$74/'Demand Breakdown - Ethylene'!$L$24</f>
        <v>2.8011119939271252</v>
      </c>
      <c r="E49" s="284">
        <f>E43*'Demand Breakdown - Ethylene'!$D$74/'Demand Breakdown - Ethylene'!$L$24</f>
        <v>2.7788140287777514</v>
      </c>
      <c r="F49" s="284">
        <f>F43*'Demand Breakdown - Ethylene'!$D$74/'Demand Breakdown - Ethylene'!$L$24</f>
        <v>2.7549484114470548</v>
      </c>
      <c r="G49" s="284">
        <f>G43*'Demand Breakdown - Ethylene'!$D$74/'Demand Breakdown - Ethylene'!$L$24</f>
        <v>2.7294682858727972</v>
      </c>
      <c r="H49" s="284">
        <f>H43*'Demand Breakdown - Ethylene'!$D$74/'Demand Breakdown - Ethylene'!$L$24</f>
        <v>2.7023256559381061</v>
      </c>
      <c r="I49" s="284">
        <f>I43*'Demand Breakdown - Ethylene'!$D$74/'Demand Breakdown - Ethylene'!$L$24</f>
        <v>2.6734713602510198</v>
      </c>
      <c r="J49" s="284">
        <f>J43*'Demand Breakdown - Ethylene'!$D$74/'Demand Breakdown - Ethylene'!$L$24</f>
        <v>2.6428550463960057</v>
      </c>
      <c r="K49" s="284">
        <f>K43*'Demand Breakdown - Ethylene'!$D$74/'Demand Breakdown - Ethylene'!$L$24</f>
        <v>2.610425144646809</v>
      </c>
      <c r="L49" s="284">
        <f>L43*'Demand Breakdown - Ethylene'!$D$74/'Demand Breakdown - Ethylene'!$L$24</f>
        <v>2.5761288411297305</v>
      </c>
      <c r="M49" s="284">
        <f>M43*'Demand Breakdown - Ethylene'!$D$74/'Demand Breakdown - Ethylene'!$L$24</f>
        <v>2.5399120504262682</v>
      </c>
      <c r="N49" s="284">
        <f>N43*'Demand Breakdown - Ethylene'!$D$74/'Demand Breakdown - Ethylene'!$L$24</f>
        <v>2.501719387603802</v>
      </c>
      <c r="O49" s="284">
        <f>O43*'Demand Breakdown - Ethylene'!$D$74/'Demand Breakdown - Ethylene'!$L$24</f>
        <v>2.4614941396627987</v>
      </c>
      <c r="P49" s="284">
        <f>P43*'Demand Breakdown - Ethylene'!$D$74/'Demand Breakdown - Ethylene'!$L$24</f>
        <v>2.4191782363887842</v>
      </c>
      <c r="Q49" s="284">
        <f>Q43*'Demand Breakdown - Ethylene'!$D$74/'Demand Breakdown - Ethylene'!$L$24</f>
        <v>2.3747122205970905</v>
      </c>
      <c r="R49" s="284">
        <f>R43*'Demand Breakdown - Ethylene'!$D$74/'Demand Breakdown - Ethylene'!$L$24</f>
        <v>2.3280352177581629</v>
      </c>
      <c r="S49" s="284">
        <f>S43*'Demand Breakdown - Ethylene'!$D$74/'Demand Breakdown - Ethylene'!$L$24</f>
        <v>2.2790849049909592</v>
      </c>
      <c r="T49" s="284">
        <f>T43*'Demand Breakdown - Ethylene'!$D$74/'Demand Breakdown - Ethylene'!$L$24</f>
        <v>2.2277974794117386</v>
      </c>
      <c r="U49" s="284">
        <f>U43*'Demand Breakdown - Ethylene'!$D$74/'Demand Breakdown - Ethylene'!$L$24</f>
        <v>2.1741076258252816</v>
      </c>
      <c r="V49" s="284">
        <f>V43*'Demand Breakdown - Ethylene'!$D$74/'Demand Breakdown - Ethylene'!$L$24</f>
        <v>2.1179484837453351</v>
      </c>
      <c r="W49" s="284">
        <f>W43*'Demand Breakdown - Ethylene'!$D$74/'Demand Breakdown - Ethylene'!$L$24</f>
        <v>2.0592516137308072</v>
      </c>
      <c r="X49" s="284">
        <f>X43*'Demand Breakdown - Ethylene'!$D$74/'Demand Breakdown - Ethylene'!$L$24</f>
        <v>1.997946963023983</v>
      </c>
      <c r="Y49" s="284">
        <f>Y43*'Demand Breakdown - Ethylene'!$D$74/'Demand Breakdown - Ethylene'!$L$24</f>
        <v>1.9309946719640732</v>
      </c>
      <c r="Z49" s="284">
        <f>Z43*'Demand Breakdown - Ethylene'!$D$74/'Demand Breakdown - Ethylene'!$L$24</f>
        <v>1.8611885963358119</v>
      </c>
      <c r="AA49" s="284">
        <f>AA43*'Demand Breakdown - Ethylene'!$D$74/'Demand Breakdown - Ethylene'!$L$24</f>
        <v>1.7884510566759926</v>
      </c>
      <c r="AB49" s="284">
        <f>AB43*'Demand Breakdown - Ethylene'!$D$74/'Demand Breakdown - Ethylene'!$L$24</f>
        <v>1.712702557163398</v>
      </c>
      <c r="AC49" s="284">
        <f>AC43*'Demand Breakdown - Ethylene'!$D$74/'Demand Breakdown - Ethylene'!$L$24</f>
        <v>1.633861746311996</v>
      </c>
      <c r="AD49" s="284">
        <f>AD43*'Demand Breakdown - Ethylene'!$D$74/'Demand Breakdown - Ethylene'!$L$24</f>
        <v>1.5518453768526259</v>
      </c>
      <c r="AE49" s="284">
        <f>AE43*'Demand Breakdown - Ethylene'!$D$74/'Demand Breakdown - Ethylene'!$L$24</f>
        <v>1.4665682647869538</v>
      </c>
      <c r="AF49" s="284">
        <f>AF43*'Demand Breakdown - Ethylene'!$D$74/'Demand Breakdown - Ethylene'!$L$24</f>
        <v>1.377943247597138</v>
      </c>
      <c r="AG49" s="284">
        <f>AG43*'Demand Breakdown - Ethylene'!$D$74/'Demand Breakdown - Ethylene'!$L$24</f>
        <v>1.285881141594345</v>
      </c>
      <c r="AH49" s="284">
        <f>AH43*'Demand Breakdown - Ethylene'!$D$74/'Demand Breakdown - Ethylene'!$L$24</f>
        <v>1.1902906983889014</v>
      </c>
      <c r="AI49" s="284"/>
    </row>
    <row r="50" spans="1:35" x14ac:dyDescent="0.2">
      <c r="A50" s="1" t="s">
        <v>273</v>
      </c>
      <c r="B50" s="58" t="s">
        <v>199</v>
      </c>
      <c r="C50" s="59" t="s">
        <v>153</v>
      </c>
      <c r="D50" s="60">
        <f>'R&amp;S - Apparel'!E4</f>
        <v>3.4336211538461541</v>
      </c>
      <c r="E50" s="60">
        <f>D50*(1+'R&amp;S - Apparel'!$C$5)</f>
        <v>3.5057271980769231</v>
      </c>
      <c r="F50" s="60">
        <f>E50*(1+'R&amp;S - Apparel'!$C$5)</f>
        <v>3.5793474692365383</v>
      </c>
      <c r="G50" s="60">
        <f>F50*(1+'R&amp;S - Apparel'!$C$5)</f>
        <v>3.6545137660905054</v>
      </c>
      <c r="H50" s="60">
        <f>G50*(1+'R&amp;S - Apparel'!$C$5)</f>
        <v>3.7312585551784054</v>
      </c>
      <c r="I50" s="60">
        <f>H50*(1+'R&amp;S - Apparel'!$C$5)</f>
        <v>3.8096149848371517</v>
      </c>
      <c r="J50" s="60">
        <f>I50*(1+'R&amp;S - Apparel'!$C$5)</f>
        <v>3.8896168995187317</v>
      </c>
      <c r="K50" s="60">
        <f>J50*(1+'R&amp;S - Apparel'!$C$5)</f>
        <v>3.9712988544086247</v>
      </c>
      <c r="L50" s="60">
        <f>K50*(1+'R&amp;S - Apparel'!$C$5)</f>
        <v>4.0546961303512052</v>
      </c>
      <c r="M50" s="60">
        <f>L50*(1+'R&amp;S - Apparel'!$C$5)</f>
        <v>4.1398447490885806</v>
      </c>
      <c r="N50" s="60">
        <f>M50*(1+'R&amp;S - Apparel'!$C$5)</f>
        <v>4.2267814888194408</v>
      </c>
      <c r="O50" s="60">
        <f>N50*(1+'R&amp;S - Apparel'!$C$5)</f>
        <v>4.3155439000846485</v>
      </c>
      <c r="P50" s="60">
        <f>O50*(1+'R&amp;S - Apparel'!$C$5)</f>
        <v>4.4061703219864254</v>
      </c>
      <c r="Q50" s="60">
        <f>P50*(1+'R&amp;S - Apparel'!$C$5)</f>
        <v>4.4986998987481401</v>
      </c>
      <c r="R50" s="60">
        <f>Q50*(1+'R&amp;S - Apparel'!$C$5)</f>
        <v>4.5931725966218506</v>
      </c>
      <c r="S50" s="60">
        <f>R50*(1+'R&amp;S - Apparel'!$C$5)</f>
        <v>4.6896292211509092</v>
      </c>
      <c r="T50" s="60">
        <f>S50*(1+'R&amp;S - Apparel'!$C$5)</f>
        <v>4.7881114347950779</v>
      </c>
      <c r="U50" s="60">
        <f>T50*(1+'R&amp;S - Apparel'!$C$5)</f>
        <v>4.8886617749257741</v>
      </c>
      <c r="V50" s="60">
        <f>U50*(1+'R&amp;S - Apparel'!$C$5)</f>
        <v>4.9913236721992149</v>
      </c>
      <c r="W50" s="60">
        <f>V50*(1+'R&amp;S - Apparel'!$C$5)</f>
        <v>5.0961414693153984</v>
      </c>
      <c r="X50" s="60">
        <f>W50*(1+'R&amp;S - Apparel'!$C$5)</f>
        <v>5.203160440171021</v>
      </c>
      <c r="Y50" s="60">
        <f>X50*(1+'R&amp;S - Apparel'!$C$5)</f>
        <v>5.3124268094146121</v>
      </c>
      <c r="Z50" s="60">
        <f>Y50*(1+'R&amp;S - Apparel'!$C$5)</f>
        <v>5.4239877724123184</v>
      </c>
      <c r="AA50" s="60">
        <f>Z50*(1+'R&amp;S - Apparel'!$C$5)</f>
        <v>5.5378915156329764</v>
      </c>
      <c r="AB50" s="60">
        <f>AA50*(1+'R&amp;S - Apparel'!$C$5)</f>
        <v>5.6541872374612687</v>
      </c>
      <c r="AC50" s="60">
        <f>AB50*(1+'R&amp;S - Apparel'!$C$5)</f>
        <v>5.7729251694479551</v>
      </c>
      <c r="AD50" s="60">
        <f>AC50*(1+'R&amp;S - Apparel'!$C$5)</f>
        <v>5.8941565980063615</v>
      </c>
      <c r="AE50" s="60">
        <f>AD50*(1+'R&amp;S - Apparel'!$C$5)</f>
        <v>6.0179338865644949</v>
      </c>
      <c r="AF50" s="60">
        <f>AE50*(1+'R&amp;S - Apparel'!$C$5)</f>
        <v>6.1443104981823486</v>
      </c>
      <c r="AG50" s="60">
        <f>AF50*(1+'R&amp;S - Apparel'!$C$5)</f>
        <v>6.2733410186441771</v>
      </c>
      <c r="AH50" s="60">
        <f>AG50*(1+'R&amp;S - Apparel'!$C$5)</f>
        <v>6.4050811800357046</v>
      </c>
    </row>
    <row r="51" spans="1:35" outlineLevel="1" x14ac:dyDescent="0.2">
      <c r="B51" s="61" t="s">
        <v>206</v>
      </c>
      <c r="C51" s="54" t="s">
        <v>153</v>
      </c>
      <c r="D51">
        <v>0</v>
      </c>
      <c r="E51" s="43">
        <f>E50*'R&amp;S - Apparel'!$C$7*'R&amp;S - Apparel'!$B$13*'R&amp;S - Apparel'!$B$17*('Yearly HC Ethylene'!E$3-'Yearly HC Ethylene'!$D$3)/10</f>
        <v>6.135022596634615E-2</v>
      </c>
      <c r="F51" s="43">
        <f>F50*'R&amp;S - Apparel'!$C$7*'R&amp;S - Apparel'!$B$13*'R&amp;S - Apparel'!$B$17*('Yearly HC Ethylene'!F$3-'Yearly HC Ethylene'!$D$3)/10</f>
        <v>0.12527716142327883</v>
      </c>
      <c r="G51" s="43">
        <f>G50*'R&amp;S - Apparel'!$C$7*'R&amp;S - Apparel'!$B$13*'R&amp;S - Apparel'!$B$17*('Yearly HC Ethylene'!G$3-'Yearly HC Ethylene'!$D$3)/10</f>
        <v>0.19186197271975153</v>
      </c>
      <c r="H51" s="43">
        <f>H50*'R&amp;S - Apparel'!$C$7*'R&amp;S - Apparel'!$B$13*'R&amp;S - Apparel'!$B$17*('Yearly HC Ethylene'!H$3-'Yearly HC Ethylene'!$D$3)/10</f>
        <v>0.26118809886248834</v>
      </c>
      <c r="I51" s="43">
        <f>I50*'R&amp;S - Apparel'!$C$7*'R&amp;S - Apparel'!$B$13*'R&amp;S - Apparel'!$B$17*('Yearly HC Ethylene'!I$3-'Yearly HC Ethylene'!$D$3)/10</f>
        <v>0.33334131117325078</v>
      </c>
      <c r="J51" s="43">
        <f>J50*'R&amp;S - Apparel'!$C$7*'R&amp;S - Apparel'!$B$13*'R&amp;S - Apparel'!$B$17*('Yearly HC Ethylene'!J$3-'Yearly HC Ethylene'!$D$3)/10</f>
        <v>0.40840977444946686</v>
      </c>
      <c r="K51" s="43">
        <f>K50*'R&amp;S - Apparel'!$C$7*'R&amp;S - Apparel'!$B$13*'R&amp;S - Apparel'!$B$17*('Yearly HC Ethylene'!K$3-'Yearly HC Ethylene'!$D$3)/10</f>
        <v>0.48648410966505651</v>
      </c>
      <c r="L51" s="43">
        <f>L50*'R&amp;S - Apparel'!$C$7*'R&amp;S - Apparel'!$B$13*'R&amp;S - Apparel'!$B$17*('Yearly HC Ethylene'!L$3-'Yearly HC Ethylene'!$D$3)/10</f>
        <v>0.56765745824916869</v>
      </c>
      <c r="M51" s="43">
        <f>M50*'R&amp;S - Apparel'!$C$7*'R&amp;S - Apparel'!$B$13*'R&amp;S - Apparel'!$B$17*('Yearly HC Ethylene'!M$3-'Yearly HC Ethylene'!$D$3)/10</f>
        <v>0.6520255479814514</v>
      </c>
      <c r="N51" s="43">
        <f>N50*'R&amp;S - Apparel'!$C$7*'R&amp;S - Apparel'!$B$13*'R&amp;S - Apparel'!$B$17*('Yearly HC Ethylene'!N$3-'Yearly HC Ethylene'!$D$3)/10</f>
        <v>0.7396867605434021</v>
      </c>
      <c r="O51" s="43">
        <f>O50*'R&amp;S - Apparel'!$C$7*'R&amp;S - Apparel'!$B$13*('R&amp;S - Apparel'!$B$17+('R&amp;S - Apparel'!$B$18-'R&amp;S - Apparel'!$B$17)*('Yearly HC Ethylene'!O$3-'Yearly HC Ethylene'!$N$3)/10)</f>
        <v>0.77679790201523669</v>
      </c>
      <c r="P51" s="43">
        <f>P50*'R&amp;S - Apparel'!$C$7*'R&amp;S - Apparel'!$B$13*('R&amp;S - Apparel'!$B$17+('R&amp;S - Apparel'!$B$18-'R&amp;S - Apparel'!$B$17)*('Yearly HC Ethylene'!P$3-'Yearly HC Ethylene'!$N$3)/10)</f>
        <v>0.81514150956748865</v>
      </c>
      <c r="Q51" s="43">
        <f>Q50*'R&amp;S - Apparel'!$C$7*'R&amp;S - Apparel'!$B$13*('R&amp;S - Apparel'!$B$17+('R&amp;S - Apparel'!$B$18-'R&amp;S - Apparel'!$B$17)*('Yearly HC Ethylene'!Q$3-'Yearly HC Ethylene'!$N$3)/10)</f>
        <v>0.85475298076214667</v>
      </c>
      <c r="R51" s="43">
        <f>R50*'R&amp;S - Apparel'!$C$7*'R&amp;S - Apparel'!$B$13*('R&amp;S - Apparel'!$B$17+('R&amp;S - Apparel'!$B$18-'R&amp;S - Apparel'!$B$17)*('Yearly HC Ethylene'!R$3-'Yearly HC Ethylene'!$N$3)/10)</f>
        <v>0.89566865634126092</v>
      </c>
      <c r="S51" s="43">
        <f>S50*'R&amp;S - Apparel'!$C$7*'R&amp;S - Apparel'!$B$13*('R&amp;S - Apparel'!$B$17+('R&amp;S - Apparel'!$B$18-'R&amp;S - Apparel'!$B$17)*('Yearly HC Ethylene'!S$3-'Yearly HC Ethylene'!$N$3)/10)</f>
        <v>0.93792584423018188</v>
      </c>
      <c r="T51" s="43">
        <f>T50*'R&amp;S - Apparel'!$C$7*'R&amp;S - Apparel'!$B$13*('R&amp;S - Apparel'!$B$17+('R&amp;S - Apparel'!$B$18-'R&amp;S - Apparel'!$B$17)*('Yearly HC Ethylene'!T$3-'Yearly HC Ethylene'!$N$3)/10)</f>
        <v>0.98156284413299089</v>
      </c>
      <c r="U51" s="43">
        <f>U50*'R&amp;S - Apparel'!$C$7*'R&amp;S - Apparel'!$B$13*('R&amp;S - Apparel'!$B$17+('R&amp;S - Apparel'!$B$18-'R&amp;S - Apparel'!$B$17)*('Yearly HC Ethylene'!U$3-'Yearly HC Ethylene'!$N$3)/10)</f>
        <v>1.0266189727344126</v>
      </c>
      <c r="V51" s="43">
        <f>V50*'R&amp;S - Apparel'!$C$7*'R&amp;S - Apparel'!$B$13*('R&amp;S - Apparel'!$B$17+('R&amp;S - Apparel'!$B$18-'R&amp;S - Apparel'!$B$17)*('Yearly HC Ethylene'!V$3-'Yearly HC Ethylene'!$N$3)/10)</f>
        <v>1.0731345895228313</v>
      </c>
      <c r="W51" s="43">
        <f>W50*'R&amp;S - Apparel'!$C$7*'R&amp;S - Apparel'!$B$13*('R&amp;S - Apparel'!$B$17+('R&amp;S - Apparel'!$B$18-'R&amp;S - Apparel'!$B$17)*('Yearly HC Ethylene'!W$3-'Yearly HC Ethylene'!$N$3)/10)</f>
        <v>1.1211511232493876</v>
      </c>
      <c r="X51" s="43">
        <f>X50*'R&amp;S - Apparel'!$C$7*'R&amp;S - Apparel'!$B$13*('R&amp;S - Apparel'!$B$17+('R&amp;S - Apparel'!$B$18-'R&amp;S - Apparel'!$B$17)*('Yearly HC Ethylene'!X$3-'Yearly HC Ethylene'!$N$3)/10)</f>
        <v>1.1707110990384797</v>
      </c>
      <c r="Y51" s="43">
        <f>Y50*'R&amp;S - Apparel'!$C$7*'R&amp;S - Apparel'!$B$13*('R&amp;S - Apparel'!$B$18+('R&amp;S - Apparel'!$B$19-'R&amp;S - Apparel'!$B$18)*('Yearly HC Ethylene'!Y$3-'Yearly HC Ethylene'!$X$3)/10)</f>
        <v>1.2085770991418243</v>
      </c>
      <c r="Z51" s="43">
        <f>Z50*'R&amp;S - Apparel'!$C$7*'R&amp;S - Apparel'!$B$13*('R&amp;S - Apparel'!$B$18+('R&amp;S - Apparel'!$B$19-'R&amp;S - Apparel'!$B$18)*('Yearly HC Ethylene'!Z$3-'Yearly HC Ethylene'!$X$3)/10)</f>
        <v>1.2475171876548332</v>
      </c>
      <c r="AA51" s="43">
        <f>AA50*'R&amp;S - Apparel'!$C$7*'R&amp;S - Apparel'!$B$13*('R&amp;S - Apparel'!$B$18+('R&amp;S - Apparel'!$B$19-'R&amp;S - Apparel'!$B$18)*('Yearly HC Ethylene'!AA$3-'Yearly HC Ethylene'!$X$3)/10)</f>
        <v>1.287559777384667</v>
      </c>
      <c r="AB51" s="43">
        <f>AB50*'R&amp;S - Apparel'!$C$7*'R&amp;S - Apparel'!$B$13*('R&amp;S - Apparel'!$B$18+('R&amp;S - Apparel'!$B$19-'R&amp;S - Apparel'!$B$18)*('Yearly HC Ethylene'!AB$3-'Yearly HC Ethylene'!$X$3)/10)</f>
        <v>1.3287340008033983</v>
      </c>
      <c r="AC51" s="43">
        <f>AC50*'R&amp;S - Apparel'!$C$7*'R&amp;S - Apparel'!$B$13*('R&amp;S - Apparel'!$B$18+('R&amp;S - Apparel'!$B$19-'R&amp;S - Apparel'!$B$18)*('Yearly HC Ethylene'!AC$3-'Yearly HC Ethylene'!$X$3)/10)</f>
        <v>1.3710697277438892</v>
      </c>
      <c r="AD51" s="43">
        <f>AD50*'R&amp;S - Apparel'!$C$7*'R&amp;S - Apparel'!$B$13*('R&amp;S - Apparel'!$B$18+('R&amp;S - Apparel'!$B$19-'R&amp;S - Apparel'!$B$18)*('Yearly HC Ethylene'!AD$3-'Yearly HC Ethylene'!$X$3)/10)</f>
        <v>1.4145975835215268</v>
      </c>
      <c r="AE51" s="43">
        <f>AE50*'R&amp;S - Apparel'!$C$7*'R&amp;S - Apparel'!$B$13*('R&amp;S - Apparel'!$B$18+('R&amp;S - Apparel'!$B$19-'R&amp;S - Apparel'!$B$18)*('Yearly HC Ethylene'!AE$3-'Yearly HC Ethylene'!$X$3)/10)</f>
        <v>1.45934896749189</v>
      </c>
      <c r="AF51" s="43">
        <f>AF50*'R&amp;S - Apparel'!$C$7*'R&amp;S - Apparel'!$B$13*('R&amp;S - Apparel'!$B$18+('R&amp;S - Apparel'!$B$19-'R&amp;S - Apparel'!$B$18)*('Yearly HC Ethylene'!AF$3-'Yearly HC Ethylene'!$X$3)/10)</f>
        <v>1.5053560720546755</v>
      </c>
      <c r="AG51" s="43">
        <f>AG50*'R&amp;S - Apparel'!$C$7*'R&amp;S - Apparel'!$B$13*('R&amp;S - Apparel'!$B$18+('R&amp;S - Apparel'!$B$19-'R&amp;S - Apparel'!$B$18)*('Yearly HC Ethylene'!AG$3-'Yearly HC Ethylene'!$X$3)/10)</f>
        <v>1.5526519021144338</v>
      </c>
      <c r="AH51" s="43">
        <f>AH50*'R&amp;S - Apparel'!$C$7*'R&amp;S - Apparel'!$B$13*('R&amp;S - Apparel'!$B$18+('R&amp;S - Apparel'!$B$19-'R&amp;S - Apparel'!$B$18)*('Yearly HC Ethylene'!AH$3-'Yearly HC Ethylene'!$X$3)/10)</f>
        <v>1.6012702950089261</v>
      </c>
    </row>
    <row r="52" spans="1:35" outlineLevel="1" x14ac:dyDescent="0.2">
      <c r="B52" s="61" t="s">
        <v>207</v>
      </c>
      <c r="C52" s="54" t="s">
        <v>153</v>
      </c>
      <c r="D52">
        <v>0</v>
      </c>
      <c r="E52" s="43">
        <f>E50*'R&amp;S - Apparel'!$C$8*'R&amp;S - Apparel'!$B$13*'R&amp;S - Apparel'!$C$17*('Yearly HC Ethylene'!E$3-'Yearly HC Ethylene'!$D$3)/10</f>
        <v>2.3838944946923079E-2</v>
      </c>
      <c r="F52" s="43">
        <f>F50*'R&amp;S - Apparel'!$C$8*'R&amp;S - Apparel'!$B$13*'R&amp;S - Apparel'!$C$17*('Yearly HC Ethylene'!F$3-'Yearly HC Ethylene'!$D$3)/10</f>
        <v>4.8679125581616925E-2</v>
      </c>
      <c r="G52" s="43">
        <f>G50*'R&amp;S - Apparel'!$C$8*'R&amp;S - Apparel'!$B$13*'R&amp;S - Apparel'!$C$17*('Yearly HC Ethylene'!G$3-'Yearly HC Ethylene'!$D$3)/10</f>
        <v>7.4552080828246325E-2</v>
      </c>
      <c r="H52" s="43">
        <f>H50*'R&amp;S - Apparel'!$C$8*'R&amp;S - Apparel'!$B$13*'R&amp;S - Apparel'!$C$17*('Yearly HC Ethylene'!H$3-'Yearly HC Ethylene'!$D$3)/10</f>
        <v>0.10149023270085264</v>
      </c>
      <c r="I52" s="43">
        <f>I50*'R&amp;S - Apparel'!$C$8*'R&amp;S - Apparel'!$B$13*'R&amp;S - Apparel'!$C$17*('Yearly HC Ethylene'!I$3-'Yearly HC Ethylene'!$D$3)/10</f>
        <v>0.12952690948446319</v>
      </c>
      <c r="J52" s="43">
        <f>J50*'R&amp;S - Apparel'!$C$8*'R&amp;S - Apparel'!$B$13*'R&amp;S - Apparel'!$C$17*('Yearly HC Ethylene'!J$3-'Yearly HC Ethylene'!$D$3)/10</f>
        <v>0.15869636950036425</v>
      </c>
      <c r="K52" s="43">
        <f>K50*'R&amp;S - Apparel'!$C$8*'R&amp;S - Apparel'!$B$13*'R&amp;S - Apparel'!$C$17*('Yearly HC Ethylene'!K$3-'Yearly HC Ethylene'!$D$3)/10</f>
        <v>0.18903382546985056</v>
      </c>
      <c r="L52" s="43">
        <f>L50*'R&amp;S - Apparel'!$C$8*'R&amp;S - Apparel'!$B$13*'R&amp;S - Apparel'!$C$17*('Yearly HC Ethylene'!L$3-'Yearly HC Ethylene'!$D$3)/10</f>
        <v>0.2205754694911056</v>
      </c>
      <c r="M52" s="43">
        <f>M50*'R&amp;S - Apparel'!$C$8*'R&amp;S - Apparel'!$B$13*'R&amp;S - Apparel'!$C$17*('Yearly HC Ethylene'!M$3-'Yearly HC Ethylene'!$D$3)/10</f>
        <v>0.25335849864422116</v>
      </c>
      <c r="N52" s="43">
        <f>N50*'R&amp;S - Apparel'!$C$8*'R&amp;S - Apparel'!$B$13*'R&amp;S - Apparel'!$C$17*('Yearly HC Ethylene'!N$3-'Yearly HC Ethylene'!$D$3)/10</f>
        <v>0.28742114123972201</v>
      </c>
      <c r="O52" s="43">
        <f>O50*'R&amp;S - Apparel'!$C$8*'R&amp;S - Apparel'!$B$13*('R&amp;S - Apparel'!$C$17+('R&amp;S - Apparel'!$C$18-'R&amp;S - Apparel'!$C$17)*('Yearly HC Ethylene'!O$3-'Yearly HC Ethylene'!$N$3)/10)</f>
        <v>0.33747553298661953</v>
      </c>
      <c r="P52" s="43">
        <f>P50*'R&amp;S - Apparel'!$C$8*'R&amp;S - Apparel'!$B$13*('R&amp;S - Apparel'!$C$17+('R&amp;S - Apparel'!$C$18-'R&amp;S - Apparel'!$C$17)*('Yearly HC Ethylene'!P$3-'Yearly HC Ethylene'!$N$3)/10)</f>
        <v>0.38950545646360007</v>
      </c>
      <c r="Q52" s="43">
        <f>Q50*'R&amp;S - Apparel'!$C$8*'R&amp;S - Apparel'!$B$13*('R&amp;S - Apparel'!$C$17+('R&amp;S - Apparel'!$C$18-'R&amp;S - Apparel'!$C$17)*('Yearly HC Ethylene'!Q$3-'Yearly HC Ethylene'!$N$3)/10)</f>
        <v>0.4435718100165667</v>
      </c>
      <c r="R52" s="43">
        <f>R50*'R&amp;S - Apparel'!$C$8*'R&amp;S - Apparel'!$B$13*('R&amp;S - Apparel'!$C$17+('R&amp;S - Apparel'!$C$18-'R&amp;S - Apparel'!$C$17)*('Yearly HC Ethylene'!R$3-'Yearly HC Ethylene'!$N$3)/10)</f>
        <v>0.49973717851245741</v>
      </c>
      <c r="S52" s="43">
        <f>S50*'R&amp;S - Apparel'!$C$8*'R&amp;S - Apparel'!$B$13*('R&amp;S - Apparel'!$C$17+('R&amp;S - Apparel'!$C$18-'R&amp;S - Apparel'!$C$17)*('Yearly HC Ethylene'!S$3-'Yearly HC Ethylene'!$N$3)/10)</f>
        <v>0.55806587731695823</v>
      </c>
      <c r="T52" s="43">
        <f>T50*'R&amp;S - Apparel'!$C$8*'R&amp;S - Apparel'!$B$13*('R&amp;S - Apparel'!$C$17+('R&amp;S - Apparel'!$C$18-'R&amp;S - Apparel'!$C$17)*('Yearly HC Ethylene'!T$3-'Yearly HC Ethylene'!$N$3)/10)</f>
        <v>0.6186239973755242</v>
      </c>
      <c r="U52" s="43">
        <f>U50*'R&amp;S - Apparel'!$C$8*'R&amp;S - Apparel'!$B$13*('R&amp;S - Apparel'!$C$17+('R&amp;S - Apparel'!$C$18-'R&amp;S - Apparel'!$C$17)*('Yearly HC Ethylene'!U$3-'Yearly HC Ethylene'!$N$3)/10)</f>
        <v>0.68147945142465305</v>
      </c>
      <c r="V52" s="43">
        <f>V50*'R&amp;S - Apparel'!$C$8*'R&amp;S - Apparel'!$B$13*('R&amp;S - Apparel'!$C$17+('R&amp;S - Apparel'!$C$18-'R&amp;S - Apparel'!$C$17)*('Yearly HC Ethylene'!V$3-'Yearly HC Ethylene'!$N$3)/10)</f>
        <v>0.74670202136100261</v>
      </c>
      <c r="W52" s="43">
        <f>W50*'R&amp;S - Apparel'!$C$8*'R&amp;S - Apparel'!$B$13*('R&amp;S - Apparel'!$C$17+('R&amp;S - Apparel'!$C$18-'R&amp;S - Apparel'!$C$17)*('Yearly HC Ethylene'!W$3-'Yearly HC Ethylene'!$N$3)/10)</f>
        <v>0.81436340679660069</v>
      </c>
      <c r="X52" s="43">
        <f>X50*'R&amp;S - Apparel'!$C$8*'R&amp;S - Apparel'!$B$13*('R&amp;S - Apparel'!$C$17+('R&amp;S - Apparel'!$C$18-'R&amp;S - Apparel'!$C$17)*('Yearly HC Ethylene'!X$3-'Yearly HC Ethylene'!$N$3)/10)</f>
        <v>0.88453727482907363</v>
      </c>
      <c r="Y52" s="43">
        <f>Y50*'R&amp;S - Apparel'!$C$8*'R&amp;S - Apparel'!$B$13*('R&amp;S - Apparel'!$C$18+('R&amp;S - Apparel'!$C$19-'R&amp;S - Apparel'!$C$18)*('Yearly HC Ethylene'!Y$3-'Yearly HC Ethylene'!$X$3)/10)</f>
        <v>0.99342381336053265</v>
      </c>
      <c r="Z52" s="43">
        <f>Z50*'R&amp;S - Apparel'!$C$8*'R&amp;S - Apparel'!$B$13*('R&amp;S - Apparel'!$C$18+('R&amp;S - Apparel'!$C$19-'R&amp;S - Apparel'!$C$18)*('Yearly HC Ethylene'!Z$3-'Yearly HC Ethylene'!$X$3)/10)</f>
        <v>1.106493505572113</v>
      </c>
      <c r="AA52" s="43">
        <f>AA50*'R&amp;S - Apparel'!$C$8*'R&amp;S - Apparel'!$B$13*('R&amp;S - Apparel'!$C$18+('R&amp;S - Apparel'!$C$19-'R&amp;S - Apparel'!$C$18)*('Yearly HC Ethylene'!AA$3-'Yearly HC Ethylene'!$X$3)/10)</f>
        <v>1.2238740249548878</v>
      </c>
      <c r="AB52" s="43">
        <f>AB50*'R&amp;S - Apparel'!$C$8*'R&amp;S - Apparel'!$B$13*('R&amp;S - Apparel'!$C$18+('R&amp;S - Apparel'!$C$19-'R&amp;S - Apparel'!$C$18)*('Yearly HC Ethylene'!AB$3-'Yearly HC Ethylene'!$X$3)/10)</f>
        <v>1.345696562515782</v>
      </c>
      <c r="AC52" s="43">
        <f>AC50*'R&amp;S - Apparel'!$C$8*'R&amp;S - Apparel'!$B$13*('R&amp;S - Apparel'!$C$18+('R&amp;S - Apparel'!$C$19-'R&amp;S - Apparel'!$C$18)*('Yearly HC Ethylene'!AC$3-'Yearly HC Ethylene'!$X$3)/10)</f>
        <v>1.4720959182092286</v>
      </c>
      <c r="AD52" s="43">
        <f>AD50*'R&amp;S - Apparel'!$C$8*'R&amp;S - Apparel'!$B$13*('R&amp;S - Apparel'!$C$18+('R&amp;S - Apparel'!$C$19-'R&amp;S - Apparel'!$C$18)*('Yearly HC Ethylene'!AD$3-'Yearly HC Ethylene'!$X$3)/10)</f>
        <v>1.6032105946577304</v>
      </c>
      <c r="AE52" s="43">
        <f>AE50*'R&amp;S - Apparel'!$C$8*'R&amp;S - Apparel'!$B$13*('R&amp;S - Apparel'!$C$18+('R&amp;S - Apparel'!$C$19-'R&amp;S - Apparel'!$C$18)*('Yearly HC Ethylene'!AE$3-'Yearly HC Ethylene'!$X$3)/10)</f>
        <v>1.7391828932171391</v>
      </c>
      <c r="AF52" s="43">
        <f>AF50*'R&amp;S - Apparel'!$C$8*'R&amp;S - Apparel'!$B$13*('R&amp;S - Apparel'!$C$18+('R&amp;S - Apparel'!$C$19-'R&amp;S - Apparel'!$C$18)*('Yearly HC Ethylene'!AF$3-'Yearly HC Ethylene'!$X$3)/10)</f>
        <v>1.8801590124437988</v>
      </c>
      <c r="AG52" s="43">
        <f>AG50*'R&amp;S - Apparel'!$C$8*'R&amp;S - Apparel'!$B$13*('R&amp;S - Apparel'!$C$18+('R&amp;S - Apparel'!$C$19-'R&amp;S - Apparel'!$C$18)*('Yearly HC Ethylene'!AG$3-'Yearly HC Ethylene'!$X$3)/10)</f>
        <v>2.0262891490220691</v>
      </c>
      <c r="AH52" s="43">
        <f>AH50*'R&amp;S - Apparel'!$C$8*'R&amp;S - Apparel'!$B$13*('R&amp;S - Apparel'!$C$18+('R&amp;S - Apparel'!$C$19-'R&amp;S - Apparel'!$C$18)*('Yearly HC Ethylene'!AH$3-'Yearly HC Ethylene'!$X$3)/10)</f>
        <v>2.1777276012121396</v>
      </c>
    </row>
    <row r="53" spans="1:35" outlineLevel="1" x14ac:dyDescent="0.2">
      <c r="B53" s="1" t="s">
        <v>168</v>
      </c>
      <c r="C53" s="54" t="s">
        <v>153</v>
      </c>
      <c r="D53" s="44">
        <f>SUM(D51:D52)</f>
        <v>0</v>
      </c>
      <c r="E53" s="44">
        <f t="shared" ref="E53:AH53" si="13">SUM(E51:E52)</f>
        <v>8.5189170913269233E-2</v>
      </c>
      <c r="F53" s="44">
        <f t="shared" si="13"/>
        <v>0.17395628700489574</v>
      </c>
      <c r="G53" s="44">
        <f t="shared" si="13"/>
        <v>0.26641405354799785</v>
      </c>
      <c r="H53" s="44">
        <f t="shared" si="13"/>
        <v>0.36267833156334095</v>
      </c>
      <c r="I53" s="44">
        <f t="shared" si="13"/>
        <v>0.46286822065771394</v>
      </c>
      <c r="J53" s="44">
        <f t="shared" si="13"/>
        <v>0.56710614394983105</v>
      </c>
      <c r="K53" s="44">
        <f t="shared" si="13"/>
        <v>0.6755179351349071</v>
      </c>
      <c r="L53" s="44">
        <f t="shared" si="13"/>
        <v>0.78823292774027431</v>
      </c>
      <c r="M53" s="44">
        <f t="shared" si="13"/>
        <v>0.90538404662567262</v>
      </c>
      <c r="N53" s="44">
        <f t="shared" si="13"/>
        <v>1.0271079017831242</v>
      </c>
      <c r="O53" s="44">
        <f t="shared" si="13"/>
        <v>1.1142734350018562</v>
      </c>
      <c r="P53" s="44">
        <f t="shared" si="13"/>
        <v>1.2046469660310888</v>
      </c>
      <c r="Q53" s="44">
        <f t="shared" si="13"/>
        <v>1.2983247907787134</v>
      </c>
      <c r="R53" s="44">
        <f t="shared" si="13"/>
        <v>1.3954058348537184</v>
      </c>
      <c r="S53" s="44">
        <f t="shared" si="13"/>
        <v>1.4959917215471401</v>
      </c>
      <c r="T53" s="44">
        <f t="shared" si="13"/>
        <v>1.6001868415085152</v>
      </c>
      <c r="U53" s="44">
        <f t="shared" si="13"/>
        <v>1.7080984241590658</v>
      </c>
      <c r="V53" s="44">
        <f t="shared" si="13"/>
        <v>1.8198366108838337</v>
      </c>
      <c r="W53" s="44">
        <f t="shared" si="13"/>
        <v>1.9355145300459884</v>
      </c>
      <c r="X53" s="44">
        <f t="shared" si="13"/>
        <v>2.0552483738675535</v>
      </c>
      <c r="Y53" s="44">
        <f t="shared" si="13"/>
        <v>2.2020009125023572</v>
      </c>
      <c r="Z53" s="44">
        <f t="shared" si="13"/>
        <v>2.3540106932269462</v>
      </c>
      <c r="AA53" s="44">
        <f t="shared" si="13"/>
        <v>2.511433802339555</v>
      </c>
      <c r="AB53" s="44">
        <f t="shared" si="13"/>
        <v>2.6744305633191803</v>
      </c>
      <c r="AC53" s="44">
        <f t="shared" si="13"/>
        <v>2.8431656459531176</v>
      </c>
      <c r="AD53" s="44">
        <f t="shared" si="13"/>
        <v>3.0178081781792572</v>
      </c>
      <c r="AE53" s="44">
        <f t="shared" si="13"/>
        <v>3.1985318607090294</v>
      </c>
      <c r="AF53" s="44">
        <f t="shared" si="13"/>
        <v>3.3855150844984743</v>
      </c>
      <c r="AG53" s="44">
        <f t="shared" si="13"/>
        <v>3.578941051136503</v>
      </c>
      <c r="AH53" s="44">
        <f t="shared" si="13"/>
        <v>3.7789978962210657</v>
      </c>
    </row>
    <row r="54" spans="1:35" outlineLevel="1" x14ac:dyDescent="0.2">
      <c r="B54" s="1" t="s">
        <v>172</v>
      </c>
      <c r="C54" s="54" t="s">
        <v>153</v>
      </c>
      <c r="D54">
        <v>0</v>
      </c>
      <c r="E54" s="43">
        <f>E50*'R&amp;S - Apparel'!$C$10*'R&amp;S - Apparel'!$B$13*'R&amp;S - Apparel'!$D$17*(E$3-$D$3)/10</f>
        <v>2.3137799507307696E-2</v>
      </c>
      <c r="F54" s="43">
        <f>F50*'R&amp;S - Apparel'!$C$10*'R&amp;S - Apparel'!$B$13*'R&amp;S - Apparel'!$D$17*(F$3-$D$3)/10</f>
        <v>4.7247386593922309E-2</v>
      </c>
      <c r="G54" s="43">
        <f>G50*'R&amp;S - Apparel'!$C$10*'R&amp;S - Apparel'!$B$13*'R&amp;S - Apparel'!$D$17*(G$3-$D$3)/10</f>
        <v>7.2359372568592012E-2</v>
      </c>
      <c r="H54" s="43">
        <f>H50*'R&amp;S - Apparel'!$C$10*'R&amp;S - Apparel'!$B$13*'R&amp;S - Apparel'!$D$17*(H$3-$D$3)/10</f>
        <v>9.8505225856709913E-2</v>
      </c>
      <c r="I54" s="43">
        <f>I50*'R&amp;S - Apparel'!$C$10*'R&amp;S - Apparel'!$B$13*'R&amp;S - Apparel'!$D$17*(I$3-$D$3)/10</f>
        <v>0.12571729449962601</v>
      </c>
      <c r="J54" s="43">
        <f>J50*'R&amp;S - Apparel'!$C$10*'R&amp;S - Apparel'!$B$13*'R&amp;S - Apparel'!$D$17*(J$3-$D$3)/10</f>
        <v>0.1540288292209418</v>
      </c>
      <c r="K54" s="43">
        <f>K50*'R&amp;S - Apparel'!$C$10*'R&amp;S - Apparel'!$B$13*'R&amp;S - Apparel'!$D$17*(K$3-$D$3)/10</f>
        <v>0.18347400707367847</v>
      </c>
      <c r="L54" s="43">
        <f>L50*'R&amp;S - Apparel'!$C$10*'R&amp;S - Apparel'!$B$13*'R&amp;S - Apparel'!$D$17*(L$3-$D$3)/10</f>
        <v>0.21408795568254363</v>
      </c>
      <c r="M54" s="43">
        <f>M50*'R&amp;S - Apparel'!$C$10*'R&amp;S - Apparel'!$B$13*'R&amp;S - Apparel'!$D$17*(M$3-$D$3)/10</f>
        <v>0.2459067780958617</v>
      </c>
      <c r="N54" s="43">
        <f>N50*'R&amp;S - Apparel'!$C$10*'R&amp;S - Apparel'!$B$13*'R&amp;S - Apparel'!$D$17*(N$3-$D$3)/10</f>
        <v>0.27896757826208313</v>
      </c>
      <c r="O54" s="43">
        <f>O50*'R&amp;S - Apparel'!$C$10*'R&amp;S - Apparel'!$B$13*('R&amp;S - Apparel'!$D$17+('R&amp;S - Apparel'!$D$18-'R&amp;S - Apparel'!$D$17)*(O$3-$N$3)/10)</f>
        <v>0.31330848714614545</v>
      </c>
      <c r="P54" s="43">
        <f>P50*'R&amp;S - Apparel'!$C$10*'R&amp;S - Apparel'!$B$13*('R&amp;S - Apparel'!$D$17+('R&amp;S - Apparel'!$D$18-'R&amp;S - Apparel'!$D$17)*(P$3-$N$3)/10)</f>
        <v>0.34896868950132492</v>
      </c>
      <c r="Q54" s="43">
        <f>Q50*'R&amp;S - Apparel'!$C$10*'R&amp;S - Apparel'!$B$13*('R&amp;S - Apparel'!$D$17+('R&amp;S - Apparel'!$D$18-'R&amp;S - Apparel'!$D$17)*(Q$3-$N$3)/10)</f>
        <v>0.38598845131259046</v>
      </c>
      <c r="R54" s="43">
        <f>R50*'R&amp;S - Apparel'!$C$10*'R&amp;S - Apparel'!$B$13*('R&amp;S - Apparel'!$D$17+('R&amp;S - Apparel'!$D$18-'R&amp;S - Apparel'!$D$17)*(R$3-$N$3)/10)</f>
        <v>0.424409147927859</v>
      </c>
      <c r="S54" s="43">
        <f>S50*'R&amp;S - Apparel'!$C$10*'R&amp;S - Apparel'!$B$13*('R&amp;S - Apparel'!$D$17+('R&amp;S - Apparel'!$D$18-'R&amp;S - Apparel'!$D$17)*(S$3-$N$3)/10)</f>
        <v>0.46427329289394004</v>
      </c>
      <c r="T54" s="43">
        <f>T50*'R&amp;S - Apparel'!$C$10*'R&amp;S - Apparel'!$B$13*('R&amp;S - Apparel'!$D$17+('R&amp;S - Apparel'!$D$18-'R&amp;S - Apparel'!$D$17)*(T$3-$N$3)/10)</f>
        <v>0.50562456751436025</v>
      </c>
      <c r="U54" s="43">
        <f>U50*'R&amp;S - Apparel'!$C$10*'R&amp;S - Apparel'!$B$13*('R&amp;S - Apparel'!$D$17+('R&amp;S - Apparel'!$D$18-'R&amp;S - Apparel'!$D$17)*(U$3-$N$3)/10)</f>
        <v>0.54850785114667189</v>
      </c>
      <c r="V54" s="43">
        <f>V50*'R&amp;S - Apparel'!$C$10*'R&amp;S - Apparel'!$B$13*('R&amp;S - Apparel'!$D$17+('R&amp;S - Apparel'!$D$18-'R&amp;S - Apparel'!$D$17)*(V$3-$N$3)/10)</f>
        <v>0.59296925225726682</v>
      </c>
      <c r="W54" s="43">
        <f>W50*'R&amp;S - Apparel'!$C$10*'R&amp;S - Apparel'!$B$13*('R&amp;S - Apparel'!$D$17+('R&amp;S - Apparel'!$D$18-'R&amp;S - Apparel'!$D$17)*(W$3-$N$3)/10)</f>
        <v>0.63905614025215096</v>
      </c>
      <c r="X54" s="43">
        <f>X50*'R&amp;S - Apparel'!$C$10*'R&amp;S - Apparel'!$B$13*('R&amp;S - Apparel'!$D$17+('R&amp;S - Apparel'!$D$18-'R&amp;S - Apparel'!$D$17)*(X$3-$N$3)/10)</f>
        <v>0.68681717810257481</v>
      </c>
      <c r="Y54" s="43">
        <f>Y50*'R&amp;S - Apparel'!$C$10*'R&amp;S - Apparel'!$B$13*('R&amp;S - Apparel'!$D$18+('R&amp;S - Apparel'!$D$19-'R&amp;S - Apparel'!$D$18)*(Y$3-$X$3)/10)</f>
        <v>0.73736484114674827</v>
      </c>
      <c r="Z54" s="43">
        <f>Z50*'R&amp;S - Apparel'!$C$10*'R&amp;S - Apparel'!$B$13*('R&amp;S - Apparel'!$D$18+('R&amp;S - Apparel'!$D$19-'R&amp;S - Apparel'!$D$18)*(Z$3-$X$3)/10)</f>
        <v>0.7897326196632336</v>
      </c>
      <c r="AA54" s="43">
        <f>AA50*'R&amp;S - Apparel'!$C$10*'R&amp;S - Apparel'!$B$13*('R&amp;S - Apparel'!$D$18+('R&amp;S - Apparel'!$D$19-'R&amp;S - Apparel'!$D$18)*(AA$3-$X$3)/10)</f>
        <v>0.8439746669824657</v>
      </c>
      <c r="AB54" s="43">
        <f>AB50*'R&amp;S - Apparel'!$C$10*'R&amp;S - Apparel'!$B$13*('R&amp;S - Apparel'!$D$18+('R&amp;S - Apparel'!$D$19-'R&amp;S - Apparel'!$D$18)*(AB$3-$X$3)/10)</f>
        <v>0.90014660820383408</v>
      </c>
      <c r="AC54" s="43">
        <f>AC50*'R&amp;S - Apparel'!$C$10*'R&amp;S - Apparel'!$B$13*('R&amp;S - Apparel'!$D$18+('R&amp;S - Apparel'!$D$19-'R&amp;S - Apparel'!$D$18)*(AC$3-$X$3)/10)</f>
        <v>0.9583055781283607</v>
      </c>
      <c r="AD54" s="43">
        <f>AD50*'R&amp;S - Apparel'!$C$10*'R&amp;S - Apparel'!$B$13*('R&amp;S - Apparel'!$D$18+('R&amp;S - Apparel'!$D$19-'R&amp;S - Apparel'!$D$18)*(AD$3-$X$3)/10)</f>
        <v>1.0185102601354994</v>
      </c>
      <c r="AE54" s="43">
        <f>AE50*'R&amp;S - Apparel'!$C$10*'R&amp;S - Apparel'!$B$13*('R&amp;S - Apparel'!$D$18+('R&amp;S - Apparel'!$D$19-'R&amp;S - Apparel'!$D$18)*(AE$3-$X$3)/10)</f>
        <v>1.0808209260269832</v>
      </c>
      <c r="AF54" s="43">
        <f>AF50*'R&amp;S - Apparel'!$C$10*'R&amp;S - Apparel'!$B$13*('R&amp;S - Apparel'!$D$18+('R&amp;S - Apparel'!$D$19-'R&amp;S - Apparel'!$D$18)*(AF$3-$X$3)/10)</f>
        <v>1.1452994768611899</v>
      </c>
      <c r="AG54" s="43">
        <f>AG50*'R&amp;S - Apparel'!$C$10*'R&amp;S - Apparel'!$B$13*('R&amp;S - Apparel'!$D$18+('R&amp;S - Apparel'!$D$19-'R&amp;S - Apparel'!$D$18)*(AG$3-$X$3)/10)</f>
        <v>1.2120094848020551</v>
      </c>
      <c r="AH54" s="43">
        <f>AH50*'R&amp;S - Apparel'!$C$10*'R&amp;S - Apparel'!$B$13*('R&amp;S - Apparel'!$D$18+('R&amp;S - Apparel'!$D$19-'R&amp;S - Apparel'!$D$18)*(AH$3-$X$3)/10)</f>
        <v>1.2810162360071411</v>
      </c>
    </row>
    <row r="55" spans="1:35" x14ac:dyDescent="0.2">
      <c r="B55" s="1" t="s">
        <v>197</v>
      </c>
      <c r="C55" s="65" t="s">
        <v>153</v>
      </c>
      <c r="D55" s="66">
        <f>D50-D53-D54</f>
        <v>3.4336211538461541</v>
      </c>
      <c r="E55" s="66">
        <f t="shared" ref="E55:AG55" si="14">E50-E53-E54</f>
        <v>3.3974002276563464</v>
      </c>
      <c r="F55" s="66">
        <f t="shared" si="14"/>
        <v>3.3581437956377203</v>
      </c>
      <c r="G55" s="66">
        <f t="shared" si="14"/>
        <v>3.3157403399739156</v>
      </c>
      <c r="H55" s="66">
        <f t="shared" si="14"/>
        <v>3.2700749977583543</v>
      </c>
      <c r="I55" s="66">
        <f t="shared" si="14"/>
        <v>3.2210294696798116</v>
      </c>
      <c r="J55" s="66">
        <f t="shared" si="14"/>
        <v>3.1684819263479587</v>
      </c>
      <c r="K55" s="66">
        <f t="shared" si="14"/>
        <v>3.1123069122000393</v>
      </c>
      <c r="L55" s="66">
        <f t="shared" si="14"/>
        <v>3.0523752469283876</v>
      </c>
      <c r="M55" s="66">
        <f t="shared" si="14"/>
        <v>2.988553924367046</v>
      </c>
      <c r="N55" s="66">
        <f t="shared" si="14"/>
        <v>2.9207060087742334</v>
      </c>
      <c r="O55" s="66">
        <f t="shared" si="14"/>
        <v>2.887961977936647</v>
      </c>
      <c r="P55" s="66">
        <f t="shared" si="14"/>
        <v>2.8525546664540116</v>
      </c>
      <c r="Q55" s="66">
        <f t="shared" si="14"/>
        <v>2.8143866566568359</v>
      </c>
      <c r="R55" s="66">
        <f t="shared" si="14"/>
        <v>2.7733576138402731</v>
      </c>
      <c r="S55" s="66">
        <f t="shared" si="14"/>
        <v>2.7293642067098287</v>
      </c>
      <c r="T55" s="66">
        <f t="shared" si="14"/>
        <v>2.6823000257722027</v>
      </c>
      <c r="U55" s="66">
        <f t="shared" si="14"/>
        <v>2.6320554996200363</v>
      </c>
      <c r="V55" s="66">
        <f t="shared" si="14"/>
        <v>2.5785178090581145</v>
      </c>
      <c r="W55" s="66">
        <f t="shared" si="14"/>
        <v>2.5215707990172591</v>
      </c>
      <c r="X55" s="66">
        <f t="shared" si="14"/>
        <v>2.4610948882008925</v>
      </c>
      <c r="Y55" s="66">
        <f t="shared" si="14"/>
        <v>2.3730610557655067</v>
      </c>
      <c r="Z55" s="66">
        <f t="shared" si="14"/>
        <v>2.2802444595221387</v>
      </c>
      <c r="AA55" s="66">
        <f t="shared" si="14"/>
        <v>2.1824830463109555</v>
      </c>
      <c r="AB55" s="66">
        <f t="shared" si="14"/>
        <v>2.0796100659382546</v>
      </c>
      <c r="AC55" s="66">
        <f t="shared" si="14"/>
        <v>1.9714539453664768</v>
      </c>
      <c r="AD55" s="66">
        <f t="shared" si="14"/>
        <v>1.8578381596916049</v>
      </c>
      <c r="AE55" s="66">
        <f t="shared" si="14"/>
        <v>1.7385810998284823</v>
      </c>
      <c r="AF55" s="66">
        <f t="shared" si="14"/>
        <v>1.6134959368226844</v>
      </c>
      <c r="AG55" s="66">
        <f t="shared" si="14"/>
        <v>1.4823904827056191</v>
      </c>
      <c r="AH55" s="66">
        <f>AH50-AH53-AH54</f>
        <v>1.3450670478074978</v>
      </c>
    </row>
    <row r="56" spans="1:35" s="67" customFormat="1" x14ac:dyDescent="0.2">
      <c r="A56" s="687" t="s">
        <v>257</v>
      </c>
      <c r="B56" s="58" t="s">
        <v>258</v>
      </c>
      <c r="C56" s="59" t="s">
        <v>153</v>
      </c>
      <c r="D56" s="60">
        <f>D55*('Demand Breakdown - Ethylene'!$C$77)</f>
        <v>0</v>
      </c>
      <c r="E56" s="60">
        <f>E55*('Demand Breakdown - Ethylene'!$C$77)</f>
        <v>0</v>
      </c>
      <c r="F56" s="60">
        <f>F55*('Demand Breakdown - Ethylene'!$C$77)</f>
        <v>0</v>
      </c>
      <c r="G56" s="60">
        <f>G55*('Demand Breakdown - Ethylene'!$C$77)</f>
        <v>0</v>
      </c>
      <c r="H56" s="60">
        <f>H55*('Demand Breakdown - Ethylene'!$C$77)</f>
        <v>0</v>
      </c>
      <c r="I56" s="60">
        <f>I55*('Demand Breakdown - Ethylene'!$C$77)</f>
        <v>0</v>
      </c>
      <c r="J56" s="60">
        <f>J55*('Demand Breakdown - Ethylene'!$C$77)</f>
        <v>0</v>
      </c>
      <c r="K56" s="60">
        <f>K55*('Demand Breakdown - Ethylene'!$C$77)</f>
        <v>0</v>
      </c>
      <c r="L56" s="60">
        <f>L55*('Demand Breakdown - Ethylene'!$C$77)</f>
        <v>0</v>
      </c>
      <c r="M56" s="60">
        <f>M55*('Demand Breakdown - Ethylene'!$C$77)</f>
        <v>0</v>
      </c>
      <c r="N56" s="60">
        <f>N55*('Demand Breakdown - Ethylene'!$C$77)</f>
        <v>0</v>
      </c>
      <c r="O56" s="60">
        <f>O55*('Demand Breakdown - Ethylene'!$C$77)</f>
        <v>0</v>
      </c>
      <c r="P56" s="60">
        <f>P55*('Demand Breakdown - Ethylene'!$C$77)</f>
        <v>0</v>
      </c>
      <c r="Q56" s="60">
        <f>Q55*('Demand Breakdown - Ethylene'!$C$77)</f>
        <v>0</v>
      </c>
      <c r="R56" s="60">
        <f>R55*('Demand Breakdown - Ethylene'!$C$77)</f>
        <v>0</v>
      </c>
      <c r="S56" s="60">
        <f>S55*('Demand Breakdown - Ethylene'!$C$77)</f>
        <v>0</v>
      </c>
      <c r="T56" s="60">
        <f>T55*('Demand Breakdown - Ethylene'!$C$77)</f>
        <v>0</v>
      </c>
      <c r="U56" s="60">
        <f>U55*('Demand Breakdown - Ethylene'!$C$77)</f>
        <v>0</v>
      </c>
      <c r="V56" s="60">
        <f>V55*('Demand Breakdown - Ethylene'!$C$77)</f>
        <v>0</v>
      </c>
      <c r="W56" s="60">
        <f>W55*('Demand Breakdown - Ethylene'!$C$77)</f>
        <v>0</v>
      </c>
      <c r="X56" s="60">
        <f>X55*('Demand Breakdown - Ethylene'!$C$77)</f>
        <v>0</v>
      </c>
      <c r="Y56" s="60">
        <f>Y55*('Demand Breakdown - Ethylene'!$C$77)</f>
        <v>0</v>
      </c>
      <c r="Z56" s="60">
        <f>Z55*('Demand Breakdown - Ethylene'!$C$77)</f>
        <v>0</v>
      </c>
      <c r="AA56" s="60">
        <f>AA55*('Demand Breakdown - Ethylene'!$C$77)</f>
        <v>0</v>
      </c>
      <c r="AB56" s="60">
        <f>AB55*('Demand Breakdown - Ethylene'!$C$77)</f>
        <v>0</v>
      </c>
      <c r="AC56" s="60">
        <f>AC55*('Demand Breakdown - Ethylene'!$C$77)</f>
        <v>0</v>
      </c>
      <c r="AD56" s="60">
        <f>AD55*('Demand Breakdown - Ethylene'!$C$77)</f>
        <v>0</v>
      </c>
      <c r="AE56" s="60">
        <f>AE55*('Demand Breakdown - Ethylene'!$C$77)</f>
        <v>0</v>
      </c>
      <c r="AF56" s="60">
        <f>AF55*('Demand Breakdown - Ethylene'!$C$77)</f>
        <v>0</v>
      </c>
      <c r="AG56" s="60">
        <f>AG55*('Demand Breakdown - Ethylene'!$C$77)</f>
        <v>0</v>
      </c>
      <c r="AH56" s="60">
        <f>AH55*('Demand Breakdown - Ethylene'!$C$77)</f>
        <v>0</v>
      </c>
      <c r="AI56" s="60"/>
    </row>
    <row r="57" spans="1:35" x14ac:dyDescent="0.2">
      <c r="A57" s="688"/>
      <c r="B57" s="1" t="s">
        <v>260</v>
      </c>
      <c r="C57" s="54" t="s">
        <v>153</v>
      </c>
      <c r="D57" s="44">
        <f>D61</f>
        <v>3.4336211538461541</v>
      </c>
      <c r="E57" s="44">
        <f t="shared" ref="E57:AH57" si="15">E61</f>
        <v>3.3974002276563464</v>
      </c>
      <c r="F57" s="44">
        <f t="shared" si="15"/>
        <v>3.3581437956377203</v>
      </c>
      <c r="G57" s="44">
        <f t="shared" si="15"/>
        <v>3.3157403399739156</v>
      </c>
      <c r="H57" s="44">
        <f t="shared" si="15"/>
        <v>3.2700749977583543</v>
      </c>
      <c r="I57" s="44">
        <f t="shared" si="15"/>
        <v>3.2210294696798116</v>
      </c>
      <c r="J57" s="44">
        <f t="shared" si="15"/>
        <v>3.1684819263479587</v>
      </c>
      <c r="K57" s="44">
        <f t="shared" si="15"/>
        <v>3.1123069122000393</v>
      </c>
      <c r="L57" s="44">
        <f t="shared" si="15"/>
        <v>3.0523752469283876</v>
      </c>
      <c r="M57" s="44">
        <f t="shared" si="15"/>
        <v>2.988553924367046</v>
      </c>
      <c r="N57" s="44">
        <f t="shared" si="15"/>
        <v>2.9207060087742334</v>
      </c>
      <c r="O57" s="44">
        <f t="shared" si="15"/>
        <v>2.887961977936647</v>
      </c>
      <c r="P57" s="44">
        <f t="shared" si="15"/>
        <v>2.8525546664540116</v>
      </c>
      <c r="Q57" s="44">
        <f t="shared" si="15"/>
        <v>2.8143866566568359</v>
      </c>
      <c r="R57" s="44">
        <f t="shared" si="15"/>
        <v>2.7733576138402731</v>
      </c>
      <c r="S57" s="44">
        <f t="shared" si="15"/>
        <v>2.7293642067098287</v>
      </c>
      <c r="T57" s="44">
        <f t="shared" si="15"/>
        <v>2.6823000257722027</v>
      </c>
      <c r="U57" s="44">
        <f t="shared" si="15"/>
        <v>2.6320554996200363</v>
      </c>
      <c r="V57" s="44">
        <f t="shared" si="15"/>
        <v>2.5785178090581145</v>
      </c>
      <c r="W57" s="44">
        <f t="shared" si="15"/>
        <v>2.5215707990172591</v>
      </c>
      <c r="X57" s="44">
        <f t="shared" si="15"/>
        <v>2.4610948882008925</v>
      </c>
      <c r="Y57" s="44">
        <f t="shared" si="15"/>
        <v>2.3730610557655067</v>
      </c>
      <c r="Z57" s="44">
        <f t="shared" si="15"/>
        <v>2.2802444595221387</v>
      </c>
      <c r="AA57" s="44">
        <f t="shared" si="15"/>
        <v>2.1824830463109555</v>
      </c>
      <c r="AB57" s="44">
        <f t="shared" si="15"/>
        <v>2.0796100659382546</v>
      </c>
      <c r="AC57" s="44">
        <f t="shared" si="15"/>
        <v>1.9714539453664768</v>
      </c>
      <c r="AD57" s="44">
        <f t="shared" si="15"/>
        <v>1.8578381596916049</v>
      </c>
      <c r="AE57" s="44">
        <f t="shared" si="15"/>
        <v>1.7385810998284823</v>
      </c>
      <c r="AF57" s="44">
        <f t="shared" si="15"/>
        <v>1.6134959368226844</v>
      </c>
      <c r="AG57" s="44">
        <f t="shared" si="15"/>
        <v>1.4823904827056191</v>
      </c>
      <c r="AH57" s="44">
        <f t="shared" si="15"/>
        <v>1.3450670478074978</v>
      </c>
      <c r="AI57" s="44"/>
    </row>
    <row r="58" spans="1:35" x14ac:dyDescent="0.2">
      <c r="A58" s="688"/>
      <c r="B58" s="1" t="s">
        <v>262</v>
      </c>
      <c r="C58" s="54" t="s">
        <v>153</v>
      </c>
      <c r="D58" s="44">
        <f>D60/('Demand Breakdown - Ethylene'!$M$14)</f>
        <v>0</v>
      </c>
      <c r="E58" s="44">
        <f>E60/('Demand Breakdown - Ethylene'!$M$14)</f>
        <v>0</v>
      </c>
      <c r="F58" s="44">
        <f>F60/('Demand Breakdown - Ethylene'!$M$14)</f>
        <v>0</v>
      </c>
      <c r="G58" s="44">
        <f>G60/('Demand Breakdown - Ethylene'!$M$14)</f>
        <v>0</v>
      </c>
      <c r="H58" s="44">
        <f>H60/('Demand Breakdown - Ethylene'!$M$14)</f>
        <v>0</v>
      </c>
      <c r="I58" s="44">
        <f>I60/('Demand Breakdown - Ethylene'!$M$14)</f>
        <v>0</v>
      </c>
      <c r="J58" s="44">
        <f>J60/('Demand Breakdown - Ethylene'!$M$14)</f>
        <v>0</v>
      </c>
      <c r="K58" s="44">
        <f>K60/('Demand Breakdown - Ethylene'!$M$14)</f>
        <v>0</v>
      </c>
      <c r="L58" s="44">
        <f>L60/('Demand Breakdown - Ethylene'!$M$14)</f>
        <v>0</v>
      </c>
      <c r="M58" s="44">
        <f>M60/('Demand Breakdown - Ethylene'!$M$14)</f>
        <v>0</v>
      </c>
      <c r="N58" s="44">
        <f>N60/('Demand Breakdown - Ethylene'!$M$14)</f>
        <v>0</v>
      </c>
      <c r="O58" s="44">
        <f>O60/('Demand Breakdown - Ethylene'!$M$14)</f>
        <v>0</v>
      </c>
      <c r="P58" s="44">
        <f>P60/('Demand Breakdown - Ethylene'!$M$14)</f>
        <v>0</v>
      </c>
      <c r="Q58" s="44">
        <f>Q60/('Demand Breakdown - Ethylene'!$M$14)</f>
        <v>0</v>
      </c>
      <c r="R58" s="44">
        <f>R60/('Demand Breakdown - Ethylene'!$M$14)</f>
        <v>0</v>
      </c>
      <c r="S58" s="44">
        <f>S60/('Demand Breakdown - Ethylene'!$M$14)</f>
        <v>0</v>
      </c>
      <c r="T58" s="44">
        <f>T60/('Demand Breakdown - Ethylene'!$M$14)</f>
        <v>0</v>
      </c>
      <c r="U58" s="44">
        <f>U60/('Demand Breakdown - Ethylene'!$M$14)</f>
        <v>0</v>
      </c>
      <c r="V58" s="44">
        <f>V60/('Demand Breakdown - Ethylene'!$M$14)</f>
        <v>0</v>
      </c>
      <c r="W58" s="44">
        <f>W60/('Demand Breakdown - Ethylene'!$M$14)</f>
        <v>0</v>
      </c>
      <c r="X58" s="44">
        <f>X60/('Demand Breakdown - Ethylene'!$M$14)</f>
        <v>0</v>
      </c>
      <c r="Y58" s="44">
        <f>Y60/('Demand Breakdown - Ethylene'!$M$14)</f>
        <v>0</v>
      </c>
      <c r="Z58" s="44">
        <f>Z60/('Demand Breakdown - Ethylene'!$M$14)</f>
        <v>0</v>
      </c>
      <c r="AA58" s="44">
        <f>AA60/('Demand Breakdown - Ethylene'!$M$14)</f>
        <v>0</v>
      </c>
      <c r="AB58" s="44">
        <f>AB60/('Demand Breakdown - Ethylene'!$M$14)</f>
        <v>0</v>
      </c>
      <c r="AC58" s="44">
        <f>AC60/('Demand Breakdown - Ethylene'!$M$14)</f>
        <v>0</v>
      </c>
      <c r="AD58" s="44">
        <f>AD60/('Demand Breakdown - Ethylene'!$M$14)</f>
        <v>0</v>
      </c>
      <c r="AE58" s="44">
        <f>AE60/('Demand Breakdown - Ethylene'!$M$14)</f>
        <v>0</v>
      </c>
      <c r="AF58" s="44">
        <f>AF60/('Demand Breakdown - Ethylene'!$M$14)</f>
        <v>0</v>
      </c>
      <c r="AG58" s="44">
        <f>AG60/('Demand Breakdown - Ethylene'!$M$14)</f>
        <v>0</v>
      </c>
      <c r="AH58" s="44">
        <f>AH60/('Demand Breakdown - Ethylene'!$M$14)</f>
        <v>0</v>
      </c>
      <c r="AI58" s="44"/>
    </row>
    <row r="59" spans="1:35" s="68" customFormat="1" x14ac:dyDescent="0.2">
      <c r="A59" s="689"/>
      <c r="B59" s="62" t="s">
        <v>248</v>
      </c>
      <c r="C59" s="283" t="s">
        <v>153</v>
      </c>
      <c r="D59" s="284">
        <f>D55-SUM(D57,D56,D58)</f>
        <v>0</v>
      </c>
      <c r="E59" s="284">
        <f t="shared" ref="E59:AH59" si="16">E55-SUM(E57,E56,E58)</f>
        <v>0</v>
      </c>
      <c r="F59" s="284">
        <f t="shared" si="16"/>
        <v>0</v>
      </c>
      <c r="G59" s="284">
        <f t="shared" si="16"/>
        <v>0</v>
      </c>
      <c r="H59" s="284">
        <f t="shared" si="16"/>
        <v>0</v>
      </c>
      <c r="I59" s="284">
        <f t="shared" si="16"/>
        <v>0</v>
      </c>
      <c r="J59" s="284">
        <f t="shared" si="16"/>
        <v>0</v>
      </c>
      <c r="K59" s="284">
        <f t="shared" si="16"/>
        <v>0</v>
      </c>
      <c r="L59" s="284">
        <f t="shared" si="16"/>
        <v>0</v>
      </c>
      <c r="M59" s="284">
        <f t="shared" si="16"/>
        <v>0</v>
      </c>
      <c r="N59" s="284">
        <f t="shared" si="16"/>
        <v>0</v>
      </c>
      <c r="O59" s="284">
        <f t="shared" si="16"/>
        <v>0</v>
      </c>
      <c r="P59" s="284">
        <f t="shared" si="16"/>
        <v>0</v>
      </c>
      <c r="Q59" s="284">
        <f t="shared" si="16"/>
        <v>0</v>
      </c>
      <c r="R59" s="284">
        <f t="shared" si="16"/>
        <v>0</v>
      </c>
      <c r="S59" s="284">
        <f t="shared" si="16"/>
        <v>0</v>
      </c>
      <c r="T59" s="284">
        <f t="shared" si="16"/>
        <v>0</v>
      </c>
      <c r="U59" s="284">
        <f t="shared" si="16"/>
        <v>0</v>
      </c>
      <c r="V59" s="284">
        <f t="shared" si="16"/>
        <v>0</v>
      </c>
      <c r="W59" s="284">
        <f t="shared" si="16"/>
        <v>0</v>
      </c>
      <c r="X59" s="284">
        <f t="shared" si="16"/>
        <v>0</v>
      </c>
      <c r="Y59" s="284">
        <f t="shared" si="16"/>
        <v>0</v>
      </c>
      <c r="Z59" s="284">
        <f t="shared" si="16"/>
        <v>0</v>
      </c>
      <c r="AA59" s="284">
        <f t="shared" si="16"/>
        <v>0</v>
      </c>
      <c r="AB59" s="284">
        <f t="shared" si="16"/>
        <v>0</v>
      </c>
      <c r="AC59" s="284">
        <f t="shared" si="16"/>
        <v>0</v>
      </c>
      <c r="AD59" s="284">
        <f t="shared" si="16"/>
        <v>0</v>
      </c>
      <c r="AE59" s="284">
        <f t="shared" si="16"/>
        <v>0</v>
      </c>
      <c r="AF59" s="284">
        <f t="shared" si="16"/>
        <v>0</v>
      </c>
      <c r="AG59" s="284">
        <f t="shared" si="16"/>
        <v>0</v>
      </c>
      <c r="AH59" s="284">
        <f t="shared" si="16"/>
        <v>0</v>
      </c>
      <c r="AI59" s="284"/>
    </row>
    <row r="60" spans="1:35" s="67" customFormat="1" x14ac:dyDescent="0.2">
      <c r="A60" s="687" t="s">
        <v>263</v>
      </c>
      <c r="B60" s="58" t="s">
        <v>264</v>
      </c>
      <c r="C60" s="59" t="s">
        <v>153</v>
      </c>
      <c r="D60" s="60">
        <f>D55*'Demand Breakdown - Ethylene'!$E$77</f>
        <v>0</v>
      </c>
      <c r="E60" s="60">
        <f>E55*'Demand Breakdown - Ethylene'!$E$77</f>
        <v>0</v>
      </c>
      <c r="F60" s="60">
        <f>F55*'Demand Breakdown - Ethylene'!$E$77</f>
        <v>0</v>
      </c>
      <c r="G60" s="60">
        <f>G55*'Demand Breakdown - Ethylene'!$E$77</f>
        <v>0</v>
      </c>
      <c r="H60" s="60">
        <f>H55*'Demand Breakdown - Ethylene'!$E$77</f>
        <v>0</v>
      </c>
      <c r="I60" s="60">
        <f>I55*'Demand Breakdown - Ethylene'!$E$77</f>
        <v>0</v>
      </c>
      <c r="J60" s="60">
        <f>J55*'Demand Breakdown - Ethylene'!$E$77</f>
        <v>0</v>
      </c>
      <c r="K60" s="60">
        <f>K55*'Demand Breakdown - Ethylene'!$E$77</f>
        <v>0</v>
      </c>
      <c r="L60" s="60">
        <f>L55*'Demand Breakdown - Ethylene'!$E$77</f>
        <v>0</v>
      </c>
      <c r="M60" s="60">
        <f>M55*'Demand Breakdown - Ethylene'!$E$77</f>
        <v>0</v>
      </c>
      <c r="N60" s="60">
        <f>N55*'Demand Breakdown - Ethylene'!$E$77</f>
        <v>0</v>
      </c>
      <c r="O60" s="60">
        <f>O55*'Demand Breakdown - Ethylene'!$E$77</f>
        <v>0</v>
      </c>
      <c r="P60" s="60">
        <f>P55*'Demand Breakdown - Ethylene'!$E$77</f>
        <v>0</v>
      </c>
      <c r="Q60" s="60">
        <f>Q55*'Demand Breakdown - Ethylene'!$E$77</f>
        <v>0</v>
      </c>
      <c r="R60" s="60">
        <f>R55*'Demand Breakdown - Ethylene'!$E$77</f>
        <v>0</v>
      </c>
      <c r="S60" s="60">
        <f>S55*'Demand Breakdown - Ethylene'!$E$77</f>
        <v>0</v>
      </c>
      <c r="T60" s="60">
        <f>T55*'Demand Breakdown - Ethylene'!$E$77</f>
        <v>0</v>
      </c>
      <c r="U60" s="60">
        <f>U55*'Demand Breakdown - Ethylene'!$E$77</f>
        <v>0</v>
      </c>
      <c r="V60" s="60">
        <f>V55*'Demand Breakdown - Ethylene'!$E$77</f>
        <v>0</v>
      </c>
      <c r="W60" s="60">
        <f>W55*'Demand Breakdown - Ethylene'!$E$77</f>
        <v>0</v>
      </c>
      <c r="X60" s="60">
        <f>X55*'Demand Breakdown - Ethylene'!$E$77</f>
        <v>0</v>
      </c>
      <c r="Y60" s="60">
        <f>Y55*'Demand Breakdown - Ethylene'!$E$77</f>
        <v>0</v>
      </c>
      <c r="Z60" s="60">
        <f>Z55*'Demand Breakdown - Ethylene'!$E$77</f>
        <v>0</v>
      </c>
      <c r="AA60" s="60">
        <f>AA55*'Demand Breakdown - Ethylene'!$E$77</f>
        <v>0</v>
      </c>
      <c r="AB60" s="60">
        <f>AB55*'Demand Breakdown - Ethylene'!$E$77</f>
        <v>0</v>
      </c>
      <c r="AC60" s="60">
        <f>AC55*'Demand Breakdown - Ethylene'!$E$77</f>
        <v>0</v>
      </c>
      <c r="AD60" s="60">
        <f>AD55*'Demand Breakdown - Ethylene'!$E$77</f>
        <v>0</v>
      </c>
      <c r="AE60" s="60">
        <f>AE55*'Demand Breakdown - Ethylene'!$E$77</f>
        <v>0</v>
      </c>
      <c r="AF60" s="60">
        <f>AF55*'Demand Breakdown - Ethylene'!$E$77</f>
        <v>0</v>
      </c>
      <c r="AG60" s="60">
        <f>AG55*'Demand Breakdown - Ethylene'!$E$77</f>
        <v>0</v>
      </c>
      <c r="AH60" s="60">
        <f>AH55*'Demand Breakdown - Ethylene'!$E$77</f>
        <v>0</v>
      </c>
      <c r="AI60" s="60"/>
    </row>
    <row r="61" spans="1:35" s="68" customFormat="1" x14ac:dyDescent="0.2">
      <c r="A61" s="689"/>
      <c r="B61" s="62" t="s">
        <v>266</v>
      </c>
      <c r="C61" s="283" t="s">
        <v>153</v>
      </c>
      <c r="D61" s="284">
        <f>D55*'Demand Breakdown - Ethylene'!$D$77</f>
        <v>3.4336211538461541</v>
      </c>
      <c r="E61" s="284">
        <f>E55*'Demand Breakdown - Ethylene'!$D$77</f>
        <v>3.3974002276563464</v>
      </c>
      <c r="F61" s="284">
        <f>F55*'Demand Breakdown - Ethylene'!$D$77</f>
        <v>3.3581437956377203</v>
      </c>
      <c r="G61" s="284">
        <f>G55*'Demand Breakdown - Ethylene'!$D$77</f>
        <v>3.3157403399739156</v>
      </c>
      <c r="H61" s="284">
        <f>H55*'Demand Breakdown - Ethylene'!$D$77</f>
        <v>3.2700749977583543</v>
      </c>
      <c r="I61" s="284">
        <f>I55*'Demand Breakdown - Ethylene'!$D$77</f>
        <v>3.2210294696798116</v>
      </c>
      <c r="J61" s="284">
        <f>J55*'Demand Breakdown - Ethylene'!$D$77</f>
        <v>3.1684819263479587</v>
      </c>
      <c r="K61" s="284">
        <f>K55*'Demand Breakdown - Ethylene'!$D$77</f>
        <v>3.1123069122000393</v>
      </c>
      <c r="L61" s="284">
        <f>L55*'Demand Breakdown - Ethylene'!$D$77</f>
        <v>3.0523752469283876</v>
      </c>
      <c r="M61" s="284">
        <f>M55*'Demand Breakdown - Ethylene'!$D$77</f>
        <v>2.988553924367046</v>
      </c>
      <c r="N61" s="284">
        <f>N55*'Demand Breakdown - Ethylene'!$D$77</f>
        <v>2.9207060087742334</v>
      </c>
      <c r="O61" s="284">
        <f>O55*'Demand Breakdown - Ethylene'!$D$77</f>
        <v>2.887961977936647</v>
      </c>
      <c r="P61" s="284">
        <f>P55*'Demand Breakdown - Ethylene'!$D$77</f>
        <v>2.8525546664540116</v>
      </c>
      <c r="Q61" s="284">
        <f>Q55*'Demand Breakdown - Ethylene'!$D$77</f>
        <v>2.8143866566568359</v>
      </c>
      <c r="R61" s="284">
        <f>R55*'Demand Breakdown - Ethylene'!$D$77</f>
        <v>2.7733576138402731</v>
      </c>
      <c r="S61" s="284">
        <f>S55*'Demand Breakdown - Ethylene'!$D$77</f>
        <v>2.7293642067098287</v>
      </c>
      <c r="T61" s="284">
        <f>T55*'Demand Breakdown - Ethylene'!$D$77</f>
        <v>2.6823000257722027</v>
      </c>
      <c r="U61" s="284">
        <f>U55*'Demand Breakdown - Ethylene'!$D$77</f>
        <v>2.6320554996200363</v>
      </c>
      <c r="V61" s="284">
        <f>V55*'Demand Breakdown - Ethylene'!$D$77</f>
        <v>2.5785178090581145</v>
      </c>
      <c r="W61" s="284">
        <f>W55*'Demand Breakdown - Ethylene'!$D$77</f>
        <v>2.5215707990172591</v>
      </c>
      <c r="X61" s="284">
        <f>X55*'Demand Breakdown - Ethylene'!$D$77</f>
        <v>2.4610948882008925</v>
      </c>
      <c r="Y61" s="284">
        <f>Y55*'Demand Breakdown - Ethylene'!$D$77</f>
        <v>2.3730610557655067</v>
      </c>
      <c r="Z61" s="284">
        <f>Z55*'Demand Breakdown - Ethylene'!$D$77</f>
        <v>2.2802444595221387</v>
      </c>
      <c r="AA61" s="284">
        <f>AA55*'Demand Breakdown - Ethylene'!$D$77</f>
        <v>2.1824830463109555</v>
      </c>
      <c r="AB61" s="284">
        <f>AB55*'Demand Breakdown - Ethylene'!$D$77</f>
        <v>2.0796100659382546</v>
      </c>
      <c r="AC61" s="284">
        <f>AC55*'Demand Breakdown - Ethylene'!$D$77</f>
        <v>1.9714539453664768</v>
      </c>
      <c r="AD61" s="284">
        <f>AD55*'Demand Breakdown - Ethylene'!$D$77</f>
        <v>1.8578381596916049</v>
      </c>
      <c r="AE61" s="284">
        <f>AE55*'Demand Breakdown - Ethylene'!$D$77</f>
        <v>1.7385810998284823</v>
      </c>
      <c r="AF61" s="284">
        <f>AF55*'Demand Breakdown - Ethylene'!$D$77</f>
        <v>1.6134959368226844</v>
      </c>
      <c r="AG61" s="284">
        <f>AG55*'Demand Breakdown - Ethylene'!$D$77</f>
        <v>1.4823904827056191</v>
      </c>
      <c r="AH61" s="284">
        <f>AH55*'Demand Breakdown - Ethylene'!$D$77</f>
        <v>1.3450670478074978</v>
      </c>
      <c r="AI61" s="284"/>
    </row>
    <row r="62" spans="1:35" s="67" customFormat="1" x14ac:dyDescent="0.2">
      <c r="A62" s="58" t="s">
        <v>208</v>
      </c>
      <c r="B62" s="58" t="s">
        <v>199</v>
      </c>
      <c r="C62" s="59" t="s">
        <v>153</v>
      </c>
      <c r="D62" s="60">
        <f t="shared" ref="D62:AH62" si="17">D4-D12-D26-D40-D50</f>
        <v>26.799786402018107</v>
      </c>
      <c r="E62" s="60">
        <f t="shared" si="17"/>
        <v>28.769681809966333</v>
      </c>
      <c r="F62" s="60">
        <f t="shared" si="17"/>
        <v>30.807720797164642</v>
      </c>
      <c r="G62" s="60">
        <f t="shared" si="17"/>
        <v>32.915880342003298</v>
      </c>
      <c r="H62" s="60">
        <f t="shared" si="17"/>
        <v>35.096190748991432</v>
      </c>
      <c r="I62" s="60">
        <f t="shared" si="17"/>
        <v>37.35073703588138</v>
      </c>
      <c r="J62" s="60">
        <f t="shared" si="17"/>
        <v>39.180145460280585</v>
      </c>
      <c r="K62" s="60">
        <f t="shared" si="17"/>
        <v>41.064673760592719</v>
      </c>
      <c r="L62" s="60">
        <f t="shared" si="17"/>
        <v>43.005756065858371</v>
      </c>
      <c r="M62" s="60">
        <f t="shared" si="17"/>
        <v>45.004861388134636</v>
      </c>
      <c r="N62" s="60">
        <f t="shared" si="17"/>
        <v>47.063494440626691</v>
      </c>
      <c r="O62" s="60">
        <f t="shared" si="17"/>
        <v>47.110034965693075</v>
      </c>
      <c r="P62" s="60">
        <f t="shared" si="17"/>
        <v>47.1488823667829</v>
      </c>
      <c r="Q62" s="60">
        <f t="shared" si="17"/>
        <v>47.179810597404305</v>
      </c>
      <c r="R62" s="60">
        <f t="shared" si="17"/>
        <v>47.202588692034396</v>
      </c>
      <c r="S62" s="60">
        <f t="shared" si="17"/>
        <v>47.216980670019545</v>
      </c>
      <c r="T62" s="60">
        <f t="shared" si="17"/>
        <v>47.077163873772086</v>
      </c>
      <c r="U62" s="60">
        <f t="shared" si="17"/>
        <v>46.925103799560603</v>
      </c>
      <c r="V62" s="60">
        <f t="shared" si="17"/>
        <v>46.760490310763501</v>
      </c>
      <c r="W62" s="60">
        <f t="shared" si="17"/>
        <v>46.583006949548768</v>
      </c>
      <c r="X62" s="60">
        <f t="shared" si="17"/>
        <v>46.392330818424632</v>
      </c>
      <c r="Y62" s="60">
        <f t="shared" si="17"/>
        <v>46.05057326779729</v>
      </c>
      <c r="Z62" s="60">
        <f t="shared" si="17"/>
        <v>45.691947626346987</v>
      </c>
      <c r="AA62" s="60">
        <f t="shared" si="17"/>
        <v>45.316061544684054</v>
      </c>
      <c r="AB62" s="60">
        <f t="shared" si="17"/>
        <v>44.922515017267713</v>
      </c>
      <c r="AC62" s="60">
        <f t="shared" si="17"/>
        <v>44.510900243015016</v>
      </c>
      <c r="AD62" s="60">
        <f t="shared" si="17"/>
        <v>43.950425641835416</v>
      </c>
      <c r="AE62" s="60">
        <f t="shared" si="17"/>
        <v>43.368338750480113</v>
      </c>
      <c r="AF62" s="60">
        <f t="shared" si="17"/>
        <v>42.76416543473605</v>
      </c>
      <c r="AG62" s="60">
        <f t="shared" si="17"/>
        <v>42.137422599940138</v>
      </c>
      <c r="AH62" s="60">
        <f t="shared" si="17"/>
        <v>41.487618031273527</v>
      </c>
    </row>
    <row r="63" spans="1:35" outlineLevel="1" x14ac:dyDescent="0.2">
      <c r="B63" s="1" t="s">
        <v>168</v>
      </c>
      <c r="C63" s="54" t="s">
        <v>153</v>
      </c>
      <c r="D63">
        <v>0</v>
      </c>
      <c r="E63" s="43">
        <f>E62*'R&amp;S - Others'!$C$7*'R&amp;S - Others'!$B$11*'R&amp;S - Others'!$B$15*('Yearly HC Ethylene'!E$3-'Yearly HC Ethylene'!$D$3)/10</f>
        <v>0.14240992495933336</v>
      </c>
      <c r="F63" s="43">
        <f>F62*'R&amp;S - Others'!$C$7*'R&amp;S - Others'!$B$11*'R&amp;S - Others'!$B$15*('Yearly HC Ethylene'!F$3-'Yearly HC Ethylene'!$D$3)/10</f>
        <v>0.30499643589192998</v>
      </c>
      <c r="G63" s="43">
        <f>G62*'R&amp;S - Others'!$C$7*'R&amp;S - Others'!$B$11*'R&amp;S - Others'!$B$15*('Yearly HC Ethylene'!G$3-'Yearly HC Ethylene'!$D$3)/10</f>
        <v>0.48880082307874895</v>
      </c>
      <c r="H63" s="43">
        <f>H62*'R&amp;S - Others'!$C$7*'R&amp;S - Others'!$B$11*'R&amp;S - Others'!$B$15*('Yearly HC Ethylene'!H$3-'Yearly HC Ethylene'!$D$3)/10</f>
        <v>0.69490457683003037</v>
      </c>
      <c r="I63" s="43">
        <f>I62*'R&amp;S - Others'!$C$7*'R&amp;S - Others'!$B$11*'R&amp;S - Others'!$B$15*('Yearly HC Ethylene'!I$3-'Yearly HC Ethylene'!$D$3)/10</f>
        <v>0.92443074163806427</v>
      </c>
      <c r="J63" s="43">
        <f>J62*'R&amp;S - Others'!$C$7*'R&amp;S - Others'!$B$11*'R&amp;S - Others'!$B$15*('Yearly HC Ethylene'!J$3-'Yearly HC Ethylene'!$D$3)/10</f>
        <v>1.1636503201703334</v>
      </c>
      <c r="K63" s="43">
        <f>K62*'R&amp;S - Others'!$C$7*'R&amp;S - Others'!$B$11*'R&amp;S - Others'!$B$15*('Yearly HC Ethylene'!K$3-'Yearly HC Ethylene'!$D$3)/10</f>
        <v>1.4228909458045378</v>
      </c>
      <c r="L63" s="43">
        <f>L62*'R&amp;S - Others'!$C$7*'R&amp;S - Others'!$B$11*'R&amp;S - Others'!$B$15*('Yearly HC Ethylene'!L$3-'Yearly HC Ethylene'!$D$3)/10</f>
        <v>1.7030279402079915</v>
      </c>
      <c r="M63" s="43">
        <f>M62*'R&amp;S - Others'!$C$7*'R&amp;S - Others'!$B$11*'R&amp;S - Others'!$B$15*('Yearly HC Ethylene'!M$3-'Yearly HC Ethylene'!$D$3)/10</f>
        <v>2.0049665748413981</v>
      </c>
      <c r="N63" s="43">
        <f>N62*'R&amp;S - Others'!$C$7*'R&amp;S - Others'!$B$11*'R&amp;S - Others'!$B$15*('Yearly HC Ethylene'!N$3-'Yearly HC Ethylene'!$D$3)/10</f>
        <v>2.329642974811021</v>
      </c>
      <c r="O63" s="43">
        <f>O62*'R&amp;S - Others'!$C$7*'R&amp;S - Others'!$B$11*('R&amp;S - Others'!$B$15+('R&amp;S - Others'!$B$16-'R&amp;S - Others'!$B$15)*('Yearly HC Ethylene'!O$3-'Yearly HC Ethylene'!$N$3)/10)</f>
        <v>2.565141403881988</v>
      </c>
      <c r="P63" s="43">
        <f>P62*'R&amp;S - Others'!$C$7*'R&amp;S - Others'!$B$11*('R&amp;S - Others'!$B$15+('R&amp;S - Others'!$B$16-'R&amp;S - Others'!$B$15)*('Yearly HC Ethylene'!P$3-'Yearly HC Ethylene'!$N$3)/10)</f>
        <v>2.8006436125869043</v>
      </c>
      <c r="Q63" s="43">
        <f>Q62*'R&amp;S - Others'!$C$7*'R&amp;S - Others'!$B$11*('R&amp;S - Others'!$B$15+('R&amp;S - Others'!$B$16-'R&amp;S - Others'!$B$15)*('Yearly HC Ethylene'!Q$3-'Yearly HC Ethylene'!$N$3)/10)</f>
        <v>3.0360208119429672</v>
      </c>
      <c r="R63" s="43">
        <f>R62*'R&amp;S - Others'!$C$7*'R&amp;S - Others'!$B$11*('R&amp;S - Others'!$B$15+('R&amp;S - Others'!$B$16-'R&amp;S - Others'!$B$15)*('Yearly HC Ethylene'!R$3-'Yearly HC Ethylene'!$N$3)/10)</f>
        <v>3.2711393963579836</v>
      </c>
      <c r="S63" s="43">
        <f>S62*'R&amp;S - Others'!$C$7*'R&amp;S - Others'!$B$11*('R&amp;S - Others'!$B$15+('R&amp;S - Others'!$B$16-'R&amp;S - Others'!$B$15)*('Yearly HC Ethylene'!S$3-'Yearly HC Ethylene'!$N$3)/10)</f>
        <v>3.5058608147489507</v>
      </c>
      <c r="T63" s="43">
        <f>T62*'R&amp;S - Others'!$C$7*'R&amp;S - Others'!$B$11*('R&amp;S - Others'!$B$15+('R&amp;S - Others'!$B$16-'R&amp;S - Others'!$B$15)*('Yearly HC Ethylene'!T$3-'Yearly HC Ethylene'!$N$3)/10)</f>
        <v>3.7285113788027493</v>
      </c>
      <c r="U63" s="43">
        <f>U62*'R&amp;S - Others'!$C$7*'R&amp;S - Others'!$B$11*('R&amp;S - Others'!$B$15+('R&amp;S - Others'!$B$16-'R&amp;S - Others'!$B$15)*('Yearly HC Ethylene'!U$3-'Yearly HC Ethylene'!$N$3)/10)</f>
        <v>3.9487474847330248</v>
      </c>
      <c r="V63" s="43">
        <f>V62*'R&amp;S - Others'!$C$7*'R&amp;S - Others'!$B$11*('R&amp;S - Others'!$B$15+('R&amp;S - Others'!$B$16-'R&amp;S - Others'!$B$15)*('Yearly HC Ethylene'!V$3-'Yearly HC Ethylene'!$N$3)/10)</f>
        <v>4.1663596866890282</v>
      </c>
      <c r="W63" s="43">
        <f>W62*'R&amp;S - Others'!$C$7*'R&amp;S - Others'!$B$11*('R&amp;S - Others'!$B$15+('R&amp;S - Others'!$B$16-'R&amp;S - Others'!$B$15)*('Yearly HC Ethylene'!W$3-'Yearly HC Ethylene'!$N$3)/10)</f>
        <v>4.3811318036050615</v>
      </c>
      <c r="X63" s="43">
        <f>X62*'R&amp;S - Others'!$C$7*'R&amp;S - Others'!$B$11*('R&amp;S - Others'!$B$15+('R&amp;S - Others'!$B$16-'R&amp;S - Others'!$B$15)*('Yearly HC Ethylene'!X$3-'Yearly HC Ethylene'!$N$3)/10)</f>
        <v>4.5928407510240383</v>
      </c>
      <c r="Y63" s="43">
        <f>Y62*'R&amp;S - Others'!$C$7*'R&amp;S - Others'!$B$11*('R&amp;S - Others'!$B$16+('R&amp;S - Others'!$B$17-'R&amp;S - Others'!$B$16)*('Yearly HC Ethylene'!Y$3-'Yearly HC Ethylene'!$X$3)/10)</f>
        <v>4.793864677177698</v>
      </c>
      <c r="Z63" s="43">
        <f>Z62*'R&amp;S - Others'!$C$7*'R&amp;S - Others'!$B$11*('R&amp;S - Others'!$B$16+('R&amp;S - Others'!$B$17-'R&amp;S - Others'!$B$16)*('Yearly HC Ethylene'!Z$3-'Yearly HC Ethylene'!$X$3)/10)</f>
        <v>4.9895606807970907</v>
      </c>
      <c r="AA63" s="43">
        <f>AA62*'R&amp;S - Others'!$C$7*'R&amp;S - Others'!$B$11*('R&amp;S - Others'!$B$16+('R&amp;S - Others'!$B$17-'R&amp;S - Others'!$B$16)*('Yearly HC Ethylene'!AA$3-'Yearly HC Ethylene'!$X$3)/10)</f>
        <v>5.1796258345573873</v>
      </c>
      <c r="AB63" s="43">
        <f>AB62*'R&amp;S - Others'!$C$7*'R&amp;S - Others'!$B$11*('R&amp;S - Others'!$B$16+('R&amp;S - Others'!$B$17-'R&amp;S - Others'!$B$16)*('Yearly HC Ethylene'!AB$3-'Yearly HC Ethylene'!$X$3)/10)</f>
        <v>5.3637482930617653</v>
      </c>
      <c r="AC63" s="43">
        <f>AC62*'R&amp;S - Others'!$C$7*'R&amp;S - Others'!$B$11*('R&amp;S - Others'!$B$16+('R&amp;S - Others'!$B$17-'R&amp;S - Others'!$B$16)*('Yearly HC Ethylene'!AC$3-'Yearly HC Ethylene'!$X$3)/10)</f>
        <v>5.5416070802553694</v>
      </c>
      <c r="AD63" s="43">
        <f>AD62*'R&amp;S - Others'!$C$7*'R&amp;S - Others'!$B$11*('R&amp;S - Others'!$B$16+('R&amp;S - Others'!$B$17-'R&amp;S - Others'!$B$16)*('Yearly HC Ethylene'!AD$3-'Yearly HC Ethylene'!$X$3)/10)</f>
        <v>5.6959751631818705</v>
      </c>
      <c r="AE63" s="43">
        <f>AE62*'R&amp;S - Others'!$C$7*'R&amp;S - Others'!$B$11*('R&amp;S - Others'!$B$16+('R&amp;S - Others'!$B$17-'R&amp;S - Others'!$B$16)*('Yearly HC Ethylene'!AE$3-'Yearly HC Ethylene'!$X$3)/10)</f>
        <v>5.8417152296896715</v>
      </c>
      <c r="AF63" s="43">
        <f>AF62*'R&amp;S - Others'!$C$7*'R&amp;S - Others'!$B$11*('R&amp;S - Others'!$B$16+('R&amp;S - Others'!$B$17-'R&amp;S - Others'!$B$16)*('Yearly HC Ethylene'!AF$3-'Yearly HC Ethylene'!$X$3)/10)</f>
        <v>5.9784303277760991</v>
      </c>
      <c r="AG63" s="43">
        <f>AG62*'R&amp;S - Others'!$C$7*'R&amp;S - Others'!$B$11*('R&amp;S - Others'!$B$16+('R&amp;S - Others'!$B$17-'R&amp;S - Others'!$B$16)*('Yearly HC Ethylene'!AG$3-'Yearly HC Ethylene'!$X$3)/10)</f>
        <v>6.1057125347313255</v>
      </c>
      <c r="AH63" s="43">
        <f>AH62*'R&amp;S - Others'!$C$7*'R&amp;S - Others'!$B$11*('R&amp;S - Others'!$B$16+('R&amp;S - Others'!$B$17-'R&amp;S - Others'!$B$16)*('Yearly HC Ethylene'!AH$3-'Yearly HC Ethylene'!$X$3)/10)</f>
        <v>6.2231427046910293</v>
      </c>
    </row>
    <row r="64" spans="1:35" outlineLevel="1" x14ac:dyDescent="0.2">
      <c r="B64" s="1" t="s">
        <v>172</v>
      </c>
      <c r="C64" s="54" t="s">
        <v>153</v>
      </c>
      <c r="D64">
        <v>0</v>
      </c>
      <c r="E64" s="43">
        <f>E62*'R&amp;S - Others'!$C$8*'R&amp;S - Others'!$B$11*'R&amp;S - Others'!$C$15*('Yearly HC Ethylene'!E$3-'Yearly HC Ethylene'!$D$3)/10</f>
        <v>4.7469974986444452E-2</v>
      </c>
      <c r="F64" s="43">
        <f>F62*'R&amp;S - Others'!$C$8*'R&amp;S - Others'!$B$11*'R&amp;S - Others'!$C$15*('Yearly HC Ethylene'!F$3-'Yearly HC Ethylene'!$D$3)/10</f>
        <v>0.10166547863064332</v>
      </c>
      <c r="G64" s="43">
        <f>G62*'R&amp;S - Others'!$C$8*'R&amp;S - Others'!$B$11*'R&amp;S - Others'!$C$15*('Yearly HC Ethylene'!G$3-'Yearly HC Ethylene'!$D$3)/10</f>
        <v>0.16293360769291634</v>
      </c>
      <c r="H64" s="43">
        <f>H62*'R&amp;S - Others'!$C$8*'R&amp;S - Others'!$B$11*'R&amp;S - Others'!$C$15*('Yearly HC Ethylene'!H$3-'Yearly HC Ethylene'!$D$3)/10</f>
        <v>0.23163485894334351</v>
      </c>
      <c r="I64" s="43">
        <f>I62*'R&amp;S - Others'!$C$8*'R&amp;S - Others'!$B$11*'R&amp;S - Others'!$C$15*('Yearly HC Ethylene'!I$3-'Yearly HC Ethylene'!$D$3)/10</f>
        <v>0.30814358054602142</v>
      </c>
      <c r="J64" s="43">
        <f>J62*'R&amp;S - Others'!$C$8*'R&amp;S - Others'!$B$11*'R&amp;S - Others'!$C$15*('Yearly HC Ethylene'!J$3-'Yearly HC Ethylene'!$D$3)/10</f>
        <v>0.38788344005677783</v>
      </c>
      <c r="K64" s="43">
        <f>K62*'R&amp;S - Others'!$C$8*'R&amp;S - Others'!$B$11*'R&amp;S - Others'!$C$15*('Yearly HC Ethylene'!K$3-'Yearly HC Ethylene'!$D$3)/10</f>
        <v>0.47429698193484598</v>
      </c>
      <c r="L64" s="43">
        <f>L62*'R&amp;S - Others'!$C$8*'R&amp;S - Others'!$B$11*'R&amp;S - Others'!$C$15*('Yearly HC Ethylene'!L$3-'Yearly HC Ethylene'!$D$3)/10</f>
        <v>0.56767598006933051</v>
      </c>
      <c r="M64" s="43">
        <f>M62*'R&amp;S - Others'!$C$8*'R&amp;S - Others'!$B$11*'R&amp;S - Others'!$C$15*('Yearly HC Ethylene'!M$3-'Yearly HC Ethylene'!$D$3)/10</f>
        <v>0.66832219161379935</v>
      </c>
      <c r="N64" s="43">
        <f>N62*'R&amp;S - Others'!$C$8*'R&amp;S - Others'!$B$11*'R&amp;S - Others'!$C$15*('Yearly HC Ethylene'!N$3-'Yearly HC Ethylene'!$D$3)/10</f>
        <v>0.77654765827034056</v>
      </c>
      <c r="O64" s="43">
        <f>O62*'R&amp;S - Others'!$C$8*'R&amp;S - Others'!$B$11*('R&amp;S - Others'!$C$15+('R&amp;S - Others'!$C$16-'R&amp;S - Others'!$C$15)*('Yearly HC Ethylene'!O$3-'Yearly HC Ethylene'!$N$3)/10)</f>
        <v>0.85504713462732929</v>
      </c>
      <c r="P64" s="43">
        <f>P62*'R&amp;S - Others'!$C$8*'R&amp;S - Others'!$B$11*('R&amp;S - Others'!$C$15+('R&amp;S - Others'!$C$16-'R&amp;S - Others'!$C$15)*('Yearly HC Ethylene'!P$3-'Yearly HC Ethylene'!$N$3)/10)</f>
        <v>0.93354787086230151</v>
      </c>
      <c r="Q64" s="43">
        <f>Q62*'R&amp;S - Others'!$C$8*'R&amp;S - Others'!$B$11*('R&amp;S - Others'!$C$15+('R&amp;S - Others'!$C$16-'R&amp;S - Others'!$C$15)*('Yearly HC Ethylene'!Q$3-'Yearly HC Ethylene'!$N$3)/10)</f>
        <v>1.0120069373143223</v>
      </c>
      <c r="R64" s="43">
        <f>R62*'R&amp;S - Others'!$C$8*'R&amp;S - Others'!$B$11*('R&amp;S - Others'!$C$15+('R&amp;S - Others'!$C$16-'R&amp;S - Others'!$C$15)*('Yearly HC Ethylene'!R$3-'Yearly HC Ethylene'!$N$3)/10)</f>
        <v>1.0903797987859947</v>
      </c>
      <c r="S64" s="43">
        <f>S62*'R&amp;S - Others'!$C$8*'R&amp;S - Others'!$B$11*('R&amp;S - Others'!$C$15+('R&amp;S - Others'!$C$16-'R&amp;S - Others'!$C$15)*('Yearly HC Ethylene'!S$3-'Yearly HC Ethylene'!$N$3)/10)</f>
        <v>1.1686202715829839</v>
      </c>
      <c r="T64" s="43">
        <f>T62*'R&amp;S - Others'!$C$8*'R&amp;S - Others'!$B$11*('R&amp;S - Others'!$C$15+('R&amp;S - Others'!$C$16-'R&amp;S - Others'!$C$15)*('Yearly HC Ethylene'!T$3-'Yearly HC Ethylene'!$N$3)/10)</f>
        <v>1.2428371262675832</v>
      </c>
      <c r="U64" s="43">
        <f>U62*'R&amp;S - Others'!$C$8*'R&amp;S - Others'!$B$11*('R&amp;S - Others'!$C$15+('R&amp;S - Others'!$C$16-'R&amp;S - Others'!$C$15)*('Yearly HC Ethylene'!U$3-'Yearly HC Ethylene'!$N$3)/10)</f>
        <v>1.3162491615776752</v>
      </c>
      <c r="V64" s="43">
        <f>V62*'R&amp;S - Others'!$C$8*'R&amp;S - Others'!$B$11*('R&amp;S - Others'!$C$15+('R&amp;S - Others'!$C$16-'R&amp;S - Others'!$C$15)*('Yearly HC Ethylene'!V$3-'Yearly HC Ethylene'!$N$3)/10)</f>
        <v>1.3887865622296762</v>
      </c>
      <c r="W64" s="43">
        <f>W62*'R&amp;S - Others'!$C$8*'R&amp;S - Others'!$B$11*('R&amp;S - Others'!$C$15+('R&amp;S - Others'!$C$16-'R&amp;S - Others'!$C$15)*('Yearly HC Ethylene'!W$3-'Yearly HC Ethylene'!$N$3)/10)</f>
        <v>1.460377267868354</v>
      </c>
      <c r="X64" s="43">
        <f>X62*'R&amp;S - Others'!$C$8*'R&amp;S - Others'!$B$11*('R&amp;S - Others'!$C$15+('R&amp;S - Others'!$C$16-'R&amp;S - Others'!$C$15)*('Yearly HC Ethylene'!X$3-'Yearly HC Ethylene'!$N$3)/10)</f>
        <v>1.530946917008013</v>
      </c>
      <c r="Y64" s="43">
        <f>Y62*'R&amp;S - Others'!$C$8*'R&amp;S - Others'!$B$11*('R&amp;S - Others'!$C$16+('R&amp;S - Others'!$C$17-'R&amp;S - Others'!$C$16)*('Yearly HC Ethylene'!Y$3-'Yearly HC Ethylene'!$X$3)/10)</f>
        <v>1.5979548923925662</v>
      </c>
      <c r="Z64" s="43">
        <f>Z62*'R&amp;S - Others'!$C$8*'R&amp;S - Others'!$B$11*('R&amp;S - Others'!$C$16+('R&amp;S - Others'!$C$17-'R&amp;S - Others'!$C$16)*('Yearly HC Ethylene'!Z$3-'Yearly HC Ethylene'!$X$3)/10)</f>
        <v>1.6631868935990304</v>
      </c>
      <c r="AA64" s="43">
        <f>AA62*'R&amp;S - Others'!$C$8*'R&amp;S - Others'!$B$11*('R&amp;S - Others'!$C$16+('R&amp;S - Others'!$C$17-'R&amp;S - Others'!$C$16)*('Yearly HC Ethylene'!AA$3-'Yearly HC Ethylene'!$X$3)/10)</f>
        <v>1.7265419448524624</v>
      </c>
      <c r="AB64" s="43">
        <f>AB62*'R&amp;S - Others'!$C$8*'R&amp;S - Others'!$B$11*('R&amp;S - Others'!$C$16+('R&amp;S - Others'!$C$17-'R&amp;S - Others'!$C$16)*('Yearly HC Ethylene'!AB$3-'Yearly HC Ethylene'!$X$3)/10)</f>
        <v>1.7879160976872552</v>
      </c>
      <c r="AC64" s="43">
        <f>AC62*'R&amp;S - Others'!$C$8*'R&amp;S - Others'!$B$11*('R&amp;S - Others'!$C$16+('R&amp;S - Others'!$C$17-'R&amp;S - Others'!$C$16)*('Yearly HC Ethylene'!AC$3-'Yearly HC Ethylene'!$X$3)/10)</f>
        <v>1.8472023600851235</v>
      </c>
      <c r="AD64" s="43">
        <f>AD62*'R&amp;S - Others'!$C$8*'R&amp;S - Others'!$B$11*('R&amp;S - Others'!$C$16+('R&amp;S - Others'!$C$17-'R&amp;S - Others'!$C$16)*('Yearly HC Ethylene'!AD$3-'Yearly HC Ethylene'!$X$3)/10)</f>
        <v>1.8986583877272902</v>
      </c>
      <c r="AE64" s="43">
        <f>AE62*'R&amp;S - Others'!$C$8*'R&amp;S - Others'!$B$11*('R&amp;S - Others'!$C$16+('R&amp;S - Others'!$C$17-'R&amp;S - Others'!$C$16)*('Yearly HC Ethylene'!AE$3-'Yearly HC Ethylene'!$X$3)/10)</f>
        <v>1.9472384098965572</v>
      </c>
      <c r="AF64" s="43">
        <f>AF62*'R&amp;S - Others'!$C$8*'R&amp;S - Others'!$B$11*('R&amp;S - Others'!$C$16+('R&amp;S - Others'!$C$17-'R&amp;S - Others'!$C$16)*('Yearly HC Ethylene'!AF$3-'Yearly HC Ethylene'!$X$3)/10)</f>
        <v>1.9928101092586998</v>
      </c>
      <c r="AG64" s="43">
        <f>AG62*'R&amp;S - Others'!$C$8*'R&amp;S - Others'!$B$11*('R&amp;S - Others'!$C$16+('R&amp;S - Others'!$C$17-'R&amp;S - Others'!$C$16)*('Yearly HC Ethylene'!AG$3-'Yearly HC Ethylene'!$X$3)/10)</f>
        <v>2.0352375115771086</v>
      </c>
      <c r="AH64" s="43">
        <f>AH62*'R&amp;S - Others'!$C$8*'R&amp;S - Others'!$B$11*('R&amp;S - Others'!$C$16+('R&amp;S - Others'!$C$17-'R&amp;S - Others'!$C$16)*('Yearly HC Ethylene'!AH$3-'Yearly HC Ethylene'!$X$3)/10)</f>
        <v>2.0743809015636763</v>
      </c>
    </row>
    <row r="65" spans="1:35" s="181" customFormat="1" x14ac:dyDescent="0.2">
      <c r="A65" s="178"/>
      <c r="B65" s="178" t="s">
        <v>197</v>
      </c>
      <c r="C65" s="179" t="s">
        <v>153</v>
      </c>
      <c r="D65" s="180">
        <f>D62-D63-D64</f>
        <v>26.799786402018107</v>
      </c>
      <c r="E65" s="180">
        <f t="shared" ref="E65:AH65" si="18">E62-E63-E64</f>
        <v>28.579801910020553</v>
      </c>
      <c r="F65" s="180">
        <f t="shared" si="18"/>
        <v>30.401058882642069</v>
      </c>
      <c r="G65" s="180">
        <f t="shared" si="18"/>
        <v>32.264145911231637</v>
      </c>
      <c r="H65" s="180">
        <f t="shared" si="18"/>
        <v>34.169651313218054</v>
      </c>
      <c r="I65" s="180">
        <f t="shared" si="18"/>
        <v>36.118162713697295</v>
      </c>
      <c r="J65" s="180">
        <f t="shared" si="18"/>
        <v>37.628611700053476</v>
      </c>
      <c r="K65" s="180">
        <f t="shared" si="18"/>
        <v>39.16748583285333</v>
      </c>
      <c r="L65" s="180">
        <f t="shared" si="18"/>
        <v>40.735052145581051</v>
      </c>
      <c r="M65" s="180">
        <f t="shared" si="18"/>
        <v>42.331572621679442</v>
      </c>
      <c r="N65" s="180">
        <f t="shared" si="18"/>
        <v>43.95730380754533</v>
      </c>
      <c r="O65" s="180">
        <f t="shared" si="18"/>
        <v>43.68984642718376</v>
      </c>
      <c r="P65" s="180">
        <f t="shared" si="18"/>
        <v>43.414690883333698</v>
      </c>
      <c r="Q65" s="180">
        <f t="shared" si="18"/>
        <v>43.131782848147012</v>
      </c>
      <c r="R65" s="180">
        <f t="shared" si="18"/>
        <v>42.84106949689042</v>
      </c>
      <c r="S65" s="180">
        <f t="shared" si="18"/>
        <v>42.542499583687615</v>
      </c>
      <c r="T65" s="180">
        <f t="shared" si="18"/>
        <v>42.105815368701755</v>
      </c>
      <c r="U65" s="180">
        <f t="shared" si="18"/>
        <v>41.660107153249903</v>
      </c>
      <c r="V65" s="180">
        <f t="shared" si="18"/>
        <v>41.205344061844798</v>
      </c>
      <c r="W65" s="180">
        <f t="shared" si="18"/>
        <v>40.74149787807535</v>
      </c>
      <c r="X65" s="180">
        <f t="shared" si="18"/>
        <v>40.268543150392581</v>
      </c>
      <c r="Y65" s="180">
        <f t="shared" si="18"/>
        <v>39.658753698227031</v>
      </c>
      <c r="Z65" s="180">
        <f t="shared" si="18"/>
        <v>39.039200051950864</v>
      </c>
      <c r="AA65" s="180">
        <f t="shared" si="18"/>
        <v>38.409893765274205</v>
      </c>
      <c r="AB65" s="180">
        <f t="shared" si="18"/>
        <v>37.770850626518687</v>
      </c>
      <c r="AC65" s="180">
        <f t="shared" si="18"/>
        <v>37.122090802674528</v>
      </c>
      <c r="AD65" s="180">
        <f t="shared" si="18"/>
        <v>36.355792090926258</v>
      </c>
      <c r="AE65" s="180">
        <f t="shared" si="18"/>
        <v>35.579385110893888</v>
      </c>
      <c r="AF65" s="180">
        <f t="shared" si="18"/>
        <v>34.792924997701249</v>
      </c>
      <c r="AG65" s="180">
        <f t="shared" si="18"/>
        <v>33.996472553631705</v>
      </c>
      <c r="AH65" s="180">
        <f t="shared" si="18"/>
        <v>33.19009442501882</v>
      </c>
    </row>
    <row r="66" spans="1:35" s="67" customFormat="1" x14ac:dyDescent="0.2">
      <c r="A66" s="687" t="s">
        <v>257</v>
      </c>
      <c r="B66" s="58" t="s">
        <v>258</v>
      </c>
      <c r="C66" s="59" t="s">
        <v>153</v>
      </c>
      <c r="D66" s="60">
        <f>D65*('Demand Breakdown - Ethylene'!$C$76)</f>
        <v>9.842212333121422</v>
      </c>
      <c r="E66" s="60">
        <f>E65*('Demand Breakdown - Ethylene'!$C$76)</f>
        <v>10.495922415851402</v>
      </c>
      <c r="F66" s="60">
        <f>F65*('Demand Breakdown - Ethylene'!$C$76)</f>
        <v>11.164778412269682</v>
      </c>
      <c r="G66" s="60">
        <f>G65*('Demand Breakdown - Ethylene'!$C$76)</f>
        <v>11.848996482346612</v>
      </c>
      <c r="H66" s="60">
        <f>H65*('Demand Breakdown - Ethylene'!$C$76)</f>
        <v>12.548792685455451</v>
      </c>
      <c r="I66" s="60">
        <f>I65*('Demand Breakdown - Ethylene'!$C$76)</f>
        <v>13.264382826710472</v>
      </c>
      <c r="J66" s="60">
        <f>J65*('Demand Breakdown - Ethylene'!$C$76)</f>
        <v>13.819094697135904</v>
      </c>
      <c r="K66" s="60">
        <f>K65*('Demand Breakdown - Ethylene'!$C$76)</f>
        <v>14.384245692810397</v>
      </c>
      <c r="L66" s="60">
        <f>L65*('Demand Breakdown - Ethylene'!$C$76)</f>
        <v>14.959933881689119</v>
      </c>
      <c r="M66" s="60">
        <f>M65*('Demand Breakdown - Ethylene'!$C$76)</f>
        <v>15.546255477101283</v>
      </c>
      <c r="N66" s="60">
        <f>N65*('Demand Breakdown - Ethylene'!$C$76)</f>
        <v>16.143304695622835</v>
      </c>
      <c r="O66" s="60">
        <f>O65*('Demand Breakdown - Ethylene'!$C$76)</f>
        <v>16.045081064729239</v>
      </c>
      <c r="P66" s="60">
        <f>P65*('Demand Breakdown - Ethylene'!$C$76)</f>
        <v>15.944030285943782</v>
      </c>
      <c r="Q66" s="60">
        <f>Q65*('Demand Breakdown - Ethylene'!$C$76)</f>
        <v>15.840132407382935</v>
      </c>
      <c r="R66" s="60">
        <f>R65*('Demand Breakdown - Ethylene'!$C$76)</f>
        <v>15.733368029181575</v>
      </c>
      <c r="S66" s="60">
        <f>S65*('Demand Breakdown - Ethylene'!$C$76)</f>
        <v>15.62371833130927</v>
      </c>
      <c r="T66" s="60">
        <f>T65*('Demand Breakdown - Ethylene'!$C$76)</f>
        <v>15.463346203638519</v>
      </c>
      <c r="U66" s="60">
        <f>U65*('Demand Breakdown - Ethylene'!$C$76)</f>
        <v>15.299660014902202</v>
      </c>
      <c r="V66" s="60">
        <f>V65*('Demand Breakdown - Ethylene'!$C$76)</f>
        <v>15.132648426088243</v>
      </c>
      <c r="W66" s="60">
        <f>W65*('Demand Breakdown - Ethylene'!$C$76)</f>
        <v>14.962301074729384</v>
      </c>
      <c r="X66" s="60">
        <f>X65*('Demand Breakdown - Ethylene'!$C$76)</f>
        <v>14.788608613753018</v>
      </c>
      <c r="Y66" s="60">
        <f>Y65*('Demand Breakdown - Ethylene'!$C$76)</f>
        <v>14.564663647301376</v>
      </c>
      <c r="Z66" s="60">
        <f>Z65*('Demand Breakdown - Ethylene'!$C$76)</f>
        <v>14.337132783922911</v>
      </c>
      <c r="AA66" s="60">
        <f>AA65*('Demand Breakdown - Ethylene'!$C$76)</f>
        <v>14.10602026671369</v>
      </c>
      <c r="AB66" s="60">
        <f>AB65*('Demand Breakdown - Ethylene'!$C$76)</f>
        <v>13.871331893929399</v>
      </c>
      <c r="AC66" s="60">
        <f>AC65*('Demand Breakdown - Ethylene'!$C$76)</f>
        <v>13.633075071890257</v>
      </c>
      <c r="AD66" s="60">
        <f>AD65*('Demand Breakdown - Ethylene'!$C$76)</f>
        <v>13.351652133718781</v>
      </c>
      <c r="AE66" s="60">
        <f>AE65*('Demand Breakdown - Ethylene'!$C$76)</f>
        <v>13.066516937498683</v>
      </c>
      <c r="AF66" s="60">
        <f>AF65*('Demand Breakdown - Ethylene'!$C$76)</f>
        <v>12.777689731585214</v>
      </c>
      <c r="AG66" s="60">
        <f>AG65*('Demand Breakdown - Ethylene'!$C$76)</f>
        <v>12.485192845596016</v>
      </c>
      <c r="AH66" s="60">
        <f>AH65*('Demand Breakdown - Ethylene'!$C$76)</f>
        <v>12.189050755374153</v>
      </c>
      <c r="AI66" s="60"/>
    </row>
    <row r="67" spans="1:35" x14ac:dyDescent="0.2">
      <c r="A67" s="688"/>
      <c r="B67" s="1" t="s">
        <v>260</v>
      </c>
      <c r="C67" s="54" t="s">
        <v>153</v>
      </c>
      <c r="D67" s="44">
        <f>D71/('Demand Breakdown - Ethylene'!$K$14)</f>
        <v>4.5813083502024288</v>
      </c>
      <c r="E67" s="44">
        <f>E71/('Demand Breakdown - Ethylene'!$K$14)</f>
        <v>4.8855943541269733</v>
      </c>
      <c r="F67" s="44">
        <f>F71/('Demand Breakdown - Ethylene'!$K$14)</f>
        <v>5.1969304092496751</v>
      </c>
      <c r="G67" s="44">
        <f>G71/('Demand Breakdown - Ethylene'!$K$14)</f>
        <v>5.5154171327329813</v>
      </c>
      <c r="H67" s="44">
        <f>H71/('Demand Breakdown - Ethylene'!$K$14)</f>
        <v>5.8411550949138604</v>
      </c>
      <c r="I67" s="44">
        <f>I71/('Demand Breakdown - Ethylene'!$K$14)</f>
        <v>6.1742447477779585</v>
      </c>
      <c r="J67" s="44">
        <f>J71/('Demand Breakdown - Ethylene'!$K$14)</f>
        <v>6.4324495129184474</v>
      </c>
      <c r="K67" s="44">
        <f>K71/('Demand Breakdown - Ethylene'!$K$14)</f>
        <v>6.6955134347255107</v>
      </c>
      <c r="L67" s="44">
        <f>L71/('Demand Breakdown - Ethylene'!$K$14)</f>
        <v>6.9634821614260618</v>
      </c>
      <c r="M67" s="44">
        <f>M71/('Demand Breakdown - Ethylene'!$K$14)</f>
        <v>7.2364004779641347</v>
      </c>
      <c r="N67" s="44">
        <f>N71/('Demand Breakdown - Ethylene'!$K$14)</f>
        <v>7.5143122398441102</v>
      </c>
      <c r="O67" s="44">
        <f>O71/('Demand Breakdown - Ethylene'!$K$14)</f>
        <v>7.4685915497015412</v>
      </c>
      <c r="P67" s="44">
        <f>P71/('Demand Breakdown - Ethylene'!$K$14)</f>
        <v>7.4215548915828844</v>
      </c>
      <c r="Q67" s="44">
        <f>Q71/('Demand Breakdown - Ethylene'!$K$14)</f>
        <v>7.3731929783758989</v>
      </c>
      <c r="R67" s="44">
        <f>R71/('Demand Breakdown - Ethylene'!$K$14)</f>
        <v>7.323496779919374</v>
      </c>
      <c r="S67" s="44">
        <f>S71/('Demand Breakdown - Ethylene'!$K$14)</f>
        <v>7.272457535950914</v>
      </c>
      <c r="T67" s="44">
        <f>T71/('Demand Breakdown - Ethylene'!$K$14)</f>
        <v>7.1978082454488952</v>
      </c>
      <c r="U67" s="44">
        <f>U71/('Demand Breakdown - Ethylene'!$K$14)</f>
        <v>7.1216163408354456</v>
      </c>
      <c r="V67" s="44">
        <f>V71/('Demand Breakdown - Ethylene'!$K$14)</f>
        <v>7.0438765440786621</v>
      </c>
      <c r="W67" s="44">
        <f>W71/('Demand Breakdown - Ethylene'!$K$14)</f>
        <v>6.964584031704292</v>
      </c>
      <c r="X67" s="44">
        <f>X71/('Demand Breakdown - Ethylene'!$K$14)</f>
        <v>6.8837344528793798</v>
      </c>
      <c r="Y67" s="44">
        <f>Y71/('Demand Breakdown - Ethylene'!$K$14)</f>
        <v>6.7794935657631674</v>
      </c>
      <c r="Z67" s="44">
        <f>Z71/('Demand Breakdown - Ethylene'!$K$14)</f>
        <v>6.6735835316119383</v>
      </c>
      <c r="AA67" s="44">
        <f>AA71/('Demand Breakdown - Ethylene'!$K$14)</f>
        <v>6.5660063254828041</v>
      </c>
      <c r="AB67" s="44">
        <f>AB71/('Demand Breakdown - Ethylene'!$K$14)</f>
        <v>6.4567646463215196</v>
      </c>
      <c r="AC67" s="44">
        <f>AC71/('Demand Breakdown - Ethylene'!$K$14)</f>
        <v>6.3458619415884217</v>
      </c>
      <c r="AD67" s="44">
        <f>AD71/('Demand Breakdown - Ethylene'!$K$14)</f>
        <v>6.2148664689298281</v>
      </c>
      <c r="AE67" s="44">
        <f>AE71/('Demand Breakdown - Ethylene'!$K$14)</f>
        <v>6.0821430312344473</v>
      </c>
      <c r="AF67" s="44">
        <f>AF71/('Demand Breakdown - Ethylene'!$K$14)</f>
        <v>5.947701053614832</v>
      </c>
      <c r="AG67" s="44">
        <f>AG71/('Demand Breakdown - Ethylene'!$K$14)</f>
        <v>5.8115509299601085</v>
      </c>
      <c r="AH67" s="44">
        <f>AH71/('Demand Breakdown - Ethylene'!$K$14)</f>
        <v>5.6737040531746805</v>
      </c>
      <c r="AI67" s="44"/>
    </row>
    <row r="68" spans="1:35" x14ac:dyDescent="0.2">
      <c r="A68" s="688"/>
      <c r="B68" s="1" t="s">
        <v>262</v>
      </c>
      <c r="C68" s="54" t="s">
        <v>153</v>
      </c>
      <c r="D68" s="44">
        <f>D70/('Demand Breakdown - Ethylene'!$M$14)</f>
        <v>3.0035502958579876</v>
      </c>
      <c r="E68" s="44">
        <f>E70/('Demand Breakdown - Ethylene'!$M$14)</f>
        <v>3.2030431584313233</v>
      </c>
      <c r="F68" s="44">
        <f>F70/('Demand Breakdown - Ethylene'!$M$14)</f>
        <v>3.4071581031138245</v>
      </c>
      <c r="G68" s="44">
        <f>G70/('Demand Breakdown - Ethylene'!$M$14)</f>
        <v>3.6159610954954347</v>
      </c>
      <c r="H68" s="44">
        <f>H70/('Demand Breakdown - Ethylene'!$M$14)</f>
        <v>3.8295180704668592</v>
      </c>
      <c r="I68" s="44">
        <f>I70/('Demand Breakdown - Ethylene'!$M$14)</f>
        <v>4.0478948853265244</v>
      </c>
      <c r="J68" s="44">
        <f>J70/('Demand Breakdown - Ethylene'!$M$14)</f>
        <v>4.2171764397312597</v>
      </c>
      <c r="K68" s="44">
        <f>K70/('Demand Breakdown - Ethylene'!$M$14)</f>
        <v>4.3896437044894272</v>
      </c>
      <c r="L68" s="44">
        <f>L70/('Demand Breakdown - Ethylene'!$M$14)</f>
        <v>4.5653266070224046</v>
      </c>
      <c r="M68" s="44">
        <f>M70/('Demand Breakdown - Ethylene'!$M$14)</f>
        <v>4.7442545087749188</v>
      </c>
      <c r="N68" s="44">
        <f>N70/('Demand Breakdown - Ethylene'!$M$14)</f>
        <v>4.9264561618420242</v>
      </c>
      <c r="O68" s="44">
        <f>O70/('Demand Breakdown - Ethylene'!$M$14)</f>
        <v>4.896481232868191</v>
      </c>
      <c r="P68" s="44">
        <f>P70/('Demand Breakdown - Ethylene'!$M$14)</f>
        <v>4.8656435424948246</v>
      </c>
      <c r="Q68" s="44">
        <f>Q70/('Demand Breakdown - Ethylene'!$M$14)</f>
        <v>4.8339370020008454</v>
      </c>
      <c r="R68" s="44">
        <f>R70/('Demand Breakdown - Ethylene'!$M$14)</f>
        <v>4.8013556911247681</v>
      </c>
      <c r="S68" s="44">
        <f>S70/('Demand Breakdown - Ethylene'!$M$14)</f>
        <v>4.7678938665533961</v>
      </c>
      <c r="T68" s="44">
        <f>T70/('Demand Breakdown - Ethylene'!$M$14)</f>
        <v>4.7189530659275176</v>
      </c>
      <c r="U68" s="44">
        <f>U70/('Demand Breakdown - Ethylene'!$M$14)</f>
        <v>4.6690009124922227</v>
      </c>
      <c r="V68" s="44">
        <f>V70/('Demand Breakdown - Ethylene'!$M$14)</f>
        <v>4.61803394591848</v>
      </c>
      <c r="W68" s="44">
        <f>W70/('Demand Breakdown - Ethylene'!$M$14)</f>
        <v>4.5660490038896731</v>
      </c>
      <c r="X68" s="44">
        <f>X70/('Demand Breakdown - Ethylene'!$M$14)</f>
        <v>4.5130432339574158</v>
      </c>
      <c r="Y68" s="44">
        <f>Y70/('Demand Breakdown - Ethylene'!$M$14)</f>
        <v>4.4447018948889445</v>
      </c>
      <c r="Z68" s="44">
        <f>Z70/('Demand Breakdown - Ethylene'!$M$14)</f>
        <v>4.375266246796147</v>
      </c>
      <c r="AA68" s="44">
        <f>AA70/('Demand Breakdown - Ethylene'!$M$14)</f>
        <v>4.3047375845456655</v>
      </c>
      <c r="AB68" s="44">
        <f>AB70/('Demand Breakdown - Ethylene'!$M$14)</f>
        <v>4.2331176775925785</v>
      </c>
      <c r="AC68" s="44">
        <f>AC70/('Demand Breakdown - Ethylene'!$M$14)</f>
        <v>4.1604087861253998</v>
      </c>
      <c r="AD68" s="44">
        <f>AD70/('Demand Breakdown - Ethylene'!$M$14)</f>
        <v>4.0745268806556689</v>
      </c>
      <c r="AE68" s="44">
        <f>AE70/('Demand Breakdown - Ethylene'!$M$14)</f>
        <v>3.987512104507795</v>
      </c>
      <c r="AF68" s="44">
        <f>AF70/('Demand Breakdown - Ethylene'!$M$14)</f>
        <v>3.8993706368772032</v>
      </c>
      <c r="AG68" s="44">
        <f>AG70/('Demand Breakdown - Ethylene'!$M$14)</f>
        <v>3.8101092920986583</v>
      </c>
      <c r="AH68" s="44">
        <f>AH70/('Demand Breakdown - Ethylene'!$M$14)</f>
        <v>3.7197355394710532</v>
      </c>
      <c r="AI68" s="44"/>
    </row>
    <row r="69" spans="1:35" s="68" customFormat="1" x14ac:dyDescent="0.2">
      <c r="A69" s="689"/>
      <c r="B69" s="62" t="s">
        <v>248</v>
      </c>
      <c r="C69" s="283" t="s">
        <v>153</v>
      </c>
      <c r="D69" s="284">
        <f>D65-SUM(D67,D66,D68)</f>
        <v>9.3727154228362686</v>
      </c>
      <c r="E69" s="284">
        <f t="shared" ref="E69:AH69" si="19">E65-SUM(E67,E66,E68)</f>
        <v>9.9952419816108531</v>
      </c>
      <c r="F69" s="284">
        <f t="shared" si="19"/>
        <v>10.632191958008885</v>
      </c>
      <c r="G69" s="284">
        <f t="shared" si="19"/>
        <v>11.283771200656609</v>
      </c>
      <c r="H69" s="284">
        <f t="shared" si="19"/>
        <v>11.950185462381882</v>
      </c>
      <c r="I69" s="284">
        <f t="shared" si="19"/>
        <v>12.631640253882342</v>
      </c>
      <c r="J69" s="284">
        <f t="shared" si="19"/>
        <v>13.159891050267866</v>
      </c>
      <c r="K69" s="284">
        <f t="shared" si="19"/>
        <v>13.698083000827996</v>
      </c>
      <c r="L69" s="284">
        <f t="shared" si="19"/>
        <v>14.246309495443462</v>
      </c>
      <c r="M69" s="284">
        <f t="shared" si="19"/>
        <v>14.804662157839104</v>
      </c>
      <c r="N69" s="284">
        <f t="shared" si="19"/>
        <v>15.373230710236363</v>
      </c>
      <c r="O69" s="284">
        <f t="shared" si="19"/>
        <v>15.279692579884788</v>
      </c>
      <c r="P69" s="284">
        <f t="shared" si="19"/>
        <v>15.183462163312207</v>
      </c>
      <c r="Q69" s="284">
        <f t="shared" si="19"/>
        <v>15.084520460387331</v>
      </c>
      <c r="R69" s="284">
        <f t="shared" si="19"/>
        <v>14.9828489966647</v>
      </c>
      <c r="S69" s="284">
        <f t="shared" si="19"/>
        <v>14.878429849874035</v>
      </c>
      <c r="T69" s="284">
        <f t="shared" si="19"/>
        <v>14.725707853686824</v>
      </c>
      <c r="U69" s="284">
        <f t="shared" si="19"/>
        <v>14.569829885020035</v>
      </c>
      <c r="V69" s="284">
        <f t="shared" si="19"/>
        <v>14.410785145759412</v>
      </c>
      <c r="W69" s="284">
        <f t="shared" si="19"/>
        <v>14.248563767752</v>
      </c>
      <c r="X69" s="284">
        <f t="shared" si="19"/>
        <v>14.083156849802769</v>
      </c>
      <c r="Y69" s="284">
        <f t="shared" si="19"/>
        <v>13.869894590273542</v>
      </c>
      <c r="Z69" s="284">
        <f t="shared" si="19"/>
        <v>13.653217489619866</v>
      </c>
      <c r="AA69" s="284">
        <f t="shared" si="19"/>
        <v>13.433129588532044</v>
      </c>
      <c r="AB69" s="284">
        <f t="shared" si="19"/>
        <v>13.209636408675191</v>
      </c>
      <c r="AC69" s="284">
        <f t="shared" si="19"/>
        <v>12.982745003070448</v>
      </c>
      <c r="AD69" s="284">
        <f t="shared" si="19"/>
        <v>12.714746607621979</v>
      </c>
      <c r="AE69" s="284">
        <f t="shared" si="19"/>
        <v>12.44321303765296</v>
      </c>
      <c r="AF69" s="284">
        <f t="shared" si="19"/>
        <v>12.168163575623996</v>
      </c>
      <c r="AG69" s="284">
        <f t="shared" si="19"/>
        <v>11.889619485976922</v>
      </c>
      <c r="AH69" s="284">
        <f t="shared" si="19"/>
        <v>11.607604076998935</v>
      </c>
      <c r="AI69" s="284"/>
    </row>
    <row r="70" spans="1:35" s="67" customFormat="1" x14ac:dyDescent="0.2">
      <c r="A70" s="687" t="s">
        <v>263</v>
      </c>
      <c r="B70" s="58" t="s">
        <v>264</v>
      </c>
      <c r="C70" s="59" t="s">
        <v>153</v>
      </c>
      <c r="D70" s="60">
        <f>D65*'Demand Breakdown - Ethylene'!$E$76</f>
        <v>2.8834082840236679</v>
      </c>
      <c r="E70" s="60">
        <f>E65*'Demand Breakdown - Ethylene'!$E$76</f>
        <v>3.0749214320940701</v>
      </c>
      <c r="F70" s="60">
        <f>F65*'Demand Breakdown - Ethylene'!$E$76</f>
        <v>3.2708717789892714</v>
      </c>
      <c r="G70" s="60">
        <f>G65*'Demand Breakdown - Ethylene'!$E$76</f>
        <v>3.4713226516756173</v>
      </c>
      <c r="H70" s="60">
        <f>H65*'Demand Breakdown - Ethylene'!$E$76</f>
        <v>3.6763373476481847</v>
      </c>
      <c r="I70" s="60">
        <f>I65*'Demand Breakdown - Ethylene'!$E$76</f>
        <v>3.8859790899134636</v>
      </c>
      <c r="J70" s="60">
        <f>J65*'Demand Breakdown - Ethylene'!$E$76</f>
        <v>4.0484893821420087</v>
      </c>
      <c r="K70" s="60">
        <f>K65*'Demand Breakdown - Ethylene'!$E$76</f>
        <v>4.2140579563098504</v>
      </c>
      <c r="L70" s="60">
        <f>L65*'Demand Breakdown - Ethylene'!$E$76</f>
        <v>4.3827135427415085</v>
      </c>
      <c r="M70" s="60">
        <f>M65*'Demand Breakdown - Ethylene'!$E$76</f>
        <v>4.5544843284239223</v>
      </c>
      <c r="N70" s="60">
        <f>N65*'Demand Breakdown - Ethylene'!$E$76</f>
        <v>4.7293979153683434</v>
      </c>
      <c r="O70" s="60">
        <f>O65*'Demand Breakdown - Ethylene'!$E$76</f>
        <v>4.7006219835534635</v>
      </c>
      <c r="P70" s="60">
        <f>P65*'Demand Breakdown - Ethylene'!$E$76</f>
        <v>4.6710178007950311</v>
      </c>
      <c r="Q70" s="60">
        <f>Q65*'Demand Breakdown - Ethylene'!$E$76</f>
        <v>4.6405795219208112</v>
      </c>
      <c r="R70" s="60">
        <f>R65*'Demand Breakdown - Ethylene'!$E$76</f>
        <v>4.6093014634797775</v>
      </c>
      <c r="S70" s="60">
        <f>S65*'Demand Breakdown - Ethylene'!$E$76</f>
        <v>4.5771781118912598</v>
      </c>
      <c r="T70" s="60">
        <f>T65*'Demand Breakdown - Ethylene'!$E$76</f>
        <v>4.5301949432904172</v>
      </c>
      <c r="U70" s="60">
        <f>U65*'Demand Breakdown - Ethylene'!$E$76</f>
        <v>4.4822408759925336</v>
      </c>
      <c r="V70" s="60">
        <f>V65*'Demand Breakdown - Ethylene'!$E$76</f>
        <v>4.4333125880817406</v>
      </c>
      <c r="W70" s="60">
        <f>W65*'Demand Breakdown - Ethylene'!$E$76</f>
        <v>4.3834070437340857</v>
      </c>
      <c r="X70" s="60">
        <f>X65*'Demand Breakdown - Ethylene'!$E$76</f>
        <v>4.3325215045991188</v>
      </c>
      <c r="Y70" s="60">
        <f>Y65*'Demand Breakdown - Ethylene'!$E$76</f>
        <v>4.2669138190933866</v>
      </c>
      <c r="Z70" s="60">
        <f>Z65*'Demand Breakdown - Ethylene'!$E$76</f>
        <v>4.2002555969243005</v>
      </c>
      <c r="AA70" s="60">
        <f>AA65*'Demand Breakdown - Ethylene'!$E$76</f>
        <v>4.1325480811638391</v>
      </c>
      <c r="AB70" s="60">
        <f>AB65*'Demand Breakdown - Ethylene'!$E$76</f>
        <v>4.0637929704888753</v>
      </c>
      <c r="AC70" s="60">
        <f>AC65*'Demand Breakdown - Ethylene'!$E$76</f>
        <v>3.9939924346803837</v>
      </c>
      <c r="AD70" s="60">
        <f>AD65*'Demand Breakdown - Ethylene'!$E$76</f>
        <v>3.9115458054294416</v>
      </c>
      <c r="AE70" s="60">
        <f>AE65*'Demand Breakdown - Ethylene'!$E$76</f>
        <v>3.8280116203274832</v>
      </c>
      <c r="AF70" s="60">
        <f>AF65*'Demand Breakdown - Ethylene'!$E$76</f>
        <v>3.7433958114021149</v>
      </c>
      <c r="AG70" s="60">
        <f>AG65*'Demand Breakdown - Ethylene'!$E$76</f>
        <v>3.6577049204147118</v>
      </c>
      <c r="AH70" s="60">
        <f>AH65*'Demand Breakdown - Ethylene'!$E$76</f>
        <v>3.5709461178922108</v>
      </c>
      <c r="AI70" s="60"/>
    </row>
    <row r="71" spans="1:35" s="68" customFormat="1" x14ac:dyDescent="0.2">
      <c r="A71" s="689"/>
      <c r="B71" s="62" t="s">
        <v>266</v>
      </c>
      <c r="C71" s="283" t="s">
        <v>153</v>
      </c>
      <c r="D71" s="284">
        <f>D65*'Demand Breakdown - Ethylene'!$D$76/'Demand Breakdown - Ethylene'!$L$24</f>
        <v>2.8011119939271247</v>
      </c>
      <c r="E71" s="284">
        <f>E65*'Demand Breakdown - Ethylene'!$D$76/'Demand Breakdown - Ethylene'!$L$24</f>
        <v>2.9871591031856704</v>
      </c>
      <c r="F71" s="284">
        <f>F65*'Demand Breakdown - Ethylene'!$D$76/'Demand Breakdown - Ethylene'!$L$24</f>
        <v>3.177516767739645</v>
      </c>
      <c r="G71" s="284">
        <f>G65*'Demand Breakdown - Ethylene'!$D$76/'Demand Breakdown - Ethylene'!$L$24</f>
        <v>3.3722465071199297</v>
      </c>
      <c r="H71" s="284">
        <f>H65*'Demand Breakdown - Ethylene'!$D$76/'Demand Breakdown - Ethylene'!$L$24</f>
        <v>3.571409812227285</v>
      </c>
      <c r="I71" s="284">
        <f>I65*'Demand Breakdown - Ethylene'!$D$76/'Demand Breakdown - Ethylene'!$L$24</f>
        <v>3.7750681015998877</v>
      </c>
      <c r="J71" s="284">
        <f>J65*'Demand Breakdown - Ethylene'!$D$76/'Demand Breakdown - Ethylene'!$L$24</f>
        <v>3.9329401349224651</v>
      </c>
      <c r="K71" s="284">
        <f>K65*'Demand Breakdown - Ethylene'!$D$76/'Demand Breakdown - Ethylene'!$L$24</f>
        <v>4.0937831627685854</v>
      </c>
      <c r="L71" s="284">
        <f>L65*'Demand Breakdown - Ethylene'!$D$76/'Demand Breakdown - Ethylene'!$L$24</f>
        <v>4.2576250954612682</v>
      </c>
      <c r="M71" s="284">
        <f>M65*'Demand Breakdown - Ethylene'!$D$76/'Demand Breakdown - Ethylene'!$L$24</f>
        <v>4.4244933154935255</v>
      </c>
      <c r="N71" s="284">
        <f>N65*'Demand Breakdown - Ethylene'!$D$76/'Demand Breakdown - Ethylene'!$L$24</f>
        <v>4.5944146370786623</v>
      </c>
      <c r="O71" s="284">
        <f>O65*'Demand Breakdown - Ethylene'!$D$76/'Demand Breakdown - Ethylene'!$L$24</f>
        <v>4.5664600084574918</v>
      </c>
      <c r="P71" s="284">
        <f>P65*'Demand Breakdown - Ethylene'!$D$76/'Demand Breakdown - Ethylene'!$L$24</f>
        <v>4.5377007682713124</v>
      </c>
      <c r="Q71" s="284">
        <f>Q65*'Demand Breakdown - Ethylene'!$D$76/'Demand Breakdown - Ethylene'!$L$24</f>
        <v>4.5081312381768441</v>
      </c>
      <c r="R71" s="284">
        <f>R65*'Demand Breakdown - Ethylene'!$D$76/'Demand Breakdown - Ethylene'!$L$24</f>
        <v>4.4777458969362787</v>
      </c>
      <c r="S71" s="284">
        <f>S65*'Demand Breakdown - Ethylene'!$D$76/'Demand Breakdown - Ethylene'!$L$24</f>
        <v>4.4465393883338376</v>
      </c>
      <c r="T71" s="284">
        <f>T65*'Demand Breakdown - Ethylene'!$D$76/'Demand Breakdown - Ethylene'!$L$24</f>
        <v>4.4008971815711959</v>
      </c>
      <c r="U71" s="284">
        <f>U65*'Demand Breakdown - Ethylene'!$D$76/'Demand Breakdown - Ethylene'!$L$24</f>
        <v>4.3543117868458108</v>
      </c>
      <c r="V71" s="284">
        <f>V65*'Demand Breakdown - Ethylene'!$D$76/'Demand Breakdown - Ethylene'!$L$24</f>
        <v>4.3067799770536883</v>
      </c>
      <c r="W71" s="284">
        <f>W65*'Demand Breakdown - Ethylene'!$D$76/'Demand Breakdown - Ethylene'!$L$24</f>
        <v>4.258298803017313</v>
      </c>
      <c r="X71" s="284">
        <f>X65*'Demand Breakdown - Ethylene'!$D$76/'Demand Breakdown - Ethylene'!$L$24</f>
        <v>4.2088656045423818</v>
      </c>
      <c r="Y71" s="284">
        <f>Y65*'Demand Breakdown - Ethylene'!$D$76/'Demand Breakdown - Ethylene'!$L$24</f>
        <v>4.1451304492464223</v>
      </c>
      <c r="Z71" s="284">
        <f>Z65*'Demand Breakdown - Ethylene'!$D$76/'Demand Breakdown - Ethylene'!$L$24</f>
        <v>4.0803747409944053</v>
      </c>
      <c r="AA71" s="284">
        <f>AA65*'Demand Breakdown - Ethylene'!$D$76/'Demand Breakdown - Ethylene'!$L$24</f>
        <v>4.0145996873793885</v>
      </c>
      <c r="AB71" s="284">
        <f>AB65*'Demand Breakdown - Ethylene'!$D$76/'Demand Breakdown - Ethylene'!$L$24</f>
        <v>3.9478069385957593</v>
      </c>
      <c r="AC71" s="284">
        <f>AC65*'Demand Breakdown - Ethylene'!$D$76/'Demand Breakdown - Ethylene'!$L$24</f>
        <v>3.87999860249607</v>
      </c>
      <c r="AD71" s="284">
        <f>AD65*'Demand Breakdown - Ethylene'!$D$76/'Demand Breakdown - Ethylene'!$L$24</f>
        <v>3.7999051092043721</v>
      </c>
      <c r="AE71" s="284">
        <f>AE65*'Demand Breakdown - Ethylene'!$D$76/'Demand Breakdown - Ethylene'!$L$24</f>
        <v>3.7187551003455832</v>
      </c>
      <c r="AF71" s="284">
        <f>AF65*'Demand Breakdown - Ethylene'!$D$76/'Demand Breakdown - Ethylene'!$L$24</f>
        <v>3.6365543386393893</v>
      </c>
      <c r="AG71" s="284">
        <f>AG65*'Demand Breakdown - Ethylene'!$D$76/'Demand Breakdown - Ethylene'!$L$24</f>
        <v>3.5533091791366336</v>
      </c>
      <c r="AH71" s="284">
        <f>AH65*'Demand Breakdown - Ethylene'!$D$76/'Demand Breakdown - Ethylene'!$L$24</f>
        <v>3.4690265877079218</v>
      </c>
      <c r="AI71" s="284"/>
    </row>
    <row r="72" spans="1:35" s="67" customFormat="1" outlineLevel="1" x14ac:dyDescent="0.2">
      <c r="B72" s="58" t="s">
        <v>210</v>
      </c>
      <c r="C72" s="59" t="s">
        <v>153</v>
      </c>
      <c r="D72" s="60">
        <f>'Demand - Wind'!D37/1000000</f>
        <v>0</v>
      </c>
      <c r="E72" s="60">
        <f>'Demand - Wind'!E37/1000000</f>
        <v>0.12008947311463376</v>
      </c>
      <c r="F72" s="60">
        <f>'Demand - Wind'!F37/1000000</f>
        <v>0.13274199921705168</v>
      </c>
      <c r="G72" s="60">
        <f>'Demand - Wind'!G37/1000000</f>
        <v>0.14672758485100384</v>
      </c>
      <c r="H72" s="60">
        <f>'Demand - Wind'!H37/1000000</f>
        <v>0.16218668004996406</v>
      </c>
      <c r="I72" s="60">
        <f>'Demand - Wind'!I37/1000000</f>
        <v>0.17927453254506018</v>
      </c>
      <c r="J72" s="60">
        <f>'Demand - Wind'!J37/1000000</f>
        <v>0.19816274683808111</v>
      </c>
      <c r="K72" s="60">
        <f>'Demand - Wind'!K37/1000000</f>
        <v>0.21904100753710451</v>
      </c>
      <c r="L72" s="60">
        <f>'Demand - Wind'!L37/1000000</f>
        <v>0.2421189842613227</v>
      </c>
      <c r="M72" s="60">
        <f>'Demand - Wind'!M37/1000000</f>
        <v>0.26762843724504182</v>
      </c>
      <c r="N72" s="60">
        <f>'Demand - Wind'!N37/1000000</f>
        <v>0.29582554478634898</v>
      </c>
      <c r="O72" s="60">
        <f>'Demand - Wind'!O37/1000000</f>
        <v>0.32699347591382105</v>
      </c>
      <c r="P72" s="60">
        <f>'Demand - Wind'!P37/1000000</f>
        <v>0.36144523410723628</v>
      </c>
      <c r="Q72" s="60">
        <f>'Demand - Wind'!Q37/1000000</f>
        <v>0.39952680063031559</v>
      </c>
      <c r="R72" s="60">
        <f>'Demand - Wind'!R37/1000000</f>
        <v>0.44162060904235889</v>
      </c>
      <c r="S72" s="60">
        <f>'Demand - Wind'!S37/1000000</f>
        <v>0.4881493857815194</v>
      </c>
      <c r="T72" s="60">
        <f>'Demand - Wind'!T37/1000000</f>
        <v>0.53958039538869984</v>
      </c>
      <c r="U72" s="60">
        <f>'Demand - Wind'!U37/1000000</f>
        <v>0.59643013300468273</v>
      </c>
      <c r="V72" s="60">
        <f>'Demand - Wind'!V37/1000000</f>
        <v>0.65926951126481503</v>
      </c>
      <c r="W72" s="60">
        <f>'Demand - Wind'!W37/1000000</f>
        <v>0.72872959368056567</v>
      </c>
      <c r="X72" s="60">
        <f>'Demand - Wind'!X37/1000000</f>
        <v>0.80550793208535187</v>
      </c>
      <c r="Y72" s="60">
        <f>'Demand - Wind'!Y37/1000000</f>
        <v>0.89037557178834259</v>
      </c>
      <c r="Z72" s="60">
        <f>'Demand - Wind'!Z37/1000000</f>
        <v>0.98418479478537868</v>
      </c>
      <c r="AA72" s="60">
        <f>'Demand - Wind'!AA37/1000000</f>
        <v>1.0878776787881119</v>
      </c>
      <c r="AB72" s="60">
        <f>'Demand - Wind'!AB37/1000000</f>
        <v>1.2024955580252485</v>
      </c>
      <c r="AC72" s="60">
        <f>'Demand - Wind'!AC37/1000000</f>
        <v>1.3291894808259002</v>
      </c>
      <c r="AD72" s="60">
        <f>'Demand - Wind'!AD37/1000000</f>
        <v>1.4692317690051102</v>
      </c>
      <c r="AE72" s="60">
        <f>'Demand - Wind'!AE37/1000000</f>
        <v>1.6240287951365695</v>
      </c>
      <c r="AF72" s="60">
        <f>'Demand - Wind'!AF37/1000000</f>
        <v>1.7951351060280285</v>
      </c>
      <c r="AG72" s="60">
        <f>'Demand - Wind'!AG37/1000000</f>
        <v>1.9842690342342524</v>
      </c>
      <c r="AH72" s="60">
        <f>'Demand - Wind'!AH37/1000000</f>
        <v>2.1933299543858755</v>
      </c>
    </row>
    <row r="73" spans="1:35" outlineLevel="1" x14ac:dyDescent="0.2">
      <c r="B73" s="1" t="s">
        <v>211</v>
      </c>
      <c r="C73" s="54" t="s">
        <v>153</v>
      </c>
      <c r="D73" s="44">
        <f>'Demand - Solar'!D32/1000000</f>
        <v>0</v>
      </c>
      <c r="E73" s="44">
        <f>'Demand - Solar'!E32/1000000</f>
        <v>0.55101223885090722</v>
      </c>
      <c r="F73" s="44">
        <f>'Demand - Solar'!F32/1000000</f>
        <v>0.62522552579716173</v>
      </c>
      <c r="G73" s="44">
        <f>'Demand - Solar'!G32/1000000</f>
        <v>0.70943425671187144</v>
      </c>
      <c r="H73" s="44">
        <f>'Demand - Solar'!H32/1000000</f>
        <v>0.80498467165847454</v>
      </c>
      <c r="I73" s="44">
        <f>'Demand - Solar'!I32/1000000</f>
        <v>0.91340432954068651</v>
      </c>
      <c r="J73" s="44">
        <f>'Demand - Solar'!J32/1000000</f>
        <v>1.0364265290974854</v>
      </c>
      <c r="K73" s="44">
        <f>'Demand - Solar'!K32/1000000</f>
        <v>1.1760180190488263</v>
      </c>
      <c r="L73" s="44">
        <f>'Demand - Solar'!L32/1000000</f>
        <v>1.3344104403925769</v>
      </c>
      <c r="M73" s="44">
        <f>'Demand - Solar'!M32/1000000</f>
        <v>1.5141360035188232</v>
      </c>
      <c r="N73" s="44">
        <f>'Demand - Solar'!N32/1000000</f>
        <v>1.718067970509491</v>
      </c>
      <c r="O73" s="44">
        <f>'Demand - Solar'!O32/1000000</f>
        <v>1.9494665898114683</v>
      </c>
      <c r="P73" s="44">
        <f>'Demand - Solar'!P32/1000000</f>
        <v>2.2120312176381116</v>
      </c>
      <c r="Q73" s="44">
        <f>'Demand - Solar'!Q32/1000000</f>
        <v>2.5099594593610157</v>
      </c>
      <c r="R73" s="44">
        <f>'Demand - Solar'!R32/1000000</f>
        <v>2.8480142763819258</v>
      </c>
      <c r="S73" s="44">
        <f>'Demand - Solar'!S32/1000000</f>
        <v>3.2316001313185385</v>
      </c>
      <c r="T73" s="44">
        <f>'Demand - Solar'!T32/1000000</f>
        <v>3.6668493888327456</v>
      </c>
      <c r="U73" s="44">
        <f>'Demand - Solar'!U32/1000000</f>
        <v>4.160720353386357</v>
      </c>
      <c r="V73" s="44">
        <f>'Demand - Solar'!V32/1000000</f>
        <v>4.7211085112481879</v>
      </c>
      <c r="W73" s="44">
        <f>'Demand - Solar'!W32/1000000</f>
        <v>5.3569727551719453</v>
      </c>
      <c r="X73" s="44">
        <f>'Demand - Solar'!X32/1000000</f>
        <v>6.0784786096914774</v>
      </c>
      <c r="Y73" s="44">
        <f>'Demand - Solar'!Y32/1000000</f>
        <v>6.8971607467678657</v>
      </c>
      <c r="Z73" s="44">
        <f>'Demand - Solar'!Z32/1000000</f>
        <v>7.8261073899164364</v>
      </c>
      <c r="AA73" s="44">
        <f>'Demand - Solar'!AA32/1000000</f>
        <v>8.8801695548717721</v>
      </c>
      <c r="AB73" s="44">
        <f>'Demand - Solar'!AB32/1000000</f>
        <v>10.076198471908972</v>
      </c>
      <c r="AC73" s="44">
        <f>'Demand - Solar'!AC32/1000000</f>
        <v>11.433314985477972</v>
      </c>
      <c r="AD73" s="44">
        <f>'Demand - Solar'!AD32/1000000</f>
        <v>12.973215238027134</v>
      </c>
      <c r="AE73" s="44">
        <f>'Demand - Solar'!AE32/1000000</f>
        <v>14.720517524965521</v>
      </c>
      <c r="AF73" s="44">
        <f>'Demand - Solar'!AF32/1000000</f>
        <v>16.703155865913942</v>
      </c>
      <c r="AG73" s="44">
        <f>'Demand - Solar'!AG32/1000000</f>
        <v>18.952826584245294</v>
      </c>
      <c r="AH73" s="44">
        <f>'Demand - Solar'!AH32/1000000</f>
        <v>21.505495034355324</v>
      </c>
    </row>
    <row r="74" spans="1:35" s="193" customFormat="1" x14ac:dyDescent="0.2">
      <c r="A74" s="189" t="s">
        <v>212</v>
      </c>
      <c r="B74" s="190" t="s">
        <v>213</v>
      </c>
      <c r="C74" s="191" t="s">
        <v>153</v>
      </c>
      <c r="D74" s="192">
        <f>D72+D73</f>
        <v>0</v>
      </c>
      <c r="E74" s="192">
        <f t="shared" ref="E74:AG74" si="20">E72+E73</f>
        <v>0.67110171196554103</v>
      </c>
      <c r="F74" s="192">
        <f t="shared" si="20"/>
        <v>0.75796752501421338</v>
      </c>
      <c r="G74" s="192">
        <f t="shared" si="20"/>
        <v>0.85616184156287534</v>
      </c>
      <c r="H74" s="192">
        <f t="shared" si="20"/>
        <v>0.9671713517084386</v>
      </c>
      <c r="I74" s="192">
        <f t="shared" si="20"/>
        <v>1.0926788620857466</v>
      </c>
      <c r="J74" s="192">
        <f t="shared" si="20"/>
        <v>1.2345892759355666</v>
      </c>
      <c r="K74" s="192">
        <f t="shared" si="20"/>
        <v>1.3950590265859308</v>
      </c>
      <c r="L74" s="192">
        <f t="shared" si="20"/>
        <v>1.5765294246538997</v>
      </c>
      <c r="M74" s="192">
        <f t="shared" si="20"/>
        <v>1.7817644407638649</v>
      </c>
      <c r="N74" s="192">
        <f t="shared" si="20"/>
        <v>2.0138935152958402</v>
      </c>
      <c r="O74" s="192">
        <f t="shared" si="20"/>
        <v>2.2764600657252894</v>
      </c>
      <c r="P74" s="192">
        <f t="shared" si="20"/>
        <v>2.5734764517453481</v>
      </c>
      <c r="Q74" s="192">
        <f t="shared" si="20"/>
        <v>2.9094862599913314</v>
      </c>
      <c r="R74" s="192">
        <f t="shared" si="20"/>
        <v>3.2896348854242845</v>
      </c>
      <c r="S74" s="192">
        <f t="shared" si="20"/>
        <v>3.7197495171000581</v>
      </c>
      <c r="T74" s="192">
        <f t="shared" si="20"/>
        <v>4.2064297842214451</v>
      </c>
      <c r="U74" s="192">
        <f t="shared" si="20"/>
        <v>4.7571504863910397</v>
      </c>
      <c r="V74" s="192">
        <f t="shared" si="20"/>
        <v>5.3803780225130033</v>
      </c>
      <c r="W74" s="192">
        <f t="shared" si="20"/>
        <v>6.0857023488525108</v>
      </c>
      <c r="X74" s="192">
        <f t="shared" si="20"/>
        <v>6.8839865417768289</v>
      </c>
      <c r="Y74" s="192">
        <f t="shared" si="20"/>
        <v>7.7875363185562083</v>
      </c>
      <c r="Z74" s="192">
        <f t="shared" si="20"/>
        <v>8.8102921847018152</v>
      </c>
      <c r="AA74" s="192">
        <f t="shared" si="20"/>
        <v>9.9680472336598847</v>
      </c>
      <c r="AB74" s="192">
        <f t="shared" si="20"/>
        <v>11.27869402993422</v>
      </c>
      <c r="AC74" s="192">
        <f t="shared" si="20"/>
        <v>12.762504466303872</v>
      </c>
      <c r="AD74" s="192">
        <f t="shared" si="20"/>
        <v>14.442447007032245</v>
      </c>
      <c r="AE74" s="192">
        <f t="shared" si="20"/>
        <v>16.34454632010209</v>
      </c>
      <c r="AF74" s="192">
        <f t="shared" si="20"/>
        <v>18.498290971941969</v>
      </c>
      <c r="AG74" s="192">
        <f t="shared" si="20"/>
        <v>20.937095618479546</v>
      </c>
      <c r="AH74" s="192">
        <f>AH72+AH73</f>
        <v>23.698824988741201</v>
      </c>
    </row>
    <row r="75" spans="1:35" s="67" customFormat="1" x14ac:dyDescent="0.2">
      <c r="A75" s="687" t="s">
        <v>257</v>
      </c>
      <c r="B75" s="58" t="s">
        <v>258</v>
      </c>
      <c r="C75" s="59" t="s">
        <v>153</v>
      </c>
      <c r="D75" s="60">
        <f>D72*'Demand - Wind'!$I$22+D73*'Demand - Solar'!$J$25</f>
        <v>0</v>
      </c>
      <c r="E75" s="60">
        <f>E72*'Demand - Wind'!$I$22+E73*'Demand - Solar'!$J$25</f>
        <v>0.25750743884407723</v>
      </c>
      <c r="F75" s="60">
        <f>F72*'Demand - Wind'!$I$22+F73*'Demand - Solar'!$J$25</f>
        <v>0.29218992337397443</v>
      </c>
      <c r="G75" s="60">
        <f>G72*'Demand - Wind'!$I$22+G73*'Demand - Solar'!$J$25</f>
        <v>0.33154363114529001</v>
      </c>
      <c r="H75" s="60">
        <f>H72*'Demand - Wind'!$I$22+H73*'Demand - Solar'!$J$25</f>
        <v>0.37619770758595183</v>
      </c>
      <c r="I75" s="60">
        <f>I72*'Demand - Wind'!$I$22+I73*'Demand - Solar'!$J$25</f>
        <v>0.42686603480826918</v>
      </c>
      <c r="J75" s="60">
        <f>J72*'Demand - Wind'!$I$22+J73*'Demand - Solar'!$J$25</f>
        <v>0.48435864440057264</v>
      </c>
      <c r="K75" s="60">
        <f>K72*'Demand - Wind'!$I$22+K73*'Demand - Solar'!$J$25</f>
        <v>0.54959466735490992</v>
      </c>
      <c r="L75" s="60">
        <f>L72*'Demand - Wind'!$I$22+L73*'Demand - Solar'!$J$25</f>
        <v>0.62361702816054232</v>
      </c>
      <c r="M75" s="60">
        <f>M72*'Demand - Wind'!$I$22+M73*'Demand - Solar'!$J$25</f>
        <v>0.70760911797684822</v>
      </c>
      <c r="N75" s="60">
        <f>N72*'Demand - Wind'!$I$22+N73*'Demand - Solar'!$J$25</f>
        <v>0.80291371343867612</v>
      </c>
      <c r="O75" s="60">
        <f>O72*'Demand - Wind'!$I$22+O73*'Demand - Solar'!$J$25</f>
        <v>0.91105444354799547</v>
      </c>
      <c r="P75" s="60">
        <f>P72*'Demand - Wind'!$I$22+P73*'Demand - Solar'!$J$25</f>
        <v>1.0337601478417648</v>
      </c>
      <c r="Q75" s="60">
        <f>Q72*'Demand - Wind'!$I$22+Q73*'Demand - Solar'!$J$25</f>
        <v>1.172992515248658</v>
      </c>
      <c r="R75" s="60">
        <f>R72*'Demand - Wind'!$I$22+R73*'Demand - Solar'!$J$25</f>
        <v>1.3309774454953927</v>
      </c>
      <c r="S75" s="60">
        <f>S72*'Demand - Wind'!$I$22+S73*'Demand - Solar'!$J$25</f>
        <v>1.5102406344356836</v>
      </c>
      <c r="T75" s="60">
        <f>T72*'Demand - Wind'!$I$22+T73*'Demand - Solar'!$J$25</f>
        <v>1.7136479522023518</v>
      </c>
      <c r="U75" s="60">
        <f>U72*'Demand - Wind'!$I$22+U73*'Demand - Solar'!$J$25</f>
        <v>1.9444512597057728</v>
      </c>
      <c r="V75" s="60">
        <f>V72*'Demand - Wind'!$I$22+V73*'Demand - Solar'!$J$25</f>
        <v>2.2063403959443533</v>
      </c>
      <c r="W75" s="60">
        <f>W72*'Demand - Wind'!$I$22+W73*'Demand - Solar'!$J$25</f>
        <v>2.5035021672451121</v>
      </c>
      <c r="X75" s="60">
        <f>X72*'Demand - Wind'!$I$22+X73*'Demand - Solar'!$J$25</f>
        <v>2.8406872814919195</v>
      </c>
      <c r="Y75" s="60">
        <f>Y72*'Demand - Wind'!$I$22+Y73*'Demand - Solar'!$J$25</f>
        <v>3.2232862974150107</v>
      </c>
      <c r="Z75" s="60">
        <f>Z72*'Demand - Wind'!$I$22+Z73*'Demand - Solar'!$J$25</f>
        <v>3.6574158031385977</v>
      </c>
      <c r="AA75" s="60">
        <f>AA72*'Demand - Wind'!$I$22+AA73*'Demand - Solar'!$J$25</f>
        <v>4.1500162017180111</v>
      </c>
      <c r="AB75" s="60">
        <f>AB72*'Demand - Wind'!$I$22+AB73*'Demand - Solar'!$J$25</f>
        <v>4.7089626669580316</v>
      </c>
      <c r="AC75" s="60">
        <f>AC72*'Demand - Wind'!$I$22+AC73*'Demand - Solar'!$J$25</f>
        <v>5.3431910433566108</v>
      </c>
      <c r="AD75" s="60">
        <f>AD72*'Demand - Wind'!$I$22+AD73*'Demand - Solar'!$J$25</f>
        <v>6.0628407029290123</v>
      </c>
      <c r="AE75" s="60">
        <f>AE72*'Demand - Wind'!$I$22+AE73*'Demand - Solar'!$J$25</f>
        <v>6.8794166427560919</v>
      </c>
      <c r="AF75" s="60">
        <f>AF72*'Demand - Wind'!$I$22+AF73*'Demand - Solar'!$J$25</f>
        <v>7.8059734147007553</v>
      </c>
      <c r="AG75" s="60">
        <f>AG72*'Demand - Wind'!$I$22+AG73*'Demand - Solar'!$J$25</f>
        <v>8.8573238277662085</v>
      </c>
      <c r="AH75" s="60">
        <f>AH72*'Demand - Wind'!$I$22+AH73*'Demand - Solar'!$J$25</f>
        <v>10.050275759608461</v>
      </c>
      <c r="AI75" s="60"/>
    </row>
    <row r="76" spans="1:35" x14ac:dyDescent="0.2">
      <c r="A76" s="688"/>
      <c r="B76" s="1" t="s">
        <v>260</v>
      </c>
      <c r="C76" s="54" t="s">
        <v>153</v>
      </c>
      <c r="D76" s="44">
        <f>D72*'Demand - Wind'!$J$22+D73*'Demand - Solar'!$K$25</f>
        <v>0</v>
      </c>
      <c r="E76" s="44">
        <f>E72*'Demand - Wind'!$J$22+E73*'Demand - Solar'!$K$25</f>
        <v>0.17040506749049283</v>
      </c>
      <c r="F76" s="44">
        <f>F72*'Demand - Wind'!$J$22+F73*'Demand - Solar'!$K$25</f>
        <v>0.19159525248308629</v>
      </c>
      <c r="G76" s="44">
        <f>G72*'Demand - Wind'!$J$22+G73*'Demand - Solar'!$K$25</f>
        <v>0.21545392005919764</v>
      </c>
      <c r="H76" s="44">
        <f>H72*'Demand - Wind'!$J$22+H73*'Demand - Solar'!$K$25</f>
        <v>0.24232092899038996</v>
      </c>
      <c r="I76" s="44">
        <f>I72*'Demand - Wind'!$J$22+I73*'Demand - Solar'!$K$25</f>
        <v>0.2725798526189312</v>
      </c>
      <c r="J76" s="44">
        <f>J72*'Demand - Wind'!$J$22+J73*'Demand - Solar'!$K$25</f>
        <v>0.30666364959071457</v>
      </c>
      <c r="K76" s="44">
        <f>K72*'Demand - Wind'!$J$22+K73*'Demand - Solar'!$K$25</f>
        <v>0.34506107549208503</v>
      </c>
      <c r="L76" s="44">
        <f>L72*'Demand - Wind'!$J$22+L73*'Demand - Solar'!$K$25</f>
        <v>0.38832393277089378</v>
      </c>
      <c r="M76" s="44">
        <f>M72*'Demand - Wind'!$J$22+M73*'Demand - Solar'!$K$25</f>
        <v>0.43707526918402728</v>
      </c>
      <c r="N76" s="44">
        <f>N72*'Demand - Wind'!$J$22+N73*'Demand - Solar'!$K$25</f>
        <v>0.49201864958117847</v>
      </c>
      <c r="O76" s="44">
        <f>O72*'Demand - Wind'!$J$22+O73*'Demand - Solar'!$K$25</f>
        <v>0.55394864233462293</v>
      </c>
      <c r="P76" s="44">
        <f>P72*'Demand - Wind'!$J$22+P73*'Demand - Solar'!$K$25</f>
        <v>0.62376268041437455</v>
      </c>
      <c r="Q76" s="44">
        <f>Q72*'Demand - Wind'!$J$22+Q73*'Demand - Solar'!$K$25</f>
        <v>0.70247447827886833</v>
      </c>
      <c r="R76" s="44">
        <f>R72*'Demand - Wind'!$J$22+R73*'Demand - Solar'!$K$25</f>
        <v>0.79122920973349053</v>
      </c>
      <c r="S76" s="44">
        <f>S72*'Demand - Wind'!$J$22+S73*'Demand - Solar'!$K$25</f>
        <v>0.89132067907748114</v>
      </c>
      <c r="T76" s="44">
        <f>T72*'Demand - Wind'!$J$22+T73*'Demand - Solar'!$K$25</f>
        <v>1.0042107486382148</v>
      </c>
      <c r="U76" s="44">
        <f>U72*'Demand - Wind'!$J$22+U73*'Demand - Solar'!$K$25</f>
        <v>1.1315513206619583</v>
      </c>
      <c r="V76" s="44">
        <f>V72*'Demand - Wind'!$J$22+V73*'Demand - Solar'!$K$25</f>
        <v>1.2752092110371303</v>
      </c>
      <c r="W76" s="44">
        <f>W72*'Demand - Wind'!$J$22+W73*'Demand - Solar'!$K$25</f>
        <v>1.4372942970881879</v>
      </c>
      <c r="X76" s="44">
        <f>X72*'Demand - Wind'!$J$22+X73*'Demand - Solar'!$K$25</f>
        <v>1.6201913723963557</v>
      </c>
      <c r="Y76" s="44">
        <f>Y72*'Demand - Wind'!$J$22+Y73*'Demand - Solar'!$K$25</f>
        <v>1.826596199072033</v>
      </c>
      <c r="Z76" s="44">
        <f>Z72*'Demand - Wind'!$J$22+Z73*'Demand - Solar'!$K$25</f>
        <v>2.059556313023517</v>
      </c>
      <c r="AA76" s="44">
        <f>AA72*'Demand - Wind'!$J$22+AA73*'Demand - Solar'!$K$25</f>
        <v>2.3225172115589179</v>
      </c>
      <c r="AB76" s="44">
        <f>AB72*'Demand - Wind'!$J$22+AB73*'Demand - Solar'!$K$25</f>
        <v>2.6193746362803525</v>
      </c>
      <c r="AC76" s="44">
        <f>AC72*'Demand - Wind'!$J$22+AC73*'Demand - Solar'!$K$25</f>
        <v>2.9545337589943546</v>
      </c>
      <c r="AD76" s="44">
        <f>AD72*'Demand - Wind'!$J$22+AD73*'Demand - Solar'!$K$25</f>
        <v>3.3329761857578459</v>
      </c>
      <c r="AE76" s="44">
        <f>AE72*'Demand - Wind'!$J$22+AE73*'Demand - Solar'!$K$25</f>
        <v>3.7603358158923239</v>
      </c>
      <c r="AF76" s="44">
        <f>AF72*'Demand - Wind'!$J$22+AF73*'Demand - Solar'!$K$25</f>
        <v>4.2429847307429096</v>
      </c>
      <c r="AG76" s="44">
        <f>AG72*'Demand - Wind'!$J$22+AG73*'Demand - Solar'!$K$25</f>
        <v>4.7881304433026441</v>
      </c>
      <c r="AH76" s="44">
        <f>AH72*'Demand - Wind'!$J$22+AH73*'Demand - Solar'!$K$25</f>
        <v>5.4039260170251353</v>
      </c>
      <c r="AI76" s="44"/>
    </row>
    <row r="77" spans="1:35" x14ac:dyDescent="0.2">
      <c r="A77" s="688"/>
      <c r="B77" s="1" t="s">
        <v>262</v>
      </c>
      <c r="C77" s="54" t="s">
        <v>153</v>
      </c>
      <c r="D77" s="44">
        <f>D72*'Demand - Wind'!$K$22+D73*'Demand - Solar'!$L$25</f>
        <v>0</v>
      </c>
      <c r="E77" s="44">
        <f>E72*'Demand - Wind'!$K$22+E73*'Demand - Solar'!$L$25</f>
        <v>3.6026841934390125E-2</v>
      </c>
      <c r="F77" s="44">
        <f>F72*'Demand - Wind'!$K$22+F73*'Demand - Solar'!$L$25</f>
        <v>3.9822599765115506E-2</v>
      </c>
      <c r="G77" s="44">
        <f>G72*'Demand - Wind'!$K$22+G73*'Demand - Solar'!$L$25</f>
        <v>4.4018275455301153E-2</v>
      </c>
      <c r="H77" s="44">
        <f>H72*'Demand - Wind'!$K$22+H73*'Demand - Solar'!$L$25</f>
        <v>4.8656004014989214E-2</v>
      </c>
      <c r="I77" s="44">
        <f>I72*'Demand - Wind'!$K$22+I73*'Demand - Solar'!$L$25</f>
        <v>5.3782359763518049E-2</v>
      </c>
      <c r="J77" s="44">
        <f>J72*'Demand - Wind'!$K$22+J73*'Demand - Solar'!$L$25</f>
        <v>5.9448824051424327E-2</v>
      </c>
      <c r="K77" s="44">
        <f>K72*'Demand - Wind'!$K$22+K73*'Demand - Solar'!$L$25</f>
        <v>6.5712302261131353E-2</v>
      </c>
      <c r="L77" s="44">
        <f>L72*'Demand - Wind'!$K$22+L73*'Demand - Solar'!$L$25</f>
        <v>7.2635695278396806E-2</v>
      </c>
      <c r="M77" s="44">
        <f>M72*'Demand - Wind'!$K$22+M73*'Demand - Solar'!$L$25</f>
        <v>8.0288531173512548E-2</v>
      </c>
      <c r="N77" s="44">
        <f>N72*'Demand - Wind'!$K$22+N73*'Demand - Solar'!$L$25</f>
        <v>8.8747663435904692E-2</v>
      </c>
      <c r="O77" s="44">
        <f>O72*'Demand - Wind'!$K$22+O73*'Demand - Solar'!$L$25</f>
        <v>9.8098042774146313E-2</v>
      </c>
      <c r="P77" s="44">
        <f>P72*'Demand - Wind'!$K$22+P73*'Demand - Solar'!$L$25</f>
        <v>0.10843357023217089</v>
      </c>
      <c r="Q77" s="44">
        <f>Q72*'Demand - Wind'!$K$22+Q73*'Demand - Solar'!$L$25</f>
        <v>0.11985804018909467</v>
      </c>
      <c r="R77" s="44">
        <f>R72*'Demand - Wind'!$K$22+R73*'Demand - Solar'!$L$25</f>
        <v>0.13248618271270765</v>
      </c>
      <c r="S77" s="44">
        <f>S72*'Demand - Wind'!$K$22+S73*'Demand - Solar'!$L$25</f>
        <v>0.14644481573445581</v>
      </c>
      <c r="T77" s="44">
        <f>T72*'Demand - Wind'!$K$22+T73*'Demand - Solar'!$L$25</f>
        <v>0.16187411861660994</v>
      </c>
      <c r="U77" s="44">
        <f>U72*'Demand - Wind'!$K$22+U73*'Demand - Solar'!$L$25</f>
        <v>0.17892903990140482</v>
      </c>
      <c r="V77" s="44">
        <f>V72*'Demand - Wind'!$K$22+V73*'Demand - Solar'!$L$25</f>
        <v>0.19778085337944451</v>
      </c>
      <c r="W77" s="44">
        <f>W72*'Demand - Wind'!$K$22+W73*'Demand - Solar'!$L$25</f>
        <v>0.21861887810416969</v>
      </c>
      <c r="X77" s="44">
        <f>X72*'Demand - Wind'!$K$22+X73*'Demand - Solar'!$L$25</f>
        <v>0.24165237962560554</v>
      </c>
      <c r="Y77" s="44">
        <f>Y72*'Demand - Wind'!$K$22+Y73*'Demand - Solar'!$L$25</f>
        <v>0.26711267153650275</v>
      </c>
      <c r="Z77" s="44">
        <f>Z72*'Demand - Wind'!$K$22+Z73*'Demand - Solar'!$L$25</f>
        <v>0.29525543843561358</v>
      </c>
      <c r="AA77" s="44">
        <f>AA72*'Demand - Wind'!$K$22+AA73*'Demand - Solar'!$L$25</f>
        <v>0.32636330363643357</v>
      </c>
      <c r="AB77" s="44">
        <f>AB72*'Demand - Wind'!$K$22+AB73*'Demand - Solar'!$L$25</f>
        <v>0.36074866740757455</v>
      </c>
      <c r="AC77" s="44">
        <f>AC72*'Demand - Wind'!$K$22+AC73*'Demand - Solar'!$L$25</f>
        <v>0.39875684424777003</v>
      </c>
      <c r="AD77" s="44">
        <f>AD72*'Demand - Wind'!$K$22+AD73*'Demand - Solar'!$L$25</f>
        <v>0.44076953070153307</v>
      </c>
      <c r="AE77" s="44">
        <f>AE72*'Demand - Wind'!$K$22+AE73*'Demand - Solar'!$L$25</f>
        <v>0.48720863854097085</v>
      </c>
      <c r="AF77" s="44">
        <f>AF72*'Demand - Wind'!$K$22+AF73*'Demand - Solar'!$L$25</f>
        <v>0.53854053180840855</v>
      </c>
      <c r="AG77" s="44">
        <f>AG72*'Demand - Wind'!$K$22+AG73*'Demand - Solar'!$L$25</f>
        <v>0.59528071027027574</v>
      </c>
      <c r="AH77" s="44">
        <f>AH72*'Demand - Wind'!$K$22+AH73*'Demand - Solar'!$L$25</f>
        <v>0.65799898631576259</v>
      </c>
      <c r="AI77" s="44"/>
    </row>
    <row r="78" spans="1:35" s="68" customFormat="1" x14ac:dyDescent="0.2">
      <c r="A78" s="689"/>
      <c r="B78" s="62" t="s">
        <v>248</v>
      </c>
      <c r="C78" s="283" t="s">
        <v>153</v>
      </c>
      <c r="D78" s="284">
        <f>D72*'Demand - Wind'!$L$22+D73*'Demand - Solar'!$M$25</f>
        <v>0</v>
      </c>
      <c r="E78" s="284">
        <f>E72*'Demand - Wind'!$L$22+E73*'Demand - Solar'!$M$25</f>
        <v>0.20716236369658073</v>
      </c>
      <c r="F78" s="284">
        <f>F72*'Demand - Wind'!$L$22+F73*'Demand - Solar'!$M$25</f>
        <v>0.23435974939203716</v>
      </c>
      <c r="G78" s="284">
        <f>G72*'Demand - Wind'!$L$22+G73*'Demand - Solar'!$M$25</f>
        <v>0.26514601490308642</v>
      </c>
      <c r="H78" s="284">
        <f>H72*'Demand - Wind'!$L$22+H73*'Demand - Solar'!$M$25</f>
        <v>0.29999671111710757</v>
      </c>
      <c r="I78" s="284">
        <f>I72*'Demand - Wind'!$L$22+I73*'Demand - Solar'!$M$25</f>
        <v>0.33945061489502815</v>
      </c>
      <c r="J78" s="284">
        <f>J72*'Demand - Wind'!$L$22+J73*'Demand - Solar'!$M$25</f>
        <v>0.38411815789285497</v>
      </c>
      <c r="K78" s="284">
        <f>K72*'Demand - Wind'!$L$22+K73*'Demand - Solar'!$M$25</f>
        <v>0.43469098147780438</v>
      </c>
      <c r="L78" s="284">
        <f>L72*'Demand - Wind'!$L$22+L73*'Demand - Solar'!$M$25</f>
        <v>0.49195276844406666</v>
      </c>
      <c r="M78" s="284">
        <f>M72*'Demand - Wind'!$L$22+M73*'Demand - Solar'!$M$25</f>
        <v>0.55679152242947672</v>
      </c>
      <c r="N78" s="284">
        <f>N72*'Demand - Wind'!$L$22+N73*'Demand - Solar'!$M$25</f>
        <v>0.63021348884008055</v>
      </c>
      <c r="O78" s="284">
        <f>O72*'Demand - Wind'!$L$22+O73*'Demand - Solar'!$M$25</f>
        <v>0.71335893706852438</v>
      </c>
      <c r="P78" s="284">
        <f>P72*'Demand - Wind'!$L$22+P73*'Demand - Solar'!$M$25</f>
        <v>0.80752005325703735</v>
      </c>
      <c r="Q78" s="284">
        <f>Q72*'Demand - Wind'!$L$22+Q73*'Demand - Solar'!$M$25</f>
        <v>0.91416122627471019</v>
      </c>
      <c r="R78" s="284">
        <f>R72*'Demand - Wind'!$L$22+R73*'Demand - Solar'!$M$25</f>
        <v>1.0349420474826936</v>
      </c>
      <c r="S78" s="284">
        <f>S72*'Demand - Wind'!$L$22+S73*'Demand - Solar'!$M$25</f>
        <v>1.171743387852437</v>
      </c>
      <c r="T78" s="284">
        <f>T72*'Demand - Wind'!$L$22+T73*'Demand - Solar'!$M$25</f>
        <v>1.3266969647642686</v>
      </c>
      <c r="U78" s="284">
        <f>U72*'Demand - Wind'!$L$22+U73*'Demand - Solar'!$M$25</f>
        <v>1.5022188661219034</v>
      </c>
      <c r="V78" s="284">
        <f>V72*'Demand - Wind'!$L$22+V73*'Demand - Solar'!$M$25</f>
        <v>1.7010475621520742</v>
      </c>
      <c r="W78" s="284">
        <f>W72*'Demand - Wind'!$L$22+W73*'Demand - Solar'!$M$25</f>
        <v>1.9262870064150406</v>
      </c>
      <c r="X78" s="284">
        <f>X72*'Demand - Wind'!$L$22+X73*'Demand - Solar'!$M$25</f>
        <v>2.1814555082629483</v>
      </c>
      <c r="Y78" s="284">
        <f>Y72*'Demand - Wind'!$L$22+Y73*'Demand - Solar'!$M$25</f>
        <v>2.4705411505326609</v>
      </c>
      <c r="Z78" s="284">
        <f>Z72*'Demand - Wind'!$L$22+Z73*'Demand - Solar'!$M$25</f>
        <v>2.7980646301040863</v>
      </c>
      <c r="AA78" s="284">
        <f>AA72*'Demand - Wind'!$L$22+AA73*'Demand - Solar'!$M$25</f>
        <v>3.1691505167465208</v>
      </c>
      <c r="AB78" s="284">
        <f>AB72*'Demand - Wind'!$L$22+AB73*'Demand - Solar'!$M$25</f>
        <v>3.5896080592882611</v>
      </c>
      <c r="AC78" s="284">
        <f>AC72*'Demand - Wind'!$L$22+AC73*'Demand - Solar'!$M$25</f>
        <v>4.066022819705136</v>
      </c>
      <c r="AD78" s="284">
        <f>AD72*'Demand - Wind'!$L$22+AD73*'Demand - Solar'!$M$25</f>
        <v>4.6058605876438516</v>
      </c>
      <c r="AE78" s="284">
        <f>AE72*'Demand - Wind'!$L$22+AE73*'Demand - Solar'!$M$25</f>
        <v>5.2175852229127013</v>
      </c>
      <c r="AF78" s="284">
        <f>AF72*'Demand - Wind'!$L$22+AF73*'Demand - Solar'!$M$25</f>
        <v>5.9107922946898954</v>
      </c>
      <c r="AG78" s="284">
        <f>AG72*'Demand - Wind'!$L$22+AG73*'Demand - Solar'!$M$25</f>
        <v>6.6963606371404154</v>
      </c>
      <c r="AH78" s="284">
        <f>AH72*'Demand - Wind'!$L$22+AH73*'Demand - Solar'!$M$25</f>
        <v>7.586624225791839</v>
      </c>
      <c r="AI78" s="284"/>
    </row>
    <row r="79" spans="1:35" s="67" customFormat="1" x14ac:dyDescent="0.2">
      <c r="A79" s="687" t="s">
        <v>263</v>
      </c>
      <c r="B79" s="58" t="s">
        <v>264</v>
      </c>
      <c r="C79" s="59" t="s">
        <v>153</v>
      </c>
      <c r="D79" s="60">
        <f>D72*'Demand - Wind'!$K$22+D73*'Demand - Solar'!$L$25</f>
        <v>0</v>
      </c>
      <c r="E79" s="60">
        <f>E72*'Demand - Wind'!$K$22+E73*'Demand - Solar'!$L$25</f>
        <v>3.6026841934390125E-2</v>
      </c>
      <c r="F79" s="60">
        <f>F72*'Demand - Wind'!$K$22+F73*'Demand - Solar'!$L$25</f>
        <v>3.9822599765115506E-2</v>
      </c>
      <c r="G79" s="60">
        <f>G72*'Demand - Wind'!$K$22+G73*'Demand - Solar'!$L$25</f>
        <v>4.4018275455301153E-2</v>
      </c>
      <c r="H79" s="60">
        <f>H72*'Demand - Wind'!$K$22+H73*'Demand - Solar'!$L$25</f>
        <v>4.8656004014989214E-2</v>
      </c>
      <c r="I79" s="60">
        <f>I72*'Demand - Wind'!$K$22+I73*'Demand - Solar'!$L$25</f>
        <v>5.3782359763518049E-2</v>
      </c>
      <c r="J79" s="60">
        <f>J72*'Demand - Wind'!$K$22+J73*'Demand - Solar'!$L$25</f>
        <v>5.9448824051424327E-2</v>
      </c>
      <c r="K79" s="60">
        <f>K72*'Demand - Wind'!$K$22+K73*'Demand - Solar'!$L$25</f>
        <v>6.5712302261131353E-2</v>
      </c>
      <c r="L79" s="60">
        <f>L72*'Demand - Wind'!$K$22+L73*'Demand - Solar'!$L$25</f>
        <v>7.2635695278396806E-2</v>
      </c>
      <c r="M79" s="60">
        <f>M72*'Demand - Wind'!$K$22+M73*'Demand - Solar'!$L$25</f>
        <v>8.0288531173512548E-2</v>
      </c>
      <c r="N79" s="60">
        <f>N72*'Demand - Wind'!$K$22+N73*'Demand - Solar'!$L$25</f>
        <v>8.8747663435904692E-2</v>
      </c>
      <c r="O79" s="60">
        <f>O72*'Demand - Wind'!$K$22+O73*'Demand - Solar'!$L$25</f>
        <v>9.8098042774146313E-2</v>
      </c>
      <c r="P79" s="60">
        <f>P72*'Demand - Wind'!$K$22+P73*'Demand - Solar'!$L$25</f>
        <v>0.10843357023217089</v>
      </c>
      <c r="Q79" s="60">
        <f>Q72*'Demand - Wind'!$K$22+Q73*'Demand - Solar'!$L$25</f>
        <v>0.11985804018909467</v>
      </c>
      <c r="R79" s="60">
        <f>R72*'Demand - Wind'!$K$22+R73*'Demand - Solar'!$L$25</f>
        <v>0.13248618271270765</v>
      </c>
      <c r="S79" s="60">
        <f>S72*'Demand - Wind'!$K$22+S73*'Demand - Solar'!$L$25</f>
        <v>0.14644481573445581</v>
      </c>
      <c r="T79" s="60">
        <f>T72*'Demand - Wind'!$K$22+T73*'Demand - Solar'!$L$25</f>
        <v>0.16187411861660994</v>
      </c>
      <c r="U79" s="60">
        <f>U72*'Demand - Wind'!$K$22+U73*'Demand - Solar'!$L$25</f>
        <v>0.17892903990140482</v>
      </c>
      <c r="V79" s="60">
        <f>V72*'Demand - Wind'!$K$22+V73*'Demand - Solar'!$L$25</f>
        <v>0.19778085337944451</v>
      </c>
      <c r="W79" s="60">
        <f>W72*'Demand - Wind'!$K$22+W73*'Demand - Solar'!$L$25</f>
        <v>0.21861887810416969</v>
      </c>
      <c r="X79" s="60">
        <f>X72*'Demand - Wind'!$K$22+X73*'Demand - Solar'!$L$25</f>
        <v>0.24165237962560554</v>
      </c>
      <c r="Y79" s="60">
        <f>Y72*'Demand - Wind'!$K$22+Y73*'Demand - Solar'!$L$25</f>
        <v>0.26711267153650275</v>
      </c>
      <c r="Z79" s="60">
        <f>Z72*'Demand - Wind'!$K$22+Z73*'Demand - Solar'!$L$25</f>
        <v>0.29525543843561358</v>
      </c>
      <c r="AA79" s="60">
        <f>AA72*'Demand - Wind'!$K$22+AA73*'Demand - Solar'!$L$25</f>
        <v>0.32636330363643357</v>
      </c>
      <c r="AB79" s="60">
        <f>AB72*'Demand - Wind'!$K$22+AB73*'Demand - Solar'!$L$25</f>
        <v>0.36074866740757455</v>
      </c>
      <c r="AC79" s="60">
        <f>AC72*'Demand - Wind'!$K$22+AC73*'Demand - Solar'!$L$25</f>
        <v>0.39875684424777003</v>
      </c>
      <c r="AD79" s="60">
        <f>AD72*'Demand - Wind'!$K$22+AD73*'Demand - Solar'!$L$25</f>
        <v>0.44076953070153307</v>
      </c>
      <c r="AE79" s="60">
        <f>AE72*'Demand - Wind'!$K$22+AE73*'Demand - Solar'!$L$25</f>
        <v>0.48720863854097085</v>
      </c>
      <c r="AF79" s="60">
        <f>AF72*'Demand - Wind'!$K$22+AF73*'Demand - Solar'!$L$25</f>
        <v>0.53854053180840855</v>
      </c>
      <c r="AG79" s="60">
        <f>AG72*'Demand - Wind'!$K$22+AG73*'Demand - Solar'!$L$25</f>
        <v>0.59528071027027574</v>
      </c>
      <c r="AH79" s="60">
        <f>AH72*'Demand - Wind'!$K$22+AH73*'Demand - Solar'!$L$25</f>
        <v>0.65799898631576259</v>
      </c>
      <c r="AI79" s="60"/>
    </row>
    <row r="80" spans="1:35" s="68" customFormat="1" x14ac:dyDescent="0.2">
      <c r="A80" s="689"/>
      <c r="B80" s="62" t="s">
        <v>266</v>
      </c>
      <c r="C80" s="283" t="s">
        <v>153</v>
      </c>
      <c r="D80" s="284">
        <f>D72*'Demand - Wind'!J22+D73*'Demand - Solar'!K25</f>
        <v>0</v>
      </c>
      <c r="E80" s="284">
        <f>E72*'Demand - Wind'!K22+E73*'Demand - Solar'!L25</f>
        <v>3.6026841934390125E-2</v>
      </c>
      <c r="F80" s="284">
        <f>F72*'Demand - Wind'!L22+F73*'Demand - Solar'!M25</f>
        <v>0.23435974939203716</v>
      </c>
      <c r="G80" s="284">
        <f>G72*'Demand - Wind'!M22+G73*'Demand - Solar'!N25</f>
        <v>0.70943425671187132</v>
      </c>
      <c r="H80" s="284">
        <f>H72*'Demand - Wind'!N22+H73*'Demand - Solar'!O25</f>
        <v>0</v>
      </c>
      <c r="I80" s="284">
        <f>I72*'Demand - Wind'!O22+I73*'Demand - Solar'!P25</f>
        <v>0</v>
      </c>
      <c r="J80" s="284">
        <f>J72*'Demand - Wind'!P22+J73*'Demand - Solar'!Q25</f>
        <v>0</v>
      </c>
      <c r="K80" s="284">
        <f>K72*'Demand - Wind'!Q22+K73*'Demand - Solar'!R25</f>
        <v>0</v>
      </c>
      <c r="L80" s="284">
        <f>L72*'Demand - Wind'!R22+L73*'Demand - Solar'!S25</f>
        <v>0</v>
      </c>
      <c r="M80" s="284">
        <f>M72*'Demand - Wind'!S22+M73*'Demand - Solar'!T25</f>
        <v>0</v>
      </c>
      <c r="N80" s="284">
        <f>N72*'Demand - Wind'!T22+N73*'Demand - Solar'!U25</f>
        <v>0</v>
      </c>
      <c r="O80" s="284">
        <f>O72*'Demand - Wind'!U22+O73*'Demand - Solar'!V25</f>
        <v>0</v>
      </c>
      <c r="P80" s="284">
        <f>P72*'Demand - Wind'!V22+P73*'Demand - Solar'!W25</f>
        <v>0</v>
      </c>
      <c r="Q80" s="284">
        <f>Q72*'Demand - Wind'!W22+Q73*'Demand - Solar'!X25</f>
        <v>0</v>
      </c>
      <c r="R80" s="284">
        <f>R72*'Demand - Wind'!X22+R73*'Demand - Solar'!Y25</f>
        <v>0</v>
      </c>
      <c r="S80" s="284">
        <f>S72*'Demand - Wind'!Y22+S73*'Demand - Solar'!Z25</f>
        <v>0</v>
      </c>
      <c r="T80" s="284">
        <f>T72*'Demand - Wind'!Z22+T73*'Demand - Solar'!AA25</f>
        <v>0</v>
      </c>
      <c r="U80" s="284">
        <f>U72*'Demand - Wind'!AA22+U73*'Demand - Solar'!AB25</f>
        <v>0</v>
      </c>
      <c r="V80" s="284">
        <f>V72*'Demand - Wind'!AB22+V73*'Demand - Solar'!AC25</f>
        <v>0</v>
      </c>
      <c r="W80" s="284">
        <f>W72*'Demand - Wind'!AC22+W73*'Demand - Solar'!AD25</f>
        <v>0</v>
      </c>
      <c r="X80" s="284">
        <f>X72*'Demand - Wind'!AD22+X73*'Demand - Solar'!AE25</f>
        <v>0</v>
      </c>
      <c r="Y80" s="284">
        <f>Y72*'Demand - Wind'!AE22+Y73*'Demand - Solar'!AF25</f>
        <v>0</v>
      </c>
      <c r="Z80" s="284">
        <f>Z72*'Demand - Wind'!AF22+Z73*'Demand - Solar'!AG25</f>
        <v>0</v>
      </c>
      <c r="AA80" s="284">
        <f>AA72*'Demand - Wind'!AG22+AA73*'Demand - Solar'!AH25</f>
        <v>0</v>
      </c>
      <c r="AB80" s="284">
        <f>AB72*'Demand - Wind'!AH22+AB73*'Demand - Solar'!AI25</f>
        <v>0</v>
      </c>
      <c r="AC80" s="284">
        <f>AC72*'Demand - Wind'!AI22+AC73*'Demand - Solar'!AJ25</f>
        <v>0</v>
      </c>
      <c r="AD80" s="284">
        <f>AD72*'Demand - Wind'!AJ22+AD73*'Demand - Solar'!AK25</f>
        <v>0</v>
      </c>
      <c r="AE80" s="284">
        <f>AE72*'Demand - Wind'!AK22+AE73*'Demand - Solar'!AL25</f>
        <v>0</v>
      </c>
      <c r="AF80" s="284">
        <f>AF72*'Demand - Wind'!AL22+AF73*'Demand - Solar'!AM25</f>
        <v>0</v>
      </c>
      <c r="AG80" s="284">
        <f>AG72*'Demand - Wind'!AM22+AG73*'Demand - Solar'!AN25</f>
        <v>0</v>
      </c>
      <c r="AH80" s="284">
        <f>AH72*'Demand - Wind'!AN22+AH73*'Demand - Solar'!AO25</f>
        <v>0</v>
      </c>
      <c r="AI80" s="284"/>
    </row>
    <row r="81" spans="1:35" outlineLevel="1" x14ac:dyDescent="0.2">
      <c r="A81" s="1" t="s">
        <v>67</v>
      </c>
      <c r="B81" s="1" t="s">
        <v>168</v>
      </c>
      <c r="C81" s="54" t="s">
        <v>153</v>
      </c>
      <c r="D81" s="66">
        <f t="shared" ref="D81:AH81" si="21">D17+D29+D41+D53+D63</f>
        <v>0</v>
      </c>
      <c r="E81" s="66">
        <f t="shared" si="21"/>
        <v>1.536629370398227</v>
      </c>
      <c r="F81" s="66">
        <f t="shared" si="21"/>
        <v>3.1378748325882846</v>
      </c>
      <c r="G81" s="66">
        <f t="shared" si="21"/>
        <v>4.8058553576172116</v>
      </c>
      <c r="H81" s="66">
        <f t="shared" si="21"/>
        <v>6.5427536949323617</v>
      </c>
      <c r="I81" s="66">
        <f t="shared" si="21"/>
        <v>8.3508182176378458</v>
      </c>
      <c r="J81" s="66">
        <f t="shared" si="21"/>
        <v>10.217469827567287</v>
      </c>
      <c r="K81" s="66">
        <f t="shared" si="21"/>
        <v>12.154211139074649</v>
      </c>
      <c r="L81" s="66">
        <f t="shared" si="21"/>
        <v>14.163118058249779</v>
      </c>
      <c r="M81" s="66">
        <f t="shared" si="21"/>
        <v>16.24632257664706</v>
      </c>
      <c r="N81" s="66">
        <f t="shared" si="21"/>
        <v>18.406014218163605</v>
      </c>
      <c r="O81" s="66">
        <f t="shared" si="21"/>
        <v>21.676808060647105</v>
      </c>
      <c r="P81" s="66">
        <f t="shared" si="21"/>
        <v>25.036356409643663</v>
      </c>
      <c r="Q81" s="66">
        <f t="shared" si="21"/>
        <v>28.486535597029693</v>
      </c>
      <c r="R81" s="66">
        <f t="shared" si="21"/>
        <v>32.029257724360271</v>
      </c>
      <c r="S81" s="66">
        <f t="shared" si="21"/>
        <v>35.66647130542372</v>
      </c>
      <c r="T81" s="66">
        <f t="shared" si="21"/>
        <v>39.388631859985964</v>
      </c>
      <c r="U81" s="66">
        <f t="shared" si="21"/>
        <v>43.207567935326288</v>
      </c>
      <c r="V81" s="66">
        <f t="shared" si="21"/>
        <v>47.125285993971872</v>
      </c>
      <c r="W81" s="66">
        <f t="shared" si="21"/>
        <v>51.143830349675852</v>
      </c>
      <c r="X81" s="66">
        <f t="shared" si="21"/>
        <v>55.265283843432556</v>
      </c>
      <c r="Y81" s="66">
        <f t="shared" si="21"/>
        <v>59.784910861707516</v>
      </c>
      <c r="Z81" s="66">
        <f t="shared" si="21"/>
        <v>64.415322852446096</v>
      </c>
      <c r="AA81" s="66">
        <f t="shared" si="21"/>
        <v>69.158648853034379</v>
      </c>
      <c r="AB81" s="66">
        <f t="shared" si="21"/>
        <v>74.01705345396455</v>
      </c>
      <c r="AC81" s="66">
        <f t="shared" si="21"/>
        <v>78.992737312011329</v>
      </c>
      <c r="AD81" s="66">
        <f t="shared" si="21"/>
        <v>84.071040960058355</v>
      </c>
      <c r="AE81" s="66">
        <f t="shared" si="21"/>
        <v>89.269441331294743</v>
      </c>
      <c r="AF81" s="66">
        <f t="shared" si="21"/>
        <v>94.590203155583168</v>
      </c>
      <c r="AG81" s="66">
        <f t="shared" si="21"/>
        <v>100.03562839627524</v>
      </c>
      <c r="AH81" s="66">
        <f t="shared" si="21"/>
        <v>105.6080567761972</v>
      </c>
    </row>
    <row r="82" spans="1:35" outlineLevel="1" x14ac:dyDescent="0.2">
      <c r="B82" s="1" t="s">
        <v>172</v>
      </c>
      <c r="C82" s="54" t="s">
        <v>153</v>
      </c>
      <c r="D82" s="66">
        <f t="shared" ref="D82:AH82" si="22">D18+D42+D54+D32+D64</f>
        <v>0</v>
      </c>
      <c r="E82" s="66">
        <f t="shared" si="22"/>
        <v>0.88032096302665375</v>
      </c>
      <c r="F82" s="66">
        <f t="shared" si="22"/>
        <v>1.7923715721163194</v>
      </c>
      <c r="G82" s="66">
        <f t="shared" si="22"/>
        <v>2.7370689034583591</v>
      </c>
      <c r="H82" s="66">
        <f t="shared" si="22"/>
        <v>3.7153551448618489</v>
      </c>
      <c r="I82" s="66">
        <f t="shared" si="22"/>
        <v>4.7281982763014065</v>
      </c>
      <c r="J82" s="66">
        <f t="shared" si="22"/>
        <v>5.7716277714562478</v>
      </c>
      <c r="K82" s="66">
        <f t="shared" si="22"/>
        <v>6.8497043932258856</v>
      </c>
      <c r="L82" s="66">
        <f t="shared" si="22"/>
        <v>7.9633507888078139</v>
      </c>
      <c r="M82" s="66">
        <f t="shared" si="22"/>
        <v>9.1135124907166087</v>
      </c>
      <c r="N82" s="66">
        <f t="shared" si="22"/>
        <v>10.301158469973473</v>
      </c>
      <c r="O82" s="66">
        <f t="shared" si="22"/>
        <v>11.489653821159925</v>
      </c>
      <c r="P82" s="66">
        <f t="shared" si="22"/>
        <v>12.339951903720573</v>
      </c>
      <c r="Q82" s="66">
        <f t="shared" si="22"/>
        <v>13.625205994608486</v>
      </c>
      <c r="R82" s="66">
        <f t="shared" si="22"/>
        <v>14.944056090340322</v>
      </c>
      <c r="S82" s="66">
        <f t="shared" si="22"/>
        <v>16.297204430567216</v>
      </c>
      <c r="T82" s="66">
        <f t="shared" si="22"/>
        <v>17.681523390035366</v>
      </c>
      <c r="U82" s="66">
        <f t="shared" si="22"/>
        <v>19.101010847302735</v>
      </c>
      <c r="V82" s="66">
        <f t="shared" si="22"/>
        <v>20.556391842947328</v>
      </c>
      <c r="W82" s="66">
        <f t="shared" si="22"/>
        <v>22.048405254635831</v>
      </c>
      <c r="X82" s="66">
        <f t="shared" si="22"/>
        <v>23.577804053004886</v>
      </c>
      <c r="Y82" s="66">
        <f t="shared" si="22"/>
        <v>26.471498881771154</v>
      </c>
      <c r="Z82" s="66">
        <f t="shared" si="22"/>
        <v>28.095962957034189</v>
      </c>
      <c r="AA82" s="66">
        <f t="shared" si="22"/>
        <v>29.759942891463062</v>
      </c>
      <c r="AB82" s="66">
        <f t="shared" si="22"/>
        <v>31.464239500316712</v>
      </c>
      <c r="AC82" s="66">
        <f t="shared" si="22"/>
        <v>33.209668791575169</v>
      </c>
      <c r="AD82" s="66">
        <f t="shared" si="22"/>
        <v>34.991430010684603</v>
      </c>
      <c r="AE82" s="66">
        <f t="shared" si="22"/>
        <v>36.815437926680701</v>
      </c>
      <c r="AF82" s="66">
        <f t="shared" si="22"/>
        <v>38.682540079047406</v>
      </c>
      <c r="AG82" s="66">
        <f t="shared" si="22"/>
        <v>40.593600041494263</v>
      </c>
      <c r="AH82" s="66">
        <f t="shared" si="22"/>
        <v>42.549497718987986</v>
      </c>
    </row>
    <row r="83" spans="1:35" outlineLevel="1" x14ac:dyDescent="0.2">
      <c r="B83" s="1" t="s">
        <v>214</v>
      </c>
      <c r="C83" s="54" t="s">
        <v>153</v>
      </c>
      <c r="D83" s="66">
        <f>D74+D13</f>
        <v>0</v>
      </c>
      <c r="E83" s="66">
        <f t="shared" ref="E83:AH83" si="23">E74+E13</f>
        <v>0.68834563072633614</v>
      </c>
      <c r="F83" s="66">
        <f t="shared" si="23"/>
        <v>0.7930416557736707</v>
      </c>
      <c r="G83" s="66">
        <f t="shared" si="23"/>
        <v>0.90966742803642753</v>
      </c>
      <c r="H83" s="66">
        <f t="shared" si="23"/>
        <v>1.0397249269665754</v>
      </c>
      <c r="I83" s="66">
        <f t="shared" si="23"/>
        <v>1.1849125946326529</v>
      </c>
      <c r="J83" s="66">
        <f t="shared" si="23"/>
        <v>1.347151323135811</v>
      </c>
      <c r="K83" s="66">
        <f t="shared" si="23"/>
        <v>1.5286138955890207</v>
      </c>
      <c r="L83" s="66">
        <f t="shared" si="23"/>
        <v>1.731758340969491</v>
      </c>
      <c r="M83" s="66">
        <f t="shared" si="23"/>
        <v>1.9593657246434408</v>
      </c>
      <c r="N83" s="66">
        <f t="shared" si="23"/>
        <v>2.2145829660797611</v>
      </c>
      <c r="O83" s="66">
        <f t="shared" si="23"/>
        <v>2.5315865300343487</v>
      </c>
      <c r="P83" s="66">
        <f t="shared" si="23"/>
        <v>2.884832788788124</v>
      </c>
      <c r="Q83" s="66">
        <f t="shared" si="23"/>
        <v>3.2789105538925849</v>
      </c>
      <c r="R83" s="66">
        <f t="shared" si="23"/>
        <v>3.7190114647357988</v>
      </c>
      <c r="S83" s="66">
        <f t="shared" si="23"/>
        <v>4.2110099959048446</v>
      </c>
      <c r="T83" s="66">
        <f t="shared" si="23"/>
        <v>4.7615541252708535</v>
      </c>
      <c r="U83" s="66">
        <f t="shared" si="23"/>
        <v>5.3781680867230133</v>
      </c>
      <c r="V83" s="66">
        <f t="shared" si="23"/>
        <v>6.0693688220085846</v>
      </c>
      <c r="W83" s="66">
        <f t="shared" si="23"/>
        <v>6.8447979621967674</v>
      </c>
      <c r="X83" s="66">
        <f t="shared" si="23"/>
        <v>7.715371414299562</v>
      </c>
      <c r="Y83" s="66">
        <f t="shared" si="23"/>
        <v>8.6692912374270694</v>
      </c>
      <c r="Z83" s="66">
        <f t="shared" si="23"/>
        <v>9.7438894612684805</v>
      </c>
      <c r="AA83" s="66">
        <f t="shared" si="23"/>
        <v>10.954994680912458</v>
      </c>
      <c r="AB83" s="66">
        <f t="shared" si="23"/>
        <v>12.320535744063095</v>
      </c>
      <c r="AC83" s="66">
        <f t="shared" si="23"/>
        <v>13.860821624570585</v>
      </c>
      <c r="AD83" s="66">
        <f t="shared" si="23"/>
        <v>15.598858682282101</v>
      </c>
      <c r="AE83" s="66">
        <f t="shared" si="23"/>
        <v>17.560710312253779</v>
      </c>
      <c r="AF83" s="66">
        <f t="shared" si="23"/>
        <v>19.775904656796001</v>
      </c>
      <c r="AG83" s="66">
        <f t="shared" si="23"/>
        <v>22.277896814194072</v>
      </c>
      <c r="AH83" s="66">
        <f t="shared" si="23"/>
        <v>25.104592840330554</v>
      </c>
    </row>
    <row r="84" spans="1:35" s="69" customFormat="1" x14ac:dyDescent="0.2">
      <c r="A84" s="69" t="s">
        <v>274</v>
      </c>
      <c r="C84" s="70" t="s">
        <v>153</v>
      </c>
      <c r="D84" s="71">
        <f t="shared" ref="D84:AH84" si="24">D4+D83-D81-D82</f>
        <v>162.69230769230768</v>
      </c>
      <c r="E84" s="71">
        <f t="shared" si="24"/>
        <v>164.9901759355007</v>
      </c>
      <c r="F84" s="71">
        <f t="shared" si="24"/>
        <v>166.70770003941144</v>
      </c>
      <c r="G84" s="71">
        <f t="shared" si="24"/>
        <v>168.43988957797836</v>
      </c>
      <c r="H84" s="71">
        <f t="shared" si="24"/>
        <v>170.18764889936671</v>
      </c>
      <c r="I84" s="71">
        <f t="shared" si="24"/>
        <v>171.95204994684724</v>
      </c>
      <c r="J84" s="71">
        <f t="shared" si="24"/>
        <v>173.25270229172253</v>
      </c>
      <c r="K84" s="71">
        <f t="shared" si="24"/>
        <v>174.55699396349559</v>
      </c>
      <c r="L84" s="71">
        <f t="shared" si="24"/>
        <v>175.86634766990386</v>
      </c>
      <c r="M84" s="71">
        <f t="shared" si="24"/>
        <v>177.1824734168234</v>
      </c>
      <c r="N84" s="71">
        <f t="shared" si="24"/>
        <v>178.50741027794271</v>
      </c>
      <c r="O84" s="71">
        <f t="shared" si="24"/>
        <v>176.80628884337156</v>
      </c>
      <c r="P84" s="71">
        <f t="shared" si="24"/>
        <v>175.41992253706672</v>
      </c>
      <c r="Q84" s="71">
        <f t="shared" si="24"/>
        <v>173.57821672682772</v>
      </c>
      <c r="R84" s="71">
        <f t="shared" si="24"/>
        <v>171.68616124122286</v>
      </c>
      <c r="S84" s="71">
        <f t="shared" si="24"/>
        <v>169.74733425991391</v>
      </c>
      <c r="T84" s="71">
        <f t="shared" si="24"/>
        <v>167.63583298179157</v>
      </c>
      <c r="U84" s="71">
        <f t="shared" si="24"/>
        <v>165.48592996821819</v>
      </c>
      <c r="V84" s="71">
        <f t="shared" si="24"/>
        <v>163.30371941460055</v>
      </c>
      <c r="W84" s="71">
        <f t="shared" si="24"/>
        <v>161.09637198740117</v>
      </c>
      <c r="X84" s="71">
        <f t="shared" si="24"/>
        <v>158.87228351786214</v>
      </c>
      <c r="Y84" s="71">
        <f t="shared" si="24"/>
        <v>154.86024112740222</v>
      </c>
      <c r="Z84" s="71">
        <f t="shared" si="24"/>
        <v>152.15336452380654</v>
      </c>
      <c r="AA84" s="71">
        <f t="shared" si="24"/>
        <v>149.45688375286136</v>
      </c>
      <c r="AB84" s="71">
        <f t="shared" si="24"/>
        <v>146.78604230581672</v>
      </c>
      <c r="AC84" s="71">
        <f t="shared" si="24"/>
        <v>144.15841552098408</v>
      </c>
      <c r="AD84" s="71">
        <f t="shared" si="24"/>
        <v>141.48638017911404</v>
      </c>
      <c r="AE84" s="71">
        <f t="shared" si="24"/>
        <v>138.9005684145464</v>
      </c>
      <c r="AF84" s="71">
        <f t="shared" si="24"/>
        <v>136.42764617552365</v>
      </c>
      <c r="AG84" s="71">
        <f t="shared" si="24"/>
        <v>134.09815562507464</v>
      </c>
      <c r="AH84" s="71">
        <f t="shared" si="24"/>
        <v>131.94703834514536</v>
      </c>
      <c r="AI84" s="71"/>
    </row>
    <row r="85" spans="1:35" s="67" customFormat="1" x14ac:dyDescent="0.2">
      <c r="A85" s="687" t="s">
        <v>257</v>
      </c>
      <c r="B85" s="58" t="s">
        <v>258</v>
      </c>
      <c r="C85" s="59" t="s">
        <v>153</v>
      </c>
      <c r="D85" s="60">
        <f>D20+D34+D44+D56+D66+D75</f>
        <v>99.242307692307705</v>
      </c>
      <c r="E85" s="60">
        <f t="shared" ref="E85:AH90" si="25">E20+E34+E44+E56+E66+E75</f>
        <v>100.11787765071708</v>
      </c>
      <c r="F85" s="60">
        <f t="shared" si="25"/>
        <v>100.76550628754535</v>
      </c>
      <c r="G85" s="60">
        <f t="shared" si="25"/>
        <v>101.41231329329223</v>
      </c>
      <c r="H85" s="60">
        <f t="shared" si="25"/>
        <v>102.05853800963637</v>
      </c>
      <c r="I85" s="60">
        <f t="shared" si="25"/>
        <v>102.70449077987126</v>
      </c>
      <c r="J85" s="60">
        <f t="shared" si="25"/>
        <v>103.17367633213372</v>
      </c>
      <c r="K85" s="60">
        <f t="shared" si="25"/>
        <v>103.63768407363425</v>
      </c>
      <c r="L85" s="60">
        <f t="shared" si="25"/>
        <v>104.09699357152698</v>
      </c>
      <c r="M85" s="60">
        <f t="shared" si="25"/>
        <v>104.55220841423542</v>
      </c>
      <c r="N85" s="60">
        <f t="shared" si="25"/>
        <v>105.0040746973895</v>
      </c>
      <c r="O85" s="60">
        <f t="shared" si="25"/>
        <v>103.79675060018725</v>
      </c>
      <c r="P85" s="60">
        <f t="shared" si="25"/>
        <v>102.85896693787285</v>
      </c>
      <c r="Q85" s="60">
        <f t="shared" si="25"/>
        <v>101.54016782062003</v>
      </c>
      <c r="R85" s="60">
        <f t="shared" si="25"/>
        <v>100.18013184241664</v>
      </c>
      <c r="S85" s="60">
        <f t="shared" si="25"/>
        <v>98.779993319142307</v>
      </c>
      <c r="T85" s="60">
        <f t="shared" si="25"/>
        <v>97.293380626405394</v>
      </c>
      <c r="U85" s="60">
        <f t="shared" si="25"/>
        <v>95.769525266695396</v>
      </c>
      <c r="V85" s="60">
        <f t="shared" si="25"/>
        <v>94.210648142627292</v>
      </c>
      <c r="W85" s="60">
        <f t="shared" si="25"/>
        <v>92.619438693698825</v>
      </c>
      <c r="X85" s="60">
        <f t="shared" si="25"/>
        <v>90.999121323124541</v>
      </c>
      <c r="Y85" s="60">
        <f t="shared" si="25"/>
        <v>88.096572459534926</v>
      </c>
      <c r="Z85" s="60">
        <f t="shared" si="25"/>
        <v>86.239903100080539</v>
      </c>
      <c r="AA85" s="60">
        <f t="shared" si="25"/>
        <v>84.36476009527874</v>
      </c>
      <c r="AB85" s="60">
        <f t="shared" si="25"/>
        <v>82.47736357543323</v>
      </c>
      <c r="AC85" s="60">
        <f t="shared" si="25"/>
        <v>80.584964083116162</v>
      </c>
      <c r="AD85" s="60">
        <f t="shared" si="25"/>
        <v>78.656378196009001</v>
      </c>
      <c r="AE85" s="60">
        <f t="shared" si="25"/>
        <v>76.74080666109711</v>
      </c>
      <c r="AF85" s="60">
        <f t="shared" si="25"/>
        <v>74.849532619266952</v>
      </c>
      <c r="AG85" s="60">
        <f t="shared" si="25"/>
        <v>72.995565419180252</v>
      </c>
      <c r="AH85" s="60">
        <f t="shared" si="25"/>
        <v>71.193876905100211</v>
      </c>
      <c r="AI85" s="60"/>
    </row>
    <row r="86" spans="1:35" x14ac:dyDescent="0.2">
      <c r="A86" s="688"/>
      <c r="B86" s="1" t="s">
        <v>260</v>
      </c>
      <c r="C86" s="54" t="s">
        <v>153</v>
      </c>
      <c r="D86" s="44">
        <f t="shared" ref="D86:S90" si="26">D21+D35+D45+D57+D67+D76</f>
        <v>22.776923076923076</v>
      </c>
      <c r="E86" s="44">
        <f t="shared" si="26"/>
        <v>23.184155022292543</v>
      </c>
      <c r="F86" s="44">
        <f t="shared" si="26"/>
        <v>23.441773734305105</v>
      </c>
      <c r="G86" s="44">
        <f t="shared" si="26"/>
        <v>23.701522246929365</v>
      </c>
      <c r="H86" s="44">
        <f t="shared" si="26"/>
        <v>23.963593715422579</v>
      </c>
      <c r="I86" s="44">
        <f t="shared" si="26"/>
        <v>24.228218412225136</v>
      </c>
      <c r="J86" s="44">
        <f t="shared" si="26"/>
        <v>24.413332328602078</v>
      </c>
      <c r="K86" s="44">
        <f t="shared" si="26"/>
        <v>24.598901078746717</v>
      </c>
      <c r="L86" s="44">
        <f t="shared" si="26"/>
        <v>24.785247966261903</v>
      </c>
      <c r="M86" s="44">
        <f t="shared" si="26"/>
        <v>24.972759547165371</v>
      </c>
      <c r="N86" s="44">
        <f t="shared" si="26"/>
        <v>25.161894663262938</v>
      </c>
      <c r="O86" s="44">
        <f t="shared" si="26"/>
        <v>24.941181414814046</v>
      </c>
      <c r="P86" s="44">
        <f t="shared" si="26"/>
        <v>24.757300718782382</v>
      </c>
      <c r="Q86" s="44">
        <f t="shared" si="26"/>
        <v>24.522668459958954</v>
      </c>
      <c r="R86" s="44">
        <f t="shared" si="26"/>
        <v>24.28401225133447</v>
      </c>
      <c r="S86" s="44">
        <f t="shared" si="26"/>
        <v>24.042266924037541</v>
      </c>
      <c r="T86" s="44">
        <f t="shared" si="25"/>
        <v>23.776268795123073</v>
      </c>
      <c r="U86" s="44">
        <f t="shared" si="25"/>
        <v>23.509370136207558</v>
      </c>
      <c r="V86" s="44">
        <f t="shared" si="25"/>
        <v>23.243056711710452</v>
      </c>
      <c r="W86" s="44">
        <f t="shared" si="25"/>
        <v>22.979048895859773</v>
      </c>
      <c r="X86" s="44">
        <f t="shared" si="25"/>
        <v>22.719333345488529</v>
      </c>
      <c r="Y86" s="44">
        <f t="shared" si="25"/>
        <v>22.257076229010444</v>
      </c>
      <c r="Z86" s="44">
        <f t="shared" si="25"/>
        <v>21.95196496981491</v>
      </c>
      <c r="AA86" s="44">
        <f t="shared" si="25"/>
        <v>21.657551646714442</v>
      </c>
      <c r="AB86" s="44">
        <f t="shared" si="25"/>
        <v>21.377260968362556</v>
      </c>
      <c r="AC86" s="44">
        <f t="shared" si="25"/>
        <v>21.115016556989811</v>
      </c>
      <c r="AD86" s="44">
        <f t="shared" si="25"/>
        <v>20.856871758764306</v>
      </c>
      <c r="AE86" s="44">
        <f t="shared" si="25"/>
        <v>20.626316976827241</v>
      </c>
      <c r="AF86" s="44">
        <f t="shared" si="25"/>
        <v>20.429213370194759</v>
      </c>
      <c r="AG86" s="44">
        <f t="shared" si="25"/>
        <v>20.272246177164472</v>
      </c>
      <c r="AH86" s="44">
        <f t="shared" si="25"/>
        <v>20.163034585533509</v>
      </c>
      <c r="AI86" s="44"/>
    </row>
    <row r="87" spans="1:35" x14ac:dyDescent="0.2">
      <c r="A87" s="688"/>
      <c r="B87" s="1" t="s">
        <v>262</v>
      </c>
      <c r="C87" s="54" t="s">
        <v>153</v>
      </c>
      <c r="D87" s="44">
        <f t="shared" si="26"/>
        <v>19.523076923076918</v>
      </c>
      <c r="E87" s="44">
        <f t="shared" si="25"/>
        <v>19.680398499480845</v>
      </c>
      <c r="F87" s="44">
        <f t="shared" si="25"/>
        <v>19.802771301505107</v>
      </c>
      <c r="G87" s="44">
        <f t="shared" si="25"/>
        <v>19.922666567279098</v>
      </c>
      <c r="H87" s="44">
        <f t="shared" si="25"/>
        <v>20.039961099911945</v>
      </c>
      <c r="I87" s="44">
        <f t="shared" si="25"/>
        <v>20.154530404046266</v>
      </c>
      <c r="J87" s="44">
        <f t="shared" si="25"/>
        <v>20.212268148142702</v>
      </c>
      <c r="K87" s="44">
        <f t="shared" si="25"/>
        <v>20.265263582261461</v>
      </c>
      <c r="L87" s="44">
        <f t="shared" si="25"/>
        <v>20.313354864305605</v>
      </c>
      <c r="M87" s="44">
        <f t="shared" si="25"/>
        <v>20.356380035691771</v>
      </c>
      <c r="N87" s="44">
        <f t="shared" si="25"/>
        <v>20.394177540004556</v>
      </c>
      <c r="O87" s="44">
        <f t="shared" si="25"/>
        <v>20.179629282439574</v>
      </c>
      <c r="P87" s="44">
        <f t="shared" si="25"/>
        <v>19.954418450485633</v>
      </c>
      <c r="Q87" s="44">
        <f t="shared" si="25"/>
        <v>19.718336391008993</v>
      </c>
      <c r="R87" s="44">
        <f t="shared" si="25"/>
        <v>19.471178332941797</v>
      </c>
      <c r="S87" s="44">
        <f t="shared" si="25"/>
        <v>19.212744392382646</v>
      </c>
      <c r="T87" s="44">
        <f t="shared" si="25"/>
        <v>18.928247791432288</v>
      </c>
      <c r="U87" s="44">
        <f t="shared" si="25"/>
        <v>18.631974908619227</v>
      </c>
      <c r="V87" s="44">
        <f t="shared" si="25"/>
        <v>18.323749500515692</v>
      </c>
      <c r="W87" s="44">
        <f t="shared" si="25"/>
        <v>18.003405634699529</v>
      </c>
      <c r="X87" s="44">
        <f t="shared" si="25"/>
        <v>17.670789430773517</v>
      </c>
      <c r="Y87" s="44">
        <f t="shared" si="25"/>
        <v>17.283788724189773</v>
      </c>
      <c r="Z87" s="44">
        <f t="shared" si="25"/>
        <v>16.883521557208045</v>
      </c>
      <c r="AA87" s="44">
        <f t="shared" si="25"/>
        <v>16.469878005417808</v>
      </c>
      <c r="AB87" s="44">
        <f t="shared" si="25"/>
        <v>16.042769536612276</v>
      </c>
      <c r="AC87" s="44">
        <f t="shared" si="25"/>
        <v>15.602131981586673</v>
      </c>
      <c r="AD87" s="44">
        <f t="shared" si="25"/>
        <v>15.135842035367414</v>
      </c>
      <c r="AE87" s="44">
        <f t="shared" si="25"/>
        <v>14.655931363087118</v>
      </c>
      <c r="AF87" s="44">
        <f t="shared" si="25"/>
        <v>14.162432506600714</v>
      </c>
      <c r="AG87" s="44">
        <f t="shared" si="25"/>
        <v>13.655417969966443</v>
      </c>
      <c r="AH87" s="44">
        <f t="shared" si="25"/>
        <v>13.135005215101543</v>
      </c>
      <c r="AI87" s="44"/>
    </row>
    <row r="88" spans="1:35" s="68" customFormat="1" x14ac:dyDescent="0.2">
      <c r="A88" s="689"/>
      <c r="B88" s="62" t="s">
        <v>248</v>
      </c>
      <c r="C88" s="283" t="s">
        <v>153</v>
      </c>
      <c r="D88" s="284">
        <f t="shared" si="26"/>
        <v>21.150000000000006</v>
      </c>
      <c r="E88" s="284">
        <f t="shared" si="25"/>
        <v>22.007744763010226</v>
      </c>
      <c r="F88" s="284">
        <f t="shared" si="25"/>
        <v>22.697648716055863</v>
      </c>
      <c r="G88" s="284">
        <f t="shared" si="25"/>
        <v>23.403387470477696</v>
      </c>
      <c r="H88" s="284">
        <f t="shared" si="25"/>
        <v>24.125556074395785</v>
      </c>
      <c r="I88" s="284">
        <f t="shared" si="25"/>
        <v>24.864810350704587</v>
      </c>
      <c r="J88" s="284">
        <f t="shared" si="25"/>
        <v>25.45342548284405</v>
      </c>
      <c r="K88" s="284">
        <f t="shared" si="25"/>
        <v>26.055145228853188</v>
      </c>
      <c r="L88" s="284">
        <f t="shared" si="25"/>
        <v>26.670751267809369</v>
      </c>
      <c r="M88" s="284">
        <f t="shared" si="25"/>
        <v>27.301125419730809</v>
      </c>
      <c r="N88" s="284">
        <f t="shared" si="25"/>
        <v>27.947263377285712</v>
      </c>
      <c r="O88" s="284">
        <f t="shared" si="25"/>
        <v>27.888727545930674</v>
      </c>
      <c r="P88" s="284">
        <f t="shared" si="25"/>
        <v>27.84923642992586</v>
      </c>
      <c r="Q88" s="284">
        <f t="shared" si="25"/>
        <v>27.797044055239724</v>
      </c>
      <c r="R88" s="284">
        <f t="shared" si="25"/>
        <v>27.75083881452997</v>
      </c>
      <c r="S88" s="284">
        <f t="shared" si="25"/>
        <v>27.712329624351398</v>
      </c>
      <c r="T88" s="284">
        <f t="shared" si="25"/>
        <v>27.637935768830829</v>
      </c>
      <c r="U88" s="284">
        <f t="shared" si="25"/>
        <v>27.575059656696059</v>
      </c>
      <c r="V88" s="284">
        <f t="shared" si="25"/>
        <v>27.526265059747089</v>
      </c>
      <c r="W88" s="284">
        <f t="shared" si="25"/>
        <v>27.494478763143032</v>
      </c>
      <c r="X88" s="284">
        <f t="shared" si="25"/>
        <v>27.483039418475521</v>
      </c>
      <c r="Y88" s="284">
        <f t="shared" si="25"/>
        <v>27.222803714667101</v>
      </c>
      <c r="Z88" s="284">
        <f t="shared" si="25"/>
        <v>27.077974896703054</v>
      </c>
      <c r="AA88" s="284">
        <f t="shared" si="25"/>
        <v>26.964694005450383</v>
      </c>
      <c r="AB88" s="284">
        <f t="shared" si="25"/>
        <v>26.888648225408662</v>
      </c>
      <c r="AC88" s="284">
        <f t="shared" si="25"/>
        <v>26.856302899291453</v>
      </c>
      <c r="AD88" s="284">
        <f t="shared" si="25"/>
        <v>26.837288188973318</v>
      </c>
      <c r="AE88" s="284">
        <f t="shared" si="25"/>
        <v>26.877513413534906</v>
      </c>
      <c r="AF88" s="284">
        <f t="shared" si="25"/>
        <v>26.98646767946121</v>
      </c>
      <c r="AG88" s="284">
        <f t="shared" si="25"/>
        <v>27.174926058763411</v>
      </c>
      <c r="AH88" s="284">
        <f t="shared" si="25"/>
        <v>27.455121639410102</v>
      </c>
      <c r="AI88" s="284"/>
    </row>
    <row r="89" spans="1:35" s="67" customFormat="1" x14ac:dyDescent="0.2">
      <c r="A89" s="687" t="s">
        <v>263</v>
      </c>
      <c r="B89" s="58" t="s">
        <v>264</v>
      </c>
      <c r="C89" s="59" t="s">
        <v>153</v>
      </c>
      <c r="D89" s="60">
        <f t="shared" si="26"/>
        <v>18.74215384615384</v>
      </c>
      <c r="E89" s="60">
        <f t="shared" si="25"/>
        <v>18.894623633178984</v>
      </c>
      <c r="F89" s="60">
        <f t="shared" si="25"/>
        <v>19.012253353435508</v>
      </c>
      <c r="G89" s="60">
        <f t="shared" si="25"/>
        <v>19.127520635606142</v>
      </c>
      <c r="H89" s="60">
        <f t="shared" si="25"/>
        <v>19.240308896076069</v>
      </c>
      <c r="I89" s="60">
        <f t="shared" si="25"/>
        <v>19.350500482274953</v>
      </c>
      <c r="J89" s="60">
        <f t="shared" si="25"/>
        <v>19.406155375179051</v>
      </c>
      <c r="K89" s="60">
        <f t="shared" si="25"/>
        <v>19.457281531061447</v>
      </c>
      <c r="L89" s="60">
        <f t="shared" si="25"/>
        <v>19.503726097544515</v>
      </c>
      <c r="M89" s="60">
        <f t="shared" si="25"/>
        <v>19.545336375511038</v>
      </c>
      <c r="N89" s="60">
        <f t="shared" si="25"/>
        <v>19.581960344941809</v>
      </c>
      <c r="O89" s="60">
        <f t="shared" si="25"/>
        <v>19.376368032852959</v>
      </c>
      <c r="P89" s="60">
        <f t="shared" si="25"/>
        <v>19.160579055275495</v>
      </c>
      <c r="Q89" s="60">
        <f t="shared" si="25"/>
        <v>18.934397256976197</v>
      </c>
      <c r="R89" s="60">
        <f t="shared" si="25"/>
        <v>18.697630646932634</v>
      </c>
      <c r="S89" s="60">
        <f t="shared" si="25"/>
        <v>18.450092409316717</v>
      </c>
      <c r="T89" s="60">
        <f t="shared" si="25"/>
        <v>18.177592844519658</v>
      </c>
      <c r="U89" s="60">
        <f t="shared" si="25"/>
        <v>17.893853073870513</v>
      </c>
      <c r="V89" s="60">
        <f t="shared" si="25"/>
        <v>17.598710754630243</v>
      </c>
      <c r="W89" s="60">
        <f t="shared" si="25"/>
        <v>17.292014164435713</v>
      </c>
      <c r="X89" s="60">
        <f t="shared" si="25"/>
        <v>16.973623948727599</v>
      </c>
      <c r="Y89" s="60">
        <f t="shared" si="25"/>
        <v>16.603121682083643</v>
      </c>
      <c r="Z89" s="60">
        <f t="shared" si="25"/>
        <v>16.219990912457146</v>
      </c>
      <c r="AA89" s="60">
        <f t="shared" si="25"/>
        <v>15.824137417346552</v>
      </c>
      <c r="AB89" s="60">
        <f t="shared" si="25"/>
        <v>15.415488701844087</v>
      </c>
      <c r="AC89" s="60">
        <f t="shared" si="25"/>
        <v>14.993996976093118</v>
      </c>
      <c r="AD89" s="60">
        <f t="shared" si="25"/>
        <v>14.54803913518078</v>
      </c>
      <c r="AE89" s="60">
        <f t="shared" si="25"/>
        <v>14.089182454105272</v>
      </c>
      <c r="AF89" s="60">
        <f t="shared" si="25"/>
        <v>13.617476827609023</v>
      </c>
      <c r="AG89" s="60">
        <f t="shared" si="25"/>
        <v>13.133012479578595</v>
      </c>
      <c r="AH89" s="60">
        <f t="shared" si="25"/>
        <v>12.635924965950112</v>
      </c>
      <c r="AI89" s="60"/>
    </row>
    <row r="90" spans="1:35" s="68" customFormat="1" x14ac:dyDescent="0.2">
      <c r="A90" s="689"/>
      <c r="B90" s="62" t="s">
        <v>266</v>
      </c>
      <c r="C90" s="283" t="s">
        <v>153</v>
      </c>
      <c r="D90" s="284">
        <f t="shared" si="26"/>
        <v>15.260538461538461</v>
      </c>
      <c r="E90" s="284">
        <f t="shared" si="25"/>
        <v>15.427291768819948</v>
      </c>
      <c r="F90" s="284">
        <f t="shared" si="25"/>
        <v>15.754928049947269</v>
      </c>
      <c r="G90" s="284">
        <f t="shared" si="25"/>
        <v>16.357753704364185</v>
      </c>
      <c r="H90" s="284">
        <f t="shared" si="25"/>
        <v>15.774384037227163</v>
      </c>
      <c r="I90" s="284">
        <f t="shared" si="25"/>
        <v>15.898622369231507</v>
      </c>
      <c r="J90" s="284">
        <f t="shared" si="25"/>
        <v>15.970546655603737</v>
      </c>
      <c r="K90" s="284">
        <f t="shared" si="25"/>
        <v>16.038702034402093</v>
      </c>
      <c r="L90" s="284">
        <f t="shared" si="25"/>
        <v>16.102898599795786</v>
      </c>
      <c r="M90" s="284">
        <f t="shared" si="25"/>
        <v>16.162940072278996</v>
      </c>
      <c r="N90" s="284">
        <f t="shared" si="25"/>
        <v>16.21862361259906</v>
      </c>
      <c r="O90" s="284">
        <f t="shared" si="25"/>
        <v>16.033085746045373</v>
      </c>
      <c r="P90" s="284">
        <f t="shared" si="25"/>
        <v>15.864212736358446</v>
      </c>
      <c r="Q90" s="284">
        <f t="shared" si="25"/>
        <v>15.65779608087623</v>
      </c>
      <c r="R90" s="284">
        <f t="shared" si="25"/>
        <v>15.441666890690138</v>
      </c>
      <c r="S90" s="284">
        <f t="shared" si="25"/>
        <v>15.215565529478662</v>
      </c>
      <c r="T90" s="284">
        <f t="shared" si="25"/>
        <v>14.96561689625209</v>
      </c>
      <c r="U90" s="284">
        <f t="shared" si="25"/>
        <v>14.705046493784707</v>
      </c>
      <c r="V90" s="284">
        <f t="shared" si="25"/>
        <v>14.433577499810184</v>
      </c>
      <c r="W90" s="284">
        <f t="shared" si="25"/>
        <v>14.150926628304786</v>
      </c>
      <c r="X90" s="284">
        <f t="shared" si="25"/>
        <v>13.856803983084372</v>
      </c>
      <c r="Y90" s="284">
        <f t="shared" si="25"/>
        <v>13.413761441210639</v>
      </c>
      <c r="Z90" s="284">
        <f t="shared" si="25"/>
        <v>13.048706348756237</v>
      </c>
      <c r="AA90" s="284">
        <f t="shared" si="25"/>
        <v>12.669927625242412</v>
      </c>
      <c r="AB90" s="284">
        <f t="shared" si="25"/>
        <v>12.277072475352732</v>
      </c>
      <c r="AC90" s="284">
        <f t="shared" si="25"/>
        <v>11.869779799623286</v>
      </c>
      <c r="AD90" s="284">
        <f t="shared" si="25"/>
        <v>11.436407852789911</v>
      </c>
      <c r="AE90" s="284">
        <f t="shared" si="25"/>
        <v>10.987803922000417</v>
      </c>
      <c r="AF90" s="284">
        <f t="shared" si="25"/>
        <v>10.523583020532067</v>
      </c>
      <c r="AG90" s="284">
        <f t="shared" si="25"/>
        <v>10.043351138181464</v>
      </c>
      <c r="AH90" s="284">
        <f t="shared" si="25"/>
        <v>9.5467050338233115</v>
      </c>
      <c r="AI90" s="284"/>
    </row>
    <row r="91" spans="1:35" x14ac:dyDescent="0.2">
      <c r="A91" s="298"/>
      <c r="C91" s="5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row>
    <row r="92" spans="1:35" s="67" customFormat="1" x14ac:dyDescent="0.2">
      <c r="A92" s="58" t="s">
        <v>216</v>
      </c>
      <c r="B92" s="58" t="s">
        <v>197</v>
      </c>
      <c r="C92" s="100" t="s">
        <v>153</v>
      </c>
      <c r="D92" s="101">
        <f t="shared" ref="D92" si="27">D33</f>
        <v>89.109936202323638</v>
      </c>
      <c r="E92" s="101">
        <f t="shared" ref="E92:AH92" si="28">E33</f>
        <v>89.155720887544391</v>
      </c>
      <c r="F92" s="101">
        <f t="shared" si="28"/>
        <v>89.185321996455684</v>
      </c>
      <c r="G92" s="101">
        <f t="shared" si="28"/>
        <v>89.198277415122519</v>
      </c>
      <c r="H92" s="101">
        <f t="shared" si="28"/>
        <v>89.194115262400715</v>
      </c>
      <c r="I92" s="101">
        <f t="shared" si="28"/>
        <v>89.172353707029359</v>
      </c>
      <c r="J92" s="101">
        <f t="shared" si="28"/>
        <v>89.132500781516157</v>
      </c>
      <c r="K92" s="101">
        <f t="shared" si="28"/>
        <v>89.074054192762006</v>
      </c>
      <c r="L92" s="101">
        <f t="shared" si="28"/>
        <v>88.996501129369562</v>
      </c>
      <c r="M92" s="101">
        <f t="shared" si="28"/>
        <v>88.89931806558036</v>
      </c>
      <c r="N92" s="101">
        <f t="shared" si="28"/>
        <v>88.781970561783709</v>
      </c>
      <c r="O92" s="101">
        <f t="shared" si="28"/>
        <v>87.570674821638178</v>
      </c>
      <c r="P92" s="101">
        <f t="shared" si="28"/>
        <v>86.677519437555929</v>
      </c>
      <c r="Q92" s="101">
        <f t="shared" si="28"/>
        <v>85.328806676760877</v>
      </c>
      <c r="R92" s="101">
        <f t="shared" si="28"/>
        <v>83.925341164853805</v>
      </c>
      <c r="S92" s="101">
        <f t="shared" si="28"/>
        <v>82.465854172504677</v>
      </c>
      <c r="T92" s="101">
        <f t="shared" si="28"/>
        <v>80.949052177501471</v>
      </c>
      <c r="U92" s="101">
        <f t="shared" si="28"/>
        <v>79.373616419220383</v>
      </c>
      <c r="V92" s="101">
        <f t="shared" si="28"/>
        <v>77.73820244548061</v>
      </c>
      <c r="W92" s="101">
        <f t="shared" si="28"/>
        <v>76.041439651657953</v>
      </c>
      <c r="X92" s="101">
        <f t="shared" si="28"/>
        <v>74.281930811928959</v>
      </c>
      <c r="Y92" s="101">
        <f t="shared" si="28"/>
        <v>71.070647554262479</v>
      </c>
      <c r="Z92" s="101">
        <f t="shared" si="28"/>
        <v>69.099729081341081</v>
      </c>
      <c r="AA92" s="101">
        <f t="shared" si="28"/>
        <v>67.059695044257268</v>
      </c>
      <c r="AB92" s="101">
        <f t="shared" si="28"/>
        <v>64.948996507235137</v>
      </c>
      <c r="AC92" s="101">
        <f t="shared" si="28"/>
        <v>62.766054710947721</v>
      </c>
      <c r="AD92" s="101">
        <f t="shared" si="28"/>
        <v>60.509260541048832</v>
      </c>
      <c r="AE92" s="101">
        <f t="shared" si="28"/>
        <v>58.176973987669442</v>
      </c>
      <c r="AF92" s="101">
        <f t="shared" si="28"/>
        <v>55.767523595729401</v>
      </c>
      <c r="AG92" s="101">
        <f t="shared" si="28"/>
        <v>53.279205905913422</v>
      </c>
      <c r="AH92" s="101">
        <f t="shared" si="28"/>
        <v>50.710284886157851</v>
      </c>
    </row>
    <row r="93" spans="1:35" outlineLevel="1" x14ac:dyDescent="0.2">
      <c r="A93"/>
      <c r="B93" t="s">
        <v>217</v>
      </c>
      <c r="C93" s="54" t="s">
        <v>153</v>
      </c>
      <c r="D93" s="44">
        <f>0</f>
        <v>0</v>
      </c>
      <c r="E93" s="44">
        <f>'Ethylene Recycling HC'!D67*'Ethylene Recycling HC'!D45-'Ethylene Recycling HC'!$C$67*'Ethylene Recycling HC'!$C$45</f>
        <v>0.44980716907180707</v>
      </c>
      <c r="F93" s="44">
        <f>'Ethylene Recycling HC'!E67*'Ethylene Recycling HC'!E45-'Ethylene Recycling HC'!$C$67*'Ethylene Recycling HC'!$C$45</f>
        <v>0.89666496381752658</v>
      </c>
      <c r="G93" s="44">
        <f>'Ethylene Recycling HC'!F67*'Ethylene Recycling HC'!F45-'Ethylene Recycling HC'!$C$67*'Ethylene Recycling HC'!$C$45</f>
        <v>1.3370435674457601</v>
      </c>
      <c r="H93" s="44">
        <f>'Ethylene Recycling HC'!G67*'Ethylene Recycling HC'!G45-'Ethylene Recycling HC'!$C$67*'Ethylene Recycling HC'!$C$45</f>
        <v>1.7673750206610404</v>
      </c>
      <c r="I93" s="44">
        <f>'Ethylene Recycling HC'!H67*'Ethylene Recycling HC'!H45-'Ethylene Recycling HC'!$C$67*'Ethylene Recycling HC'!$C$45</f>
        <v>2.1841004926790237</v>
      </c>
      <c r="J93" s="44">
        <f>'Ethylene Recycling HC'!I67*'Ethylene Recycling HC'!I45-'Ethylene Recycling HC'!$C$67*'Ethylene Recycling HC'!$C$45</f>
        <v>2.6004804880352692</v>
      </c>
      <c r="K93" s="44">
        <f>'Ethylene Recycling HC'!J67*'Ethylene Recycling HC'!J45-'Ethylene Recycling HC'!$C$67*'Ethylene Recycling HC'!$C$45</f>
        <v>3.0156673359194821</v>
      </c>
      <c r="L93" s="44">
        <f>'Ethylene Recycling HC'!K67*'Ethylene Recycling HC'!K45-'Ethylene Recycling HC'!$C$67*'Ethylene Recycling HC'!$C$45</f>
        <v>3.4287948352474702</v>
      </c>
      <c r="M93" s="44">
        <f>'Ethylene Recycling HC'!L67*'Ethylene Recycling HC'!L45-'Ethylene Recycling HC'!$C$67*'Ethylene Recycling HC'!$C$45</f>
        <v>3.8389803250117813</v>
      </c>
      <c r="N93" s="44">
        <f>'Ethylene Recycling HC'!M67*'Ethylene Recycling HC'!M45-'Ethylene Recycling HC'!$C$67*'Ethylene Recycling HC'!$C$45</f>
        <v>4.2453268619913489</v>
      </c>
      <c r="O93" s="44">
        <f>'Ethylene Recycling HC'!N67*'Ethylene Recycling HC'!N45-'Ethylene Recycling HC'!$C$67*'Ethylene Recycling HC'!$C$45</f>
        <v>4.8561819910923925</v>
      </c>
      <c r="P93" s="44">
        <f>'Ethylene Recycling HC'!O67*'Ethylene Recycling HC'!O45-'Ethylene Recycling HC'!$C$67*'Ethylene Recycling HC'!$C$45</f>
        <v>5.4685560470968566</v>
      </c>
      <c r="Q93" s="44">
        <f>'Ethylene Recycling HC'!P67*'Ethylene Recycling HC'!P45-'Ethylene Recycling HC'!$C$67*'Ethylene Recycling HC'!$C$45</f>
        <v>5.9854741201467574</v>
      </c>
      <c r="R93" s="44">
        <f>'Ethylene Recycling HC'!Q67*'Ethylene Recycling HC'!Q45-'Ethylene Recycling HC'!$C$67*'Ethylene Recycling HC'!$C$45</f>
        <v>6.4487069600005222</v>
      </c>
      <c r="S93" s="44">
        <f>'Ethylene Recycling HC'!R67*'Ethylene Recycling HC'!R45-'Ethylene Recycling HC'!$C$67*'Ethylene Recycling HC'!$C$45</f>
        <v>6.8543762969825712</v>
      </c>
      <c r="T93" s="44">
        <f>'Ethylene Recycling HC'!S67*'Ethylene Recycling HC'!S45-'Ethylene Recycling HC'!$C$67*'Ethylene Recycling HC'!$C$45</f>
        <v>7.2214208273116833</v>
      </c>
      <c r="U93" s="44">
        <f>'Ethylene Recycling HC'!T67*'Ethylene Recycling HC'!T45-'Ethylene Recycling HC'!$C$67*'Ethylene Recycling HC'!$C$45</f>
        <v>7.5487047792753463</v>
      </c>
      <c r="V93" s="44">
        <f>'Ethylene Recycling HC'!U67*'Ethylene Recycling HC'!U45-'Ethylene Recycling HC'!$C$67*'Ethylene Recycling HC'!$C$45</f>
        <v>7.8351022431983131</v>
      </c>
      <c r="W93" s="44">
        <f>'Ethylene Recycling HC'!V67*'Ethylene Recycling HC'!V45-'Ethylene Recycling HC'!$C$67*'Ethylene Recycling HC'!$C$45</f>
        <v>8.0794982113255571</v>
      </c>
      <c r="X93" s="44">
        <f>'Ethylene Recycling HC'!W67*'Ethylene Recycling HC'!W45-'Ethylene Recycling HC'!$C$67*'Ethylene Recycling HC'!$C$45</f>
        <v>8.2807896223974176</v>
      </c>
      <c r="Y93" s="44">
        <f>'Ethylene Recycling HC'!X67*'Ethylene Recycling HC'!X45-'Ethylene Recycling HC'!$C$67*'Ethylene Recycling HC'!$C$45</f>
        <v>8.6079408087041784</v>
      </c>
      <c r="Z93" s="44">
        <f>'Ethylene Recycling HC'!Y67*'Ethylene Recycling HC'!Y45-'Ethylene Recycling HC'!$C$67*'Ethylene Recycling HC'!$C$45</f>
        <v>9.0966537474626676</v>
      </c>
      <c r="AA93" s="44">
        <f>'Ethylene Recycling HC'!Z67*'Ethylene Recycling HC'!Z45-'Ethylene Recycling HC'!$C$67*'Ethylene Recycling HC'!$C$45</f>
        <v>9.5078627987560829</v>
      </c>
      <c r="AB93" s="44">
        <f>'Ethylene Recycling HC'!AA67*'Ethylene Recycling HC'!AA45-'Ethylene Recycling HC'!$C$67*'Ethylene Recycling HC'!$C$45</f>
        <v>9.8396401651735239</v>
      </c>
      <c r="AC93" s="44">
        <f>'Ethylene Recycling HC'!AB67*'Ethylene Recycling HC'!AB45-'Ethylene Recycling HC'!$C$67*'Ethylene Recycling HC'!$C$45</f>
        <v>10.090080245563815</v>
      </c>
      <c r="AD93" s="44">
        <f>'Ethylene Recycling HC'!AC67*'Ethylene Recycling HC'!AC45-'Ethylene Recycling HC'!$C$67*'Ethylene Recycling HC'!$C$45</f>
        <v>10.257447313991523</v>
      </c>
      <c r="AE93" s="44">
        <f>'Ethylene Recycling HC'!AD67*'Ethylene Recycling HC'!AD45-'Ethylene Recycling HC'!$C$67*'Ethylene Recycling HC'!$C$45</f>
        <v>10.339887726065555</v>
      </c>
      <c r="AF93" s="44">
        <f>'Ethylene Recycling HC'!AE67*'Ethylene Recycling HC'!AE45-'Ethylene Recycling HC'!$C$67*'Ethylene Recycling HC'!$C$45</f>
        <v>10.335570146708069</v>
      </c>
      <c r="AG93" s="44">
        <f>'Ethylene Recycling HC'!AF67*'Ethylene Recycling HC'!AF45-'Ethylene Recycling HC'!$C$67*'Ethylene Recycling HC'!$C$45</f>
        <v>10.242687048522349</v>
      </c>
      <c r="AH93" s="44">
        <f>'Ethylene Recycling HC'!AG67*'Ethylene Recycling HC'!AG45-'Ethylene Recycling HC'!$C$67*'Ethylene Recycling HC'!$C$45</f>
        <v>10.059456211326065</v>
      </c>
    </row>
    <row r="94" spans="1:35" outlineLevel="1" x14ac:dyDescent="0.2">
      <c r="A94"/>
      <c r="B94" s="181" t="s">
        <v>218</v>
      </c>
      <c r="C94" s="54" t="s">
        <v>153</v>
      </c>
      <c r="D94" s="44">
        <f>0</f>
        <v>0</v>
      </c>
      <c r="E94" s="44">
        <f>'Ethylene Recycling HC'!D127*'Ethylene Recycling HC'!D46-'Ethylene Recycling HC'!$C$127*'Ethylene Recycling HC'!$C$46</f>
        <v>1.8700648518153269E-3</v>
      </c>
      <c r="F94" s="44">
        <f>'Ethylene Recycling HC'!E127*'Ethylene Recycling HC'!E46-'Ethylene Recycling HC'!$C$127*'Ethylene Recycling HC'!$C$46</f>
        <v>3.7152470000596767E-3</v>
      </c>
      <c r="G94" s="44">
        <f>'Ethylene Recycling HC'!F127*'Ethylene Recycling HC'!F46-'Ethylene Recycling HC'!$C$127*'Ethylene Recycling HC'!$C$46</f>
        <v>5.51656191653858E-3</v>
      </c>
      <c r="H94" s="44">
        <f>'Ethylene Recycling HC'!G127*'Ethylene Recycling HC'!G46-'Ethylene Recycling HC'!$C$127*'Ethylene Recycling HC'!$C$46</f>
        <v>7.2552059166358209E-3</v>
      </c>
      <c r="I94" s="44">
        <f>'Ethylene Recycling HC'!H127*'Ethylene Recycling HC'!H46-'Ethylene Recycling HC'!$C$127*'Ethylene Recycling HC'!$C$46</f>
        <v>8.912850768403667E-3</v>
      </c>
      <c r="J94" s="44">
        <f>'Ethylene Recycling HC'!I127*'Ethylene Recycling HC'!I46-'Ethylene Recycling HC'!$C$127*'Ethylene Recycling HC'!$C$46</f>
        <v>1.0510391527087427E-2</v>
      </c>
      <c r="K94" s="44">
        <f>'Ethylene Recycling HC'!J127*'Ethylene Recycling HC'!J46-'Ethylene Recycling HC'!$C$127*'Ethylene Recycling HC'!$C$46</f>
        <v>1.2040884693431456E-2</v>
      </c>
      <c r="L94" s="44">
        <f>'Ethylene Recycling HC'!K127*'Ethylene Recycling HC'!K46-'Ethylene Recycling HC'!$C$127*'Ethylene Recycling HC'!$C$46</f>
        <v>1.3497365193705577E-2</v>
      </c>
      <c r="M94" s="44">
        <f>'Ethylene Recycling HC'!L127*'Ethylene Recycling HC'!L46-'Ethylene Recycling HC'!$C$127*'Ethylene Recycling HC'!$C$46</f>
        <v>1.4872868177446073E-2</v>
      </c>
      <c r="N94" s="44">
        <f>'Ethylene Recycling HC'!M127*'Ethylene Recycling HC'!M46-'Ethylene Recycling HC'!$C$127*'Ethylene Recycling HC'!$C$46</f>
        <v>1.6160451408523475E-2</v>
      </c>
      <c r="O94" s="44">
        <f>'Ethylene Recycling HC'!N127*'Ethylene Recycling HC'!N46-'Ethylene Recycling HC'!$C$127*'Ethylene Recycling HC'!$C$46</f>
        <v>1.9140141079746712E-2</v>
      </c>
      <c r="P94" s="44">
        <f>'Ethylene Recycling HC'!O127*'Ethylene Recycling HC'!O46-'Ethylene Recycling HC'!$C$127*'Ethylene Recycling HC'!$C$46</f>
        <v>2.1891074361714016E-2</v>
      </c>
      <c r="Q94" s="44">
        <f>'Ethylene Recycling HC'!P127*'Ethylene Recycling HC'!P46-'Ethylene Recycling HC'!$C$127*'Ethylene Recycling HC'!$C$46</f>
        <v>2.4280661815364882E-2</v>
      </c>
      <c r="R94" s="44">
        <f>'Ethylene Recycling HC'!Q127*'Ethylene Recycling HC'!Q46-'Ethylene Recycling HC'!$C$127*'Ethylene Recycling HC'!$C$46</f>
        <v>2.6379342595640662E-2</v>
      </c>
      <c r="S94" s="44">
        <f>'Ethylene Recycling HC'!R127*'Ethylene Recycling HC'!R46-'Ethylene Recycling HC'!$C$127*'Ethylene Recycling HC'!$C$46</f>
        <v>2.8170490916340926E-2</v>
      </c>
      <c r="T94" s="44">
        <f>'Ethylene Recycling HC'!S127*'Ethylene Recycling HC'!S46-'Ethylene Recycling HC'!$C$127*'Ethylene Recycling HC'!$C$46</f>
        <v>2.9707252807554568E-2</v>
      </c>
      <c r="U94" s="44">
        <f>'Ethylene Recycling HC'!T127*'Ethylene Recycling HC'!T46-'Ethylene Recycling HC'!$C$127*'Ethylene Recycling HC'!$C$46</f>
        <v>3.0986092046185319E-2</v>
      </c>
      <c r="V94" s="44">
        <f>'Ethylene Recycling HC'!U127*'Ethylene Recycling HC'!U46-'Ethylene Recycling HC'!$C$127*'Ethylene Recycling HC'!$C$46</f>
        <v>3.2003665919833911E-2</v>
      </c>
      <c r="W94" s="44">
        <f>'Ethylene Recycling HC'!V127*'Ethylene Recycling HC'!V46-'Ethylene Recycling HC'!$C$127*'Ethylene Recycling HC'!$C$46</f>
        <v>3.2756830029937123E-2</v>
      </c>
      <c r="X94" s="44">
        <f>'Ethylene Recycling HC'!W127*'Ethylene Recycling HC'!W46-'Ethylene Recycling HC'!$C$127*'Ethylene Recycling HC'!$C$46</f>
        <v>3.3242642926893932E-2</v>
      </c>
      <c r="Y94" s="44">
        <f>'Ethylene Recycling HC'!X127*'Ethylene Recycling HC'!X46-'Ethylene Recycling HC'!$C$127*'Ethylene Recycling HC'!$C$46</f>
        <v>3.5016236693088357E-2</v>
      </c>
      <c r="Z94" s="44">
        <f>'Ethylene Recycling HC'!Y127*'Ethylene Recycling HC'!Y46-'Ethylene Recycling HC'!$C$127*'Ethylene Recycling HC'!$C$46</f>
        <v>3.6346529158148469E-2</v>
      </c>
      <c r="AA94" s="44">
        <f>'Ethylene Recycling HC'!Z127*'Ethylene Recycling HC'!Z46-'Ethylene Recycling HC'!$C$127*'Ethylene Recycling HC'!$C$46</f>
        <v>3.6862838230479623E-2</v>
      </c>
      <c r="AB94" s="44">
        <f>'Ethylene Recycling HC'!AA127*'Ethylene Recycling HC'!AA46-'Ethylene Recycling HC'!$C$127*'Ethylene Recycling HC'!$C$46</f>
        <v>3.6916560978130238E-2</v>
      </c>
      <c r="AC94" s="44">
        <f>'Ethylene Recycling HC'!AB127*'Ethylene Recycling HC'!AB46-'Ethylene Recycling HC'!$C$127*'Ethylene Recycling HC'!$C$46</f>
        <v>3.6515219424624108E-2</v>
      </c>
      <c r="AD94" s="44">
        <f>'Ethylene Recycling HC'!AC127*'Ethylene Recycling HC'!AC46-'Ethylene Recycling HC'!$C$127*'Ethylene Recycling HC'!$C$46</f>
        <v>3.5667420157540812E-2</v>
      </c>
      <c r="AE94" s="44">
        <f>'Ethylene Recycling HC'!AD127*'Ethylene Recycling HC'!AD46-'Ethylene Recycling HC'!$C$127*'Ethylene Recycling HC'!$C$46</f>
        <v>3.4381995086521094E-2</v>
      </c>
      <c r="AF94" s="44">
        <f>'Ethylene Recycling HC'!AE127*'Ethylene Recycling HC'!AE46-'Ethylene Recycling HC'!$C$127*'Ethylene Recycling HC'!$C$46</f>
        <v>3.2668408769800747E-2</v>
      </c>
      <c r="AG94" s="44">
        <f>'Ethylene Recycling HC'!AF127*'Ethylene Recycling HC'!AF46-'Ethylene Recycling HC'!$C$127*'Ethylene Recycling HC'!$C$46</f>
        <v>3.0536747257737418E-2</v>
      </c>
      <c r="AH94" s="44">
        <f>'Ethylene Recycling HC'!AG127*'Ethylene Recycling HC'!AG46-'Ethylene Recycling HC'!$C$127*'Ethylene Recycling HC'!$C$46</f>
        <v>2.7997705933581002E-2</v>
      </c>
    </row>
    <row r="95" spans="1:35" s="68" customFormat="1" x14ac:dyDescent="0.2">
      <c r="A95" s="62"/>
      <c r="B95" s="62" t="s">
        <v>219</v>
      </c>
      <c r="C95" s="63" t="s">
        <v>153</v>
      </c>
      <c r="D95" s="64">
        <f t="shared" ref="D95:AG95" si="29">D92-D93-D94</f>
        <v>89.109936202323638</v>
      </c>
      <c r="E95" s="64">
        <f>E92-E93-E94</f>
        <v>88.704043653620772</v>
      </c>
      <c r="F95" s="64">
        <f t="shared" si="29"/>
        <v>88.284941785638097</v>
      </c>
      <c r="G95" s="64">
        <f t="shared" si="29"/>
        <v>87.855717285760221</v>
      </c>
      <c r="H95" s="64">
        <f t="shared" si="29"/>
        <v>87.419485035823044</v>
      </c>
      <c r="I95" s="64">
        <f t="shared" si="29"/>
        <v>86.97934036358194</v>
      </c>
      <c r="J95" s="64">
        <f t="shared" si="29"/>
        <v>86.521509901953792</v>
      </c>
      <c r="K95" s="64">
        <f t="shared" si="29"/>
        <v>86.046345972149084</v>
      </c>
      <c r="L95" s="64">
        <f t="shared" si="29"/>
        <v>85.554208928928389</v>
      </c>
      <c r="M95" s="64">
        <f t="shared" si="29"/>
        <v>85.045464872391136</v>
      </c>
      <c r="N95" s="64">
        <f t="shared" si="29"/>
        <v>84.52048324838384</v>
      </c>
      <c r="O95" s="64">
        <f t="shared" si="29"/>
        <v>82.695352689466034</v>
      </c>
      <c r="P95" s="64">
        <f t="shared" si="29"/>
        <v>81.187072316097357</v>
      </c>
      <c r="Q95" s="64">
        <f t="shared" si="29"/>
        <v>79.319051894798747</v>
      </c>
      <c r="R95" s="64">
        <f t="shared" si="29"/>
        <v>77.450254862257637</v>
      </c>
      <c r="S95" s="64">
        <f t="shared" si="29"/>
        <v>75.583307384605774</v>
      </c>
      <c r="T95" s="64">
        <f t="shared" si="29"/>
        <v>73.697924097382227</v>
      </c>
      <c r="U95" s="64">
        <f t="shared" si="29"/>
        <v>71.793925547898851</v>
      </c>
      <c r="V95" s="64">
        <f t="shared" si="29"/>
        <v>69.871096536362472</v>
      </c>
      <c r="W95" s="64">
        <f t="shared" si="29"/>
        <v>67.929184610302457</v>
      </c>
      <c r="X95" s="64">
        <f t="shared" si="29"/>
        <v>65.967898546604644</v>
      </c>
      <c r="Y95" s="64">
        <f t="shared" si="29"/>
        <v>62.427690508865211</v>
      </c>
      <c r="Z95" s="64">
        <f t="shared" si="29"/>
        <v>59.966728804720262</v>
      </c>
      <c r="AA95" s="64">
        <f t="shared" si="29"/>
        <v>57.514969407270712</v>
      </c>
      <c r="AB95" s="64">
        <f t="shared" si="29"/>
        <v>55.072439781083489</v>
      </c>
      <c r="AC95" s="64">
        <f t="shared" si="29"/>
        <v>52.63945924595928</v>
      </c>
      <c r="AD95" s="64">
        <f t="shared" si="29"/>
        <v>50.216145806899775</v>
      </c>
      <c r="AE95" s="64">
        <f t="shared" si="29"/>
        <v>47.802704266517367</v>
      </c>
      <c r="AF95" s="64">
        <f t="shared" si="29"/>
        <v>45.399285040251534</v>
      </c>
      <c r="AG95" s="64">
        <f t="shared" si="29"/>
        <v>43.005982110133338</v>
      </c>
      <c r="AH95" s="64">
        <f>AH92-AH93-AH94</f>
        <v>40.622830968898207</v>
      </c>
      <c r="AI95"/>
    </row>
    <row r="96" spans="1:35" s="67" customFormat="1" x14ac:dyDescent="0.2">
      <c r="A96" s="687" t="s">
        <v>257</v>
      </c>
      <c r="B96" s="58" t="s">
        <v>258</v>
      </c>
      <c r="C96" s="59" t="s">
        <v>153</v>
      </c>
      <c r="D96" s="60">
        <f>D34-('Ethylene Recycling HC'!C76+'Ethylene Recycling HC'!C143-'Ethylene Recycling HC'!$C$76-'Ethylene Recycling HC'!$C$143)</f>
        <v>74.910171646535289</v>
      </c>
      <c r="E96" s="60">
        <f>E34-('Ethylene Recycling HC'!D76+'Ethylene Recycling HC'!D143-'Ethylene Recycling HC'!$C$76-'Ethylene Recycling HC'!$C$143)</f>
        <v>74.521612078417647</v>
      </c>
      <c r="F96" s="60">
        <f>F34-('Ethylene Recycling HC'!E76+'Ethylene Recycling HC'!E143-'Ethylene Recycling HC'!$C$76-'Ethylene Recycling HC'!$C$143)</f>
        <v>74.122427643067212</v>
      </c>
      <c r="G96" s="60">
        <f>G34-('Ethylene Recycling HC'!F76+'Ethylene Recycling HC'!F143-'Ethylene Recycling HC'!$C$76-'Ethylene Recycling HC'!$C$143)</f>
        <v>73.715500754811472</v>
      </c>
      <c r="H96" s="60">
        <f>H34-('Ethylene Recycling HC'!G76+'Ethylene Recycling HC'!G143-'Ethylene Recycling HC'!$C$76-'Ethylene Recycling HC'!$C$143)</f>
        <v>73.30373188064317</v>
      </c>
      <c r="I96" s="60">
        <f>I34-('Ethylene Recycling HC'!H76+'Ethylene Recycling HC'!H143-'Ethylene Recycling HC'!$C$76-'Ethylene Recycling HC'!$C$143)</f>
        <v>72.88999532824208</v>
      </c>
      <c r="J96" s="60">
        <f>J34-('Ethylene Recycling HC'!I76+'Ethylene Recycling HC'!I143-'Ethylene Recycling HC'!$C$76-'Ethylene Recycling HC'!$C$143)</f>
        <v>72.461574800418148</v>
      </c>
      <c r="K96" s="60">
        <f>K34-('Ethylene Recycling HC'!J76+'Ethylene Recycling HC'!J143-'Ethylene Recycling HC'!$C$76-'Ethylene Recycling HC'!$C$143)</f>
        <v>72.018827731101311</v>
      </c>
      <c r="L96" s="60">
        <f>L34-('Ethylene Recycling HC'!K76+'Ethylene Recycling HC'!K143-'Ethylene Recycling HC'!$C$76-'Ethylene Recycling HC'!$C$143)</f>
        <v>71.562117560904284</v>
      </c>
      <c r="M96" s="60">
        <f>M34-('Ethylene Recycling HC'!L76+'Ethylene Recycling HC'!L143-'Ethylene Recycling HC'!$C$76-'Ethylene Recycling HC'!$C$143)</f>
        <v>71.091811587210984</v>
      </c>
      <c r="N96" s="60">
        <f>N34-('Ethylene Recycling HC'!M76+'Ethylene Recycling HC'!M143-'Ethylene Recycling HC'!$C$76-'Ethylene Recycling HC'!$C$143)</f>
        <v>70.608278719829229</v>
      </c>
      <c r="O96" s="60">
        <f>O34-('Ethylene Recycling HC'!N76+'Ethylene Recycling HC'!N143-'Ethylene Recycling HC'!$C$76-'Ethylene Recycling HC'!$C$143)</f>
        <v>68.990522876193936</v>
      </c>
      <c r="P96" s="60">
        <f>P34-('Ethylene Recycling HC'!O76+'Ethylene Recycling HC'!O143-'Ethylene Recycling HC'!$C$76-'Ethylene Recycling HC'!$C$143)</f>
        <v>67.63950211517809</v>
      </c>
      <c r="Q96" s="60">
        <f>Q34-('Ethylene Recycling HC'!P76+'Ethylene Recycling HC'!P143-'Ethylene Recycling HC'!$C$76-'Ethylene Recycling HC'!$C$143)</f>
        <v>65.992291937732773</v>
      </c>
      <c r="R96" s="60">
        <f>R34-('Ethylene Recycling HC'!Q76+'Ethylene Recycling HC'!Q143-'Ethylene Recycling HC'!$C$76-'Ethylene Recycling HC'!$C$143)</f>
        <v>64.348112943148507</v>
      </c>
      <c r="S96" s="60">
        <f>S34-('Ethylene Recycling HC'!R76+'Ethylene Recycling HC'!R143-'Ethylene Recycling HC'!$C$76-'Ethylene Recycling HC'!$C$143)</f>
        <v>62.709350139315404</v>
      </c>
      <c r="T96" s="60">
        <f>T34-('Ethylene Recycling HC'!S76+'Ethylene Recycling HC'!S143-'Ethylene Recycling HC'!$C$76-'Ethylene Recycling HC'!$C$143)</f>
        <v>61.05735816809738</v>
      </c>
      <c r="U96" s="60">
        <f>U34-('Ethylene Recycling HC'!T76+'Ethylene Recycling HC'!T143-'Ethylene Recycling HC'!$C$76-'Ethylene Recycling HC'!$C$143)</f>
        <v>59.391976000479602</v>
      </c>
      <c r="V96" s="60">
        <f>V34-('Ethylene Recycling HC'!U76+'Ethylene Recycling HC'!U143-'Ethylene Recycling HC'!$C$76-'Ethylene Recycling HC'!$C$143)</f>
        <v>57.713008576613213</v>
      </c>
      <c r="W96" s="60">
        <f>W34-('Ethylene Recycling HC'!V76+'Ethylene Recycling HC'!V143-'Ethylene Recycling HC'!$C$76-'Ethylene Recycling HC'!$C$143)</f>
        <v>56.020225486699566</v>
      </c>
      <c r="X96" s="60">
        <f>X34-('Ethylene Recycling HC'!W76+'Ethylene Recycling HC'!W143-'Ethylene Recycling HC'!$C$76-'Ethylene Recycling HC'!$C$143)</f>
        <v>54.313359644810049</v>
      </c>
      <c r="Y96" s="60">
        <f>Y34-('Ethylene Recycling HC'!X76+'Ethylene Recycling HC'!X143-'Ethylene Recycling HC'!$C$76-'Ethylene Recycling HC'!$C$143)</f>
        <v>51.297484452972725</v>
      </c>
      <c r="Z96" s="60">
        <f>Z34-('Ethylene Recycling HC'!Y76+'Ethylene Recycling HC'!Y143-'Ethylene Recycling HC'!$C$76-'Ethylene Recycling HC'!$C$143)</f>
        <v>49.146059310363682</v>
      </c>
      <c r="AA96" s="60">
        <f>AA34-('Ethylene Recycling HC'!Z76+'Ethylene Recycling HC'!Z143-'Ethylene Recycling HC'!$C$76-'Ethylene Recycling HC'!$C$143)</f>
        <v>47.007129581967419</v>
      </c>
      <c r="AB96" s="60">
        <f>AB34-('Ethylene Recycling HC'!AA76+'Ethylene Recycling HC'!AA143-'Ethylene Recycling HC'!$C$76-'Ethylene Recycling HC'!$C$143)</f>
        <v>44.880718371002501</v>
      </c>
      <c r="AC96" s="60">
        <f>AC34-('Ethylene Recycling HC'!AB76+'Ethylene Recycling HC'!AB143-'Ethylene Recycling HC'!$C$76-'Ethylene Recycling HC'!$C$143)</f>
        <v>42.767054289699729</v>
      </c>
      <c r="AD96" s="60">
        <f>AD34-('Ethylene Recycling HC'!AC76+'Ethylene Recycling HC'!AC143-'Ethylene Recycling HC'!$C$76-'Ethylene Recycling HC'!$C$143)</f>
        <v>40.666179658011941</v>
      </c>
      <c r="AE96" s="60">
        <f>AE34-('Ethylene Recycling HC'!AD76+'Ethylene Recycling HC'!AD143-'Ethylene Recycling HC'!$C$76-'Ethylene Recycling HC'!$C$143)</f>
        <v>38.578213482354187</v>
      </c>
      <c r="AF96" s="60">
        <f>AF34-('Ethylene Recycling HC'!AE76+'Ethylene Recycling HC'!AE143-'Ethylene Recycling HC'!$C$76-'Ethylene Recycling HC'!$C$143)</f>
        <v>36.503222620482447</v>
      </c>
      <c r="AG96" s="60">
        <f>AG34-('Ethylene Recycling HC'!AF76+'Ethylene Recycling HC'!AF143-'Ethylene Recycling HC'!$C$76-'Ethylene Recycling HC'!$C$143)</f>
        <v>34.441220022881922</v>
      </c>
      <c r="AH96" s="60">
        <f>AH34-('Ethylene Recycling HC'!AG76+'Ethylene Recycling HC'!AG143-'Ethylene Recycling HC'!$C$76-'Ethylene Recycling HC'!$C$143)</f>
        <v>32.392162970907179</v>
      </c>
      <c r="AI96" s="44"/>
    </row>
    <row r="97" spans="1:35" x14ac:dyDescent="0.2">
      <c r="A97" s="688"/>
      <c r="B97" s="1" t="s">
        <v>260</v>
      </c>
      <c r="C97" s="54" t="s">
        <v>153</v>
      </c>
      <c r="D97" s="44">
        <f>D35+(D101-D39)</f>
        <v>10.180685222672066</v>
      </c>
      <c r="E97" s="44">
        <f t="shared" ref="E97:AH97" si="30">E35+(E101-E39)</f>
        <v>10.157799004362538</v>
      </c>
      <c r="F97" s="44">
        <f t="shared" si="30"/>
        <v>10.133976118175086</v>
      </c>
      <c r="G97" s="44">
        <f t="shared" si="30"/>
        <v>10.109403800252382</v>
      </c>
      <c r="H97" s="44">
        <f t="shared" si="30"/>
        <v>10.084259766164235</v>
      </c>
      <c r="I97" s="44">
        <f t="shared" si="30"/>
        <v>10.058708807622688</v>
      </c>
      <c r="J97" s="44">
        <f t="shared" si="30"/>
        <v>10.031766177775522</v>
      </c>
      <c r="K97" s="44">
        <f t="shared" si="30"/>
        <v>10.003430332308447</v>
      </c>
      <c r="L97" s="44">
        <f t="shared" si="30"/>
        <v>9.9736970971322307</v>
      </c>
      <c r="M97" s="44">
        <f t="shared" si="30"/>
        <v>9.9425594383859597</v>
      </c>
      <c r="N97" s="44">
        <f t="shared" si="30"/>
        <v>9.9100072348413164</v>
      </c>
      <c r="O97" s="44">
        <f t="shared" si="30"/>
        <v>9.7400804739736362</v>
      </c>
      <c r="P97" s="44">
        <f t="shared" si="30"/>
        <v>9.6073607872763613</v>
      </c>
      <c r="Q97" s="44">
        <f t="shared" si="30"/>
        <v>9.4294839152478609</v>
      </c>
      <c r="R97" s="44">
        <f t="shared" si="30"/>
        <v>9.2494542627159433</v>
      </c>
      <c r="S97" s="44">
        <f t="shared" si="30"/>
        <v>9.0672358399414197</v>
      </c>
      <c r="T97" s="44">
        <f t="shared" si="30"/>
        <v>8.8814133750987381</v>
      </c>
      <c r="U97" s="44">
        <f t="shared" si="30"/>
        <v>8.6918125944848317</v>
      </c>
      <c r="V97" s="44">
        <f t="shared" si="30"/>
        <v>8.4982521615387512</v>
      </c>
      <c r="W97" s="44">
        <f t="shared" si="30"/>
        <v>8.3005436030152957</v>
      </c>
      <c r="X97" s="44">
        <f t="shared" si="30"/>
        <v>8.0984912388737325</v>
      </c>
      <c r="Y97" s="44">
        <f t="shared" si="30"/>
        <v>7.7238571187829921</v>
      </c>
      <c r="Z97" s="44">
        <f t="shared" si="30"/>
        <v>7.4825424780227774</v>
      </c>
      <c r="AA97" s="44">
        <f t="shared" si="30"/>
        <v>7.238305898347912</v>
      </c>
      <c r="AB97" s="44">
        <f t="shared" si="30"/>
        <v>6.9908917652376799</v>
      </c>
      <c r="AC97" s="44">
        <f t="shared" si="30"/>
        <v>6.7400338546188463</v>
      </c>
      <c r="AD97" s="44">
        <f t="shared" si="30"/>
        <v>6.4854476837147992</v>
      </c>
      <c r="AE97" s="44">
        <f t="shared" si="30"/>
        <v>6.2268458458734077</v>
      </c>
      <c r="AF97" s="44">
        <f t="shared" si="30"/>
        <v>5.9639304179959947</v>
      </c>
      <c r="AG97" s="44">
        <f t="shared" si="30"/>
        <v>5.6963929095576802</v>
      </c>
      <c r="AH97" s="44">
        <f t="shared" si="30"/>
        <v>5.4239142175183375</v>
      </c>
      <c r="AI97" s="44"/>
    </row>
    <row r="98" spans="1:35" x14ac:dyDescent="0.2">
      <c r="A98" s="688"/>
      <c r="B98" s="1" t="s">
        <v>262</v>
      </c>
      <c r="C98" s="54" t="s">
        <v>153</v>
      </c>
      <c r="D98" s="44">
        <f>D36+(D100-D38)</f>
        <v>2.502958579881656</v>
      </c>
      <c r="E98" s="44">
        <f t="shared" ref="E98:AH98" si="31">E36+(E100-E38)</f>
        <v>2.521352478251766</v>
      </c>
      <c r="F98" s="44">
        <f t="shared" si="31"/>
        <v>2.5392113450266076</v>
      </c>
      <c r="G98" s="44">
        <f t="shared" si="31"/>
        <v>2.5565496664562195</v>
      </c>
      <c r="H98" s="44">
        <f t="shared" si="31"/>
        <v>2.5733927695539398</v>
      </c>
      <c r="I98" s="44">
        <f t="shared" si="31"/>
        <v>2.5897767786266921</v>
      </c>
      <c r="J98" s="44">
        <f t="shared" si="31"/>
        <v>2.6056727423623385</v>
      </c>
      <c r="K98" s="44">
        <f t="shared" si="31"/>
        <v>2.6210860567498813</v>
      </c>
      <c r="L98" s="44">
        <f t="shared" si="31"/>
        <v>2.6360248045826351</v>
      </c>
      <c r="M98" s="44">
        <f t="shared" si="31"/>
        <v>2.6504998090541969</v>
      </c>
      <c r="N98" s="44">
        <f t="shared" si="31"/>
        <v>2.6645246768080408</v>
      </c>
      <c r="O98" s="44">
        <f t="shared" si="31"/>
        <v>2.6496181525850586</v>
      </c>
      <c r="P98" s="44">
        <f t="shared" si="31"/>
        <v>2.6331664946754589</v>
      </c>
      <c r="Q98" s="44">
        <f t="shared" si="31"/>
        <v>2.6160957445277395</v>
      </c>
      <c r="R98" s="44">
        <f t="shared" si="31"/>
        <v>2.5981674059540962</v>
      </c>
      <c r="S98" s="44">
        <f t="shared" si="31"/>
        <v>2.5795312089619462</v>
      </c>
      <c r="T98" s="44">
        <f t="shared" si="31"/>
        <v>2.5600728492615561</v>
      </c>
      <c r="U98" s="44">
        <f t="shared" si="31"/>
        <v>2.5398777710203895</v>
      </c>
      <c r="V98" s="44">
        <f t="shared" si="31"/>
        <v>2.5190343315216293</v>
      </c>
      <c r="W98" s="44">
        <f t="shared" si="31"/>
        <v>2.4976337391638062</v>
      </c>
      <c r="X98" s="44">
        <f t="shared" si="31"/>
        <v>2.4757699865409002</v>
      </c>
      <c r="Y98" s="44">
        <f t="shared" si="31"/>
        <v>2.4495245383480264</v>
      </c>
      <c r="Z98" s="44">
        <f t="shared" si="31"/>
        <v>2.4193430028871568</v>
      </c>
      <c r="AA98" s="44">
        <f t="shared" si="31"/>
        <v>2.3889677144364532</v>
      </c>
      <c r="AB98" s="44">
        <f t="shared" si="31"/>
        <v>2.3585630638925483</v>
      </c>
      <c r="AC98" s="44">
        <f t="shared" si="31"/>
        <v>2.3283240110142205</v>
      </c>
      <c r="AD98" s="44">
        <f t="shared" si="31"/>
        <v>2.2984472474619655</v>
      </c>
      <c r="AE98" s="44">
        <f t="shared" si="31"/>
        <v>2.2691363985712205</v>
      </c>
      <c r="AF98" s="44">
        <f t="shared" si="31"/>
        <v>2.2405994891450769</v>
      </c>
      <c r="AG98" s="44">
        <f t="shared" si="31"/>
        <v>2.2130488096535217</v>
      </c>
      <c r="AH98" s="44">
        <f t="shared" si="31"/>
        <v>2.1867007759230379</v>
      </c>
      <c r="AI98" s="44"/>
    </row>
    <row r="99" spans="1:35" s="68" customFormat="1" x14ac:dyDescent="0.2">
      <c r="A99" s="689"/>
      <c r="B99" s="62" t="s">
        <v>248</v>
      </c>
      <c r="C99" s="283" t="s">
        <v>153</v>
      </c>
      <c r="D99" s="44">
        <f>D37-('Ethylene Recycling HC'!C80+'Ethylene Recycling HC'!C147-'Ethylene Recycling HC'!$C$80-'Ethylene Recycling HC'!$C$147+'Ethylene Recycling HC'!C77+'Ethylene Recycling HC'!C144-'Ethylene Recycling HC'!$C$77-'Ethylene Recycling HC'!$C$144)</f>
        <v>1.516120753234631</v>
      </c>
      <c r="E99" s="44">
        <f>E37-('Ethylene Recycling HC'!D80+'Ethylene Recycling HC'!D147-'Ethylene Recycling HC'!$C$80-'Ethylene Recycling HC'!$C$147+'Ethylene Recycling HC'!D77+'Ethylene Recycling HC'!D144-'Ethylene Recycling HC'!$C$77-'Ethylene Recycling HC'!$C$144)</f>
        <v>1.5032800925888226</v>
      </c>
      <c r="F99" s="44">
        <f>F37-('Ethylene Recycling HC'!E80+'Ethylene Recycling HC'!E147-'Ethylene Recycling HC'!$C$80-'Ethylene Recycling HC'!$C$147+'Ethylene Recycling HC'!E77+'Ethylene Recycling HC'!E144-'Ethylene Recycling HC'!$C$77-'Ethylene Recycling HC'!$C$144)</f>
        <v>1.4893266793691928</v>
      </c>
      <c r="G99" s="44">
        <f>G37-('Ethylene Recycling HC'!F80+'Ethylene Recycling HC'!F147-'Ethylene Recycling HC'!$C$80-'Ethylene Recycling HC'!$C$147+'Ethylene Recycling HC'!F77+'Ethylene Recycling HC'!F144-'Ethylene Recycling HC'!$C$77-'Ethylene Recycling HC'!$C$144)</f>
        <v>1.4742630642401515</v>
      </c>
      <c r="H99" s="44">
        <f>H37-('Ethylene Recycling HC'!G80+'Ethylene Recycling HC'!G147-'Ethylene Recycling HC'!$C$80-'Ethylene Recycling HC'!$C$147+'Ethylene Recycling HC'!G77+'Ethylene Recycling HC'!G144-'Ethylene Recycling HC'!$C$77-'Ethylene Recycling HC'!$C$144)</f>
        <v>1.4581006194616866</v>
      </c>
      <c r="I99" s="44">
        <f>I37-('Ethylene Recycling HC'!H80+'Ethylene Recycling HC'!H147-'Ethylene Recycling HC'!$C$80-'Ethylene Recycling HC'!$C$147+'Ethylene Recycling HC'!H77+'Ethylene Recycling HC'!H144-'Ethylene Recycling HC'!$C$77-'Ethylene Recycling HC'!$C$144)</f>
        <v>1.4408594490904705</v>
      </c>
      <c r="J99" s="44">
        <f>J37-('Ethylene Recycling HC'!I80+'Ethylene Recycling HC'!I147-'Ethylene Recycling HC'!$C$80-'Ethylene Recycling HC'!$C$147+'Ethylene Recycling HC'!I77+'Ethylene Recycling HC'!I144-'Ethylene Recycling HC'!$C$77-'Ethylene Recycling HC'!$C$144)</f>
        <v>1.422496181397785</v>
      </c>
      <c r="K99" s="44">
        <f>K37-('Ethylene Recycling HC'!J80+'Ethylene Recycling HC'!J147-'Ethylene Recycling HC'!$C$80-'Ethylene Recycling HC'!$C$147+'Ethylene Recycling HC'!J77+'Ethylene Recycling HC'!J144-'Ethylene Recycling HC'!$C$77-'Ethylene Recycling HC'!$C$144)</f>
        <v>1.4030018519894449</v>
      </c>
      <c r="L99" s="44">
        <f>L37-('Ethylene Recycling HC'!K80+'Ethylene Recycling HC'!K147-'Ethylene Recycling HC'!$C$80-'Ethylene Recycling HC'!$C$147+'Ethylene Recycling HC'!K77+'Ethylene Recycling HC'!K144-'Ethylene Recycling HC'!$C$77-'Ethylene Recycling HC'!$C$144)</f>
        <v>1.3823694663092347</v>
      </c>
      <c r="M99" s="44">
        <f>M37-('Ethylene Recycling HC'!L80+'Ethylene Recycling HC'!L147-'Ethylene Recycling HC'!$C$80-'Ethylene Recycling HC'!$C$147+'Ethylene Recycling HC'!L77+'Ethylene Recycling HC'!L144-'Ethylene Recycling HC'!$C$77-'Ethylene Recycling HC'!$C$144)</f>
        <v>1.360594037739991</v>
      </c>
      <c r="N99" s="44">
        <f>N37-('Ethylene Recycling HC'!M80+'Ethylene Recycling HC'!M147-'Ethylene Recycling HC'!$C$80-'Ethylene Recycling HC'!$C$147+'Ethylene Recycling HC'!M77+'Ethylene Recycling HC'!M144-'Ethylene Recycling HC'!$C$77-'Ethylene Recycling HC'!$C$144)</f>
        <v>1.3376726169052413</v>
      </c>
      <c r="O99" s="44">
        <f>O37-('Ethylene Recycling HC'!N80+'Ethylene Recycling HC'!N147-'Ethylene Recycling HC'!$C$80-'Ethylene Recycling HC'!$C$147+'Ethylene Recycling HC'!N77+'Ethylene Recycling HC'!N144-'Ethylene Recycling HC'!$C$77-'Ethylene Recycling HC'!$C$144)</f>
        <v>1.3151311867133988</v>
      </c>
      <c r="P99" s="44">
        <f>P37-('Ethylene Recycling HC'!O80+'Ethylene Recycling HC'!O147-'Ethylene Recycling HC'!$C$80-'Ethylene Recycling HC'!$C$147+'Ethylene Recycling HC'!O77+'Ethylene Recycling HC'!O144-'Ethylene Recycling HC'!$C$77-'Ethylene Recycling HC'!$C$144)</f>
        <v>1.307042918967442</v>
      </c>
      <c r="Q99" s="44">
        <f>Q37-('Ethylene Recycling HC'!P80+'Ethylene Recycling HC'!P147-'Ethylene Recycling HC'!$C$80-'Ethylene Recycling HC'!$C$147+'Ethylene Recycling HC'!P77+'Ethylene Recycling HC'!P144-'Ethylene Recycling HC'!$C$77-'Ethylene Recycling HC'!$C$144)</f>
        <v>1.2811802972903699</v>
      </c>
      <c r="R99" s="44">
        <f>R37-('Ethylene Recycling HC'!Q80+'Ethylene Recycling HC'!Q147-'Ethylene Recycling HC'!$C$80-'Ethylene Recycling HC'!$C$147+'Ethylene Recycling HC'!Q77+'Ethylene Recycling HC'!Q144-'Ethylene Recycling HC'!$C$77-'Ethylene Recycling HC'!$C$144)</f>
        <v>1.2545202504390924</v>
      </c>
      <c r="S99" s="44">
        <f>S37-('Ethylene Recycling HC'!R80+'Ethylene Recycling HC'!R147-'Ethylene Recycling HC'!$C$80-'Ethylene Recycling HC'!$C$147+'Ethylene Recycling HC'!R77+'Ethylene Recycling HC'!R144-'Ethylene Recycling HC'!$C$77-'Ethylene Recycling HC'!$C$144)</f>
        <v>1.2271901963869867</v>
      </c>
      <c r="T99" s="44">
        <f>T37-('Ethylene Recycling HC'!S80+'Ethylene Recycling HC'!S147-'Ethylene Recycling HC'!$C$80-'Ethylene Recycling HC'!$C$147+'Ethylene Recycling HC'!S77+'Ethylene Recycling HC'!S144-'Ethylene Recycling HC'!$C$77-'Ethylene Recycling HC'!$C$144)</f>
        <v>1.1990797049245518</v>
      </c>
      <c r="U99" s="44">
        <f>U37-('Ethylene Recycling HC'!T80+'Ethylene Recycling HC'!T147-'Ethylene Recycling HC'!$C$80-'Ethylene Recycling HC'!$C$147+'Ethylene Recycling HC'!T77+'Ethylene Recycling HC'!T144-'Ethylene Recycling HC'!$C$77-'Ethylene Recycling HC'!$C$144)</f>
        <v>1.1702591819140196</v>
      </c>
      <c r="V99" s="44">
        <f>V37-('Ethylene Recycling HC'!U80+'Ethylene Recycling HC'!U147-'Ethylene Recycling HC'!$C$80-'Ethylene Recycling HC'!$C$147+'Ethylene Recycling HC'!U77+'Ethylene Recycling HC'!U144-'Ethylene Recycling HC'!$C$77-'Ethylene Recycling HC'!$C$144)</f>
        <v>1.1408014666888582</v>
      </c>
      <c r="W99" s="44">
        <f>W37-('Ethylene Recycling HC'!V80+'Ethylene Recycling HC'!V147-'Ethylene Recycling HC'!$C$80-'Ethylene Recycling HC'!$C$147+'Ethylene Recycling HC'!V77+'Ethylene Recycling HC'!V144-'Ethylene Recycling HC'!$C$77-'Ethylene Recycling HC'!$C$144)</f>
        <v>1.110781781423785</v>
      </c>
      <c r="X99" s="44">
        <f>X37-('Ethylene Recycling HC'!W80+'Ethylene Recycling HC'!W147-'Ethylene Recycling HC'!$C$80-'Ethylene Recycling HC'!$C$147+'Ethylene Recycling HC'!W77+'Ethylene Recycling HC'!W144-'Ethylene Recycling HC'!$C$77-'Ethylene Recycling HC'!$C$144)</f>
        <v>1.0802776763799518</v>
      </c>
      <c r="Y99" s="44">
        <f>Y37-('Ethylene Recycling HC'!X80+'Ethylene Recycling HC'!X147-'Ethylene Recycling HC'!$C$80-'Ethylene Recycling HC'!$C$147+'Ethylene Recycling HC'!X77+'Ethylene Recycling HC'!X144-'Ethylene Recycling HC'!$C$77-'Ethylene Recycling HC'!$C$144)</f>
        <v>0.95682439876145486</v>
      </c>
      <c r="Z99" s="44">
        <f>Z37-('Ethylene Recycling HC'!Y80+'Ethylene Recycling HC'!Y147-'Ethylene Recycling HC'!$C$80-'Ethylene Recycling HC'!$C$147+'Ethylene Recycling HC'!Y77+'Ethylene Recycling HC'!Y144-'Ethylene Recycling HC'!$C$77-'Ethylene Recycling HC'!$C$144)</f>
        <v>0.91878401344663085</v>
      </c>
      <c r="AA99" s="44">
        <f>AA37-('Ethylene Recycling HC'!Z80+'Ethylene Recycling HC'!Z147-'Ethylene Recycling HC'!$C$80-'Ethylene Recycling HC'!$C$147+'Ethylene Recycling HC'!Z77+'Ethylene Recycling HC'!Z144-'Ethylene Recycling HC'!$C$77-'Ethylene Recycling HC'!$C$144)</f>
        <v>0.88056621251890022</v>
      </c>
      <c r="AB99" s="44">
        <f>AB37-('Ethylene Recycling HC'!AA80+'Ethylene Recycling HC'!AA147-'Ethylene Recycling HC'!$C$80-'Ethylene Recycling HC'!$C$147+'Ethylene Recycling HC'!AA77+'Ethylene Recycling HC'!AA144-'Ethylene Recycling HC'!$C$77-'Ethylene Recycling HC'!$C$144)</f>
        <v>0.84226658095073947</v>
      </c>
      <c r="AC99" s="44">
        <f>AC37-('Ethylene Recycling HC'!AB80+'Ethylene Recycling HC'!AB147-'Ethylene Recycling HC'!$C$80-'Ethylene Recycling HC'!$C$147+'Ethylene Recycling HC'!AB77+'Ethylene Recycling HC'!AB144-'Ethylene Recycling HC'!$C$77-'Ethylene Recycling HC'!$C$144)</f>
        <v>0.80404709062647162</v>
      </c>
      <c r="AD99" s="44">
        <f>AD37-('Ethylene Recycling HC'!AC80+'Ethylene Recycling HC'!AC147-'Ethylene Recycling HC'!$C$80-'Ethylene Recycling HC'!$C$147+'Ethylene Recycling HC'!AC77+'Ethylene Recycling HC'!AC144-'Ethylene Recycling HC'!$C$77-'Ethylene Recycling HC'!$C$144)</f>
        <v>0.76607121771103937</v>
      </c>
      <c r="AE99" s="44">
        <f>AE37-('Ethylene Recycling HC'!AD80+'Ethylene Recycling HC'!AD147-'Ethylene Recycling HC'!$C$80-'Ethylene Recycling HC'!$C$147+'Ethylene Recycling HC'!AD77+'Ethylene Recycling HC'!AD144-'Ethylene Recycling HC'!$C$77-'Ethylene Recycling HC'!$C$144)</f>
        <v>0.72850853971852803</v>
      </c>
      <c r="AF99" s="44">
        <f>AF37-('Ethylene Recycling HC'!AE80+'Ethylene Recycling HC'!AE147-'Ethylene Recycling HC'!$C$80-'Ethylene Recycling HC'!$C$147+'Ethylene Recycling HC'!AE77+'Ethylene Recycling HC'!AE144-'Ethylene Recycling HC'!$C$77-'Ethylene Recycling HC'!$C$144)</f>
        <v>0.69153251262799786</v>
      </c>
      <c r="AG99" s="44">
        <f>AG37-('Ethylene Recycling HC'!AF80+'Ethylene Recycling HC'!AF147-'Ethylene Recycling HC'!$C$80-'Ethylene Recycling HC'!$C$147+'Ethylene Recycling HC'!AF77+'Ethylene Recycling HC'!AF144-'Ethylene Recycling HC'!$C$77-'Ethylene Recycling HC'!$C$144)</f>
        <v>0.65532036804019533</v>
      </c>
      <c r="AH99" s="44">
        <f>AH37-('Ethylene Recycling HC'!AG80+'Ethylene Recycling HC'!AG147-'Ethylene Recycling HC'!$C$80-'Ethylene Recycling HC'!$C$147+'Ethylene Recycling HC'!AG77+'Ethylene Recycling HC'!AG144-'Ethylene Recycling HC'!$C$77-'Ethylene Recycling HC'!$C$144)</f>
        <v>0.62005300454964329</v>
      </c>
      <c r="AI99" s="44"/>
    </row>
    <row r="100" spans="1:35" s="67" customFormat="1" x14ac:dyDescent="0.2">
      <c r="A100" s="687" t="s">
        <v>263</v>
      </c>
      <c r="B100" s="58" t="s">
        <v>264</v>
      </c>
      <c r="C100" s="59" t="s">
        <v>153</v>
      </c>
      <c r="D100" s="60">
        <f>D38-('Ethylene Recycling HC'!C78+'Ethylene Recycling HC'!C145-'Ethylene Recycling HC'!$C$78-'Ethylene Recycling HC'!$C$145)</f>
        <v>2.4028402366863899</v>
      </c>
      <c r="E100" s="60">
        <f>E38-('Ethylene Recycling HC'!D78+'Ethylene Recycling HC'!D145-'Ethylene Recycling HC'!$C$78-'Ethylene Recycling HC'!$C$145)</f>
        <v>2.4203294443659664</v>
      </c>
      <c r="F100" s="60">
        <f>F38-('Ethylene Recycling HC'!E78+'Ethylene Recycling HC'!E145-'Ethylene Recycling HC'!$C$78-'Ethylene Recycling HC'!$C$145)</f>
        <v>2.4372779123062061</v>
      </c>
      <c r="G100" s="60">
        <f>G38-('Ethylene Recycling HC'!F78+'Ethylene Recycling HC'!F145-'Ethylene Recycling HC'!$C$78-'Ethylene Recycling HC'!$C$145)</f>
        <v>2.4537001442484883</v>
      </c>
      <c r="H100" s="60">
        <f>H38-('Ethylene Recycling HC'!G78+'Ethylene Recycling HC'!G145-'Ethylene Recycling HC'!$C$78-'Ethylene Recycling HC'!$C$145)</f>
        <v>2.4696214863060475</v>
      </c>
      <c r="I100" s="60">
        <f>I38-('Ethylene Recycling HC'!H78+'Ethylene Recycling HC'!H145-'Ethylene Recycling HC'!$C$78-'Ethylene Recycling HC'!$C$145)</f>
        <v>2.4850780835358668</v>
      </c>
      <c r="J100" s="60">
        <f>J38-('Ethylene Recycling HC'!I78+'Ethylene Recycling HC'!I145-'Ethylene Recycling HC'!$C$78-'Ethylene Recycling HC'!$C$145)</f>
        <v>2.5000410070684946</v>
      </c>
      <c r="K100" s="60">
        <f>K38-('Ethylene Recycling HC'!J78+'Ethylene Recycling HC'!J145-'Ethylene Recycling HC'!$C$78-'Ethylene Recycling HC'!$C$145)</f>
        <v>2.514515677071572</v>
      </c>
      <c r="L100" s="60">
        <f>L38-('Ethylene Recycling HC'!K78+'Ethylene Recycling HC'!K145-'Ethylene Recycling HC'!$C$78-'Ethylene Recycling HC'!$C$145)</f>
        <v>2.528510202297213</v>
      </c>
      <c r="M100" s="60">
        <f>M38-('Ethylene Recycling HC'!L78+'Ethylene Recycling HC'!L145-'Ethylene Recycling HC'!$C$78-'Ethylene Recycling HC'!$C$145)</f>
        <v>2.5420354337230795</v>
      </c>
      <c r="N100" s="60">
        <f>N38-('Ethylene Recycling HC'!M78+'Ethylene Recycling HC'!M145-'Ethylene Recycling HC'!$C$78-'Ethylene Recycling HC'!$C$145)</f>
        <v>2.5551050076479971</v>
      </c>
      <c r="O100" s="60">
        <f>O38-('Ethylene Recycling HC'!N78+'Ethylene Recycling HC'!N145-'Ethylene Recycling HC'!$C$78-'Ethylene Recycling HC'!$C$145)</f>
        <v>2.5403063352760515</v>
      </c>
      <c r="P100" s="60">
        <f>P38-('Ethylene Recycling HC'!O78+'Ethylene Recycling HC'!O145-'Ethylene Recycling HC'!$C$78-'Ethylene Recycling HC'!$C$145)</f>
        <v>2.5239869953244725</v>
      </c>
      <c r="Q100" s="60">
        <f>Q38-('Ethylene Recycling HC'!P78+'Ethylene Recycling HC'!P145-'Ethylene Recycling HC'!$C$78-'Ethylene Recycling HC'!$C$145)</f>
        <v>2.5070736931537909</v>
      </c>
      <c r="R100" s="60">
        <f>R38-('Ethylene Recycling HC'!Q78+'Ethylene Recycling HC'!Q145-'Ethylene Recycling HC'!$C$78-'Ethylene Recycling HC'!$C$145)</f>
        <v>2.4893286102824157</v>
      </c>
      <c r="S100" s="60">
        <f>S38-('Ethylene Recycling HC'!R78+'Ethylene Recycling HC'!R145-'Ethylene Recycling HC'!$C$78-'Ethylene Recycling HC'!$C$145)</f>
        <v>2.4709021684742662</v>
      </c>
      <c r="T100" s="60">
        <f>T38-('Ethylene Recycling HC'!S78+'Ethylene Recycling HC'!S145-'Ethylene Recycling HC'!$C$78-'Ethylene Recycling HC'!$C$145)</f>
        <v>2.4516807695069804</v>
      </c>
      <c r="U100" s="60">
        <f>U38-('Ethylene Recycling HC'!T78+'Ethylene Recycling HC'!T145-'Ethylene Recycling HC'!$C$78-'Ethylene Recycling HC'!$C$145)</f>
        <v>2.4317505781913806</v>
      </c>
      <c r="V100" s="60">
        <f>V38-('Ethylene Recycling HC'!U78+'Ethylene Recycling HC'!U145-'Ethylene Recycling HC'!$C$78-'Ethylene Recycling HC'!$C$145)</f>
        <v>2.4112006872997349</v>
      </c>
      <c r="W100" s="60">
        <f>W38-('Ethylene Recycling HC'!V78+'Ethylene Recycling HC'!V145-'Ethylene Recycling HC'!$C$78-'Ethylene Recycling HC'!$C$145)</f>
        <v>2.3901230558398199</v>
      </c>
      <c r="X100" s="60">
        <f>X38-('Ethylene Recycling HC'!W78+'Ethylene Recycling HC'!W145-'Ethylene Recycling HC'!$C$78-'Ethylene Recycling HC'!$C$145)</f>
        <v>2.3686124424142312</v>
      </c>
      <c r="Y100" s="60">
        <f>Y38-('Ethylene Recycling HC'!X78+'Ethylene Recycling HC'!X145-'Ethylene Recycling HC'!$C$78-'Ethylene Recycling HC'!$C$145)</f>
        <v>2.3428008112150533</v>
      </c>
      <c r="Z100" s="60">
        <f>Z38-('Ethylene Recycling HC'!Y78+'Ethylene Recycling HC'!Y145-'Ethylene Recycling HC'!$C$78-'Ethylene Recycling HC'!$C$145)</f>
        <v>2.3130862425023513</v>
      </c>
      <c r="AA100" s="60">
        <f>AA38-('Ethylene Recycling HC'!Z78+'Ethylene Recycling HC'!Z145-'Ethylene Recycling HC'!$C$78-'Ethylene Recycling HC'!$C$145)</f>
        <v>2.2832119137192826</v>
      </c>
      <c r="AB100" s="60">
        <f>AB38-('Ethylene Recycling HC'!AA78+'Ethylene Recycling HC'!AA145-'Ethylene Recycling HC'!$C$78-'Ethylene Recycling HC'!$C$145)</f>
        <v>2.2533430760387416</v>
      </c>
      <c r="AC100" s="60">
        <f>AC38-('Ethylene Recycling HC'!AB78+'Ethylene Recycling HC'!AB145-'Ethylene Recycling HC'!$C$78-'Ethylene Recycling HC'!$C$145)</f>
        <v>2.2236755669208925</v>
      </c>
      <c r="AD100" s="60">
        <f>AD38-('Ethylene Recycling HC'!AC78+'Ethylene Recycling HC'!AC145-'Ethylene Recycling HC'!$C$78-'Ethylene Recycling HC'!$C$145)</f>
        <v>2.1944069734720291</v>
      </c>
      <c r="AE100" s="60">
        <f>AE38-('Ethylene Recycling HC'!AD78+'Ethylene Recycling HC'!AD145-'Ethylene Recycling HC'!$C$78-'Ethylene Recycling HC'!$C$145)</f>
        <v>2.1657418345426125</v>
      </c>
      <c r="AF100" s="60">
        <f>AF38-('Ethylene Recycling HC'!AE78+'Ethylene Recycling HC'!AE145-'Ethylene Recycling HC'!$C$78-'Ethylene Recycling HC'!$C$145)</f>
        <v>2.1378891068504169</v>
      </c>
      <c r="AG100" s="60">
        <f>AG38-('Ethylene Recycling HC'!AF78+'Ethylene Recycling HC'!AF145-'Ethylene Recycling HC'!$C$78-'Ethylene Recycling HC'!$C$145)</f>
        <v>2.1110620315159094</v>
      </c>
      <c r="AH100" s="60">
        <f>AH38-('Ethylene Recycling HC'!AG78+'Ethylene Recycling HC'!AG145-'Ethylene Recycling HC'!$C$78-'Ethylene Recycling HC'!$C$145)</f>
        <v>2.0854779940938011</v>
      </c>
      <c r="AI100" s="44"/>
    </row>
    <row r="101" spans="1:35" s="68" customFormat="1" x14ac:dyDescent="0.2">
      <c r="A101" s="689"/>
      <c r="B101" s="62" t="s">
        <v>266</v>
      </c>
      <c r="C101" s="283" t="s">
        <v>153</v>
      </c>
      <c r="D101" s="284">
        <f>D39-('Ethylene Recycling HC'!C79+'Ethylene Recycling HC'!C140-'Ethylene Recycling HC'!$C$79-'Ethylene Recycling HC'!$C$140)</f>
        <v>6.2246933198380567</v>
      </c>
      <c r="E101" s="284">
        <f>E39-('Ethylene Recycling HC'!D79+'Ethylene Recycling HC'!D140-'Ethylene Recycling HC'!$C$79-'Ethylene Recycling HC'!$C$140)</f>
        <v>6.1997745128888528</v>
      </c>
      <c r="F101" s="284">
        <f>F39-('Ethylene Recycling HC'!E79+'Ethylene Recycling HC'!E140-'Ethylene Recycling HC'!$C$79-'Ethylene Recycling HC'!$C$140)</f>
        <v>6.1746374999927687</v>
      </c>
      <c r="G101" s="284">
        <f>G39-('Ethylene Recycling HC'!F79+'Ethylene Recycling HC'!F140-'Ethylene Recycling HC'!$C$79-'Ethylene Recycling HC'!$C$140)</f>
        <v>6.1494900326139197</v>
      </c>
      <c r="H101" s="284">
        <f>H39-('Ethylene Recycling HC'!G79+'Ethylene Recycling HC'!G140-'Ethylene Recycling HC'!$C$79-'Ethylene Recycling HC'!$C$140)</f>
        <v>6.124530775254021</v>
      </c>
      <c r="I101" s="284">
        <f>I39-('Ethylene Recycling HC'!H79+'Ethylene Recycling HC'!H140-'Ethylene Recycling HC'!$C$79-'Ethylene Recycling HC'!$C$140)</f>
        <v>6.0999459102875688</v>
      </c>
      <c r="J101" s="284">
        <f>J39-('Ethylene Recycling HC'!I79+'Ethylene Recycling HC'!I140-'Ethylene Recycling HC'!$C$79-'Ethylene Recycling HC'!$C$140)</f>
        <v>6.0747725315178176</v>
      </c>
      <c r="K101" s="284">
        <f>K39-('Ethylene Recycling HC'!J79+'Ethylene Recycling HC'!J140-'Ethylene Recycling HC'!$C$79-'Ethylene Recycling HC'!$C$140)</f>
        <v>6.0490313936862048</v>
      </c>
      <c r="L101" s="284">
        <f>L39-('Ethylene Recycling HC'!K79+'Ethylene Recycling HC'!K140-'Ethylene Recycling HC'!$C$79-'Ethylene Recycling HC'!$C$140)</f>
        <v>6.0227410887139108</v>
      </c>
      <c r="M101" s="284">
        <f>M39-('Ethylene Recycling HC'!L79+'Ethylene Recycling HC'!L140-'Ethylene Recycling HC'!$C$79-'Ethylene Recycling HC'!$C$140)</f>
        <v>5.995917824409239</v>
      </c>
      <c r="N101" s="284">
        <f>N39-('Ethylene Recycling HC'!M79+'Ethylene Recycling HC'!M140-'Ethylene Recycling HC'!$C$79-'Ethylene Recycling HC'!$C$140)</f>
        <v>5.9685752057282109</v>
      </c>
      <c r="O101" s="284">
        <f>O39-('Ethylene Recycling HC'!N79+'Ethylene Recycling HC'!N140-'Ethylene Recycling HC'!$C$79-'Ethylene Recycling HC'!$C$140)</f>
        <v>5.8524233250161313</v>
      </c>
      <c r="P101" s="284">
        <f>P39-('Ethylene Recycling HC'!O79+'Ethylene Recycling HC'!O140-'Ethylene Recycling HC'!$C$79-'Ethylene Recycling HC'!$C$140)</f>
        <v>5.7593548334378788</v>
      </c>
      <c r="Q101" s="284">
        <f>Q39-('Ethylene Recycling HC'!P79+'Ethylene Recycling HC'!P140-'Ethylene Recycling HC'!$C$79-'Ethylene Recycling HC'!$C$140)</f>
        <v>5.6413534027837251</v>
      </c>
      <c r="R101" s="284">
        <f>R39-('Ethylene Recycling HC'!Q79+'Ethylene Recycling HC'!Q140-'Ethylene Recycling HC'!$C$79-'Ethylene Recycling HC'!$C$140)</f>
        <v>5.5236299131515905</v>
      </c>
      <c r="S101" s="284">
        <f>S39-('Ethylene Recycling HC'!R79+'Ethylene Recycling HC'!R140-'Ethylene Recycling HC'!$C$79-'Ethylene Recycling HC'!$C$140)</f>
        <v>5.4062046994184874</v>
      </c>
      <c r="T101" s="284">
        <f>T39-('Ethylene Recycling HC'!S79+'Ethylene Recycling HC'!S140-'Ethylene Recycling HC'!$C$79-'Ethylene Recycling HC'!$C$140)</f>
        <v>5.2877199150428975</v>
      </c>
      <c r="U101" s="284">
        <f>U39-('Ethylene Recycling HC'!T79+'Ethylene Recycling HC'!T140-'Ethylene Recycling HC'!$C$79-'Ethylene Recycling HC'!$C$140)</f>
        <v>5.1680598320527054</v>
      </c>
      <c r="V101" s="284">
        <f>V39-('Ethylene Recycling HC'!U79+'Ethylene Recycling HC'!U140-'Ethylene Recycling HC'!$C$79-'Ethylene Recycling HC'!$C$140)</f>
        <v>5.0471028001819755</v>
      </c>
      <c r="W101" s="284">
        <f>W39-('Ethylene Recycling HC'!V79+'Ethylene Recycling HC'!V140-'Ethylene Recycling HC'!$C$79-'Ethylene Recycling HC'!$C$140)</f>
        <v>4.9247211935054152</v>
      </c>
      <c r="X101" s="284">
        <f>X39-('Ethylene Recycling HC'!W79+'Ethylene Recycling HC'!W140-'Ethylene Recycling HC'!$C$79-'Ethylene Recycling HC'!$C$140)</f>
        <v>4.8007813611372878</v>
      </c>
      <c r="Y101" s="284">
        <f>Y39-('Ethylene Recycling HC'!X79+'Ethylene Recycling HC'!X140-'Ethylene Recycling HC'!$C$79-'Ethylene Recycling HC'!$C$140)</f>
        <v>4.5687105859039727</v>
      </c>
      <c r="Z101" s="284">
        <f>Z39-('Ethylene Recycling HC'!Y79+'Ethylene Recycling HC'!Y140-'Ethylene Recycling HC'!$C$79-'Ethylene Recycling HC'!$C$140)</f>
        <v>4.4148939038710555</v>
      </c>
      <c r="AA101" s="284">
        <f>AA39-('Ethylene Recycling HC'!Z79+'Ethylene Recycling HC'!Z140-'Ethylene Recycling HC'!$C$79-'Ethylene Recycling HC'!$C$140)</f>
        <v>4.261223634488295</v>
      </c>
      <c r="AB101" s="284">
        <f>AB39-('Ethylene Recycling HC'!AA79+'Ethylene Recycling HC'!AA140-'Ethylene Recycling HC'!$C$79-'Ethylene Recycling HC'!$C$140)</f>
        <v>4.107512927478882</v>
      </c>
      <c r="AC101" s="284">
        <f>AC39-('Ethylene Recycling HC'!AB79+'Ethylene Recycling HC'!AB140-'Ethylene Recycling HC'!$C$79-'Ethylene Recycling HC'!$C$140)</f>
        <v>3.9535656470154068</v>
      </c>
      <c r="AD101" s="284">
        <f>AD39-('Ethylene Recycling HC'!AC79+'Ethylene Recycling HC'!AC140-'Ethylene Recycling HC'!$C$79-'Ethylene Recycling HC'!$C$140)</f>
        <v>3.7991687461632693</v>
      </c>
      <c r="AE101" s="284">
        <f>AE39-('Ethylene Recycling HC'!AD79+'Ethylene Recycling HC'!AD140-'Ethylene Recycling HC'!$C$79-'Ethylene Recycling HC'!$C$140)</f>
        <v>3.6441076257039291</v>
      </c>
      <c r="AF101" s="284">
        <f>AF39-('Ethylene Recycling HC'!AE79+'Ethylene Recycling HC'!AE140-'Ethylene Recycling HC'!$C$79-'Ethylene Recycling HC'!$C$140)</f>
        <v>3.488158565967026</v>
      </c>
      <c r="AG101" s="284">
        <f>AG39-('Ethylene Recycling HC'!AF79+'Ethylene Recycling HC'!AF140-'Ethylene Recycling HC'!$C$79-'Ethylene Recycling HC'!$C$140)</f>
        <v>3.3310887006683094</v>
      </c>
      <c r="AH101" s="284">
        <f>AH39-('Ethylene Recycling HC'!AG79+'Ethylene Recycling HC'!AG140-'Ethylene Recycling HC'!$C$79-'Ethylene Recycling HC'!$C$140)</f>
        <v>3.1726559970594703</v>
      </c>
      <c r="AI101" s="44"/>
    </row>
    <row r="102" spans="1:35" s="67" customFormat="1" x14ac:dyDescent="0.2">
      <c r="A102" s="58" t="s">
        <v>220</v>
      </c>
      <c r="B102" s="58" t="s">
        <v>197</v>
      </c>
      <c r="C102" s="100" t="s">
        <v>153</v>
      </c>
      <c r="D102" s="101">
        <f t="shared" ref="D102:AH102" si="32">D19</f>
        <v>8.4778361655826675</v>
      </c>
      <c r="E102" s="101">
        <f t="shared" si="32"/>
        <v>8.592611471021776</v>
      </c>
      <c r="F102" s="101">
        <f t="shared" si="32"/>
        <v>8.708771902942118</v>
      </c>
      <c r="G102" s="101">
        <f t="shared" si="32"/>
        <v>8.8263309858009329</v>
      </c>
      <c r="H102" s="101">
        <f t="shared" si="32"/>
        <v>8.9453023093961814</v>
      </c>
      <c r="I102" s="101">
        <f t="shared" si="32"/>
        <v>9.0656995274926579</v>
      </c>
      <c r="J102" s="101">
        <f t="shared" si="32"/>
        <v>9.1875363563914902</v>
      </c>
      <c r="K102" s="101">
        <f t="shared" si="32"/>
        <v>9.3108265734416786</v>
      </c>
      <c r="L102" s="101">
        <f t="shared" si="32"/>
        <v>9.4355840154923563</v>
      </c>
      <c r="M102" s="101">
        <f t="shared" si="32"/>
        <v>9.5618225772844152</v>
      </c>
      <c r="N102" s="101">
        <f t="shared" si="32"/>
        <v>9.6895562097801005</v>
      </c>
      <c r="O102" s="101">
        <f t="shared" si="32"/>
        <v>9.7381307020064973</v>
      </c>
      <c r="P102" s="101">
        <f t="shared" si="32"/>
        <v>9.7852582063294005</v>
      </c>
      <c r="Q102" s="101">
        <f t="shared" si="32"/>
        <v>9.8308901664933845</v>
      </c>
      <c r="R102" s="101">
        <f t="shared" si="32"/>
        <v>9.8749773787991728</v>
      </c>
      <c r="S102" s="101">
        <f t="shared" si="32"/>
        <v>9.9174699997808133</v>
      </c>
      <c r="T102" s="101">
        <f t="shared" si="32"/>
        <v>9.9583175546941831</v>
      </c>
      <c r="U102" s="101">
        <f t="shared" si="32"/>
        <v>9.9974689468500344</v>
      </c>
      <c r="V102" s="101">
        <f t="shared" si="32"/>
        <v>10.034872467825814</v>
      </c>
      <c r="W102" s="101">
        <f t="shared" si="32"/>
        <v>10.070475808591599</v>
      </c>
      <c r="X102" s="101">
        <f t="shared" si="32"/>
        <v>10.104226071586567</v>
      </c>
      <c r="Y102" s="101">
        <f t="shared" si="32"/>
        <v>9.9312315390837664</v>
      </c>
      <c r="Z102" s="101">
        <f t="shared" si="32"/>
        <v>9.7539057274899683</v>
      </c>
      <c r="AA102" s="101">
        <f t="shared" si="32"/>
        <v>9.5722834714848481</v>
      </c>
      <c r="AB102" s="101">
        <f t="shared" si="32"/>
        <v>9.3864052413406203</v>
      </c>
      <c r="AC102" s="101">
        <f t="shared" si="32"/>
        <v>9.1963173950693786</v>
      </c>
      <c r="AD102" s="101">
        <f t="shared" si="32"/>
        <v>9.0020724389906697</v>
      </c>
      <c r="AE102" s="101">
        <f t="shared" si="32"/>
        <v>8.8037292969624552</v>
      </c>
      <c r="AF102" s="101">
        <f t="shared" si="32"/>
        <v>8.60135358852515</v>
      </c>
      <c r="AG102" s="101">
        <f t="shared" si="32"/>
        <v>8.3950179162148348</v>
      </c>
      <c r="AH102" s="101">
        <f t="shared" si="32"/>
        <v>8.184802162308694</v>
      </c>
      <c r="AI102"/>
    </row>
    <row r="103" spans="1:35" outlineLevel="1" x14ac:dyDescent="0.2">
      <c r="A103"/>
      <c r="B103" t="s">
        <v>217</v>
      </c>
      <c r="C103" s="54" t="s">
        <v>153</v>
      </c>
      <c r="D103" s="44">
        <f>'Ethylene Recycling HC'!C130-'Ethylene Recycling HC'!$C$130</f>
        <v>0</v>
      </c>
      <c r="E103" s="44">
        <f>'Ethylene Recycling HC'!D130-'Ethylene Recycling HC'!$C$130</f>
        <v>3.5928677153587701E-3</v>
      </c>
      <c r="F103" s="44">
        <f>'Ethylene Recycling HC'!E130-'Ethylene Recycling HC'!$C$130</f>
        <v>8.2108983212996998E-3</v>
      </c>
      <c r="G103" s="44">
        <f>'Ethylene Recycling HC'!F130-'Ethylene Recycling HC'!$C$130</f>
        <v>1.3895170870809815E-2</v>
      </c>
      <c r="H103" s="44">
        <f>'Ethylene Recycling HC'!G130-'Ethylene Recycling HC'!$C$130</f>
        <v>2.0673440635054892E-2</v>
      </c>
      <c r="I103" s="44">
        <f>'Ethylene Recycling HC'!H130-'Ethylene Recycling HC'!$C$130</f>
        <v>2.8558980359517063E-2</v>
      </c>
      <c r="J103" s="44">
        <f>'Ethylene Recycling HC'!I130-'Ethylene Recycling HC'!$C$130</f>
        <v>3.7642161244276925E-2</v>
      </c>
      <c r="K103" s="44">
        <f>'Ethylene Recycling HC'!J130-'Ethylene Recycling HC'!$C$130</f>
        <v>4.797061335479906E-2</v>
      </c>
      <c r="L103" s="44">
        <f>'Ethylene Recycling HC'!K130-'Ethylene Recycling HC'!$C$130</f>
        <v>5.9590550252066887E-2</v>
      </c>
      <c r="M103" s="44">
        <f>'Ethylene Recycling HC'!L130-'Ethylene Recycling HC'!$C$130</f>
        <v>7.2546573272055728E-2</v>
      </c>
      <c r="N103" s="44">
        <f>'Ethylene Recycling HC'!M130-'Ethylene Recycling HC'!$C$130</f>
        <v>8.6881475151878926E-2</v>
      </c>
      <c r="O103" s="44">
        <f>'Ethylene Recycling HC'!N130-'Ethylene Recycling HC'!$C$130</f>
        <v>0.11044475159127619</v>
      </c>
      <c r="P103" s="44">
        <f>'Ethylene Recycling HC'!O130-'Ethylene Recycling HC'!$C$130</f>
        <v>0.13657352414437937</v>
      </c>
      <c r="Q103" s="44">
        <f>'Ethylene Recycling HC'!P130-'Ethylene Recycling HC'!$C$130</f>
        <v>0.16463347765609365</v>
      </c>
      <c r="R103" s="44">
        <f>'Ethylene Recycling HC'!Q130-'Ethylene Recycling HC'!$C$130</f>
        <v>0.19490958918548307</v>
      </c>
      <c r="S103" s="44">
        <f>'Ethylene Recycling HC'!R130-'Ethylene Recycling HC'!$C$130</f>
        <v>0.22726624829893949</v>
      </c>
      <c r="T103" s="44">
        <f>'Ethylene Recycling HC'!S130-'Ethylene Recycling HC'!$C$130</f>
        <v>0.26202207054369758</v>
      </c>
      <c r="U103" s="44">
        <f>'Ethylene Recycling HC'!T130-'Ethylene Recycling HC'!$C$130</f>
        <v>0.29918824194938676</v>
      </c>
      <c r="V103" s="44">
        <f>'Ethylene Recycling HC'!U130-'Ethylene Recycling HC'!$C$130</f>
        <v>0.33877404388581672</v>
      </c>
      <c r="W103" s="44">
        <f>'Ethylene Recycling HC'!V130-'Ethylene Recycling HC'!$C$130</f>
        <v>0.38078682376457162</v>
      </c>
      <c r="X103" s="44">
        <f>'Ethylene Recycling HC'!W130-'Ethylene Recycling HC'!$C$130</f>
        <v>0.42523196746954983</v>
      </c>
      <c r="Y103" s="44">
        <f>'Ethylene Recycling HC'!X130-'Ethylene Recycling HC'!$C$130</f>
        <v>0.49033790994114212</v>
      </c>
      <c r="Z103" s="44">
        <f>'Ethylene Recycling HC'!Y130-'Ethylene Recycling HC'!$C$130</f>
        <v>0.55949605348254838</v>
      </c>
      <c r="AA103" s="44">
        <f>'Ethylene Recycling HC'!Z130-'Ethylene Recycling HC'!$C$130</f>
        <v>0.62747139450848088</v>
      </c>
      <c r="AB103" s="44">
        <f>'Ethylene Recycling HC'!AA130-'Ethylene Recycling HC'!$C$130</f>
        <v>0.6981808481989199</v>
      </c>
      <c r="AC103" s="44">
        <f>'Ethylene Recycling HC'!AB130-'Ethylene Recycling HC'!$C$130</f>
        <v>0.77150544304450419</v>
      </c>
      <c r="AD103" s="44">
        <f>'Ethylene Recycling HC'!AC130-'Ethylene Recycling HC'!$C$130</f>
        <v>0.84732944783896069</v>
      </c>
      <c r="AE103" s="44">
        <f>'Ethylene Recycling HC'!AD130-'Ethylene Recycling HC'!$C$130</f>
        <v>0.92552662412638154</v>
      </c>
      <c r="AF103" s="44">
        <f>'Ethylene Recycling HC'!AE130-'Ethylene Recycling HC'!$C$130</f>
        <v>1.0059663432645995</v>
      </c>
      <c r="AG103" s="44">
        <f>'Ethylene Recycling HC'!AF130-'Ethylene Recycling HC'!$C$130</f>
        <v>1.0885137367870217</v>
      </c>
      <c r="AH103" s="44">
        <f>'Ethylene Recycling HC'!AG130-'Ethylene Recycling HC'!$C$130</f>
        <v>1.1730298546609266</v>
      </c>
    </row>
    <row r="104" spans="1:35" outlineLevel="1" x14ac:dyDescent="0.2">
      <c r="A104"/>
      <c r="B104" t="s">
        <v>222</v>
      </c>
      <c r="C104" s="54" t="s">
        <v>153</v>
      </c>
      <c r="D104" s="44">
        <f>'Ethylene Recycling HC'!C87-'Ethylene Recycling HC'!$C$87</f>
        <v>0</v>
      </c>
      <c r="E104" s="44">
        <f>'Ethylene Recycling HC'!D87-'Ethylene Recycling HC'!$C$87</f>
        <v>7.634180697517845E-2</v>
      </c>
      <c r="F104" s="44">
        <f>'Ethylene Recycling HC'!E87-'Ethylene Recycling HC'!$C$87</f>
        <v>0.15042745048491324</v>
      </c>
      <c r="G104" s="44">
        <f>'Ethylene Recycling HC'!F87-'Ethylene Recycling HC'!$C$87</f>
        <v>0.22166620311259244</v>
      </c>
      <c r="H104" s="44">
        <f>'Ethylene Recycling HC'!G87-'Ethylene Recycling HC'!$C$87</f>
        <v>0.28947680420289279</v>
      </c>
      <c r="I104" s="44">
        <f>'Ethylene Recycling HC'!H87-'Ethylene Recycling HC'!$C$87</f>
        <v>0.35329521624369886</v>
      </c>
      <c r="J104" s="44">
        <f>'Ethylene Recycling HC'!I87-'Ethylene Recycling HC'!$C$87</f>
        <v>0.41659120700261743</v>
      </c>
      <c r="K104" s="44">
        <f>'Ethylene Recycling HC'!J87-'Ethylene Recycling HC'!$C$87</f>
        <v>0.47923130022758498</v>
      </c>
      <c r="L104" s="44">
        <f>'Ethylene Recycling HC'!K87-'Ethylene Recycling HC'!$C$87</f>
        <v>0.54108002327601468</v>
      </c>
      <c r="M104" s="44">
        <f>'Ethylene Recycling HC'!L87-'Ethylene Recycling HC'!$C$87</f>
        <v>0.60200024195162793</v>
      </c>
      <c r="N104" s="44">
        <f>'Ethylene Recycling HC'!M87-'Ethylene Recycling HC'!$C$87</f>
        <v>0.66185350951810173</v>
      </c>
      <c r="O104" s="44">
        <f>'Ethylene Recycling HC'!N87-'Ethylene Recycling HC'!$C$87</f>
        <v>0.76119211448535307</v>
      </c>
      <c r="P104" s="44">
        <f>'Ethylene Recycling HC'!O87-'Ethylene Recycling HC'!$C$87</f>
        <v>0.86161207909275728</v>
      </c>
      <c r="Q104" s="44">
        <f>'Ethylene Recycling HC'!P87-'Ethylene Recycling HC'!$C$87</f>
        <v>0.94223081774350792</v>
      </c>
      <c r="R104" s="44">
        <f>'Ethylene Recycling HC'!Q87-'Ethylene Recycling HC'!$C$87</f>
        <v>1.0124750553788431</v>
      </c>
      <c r="S104" s="44">
        <f>'Ethylene Recycling HC'!R87-'Ethylene Recycling HC'!$C$87</f>
        <v>1.0717260800991886</v>
      </c>
      <c r="T104" s="44">
        <f>'Ethylene Recycling HC'!S87-'Ethylene Recycling HC'!$C$87</f>
        <v>1.1240808058802716</v>
      </c>
      <c r="U104" s="44">
        <f>'Ethylene Recycling HC'!T87-'Ethylene Recycling HC'!$C$87</f>
        <v>1.1693450128301666</v>
      </c>
      <c r="V104" s="44">
        <f>'Ethylene Recycling HC'!U87-'Ethylene Recycling HC'!$C$87</f>
        <v>1.2073263109377828</v>
      </c>
      <c r="W104" s="44">
        <f>'Ethylene Recycling HC'!V87-'Ethylene Recycling HC'!$C$87</f>
        <v>1.237834319616288</v>
      </c>
      <c r="X104" s="44">
        <f>'Ethylene Recycling HC'!W87-'Ethylene Recycling HC'!$C$87</f>
        <v>1.2606808479646188</v>
      </c>
      <c r="Y104" s="44">
        <f>'Ethylene Recycling HC'!X87-'Ethylene Recycling HC'!$C$87</f>
        <v>1.2805180955140316</v>
      </c>
      <c r="Z104" s="44">
        <f>'Ethylene Recycling HC'!Y87-'Ethylene Recycling HC'!$C$87</f>
        <v>1.3359291227899064</v>
      </c>
      <c r="AA104" s="44">
        <f>'Ethylene Recycling HC'!Z87-'Ethylene Recycling HC'!$C$87</f>
        <v>1.3789631018361872</v>
      </c>
      <c r="AB104" s="44">
        <f>'Ethylene Recycling HC'!AA87-'Ethylene Recycling HC'!$C$87</f>
        <v>1.4093245680117628</v>
      </c>
      <c r="AC104" s="44">
        <f>'Ethylene Recycling HC'!AB87-'Ethylene Recycling HC'!$C$87</f>
        <v>1.4267216861197856</v>
      </c>
      <c r="AD104" s="44">
        <f>'Ethylene Recycling HC'!AC87-'Ethylene Recycling HC'!$C$87</f>
        <v>1.4308937049337898</v>
      </c>
      <c r="AE104" s="44">
        <f>'Ethylene Recycling HC'!AD87-'Ethylene Recycling HC'!$C$87</f>
        <v>1.421556598405993</v>
      </c>
      <c r="AF104" s="44">
        <f>'Ethylene Recycling HC'!AE87-'Ethylene Recycling HC'!$C$87</f>
        <v>1.3984299659942359</v>
      </c>
      <c r="AG104" s="44">
        <f>'Ethylene Recycling HC'!AF87-'Ethylene Recycling HC'!$C$87</f>
        <v>1.3612372647093371</v>
      </c>
      <c r="AH104" s="44">
        <f>'Ethylene Recycling HC'!AG87-'Ethylene Recycling HC'!$C$87</f>
        <v>1.3097060412419821</v>
      </c>
    </row>
    <row r="105" spans="1:35" s="68" customFormat="1" x14ac:dyDescent="0.2">
      <c r="A105" s="62"/>
      <c r="B105" s="62" t="s">
        <v>219</v>
      </c>
      <c r="C105" s="63" t="s">
        <v>153</v>
      </c>
      <c r="D105" s="64">
        <f>D102-D103-D104</f>
        <v>8.4778361655826675</v>
      </c>
      <c r="E105" s="64">
        <f t="shared" ref="E105:AG105" si="33">E102-E103-E104</f>
        <v>8.5126767963312382</v>
      </c>
      <c r="F105" s="64">
        <f t="shared" si="33"/>
        <v>8.550133554135904</v>
      </c>
      <c r="G105" s="64">
        <f t="shared" si="33"/>
        <v>8.5907696118175298</v>
      </c>
      <c r="H105" s="64">
        <f t="shared" si="33"/>
        <v>8.635152064558234</v>
      </c>
      <c r="I105" s="64">
        <f t="shared" si="33"/>
        <v>8.6838453308894419</v>
      </c>
      <c r="J105" s="64">
        <f t="shared" si="33"/>
        <v>8.7333029881445956</v>
      </c>
      <c r="K105" s="64">
        <f t="shared" si="33"/>
        <v>8.783624659859294</v>
      </c>
      <c r="L105" s="64">
        <f t="shared" si="33"/>
        <v>8.8349134419642752</v>
      </c>
      <c r="M105" s="64">
        <f t="shared" si="33"/>
        <v>8.8872757620607317</v>
      </c>
      <c r="N105" s="64">
        <f t="shared" si="33"/>
        <v>8.9408212251101205</v>
      </c>
      <c r="O105" s="64">
        <f t="shared" si="33"/>
        <v>8.8664938359298695</v>
      </c>
      <c r="P105" s="64">
        <f t="shared" si="33"/>
        <v>8.7870726030922626</v>
      </c>
      <c r="Q105" s="64">
        <f t="shared" si="33"/>
        <v>8.724025871093783</v>
      </c>
      <c r="R105" s="64">
        <f t="shared" si="33"/>
        <v>8.6675927342348462</v>
      </c>
      <c r="S105" s="64">
        <f t="shared" si="33"/>
        <v>8.6184776713826849</v>
      </c>
      <c r="T105" s="64">
        <f t="shared" si="33"/>
        <v>8.572214678270214</v>
      </c>
      <c r="U105" s="64">
        <f t="shared" si="33"/>
        <v>8.5289356920704797</v>
      </c>
      <c r="V105" s="64">
        <f t="shared" si="33"/>
        <v>8.4887721130022147</v>
      </c>
      <c r="W105" s="64">
        <f t="shared" si="33"/>
        <v>8.4518546652107389</v>
      </c>
      <c r="X105" s="64">
        <f t="shared" si="33"/>
        <v>8.4183132561523983</v>
      </c>
      <c r="Y105" s="64">
        <f t="shared" si="33"/>
        <v>8.1603755336285939</v>
      </c>
      <c r="Z105" s="64">
        <f t="shared" si="33"/>
        <v>7.8584805512175144</v>
      </c>
      <c r="AA105" s="64">
        <f t="shared" si="33"/>
        <v>7.5658489751401801</v>
      </c>
      <c r="AB105" s="64">
        <f t="shared" si="33"/>
        <v>7.2788998251299377</v>
      </c>
      <c r="AC105" s="64">
        <f t="shared" si="33"/>
        <v>6.9980902659050894</v>
      </c>
      <c r="AD105" s="64">
        <f t="shared" si="33"/>
        <v>6.7238492862179191</v>
      </c>
      <c r="AE105" s="64">
        <f t="shared" si="33"/>
        <v>6.4566460744300809</v>
      </c>
      <c r="AF105" s="64">
        <f t="shared" si="33"/>
        <v>6.1969572792663143</v>
      </c>
      <c r="AG105" s="64">
        <f t="shared" si="33"/>
        <v>5.9452669147184762</v>
      </c>
      <c r="AH105" s="438">
        <f>AH102-AH103-AH104</f>
        <v>5.7020662664057848</v>
      </c>
      <c r="AI105" s="43"/>
    </row>
    <row r="106" spans="1:35" s="67" customFormat="1" x14ac:dyDescent="0.2">
      <c r="A106" s="687" t="s">
        <v>257</v>
      </c>
      <c r="B106" s="58" t="s">
        <v>258</v>
      </c>
      <c r="C106" s="59" t="s">
        <v>153</v>
      </c>
      <c r="D106" s="60">
        <f>D20-('Ethylene Recycling HC'!C88+'Ethylene Recycling HC'!C131-'Ethylene Recycling HC'!$C$88-'Ethylene Recycling HC'!$C$131)</f>
        <v>2.4605530832803555</v>
      </c>
      <c r="E106" s="60">
        <f>E20-('Ethylene Recycling HC'!D88+'Ethylene Recycling HC'!D131-'Ethylene Recycling HC'!$C$88-'Ethylene Recycling HC'!$C$131)</f>
        <v>2.4146506413502382</v>
      </c>
      <c r="F106" s="60">
        <f>F20-('Ethylene Recycling HC'!E88+'Ethylene Recycling HC'!E131-'Ethylene Recycling HC'!$C$88-'Ethylene Recycling HC'!$C$131)</f>
        <v>2.3706067451468709</v>
      </c>
      <c r="G106" s="60">
        <f>G20-('Ethylene Recycling HC'!F88+'Ethylene Recycling HC'!F131-'Ethylene Recycling HC'!$C$88-'Ethylene Recycling HC'!$C$131)</f>
        <v>2.3289924314979578</v>
      </c>
      <c r="H106" s="60">
        <f>H20-('Ethylene Recycling HC'!G88+'Ethylene Recycling HC'!G131-'Ethylene Recycling HC'!$C$88-'Ethylene Recycling HC'!$C$131)</f>
        <v>2.2903803702720333</v>
      </c>
      <c r="I106" s="60">
        <f>I20-('Ethylene Recycling HC'!H88+'Ethylene Recycling HC'!H131-'Ethylene Recycling HC'!$C$88-'Ethylene Recycling HC'!$C$131)</f>
        <v>2.2553378268150577</v>
      </c>
      <c r="J106" s="60">
        <f>J20-('Ethylene Recycling HC'!I88+'Ethylene Recycling HC'!I131-'Ethylene Recycling HC'!$C$88-'Ethylene Recycling HC'!$C$131)</f>
        <v>2.2203376094961147</v>
      </c>
      <c r="K106" s="60">
        <f>K20-('Ethylene Recycling HC'!J88+'Ethylene Recycling HC'!J131-'Ethylene Recycling HC'!$C$88-'Ethylene Recycling HC'!$C$131)</f>
        <v>2.1854904591540447</v>
      </c>
      <c r="L106" s="60">
        <f>L20-('Ethylene Recycling HC'!K88+'Ethylene Recycling HC'!K131-'Ethylene Recycling HC'!$C$88-'Ethylene Recycling HC'!$C$131)</f>
        <v>2.1509108069383553</v>
      </c>
      <c r="M106" s="60">
        <f>M20-('Ethylene Recycling HC'!L88+'Ethylene Recycling HC'!L131-'Ethylene Recycling HC'!$C$88-'Ethylene Recycling HC'!$C$131)</f>
        <v>2.1167165705759765</v>
      </c>
      <c r="N106" s="60">
        <f>N20-('Ethylene Recycling HC'!M88+'Ethylene Recycling HC'!M131-'Ethylene Recycling HC'!$C$88-'Ethylene Recycling HC'!$C$131)</f>
        <v>2.0830289334528223</v>
      </c>
      <c r="O106" s="60">
        <f>O20-('Ethylene Recycling HC'!N88+'Ethylene Recycling HC'!N131-'Ethylene Recycling HC'!$C$88-'Ethylene Recycling HC'!$C$131)</f>
        <v>1.9798232965060314</v>
      </c>
      <c r="P106" s="60">
        <f>P20-('Ethylene Recycling HC'!O88+'Ethylene Recycling HC'!O131-'Ethylene Recycling HC'!$C$88-'Ethylene Recycling HC'!$C$131)</f>
        <v>1.8732784801233979</v>
      </c>
      <c r="Q106" s="60">
        <f>Q20-('Ethylene Recycling HC'!P88+'Ethylene Recycling HC'!P131-'Ethylene Recycling HC'!$C$88-'Ethylene Recycling HC'!$C$131)</f>
        <v>1.7847731295329341</v>
      </c>
      <c r="R106" s="60">
        <f>R20-('Ethylene Recycling HC'!Q88+'Ethylene Recycling HC'!Q131-'Ethylene Recycling HC'!$C$88-'Ethylene Recycling HC'!$C$131)</f>
        <v>1.7046654509985295</v>
      </c>
      <c r="S106" s="60">
        <f>S20-('Ethylene Recycling HC'!R88+'Ethylene Recycling HC'!R131-'Ethylene Recycling HC'!$C$88-'Ethylene Recycling HC'!$C$131)</f>
        <v>1.6336828508201409</v>
      </c>
      <c r="T106" s="60">
        <f>T20-('Ethylene Recycling HC'!S88+'Ethylene Recycling HC'!S131-'Ethylene Recycling HC'!$C$88-'Ethylene Recycling HC'!$C$131)</f>
        <v>1.5674904723043337</v>
      </c>
      <c r="U106" s="60">
        <f>U20-('Ethylene Recycling HC'!T88+'Ethylene Recycling HC'!T131-'Ethylene Recycling HC'!$C$88-'Ethylene Recycling HC'!$C$131)</f>
        <v>1.5062806862244553</v>
      </c>
      <c r="V106" s="60">
        <f>V20-('Ethylene Recycling HC'!U88+'Ethylene Recycling HC'!U131-'Ethylene Recycling HC'!$C$88-'Ethylene Recycling HC'!$C$131)</f>
        <v>1.4502454238377367</v>
      </c>
      <c r="W106" s="60">
        <f>W20-('Ethylene Recycling HC'!V88+'Ethylene Recycling HC'!V131-'Ethylene Recycling HC'!$C$88-'Ethylene Recycling HC'!$C$131)</f>
        <v>1.3995759941840671</v>
      </c>
      <c r="X106" s="60">
        <f>X20-('Ethylene Recycling HC'!W88+'Ethylene Recycling HC'!W131-'Ethylene Recycling HC'!$C$88-'Ethylene Recycling HC'!$C$131)</f>
        <v>1.3544628991269447</v>
      </c>
      <c r="Y106" s="60">
        <f>Y20-('Ethylene Recycling HC'!X88+'Ethylene Recycling HC'!X131-'Ethylene Recycling HC'!$C$88-'Ethylene Recycling HC'!$C$131)</f>
        <v>1.2372420874235646</v>
      </c>
      <c r="Z106" s="60">
        <f>Z20-('Ethylene Recycling HC'!Y88+'Ethylene Recycling HC'!Y131-'Ethylene Recycling HC'!$C$88-'Ethylene Recycling HC'!$C$131)</f>
        <v>1.0805743696631991</v>
      </c>
      <c r="AA106" s="60">
        <f>AA20-('Ethylene Recycling HC'!Z88+'Ethylene Recycling HC'!Z131-'Ethylene Recycling HC'!$C$88-'Ethylene Recycling HC'!$C$131)</f>
        <v>0.93632203470886299</v>
      </c>
      <c r="AB106" s="60">
        <f>AB20-('Ethylene Recycling HC'!AA88+'Ethylene Recycling HC'!AA131-'Ethylene Recycling HC'!$C$88-'Ethylene Recycling HC'!$C$131)</f>
        <v>0.80190143068945385</v>
      </c>
      <c r="AC106" s="60">
        <f>AC20-('Ethylene Recycling HC'!AB88+'Ethylene Recycling HC'!AB131-'Ethylene Recycling HC'!$C$88-'Ethylene Recycling HC'!$C$131)</f>
        <v>0.67772941136535181</v>
      </c>
      <c r="AD106" s="60">
        <f>AD20-('Ethylene Recycling HC'!AC88+'Ethylene Recycling HC'!AC131-'Ethylene Recycling HC'!$C$88-'Ethylene Recycling HC'!$C$131)</f>
        <v>0.56418974997016402</v>
      </c>
      <c r="AE106" s="60">
        <f>AE20-('Ethylene Recycling HC'!AD88+'Ethylene Recycling HC'!AD131-'Ethylene Recycling HC'!$C$88-'Ethylene Recycling HC'!$C$131)</f>
        <v>0.46169761077407889</v>
      </c>
      <c r="AF106" s="60">
        <f>AF20-('Ethylene Recycling HC'!AE88+'Ethylene Recycling HC'!AE131-'Ethylene Recycling HC'!$C$88-'Ethylene Recycling HC'!$C$131)</f>
        <v>0.37066814771022516</v>
      </c>
      <c r="AG106" s="60">
        <f>AG20-('Ethylene Recycling HC'!AF88+'Ethylene Recycling HC'!AF131-'Ethylene Recycling HC'!$C$88-'Ethylene Recycling HC'!$C$131)</f>
        <v>0.29151618199966212</v>
      </c>
      <c r="AH106" s="436">
        <f>AH20-('Ethylene Recycling HC'!AG88+'Ethylene Recycling HC'!AG131-'Ethylene Recycling HC'!$C$88-'Ethylene Recycling HC'!$C$131)</f>
        <v>0.2246558794562401</v>
      </c>
      <c r="AI106" s="43"/>
    </row>
    <row r="107" spans="1:35" x14ac:dyDescent="0.2">
      <c r="A107" s="688"/>
      <c r="B107" s="1" t="s">
        <v>260</v>
      </c>
      <c r="C107" s="54" t="s">
        <v>153</v>
      </c>
      <c r="D107" s="44">
        <f>D21+(D111-D25)</f>
        <v>0</v>
      </c>
      <c r="E107" s="44">
        <f t="shared" ref="E107:AH107" si="34">E21+(E111-E25)</f>
        <v>0</v>
      </c>
      <c r="F107" s="44">
        <f t="shared" si="34"/>
        <v>0</v>
      </c>
      <c r="G107" s="44">
        <f t="shared" si="34"/>
        <v>0</v>
      </c>
      <c r="H107" s="44">
        <f t="shared" si="34"/>
        <v>0</v>
      </c>
      <c r="I107" s="44">
        <f t="shared" si="34"/>
        <v>0</v>
      </c>
      <c r="J107" s="44">
        <f t="shared" si="34"/>
        <v>0</v>
      </c>
      <c r="K107" s="44">
        <f t="shared" si="34"/>
        <v>0</v>
      </c>
      <c r="L107" s="44">
        <f t="shared" si="34"/>
        <v>0</v>
      </c>
      <c r="M107" s="44">
        <f t="shared" si="34"/>
        <v>0</v>
      </c>
      <c r="N107" s="44">
        <f t="shared" si="34"/>
        <v>0</v>
      </c>
      <c r="O107" s="44">
        <f t="shared" si="34"/>
        <v>0</v>
      </c>
      <c r="P107" s="44">
        <f t="shared" si="34"/>
        <v>0</v>
      </c>
      <c r="Q107" s="44">
        <f t="shared" si="34"/>
        <v>0</v>
      </c>
      <c r="R107" s="44">
        <f t="shared" si="34"/>
        <v>0</v>
      </c>
      <c r="S107" s="44">
        <f t="shared" si="34"/>
        <v>0</v>
      </c>
      <c r="T107" s="44">
        <f t="shared" si="34"/>
        <v>0</v>
      </c>
      <c r="U107" s="44">
        <f t="shared" si="34"/>
        <v>0</v>
      </c>
      <c r="V107" s="44">
        <f t="shared" si="34"/>
        <v>0</v>
      </c>
      <c r="W107" s="44">
        <f t="shared" si="34"/>
        <v>0</v>
      </c>
      <c r="X107" s="44">
        <f t="shared" si="34"/>
        <v>0</v>
      </c>
      <c r="Y107" s="44">
        <f t="shared" si="34"/>
        <v>0</v>
      </c>
      <c r="Z107" s="44">
        <f t="shared" si="34"/>
        <v>0</v>
      </c>
      <c r="AA107" s="44">
        <f t="shared" si="34"/>
        <v>0</v>
      </c>
      <c r="AB107" s="44">
        <f t="shared" si="34"/>
        <v>0</v>
      </c>
      <c r="AC107" s="44">
        <f t="shared" si="34"/>
        <v>0</v>
      </c>
      <c r="AD107" s="44">
        <f t="shared" si="34"/>
        <v>0</v>
      </c>
      <c r="AE107" s="44">
        <f t="shared" si="34"/>
        <v>0</v>
      </c>
      <c r="AF107" s="44">
        <f t="shared" si="34"/>
        <v>0</v>
      </c>
      <c r="AG107" s="44">
        <f t="shared" si="34"/>
        <v>0</v>
      </c>
      <c r="AH107" s="43">
        <f t="shared" si="34"/>
        <v>0</v>
      </c>
      <c r="AI107" s="43"/>
    </row>
    <row r="108" spans="1:35" x14ac:dyDescent="0.2">
      <c r="A108" s="688"/>
      <c r="B108" s="1" t="s">
        <v>262</v>
      </c>
      <c r="C108" s="54" t="s">
        <v>153</v>
      </c>
      <c r="D108" s="44">
        <f>D22+(D110-D24)</f>
        <v>0.50059171597633134</v>
      </c>
      <c r="E108" s="44">
        <f t="shared" ref="E108:AH108" si="35">E22+(E110-E24)</f>
        <v>0.50733700467189724</v>
      </c>
      <c r="F108" s="44">
        <f t="shared" si="35"/>
        <v>0.51413109514885091</v>
      </c>
      <c r="G108" s="44">
        <f t="shared" si="35"/>
        <v>0.52096336196646875</v>
      </c>
      <c r="H108" s="44">
        <f t="shared" si="35"/>
        <v>0.52782278703833441</v>
      </c>
      <c r="I108" s="44">
        <f t="shared" si="35"/>
        <v>0.53469821816774399</v>
      </c>
      <c r="J108" s="44">
        <f t="shared" si="35"/>
        <v>0.54157666513019243</v>
      </c>
      <c r="K108" s="44">
        <f t="shared" si="35"/>
        <v>0.54844491881709623</v>
      </c>
      <c r="L108" s="44">
        <f t="shared" si="35"/>
        <v>0.55528913367523303</v>
      </c>
      <c r="M108" s="44">
        <f t="shared" si="35"/>
        <v>0.56209485919751079</v>
      </c>
      <c r="N108" s="44">
        <f t="shared" si="35"/>
        <v>0.56884707562742032</v>
      </c>
      <c r="O108" s="44">
        <f t="shared" si="35"/>
        <v>0.57046023823260184</v>
      </c>
      <c r="P108" s="44">
        <f t="shared" si="35"/>
        <v>0.57170970143448541</v>
      </c>
      <c r="Q108" s="44">
        <f t="shared" si="35"/>
        <v>0.57259456101469086</v>
      </c>
      <c r="R108" s="44">
        <f t="shared" si="35"/>
        <v>0.57307697155951509</v>
      </c>
      <c r="S108" s="44">
        <f t="shared" si="35"/>
        <v>0.57313751025086013</v>
      </c>
      <c r="T108" s="44">
        <f t="shared" si="35"/>
        <v>0.57273269851705233</v>
      </c>
      <c r="U108" s="44">
        <f t="shared" si="35"/>
        <v>0.57183313477525011</v>
      </c>
      <c r="V108" s="44">
        <f t="shared" si="35"/>
        <v>0.57040934396352272</v>
      </c>
      <c r="W108" s="44">
        <f t="shared" si="35"/>
        <v>0.56843181419769284</v>
      </c>
      <c r="X108" s="44">
        <f t="shared" si="35"/>
        <v>0.56587103398863292</v>
      </c>
      <c r="Y108" s="44">
        <f t="shared" si="35"/>
        <v>0.54923554608927472</v>
      </c>
      <c r="Z108" s="44">
        <f t="shared" si="35"/>
        <v>0.53156087900827187</v>
      </c>
      <c r="AA108" s="44">
        <f t="shared" si="35"/>
        <v>0.5132356913443662</v>
      </c>
      <c r="AB108" s="44">
        <f t="shared" si="35"/>
        <v>0.49393931004737035</v>
      </c>
      <c r="AC108" s="44">
        <f t="shared" si="35"/>
        <v>0.47365580081580722</v>
      </c>
      <c r="AD108" s="44">
        <f t="shared" si="35"/>
        <v>0.45237099109568346</v>
      </c>
      <c r="AE108" s="44">
        <f t="shared" si="35"/>
        <v>0.43007375377211476</v>
      </c>
      <c r="AF108" s="44">
        <f t="shared" si="35"/>
        <v>0.40675559951604751</v>
      </c>
      <c r="AG108" s="44">
        <f t="shared" si="35"/>
        <v>0.38241075657226581</v>
      </c>
      <c r="AH108" s="43">
        <f t="shared" si="35"/>
        <v>0.35703624703625708</v>
      </c>
      <c r="AI108" s="43"/>
    </row>
    <row r="109" spans="1:35" x14ac:dyDescent="0.2">
      <c r="A109" s="689"/>
      <c r="B109" s="1" t="s">
        <v>248</v>
      </c>
      <c r="C109" s="54" t="s">
        <v>153</v>
      </c>
      <c r="D109" s="284">
        <f>D23-('Ethylene Recycling HC'!C92+'Ethylene Recycling HC'!C135-'Ethylene Recycling HC'!$C$92-'Ethylene Recycling HC'!$C$135+'Ethylene Recycling HC'!C89+'Ethylene Recycling HC'!C132-'Ethylene Recycling HC'!$C$89-'Ethylene Recycling HC'!$C$132)</f>
        <v>5.5166913663259809</v>
      </c>
      <c r="E109" s="284">
        <f>E23-('Ethylene Recycling HC'!D92+'Ethylene Recycling HC'!D135-'Ethylene Recycling HC'!$C$92-'Ethylene Recycling HC'!$C$135+'Ethylene Recycling HC'!D89+'Ethylene Recycling HC'!D132-'Ethylene Recycling HC'!$C$89-'Ethylene Recycling HC'!$C$132)</f>
        <v>5.5906891503091032</v>
      </c>
      <c r="F109" s="284">
        <f>F23-('Ethylene Recycling HC'!E92+'Ethylene Recycling HC'!E135-'Ethylene Recycling HC'!$C$92-'Ethylene Recycling HC'!$C$135+'Ethylene Recycling HC'!E89+'Ethylene Recycling HC'!E132-'Ethylene Recycling HC'!$C$89-'Ethylene Recycling HC'!$C$132)</f>
        <v>5.6653957138401827</v>
      </c>
      <c r="G109" s="284">
        <f>G23-('Ethylene Recycling HC'!F92+'Ethylene Recycling HC'!F135-'Ethylene Recycling HC'!$C$92-'Ethylene Recycling HC'!$C$135+'Ethylene Recycling HC'!F89+'Ethylene Recycling HC'!F132-'Ethylene Recycling HC'!$C$89-'Ethylene Recycling HC'!$C$132)</f>
        <v>5.7408138183531037</v>
      </c>
      <c r="H109" s="284">
        <f>H23-('Ethylene Recycling HC'!G92+'Ethylene Recycling HC'!G135-'Ethylene Recycling HC'!$C$92-'Ethylene Recycling HC'!$C$135+'Ethylene Recycling HC'!G89+'Ethylene Recycling HC'!G132-'Ethylene Recycling HC'!$C$89-'Ethylene Recycling HC'!$C$132)</f>
        <v>5.8169489072478662</v>
      </c>
      <c r="I109" s="284">
        <f>I23-('Ethylene Recycling HC'!H92+'Ethylene Recycling HC'!H135-'Ethylene Recycling HC'!$C$92-'Ethylene Recycling HC'!$C$135+'Ethylene Recycling HC'!H89+'Ethylene Recycling HC'!H132-'Ethylene Recycling HC'!$C$89-'Ethylene Recycling HC'!$C$132)</f>
        <v>5.8938092859066398</v>
      </c>
      <c r="J109" s="284">
        <f>J23-('Ethylene Recycling HC'!I92+'Ethylene Recycling HC'!I135-'Ethylene Recycling HC'!$C$92-'Ethylene Recycling HC'!$C$135+'Ethylene Recycling HC'!I89+'Ethylene Recycling HC'!I132-'Ethylene Recycling HC'!$C$89-'Ethylene Recycling HC'!$C$132)</f>
        <v>5.971388713518289</v>
      </c>
      <c r="K109" s="284">
        <f>K23-('Ethylene Recycling HC'!J92+'Ethylene Recycling HC'!J135-'Ethylene Recycling HC'!$C$92-'Ethylene Recycling HC'!$C$135+'Ethylene Recycling HC'!J89+'Ethylene Recycling HC'!J132-'Ethylene Recycling HC'!$C$89-'Ethylene Recycling HC'!$C$132)</f>
        <v>6.0496892818881536</v>
      </c>
      <c r="L109" s="284">
        <f>L23-('Ethylene Recycling HC'!K92+'Ethylene Recycling HC'!K135-'Ethylene Recycling HC'!$C$92-'Ethylene Recycling HC'!$C$135+'Ethylene Recycling HC'!K89+'Ethylene Recycling HC'!K132-'Ethylene Recycling HC'!$C$89-'Ethylene Recycling HC'!$C$132)</f>
        <v>6.1287135013506857</v>
      </c>
      <c r="M109" s="284">
        <f>M23-('Ethylene Recycling HC'!L92+'Ethylene Recycling HC'!L135-'Ethylene Recycling HC'!$C$92-'Ethylene Recycling HC'!$C$135+'Ethylene Recycling HC'!L89+'Ethylene Recycling HC'!L132-'Ethylene Recycling HC'!$C$89-'Ethylene Recycling HC'!$C$132)</f>
        <v>6.2084643322872441</v>
      </c>
      <c r="N109" s="284">
        <f>N23-('Ethylene Recycling HC'!M92+'Ethylene Recycling HC'!M135-'Ethylene Recycling HC'!$C$92-'Ethylene Recycling HC'!$C$135+'Ethylene Recycling HC'!M89+'Ethylene Recycling HC'!M132-'Ethylene Recycling HC'!$C$89-'Ethylene Recycling HC'!$C$132)</f>
        <v>6.2889452160298767</v>
      </c>
      <c r="O109" s="284">
        <f>O23-('Ethylene Recycling HC'!N92+'Ethylene Recycling HC'!N135-'Ethylene Recycling HC'!$C$92-'Ethylene Recycling HC'!$C$135+'Ethylene Recycling HC'!N89+'Ethylene Recycling HC'!N132-'Ethylene Recycling HC'!$C$89-'Ethylene Recycling HC'!$C$132)</f>
        <v>6.3162103011912345</v>
      </c>
      <c r="P109" s="284">
        <f>P23-('Ethylene Recycling HC'!O92+'Ethylene Recycling HC'!O135-'Ethylene Recycling HC'!$C$92-'Ethylene Recycling HC'!$C$135+'Ethylene Recycling HC'!O89+'Ethylene Recycling HC'!O132-'Ethylene Recycling HC'!$C$89-'Ethylene Recycling HC'!$C$132)</f>
        <v>6.3420844215343806</v>
      </c>
      <c r="Q109" s="284">
        <f>Q23-('Ethylene Recycling HC'!P92+'Ethylene Recycling HC'!P135-'Ethylene Recycling HC'!$C$92-'Ethylene Recycling HC'!$C$135+'Ethylene Recycling HC'!P89+'Ethylene Recycling HC'!P132-'Ethylene Recycling HC'!$C$89-'Ethylene Recycling HC'!$C$132)</f>
        <v>6.3666581805461577</v>
      </c>
      <c r="R109" s="284">
        <f>R23-('Ethylene Recycling HC'!Q92+'Ethylene Recycling HC'!Q135-'Ethylene Recycling HC'!$C$92-'Ethylene Recycling HC'!$C$135+'Ethylene Recycling HC'!Q89+'Ethylene Recycling HC'!Q132-'Ethylene Recycling HC'!$C$89-'Ethylene Recycling HC'!$C$132)</f>
        <v>6.3898503116768017</v>
      </c>
      <c r="S109" s="284">
        <f>S23-('Ethylene Recycling HC'!R92+'Ethylene Recycling HC'!R135-'Ethylene Recycling HC'!$C$92-'Ethylene Recycling HC'!$C$135+'Ethylene Recycling HC'!R89+'Ethylene Recycling HC'!R132-'Ethylene Recycling HC'!$C$89-'Ethylene Recycling HC'!$C$132)</f>
        <v>6.4116573103116838</v>
      </c>
      <c r="T109" s="284">
        <f>T23-('Ethylene Recycling HC'!S92+'Ethylene Recycling HC'!S135-'Ethylene Recycling HC'!$C$92-'Ethylene Recycling HC'!$C$135+'Ethylene Recycling HC'!S89+'Ethylene Recycling HC'!S132-'Ethylene Recycling HC'!$C$89-'Ethylene Recycling HC'!$C$132)</f>
        <v>6.4319915074488279</v>
      </c>
      <c r="U109" s="284">
        <f>U23-('Ethylene Recycling HC'!T92+'Ethylene Recycling HC'!T135-'Ethylene Recycling HC'!$C$92-'Ethylene Recycling HC'!$C$135+'Ethylene Recycling HC'!T89+'Ethylene Recycling HC'!T132-'Ethylene Recycling HC'!$C$89-'Ethylene Recycling HC'!$C$132)</f>
        <v>6.4508218710707759</v>
      </c>
      <c r="V109" s="284">
        <f>V23-('Ethylene Recycling HC'!U92+'Ethylene Recycling HC'!U135-'Ethylene Recycling HC'!$C$92-'Ethylene Recycling HC'!$C$135+'Ethylene Recycling HC'!U89+'Ethylene Recycling HC'!U132-'Ethylene Recycling HC'!$C$89-'Ethylene Recycling HC'!$C$132)</f>
        <v>6.4681173452009553</v>
      </c>
      <c r="W109" s="284">
        <f>W23-('Ethylene Recycling HC'!V92+'Ethylene Recycling HC'!V135-'Ethylene Recycling HC'!$C$92-'Ethylene Recycling HC'!$C$135+'Ethylene Recycling HC'!V89+'Ethylene Recycling HC'!V132-'Ethylene Recycling HC'!$C$89-'Ethylene Recycling HC'!$C$132)</f>
        <v>6.4838468568289791</v>
      </c>
      <c r="X109" s="284">
        <f>X23-('Ethylene Recycling HC'!W92+'Ethylene Recycling HC'!W135-'Ethylene Recycling HC'!$C$92-'Ethylene Recycling HC'!$C$135+'Ethylene Recycling HC'!W89+'Ethylene Recycling HC'!W132-'Ethylene Recycling HC'!$C$89-'Ethylene Recycling HC'!$C$132)</f>
        <v>6.4979793230368195</v>
      </c>
      <c r="Y109" s="284">
        <f>Y23-('Ethylene Recycling HC'!X92+'Ethylene Recycling HC'!X135-'Ethylene Recycling HC'!$C$92-'Ethylene Recycling HC'!$C$135+'Ethylene Recycling HC'!X89+'Ethylene Recycling HC'!X132-'Ethylene Recycling HC'!$C$89-'Ethylene Recycling HC'!$C$132)</f>
        <v>6.373897900115753</v>
      </c>
      <c r="Z109" s="284">
        <f>Z23-('Ethylene Recycling HC'!Y92+'Ethylene Recycling HC'!Y135-'Ethylene Recycling HC'!$C$92-'Ethylene Recycling HC'!$C$135+'Ethylene Recycling HC'!Y89+'Ethylene Recycling HC'!Y132-'Ethylene Recycling HC'!$C$89-'Ethylene Recycling HC'!$C$132)</f>
        <v>6.2463453025460423</v>
      </c>
      <c r="AA109" s="284">
        <f>AA23-('Ethylene Recycling HC'!Z92+'Ethylene Recycling HC'!Z135-'Ethylene Recycling HC'!$C$92-'Ethylene Recycling HC'!$C$135+'Ethylene Recycling HC'!Z89+'Ethylene Recycling HC'!Z132-'Ethylene Recycling HC'!$C$89-'Ethylene Recycling HC'!$C$132)</f>
        <v>6.1162912490869505</v>
      </c>
      <c r="AB109" s="284">
        <f>AB23-('Ethylene Recycling HC'!AA92+'Ethylene Recycling HC'!AA135-'Ethylene Recycling HC'!$C$92-'Ethylene Recycling HC'!$C$135+'Ethylene Recycling HC'!AA89+'Ethylene Recycling HC'!AA132-'Ethylene Recycling HC'!$C$89-'Ethylene Recycling HC'!$C$132)</f>
        <v>5.983059084393112</v>
      </c>
      <c r="AC109" s="284">
        <f>AC23-('Ethylene Recycling HC'!AB92+'Ethylene Recycling HC'!AB135-'Ethylene Recycling HC'!$C$92-'Ethylene Recycling HC'!$C$135+'Ethylene Recycling HC'!AB89+'Ethylene Recycling HC'!AB132-'Ethylene Recycling HC'!$C$89-'Ethylene Recycling HC'!$C$132)</f>
        <v>5.8467050537239293</v>
      </c>
      <c r="AD109" s="284">
        <f>AD23-('Ethylene Recycling HC'!AC92+'Ethylene Recycling HC'!AC135-'Ethylene Recycling HC'!$C$92-'Ethylene Recycling HC'!$C$135+'Ethylene Recycling HC'!AC89+'Ethylene Recycling HC'!AC132-'Ethylene Recycling HC'!$C$89-'Ethylene Recycling HC'!$C$132)</f>
        <v>5.7072885451520712</v>
      </c>
      <c r="AE109" s="284">
        <f>AE23-('Ethylene Recycling HC'!AD92+'Ethylene Recycling HC'!AD135-'Ethylene Recycling HC'!$C$92-'Ethylene Recycling HC'!$C$135+'Ethylene Recycling HC'!AD89+'Ethylene Recycling HC'!AD132-'Ethylene Recycling HC'!$C$89-'Ethylene Recycling HC'!$C$132)</f>
        <v>5.5648747098838856</v>
      </c>
      <c r="AF109" s="284">
        <f>AF23-('Ethylene Recycling HC'!AE92+'Ethylene Recycling HC'!AE135-'Ethylene Recycling HC'!$C$92-'Ethylene Recycling HC'!$C$135+'Ethylene Recycling HC'!AE89+'Ethylene Recycling HC'!AE132-'Ethylene Recycling HC'!$C$89-'Ethylene Recycling HC'!$C$132)</f>
        <v>5.41953353204004</v>
      </c>
      <c r="AG109" s="284">
        <f>AG23-('Ethylene Recycling HC'!AF92+'Ethylene Recycling HC'!AF135-'Ethylene Recycling HC'!$C$92-'Ethylene Recycling HC'!$C$135+'Ethylene Recycling HC'!AF89+'Ethylene Recycling HC'!AF132-'Ethylene Recycling HC'!$C$89-'Ethylene Recycling HC'!$C$132)</f>
        <v>5.271339976146546</v>
      </c>
      <c r="AH109" s="437">
        <f>AH23-('Ethylene Recycling HC'!AG92+'Ethylene Recycling HC'!AG135-'Ethylene Recycling HC'!$C$92-'Ethylene Recycling HC'!$C$135+'Ethylene Recycling HC'!AG89+'Ethylene Recycling HC'!AG132-'Ethylene Recycling HC'!$C$89-'Ethylene Recycling HC'!$C$132)</f>
        <v>5.120374139913288</v>
      </c>
      <c r="AI109" s="43"/>
    </row>
    <row r="110" spans="1:35" s="67" customFormat="1" x14ac:dyDescent="0.2">
      <c r="A110" s="690" t="s">
        <v>263</v>
      </c>
      <c r="B110" s="58" t="s">
        <v>264</v>
      </c>
      <c r="C110" s="59" t="s">
        <v>153</v>
      </c>
      <c r="D110" s="60">
        <f>D24-('Ethylene Recycling HC'!C133+'Ethylene Recycling HC'!C90-'Ethylene Recycling HC'!$C$133-'Ethylene Recycling HC'!$C$90)</f>
        <v>0.48056804733727804</v>
      </c>
      <c r="E110" s="60">
        <f>E24-('Ethylene Recycling HC'!D133+'Ethylene Recycling HC'!D90-'Ethylene Recycling HC'!$C$133-'Ethylene Recycling HC'!$C$90)</f>
        <v>0.487042250034109</v>
      </c>
      <c r="F110" s="60">
        <f>F24-('Ethylene Recycling HC'!E133+'Ethylene Recycling HC'!E90-'Ethylene Recycling HC'!$C$133-'Ethylene Recycling HC'!$C$90)</f>
        <v>0.49356198300375614</v>
      </c>
      <c r="G110" s="60">
        <f>G24-('Ethylene Recycling HC'!F133+'Ethylene Recycling HC'!F90-'Ethylene Recycling HC'!$C$133-'Ethylene Recycling HC'!$C$90)</f>
        <v>0.50011658886229193</v>
      </c>
      <c r="H110" s="60">
        <f>H24-('Ethylene Recycling HC'!G133+'Ethylene Recycling HC'!G90-'Ethylene Recycling HC'!$C$133-'Ethylene Recycling HC'!$C$90)</f>
        <v>0.50669501742576883</v>
      </c>
      <c r="I110" s="60">
        <f>I24-('Ethylene Recycling HC'!H133+'Ethylene Recycling HC'!H90-'Ethylene Recycling HC'!$C$133-'Ethylene Recycling HC'!$C$90)</f>
        <v>0.51328608424886935</v>
      </c>
      <c r="J110" s="60">
        <f>J24-('Ethylene Recycling HC'!I133+'Ethylene Recycling HC'!I90-'Ethylene Recycling HC'!$C$133-'Ethylene Recycling HC'!$C$90)</f>
        <v>0.51987676671077132</v>
      </c>
      <c r="K110" s="60">
        <f>K24-('Ethylene Recycling HC'!J133+'Ethylene Recycling HC'!J90-'Ethylene Recycling HC'!$C$133-'Ethylene Recycling HC'!$C$90)</f>
        <v>0.52645382316238631</v>
      </c>
      <c r="L110" s="60">
        <f>L24-('Ethylene Recycling HC'!K133+'Ethylene Recycling HC'!K90-'Ethylene Recycling HC'!$C$133-'Ethylene Recycling HC'!$C$90)</f>
        <v>0.53300337536945408</v>
      </c>
      <c r="M110" s="60">
        <f>M24-('Ethylene Recycling HC'!L133+'Ethylene Recycling HC'!L90-'Ethylene Recycling HC'!$C$133-'Ethylene Recycling HC'!$C$90)</f>
        <v>0.53951094000711175</v>
      </c>
      <c r="N110" s="60">
        <f>N24-('Ethylene Recycling HC'!M133+'Ethylene Recycling HC'!M90-'Ethylene Recycling HC'!$C$133-'Ethylene Recycling HC'!$C$90)</f>
        <v>0.54596146436829041</v>
      </c>
      <c r="O110" s="60">
        <f>O24-('Ethylene Recycling HC'!N133+'Ethylene Recycling HC'!N90-'Ethylene Recycling HC'!$C$133-'Ethylene Recycling HC'!$C$90)</f>
        <v>0.54745989964002795</v>
      </c>
      <c r="P110" s="60">
        <f>P24-('Ethylene Recycling HC'!O133+'Ethylene Recycling HC'!O90-'Ethylene Recycling HC'!$C$133-'Ethylene Recycling HC'!$C$90)</f>
        <v>0.54859805312656484</v>
      </c>
      <c r="Q110" s="60">
        <f>Q24-('Ethylene Recycling HC'!P133+'Ethylene Recycling HC'!P90-'Ethylene Recycling HC'!$C$133-'Ethylene Recycling HC'!$C$90)</f>
        <v>0.5493751352937809</v>
      </c>
      <c r="R110" s="60">
        <f>R24-('Ethylene Recycling HC'!Q133+'Ethylene Recycling HC'!Q90-'Ethylene Recycling HC'!$C$133-'Ethylene Recycling HC'!$C$90)</f>
        <v>0.54975341694142088</v>
      </c>
      <c r="S110" s="60">
        <f>S24-('Ethylene Recycling HC'!R133+'Ethylene Recycling HC'!R90-'Ethylene Recycling HC'!$C$133-'Ethylene Recycling HC'!$C$90)</f>
        <v>0.54971359297588951</v>
      </c>
      <c r="T110" s="60">
        <f>T24-('Ethylene Recycling HC'!S133+'Ethylene Recycling HC'!S90-'Ethylene Recycling HC'!$C$133-'Ethylene Recycling HC'!$C$90)</f>
        <v>0.54921230404102162</v>
      </c>
      <c r="U110" s="60">
        <f>U24-('Ethylene Recycling HC'!T133+'Ethylene Recycling HC'!T90-'Ethylene Recycling HC'!$C$133-'Ethylene Recycling HC'!$C$90)</f>
        <v>0.54822026923844702</v>
      </c>
      <c r="V110" s="60">
        <f>V24-('Ethylene Recycling HC'!U133+'Ethylene Recycling HC'!U90-'Ethylene Recycling HC'!$C$133-'Ethylene Recycling HC'!$C$90)</f>
        <v>0.54670813563554921</v>
      </c>
      <c r="W110" s="60">
        <f>W24-('Ethylene Recycling HC'!V133+'Ethylene Recycling HC'!V90-'Ethylene Recycling HC'!$C$133-'Ethylene Recycling HC'!$C$90)</f>
        <v>0.54464651489603066</v>
      </c>
      <c r="X110" s="60">
        <f>X24-('Ethylene Recycling HC'!W133+'Ethylene Recycling HC'!W90-'Ethylene Recycling HC'!$C$133-'Ethylene Recycling HC'!$C$90)</f>
        <v>0.54200602046868518</v>
      </c>
      <c r="Y110" s="60">
        <f>Y24-('Ethylene Recycling HC'!X133+'Ethylene Recycling HC'!X90-'Ethylene Recycling HC'!$C$133-'Ethylene Recycling HC'!$C$90)</f>
        <v>0.5257791256498664</v>
      </c>
      <c r="Z110" s="60">
        <f>Z24-('Ethylene Recycling HC'!Y133+'Ethylene Recycling HC'!Y90-'Ethylene Recycling HC'!$C$133-'Ethylene Recycling HC'!$C$90)</f>
        <v>0.50852328162974314</v>
      </c>
      <c r="AA110" s="60">
        <f>AA24-('Ethylene Recycling HC'!Z133+'Ethylene Recycling HC'!Z90-'Ethylene Recycling HC'!$C$133-'Ethylene Recycling HC'!$C$90)</f>
        <v>0.49062706473157225</v>
      </c>
      <c r="AB110" s="60">
        <f>AB24-('Ethylene Recycling HC'!AA133+'Ethylene Recycling HC'!AA90-'Ethylene Recycling HC'!$C$133-'Ethylene Recycling HC'!$C$90)</f>
        <v>0.47176970631906334</v>
      </c>
      <c r="AC110" s="60">
        <f>AC24-('Ethylene Recycling HC'!AB133+'Ethylene Recycling HC'!AB90-'Ethylene Recycling HC'!$C$133-'Ethylene Recycling HC'!$C$90)</f>
        <v>0.4519351625984756</v>
      </c>
      <c r="AD110" s="60">
        <f>AD24-('Ethylene Recycling HC'!AC133+'Ethylene Recycling HC'!AC90-'Ethylene Recycling HC'!$C$133-'Ethylene Recycling HC'!$C$90)</f>
        <v>0.43110913700196085</v>
      </c>
      <c r="AE110" s="60">
        <f>AE24-('Ethylene Recycling HC'!AD133+'Ethylene Recycling HC'!AD90-'Ethylene Recycling HC'!$C$133-'Ethylene Recycling HC'!$C$90)</f>
        <v>0.40928036324329625</v>
      </c>
      <c r="AF110" s="60">
        <f>AF24-('Ethylene Recycling HC'!AE133+'Ethylene Recycling HC'!AE90-'Ethylene Recycling HC'!$C$133-'Ethylene Recycling HC'!$C$90)</f>
        <v>0.38644019700766197</v>
      </c>
      <c r="AG110" s="60">
        <f>AG24-('Ethylene Recycling HC'!AF133+'Ethylene Recycling HC'!AF90-'Ethylene Recycling HC'!$C$133-'Ethylene Recycling HC'!$C$90)</f>
        <v>0.36258269506104784</v>
      </c>
      <c r="AH110" s="60">
        <f>AH24-('Ethylene Recycling HC'!AG133+'Ethylene Recycling HC'!AG90-'Ethylene Recycling HC'!$C$133-'Ethylene Recycling HC'!$C$90)</f>
        <v>0.33770469082624011</v>
      </c>
      <c r="AI110" s="43"/>
    </row>
    <row r="111" spans="1:35" s="68" customFormat="1" x14ac:dyDescent="0.2">
      <c r="A111" s="691"/>
      <c r="B111" s="62" t="s">
        <v>266</v>
      </c>
      <c r="C111" s="283" t="s">
        <v>153</v>
      </c>
      <c r="D111" s="284">
        <f>D25-('Ethylene Recycling HC'!C91+'Ethylene Recycling HC'!C134-'Ethylene Recycling HC'!$C$91-'Ethylene Recycling HC'!$C$134)</f>
        <v>0</v>
      </c>
      <c r="E111" s="284">
        <f>E25-('Ethylene Recycling HC'!D91+'Ethylene Recycling HC'!D134-'Ethylene Recycling HC'!$C$91-'Ethylene Recycling HC'!$C$134)</f>
        <v>0</v>
      </c>
      <c r="F111" s="284">
        <f>F25-('Ethylene Recycling HC'!E91+'Ethylene Recycling HC'!E134-'Ethylene Recycling HC'!$C$91-'Ethylene Recycling HC'!$C$134)</f>
        <v>0</v>
      </c>
      <c r="G111" s="284">
        <f>G25-('Ethylene Recycling HC'!F91+'Ethylene Recycling HC'!F134-'Ethylene Recycling HC'!$C$91-'Ethylene Recycling HC'!$C$134)</f>
        <v>0</v>
      </c>
      <c r="H111" s="284">
        <f>H25-('Ethylene Recycling HC'!G91+'Ethylene Recycling HC'!G134-'Ethylene Recycling HC'!$C$91-'Ethylene Recycling HC'!$C$134)</f>
        <v>0</v>
      </c>
      <c r="I111" s="284">
        <f>I25-('Ethylene Recycling HC'!H91+'Ethylene Recycling HC'!H134-'Ethylene Recycling HC'!$C$91-'Ethylene Recycling HC'!$C$134)</f>
        <v>0</v>
      </c>
      <c r="J111" s="284">
        <f>J25-('Ethylene Recycling HC'!I91+'Ethylene Recycling HC'!I134-'Ethylene Recycling HC'!$C$91-'Ethylene Recycling HC'!$C$134)</f>
        <v>0</v>
      </c>
      <c r="K111" s="284">
        <f>K25-('Ethylene Recycling HC'!J91+'Ethylene Recycling HC'!J134-'Ethylene Recycling HC'!$C$91-'Ethylene Recycling HC'!$C$134)</f>
        <v>0</v>
      </c>
      <c r="L111" s="284">
        <f>L25-('Ethylene Recycling HC'!K91+'Ethylene Recycling HC'!K134-'Ethylene Recycling HC'!$C$91-'Ethylene Recycling HC'!$C$134)</f>
        <v>0</v>
      </c>
      <c r="M111" s="284">
        <f>M25-('Ethylene Recycling HC'!L91+'Ethylene Recycling HC'!L134-'Ethylene Recycling HC'!$C$91-'Ethylene Recycling HC'!$C$134)</f>
        <v>0</v>
      </c>
      <c r="N111" s="284">
        <f>N25-('Ethylene Recycling HC'!M91+'Ethylene Recycling HC'!M134-'Ethylene Recycling HC'!$C$91-'Ethylene Recycling HC'!$C$134)</f>
        <v>0</v>
      </c>
      <c r="O111" s="284">
        <f>O25-('Ethylene Recycling HC'!N91+'Ethylene Recycling HC'!N134-'Ethylene Recycling HC'!$C$91-'Ethylene Recycling HC'!$C$134)</f>
        <v>0</v>
      </c>
      <c r="P111" s="284">
        <f>P25-('Ethylene Recycling HC'!O91+'Ethylene Recycling HC'!O134-'Ethylene Recycling HC'!$C$91-'Ethylene Recycling HC'!$C$134)</f>
        <v>0</v>
      </c>
      <c r="Q111" s="284">
        <f>Q25-('Ethylene Recycling HC'!P91+'Ethylene Recycling HC'!P134-'Ethylene Recycling HC'!$C$91-'Ethylene Recycling HC'!$C$134)</f>
        <v>0</v>
      </c>
      <c r="R111" s="284">
        <f>R25-('Ethylene Recycling HC'!Q91+'Ethylene Recycling HC'!Q134-'Ethylene Recycling HC'!$C$91-'Ethylene Recycling HC'!$C$134)</f>
        <v>0</v>
      </c>
      <c r="S111" s="284">
        <f>S25-('Ethylene Recycling HC'!R91+'Ethylene Recycling HC'!R134-'Ethylene Recycling HC'!$C$91-'Ethylene Recycling HC'!$C$134)</f>
        <v>0</v>
      </c>
      <c r="T111" s="284">
        <f>T25-('Ethylene Recycling HC'!S91+'Ethylene Recycling HC'!S134-'Ethylene Recycling HC'!$C$91-'Ethylene Recycling HC'!$C$134)</f>
        <v>0</v>
      </c>
      <c r="U111" s="284">
        <f>U25-('Ethylene Recycling HC'!T91+'Ethylene Recycling HC'!T134-'Ethylene Recycling HC'!$C$91-'Ethylene Recycling HC'!$C$134)</f>
        <v>0</v>
      </c>
      <c r="V111" s="284">
        <f>V25-('Ethylene Recycling HC'!U91+'Ethylene Recycling HC'!U134-'Ethylene Recycling HC'!$C$91-'Ethylene Recycling HC'!$C$134)</f>
        <v>0</v>
      </c>
      <c r="W111" s="284">
        <f>W25-('Ethylene Recycling HC'!V91+'Ethylene Recycling HC'!V134-'Ethylene Recycling HC'!$C$91-'Ethylene Recycling HC'!$C$134)</f>
        <v>0</v>
      </c>
      <c r="X111" s="284">
        <f>X25-('Ethylene Recycling HC'!W91+'Ethylene Recycling HC'!W134-'Ethylene Recycling HC'!$C$91-'Ethylene Recycling HC'!$C$134)</f>
        <v>0</v>
      </c>
      <c r="Y111" s="284">
        <f>Y25-('Ethylene Recycling HC'!X91+'Ethylene Recycling HC'!X134-'Ethylene Recycling HC'!$C$91-'Ethylene Recycling HC'!$C$134)</f>
        <v>0</v>
      </c>
      <c r="Z111" s="284">
        <f>Z25-('Ethylene Recycling HC'!Y91+'Ethylene Recycling HC'!Y134-'Ethylene Recycling HC'!$C$91-'Ethylene Recycling HC'!$C$134)</f>
        <v>0</v>
      </c>
      <c r="AA111" s="284">
        <f>AA25-('Ethylene Recycling HC'!Z91+'Ethylene Recycling HC'!Z134-'Ethylene Recycling HC'!$C$91-'Ethylene Recycling HC'!$C$134)</f>
        <v>0</v>
      </c>
      <c r="AB111" s="284">
        <f>AB25-('Ethylene Recycling HC'!AA91+'Ethylene Recycling HC'!AA134-'Ethylene Recycling HC'!$C$91-'Ethylene Recycling HC'!$C$134)</f>
        <v>0</v>
      </c>
      <c r="AC111" s="284">
        <f>AC25-('Ethylene Recycling HC'!AB91+'Ethylene Recycling HC'!AB134-'Ethylene Recycling HC'!$C$91-'Ethylene Recycling HC'!$C$134)</f>
        <v>0</v>
      </c>
      <c r="AD111" s="284">
        <f>AD25-('Ethylene Recycling HC'!AC91+'Ethylene Recycling HC'!AC134-'Ethylene Recycling HC'!$C$91-'Ethylene Recycling HC'!$C$134)</f>
        <v>0</v>
      </c>
      <c r="AE111" s="284">
        <f>AE25-('Ethylene Recycling HC'!AD91+'Ethylene Recycling HC'!AD134-'Ethylene Recycling HC'!$C$91-'Ethylene Recycling HC'!$C$134)</f>
        <v>0</v>
      </c>
      <c r="AF111" s="284">
        <f>AF25-('Ethylene Recycling HC'!AE91+'Ethylene Recycling HC'!AE134-'Ethylene Recycling HC'!$C$91-'Ethylene Recycling HC'!$C$134)</f>
        <v>0</v>
      </c>
      <c r="AG111" s="284">
        <f>AG25-('Ethylene Recycling HC'!AF91+'Ethylene Recycling HC'!AF134-'Ethylene Recycling HC'!$C$91-'Ethylene Recycling HC'!$C$134)</f>
        <v>0</v>
      </c>
      <c r="AH111" s="284">
        <f>AH25-('Ethylene Recycling HC'!AG91+'Ethylene Recycling HC'!AG134-'Ethylene Recycling HC'!$C$91-'Ethylene Recycling HC'!$C$134)</f>
        <v>0</v>
      </c>
      <c r="AI111" s="43"/>
    </row>
    <row r="112" spans="1:35" x14ac:dyDescent="0.2">
      <c r="A112" s="1" t="s">
        <v>221</v>
      </c>
      <c r="B112" s="1" t="s">
        <v>197</v>
      </c>
      <c r="C112" s="65" t="s">
        <v>153</v>
      </c>
      <c r="D112" s="66">
        <f t="shared" ref="D112:AH112" si="36">D55</f>
        <v>3.4336211538461541</v>
      </c>
      <c r="E112" s="66">
        <f t="shared" si="36"/>
        <v>3.3974002276563464</v>
      </c>
      <c r="F112" s="66">
        <f t="shared" si="36"/>
        <v>3.3581437956377203</v>
      </c>
      <c r="G112" s="66">
        <f t="shared" si="36"/>
        <v>3.3157403399739156</v>
      </c>
      <c r="H112" s="66">
        <f t="shared" si="36"/>
        <v>3.2700749977583543</v>
      </c>
      <c r="I112" s="66">
        <f t="shared" si="36"/>
        <v>3.2210294696798116</v>
      </c>
      <c r="J112" s="66">
        <f t="shared" si="36"/>
        <v>3.1684819263479587</v>
      </c>
      <c r="K112" s="66">
        <f t="shared" si="36"/>
        <v>3.1123069122000393</v>
      </c>
      <c r="L112" s="66">
        <f t="shared" si="36"/>
        <v>3.0523752469283876</v>
      </c>
      <c r="M112" s="66">
        <f t="shared" si="36"/>
        <v>2.988553924367046</v>
      </c>
      <c r="N112" s="66">
        <f t="shared" si="36"/>
        <v>2.9207060087742334</v>
      </c>
      <c r="O112" s="66">
        <f t="shared" si="36"/>
        <v>2.887961977936647</v>
      </c>
      <c r="P112" s="66">
        <f t="shared" si="36"/>
        <v>2.8525546664540116</v>
      </c>
      <c r="Q112" s="66">
        <f t="shared" si="36"/>
        <v>2.8143866566568359</v>
      </c>
      <c r="R112" s="66">
        <f t="shared" si="36"/>
        <v>2.7733576138402731</v>
      </c>
      <c r="S112" s="66">
        <f t="shared" si="36"/>
        <v>2.7293642067098287</v>
      </c>
      <c r="T112" s="66">
        <f t="shared" si="36"/>
        <v>2.6823000257722027</v>
      </c>
      <c r="U112" s="66">
        <f t="shared" si="36"/>
        <v>2.6320554996200363</v>
      </c>
      <c r="V112" s="66">
        <f t="shared" si="36"/>
        <v>2.5785178090581145</v>
      </c>
      <c r="W112" s="66">
        <f t="shared" si="36"/>
        <v>2.5215707990172591</v>
      </c>
      <c r="X112" s="66">
        <f t="shared" si="36"/>
        <v>2.4610948882008925</v>
      </c>
      <c r="Y112" s="66">
        <f t="shared" si="36"/>
        <v>2.3730610557655067</v>
      </c>
      <c r="Z112" s="66">
        <f t="shared" si="36"/>
        <v>2.2802444595221387</v>
      </c>
      <c r="AA112" s="66">
        <f t="shared" si="36"/>
        <v>2.1824830463109555</v>
      </c>
      <c r="AB112" s="66">
        <f t="shared" si="36"/>
        <v>2.0796100659382546</v>
      </c>
      <c r="AC112" s="66">
        <f t="shared" si="36"/>
        <v>1.9714539453664768</v>
      </c>
      <c r="AD112" s="66">
        <f t="shared" si="36"/>
        <v>1.8578381596916049</v>
      </c>
      <c r="AE112" s="66">
        <f t="shared" si="36"/>
        <v>1.7385810998284823</v>
      </c>
      <c r="AF112" s="66">
        <f t="shared" si="36"/>
        <v>1.6134959368226844</v>
      </c>
      <c r="AG112" s="66">
        <f t="shared" si="36"/>
        <v>1.4823904827056191</v>
      </c>
      <c r="AH112" s="66">
        <f t="shared" si="36"/>
        <v>1.3450670478074978</v>
      </c>
    </row>
    <row r="113" spans="1:36" outlineLevel="1" x14ac:dyDescent="0.2">
      <c r="A113"/>
      <c r="B113" t="s">
        <v>217</v>
      </c>
      <c r="C113" s="54" t="s">
        <v>153</v>
      </c>
      <c r="D113" s="44">
        <f>'Ethylene Recycling HC'!C176-'Ethylene Recycling HC'!$C$176</f>
        <v>0</v>
      </c>
      <c r="E113" s="44">
        <f>'Ethylene Recycling HC'!D176-'Ethylene Recycling HC'!$C$176</f>
        <v>7.8735500055456265E-3</v>
      </c>
      <c r="F113" s="44">
        <f>'Ethylene Recycling HC'!E176-'Ethylene Recycling HC'!$C$176</f>
        <v>1.6584062272038562E-2</v>
      </c>
      <c r="G113" s="44">
        <f>'Ethylene Recycling HC'!F176-'Ethylene Recycling HC'!$C$176</f>
        <v>2.6126643423037534E-2</v>
      </c>
      <c r="H113" s="44">
        <f>'Ethylene Recycling HC'!G176-'Ethylene Recycling HC'!$C$176</f>
        <v>3.6485602894558683E-2</v>
      </c>
      <c r="I113" s="44">
        <f>'Ethylene Recycling HC'!H176-'Ethylene Recycling HC'!$C$176</f>
        <v>4.7634030062421728E-2</v>
      </c>
      <c r="J113" s="44">
        <f>'Ethylene Recycling HC'!I176-'Ethylene Recycling HC'!$C$176</f>
        <v>5.6937554273840715E-2</v>
      </c>
      <c r="K113" s="44">
        <f>'Ethylene Recycling HC'!J176-'Ethylene Recycling HC'!$C$176</f>
        <v>6.6411575394843395E-2</v>
      </c>
      <c r="L113" s="44">
        <f>'Ethylene Recycling HC'!K176-'Ethylene Recycling HC'!$C$176</f>
        <v>7.5994460897830962E-2</v>
      </c>
      <c r="M113" s="44">
        <f>'Ethylene Recycling HC'!L176-'Ethylene Recycling HC'!$C$176</f>
        <v>8.5619778796479001E-2</v>
      </c>
      <c r="N113" s="44">
        <f>'Ethylene Recycling HC'!M176-'Ethylene Recycling HC'!$C$176</f>
        <v>9.5216336204720517E-2</v>
      </c>
      <c r="O113" s="44">
        <f>'Ethylene Recycling HC'!N176-'Ethylene Recycling HC'!$C$176</f>
        <v>0.10887612938416634</v>
      </c>
      <c r="P113" s="44">
        <f>'Ethylene Recycling HC'!O176-'Ethylene Recycling HC'!$C$176</f>
        <v>0.12242777099132986</v>
      </c>
      <c r="Q113" s="44">
        <f>'Ethylene Recycling HC'!P176-'Ethylene Recycling HC'!$C$176</f>
        <v>0.13567508131519923</v>
      </c>
      <c r="R113" s="44">
        <f>'Ethylene Recycling HC'!Q176-'Ethylene Recycling HC'!$C$176</f>
        <v>0.14841611302578644</v>
      </c>
      <c r="S113" s="44">
        <f>'Ethylene Recycling HC'!R176-'Ethylene Recycling HC'!$C$176</f>
        <v>0.16044601771483269</v>
      </c>
      <c r="T113" s="44">
        <f>'Ethylene Recycling HC'!S176-'Ethylene Recycling HC'!$C$176</f>
        <v>0.17471587915163467</v>
      </c>
      <c r="U113" s="44">
        <f>'Ethylene Recycling HC'!T176-'Ethylene Recycling HC'!$C$176</f>
        <v>0.18887556828921298</v>
      </c>
      <c r="V113" s="44">
        <f>'Ethylene Recycling HC'!U176-'Ethylene Recycling HC'!$C$176</f>
        <v>0.20282760493054652</v>
      </c>
      <c r="W113" s="44">
        <f>'Ethylene Recycling HC'!V176-'Ethylene Recycling HC'!$C$176</f>
        <v>0.2164708523424424</v>
      </c>
      <c r="X113" s="44">
        <f>'Ethylene Recycling HC'!W176-'Ethylene Recycling HC'!$C$176</f>
        <v>0.22970052878192632</v>
      </c>
      <c r="Y113" s="44">
        <f>'Ethylene Recycling HC'!X176-'Ethylene Recycling HC'!$C$176</f>
        <v>0.24926738864966053</v>
      </c>
      <c r="Z113" s="44">
        <f>'Ethylene Recycling HC'!Y176-'Ethylene Recycling HC'!$C$176</f>
        <v>0.26829544228781915</v>
      </c>
      <c r="AA113" s="44">
        <f>'Ethylene Recycling HC'!Z176-'Ethylene Recycling HC'!$C$176</f>
        <v>0.28660758727489721</v>
      </c>
      <c r="AB113" s="44">
        <f>'Ethylene Recycling HC'!AA176-'Ethylene Recycling HC'!$C$176</f>
        <v>0.30402066640294895</v>
      </c>
      <c r="AC113" s="44">
        <f>'Ethylene Recycling HC'!AB176-'Ethylene Recycling HC'!$C$176</f>
        <v>0.32034549030556297</v>
      </c>
      <c r="AD113" s="44">
        <f>'Ethylene Recycling HC'!AC176-'Ethylene Recycling HC'!$C$176</f>
        <v>0.33174039216377499</v>
      </c>
      <c r="AE113" s="44">
        <f>'Ethylene Recycling HC'!AD176-'Ethylene Recycling HC'!$C$176</f>
        <v>0.34099963667298244</v>
      </c>
      <c r="AF113" s="44">
        <f>'Ethylene Recycling HC'!AE176-'Ethylene Recycling HC'!$C$176</f>
        <v>0.34786724698621735</v>
      </c>
      <c r="AG113" s="44">
        <f>'Ethylene Recycling HC'!AF176-'Ethylene Recycling HC'!$C$176</f>
        <v>0.3520800655358346</v>
      </c>
      <c r="AH113" s="44">
        <f>'Ethylene Recycling HC'!AG176-'Ethylene Recycling HC'!$C$176</f>
        <v>0.35336780088209818</v>
      </c>
    </row>
    <row r="114" spans="1:36" outlineLevel="1" x14ac:dyDescent="0.2">
      <c r="A114"/>
      <c r="B114" t="s">
        <v>222</v>
      </c>
      <c r="C114" s="54" t="s">
        <v>153</v>
      </c>
      <c r="D114" s="44">
        <f>'Ethylene Recycling HC'!C81-'Ethylene Recycling HC'!$C$81</f>
        <v>0</v>
      </c>
      <c r="E114" s="44">
        <f>'Ethylene Recycling HC'!D81-'Ethylene Recycling HC'!$C$81</f>
        <v>3.9747255516054292E-2</v>
      </c>
      <c r="F114" s="44">
        <f>'Ethylene Recycling HC'!E81-'Ethylene Recycling HC'!$C$81</f>
        <v>7.5285495675088576E-2</v>
      </c>
      <c r="G114" s="44">
        <f>'Ethylene Recycling HC'!F81-'Ethylene Recycling HC'!$C$81</f>
        <v>0.10625632443592448</v>
      </c>
      <c r="H114" s="44">
        <f>'Ethylene Recycling HC'!G81-'Ethylene Recycling HC'!$C$81</f>
        <v>0.13234576554289057</v>
      </c>
      <c r="I114" s="44">
        <f>'Ethylene Recycling HC'!H81-'Ethylene Recycling HC'!$C$81</f>
        <v>0.1532893771974706</v>
      </c>
      <c r="J114" s="44">
        <f>'Ethylene Recycling HC'!I81-'Ethylene Recycling HC'!$C$81</f>
        <v>0.17184146343194473</v>
      </c>
      <c r="K114" s="44">
        <f>'Ethylene Recycling HC'!J81-'Ethylene Recycling HC'!$C$81</f>
        <v>0.18793002690588145</v>
      </c>
      <c r="L114" s="44">
        <f>'Ethylene Recycling HC'!K81-'Ethylene Recycling HC'!$C$81</f>
        <v>0.20149004409281535</v>
      </c>
      <c r="M114" s="44">
        <f>'Ethylene Recycling HC'!L81-'Ethylene Recycling HC'!$C$81</f>
        <v>0.21246385395153</v>
      </c>
      <c r="N114" s="44">
        <f>'Ethylene Recycling HC'!M81-'Ethylene Recycling HC'!$C$81</f>
        <v>0.22080152462987179</v>
      </c>
      <c r="O114" s="44">
        <f>'Ethylene Recycling HC'!N81-'Ethylene Recycling HC'!$C$81</f>
        <v>0.25335945265209459</v>
      </c>
      <c r="P114" s="44">
        <f>'Ethylene Recycling HC'!O81-'Ethylene Recycling HC'!$C$81</f>
        <v>0.28349400977274275</v>
      </c>
      <c r="Q114" s="44">
        <f>'Ethylene Recycling HC'!P81-'Ethylene Recycling HC'!$C$81</f>
        <v>0.29800642744751138</v>
      </c>
      <c r="R114" s="44">
        <f>'Ethylene Recycling HC'!Q81-'Ethylene Recycling HC'!$C$81</f>
        <v>0.30361696031635832</v>
      </c>
      <c r="S114" s="44">
        <f>'Ethylene Recycling HC'!R81-'Ethylene Recycling HC'!$C$81</f>
        <v>0.30044444893166733</v>
      </c>
      <c r="T114" s="44">
        <f>'Ethylene Recycling HC'!S81-'Ethylene Recycling HC'!$C$81</f>
        <v>0.29139335508270703</v>
      </c>
      <c r="U114" s="44">
        <f>'Ethylene Recycling HC'!T81-'Ethylene Recycling HC'!$C$81</f>
        <v>0.27667862090221917</v>
      </c>
      <c r="V114" s="44">
        <f>'Ethylene Recycling HC'!U81-'Ethylene Recycling HC'!$C$81</f>
        <v>0.25652840155455037</v>
      </c>
      <c r="W114" s="44">
        <f>'Ethylene Recycling HC'!V81-'Ethylene Recycling HC'!$C$81</f>
        <v>0.23118401761790808</v>
      </c>
      <c r="X114" s="44">
        <f>'Ethylene Recycling HC'!W81-'Ethylene Recycling HC'!$C$81</f>
        <v>0.20089989091615457</v>
      </c>
      <c r="Y114" s="44">
        <f>'Ethylene Recycling HC'!X81-'Ethylene Recycling HC'!$C$81</f>
        <v>0.16838147417048677</v>
      </c>
      <c r="Z114" s="44">
        <f>'Ethylene Recycling HC'!Y81-'Ethylene Recycling HC'!$C$81</f>
        <v>0.15260751847136644</v>
      </c>
      <c r="AA114" s="44">
        <f>'Ethylene Recycling HC'!Z81-'Ethylene Recycling HC'!$C$81</f>
        <v>0.12924431484040855</v>
      </c>
      <c r="AB114" s="44">
        <f>'Ethylene Recycling HC'!AA81-'Ethylene Recycling HC'!$C$81</f>
        <v>9.8740220476490004E-2</v>
      </c>
      <c r="AC114" s="44">
        <f>'Ethylene Recycling HC'!AB81-'Ethylene Recycling HC'!$C$81</f>
        <v>6.1563760305869852E-2</v>
      </c>
      <c r="AD114" s="44">
        <f>'Ethylene Recycling HC'!AC81-'Ethylene Recycling HC'!$C$81</f>
        <v>1.8215020445710328E-2</v>
      </c>
      <c r="AE114" s="44">
        <f>'Ethylene Recycling HC'!AD81-'Ethylene Recycling HC'!$C$81</f>
        <v>-3.079906248883546E-2</v>
      </c>
      <c r="AF114" s="44">
        <f>'Ethylene Recycling HC'!AE81-'Ethylene Recycling HC'!$C$81</f>
        <v>-8.4952275555430834E-2</v>
      </c>
      <c r="AG114" s="44">
        <f>'Ethylene Recycling HC'!AF81-'Ethylene Recycling HC'!$C$81</f>
        <v>-0.14369932649377271</v>
      </c>
      <c r="AH114" s="44">
        <f>'Ethylene Recycling HC'!AG81-'Ethylene Recycling HC'!$C$81</f>
        <v>-0.20647606257855378</v>
      </c>
      <c r="AJ114" s="208"/>
    </row>
    <row r="115" spans="1:36" s="68" customFormat="1" x14ac:dyDescent="0.2">
      <c r="A115" s="62"/>
      <c r="B115" s="62" t="s">
        <v>219</v>
      </c>
      <c r="C115" s="63" t="s">
        <v>153</v>
      </c>
      <c r="D115" s="64">
        <f>D112-D113-D114</f>
        <v>3.4336211538461541</v>
      </c>
      <c r="E115" s="64">
        <f t="shared" ref="E115:AG115" si="37">E112-E113-E114</f>
        <v>3.3497794221347466</v>
      </c>
      <c r="F115" s="64">
        <f t="shared" si="37"/>
        <v>3.2662742376905931</v>
      </c>
      <c r="G115" s="64">
        <f t="shared" si="37"/>
        <v>3.1833573721149535</v>
      </c>
      <c r="H115" s="64">
        <f t="shared" si="37"/>
        <v>3.1012436293209049</v>
      </c>
      <c r="I115" s="64">
        <f t="shared" si="37"/>
        <v>3.0201060624199192</v>
      </c>
      <c r="J115" s="64">
        <f t="shared" si="37"/>
        <v>2.9397029086421735</v>
      </c>
      <c r="K115" s="64">
        <f t="shared" si="37"/>
        <v>2.8579653098993143</v>
      </c>
      <c r="L115" s="64">
        <f t="shared" si="37"/>
        <v>2.7748907419377411</v>
      </c>
      <c r="M115" s="64">
        <f t="shared" si="37"/>
        <v>2.6904702916190368</v>
      </c>
      <c r="N115" s="64">
        <f t="shared" si="37"/>
        <v>2.6046881479396409</v>
      </c>
      <c r="O115" s="64">
        <f t="shared" si="37"/>
        <v>2.5257263959003859</v>
      </c>
      <c r="P115" s="64">
        <f t="shared" si="37"/>
        <v>2.4466328856899389</v>
      </c>
      <c r="Q115" s="64">
        <f t="shared" si="37"/>
        <v>2.3807051478941252</v>
      </c>
      <c r="R115" s="64">
        <f t="shared" si="37"/>
        <v>2.3213245404981282</v>
      </c>
      <c r="S115" s="64">
        <f t="shared" si="37"/>
        <v>2.268473740063329</v>
      </c>
      <c r="T115" s="64">
        <f t="shared" si="37"/>
        <v>2.2161907915378611</v>
      </c>
      <c r="U115" s="64">
        <f t="shared" si="37"/>
        <v>2.1665013104286039</v>
      </c>
      <c r="V115" s="64">
        <f t="shared" si="37"/>
        <v>2.1191618025730175</v>
      </c>
      <c r="W115" s="64">
        <f t="shared" si="37"/>
        <v>2.0739159290569082</v>
      </c>
      <c r="X115" s="64">
        <f t="shared" si="37"/>
        <v>2.0304944685028117</v>
      </c>
      <c r="Y115" s="64">
        <f t="shared" si="37"/>
        <v>1.9554121929453594</v>
      </c>
      <c r="Z115" s="64">
        <f t="shared" si="37"/>
        <v>1.8593414987629533</v>
      </c>
      <c r="AA115" s="64">
        <f t="shared" si="37"/>
        <v>1.7666311441956497</v>
      </c>
      <c r="AB115" s="64">
        <f t="shared" si="37"/>
        <v>1.6768491790588156</v>
      </c>
      <c r="AC115" s="64">
        <f t="shared" si="37"/>
        <v>1.589544694755044</v>
      </c>
      <c r="AD115" s="64">
        <f t="shared" si="37"/>
        <v>1.5078827470821197</v>
      </c>
      <c r="AE115" s="64">
        <f t="shared" si="37"/>
        <v>1.4283805256443354</v>
      </c>
      <c r="AF115" s="64">
        <f t="shared" si="37"/>
        <v>1.3505809653918979</v>
      </c>
      <c r="AG115" s="64">
        <f t="shared" si="37"/>
        <v>1.2740097436635573</v>
      </c>
      <c r="AH115" s="64">
        <f>AH112-AH113-AH114</f>
        <v>1.1981753095039533</v>
      </c>
      <c r="AI115" s="437"/>
    </row>
    <row r="116" spans="1:36" s="67" customFormat="1" x14ac:dyDescent="0.2">
      <c r="A116" s="687" t="s">
        <v>257</v>
      </c>
      <c r="B116" s="58" t="s">
        <v>258</v>
      </c>
      <c r="C116" s="59" t="s">
        <v>153</v>
      </c>
      <c r="D116" s="60">
        <f>D56-('Ethylene Recycling HC'!C82+'Ethylene Recycling HC'!C177-'Ethylene Recycling HC'!$C$82-'Ethylene Recycling HC'!$C$177)</f>
        <v>0</v>
      </c>
      <c r="E116" s="60">
        <f>E56-('Ethylene Recycling HC'!D82+'Ethylene Recycling HC'!D177-'Ethylene Recycling HC'!$C$82-'Ethylene Recycling HC'!$C$177)</f>
        <v>0</v>
      </c>
      <c r="F116" s="60">
        <f>F56-('Ethylene Recycling HC'!E82+'Ethylene Recycling HC'!E177-'Ethylene Recycling HC'!$C$82-'Ethylene Recycling HC'!$C$177)</f>
        <v>0</v>
      </c>
      <c r="G116" s="60">
        <f>G56-('Ethylene Recycling HC'!F82+'Ethylene Recycling HC'!F177-'Ethylene Recycling HC'!$C$82-'Ethylene Recycling HC'!$C$177)</f>
        <v>0</v>
      </c>
      <c r="H116" s="60">
        <f>H56-('Ethylene Recycling HC'!G82+'Ethylene Recycling HC'!G177-'Ethylene Recycling HC'!$C$82-'Ethylene Recycling HC'!$C$177)</f>
        <v>0</v>
      </c>
      <c r="I116" s="60">
        <f>I56-('Ethylene Recycling HC'!H82+'Ethylene Recycling HC'!H177-'Ethylene Recycling HC'!$C$82-'Ethylene Recycling HC'!$C$177)</f>
        <v>0</v>
      </c>
      <c r="J116" s="60">
        <f>J56-('Ethylene Recycling HC'!I82+'Ethylene Recycling HC'!I177-'Ethylene Recycling HC'!$C$82-'Ethylene Recycling HC'!$C$177)</f>
        <v>0</v>
      </c>
      <c r="K116" s="60">
        <f>K56-('Ethylene Recycling HC'!J82+'Ethylene Recycling HC'!J177-'Ethylene Recycling HC'!$C$82-'Ethylene Recycling HC'!$C$177)</f>
        <v>0</v>
      </c>
      <c r="L116" s="60">
        <f>L56-('Ethylene Recycling HC'!K82+'Ethylene Recycling HC'!K177-'Ethylene Recycling HC'!$C$82-'Ethylene Recycling HC'!$C$177)</f>
        <v>0</v>
      </c>
      <c r="M116" s="60">
        <f>M56-('Ethylene Recycling HC'!L82+'Ethylene Recycling HC'!L177-'Ethylene Recycling HC'!$C$82-'Ethylene Recycling HC'!$C$177)</f>
        <v>0</v>
      </c>
      <c r="N116" s="60">
        <f>N56-('Ethylene Recycling HC'!M82+'Ethylene Recycling HC'!M177-'Ethylene Recycling HC'!$C$82-'Ethylene Recycling HC'!$C$177)</f>
        <v>0</v>
      </c>
      <c r="O116" s="60">
        <f>O56-('Ethylene Recycling HC'!N82+'Ethylene Recycling HC'!N177-'Ethylene Recycling HC'!$C$82-'Ethylene Recycling HC'!$C$177)</f>
        <v>0</v>
      </c>
      <c r="P116" s="60">
        <f>P56-('Ethylene Recycling HC'!O82+'Ethylene Recycling HC'!O177-'Ethylene Recycling HC'!$C$82-'Ethylene Recycling HC'!$C$177)</f>
        <v>0</v>
      </c>
      <c r="Q116" s="60">
        <f>Q56-('Ethylene Recycling HC'!P82+'Ethylene Recycling HC'!P177-'Ethylene Recycling HC'!$C$82-'Ethylene Recycling HC'!$C$177)</f>
        <v>0</v>
      </c>
      <c r="R116" s="60">
        <f>R56-('Ethylene Recycling HC'!Q82+'Ethylene Recycling HC'!Q177-'Ethylene Recycling HC'!$C$82-'Ethylene Recycling HC'!$C$177)</f>
        <v>0</v>
      </c>
      <c r="S116" s="60">
        <f>S56-('Ethylene Recycling HC'!R82+'Ethylene Recycling HC'!R177-'Ethylene Recycling HC'!$C$82-'Ethylene Recycling HC'!$C$177)</f>
        <v>0</v>
      </c>
      <c r="T116" s="60">
        <f>T56-('Ethylene Recycling HC'!S82+'Ethylene Recycling HC'!S177-'Ethylene Recycling HC'!$C$82-'Ethylene Recycling HC'!$C$177)</f>
        <v>0</v>
      </c>
      <c r="U116" s="60">
        <f>U56-('Ethylene Recycling HC'!T82+'Ethylene Recycling HC'!T177-'Ethylene Recycling HC'!$C$82-'Ethylene Recycling HC'!$C$177)</f>
        <v>0</v>
      </c>
      <c r="V116" s="60">
        <f>V56-('Ethylene Recycling HC'!U82+'Ethylene Recycling HC'!U177-'Ethylene Recycling HC'!$C$82-'Ethylene Recycling HC'!$C$177)</f>
        <v>0</v>
      </c>
      <c r="W116" s="60">
        <f>W56-('Ethylene Recycling HC'!V82+'Ethylene Recycling HC'!V177-'Ethylene Recycling HC'!$C$82-'Ethylene Recycling HC'!$C$177)</f>
        <v>0</v>
      </c>
      <c r="X116" s="60">
        <f>X56-('Ethylene Recycling HC'!W82+'Ethylene Recycling HC'!W177-'Ethylene Recycling HC'!$C$82-'Ethylene Recycling HC'!$C$177)</f>
        <v>0</v>
      </c>
      <c r="Y116" s="60">
        <f>Y56-('Ethylene Recycling HC'!X82+'Ethylene Recycling HC'!X177-'Ethylene Recycling HC'!$C$82-'Ethylene Recycling HC'!$C$177)</f>
        <v>0</v>
      </c>
      <c r="Z116" s="60">
        <f>Z56-('Ethylene Recycling HC'!Y82+'Ethylene Recycling HC'!Y177-'Ethylene Recycling HC'!$C$82-'Ethylene Recycling HC'!$C$177)</f>
        <v>0</v>
      </c>
      <c r="AA116" s="60">
        <f>AA56-('Ethylene Recycling HC'!Z82+'Ethylene Recycling HC'!Z177-'Ethylene Recycling HC'!$C$82-'Ethylene Recycling HC'!$C$177)</f>
        <v>0</v>
      </c>
      <c r="AB116" s="60">
        <f>AB56-('Ethylene Recycling HC'!AA82+'Ethylene Recycling HC'!AA177-'Ethylene Recycling HC'!$C$82-'Ethylene Recycling HC'!$C$177)</f>
        <v>0</v>
      </c>
      <c r="AC116" s="60">
        <f>AC56-('Ethylene Recycling HC'!AB82+'Ethylene Recycling HC'!AB177-'Ethylene Recycling HC'!$C$82-'Ethylene Recycling HC'!$C$177)</f>
        <v>0</v>
      </c>
      <c r="AD116" s="60">
        <f>AD56-('Ethylene Recycling HC'!AC82+'Ethylene Recycling HC'!AC177-'Ethylene Recycling HC'!$C$82-'Ethylene Recycling HC'!$C$177)</f>
        <v>0</v>
      </c>
      <c r="AE116" s="60">
        <f>AE56-('Ethylene Recycling HC'!AD82+'Ethylene Recycling HC'!AD177-'Ethylene Recycling HC'!$C$82-'Ethylene Recycling HC'!$C$177)</f>
        <v>0</v>
      </c>
      <c r="AF116" s="60">
        <f>AF56-('Ethylene Recycling HC'!AE82+'Ethylene Recycling HC'!AE177-'Ethylene Recycling HC'!$C$82-'Ethylene Recycling HC'!$C$177)</f>
        <v>0</v>
      </c>
      <c r="AG116" s="60">
        <f>AG56-('Ethylene Recycling HC'!AF82+'Ethylene Recycling HC'!AF177-'Ethylene Recycling HC'!$C$82-'Ethylene Recycling HC'!$C$177)</f>
        <v>0</v>
      </c>
      <c r="AH116" s="60">
        <f>AH56-('Ethylene Recycling HC'!AG82+'Ethylene Recycling HC'!AG177-'Ethylene Recycling HC'!$C$82-'Ethylene Recycling HC'!$C$177)</f>
        <v>0</v>
      </c>
      <c r="AI116" s="437"/>
    </row>
    <row r="117" spans="1:36" x14ac:dyDescent="0.2">
      <c r="A117" s="688"/>
      <c r="B117" s="1" t="s">
        <v>260</v>
      </c>
      <c r="C117" s="54" t="s">
        <v>153</v>
      </c>
      <c r="D117" s="44">
        <f>D57+(D121-D61)</f>
        <v>3.4336211538461541</v>
      </c>
      <c r="E117" s="44">
        <f t="shared" ref="E117:AH117" si="38">E57+(E121-E61)</f>
        <v>3.3509045179025407</v>
      </c>
      <c r="F117" s="44">
        <f t="shared" si="38"/>
        <v>3.2686440274629276</v>
      </c>
      <c r="G117" s="44">
        <f t="shared" si="38"/>
        <v>3.1870907548865399</v>
      </c>
      <c r="H117" s="44">
        <f t="shared" si="38"/>
        <v>3.1064572619736697</v>
      </c>
      <c r="I117" s="44">
        <f t="shared" si="38"/>
        <v>3.0269127564256046</v>
      </c>
      <c r="J117" s="44">
        <f t="shared" si="38"/>
        <v>2.9478390354587845</v>
      </c>
      <c r="K117" s="44">
        <f t="shared" si="38"/>
        <v>2.8674552327875484</v>
      </c>
      <c r="L117" s="44">
        <f t="shared" si="38"/>
        <v>2.7857500171403786</v>
      </c>
      <c r="M117" s="44">
        <f t="shared" si="38"/>
        <v>2.702704982539339</v>
      </c>
      <c r="N117" s="44">
        <f t="shared" si="38"/>
        <v>2.6182941448296515</v>
      </c>
      <c r="O117" s="44">
        <f t="shared" si="38"/>
        <v>2.5412843173332411</v>
      </c>
      <c r="P117" s="44">
        <f t="shared" si="38"/>
        <v>2.4641272772802383</v>
      </c>
      <c r="Q117" s="44">
        <f t="shared" si="38"/>
        <v>2.4000925220360743</v>
      </c>
      <c r="R117" s="44">
        <f t="shared" si="38"/>
        <v>2.3425325521980809</v>
      </c>
      <c r="S117" s="44">
        <f t="shared" si="38"/>
        <v>2.2914007723884224</v>
      </c>
      <c r="T117" s="44">
        <f t="shared" si="38"/>
        <v>2.2411569244844336</v>
      </c>
      <c r="U117" s="44">
        <f t="shared" si="38"/>
        <v>2.1934908008582372</v>
      </c>
      <c r="V117" s="44">
        <f t="shared" si="38"/>
        <v>2.1481449778546193</v>
      </c>
      <c r="W117" s="44">
        <f t="shared" si="38"/>
        <v>2.1048486645637303</v>
      </c>
      <c r="X117" s="44">
        <f t="shared" si="38"/>
        <v>2.0633176667565345</v>
      </c>
      <c r="Y117" s="44">
        <f t="shared" si="38"/>
        <v>1.9910314096673343</v>
      </c>
      <c r="Z117" s="44">
        <f t="shared" si="38"/>
        <v>1.8976797409058084</v>
      </c>
      <c r="AA117" s="44">
        <f t="shared" si="38"/>
        <v>1.8075861115526313</v>
      </c>
      <c r="AB117" s="44">
        <f t="shared" si="38"/>
        <v>1.7202923990613557</v>
      </c>
      <c r="AC117" s="44">
        <f t="shared" si="38"/>
        <v>1.6353206605037696</v>
      </c>
      <c r="AD117" s="44">
        <f t="shared" si="38"/>
        <v>1.5552869943361478</v>
      </c>
      <c r="AE117" s="44">
        <f t="shared" si="38"/>
        <v>1.4771078783340239</v>
      </c>
      <c r="AF117" s="44">
        <f t="shared" si="38"/>
        <v>1.4002896694787119</v>
      </c>
      <c r="AG117" s="44">
        <f t="shared" si="38"/>
        <v>1.3243204410465745</v>
      </c>
      <c r="AH117" s="44">
        <f t="shared" si="38"/>
        <v>1.2486700186208264</v>
      </c>
      <c r="AI117" s="437"/>
    </row>
    <row r="118" spans="1:36" x14ac:dyDescent="0.2">
      <c r="A118" s="688"/>
      <c r="B118" s="1" t="s">
        <v>262</v>
      </c>
      <c r="C118" s="54" t="s">
        <v>153</v>
      </c>
      <c r="D118" s="44">
        <f>D58+(D120-D60)</f>
        <v>0</v>
      </c>
      <c r="E118" s="44">
        <f t="shared" ref="E118:AH118" si="39">E58+(E120-E60)</f>
        <v>0</v>
      </c>
      <c r="F118" s="44">
        <f t="shared" si="39"/>
        <v>0</v>
      </c>
      <c r="G118" s="44">
        <f t="shared" si="39"/>
        <v>0</v>
      </c>
      <c r="H118" s="44">
        <f t="shared" si="39"/>
        <v>0</v>
      </c>
      <c r="I118" s="44">
        <f t="shared" si="39"/>
        <v>0</v>
      </c>
      <c r="J118" s="44">
        <f t="shared" si="39"/>
        <v>0</v>
      </c>
      <c r="K118" s="44">
        <f t="shared" si="39"/>
        <v>0</v>
      </c>
      <c r="L118" s="44">
        <f t="shared" si="39"/>
        <v>0</v>
      </c>
      <c r="M118" s="44">
        <f t="shared" si="39"/>
        <v>0</v>
      </c>
      <c r="N118" s="44">
        <f t="shared" si="39"/>
        <v>0</v>
      </c>
      <c r="O118" s="44">
        <f t="shared" si="39"/>
        <v>0</v>
      </c>
      <c r="P118" s="44">
        <f t="shared" si="39"/>
        <v>0</v>
      </c>
      <c r="Q118" s="44">
        <f t="shared" si="39"/>
        <v>0</v>
      </c>
      <c r="R118" s="44">
        <f t="shared" si="39"/>
        <v>0</v>
      </c>
      <c r="S118" s="44">
        <f t="shared" si="39"/>
        <v>0</v>
      </c>
      <c r="T118" s="44">
        <f t="shared" si="39"/>
        <v>0</v>
      </c>
      <c r="U118" s="44">
        <f t="shared" si="39"/>
        <v>0</v>
      </c>
      <c r="V118" s="44">
        <f t="shared" si="39"/>
        <v>0</v>
      </c>
      <c r="W118" s="44">
        <f t="shared" si="39"/>
        <v>0</v>
      </c>
      <c r="X118" s="44">
        <f t="shared" si="39"/>
        <v>0</v>
      </c>
      <c r="Y118" s="44">
        <f t="shared" si="39"/>
        <v>0</v>
      </c>
      <c r="Z118" s="44">
        <f t="shared" si="39"/>
        <v>0</v>
      </c>
      <c r="AA118" s="44">
        <f t="shared" si="39"/>
        <v>0</v>
      </c>
      <c r="AB118" s="44">
        <f t="shared" si="39"/>
        <v>0</v>
      </c>
      <c r="AC118" s="44">
        <f t="shared" si="39"/>
        <v>0</v>
      </c>
      <c r="AD118" s="44">
        <f t="shared" si="39"/>
        <v>0</v>
      </c>
      <c r="AE118" s="44">
        <f t="shared" si="39"/>
        <v>0</v>
      </c>
      <c r="AF118" s="44">
        <f t="shared" si="39"/>
        <v>0</v>
      </c>
      <c r="AG118" s="44">
        <f t="shared" si="39"/>
        <v>0</v>
      </c>
      <c r="AH118" s="44">
        <f t="shared" si="39"/>
        <v>0</v>
      </c>
      <c r="AI118" s="437"/>
    </row>
    <row r="119" spans="1:36" x14ac:dyDescent="0.2">
      <c r="A119" s="689"/>
      <c r="B119" s="1" t="s">
        <v>248</v>
      </c>
      <c r="C119" s="54" t="s">
        <v>153</v>
      </c>
      <c r="D119" s="44">
        <f>D59-('Ethylene Recycling HC'!C83+'Ethylene Recycling HC'!C178-'Ethylene Recycling HC'!$C$83-'Ethylene Recycling HC'!$C$178+'Ethylene Recycling HC'!C86+'Ethylene Recycling HC'!C181-'Ethylene Recycling HC'!$C$86-'Ethylene Recycling HC'!$C$181)</f>
        <v>0</v>
      </c>
      <c r="E119" s="44">
        <f>E59-('Ethylene Recycling HC'!D83+'Ethylene Recycling HC'!D178-'Ethylene Recycling HC'!$C$83-'Ethylene Recycling HC'!$C$178+'Ethylene Recycling HC'!D86+'Ethylene Recycling HC'!D181-'Ethylene Recycling HC'!$C$86-'Ethylene Recycling HC'!$C$181)</f>
        <v>-1.1664286122821778E-3</v>
      </c>
      <c r="F119" s="44">
        <f>F59-('Ethylene Recycling HC'!E83+'Ethylene Recycling HC'!E178-'Ethylene Recycling HC'!$C$83-'Ethylene Recycling HC'!$C$178+'Ethylene Recycling HC'!E86+'Ethylene Recycling HC'!E181-'Ethylene Recycling HC'!$C$86-'Ethylene Recycling HC'!$C$181)</f>
        <v>-2.4548149054707934E-3</v>
      </c>
      <c r="G119" s="44">
        <f>G59-('Ethylene Recycling HC'!F83+'Ethylene Recycling HC'!F178-'Ethylene Recycling HC'!$C$83-'Ethylene Recycling HC'!$C$178+'Ethylene Recycling HC'!F86+'Ethylene Recycling HC'!F181-'Ethylene Recycling HC'!$C$86-'Ethylene Recycling HC'!$C$181)</f>
        <v>-3.8640047802240224E-3</v>
      </c>
      <c r="H119" s="44">
        <f>H59-('Ethylene Recycling HC'!G83+'Ethylene Recycling HC'!G178-'Ethylene Recycling HC'!$C$83-'Ethylene Recycling HC'!$C$178+'Ethylene Recycling HC'!G86+'Ethylene Recycling HC'!G181-'Ethylene Recycling HC'!$C$86-'Ethylene Recycling HC'!$C$181)</f>
        <v>-5.3912595756148594E-3</v>
      </c>
      <c r="I119" s="44">
        <f>I59-('Ethylene Recycling HC'!H83+'Ethylene Recycling HC'!H178-'Ethylene Recycling HC'!$C$83-'Ethylene Recycling HC'!$C$178+'Ethylene Recycling HC'!H86+'Ethylene Recycling HC'!H181-'Ethylene Recycling HC'!$C$86-'Ethylene Recycling HC'!$C$181)</f>
        <v>-7.0322038641752972E-3</v>
      </c>
      <c r="J119" s="44">
        <f>J59-('Ethylene Recycling HC'!I83+'Ethylene Recycling HC'!I178-'Ethylene Recycling HC'!$C$83-'Ethylene Recycling HC'!$C$178+'Ethylene Recycling HC'!I86+'Ethylene Recycling HC'!I181-'Ethylene Recycling HC'!$C$86-'Ethylene Recycling HC'!$C$181)</f>
        <v>-8.4104337604007096E-3</v>
      </c>
      <c r="K119" s="44">
        <f>K59-('Ethylene Recycling HC'!J83+'Ethylene Recycling HC'!J178-'Ethylene Recycling HC'!$C$83-'Ethylene Recycling HC'!$C$178+'Ethylene Recycling HC'!J86+'Ethylene Recycling HC'!J181-'Ethylene Recycling HC'!$C$86-'Ethylene Recycling HC'!$C$181)</f>
        <v>-9.8136861707371348E-3</v>
      </c>
      <c r="L119" s="44">
        <f>L59-('Ethylene Recycling HC'!K83+'Ethylene Recycling HC'!K178-'Ethylene Recycling HC'!$C$83-'Ethylene Recycling HC'!$C$178+'Ethylene Recycling HC'!K86+'Ethylene Recycling HC'!K181-'Ethylene Recycling HC'!$C$86-'Ethylene Recycling HC'!$C$181)</f>
        <v>-1.1232891472984917E-2</v>
      </c>
      <c r="M119" s="44">
        <f>M59-('Ethylene Recycling HC'!L83+'Ethylene Recycling HC'!L178-'Ethylene Recycling HC'!$C$83-'Ethylene Recycling HC'!$C$178+'Ethylene Recycling HC'!L86+'Ethylene Recycling HC'!L181-'Ethylene Recycling HC'!$C$86-'Ethylene Recycling HC'!$C$181)</f>
        <v>-1.2658287788930377E-2</v>
      </c>
      <c r="N119" s="44">
        <f>N59-('Ethylene Recycling HC'!M83+'Ethylene Recycling HC'!M178-'Ethylene Recycling HC'!$C$83-'Ethylene Recycling HC'!$C$178+'Ethylene Recycling HC'!M86+'Ethylene Recycling HC'!M181-'Ethylene Recycling HC'!$C$86-'Ethylene Recycling HC'!$C$181)</f>
        <v>-1.4079427838005615E-2</v>
      </c>
      <c r="O119" s="44">
        <f>O59-('Ethylene Recycling HC'!N83+'Ethylene Recycling HC'!N178-'Ethylene Recycling HC'!$C$83-'Ethylene Recycling HC'!$C$178+'Ethylene Recycling HC'!N86+'Ethylene Recycling HC'!N181-'Ethylene Recycling HC'!$C$86-'Ethylene Recycling HC'!$C$181)</f>
        <v>-1.6090584144599213E-2</v>
      </c>
      <c r="P119" s="44">
        <f>P59-('Ethylene Recycling HC'!O83+'Ethylene Recycling HC'!O178-'Ethylene Recycling HC'!$C$83-'Ethylene Recycling HC'!$C$178+'Ethylene Recycling HC'!O86+'Ethylene Recycling HC'!O181-'Ethylene Recycling HC'!$C$86-'Ethylene Recycling HC'!$C$181)</f>
        <v>-1.8087482291689428E-2</v>
      </c>
      <c r="Q119" s="44">
        <f>Q59-('Ethylene Recycling HC'!P83+'Ethylene Recycling HC'!P178-'Ethylene Recycling HC'!$C$83-'Ethylene Recycling HC'!$C$178+'Ethylene Recycling HC'!P86+'Ethylene Recycling HC'!P181-'Ethylene Recycling HC'!$C$86-'Ethylene Recycling HC'!$C$181)</f>
        <v>-2.0036151844928844E-2</v>
      </c>
      <c r="R119" s="44">
        <f>R59-('Ethylene Recycling HC'!Q83+'Ethylene Recycling HC'!Q178-'Ethylene Recycling HC'!$C$83-'Ethylene Recycling HC'!$C$178+'Ethylene Recycling HC'!Q86+'Ethylene Recycling HC'!Q181-'Ethylene Recycling HC'!$C$86-'Ethylene Recycling HC'!$C$181)</f>
        <v>-2.1909302829769058E-2</v>
      </c>
      <c r="S119" s="44">
        <f>S59-('Ethylene Recycling HC'!R83+'Ethylene Recycling HC'!R178-'Ethylene Recycling HC'!$C$83-'Ethylene Recycling HC'!$C$178+'Ethylene Recycling HC'!R86+'Ethylene Recycling HC'!R181-'Ethylene Recycling HC'!$C$86-'Ethylene Recycling HC'!$C$181)</f>
        <v>-2.3676835965300368E-2</v>
      </c>
      <c r="T119" s="44">
        <f>T59-('Ethylene Recycling HC'!S83+'Ethylene Recycling HC'!S178-'Ethylene Recycling HC'!$C$83-'Ethylene Recycling HC'!$C$178+'Ethylene Recycling HC'!S86+'Ethylene Recycling HC'!S181-'Ethylene Recycling HC'!$C$86-'Ethylene Recycling HC'!$C$181)</f>
        <v>-2.5761116156104973E-2</v>
      </c>
      <c r="U119" s="44">
        <f>U59-('Ethylene Recycling HC'!T83+'Ethylene Recycling HC'!T178-'Ethylene Recycling HC'!$C$83-'Ethylene Recycling HC'!$C$178+'Ethylene Recycling HC'!T86+'Ethylene Recycling HC'!T181-'Ethylene Recycling HC'!$C$86-'Ethylene Recycling HC'!$C$181)</f>
        <v>-2.7825856131980239E-2</v>
      </c>
      <c r="V119" s="44">
        <f>V59-('Ethylene Recycling HC'!U83+'Ethylene Recycling HC'!U178-'Ethylene Recycling HC'!$C$83-'Ethylene Recycling HC'!$C$178+'Ethylene Recycling HC'!U86+'Ethylene Recycling HC'!U181-'Ethylene Recycling HC'!$C$86-'Ethylene Recycling HC'!$C$181)</f>
        <v>-2.9856698700674974E-2</v>
      </c>
      <c r="W119" s="44">
        <f>W59-('Ethylene Recycling HC'!V83+'Ethylene Recycling HC'!V178-'Ethylene Recycling HC'!$C$83-'Ethylene Recycling HC'!$C$178+'Ethylene Recycling HC'!V86+'Ethylene Recycling HC'!V181-'Ethylene Recycling HC'!$C$86-'Ethylene Recycling HC'!$C$181)</f>
        <v>-3.1838802765877201E-2</v>
      </c>
      <c r="X119" s="44">
        <f>X59-('Ethylene Recycling HC'!W83+'Ethylene Recycling HC'!W178-'Ethylene Recycling HC'!$C$83-'Ethylene Recycling HC'!$C$178+'Ethylene Recycling HC'!W86+'Ethylene Recycling HC'!W181-'Ethylene Recycling HC'!$C$86-'Ethylene Recycling HC'!$C$181)</f>
        <v>-3.3756847116867966E-2</v>
      </c>
      <c r="Y119" s="44">
        <f>Y59-('Ethylene Recycling HC'!X83+'Ethylene Recycling HC'!X178-'Ethylene Recycling HC'!$C$83-'Ethylene Recycling HC'!$C$178+'Ethylene Recycling HC'!X86+'Ethylene Recycling HC'!X181-'Ethylene Recycling HC'!$C$86-'Ethylene Recycling HC'!$C$181)</f>
        <v>-3.6576879022282495E-2</v>
      </c>
      <c r="Z119" s="44">
        <f>Z59-('Ethylene Recycling HC'!Y83+'Ethylene Recycling HC'!Y178-'Ethylene Recycling HC'!$C$83-'Ethylene Recycling HC'!$C$178+'Ethylene Recycling HC'!Y86+'Ethylene Recycling HC'!Y181-'Ethylene Recycling HC'!$C$86-'Ethylene Recycling HC'!$C$181)</f>
        <v>-3.9329987552855633E-2</v>
      </c>
      <c r="AA119" s="44">
        <f>AA59-('Ethylene Recycling HC'!Z83+'Ethylene Recycling HC'!Z178-'Ethylene Recycling HC'!$C$83-'Ethylene Recycling HC'!$C$178+'Ethylene Recycling HC'!Z86+'Ethylene Recycling HC'!Z181-'Ethylene Recycling HC'!$C$86-'Ethylene Recycling HC'!$C$181)</f>
        <v>-4.1973954191667315E-2</v>
      </c>
      <c r="AB119" s="44">
        <f>AB59-('Ethylene Recycling HC'!AA83+'Ethylene Recycling HC'!AA178-'Ethylene Recycling HC'!$C$83-'Ethylene Recycling HC'!$C$178+'Ethylene Recycling HC'!AA86+'Ethylene Recycling HC'!AA181-'Ethylene Recycling HC'!$C$86-'Ethylene Recycling HC'!$C$181)</f>
        <v>-4.4482207988659157E-2</v>
      </c>
      <c r="AC119" s="44">
        <f>AC59-('Ethylene Recycling HC'!AB83+'Ethylene Recycling HC'!AB178-'Ethylene Recycling HC'!$C$83-'Ethylene Recycling HC'!$C$178+'Ethylene Recycling HC'!AB86+'Ethylene Recycling HC'!AB181-'Ethylene Recycling HC'!$C$86-'Ethylene Recycling HC'!$C$181)</f>
        <v>-4.6827392296294963E-2</v>
      </c>
      <c r="AD119" s="44">
        <f>AD59-('Ethylene Recycling HC'!AC83+'Ethylene Recycling HC'!AC178-'Ethylene Recycling HC'!$C$83-'Ethylene Recycling HC'!$C$178+'Ethylene Recycling HC'!AC86+'Ethylene Recycling HC'!AC181-'Ethylene Recycling HC'!$C$86-'Ethylene Recycling HC'!$C$181)</f>
        <v>-4.8460316908880023E-2</v>
      </c>
      <c r="AE119" s="44">
        <f>AE59-('Ethylene Recycling HC'!AD83+'Ethylene Recycling HC'!AD178-'Ethylene Recycling HC'!$C$83-'Ethylene Recycling HC'!$C$178+'Ethylene Recycling HC'!AD86+'Ethylene Recycling HC'!AD181-'Ethylene Recycling HC'!$C$86-'Ethylene Recycling HC'!$C$181)</f>
        <v>-4.978010967662392E-2</v>
      </c>
      <c r="AF119" s="44">
        <f>AF59-('Ethylene Recycling HC'!AE83+'Ethylene Recycling HC'!AE178-'Ethylene Recycling HC'!$C$83-'Ethylene Recycling HC'!$C$178+'Ethylene Recycling HC'!AE86+'Ethylene Recycling HC'!AE181-'Ethylene Recycling HC'!$C$86-'Ethylene Recycling HC'!$C$181)</f>
        <v>-5.0750117539403262E-2</v>
      </c>
      <c r="AG119" s="44">
        <f>AG59-('Ethylene Recycling HC'!AF83+'Ethylene Recycling HC'!AF178-'Ethylene Recycling HC'!$C$83-'Ethylene Recycling HC'!$C$178+'Ethylene Recycling HC'!AF86+'Ethylene Recycling HC'!AF181-'Ethylene Recycling HC'!$C$86-'Ethylene Recycling HC'!$C$181)</f>
        <v>-5.1332749583213627E-2</v>
      </c>
      <c r="AH119" s="44">
        <f>AH59-('Ethylene Recycling HC'!AG83+'Ethylene Recycling HC'!AG178-'Ethylene Recycling HC'!$C$83-'Ethylene Recycling HC'!$C$178+'Ethylene Recycling HC'!AG86+'Ethylene Recycling HC'!AG181-'Ethylene Recycling HC'!$C$86-'Ethylene Recycling HC'!$C$181)</f>
        <v>-5.1489486683447716E-2</v>
      </c>
      <c r="AI119" s="437"/>
    </row>
    <row r="120" spans="1:36" s="67" customFormat="1" x14ac:dyDescent="0.2">
      <c r="A120" s="690" t="s">
        <v>263</v>
      </c>
      <c r="B120" s="58" t="s">
        <v>264</v>
      </c>
      <c r="C120" s="59" t="s">
        <v>153</v>
      </c>
      <c r="D120" s="60">
        <f>D60-('Ethylene Recycling HC'!C179+'Ethylene Recycling HC'!C84-'Ethylene Recycling HC'!$C$179-'Ethylene Recycling HC'!$C$84)</f>
        <v>0</v>
      </c>
      <c r="E120" s="60">
        <f>E60-('Ethylene Recycling HC'!D179+'Ethylene Recycling HC'!D84-'Ethylene Recycling HC'!$C$179-'Ethylene Recycling HC'!$C$84)</f>
        <v>0</v>
      </c>
      <c r="F120" s="60">
        <f>F60-('Ethylene Recycling HC'!E179+'Ethylene Recycling HC'!E84-'Ethylene Recycling HC'!$C$179-'Ethylene Recycling HC'!$C$84)</f>
        <v>0</v>
      </c>
      <c r="G120" s="60">
        <f>G60-('Ethylene Recycling HC'!F179+'Ethylene Recycling HC'!F84-'Ethylene Recycling HC'!$C$179-'Ethylene Recycling HC'!$C$84)</f>
        <v>0</v>
      </c>
      <c r="H120" s="60">
        <f>H60-('Ethylene Recycling HC'!G179+'Ethylene Recycling HC'!G84-'Ethylene Recycling HC'!$C$179-'Ethylene Recycling HC'!$C$84)</f>
        <v>0</v>
      </c>
      <c r="I120" s="60">
        <f>I60-('Ethylene Recycling HC'!H179+'Ethylene Recycling HC'!H84-'Ethylene Recycling HC'!$C$179-'Ethylene Recycling HC'!$C$84)</f>
        <v>0</v>
      </c>
      <c r="J120" s="60">
        <f>J60-('Ethylene Recycling HC'!I179+'Ethylene Recycling HC'!I84-'Ethylene Recycling HC'!$C$179-'Ethylene Recycling HC'!$C$84)</f>
        <v>0</v>
      </c>
      <c r="K120" s="60">
        <f>K60-('Ethylene Recycling HC'!J179+'Ethylene Recycling HC'!J84-'Ethylene Recycling HC'!$C$179-'Ethylene Recycling HC'!$C$84)</f>
        <v>0</v>
      </c>
      <c r="L120" s="60">
        <f>L60-('Ethylene Recycling HC'!K179+'Ethylene Recycling HC'!K84-'Ethylene Recycling HC'!$C$179-'Ethylene Recycling HC'!$C$84)</f>
        <v>0</v>
      </c>
      <c r="M120" s="60">
        <f>M60-('Ethylene Recycling HC'!L179+'Ethylene Recycling HC'!L84-'Ethylene Recycling HC'!$C$179-'Ethylene Recycling HC'!$C$84)</f>
        <v>0</v>
      </c>
      <c r="N120" s="60">
        <f>N60-('Ethylene Recycling HC'!M179+'Ethylene Recycling HC'!M84-'Ethylene Recycling HC'!$C$179-'Ethylene Recycling HC'!$C$84)</f>
        <v>0</v>
      </c>
      <c r="O120" s="60">
        <f>O60-('Ethylene Recycling HC'!N179+'Ethylene Recycling HC'!N84-'Ethylene Recycling HC'!$C$179-'Ethylene Recycling HC'!$C$84)</f>
        <v>0</v>
      </c>
      <c r="P120" s="60">
        <f>P60-('Ethylene Recycling HC'!O179+'Ethylene Recycling HC'!O84-'Ethylene Recycling HC'!$C$179-'Ethylene Recycling HC'!$C$84)</f>
        <v>0</v>
      </c>
      <c r="Q120" s="60">
        <f>Q60-('Ethylene Recycling HC'!P179+'Ethylene Recycling HC'!P84-'Ethylene Recycling HC'!$C$179-'Ethylene Recycling HC'!$C$84)</f>
        <v>0</v>
      </c>
      <c r="R120" s="60">
        <f>R60-('Ethylene Recycling HC'!Q179+'Ethylene Recycling HC'!Q84-'Ethylene Recycling HC'!$C$179-'Ethylene Recycling HC'!$C$84)</f>
        <v>0</v>
      </c>
      <c r="S120" s="60">
        <f>S60-('Ethylene Recycling HC'!R179+'Ethylene Recycling HC'!R84-'Ethylene Recycling HC'!$C$179-'Ethylene Recycling HC'!$C$84)</f>
        <v>0</v>
      </c>
      <c r="T120" s="60">
        <f>T60-('Ethylene Recycling HC'!S179+'Ethylene Recycling HC'!S84-'Ethylene Recycling HC'!$C$179-'Ethylene Recycling HC'!$C$84)</f>
        <v>0</v>
      </c>
      <c r="U120" s="60">
        <f>U60-('Ethylene Recycling HC'!T179+'Ethylene Recycling HC'!T84-'Ethylene Recycling HC'!$C$179-'Ethylene Recycling HC'!$C$84)</f>
        <v>0</v>
      </c>
      <c r="V120" s="60">
        <f>V60-('Ethylene Recycling HC'!U179+'Ethylene Recycling HC'!U84-'Ethylene Recycling HC'!$C$179-'Ethylene Recycling HC'!$C$84)</f>
        <v>0</v>
      </c>
      <c r="W120" s="60">
        <f>W60-('Ethylene Recycling HC'!V179+'Ethylene Recycling HC'!V84-'Ethylene Recycling HC'!$C$179-'Ethylene Recycling HC'!$C$84)</f>
        <v>0</v>
      </c>
      <c r="X120" s="60">
        <f>X60-('Ethylene Recycling HC'!W179+'Ethylene Recycling HC'!W84-'Ethylene Recycling HC'!$C$179-'Ethylene Recycling HC'!$C$84)</f>
        <v>0</v>
      </c>
      <c r="Y120" s="60">
        <f>Y60-('Ethylene Recycling HC'!X179+'Ethylene Recycling HC'!X84-'Ethylene Recycling HC'!$C$179-'Ethylene Recycling HC'!$C$84)</f>
        <v>0</v>
      </c>
      <c r="Z120" s="60">
        <f>Z60-('Ethylene Recycling HC'!Y179+'Ethylene Recycling HC'!Y84-'Ethylene Recycling HC'!$C$179-'Ethylene Recycling HC'!$C$84)</f>
        <v>0</v>
      </c>
      <c r="AA120" s="60">
        <f>AA60-('Ethylene Recycling HC'!Z179+'Ethylene Recycling HC'!Z84-'Ethylene Recycling HC'!$C$179-'Ethylene Recycling HC'!$C$84)</f>
        <v>0</v>
      </c>
      <c r="AB120" s="60">
        <f>AB60-('Ethylene Recycling HC'!AA179+'Ethylene Recycling HC'!AA84-'Ethylene Recycling HC'!$C$179-'Ethylene Recycling HC'!$C$84)</f>
        <v>0</v>
      </c>
      <c r="AC120" s="60">
        <f>AC60-('Ethylene Recycling HC'!AB179+'Ethylene Recycling HC'!AB84-'Ethylene Recycling HC'!$C$179-'Ethylene Recycling HC'!$C$84)</f>
        <v>0</v>
      </c>
      <c r="AD120" s="60">
        <f>AD60-('Ethylene Recycling HC'!AC179+'Ethylene Recycling HC'!AC84-'Ethylene Recycling HC'!$C$179-'Ethylene Recycling HC'!$C$84)</f>
        <v>0</v>
      </c>
      <c r="AE120" s="60">
        <f>AE60-('Ethylene Recycling HC'!AD179+'Ethylene Recycling HC'!AD84-'Ethylene Recycling HC'!$C$179-'Ethylene Recycling HC'!$C$84)</f>
        <v>0</v>
      </c>
      <c r="AF120" s="60">
        <f>AF60-('Ethylene Recycling HC'!AE179+'Ethylene Recycling HC'!AE84-'Ethylene Recycling HC'!$C$179-'Ethylene Recycling HC'!$C$84)</f>
        <v>0</v>
      </c>
      <c r="AG120" s="60">
        <f>AG60-('Ethylene Recycling HC'!AF179+'Ethylene Recycling HC'!AF84-'Ethylene Recycling HC'!$C$179-'Ethylene Recycling HC'!$C$84)</f>
        <v>0</v>
      </c>
      <c r="AH120" s="60">
        <f>AH60-('Ethylene Recycling HC'!AG179+'Ethylene Recycling HC'!AG84-'Ethylene Recycling HC'!$C$179-'Ethylene Recycling HC'!$C$84)</f>
        <v>0</v>
      </c>
      <c r="AI120" s="60"/>
    </row>
    <row r="121" spans="1:36" s="68" customFormat="1" x14ac:dyDescent="0.2">
      <c r="A121" s="691"/>
      <c r="B121" s="62" t="s">
        <v>266</v>
      </c>
      <c r="C121" s="283" t="s">
        <v>153</v>
      </c>
      <c r="D121" s="284">
        <f>D61-('Ethylene Recycling HC'!C85+'Ethylene Recycling HC'!C180-'Ethylene Recycling HC'!$C$85-'Ethylene Recycling HC'!$C$180)</f>
        <v>3.4336211538461541</v>
      </c>
      <c r="E121" s="284">
        <f>E61-('Ethylene Recycling HC'!D85+'Ethylene Recycling HC'!D180-'Ethylene Recycling HC'!$C$85-'Ethylene Recycling HC'!$C$180)</f>
        <v>3.3509045179025407</v>
      </c>
      <c r="F121" s="284">
        <f>F61-('Ethylene Recycling HC'!E85+'Ethylene Recycling HC'!E180-'Ethylene Recycling HC'!$C$85-'Ethylene Recycling HC'!$C$180)</f>
        <v>3.2686440274629276</v>
      </c>
      <c r="G121" s="284">
        <f>G61-('Ethylene Recycling HC'!F85+'Ethylene Recycling HC'!F180-'Ethylene Recycling HC'!$C$85-'Ethylene Recycling HC'!$C$180)</f>
        <v>3.1870907548865399</v>
      </c>
      <c r="H121" s="284">
        <f>H61-('Ethylene Recycling HC'!G85+'Ethylene Recycling HC'!G180-'Ethylene Recycling HC'!$C$85-'Ethylene Recycling HC'!$C$180)</f>
        <v>3.1064572619736697</v>
      </c>
      <c r="I121" s="284">
        <f>I61-('Ethylene Recycling HC'!H85+'Ethylene Recycling HC'!H180-'Ethylene Recycling HC'!$C$85-'Ethylene Recycling HC'!$C$180)</f>
        <v>3.0269127564256046</v>
      </c>
      <c r="J121" s="284">
        <f>J61-('Ethylene Recycling HC'!I85+'Ethylene Recycling HC'!I180-'Ethylene Recycling HC'!$C$85-'Ethylene Recycling HC'!$C$180)</f>
        <v>2.9478390354587845</v>
      </c>
      <c r="K121" s="284">
        <f>K61-('Ethylene Recycling HC'!J85+'Ethylene Recycling HC'!J180-'Ethylene Recycling HC'!$C$85-'Ethylene Recycling HC'!$C$180)</f>
        <v>2.8674552327875484</v>
      </c>
      <c r="L121" s="284">
        <f>L61-('Ethylene Recycling HC'!K85+'Ethylene Recycling HC'!K180-'Ethylene Recycling HC'!$C$85-'Ethylene Recycling HC'!$C$180)</f>
        <v>2.7857500171403786</v>
      </c>
      <c r="M121" s="284">
        <f>M61-('Ethylene Recycling HC'!L85+'Ethylene Recycling HC'!L180-'Ethylene Recycling HC'!$C$85-'Ethylene Recycling HC'!$C$180)</f>
        <v>2.702704982539339</v>
      </c>
      <c r="N121" s="284">
        <f>N61-('Ethylene Recycling HC'!M85+'Ethylene Recycling HC'!M180-'Ethylene Recycling HC'!$C$85-'Ethylene Recycling HC'!$C$180)</f>
        <v>2.6182941448296515</v>
      </c>
      <c r="O121" s="284">
        <f>O61-('Ethylene Recycling HC'!N85+'Ethylene Recycling HC'!N180-'Ethylene Recycling HC'!$C$85-'Ethylene Recycling HC'!$C$180)</f>
        <v>2.5412843173332411</v>
      </c>
      <c r="P121" s="284">
        <f>P61-('Ethylene Recycling HC'!O85+'Ethylene Recycling HC'!O180-'Ethylene Recycling HC'!$C$85-'Ethylene Recycling HC'!$C$180)</f>
        <v>2.4641272772802383</v>
      </c>
      <c r="Q121" s="284">
        <f>Q61-('Ethylene Recycling HC'!P85+'Ethylene Recycling HC'!P180-'Ethylene Recycling HC'!$C$85-'Ethylene Recycling HC'!$C$180)</f>
        <v>2.4000925220360743</v>
      </c>
      <c r="R121" s="284">
        <f>R61-('Ethylene Recycling HC'!Q85+'Ethylene Recycling HC'!Q180-'Ethylene Recycling HC'!$C$85-'Ethylene Recycling HC'!$C$180)</f>
        <v>2.3425325521980809</v>
      </c>
      <c r="S121" s="284">
        <f>S61-('Ethylene Recycling HC'!R85+'Ethylene Recycling HC'!R180-'Ethylene Recycling HC'!$C$85-'Ethylene Recycling HC'!$C$180)</f>
        <v>2.2914007723884224</v>
      </c>
      <c r="T121" s="284">
        <f>T61-('Ethylene Recycling HC'!S85+'Ethylene Recycling HC'!S180-'Ethylene Recycling HC'!$C$85-'Ethylene Recycling HC'!$C$180)</f>
        <v>2.2411569244844336</v>
      </c>
      <c r="U121" s="284">
        <f>U61-('Ethylene Recycling HC'!T85+'Ethylene Recycling HC'!T180-'Ethylene Recycling HC'!$C$85-'Ethylene Recycling HC'!$C$180)</f>
        <v>2.1934908008582372</v>
      </c>
      <c r="V121" s="284">
        <f>V61-('Ethylene Recycling HC'!U85+'Ethylene Recycling HC'!U180-'Ethylene Recycling HC'!$C$85-'Ethylene Recycling HC'!$C$180)</f>
        <v>2.1481449778546193</v>
      </c>
      <c r="W121" s="284">
        <f>W61-('Ethylene Recycling HC'!V85+'Ethylene Recycling HC'!V180-'Ethylene Recycling HC'!$C$85-'Ethylene Recycling HC'!$C$180)</f>
        <v>2.1048486645637303</v>
      </c>
      <c r="X121" s="284">
        <f>X61-('Ethylene Recycling HC'!W85+'Ethylene Recycling HC'!W180-'Ethylene Recycling HC'!$C$85-'Ethylene Recycling HC'!$C$180)</f>
        <v>2.0633176667565345</v>
      </c>
      <c r="Y121" s="284">
        <f>Y61-('Ethylene Recycling HC'!X85+'Ethylene Recycling HC'!X180-'Ethylene Recycling HC'!$C$85-'Ethylene Recycling HC'!$C$180)</f>
        <v>1.9910314096673343</v>
      </c>
      <c r="Z121" s="284">
        <f>Z61-('Ethylene Recycling HC'!Y85+'Ethylene Recycling HC'!Y180-'Ethylene Recycling HC'!$C$85-'Ethylene Recycling HC'!$C$180)</f>
        <v>1.8976797409058084</v>
      </c>
      <c r="AA121" s="284">
        <f>AA61-('Ethylene Recycling HC'!Z85+'Ethylene Recycling HC'!Z180-'Ethylene Recycling HC'!$C$85-'Ethylene Recycling HC'!$C$180)</f>
        <v>1.8075861115526313</v>
      </c>
      <c r="AB121" s="284">
        <f>AB61-('Ethylene Recycling HC'!AA85+'Ethylene Recycling HC'!AA180-'Ethylene Recycling HC'!$C$85-'Ethylene Recycling HC'!$C$180)</f>
        <v>1.7202923990613557</v>
      </c>
      <c r="AC121" s="284">
        <f>AC61-('Ethylene Recycling HC'!AB85+'Ethylene Recycling HC'!AB180-'Ethylene Recycling HC'!$C$85-'Ethylene Recycling HC'!$C$180)</f>
        <v>1.6353206605037696</v>
      </c>
      <c r="AD121" s="284">
        <f>AD61-('Ethylene Recycling HC'!AC85+'Ethylene Recycling HC'!AC180-'Ethylene Recycling HC'!$C$85-'Ethylene Recycling HC'!$C$180)</f>
        <v>1.5552869943361478</v>
      </c>
      <c r="AE121" s="284">
        <f>AE61-('Ethylene Recycling HC'!AD85+'Ethylene Recycling HC'!AD180-'Ethylene Recycling HC'!$C$85-'Ethylene Recycling HC'!$C$180)</f>
        <v>1.4771078783340239</v>
      </c>
      <c r="AF121" s="284">
        <f>AF61-('Ethylene Recycling HC'!AE85+'Ethylene Recycling HC'!AE180-'Ethylene Recycling HC'!$C$85-'Ethylene Recycling HC'!$C$180)</f>
        <v>1.4002896694787119</v>
      </c>
      <c r="AG121" s="284">
        <f>AG61-('Ethylene Recycling HC'!AF85+'Ethylene Recycling HC'!AF180-'Ethylene Recycling HC'!$C$85-'Ethylene Recycling HC'!$C$180)</f>
        <v>1.3243204410465745</v>
      </c>
      <c r="AH121" s="284">
        <f>AH61-('Ethylene Recycling HC'!AG85+'Ethylene Recycling HC'!AG180-'Ethylene Recycling HC'!$C$85-'Ethylene Recycling HC'!$C$180)</f>
        <v>1.2486700186208264</v>
      </c>
      <c r="AI121" s="284"/>
    </row>
    <row r="122" spans="1:36" s="67" customFormat="1" x14ac:dyDescent="0.2">
      <c r="A122" s="58" t="s">
        <v>223</v>
      </c>
      <c r="B122" s="58" t="s">
        <v>197</v>
      </c>
      <c r="C122" s="100" t="s">
        <v>153</v>
      </c>
      <c r="D122" s="101">
        <f t="shared" ref="D122:AH122" si="40">D43</f>
        <v>34.871127768537121</v>
      </c>
      <c r="E122" s="101">
        <f t="shared" si="40"/>
        <v>34.593539727292089</v>
      </c>
      <c r="F122" s="101">
        <f t="shared" si="40"/>
        <v>34.296435936719625</v>
      </c>
      <c r="G122" s="101">
        <f t="shared" si="40"/>
        <v>33.979233084286506</v>
      </c>
      <c r="H122" s="101">
        <f t="shared" si="40"/>
        <v>33.641333664884947</v>
      </c>
      <c r="I122" s="101">
        <f t="shared" si="40"/>
        <v>33.282125666862385</v>
      </c>
      <c r="J122" s="101">
        <f t="shared" si="40"/>
        <v>32.900982251477899</v>
      </c>
      <c r="K122" s="101">
        <f t="shared" si="40"/>
        <v>32.497261425652624</v>
      </c>
      <c r="L122" s="101">
        <f t="shared" si="40"/>
        <v>32.070305707878603</v>
      </c>
      <c r="M122" s="101">
        <f t="shared" si="40"/>
        <v>31.619441787148251</v>
      </c>
      <c r="N122" s="101">
        <f t="shared" si="40"/>
        <v>31.143980174763492</v>
      </c>
      <c r="O122" s="101">
        <f t="shared" si="40"/>
        <v>30.643214848881165</v>
      </c>
      <c r="P122" s="101">
        <f t="shared" si="40"/>
        <v>30.116422891648337</v>
      </c>
      <c r="Q122" s="101">
        <f t="shared" si="40"/>
        <v>29.562864118778265</v>
      </c>
      <c r="R122" s="101">
        <f t="shared" si="40"/>
        <v>28.981780701414927</v>
      </c>
      <c r="S122" s="101">
        <f t="shared" si="40"/>
        <v>28.372396780130906</v>
      </c>
      <c r="T122" s="101">
        <f t="shared" si="40"/>
        <v>27.733918070900518</v>
      </c>
      <c r="U122" s="101">
        <f t="shared" si="40"/>
        <v>27.065531462886838</v>
      </c>
      <c r="V122" s="101">
        <f t="shared" si="40"/>
        <v>26.366404607878199</v>
      </c>
      <c r="W122" s="101">
        <f t="shared" si="40"/>
        <v>25.635685501206499</v>
      </c>
      <c r="X122" s="101">
        <f t="shared" si="40"/>
        <v>24.872502053976284</v>
      </c>
      <c r="Y122" s="101">
        <f t="shared" si="40"/>
        <v>24.039010961507259</v>
      </c>
      <c r="Z122" s="101">
        <f t="shared" si="40"/>
        <v>23.169993018800685</v>
      </c>
      <c r="AA122" s="101">
        <f t="shared" si="40"/>
        <v>22.264481191874214</v>
      </c>
      <c r="AB122" s="101">
        <f t="shared" si="40"/>
        <v>21.32148583484981</v>
      </c>
      <c r="AC122" s="101">
        <f t="shared" si="40"/>
        <v>20.339994200622122</v>
      </c>
      <c r="AD122" s="101">
        <f t="shared" si="40"/>
        <v>19.31896994142442</v>
      </c>
      <c r="AE122" s="101">
        <f t="shared" si="40"/>
        <v>18.257352599090027</v>
      </c>
      <c r="AF122" s="101">
        <f t="shared" si="40"/>
        <v>17.154057084803185</v>
      </c>
      <c r="AG122" s="101">
        <f t="shared" si="40"/>
        <v>16.007973148129455</v>
      </c>
      <c r="AH122" s="101">
        <f t="shared" si="40"/>
        <v>14.81796483511131</v>
      </c>
    </row>
    <row r="123" spans="1:36" outlineLevel="1" x14ac:dyDescent="0.2">
      <c r="A123"/>
      <c r="B123" t="s">
        <v>217</v>
      </c>
      <c r="C123" s="54" t="s">
        <v>153</v>
      </c>
      <c r="D123" s="44">
        <f>0</f>
        <v>0</v>
      </c>
      <c r="E123" s="44">
        <f>'Ethylene Recycling HC'!D199*'Ethylene Recycling HC'!D47-'Ethylene Recycling HC'!$C$199*'Ethylene Recycling HC'!$C$47</f>
        <v>5.5962113440523528E-2</v>
      </c>
      <c r="F123" s="44">
        <f>'Ethylene Recycling HC'!E199*'Ethylene Recycling HC'!E47-'Ethylene Recycling HC'!$C$199*'Ethylene Recycling HC'!$C$47</f>
        <v>0.11460978593982817</v>
      </c>
      <c r="G123" s="44">
        <f>'Ethylene Recycling HC'!F199*'Ethylene Recycling HC'!F47-'Ethylene Recycling HC'!$C$199*'Ethylene Recycling HC'!$C$47</f>
        <v>0.17560335493546669</v>
      </c>
      <c r="H123" s="44">
        <f>'Ethylene Recycling HC'!G199*'Ethylene Recycling HC'!G47-'Ethylene Recycling HC'!$C$199*'Ethylene Recycling HC'!$C$47</f>
        <v>0.23856581282029388</v>
      </c>
      <c r="I123" s="44">
        <f>'Ethylene Recycling HC'!H199*'Ethylene Recycling HC'!H47-'Ethylene Recycling HC'!$C$199*'Ethylene Recycling HC'!$C$47</f>
        <v>0.30308655433505788</v>
      </c>
      <c r="J123" s="44">
        <f>'Ethylene Recycling HC'!I199*'Ethylene Recycling HC'!I47-'Ethylene Recycling HC'!$C$199*'Ethylene Recycling HC'!$C$47</f>
        <v>0.36976275129607733</v>
      </c>
      <c r="K123" s="44">
        <f>'Ethylene Recycling HC'!J199*'Ethylene Recycling HC'!J47-'Ethylene Recycling HC'!$C$199*'Ethylene Recycling HC'!$C$47</f>
        <v>0.43856575902184963</v>
      </c>
      <c r="L123" s="44">
        <f>'Ethylene Recycling HC'!K199*'Ethylene Recycling HC'!K47-'Ethylene Recycling HC'!$C$199*'Ethylene Recycling HC'!$C$47</f>
        <v>0.50946206552521989</v>
      </c>
      <c r="M123" s="44">
        <f>'Ethylene Recycling HC'!L199*'Ethylene Recycling HC'!L47-'Ethylene Recycling HC'!$C$199*'Ethylene Recycling HC'!$C$47</f>
        <v>0.58241324288717544</v>
      </c>
      <c r="N123" s="44">
        <f>'Ethylene Recycling HC'!M199*'Ethylene Recycling HC'!M47-'Ethylene Recycling HC'!$C$199*'Ethylene Recycling HC'!$C$47</f>
        <v>0.65737591159165465</v>
      </c>
      <c r="O123" s="44">
        <f>'Ethylene Recycling HC'!N199*'Ethylene Recycling HC'!N47-'Ethylene Recycling HC'!$C$199*'Ethylene Recycling HC'!$C$47</f>
        <v>0.8040384205463833</v>
      </c>
      <c r="P123" s="44">
        <f>'Ethylene Recycling HC'!O199*'Ethylene Recycling HC'!O47-'Ethylene Recycling HC'!$C$199*'Ethylene Recycling HC'!$C$47</f>
        <v>0.95294167908667149</v>
      </c>
      <c r="Q123" s="44">
        <f>'Ethylene Recycling HC'!P199*'Ethylene Recycling HC'!P47-'Ethylene Recycling HC'!$C$199*'Ethylene Recycling HC'!$C$47</f>
        <v>1.1033033812016517</v>
      </c>
      <c r="R123" s="44">
        <f>'Ethylene Recycling HC'!Q199*'Ethylene Recycling HC'!Q47-'Ethylene Recycling HC'!$C$199*'Ethylene Recycling HC'!$C$47</f>
        <v>1.2543115469969326</v>
      </c>
      <c r="S123" s="44">
        <f>'Ethylene Recycling HC'!R199*'Ethylene Recycling HC'!R47-'Ethylene Recycling HC'!$C$199*'Ethylene Recycling HC'!$C$47</f>
        <v>1.4051316704399788</v>
      </c>
      <c r="T123" s="44">
        <f>'Ethylene Recycling HC'!S199*'Ethylene Recycling HC'!S47-'Ethylene Recycling HC'!$C$199*'Ethylene Recycling HC'!$C$47</f>
        <v>1.5579173728547484</v>
      </c>
      <c r="U123" s="44">
        <f>'Ethylene Recycling HC'!T199*'Ethylene Recycling HC'!T47-'Ethylene Recycling HC'!$C$199*'Ethylene Recycling HC'!$C$47</f>
        <v>1.7126361894464575</v>
      </c>
      <c r="V123" s="44">
        <f>'Ethylene Recycling HC'!U199*'Ethylene Recycling HC'!U47-'Ethylene Recycling HC'!$C$199*'Ethylene Recycling HC'!$C$47</f>
        <v>1.8692543045276899</v>
      </c>
      <c r="W123" s="44">
        <f>'Ethylene Recycling HC'!V199*'Ethylene Recycling HC'!V47-'Ethylene Recycling HC'!$C$199*'Ethylene Recycling HC'!$C$47</f>
        <v>2.0277365565432492</v>
      </c>
      <c r="X123" s="44">
        <f>'Ethylene Recycling HC'!W199*'Ethylene Recycling HC'!W47-'Ethylene Recycling HC'!$C$199*'Ethylene Recycling HC'!$C$47</f>
        <v>2.1880464441524206</v>
      </c>
      <c r="Y123" s="44">
        <f>'Ethylene Recycling HC'!X199*'Ethylene Recycling HC'!X47-'Ethylene Recycling HC'!$C$199*'Ethylene Recycling HC'!$C$47</f>
        <v>2.4489186232217257</v>
      </c>
      <c r="Z123" s="44">
        <f>'Ethylene Recycling HC'!Y199*'Ethylene Recycling HC'!Y47-'Ethylene Recycling HC'!$C$199*'Ethylene Recycling HC'!$C$47</f>
        <v>2.712878072429127</v>
      </c>
      <c r="AA123" s="44">
        <f>'Ethylene Recycling HC'!Z199*'Ethylene Recycling HC'!Z47-'Ethylene Recycling HC'!$C$199*'Ethylene Recycling HC'!$C$47</f>
        <v>2.9798696043239872</v>
      </c>
      <c r="AB123" s="44">
        <f>'Ethylene Recycling HC'!AA199*'Ethylene Recycling HC'!AA47-'Ethylene Recycling HC'!$C$199*'Ethylene Recycling HC'!$C$47</f>
        <v>3.2498360422381043</v>
      </c>
      <c r="AC123" s="44">
        <f>'Ethylene Recycling HC'!AB199*'Ethylene Recycling HC'!AB47-'Ethylene Recycling HC'!$C$199*'Ethylene Recycling HC'!$C$47</f>
        <v>3.522718230873938</v>
      </c>
      <c r="AD123" s="44">
        <f>'Ethylene Recycling HC'!AC199*'Ethylene Recycling HC'!AC47-'Ethylene Recycling HC'!$C$199*'Ethylene Recycling HC'!$C$47</f>
        <v>3.7984920180233739</v>
      </c>
      <c r="AE123" s="44">
        <f>'Ethylene Recycling HC'!AD199*'Ethylene Recycling HC'!AD47-'Ethylene Recycling HC'!$C$199*'Ethylene Recycling HC'!$C$47</f>
        <v>4.0771022820455869</v>
      </c>
      <c r="AF123" s="44">
        <f>'Ethylene Recycling HC'!AE199*'Ethylene Recycling HC'!AE47-'Ethylene Recycling HC'!$C$199*'Ethylene Recycling HC'!$C$47</f>
        <v>4.3584921333827769</v>
      </c>
      <c r="AG123" s="44">
        <f>'Ethylene Recycling HC'!AF199*'Ethylene Recycling HC'!AF47-'Ethylene Recycling HC'!$C$199*'Ethylene Recycling HC'!$C$47</f>
        <v>4.6426029253778376</v>
      </c>
      <c r="AH123" s="44">
        <f>'Ethylene Recycling HC'!AG199*'Ethylene Recycling HC'!AG47-'Ethylene Recycling HC'!$C$199*'Ethylene Recycling HC'!$C$47</f>
        <v>4.9293742662870192</v>
      </c>
    </row>
    <row r="124" spans="1:36" outlineLevel="1" x14ac:dyDescent="0.2">
      <c r="A124"/>
      <c r="B124" t="s">
        <v>222</v>
      </c>
      <c r="C124" s="54" t="s">
        <v>153</v>
      </c>
      <c r="D124" s="44">
        <f>0</f>
        <v>0</v>
      </c>
      <c r="E124" s="44">
        <f>'Ethylene Recycling HC'!D73*'Ethylene Recycling HC'!D45-'Ethylene Recycling HC'!$C$73*'Ethylene Recycling HC'!$C$45</f>
        <v>0.37736123419296419</v>
      </c>
      <c r="F124" s="44">
        <f>'Ethylene Recycling HC'!E73*'Ethylene Recycling HC'!E45-'Ethylene Recycling HC'!$C$73*'Ethylene Recycling HC'!$C$45</f>
        <v>0.74660449054099409</v>
      </c>
      <c r="G124" s="44">
        <f>'Ethylene Recycling HC'!F73*'Ethylene Recycling HC'!F45-'Ethylene Recycling HC'!$C$73*'Ethylene Recycling HC'!$C$45</f>
        <v>1.104860609564442</v>
      </c>
      <c r="H124" s="44">
        <f>'Ethylene Recycling HC'!G73*'Ethylene Recycling HC'!G45-'Ethylene Recycling HC'!$C$73*'Ethylene Recycling HC'!$C$45</f>
        <v>1.4492677355119108</v>
      </c>
      <c r="I124" s="44">
        <f>'Ethylene Recycling HC'!H73*'Ethylene Recycling HC'!H45-'Ethylene Recycling HC'!$C$73*'Ethylene Recycling HC'!$C$45</f>
        <v>1.7770085802080091</v>
      </c>
      <c r="J124" s="44">
        <f>'Ethylene Recycling HC'!I73*'Ethylene Recycling HC'!I45-'Ethylene Recycling HC'!$C$73*'Ethylene Recycling HC'!$C$45</f>
        <v>2.1042865988159898</v>
      </c>
      <c r="K124" s="44">
        <f>'Ethylene Recycling HC'!J73*'Ethylene Recycling HC'!J45-'Ethylene Recycling HC'!$C$73*'Ethylene Recycling HC'!$C$45</f>
        <v>2.4304445148993628</v>
      </c>
      <c r="L124" s="44">
        <f>'Ethylene Recycling HC'!K73*'Ethylene Recycling HC'!K45-'Ethylene Recycling HC'!$C$73*'Ethylene Recycling HC'!$C$45</f>
        <v>2.7548071705350621</v>
      </c>
      <c r="M124" s="44">
        <f>'Ethylene Recycling HC'!L73*'Ethylene Recycling HC'!L45-'Ethylene Recycling HC'!$C$73*'Ethylene Recycling HC'!$C$45</f>
        <v>3.0766829670891225</v>
      </c>
      <c r="N124" s="44">
        <f>'Ethylene Recycling HC'!M73*'Ethylene Recycling HC'!M45-'Ethylene Recycling HC'!$C$73*'Ethylene Recycling HC'!$C$45</f>
        <v>3.395365405417615</v>
      </c>
      <c r="O124" s="44">
        <f>'Ethylene Recycling HC'!N73*'Ethylene Recycling HC'!N45-'Ethylene Recycling HC'!$C$73*'Ethylene Recycling HC'!$C$45</f>
        <v>3.9055634996776929</v>
      </c>
      <c r="P124" s="44">
        <f>'Ethylene Recycling HC'!O73*'Ethylene Recycling HC'!O45-'Ethylene Recycling HC'!$C$73*'Ethylene Recycling HC'!$C$45</f>
        <v>4.4240931860906878</v>
      </c>
      <c r="Q124" s="44">
        <f>'Ethylene Recycling HC'!P73*'Ethylene Recycling HC'!P45-'Ethylene Recycling HC'!$C$73*'Ethylene Recycling HC'!$C$45</f>
        <v>4.850057116215674</v>
      </c>
      <c r="R124" s="44">
        <f>'Ethylene Recycling HC'!Q73*'Ethylene Recycling HC'!Q45-'Ethylene Recycling HC'!$C$73*'Ethylene Recycling HC'!$C$45</f>
        <v>5.228239802707777</v>
      </c>
      <c r="S124" s="44">
        <f>'Ethylene Recycling HC'!R73*'Ethylene Recycling HC'!R45-'Ethylene Recycling HC'!$C$73*'Ethylene Recycling HC'!$C$45</f>
        <v>5.5551419507625885</v>
      </c>
      <c r="T124" s="44">
        <f>'Ethylene Recycling HC'!S73*'Ethylene Recycling HC'!S45-'Ethylene Recycling HC'!$C$73*'Ethylene Recycling HC'!$C$45</f>
        <v>5.8502433945433721</v>
      </c>
      <c r="U124" s="44">
        <f>'Ethylene Recycling HC'!T73*'Ethylene Recycling HC'!T45-'Ethylene Recycling HC'!$C$73*'Ethylene Recycling HC'!$C$45</f>
        <v>6.1122680333071484</v>
      </c>
      <c r="V124" s="44">
        <f>'Ethylene Recycling HC'!U73*'Ethylene Recycling HC'!U45-'Ethylene Recycling HC'!$C$73*'Ethylene Recycling HC'!$C$45</f>
        <v>6.3399365511934738</v>
      </c>
      <c r="W124" s="44">
        <f>'Ethylene Recycling HC'!V73*'Ethylene Recycling HC'!V45-'Ethylene Recycling HC'!$C$73*'Ethylene Recycling HC'!$C$45</f>
        <v>6.5319674458130281</v>
      </c>
      <c r="X124" s="44">
        <f>'Ethylene Recycling HC'!W73*'Ethylene Recycling HC'!W45-'Ethylene Recycling HC'!$C$73*'Ethylene Recycling HC'!$C$45</f>
        <v>6.6870780773100558</v>
      </c>
      <c r="Y124" s="44">
        <f>'Ethylene Recycling HC'!X73*'Ethylene Recycling HC'!X45-'Ethylene Recycling HC'!$C$73*'Ethylene Recycling HC'!$C$45</f>
        <v>6.8279812008522187</v>
      </c>
      <c r="Z124" s="44">
        <f>'Ethylene Recycling HC'!Y73*'Ethylene Recycling HC'!Y45-'Ethylene Recycling HC'!$C$73*'Ethylene Recycling HC'!$C$45</f>
        <v>7.146504211309499</v>
      </c>
      <c r="AA124" s="44">
        <f>'Ethylene Recycling HC'!Z73*'Ethylene Recycling HC'!Z45-'Ethylene Recycling HC'!$C$73*'Ethylene Recycling HC'!$C$45</f>
        <v>7.4049920303690628</v>
      </c>
      <c r="AB124" s="44">
        <f>'Ethylene Recycling HC'!AA73*'Ethylene Recycling HC'!AA45-'Ethylene Recycling HC'!$C$73*'Ethylene Recycling HC'!$C$45</f>
        <v>7.6013819716053694</v>
      </c>
      <c r="AC124" s="44">
        <f>'Ethylene Recycling HC'!AB73*'Ethylene Recycling HC'!AB45-'Ethylene Recycling HC'!$C$73*'Ethylene Recycling HC'!$C$45</f>
        <v>7.7336110110486578</v>
      </c>
      <c r="AD124" s="44">
        <f>'Ethylene Recycling HC'!AC73*'Ethylene Recycling HC'!AC45-'Ethylene Recycling HC'!$C$73*'Ethylene Recycling HC'!$C$45</f>
        <v>7.7997543969290861</v>
      </c>
      <c r="AE124" s="44">
        <f>'Ethylene Recycling HC'!AD73*'Ethylene Recycling HC'!AD45-'Ethylene Recycling HC'!$C$73*'Ethylene Recycling HC'!$C$45</f>
        <v>7.7977533604110922</v>
      </c>
      <c r="AF124" s="44">
        <f>'Ethylene Recycling HC'!AE73*'Ethylene Recycling HC'!AE45-'Ethylene Recycling HC'!$C$73*'Ethylene Recycling HC'!$C$45</f>
        <v>7.7255496649955466</v>
      </c>
      <c r="AG124" s="44">
        <f>'Ethylene Recycling HC'!AF73*'Ethylene Recycling HC'!AF45-'Ethylene Recycling HC'!$C$73*'Ethylene Recycling HC'!$C$45</f>
        <v>7.5810870713653946</v>
      </c>
      <c r="AH124" s="44">
        <f>'Ethylene Recycling HC'!AG73*'Ethylene Recycling HC'!AG45-'Ethylene Recycling HC'!$C$73*'Ethylene Recycling HC'!$C$45</f>
        <v>7.3623128245095293</v>
      </c>
    </row>
    <row r="125" spans="1:36" outlineLevel="1" x14ac:dyDescent="0.2">
      <c r="A125"/>
      <c r="B125" t="s">
        <v>226</v>
      </c>
      <c r="C125" s="54" t="s">
        <v>153</v>
      </c>
      <c r="D125" s="44">
        <f>0</f>
        <v>0</v>
      </c>
      <c r="E125" s="44">
        <f>'Ethylene Recycling HC'!D166*'Ethylene Recycling HC'!D48-'Ethylene Recycling HC'!$C$166*'Ethylene Recycling HC'!$C$48</f>
        <v>1.9870187670681994E-2</v>
      </c>
      <c r="F125" s="44">
        <f>'Ethylene Recycling HC'!E166*'Ethylene Recycling HC'!E48-'Ethylene Recycling HC'!$C$166*'Ethylene Recycling HC'!$C$48</f>
        <v>3.9647370499631518E-2</v>
      </c>
      <c r="G125" s="44">
        <f>'Ethylene Recycling HC'!F166*'Ethylene Recycling HC'!F48-'Ethylene Recycling HC'!$C$166*'Ethylene Recycling HC'!$C$48</f>
        <v>5.9192880569213513E-2</v>
      </c>
      <c r="H125" s="44">
        <f>'Ethylene Recycling HC'!G166*'Ethylene Recycling HC'!G48-'Ethylene Recycling HC'!$C$166*'Ethylene Recycling HC'!$C$48</f>
        <v>7.8365111272651222E-2</v>
      </c>
      <c r="I125" s="44">
        <f>'Ethylene Recycling HC'!H166*'Ethylene Recycling HC'!H48-'Ethylene Recycling HC'!$C$166*'Ethylene Recycling HC'!$C$48</f>
        <v>9.702121184629231E-2</v>
      </c>
      <c r="J125" s="44">
        <f>'Ethylene Recycling HC'!I166*'Ethylene Recycling HC'!I48-'Ethylene Recycling HC'!$C$166*'Ethylene Recycling HC'!$C$48</f>
        <v>0.10333686342300641</v>
      </c>
      <c r="K125" s="44">
        <f>'Ethylene Recycling HC'!J166*'Ethylene Recycling HC'!J48-'Ethylene Recycling HC'!$C$166*'Ethylene Recycling HC'!$C$48</f>
        <v>0.1086668809457112</v>
      </c>
      <c r="L125" s="44">
        <f>'Ethylene Recycling HC'!K166*'Ethylene Recycling HC'!K48-'Ethylene Recycling HC'!$C$166*'Ethylene Recycling HC'!$C$48</f>
        <v>0.11297088104547215</v>
      </c>
      <c r="M125" s="44">
        <f>'Ethylene Recycling HC'!L166*'Ethylene Recycling HC'!L48-'Ethylene Recycling HC'!$C$166*'Ethylene Recycling HC'!$C$48</f>
        <v>0.11621066881654424</v>
      </c>
      <c r="N125" s="44">
        <f>'Ethylene Recycling HC'!M166*'Ethylene Recycling HC'!M48-'Ethylene Recycling HC'!$C$166*'Ethylene Recycling HC'!$C$48</f>
        <v>0.11835042915374561</v>
      </c>
      <c r="O125" s="44">
        <f>'Ethylene Recycling HC'!N166*'Ethylene Recycling HC'!N48-'Ethylene Recycling HC'!$C$166*'Ethylene Recycling HC'!$C$48</f>
        <v>0.13198316385179271</v>
      </c>
      <c r="P125" s="44">
        <f>'Ethylene Recycling HC'!O166*'Ethylene Recycling HC'!O48-'Ethylene Recycling HC'!$C$166*'Ethylene Recycling HC'!$C$48</f>
        <v>0.14303584339639869</v>
      </c>
      <c r="Q125" s="44">
        <f>'Ethylene Recycling HC'!P166*'Ethylene Recycling HC'!P48-'Ethylene Recycling HC'!$C$166*'Ethylene Recycling HC'!$C$48</f>
        <v>0.15140295817770333</v>
      </c>
      <c r="R125" s="44">
        <f>'Ethylene Recycling HC'!Q166*'Ethylene Recycling HC'!Q48-'Ethylene Recycling HC'!$C$166*'Ethylene Recycling HC'!$C$48</f>
        <v>0.15700529943147856</v>
      </c>
      <c r="S125" s="44">
        <f>'Ethylene Recycling HC'!R166*'Ethylene Recycling HC'!R48-'Ethylene Recycling HC'!$C$166*'Ethylene Recycling HC'!$C$48</f>
        <v>0.15979114060028138</v>
      </c>
      <c r="T125" s="44">
        <f>'Ethylene Recycling HC'!S166*'Ethylene Recycling HC'!S48-'Ethylene Recycling HC'!$C$166*'Ethylene Recycling HC'!$C$48</f>
        <v>0.1667659042060563</v>
      </c>
      <c r="U125" s="44">
        <f>'Ethylene Recycling HC'!T166*'Ethylene Recycling HC'!T48-'Ethylene Recycling HC'!$C$166*'Ethylene Recycling HC'!$C$48</f>
        <v>0.17228141802223546</v>
      </c>
      <c r="V125" s="44">
        <f>'Ethylene Recycling HC'!U166*'Ethylene Recycling HC'!U48-'Ethylene Recycling HC'!$C$166*'Ethylene Recycling HC'!$C$48</f>
        <v>0.17633201364717771</v>
      </c>
      <c r="W125" s="44">
        <f>'Ethylene Recycling HC'!V166*'Ethylene Recycling HC'!V48-'Ethylene Recycling HC'!$C$166*'Ethylene Recycling HC'!$C$48</f>
        <v>0.17891378062053981</v>
      </c>
      <c r="X125" s="44">
        <f>'Ethylene Recycling HC'!W166*'Ethylene Recycling HC'!W48-'Ethylene Recycling HC'!$C$166*'Ethylene Recycling HC'!$C$48</f>
        <v>0.18002460078382548</v>
      </c>
      <c r="Y125" s="44">
        <f>'Ethylene Recycling HC'!X166*'Ethylene Recycling HC'!X48-'Ethylene Recycling HC'!$C$166*'Ethylene Recycling HC'!$C$48</f>
        <v>0.19147718808220682</v>
      </c>
      <c r="Z125" s="44">
        <f>'Ethylene Recycling HC'!Y166*'Ethylene Recycling HC'!Y48-'Ethylene Recycling HC'!$C$166*'Ethylene Recycling HC'!$C$48</f>
        <v>0.20052773534398205</v>
      </c>
      <c r="AA125" s="44">
        <f>'Ethylene Recycling HC'!Z166*'Ethylene Recycling HC'!Z48-'Ethylene Recycling HC'!$C$166*'Ethylene Recycling HC'!$C$48</f>
        <v>0.20717473116486501</v>
      </c>
      <c r="AB125" s="44">
        <f>'Ethylene Recycling HC'!AA166*'Ethylene Recycling HC'!AA48-'Ethylene Recycling HC'!$C$166*'Ethylene Recycling HC'!$C$48</f>
        <v>0.21141959030958052</v>
      </c>
      <c r="AC125" s="44">
        <f>'Ethylene Recycling HC'!AB166*'Ethylene Recycling HC'!AB48-'Ethylene Recycling HC'!$C$166*'Ethylene Recycling HC'!$C$48</f>
        <v>0.21326670252044228</v>
      </c>
      <c r="AD125" s="44">
        <f>'Ethylene Recycling HC'!AC166*'Ethylene Recycling HC'!AC48-'Ethylene Recycling HC'!$C$166*'Ethylene Recycling HC'!$C$48</f>
        <v>0.20770957666011569</v>
      </c>
      <c r="AE125" s="44">
        <f>'Ethylene Recycling HC'!AD166*'Ethylene Recycling HC'!AD48-'Ethylene Recycling HC'!$C$166*'Ethylene Recycling HC'!$C$48</f>
        <v>0.19932876156284191</v>
      </c>
      <c r="AF125" s="44">
        <f>'Ethylene Recycling HC'!AE166*'Ethylene Recycling HC'!AE48-'Ethylene Recycling HC'!$C$166*'Ethylene Recycling HC'!$C$48</f>
        <v>0.18814389103199508</v>
      </c>
      <c r="AG125" s="44">
        <f>'Ethylene Recycling HC'!AF166*'Ethylene Recycling HC'!AF48-'Ethylene Recycling HC'!$C$166*'Ethylene Recycling HC'!$C$48</f>
        <v>0.17417826280956872</v>
      </c>
      <c r="AH125" s="44">
        <f>'Ethylene Recycling HC'!AG166*'Ethylene Recycling HC'!AG48-'Ethylene Recycling HC'!$C$166*'Ethylene Recycling HC'!$C$48</f>
        <v>0.15745888301365291</v>
      </c>
    </row>
    <row r="126" spans="1:36" outlineLevel="1" x14ac:dyDescent="0.2">
      <c r="A126" s="181"/>
      <c r="B126" s="181" t="s">
        <v>218</v>
      </c>
      <c r="C126" s="176" t="s">
        <v>153</v>
      </c>
      <c r="D126" s="238">
        <f>0</f>
        <v>0</v>
      </c>
      <c r="E126" s="238">
        <f>'Ethylene Recycling HC'!D118*'Ethylene Recycling HC'!D46-'Ethylene Recycling HC'!$C$118*'Ethylene Recycling HC'!$C$46</f>
        <v>6.7551298767980147E-3</v>
      </c>
      <c r="F126" s="238">
        <f>'Ethylene Recycling HC'!E118*'Ethylene Recycling HC'!E46-'Ethylene Recycling HC'!$C$118*'Ethylene Recycling HC'!$C$46</f>
        <v>1.3465448457090433E-2</v>
      </c>
      <c r="G126" s="238">
        <f>'Ethylene Recycling HC'!F118*'Ethylene Recycling HC'!F46-'Ethylene Recycling HC'!$C$118*'Ethylene Recycling HC'!$C$46</f>
        <v>2.0062358583665417E-2</v>
      </c>
      <c r="H126" s="238">
        <f>'Ethylene Recycling HC'!G118*'Ethylene Recycling HC'!G46-'Ethylene Recycling HC'!$C$118*'Ethylene Recycling HC'!$C$46</f>
        <v>2.647701032951217E-2</v>
      </c>
      <c r="I126" s="238">
        <f>'Ethylene Recycling HC'!H118*'Ethylene Recycling HC'!H46-'Ethylene Recycling HC'!$C$118*'Ethylene Recycling HC'!$C$46</f>
        <v>3.2641361477751041E-2</v>
      </c>
      <c r="J126" s="238">
        <f>'Ethylene Recycling HC'!I118*'Ethylene Recycling HC'!I46-'Ethylene Recycling HC'!$C$118*'Ethylene Recycling HC'!$C$46</f>
        <v>3.8628682301466336E-2</v>
      </c>
      <c r="K126" s="238">
        <f>'Ethylene Recycling HC'!J118*'Ethylene Recycling HC'!J46-'Ethylene Recycling HC'!$C$118*'Ethylene Recycling HC'!$C$46</f>
        <v>4.4411945876511677E-2</v>
      </c>
      <c r="L126" s="238">
        <f>'Ethylene Recycling HC'!K118*'Ethylene Recycling HC'!K46-'Ethylene Recycling HC'!$C$118*'Ethylene Recycling HC'!$C$46</f>
        <v>4.9963685543931907E-2</v>
      </c>
      <c r="M126" s="238">
        <f>'Ethylene Recycling HC'!L118*'Ethylene Recycling HC'!L46-'Ethylene Recycling HC'!$C$118*'Ethylene Recycling HC'!$C$46</f>
        <v>5.5256067371992082E-2</v>
      </c>
      <c r="N126" s="238">
        <f>'Ethylene Recycling HC'!M118*'Ethylene Recycling HC'!M46-'Ethylene Recycling HC'!$C$118*'Ethylene Recycling HC'!$C$46</f>
        <v>6.0260966259940291E-2</v>
      </c>
      <c r="O126" s="238">
        <f>'Ethylene Recycling HC'!N118*'Ethylene Recycling HC'!N46-'Ethylene Recycling HC'!$C$118*'Ethylene Recycling HC'!$C$46</f>
        <v>7.1538313238581216E-2</v>
      </c>
      <c r="P126" s="238">
        <f>'Ethylene Recycling HC'!O118*'Ethylene Recycling HC'!O46-'Ethylene Recycling HC'!$C$118*'Ethylene Recycling HC'!$C$46</f>
        <v>8.2045729077907498E-2</v>
      </c>
      <c r="Q126" s="238">
        <f>'Ethylene Recycling HC'!P118*'Ethylene Recycling HC'!P46-'Ethylene Recycling HC'!$C$118*'Ethylene Recycling HC'!$C$46</f>
        <v>9.1283201381016976E-2</v>
      </c>
      <c r="R126" s="238">
        <f>'Ethylene Recycling HC'!Q118*'Ethylene Recycling HC'!Q46-'Ethylene Recycling HC'!$C$118*'Ethylene Recycling HC'!$C$46</f>
        <v>9.9500107778427729E-2</v>
      </c>
      <c r="S126" s="238">
        <f>'Ethylene Recycling HC'!R118*'Ethylene Recycling HC'!R46-'Ethylene Recycling HC'!$C$118*'Ethylene Recycling HC'!$C$46</f>
        <v>0.10662384359890993</v>
      </c>
      <c r="T126" s="238">
        <f>'Ethylene Recycling HC'!S118*'Ethylene Recycling HC'!S46-'Ethylene Recycling HC'!$C$118*'Ethylene Recycling HC'!$C$46</f>
        <v>0.11284246468547247</v>
      </c>
      <c r="U126" s="238">
        <f>'Ethylene Recycling HC'!T118*'Ethylene Recycling HC'!T46-'Ethylene Recycling HC'!$C$118*'Ethylene Recycling HC'!$C$46</f>
        <v>0.11813331603947615</v>
      </c>
      <c r="V126" s="238">
        <f>'Ethylene Recycling HC'!U118*'Ethylene Recycling HC'!U46-'Ethylene Recycling HC'!$C$118*'Ethylene Recycling HC'!$C$46</f>
        <v>0.12247416032913826</v>
      </c>
      <c r="W126" s="238">
        <f>'Ethylene Recycling HC'!V118*'Ethylene Recycling HC'!V46-'Ethylene Recycling HC'!$C$118*'Ethylene Recycling HC'!$C$46</f>
        <v>0.12584320332865406</v>
      </c>
      <c r="X126" s="238">
        <f>'Ethylene Recycling HC'!W118*'Ethylene Recycling HC'!W46-'Ethylene Recycling HC'!$C$118*'Ethylene Recycling HC'!$C$46</f>
        <v>0.12821911924941815</v>
      </c>
      <c r="Y126" s="238">
        <f>'Ethylene Recycling HC'!X118*'Ethylene Recycling HC'!X46-'Ethylene Recycling HC'!$C$118*'Ethylene Recycling HC'!$C$46</f>
        <v>0.13552532215629709</v>
      </c>
      <c r="Z126" s="238">
        <f>'Ethylene Recycling HC'!Y118*'Ethylene Recycling HC'!Y46-'Ethylene Recycling HC'!$C$118*'Ethylene Recycling HC'!$C$46</f>
        <v>0.14118531055176875</v>
      </c>
      <c r="AA126" s="238">
        <f>'Ethylene Recycling HC'!Z118*'Ethylene Recycling HC'!Z46-'Ethylene Recycling HC'!$C$118*'Ethylene Recycling HC'!$C$46</f>
        <v>0.14375739324188469</v>
      </c>
      <c r="AB126" s="238">
        <f>'Ethylene Recycling HC'!AA118*'Ethylene Recycling HC'!AA46-'Ethylene Recycling HC'!$C$118*'Ethylene Recycling HC'!$C$46</f>
        <v>0.14456388331753739</v>
      </c>
      <c r="AC126" s="238">
        <f>'Ethylene Recycling HC'!AB118*'Ethylene Recycling HC'!AB46-'Ethylene Recycling HC'!$C$118*'Ethylene Recycling HC'!$C$46</f>
        <v>0.14361513732318043</v>
      </c>
      <c r="AD126" s="238">
        <f>'Ethylene Recycling HC'!AC118*'Ethylene Recycling HC'!AC46-'Ethylene Recycling HC'!$C$118*'Ethylene Recycling HC'!$C$46</f>
        <v>0.14092587078674002</v>
      </c>
      <c r="AE126" s="238">
        <f>'Ethylene Recycling HC'!AD118*'Ethylene Recycling HC'!AD46-'Ethylene Recycling HC'!$C$118*'Ethylene Recycling HC'!$C$46</f>
        <v>0.1365118872384315</v>
      </c>
      <c r="AF126" s="238">
        <f>'Ethylene Recycling HC'!AE118*'Ethylene Recycling HC'!AE46-'Ethylene Recycling HC'!$C$118*'Ethylene Recycling HC'!$C$46</f>
        <v>0.13039169081238189</v>
      </c>
      <c r="AG126" s="238">
        <f>'Ethylene Recycling HC'!AF118*'Ethylene Recycling HC'!AF46-'Ethylene Recycling HC'!$C$118*'Ethylene Recycling HC'!$C$46</f>
        <v>0.12258649094347286</v>
      </c>
      <c r="AH126" s="238">
        <f>'Ethylene Recycling HC'!AG118*'Ethylene Recycling HC'!AG46-'Ethylene Recycling HC'!$C$118*'Ethylene Recycling HC'!$C$46</f>
        <v>0.113120203215491</v>
      </c>
    </row>
    <row r="127" spans="1:36" s="68" customFormat="1" x14ac:dyDescent="0.2">
      <c r="A127" s="239"/>
      <c r="B127" s="239" t="s">
        <v>219</v>
      </c>
      <c r="C127" s="240" t="s">
        <v>153</v>
      </c>
      <c r="D127" s="241">
        <f>D122-D123-D124-D125-D126-IF(D131&lt;0,D131,0)</f>
        <v>34.871127768537121</v>
      </c>
      <c r="E127" s="241">
        <f t="shared" ref="E127:AG127" si="41">E122-E123-E124-E125-E126-IF(E131&lt;0,E131,0)</f>
        <v>34.133591062111122</v>
      </c>
      <c r="F127" s="241">
        <f t="shared" si="41"/>
        <v>33.382108841282083</v>
      </c>
      <c r="G127" s="241">
        <f t="shared" si="41"/>
        <v>32.619513880633718</v>
      </c>
      <c r="H127" s="241">
        <f t="shared" si="41"/>
        <v>31.848657994950585</v>
      </c>
      <c r="I127" s="241">
        <f t="shared" si="41"/>
        <v>31.072367958995272</v>
      </c>
      <c r="J127" s="241">
        <f t="shared" si="41"/>
        <v>30.284967355641356</v>
      </c>
      <c r="K127" s="241">
        <f t="shared" si="41"/>
        <v>29.475172324909188</v>
      </c>
      <c r="L127" s="241">
        <f t="shared" si="41"/>
        <v>28.643101905228914</v>
      </c>
      <c r="M127" s="241">
        <f t="shared" si="41"/>
        <v>27.788878840983415</v>
      </c>
      <c r="N127" s="241">
        <f t="shared" si="41"/>
        <v>26.912627462340538</v>
      </c>
      <c r="O127" s="241">
        <f t="shared" si="41"/>
        <v>25.730091451566715</v>
      </c>
      <c r="P127" s="241">
        <f t="shared" si="41"/>
        <v>24.514306453996674</v>
      </c>
      <c r="Q127" s="241">
        <f t="shared" si="41"/>
        <v>23.366817461802221</v>
      </c>
      <c r="R127" s="241">
        <f t="shared" si="41"/>
        <v>22.242723944500312</v>
      </c>
      <c r="S127" s="241">
        <f t="shared" si="41"/>
        <v>21.145708174729148</v>
      </c>
      <c r="T127" s="241">
        <f t="shared" si="41"/>
        <v>20.046148934610869</v>
      </c>
      <c r="U127" s="241">
        <f t="shared" si="41"/>
        <v>18.950212506071519</v>
      </c>
      <c r="V127" s="241">
        <f t="shared" si="41"/>
        <v>17.858407578180721</v>
      </c>
      <c r="W127" s="241">
        <f t="shared" si="41"/>
        <v>16.771224514901029</v>
      </c>
      <c r="X127" s="241">
        <f t="shared" si="41"/>
        <v>15.689133812480565</v>
      </c>
      <c r="Y127" s="241">
        <f t="shared" si="41"/>
        <v>14.435108627194811</v>
      </c>
      <c r="Z127" s="241">
        <f t="shared" si="41"/>
        <v>12.968897689166308</v>
      </c>
      <c r="AA127" s="241">
        <f t="shared" si="41"/>
        <v>11.528687432774415</v>
      </c>
      <c r="AB127" s="241">
        <f t="shared" si="41"/>
        <v>10.114284347379217</v>
      </c>
      <c r="AC127" s="241">
        <f t="shared" si="41"/>
        <v>8.7267831188559022</v>
      </c>
      <c r="AD127" s="241">
        <f t="shared" si="41"/>
        <v>7.3720880790251044</v>
      </c>
      <c r="AE127" s="241">
        <f t="shared" si="41"/>
        <v>6.0466563078320741</v>
      </c>
      <c r="AF127" s="241">
        <f t="shared" si="41"/>
        <v>4.7996903258164529</v>
      </c>
      <c r="AG127" s="241">
        <f t="shared" si="41"/>
        <v>3.7676697462532047</v>
      </c>
      <c r="AH127" s="241">
        <f>AH122-AH123-AH124-AH125-AH126</f>
        <v>2.2556986580856182</v>
      </c>
    </row>
    <row r="128" spans="1:36" s="67" customFormat="1" x14ac:dyDescent="0.2">
      <c r="A128" s="687" t="s">
        <v>257</v>
      </c>
      <c r="B128" s="58" t="s">
        <v>258</v>
      </c>
      <c r="C128" s="59" t="s">
        <v>153</v>
      </c>
      <c r="D128" s="60">
        <f>D44-('Ethylene Recycling HC'!C94+'Ethylene Recycling HC'!C137+'Ethylene Recycling HC'!C183+'Ethylene Recycling HC'!C202-('Ethylene Recycling HC'!$C$94+'Ethylene Recycling HC'!$C$137+'Ethylene Recycling HC'!$C$183+'Ethylene Recycling HC'!$C$202))</f>
        <v>12.029370629370625</v>
      </c>
      <c r="E128" s="60">
        <f>E44-('Ethylene Recycling HC'!D94+'Ethylene Recycling HC'!D137+'Ethylene Recycling HC'!D183+'Ethylene Recycling HC'!D202-('Ethylene Recycling HC'!$C$94+'Ethylene Recycling HC'!$C$137+'Ethylene Recycling HC'!$C$183+'Ethylene Recycling HC'!$C$202))</f>
        <v>11.61168262284346</v>
      </c>
      <c r="F128" s="60">
        <f>F44-('Ethylene Recycling HC'!E94+'Ethylene Recycling HC'!E137+'Ethylene Recycling HC'!E183+'Ethylene Recycling HC'!E202-('Ethylene Recycling HC'!$C$94+'Ethylene Recycling HC'!$C$137+'Ethylene Recycling HC'!$C$183+'Ethylene Recycling HC'!$C$202))</f>
        <v>11.202578926617331</v>
      </c>
      <c r="G128" s="60">
        <f>G44-('Ethylene Recycling HC'!F94+'Ethylene Recycling HC'!F137+'Ethylene Recycling HC'!F183+'Ethylene Recycling HC'!F202-('Ethylene Recycling HC'!$C$94+'Ethylene Recycling HC'!$C$137+'Ethylene Recycling HC'!$C$183+'Ethylene Recycling HC'!$C$202))</f>
        <v>10.804491435543326</v>
      </c>
      <c r="H128" s="60">
        <f>H44-('Ethylene Recycling HC'!G94+'Ethylene Recycling HC'!G137+'Ethylene Recycling HC'!G183+'Ethylene Recycling HC'!G202-('Ethylene Recycling HC'!$C$94+'Ethylene Recycling HC'!$C$137+'Ethylene Recycling HC'!$C$183+'Ethylene Recycling HC'!$C$202))</f>
        <v>10.419725633525946</v>
      </c>
      <c r="I128" s="60">
        <f>I44-('Ethylene Recycling HC'!H94+'Ethylene Recycling HC'!H137+'Ethylene Recycling HC'!H183+'Ethylene Recycling HC'!H202-('Ethylene Recycling HC'!$C$94+'Ethylene Recycling HC'!$C$137+'Ethylene Recycling HC'!$C$183+'Ethylene Recycling HC'!$C$202))</f>
        <v>10.050424361248297</v>
      </c>
      <c r="J128" s="60">
        <f>J44-('Ethylene Recycling HC'!I94+'Ethylene Recycling HC'!I137+'Ethylene Recycling HC'!I183+'Ethylene Recycling HC'!I202-('Ethylene Recycling HC'!$C$94+'Ethylene Recycling HC'!$C$137+'Ethylene Recycling HC'!$C$183+'Ethylene Recycling HC'!$C$202))</f>
        <v>9.6803908462713331</v>
      </c>
      <c r="K128" s="60">
        <f>K44-('Ethylene Recycling HC'!J94+'Ethylene Recycling HC'!J137+'Ethylene Recycling HC'!J183+'Ethylene Recycling HC'!J202-('Ethylene Recycling HC'!$C$94+'Ethylene Recycling HC'!$C$137+'Ethylene Recycling HC'!$C$183+'Ethylene Recycling HC'!$C$202))</f>
        <v>9.3099902589839338</v>
      </c>
      <c r="L128" s="60">
        <f>L44-('Ethylene Recycling HC'!K94+'Ethylene Recycling HC'!K137+'Ethylene Recycling HC'!K183+'Ethylene Recycling HC'!K202-('Ethylene Recycling HC'!$C$94+'Ethylene Recycling HC'!$C$137+'Ethylene Recycling HC'!$C$183+'Ethylene Recycling HC'!$C$202))</f>
        <v>8.9395701898188875</v>
      </c>
      <c r="M128" s="60">
        <f>M44-('Ethylene Recycling HC'!L94+'Ethylene Recycling HC'!L137+'Ethylene Recycling HC'!L183+'Ethylene Recycling HC'!L202-('Ethylene Recycling HC'!$C$94+'Ethylene Recycling HC'!$C$137+'Ethylene Recycling HC'!$C$183+'Ethylene Recycling HC'!$C$202))</f>
        <v>8.5694582684573106</v>
      </c>
      <c r="N128" s="60">
        <f>N44-('Ethylene Recycling HC'!M94+'Ethylene Recycling HC'!M137+'Ethylene Recycling HC'!M183+'Ethylene Recycling HC'!M202-('Ethylene Recycling HC'!$C$94+'Ethylene Recycling HC'!$C$137+'Ethylene Recycling HC'!$C$183+'Ethylene Recycling HC'!$C$202))</f>
        <v>8.1999597895499932</v>
      </c>
      <c r="O128" s="60">
        <f>O44-('Ethylene Recycling HC'!N94+'Ethylene Recycling HC'!N137+'Ethylene Recycling HC'!N183+'Ethylene Recycling HC'!N202-('Ethylene Recycling HC'!$C$94+'Ethylene Recycling HC'!$C$137+'Ethylene Recycling HC'!$C$183+'Ethylene Recycling HC'!$C$202))</f>
        <v>7.626431677328152</v>
      </c>
      <c r="P128" s="60">
        <f>P44-('Ethylene Recycling HC'!O94+'Ethylene Recycling HC'!O137+'Ethylene Recycling HC'!O183+'Ethylene Recycling HC'!O202-('Ethylene Recycling HC'!$C$94+'Ethylene Recycling HC'!$C$137+'Ethylene Recycling HC'!$C$183+'Ethylene Recycling HC'!$C$202))</f>
        <v>7.0470684822771164</v>
      </c>
      <c r="Q128" s="60">
        <f>Q44-('Ethylene Recycling HC'!P94+'Ethylene Recycling HC'!P137+'Ethylene Recycling HC'!P183+'Ethylene Recycling HC'!P202-('Ethylene Recycling HC'!$C$94+'Ethylene Recycling HC'!$C$137+'Ethylene Recycling HC'!$C$183+'Ethylene Recycling HC'!$C$202))</f>
        <v>6.5482276324354993</v>
      </c>
      <c r="R128" s="60">
        <f>R44-('Ethylene Recycling HC'!Q94+'Ethylene Recycling HC'!Q137+'Ethylene Recycling HC'!Q183+'Ethylene Recycling HC'!Q202-('Ethylene Recycling HC'!$C$94+'Ethylene Recycling HC'!$C$137+'Ethylene Recycling HC'!$C$183+'Ethylene Recycling HC'!$C$202))</f>
        <v>6.089013467474655</v>
      </c>
      <c r="S128" s="60">
        <f>S44-('Ethylene Recycling HC'!R94+'Ethylene Recycling HC'!R137+'Ethylene Recycling HC'!R183+'Ethylene Recycling HC'!R202-('Ethylene Recycling HC'!$C$94+'Ethylene Recycling HC'!$C$137+'Ethylene Recycling HC'!$C$183+'Ethylene Recycling HC'!$C$202))</f>
        <v>5.6707657655029857</v>
      </c>
      <c r="T128" s="60">
        <f>T44-('Ethylene Recycling HC'!S94+'Ethylene Recycling HC'!S137+'Ethylene Recycling HC'!S183+'Ethylene Recycling HC'!S202-('Ethylene Recycling HC'!$C$94+'Ethylene Recycling HC'!$C$137+'Ethylene Recycling HC'!$C$183+'Ethylene Recycling HC'!$C$202))</f>
        <v>5.2744502694174633</v>
      </c>
      <c r="U128" s="60">
        <f>U44-('Ethylene Recycling HC'!T94+'Ethylene Recycling HC'!T137+'Ethylene Recycling HC'!T183+'Ethylene Recycling HC'!T202-('Ethylene Recycling HC'!$C$94+'Ethylene Recycling HC'!$C$137+'Ethylene Recycling HC'!$C$183+'Ethylene Recycling HC'!$C$202))</f>
        <v>4.8996822012340191</v>
      </c>
      <c r="V128" s="60">
        <f>V44-('Ethylene Recycling HC'!U94+'Ethylene Recycling HC'!U137+'Ethylene Recycling HC'!U183+'Ethylene Recycling HC'!U202-('Ethylene Recycling HC'!$C$94+'Ethylene Recycling HC'!$C$137+'Ethylene Recycling HC'!$C$183+'Ethylene Recycling HC'!$C$202))</f>
        <v>4.5460135908111683</v>
      </c>
      <c r="W128" s="60">
        <f>W44-('Ethylene Recycling HC'!V94+'Ethylene Recycling HC'!V137+'Ethylene Recycling HC'!V183+'Ethylene Recycling HC'!V202-('Ethylene Recycling HC'!$C$94+'Ethylene Recycling HC'!$C$137+'Ethylene Recycling HC'!$C$183+'Ethylene Recycling HC'!$C$202))</f>
        <v>4.2129321724723683</v>
      </c>
      <c r="X128" s="60">
        <f>X44-('Ethylene Recycling HC'!W94+'Ethylene Recycling HC'!W137+'Ethylene Recycling HC'!W183+'Ethylene Recycling HC'!W202-('Ethylene Recycling HC'!$C$94+'Ethylene Recycling HC'!$C$137+'Ethylene Recycling HC'!$C$183+'Ethylene Recycling HC'!$C$202))</f>
        <v>3.8998603352141812</v>
      </c>
      <c r="Y128" s="60">
        <f>Y44-('Ethylene Recycling HC'!X94+'Ethylene Recycling HC'!X137+'Ethylene Recycling HC'!X183+'Ethylene Recycling HC'!X202-('Ethylene Recycling HC'!$C$94+'Ethylene Recycling HC'!$C$137+'Ethylene Recycling HC'!$C$183+'Ethylene Recycling HC'!$C$202))</f>
        <v>3.5247084678173062</v>
      </c>
      <c r="Z128" s="60">
        <f>Z44-('Ethylene Recycling HC'!Y94+'Ethylene Recycling HC'!Y137+'Ethylene Recycling HC'!Y183+'Ethylene Recycling HC'!Y202-('Ethylene Recycling HC'!$C$94+'Ethylene Recycling HC'!$C$137+'Ethylene Recycling HC'!$C$183+'Ethylene Recycling HC'!$C$202))</f>
        <v>3.0059062795680589</v>
      </c>
      <c r="AA128" s="60">
        <f>AA44-('Ethylene Recycling HC'!Z94+'Ethylene Recycling HC'!Z137+'Ethylene Recycling HC'!Z183+'Ethylene Recycling HC'!Z202-('Ethylene Recycling HC'!$C$94+'Ethylene Recycling HC'!$C$137+'Ethylene Recycling HC'!$C$183+'Ethylene Recycling HC'!$C$202))</f>
        <v>2.5243683874514229</v>
      </c>
      <c r="AB128" s="60">
        <f>AB44-('Ethylene Recycling HC'!AA94+'Ethylene Recycling HC'!AA137+'Ethylene Recycling HC'!AA183+'Ethylene Recycling HC'!AA202-('Ethylene Recycling HC'!$C$94+'Ethylene Recycling HC'!$C$137+'Ethylene Recycling HC'!$C$183+'Ethylene Recycling HC'!$C$202))</f>
        <v>2.0779665509406646</v>
      </c>
      <c r="AC128" s="60">
        <f>AC44-('Ethylene Recycling HC'!AB94+'Ethylene Recycling HC'!AB137+'Ethylene Recycling HC'!AB183+'Ethylene Recycling HC'!AB202-('Ethylene Recycling HC'!$C$94+'Ethylene Recycling HC'!$C$137+'Ethylene Recycling HC'!$C$183+'Ethylene Recycling HC'!$C$202))</f>
        <v>1.6655801335209643</v>
      </c>
      <c r="AD128" s="60">
        <f>AD44-('Ethylene Recycling HC'!AC94+'Ethylene Recycling HC'!AC137+'Ethylene Recycling HC'!AC183+'Ethylene Recycling HC'!AC202-('Ethylene Recycling HC'!$C$94+'Ethylene Recycling HC'!$C$137+'Ethylene Recycling HC'!$C$183+'Ethylene Recycling HC'!$C$202))</f>
        <v>1.2858688853698128</v>
      </c>
      <c r="AE128" s="60">
        <f>AE44-('Ethylene Recycling HC'!AD94+'Ethylene Recycling HC'!AD137+'Ethylene Recycling HC'!AD183+'Ethylene Recycling HC'!AD202-('Ethylene Recycling HC'!$C$94+'Ethylene Recycling HC'!$C$137+'Ethylene Recycling HC'!$C$183+'Ethylene Recycling HC'!$C$202))</f>
        <v>0.93750169040837239</v>
      </c>
      <c r="AF128" s="60">
        <f>AF44-('Ethylene Recycling HC'!AE94+'Ethylene Recycling HC'!AE137+'Ethylene Recycling HC'!AE183+'Ethylene Recycling HC'!AE202-('Ethylene Recycling HC'!$C$94+'Ethylene Recycling HC'!$C$137+'Ethylene Recycling HC'!$C$183+'Ethylene Recycling HC'!$C$202))</f>
        <v>0.61904298653346768</v>
      </c>
      <c r="AG128" s="60">
        <f>AG44-('Ethylene Recycling HC'!AF94+'Ethylene Recycling HC'!AF137+'Ethylene Recycling HC'!AF183+'Ethylene Recycling HC'!AF202-('Ethylene Recycling HC'!$C$94+'Ethylene Recycling HC'!$C$137+'Ethylene Recycling HC'!$C$183+'Ethylene Recycling HC'!$C$202))</f>
        <v>0.32895175992523207</v>
      </c>
      <c r="AH128" s="60">
        <f>AH44-('Ethylene Recycling HC'!AG94+'Ethylene Recycling HC'!AG137+'Ethylene Recycling HC'!AG183+'Ethylene Recycling HC'!AG202-('Ethylene Recycling HC'!$C$94+'Ethylene Recycling HC'!$C$137+'Ethylene Recycling HC'!$C$183+'Ethylene Recycling HC'!$C$202))</f>
        <v>6.5580624954480804E-2</v>
      </c>
      <c r="AI128" s="60"/>
    </row>
    <row r="129" spans="1:36" x14ac:dyDescent="0.2">
      <c r="A129" s="688"/>
      <c r="B129" s="1" t="s">
        <v>260</v>
      </c>
      <c r="C129" s="54" t="s">
        <v>153</v>
      </c>
      <c r="D129" s="44">
        <f>D45+(D133-D49)</f>
        <v>4.5813083502024288</v>
      </c>
      <c r="E129" s="44">
        <f t="shared" ref="E129:AH129" si="42">E45+(E133-E49)</f>
        <v>4.5160248306367645</v>
      </c>
      <c r="F129" s="44">
        <f t="shared" si="42"/>
        <v>4.4470262697397152</v>
      </c>
      <c r="G129" s="44">
        <f t="shared" si="42"/>
        <v>4.3744098214882161</v>
      </c>
      <c r="H129" s="44">
        <f t="shared" si="42"/>
        <v>4.2982923730650384</v>
      </c>
      <c r="I129" s="44">
        <f t="shared" si="42"/>
        <v>4.2188086798224234</v>
      </c>
      <c r="J129" s="44">
        <f t="shared" si="42"/>
        <v>4.145932361181627</v>
      </c>
      <c r="K129" s="44">
        <f t="shared" si="42"/>
        <v>4.069856793877749</v>
      </c>
      <c r="L129" s="44">
        <f t="shared" si="42"/>
        <v>3.9905448145102667</v>
      </c>
      <c r="M129" s="44">
        <f t="shared" si="42"/>
        <v>3.9079600519485074</v>
      </c>
      <c r="N129" s="44">
        <f t="shared" si="42"/>
        <v>3.8220668289267454</v>
      </c>
      <c r="O129" s="44">
        <f t="shared" si="42"/>
        <v>3.7184251739874936</v>
      </c>
      <c r="P129" s="44">
        <f t="shared" si="42"/>
        <v>3.6117082697430045</v>
      </c>
      <c r="Q129" s="44">
        <f t="shared" si="42"/>
        <v>3.5040537560688541</v>
      </c>
      <c r="R129" s="44">
        <f t="shared" si="42"/>
        <v>3.3948478177215771</v>
      </c>
      <c r="S129" s="44">
        <f t="shared" si="42"/>
        <v>3.2843592472813135</v>
      </c>
      <c r="T129" s="44">
        <f t="shared" si="42"/>
        <v>3.1662162551721948</v>
      </c>
      <c r="U129" s="44">
        <f t="shared" si="42"/>
        <v>3.045348249194717</v>
      </c>
      <c r="V129" s="44">
        <f t="shared" si="42"/>
        <v>2.92185449879572</v>
      </c>
      <c r="W129" s="44">
        <f t="shared" si="42"/>
        <v>2.7958387822641422</v>
      </c>
      <c r="X129" s="44">
        <f t="shared" si="42"/>
        <v>2.6674092843329653</v>
      </c>
      <c r="Y129" s="44">
        <f t="shared" si="42"/>
        <v>2.5208591431586349</v>
      </c>
      <c r="Z129" s="44">
        <f t="shared" si="42"/>
        <v>2.3647179387359127</v>
      </c>
      <c r="AA129" s="44">
        <f t="shared" si="42"/>
        <v>2.2070819311476249</v>
      </c>
      <c r="AB129" s="44">
        <f t="shared" si="42"/>
        <v>2.0482025732458879</v>
      </c>
      <c r="AC129" s="44">
        <f t="shared" si="42"/>
        <v>1.8883394983244408</v>
      </c>
      <c r="AD129" s="44">
        <f t="shared" si="42"/>
        <v>1.7320518487370584</v>
      </c>
      <c r="AE129" s="44">
        <f t="shared" si="42"/>
        <v>1.5756973676995367</v>
      </c>
      <c r="AF129" s="44">
        <f t="shared" si="42"/>
        <v>1.4195534430528804</v>
      </c>
      <c r="AG129" s="44">
        <f t="shared" si="42"/>
        <v>1.2639046416165605</v>
      </c>
      <c r="AH129" s="44">
        <f t="shared" si="42"/>
        <v>1.1090425089071179</v>
      </c>
      <c r="AI129" s="44"/>
    </row>
    <row r="130" spans="1:36" x14ac:dyDescent="0.2">
      <c r="A130" s="688"/>
      <c r="B130" s="1" t="s">
        <v>262</v>
      </c>
      <c r="C130" s="54" t="s">
        <v>153</v>
      </c>
      <c r="D130" s="44">
        <f>D46+(D132-D48)</f>
        <v>13.515976331360944</v>
      </c>
      <c r="E130" s="44">
        <f t="shared" ref="E130:AH130" si="43">E46+(E132-E48)</f>
        <v>13.338966723511231</v>
      </c>
      <c r="F130" s="44">
        <f t="shared" si="43"/>
        <v>13.149774516038821</v>
      </c>
      <c r="G130" s="44">
        <f t="shared" si="43"/>
        <v>12.948602350029853</v>
      </c>
      <c r="H130" s="44">
        <f t="shared" si="43"/>
        <v>12.735718703234351</v>
      </c>
      <c r="I130" s="44">
        <f t="shared" si="43"/>
        <v>12.511453100218706</v>
      </c>
      <c r="J130" s="44">
        <f t="shared" si="43"/>
        <v>12.275011232246406</v>
      </c>
      <c r="K130" s="44">
        <f t="shared" si="43"/>
        <v>12.026239259660725</v>
      </c>
      <c r="L130" s="44">
        <f t="shared" si="43"/>
        <v>11.764993617911431</v>
      </c>
      <c r="M130" s="44">
        <f t="shared" si="43"/>
        <v>11.491141124514412</v>
      </c>
      <c r="N130" s="44">
        <f t="shared" si="43"/>
        <v>11.204559023687208</v>
      </c>
      <c r="O130" s="44">
        <f t="shared" si="43"/>
        <v>10.855685949322845</v>
      </c>
      <c r="P130" s="44">
        <f t="shared" si="43"/>
        <v>10.491893687742186</v>
      </c>
      <c r="Q130" s="44">
        <f t="shared" si="43"/>
        <v>10.119832567122598</v>
      </c>
      <c r="R130" s="44">
        <f t="shared" si="43"/>
        <v>9.7379244846355633</v>
      </c>
      <c r="S130" s="44">
        <f t="shared" si="43"/>
        <v>9.3473150001766196</v>
      </c>
      <c r="T130" s="44">
        <f t="shared" si="43"/>
        <v>8.9457933438252812</v>
      </c>
      <c r="U130" s="44">
        <f t="shared" si="43"/>
        <v>8.5337000762260189</v>
      </c>
      <c r="V130" s="44">
        <f t="shared" si="43"/>
        <v>8.111394053648791</v>
      </c>
      <c r="W130" s="44">
        <f t="shared" si="43"/>
        <v>7.6792521824020881</v>
      </c>
      <c r="X130" s="44">
        <f t="shared" si="43"/>
        <v>7.2376691362724879</v>
      </c>
      <c r="Y130" s="44">
        <f t="shared" si="43"/>
        <v>6.7221903815218544</v>
      </c>
      <c r="Z130" s="44">
        <f t="shared" si="43"/>
        <v>6.1742523616694616</v>
      </c>
      <c r="AA130" s="44">
        <f t="shared" si="43"/>
        <v>5.6183889672895466</v>
      </c>
      <c r="AB130" s="44">
        <f t="shared" si="43"/>
        <v>5.0553614667559321</v>
      </c>
      <c r="AC130" s="44">
        <f t="shared" si="43"/>
        <v>4.4860740716244765</v>
      </c>
      <c r="AD130" s="44">
        <f t="shared" si="43"/>
        <v>3.9114269610292181</v>
      </c>
      <c r="AE130" s="44">
        <f t="shared" si="43"/>
        <v>3.3323798658426087</v>
      </c>
      <c r="AF130" s="44">
        <f t="shared" si="43"/>
        <v>2.7499224823733703</v>
      </c>
      <c r="AG130" s="44">
        <f t="shared" si="43"/>
        <v>2.1650739308713742</v>
      </c>
      <c r="AH130" s="44">
        <f t="shared" si="43"/>
        <v>1.578882163959535</v>
      </c>
      <c r="AI130" s="44"/>
    </row>
    <row r="131" spans="1:36" x14ac:dyDescent="0.2">
      <c r="A131" s="689"/>
      <c r="B131" s="1" t="s">
        <v>248</v>
      </c>
      <c r="C131" s="54" t="s">
        <v>153</v>
      </c>
      <c r="D131" s="44">
        <f>D47-('Ethylene Recycling HC'!C95+'Ethylene Recycling HC'!C138+'Ethylene Recycling HC'!C184+'Ethylene Recycling HC'!C203-('Ethylene Recycling HC'!$C$95+'Ethylene Recycling HC'!$C$138+'Ethylene Recycling HC'!$C$184+'Ethylene Recycling HC'!$C$203)+'Ethylene Recycling HC'!C98+'Ethylene Recycling HC'!C141+'Ethylene Recycling HC'!C187+'Ethylene Recycling HC'!C206-('Ethylene Recycling HC'!$C$98+'Ethylene Recycling HC'!$C$141+'Ethylene Recycling HC'!$C$187+'Ethylene Recycling HC'!$C$206))</f>
        <v>4.7444724576031234</v>
      </c>
      <c r="E131" s="44">
        <f>E47-('Ethylene Recycling HC'!D95+'Ethylene Recycling HC'!D138+'Ethylene Recycling HC'!D184+'Ethylene Recycling HC'!D203-('Ethylene Recycling HC'!$C$95+'Ethylene Recycling HC'!$C$138+'Ethylene Recycling HC'!$C$184+'Ethylene Recycling HC'!$C$203)+'Ethylene Recycling HC'!D98+'Ethylene Recycling HC'!D141+'Ethylene Recycling HC'!D187+'Ethylene Recycling HC'!D206-('Ethylene Recycling HC'!$C$98+'Ethylene Recycling HC'!$C$141+'Ethylene Recycling HC'!$C$187+'Ethylene Recycling HC'!$C$206))</f>
        <v>4.6655684006385965</v>
      </c>
      <c r="F131" s="44">
        <f>F47-('Ethylene Recycling HC'!E95+'Ethylene Recycling HC'!E138+'Ethylene Recycling HC'!E184+'Ethylene Recycling HC'!E203-('Ethylene Recycling HC'!$C$95+'Ethylene Recycling HC'!$C$138+'Ethylene Recycling HC'!$C$184+'Ethylene Recycling HC'!$C$203)+'Ethylene Recycling HC'!E98+'Ethylene Recycling HC'!E141+'Ethylene Recycling HC'!E187+'Ethylene Recycling HC'!E206-('Ethylene Recycling HC'!$C$98+'Ethylene Recycling HC'!$C$141+'Ethylene Recycling HC'!$C$187+'Ethylene Recycling HC'!$C$206))</f>
        <v>4.5800951736763809</v>
      </c>
      <c r="G131" s="44">
        <f>G47-('Ethylene Recycling HC'!F95+'Ethylene Recycling HC'!F138+'Ethylene Recycling HC'!F184+'Ethylene Recycling HC'!F203-('Ethylene Recycling HC'!$C$95+'Ethylene Recycling HC'!$C$138+'Ethylene Recycling HC'!$C$184+'Ethylene Recycling HC'!$C$203)+'Ethylene Recycling HC'!F98+'Ethylene Recycling HC'!F141+'Ethylene Recycling HC'!F187+'Ethylene Recycling HC'!F206-('Ethylene Recycling HC'!$C$98+'Ethylene Recycling HC'!$C$141+'Ethylene Recycling HC'!$C$187+'Ethylene Recycling HC'!$C$206))</f>
        <v>4.4881675305176563</v>
      </c>
      <c r="H131" s="44">
        <f>H47-('Ethylene Recycling HC'!G95+'Ethylene Recycling HC'!G138+'Ethylene Recycling HC'!G184+'Ethylene Recycling HC'!G203-('Ethylene Recycling HC'!$C$95+'Ethylene Recycling HC'!$C$138+'Ethylene Recycling HC'!$C$184+'Ethylene Recycling HC'!$C$203)+'Ethylene Recycling HC'!G98+'Ethylene Recycling HC'!G141+'Ethylene Recycling HC'!G187+'Ethylene Recycling HC'!G206-('Ethylene Recycling HC'!$C$98+'Ethylene Recycling HC'!$C$141+'Ethylene Recycling HC'!$C$187+'Ethylene Recycling HC'!$C$206))</f>
        <v>4.3899590698159985</v>
      </c>
      <c r="I131" s="44">
        <f>I47-('Ethylene Recycling HC'!H95+'Ethylene Recycling HC'!H138+'Ethylene Recycling HC'!H184+'Ethylene Recycling HC'!H203-('Ethylene Recycling HC'!$C$95+'Ethylene Recycling HC'!$C$138+'Ethylene Recycling HC'!$C$184+'Ethylene Recycling HC'!$C$203)+'Ethylene Recycling HC'!H98+'Ethylene Recycling HC'!H141+'Ethylene Recycling HC'!H187+'Ethylene Recycling HC'!H206-('Ethylene Recycling HC'!$C$98+'Ethylene Recycling HC'!$C$141+'Ethylene Recycling HC'!$C$187+'Ethylene Recycling HC'!$C$206))</f>
        <v>4.2857008258538487</v>
      </c>
      <c r="J131" s="44">
        <f>J47-('Ethylene Recycling HC'!I95+'Ethylene Recycling HC'!I138+'Ethylene Recycling HC'!I184+'Ethylene Recycling HC'!I203-('Ethylene Recycling HC'!$C$95+'Ethylene Recycling HC'!$C$138+'Ethylene Recycling HC'!$C$184+'Ethylene Recycling HC'!$C$203)+'Ethylene Recycling HC'!I98+'Ethylene Recycling HC'!I141+'Ethylene Recycling HC'!I187+'Ethylene Recycling HC'!I206-('Ethylene Recycling HC'!$C$98+'Ethylene Recycling HC'!$C$141+'Ethylene Recycling HC'!$C$187+'Ethylene Recycling HC'!$C$206))</f>
        <v>4.1767165682927505</v>
      </c>
      <c r="K131" s="44">
        <f>K47-('Ethylene Recycling HC'!J95+'Ethylene Recycling HC'!J138+'Ethylene Recycling HC'!J184+'Ethylene Recycling HC'!J203-('Ethylene Recycling HC'!$C$95+'Ethylene Recycling HC'!$C$138+'Ethylene Recycling HC'!$C$184+'Ethylene Recycling HC'!$C$203)+'Ethylene Recycling HC'!J98+'Ethylene Recycling HC'!J141+'Ethylene Recycling HC'!J187+'Ethylene Recycling HC'!J206-('Ethylene Recycling HC'!$C$98+'Ethylene Recycling HC'!$C$141+'Ethylene Recycling HC'!$C$187+'Ethylene Recycling HC'!$C$206))</f>
        <v>4.0613207912584288</v>
      </c>
      <c r="L131" s="44">
        <f>L47-('Ethylene Recycling HC'!K95+'Ethylene Recycling HC'!K138+'Ethylene Recycling HC'!K184+'Ethylene Recycling HC'!K203-('Ethylene Recycling HC'!$C$95+'Ethylene Recycling HC'!$C$138+'Ethylene Recycling HC'!$C$184+'Ethylene Recycling HC'!$C$203)+'Ethylene Recycling HC'!K98+'Ethylene Recycling HC'!K141+'Ethylene Recycling HC'!K187+'Ethylene Recycling HC'!K206-('Ethylene Recycling HC'!$C$98+'Ethylene Recycling HC'!$C$141+'Ethylene Recycling HC'!$C$187+'Ethylene Recycling HC'!$C$206))</f>
        <v>3.9394683860262072</v>
      </c>
      <c r="M131" s="44">
        <f>M47-('Ethylene Recycling HC'!L95+'Ethylene Recycling HC'!L138+'Ethylene Recycling HC'!L184+'Ethylene Recycling HC'!L203-('Ethylene Recycling HC'!$C$95+'Ethylene Recycling HC'!$C$138+'Ethylene Recycling HC'!$C$184+'Ethylene Recycling HC'!$C$203)+'Ethylene Recycling HC'!L98+'Ethylene Recycling HC'!L141+'Ethylene Recycling HC'!L187+'Ethylene Recycling HC'!L206-('Ethylene Recycling HC'!$C$98+'Ethylene Recycling HC'!$C$141+'Ethylene Recycling HC'!$C$187+'Ethylene Recycling HC'!$C$206))</f>
        <v>3.8111263679995839</v>
      </c>
      <c r="N131" s="44">
        <f>N47-('Ethylene Recycling HC'!M95+'Ethylene Recycling HC'!M138+'Ethylene Recycling HC'!M184+'Ethylene Recycling HC'!M203-('Ethylene Recycling HC'!$C$95+'Ethylene Recycling HC'!$C$138+'Ethylene Recycling HC'!$C$184+'Ethylene Recycling HC'!$C$203)+'Ethylene Recycling HC'!M98+'Ethylene Recycling HC'!M141+'Ethylene Recycling HC'!M187+'Ethylene Recycling HC'!M206-('Ethylene Recycling HC'!$C$98+'Ethylene Recycling HC'!$C$141+'Ethylene Recycling HC'!$C$187+'Ethylene Recycling HC'!$C$206))</f>
        <v>3.6762741636662666</v>
      </c>
      <c r="O131" s="44">
        <f>O47-('Ethylene Recycling HC'!N95+'Ethylene Recycling HC'!N138+'Ethylene Recycling HC'!N184+'Ethylene Recycling HC'!N203-('Ethylene Recycling HC'!$C$95+'Ethylene Recycling HC'!$C$138+'Ethylene Recycling HC'!$C$184+'Ethylene Recycling HC'!$C$203)+'Ethylene Recycling HC'!N98+'Ethylene Recycling HC'!N141+'Ethylene Recycling HC'!N187+'Ethylene Recycling HC'!N206-('Ethylene Recycling HC'!$C$98+'Ethylene Recycling HC'!$C$141+'Ethylene Recycling HC'!$C$187+'Ethylene Recycling HC'!$C$206))</f>
        <v>3.518146352821244</v>
      </c>
      <c r="P131" s="44">
        <f>P47-('Ethylene Recycling HC'!O95+'Ethylene Recycling HC'!O138+'Ethylene Recycling HC'!O184+'Ethylene Recycling HC'!O203-('Ethylene Recycling HC'!$C$95+'Ethylene Recycling HC'!$C$138+'Ethylene Recycling HC'!$C$184+'Ethylene Recycling HC'!$C$203)+'Ethylene Recycling HC'!O98+'Ethylene Recycling HC'!O141+'Ethylene Recycling HC'!O187+'Ethylene Recycling HC'!O206-('Ethylene Recycling HC'!$C$98+'Ethylene Recycling HC'!$C$141+'Ethylene Recycling HC'!$C$187+'Ethylene Recycling HC'!$C$206))</f>
        <v>3.3508204210781867</v>
      </c>
      <c r="Q131" s="44">
        <f>Q47-('Ethylene Recycling HC'!P95+'Ethylene Recycling HC'!P138+'Ethylene Recycling HC'!P184+'Ethylene Recycling HC'!P203-('Ethylene Recycling HC'!$C$95+'Ethylene Recycling HC'!$C$138+'Ethylene Recycling HC'!$C$184+'Ethylene Recycling HC'!$C$203)+'Ethylene Recycling HC'!P98+'Ethylene Recycling HC'!P141+'Ethylene Recycling HC'!P187+'Ethylene Recycling HC'!P206-('Ethylene Recycling HC'!$C$98+'Ethylene Recycling HC'!$C$141+'Ethylene Recycling HC'!$C$187+'Ethylene Recycling HC'!$C$206))</f>
        <v>3.1807705063563732</v>
      </c>
      <c r="R131" s="44">
        <f>R47-('Ethylene Recycling HC'!Q95+'Ethylene Recycling HC'!Q138+'Ethylene Recycling HC'!Q184+'Ethylene Recycling HC'!Q203-('Ethylene Recycling HC'!$C$95+'Ethylene Recycling HC'!$C$138+'Ethylene Recycling HC'!$C$184+'Ethylene Recycling HC'!$C$203)+'Ethylene Recycling HC'!Q98+'Ethylene Recycling HC'!Q141+'Ethylene Recycling HC'!Q187+'Ethylene Recycling HC'!Q206-('Ethylene Recycling HC'!$C$98+'Ethylene Recycling HC'!$C$141+'Ethylene Recycling HC'!$C$187+'Ethylene Recycling HC'!$C$206))</f>
        <v>3.0061277978658412</v>
      </c>
      <c r="S131" s="44">
        <f>S47-('Ethylene Recycling HC'!R95+'Ethylene Recycling HC'!R138+'Ethylene Recycling HC'!R184+'Ethylene Recycling HC'!R203-('Ethylene Recycling HC'!$C$95+'Ethylene Recycling HC'!$C$138+'Ethylene Recycling HC'!$C$184+'Ethylene Recycling HC'!$C$203)+'Ethylene Recycling HC'!R98+'Ethylene Recycling HC'!R141+'Ethylene Recycling HC'!R187+'Ethylene Recycling HC'!R206-('Ethylene Recycling HC'!$C$98+'Ethylene Recycling HC'!$C$141+'Ethylene Recycling HC'!$C$187+'Ethylene Recycling HC'!$C$206))</f>
        <v>2.8278198780630039</v>
      </c>
      <c r="T131" s="44">
        <f>T47-('Ethylene Recycling HC'!S95+'Ethylene Recycling HC'!S138+'Ethylene Recycling HC'!S184+'Ethylene Recycling HC'!S203-('Ethylene Recycling HC'!$C$95+'Ethylene Recycling HC'!$C$138+'Ethylene Recycling HC'!$C$184+'Ethylene Recycling HC'!$C$203)+'Ethylene Recycling HC'!S98+'Ethylene Recycling HC'!S141+'Ethylene Recycling HC'!S187+'Ethylene Recycling HC'!S206-('Ethylene Recycling HC'!$C$98+'Ethylene Recycling HC'!$C$141+'Ethylene Recycling HC'!$C$187+'Ethylene Recycling HC'!$C$206))</f>
        <v>2.6438001020486768</v>
      </c>
      <c r="U131" s="44">
        <f>U47-('Ethylene Recycling HC'!T95+'Ethylene Recycling HC'!T138+'Ethylene Recycling HC'!T184+'Ethylene Recycling HC'!T203-('Ethylene Recycling HC'!$C$95+'Ethylene Recycling HC'!$C$138+'Ethylene Recycling HC'!$C$184+'Ethylene Recycling HC'!$C$203)+'Ethylene Recycling HC'!T98+'Ethylene Recycling HC'!T141+'Ethylene Recycling HC'!T187+'Ethylene Recycling HC'!T206-('Ethylene Recycling HC'!$C$98+'Ethylene Recycling HC'!$C$141+'Ethylene Recycling HC'!$C$187+'Ethylene Recycling HC'!$C$206))</f>
        <v>2.4553422299227838</v>
      </c>
      <c r="V131" s="44">
        <f>V47-('Ethylene Recycling HC'!U95+'Ethylene Recycling HC'!U138+'Ethylene Recycling HC'!U184+'Ethylene Recycling HC'!U203-('Ethylene Recycling HC'!$C$95+'Ethylene Recycling HC'!$C$138+'Ethylene Recycling HC'!$C$184+'Ethylene Recycling HC'!$C$203)+'Ethylene Recycling HC'!U98+'Ethylene Recycling HC'!U141+'Ethylene Recycling HC'!U187+'Ethylene Recycling HC'!U206-('Ethylene Recycling HC'!$C$98+'Ethylene Recycling HC'!$C$141+'Ethylene Recycling HC'!$C$187+'Ethylene Recycling HC'!$C$206))</f>
        <v>2.2629370429349045</v>
      </c>
      <c r="W131" s="44">
        <f>W47-('Ethylene Recycling HC'!V95+'Ethylene Recycling HC'!V138+'Ethylene Recycling HC'!V184+'Ethylene Recycling HC'!V203-('Ethylene Recycling HC'!$C$95+'Ethylene Recycling HC'!$C$138+'Ethylene Recycling HC'!$C$184+'Ethylene Recycling HC'!$C$203)+'Ethylene Recycling HC'!V98+'Ethylene Recycling HC'!V141+'Ethylene Recycling HC'!V187+'Ethylene Recycling HC'!V206-('Ethylene Recycling HC'!$C$98+'Ethylene Recycling HC'!$C$141+'Ethylene Recycling HC'!$C$187+'Ethylene Recycling HC'!$C$206))</f>
        <v>2.0670983176280329</v>
      </c>
      <c r="X131" s="44">
        <f>X47-('Ethylene Recycling HC'!W95+'Ethylene Recycling HC'!W138+'Ethylene Recycling HC'!W184+'Ethylene Recycling HC'!W203-('Ethylene Recycling HC'!$C$95+'Ethylene Recycling HC'!$C$138+'Ethylene Recycling HC'!$C$184+'Ethylene Recycling HC'!$C$203)+'Ethylene Recycling HC'!W98+'Ethylene Recycling HC'!W141+'Ethylene Recycling HC'!W187+'Ethylene Recycling HC'!W206-('Ethylene Recycling HC'!$C$98+'Ethylene Recycling HC'!$C$141+'Ethylene Recycling HC'!$C$187+'Ethylene Recycling HC'!$C$206))</f>
        <v>1.8683627232271536</v>
      </c>
      <c r="Y131" s="44">
        <f>Y47-('Ethylene Recycling HC'!X95+'Ethylene Recycling HC'!X138+'Ethylene Recycling HC'!X184+'Ethylene Recycling HC'!X203-('Ethylene Recycling HC'!$C$95+'Ethylene Recycling HC'!$C$138+'Ethylene Recycling HC'!$C$184+'Ethylene Recycling HC'!$C$203)+'Ethylene Recycling HC'!X98+'Ethylene Recycling HC'!X141+'Ethylene Recycling HC'!X187+'Ethylene Recycling HC'!X206-('Ethylene Recycling HC'!$C$98+'Ethylene Recycling HC'!$C$141+'Ethylene Recycling HC'!$C$187+'Ethylene Recycling HC'!$C$206))</f>
        <v>1.6511389311832734</v>
      </c>
      <c r="Z131" s="44">
        <f>Z47-('Ethylene Recycling HC'!Y95+'Ethylene Recycling HC'!Y138+'Ethylene Recycling HC'!Y184+'Ethylene Recycling HC'!Y203-('Ethylene Recycling HC'!$C$95+'Ethylene Recycling HC'!$C$138+'Ethylene Recycling HC'!$C$184+'Ethylene Recycling HC'!$C$203)+'Ethylene Recycling HC'!Y98+'Ethylene Recycling HC'!Y141+'Ethylene Recycling HC'!Y187+'Ethylene Recycling HC'!Y206-('Ethylene Recycling HC'!$C$98+'Ethylene Recycling HC'!$C$141+'Ethylene Recycling HC'!$C$187+'Ethylene Recycling HC'!$C$206))</f>
        <v>1.4077047933926823</v>
      </c>
      <c r="AA131" s="44">
        <f>AA47-('Ethylene Recycling HC'!Z95+'Ethylene Recycling HC'!Z138+'Ethylene Recycling HC'!Z184+'Ethylene Recycling HC'!Z203-('Ethylene Recycling HC'!$C$95+'Ethylene Recycling HC'!$C$138+'Ethylene Recycling HC'!$C$184+'Ethylene Recycling HC'!$C$203)+'Ethylene Recycling HC'!Z98+'Ethylene Recycling HC'!Z141+'Ethylene Recycling HC'!Z187+'Ethylene Recycling HC'!Z206-('Ethylene Recycling HC'!$C$98+'Ethylene Recycling HC'!$C$141+'Ethylene Recycling HC'!$C$187+'Ethylene Recycling HC'!$C$206))</f>
        <v>1.1628665744623083</v>
      </c>
      <c r="AB131" s="44">
        <f>AB47-('Ethylene Recycling HC'!AA95+'Ethylene Recycling HC'!AA138+'Ethylene Recycling HC'!AA184+'Ethylene Recycling HC'!AA203-('Ethylene Recycling HC'!$C$95+'Ethylene Recycling HC'!$C$138+'Ethylene Recycling HC'!$C$184+'Ethylene Recycling HC'!$C$203)+'Ethylene Recycling HC'!AA98+'Ethylene Recycling HC'!AA141+'Ethylene Recycling HC'!AA187+'Ethylene Recycling HC'!AA206-('Ethylene Recycling HC'!$C$98+'Ethylene Recycling HC'!$C$141+'Ethylene Recycling HC'!$C$187+'Ethylene Recycling HC'!$C$206))</f>
        <v>0.91734587551572067</v>
      </c>
      <c r="AC131" s="44">
        <f>AC47-('Ethylene Recycling HC'!AB95+'Ethylene Recycling HC'!AB138+'Ethylene Recycling HC'!AB184+'Ethylene Recycling HC'!AB203-('Ethylene Recycling HC'!$C$95+'Ethylene Recycling HC'!$C$138+'Ethylene Recycling HC'!$C$184+'Ethylene Recycling HC'!$C$203)+'Ethylene Recycling HC'!AB98+'Ethylene Recycling HC'!AB141+'Ethylene Recycling HC'!AB187+'Ethylene Recycling HC'!AB206-('Ethylene Recycling HC'!$C$98+'Ethylene Recycling HC'!$C$141+'Ethylene Recycling HC'!$C$187+'Ethylene Recycling HC'!$C$206))</f>
        <v>0.67217193520251639</v>
      </c>
      <c r="AD131" s="44">
        <f>AD47-('Ethylene Recycling HC'!AC95+'Ethylene Recycling HC'!AC138+'Ethylene Recycling HC'!AC184+'Ethylene Recycling HC'!AC203-('Ethylene Recycling HC'!$C$95+'Ethylene Recycling HC'!$C$138+'Ethylene Recycling HC'!$C$184+'Ethylene Recycling HC'!$C$203)+'Ethylene Recycling HC'!AC98+'Ethylene Recycling HC'!AC141+'Ethylene Recycling HC'!AC187+'Ethylene Recycling HC'!AC206-('Ethylene Recycling HC'!$C$98+'Ethylene Recycling HC'!$C$141+'Ethylene Recycling HC'!$C$187+'Ethylene Recycling HC'!$C$206))</f>
        <v>0.42910743399309714</v>
      </c>
      <c r="AE131" s="44">
        <f>AE47-('Ethylene Recycling HC'!AD95+'Ethylene Recycling HC'!AD138+'Ethylene Recycling HC'!AD184+'Ethylene Recycling HC'!AD203-('Ethylene Recycling HC'!$C$95+'Ethylene Recycling HC'!$C$138+'Ethylene Recycling HC'!$C$184+'Ethylene Recycling HC'!$C$203)+'Ethylene Recycling HC'!AD98+'Ethylene Recycling HC'!AD141+'Ethylene Recycling HC'!AD187+'Ethylene Recycling HC'!AD206-('Ethylene Recycling HC'!$C$98+'Ethylene Recycling HC'!$C$141+'Ethylene Recycling HC'!$C$187+'Ethylene Recycling HC'!$C$206))</f>
        <v>0.18860062574508119</v>
      </c>
      <c r="AF131" s="44">
        <f>AF47-('Ethylene Recycling HC'!AE95+'Ethylene Recycling HC'!AE138+'Ethylene Recycling HC'!AE184+'Ethylene Recycling HC'!AE203-('Ethylene Recycling HC'!$C$95+'Ethylene Recycling HC'!$C$138+'Ethylene Recycling HC'!$C$184+'Ethylene Recycling HC'!$C$203)+'Ethylene Recycling HC'!AE98+'Ethylene Recycling HC'!AE141+'Ethylene Recycling HC'!AE187+'Ethylene Recycling HC'!AE206-('Ethylene Recycling HC'!$C$98+'Ethylene Recycling HC'!$C$141+'Ethylene Recycling HC'!$C$187+'Ethylene Recycling HC'!$C$206))</f>
        <v>-4.8210621235968532E-2</v>
      </c>
      <c r="AG131" s="44">
        <f>AG47-('Ethylene Recycling HC'!AF95+'Ethylene Recycling HC'!AF138+'Ethylene Recycling HC'!AF184+'Ethylene Recycling HC'!AF203-('Ethylene Recycling HC'!$C$95+'Ethylene Recycling HC'!$C$138+'Ethylene Recycling HC'!$C$184+'Ethylene Recycling HC'!$C$203)+'Ethylene Recycling HC'!AF98+'Ethylene Recycling HC'!AF141+'Ethylene Recycling HC'!AF187+'Ethylene Recycling HC'!AF206-('Ethylene Recycling HC'!$C$98+'Ethylene Recycling HC'!$C$141+'Ethylene Recycling HC'!$C$187+'Ethylene Recycling HC'!$C$206))</f>
        <v>-0.28015134862002267</v>
      </c>
      <c r="AH131" s="44">
        <f>AH47-('Ethylene Recycling HC'!AG95+'Ethylene Recycling HC'!AG138+'Ethylene Recycling HC'!AG184+'Ethylene Recycling HC'!AG203-('Ethylene Recycling HC'!$C$95+'Ethylene Recycling HC'!$C$138+'Ethylene Recycling HC'!$C$184+'Ethylene Recycling HC'!$C$203)+'Ethylene Recycling HC'!AG98+'Ethylene Recycling HC'!AG141+'Ethylene Recycling HC'!AG187+'Ethylene Recycling HC'!AG206-('Ethylene Recycling HC'!$C$98+'Ethylene Recycling HC'!$C$141+'Ethylene Recycling HC'!$C$187+'Ethylene Recycling HC'!$C$206))</f>
        <v>-0.50600982889887769</v>
      </c>
      <c r="AI131" s="44"/>
    </row>
    <row r="132" spans="1:36" s="67" customFormat="1" x14ac:dyDescent="0.2">
      <c r="A132" s="690" t="s">
        <v>263</v>
      </c>
      <c r="B132" s="58" t="s">
        <v>264</v>
      </c>
      <c r="C132" s="59" t="s">
        <v>153</v>
      </c>
      <c r="D132" s="60">
        <f>D48-('Ethylene Recycling HC'!C96+'Ethylene Recycling HC'!C139+'Ethylene Recycling HC'!C185+'Ethylene Recycling HC'!C204-('Ethylene Recycling HC'!$C$96+'Ethylene Recycling HC'!$C$139+'Ethylene Recycling HC'!$C$185+'Ethylene Recycling HC'!$C$204))</f>
        <v>12.975337278106506</v>
      </c>
      <c r="E132" s="60">
        <f>E48-('Ethylene Recycling HC'!D96+'Ethylene Recycling HC'!D139+'Ethylene Recycling HC'!D185+'Ethylene Recycling HC'!D204-('Ethylene Recycling HC'!$C$96+'Ethylene Recycling HC'!$C$139+'Ethylene Recycling HC'!$C$185+'Ethylene Recycling HC'!$C$204))</f>
        <v>12.802631372070213</v>
      </c>
      <c r="F132" s="60">
        <f>F48-('Ethylene Recycling HC'!E96+'Ethylene Recycling HC'!E139+'Ethylene Recycling HC'!E185+'Ethylene Recycling HC'!E204-('Ethylene Recycling HC'!$C$96+'Ethylene Recycling HC'!$C$139+'Ethylene Recycling HC'!$C$185+'Ethylene Recycling HC'!$C$204))</f>
        <v>12.618045436959271</v>
      </c>
      <c r="G132" s="60">
        <f>G48-('Ethylene Recycling HC'!F96+'Ethylene Recycling HC'!F139+'Ethylene Recycling HC'!F185+'Ethylene Recycling HC'!F204-('Ethylene Recycling HC'!$C$96+'Ethylene Recycling HC'!$C$139+'Ethylene Recycling HC'!$C$185+'Ethylene Recycling HC'!$C$204))</f>
        <v>12.421791157488626</v>
      </c>
      <c r="H132" s="60">
        <f>H48-('Ethylene Recycling HC'!G96+'Ethylene Recycling HC'!G139+'Ethylene Recycling HC'!G185+'Ethylene Recycling HC'!G204-('Ethylene Recycling HC'!$C$96+'Ethylene Recycling HC'!$C$139+'Ethylene Recycling HC'!$C$185+'Ethylene Recycling HC'!$C$204))</f>
        <v>12.214146275077605</v>
      </c>
      <c r="I132" s="60">
        <f>I48-('Ethylene Recycling HC'!H96+'Ethylene Recycling HC'!H139+'Ethylene Recycling HC'!H185+'Ethylene Recycling HC'!H204-('Ethylene Recycling HC'!$C$96+'Ethylene Recycling HC'!$C$139+'Ethylene Recycling HC'!$C$185+'Ethylene Recycling HC'!$C$204))</f>
        <v>11.995449802870157</v>
      </c>
      <c r="J132" s="60">
        <f>J48-('Ethylene Recycling HC'!I96+'Ethylene Recycling HC'!I139+'Ethylene Recycling HC'!I185+'Ethylene Recycling HC'!I204-('Ethylene Recycling HC'!$C$96+'Ethylene Recycling HC'!$C$139+'Ethylene Recycling HC'!$C$185+'Ethylene Recycling HC'!$C$204))</f>
        <v>11.764917150585269</v>
      </c>
      <c r="K132" s="60">
        <f>K48-('Ethylene Recycling HC'!J96+'Ethylene Recycling HC'!J139+'Ethylene Recycling HC'!J185+'Ethylene Recycling HC'!J204-('Ethylene Recycling HC'!$C$96+'Ethylene Recycling HC'!$C$139+'Ethylene Recycling HC'!$C$185+'Ethylene Recycling HC'!$C$204))</f>
        <v>11.522404431973309</v>
      </c>
      <c r="L132" s="60">
        <f>L48-('Ethylene Recycling HC'!K96+'Ethylene Recycling HC'!K139+'Ethylene Recycling HC'!K185+'Ethylene Recycling HC'!K204-('Ethylene Recycling HC'!$C$96+'Ethylene Recycling HC'!$C$139+'Ethylene Recycling HC'!$C$185+'Ethylene Recycling HC'!$C$204))</f>
        <v>11.267778276022439</v>
      </c>
      <c r="M132" s="60">
        <f>M48-('Ethylene Recycling HC'!L96+'Ethylene Recycling HC'!L139+'Ethylene Recycling HC'!L185+'Ethylene Recycling HC'!L204-('Ethylene Recycling HC'!$C$96+'Ethylene Recycling HC'!$C$139+'Ethylene Recycling HC'!$C$185+'Ethylene Recycling HC'!$C$204))</f>
        <v>11.000915939206195</v>
      </c>
      <c r="N132" s="60">
        <f>N48-('Ethylene Recycling HC'!M96+'Ethylene Recycling HC'!M139+'Ethylene Recycling HC'!M185+'Ethylene Recycling HC'!M204-('Ethylene Recycling HC'!$C$96+'Ethylene Recycling HC'!$C$139+'Ethylene Recycling HC'!$C$185+'Ethylene Recycling HC'!$C$204))</f>
        <v>10.721705355517317</v>
      </c>
      <c r="O132" s="60">
        <f>O48-('Ethylene Recycling HC'!N96+'Ethylene Recycling HC'!N139+'Ethylene Recycling HC'!N185+'Ethylene Recycling HC'!N204-('Ethylene Recycling HC'!$C$96+'Ethylene Recycling HC'!$C$139+'Ethylene Recycling HC'!$C$185+'Ethylene Recycling HC'!$C$204))</f>
        <v>10.380596104952536</v>
      </c>
      <c r="P132" s="60">
        <f>P48-('Ethylene Recycling HC'!O96+'Ethylene Recycling HC'!O139+'Ethylene Recycling HC'!O185+'Ethylene Recycling HC'!O204-('Ethylene Recycling HC'!$C$96+'Ethylene Recycling HC'!$C$139+'Ethylene Recycling HC'!$C$185+'Ethylene Recycling HC'!$C$204))</f>
        <v>10.024971181890747</v>
      </c>
      <c r="Q132" s="60">
        <f>Q48-('Ethylene Recycling HC'!P96+'Ethylene Recycling HC'!P139+'Ethylene Recycling HC'!P185+'Ethylene Recycling HC'!P204-('Ethylene Recycling HC'!$C$96+'Ethylene Recycling HC'!$C$139+'Ethylene Recycling HC'!$C$185+'Ethylene Recycling HC'!$C$204))</f>
        <v>9.6614923902646943</v>
      </c>
      <c r="R132" s="60">
        <f>R48-('Ethylene Recycling HC'!Q96+'Ethylene Recycling HC'!Q139+'Ethylene Recycling HC'!Q185+'Ethylene Recycling HC'!Q204-('Ethylene Recycling HC'!$C$96+'Ethylene Recycling HC'!$C$139+'Ethylene Recycling HC'!$C$185+'Ethylene Recycling HC'!$C$204))</f>
        <v>9.288593376561165</v>
      </c>
      <c r="S132" s="60">
        <f>S48-('Ethylene Recycling HC'!R96+'Ethylene Recycling HC'!R139+'Ethylene Recycling HC'!R185+'Ethylene Recycling HC'!R204-('Ethylene Recycling HC'!$C$96+'Ethylene Recycling HC'!$C$139+'Ethylene Recycling HC'!$C$185+'Ethylene Recycling HC'!$C$204))</f>
        <v>8.9074317295354781</v>
      </c>
      <c r="T132" s="60">
        <f>T48-('Ethylene Recycling HC'!S96+'Ethylene Recycling HC'!S139+'Ethylene Recycling HC'!S185+'Ethylene Recycling HC'!S204-('Ethylene Recycling HC'!$C$96+'Ethylene Recycling HC'!$C$139+'Ethylene Recycling HC'!$C$185+'Ethylene Recycling HC'!$C$204))</f>
        <v>8.5158089937803609</v>
      </c>
      <c r="U132" s="60">
        <f>U48-('Ethylene Recycling HC'!T96+'Ethylene Recycling HC'!T139+'Ethylene Recycling HC'!T185+'Ethylene Recycling HC'!T204-('Ethylene Recycling HC'!$C$96+'Ethylene Recycling HC'!$C$139+'Ethylene Recycling HC'!$C$185+'Ethylene Recycling HC'!$C$204))</f>
        <v>8.1140783363428071</v>
      </c>
      <c r="V132" s="60">
        <f>V48-('Ethylene Recycling HC'!U96+'Ethylene Recycling HC'!U139+'Ethylene Recycling HC'!U185+'Ethylene Recycling HC'!U204-('Ethylene Recycling HC'!$C$96+'Ethylene Recycling HC'!$C$139+'Ethylene Recycling HC'!$C$185+'Ethylene Recycling HC'!$C$204))</f>
        <v>7.7026115181499462</v>
      </c>
      <c r="W132" s="60">
        <f>W48-('Ethylene Recycling HC'!V96+'Ethylene Recycling HC'!V139+'Ethylene Recycling HC'!V185+'Ethylene Recycling HC'!V204-('Ethylene Recycling HC'!$C$96+'Ethylene Recycling HC'!$C$139+'Ethylene Recycling HC'!$C$185+'Ethylene Recycling HC'!$C$204))</f>
        <v>7.2817986549195091</v>
      </c>
      <c r="X132" s="60">
        <f>X48-('Ethylene Recycling HC'!W96+'Ethylene Recycling HC'!W139+'Ethylene Recycling HC'!W185+'Ethylene Recycling HC'!W204-('Ethylene Recycling HC'!$C$96+'Ethylene Recycling HC'!$C$139+'Ethylene Recycling HC'!$C$185+'Ethylene Recycling HC'!$C$204))</f>
        <v>6.8520479412314836</v>
      </c>
      <c r="Y132" s="60">
        <f>Y48-('Ethylene Recycling HC'!X96+'Ethylene Recycling HC'!X139+'Ethylene Recycling HC'!X185+'Ethylene Recycling HC'!X204-('Ethylene Recycling HC'!$C$96+'Ethylene Recycling HC'!$C$139+'Ethylene Recycling HC'!$C$185+'Ethylene Recycling HC'!$C$204))</f>
        <v>6.3494915627836628</v>
      </c>
      <c r="Z132" s="60">
        <f>Z48-('Ethylene Recycling HC'!Y96+'Ethylene Recycling HC'!Y139+'Ethylene Recycling HC'!Y185+'Ethylene Recycling HC'!Y204-('Ethylene Recycling HC'!$C$96+'Ethylene Recycling HC'!$C$139+'Ethylene Recycling HC'!$C$185+'Ethylene Recycling HC'!$C$204))</f>
        <v>5.8150267245537446</v>
      </c>
      <c r="AA132" s="60">
        <f>AA48-('Ethylene Recycling HC'!Z96+'Ethylene Recycling HC'!Z139+'Ethylene Recycling HC'!Z185+'Ethylene Recycling HC'!Z204-('Ethylene Recycling HC'!$C$96+'Ethylene Recycling HC'!$C$139+'Ethylene Recycling HC'!$C$185+'Ethylene Recycling HC'!$C$204))</f>
        <v>5.273202309930082</v>
      </c>
      <c r="AB132" s="60">
        <f>AB48-('Ethylene Recycling HC'!AA96+'Ethylene Recycling HC'!AA139+'Ethylene Recycling HC'!AA185+'Ethylene Recycling HC'!AA204-('Ethylene Recycling HC'!$C$96+'Ethylene Recycling HC'!$C$139+'Ethylene Recycling HC'!$C$185+'Ethylene Recycling HC'!$C$204))</f>
        <v>4.7247949306735597</v>
      </c>
      <c r="AC132" s="60">
        <f>AC48-('Ethylene Recycling HC'!AB96+'Ethylene Recycling HC'!AB139+'Ethylene Recycling HC'!AB185+'Ethylene Recycling HC'!AB204-('Ethylene Recycling HC'!$C$96+'Ethylene Recycling HC'!$C$139+'Ethylene Recycling HC'!$C$185+'Ethylene Recycling HC'!$C$204))</f>
        <v>4.170724499886596</v>
      </c>
      <c r="AD132" s="60">
        <f>AD48-('Ethylene Recycling HC'!AC96+'Ethylene Recycling HC'!AC139+'Ethylene Recycling HC'!AC185+'Ethylene Recycling HC'!AC204-('Ethylene Recycling HC'!$C$96+'Ethylene Recycling HC'!$C$139+'Ethylene Recycling HC'!$C$185+'Ethylene Recycling HC'!$C$204))</f>
        <v>3.6119072641524688</v>
      </c>
      <c r="AE132" s="60">
        <f>AE48-('Ethylene Recycling HC'!AD96+'Ethylene Recycling HC'!AD139+'Ethylene Recycling HC'!AD185+'Ethylene Recycling HC'!AD204-('Ethylene Recycling HC'!$C$96+'Ethylene Recycling HC'!$C$139+'Ethylene Recycling HC'!$C$185+'Ethylene Recycling HC'!$C$204))</f>
        <v>3.0493193955985003</v>
      </c>
      <c r="AF132" s="60">
        <f>AF48-('Ethylene Recycling HC'!AE96+'Ethylene Recycling HC'!AE139+'Ethylene Recycling HC'!AE185+'Ethylene Recycling HC'!AE204-('Ethylene Recycling HC'!$C$96+'Ethylene Recycling HC'!$C$139+'Ethylene Recycling HC'!$C$185+'Ethylene Recycling HC'!$C$204))</f>
        <v>2.4839674136598111</v>
      </c>
      <c r="AG132" s="60">
        <f>AG48-('Ethylene Recycling HC'!AF96+'Ethylene Recycling HC'!AF139+'Ethylene Recycling HC'!AF185+'Ethylene Recycling HC'!AF204-('Ethylene Recycling HC'!$C$96+'Ethylene Recycling HC'!$C$139+'Ethylene Recycling HC'!$C$185+'Ethylene Recycling HC'!$C$204))</f>
        <v>1.9168876518163032</v>
      </c>
      <c r="AH132" s="60">
        <f>AH48-('Ethylene Recycling HC'!AG96+'Ethylene Recycling HC'!AG139+'Ethylene Recycling HC'!AG185+'Ethylene Recycling HC'!AG204-('Ethylene Recycling HC'!$C$96+'Ethylene Recycling HC'!$C$139+'Ethylene Recycling HC'!$C$185+'Ethylene Recycling HC'!$C$204))</f>
        <v>1.3491456744261994</v>
      </c>
      <c r="AI132" s="60"/>
    </row>
    <row r="133" spans="1:36" s="68" customFormat="1" x14ac:dyDescent="0.2">
      <c r="A133" s="691"/>
      <c r="B133" s="62" t="s">
        <v>266</v>
      </c>
      <c r="C133" s="283" t="s">
        <v>153</v>
      </c>
      <c r="D133" s="284">
        <f>D49-('Ethylene Recycling HC'!C205+'Ethylene Recycling HC'!C186+'Ethylene Recycling HC'!C140+'Ethylene Recycling HC'!C97-('Ethylene Recycling HC'!$C$205+'Ethylene Recycling HC'!$C$186+'Ethylene Recycling HC'!$C$140+'Ethylene Recycling HC'!$C$97))</f>
        <v>2.8011119939271252</v>
      </c>
      <c r="E133" s="284">
        <f>E49-('Ethylene Recycling HC'!D205+'Ethylene Recycling HC'!D186+'Ethylene Recycling HC'!D140+'Ethylene Recycling HC'!D97-('Ethylene Recycling HC'!$C$205+'Ethylene Recycling HC'!$C$186+'Ethylene Recycling HC'!$C$140+'Ethylene Recycling HC'!$C$97))</f>
        <v>2.7499995451352559</v>
      </c>
      <c r="F133" s="284">
        <f>F49-('Ethylene Recycling HC'!E205+'Ethylene Recycling HC'!E186+'Ethylene Recycling HC'!E140+'Ethylene Recycling HC'!E97-('Ethylene Recycling HC'!$C$205+'Ethylene Recycling HC'!$C$186+'Ethylene Recycling HC'!$C$140+'Ethylene Recycling HC'!$C$97))</f>
        <v>2.6961683481652745</v>
      </c>
      <c r="G133" s="284">
        <f>G49-('Ethylene Recycling HC'!F205+'Ethylene Recycling HC'!F186+'Ethylene Recycling HC'!F140+'Ethylene Recycling HC'!F97-('Ethylene Recycling HC'!$C$205+'Ethylene Recycling HC'!$C$186+'Ethylene Recycling HC'!$C$140+'Ethylene Recycling HC'!$C$97))</f>
        <v>2.6397453355218734</v>
      </c>
      <c r="H133" s="284">
        <f>H49-('Ethylene Recycling HC'!G205+'Ethylene Recycling HC'!G186+'Ethylene Recycling HC'!G140+'Ethylene Recycling HC'!G97-('Ethylene Recycling HC'!$C$205+'Ethylene Recycling HC'!$C$186+'Ethylene Recycling HC'!$C$140+'Ethylene Recycling HC'!$C$97))</f>
        <v>2.5808778974568041</v>
      </c>
      <c r="I133" s="284">
        <f>I49-('Ethylene Recycling HC'!H205+'Ethylene Recycling HC'!H186+'Ethylene Recycling HC'!H140+'Ethylene Recycling HC'!H97-('Ethylene Recycling HC'!$C$205+'Ethylene Recycling HC'!$C$186+'Ethylene Recycling HC'!$C$140+'Ethylene Recycling HC'!$C$97))</f>
        <v>2.5197320329609179</v>
      </c>
      <c r="J133" s="284">
        <f>J49-('Ethylene Recycling HC'!I205+'Ethylene Recycling HC'!I186+'Ethylene Recycling HC'!I140+'Ethylene Recycling HC'!I97-('Ethylene Recycling HC'!$C$205+'Ethylene Recycling HC'!$C$186+'Ethylene Recycling HC'!$C$140+'Ethylene Recycling HC'!$C$97))</f>
        <v>2.4663133620276891</v>
      </c>
      <c r="K133" s="284">
        <f>K49-('Ethylene Recycling HC'!J205+'Ethylene Recycling HC'!J186+'Ethylene Recycling HC'!J140+'Ethylene Recycling HC'!J97-('Ethylene Recycling HC'!$C$205+'Ethylene Recycling HC'!$C$186+'Ethylene Recycling HC'!$C$140+'Ethylene Recycling HC'!$C$97))</f>
        <v>2.4108480356043791</v>
      </c>
      <c r="L133" s="284">
        <f>L49-('Ethylene Recycling HC'!K205+'Ethylene Recycling HC'!K186+'Ethylene Recycling HC'!K140+'Ethylene Recycling HC'!K97-('Ethylene Recycling HC'!$C$205+'Ethylene Recycling HC'!$C$186+'Ethylene Recycling HC'!$C$140+'Ethylene Recycling HC'!$C$97))</f>
        <v>2.35333245519816</v>
      </c>
      <c r="M133" s="284">
        <f>M49-('Ethylene Recycling HC'!L205+'Ethylene Recycling HC'!L186+'Ethylene Recycling HC'!L140+'Ethylene Recycling HC'!L97-('Ethylene Recycling HC'!$C$205+'Ethylene Recycling HC'!$C$186+'Ethylene Recycling HC'!$C$140+'Ethylene Recycling HC'!$C$97))</f>
        <v>2.2937646226934882</v>
      </c>
      <c r="N133" s="284">
        <f>N49-('Ethylene Recycling HC'!M205+'Ethylene Recycling HC'!M186+'Ethylene Recycling HC'!M140+'Ethylene Recycling HC'!M97-('Ethylene Recycling HC'!$C$205+'Ethylene Recycling HC'!$C$186+'Ethylene Recycling HC'!$C$140+'Ethylene Recycling HC'!$C$97))</f>
        <v>2.2321440597225957</v>
      </c>
      <c r="O133" s="284">
        <f>O49-('Ethylene Recycling HC'!N205+'Ethylene Recycling HC'!N186+'Ethylene Recycling HC'!N140+'Ethylene Recycling HC'!N97-('Ethylene Recycling HC'!$C$205+'Ethylene Recycling HC'!$C$186+'Ethylene Recycling HC'!$C$140+'Ethylene Recycling HC'!$C$97))</f>
        <v>2.1540668377549972</v>
      </c>
      <c r="P133" s="284">
        <f>P49-('Ethylene Recycling HC'!O205+'Ethylene Recycling HC'!O186+'Ethylene Recycling HC'!O140+'Ethylene Recycling HC'!O97-('Ethylene Recycling HC'!$C$205+'Ethylene Recycling HC'!$C$186+'Ethylene Recycling HC'!$C$140+'Ethylene Recycling HC'!$C$97))</f>
        <v>2.0742430448834974</v>
      </c>
      <c r="Q133" s="284">
        <f>Q49-('Ethylene Recycling HC'!P205+'Ethylene Recycling HC'!P186+'Ethylene Recycling HC'!P140+'Ethylene Recycling HC'!P97-('Ethylene Recycling HC'!$C$205+'Ethylene Recycling HC'!$C$186+'Ethylene Recycling HC'!$C$140+'Ethylene Recycling HC'!$C$97))</f>
        <v>1.9948481079281892</v>
      </c>
      <c r="R133" s="284">
        <f>R49-('Ethylene Recycling HC'!Q205+'Ethylene Recycling HC'!Q186+'Ethylene Recycling HC'!Q140+'Ethylene Recycling HC'!Q97-('Ethylene Recycling HC'!$C$205+'Ethylene Recycling HC'!$C$186+'Ethylene Recycling HC'!$C$140+'Ethylene Recycling HC'!$C$97))</f>
        <v>1.9153068993581799</v>
      </c>
      <c r="S133" s="284">
        <f>S49-('Ethylene Recycling HC'!R205+'Ethylene Recycling HC'!R186+'Ethylene Recycling HC'!R140+'Ethylene Recycling HC'!R97-('Ethylene Recycling HC'!$C$205+'Ethylene Recycling HC'!$C$186+'Ethylene Recycling HC'!$C$140+'Ethylene Recycling HC'!$C$97))</f>
        <v>1.8359278199399234</v>
      </c>
      <c r="T133" s="284">
        <f>T49-('Ethylene Recycling HC'!S205+'Ethylene Recycling HC'!S186+'Ethylene Recycling HC'!S140+'Ethylene Recycling HC'!S97-('Ethylene Recycling HC'!$C$205+'Ethylene Recycling HC'!$C$186+'Ethylene Recycling HC'!$C$140+'Ethylene Recycling HC'!$C$97))</f>
        <v>1.7503796288729674</v>
      </c>
      <c r="U133" s="284">
        <f>U49-('Ethylene Recycling HC'!T205+'Ethylene Recycling HC'!T186+'Ethylene Recycling HC'!T140+'Ethylene Recycling HC'!T97-('Ethylene Recycling HC'!$C$205+'Ethylene Recycling HC'!$C$186+'Ethylene Recycling HC'!$C$140+'Ethylene Recycling HC'!$C$97))</f>
        <v>1.6636332438555872</v>
      </c>
      <c r="V133" s="284">
        <f>V49-('Ethylene Recycling HC'!U205+'Ethylene Recycling HC'!U186+'Ethylene Recycling HC'!U140+'Ethylene Recycling HC'!U97-('Ethylene Recycling HC'!$C$205+'Ethylene Recycling HC'!$C$186+'Ethylene Recycling HC'!$C$140+'Ethylene Recycling HC'!$C$97))</f>
        <v>1.5758304263143319</v>
      </c>
      <c r="W133" s="284">
        <f>W49-('Ethylene Recycling HC'!V205+'Ethylene Recycling HC'!V186+'Ethylene Recycling HC'!V140+'Ethylene Recycling HC'!V97-('Ethylene Recycling HC'!$C$205+'Ethylene Recycling HC'!$C$186+'Ethylene Recycling HC'!$C$140+'Ethylene Recycling HC'!$C$97))</f>
        <v>1.4871184499942014</v>
      </c>
      <c r="X133" s="284">
        <f>X49-('Ethylene Recycling HC'!W205+'Ethylene Recycling HC'!W186+'Ethylene Recycling HC'!W140+'Ethylene Recycling HC'!W97-('Ethylene Recycling HC'!$C$205+'Ethylene Recycling HC'!$C$186+'Ethylene Recycling HC'!$C$140+'Ethylene Recycling HC'!$C$97))</f>
        <v>1.3976500203986089</v>
      </c>
      <c r="Y133" s="284">
        <f>Y49-('Ethylene Recycling HC'!X205+'Ethylene Recycling HC'!X186+'Ethylene Recycling HC'!X140+'Ethylene Recycling HC'!X97-('Ethylene Recycling HC'!$C$205+'Ethylene Recycling HC'!$C$186+'Ethylene Recycling HC'!$C$140+'Ethylene Recycling HC'!$C$97))</f>
        <v>1.2936502038266287</v>
      </c>
      <c r="Z133" s="284">
        <f>Z49-('Ethylene Recycling HC'!Y205+'Ethylene Recycling HC'!Y186+'Ethylene Recycling HC'!Y140+'Ethylene Recycling HC'!Y97-('Ethylene Recycling HC'!$C$205+'Ethylene Recycling HC'!$C$186+'Ethylene Recycling HC'!$C$140+'Ethylene Recycling HC'!$C$97))</f>
        <v>1.1818729954700133</v>
      </c>
      <c r="AA133" s="284">
        <f>AA49-('Ethylene Recycling HC'!Z205+'Ethylene Recycling HC'!Z186+'Ethylene Recycling HC'!Z140+'Ethylene Recycling HC'!Z97-('Ethylene Recycling HC'!$C$205+'Ethylene Recycling HC'!$C$186+'Ethylene Recycling HC'!$C$140+'Ethylene Recycling HC'!$C$97))</f>
        <v>1.0704640231975473</v>
      </c>
      <c r="AB133" s="284">
        <f>AB49-('Ethylene Recycling HC'!AA205+'Ethylene Recycling HC'!AA186+'Ethylene Recycling HC'!AA140+'Ethylene Recycling HC'!AA97-('Ethylene Recycling HC'!$C$205+'Ethylene Recycling HC'!$C$186+'Ethylene Recycling HC'!$C$140+'Ethylene Recycling HC'!$C$97))</f>
        <v>0.95972526200097419</v>
      </c>
      <c r="AC133" s="284">
        <f>AC49-('Ethylene Recycling HC'!AB205+'Ethylene Recycling HC'!AB186+'Ethylene Recycling HC'!AB140+'Ethylene Recycling HC'!AB97-('Ethylene Recycling HC'!$C$205+'Ethylene Recycling HC'!$C$186+'Ethylene Recycling HC'!$C$140+'Ethylene Recycling HC'!$C$97))</f>
        <v>0.84996804664806369</v>
      </c>
      <c r="AD133" s="284">
        <f>AD49-('Ethylene Recycling HC'!AC205+'Ethylene Recycling HC'!AC186+'Ethylene Recycling HC'!AC140+'Ethylene Recycling HC'!AC97-('Ethylene Recycling HC'!$C$205+'Ethylene Recycling HC'!$C$186+'Ethylene Recycling HC'!$C$140+'Ethylene Recycling HC'!$C$97))</f>
        <v>0.74580442579749784</v>
      </c>
      <c r="AE133" s="284">
        <f>AE49-('Ethylene Recycling HC'!AD205+'Ethylene Recycling HC'!AD186+'Ethylene Recycling HC'!AD140+'Ethylene Recycling HC'!AD97-('Ethylene Recycling HC'!$C$205+'Ethylene Recycling HC'!$C$186+'Ethylene Recycling HC'!$C$140+'Ethylene Recycling HC'!$C$97))</f>
        <v>0.64364627982337885</v>
      </c>
      <c r="AF133" s="284">
        <f>AF49-('Ethylene Recycling HC'!AE205+'Ethylene Recycling HC'!AE186+'Ethylene Recycling HC'!AE140+'Ethylene Recycling HC'!AE97-('Ethylene Recycling HC'!$C$205+'Ethylene Recycling HC'!$C$186+'Ethylene Recycling HC'!$C$140+'Ethylene Recycling HC'!$C$97))</f>
        <v>0.54382639113751075</v>
      </c>
      <c r="AG133" s="284">
        <f>AG49-('Ethylene Recycling HC'!AF205+'Ethylene Recycling HC'!AF186+'Ethylene Recycling HC'!AF140+'Ethylene Recycling HC'!AF97-('Ethylene Recycling HC'!$C$205+'Ethylene Recycling HC'!$C$186+'Ethylene Recycling HC'!$C$140+'Ethylene Recycling HC'!$C$97))</f>
        <v>0.44668600564904182</v>
      </c>
      <c r="AH133" s="284">
        <f>AH49-('Ethylene Recycling HC'!AG205+'Ethylene Recycling HC'!AG186+'Ethylene Recycling HC'!AG140+'Ethylene Recycling HC'!AG97-('Ethylene Recycling HC'!$C$205+'Ethylene Recycling HC'!$C$186+'Ethylene Recycling HC'!$C$140+'Ethylene Recycling HC'!$C$97))</f>
        <v>0.35257466014768091</v>
      </c>
      <c r="AI133" s="284"/>
    </row>
    <row r="134" spans="1:36" x14ac:dyDescent="0.2">
      <c r="A134" s="178" t="s">
        <v>225</v>
      </c>
      <c r="B134" s="242" t="s">
        <v>197</v>
      </c>
      <c r="C134" s="243" t="s">
        <v>153</v>
      </c>
      <c r="D134" s="180">
        <f t="shared" ref="D134:AH134" si="44">D65+D74</f>
        <v>26.799786402018107</v>
      </c>
      <c r="E134" s="180">
        <f t="shared" si="44"/>
        <v>29.250903621986094</v>
      </c>
      <c r="F134" s="180">
        <f t="shared" si="44"/>
        <v>31.159026407656281</v>
      </c>
      <c r="G134" s="180">
        <f t="shared" si="44"/>
        <v>33.12030775279451</v>
      </c>
      <c r="H134" s="180">
        <f t="shared" si="44"/>
        <v>35.136822664926491</v>
      </c>
      <c r="I134" s="180">
        <f t="shared" si="44"/>
        <v>37.210841575783043</v>
      </c>
      <c r="J134" s="180">
        <f t="shared" si="44"/>
        <v>38.863200975989045</v>
      </c>
      <c r="K134" s="180">
        <f t="shared" si="44"/>
        <v>40.562544859439264</v>
      </c>
      <c r="L134" s="180">
        <f t="shared" si="44"/>
        <v>42.311581570234949</v>
      </c>
      <c r="M134" s="180">
        <f t="shared" si="44"/>
        <v>44.113337062443307</v>
      </c>
      <c r="N134" s="180">
        <f t="shared" si="44"/>
        <v>45.971197322841171</v>
      </c>
      <c r="O134" s="180">
        <f t="shared" si="44"/>
        <v>45.966306492909048</v>
      </c>
      <c r="P134" s="180">
        <f t="shared" si="44"/>
        <v>45.988167335079048</v>
      </c>
      <c r="Q134" s="180">
        <f t="shared" si="44"/>
        <v>46.041269108138344</v>
      </c>
      <c r="R134" s="180">
        <f t="shared" si="44"/>
        <v>46.130704382314704</v>
      </c>
      <c r="S134" s="180">
        <f t="shared" si="44"/>
        <v>46.26224910078767</v>
      </c>
      <c r="T134" s="180">
        <f t="shared" si="44"/>
        <v>46.312245152923197</v>
      </c>
      <c r="U134" s="180">
        <f t="shared" si="44"/>
        <v>46.417257639640944</v>
      </c>
      <c r="V134" s="180">
        <f t="shared" si="44"/>
        <v>46.585722084357798</v>
      </c>
      <c r="W134" s="180">
        <f t="shared" si="44"/>
        <v>46.827200226927857</v>
      </c>
      <c r="X134" s="180">
        <f t="shared" si="44"/>
        <v>47.152529692169409</v>
      </c>
      <c r="Y134" s="180">
        <f t="shared" si="44"/>
        <v>47.446290016783237</v>
      </c>
      <c r="Z134" s="180">
        <f t="shared" si="44"/>
        <v>47.849492236652679</v>
      </c>
      <c r="AA134" s="180">
        <f t="shared" si="44"/>
        <v>48.377940998934093</v>
      </c>
      <c r="AB134" s="180">
        <f t="shared" si="44"/>
        <v>49.049544656452909</v>
      </c>
      <c r="AC134" s="180">
        <f t="shared" si="44"/>
        <v>49.884595268978401</v>
      </c>
      <c r="AD134" s="180">
        <f t="shared" si="44"/>
        <v>50.798239097958501</v>
      </c>
      <c r="AE134" s="180">
        <f t="shared" si="44"/>
        <v>51.923931430995978</v>
      </c>
      <c r="AF134" s="180">
        <f t="shared" si="44"/>
        <v>53.291215969643218</v>
      </c>
      <c r="AG134" s="180">
        <f t="shared" si="44"/>
        <v>54.933568172111251</v>
      </c>
      <c r="AH134" s="180">
        <f t="shared" si="44"/>
        <v>56.888919413760021</v>
      </c>
    </row>
    <row r="135" spans="1:36" x14ac:dyDescent="0.2">
      <c r="A135" s="178"/>
      <c r="B135" s="181" t="s">
        <v>217</v>
      </c>
      <c r="C135" s="176" t="s">
        <v>153</v>
      </c>
      <c r="D135" s="238">
        <f>'Ethylene Recycling HC'!C214-'Ethylene Recycling HC'!$C$214</f>
        <v>0</v>
      </c>
      <c r="E135" s="238">
        <f>'Ethylene Recycling HC'!D214-'Ethylene Recycling HC'!$C$214</f>
        <v>0.11272835763187006</v>
      </c>
      <c r="F135" s="238">
        <f>'Ethylene Recycling HC'!E214-'Ethylene Recycling HC'!$C$214</f>
        <v>0.227159357203782</v>
      </c>
      <c r="G135" s="238">
        <f>'Ethylene Recycling HC'!F214-'Ethylene Recycling HC'!$C$214</f>
        <v>0.34262632003669613</v>
      </c>
      <c r="H135" s="238">
        <f>'Ethylene Recycling HC'!G214-'Ethylene Recycling HC'!$C$214</f>
        <v>0.45842153404383246</v>
      </c>
      <c r="I135" s="238">
        <f>'Ethylene Recycling HC'!H214-'Ethylene Recycling HC'!$C$214</f>
        <v>0.57380324898438784</v>
      </c>
      <c r="J135" s="238">
        <f>'Ethylene Recycling HC'!I214-'Ethylene Recycling HC'!$C$214</f>
        <v>0.67867722022154209</v>
      </c>
      <c r="K135" s="238">
        <f>'Ethylene Recycling HC'!J214-'Ethylene Recycling HC'!$C$214</f>
        <v>0.78523989781344894</v>
      </c>
      <c r="L135" s="238">
        <f>'Ethylene Recycling HC'!K214-'Ethylene Recycling HC'!$C$214</f>
        <v>0.89338587943087489</v>
      </c>
      <c r="M135" s="238">
        <f>'Ethylene Recycling HC'!L214-'Ethylene Recycling HC'!$C$214</f>
        <v>1.0030038850403551</v>
      </c>
      <c r="N135" s="238">
        <f>'Ethylene Recycling HC'!M214-'Ethylene Recycling HC'!$C$214</f>
        <v>1.1139768864935615</v>
      </c>
      <c r="O135" s="238">
        <f>'Ethylene Recycling HC'!N214-'Ethylene Recycling HC'!$C$214</f>
        <v>1.3102934025671098</v>
      </c>
      <c r="P135" s="238">
        <f>'Ethylene Recycling HC'!O214-'Ethylene Recycling HC'!$C$214</f>
        <v>1.5051581020267311</v>
      </c>
      <c r="Q135" s="238">
        <f>'Ethylene Recycling HC'!P214-'Ethylene Recycling HC'!$C$214</f>
        <v>1.6974715544174452</v>
      </c>
      <c r="R135" s="238">
        <f>'Ethylene Recycling HC'!Q214-'Ethylene Recycling HC'!$C$214</f>
        <v>1.8861279242262154</v>
      </c>
      <c r="S135" s="238">
        <f>'Ethylene Recycling HC'!R214-'Ethylene Recycling HC'!$C$214</f>
        <v>2.0700254076827216</v>
      </c>
      <c r="T135" s="238">
        <f>'Ethylene Recycling HC'!S214-'Ethylene Recycling HC'!$C$214</f>
        <v>2.2546577255995848</v>
      </c>
      <c r="U135" s="238">
        <f>'Ethylene Recycling HC'!T214-'Ethylene Recycling HC'!$C$214</f>
        <v>2.4399401776699845</v>
      </c>
      <c r="V135" s="238">
        <f>'Ethylene Recycling HC'!U214-'Ethylene Recycling HC'!$C$214</f>
        <v>2.6257865390107042</v>
      </c>
      <c r="W135" s="238">
        <f>'Ethylene Recycling HC'!V214-'Ethylene Recycling HC'!$C$214</f>
        <v>2.8121091012037871</v>
      </c>
      <c r="X135" s="238">
        <f>'Ethylene Recycling HC'!W214-'Ethylene Recycling HC'!$C$214</f>
        <v>2.9988187151058394</v>
      </c>
      <c r="Y135" s="238">
        <f>'Ethylene Recycling HC'!X214-'Ethylene Recycling HC'!$C$214</f>
        <v>3.3036583014102145</v>
      </c>
      <c r="Z135" s="238">
        <f>'Ethylene Recycling HC'!Y214-'Ethylene Recycling HC'!$C$214</f>
        <v>3.6093700288985318</v>
      </c>
      <c r="AA135" s="238">
        <f>'Ethylene Recycling HC'!Z214-'Ethylene Recycling HC'!$C$214</f>
        <v>3.9158145888679572</v>
      </c>
      <c r="AB135" s="238">
        <f>'Ethylene Recycling HC'!AA214-'Ethylene Recycling HC'!$C$214</f>
        <v>4.2228504829743327</v>
      </c>
      <c r="AC135" s="238">
        <f>'Ethylene Recycling HC'!AB214-'Ethylene Recycling HC'!$C$214</f>
        <v>4.5303340877996883</v>
      </c>
      <c r="AD135" s="238">
        <f>'Ethylene Recycling HC'!AC214-'Ethylene Recycling HC'!$C$214</f>
        <v>4.8367292951188299</v>
      </c>
      <c r="AE135" s="238">
        <f>'Ethylene Recycling HC'!AD214-'Ethylene Recycling HC'!$C$214</f>
        <v>5.1431801579044834</v>
      </c>
      <c r="AF135" s="238">
        <f>'Ethylene Recycling HC'!AE214-'Ethylene Recycling HC'!$C$214</f>
        <v>5.4495419791054216</v>
      </c>
      <c r="AG135" s="238">
        <f>'Ethylene Recycling HC'!AF214-'Ethylene Recycling HC'!$C$214</f>
        <v>5.7556682343359116</v>
      </c>
      <c r="AH135" s="238">
        <f>'Ethylene Recycling HC'!AG214-'Ethylene Recycling HC'!$C$214</f>
        <v>6.0614106365702591</v>
      </c>
    </row>
    <row r="136" spans="1:36" outlineLevel="1" x14ac:dyDescent="0.2">
      <c r="A136"/>
      <c r="B136" t="s">
        <v>222</v>
      </c>
      <c r="C136" s="54" t="s">
        <v>153</v>
      </c>
      <c r="D136" s="44">
        <f>'Ethylene Recycling HC'!C99-'Ethylene Recycling HC'!$C$99</f>
        <v>0</v>
      </c>
      <c r="E136" s="44">
        <f>'Ethylene Recycling HC'!D99-'Ethylene Recycling HC'!$C$99</f>
        <v>6.0086853126021467E-2</v>
      </c>
      <c r="F136" s="44">
        <f>'Ethylene Recycling HC'!E99-'Ethylene Recycling HC'!$C$99</f>
        <v>0.11839793268644616</v>
      </c>
      <c r="G136" s="44">
        <f>'Ethylene Recycling HC'!F99-'Ethylene Recycling HC'!$C$99</f>
        <v>0.17446829092950011</v>
      </c>
      <c r="H136" s="44">
        <f>'Ethylene Recycling HC'!G99-'Ethylene Recycling HC'!$C$99</f>
        <v>0.227840431170101</v>
      </c>
      <c r="I136" s="44">
        <f>'Ethylene Recycling HC'!H99-'Ethylene Recycling HC'!$C$99</f>
        <v>0.27807041265689803</v>
      </c>
      <c r="J136" s="44">
        <f>'Ethylene Recycling HC'!I99-'Ethylene Recycling HC'!$C$99</f>
        <v>0.32788920855511039</v>
      </c>
      <c r="K136" s="44">
        <f>'Ethylene Recycling HC'!J99-'Ethylene Recycling HC'!$C$99</f>
        <v>0.37719176282439415</v>
      </c>
      <c r="L136" s="44">
        <f>'Ethylene Recycling HC'!K99-'Ethylene Recycling HC'!$C$99</f>
        <v>0.42587144811205424</v>
      </c>
      <c r="M136" s="44">
        <f>'Ethylene Recycling HC'!L99-'Ethylene Recycling HC'!$C$99</f>
        <v>0.47382032929529427</v>
      </c>
      <c r="N136" s="44">
        <f>'Ethylene Recycling HC'!M99-'Ethylene Recycling HC'!$C$99</f>
        <v>0.52092943818170667</v>
      </c>
      <c r="O136" s="44">
        <f>'Ethylene Recycling HC'!N99-'Ethylene Recycling HC'!$C$99</f>
        <v>0.59911653386247643</v>
      </c>
      <c r="P136" s="44">
        <f>'Ethylene Recycling HC'!O99-'Ethylene Recycling HC'!$C$99</f>
        <v>0.67815474245828833</v>
      </c>
      <c r="Q136" s="44">
        <f>'Ethylene Recycling HC'!P99-'Ethylene Recycling HC'!$C$99</f>
        <v>0.74160786860825989</v>
      </c>
      <c r="R136" s="44">
        <f>'Ethylene Recycling HC'!Q99-'Ethylene Recycling HC'!$C$99</f>
        <v>0.79689546733009831</v>
      </c>
      <c r="S136" s="44">
        <f>'Ethylene Recycling HC'!R99-'Ethylene Recycling HC'!$C$99</f>
        <v>0.84353056493913492</v>
      </c>
      <c r="T136" s="44">
        <f>'Ethylene Recycling HC'!S99-'Ethylene Recycling HC'!$C$99</f>
        <v>0.88473774673251171</v>
      </c>
      <c r="U136" s="44">
        <f>'Ethylene Recycling HC'!T99-'Ethylene Recycling HC'!$C$99</f>
        <v>0.92036414676976142</v>
      </c>
      <c r="V136" s="44">
        <f>'Ethylene Recycling HC'!U99-'Ethylene Recycling HC'!$C$99</f>
        <v>0.95025833936687842</v>
      </c>
      <c r="W136" s="44">
        <f>'Ethylene Recycling HC'!V99-'Ethylene Recycling HC'!$C$99</f>
        <v>0.97427048041075981</v>
      </c>
      <c r="X136" s="44">
        <f>'Ethylene Recycling HC'!W99-'Ethylene Recycling HC'!$C$99</f>
        <v>0.99225244923882316</v>
      </c>
      <c r="Y136" s="44">
        <f>'Ethylene Recycling HC'!X99-'Ethylene Recycling HC'!$C$99</f>
        <v>1.0078658834389547</v>
      </c>
      <c r="Z136" s="44">
        <f>'Ethylene Recycling HC'!Y99-'Ethylene Recycling HC'!$C$99</f>
        <v>1.0514786087517041</v>
      </c>
      <c r="AA136" s="44">
        <f>'Ethylene Recycling HC'!Z99-'Ethylene Recycling HC'!$C$99</f>
        <v>1.0853496484982865</v>
      </c>
      <c r="AB136" s="44">
        <f>'Ethylene Recycling HC'!AA99-'Ethylene Recycling HC'!$C$99</f>
        <v>1.1092464493609597</v>
      </c>
      <c r="AC136" s="44">
        <f>'Ethylene Recycling HC'!AB99-'Ethylene Recycling HC'!$C$99</f>
        <v>1.1229393146727893</v>
      </c>
      <c r="AD136" s="44">
        <f>'Ethylene Recycling HC'!AC99-'Ethylene Recycling HC'!$C$99</f>
        <v>1.1262230132338882</v>
      </c>
      <c r="AE136" s="44">
        <f>'Ethylene Recycling HC'!AD99-'Ethylene Recycling HC'!$C$99</f>
        <v>1.1188739947761488</v>
      </c>
      <c r="AF136" s="44">
        <f>'Ethylene Recycling HC'!AE99-'Ethylene Recycling HC'!$C$99</f>
        <v>1.1006715625822592</v>
      </c>
      <c r="AG136" s="44">
        <f>'Ethylene Recycling HC'!AF99-'Ethylene Recycling HC'!$C$99</f>
        <v>1.0713980561247514</v>
      </c>
      <c r="AH136" s="44">
        <f>'Ethylene Recycling HC'!AG99-'Ethylene Recycling HC'!$C$99</f>
        <v>1.0308390337676578</v>
      </c>
    </row>
    <row r="137" spans="1:36" outlineLevel="1" x14ac:dyDescent="0.2">
      <c r="A137"/>
      <c r="B137" t="s">
        <v>226</v>
      </c>
      <c r="C137" s="54" t="s">
        <v>153</v>
      </c>
      <c r="D137" s="44">
        <f>'Ethylene Recycling HC'!C188-'Ethylene Recycling HC'!$C$188</f>
        <v>0</v>
      </c>
      <c r="E137" s="44">
        <f>'Ethylene Recycling HC'!D188-'Ethylene Recycling HC'!$C$188</f>
        <v>1.9870187670681994E-2</v>
      </c>
      <c r="F137" s="44">
        <f>'Ethylene Recycling HC'!E188-'Ethylene Recycling HC'!$C$188</f>
        <v>3.9647370499631518E-2</v>
      </c>
      <c r="G137" s="44">
        <f>'Ethylene Recycling HC'!F188-'Ethylene Recycling HC'!$C$188</f>
        <v>5.9192880569213513E-2</v>
      </c>
      <c r="H137" s="44">
        <f>'Ethylene Recycling HC'!G188-'Ethylene Recycling HC'!$C$188</f>
        <v>7.8365111272651167E-2</v>
      </c>
      <c r="I137" s="44">
        <f>'Ethylene Recycling HC'!H188-'Ethylene Recycling HC'!$C$188</f>
        <v>9.702121184629231E-2</v>
      </c>
      <c r="J137" s="44">
        <f>'Ethylene Recycling HC'!I188-'Ethylene Recycling HC'!$C$188</f>
        <v>0.10333686342300635</v>
      </c>
      <c r="K137" s="44">
        <f>'Ethylene Recycling HC'!J188-'Ethylene Recycling HC'!$C$188</f>
        <v>0.10866688094571114</v>
      </c>
      <c r="L137" s="44">
        <f>'Ethylene Recycling HC'!K188-'Ethylene Recycling HC'!$C$188</f>
        <v>0.11297088104547215</v>
      </c>
      <c r="M137" s="44">
        <f>'Ethylene Recycling HC'!L188-'Ethylene Recycling HC'!$C$188</f>
        <v>0.11621066881654424</v>
      </c>
      <c r="N137" s="44">
        <f>'Ethylene Recycling HC'!M188-'Ethylene Recycling HC'!$C$188</f>
        <v>0.11835042915374561</v>
      </c>
      <c r="O137" s="44">
        <f>'Ethylene Recycling HC'!N188-'Ethylene Recycling HC'!$C$188</f>
        <v>0.13198316385179271</v>
      </c>
      <c r="P137" s="44">
        <f>'Ethylene Recycling HC'!O188-'Ethylene Recycling HC'!$C$188</f>
        <v>0.14303584339639869</v>
      </c>
      <c r="Q137" s="44">
        <f>'Ethylene Recycling HC'!P188-'Ethylene Recycling HC'!$C$188</f>
        <v>0.15140295817770327</v>
      </c>
      <c r="R137" s="44">
        <f>'Ethylene Recycling HC'!Q188-'Ethylene Recycling HC'!$C$188</f>
        <v>0.15700529943147851</v>
      </c>
      <c r="S137" s="44">
        <f>'Ethylene Recycling HC'!R188-'Ethylene Recycling HC'!$C$188</f>
        <v>0.15979114060028127</v>
      </c>
      <c r="T137" s="44">
        <f>'Ethylene Recycling HC'!S188-'Ethylene Recycling HC'!$C$188</f>
        <v>0.16676590420605625</v>
      </c>
      <c r="U137" s="44">
        <f>'Ethylene Recycling HC'!T188-'Ethylene Recycling HC'!$C$188</f>
        <v>0.1722814180222354</v>
      </c>
      <c r="V137" s="44">
        <f>'Ethylene Recycling HC'!U188-'Ethylene Recycling HC'!$C$188</f>
        <v>0.17633201364717765</v>
      </c>
      <c r="W137" s="44">
        <f>'Ethylene Recycling HC'!V188-'Ethylene Recycling HC'!$C$188</f>
        <v>0.17891378062053975</v>
      </c>
      <c r="X137" s="44">
        <f>'Ethylene Recycling HC'!W188-'Ethylene Recycling HC'!$C$188</f>
        <v>0.18002460078382543</v>
      </c>
      <c r="Y137" s="44">
        <f>'Ethylene Recycling HC'!X188-'Ethylene Recycling HC'!$C$188</f>
        <v>0.19147718808220682</v>
      </c>
      <c r="Z137" s="44">
        <f>'Ethylene Recycling HC'!Y188-'Ethylene Recycling HC'!$C$188</f>
        <v>0.20052773534398199</v>
      </c>
      <c r="AA137" s="44">
        <f>'Ethylene Recycling HC'!Z188-'Ethylene Recycling HC'!$C$188</f>
        <v>0.20717473116486496</v>
      </c>
      <c r="AB137" s="44">
        <f>'Ethylene Recycling HC'!AA188-'Ethylene Recycling HC'!$C$188</f>
        <v>0.21141959030958046</v>
      </c>
      <c r="AC137" s="44">
        <f>'Ethylene Recycling HC'!AB188-'Ethylene Recycling HC'!$C$188</f>
        <v>0.21326670252044222</v>
      </c>
      <c r="AD137" s="44">
        <f>'Ethylene Recycling HC'!AC188-'Ethylene Recycling HC'!$C$188</f>
        <v>0.20770957666011564</v>
      </c>
      <c r="AE137" s="44">
        <f>'Ethylene Recycling HC'!AD188-'Ethylene Recycling HC'!$C$188</f>
        <v>0.19932876156284185</v>
      </c>
      <c r="AF137" s="44">
        <f>'Ethylene Recycling HC'!AE188-'Ethylene Recycling HC'!$C$188</f>
        <v>0.18814389103199508</v>
      </c>
      <c r="AG137" s="44">
        <f>'Ethylene Recycling HC'!AF188-'Ethylene Recycling HC'!$C$188</f>
        <v>0.17417826280956866</v>
      </c>
      <c r="AH137" s="44">
        <f>'Ethylene Recycling HC'!AG188-'Ethylene Recycling HC'!$C$188</f>
        <v>0.15745888301365296</v>
      </c>
      <c r="AJ137" s="44"/>
    </row>
    <row r="138" spans="1:36" outlineLevel="1" x14ac:dyDescent="0.2">
      <c r="A138" s="181"/>
      <c r="B138" s="181" t="s">
        <v>218</v>
      </c>
      <c r="C138" s="176" t="s">
        <v>153</v>
      </c>
      <c r="D138" s="238">
        <f>'Ethylene Recycling HC'!C148-'Ethylene Recycling HC'!$C$148</f>
        <v>0</v>
      </c>
      <c r="E138" s="238">
        <f>'Ethylene Recycling HC'!D148-'Ethylene Recycling HC'!$C$148</f>
        <v>5.6101945554459798E-3</v>
      </c>
      <c r="F138" s="238">
        <f>'Ethylene Recycling HC'!E148-'Ethylene Recycling HC'!$C$148</f>
        <v>1.1145741000179031E-2</v>
      </c>
      <c r="G138" s="238">
        <f>'Ethylene Recycling HC'!F148-'Ethylene Recycling HC'!$C$148</f>
        <v>1.6549685749615739E-2</v>
      </c>
      <c r="H138" s="238">
        <f>'Ethylene Recycling HC'!G148-'Ethylene Recycling HC'!$C$148</f>
        <v>2.1765617749907457E-2</v>
      </c>
      <c r="I138" s="238">
        <f>'Ethylene Recycling HC'!H148-'Ethylene Recycling HC'!$C$148</f>
        <v>2.6738552305211001E-2</v>
      </c>
      <c r="J138" s="238">
        <f>'Ethylene Recycling HC'!I148-'Ethylene Recycling HC'!$C$148</f>
        <v>3.1531174581262277E-2</v>
      </c>
      <c r="K138" s="238">
        <f>'Ethylene Recycling HC'!J148-'Ethylene Recycling HC'!$C$148</f>
        <v>3.6122654080294365E-2</v>
      </c>
      <c r="L138" s="238">
        <f>'Ethylene Recycling HC'!K148-'Ethylene Recycling HC'!$C$148</f>
        <v>4.0492095581116737E-2</v>
      </c>
      <c r="M138" s="238">
        <f>'Ethylene Recycling HC'!L148-'Ethylene Recycling HC'!$C$148</f>
        <v>4.4618604532338242E-2</v>
      </c>
      <c r="N138" s="238">
        <f>'Ethylene Recycling HC'!M148-'Ethylene Recycling HC'!$C$148</f>
        <v>4.8481354225570407E-2</v>
      </c>
      <c r="O138" s="238">
        <f>'Ethylene Recycling HC'!N148-'Ethylene Recycling HC'!$C$148</f>
        <v>5.7420423239240133E-2</v>
      </c>
      <c r="P138" s="238">
        <f>'Ethylene Recycling HC'!O148-'Ethylene Recycling HC'!$C$148</f>
        <v>6.5673223085142035E-2</v>
      </c>
      <c r="Q138" s="238">
        <f>'Ethylene Recycling HC'!P148-'Ethylene Recycling HC'!$C$148</f>
        <v>7.2841985446094659E-2</v>
      </c>
      <c r="R138" s="238">
        <f>'Ethylene Recycling HC'!Q148-'Ethylene Recycling HC'!$C$148</f>
        <v>7.9138027786921972E-2</v>
      </c>
      <c r="S138" s="238">
        <f>'Ethylene Recycling HC'!R148-'Ethylene Recycling HC'!$C$148</f>
        <v>8.4511472749022792E-2</v>
      </c>
      <c r="T138" s="238">
        <f>'Ethylene Recycling HC'!S148-'Ethylene Recycling HC'!$C$148</f>
        <v>8.9121758422663733E-2</v>
      </c>
      <c r="U138" s="238">
        <f>'Ethylene Recycling HC'!T148-'Ethylene Recycling HC'!$C$148</f>
        <v>9.2958276138555951E-2</v>
      </c>
      <c r="V138" s="238">
        <f>'Ethylene Recycling HC'!U148-'Ethylene Recycling HC'!$C$148</f>
        <v>9.6010997759501754E-2</v>
      </c>
      <c r="W138" s="238">
        <f>'Ethylene Recycling HC'!V148-'Ethylene Recycling HC'!$C$148</f>
        <v>9.8270490089811369E-2</v>
      </c>
      <c r="X138" s="238">
        <f>'Ethylene Recycling HC'!W148-'Ethylene Recycling HC'!$C$148</f>
        <v>9.972792878068179E-2</v>
      </c>
      <c r="Y138" s="238">
        <f>'Ethylene Recycling HC'!X148-'Ethylene Recycling HC'!$C$148</f>
        <v>0.10504871007926506</v>
      </c>
      <c r="Z138" s="238">
        <f>'Ethylene Recycling HC'!Y148-'Ethylene Recycling HC'!$C$148</f>
        <v>0.10903958747444539</v>
      </c>
      <c r="AA138" s="238">
        <f>'Ethylene Recycling HC'!Z148-'Ethylene Recycling HC'!$C$148</f>
        <v>0.11058851469143888</v>
      </c>
      <c r="AB138" s="238">
        <f>'Ethylene Recycling HC'!AA148-'Ethylene Recycling HC'!$C$148</f>
        <v>0.11074968293439072</v>
      </c>
      <c r="AC138" s="238">
        <f>'Ethylene Recycling HC'!AB148-'Ethylene Recycling HC'!$C$148</f>
        <v>0.10954565827387233</v>
      </c>
      <c r="AD138" s="238">
        <f>'Ethylene Recycling HC'!AC148-'Ethylene Recycling HC'!$C$148</f>
        <v>0.10700226047262243</v>
      </c>
      <c r="AE138" s="238">
        <f>'Ethylene Recycling HC'!AD148-'Ethylene Recycling HC'!$C$148</f>
        <v>0.10314598525956328</v>
      </c>
      <c r="AF138" s="238">
        <f>'Ethylene Recycling HC'!AE148-'Ethylene Recycling HC'!$C$148</f>
        <v>9.8005226309402227E-2</v>
      </c>
      <c r="AG138" s="238">
        <f>'Ethylene Recycling HC'!AF148-'Ethylene Recycling HC'!$C$148</f>
        <v>9.1610241773212281E-2</v>
      </c>
      <c r="AH138" s="238">
        <f>'Ethylene Recycling HC'!AG148-'Ethylene Recycling HC'!$C$148</f>
        <v>8.3993117800743033E-2</v>
      </c>
    </row>
    <row r="139" spans="1:36" x14ac:dyDescent="0.2">
      <c r="A139" s="178"/>
      <c r="B139" s="239" t="s">
        <v>219</v>
      </c>
      <c r="C139" s="179" t="s">
        <v>153</v>
      </c>
      <c r="D139" s="241">
        <f>D134-D135-D136-D137-D138</f>
        <v>26.799786402018107</v>
      </c>
      <c r="E139" s="241">
        <f t="shared" ref="E139:AG139" si="45">E134-E135-E136-E137-E138</f>
        <v>29.052608029002073</v>
      </c>
      <c r="F139" s="241">
        <f t="shared" si="45"/>
        <v>30.762676006266243</v>
      </c>
      <c r="G139" s="241">
        <f t="shared" si="45"/>
        <v>32.52747057550949</v>
      </c>
      <c r="H139" s="241">
        <f t="shared" si="45"/>
        <v>34.350429970690001</v>
      </c>
      <c r="I139" s="241">
        <f t="shared" si="45"/>
        <v>36.235208149990257</v>
      </c>
      <c r="J139" s="241">
        <f t="shared" si="45"/>
        <v>37.721766509208123</v>
      </c>
      <c r="K139" s="241">
        <f t="shared" si="45"/>
        <v>39.255323663775414</v>
      </c>
      <c r="L139" s="241">
        <f t="shared" si="45"/>
        <v>40.838861266065436</v>
      </c>
      <c r="M139" s="241">
        <f t="shared" si="45"/>
        <v>42.475683574758776</v>
      </c>
      <c r="N139" s="241">
        <f t="shared" si="45"/>
        <v>44.169459214786592</v>
      </c>
      <c r="O139" s="241">
        <f t="shared" si="45"/>
        <v>43.867492969388422</v>
      </c>
      <c r="P139" s="241">
        <f t="shared" si="45"/>
        <v>43.596145424112486</v>
      </c>
      <c r="Q139" s="241">
        <f t="shared" si="45"/>
        <v>43.377944741488832</v>
      </c>
      <c r="R139" s="241">
        <f t="shared" si="45"/>
        <v>43.211537663539993</v>
      </c>
      <c r="S139" s="241">
        <f t="shared" si="45"/>
        <v>43.104390514816508</v>
      </c>
      <c r="T139" s="241">
        <f t="shared" si="45"/>
        <v>42.916962017962376</v>
      </c>
      <c r="U139" s="241">
        <f t="shared" si="45"/>
        <v>42.791713621040408</v>
      </c>
      <c r="V139" s="241">
        <f t="shared" si="45"/>
        <v>42.737334194573542</v>
      </c>
      <c r="W139" s="241">
        <f t="shared" si="45"/>
        <v>42.76363637460296</v>
      </c>
      <c r="X139" s="241">
        <f t="shared" si="45"/>
        <v>42.881705998260237</v>
      </c>
      <c r="Y139" s="241">
        <f t="shared" si="45"/>
        <v>42.838239933772591</v>
      </c>
      <c r="Z139" s="241">
        <f t="shared" si="45"/>
        <v>42.879076276184016</v>
      </c>
      <c r="AA139" s="241">
        <f t="shared" si="45"/>
        <v>43.059013515711548</v>
      </c>
      <c r="AB139" s="241">
        <f t="shared" si="45"/>
        <v>43.395278450873647</v>
      </c>
      <c r="AC139" s="241">
        <f t="shared" si="45"/>
        <v>43.908509505711606</v>
      </c>
      <c r="AD139" s="241">
        <f t="shared" si="45"/>
        <v>44.520574952473048</v>
      </c>
      <c r="AE139" s="241">
        <f t="shared" si="45"/>
        <v>45.35940253149294</v>
      </c>
      <c r="AF139" s="241">
        <f t="shared" si="45"/>
        <v>46.454853310614141</v>
      </c>
      <c r="AG139" s="241">
        <f t="shared" si="45"/>
        <v>47.840713377067807</v>
      </c>
      <c r="AH139" s="241">
        <f>AH134-AH135-AH136-AH137-AH138</f>
        <v>49.555217742607709</v>
      </c>
      <c r="AI139" s="44"/>
      <c r="AJ139" s="180"/>
    </row>
    <row r="140" spans="1:36" s="67" customFormat="1" x14ac:dyDescent="0.2">
      <c r="A140" s="687" t="s">
        <v>257</v>
      </c>
      <c r="B140" s="58" t="s">
        <v>258</v>
      </c>
      <c r="C140" s="59" t="s">
        <v>153</v>
      </c>
      <c r="D140" s="60">
        <f>D66+D75-('Ethylene Recycling HC'!C100+'Ethylene Recycling HC'!C149+'Ethylene Recycling HC'!C189+'Ethylene Recycling HC'!C215-('Ethylene Recycling HC'!$C$100+'Ethylene Recycling HC'!$C$149+'Ethylene Recycling HC'!$C$189+'Ethylene Recycling HC'!$C$215))</f>
        <v>9.842212333121422</v>
      </c>
      <c r="E140" s="60">
        <f>E66+E75-('Ethylene Recycling HC'!D100+'Ethylene Recycling HC'!D149+'Ethylene Recycling HC'!D189+'Ethylene Recycling HC'!D215-('Ethylene Recycling HC'!$C$100+'Ethylene Recycling HC'!$C$149+'Ethylene Recycling HC'!$C$189+'Ethylene Recycling HC'!$C$215))</f>
        <v>10.617291937175917</v>
      </c>
      <c r="F140" s="60">
        <f>F66+F75-('Ethylene Recycling HC'!E100+'Ethylene Recycling HC'!E149+'Ethylene Recycling HC'!E189+'Ethylene Recycling HC'!E215-('Ethylene Recycling HC'!$C$100+'Ethylene Recycling HC'!$C$149+'Ethylene Recycling HC'!$C$189+'Ethylene Recycling HC'!$C$215))</f>
        <v>11.184091856723372</v>
      </c>
      <c r="G140" s="60">
        <f>G66+G75-('Ethylene Recycling HC'!F100+'Ethylene Recycling HC'!F149+'Ethylene Recycling HC'!F189+'Ethylene Recycling HC'!F215-('Ethylene Recycling HC'!$C$100+'Ethylene Recycling HC'!$C$149+'Ethylene Recycling HC'!$C$189+'Ethylene Recycling HC'!$C$215))</f>
        <v>11.77122437672152</v>
      </c>
      <c r="H140" s="60">
        <f>H66+H75-('Ethylene Recycling HC'!G100+'Ethylene Recycling HC'!G149+'Ethylene Recycling HC'!G189+'Ethylene Recycling HC'!G215-('Ethylene Recycling HC'!$C$100+'Ethylene Recycling HC'!$C$149+'Ethylene Recycling HC'!$C$189+'Ethylene Recycling HC'!$C$215))</f>
        <v>12.380469351943264</v>
      </c>
      <c r="I140" s="60">
        <f>I66+I75-('Ethylene Recycling HC'!H100+'Ethylene Recycling HC'!H149+'Ethylene Recycling HC'!H189+'Ethylene Recycling HC'!H215-('Ethylene Recycling HC'!$C$100+'Ethylene Recycling HC'!$C$149+'Ethylene Recycling HC'!$C$189+'Ethylene Recycling HC'!$C$215))</f>
        <v>13.013715294799843</v>
      </c>
      <c r="J140" s="60">
        <f>J66+J75-('Ethylene Recycling HC'!I100+'Ethylene Recycling HC'!I149+'Ethylene Recycling HC'!I189+'Ethylene Recycling HC'!I215-('Ethylene Recycling HC'!$C$100+'Ethylene Recycling HC'!$C$149+'Ethylene Recycling HC'!$C$189+'Ethylene Recycling HC'!$C$215))</f>
        <v>13.500289115561989</v>
      </c>
      <c r="K140" s="60">
        <f>K66+K75-('Ethylene Recycling HC'!J100+'Ethylene Recycling HC'!J149+'Ethylene Recycling HC'!J189+'Ethylene Recycling HC'!J215-('Ethylene Recycling HC'!$C$100+'Ethylene Recycling HC'!$C$149+'Ethylene Recycling HC'!$C$189+'Ethylene Recycling HC'!$C$215))</f>
        <v>14.003776183489993</v>
      </c>
      <c r="L140" s="60">
        <f>L66+L75-('Ethylene Recycling HC'!K100+'Ethylene Recycling HC'!K149+'Ethylene Recycling HC'!K189+'Ethylene Recycling HC'!K215-('Ethylene Recycling HC'!$C$100+'Ethylene Recycling HC'!$C$149+'Ethylene Recycling HC'!$C$189+'Ethylene Recycling HC'!$C$215))</f>
        <v>14.525499591381573</v>
      </c>
      <c r="M140" s="60">
        <f>M66+M75-('Ethylene Recycling HC'!L100+'Ethylene Recycling HC'!L149+'Ethylene Recycling HC'!L189+'Ethylene Recycling HC'!L215-('Ethylene Recycling HC'!$C$100+'Ethylene Recycling HC'!$C$149+'Ethylene Recycling HC'!$C$189+'Ethylene Recycling HC'!$C$215))</f>
        <v>15.06692875583312</v>
      </c>
      <c r="N140" s="60">
        <f>N66+N75-('Ethylene Recycling HC'!M100+'Ethylene Recycling HC'!M149+'Ethylene Recycling HC'!M189+'Ethylene Recycling HC'!M215-('Ethylene Recycling HC'!$C$100+'Ethylene Recycling HC'!$C$149+'Ethylene Recycling HC'!$C$189+'Ethylene Recycling HC'!$C$215))</f>
        <v>15.629697875845977</v>
      </c>
      <c r="O140" s="60">
        <f>O66+O75-('Ethylene Recycling HC'!N100+'Ethylene Recycling HC'!N149+'Ethylene Recycling HC'!N189+'Ethylene Recycling HC'!N215-('Ethylene Recycling HC'!$C$100+'Ethylene Recycling HC'!$C$149+'Ethylene Recycling HC'!$C$189+'Ethylene Recycling HC'!$C$215))</f>
        <v>15.419776780566606</v>
      </c>
      <c r="P140" s="60">
        <f>P66+P75-('Ethylene Recycling HC'!O100+'Ethylene Recycling HC'!O149+'Ethylene Recycling HC'!O189+'Ethylene Recycling HC'!O215-('Ethylene Recycling HC'!$C$100+'Ethylene Recycling HC'!$C$149+'Ethylene Recycling HC'!$C$189+'Ethylene Recycling HC'!$C$215))</f>
        <v>15.221541376939184</v>
      </c>
      <c r="Q140" s="60">
        <f>Q66+Q75-('Ethylene Recycling HC'!P100+'Ethylene Recycling HC'!P149+'Ethylene Recycling HC'!P189+'Ethylene Recycling HC'!P215-('Ethylene Recycling HC'!$C$100+'Ethylene Recycling HC'!$C$149+'Ethylene Recycling HC'!$C$189+'Ethylene Recycling HC'!$C$215))</f>
        <v>15.051167704636269</v>
      </c>
      <c r="R140" s="60">
        <f>R66+R75-('Ethylene Recycling HC'!Q100+'Ethylene Recycling HC'!Q149+'Ethylene Recycling HC'!Q189+'Ethylene Recycling HC'!Q215-('Ethylene Recycling HC'!$C$100+'Ethylene Recycling HC'!$C$149+'Ethylene Recycling HC'!$C$189+'Ethylene Recycling HC'!$C$215))</f>
        <v>14.905794669335762</v>
      </c>
      <c r="S140" s="60">
        <f>S66+S75-('Ethylene Recycling HC'!R100+'Ethylene Recycling HC'!R149+'Ethylene Recycling HC'!R189+'Ethylene Recycling HC'!R215-('Ethylene Recycling HC'!$C$100+'Ethylene Recycling HC'!$C$149+'Ethylene Recycling HC'!$C$189+'Ethylene Recycling HC'!$C$215))</f>
        <v>14.789303101111676</v>
      </c>
      <c r="T140" s="60">
        <f>T66+T75-('Ethylene Recycling HC'!S100+'Ethylene Recycling HC'!S149+'Ethylene Recycling HC'!S189+'Ethylene Recycling HC'!S215-('Ethylene Recycling HC'!$C$100+'Ethylene Recycling HC'!$C$149+'Ethylene Recycling HC'!$C$189+'Ethylene Recycling HC'!$C$215))</f>
        <v>14.650171326925953</v>
      </c>
      <c r="U140" s="60">
        <f>U66+U75-('Ethylene Recycling HC'!T100+'Ethylene Recycling HC'!T149+'Ethylene Recycling HC'!T189+'Ethylene Recycling HC'!T215-('Ethylene Recycling HC'!$C$100+'Ethylene Recycling HC'!$C$149+'Ethylene Recycling HC'!$C$189+'Ethylene Recycling HC'!$C$215))</f>
        <v>14.539352081321736</v>
      </c>
      <c r="V140" s="60">
        <f>V66+V75-('Ethylene Recycling HC'!U100+'Ethylene Recycling HC'!U149+'Ethylene Recycling HC'!U189+'Ethylene Recycling HC'!U215-('Ethylene Recycling HC'!$C$100+'Ethylene Recycling HC'!$C$149+'Ethylene Recycling HC'!$C$189+'Ethylene Recycling HC'!$C$215))</f>
        <v>14.460819612429223</v>
      </c>
      <c r="W140" s="60">
        <f>W66+W75-('Ethylene Recycling HC'!V100+'Ethylene Recycling HC'!V149+'Ethylene Recycling HC'!V189+'Ethylene Recycling HC'!V215-('Ethylene Recycling HC'!$C$100+'Ethylene Recycling HC'!$C$149+'Ethylene Recycling HC'!$C$189+'Ethylene Recycling HC'!$C$215))</f>
        <v>14.419049159211742</v>
      </c>
      <c r="X140" s="60">
        <f>X66+X75-('Ethylene Recycling HC'!W100+'Ethylene Recycling HC'!W149+'Ethylene Recycling HC'!W189+'Ethylene Recycling HC'!W215-('Ethylene Recycling HC'!$C$100+'Ethylene Recycling HC'!$C$149+'Ethylene Recycling HC'!$C$189+'Ethylene Recycling HC'!$C$215))</f>
        <v>14.419083721722448</v>
      </c>
      <c r="Y140" s="60">
        <f>Y66+Y75-('Ethylene Recycling HC'!X100+'Ethylene Recycling HC'!X149+'Ethylene Recycling HC'!X189+'Ethylene Recycling HC'!X215-('Ethylene Recycling HC'!$C$100+'Ethylene Recycling HC'!$C$149+'Ethylene Recycling HC'!$C$189+'Ethylene Recycling HC'!$C$215))</f>
        <v>14.328413931823253</v>
      </c>
      <c r="Z140" s="60">
        <f>Z66+Z75-('Ethylene Recycling HC'!Y100+'Ethylene Recycling HC'!Y149+'Ethylene Recycling HC'!Y189+'Ethylene Recycling HC'!Y215-('Ethylene Recycling HC'!$C$100+'Ethylene Recycling HC'!$C$149+'Ethylene Recycling HC'!$C$189+'Ethylene Recycling HC'!$C$215))</f>
        <v>14.26184642462292</v>
      </c>
      <c r="AA140" s="60">
        <f>AA66+AA75-('Ethylene Recycling HC'!Z100+'Ethylene Recycling HC'!Z149+'Ethylene Recycling HC'!Z189+'Ethylene Recycling HC'!Z215-('Ethylene Recycling HC'!$C$100+'Ethylene Recycling HC'!$C$149+'Ethylene Recycling HC'!$C$189+'Ethylene Recycling HC'!$C$215))</f>
        <v>14.259335264338169</v>
      </c>
      <c r="AB140" s="60">
        <f>AB66+AB75-('Ethylene Recycling HC'!AA100+'Ethylene Recycling HC'!AA149+'Ethylene Recycling HC'!AA189+'Ethylene Recycling HC'!AA215-('Ethylene Recycling HC'!$C$100+'Ethylene Recycling HC'!$C$149+'Ethylene Recycling HC'!$C$189+'Ethylene Recycling HC'!$C$215))</f>
        <v>14.328455538855552</v>
      </c>
      <c r="AC140" s="60">
        <f>AC66+AC75-('Ethylene Recycling HC'!AB100+'Ethylene Recycling HC'!AB149+'Ethylene Recycling HC'!AB189+'Ethylene Recycling HC'!AB215-('Ethylene Recycling HC'!$C$100+'Ethylene Recycling HC'!$C$149+'Ethylene Recycling HC'!$C$189+'Ethylene Recycling HC'!$C$215))</f>
        <v>14.478617675001718</v>
      </c>
      <c r="AD140" s="60">
        <f>AD66+AD75-('Ethylene Recycling HC'!AC100+'Ethylene Recycling HC'!AC149+'Ethylene Recycling HC'!AC189+'Ethylene Recycling HC'!AC215-('Ethylene Recycling HC'!$C$100+'Ethylene Recycling HC'!$C$149+'Ethylene Recycling HC'!$C$189+'Ethylene Recycling HC'!$C$215))</f>
        <v>14.681812146225806</v>
      </c>
      <c r="AE140" s="60">
        <f>AE66+AE75-('Ethylene Recycling HC'!AD100+'Ethylene Recycling HC'!AD149+'Ethylene Recycling HC'!AD189+'Ethylene Recycling HC'!AD215-('Ethylene Recycling HC'!$C$100+'Ethylene Recycling HC'!$C$149+'Ethylene Recycling HC'!$C$189+'Ethylene Recycling HC'!$C$215))</f>
        <v>14.988544290726036</v>
      </c>
      <c r="AF140" s="60">
        <f>AF66+AF75-('Ethylene Recycling HC'!AE100+'Ethylene Recycling HC'!AE149+'Ethylene Recycling HC'!AE189+'Ethylene Recycling HC'!AE215-('Ethylene Recycling HC'!$C$100+'Ethylene Recycling HC'!$C$149+'Ethylene Recycling HC'!$C$189+'Ethylene Recycling HC'!$C$215))</f>
        <v>15.412362486793144</v>
      </c>
      <c r="AG140" s="60">
        <f>AG66+AG75-('Ethylene Recycling HC'!AF100+'Ethylene Recycling HC'!AF149+'Ethylene Recycling HC'!AF189+'Ethylene Recycling HC'!AF215-('Ethylene Recycling HC'!$C$100+'Ethylene Recycling HC'!$C$149+'Ethylene Recycling HC'!$C$189+'Ethylene Recycling HC'!$C$215))</f>
        <v>15.968578663529883</v>
      </c>
      <c r="AH140" s="60">
        <f>AH66+AH75-('Ethylene Recycling HC'!AG100+'Ethylene Recycling HC'!AG149+'Ethylene Recycling HC'!AG189+'Ethylene Recycling HC'!AG215-('Ethylene Recycling HC'!$C$100+'Ethylene Recycling HC'!$C$149+'Ethylene Recycling HC'!$C$189+'Ethylene Recycling HC'!$C$215))</f>
        <v>16.674504921527955</v>
      </c>
      <c r="AI140" s="44"/>
      <c r="AJ140" s="180"/>
    </row>
    <row r="141" spans="1:36" x14ac:dyDescent="0.2">
      <c r="A141" s="688"/>
      <c r="B141" s="1" t="s">
        <v>260</v>
      </c>
      <c r="C141" s="54" t="s">
        <v>153</v>
      </c>
      <c r="D141" s="44">
        <f>D67+D76+(D145-D71-D80)</f>
        <v>4.5813083502024288</v>
      </c>
      <c r="E141" s="44">
        <f t="shared" ref="E141:AH141" si="46">E67+E76+(E145-E71-E80)</f>
        <v>5.0365788792339226</v>
      </c>
      <c r="F141" s="44">
        <f t="shared" si="46"/>
        <v>5.3496978709812737</v>
      </c>
      <c r="G141" s="44">
        <f t="shared" si="46"/>
        <v>5.6727843561015643</v>
      </c>
      <c r="H141" s="44">
        <f t="shared" si="46"/>
        <v>6.0064178181372192</v>
      </c>
      <c r="I141" s="44">
        <f t="shared" si="46"/>
        <v>6.3512236962944062</v>
      </c>
      <c r="J141" s="44">
        <f t="shared" si="46"/>
        <v>6.6354672385845923</v>
      </c>
      <c r="K141" s="44">
        <f t="shared" si="46"/>
        <v>6.9296530484392473</v>
      </c>
      <c r="L141" s="44">
        <f t="shared" si="46"/>
        <v>7.2344176788402752</v>
      </c>
      <c r="M141" s="44">
        <f t="shared" si="46"/>
        <v>7.5504666126611095</v>
      </c>
      <c r="N141" s="44">
        <f t="shared" si="46"/>
        <v>7.8785833017275051</v>
      </c>
      <c r="O141" s="44">
        <f t="shared" si="46"/>
        <v>7.8791328733696862</v>
      </c>
      <c r="P141" s="44">
        <f t="shared" si="46"/>
        <v>7.8882931705104049</v>
      </c>
      <c r="Q141" s="44">
        <f t="shared" si="46"/>
        <v>7.9077076724339515</v>
      </c>
      <c r="R141" s="44">
        <f t="shared" si="46"/>
        <v>7.9383671787946914</v>
      </c>
      <c r="S141" s="44">
        <f t="shared" si="46"/>
        <v>7.981640352493506</v>
      </c>
      <c r="T141" s="44">
        <f t="shared" si="46"/>
        <v>8.0106242717497746</v>
      </c>
      <c r="U141" s="44">
        <f t="shared" si="46"/>
        <v>8.0538996989061822</v>
      </c>
      <c r="V141" s="44">
        <f t="shared" si="46"/>
        <v>8.1133538811730084</v>
      </c>
      <c r="W141" s="44">
        <f t="shared" si="46"/>
        <v>8.1911165594741746</v>
      </c>
      <c r="X141" s="44">
        <f t="shared" si="46"/>
        <v>8.2895917991213892</v>
      </c>
      <c r="Y141" s="44">
        <f t="shared" si="46"/>
        <v>8.3793835590410133</v>
      </c>
      <c r="Z141" s="44">
        <f t="shared" si="46"/>
        <v>8.4949264403861164</v>
      </c>
      <c r="AA141" s="44">
        <f t="shared" si="46"/>
        <v>8.6411987453790253</v>
      </c>
      <c r="AB141" s="44">
        <f t="shared" si="46"/>
        <v>8.8221341485790461</v>
      </c>
      <c r="AC141" s="44">
        <f t="shared" si="46"/>
        <v>9.04217466530846</v>
      </c>
      <c r="AD141" s="44">
        <f t="shared" si="46"/>
        <v>9.2921981247981158</v>
      </c>
      <c r="AE141" s="44">
        <f t="shared" si="46"/>
        <v>9.5923156860583845</v>
      </c>
      <c r="AF141" s="44">
        <f t="shared" si="46"/>
        <v>9.9489311644875542</v>
      </c>
      <c r="AG141" s="44">
        <f t="shared" si="46"/>
        <v>10.369282285778816</v>
      </c>
      <c r="AH141" s="44">
        <f t="shared" si="46"/>
        <v>10.861550774274956</v>
      </c>
      <c r="AI141" s="44"/>
      <c r="AJ141" s="180"/>
    </row>
    <row r="142" spans="1:36" x14ac:dyDescent="0.2">
      <c r="A142" s="688"/>
      <c r="B142" s="1" t="s">
        <v>262</v>
      </c>
      <c r="C142" s="54" t="s">
        <v>153</v>
      </c>
      <c r="D142" s="44">
        <f>D68+D77+(D144-D70-D79)</f>
        <v>3.0035502958579876</v>
      </c>
      <c r="E142" s="44">
        <f t="shared" ref="E142:AH142" si="47">E68+E77+(E144-E70-E79)</f>
        <v>3.2199566433675955</v>
      </c>
      <c r="F142" s="44">
        <f t="shared" si="47"/>
        <v>3.4083539895392043</v>
      </c>
      <c r="G142" s="44">
        <f t="shared" si="47"/>
        <v>3.6015528952303297</v>
      </c>
      <c r="H142" s="44">
        <f t="shared" si="47"/>
        <v>3.7997837873886056</v>
      </c>
      <c r="I142" s="44">
        <f t="shared" si="47"/>
        <v>4.0032890178936107</v>
      </c>
      <c r="J142" s="44">
        <f t="shared" si="47"/>
        <v>4.1598239478789178</v>
      </c>
      <c r="K142" s="44">
        <f t="shared" si="47"/>
        <v>4.3197694950481376</v>
      </c>
      <c r="L142" s="44">
        <f t="shared" si="47"/>
        <v>4.4832399717030373</v>
      </c>
      <c r="M142" s="44">
        <f t="shared" si="47"/>
        <v>4.6503573207172941</v>
      </c>
      <c r="N142" s="44">
        <f t="shared" si="47"/>
        <v>4.8212517499719958</v>
      </c>
      <c r="O142" s="44">
        <f t="shared" si="47"/>
        <v>4.7665885253056244</v>
      </c>
      <c r="P142" s="44">
        <f t="shared" si="47"/>
        <v>4.712122790806851</v>
      </c>
      <c r="Q142" s="44">
        <f t="shared" si="47"/>
        <v>4.6583118169652202</v>
      </c>
      <c r="R142" s="44">
        <f t="shared" si="47"/>
        <v>4.6054007796961196</v>
      </c>
      <c r="S142" s="44">
        <f t="shared" si="47"/>
        <v>4.5537235648290988</v>
      </c>
      <c r="T142" s="44">
        <f t="shared" si="47"/>
        <v>4.487920352190037</v>
      </c>
      <c r="U142" s="44">
        <f t="shared" si="47"/>
        <v>4.4226501927586819</v>
      </c>
      <c r="V142" s="44">
        <f t="shared" si="47"/>
        <v>4.35811817393349</v>
      </c>
      <c r="W142" s="44">
        <f t="shared" si="47"/>
        <v>4.2945484958384679</v>
      </c>
      <c r="X142" s="44">
        <f t="shared" si="47"/>
        <v>4.2321863579227266</v>
      </c>
      <c r="Y142" s="44">
        <f t="shared" si="47"/>
        <v>4.1376332643326572</v>
      </c>
      <c r="Z142" s="44">
        <f t="shared" si="47"/>
        <v>4.0441133478096702</v>
      </c>
      <c r="AA142" s="44">
        <f t="shared" si="47"/>
        <v>3.9526215248078791</v>
      </c>
      <c r="AB142" s="44">
        <f t="shared" si="47"/>
        <v>3.863456400389</v>
      </c>
      <c r="AC142" s="44">
        <f t="shared" si="47"/>
        <v>3.7770280143383808</v>
      </c>
      <c r="AD142" s="44">
        <f t="shared" si="47"/>
        <v>3.6819199602263533</v>
      </c>
      <c r="AE142" s="44">
        <f t="shared" si="47"/>
        <v>3.5904498629082431</v>
      </c>
      <c r="AF142" s="44">
        <f t="shared" si="47"/>
        <v>3.5031530704132128</v>
      </c>
      <c r="AG142" s="44">
        <f t="shared" si="47"/>
        <v>3.420614987648225</v>
      </c>
      <c r="AH142" s="44">
        <f t="shared" si="47"/>
        <v>3.3434762179703665</v>
      </c>
      <c r="AI142" s="44"/>
      <c r="AJ142" s="180"/>
    </row>
    <row r="143" spans="1:36" x14ac:dyDescent="0.2">
      <c r="A143" s="689"/>
      <c r="B143" s="1" t="s">
        <v>248</v>
      </c>
      <c r="C143" s="54" t="s">
        <v>153</v>
      </c>
      <c r="D143" s="284">
        <f>D69+D78-('Ethylene Recycling HC'!C101+'Ethylene Recycling HC'!C150+'Ethylene Recycling HC'!C190+'Ethylene Recycling HC'!C216-('Ethylene Recycling HC'!$C$101+'Ethylene Recycling HC'!$C$150+'Ethylene Recycling HC'!$C$190+'Ethylene Recycling HC'!$C$216)+'Ethylene Recycling HC'!C104+'Ethylene Recycling HC'!C153+'Ethylene Recycling HC'!C193+'Ethylene Recycling HC'!C219-('Ethylene Recycling HC'!$C$104+'Ethylene Recycling HC'!$C$153+'Ethylene Recycling HC'!$C$193+'Ethylene Recycling HC'!$C$219))</f>
        <v>9.3727154228362686</v>
      </c>
      <c r="E143" s="284">
        <f>E69+E78-('Ethylene Recycling HC'!D101+'Ethylene Recycling HC'!D150+'Ethylene Recycling HC'!D190+'Ethylene Recycling HC'!D216-('Ethylene Recycling HC'!$C$101+'Ethylene Recycling HC'!$C$150+'Ethylene Recycling HC'!$C$190+'Ethylene Recycling HC'!$C$216)+'Ethylene Recycling HC'!D104+'Ethylene Recycling HC'!D153+'Ethylene Recycling HC'!D193+'Ethylene Recycling HC'!D219-('Ethylene Recycling HC'!$C$104+'Ethylene Recycling HC'!$C$153+'Ethylene Recycling HC'!$C$193+'Ethylene Recycling HC'!$C$219))</f>
        <v>10.178780569224639</v>
      </c>
      <c r="F143" s="284">
        <f>F69+F78-('Ethylene Recycling HC'!E101+'Ethylene Recycling HC'!E150+'Ethylene Recycling HC'!E190+'Ethylene Recycling HC'!E216-('Ethylene Recycling HC'!$C$101+'Ethylene Recycling HC'!$C$150+'Ethylene Recycling HC'!$C$190+'Ethylene Recycling HC'!$C$216)+'Ethylene Recycling HC'!E104+'Ethylene Recycling HC'!E153+'Ethylene Recycling HC'!E193+'Ethylene Recycling HC'!E219-('Ethylene Recycling HC'!$C$104+'Ethylene Recycling HC'!$C$153+'Ethylene Recycling HC'!$C$193+'Ethylene Recycling HC'!$C$219))</f>
        <v>10.820532289022394</v>
      </c>
      <c r="G143" s="284">
        <f>G69+G78-('Ethylene Recycling HC'!F101+'Ethylene Recycling HC'!F150+'Ethylene Recycling HC'!F190+'Ethylene Recycling HC'!F216-('Ethylene Recycling HC'!$C$101+'Ethylene Recycling HC'!$C$150+'Ethylene Recycling HC'!$C$190+'Ethylene Recycling HC'!$C$216)+'Ethylene Recycling HC'!F104+'Ethylene Recycling HC'!F153+'Ethylene Recycling HC'!F193+'Ethylene Recycling HC'!F219-('Ethylene Recycling HC'!$C$104+'Ethylene Recycling HC'!$C$153+'Ethylene Recycling HC'!$C$193+'Ethylene Recycling HC'!$C$219))</f>
        <v>11.481908947456073</v>
      </c>
      <c r="H143" s="284">
        <f>H69+H78-('Ethylene Recycling HC'!G101+'Ethylene Recycling HC'!G150+'Ethylene Recycling HC'!G190+'Ethylene Recycling HC'!G216-('Ethylene Recycling HC'!$C$101+'Ethylene Recycling HC'!$C$150+'Ethylene Recycling HC'!$C$190+'Ethylene Recycling HC'!$C$216)+'Ethylene Recycling HC'!G104+'Ethylene Recycling HC'!G153+'Ethylene Recycling HC'!G193+'Ethylene Recycling HC'!G219-('Ethylene Recycling HC'!$C$104+'Ethylene Recycling HC'!$C$153+'Ethylene Recycling HC'!$C$193+'Ethylene Recycling HC'!$C$219))</f>
        <v>12.163759013220909</v>
      </c>
      <c r="I143" s="284">
        <f>I69+I78-('Ethylene Recycling HC'!H101+'Ethylene Recycling HC'!H150+'Ethylene Recycling HC'!H190+'Ethylene Recycling HC'!H216-('Ethylene Recycling HC'!$C$101+'Ethylene Recycling HC'!$C$150+'Ethylene Recycling HC'!$C$190+'Ethylene Recycling HC'!$C$216)+'Ethylene Recycling HC'!H104+'Ethylene Recycling HC'!H153+'Ethylene Recycling HC'!H193+'Ethylene Recycling HC'!H219-('Ethylene Recycling HC'!$C$104+'Ethylene Recycling HC'!$C$153+'Ethylene Recycling HC'!$C$193+'Ethylene Recycling HC'!$C$219))</f>
        <v>12.866980141002394</v>
      </c>
      <c r="J143" s="284">
        <f>J69+J78-('Ethylene Recycling HC'!I101+'Ethylene Recycling HC'!I150+'Ethylene Recycling HC'!I190+'Ethylene Recycling HC'!I216-('Ethylene Recycling HC'!$C$101+'Ethylene Recycling HC'!$C$150+'Ethylene Recycling HC'!$C$190+'Ethylene Recycling HC'!$C$216)+'Ethylene Recycling HC'!I104+'Ethylene Recycling HC'!I153+'Ethylene Recycling HC'!I193+'Ethylene Recycling HC'!I219-('Ethylene Recycling HC'!$C$104+'Ethylene Recycling HC'!$C$153+'Ethylene Recycling HC'!$C$193+'Ethylene Recycling HC'!$C$219))</f>
        <v>13.426186207182624</v>
      </c>
      <c r="K143" s="284">
        <f>K69+K78-('Ethylene Recycling HC'!J101+'Ethylene Recycling HC'!J150+'Ethylene Recycling HC'!J190+'Ethylene Recycling HC'!J216-('Ethylene Recycling HC'!$C$101+'Ethylene Recycling HC'!$C$150+'Ethylene Recycling HC'!$C$190+'Ethylene Recycling HC'!$C$216)+'Ethylene Recycling HC'!J104+'Ethylene Recycling HC'!J153+'Ethylene Recycling HC'!J193+'Ethylene Recycling HC'!J219-('Ethylene Recycling HC'!$C$104+'Ethylene Recycling HC'!$C$153+'Ethylene Recycling HC'!$C$193+'Ethylene Recycling HC'!$C$219))</f>
        <v>14.002124936798035</v>
      </c>
      <c r="L143" s="284">
        <f>L69+L78-('Ethylene Recycling HC'!K101+'Ethylene Recycling HC'!K150+'Ethylene Recycling HC'!K190+'Ethylene Recycling HC'!K216-('Ethylene Recycling HC'!$C$101+'Ethylene Recycling HC'!$C$150+'Ethylene Recycling HC'!$C$190+'Ethylene Recycling HC'!$C$216)+'Ethylene Recycling HC'!K104+'Ethylene Recycling HC'!K153+'Ethylene Recycling HC'!K193+'Ethylene Recycling HC'!K219-('Ethylene Recycling HC'!$C$104+'Ethylene Recycling HC'!$C$153+'Ethylene Recycling HC'!$C$193+'Ethylene Recycling HC'!$C$219))</f>
        <v>14.595704024140543</v>
      </c>
      <c r="M143" s="284">
        <f>M69+M78-('Ethylene Recycling HC'!L101+'Ethylene Recycling HC'!L150+'Ethylene Recycling HC'!L190+'Ethylene Recycling HC'!L216-('Ethylene Recycling HC'!$C$101+'Ethylene Recycling HC'!$C$150+'Ethylene Recycling HC'!$C$190+'Ethylene Recycling HC'!$C$216)+'Ethylene Recycling HC'!L104+'Ethylene Recycling HC'!L153+'Ethylene Recycling HC'!L193+'Ethylene Recycling HC'!L219-('Ethylene Recycling HC'!$C$104+'Ethylene Recycling HC'!$C$153+'Ethylene Recycling HC'!$C$193+'Ethylene Recycling HC'!$C$219))</f>
        <v>15.207930885547249</v>
      </c>
      <c r="N143" s="284">
        <f>N69+N78-('Ethylene Recycling HC'!M101+'Ethylene Recycling HC'!M150+'Ethylene Recycling HC'!M190+'Ethylene Recycling HC'!M216-('Ethylene Recycling HC'!$C$101+'Ethylene Recycling HC'!$C$150+'Ethylene Recycling HC'!$C$190+'Ethylene Recycling HC'!$C$216)+'Ethylene Recycling HC'!M104+'Ethylene Recycling HC'!M153+'Ethylene Recycling HC'!M193+'Ethylene Recycling HC'!M219-('Ethylene Recycling HC'!$C$104+'Ethylene Recycling HC'!$C$153+'Ethylene Recycling HC'!$C$193+'Ethylene Recycling HC'!$C$219))</f>
        <v>15.839926287241111</v>
      </c>
      <c r="O143" s="284">
        <f>O69+O78-('Ethylene Recycling HC'!N101+'Ethylene Recycling HC'!N150+'Ethylene Recycling HC'!N190+'Ethylene Recycling HC'!N216-('Ethylene Recycling HC'!$C$101+'Ethylene Recycling HC'!$C$150+'Ethylene Recycling HC'!$C$190+'Ethylene Recycling HC'!$C$216)+'Ethylene Recycling HC'!N104+'Ethylene Recycling HC'!N153+'Ethylene Recycling HC'!N193+'Ethylene Recycling HC'!N219-('Ethylene Recycling HC'!$C$104+'Ethylene Recycling HC'!$C$153+'Ethylene Recycling HC'!$C$193+'Ethylene Recycling HC'!$C$219))</f>
        <v>15.801994790146512</v>
      </c>
      <c r="P143" s="284">
        <f>P69+P78-('Ethylene Recycling HC'!O101+'Ethylene Recycling HC'!O150+'Ethylene Recycling HC'!O190+'Ethylene Recycling HC'!O216-('Ethylene Recycling HC'!$C$101+'Ethylene Recycling HC'!$C$150+'Ethylene Recycling HC'!$C$190+'Ethylene Recycling HC'!$C$216)+'Ethylene Recycling HC'!O104+'Ethylene Recycling HC'!O153+'Ethylene Recycling HC'!O193+'Ethylene Recycling HC'!O219-('Ethylene Recycling HC'!$C$104+'Ethylene Recycling HC'!$C$153+'Ethylene Recycling HC'!$C$193+'Ethylene Recycling HC'!$C$219))</f>
        <v>15.774188085856046</v>
      </c>
      <c r="Q143" s="284">
        <f>Q69+Q78-('Ethylene Recycling HC'!P101+'Ethylene Recycling HC'!P150+'Ethylene Recycling HC'!P190+'Ethylene Recycling HC'!P216-('Ethylene Recycling HC'!$C$101+'Ethylene Recycling HC'!$C$150+'Ethylene Recycling HC'!$C$190+'Ethylene Recycling HC'!$C$216)+'Ethylene Recycling HC'!P104+'Ethylene Recycling HC'!P153+'Ethylene Recycling HC'!P193+'Ethylene Recycling HC'!P219-('Ethylene Recycling HC'!$C$104+'Ethylene Recycling HC'!$C$153+'Ethylene Recycling HC'!$C$193+'Ethylene Recycling HC'!$C$219))</f>
        <v>15.760757547453396</v>
      </c>
      <c r="R143" s="284">
        <f>R69+R78-('Ethylene Recycling HC'!Q101+'Ethylene Recycling HC'!Q150+'Ethylene Recycling HC'!Q190+'Ethylene Recycling HC'!Q216-('Ethylene Recycling HC'!$C$101+'Ethylene Recycling HC'!$C$150+'Ethylene Recycling HC'!$C$190+'Ethylene Recycling HC'!$C$216)+'Ethylene Recycling HC'!Q104+'Ethylene Recycling HC'!Q153+'Ethylene Recycling HC'!Q193+'Ethylene Recycling HC'!Q219-('Ethylene Recycling HC'!$C$104+'Ethylene Recycling HC'!$C$153+'Ethylene Recycling HC'!$C$193+'Ethylene Recycling HC'!$C$219))</f>
        <v>15.761975035713416</v>
      </c>
      <c r="S143" s="284">
        <f>S69+S78-('Ethylene Recycling HC'!R101+'Ethylene Recycling HC'!R150+'Ethylene Recycling HC'!R190+'Ethylene Recycling HC'!R216-('Ethylene Recycling HC'!$C$101+'Ethylene Recycling HC'!$C$150+'Ethylene Recycling HC'!$C$190+'Ethylene Recycling HC'!$C$216)+'Ethylene Recycling HC'!R104+'Ethylene Recycling HC'!R153+'Ethylene Recycling HC'!R193+'Ethylene Recycling HC'!R219-('Ethylene Recycling HC'!$C$104+'Ethylene Recycling HC'!$C$153+'Ethylene Recycling HC'!$C$193+'Ethylene Recycling HC'!$C$219))</f>
        <v>15.77972349638223</v>
      </c>
      <c r="T143" s="284">
        <f>T69+T78-('Ethylene Recycling HC'!S101+'Ethylene Recycling HC'!S150+'Ethylene Recycling HC'!S190+'Ethylene Recycling HC'!S216-('Ethylene Recycling HC'!$C$101+'Ethylene Recycling HC'!$C$150+'Ethylene Recycling HC'!$C$190+'Ethylene Recycling HC'!$C$216)+'Ethylene Recycling HC'!S104+'Ethylene Recycling HC'!S153+'Ethylene Recycling HC'!S193+'Ethylene Recycling HC'!S219-('Ethylene Recycling HC'!$C$104+'Ethylene Recycling HC'!$C$153+'Ethylene Recycling HC'!$C$193+'Ethylene Recycling HC'!$C$219))</f>
        <v>15.768246067096621</v>
      </c>
      <c r="U143" s="284">
        <f>U69+U78-('Ethylene Recycling HC'!T101+'Ethylene Recycling HC'!T150+'Ethylene Recycling HC'!T190+'Ethylene Recycling HC'!T216-('Ethylene Recycling HC'!$C$101+'Ethylene Recycling HC'!$C$150+'Ethylene Recycling HC'!$C$190+'Ethylene Recycling HC'!$C$216)+'Ethylene Recycling HC'!T104+'Ethylene Recycling HC'!T153+'Ethylene Recycling HC'!T193+'Ethylene Recycling HC'!T219-('Ethylene Recycling HC'!$C$104+'Ethylene Recycling HC'!$C$153+'Ethylene Recycling HC'!$C$193+'Ethylene Recycling HC'!$C$219))</f>
        <v>15.775811648053804</v>
      </c>
      <c r="V143" s="284">
        <f>V69+V78-('Ethylene Recycling HC'!U101+'Ethylene Recycling HC'!U150+'Ethylene Recycling HC'!U190+'Ethylene Recycling HC'!U216-('Ethylene Recycling HC'!$C$101+'Ethylene Recycling HC'!$C$150+'Ethylene Recycling HC'!$C$190+'Ethylene Recycling HC'!$C$216)+'Ethylene Recycling HC'!U104+'Ethylene Recycling HC'!U153+'Ethylene Recycling HC'!U193+'Ethylene Recycling HC'!U219-('Ethylene Recycling HC'!$C$104+'Ethylene Recycling HC'!$C$153+'Ethylene Recycling HC'!$C$193+'Ethylene Recycling HC'!$C$219))</f>
        <v>15.805042527037816</v>
      </c>
      <c r="W143" s="284">
        <f>W69+W78-('Ethylene Recycling HC'!V101+'Ethylene Recycling HC'!V150+'Ethylene Recycling HC'!V190+'Ethylene Recycling HC'!V216-('Ethylene Recycling HC'!$C$101+'Ethylene Recycling HC'!$C$150+'Ethylene Recycling HC'!$C$190+'Ethylene Recycling HC'!$C$216)+'Ethylene Recycling HC'!V104+'Ethylene Recycling HC'!V153+'Ethylene Recycling HC'!V193+'Ethylene Recycling HC'!V219-('Ethylene Recycling HC'!$C$104+'Ethylene Recycling HC'!$C$153+'Ethylene Recycling HC'!$C$193+'Ethylene Recycling HC'!$C$219))</f>
        <v>15.858922160078576</v>
      </c>
      <c r="X143" s="284">
        <f>X69+X78-('Ethylene Recycling HC'!W101+'Ethylene Recycling HC'!W150+'Ethylene Recycling HC'!W190+'Ethylene Recycling HC'!W216-('Ethylene Recycling HC'!$C$101+'Ethylene Recycling HC'!$C$150+'Ethylene Recycling HC'!$C$190+'Ethylene Recycling HC'!$C$216)+'Ethylene Recycling HC'!W104+'Ethylene Recycling HC'!W153+'Ethylene Recycling HC'!W193+'Ethylene Recycling HC'!W219-('Ethylene Recycling HC'!$C$104+'Ethylene Recycling HC'!$C$153+'Ethylene Recycling HC'!$C$193+'Ethylene Recycling HC'!$C$219))</f>
        <v>15.940844119493679</v>
      </c>
      <c r="Y143" s="284">
        <f>Y69+Y78-('Ethylene Recycling HC'!X101+'Ethylene Recycling HC'!X150+'Ethylene Recycling HC'!X190+'Ethylene Recycling HC'!X216-('Ethylene Recycling HC'!$C$101+'Ethylene Recycling HC'!$C$150+'Ethylene Recycling HC'!$C$190+'Ethylene Recycling HC'!$C$216)+'Ethylene Recycling HC'!X104+'Ethylene Recycling HC'!X153+'Ethylene Recycling HC'!X193+'Ethylene Recycling HC'!X219-('Ethylene Recycling HC'!$C$104+'Ethylene Recycling HC'!$C$153+'Ethylene Recycling HC'!$C$193+'Ethylene Recycling HC'!$C$219))</f>
        <v>15.992809178575673</v>
      </c>
      <c r="Z143" s="284">
        <f>Z69+Z78-('Ethylene Recycling HC'!Y101+'Ethylene Recycling HC'!Y150+'Ethylene Recycling HC'!Y190+'Ethylene Recycling HC'!Y216-('Ethylene Recycling HC'!$C$101+'Ethylene Recycling HC'!$C$150+'Ethylene Recycling HC'!$C$190+'Ethylene Recycling HC'!$C$216)+'Ethylene Recycling HC'!Y104+'Ethylene Recycling HC'!Y153+'Ethylene Recycling HC'!Y193+'Ethylene Recycling HC'!Y219-('Ethylene Recycling HC'!$C$104+'Ethylene Recycling HC'!$C$153+'Ethylene Recycling HC'!$C$193+'Ethylene Recycling HC'!$C$219))</f>
        <v>16.078190063365309</v>
      </c>
      <c r="AA143" s="284">
        <f>AA69+AA78-('Ethylene Recycling HC'!Z101+'Ethylene Recycling HC'!Z150+'Ethylene Recycling HC'!Z190+'Ethylene Recycling HC'!Z216-('Ethylene Recycling HC'!$C$101+'Ethylene Recycling HC'!$C$150+'Ethylene Recycling HC'!$C$190+'Ethylene Recycling HC'!$C$216)+'Ethylene Recycling HC'!Z104+'Ethylene Recycling HC'!Z153+'Ethylene Recycling HC'!Z193+'Ethylene Recycling HC'!Z219-('Ethylene Recycling HC'!$C$104+'Ethylene Recycling HC'!$C$153+'Ethylene Recycling HC'!$C$193+'Ethylene Recycling HC'!$C$219))</f>
        <v>16.205857981186465</v>
      </c>
      <c r="AB143" s="284">
        <f>AB69+AB78-('Ethylene Recycling HC'!AA101+'Ethylene Recycling HC'!AA150+'Ethylene Recycling HC'!AA190+'Ethylene Recycling HC'!AA216-('Ethylene Recycling HC'!$C$101+'Ethylene Recycling HC'!$C$150+'Ethylene Recycling HC'!$C$190+'Ethylene Recycling HC'!$C$216)+'Ethylene Recycling HC'!AA104+'Ethylene Recycling HC'!AA153+'Ethylene Recycling HC'!AA193+'Ethylene Recycling HC'!AA219-('Ethylene Recycling HC'!$C$104+'Ethylene Recycling HC'!$C$153+'Ethylene Recycling HC'!$C$193+'Ethylene Recycling HC'!$C$219))</f>
        <v>16.381232363050042</v>
      </c>
      <c r="AC143" s="284">
        <f>AC69+AC78-('Ethylene Recycling HC'!AB101+'Ethylene Recycling HC'!AB150+'Ethylene Recycling HC'!AB190+'Ethylene Recycling HC'!AB216-('Ethylene Recycling HC'!$C$101+'Ethylene Recycling HC'!$C$150+'Ethylene Recycling HC'!$C$190+'Ethylene Recycling HC'!$C$216)+'Ethylene Recycling HC'!AB104+'Ethylene Recycling HC'!AB153+'Ethylene Recycling HC'!AB193+'Ethylene Recycling HC'!AB219-('Ethylene Recycling HC'!$C$104+'Ethylene Recycling HC'!$C$153+'Ethylene Recycling HC'!$C$193+'Ethylene Recycling HC'!$C$219))</f>
        <v>16.610689151063045</v>
      </c>
      <c r="AD143" s="284">
        <f>AD69+AD78-('Ethylene Recycling HC'!AC101+'Ethylene Recycling HC'!AC150+'Ethylene Recycling HC'!AC190+'Ethylene Recycling HC'!AC216-('Ethylene Recycling HC'!$C$101+'Ethylene Recycling HC'!$C$150+'Ethylene Recycling HC'!$C$190+'Ethylene Recycling HC'!$C$216)+'Ethylene Recycling HC'!AC104+'Ethylene Recycling HC'!AC153+'Ethylene Recycling HC'!AC193+'Ethylene Recycling HC'!AC219-('Ethylene Recycling HC'!$C$104+'Ethylene Recycling HC'!$C$153+'Ethylene Recycling HC'!$C$193+'Ethylene Recycling HC'!$C$219))</f>
        <v>16.864644721222771</v>
      </c>
      <c r="AE143" s="284">
        <f>AE69+AE78-('Ethylene Recycling HC'!AD101+'Ethylene Recycling HC'!AD150+'Ethylene Recycling HC'!AD190+'Ethylene Recycling HC'!AD216-('Ethylene Recycling HC'!$C$101+'Ethylene Recycling HC'!$C$150+'Ethylene Recycling HC'!$C$190+'Ethylene Recycling HC'!$C$216)+'Ethylene Recycling HC'!AD104+'Ethylene Recycling HC'!AD153+'Ethylene Recycling HC'!AD193+'Ethylene Recycling HC'!AD219-('Ethylene Recycling HC'!$C$104+'Ethylene Recycling HC'!$C$153+'Ethylene Recycling HC'!$C$193+'Ethylene Recycling HC'!$C$219))</f>
        <v>17.188092691800271</v>
      </c>
      <c r="AF143" s="284">
        <f>AF69+AF78-('Ethylene Recycling HC'!AE101+'Ethylene Recycling HC'!AE150+'Ethylene Recycling HC'!AE190+'Ethylene Recycling HC'!AE216-('Ethylene Recycling HC'!$C$101+'Ethylene Recycling HC'!$C$150+'Ethylene Recycling HC'!$C$190+'Ethylene Recycling HC'!$C$216)+'Ethylene Recycling HC'!AE104+'Ethylene Recycling HC'!AE153+'Ethylene Recycling HC'!AE193+'Ethylene Recycling HC'!AE219-('Ethylene Recycling HC'!$C$104+'Ethylene Recycling HC'!$C$153+'Ethylene Recycling HC'!$C$193+'Ethylene Recycling HC'!$C$219))</f>
        <v>17.590406588920224</v>
      </c>
      <c r="AG143" s="284">
        <f>AG69+AG78-('Ethylene Recycling HC'!AF101+'Ethylene Recycling HC'!AF150+'Ethylene Recycling HC'!AF190+'Ethylene Recycling HC'!AF216-('Ethylene Recycling HC'!$C$101+'Ethylene Recycling HC'!$C$150+'Ethylene Recycling HC'!$C$190+'Ethylene Recycling HC'!$C$216)+'Ethylene Recycling HC'!AF104+'Ethylene Recycling HC'!AF153+'Ethylene Recycling HC'!AF193+'Ethylene Recycling HC'!AF219-('Ethylene Recycling HC'!$C$104+'Ethylene Recycling HC'!$C$153+'Ethylene Recycling HC'!$C$193+'Ethylene Recycling HC'!$C$219))</f>
        <v>18.08223744011088</v>
      </c>
      <c r="AH143" s="284">
        <f>AH69+AH78-('Ethylene Recycling HC'!AG101+'Ethylene Recycling HC'!AG150+'Ethylene Recycling HC'!AG190+'Ethylene Recycling HC'!AG216-('Ethylene Recycling HC'!$C$101+'Ethylene Recycling HC'!$C$150+'Ethylene Recycling HC'!$C$190+'Ethylene Recycling HC'!$C$216)+'Ethylene Recycling HC'!AG104+'Ethylene Recycling HC'!AG153+'Ethylene Recycling HC'!AG193+'Ethylene Recycling HC'!AG219-('Ethylene Recycling HC'!$C$104+'Ethylene Recycling HC'!$C$153+'Ethylene Recycling HC'!$C$193+'Ethylene Recycling HC'!$C$219))</f>
        <v>18.675685828834435</v>
      </c>
      <c r="AI143" s="44"/>
      <c r="AJ143" s="180"/>
    </row>
    <row r="144" spans="1:36" s="67" customFormat="1" x14ac:dyDescent="0.2">
      <c r="A144" s="690" t="s">
        <v>263</v>
      </c>
      <c r="B144" s="58" t="s">
        <v>264</v>
      </c>
      <c r="C144" s="59" t="s">
        <v>153</v>
      </c>
      <c r="D144" s="60">
        <f>D70+D79-('Ethylene Recycling HC'!C102+'Ethylene Recycling HC'!C151+'Ethylene Recycling HC'!C191+'Ethylene Recycling HC'!C217-('Ethylene Recycling HC'!$C$102+'Ethylene Recycling HC'!$C$151+'Ethylene Recycling HC'!$C$191+'Ethylene Recycling HC'!$C$217))</f>
        <v>2.8834082840236679</v>
      </c>
      <c r="E144" s="60">
        <f>E70+E79-('Ethylene Recycling HC'!D102+'Ethylene Recycling HC'!D151+'Ethylene Recycling HC'!D191+'Ethylene Recycling HC'!D217-('Ethylene Recycling HC'!$C$102+'Ethylene Recycling HC'!$C$151+'Ethylene Recycling HC'!$C$191+'Ethylene Recycling HC'!$C$217))</f>
        <v>3.0918349170303423</v>
      </c>
      <c r="F144" s="60">
        <f>F70+F79-('Ethylene Recycling HC'!E102+'Ethylene Recycling HC'!E151+'Ethylene Recycling HC'!E191+'Ethylene Recycling HC'!E217-('Ethylene Recycling HC'!$C$102+'Ethylene Recycling HC'!$C$151+'Ethylene Recycling HC'!$C$191+'Ethylene Recycling HC'!$C$217))</f>
        <v>3.2720676654146512</v>
      </c>
      <c r="G144" s="60">
        <f>G70+G79-('Ethylene Recycling HC'!F102+'Ethylene Recycling HC'!F151+'Ethylene Recycling HC'!F191+'Ethylene Recycling HC'!F217-('Ethylene Recycling HC'!$C$102+'Ethylene Recycling HC'!$C$151+'Ethylene Recycling HC'!$C$191+'Ethylene Recycling HC'!$C$217))</f>
        <v>3.4569144514105123</v>
      </c>
      <c r="H144" s="60">
        <f>H70+H79-('Ethylene Recycling HC'!G102+'Ethylene Recycling HC'!G151+'Ethylene Recycling HC'!G191+'Ethylene Recycling HC'!G217-('Ethylene Recycling HC'!$C$102+'Ethylene Recycling HC'!$C$151+'Ethylene Recycling HC'!$C$191+'Ethylene Recycling HC'!$C$217))</f>
        <v>3.646603064569931</v>
      </c>
      <c r="I144" s="60">
        <f>I70+I79-('Ethylene Recycling HC'!H102+'Ethylene Recycling HC'!H151+'Ethylene Recycling HC'!H191+'Ethylene Recycling HC'!H217-('Ethylene Recycling HC'!$C$102+'Ethylene Recycling HC'!$C$151+'Ethylene Recycling HC'!$C$191+'Ethylene Recycling HC'!$C$217))</f>
        <v>3.8413732224805504</v>
      </c>
      <c r="J144" s="60">
        <f>J70+J79-('Ethylene Recycling HC'!I102+'Ethylene Recycling HC'!I151+'Ethylene Recycling HC'!I191+'Ethylene Recycling HC'!I217-('Ethylene Recycling HC'!$C$102+'Ethylene Recycling HC'!$C$151+'Ethylene Recycling HC'!$C$191+'Ethylene Recycling HC'!$C$217))</f>
        <v>3.9911368902896673</v>
      </c>
      <c r="K144" s="60">
        <f>K70+K79-('Ethylene Recycling HC'!J102+'Ethylene Recycling HC'!J151+'Ethylene Recycling HC'!J191+'Ethylene Recycling HC'!J217-('Ethylene Recycling HC'!$C$102+'Ethylene Recycling HC'!$C$151+'Ethylene Recycling HC'!$C$191+'Ethylene Recycling HC'!$C$217))</f>
        <v>4.1441837468685607</v>
      </c>
      <c r="L144" s="60">
        <f>L70+L79-('Ethylene Recycling HC'!K102+'Ethylene Recycling HC'!K151+'Ethylene Recycling HC'!K191+'Ethylene Recycling HC'!K217-('Ethylene Recycling HC'!$C$102+'Ethylene Recycling HC'!$C$151+'Ethylene Recycling HC'!$C$191+'Ethylene Recycling HC'!$C$217))</f>
        <v>4.3006269074221413</v>
      </c>
      <c r="M144" s="60">
        <f>M70+M79-('Ethylene Recycling HC'!L102+'Ethylene Recycling HC'!L151+'Ethylene Recycling HC'!L191+'Ethylene Recycling HC'!L217-('Ethylene Recycling HC'!$C$102+'Ethylene Recycling HC'!$C$151+'Ethylene Recycling HC'!$C$191+'Ethylene Recycling HC'!$C$217))</f>
        <v>4.4605871403662976</v>
      </c>
      <c r="N144" s="60">
        <f>N70+N79-('Ethylene Recycling HC'!M102+'Ethylene Recycling HC'!M151+'Ethylene Recycling HC'!M191+'Ethylene Recycling HC'!M217-('Ethylene Recycling HC'!$C$102+'Ethylene Recycling HC'!$C$151+'Ethylene Recycling HC'!$C$191+'Ethylene Recycling HC'!$C$217))</f>
        <v>4.624193503498315</v>
      </c>
      <c r="O144" s="60">
        <f>O70+O79-('Ethylene Recycling HC'!N102+'Ethylene Recycling HC'!N151+'Ethylene Recycling HC'!N191+'Ethylene Recycling HC'!N217-('Ethylene Recycling HC'!$C$102+'Ethylene Recycling HC'!$C$151+'Ethylene Recycling HC'!$C$191+'Ethylene Recycling HC'!$C$217))</f>
        <v>4.5707292759908968</v>
      </c>
      <c r="P144" s="60">
        <f>P70+P79-('Ethylene Recycling HC'!O102+'Ethylene Recycling HC'!O151+'Ethylene Recycling HC'!O191+'Ethylene Recycling HC'!O217-('Ethylene Recycling HC'!$C$102+'Ethylene Recycling HC'!$C$151+'Ethylene Recycling HC'!$C$191+'Ethylene Recycling HC'!$C$217))</f>
        <v>4.5174970491070576</v>
      </c>
      <c r="Q144" s="60">
        <f>Q70+Q79-('Ethylene Recycling HC'!P102+'Ethylene Recycling HC'!P151+'Ethylene Recycling HC'!P191+'Ethylene Recycling HC'!P217-('Ethylene Recycling HC'!$C$102+'Ethylene Recycling HC'!$C$151+'Ethylene Recycling HC'!$C$191+'Ethylene Recycling HC'!$C$217))</f>
        <v>4.4649543368851861</v>
      </c>
      <c r="R144" s="60">
        <f>R70+R79-('Ethylene Recycling HC'!Q102+'Ethylene Recycling HC'!Q151+'Ethylene Recycling HC'!Q191+'Ethylene Recycling HC'!Q217-('Ethylene Recycling HC'!$C$102+'Ethylene Recycling HC'!$C$151+'Ethylene Recycling HC'!$C$191+'Ethylene Recycling HC'!$C$217))</f>
        <v>4.413346552051129</v>
      </c>
      <c r="S144" s="60">
        <f>S70+S79-('Ethylene Recycling HC'!R102+'Ethylene Recycling HC'!R151+'Ethylene Recycling HC'!R191+'Ethylene Recycling HC'!R217-('Ethylene Recycling HC'!$C$102+'Ethylene Recycling HC'!$C$151+'Ethylene Recycling HC'!$C$191+'Ethylene Recycling HC'!$C$217))</f>
        <v>4.3630078101669625</v>
      </c>
      <c r="T144" s="60">
        <f>T70+T79-('Ethylene Recycling HC'!S102+'Ethylene Recycling HC'!S151+'Ethylene Recycling HC'!S191+'Ethylene Recycling HC'!S217-('Ethylene Recycling HC'!$C$102+'Ethylene Recycling HC'!$C$151+'Ethylene Recycling HC'!$C$191+'Ethylene Recycling HC'!$C$217))</f>
        <v>4.2991622295529366</v>
      </c>
      <c r="U144" s="60">
        <f>U70+U79-('Ethylene Recycling HC'!T102+'Ethylene Recycling HC'!T151+'Ethylene Recycling HC'!T191+'Ethylene Recycling HC'!T217-('Ethylene Recycling HC'!$C$102+'Ethylene Recycling HC'!$C$151+'Ethylene Recycling HC'!$C$191+'Ethylene Recycling HC'!$C$217))</f>
        <v>4.2358901562589928</v>
      </c>
      <c r="V144" s="60">
        <f>V70+V79-('Ethylene Recycling HC'!U102+'Ethylene Recycling HC'!U151+'Ethylene Recycling HC'!U191+'Ethylene Recycling HC'!U217-('Ethylene Recycling HC'!$C$102+'Ethylene Recycling HC'!$C$151+'Ethylene Recycling HC'!$C$191+'Ethylene Recycling HC'!$C$217))</f>
        <v>4.1733968160967505</v>
      </c>
      <c r="W144" s="60">
        <f>W70+W79-('Ethylene Recycling HC'!V102+'Ethylene Recycling HC'!V151+'Ethylene Recycling HC'!V191+'Ethylene Recycling HC'!V217-('Ethylene Recycling HC'!$C$102+'Ethylene Recycling HC'!$C$151+'Ethylene Recycling HC'!$C$191+'Ethylene Recycling HC'!$C$217))</f>
        <v>4.1119065356828806</v>
      </c>
      <c r="X144" s="60">
        <f>X70+X79-('Ethylene Recycling HC'!W102+'Ethylene Recycling HC'!W151+'Ethylene Recycling HC'!W191+'Ethylene Recycling HC'!W217-('Ethylene Recycling HC'!$C$102+'Ethylene Recycling HC'!$C$151+'Ethylene Recycling HC'!$C$191+'Ethylene Recycling HC'!$C$217))</f>
        <v>4.0516646285644295</v>
      </c>
      <c r="Y144" s="60">
        <f>Y70+Y79-('Ethylene Recycling HC'!X102+'Ethylene Recycling HC'!X151+'Ethylene Recycling HC'!X191+'Ethylene Recycling HC'!X217-('Ethylene Recycling HC'!$C$102+'Ethylene Recycling HC'!$C$151+'Ethylene Recycling HC'!$C$191+'Ethylene Recycling HC'!$C$217))</f>
        <v>3.9598451885370993</v>
      </c>
      <c r="Z144" s="60">
        <f>Z70+Z79-('Ethylene Recycling HC'!Y102+'Ethylene Recycling HC'!Y151+'Ethylene Recycling HC'!Y191+'Ethylene Recycling HC'!Y217-('Ethylene Recycling HC'!$C$102+'Ethylene Recycling HC'!$C$151+'Ethylene Recycling HC'!$C$191+'Ethylene Recycling HC'!$C$217))</f>
        <v>3.8691026979378238</v>
      </c>
      <c r="AA144" s="60">
        <f>AA70+AA79-('Ethylene Recycling HC'!Z102+'Ethylene Recycling HC'!Z151+'Ethylene Recycling HC'!Z191+'Ethylene Recycling HC'!Z217-('Ethylene Recycling HC'!$C$102+'Ethylene Recycling HC'!$C$151+'Ethylene Recycling HC'!$C$191+'Ethylene Recycling HC'!$C$217))</f>
        <v>3.7804320214260523</v>
      </c>
      <c r="AB144" s="60">
        <f>AB70+AB79-('Ethylene Recycling HC'!AA102+'Ethylene Recycling HC'!AA151+'Ethylene Recycling HC'!AA191+'Ethylene Recycling HC'!AA217-('Ethylene Recycling HC'!$C$102+'Ethylene Recycling HC'!$C$151+'Ethylene Recycling HC'!$C$191+'Ethylene Recycling HC'!$C$217))</f>
        <v>3.6941316932852968</v>
      </c>
      <c r="AC144" s="60">
        <f>AC70+AC79-('Ethylene Recycling HC'!AB102+'Ethylene Recycling HC'!AB151+'Ethylene Recycling HC'!AB191+'Ethylene Recycling HC'!AB217-('Ethylene Recycling HC'!$C$102+'Ethylene Recycling HC'!$C$151+'Ethylene Recycling HC'!$C$191+'Ethylene Recycling HC'!$C$217))</f>
        <v>3.6106116628933647</v>
      </c>
      <c r="AD144" s="60">
        <f>AD70+AD79-('Ethylene Recycling HC'!AC102+'Ethylene Recycling HC'!AC151+'Ethylene Recycling HC'!AC191+'Ethylene Recycling HC'!AC217-('Ethylene Recycling HC'!$C$102+'Ethylene Recycling HC'!$C$151+'Ethylene Recycling HC'!$C$191+'Ethylene Recycling HC'!$C$217))</f>
        <v>3.518938885000126</v>
      </c>
      <c r="AE144" s="60">
        <f>AE70+AE79-('Ethylene Recycling HC'!AD102+'Ethylene Recycling HC'!AD151+'Ethylene Recycling HC'!AD191+'Ethylene Recycling HC'!AD217-('Ethylene Recycling HC'!$C$102+'Ethylene Recycling HC'!$C$151+'Ethylene Recycling HC'!$C$191+'Ethylene Recycling HC'!$C$217))</f>
        <v>3.4309493787279308</v>
      </c>
      <c r="AF144" s="60">
        <f>AF70+AF79-('Ethylene Recycling HC'!AE102+'Ethylene Recycling HC'!AE151+'Ethylene Recycling HC'!AE191+'Ethylene Recycling HC'!AE217-('Ethylene Recycling HC'!$C$102+'Ethylene Recycling HC'!$C$151+'Ethylene Recycling HC'!$C$191+'Ethylene Recycling HC'!$C$217))</f>
        <v>3.3471782449381244</v>
      </c>
      <c r="AG144" s="60">
        <f>AG70+AG79-('Ethylene Recycling HC'!AF102+'Ethylene Recycling HC'!AF151+'Ethylene Recycling HC'!AF191+'Ethylene Recycling HC'!AF217-('Ethylene Recycling HC'!$C$102+'Ethylene Recycling HC'!$C$151+'Ethylene Recycling HC'!$C$191+'Ethylene Recycling HC'!$C$217))</f>
        <v>3.2682106159642785</v>
      </c>
      <c r="AH144" s="60">
        <f>AH70+AH79-('Ethylene Recycling HC'!AG102+'Ethylene Recycling HC'!AG151+'Ethylene Recycling HC'!AG191+'Ethylene Recycling HC'!AG217-('Ethylene Recycling HC'!$C$102+'Ethylene Recycling HC'!$C$151+'Ethylene Recycling HC'!$C$191+'Ethylene Recycling HC'!$C$217))</f>
        <v>3.1946867963915238</v>
      </c>
      <c r="AI144" s="60"/>
      <c r="AJ144" s="180"/>
    </row>
    <row r="145" spans="1:35" s="68" customFormat="1" x14ac:dyDescent="0.2">
      <c r="A145" s="691"/>
      <c r="B145" s="62" t="s">
        <v>266</v>
      </c>
      <c r="C145" s="283" t="s">
        <v>153</v>
      </c>
      <c r="D145" s="284">
        <f>D71+D80-('Ethylene Recycling HC'!C218+'Ethylene Recycling HC'!C192+'Ethylene Recycling HC'!C152+'Ethylene Recycling HC'!C103-('Ethylene Recycling HC'!$C$218+'Ethylene Recycling HC'!$C$192+'Ethylene Recycling HC'!$C$152+'Ethylene Recycling HC'!$C$103))</f>
        <v>2.8011119939271247</v>
      </c>
      <c r="E145" s="284">
        <f>E71+E80-('Ethylene Recycling HC'!D218+'Ethylene Recycling HC'!D192+'Ethylene Recycling HC'!D152+'Ethylene Recycling HC'!D103-('Ethylene Recycling HC'!$C$218+'Ethylene Recycling HC'!$C$192+'Ethylene Recycling HC'!$C$152+'Ethylene Recycling HC'!$C$103))</f>
        <v>3.003765402736517</v>
      </c>
      <c r="F145" s="284">
        <f>F71+F80-('Ethylene Recycling HC'!E218+'Ethylene Recycling HC'!E192+'Ethylene Recycling HC'!E152+'Ethylene Recycling HC'!E103-('Ethylene Recycling HC'!$C$218+'Ethylene Recycling HC'!$C$192+'Ethylene Recycling HC'!$C$152+'Ethylene Recycling HC'!$C$103))</f>
        <v>3.373048726380194</v>
      </c>
      <c r="G145" s="284">
        <f>G71+G80-('Ethylene Recycling HC'!F218+'Ethylene Recycling HC'!F192+'Ethylene Recycling HC'!F152+'Ethylene Recycling HC'!F103-('Ethylene Recycling HC'!$C$218+'Ethylene Recycling HC'!$C$192+'Ethylene Recycling HC'!$C$152+'Ethylene Recycling HC'!$C$103))</f>
        <v>4.0235940671411861</v>
      </c>
      <c r="H145" s="284">
        <f>H71+H80-('Ethylene Recycling HC'!G218+'Ethylene Recycling HC'!G192+'Ethylene Recycling HC'!G152+'Ethylene Recycling HC'!G103-('Ethylene Recycling HC'!$C$218+'Ethylene Recycling HC'!$C$192+'Ethylene Recycling HC'!$C$152+'Ethylene Recycling HC'!$C$103))</f>
        <v>3.4943516064602536</v>
      </c>
      <c r="I145" s="284">
        <f>I71+I80-('Ethylene Recycling HC'!H218+'Ethylene Recycling HC'!H192+'Ethylene Recycling HC'!H152+'Ethylene Recycling HC'!H103-('Ethylene Recycling HC'!$C$218+'Ethylene Recycling HC'!$C$192+'Ethylene Recycling HC'!$C$152+'Ethylene Recycling HC'!$C$103))</f>
        <v>3.6794671974974036</v>
      </c>
      <c r="J145" s="284">
        <f>J71+J80-('Ethylene Recycling HC'!I218+'Ethylene Recycling HC'!I192+'Ethylene Recycling HC'!I152+'Ethylene Recycling HC'!I103-('Ethylene Recycling HC'!$C$218+'Ethylene Recycling HC'!$C$192+'Ethylene Recycling HC'!$C$152+'Ethylene Recycling HC'!$C$103))</f>
        <v>3.8292942109978956</v>
      </c>
      <c r="K145" s="284">
        <f>K71+K80-('Ethylene Recycling HC'!J218+'Ethylene Recycling HC'!J192+'Ethylene Recycling HC'!J152+'Ethylene Recycling HC'!J103-('Ethylene Recycling HC'!$C$218+'Ethylene Recycling HC'!$C$192+'Ethylene Recycling HC'!$C$152+'Ethylene Recycling HC'!$C$103))</f>
        <v>3.9828617009902367</v>
      </c>
      <c r="L145" s="284">
        <f>L71+L80-('Ethylene Recycling HC'!K218+'Ethylene Recycling HC'!K192+'Ethylene Recycling HC'!K152+'Ethylene Recycling HC'!K103-('Ethylene Recycling HC'!$C$218+'Ethylene Recycling HC'!$C$192+'Ethylene Recycling HC'!$C$152+'Ethylene Recycling HC'!$C$103))</f>
        <v>4.1402366801045876</v>
      </c>
      <c r="M145" s="284">
        <f>M71+M80-('Ethylene Recycling HC'!L218+'Ethylene Recycling HC'!L192+'Ethylene Recycling HC'!L152+'Ethylene Recycling HC'!L103-('Ethylene Recycling HC'!$C$218+'Ethylene Recycling HC'!$C$192+'Ethylene Recycling HC'!$C$152+'Ethylene Recycling HC'!$C$103))</f>
        <v>4.3014841810064732</v>
      </c>
      <c r="N145" s="284">
        <f>N71+N80-('Ethylene Recycling HC'!M218+'Ethylene Recycling HC'!M192+'Ethylene Recycling HC'!M152+'Ethylene Recycling HC'!M103-('Ethylene Recycling HC'!$C$218+'Ethylene Recycling HC'!$C$192+'Ethylene Recycling HC'!$C$152+'Ethylene Recycling HC'!$C$103))</f>
        <v>4.4666670493808782</v>
      </c>
      <c r="O145" s="284">
        <f>O71+O80-('Ethylene Recycling HC'!N218+'Ethylene Recycling HC'!N192+'Ethylene Recycling HC'!N152+'Ethylene Recycling HC'!N103-('Ethylene Recycling HC'!$C$218+'Ethylene Recycling HC'!$C$192+'Ethylene Recycling HC'!$C$152+'Ethylene Recycling HC'!$C$103))</f>
        <v>4.4230526897910138</v>
      </c>
      <c r="P145" s="284">
        <f>P71+P80-('Ethylene Recycling HC'!O218+'Ethylene Recycling HC'!O192+'Ethylene Recycling HC'!O152+'Ethylene Recycling HC'!O103-('Ethylene Recycling HC'!$C$218+'Ethylene Recycling HC'!$C$192+'Ethylene Recycling HC'!$C$152+'Ethylene Recycling HC'!$C$103))</f>
        <v>4.3806763667844582</v>
      </c>
      <c r="Q145" s="284">
        <f>Q71+Q80-('Ethylene Recycling HC'!P218+'Ethylene Recycling HC'!P192+'Ethylene Recycling HC'!P152+'Ethylene Recycling HC'!P103-('Ethylene Recycling HC'!$C$218+'Ethylene Recycling HC'!$C$192+'Ethylene Recycling HC'!$C$152+'Ethylene Recycling HC'!$C$103))</f>
        <v>4.340171453956029</v>
      </c>
      <c r="R145" s="284">
        <f>R71+R80-('Ethylene Recycling HC'!Q218+'Ethylene Recycling HC'!Q192+'Ethylene Recycling HC'!Q152+'Ethylene Recycling HC'!Q103-('Ethylene Recycling HC'!$C$218+'Ethylene Recycling HC'!$C$192+'Ethylene Recycling HC'!$C$152+'Ethylene Recycling HC'!$C$103))</f>
        <v>4.3013870860781056</v>
      </c>
      <c r="S145" s="284">
        <f>S71+S80-('Ethylene Recycling HC'!R218+'Ethylene Recycling HC'!R192+'Ethylene Recycling HC'!R152+'Ethylene Recycling HC'!R103-('Ethylene Recycling HC'!$C$218+'Ethylene Recycling HC'!$C$192+'Ethylene Recycling HC'!$C$152+'Ethylene Recycling HC'!$C$103))</f>
        <v>4.2644015257989478</v>
      </c>
      <c r="T145" s="284">
        <f>T71+T80-('Ethylene Recycling HC'!S218+'Ethylene Recycling HC'!S192+'Ethylene Recycling HC'!S152+'Ethylene Recycling HC'!S103-('Ethylene Recycling HC'!$C$218+'Ethylene Recycling HC'!$C$192+'Ethylene Recycling HC'!$C$152+'Ethylene Recycling HC'!$C$103))</f>
        <v>4.2095024592338603</v>
      </c>
      <c r="U145" s="284">
        <f>U71+U80-('Ethylene Recycling HC'!T218+'Ethylene Recycling HC'!T192+'Ethylene Recycling HC'!T152+'Ethylene Recycling HC'!T103-('Ethylene Recycling HC'!$C$218+'Ethylene Recycling HC'!$C$192+'Ethylene Recycling HC'!$C$152+'Ethylene Recycling HC'!$C$103))</f>
        <v>4.15504382425459</v>
      </c>
      <c r="V145" s="284">
        <f>V71+V80-('Ethylene Recycling HC'!U218+'Ethylene Recycling HC'!U192+'Ethylene Recycling HC'!U152+'Ethylene Recycling HC'!U103-('Ethylene Recycling HC'!$C$218+'Ethylene Recycling HC'!$C$192+'Ethylene Recycling HC'!$C$152+'Ethylene Recycling HC'!$C$103))</f>
        <v>4.1010481031109034</v>
      </c>
      <c r="W145" s="284">
        <f>W71+W80-('Ethylene Recycling HC'!V218+'Ethylene Recycling HC'!V192+'Ethylene Recycling HC'!V152+'Ethylene Recycling HC'!V103-('Ethylene Recycling HC'!$C$218+'Ethylene Recycling HC'!$C$192+'Ethylene Recycling HC'!$C$152+'Ethylene Recycling HC'!$C$103))</f>
        <v>4.0475370336990073</v>
      </c>
      <c r="X145" s="284">
        <f>X71+X80-('Ethylene Recycling HC'!W218+'Ethylene Recycling HC'!W192+'Ethylene Recycling HC'!W152+'Ethylene Recycling HC'!W103-('Ethylene Recycling HC'!$C$218+'Ethylene Recycling HC'!$C$192+'Ethylene Recycling HC'!$C$152+'Ethylene Recycling HC'!$C$103))</f>
        <v>3.9945315783880355</v>
      </c>
      <c r="Y145" s="284">
        <f>Y71+Y80-('Ethylene Recycling HC'!X218+'Ethylene Recycling HC'!X192+'Ethylene Recycling HC'!X152+'Ethylene Recycling HC'!X103-('Ethylene Recycling HC'!$C$218+'Ethylene Recycling HC'!$C$192+'Ethylene Recycling HC'!$C$152+'Ethylene Recycling HC'!$C$103))</f>
        <v>3.9184242434522347</v>
      </c>
      <c r="Z145" s="284">
        <f>Z71+Z80-('Ethylene Recycling HC'!Y218+'Ethylene Recycling HC'!Y192+'Ethylene Recycling HC'!Y152+'Ethylene Recycling HC'!Y103-('Ethylene Recycling HC'!$C$218+'Ethylene Recycling HC'!$C$192+'Ethylene Recycling HC'!$C$152+'Ethylene Recycling HC'!$C$103))</f>
        <v>3.8421613367450647</v>
      </c>
      <c r="AA145" s="284">
        <f>AA71+AA80-('Ethylene Recycling HC'!Z218+'Ethylene Recycling HC'!Z192+'Ethylene Recycling HC'!Z152+'Ethylene Recycling HC'!Z103-('Ethylene Recycling HC'!$C$218+'Ethylene Recycling HC'!$C$192+'Ethylene Recycling HC'!$C$152+'Ethylene Recycling HC'!$C$103))</f>
        <v>3.7672748957166906</v>
      </c>
      <c r="AB145" s="284">
        <f>AB71+AB80-('Ethylene Recycling HC'!AA218+'Ethylene Recycling HC'!AA192+'Ethylene Recycling HC'!AA152+'Ethylene Recycling HC'!AA103-('Ethylene Recycling HC'!$C$218+'Ethylene Recycling HC'!$C$192+'Ethylene Recycling HC'!$C$152+'Ethylene Recycling HC'!$C$103))</f>
        <v>3.6938018045729342</v>
      </c>
      <c r="AC145" s="284">
        <f>AC71+AC80-('Ethylene Recycling HC'!AB218+'Ethylene Recycling HC'!AB192+'Ethylene Recycling HC'!AB152+'Ethylene Recycling HC'!AB103-('Ethylene Recycling HC'!$C$218+'Ethylene Recycling HC'!$C$192+'Ethylene Recycling HC'!$C$152+'Ethylene Recycling HC'!$C$103))</f>
        <v>3.6217775672217547</v>
      </c>
      <c r="AD145" s="284">
        <f>AD71+AD80-('Ethylene Recycling HC'!AC218+'Ethylene Recycling HC'!AC192+'Ethylene Recycling HC'!AC152+'Ethylene Recycling HC'!AC103-('Ethylene Recycling HC'!$C$218+'Ethylene Recycling HC'!$C$192+'Ethylene Recycling HC'!$C$152+'Ethylene Recycling HC'!$C$103))</f>
        <v>3.5442605793148139</v>
      </c>
      <c r="AE145" s="284">
        <f>AE71+AE80-('Ethylene Recycling HC'!AD218+'Ethylene Recycling HC'!AD192+'Ethylene Recycling HC'!AD152+'Ethylene Recycling HC'!AD103-('Ethylene Recycling HC'!$C$218+'Ethylene Recycling HC'!$C$192+'Ethylene Recycling HC'!$C$152+'Ethylene Recycling HC'!$C$103))</f>
        <v>3.4685919392771964</v>
      </c>
      <c r="AF145" s="284">
        <f>AF71+AF80-('Ethylene Recycling HC'!AE218+'Ethylene Recycling HC'!AE192+'Ethylene Recycling HC'!AE152+'Ethylene Recycling HC'!AE103-('Ethylene Recycling HC'!$C$218+'Ethylene Recycling HC'!$C$192+'Ethylene Recycling HC'!$C$152+'Ethylene Recycling HC'!$C$103))</f>
        <v>3.3947997187692014</v>
      </c>
      <c r="AG145" s="284">
        <f>AG71+AG80-('Ethylene Recycling HC'!AF218+'Ethylene Recycling HC'!AF192+'Ethylene Recycling HC'!AF152+'Ethylene Recycling HC'!AF103-('Ethylene Recycling HC'!$C$218+'Ethylene Recycling HC'!$C$192+'Ethylene Recycling HC'!$C$152+'Ethylene Recycling HC'!$C$103))</f>
        <v>3.3229100916526959</v>
      </c>
      <c r="AH145" s="284">
        <f>AH71+AH80-('Ethylene Recycling HC'!AG218+'Ethylene Recycling HC'!AG192+'Ethylene Recycling HC'!AG152+'Ethylene Recycling HC'!AG103-('Ethylene Recycling HC'!$C$218+'Ethylene Recycling HC'!$C$192+'Ethylene Recycling HC'!$C$152+'Ethylene Recycling HC'!$C$103))</f>
        <v>3.2529472917830615</v>
      </c>
      <c r="AI145" s="284"/>
    </row>
    <row r="146" spans="1:35" s="67" customFormat="1" x14ac:dyDescent="0.2">
      <c r="A146" s="58" t="s">
        <v>67</v>
      </c>
      <c r="B146" s="58" t="s">
        <v>227</v>
      </c>
      <c r="C146" s="100" t="s">
        <v>153</v>
      </c>
      <c r="D146" s="101">
        <f t="shared" ref="D146:AG146" si="48">D94+D114+D124+D125+D126+D136+D137+D138+D104</f>
        <v>0</v>
      </c>
      <c r="E146" s="101">
        <f t="shared" si="48"/>
        <v>0.60751291443564159</v>
      </c>
      <c r="F146" s="101">
        <f t="shared" si="48"/>
        <v>1.1983365468440341</v>
      </c>
      <c r="G146" s="101">
        <f t="shared" si="48"/>
        <v>1.7677657954307056</v>
      </c>
      <c r="H146" s="101">
        <f t="shared" si="48"/>
        <v>2.3111587929691528</v>
      </c>
      <c r="I146" s="101">
        <f t="shared" si="48"/>
        <v>2.8239987745500272</v>
      </c>
      <c r="J146" s="101">
        <f t="shared" si="48"/>
        <v>3.3079524530614917</v>
      </c>
      <c r="K146" s="101">
        <f t="shared" si="48"/>
        <v>3.7847068513988833</v>
      </c>
      <c r="L146" s="101">
        <f t="shared" si="48"/>
        <v>4.2531435944256444</v>
      </c>
      <c r="M146" s="101">
        <f t="shared" si="48"/>
        <v>4.7121362700024392</v>
      </c>
      <c r="N146" s="101">
        <f t="shared" si="48"/>
        <v>5.160553507948821</v>
      </c>
      <c r="O146" s="101">
        <f t="shared" si="48"/>
        <v>5.9312968059387705</v>
      </c>
      <c r="P146" s="101">
        <f t="shared" si="48"/>
        <v>6.7030357307320365</v>
      </c>
      <c r="Q146" s="101">
        <f t="shared" si="48"/>
        <v>7.3231139950128377</v>
      </c>
      <c r="R146" s="101">
        <f t="shared" si="48"/>
        <v>7.860255362757024</v>
      </c>
      <c r="S146" s="101">
        <f t="shared" si="48"/>
        <v>8.3097311331974151</v>
      </c>
      <c r="T146" s="101">
        <f t="shared" si="48"/>
        <v>8.7156585865666667</v>
      </c>
      <c r="U146" s="101">
        <f t="shared" si="48"/>
        <v>9.0652963340779831</v>
      </c>
      <c r="V146" s="101">
        <f t="shared" si="48"/>
        <v>9.3572024543555141</v>
      </c>
      <c r="W146" s="101">
        <f t="shared" si="48"/>
        <v>9.5899543481474669</v>
      </c>
      <c r="X146" s="101">
        <f t="shared" si="48"/>
        <v>9.7621501579542969</v>
      </c>
      <c r="Y146" s="101">
        <f t="shared" si="48"/>
        <v>9.9432912990687541</v>
      </c>
      <c r="Z146" s="101">
        <f t="shared" si="48"/>
        <v>10.374146359194803</v>
      </c>
      <c r="AA146" s="101">
        <f t="shared" si="48"/>
        <v>10.704107304037478</v>
      </c>
      <c r="AB146" s="101">
        <f t="shared" si="48"/>
        <v>10.933762517303801</v>
      </c>
      <c r="AC146" s="101">
        <f t="shared" si="48"/>
        <v>11.061045192209665</v>
      </c>
      <c r="AD146" s="101">
        <f t="shared" si="48"/>
        <v>11.074100840279609</v>
      </c>
      <c r="AE146" s="101">
        <f t="shared" si="48"/>
        <v>10.980082281814596</v>
      </c>
      <c r="AF146" s="101">
        <f t="shared" si="48"/>
        <v>10.777052025972186</v>
      </c>
      <c r="AG146" s="101">
        <f t="shared" si="48"/>
        <v>10.463113071299272</v>
      </c>
      <c r="AH146" s="101">
        <f>AH94+AH114+AH124+AH125+AH126+AH136+AH137+AH138+AH104</f>
        <v>10.036410629917738</v>
      </c>
    </row>
    <row r="147" spans="1:35" s="68" customFormat="1" x14ac:dyDescent="0.2">
      <c r="B147" s="62" t="s">
        <v>228</v>
      </c>
      <c r="C147" s="63" t="s">
        <v>153</v>
      </c>
      <c r="D147" s="64">
        <f t="shared" ref="D147:AH147" si="49">D93+D103+D113+D123+D135</f>
        <v>0</v>
      </c>
      <c r="E147" s="64">
        <f t="shared" si="49"/>
        <v>0.62996405786510501</v>
      </c>
      <c r="F147" s="64">
        <f t="shared" si="49"/>
        <v>1.2632290675544751</v>
      </c>
      <c r="G147" s="64">
        <f t="shared" si="49"/>
        <v>1.8952950567117703</v>
      </c>
      <c r="H147" s="64">
        <f t="shared" si="49"/>
        <v>2.5215214110547803</v>
      </c>
      <c r="I147" s="64">
        <f t="shared" si="49"/>
        <v>3.1371833064204084</v>
      </c>
      <c r="J147" s="64">
        <f t="shared" si="49"/>
        <v>3.7435001750710066</v>
      </c>
      <c r="K147" s="64">
        <f t="shared" si="49"/>
        <v>4.3538551815044233</v>
      </c>
      <c r="L147" s="64">
        <f t="shared" si="49"/>
        <v>4.967227791353463</v>
      </c>
      <c r="M147" s="64">
        <f t="shared" si="49"/>
        <v>5.5825638050078465</v>
      </c>
      <c r="N147" s="64">
        <f t="shared" si="49"/>
        <v>6.1987774714331643</v>
      </c>
      <c r="O147" s="64">
        <f t="shared" si="49"/>
        <v>7.1898346951813288</v>
      </c>
      <c r="P147" s="64">
        <f t="shared" si="49"/>
        <v>8.185657123345969</v>
      </c>
      <c r="Q147" s="64">
        <f t="shared" si="49"/>
        <v>9.0865576147371474</v>
      </c>
      <c r="R147" s="64">
        <f t="shared" si="49"/>
        <v>9.9324721334349384</v>
      </c>
      <c r="S147" s="64">
        <f t="shared" si="49"/>
        <v>10.717245641119042</v>
      </c>
      <c r="T147" s="64">
        <f t="shared" si="49"/>
        <v>11.470733875461349</v>
      </c>
      <c r="U147" s="64">
        <f t="shared" si="49"/>
        <v>12.189344956630389</v>
      </c>
      <c r="V147" s="64">
        <f t="shared" si="49"/>
        <v>12.871744735553071</v>
      </c>
      <c r="W147" s="64">
        <f t="shared" si="49"/>
        <v>13.516601545179608</v>
      </c>
      <c r="X147" s="64">
        <f t="shared" si="49"/>
        <v>14.122587277907153</v>
      </c>
      <c r="Y147" s="64">
        <f t="shared" si="49"/>
        <v>15.10012303192692</v>
      </c>
      <c r="Z147" s="64">
        <f t="shared" si="49"/>
        <v>16.246693344560693</v>
      </c>
      <c r="AA147" s="64">
        <f t="shared" si="49"/>
        <v>17.317625973731406</v>
      </c>
      <c r="AB147" s="64">
        <f t="shared" si="49"/>
        <v>18.31452820498783</v>
      </c>
      <c r="AC147" s="64">
        <f t="shared" si="49"/>
        <v>19.234983497587507</v>
      </c>
      <c r="AD147" s="64">
        <f t="shared" si="49"/>
        <v>20.071738467136463</v>
      </c>
      <c r="AE147" s="64">
        <f t="shared" si="49"/>
        <v>20.826696426814991</v>
      </c>
      <c r="AF147" s="64">
        <f t="shared" si="49"/>
        <v>21.497437849447085</v>
      </c>
      <c r="AG147" s="64">
        <f t="shared" si="49"/>
        <v>22.081552010558955</v>
      </c>
      <c r="AH147" s="64">
        <f t="shared" si="49"/>
        <v>22.576638769726369</v>
      </c>
      <c r="AI147" s="284">
        <f>AH146+AH147</f>
        <v>32.613049399644105</v>
      </c>
    </row>
    <row r="148" spans="1:35" s="104" customFormat="1" x14ac:dyDescent="0.2">
      <c r="A148" s="102" t="s">
        <v>275</v>
      </c>
      <c r="B148" s="102"/>
      <c r="C148" s="103" t="s">
        <v>153</v>
      </c>
      <c r="D148" s="105">
        <f t="shared" ref="D148:AG148" si="50">D95+D105+D115+IF(D127&lt;0,0,D127)+D139</f>
        <v>162.69230769230768</v>
      </c>
      <c r="E148" s="105">
        <f t="shared" si="50"/>
        <v>163.75269896319995</v>
      </c>
      <c r="F148" s="105">
        <f t="shared" si="50"/>
        <v>164.24613442501291</v>
      </c>
      <c r="G148" s="105">
        <f t="shared" si="50"/>
        <v>164.77682872583591</v>
      </c>
      <c r="H148" s="105">
        <f t="shared" si="50"/>
        <v>165.35496869534279</v>
      </c>
      <c r="I148" s="105">
        <f t="shared" si="50"/>
        <v>165.99086786587682</v>
      </c>
      <c r="J148" s="105">
        <f t="shared" si="50"/>
        <v>166.20124966359003</v>
      </c>
      <c r="K148" s="105">
        <f t="shared" si="50"/>
        <v>166.41843193059231</v>
      </c>
      <c r="L148" s="105">
        <f t="shared" si="50"/>
        <v>166.64597628412474</v>
      </c>
      <c r="M148" s="105">
        <f t="shared" si="50"/>
        <v>166.8877733418131</v>
      </c>
      <c r="N148" s="105">
        <f t="shared" si="50"/>
        <v>167.14807929856073</v>
      </c>
      <c r="O148" s="105">
        <f t="shared" si="50"/>
        <v>163.68515734225144</v>
      </c>
      <c r="P148" s="105">
        <f t="shared" si="50"/>
        <v>160.53122968298871</v>
      </c>
      <c r="Q148" s="105">
        <f t="shared" si="50"/>
        <v>157.16854511707771</v>
      </c>
      <c r="R148" s="105">
        <f t="shared" si="50"/>
        <v>153.8934337450309</v>
      </c>
      <c r="S148" s="105">
        <f t="shared" si="50"/>
        <v>150.72035748559745</v>
      </c>
      <c r="T148" s="105">
        <f t="shared" si="50"/>
        <v>147.44944051976353</v>
      </c>
      <c r="U148" s="105">
        <f t="shared" si="50"/>
        <v>144.23128867750987</v>
      </c>
      <c r="V148" s="105">
        <f t="shared" si="50"/>
        <v>141.07477222469197</v>
      </c>
      <c r="W148" s="105">
        <f t="shared" si="50"/>
        <v>137.98981609407409</v>
      </c>
      <c r="X148" s="105">
        <f t="shared" si="50"/>
        <v>134.98754608200065</v>
      </c>
      <c r="Y148" s="105">
        <f t="shared" si="50"/>
        <v>129.81682679640656</v>
      </c>
      <c r="Z148" s="105">
        <f t="shared" si="50"/>
        <v>125.53252482005107</v>
      </c>
      <c r="AA148" s="105">
        <f t="shared" si="50"/>
        <v>121.43515047509251</v>
      </c>
      <c r="AB148" s="105">
        <f t="shared" si="50"/>
        <v>117.53775158352511</v>
      </c>
      <c r="AC148" s="105">
        <f t="shared" si="50"/>
        <v>113.86238683118692</v>
      </c>
      <c r="AD148" s="105">
        <f t="shared" si="50"/>
        <v>110.34054087169798</v>
      </c>
      <c r="AE148" s="105">
        <f t="shared" si="50"/>
        <v>107.09378970591681</v>
      </c>
      <c r="AF148" s="105">
        <f t="shared" si="50"/>
        <v>104.20136692134034</v>
      </c>
      <c r="AG148" s="105">
        <f t="shared" si="50"/>
        <v>101.83364189183638</v>
      </c>
      <c r="AH148" s="105">
        <f>AH95+AH105+AH115+AH127+AH139</f>
        <v>99.333988945501275</v>
      </c>
      <c r="AI148" s="641">
        <f>AH84-AH148</f>
        <v>32.613049399644083</v>
      </c>
    </row>
    <row r="149" spans="1:35" s="67" customFormat="1" x14ac:dyDescent="0.2">
      <c r="A149" s="687" t="s">
        <v>257</v>
      </c>
      <c r="B149" s="58" t="s">
        <v>258</v>
      </c>
      <c r="C149" s="59" t="s">
        <v>153</v>
      </c>
      <c r="D149" s="60">
        <f>D96+D106+D116+D128+D140</f>
        <v>99.242307692307705</v>
      </c>
      <c r="E149" s="60">
        <f t="shared" ref="E149:AH154" si="51">E96+E106+E116+E128+E140</f>
        <v>99.165237279787263</v>
      </c>
      <c r="F149" s="60">
        <f t="shared" si="51"/>
        <v>98.879705171554789</v>
      </c>
      <c r="G149" s="60">
        <f t="shared" si="51"/>
        <v>98.62020899857427</v>
      </c>
      <c r="H149" s="60">
        <f t="shared" si="51"/>
        <v>98.394307236384407</v>
      </c>
      <c r="I149" s="60">
        <f t="shared" si="51"/>
        <v>98.209472811105272</v>
      </c>
      <c r="J149" s="60">
        <f t="shared" si="51"/>
        <v>97.862592371747581</v>
      </c>
      <c r="K149" s="60">
        <f t="shared" si="51"/>
        <v>97.51808463272927</v>
      </c>
      <c r="L149" s="60">
        <f t="shared" si="51"/>
        <v>97.178098149043095</v>
      </c>
      <c r="M149" s="60">
        <f t="shared" si="51"/>
        <v>96.844915182077386</v>
      </c>
      <c r="N149" s="60">
        <f t="shared" si="51"/>
        <v>96.520965318678023</v>
      </c>
      <c r="O149" s="60">
        <f t="shared" si="51"/>
        <v>94.016554630594726</v>
      </c>
      <c r="P149" s="60">
        <f t="shared" si="51"/>
        <v>91.781390454517791</v>
      </c>
      <c r="Q149" s="60">
        <f t="shared" si="51"/>
        <v>89.376460404337479</v>
      </c>
      <c r="R149" s="60">
        <f t="shared" si="51"/>
        <v>87.04758653095746</v>
      </c>
      <c r="S149" s="60">
        <f t="shared" si="51"/>
        <v>84.803101856750203</v>
      </c>
      <c r="T149" s="60">
        <f t="shared" si="51"/>
        <v>82.549470236745137</v>
      </c>
      <c r="U149" s="60">
        <f t="shared" si="51"/>
        <v>80.337290969259811</v>
      </c>
      <c r="V149" s="60">
        <f t="shared" si="51"/>
        <v>78.170087203691338</v>
      </c>
      <c r="W149" s="60">
        <f t="shared" si="51"/>
        <v>76.051782812567751</v>
      </c>
      <c r="X149" s="60">
        <f t="shared" si="51"/>
        <v>73.986766600873622</v>
      </c>
      <c r="Y149" s="60">
        <f t="shared" si="51"/>
        <v>70.387848940036847</v>
      </c>
      <c r="Z149" s="60">
        <f t="shared" si="51"/>
        <v>67.494386384217862</v>
      </c>
      <c r="AA149" s="60">
        <f t="shared" si="51"/>
        <v>64.727155268465879</v>
      </c>
      <c r="AB149" s="60">
        <f t="shared" si="51"/>
        <v>62.089041891488172</v>
      </c>
      <c r="AC149" s="60">
        <f t="shared" si="51"/>
        <v>59.588981509587754</v>
      </c>
      <c r="AD149" s="60">
        <f t="shared" si="51"/>
        <v>57.198050439577727</v>
      </c>
      <c r="AE149" s="60">
        <f t="shared" si="51"/>
        <v>54.965957074262676</v>
      </c>
      <c r="AF149" s="60">
        <f t="shared" si="51"/>
        <v>52.905296241519281</v>
      </c>
      <c r="AG149" s="60">
        <f t="shared" si="51"/>
        <v>51.030266628336697</v>
      </c>
      <c r="AH149" s="60">
        <f t="shared" si="51"/>
        <v>49.356904396845856</v>
      </c>
      <c r="AI149" s="60"/>
    </row>
    <row r="150" spans="1:35" x14ac:dyDescent="0.2">
      <c r="A150" s="688"/>
      <c r="B150" s="1" t="s">
        <v>260</v>
      </c>
      <c r="C150" s="54" t="s">
        <v>153</v>
      </c>
      <c r="D150" s="44">
        <f t="shared" ref="D150:S154" si="52">D97+D107+D117+D129+D141</f>
        <v>22.776923076923076</v>
      </c>
      <c r="E150" s="44">
        <f t="shared" si="52"/>
        <v>23.061307232135764</v>
      </c>
      <c r="F150" s="44">
        <f t="shared" si="52"/>
        <v>23.199344286359004</v>
      </c>
      <c r="G150" s="44">
        <f t="shared" si="52"/>
        <v>23.343688732728701</v>
      </c>
      <c r="H150" s="44">
        <f t="shared" si="52"/>
        <v>23.495427219340161</v>
      </c>
      <c r="I150" s="44">
        <f t="shared" si="52"/>
        <v>23.655653940165124</v>
      </c>
      <c r="J150" s="44">
        <f t="shared" si="52"/>
        <v>23.761004813000525</v>
      </c>
      <c r="K150" s="44">
        <f t="shared" si="52"/>
        <v>23.870395407412992</v>
      </c>
      <c r="L150" s="44">
        <f t="shared" si="52"/>
        <v>23.984409607623149</v>
      </c>
      <c r="M150" s="44">
        <f t="shared" si="52"/>
        <v>24.103691085534919</v>
      </c>
      <c r="N150" s="44">
        <f t="shared" si="52"/>
        <v>24.228951510325221</v>
      </c>
      <c r="O150" s="44">
        <f t="shared" si="52"/>
        <v>23.87892283866406</v>
      </c>
      <c r="P150" s="44">
        <f t="shared" si="52"/>
        <v>23.57148950481001</v>
      </c>
      <c r="Q150" s="44">
        <f t="shared" si="52"/>
        <v>23.24133786578674</v>
      </c>
      <c r="R150" s="44">
        <f t="shared" si="52"/>
        <v>22.925201811430295</v>
      </c>
      <c r="S150" s="44">
        <f t="shared" si="52"/>
        <v>22.624636212104662</v>
      </c>
      <c r="T150" s="44">
        <f t="shared" si="51"/>
        <v>22.299410826505142</v>
      </c>
      <c r="U150" s="44">
        <f t="shared" si="51"/>
        <v>21.984551343443968</v>
      </c>
      <c r="V150" s="44">
        <f t="shared" si="51"/>
        <v>21.681605519362098</v>
      </c>
      <c r="W150" s="44">
        <f t="shared" si="51"/>
        <v>21.392347609317344</v>
      </c>
      <c r="X150" s="44">
        <f t="shared" si="51"/>
        <v>21.118809989084621</v>
      </c>
      <c r="Y150" s="44">
        <f t="shared" si="51"/>
        <v>20.615131230649975</v>
      </c>
      <c r="Z150" s="44">
        <f t="shared" si="51"/>
        <v>20.239866598050614</v>
      </c>
      <c r="AA150" s="44">
        <f t="shared" si="51"/>
        <v>19.894172686427193</v>
      </c>
      <c r="AB150" s="44">
        <f t="shared" si="51"/>
        <v>19.581520886123968</v>
      </c>
      <c r="AC150" s="44">
        <f t="shared" si="51"/>
        <v>19.305868678755516</v>
      </c>
      <c r="AD150" s="44">
        <f t="shared" si="51"/>
        <v>19.064984651586123</v>
      </c>
      <c r="AE150" s="44">
        <f t="shared" si="51"/>
        <v>18.871966777965355</v>
      </c>
      <c r="AF150" s="44">
        <f t="shared" si="51"/>
        <v>18.732704695015141</v>
      </c>
      <c r="AG150" s="44">
        <f t="shared" si="51"/>
        <v>18.653900277999632</v>
      </c>
      <c r="AH150" s="44">
        <f t="shared" si="51"/>
        <v>18.643177519321238</v>
      </c>
      <c r="AI150" s="44"/>
    </row>
    <row r="151" spans="1:35" x14ac:dyDescent="0.2">
      <c r="A151" s="688"/>
      <c r="B151" s="1" t="s">
        <v>262</v>
      </c>
      <c r="C151" s="54" t="s">
        <v>153</v>
      </c>
      <c r="D151" s="44">
        <f t="shared" si="52"/>
        <v>19.523076923076918</v>
      </c>
      <c r="E151" s="44">
        <f t="shared" si="51"/>
        <v>19.58761284980249</v>
      </c>
      <c r="F151" s="44">
        <f t="shared" si="51"/>
        <v>19.611470945753485</v>
      </c>
      <c r="G151" s="44">
        <f t="shared" si="51"/>
        <v>19.627668273682872</v>
      </c>
      <c r="H151" s="44">
        <f t="shared" si="51"/>
        <v>19.636718047215233</v>
      </c>
      <c r="I151" s="44">
        <f t="shared" si="51"/>
        <v>19.639217114906753</v>
      </c>
      <c r="J151" s="44">
        <f t="shared" si="51"/>
        <v>19.582084587617857</v>
      </c>
      <c r="K151" s="44">
        <f t="shared" si="51"/>
        <v>19.51553973027584</v>
      </c>
      <c r="L151" s="44">
        <f t="shared" si="51"/>
        <v>19.439547527872335</v>
      </c>
      <c r="M151" s="44">
        <f t="shared" si="51"/>
        <v>19.354093113483415</v>
      </c>
      <c r="N151" s="44">
        <f t="shared" si="51"/>
        <v>19.259182526094666</v>
      </c>
      <c r="O151" s="44">
        <f t="shared" si="51"/>
        <v>18.842352865446131</v>
      </c>
      <c r="P151" s="44">
        <f t="shared" si="51"/>
        <v>18.408892674658983</v>
      </c>
      <c r="Q151" s="44">
        <f t="shared" si="51"/>
        <v>17.966834689630247</v>
      </c>
      <c r="R151" s="44">
        <f t="shared" si="51"/>
        <v>17.514569641845295</v>
      </c>
      <c r="S151" s="44">
        <f t="shared" si="51"/>
        <v>17.053707284218525</v>
      </c>
      <c r="T151" s="44">
        <f t="shared" si="51"/>
        <v>16.566519243793927</v>
      </c>
      <c r="U151" s="44">
        <f t="shared" si="51"/>
        <v>16.06806117478034</v>
      </c>
      <c r="V151" s="44">
        <f t="shared" si="51"/>
        <v>15.558955903067432</v>
      </c>
      <c r="W151" s="44">
        <f t="shared" si="51"/>
        <v>15.039866231602055</v>
      </c>
      <c r="X151" s="44">
        <f t="shared" si="51"/>
        <v>14.511496514724747</v>
      </c>
      <c r="Y151" s="44">
        <f t="shared" si="51"/>
        <v>13.858583730291812</v>
      </c>
      <c r="Z151" s="44">
        <f t="shared" si="51"/>
        <v>13.16926959137456</v>
      </c>
      <c r="AA151" s="44">
        <f t="shared" si="51"/>
        <v>12.473213897878246</v>
      </c>
      <c r="AB151" s="44">
        <f t="shared" si="51"/>
        <v>11.771320241084851</v>
      </c>
      <c r="AC151" s="44">
        <f t="shared" si="51"/>
        <v>11.065081897792885</v>
      </c>
      <c r="AD151" s="44">
        <f t="shared" si="51"/>
        <v>10.344165159813219</v>
      </c>
      <c r="AE151" s="44">
        <f t="shared" si="51"/>
        <v>9.622039881094187</v>
      </c>
      <c r="AF151" s="44">
        <f t="shared" si="51"/>
        <v>8.9004306414477075</v>
      </c>
      <c r="AG151" s="44">
        <f t="shared" si="51"/>
        <v>8.1811484847453873</v>
      </c>
      <c r="AH151" s="44">
        <f t="shared" si="51"/>
        <v>7.466095404889197</v>
      </c>
      <c r="AI151" s="44"/>
    </row>
    <row r="152" spans="1:35" x14ac:dyDescent="0.2">
      <c r="A152" s="689"/>
      <c r="B152" s="1" t="s">
        <v>248</v>
      </c>
      <c r="C152" s="54" t="s">
        <v>153</v>
      </c>
      <c r="D152" s="44">
        <f t="shared" ref="D152:AG152" si="53">D99+D109+D119+IF(D131&lt;0,0,D131)+D143</f>
        <v>21.150000000000006</v>
      </c>
      <c r="E152" s="44">
        <f t="shared" si="53"/>
        <v>21.937151784148877</v>
      </c>
      <c r="F152" s="44">
        <f t="shared" si="53"/>
        <v>22.552895041002678</v>
      </c>
      <c r="G152" s="44">
        <f t="shared" si="53"/>
        <v>23.18128935578676</v>
      </c>
      <c r="H152" s="44">
        <f t="shared" si="53"/>
        <v>23.823376350170847</v>
      </c>
      <c r="I152" s="44">
        <f t="shared" si="53"/>
        <v>24.480317497989176</v>
      </c>
      <c r="J152" s="44">
        <f t="shared" si="53"/>
        <v>24.988377236631049</v>
      </c>
      <c r="K152" s="44">
        <f t="shared" si="53"/>
        <v>25.506323175763328</v>
      </c>
      <c r="L152" s="44">
        <f t="shared" si="53"/>
        <v>26.035022486353686</v>
      </c>
      <c r="M152" s="44">
        <f t="shared" si="53"/>
        <v>26.575457335785138</v>
      </c>
      <c r="N152" s="44">
        <f t="shared" si="53"/>
        <v>27.128738856004489</v>
      </c>
      <c r="O152" s="44">
        <f t="shared" si="53"/>
        <v>26.935392046727792</v>
      </c>
      <c r="P152" s="44">
        <f t="shared" si="53"/>
        <v>26.756048365144366</v>
      </c>
      <c r="Q152" s="44">
        <f t="shared" si="53"/>
        <v>26.569330379801368</v>
      </c>
      <c r="R152" s="44">
        <f t="shared" si="53"/>
        <v>26.390564092865382</v>
      </c>
      <c r="S152" s="44">
        <f t="shared" si="53"/>
        <v>26.222714045178606</v>
      </c>
      <c r="T152" s="44">
        <f t="shared" si="53"/>
        <v>26.017356265362572</v>
      </c>
      <c r="U152" s="44">
        <f t="shared" si="53"/>
        <v>25.824409074829404</v>
      </c>
      <c r="V152" s="44">
        <f t="shared" si="53"/>
        <v>25.647041683161859</v>
      </c>
      <c r="W152" s="44">
        <f t="shared" si="53"/>
        <v>25.488810313193497</v>
      </c>
      <c r="X152" s="44">
        <f t="shared" si="53"/>
        <v>25.353706995020737</v>
      </c>
      <c r="Y152" s="44">
        <f t="shared" si="53"/>
        <v>24.938093529613873</v>
      </c>
      <c r="Z152" s="44">
        <f t="shared" si="53"/>
        <v>24.611694185197809</v>
      </c>
      <c r="AA152" s="44">
        <f t="shared" si="53"/>
        <v>24.323608063062956</v>
      </c>
      <c r="AB152" s="44">
        <f t="shared" si="53"/>
        <v>24.079421695920956</v>
      </c>
      <c r="AC152" s="44">
        <f t="shared" si="53"/>
        <v>23.886785838319668</v>
      </c>
      <c r="AD152" s="44">
        <f t="shared" si="53"/>
        <v>23.718651601170098</v>
      </c>
      <c r="AE152" s="44">
        <f t="shared" si="53"/>
        <v>23.620296457471142</v>
      </c>
      <c r="AF152" s="44">
        <f t="shared" si="53"/>
        <v>23.650722516048859</v>
      </c>
      <c r="AG152" s="44">
        <f t="shared" si="53"/>
        <v>23.957565034714406</v>
      </c>
      <c r="AH152" s="44">
        <f>AH99+AH109+AH119+AH131+AH143</f>
        <v>23.85861365771504</v>
      </c>
      <c r="AI152" s="44"/>
    </row>
    <row r="153" spans="1:35" s="67" customFormat="1" x14ac:dyDescent="0.2">
      <c r="A153" s="690" t="s">
        <v>263</v>
      </c>
      <c r="B153" s="58" t="s">
        <v>264</v>
      </c>
      <c r="C153" s="59" t="s">
        <v>153</v>
      </c>
      <c r="D153" s="60">
        <f t="shared" si="52"/>
        <v>18.74215384615384</v>
      </c>
      <c r="E153" s="60">
        <f t="shared" si="51"/>
        <v>18.801837983500633</v>
      </c>
      <c r="F153" s="60">
        <f t="shared" si="51"/>
        <v>18.820952997683882</v>
      </c>
      <c r="G153" s="60">
        <f t="shared" si="51"/>
        <v>18.83252234200992</v>
      </c>
      <c r="H153" s="60">
        <f t="shared" si="51"/>
        <v>18.837065843379353</v>
      </c>
      <c r="I153" s="60">
        <f t="shared" si="51"/>
        <v>18.835187193135443</v>
      </c>
      <c r="J153" s="60">
        <f t="shared" si="51"/>
        <v>18.775971814654202</v>
      </c>
      <c r="K153" s="60">
        <f t="shared" si="51"/>
        <v>18.707557679075826</v>
      </c>
      <c r="L153" s="60">
        <f t="shared" si="51"/>
        <v>18.629918761111249</v>
      </c>
      <c r="M153" s="60">
        <f t="shared" si="51"/>
        <v>18.543049453302682</v>
      </c>
      <c r="N153" s="60">
        <f t="shared" si="51"/>
        <v>18.446965331031919</v>
      </c>
      <c r="O153" s="60">
        <f t="shared" si="51"/>
        <v>18.039091615859512</v>
      </c>
      <c r="P153" s="60">
        <f t="shared" si="51"/>
        <v>17.615053279448841</v>
      </c>
      <c r="Q153" s="60">
        <f t="shared" si="51"/>
        <v>17.182895555597451</v>
      </c>
      <c r="R153" s="60">
        <f t="shared" si="51"/>
        <v>16.741021955836132</v>
      </c>
      <c r="S153" s="60">
        <f t="shared" si="51"/>
        <v>16.291055301152596</v>
      </c>
      <c r="T153" s="60">
        <f t="shared" si="51"/>
        <v>15.815864296881301</v>
      </c>
      <c r="U153" s="60">
        <f t="shared" si="51"/>
        <v>15.329939340031627</v>
      </c>
      <c r="V153" s="60">
        <f t="shared" si="51"/>
        <v>14.833917157181983</v>
      </c>
      <c r="W153" s="60">
        <f t="shared" si="51"/>
        <v>14.32847476133824</v>
      </c>
      <c r="X153" s="60">
        <f t="shared" si="51"/>
        <v>13.81433103267883</v>
      </c>
      <c r="Y153" s="60">
        <f t="shared" si="51"/>
        <v>13.177916688185682</v>
      </c>
      <c r="Z153" s="60">
        <f t="shared" si="51"/>
        <v>12.505738946623662</v>
      </c>
      <c r="AA153" s="60">
        <f t="shared" si="51"/>
        <v>11.82747330980699</v>
      </c>
      <c r="AB153" s="60">
        <f t="shared" si="51"/>
        <v>11.144039406316661</v>
      </c>
      <c r="AC153" s="60">
        <f t="shared" si="51"/>
        <v>10.456946892299328</v>
      </c>
      <c r="AD153" s="60">
        <f t="shared" si="51"/>
        <v>9.7563622596265844</v>
      </c>
      <c r="AE153" s="60">
        <f t="shared" si="51"/>
        <v>9.0552909721123402</v>
      </c>
      <c r="AF153" s="60">
        <f t="shared" si="51"/>
        <v>8.3554749624560145</v>
      </c>
      <c r="AG153" s="60">
        <f t="shared" si="51"/>
        <v>7.6587429943575387</v>
      </c>
      <c r="AH153" s="60">
        <f t="shared" si="51"/>
        <v>6.967015155737764</v>
      </c>
      <c r="AI153" s="60"/>
    </row>
    <row r="154" spans="1:35" s="68" customFormat="1" x14ac:dyDescent="0.2">
      <c r="A154" s="691"/>
      <c r="B154" s="62" t="s">
        <v>266</v>
      </c>
      <c r="C154" s="283" t="s">
        <v>153</v>
      </c>
      <c r="D154" s="284">
        <f t="shared" si="52"/>
        <v>15.260538461538461</v>
      </c>
      <c r="E154" s="284">
        <f t="shared" si="51"/>
        <v>15.304443978663167</v>
      </c>
      <c r="F154" s="284">
        <f t="shared" si="51"/>
        <v>15.512498602001164</v>
      </c>
      <c r="G154" s="284">
        <f t="shared" si="51"/>
        <v>15.999920190163518</v>
      </c>
      <c r="H154" s="284">
        <f t="shared" si="51"/>
        <v>15.306217541144747</v>
      </c>
      <c r="I154" s="284">
        <f t="shared" si="51"/>
        <v>15.326057897171497</v>
      </c>
      <c r="J154" s="284">
        <f t="shared" si="51"/>
        <v>15.318219140002187</v>
      </c>
      <c r="K154" s="284">
        <f t="shared" si="51"/>
        <v>15.31019636306837</v>
      </c>
      <c r="L154" s="284">
        <f t="shared" si="51"/>
        <v>15.302060241157037</v>
      </c>
      <c r="M154" s="284">
        <f t="shared" si="51"/>
        <v>15.293871610648537</v>
      </c>
      <c r="N154" s="284">
        <f t="shared" si="51"/>
        <v>15.285680459661336</v>
      </c>
      <c r="O154" s="284">
        <f t="shared" si="51"/>
        <v>14.970827169895383</v>
      </c>
      <c r="P154" s="284">
        <f t="shared" si="51"/>
        <v>14.678401522386071</v>
      </c>
      <c r="Q154" s="284">
        <f t="shared" si="51"/>
        <v>14.376465486704017</v>
      </c>
      <c r="R154" s="284">
        <f t="shared" si="51"/>
        <v>14.082856450785957</v>
      </c>
      <c r="S154" s="284">
        <f t="shared" si="51"/>
        <v>13.79793481754578</v>
      </c>
      <c r="T154" s="284">
        <f t="shared" si="51"/>
        <v>13.488758927634159</v>
      </c>
      <c r="U154" s="284">
        <f t="shared" si="51"/>
        <v>13.180227701021121</v>
      </c>
      <c r="V154" s="284">
        <f t="shared" si="51"/>
        <v>12.87212630746183</v>
      </c>
      <c r="W154" s="284">
        <f t="shared" si="51"/>
        <v>12.564225341762352</v>
      </c>
      <c r="X154" s="284">
        <f t="shared" si="51"/>
        <v>12.256280626680468</v>
      </c>
      <c r="Y154" s="284">
        <f t="shared" si="51"/>
        <v>11.77181644285017</v>
      </c>
      <c r="Z154" s="284">
        <f t="shared" si="51"/>
        <v>11.336607976991942</v>
      </c>
      <c r="AA154" s="284">
        <f t="shared" si="51"/>
        <v>10.906548664955164</v>
      </c>
      <c r="AB154" s="284">
        <f t="shared" si="51"/>
        <v>10.481332393114148</v>
      </c>
      <c r="AC154" s="284">
        <f t="shared" si="51"/>
        <v>10.060631921388996</v>
      </c>
      <c r="AD154" s="284">
        <f t="shared" si="51"/>
        <v>9.6445207456117288</v>
      </c>
      <c r="AE154" s="284">
        <f t="shared" si="51"/>
        <v>9.2334537231385276</v>
      </c>
      <c r="AF154" s="284">
        <f t="shared" si="51"/>
        <v>8.8270743453524503</v>
      </c>
      <c r="AG154" s="284">
        <f t="shared" si="51"/>
        <v>8.4250052390166221</v>
      </c>
      <c r="AH154" s="284">
        <f t="shared" si="51"/>
        <v>8.0268479676110402</v>
      </c>
      <c r="AI154" s="284"/>
    </row>
    <row r="155" spans="1:35" x14ac:dyDescent="0.2">
      <c r="A155" s="1" t="s">
        <v>230</v>
      </c>
      <c r="C155" s="59" t="s">
        <v>153</v>
      </c>
      <c r="D155" s="66">
        <f>'Ethylene Recycling HC'!C311</f>
        <v>1.0818815477462023E-5</v>
      </c>
      <c r="E155" s="66">
        <f>'Ethylene Recycling HC'!D311</f>
        <v>2.2357771237961599E-5</v>
      </c>
      <c r="F155" s="66">
        <f>'Ethylene Recycling HC'!E311</f>
        <v>4.5987315572568306E-5</v>
      </c>
      <c r="G155" s="66">
        <f>'Ethylene Recycling HC'!F311</f>
        <v>9.4083337735690204E-5</v>
      </c>
      <c r="H155" s="66">
        <f>'Ethylene Recycling HC'!G311</f>
        <v>1.9126386742257946E-4</v>
      </c>
      <c r="I155" s="66">
        <f>'Ethylene Recycling HC'!H311</f>
        <v>3.8584321085748167E-4</v>
      </c>
      <c r="J155" s="66">
        <f>'Ethylene Recycling HC'!I311</f>
        <v>7.6994296096992302E-4</v>
      </c>
      <c r="K155" s="66">
        <f>'Ethylene Recycling HC'!J311</f>
        <v>1.5209911119426166E-3</v>
      </c>
      <c r="L155" s="66">
        <f>'Ethylene Recycling HC'!K311</f>
        <v>2.9643764763444655E-3</v>
      </c>
      <c r="M155" s="66">
        <f>'Ethylene Recycling HC'!L311</f>
        <v>5.6747594348131479E-3</v>
      </c>
      <c r="N155" s="66">
        <f>'Ethylene Recycling HC'!M311</f>
        <v>1.0656446198511263E-2</v>
      </c>
      <c r="O155" s="66">
        <f>'Ethylene Recycling HC'!N311</f>
        <v>1.812950042214375E-2</v>
      </c>
      <c r="P155" s="66">
        <f>'Ethylene Recycling HC'!O311</f>
        <v>2.982644236261656E-2</v>
      </c>
      <c r="Q155" s="66">
        <f>'Ethylene Recycling HC'!P311</f>
        <v>4.6703301902920331E-2</v>
      </c>
      <c r="R155" s="66">
        <f>'Ethylene Recycling HC'!Q311</f>
        <v>6.9289454360859495E-2</v>
      </c>
      <c r="S155" s="66">
        <f>'Ethylene Recycling HC'!R311</f>
        <v>9.6986538806574776E-2</v>
      </c>
      <c r="T155" s="66">
        <f>'Ethylene Recycling HC'!S311</f>
        <v>0.12918011300220078</v>
      </c>
      <c r="U155" s="66">
        <f>'Ethylene Recycling HC'!T311</f>
        <v>0.17034009009445761</v>
      </c>
      <c r="V155" s="66">
        <f>'Ethylene Recycling HC'!U311</f>
        <v>0.2124587926287787</v>
      </c>
      <c r="W155" s="66">
        <f>'Ethylene Recycling HC'!V311</f>
        <v>0.25245203430963287</v>
      </c>
      <c r="X155" s="66">
        <f>'Ethylene Recycling HC'!W311</f>
        <v>0.28809730222616603</v>
      </c>
      <c r="Y155" s="66">
        <f>'Ethylene Recycling HC'!X311</f>
        <v>0.32262641977048678</v>
      </c>
      <c r="Z155" s="66">
        <f>'Ethylene Recycling HC'!Y311</f>
        <v>0.35632277227463571</v>
      </c>
      <c r="AA155" s="66">
        <f>'Ethylene Recycling HC'!Z311</f>
        <v>0.38533692536081193</v>
      </c>
      <c r="AB155" s="66">
        <f>'Ethylene Recycling HC'!AA311</f>
        <v>0.41081203908720748</v>
      </c>
      <c r="AC155" s="66">
        <f>'Ethylene Recycling HC'!AB311</f>
        <v>0.4344807613897162</v>
      </c>
      <c r="AD155" s="66">
        <f>'Ethylene Recycling HC'!AC311</f>
        <v>0.45844020881186015</v>
      </c>
      <c r="AE155" s="66">
        <f>'Ethylene Recycling HC'!AD311</f>
        <v>0.48525229895139099</v>
      </c>
      <c r="AF155" s="66">
        <f>'Ethylene Recycling HC'!AE311</f>
        <v>0.51698358792434052</v>
      </c>
      <c r="AG155" s="66">
        <f>'Ethylene Recycling HC'!AF311</f>
        <v>0.55443016264550526</v>
      </c>
      <c r="AH155" s="66">
        <f>'Ethylene Recycling HC'!AG311</f>
        <v>0.59626898502798009</v>
      </c>
    </row>
    <row r="156" spans="1:35" x14ac:dyDescent="0.2">
      <c r="A156" s="1" t="s">
        <v>231</v>
      </c>
      <c r="C156" s="283" t="s">
        <v>153</v>
      </c>
      <c r="D156" s="66">
        <f>'Ethylene Recycling HC'!C313</f>
        <v>6.3290690742202706E-5</v>
      </c>
      <c r="E156" s="66">
        <f>'Ethylene Recycling HC'!D313</f>
        <v>1.307942434229126E-4</v>
      </c>
      <c r="F156" s="66">
        <f>'Ethylene Recycling HC'!E313</f>
        <v>2.6902843236682056E-4</v>
      </c>
      <c r="G156" s="66">
        <f>'Ethylene Recycling HC'!F313</f>
        <v>5.5039291917202227E-4</v>
      </c>
      <c r="H156" s="66">
        <f>'Ethylene Recycling HC'!G313</f>
        <v>1.11890458880808E-3</v>
      </c>
      <c r="I156" s="66">
        <f>'Ethylene Recycling HC'!H313</f>
        <v>2.2572049023511136E-3</v>
      </c>
      <c r="J156" s="66">
        <f>'Ethylene Recycling HC'!I313</f>
        <v>4.5042104593981695E-3</v>
      </c>
      <c r="K156" s="66">
        <f>'Ethylene Recycling HC'!J313</f>
        <v>8.8978851971493085E-3</v>
      </c>
      <c r="L156" s="66">
        <f>'Ethylene Recycling HC'!K313</f>
        <v>1.7341772322360671E-2</v>
      </c>
      <c r="M156" s="66">
        <f>'Ethylene Recycling HC'!L313</f>
        <v>3.31976680047242E-2</v>
      </c>
      <c r="N156" s="66">
        <f>'Ethylene Recycling HC'!M313</f>
        <v>6.2340821152364972E-2</v>
      </c>
      <c r="O156" s="66">
        <f>'Ethylene Recycling HC'!N313</f>
        <v>0.10605861676066851</v>
      </c>
      <c r="P156" s="66">
        <f>'Ethylene Recycling HC'!O313</f>
        <v>0.17448639765093221</v>
      </c>
      <c r="Q156" s="66">
        <f>'Ethylene Recycling HC'!P313</f>
        <v>0.27321699344398803</v>
      </c>
      <c r="R156" s="66">
        <f>'Ethylene Recycling HC'!Q313</f>
        <v>0.40534728009594351</v>
      </c>
      <c r="S156" s="66">
        <f>'Ethylene Recycling HC'!R313</f>
        <v>0.56737681186550337</v>
      </c>
      <c r="T156" s="66">
        <f>'Ethylene Recycling HC'!S313</f>
        <v>0.75571106643766017</v>
      </c>
      <c r="U156" s="66">
        <f>'Ethylene Recycling HC'!T313</f>
        <v>0.99649929196281628</v>
      </c>
      <c r="V156" s="66">
        <f>'Ethylene Recycling HC'!U313</f>
        <v>1.2428961162839105</v>
      </c>
      <c r="W156" s="66">
        <f>'Ethylene Recycling HC'!V313</f>
        <v>1.4768588727681264</v>
      </c>
      <c r="X156" s="66">
        <f>'Ethylene Recycling HC'!W313</f>
        <v>1.6853857334792675</v>
      </c>
      <c r="Y156" s="66">
        <f>'Ethylene Recycling HC'!X313</f>
        <v>1.8873830505285676</v>
      </c>
      <c r="Z156" s="66">
        <f>'Ethylene Recycling HC'!Y313</f>
        <v>2.0845086443538019</v>
      </c>
      <c r="AA156" s="66">
        <f>'Ethylene Recycling HC'!Z313</f>
        <v>2.2542431031722905</v>
      </c>
      <c r="AB156" s="66">
        <f>'Ethylene Recycling HC'!AA313</f>
        <v>2.4032739788572117</v>
      </c>
      <c r="AC156" s="66">
        <f>'Ethylene Recycling HC'!AB313</f>
        <v>2.5417373611592611</v>
      </c>
      <c r="AD156" s="66">
        <f>'Ethylene Recycling HC'!AC313</f>
        <v>2.6819015020772752</v>
      </c>
      <c r="AE156" s="66">
        <f>'Ethylene Recycling HC'!AD313</f>
        <v>2.8387537664225024</v>
      </c>
      <c r="AF156" s="66">
        <f>'Ethylene Recycling HC'!AE313</f>
        <v>3.0243836259410548</v>
      </c>
      <c r="AG156" s="66">
        <f>'Ethylene Recycling HC'!AF313</f>
        <v>3.2434482347209439</v>
      </c>
      <c r="AH156" s="66">
        <f>'Ethylene Recycling HC'!AG313</f>
        <v>3.4882077441093369</v>
      </c>
    </row>
    <row r="157" spans="1:35" s="104" customFormat="1" x14ac:dyDescent="0.2">
      <c r="A157" s="102" t="s">
        <v>276</v>
      </c>
      <c r="B157" s="102"/>
      <c r="C157" s="103" t="s">
        <v>153</v>
      </c>
      <c r="D157" s="105">
        <f>D148-D155-D156</f>
        <v>162.69223358280146</v>
      </c>
      <c r="E157" s="105">
        <f t="shared" ref="E157:AH157" si="54">E148-E155-E156</f>
        <v>163.75254581118529</v>
      </c>
      <c r="F157" s="105">
        <f t="shared" si="54"/>
        <v>164.24581940926498</v>
      </c>
      <c r="G157" s="105">
        <f t="shared" si="54"/>
        <v>164.77618424957902</v>
      </c>
      <c r="H157" s="105">
        <f t="shared" si="54"/>
        <v>165.35365852688653</v>
      </c>
      <c r="I157" s="105">
        <f t="shared" si="54"/>
        <v>165.98822481776361</v>
      </c>
      <c r="J157" s="105">
        <f t="shared" si="54"/>
        <v>166.19597551016966</v>
      </c>
      <c r="K157" s="105">
        <f t="shared" si="54"/>
        <v>166.40801305428323</v>
      </c>
      <c r="L157" s="105">
        <f t="shared" si="54"/>
        <v>166.62567013532603</v>
      </c>
      <c r="M157" s="105">
        <f t="shared" si="54"/>
        <v>166.84890091437356</v>
      </c>
      <c r="N157" s="105">
        <f t="shared" si="54"/>
        <v>167.07508203120986</v>
      </c>
      <c r="O157" s="105">
        <f t="shared" si="54"/>
        <v>163.56096922506865</v>
      </c>
      <c r="P157" s="105">
        <f t="shared" si="54"/>
        <v>160.32691684297518</v>
      </c>
      <c r="Q157" s="105">
        <f t="shared" si="54"/>
        <v>156.84862482173082</v>
      </c>
      <c r="R157" s="105">
        <f t="shared" si="54"/>
        <v>153.41879701057408</v>
      </c>
      <c r="S157" s="105">
        <f t="shared" si="54"/>
        <v>150.05599413492538</v>
      </c>
      <c r="T157" s="105">
        <f t="shared" si="54"/>
        <v>146.56454934032365</v>
      </c>
      <c r="U157" s="105">
        <f t="shared" si="54"/>
        <v>143.06444929545259</v>
      </c>
      <c r="V157" s="105">
        <f t="shared" si="54"/>
        <v>139.61941731577929</v>
      </c>
      <c r="W157" s="105">
        <f t="shared" si="54"/>
        <v>136.26050518699631</v>
      </c>
      <c r="X157" s="105">
        <f t="shared" si="54"/>
        <v>133.01406304629521</v>
      </c>
      <c r="Y157" s="105">
        <f t="shared" si="54"/>
        <v>127.60681732610749</v>
      </c>
      <c r="Z157" s="105">
        <f t="shared" si="54"/>
        <v>123.09169340342262</v>
      </c>
      <c r="AA157" s="105">
        <f t="shared" si="54"/>
        <v>118.79557044655941</v>
      </c>
      <c r="AB157" s="105">
        <f t="shared" si="54"/>
        <v>114.72366556558069</v>
      </c>
      <c r="AC157" s="105">
        <f t="shared" si="54"/>
        <v>110.88616870863794</v>
      </c>
      <c r="AD157" s="105">
        <f t="shared" si="54"/>
        <v>107.20019916080884</v>
      </c>
      <c r="AE157" s="105">
        <f t="shared" si="54"/>
        <v>103.76978364054291</v>
      </c>
      <c r="AF157" s="105">
        <f t="shared" si="54"/>
        <v>100.65999970747494</v>
      </c>
      <c r="AG157" s="105">
        <f t="shared" si="54"/>
        <v>98.035763494469933</v>
      </c>
      <c r="AH157" s="105">
        <f t="shared" si="54"/>
        <v>95.249512216363968</v>
      </c>
    </row>
    <row r="158" spans="1:35" s="67" customFormat="1" x14ac:dyDescent="0.2">
      <c r="A158" s="687" t="s">
        <v>257</v>
      </c>
      <c r="B158" s="58" t="s">
        <v>258</v>
      </c>
      <c r="C158" s="59" t="s">
        <v>153</v>
      </c>
      <c r="D158" s="60">
        <f>D149-D156*D149/D148</f>
        <v>99.242269084986347</v>
      </c>
      <c r="E158" s="60">
        <f t="shared" ref="E158:AH158" si="55">E149-E156*E149/E148</f>
        <v>99.165158073506902</v>
      </c>
      <c r="F158" s="60">
        <f t="shared" si="55"/>
        <v>98.879543210652827</v>
      </c>
      <c r="G158" s="60">
        <f t="shared" si="55"/>
        <v>98.619879584146645</v>
      </c>
      <c r="H158" s="60">
        <f t="shared" si="55"/>
        <v>98.393641433338104</v>
      </c>
      <c r="I158" s="60">
        <f t="shared" si="55"/>
        <v>98.20813732255499</v>
      </c>
      <c r="J158" s="60">
        <f t="shared" si="55"/>
        <v>97.859940203288943</v>
      </c>
      <c r="K158" s="60">
        <f t="shared" si="55"/>
        <v>97.512870638632336</v>
      </c>
      <c r="L158" s="60">
        <f t="shared" si="55"/>
        <v>97.16798545091261</v>
      </c>
      <c r="M158" s="60">
        <f t="shared" si="55"/>
        <v>96.825650587207548</v>
      </c>
      <c r="N158" s="60">
        <f t="shared" si="55"/>
        <v>96.48496612406187</v>
      </c>
      <c r="O158" s="60">
        <f t="shared" si="55"/>
        <v>93.955637282323039</v>
      </c>
      <c r="P158" s="60">
        <f t="shared" si="55"/>
        <v>91.681630400206686</v>
      </c>
      <c r="Q158" s="60">
        <f t="shared" si="55"/>
        <v>89.221091098232691</v>
      </c>
      <c r="R158" s="60">
        <f t="shared" si="55"/>
        <v>86.818307726913758</v>
      </c>
      <c r="S158" s="60">
        <f t="shared" si="55"/>
        <v>84.483866191638498</v>
      </c>
      <c r="T158" s="60">
        <f t="shared" si="55"/>
        <v>82.126385903792965</v>
      </c>
      <c r="U158" s="60">
        <f t="shared" si="55"/>
        <v>79.782237663537245</v>
      </c>
      <c r="V158" s="60">
        <f t="shared" si="55"/>
        <v>77.481393567948317</v>
      </c>
      <c r="W158" s="60">
        <f t="shared" si="55"/>
        <v>75.23782600462475</v>
      </c>
      <c r="X158" s="60">
        <f t="shared" si="55"/>
        <v>73.063005524280499</v>
      </c>
      <c r="Y158" s="60">
        <f t="shared" si="55"/>
        <v>69.364492905761423</v>
      </c>
      <c r="Z158" s="60">
        <f t="shared" si="55"/>
        <v>66.373620016577775</v>
      </c>
      <c r="AA158" s="60">
        <f t="shared" si="55"/>
        <v>63.525602482628727</v>
      </c>
      <c r="AB158" s="60">
        <f t="shared" si="55"/>
        <v>60.819518042855151</v>
      </c>
      <c r="AC158" s="60">
        <f t="shared" si="55"/>
        <v>58.258783321832368</v>
      </c>
      <c r="AD158" s="60">
        <f t="shared" si="55"/>
        <v>55.807813123556542</v>
      </c>
      <c r="AE158" s="60">
        <f t="shared" si="55"/>
        <v>53.508964861193576</v>
      </c>
      <c r="AF158" s="60">
        <f t="shared" si="55"/>
        <v>51.369751013986928</v>
      </c>
      <c r="AG158" s="60">
        <f t="shared" si="55"/>
        <v>49.404929213920937</v>
      </c>
      <c r="AH158" s="60">
        <f t="shared" si="55"/>
        <v>47.623689633500355</v>
      </c>
      <c r="AI158" s="60"/>
    </row>
    <row r="159" spans="1:35" x14ac:dyDescent="0.2">
      <c r="A159" s="688"/>
      <c r="B159" s="1" t="s">
        <v>260</v>
      </c>
      <c r="C159" s="54" t="s">
        <v>153</v>
      </c>
      <c r="D159" s="44">
        <f>D163/('Demand Breakdown - Ethylene'!$K$14)</f>
        <v>24.959067069110869</v>
      </c>
      <c r="E159" s="44">
        <f>E163/('Demand Breakdown - Ethylene'!$K$14)</f>
        <v>25.030841441612043</v>
      </c>
      <c r="F159" s="44">
        <f>F163/('Demand Breakdown - Ethylene'!$K$14)</f>
        <v>25.371050769153733</v>
      </c>
      <c r="G159" s="44">
        <f>G163/('Demand Breakdown - Ethylene'!$K$14)</f>
        <v>26.168100341562109</v>
      </c>
      <c r="H159" s="44">
        <f>H163/('Demand Breakdown - Ethylene'!$K$14)</f>
        <v>25.033236007768249</v>
      </c>
      <c r="I159" s="44">
        <f>I163/('Demand Breakdown - Ethylene'!$K$14)</f>
        <v>25.065101216255737</v>
      </c>
      <c r="J159" s="44">
        <f>J163/('Demand Breakdown - Ethylene'!$K$14)</f>
        <v>25.0511253919524</v>
      </c>
      <c r="K159" s="44">
        <f>K163/('Demand Breakdown - Ethylene'!$K$14)</f>
        <v>25.035741321685332</v>
      </c>
      <c r="L159" s="44">
        <f>L163/('Demand Breakdown - Ethylene'!$K$14)</f>
        <v>25.018078993869256</v>
      </c>
      <c r="M159" s="44">
        <f>M163/('Demand Breakdown - Ethylene'!$K$14)</f>
        <v>24.996493458710024</v>
      </c>
      <c r="N159" s="44">
        <f>N163/('Demand Breakdown - Ethylene'!$K$14)</f>
        <v>24.968011167438128</v>
      </c>
      <c r="O159" s="44">
        <f>O163/('Demand Breakdown - Ethylene'!$K$14)</f>
        <v>24.430310545063133</v>
      </c>
      <c r="P159" s="44">
        <f>P163/('Demand Breakdown - Ethylene'!$K$14)</f>
        <v>23.916310261800827</v>
      </c>
      <c r="Q159" s="44">
        <f>Q163/('Demand Breakdown - Ethylene'!$K$14)</f>
        <v>23.370706038497627</v>
      </c>
      <c r="R159" s="44">
        <f>R163/('Demand Breakdown - Ethylene'!$K$14)</f>
        <v>22.820877884041977</v>
      </c>
      <c r="S159" s="44">
        <f>S163/('Demand Breakdown - Ethylene'!$K$14)</f>
        <v>22.269043039893791</v>
      </c>
      <c r="T159" s="44">
        <f>T163/('Demand Breakdown - Ethylene'!$K$14)</f>
        <v>21.663094878208291</v>
      </c>
      <c r="U159" s="44">
        <f>U163/('Demand Breakdown - Ethylene'!$K$14)</f>
        <v>21.02966337624666</v>
      </c>
      <c r="V159" s="44">
        <f>V163/('Demand Breakdown - Ethylene'!$K$14)</f>
        <v>20.39287361101989</v>
      </c>
      <c r="W159" s="44">
        <f>W163/('Demand Breakdown - Ethylene'!$K$14)</f>
        <v>19.761835964018076</v>
      </c>
      <c r="X159" s="44">
        <f>X163/('Demand Breakdown - Ethylene'!$K$14)</f>
        <v>19.143092055508646</v>
      </c>
      <c r="Y159" s="44">
        <f>Y163/('Demand Breakdown - Ethylene'!$K$14)</f>
        <v>18.235315829710366</v>
      </c>
      <c r="Z159" s="44">
        <f>Z163/('Demand Breakdown - Ethylene'!$K$14)</f>
        <v>17.408922699447427</v>
      </c>
      <c r="AA159" s="44">
        <f>AA163/('Demand Breakdown - Ethylene'!$K$14)</f>
        <v>16.603772639983987</v>
      </c>
      <c r="AB159" s="44">
        <f>AB163/('Demand Breakdown - Ethylene'!$K$14)</f>
        <v>15.815824235792668</v>
      </c>
      <c r="AC159" s="44">
        <f>AC163/('Demand Breakdown - Ethylene'!$K$14)</f>
        <v>15.039025044787861</v>
      </c>
      <c r="AD159" s="44">
        <f>AD163/('Demand Breakdown - Ethylene'!$K$14)</f>
        <v>14.266243982275126</v>
      </c>
      <c r="AE159" s="44">
        <f>AE163/('Demand Breakdown - Ethylene'!$K$14)</f>
        <v>13.489800872590951</v>
      </c>
      <c r="AF159" s="44">
        <f>AF163/('Demand Breakdown - Ethylene'!$K$14)</f>
        <v>12.70217129155327</v>
      </c>
      <c r="AG159" s="44">
        <f>AG163/('Demand Breakdown - Ethylene'!$K$14)</f>
        <v>11.900850249706739</v>
      </c>
      <c r="AH159" s="44">
        <f>AH163/('Demand Breakdown - Ethylene'!$K$14)</f>
        <v>11.082211252527557</v>
      </c>
      <c r="AI159" s="44"/>
    </row>
    <row r="160" spans="1:35" x14ac:dyDescent="0.2">
      <c r="A160" s="688"/>
      <c r="B160" s="1" t="s">
        <v>262</v>
      </c>
      <c r="C160" s="54" t="s">
        <v>153</v>
      </c>
      <c r="D160" s="44">
        <f>D162/('Demand Breakdown - Ethylene'!$M$14)</f>
        <v>19.523069011740578</v>
      </c>
      <c r="E160" s="44">
        <f>E162/('Demand Breakdown - Ethylene'!$M$14)</f>
        <v>19.585231602375647</v>
      </c>
      <c r="F160" s="44">
        <f>F162/('Demand Breakdown - Ethylene'!$M$14)</f>
        <v>19.605125911352864</v>
      </c>
      <c r="G160" s="44">
        <f>G162/('Demand Breakdown - Ethylene'!$M$14)</f>
        <v>19.617142480244148</v>
      </c>
      <c r="H160" s="44">
        <f>H162/('Demand Breakdown - Ethylene'!$M$14)</f>
        <v>19.62180517493865</v>
      </c>
      <c r="I160" s="44">
        <f>I162/('Demand Breakdown - Ethylene'!$M$14)</f>
        <v>19.619708470660729</v>
      </c>
      <c r="J160" s="44">
        <f>J162/('Demand Breakdown - Ethylene'!$M$14)</f>
        <v>19.55775116844978</v>
      </c>
      <c r="K160" s="44">
        <f>K162/('Demand Breakdown - Ethylene'!$M$14)</f>
        <v>19.485952336229733</v>
      </c>
      <c r="L160" s="44">
        <f>L162/('Demand Breakdown - Ethylene'!$M$14)</f>
        <v>19.404058138264713</v>
      </c>
      <c r="M160" s="44">
        <f>M162/('Demand Breakdown - Ethylene'!$M$14)</f>
        <v>19.311666141941252</v>
      </c>
      <c r="N160" s="44">
        <f>N162/('Demand Breakdown - Ethylene'!$M$14)</f>
        <v>19.208106541230983</v>
      </c>
      <c r="O160" s="44">
        <f>O162/('Demand Breakdown - Ethylene'!$M$14)</f>
        <v>18.778002967981521</v>
      </c>
      <c r="P160" s="44">
        <f>P162/('Demand Breakdown - Ethylene'!$M$14)</f>
        <v>18.328170916828569</v>
      </c>
      <c r="Q160" s="44">
        <f>Q162/('Demand Breakdown - Ethylene'!$M$14)</f>
        <v>17.866315166150326</v>
      </c>
      <c r="R160" s="44">
        <f>R162/('Demand Breakdown - Ethylene'!$M$14)</f>
        <v>17.390509888180176</v>
      </c>
      <c r="S160" s="44">
        <f>S162/('Demand Breakdown - Ethylene'!$M$14)</f>
        <v>16.902976821465383</v>
      </c>
      <c r="T160" s="44">
        <f>T162/('Demand Breakdown - Ethylene'!$M$14)</f>
        <v>16.386413764174478</v>
      </c>
      <c r="U160" s="44">
        <f>U162/('Demand Breakdown - Ethylene'!$M$14)</f>
        <v>15.853046367572547</v>
      </c>
      <c r="V160" s="44">
        <f>V162/('Demand Breakdown - Ethylene'!$M$14)</f>
        <v>15.309208059108936</v>
      </c>
      <c r="W160" s="44">
        <f>W162/('Demand Breakdown - Ethylene'!$M$14)</f>
        <v>14.75782093829983</v>
      </c>
      <c r="X160" s="44">
        <f>X162/('Demand Breakdown - Ethylene'!$M$14)</f>
        <v>14.201195708133966</v>
      </c>
      <c r="Y160" s="44">
        <f>Y162/('Demand Breakdown - Ethylene'!$M$14)</f>
        <v>13.517113832797435</v>
      </c>
      <c r="Z160" s="44">
        <f>Z162/('Demand Breakdown - Ethylene'!$M$14)</f>
        <v>12.799019704738138</v>
      </c>
      <c r="AA160" s="44">
        <f>AA162/('Demand Breakdown - Ethylene'!$M$14)</f>
        <v>12.079092379791881</v>
      </c>
      <c r="AB160" s="44">
        <f>AB162/('Demand Breakdown - Ethylene'!$M$14)</f>
        <v>11.357659653305838</v>
      </c>
      <c r="AC160" s="44">
        <f>AC162/('Demand Breakdown - Ethylene'!$M$14)</f>
        <v>10.635356565917489</v>
      </c>
      <c r="AD160" s="44">
        <f>AD162/('Demand Breakdown - Ethylene'!$M$14)</f>
        <v>9.9009795068497244</v>
      </c>
      <c r="AE160" s="44">
        <f>AE162/('Demand Breakdown - Ethylene'!$M$14)</f>
        <v>9.1669144608369724</v>
      </c>
      <c r="AF160" s="44">
        <f>AF162/('Demand Breakdown - Ethylene'!$M$14)</f>
        <v>8.4345262266933965</v>
      </c>
      <c r="AG160" s="44">
        <f>AG162/('Demand Breakdown - Ethylene'!$M$14)</f>
        <v>7.7064267292351003</v>
      </c>
      <c r="AH160" s="44">
        <f>AH162/('Demand Breakdown - Ethylene'!$M$14)</f>
        <v>6.9842042667939666</v>
      </c>
      <c r="AI160" s="44"/>
    </row>
    <row r="161" spans="1:46" x14ac:dyDescent="0.2">
      <c r="A161" s="689"/>
      <c r="B161" s="1" t="s">
        <v>248</v>
      </c>
      <c r="C161" s="54" t="s">
        <v>153</v>
      </c>
      <c r="D161" s="44">
        <f>D157-D160-D159-D158</f>
        <v>18.96782841696367</v>
      </c>
      <c r="E161" s="44">
        <f t="shared" ref="E161:AH161" si="56">E157-E160-E159-E158</f>
        <v>19.971314693690701</v>
      </c>
      <c r="F161" s="44">
        <f t="shared" si="56"/>
        <v>20.390099518105558</v>
      </c>
      <c r="G161" s="44">
        <f t="shared" si="56"/>
        <v>20.371061843626109</v>
      </c>
      <c r="H161" s="44">
        <f t="shared" si="56"/>
        <v>22.30497591084152</v>
      </c>
      <c r="I161" s="44">
        <f t="shared" si="56"/>
        <v>23.095277808292153</v>
      </c>
      <c r="J161" s="44">
        <f t="shared" si="56"/>
        <v>23.727158746478537</v>
      </c>
      <c r="K161" s="44">
        <f t="shared" si="56"/>
        <v>24.373448757735829</v>
      </c>
      <c r="L161" s="44">
        <f t="shared" si="56"/>
        <v>25.035547552279468</v>
      </c>
      <c r="M161" s="44">
        <f t="shared" si="56"/>
        <v>25.715090726514731</v>
      </c>
      <c r="N161" s="44">
        <f t="shared" si="56"/>
        <v>26.413998198478865</v>
      </c>
      <c r="O161" s="44">
        <f t="shared" si="56"/>
        <v>26.397018429700964</v>
      </c>
      <c r="P161" s="44">
        <f t="shared" si="56"/>
        <v>26.400805264139109</v>
      </c>
      <c r="Q161" s="44">
        <f t="shared" si="56"/>
        <v>26.390512518850187</v>
      </c>
      <c r="R161" s="44">
        <f t="shared" si="56"/>
        <v>26.389101511438184</v>
      </c>
      <c r="S161" s="44">
        <f t="shared" si="56"/>
        <v>26.400108081927712</v>
      </c>
      <c r="T161" s="44">
        <f t="shared" si="56"/>
        <v>26.388654794147925</v>
      </c>
      <c r="U161" s="44">
        <f t="shared" si="56"/>
        <v>26.39950188809614</v>
      </c>
      <c r="V161" s="44">
        <f t="shared" si="56"/>
        <v>26.435942077702137</v>
      </c>
      <c r="W161" s="44">
        <f t="shared" si="56"/>
        <v>26.503022280053656</v>
      </c>
      <c r="X161" s="44">
        <f t="shared" si="56"/>
        <v>26.606769758372096</v>
      </c>
      <c r="Y161" s="44">
        <f t="shared" si="56"/>
        <v>26.489894757838258</v>
      </c>
      <c r="Z161" s="44">
        <f t="shared" si="56"/>
        <v>26.510130982659277</v>
      </c>
      <c r="AA161" s="44">
        <f t="shared" si="56"/>
        <v>26.587102944154822</v>
      </c>
      <c r="AB161" s="44">
        <f t="shared" si="56"/>
        <v>26.730663633627046</v>
      </c>
      <c r="AC161" s="44">
        <f t="shared" si="56"/>
        <v>26.953003776100218</v>
      </c>
      <c r="AD161" s="44">
        <f t="shared" si="56"/>
        <v>27.225162548127443</v>
      </c>
      <c r="AE161" s="44">
        <f t="shared" si="56"/>
        <v>27.60410344592141</v>
      </c>
      <c r="AF161" s="44">
        <f t="shared" si="56"/>
        <v>28.153551175241347</v>
      </c>
      <c r="AG161" s="44">
        <f t="shared" si="56"/>
        <v>29.023557301607156</v>
      </c>
      <c r="AH161" s="44">
        <f t="shared" si="56"/>
        <v>29.559407063542089</v>
      </c>
      <c r="AI161" s="44"/>
    </row>
    <row r="162" spans="1:46" s="67" customFormat="1" x14ac:dyDescent="0.2">
      <c r="A162" s="690" t="s">
        <v>263</v>
      </c>
      <c r="B162" s="58" t="s">
        <v>264</v>
      </c>
      <c r="C162" s="59" t="s">
        <v>153</v>
      </c>
      <c r="D162" s="60">
        <f>D153-D156*D151/D148</f>
        <v>18.742146251270952</v>
      </c>
      <c r="E162" s="60">
        <f t="shared" ref="E162:AH162" si="57">E153-E156*E151/E148</f>
        <v>18.801822338280619</v>
      </c>
      <c r="F162" s="60">
        <f t="shared" si="57"/>
        <v>18.82092087489875</v>
      </c>
      <c r="G162" s="60">
        <f t="shared" si="57"/>
        <v>18.832456781034381</v>
      </c>
      <c r="H162" s="60">
        <f t="shared" si="57"/>
        <v>18.836932967941102</v>
      </c>
      <c r="I162" s="60">
        <f t="shared" si="57"/>
        <v>18.834920131834298</v>
      </c>
      <c r="J162" s="60">
        <f t="shared" si="57"/>
        <v>18.77544112171179</v>
      </c>
      <c r="K162" s="60">
        <f t="shared" si="57"/>
        <v>18.706514242780543</v>
      </c>
      <c r="L162" s="60">
        <f t="shared" si="57"/>
        <v>18.627895812734124</v>
      </c>
      <c r="M162" s="60">
        <f t="shared" si="57"/>
        <v>18.539199496263603</v>
      </c>
      <c r="N162" s="60">
        <f t="shared" si="57"/>
        <v>18.439782279581742</v>
      </c>
      <c r="O162" s="60">
        <f t="shared" si="57"/>
        <v>18.026882849262261</v>
      </c>
      <c r="P162" s="60">
        <f t="shared" si="57"/>
        <v>17.595044080155425</v>
      </c>
      <c r="Q162" s="60">
        <f t="shared" si="57"/>
        <v>17.151662559504313</v>
      </c>
      <c r="R162" s="60">
        <f t="shared" si="57"/>
        <v>16.694889492652969</v>
      </c>
      <c r="S162" s="60">
        <f t="shared" si="57"/>
        <v>16.226857748606768</v>
      </c>
      <c r="T162" s="60">
        <f t="shared" si="57"/>
        <v>15.730957213607496</v>
      </c>
      <c r="U162" s="60">
        <f t="shared" si="57"/>
        <v>15.218924512869645</v>
      </c>
      <c r="V162" s="60">
        <f t="shared" si="57"/>
        <v>14.696839736744579</v>
      </c>
      <c r="W162" s="60">
        <f t="shared" si="57"/>
        <v>14.167508100767837</v>
      </c>
      <c r="X162" s="60">
        <f t="shared" si="57"/>
        <v>13.633147879808607</v>
      </c>
      <c r="Y162" s="60">
        <f t="shared" si="57"/>
        <v>12.976429279485536</v>
      </c>
      <c r="Z162" s="60">
        <f t="shared" si="57"/>
        <v>12.287058916548611</v>
      </c>
      <c r="AA162" s="60">
        <f t="shared" si="57"/>
        <v>11.595928684600205</v>
      </c>
      <c r="AB162" s="60">
        <f t="shared" si="57"/>
        <v>10.903353267173603</v>
      </c>
      <c r="AC162" s="60">
        <f t="shared" si="57"/>
        <v>10.209942303280789</v>
      </c>
      <c r="AD162" s="60">
        <f t="shared" si="57"/>
        <v>9.5049403265757348</v>
      </c>
      <c r="AE162" s="60">
        <f t="shared" si="57"/>
        <v>8.8002378824034935</v>
      </c>
      <c r="AF162" s="60">
        <f t="shared" si="57"/>
        <v>8.0971451776256611</v>
      </c>
      <c r="AG162" s="60">
        <f t="shared" si="57"/>
        <v>7.3981696600656957</v>
      </c>
      <c r="AH162" s="60">
        <f t="shared" si="57"/>
        <v>6.7048360961222073</v>
      </c>
      <c r="AI162" s="60"/>
    </row>
    <row r="163" spans="1:46" s="68" customFormat="1" x14ac:dyDescent="0.2">
      <c r="A163" s="691"/>
      <c r="B163" s="62" t="s">
        <v>266</v>
      </c>
      <c r="C163" s="283" t="s">
        <v>153</v>
      </c>
      <c r="D163" s="284">
        <f>D154-D155-D156*D150/D148</f>
        <v>15.26051878202628</v>
      </c>
      <c r="E163" s="284">
        <f t="shared" ref="E163:AH163" si="58">E154-E155-E156*E150/E148</f>
        <v>15.304403201126938</v>
      </c>
      <c r="F163" s="284">
        <f t="shared" si="58"/>
        <v>15.512414615111068</v>
      </c>
      <c r="G163" s="284">
        <f t="shared" si="58"/>
        <v>15.999748133477921</v>
      </c>
      <c r="H163" s="284">
        <f t="shared" si="58"/>
        <v>15.305867291178878</v>
      </c>
      <c r="I163" s="284">
        <f t="shared" si="58"/>
        <v>15.325350375673583</v>
      </c>
      <c r="J163" s="284">
        <f t="shared" si="58"/>
        <v>15.316805251423352</v>
      </c>
      <c r="K163" s="284">
        <f t="shared" si="58"/>
        <v>15.30739909483086</v>
      </c>
      <c r="L163" s="284">
        <f t="shared" si="58"/>
        <v>15.296599961809372</v>
      </c>
      <c r="M163" s="284">
        <f t="shared" si="58"/>
        <v>15.283402094124437</v>
      </c>
      <c r="N163" s="284">
        <f t="shared" si="58"/>
        <v>15.265987399107738</v>
      </c>
      <c r="O163" s="284">
        <f t="shared" si="58"/>
        <v>14.937225493699183</v>
      </c>
      <c r="P163" s="284">
        <f t="shared" si="58"/>
        <v>14.622954493305949</v>
      </c>
      <c r="Q163" s="284">
        <f t="shared" si="58"/>
        <v>14.289360153653096</v>
      </c>
      <c r="R163" s="284">
        <f t="shared" si="58"/>
        <v>13.95318321023114</v>
      </c>
      <c r="S163" s="284">
        <f t="shared" si="58"/>
        <v>13.615779332899439</v>
      </c>
      <c r="T163" s="284">
        <f t="shared" si="58"/>
        <v>13.24528939123892</v>
      </c>
      <c r="U163" s="284">
        <f t="shared" si="58"/>
        <v>12.857995535020402</v>
      </c>
      <c r="V163" s="284">
        <f t="shared" si="58"/>
        <v>12.468648363287697</v>
      </c>
      <c r="W163" s="284">
        <f t="shared" si="58"/>
        <v>12.082818162280111</v>
      </c>
      <c r="X163" s="284">
        <f t="shared" si="58"/>
        <v>11.70450462151647</v>
      </c>
      <c r="Y163" s="284">
        <f t="shared" si="58"/>
        <v>11.149470408686614</v>
      </c>
      <c r="Z163" s="284">
        <f t="shared" si="58"/>
        <v>10.644195598101943</v>
      </c>
      <c r="AA163" s="284">
        <f t="shared" si="58"/>
        <v>10.151909265012286</v>
      </c>
      <c r="AB163" s="284">
        <f t="shared" si="58"/>
        <v>9.6701403996883624</v>
      </c>
      <c r="AC163" s="284">
        <f t="shared" si="58"/>
        <v>9.1951884068367331</v>
      </c>
      <c r="AD163" s="284">
        <f t="shared" si="58"/>
        <v>8.7226931855123446</v>
      </c>
      <c r="AE163" s="284">
        <f t="shared" si="58"/>
        <v>8.2479589085579637</v>
      </c>
      <c r="AF163" s="284">
        <f t="shared" si="58"/>
        <v>7.7663849786741652</v>
      </c>
      <c r="AG163" s="284">
        <f t="shared" si="58"/>
        <v>7.2764397905919616</v>
      </c>
      <c r="AH163" s="284">
        <f t="shared" si="58"/>
        <v>6.7759060263466981</v>
      </c>
      <c r="AI163" s="284"/>
    </row>
    <row r="164" spans="1:46" s="426" customFormat="1" x14ac:dyDescent="0.2">
      <c r="A164" s="425" t="str">
        <f>'Ethylene Recycling HC'!A320</f>
        <v>Waste available for pyrolysis</v>
      </c>
      <c r="C164" s="429" t="s">
        <v>153</v>
      </c>
      <c r="D164" s="430">
        <f>'Ethylene Recycling HC'!C320</f>
        <v>15.604910284817102</v>
      </c>
      <c r="E164" s="430">
        <f>'Ethylene Recycling HC'!D320</f>
        <v>16.163683795793936</v>
      </c>
      <c r="F164" s="430">
        <f>'Ethylene Recycling HC'!E320</f>
        <v>16.707170013158329</v>
      </c>
      <c r="G164" s="430">
        <f>'Ethylene Recycling HC'!F320</f>
        <v>17.232060579804894</v>
      </c>
      <c r="H164" s="430">
        <f>'Ethylene Recycling HC'!G320</f>
        <v>17.734935361505627</v>
      </c>
      <c r="I164" s="430">
        <f>'Ethylene Recycling HC'!H320</f>
        <v>18.212215431040576</v>
      </c>
      <c r="J164" s="430">
        <f>'Ethylene Recycling HC'!I320</f>
        <v>18.63537356262616</v>
      </c>
      <c r="K164" s="430">
        <f>'Ethylene Recycling HC'!J320</f>
        <v>19.062458496744608</v>
      </c>
      <c r="L164" s="430">
        <f>'Ethylene Recycling HC'!K320</f>
        <v>19.490778529957378</v>
      </c>
      <c r="M164" s="430">
        <f>'Ethylene Recycling HC'!L320</f>
        <v>19.915890446302242</v>
      </c>
      <c r="N164" s="430">
        <f>'Ethylene Recycling HC'!M320</f>
        <v>20.330363731989888</v>
      </c>
      <c r="O164" s="430">
        <f>'Ethylene Recycling HC'!N320</f>
        <v>19.519697423782748</v>
      </c>
      <c r="P164" s="430">
        <f>'Ethylene Recycling HC'!O320</f>
        <v>18.701438068800897</v>
      </c>
      <c r="Q164" s="430">
        <f>'Ethylene Recycling HC'!P320</f>
        <v>17.797051562245382</v>
      </c>
      <c r="R164" s="430">
        <f>'Ethylene Recycling HC'!Q320</f>
        <v>16.85110612368198</v>
      </c>
      <c r="S164" s="430">
        <f>'Ethylene Recycling HC'!R320</f>
        <v>15.872757148682311</v>
      </c>
      <c r="T164" s="430">
        <f>'Ethylene Recycling HC'!S320</f>
        <v>15.040726318733155</v>
      </c>
      <c r="U164" s="430">
        <f>'Ethylene Recycling HC'!T320</f>
        <v>14.899199369340087</v>
      </c>
      <c r="V164" s="430">
        <f>'Ethylene Recycling HC'!U320</f>
        <v>14.688093187727844</v>
      </c>
      <c r="W164" s="430">
        <f>'Ethylene Recycling HC'!V320</f>
        <v>14.431072422458866</v>
      </c>
      <c r="X164" s="430">
        <f>'Ethylene Recycling HC'!W320</f>
        <v>14.145932326929453</v>
      </c>
      <c r="Y164" s="430">
        <f>'Ethylene Recycling HC'!X320</f>
        <v>14.030183696830575</v>
      </c>
      <c r="Z164" s="430">
        <f>'Ethylene Recycling HC'!Y320</f>
        <v>14.046457732973336</v>
      </c>
      <c r="AA164" s="430">
        <f>'Ethylene Recycling HC'!Z320</f>
        <v>13.993622041240469</v>
      </c>
      <c r="AB164" s="430">
        <f>'Ethylene Recycling HC'!AA320</f>
        <v>13.871102705370287</v>
      </c>
      <c r="AC164" s="430">
        <f>'Ethylene Recycling HC'!AB320</f>
        <v>13.671747595358735</v>
      </c>
      <c r="AD164" s="430">
        <f>'Ethylene Recycling HC'!AC320</f>
        <v>13.381017830295006</v>
      </c>
      <c r="AE164" s="430">
        <f>'Ethylene Recycling HC'!AD320</f>
        <v>12.990940679215882</v>
      </c>
      <c r="AF164" s="430">
        <f>'Ethylene Recycling HC'!AE320</f>
        <v>12.492222743786026</v>
      </c>
      <c r="AG164" s="430">
        <f>'Ethylene Recycling HC'!AF320</f>
        <v>11.884304060460451</v>
      </c>
      <c r="AH164" s="430">
        <f>'Ethylene Recycling HC'!AG320</f>
        <v>11.181168501389607</v>
      </c>
      <c r="AI164" s="430"/>
    </row>
    <row r="165" spans="1:46" s="428" customFormat="1" x14ac:dyDescent="0.2">
      <c r="A165" s="427" t="str">
        <f>'Ethylene Recycling HC'!A321</f>
        <v>Waste available for gasification (incl. pyrolysis)</v>
      </c>
      <c r="C165" s="431" t="s">
        <v>153</v>
      </c>
      <c r="D165" s="432">
        <f>'Ethylene Recycling HC'!C321</f>
        <v>102.7392408679392</v>
      </c>
      <c r="E165" s="432">
        <f>'Ethylene Recycling HC'!D321</f>
        <v>104.94352859501419</v>
      </c>
      <c r="F165" s="432">
        <f>'Ethylene Recycling HC'!E321</f>
        <v>106.91134050784153</v>
      </c>
      <c r="G165" s="432">
        <f>'Ethylene Recycling HC'!F321</f>
        <v>108.6277445235213</v>
      </c>
      <c r="H165" s="432">
        <f>'Ethylene Recycling HC'!G321</f>
        <v>110.07948085995514</v>
      </c>
      <c r="I165" s="432">
        <f>'Ethylene Recycling HC'!H321</f>
        <v>111.25504962059044</v>
      </c>
      <c r="J165" s="432">
        <f>'Ethylene Recycling HC'!I321</f>
        <v>112.09280141176227</v>
      </c>
      <c r="K165" s="432">
        <f>'Ethylene Recycling HC'!J321</f>
        <v>112.87060971984701</v>
      </c>
      <c r="L165" s="432">
        <f>'Ethylene Recycling HC'!K321</f>
        <v>113.58454373117088</v>
      </c>
      <c r="M165" s="432">
        <f>'Ethylene Recycling HC'!L321</f>
        <v>114.22903242025026</v>
      </c>
      <c r="N165" s="432">
        <f>'Ethylene Recycling HC'!M321</f>
        <v>114.7956334408434</v>
      </c>
      <c r="O165" s="432">
        <f>'Ethylene Recycling HC'!N321</f>
        <v>113.14061171426998</v>
      </c>
      <c r="P165" s="432">
        <f>'Ethylene Recycling HC'!O321</f>
        <v>111.52894338558411</v>
      </c>
      <c r="Q165" s="432">
        <f>'Ethylene Recycling HC'!P321</f>
        <v>109.31140078087013</v>
      </c>
      <c r="R165" s="432">
        <f>'Ethylene Recycling HC'!Q321</f>
        <v>106.84213996914664</v>
      </c>
      <c r="S165" s="432">
        <f>'Ethylene Recycling HC'!R321</f>
        <v>104.13871585492889</v>
      </c>
      <c r="T165" s="432">
        <f>'Ethylene Recycling HC'!S321</f>
        <v>101.44238661875524</v>
      </c>
      <c r="U165" s="432">
        <f>'Ethylene Recycling HC'!T321</f>
        <v>98.685414314193252</v>
      </c>
      <c r="V165" s="432">
        <f>'Ethylene Recycling HC'!U321</f>
        <v>95.924104820814748</v>
      </c>
      <c r="W165" s="432">
        <f>'Ethylene Recycling HC'!V321</f>
        <v>93.181039424318328</v>
      </c>
      <c r="X165" s="432">
        <f>'Ethylene Recycling HC'!W321</f>
        <v>90.472897248388506</v>
      </c>
      <c r="Y165" s="432">
        <f>'Ethylene Recycling HC'!X321</f>
        <v>85.682284325041536</v>
      </c>
      <c r="Z165" s="432">
        <f>'Ethylene Recycling HC'!Y321</f>
        <v>81.902448769712734</v>
      </c>
      <c r="AA165" s="432">
        <f>'Ethylene Recycling HC'!Z321</f>
        <v>78.208686635631423</v>
      </c>
      <c r="AB165" s="432">
        <f>'Ethylene Recycling HC'!AA321</f>
        <v>74.612783342996778</v>
      </c>
      <c r="AC165" s="432">
        <f>'Ethylene Recycling HC'!AB321</f>
        <v>71.10611144183045</v>
      </c>
      <c r="AD165" s="432">
        <f>'Ethylene Recycling HC'!AC321</f>
        <v>67.654524716265129</v>
      </c>
      <c r="AE165" s="432">
        <f>'Ethylene Recycling HC'!AD321</f>
        <v>64.2678922529755</v>
      </c>
      <c r="AF165" s="432">
        <f>'Ethylene Recycling HC'!AE321</f>
        <v>60.935171130472668</v>
      </c>
      <c r="AG165" s="432">
        <f>'Ethylene Recycling HC'!AF321</f>
        <v>57.653996083538743</v>
      </c>
      <c r="AH165" s="432">
        <f>'Ethylene Recycling HC'!AG321</f>
        <v>54.436490405199081</v>
      </c>
      <c r="AI165" s="432"/>
    </row>
    <row r="166" spans="1:46" x14ac:dyDescent="0.2">
      <c r="A166" t="s">
        <v>277</v>
      </c>
      <c r="B166"/>
      <c r="C166" s="54"/>
      <c r="D166" s="44">
        <f t="shared" ref="D166:AH166" si="59">D4-D12-D26-D40-D50-D62</f>
        <v>0</v>
      </c>
      <c r="E166" s="44">
        <f t="shared" si="59"/>
        <v>0</v>
      </c>
      <c r="F166" s="44">
        <f t="shared" si="59"/>
        <v>0</v>
      </c>
      <c r="G166" s="44">
        <f t="shared" si="59"/>
        <v>0</v>
      </c>
      <c r="H166" s="44">
        <f t="shared" si="59"/>
        <v>0</v>
      </c>
      <c r="I166" s="44">
        <f t="shared" si="59"/>
        <v>0</v>
      </c>
      <c r="J166" s="44">
        <f t="shared" si="59"/>
        <v>0</v>
      </c>
      <c r="K166" s="44">
        <f t="shared" si="59"/>
        <v>0</v>
      </c>
      <c r="L166" s="44">
        <f t="shared" si="59"/>
        <v>0</v>
      </c>
      <c r="M166" s="44">
        <f t="shared" si="59"/>
        <v>0</v>
      </c>
      <c r="N166" s="44">
        <f t="shared" si="59"/>
        <v>0</v>
      </c>
      <c r="O166" s="44">
        <f t="shared" si="59"/>
        <v>0</v>
      </c>
      <c r="P166" s="44">
        <f t="shared" si="59"/>
        <v>0</v>
      </c>
      <c r="Q166" s="44">
        <f t="shared" si="59"/>
        <v>0</v>
      </c>
      <c r="R166" s="44">
        <f t="shared" si="59"/>
        <v>0</v>
      </c>
      <c r="S166" s="44">
        <f t="shared" si="59"/>
        <v>0</v>
      </c>
      <c r="T166" s="44">
        <f t="shared" si="59"/>
        <v>0</v>
      </c>
      <c r="U166" s="44">
        <f t="shared" si="59"/>
        <v>0</v>
      </c>
      <c r="V166" s="44">
        <f t="shared" si="59"/>
        <v>0</v>
      </c>
      <c r="W166" s="44">
        <f t="shared" si="59"/>
        <v>0</v>
      </c>
      <c r="X166" s="44">
        <f t="shared" si="59"/>
        <v>0</v>
      </c>
      <c r="Y166" s="44">
        <f t="shared" si="59"/>
        <v>0</v>
      </c>
      <c r="Z166" s="44">
        <f t="shared" si="59"/>
        <v>0</v>
      </c>
      <c r="AA166" s="44">
        <f t="shared" si="59"/>
        <v>0</v>
      </c>
      <c r="AB166" s="44">
        <f t="shared" si="59"/>
        <v>0</v>
      </c>
      <c r="AC166" s="44">
        <f t="shared" si="59"/>
        <v>0</v>
      </c>
      <c r="AD166" s="44">
        <f t="shared" si="59"/>
        <v>0</v>
      </c>
      <c r="AE166" s="44">
        <f t="shared" si="59"/>
        <v>0</v>
      </c>
      <c r="AF166" s="44">
        <f t="shared" si="59"/>
        <v>0</v>
      </c>
      <c r="AG166" s="44">
        <f t="shared" si="59"/>
        <v>0</v>
      </c>
      <c r="AH166" s="44">
        <f t="shared" si="59"/>
        <v>0</v>
      </c>
    </row>
    <row r="167" spans="1:46" x14ac:dyDescent="0.2">
      <c r="A167" t="s">
        <v>278</v>
      </c>
      <c r="B167"/>
      <c r="C167" s="54"/>
      <c r="D167" s="44">
        <f t="shared" ref="D167:AH167" si="60">D84-D19-D33-D43-D55-D65-D74</f>
        <v>0</v>
      </c>
      <c r="E167" s="44">
        <f t="shared" si="60"/>
        <v>1.0547118733938987E-14</v>
      </c>
      <c r="F167" s="44">
        <f t="shared" si="60"/>
        <v>6.106226635438361E-15</v>
      </c>
      <c r="G167" s="44">
        <f t="shared" si="60"/>
        <v>-9.5479180117763462E-15</v>
      </c>
      <c r="H167" s="44">
        <f t="shared" si="60"/>
        <v>2.6867397195928788E-14</v>
      </c>
      <c r="I167" s="44">
        <f t="shared" si="60"/>
        <v>-1.2878587085651816E-14</v>
      </c>
      <c r="J167" s="44">
        <f t="shared" si="60"/>
        <v>-1.865174681370263E-14</v>
      </c>
      <c r="K167" s="44">
        <f t="shared" si="60"/>
        <v>-3.3084646133829665E-14</v>
      </c>
      <c r="L167" s="44">
        <f t="shared" si="60"/>
        <v>-8.2156503822261584E-15</v>
      </c>
      <c r="M167" s="44">
        <f t="shared" si="60"/>
        <v>3.5971225997855072E-14</v>
      </c>
      <c r="N167" s="44">
        <f t="shared" si="60"/>
        <v>0</v>
      </c>
      <c r="O167" s="44">
        <f t="shared" si="60"/>
        <v>3.4638958368304884E-14</v>
      </c>
      <c r="P167" s="44">
        <f t="shared" si="60"/>
        <v>8.8817841970012523E-15</v>
      </c>
      <c r="Q167" s="44">
        <f t="shared" si="60"/>
        <v>8.4376949871511897E-15</v>
      </c>
      <c r="R167" s="44">
        <f t="shared" si="60"/>
        <v>-2.1316282072803006E-14</v>
      </c>
      <c r="S167" s="44">
        <f t="shared" si="60"/>
        <v>4.4408920985006262E-15</v>
      </c>
      <c r="T167" s="44">
        <f t="shared" si="60"/>
        <v>-1.0658141036401503E-14</v>
      </c>
      <c r="U167" s="44">
        <f t="shared" si="60"/>
        <v>-4.8849813083506888E-14</v>
      </c>
      <c r="V167" s="44">
        <f t="shared" si="60"/>
        <v>2.4868995751603507E-14</v>
      </c>
      <c r="W167" s="44">
        <f t="shared" si="60"/>
        <v>0</v>
      </c>
      <c r="X167" s="44">
        <f t="shared" si="60"/>
        <v>3.4638958368304884E-14</v>
      </c>
      <c r="Y167" s="44">
        <f t="shared" si="60"/>
        <v>-3.0198066269804258E-14</v>
      </c>
      <c r="Z167" s="44">
        <f t="shared" si="60"/>
        <v>-1.4210854715202004E-14</v>
      </c>
      <c r="AA167" s="44">
        <f t="shared" si="60"/>
        <v>0</v>
      </c>
      <c r="AB167" s="44">
        <f t="shared" si="60"/>
        <v>0</v>
      </c>
      <c r="AC167" s="44">
        <f t="shared" si="60"/>
        <v>0</v>
      </c>
      <c r="AD167" s="44">
        <f t="shared" si="60"/>
        <v>0</v>
      </c>
      <c r="AE167" s="44">
        <f t="shared" si="60"/>
        <v>2.8421709430404007E-14</v>
      </c>
      <c r="AF167" s="44">
        <f t="shared" si="60"/>
        <v>0</v>
      </c>
      <c r="AG167" s="44">
        <f t="shared" si="60"/>
        <v>6.3948846218409017E-14</v>
      </c>
      <c r="AH167" s="44">
        <f t="shared" si="60"/>
        <v>0</v>
      </c>
    </row>
    <row r="168" spans="1:46" x14ac:dyDescent="0.2">
      <c r="A168" t="s">
        <v>279</v>
      </c>
      <c r="B168"/>
      <c r="C168" s="54"/>
      <c r="D168" s="244">
        <f t="shared" ref="D168:AH168" si="61">D84-D92-D102-D112-D122-D134</f>
        <v>0</v>
      </c>
      <c r="E168" s="244">
        <f t="shared" si="61"/>
        <v>0</v>
      </c>
      <c r="F168" s="244">
        <f t="shared" si="61"/>
        <v>0</v>
      </c>
      <c r="G168" s="244">
        <f t="shared" si="61"/>
        <v>0</v>
      </c>
      <c r="H168" s="244">
        <f t="shared" si="61"/>
        <v>0</v>
      </c>
      <c r="I168" s="244">
        <f t="shared" si="61"/>
        <v>0</v>
      </c>
      <c r="J168" s="244">
        <f t="shared" si="61"/>
        <v>0</v>
      </c>
      <c r="K168" s="244">
        <f t="shared" si="61"/>
        <v>0</v>
      </c>
      <c r="L168" s="244">
        <f t="shared" si="61"/>
        <v>0</v>
      </c>
      <c r="M168" s="244">
        <f t="shared" si="61"/>
        <v>0</v>
      </c>
      <c r="N168" s="244">
        <f t="shared" si="61"/>
        <v>0</v>
      </c>
      <c r="O168" s="244">
        <f t="shared" si="61"/>
        <v>0</v>
      </c>
      <c r="P168" s="244">
        <f t="shared" si="61"/>
        <v>0</v>
      </c>
      <c r="Q168" s="244">
        <f t="shared" si="61"/>
        <v>0</v>
      </c>
      <c r="R168" s="244">
        <f t="shared" si="61"/>
        <v>0</v>
      </c>
      <c r="S168" s="244">
        <f t="shared" si="61"/>
        <v>0</v>
      </c>
      <c r="T168" s="244">
        <f t="shared" si="61"/>
        <v>0</v>
      </c>
      <c r="U168" s="244">
        <f t="shared" si="61"/>
        <v>0</v>
      </c>
      <c r="V168" s="244">
        <f t="shared" si="61"/>
        <v>0</v>
      </c>
      <c r="W168" s="244">
        <f t="shared" si="61"/>
        <v>0</v>
      </c>
      <c r="X168" s="244">
        <f t="shared" si="61"/>
        <v>0</v>
      </c>
      <c r="Y168" s="244">
        <f t="shared" si="61"/>
        <v>0</v>
      </c>
      <c r="Z168" s="244">
        <f t="shared" si="61"/>
        <v>0</v>
      </c>
      <c r="AA168" s="244">
        <f t="shared" si="61"/>
        <v>0</v>
      </c>
      <c r="AB168" s="244">
        <f t="shared" si="61"/>
        <v>0</v>
      </c>
      <c r="AC168" s="244">
        <f t="shared" si="61"/>
        <v>0</v>
      </c>
      <c r="AD168" s="244">
        <f t="shared" si="61"/>
        <v>0</v>
      </c>
      <c r="AE168" s="244">
        <f t="shared" si="61"/>
        <v>0</v>
      </c>
      <c r="AF168" s="244">
        <f t="shared" si="61"/>
        <v>0</v>
      </c>
      <c r="AG168" s="244">
        <f t="shared" si="61"/>
        <v>5.6843418860808015E-14</v>
      </c>
      <c r="AH168" s="244">
        <f t="shared" si="61"/>
        <v>0</v>
      </c>
    </row>
    <row r="169" spans="1:46" x14ac:dyDescent="0.2">
      <c r="A169" t="s">
        <v>280</v>
      </c>
      <c r="B169"/>
      <c r="C169" s="54"/>
      <c r="D169" s="244">
        <f t="shared" ref="D169:AH169" si="62">D95+D105+D115+D127+D139-D148</f>
        <v>0</v>
      </c>
      <c r="E169" s="244">
        <f t="shared" si="62"/>
        <v>0</v>
      </c>
      <c r="F169" s="244">
        <f t="shared" si="62"/>
        <v>0</v>
      </c>
      <c r="G169" s="244">
        <f t="shared" si="62"/>
        <v>0</v>
      </c>
      <c r="H169" s="244">
        <f t="shared" si="62"/>
        <v>0</v>
      </c>
      <c r="I169" s="244">
        <f t="shared" si="62"/>
        <v>0</v>
      </c>
      <c r="J169" s="244">
        <f t="shared" si="62"/>
        <v>0</v>
      </c>
      <c r="K169" s="244">
        <f t="shared" si="62"/>
        <v>0</v>
      </c>
      <c r="L169" s="244">
        <f t="shared" si="62"/>
        <v>0</v>
      </c>
      <c r="M169" s="244">
        <f t="shared" si="62"/>
        <v>0</v>
      </c>
      <c r="N169" s="244">
        <f t="shared" si="62"/>
        <v>0</v>
      </c>
      <c r="O169" s="244">
        <f t="shared" si="62"/>
        <v>0</v>
      </c>
      <c r="P169" s="244">
        <f t="shared" si="62"/>
        <v>0</v>
      </c>
      <c r="Q169" s="244">
        <f t="shared" si="62"/>
        <v>0</v>
      </c>
      <c r="R169" s="244">
        <f t="shared" si="62"/>
        <v>0</v>
      </c>
      <c r="S169" s="244">
        <f t="shared" si="62"/>
        <v>0</v>
      </c>
      <c r="T169" s="244">
        <f t="shared" si="62"/>
        <v>0</v>
      </c>
      <c r="U169" s="244">
        <f t="shared" si="62"/>
        <v>0</v>
      </c>
      <c r="V169" s="244">
        <f t="shared" si="62"/>
        <v>0</v>
      </c>
      <c r="W169" s="244">
        <f t="shared" si="62"/>
        <v>0</v>
      </c>
      <c r="X169" s="244">
        <f t="shared" si="62"/>
        <v>0</v>
      </c>
      <c r="Y169" s="244">
        <f t="shared" si="62"/>
        <v>0</v>
      </c>
      <c r="Z169" s="244">
        <f t="shared" si="62"/>
        <v>0</v>
      </c>
      <c r="AA169" s="244">
        <f t="shared" si="62"/>
        <v>0</v>
      </c>
      <c r="AB169" s="244">
        <f t="shared" si="62"/>
        <v>0</v>
      </c>
      <c r="AC169" s="244">
        <f t="shared" si="62"/>
        <v>0</v>
      </c>
      <c r="AD169" s="244">
        <f t="shared" si="62"/>
        <v>0</v>
      </c>
      <c r="AE169" s="244">
        <f t="shared" si="62"/>
        <v>0</v>
      </c>
      <c r="AF169" s="244">
        <f t="shared" si="62"/>
        <v>0</v>
      </c>
      <c r="AG169" s="244">
        <f t="shared" si="62"/>
        <v>0</v>
      </c>
      <c r="AH169" s="244">
        <f t="shared" si="62"/>
        <v>0</v>
      </c>
    </row>
    <row r="170" spans="1:46" ht="16" thickBot="1" x14ac:dyDescent="0.25">
      <c r="C170" s="65"/>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279"/>
    </row>
    <row r="171" spans="1:46" ht="54" customHeight="1" thickBot="1" x14ac:dyDescent="0.25">
      <c r="A171" s="250" t="s">
        <v>281</v>
      </c>
      <c r="B171" s="185">
        <v>2020</v>
      </c>
      <c r="C171" s="186" t="s">
        <v>282</v>
      </c>
      <c r="D171" s="186" t="s">
        <v>282</v>
      </c>
      <c r="E171" s="186" t="s">
        <v>283</v>
      </c>
      <c r="F171" s="186" t="s">
        <v>284</v>
      </c>
      <c r="G171" s="186" t="s">
        <v>285</v>
      </c>
      <c r="H171" s="186" t="s">
        <v>286</v>
      </c>
      <c r="I171" s="186" t="s">
        <v>287</v>
      </c>
      <c r="J171" s="186" t="s">
        <v>288</v>
      </c>
      <c r="K171" s="186" t="s">
        <v>289</v>
      </c>
      <c r="L171" s="186" t="s">
        <v>290</v>
      </c>
      <c r="M171" s="186" t="s">
        <v>291</v>
      </c>
      <c r="N171" s="186" t="s">
        <v>292</v>
      </c>
      <c r="O171" s="186" t="s">
        <v>293</v>
      </c>
      <c r="P171" s="186" t="s">
        <v>294</v>
      </c>
      <c r="Q171" s="186" t="s">
        <v>295</v>
      </c>
      <c r="R171" s="186" t="s">
        <v>296</v>
      </c>
      <c r="S171" s="186" t="s">
        <v>297</v>
      </c>
      <c r="T171" s="186" t="s">
        <v>298</v>
      </c>
      <c r="U171" s="186" t="s">
        <v>299</v>
      </c>
      <c r="V171" s="186" t="s">
        <v>300</v>
      </c>
      <c r="W171" s="186" t="s">
        <v>301</v>
      </c>
      <c r="X171" s="186" t="s">
        <v>292</v>
      </c>
      <c r="AJ171" s="138" t="s">
        <v>302</v>
      </c>
      <c r="AK171" s="139" t="s">
        <v>1</v>
      </c>
      <c r="AL171" s="139" t="s">
        <v>180</v>
      </c>
      <c r="AM171" s="139" t="s">
        <v>181</v>
      </c>
      <c r="AN171" s="139" t="s">
        <v>303</v>
      </c>
      <c r="AO171" s="139" t="s">
        <v>304</v>
      </c>
      <c r="AP171" s="139" t="s">
        <v>305</v>
      </c>
      <c r="AQ171" s="139" t="s">
        <v>306</v>
      </c>
      <c r="AR171" s="139" t="s">
        <v>307</v>
      </c>
      <c r="AS171" s="139" t="s">
        <v>163</v>
      </c>
      <c r="AT171" s="139" t="s">
        <v>308</v>
      </c>
    </row>
    <row r="172" spans="1:46" x14ac:dyDescent="0.2">
      <c r="A172" t="s">
        <v>309</v>
      </c>
      <c r="B172" s="183">
        <f>'Demand Breakdown - Ethylene'!J63</f>
        <v>0.43683153193696267</v>
      </c>
      <c r="C172" s="184">
        <f>D172/$D$180</f>
        <v>0.30651467361269058</v>
      </c>
      <c r="D172" s="249">
        <f>AH33*B172/(B172+B176)</f>
        <v>40.443703392523403</v>
      </c>
      <c r="N172" s="194">
        <f>X172/$X$180</f>
        <v>0.32615735482172531</v>
      </c>
      <c r="X172" s="44">
        <f>AH95*B172/(B172+B176)</f>
        <v>32.398511078355192</v>
      </c>
      <c r="AJ172" s="30" t="s">
        <v>67</v>
      </c>
      <c r="AK172" s="140">
        <f>D4</f>
        <v>162.69230769230768</v>
      </c>
      <c r="AM172" s="140">
        <f>AH4</f>
        <v>255</v>
      </c>
      <c r="AN172" s="140"/>
      <c r="AO172" s="140"/>
      <c r="AP172" s="140"/>
      <c r="AQ172" s="140"/>
      <c r="AS172" s="137"/>
      <c r="AT172" s="140">
        <f>AH84</f>
        <v>131.94703834514536</v>
      </c>
    </row>
    <row r="173" spans="1:46" x14ac:dyDescent="0.2">
      <c r="A173" t="s">
        <v>310</v>
      </c>
      <c r="B173" s="183">
        <f>'Demand Breakdown - Ethylene'!J64</f>
        <v>0.21433790117776957</v>
      </c>
      <c r="C173" s="184">
        <f t="shared" ref="C173:C179" si="63">D173/$D$180</f>
        <v>0.11230236783603029</v>
      </c>
      <c r="D173" s="249">
        <f>AH43</f>
        <v>14.81796483511131</v>
      </c>
      <c r="N173" s="194">
        <f t="shared" ref="N173:N178" si="64">X173/$X$180</f>
        <v>2.2708225875467336E-2</v>
      </c>
      <c r="X173" s="44">
        <f>IF(AH127&lt;0,0,AH127)</f>
        <v>2.2556986580856182</v>
      </c>
      <c r="AJ173" s="30" t="s">
        <v>168</v>
      </c>
      <c r="AN173" s="44">
        <f>-AH29</f>
        <v>-56.525064219770599</v>
      </c>
      <c r="AO173" s="43">
        <f>-AH41</f>
        <v>-31.802207750340312</v>
      </c>
      <c r="AP173" s="44">
        <f>-AH17</f>
        <v>-7.2786442051741975</v>
      </c>
      <c r="AQ173" s="44">
        <f>-AH53</f>
        <v>-3.7789978962210657</v>
      </c>
      <c r="AR173" s="43">
        <f>-AH63</f>
        <v>-6.2231427046910293</v>
      </c>
    </row>
    <row r="174" spans="1:46" x14ac:dyDescent="0.2">
      <c r="A174" t="s">
        <v>311</v>
      </c>
      <c r="B174" s="183">
        <f>'Demand Breakdown - Ethylene'!J65</f>
        <v>5.2109631277813095E-2</v>
      </c>
      <c r="C174" s="184">
        <f t="shared" si="63"/>
        <v>6.2030965340040392E-2</v>
      </c>
      <c r="D174" s="249">
        <f>AH19</f>
        <v>8.184802162308694</v>
      </c>
      <c r="N174" s="194">
        <f t="shared" si="64"/>
        <v>5.7402972808573857E-2</v>
      </c>
      <c r="X174" s="44">
        <f>AH105</f>
        <v>5.7020662664057848</v>
      </c>
      <c r="AJ174" s="30" t="s">
        <v>172</v>
      </c>
      <c r="AN174" s="44">
        <f>-AH32</f>
        <v>-27.992077257159128</v>
      </c>
      <c r="AO174" s="43">
        <f>-AH42</f>
        <v>-11.202023324258034</v>
      </c>
      <c r="AP174">
        <f>-AH18</f>
        <v>0</v>
      </c>
      <c r="AQ174" s="43">
        <f>-AH54</f>
        <v>-1.2810162360071411</v>
      </c>
      <c r="AR174" s="43">
        <f>-AH64</f>
        <v>-2.0743809015636763</v>
      </c>
    </row>
    <row r="175" spans="1:46" x14ac:dyDescent="0.2">
      <c r="A175" t="s">
        <v>312</v>
      </c>
      <c r="B175" s="183">
        <f>'Demand Breakdown - Ethylene'!J66</f>
        <v>3.6272535773636247E-2</v>
      </c>
      <c r="C175" s="184">
        <f t="shared" si="63"/>
        <v>5.5388862440239023E-2</v>
      </c>
      <c r="D175" s="249">
        <f>AH65*B175/(B175+B177)</f>
        <v>7.3083963562962015</v>
      </c>
      <c r="N175" s="194">
        <f t="shared" si="64"/>
        <v>6.4089357953036427E-2</v>
      </c>
      <c r="X175" s="44">
        <f>AH139*C175/(C175+C177+C179)</f>
        <v>6.3662515744311943</v>
      </c>
      <c r="AJ175" s="30" t="s">
        <v>175</v>
      </c>
      <c r="AL175" s="140">
        <f>AH4-D4</f>
        <v>92.307692307692321</v>
      </c>
      <c r="AS175" s="44">
        <f>AH74</f>
        <v>23.698824988741201</v>
      </c>
    </row>
    <row r="176" spans="1:46" x14ac:dyDescent="0.2">
      <c r="A176" t="s">
        <v>313</v>
      </c>
      <c r="B176" s="183">
        <f>'Demand Breakdown - Ethylene'!J67</f>
        <v>0.11088911611514482</v>
      </c>
      <c r="C176" s="184">
        <f t="shared" si="63"/>
        <v>7.7808351156615191E-2</v>
      </c>
      <c r="D176" s="249">
        <f>AH33*B176/(B172+B176)</f>
        <v>10.266581493634442</v>
      </c>
      <c r="N176" s="194">
        <f t="shared" si="64"/>
        <v>8.2794620228683363E-2</v>
      </c>
      <c r="X176" s="44">
        <f>AH95*B176/(B172+B176)</f>
        <v>8.2243198905430077</v>
      </c>
    </row>
    <row r="177" spans="1:45" ht="48" x14ac:dyDescent="0.2">
      <c r="A177" t="s">
        <v>248</v>
      </c>
      <c r="B177" s="183">
        <f>'Demand Breakdown - Ethylene'!J68</f>
        <v>0.12845428371867368</v>
      </c>
      <c r="C177" s="184">
        <f t="shared" si="63"/>
        <v>0.19615217130544152</v>
      </c>
      <c r="D177" s="249">
        <f>AH65*B177/(B175+B177)</f>
        <v>25.881698068722617</v>
      </c>
      <c r="N177" s="194">
        <f t="shared" si="64"/>
        <v>0.22696380041426814</v>
      </c>
      <c r="X177" s="44">
        <f>AH139*C177/(C175+C177+C179)</f>
        <v>22.545219641379866</v>
      </c>
      <c r="AJ177" s="260" t="s">
        <v>314</v>
      </c>
      <c r="AK177" s="136" t="s">
        <v>1</v>
      </c>
      <c r="AL177" s="136" t="s">
        <v>180</v>
      </c>
      <c r="AM177" s="136" t="s">
        <v>181</v>
      </c>
      <c r="AN177" s="136" t="s">
        <v>25</v>
      </c>
      <c r="AO177" s="136" t="s">
        <v>315</v>
      </c>
      <c r="AP177" s="136" t="s">
        <v>316</v>
      </c>
      <c r="AQ177" s="136" t="s">
        <v>317</v>
      </c>
      <c r="AR177" s="136" t="s">
        <v>318</v>
      </c>
      <c r="AS177" s="263" t="s">
        <v>319</v>
      </c>
    </row>
    <row r="178" spans="1:45" x14ac:dyDescent="0.2">
      <c r="A178" s="131" t="s">
        <v>320</v>
      </c>
      <c r="B178" s="183">
        <f>'Demand Breakdown - Ethylene'!J69</f>
        <v>2.1105000000000002E-2</v>
      </c>
      <c r="C178" s="184">
        <f t="shared" si="63"/>
        <v>1.0193991958266532E-2</v>
      </c>
      <c r="D178" s="249">
        <f>AH55</f>
        <v>1.3450670478074978</v>
      </c>
      <c r="N178" s="194">
        <f t="shared" si="64"/>
        <v>1.2062087934083891E-2</v>
      </c>
      <c r="X178" s="44">
        <f>AH115</f>
        <v>1.1981753095039533</v>
      </c>
      <c r="AK178" s="143">
        <f>D26</f>
        <v>89.109936202323638</v>
      </c>
      <c r="AL178" s="143">
        <f>AH26-D26</f>
        <v>46.117490160763936</v>
      </c>
      <c r="AM178" s="143">
        <f>AH26</f>
        <v>135.22742636308757</v>
      </c>
      <c r="AN178" s="143">
        <f>-'Yearly LC Ethylene'!AH27</f>
        <v>-12.608605234094286</v>
      </c>
      <c r="AO178" s="143">
        <f>-'Yearly LC Ethylene'!AH28</f>
        <v>-29.219942288535961</v>
      </c>
      <c r="AP178" s="143">
        <f>SUM(AM178:AO179)</f>
        <v>78.702362143316975</v>
      </c>
      <c r="AQ178" s="262">
        <f>-'Yearly LC Ethylene'!AH30</f>
        <v>-10.117716040486211</v>
      </c>
      <c r="AR178" s="262">
        <f>-'Yearly LC Ethylene'!AH31</f>
        <v>-14.235391173242229</v>
      </c>
      <c r="AS178" s="44" t="s">
        <v>167</v>
      </c>
    </row>
    <row r="179" spans="1:45" ht="16" thickBot="1" x14ac:dyDescent="0.25">
      <c r="A179" t="s">
        <v>321</v>
      </c>
      <c r="B179" s="183"/>
      <c r="C179" s="184">
        <f t="shared" si="63"/>
        <v>0.17960861635067638</v>
      </c>
      <c r="D179" s="249">
        <f>AH74</f>
        <v>23.698824988741201</v>
      </c>
      <c r="N179" s="194">
        <f>X179/$X$180</f>
        <v>0.20782157996416173</v>
      </c>
      <c r="X179" s="44">
        <f>AH139*C179/(C175+C177+C179)</f>
        <v>20.643746526796647</v>
      </c>
      <c r="AN179" s="44">
        <f>-AH27-AN178</f>
        <v>-4.4300504876547482</v>
      </c>
      <c r="AO179" s="44">
        <f>-AH28-AO178</f>
        <v>-10.266466209485607</v>
      </c>
      <c r="AP179" s="44"/>
      <c r="AQ179" s="44">
        <f>-AH30-AQ178</f>
        <v>-1.5118426267393197</v>
      </c>
      <c r="AR179" s="44">
        <f>-AH31-AR178</f>
        <v>-2.1271274166913674</v>
      </c>
    </row>
    <row r="180" spans="1:45" ht="16" thickBot="1" x14ac:dyDescent="0.25">
      <c r="A180" s="185" t="s">
        <v>67</v>
      </c>
      <c r="B180" s="247">
        <f>SUM(B172:B178)</f>
        <v>1</v>
      </c>
      <c r="C180" s="246">
        <f>SUM(C172:C179)</f>
        <v>0.99999999999999989</v>
      </c>
      <c r="D180" s="187">
        <f>SUM(D172:D179)</f>
        <v>131.94703834514539</v>
      </c>
      <c r="E180" s="188"/>
      <c r="F180" s="188"/>
      <c r="G180" s="188"/>
      <c r="H180" s="188"/>
      <c r="I180" s="188"/>
      <c r="J180" s="188"/>
      <c r="K180" s="188"/>
      <c r="L180" s="188"/>
      <c r="M180" s="188"/>
      <c r="N180" s="248">
        <f>SUM(N172:N179)</f>
        <v>1</v>
      </c>
      <c r="X180" s="44">
        <f>SUM(X172:X179)</f>
        <v>99.333988945501261</v>
      </c>
    </row>
    <row r="181" spans="1:45" ht="49" thickBot="1" x14ac:dyDescent="0.25">
      <c r="AJ181" s="260" t="s">
        <v>322</v>
      </c>
      <c r="AK181" s="136" t="s">
        <v>1</v>
      </c>
      <c r="AL181" s="136" t="s">
        <v>180</v>
      </c>
      <c r="AM181" s="136" t="s">
        <v>181</v>
      </c>
      <c r="AN181" s="136" t="s">
        <v>183</v>
      </c>
      <c r="AO181" s="136" t="s">
        <v>28</v>
      </c>
      <c r="AP181" s="263" t="s">
        <v>319</v>
      </c>
      <c r="AQ181" s="136"/>
      <c r="AR181" s="136"/>
    </row>
    <row r="182" spans="1:45" ht="49" thickBot="1" x14ac:dyDescent="0.25">
      <c r="A182" s="250" t="s">
        <v>323</v>
      </c>
      <c r="B182" s="185">
        <v>2020</v>
      </c>
      <c r="C182" s="186" t="s">
        <v>282</v>
      </c>
      <c r="D182" s="186" t="s">
        <v>292</v>
      </c>
      <c r="E182" s="186" t="s">
        <v>283</v>
      </c>
      <c r="F182" s="186" t="s">
        <v>284</v>
      </c>
      <c r="G182" s="186" t="s">
        <v>285</v>
      </c>
      <c r="H182" s="186" t="s">
        <v>286</v>
      </c>
      <c r="I182" s="186" t="s">
        <v>287</v>
      </c>
      <c r="J182" s="186" t="s">
        <v>288</v>
      </c>
      <c r="K182" s="186" t="s">
        <v>289</v>
      </c>
      <c r="L182" s="186" t="s">
        <v>290</v>
      </c>
      <c r="M182" s="186" t="s">
        <v>291</v>
      </c>
      <c r="O182" s="186" t="s">
        <v>293</v>
      </c>
      <c r="P182" s="186" t="s">
        <v>294</v>
      </c>
      <c r="Q182" s="186" t="s">
        <v>295</v>
      </c>
      <c r="R182" s="186" t="s">
        <v>296</v>
      </c>
      <c r="S182" s="186" t="s">
        <v>297</v>
      </c>
      <c r="T182" s="186" t="s">
        <v>298</v>
      </c>
      <c r="U182" s="186" t="s">
        <v>299</v>
      </c>
      <c r="V182" s="186" t="s">
        <v>300</v>
      </c>
      <c r="W182" s="186" t="s">
        <v>301</v>
      </c>
      <c r="X182" s="186"/>
      <c r="AK182" s="143">
        <f>D40</f>
        <v>34.871127768537121</v>
      </c>
      <c r="AL182" s="143">
        <f>AH40-D40</f>
        <v>22.951068141172534</v>
      </c>
      <c r="AM182" s="143">
        <f>AH40</f>
        <v>57.822195909709656</v>
      </c>
      <c r="AN182" s="143">
        <f>-'Yearly LC Ethylene'!AH41</f>
        <v>-12.720883100136124</v>
      </c>
      <c r="AO182" s="143">
        <f>-'Yearly LC Ethylene'!AH42</f>
        <v>-5.6010116621290171</v>
      </c>
      <c r="AP182" s="143">
        <f>AH43</f>
        <v>14.81796483511131</v>
      </c>
      <c r="AQ182" s="143"/>
    </row>
    <row r="183" spans="1:45" x14ac:dyDescent="0.2">
      <c r="A183" t="s">
        <v>324</v>
      </c>
      <c r="B183" s="183">
        <f>B172+B176</f>
        <v>0.54772064805210752</v>
      </c>
      <c r="C183" s="184">
        <f t="shared" ref="C183" si="65">C172+C176</f>
        <v>0.3843230247693058</v>
      </c>
      <c r="D183" s="194">
        <f>N172+N176</f>
        <v>0.4089519750504087</v>
      </c>
      <c r="X183" s="44"/>
      <c r="AN183" s="44">
        <f>-(AH41+AN182)</f>
        <v>-19.081324650204188</v>
      </c>
      <c r="AO183" s="44">
        <f>-(AH42+AO182)</f>
        <v>-5.6010116621290171</v>
      </c>
    </row>
    <row r="184" spans="1:45" x14ac:dyDescent="0.2">
      <c r="A184" t="s">
        <v>310</v>
      </c>
      <c r="B184" s="183">
        <f>B173</f>
        <v>0.21433790117776957</v>
      </c>
      <c r="C184" s="184">
        <f t="shared" ref="C184" si="66">C173</f>
        <v>0.11230236783603029</v>
      </c>
      <c r="D184" s="194">
        <f>N173</f>
        <v>2.2708225875467336E-2</v>
      </c>
      <c r="X184" s="44"/>
    </row>
    <row r="185" spans="1:45" ht="48" x14ac:dyDescent="0.2">
      <c r="A185" t="s">
        <v>311</v>
      </c>
      <c r="B185" s="183">
        <f>B174</f>
        <v>5.2109631277813095E-2</v>
      </c>
      <c r="C185" s="184">
        <f>C174</f>
        <v>6.2030965340040392E-2</v>
      </c>
      <c r="D185" s="194">
        <f>N174</f>
        <v>5.7402972808573857E-2</v>
      </c>
      <c r="X185" s="44"/>
      <c r="AJ185" s="260" t="s">
        <v>325</v>
      </c>
      <c r="AK185" s="136" t="s">
        <v>1</v>
      </c>
      <c r="AL185" s="136" t="s">
        <v>180</v>
      </c>
      <c r="AM185" s="136" t="s">
        <v>181</v>
      </c>
      <c r="AN185" s="136" t="s">
        <v>326</v>
      </c>
      <c r="AO185" s="136" t="s">
        <v>327</v>
      </c>
      <c r="AP185" s="136" t="s">
        <v>328</v>
      </c>
      <c r="AQ185" s="136" t="s">
        <v>316</v>
      </c>
      <c r="AR185" s="136" t="s">
        <v>28</v>
      </c>
      <c r="AS185" s="263" t="s">
        <v>319</v>
      </c>
    </row>
    <row r="186" spans="1:45" x14ac:dyDescent="0.2">
      <c r="A186" s="131" t="s">
        <v>329</v>
      </c>
      <c r="B186" s="183">
        <f>'Demand Breakdown - Ethylene'!C37</f>
        <v>4.2210000000000004E-2</v>
      </c>
      <c r="C186" s="184">
        <f>(AH65*('Demand Breakdown - Ethylene'!C37-'Yearly HC Ethylene'!C178)/(SUM('Yearly HC Ethylene'!C177:C178,C175))+'Yearly HC Ethylene'!AH55)/'Yearly HC Ethylene'!AH84</f>
        <v>4.0963048325743046E-2</v>
      </c>
      <c r="D186" s="194">
        <f>((AH139-AH74)*('Demand Breakdown - Ethylene'!C37-'Yearly HC Ethylene'!N178)/(SUM('Yearly HC Ethylene'!N177:N178,N175))+'Yearly HC Ethylene'!AH115)/('Yearly HC Ethylene'!AH148-AH74)</f>
        <v>4.98426641589335E-2</v>
      </c>
      <c r="X186" s="44"/>
      <c r="AK186" s="143">
        <f>D12</f>
        <v>8.4778361655826675</v>
      </c>
      <c r="AL186" s="143">
        <f>AH12-D12</f>
        <v>5.5798423503108694</v>
      </c>
      <c r="AM186" s="143">
        <f>AH12</f>
        <v>14.057678515893537</v>
      </c>
      <c r="AN186" s="143">
        <f>AH13</f>
        <v>1.4057678515893537</v>
      </c>
      <c r="AO186" s="143">
        <f>-'Yearly LC Ethylene'!AH15</f>
        <v>-2.5514686506346771</v>
      </c>
      <c r="AP186" s="143">
        <f>-'Yearly LC Ethylene'!AH16</f>
        <v>-1.3557576602690624</v>
      </c>
      <c r="AQ186" s="44">
        <f>SUM(AM186:AP187)</f>
        <v>8.184802162308694</v>
      </c>
      <c r="AR186">
        <f>-'Yearly LC Ethylene'!AH18</f>
        <v>0</v>
      </c>
      <c r="AS186" s="44">
        <f>SUM(AQ186:AR187)</f>
        <v>8.184802162308694</v>
      </c>
    </row>
    <row r="187" spans="1:45" x14ac:dyDescent="0.2">
      <c r="A187" t="s">
        <v>312</v>
      </c>
      <c r="B187" s="183">
        <f>B175</f>
        <v>3.6272535773636247E-2</v>
      </c>
      <c r="C187" s="184">
        <f>C175</f>
        <v>5.5388862440239023E-2</v>
      </c>
      <c r="D187" s="194">
        <f>N175</f>
        <v>6.4089357953036427E-2</v>
      </c>
      <c r="X187" s="44"/>
      <c r="AN187" s="44"/>
      <c r="AO187" s="44">
        <f>-(AH15+AO186)</f>
        <v>-2.5514686506346771</v>
      </c>
      <c r="AP187" s="44">
        <f>-(AH16+AP186)</f>
        <v>-0.81994924363578048</v>
      </c>
      <c r="AR187">
        <f>-(AH18+AR186)</f>
        <v>0</v>
      </c>
    </row>
    <row r="188" spans="1:45" x14ac:dyDescent="0.2">
      <c r="A188" t="s">
        <v>248</v>
      </c>
      <c r="B188" s="183">
        <f>B177+B178-B186</f>
        <v>0.10734928371867369</v>
      </c>
      <c r="C188" s="184">
        <f>C177+C178-C186</f>
        <v>0.16538311493796501</v>
      </c>
      <c r="D188" s="194">
        <f>N177+N178-D186</f>
        <v>0.18918322418941852</v>
      </c>
      <c r="X188" s="44"/>
      <c r="AJ188" s="142"/>
      <c r="AK188" s="136"/>
      <c r="AL188" s="136"/>
      <c r="AM188" s="136"/>
      <c r="AN188" s="136"/>
      <c r="AO188" s="136"/>
      <c r="AP188" s="136"/>
    </row>
    <row r="189" spans="1:45" ht="49" thickBot="1" x14ac:dyDescent="0.25">
      <c r="A189" t="s">
        <v>321</v>
      </c>
      <c r="B189" s="183">
        <f>B179</f>
        <v>0</v>
      </c>
      <c r="C189" s="184">
        <f t="shared" ref="C189" si="67">C179</f>
        <v>0.17960861635067638</v>
      </c>
      <c r="D189" s="194">
        <f>N179</f>
        <v>0.20782157996416173</v>
      </c>
      <c r="X189" s="44"/>
      <c r="AJ189" s="260" t="s">
        <v>330</v>
      </c>
      <c r="AK189" s="136" t="s">
        <v>1</v>
      </c>
      <c r="AL189" s="136" t="s">
        <v>180</v>
      </c>
      <c r="AM189" s="136" t="s">
        <v>181</v>
      </c>
      <c r="AN189" s="136" t="s">
        <v>331</v>
      </c>
      <c r="AO189" s="136" t="s">
        <v>332</v>
      </c>
      <c r="AP189" s="136" t="s">
        <v>316</v>
      </c>
      <c r="AQ189" s="136" t="s">
        <v>28</v>
      </c>
      <c r="AR189" s="263" t="s">
        <v>319</v>
      </c>
    </row>
    <row r="190" spans="1:45" ht="16" thickBot="1" x14ac:dyDescent="0.25">
      <c r="A190" s="185" t="s">
        <v>67</v>
      </c>
      <c r="B190" s="251">
        <f>SUM(B183:B189)</f>
        <v>1</v>
      </c>
      <c r="C190" s="252">
        <f>SUM(C183:C189)</f>
        <v>0.99999999999999989</v>
      </c>
      <c r="D190" s="253">
        <f>SUM(D183:D189)</f>
        <v>1</v>
      </c>
      <c r="E190" s="188"/>
      <c r="F190" s="188"/>
      <c r="G190" s="188"/>
      <c r="H190" s="188"/>
      <c r="I190" s="188"/>
      <c r="J190" s="188"/>
      <c r="K190" s="188"/>
      <c r="L190" s="188"/>
      <c r="M190" s="188"/>
      <c r="X190" s="44"/>
      <c r="AK190" s="143">
        <f>D50</f>
        <v>3.4336211538461541</v>
      </c>
      <c r="AL190" s="143">
        <f>AH50-D50</f>
        <v>2.9714600261895505</v>
      </c>
      <c r="AM190" s="143">
        <f>AH50</f>
        <v>6.4050811800357046</v>
      </c>
      <c r="AN190" s="143">
        <f>-'Yearly LC Ethylene'!AH51</f>
        <v>-0.80063514750446307</v>
      </c>
      <c r="AO190" s="143">
        <f>-'Yearly LC Ethylene'!AH52</f>
        <v>-1.0888638006060698</v>
      </c>
      <c r="AP190" s="143">
        <f>SUM(AM190:AO191)</f>
        <v>2.626083283814638</v>
      </c>
      <c r="AQ190" s="43">
        <f>-'Yearly LC Ethylene'!AH54</f>
        <v>-0.64050811800357055</v>
      </c>
      <c r="AR190" s="44">
        <f>SUM(AP190:AQ191)</f>
        <v>1.3450670478074969</v>
      </c>
    </row>
    <row r="191" spans="1:45" ht="16" thickBot="1" x14ac:dyDescent="0.25">
      <c r="AN191" s="44">
        <f>-(AH51+AN190)</f>
        <v>-0.80063514750446307</v>
      </c>
      <c r="AO191" s="44">
        <f>-(AH52+AO190)</f>
        <v>-1.0888638006060698</v>
      </c>
      <c r="AP191" s="44"/>
      <c r="AQ191" s="43">
        <f>-(AH54+AQ190)</f>
        <v>-0.64050811800357055</v>
      </c>
    </row>
    <row r="192" spans="1:45" ht="49" thickBot="1" x14ac:dyDescent="0.25">
      <c r="A192" s="250" t="s">
        <v>333</v>
      </c>
      <c r="B192" s="254">
        <v>2020</v>
      </c>
      <c r="C192" s="186" t="s">
        <v>334</v>
      </c>
      <c r="D192" s="186" t="s">
        <v>282</v>
      </c>
      <c r="E192" s="188"/>
      <c r="F192" s="188"/>
      <c r="G192" s="188"/>
      <c r="H192" s="188"/>
      <c r="I192" s="188"/>
      <c r="J192" s="188"/>
      <c r="K192" s="188"/>
      <c r="L192" s="188"/>
      <c r="M192" s="188"/>
      <c r="N192" s="255" t="s">
        <v>292</v>
      </c>
    </row>
    <row r="193" spans="1:47" ht="48" x14ac:dyDescent="0.2">
      <c r="A193" t="s">
        <v>321</v>
      </c>
      <c r="B193" s="183">
        <f>B189</f>
        <v>0</v>
      </c>
      <c r="C193" s="183">
        <f>0</f>
        <v>0</v>
      </c>
      <c r="D193" s="184">
        <f>C189</f>
        <v>0.17960861635067638</v>
      </c>
      <c r="N193" s="194">
        <f>D189</f>
        <v>0.20782157996416173</v>
      </c>
      <c r="AJ193" s="260" t="s">
        <v>335</v>
      </c>
      <c r="AK193" s="136" t="s">
        <v>1</v>
      </c>
      <c r="AL193" s="136" t="s">
        <v>180</v>
      </c>
      <c r="AM193" s="136" t="s">
        <v>181</v>
      </c>
      <c r="AN193" s="136" t="s">
        <v>183</v>
      </c>
      <c r="AO193" s="136" t="s">
        <v>28</v>
      </c>
      <c r="AP193" s="263" t="s">
        <v>319</v>
      </c>
    </row>
    <row r="194" spans="1:47" x14ac:dyDescent="0.2">
      <c r="A194" t="s">
        <v>248</v>
      </c>
      <c r="B194" s="183">
        <f>B188</f>
        <v>0.10734928371867369</v>
      </c>
      <c r="C194" s="183">
        <f>'Demand Breakdown - Ethylene'!N68+'Demand Breakdown - Ethylene'!N69-C196</f>
        <v>0.10977903437623246</v>
      </c>
      <c r="D194" s="184">
        <f>C188</f>
        <v>0.16538311493796501</v>
      </c>
      <c r="N194" s="194">
        <f>D188</f>
        <v>0.18918322418941852</v>
      </c>
      <c r="AK194" s="143">
        <f>D62</f>
        <v>26.799786402018107</v>
      </c>
      <c r="AL194" s="143">
        <f>AH62-D62</f>
        <v>14.68783162925542</v>
      </c>
      <c r="AM194" s="143">
        <f>AH62</f>
        <v>41.487618031273527</v>
      </c>
      <c r="AN194" s="143">
        <f>-'Yearly LC Ethylene'!AH63</f>
        <v>-3.1115713523455146</v>
      </c>
      <c r="AO194" s="43">
        <f>-'Yearly LC Ethylene'!AH64</f>
        <v>-1.0371904507818381</v>
      </c>
      <c r="AP194" s="44">
        <f>SUM(AM194:AO195)</f>
        <v>33.190094425018827</v>
      </c>
    </row>
    <row r="195" spans="1:47" x14ac:dyDescent="0.2">
      <c r="A195" t="s">
        <v>312</v>
      </c>
      <c r="B195" s="183">
        <f>B187</f>
        <v>3.6272535773636247E-2</v>
      </c>
      <c r="C195" s="183">
        <f>'Demand Breakdown - Ethylene'!N66</f>
        <v>3.5825472334785662E-2</v>
      </c>
      <c r="D195" s="184">
        <f>C187</f>
        <v>5.5388862440239023E-2</v>
      </c>
      <c r="N195" s="194">
        <f>D187</f>
        <v>6.4089357953036427E-2</v>
      </c>
      <c r="AN195" s="44">
        <f>-(AH63+AN194)</f>
        <v>-3.1115713523455146</v>
      </c>
      <c r="AO195" s="43">
        <f>-(AH64+AO194)</f>
        <v>-1.0371904507818381</v>
      </c>
    </row>
    <row r="196" spans="1:47" x14ac:dyDescent="0.2">
      <c r="A196" s="131" t="s">
        <v>329</v>
      </c>
      <c r="B196" s="183">
        <f>B186</f>
        <v>4.2210000000000004E-2</v>
      </c>
      <c r="C196" s="183">
        <f>('Demand Breakdown - Ethylene'!M68*('Demand Breakdown - Ethylene'!C37-'Demand Breakdown - Ethylene'!N69)/('Demand Breakdown - Ethylene'!N68)+'Demand Breakdown - Ethylene'!M69)/'Demand Breakdown - Ethylene'!M70</f>
        <v>4.2210000000000004E-2</v>
      </c>
      <c r="D196" s="184">
        <f>C186</f>
        <v>4.0963048325743046E-2</v>
      </c>
      <c r="N196" s="194">
        <f>D186</f>
        <v>4.98426641589335E-2</v>
      </c>
    </row>
    <row r="197" spans="1:47" ht="48" x14ac:dyDescent="0.2">
      <c r="A197" t="s">
        <v>311</v>
      </c>
      <c r="B197" s="183">
        <f>B185</f>
        <v>5.2109631277813095E-2</v>
      </c>
      <c r="C197" s="183">
        <f>'Demand Breakdown - Ethylene'!N65</f>
        <v>5.5128151042719585E-2</v>
      </c>
      <c r="D197" s="184">
        <f>C185</f>
        <v>6.2030965340040392E-2</v>
      </c>
      <c r="N197" s="194">
        <f>D185</f>
        <v>5.7402972808573857E-2</v>
      </c>
      <c r="AJ197" s="138" t="s">
        <v>336</v>
      </c>
      <c r="AK197" s="139" t="s">
        <v>1</v>
      </c>
      <c r="AL197" s="139" t="s">
        <v>180</v>
      </c>
      <c r="AM197" s="139" t="s">
        <v>181</v>
      </c>
      <c r="AN197" s="139" t="s">
        <v>337</v>
      </c>
      <c r="AO197" s="263" t="s">
        <v>308</v>
      </c>
      <c r="AP197" s="139" t="s">
        <v>338</v>
      </c>
      <c r="AQ197" s="139" t="s">
        <v>339</v>
      </c>
      <c r="AR197" s="139" t="s">
        <v>340</v>
      </c>
      <c r="AS197" s="139" t="s">
        <v>341</v>
      </c>
      <c r="AT197" s="139" t="s">
        <v>342</v>
      </c>
      <c r="AU197" s="139" t="s">
        <v>184</v>
      </c>
    </row>
    <row r="198" spans="1:47" x14ac:dyDescent="0.2">
      <c r="A198" t="s">
        <v>310</v>
      </c>
      <c r="B198" s="183">
        <f>B184</f>
        <v>0.21433790117776957</v>
      </c>
      <c r="C198" s="183">
        <f>'Demand Breakdown - Ethylene'!N64</f>
        <v>0.22675370944984116</v>
      </c>
      <c r="D198" s="184">
        <f>C184</f>
        <v>0.11230236783603029</v>
      </c>
      <c r="N198" s="194">
        <f>D184</f>
        <v>2.2708225875467336E-2</v>
      </c>
      <c r="AK198" s="140">
        <f>D4</f>
        <v>162.69230769230768</v>
      </c>
      <c r="AL198" s="140">
        <f>AH4-D4</f>
        <v>92.307692307692321</v>
      </c>
      <c r="AM198" s="140">
        <f>AH4</f>
        <v>255</v>
      </c>
      <c r="AN198" s="140">
        <f>AH83-AH82-AH81</f>
        <v>-123.05296165485464</v>
      </c>
      <c r="AO198" s="140">
        <f>SUM(AM198:AN198)</f>
        <v>131.94703834514536</v>
      </c>
      <c r="AP198" s="140">
        <f>AH95-AH92</f>
        <v>-10.087453917259644</v>
      </c>
      <c r="AQ198" s="140">
        <f>AH127-AH122</f>
        <v>-12.562266177025691</v>
      </c>
      <c r="AR198" s="140">
        <f>AH105-AH102</f>
        <v>-2.4827358959029091</v>
      </c>
      <c r="AS198" s="140">
        <f>IF(AH115-AH112&lt;AH112,-AH112,-(AH115-AH112))</f>
        <v>-1.3450670478074978</v>
      </c>
      <c r="AT198" s="44">
        <f>AH139-AH134</f>
        <v>-7.333701671152312</v>
      </c>
      <c r="AU198" s="137" t="s">
        <v>167</v>
      </c>
    </row>
    <row r="199" spans="1:47" ht="16" thickBot="1" x14ac:dyDescent="0.25">
      <c r="A199" t="s">
        <v>324</v>
      </c>
      <c r="B199" s="183">
        <f>B183</f>
        <v>0.54772064805210752</v>
      </c>
      <c r="C199" s="183">
        <f>'Demand Breakdown - Ethylene'!N63+'Demand Breakdown - Ethylene'!N67</f>
        <v>0.53030363279642112</v>
      </c>
      <c r="D199" s="184">
        <f>C183</f>
        <v>0.3843230247693058</v>
      </c>
      <c r="N199" s="194">
        <f>D183</f>
        <v>0.4089519750504087</v>
      </c>
      <c r="AJ199" s="137"/>
    </row>
    <row r="200" spans="1:47" ht="16" thickBot="1" x14ac:dyDescent="0.25">
      <c r="A200" s="185" t="s">
        <v>67</v>
      </c>
      <c r="B200" s="251">
        <f>SUM(B193:B199)</f>
        <v>1</v>
      </c>
      <c r="C200" s="251">
        <f>SUM(C193:C199)</f>
        <v>1</v>
      </c>
      <c r="D200" s="252">
        <f>SUM(D193:D199)</f>
        <v>0.99999999999999989</v>
      </c>
      <c r="N200" s="253">
        <f>SUM(N193:N199)</f>
        <v>1</v>
      </c>
    </row>
    <row r="201" spans="1:47" ht="97" thickBot="1" x14ac:dyDescent="0.25">
      <c r="AJ201" s="142" t="s">
        <v>343</v>
      </c>
      <c r="AK201" s="139" t="s">
        <v>1</v>
      </c>
      <c r="AL201" s="139" t="s">
        <v>180</v>
      </c>
      <c r="AM201" s="139" t="s">
        <v>181</v>
      </c>
      <c r="AN201" s="139" t="s">
        <v>344</v>
      </c>
      <c r="AO201" s="263" t="s">
        <v>308</v>
      </c>
      <c r="AP201" s="139" t="s">
        <v>345</v>
      </c>
      <c r="AQ201" s="139" t="s">
        <v>346</v>
      </c>
      <c r="AR201" s="139" t="s">
        <v>347</v>
      </c>
      <c r="AS201" s="139" t="s">
        <v>184</v>
      </c>
    </row>
    <row r="202" spans="1:47" ht="49" thickBot="1" x14ac:dyDescent="0.25">
      <c r="A202" s="250" t="s">
        <v>333</v>
      </c>
      <c r="B202" s="254">
        <v>2020</v>
      </c>
      <c r="C202" s="186" t="s">
        <v>334</v>
      </c>
      <c r="D202" s="186" t="s">
        <v>282</v>
      </c>
      <c r="E202" s="188"/>
      <c r="F202" s="188"/>
      <c r="G202" s="188"/>
      <c r="H202" s="188"/>
      <c r="I202" s="188"/>
      <c r="J202" s="188"/>
      <c r="K202" s="188"/>
      <c r="L202" s="188"/>
      <c r="M202" s="188"/>
      <c r="N202" s="255" t="s">
        <v>292</v>
      </c>
      <c r="AK202" s="140">
        <f>D26</f>
        <v>89.109936202323638</v>
      </c>
      <c r="AL202" s="140">
        <f>AH26-D26</f>
        <v>46.117490160763936</v>
      </c>
      <c r="AM202" s="140" t="s">
        <v>167</v>
      </c>
      <c r="AN202" s="140">
        <f>AH33-AH26</f>
        <v>-84.517141476929723</v>
      </c>
      <c r="AO202" s="143" t="s">
        <v>167</v>
      </c>
      <c r="AP202" s="143">
        <f>-AH93</f>
        <v>-10.059456211326065</v>
      </c>
      <c r="AQ202" s="268">
        <f>-AH94</f>
        <v>-2.7997705933581002E-2</v>
      </c>
      <c r="AR202" s="143">
        <f>SUM(AP202:AQ202)</f>
        <v>-10.087453917259646</v>
      </c>
      <c r="AS202" s="143" t="s">
        <v>167</v>
      </c>
    </row>
    <row r="203" spans="1:47" x14ac:dyDescent="0.2">
      <c r="A203" t="s">
        <v>321</v>
      </c>
      <c r="B203" s="261">
        <f>$D$4*B193</f>
        <v>0</v>
      </c>
      <c r="C203" s="261">
        <f>$AH$4*C193</f>
        <v>0</v>
      </c>
      <c r="D203" s="184"/>
      <c r="N203" s="194"/>
    </row>
    <row r="204" spans="1:47" x14ac:dyDescent="0.2">
      <c r="A204" t="s">
        <v>248</v>
      </c>
      <c r="B204" s="261">
        <f>$D$4*B194</f>
        <v>17.464902697307295</v>
      </c>
      <c r="C204" s="261">
        <f t="shared" ref="C204:C209" si="68">$AH$4*C194</f>
        <v>27.993653765939278</v>
      </c>
      <c r="D204" s="184"/>
      <c r="N204" s="194"/>
    </row>
    <row r="205" spans="1:47" ht="96" x14ac:dyDescent="0.2">
      <c r="A205" t="s">
        <v>312</v>
      </c>
      <c r="B205" s="261">
        <f t="shared" ref="B205:B209" si="69">$D$4*B195</f>
        <v>5.9012625508646659</v>
      </c>
      <c r="C205" s="261">
        <f t="shared" si="68"/>
        <v>9.1354954453703439</v>
      </c>
      <c r="D205" s="184"/>
      <c r="N205" s="194"/>
      <c r="AJ205" s="142" t="s">
        <v>348</v>
      </c>
      <c r="AK205" s="139" t="s">
        <v>1</v>
      </c>
      <c r="AL205" s="139" t="s">
        <v>180</v>
      </c>
      <c r="AM205" s="139" t="s">
        <v>181</v>
      </c>
      <c r="AN205" s="139" t="s">
        <v>344</v>
      </c>
      <c r="AO205" s="263" t="s">
        <v>308</v>
      </c>
      <c r="AP205" s="139" t="s">
        <v>345</v>
      </c>
      <c r="AQ205" s="139" t="s">
        <v>349</v>
      </c>
      <c r="AR205" s="139" t="s">
        <v>350</v>
      </c>
      <c r="AS205" s="139" t="s">
        <v>351</v>
      </c>
      <c r="AT205" s="139" t="s">
        <v>352</v>
      </c>
      <c r="AU205" s="139" t="s">
        <v>184</v>
      </c>
    </row>
    <row r="206" spans="1:47" ht="16" x14ac:dyDescent="0.2">
      <c r="A206" s="131" t="s">
        <v>329</v>
      </c>
      <c r="B206" s="261">
        <f t="shared" si="69"/>
        <v>6.8672423076923081</v>
      </c>
      <c r="C206" s="261">
        <f t="shared" si="68"/>
        <v>10.76355</v>
      </c>
      <c r="D206" s="184"/>
      <c r="N206" s="194"/>
      <c r="AK206" s="143">
        <f>D40</f>
        <v>34.871127768537121</v>
      </c>
      <c r="AL206" s="143">
        <f>AH40-D40</f>
        <v>22.951068141172534</v>
      </c>
      <c r="AM206" s="143" t="s">
        <v>167</v>
      </c>
      <c r="AN206" s="143">
        <f>AH43-AH40</f>
        <v>-43.004231074598344</v>
      </c>
      <c r="AO206" s="143" t="s">
        <v>167</v>
      </c>
      <c r="AP206" s="143">
        <f>-AH123</f>
        <v>-4.9293742662870192</v>
      </c>
      <c r="AQ206" s="143">
        <f>-AH124</f>
        <v>-7.3623128245095293</v>
      </c>
      <c r="AR206" s="44">
        <f>-AH126</f>
        <v>-0.113120203215491</v>
      </c>
      <c r="AS206" s="44">
        <f>-AH125</f>
        <v>-0.15745888301365291</v>
      </c>
      <c r="AT206" s="143">
        <f>SUM(AP206:AS206)</f>
        <v>-12.562266177025693</v>
      </c>
      <c r="AU206" t="s">
        <v>167</v>
      </c>
    </row>
    <row r="207" spans="1:47" x14ac:dyDescent="0.2">
      <c r="A207" t="s">
        <v>311</v>
      </c>
      <c r="B207" s="261">
        <f t="shared" si="69"/>
        <v>8.4778361655826675</v>
      </c>
      <c r="C207" s="261">
        <f t="shared" si="68"/>
        <v>14.057678515893494</v>
      </c>
      <c r="D207" s="184"/>
      <c r="N207" s="194"/>
    </row>
    <row r="208" spans="1:47" ht="32" x14ac:dyDescent="0.2">
      <c r="A208" t="s">
        <v>310</v>
      </c>
      <c r="B208" s="261">
        <f t="shared" si="69"/>
        <v>34.871127768537121</v>
      </c>
      <c r="C208" s="261">
        <f t="shared" si="68"/>
        <v>57.8221959097095</v>
      </c>
      <c r="D208" s="184"/>
      <c r="N208" s="194"/>
      <c r="AJ208" s="142" t="s">
        <v>353</v>
      </c>
      <c r="AK208" s="139" t="s">
        <v>1</v>
      </c>
      <c r="AL208" s="139" t="s">
        <v>180</v>
      </c>
      <c r="AM208" s="139" t="s">
        <v>181</v>
      </c>
      <c r="AN208" s="139" t="s">
        <v>344</v>
      </c>
      <c r="AO208" s="263" t="s">
        <v>308</v>
      </c>
      <c r="AP208" s="139" t="s">
        <v>345</v>
      </c>
      <c r="AQ208" s="139" t="s">
        <v>184</v>
      </c>
      <c r="AR208" s="139"/>
      <c r="AS208" s="139"/>
      <c r="AT208" s="139"/>
    </row>
    <row r="209" spans="1:47" ht="17" thickBot="1" x14ac:dyDescent="0.25">
      <c r="A209" t="s">
        <v>324</v>
      </c>
      <c r="B209" s="261">
        <f t="shared" si="69"/>
        <v>89.109936202323638</v>
      </c>
      <c r="C209" s="261">
        <f t="shared" si="68"/>
        <v>135.22742636308737</v>
      </c>
      <c r="D209" s="184"/>
      <c r="N209" s="194"/>
      <c r="AK209" s="143">
        <f>D12</f>
        <v>8.4778361655826675</v>
      </c>
      <c r="AL209" s="143">
        <f>AH12-D12</f>
        <v>5.5798423503108694</v>
      </c>
      <c r="AM209" s="143" t="s">
        <v>167</v>
      </c>
      <c r="AN209" s="143">
        <f>AH19-AH12</f>
        <v>-5.8728763535848429</v>
      </c>
      <c r="AO209" s="143" t="s">
        <v>167</v>
      </c>
      <c r="AP209" s="143">
        <f>-AH103</f>
        <v>-1.1730298546609266</v>
      </c>
      <c r="AQ209" t="s">
        <v>167</v>
      </c>
      <c r="AR209" s="44"/>
      <c r="AS209" s="44"/>
      <c r="AT209" s="143"/>
    </row>
    <row r="210" spans="1:47" ht="16" thickBot="1" x14ac:dyDescent="0.25">
      <c r="A210" s="185" t="s">
        <v>67</v>
      </c>
      <c r="B210" s="264">
        <f>SUM(B203:B209)</f>
        <v>162.69230769230768</v>
      </c>
      <c r="C210" s="264">
        <f>SUM(C203:C209)</f>
        <v>255</v>
      </c>
      <c r="D210" s="252"/>
      <c r="N210" s="253"/>
    </row>
    <row r="211" spans="1:47" ht="80" x14ac:dyDescent="0.2">
      <c r="AJ211" s="142" t="s">
        <v>354</v>
      </c>
      <c r="AK211" s="139" t="s">
        <v>1</v>
      </c>
      <c r="AL211" s="139" t="s">
        <v>180</v>
      </c>
      <c r="AM211" s="139" t="s">
        <v>181</v>
      </c>
      <c r="AN211" s="139" t="s">
        <v>344</v>
      </c>
      <c r="AO211" s="263" t="s">
        <v>308</v>
      </c>
      <c r="AP211" s="139" t="s">
        <v>345</v>
      </c>
      <c r="AQ211" s="139" t="s">
        <v>355</v>
      </c>
      <c r="AR211" s="139" t="s">
        <v>356</v>
      </c>
      <c r="AS211" s="139" t="s">
        <v>184</v>
      </c>
    </row>
    <row r="212" spans="1:47" ht="16" x14ac:dyDescent="0.2">
      <c r="A212" s="1" t="s">
        <v>357</v>
      </c>
      <c r="D212" s="1">
        <v>2020</v>
      </c>
      <c r="E212" s="1">
        <f>D212+1</f>
        <v>2021</v>
      </c>
      <c r="F212" s="1">
        <f t="shared" ref="F212" si="70">E212+1</f>
        <v>2022</v>
      </c>
      <c r="G212" s="1">
        <f t="shared" ref="G212" si="71">F212+1</f>
        <v>2023</v>
      </c>
      <c r="H212" s="1">
        <f t="shared" ref="H212" si="72">G212+1</f>
        <v>2024</v>
      </c>
      <c r="I212" s="1">
        <f t="shared" ref="I212" si="73">H212+1</f>
        <v>2025</v>
      </c>
      <c r="J212" s="1">
        <f t="shared" ref="J212" si="74">I212+1</f>
        <v>2026</v>
      </c>
      <c r="K212" s="1">
        <f t="shared" ref="K212" si="75">J212+1</f>
        <v>2027</v>
      </c>
      <c r="L212" s="1">
        <f t="shared" ref="L212" si="76">K212+1</f>
        <v>2028</v>
      </c>
      <c r="M212" s="1">
        <f t="shared" ref="M212" si="77">L212+1</f>
        <v>2029</v>
      </c>
      <c r="N212" s="1">
        <f t="shared" ref="N212" si="78">M212+1</f>
        <v>2030</v>
      </c>
      <c r="O212" s="1">
        <f t="shared" ref="O212" si="79">N212+1</f>
        <v>2031</v>
      </c>
      <c r="P212" s="1">
        <f t="shared" ref="P212" si="80">O212+1</f>
        <v>2032</v>
      </c>
      <c r="Q212" s="1">
        <f t="shared" ref="Q212" si="81">P212+1</f>
        <v>2033</v>
      </c>
      <c r="R212" s="1">
        <f>Q212+1</f>
        <v>2034</v>
      </c>
      <c r="S212" s="1">
        <f t="shared" ref="S212" si="82">R212+1</f>
        <v>2035</v>
      </c>
      <c r="T212" s="1">
        <f t="shared" ref="T212" si="83">S212+1</f>
        <v>2036</v>
      </c>
      <c r="U212" s="1">
        <f t="shared" ref="U212" si="84">T212+1</f>
        <v>2037</v>
      </c>
      <c r="V212" s="1">
        <f t="shared" ref="V212" si="85">U212+1</f>
        <v>2038</v>
      </c>
      <c r="W212" s="1">
        <f t="shared" ref="W212" si="86">V212+1</f>
        <v>2039</v>
      </c>
      <c r="X212" s="1">
        <f t="shared" ref="X212" si="87">W212+1</f>
        <v>2040</v>
      </c>
      <c r="Y212" s="1">
        <f t="shared" ref="Y212" si="88">X212+1</f>
        <v>2041</v>
      </c>
      <c r="Z212" s="1">
        <f t="shared" ref="Z212" si="89">Y212+1</f>
        <v>2042</v>
      </c>
      <c r="AA212" s="1">
        <f t="shared" ref="AA212" si="90">Z212+1</f>
        <v>2043</v>
      </c>
      <c r="AB212" s="1">
        <f t="shared" ref="AB212" si="91">AA212+1</f>
        <v>2044</v>
      </c>
      <c r="AC212" s="1">
        <f>AB212+1</f>
        <v>2045</v>
      </c>
      <c r="AD212" s="1">
        <f t="shared" ref="AD212" si="92">AC212+1</f>
        <v>2046</v>
      </c>
      <c r="AE212" s="1">
        <f t="shared" ref="AE212" si="93">AD212+1</f>
        <v>2047</v>
      </c>
      <c r="AF212" s="1">
        <f t="shared" ref="AF212" si="94">AE212+1</f>
        <v>2048</v>
      </c>
      <c r="AG212" s="1">
        <f>AF212+1</f>
        <v>2049</v>
      </c>
      <c r="AH212" s="1">
        <f t="shared" ref="AH212" si="95">AG212+1</f>
        <v>2050</v>
      </c>
      <c r="AK212" s="143">
        <f>D50</f>
        <v>3.4336211538461541</v>
      </c>
      <c r="AL212" s="143">
        <f>AH50-D50</f>
        <v>2.9714600261895505</v>
      </c>
      <c r="AM212" s="143" t="s">
        <v>167</v>
      </c>
      <c r="AN212" s="143">
        <f>AH55-AH50</f>
        <v>-5.0600141322282068</v>
      </c>
      <c r="AO212" s="143" t="s">
        <v>167</v>
      </c>
      <c r="AP212" s="143">
        <f>-AH113</f>
        <v>-0.35336780088209818</v>
      </c>
      <c r="AQ212" s="269">
        <f>-AH114</f>
        <v>0.20647606257855378</v>
      </c>
      <c r="AR212" s="143">
        <f>SUM(AP212:AQ212)</f>
        <v>-0.14689173830354441</v>
      </c>
      <c r="AS212" t="s">
        <v>167</v>
      </c>
    </row>
    <row r="213" spans="1:47" x14ac:dyDescent="0.2">
      <c r="C213" t="s">
        <v>168</v>
      </c>
      <c r="D213" s="44">
        <f t="shared" ref="D213:AH213" si="96">D81</f>
        <v>0</v>
      </c>
      <c r="E213" s="44">
        <f t="shared" si="96"/>
        <v>1.536629370398227</v>
      </c>
      <c r="F213" s="44">
        <f t="shared" si="96"/>
        <v>3.1378748325882846</v>
      </c>
      <c r="G213" s="44">
        <f t="shared" si="96"/>
        <v>4.8058553576172116</v>
      </c>
      <c r="H213" s="44">
        <f t="shared" si="96"/>
        <v>6.5427536949323617</v>
      </c>
      <c r="I213" s="44">
        <f t="shared" si="96"/>
        <v>8.3508182176378458</v>
      </c>
      <c r="J213" s="44">
        <f t="shared" si="96"/>
        <v>10.217469827567287</v>
      </c>
      <c r="K213" s="44">
        <f t="shared" si="96"/>
        <v>12.154211139074649</v>
      </c>
      <c r="L213" s="44">
        <f t="shared" si="96"/>
        <v>14.163118058249779</v>
      </c>
      <c r="M213" s="44">
        <f t="shared" si="96"/>
        <v>16.24632257664706</v>
      </c>
      <c r="N213" s="44">
        <f t="shared" si="96"/>
        <v>18.406014218163605</v>
      </c>
      <c r="O213" s="44">
        <f t="shared" si="96"/>
        <v>21.676808060647105</v>
      </c>
      <c r="P213" s="44">
        <f t="shared" si="96"/>
        <v>25.036356409643663</v>
      </c>
      <c r="Q213" s="44">
        <f t="shared" si="96"/>
        <v>28.486535597029693</v>
      </c>
      <c r="R213" s="44">
        <f t="shared" si="96"/>
        <v>32.029257724360271</v>
      </c>
      <c r="S213" s="44">
        <f t="shared" si="96"/>
        <v>35.66647130542372</v>
      </c>
      <c r="T213" s="44">
        <f t="shared" si="96"/>
        <v>39.388631859985964</v>
      </c>
      <c r="U213" s="44">
        <f t="shared" si="96"/>
        <v>43.207567935326288</v>
      </c>
      <c r="V213" s="44">
        <f t="shared" si="96"/>
        <v>47.125285993971872</v>
      </c>
      <c r="W213" s="44">
        <f t="shared" si="96"/>
        <v>51.143830349675852</v>
      </c>
      <c r="X213" s="44">
        <f t="shared" si="96"/>
        <v>55.265283843432556</v>
      </c>
      <c r="Y213" s="44">
        <f t="shared" si="96"/>
        <v>59.784910861707516</v>
      </c>
      <c r="Z213" s="44">
        <f t="shared" si="96"/>
        <v>64.415322852446096</v>
      </c>
      <c r="AA213" s="44">
        <f t="shared" si="96"/>
        <v>69.158648853034379</v>
      </c>
      <c r="AB213" s="44">
        <f t="shared" si="96"/>
        <v>74.01705345396455</v>
      </c>
      <c r="AC213" s="44">
        <f t="shared" si="96"/>
        <v>78.992737312011329</v>
      </c>
      <c r="AD213" s="44">
        <f t="shared" si="96"/>
        <v>84.071040960058355</v>
      </c>
      <c r="AE213" s="44">
        <f t="shared" si="96"/>
        <v>89.269441331294743</v>
      </c>
      <c r="AF213" s="44">
        <f t="shared" si="96"/>
        <v>94.590203155583168</v>
      </c>
      <c r="AG213" s="44">
        <f t="shared" si="96"/>
        <v>100.03562839627524</v>
      </c>
      <c r="AH213" s="44">
        <f t="shared" si="96"/>
        <v>105.6080567761972</v>
      </c>
    </row>
    <row r="214" spans="1:47" ht="96" x14ac:dyDescent="0.2">
      <c r="C214" t="s">
        <v>172</v>
      </c>
      <c r="D214" s="44">
        <f t="shared" ref="D214:AH214" si="97">D82</f>
        <v>0</v>
      </c>
      <c r="E214" s="44">
        <f t="shared" si="97"/>
        <v>0.88032096302665375</v>
      </c>
      <c r="F214" s="44">
        <f t="shared" si="97"/>
        <v>1.7923715721163194</v>
      </c>
      <c r="G214" s="44">
        <f t="shared" si="97"/>
        <v>2.7370689034583591</v>
      </c>
      <c r="H214" s="44">
        <f t="shared" si="97"/>
        <v>3.7153551448618489</v>
      </c>
      <c r="I214" s="44">
        <f t="shared" si="97"/>
        <v>4.7281982763014065</v>
      </c>
      <c r="J214" s="44">
        <f t="shared" si="97"/>
        <v>5.7716277714562478</v>
      </c>
      <c r="K214" s="44">
        <f t="shared" si="97"/>
        <v>6.8497043932258856</v>
      </c>
      <c r="L214" s="44">
        <f t="shared" si="97"/>
        <v>7.9633507888078139</v>
      </c>
      <c r="M214" s="44">
        <f t="shared" si="97"/>
        <v>9.1135124907166087</v>
      </c>
      <c r="N214" s="44">
        <f t="shared" si="97"/>
        <v>10.301158469973473</v>
      </c>
      <c r="O214" s="44">
        <f t="shared" si="97"/>
        <v>11.489653821159925</v>
      </c>
      <c r="P214" s="44">
        <f t="shared" si="97"/>
        <v>12.339951903720573</v>
      </c>
      <c r="Q214" s="44">
        <f t="shared" si="97"/>
        <v>13.625205994608486</v>
      </c>
      <c r="R214" s="44">
        <f t="shared" si="97"/>
        <v>14.944056090340322</v>
      </c>
      <c r="S214" s="44">
        <f t="shared" si="97"/>
        <v>16.297204430567216</v>
      </c>
      <c r="T214" s="44">
        <f t="shared" si="97"/>
        <v>17.681523390035366</v>
      </c>
      <c r="U214" s="44">
        <f t="shared" si="97"/>
        <v>19.101010847302735</v>
      </c>
      <c r="V214" s="44">
        <f t="shared" si="97"/>
        <v>20.556391842947328</v>
      </c>
      <c r="W214" s="44">
        <f t="shared" si="97"/>
        <v>22.048405254635831</v>
      </c>
      <c r="X214" s="44">
        <f t="shared" si="97"/>
        <v>23.577804053004886</v>
      </c>
      <c r="Y214" s="44">
        <f t="shared" si="97"/>
        <v>26.471498881771154</v>
      </c>
      <c r="Z214" s="44">
        <f t="shared" si="97"/>
        <v>28.095962957034189</v>
      </c>
      <c r="AA214" s="44">
        <f t="shared" si="97"/>
        <v>29.759942891463062</v>
      </c>
      <c r="AB214" s="44">
        <f t="shared" si="97"/>
        <v>31.464239500316712</v>
      </c>
      <c r="AC214" s="44">
        <f t="shared" si="97"/>
        <v>33.209668791575169</v>
      </c>
      <c r="AD214" s="44">
        <f t="shared" si="97"/>
        <v>34.991430010684603</v>
      </c>
      <c r="AE214" s="44">
        <f t="shared" si="97"/>
        <v>36.815437926680701</v>
      </c>
      <c r="AF214" s="44">
        <f t="shared" si="97"/>
        <v>38.682540079047406</v>
      </c>
      <c r="AG214" s="44">
        <f t="shared" si="97"/>
        <v>40.593600041494263</v>
      </c>
      <c r="AH214" s="44">
        <f t="shared" si="97"/>
        <v>42.549497718987986</v>
      </c>
      <c r="AJ214" s="142" t="s">
        <v>358</v>
      </c>
      <c r="AK214" s="139" t="s">
        <v>1</v>
      </c>
      <c r="AL214" s="139" t="s">
        <v>180</v>
      </c>
      <c r="AM214" s="139" t="s">
        <v>181</v>
      </c>
      <c r="AN214" s="139" t="s">
        <v>344</v>
      </c>
      <c r="AO214" s="263" t="s">
        <v>308</v>
      </c>
      <c r="AP214" s="139" t="s">
        <v>345</v>
      </c>
      <c r="AQ214" s="139" t="s">
        <v>359</v>
      </c>
      <c r="AR214" s="139" t="s">
        <v>360</v>
      </c>
      <c r="AS214" s="139" t="s">
        <v>361</v>
      </c>
      <c r="AT214" s="139" t="s">
        <v>362</v>
      </c>
      <c r="AU214" s="139" t="s">
        <v>184</v>
      </c>
    </row>
    <row r="215" spans="1:47" ht="16" x14ac:dyDescent="0.2">
      <c r="C215" t="s">
        <v>324</v>
      </c>
      <c r="D215" s="44">
        <f t="shared" ref="D215:AH215" si="98">D33</f>
        <v>89.109936202323638</v>
      </c>
      <c r="E215" s="44">
        <f t="shared" si="98"/>
        <v>89.155720887544391</v>
      </c>
      <c r="F215" s="44">
        <f t="shared" si="98"/>
        <v>89.185321996455684</v>
      </c>
      <c r="G215" s="44">
        <f t="shared" si="98"/>
        <v>89.198277415122519</v>
      </c>
      <c r="H215" s="44">
        <f t="shared" si="98"/>
        <v>89.194115262400715</v>
      </c>
      <c r="I215" s="44">
        <f t="shared" si="98"/>
        <v>89.172353707029359</v>
      </c>
      <c r="J215" s="44">
        <f t="shared" si="98"/>
        <v>89.132500781516157</v>
      </c>
      <c r="K215" s="44">
        <f t="shared" si="98"/>
        <v>89.074054192762006</v>
      </c>
      <c r="L215" s="44">
        <f t="shared" si="98"/>
        <v>88.996501129369562</v>
      </c>
      <c r="M215" s="44">
        <f t="shared" si="98"/>
        <v>88.89931806558036</v>
      </c>
      <c r="N215" s="44">
        <f t="shared" si="98"/>
        <v>88.781970561783709</v>
      </c>
      <c r="O215" s="44">
        <f t="shared" si="98"/>
        <v>87.570674821638178</v>
      </c>
      <c r="P215" s="44">
        <f t="shared" si="98"/>
        <v>86.677519437555929</v>
      </c>
      <c r="Q215" s="44">
        <f t="shared" si="98"/>
        <v>85.328806676760877</v>
      </c>
      <c r="R215" s="44">
        <f t="shared" si="98"/>
        <v>83.925341164853805</v>
      </c>
      <c r="S215" s="44">
        <f t="shared" si="98"/>
        <v>82.465854172504677</v>
      </c>
      <c r="T215" s="44">
        <f t="shared" si="98"/>
        <v>80.949052177501471</v>
      </c>
      <c r="U215" s="44">
        <f t="shared" si="98"/>
        <v>79.373616419220383</v>
      </c>
      <c r="V215" s="44">
        <f t="shared" si="98"/>
        <v>77.73820244548061</v>
      </c>
      <c r="W215" s="44">
        <f t="shared" si="98"/>
        <v>76.041439651657953</v>
      </c>
      <c r="X215" s="44">
        <f t="shared" si="98"/>
        <v>74.281930811928959</v>
      </c>
      <c r="Y215" s="44">
        <f t="shared" si="98"/>
        <v>71.070647554262479</v>
      </c>
      <c r="Z215" s="44">
        <f t="shared" si="98"/>
        <v>69.099729081341081</v>
      </c>
      <c r="AA215" s="44">
        <f t="shared" si="98"/>
        <v>67.059695044257268</v>
      </c>
      <c r="AB215" s="44">
        <f t="shared" si="98"/>
        <v>64.948996507235137</v>
      </c>
      <c r="AC215" s="44">
        <f t="shared" si="98"/>
        <v>62.766054710947721</v>
      </c>
      <c r="AD215" s="44">
        <f t="shared" si="98"/>
        <v>60.509260541048832</v>
      </c>
      <c r="AE215" s="44">
        <f t="shared" si="98"/>
        <v>58.176973987669442</v>
      </c>
      <c r="AF215" s="44">
        <f t="shared" si="98"/>
        <v>55.767523595729401</v>
      </c>
      <c r="AG215" s="44">
        <f t="shared" si="98"/>
        <v>53.279205905913422</v>
      </c>
      <c r="AH215" s="44">
        <f t="shared" si="98"/>
        <v>50.710284886157851</v>
      </c>
      <c r="AK215" s="143">
        <f>D62</f>
        <v>26.799786402018107</v>
      </c>
      <c r="AL215" s="143">
        <f>AH62-D62</f>
        <v>14.68783162925542</v>
      </c>
      <c r="AM215" s="143" t="s">
        <v>167</v>
      </c>
      <c r="AN215" s="143">
        <f>AH65-AH62</f>
        <v>-8.2975236062547069</v>
      </c>
      <c r="AO215" s="143" t="s">
        <v>167</v>
      </c>
      <c r="AP215" s="143">
        <f>-AH135</f>
        <v>-6.0614106365702591</v>
      </c>
      <c r="AQ215" s="143">
        <f>-AH136</f>
        <v>-1.0308390337676578</v>
      </c>
      <c r="AR215" s="44">
        <f>-AH138</f>
        <v>-8.3993117800743033E-2</v>
      </c>
      <c r="AS215" s="44">
        <f>-AH137</f>
        <v>-0.15745888301365296</v>
      </c>
      <c r="AT215" s="143">
        <f>SUM(AP215:AS215)</f>
        <v>-7.3337016711523138</v>
      </c>
      <c r="AU215" t="s">
        <v>167</v>
      </c>
    </row>
    <row r="216" spans="1:47" x14ac:dyDescent="0.2">
      <c r="C216" t="s">
        <v>310</v>
      </c>
      <c r="D216" s="44">
        <f t="shared" ref="D216:AH216" si="99">D43</f>
        <v>34.871127768537121</v>
      </c>
      <c r="E216" s="44">
        <f t="shared" si="99"/>
        <v>34.593539727292089</v>
      </c>
      <c r="F216" s="44">
        <f t="shared" si="99"/>
        <v>34.296435936719625</v>
      </c>
      <c r="G216" s="44">
        <f t="shared" si="99"/>
        <v>33.979233084286506</v>
      </c>
      <c r="H216" s="44">
        <f t="shared" si="99"/>
        <v>33.641333664884947</v>
      </c>
      <c r="I216" s="44">
        <f t="shared" si="99"/>
        <v>33.282125666862385</v>
      </c>
      <c r="J216" s="44">
        <f t="shared" si="99"/>
        <v>32.900982251477899</v>
      </c>
      <c r="K216" s="44">
        <f t="shared" si="99"/>
        <v>32.497261425652624</v>
      </c>
      <c r="L216" s="44">
        <f t="shared" si="99"/>
        <v>32.070305707878603</v>
      </c>
      <c r="M216" s="44">
        <f t="shared" si="99"/>
        <v>31.619441787148251</v>
      </c>
      <c r="N216" s="44">
        <f t="shared" si="99"/>
        <v>31.143980174763492</v>
      </c>
      <c r="O216" s="44">
        <f t="shared" si="99"/>
        <v>30.643214848881165</v>
      </c>
      <c r="P216" s="44">
        <f t="shared" si="99"/>
        <v>30.116422891648337</v>
      </c>
      <c r="Q216" s="44">
        <f t="shared" si="99"/>
        <v>29.562864118778265</v>
      </c>
      <c r="R216" s="44">
        <f t="shared" si="99"/>
        <v>28.981780701414927</v>
      </c>
      <c r="S216" s="44">
        <f t="shared" si="99"/>
        <v>28.372396780130906</v>
      </c>
      <c r="T216" s="44">
        <f t="shared" si="99"/>
        <v>27.733918070900518</v>
      </c>
      <c r="U216" s="44">
        <f t="shared" si="99"/>
        <v>27.065531462886838</v>
      </c>
      <c r="V216" s="44">
        <f t="shared" si="99"/>
        <v>26.366404607878199</v>
      </c>
      <c r="W216" s="44">
        <f t="shared" si="99"/>
        <v>25.635685501206499</v>
      </c>
      <c r="X216" s="44">
        <f t="shared" si="99"/>
        <v>24.872502053976284</v>
      </c>
      <c r="Y216" s="44">
        <f t="shared" si="99"/>
        <v>24.039010961507259</v>
      </c>
      <c r="Z216" s="44">
        <f t="shared" si="99"/>
        <v>23.169993018800685</v>
      </c>
      <c r="AA216" s="44">
        <f t="shared" si="99"/>
        <v>22.264481191874214</v>
      </c>
      <c r="AB216" s="44">
        <f t="shared" si="99"/>
        <v>21.32148583484981</v>
      </c>
      <c r="AC216" s="44">
        <f t="shared" si="99"/>
        <v>20.339994200622122</v>
      </c>
      <c r="AD216" s="44">
        <f t="shared" si="99"/>
        <v>19.31896994142442</v>
      </c>
      <c r="AE216" s="44">
        <f t="shared" si="99"/>
        <v>18.257352599090027</v>
      </c>
      <c r="AF216" s="44">
        <f t="shared" si="99"/>
        <v>17.154057084803185</v>
      </c>
      <c r="AG216" s="44">
        <f t="shared" si="99"/>
        <v>16.007973148129455</v>
      </c>
      <c r="AH216" s="44">
        <f t="shared" si="99"/>
        <v>14.81796483511131</v>
      </c>
    </row>
    <row r="217" spans="1:47" ht="32" x14ac:dyDescent="0.2">
      <c r="C217" t="s">
        <v>311</v>
      </c>
      <c r="D217" s="44">
        <f t="shared" ref="D217:AH217" si="100">D19</f>
        <v>8.4778361655826675</v>
      </c>
      <c r="E217" s="44">
        <f t="shared" si="100"/>
        <v>8.592611471021776</v>
      </c>
      <c r="F217" s="44">
        <f t="shared" si="100"/>
        <v>8.708771902942118</v>
      </c>
      <c r="G217" s="44">
        <f t="shared" si="100"/>
        <v>8.8263309858009329</v>
      </c>
      <c r="H217" s="44">
        <f t="shared" si="100"/>
        <v>8.9453023093961814</v>
      </c>
      <c r="I217" s="44">
        <f t="shared" si="100"/>
        <v>9.0656995274926579</v>
      </c>
      <c r="J217" s="44">
        <f t="shared" si="100"/>
        <v>9.1875363563914902</v>
      </c>
      <c r="K217" s="44">
        <f t="shared" si="100"/>
        <v>9.3108265734416786</v>
      </c>
      <c r="L217" s="44">
        <f t="shared" si="100"/>
        <v>9.4355840154923563</v>
      </c>
      <c r="M217" s="44">
        <f t="shared" si="100"/>
        <v>9.5618225772844152</v>
      </c>
      <c r="N217" s="44">
        <f t="shared" si="100"/>
        <v>9.6895562097801005</v>
      </c>
      <c r="O217" s="44">
        <f t="shared" si="100"/>
        <v>9.7381307020064973</v>
      </c>
      <c r="P217" s="44">
        <f t="shared" si="100"/>
        <v>9.7852582063294005</v>
      </c>
      <c r="Q217" s="44">
        <f t="shared" si="100"/>
        <v>9.8308901664933845</v>
      </c>
      <c r="R217" s="44">
        <f t="shared" si="100"/>
        <v>9.8749773787991728</v>
      </c>
      <c r="S217" s="44">
        <f t="shared" si="100"/>
        <v>9.9174699997808133</v>
      </c>
      <c r="T217" s="44">
        <f t="shared" si="100"/>
        <v>9.9583175546941831</v>
      </c>
      <c r="U217" s="44">
        <f t="shared" si="100"/>
        <v>9.9974689468500344</v>
      </c>
      <c r="V217" s="44">
        <f t="shared" si="100"/>
        <v>10.034872467825814</v>
      </c>
      <c r="W217" s="44">
        <f t="shared" si="100"/>
        <v>10.070475808591599</v>
      </c>
      <c r="X217" s="44">
        <f t="shared" si="100"/>
        <v>10.104226071586567</v>
      </c>
      <c r="Y217" s="44">
        <f t="shared" si="100"/>
        <v>9.9312315390837664</v>
      </c>
      <c r="Z217" s="44">
        <f t="shared" si="100"/>
        <v>9.7539057274899683</v>
      </c>
      <c r="AA217" s="44">
        <f t="shared" si="100"/>
        <v>9.5722834714848481</v>
      </c>
      <c r="AB217" s="44">
        <f t="shared" si="100"/>
        <v>9.3864052413406203</v>
      </c>
      <c r="AC217" s="44">
        <f t="shared" si="100"/>
        <v>9.1963173950693786</v>
      </c>
      <c r="AD217" s="44">
        <f t="shared" si="100"/>
        <v>9.0020724389906697</v>
      </c>
      <c r="AE217" s="44">
        <f t="shared" si="100"/>
        <v>8.8037292969624552</v>
      </c>
      <c r="AF217" s="44">
        <f t="shared" si="100"/>
        <v>8.60135358852515</v>
      </c>
      <c r="AG217" s="44">
        <f t="shared" si="100"/>
        <v>8.3950179162148348</v>
      </c>
      <c r="AH217" s="44">
        <f t="shared" si="100"/>
        <v>8.184802162308694</v>
      </c>
      <c r="AJ217" s="142" t="s">
        <v>363</v>
      </c>
      <c r="AK217" s="139" t="s">
        <v>1</v>
      </c>
      <c r="AL217" s="139" t="s">
        <v>180</v>
      </c>
      <c r="AM217" s="139" t="s">
        <v>181</v>
      </c>
      <c r="AN217" s="139" t="s">
        <v>182</v>
      </c>
      <c r="AO217" s="139" t="s">
        <v>183</v>
      </c>
      <c r="AP217" s="263" t="s">
        <v>28</v>
      </c>
      <c r="AQ217" s="139" t="s">
        <v>193</v>
      </c>
      <c r="AR217" s="139" t="s">
        <v>184</v>
      </c>
      <c r="AS217" s="139"/>
      <c r="AT217" s="139"/>
    </row>
    <row r="218" spans="1:47" ht="16" x14ac:dyDescent="0.2">
      <c r="C218" s="131" t="s">
        <v>320</v>
      </c>
      <c r="D218" s="44">
        <f t="shared" ref="D218:AH218" si="101">D55</f>
        <v>3.4336211538461541</v>
      </c>
      <c r="E218" s="44">
        <f t="shared" si="101"/>
        <v>3.3974002276563464</v>
      </c>
      <c r="F218" s="44">
        <f t="shared" si="101"/>
        <v>3.3581437956377203</v>
      </c>
      <c r="G218" s="44">
        <f t="shared" si="101"/>
        <v>3.3157403399739156</v>
      </c>
      <c r="H218" s="44">
        <f t="shared" si="101"/>
        <v>3.2700749977583543</v>
      </c>
      <c r="I218" s="44">
        <f t="shared" si="101"/>
        <v>3.2210294696798116</v>
      </c>
      <c r="J218" s="44">
        <f t="shared" si="101"/>
        <v>3.1684819263479587</v>
      </c>
      <c r="K218" s="44">
        <f t="shared" si="101"/>
        <v>3.1123069122000393</v>
      </c>
      <c r="L218" s="44">
        <f t="shared" si="101"/>
        <v>3.0523752469283876</v>
      </c>
      <c r="M218" s="44">
        <f t="shared" si="101"/>
        <v>2.988553924367046</v>
      </c>
      <c r="N218" s="44">
        <f t="shared" si="101"/>
        <v>2.9207060087742334</v>
      </c>
      <c r="O218" s="44">
        <f t="shared" si="101"/>
        <v>2.887961977936647</v>
      </c>
      <c r="P218" s="44">
        <f t="shared" si="101"/>
        <v>2.8525546664540116</v>
      </c>
      <c r="Q218" s="44">
        <f t="shared" si="101"/>
        <v>2.8143866566568359</v>
      </c>
      <c r="R218" s="44">
        <f t="shared" si="101"/>
        <v>2.7733576138402731</v>
      </c>
      <c r="S218" s="44">
        <f t="shared" si="101"/>
        <v>2.7293642067098287</v>
      </c>
      <c r="T218" s="44">
        <f t="shared" si="101"/>
        <v>2.6823000257722027</v>
      </c>
      <c r="U218" s="44">
        <f t="shared" si="101"/>
        <v>2.6320554996200363</v>
      </c>
      <c r="V218" s="44">
        <f t="shared" si="101"/>
        <v>2.5785178090581145</v>
      </c>
      <c r="W218" s="44">
        <f t="shared" si="101"/>
        <v>2.5215707990172591</v>
      </c>
      <c r="X218" s="44">
        <f t="shared" si="101"/>
        <v>2.4610948882008925</v>
      </c>
      <c r="Y218" s="44">
        <f t="shared" si="101"/>
        <v>2.3730610557655067</v>
      </c>
      <c r="Z218" s="44">
        <f t="shared" si="101"/>
        <v>2.2802444595221387</v>
      </c>
      <c r="AA218" s="44">
        <f t="shared" si="101"/>
        <v>2.1824830463109555</v>
      </c>
      <c r="AB218" s="44">
        <f t="shared" si="101"/>
        <v>2.0796100659382546</v>
      </c>
      <c r="AC218" s="44">
        <f t="shared" si="101"/>
        <v>1.9714539453664768</v>
      </c>
      <c r="AD218" s="44">
        <f t="shared" si="101"/>
        <v>1.8578381596916049</v>
      </c>
      <c r="AE218" s="44">
        <f t="shared" si="101"/>
        <v>1.7385810998284823</v>
      </c>
      <c r="AF218" s="44">
        <f t="shared" si="101"/>
        <v>1.6134959368226844</v>
      </c>
      <c r="AG218" s="44">
        <f t="shared" si="101"/>
        <v>1.4823904827056191</v>
      </c>
      <c r="AH218" s="44">
        <f t="shared" si="101"/>
        <v>1.3450670478074978</v>
      </c>
      <c r="AK218" s="143">
        <f>D4</f>
        <v>162.69230769230768</v>
      </c>
      <c r="AL218" s="143">
        <f>AH4-D4</f>
        <v>92.307692307692321</v>
      </c>
      <c r="AM218" s="143" t="s">
        <v>167</v>
      </c>
      <c r="AN218" s="44">
        <f>AH83</f>
        <v>25.104592840330554</v>
      </c>
      <c r="AO218" s="143">
        <f>AH81</f>
        <v>105.6080567761972</v>
      </c>
      <c r="AP218" s="143">
        <f>AH82</f>
        <v>42.549497718987986</v>
      </c>
      <c r="AQ218" s="143">
        <f>AH146+AH147</f>
        <v>32.613049399644105</v>
      </c>
      <c r="AR218" t="s">
        <v>167</v>
      </c>
      <c r="AS218" s="44"/>
      <c r="AT218" s="143"/>
    </row>
    <row r="219" spans="1:47" x14ac:dyDescent="0.2">
      <c r="C219" t="s">
        <v>321</v>
      </c>
      <c r="D219" s="44">
        <f t="shared" ref="D219:AH219" si="102">D74</f>
        <v>0</v>
      </c>
      <c r="E219" s="44">
        <f t="shared" si="102"/>
        <v>0.67110171196554103</v>
      </c>
      <c r="F219" s="44">
        <f t="shared" si="102"/>
        <v>0.75796752501421338</v>
      </c>
      <c r="G219" s="44">
        <f t="shared" si="102"/>
        <v>0.85616184156287534</v>
      </c>
      <c r="H219" s="44">
        <f t="shared" si="102"/>
        <v>0.9671713517084386</v>
      </c>
      <c r="I219" s="44">
        <f t="shared" si="102"/>
        <v>1.0926788620857466</v>
      </c>
      <c r="J219" s="44">
        <f t="shared" si="102"/>
        <v>1.2345892759355666</v>
      </c>
      <c r="K219" s="44">
        <f t="shared" si="102"/>
        <v>1.3950590265859308</v>
      </c>
      <c r="L219" s="44">
        <f t="shared" si="102"/>
        <v>1.5765294246538997</v>
      </c>
      <c r="M219" s="44">
        <f t="shared" si="102"/>
        <v>1.7817644407638649</v>
      </c>
      <c r="N219" s="44">
        <f t="shared" si="102"/>
        <v>2.0138935152958402</v>
      </c>
      <c r="O219" s="44">
        <f t="shared" si="102"/>
        <v>2.2764600657252894</v>
      </c>
      <c r="P219" s="44">
        <f t="shared" si="102"/>
        <v>2.5734764517453481</v>
      </c>
      <c r="Q219" s="44">
        <f t="shared" si="102"/>
        <v>2.9094862599913314</v>
      </c>
      <c r="R219" s="44">
        <f t="shared" si="102"/>
        <v>3.2896348854242845</v>
      </c>
      <c r="S219" s="44">
        <f t="shared" si="102"/>
        <v>3.7197495171000581</v>
      </c>
      <c r="T219" s="44">
        <f t="shared" si="102"/>
        <v>4.2064297842214451</v>
      </c>
      <c r="U219" s="44">
        <f t="shared" si="102"/>
        <v>4.7571504863910397</v>
      </c>
      <c r="V219" s="44">
        <f t="shared" si="102"/>
        <v>5.3803780225130033</v>
      </c>
      <c r="W219" s="44">
        <f t="shared" si="102"/>
        <v>6.0857023488525108</v>
      </c>
      <c r="X219" s="44">
        <f t="shared" si="102"/>
        <v>6.8839865417768289</v>
      </c>
      <c r="Y219" s="44">
        <f t="shared" si="102"/>
        <v>7.7875363185562083</v>
      </c>
      <c r="Z219" s="44">
        <f t="shared" si="102"/>
        <v>8.8102921847018152</v>
      </c>
      <c r="AA219" s="44">
        <f t="shared" si="102"/>
        <v>9.9680472336598847</v>
      </c>
      <c r="AB219" s="44">
        <f t="shared" si="102"/>
        <v>11.27869402993422</v>
      </c>
      <c r="AC219" s="44">
        <f t="shared" si="102"/>
        <v>12.762504466303872</v>
      </c>
      <c r="AD219" s="44">
        <f t="shared" si="102"/>
        <v>14.442447007032245</v>
      </c>
      <c r="AE219" s="44">
        <f t="shared" si="102"/>
        <v>16.34454632010209</v>
      </c>
      <c r="AF219" s="44">
        <f t="shared" si="102"/>
        <v>18.498290971941969</v>
      </c>
      <c r="AG219" s="44">
        <f t="shared" si="102"/>
        <v>20.937095618479546</v>
      </c>
      <c r="AH219" s="44">
        <f t="shared" si="102"/>
        <v>23.698824988741201</v>
      </c>
    </row>
    <row r="220" spans="1:47" x14ac:dyDescent="0.2">
      <c r="C220" t="s">
        <v>248</v>
      </c>
      <c r="D220" s="44">
        <f t="shared" ref="D220:AH220" si="103">D65</f>
        <v>26.799786402018107</v>
      </c>
      <c r="E220" s="44">
        <f t="shared" si="103"/>
        <v>28.579801910020553</v>
      </c>
      <c r="F220" s="44">
        <f t="shared" si="103"/>
        <v>30.401058882642069</v>
      </c>
      <c r="G220" s="44">
        <f t="shared" si="103"/>
        <v>32.264145911231637</v>
      </c>
      <c r="H220" s="44">
        <f t="shared" si="103"/>
        <v>34.169651313218054</v>
      </c>
      <c r="I220" s="44">
        <f t="shared" si="103"/>
        <v>36.118162713697295</v>
      </c>
      <c r="J220" s="44">
        <f t="shared" si="103"/>
        <v>37.628611700053476</v>
      </c>
      <c r="K220" s="44">
        <f t="shared" si="103"/>
        <v>39.16748583285333</v>
      </c>
      <c r="L220" s="44">
        <f t="shared" si="103"/>
        <v>40.735052145581051</v>
      </c>
      <c r="M220" s="44">
        <f t="shared" si="103"/>
        <v>42.331572621679442</v>
      </c>
      <c r="N220" s="44">
        <f t="shared" si="103"/>
        <v>43.95730380754533</v>
      </c>
      <c r="O220" s="44">
        <f t="shared" si="103"/>
        <v>43.68984642718376</v>
      </c>
      <c r="P220" s="44">
        <f t="shared" si="103"/>
        <v>43.414690883333698</v>
      </c>
      <c r="Q220" s="44">
        <f t="shared" si="103"/>
        <v>43.131782848147012</v>
      </c>
      <c r="R220" s="44">
        <f t="shared" si="103"/>
        <v>42.84106949689042</v>
      </c>
      <c r="S220" s="44">
        <f t="shared" si="103"/>
        <v>42.542499583687615</v>
      </c>
      <c r="T220" s="44">
        <f t="shared" si="103"/>
        <v>42.105815368701755</v>
      </c>
      <c r="U220" s="44">
        <f t="shared" si="103"/>
        <v>41.660107153249903</v>
      </c>
      <c r="V220" s="44">
        <f t="shared" si="103"/>
        <v>41.205344061844798</v>
      </c>
      <c r="W220" s="44">
        <f t="shared" si="103"/>
        <v>40.74149787807535</v>
      </c>
      <c r="X220" s="44">
        <f t="shared" si="103"/>
        <v>40.268543150392581</v>
      </c>
      <c r="Y220" s="44">
        <f t="shared" si="103"/>
        <v>39.658753698227031</v>
      </c>
      <c r="Z220" s="44">
        <f t="shared" si="103"/>
        <v>39.039200051950864</v>
      </c>
      <c r="AA220" s="44">
        <f t="shared" si="103"/>
        <v>38.409893765274205</v>
      </c>
      <c r="AB220" s="44">
        <f t="shared" si="103"/>
        <v>37.770850626518687</v>
      </c>
      <c r="AC220" s="44">
        <f t="shared" si="103"/>
        <v>37.122090802674528</v>
      </c>
      <c r="AD220" s="44">
        <f t="shared" si="103"/>
        <v>36.355792090926258</v>
      </c>
      <c r="AE220" s="44">
        <f t="shared" si="103"/>
        <v>35.579385110893888</v>
      </c>
      <c r="AF220" s="44">
        <f t="shared" si="103"/>
        <v>34.792924997701249</v>
      </c>
      <c r="AG220" s="44">
        <f t="shared" si="103"/>
        <v>33.996472553631705</v>
      </c>
      <c r="AH220" s="44">
        <f t="shared" si="103"/>
        <v>33.19009442501882</v>
      </c>
    </row>
    <row r="221" spans="1:47" x14ac:dyDescent="0.2">
      <c r="C221" t="s">
        <v>364</v>
      </c>
      <c r="D221" s="44">
        <f>SUM(D213:D220)</f>
        <v>162.69230769230768</v>
      </c>
      <c r="E221" s="44">
        <f t="shared" ref="E221:AH221" si="104">SUM(E213:E220)</f>
        <v>167.40712626892557</v>
      </c>
      <c r="F221" s="44">
        <f t="shared" si="104"/>
        <v>171.63794644411604</v>
      </c>
      <c r="G221" s="44">
        <f t="shared" si="104"/>
        <v>175.98281383905396</v>
      </c>
      <c r="H221" s="44">
        <f t="shared" si="104"/>
        <v>180.44575773916085</v>
      </c>
      <c r="I221" s="44">
        <f t="shared" si="104"/>
        <v>185.0310664407865</v>
      </c>
      <c r="J221" s="44">
        <f t="shared" si="104"/>
        <v>189.24179989074611</v>
      </c>
      <c r="K221" s="44">
        <f t="shared" si="104"/>
        <v>193.56090949579618</v>
      </c>
      <c r="L221" s="44">
        <f t="shared" si="104"/>
        <v>197.99281651696148</v>
      </c>
      <c r="M221" s="44">
        <f t="shared" si="104"/>
        <v>202.542308484187</v>
      </c>
      <c r="N221" s="44">
        <f t="shared" si="104"/>
        <v>207.21458296607977</v>
      </c>
      <c r="O221" s="44">
        <f t="shared" si="104"/>
        <v>209.97275072517857</v>
      </c>
      <c r="P221" s="44">
        <f t="shared" si="104"/>
        <v>212.79623085043093</v>
      </c>
      <c r="Q221" s="44">
        <f t="shared" si="104"/>
        <v>215.68995831846587</v>
      </c>
      <c r="R221" s="44">
        <f t="shared" si="104"/>
        <v>218.65947505592345</v>
      </c>
      <c r="S221" s="44">
        <f t="shared" si="104"/>
        <v>221.71100999590487</v>
      </c>
      <c r="T221" s="44">
        <f t="shared" si="104"/>
        <v>224.70598823181297</v>
      </c>
      <c r="U221" s="44">
        <f t="shared" si="104"/>
        <v>227.79450875084726</v>
      </c>
      <c r="V221" s="44">
        <f t="shared" si="104"/>
        <v>230.98539725151971</v>
      </c>
      <c r="W221" s="44">
        <f t="shared" si="104"/>
        <v>234.28860759171289</v>
      </c>
      <c r="X221" s="44">
        <f t="shared" si="104"/>
        <v>237.71537141429957</v>
      </c>
      <c r="Y221" s="44">
        <f t="shared" si="104"/>
        <v>241.1166508708809</v>
      </c>
      <c r="Z221" s="44">
        <f t="shared" si="104"/>
        <v>244.66465033328686</v>
      </c>
      <c r="AA221" s="44">
        <f t="shared" si="104"/>
        <v>248.37547549735879</v>
      </c>
      <c r="AB221" s="44">
        <f t="shared" si="104"/>
        <v>252.26733526009798</v>
      </c>
      <c r="AC221" s="44">
        <f t="shared" si="104"/>
        <v>256.36082162457058</v>
      </c>
      <c r="AD221" s="44">
        <f t="shared" si="104"/>
        <v>260.548851149857</v>
      </c>
      <c r="AE221" s="44">
        <f t="shared" si="104"/>
        <v>264.98544767252184</v>
      </c>
      <c r="AF221" s="44">
        <f t="shared" si="104"/>
        <v>269.70038941015423</v>
      </c>
      <c r="AG221" s="44">
        <f t="shared" si="104"/>
        <v>274.72738406284407</v>
      </c>
      <c r="AH221" s="44">
        <f t="shared" si="104"/>
        <v>280.10459284033055</v>
      </c>
    </row>
    <row r="223" spans="1:47" x14ac:dyDescent="0.2">
      <c r="A223" s="1" t="s">
        <v>365</v>
      </c>
      <c r="C223" t="s">
        <v>168</v>
      </c>
      <c r="D223" s="44">
        <f>D213</f>
        <v>0</v>
      </c>
      <c r="E223" s="44">
        <f t="shared" ref="E223:AH223" si="105">E213</f>
        <v>1.536629370398227</v>
      </c>
      <c r="F223" s="44">
        <f t="shared" si="105"/>
        <v>3.1378748325882846</v>
      </c>
      <c r="G223" s="44">
        <f t="shared" si="105"/>
        <v>4.8058553576172116</v>
      </c>
      <c r="H223" s="44">
        <f t="shared" si="105"/>
        <v>6.5427536949323617</v>
      </c>
      <c r="I223" s="44">
        <f t="shared" si="105"/>
        <v>8.3508182176378458</v>
      </c>
      <c r="J223" s="44">
        <f t="shared" si="105"/>
        <v>10.217469827567287</v>
      </c>
      <c r="K223" s="44">
        <f t="shared" si="105"/>
        <v>12.154211139074649</v>
      </c>
      <c r="L223" s="44">
        <f t="shared" si="105"/>
        <v>14.163118058249779</v>
      </c>
      <c r="M223" s="44">
        <f t="shared" si="105"/>
        <v>16.24632257664706</v>
      </c>
      <c r="N223" s="44">
        <f t="shared" si="105"/>
        <v>18.406014218163605</v>
      </c>
      <c r="O223" s="44">
        <f t="shared" si="105"/>
        <v>21.676808060647105</v>
      </c>
      <c r="P223" s="44">
        <f t="shared" si="105"/>
        <v>25.036356409643663</v>
      </c>
      <c r="Q223" s="44">
        <f t="shared" si="105"/>
        <v>28.486535597029693</v>
      </c>
      <c r="R223" s="44">
        <f t="shared" si="105"/>
        <v>32.029257724360271</v>
      </c>
      <c r="S223" s="44">
        <f t="shared" si="105"/>
        <v>35.66647130542372</v>
      </c>
      <c r="T223" s="44">
        <f t="shared" si="105"/>
        <v>39.388631859985964</v>
      </c>
      <c r="U223" s="44">
        <f t="shared" si="105"/>
        <v>43.207567935326288</v>
      </c>
      <c r="V223" s="44">
        <f t="shared" si="105"/>
        <v>47.125285993971872</v>
      </c>
      <c r="W223" s="44">
        <f t="shared" si="105"/>
        <v>51.143830349675852</v>
      </c>
      <c r="X223" s="44">
        <f t="shared" si="105"/>
        <v>55.265283843432556</v>
      </c>
      <c r="Y223" s="44">
        <f t="shared" si="105"/>
        <v>59.784910861707516</v>
      </c>
      <c r="Z223" s="44">
        <f t="shared" si="105"/>
        <v>64.415322852446096</v>
      </c>
      <c r="AA223" s="44">
        <f t="shared" si="105"/>
        <v>69.158648853034379</v>
      </c>
      <c r="AB223" s="44">
        <f t="shared" si="105"/>
        <v>74.01705345396455</v>
      </c>
      <c r="AC223" s="44">
        <f t="shared" si="105"/>
        <v>78.992737312011329</v>
      </c>
      <c r="AD223" s="44">
        <f t="shared" si="105"/>
        <v>84.071040960058355</v>
      </c>
      <c r="AE223" s="44">
        <f t="shared" si="105"/>
        <v>89.269441331294743</v>
      </c>
      <c r="AF223" s="44">
        <f t="shared" si="105"/>
        <v>94.590203155583168</v>
      </c>
      <c r="AG223" s="44">
        <f t="shared" si="105"/>
        <v>100.03562839627524</v>
      </c>
      <c r="AH223" s="44">
        <f t="shared" si="105"/>
        <v>105.6080567761972</v>
      </c>
    </row>
    <row r="224" spans="1:47" x14ac:dyDescent="0.2">
      <c r="C224" t="s">
        <v>172</v>
      </c>
      <c r="D224" s="44">
        <f>D214</f>
        <v>0</v>
      </c>
      <c r="E224" s="44">
        <f t="shared" ref="E224:AH224" si="106">E214</f>
        <v>0.88032096302665375</v>
      </c>
      <c r="F224" s="44">
        <f t="shared" si="106"/>
        <v>1.7923715721163194</v>
      </c>
      <c r="G224" s="44">
        <f t="shared" si="106"/>
        <v>2.7370689034583591</v>
      </c>
      <c r="H224" s="44">
        <f t="shared" si="106"/>
        <v>3.7153551448618489</v>
      </c>
      <c r="I224" s="44">
        <f t="shared" si="106"/>
        <v>4.7281982763014065</v>
      </c>
      <c r="J224" s="44">
        <f t="shared" si="106"/>
        <v>5.7716277714562478</v>
      </c>
      <c r="K224" s="44">
        <f t="shared" si="106"/>
        <v>6.8497043932258856</v>
      </c>
      <c r="L224" s="44">
        <f t="shared" si="106"/>
        <v>7.9633507888078139</v>
      </c>
      <c r="M224" s="44">
        <f t="shared" si="106"/>
        <v>9.1135124907166087</v>
      </c>
      <c r="N224" s="44">
        <f t="shared" si="106"/>
        <v>10.301158469973473</v>
      </c>
      <c r="O224" s="44">
        <f t="shared" si="106"/>
        <v>11.489653821159925</v>
      </c>
      <c r="P224" s="44">
        <f t="shared" si="106"/>
        <v>12.339951903720573</v>
      </c>
      <c r="Q224" s="44">
        <f t="shared" si="106"/>
        <v>13.625205994608486</v>
      </c>
      <c r="R224" s="44">
        <f t="shared" si="106"/>
        <v>14.944056090340322</v>
      </c>
      <c r="S224" s="44">
        <f t="shared" si="106"/>
        <v>16.297204430567216</v>
      </c>
      <c r="T224" s="44">
        <f t="shared" si="106"/>
        <v>17.681523390035366</v>
      </c>
      <c r="U224" s="44">
        <f t="shared" si="106"/>
        <v>19.101010847302735</v>
      </c>
      <c r="V224" s="44">
        <f t="shared" si="106"/>
        <v>20.556391842947328</v>
      </c>
      <c r="W224" s="44">
        <f t="shared" si="106"/>
        <v>22.048405254635831</v>
      </c>
      <c r="X224" s="44">
        <f t="shared" si="106"/>
        <v>23.577804053004886</v>
      </c>
      <c r="Y224" s="44">
        <f t="shared" si="106"/>
        <v>26.471498881771154</v>
      </c>
      <c r="Z224" s="44">
        <f t="shared" si="106"/>
        <v>28.095962957034189</v>
      </c>
      <c r="AA224" s="44">
        <f t="shared" si="106"/>
        <v>29.759942891463062</v>
      </c>
      <c r="AB224" s="44">
        <f t="shared" si="106"/>
        <v>31.464239500316712</v>
      </c>
      <c r="AC224" s="44">
        <f t="shared" si="106"/>
        <v>33.209668791575169</v>
      </c>
      <c r="AD224" s="44">
        <f t="shared" si="106"/>
        <v>34.991430010684603</v>
      </c>
      <c r="AE224" s="44">
        <f t="shared" si="106"/>
        <v>36.815437926680701</v>
      </c>
      <c r="AF224" s="44">
        <f t="shared" si="106"/>
        <v>38.682540079047406</v>
      </c>
      <c r="AG224" s="44">
        <f t="shared" si="106"/>
        <v>40.593600041494263</v>
      </c>
      <c r="AH224" s="44">
        <f t="shared" si="106"/>
        <v>42.549497718987986</v>
      </c>
    </row>
    <row r="225" spans="3:37" x14ac:dyDescent="0.2">
      <c r="C225" t="s">
        <v>193</v>
      </c>
      <c r="D225" s="44" cm="1">
        <f t="array" ref="D225">-(D95-D92+D105-D102+D115-D112+_xlfn.IFS(D127&lt;0, -D122, D127-D122&lt;=0,D127-D122, else, D122)+D139-D134)</f>
        <v>0</v>
      </c>
      <c r="E225" s="44" cm="1">
        <f t="array" ref="E225">-(E95-E92+E105-E102+E115-E112+_xlfn.IFS(E127&lt;0, -E122, E127-E122&lt;=0,E127-E122, else, E122)+E139-E134)</f>
        <v>1.2374769723007439</v>
      </c>
      <c r="F225" s="44" cm="1">
        <f t="array" ref="F225">-(F95-F92+F105-F102+F115-F112+_xlfn.IFS(F127&lt;0, -F122, F127-F122&lt;=0,F127-F122, else, F122)+F139-F134)</f>
        <v>2.4615656143985092</v>
      </c>
      <c r="G225" s="44" cm="1">
        <f t="array" ref="G225">-(G95-G92+G105-G102+G115-G112+_xlfn.IFS(G127&lt;0, -G122, G127-G122&lt;=0,G127-G122, else, G122)+G139-G134)</f>
        <v>3.6630608521424683</v>
      </c>
      <c r="H225" s="44" cm="1">
        <f t="array" ref="H225">-(H95-H92+H105-H102+H115-H112+_xlfn.IFS(H127&lt;0, -H122, H127-H122&lt;=0,H127-H122, else, H122)+H139-H134)</f>
        <v>4.8326802040239194</v>
      </c>
      <c r="I225" s="44" cm="1">
        <f t="array" ref="I225">-(I95-I92+I105-I102+I115-I112+_xlfn.IFS(I127&lt;0, -I122, I127-I122&lt;=0,I127-I122, else, I122)+I139-I134)</f>
        <v>5.9611820809704241</v>
      </c>
      <c r="J225" s="44" cm="1">
        <f t="array" ref="J225">-(J95-J92+J105-J102+J115-J112+_xlfn.IFS(J127&lt;0, -J122, J127-J122&lt;=0,J127-J122, else, J122)+J139-J134)</f>
        <v>7.0514526281325089</v>
      </c>
      <c r="K225" s="44" cm="1">
        <f t="array" ref="K225">-(K95-K92+K105-K102+K115-K112+_xlfn.IFS(K127&lt;0, -K122, K127-K122&lt;=0,K127-K122, else, K122)+K139-K134)</f>
        <v>8.1385620329033159</v>
      </c>
      <c r="L225" s="44" cm="1">
        <f t="array" ref="L225">-(L95-L92+L105-L102+L115-L112+_xlfn.IFS(L127&lt;0, -L122, L127-L122&lt;=0,L127-L122, else, L122)+L139-L134)</f>
        <v>9.220371385779103</v>
      </c>
      <c r="M225" s="44" cm="1">
        <f t="array" ref="M225">-(M95-M92+M105-M102+M115-M112+_xlfn.IFS(M127&lt;0, -M122, M127-M122&lt;=0,M127-M122, else, M122)+M139-M134)</f>
        <v>10.294700075010283</v>
      </c>
      <c r="N225" s="44" cm="1">
        <f t="array" ref="N225">-(N95-N92+N105-N102+N115-N112+_xlfn.IFS(N127&lt;0, -N122, N127-N122&lt;=0,N127-N122, else, N122)+N139-N134)</f>
        <v>11.359330979381973</v>
      </c>
      <c r="O225" s="44" cm="1">
        <f t="array" ref="O225">-(O95-O92+O105-O102+O115-O112+_xlfn.IFS(O127&lt;0, -O122, O127-O122&lt;=0,O127-O122, else, O122)+O139-O134)</f>
        <v>13.121131501120111</v>
      </c>
      <c r="P225" s="44" cm="1">
        <f t="array" ref="P225">-(P95-P92+P105-P102+P115-P112+_xlfn.IFS(P127&lt;0, -P122, P127-P122&lt;=0,P127-P122, else, P122)+P139-P134)</f>
        <v>14.888692854078009</v>
      </c>
      <c r="Q225" s="44" cm="1">
        <f t="array" ref="Q225">-(Q95-Q92+Q105-Q102+Q115-Q112+_xlfn.IFS(Q127&lt;0, -Q122, Q127-Q122&lt;=0,Q127-Q122, else, Q122)+Q139-Q134)</f>
        <v>16.409671609749999</v>
      </c>
      <c r="R225" s="44" cm="1">
        <f t="array" ref="R225">-(R95-R92+R105-R102+R115-R112+_xlfn.IFS(R127&lt;0, -R122, R127-R122&lt;=0,R127-R122, else, R122)+R139-R134)</f>
        <v>17.792727496191965</v>
      </c>
      <c r="S225" s="44" cm="1">
        <f t="array" ref="S225">-(S95-S92+S105-S102+S115-S112+_xlfn.IFS(S127&lt;0, -S122, S127-S122&lt;=0,S127-S122, else, S122)+S139-S134)</f>
        <v>19.026976774316452</v>
      </c>
      <c r="T225" s="44" cm="1">
        <f t="array" ref="T225">-(T95-T92+T105-T102+T115-T112+_xlfn.IFS(T127&lt;0, -T122, T127-T122&lt;=0,T127-T122, else, T122)+T139-T134)</f>
        <v>20.186392462028024</v>
      </c>
      <c r="U225" s="44" cm="1">
        <f t="array" ref="U225">-(U95-U92+U105-U102+U115-U112+_xlfn.IFS(U127&lt;0, -U122, U127-U122&lt;=0,U127-U122, else, U122)+U139-U134)</f>
        <v>21.254641290708374</v>
      </c>
      <c r="V225" s="44" cm="1">
        <f t="array" ref="V225">-(V95-V92+V105-V102+V115-V112+_xlfn.IFS(V127&lt;0, -V122, V127-V122&lt;=0,V127-V122, else, V122)+V139-V134)</f>
        <v>22.228947189908567</v>
      </c>
      <c r="W225" s="44" cm="1">
        <f t="array" ref="W225">-(W95-W92+W105-W102+W115-W112+_xlfn.IFS(W127&lt;0, -W122, W127-W122&lt;=0,W127-W122, else, W122)+W139-W134)</f>
        <v>23.106555893327076</v>
      </c>
      <c r="X225" s="44" cm="1">
        <f t="array" ref="X225">-(X95-X92+X105-X102+X115-X112+_xlfn.IFS(X127&lt;0, -X122, X127-X122&lt;=0,X127-X122, else, X122)+X139-X134)</f>
        <v>23.884737435861453</v>
      </c>
      <c r="Y225" s="44" cm="1">
        <f t="array" ref="Y225">-(Y95-Y92+Y105-Y102+Y115-Y112+_xlfn.IFS(Y127&lt;0, -Y122, Y127-Y122&lt;=0,Y127-Y122, else, Y122)+Y139-Y134)</f>
        <v>25.043414330995681</v>
      </c>
      <c r="Z225" s="44" cm="1">
        <f t="array" ref="Z225">-(Z95-Z92+Z105-Z102+Z115-Z112+_xlfn.IFS(Z127&lt;0, -Z122, Z127-Z122&lt;=0,Z127-Z122, else, Z122)+Z139-Z134)</f>
        <v>26.6208397037555</v>
      </c>
      <c r="AA225" s="44" cm="1">
        <f t="array" ref="AA225">-(AA95-AA92+AA105-AA102+AA115-AA112+_xlfn.IFS(AA127&lt;0, -AA122, AA127-AA122&lt;=0,AA127-AA122, else, AA122)+AA139-AA134)</f>
        <v>28.021733277768874</v>
      </c>
      <c r="AB225" s="44" cm="1">
        <f t="array" ref="AB225">-(AB95-AB92+AB105-AB102+AB115-AB112+_xlfn.IFS(AB127&lt;0, -AB122, AB127-AB122&lt;=0,AB127-AB122, else, AB122)+AB139-AB134)</f>
        <v>29.248290722291621</v>
      </c>
      <c r="AC225" s="44" cm="1">
        <f t="array" ref="AC225">-(AC95-AC92+AC105-AC102+AC115-AC112+_xlfn.IFS(AC127&lt;0, -AC122, AC127-AC122&lt;=0,AC127-AC122, else, AC122)+AC139-AC134)</f>
        <v>30.296028689797176</v>
      </c>
      <c r="AD225" s="44" cm="1">
        <f t="array" ref="AD225">-(AD95-AD92+AD105-AD102+AD115-AD112+_xlfn.IFS(AD127&lt;0, -AD122, AD127-AD122&lt;=0,AD127-AD122, else, AD122)+AD139-AD134)</f>
        <v>31.145839307416061</v>
      </c>
      <c r="AE225" s="44" cm="1">
        <f t="array" ref="AE225">-(AE95-AE92+AE105-AE102+AE115-AE112+_xlfn.IFS(AE127&lt;0, -AE122, AE127-AE122&lt;=0,AE127-AE122, else, AE122)+AE139-AE134)</f>
        <v>31.806778708629587</v>
      </c>
      <c r="AF225" s="44" cm="1">
        <f t="array" ref="AF225">-(AF95-AF92+AF105-AF102+AF115-AF112+_xlfn.IFS(AF127&lt;0, -AF122, AF127-AF122&lt;=0,AF127-AF122, else, AF122)+AF139-AF134)</f>
        <v>32.226279254183297</v>
      </c>
      <c r="AG225" s="44" cm="1">
        <f t="array" ref="AG225">-(AG95-AG92+AG105-AG102+AG115-AG112+_xlfn.IFS(AG127&lt;0, -AG122, AG127-AG122&lt;=0,AG127-AG122, else, AG122)+AG139-AG134)</f>
        <v>32.264513733238203</v>
      </c>
      <c r="AH225" s="44" cm="1">
        <f t="array" ref="AH225">-(AH95-AH92+AH105-AH102+AH115-AH112+_xlfn.IFS(AH127&lt;0, -AH122, AH127-AH122&lt;=0,AH127-AH122, else, AH122)+AH139-AH134)</f>
        <v>32.613049399644098</v>
      </c>
      <c r="AI225" s="44"/>
      <c r="AJ225" s="44"/>
    </row>
    <row r="226" spans="3:37" x14ac:dyDescent="0.2">
      <c r="C226" t="s">
        <v>324</v>
      </c>
      <c r="D226" s="44">
        <f t="shared" ref="D226:AH226" si="107">D95</f>
        <v>89.109936202323638</v>
      </c>
      <c r="E226" s="44">
        <f t="shared" si="107"/>
        <v>88.704043653620772</v>
      </c>
      <c r="F226" s="44">
        <f t="shared" si="107"/>
        <v>88.284941785638097</v>
      </c>
      <c r="G226" s="44">
        <f t="shared" si="107"/>
        <v>87.855717285760221</v>
      </c>
      <c r="H226" s="44">
        <f t="shared" si="107"/>
        <v>87.419485035823044</v>
      </c>
      <c r="I226" s="44">
        <f t="shared" si="107"/>
        <v>86.97934036358194</v>
      </c>
      <c r="J226" s="44">
        <f t="shared" si="107"/>
        <v>86.521509901953792</v>
      </c>
      <c r="K226" s="44">
        <f t="shared" si="107"/>
        <v>86.046345972149084</v>
      </c>
      <c r="L226" s="44">
        <f t="shared" si="107"/>
        <v>85.554208928928389</v>
      </c>
      <c r="M226" s="44">
        <f t="shared" si="107"/>
        <v>85.045464872391136</v>
      </c>
      <c r="N226" s="44">
        <f t="shared" si="107"/>
        <v>84.52048324838384</v>
      </c>
      <c r="O226" s="44">
        <f t="shared" si="107"/>
        <v>82.695352689466034</v>
      </c>
      <c r="P226" s="44">
        <f t="shared" si="107"/>
        <v>81.187072316097357</v>
      </c>
      <c r="Q226" s="44">
        <f t="shared" si="107"/>
        <v>79.319051894798747</v>
      </c>
      <c r="R226" s="44">
        <f t="shared" si="107"/>
        <v>77.450254862257637</v>
      </c>
      <c r="S226" s="44">
        <f t="shared" si="107"/>
        <v>75.583307384605774</v>
      </c>
      <c r="T226" s="44">
        <f t="shared" si="107"/>
        <v>73.697924097382227</v>
      </c>
      <c r="U226" s="44">
        <f t="shared" si="107"/>
        <v>71.793925547898851</v>
      </c>
      <c r="V226" s="44">
        <f t="shared" si="107"/>
        <v>69.871096536362472</v>
      </c>
      <c r="W226" s="44">
        <f t="shared" si="107"/>
        <v>67.929184610302457</v>
      </c>
      <c r="X226" s="44">
        <f t="shared" si="107"/>
        <v>65.967898546604644</v>
      </c>
      <c r="Y226" s="44">
        <f t="shared" si="107"/>
        <v>62.427690508865211</v>
      </c>
      <c r="Z226" s="44">
        <f t="shared" si="107"/>
        <v>59.966728804720262</v>
      </c>
      <c r="AA226" s="44">
        <f t="shared" si="107"/>
        <v>57.514969407270712</v>
      </c>
      <c r="AB226" s="44">
        <f t="shared" si="107"/>
        <v>55.072439781083489</v>
      </c>
      <c r="AC226" s="44">
        <f t="shared" si="107"/>
        <v>52.63945924595928</v>
      </c>
      <c r="AD226" s="44">
        <f t="shared" si="107"/>
        <v>50.216145806899775</v>
      </c>
      <c r="AE226" s="44">
        <f t="shared" si="107"/>
        <v>47.802704266517367</v>
      </c>
      <c r="AF226" s="44">
        <f t="shared" si="107"/>
        <v>45.399285040251534</v>
      </c>
      <c r="AG226" s="44">
        <f t="shared" si="107"/>
        <v>43.005982110133338</v>
      </c>
      <c r="AH226" s="44">
        <f t="shared" si="107"/>
        <v>40.622830968898207</v>
      </c>
    </row>
    <row r="227" spans="3:37" x14ac:dyDescent="0.2">
      <c r="C227" t="s">
        <v>310</v>
      </c>
      <c r="D227" s="44">
        <f t="shared" ref="D227:AH227" si="108">IF(D127&lt;0,0,D127)</f>
        <v>34.871127768537121</v>
      </c>
      <c r="E227" s="44">
        <f t="shared" si="108"/>
        <v>34.133591062111122</v>
      </c>
      <c r="F227" s="44">
        <f t="shared" si="108"/>
        <v>33.382108841282083</v>
      </c>
      <c r="G227" s="44">
        <f t="shared" si="108"/>
        <v>32.619513880633718</v>
      </c>
      <c r="H227" s="44">
        <f t="shared" si="108"/>
        <v>31.848657994950585</v>
      </c>
      <c r="I227" s="44">
        <f t="shared" si="108"/>
        <v>31.072367958995272</v>
      </c>
      <c r="J227" s="44">
        <f t="shared" si="108"/>
        <v>30.284967355641356</v>
      </c>
      <c r="K227" s="44">
        <f t="shared" si="108"/>
        <v>29.475172324909188</v>
      </c>
      <c r="L227" s="44">
        <f t="shared" si="108"/>
        <v>28.643101905228914</v>
      </c>
      <c r="M227" s="44">
        <f t="shared" si="108"/>
        <v>27.788878840983415</v>
      </c>
      <c r="N227" s="44">
        <f t="shared" si="108"/>
        <v>26.912627462340538</v>
      </c>
      <c r="O227" s="44">
        <f t="shared" si="108"/>
        <v>25.730091451566715</v>
      </c>
      <c r="P227" s="44">
        <f t="shared" si="108"/>
        <v>24.514306453996674</v>
      </c>
      <c r="Q227" s="44">
        <f t="shared" si="108"/>
        <v>23.366817461802221</v>
      </c>
      <c r="R227" s="44">
        <f t="shared" si="108"/>
        <v>22.242723944500312</v>
      </c>
      <c r="S227" s="44">
        <f t="shared" si="108"/>
        <v>21.145708174729148</v>
      </c>
      <c r="T227" s="44">
        <f t="shared" si="108"/>
        <v>20.046148934610869</v>
      </c>
      <c r="U227" s="44">
        <f t="shared" si="108"/>
        <v>18.950212506071519</v>
      </c>
      <c r="V227" s="44">
        <f t="shared" si="108"/>
        <v>17.858407578180721</v>
      </c>
      <c r="W227" s="44">
        <f t="shared" si="108"/>
        <v>16.771224514901029</v>
      </c>
      <c r="X227" s="44">
        <f t="shared" si="108"/>
        <v>15.689133812480565</v>
      </c>
      <c r="Y227" s="44">
        <f t="shared" si="108"/>
        <v>14.435108627194811</v>
      </c>
      <c r="Z227" s="44">
        <f t="shared" si="108"/>
        <v>12.968897689166308</v>
      </c>
      <c r="AA227" s="44">
        <f t="shared" si="108"/>
        <v>11.528687432774415</v>
      </c>
      <c r="AB227" s="44">
        <f t="shared" si="108"/>
        <v>10.114284347379217</v>
      </c>
      <c r="AC227" s="44">
        <f t="shared" si="108"/>
        <v>8.7267831188559022</v>
      </c>
      <c r="AD227" s="44">
        <f t="shared" si="108"/>
        <v>7.3720880790251044</v>
      </c>
      <c r="AE227" s="44">
        <f t="shared" si="108"/>
        <v>6.0466563078320741</v>
      </c>
      <c r="AF227" s="44">
        <f t="shared" si="108"/>
        <v>4.7996903258164529</v>
      </c>
      <c r="AG227" s="44">
        <f t="shared" si="108"/>
        <v>3.7676697462532047</v>
      </c>
      <c r="AH227" s="44">
        <f t="shared" si="108"/>
        <v>2.2556986580856182</v>
      </c>
    </row>
    <row r="228" spans="3:37" x14ac:dyDescent="0.2">
      <c r="C228" t="s">
        <v>311</v>
      </c>
      <c r="D228" s="44">
        <f t="shared" ref="D228:AH228" si="109">D105</f>
        <v>8.4778361655826675</v>
      </c>
      <c r="E228" s="44">
        <f t="shared" si="109"/>
        <v>8.5126767963312382</v>
      </c>
      <c r="F228" s="44">
        <f t="shared" si="109"/>
        <v>8.550133554135904</v>
      </c>
      <c r="G228" s="44">
        <f t="shared" si="109"/>
        <v>8.5907696118175298</v>
      </c>
      <c r="H228" s="44">
        <f t="shared" si="109"/>
        <v>8.635152064558234</v>
      </c>
      <c r="I228" s="44">
        <f t="shared" si="109"/>
        <v>8.6838453308894419</v>
      </c>
      <c r="J228" s="44">
        <f t="shared" si="109"/>
        <v>8.7333029881445956</v>
      </c>
      <c r="K228" s="44">
        <f t="shared" si="109"/>
        <v>8.783624659859294</v>
      </c>
      <c r="L228" s="44">
        <f t="shared" si="109"/>
        <v>8.8349134419642752</v>
      </c>
      <c r="M228" s="44">
        <f t="shared" si="109"/>
        <v>8.8872757620607317</v>
      </c>
      <c r="N228" s="44">
        <f t="shared" si="109"/>
        <v>8.9408212251101205</v>
      </c>
      <c r="O228" s="44">
        <f t="shared" si="109"/>
        <v>8.8664938359298695</v>
      </c>
      <c r="P228" s="44">
        <f t="shared" si="109"/>
        <v>8.7870726030922626</v>
      </c>
      <c r="Q228" s="44">
        <f t="shared" si="109"/>
        <v>8.724025871093783</v>
      </c>
      <c r="R228" s="44">
        <f t="shared" si="109"/>
        <v>8.6675927342348462</v>
      </c>
      <c r="S228" s="44">
        <f t="shared" si="109"/>
        <v>8.6184776713826849</v>
      </c>
      <c r="T228" s="44">
        <f t="shared" si="109"/>
        <v>8.572214678270214</v>
      </c>
      <c r="U228" s="44">
        <f t="shared" si="109"/>
        <v>8.5289356920704797</v>
      </c>
      <c r="V228" s="44">
        <f t="shared" si="109"/>
        <v>8.4887721130022147</v>
      </c>
      <c r="W228" s="44">
        <f t="shared" si="109"/>
        <v>8.4518546652107389</v>
      </c>
      <c r="X228" s="44">
        <f t="shared" si="109"/>
        <v>8.4183132561523983</v>
      </c>
      <c r="Y228" s="44">
        <f t="shared" si="109"/>
        <v>8.1603755336285939</v>
      </c>
      <c r="Z228" s="44">
        <f t="shared" si="109"/>
        <v>7.8584805512175144</v>
      </c>
      <c r="AA228" s="44">
        <f t="shared" si="109"/>
        <v>7.5658489751401801</v>
      </c>
      <c r="AB228" s="44">
        <f t="shared" si="109"/>
        <v>7.2788998251299377</v>
      </c>
      <c r="AC228" s="44">
        <f t="shared" si="109"/>
        <v>6.9980902659050894</v>
      </c>
      <c r="AD228" s="44">
        <f t="shared" si="109"/>
        <v>6.7238492862179191</v>
      </c>
      <c r="AE228" s="44">
        <f t="shared" si="109"/>
        <v>6.4566460744300809</v>
      </c>
      <c r="AF228" s="44">
        <f t="shared" si="109"/>
        <v>6.1969572792663143</v>
      </c>
      <c r="AG228" s="44">
        <f t="shared" si="109"/>
        <v>5.9452669147184762</v>
      </c>
      <c r="AH228" s="44">
        <f t="shared" si="109"/>
        <v>5.7020662664057848</v>
      </c>
    </row>
    <row r="229" spans="3:37" x14ac:dyDescent="0.2">
      <c r="C229" s="131" t="s">
        <v>320</v>
      </c>
      <c r="D229" s="44">
        <f t="shared" ref="D229:AH229" si="110">D115</f>
        <v>3.4336211538461541</v>
      </c>
      <c r="E229" s="44">
        <f t="shared" si="110"/>
        <v>3.3497794221347466</v>
      </c>
      <c r="F229" s="44">
        <f t="shared" si="110"/>
        <v>3.2662742376905931</v>
      </c>
      <c r="G229" s="44">
        <f t="shared" si="110"/>
        <v>3.1833573721149535</v>
      </c>
      <c r="H229" s="44">
        <f t="shared" si="110"/>
        <v>3.1012436293209049</v>
      </c>
      <c r="I229" s="44">
        <f t="shared" si="110"/>
        <v>3.0201060624199192</v>
      </c>
      <c r="J229" s="44">
        <f t="shared" si="110"/>
        <v>2.9397029086421735</v>
      </c>
      <c r="K229" s="44">
        <f t="shared" si="110"/>
        <v>2.8579653098993143</v>
      </c>
      <c r="L229" s="44">
        <f t="shared" si="110"/>
        <v>2.7748907419377411</v>
      </c>
      <c r="M229" s="44">
        <f t="shared" si="110"/>
        <v>2.6904702916190368</v>
      </c>
      <c r="N229" s="44">
        <f t="shared" si="110"/>
        <v>2.6046881479396409</v>
      </c>
      <c r="O229" s="44">
        <f t="shared" si="110"/>
        <v>2.5257263959003859</v>
      </c>
      <c r="P229" s="44">
        <f t="shared" si="110"/>
        <v>2.4466328856899389</v>
      </c>
      <c r="Q229" s="44">
        <f t="shared" si="110"/>
        <v>2.3807051478941252</v>
      </c>
      <c r="R229" s="44">
        <f t="shared" si="110"/>
        <v>2.3213245404981282</v>
      </c>
      <c r="S229" s="44">
        <f t="shared" si="110"/>
        <v>2.268473740063329</v>
      </c>
      <c r="T229" s="44">
        <f t="shared" si="110"/>
        <v>2.2161907915378611</v>
      </c>
      <c r="U229" s="44">
        <f t="shared" si="110"/>
        <v>2.1665013104286039</v>
      </c>
      <c r="V229" s="44">
        <f t="shared" si="110"/>
        <v>2.1191618025730175</v>
      </c>
      <c r="W229" s="44">
        <f t="shared" si="110"/>
        <v>2.0739159290569082</v>
      </c>
      <c r="X229" s="44">
        <f t="shared" si="110"/>
        <v>2.0304944685028117</v>
      </c>
      <c r="Y229" s="44">
        <f t="shared" si="110"/>
        <v>1.9554121929453594</v>
      </c>
      <c r="Z229" s="44">
        <f t="shared" si="110"/>
        <v>1.8593414987629533</v>
      </c>
      <c r="AA229" s="44">
        <f t="shared" si="110"/>
        <v>1.7666311441956497</v>
      </c>
      <c r="AB229" s="44">
        <f t="shared" si="110"/>
        <v>1.6768491790588156</v>
      </c>
      <c r="AC229" s="44">
        <f t="shared" si="110"/>
        <v>1.589544694755044</v>
      </c>
      <c r="AD229" s="44">
        <f t="shared" si="110"/>
        <v>1.5078827470821197</v>
      </c>
      <c r="AE229" s="44">
        <f t="shared" si="110"/>
        <v>1.4283805256443354</v>
      </c>
      <c r="AF229" s="44">
        <f t="shared" si="110"/>
        <v>1.3505809653918979</v>
      </c>
      <c r="AG229" s="44">
        <f t="shared" si="110"/>
        <v>1.2740097436635573</v>
      </c>
      <c r="AH229" s="44">
        <f t="shared" si="110"/>
        <v>1.1981753095039533</v>
      </c>
    </row>
    <row r="230" spans="3:37" x14ac:dyDescent="0.2">
      <c r="C230" t="s">
        <v>321</v>
      </c>
      <c r="D230" s="44">
        <f>D219</f>
        <v>0</v>
      </c>
      <c r="E230" s="44">
        <f t="shared" ref="E230:AH230" si="111">E219</f>
        <v>0.67110171196554103</v>
      </c>
      <c r="F230" s="44">
        <f t="shared" si="111"/>
        <v>0.75796752501421338</v>
      </c>
      <c r="G230" s="44">
        <f t="shared" si="111"/>
        <v>0.85616184156287534</v>
      </c>
      <c r="H230" s="44">
        <f t="shared" si="111"/>
        <v>0.9671713517084386</v>
      </c>
      <c r="I230" s="44">
        <f t="shared" si="111"/>
        <v>1.0926788620857466</v>
      </c>
      <c r="J230" s="44">
        <f t="shared" si="111"/>
        <v>1.2345892759355666</v>
      </c>
      <c r="K230" s="44">
        <f t="shared" si="111"/>
        <v>1.3950590265859308</v>
      </c>
      <c r="L230" s="44">
        <f t="shared" si="111"/>
        <v>1.5765294246538997</v>
      </c>
      <c r="M230" s="44">
        <f t="shared" si="111"/>
        <v>1.7817644407638649</v>
      </c>
      <c r="N230" s="44">
        <f t="shared" si="111"/>
        <v>2.0138935152958402</v>
      </c>
      <c r="O230" s="44">
        <f t="shared" si="111"/>
        <v>2.2764600657252894</v>
      </c>
      <c r="P230" s="44">
        <f t="shared" si="111"/>
        <v>2.5734764517453481</v>
      </c>
      <c r="Q230" s="44">
        <f t="shared" si="111"/>
        <v>2.9094862599913314</v>
      </c>
      <c r="R230" s="44">
        <f t="shared" si="111"/>
        <v>3.2896348854242845</v>
      </c>
      <c r="S230" s="44">
        <f t="shared" si="111"/>
        <v>3.7197495171000581</v>
      </c>
      <c r="T230" s="44">
        <f t="shared" si="111"/>
        <v>4.2064297842214451</v>
      </c>
      <c r="U230" s="44">
        <f t="shared" si="111"/>
        <v>4.7571504863910397</v>
      </c>
      <c r="V230" s="44">
        <f t="shared" si="111"/>
        <v>5.3803780225130033</v>
      </c>
      <c r="W230" s="44">
        <f t="shared" si="111"/>
        <v>6.0857023488525108</v>
      </c>
      <c r="X230" s="44">
        <f t="shared" si="111"/>
        <v>6.8839865417768289</v>
      </c>
      <c r="Y230" s="44">
        <f t="shared" si="111"/>
        <v>7.7875363185562083</v>
      </c>
      <c r="Z230" s="44">
        <f t="shared" si="111"/>
        <v>8.8102921847018152</v>
      </c>
      <c r="AA230" s="44">
        <f t="shared" si="111"/>
        <v>9.9680472336598847</v>
      </c>
      <c r="AB230" s="44">
        <f t="shared" si="111"/>
        <v>11.27869402993422</v>
      </c>
      <c r="AC230" s="44">
        <f t="shared" si="111"/>
        <v>12.762504466303872</v>
      </c>
      <c r="AD230" s="44">
        <f t="shared" si="111"/>
        <v>14.442447007032245</v>
      </c>
      <c r="AE230" s="44">
        <f t="shared" si="111"/>
        <v>16.34454632010209</v>
      </c>
      <c r="AF230" s="44">
        <f t="shared" si="111"/>
        <v>18.498290971941969</v>
      </c>
      <c r="AG230" s="44">
        <f t="shared" si="111"/>
        <v>20.937095618479546</v>
      </c>
      <c r="AH230" s="44">
        <f t="shared" si="111"/>
        <v>23.698824988741201</v>
      </c>
    </row>
    <row r="231" spans="3:37" x14ac:dyDescent="0.2">
      <c r="C231" t="s">
        <v>248</v>
      </c>
      <c r="D231" s="44">
        <f t="shared" ref="D231:AH231" si="112">D139-D230</f>
        <v>26.799786402018107</v>
      </c>
      <c r="E231" s="44">
        <f t="shared" si="112"/>
        <v>28.381506317036532</v>
      </c>
      <c r="F231" s="44">
        <f t="shared" si="112"/>
        <v>30.004708481252031</v>
      </c>
      <c r="G231" s="44">
        <f t="shared" si="112"/>
        <v>31.671308733946614</v>
      </c>
      <c r="H231" s="44">
        <f t="shared" si="112"/>
        <v>33.383258618981564</v>
      </c>
      <c r="I231" s="44">
        <f t="shared" si="112"/>
        <v>35.142529287904509</v>
      </c>
      <c r="J231" s="44">
        <f t="shared" si="112"/>
        <v>36.487177233272554</v>
      </c>
      <c r="K231" s="44">
        <f t="shared" si="112"/>
        <v>37.860264637189481</v>
      </c>
      <c r="L231" s="44">
        <f t="shared" si="112"/>
        <v>39.262331841411537</v>
      </c>
      <c r="M231" s="44">
        <f t="shared" si="112"/>
        <v>40.69391913399491</v>
      </c>
      <c r="N231" s="44">
        <f t="shared" si="112"/>
        <v>42.155565699490751</v>
      </c>
      <c r="O231" s="44">
        <f t="shared" si="112"/>
        <v>41.591032903663134</v>
      </c>
      <c r="P231" s="44">
        <f t="shared" si="112"/>
        <v>41.022668972367136</v>
      </c>
      <c r="Q231" s="44">
        <f t="shared" si="112"/>
        <v>40.4684584814975</v>
      </c>
      <c r="R231" s="44">
        <f t="shared" si="112"/>
        <v>39.921902778115708</v>
      </c>
      <c r="S231" s="44">
        <f t="shared" si="112"/>
        <v>39.384640997716453</v>
      </c>
      <c r="T231" s="44">
        <f t="shared" si="112"/>
        <v>38.710532233740935</v>
      </c>
      <c r="U231" s="44">
        <f t="shared" si="112"/>
        <v>38.034563134649368</v>
      </c>
      <c r="V231" s="44">
        <f t="shared" si="112"/>
        <v>37.356956172060535</v>
      </c>
      <c r="W231" s="44">
        <f t="shared" si="112"/>
        <v>36.677934025750446</v>
      </c>
      <c r="X231" s="44">
        <f t="shared" si="112"/>
        <v>35.997719456483409</v>
      </c>
      <c r="Y231" s="44">
        <f t="shared" si="112"/>
        <v>35.050703615216385</v>
      </c>
      <c r="Z231" s="44">
        <f t="shared" si="112"/>
        <v>34.0687840914822</v>
      </c>
      <c r="AA231" s="44">
        <f t="shared" si="112"/>
        <v>33.090966282051667</v>
      </c>
      <c r="AB231" s="44">
        <f t="shared" si="112"/>
        <v>32.116584420939425</v>
      </c>
      <c r="AC231" s="44">
        <f t="shared" si="112"/>
        <v>31.146005039407733</v>
      </c>
      <c r="AD231" s="44">
        <f t="shared" si="112"/>
        <v>30.078127945440805</v>
      </c>
      <c r="AE231" s="44">
        <f t="shared" si="112"/>
        <v>29.01485621139085</v>
      </c>
      <c r="AF231" s="44">
        <f t="shared" si="112"/>
        <v>27.956562338672171</v>
      </c>
      <c r="AG231" s="44">
        <f t="shared" si="112"/>
        <v>26.903617758588261</v>
      </c>
      <c r="AH231" s="44">
        <f t="shared" si="112"/>
        <v>25.856392753866508</v>
      </c>
    </row>
    <row r="232" spans="3:37" x14ac:dyDescent="0.2">
      <c r="D232" s="44">
        <f>SUM(D226:D231)</f>
        <v>162.69230769230768</v>
      </c>
      <c r="E232" s="44">
        <f t="shared" ref="E232:AG232" si="113">SUM(E226:E231)</f>
        <v>163.75269896319998</v>
      </c>
      <c r="F232" s="44">
        <f t="shared" si="113"/>
        <v>164.24613442501291</v>
      </c>
      <c r="G232" s="44">
        <f t="shared" si="113"/>
        <v>164.77682872583591</v>
      </c>
      <c r="H232" s="44">
        <f t="shared" si="113"/>
        <v>165.35496869534276</v>
      </c>
      <c r="I232" s="44">
        <f t="shared" si="113"/>
        <v>165.99086786587679</v>
      </c>
      <c r="J232" s="44">
        <f t="shared" si="113"/>
        <v>166.20124966359003</v>
      </c>
      <c r="K232" s="44">
        <f t="shared" si="113"/>
        <v>166.41843193059231</v>
      </c>
      <c r="L232" s="44">
        <f t="shared" si="113"/>
        <v>166.64597628412474</v>
      </c>
      <c r="M232" s="44">
        <f t="shared" si="113"/>
        <v>166.8877733418131</v>
      </c>
      <c r="N232" s="44">
        <f t="shared" si="113"/>
        <v>167.14807929856073</v>
      </c>
      <c r="O232" s="44">
        <f t="shared" si="113"/>
        <v>163.68515734225144</v>
      </c>
      <c r="P232" s="44">
        <f t="shared" si="113"/>
        <v>160.53122968298874</v>
      </c>
      <c r="Q232" s="44">
        <f t="shared" si="113"/>
        <v>157.16854511707768</v>
      </c>
      <c r="R232" s="44">
        <f t="shared" si="113"/>
        <v>153.8934337450309</v>
      </c>
      <c r="S232" s="44">
        <f t="shared" si="113"/>
        <v>150.72035748559745</v>
      </c>
      <c r="T232" s="44">
        <f t="shared" si="113"/>
        <v>147.44944051976353</v>
      </c>
      <c r="U232" s="44">
        <f t="shared" si="113"/>
        <v>144.23128867750987</v>
      </c>
      <c r="V232" s="44">
        <f t="shared" si="113"/>
        <v>141.07477222469197</v>
      </c>
      <c r="W232" s="44">
        <f t="shared" si="113"/>
        <v>137.98981609407409</v>
      </c>
      <c r="X232" s="44">
        <f t="shared" si="113"/>
        <v>134.98754608200068</v>
      </c>
      <c r="Y232" s="44">
        <f t="shared" si="113"/>
        <v>129.81682679640656</v>
      </c>
      <c r="Z232" s="44">
        <f t="shared" si="113"/>
        <v>125.53252482005107</v>
      </c>
      <c r="AA232" s="44">
        <f t="shared" si="113"/>
        <v>121.43515047509253</v>
      </c>
      <c r="AB232" s="44">
        <f t="shared" si="113"/>
        <v>117.53775158352511</v>
      </c>
      <c r="AC232" s="44">
        <f t="shared" si="113"/>
        <v>113.86238683118691</v>
      </c>
      <c r="AD232" s="44">
        <f t="shared" si="113"/>
        <v>110.34054087169795</v>
      </c>
      <c r="AE232" s="44">
        <f t="shared" si="113"/>
        <v>107.09378970591681</v>
      </c>
      <c r="AF232" s="44">
        <f t="shared" si="113"/>
        <v>104.20136692134034</v>
      </c>
      <c r="AG232" s="44">
        <f t="shared" si="113"/>
        <v>101.83364189183638</v>
      </c>
      <c r="AH232" s="44">
        <f>SUM(AH226:AH231)</f>
        <v>99.333988945501289</v>
      </c>
      <c r="AJ232" s="44">
        <f>AH233-AH232</f>
        <v>180.77060389482926</v>
      </c>
      <c r="AK232">
        <f>AJ232/AH233</f>
        <v>0.64536822499684909</v>
      </c>
    </row>
    <row r="233" spans="3:37" x14ac:dyDescent="0.2">
      <c r="C233" t="s">
        <v>364</v>
      </c>
      <c r="D233" s="44">
        <f>SUM(D223:D231)</f>
        <v>162.69230769230768</v>
      </c>
      <c r="E233" s="44">
        <f t="shared" ref="E233:AH233" si="114">SUM(E223:E231)</f>
        <v>167.40712626892559</v>
      </c>
      <c r="F233" s="44">
        <f t="shared" si="114"/>
        <v>171.63794644411604</v>
      </c>
      <c r="G233" s="44">
        <f t="shared" si="114"/>
        <v>175.98281383905396</v>
      </c>
      <c r="H233" s="44">
        <f t="shared" si="114"/>
        <v>180.44575773916088</v>
      </c>
      <c r="I233" s="44">
        <f t="shared" si="114"/>
        <v>185.0310664407865</v>
      </c>
      <c r="J233" s="44">
        <f t="shared" si="114"/>
        <v>189.24179989074611</v>
      </c>
      <c r="K233" s="44">
        <f t="shared" si="114"/>
        <v>193.56090949579615</v>
      </c>
      <c r="L233" s="44">
        <f t="shared" si="114"/>
        <v>197.99281651696145</v>
      </c>
      <c r="M233" s="44">
        <f t="shared" si="114"/>
        <v>202.54230848418706</v>
      </c>
      <c r="N233" s="44">
        <f t="shared" si="114"/>
        <v>207.21458296607977</v>
      </c>
      <c r="O233" s="44">
        <f t="shared" si="114"/>
        <v>209.97275072517863</v>
      </c>
      <c r="P233" s="44">
        <f t="shared" si="114"/>
        <v>212.79623085043099</v>
      </c>
      <c r="Q233" s="44">
        <f t="shared" si="114"/>
        <v>215.68995831846587</v>
      </c>
      <c r="R233" s="44">
        <f t="shared" si="114"/>
        <v>218.65947505592345</v>
      </c>
      <c r="S233" s="44">
        <f t="shared" si="114"/>
        <v>221.71100999590487</v>
      </c>
      <c r="T233" s="44">
        <f t="shared" si="114"/>
        <v>224.70598823181291</v>
      </c>
      <c r="U233" s="44">
        <f t="shared" si="114"/>
        <v>227.79450875084729</v>
      </c>
      <c r="V233" s="44">
        <f t="shared" si="114"/>
        <v>230.98539725151974</v>
      </c>
      <c r="W233" s="44">
        <f t="shared" si="114"/>
        <v>234.28860759171289</v>
      </c>
      <c r="X233" s="44">
        <f t="shared" si="114"/>
        <v>237.71537141429957</v>
      </c>
      <c r="Y233" s="44">
        <f t="shared" si="114"/>
        <v>241.11665087088087</v>
      </c>
      <c r="Z233" s="44">
        <f t="shared" si="114"/>
        <v>244.66465033328686</v>
      </c>
      <c r="AA233" s="44">
        <f t="shared" si="114"/>
        <v>248.37547549735882</v>
      </c>
      <c r="AB233" s="44">
        <f t="shared" si="114"/>
        <v>252.26733526009801</v>
      </c>
      <c r="AC233" s="44">
        <f t="shared" si="114"/>
        <v>256.36082162457058</v>
      </c>
      <c r="AD233" s="44">
        <f t="shared" si="114"/>
        <v>260.548851149857</v>
      </c>
      <c r="AE233" s="44">
        <f t="shared" si="114"/>
        <v>264.98544767252184</v>
      </c>
      <c r="AF233" s="44">
        <f t="shared" si="114"/>
        <v>269.70038941015417</v>
      </c>
      <c r="AG233" s="44">
        <f t="shared" si="114"/>
        <v>274.72738406284412</v>
      </c>
      <c r="AH233" s="44">
        <f t="shared" si="114"/>
        <v>280.10459284033055</v>
      </c>
    </row>
    <row r="234" spans="3:37" x14ac:dyDescent="0.2">
      <c r="C234" t="s">
        <v>366</v>
      </c>
      <c r="D234" s="44">
        <f>D221-D233</f>
        <v>0</v>
      </c>
      <c r="E234" s="44">
        <f t="shared" ref="E234:AH234" si="115">E221-E233</f>
        <v>0</v>
      </c>
      <c r="F234" s="44">
        <f t="shared" si="115"/>
        <v>0</v>
      </c>
      <c r="G234" s="44">
        <f t="shared" si="115"/>
        <v>0</v>
      </c>
      <c r="H234" s="44">
        <f t="shared" si="115"/>
        <v>0</v>
      </c>
      <c r="I234" s="44">
        <f t="shared" si="115"/>
        <v>0</v>
      </c>
      <c r="J234" s="44">
        <f t="shared" si="115"/>
        <v>0</v>
      </c>
      <c r="K234" s="44">
        <f t="shared" si="115"/>
        <v>0</v>
      </c>
      <c r="L234" s="44">
        <f t="shared" si="115"/>
        <v>0</v>
      </c>
      <c r="M234" s="44">
        <f t="shared" si="115"/>
        <v>0</v>
      </c>
      <c r="N234" s="44">
        <f t="shared" si="115"/>
        <v>0</v>
      </c>
      <c r="O234" s="44">
        <f t="shared" si="115"/>
        <v>0</v>
      </c>
      <c r="P234" s="44">
        <f t="shared" si="115"/>
        <v>0</v>
      </c>
      <c r="Q234" s="44">
        <f t="shared" si="115"/>
        <v>0</v>
      </c>
      <c r="R234" s="44">
        <f t="shared" si="115"/>
        <v>0</v>
      </c>
      <c r="S234" s="44">
        <f t="shared" si="115"/>
        <v>0</v>
      </c>
      <c r="T234" s="44">
        <f t="shared" si="115"/>
        <v>0</v>
      </c>
      <c r="U234" s="44">
        <f t="shared" si="115"/>
        <v>0</v>
      </c>
      <c r="V234" s="44">
        <f t="shared" si="115"/>
        <v>0</v>
      </c>
      <c r="W234" s="44">
        <f t="shared" si="115"/>
        <v>0</v>
      </c>
      <c r="X234" s="44">
        <f t="shared" si="115"/>
        <v>0</v>
      </c>
      <c r="Y234" s="44">
        <f t="shared" si="115"/>
        <v>0</v>
      </c>
      <c r="Z234" s="44">
        <f t="shared" si="115"/>
        <v>0</v>
      </c>
      <c r="AA234" s="44">
        <f t="shared" si="115"/>
        <v>0</v>
      </c>
      <c r="AB234" s="44">
        <f t="shared" si="115"/>
        <v>0</v>
      </c>
      <c r="AC234" s="44">
        <f t="shared" si="115"/>
        <v>0</v>
      </c>
      <c r="AD234" s="44">
        <f t="shared" si="115"/>
        <v>0</v>
      </c>
      <c r="AE234" s="44">
        <f t="shared" si="115"/>
        <v>0</v>
      </c>
      <c r="AF234" s="44">
        <f t="shared" si="115"/>
        <v>0</v>
      </c>
      <c r="AG234" s="44">
        <f t="shared" si="115"/>
        <v>0</v>
      </c>
      <c r="AH234" s="44">
        <f t="shared" si="115"/>
        <v>0</v>
      </c>
      <c r="AJ234" s="208" t="s">
        <v>367</v>
      </c>
    </row>
    <row r="237" spans="3:37" x14ac:dyDescent="0.2">
      <c r="D237">
        <v>0</v>
      </c>
      <c r="E237">
        <v>1.536629370398227</v>
      </c>
      <c r="F237">
        <v>3.1378748325882846</v>
      </c>
      <c r="G237">
        <v>4.8058553576172116</v>
      </c>
      <c r="H237">
        <v>6.5427536949323617</v>
      </c>
      <c r="I237">
        <v>8.3508182176378458</v>
      </c>
      <c r="J237">
        <v>10.217469827567287</v>
      </c>
      <c r="K237">
        <v>12.154211139074649</v>
      </c>
      <c r="L237">
        <v>14.163118058249779</v>
      </c>
      <c r="M237">
        <v>16.24632257664706</v>
      </c>
      <c r="N237">
        <v>18.406014218163605</v>
      </c>
      <c r="O237">
        <v>21.676808060647105</v>
      </c>
      <c r="P237">
        <v>25.036356409643663</v>
      </c>
      <c r="Q237">
        <v>28.486535597029693</v>
      </c>
      <c r="R237">
        <v>32.029257724360271</v>
      </c>
      <c r="S237">
        <v>35.66647130542372</v>
      </c>
      <c r="T237">
        <v>39.388631859985964</v>
      </c>
      <c r="U237">
        <v>43.207567935326288</v>
      </c>
      <c r="V237">
        <v>47.125285993971872</v>
      </c>
      <c r="W237">
        <v>51.143830349675852</v>
      </c>
      <c r="X237">
        <v>55.265283843432556</v>
      </c>
      <c r="Y237">
        <v>59.784910861707516</v>
      </c>
      <c r="Z237">
        <v>64.415322852446096</v>
      </c>
      <c r="AA237">
        <v>69.158648853034379</v>
      </c>
      <c r="AB237">
        <v>74.01705345396455</v>
      </c>
      <c r="AC237">
        <v>78.992737312011329</v>
      </c>
      <c r="AD237">
        <v>84.071040960058355</v>
      </c>
      <c r="AE237">
        <v>89.269441331294743</v>
      </c>
      <c r="AF237">
        <v>94.590203155583168</v>
      </c>
      <c r="AG237">
        <v>100.03562839627524</v>
      </c>
      <c r="AH237">
        <v>105.6080567761972</v>
      </c>
    </row>
    <row r="238" spans="3:37" x14ac:dyDescent="0.2">
      <c r="D238">
        <v>0</v>
      </c>
      <c r="E238">
        <v>0.88032096302665375</v>
      </c>
      <c r="F238">
        <v>1.7923715721163194</v>
      </c>
      <c r="G238">
        <v>2.7370689034583591</v>
      </c>
      <c r="H238">
        <v>3.7153551448618489</v>
      </c>
      <c r="I238">
        <v>4.7281982763014065</v>
      </c>
      <c r="J238">
        <v>5.7716277714562478</v>
      </c>
      <c r="K238">
        <v>6.8497043932258856</v>
      </c>
      <c r="L238">
        <v>7.9633507888078139</v>
      </c>
      <c r="M238">
        <v>9.1135124907166087</v>
      </c>
      <c r="N238">
        <v>10.301158469973473</v>
      </c>
      <c r="O238">
        <v>11.489653821159925</v>
      </c>
      <c r="P238">
        <v>12.339951903720573</v>
      </c>
      <c r="Q238">
        <v>13.625205994608486</v>
      </c>
      <c r="R238">
        <v>14.944056090340322</v>
      </c>
      <c r="S238">
        <v>16.297204430567216</v>
      </c>
      <c r="T238">
        <v>17.681523390035366</v>
      </c>
      <c r="U238">
        <v>19.101010847302735</v>
      </c>
      <c r="V238">
        <v>20.556391842947328</v>
      </c>
      <c r="W238">
        <v>22.048405254635831</v>
      </c>
      <c r="X238">
        <v>23.577804053004886</v>
      </c>
      <c r="Y238">
        <v>26.471498881771154</v>
      </c>
      <c r="Z238">
        <v>28.095962957034189</v>
      </c>
      <c r="AA238">
        <v>29.759942891463062</v>
      </c>
      <c r="AB238">
        <v>31.464239500316712</v>
      </c>
      <c r="AC238">
        <v>33.209668791575169</v>
      </c>
      <c r="AD238">
        <v>34.991430010684603</v>
      </c>
      <c r="AE238">
        <v>36.815437926680701</v>
      </c>
      <c r="AF238">
        <v>38.682540079047406</v>
      </c>
      <c r="AG238">
        <v>40.593600041494263</v>
      </c>
      <c r="AH238">
        <v>42.549497718987986</v>
      </c>
    </row>
    <row r="239" spans="3:37" x14ac:dyDescent="0.2">
      <c r="D239">
        <v>0</v>
      </c>
      <c r="E239">
        <v>1.2374769723007439</v>
      </c>
      <c r="F239">
        <v>2.4615656143985092</v>
      </c>
      <c r="G239">
        <v>3.6630608521424683</v>
      </c>
      <c r="H239">
        <v>4.8326802040239194</v>
      </c>
      <c r="I239">
        <v>5.9611820809704241</v>
      </c>
      <c r="J239">
        <v>7.0514526281325089</v>
      </c>
      <c r="K239">
        <v>8.1385620329033159</v>
      </c>
      <c r="L239">
        <v>9.220371385779103</v>
      </c>
      <c r="M239">
        <v>10.294700075010283</v>
      </c>
      <c r="N239">
        <v>11.359330979381973</v>
      </c>
      <c r="O239">
        <v>13.121131501120111</v>
      </c>
      <c r="P239">
        <v>14.888692854078009</v>
      </c>
      <c r="Q239">
        <v>16.409671609749999</v>
      </c>
      <c r="R239">
        <v>17.792727496191965</v>
      </c>
      <c r="S239">
        <v>19.026976774316452</v>
      </c>
      <c r="T239">
        <v>20.186392462028024</v>
      </c>
      <c r="U239">
        <v>21.254641290708374</v>
      </c>
      <c r="V239">
        <v>22.228947189908567</v>
      </c>
      <c r="W239">
        <v>23.106555893327076</v>
      </c>
      <c r="X239">
        <v>23.884737435861453</v>
      </c>
      <c r="Y239">
        <v>25.043414330995681</v>
      </c>
      <c r="Z239">
        <v>26.6208397037555</v>
      </c>
      <c r="AA239">
        <v>28.021733277768874</v>
      </c>
      <c r="AB239">
        <v>29.248290722291621</v>
      </c>
      <c r="AC239">
        <v>30.296028689797176</v>
      </c>
      <c r="AD239">
        <v>31.145839307416061</v>
      </c>
      <c r="AE239">
        <v>31.806778708629587</v>
      </c>
      <c r="AF239">
        <v>32.226279254183297</v>
      </c>
      <c r="AG239">
        <v>32.264513733238203</v>
      </c>
      <c r="AH239">
        <v>32.613049399644098</v>
      </c>
    </row>
    <row r="240" spans="3:37" x14ac:dyDescent="0.2">
      <c r="D240">
        <v>89.109936202323638</v>
      </c>
      <c r="E240">
        <v>88.704043653620772</v>
      </c>
      <c r="F240">
        <v>88.284941785638097</v>
      </c>
      <c r="G240">
        <v>87.855717285760221</v>
      </c>
      <c r="H240">
        <v>87.419485035823044</v>
      </c>
      <c r="I240">
        <v>86.97934036358194</v>
      </c>
      <c r="J240">
        <v>86.521509901953792</v>
      </c>
      <c r="K240">
        <v>86.046345972149084</v>
      </c>
      <c r="L240">
        <v>85.554208928928389</v>
      </c>
      <c r="M240">
        <v>85.045464872391136</v>
      </c>
      <c r="N240">
        <v>84.52048324838384</v>
      </c>
      <c r="O240">
        <v>82.695352689466034</v>
      </c>
      <c r="P240">
        <v>81.187072316097357</v>
      </c>
      <c r="Q240">
        <v>79.319051894798747</v>
      </c>
      <c r="R240">
        <v>77.450254862257637</v>
      </c>
      <c r="S240">
        <v>75.583307384605774</v>
      </c>
      <c r="T240">
        <v>73.697924097382227</v>
      </c>
      <c r="U240">
        <v>71.793925547898851</v>
      </c>
      <c r="V240">
        <v>69.871096536362472</v>
      </c>
      <c r="W240">
        <v>67.929184610302457</v>
      </c>
      <c r="X240">
        <v>65.967898546604644</v>
      </c>
      <c r="Y240">
        <v>62.427690508865211</v>
      </c>
      <c r="Z240">
        <v>59.966728804720262</v>
      </c>
      <c r="AA240">
        <v>57.514969407270712</v>
      </c>
      <c r="AB240">
        <v>55.072439781083489</v>
      </c>
      <c r="AC240">
        <v>52.63945924595928</v>
      </c>
      <c r="AD240">
        <v>50.216145806899775</v>
      </c>
      <c r="AE240">
        <v>47.802704266517367</v>
      </c>
      <c r="AF240">
        <v>45.399285040251534</v>
      </c>
      <c r="AG240">
        <v>43.005982110133338</v>
      </c>
      <c r="AH240">
        <v>40.622830968898207</v>
      </c>
    </row>
    <row r="241" spans="4:44" x14ac:dyDescent="0.2">
      <c r="D241">
        <v>34.871127768537121</v>
      </c>
      <c r="E241">
        <v>34.133591062111122</v>
      </c>
      <c r="F241">
        <v>33.382108841282083</v>
      </c>
      <c r="G241">
        <v>32.619513880633718</v>
      </c>
      <c r="H241">
        <v>31.848657994950585</v>
      </c>
      <c r="I241">
        <v>31.072367958995272</v>
      </c>
      <c r="J241">
        <v>30.284967355641356</v>
      </c>
      <c r="K241">
        <v>29.475172324909188</v>
      </c>
      <c r="L241">
        <v>28.643101905228914</v>
      </c>
      <c r="M241">
        <v>27.788878840983415</v>
      </c>
      <c r="N241">
        <v>26.912627462340538</v>
      </c>
      <c r="O241">
        <v>25.730091451566715</v>
      </c>
      <c r="P241">
        <v>24.514306453996674</v>
      </c>
      <c r="Q241">
        <v>23.366817461802221</v>
      </c>
      <c r="R241">
        <v>22.242723944500312</v>
      </c>
      <c r="S241">
        <v>21.145708174729148</v>
      </c>
      <c r="T241">
        <v>20.046148934610869</v>
      </c>
      <c r="U241">
        <v>18.950212506071519</v>
      </c>
      <c r="V241">
        <v>17.858407578180721</v>
      </c>
      <c r="W241">
        <v>16.771224514901029</v>
      </c>
      <c r="X241">
        <v>15.689133812480565</v>
      </c>
      <c r="Y241">
        <v>14.435108627194811</v>
      </c>
      <c r="Z241">
        <v>12.968897689166308</v>
      </c>
      <c r="AA241">
        <v>11.528687432774415</v>
      </c>
      <c r="AB241">
        <v>10.114284347379217</v>
      </c>
      <c r="AC241">
        <v>8.7267831188559022</v>
      </c>
      <c r="AD241">
        <v>7.3720880790251044</v>
      </c>
      <c r="AE241">
        <v>6.0466563078320741</v>
      </c>
      <c r="AF241">
        <v>4.7996903258164529</v>
      </c>
      <c r="AG241">
        <v>3.7676697462532047</v>
      </c>
      <c r="AH241">
        <v>2.2556986580856182</v>
      </c>
    </row>
    <row r="242" spans="4:44" x14ac:dyDescent="0.2">
      <c r="D242">
        <v>8.4778361655826675</v>
      </c>
      <c r="E242">
        <v>8.5126767963312382</v>
      </c>
      <c r="F242">
        <v>8.550133554135904</v>
      </c>
      <c r="G242">
        <v>8.5907696118175298</v>
      </c>
      <c r="H242">
        <v>8.635152064558234</v>
      </c>
      <c r="I242">
        <v>8.6838453308894419</v>
      </c>
      <c r="J242">
        <v>8.7333029881445956</v>
      </c>
      <c r="K242">
        <v>8.783624659859294</v>
      </c>
      <c r="L242">
        <v>8.8349134419642752</v>
      </c>
      <c r="M242">
        <v>8.8872757620607317</v>
      </c>
      <c r="N242">
        <v>8.9408212251101205</v>
      </c>
      <c r="O242">
        <v>8.8664938359298695</v>
      </c>
      <c r="P242">
        <v>8.7870726030922626</v>
      </c>
      <c r="Q242">
        <v>8.724025871093783</v>
      </c>
      <c r="R242">
        <v>8.6675927342348462</v>
      </c>
      <c r="S242">
        <v>8.6184776713826849</v>
      </c>
      <c r="T242">
        <v>8.572214678270214</v>
      </c>
      <c r="U242">
        <v>8.5289356920704797</v>
      </c>
      <c r="V242">
        <v>8.4887721130022147</v>
      </c>
      <c r="W242">
        <v>8.4518546652107389</v>
      </c>
      <c r="X242">
        <v>8.4183132561523983</v>
      </c>
      <c r="Y242">
        <v>8.1603755336285939</v>
      </c>
      <c r="Z242">
        <v>7.8584805512175144</v>
      </c>
      <c r="AA242">
        <v>7.5658489751401801</v>
      </c>
      <c r="AB242">
        <v>7.2788998251299377</v>
      </c>
      <c r="AC242">
        <v>6.9980902659050894</v>
      </c>
      <c r="AD242">
        <v>6.7238492862179191</v>
      </c>
      <c r="AE242">
        <v>6.4566460744300809</v>
      </c>
      <c r="AF242">
        <v>6.1969572792663143</v>
      </c>
      <c r="AG242">
        <v>5.9452669147184762</v>
      </c>
      <c r="AH242">
        <v>5.7020662664057848</v>
      </c>
    </row>
    <row r="243" spans="4:44" x14ac:dyDescent="0.2">
      <c r="D243">
        <v>3.4336211538461541</v>
      </c>
      <c r="E243">
        <v>3.3497794221347466</v>
      </c>
      <c r="F243">
        <v>3.2662742376905931</v>
      </c>
      <c r="G243">
        <v>3.1833573721149535</v>
      </c>
      <c r="H243">
        <v>3.1012436293209049</v>
      </c>
      <c r="I243">
        <v>3.0201060624199192</v>
      </c>
      <c r="J243">
        <v>2.9397029086421735</v>
      </c>
      <c r="K243">
        <v>2.8579653098993143</v>
      </c>
      <c r="L243">
        <v>2.7748907419377411</v>
      </c>
      <c r="M243">
        <v>2.6904702916190368</v>
      </c>
      <c r="N243">
        <v>2.6046881479396409</v>
      </c>
      <c r="O243">
        <v>2.5257263959003859</v>
      </c>
      <c r="P243">
        <v>2.4466328856899389</v>
      </c>
      <c r="Q243">
        <v>2.3807051478941252</v>
      </c>
      <c r="R243">
        <v>2.3213245404981282</v>
      </c>
      <c r="S243">
        <v>2.268473740063329</v>
      </c>
      <c r="T243">
        <v>2.2161907915378611</v>
      </c>
      <c r="U243">
        <v>2.1665013104286039</v>
      </c>
      <c r="V243">
        <v>2.1191618025730175</v>
      </c>
      <c r="W243">
        <v>2.0739159290569082</v>
      </c>
      <c r="X243">
        <v>2.0304944685028117</v>
      </c>
      <c r="Y243">
        <v>1.9554121929453594</v>
      </c>
      <c r="Z243">
        <v>1.8593414987629533</v>
      </c>
      <c r="AA243">
        <v>1.7666311441956497</v>
      </c>
      <c r="AB243">
        <v>1.6768491790588156</v>
      </c>
      <c r="AC243">
        <v>1.589544694755044</v>
      </c>
      <c r="AD243">
        <v>1.5078827470821197</v>
      </c>
      <c r="AE243">
        <v>1.4283805256443354</v>
      </c>
      <c r="AF243">
        <v>1.3505809653918979</v>
      </c>
      <c r="AG243">
        <v>1.2740097436635573</v>
      </c>
      <c r="AH243">
        <v>1.1981753095039533</v>
      </c>
    </row>
    <row r="244" spans="4:44" x14ac:dyDescent="0.2">
      <c r="D244">
        <v>0</v>
      </c>
      <c r="E244">
        <v>0.67110171196554103</v>
      </c>
      <c r="F244">
        <v>0.75796752501421338</v>
      </c>
      <c r="G244">
        <v>0.85616184156287534</v>
      </c>
      <c r="H244">
        <v>0.9671713517084386</v>
      </c>
      <c r="I244">
        <v>1.0926788620857466</v>
      </c>
      <c r="J244">
        <v>1.2345892759355666</v>
      </c>
      <c r="K244">
        <v>1.3950590265859308</v>
      </c>
      <c r="L244">
        <v>1.5765294246538997</v>
      </c>
      <c r="M244">
        <v>1.7817644407638649</v>
      </c>
      <c r="N244">
        <v>2.0138935152958402</v>
      </c>
      <c r="O244">
        <v>2.2764600657252894</v>
      </c>
      <c r="P244">
        <v>2.5734764517453481</v>
      </c>
      <c r="Q244">
        <v>2.9094862599913314</v>
      </c>
      <c r="R244">
        <v>3.2896348854242845</v>
      </c>
      <c r="S244">
        <v>3.7197495171000581</v>
      </c>
      <c r="T244">
        <v>4.2064297842214451</v>
      </c>
      <c r="U244">
        <v>4.7571504863910397</v>
      </c>
      <c r="V244">
        <v>5.3803780225130033</v>
      </c>
      <c r="W244">
        <v>6.0857023488525108</v>
      </c>
      <c r="X244">
        <v>6.8839865417768289</v>
      </c>
      <c r="Y244">
        <v>7.7875363185562083</v>
      </c>
      <c r="Z244">
        <v>8.8102921847018152</v>
      </c>
      <c r="AA244">
        <v>9.9680472336598847</v>
      </c>
      <c r="AB244">
        <v>11.27869402993422</v>
      </c>
      <c r="AC244">
        <v>12.762504466303872</v>
      </c>
      <c r="AD244">
        <v>14.442447007032245</v>
      </c>
      <c r="AE244">
        <v>16.34454632010209</v>
      </c>
      <c r="AF244">
        <v>18.498290971941969</v>
      </c>
      <c r="AG244">
        <v>20.937095618479546</v>
      </c>
      <c r="AH244">
        <v>23.698824988741201</v>
      </c>
    </row>
    <row r="245" spans="4:44" x14ac:dyDescent="0.2">
      <c r="D245">
        <v>26.799786402018107</v>
      </c>
      <c r="E245">
        <v>28.381506317036532</v>
      </c>
      <c r="F245">
        <v>30.004708481252031</v>
      </c>
      <c r="G245">
        <v>31.671308733946614</v>
      </c>
      <c r="H245">
        <v>33.383258618981564</v>
      </c>
      <c r="I245">
        <v>35.142529287904509</v>
      </c>
      <c r="J245">
        <v>36.487177233272554</v>
      </c>
      <c r="K245">
        <v>37.860264637189481</v>
      </c>
      <c r="L245">
        <v>39.262331841411537</v>
      </c>
      <c r="M245">
        <v>40.69391913399491</v>
      </c>
      <c r="N245">
        <v>42.155565699490751</v>
      </c>
      <c r="O245">
        <v>41.591032903663134</v>
      </c>
      <c r="P245">
        <v>41.022668972367136</v>
      </c>
      <c r="Q245">
        <v>40.4684584814975</v>
      </c>
      <c r="R245">
        <v>39.921902778115708</v>
      </c>
      <c r="S245">
        <v>39.384640997716453</v>
      </c>
      <c r="T245">
        <v>38.710532233740935</v>
      </c>
      <c r="U245">
        <v>38.034563134649368</v>
      </c>
      <c r="V245">
        <v>37.356956172060535</v>
      </c>
      <c r="W245">
        <v>36.677934025750446</v>
      </c>
      <c r="X245">
        <v>35.997719456483409</v>
      </c>
      <c r="Y245">
        <v>35.050703615216385</v>
      </c>
      <c r="Z245">
        <v>34.0687840914822</v>
      </c>
      <c r="AA245">
        <v>33.090966282051667</v>
      </c>
      <c r="AB245">
        <v>32.116584420939425</v>
      </c>
      <c r="AC245">
        <v>31.146005039407733</v>
      </c>
      <c r="AD245">
        <v>30.078127945440805</v>
      </c>
      <c r="AE245">
        <v>29.01485621139085</v>
      </c>
      <c r="AF245">
        <v>27.956562338672171</v>
      </c>
      <c r="AG245">
        <v>26.903617758588261</v>
      </c>
      <c r="AH245">
        <v>25.856392753866508</v>
      </c>
    </row>
    <row r="246" spans="4:44" x14ac:dyDescent="0.2">
      <c r="D246">
        <v>162.69230769230768</v>
      </c>
      <c r="E246">
        <v>163.75269896319998</v>
      </c>
      <c r="F246">
        <v>164.24613442501291</v>
      </c>
      <c r="G246">
        <v>164.77682872583591</v>
      </c>
      <c r="H246">
        <v>165.35496869534276</v>
      </c>
      <c r="I246">
        <v>165.99086786587679</v>
      </c>
      <c r="J246">
        <v>166.20124966359003</v>
      </c>
      <c r="K246">
        <v>166.41843193059231</v>
      </c>
      <c r="L246">
        <v>166.64597628412474</v>
      </c>
      <c r="M246">
        <v>166.8877733418131</v>
      </c>
      <c r="N246">
        <v>167.14807929856073</v>
      </c>
      <c r="O246">
        <v>163.68515734225144</v>
      </c>
      <c r="P246">
        <v>160.53122968298874</v>
      </c>
      <c r="Q246">
        <v>157.16854511707768</v>
      </c>
      <c r="R246">
        <v>153.8934337450309</v>
      </c>
      <c r="S246">
        <v>150.72035748559745</v>
      </c>
      <c r="T246">
        <v>147.44944051976353</v>
      </c>
      <c r="U246">
        <v>144.23128867750987</v>
      </c>
      <c r="V246">
        <v>141.07477222469197</v>
      </c>
      <c r="W246">
        <v>137.98981609407409</v>
      </c>
      <c r="X246">
        <v>134.98754608200068</v>
      </c>
      <c r="Y246">
        <v>129.81682679640656</v>
      </c>
      <c r="Z246">
        <v>125.53252482005107</v>
      </c>
      <c r="AA246">
        <v>121.43515047509253</v>
      </c>
      <c r="AB246">
        <v>117.53775158352511</v>
      </c>
      <c r="AC246">
        <v>113.86238683118691</v>
      </c>
      <c r="AD246">
        <v>110.34054087169795</v>
      </c>
      <c r="AE246">
        <v>107.09378970591681</v>
      </c>
      <c r="AF246">
        <v>104.20136692134034</v>
      </c>
      <c r="AG246">
        <v>101.83364189183638</v>
      </c>
      <c r="AH246">
        <v>99.333988945501289</v>
      </c>
    </row>
    <row r="248" spans="4:44" x14ac:dyDescent="0.2">
      <c r="AJ248" s="30" t="s">
        <v>368</v>
      </c>
    </row>
    <row r="249" spans="4:44" ht="32" x14ac:dyDescent="0.2">
      <c r="AJ249" s="30"/>
      <c r="AK249" s="139" t="s">
        <v>1</v>
      </c>
      <c r="AL249" s="139" t="s">
        <v>180</v>
      </c>
      <c r="AM249" s="139" t="s">
        <v>181</v>
      </c>
      <c r="AN249" s="139" t="s">
        <v>182</v>
      </c>
      <c r="AO249" s="139" t="s">
        <v>183</v>
      </c>
      <c r="AP249" s="263" t="s">
        <v>28</v>
      </c>
      <c r="AQ249" s="139" t="s">
        <v>51</v>
      </c>
      <c r="AR249" s="139" t="s">
        <v>184</v>
      </c>
    </row>
    <row r="251" spans="4:44" ht="16" x14ac:dyDescent="0.2">
      <c r="AJ251" s="30" t="s">
        <v>188</v>
      </c>
      <c r="AK251" s="143">
        <f>D4+'Yearly HC Propylene'!D4</f>
        <v>274.61538461538458</v>
      </c>
      <c r="AL251" s="137"/>
      <c r="AM251" s="143" t="s">
        <v>167</v>
      </c>
      <c r="AN251" s="137"/>
      <c r="AO251" s="137"/>
      <c r="AP251" s="137"/>
      <c r="AQ251" s="137"/>
      <c r="AR251" s="532" t="s">
        <v>167</v>
      </c>
    </row>
    <row r="252" spans="4:44" x14ac:dyDescent="0.2">
      <c r="AJ252" s="30" t="s">
        <v>183</v>
      </c>
      <c r="AK252" s="137"/>
      <c r="AL252" s="137"/>
      <c r="AM252" s="137"/>
      <c r="AN252" s="137"/>
      <c r="AO252" s="143">
        <f>AH81+'Yearly HC Propylene'!AH39</f>
        <v>149.49686260233736</v>
      </c>
      <c r="AP252" s="137"/>
      <c r="AQ252" s="137"/>
      <c r="AR252" s="137"/>
    </row>
    <row r="253" spans="4:44" x14ac:dyDescent="0.2">
      <c r="AJ253" s="30" t="s">
        <v>28</v>
      </c>
      <c r="AK253" s="137"/>
      <c r="AL253" s="137"/>
      <c r="AM253" s="137"/>
      <c r="AN253" s="137"/>
      <c r="AO253" s="137"/>
      <c r="AP253" s="143">
        <f>AH82+'Yearly HC Propylene'!AH40</f>
        <v>48.771993612715505</v>
      </c>
      <c r="AQ253" s="137"/>
      <c r="AR253" s="137"/>
    </row>
    <row r="254" spans="4:44" x14ac:dyDescent="0.2">
      <c r="AJ254" s="30" t="s">
        <v>193</v>
      </c>
      <c r="AK254" s="137"/>
      <c r="AL254" s="137"/>
      <c r="AM254" s="137"/>
      <c r="AN254" s="137"/>
      <c r="AO254" s="137"/>
      <c r="AP254" s="137"/>
      <c r="AQ254" s="143">
        <f>AH146+AH147+'Yearly HC Propylene'!AH66+'Yearly HC Propylene'!AH67</f>
        <v>70.05077564094546</v>
      </c>
      <c r="AR254" s="137"/>
    </row>
    <row r="255" spans="4:44" x14ac:dyDescent="0.2">
      <c r="AJ255" s="30" t="s">
        <v>195</v>
      </c>
      <c r="AK255" s="137"/>
      <c r="AL255" s="137"/>
      <c r="AM255" s="137"/>
      <c r="AN255" s="137"/>
      <c r="AO255" s="137"/>
      <c r="AP255" s="137"/>
      <c r="AQ255" s="143">
        <f>AH155+AH156+'Yearly HC Propylene'!AH69+'Yearly HC Propylene'!AH70</f>
        <v>6.9930516333755044</v>
      </c>
      <c r="AR255" s="137"/>
    </row>
    <row r="256" spans="4:44" x14ac:dyDescent="0.2">
      <c r="AJ256" s="30" t="s">
        <v>175</v>
      </c>
      <c r="AK256" s="137"/>
      <c r="AL256" s="143">
        <f>AH4-D4+'Yearly HC Propylene'!AH4-'Yearly HC Propylene'!D4</f>
        <v>140.38461538461542</v>
      </c>
      <c r="AM256" s="137"/>
      <c r="AN256" s="533">
        <f>AH83+'Yearly HC Propylene'!AH41</f>
        <v>28.028692099047639</v>
      </c>
      <c r="AO256" s="137"/>
      <c r="AP256" s="137"/>
      <c r="AQ256" s="137"/>
      <c r="AR256" s="137"/>
    </row>
    <row r="258" spans="36:44" ht="16" x14ac:dyDescent="0.2">
      <c r="AJ258" s="30" t="s">
        <v>188</v>
      </c>
      <c r="AK258" s="143">
        <f>AK251</f>
        <v>274.61538461538458</v>
      </c>
      <c r="AL258" s="137"/>
      <c r="AM258" s="143" t="s">
        <v>167</v>
      </c>
      <c r="AN258" s="137"/>
      <c r="AO258" s="137"/>
      <c r="AP258" s="137"/>
      <c r="AQ258" s="137"/>
      <c r="AR258" s="532" t="s">
        <v>167</v>
      </c>
    </row>
    <row r="259" spans="36:44" x14ac:dyDescent="0.2">
      <c r="AJ259" s="30" t="s">
        <v>309</v>
      </c>
      <c r="AO259" s="44">
        <f>AH29+'Yearly HC Propylene'!AH17</f>
        <v>68.112454082440607</v>
      </c>
      <c r="AP259" s="44">
        <f>AH32+'Yearly HC Propylene'!AH20</f>
        <v>32.257374139123549</v>
      </c>
      <c r="AQ259" s="44">
        <f>SUM(AH93:AH94,'Yearly HC Propylene'!AH44:AH45)</f>
        <v>19.783044287396994</v>
      </c>
    </row>
    <row r="260" spans="36:44" x14ac:dyDescent="0.2">
      <c r="AJ260" s="30" t="s">
        <v>369</v>
      </c>
      <c r="AO260" s="44">
        <f>AH41+'Yearly HC Propylene'!AH23</f>
        <v>43.091917946661709</v>
      </c>
      <c r="AP260" s="43">
        <f>AH42+'Yearly HC Propylene'!AH24</f>
        <v>11.202023324258034</v>
      </c>
      <c r="AQ260" s="44">
        <f>SUM(AH123:AH126,'Yearly HC Propylene'!AH55:AH58)</f>
        <v>24.303531478137334</v>
      </c>
    </row>
    <row r="261" spans="36:44" x14ac:dyDescent="0.2">
      <c r="AJ261" s="30" t="s">
        <v>370</v>
      </c>
      <c r="AO261" s="44">
        <f>AH17+'Yearly HC Propylene'!AH11</f>
        <v>22.418752937033652</v>
      </c>
      <c r="AP261">
        <f>AH18+'Yearly HC Propylene'!AH12</f>
        <v>0</v>
      </c>
      <c r="AQ261" s="44">
        <f>SUM(AH103:AH104,'Yearly HC Propylene'!AH48)</f>
        <v>8.0187902991668558</v>
      </c>
    </row>
    <row r="262" spans="36:44" x14ac:dyDescent="0.2">
      <c r="AJ262" s="30" t="s">
        <v>329</v>
      </c>
      <c r="AO262" s="44">
        <f>AH53+'Yearly HC Propylene'!AH29</f>
        <v>3.7789978962210657</v>
      </c>
      <c r="AP262" s="43">
        <f>AH54+'Yearly HC Propylene'!AH30</f>
        <v>1.2810162360071411</v>
      </c>
      <c r="AQ262" s="44">
        <f>SUM(AH113:AH114,'Yearly HC Propylene'!AH51:AH52)</f>
        <v>0.14689173830354441</v>
      </c>
    </row>
    <row r="263" spans="36:44" x14ac:dyDescent="0.2">
      <c r="AJ263" s="30" t="s">
        <v>248</v>
      </c>
      <c r="AO263" s="43">
        <f>AH63+'Yearly HC Propylene'!AH33</f>
        <v>12.094739739980334</v>
      </c>
      <c r="AP263" s="43">
        <f>AH64+'Yearly HC Propylene'!AH34</f>
        <v>4.0315799133267785</v>
      </c>
      <c r="AQ263" s="44">
        <f>SUM(AH135:AH138,'Yearly HC Propylene'!AH61:AH64)</f>
        <v>17.798517837940736</v>
      </c>
    </row>
    <row r="264" spans="36:44" x14ac:dyDescent="0.2">
      <c r="AJ264" s="30" t="s">
        <v>195</v>
      </c>
      <c r="AK264" s="137"/>
      <c r="AL264" s="137"/>
      <c r="AM264" s="137"/>
      <c r="AN264" s="137"/>
      <c r="AO264" s="137"/>
      <c r="AP264" s="137"/>
      <c r="AQ264" s="143">
        <f>AQ255</f>
        <v>6.9930516333755044</v>
      </c>
      <c r="AR264" s="137"/>
    </row>
    <row r="265" spans="36:44" x14ac:dyDescent="0.2">
      <c r="AJ265" s="30" t="s">
        <v>175</v>
      </c>
      <c r="AK265" s="137"/>
      <c r="AL265" s="143">
        <f>AL256</f>
        <v>140.38461538461542</v>
      </c>
      <c r="AM265" s="137"/>
      <c r="AN265" s="533">
        <f>AN256</f>
        <v>28.028692099047639</v>
      </c>
      <c r="AO265" s="137"/>
      <c r="AP265" s="137"/>
      <c r="AQ265" s="137"/>
      <c r="AR265" s="137"/>
    </row>
    <row r="269" spans="36:44" x14ac:dyDescent="0.2">
      <c r="AK269" s="686" t="s">
        <v>371</v>
      </c>
      <c r="AL269" s="686"/>
      <c r="AM269" s="686"/>
    </row>
    <row r="270" spans="36:44" x14ac:dyDescent="0.2">
      <c r="AK270" t="s">
        <v>372</v>
      </c>
      <c r="AL270" t="s">
        <v>5</v>
      </c>
      <c r="AM270" t="s">
        <v>67</v>
      </c>
    </row>
    <row r="271" spans="36:44" x14ac:dyDescent="0.2">
      <c r="AJ271" t="s">
        <v>16</v>
      </c>
      <c r="AK271" s="43">
        <f>AH84</f>
        <v>131.94703834514536</v>
      </c>
      <c r="AL271" s="43">
        <f>'Yearly HC Propylene'!AH42</f>
        <v>112.81279753884941</v>
      </c>
      <c r="AM271" s="43">
        <f>SUM(AK271:AL271)</f>
        <v>244.75983588399475</v>
      </c>
    </row>
    <row r="272" spans="36:44" x14ac:dyDescent="0.2">
      <c r="AJ272" t="s">
        <v>373</v>
      </c>
      <c r="AK272" s="43">
        <f>'Ethylene Recycling HC'!AG50</f>
        <v>113.54588993928662</v>
      </c>
      <c r="AL272" s="43">
        <f>'Propylene Recycling HC'!AG50</f>
        <v>118.58141904674841</v>
      </c>
      <c r="AM272" s="43">
        <f>SUM(AK272:AL272)</f>
        <v>232.12730898603502</v>
      </c>
      <c r="AN272" s="2">
        <f>AM272/AM271</f>
        <v>0.94838807252695256</v>
      </c>
    </row>
    <row r="273" spans="36:40" x14ac:dyDescent="0.2">
      <c r="AJ273" t="s">
        <v>374</v>
      </c>
      <c r="AK273" s="43">
        <f>'Ethylene Recycling HC'!AG270</f>
        <v>109.00405434171516</v>
      </c>
      <c r="AL273" s="43">
        <f>'Propylene Recycling HC'!AG163</f>
        <v>113.83816228487846</v>
      </c>
      <c r="AM273" s="43">
        <f t="shared" ref="AM273:AM276" si="116">SUM(AK273:AL273)</f>
        <v>222.84221662659363</v>
      </c>
      <c r="AN273" s="2">
        <f t="shared" ref="AN273:AN276" si="117">AM273/AM272</f>
        <v>0.96000000000000008</v>
      </c>
    </row>
    <row r="274" spans="36:40" x14ac:dyDescent="0.2">
      <c r="AJ274" t="s">
        <v>375</v>
      </c>
      <c r="AK274" s="43">
        <f>'Ethylene Recycling HC'!AG295+'Ethylene Recycling HC'!AG293</f>
        <v>63.78665945975483</v>
      </c>
      <c r="AL274" s="43">
        <f>'Propylene Recycling HC'!AG188+'Propylene Recycling HC'!AG186</f>
        <v>52.940229658758646</v>
      </c>
      <c r="AM274" s="43">
        <f t="shared" si="116"/>
        <v>116.72688911851347</v>
      </c>
      <c r="AN274" s="2">
        <f t="shared" si="117"/>
        <v>0.52380958547952028</v>
      </c>
    </row>
    <row r="275" spans="36:40" x14ac:dyDescent="0.2">
      <c r="AJ275" t="s">
        <v>376</v>
      </c>
      <c r="AK275" s="43">
        <f>'Ethylene Recycling HC'!AG292</f>
        <v>59.391867302798566</v>
      </c>
      <c r="AL275" s="43">
        <f>'Propylene Recycling HC'!AG185</f>
        <v>49.71806124646757</v>
      </c>
      <c r="AM275" s="43">
        <f t="shared" si="116"/>
        <v>109.10992854926613</v>
      </c>
      <c r="AN275" s="2">
        <f t="shared" si="117"/>
        <v>0.93474545045474655</v>
      </c>
    </row>
    <row r="276" spans="36:40" x14ac:dyDescent="0.2">
      <c r="AJ276" t="s">
        <v>377</v>
      </c>
      <c r="AK276" s="43">
        <f>'Ethylene Recycling HC'!AG291</f>
        <v>50.48308720737878</v>
      </c>
      <c r="AL276" s="43">
        <f>'Propylene Recycling HC'!AG184</f>
        <v>42.260352059497436</v>
      </c>
      <c r="AM276" s="43">
        <f t="shared" si="116"/>
        <v>92.743439266876209</v>
      </c>
      <c r="AN276" s="2">
        <f t="shared" si="117"/>
        <v>0.85</v>
      </c>
    </row>
    <row r="277" spans="36:40" x14ac:dyDescent="0.2">
      <c r="AJ277" t="s">
        <v>378</v>
      </c>
      <c r="AK277" s="2">
        <f>AK276/AK272</f>
        <v>0.44460514805399176</v>
      </c>
      <c r="AL277" s="2">
        <f>AL276/AL272</f>
        <v>0.35638257999625655</v>
      </c>
      <c r="AM277" s="2">
        <f>AM276/AM272</f>
        <v>0.3995369595761597</v>
      </c>
    </row>
    <row r="278" spans="36:40" x14ac:dyDescent="0.2">
      <c r="AJ278" t="s">
        <v>379</v>
      </c>
      <c r="AK278" s="2">
        <f>AK276/(AK271)</f>
        <v>0.38260113937022044</v>
      </c>
      <c r="AL278" s="2">
        <f t="shared" ref="AL278:AM278" si="118">AL276/(AL271)</f>
        <v>0.3746060108556763</v>
      </c>
      <c r="AM278" s="2">
        <f t="shared" si="118"/>
        <v>0.37891608699571305</v>
      </c>
    </row>
  </sheetData>
  <mergeCells count="31">
    <mergeCell ref="A149:A152"/>
    <mergeCell ref="A153:A154"/>
    <mergeCell ref="A158:A161"/>
    <mergeCell ref="A70:A71"/>
    <mergeCell ref="A38:A39"/>
    <mergeCell ref="A44:A47"/>
    <mergeCell ref="A48:A49"/>
    <mergeCell ref="A56:A59"/>
    <mergeCell ref="A60:A61"/>
    <mergeCell ref="A66:A69"/>
    <mergeCell ref="A5:A8"/>
    <mergeCell ref="A9:A10"/>
    <mergeCell ref="A20:A23"/>
    <mergeCell ref="A24:A25"/>
    <mergeCell ref="A34:A37"/>
    <mergeCell ref="AK269:AM269"/>
    <mergeCell ref="A85:A88"/>
    <mergeCell ref="A89:A90"/>
    <mergeCell ref="A75:A78"/>
    <mergeCell ref="A79:A80"/>
    <mergeCell ref="A120:A121"/>
    <mergeCell ref="A128:A131"/>
    <mergeCell ref="A132:A133"/>
    <mergeCell ref="A96:A99"/>
    <mergeCell ref="A100:A101"/>
    <mergeCell ref="A106:A109"/>
    <mergeCell ref="A110:A111"/>
    <mergeCell ref="A116:A119"/>
    <mergeCell ref="A162:A163"/>
    <mergeCell ref="A140:A143"/>
    <mergeCell ref="A144:A145"/>
  </mergeCells>
  <phoneticPr fontId="20"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97972-7931-403D-BC49-255E127D3867}">
  <sheetPr>
    <tabColor theme="9"/>
  </sheetPr>
  <dimension ref="A2:AU256"/>
  <sheetViews>
    <sheetView zoomScale="70" zoomScaleNormal="70" workbookViewId="0">
      <pane xSplit="3" ySplit="3" topLeftCell="D138" activePane="bottomRight" state="frozen"/>
      <selection pane="topRight" activeCell="B152" sqref="B152"/>
      <selection pane="bottomLeft" activeCell="B152" sqref="B152"/>
      <selection pane="bottomRight" activeCell="AH157" sqref="AH157"/>
    </sheetView>
  </sheetViews>
  <sheetFormatPr baseColWidth="10" defaultColWidth="8.83203125" defaultRowHeight="15" outlineLevelRow="1" outlineLevelCol="1" x14ac:dyDescent="0.2"/>
  <cols>
    <col min="1" max="1" width="42.83203125" style="1" customWidth="1"/>
    <col min="2" max="2" width="34.5" style="1" bestFit="1" customWidth="1"/>
    <col min="3" max="3" width="10.83203125" customWidth="1"/>
    <col min="4" max="4" width="11.5" customWidth="1"/>
    <col min="5" max="13" width="8.83203125" hidden="1" customWidth="1" outlineLevel="1"/>
    <col min="14" max="14" width="8.83203125" customWidth="1" collapsed="1"/>
    <col min="15" max="23" width="8.83203125" hidden="1" customWidth="1" outlineLevel="1"/>
    <col min="24" max="24" width="8.6640625" customWidth="1" collapsed="1"/>
    <col min="25" max="33" width="8.83203125" hidden="1" customWidth="1" outlineLevel="1"/>
    <col min="34" max="34" width="8.83203125" collapsed="1"/>
    <col min="36" max="37" width="8.83203125" bestFit="1" customWidth="1"/>
    <col min="38" max="38" width="17.6640625" bestFit="1" customWidth="1"/>
    <col min="39" max="66" width="8.83203125" bestFit="1" customWidth="1"/>
  </cols>
  <sheetData>
    <row r="2" spans="1:34" s="53" customFormat="1" x14ac:dyDescent="0.2">
      <c r="A2" s="52" t="s">
        <v>380</v>
      </c>
      <c r="B2" s="52"/>
      <c r="C2" s="52"/>
    </row>
    <row r="3" spans="1:34" s="1" customFormat="1" x14ac:dyDescent="0.2">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row>
    <row r="4" spans="1:34" x14ac:dyDescent="0.2">
      <c r="A4" s="1" t="s">
        <v>381</v>
      </c>
      <c r="C4" s="54" t="s">
        <v>153</v>
      </c>
      <c r="D4" s="44">
        <f>'Yearly Demand - Eth&amp;Prop'!N3</f>
        <v>162.69230769230768</v>
      </c>
      <c r="E4" s="44">
        <f>'Yearly Demand - Eth&amp;Prop'!O3</f>
        <v>166.71878063819926</v>
      </c>
      <c r="F4" s="44">
        <f>'Yearly Demand - Eth&amp;Prop'!P3</f>
        <v>170.84490478834238</v>
      </c>
      <c r="G4" s="44">
        <f>'Yearly Demand - Eth&amp;Prop'!Q3</f>
        <v>175.07314641101752</v>
      </c>
      <c r="H4" s="44">
        <f>'Yearly Demand - Eth&amp;Prop'!R3</f>
        <v>179.40603281219435</v>
      </c>
      <c r="I4" s="44">
        <f>'Yearly Demand - Eth&amp;Prop'!S3</f>
        <v>183.84615384615384</v>
      </c>
      <c r="J4" s="44">
        <f>'Yearly Demand - Eth&amp;Prop'!T3</f>
        <v>187.89464856761026</v>
      </c>
      <c r="K4" s="44">
        <f>'Yearly Demand - Eth&amp;Prop'!U3</f>
        <v>192.03229560020711</v>
      </c>
      <c r="L4" s="44">
        <f>'Yearly Demand - Eth&amp;Prop'!V3</f>
        <v>196.26105817599196</v>
      </c>
      <c r="M4" s="44">
        <f>'Yearly Demand - Eth&amp;Prop'!W3</f>
        <v>200.58294275954361</v>
      </c>
      <c r="N4" s="44">
        <f>'Yearly Demand - Eth&amp;Prop'!X3</f>
        <v>205</v>
      </c>
      <c r="O4" s="44">
        <f>'Yearly Demand - Eth&amp;Prop'!Y3</f>
        <v>207.44116419514421</v>
      </c>
      <c r="P4" s="44">
        <f>'Yearly Demand - Eth&amp;Prop'!Z3</f>
        <v>209.91139806164284</v>
      </c>
      <c r="Q4" s="44">
        <f>'Yearly Demand - Eth&amp;Prop'!AA3</f>
        <v>212.41104776457331</v>
      </c>
      <c r="R4" s="44">
        <f>'Yearly Demand - Eth&amp;Prop'!AB3</f>
        <v>214.94046359118767</v>
      </c>
      <c r="S4" s="44">
        <f>'Yearly Demand - Eth&amp;Prop'!AC3</f>
        <v>217.5</v>
      </c>
      <c r="T4" s="44">
        <f>'Yearly Demand - Eth&amp;Prop'!AD3</f>
        <v>219.94443410654205</v>
      </c>
      <c r="U4" s="44">
        <f>'Yearly Demand - Eth&amp;Prop'!AE3</f>
        <v>222.41634066412422</v>
      </c>
      <c r="V4" s="44">
        <f>'Yearly Demand - Eth&amp;Prop'!AF3</f>
        <v>224.91602842951116</v>
      </c>
      <c r="W4" s="44">
        <f>'Yearly Demand - Eth&amp;Prop'!AG3</f>
        <v>227.4438096295161</v>
      </c>
      <c r="X4" s="44">
        <f>'Yearly Demand - Eth&amp;Prop'!AH3</f>
        <v>230</v>
      </c>
      <c r="Y4" s="44">
        <f>'Yearly Demand - Eth&amp;Prop'!AI3</f>
        <v>232.44735963345383</v>
      </c>
      <c r="Z4" s="44">
        <f>'Yearly Demand - Eth&amp;Prop'!AJ3</f>
        <v>234.92076087201835</v>
      </c>
      <c r="AA4" s="44">
        <f>'Yearly Demand - Eth&amp;Prop'!AK3</f>
        <v>237.42048081644634</v>
      </c>
      <c r="AB4" s="44">
        <f>'Yearly Demand - Eth&amp;Prop'!AL3</f>
        <v>239.9467995160349</v>
      </c>
      <c r="AC4" s="44">
        <f>'Yearly Demand - Eth&amp;Prop'!AM3</f>
        <v>242.5</v>
      </c>
      <c r="AD4" s="44">
        <f>'Yearly Demand - Eth&amp;Prop'!AN3</f>
        <v>244.9499924675749</v>
      </c>
      <c r="AE4" s="44">
        <f>'Yearly Demand - Eth&amp;Prop'!AO3</f>
        <v>247.42473736026807</v>
      </c>
      <c r="AF4" s="44">
        <f>'Yearly Demand - Eth&amp;Prop'!AP3</f>
        <v>249.9244847533582</v>
      </c>
      <c r="AG4" s="44">
        <f>'Yearly Demand - Eth&amp;Prop'!AQ3</f>
        <v>252.44948724865003</v>
      </c>
      <c r="AH4" s="44">
        <f>'Yearly Demand - Eth&amp;Prop'!AR3</f>
        <v>255</v>
      </c>
    </row>
    <row r="5" spans="1:34" s="67" customFormat="1" x14ac:dyDescent="0.2">
      <c r="A5" s="687" t="s">
        <v>257</v>
      </c>
      <c r="B5" s="58" t="s">
        <v>258</v>
      </c>
      <c r="C5" s="59" t="s">
        <v>153</v>
      </c>
      <c r="D5" s="60">
        <f>D4*'Demand Breakdown - Ethylene'!$C$6</f>
        <v>99.242307692307676</v>
      </c>
      <c r="E5" s="60">
        <f>E4*'Demand Breakdown - Ethylene'!$C$6</f>
        <v>101.69845618930155</v>
      </c>
      <c r="F5" s="60">
        <f>F4*'Demand Breakdown - Ethylene'!$C$6</f>
        <v>104.21539192088885</v>
      </c>
      <c r="G5" s="60">
        <f>G4*'Demand Breakdown - Ethylene'!$C$6</f>
        <v>106.79461931072068</v>
      </c>
      <c r="H5" s="60">
        <f>H4*'Demand Breakdown - Ethylene'!$C$6</f>
        <v>109.43768001543856</v>
      </c>
      <c r="I5" s="60">
        <f>I4*'Demand Breakdown - Ethylene'!$C$6</f>
        <v>112.14615384615384</v>
      </c>
      <c r="J5" s="60">
        <f>J4*'Demand Breakdown - Ethylene'!$C$6</f>
        <v>114.61573562624226</v>
      </c>
      <c r="K5" s="60">
        <f>K4*'Demand Breakdown - Ethylene'!$C$6</f>
        <v>117.13970031612634</v>
      </c>
      <c r="L5" s="60">
        <f>L4*'Demand Breakdown - Ethylene'!$C$6</f>
        <v>119.7192454873551</v>
      </c>
      <c r="M5" s="60">
        <f>M4*'Demand Breakdown - Ethylene'!$C$6</f>
        <v>122.3555950833216</v>
      </c>
      <c r="N5" s="60">
        <f>N4*'Demand Breakdown - Ethylene'!$C$6</f>
        <v>125.05</v>
      </c>
      <c r="O5" s="60">
        <f>O4*'Demand Breakdown - Ethylene'!$C$6</f>
        <v>126.53911015903796</v>
      </c>
      <c r="P5" s="60">
        <f>P4*'Demand Breakdown - Ethylene'!$C$6</f>
        <v>128.04595281760214</v>
      </c>
      <c r="Q5" s="60">
        <f>Q4*'Demand Breakdown - Ethylene'!$C$6</f>
        <v>129.5707391363897</v>
      </c>
      <c r="R5" s="60">
        <f>R4*'Demand Breakdown - Ethylene'!$C$6</f>
        <v>131.11368279062447</v>
      </c>
      <c r="S5" s="60">
        <f>S4*'Demand Breakdown - Ethylene'!$C$6</f>
        <v>132.67499999999998</v>
      </c>
      <c r="T5" s="60">
        <f>T4*'Demand Breakdown - Ethylene'!$C$6</f>
        <v>134.16610480499065</v>
      </c>
      <c r="U5" s="60">
        <f>U4*'Demand Breakdown - Ethylene'!$C$6</f>
        <v>135.67396780511578</v>
      </c>
      <c r="V5" s="60">
        <f>V4*'Demand Breakdown - Ethylene'!$C$6</f>
        <v>137.19877734200179</v>
      </c>
      <c r="W5" s="60">
        <f>W4*'Demand Breakdown - Ethylene'!$C$6</f>
        <v>138.74072387400483</v>
      </c>
      <c r="X5" s="60">
        <f>X4*'Demand Breakdown - Ethylene'!$C$6</f>
        <v>140.29999999999998</v>
      </c>
      <c r="Y5" s="60">
        <f>Y4*'Demand Breakdown - Ethylene'!$C$6</f>
        <v>141.79288937640683</v>
      </c>
      <c r="Z5" s="60">
        <f>Z4*'Demand Breakdown - Ethylene'!$C$6</f>
        <v>143.30166413193118</v>
      </c>
      <c r="AA5" s="60">
        <f>AA4*'Demand Breakdown - Ethylene'!$C$6</f>
        <v>144.82649329803226</v>
      </c>
      <c r="AB5" s="60">
        <f>AB4*'Demand Breakdown - Ethylene'!$C$6</f>
        <v>146.36754770478129</v>
      </c>
      <c r="AC5" s="60">
        <f>AC4*'Demand Breakdown - Ethylene'!$C$6</f>
        <v>147.92499999999998</v>
      </c>
      <c r="AD5" s="60">
        <f>AD4*'Demand Breakdown - Ethylene'!$C$6</f>
        <v>149.41949540522069</v>
      </c>
      <c r="AE5" s="60">
        <f>AE4*'Demand Breakdown - Ethylene'!$C$6</f>
        <v>150.92908978976351</v>
      </c>
      <c r="AF5" s="60">
        <f>AF4*'Demand Breakdown - Ethylene'!$C$6</f>
        <v>152.45393569954851</v>
      </c>
      <c r="AG5" s="60">
        <f>AG4*'Demand Breakdown - Ethylene'!$C$6</f>
        <v>153.99418722167653</v>
      </c>
      <c r="AH5" s="60">
        <f>AH4*'Demand Breakdown - Ethylene'!$C$6</f>
        <v>155.54999999999998</v>
      </c>
    </row>
    <row r="6" spans="1:34" x14ac:dyDescent="0.2">
      <c r="A6" s="688"/>
      <c r="B6" s="1" t="s">
        <v>260</v>
      </c>
      <c r="C6" s="54" t="s">
        <v>153</v>
      </c>
      <c r="D6" s="44">
        <f>D4*'Demand Breakdown - Ethylene'!$C$7</f>
        <v>22.776923076923076</v>
      </c>
      <c r="E6" s="44">
        <f>E4*'Demand Breakdown - Ethylene'!$C$7</f>
        <v>23.340629289347898</v>
      </c>
      <c r="F6" s="44">
        <f>F4*'Demand Breakdown - Ethylene'!$C$7</f>
        <v>23.918286670367934</v>
      </c>
      <c r="G6" s="44">
        <f>G4*'Demand Breakdown - Ethylene'!$C$7</f>
        <v>24.510240497542455</v>
      </c>
      <c r="H6" s="44">
        <f>H4*'Demand Breakdown - Ethylene'!$C$7</f>
        <v>25.116844593707214</v>
      </c>
      <c r="I6" s="44">
        <f>I4*'Demand Breakdown - Ethylene'!$C$7</f>
        <v>25.738461538461539</v>
      </c>
      <c r="J6" s="44">
        <f>J4*'Demand Breakdown - Ethylene'!$C$7</f>
        <v>26.305250799465441</v>
      </c>
      <c r="K6" s="44">
        <f>K4*'Demand Breakdown - Ethylene'!$C$7</f>
        <v>26.884521384028996</v>
      </c>
      <c r="L6" s="44">
        <f>L4*'Demand Breakdown - Ethylene'!$C$7</f>
        <v>27.476548144638876</v>
      </c>
      <c r="M6" s="44">
        <f>M4*'Demand Breakdown - Ethylene'!$C$7</f>
        <v>28.08161198633611</v>
      </c>
      <c r="N6" s="44">
        <f>N4*'Demand Breakdown - Ethylene'!$C$7</f>
        <v>28.700000000000003</v>
      </c>
      <c r="O6" s="44">
        <f>O4*'Demand Breakdown - Ethylene'!$C$7</f>
        <v>29.041762987320194</v>
      </c>
      <c r="P6" s="44">
        <f>P4*'Demand Breakdown - Ethylene'!$C$7</f>
        <v>29.38759572863</v>
      </c>
      <c r="Q6" s="44">
        <f>Q4*'Demand Breakdown - Ethylene'!$C$7</f>
        <v>29.737546687040265</v>
      </c>
      <c r="R6" s="44">
        <f>R4*'Demand Breakdown - Ethylene'!$C$7</f>
        <v>30.091664902766276</v>
      </c>
      <c r="S6" s="44">
        <f>S4*'Demand Breakdown - Ethylene'!$C$7</f>
        <v>30.450000000000003</v>
      </c>
      <c r="T6" s="44">
        <f>T4*'Demand Breakdown - Ethylene'!$C$7</f>
        <v>30.79222077491589</v>
      </c>
      <c r="U6" s="44">
        <f>U4*'Demand Breakdown - Ethylene'!$C$7</f>
        <v>31.138287692977393</v>
      </c>
      <c r="V6" s="44">
        <f>V4*'Demand Breakdown - Ethylene'!$C$7</f>
        <v>31.488243980131564</v>
      </c>
      <c r="W6" s="44">
        <f>W4*'Demand Breakdown - Ethylene'!$C$7</f>
        <v>31.842133348132258</v>
      </c>
      <c r="X6" s="44">
        <f>X4*'Demand Breakdown - Ethylene'!$C$7</f>
        <v>32.200000000000003</v>
      </c>
      <c r="Y6" s="44">
        <f>Y4*'Demand Breakdown - Ethylene'!$C$7</f>
        <v>32.542630348683538</v>
      </c>
      <c r="Z6" s="44">
        <f>Z4*'Demand Breakdown - Ethylene'!$C$7</f>
        <v>32.888906522082571</v>
      </c>
      <c r="AA6" s="44">
        <f>AA4*'Demand Breakdown - Ethylene'!$C$7</f>
        <v>33.238867314302489</v>
      </c>
      <c r="AB6" s="44">
        <f>AB4*'Demand Breakdown - Ethylene'!$C$7</f>
        <v>33.592551932244888</v>
      </c>
      <c r="AC6" s="44">
        <f>AC4*'Demand Breakdown - Ethylene'!$C$7</f>
        <v>33.950000000000003</v>
      </c>
      <c r="AD6" s="44">
        <f>AD4*'Demand Breakdown - Ethylene'!$C$7</f>
        <v>34.292998945460489</v>
      </c>
      <c r="AE6" s="44">
        <f>AE4*'Demand Breakdown - Ethylene'!$C$7</f>
        <v>34.639463230437535</v>
      </c>
      <c r="AF6" s="44">
        <f>AF4*'Demand Breakdown - Ethylene'!$C$7</f>
        <v>34.989427865470148</v>
      </c>
      <c r="AG6" s="44">
        <f>AG4*'Demand Breakdown - Ethylene'!$C$7</f>
        <v>35.34292821481101</v>
      </c>
      <c r="AH6" s="44">
        <f>AH4*'Demand Breakdown - Ethylene'!$C$7</f>
        <v>35.700000000000003</v>
      </c>
    </row>
    <row r="7" spans="1:34" x14ac:dyDescent="0.2">
      <c r="A7" s="688"/>
      <c r="B7" s="1" t="s">
        <v>262</v>
      </c>
      <c r="C7" s="54" t="s">
        <v>153</v>
      </c>
      <c r="D7" s="44">
        <f>D4*'Demand Breakdown - Ethylene'!$C$8</f>
        <v>19.523076923076921</v>
      </c>
      <c r="E7" s="44">
        <f>E4*'Demand Breakdown - Ethylene'!$C$8</f>
        <v>20.00625367658391</v>
      </c>
      <c r="F7" s="44">
        <f>F4*'Demand Breakdown - Ethylene'!$C$8</f>
        <v>20.501388574601084</v>
      </c>
      <c r="G7" s="44">
        <f>G4*'Demand Breakdown - Ethylene'!$C$8</f>
        <v>21.008777569322103</v>
      </c>
      <c r="H7" s="44">
        <f>H4*'Demand Breakdown - Ethylene'!$C$8</f>
        <v>21.528723937463322</v>
      </c>
      <c r="I7" s="44">
        <f>I4*'Demand Breakdown - Ethylene'!$C$8</f>
        <v>22.061538461538461</v>
      </c>
      <c r="J7" s="44">
        <f>J4*'Demand Breakdown - Ethylene'!$C$8</f>
        <v>22.547357828113231</v>
      </c>
      <c r="K7" s="44">
        <f>K4*'Demand Breakdown - Ethylene'!$C$8</f>
        <v>23.043875472024851</v>
      </c>
      <c r="L7" s="44">
        <f>L4*'Demand Breakdown - Ethylene'!$C$8</f>
        <v>23.551326981119036</v>
      </c>
      <c r="M7" s="44">
        <f>M4*'Demand Breakdown - Ethylene'!$C$8</f>
        <v>24.069953131145233</v>
      </c>
      <c r="N7" s="44">
        <f>N4*'Demand Breakdown - Ethylene'!$C$8</f>
        <v>24.599999999999998</v>
      </c>
      <c r="O7" s="44">
        <f>O4*'Demand Breakdown - Ethylene'!$C$8</f>
        <v>24.892939703417305</v>
      </c>
      <c r="P7" s="44">
        <f>P4*'Demand Breakdown - Ethylene'!$C$8</f>
        <v>25.18936776739714</v>
      </c>
      <c r="Q7" s="44">
        <f>Q4*'Demand Breakdown - Ethylene'!$C$8</f>
        <v>25.489325731748796</v>
      </c>
      <c r="R7" s="44">
        <f>R4*'Demand Breakdown - Ethylene'!$C$8</f>
        <v>25.792855630942519</v>
      </c>
      <c r="S7" s="44">
        <f>S4*'Demand Breakdown - Ethylene'!$C$8</f>
        <v>26.099999999999998</v>
      </c>
      <c r="T7" s="44">
        <f>T4*'Demand Breakdown - Ethylene'!$C$8</f>
        <v>26.393332092785045</v>
      </c>
      <c r="U7" s="44">
        <f>U4*'Demand Breakdown - Ethylene'!$C$8</f>
        <v>26.689960879694905</v>
      </c>
      <c r="V7" s="44">
        <f>V4*'Demand Breakdown - Ethylene'!$C$8</f>
        <v>26.989923411541337</v>
      </c>
      <c r="W7" s="44">
        <f>W4*'Demand Breakdown - Ethylene'!$C$8</f>
        <v>27.29325715554193</v>
      </c>
      <c r="X7" s="44">
        <f>X4*'Demand Breakdown - Ethylene'!$C$8</f>
        <v>27.599999999999998</v>
      </c>
      <c r="Y7" s="44">
        <f>Y4*'Demand Breakdown - Ethylene'!$C$8</f>
        <v>27.893683156014458</v>
      </c>
      <c r="Z7" s="44">
        <f>Z4*'Demand Breakdown - Ethylene'!$C$8</f>
        <v>28.190491304642201</v>
      </c>
      <c r="AA7" s="44">
        <f>AA4*'Demand Breakdown - Ethylene'!$C$8</f>
        <v>28.490457697973561</v>
      </c>
      <c r="AB7" s="44">
        <f>AB4*'Demand Breakdown - Ethylene'!$C$8</f>
        <v>28.793615941924187</v>
      </c>
      <c r="AC7" s="44">
        <f>AC4*'Demand Breakdown - Ethylene'!$C$8</f>
        <v>29.099999999999998</v>
      </c>
      <c r="AD7" s="44">
        <f>AD4*'Demand Breakdown - Ethylene'!$C$8</f>
        <v>29.393999096108988</v>
      </c>
      <c r="AE7" s="44">
        <f>AE4*'Demand Breakdown - Ethylene'!$C$8</f>
        <v>29.690968483232169</v>
      </c>
      <c r="AF7" s="44">
        <f>AF4*'Demand Breakdown - Ethylene'!$C$8</f>
        <v>29.990938170402984</v>
      </c>
      <c r="AG7" s="44">
        <f>AG4*'Demand Breakdown - Ethylene'!$C$8</f>
        <v>30.293938469838004</v>
      </c>
      <c r="AH7" s="44">
        <f>AH4*'Demand Breakdown - Ethylene'!$C$8</f>
        <v>30.599999999999998</v>
      </c>
    </row>
    <row r="8" spans="1:34" s="68" customFormat="1" x14ac:dyDescent="0.2">
      <c r="A8" s="689"/>
      <c r="B8" s="62" t="s">
        <v>248</v>
      </c>
      <c r="C8" s="283" t="s">
        <v>153</v>
      </c>
      <c r="D8" s="284">
        <f t="shared" ref="D8:AH8" si="1">D4-SUM(D6,D5,D7)</f>
        <v>21.150000000000006</v>
      </c>
      <c r="E8" s="284">
        <f t="shared" si="1"/>
        <v>21.673441482965899</v>
      </c>
      <c r="F8" s="284">
        <f t="shared" si="1"/>
        <v>22.209837622484486</v>
      </c>
      <c r="G8" s="284">
        <f t="shared" si="1"/>
        <v>22.759509033432295</v>
      </c>
      <c r="H8" s="284">
        <f t="shared" si="1"/>
        <v>23.322784265585256</v>
      </c>
      <c r="I8" s="284">
        <f t="shared" si="1"/>
        <v>23.900000000000006</v>
      </c>
      <c r="J8" s="284">
        <f t="shared" si="1"/>
        <v>24.426304313789331</v>
      </c>
      <c r="K8" s="284">
        <f t="shared" si="1"/>
        <v>24.964198428026947</v>
      </c>
      <c r="L8" s="284">
        <f t="shared" si="1"/>
        <v>25.513937562878937</v>
      </c>
      <c r="M8" s="284">
        <f t="shared" si="1"/>
        <v>26.075782558740656</v>
      </c>
      <c r="N8" s="284">
        <f t="shared" si="1"/>
        <v>26.650000000000006</v>
      </c>
      <c r="O8" s="284">
        <f t="shared" si="1"/>
        <v>26.967351345368741</v>
      </c>
      <c r="P8" s="284">
        <f t="shared" si="1"/>
        <v>27.288481748013567</v>
      </c>
      <c r="Q8" s="284">
        <f t="shared" si="1"/>
        <v>27.613436209394536</v>
      </c>
      <c r="R8" s="284">
        <f t="shared" si="1"/>
        <v>27.942260266854419</v>
      </c>
      <c r="S8" s="284">
        <f t="shared" si="1"/>
        <v>28.275000000000006</v>
      </c>
      <c r="T8" s="284">
        <f t="shared" si="1"/>
        <v>28.592776433850446</v>
      </c>
      <c r="U8" s="284">
        <f t="shared" si="1"/>
        <v>28.914124286336147</v>
      </c>
      <c r="V8" s="284">
        <f t="shared" si="1"/>
        <v>29.239083695836484</v>
      </c>
      <c r="W8" s="284">
        <f t="shared" si="1"/>
        <v>29.56769525183708</v>
      </c>
      <c r="X8" s="284">
        <f t="shared" si="1"/>
        <v>29.900000000000006</v>
      </c>
      <c r="Y8" s="284">
        <f t="shared" si="1"/>
        <v>30.218156752349017</v>
      </c>
      <c r="Z8" s="284">
        <f t="shared" si="1"/>
        <v>30.5396989133624</v>
      </c>
      <c r="AA8" s="284">
        <f t="shared" si="1"/>
        <v>30.864662506138018</v>
      </c>
      <c r="AB8" s="284">
        <f t="shared" si="1"/>
        <v>31.193083937084509</v>
      </c>
      <c r="AC8" s="284">
        <f t="shared" si="1"/>
        <v>31.525000000000006</v>
      </c>
      <c r="AD8" s="284">
        <f t="shared" si="1"/>
        <v>31.843499020784748</v>
      </c>
      <c r="AE8" s="284">
        <f t="shared" si="1"/>
        <v>32.165215856834834</v>
      </c>
      <c r="AF8" s="284">
        <f t="shared" si="1"/>
        <v>32.490183017936545</v>
      </c>
      <c r="AG8" s="284">
        <f t="shared" si="1"/>
        <v>32.818433342324511</v>
      </c>
      <c r="AH8" s="284">
        <f t="shared" si="1"/>
        <v>33.150000000000006</v>
      </c>
    </row>
    <row r="9" spans="1:34" s="67" customFormat="1" x14ac:dyDescent="0.2">
      <c r="A9" s="687" t="s">
        <v>263</v>
      </c>
      <c r="B9" s="58" t="s">
        <v>264</v>
      </c>
      <c r="C9" s="59" t="s">
        <v>153</v>
      </c>
      <c r="D9" s="60">
        <f>D4*'Demand Breakdown - Ethylene'!$O$14</f>
        <v>18.742153846153844</v>
      </c>
      <c r="E9" s="60">
        <f>E4*'Demand Breakdown - Ethylene'!$O$14</f>
        <v>19.206003529520554</v>
      </c>
      <c r="F9" s="60">
        <f>F4*'Demand Breakdown - Ethylene'!$O$14</f>
        <v>19.68133303161704</v>
      </c>
      <c r="G9" s="60">
        <f>G4*'Demand Breakdown - Ethylene'!$O$14</f>
        <v>20.168426466549217</v>
      </c>
      <c r="H9" s="60">
        <f>H4*'Demand Breakdown - Ethylene'!$O$14</f>
        <v>20.66757497996479</v>
      </c>
      <c r="I9" s="60">
        <f>I4*'Demand Breakdown - Ethylene'!$O$14</f>
        <v>21.17907692307692</v>
      </c>
      <c r="J9" s="60">
        <f>J4*'Demand Breakdown - Ethylene'!$O$14</f>
        <v>21.645463514988702</v>
      </c>
      <c r="K9" s="60">
        <f>K4*'Demand Breakdown - Ethylene'!$O$14</f>
        <v>22.122120453143857</v>
      </c>
      <c r="L9" s="60">
        <f>L4*'Demand Breakdown - Ethylene'!$O$14</f>
        <v>22.609273901874275</v>
      </c>
      <c r="M9" s="60">
        <f>M4*'Demand Breakdown - Ethylene'!$O$14</f>
        <v>23.107155005899422</v>
      </c>
      <c r="N9" s="60">
        <f>N4*'Demand Breakdown - Ethylene'!$O$14</f>
        <v>23.616</v>
      </c>
      <c r="O9" s="60">
        <f>O4*'Demand Breakdown - Ethylene'!$O$14</f>
        <v>23.897222115280613</v>
      </c>
      <c r="P9" s="60">
        <f>P4*'Demand Breakdown - Ethylene'!$O$14</f>
        <v>24.181793056701256</v>
      </c>
      <c r="Q9" s="60">
        <f>Q4*'Demand Breakdown - Ethylene'!$O$14</f>
        <v>24.469752702478846</v>
      </c>
      <c r="R9" s="60">
        <f>R4*'Demand Breakdown - Ethylene'!$O$14</f>
        <v>24.761141405704819</v>
      </c>
      <c r="S9" s="60">
        <f>S4*'Demand Breakdown - Ethylene'!$O$14</f>
        <v>25.056000000000001</v>
      </c>
      <c r="T9" s="60">
        <f>T4*'Demand Breakdown - Ethylene'!$O$14</f>
        <v>25.337598809073643</v>
      </c>
      <c r="U9" s="60">
        <f>U4*'Demand Breakdown - Ethylene'!$O$14</f>
        <v>25.622362444507111</v>
      </c>
      <c r="V9" s="60">
        <f>V4*'Demand Breakdown - Ethylene'!$O$14</f>
        <v>25.910326475079685</v>
      </c>
      <c r="W9" s="60">
        <f>W4*'Demand Breakdown - Ethylene'!$O$14</f>
        <v>26.201526869320254</v>
      </c>
      <c r="X9" s="60">
        <f>X4*'Demand Breakdown - Ethylene'!$O$14</f>
        <v>26.495999999999999</v>
      </c>
      <c r="Y9" s="60">
        <f>Y4*'Demand Breakdown - Ethylene'!$O$14</f>
        <v>26.777935829773881</v>
      </c>
      <c r="Z9" s="60">
        <f>Z4*'Demand Breakdown - Ethylene'!$O$14</f>
        <v>27.062871652456511</v>
      </c>
      <c r="AA9" s="60">
        <f>AA4*'Demand Breakdown - Ethylene'!$O$14</f>
        <v>27.350839390054617</v>
      </c>
      <c r="AB9" s="60">
        <f>AB4*'Demand Breakdown - Ethylene'!$O$14</f>
        <v>27.641871304247221</v>
      </c>
      <c r="AC9" s="60">
        <f>AC4*'Demand Breakdown - Ethylene'!$O$14</f>
        <v>27.936</v>
      </c>
      <c r="AD9" s="60">
        <f>AD4*'Demand Breakdown - Ethylene'!$O$14</f>
        <v>28.218239132264628</v>
      </c>
      <c r="AE9" s="60">
        <f>AE4*'Demand Breakdown - Ethylene'!$O$14</f>
        <v>28.503329743902881</v>
      </c>
      <c r="AF9" s="60">
        <f>AF4*'Demand Breakdown - Ethylene'!$O$14</f>
        <v>28.791300643586865</v>
      </c>
      <c r="AG9" s="60">
        <f>AG4*'Demand Breakdown - Ethylene'!$O$14</f>
        <v>29.082180931044483</v>
      </c>
      <c r="AH9" s="60">
        <f>AH4*'Demand Breakdown - Ethylene'!$O$14</f>
        <v>29.375999999999998</v>
      </c>
    </row>
    <row r="10" spans="1:34" s="68" customFormat="1" x14ac:dyDescent="0.2">
      <c r="A10" s="689"/>
      <c r="B10" s="62" t="s">
        <v>266</v>
      </c>
      <c r="C10" s="283" t="s">
        <v>153</v>
      </c>
      <c r="D10" s="284">
        <f>D4*'Demand Breakdown - Ethylene'!$J$14</f>
        <v>15.260538461538461</v>
      </c>
      <c r="E10" s="284">
        <f>E4*'Demand Breakdown - Ethylene'!$J$14</f>
        <v>15.638221623863092</v>
      </c>
      <c r="F10" s="284">
        <f>F4*'Demand Breakdown - Ethylene'!$J$14</f>
        <v>16.025252069146518</v>
      </c>
      <c r="G10" s="284">
        <f>G4*'Demand Breakdown - Ethylene'!$J$14</f>
        <v>16.421861133353445</v>
      </c>
      <c r="H10" s="284">
        <f>H4*'Demand Breakdown - Ethylene'!$J$14</f>
        <v>16.828285877783831</v>
      </c>
      <c r="I10" s="284">
        <f>I4*'Demand Breakdown - Ethylene'!$J$14</f>
        <v>17.244769230769233</v>
      </c>
      <c r="J10" s="284">
        <f>J4*'Demand Breakdown - Ethylene'!$J$14</f>
        <v>17.624518035641845</v>
      </c>
      <c r="K10" s="284">
        <f>K4*'Demand Breakdown - Ethylene'!$J$14</f>
        <v>18.012629327299429</v>
      </c>
      <c r="L10" s="284">
        <f>L4*'Demand Breakdown - Ethylene'!$J$14</f>
        <v>18.409287256908048</v>
      </c>
      <c r="M10" s="284">
        <f>M4*'Demand Breakdown - Ethylene'!$J$14</f>
        <v>18.814680030845192</v>
      </c>
      <c r="N10" s="284">
        <f>N4*'Demand Breakdown - Ethylene'!$J$14</f>
        <v>19.229000000000003</v>
      </c>
      <c r="O10" s="284">
        <f>O4*'Demand Breakdown - Ethylene'!$J$14</f>
        <v>19.457981201504527</v>
      </c>
      <c r="P10" s="284">
        <f>P4*'Demand Breakdown - Ethylene'!$J$14</f>
        <v>19.6896891381821</v>
      </c>
      <c r="Q10" s="284">
        <f>Q4*'Demand Breakdown - Ethylene'!$J$14</f>
        <v>19.924156280316978</v>
      </c>
      <c r="R10" s="284">
        <f>R4*'Demand Breakdown - Ethylene'!$J$14</f>
        <v>20.161415484853404</v>
      </c>
      <c r="S10" s="284">
        <f>S4*'Demand Breakdown - Ethylene'!$J$14</f>
        <v>20.401500000000002</v>
      </c>
      <c r="T10" s="284">
        <f>T4*'Demand Breakdown - Ethylene'!$J$14</f>
        <v>20.630787919193647</v>
      </c>
      <c r="U10" s="284">
        <f>U4*'Demand Breakdown - Ethylene'!$J$14</f>
        <v>20.862652754294853</v>
      </c>
      <c r="V10" s="284">
        <f>V4*'Demand Breakdown - Ethylene'!$J$14</f>
        <v>21.097123466688149</v>
      </c>
      <c r="W10" s="284">
        <f>W4*'Demand Breakdown - Ethylene'!$J$14</f>
        <v>21.334229343248612</v>
      </c>
      <c r="X10" s="284">
        <f>X4*'Demand Breakdown - Ethylene'!$J$14</f>
        <v>21.574000000000002</v>
      </c>
      <c r="Y10" s="284">
        <f>Y4*'Demand Breakdown - Ethylene'!$J$14</f>
        <v>21.803562333617972</v>
      </c>
      <c r="Z10" s="284">
        <f>Z4*'Demand Breakdown - Ethylene'!$J$14</f>
        <v>22.035567369795324</v>
      </c>
      <c r="AA10" s="284">
        <f>AA4*'Demand Breakdown - Ethylene'!$J$14</f>
        <v>22.27004110058267</v>
      </c>
      <c r="AB10" s="284">
        <f>AB4*'Demand Breakdown - Ethylene'!$J$14</f>
        <v>22.507009794604077</v>
      </c>
      <c r="AC10" s="284">
        <f>AC4*'Demand Breakdown - Ethylene'!$J$14</f>
        <v>22.746500000000001</v>
      </c>
      <c r="AD10" s="284">
        <f>AD4*'Demand Breakdown - Ethylene'!$J$14</f>
        <v>22.976309293458527</v>
      </c>
      <c r="AE10" s="284">
        <f>AE4*'Demand Breakdown - Ethylene'!$J$14</f>
        <v>23.208440364393148</v>
      </c>
      <c r="AF10" s="284">
        <f>AF4*'Demand Breakdown - Ethylene'!$J$14</f>
        <v>23.442916669865003</v>
      </c>
      <c r="AG10" s="284">
        <f>AG4*'Demand Breakdown - Ethylene'!$J$14</f>
        <v>23.679761903923374</v>
      </c>
      <c r="AH10" s="284">
        <f>AH4*'Demand Breakdown - Ethylene'!$J$14</f>
        <v>23.919</v>
      </c>
    </row>
    <row r="11" spans="1:34" x14ac:dyDescent="0.2">
      <c r="D11" s="26"/>
      <c r="E11" s="26"/>
      <c r="F11" s="26"/>
      <c r="G11" s="26"/>
      <c r="H11" s="26"/>
      <c r="I11" s="26"/>
      <c r="J11" s="26"/>
      <c r="K11" s="26"/>
      <c r="L11" s="26"/>
      <c r="M11" s="26"/>
      <c r="N11" s="26"/>
      <c r="O11" s="26"/>
      <c r="P11" s="26"/>
      <c r="Q11" s="26"/>
      <c r="R11" s="26"/>
      <c r="S11" s="26"/>
      <c r="T11" s="26"/>
      <c r="U11" s="26"/>
      <c r="V11" s="26"/>
      <c r="W11" s="26"/>
      <c r="X11" s="26"/>
      <c r="Y11" s="26"/>
      <c r="Z11" s="26"/>
      <c r="AA11" s="26"/>
      <c r="AB11" s="26"/>
      <c r="AC11" s="26"/>
      <c r="AD11" s="26"/>
      <c r="AE11" s="26"/>
      <c r="AF11" s="26"/>
      <c r="AG11" s="26"/>
      <c r="AH11" s="26"/>
    </row>
    <row r="12" spans="1:34" x14ac:dyDescent="0.2">
      <c r="A12" s="58" t="s">
        <v>382</v>
      </c>
      <c r="B12" s="58" t="s">
        <v>199</v>
      </c>
      <c r="C12" s="59" t="s">
        <v>153</v>
      </c>
      <c r="D12" s="60">
        <f>'R&amp;S - Transportation'!D4</f>
        <v>8.4778361655826675</v>
      </c>
      <c r="E12" s="60">
        <f>D12*(1+'R&amp;S - Transportation'!$B$5)</f>
        <v>8.6219593803975716</v>
      </c>
      <c r="F12" s="60">
        <f>E12*(1+'R&amp;S - Transportation'!$B$5)</f>
        <v>8.7685326898643297</v>
      </c>
      <c r="G12" s="60">
        <f>F12*(1+'R&amp;S - Transportation'!$B$5)</f>
        <v>8.9175977455920226</v>
      </c>
      <c r="H12" s="60">
        <f>G12*(1+'R&amp;S - Transportation'!$B$5)</f>
        <v>9.0691969072670862</v>
      </c>
      <c r="I12" s="60">
        <f>H12*(1+'R&amp;S - Transportation'!$B$5)</f>
        <v>9.2233732546906264</v>
      </c>
      <c r="J12" s="60">
        <f>I12*(1+'R&amp;S - Transportation'!$B$5)</f>
        <v>9.3801706000203655</v>
      </c>
      <c r="K12" s="60">
        <f>J12*(1+'R&amp;S - Transportation'!$B$5)</f>
        <v>9.5396335002207113</v>
      </c>
      <c r="L12" s="60">
        <f>K12*(1+'R&amp;S - Transportation'!$B$5)</f>
        <v>9.7018072697244619</v>
      </c>
      <c r="M12" s="60">
        <f>L12*(1+'R&amp;S - Transportation'!$B$5)</f>
        <v>9.8667379933097763</v>
      </c>
      <c r="N12" s="60">
        <f>M12*(1+'R&amp;S - Transportation'!$B$5)</f>
        <v>10.034472539196042</v>
      </c>
      <c r="O12" s="60">
        <f>N12*(1+'R&amp;S - Transportation'!$B$5)</f>
        <v>10.205058572362374</v>
      </c>
      <c r="P12" s="60">
        <f>O12*(1+'R&amp;S - Transportation'!$B$5)</f>
        <v>10.378544568092533</v>
      </c>
      <c r="Q12" s="60">
        <f>P12*(1+'R&amp;S - Transportation'!$B$5)</f>
        <v>10.554979825750104</v>
      </c>
      <c r="R12" s="60">
        <f>Q12*(1+'R&amp;S - Transportation'!$B$5)</f>
        <v>10.734414482787855</v>
      </c>
      <c r="S12" s="60">
        <f>R12*(1+'R&amp;S - Transportation'!$B$5)</f>
        <v>10.916899528995248</v>
      </c>
      <c r="T12" s="60">
        <f>S12*(1+'R&amp;S - Transportation'!$B$5)</f>
        <v>11.102486820988167</v>
      </c>
      <c r="U12" s="60">
        <f>T12*(1+'R&amp;S - Transportation'!$B$5)</f>
        <v>11.291229096944965</v>
      </c>
      <c r="V12" s="60">
        <f>U12*(1+'R&amp;S - Transportation'!$B$5)</f>
        <v>11.483179991593028</v>
      </c>
      <c r="W12" s="60">
        <f>V12*(1+'R&amp;S - Transportation'!$B$5)</f>
        <v>11.678394051450109</v>
      </c>
      <c r="X12" s="60">
        <f>W12*(1+'R&amp;S - Transportation'!$B$5)</f>
        <v>11.87692675032476</v>
      </c>
      <c r="Y12" s="60">
        <f>X12*(1+'R&amp;S - Transportation'!$B$5)</f>
        <v>12.07883450508028</v>
      </c>
      <c r="Z12" s="60">
        <f>Y12*(1+'R&amp;S - Transportation'!$B$5)</f>
        <v>12.284174691666644</v>
      </c>
      <c r="AA12" s="60">
        <f>Z12*(1+'R&amp;S - Transportation'!$B$5)</f>
        <v>12.493005661424975</v>
      </c>
      <c r="AB12" s="60">
        <f>AA12*(1+'R&amp;S - Transportation'!$B$5)</f>
        <v>12.705386757669199</v>
      </c>
      <c r="AC12" s="60">
        <f>AB12*(1+'R&amp;S - Transportation'!$B$5)</f>
        <v>12.921378332549574</v>
      </c>
      <c r="AD12" s="60">
        <f>AC12*(1+'R&amp;S - Transportation'!$B$5)</f>
        <v>13.141041764202916</v>
      </c>
      <c r="AE12" s="60">
        <f>AD12*(1+'R&amp;S - Transportation'!$B$5)</f>
        <v>13.364439474194365</v>
      </c>
      <c r="AF12" s="60">
        <f>AE12*(1+'R&amp;S - Transportation'!$B$5)</f>
        <v>13.591634945255668</v>
      </c>
      <c r="AG12" s="60">
        <f>AF12*(1+'R&amp;S - Transportation'!$B$5)</f>
        <v>13.822692739325014</v>
      </c>
      <c r="AH12" s="60">
        <f>AG12*(1+'R&amp;S - Transportation'!$B$5)</f>
        <v>14.057678515893537</v>
      </c>
    </row>
    <row r="13" spans="1:34" outlineLevel="1" x14ac:dyDescent="0.2">
      <c r="B13" s="1" t="s">
        <v>270</v>
      </c>
      <c r="C13" s="54" t="s">
        <v>153</v>
      </c>
      <c r="D13" s="44">
        <v>0</v>
      </c>
      <c r="E13" s="44">
        <f>E12*('R&amp;S - Transportation'!$B$8*'R&amp;S - Transportation'!$C$19*('Yearly LC Ethylene'!E3-'Yearly LC Ethylene'!$D$3)/10)</f>
        <v>8.621959380397573E-3</v>
      </c>
      <c r="F13" s="44">
        <f>F12*('R&amp;S - Transportation'!$B$8*'R&amp;S - Transportation'!$C$19*('Yearly LC Ethylene'!F3-'Yearly LC Ethylene'!$D$3)/10)</f>
        <v>1.7537065379728663E-2</v>
      </c>
      <c r="G13" s="44">
        <f>G12*('R&amp;S - Transportation'!$B$8*'R&amp;S - Transportation'!$C$19*('Yearly LC Ethylene'!G3-'Yearly LC Ethylene'!$D$3)/10)</f>
        <v>2.6752793236776071E-2</v>
      </c>
      <c r="H13" s="44">
        <f>H12*('R&amp;S - Transportation'!$B$8*'R&amp;S - Transportation'!$C$19*('Yearly LC Ethylene'!H3-'Yearly LC Ethylene'!$D$3)/10)</f>
        <v>3.6276787629068351E-2</v>
      </c>
      <c r="I13" s="44">
        <f>I12*('R&amp;S - Transportation'!$B$8*'R&amp;S - Transportation'!$C$19*('Yearly LC Ethylene'!I3-'Yearly LC Ethylene'!$D$3)/10)</f>
        <v>4.6116866273453141E-2</v>
      </c>
      <c r="J13" s="44">
        <f>J12*('R&amp;S - Transportation'!$B$8*'R&amp;S - Transportation'!$C$19*('Yearly LC Ethylene'!J3-'Yearly LC Ethylene'!$D$3)/10)</f>
        <v>5.6281023600122201E-2</v>
      </c>
      <c r="K13" s="44">
        <f>K12*('R&amp;S - Transportation'!$B$8*'R&amp;S - Transportation'!$C$19*('Yearly LC Ethylene'!K3-'Yearly LC Ethylene'!$D$3)/10)</f>
        <v>6.6777434501544983E-2</v>
      </c>
      <c r="L13" s="44">
        <f>L12*('R&amp;S - Transportation'!$B$8*'R&amp;S - Transportation'!$C$19*('Yearly LC Ethylene'!L3-'Yearly LC Ethylene'!$D$3)/10)</f>
        <v>7.7614458157795718E-2</v>
      </c>
      <c r="M13" s="44">
        <f>M12*('R&amp;S - Transportation'!$B$8*'R&amp;S - Transportation'!$C$19*('Yearly LC Ethylene'!M3-'Yearly LC Ethylene'!$D$3)/10)</f>
        <v>8.8800641939788011E-2</v>
      </c>
      <c r="N13" s="44">
        <f>N12*('R&amp;S - Transportation'!$B$8*'R&amp;S - Transportation'!$C$19*('Yearly LC Ethylene'!N3-'Yearly LC Ethylene'!$D$3)/10)</f>
        <v>0.10034472539196043</v>
      </c>
      <c r="O13" s="44">
        <f>O12*('R&amp;S - Transportation'!$B$8*('R&amp;S - Transportation'!$C$19+('R&amp;S - Transportation'!$C$20-'R&amp;S - Transportation'!$C$19)*('Yearly LC Ethylene'!O3-'Yearly LC Ethylene'!$N$3)/10))</f>
        <v>0.14287082001307325</v>
      </c>
      <c r="P13" s="44">
        <f>P12*('R&amp;S - Transportation'!$B$8*('R&amp;S - Transportation'!$C$19+('R&amp;S - Transportation'!$C$20-'R&amp;S - Transportation'!$C$19)*('Yearly LC Ethylene'!P3-'Yearly LC Ethylene'!$N$3)/10))</f>
        <v>0.18681380222566557</v>
      </c>
      <c r="Q13" s="44">
        <f>Q12*('R&amp;S - Transportation'!$B$8*('R&amp;S - Transportation'!$C$19+('R&amp;S - Transportation'!$C$20-'R&amp;S - Transportation'!$C$19)*('Yearly LC Ethylene'!Q3-'Yearly LC Ethylene'!$N$3)/10))</f>
        <v>0.23220955616650235</v>
      </c>
      <c r="R13" s="44">
        <f>R12*('R&amp;S - Transportation'!$B$8*('R&amp;S - Transportation'!$C$19+('R&amp;S - Transportation'!$C$20-'R&amp;S - Transportation'!$C$19)*('Yearly LC Ethylene'!R3-'Yearly LC Ethylene'!$N$3)/10))</f>
        <v>0.27909477655248427</v>
      </c>
      <c r="S13" s="44">
        <f>S12*('R&amp;S - Transportation'!$B$8*('R&amp;S - Transportation'!$C$19+('R&amp;S - Transportation'!$C$20-'R&amp;S - Transportation'!$C$19)*('Yearly LC Ethylene'!S3-'Yearly LC Ethylene'!$N$3)/10))</f>
        <v>0.32750698586985749</v>
      </c>
      <c r="T13" s="44">
        <f>T12*('R&amp;S - Transportation'!$B$8*('R&amp;S - Transportation'!$C$19+('R&amp;S - Transportation'!$C$20-'R&amp;S - Transportation'!$C$19)*('Yearly LC Ethylene'!T3-'Yearly LC Ethylene'!$N$3)/10))</f>
        <v>0.37748455191359781</v>
      </c>
      <c r="U13" s="44">
        <f>U12*('R&amp;S - Transportation'!$B$8*('R&amp;S - Transportation'!$C$19+('R&amp;S - Transportation'!$C$20-'R&amp;S - Transportation'!$C$19)*('Yearly LC Ethylene'!U3-'Yearly LC Ethylene'!$N$3)/10))</f>
        <v>0.42906670568390876</v>
      </c>
      <c r="V13" s="44">
        <f>V12*('R&amp;S - Transportation'!$B$8*('R&amp;S - Transportation'!$C$19+('R&amp;S - Transportation'!$C$20-'R&amp;S - Transportation'!$C$19)*('Yearly LC Ethylene'!V3-'Yearly LC Ethylene'!$N$3)/10))</f>
        <v>0.48229355964690729</v>
      </c>
      <c r="W13" s="44">
        <f>W12*('R&amp;S - Transportation'!$B$8*('R&amp;S - Transportation'!$C$19+('R&amp;S - Transportation'!$C$20-'R&amp;S - Transportation'!$C$19)*('Yearly LC Ethylene'!W3-'Yearly LC Ethylene'!$N$3)/10))</f>
        <v>0.53720612636670495</v>
      </c>
      <c r="X13" s="44">
        <f>X12*('R&amp;S - Transportation'!$B$8*('R&amp;S - Transportation'!$C$19+('R&amp;S - Transportation'!$C$20-'R&amp;S - Transportation'!$C$19)*('Yearly LC Ethylene'!X3-'Yearly LC Ethylene'!$N$3)/10))</f>
        <v>0.59384633751623805</v>
      </c>
      <c r="Y13" s="44">
        <f>Y12*('R&amp;S - Transportation'!$B$8*('R&amp;S - Transportation'!$C$20+('R&amp;S - Transportation'!$C$21-'R&amp;S - Transportation'!$C$20)*('Yearly LC Ethylene'!Y3-'Yearly LC Ethylene'!$X$3)/10))</f>
        <v>0.66433589777941549</v>
      </c>
      <c r="Z13" s="44">
        <f>Z12*('R&amp;S - Transportation'!$B$8*('R&amp;S - Transportation'!$C$20+('R&amp;S - Transportation'!$C$21-'R&amp;S - Transportation'!$C$20)*('Yearly LC Ethylene'!Z3-'Yearly LC Ethylene'!$X$3)/10))</f>
        <v>0.73705048149999863</v>
      </c>
      <c r="AA13" s="44">
        <f>AA12*('R&amp;S - Transportation'!$B$8*('R&amp;S - Transportation'!$C$20+('R&amp;S - Transportation'!$C$21-'R&amp;S - Transportation'!$C$20)*('Yearly LC Ethylene'!AA3-'Yearly LC Ethylene'!$X$3)/10))</f>
        <v>0.81204536799262339</v>
      </c>
      <c r="AB13" s="44">
        <f>AB12*('R&amp;S - Transportation'!$B$8*('R&amp;S - Transportation'!$C$20+('R&amp;S - Transportation'!$C$21-'R&amp;S - Transportation'!$C$20)*('Yearly LC Ethylene'!AB3-'Yearly LC Ethylene'!$X$3)/10))</f>
        <v>0.88937707303684388</v>
      </c>
      <c r="AC13" s="44">
        <f>AC12*('R&amp;S - Transportation'!$B$8*('R&amp;S - Transportation'!$C$20+('R&amp;S - Transportation'!$C$21-'R&amp;S - Transportation'!$C$20)*('Yearly LC Ethylene'!AC3-'Yearly LC Ethylene'!$X$3)/10))</f>
        <v>0.96910337494121823</v>
      </c>
      <c r="AD13" s="44">
        <f>AD12*('R&amp;S - Transportation'!$B$8*('R&amp;S - Transportation'!$C$20+('R&amp;S - Transportation'!$C$21-'R&amp;S - Transportation'!$C$20)*('Yearly LC Ethylene'!AD3-'Yearly LC Ethylene'!$X$3)/10))</f>
        <v>1.0512833411362335</v>
      </c>
      <c r="AE13" s="44">
        <f>AE12*('R&amp;S - Transportation'!$B$8*('R&amp;S - Transportation'!$C$20+('R&amp;S - Transportation'!$C$21-'R&amp;S - Transportation'!$C$20)*('Yearly LC Ethylene'!AE3-'Yearly LC Ethylene'!$X$3)/10))</f>
        <v>1.1359773553065211</v>
      </c>
      <c r="AF13" s="44">
        <f>AF12*('R&amp;S - Transportation'!$B$8*('R&amp;S - Transportation'!$C$20+('R&amp;S - Transportation'!$C$21-'R&amp;S - Transportation'!$C$20)*('Yearly LC Ethylene'!AF3-'Yearly LC Ethylene'!$X$3)/10))</f>
        <v>1.2232471450730102</v>
      </c>
      <c r="AG13" s="44">
        <f>AG12*('R&amp;S - Transportation'!$B$8*('R&amp;S - Transportation'!$C$20+('R&amp;S - Transportation'!$C$21-'R&amp;S - Transportation'!$C$20)*('Yearly LC Ethylene'!AG3-'Yearly LC Ethylene'!$X$3)/10))</f>
        <v>1.3131558102358762</v>
      </c>
      <c r="AH13" s="44">
        <f>AH12*('R&amp;S - Transportation'!$B$8*('R&amp;S - Transportation'!$C$20+('R&amp;S - Transportation'!$C$21-'R&amp;S - Transportation'!$C$20)*('Yearly LC Ethylene'!AH3-'Yearly LC Ethylene'!$X$3)/10))</f>
        <v>1.4057678515893537</v>
      </c>
    </row>
    <row r="14" spans="1:34" outlineLevel="1" x14ac:dyDescent="0.2">
      <c r="B14" s="1" t="s">
        <v>191</v>
      </c>
      <c r="C14" s="54" t="s">
        <v>153</v>
      </c>
      <c r="D14" s="44">
        <f>SUM(D12:D13)</f>
        <v>8.4778361655826675</v>
      </c>
      <c r="E14" s="44">
        <f t="shared" ref="E14:AG14" si="2">SUM(E12:E13)</f>
        <v>8.6305813397779687</v>
      </c>
      <c r="F14" s="44">
        <f t="shared" si="2"/>
        <v>8.7860697552440588</v>
      </c>
      <c r="G14" s="44">
        <f t="shared" si="2"/>
        <v>8.9443505388287985</v>
      </c>
      <c r="H14" s="44">
        <f t="shared" si="2"/>
        <v>9.1054736948961548</v>
      </c>
      <c r="I14" s="44">
        <f t="shared" si="2"/>
        <v>9.269490120964079</v>
      </c>
      <c r="J14" s="44">
        <f t="shared" si="2"/>
        <v>9.4364516236204885</v>
      </c>
      <c r="K14" s="44">
        <f t="shared" si="2"/>
        <v>9.6064109347222555</v>
      </c>
      <c r="L14" s="44">
        <f t="shared" si="2"/>
        <v>9.7794217278822568</v>
      </c>
      <c r="M14" s="44">
        <f t="shared" si="2"/>
        <v>9.9555386352495638</v>
      </c>
      <c r="N14" s="44">
        <f>SUM(N12:N13)</f>
        <v>10.134817264588001</v>
      </c>
      <c r="O14" s="44">
        <f t="shared" si="2"/>
        <v>10.347929392375447</v>
      </c>
      <c r="P14" s="44">
        <f t="shared" si="2"/>
        <v>10.565358370318199</v>
      </c>
      <c r="Q14" s="44">
        <f t="shared" si="2"/>
        <v>10.787189381916606</v>
      </c>
      <c r="R14" s="44">
        <f t="shared" si="2"/>
        <v>11.013509259340339</v>
      </c>
      <c r="S14" s="44">
        <f t="shared" si="2"/>
        <v>11.244406514865107</v>
      </c>
      <c r="T14" s="44">
        <f t="shared" si="2"/>
        <v>11.479971372901765</v>
      </c>
      <c r="U14" s="44">
        <f t="shared" si="2"/>
        <v>11.720295802628874</v>
      </c>
      <c r="V14" s="44">
        <f t="shared" si="2"/>
        <v>11.965473551239935</v>
      </c>
      <c r="W14" s="44">
        <f t="shared" si="2"/>
        <v>12.215600177816814</v>
      </c>
      <c r="X14" s="44">
        <f t="shared" si="2"/>
        <v>12.470773087840998</v>
      </c>
      <c r="Y14" s="44">
        <f t="shared" si="2"/>
        <v>12.743170402859695</v>
      </c>
      <c r="Z14" s="44">
        <f t="shared" si="2"/>
        <v>13.021225173166643</v>
      </c>
      <c r="AA14" s="44">
        <f t="shared" si="2"/>
        <v>13.305051029417598</v>
      </c>
      <c r="AB14" s="44">
        <f t="shared" si="2"/>
        <v>13.594763830706043</v>
      </c>
      <c r="AC14" s="44">
        <f t="shared" si="2"/>
        <v>13.890481707490792</v>
      </c>
      <c r="AD14" s="44">
        <f t="shared" si="2"/>
        <v>14.192325105339149</v>
      </c>
      <c r="AE14" s="44">
        <f t="shared" si="2"/>
        <v>14.500416829500885</v>
      </c>
      <c r="AF14" s="44">
        <f t="shared" si="2"/>
        <v>14.814882090328679</v>
      </c>
      <c r="AG14" s="44">
        <f t="shared" si="2"/>
        <v>15.13584854956089</v>
      </c>
      <c r="AH14" s="44">
        <f>SUM(AH12:AH13)</f>
        <v>15.463446367482891</v>
      </c>
    </row>
    <row r="15" spans="1:34" outlineLevel="1" x14ac:dyDescent="0.2">
      <c r="B15" s="61" t="s">
        <v>77</v>
      </c>
      <c r="C15" s="54" t="s">
        <v>153</v>
      </c>
      <c r="D15" s="44">
        <v>0</v>
      </c>
      <c r="E15" s="44">
        <f>E14*'R&amp;S - Transportation'!$B$16*('R&amp;S - Transportation'!$B$10*'R&amp;S - Transportation'!$B$19*('Yearly LC Ethylene'!E$3-'Yearly LC Ethylene'!$D$3)/10)</f>
        <v>1.4240459210633648E-2</v>
      </c>
      <c r="F15" s="44">
        <f>F14*'R&amp;S - Transportation'!$B$16*('R&amp;S - Transportation'!$B$10*'R&amp;S - Transportation'!$B$19*('Yearly LC Ethylene'!F$3-'Yearly LC Ethylene'!$D$3)/10)</f>
        <v>2.8994030192305394E-2</v>
      </c>
      <c r="G15" s="44">
        <f>G14*'R&amp;S - Transportation'!$B$16*('R&amp;S - Transportation'!$B$10*'R&amp;S - Transportation'!$B$19*('Yearly LC Ethylene'!G$3-'Yearly LC Ethylene'!$D$3)/10)</f>
        <v>4.4274535167202554E-2</v>
      </c>
      <c r="H15" s="44">
        <f>H14*'R&amp;S - Transportation'!$B$16*('R&amp;S - Transportation'!$B$10*'R&amp;S - Transportation'!$B$19*('Yearly LC Ethylene'!H$3-'Yearly LC Ethylene'!$D$3)/10)</f>
        <v>6.0096126386314619E-2</v>
      </c>
      <c r="I15" s="44">
        <f>I14*'R&amp;S - Transportation'!$B$16*('R&amp;S - Transportation'!$B$10*'R&amp;S - Transportation'!$B$19*('Yearly LC Ethylene'!I$3-'Yearly LC Ethylene'!$D$3)/10)</f>
        <v>7.6473293497953648E-2</v>
      </c>
      <c r="J15" s="44">
        <f>J14*'R&amp;S - Transportation'!$B$16*('R&amp;S - Transportation'!$B$10*'R&amp;S - Transportation'!$B$19*('Yearly LC Ethylene'!J$3-'Yearly LC Ethylene'!$D$3)/10)</f>
        <v>9.3420871073842837E-2</v>
      </c>
      <c r="K15" s="44">
        <f>K14*'R&amp;S - Transportation'!$B$16*('R&amp;S - Transportation'!$B$10*'R&amp;S - Transportation'!$B$19*('Yearly LC Ethylene'!K$3-'Yearly LC Ethylene'!$D$3)/10)</f>
        <v>0.11095404629604207</v>
      </c>
      <c r="L15" s="44">
        <f>L14*'R&amp;S - Transportation'!$B$16*('R&amp;S - Transportation'!$B$10*'R&amp;S - Transportation'!$B$19*('Yearly LC Ethylene'!L$3-'Yearly LC Ethylene'!$D$3)/10)</f>
        <v>0.12908836680804578</v>
      </c>
      <c r="M15" s="44">
        <f>M14*'R&amp;S - Transportation'!$B$16*('R&amp;S - Transportation'!$B$10*'R&amp;S - Transportation'!$B$19*('Yearly LC Ethylene'!M$3-'Yearly LC Ethylene'!$D$3)/10)</f>
        <v>0.14783974873345604</v>
      </c>
      <c r="N15" s="44">
        <f>N14*'R&amp;S - Transportation'!$B$16*('R&amp;S - Transportation'!$B$10*'R&amp;S - Transportation'!$B$19*('Yearly LC Ethylene'!N$3-'Yearly LC Ethylene'!$D$3)/10)</f>
        <v>0.16722448486570202</v>
      </c>
      <c r="O15" s="44">
        <f>O14*'R&amp;S - Transportation'!$B$16*('R&amp;S - Transportation'!$B$10*('R&amp;S - Transportation'!$B$19+('R&amp;S - Transportation'!$B$20-'R&amp;S - Transportation'!$B$19)*('Yearly LC Ethylene'!O3-'Yearly LC Ethylene'!$N$3)/10))</f>
        <v>0.22196308546645332</v>
      </c>
      <c r="P15" s="44">
        <f>P14*'R&amp;S - Transportation'!$B$16*('R&amp;S - Transportation'!$B$10*('R&amp;S - Transportation'!$B$19+('R&amp;S - Transportation'!$B$20-'R&amp;S - Transportation'!$B$19)*('Yearly LC Ethylene'!P3-'Yearly LC Ethylene'!$N$3)/10))</f>
        <v>0.27892546097640053</v>
      </c>
      <c r="Q15" s="44">
        <f>Q14*'R&amp;S - Transportation'!$B$16*('R&amp;S - Transportation'!$B$10*('R&amp;S - Transportation'!$B$19+('R&amp;S - Transportation'!$B$20-'R&amp;S - Transportation'!$B$19)*('Yearly LC Ethylene'!Q3-'Yearly LC Ethylene'!$N$3)/10))</f>
        <v>0.33817838712308562</v>
      </c>
      <c r="R15" s="44">
        <f>R14*'R&amp;S - Transportation'!$B$16*('R&amp;S - Transportation'!$B$10*('R&amp;S - Transportation'!$B$19+('R&amp;S - Transportation'!$B$20-'R&amp;S - Transportation'!$B$19)*('Yearly LC Ethylene'!R3-'Yearly LC Ethylene'!$N$3)/10))</f>
        <v>0.39979038611405437</v>
      </c>
      <c r="S15" s="44">
        <f>S14*'R&amp;S - Transportation'!$B$16*('R&amp;S - Transportation'!$B$10*('R&amp;S - Transportation'!$B$19+('R&amp;S - Transportation'!$B$20-'R&amp;S - Transportation'!$B$19)*('Yearly LC Ethylene'!S3-'Yearly LC Ethylene'!$N$3)/10))</f>
        <v>0.46383176873818566</v>
      </c>
      <c r="T15" s="44">
        <f>T14*'R&amp;S - Transportation'!$B$16*('R&amp;S - Transportation'!$B$10*('R&amp;S - Transportation'!$B$19+('R&amp;S - Transportation'!$B$20-'R&amp;S - Transportation'!$B$19)*('Yearly LC Ethylene'!T3-'Yearly LC Ethylene'!$N$3)/10))</f>
        <v>0.53037467742806166</v>
      </c>
      <c r="U15" s="44">
        <f>U14*'R&amp;S - Transportation'!$B$16*('R&amp;S - Transportation'!$B$10*('R&amp;S - Transportation'!$B$19+('R&amp;S - Transportation'!$B$20-'R&amp;S - Transportation'!$B$19)*('Yearly LC Ethylene'!U3-'Yearly LC Ethylene'!$N$3)/10))</f>
        <v>0.59949313030446694</v>
      </c>
      <c r="V15" s="44">
        <f>V14*'R&amp;S - Transportation'!$B$16*('R&amp;S - Transportation'!$B$10*('R&amp;S - Transportation'!$B$19+('R&amp;S - Transportation'!$B$20-'R&amp;S - Transportation'!$B$19)*('Yearly LC Ethylene'!V3-'Yearly LC Ethylene'!$N$3)/10))</f>
        <v>0.67126306622456056</v>
      </c>
      <c r="W15" s="44">
        <f>W14*'R&amp;S - Transportation'!$B$16*('R&amp;S - Transportation'!$B$10*('R&amp;S - Transportation'!$B$19+('R&amp;S - Transportation'!$B$20-'R&amp;S - Transportation'!$B$19)*('Yearly LC Ethylene'!W3-'Yearly LC Ethylene'!$N$3)/10))</f>
        <v>0.74576239085571649</v>
      </c>
      <c r="X15" s="44">
        <f>X14*'R&amp;S - Transportation'!$B$16*('R&amp;S - Transportation'!$B$10*('R&amp;S - Transportation'!$B$19+('R&amp;S - Transportation'!$B$20-'R&amp;S - Transportation'!$B$19)*('Yearly LC Ethylene'!X3-'Yearly LC Ethylene'!$N$3)/10))</f>
        <v>0.82307102379750585</v>
      </c>
      <c r="Y15" s="44">
        <f>Y14*'R&amp;S - Transportation'!$B$16*('R&amp;S - Transportation'!$B$10*('R&amp;S - Transportation'!$B$20+('R&amp;S - Transportation'!$B$21-'R&amp;S - Transportation'!$B$20)*('Yearly LC Ethylene'!Y3-'Yearly LC Ethylene'!$X$3)/10))</f>
        <v>0.96720663357705094</v>
      </c>
      <c r="Z15" s="44">
        <f>Z14*'R&amp;S - Transportation'!$B$16*('R&amp;S - Transportation'!$B$10*('R&amp;S - Transportation'!$B$20+('R&amp;S - Transportation'!$B$21-'R&amp;S - Transportation'!$B$20)*('Yearly LC Ethylene'!Z3-'Yearly LC Ethylene'!$X$3)/10))</f>
        <v>1.117221119857698</v>
      </c>
      <c r="AA15" s="44">
        <f>AA14*'R&amp;S - Transportation'!$B$16*('R&amp;S - Transportation'!$B$10*('R&amp;S - Transportation'!$B$20+('R&amp;S - Transportation'!$B$21-'R&amp;S - Transportation'!$B$20)*('Yearly LC Ethylene'!AA3-'Yearly LC Ethylene'!$X$3)/10))</f>
        <v>1.2732933835152644</v>
      </c>
      <c r="AB15" s="44">
        <f>AB14*'R&amp;S - Transportation'!$B$16*('R&amp;S - Transportation'!$B$10*('R&amp;S - Transportation'!$B$20+('R&amp;S - Transportation'!$B$21-'R&amp;S - Transportation'!$B$20)*('Yearly LC Ethylene'!AB3-'Yearly LC Ethylene'!$X$3)/10))</f>
        <v>1.4356070605225584</v>
      </c>
      <c r="AC15" s="44">
        <f>AC14*'R&amp;S - Transportation'!$B$16*('R&amp;S - Transportation'!$B$10*('R&amp;S - Transportation'!$B$20+('R&amp;S - Transportation'!$B$21-'R&amp;S - Transportation'!$B$20)*('Yearly LC Ethylene'!AC3-'Yearly LC Ethylene'!$X$3)/10))</f>
        <v>1.6043506372151863</v>
      </c>
      <c r="AD15" s="44">
        <f>AD14*'R&amp;S - Transportation'!$B$16*('R&amp;S - Transportation'!$B$10*('R&amp;S - Transportation'!$B$20+('R&amp;S - Transportation'!$B$21-'R&amp;S - Transportation'!$B$20)*('Yearly LC Ethylene'!AD3-'Yearly LC Ethylene'!$X$3)/10))</f>
        <v>1.7797175682095294</v>
      </c>
      <c r="AE15" s="44">
        <f>AE14*'R&amp;S - Transportation'!$B$16*('R&amp;S - Transportation'!$B$10*('R&amp;S - Transportation'!$B$20+('R&amp;S - Transportation'!$B$21-'R&amp;S - Transportation'!$B$20)*('Yearly LC Ethylene'!AE3-'Yearly LC Ethylene'!$X$3)/10))</f>
        <v>1.9619063970314699</v>
      </c>
      <c r="AF15" s="44">
        <f>AF14*'R&amp;S - Transportation'!$B$16*('R&amp;S - Transportation'!$B$10*('R&amp;S - Transportation'!$B$20+('R&amp;S - Transportation'!$B$21-'R&amp;S - Transportation'!$B$20)*('Yearly LC Ethylene'!AF3-'Yearly LC Ethylene'!$X$3)/10))</f>
        <v>2.1511208795157239</v>
      </c>
      <c r="AG15" s="44">
        <f>AG14*'R&amp;S - Transportation'!$B$16*('R&amp;S - Transportation'!$B$10*('R&amp;S - Transportation'!$B$20+('R&amp;S - Transportation'!$B$21-'R&amp;S - Transportation'!$B$20)*('Yearly LC Ethylene'!AG3-'Yearly LC Ethylene'!$X$3)/10))</f>
        <v>2.347570110036894</v>
      </c>
      <c r="AH15" s="44">
        <f>AH14*'R&amp;S - Transportation'!$B$16*('R&amp;S - Transportation'!$B$10*('R&amp;S - Transportation'!$B$20+('R&amp;S - Transportation'!$B$21-'R&amp;S - Transportation'!$B$20)*('Yearly LC Ethylene'!AH3-'Yearly LC Ethylene'!$X$3)/10))</f>
        <v>2.5514686506346771</v>
      </c>
    </row>
    <row r="16" spans="1:34" outlineLevel="1" x14ac:dyDescent="0.2">
      <c r="B16" s="61" t="s">
        <v>194</v>
      </c>
      <c r="C16" s="54" t="s">
        <v>153</v>
      </c>
      <c r="D16" s="44">
        <v>0</v>
      </c>
      <c r="E16" s="44">
        <f>(E14-E15)*'R&amp;S - Transportation'!$B$16*('R&amp;S - Transportation'!$B$11*'R&amp;S - Transportation'!$B$19*('Yearly LC Ethylene'!E$3-'Yearly LC Ethylene'!$D$3)/10)</f>
        <v>9.0471579245957039E-3</v>
      </c>
      <c r="F16" s="44">
        <f>(F14-F15)*'R&amp;S - Transportation'!$B$16*('R&amp;S - Transportation'!$B$11*'R&amp;S - Transportation'!$B$19*('Yearly LC Ethylene'!F$3-'Yearly LC Ethylene'!$D$3)/10)</f>
        <v>1.8389859022608687E-2</v>
      </c>
      <c r="G16" s="44">
        <f>(G14-G15)*'R&amp;S - Transportation'!$B$16*('R&amp;S - Transportation'!$B$11*'R&amp;S - Transportation'!$B$19*('Yearly LC Ethylene'!G$3-'Yearly LC Ethylene'!$D$3)/10)</f>
        <v>2.8035239411534026E-2</v>
      </c>
      <c r="H16" s="44">
        <f>(H14-H15)*'R&amp;S - Transportation'!$B$16*('R&amp;S - Transportation'!$B$11*'R&amp;S - Transportation'!$B$19*('Yearly LC Ethylene'!H$3-'Yearly LC Ethylene'!$D$3)/10)</f>
        <v>3.7990585787741338E-2</v>
      </c>
      <c r="I16" s="44">
        <f>(I14-I15)*'R&amp;S - Transportation'!$B$16*('R&amp;S - Transportation'!$B$11*'R&amp;S - Transportation'!$B$19*('Yearly LC Ethylene'!I$3-'Yearly LC Ethylene'!$D$3)/10)</f>
        <v>4.8263338344197167E-2</v>
      </c>
      <c r="J16" s="44">
        <f>(J14-J15)*'R&amp;S - Transportation'!$B$16*('R&amp;S - Transportation'!$B$11*'R&amp;S - Transportation'!$B$19*('Yearly LC Ethylene'!J$3-'Yearly LC Ethylene'!$D$3)/10)</f>
        <v>5.8861093741043868E-2</v>
      </c>
      <c r="K16" s="44">
        <f>(K14-K15)*'R&amp;S - Transportation'!$B$16*('R&amp;S - Transportation'!$B$11*'R&amp;S - Transportation'!$B$19*('Yearly LC Ethylene'!K$3-'Yearly LC Ethylene'!$D$3)/10)</f>
        <v>6.9791608129932681E-2</v>
      </c>
      <c r="L16" s="44">
        <f>(L14-L15)*'R&amp;S - Transportation'!$B$16*('R&amp;S - Transportation'!$B$11*'R&amp;S - Transportation'!$B$19*('Yearly LC Ethylene'!L$3-'Yearly LC Ethylene'!$D$3)/10)</f>
        <v>8.1062800233023383E-2</v>
      </c>
      <c r="M16" s="44">
        <f>(M14-M15)*'R&amp;S - Transportation'!$B$16*('R&amp;S - Transportation'!$B$11*'R&amp;S - Transportation'!$B$19*('Yearly LC Ethylene'!M$3-'Yearly LC Ethylene'!$D$3)/10)</f>
        <v>9.2682754477577206E-2</v>
      </c>
      <c r="N16" s="44">
        <f>(N14-N15)*'R&amp;S - Transportation'!$B$16*('R&amp;S - Transportation'!$B$11*'R&amp;S - Transportation'!$B$19*('Yearly LC Ethylene'!N$3-'Yearly LC Ethylene'!$D$3)/10)</f>
        <v>0.10465972418708415</v>
      </c>
      <c r="O16" s="44">
        <f>(O14-O15)*'R&amp;S - Transportation'!$B$16*('R&amp;S - Transportation'!$B$11*('R&amp;S - Transportation'!$B$19+('R&amp;S - Transportation'!$B$20-'R&amp;S - Transportation'!$B$19)*('Yearly LC Ethylene'!O$3-'Yearly LC Ethylene'!$N$3)/10))</f>
        <v>0.13821944008930775</v>
      </c>
      <c r="P16" s="44">
        <f>(P14-P15)*'R&amp;S - Transportation'!$B$16*('R&amp;S - Transportation'!$B$11*('R&amp;S - Transportation'!$B$19+('R&amp;S - Transportation'!$B$20-'R&amp;S - Transportation'!$B$19)*('Yearly LC Ethylene'!P$3-'Yearly LC Ethylene'!$N$3)/10))</f>
        <v>0.17281207287694222</v>
      </c>
      <c r="Q16" s="44">
        <f>(Q14-Q15)*'R&amp;S - Transportation'!$B$16*('R&amp;S - Transportation'!$B$11*('R&amp;S - Transportation'!$B$19+('R&amp;S - Transportation'!$B$20-'R&amp;S - Transportation'!$B$19)*('Yearly LC Ethylene'!Q$3-'Yearly LC Ethylene'!$N$3)/10))</f>
        <v>0.20845776934613075</v>
      </c>
      <c r="R16" s="44">
        <f>(R14-R15)*'R&amp;S - Transportation'!$B$16*('R&amp;S - Transportation'!$B$11*('R&amp;S - Transportation'!$B$19+('R&amp;S - Transportation'!$B$20-'R&amp;S - Transportation'!$B$19)*('Yearly LC Ethylene'!R$3-'Yearly LC Ethylene'!$N$3)/10))</f>
        <v>0.24517690597152719</v>
      </c>
      <c r="S16" s="44">
        <f>(S14-S15)*'R&amp;S - Transportation'!$B$16*('R&amp;S - Transportation'!$B$11*('R&amp;S - Transportation'!$B$19+('R&amp;S - Transportation'!$B$20-'R&amp;S - Transportation'!$B$19)*('Yearly LC Ethylene'!S$3-'Yearly LC Ethylene'!$N$3)/10))</f>
        <v>0.28299008708583168</v>
      </c>
      <c r="T16" s="44">
        <f>(T14-T15)*'R&amp;S - Transportation'!$B$16*('R&amp;S - Transportation'!$B$11*('R&amp;S - Transportation'!$B$19+('R&amp;S - Transportation'!$B$20-'R&amp;S - Transportation'!$B$19)*('Yearly LC Ethylene'!T$3-'Yearly LC Ethylene'!$N$3)/10))</f>
        <v>0.32191814284692688</v>
      </c>
      <c r="U16" s="44">
        <f>(U14-U15)*'R&amp;S - Transportation'!$B$16*('R&amp;S - Transportation'!$B$11*('R&amp;S - Transportation'!$B$19+('R&amp;S - Transportation'!$B$20-'R&amp;S - Transportation'!$B$19)*('Yearly LC Ethylene'!U$3-'Yearly LC Ethylene'!$N$3)/10))</f>
        <v>0.36198212698415949</v>
      </c>
      <c r="V16" s="44">
        <f>(V14-V15)*'R&amp;S - Transportation'!$B$16*('R&amp;S - Transportation'!$B$11*('R&amp;S - Transportation'!$B$19+('R&amp;S - Transportation'!$B$20-'R&amp;S - Transportation'!$B$19)*('Yearly LC Ethylene'!V$3-'Yearly LC Ethylene'!$N$3)/10))</f>
        <v>0.40320331431504902</v>
      </c>
      <c r="W16" s="44">
        <f>(W14-W15)*'R&amp;S - Transportation'!$B$16*('R&amp;S - Transportation'!$B$11*('R&amp;S - Transportation'!$B$19+('R&amp;S - Transportation'!$B$20-'R&amp;S - Transportation'!$B$19)*('Yearly LC Ethylene'!W$3-'Yearly LC Ethylene'!$N$3)/10))</f>
        <v>0.44560319802343856</v>
      </c>
      <c r="X16" s="44">
        <f>(X14-X15)*'R&amp;S - Transportation'!$B$16*('R&amp;S - Transportation'!$B$11*('R&amp;S - Transportation'!$B$19+('R&amp;S - Transportation'!$B$20-'R&amp;S - Transportation'!$B$19)*('Yearly LC Ethylene'!X$3-'Yearly LC Ethylene'!$N$3)/10))</f>
        <v>0.48920348668982672</v>
      </c>
      <c r="Y16" s="44">
        <f>(Y14-Y15)*'R&amp;S - Transportation'!$B$16*('R&amp;S - Transportation'!$B$11*('R&amp;S - Transportation'!$B$20+('R&amp;S - Transportation'!$B$21-'R&amp;S - Transportation'!$B$20)*('Yearly LC Ethylene'!Y$3-'Yearly LC Ethylene'!$X$3)/10))</f>
        <v>0.56877905005635176</v>
      </c>
      <c r="Z16" s="44">
        <f>(Z14-Z15)*'R&amp;S - Transportation'!$B$16*('R&amp;S - Transportation'!$B$11*('R&amp;S - Transportation'!$B$20+('R&amp;S - Transportation'!$B$21-'R&amp;S - Transportation'!$B$20)*('Yearly LC Ethylene'!Z$3-'Yearly LC Ethylene'!$X$3)/10))</f>
        <v>0.64995862131066839</v>
      </c>
      <c r="AA16" s="44">
        <f>(AA14-AA15)*'R&amp;S - Transportation'!$B$16*('R&amp;S - Transportation'!$B$11*('R&amp;S - Transportation'!$B$20+('R&amp;S - Transportation'!$B$21-'R&amp;S - Transportation'!$B$20)*('Yearly LC Ethylene'!AA$3-'Yearly LC Ethylene'!$X$3)/10))</f>
        <v>0.73273404063545211</v>
      </c>
      <c r="AB16" s="44">
        <f>(AB14-AB15)*'R&amp;S - Transportation'!$B$16*('R&amp;S - Transportation'!$B$11*('R&amp;S - Transportation'!$B$20+('R&amp;S - Transportation'!$B$21-'R&amp;S - Transportation'!$B$20)*('Yearly LC Ethylene'!AB$3-'Yearly LC Ethylene'!$X$3)/10))</f>
        <v>0.81709533495633013</v>
      </c>
      <c r="AC16" s="44">
        <f>(AC14-AC15)*'R&amp;S - Transportation'!$B$16*('R&amp;S - Transportation'!$B$11*('R&amp;S - Transportation'!$B$20+('R&amp;S - Transportation'!$B$21-'R&amp;S - Transportation'!$B$20)*('Yearly LC Ethylene'!AC$3-'Yearly LC Ethylene'!$X$3)/10))</f>
        <v>0.90303063366525704</v>
      </c>
      <c r="AD16" s="44">
        <f>(AD14-AD15)*'R&amp;S - Transportation'!$B$16*('R&amp;S - Transportation'!$B$11*('R&amp;S - Transportation'!$B$20+('R&amp;S - Transportation'!$B$21-'R&amp;S - Transportation'!$B$20)*('Yearly LC Ethylene'!AD$3-'Yearly LC Ethylene'!$X$3)/10))</f>
        <v>0.99052608146294363</v>
      </c>
      <c r="AE16" s="44">
        <f>(AE14-AE15)*'R&amp;S - Transportation'!$B$16*('R&amp;S - Transportation'!$B$11*('R&amp;S - Transportation'!$B$20+('R&amp;S - Transportation'!$B$21-'R&amp;S - Transportation'!$B$20)*('Yearly LC Ethylene'!AE$3-'Yearly LC Ethylene'!$X$3)/10))</f>
        <v>1.0795657482356167</v>
      </c>
      <c r="AF16" s="44">
        <f>(AF14-AF15)*'R&amp;S - Transportation'!$B$16*('R&amp;S - Transportation'!$B$11*('R&amp;S - Transportation'!$B$20+('R&amp;S - Transportation'!$B$21-'R&amp;S - Transportation'!$B$20)*('Yearly LC Ethylene'!AF$3-'Yearly LC Ethylene'!$X$3)/10))</f>
        <v>1.1701315358791169</v>
      </c>
      <c r="AG16" s="44">
        <f>(AG14-AG15)*'R&amp;S - Transportation'!$B$16*('R&amp;S - Transportation'!$B$11*('R&amp;S - Transportation'!$B$20+('R&amp;S - Transportation'!$B$21-'R&amp;S - Transportation'!$B$20)*('Yearly LC Ethylene'!AG$3-'Yearly LC Ethylene'!$X$3)/10))</f>
        <v>1.2622030819810184</v>
      </c>
      <c r="AH16" s="44">
        <f>(AH14-AH15)*'R&amp;S - Transportation'!$B$16*('R&amp;S - Transportation'!$B$11*('R&amp;S - Transportation'!$B$20+('R&amp;S - Transportation'!$B$21-'R&amp;S - Transportation'!$B$20)*('Yearly LC Ethylene'!AH$3-'Yearly LC Ethylene'!$X$3)/10))</f>
        <v>1.3557576602690624</v>
      </c>
    </row>
    <row r="17" spans="1:42" outlineLevel="1" x14ac:dyDescent="0.2">
      <c r="B17" s="1" t="s">
        <v>168</v>
      </c>
      <c r="C17" s="54" t="s">
        <v>153</v>
      </c>
      <c r="D17" s="44">
        <f>SUM(D15:D16)</f>
        <v>0</v>
      </c>
      <c r="E17" s="44">
        <f t="shared" ref="E17:AG17" si="3">SUM(E15:E16)</f>
        <v>2.3287617135229352E-2</v>
      </c>
      <c r="F17" s="44">
        <f t="shared" si="3"/>
        <v>4.7383889214914085E-2</v>
      </c>
      <c r="G17" s="44">
        <f t="shared" si="3"/>
        <v>7.230977457873658E-2</v>
      </c>
      <c r="H17" s="44">
        <f t="shared" si="3"/>
        <v>9.8086712174055957E-2</v>
      </c>
      <c r="I17" s="44">
        <f t="shared" si="3"/>
        <v>0.12473663184215081</v>
      </c>
      <c r="J17" s="44">
        <f t="shared" si="3"/>
        <v>0.15228196481488671</v>
      </c>
      <c r="K17" s="44">
        <f t="shared" si="3"/>
        <v>0.18074565442597473</v>
      </c>
      <c r="L17" s="44">
        <f t="shared" si="3"/>
        <v>0.21015116704106918</v>
      </c>
      <c r="M17" s="44">
        <f t="shared" si="3"/>
        <v>0.24052250321103325</v>
      </c>
      <c r="N17" s="44">
        <f t="shared" si="3"/>
        <v>0.27188420905278615</v>
      </c>
      <c r="O17" s="44">
        <f t="shared" si="3"/>
        <v>0.36018252555576108</v>
      </c>
      <c r="P17" s="44">
        <f t="shared" si="3"/>
        <v>0.45173753385334275</v>
      </c>
      <c r="Q17" s="44">
        <f t="shared" si="3"/>
        <v>0.54663615646921637</v>
      </c>
      <c r="R17" s="44">
        <f t="shared" si="3"/>
        <v>0.64496729208558157</v>
      </c>
      <c r="S17" s="44">
        <f t="shared" si="3"/>
        <v>0.74682185582401739</v>
      </c>
      <c r="T17" s="44">
        <f t="shared" si="3"/>
        <v>0.85229282027498854</v>
      </c>
      <c r="U17" s="44">
        <f t="shared" si="3"/>
        <v>0.96147525728862648</v>
      </c>
      <c r="V17" s="44">
        <f t="shared" si="3"/>
        <v>1.0744663805396095</v>
      </c>
      <c r="W17" s="44">
        <f t="shared" si="3"/>
        <v>1.191365588879155</v>
      </c>
      <c r="X17" s="44">
        <f t="shared" si="3"/>
        <v>1.3122745104873326</v>
      </c>
      <c r="Y17" s="44">
        <f t="shared" si="3"/>
        <v>1.5359856836334027</v>
      </c>
      <c r="Z17" s="44">
        <f t="shared" si="3"/>
        <v>1.7671797411683663</v>
      </c>
      <c r="AA17" s="44">
        <f t="shared" si="3"/>
        <v>2.0060274241507168</v>
      </c>
      <c r="AB17" s="44">
        <f t="shared" si="3"/>
        <v>2.2527023954788885</v>
      </c>
      <c r="AC17" s="44">
        <f t="shared" si="3"/>
        <v>2.5073812708804435</v>
      </c>
      <c r="AD17" s="44">
        <f t="shared" si="3"/>
        <v>2.7702436496724729</v>
      </c>
      <c r="AE17" s="44">
        <f t="shared" si="3"/>
        <v>3.0414721452670865</v>
      </c>
      <c r="AF17" s="44">
        <f t="shared" si="3"/>
        <v>3.3212524153948406</v>
      </c>
      <c r="AG17" s="44">
        <f t="shared" si="3"/>
        <v>3.6097731920179124</v>
      </c>
      <c r="AH17" s="44">
        <f>SUM(AH15:AH16)</f>
        <v>3.9072263109037397</v>
      </c>
      <c r="AI17" s="44"/>
      <c r="AM17" s="44"/>
      <c r="AN17" s="44"/>
      <c r="AO17" s="44"/>
      <c r="AP17" s="44"/>
    </row>
    <row r="18" spans="1:42" outlineLevel="1" x14ac:dyDescent="0.2">
      <c r="B18" s="1" t="s">
        <v>172</v>
      </c>
      <c r="C18" s="54" t="s">
        <v>153</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M18" s="44"/>
      <c r="AN18" s="44"/>
      <c r="AO18" s="44"/>
      <c r="AP18" s="44"/>
    </row>
    <row r="19" spans="1:42" s="1" customFormat="1" x14ac:dyDescent="0.2">
      <c r="A19" s="62"/>
      <c r="B19" s="62" t="s">
        <v>197</v>
      </c>
      <c r="C19" s="63" t="s">
        <v>153</v>
      </c>
      <c r="D19" s="64">
        <f>D14-D17-D18</f>
        <v>8.4778361655826675</v>
      </c>
      <c r="E19" s="64">
        <f t="shared" ref="E19:AG19" si="4">E14-E17-E18</f>
        <v>8.6072937226427388</v>
      </c>
      <c r="F19" s="64">
        <f t="shared" si="4"/>
        <v>8.7386858660291455</v>
      </c>
      <c r="G19" s="64">
        <f t="shared" si="4"/>
        <v>8.8720407642500625</v>
      </c>
      <c r="H19" s="64">
        <f t="shared" si="4"/>
        <v>9.0073869827220996</v>
      </c>
      <c r="I19" s="64">
        <f t="shared" si="4"/>
        <v>9.1447534891219284</v>
      </c>
      <c r="J19" s="64">
        <f t="shared" si="4"/>
        <v>9.2841696588056024</v>
      </c>
      <c r="K19" s="64">
        <f t="shared" si="4"/>
        <v>9.4256652802962808</v>
      </c>
      <c r="L19" s="64">
        <f t="shared" si="4"/>
        <v>9.5692705608411881</v>
      </c>
      <c r="M19" s="64">
        <f t="shared" si="4"/>
        <v>9.7150161320385298</v>
      </c>
      <c r="N19" s="64">
        <f>N14-N17-N18</f>
        <v>9.8629330555352155</v>
      </c>
      <c r="O19" s="64">
        <f t="shared" si="4"/>
        <v>9.9877468668196858</v>
      </c>
      <c r="P19" s="64">
        <f t="shared" si="4"/>
        <v>10.113620836464856</v>
      </c>
      <c r="Q19" s="64">
        <f t="shared" si="4"/>
        <v>10.240553225447391</v>
      </c>
      <c r="R19" s="64">
        <f t="shared" si="4"/>
        <v>10.368541967254757</v>
      </c>
      <c r="S19" s="64">
        <f t="shared" si="4"/>
        <v>10.49758465904109</v>
      </c>
      <c r="T19" s="64">
        <f t="shared" si="4"/>
        <v>10.627678552626778</v>
      </c>
      <c r="U19" s="64">
        <f t="shared" si="4"/>
        <v>10.758820545340248</v>
      </c>
      <c r="V19" s="64">
        <f t="shared" si="4"/>
        <v>10.891007170700325</v>
      </c>
      <c r="W19" s="64">
        <f t="shared" si="4"/>
        <v>11.024234588937659</v>
      </c>
      <c r="X19" s="64">
        <f>X14-X17-X18</f>
        <v>11.158498577353665</v>
      </c>
      <c r="Y19" s="64">
        <f t="shared" si="4"/>
        <v>11.207184719226293</v>
      </c>
      <c r="Z19" s="64">
        <f t="shared" si="4"/>
        <v>11.254045431998277</v>
      </c>
      <c r="AA19" s="64">
        <f t="shared" si="4"/>
        <v>11.299023605266882</v>
      </c>
      <c r="AB19" s="64">
        <f t="shared" si="4"/>
        <v>11.342061435227155</v>
      </c>
      <c r="AC19" s="64">
        <f t="shared" si="4"/>
        <v>11.383100436610349</v>
      </c>
      <c r="AD19" s="64">
        <f t="shared" si="4"/>
        <v>11.422081455666676</v>
      </c>
      <c r="AE19" s="64">
        <f t="shared" si="4"/>
        <v>11.458944684233799</v>
      </c>
      <c r="AF19" s="64">
        <f t="shared" si="4"/>
        <v>11.493629674933839</v>
      </c>
      <c r="AG19" s="64">
        <f t="shared" si="4"/>
        <v>11.526075357542979</v>
      </c>
      <c r="AH19" s="64">
        <f>AH14-AH17-AH18</f>
        <v>11.556220056579152</v>
      </c>
      <c r="AL19"/>
      <c r="AM19" s="44"/>
      <c r="AN19" s="44"/>
      <c r="AO19" s="44"/>
      <c r="AP19" s="44"/>
    </row>
    <row r="20" spans="1:42" s="67" customFormat="1" x14ac:dyDescent="0.2">
      <c r="A20" s="687" t="s">
        <v>257</v>
      </c>
      <c r="B20" s="58" t="s">
        <v>258</v>
      </c>
      <c r="C20" s="59" t="s">
        <v>153</v>
      </c>
      <c r="D20" s="60">
        <f>D19*('Demand Breakdown - Ethylene'!$C$75)</f>
        <v>2.4605530832803555</v>
      </c>
      <c r="E20" s="60">
        <f>E19*('Demand Breakdown - Ethylene'!$C$75)</f>
        <v>2.4981260187507601</v>
      </c>
      <c r="F20" s="60">
        <f>F19*('Demand Breakdown - Ethylene'!$C$75)</f>
        <v>2.5362604362145849</v>
      </c>
      <c r="G20" s="60">
        <f>G19*('Demand Breakdown - Ethylene'!$C$75)</f>
        <v>2.5749645111199366</v>
      </c>
      <c r="H20" s="60">
        <f>H19*('Demand Breakdown - Ethylene'!$C$75)</f>
        <v>2.6142465341110972</v>
      </c>
      <c r="I20" s="60">
        <f>I19*('Demand Breakdown - Ethylene'!$C$75)</f>
        <v>2.6541149125817394</v>
      </c>
      <c r="J20" s="60">
        <f>J19*('Demand Breakdown - Ethylene'!$C$75)</f>
        <v>2.6945781722478013</v>
      </c>
      <c r="K20" s="60">
        <f>K19*('Demand Breakdown - Ethylene'!$C$75)</f>
        <v>2.7356449587402047</v>
      </c>
      <c r="L20" s="60">
        <f>L19*('Demand Breakdown - Ethylene'!$C$75)</f>
        <v>2.7773240392176728</v>
      </c>
      <c r="M20" s="60">
        <f>M19*('Demand Breakdown - Ethylene'!$C$75)</f>
        <v>2.8196243039998512</v>
      </c>
      <c r="N20" s="60">
        <f>N19*('Demand Breakdown - Ethylene'!$C$75)</f>
        <v>2.8625547682209773</v>
      </c>
      <c r="O20" s="60">
        <f>O19*('Demand Breakdown - Ethylene'!$C$75)</f>
        <v>2.8987799325428298</v>
      </c>
      <c r="P20" s="60">
        <f>P19*('Demand Breakdown - Ethylene'!$C$75)</f>
        <v>2.9353127904638785</v>
      </c>
      <c r="Q20" s="60">
        <f>Q19*('Demand Breakdown - Ethylene'!$C$75)</f>
        <v>2.9721528372610857</v>
      </c>
      <c r="R20" s="60">
        <f>R19*('Demand Breakdown - Ethylene'!$C$75)</f>
        <v>3.0092994731630363</v>
      </c>
      <c r="S20" s="60">
        <f>S19*('Demand Breakdown - Ethylene'!$C$75)</f>
        <v>3.046752000783076</v>
      </c>
      <c r="T20" s="60">
        <f>T19*('Demand Breakdown - Ethylene'!$C$75)</f>
        <v>3.0845096225070869</v>
      </c>
      <c r="U20" s="60">
        <f>U19*('Demand Breakdown - Ethylene'!$C$75)</f>
        <v>3.1225714378354659</v>
      </c>
      <c r="V20" s="60">
        <f>V19*('Demand Breakdown - Ethylene'!$C$75)</f>
        <v>3.1609364406788312</v>
      </c>
      <c r="W20" s="60">
        <f>W19*('Demand Breakdown - Ethylene'!$C$75)</f>
        <v>3.1996035166070227</v>
      </c>
      <c r="X20" s="60">
        <f>X19*('Demand Breakdown - Ethylene'!$C$75)</f>
        <v>3.2385714400509427</v>
      </c>
      <c r="Y20" s="60">
        <f>Y19*('Demand Breakdown - Ethylene'!$C$75)</f>
        <v>3.2527017952687101</v>
      </c>
      <c r="Z20" s="60">
        <f>Z19*('Demand Breakdown - Ethylene'!$C$75)</f>
        <v>3.2663023495898607</v>
      </c>
      <c r="AA20" s="60">
        <f>AA19*('Demand Breakdown - Ethylene'!$C$75)</f>
        <v>3.2793565276554468</v>
      </c>
      <c r="AB20" s="60">
        <f>AB19*('Demand Breakdown - Ethylene'!$C$75)</f>
        <v>3.2918475528578863</v>
      </c>
      <c r="AC20" s="60">
        <f>AC19*('Demand Breakdown - Ethylene'!$C$75)</f>
        <v>3.3037584508058915</v>
      </c>
      <c r="AD20" s="60">
        <f>AD19*('Demand Breakdown - Ethylene'!$C$75)</f>
        <v>3.3150720530925035</v>
      </c>
      <c r="AE20" s="60">
        <f>AE19*('Demand Breakdown - Ethylene'!$C$75)</f>
        <v>3.3257710013782384</v>
      </c>
      <c r="AF20" s="60">
        <f>AF19*('Demand Breakdown - Ethylene'!$C$75)</f>
        <v>3.335837751801773</v>
      </c>
      <c r="AG20" s="60">
        <f>AG19*('Demand Breakdown - Ethylene'!$C$75)</f>
        <v>3.345254579730951</v>
      </c>
      <c r="AH20" s="60">
        <f>AH19*('Demand Breakdown - Ethylene'!$C$75)</f>
        <v>3.354003584867324</v>
      </c>
    </row>
    <row r="21" spans="1:42" x14ac:dyDescent="0.2">
      <c r="A21" s="688"/>
      <c r="B21" s="1" t="s">
        <v>260</v>
      </c>
      <c r="C21" s="54" t="s">
        <v>153</v>
      </c>
      <c r="D21" s="44">
        <f>D25/('Demand Breakdown - Ethylene'!$K$14)</f>
        <v>0</v>
      </c>
      <c r="E21" s="44">
        <f>E25/('Demand Breakdown - Ethylene'!$K$14)</f>
        <v>0</v>
      </c>
      <c r="F21" s="44">
        <f>F25/('Demand Breakdown - Ethylene'!$K$14)</f>
        <v>0</v>
      </c>
      <c r="G21" s="44">
        <f>G25/('Demand Breakdown - Ethylene'!$K$14)</f>
        <v>0</v>
      </c>
      <c r="H21" s="44">
        <f>H25/('Demand Breakdown - Ethylene'!$K$14)</f>
        <v>0</v>
      </c>
      <c r="I21" s="44">
        <f>I25/('Demand Breakdown - Ethylene'!$K$14)</f>
        <v>0</v>
      </c>
      <c r="J21" s="44">
        <f>J25/('Demand Breakdown - Ethylene'!$K$14)</f>
        <v>0</v>
      </c>
      <c r="K21" s="44">
        <f>K25/('Demand Breakdown - Ethylene'!$K$14)</f>
        <v>0</v>
      </c>
      <c r="L21" s="44">
        <f>L25/('Demand Breakdown - Ethylene'!$K$14)</f>
        <v>0</v>
      </c>
      <c r="M21" s="44">
        <f>M25/('Demand Breakdown - Ethylene'!$K$14)</f>
        <v>0</v>
      </c>
      <c r="N21" s="44">
        <f>N25/('Demand Breakdown - Ethylene'!$K$14)</f>
        <v>0</v>
      </c>
      <c r="O21" s="44">
        <f>O25/('Demand Breakdown - Ethylene'!$K$14)</f>
        <v>0</v>
      </c>
      <c r="P21" s="44">
        <f>P25/('Demand Breakdown - Ethylene'!$K$14)</f>
        <v>0</v>
      </c>
      <c r="Q21" s="44">
        <f>Q25/('Demand Breakdown - Ethylene'!$K$14)</f>
        <v>0</v>
      </c>
      <c r="R21" s="44">
        <f>R25/('Demand Breakdown - Ethylene'!$K$14)</f>
        <v>0</v>
      </c>
      <c r="S21" s="44">
        <f>S25/('Demand Breakdown - Ethylene'!$K$14)</f>
        <v>0</v>
      </c>
      <c r="T21" s="44">
        <f>T25/('Demand Breakdown - Ethylene'!$K$14)</f>
        <v>0</v>
      </c>
      <c r="U21" s="44">
        <f>U25/('Demand Breakdown - Ethylene'!$K$14)</f>
        <v>0</v>
      </c>
      <c r="V21" s="44">
        <f>V25/('Demand Breakdown - Ethylene'!$K$14)</f>
        <v>0</v>
      </c>
      <c r="W21" s="44">
        <f>W25/('Demand Breakdown - Ethylene'!$K$14)</f>
        <v>0</v>
      </c>
      <c r="X21" s="44">
        <f>X25/('Demand Breakdown - Ethylene'!$K$14)</f>
        <v>0</v>
      </c>
      <c r="Y21" s="44">
        <f>Y25/('Demand Breakdown - Ethylene'!$K$14)</f>
        <v>0</v>
      </c>
      <c r="Z21" s="44">
        <f>Z25/('Demand Breakdown - Ethylene'!$K$14)</f>
        <v>0</v>
      </c>
      <c r="AA21" s="44">
        <f>AA25/('Demand Breakdown - Ethylene'!$K$14)</f>
        <v>0</v>
      </c>
      <c r="AB21" s="44">
        <f>AB25/('Demand Breakdown - Ethylene'!$K$14)</f>
        <v>0</v>
      </c>
      <c r="AC21" s="44">
        <f>AC25/('Demand Breakdown - Ethylene'!$K$14)</f>
        <v>0</v>
      </c>
      <c r="AD21" s="44">
        <f>AD25/('Demand Breakdown - Ethylene'!$K$14)</f>
        <v>0</v>
      </c>
      <c r="AE21" s="44">
        <f>AE25/('Demand Breakdown - Ethylene'!$K$14)</f>
        <v>0</v>
      </c>
      <c r="AF21" s="44">
        <f>AF25/('Demand Breakdown - Ethylene'!$K$14)</f>
        <v>0</v>
      </c>
      <c r="AG21" s="44">
        <f>AG25/('Demand Breakdown - Ethylene'!$K$14)</f>
        <v>0</v>
      </c>
      <c r="AH21" s="44">
        <f>AH25/('Demand Breakdown - Ethylene'!$K$14)</f>
        <v>0</v>
      </c>
    </row>
    <row r="22" spans="1:42" x14ac:dyDescent="0.2">
      <c r="A22" s="688"/>
      <c r="B22" s="1" t="s">
        <v>262</v>
      </c>
      <c r="C22" s="54" t="s">
        <v>153</v>
      </c>
      <c r="D22" s="44">
        <f>D24/('Demand Breakdown - Ethylene'!$M$14)</f>
        <v>0.50059171597633134</v>
      </c>
      <c r="E22" s="44">
        <f>E24/('Demand Breakdown - Ethylene'!$M$14)</f>
        <v>0.50823581045622868</v>
      </c>
      <c r="F22" s="44">
        <f>F24/('Demand Breakdown - Ethylene'!$M$14)</f>
        <v>0.51599413666576677</v>
      </c>
      <c r="G22" s="44">
        <f>G24/('Demand Breakdown - Ethylene'!$M$14)</f>
        <v>0.52386835787391739</v>
      </c>
      <c r="H22" s="44">
        <f>H24/('Demand Breakdown - Ethylene'!$M$14)</f>
        <v>0.53186016078594833</v>
      </c>
      <c r="I22" s="44">
        <f>I24/('Demand Breakdown - Ethylene'!$M$14)</f>
        <v>0.53997125585942063</v>
      </c>
      <c r="J22" s="44">
        <f>J24/('Demand Breakdown - Ethylene'!$M$14)</f>
        <v>0.54820337762418481</v>
      </c>
      <c r="K22" s="44">
        <f>K24/('Demand Breakdown - Ethylene'!$M$14)</f>
        <v>0.55655828500641402</v>
      </c>
      <c r="L22" s="44">
        <f>L24/('Demand Breakdown - Ethylene'!$M$14)</f>
        <v>0.56503776165672714</v>
      </c>
      <c r="M22" s="44">
        <f>M24/('Demand Breakdown - Ethylene'!$M$14)</f>
        <v>0.57364361628244143</v>
      </c>
      <c r="N22" s="44">
        <f>N24/('Demand Breakdown - Ethylene'!$M$14)</f>
        <v>0.58237768298400727</v>
      </c>
      <c r="O22" s="44">
        <f>O24/('Demand Breakdown - Ethylene'!$M$14)</f>
        <v>0.58974757770102137</v>
      </c>
      <c r="P22" s="44">
        <f>P24/('Demand Breakdown - Ethylene'!$M$14)</f>
        <v>0.59718007170429477</v>
      </c>
      <c r="Q22" s="44">
        <f>Q24/('Demand Breakdown - Ethylene'!$M$14)</f>
        <v>0.60467506230952739</v>
      </c>
      <c r="R22" s="44">
        <f>R24/('Demand Breakdown - Ethylene'!$M$14)</f>
        <v>0.61223242749512807</v>
      </c>
      <c r="S22" s="44">
        <f>S24/('Demand Breakdown - Ethylene'!$M$14)</f>
        <v>0.6198520253799954</v>
      </c>
      <c r="T22" s="44">
        <f>T24/('Demand Breakdown - Ethylene'!$M$14)</f>
        <v>0.62753369369206824</v>
      </c>
      <c r="U22" s="44">
        <f>U24/('Demand Breakdown - Ethylene'!$M$14)</f>
        <v>0.63527724922756013</v>
      </c>
      <c r="V22" s="44">
        <f>V24/('Demand Breakdown - Ethylene'!$M$14)</f>
        <v>0.64308248730077944</v>
      </c>
      <c r="W22" s="44">
        <f>W24/('Demand Breakdown - Ethylene'!$M$14)</f>
        <v>0.65094918118444689</v>
      </c>
      <c r="X22" s="44">
        <f>X24/('Demand Breakdown - Ethylene'!$M$14)</f>
        <v>0.6588770815404188</v>
      </c>
      <c r="Y22" s="44">
        <f>Y24/('Demand Breakdown - Ethylene'!$M$14)</f>
        <v>0.66175185746534504</v>
      </c>
      <c r="Z22" s="44">
        <f>Z24/('Demand Breakdown - Ethylene'!$M$14)</f>
        <v>0.66451884707923181</v>
      </c>
      <c r="AA22" s="44">
        <f>AA24/('Demand Breakdown - Ethylene'!$M$14)</f>
        <v>0.66717467817790521</v>
      </c>
      <c r="AB22" s="44">
        <f>AB24/('Demand Breakdown - Ethylene'!$M$14)</f>
        <v>0.66971593761379455</v>
      </c>
      <c r="AC22" s="44">
        <f>AC24/('Demand Breakdown - Ethylene'!$M$14)</f>
        <v>0.67213917200086237</v>
      </c>
      <c r="AD22" s="44">
        <f>AD24/('Demand Breakdown - Ethylene'!$M$14)</f>
        <v>0.67444088848119865</v>
      </c>
      <c r="AE22" s="44">
        <f>AE24/('Demand Breakdown - Ethylene'!$M$14)</f>
        <v>0.67661755555572412</v>
      </c>
      <c r="AF22" s="44">
        <f>AF24/('Demand Breakdown - Ethylene'!$M$14)</f>
        <v>0.6786656039815292</v>
      </c>
      <c r="AG22" s="44">
        <f>AG24/('Demand Breakdown - Ethylene'!$M$14)</f>
        <v>0.6805814277384532</v>
      </c>
      <c r="AH22" s="44">
        <f>AH24/('Demand Breakdown - Ethylene'!$M$14)</f>
        <v>0.68236138506758515</v>
      </c>
    </row>
    <row r="23" spans="1:42" s="68" customFormat="1" x14ac:dyDescent="0.2">
      <c r="A23" s="689"/>
      <c r="B23" s="62" t="s">
        <v>248</v>
      </c>
      <c r="C23" s="283" t="s">
        <v>153</v>
      </c>
      <c r="D23" s="284">
        <f>D19-SUM(D21,D20,D22)</f>
        <v>5.5166913663259809</v>
      </c>
      <c r="E23" s="284">
        <f t="shared" ref="E23:AH23" si="5">E19-SUM(E21,E20,E22)</f>
        <v>5.6009318934357495</v>
      </c>
      <c r="F23" s="284">
        <f t="shared" si="5"/>
        <v>5.6864312931487939</v>
      </c>
      <c r="G23" s="284">
        <f t="shared" si="5"/>
        <v>5.773207895256208</v>
      </c>
      <c r="H23" s="284">
        <f t="shared" si="5"/>
        <v>5.8612802878250543</v>
      </c>
      <c r="I23" s="284">
        <f t="shared" si="5"/>
        <v>5.9506673206807683</v>
      </c>
      <c r="J23" s="284">
        <f t="shared" si="5"/>
        <v>6.0413881089336163</v>
      </c>
      <c r="K23" s="284">
        <f t="shared" si="5"/>
        <v>6.1334620365496626</v>
      </c>
      <c r="L23" s="284">
        <f t="shared" si="5"/>
        <v>6.2269087599667881</v>
      </c>
      <c r="M23" s="284">
        <f t="shared" si="5"/>
        <v>6.3217482117562369</v>
      </c>
      <c r="N23" s="284">
        <f t="shared" si="5"/>
        <v>6.4180006043302313</v>
      </c>
      <c r="O23" s="284">
        <f t="shared" si="5"/>
        <v>6.4992193565758347</v>
      </c>
      <c r="P23" s="284">
        <f t="shared" si="5"/>
        <v>6.5811279742966828</v>
      </c>
      <c r="Q23" s="284">
        <f t="shared" si="5"/>
        <v>6.6637253258767775</v>
      </c>
      <c r="R23" s="284">
        <f t="shared" si="5"/>
        <v>6.7470100665965926</v>
      </c>
      <c r="S23" s="284">
        <f t="shared" si="5"/>
        <v>6.8309806328780187</v>
      </c>
      <c r="T23" s="284">
        <f t="shared" si="5"/>
        <v>6.9156352364276223</v>
      </c>
      <c r="U23" s="284">
        <f t="shared" si="5"/>
        <v>7.0009718582772216</v>
      </c>
      <c r="V23" s="284">
        <f t="shared" si="5"/>
        <v>7.0869882427207145</v>
      </c>
      <c r="W23" s="284">
        <f t="shared" si="5"/>
        <v>7.1736818911461899</v>
      </c>
      <c r="X23" s="284">
        <f t="shared" si="5"/>
        <v>7.2610500557623041</v>
      </c>
      <c r="Y23" s="284">
        <f t="shared" si="5"/>
        <v>7.2927310664922373</v>
      </c>
      <c r="Z23" s="284">
        <f t="shared" si="5"/>
        <v>7.3232242353291843</v>
      </c>
      <c r="AA23" s="284">
        <f t="shared" si="5"/>
        <v>7.3524923994335296</v>
      </c>
      <c r="AB23" s="284">
        <f t="shared" si="5"/>
        <v>7.3804979447554739</v>
      </c>
      <c r="AC23" s="284">
        <f t="shared" si="5"/>
        <v>7.407202813803595</v>
      </c>
      <c r="AD23" s="284">
        <f t="shared" si="5"/>
        <v>7.4325685140929743</v>
      </c>
      <c r="AE23" s="284">
        <f t="shared" si="5"/>
        <v>7.4565561272998364</v>
      </c>
      <c r="AF23" s="284">
        <f t="shared" si="5"/>
        <v>7.4791263191505371</v>
      </c>
      <c r="AG23" s="284">
        <f t="shared" si="5"/>
        <v>7.5002393500735742</v>
      </c>
      <c r="AH23" s="284">
        <f t="shared" si="5"/>
        <v>7.5198550866442426</v>
      </c>
    </row>
    <row r="24" spans="1:42" s="67" customFormat="1" x14ac:dyDescent="0.2">
      <c r="A24" s="687" t="s">
        <v>263</v>
      </c>
      <c r="B24" s="58" t="s">
        <v>264</v>
      </c>
      <c r="C24" s="59" t="s">
        <v>153</v>
      </c>
      <c r="D24" s="60">
        <f>D19*'Demand Breakdown - Ethylene'!$E$75</f>
        <v>0.48056804733727804</v>
      </c>
      <c r="E24" s="60">
        <f>E19*'Demand Breakdown - Ethylene'!$E$75</f>
        <v>0.48790637803797954</v>
      </c>
      <c r="F24" s="60">
        <f>F19*'Demand Breakdown - Ethylene'!$E$75</f>
        <v>0.49535437119913606</v>
      </c>
      <c r="G24" s="60">
        <f>G19*'Demand Breakdown - Ethylene'!$E$75</f>
        <v>0.50291362355896063</v>
      </c>
      <c r="H24" s="60">
        <f>H19*'Demand Breakdown - Ethylene'!$E$75</f>
        <v>0.51058575435451037</v>
      </c>
      <c r="I24" s="60">
        <f>I19*'Demand Breakdown - Ethylene'!$E$75</f>
        <v>0.51837240562504383</v>
      </c>
      <c r="J24" s="60">
        <f>J19*'Demand Breakdown - Ethylene'!$E$75</f>
        <v>0.52627524251921742</v>
      </c>
      <c r="K24" s="60">
        <f>K19*'Demand Breakdown - Ethylene'!$E$75</f>
        <v>0.53429595360615745</v>
      </c>
      <c r="L24" s="60">
        <f>L19*'Demand Breakdown - Ethylene'!$E$75</f>
        <v>0.54243625119045802</v>
      </c>
      <c r="M24" s="60">
        <f>M19*'Demand Breakdown - Ethylene'!$E$75</f>
        <v>0.5506978716311437</v>
      </c>
      <c r="N24" s="60">
        <f>N19*'Demand Breakdown - Ethylene'!$E$75</f>
        <v>0.55908257566464692</v>
      </c>
      <c r="O24" s="60">
        <f>O19*'Demand Breakdown - Ethylene'!$E$75</f>
        <v>0.5661576745929805</v>
      </c>
      <c r="P24" s="60">
        <f>P19*'Demand Breakdown - Ethylene'!$E$75</f>
        <v>0.57329286883612296</v>
      </c>
      <c r="Q24" s="60">
        <f>Q19*'Demand Breakdown - Ethylene'!$E$75</f>
        <v>0.58048805981714624</v>
      </c>
      <c r="R24" s="60">
        <f>R19*'Demand Breakdown - Ethylene'!$E$75</f>
        <v>0.58774313039532289</v>
      </c>
      <c r="S24" s="60">
        <f>S19*'Demand Breakdown - Ethylene'!$E$75</f>
        <v>0.59505794436479553</v>
      </c>
      <c r="T24" s="60">
        <f>T19*'Demand Breakdown - Ethylene'!$E$75</f>
        <v>0.60243234594438544</v>
      </c>
      <c r="U24" s="60">
        <f>U19*'Demand Breakdown - Ethylene'!$E$75</f>
        <v>0.60986615925845766</v>
      </c>
      <c r="V24" s="60">
        <f>V19*'Demand Breakdown - Ethylene'!$E$75</f>
        <v>0.61735918780874821</v>
      </c>
      <c r="W24" s="60">
        <f>W19*'Demand Breakdown - Ethylene'!$E$75</f>
        <v>0.62491121393706894</v>
      </c>
      <c r="X24" s="60">
        <f>X19*'Demand Breakdown - Ethylene'!$E$75</f>
        <v>0.63252199827880207</v>
      </c>
      <c r="Y24" s="60">
        <f>Y19*'Demand Breakdown - Ethylene'!$E$75</f>
        <v>0.63528178316673123</v>
      </c>
      <c r="Z24" s="60">
        <f>Z19*'Demand Breakdown - Ethylene'!$E$75</f>
        <v>0.63793809319606254</v>
      </c>
      <c r="AA24" s="60">
        <f>AA19*'Demand Breakdown - Ethylene'!$E$75</f>
        <v>0.64048769105078895</v>
      </c>
      <c r="AB24" s="60">
        <f>AB19*'Demand Breakdown - Ethylene'!$E$75</f>
        <v>0.64292730010924271</v>
      </c>
      <c r="AC24" s="60">
        <f>AC19*'Demand Breakdown - Ethylene'!$E$75</f>
        <v>0.64525360512082786</v>
      </c>
      <c r="AD24" s="60">
        <f>AD19*'Demand Breakdown - Ethylene'!$E$75</f>
        <v>0.64746325294195073</v>
      </c>
      <c r="AE24" s="60">
        <f>AE19*'Demand Breakdown - Ethylene'!$E$75</f>
        <v>0.64955285333349511</v>
      </c>
      <c r="AF24" s="60">
        <f>AF19*'Demand Breakdown - Ethylene'!$E$75</f>
        <v>0.65151897982226803</v>
      </c>
      <c r="AG24" s="60">
        <f>AG19*'Demand Breakdown - Ethylene'!$E$75</f>
        <v>0.6533581706289151</v>
      </c>
      <c r="AH24" s="60">
        <f>AH19*'Demand Breakdown - Ethylene'!$E$75</f>
        <v>0.65506692966488167</v>
      </c>
    </row>
    <row r="25" spans="1:42" s="68" customFormat="1" x14ac:dyDescent="0.2">
      <c r="A25" s="689"/>
      <c r="B25" s="62" t="s">
        <v>266</v>
      </c>
      <c r="C25" s="283" t="s">
        <v>153</v>
      </c>
      <c r="D25" s="284">
        <f>D19*'Demand Breakdown - Ethylene'!$D$75/'Demand Breakdown - Ethylene'!$L$24</f>
        <v>0</v>
      </c>
      <c r="E25" s="284">
        <f>E19*'Demand Breakdown - Ethylene'!$D$75/'Demand Breakdown - Ethylene'!$L$24</f>
        <v>0</v>
      </c>
      <c r="F25" s="284">
        <f>F19*'Demand Breakdown - Ethylene'!$D$75/'Demand Breakdown - Ethylene'!$L$24</f>
        <v>0</v>
      </c>
      <c r="G25" s="284">
        <f>G19*'Demand Breakdown - Ethylene'!$D$75/'Demand Breakdown - Ethylene'!$L$24</f>
        <v>0</v>
      </c>
      <c r="H25" s="284">
        <f>H19*'Demand Breakdown - Ethylene'!$D$75/'Demand Breakdown - Ethylene'!$L$24</f>
        <v>0</v>
      </c>
      <c r="I25" s="284">
        <f>I19*'Demand Breakdown - Ethylene'!$D$75/'Demand Breakdown - Ethylene'!$L$24</f>
        <v>0</v>
      </c>
      <c r="J25" s="284">
        <f>J19*'Demand Breakdown - Ethylene'!$D$75/'Demand Breakdown - Ethylene'!$L$24</f>
        <v>0</v>
      </c>
      <c r="K25" s="284">
        <f>K19*'Demand Breakdown - Ethylene'!$D$75/'Demand Breakdown - Ethylene'!$L$24</f>
        <v>0</v>
      </c>
      <c r="L25" s="284">
        <f>L19*'Demand Breakdown - Ethylene'!$D$75/'Demand Breakdown - Ethylene'!$L$24</f>
        <v>0</v>
      </c>
      <c r="M25" s="284">
        <f>M19*'Demand Breakdown - Ethylene'!$D$75/'Demand Breakdown - Ethylene'!$L$24</f>
        <v>0</v>
      </c>
      <c r="N25" s="284">
        <f>N19*'Demand Breakdown - Ethylene'!$D$75/'Demand Breakdown - Ethylene'!$L$24</f>
        <v>0</v>
      </c>
      <c r="O25" s="284">
        <f>O19*'Demand Breakdown - Ethylene'!$D$75/'Demand Breakdown - Ethylene'!$L$24</f>
        <v>0</v>
      </c>
      <c r="P25" s="284">
        <f>P19*'Demand Breakdown - Ethylene'!$D$75/'Demand Breakdown - Ethylene'!$L$24</f>
        <v>0</v>
      </c>
      <c r="Q25" s="284">
        <f>Q19*'Demand Breakdown - Ethylene'!$D$75/'Demand Breakdown - Ethylene'!$L$24</f>
        <v>0</v>
      </c>
      <c r="R25" s="284">
        <f>R19*'Demand Breakdown - Ethylene'!$D$75/'Demand Breakdown - Ethylene'!$L$24</f>
        <v>0</v>
      </c>
      <c r="S25" s="284">
        <f>S19*'Demand Breakdown - Ethylene'!$D$75/'Demand Breakdown - Ethylene'!$L$24</f>
        <v>0</v>
      </c>
      <c r="T25" s="284">
        <f>T19*'Demand Breakdown - Ethylene'!$D$75/'Demand Breakdown - Ethylene'!$L$24</f>
        <v>0</v>
      </c>
      <c r="U25" s="284">
        <f>U19*'Demand Breakdown - Ethylene'!$D$75/'Demand Breakdown - Ethylene'!$L$24</f>
        <v>0</v>
      </c>
      <c r="V25" s="284">
        <f>V19*'Demand Breakdown - Ethylene'!$D$75/'Demand Breakdown - Ethylene'!$L$24</f>
        <v>0</v>
      </c>
      <c r="W25" s="284">
        <f>W19*'Demand Breakdown - Ethylene'!$D$75/'Demand Breakdown - Ethylene'!$L$24</f>
        <v>0</v>
      </c>
      <c r="X25" s="284">
        <f>X19*'Demand Breakdown - Ethylene'!$D$75/'Demand Breakdown - Ethylene'!$L$24</f>
        <v>0</v>
      </c>
      <c r="Y25" s="284">
        <f>Y19*'Demand Breakdown - Ethylene'!$D$75/'Demand Breakdown - Ethylene'!$L$24</f>
        <v>0</v>
      </c>
      <c r="Z25" s="284">
        <f>Z19*'Demand Breakdown - Ethylene'!$D$75/'Demand Breakdown - Ethylene'!$L$24</f>
        <v>0</v>
      </c>
      <c r="AA25" s="284">
        <f>AA19*'Demand Breakdown - Ethylene'!$D$75/'Demand Breakdown - Ethylene'!$L$24</f>
        <v>0</v>
      </c>
      <c r="AB25" s="284">
        <f>AB19*'Demand Breakdown - Ethylene'!$D$75/'Demand Breakdown - Ethylene'!$L$24</f>
        <v>0</v>
      </c>
      <c r="AC25" s="284">
        <f>AC19*'Demand Breakdown - Ethylene'!$D$75/'Demand Breakdown - Ethylene'!$L$24</f>
        <v>0</v>
      </c>
      <c r="AD25" s="284">
        <f>AD19*'Demand Breakdown - Ethylene'!$D$75/'Demand Breakdown - Ethylene'!$L$24</f>
        <v>0</v>
      </c>
      <c r="AE25" s="284">
        <f>AE19*'Demand Breakdown - Ethylene'!$D$75/'Demand Breakdown - Ethylene'!$L$24</f>
        <v>0</v>
      </c>
      <c r="AF25" s="284">
        <f>AF19*'Demand Breakdown - Ethylene'!$D$75/'Demand Breakdown - Ethylene'!$L$24</f>
        <v>0</v>
      </c>
      <c r="AG25" s="284">
        <f>AG19*'Demand Breakdown - Ethylene'!$D$75/'Demand Breakdown - Ethylene'!$L$24</f>
        <v>0</v>
      </c>
      <c r="AH25" s="284">
        <f>AH19*'Demand Breakdown - Ethylene'!$D$75/'Demand Breakdown - Ethylene'!$L$24</f>
        <v>0</v>
      </c>
    </row>
    <row r="26" spans="1:42" x14ac:dyDescent="0.2">
      <c r="A26" s="1" t="s">
        <v>198</v>
      </c>
      <c r="B26" s="1" t="s">
        <v>199</v>
      </c>
      <c r="C26" s="54" t="s">
        <v>153</v>
      </c>
      <c r="D26" s="44">
        <f>'R&amp;S - Packaging and hh goods'!J4</f>
        <v>89.109936202323638</v>
      </c>
      <c r="E26" s="44">
        <f>D26*(1+'R&amp;S - Packaging and hh goods'!$C$5)</f>
        <v>90.357475309156172</v>
      </c>
      <c r="F26" s="44">
        <f>E26*(1+'R&amp;S - Packaging and hh goods'!$C$5)</f>
        <v>91.622479963484366</v>
      </c>
      <c r="G26" s="44">
        <f>F26*(1+'R&amp;S - Packaging and hh goods'!$C$5)</f>
        <v>92.905194682973146</v>
      </c>
      <c r="H26" s="44">
        <f>G26*(1+'R&amp;S - Packaging and hh goods'!$C$5)</f>
        <v>94.205867408534772</v>
      </c>
      <c r="I26" s="44">
        <f>H26*(1+'R&amp;S - Packaging and hh goods'!$C$5)</f>
        <v>95.524749552254264</v>
      </c>
      <c r="J26" s="44">
        <f>I26*(1+'R&amp;S - Packaging and hh goods'!$C$5)</f>
        <v>96.862096045985822</v>
      </c>
      <c r="K26" s="44">
        <f>J26*(1+'R&amp;S - Packaging and hh goods'!$C$5)</f>
        <v>98.218165390629622</v>
      </c>
      <c r="L26" s="44">
        <f>K26*(1+'R&amp;S - Packaging and hh goods'!$C$5)</f>
        <v>99.593219706098438</v>
      </c>
      <c r="M26" s="44">
        <f>L26*(1+'R&amp;S - Packaging and hh goods'!$C$5)</f>
        <v>100.98752478198382</v>
      </c>
      <c r="N26" s="44">
        <f>M26*(1+'R&amp;S - Packaging and hh goods'!$C$5)</f>
        <v>102.4013501289316</v>
      </c>
      <c r="O26" s="44">
        <f>N26*(1+'R&amp;S - Packaging and hh goods'!$C$5)</f>
        <v>103.83496903073664</v>
      </c>
      <c r="P26" s="44">
        <f>O26*(1+'R&amp;S - Packaging and hh goods'!$C$5)</f>
        <v>105.28865859716696</v>
      </c>
      <c r="Q26" s="44">
        <f>P26*(1+'R&amp;S - Packaging and hh goods'!$C$5)</f>
        <v>106.76269981752729</v>
      </c>
      <c r="R26" s="44">
        <f>Q26*(1+'R&amp;S - Packaging and hh goods'!$C$5)</f>
        <v>108.25737761497267</v>
      </c>
      <c r="S26" s="44">
        <f>R26*(1+'R&amp;S - Packaging and hh goods'!$C$5)</f>
        <v>109.77298090158229</v>
      </c>
      <c r="T26" s="44">
        <f>S26*(1+'R&amp;S - Packaging and hh goods'!$C$5)</f>
        <v>111.30980263420444</v>
      </c>
      <c r="U26" s="44">
        <f>T26*(1+'R&amp;S - Packaging and hh goods'!$C$5)</f>
        <v>112.86813987108332</v>
      </c>
      <c r="V26" s="44">
        <f>U26*(1+'R&amp;S - Packaging and hh goods'!$C$5)</f>
        <v>114.44829382927848</v>
      </c>
      <c r="W26" s="44">
        <f>V26*(1+'R&amp;S - Packaging and hh goods'!$C$5)</f>
        <v>116.05056994288839</v>
      </c>
      <c r="X26" s="44">
        <f>W26*(1+'R&amp;S - Packaging and hh goods'!$C$5)</f>
        <v>117.67527792208882</v>
      </c>
      <c r="Y26" s="44">
        <f>X26*(1+'R&amp;S - Packaging and hh goods'!$C$5)</f>
        <v>119.32273181299807</v>
      </c>
      <c r="Z26" s="44">
        <f>Y26*(1+'R&amp;S - Packaging and hh goods'!$C$5)</f>
        <v>120.99325005838004</v>
      </c>
      <c r="AA26" s="44">
        <f>Z26*(1+'R&amp;S - Packaging and hh goods'!$C$5)</f>
        <v>122.68715555919736</v>
      </c>
      <c r="AB26" s="44">
        <f>AA26*(1+'R&amp;S - Packaging and hh goods'!$C$5)</f>
        <v>124.40477573702613</v>
      </c>
      <c r="AC26" s="44">
        <f>AB26*(1+'R&amp;S - Packaging and hh goods'!$C$5)</f>
        <v>126.14644259734449</v>
      </c>
      <c r="AD26" s="44">
        <f>AC26*(1+'R&amp;S - Packaging and hh goods'!$C$5)</f>
        <v>127.91249279370732</v>
      </c>
      <c r="AE26" s="44">
        <f>AD26*(1+'R&amp;S - Packaging and hh goods'!$C$5)</f>
        <v>129.70326769281922</v>
      </c>
      <c r="AF26" s="44">
        <f>AE26*(1+'R&amp;S - Packaging and hh goods'!$C$5)</f>
        <v>131.51911344051871</v>
      </c>
      <c r="AG26" s="44">
        <f>AF26*(1+'R&amp;S - Packaging and hh goods'!$C$5)</f>
        <v>133.36038102868596</v>
      </c>
      <c r="AH26" s="44">
        <f>AG26*(1+'R&amp;S - Packaging and hh goods'!$C$5)</f>
        <v>135.22742636308757</v>
      </c>
    </row>
    <row r="27" spans="1:42" outlineLevel="1" x14ac:dyDescent="0.2">
      <c r="B27" s="61" t="s">
        <v>25</v>
      </c>
      <c r="C27" s="54" t="s">
        <v>153</v>
      </c>
      <c r="D27" s="44">
        <v>0</v>
      </c>
      <c r="E27" s="44">
        <f>E26*'R&amp;S - Packaging and hh goods'!$C$7*('R&amp;S - Packaging and hh goods'!$B$15*'R&amp;S - Packaging and hh goods'!$B$19*('Yearly LC Ethylene'!E$3-'Yearly LC Ethylene'!$D$3)/10)</f>
        <v>6.7399447982605776E-2</v>
      </c>
      <c r="F27" s="44">
        <f>F26*'R&amp;S - Packaging and hh goods'!$C$7*('R&amp;S - Packaging and hh goods'!$B$15*'R&amp;S - Packaging and hh goods'!$B$19*('Yearly LC Ethylene'!F$3-'Yearly LC Ethylene'!$D$3)/10)</f>
        <v>0.13668608050872452</v>
      </c>
      <c r="G27" s="44">
        <f>G26*'R&amp;S - Packaging and hh goods'!$C$7*('R&amp;S - Packaging and hh goods'!$B$15*'R&amp;S - Packaging and hh goods'!$B$19*('Yearly LC Ethylene'!G$3-'Yearly LC Ethylene'!$D$3)/10)</f>
        <v>0.20789952845377002</v>
      </c>
      <c r="H27" s="44">
        <f>H26*'R&amp;S - Packaging and hh goods'!$C$7*('R&amp;S - Packaging and hh goods'!$B$15*'R&amp;S - Packaging and hh goods'!$B$19*('Yearly LC Ethylene'!H$3-'Yearly LC Ethylene'!$D$3)/10)</f>
        <v>0.28108016246949702</v>
      </c>
      <c r="I27" s="44">
        <f>I26*'R&amp;S - Packaging and hh goods'!$C$7*('R&amp;S - Packaging and hh goods'!$B$15*'R&amp;S - Packaging and hh goods'!$B$19*('Yearly LC Ethylene'!I$3-'Yearly LC Ethylene'!$D$3)/10)</f>
        <v>0.35626910593008754</v>
      </c>
      <c r="J27" s="44">
        <f>J26*'R&amp;S - Packaging and hh goods'!$C$7*('R&amp;S - Packaging and hh goods'!$B$15*'R&amp;S - Packaging and hh goods'!$B$19*('Yearly LC Ethylene'!J$3-'Yearly LC Ethylene'!$D$3)/10)</f>
        <v>0.43350824809573046</v>
      </c>
      <c r="K27" s="44">
        <f>K26*'R&amp;S - Packaging and hh goods'!$C$7*('R&amp;S - Packaging and hh goods'!$B$15*'R&amp;S - Packaging and hh goods'!$B$19*('Yearly LC Ethylene'!K$3-'Yearly LC Ethylene'!$D$3)/10)</f>
        <v>0.51284025749724915</v>
      </c>
      <c r="L27" s="44">
        <f>L26*'R&amp;S - Packaging and hh goods'!$C$7*('R&amp;S - Packaging and hh goods'!$B$15*'R&amp;S - Packaging and hh goods'!$B$19*('Yearly LC Ethylene'!L$3-'Yearly LC Ethylene'!$D$3)/10)</f>
        <v>0.59430859554538362</v>
      </c>
      <c r="M27" s="44">
        <f>M26*'R&amp;S - Packaging and hh goods'!$C$7*('R&amp;S - Packaging and hh goods'!$B$15*'R&amp;S - Packaging and hh goods'!$B$19*('Yearly LC Ethylene'!M$3-'Yearly LC Ethylene'!$D$3)/10)</f>
        <v>0.67795753036839645</v>
      </c>
      <c r="N27" s="44">
        <f>N26*'R&amp;S - Packaging and hh goods'!$C$7*('R&amp;S - Packaging and hh goods'!$B$15*'R&amp;S - Packaging and hh goods'!$B$19*('Yearly LC Ethylene'!N$3-'Yearly LC Ethylene'!$D$3)/10)</f>
        <v>0.76383215088172673</v>
      </c>
      <c r="O27" s="44">
        <f>O26*'R&amp;S - Packaging and hh goods'!$C$7*('R&amp;S - Packaging and hh goods'!$B$15*('R&amp;S - Packaging and hh goods'!$B$19+('R&amp;S - Packaging and hh goods'!$B$20-'R&amp;S - Packaging and hh goods'!$B$19)*('Yearly LC Ethylene'!O$3-'Yearly LC Ethylene'!$N$3)/10))</f>
        <v>1.2198781365656617</v>
      </c>
      <c r="P27" s="44">
        <f>P26*'R&amp;S - Packaging and hh goods'!$C$7*('R&amp;S - Packaging and hh goods'!$B$15*('R&amp;S - Packaging and hh goods'!$B$19+('R&amp;S - Packaging and hh goods'!$B$20-'R&amp;S - Packaging and hh goods'!$B$19)*('Yearly LC Ethylene'!P$3-'Yearly LC Ethylene'!$N$3)/10))</f>
        <v>1.6885436987471736</v>
      </c>
      <c r="Q27" s="44">
        <f>Q26*'R&amp;S - Packaging and hh goods'!$C$7*('R&amp;S - Packaging and hh goods'!$B$15*('R&amp;S - Packaging and hh goods'!$B$19+('R&amp;S - Packaging and hh goods'!$B$20-'R&amp;S - Packaging and hh goods'!$B$19)*('Yearly LC Ethylene'!Q$3-'Yearly LC Ethylene'!$N$3)/10))</f>
        <v>2.1700928005550018</v>
      </c>
      <c r="R27" s="44">
        <f>R26*'R&amp;S - Packaging and hh goods'!$C$7*('R&amp;S - Packaging and hh goods'!$B$15*('R&amp;S - Packaging and hh goods'!$B$19+('R&amp;S - Packaging and hh goods'!$B$20-'R&amp;S - Packaging and hh goods'!$B$19)*('Yearly LC Ethylene'!R$3-'Yearly LC Ethylene'!$N$3)/10))</f>
        <v>2.6647943226484938</v>
      </c>
      <c r="S27" s="44">
        <f>S26*'R&amp;S - Packaging and hh goods'!$C$7*('R&amp;S - Packaging and hh goods'!$B$15*('R&amp;S - Packaging and hh goods'!$B$19+('R&amp;S - Packaging and hh goods'!$B$20-'R&amp;S - Packaging and hh goods'!$B$19)*('Yearly LC Ethylene'!S$3-'Yearly LC Ethylene'!$N$3)/10))</f>
        <v>3.1729221491716957</v>
      </c>
      <c r="T27" s="44">
        <f>T26*'R&amp;S - Packaging and hh goods'!$C$7*('R&amp;S - Packaging and hh goods'!$B$15*('R&amp;S - Packaging and hh goods'!$B$19+('R&amp;S - Packaging and hh goods'!$B$20-'R&amp;S - Packaging and hh goods'!$B$19)*('Yearly LC Ethylene'!T$3-'Yearly LC Ethylene'!$N$3)/10))</f>
        <v>3.6947552551503073</v>
      </c>
      <c r="U27" s="44">
        <f>U26*'R&amp;S - Packaging and hh goods'!$C$7*('R&amp;S - Packaging and hh goods'!$B$15*('R&amp;S - Packaging and hh goods'!$B$19+('R&amp;S - Packaging and hh goods'!$B$20-'R&amp;S - Packaging and hh goods'!$B$19)*('Yearly LC Ethylene'!U$3-'Yearly LC Ethylene'!$N$3)/10))</f>
        <v>4.2305777953550834</v>
      </c>
      <c r="V27" s="44">
        <f>V26*'R&amp;S - Packaging and hh goods'!$C$7*('R&amp;S - Packaging and hh goods'!$B$15*('R&amp;S - Packaging and hh goods'!$B$19+('R&amp;S - Packaging and hh goods'!$B$20-'R&amp;S - Packaging and hh goods'!$B$19)*('Yearly LC Ethylene'!V$3-'Yearly LC Ethylene'!$N$3)/10))</f>
        <v>4.7806791946555824</v>
      </c>
      <c r="W27" s="44">
        <f>W26*'R&amp;S - Packaging and hh goods'!$C$7*('R&amp;S - Packaging and hh goods'!$B$15*('R&amp;S - Packaging and hh goods'!$B$19+('R&amp;S - Packaging and hh goods'!$B$20-'R&amp;S - Packaging and hh goods'!$B$19)*('Yearly LC Ethylene'!W$3-'Yearly LC Ethylene'!$N$3)/10))</f>
        <v>5.345354239888608</v>
      </c>
      <c r="X27" s="44">
        <f>X26*'R&amp;S - Packaging and hh goods'!$C$7*('R&amp;S - Packaging and hh goods'!$B$15*('R&amp;S - Packaging and hh goods'!$B$19+('R&amp;S - Packaging and hh goods'!$B$20-'R&amp;S - Packaging and hh goods'!$B$19)*('Yearly LC Ethylene'!X$3-'Yearly LC Ethylene'!$N$3)/10))</f>
        <v>5.9249031732660038</v>
      </c>
      <c r="Y27" s="44">
        <f>Y26*'R&amp;S - Packaging and hh goods'!$C$7*('R&amp;S - Packaging and hh goods'!$B$15*('R&amp;S - Packaging and hh goods'!$B$20+('R&amp;S - Packaging and hh goods'!$B$21-'R&amp;S - Packaging and hh goods'!$B$20)*('Yearly LC Ethylene'!Y$3-'Yearly LC Ethylene'!$X$3)/10))</f>
        <v>6.5196317873469489</v>
      </c>
      <c r="Z27" s="44">
        <f>Z26*'R&amp;S - Packaging and hh goods'!$C$7*('R&amp;S - Packaging and hh goods'!$B$15*('R&amp;S - Packaging and hh goods'!$B$20+('R&amp;S - Packaging and hh goods'!$B$21-'R&amp;S - Packaging and hh goods'!$B$20)*('Yearly LC Ethylene'!Z$3-'Yearly LC Ethylene'!$X$3)/10))</f>
        <v>7.1298515216001999</v>
      </c>
      <c r="AA27" s="44">
        <f>AA26*'R&amp;S - Packaging and hh goods'!$C$7*('R&amp;S - Packaging and hh goods'!$B$15*('R&amp;S - Packaging and hh goods'!$B$20+('R&amp;S - Packaging and hh goods'!$B$21-'R&amp;S - Packaging and hh goods'!$B$20)*('Yearly LC Ethylene'!AA$3-'Yearly LC Ethylene'!$X$3)/10))</f>
        <v>7.7558795605822235</v>
      </c>
      <c r="AB27" s="44">
        <f>AB26*'R&amp;S - Packaging and hh goods'!$C$7*('R&amp;S - Packaging and hh goods'!$B$15*('R&amp;S - Packaging and hh goods'!$B$20+('R&amp;S - Packaging and hh goods'!$B$21-'R&amp;S - Packaging and hh goods'!$B$20)*('Yearly LC Ethylene'!AB$3-'Yearly LC Ethylene'!$X$3)/10))</f>
        <v>8.3980389337575101</v>
      </c>
      <c r="AC27" s="44">
        <f>AC26*'R&amp;S - Packaging and hh goods'!$C$7*('R&amp;S - Packaging and hh goods'!$B$15*('R&amp;S - Packaging and hh goods'!$B$20+('R&amp;S - Packaging and hh goods'!$B$21-'R&amp;S - Packaging and hh goods'!$B$20)*('Yearly LC Ethylene'!AC$3-'Yearly LC Ethylene'!$X$3)/10))</f>
        <v>9.0566586169878267</v>
      </c>
      <c r="AD27" s="44">
        <f>AD26*'R&amp;S - Packaging and hh goods'!$C$7*('R&amp;S - Packaging and hh goods'!$B$15*('R&amp;S - Packaging and hh goods'!$B$20+('R&amp;S - Packaging and hh goods'!$B$21-'R&amp;S - Packaging and hh goods'!$B$20)*('Yearly LC Ethylene'!AD$3-'Yearly LC Ethylene'!$X$3)/10))</f>
        <v>9.7320736357175814</v>
      </c>
      <c r="AE27" s="44">
        <f>AE26*'R&amp;S - Packaging and hh goods'!$C$7*('R&amp;S - Packaging and hh goods'!$B$15*('R&amp;S - Packaging and hh goods'!$B$20+('R&amp;S - Packaging and hh goods'!$B$21-'R&amp;S - Packaging and hh goods'!$B$20)*('Yearly LC Ethylene'!AE$3-'Yearly LC Ethylene'!$X$3)/10))</f>
        <v>10.424625169882836</v>
      </c>
      <c r="AF27" s="44">
        <f>AF26*'R&amp;S - Packaging and hh goods'!$C$7*('R&amp;S - Packaging and hh goods'!$B$15*('R&amp;S - Packaging and hh goods'!$B$20+('R&amp;S - Packaging and hh goods'!$B$21-'R&amp;S - Packaging and hh goods'!$B$20)*('Yearly LC Ethylene'!AF$3-'Yearly LC Ethylene'!$X$3)/10))</f>
        <v>11.134660660572118</v>
      </c>
      <c r="AG27" s="44">
        <f>AG26*'R&amp;S - Packaging and hh goods'!$C$7*('R&amp;S - Packaging and hh goods'!$B$15*('R&amp;S - Packaging and hh goods'!$B$20+('R&amp;S - Packaging and hh goods'!$B$21-'R&amp;S - Packaging and hh goods'!$B$20)*('Yearly LC Ethylene'!AG$3-'Yearly LC Ethylene'!$X$3)/10))</f>
        <v>11.862533918467404</v>
      </c>
      <c r="AH27" s="44">
        <f>AH26*'R&amp;S - Packaging and hh goods'!$C$7*('R&amp;S - Packaging and hh goods'!$B$15*('R&amp;S - Packaging and hh goods'!$B$20+('R&amp;S - Packaging and hh goods'!$B$21-'R&amp;S - Packaging and hh goods'!$B$20)*('Yearly LC Ethylene'!AH$3-'Yearly LC Ethylene'!$X$3)/10))</f>
        <v>12.608605234094286</v>
      </c>
    </row>
    <row r="28" spans="1:42" outlineLevel="1" x14ac:dyDescent="0.2">
      <c r="B28" s="61" t="s">
        <v>200</v>
      </c>
      <c r="C28" s="54" t="s">
        <v>153</v>
      </c>
      <c r="D28" s="44">
        <v>0</v>
      </c>
      <c r="E28" s="44">
        <f>E26*'R&amp;S - Packaging and hh goods'!$C$8*('R&amp;S - Packaging and hh goods'!$B$15*'R&amp;S - Packaging and hh goods'!$C$19*('Yearly LC Ethylene'!E$3-'Yearly LC Ethylene'!$D$3)/10)</f>
        <v>0.39048886529604926</v>
      </c>
      <c r="F28" s="44">
        <f>F26*'R&amp;S - Packaging and hh goods'!$C$8*('R&amp;S - Packaging and hh goods'!$B$15*'R&amp;S - Packaging and hh goods'!$C$19*('Yearly LC Ethylene'!F$3-'Yearly LC Ethylene'!$D$3)/10)</f>
        <v>0.79191141882038796</v>
      </c>
      <c r="G28" s="44">
        <f>G26*'R&amp;S - Packaging and hh goods'!$C$8*('R&amp;S - Packaging and hh goods'!$B$15*'R&amp;S - Packaging and hh goods'!$C$19*('Yearly LC Ethylene'!G$3-'Yearly LC Ethylene'!$D$3)/10)</f>
        <v>1.2044972680258099</v>
      </c>
      <c r="H28" s="44">
        <f>H26*'R&amp;S - Packaging and hh goods'!$C$8*('R&amp;S - Packaging and hh goods'!$B$15*'R&amp;S - Packaging and hh goods'!$C$19*('Yearly LC Ethylene'!H$3-'Yearly LC Ethylene'!$D$3)/10)</f>
        <v>1.6284803063708952</v>
      </c>
      <c r="I28" s="44">
        <f>I26*'R&amp;S - Packaging and hh goods'!$C$8*('R&amp;S - Packaging and hh goods'!$B$15*'R&amp;S - Packaging and hh goods'!$C$19*('Yearly LC Ethylene'!I$3-'Yearly LC Ethylene'!$D$3)/10)</f>
        <v>2.0640987883251101</v>
      </c>
      <c r="J28" s="44">
        <f>J26*'R&amp;S - Packaging and hh goods'!$C$8*('R&amp;S - Packaging and hh goods'!$B$15*'R&amp;S - Packaging and hh goods'!$C$19*('Yearly LC Ethylene'!J$3-'Yearly LC Ethylene'!$D$3)/10)</f>
        <v>2.5115954056339933</v>
      </c>
      <c r="K28" s="44">
        <f>K26*'R&amp;S - Packaging and hh goods'!$C$8*('R&amp;S - Packaging and hh goods'!$B$15*'R&amp;S - Packaging and hh goods'!$C$19*('Yearly LC Ethylene'!K$3-'Yearly LC Ethylene'!$D$3)/10)</f>
        <v>2.9712173648650144</v>
      </c>
      <c r="L28" s="44">
        <f>L26*'R&amp;S - Packaging and hh goods'!$C$8*('R&amp;S - Packaging and hh goods'!$B$15*'R&amp;S - Packaging and hh goods'!$C$19*('Yearly LC Ethylene'!L$3-'Yearly LC Ethylene'!$D$3)/10)</f>
        <v>3.4432164662549996</v>
      </c>
      <c r="M28" s="44">
        <f>M26*'R&amp;S - Packaging and hh goods'!$C$8*('R&amp;S - Packaging and hh goods'!$B$15*'R&amp;S - Packaging and hh goods'!$C$19*('Yearly LC Ethylene'!M$3-'Yearly LC Ethylene'!$D$3)/10)</f>
        <v>3.9278491838803911</v>
      </c>
      <c r="N28" s="44">
        <f>N26*'R&amp;S - Packaging and hh goods'!$C$8*('R&amp;S - Packaging and hh goods'!$B$15*'R&amp;S - Packaging and hh goods'!$C$19*('Yearly LC Ethylene'!N$3-'Yearly LC Ethylene'!$D$3)/10)</f>
        <v>4.4253767471719074</v>
      </c>
      <c r="O28" s="44">
        <f>O26*'R&amp;S - Packaging and hh goods'!$C$8*('R&amp;S - Packaging and hh goods'!$B$15*('R&amp;S - Packaging and hh goods'!$C$19+('R&amp;S - Packaging and hh goods'!$C$20-'R&amp;S - Packaging and hh goods'!$C$19)*('Yearly LC Ethylene'!O$3-'Yearly LC Ethylene'!$N$3)/10))</f>
        <v>5.3623617658506157</v>
      </c>
      <c r="P28" s="44">
        <f>P26*'R&amp;S - Packaging and hh goods'!$C$8*('R&amp;S - Packaging and hh goods'!$B$15*('R&amp;S - Packaging and hh goods'!$C$19+('R&amp;S - Packaging and hh goods'!$C$20-'R&amp;S - Packaging and hh goods'!$C$19)*('Yearly LC Ethylene'!P$3-'Yearly LC Ethylene'!$N$3)/10))</f>
        <v>6.3247149912098823</v>
      </c>
      <c r="Q28" s="44">
        <f>Q26*'R&amp;S - Packaging and hh goods'!$C$8*('R&amp;S - Packaging and hh goods'!$B$15*('R&amp;S - Packaging and hh goods'!$C$19+('R&amp;S - Packaging and hh goods'!$C$20-'R&amp;S - Packaging and hh goods'!$C$19)*('Yearly LC Ethylene'!Q$3-'Yearly LC Ethylene'!$N$3)/10))</f>
        <v>7.3129630839731012</v>
      </c>
      <c r="R28" s="44">
        <f>R26*'R&amp;S - Packaging and hh goods'!$C$8*('R&amp;S - Packaging and hh goods'!$B$15*('R&amp;S - Packaging and hh goods'!$C$19+('R&amp;S - Packaging and hh goods'!$C$20-'R&amp;S - Packaging and hh goods'!$C$19)*('Yearly LC Ethylene'!R$3-'Yearly LC Ethylene'!$N$3)/10))</f>
        <v>8.3276424791954131</v>
      </c>
      <c r="S28" s="44">
        <f>S26*'R&amp;S - Packaging and hh goods'!$C$8*('R&amp;S - Packaging and hh goods'!$B$15*('R&amp;S - Packaging and hh goods'!$C$19+('R&amp;S - Packaging and hh goods'!$C$20-'R&amp;S - Packaging and hh goods'!$C$19)*('Yearly LC Ethylene'!S$3-'Yearly LC Ethylene'!$N$3)/10))</f>
        <v>9.3692995567194899</v>
      </c>
      <c r="T28" s="44">
        <f>T26*'R&amp;S - Packaging and hh goods'!$C$8*('R&amp;S - Packaging and hh goods'!$B$15*('R&amp;S - Packaging and hh goods'!$C$19+('R&amp;S - Packaging and hh goods'!$C$20-'R&amp;S - Packaging and hh goods'!$C$19)*('Yearly LC Ethylene'!T$3-'Yearly LC Ethylene'!$N$3)/10))</f>
        <v>10.43849081448832</v>
      </c>
      <c r="U28" s="44">
        <f>U26*'R&amp;S - Packaging and hh goods'!$C$8*('R&amp;S - Packaging and hh goods'!$B$15*('R&amp;S - Packaging and hh goods'!$C$19+('R&amp;S - Packaging and hh goods'!$C$20-'R&amp;S - Packaging and hh goods'!$C$19)*('Yearly LC Ethylene'!U$3-'Yearly LC Ethylene'!$N$3)/10))</f>
        <v>11.535783044761562</v>
      </c>
      <c r="V28" s="44">
        <f>V26*'R&amp;S - Packaging and hh goods'!$C$8*('R&amp;S - Packaging and hh goods'!$B$15*('R&amp;S - Packaging and hh goods'!$C$19+('R&amp;S - Packaging and hh goods'!$C$20-'R&amp;S - Packaging and hh goods'!$C$19)*('Yearly LC Ethylene'!V$3-'Yearly LC Ethylene'!$N$3)/10))</f>
        <v>12.661753513282811</v>
      </c>
      <c r="W28" s="44">
        <f>W26*'R&amp;S - Packaging and hh goods'!$C$8*('R&amp;S - Packaging and hh goods'!$B$15*('R&amp;S - Packaging and hh goods'!$C$19+('R&amp;S - Packaging and hh goods'!$C$20-'R&amp;S - Packaging and hh goods'!$C$19)*('Yearly LC Ethylene'!W$3-'Yearly LC Ethylene'!$N$3)/10))</f>
        <v>13.816990141445885</v>
      </c>
      <c r="X28" s="44">
        <f>X26*'R&amp;S - Packaging and hh goods'!$C$8*('R&amp;S - Packaging and hh goods'!$B$15*('R&amp;S - Packaging and hh goods'!$C$19+('R&amp;S - Packaging and hh goods'!$C$20-'R&amp;S - Packaging and hh goods'!$C$19)*('Yearly LC Ethylene'!X$3-'Yearly LC Ethylene'!$N$3)/10))</f>
        <v>15.002091691508923</v>
      </c>
      <c r="Y28" s="44">
        <f>Y26*'R&amp;S - Packaging and hh goods'!$C$8*('R&amp;S - Packaging and hh goods'!$B$15*('R&amp;S - Packaging and hh goods'!$C$20+('R&amp;S - Packaging and hh goods'!$C$21-'R&amp;S - Packaging and hh goods'!$C$20)*('Yearly LC Ethylene'!Y$3-'Yearly LC Ethylene'!$X$3)/10))</f>
        <v>16.269234466686303</v>
      </c>
      <c r="Z28" s="44">
        <f>Z26*'R&amp;S - Packaging and hh goods'!$C$8*('R&amp;S - Packaging and hh goods'!$B$15*('R&amp;S - Packaging and hh goods'!$C$20+('R&amp;S - Packaging and hh goods'!$C$21-'R&amp;S - Packaging and hh goods'!$C$20)*('Yearly LC Ethylene'!Z$3-'Yearly LC Ethylene'!$X$3)/10))</f>
        <v>17.568916829597114</v>
      </c>
      <c r="AA28" s="44">
        <f>AA26*'R&amp;S - Packaging and hh goods'!$C$8*('R&amp;S - Packaging and hh goods'!$B$15*('R&amp;S - Packaging and hh goods'!$C$20+('R&amp;S - Packaging and hh goods'!$C$21-'R&amp;S - Packaging and hh goods'!$C$20)*('Yearly LC Ethylene'!AA$3-'Yearly LC Ethylene'!$X$3)/10))</f>
        <v>18.90180152871396</v>
      </c>
      <c r="AB28" s="44">
        <f>AB26*'R&amp;S - Packaging and hh goods'!$C$8*('R&amp;S - Packaging and hh goods'!$B$15*('R&amp;S - Packaging and hh goods'!$C$20+('R&amp;S - Packaging and hh goods'!$C$21-'R&amp;S - Packaging and hh goods'!$C$20)*('Yearly LC Ethylene'!AB$3-'Yearly LC Ethylene'!$X$3)/10))</f>
        <v>20.268563491707479</v>
      </c>
      <c r="AC28" s="44">
        <f>AC26*'R&amp;S - Packaging and hh goods'!$C$8*('R&amp;S - Packaging and hh goods'!$B$15*('R&amp;S - Packaging and hh goods'!$C$20+('R&amp;S - Packaging and hh goods'!$C$21-'R&amp;S - Packaging and hh goods'!$C$20)*('Yearly LC Ethylene'!AC$3-'Yearly LC Ethylene'!$X$3)/10))</f>
        <v>21.669890036565185</v>
      </c>
      <c r="AD28" s="44">
        <f>AD26*'R&amp;S - Packaging and hh goods'!$C$8*('R&amp;S - Packaging and hh goods'!$B$15*('R&amp;S - Packaging and hh goods'!$C$20+('R&amp;S - Packaging and hh goods'!$C$21-'R&amp;S - Packaging and hh goods'!$C$20)*('Yearly LC Ethylene'!AD$3-'Yearly LC Ethylene'!$X$3)/10))</f>
        <v>23.106481086234535</v>
      </c>
      <c r="AE28" s="44">
        <f>AE26*'R&amp;S - Packaging and hh goods'!$C$8*('R&amp;S - Packaging and hh goods'!$B$15*('R&amp;S - Packaging and hh goods'!$C$20+('R&amp;S - Packaging and hh goods'!$C$21-'R&amp;S - Packaging and hh goods'!$C$20)*('Yearly LC Ethylene'!AE$3-'Yearly LC Ethylene'!$X$3)/10))</f>
        <v>24.579049386847455</v>
      </c>
      <c r="AF28" s="44">
        <f>AF26*'R&amp;S - Packaging and hh goods'!$C$8*('R&amp;S - Packaging and hh goods'!$B$15*('R&amp;S - Packaging and hh goods'!$C$20+('R&amp;S - Packaging and hh goods'!$C$21-'R&amp;S - Packaging and hh goods'!$C$20)*('Yearly LC Ethylene'!AF$3-'Yearly LC Ethylene'!$X$3)/10))</f>
        <v>26.088320729584638</v>
      </c>
      <c r="AG28" s="44">
        <f>AG26*'R&amp;S - Packaging and hh goods'!$C$8*('R&amp;S - Packaging and hh goods'!$B$15*('R&amp;S - Packaging and hh goods'!$C$20+('R&amp;S - Packaging and hh goods'!$C$21-'R&amp;S - Packaging and hh goods'!$C$20)*('Yearly LC Ethylene'!AG$3-'Yearly LC Ethylene'!$X$3)/10))</f>
        <v>27.635034176238648</v>
      </c>
      <c r="AH28" s="44">
        <f>AH26*'R&amp;S - Packaging and hh goods'!$C$8*('R&amp;S - Packaging and hh goods'!$B$15*('R&amp;S - Packaging and hh goods'!$C$20+('R&amp;S - Packaging and hh goods'!$C$21-'R&amp;S - Packaging and hh goods'!$C$20)*('Yearly LC Ethylene'!AH$3-'Yearly LC Ethylene'!$X$3)/10))</f>
        <v>29.219942288535961</v>
      </c>
    </row>
    <row r="29" spans="1:42" outlineLevel="1" x14ac:dyDescent="0.2">
      <c r="B29" s="1" t="s">
        <v>168</v>
      </c>
      <c r="C29" s="54" t="s">
        <v>153</v>
      </c>
      <c r="D29" s="44">
        <f>SUM(D27:D28)</f>
        <v>0</v>
      </c>
      <c r="E29" s="44">
        <f t="shared" ref="E29:AG29" si="6">SUM(E27:E28)</f>
        <v>0.45788831327865503</v>
      </c>
      <c r="F29" s="44">
        <f t="shared" si="6"/>
        <v>0.92859749932911251</v>
      </c>
      <c r="G29" s="44">
        <f t="shared" si="6"/>
        <v>1.4123967964795798</v>
      </c>
      <c r="H29" s="44">
        <f t="shared" si="6"/>
        <v>1.9095604688403922</v>
      </c>
      <c r="I29" s="44">
        <f t="shared" si="6"/>
        <v>2.4203678942551976</v>
      </c>
      <c r="J29" s="44">
        <f t="shared" si="6"/>
        <v>2.9451036537297237</v>
      </c>
      <c r="K29" s="44">
        <f t="shared" si="6"/>
        <v>3.4840576223622635</v>
      </c>
      <c r="L29" s="44">
        <f t="shared" si="6"/>
        <v>4.0375250618003831</v>
      </c>
      <c r="M29" s="44">
        <f t="shared" si="6"/>
        <v>4.6058067142487875</v>
      </c>
      <c r="N29" s="44">
        <f t="shared" si="6"/>
        <v>5.1892088980536339</v>
      </c>
      <c r="O29" s="44">
        <f t="shared" si="6"/>
        <v>6.5822399024162772</v>
      </c>
      <c r="P29" s="44">
        <f t="shared" si="6"/>
        <v>8.0132586899570555</v>
      </c>
      <c r="Q29" s="44">
        <f t="shared" si="6"/>
        <v>9.4830558845281026</v>
      </c>
      <c r="R29" s="44">
        <f t="shared" si="6"/>
        <v>10.992436801843906</v>
      </c>
      <c r="S29" s="44">
        <f t="shared" si="6"/>
        <v>12.542221705891185</v>
      </c>
      <c r="T29" s="44">
        <f t="shared" si="6"/>
        <v>14.133246069638627</v>
      </c>
      <c r="U29" s="44">
        <f t="shared" si="6"/>
        <v>15.766360840116645</v>
      </c>
      <c r="V29" s="44">
        <f t="shared" si="6"/>
        <v>17.442432707938394</v>
      </c>
      <c r="W29" s="44">
        <f t="shared" si="6"/>
        <v>19.162344381334492</v>
      </c>
      <c r="X29" s="44">
        <f t="shared" si="6"/>
        <v>20.926994864774926</v>
      </c>
      <c r="Y29" s="44">
        <f t="shared" si="6"/>
        <v>22.788866254033252</v>
      </c>
      <c r="Z29" s="44">
        <f t="shared" si="6"/>
        <v>24.698768351197316</v>
      </c>
      <c r="AA29" s="44">
        <f t="shared" si="6"/>
        <v>26.657681089296183</v>
      </c>
      <c r="AB29" s="44">
        <f t="shared" si="6"/>
        <v>28.666602425464987</v>
      </c>
      <c r="AC29" s="44">
        <f t="shared" si="6"/>
        <v>30.72654865355301</v>
      </c>
      <c r="AD29" s="44">
        <f t="shared" si="6"/>
        <v>32.838554721952114</v>
      </c>
      <c r="AE29" s="44">
        <f t="shared" si="6"/>
        <v>35.003674556730289</v>
      </c>
      <c r="AF29" s="44">
        <f t="shared" si="6"/>
        <v>37.222981390156754</v>
      </c>
      <c r="AG29" s="44">
        <f t="shared" si="6"/>
        <v>39.497568094706054</v>
      </c>
      <c r="AH29" s="44">
        <f>SUM(AH27:AH28)</f>
        <v>41.828547522630245</v>
      </c>
    </row>
    <row r="30" spans="1:42" outlineLevel="1" x14ac:dyDescent="0.2">
      <c r="B30" s="61" t="s">
        <v>202</v>
      </c>
      <c r="C30" s="54" t="s">
        <v>153</v>
      </c>
      <c r="D30" s="44">
        <v>0</v>
      </c>
      <c r="E30" s="44">
        <f>E26*'R&amp;S - Packaging and hh goods'!$C$9*('R&amp;S - Packaging and hh goods'!$C$15*'R&amp;S - Packaging and hh goods'!$D$19*('Yearly LC Ethylene'!E$3-'Yearly LC Ethylene'!$D$3)/10)</f>
        <v>0.20281638907893196</v>
      </c>
      <c r="F30" s="44">
        <f>F26*'R&amp;S - Packaging and hh goods'!$C$9*('R&amp;S - Packaging and hh goods'!$C$15*'R&amp;S - Packaging and hh goods'!$D$19*('Yearly LC Ethylene'!F$3-'Yearly LC Ethylene'!$D$3)/10)</f>
        <v>0.41131163705207402</v>
      </c>
      <c r="G30" s="44">
        <f>G26*'R&amp;S - Packaging and hh goods'!$C$9*('R&amp;S - Packaging and hh goods'!$C$15*'R&amp;S - Packaging and hh goods'!$D$19*('Yearly LC Ethylene'!G$3-'Yearly LC Ethylene'!$D$3)/10)</f>
        <v>0.62560499995620455</v>
      </c>
      <c r="H30" s="44">
        <f>H26*'R&amp;S - Packaging and hh goods'!$C$9*('R&amp;S - Packaging and hh goods'!$C$15*'R&amp;S - Packaging and hh goods'!$D$19*('Yearly LC Ethylene'!H$3-'Yearly LC Ethylene'!$D$3)/10)</f>
        <v>0.84581795994078857</v>
      </c>
      <c r="I30" s="44">
        <f>I26*'R&amp;S - Packaging and hh goods'!$C$9*('R&amp;S - Packaging and hh goods'!$C$15*'R&amp;S - Packaging and hh goods'!$D$19*('Yearly LC Ethylene'!I$3-'Yearly LC Ethylene'!$D$3)/10)</f>
        <v>1.0720742642249494</v>
      </c>
      <c r="J30" s="44">
        <f>J26*'R&amp;S - Packaging and hh goods'!$C$9*('R&amp;S - Packaging and hh goods'!$C$15*'R&amp;S - Packaging and hh goods'!$D$19*('Yearly LC Ethylene'!J$3-'Yearly LC Ethylene'!$D$3)/10)</f>
        <v>1.3044999647089186</v>
      </c>
      <c r="K30" s="44">
        <f>K26*'R&amp;S - Packaging and hh goods'!$C$9*('R&amp;S - Packaging and hh goods'!$C$15*'R&amp;S - Packaging and hh goods'!$D$19*('Yearly LC Ethylene'!K$3-'Yearly LC Ethylene'!$D$3)/10)</f>
        <v>1.5432234582506508</v>
      </c>
      <c r="L30" s="44">
        <f>L26*'R&amp;S - Packaging and hh goods'!$C$9*('R&amp;S - Packaging and hh goods'!$C$15*'R&amp;S - Packaging and hh goods'!$D$19*('Yearly LC Ethylene'!L$3-'Yearly LC Ethylene'!$D$3)/10)</f>
        <v>1.7883755276184685</v>
      </c>
      <c r="M30" s="44">
        <f>M26*'R&amp;S - Packaging and hh goods'!$C$9*('R&amp;S - Packaging and hh goods'!$C$15*'R&amp;S - Packaging and hh goods'!$D$19*('Yearly LC Ethylene'!M$3-'Yearly LC Ethylene'!$D$3)/10)</f>
        <v>2.040089383130768</v>
      </c>
      <c r="N30" s="44">
        <f>N26*'R&amp;S - Packaging and hh goods'!$C$9*('R&amp;S - Packaging and hh goods'!$C$15*'R&amp;S - Packaging and hh goods'!$D$19*('Yearly LC Ethylene'!N$3-'Yearly LC Ethylene'!$D$3)/10)</f>
        <v>2.2985007049939985</v>
      </c>
      <c r="O30" s="44">
        <f>O26*'R&amp;S - Packaging and hh goods'!$C$9*('R&amp;S - Packaging and hh goods'!$C$15*'R&amp;S - Packaging and hh goods'!$D$19*('Yearly LC Ethylene'!O$3-'Yearly LC Ethylene'!$D$3)/10)</f>
        <v>2.5637476863503061</v>
      </c>
      <c r="P30" s="44">
        <f>P26*'R&amp;S - Packaging and hh goods'!$C$9*('R&amp;S - Packaging and hh goods'!$C$15*'R&amp;S - Packaging and hh goods'!$D$19*('Yearly LC Ethylene'!P$3-'Yearly LC Ethylene'!$D$3)/10)</f>
        <v>2.8359710770464117</v>
      </c>
      <c r="Q30" s="44">
        <f>Q26*'R&amp;S - Packaging and hh goods'!$C$9*('R&amp;S - Packaging and hh goods'!$C$15*'R&amp;S - Packaging and hh goods'!$D$19*('Yearly LC Ethylene'!Q$3-'Yearly LC Ethylene'!$D$3)/10)</f>
        <v>3.1153142281354831</v>
      </c>
      <c r="R30" s="44">
        <f>R26*'R&amp;S - Packaging and hh goods'!$C$9*('R&amp;S - Packaging and hh goods'!$C$15*'R&amp;S - Packaging and hh goods'!$D$19*('Yearly LC Ethylene'!R$3-'Yearly LC Ethylene'!$D$3)/10)</f>
        <v>3.4019231371239469</v>
      </c>
      <c r="S30" s="44">
        <f>S26*'R&amp;S - Packaging and hh goods'!$C$9*('R&amp;S - Packaging and hh goods'!$C$15*'R&amp;S - Packaging and hh goods'!$D$19*('Yearly LC Ethylene'!S$3-'Yearly LC Ethylene'!$D$3)/10)</f>
        <v>3.6959464939753737</v>
      </c>
      <c r="T30" s="44">
        <f>T26*'R&amp;S - Packaging and hh goods'!$C$9*('R&amp;S - Packaging and hh goods'!$C$15*'R&amp;S - Packaging and hh goods'!$D$19*('Yearly LC Ethylene'!T$3-'Yearly LC Ethylene'!$D$3)/10)</f>
        <v>3.9975357278837644</v>
      </c>
      <c r="U30" s="44">
        <f>U26*'R&amp;S - Packaging and hh goods'!$C$9*('R&amp;S - Packaging and hh goods'!$C$15*'R&amp;S - Packaging and hh goods'!$D$19*('Yearly LC Ethylene'!U$3-'Yearly LC Ethylene'!$D$3)/10)</f>
        <v>4.3068450548287718</v>
      </c>
      <c r="V30" s="44">
        <f>V26*'R&amp;S - Packaging and hh goods'!$C$9*('R&amp;S - Packaging and hh goods'!$C$15*'R&amp;S - Packaging and hh goods'!$D$19*('Yearly LC Ethylene'!V$3-'Yearly LC Ethylene'!$D$3)/10)</f>
        <v>4.6240315259255729</v>
      </c>
      <c r="W30" s="44">
        <f>W26*'R&amp;S - Packaging and hh goods'!$C$9*('R&amp;S - Packaging and hh goods'!$C$15*'R&amp;S - Packaging and hh goods'!$D$19*('Yearly LC Ethylene'!W$3-'Yearly LC Ethylene'!$D$3)/10)</f>
        <v>4.9492550765823387</v>
      </c>
      <c r="X30" s="44">
        <f>X26*'R&amp;S - Packaging and hh goods'!$C$9*('R&amp;S - Packaging and hh goods'!$C$15*'R&amp;S - Packaging and hh goods'!$D$19*('Yearly LC Ethylene'!X$3-'Yearly LC Ethylene'!$D$3)/10)</f>
        <v>5.2826785764784105</v>
      </c>
      <c r="Y30" s="44">
        <f>Y26*'R&amp;S - Packaging and hh goods'!$C$9*('R&amp;S - Packaging and hh goods'!$C$15*('R&amp;S - Packaging and hh goods'!$D$20+('R&amp;S - Packaging and hh goods'!$D$21-'R&amp;S - Packaging and hh goods'!$D$20)*('Yearly LC Ethylene'!Y$3-'Yearly LC Ethylene'!$X$3)/10))</f>
        <v>6.356541477504944</v>
      </c>
      <c r="Z30" s="44">
        <f>Z26*'R&amp;S - Packaging and hh goods'!$C$9*('R&amp;S - Packaging and hh goods'!$C$15*('R&amp;S - Packaging and hh goods'!$D$20+('R&amp;S - Packaging and hh goods'!$D$21-'R&amp;S - Packaging and hh goods'!$D$20)*('Yearly LC Ethylene'!Z$3-'Yearly LC Ethylene'!$X$3)/10))</f>
        <v>6.7352199372097878</v>
      </c>
      <c r="AA30" s="44">
        <f>AA26*'R&amp;S - Packaging and hh goods'!$C$9*('R&amp;S - Packaging and hh goods'!$C$15*('R&amp;S - Packaging and hh goods'!$D$20+('R&amp;S - Packaging and hh goods'!$D$21-'R&amp;S - Packaging and hh goods'!$D$20)*('Yearly LC Ethylene'!AA$3-'Yearly LC Ethylene'!$X$3)/10))</f>
        <v>7.1232555116567777</v>
      </c>
      <c r="AB30" s="44">
        <f>AB26*'R&amp;S - Packaging and hh goods'!$C$9*('R&amp;S - Packaging and hh goods'!$C$15*('R&amp;S - Packaging and hh goods'!$D$20+('R&amp;S - Packaging and hh goods'!$D$21-'R&amp;S - Packaging and hh goods'!$D$20)*('Yearly LC Ethylene'!AB$3-'Yearly LC Ethylene'!$X$3)/10))</f>
        <v>7.5208359790805899</v>
      </c>
      <c r="AC30" s="44">
        <f>AC26*'R&amp;S - Packaging and hh goods'!$C$9*('R&amp;S - Packaging and hh goods'!$C$15*('R&amp;S - Packaging and hh goods'!$D$20+('R&amp;S - Packaging and hh goods'!$D$21-'R&amp;S - Packaging and hh goods'!$D$20)*('Yearly LC Ethylene'!AC$3-'Yearly LC Ethylene'!$X$3)/10))</f>
        <v>7.9281525415119845</v>
      </c>
      <c r="AD30" s="44">
        <f>AD26*'R&amp;S - Packaging and hh goods'!$C$9*('R&amp;S - Packaging and hh goods'!$C$15*('R&amp;S - Packaging and hh goods'!$D$20+('R&amp;S - Packaging and hh goods'!$D$21-'R&amp;S - Packaging and hh goods'!$D$20)*('Yearly LC Ethylene'!AD$3-'Yearly LC Ethylene'!$X$3)/10))</f>
        <v>8.3453998838395567</v>
      </c>
      <c r="AE30" s="44">
        <f>AE26*'R&amp;S - Packaging and hh goods'!$C$9*('R&amp;S - Packaging and hh goods'!$C$15*('R&amp;S - Packaging and hh goods'!$D$20+('R&amp;S - Packaging and hh goods'!$D$21-'R&amp;S - Packaging and hh goods'!$D$20)*('Yearly LC Ethylene'!AE$3-'Yearly LC Ethylene'!$X$3)/10))</f>
        <v>8.7727762338541684</v>
      </c>
      <c r="AF30" s="44">
        <f>AF26*'R&amp;S - Packaging and hh goods'!$C$9*('R&amp;S - Packaging and hh goods'!$C$15*('R&amp;S - Packaging and hh goods'!$D$20+('R&amp;S - Packaging and hh goods'!$D$21-'R&amp;S - Packaging and hh goods'!$D$20)*('Yearly LC Ethylene'!AF$3-'Yearly LC Ethylene'!$X$3)/10))</f>
        <v>9.2104834232919544</v>
      </c>
      <c r="AG30" s="44">
        <f>AG26*'R&amp;S - Packaging and hh goods'!$C$9*('R&amp;S - Packaging and hh goods'!$C$15*('R&amp;S - Packaging and hh goods'!$D$20+('R&amp;S - Packaging and hh goods'!$D$21-'R&amp;S - Packaging and hh goods'!$D$20)*('Yearly LC Ethylene'!AG$3-'Yearly LC Ethylene'!$X$3)/10))</f>
        <v>9.6587269498921611</v>
      </c>
      <c r="AH30" s="44">
        <f>AH26*'R&amp;S - Packaging and hh goods'!$C$9*('R&amp;S - Packaging and hh goods'!$C$15*('R&amp;S - Packaging and hh goods'!$D$20+('R&amp;S - Packaging and hh goods'!$D$21-'R&amp;S - Packaging and hh goods'!$D$20)*('Yearly LC Ethylene'!AH$3-'Yearly LC Ethylene'!$X$3)/10))</f>
        <v>10.117716040486211</v>
      </c>
    </row>
    <row r="31" spans="1:42" outlineLevel="1" x14ac:dyDescent="0.2">
      <c r="B31" s="61" t="s">
        <v>203</v>
      </c>
      <c r="C31" s="54" t="s">
        <v>153</v>
      </c>
      <c r="D31" s="44">
        <v>0</v>
      </c>
      <c r="E31" s="44">
        <f>E26*'R&amp;S - Packaging and hh goods'!$C$10*('R&amp;S - Packaging and hh goods'!$C$15*'R&amp;S - Packaging and hh goods'!$E$19*('Yearly LC Ethylene'!E$3-'Yearly LC Ethylene'!$D$3)/10)</f>
        <v>0.30438180562543582</v>
      </c>
      <c r="F31" s="44">
        <f>F26*'R&amp;S - Packaging and hh goods'!$C$10*('R&amp;S - Packaging and hh goods'!$C$15*'R&amp;S - Packaging and hh goods'!$E$19*('Yearly LC Ethylene'!F$3-'Yearly LC Ethylene'!$D$3)/10)</f>
        <v>0.61728630180838384</v>
      </c>
      <c r="G31" s="44">
        <f>G26*'R&amp;S - Packaging and hh goods'!$C$10*('R&amp;S - Packaging and hh goods'!$C$15*'R&amp;S - Packaging and hh goods'!$E$19*('Yearly LC Ethylene'!G$3-'Yearly LC Ethylene'!$D$3)/10)</f>
        <v>0.93889246505055191</v>
      </c>
      <c r="H31" s="44">
        <f>H26*'R&amp;S - Packaging and hh goods'!$C$10*('R&amp;S - Packaging and hh goods'!$C$15*'R&amp;S - Packaging and hh goods'!$E$19*('Yearly LC Ethylene'!H$3-'Yearly LC Ethylene'!$D$3)/10)</f>
        <v>1.2693826127483461</v>
      </c>
      <c r="I31" s="44">
        <f>I26*'R&amp;S - Packaging and hh goods'!$C$10*('R&amp;S - Packaging and hh goods'!$C$15*'R&amp;S - Packaging and hh goods'!$E$19*('Yearly LC Ethylene'!I$3-'Yearly LC Ethylene'!$D$3)/10)</f>
        <v>1.6089424616585288</v>
      </c>
      <c r="J31" s="44">
        <f>J26*'R&amp;S - Packaging and hh goods'!$C$10*('R&amp;S - Packaging and hh goods'!$C$15*'R&amp;S - Packaging and hh goods'!$E$19*('Yearly LC Ethylene'!J$3-'Yearly LC Ethylene'!$D$3)/10)</f>
        <v>1.9577611873460978</v>
      </c>
      <c r="K31" s="44">
        <f>K26*'R&amp;S - Packaging and hh goods'!$C$10*('R&amp;S - Packaging and hh goods'!$C$15*'R&amp;S - Packaging and hh goods'!$E$19*('Yearly LC Ethylene'!K$3-'Yearly LC Ethylene'!$D$3)/10)</f>
        <v>2.3160314846304337</v>
      </c>
      <c r="L31" s="44">
        <f>L26*'R&amp;S - Packaging and hh goods'!$C$10*('R&amp;S - Packaging and hh goods'!$C$15*'R&amp;S - Packaging and hh goods'!$E$19*('Yearly LC Ethylene'!L$3-'Yearly LC Ethylene'!$D$3)/10)</f>
        <v>2.683949629046011</v>
      </c>
      <c r="M31" s="44">
        <f>M26*'R&amp;S - Packaging and hh goods'!$C$10*('R&amp;S - Packaging and hh goods'!$C$15*'R&amp;S - Packaging and hh goods'!$E$19*('Yearly LC Ethylene'!M$3-'Yearly LC Ethylene'!$D$3)/10)</f>
        <v>3.0617155393342377</v>
      </c>
      <c r="N31" s="44">
        <f>N26*'R&amp;S - Packaging and hh goods'!$C$10*('R&amp;S - Packaging and hh goods'!$C$15*'R&amp;S - Packaging and hh goods'!$E$19*('Yearly LC Ethylene'!N$3-'Yearly LC Ethylene'!$D$3)/10)</f>
        <v>3.4495328409832413</v>
      </c>
      <c r="O31" s="44">
        <f>O26*'R&amp;S - Packaging and hh goods'!$C$10*('R&amp;S - Packaging and hh goods'!$C$15*'R&amp;S - Packaging and hh goods'!$E$19*('Yearly LC Ethylene'!O$3-'Yearly LC Ethylene'!$D$3)/10)</f>
        <v>3.8476089308327071</v>
      </c>
      <c r="P31" s="44">
        <f>P26*'R&amp;S - Packaging and hh goods'!$C$10*('R&amp;S - Packaging and hh goods'!$C$15*('R&amp;S - Packaging and hh goods'!$E$19+('R&amp;S - Packaging and hh goods'!$E$20-'R&amp;S - Packaging and hh goods'!$E$19)*('Yearly LC Ethylene'!P$3-'Yearly LC Ethylene'!$O$3)/10))</f>
        <v>3.9347266671359362</v>
      </c>
      <c r="Q31" s="44">
        <f>Q26*'R&amp;S - Packaging and hh goods'!$C$10*('R&amp;S - Packaging and hh goods'!$C$15*('R&amp;S - Packaging and hh goods'!$E$19+('R&amp;S - Packaging and hh goods'!$E$20-'R&amp;S - Packaging and hh goods'!$E$19)*('Yearly LC Ethylene'!Q$3-'Yearly LC Ethylene'!$O$3)/10))</f>
        <v>4.3831746698185281</v>
      </c>
      <c r="R31" s="44">
        <f>R26*'R&amp;S - Packaging and hh goods'!$C$10*('R&amp;S - Packaging and hh goods'!$C$15*('R&amp;S - Packaging and hh goods'!$E$19+('R&amp;S - Packaging and hh goods'!$E$20-'R&amp;S - Packaging and hh goods'!$E$19)*('Yearly LC Ethylene'!R$3-'Yearly LC Ethylene'!$O$3)/10))</f>
        <v>4.8434080101494734</v>
      </c>
      <c r="S31" s="44">
        <f>S26*'R&amp;S - Packaging and hh goods'!$C$10*('R&amp;S - Packaging and hh goods'!$C$15*('R&amp;S - Packaging and hh goods'!$E$19+('R&amp;S - Packaging and hh goods'!$E$20-'R&amp;S - Packaging and hh goods'!$E$19)*('Yearly LC Ethylene'!S$3-'Yearly LC Ethylene'!$O$3)/10))</f>
        <v>5.3156687817744013</v>
      </c>
      <c r="T31" s="44">
        <f>T26*'R&amp;S - Packaging and hh goods'!$C$10*('R&amp;S - Packaging and hh goods'!$C$15*('R&amp;S - Packaging and hh goods'!$E$19+('R&amp;S - Packaging and hh goods'!$E$20-'R&amp;S - Packaging and hh goods'!$E$19)*('Yearly LC Ethylene'!T$3-'Yearly LC Ethylene'!$O$3)/10))</f>
        <v>5.8002035470348368</v>
      </c>
      <c r="U31" s="44">
        <f>U26*'R&amp;S - Packaging and hh goods'!$C$10*('R&amp;S - Packaging and hh goods'!$C$15*('R&amp;S - Packaging and hh goods'!$E$19+('R&amp;S - Packaging and hh goods'!$E$20-'R&amp;S - Packaging and hh goods'!$E$19)*('Yearly LC Ethylene'!U$3-'Yearly LC Ethylene'!$O$3)/10))</f>
        <v>6.2972634146413382</v>
      </c>
      <c r="V31" s="44">
        <f>V26*'R&amp;S - Packaging and hh goods'!$C$10*('R&amp;S - Packaging and hh goods'!$C$15*('R&amp;S - Packaging and hh goods'!$E$19+('R&amp;S - Packaging and hh goods'!$E$20-'R&amp;S - Packaging and hh goods'!$E$19)*('Yearly LC Ethylene'!V$3-'Yearly LC Ethylene'!$O$3)/10))</f>
        <v>6.8071041186456025</v>
      </c>
      <c r="W31" s="44">
        <f>W26*'R&amp;S - Packaging and hh goods'!$C$10*('R&amp;S - Packaging and hh goods'!$C$15*('R&amp;S - Packaging and hh goods'!$E$19+('R&amp;S - Packaging and hh goods'!$E$20-'R&amp;S - Packaging and hh goods'!$E$19)*('Yearly LC Ethylene'!W$3-'Yearly LC Ethylene'!$O$3)/10))</f>
        <v>7.3299860987327161</v>
      </c>
      <c r="X31" s="44">
        <f>X26*'R&amp;S - Packaging and hh goods'!$C$10*('R&amp;S - Packaging and hh goods'!$C$15*('R&amp;S - Packaging and hh goods'!$E$19+('R&amp;S - Packaging and hh goods'!$E$20-'R&amp;S - Packaging and hh goods'!$E$19)*('Yearly LC Ethylene'!X$3-'Yearly LC Ethylene'!$O$3)/10))</f>
        <v>7.8661745818550139</v>
      </c>
      <c r="Y31" s="44">
        <f>Y26*'R&amp;S - Packaging and hh goods'!$C$10*('R&amp;S - Packaging and hh goods'!$C$15*('R&amp;S - Packaging and hh goods'!$E$20+('R&amp;S - Packaging and hh goods'!$E$21-'R&amp;S - Packaging and hh goods'!$E$20)*('Yearly LC Ethylene'!Y$3-'Yearly LC Ethylene'!$X$3)/10))</f>
        <v>8.8304560965018783</v>
      </c>
      <c r="Z31" s="44">
        <f>Z26*'R&amp;S - Packaging and hh goods'!$C$10*('R&amp;S - Packaging and hh goods'!$C$15*('R&amp;S - Packaging and hh goods'!$E$20+('R&amp;S - Packaging and hh goods'!$E$21-'R&amp;S - Packaging and hh goods'!$E$20)*('Yearly LC Ethylene'!Z$3-'Yearly LC Ethylene'!$X$3)/10))</f>
        <v>9.374402143163211</v>
      </c>
      <c r="AA31" s="44">
        <f>AA26*'R&amp;S - Packaging and hh goods'!$C$10*('R&amp;S - Packaging and hh goods'!$C$15*('R&amp;S - Packaging and hh goods'!$E$20+('R&amp;S - Packaging and hh goods'!$E$21-'R&amp;S - Packaging and hh goods'!$E$20)*('Yearly LC Ethylene'!AA$3-'Yearly LC Ethylene'!$X$3)/10))</f>
        <v>9.9318479097361472</v>
      </c>
      <c r="AB31" s="44">
        <f>AB26*'R&amp;S - Packaging and hh goods'!$C$10*('R&amp;S - Packaging and hh goods'!$C$15*('R&amp;S - Packaging and hh goods'!$E$20+('R&amp;S - Packaging and hh goods'!$E$21-'R&amp;S - Packaging and hh goods'!$E$20)*('Yearly LC Ethylene'!AB$3-'Yearly LC Ethylene'!$X$3)/10))</f>
        <v>10.503064774953065</v>
      </c>
      <c r="AC31" s="44">
        <f>AC26*'R&amp;S - Packaging and hh goods'!$C$10*('R&amp;S - Packaging and hh goods'!$C$15*('R&amp;S - Packaging and hh goods'!$E$20+('R&amp;S - Packaging and hh goods'!$E$21-'R&amp;S - Packaging and hh goods'!$E$20)*('Yearly LC Ethylene'!AC$3-'Yearly LC Ethylene'!$X$3)/10))</f>
        <v>11.088329070205749</v>
      </c>
      <c r="AD31" s="44">
        <f>AD26*'R&amp;S - Packaging and hh goods'!$C$10*('R&amp;S - Packaging and hh goods'!$C$15*('R&amp;S - Packaging and hh goods'!$E$20+('R&amp;S - Packaging and hh goods'!$E$21-'R&amp;S - Packaging and hh goods'!$E$20)*('Yearly LC Ethylene'!AD$3-'Yearly LC Ethylene'!$X$3)/10))</f>
        <v>11.687922165029617</v>
      </c>
      <c r="AE31" s="44">
        <f>AE26*'R&amp;S - Packaging and hh goods'!$C$10*('R&amp;S - Packaging and hh goods'!$C$15*('R&amp;S - Packaging and hh goods'!$E$20+('R&amp;S - Packaging and hh goods'!$E$21-'R&amp;S - Packaging and hh goods'!$E$20)*('Yearly LC Ethylene'!AE$3-'Yearly LC Ethylene'!$X$3)/10))</f>
        <v>12.302130554010796</v>
      </c>
      <c r="AF31" s="44">
        <f>AF26*'R&amp;S - Packaging and hh goods'!$C$10*('R&amp;S - Packaging and hh goods'!$C$15*('R&amp;S - Packaging and hh goods'!$E$20+('R&amp;S - Packaging and hh goods'!$E$21-'R&amp;S - Packaging and hh goods'!$E$20)*('Yearly LC Ethylene'!AF$3-'Yearly LC Ethylene'!$X$3)/10))</f>
        <v>12.9312459451391</v>
      </c>
      <c r="AG31" s="44">
        <f>AG26*'R&amp;S - Packaging and hh goods'!$C$10*('R&amp;S - Packaging and hh goods'!$C$15*('R&amp;S - Packaging and hh goods'!$E$20+('R&amp;S - Packaging and hh goods'!$E$21-'R&amp;S - Packaging and hh goods'!$E$20)*('Yearly LC Ethylene'!AG$3-'Yearly LC Ethylene'!$X$3)/10))</f>
        <v>13.575565349630409</v>
      </c>
      <c r="AH31" s="44">
        <f>AH26*'R&amp;S - Packaging and hh goods'!$C$10*('R&amp;S - Packaging and hh goods'!$C$15*('R&amp;S - Packaging and hh goods'!$E$20+('R&amp;S - Packaging and hh goods'!$E$21-'R&amp;S - Packaging and hh goods'!$E$20)*('Yearly LC Ethylene'!AH$3-'Yearly LC Ethylene'!$X$3)/10))</f>
        <v>14.235391173242229</v>
      </c>
    </row>
    <row r="32" spans="1:42" outlineLevel="1" x14ac:dyDescent="0.2">
      <c r="B32" s="1" t="s">
        <v>172</v>
      </c>
      <c r="C32" s="54" t="s">
        <v>153</v>
      </c>
      <c r="D32" s="44">
        <f>SUM(D30:D31)</f>
        <v>0</v>
      </c>
      <c r="E32" s="44">
        <f t="shared" ref="E32:AH32" si="7">SUM(E30:E31)</f>
        <v>0.50719819470436778</v>
      </c>
      <c r="F32" s="44">
        <f t="shared" si="7"/>
        <v>1.0285979388604578</v>
      </c>
      <c r="G32" s="44">
        <f t="shared" si="7"/>
        <v>1.5644974650067565</v>
      </c>
      <c r="H32" s="44">
        <f t="shared" si="7"/>
        <v>2.1152005726891345</v>
      </c>
      <c r="I32" s="44">
        <f t="shared" si="7"/>
        <v>2.6810167258834783</v>
      </c>
      <c r="J32" s="44">
        <f t="shared" si="7"/>
        <v>3.2622611520550162</v>
      </c>
      <c r="K32" s="44">
        <f t="shared" si="7"/>
        <v>3.8592549428810843</v>
      </c>
      <c r="L32" s="44">
        <f t="shared" si="7"/>
        <v>4.4723251566644793</v>
      </c>
      <c r="M32" s="44">
        <f t="shared" si="7"/>
        <v>5.1018049224650053</v>
      </c>
      <c r="N32" s="44">
        <f t="shared" si="7"/>
        <v>5.7480335459772398</v>
      </c>
      <c r="O32" s="44">
        <f t="shared" si="7"/>
        <v>6.4113566171830136</v>
      </c>
      <c r="P32" s="44">
        <f t="shared" si="7"/>
        <v>6.7706977441823479</v>
      </c>
      <c r="Q32" s="44">
        <f t="shared" si="7"/>
        <v>7.4984888979540116</v>
      </c>
      <c r="R32" s="44">
        <f t="shared" si="7"/>
        <v>8.2453311472734203</v>
      </c>
      <c r="S32" s="44">
        <f t="shared" si="7"/>
        <v>9.0116152757497758</v>
      </c>
      <c r="T32" s="44">
        <f t="shared" si="7"/>
        <v>9.7977392749186016</v>
      </c>
      <c r="U32" s="44">
        <f t="shared" si="7"/>
        <v>10.604108469470109</v>
      </c>
      <c r="V32" s="44">
        <f t="shared" si="7"/>
        <v>11.431135644571174</v>
      </c>
      <c r="W32" s="44">
        <f t="shared" si="7"/>
        <v>12.279241175315054</v>
      </c>
      <c r="X32" s="44">
        <f t="shared" si="7"/>
        <v>13.148853158333424</v>
      </c>
      <c r="Y32" s="44">
        <f t="shared" si="7"/>
        <v>15.186997574006822</v>
      </c>
      <c r="Z32" s="44">
        <f t="shared" si="7"/>
        <v>16.109622080373001</v>
      </c>
      <c r="AA32" s="44">
        <f t="shared" si="7"/>
        <v>17.055103421392925</v>
      </c>
      <c r="AB32" s="44">
        <f t="shared" si="7"/>
        <v>18.023900754033654</v>
      </c>
      <c r="AC32" s="44">
        <f t="shared" si="7"/>
        <v>19.016481611717733</v>
      </c>
      <c r="AD32" s="44">
        <f t="shared" si="7"/>
        <v>20.033322048869174</v>
      </c>
      <c r="AE32" s="44">
        <f t="shared" si="7"/>
        <v>21.074906787864965</v>
      </c>
      <c r="AF32" s="44">
        <f t="shared" si="7"/>
        <v>22.141729368431054</v>
      </c>
      <c r="AG32" s="44">
        <f t="shared" si="7"/>
        <v>23.234292299522572</v>
      </c>
      <c r="AH32" s="44">
        <f t="shared" si="7"/>
        <v>24.353107213728443</v>
      </c>
    </row>
    <row r="33" spans="1:35" s="1" customFormat="1" x14ac:dyDescent="0.2">
      <c r="B33" s="1" t="s">
        <v>197</v>
      </c>
      <c r="C33" s="65" t="s">
        <v>153</v>
      </c>
      <c r="D33" s="66">
        <f>D26-D29-D32</f>
        <v>89.109936202323638</v>
      </c>
      <c r="E33" s="66">
        <f t="shared" ref="E33:AG33" si="8">E26-E29-E32</f>
        <v>89.392388801173141</v>
      </c>
      <c r="F33" s="66">
        <f t="shared" si="8"/>
        <v>89.665284525294794</v>
      </c>
      <c r="G33" s="66">
        <f t="shared" si="8"/>
        <v>89.92830042148681</v>
      </c>
      <c r="H33" s="66">
        <f t="shared" si="8"/>
        <v>90.181106367005242</v>
      </c>
      <c r="I33" s="66">
        <f t="shared" si="8"/>
        <v>90.423364932115589</v>
      </c>
      <c r="J33" s="66">
        <f t="shared" si="8"/>
        <v>90.654731240201087</v>
      </c>
      <c r="K33" s="66">
        <f t="shared" si="8"/>
        <v>90.874852825386284</v>
      </c>
      <c r="L33" s="66">
        <f t="shared" si="8"/>
        <v>91.083369487633576</v>
      </c>
      <c r="M33" s="66">
        <f t="shared" si="8"/>
        <v>91.279913145270029</v>
      </c>
      <c r="N33" s="66">
        <f t="shared" si="8"/>
        <v>91.464107684900725</v>
      </c>
      <c r="O33" s="66">
        <f t="shared" si="8"/>
        <v>90.841372511137351</v>
      </c>
      <c r="P33" s="66">
        <f t="shared" si="8"/>
        <v>90.504702163027559</v>
      </c>
      <c r="Q33" s="66">
        <f t="shared" si="8"/>
        <v>89.781155035045174</v>
      </c>
      <c r="R33" s="66">
        <f t="shared" si="8"/>
        <v>89.019609665855342</v>
      </c>
      <c r="S33" s="66">
        <f t="shared" si="8"/>
        <v>88.219143919941331</v>
      </c>
      <c r="T33" s="66">
        <f t="shared" si="8"/>
        <v>87.378817289647216</v>
      </c>
      <c r="U33" s="66">
        <f t="shared" si="8"/>
        <v>86.497670561496562</v>
      </c>
      <c r="V33" s="66">
        <f t="shared" si="8"/>
        <v>85.574725476768918</v>
      </c>
      <c r="W33" s="66">
        <f t="shared" si="8"/>
        <v>84.608984386238845</v>
      </c>
      <c r="X33" s="66">
        <f t="shared" si="8"/>
        <v>83.599429898980475</v>
      </c>
      <c r="Y33" s="66">
        <f t="shared" si="8"/>
        <v>81.346867984957996</v>
      </c>
      <c r="Z33" s="66">
        <f t="shared" si="8"/>
        <v>80.184859626809725</v>
      </c>
      <c r="AA33" s="66">
        <f t="shared" si="8"/>
        <v>78.974371048508246</v>
      </c>
      <c r="AB33" s="66">
        <f t="shared" si="8"/>
        <v>77.714272557527494</v>
      </c>
      <c r="AC33" s="66">
        <f t="shared" si="8"/>
        <v>76.403412332073742</v>
      </c>
      <c r="AD33" s="66">
        <f t="shared" si="8"/>
        <v>75.040616022886041</v>
      </c>
      <c r="AE33" s="66">
        <f t="shared" si="8"/>
        <v>73.624686348223975</v>
      </c>
      <c r="AF33" s="66">
        <f t="shared" si="8"/>
        <v>72.154402681930904</v>
      </c>
      <c r="AG33" s="66">
        <f t="shared" si="8"/>
        <v>70.628520634457345</v>
      </c>
      <c r="AH33" s="66">
        <f>AH26-AH29-AH32</f>
        <v>69.045771626728879</v>
      </c>
    </row>
    <row r="34" spans="1:35" s="67" customFormat="1" x14ac:dyDescent="0.2">
      <c r="A34" s="687" t="s">
        <v>257</v>
      </c>
      <c r="B34" s="58" t="s">
        <v>258</v>
      </c>
      <c r="C34" s="59" t="s">
        <v>153</v>
      </c>
      <c r="D34" s="60">
        <f>D26*('Demand Breakdown - Ethylene'!$C$73)</f>
        <v>74.910171646535289</v>
      </c>
      <c r="E34" s="60">
        <f>E26*('Demand Breakdown - Ethylene'!$C$73)-E$27/'R&amp;S - Packaging and hh goods'!$C$7*'R&amp;S - Packaging and hh goods'!$S7-E$28/'R&amp;S - Packaging and hh goods'!$C$8*'R&amp;S - Packaging and hh goods'!$S8-E$30/'R&amp;S - Packaging and hh goods'!$C$9*'R&amp;S - Packaging and hh goods'!$S9-E$31/'R&amp;S - Packaging and hh goods'!$C$10*'R&amp;S - Packaging and hh goods'!$S10</f>
        <v>75.140020515205464</v>
      </c>
      <c r="F34" s="60">
        <f>F26*('Demand Breakdown - Ethylene'!$C$73)-F$27/'R&amp;S - Packaging and hh goods'!$C$7*'R&amp;S - Packaging and hh goods'!$S7-F$28/'R&amp;S - Packaging and hh goods'!$C$8*'R&amp;S - Packaging and hh goods'!$S8-F$30/'R&amp;S - Packaging and hh goods'!$C$9*'R&amp;S - Packaging and hh goods'!$S9-F$31/'R&amp;S - Packaging and hh goods'!$C$10*'R&amp;S - Packaging and hh goods'!$S10</f>
        <v>75.361622758555669</v>
      </c>
      <c r="G34" s="60">
        <f>G26*('Demand Breakdown - Ethylene'!$C$73)-G$27/'R&amp;S - Packaging and hh goods'!$C$7*'R&amp;S - Packaging and hh goods'!$S7-G$28/'R&amp;S - Packaging and hh goods'!$C$8*'R&amp;S - Packaging and hh goods'!$S8-G$30/'R&amp;S - Packaging and hh goods'!$C$9*'R&amp;S - Packaging and hh goods'!$S9-G$31/'R&amp;S - Packaging and hh goods'!$C$10*'R&amp;S - Packaging and hh goods'!$S10</f>
        <v>75.574702420698699</v>
      </c>
      <c r="H34" s="60">
        <f>H26*('Demand Breakdown - Ethylene'!$C$73)-H$27/'R&amp;S - Packaging and hh goods'!$C$7*'R&amp;S - Packaging and hh goods'!$S7-H$28/'R&amp;S - Packaging and hh goods'!$C$8*'R&amp;S - Packaging and hh goods'!$S8-H$30/'R&amp;S - Packaging and hh goods'!$C$9*'R&amp;S - Packaging and hh goods'!$S9-H$31/'R&amp;S - Packaging and hh goods'!$C$10*'R&amp;S - Packaging and hh goods'!$S10</f>
        <v>75.778977435321082</v>
      </c>
      <c r="I34" s="60">
        <f>I26*('Demand Breakdown - Ethylene'!$C$73)-I$27/'R&amp;S - Packaging and hh goods'!$C$7*'R&amp;S - Packaging and hh goods'!$S7-I$28/'R&amp;S - Packaging and hh goods'!$C$8*'R&amp;S - Packaging and hh goods'!$S8-I$30/'R&amp;S - Packaging and hh goods'!$C$9*'R&amp;S - Packaging and hh goods'!$S9-I$31/'R&amp;S - Packaging and hh goods'!$C$10*'R&amp;S - Packaging and hh goods'!$S10</f>
        <v>75.974159508678426</v>
      </c>
      <c r="J34" s="60">
        <f>J26*('Demand Breakdown - Ethylene'!$C$73)-J$27/'R&amp;S - Packaging and hh goods'!$C$7*'R&amp;S - Packaging and hh goods'!$S7-J$28/'R&amp;S - Packaging and hh goods'!$C$8*'R&amp;S - Packaging and hh goods'!$S8-J$30/'R&amp;S - Packaging and hh goods'!$C$9*'R&amp;S - Packaging and hh goods'!$S9-J$31/'R&amp;S - Packaging and hh goods'!$C$10*'R&amp;S - Packaging and hh goods'!$S10</f>
        <v>76.159954000512428</v>
      </c>
      <c r="K34" s="60">
        <f>K26*('Demand Breakdown - Ethylene'!$C$73)-K$27/'R&amp;S - Packaging and hh goods'!$C$7*'R&amp;S - Packaging and hh goods'!$S7-K$28/'R&amp;S - Packaging and hh goods'!$C$8*'R&amp;S - Packaging and hh goods'!$S8-K$30/'R&amp;S - Packaging and hh goods'!$C$9*'R&amp;S - Packaging and hh goods'!$S9-K$31/'R&amp;S - Packaging and hh goods'!$C$10*'R&amp;S - Packaging and hh goods'!$S10</f>
        <v>76.336059802854095</v>
      </c>
      <c r="L34" s="60">
        <f>L26*('Demand Breakdown - Ethylene'!$C$73)-L$27/'R&amp;S - Packaging and hh goods'!$C$7*'R&amp;S - Packaging and hh goods'!$S7-L$28/'R&amp;S - Packaging and hh goods'!$C$8*'R&amp;S - Packaging and hh goods'!$S8-L$30/'R&amp;S - Packaging and hh goods'!$C$9*'R&amp;S - Packaging and hh goods'!$S9-L$31/'R&amp;S - Packaging and hh goods'!$C$10*'R&amp;S - Packaging and hh goods'!$S10</f>
        <v>76.502169216677245</v>
      </c>
      <c r="M34" s="60">
        <f>M26*('Demand Breakdown - Ethylene'!$C$73)-M$27/'R&amp;S - Packaging and hh goods'!$C$7*'R&amp;S - Packaging and hh goods'!$S7-M$28/'R&amp;S - Packaging and hh goods'!$C$8*'R&amp;S - Packaging and hh goods'!$S8-M$30/'R&amp;S - Packaging and hh goods'!$C$9*'R&amp;S - Packaging and hh goods'!$S9-M$31/'R&amp;S - Packaging and hh goods'!$C$10*'R&amp;S - Packaging and hh goods'!$S10</f>
        <v>76.657967826366047</v>
      </c>
      <c r="N34" s="60">
        <f>N26*('Demand Breakdown - Ethylene'!$C$73)-N$27/'R&amp;S - Packaging and hh goods'!$C$7*'R&amp;S - Packaging and hh goods'!$S7-N$28/'R&amp;S - Packaging and hh goods'!$C$8*'R&amp;S - Packaging and hh goods'!$S8-N$30/'R&amp;S - Packaging and hh goods'!$C$9*'R&amp;S - Packaging and hh goods'!$S9-N$31/'R&amp;S - Packaging and hh goods'!$C$10*'R&amp;S - Packaging and hh goods'!$S10</f>
        <v>76.803134371959715</v>
      </c>
      <c r="O34" s="60">
        <f>O26*('Demand Breakdown - Ethylene'!$C$73)-O$27/'R&amp;S - Packaging and hh goods'!$C$7*'R&amp;S - Packaging and hh goods'!$S7-O$28/'R&amp;S - Packaging and hh goods'!$C$8*'R&amp;S - Packaging and hh goods'!$S8-O$30/'R&amp;S - Packaging and hh goods'!$C$9*'R&amp;S - Packaging and hh goods'!$S9-O$31/'R&amp;S - Packaging and hh goods'!$C$10*'R&amp;S - Packaging and hh goods'!$S10</f>
        <v>76.251178376787095</v>
      </c>
      <c r="P34" s="60">
        <f>P26*('Demand Breakdown - Ethylene'!$C$73)-P$27/'R&amp;S - Packaging and hh goods'!$C$7*'R&amp;S - Packaging and hh goods'!$S7-P$28/'R&amp;S - Packaging and hh goods'!$C$8*'R&amp;S - Packaging and hh goods'!$S8-P$30/'R&amp;S - Packaging and hh goods'!$C$9*'R&amp;S - Packaging and hh goods'!$S9-P$31/'R&amp;S - Packaging and hh goods'!$C$10*'R&amp;S - Packaging and hh goods'!$S10</f>
        <v>75.939670350766193</v>
      </c>
      <c r="Q34" s="60">
        <f>Q26*('Demand Breakdown - Ethylene'!$C$73)-Q$27/'R&amp;S - Packaging and hh goods'!$C$7*'R&amp;S - Packaging and hh goods'!$S7-Q$28/'R&amp;S - Packaging and hh goods'!$C$8*'R&amp;S - Packaging and hh goods'!$S8-Q$30/'R&amp;S - Packaging and hh goods'!$C$9*'R&amp;S - Packaging and hh goods'!$S9-Q$31/'R&amp;S - Packaging and hh goods'!$C$10*'R&amp;S - Packaging and hh goods'!$S10</f>
        <v>75.301322965637027</v>
      </c>
      <c r="R34" s="60">
        <f>R26*('Demand Breakdown - Ethylene'!$C$73)-R$27/'R&amp;S - Packaging and hh goods'!$C$7*'R&amp;S - Packaging and hh goods'!$S7-R$28/'R&amp;S - Packaging and hh goods'!$C$8*'R&amp;S - Packaging and hh goods'!$S8-R$30/'R&amp;S - Packaging and hh goods'!$C$9*'R&amp;S - Packaging and hh goods'!$S9-R$31/'R&amp;S - Packaging and hh goods'!$C$10*'R&amp;S - Packaging and hh goods'!$S10</f>
        <v>74.630217678335498</v>
      </c>
      <c r="S34" s="60">
        <f>S26*('Demand Breakdown - Ethylene'!$C$73)-S$27/'R&amp;S - Packaging and hh goods'!$C$7*'R&amp;S - Packaging and hh goods'!$S7-S$28/'R&amp;S - Packaging and hh goods'!$C$8*'R&amp;S - Packaging and hh goods'!$S8-S$30/'R&amp;S - Packaging and hh goods'!$C$9*'R&amp;S - Packaging and hh goods'!$S9-S$31/'R&amp;S - Packaging and hh goods'!$C$10*'R&amp;S - Packaging and hh goods'!$S10</f>
        <v>73.925562383688259</v>
      </c>
      <c r="T34" s="60">
        <f>T26*('Demand Breakdown - Ethylene'!$C$73)-T$27/'R&amp;S - Packaging and hh goods'!$C$7*'R&amp;S - Packaging and hh goods'!$S7-T$28/'R&amp;S - Packaging and hh goods'!$C$8*'R&amp;S - Packaging and hh goods'!$S8-T$30/'R&amp;S - Packaging and hh goods'!$C$9*'R&amp;S - Packaging and hh goods'!$S9-T$31/'R&amp;S - Packaging and hh goods'!$C$10*'R&amp;S - Packaging and hh goods'!$S10</f>
        <v>73.186549218125961</v>
      </c>
      <c r="U34" s="60">
        <f>U26*('Demand Breakdown - Ethylene'!$C$73)-U$27/'R&amp;S - Packaging and hh goods'!$C$7*'R&amp;S - Packaging and hh goods'!$S7-U$28/'R&amp;S - Packaging and hh goods'!$C$8*'R&amp;S - Packaging and hh goods'!$S8-U$30/'R&amp;S - Packaging and hh goods'!$C$9*'R&amp;S - Packaging and hh goods'!$S9-U$31/'R&amp;S - Packaging and hh goods'!$C$10*'R&amp;S - Packaging and hh goods'!$S10</f>
        <v>72.4123542737007</v>
      </c>
      <c r="V34" s="60">
        <f>V26*('Demand Breakdown - Ethylene'!$C$73)-V$27/'R&amp;S - Packaging and hh goods'!$C$7*'R&amp;S - Packaging and hh goods'!$S7-V$28/'R&amp;S - Packaging and hh goods'!$C$8*'R&amp;S - Packaging and hh goods'!$S8-V$30/'R&amp;S - Packaging and hh goods'!$C$9*'R&amp;S - Packaging and hh goods'!$S9-V$31/'R&amp;S - Packaging and hh goods'!$C$10*'R&amp;S - Packaging and hh goods'!$S10</f>
        <v>71.602137307184762</v>
      </c>
      <c r="W34" s="60">
        <f>W26*('Demand Breakdown - Ethylene'!$C$73)-W$27/'R&amp;S - Packaging and hh goods'!$C$7*'R&amp;S - Packaging and hh goods'!$S7-W$28/'R&amp;S - Packaging and hh goods'!$C$8*'R&amp;S - Packaging and hh goods'!$S8-W$30/'R&amp;S - Packaging and hh goods'!$C$9*'R&amp;S - Packaging and hh goods'!$S9-W$31/'R&amp;S - Packaging and hh goods'!$C$10*'R&amp;S - Packaging and hh goods'!$S10</f>
        <v>70.755041444168768</v>
      </c>
      <c r="X34" s="60">
        <f>X26*('Demand Breakdown - Ethylene'!$C$73)-X$27/'R&amp;S - Packaging and hh goods'!$C$7*'R&amp;S - Packaging and hh goods'!$S7-X$28/'R&amp;S - Packaging and hh goods'!$C$8*'R&amp;S - Packaging and hh goods'!$S8-X$30/'R&amp;S - Packaging and hh goods'!$C$9*'R&amp;S - Packaging and hh goods'!$S9-X$31/'R&amp;S - Packaging and hh goods'!$C$10*'R&amp;S - Packaging and hh goods'!$S10</f>
        <v>69.870192878076097</v>
      </c>
      <c r="Y34" s="60">
        <f>Y26*('Demand Breakdown - Ethylene'!$C$73)-Y$27/'R&amp;S - Packaging and hh goods'!$C$7*'R&amp;S - Packaging and hh goods'!$S7-Y$28/'R&amp;S - Packaging and hh goods'!$C$8*'R&amp;S - Packaging and hh goods'!$S8-Y$30/'R&amp;S - Packaging and hh goods'!$C$9*'R&amp;S - Packaging and hh goods'!$S9-Y$31/'R&amp;S - Packaging and hh goods'!$C$10*'R&amp;S - Packaging and hh goods'!$S10</f>
        <v>67.964703118644451</v>
      </c>
      <c r="Z34" s="60">
        <f>Z26*('Demand Breakdown - Ethylene'!$C$73)-Z$27/'R&amp;S - Packaging and hh goods'!$C$7*'R&amp;S - Packaging and hh goods'!$S7-Z$28/'R&amp;S - Packaging and hh goods'!$C$8*'R&amp;S - Packaging and hh goods'!$S8-Z$30/'R&amp;S - Packaging and hh goods'!$C$9*'R&amp;S - Packaging and hh goods'!$S9-Z$31/'R&amp;S - Packaging and hh goods'!$C$10*'R&amp;S - Packaging and hh goods'!$S10</f>
        <v>66.949016007581292</v>
      </c>
      <c r="AA34" s="60">
        <f>AA26*('Demand Breakdown - Ethylene'!$C$73)-AA$27/'R&amp;S - Packaging and hh goods'!$C$7*'R&amp;S - Packaging and hh goods'!$S7-AA$28/'R&amp;S - Packaging and hh goods'!$C$8*'R&amp;S - Packaging and hh goods'!$S8-AA$30/'R&amp;S - Packaging and hh goods'!$C$9*'R&amp;S - Packaging and hh goods'!$S9-AA$31/'R&amp;S - Packaging and hh goods'!$C$10*'R&amp;S - Packaging and hh goods'!$S10</f>
        <v>65.891568575597091</v>
      </c>
      <c r="AB34" s="60">
        <f>AB26*('Demand Breakdown - Ethylene'!$C$73)-AB$27/'R&amp;S - Packaging and hh goods'!$C$7*'R&amp;S - Packaging and hh goods'!$S7-AB$28/'R&amp;S - Packaging and hh goods'!$C$8*'R&amp;S - Packaging and hh goods'!$S8-AB$30/'R&amp;S - Packaging and hh goods'!$C$9*'R&amp;S - Packaging and hh goods'!$S9-AB$31/'R&amp;S - Packaging and hh goods'!$C$10*'R&amp;S - Packaging and hh goods'!$S10</f>
        <v>64.791390608379885</v>
      </c>
      <c r="AC34" s="60">
        <f>AC26*('Demand Breakdown - Ethylene'!$C$73)-AC$27/'R&amp;S - Packaging and hh goods'!$C$7*'R&amp;S - Packaging and hh goods'!$S7-AC$28/'R&amp;S - Packaging and hh goods'!$C$8*'R&amp;S - Packaging and hh goods'!$S8-AC$30/'R&amp;S - Packaging and hh goods'!$C$9*'R&amp;S - Packaging and hh goods'!$S9-AC$31/'R&amp;S - Packaging and hh goods'!$C$10*'R&amp;S - Packaging and hh goods'!$S10</f>
        <v>63.647492910639741</v>
      </c>
      <c r="AD34" s="60">
        <f>AD26*('Demand Breakdown - Ethylene'!$C$73)-AD$27/'R&amp;S - Packaging and hh goods'!$C$7*'R&amp;S - Packaging and hh goods'!$S7-AD$28/'R&amp;S - Packaging and hh goods'!$C$8*'R&amp;S - Packaging and hh goods'!$S8-AD$30/'R&amp;S - Packaging and hh goods'!$C$9*'R&amp;S - Packaging and hh goods'!$S9-AD$31/'R&amp;S - Packaging and hh goods'!$C$10*'R&amp;S - Packaging and hh goods'!$S10</f>
        <v>62.458866964803654</v>
      </c>
      <c r="AE34" s="60">
        <f>AE26*('Demand Breakdown - Ethylene'!$C$73)-AE$27/'R&amp;S - Packaging and hh goods'!$C$7*'R&amp;S - Packaging and hh goods'!$S7-AE$28/'R&amp;S - Packaging and hh goods'!$C$8*'R&amp;S - Packaging and hh goods'!$S8-AE$30/'R&amp;S - Packaging and hh goods'!$C$9*'R&amp;S - Packaging and hh goods'!$S9-AE$31/'R&amp;S - Packaging and hh goods'!$C$10*'R&amp;S - Packaging and hh goods'!$S10</f>
        <v>61.224484583873668</v>
      </c>
      <c r="AF34" s="60">
        <f>AF26*('Demand Breakdown - Ethylene'!$C$73)-AF$27/'R&amp;S - Packaging and hh goods'!$C$7*'R&amp;S - Packaging and hh goods'!$S7-AF$28/'R&amp;S - Packaging and hh goods'!$C$8*'R&amp;S - Packaging and hh goods'!$S8-AF$30/'R&amp;S - Packaging and hh goods'!$C$9*'R&amp;S - Packaging and hh goods'!$S9-AF$31/'R&amp;S - Packaging and hh goods'!$C$10*'R&amp;S - Packaging and hh goods'!$S10</f>
        <v>59.943297558352548</v>
      </c>
      <c r="AG34" s="60">
        <f>AG26*('Demand Breakdown - Ethylene'!$C$73)-AG$27/'R&amp;S - Packaging and hh goods'!$C$7*'R&amp;S - Packaging and hh goods'!$S7-AG$28/'R&amp;S - Packaging and hh goods'!$C$8*'R&amp;S - Packaging and hh goods'!$S8-AG$30/'R&amp;S - Packaging and hh goods'!$C$9*'R&amp;S - Packaging and hh goods'!$S9-AG$31/'R&amp;S - Packaging and hh goods'!$C$10*'R&amp;S - Packaging and hh goods'!$S10</f>
        <v>58.614237297138374</v>
      </c>
      <c r="AH34" s="60">
        <f>AH26*('Demand Breakdown - Ethylene'!$C$73)-AH$27/'R&amp;S - Packaging and hh goods'!$C$7*'R&amp;S - Packaging and hh goods'!$S7-AH$28/'R&amp;S - Packaging and hh goods'!$C$8*'R&amp;S - Packaging and hh goods'!$S8-AH$30/'R&amp;S - Packaging and hh goods'!$C$9*'R&amp;S - Packaging and hh goods'!$S9-AH$31/'R&amp;S - Packaging and hh goods'!$C$10*'R&amp;S - Packaging and hh goods'!$S10</f>
        <v>57.236214462288785</v>
      </c>
      <c r="AI34" s="60"/>
    </row>
    <row r="35" spans="1:35" x14ac:dyDescent="0.2">
      <c r="A35" s="688"/>
      <c r="B35" s="1" t="s">
        <v>260</v>
      </c>
      <c r="C35" s="54" t="s">
        <v>153</v>
      </c>
      <c r="D35" s="44">
        <f>D39/('Demand Breakdown - Ethylene'!$K$14)</f>
        <v>10.180685222672066</v>
      </c>
      <c r="E35" s="44">
        <f>E39/('Demand Breakdown - Ethylene'!$K$14)</f>
        <v>10.212955035913584</v>
      </c>
      <c r="F35" s="44">
        <f>F39/('Demand Breakdown - Ethylene'!$K$14)</f>
        <v>10.244132989622221</v>
      </c>
      <c r="G35" s="44">
        <f>G39/('Demand Breakdown - Ethylene'!$K$14)</f>
        <v>10.274182186847661</v>
      </c>
      <c r="H35" s="44">
        <f>H39/('Demand Breakdown - Ethylene'!$K$14)</f>
        <v>10.303064911529443</v>
      </c>
      <c r="I35" s="44">
        <f>I39/('Demand Breakdown - Ethylene'!$K$14)</f>
        <v>10.330742612793699</v>
      </c>
      <c r="J35" s="44">
        <f>J39/('Demand Breakdown - Ethylene'!$K$14)</f>
        <v>10.357175888970691</v>
      </c>
      <c r="K35" s="44">
        <f>K39/('Demand Breakdown - Ethylene'!$K$14)</f>
        <v>10.382324471328532</v>
      </c>
      <c r="L35" s="44">
        <f>L39/('Demand Breakdown - Ethylene'!$K$14)</f>
        <v>10.406147207518153</v>
      </c>
      <c r="M35" s="44">
        <f>M39/('Demand Breakdown - Ethylene'!$K$14)</f>
        <v>10.428602044724704</v>
      </c>
      <c r="N35" s="44">
        <f>N39/('Demand Breakdown - Ethylene'!$K$14)</f>
        <v>10.449646012520367</v>
      </c>
      <c r="O35" s="44">
        <f>O39/('Demand Breakdown - Ethylene'!$K$14)</f>
        <v>10.37849939238615</v>
      </c>
      <c r="P35" s="44">
        <f>P39/('Demand Breakdown - Ethylene'!$K$14)</f>
        <v>10.340035277339192</v>
      </c>
      <c r="Q35" s="44">
        <f>Q39/('Demand Breakdown - Ethylene'!$K$14)</f>
        <v>10.257371032837524</v>
      </c>
      <c r="R35" s="44">
        <f>R39/('Demand Breakdown - Ethylene'!$K$14)</f>
        <v>10.17036554257545</v>
      </c>
      <c r="S35" s="44">
        <f>S39/('Demand Breakdown - Ethylene'!$K$14)</f>
        <v>10.078913453863603</v>
      </c>
      <c r="T35" s="44">
        <f>T39/('Demand Breakdown - Ethylene'!$K$14)</f>
        <v>9.9829073150214782</v>
      </c>
      <c r="U35" s="44">
        <f>U39/('Demand Breakdown - Ethylene'!$K$14)</f>
        <v>9.8822375372548166</v>
      </c>
      <c r="V35" s="44">
        <f>V39/('Demand Breakdown - Ethylene'!$K$14)</f>
        <v>9.7767923558769461</v>
      </c>
      <c r="W35" s="44">
        <f>W39/('Demand Breakdown - Ethylene'!$K$14)</f>
        <v>9.6664577908631912</v>
      </c>
      <c r="X35" s="44">
        <f>X39/('Demand Breakdown - Ethylene'!$K$14)</f>
        <v>9.5511176067273009</v>
      </c>
      <c r="Y35" s="44">
        <f>Y39/('Demand Breakdown - Ethylene'!$K$14)</f>
        <v>9.2937655675655382</v>
      </c>
      <c r="Z35" s="44">
        <f>Z39/('Demand Breakdown - Ethylene'!$K$14)</f>
        <v>9.1610077425171461</v>
      </c>
      <c r="AA35" s="44">
        <f>AA39/('Demand Breakdown - Ethylene'!$K$14)</f>
        <v>9.0227111203161527</v>
      </c>
      <c r="AB35" s="44">
        <f>AB39/('Demand Breakdown - Ethylene'!$K$14)</f>
        <v>8.8787466351760038</v>
      </c>
      <c r="AC35" s="44">
        <f>AC39/('Demand Breakdown - Ethylene'!$K$14)</f>
        <v>8.7289826930723446</v>
      </c>
      <c r="AD35" s="44">
        <f>AD39/('Demand Breakdown - Ethylene'!$K$14)</f>
        <v>8.5732851262492922</v>
      </c>
      <c r="AE35" s="44">
        <f>AE39/('Demand Breakdown - Ethylene'!$K$14)</f>
        <v>8.4115171469473484</v>
      </c>
      <c r="AF35" s="44">
        <f>AF39/('Demand Breakdown - Ethylene'!$K$14)</f>
        <v>8.2435393003402098</v>
      </c>
      <c r="AG35" s="44">
        <f>AG39/('Demand Breakdown - Ethylene'!$K$14)</f>
        <v>8.0692094166672632</v>
      </c>
      <c r="AH35" s="44">
        <f>AH39/('Demand Breakdown - Ethylene'!$K$14)</f>
        <v>7.8883825625486104</v>
      </c>
      <c r="AI35" s="44"/>
    </row>
    <row r="36" spans="1:35" x14ac:dyDescent="0.2">
      <c r="A36" s="688"/>
      <c r="B36" s="1" t="s">
        <v>262</v>
      </c>
      <c r="C36" s="54" t="s">
        <v>153</v>
      </c>
      <c r="D36" s="44">
        <f>D38/('Demand Breakdown - Ethylene'!$M$14)</f>
        <v>2.502958579881656</v>
      </c>
      <c r="E36" s="44">
        <f>E38/('Demand Breakdown - Ethylene'!$M$14)</f>
        <v>2.528806126887293</v>
      </c>
      <c r="F36" s="44">
        <f>F38/('Demand Breakdown - Ethylene'!$M$14)</f>
        <v>2.5548868253274306</v>
      </c>
      <c r="G36" s="44">
        <f>G38/('Demand Breakdown - Ethylene'!$M$14)</f>
        <v>2.5812021373230225</v>
      </c>
      <c r="H36" s="44">
        <f>H38/('Demand Breakdown - Ethylene'!$M$14)</f>
        <v>2.6077535202367264</v>
      </c>
      <c r="I36" s="44">
        <f>I38/('Demand Breakdown - Ethylene'!$M$14)</f>
        <v>2.6345424262530988</v>
      </c>
      <c r="J36" s="44">
        <f>J38/('Demand Breakdown - Ethylene'!$M$14)</f>
        <v>2.6615703019479633</v>
      </c>
      <c r="K36" s="44">
        <f>K38/('Demand Breakdown - Ethylene'!$M$14)</f>
        <v>2.6888385878467376</v>
      </c>
      <c r="L36" s="44">
        <f>L38/('Demand Breakdown - Ethylene'!$M$14)</f>
        <v>2.7163487179714965</v>
      </c>
      <c r="M36" s="44">
        <f>M38/('Demand Breakdown - Ethylene'!$M$14)</f>
        <v>2.7441021193765311</v>
      </c>
      <c r="N36" s="44">
        <f>N38/('Demand Breakdown - Ethylene'!$M$14)</f>
        <v>2.7721002116721842</v>
      </c>
      <c r="O36" s="44">
        <f>O38/('Demand Breakdown - Ethylene'!$M$14)</f>
        <v>2.780574661078969</v>
      </c>
      <c r="P36" s="44">
        <f>P38/('Demand Breakdown - Ethylene'!$M$14)</f>
        <v>2.7887430634276562</v>
      </c>
      <c r="Q36" s="44">
        <f>Q38/('Demand Breakdown - Ethylene'!$M$14)</f>
        <v>2.7965951884085354</v>
      </c>
      <c r="R36" s="44">
        <f>R38/('Demand Breakdown - Ethylene'!$M$14)</f>
        <v>2.8041205792484472</v>
      </c>
      <c r="S36" s="44">
        <f>S38/('Demand Breakdown - Ethylene'!$M$14)</f>
        <v>2.8113085483749489</v>
      </c>
      <c r="T36" s="44">
        <f>T38/('Demand Breakdown - Ethylene'!$M$14)</f>
        <v>2.8181481730034594</v>
      </c>
      <c r="U36" s="44">
        <f>U38/('Demand Breakdown - Ethylene'!$M$14)</f>
        <v>2.8246282906460873</v>
      </c>
      <c r="V36" s="44">
        <f>V38/('Demand Breakdown - Ethylene'!$M$14)</f>
        <v>2.8307374945407999</v>
      </c>
      <c r="W36" s="44">
        <f>W38/('Demand Breakdown - Ethylene'!$M$14)</f>
        <v>2.836464128999598</v>
      </c>
      <c r="X36" s="44">
        <f>X38/('Demand Breakdown - Ethylene'!$M$14)</f>
        <v>2.8417962846743117</v>
      </c>
      <c r="Y36" s="44">
        <f>Y38/('Demand Breakdown - Ethylene'!$M$14)</f>
        <v>2.8458020143475755</v>
      </c>
      <c r="Z36" s="44">
        <f>Z38/('Demand Breakdown - Ethylene'!$M$14)</f>
        <v>2.8493629123798945</v>
      </c>
      <c r="AA36" s="44">
        <f>AA38/('Demand Breakdown - Ethylene'!$M$14)</f>
        <v>2.8524657383623064</v>
      </c>
      <c r="AB36" s="44">
        <f>AB38/('Demand Breakdown - Ethylene'!$M$14)</f>
        <v>2.8550969683413991</v>
      </c>
      <c r="AC36" s="44">
        <f>AC38/('Demand Breakdown - Ethylene'!$M$14)</f>
        <v>2.8572427894751873</v>
      </c>
      <c r="AD36" s="44">
        <f>AD38/('Demand Breakdown - Ethylene'!$M$14)</f>
        <v>2.8588890945949266</v>
      </c>
      <c r="AE36" s="44">
        <f>AE38/('Demand Breakdown - Ethylene'!$M$14)</f>
        <v>2.8600214766712821</v>
      </c>
      <c r="AF36" s="44">
        <f>AF38/('Demand Breakdown - Ethylene'!$M$14)</f>
        <v>2.8606252231832348</v>
      </c>
      <c r="AG36" s="44">
        <f>AG38/('Demand Breakdown - Ethylene'!$M$14)</f>
        <v>2.860685310388094</v>
      </c>
      <c r="AH36" s="44">
        <f>AH38/('Demand Breakdown - Ethylene'!$M$14)</f>
        <v>2.8601863974909461</v>
      </c>
      <c r="AI36" s="44"/>
    </row>
    <row r="37" spans="1:35" s="68" customFormat="1" x14ac:dyDescent="0.2">
      <c r="A37" s="689"/>
      <c r="B37" s="62" t="s">
        <v>248</v>
      </c>
      <c r="C37" s="283" t="s">
        <v>153</v>
      </c>
      <c r="D37" s="284">
        <f>D33-SUM(D35,D34,D36)</f>
        <v>1.516120753234631</v>
      </c>
      <c r="E37" s="284">
        <f>E33-E34-E35-E36</f>
        <v>1.5106071231667997</v>
      </c>
      <c r="F37" s="284">
        <f t="shared" ref="F37:AH37" si="9">F33-F34-F35-F36</f>
        <v>1.5046419517894738</v>
      </c>
      <c r="G37" s="284">
        <f t="shared" si="9"/>
        <v>1.4982136766174277</v>
      </c>
      <c r="H37" s="284">
        <f t="shared" si="9"/>
        <v>1.4913104999179909</v>
      </c>
      <c r="I37" s="284">
        <f t="shared" si="9"/>
        <v>1.4839203843903657</v>
      </c>
      <c r="J37" s="284">
        <f t="shared" si="9"/>
        <v>1.4760310487700052</v>
      </c>
      <c r="K37" s="284">
        <f t="shared" si="9"/>
        <v>1.4676299633569196</v>
      </c>
      <c r="L37" s="284">
        <f t="shared" si="9"/>
        <v>1.458704345466681</v>
      </c>
      <c r="M37" s="284">
        <f t="shared" si="9"/>
        <v>1.4492411548027477</v>
      </c>
      <c r="N37" s="284">
        <f t="shared" si="9"/>
        <v>1.4392270887484595</v>
      </c>
      <c r="O37" s="284">
        <f t="shared" si="9"/>
        <v>1.4311200808851368</v>
      </c>
      <c r="P37" s="284">
        <f t="shared" si="9"/>
        <v>1.4362534714945188</v>
      </c>
      <c r="Q37" s="284">
        <f t="shared" si="9"/>
        <v>1.4258658481620876</v>
      </c>
      <c r="R37" s="284">
        <f t="shared" si="9"/>
        <v>1.4149058656959466</v>
      </c>
      <c r="S37" s="284">
        <f t="shared" si="9"/>
        <v>1.4033595340145202</v>
      </c>
      <c r="T37" s="284">
        <f t="shared" si="9"/>
        <v>1.3912125834963174</v>
      </c>
      <c r="U37" s="284">
        <f t="shared" si="9"/>
        <v>1.3784504598949585</v>
      </c>
      <c r="V37" s="284">
        <f t="shared" si="9"/>
        <v>1.3650583191664105</v>
      </c>
      <c r="W37" s="284">
        <f t="shared" si="9"/>
        <v>1.3510210222072878</v>
      </c>
      <c r="X37" s="284">
        <f t="shared" si="9"/>
        <v>1.3363231295027655</v>
      </c>
      <c r="Y37" s="284">
        <f t="shared" si="9"/>
        <v>1.2425972844004312</v>
      </c>
      <c r="Z37" s="284">
        <f t="shared" si="9"/>
        <v>1.2254729643313924</v>
      </c>
      <c r="AA37" s="284">
        <f t="shared" si="9"/>
        <v>1.2076256142326955</v>
      </c>
      <c r="AB37" s="284">
        <f t="shared" si="9"/>
        <v>1.1890383456302058</v>
      </c>
      <c r="AC37" s="284">
        <f t="shared" si="9"/>
        <v>1.1696939388864691</v>
      </c>
      <c r="AD37" s="284">
        <f t="shared" si="9"/>
        <v>1.1495748372381684</v>
      </c>
      <c r="AE37" s="284">
        <f t="shared" si="9"/>
        <v>1.1286631407316761</v>
      </c>
      <c r="AF37" s="284">
        <f t="shared" si="9"/>
        <v>1.1069406000549118</v>
      </c>
      <c r="AG37" s="284">
        <f t="shared" si="9"/>
        <v>1.0843886102636144</v>
      </c>
      <c r="AH37" s="284">
        <f t="shared" si="9"/>
        <v>1.060988204400537</v>
      </c>
      <c r="AI37" s="284"/>
    </row>
    <row r="38" spans="1:35" s="67" customFormat="1" x14ac:dyDescent="0.2">
      <c r="A38" s="687" t="s">
        <v>263</v>
      </c>
      <c r="B38" s="58" t="s">
        <v>264</v>
      </c>
      <c r="C38" s="59" t="s">
        <v>153</v>
      </c>
      <c r="D38" s="60">
        <f>D33*'Demand Breakdown - Ethylene'!$E$73</f>
        <v>2.4028402366863899</v>
      </c>
      <c r="E38" s="60">
        <f>E26*'Demand Breakdown - Ethylene'!$E$73-E$27/'R&amp;S - Packaging and hh goods'!$C$7*'R&amp;S - Packaging and hh goods'!$U9-E$28/'R&amp;S - Packaging and hh goods'!$C$8*'R&amp;S - Packaging and hh goods'!$U10-E$30/'R&amp;S - Packaging and hh goods'!$C$9*'R&amp;S - Packaging and hh goods'!$U11-E$31/'R&amp;S - Packaging and hh goods'!$C$10*'R&amp;S - Packaging and hh goods'!$U12</f>
        <v>2.4276538818118012</v>
      </c>
      <c r="F38" s="60">
        <f>F26*'Demand Breakdown - Ethylene'!$E$73-F$27/'R&amp;S - Packaging and hh goods'!$C$7*'R&amp;S - Packaging and hh goods'!$U9-F$28/'R&amp;S - Packaging and hh goods'!$C$8*'R&amp;S - Packaging and hh goods'!$U10-F$30/'R&amp;S - Packaging and hh goods'!$C$9*'R&amp;S - Packaging and hh goods'!$U11-F$31/'R&amp;S - Packaging and hh goods'!$C$10*'R&amp;S - Packaging and hh goods'!$U12</f>
        <v>2.4526913523143334</v>
      </c>
      <c r="G38" s="60">
        <f>G26*'Demand Breakdown - Ethylene'!$E$73-G$27/'R&amp;S - Packaging and hh goods'!$C$7*'R&amp;S - Packaging and hh goods'!$U9-G$28/'R&amp;S - Packaging and hh goods'!$C$8*'R&amp;S - Packaging and hh goods'!$U10-G$30/'R&amp;S - Packaging and hh goods'!$C$9*'R&amp;S - Packaging and hh goods'!$U11-G$31/'R&amp;S - Packaging and hh goods'!$C$10*'R&amp;S - Packaging and hh goods'!$U12</f>
        <v>2.4779540518301015</v>
      </c>
      <c r="H38" s="60">
        <f>H26*'Demand Breakdown - Ethylene'!$E$73-H$27/'R&amp;S - Packaging and hh goods'!$C$7*'R&amp;S - Packaging and hh goods'!$U9-H$28/'R&amp;S - Packaging and hh goods'!$C$8*'R&amp;S - Packaging and hh goods'!$U10-H$30/'R&amp;S - Packaging and hh goods'!$C$9*'R&amp;S - Packaging and hh goods'!$U11-H$31/'R&amp;S - Packaging and hh goods'!$C$10*'R&amp;S - Packaging and hh goods'!$U12</f>
        <v>2.503443379427257</v>
      </c>
      <c r="I38" s="60">
        <f>I26*'Demand Breakdown - Ethylene'!$E$73-I$27/'R&amp;S - Packaging and hh goods'!$C$7*'R&amp;S - Packaging and hh goods'!$U9-I$28/'R&amp;S - Packaging and hh goods'!$C$8*'R&amp;S - Packaging and hh goods'!$U10-I$30/'R&amp;S - Packaging and hh goods'!$C$9*'R&amp;S - Packaging and hh goods'!$U11-I$31/'R&amp;S - Packaging and hh goods'!$C$10*'R&amp;S - Packaging and hh goods'!$U12</f>
        <v>2.5291607292029745</v>
      </c>
      <c r="J38" s="60">
        <f>J26*'Demand Breakdown - Ethylene'!$E$73-J$27/'R&amp;S - Packaging and hh goods'!$C$7*'R&amp;S - Packaging and hh goods'!$U9-J$28/'R&amp;S - Packaging and hh goods'!$C$8*'R&amp;S - Packaging and hh goods'!$U10-J$30/'R&amp;S - Packaging and hh goods'!$C$9*'R&amp;S - Packaging and hh goods'!$U11-J$31/'R&amp;S - Packaging and hh goods'!$C$10*'R&amp;S - Packaging and hh goods'!$U12</f>
        <v>2.5551074898700445</v>
      </c>
      <c r="K38" s="60">
        <f>K26*'Demand Breakdown - Ethylene'!$E$73-K$27/'R&amp;S - Packaging and hh goods'!$C$7*'R&amp;S - Packaging and hh goods'!$U9-K$28/'R&amp;S - Packaging and hh goods'!$C$8*'R&amp;S - Packaging and hh goods'!$U10-K$30/'R&amp;S - Packaging and hh goods'!$C$9*'R&amp;S - Packaging and hh goods'!$U11-K$31/'R&amp;S - Packaging and hh goods'!$C$10*'R&amp;S - Packaging and hh goods'!$U12</f>
        <v>2.5812850443328679</v>
      </c>
      <c r="L38" s="60">
        <f>L26*'Demand Breakdown - Ethylene'!$E$73-L$27/'R&amp;S - Packaging and hh goods'!$C$7*'R&amp;S - Packaging and hh goods'!$U9-L$28/'R&amp;S - Packaging and hh goods'!$C$8*'R&amp;S - Packaging and hh goods'!$U10-L$30/'R&amp;S - Packaging and hh goods'!$C$9*'R&amp;S - Packaging and hh goods'!$U11-L$31/'R&amp;S - Packaging and hh goods'!$C$10*'R&amp;S - Packaging and hh goods'!$U12</f>
        <v>2.6076947692526367</v>
      </c>
      <c r="M38" s="60">
        <f>M26*'Demand Breakdown - Ethylene'!$E$73-M$27/'R&amp;S - Packaging and hh goods'!$C$7*'R&amp;S - Packaging and hh goods'!$U9-M$28/'R&amp;S - Packaging and hh goods'!$C$8*'R&amp;S - Packaging and hh goods'!$U10-M$30/'R&amp;S - Packaging and hh goods'!$C$9*'R&amp;S - Packaging and hh goods'!$U11-M$31/'R&amp;S - Packaging and hh goods'!$C$10*'R&amp;S - Packaging and hh goods'!$U12</f>
        <v>2.6343380346014698</v>
      </c>
      <c r="N38" s="60">
        <f>N26*'Demand Breakdown - Ethylene'!$E$73-N$27/'R&amp;S - Packaging and hh goods'!$C$7*'R&amp;S - Packaging and hh goods'!$U9-N$28/'R&amp;S - Packaging and hh goods'!$C$8*'R&amp;S - Packaging and hh goods'!$U10-N$30/'R&amp;S - Packaging and hh goods'!$C$9*'R&amp;S - Packaging and hh goods'!$U11-N$31/'R&amp;S - Packaging and hh goods'!$C$10*'R&amp;S - Packaging and hh goods'!$U12</f>
        <v>2.6612162032052966</v>
      </c>
      <c r="O38" s="60">
        <f>O26*'Demand Breakdown - Ethylene'!$E$73-O$27/'R&amp;S - Packaging and hh goods'!$C$7*'R&amp;S - Packaging and hh goods'!$U9-O$28/'R&amp;S - Packaging and hh goods'!$C$8*'R&amp;S - Packaging and hh goods'!$U10-O$30/'R&amp;S - Packaging and hh goods'!$C$9*'R&amp;S - Packaging and hh goods'!$U11-O$31/'R&amp;S - Packaging and hh goods'!$C$10*'R&amp;S - Packaging and hh goods'!$U12</f>
        <v>2.6693516746358101</v>
      </c>
      <c r="P38" s="60">
        <f>P26*'Demand Breakdown - Ethylene'!$E$73-P$27/'R&amp;S - Packaging and hh goods'!$C$7*'R&amp;S - Packaging and hh goods'!$U9-P$28/'R&amp;S - Packaging and hh goods'!$C$8*'R&amp;S - Packaging and hh goods'!$U10-P$30/'R&amp;S - Packaging and hh goods'!$C$9*'R&amp;S - Packaging and hh goods'!$U11-P$31/'R&amp;S - Packaging and hh goods'!$C$10*'R&amp;S - Packaging and hh goods'!$U12</f>
        <v>2.6771933408905499</v>
      </c>
      <c r="Q38" s="60">
        <f>Q26*'Demand Breakdown - Ethylene'!$E$73-Q$27/'R&amp;S - Packaging and hh goods'!$C$7*'R&amp;S - Packaging and hh goods'!$U9-Q$28/'R&amp;S - Packaging and hh goods'!$C$8*'R&amp;S - Packaging and hh goods'!$U10-Q$30/'R&amp;S - Packaging and hh goods'!$C$9*'R&amp;S - Packaging and hh goods'!$U11-Q$31/'R&amp;S - Packaging and hh goods'!$C$10*'R&amp;S - Packaging and hh goods'!$U12</f>
        <v>2.684731380872194</v>
      </c>
      <c r="R38" s="60">
        <f>R26*'Demand Breakdown - Ethylene'!$E$73-R$27/'R&amp;S - Packaging and hh goods'!$C$7*'R&amp;S - Packaging and hh goods'!$U9-R$28/'R&amp;S - Packaging and hh goods'!$C$8*'R&amp;S - Packaging and hh goods'!$U10-R$30/'R&amp;S - Packaging and hh goods'!$C$9*'R&amp;S - Packaging and hh goods'!$U11-R$31/'R&amp;S - Packaging and hh goods'!$C$10*'R&amp;S - Packaging and hh goods'!$U12</f>
        <v>2.6919557560785092</v>
      </c>
      <c r="S38" s="60">
        <f>S26*'Demand Breakdown - Ethylene'!$E$73-S$27/'R&amp;S - Packaging and hh goods'!$C$7*'R&amp;S - Packaging and hh goods'!$U9-S$28/'R&amp;S - Packaging and hh goods'!$C$8*'R&amp;S - Packaging and hh goods'!$U10-S$30/'R&amp;S - Packaging and hh goods'!$C$9*'R&amp;S - Packaging and hh goods'!$U11-S$31/'R&amp;S - Packaging and hh goods'!$C$10*'R&amp;S - Packaging and hh goods'!$U12</f>
        <v>2.6988562064399511</v>
      </c>
      <c r="T38" s="60">
        <f>T26*'Demand Breakdown - Ethylene'!$E$73-T$27/'R&amp;S - Packaging and hh goods'!$C$7*'R&amp;S - Packaging and hh goods'!$U9-T$28/'R&amp;S - Packaging and hh goods'!$C$8*'R&amp;S - Packaging and hh goods'!$U10-T$30/'R&amp;S - Packaging and hh goods'!$C$9*'R&amp;S - Packaging and hh goods'!$U11-T$31/'R&amp;S - Packaging and hh goods'!$C$10*'R&amp;S - Packaging and hh goods'!$U12</f>
        <v>2.7054222460833208</v>
      </c>
      <c r="U38" s="60">
        <f>U26*'Demand Breakdown - Ethylene'!$E$73-U$27/'R&amp;S - Packaging and hh goods'!$C$7*'R&amp;S - Packaging and hh goods'!$U9-U$28/'R&amp;S - Packaging and hh goods'!$C$8*'R&amp;S - Packaging and hh goods'!$U10-U$30/'R&amp;S - Packaging and hh goods'!$C$9*'R&amp;S - Packaging and hh goods'!$U11-U$31/'R&amp;S - Packaging and hh goods'!$C$10*'R&amp;S - Packaging and hh goods'!$U12</f>
        <v>2.7116431590202437</v>
      </c>
      <c r="V38" s="60">
        <f>V26*'Demand Breakdown - Ethylene'!$E$73-V$27/'R&amp;S - Packaging and hh goods'!$C$7*'R&amp;S - Packaging and hh goods'!$U9-V$28/'R&amp;S - Packaging and hh goods'!$C$8*'R&amp;S - Packaging and hh goods'!$U10-V$30/'R&amp;S - Packaging and hh goods'!$C$9*'R&amp;S - Packaging and hh goods'!$U11-V$31/'R&amp;S - Packaging and hh goods'!$C$10*'R&amp;S - Packaging and hh goods'!$U12</f>
        <v>2.7175079947591678</v>
      </c>
      <c r="W38" s="60">
        <f>W26*'Demand Breakdown - Ethylene'!$E$73-W$27/'R&amp;S - Packaging and hh goods'!$C$7*'R&amp;S - Packaging and hh goods'!$U9-W$28/'R&amp;S - Packaging and hh goods'!$C$8*'R&amp;S - Packaging and hh goods'!$U10-W$30/'R&amp;S - Packaging and hh goods'!$C$9*'R&amp;S - Packaging and hh goods'!$U11-W$31/'R&amp;S - Packaging and hh goods'!$C$10*'R&amp;S - Packaging and hh goods'!$U12</f>
        <v>2.7230055638396138</v>
      </c>
      <c r="X38" s="60">
        <f>X26*'Demand Breakdown - Ethylene'!$E$73-X$27/'R&amp;S - Packaging and hh goods'!$C$7*'R&amp;S - Packaging and hh goods'!$U9-X$28/'R&amp;S - Packaging and hh goods'!$C$8*'R&amp;S - Packaging and hh goods'!$U10-X$30/'R&amp;S - Packaging and hh goods'!$C$9*'R&amp;S - Packaging and hh goods'!$U11-X$31/'R&amp;S - Packaging and hh goods'!$C$10*'R&amp;S - Packaging and hh goods'!$U12</f>
        <v>2.7281244332873391</v>
      </c>
      <c r="Y38" s="60">
        <f>Y26*'Demand Breakdown - Ethylene'!$E$73-Y$27/'R&amp;S - Packaging and hh goods'!$C$7*'R&amp;S - Packaging and hh goods'!$U9-Y$28/'R&amp;S - Packaging and hh goods'!$C$8*'R&amp;S - Packaging and hh goods'!$U10-Y$30/'R&amp;S - Packaging and hh goods'!$C$9*'R&amp;S - Packaging and hh goods'!$U11-Y$31/'R&amp;S - Packaging and hh goods'!$C$10*'R&amp;S - Packaging and hh goods'!$U12</f>
        <v>2.7319699337736725</v>
      </c>
      <c r="Z38" s="60">
        <f>Z26*'Demand Breakdown - Ethylene'!$E$73-Z$27/'R&amp;S - Packaging and hh goods'!$C$7*'R&amp;S - Packaging and hh goods'!$U9-Z$28/'R&amp;S - Packaging and hh goods'!$C$8*'R&amp;S - Packaging and hh goods'!$U10-Z$30/'R&amp;S - Packaging and hh goods'!$C$9*'R&amp;S - Packaging and hh goods'!$U11-Z$31/'R&amp;S - Packaging and hh goods'!$C$10*'R&amp;S - Packaging and hh goods'!$U12</f>
        <v>2.7353883958846987</v>
      </c>
      <c r="AA38" s="60">
        <f>AA26*'Demand Breakdown - Ethylene'!$E$73-AA$27/'R&amp;S - Packaging and hh goods'!$C$7*'R&amp;S - Packaging and hh goods'!$U9-AA$28/'R&amp;S - Packaging and hh goods'!$C$8*'R&amp;S - Packaging and hh goods'!$U10-AA$30/'R&amp;S - Packaging and hh goods'!$C$9*'R&amp;S - Packaging and hh goods'!$U11-AA$31/'R&amp;S - Packaging and hh goods'!$C$10*'R&amp;S - Packaging and hh goods'!$U12</f>
        <v>2.7383671088278141</v>
      </c>
      <c r="AB38" s="60">
        <f>AB26*'Demand Breakdown - Ethylene'!$E$73-AB$27/'R&amp;S - Packaging and hh goods'!$C$7*'R&amp;S - Packaging and hh goods'!$U9-AB$28/'R&amp;S - Packaging and hh goods'!$C$8*'R&amp;S - Packaging and hh goods'!$U10-AB$30/'R&amp;S - Packaging and hh goods'!$C$9*'R&amp;S - Packaging and hh goods'!$U11-AB$31/'R&amp;S - Packaging and hh goods'!$C$10*'R&amp;S - Packaging and hh goods'!$U12</f>
        <v>2.7408930896077432</v>
      </c>
      <c r="AC38" s="60">
        <f>AC26*'Demand Breakdown - Ethylene'!$E$73-AC$27/'R&amp;S - Packaging and hh goods'!$C$7*'R&amp;S - Packaging and hh goods'!$U9-AC$28/'R&amp;S - Packaging and hh goods'!$C$8*'R&amp;S - Packaging and hh goods'!$U10-AC$30/'R&amp;S - Packaging and hh goods'!$C$9*'R&amp;S - Packaging and hh goods'!$U11-AC$31/'R&amp;S - Packaging and hh goods'!$C$10*'R&amp;S - Packaging and hh goods'!$U12</f>
        <v>2.7429530778961797</v>
      </c>
      <c r="AD38" s="60">
        <f>AD26*'Demand Breakdown - Ethylene'!$E$73-AD$27/'R&amp;S - Packaging and hh goods'!$C$7*'R&amp;S - Packaging and hh goods'!$U9-AD$28/'R&amp;S - Packaging and hh goods'!$C$8*'R&amp;S - Packaging and hh goods'!$U10-AD$30/'R&amp;S - Packaging and hh goods'!$C$9*'R&amp;S - Packaging and hh goods'!$U11-AD$31/'R&amp;S - Packaging and hh goods'!$C$10*'R&amp;S - Packaging and hh goods'!$U12</f>
        <v>2.7445335308111294</v>
      </c>
      <c r="AE38" s="60">
        <f>AE26*'Demand Breakdown - Ethylene'!$E$73-AE$27/'R&amp;S - Packaging and hh goods'!$C$7*'R&amp;S - Packaging and hh goods'!$U9-AE$28/'R&amp;S - Packaging and hh goods'!$C$8*'R&amp;S - Packaging and hh goods'!$U10-AE$30/'R&amp;S - Packaging and hh goods'!$C$9*'R&amp;S - Packaging and hh goods'!$U11-AE$31/'R&amp;S - Packaging and hh goods'!$C$10*'R&amp;S - Packaging and hh goods'!$U12</f>
        <v>2.7456206176044309</v>
      </c>
      <c r="AF38" s="60">
        <f>AF26*'Demand Breakdown - Ethylene'!$E$73-AF$27/'R&amp;S - Packaging and hh goods'!$C$7*'R&amp;S - Packaging and hh goods'!$U9-AF$28/'R&amp;S - Packaging and hh goods'!$C$8*'R&amp;S - Packaging and hh goods'!$U10-AF$30/'R&amp;S - Packaging and hh goods'!$C$9*'R&amp;S - Packaging and hh goods'!$U11-AF$31/'R&amp;S - Packaging and hh goods'!$C$10*'R&amp;S - Packaging and hh goods'!$U12</f>
        <v>2.7462002142559054</v>
      </c>
      <c r="AG38" s="60">
        <f>AG26*'Demand Breakdown - Ethylene'!$E$73-AG$27/'R&amp;S - Packaging and hh goods'!$C$7*'R&amp;S - Packaging and hh goods'!$U9-AG$28/'R&amp;S - Packaging and hh goods'!$C$8*'R&amp;S - Packaging and hh goods'!$U10-AG$30/'R&amp;S - Packaging and hh goods'!$C$9*'R&amp;S - Packaging and hh goods'!$U11-AG$31/'R&amp;S - Packaging and hh goods'!$C$10*'R&amp;S - Packaging and hh goods'!$U12</f>
        <v>2.74625789797257</v>
      </c>
      <c r="AH38" s="60">
        <f>AH26*'Demand Breakdown - Ethylene'!$E$73-AH$27/'R&amp;S - Packaging and hh goods'!$C$7*'R&amp;S - Packaging and hh goods'!$U9-AH$28/'R&amp;S - Packaging and hh goods'!$C$8*'R&amp;S - Packaging and hh goods'!$U10-AH$30/'R&amp;S - Packaging and hh goods'!$C$9*'R&amp;S - Packaging and hh goods'!$U11-AH$31/'R&amp;S - Packaging and hh goods'!$C$10*'R&amp;S - Packaging and hh goods'!$U12</f>
        <v>2.7457789415913081</v>
      </c>
      <c r="AI38" s="60"/>
    </row>
    <row r="39" spans="1:35" s="68" customFormat="1" x14ac:dyDescent="0.2">
      <c r="A39" s="689"/>
      <c r="B39" s="62" t="s">
        <v>266</v>
      </c>
      <c r="C39" s="283" t="s">
        <v>153</v>
      </c>
      <c r="D39" s="284">
        <f>D33*'Demand Breakdown - Ethylene'!$D$73/'Demand Breakdown - Ethylene'!$L$24</f>
        <v>6.2246933198380567</v>
      </c>
      <c r="E39" s="284">
        <f>E33*'Demand Breakdown - Ethylene'!$D$73/'Demand Breakdown - Ethylene'!$L$24</f>
        <v>6.2444237885170768</v>
      </c>
      <c r="F39" s="284">
        <f>F33*'Demand Breakdown - Ethylene'!$D$73/'Demand Breakdown - Ethylene'!$L$24</f>
        <v>6.2634866704284224</v>
      </c>
      <c r="G39" s="284">
        <f>G33*'Demand Breakdown - Ethylene'!$D$73/'Demand Breakdown - Ethylene'!$L$24</f>
        <v>6.2818594059707351</v>
      </c>
      <c r="H39" s="284">
        <f>H33*'Demand Breakdown - Ethylene'!$D$73/'Demand Breakdown - Ethylene'!$L$24</f>
        <v>6.2995189347208278</v>
      </c>
      <c r="I39" s="284">
        <f>I33*'Demand Breakdown - Ethylene'!$D$73/'Demand Breakdown - Ethylene'!$L$24</f>
        <v>6.3164416858323555</v>
      </c>
      <c r="J39" s="284">
        <f>J33*'Demand Breakdown - Ethylene'!$D$73/'Demand Breakdown - Ethylene'!$L$24</f>
        <v>6.3326035682637984</v>
      </c>
      <c r="K39" s="284">
        <f>K33*'Demand Breakdown - Ethylene'!$D$73/'Demand Breakdown - Ethylene'!$L$24</f>
        <v>6.3479799608328991</v>
      </c>
      <c r="L39" s="284">
        <f>L33*'Demand Breakdown - Ethylene'!$D$73/'Demand Breakdown - Ethylene'!$L$24</f>
        <v>6.3625457020945539</v>
      </c>
      <c r="M39" s="284">
        <f>M33*'Demand Breakdown - Ethylene'!$D$73/'Demand Breakdown - Ethylene'!$L$24</f>
        <v>6.3762750800392132</v>
      </c>
      <c r="N39" s="284">
        <f>N33*'Demand Breakdown - Ethylene'!$D$73/'Demand Breakdown - Ethylene'!$L$24</f>
        <v>6.389141821608713</v>
      </c>
      <c r="O39" s="284">
        <f>O33*'Demand Breakdown - Ethylene'!$D$73/'Demand Breakdown - Ethylene'!$L$24</f>
        <v>6.3456412240170827</v>
      </c>
      <c r="P39" s="284">
        <f>P33*'Demand Breakdown - Ethylene'!$D$73/'Demand Breakdown - Ethylene'!$L$24</f>
        <v>6.3221234239133057</v>
      </c>
      <c r="Q39" s="284">
        <f>Q33*'Demand Breakdown - Ethylene'!$D$73/'Demand Breakdown - Ethylene'!$L$24</f>
        <v>6.2715806992062211</v>
      </c>
      <c r="R39" s="284">
        <f>R33*'Demand Breakdown - Ethylene'!$D$73/'Demand Breakdown - Ethylene'!$L$24</f>
        <v>6.218383642016251</v>
      </c>
      <c r="S39" s="284">
        <f>S33*'Demand Breakdown - Ethylene'!$D$73/'Demand Breakdown - Ethylene'!$L$24</f>
        <v>6.1624678374079185</v>
      </c>
      <c r="T39" s="284">
        <f>T33*'Demand Breakdown - Ethylene'!$D$73/'Demand Breakdown - Ethylene'!$L$24</f>
        <v>6.1037675870767165</v>
      </c>
      <c r="U39" s="284">
        <f>U33*'Demand Breakdown - Ethylene'!$D$73/'Demand Breakdown - Ethylene'!$L$24</f>
        <v>6.0422158860401094</v>
      </c>
      <c r="V39" s="284">
        <f>V33*'Demand Breakdown - Ethylene'!$D$73/'Demand Breakdown - Ethylene'!$L$24</f>
        <v>5.9777443989274106</v>
      </c>
      <c r="W39" s="284">
        <f>W33*'Demand Breakdown - Ethylene'!$D$73/'Demand Breakdown - Ethylene'!$L$24</f>
        <v>5.9102834358618921</v>
      </c>
      <c r="X39" s="284">
        <f>X33*'Demand Breakdown - Ethylene'!$D$73/'Demand Breakdown - Ethylene'!$L$24</f>
        <v>5.8397619279283495</v>
      </c>
      <c r="Y39" s="284">
        <f>Y33*'Demand Breakdown - Ethylene'!$D$73/'Demand Breakdown - Ethylene'!$L$24</f>
        <v>5.6824112698950895</v>
      </c>
      <c r="Z39" s="284">
        <f>Z33*'Demand Breakdown - Ethylene'!$D$73/'Demand Breakdown - Ethylene'!$L$24</f>
        <v>5.6012402358575537</v>
      </c>
      <c r="AA39" s="284">
        <f>AA33*'Demand Breakdown - Ethylene'!$D$73/'Demand Breakdown - Ethylene'!$L$24</f>
        <v>5.5166826602580654</v>
      </c>
      <c r="AB39" s="284">
        <f>AB33*'Demand Breakdown - Ethylene'!$D$73/'Demand Breakdown - Ethylene'!$L$24</f>
        <v>5.4286596294555665</v>
      </c>
      <c r="AC39" s="284">
        <f>AC33*'Demand Breakdown - Ethylene'!$D$73/'Demand Breakdown - Ethylene'!$L$24</f>
        <v>5.3370906839891834</v>
      </c>
      <c r="AD39" s="284">
        <f>AD33*'Demand Breakdown - Ethylene'!$D$73/'Demand Breakdown - Ethylene'!$L$24</f>
        <v>5.2418937907623722</v>
      </c>
      <c r="AE39" s="284">
        <f>AE33*'Demand Breakdown - Ethylene'!$D$73/'Demand Breakdown - Ethylene'!$L$24</f>
        <v>5.1429853147511455</v>
      </c>
      <c r="AF39" s="284">
        <f>AF33*'Demand Breakdown - Ethylene'!$D$73/'Demand Breakdown - Ethylene'!$L$24</f>
        <v>5.0402799902286173</v>
      </c>
      <c r="AG39" s="284">
        <f>AG33*'Demand Breakdown - Ethylene'!$D$73/'Demand Breakdown - Ethylene'!$L$24</f>
        <v>4.933690891497764</v>
      </c>
      <c r="AH39" s="284">
        <f>AH33*'Demand Breakdown - Ethylene'!$D$73/'Demand Breakdown - Ethylene'!$L$24</f>
        <v>4.823129403124363</v>
      </c>
      <c r="AI39" s="284"/>
    </row>
    <row r="40" spans="1:35" s="67" customFormat="1" x14ac:dyDescent="0.2">
      <c r="A40" s="58" t="s">
        <v>204</v>
      </c>
      <c r="B40" s="58" t="s">
        <v>199</v>
      </c>
      <c r="C40" s="59" t="s">
        <v>153</v>
      </c>
      <c r="D40" s="60">
        <f>'R&amp;S - Buildings'!J4</f>
        <v>34.871127768537121</v>
      </c>
      <c r="E40" s="60">
        <f>D40*(1+'R&amp;S - Buildings'!$C$5)</f>
        <v>35.463936940602252</v>
      </c>
      <c r="F40" s="60">
        <f>E40*(1+'R&amp;S - Buildings'!$C$5)</f>
        <v>36.066823868592486</v>
      </c>
      <c r="G40" s="60">
        <f>F40*(1+'R&amp;S - Buildings'!$C$5)</f>
        <v>36.679959874358552</v>
      </c>
      <c r="H40" s="60">
        <f>G40*(1+'R&amp;S - Buildings'!$C$5)</f>
        <v>37.303519192222645</v>
      </c>
      <c r="I40" s="60">
        <f>H40*(1+'R&amp;S - Buildings'!$C$5)</f>
        <v>37.937679018490428</v>
      </c>
      <c r="J40" s="60">
        <f>I40*(1+'R&amp;S - Buildings'!$C$5)</f>
        <v>38.582619561804762</v>
      </c>
      <c r="K40" s="60">
        <f>J40*(1+'R&amp;S - Buildings'!$C$5)</f>
        <v>39.238524094355441</v>
      </c>
      <c r="L40" s="60">
        <f>K40*(1+'R&amp;S - Buildings'!$C$5)</f>
        <v>39.905579003959481</v>
      </c>
      <c r="M40" s="60">
        <f>L40*(1+'R&amp;S - Buildings'!$C$5)</f>
        <v>40.58397384702679</v>
      </c>
      <c r="N40" s="60">
        <f>M40*(1+'R&amp;S - Buildings'!$C$5)</f>
        <v>41.27390140242624</v>
      </c>
      <c r="O40" s="60">
        <f>N40*(1+'R&amp;S - Buildings'!$C$5)</f>
        <v>41.975557726267482</v>
      </c>
      <c r="P40" s="60">
        <f>O40*(1+'R&amp;S - Buildings'!$C$5)</f>
        <v>42.689142207614026</v>
      </c>
      <c r="Q40" s="60">
        <f>P40*(1+'R&amp;S - Buildings'!$C$5)</f>
        <v>43.414857625143462</v>
      </c>
      <c r="R40" s="60">
        <f>Q40*(1+'R&amp;S - Buildings'!$C$5)</f>
        <v>44.152910204770897</v>
      </c>
      <c r="S40" s="60">
        <f>R40*(1+'R&amp;S - Buildings'!$C$5)</f>
        <v>44.903509678252</v>
      </c>
      <c r="T40" s="60">
        <f>S40*(1+'R&amp;S - Buildings'!$C$5)</f>
        <v>45.666869342782277</v>
      </c>
      <c r="U40" s="60">
        <f>T40*(1+'R&amp;S - Buildings'!$C$5)</f>
        <v>46.44320612160957</v>
      </c>
      <c r="V40" s="60">
        <f>U40*(1+'R&amp;S - Buildings'!$C$5)</f>
        <v>47.232740625676925</v>
      </c>
      <c r="W40" s="60">
        <f>V40*(1+'R&amp;S - Buildings'!$C$5)</f>
        <v>48.03569721631343</v>
      </c>
      <c r="X40" s="60">
        <f>W40*(1+'R&amp;S - Buildings'!$C$5)</f>
        <v>48.852304068990755</v>
      </c>
      <c r="Y40" s="60">
        <f>X40*(1+'R&amp;S - Buildings'!$C$5)</f>
        <v>49.68279323816359</v>
      </c>
      <c r="Z40" s="60">
        <f>Y40*(1+'R&amp;S - Buildings'!$C$5)</f>
        <v>50.527400723212367</v>
      </c>
      <c r="AA40" s="60">
        <f>Z40*(1+'R&amp;S - Buildings'!$C$5)</f>
        <v>51.386366535506973</v>
      </c>
      <c r="AB40" s="60">
        <f>AA40*(1+'R&amp;S - Buildings'!$C$5)</f>
        <v>52.259934766610584</v>
      </c>
      <c r="AC40" s="60">
        <f>AB40*(1+'R&amp;S - Buildings'!$C$5)</f>
        <v>53.148353657642957</v>
      </c>
      <c r="AD40" s="60">
        <f>AC40*(1+'R&amp;S - Buildings'!$C$5)</f>
        <v>54.051875669822884</v>
      </c>
      <c r="AE40" s="60">
        <f>AD40*(1+'R&amp;S - Buildings'!$C$5)</f>
        <v>54.970757556209868</v>
      </c>
      <c r="AF40" s="60">
        <f>AE40*(1+'R&amp;S - Buildings'!$C$5)</f>
        <v>55.905260434665429</v>
      </c>
      <c r="AG40" s="60">
        <f>AF40*(1+'R&amp;S - Buildings'!$C$5)</f>
        <v>56.855649862054733</v>
      </c>
      <c r="AH40" s="60">
        <f>AG40*(1+'R&amp;S - Buildings'!$C$5)</f>
        <v>57.822195909709656</v>
      </c>
    </row>
    <row r="41" spans="1:35" outlineLevel="1" x14ac:dyDescent="0.2">
      <c r="B41" s="1" t="s">
        <v>168</v>
      </c>
      <c r="C41" s="54" t="s">
        <v>153</v>
      </c>
      <c r="D41">
        <v>0</v>
      </c>
      <c r="E41" s="43">
        <f>E40*'R&amp;S - Buildings'!$C$7*'R&amp;S - Buildings'!$B$12*'R&amp;S - Buildings'!$B$15*('Yearly LC Ethylene'!E$3-'Yearly LC Ethylene'!$D$3)/10</f>
        <v>0.25746818218877238</v>
      </c>
      <c r="F41" s="43">
        <f>F40*'R&amp;S - Buildings'!$C$7*'R&amp;S - Buildings'!$B$12*'R&amp;S - Buildings'!$B$15*('Yearly LC Ethylene'!F$3-'Yearly LC Ethylene'!$D$3)/10</f>
        <v>0.52369028257196293</v>
      </c>
      <c r="G41" s="43">
        <f>G40*'R&amp;S - Buildings'!$C$7*'R&amp;S - Buildings'!$B$12*'R&amp;S - Buildings'!$B$15*('Yearly LC Ethylene'!G$3-'Yearly LC Ethylene'!$D$3)/10</f>
        <v>0.79888952606352925</v>
      </c>
      <c r="H41" s="43">
        <f>H40*'R&amp;S - Buildings'!$C$7*'R&amp;S - Buildings'!$B$12*'R&amp;S - Buildings'!$B$15*('Yearly LC Ethylene'!H$3-'Yearly LC Ethylene'!$D$3)/10</f>
        <v>1.0832941973421455</v>
      </c>
      <c r="I41" s="43">
        <f>I40*'R&amp;S - Buildings'!$C$7*'R&amp;S - Buildings'!$B$12*'R&amp;S - Buildings'!$B$15*('Yearly LC Ethylene'!I$3-'Yearly LC Ethylene'!$D$3)/10</f>
        <v>1.3771377483712026</v>
      </c>
      <c r="J41" s="43">
        <f>J40*'R&amp;S - Buildings'!$C$7*'R&amp;S - Buildings'!$B$12*'R&amp;S - Buildings'!$B$15*('Yearly LC Ethylene'!J$3-'Yearly LC Ethylene'!$D$3)/10</f>
        <v>1.6806589081122154</v>
      </c>
      <c r="K41" s="43">
        <f>K40*'R&amp;S - Buildings'!$C$7*'R&amp;S - Buildings'!$B$12*'R&amp;S - Buildings'!$B$15*('Yearly LC Ethylene'!K$3-'Yearly LC Ethylene'!$D$3)/10</f>
        <v>1.9941017944751434</v>
      </c>
      <c r="L41" s="43">
        <f>L40*'R&amp;S - Buildings'!$C$7*'R&amp;S - Buildings'!$B$12*'R&amp;S - Buildings'!$B$15*('Yearly LC Ethylene'!L$3-'Yearly LC Ethylene'!$D$3)/10</f>
        <v>2.3177160285499663</v>
      </c>
      <c r="M41" s="43">
        <f>M40*'R&amp;S - Buildings'!$C$7*'R&amp;S - Buildings'!$B$12*'R&amp;S - Buildings'!$B$15*('Yearly LC Ethylene'!M$3-'Yearly LC Ethylene'!$D$3)/10</f>
        <v>2.6517568511647305</v>
      </c>
      <c r="N41" s="43">
        <f>N40*'R&amp;S - Buildings'!$C$7*'R&amp;S - Buildings'!$B$12*'R&amp;S - Buildings'!$B$15*('Yearly LC Ethylene'!N$3-'Yearly LC Ethylene'!$D$3)/10</f>
        <v>2.9964852418161447</v>
      </c>
      <c r="O41" s="43">
        <f>O40*'R&amp;S - Buildings'!$C$7*'R&amp;S - Buildings'!$B$12*('R&amp;S - Buildings'!$B$15+('R&amp;S - Buildings'!$B$16-'R&amp;S - Buildings'!$B$15)*('Yearly LC Ethylene'!O$3-'Yearly LC Ethylene'!$N$3)/10)</f>
        <v>3.3521680400197211</v>
      </c>
      <c r="P41" s="43">
        <f>P40*'R&amp;S - Buildings'!$C$7*'R&amp;S - Buildings'!$B$12*('R&amp;S - Buildings'!$B$15+('R&amp;S - Buildings'!$B$16-'R&amp;S - Buildings'!$B$15)*('Yearly LC Ethylene'!P$3-'Yearly LC Ethylene'!$N$3)/10)</f>
        <v>3.7190780691273342</v>
      </c>
      <c r="Q41" s="43">
        <f>Q40*'R&amp;S - Buildings'!$C$7*'R&amp;S - Buildings'!$B$12*('R&amp;S - Buildings'!$B$15+('R&amp;S - Buildings'!$B$16-'R&amp;S - Buildings'!$B$15)*('Yearly LC Ethylene'!Q$3-'Yearly LC Ethylene'!$N$3)/10)</f>
        <v>4.0974942626610407</v>
      </c>
      <c r="R41" s="43">
        <f>R40*'R&amp;S - Buildings'!$C$7*'R&amp;S - Buildings'!$B$12*('R&amp;S - Buildings'!$B$15+('R&amp;S - Buildings'!$B$16-'R&amp;S - Buildings'!$B$15)*('Yearly LC Ethylene'!R$3-'Yearly LC Ethylene'!$N$3)/10)</f>
        <v>4.4877017932129135</v>
      </c>
      <c r="S41" s="43">
        <f>S40*'R&amp;S - Buildings'!$C$7*'R&amp;S - Buildings'!$B$12*('R&amp;S - Buildings'!$B$15+('R&amp;S - Buildings'!$B$16-'R&amp;S - Buildings'!$B$15)*('Yearly LC Ethylene'!S$3-'Yearly LC Ethylene'!$N$3)/10)</f>
        <v>4.8899922039616426</v>
      </c>
      <c r="T41" s="43">
        <f>T40*'R&amp;S - Buildings'!$C$7*'R&amp;S - Buildings'!$B$12*('R&amp;S - Buildings'!$B$15+('R&amp;S - Buildings'!$B$16-'R&amp;S - Buildings'!$B$15)*('Yearly LC Ethylene'!T$3-'Yearly LC Ethylene'!$N$3)/10)</f>
        <v>5.3046635428575897</v>
      </c>
      <c r="U41" s="43">
        <f>U40*'R&amp;S - Buildings'!$C$7*'R&amp;S - Buildings'!$B$12*('R&amp;S - Buildings'!$B$15+('R&amp;S - Buildings'!$B$16-'R&amp;S - Buildings'!$B$15)*('Yearly LC Ethylene'!U$3-'Yearly LC Ethylene'!$N$3)/10)</f>
        <v>5.732020499529054</v>
      </c>
      <c r="V41" s="43">
        <f>V40*'R&amp;S - Buildings'!$C$7*'R&amp;S - Buildings'!$B$12*('R&amp;S - Buildings'!$B$15+('R&amp;S - Buildings'!$B$16-'R&amp;S - Buildings'!$B$15)*('Yearly LC Ethylene'!V$3-'Yearly LC Ethylene'!$N$3)/10)</f>
        <v>6.1723745449634615</v>
      </c>
      <c r="W41" s="43">
        <f>W40*'R&amp;S - Buildings'!$C$7*'R&amp;S - Buildings'!$B$12*('R&amp;S - Buildings'!$B$15+('R&amp;S - Buildings'!$B$16-'R&amp;S - Buildings'!$B$15)*('Yearly LC Ethylene'!W$3-'Yearly LC Ethylene'!$N$3)/10)</f>
        <v>6.6260440740182744</v>
      </c>
      <c r="X41" s="43">
        <f>X40*'R&amp;S - Buildings'!$C$7*'R&amp;S - Buildings'!$B$12*('R&amp;S - Buildings'!$B$15+('R&amp;S - Buildings'!$B$16-'R&amp;S - Buildings'!$B$15)*('Yearly LC Ethylene'!X$3-'Yearly LC Ethylene'!$N$3)/10)</f>
        <v>7.093354550817458</v>
      </c>
      <c r="Y41" s="43">
        <f>Y40*'R&amp;S - Buildings'!$C$7*'R&amp;S - Buildings'!$B$12*('R&amp;S - Buildings'!$B$16+('R&amp;S - Buildings'!$B$17-'R&amp;S - Buildings'!$B$16)*('Yearly LC Ethylene'!Y$3-'Yearly LC Ethylene'!$X$3)/10)</f>
        <v>7.5855688716028178</v>
      </c>
      <c r="Z41" s="43">
        <f>Z40*'R&amp;S - Buildings'!$C$7*'R&amp;S - Buildings'!$B$12*('R&amp;S - Buildings'!$B$16+('R&amp;S - Buildings'!$B$17-'R&amp;S - Buildings'!$B$16)*('Yearly LC Ethylene'!Z$3-'Yearly LC Ethylene'!$X$3)/10)</f>
        <v>8.0924684998296925</v>
      </c>
      <c r="AA41" s="43">
        <f>AA40*'R&amp;S - Buildings'!$C$7*'R&amp;S - Buildings'!$B$12*('R&amp;S - Buildings'!$B$16+('R&amp;S - Buildings'!$B$17-'R&amp;S - Buildings'!$B$16)*('Yearly LC Ethylene'!AA$3-'Yearly LC Ethylene'!$X$3)/10)</f>
        <v>8.6144104860123889</v>
      </c>
      <c r="AB41" s="43">
        <f>AB40*'R&amp;S - Buildings'!$C$7*'R&amp;S - Buildings'!$B$12*('R&amp;S - Buildings'!$B$16+('R&amp;S - Buildings'!$B$17-'R&amp;S - Buildings'!$B$16)*('Yearly LC Ethylene'!AB$3-'Yearly LC Ethylene'!$X$3)/10)</f>
        <v>9.1517597763288467</v>
      </c>
      <c r="AC41" s="43">
        <f>AC40*'R&amp;S - Buildings'!$C$7*'R&amp;S - Buildings'!$B$12*('R&amp;S - Buildings'!$B$16+('R&amp;S - Buildings'!$B$17-'R&amp;S - Buildings'!$B$16)*('Yearly LC Ethylene'!AC$3-'Yearly LC Ethylene'!$X$3)/10)</f>
        <v>9.7048893778856051</v>
      </c>
      <c r="AD41" s="43">
        <f>AD40*'R&amp;S - Buildings'!$C$7*'R&amp;S - Buildings'!$B$12*('R&amp;S - Buildings'!$B$16+('R&amp;S - Buildings'!$B$17-'R&amp;S - Buildings'!$B$16)*('Yearly LC Ethylene'!AD$3-'Yearly LC Ethylene'!$X$3)/10)</f>
        <v>10.274180527319935</v>
      </c>
      <c r="AE41" s="43">
        <f>AE40*'R&amp;S - Buildings'!$C$7*'R&amp;S - Buildings'!$B$12*('R&amp;S - Buildings'!$B$16+('R&amp;S - Buildings'!$B$17-'R&amp;S - Buildings'!$B$16)*('Yearly LC Ethylene'!AE$3-'Yearly LC Ethylene'!$X$3)/10)</f>
        <v>10.86002286280482</v>
      </c>
      <c r="AF41" s="43">
        <f>AF40*'R&amp;S - Buildings'!$C$7*'R&amp;S - Buildings'!$B$12*('R&amp;S - Buildings'!$B$16+('R&amp;S - Buildings'!$B$17-'R&amp;S - Buildings'!$B$16)*('Yearly LC Ethylene'!AF$3-'Yearly LC Ethylene'!$X$3)/10)</f>
        <v>11.462814599523798</v>
      </c>
      <c r="AG41" s="43">
        <f>AG40*'R&amp;S - Buildings'!$C$7*'R&amp;S - Buildings'!$B$12*('R&amp;S - Buildings'!$B$16+('R&amp;S - Buildings'!$B$17-'R&amp;S - Buildings'!$B$16)*('Yearly LC Ethylene'!AG$3-'Yearly LC Ethylene'!$X$3)/10)</f>
        <v>12.082962708683871</v>
      </c>
      <c r="AH41" s="43">
        <f>AH40*'R&amp;S - Buildings'!$C$7*'R&amp;S - Buildings'!$B$12*('R&amp;S - Buildings'!$B$16+('R&amp;S - Buildings'!$B$17-'R&amp;S - Buildings'!$B$16)*('Yearly LC Ethylene'!AH$3-'Yearly LC Ethylene'!$X$3)/10)</f>
        <v>12.720883100136124</v>
      </c>
    </row>
    <row r="42" spans="1:35" outlineLevel="1" x14ac:dyDescent="0.2">
      <c r="B42" s="1" t="s">
        <v>172</v>
      </c>
      <c r="C42" s="54" t="s">
        <v>153</v>
      </c>
      <c r="D42">
        <v>0</v>
      </c>
      <c r="E42" s="43">
        <f>E40*'R&amp;S - Buildings'!$C$8*'R&amp;S - Buildings'!$C$12*'R&amp;S - Buildings'!$B$15*('Yearly LC Ethylene'!E$3-'Yearly LC Ethylene'!$D$3)/10</f>
        <v>0.11336337891911304</v>
      </c>
      <c r="F42" s="43">
        <f>F40*'R&amp;S - Buildings'!$C$8*'R&amp;S - Buildings'!$C$12*'R&amp;S - Buildings'!$B$15*('Yearly LC Ethylene'!F$3-'Yearly LC Ethylene'!$D$3)/10</f>
        <v>0.23058111272147586</v>
      </c>
      <c r="G42" s="43">
        <f>G40*'R&amp;S - Buildings'!$C$8*'R&amp;S - Buildings'!$C$12*'R&amp;S - Buildings'!$B$15*('Yearly LC Ethylene'!G$3-'Yearly LC Ethylene'!$D$3)/10</f>
        <v>0.35175148745661139</v>
      </c>
      <c r="H42" s="43">
        <f>H40*'R&amp;S - Buildings'!$C$8*'R&amp;S - Buildings'!$C$12*'R&amp;S - Buildings'!$B$15*('Yearly LC Ethylene'!H$3-'Yearly LC Ethylene'!$D$3)/10</f>
        <v>0.47697501699116496</v>
      </c>
      <c r="I42" s="43">
        <f>I40*'R&amp;S - Buildings'!$C$8*'R&amp;S - Buildings'!$C$12*'R&amp;S - Buildings'!$B$15*('Yearly LC Ethylene'!I$3-'Yearly LC Ethylene'!$D$3)/10</f>
        <v>0.60635449035001843</v>
      </c>
      <c r="J42" s="43">
        <f>J40*'R&amp;S - Buildings'!$C$8*'R&amp;S - Buildings'!$C$12*'R&amp;S - Buildings'!$B$15*('Yearly LC Ethylene'!J$3-'Yearly LC Ethylene'!$D$3)/10</f>
        <v>0.73999502002316242</v>
      </c>
      <c r="K42" s="43">
        <f>K40*'R&amp;S - Buildings'!$C$8*'R&amp;S - Buildings'!$C$12*'R&amp;S - Buildings'!$B$15*('Yearly LC Ethylene'!K$3-'Yearly LC Ethylene'!$D$3)/10</f>
        <v>0.87800409125748224</v>
      </c>
      <c r="L42" s="43">
        <f>L40*'R&amp;S - Buildings'!$C$8*'R&amp;S - Buildings'!$C$12*'R&amp;S - Buildings'!$B$15*('Yearly LC Ethylene'!L$3-'Yearly LC Ethylene'!$D$3)/10</f>
        <v>1.0204916123529819</v>
      </c>
      <c r="M42" s="43">
        <f>M40*'R&amp;S - Buildings'!$C$8*'R&amp;S - Buildings'!$C$12*'R&amp;S - Buildings'!$B$15*('Yearly LC Ethylene'!M$3-'Yearly LC Ethylene'!$D$3)/10</f>
        <v>1.1675699659833556</v>
      </c>
      <c r="N42" s="43">
        <f>N40*'R&amp;S - Buildings'!$C$8*'R&amp;S - Buildings'!$C$12*'R&amp;S - Buildings'!$B$15*('Yearly LC Ethylene'!N$3-'Yearly LC Ethylene'!$D$3)/10</f>
        <v>1.3193540615611916</v>
      </c>
      <c r="O42" s="43">
        <f>O40*'R&amp;S - Buildings'!$C$8*'R&amp;S - Buildings'!$C$12*('R&amp;S - Buildings'!$B$15+('R&amp;S - Buildings'!$B$16-'R&amp;S - Buildings'!$B$15)*('Yearly LC Ethylene'!O$3-'Yearly LC Ethylene'!$N$3)/10)</f>
        <v>1.4759613886685046</v>
      </c>
      <c r="P42" s="43">
        <f>P40*'R&amp;S - Buildings'!$C$8*'R&amp;S - Buildings'!$C$12*('R&amp;S - Buildings'!$B$15+('R&amp;S - Buildings'!$B$16-'R&amp;S - Buildings'!$B$15)*('Yearly LC Ethylene'!P$3-'Yearly LC Ethylene'!$N$3)/10)</f>
        <v>1.6375120715736755</v>
      </c>
      <c r="Q42" s="43">
        <f>Q40*'R&amp;S - Buildings'!$C$8*'R&amp;S - Buildings'!$C$12*('R&amp;S - Buildings'!$B$15+('R&amp;S - Buildings'!$B$16-'R&amp;S - Buildings'!$B$15)*('Yearly LC Ethylene'!Q$3-'Yearly LC Ethylene'!$N$3)/10)</f>
        <v>1.8041289248562973</v>
      </c>
      <c r="R42" s="43">
        <f>R40*'R&amp;S - Buildings'!$C$8*'R&amp;S - Buildings'!$C$12*('R&amp;S - Buildings'!$B$15+('R&amp;S - Buildings'!$B$16-'R&amp;S - Buildings'!$B$15)*('Yearly LC Ethylene'!R$3-'Yearly LC Ethylene'!$N$3)/10)</f>
        <v>1.9759375101618426</v>
      </c>
      <c r="S42" s="43">
        <f>S40*'R&amp;S - Buildings'!$C$8*'R&amp;S - Buildings'!$C$12*('R&amp;S - Buildings'!$B$15+('R&amp;S - Buildings'!$B$16-'R&amp;S - Buildings'!$B$15)*('Yearly LC Ethylene'!S$3-'Yearly LC Ethylene'!$N$3)/10)</f>
        <v>2.1530661941084932</v>
      </c>
      <c r="T42" s="43">
        <f>T40*'R&amp;S - Buildings'!$C$8*'R&amp;S - Buildings'!$C$12*('R&amp;S - Buildings'!$B$15+('R&amp;S - Buildings'!$B$16-'R&amp;S - Buildings'!$B$15)*('Yearly LC Ethylene'!T$3-'Yearly LC Ethylene'!$N$3)/10)</f>
        <v>2.3356462073688937</v>
      </c>
      <c r="U42" s="43">
        <f>U40*'R&amp;S - Buildings'!$C$8*'R&amp;S - Buildings'!$C$12*('R&amp;S - Buildings'!$B$15+('R&amp;S - Buildings'!$B$16-'R&amp;S - Buildings'!$B$15)*('Yearly LC Ethylene'!U$3-'Yearly LC Ethylene'!$N$3)/10)</f>
        <v>2.5238117049500493</v>
      </c>
      <c r="V42" s="43">
        <f>V40*'R&amp;S - Buildings'!$C$8*'R&amp;S - Buildings'!$C$12*('R&amp;S - Buildings'!$B$15+('R&amp;S - Buildings'!$B$16-'R&amp;S - Buildings'!$B$15)*('Yearly LC Ethylene'!V$3-'Yearly LC Ethylene'!$N$3)/10)</f>
        <v>2.7176998276950357</v>
      </c>
      <c r="W42" s="43">
        <f>W40*'R&amp;S - Buildings'!$C$8*'R&amp;S - Buildings'!$C$12*('R&amp;S - Buildings'!$B$15+('R&amp;S - Buildings'!$B$16-'R&amp;S - Buildings'!$B$15)*('Yearly LC Ethylene'!W$3-'Yearly LC Ethylene'!$N$3)/10)</f>
        <v>2.9174507650306203</v>
      </c>
      <c r="X42" s="43">
        <f>X40*'R&amp;S - Buildings'!$C$8*'R&amp;S - Buildings'!$C$12*('R&amp;S - Buildings'!$B$15+('R&amp;S - Buildings'!$B$16-'R&amp;S - Buildings'!$B$15)*('Yearly LC Ethylene'!X$3-'Yearly LC Ethylene'!$N$3)/10)</f>
        <v>3.1232078189854109</v>
      </c>
      <c r="Y42" s="43">
        <f>Y40*'R&amp;S - Buildings'!$C$8*'R&amp;S - Buildings'!$C$12*('R&amp;S - Buildings'!$B$16+('R&amp;S - Buildings'!$B$17-'R&amp;S - Buildings'!$B$16)*('Yearly LC Ethylene'!Y$3-'Yearly LC Ethylene'!$X$3)/10)</f>
        <v>3.3399300488246437</v>
      </c>
      <c r="Z42" s="43">
        <f>Z40*'R&amp;S - Buildings'!$C$8*'R&amp;S - Buildings'!$C$12*('R&amp;S - Buildings'!$B$16+('R&amp;S - Buildings'!$B$17-'R&amp;S - Buildings'!$B$16)*('Yearly LC Ethylene'!Z$3-'Yearly LC Ethylene'!$X$3)/10)</f>
        <v>3.5631182274187232</v>
      </c>
      <c r="AA42" s="43">
        <f>AA40*'R&amp;S - Buildings'!$C$8*'R&amp;S - Buildings'!$C$12*('R&amp;S - Buildings'!$B$16+('R&amp;S - Buildings'!$B$17-'R&amp;S - Buildings'!$B$16)*('Yearly LC Ethylene'!AA$3-'Yearly LC Ethylene'!$X$3)/10)</f>
        <v>3.7929295643008918</v>
      </c>
      <c r="AB42" s="43">
        <f>AB40*'R&amp;S - Buildings'!$C$8*'R&amp;S - Buildings'!$C$12*('R&amp;S - Buildings'!$B$16+('R&amp;S - Buildings'!$B$17-'R&amp;S - Buildings'!$B$16)*('Yearly LC Ethylene'!AB$3-'Yearly LC Ethylene'!$X$3)/10)</f>
        <v>4.0295247454693301</v>
      </c>
      <c r="AC42" s="43">
        <f>AC40*'R&amp;S - Buildings'!$C$8*'R&amp;S - Buildings'!$C$12*('R&amp;S - Buildings'!$B$16+('R&amp;S - Buildings'!$B$17-'R&amp;S - Buildings'!$B$16)*('Yearly LC Ethylene'!AC$3-'Yearly LC Ethylene'!$X$3)/10)</f>
        <v>4.2730680061534114</v>
      </c>
      <c r="AD42" s="43">
        <f>AD40*'R&amp;S - Buildings'!$C$8*'R&amp;S - Buildings'!$C$12*('R&amp;S - Buildings'!$B$16+('R&amp;S - Buildings'!$B$17-'R&amp;S - Buildings'!$B$16)*('Yearly LC Ethylene'!AD$3-'Yearly LC Ethylene'!$X$3)/10)</f>
        <v>4.5237272050493118</v>
      </c>
      <c r="AE42" s="43">
        <f>AE40*'R&amp;S - Buildings'!$C$8*'R&amp;S - Buildings'!$C$12*('R&amp;S - Buildings'!$B$16+('R&amp;S - Buildings'!$B$17-'R&amp;S - Buildings'!$B$16)*('Yearly LC Ethylene'!AE$3-'Yearly LC Ethylene'!$X$3)/10)</f>
        <v>4.7816739000538933</v>
      </c>
      <c r="AF42" s="43">
        <f>AF40*'R&amp;S - Buildings'!$C$8*'R&amp;S - Buildings'!$C$12*('R&amp;S - Buildings'!$B$16+('R&amp;S - Buildings'!$B$17-'R&amp;S - Buildings'!$B$16)*('Yearly LC Ethylene'!AF$3-'Yearly LC Ethylene'!$X$3)/10)</f>
        <v>5.0470834255263721</v>
      </c>
      <c r="AG42" s="43">
        <f>AG40*'R&amp;S - Buildings'!$C$8*'R&amp;S - Buildings'!$C$12*('R&amp;S - Buildings'!$B$16+('R&amp;S - Buildings'!$B$17-'R&amp;S - Buildings'!$B$16)*('Yearly LC Ethylene'!AG$3-'Yearly LC Ethylene'!$X$3)/10)</f>
        <v>5.3201349711077981</v>
      </c>
      <c r="AH42" s="43">
        <f>AH40*'R&amp;S - Buildings'!$C$8*'R&amp;S - Buildings'!$C$12*('R&amp;S - Buildings'!$B$16+('R&amp;S - Buildings'!$B$17-'R&amp;S - Buildings'!$B$16)*('Yearly LC Ethylene'!AH$3-'Yearly LC Ethylene'!$X$3)/10)</f>
        <v>5.6010116621290171</v>
      </c>
    </row>
    <row r="43" spans="1:35" s="68" customFormat="1" x14ac:dyDescent="0.2">
      <c r="A43" s="62"/>
      <c r="B43" s="62" t="s">
        <v>197</v>
      </c>
      <c r="C43" s="63" t="s">
        <v>153</v>
      </c>
      <c r="D43" s="64">
        <f>D40-D41-D42</f>
        <v>34.871127768537121</v>
      </c>
      <c r="E43" s="64">
        <f t="shared" ref="E43:AG43" si="10">E40-E41-E42</f>
        <v>35.093105379494368</v>
      </c>
      <c r="F43" s="64">
        <f t="shared" si="10"/>
        <v>35.31255247329905</v>
      </c>
      <c r="G43" s="64">
        <f t="shared" si="10"/>
        <v>35.529318860838416</v>
      </c>
      <c r="H43" s="64">
        <f t="shared" si="10"/>
        <v>35.743249977889334</v>
      </c>
      <c r="I43" s="64">
        <f t="shared" si="10"/>
        <v>35.954186779769202</v>
      </c>
      <c r="J43" s="64">
        <f t="shared" si="10"/>
        <v>36.161965633669382</v>
      </c>
      <c r="K43" s="64">
        <f t="shared" si="10"/>
        <v>36.366418208622818</v>
      </c>
      <c r="L43" s="64">
        <f t="shared" si="10"/>
        <v>36.56737136305653</v>
      </c>
      <c r="M43" s="64">
        <f t="shared" si="10"/>
        <v>36.764647029878709</v>
      </c>
      <c r="N43" s="64">
        <f t="shared" si="10"/>
        <v>36.958062099048902</v>
      </c>
      <c r="O43" s="64">
        <f t="shared" si="10"/>
        <v>37.14742829757926</v>
      </c>
      <c r="P43" s="64">
        <f t="shared" si="10"/>
        <v>37.332552066913017</v>
      </c>
      <c r="Q43" s="64">
        <f t="shared" si="10"/>
        <v>37.513234437626124</v>
      </c>
      <c r="R43" s="64">
        <f t="shared" si="10"/>
        <v>37.689270901396142</v>
      </c>
      <c r="S43" s="64">
        <f t="shared" si="10"/>
        <v>37.86045128018187</v>
      </c>
      <c r="T43" s="64">
        <f t="shared" si="10"/>
        <v>38.026559592555792</v>
      </c>
      <c r="U43" s="64">
        <f t="shared" si="10"/>
        <v>38.187373917130465</v>
      </c>
      <c r="V43" s="64">
        <f t="shared" si="10"/>
        <v>38.342666253018429</v>
      </c>
      <c r="W43" s="64">
        <f t="shared" si="10"/>
        <v>38.492202377264533</v>
      </c>
      <c r="X43" s="64">
        <f t="shared" si="10"/>
        <v>38.635741699187882</v>
      </c>
      <c r="Y43" s="64">
        <f t="shared" si="10"/>
        <v>38.757294317736132</v>
      </c>
      <c r="Z43" s="64">
        <f t="shared" si="10"/>
        <v>38.871813995963947</v>
      </c>
      <c r="AA43" s="64">
        <f t="shared" si="10"/>
        <v>38.979026485193693</v>
      </c>
      <c r="AB43" s="64">
        <f t="shared" si="10"/>
        <v>39.078650244812408</v>
      </c>
      <c r="AC43" s="64">
        <f t="shared" si="10"/>
        <v>39.170396273603941</v>
      </c>
      <c r="AD43" s="64">
        <f t="shared" si="10"/>
        <v>39.253967937453638</v>
      </c>
      <c r="AE43" s="64">
        <f t="shared" si="10"/>
        <v>39.329060793351154</v>
      </c>
      <c r="AF43" s="64">
        <f t="shared" si="10"/>
        <v>39.395362409615259</v>
      </c>
      <c r="AG43" s="64">
        <f t="shared" si="10"/>
        <v>39.452552182263062</v>
      </c>
      <c r="AH43" s="64">
        <f>AH40-AH41-AH42</f>
        <v>39.50030114744451</v>
      </c>
    </row>
    <row r="44" spans="1:35" s="67" customFormat="1" x14ac:dyDescent="0.2">
      <c r="A44" s="687" t="s">
        <v>257</v>
      </c>
      <c r="B44" s="58" t="s">
        <v>258</v>
      </c>
      <c r="C44" s="59" t="s">
        <v>153</v>
      </c>
      <c r="D44" s="60">
        <f>D43*('Demand Breakdown - Ethylene'!$C$74)</f>
        <v>12.029370629370625</v>
      </c>
      <c r="E44" s="60">
        <f>E43*('Demand Breakdown - Ethylene'!$C$74)</f>
        <v>12.105945467194948</v>
      </c>
      <c r="F44" s="60">
        <f>F43*('Demand Breakdown - Ethylene'!$C$74)</f>
        <v>12.181647361393408</v>
      </c>
      <c r="G44" s="60">
        <f>G43*('Demand Breakdown - Ethylene'!$C$74)</f>
        <v>12.256424501754596</v>
      </c>
      <c r="H44" s="60">
        <f>H43*('Demand Breakdown - Ethylene'!$C$74)</f>
        <v>12.330223568800621</v>
      </c>
      <c r="I44" s="60">
        <f>I43*('Demand Breakdown - Ethylene'!$C$74)</f>
        <v>12.402989697445204</v>
      </c>
      <c r="J44" s="60">
        <f>J43*('Demand Breakdown - Ethylene'!$C$74)</f>
        <v>12.474666439852321</v>
      </c>
      <c r="K44" s="60">
        <f>K43*('Demand Breakdown - Ethylene'!$C$74)</f>
        <v>12.54519572747872</v>
      </c>
      <c r="L44" s="60">
        <f>L43*('Demand Breakdown - Ethylene'!$C$74)</f>
        <v>12.614517832283296</v>
      </c>
      <c r="M44" s="60">
        <f>M43*('Demand Breakdown - Ethylene'!$C$74)</f>
        <v>12.68257132708599</v>
      </c>
      <c r="N44" s="60">
        <f>N43*('Demand Breakdown - Ethylene'!$C$74)</f>
        <v>12.74929304505844</v>
      </c>
      <c r="O44" s="60">
        <f>O43*('Demand Breakdown - Ethylene'!$C$74)</f>
        <v>12.81461803832843</v>
      </c>
      <c r="P44" s="60">
        <f>P43*('Demand Breakdown - Ethylene'!$C$74)</f>
        <v>12.878479535679576</v>
      </c>
      <c r="Q44" s="60">
        <f>Q43*('Demand Breakdown - Ethylene'!$C$74)</f>
        <v>12.940808899327584</v>
      </c>
      <c r="R44" s="60">
        <f>R43*('Demand Breakdown - Ethylene'!$C$74)</f>
        <v>13.001535580753814</v>
      </c>
      <c r="S44" s="60">
        <f>S43*('Demand Breakdown - Ethylene'!$C$74)</f>
        <v>13.060587075576631</v>
      </c>
      <c r="T44" s="60">
        <f>T43*('Demand Breakdown - Ethylene'!$C$74)</f>
        <v>13.11788887744058</v>
      </c>
      <c r="U44" s="60">
        <f>U43*('Demand Breakdown - Ethylene'!$C$74)</f>
        <v>13.173364430903066</v>
      </c>
      <c r="V44" s="60">
        <f>V43*('Demand Breakdown - Ethylene'!$C$74)</f>
        <v>13.226935083297695</v>
      </c>
      <c r="W44" s="60">
        <f>W43*('Demand Breakdown - Ethylene'!$C$74)</f>
        <v>13.278520035553212</v>
      </c>
      <c r="X44" s="60">
        <f>X43*('Demand Breakdown - Ethylene'!$C$74)</f>
        <v>13.328036291946344</v>
      </c>
      <c r="Y44" s="60">
        <f>Y43*('Demand Breakdown - Ethylene'!$C$74)</f>
        <v>13.369967872398602</v>
      </c>
      <c r="Z44" s="60">
        <f>Z43*('Demand Breakdown - Ethylene'!$C$74)</f>
        <v>13.409473324097862</v>
      </c>
      <c r="AA44" s="60">
        <f>AA43*('Demand Breakdown - Ethylene'!$C$74)</f>
        <v>13.446458040439776</v>
      </c>
      <c r="AB44" s="60">
        <f>AB43*('Demand Breakdown - Ethylene'!$C$74)</f>
        <v>13.480824899346649</v>
      </c>
      <c r="AC44" s="60">
        <f>AC43*('Demand Breakdown - Ethylene'!$C$74)</f>
        <v>13.51247420508267</v>
      </c>
      <c r="AD44" s="60">
        <f>AD43*('Demand Breakdown - Ethylene'!$C$74)</f>
        <v>13.541303628817804</v>
      </c>
      <c r="AE44" s="60">
        <f>AE43*('Demand Breakdown - Ethylene'!$C$74)</f>
        <v>13.567208147914664</v>
      </c>
      <c r="AF44" s="60">
        <f>AF43*('Demand Breakdown - Ethylene'!$C$74)</f>
        <v>13.590079983912089</v>
      </c>
      <c r="AG44" s="60">
        <f>AG43*('Demand Breakdown - Ethylene'!$C$74)</f>
        <v>13.609808539178678</v>
      </c>
      <c r="AH44" s="60">
        <f>AH43*('Demand Breakdown - Ethylene'!$C$74)</f>
        <v>13.62628033220898</v>
      </c>
      <c r="AI44" s="60"/>
    </row>
    <row r="45" spans="1:35" x14ac:dyDescent="0.2">
      <c r="A45" s="688"/>
      <c r="B45" s="1" t="s">
        <v>260</v>
      </c>
      <c r="C45" s="54" t="s">
        <v>153</v>
      </c>
      <c r="D45" s="44">
        <f>D49/('Demand Breakdown - Ethylene'!$K$14)</f>
        <v>4.5813083502024288</v>
      </c>
      <c r="E45" s="44">
        <f>E49/('Demand Breakdown - Ethylene'!$K$14)</f>
        <v>4.610471384142329</v>
      </c>
      <c r="F45" s="44">
        <f>F49/('Demand Breakdown - Ethylene'!$K$14)</f>
        <v>4.6393019631229757</v>
      </c>
      <c r="G45" s="44">
        <f>G49/('Demand Breakdown - Ethylene'!$K$14)</f>
        <v>4.6677803555589481</v>
      </c>
      <c r="H45" s="44">
        <f>H49/('Demand Breakdown - Ethylene'!$K$14)</f>
        <v>4.6958862550703993</v>
      </c>
      <c r="I45" s="44">
        <f>I49/('Demand Breakdown - Ethylene'!$K$14)</f>
        <v>4.7235987666424846</v>
      </c>
      <c r="J45" s="44">
        <f>J49/('Demand Breakdown - Ethylene'!$K$14)</f>
        <v>4.7508963924803052</v>
      </c>
      <c r="K45" s="44">
        <f>K49/('Demand Breakdown - Ethylene'!$K$14)</f>
        <v>4.7777570175530535</v>
      </c>
      <c r="L45" s="44">
        <f>L49/('Demand Breakdown - Ethylene'!$K$14)</f>
        <v>4.8041578948208468</v>
      </c>
      <c r="M45" s="44">
        <f>M49/('Demand Breakdown - Ethylene'!$K$14)</f>
        <v>4.8300756301376735</v>
      </c>
      <c r="N45" s="44">
        <f>N49/('Demand Breakdown - Ethylene'!$K$14)</f>
        <v>4.8554861668236677</v>
      </c>
      <c r="O45" s="44">
        <f>O49/('Demand Breakdown - Ethylene'!$K$14)</f>
        <v>4.8803647698998764</v>
      </c>
      <c r="P45" s="44">
        <f>P49/('Demand Breakdown - Ethylene'!$K$14)</f>
        <v>4.904686009978465</v>
      </c>
      <c r="Q45" s="44">
        <f>Q49/('Demand Breakdown - Ethylene'!$K$14)</f>
        <v>4.9284237468012231</v>
      </c>
      <c r="R45" s="44">
        <f>R49/('Demand Breakdown - Ethylene'!$K$14)</f>
        <v>4.9515511124190716</v>
      </c>
      <c r="S45" s="44">
        <f>S49/('Demand Breakdown - Ethylene'!$K$14)</f>
        <v>4.9740404940051031</v>
      </c>
      <c r="T45" s="44">
        <f>T49/('Demand Breakdown - Ethylene'!$K$14)</f>
        <v>4.9958635162935678</v>
      </c>
      <c r="U45" s="44">
        <f>U49/('Demand Breakdown - Ethylene'!$K$14)</f>
        <v>5.0169910236370736</v>
      </c>
      <c r="V45" s="44">
        <f>V49/('Demand Breakdown - Ethylene'!$K$14)</f>
        <v>5.0373930616740505</v>
      </c>
      <c r="W45" s="44">
        <f>W49/('Demand Breakdown - Ethylene'!$K$14)</f>
        <v>5.0570388585984531</v>
      </c>
      <c r="X45" s="44">
        <f>X49/('Demand Breakdown - Ethylene'!$K$14)</f>
        <v>5.0758968060234624</v>
      </c>
      <c r="Y45" s="44">
        <f>Y49/('Demand Breakdown - Ethylene'!$K$14)</f>
        <v>5.0918661784521486</v>
      </c>
      <c r="Z45" s="44">
        <f>Z49/('Demand Breakdown - Ethylene'!$K$14)</f>
        <v>5.1069115753664676</v>
      </c>
      <c r="AA45" s="44">
        <f>AA49/('Demand Breakdown - Ethylene'!$K$14)</f>
        <v>5.1209969664503028</v>
      </c>
      <c r="AB45" s="44">
        <f>AB49/('Demand Breakdown - Ethylene'!$K$14)</f>
        <v>5.1340853633857062</v>
      </c>
      <c r="AC45" s="44">
        <f>AC49/('Demand Breakdown - Ethylene'!$K$14)</f>
        <v>5.1461387976936095</v>
      </c>
      <c r="AD45" s="44">
        <f>AD49/('Demand Breakdown - Ethylene'!$K$14)</f>
        <v>5.1571182980979628</v>
      </c>
      <c r="AE45" s="44">
        <f>AE49/('Demand Breakdown - Ethylene'!$K$14)</f>
        <v>5.1669838674035313</v>
      </c>
      <c r="AF45" s="44">
        <f>AF49/('Demand Breakdown - Ethylene'!$K$14)</f>
        <v>5.1756944588773388</v>
      </c>
      <c r="AG45" s="44">
        <f>AG49/('Demand Breakdown - Ethylene'!$K$14)</f>
        <v>5.1832079521235759</v>
      </c>
      <c r="AH45" s="44">
        <f>AH49/('Demand Breakdown - Ethylene'!$K$14)</f>
        <v>5.1894811284415692</v>
      </c>
      <c r="AI45" s="44"/>
    </row>
    <row r="46" spans="1:35" x14ac:dyDescent="0.2">
      <c r="A46" s="688"/>
      <c r="B46" s="1" t="s">
        <v>262</v>
      </c>
      <c r="C46" s="54" t="s">
        <v>153</v>
      </c>
      <c r="D46" s="44">
        <f>D48/('Demand Breakdown - Ethylene'!$M$14)</f>
        <v>13.515976331360944</v>
      </c>
      <c r="E46" s="44">
        <f>E48/('Demand Breakdown - Ethylene'!$M$14)</f>
        <v>13.602014390000884</v>
      </c>
      <c r="F46" s="44">
        <f>F48/('Demand Breakdown - Ethylene'!$M$14)</f>
        <v>13.687071625474815</v>
      </c>
      <c r="G46" s="44">
        <f>G48/('Demand Breakdown - Ethylene'!$M$14)</f>
        <v>13.77108982479615</v>
      </c>
      <c r="H46" s="44">
        <f>H48/('Demand Breakdown - Ethylene'!$M$14)</f>
        <v>13.854009079194647</v>
      </c>
      <c r="I46" s="44">
        <f>I48/('Demand Breakdown - Ethylene'!$M$14)</f>
        <v>13.935767743283327</v>
      </c>
      <c r="J46" s="44">
        <f>J48/('Demand Breakdown - Ethylene'!$M$14)</f>
        <v>14.016302393327138</v>
      </c>
      <c r="K46" s="44">
        <f>K48/('Demand Breakdown - Ethylene'!$M$14)</f>
        <v>14.095547784594629</v>
      </c>
      <c r="L46" s="44">
        <f>L48/('Demand Breakdown - Ethylene'!$M$14)</f>
        <v>14.173436807773539</v>
      </c>
      <c r="M46" s="44">
        <f>M48/('Demand Breakdown - Ethylene'!$M$14)</f>
        <v>14.249900444430791</v>
      </c>
      <c r="N46" s="44">
        <f>N48/('Demand Breakdown - Ethylene'!$M$14)</f>
        <v>14.324867721496938</v>
      </c>
      <c r="O46" s="44">
        <f>O48/('Demand Breakdown - Ethylene'!$M$14)</f>
        <v>14.398265664754895</v>
      </c>
      <c r="P46" s="44">
        <f>P48/('Demand Breakdown - Ethylene'!$M$14)</f>
        <v>14.47001925131211</v>
      </c>
      <c r="Q46" s="44">
        <f>Q48/('Demand Breakdown - Ethylene'!$M$14)</f>
        <v>14.540051361035154</v>
      </c>
      <c r="R46" s="44">
        <f>R48/('Demand Breakdown - Ethylene'!$M$14)</f>
        <v>14.608282726925156</v>
      </c>
      <c r="S46" s="44">
        <f>S48/('Demand Breakdown - Ethylene'!$M$14)</f>
        <v>14.674631884412081</v>
      </c>
      <c r="T46" s="44">
        <f>T48/('Demand Breakdown - Ethylene'!$M$14)</f>
        <v>14.739015119545471</v>
      </c>
      <c r="U46" s="44">
        <f>U48/('Demand Breakdown - Ethylene'!$M$14)</f>
        <v>14.801346416058806</v>
      </c>
      <c r="V46" s="44">
        <f>V48/('Demand Breakdown - Ethylene'!$M$14)</f>
        <v>14.861537401284046</v>
      </c>
      <c r="W46" s="44">
        <f>W48/('Demand Breakdown - Ethylene'!$M$14)</f>
        <v>14.919497290892703</v>
      </c>
      <c r="X46" s="44">
        <f>X48/('Demand Breakdown - Ethylene'!$M$14)</f>
        <v>14.975132832439083</v>
      </c>
      <c r="Y46" s="44">
        <f>Y48/('Demand Breakdown - Ethylene'!$M$14)</f>
        <v>15.022246373653413</v>
      </c>
      <c r="Z46" s="44">
        <f>Z48/('Demand Breakdown - Ethylene'!$M$14)</f>
        <v>15.06663396188045</v>
      </c>
      <c r="AA46" s="44">
        <f>AA48/('Demand Breakdown - Ethylene'!$M$14)</f>
        <v>15.108189298905224</v>
      </c>
      <c r="AB46" s="44">
        <f>AB48/('Demand Breakdown - Ethylene'!$M$14)</f>
        <v>15.146803260173852</v>
      </c>
      <c r="AC46" s="44">
        <f>AC48/('Demand Breakdown - Ethylene'!$M$14)</f>
        <v>15.182363829418236</v>
      </c>
      <c r="AD46" s="44">
        <f>AD48/('Demand Breakdown - Ethylene'!$M$14)</f>
        <v>15.214756031874735</v>
      </c>
      <c r="AE46" s="44">
        <f>AE48/('Demand Breakdown - Ethylene'!$M$14)</f>
        <v>15.243861866068055</v>
      </c>
      <c r="AF46" s="44">
        <f>AF48/('Demand Breakdown - Ethylene'!$M$14)</f>
        <v>15.269560234130736</v>
      </c>
      <c r="AG46" s="44">
        <f>AG48/('Demand Breakdown - Ethylene'!$M$14)</f>
        <v>15.291726870628251</v>
      </c>
      <c r="AH46" s="44">
        <f>AH48/('Demand Breakdown - Ethylene'!$M$14)</f>
        <v>15.31023426985902</v>
      </c>
      <c r="AI46" s="44"/>
    </row>
    <row r="47" spans="1:35" s="68" customFormat="1" x14ac:dyDescent="0.2">
      <c r="A47" s="689"/>
      <c r="B47" s="62" t="s">
        <v>248</v>
      </c>
      <c r="C47" s="283" t="s">
        <v>153</v>
      </c>
      <c r="D47" s="284">
        <f>D43-SUM(D45,D44,D46)</f>
        <v>4.7444724576031234</v>
      </c>
      <c r="E47" s="284">
        <f t="shared" ref="E47:AH47" si="11">E43-SUM(E45,E44,E46)</f>
        <v>4.7746741381562074</v>
      </c>
      <c r="F47" s="284">
        <f t="shared" si="11"/>
        <v>4.8045315233078512</v>
      </c>
      <c r="G47" s="284">
        <f t="shared" si="11"/>
        <v>4.8340241787287219</v>
      </c>
      <c r="H47" s="284">
        <f t="shared" si="11"/>
        <v>4.8631310748236665</v>
      </c>
      <c r="I47" s="284">
        <f t="shared" si="11"/>
        <v>4.8918305723981845</v>
      </c>
      <c r="J47" s="284">
        <f t="shared" si="11"/>
        <v>4.9201004080096169</v>
      </c>
      <c r="K47" s="284">
        <f t="shared" si="11"/>
        <v>4.947917678996415</v>
      </c>
      <c r="L47" s="284">
        <f t="shared" si="11"/>
        <v>4.9752588281788448</v>
      </c>
      <c r="M47" s="284">
        <f t="shared" si="11"/>
        <v>5.0020996282242578</v>
      </c>
      <c r="N47" s="284">
        <f t="shared" si="11"/>
        <v>5.0284151656698555</v>
      </c>
      <c r="O47" s="284">
        <f t="shared" si="11"/>
        <v>5.054179824596055</v>
      </c>
      <c r="P47" s="284">
        <f t="shared" si="11"/>
        <v>5.0793672699428711</v>
      </c>
      <c r="Q47" s="284">
        <f t="shared" si="11"/>
        <v>5.103950430462163</v>
      </c>
      <c r="R47" s="284">
        <f t="shared" si="11"/>
        <v>5.1279014812981032</v>
      </c>
      <c r="S47" s="284">
        <f t="shared" si="11"/>
        <v>5.1511918261880538</v>
      </c>
      <c r="T47" s="284">
        <f t="shared" si="11"/>
        <v>5.1737920792761756</v>
      </c>
      <c r="U47" s="284">
        <f t="shared" si="11"/>
        <v>5.19567204653152</v>
      </c>
      <c r="V47" s="284">
        <f t="shared" si="11"/>
        <v>5.2168007067626334</v>
      </c>
      <c r="W47" s="284">
        <f t="shared" si="11"/>
        <v>5.2371461922201661</v>
      </c>
      <c r="X47" s="284">
        <f t="shared" si="11"/>
        <v>5.2566757687789973</v>
      </c>
      <c r="Y47" s="284">
        <f t="shared" si="11"/>
        <v>5.2732138932319685</v>
      </c>
      <c r="Z47" s="284">
        <f t="shared" si="11"/>
        <v>5.2887951346191713</v>
      </c>
      <c r="AA47" s="284">
        <f t="shared" si="11"/>
        <v>5.3033821793983904</v>
      </c>
      <c r="AB47" s="284">
        <f t="shared" si="11"/>
        <v>5.3169367219062025</v>
      </c>
      <c r="AC47" s="284">
        <f t="shared" si="11"/>
        <v>5.3294194414094278</v>
      </c>
      <c r="AD47" s="284">
        <f t="shared" si="11"/>
        <v>5.340789978663139</v>
      </c>
      <c r="AE47" s="284">
        <f t="shared" si="11"/>
        <v>5.3510069119649017</v>
      </c>
      <c r="AF47" s="284">
        <f t="shared" si="11"/>
        <v>5.3600277326950945</v>
      </c>
      <c r="AG47" s="284">
        <f t="shared" si="11"/>
        <v>5.3678088203325558</v>
      </c>
      <c r="AH47" s="284">
        <f t="shared" si="11"/>
        <v>5.3743054169349378</v>
      </c>
      <c r="AI47" s="284"/>
    </row>
    <row r="48" spans="1:35" s="67" customFormat="1" x14ac:dyDescent="0.2">
      <c r="A48" s="687" t="s">
        <v>263</v>
      </c>
      <c r="B48" s="58" t="s">
        <v>264</v>
      </c>
      <c r="C48" s="59" t="s">
        <v>153</v>
      </c>
      <c r="D48" s="60">
        <f>D43*'Demand Breakdown - Ethylene'!$E$74</f>
        <v>12.975337278106506</v>
      </c>
      <c r="E48" s="60">
        <f>E43*'Demand Breakdown - Ethylene'!$E$74</f>
        <v>13.057933814400847</v>
      </c>
      <c r="F48" s="60">
        <f>F43*'Demand Breakdown - Ethylene'!$E$74</f>
        <v>13.139588760455821</v>
      </c>
      <c r="G48" s="60">
        <f>G43*'Demand Breakdown - Ethylene'!$E$74</f>
        <v>13.220246231804303</v>
      </c>
      <c r="H48" s="60">
        <f>H43*'Demand Breakdown - Ethylene'!$E$74</f>
        <v>13.29984871602686</v>
      </c>
      <c r="I48" s="60">
        <f>I43*'Demand Breakdown - Ethylene'!$E$74</f>
        <v>13.378337033551993</v>
      </c>
      <c r="J48" s="60">
        <f>J43*'Demand Breakdown - Ethylene'!$E$74</f>
        <v>13.455650297594051</v>
      </c>
      <c r="K48" s="60">
        <f>K43*'Demand Breakdown - Ethylene'!$E$74</f>
        <v>13.531725873210844</v>
      </c>
      <c r="L48" s="60">
        <f>L43*'Demand Breakdown - Ethylene'!$E$74</f>
        <v>13.606499335462598</v>
      </c>
      <c r="M48" s="60">
        <f>M43*'Demand Breakdown - Ethylene'!$E$74</f>
        <v>13.679904426653559</v>
      </c>
      <c r="N48" s="60">
        <f>N43*'Demand Breakdown - Ethylene'!$E$74</f>
        <v>13.751873012637059</v>
      </c>
      <c r="O48" s="60">
        <f>O43*'Demand Breakdown - Ethylene'!$E$74</f>
        <v>13.822335038164699</v>
      </c>
      <c r="P48" s="60">
        <f>P43*'Demand Breakdown - Ethylene'!$E$74</f>
        <v>13.891218481259624</v>
      </c>
      <c r="Q48" s="60">
        <f>Q43*'Demand Breakdown - Ethylene'!$E$74</f>
        <v>13.958449306593748</v>
      </c>
      <c r="R48" s="60">
        <f>R43*'Demand Breakdown - Ethylene'!$E$74</f>
        <v>14.023951417848149</v>
      </c>
      <c r="S48" s="60">
        <f>S43*'Demand Breakdown - Ethylene'!$E$74</f>
        <v>14.087646609035597</v>
      </c>
      <c r="T48" s="60">
        <f>T43*'Demand Breakdown - Ethylene'!$E$74</f>
        <v>14.149454514763651</v>
      </c>
      <c r="U48" s="60">
        <f>U43*'Demand Breakdown - Ethylene'!$E$74</f>
        <v>14.209292559416452</v>
      </c>
      <c r="V48" s="60">
        <f>V43*'Demand Breakdown - Ethylene'!$E$74</f>
        <v>14.267075905232684</v>
      </c>
      <c r="W48" s="60">
        <f>W43*'Demand Breakdown - Ethylene'!$E$74</f>
        <v>14.322717399256994</v>
      </c>
      <c r="X48" s="60">
        <f>X43*'Demand Breakdown - Ethylene'!$E$74</f>
        <v>14.376127519141519</v>
      </c>
      <c r="Y48" s="60">
        <f>Y43*'Demand Breakdown - Ethylene'!$E$74</f>
        <v>14.421356518707276</v>
      </c>
      <c r="Z48" s="60">
        <f>Z43*'Demand Breakdown - Ethylene'!$E$74</f>
        <v>14.463968603405231</v>
      </c>
      <c r="AA48" s="60">
        <f>AA43*'Demand Breakdown - Ethylene'!$E$74</f>
        <v>14.503861726949014</v>
      </c>
      <c r="AB48" s="60">
        <f>AB43*'Demand Breakdown - Ethylene'!$E$74</f>
        <v>14.540931129766898</v>
      </c>
      <c r="AC48" s="60">
        <f>AC43*'Demand Breakdown - Ethylene'!$E$74</f>
        <v>14.575069276241505</v>
      </c>
      <c r="AD48" s="60">
        <f>AD43*'Demand Breakdown - Ethylene'!$E$74</f>
        <v>14.606165790599745</v>
      </c>
      <c r="AE48" s="60">
        <f>AE43*'Demand Breakdown - Ethylene'!$E$74</f>
        <v>14.634107391425333</v>
      </c>
      <c r="AF48" s="60">
        <f>AF43*'Demand Breakdown - Ethylene'!$E$74</f>
        <v>14.658777824765506</v>
      </c>
      <c r="AG48" s="60">
        <f>AG43*'Demand Breakdown - Ethylene'!$E$74</f>
        <v>14.680057795803121</v>
      </c>
      <c r="AH48" s="60">
        <f>AH43*'Demand Breakdown - Ethylene'!$E$74</f>
        <v>14.697824899064658</v>
      </c>
      <c r="AI48" s="60"/>
    </row>
    <row r="49" spans="1:35" s="68" customFormat="1" x14ac:dyDescent="0.2">
      <c r="A49" s="689"/>
      <c r="B49" s="62" t="s">
        <v>266</v>
      </c>
      <c r="C49" s="283" t="s">
        <v>153</v>
      </c>
      <c r="D49" s="284">
        <f>D43*'Demand Breakdown - Ethylene'!$D$74/'Demand Breakdown - Ethylene'!$L$24</f>
        <v>2.8011119939271252</v>
      </c>
      <c r="E49" s="284">
        <f>E43*'Demand Breakdown - Ethylene'!$D$74/'Demand Breakdown - Ethylene'!$L$24</f>
        <v>2.8189429098803696</v>
      </c>
      <c r="F49" s="284">
        <f>F43*'Demand Breakdown - Ethylene'!$D$74/'Demand Breakdown - Ethylene'!$L$24</f>
        <v>2.8365705556097791</v>
      </c>
      <c r="G49" s="284">
        <f>G43*'Demand Breakdown - Ethylene'!$D$74/'Demand Breakdown - Ethylene'!$L$24</f>
        <v>2.8539828667930331</v>
      </c>
      <c r="H49" s="284">
        <f>H43*'Demand Breakdown - Ethylene'!$D$74/'Demand Breakdown - Ethylene'!$L$24</f>
        <v>2.871167427665946</v>
      </c>
      <c r="I49" s="284">
        <f>I43*'Demand Breakdown - Ethylene'!$D$74/'Demand Breakdown - Ethylene'!$L$24</f>
        <v>2.888111462560035</v>
      </c>
      <c r="J49" s="284">
        <f>J43*'Demand Breakdown - Ethylene'!$D$74/'Demand Breakdown - Ethylene'!$L$24</f>
        <v>2.904801827253928</v>
      </c>
      <c r="K49" s="284">
        <f>K43*'Demand Breakdown - Ethylene'!$D$74/'Demand Breakdown - Ethylene'!$L$24</f>
        <v>2.9212250001347337</v>
      </c>
      <c r="L49" s="284">
        <f>L43*'Demand Breakdown - Ethylene'!$D$74/'Demand Breakdown - Ethylene'!$L$24</f>
        <v>2.9373670731654098</v>
      </c>
      <c r="M49" s="284">
        <f>M43*'Demand Breakdown - Ethylene'!$D$74/'Demand Breakdown - Ethylene'!$L$24</f>
        <v>2.953213742654091</v>
      </c>
      <c r="N49" s="284">
        <f>N43*'Demand Breakdown - Ethylene'!$D$74/'Demand Breakdown - Ethylene'!$L$24</f>
        <v>2.9687502998212412</v>
      </c>
      <c r="O49" s="284">
        <f>O43*'Demand Breakdown - Ethylene'!$D$74/'Demand Breakdown - Ethylene'!$L$24</f>
        <v>2.9839616211604483</v>
      </c>
      <c r="P49" s="284">
        <f>P43*'Demand Breakdown - Ethylene'!$D$74/'Demand Breakdown - Ethylene'!$L$24</f>
        <v>2.9988321585885398</v>
      </c>
      <c r="Q49" s="284">
        <f>Q43*'Demand Breakdown - Ethylene'!$D$74/'Demand Breakdown - Ethylene'!$L$24</f>
        <v>3.0133459293806708</v>
      </c>
      <c r="R49" s="284">
        <f>R43*'Demand Breakdown - Ethylene'!$D$74/'Demand Breakdown - Ethylene'!$L$24</f>
        <v>3.0274865058859026</v>
      </c>
      <c r="S49" s="284">
        <f>S43*'Demand Breakdown - Ethylene'!$D$74/'Demand Breakdown - Ethylene'!$L$24</f>
        <v>3.0412370050187216</v>
      </c>
      <c r="T49" s="284">
        <f>T43*'Demand Breakdown - Ethylene'!$D$74/'Demand Breakdown - Ethylene'!$L$24</f>
        <v>3.0545800775218543</v>
      </c>
      <c r="U49" s="284">
        <f>U43*'Demand Breakdown - Ethylene'!$D$74/'Demand Breakdown - Ethylene'!$L$24</f>
        <v>3.0674978969956435</v>
      </c>
      <c r="V49" s="284">
        <f>V43*'Demand Breakdown - Ethylene'!$D$74/'Demand Breakdown - Ethylene'!$L$24</f>
        <v>3.079972148689138</v>
      </c>
      <c r="W49" s="284">
        <f>W43*'Demand Breakdown - Ethylene'!$D$74/'Demand Breakdown - Ethylene'!$L$24</f>
        <v>3.0919840180479796</v>
      </c>
      <c r="X49" s="284">
        <f>X43*'Demand Breakdown - Ethylene'!$D$74/'Demand Breakdown - Ethylene'!$L$24</f>
        <v>3.1035141790140508</v>
      </c>
      <c r="Y49" s="284">
        <f>Y43*'Demand Breakdown - Ethylene'!$D$74/'Demand Breakdown - Ethylene'!$L$24</f>
        <v>3.1132782021327969</v>
      </c>
      <c r="Z49" s="284">
        <f>Z43*'Demand Breakdown - Ethylene'!$D$74/'Demand Breakdown - Ethylene'!$L$24</f>
        <v>3.1224772864398442</v>
      </c>
      <c r="AA49" s="284">
        <f>AA43*'Demand Breakdown - Ethylene'!$D$74/'Demand Breakdown - Ethylene'!$L$24</f>
        <v>3.1310894022129165</v>
      </c>
      <c r="AB49" s="284">
        <f>AB43*'Demand Breakdown - Ethylene'!$D$74/'Demand Breakdown - Ethylene'!$L$24</f>
        <v>3.1390919339864909</v>
      </c>
      <c r="AC49" s="284">
        <f>AC43*'Demand Breakdown - Ethylene'!$D$74/'Demand Breakdown - Ethylene'!$L$24</f>
        <v>3.1464616670031278</v>
      </c>
      <c r="AD49" s="284">
        <f>AD43*'Demand Breakdown - Ethylene'!$D$74/'Demand Breakdown - Ethylene'!$L$24</f>
        <v>3.1531747733734083</v>
      </c>
      <c r="AE49" s="284">
        <f>AE43*'Demand Breakdown - Ethylene'!$D$74/'Demand Breakdown - Ethylene'!$L$24</f>
        <v>3.1592067979385146</v>
      </c>
      <c r="AF49" s="284">
        <f>AF43*'Demand Breakdown - Ethylene'!$D$74/'Demand Breakdown - Ethylene'!$L$24</f>
        <v>3.1645326438293293</v>
      </c>
      <c r="AG49" s="284">
        <f>AG43*'Demand Breakdown - Ethylene'!$D$74/'Demand Breakdown - Ethylene'!$L$24</f>
        <v>3.1691265577158272</v>
      </c>
      <c r="AH49" s="284">
        <f>AH43*'Demand Breakdown - Ethylene'!$D$74/'Demand Breakdown - Ethylene'!$L$24</f>
        <v>3.1729621147403995</v>
      </c>
      <c r="AI49" s="284"/>
    </row>
    <row r="50" spans="1:35" x14ac:dyDescent="0.2">
      <c r="A50" s="1" t="s">
        <v>205</v>
      </c>
      <c r="B50" s="58" t="s">
        <v>199</v>
      </c>
      <c r="C50" s="59" t="s">
        <v>153</v>
      </c>
      <c r="D50" s="60">
        <f>'R&amp;S - Apparel'!E4</f>
        <v>3.4336211538461541</v>
      </c>
      <c r="E50" s="60">
        <f>D50*(1+'R&amp;S - Apparel'!$C$5)</f>
        <v>3.5057271980769231</v>
      </c>
      <c r="F50" s="60">
        <f>E50*(1+'R&amp;S - Apparel'!$C$5)</f>
        <v>3.5793474692365383</v>
      </c>
      <c r="G50" s="60">
        <f>F50*(1+'R&amp;S - Apparel'!$C$5)</f>
        <v>3.6545137660905054</v>
      </c>
      <c r="H50" s="60">
        <f>G50*(1+'R&amp;S - Apparel'!$C$5)</f>
        <v>3.7312585551784054</v>
      </c>
      <c r="I50" s="60">
        <f>H50*(1+'R&amp;S - Apparel'!$C$5)</f>
        <v>3.8096149848371517</v>
      </c>
      <c r="J50" s="60">
        <f>I50*(1+'R&amp;S - Apparel'!$C$5)</f>
        <v>3.8896168995187317</v>
      </c>
      <c r="K50" s="60">
        <f>J50*(1+'R&amp;S - Apparel'!$C$5)</f>
        <v>3.9712988544086247</v>
      </c>
      <c r="L50" s="60">
        <f>K50*(1+'R&amp;S - Apparel'!$C$5)</f>
        <v>4.0546961303512052</v>
      </c>
      <c r="M50" s="60">
        <f>L50*(1+'R&amp;S - Apparel'!$C$5)</f>
        <v>4.1398447490885806</v>
      </c>
      <c r="N50" s="60">
        <f>M50*(1+'R&amp;S - Apparel'!$C$5)</f>
        <v>4.2267814888194408</v>
      </c>
      <c r="O50" s="60">
        <f>N50*(1+'R&amp;S - Apparel'!$C$5)</f>
        <v>4.3155439000846485</v>
      </c>
      <c r="P50" s="60">
        <f>O50*(1+'R&amp;S - Apparel'!$C$5)</f>
        <v>4.4061703219864254</v>
      </c>
      <c r="Q50" s="60">
        <f>P50*(1+'R&amp;S - Apparel'!$C$5)</f>
        <v>4.4986998987481401</v>
      </c>
      <c r="R50" s="60">
        <f>Q50*(1+'R&amp;S - Apparel'!$C$5)</f>
        <v>4.5931725966218506</v>
      </c>
      <c r="S50" s="60">
        <f>R50*(1+'R&amp;S - Apparel'!$C$5)</f>
        <v>4.6896292211509092</v>
      </c>
      <c r="T50" s="60">
        <f>S50*(1+'R&amp;S - Apparel'!$C$5)</f>
        <v>4.7881114347950779</v>
      </c>
      <c r="U50" s="60">
        <f>T50*(1+'R&amp;S - Apparel'!$C$5)</f>
        <v>4.8886617749257741</v>
      </c>
      <c r="V50" s="60">
        <f>U50*(1+'R&amp;S - Apparel'!$C$5)</f>
        <v>4.9913236721992149</v>
      </c>
      <c r="W50" s="60">
        <f>V50*(1+'R&amp;S - Apparel'!$C$5)</f>
        <v>5.0961414693153984</v>
      </c>
      <c r="X50" s="60">
        <f>W50*(1+'R&amp;S - Apparel'!$C$5)</f>
        <v>5.203160440171021</v>
      </c>
      <c r="Y50" s="60">
        <f>X50*(1+'R&amp;S - Apparel'!$C$5)</f>
        <v>5.3124268094146121</v>
      </c>
      <c r="Z50" s="60">
        <f>Y50*(1+'R&amp;S - Apparel'!$C$5)</f>
        <v>5.4239877724123184</v>
      </c>
      <c r="AA50" s="60">
        <f>Z50*(1+'R&amp;S - Apparel'!$C$5)</f>
        <v>5.5378915156329764</v>
      </c>
      <c r="AB50" s="60">
        <f>AA50*(1+'R&amp;S - Apparel'!$C$5)</f>
        <v>5.6541872374612687</v>
      </c>
      <c r="AC50" s="60">
        <f>AB50*(1+'R&amp;S - Apparel'!$C$5)</f>
        <v>5.7729251694479551</v>
      </c>
      <c r="AD50" s="60">
        <f>AC50*(1+'R&amp;S - Apparel'!$C$5)</f>
        <v>5.8941565980063615</v>
      </c>
      <c r="AE50" s="60">
        <f>AD50*(1+'R&amp;S - Apparel'!$C$5)</f>
        <v>6.0179338865644949</v>
      </c>
      <c r="AF50" s="60">
        <f>AE50*(1+'R&amp;S - Apparel'!$C$5)</f>
        <v>6.1443104981823486</v>
      </c>
      <c r="AG50" s="60">
        <f>AF50*(1+'R&amp;S - Apparel'!$C$5)</f>
        <v>6.2733410186441771</v>
      </c>
      <c r="AH50" s="60">
        <f>AG50*(1+'R&amp;S - Apparel'!$C$5)</f>
        <v>6.4050811800357046</v>
      </c>
    </row>
    <row r="51" spans="1:35" outlineLevel="1" x14ac:dyDescent="0.2">
      <c r="B51" s="61" t="s">
        <v>206</v>
      </c>
      <c r="C51" s="54" t="s">
        <v>153</v>
      </c>
      <c r="D51">
        <v>0</v>
      </c>
      <c r="E51" s="43">
        <f>E50*'R&amp;S - Apparel'!$C$7*'R&amp;S - Apparel'!$B$14*'R&amp;S - Apparel'!$B$17*('Yearly LC Ethylene'!E$3-'Yearly LC Ethylene'!$D$3)/10</f>
        <v>3.0675112983173075E-2</v>
      </c>
      <c r="F51" s="43">
        <f>F50*'R&amp;S - Apparel'!$C$7*'R&amp;S - Apparel'!$B$14*'R&amp;S - Apparel'!$B$17*('Yearly LC Ethylene'!F$3-'Yearly LC Ethylene'!$D$3)/10</f>
        <v>6.2638580711639413E-2</v>
      </c>
      <c r="G51" s="43">
        <f>G50*'R&amp;S - Apparel'!$C$7*'R&amp;S - Apparel'!$B$14*'R&amp;S - Apparel'!$B$17*('Yearly LC Ethylene'!G$3-'Yearly LC Ethylene'!$D$3)/10</f>
        <v>9.5930986359875764E-2</v>
      </c>
      <c r="H51" s="43">
        <f>H50*'R&amp;S - Apparel'!$C$7*'R&amp;S - Apparel'!$B$14*'R&amp;S - Apparel'!$B$17*('Yearly LC Ethylene'!H$3-'Yearly LC Ethylene'!$D$3)/10</f>
        <v>0.13059404943124417</v>
      </c>
      <c r="I51" s="43">
        <f>I50*'R&amp;S - Apparel'!$C$7*'R&amp;S - Apparel'!$B$14*'R&amp;S - Apparel'!$B$17*('Yearly LC Ethylene'!I$3-'Yearly LC Ethylene'!$D$3)/10</f>
        <v>0.16667065558662539</v>
      </c>
      <c r="J51" s="43">
        <f>J50*'R&amp;S - Apparel'!$C$7*'R&amp;S - Apparel'!$B$14*'R&amp;S - Apparel'!$B$17*('Yearly LC Ethylene'!J$3-'Yearly LC Ethylene'!$D$3)/10</f>
        <v>0.20420488722473343</v>
      </c>
      <c r="K51" s="43">
        <f>K50*'R&amp;S - Apparel'!$C$7*'R&amp;S - Apparel'!$B$14*'R&amp;S - Apparel'!$B$17*('Yearly LC Ethylene'!K$3-'Yearly LC Ethylene'!$D$3)/10</f>
        <v>0.24324205483252825</v>
      </c>
      <c r="L51" s="43">
        <f>L50*'R&amp;S - Apparel'!$C$7*'R&amp;S - Apparel'!$B$14*'R&amp;S - Apparel'!$B$17*('Yearly LC Ethylene'!L$3-'Yearly LC Ethylene'!$D$3)/10</f>
        <v>0.28382872912458434</v>
      </c>
      <c r="M51" s="43">
        <f>M50*'R&amp;S - Apparel'!$C$7*'R&amp;S - Apparel'!$B$14*'R&amp;S - Apparel'!$B$17*('Yearly LC Ethylene'!M$3-'Yearly LC Ethylene'!$D$3)/10</f>
        <v>0.3260127739907257</v>
      </c>
      <c r="N51" s="43">
        <f>N50*'R&amp;S - Apparel'!$C$7*'R&amp;S - Apparel'!$B$14*'R&amp;S - Apparel'!$B$17*('Yearly LC Ethylene'!N$3-'Yearly LC Ethylene'!$D$3)/10</f>
        <v>0.36984338027170105</v>
      </c>
      <c r="O51" s="43">
        <f>O50*'R&amp;S - Apparel'!$C$7*'R&amp;S - Apparel'!$B$14*('R&amp;S - Apparel'!$B$17+('R&amp;S - Apparel'!$B$18-'R&amp;S - Apparel'!$B$17)*('Yearly LC Ethylene'!O$3-'Yearly LC Ethylene'!$N$3)/10)</f>
        <v>0.38839895100761834</v>
      </c>
      <c r="P51" s="43">
        <f>P50*'R&amp;S - Apparel'!$C$7*'R&amp;S - Apparel'!$B$14*('R&amp;S - Apparel'!$B$17+('R&amp;S - Apparel'!$B$18-'R&amp;S - Apparel'!$B$17)*('Yearly LC Ethylene'!P$3-'Yearly LC Ethylene'!$N$3)/10)</f>
        <v>0.40757075478374433</v>
      </c>
      <c r="Q51" s="43">
        <f>Q50*'R&amp;S - Apparel'!$C$7*'R&amp;S - Apparel'!$B$14*('R&amp;S - Apparel'!$B$17+('R&amp;S - Apparel'!$B$18-'R&amp;S - Apparel'!$B$17)*('Yearly LC Ethylene'!Q$3-'Yearly LC Ethylene'!$N$3)/10)</f>
        <v>0.42737649038107334</v>
      </c>
      <c r="R51" s="43">
        <f>R50*'R&amp;S - Apparel'!$C$7*'R&amp;S - Apparel'!$B$14*('R&amp;S - Apparel'!$B$17+('R&amp;S - Apparel'!$B$18-'R&amp;S - Apparel'!$B$17)*('Yearly LC Ethylene'!R$3-'Yearly LC Ethylene'!$N$3)/10)</f>
        <v>0.44783432817063046</v>
      </c>
      <c r="S51" s="43">
        <f>S50*'R&amp;S - Apparel'!$C$7*'R&amp;S - Apparel'!$B$14*('R&amp;S - Apparel'!$B$17+('R&amp;S - Apparel'!$B$18-'R&amp;S - Apparel'!$B$17)*('Yearly LC Ethylene'!S$3-'Yearly LC Ethylene'!$N$3)/10)</f>
        <v>0.46896292211509094</v>
      </c>
      <c r="T51" s="43">
        <f>T50*'R&amp;S - Apparel'!$C$7*'R&amp;S - Apparel'!$B$14*('R&amp;S - Apparel'!$B$17+('R&amp;S - Apparel'!$B$18-'R&amp;S - Apparel'!$B$17)*('Yearly LC Ethylene'!T$3-'Yearly LC Ethylene'!$N$3)/10)</f>
        <v>0.49078142206649544</v>
      </c>
      <c r="U51" s="43">
        <f>U50*'R&amp;S - Apparel'!$C$7*'R&amp;S - Apparel'!$B$14*('R&amp;S - Apparel'!$B$17+('R&amp;S - Apparel'!$B$18-'R&amp;S - Apparel'!$B$17)*('Yearly LC Ethylene'!U$3-'Yearly LC Ethylene'!$N$3)/10)</f>
        <v>0.5133094863672063</v>
      </c>
      <c r="V51" s="43">
        <f>V50*'R&amp;S - Apparel'!$C$7*'R&amp;S - Apparel'!$B$14*('R&amp;S - Apparel'!$B$17+('R&amp;S - Apparel'!$B$18-'R&amp;S - Apparel'!$B$17)*('Yearly LC Ethylene'!V$3-'Yearly LC Ethylene'!$N$3)/10)</f>
        <v>0.53656729476141563</v>
      </c>
      <c r="W51" s="43">
        <f>W50*'R&amp;S - Apparel'!$C$7*'R&amp;S - Apparel'!$B$14*('R&amp;S - Apparel'!$B$17+('R&amp;S - Apparel'!$B$18-'R&amp;S - Apparel'!$B$17)*('Yearly LC Ethylene'!W$3-'Yearly LC Ethylene'!$N$3)/10)</f>
        <v>0.5605755616246938</v>
      </c>
      <c r="X51" s="43">
        <f>X50*'R&amp;S - Apparel'!$C$7*'R&amp;S - Apparel'!$B$14*('R&amp;S - Apparel'!$B$17+('R&amp;S - Apparel'!$B$18-'R&amp;S - Apparel'!$B$17)*('Yearly LC Ethylene'!X$3-'Yearly LC Ethylene'!$N$3)/10)</f>
        <v>0.58535554951923985</v>
      </c>
      <c r="Y51" s="43">
        <f>Y50*'R&amp;S - Apparel'!$C$7*'R&amp;S - Apparel'!$B$14*('R&amp;S - Apparel'!$B$18+('R&amp;S - Apparel'!$B$19-'R&amp;S - Apparel'!$B$18)*('Yearly LC Ethylene'!Y$3-'Yearly LC Ethylene'!$X$3)/10)</f>
        <v>0.60428854957091216</v>
      </c>
      <c r="Z51" s="43">
        <f>Z50*'R&amp;S - Apparel'!$C$7*'R&amp;S - Apparel'!$B$14*('R&amp;S - Apparel'!$B$18+('R&amp;S - Apparel'!$B$19-'R&amp;S - Apparel'!$B$18)*('Yearly LC Ethylene'!Z$3-'Yearly LC Ethylene'!$X$3)/10)</f>
        <v>0.62375859382741661</v>
      </c>
      <c r="AA51" s="43">
        <f>AA50*'R&amp;S - Apparel'!$C$7*'R&amp;S - Apparel'!$B$14*('R&amp;S - Apparel'!$B$18+('R&amp;S - Apparel'!$B$19-'R&amp;S - Apparel'!$B$18)*('Yearly LC Ethylene'!AA$3-'Yearly LC Ethylene'!$X$3)/10)</f>
        <v>0.64377988869233349</v>
      </c>
      <c r="AB51" s="43">
        <f>AB50*'R&amp;S - Apparel'!$C$7*'R&amp;S - Apparel'!$B$14*('R&amp;S - Apparel'!$B$18+('R&amp;S - Apparel'!$B$19-'R&amp;S - Apparel'!$B$18)*('Yearly LC Ethylene'!AB$3-'Yearly LC Ethylene'!$X$3)/10)</f>
        <v>0.66436700040169916</v>
      </c>
      <c r="AC51" s="43">
        <f>AC50*'R&amp;S - Apparel'!$C$7*'R&amp;S - Apparel'!$B$14*('R&amp;S - Apparel'!$B$18+('R&amp;S - Apparel'!$B$19-'R&amp;S - Apparel'!$B$18)*('Yearly LC Ethylene'!AC$3-'Yearly LC Ethylene'!$X$3)/10)</f>
        <v>0.68553486387194462</v>
      </c>
      <c r="AD51" s="43">
        <f>AD50*'R&amp;S - Apparel'!$C$7*'R&amp;S - Apparel'!$B$14*('R&amp;S - Apparel'!$B$18+('R&amp;S - Apparel'!$B$19-'R&amp;S - Apparel'!$B$18)*('Yearly LC Ethylene'!AD$3-'Yearly LC Ethylene'!$X$3)/10)</f>
        <v>0.70729879176076338</v>
      </c>
      <c r="AE51" s="43">
        <f>AE50*'R&amp;S - Apparel'!$C$7*'R&amp;S - Apparel'!$B$14*('R&amp;S - Apparel'!$B$18+('R&amp;S - Apparel'!$B$19-'R&amp;S - Apparel'!$B$18)*('Yearly LC Ethylene'!AE$3-'Yearly LC Ethylene'!$X$3)/10)</f>
        <v>0.72967448374594501</v>
      </c>
      <c r="AF51" s="43">
        <f>AF50*'R&amp;S - Apparel'!$C$7*'R&amp;S - Apparel'!$B$14*('R&amp;S - Apparel'!$B$18+('R&amp;S - Apparel'!$B$19-'R&amp;S - Apparel'!$B$18)*('Yearly LC Ethylene'!AF$3-'Yearly LC Ethylene'!$X$3)/10)</f>
        <v>0.75267803602733774</v>
      </c>
      <c r="AG51" s="43">
        <f>AG50*'R&amp;S - Apparel'!$C$7*'R&amp;S - Apparel'!$B$14*('R&amp;S - Apparel'!$B$18+('R&amp;S - Apparel'!$B$19-'R&amp;S - Apparel'!$B$18)*('Yearly LC Ethylene'!AG$3-'Yearly LC Ethylene'!$X$3)/10)</f>
        <v>0.77632595105721691</v>
      </c>
      <c r="AH51" s="43">
        <f>AH50*'R&amp;S - Apparel'!$C$7*'R&amp;S - Apparel'!$B$14*('R&amp;S - Apparel'!$B$18+('R&amp;S - Apparel'!$B$19-'R&amp;S - Apparel'!$B$18)*('Yearly LC Ethylene'!AH$3-'Yearly LC Ethylene'!$X$3)/10)</f>
        <v>0.80063514750446307</v>
      </c>
    </row>
    <row r="52" spans="1:35" outlineLevel="1" x14ac:dyDescent="0.2">
      <c r="B52" s="61" t="s">
        <v>207</v>
      </c>
      <c r="C52" s="54" t="s">
        <v>153</v>
      </c>
      <c r="D52">
        <v>0</v>
      </c>
      <c r="E52" s="43">
        <f>E50*'R&amp;S - Apparel'!$C$8*'R&amp;S - Apparel'!$B$14*'R&amp;S - Apparel'!$C$17*('Yearly LC Ethylene'!E$3-'Yearly LC Ethylene'!$D$3)/10</f>
        <v>1.1919472473461539E-2</v>
      </c>
      <c r="F52" s="43">
        <f>F50*'R&amp;S - Apparel'!$C$8*'R&amp;S - Apparel'!$B$14*'R&amp;S - Apparel'!$C$17*('Yearly LC Ethylene'!F$3-'Yearly LC Ethylene'!$D$3)/10</f>
        <v>2.4339562790808462E-2</v>
      </c>
      <c r="G52" s="43">
        <f>G50*'R&amp;S - Apparel'!$C$8*'R&amp;S - Apparel'!$B$14*'R&amp;S - Apparel'!$C$17*('Yearly LC Ethylene'!G$3-'Yearly LC Ethylene'!$D$3)/10</f>
        <v>3.7276040414123163E-2</v>
      </c>
      <c r="H52" s="43">
        <f>H50*'R&amp;S - Apparel'!$C$8*'R&amp;S - Apparel'!$B$14*'R&amp;S - Apparel'!$C$17*('Yearly LC Ethylene'!H$3-'Yearly LC Ethylene'!$D$3)/10</f>
        <v>5.074511635042632E-2</v>
      </c>
      <c r="I52" s="43">
        <f>I50*'R&amp;S - Apparel'!$C$8*'R&amp;S - Apparel'!$B$14*'R&amp;S - Apparel'!$C$17*('Yearly LC Ethylene'!I$3-'Yearly LC Ethylene'!$D$3)/10</f>
        <v>6.4763454742231594E-2</v>
      </c>
      <c r="J52" s="43">
        <f>J50*'R&amp;S - Apparel'!$C$8*'R&amp;S - Apparel'!$B$14*'R&amp;S - Apparel'!$C$17*('Yearly LC Ethylene'!J$3-'Yearly LC Ethylene'!$D$3)/10</f>
        <v>7.9348184750182127E-2</v>
      </c>
      <c r="K52" s="43">
        <f>K50*'R&amp;S - Apparel'!$C$8*'R&amp;S - Apparel'!$B$14*'R&amp;S - Apparel'!$C$17*('Yearly LC Ethylene'!K$3-'Yearly LC Ethylene'!$D$3)/10</f>
        <v>9.4516912734925282E-2</v>
      </c>
      <c r="L52" s="43">
        <f>L50*'R&amp;S - Apparel'!$C$8*'R&amp;S - Apparel'!$B$14*'R&amp;S - Apparel'!$C$17*('Yearly LC Ethylene'!L$3-'Yearly LC Ethylene'!$D$3)/10</f>
        <v>0.1102877347455528</v>
      </c>
      <c r="M52" s="43">
        <f>M50*'R&amp;S - Apparel'!$C$8*'R&amp;S - Apparel'!$B$14*'R&amp;S - Apparel'!$C$17*('Yearly LC Ethylene'!M$3-'Yearly LC Ethylene'!$D$3)/10</f>
        <v>0.12667924932211058</v>
      </c>
      <c r="N52" s="43">
        <f>N50*'R&amp;S - Apparel'!$C$8*'R&amp;S - Apparel'!$B$14*'R&amp;S - Apparel'!$C$17*('Yearly LC Ethylene'!N$3-'Yearly LC Ethylene'!$D$3)/10</f>
        <v>0.14371057061986101</v>
      </c>
      <c r="O52" s="43">
        <f>O50*'R&amp;S - Apparel'!$C$8*'R&amp;S - Apparel'!$B$14*('R&amp;S - Apparel'!$C$17+('R&amp;S - Apparel'!$C$18-'R&amp;S - Apparel'!$C$17)*('Yearly LC Ethylene'!O$3-'Yearly LC Ethylene'!$N$3)/10)</f>
        <v>0.16873776649330977</v>
      </c>
      <c r="P52" s="43">
        <f>P50*'R&amp;S - Apparel'!$C$8*'R&amp;S - Apparel'!$B$14*('R&amp;S - Apparel'!$C$17+('R&amp;S - Apparel'!$C$18-'R&amp;S - Apparel'!$C$17)*('Yearly LC Ethylene'!P$3-'Yearly LC Ethylene'!$N$3)/10)</f>
        <v>0.19475272823180004</v>
      </c>
      <c r="Q52" s="43">
        <f>Q50*'R&amp;S - Apparel'!$C$8*'R&amp;S - Apparel'!$B$14*('R&amp;S - Apparel'!$C$17+('R&amp;S - Apparel'!$C$18-'R&amp;S - Apparel'!$C$17)*('Yearly LC Ethylene'!Q$3-'Yearly LC Ethylene'!$N$3)/10)</f>
        <v>0.22178590500828335</v>
      </c>
      <c r="R52" s="43">
        <f>R50*'R&amp;S - Apparel'!$C$8*'R&amp;S - Apparel'!$B$14*('R&amp;S - Apparel'!$C$17+('R&amp;S - Apparel'!$C$18-'R&amp;S - Apparel'!$C$17)*('Yearly LC Ethylene'!R$3-'Yearly LC Ethylene'!$N$3)/10)</f>
        <v>0.24986858925622871</v>
      </c>
      <c r="S52" s="43">
        <f>S50*'R&amp;S - Apparel'!$C$8*'R&amp;S - Apparel'!$B$14*('R&amp;S - Apparel'!$C$17+('R&amp;S - Apparel'!$C$18-'R&amp;S - Apparel'!$C$17)*('Yearly LC Ethylene'!S$3-'Yearly LC Ethylene'!$N$3)/10)</f>
        <v>0.27903293865847911</v>
      </c>
      <c r="T52" s="43">
        <f>T50*'R&amp;S - Apparel'!$C$8*'R&amp;S - Apparel'!$B$14*('R&amp;S - Apparel'!$C$17+('R&amp;S - Apparel'!$C$18-'R&amp;S - Apparel'!$C$17)*('Yearly LC Ethylene'!T$3-'Yearly LC Ethylene'!$N$3)/10)</f>
        <v>0.3093119986877621</v>
      </c>
      <c r="U52" s="43">
        <f>U50*'R&amp;S - Apparel'!$C$8*'R&amp;S - Apparel'!$B$14*('R&amp;S - Apparel'!$C$17+('R&amp;S - Apparel'!$C$18-'R&amp;S - Apparel'!$C$17)*('Yearly LC Ethylene'!U$3-'Yearly LC Ethylene'!$N$3)/10)</f>
        <v>0.34073972571232652</v>
      </c>
      <c r="V52" s="43">
        <f>V50*'R&amp;S - Apparel'!$C$8*'R&amp;S - Apparel'!$B$14*('R&amp;S - Apparel'!$C$17+('R&amp;S - Apparel'!$C$18-'R&amp;S - Apparel'!$C$17)*('Yearly LC Ethylene'!V$3-'Yearly LC Ethylene'!$N$3)/10)</f>
        <v>0.37335101068050131</v>
      </c>
      <c r="W52" s="43">
        <f>W50*'R&amp;S - Apparel'!$C$8*'R&amp;S - Apparel'!$B$14*('R&amp;S - Apparel'!$C$17+('R&amp;S - Apparel'!$C$18-'R&amp;S - Apparel'!$C$17)*('Yearly LC Ethylene'!W$3-'Yearly LC Ethylene'!$N$3)/10)</f>
        <v>0.40718170339830034</v>
      </c>
      <c r="X52" s="43">
        <f>X50*'R&amp;S - Apparel'!$C$8*'R&amp;S - Apparel'!$B$14*('R&amp;S - Apparel'!$C$17+('R&amp;S - Apparel'!$C$18-'R&amp;S - Apparel'!$C$17)*('Yearly LC Ethylene'!X$3-'Yearly LC Ethylene'!$N$3)/10)</f>
        <v>0.44226863741453681</v>
      </c>
      <c r="Y52" s="43">
        <f>Y50*'R&amp;S - Apparel'!$C$8*'R&amp;S - Apparel'!$B$14*('R&amp;S - Apparel'!$C$18+('R&amp;S - Apparel'!$C$19-'R&amp;S - Apparel'!$C$18)*('Yearly LC Ethylene'!Y$3-'Yearly LC Ethylene'!$X$3)/10)</f>
        <v>0.49671190668026632</v>
      </c>
      <c r="Z52" s="43">
        <f>Z50*'R&amp;S - Apparel'!$C$8*'R&amp;S - Apparel'!$B$14*('R&amp;S - Apparel'!$C$18+('R&amp;S - Apparel'!$C$19-'R&amp;S - Apparel'!$C$18)*('Yearly LC Ethylene'!Z$3-'Yearly LC Ethylene'!$X$3)/10)</f>
        <v>0.55324675278605651</v>
      </c>
      <c r="AA52" s="43">
        <f>AA50*'R&amp;S - Apparel'!$C$8*'R&amp;S - Apparel'!$B$14*('R&amp;S - Apparel'!$C$18+('R&amp;S - Apparel'!$C$19-'R&amp;S - Apparel'!$C$18)*('Yearly LC Ethylene'!AA$3-'Yearly LC Ethylene'!$X$3)/10)</f>
        <v>0.61193701247744392</v>
      </c>
      <c r="AB52" s="43">
        <f>AB50*'R&amp;S - Apparel'!$C$8*'R&amp;S - Apparel'!$B$14*('R&amp;S - Apparel'!$C$18+('R&amp;S - Apparel'!$C$19-'R&amp;S - Apparel'!$C$18)*('Yearly LC Ethylene'!AB$3-'Yearly LC Ethylene'!$X$3)/10)</f>
        <v>0.67284828125789098</v>
      </c>
      <c r="AC52" s="43">
        <f>AC50*'R&amp;S - Apparel'!$C$8*'R&amp;S - Apparel'!$B$14*('R&amp;S - Apparel'!$C$18+('R&amp;S - Apparel'!$C$19-'R&amp;S - Apparel'!$C$18)*('Yearly LC Ethylene'!AC$3-'Yearly LC Ethylene'!$X$3)/10)</f>
        <v>0.73604795910461429</v>
      </c>
      <c r="AD52" s="43">
        <f>AD50*'R&amp;S - Apparel'!$C$8*'R&amp;S - Apparel'!$B$14*('R&amp;S - Apparel'!$C$18+('R&amp;S - Apparel'!$C$19-'R&amp;S - Apparel'!$C$18)*('Yearly LC Ethylene'!AD$3-'Yearly LC Ethylene'!$X$3)/10)</f>
        <v>0.80160529732886521</v>
      </c>
      <c r="AE52" s="43">
        <f>AE50*'R&amp;S - Apparel'!$C$8*'R&amp;S - Apparel'!$B$14*('R&amp;S - Apparel'!$C$18+('R&amp;S - Apparel'!$C$19-'R&amp;S - Apparel'!$C$18)*('Yearly LC Ethylene'!AE$3-'Yearly LC Ethylene'!$X$3)/10)</f>
        <v>0.86959144660856957</v>
      </c>
      <c r="AF52" s="43">
        <f>AF50*'R&amp;S - Apparel'!$C$8*'R&amp;S - Apparel'!$B$14*('R&amp;S - Apparel'!$C$18+('R&amp;S - Apparel'!$C$19-'R&amp;S - Apparel'!$C$18)*('Yearly LC Ethylene'!AF$3-'Yearly LC Ethylene'!$X$3)/10)</f>
        <v>0.9400795062218994</v>
      </c>
      <c r="AG52" s="43">
        <f>AG50*'R&amp;S - Apparel'!$C$8*'R&amp;S - Apparel'!$B$14*('R&amp;S - Apparel'!$C$18+('R&amp;S - Apparel'!$C$19-'R&amp;S - Apparel'!$C$18)*('Yearly LC Ethylene'!AG$3-'Yearly LC Ethylene'!$X$3)/10)</f>
        <v>1.0131445745110346</v>
      </c>
      <c r="AH52" s="43">
        <f>AH50*'R&amp;S - Apparel'!$C$8*'R&amp;S - Apparel'!$B$14*('R&amp;S - Apparel'!$C$18+('R&amp;S - Apparel'!$C$19-'R&amp;S - Apparel'!$C$18)*('Yearly LC Ethylene'!AH$3-'Yearly LC Ethylene'!$X$3)/10)</f>
        <v>1.0888638006060698</v>
      </c>
    </row>
    <row r="53" spans="1:35" outlineLevel="1" x14ac:dyDescent="0.2">
      <c r="B53" s="1" t="s">
        <v>168</v>
      </c>
      <c r="C53" s="54" t="s">
        <v>153</v>
      </c>
      <c r="D53" s="44">
        <f>SUM(D51:D52)</f>
        <v>0</v>
      </c>
      <c r="E53" s="44">
        <f t="shared" ref="E53:AG53" si="12">SUM(E51:E52)</f>
        <v>4.2594585456634616E-2</v>
      </c>
      <c r="F53" s="44">
        <f t="shared" si="12"/>
        <v>8.6978143502447869E-2</v>
      </c>
      <c r="G53" s="44">
        <f t="shared" si="12"/>
        <v>0.13320702677399893</v>
      </c>
      <c r="H53" s="44">
        <f t="shared" si="12"/>
        <v>0.18133916578167047</v>
      </c>
      <c r="I53" s="44">
        <f t="shared" si="12"/>
        <v>0.23143411032885697</v>
      </c>
      <c r="J53" s="44">
        <f t="shared" si="12"/>
        <v>0.28355307197491553</v>
      </c>
      <c r="K53" s="44">
        <f t="shared" si="12"/>
        <v>0.33775896756745355</v>
      </c>
      <c r="L53" s="44">
        <f t="shared" si="12"/>
        <v>0.39411646387013716</v>
      </c>
      <c r="M53" s="44">
        <f t="shared" si="12"/>
        <v>0.45269202331283631</v>
      </c>
      <c r="N53" s="44">
        <f t="shared" si="12"/>
        <v>0.51355395089156208</v>
      </c>
      <c r="O53" s="44">
        <f t="shared" si="12"/>
        <v>0.55713671750092808</v>
      </c>
      <c r="P53" s="44">
        <f t="shared" si="12"/>
        <v>0.60232348301554439</v>
      </c>
      <c r="Q53" s="44">
        <f t="shared" si="12"/>
        <v>0.64916239538935672</v>
      </c>
      <c r="R53" s="44">
        <f t="shared" si="12"/>
        <v>0.69770291742685919</v>
      </c>
      <c r="S53" s="44">
        <f t="shared" si="12"/>
        <v>0.74799586077357005</v>
      </c>
      <c r="T53" s="44">
        <f t="shared" si="12"/>
        <v>0.8000934207542576</v>
      </c>
      <c r="U53" s="44">
        <f t="shared" si="12"/>
        <v>0.85404921207953288</v>
      </c>
      <c r="V53" s="44">
        <f t="shared" si="12"/>
        <v>0.90991830544191687</v>
      </c>
      <c r="W53" s="44">
        <f t="shared" si="12"/>
        <v>0.9677572650229942</v>
      </c>
      <c r="X53" s="44">
        <f t="shared" si="12"/>
        <v>1.0276241869337768</v>
      </c>
      <c r="Y53" s="44">
        <f t="shared" si="12"/>
        <v>1.1010004562511786</v>
      </c>
      <c r="Z53" s="44">
        <f t="shared" si="12"/>
        <v>1.1770053466134731</v>
      </c>
      <c r="AA53" s="44">
        <f t="shared" si="12"/>
        <v>1.2557169011697775</v>
      </c>
      <c r="AB53" s="44">
        <f t="shared" si="12"/>
        <v>1.3372152816595901</v>
      </c>
      <c r="AC53" s="44">
        <f t="shared" si="12"/>
        <v>1.4215828229765588</v>
      </c>
      <c r="AD53" s="44">
        <f t="shared" si="12"/>
        <v>1.5089040890896286</v>
      </c>
      <c r="AE53" s="44">
        <f t="shared" si="12"/>
        <v>1.5992659303545147</v>
      </c>
      <c r="AF53" s="44">
        <f t="shared" si="12"/>
        <v>1.6927575422492371</v>
      </c>
      <c r="AG53" s="44">
        <f t="shared" si="12"/>
        <v>1.7894705255682515</v>
      </c>
      <c r="AH53" s="44">
        <f>SUM(AH51:AH52)</f>
        <v>1.8894989481105329</v>
      </c>
    </row>
    <row r="54" spans="1:35" outlineLevel="1" x14ac:dyDescent="0.2">
      <c r="B54" s="1" t="s">
        <v>172</v>
      </c>
      <c r="C54" s="54" t="s">
        <v>153</v>
      </c>
      <c r="D54">
        <v>0</v>
      </c>
      <c r="E54" s="43">
        <f>E50*'R&amp;S - Apparel'!$C$10*'R&amp;S - Apparel'!$B$14*'R&amp;S - Apparel'!$D$17*(E$3-$D$3)/10</f>
        <v>1.1568899753653848E-2</v>
      </c>
      <c r="F54" s="43">
        <f>F50*'R&amp;S - Apparel'!$C$10*'R&amp;S - Apparel'!$B$14*'R&amp;S - Apparel'!$D$17*(F$3-$D$3)/10</f>
        <v>2.3623693296961155E-2</v>
      </c>
      <c r="G54" s="43">
        <f>G50*'R&amp;S - Apparel'!$C$10*'R&amp;S - Apparel'!$B$14*'R&amp;S - Apparel'!$D$17*(G$3-$D$3)/10</f>
        <v>3.6179686284296006E-2</v>
      </c>
      <c r="H54" s="43">
        <f>H50*'R&amp;S - Apparel'!$C$10*'R&amp;S - Apparel'!$B$14*'R&amp;S - Apparel'!$D$17*(H$3-$D$3)/10</f>
        <v>4.9252612928354957E-2</v>
      </c>
      <c r="I54" s="43">
        <f>I50*'R&amp;S - Apparel'!$C$10*'R&amp;S - Apparel'!$B$14*'R&amp;S - Apparel'!$D$17*(I$3-$D$3)/10</f>
        <v>6.2858647249813007E-2</v>
      </c>
      <c r="J54" s="43">
        <f>J50*'R&amp;S - Apparel'!$C$10*'R&amp;S - Apparel'!$B$14*'R&amp;S - Apparel'!$D$17*(J$3-$D$3)/10</f>
        <v>7.7014414610470899E-2</v>
      </c>
      <c r="K54" s="43">
        <f>K50*'R&amp;S - Apparel'!$C$10*'R&amp;S - Apparel'!$B$14*'R&amp;S - Apparel'!$D$17*(K$3-$D$3)/10</f>
        <v>9.1737003536839237E-2</v>
      </c>
      <c r="L54" s="43">
        <f>L50*'R&amp;S - Apparel'!$C$10*'R&amp;S - Apparel'!$B$14*'R&amp;S - Apparel'!$D$17*(L$3-$D$3)/10</f>
        <v>0.10704397784127181</v>
      </c>
      <c r="M54" s="43">
        <f>M50*'R&amp;S - Apparel'!$C$10*'R&amp;S - Apparel'!$B$14*'R&amp;S - Apparel'!$D$17*(M$3-$D$3)/10</f>
        <v>0.12295338904793085</v>
      </c>
      <c r="N54" s="43">
        <f>N50*'R&amp;S - Apparel'!$C$10*'R&amp;S - Apparel'!$B$14*'R&amp;S - Apparel'!$D$17*(N$3-$D$3)/10</f>
        <v>0.13948378913104156</v>
      </c>
      <c r="O54" s="43">
        <f>O50*'R&amp;S - Apparel'!$C$10*'R&amp;S - Apparel'!$B$14*('R&amp;S - Apparel'!$D$17+('R&amp;S - Apparel'!$D$18-'R&amp;S - Apparel'!$D$17)*(O$3-$N$3)/10)</f>
        <v>0.15665424357307273</v>
      </c>
      <c r="P54" s="43">
        <f>P50*'R&amp;S - Apparel'!$C$10*'R&amp;S - Apparel'!$B$14*('R&amp;S - Apparel'!$D$17+('R&amp;S - Apparel'!$D$18-'R&amp;S - Apparel'!$D$17)*(P$3-$N$3)/10)</f>
        <v>0.17448434475066246</v>
      </c>
      <c r="Q54" s="43">
        <f>Q50*'R&amp;S - Apparel'!$C$10*'R&amp;S - Apparel'!$B$14*('R&amp;S - Apparel'!$D$17+('R&amp;S - Apparel'!$D$18-'R&amp;S - Apparel'!$D$17)*(Q$3-$N$3)/10)</f>
        <v>0.19299422565629523</v>
      </c>
      <c r="R54" s="43">
        <f>R50*'R&amp;S - Apparel'!$C$10*'R&amp;S - Apparel'!$B$14*('R&amp;S - Apparel'!$D$17+('R&amp;S - Apparel'!$D$18-'R&amp;S - Apparel'!$D$17)*(R$3-$N$3)/10)</f>
        <v>0.2122045739639295</v>
      </c>
      <c r="S54" s="43">
        <f>S50*'R&amp;S - Apparel'!$C$10*'R&amp;S - Apparel'!$B$14*('R&amp;S - Apparel'!$D$17+('R&amp;S - Apparel'!$D$18-'R&amp;S - Apparel'!$D$17)*(S$3-$N$3)/10)</f>
        <v>0.23213664644697002</v>
      </c>
      <c r="T54" s="43">
        <f>T50*'R&amp;S - Apparel'!$C$10*'R&amp;S - Apparel'!$B$14*('R&amp;S - Apparel'!$D$17+('R&amp;S - Apparel'!$D$18-'R&amp;S - Apparel'!$D$17)*(T$3-$N$3)/10)</f>
        <v>0.25281228375718012</v>
      </c>
      <c r="U54" s="43">
        <f>U50*'R&amp;S - Apparel'!$C$10*'R&amp;S - Apparel'!$B$14*('R&amp;S - Apparel'!$D$17+('R&amp;S - Apparel'!$D$18-'R&amp;S - Apparel'!$D$17)*(U$3-$N$3)/10)</f>
        <v>0.27425392557333594</v>
      </c>
      <c r="V54" s="43">
        <f>V50*'R&amp;S - Apparel'!$C$10*'R&amp;S - Apparel'!$B$14*('R&amp;S - Apparel'!$D$17+('R&amp;S - Apparel'!$D$18-'R&amp;S - Apparel'!$D$17)*(V$3-$N$3)/10)</f>
        <v>0.29648462612863341</v>
      </c>
      <c r="W54" s="43">
        <f>W50*'R&amp;S - Apparel'!$C$10*'R&amp;S - Apparel'!$B$14*('R&amp;S - Apparel'!$D$17+('R&amp;S - Apparel'!$D$18-'R&amp;S - Apparel'!$D$17)*(W$3-$N$3)/10)</f>
        <v>0.31952807012607548</v>
      </c>
      <c r="X54" s="43">
        <f>X50*'R&amp;S - Apparel'!$C$10*'R&amp;S - Apparel'!$B$14*('R&amp;S - Apparel'!$D$17+('R&amp;S - Apparel'!$D$18-'R&amp;S - Apparel'!$D$17)*(X$3-$N$3)/10)</f>
        <v>0.34340858905128741</v>
      </c>
      <c r="Y54" s="43">
        <f>Y50*'R&amp;S - Apparel'!$C$10*'R&amp;S - Apparel'!$B$14*('R&amp;S - Apparel'!$D$18+('R&amp;S - Apparel'!$D$19-'R&amp;S - Apparel'!$D$18)*(Y$3-$X$3)/10)</f>
        <v>0.36868242057337414</v>
      </c>
      <c r="Z54" s="43">
        <f>Z50*'R&amp;S - Apparel'!$C$10*'R&amp;S - Apparel'!$B$14*('R&amp;S - Apparel'!$D$18+('R&amp;S - Apparel'!$D$19-'R&amp;S - Apparel'!$D$18)*(Z$3-$X$3)/10)</f>
        <v>0.3948663098316168</v>
      </c>
      <c r="AA54" s="43">
        <f>AA50*'R&amp;S - Apparel'!$C$10*'R&amp;S - Apparel'!$B$14*('R&amp;S - Apparel'!$D$18+('R&amp;S - Apparel'!$D$19-'R&amp;S - Apparel'!$D$18)*(AA$3-$X$3)/10)</f>
        <v>0.42198733349123285</v>
      </c>
      <c r="AB54" s="43">
        <f>AB50*'R&amp;S - Apparel'!$C$10*'R&amp;S - Apparel'!$B$14*('R&amp;S - Apparel'!$D$18+('R&amp;S - Apparel'!$D$19-'R&amp;S - Apparel'!$D$18)*(AB$3-$X$3)/10)</f>
        <v>0.45007330410191704</v>
      </c>
      <c r="AC54" s="43">
        <f>AC50*'R&amp;S - Apparel'!$C$10*'R&amp;S - Apparel'!$B$14*('R&amp;S - Apparel'!$D$18+('R&amp;S - Apparel'!$D$19-'R&amp;S - Apparel'!$D$18)*(AC$3-$X$3)/10)</f>
        <v>0.47915278906418035</v>
      </c>
      <c r="AD54" s="43">
        <f>AD50*'R&amp;S - Apparel'!$C$10*'R&amp;S - Apparel'!$B$14*('R&amp;S - Apparel'!$D$18+('R&amp;S - Apparel'!$D$19-'R&amp;S - Apparel'!$D$18)*(AD$3-$X$3)/10)</f>
        <v>0.5092551300677497</v>
      </c>
      <c r="AE54" s="43">
        <f>AE50*'R&amp;S - Apparel'!$C$10*'R&amp;S - Apparel'!$B$14*('R&amp;S - Apparel'!$D$18+('R&amp;S - Apparel'!$D$19-'R&amp;S - Apparel'!$D$18)*(AE$3-$X$3)/10)</f>
        <v>0.5404104630134916</v>
      </c>
      <c r="AF54" s="43">
        <f>AF50*'R&amp;S - Apparel'!$C$10*'R&amp;S - Apparel'!$B$14*('R&amp;S - Apparel'!$D$18+('R&amp;S - Apparel'!$D$19-'R&amp;S - Apparel'!$D$18)*(AF$3-$X$3)/10)</f>
        <v>0.57264973843059497</v>
      </c>
      <c r="AG54" s="43">
        <f>AG50*'R&amp;S - Apparel'!$C$10*'R&amp;S - Apparel'!$B$14*('R&amp;S - Apparel'!$D$18+('R&amp;S - Apparel'!$D$19-'R&amp;S - Apparel'!$D$18)*(AG$3-$X$3)/10)</f>
        <v>0.60600474240102753</v>
      </c>
      <c r="AH54" s="43">
        <f>AH50*'R&amp;S - Apparel'!$C$10*'R&amp;S - Apparel'!$B$14*('R&amp;S - Apparel'!$D$18+('R&amp;S - Apparel'!$D$19-'R&amp;S - Apparel'!$D$18)*(AH$3-$X$3)/10)</f>
        <v>0.64050811800357055</v>
      </c>
    </row>
    <row r="55" spans="1:35" x14ac:dyDescent="0.2">
      <c r="B55" s="1" t="s">
        <v>197</v>
      </c>
      <c r="C55" s="65" t="s">
        <v>153</v>
      </c>
      <c r="D55" s="66">
        <f>D50-D53-D54</f>
        <v>3.4336211538461541</v>
      </c>
      <c r="E55" s="66">
        <f t="shared" ref="E55:AH55" si="13">E50-E53-E54</f>
        <v>3.4515637128666348</v>
      </c>
      <c r="F55" s="66">
        <f t="shared" si="13"/>
        <v>3.4687456324371291</v>
      </c>
      <c r="G55" s="66">
        <f t="shared" si="13"/>
        <v>3.4851270530322105</v>
      </c>
      <c r="H55" s="66">
        <f t="shared" si="13"/>
        <v>3.5006667764683801</v>
      </c>
      <c r="I55" s="66">
        <f t="shared" si="13"/>
        <v>3.5153222272584816</v>
      </c>
      <c r="J55" s="66">
        <f t="shared" si="13"/>
        <v>3.5290494129333454</v>
      </c>
      <c r="K55" s="66">
        <f t="shared" si="13"/>
        <v>3.5418028833043316</v>
      </c>
      <c r="L55" s="66">
        <f t="shared" si="13"/>
        <v>3.553535688639796</v>
      </c>
      <c r="M55" s="66">
        <f t="shared" si="13"/>
        <v>3.5641993367278131</v>
      </c>
      <c r="N55" s="66">
        <f t="shared" si="13"/>
        <v>3.5737437487968373</v>
      </c>
      <c r="O55" s="66">
        <f t="shared" si="13"/>
        <v>3.6017529390106477</v>
      </c>
      <c r="P55" s="66">
        <f t="shared" si="13"/>
        <v>3.6293624942202189</v>
      </c>
      <c r="Q55" s="66">
        <f t="shared" si="13"/>
        <v>3.6565432777024882</v>
      </c>
      <c r="R55" s="66">
        <f t="shared" si="13"/>
        <v>3.6832651052310617</v>
      </c>
      <c r="S55" s="66">
        <f t="shared" si="13"/>
        <v>3.7094967139303692</v>
      </c>
      <c r="T55" s="66">
        <f t="shared" si="13"/>
        <v>3.7352057302836403</v>
      </c>
      <c r="U55" s="66">
        <f t="shared" si="13"/>
        <v>3.7603586372729056</v>
      </c>
      <c r="V55" s="66">
        <f t="shared" si="13"/>
        <v>3.7849207406286651</v>
      </c>
      <c r="W55" s="66">
        <f t="shared" si="13"/>
        <v>3.8088561341663283</v>
      </c>
      <c r="X55" s="66">
        <f t="shared" si="13"/>
        <v>3.8321276641859563</v>
      </c>
      <c r="Y55" s="66">
        <f t="shared" si="13"/>
        <v>3.8427439325900599</v>
      </c>
      <c r="Z55" s="66">
        <f t="shared" si="13"/>
        <v>3.8521161159672284</v>
      </c>
      <c r="AA55" s="66">
        <f t="shared" si="13"/>
        <v>3.860187280971966</v>
      </c>
      <c r="AB55" s="66">
        <f t="shared" si="13"/>
        <v>3.8668986516997612</v>
      </c>
      <c r="AC55" s="66">
        <f t="shared" si="13"/>
        <v>3.872189557407216</v>
      </c>
      <c r="AD55" s="66">
        <f t="shared" si="13"/>
        <v>3.8759973788489832</v>
      </c>
      <c r="AE55" s="66">
        <f t="shared" si="13"/>
        <v>3.8782574931964882</v>
      </c>
      <c r="AF55" s="66">
        <f t="shared" si="13"/>
        <v>3.8789032175025167</v>
      </c>
      <c r="AG55" s="66">
        <f t="shared" si="13"/>
        <v>3.8778657506748981</v>
      </c>
      <c r="AH55" s="66">
        <f t="shared" si="13"/>
        <v>3.8750741139216012</v>
      </c>
    </row>
    <row r="56" spans="1:35" s="67" customFormat="1" x14ac:dyDescent="0.2">
      <c r="A56" s="687" t="s">
        <v>257</v>
      </c>
      <c r="B56" s="58" t="s">
        <v>258</v>
      </c>
      <c r="C56" s="59" t="s">
        <v>153</v>
      </c>
      <c r="D56" s="60">
        <f>D55*('Demand Breakdown - Ethylene'!$C$77)</f>
        <v>0</v>
      </c>
      <c r="E56" s="60">
        <f>E55*('Demand Breakdown - Ethylene'!$C$77)</f>
        <v>0</v>
      </c>
      <c r="F56" s="60">
        <f>F55*('Demand Breakdown - Ethylene'!$C$77)</f>
        <v>0</v>
      </c>
      <c r="G56" s="60">
        <f>G55*('Demand Breakdown - Ethylene'!$C$77)</f>
        <v>0</v>
      </c>
      <c r="H56" s="60">
        <f>H55*('Demand Breakdown - Ethylene'!$C$77)</f>
        <v>0</v>
      </c>
      <c r="I56" s="60">
        <f>I55*('Demand Breakdown - Ethylene'!$C$77)</f>
        <v>0</v>
      </c>
      <c r="J56" s="60">
        <f>J55*('Demand Breakdown - Ethylene'!$C$77)</f>
        <v>0</v>
      </c>
      <c r="K56" s="60">
        <f>K55*('Demand Breakdown - Ethylene'!$C$77)</f>
        <v>0</v>
      </c>
      <c r="L56" s="60">
        <f>L55*('Demand Breakdown - Ethylene'!$C$77)</f>
        <v>0</v>
      </c>
      <c r="M56" s="60">
        <f>M55*('Demand Breakdown - Ethylene'!$C$77)</f>
        <v>0</v>
      </c>
      <c r="N56" s="60">
        <f>N55*('Demand Breakdown - Ethylene'!$C$77)</f>
        <v>0</v>
      </c>
      <c r="O56" s="60">
        <f>O55*('Demand Breakdown - Ethylene'!$C$77)</f>
        <v>0</v>
      </c>
      <c r="P56" s="60">
        <f>P55*('Demand Breakdown - Ethylene'!$C$77)</f>
        <v>0</v>
      </c>
      <c r="Q56" s="60">
        <f>Q55*('Demand Breakdown - Ethylene'!$C$77)</f>
        <v>0</v>
      </c>
      <c r="R56" s="60">
        <f>R55*('Demand Breakdown - Ethylene'!$C$77)</f>
        <v>0</v>
      </c>
      <c r="S56" s="60">
        <f>S55*('Demand Breakdown - Ethylene'!$C$77)</f>
        <v>0</v>
      </c>
      <c r="T56" s="60">
        <f>T55*('Demand Breakdown - Ethylene'!$C$77)</f>
        <v>0</v>
      </c>
      <c r="U56" s="60">
        <f>U55*('Demand Breakdown - Ethylene'!$C$77)</f>
        <v>0</v>
      </c>
      <c r="V56" s="60">
        <f>V55*('Demand Breakdown - Ethylene'!$C$77)</f>
        <v>0</v>
      </c>
      <c r="W56" s="60">
        <f>W55*('Demand Breakdown - Ethylene'!$C$77)</f>
        <v>0</v>
      </c>
      <c r="X56" s="60">
        <f>X55*('Demand Breakdown - Ethylene'!$C$77)</f>
        <v>0</v>
      </c>
      <c r="Y56" s="60">
        <f>Y55*('Demand Breakdown - Ethylene'!$C$77)</f>
        <v>0</v>
      </c>
      <c r="Z56" s="60">
        <f>Z55*('Demand Breakdown - Ethylene'!$C$77)</f>
        <v>0</v>
      </c>
      <c r="AA56" s="60">
        <f>AA55*('Demand Breakdown - Ethylene'!$C$77)</f>
        <v>0</v>
      </c>
      <c r="AB56" s="60">
        <f>AB55*('Demand Breakdown - Ethylene'!$C$77)</f>
        <v>0</v>
      </c>
      <c r="AC56" s="60">
        <f>AC55*('Demand Breakdown - Ethylene'!$C$77)</f>
        <v>0</v>
      </c>
      <c r="AD56" s="60">
        <f>AD55*('Demand Breakdown - Ethylene'!$C$77)</f>
        <v>0</v>
      </c>
      <c r="AE56" s="60">
        <f>AE55*('Demand Breakdown - Ethylene'!$C$77)</f>
        <v>0</v>
      </c>
      <c r="AF56" s="60">
        <f>AF55*('Demand Breakdown - Ethylene'!$C$77)</f>
        <v>0</v>
      </c>
      <c r="AG56" s="60">
        <f>AG55*('Demand Breakdown - Ethylene'!$C$77)</f>
        <v>0</v>
      </c>
      <c r="AH56" s="60">
        <f>AH55*('Demand Breakdown - Ethylene'!$C$77)</f>
        <v>0</v>
      </c>
      <c r="AI56" s="60"/>
    </row>
    <row r="57" spans="1:35" x14ac:dyDescent="0.2">
      <c r="A57" s="688"/>
      <c r="B57" s="1" t="s">
        <v>260</v>
      </c>
      <c r="C57" s="54" t="s">
        <v>153</v>
      </c>
      <c r="D57" s="44">
        <f>D61</f>
        <v>3.4336211538461541</v>
      </c>
      <c r="E57" s="44">
        <f t="shared" ref="E57:AH57" si="14">E61</f>
        <v>3.4515637128666348</v>
      </c>
      <c r="F57" s="44">
        <f t="shared" si="14"/>
        <v>3.4687456324371291</v>
      </c>
      <c r="G57" s="44">
        <f t="shared" si="14"/>
        <v>3.4851270530322105</v>
      </c>
      <c r="H57" s="44">
        <f t="shared" si="14"/>
        <v>3.5006667764683801</v>
      </c>
      <c r="I57" s="44">
        <f t="shared" si="14"/>
        <v>3.5153222272584816</v>
      </c>
      <c r="J57" s="44">
        <f t="shared" si="14"/>
        <v>3.5290494129333454</v>
      </c>
      <c r="K57" s="44">
        <f t="shared" si="14"/>
        <v>3.5418028833043316</v>
      </c>
      <c r="L57" s="44">
        <f t="shared" si="14"/>
        <v>3.553535688639796</v>
      </c>
      <c r="M57" s="44">
        <f t="shared" si="14"/>
        <v>3.5641993367278131</v>
      </c>
      <c r="N57" s="44">
        <f t="shared" si="14"/>
        <v>3.5737437487968373</v>
      </c>
      <c r="O57" s="44">
        <f t="shared" si="14"/>
        <v>3.6017529390106477</v>
      </c>
      <c r="P57" s="44">
        <f t="shared" si="14"/>
        <v>3.6293624942202189</v>
      </c>
      <c r="Q57" s="44">
        <f t="shared" si="14"/>
        <v>3.6565432777024882</v>
      </c>
      <c r="R57" s="44">
        <f t="shared" si="14"/>
        <v>3.6832651052310617</v>
      </c>
      <c r="S57" s="44">
        <f t="shared" si="14"/>
        <v>3.7094967139303692</v>
      </c>
      <c r="T57" s="44">
        <f t="shared" si="14"/>
        <v>3.7352057302836403</v>
      </c>
      <c r="U57" s="44">
        <f t="shared" si="14"/>
        <v>3.7603586372729056</v>
      </c>
      <c r="V57" s="44">
        <f t="shared" si="14"/>
        <v>3.7849207406286651</v>
      </c>
      <c r="W57" s="44">
        <f t="shared" si="14"/>
        <v>3.8088561341663283</v>
      </c>
      <c r="X57" s="44">
        <f t="shared" si="14"/>
        <v>3.8321276641859563</v>
      </c>
      <c r="Y57" s="44">
        <f t="shared" si="14"/>
        <v>3.8427439325900599</v>
      </c>
      <c r="Z57" s="44">
        <f t="shared" si="14"/>
        <v>3.8521161159672284</v>
      </c>
      <c r="AA57" s="44">
        <f t="shared" si="14"/>
        <v>3.860187280971966</v>
      </c>
      <c r="AB57" s="44">
        <f t="shared" si="14"/>
        <v>3.8668986516997612</v>
      </c>
      <c r="AC57" s="44">
        <f t="shared" si="14"/>
        <v>3.872189557407216</v>
      </c>
      <c r="AD57" s="44">
        <f t="shared" si="14"/>
        <v>3.8759973788489832</v>
      </c>
      <c r="AE57" s="44">
        <f t="shared" si="14"/>
        <v>3.8782574931964882</v>
      </c>
      <c r="AF57" s="44">
        <f t="shared" si="14"/>
        <v>3.8789032175025167</v>
      </c>
      <c r="AG57" s="44">
        <f t="shared" si="14"/>
        <v>3.8778657506748981</v>
      </c>
      <c r="AH57" s="44">
        <f t="shared" si="14"/>
        <v>3.8750741139216012</v>
      </c>
      <c r="AI57" s="44"/>
    </row>
    <row r="58" spans="1:35" x14ac:dyDescent="0.2">
      <c r="A58" s="688"/>
      <c r="B58" s="1" t="s">
        <v>262</v>
      </c>
      <c r="C58" s="54" t="s">
        <v>153</v>
      </c>
      <c r="D58" s="44">
        <f>D60/('Demand Breakdown - Ethylene'!$M$14)</f>
        <v>0</v>
      </c>
      <c r="E58" s="44">
        <f>E60/('Demand Breakdown - Ethylene'!$M$14)</f>
        <v>0</v>
      </c>
      <c r="F58" s="44">
        <f>F60/('Demand Breakdown - Ethylene'!$M$14)</f>
        <v>0</v>
      </c>
      <c r="G58" s="44">
        <f>G60/('Demand Breakdown - Ethylene'!$M$14)</f>
        <v>0</v>
      </c>
      <c r="H58" s="44">
        <f>H60/('Demand Breakdown - Ethylene'!$M$14)</f>
        <v>0</v>
      </c>
      <c r="I58" s="44">
        <f>I60/('Demand Breakdown - Ethylene'!$M$14)</f>
        <v>0</v>
      </c>
      <c r="J58" s="44">
        <f>J60/('Demand Breakdown - Ethylene'!$M$14)</f>
        <v>0</v>
      </c>
      <c r="K58" s="44">
        <f>K60/('Demand Breakdown - Ethylene'!$M$14)</f>
        <v>0</v>
      </c>
      <c r="L58" s="44">
        <f>L60/('Demand Breakdown - Ethylene'!$M$14)</f>
        <v>0</v>
      </c>
      <c r="M58" s="44">
        <f>M60/('Demand Breakdown - Ethylene'!$M$14)</f>
        <v>0</v>
      </c>
      <c r="N58" s="44">
        <f>N60/('Demand Breakdown - Ethylene'!$M$14)</f>
        <v>0</v>
      </c>
      <c r="O58" s="44">
        <f>O60/('Demand Breakdown - Ethylene'!$M$14)</f>
        <v>0</v>
      </c>
      <c r="P58" s="44">
        <f>P60/('Demand Breakdown - Ethylene'!$M$14)</f>
        <v>0</v>
      </c>
      <c r="Q58" s="44">
        <f>Q60/('Demand Breakdown - Ethylene'!$M$14)</f>
        <v>0</v>
      </c>
      <c r="R58" s="44">
        <f>R60/('Demand Breakdown - Ethylene'!$M$14)</f>
        <v>0</v>
      </c>
      <c r="S58" s="44">
        <f>S60/('Demand Breakdown - Ethylene'!$M$14)</f>
        <v>0</v>
      </c>
      <c r="T58" s="44">
        <f>T60/('Demand Breakdown - Ethylene'!$M$14)</f>
        <v>0</v>
      </c>
      <c r="U58" s="44">
        <f>U60/('Demand Breakdown - Ethylene'!$M$14)</f>
        <v>0</v>
      </c>
      <c r="V58" s="44">
        <f>V60/('Demand Breakdown - Ethylene'!$M$14)</f>
        <v>0</v>
      </c>
      <c r="W58" s="44">
        <f>W60/('Demand Breakdown - Ethylene'!$M$14)</f>
        <v>0</v>
      </c>
      <c r="X58" s="44">
        <f>X60/('Demand Breakdown - Ethylene'!$M$14)</f>
        <v>0</v>
      </c>
      <c r="Y58" s="44">
        <f>Y60/('Demand Breakdown - Ethylene'!$M$14)</f>
        <v>0</v>
      </c>
      <c r="Z58" s="44">
        <f>Z60/('Demand Breakdown - Ethylene'!$M$14)</f>
        <v>0</v>
      </c>
      <c r="AA58" s="44">
        <f>AA60/('Demand Breakdown - Ethylene'!$M$14)</f>
        <v>0</v>
      </c>
      <c r="AB58" s="44">
        <f>AB60/('Demand Breakdown - Ethylene'!$M$14)</f>
        <v>0</v>
      </c>
      <c r="AC58" s="44">
        <f>AC60/('Demand Breakdown - Ethylene'!$M$14)</f>
        <v>0</v>
      </c>
      <c r="AD58" s="44">
        <f>AD60/('Demand Breakdown - Ethylene'!$M$14)</f>
        <v>0</v>
      </c>
      <c r="AE58" s="44">
        <f>AE60/('Demand Breakdown - Ethylene'!$M$14)</f>
        <v>0</v>
      </c>
      <c r="AF58" s="44">
        <f>AF60/('Demand Breakdown - Ethylene'!$M$14)</f>
        <v>0</v>
      </c>
      <c r="AG58" s="44">
        <f>AG60/('Demand Breakdown - Ethylene'!$M$14)</f>
        <v>0</v>
      </c>
      <c r="AH58" s="44">
        <f>AH60/('Demand Breakdown - Ethylene'!$M$14)</f>
        <v>0</v>
      </c>
      <c r="AI58" s="44"/>
    </row>
    <row r="59" spans="1:35" s="68" customFormat="1" x14ac:dyDescent="0.2">
      <c r="A59" s="689"/>
      <c r="B59" s="62" t="s">
        <v>248</v>
      </c>
      <c r="C59" s="283" t="s">
        <v>153</v>
      </c>
      <c r="D59" s="284">
        <f>D55-SUM(D57,D56,D58)</f>
        <v>0</v>
      </c>
      <c r="E59" s="284">
        <f t="shared" ref="E59:AH59" si="15">E55-SUM(E57,E56,E58)</f>
        <v>0</v>
      </c>
      <c r="F59" s="284">
        <f t="shared" si="15"/>
        <v>0</v>
      </c>
      <c r="G59" s="284">
        <f t="shared" si="15"/>
        <v>0</v>
      </c>
      <c r="H59" s="284">
        <f t="shared" si="15"/>
        <v>0</v>
      </c>
      <c r="I59" s="284">
        <f t="shared" si="15"/>
        <v>0</v>
      </c>
      <c r="J59" s="284">
        <f t="shared" si="15"/>
        <v>0</v>
      </c>
      <c r="K59" s="284">
        <f t="shared" si="15"/>
        <v>0</v>
      </c>
      <c r="L59" s="284">
        <f t="shared" si="15"/>
        <v>0</v>
      </c>
      <c r="M59" s="284">
        <f t="shared" si="15"/>
        <v>0</v>
      </c>
      <c r="N59" s="284">
        <f t="shared" si="15"/>
        <v>0</v>
      </c>
      <c r="O59" s="284">
        <f t="shared" si="15"/>
        <v>0</v>
      </c>
      <c r="P59" s="284">
        <f t="shared" si="15"/>
        <v>0</v>
      </c>
      <c r="Q59" s="284">
        <f t="shared" si="15"/>
        <v>0</v>
      </c>
      <c r="R59" s="284">
        <f t="shared" si="15"/>
        <v>0</v>
      </c>
      <c r="S59" s="284">
        <f t="shared" si="15"/>
        <v>0</v>
      </c>
      <c r="T59" s="284">
        <f t="shared" si="15"/>
        <v>0</v>
      </c>
      <c r="U59" s="284">
        <f t="shared" si="15"/>
        <v>0</v>
      </c>
      <c r="V59" s="284">
        <f t="shared" si="15"/>
        <v>0</v>
      </c>
      <c r="W59" s="284">
        <f t="shared" si="15"/>
        <v>0</v>
      </c>
      <c r="X59" s="284">
        <f t="shared" si="15"/>
        <v>0</v>
      </c>
      <c r="Y59" s="284">
        <f t="shared" si="15"/>
        <v>0</v>
      </c>
      <c r="Z59" s="284">
        <f t="shared" si="15"/>
        <v>0</v>
      </c>
      <c r="AA59" s="284">
        <f t="shared" si="15"/>
        <v>0</v>
      </c>
      <c r="AB59" s="284">
        <f t="shared" si="15"/>
        <v>0</v>
      </c>
      <c r="AC59" s="284">
        <f t="shared" si="15"/>
        <v>0</v>
      </c>
      <c r="AD59" s="284">
        <f t="shared" si="15"/>
        <v>0</v>
      </c>
      <c r="AE59" s="284">
        <f t="shared" si="15"/>
        <v>0</v>
      </c>
      <c r="AF59" s="284">
        <f t="shared" si="15"/>
        <v>0</v>
      </c>
      <c r="AG59" s="284">
        <f t="shared" si="15"/>
        <v>0</v>
      </c>
      <c r="AH59" s="284">
        <f t="shared" si="15"/>
        <v>0</v>
      </c>
      <c r="AI59" s="284"/>
    </row>
    <row r="60" spans="1:35" s="67" customFormat="1" x14ac:dyDescent="0.2">
      <c r="A60" s="687" t="s">
        <v>263</v>
      </c>
      <c r="B60" s="58" t="s">
        <v>264</v>
      </c>
      <c r="C60" s="59" t="s">
        <v>153</v>
      </c>
      <c r="D60" s="60">
        <f>D55*'Demand Breakdown - Ethylene'!$E$77</f>
        <v>0</v>
      </c>
      <c r="E60" s="60">
        <f>E55*'Demand Breakdown - Ethylene'!$E$77</f>
        <v>0</v>
      </c>
      <c r="F60" s="60">
        <f>F55*'Demand Breakdown - Ethylene'!$E$77</f>
        <v>0</v>
      </c>
      <c r="G60" s="60">
        <f>G55*'Demand Breakdown - Ethylene'!$E$77</f>
        <v>0</v>
      </c>
      <c r="H60" s="60">
        <f>H55*'Demand Breakdown - Ethylene'!$E$77</f>
        <v>0</v>
      </c>
      <c r="I60" s="60">
        <f>I55*'Demand Breakdown - Ethylene'!$E$77</f>
        <v>0</v>
      </c>
      <c r="J60" s="60">
        <f>J55*'Demand Breakdown - Ethylene'!$E$77</f>
        <v>0</v>
      </c>
      <c r="K60" s="60">
        <f>K55*'Demand Breakdown - Ethylene'!$E$77</f>
        <v>0</v>
      </c>
      <c r="L60" s="60">
        <f>L55*'Demand Breakdown - Ethylene'!$E$77</f>
        <v>0</v>
      </c>
      <c r="M60" s="60">
        <f>M55*'Demand Breakdown - Ethylene'!$E$77</f>
        <v>0</v>
      </c>
      <c r="N60" s="60">
        <f>N55*'Demand Breakdown - Ethylene'!$E$77</f>
        <v>0</v>
      </c>
      <c r="O60" s="60">
        <f>O55*'Demand Breakdown - Ethylene'!$E$77</f>
        <v>0</v>
      </c>
      <c r="P60" s="60">
        <f>P55*'Demand Breakdown - Ethylene'!$E$77</f>
        <v>0</v>
      </c>
      <c r="Q60" s="60">
        <f>Q55*'Demand Breakdown - Ethylene'!$E$77</f>
        <v>0</v>
      </c>
      <c r="R60" s="60">
        <f>R55*'Demand Breakdown - Ethylene'!$E$77</f>
        <v>0</v>
      </c>
      <c r="S60" s="60">
        <f>S55*'Demand Breakdown - Ethylene'!$E$77</f>
        <v>0</v>
      </c>
      <c r="T60" s="60">
        <f>T55*'Demand Breakdown - Ethylene'!$E$77</f>
        <v>0</v>
      </c>
      <c r="U60" s="60">
        <f>U55*'Demand Breakdown - Ethylene'!$E$77</f>
        <v>0</v>
      </c>
      <c r="V60" s="60">
        <f>V55*'Demand Breakdown - Ethylene'!$E$77</f>
        <v>0</v>
      </c>
      <c r="W60" s="60">
        <f>W55*'Demand Breakdown - Ethylene'!$E$77</f>
        <v>0</v>
      </c>
      <c r="X60" s="60">
        <f>X55*'Demand Breakdown - Ethylene'!$E$77</f>
        <v>0</v>
      </c>
      <c r="Y60" s="60">
        <f>Y55*'Demand Breakdown - Ethylene'!$E$77</f>
        <v>0</v>
      </c>
      <c r="Z60" s="60">
        <f>Z55*'Demand Breakdown - Ethylene'!$E$77</f>
        <v>0</v>
      </c>
      <c r="AA60" s="60">
        <f>AA55*'Demand Breakdown - Ethylene'!$E$77</f>
        <v>0</v>
      </c>
      <c r="AB60" s="60">
        <f>AB55*'Demand Breakdown - Ethylene'!$E$77</f>
        <v>0</v>
      </c>
      <c r="AC60" s="60">
        <f>AC55*'Demand Breakdown - Ethylene'!$E$77</f>
        <v>0</v>
      </c>
      <c r="AD60" s="60">
        <f>AD55*'Demand Breakdown - Ethylene'!$E$77</f>
        <v>0</v>
      </c>
      <c r="AE60" s="60">
        <f>AE55*'Demand Breakdown - Ethylene'!$E$77</f>
        <v>0</v>
      </c>
      <c r="AF60" s="60">
        <f>AF55*'Demand Breakdown - Ethylene'!$E$77</f>
        <v>0</v>
      </c>
      <c r="AG60" s="60">
        <f>AG55*'Demand Breakdown - Ethylene'!$E$77</f>
        <v>0</v>
      </c>
      <c r="AH60" s="60">
        <f>AH55*'Demand Breakdown - Ethylene'!$E$77</f>
        <v>0</v>
      </c>
      <c r="AI60" s="60"/>
    </row>
    <row r="61" spans="1:35" s="68" customFormat="1" x14ac:dyDescent="0.2">
      <c r="A61" s="689"/>
      <c r="B61" s="62" t="s">
        <v>266</v>
      </c>
      <c r="C61" s="283" t="s">
        <v>153</v>
      </c>
      <c r="D61" s="284">
        <f>D55*'Demand Breakdown - Ethylene'!$D$77</f>
        <v>3.4336211538461541</v>
      </c>
      <c r="E61" s="284">
        <f>E55*'Demand Breakdown - Ethylene'!$D$77</f>
        <v>3.4515637128666348</v>
      </c>
      <c r="F61" s="284">
        <f>F55*'Demand Breakdown - Ethylene'!$D$77</f>
        <v>3.4687456324371291</v>
      </c>
      <c r="G61" s="284">
        <f>G55*'Demand Breakdown - Ethylene'!$D$77</f>
        <v>3.4851270530322105</v>
      </c>
      <c r="H61" s="284">
        <f>H55*'Demand Breakdown - Ethylene'!$D$77</f>
        <v>3.5006667764683801</v>
      </c>
      <c r="I61" s="284">
        <f>I55*'Demand Breakdown - Ethylene'!$D$77</f>
        <v>3.5153222272584816</v>
      </c>
      <c r="J61" s="284">
        <f>J55*'Demand Breakdown - Ethylene'!$D$77</f>
        <v>3.5290494129333454</v>
      </c>
      <c r="K61" s="284">
        <f>K55*'Demand Breakdown - Ethylene'!$D$77</f>
        <v>3.5418028833043316</v>
      </c>
      <c r="L61" s="284">
        <f>L55*'Demand Breakdown - Ethylene'!$D$77</f>
        <v>3.553535688639796</v>
      </c>
      <c r="M61" s="284">
        <f>M55*'Demand Breakdown - Ethylene'!$D$77</f>
        <v>3.5641993367278131</v>
      </c>
      <c r="N61" s="284">
        <f>N55*'Demand Breakdown - Ethylene'!$D$77</f>
        <v>3.5737437487968373</v>
      </c>
      <c r="O61" s="284">
        <f>O55*'Demand Breakdown - Ethylene'!$D$77</f>
        <v>3.6017529390106477</v>
      </c>
      <c r="P61" s="284">
        <f>P55*'Demand Breakdown - Ethylene'!$D$77</f>
        <v>3.6293624942202189</v>
      </c>
      <c r="Q61" s="284">
        <f>Q55*'Demand Breakdown - Ethylene'!$D$77</f>
        <v>3.6565432777024882</v>
      </c>
      <c r="R61" s="284">
        <f>R55*'Demand Breakdown - Ethylene'!$D$77</f>
        <v>3.6832651052310617</v>
      </c>
      <c r="S61" s="284">
        <f>S55*'Demand Breakdown - Ethylene'!$D$77</f>
        <v>3.7094967139303692</v>
      </c>
      <c r="T61" s="284">
        <f>T55*'Demand Breakdown - Ethylene'!$D$77</f>
        <v>3.7352057302836403</v>
      </c>
      <c r="U61" s="284">
        <f>U55*'Demand Breakdown - Ethylene'!$D$77</f>
        <v>3.7603586372729056</v>
      </c>
      <c r="V61" s="284">
        <f>V55*'Demand Breakdown - Ethylene'!$D$77</f>
        <v>3.7849207406286651</v>
      </c>
      <c r="W61" s="284">
        <f>W55*'Demand Breakdown - Ethylene'!$D$77</f>
        <v>3.8088561341663283</v>
      </c>
      <c r="X61" s="284">
        <f>X55*'Demand Breakdown - Ethylene'!$D$77</f>
        <v>3.8321276641859563</v>
      </c>
      <c r="Y61" s="284">
        <f>Y55*'Demand Breakdown - Ethylene'!$D$77</f>
        <v>3.8427439325900599</v>
      </c>
      <c r="Z61" s="284">
        <f>Z55*'Demand Breakdown - Ethylene'!$D$77</f>
        <v>3.8521161159672284</v>
      </c>
      <c r="AA61" s="284">
        <f>AA55*'Demand Breakdown - Ethylene'!$D$77</f>
        <v>3.860187280971966</v>
      </c>
      <c r="AB61" s="284">
        <f>AB55*'Demand Breakdown - Ethylene'!$D$77</f>
        <v>3.8668986516997612</v>
      </c>
      <c r="AC61" s="284">
        <f>AC55*'Demand Breakdown - Ethylene'!$D$77</f>
        <v>3.872189557407216</v>
      </c>
      <c r="AD61" s="284">
        <f>AD55*'Demand Breakdown - Ethylene'!$D$77</f>
        <v>3.8759973788489832</v>
      </c>
      <c r="AE61" s="284">
        <f>AE55*'Demand Breakdown - Ethylene'!$D$77</f>
        <v>3.8782574931964882</v>
      </c>
      <c r="AF61" s="284">
        <f>AF55*'Demand Breakdown - Ethylene'!$D$77</f>
        <v>3.8789032175025167</v>
      </c>
      <c r="AG61" s="284">
        <f>AG55*'Demand Breakdown - Ethylene'!$D$77</f>
        <v>3.8778657506748981</v>
      </c>
      <c r="AH61" s="284">
        <f>AH55*'Demand Breakdown - Ethylene'!$D$77</f>
        <v>3.8750741139216012</v>
      </c>
      <c r="AI61" s="284"/>
    </row>
    <row r="62" spans="1:35" s="67" customFormat="1" x14ac:dyDescent="0.2">
      <c r="A62" s="58" t="s">
        <v>208</v>
      </c>
      <c r="B62" s="58" t="s">
        <v>199</v>
      </c>
      <c r="C62" s="59" t="s">
        <v>153</v>
      </c>
      <c r="D62" s="60">
        <f>D4-D12-D26-D40-D50</f>
        <v>26.799786402018107</v>
      </c>
      <c r="E62" s="60">
        <f t="shared" ref="E62:AH62" si="16">E4-E12-E26-E40-E50</f>
        <v>28.769681809966333</v>
      </c>
      <c r="F62" s="60">
        <f t="shared" si="16"/>
        <v>30.807720797164642</v>
      </c>
      <c r="G62" s="60">
        <f t="shared" si="16"/>
        <v>32.915880342003298</v>
      </c>
      <c r="H62" s="60">
        <f t="shared" si="16"/>
        <v>35.096190748991432</v>
      </c>
      <c r="I62" s="60">
        <f t="shared" si="16"/>
        <v>37.35073703588138</v>
      </c>
      <c r="J62" s="60">
        <f t="shared" si="16"/>
        <v>39.180145460280585</v>
      </c>
      <c r="K62" s="60">
        <f t="shared" si="16"/>
        <v>41.064673760592719</v>
      </c>
      <c r="L62" s="60">
        <f t="shared" si="16"/>
        <v>43.005756065858371</v>
      </c>
      <c r="M62" s="60">
        <f t="shared" si="16"/>
        <v>45.004861388134636</v>
      </c>
      <c r="N62" s="60">
        <f>N4-N12-N26-N40-N50</f>
        <v>47.063494440626691</v>
      </c>
      <c r="O62" s="60">
        <f t="shared" si="16"/>
        <v>47.110034965693075</v>
      </c>
      <c r="P62" s="60">
        <f t="shared" si="16"/>
        <v>47.1488823667829</v>
      </c>
      <c r="Q62" s="60">
        <f t="shared" si="16"/>
        <v>47.179810597404305</v>
      </c>
      <c r="R62" s="60">
        <f t="shared" si="16"/>
        <v>47.202588692034396</v>
      </c>
      <c r="S62" s="60">
        <f t="shared" si="16"/>
        <v>47.216980670019545</v>
      </c>
      <c r="T62" s="60">
        <f t="shared" si="16"/>
        <v>47.077163873772086</v>
      </c>
      <c r="U62" s="60">
        <f t="shared" si="16"/>
        <v>46.925103799560603</v>
      </c>
      <c r="V62" s="60">
        <f t="shared" si="16"/>
        <v>46.760490310763501</v>
      </c>
      <c r="W62" s="60">
        <f t="shared" si="16"/>
        <v>46.583006949548768</v>
      </c>
      <c r="X62" s="60">
        <f t="shared" si="16"/>
        <v>46.392330818424632</v>
      </c>
      <c r="Y62" s="60">
        <f t="shared" si="16"/>
        <v>46.05057326779729</v>
      </c>
      <c r="Z62" s="60">
        <f t="shared" si="16"/>
        <v>45.691947626346987</v>
      </c>
      <c r="AA62" s="60">
        <f t="shared" si="16"/>
        <v>45.316061544684054</v>
      </c>
      <c r="AB62" s="60">
        <f t="shared" si="16"/>
        <v>44.922515017267713</v>
      </c>
      <c r="AC62" s="60">
        <f t="shared" si="16"/>
        <v>44.510900243015016</v>
      </c>
      <c r="AD62" s="60">
        <f t="shared" si="16"/>
        <v>43.950425641835416</v>
      </c>
      <c r="AE62" s="60">
        <f t="shared" si="16"/>
        <v>43.368338750480113</v>
      </c>
      <c r="AF62" s="60">
        <f t="shared" si="16"/>
        <v>42.76416543473605</v>
      </c>
      <c r="AG62" s="60">
        <f t="shared" si="16"/>
        <v>42.137422599940138</v>
      </c>
      <c r="AH62" s="60">
        <f t="shared" si="16"/>
        <v>41.487618031273527</v>
      </c>
    </row>
    <row r="63" spans="1:35" outlineLevel="1" x14ac:dyDescent="0.2">
      <c r="B63" s="1" t="s">
        <v>168</v>
      </c>
      <c r="C63" s="54" t="s">
        <v>153</v>
      </c>
      <c r="D63">
        <v>0</v>
      </c>
      <c r="E63" s="43">
        <f>E62*'R&amp;S - Others'!$C$7*'R&amp;S - Others'!$B$12*'R&amp;S - Others'!$B$15*('Yearly HC Ethylene'!E$3-'Yearly HC Ethylene'!$D$3)/10</f>
        <v>7.1204962479666678E-2</v>
      </c>
      <c r="F63" s="43">
        <f>F62*'R&amp;S - Others'!$C$7*'R&amp;S - Others'!$B$12*'R&amp;S - Others'!$B$15*('Yearly HC Ethylene'!F$3-'Yearly HC Ethylene'!$D$3)/10</f>
        <v>0.15249821794596499</v>
      </c>
      <c r="G63" s="43">
        <f>G62*'R&amp;S - Others'!$C$7*'R&amp;S - Others'!$B$12*'R&amp;S - Others'!$B$15*('Yearly HC Ethylene'!G$3-'Yearly HC Ethylene'!$D$3)/10</f>
        <v>0.24440041153937447</v>
      </c>
      <c r="H63" s="43">
        <f>H62*'R&amp;S - Others'!$C$7*'R&amp;S - Others'!$B$12*'R&amp;S - Others'!$B$15*('Yearly HC Ethylene'!H$3-'Yearly HC Ethylene'!$D$3)/10</f>
        <v>0.34745228841501519</v>
      </c>
      <c r="I63" s="43">
        <f>I62*'R&amp;S - Others'!$C$7*'R&amp;S - Others'!$B$12*'R&amp;S - Others'!$B$15*('Yearly HC Ethylene'!I$3-'Yearly HC Ethylene'!$D$3)/10</f>
        <v>0.46221537081903213</v>
      </c>
      <c r="J63" s="43">
        <f>J62*'R&amp;S - Others'!$C$7*'R&amp;S - Others'!$B$12*'R&amp;S - Others'!$B$15*('Yearly HC Ethylene'!J$3-'Yearly HC Ethylene'!$D$3)/10</f>
        <v>0.58182516008516671</v>
      </c>
      <c r="K63" s="43">
        <f>K62*'R&amp;S - Others'!$C$7*'R&amp;S - Others'!$B$12*'R&amp;S - Others'!$B$15*('Yearly HC Ethylene'!K$3-'Yearly HC Ethylene'!$D$3)/10</f>
        <v>0.71144547290226889</v>
      </c>
      <c r="L63" s="43">
        <f>L62*'R&amp;S - Others'!$C$7*'R&amp;S - Others'!$B$12*'R&amp;S - Others'!$B$15*('Yearly HC Ethylene'!L$3-'Yearly HC Ethylene'!$D$3)/10</f>
        <v>0.85151397010399577</v>
      </c>
      <c r="M63" s="43">
        <f>M62*'R&amp;S - Others'!$C$7*'R&amp;S - Others'!$B$12*'R&amp;S - Others'!$B$15*('Yearly HC Ethylene'!M$3-'Yearly HC Ethylene'!$D$3)/10</f>
        <v>1.002483287420699</v>
      </c>
      <c r="N63" s="43">
        <f>N62*'R&amp;S - Others'!$C$7*'R&amp;S - Others'!$B$12*'R&amp;S - Others'!$B$15*('Yearly HC Ethylene'!N$3-'Yearly HC Ethylene'!$D$3)/10</f>
        <v>1.1648214874055105</v>
      </c>
      <c r="O63" s="43">
        <f>O62*'R&amp;S - Others'!$C$7*'R&amp;S - Others'!$B$12*('R&amp;S - Others'!$B$15+('R&amp;S - Others'!$B$16-'R&amp;S - Others'!$B$15)*('Yearly HC Ethylene'!O$3-'Yearly HC Ethylene'!$N$3)/10)</f>
        <v>1.282570701940994</v>
      </c>
      <c r="P63" s="43">
        <f>P62*'R&amp;S - Others'!$C$7*'R&amp;S - Others'!$B$12*('R&amp;S - Others'!$B$15+('R&amp;S - Others'!$B$16-'R&amp;S - Others'!$B$15)*('Yearly HC Ethylene'!P$3-'Yearly HC Ethylene'!$N$3)/10)</f>
        <v>1.4003218062934522</v>
      </c>
      <c r="Q63" s="43">
        <f>Q62*'R&amp;S - Others'!$C$7*'R&amp;S - Others'!$B$12*('R&amp;S - Others'!$B$15+('R&amp;S - Others'!$B$16-'R&amp;S - Others'!$B$15)*('Yearly HC Ethylene'!Q$3-'Yearly HC Ethylene'!$N$3)/10)</f>
        <v>1.5180104059714836</v>
      </c>
      <c r="R63" s="43">
        <f>R62*'R&amp;S - Others'!$C$7*'R&amp;S - Others'!$B$12*('R&amp;S - Others'!$B$15+('R&amp;S - Others'!$B$16-'R&amp;S - Others'!$B$15)*('Yearly HC Ethylene'!R$3-'Yearly HC Ethylene'!$N$3)/10)</f>
        <v>1.6355696981789918</v>
      </c>
      <c r="S63" s="43">
        <f>S62*'R&amp;S - Others'!$C$7*'R&amp;S - Others'!$B$12*('R&amp;S - Others'!$B$15+('R&amp;S - Others'!$B$16-'R&amp;S - Others'!$B$15)*('Yearly HC Ethylene'!S$3-'Yearly HC Ethylene'!$N$3)/10)</f>
        <v>1.7529304073744754</v>
      </c>
      <c r="T63" s="43">
        <f>T62*'R&amp;S - Others'!$C$7*'R&amp;S - Others'!$B$12*('R&amp;S - Others'!$B$15+('R&amp;S - Others'!$B$16-'R&amp;S - Others'!$B$15)*('Yearly HC Ethylene'!T$3-'Yearly HC Ethylene'!$N$3)/10)</f>
        <v>1.8642556894013746</v>
      </c>
      <c r="U63" s="43">
        <f>U62*'R&amp;S - Others'!$C$7*'R&amp;S - Others'!$B$12*('R&amp;S - Others'!$B$15+('R&amp;S - Others'!$B$16-'R&amp;S - Others'!$B$15)*('Yearly HC Ethylene'!U$3-'Yearly HC Ethylene'!$N$3)/10)</f>
        <v>1.9743737423665124</v>
      </c>
      <c r="V63" s="43">
        <f>V62*'R&amp;S - Others'!$C$7*'R&amp;S - Others'!$B$12*('R&amp;S - Others'!$B$15+('R&amp;S - Others'!$B$16-'R&amp;S - Others'!$B$15)*('Yearly HC Ethylene'!V$3-'Yearly HC Ethylene'!$N$3)/10)</f>
        <v>2.0831798433445141</v>
      </c>
      <c r="W63" s="43">
        <f>W62*'R&amp;S - Others'!$C$7*'R&amp;S - Others'!$B$12*('R&amp;S - Others'!$B$15+('R&amp;S - Others'!$B$16-'R&amp;S - Others'!$B$15)*('Yearly HC Ethylene'!W$3-'Yearly HC Ethylene'!$N$3)/10)</f>
        <v>2.1905659018025307</v>
      </c>
      <c r="X63" s="43">
        <f>X62*'R&amp;S - Others'!$C$7*'R&amp;S - Others'!$B$12*('R&amp;S - Others'!$B$15+('R&amp;S - Others'!$B$16-'R&amp;S - Others'!$B$15)*('Yearly HC Ethylene'!X$3-'Yearly HC Ethylene'!$N$3)/10)</f>
        <v>2.2964203755120192</v>
      </c>
      <c r="Y63" s="43">
        <f>Y62*'R&amp;S - Others'!$C$7*'R&amp;S - Others'!$B$12*('R&amp;S - Others'!$B$16+('R&amp;S - Others'!$B$17-'R&amp;S - Others'!$B$16)*('Yearly HC Ethylene'!Y$3-'Yearly HC Ethylene'!$X$3)/10)</f>
        <v>2.396932338588849</v>
      </c>
      <c r="Z63" s="43">
        <f>Z62*'R&amp;S - Others'!$C$7*'R&amp;S - Others'!$B$12*('R&amp;S - Others'!$B$16+('R&amp;S - Others'!$B$17-'R&amp;S - Others'!$B$16)*('Yearly HC Ethylene'!Z$3-'Yearly HC Ethylene'!$X$3)/10)</f>
        <v>2.4947803403985453</v>
      </c>
      <c r="AA63" s="43">
        <f>AA62*'R&amp;S - Others'!$C$7*'R&amp;S - Others'!$B$12*('R&amp;S - Others'!$B$16+('R&amp;S - Others'!$B$17-'R&amp;S - Others'!$B$16)*('Yearly HC Ethylene'!AA$3-'Yearly HC Ethylene'!$X$3)/10)</f>
        <v>2.5898129172786937</v>
      </c>
      <c r="AB63" s="43">
        <f>AB62*'R&amp;S - Others'!$C$7*'R&amp;S - Others'!$B$12*('R&amp;S - Others'!$B$16+('R&amp;S - Others'!$B$17-'R&amp;S - Others'!$B$16)*('Yearly HC Ethylene'!AB$3-'Yearly HC Ethylene'!$X$3)/10)</f>
        <v>2.6818741465308826</v>
      </c>
      <c r="AC63" s="43">
        <f>AC62*'R&amp;S - Others'!$C$7*'R&amp;S - Others'!$B$12*('R&amp;S - Others'!$B$16+('R&amp;S - Others'!$B$17-'R&amp;S - Others'!$B$16)*('Yearly HC Ethylene'!AC$3-'Yearly HC Ethylene'!$X$3)/10)</f>
        <v>2.7708035401276847</v>
      </c>
      <c r="AD63" s="43">
        <f>AD62*'R&amp;S - Others'!$C$7*'R&amp;S - Others'!$B$12*('R&amp;S - Others'!$B$16+('R&amp;S - Others'!$B$17-'R&amp;S - Others'!$B$16)*('Yearly HC Ethylene'!AD$3-'Yearly HC Ethylene'!$X$3)/10)</f>
        <v>2.8479875815909352</v>
      </c>
      <c r="AE63" s="43">
        <f>AE62*'R&amp;S - Others'!$C$7*'R&amp;S - Others'!$B$12*('R&amp;S - Others'!$B$16+('R&amp;S - Others'!$B$17-'R&amp;S - Others'!$B$16)*('Yearly HC Ethylene'!AE$3-'Yearly HC Ethylene'!$X$3)/10)</f>
        <v>2.9208576148448357</v>
      </c>
      <c r="AF63" s="43">
        <f>AF62*'R&amp;S - Others'!$C$7*'R&amp;S - Others'!$B$12*('R&amp;S - Others'!$B$16+('R&amp;S - Others'!$B$17-'R&amp;S - Others'!$B$16)*('Yearly HC Ethylene'!AF$3-'Yearly HC Ethylene'!$X$3)/10)</f>
        <v>2.9892151638880495</v>
      </c>
      <c r="AG63" s="43">
        <f>AG62*'R&amp;S - Others'!$C$7*'R&amp;S - Others'!$B$12*('R&amp;S - Others'!$B$16+('R&amp;S - Others'!$B$17-'R&amp;S - Others'!$B$16)*('Yearly HC Ethylene'!AG$3-'Yearly HC Ethylene'!$X$3)/10)</f>
        <v>3.0528562673656627</v>
      </c>
      <c r="AH63" s="43">
        <f>AH62*'R&amp;S - Others'!$C$7*'R&amp;S - Others'!$B$12*('R&amp;S - Others'!$B$16+('R&amp;S - Others'!$B$17-'R&amp;S - Others'!$B$16)*('Yearly HC Ethylene'!AH$3-'Yearly HC Ethylene'!$X$3)/10)</f>
        <v>3.1115713523455146</v>
      </c>
    </row>
    <row r="64" spans="1:35" outlineLevel="1" x14ac:dyDescent="0.2">
      <c r="B64" s="1" t="s">
        <v>172</v>
      </c>
      <c r="C64" s="54" t="s">
        <v>153</v>
      </c>
      <c r="D64">
        <v>0</v>
      </c>
      <c r="E64" s="43">
        <f>E62*'R&amp;S - Others'!$C$8*'R&amp;S - Others'!$B$12*'R&amp;S - Others'!$C$15*('Yearly HC Ethylene'!E$3-'Yearly HC Ethylene'!$D$3)/10</f>
        <v>2.3734987493222226E-2</v>
      </c>
      <c r="F64" s="43">
        <f>F62*'R&amp;S - Others'!$C$8*'R&amp;S - Others'!$B$12*'R&amp;S - Others'!$C$15*('Yearly HC Ethylene'!F$3-'Yearly HC Ethylene'!$D$3)/10</f>
        <v>5.0832739315321659E-2</v>
      </c>
      <c r="G64" s="43">
        <f>G62*'R&amp;S - Others'!$C$8*'R&amp;S - Others'!$B$12*'R&amp;S - Others'!$C$15*('Yearly HC Ethylene'!G$3-'Yearly HC Ethylene'!$D$3)/10</f>
        <v>8.1466803846458172E-2</v>
      </c>
      <c r="H64" s="43">
        <f>H62*'R&amp;S - Others'!$C$8*'R&amp;S - Others'!$B$12*'R&amp;S - Others'!$C$15*('Yearly HC Ethylene'!H$3-'Yearly HC Ethylene'!$D$3)/10</f>
        <v>0.11581742947167176</v>
      </c>
      <c r="I64" s="43">
        <f>I62*'R&amp;S - Others'!$C$8*'R&amp;S - Others'!$B$12*'R&amp;S - Others'!$C$15*('Yearly HC Ethylene'!I$3-'Yearly HC Ethylene'!$D$3)/10</f>
        <v>0.15407179027301071</v>
      </c>
      <c r="J64" s="43">
        <f>J62*'R&amp;S - Others'!$C$8*'R&amp;S - Others'!$B$12*'R&amp;S - Others'!$C$15*('Yearly HC Ethylene'!J$3-'Yearly HC Ethylene'!$D$3)/10</f>
        <v>0.19394172002838891</v>
      </c>
      <c r="K64" s="43">
        <f>K62*'R&amp;S - Others'!$C$8*'R&amp;S - Others'!$B$12*'R&amp;S - Others'!$C$15*('Yearly HC Ethylene'!K$3-'Yearly HC Ethylene'!$D$3)/10</f>
        <v>0.23714849096742299</v>
      </c>
      <c r="L64" s="43">
        <f>L62*'R&amp;S - Others'!$C$8*'R&amp;S - Others'!$B$12*'R&amp;S - Others'!$C$15*('Yearly HC Ethylene'!L$3-'Yearly HC Ethylene'!$D$3)/10</f>
        <v>0.28383799003466526</v>
      </c>
      <c r="M64" s="43">
        <f>M62*'R&amp;S - Others'!$C$8*'R&amp;S - Others'!$B$12*'R&amp;S - Others'!$C$15*('Yearly HC Ethylene'!M$3-'Yearly HC Ethylene'!$D$3)/10</f>
        <v>0.33416109580689968</v>
      </c>
      <c r="N64" s="43">
        <f>N62*'R&amp;S - Others'!$C$8*'R&amp;S - Others'!$B$12*'R&amp;S - Others'!$C$15*('Yearly HC Ethylene'!N$3-'Yearly HC Ethylene'!$D$3)/10</f>
        <v>0.38827382913517028</v>
      </c>
      <c r="O64" s="43">
        <f>O62*'R&amp;S - Others'!$C$8*'R&amp;S - Others'!$B$12*('R&amp;S - Others'!$C$15+('R&amp;S - Others'!$C$16-'R&amp;S - Others'!$C$15)*('Yearly HC Ethylene'!O$3-'Yearly HC Ethylene'!$N$3)/10)</f>
        <v>0.42752356731366464</v>
      </c>
      <c r="P64" s="43">
        <f>P62*'R&amp;S - Others'!$C$8*'R&amp;S - Others'!$B$12*('R&amp;S - Others'!$C$15+('R&amp;S - Others'!$C$16-'R&amp;S - Others'!$C$15)*('Yearly HC Ethylene'!P$3-'Yearly HC Ethylene'!$N$3)/10)</f>
        <v>0.46677393543115075</v>
      </c>
      <c r="Q64" s="43">
        <f>Q62*'R&amp;S - Others'!$C$8*'R&amp;S - Others'!$B$12*('R&amp;S - Others'!$C$15+('R&amp;S - Others'!$C$16-'R&amp;S - Others'!$C$15)*('Yearly HC Ethylene'!Q$3-'Yearly HC Ethylene'!$N$3)/10)</f>
        <v>0.50600346865716117</v>
      </c>
      <c r="R64" s="43">
        <f>R62*'R&amp;S - Others'!$C$8*'R&amp;S - Others'!$B$12*('R&amp;S - Others'!$C$15+('R&amp;S - Others'!$C$16-'R&amp;S - Others'!$C$15)*('Yearly HC Ethylene'!R$3-'Yearly HC Ethylene'!$N$3)/10)</f>
        <v>0.54518989939299733</v>
      </c>
      <c r="S64" s="43">
        <f>S62*'R&amp;S - Others'!$C$8*'R&amp;S - Others'!$B$12*('R&amp;S - Others'!$C$15+('R&amp;S - Others'!$C$16-'R&amp;S - Others'!$C$15)*('Yearly HC Ethylene'!S$3-'Yearly HC Ethylene'!$N$3)/10)</f>
        <v>0.58431013579149194</v>
      </c>
      <c r="T64" s="43">
        <f>T62*'R&amp;S - Others'!$C$8*'R&amp;S - Others'!$B$12*('R&amp;S - Others'!$C$15+('R&amp;S - Others'!$C$16-'R&amp;S - Others'!$C$15)*('Yearly HC Ethylene'!T$3-'Yearly HC Ethylene'!$N$3)/10)</f>
        <v>0.62141856313379162</v>
      </c>
      <c r="U64" s="43">
        <f>U62*'R&amp;S - Others'!$C$8*'R&amp;S - Others'!$B$12*('R&amp;S - Others'!$C$15+('R&amp;S - Others'!$C$16-'R&amp;S - Others'!$C$15)*('Yearly HC Ethylene'!U$3-'Yearly HC Ethylene'!$N$3)/10)</f>
        <v>0.65812458078883762</v>
      </c>
      <c r="V64" s="43">
        <f>V62*'R&amp;S - Others'!$C$8*'R&amp;S - Others'!$B$12*('R&amp;S - Others'!$C$15+('R&amp;S - Others'!$C$16-'R&amp;S - Others'!$C$15)*('Yearly HC Ethylene'!V$3-'Yearly HC Ethylene'!$N$3)/10)</f>
        <v>0.69439328111483811</v>
      </c>
      <c r="W64" s="43">
        <f>W62*'R&amp;S - Others'!$C$8*'R&amp;S - Others'!$B$12*('R&amp;S - Others'!$C$15+('R&amp;S - Others'!$C$16-'R&amp;S - Others'!$C$15)*('Yearly HC Ethylene'!W$3-'Yearly HC Ethylene'!$N$3)/10)</f>
        <v>0.73018863393417699</v>
      </c>
      <c r="X64" s="43">
        <f>X62*'R&amp;S - Others'!$C$8*'R&amp;S - Others'!$B$12*('R&amp;S - Others'!$C$15+('R&amp;S - Others'!$C$16-'R&amp;S - Others'!$C$15)*('Yearly HC Ethylene'!X$3-'Yearly HC Ethylene'!$N$3)/10)</f>
        <v>0.7654734585040065</v>
      </c>
      <c r="Y64" s="43">
        <f>Y62*'R&amp;S - Others'!$C$8*'R&amp;S - Others'!$B$12*('R&amp;S - Others'!$C$16+('R&amp;S - Others'!$C$17-'R&amp;S - Others'!$C$16)*('Yearly HC Ethylene'!Y$3-'Yearly HC Ethylene'!$X$3)/10)</f>
        <v>0.79897744619628308</v>
      </c>
      <c r="Z64" s="43">
        <f>Z62*'R&amp;S - Others'!$C$8*'R&amp;S - Others'!$B$12*('R&amp;S - Others'!$C$16+('R&amp;S - Others'!$C$17-'R&amp;S - Others'!$C$16)*('Yearly HC Ethylene'!Z$3-'Yearly HC Ethylene'!$X$3)/10)</f>
        <v>0.83159344679951519</v>
      </c>
      <c r="AA64" s="43">
        <f>AA62*'R&amp;S - Others'!$C$8*'R&amp;S - Others'!$B$12*('R&amp;S - Others'!$C$16+('R&amp;S - Others'!$C$17-'R&amp;S - Others'!$C$16)*('Yearly HC Ethylene'!AA$3-'Yearly HC Ethylene'!$X$3)/10)</f>
        <v>0.86327097242623119</v>
      </c>
      <c r="AB64" s="43">
        <f>AB62*'R&amp;S - Others'!$C$8*'R&amp;S - Others'!$B$12*('R&amp;S - Others'!$C$16+('R&amp;S - Others'!$C$17-'R&amp;S - Others'!$C$16)*('Yearly HC Ethylene'!AB$3-'Yearly HC Ethylene'!$X$3)/10)</f>
        <v>0.89395804884362762</v>
      </c>
      <c r="AC64" s="43">
        <f>AC62*'R&amp;S - Others'!$C$8*'R&amp;S - Others'!$B$12*('R&amp;S - Others'!$C$16+('R&amp;S - Others'!$C$17-'R&amp;S - Others'!$C$16)*('Yearly HC Ethylene'!AC$3-'Yearly HC Ethylene'!$X$3)/10)</f>
        <v>0.92360118004256175</v>
      </c>
      <c r="AD64" s="43">
        <f>AD62*'R&amp;S - Others'!$C$8*'R&amp;S - Others'!$B$12*('R&amp;S - Others'!$C$16+('R&amp;S - Others'!$C$17-'R&amp;S - Others'!$C$16)*('Yearly HC Ethylene'!AD$3-'Yearly HC Ethylene'!$X$3)/10)</f>
        <v>0.94932919386364512</v>
      </c>
      <c r="AE64" s="43">
        <f>AE62*'R&amp;S - Others'!$C$8*'R&amp;S - Others'!$B$12*('R&amp;S - Others'!$C$16+('R&amp;S - Others'!$C$17-'R&amp;S - Others'!$C$16)*('Yearly HC Ethylene'!AE$3-'Yearly HC Ethylene'!$X$3)/10)</f>
        <v>0.97361920494827858</v>
      </c>
      <c r="AF64" s="43">
        <f>AF62*'R&amp;S - Others'!$C$8*'R&amp;S - Others'!$B$12*('R&amp;S - Others'!$C$16+('R&amp;S - Others'!$C$17-'R&amp;S - Others'!$C$16)*('Yearly HC Ethylene'!AF$3-'Yearly HC Ethylene'!$X$3)/10)</f>
        <v>0.99640505462934992</v>
      </c>
      <c r="AG64" s="43">
        <f>AG62*'R&amp;S - Others'!$C$8*'R&amp;S - Others'!$B$12*('R&amp;S - Others'!$C$16+('R&amp;S - Others'!$C$17-'R&amp;S - Others'!$C$16)*('Yearly HC Ethylene'!AG$3-'Yearly HC Ethylene'!$X$3)/10)</f>
        <v>1.0176187557885543</v>
      </c>
      <c r="AH64" s="43">
        <f>AH62*'R&amp;S - Others'!$C$8*'R&amp;S - Others'!$B$12*('R&amp;S - Others'!$C$16+('R&amp;S - Others'!$C$17-'R&amp;S - Others'!$C$16)*('Yearly HC Ethylene'!AH$3-'Yearly HC Ethylene'!$X$3)/10)</f>
        <v>1.0371904507818381</v>
      </c>
    </row>
    <row r="65" spans="1:35" s="181" customFormat="1" x14ac:dyDescent="0.2">
      <c r="A65" s="178"/>
      <c r="B65" s="178" t="s">
        <v>197</v>
      </c>
      <c r="C65" s="179" t="s">
        <v>153</v>
      </c>
      <c r="D65" s="180">
        <f>D62-D63-D64</f>
        <v>26.799786402018107</v>
      </c>
      <c r="E65" s="180">
        <f t="shared" ref="E65:AH65" si="17">E62-E63-E64</f>
        <v>28.674741859993446</v>
      </c>
      <c r="F65" s="180">
        <f t="shared" si="17"/>
        <v>30.604389839903355</v>
      </c>
      <c r="G65" s="180">
        <f t="shared" si="17"/>
        <v>32.590013126617464</v>
      </c>
      <c r="H65" s="180">
        <f t="shared" si="17"/>
        <v>34.63292103110475</v>
      </c>
      <c r="I65" s="180">
        <f t="shared" si="17"/>
        <v>36.734449874789341</v>
      </c>
      <c r="J65" s="180">
        <f t="shared" si="17"/>
        <v>38.404378580167027</v>
      </c>
      <c r="K65" s="180">
        <f t="shared" si="17"/>
        <v>40.116079796723028</v>
      </c>
      <c r="L65" s="180">
        <f t="shared" si="17"/>
        <v>41.870404105719714</v>
      </c>
      <c r="M65" s="180">
        <f t="shared" si="17"/>
        <v>43.668217004907035</v>
      </c>
      <c r="N65" s="180">
        <f t="shared" si="17"/>
        <v>45.510399124086007</v>
      </c>
      <c r="O65" s="180">
        <f t="shared" si="17"/>
        <v>45.399940696438414</v>
      </c>
      <c r="P65" s="180">
        <f t="shared" si="17"/>
        <v>45.281786625058295</v>
      </c>
      <c r="Q65" s="180">
        <f t="shared" si="17"/>
        <v>45.155796722775662</v>
      </c>
      <c r="R65" s="180">
        <f t="shared" si="17"/>
        <v>45.021829094462412</v>
      </c>
      <c r="S65" s="180">
        <f t="shared" si="17"/>
        <v>44.879740126853576</v>
      </c>
      <c r="T65" s="180">
        <f t="shared" si="17"/>
        <v>44.591489621236917</v>
      </c>
      <c r="U65" s="180">
        <f t="shared" si="17"/>
        <v>44.292605476405257</v>
      </c>
      <c r="V65" s="180">
        <f t="shared" si="17"/>
        <v>43.982917186304142</v>
      </c>
      <c r="W65" s="180">
        <f t="shared" si="17"/>
        <v>43.662252413812062</v>
      </c>
      <c r="X65" s="180">
        <f t="shared" si="17"/>
        <v>43.330436984408607</v>
      </c>
      <c r="Y65" s="180">
        <f t="shared" si="17"/>
        <v>42.85466348301216</v>
      </c>
      <c r="Z65" s="180">
        <f t="shared" si="17"/>
        <v>42.365573839148922</v>
      </c>
      <c r="AA65" s="180">
        <f t="shared" si="17"/>
        <v>41.862977654979133</v>
      </c>
      <c r="AB65" s="180">
        <f t="shared" si="17"/>
        <v>41.346682821893204</v>
      </c>
      <c r="AC65" s="180">
        <f t="shared" si="17"/>
        <v>40.816495522844768</v>
      </c>
      <c r="AD65" s="180">
        <f t="shared" si="17"/>
        <v>40.153108866380833</v>
      </c>
      <c r="AE65" s="180">
        <f t="shared" si="17"/>
        <v>39.473861930687001</v>
      </c>
      <c r="AF65" s="180">
        <f t="shared" si="17"/>
        <v>38.778545216218653</v>
      </c>
      <c r="AG65" s="180">
        <f t="shared" si="17"/>
        <v>38.066947576785921</v>
      </c>
      <c r="AH65" s="180">
        <f t="shared" si="17"/>
        <v>37.338856228146177</v>
      </c>
    </row>
    <row r="66" spans="1:35" s="67" customFormat="1" x14ac:dyDescent="0.2">
      <c r="A66" s="687" t="s">
        <v>257</v>
      </c>
      <c r="B66" s="58" t="s">
        <v>258</v>
      </c>
      <c r="C66" s="59" t="s">
        <v>153</v>
      </c>
      <c r="D66" s="60">
        <f>D65*('Demand Breakdown - Ethylene'!$C$76)</f>
        <v>9.842212333121422</v>
      </c>
      <c r="E66" s="60">
        <f>E65*('Demand Breakdown - Ethylene'!$C$76)</f>
        <v>10.530789079805812</v>
      </c>
      <c r="F66" s="60">
        <f>F65*('Demand Breakdown - Ethylene'!$C$76)</f>
        <v>11.239451636348502</v>
      </c>
      <c r="G66" s="60">
        <f>G65*('Demand Breakdown - Ethylene'!$C$76)</f>
        <v>11.968671105051396</v>
      </c>
      <c r="H66" s="60">
        <f>H65*('Demand Breakdown - Ethylene'!$C$76)</f>
        <v>12.71892832991726</v>
      </c>
      <c r="I66" s="60">
        <f>I65*('Demand Breakdown - Ethylene'!$C$76)</f>
        <v>13.490714074529214</v>
      </c>
      <c r="J66" s="60">
        <f>J65*('Demand Breakdown - Ethylene'!$C$76)</f>
        <v>14.103994816881103</v>
      </c>
      <c r="K66" s="60">
        <f>K65*('Demand Breakdown - Ethylene'!$C$76)</f>
        <v>14.732616499587417</v>
      </c>
      <c r="L66" s="60">
        <f>L65*('Demand Breakdown - Ethylene'!$C$76)</f>
        <v>15.376891498324037</v>
      </c>
      <c r="M66" s="60">
        <f>M65*('Demand Breakdown - Ethylene'!$C$76)</f>
        <v>16.037137666841776</v>
      </c>
      <c r="N66" s="60">
        <f>N65*('Demand Breakdown - Ethylene'!$C$76)</f>
        <v>16.713678416131991</v>
      </c>
      <c r="O66" s="60">
        <f>O65*('Demand Breakdown - Ethylene'!$C$76)</f>
        <v>16.673112596592155</v>
      </c>
      <c r="P66" s="60">
        <f>P65*('Demand Breakdown - Ethylene'!$C$76)</f>
        <v>16.629720554539972</v>
      </c>
      <c r="Q66" s="60">
        <f>Q65*('Demand Breakdown - Ethylene'!$C$76)</f>
        <v>16.583450806285505</v>
      </c>
      <c r="R66" s="60">
        <f>R65*('Demand Breakdown - Ethylene'!$C$76)</f>
        <v>16.534251240891788</v>
      </c>
      <c r="S66" s="60">
        <f>S65*('Demand Breakdown - Ethylene'!$C$76)</f>
        <v>16.482069116436691</v>
      </c>
      <c r="T66" s="60">
        <f>T65*('Demand Breakdown - Ethylene'!$C$76)</f>
        <v>16.37620921744902</v>
      </c>
      <c r="U66" s="60">
        <f>U65*('Demand Breakdown - Ethylene'!$C$76)</f>
        <v>16.266444118119157</v>
      </c>
      <c r="V66" s="60">
        <f>V65*('Demand Breakdown - Ethylene'!$C$76)</f>
        <v>16.152711200157285</v>
      </c>
      <c r="W66" s="60">
        <f>W65*('Demand Breakdown - Ethylene'!$C$76)</f>
        <v>16.034947172814832</v>
      </c>
      <c r="X66" s="60">
        <f>X65*('Demand Breakdown - Ethylene'!$C$76)</f>
        <v>15.913088070559123</v>
      </c>
      <c r="Y66" s="60">
        <f>Y65*('Demand Breakdown - Ethylene'!$C$76)</f>
        <v>15.738360415906479</v>
      </c>
      <c r="Z66" s="60">
        <f>Z65*('Demand Breakdown - Ethylene'!$C$76)</f>
        <v>15.558742412515592</v>
      </c>
      <c r="AA66" s="60">
        <f>AA65*('Demand Breakdown - Ethylene'!$C$76)</f>
        <v>15.374164136845337</v>
      </c>
      <c r="AB66" s="60">
        <f>AB65*('Demand Breakdown - Ethylene'!$C$76)</f>
        <v>15.184555037074954</v>
      </c>
      <c r="AC66" s="60">
        <f>AC65*('Demand Breakdown - Ethylene'!$C$76)</f>
        <v>14.989843933960868</v>
      </c>
      <c r="AD66" s="60">
        <f>AD65*('Demand Breakdown - Ethylene'!$C$76)</f>
        <v>14.746215412675868</v>
      </c>
      <c r="AE66" s="60">
        <f>AE65*('Demand Breakdown - Ethylene'!$C$76)</f>
        <v>14.496762209301927</v>
      </c>
      <c r="AF66" s="60">
        <f>AF65*('Demand Breakdown - Ethylene'!$C$76)</f>
        <v>14.241407385203384</v>
      </c>
      <c r="AG66" s="60">
        <f>AG65*('Demand Breakdown - Ethylene'!$C$76)</f>
        <v>13.980073397014676</v>
      </c>
      <c r="AH66" s="60">
        <f>AH65*('Demand Breakdown - Ethylene'!$C$76)</f>
        <v>13.712682099795924</v>
      </c>
      <c r="AI66" s="60"/>
    </row>
    <row r="67" spans="1:35" x14ac:dyDescent="0.2">
      <c r="A67" s="688"/>
      <c r="B67" s="1" t="s">
        <v>260</v>
      </c>
      <c r="C67" s="54" t="s">
        <v>153</v>
      </c>
      <c r="D67" s="44">
        <f>D71/('Demand Breakdown - Ethylene'!$K$14)</f>
        <v>4.5813083502024288</v>
      </c>
      <c r="E67" s="44">
        <f>E71/('Demand Breakdown - Ethylene'!$K$14)</f>
        <v>4.9018239307009814</v>
      </c>
      <c r="F67" s="44">
        <f>F71/('Demand Breakdown - Ethylene'!$K$14)</f>
        <v>5.2316889628583576</v>
      </c>
      <c r="G67" s="44">
        <f>G71/('Demand Breakdown - Ethylene'!$K$14)</f>
        <v>5.5711227332370168</v>
      </c>
      <c r="H67" s="44">
        <f>H71/('Demand Breakdown - Ethylene'!$K$14)</f>
        <v>5.9203490629221438</v>
      </c>
      <c r="I67" s="44">
        <f>I71/('Demand Breakdown - Ethylene'!$K$14)</f>
        <v>6.2795963903201883</v>
      </c>
      <c r="J67" s="44">
        <f>J71/('Demand Breakdown - Ethylene'!$K$14)</f>
        <v>6.5650635282826544</v>
      </c>
      <c r="K67" s="44">
        <f>K71/('Demand Breakdown - Ethylene'!$K$14)</f>
        <v>6.8576714975711397</v>
      </c>
      <c r="L67" s="44">
        <f>L71/('Demand Breakdown - Ethylene'!$K$14)</f>
        <v>7.1575657013982417</v>
      </c>
      <c r="M67" s="44">
        <f>M71/('Demand Breakdown - Ethylene'!$K$14)</f>
        <v>7.4648940928860297</v>
      </c>
      <c r="N67" s="44">
        <f>N71/('Demand Breakdown - Ethylene'!$K$14)</f>
        <v>7.7798072119156911</v>
      </c>
      <c r="O67" s="44">
        <f>O71/('Demand Breakdown - Ethylene'!$K$14)</f>
        <v>7.7609248182525059</v>
      </c>
      <c r="P67" s="44">
        <f>P71/('Demand Breakdown - Ethylene'!$K$14)</f>
        <v>7.7407268873546933</v>
      </c>
      <c r="Q67" s="44">
        <f>Q71/('Demand Breakdown - Ethylene'!$K$14)</f>
        <v>7.7191894548277986</v>
      </c>
      <c r="R67" s="44">
        <f>R71/('Demand Breakdown - Ethylene'!$K$14)</f>
        <v>7.6962882643092776</v>
      </c>
      <c r="S67" s="44">
        <f>S71/('Demand Breakdown - Ethylene'!$K$14)</f>
        <v>7.6719987657284614</v>
      </c>
      <c r="T67" s="44">
        <f>T71/('Demand Breakdown - Ethylene'!$K$14)</f>
        <v>7.6227235801533908</v>
      </c>
      <c r="U67" s="44">
        <f>U71/('Demand Breakdown - Ethylene'!$K$14)</f>
        <v>7.5716306196379559</v>
      </c>
      <c r="V67" s="44">
        <f>V71/('Demand Breakdown - Ethylene'!$K$14)</f>
        <v>7.5186907369046621</v>
      </c>
      <c r="W67" s="44">
        <f>W71/('Demand Breakdown - Ethylene'!$K$14)</f>
        <v>7.4638744716629706</v>
      </c>
      <c r="X67" s="44">
        <f>X71/('Demand Breakdown - Ethylene'!$K$14)</f>
        <v>7.4071520495268901</v>
      </c>
      <c r="Y67" s="44">
        <f>Y71/('Demand Breakdown - Ethylene'!$K$14)</f>
        <v>7.3258206134454271</v>
      </c>
      <c r="Z67" s="44">
        <f>Z71/('Demand Breakdown - Ethylene'!$K$14)</f>
        <v>7.2422128400170749</v>
      </c>
      <c r="AA67" s="44">
        <f>AA71/('Demand Breakdown - Ethylene'!$K$14)</f>
        <v>7.1562961815490977</v>
      </c>
      <c r="AB67" s="44">
        <f>AB71/('Demand Breakdown - Ethylene'!$K$14)</f>
        <v>7.0680377979000086</v>
      </c>
      <c r="AC67" s="44">
        <f>AC71/('Demand Breakdown - Ethylene'!$K$14)</f>
        <v>6.9774045568783949</v>
      </c>
      <c r="AD67" s="44">
        <f>AD71/('Demand Breakdown - Ethylene'!$K$14)</f>
        <v>6.8640014579476434</v>
      </c>
      <c r="AE67" s="44">
        <f>AE71/('Demand Breakdown - Ethylene'!$K$14)</f>
        <v>6.7478871124202744</v>
      </c>
      <c r="AF67" s="44">
        <f>AF71/('Demand Breakdown - Ethylene'!$K$14)</f>
        <v>6.6290257072491778</v>
      </c>
      <c r="AG67" s="44">
        <f>AG71/('Demand Breakdown - Ethylene'!$K$14)</f>
        <v>6.5073811479003005</v>
      </c>
      <c r="AH67" s="44">
        <f>AH71/('Demand Breakdown - Ethylene'!$K$14)</f>
        <v>6.3829170598215157</v>
      </c>
      <c r="AI67" s="44"/>
    </row>
    <row r="68" spans="1:35" x14ac:dyDescent="0.2">
      <c r="A68" s="688"/>
      <c r="B68" s="1" t="s">
        <v>262</v>
      </c>
      <c r="C68" s="54" t="s">
        <v>153</v>
      </c>
      <c r="D68" s="44">
        <f>D70/('Demand Breakdown - Ethylene'!$M$14)</f>
        <v>3.0035502958579876</v>
      </c>
      <c r="E68" s="44">
        <f>E70/('Demand Breakdown - Ethylene'!$M$14)</f>
        <v>3.21368342662422</v>
      </c>
      <c r="F68" s="44">
        <f>F70/('Demand Breakdown - Ethylene'!$M$14)</f>
        <v>3.429946148797399</v>
      </c>
      <c r="G68" s="44">
        <f>G70/('Demand Breakdown - Ethylene'!$M$14)</f>
        <v>3.6524822287798711</v>
      </c>
      <c r="H68" s="44">
        <f>H70/('Demand Breakdown - Ethylene'!$M$14)</f>
        <v>3.8814384058511684</v>
      </c>
      <c r="I68" s="44">
        <f>I70/('Demand Breakdown - Ethylene'!$M$14)</f>
        <v>4.1169644464515383</v>
      </c>
      <c r="J68" s="44">
        <f>J70/('Demand Breakdown - Ethylene'!$M$14)</f>
        <v>4.3041194775349645</v>
      </c>
      <c r="K68" s="44">
        <f>K70/('Demand Breakdown - Ethylene'!$M$14)</f>
        <v>4.4959561070619865</v>
      </c>
      <c r="L68" s="44">
        <f>L70/('Demand Breakdown - Ethylene'!$M$14)</f>
        <v>4.6925696627924554</v>
      </c>
      <c r="M68" s="44">
        <f>M70/('Demand Breakdown - Ethylene'!$M$14)</f>
        <v>4.894057144231664</v>
      </c>
      <c r="N68" s="44">
        <f>N70/('Demand Breakdown - Ethylene'!$M$14)</f>
        <v>5.1005172467893338</v>
      </c>
      <c r="O68" s="44">
        <f>O70/('Demand Breakdown - Ethylene'!$M$14)</f>
        <v>5.0881377659209353</v>
      </c>
      <c r="P68" s="44">
        <f>P70/('Demand Breakdown - Ethylene'!$M$14)</f>
        <v>5.0748958060512903</v>
      </c>
      <c r="Q68" s="44">
        <f>Q70/('Demand Breakdown - Ethylene'!$M$14)</f>
        <v>5.0607756558904056</v>
      </c>
      <c r="R68" s="44">
        <f>R70/('Demand Breakdown - Ethylene'!$M$14)</f>
        <v>5.0457614127311636</v>
      </c>
      <c r="S68" s="44">
        <f>S70/('Demand Breakdown - Ethylene'!$M$14)</f>
        <v>5.0298369813085486</v>
      </c>
      <c r="T68" s="44">
        <f>T70/('Demand Breakdown - Ethylene'!$M$14)</f>
        <v>4.9975316905708231</v>
      </c>
      <c r="U68" s="44">
        <f>U70/('Demand Breakdown - Ethylene'!$M$14)</f>
        <v>4.9640346489089993</v>
      </c>
      <c r="V68" s="44">
        <f>V70/('Demand Breakdown - Ethylene'!$M$14)</f>
        <v>4.9293267470845681</v>
      </c>
      <c r="W68" s="44">
        <f>W70/('Demand Breakdown - Ethylene'!$M$14)</f>
        <v>4.8933886706446277</v>
      </c>
      <c r="X68" s="44">
        <f>X70/('Demand Breakdown - Ethylene'!$M$14)</f>
        <v>4.8562008992122419</v>
      </c>
      <c r="Y68" s="44">
        <f>Y70/('Demand Breakdown - Ethylene'!$M$14)</f>
        <v>4.8028792189777656</v>
      </c>
      <c r="Z68" s="44">
        <f>Z70/('Demand Breakdown - Ethylene'!$M$14)</f>
        <v>4.7480651498471289</v>
      </c>
      <c r="AA68" s="44">
        <f>AA70/('Demand Breakdown - Ethylene'!$M$14)</f>
        <v>4.6917373532365341</v>
      </c>
      <c r="AB68" s="44">
        <f>AB70/('Demand Breakdown - Ethylene'!$M$14)</f>
        <v>4.6338742988299355</v>
      </c>
      <c r="AC68" s="44">
        <f>AC70/('Demand Breakdown - Ethylene'!$M$14)</f>
        <v>4.574454264840516</v>
      </c>
      <c r="AD68" s="44">
        <f>AD70/('Demand Breakdown - Ethylene'!$M$14)</f>
        <v>4.5001060906274404</v>
      </c>
      <c r="AE68" s="44">
        <f>AE70/('Demand Breakdown - Ethylene'!$M$14)</f>
        <v>4.4239803967857076</v>
      </c>
      <c r="AF68" s="44">
        <f>AF70/('Demand Breakdown - Ethylene'!$M$14)</f>
        <v>4.3460537039334417</v>
      </c>
      <c r="AG68" s="44">
        <f>AG70/('Demand Breakdown - Ethylene'!$M$14)</f>
        <v>4.266302348143193</v>
      </c>
      <c r="AH68" s="44">
        <f>AH70/('Demand Breakdown - Ethylene'!$M$14)</f>
        <v>4.1847024819049352</v>
      </c>
      <c r="AI68" s="44"/>
    </row>
    <row r="69" spans="1:35" s="68" customFormat="1" x14ac:dyDescent="0.2">
      <c r="A69" s="689"/>
      <c r="B69" s="62" t="s">
        <v>248</v>
      </c>
      <c r="C69" s="283" t="s">
        <v>153</v>
      </c>
      <c r="D69" s="284">
        <f>D65-SUM(D67,D66,D68)</f>
        <v>9.3727154228362686</v>
      </c>
      <c r="E69" s="284">
        <f t="shared" ref="E69:AH69" si="18">E65-SUM(E67,E66,E68)</f>
        <v>10.028445422862433</v>
      </c>
      <c r="F69" s="284">
        <f t="shared" si="18"/>
        <v>10.703303091899098</v>
      </c>
      <c r="G69" s="284">
        <f t="shared" si="18"/>
        <v>11.397737059549183</v>
      </c>
      <c r="H69" s="284">
        <f t="shared" si="18"/>
        <v>12.11220523241418</v>
      </c>
      <c r="I69" s="284">
        <f t="shared" si="18"/>
        <v>12.847174963488399</v>
      </c>
      <c r="J69" s="284">
        <f t="shared" si="18"/>
        <v>13.431200757468304</v>
      </c>
      <c r="K69" s="284">
        <f t="shared" si="18"/>
        <v>14.029835692502488</v>
      </c>
      <c r="L69" s="284">
        <f t="shared" si="18"/>
        <v>14.643377243204981</v>
      </c>
      <c r="M69" s="284">
        <f t="shared" si="18"/>
        <v>15.272128100947565</v>
      </c>
      <c r="N69" s="284">
        <f t="shared" si="18"/>
        <v>15.91639624924899</v>
      </c>
      <c r="O69" s="284">
        <f t="shared" si="18"/>
        <v>15.87776551567282</v>
      </c>
      <c r="P69" s="284">
        <f t="shared" si="18"/>
        <v>15.836443377112339</v>
      </c>
      <c r="Q69" s="284">
        <f t="shared" si="18"/>
        <v>15.792380805771952</v>
      </c>
      <c r="R69" s="284">
        <f t="shared" si="18"/>
        <v>15.745528176530183</v>
      </c>
      <c r="S69" s="284">
        <f t="shared" si="18"/>
        <v>15.695835263379877</v>
      </c>
      <c r="T69" s="284">
        <f t="shared" si="18"/>
        <v>15.595025133063682</v>
      </c>
      <c r="U69" s="284">
        <f t="shared" si="18"/>
        <v>15.490496089739146</v>
      </c>
      <c r="V69" s="284">
        <f t="shared" si="18"/>
        <v>15.382188502157625</v>
      </c>
      <c r="W69" s="284">
        <f t="shared" si="18"/>
        <v>15.270042098689636</v>
      </c>
      <c r="X69" s="284">
        <f t="shared" si="18"/>
        <v>15.153995965110354</v>
      </c>
      <c r="Y69" s="284">
        <f t="shared" si="18"/>
        <v>14.987603234682489</v>
      </c>
      <c r="Z69" s="284">
        <f t="shared" si="18"/>
        <v>14.816553436769127</v>
      </c>
      <c r="AA69" s="284">
        <f t="shared" si="18"/>
        <v>14.640779983348164</v>
      </c>
      <c r="AB69" s="284">
        <f t="shared" si="18"/>
        <v>14.460215688088304</v>
      </c>
      <c r="AC69" s="284">
        <f t="shared" si="18"/>
        <v>14.274792767164989</v>
      </c>
      <c r="AD69" s="284">
        <f t="shared" si="18"/>
        <v>14.042785905129882</v>
      </c>
      <c r="AE69" s="284">
        <f t="shared" si="18"/>
        <v>13.805232212179092</v>
      </c>
      <c r="AF69" s="284">
        <f t="shared" si="18"/>
        <v>13.562058419832649</v>
      </c>
      <c r="AG69" s="284">
        <f t="shared" si="18"/>
        <v>13.313190683727754</v>
      </c>
      <c r="AH69" s="284">
        <f t="shared" si="18"/>
        <v>13.058554586623803</v>
      </c>
      <c r="AI69" s="284"/>
    </row>
    <row r="70" spans="1:35" s="67" customFormat="1" x14ac:dyDescent="0.2">
      <c r="A70" s="687" t="s">
        <v>263</v>
      </c>
      <c r="B70" s="58" t="s">
        <v>264</v>
      </c>
      <c r="C70" s="59" t="s">
        <v>153</v>
      </c>
      <c r="D70" s="60">
        <f>D65*'Demand Breakdown - Ethylene'!$E$76</f>
        <v>2.8834082840236679</v>
      </c>
      <c r="E70" s="60">
        <f>E65*'Demand Breakdown - Ethylene'!$E$76</f>
        <v>3.085136089559251</v>
      </c>
      <c r="F70" s="60">
        <f>F65*'Demand Breakdown - Ethylene'!$E$76</f>
        <v>3.2927483028455029</v>
      </c>
      <c r="G70" s="60">
        <f>G65*'Demand Breakdown - Ethylene'!$E$76</f>
        <v>3.5063829396286761</v>
      </c>
      <c r="H70" s="60">
        <f>H65*'Demand Breakdown - Ethylene'!$E$76</f>
        <v>3.7261808696171217</v>
      </c>
      <c r="I70" s="60">
        <f>I65*'Demand Breakdown - Ethylene'!$E$76</f>
        <v>3.9522858685934765</v>
      </c>
      <c r="J70" s="60">
        <f>J65*'Demand Breakdown - Ethylene'!$E$76</f>
        <v>4.1319546984335656</v>
      </c>
      <c r="K70" s="60">
        <f>K65*'Demand Breakdown - Ethylene'!$E$76</f>
        <v>4.3161178627795067</v>
      </c>
      <c r="L70" s="60">
        <f>L65*'Demand Breakdown - Ethylene'!$E$76</f>
        <v>4.5048668762807571</v>
      </c>
      <c r="M70" s="60">
        <f>M65*'Demand Breakdown - Ethylene'!$E$76</f>
        <v>4.6982948584623969</v>
      </c>
      <c r="N70" s="60">
        <f>N65*'Demand Breakdown - Ethylene'!$E$76</f>
        <v>4.8964965569177599</v>
      </c>
      <c r="O70" s="60">
        <f>O65*'Demand Breakdown - Ethylene'!$E$76</f>
        <v>4.8846122552840976</v>
      </c>
      <c r="P70" s="60">
        <f>P65*'Demand Breakdown - Ethylene'!$E$76</f>
        <v>4.8718999738092386</v>
      </c>
      <c r="Q70" s="60">
        <f>Q65*'Demand Breakdown - Ethylene'!$E$76</f>
        <v>4.8583446296547894</v>
      </c>
      <c r="R70" s="60">
        <f>R65*'Demand Breakdown - Ethylene'!$E$76</f>
        <v>4.8439309562219171</v>
      </c>
      <c r="S70" s="60">
        <f>S65*'Demand Breakdown - Ethylene'!$E$76</f>
        <v>4.8286435020562068</v>
      </c>
      <c r="T70" s="60">
        <f>T65*'Demand Breakdown - Ethylene'!$E$76</f>
        <v>4.7976304229479902</v>
      </c>
      <c r="U70" s="60">
        <f>U65*'Demand Breakdown - Ethylene'!$E$76</f>
        <v>4.7654732629526393</v>
      </c>
      <c r="V70" s="60">
        <f>V65*'Demand Breakdown - Ethylene'!$E$76</f>
        <v>4.7321536772011852</v>
      </c>
      <c r="W70" s="60">
        <f>W65*'Demand Breakdown - Ethylene'!$E$76</f>
        <v>4.6976531238188421</v>
      </c>
      <c r="X70" s="60">
        <f>X65*'Demand Breakdown - Ethylene'!$E$76</f>
        <v>4.6619528632437524</v>
      </c>
      <c r="Y70" s="60">
        <f>Y65*'Demand Breakdown - Ethylene'!$E$76</f>
        <v>4.6107640502186547</v>
      </c>
      <c r="Z70" s="60">
        <f>Z65*'Demand Breakdown - Ethylene'!$E$76</f>
        <v>4.5581425438532435</v>
      </c>
      <c r="AA70" s="60">
        <f>AA65*'Demand Breakdown - Ethylene'!$E$76</f>
        <v>4.5040678591070726</v>
      </c>
      <c r="AB70" s="60">
        <f>AB65*'Demand Breakdown - Ethylene'!$E$76</f>
        <v>4.4485193268767382</v>
      </c>
      <c r="AC70" s="60">
        <f>AC65*'Demand Breakdown - Ethylene'!$E$76</f>
        <v>4.3914760942468956</v>
      </c>
      <c r="AD70" s="60">
        <f>AD65*'Demand Breakdown - Ethylene'!$E$76</f>
        <v>4.3201018470023422</v>
      </c>
      <c r="AE70" s="60">
        <f>AE65*'Demand Breakdown - Ethylene'!$E$76</f>
        <v>4.2470211809142793</v>
      </c>
      <c r="AF70" s="60">
        <f>AF65*'Demand Breakdown - Ethylene'!$E$76</f>
        <v>4.1722115557761041</v>
      </c>
      <c r="AG70" s="60">
        <f>AG65*'Demand Breakdown - Ethylene'!$E$76</f>
        <v>4.0956502542174649</v>
      </c>
      <c r="AH70" s="60">
        <f>AH65*'Demand Breakdown - Ethylene'!$E$76</f>
        <v>4.0173143826287374</v>
      </c>
      <c r="AI70" s="60"/>
    </row>
    <row r="71" spans="1:35" s="68" customFormat="1" x14ac:dyDescent="0.2">
      <c r="A71" s="689"/>
      <c r="B71" s="62" t="s">
        <v>266</v>
      </c>
      <c r="C71" s="283" t="s">
        <v>153</v>
      </c>
      <c r="D71" s="284">
        <f>D65*'Demand Breakdown - Ethylene'!$D$76/'Demand Breakdown - Ethylene'!$L$24</f>
        <v>2.8011119939271247</v>
      </c>
      <c r="E71" s="284">
        <f>E65*'Demand Breakdown - Ethylene'!$D$76/'Demand Breakdown - Ethylene'!$L$24</f>
        <v>2.9970822208024543</v>
      </c>
      <c r="F71" s="284">
        <f>F65*'Demand Breakdown - Ethylene'!$D$76/'Demand Breakdown - Ethylene'!$L$24</f>
        <v>3.1987689066402143</v>
      </c>
      <c r="G71" s="284">
        <f>G65*'Demand Breakdown - Ethylene'!$D$76/'Demand Breakdown - Ethylene'!$L$24</f>
        <v>3.4063061280345255</v>
      </c>
      <c r="H71" s="284">
        <f>H65*'Demand Breakdown - Ethylene'!$D$76/'Demand Breakdown - Ethylene'!$L$24</f>
        <v>3.6198307340857494</v>
      </c>
      <c r="I71" s="284">
        <f>I65*'Demand Breakdown - Ethylene'!$D$76/'Demand Breakdown - Ethylene'!$L$24</f>
        <v>3.8394823970253253</v>
      </c>
      <c r="J71" s="284">
        <f>J65*'Demand Breakdown - Ethylene'!$D$76/'Demand Breakdown - Ethylene'!$L$24</f>
        <v>4.0140232405778837</v>
      </c>
      <c r="K71" s="284">
        <f>K65*'Demand Breakdown - Ethylene'!$D$76/'Demand Breakdown - Ethylene'!$L$24</f>
        <v>4.1929301443789386</v>
      </c>
      <c r="L71" s="284">
        <f>L65*'Demand Breakdown - Ethylene'!$D$76/'Demand Breakdown - Ethylene'!$L$24</f>
        <v>4.3762920111286858</v>
      </c>
      <c r="M71" s="284">
        <f>M65*'Demand Breakdown - Ethylene'!$D$76/'Demand Breakdown - Ethylene'!$L$24</f>
        <v>4.564199302597669</v>
      </c>
      <c r="N71" s="284">
        <f>N65*'Demand Breakdown - Ethylene'!$D$76/'Demand Breakdown - Ethylene'!$L$24</f>
        <v>4.756744062157459</v>
      </c>
      <c r="O71" s="284">
        <f>O65*'Demand Breakdown - Ethylene'!$D$76/'Demand Breakdown - Ethylene'!$L$24</f>
        <v>4.7451989542273925</v>
      </c>
      <c r="P71" s="284">
        <f>P65*'Demand Breakdown - Ethylene'!$D$76/'Demand Breakdown - Ethylene'!$L$24</f>
        <v>4.732849498097055</v>
      </c>
      <c r="Q71" s="284">
        <f>Q65*'Demand Breakdown - Ethylene'!$D$76/'Demand Breakdown - Ethylene'!$L$24</f>
        <v>4.719681041412227</v>
      </c>
      <c r="R71" s="284">
        <f>R65*'Demand Breakdown - Ethylene'!$D$76/'Demand Breakdown - Ethylene'!$L$24</f>
        <v>4.7056787533030224</v>
      </c>
      <c r="S71" s="284">
        <f>S65*'Demand Breakdown - Ethylene'!$D$76/'Demand Breakdown - Ethylene'!$L$24</f>
        <v>4.6908276233199917</v>
      </c>
      <c r="T71" s="284">
        <f>T65*'Demand Breakdown - Ethylene'!$D$76/'Demand Breakdown - Ethylene'!$L$24</f>
        <v>4.6606996985512481</v>
      </c>
      <c r="U71" s="284">
        <f>U65*'Demand Breakdown - Ethylene'!$D$76/'Demand Breakdown - Ethylene'!$L$24</f>
        <v>4.629460346478667</v>
      </c>
      <c r="V71" s="284">
        <f>V65*'Demand Breakdown - Ethylene'!$D$76/'Demand Breakdown - Ethylene'!$L$24</f>
        <v>4.5970917458201299</v>
      </c>
      <c r="W71" s="284">
        <f>W65*'Demand Breakdown - Ethylene'!$D$76/'Demand Breakdown - Ethylene'!$L$24</f>
        <v>4.5635758839105058</v>
      </c>
      <c r="X71" s="284">
        <f>X65*'Demand Breakdown - Ethylene'!$D$76/'Demand Breakdown - Ethylene'!$L$24</f>
        <v>4.5288945560398437</v>
      </c>
      <c r="Y71" s="284">
        <f>Y65*'Demand Breakdown - Ethylene'!$D$76/'Demand Breakdown - Ethylene'!$L$24</f>
        <v>4.4791667395131443</v>
      </c>
      <c r="Z71" s="284">
        <f>Z65*'Demand Breakdown - Ethylene'!$D$76/'Demand Breakdown - Ethylene'!$L$24</f>
        <v>4.4280471206109695</v>
      </c>
      <c r="AA71" s="284">
        <f>AA65*'Demand Breakdown - Ethylene'!$D$76/'Demand Breakdown - Ethylene'!$L$24</f>
        <v>4.3755157989630478</v>
      </c>
      <c r="AB71" s="284">
        <f>AB65*'Demand Breakdown - Ethylene'!$D$76/'Demand Breakdown - Ethylene'!$L$24</f>
        <v>4.3215526953895544</v>
      </c>
      <c r="AC71" s="284">
        <f>AC65*'Demand Breakdown - Ethylene'!$D$76/'Demand Breakdown - Ethylene'!$L$24</f>
        <v>4.2661375521449587</v>
      </c>
      <c r="AD71" s="284">
        <f>AD65*'Demand Breakdown - Ethylene'!$D$76/'Demand Breakdown - Ethylene'!$L$24</f>
        <v>4.1968004204172074</v>
      </c>
      <c r="AE71" s="284">
        <f>AE65*'Demand Breakdown - Ethylene'!$D$76/'Demand Breakdown - Ethylene'!$L$24</f>
        <v>4.1258055732990604</v>
      </c>
      <c r="AF71" s="284">
        <f>AF65*'Demand Breakdown - Ethylene'!$D$76/'Demand Breakdown - Ethylene'!$L$24</f>
        <v>4.0531311139112569</v>
      </c>
      <c r="AG71" s="284">
        <f>AG65*'Demand Breakdown - Ethylene'!$D$76/'Demand Breakdown - Ethylene'!$L$24</f>
        <v>3.978754973267272</v>
      </c>
      <c r="AH71" s="284">
        <f>AH65*'Demand Breakdown - Ethylene'!$D$76/'Demand Breakdown - Ethylene'!$L$24</f>
        <v>3.9026549111714122</v>
      </c>
      <c r="AI71" s="284"/>
    </row>
    <row r="72" spans="1:35" s="67" customFormat="1" outlineLevel="1" x14ac:dyDescent="0.2">
      <c r="B72" s="58" t="s">
        <v>210</v>
      </c>
      <c r="C72" s="59" t="s">
        <v>153</v>
      </c>
      <c r="D72" s="60">
        <f>'Demand - Wind'!D37/1000000</f>
        <v>0</v>
      </c>
      <c r="E72" s="60">
        <f>'Demand - Wind'!E37/1000000</f>
        <v>0.12008947311463376</v>
      </c>
      <c r="F72" s="60">
        <f>'Demand - Wind'!F37/1000000</f>
        <v>0.13274199921705168</v>
      </c>
      <c r="G72" s="60">
        <f>'Demand - Wind'!G37/1000000</f>
        <v>0.14672758485100384</v>
      </c>
      <c r="H72" s="60">
        <f>'Demand - Wind'!H37/1000000</f>
        <v>0.16218668004996406</v>
      </c>
      <c r="I72" s="60">
        <f>'Demand - Wind'!I37/1000000</f>
        <v>0.17927453254506018</v>
      </c>
      <c r="J72" s="60">
        <f>'Demand - Wind'!J37/1000000</f>
        <v>0.19816274683808111</v>
      </c>
      <c r="K72" s="60">
        <f>'Demand - Wind'!K37/1000000</f>
        <v>0.21904100753710451</v>
      </c>
      <c r="L72" s="60">
        <f>'Demand - Wind'!L37/1000000</f>
        <v>0.2421189842613227</v>
      </c>
      <c r="M72" s="60">
        <f>'Demand - Wind'!M37/1000000</f>
        <v>0.26762843724504182</v>
      </c>
      <c r="N72" s="60">
        <f>'Demand - Wind'!N37/1000000</f>
        <v>0.29582554478634898</v>
      </c>
      <c r="O72" s="60">
        <f>'Demand - Wind'!O37/1000000</f>
        <v>0.32699347591382105</v>
      </c>
      <c r="P72" s="60">
        <f>'Demand - Wind'!P37/1000000</f>
        <v>0.36144523410723628</v>
      </c>
      <c r="Q72" s="60">
        <f>'Demand - Wind'!Q37/1000000</f>
        <v>0.39952680063031559</v>
      </c>
      <c r="R72" s="60">
        <f>'Demand - Wind'!R37/1000000</f>
        <v>0.44162060904235889</v>
      </c>
      <c r="S72" s="60">
        <f>'Demand - Wind'!S37/1000000</f>
        <v>0.4881493857815194</v>
      </c>
      <c r="T72" s="60">
        <f>'Demand - Wind'!T37/1000000</f>
        <v>0.53958039538869984</v>
      </c>
      <c r="U72" s="60">
        <f>'Demand - Wind'!U37/1000000</f>
        <v>0.59643013300468273</v>
      </c>
      <c r="V72" s="60">
        <f>'Demand - Wind'!V37/1000000</f>
        <v>0.65926951126481503</v>
      </c>
      <c r="W72" s="60">
        <f>'Demand - Wind'!W37/1000000</f>
        <v>0.72872959368056567</v>
      </c>
      <c r="X72" s="60">
        <f>'Demand - Wind'!X37/1000000</f>
        <v>0.80550793208535187</v>
      </c>
      <c r="Y72" s="60">
        <f>'Demand - Wind'!Y37/1000000</f>
        <v>0.89037557178834259</v>
      </c>
      <c r="Z72" s="60">
        <f>'Demand - Wind'!Z37/1000000</f>
        <v>0.98418479478537868</v>
      </c>
      <c r="AA72" s="60">
        <f>'Demand - Wind'!AA37/1000000</f>
        <v>1.0878776787881119</v>
      </c>
      <c r="AB72" s="60">
        <f>'Demand - Wind'!AB37/1000000</f>
        <v>1.2024955580252485</v>
      </c>
      <c r="AC72" s="60">
        <f>'Demand - Wind'!AC37/1000000</f>
        <v>1.3291894808259002</v>
      </c>
      <c r="AD72" s="60">
        <f>'Demand - Wind'!AD37/1000000</f>
        <v>1.4692317690051102</v>
      </c>
      <c r="AE72" s="60">
        <f>'Demand - Wind'!AE37/1000000</f>
        <v>1.6240287951365695</v>
      </c>
      <c r="AF72" s="60">
        <f>'Demand - Wind'!AF37/1000000</f>
        <v>1.7951351060280285</v>
      </c>
      <c r="AG72" s="60">
        <f>'Demand - Wind'!AG37/1000000</f>
        <v>1.9842690342342524</v>
      </c>
      <c r="AH72" s="60">
        <f>'Demand - Wind'!AH37/1000000</f>
        <v>2.1933299543858755</v>
      </c>
    </row>
    <row r="73" spans="1:35" outlineLevel="1" x14ac:dyDescent="0.2">
      <c r="B73" s="1" t="s">
        <v>211</v>
      </c>
      <c r="C73" s="54" t="s">
        <v>153</v>
      </c>
      <c r="D73" s="44">
        <f>'Demand - Solar'!D32/1000000</f>
        <v>0</v>
      </c>
      <c r="E73" s="44">
        <f>'Demand - Solar'!E32/1000000</f>
        <v>0.55101223885090722</v>
      </c>
      <c r="F73" s="44">
        <f>'Demand - Solar'!F32/1000000</f>
        <v>0.62522552579716173</v>
      </c>
      <c r="G73" s="44">
        <f>'Demand - Solar'!G32/1000000</f>
        <v>0.70943425671187144</v>
      </c>
      <c r="H73" s="44">
        <f>'Demand - Solar'!H32/1000000</f>
        <v>0.80498467165847454</v>
      </c>
      <c r="I73" s="44">
        <f>'Demand - Solar'!I32/1000000</f>
        <v>0.91340432954068651</v>
      </c>
      <c r="J73" s="44">
        <f>'Demand - Solar'!J32/1000000</f>
        <v>1.0364265290974854</v>
      </c>
      <c r="K73" s="44">
        <f>'Demand - Solar'!K32/1000000</f>
        <v>1.1760180190488263</v>
      </c>
      <c r="L73" s="44">
        <f>'Demand - Solar'!L32/1000000</f>
        <v>1.3344104403925769</v>
      </c>
      <c r="M73" s="44">
        <f>'Demand - Solar'!M32/1000000</f>
        <v>1.5141360035188232</v>
      </c>
      <c r="N73" s="44">
        <f>'Demand - Solar'!N32/1000000</f>
        <v>1.718067970509491</v>
      </c>
      <c r="O73" s="44">
        <f>'Demand - Solar'!O32/1000000</f>
        <v>1.9494665898114683</v>
      </c>
      <c r="P73" s="44">
        <f>'Demand - Solar'!P32/1000000</f>
        <v>2.2120312176381116</v>
      </c>
      <c r="Q73" s="44">
        <f>'Demand - Solar'!Q32/1000000</f>
        <v>2.5099594593610157</v>
      </c>
      <c r="R73" s="44">
        <f>'Demand - Solar'!R32/1000000</f>
        <v>2.8480142763819258</v>
      </c>
      <c r="S73" s="44">
        <f>'Demand - Solar'!S32/1000000</f>
        <v>3.2316001313185385</v>
      </c>
      <c r="T73" s="44">
        <f>'Demand - Solar'!T32/1000000</f>
        <v>3.6668493888327456</v>
      </c>
      <c r="U73" s="44">
        <f>'Demand - Solar'!U32/1000000</f>
        <v>4.160720353386357</v>
      </c>
      <c r="V73" s="44">
        <f>'Demand - Solar'!V32/1000000</f>
        <v>4.7211085112481879</v>
      </c>
      <c r="W73" s="44">
        <f>'Demand - Solar'!W32/1000000</f>
        <v>5.3569727551719453</v>
      </c>
      <c r="X73" s="44">
        <f>'Demand - Solar'!X32/1000000</f>
        <v>6.0784786096914774</v>
      </c>
      <c r="Y73" s="44">
        <f>'Demand - Solar'!Y32/1000000</f>
        <v>6.8971607467678657</v>
      </c>
      <c r="Z73" s="44">
        <f>'Demand - Solar'!Z32/1000000</f>
        <v>7.8261073899164364</v>
      </c>
      <c r="AA73" s="44">
        <f>'Demand - Solar'!AA32/1000000</f>
        <v>8.8801695548717721</v>
      </c>
      <c r="AB73" s="44">
        <f>'Demand - Solar'!AB32/1000000</f>
        <v>10.076198471908972</v>
      </c>
      <c r="AC73" s="44">
        <f>'Demand - Solar'!AC32/1000000</f>
        <v>11.433314985477972</v>
      </c>
      <c r="AD73" s="44">
        <f>'Demand - Solar'!AD32/1000000</f>
        <v>12.973215238027134</v>
      </c>
      <c r="AE73" s="44">
        <f>'Demand - Solar'!AE32/1000000</f>
        <v>14.720517524965521</v>
      </c>
      <c r="AF73" s="44">
        <f>'Demand - Solar'!AF32/1000000</f>
        <v>16.703155865913942</v>
      </c>
      <c r="AG73" s="44">
        <f>'Demand - Solar'!AG32/1000000</f>
        <v>18.952826584245294</v>
      </c>
      <c r="AH73" s="44">
        <f>'Demand - Solar'!AH32/1000000</f>
        <v>21.505495034355324</v>
      </c>
    </row>
    <row r="74" spans="1:35" s="193" customFormat="1" x14ac:dyDescent="0.2">
      <c r="A74" s="189" t="s">
        <v>212</v>
      </c>
      <c r="B74" s="190" t="s">
        <v>213</v>
      </c>
      <c r="C74" s="191" t="s">
        <v>153</v>
      </c>
      <c r="D74" s="192">
        <f>D72+D73</f>
        <v>0</v>
      </c>
      <c r="E74" s="192">
        <f t="shared" ref="E74:AH74" si="19">E72+E73</f>
        <v>0.67110171196554103</v>
      </c>
      <c r="F74" s="192">
        <f t="shared" si="19"/>
        <v>0.75796752501421338</v>
      </c>
      <c r="G74" s="192">
        <f t="shared" si="19"/>
        <v>0.85616184156287534</v>
      </c>
      <c r="H74" s="192">
        <f t="shared" si="19"/>
        <v>0.9671713517084386</v>
      </c>
      <c r="I74" s="192">
        <f t="shared" si="19"/>
        <v>1.0926788620857466</v>
      </c>
      <c r="J74" s="192">
        <f t="shared" si="19"/>
        <v>1.2345892759355666</v>
      </c>
      <c r="K74" s="192">
        <f t="shared" si="19"/>
        <v>1.3950590265859308</v>
      </c>
      <c r="L74" s="192">
        <f t="shared" si="19"/>
        <v>1.5765294246538997</v>
      </c>
      <c r="M74" s="192">
        <f t="shared" si="19"/>
        <v>1.7817644407638649</v>
      </c>
      <c r="N74" s="192">
        <f t="shared" si="19"/>
        <v>2.0138935152958402</v>
      </c>
      <c r="O74" s="192">
        <f t="shared" si="19"/>
        <v>2.2764600657252894</v>
      </c>
      <c r="P74" s="192">
        <f t="shared" si="19"/>
        <v>2.5734764517453481</v>
      </c>
      <c r="Q74" s="192">
        <f t="shared" si="19"/>
        <v>2.9094862599913314</v>
      </c>
      <c r="R74" s="192">
        <f t="shared" si="19"/>
        <v>3.2896348854242845</v>
      </c>
      <c r="S74" s="192">
        <f t="shared" si="19"/>
        <v>3.7197495171000581</v>
      </c>
      <c r="T74" s="192">
        <f t="shared" si="19"/>
        <v>4.2064297842214451</v>
      </c>
      <c r="U74" s="192">
        <f t="shared" si="19"/>
        <v>4.7571504863910397</v>
      </c>
      <c r="V74" s="192">
        <f t="shared" si="19"/>
        <v>5.3803780225130033</v>
      </c>
      <c r="W74" s="192">
        <f t="shared" si="19"/>
        <v>6.0857023488525108</v>
      </c>
      <c r="X74" s="192">
        <f t="shared" si="19"/>
        <v>6.8839865417768289</v>
      </c>
      <c r="Y74" s="192">
        <f t="shared" si="19"/>
        <v>7.7875363185562083</v>
      </c>
      <c r="Z74" s="192">
        <f t="shared" si="19"/>
        <v>8.8102921847018152</v>
      </c>
      <c r="AA74" s="192">
        <f t="shared" si="19"/>
        <v>9.9680472336598847</v>
      </c>
      <c r="AB74" s="192">
        <f t="shared" si="19"/>
        <v>11.27869402993422</v>
      </c>
      <c r="AC74" s="192">
        <f t="shared" si="19"/>
        <v>12.762504466303872</v>
      </c>
      <c r="AD74" s="192">
        <f t="shared" si="19"/>
        <v>14.442447007032245</v>
      </c>
      <c r="AE74" s="192">
        <f t="shared" si="19"/>
        <v>16.34454632010209</v>
      </c>
      <c r="AF74" s="192">
        <f t="shared" si="19"/>
        <v>18.498290971941969</v>
      </c>
      <c r="AG74" s="192">
        <f t="shared" si="19"/>
        <v>20.937095618479546</v>
      </c>
      <c r="AH74" s="192">
        <f t="shared" si="19"/>
        <v>23.698824988741201</v>
      </c>
    </row>
    <row r="75" spans="1:35" s="67" customFormat="1" x14ac:dyDescent="0.2">
      <c r="A75" s="687" t="s">
        <v>257</v>
      </c>
      <c r="B75" s="58" t="s">
        <v>258</v>
      </c>
      <c r="C75" s="59" t="s">
        <v>153</v>
      </c>
      <c r="D75" s="60">
        <f>D72*'Demand - Wind'!$I$22+D73*'Demand - Solar'!$J$25</f>
        <v>0</v>
      </c>
      <c r="E75" s="60">
        <f>E72*'Demand - Wind'!$I$22+E73*'Demand - Solar'!$J$25</f>
        <v>0.25750743884407723</v>
      </c>
      <c r="F75" s="60">
        <f>F72*'Demand - Wind'!$I$22+F73*'Demand - Solar'!$J$25</f>
        <v>0.29218992337397443</v>
      </c>
      <c r="G75" s="60">
        <f>G72*'Demand - Wind'!$I$22+G73*'Demand - Solar'!$J$25</f>
        <v>0.33154363114529001</v>
      </c>
      <c r="H75" s="60">
        <f>H72*'Demand - Wind'!$I$22+H73*'Demand - Solar'!$J$25</f>
        <v>0.37619770758595183</v>
      </c>
      <c r="I75" s="60">
        <f>I72*'Demand - Wind'!$I$22+I73*'Demand - Solar'!$J$25</f>
        <v>0.42686603480826918</v>
      </c>
      <c r="J75" s="60">
        <f>J72*'Demand - Wind'!$I$22+J73*'Demand - Solar'!$J$25</f>
        <v>0.48435864440057264</v>
      </c>
      <c r="K75" s="60">
        <f>K72*'Demand - Wind'!$I$22+K73*'Demand - Solar'!$J$25</f>
        <v>0.54959466735490992</v>
      </c>
      <c r="L75" s="60">
        <f>L72*'Demand - Wind'!$I$22+L73*'Demand - Solar'!$J$25</f>
        <v>0.62361702816054232</v>
      </c>
      <c r="M75" s="60">
        <f>M72*'Demand - Wind'!$I$22+M73*'Demand - Solar'!$J$25</f>
        <v>0.70760911797684822</v>
      </c>
      <c r="N75" s="60">
        <f>N72*'Demand - Wind'!$I$22+N73*'Demand - Solar'!$J$25</f>
        <v>0.80291371343867612</v>
      </c>
      <c r="O75" s="60">
        <f>O72*'Demand - Wind'!$I$22+O73*'Demand - Solar'!$J$25</f>
        <v>0.91105444354799547</v>
      </c>
      <c r="P75" s="60">
        <f>P72*'Demand - Wind'!$I$22+P73*'Demand - Solar'!$J$25</f>
        <v>1.0337601478417648</v>
      </c>
      <c r="Q75" s="60">
        <f>Q72*'Demand - Wind'!$I$22+Q73*'Demand - Solar'!$J$25</f>
        <v>1.172992515248658</v>
      </c>
      <c r="R75" s="60">
        <f>R72*'Demand - Wind'!$I$22+R73*'Demand - Solar'!$J$25</f>
        <v>1.3309774454953927</v>
      </c>
      <c r="S75" s="60">
        <f>S72*'Demand - Wind'!$I$22+S73*'Demand - Solar'!$J$25</f>
        <v>1.5102406344356836</v>
      </c>
      <c r="T75" s="60">
        <f>T72*'Demand - Wind'!$I$22+T73*'Demand - Solar'!$J$25</f>
        <v>1.7136479522023518</v>
      </c>
      <c r="U75" s="60">
        <f>U72*'Demand - Wind'!$I$22+U73*'Demand - Solar'!$J$25</f>
        <v>1.9444512597057728</v>
      </c>
      <c r="V75" s="60">
        <f>V72*'Demand - Wind'!$I$22+V73*'Demand - Solar'!$J$25</f>
        <v>2.2063403959443533</v>
      </c>
      <c r="W75" s="60">
        <f>W72*'Demand - Wind'!$I$22+W73*'Demand - Solar'!$J$25</f>
        <v>2.5035021672451121</v>
      </c>
      <c r="X75" s="60">
        <f>X72*'Demand - Wind'!$I$22+X73*'Demand - Solar'!$J$25</f>
        <v>2.8406872814919195</v>
      </c>
      <c r="Y75" s="60">
        <f>Y72*'Demand - Wind'!$I$22+Y73*'Demand - Solar'!$J$25</f>
        <v>3.2232862974150107</v>
      </c>
      <c r="Z75" s="60">
        <f>Z72*'Demand - Wind'!$I$22+Z73*'Demand - Solar'!$J$25</f>
        <v>3.6574158031385977</v>
      </c>
      <c r="AA75" s="60">
        <f>AA72*'Demand - Wind'!$I$22+AA73*'Demand - Solar'!$J$25</f>
        <v>4.1500162017180111</v>
      </c>
      <c r="AB75" s="60">
        <f>AB72*'Demand - Wind'!$I$22+AB73*'Demand - Solar'!$J$25</f>
        <v>4.7089626669580316</v>
      </c>
      <c r="AC75" s="60">
        <f>AC72*'Demand - Wind'!$I$22+AC73*'Demand - Solar'!$J$25</f>
        <v>5.3431910433566108</v>
      </c>
      <c r="AD75" s="60">
        <f>AD72*'Demand - Wind'!$I$22+AD73*'Demand - Solar'!$J$25</f>
        <v>6.0628407029290123</v>
      </c>
      <c r="AE75" s="60">
        <f>AE72*'Demand - Wind'!$I$22+AE73*'Demand - Solar'!$J$25</f>
        <v>6.8794166427560919</v>
      </c>
      <c r="AF75" s="60">
        <f>AF72*'Demand - Wind'!$I$22+AF73*'Demand - Solar'!$J$25</f>
        <v>7.8059734147007553</v>
      </c>
      <c r="AG75" s="60">
        <f>AG72*'Demand - Wind'!$I$22+AG73*'Demand - Solar'!$J$25</f>
        <v>8.8573238277662085</v>
      </c>
      <c r="AH75" s="60">
        <f>AH72*'Demand - Wind'!$I$22+AH73*'Demand - Solar'!$J$25</f>
        <v>10.050275759608461</v>
      </c>
      <c r="AI75" s="60"/>
    </row>
    <row r="76" spans="1:35" x14ac:dyDescent="0.2">
      <c r="A76" s="688"/>
      <c r="B76" s="1" t="s">
        <v>260</v>
      </c>
      <c r="C76" s="54" t="s">
        <v>153</v>
      </c>
      <c r="D76" s="44">
        <f>D72*'Demand - Wind'!$J$22+D73*'Demand - Solar'!$K$25</f>
        <v>0</v>
      </c>
      <c r="E76" s="44">
        <f>E72*'Demand - Wind'!$J$22+E73*'Demand - Solar'!$K$25</f>
        <v>0.17040506749049283</v>
      </c>
      <c r="F76" s="44">
        <f>F72*'Demand - Wind'!$J$22+F73*'Demand - Solar'!$K$25</f>
        <v>0.19159525248308629</v>
      </c>
      <c r="G76" s="44">
        <f>G72*'Demand - Wind'!$J$22+G73*'Demand - Solar'!$K$25</f>
        <v>0.21545392005919764</v>
      </c>
      <c r="H76" s="44">
        <f>H72*'Demand - Wind'!$J$22+H73*'Demand - Solar'!$K$25</f>
        <v>0.24232092899038996</v>
      </c>
      <c r="I76" s="44">
        <f>I72*'Demand - Wind'!$J$22+I73*'Demand - Solar'!$K$25</f>
        <v>0.2725798526189312</v>
      </c>
      <c r="J76" s="44">
        <f>J72*'Demand - Wind'!$J$22+J73*'Demand - Solar'!$K$25</f>
        <v>0.30666364959071457</v>
      </c>
      <c r="K76" s="44">
        <f>K72*'Demand - Wind'!$J$22+K73*'Demand - Solar'!$K$25</f>
        <v>0.34506107549208503</v>
      </c>
      <c r="L76" s="44">
        <f>L72*'Demand - Wind'!$J$22+L73*'Demand - Solar'!$K$25</f>
        <v>0.38832393277089378</v>
      </c>
      <c r="M76" s="44">
        <f>M72*'Demand - Wind'!$J$22+M73*'Demand - Solar'!$K$25</f>
        <v>0.43707526918402728</v>
      </c>
      <c r="N76" s="44">
        <f>N72*'Demand - Wind'!$J$22+N73*'Demand - Solar'!$K$25</f>
        <v>0.49201864958117847</v>
      </c>
      <c r="O76" s="44">
        <f>O72*'Demand - Wind'!$J$22+O73*'Demand - Solar'!$K$25</f>
        <v>0.55394864233462293</v>
      </c>
      <c r="P76" s="44">
        <f>P72*'Demand - Wind'!$J$22+P73*'Demand - Solar'!$K$25</f>
        <v>0.62376268041437455</v>
      </c>
      <c r="Q76" s="44">
        <f>Q72*'Demand - Wind'!$J$22+Q73*'Demand - Solar'!$K$25</f>
        <v>0.70247447827886833</v>
      </c>
      <c r="R76" s="44">
        <f>R72*'Demand - Wind'!$J$22+R73*'Demand - Solar'!$K$25</f>
        <v>0.79122920973349053</v>
      </c>
      <c r="S76" s="44">
        <f>S72*'Demand - Wind'!$J$22+S73*'Demand - Solar'!$K$25</f>
        <v>0.89132067907748114</v>
      </c>
      <c r="T76" s="44">
        <f>T72*'Demand - Wind'!$J$22+T73*'Demand - Solar'!$K$25</f>
        <v>1.0042107486382148</v>
      </c>
      <c r="U76" s="44">
        <f>U72*'Demand - Wind'!$J$22+U73*'Demand - Solar'!$K$25</f>
        <v>1.1315513206619583</v>
      </c>
      <c r="V76" s="44">
        <f>V72*'Demand - Wind'!$J$22+V73*'Demand - Solar'!$K$25</f>
        <v>1.2752092110371303</v>
      </c>
      <c r="W76" s="44">
        <f>W72*'Demand - Wind'!$J$22+W73*'Demand - Solar'!$K$25</f>
        <v>1.4372942970881879</v>
      </c>
      <c r="X76" s="44">
        <f>X72*'Demand - Wind'!$J$22+X73*'Demand - Solar'!$K$25</f>
        <v>1.6201913723963557</v>
      </c>
      <c r="Y76" s="44">
        <f>Y72*'Demand - Wind'!$J$22+Y73*'Demand - Solar'!$K$25</f>
        <v>1.826596199072033</v>
      </c>
      <c r="Z76" s="44">
        <f>Z72*'Demand - Wind'!$J$22+Z73*'Demand - Solar'!$K$25</f>
        <v>2.059556313023517</v>
      </c>
      <c r="AA76" s="44">
        <f>AA72*'Demand - Wind'!$J$22+AA73*'Demand - Solar'!$K$25</f>
        <v>2.3225172115589179</v>
      </c>
      <c r="AB76" s="44">
        <f>AB72*'Demand - Wind'!$J$22+AB73*'Demand - Solar'!$K$25</f>
        <v>2.6193746362803525</v>
      </c>
      <c r="AC76" s="44">
        <f>AC72*'Demand - Wind'!$J$22+AC73*'Demand - Solar'!$K$25</f>
        <v>2.9545337589943546</v>
      </c>
      <c r="AD76" s="44">
        <f>AD72*'Demand - Wind'!$J$22+AD73*'Demand - Solar'!$K$25</f>
        <v>3.3329761857578459</v>
      </c>
      <c r="AE76" s="44">
        <f>AE72*'Demand - Wind'!$J$22+AE73*'Demand - Solar'!$K$25</f>
        <v>3.7603358158923239</v>
      </c>
      <c r="AF76" s="44">
        <f>AF72*'Demand - Wind'!$J$22+AF73*'Demand - Solar'!$K$25</f>
        <v>4.2429847307429096</v>
      </c>
      <c r="AG76" s="44">
        <f>AG72*'Demand - Wind'!$J$22+AG73*'Demand - Solar'!$K$25</f>
        <v>4.7881304433026441</v>
      </c>
      <c r="AH76" s="44">
        <f>AH72*'Demand - Wind'!$J$22+AH73*'Demand - Solar'!$K$25</f>
        <v>5.4039260170251353</v>
      </c>
      <c r="AI76" s="44"/>
    </row>
    <row r="77" spans="1:35" x14ac:dyDescent="0.2">
      <c r="A77" s="688"/>
      <c r="B77" s="1" t="s">
        <v>262</v>
      </c>
      <c r="C77" s="54" t="s">
        <v>153</v>
      </c>
      <c r="D77" s="44">
        <f>D72*'Demand - Wind'!$K$22+D73*'Demand - Solar'!$L$25</f>
        <v>0</v>
      </c>
      <c r="E77" s="44">
        <f>E72*'Demand - Wind'!$K$22+E73*'Demand - Solar'!$L$25</f>
        <v>3.6026841934390125E-2</v>
      </c>
      <c r="F77" s="44">
        <f>F72*'Demand - Wind'!$K$22+F73*'Demand - Solar'!$L$25</f>
        <v>3.9822599765115506E-2</v>
      </c>
      <c r="G77" s="44">
        <f>G72*'Demand - Wind'!$K$22+G73*'Demand - Solar'!$L$25</f>
        <v>4.4018275455301153E-2</v>
      </c>
      <c r="H77" s="44">
        <f>H72*'Demand - Wind'!$K$22+H73*'Demand - Solar'!$L$25</f>
        <v>4.8656004014989214E-2</v>
      </c>
      <c r="I77" s="44">
        <f>I72*'Demand - Wind'!$K$22+I73*'Demand - Solar'!$L$25</f>
        <v>5.3782359763518049E-2</v>
      </c>
      <c r="J77" s="44">
        <f>J72*'Demand - Wind'!$K$22+J73*'Demand - Solar'!$L$25</f>
        <v>5.9448824051424327E-2</v>
      </c>
      <c r="K77" s="44">
        <f>K72*'Demand - Wind'!$K$22+K73*'Demand - Solar'!$L$25</f>
        <v>6.5712302261131353E-2</v>
      </c>
      <c r="L77" s="44">
        <f>L72*'Demand - Wind'!$K$22+L73*'Demand - Solar'!$L$25</f>
        <v>7.2635695278396806E-2</v>
      </c>
      <c r="M77" s="44">
        <f>M72*'Demand - Wind'!$K$22+M73*'Demand - Solar'!$L$25</f>
        <v>8.0288531173512548E-2</v>
      </c>
      <c r="N77" s="44">
        <f>N72*'Demand - Wind'!$K$22+N73*'Demand - Solar'!$L$25</f>
        <v>8.8747663435904692E-2</v>
      </c>
      <c r="O77" s="44">
        <f>O72*'Demand - Wind'!$K$22+O73*'Demand - Solar'!$L$25</f>
        <v>9.8098042774146313E-2</v>
      </c>
      <c r="P77" s="44">
        <f>P72*'Demand - Wind'!$K$22+P73*'Demand - Solar'!$L$25</f>
        <v>0.10843357023217089</v>
      </c>
      <c r="Q77" s="44">
        <f>Q72*'Demand - Wind'!$K$22+Q73*'Demand - Solar'!$L$25</f>
        <v>0.11985804018909467</v>
      </c>
      <c r="R77" s="44">
        <f>R72*'Demand - Wind'!$K$22+R73*'Demand - Solar'!$L$25</f>
        <v>0.13248618271270765</v>
      </c>
      <c r="S77" s="44">
        <f>S72*'Demand - Wind'!$K$22+S73*'Demand - Solar'!$L$25</f>
        <v>0.14644481573445581</v>
      </c>
      <c r="T77" s="44">
        <f>T72*'Demand - Wind'!$K$22+T73*'Demand - Solar'!$L$25</f>
        <v>0.16187411861660994</v>
      </c>
      <c r="U77" s="44">
        <f>U72*'Demand - Wind'!$K$22+U73*'Demand - Solar'!$L$25</f>
        <v>0.17892903990140482</v>
      </c>
      <c r="V77" s="44">
        <f>V72*'Demand - Wind'!$K$22+V73*'Demand - Solar'!$L$25</f>
        <v>0.19778085337944451</v>
      </c>
      <c r="W77" s="44">
        <f>W72*'Demand - Wind'!$K$22+W73*'Demand - Solar'!$L$25</f>
        <v>0.21861887810416969</v>
      </c>
      <c r="X77" s="44">
        <f>X72*'Demand - Wind'!$K$22+X73*'Demand - Solar'!$L$25</f>
        <v>0.24165237962560554</v>
      </c>
      <c r="Y77" s="44">
        <f>Y72*'Demand - Wind'!$K$22+Y73*'Demand - Solar'!$L$25</f>
        <v>0.26711267153650275</v>
      </c>
      <c r="Z77" s="44">
        <f>Z72*'Demand - Wind'!$K$22+Z73*'Demand - Solar'!$L$25</f>
        <v>0.29525543843561358</v>
      </c>
      <c r="AA77" s="44">
        <f>AA72*'Demand - Wind'!$K$22+AA73*'Demand - Solar'!$L$25</f>
        <v>0.32636330363643357</v>
      </c>
      <c r="AB77" s="44">
        <f>AB72*'Demand - Wind'!$K$22+AB73*'Demand - Solar'!$L$25</f>
        <v>0.36074866740757455</v>
      </c>
      <c r="AC77" s="44">
        <f>AC72*'Demand - Wind'!$K$22+AC73*'Demand - Solar'!$L$25</f>
        <v>0.39875684424777003</v>
      </c>
      <c r="AD77" s="44">
        <f>AD72*'Demand - Wind'!$K$22+AD73*'Demand - Solar'!$L$25</f>
        <v>0.44076953070153307</v>
      </c>
      <c r="AE77" s="44">
        <f>AE72*'Demand - Wind'!$K$22+AE73*'Demand - Solar'!$L$25</f>
        <v>0.48720863854097085</v>
      </c>
      <c r="AF77" s="44">
        <f>AF72*'Demand - Wind'!$K$22+AF73*'Demand - Solar'!$L$25</f>
        <v>0.53854053180840855</v>
      </c>
      <c r="AG77" s="44">
        <f>AG72*'Demand - Wind'!$K$22+AG73*'Demand - Solar'!$L$25</f>
        <v>0.59528071027027574</v>
      </c>
      <c r="AH77" s="44">
        <f>AH72*'Demand - Wind'!$K$22+AH73*'Demand - Solar'!$L$25</f>
        <v>0.65799898631576259</v>
      </c>
      <c r="AI77" s="44"/>
    </row>
    <row r="78" spans="1:35" s="68" customFormat="1" x14ac:dyDescent="0.2">
      <c r="A78" s="689"/>
      <c r="B78" s="62" t="s">
        <v>248</v>
      </c>
      <c r="C78" s="283" t="s">
        <v>153</v>
      </c>
      <c r="D78" s="284">
        <f>D72*'Demand - Wind'!$L$22+D73*'Demand - Solar'!$M$25</f>
        <v>0</v>
      </c>
      <c r="E78" s="284">
        <f>E72*'Demand - Wind'!$L$22+E73*'Demand - Solar'!$M$25</f>
        <v>0.20716236369658073</v>
      </c>
      <c r="F78" s="284">
        <f>F72*'Demand - Wind'!$L$22+F73*'Demand - Solar'!$M$25</f>
        <v>0.23435974939203716</v>
      </c>
      <c r="G78" s="284">
        <f>G72*'Demand - Wind'!$L$22+G73*'Demand - Solar'!$M$25</f>
        <v>0.26514601490308642</v>
      </c>
      <c r="H78" s="284">
        <f>H72*'Demand - Wind'!$L$22+H73*'Demand - Solar'!$M$25</f>
        <v>0.29999671111710757</v>
      </c>
      <c r="I78" s="284">
        <f>I72*'Demand - Wind'!$L$22+I73*'Demand - Solar'!$M$25</f>
        <v>0.33945061489502815</v>
      </c>
      <c r="J78" s="284">
        <f>J72*'Demand - Wind'!$L$22+J73*'Demand - Solar'!$M$25</f>
        <v>0.38411815789285497</v>
      </c>
      <c r="K78" s="284">
        <f>K72*'Demand - Wind'!$L$22+K73*'Demand - Solar'!$M$25</f>
        <v>0.43469098147780438</v>
      </c>
      <c r="L78" s="284">
        <f>L72*'Demand - Wind'!$L$22+L73*'Demand - Solar'!$M$25</f>
        <v>0.49195276844406666</v>
      </c>
      <c r="M78" s="284">
        <f>M72*'Demand - Wind'!$L$22+M73*'Demand - Solar'!$M$25</f>
        <v>0.55679152242947672</v>
      </c>
      <c r="N78" s="284">
        <f>N72*'Demand - Wind'!$L$22+N73*'Demand - Solar'!$M$25</f>
        <v>0.63021348884008055</v>
      </c>
      <c r="O78" s="284">
        <f>O72*'Demand - Wind'!$L$22+O73*'Demand - Solar'!$M$25</f>
        <v>0.71335893706852438</v>
      </c>
      <c r="P78" s="284">
        <f>P72*'Demand - Wind'!$L$22+P73*'Demand - Solar'!$M$25</f>
        <v>0.80752005325703735</v>
      </c>
      <c r="Q78" s="284">
        <f>Q72*'Demand - Wind'!$L$22+Q73*'Demand - Solar'!$M$25</f>
        <v>0.91416122627471019</v>
      </c>
      <c r="R78" s="284">
        <f>R72*'Demand - Wind'!$L$22+R73*'Demand - Solar'!$M$25</f>
        <v>1.0349420474826936</v>
      </c>
      <c r="S78" s="284">
        <f>S72*'Demand - Wind'!$L$22+S73*'Demand - Solar'!$M$25</f>
        <v>1.171743387852437</v>
      </c>
      <c r="T78" s="284">
        <f>T72*'Demand - Wind'!$L$22+T73*'Demand - Solar'!$M$25</f>
        <v>1.3266969647642686</v>
      </c>
      <c r="U78" s="284">
        <f>U72*'Demand - Wind'!$L$22+U73*'Demand - Solar'!$M$25</f>
        <v>1.5022188661219034</v>
      </c>
      <c r="V78" s="284">
        <f>V72*'Demand - Wind'!$L$22+V73*'Demand - Solar'!$M$25</f>
        <v>1.7010475621520742</v>
      </c>
      <c r="W78" s="284">
        <f>W72*'Demand - Wind'!$L$22+W73*'Demand - Solar'!$M$25</f>
        <v>1.9262870064150406</v>
      </c>
      <c r="X78" s="284">
        <f>X72*'Demand - Wind'!$L$22+X73*'Demand - Solar'!$M$25</f>
        <v>2.1814555082629483</v>
      </c>
      <c r="Y78" s="284">
        <f>Y72*'Demand - Wind'!$L$22+Y73*'Demand - Solar'!$M$25</f>
        <v>2.4705411505326609</v>
      </c>
      <c r="Z78" s="284">
        <f>Z72*'Demand - Wind'!$L$22+Z73*'Demand - Solar'!$M$25</f>
        <v>2.7980646301040863</v>
      </c>
      <c r="AA78" s="284">
        <f>AA72*'Demand - Wind'!$L$22+AA73*'Demand - Solar'!$M$25</f>
        <v>3.1691505167465208</v>
      </c>
      <c r="AB78" s="284">
        <f>AB72*'Demand - Wind'!$L$22+AB73*'Demand - Solar'!$M$25</f>
        <v>3.5896080592882611</v>
      </c>
      <c r="AC78" s="284">
        <f>AC72*'Demand - Wind'!$L$22+AC73*'Demand - Solar'!$M$25</f>
        <v>4.066022819705136</v>
      </c>
      <c r="AD78" s="284">
        <f>AD72*'Demand - Wind'!$L$22+AD73*'Demand - Solar'!$M$25</f>
        <v>4.6058605876438516</v>
      </c>
      <c r="AE78" s="284">
        <f>AE72*'Demand - Wind'!$L$22+AE73*'Demand - Solar'!$M$25</f>
        <v>5.2175852229127013</v>
      </c>
      <c r="AF78" s="284">
        <f>AF72*'Demand - Wind'!$L$22+AF73*'Demand - Solar'!$M$25</f>
        <v>5.9107922946898954</v>
      </c>
      <c r="AG78" s="284">
        <f>AG72*'Demand - Wind'!$L$22+AG73*'Demand - Solar'!$M$25</f>
        <v>6.6963606371404154</v>
      </c>
      <c r="AH78" s="284">
        <f>AH72*'Demand - Wind'!$L$22+AH73*'Demand - Solar'!$M$25</f>
        <v>7.586624225791839</v>
      </c>
      <c r="AI78" s="284"/>
    </row>
    <row r="79" spans="1:35" s="67" customFormat="1" x14ac:dyDescent="0.2">
      <c r="A79" s="687" t="s">
        <v>263</v>
      </c>
      <c r="B79" s="58" t="s">
        <v>264</v>
      </c>
      <c r="C79" s="59" t="s">
        <v>153</v>
      </c>
      <c r="D79" s="60">
        <f>D72*'Demand - Wind'!$K$22+D73*'Demand - Solar'!$L$25</f>
        <v>0</v>
      </c>
      <c r="E79" s="60">
        <f>E72*'Demand - Wind'!$K$22+E73*'Demand - Solar'!$L$25</f>
        <v>3.6026841934390125E-2</v>
      </c>
      <c r="F79" s="60">
        <f>F72*'Demand - Wind'!$K$22+F73*'Demand - Solar'!$L$25</f>
        <v>3.9822599765115506E-2</v>
      </c>
      <c r="G79" s="60">
        <f>G72*'Demand - Wind'!$K$22+G73*'Demand - Solar'!$L$25</f>
        <v>4.4018275455301153E-2</v>
      </c>
      <c r="H79" s="60">
        <f>H72*'Demand - Wind'!$K$22+H73*'Demand - Solar'!$L$25</f>
        <v>4.8656004014989214E-2</v>
      </c>
      <c r="I79" s="60">
        <f>I72*'Demand - Wind'!$K$22+I73*'Demand - Solar'!$L$25</f>
        <v>5.3782359763518049E-2</v>
      </c>
      <c r="J79" s="60">
        <f>J72*'Demand - Wind'!$K$22+J73*'Demand - Solar'!$L$25</f>
        <v>5.9448824051424327E-2</v>
      </c>
      <c r="K79" s="60">
        <f>K72*'Demand - Wind'!$K$22+K73*'Demand - Solar'!$L$25</f>
        <v>6.5712302261131353E-2</v>
      </c>
      <c r="L79" s="60">
        <f>L72*'Demand - Wind'!$K$22+L73*'Demand - Solar'!$L$25</f>
        <v>7.2635695278396806E-2</v>
      </c>
      <c r="M79" s="60">
        <f>M72*'Demand - Wind'!$K$22+M73*'Demand - Solar'!$L$25</f>
        <v>8.0288531173512548E-2</v>
      </c>
      <c r="N79" s="60">
        <f>N72*'Demand - Wind'!$K$22+N73*'Demand - Solar'!$L$25</f>
        <v>8.8747663435904692E-2</v>
      </c>
      <c r="O79" s="60">
        <f>O72*'Demand - Wind'!$K$22+O73*'Demand - Solar'!$L$25</f>
        <v>9.8098042774146313E-2</v>
      </c>
      <c r="P79" s="60">
        <f>P72*'Demand - Wind'!$K$22+P73*'Demand - Solar'!$L$25</f>
        <v>0.10843357023217089</v>
      </c>
      <c r="Q79" s="60">
        <f>Q72*'Demand - Wind'!$K$22+Q73*'Demand - Solar'!$L$25</f>
        <v>0.11985804018909467</v>
      </c>
      <c r="R79" s="60">
        <f>R72*'Demand - Wind'!$K$22+R73*'Demand - Solar'!$L$25</f>
        <v>0.13248618271270765</v>
      </c>
      <c r="S79" s="60">
        <f>S72*'Demand - Wind'!$K$22+S73*'Demand - Solar'!$L$25</f>
        <v>0.14644481573445581</v>
      </c>
      <c r="T79" s="60">
        <f>T72*'Demand - Wind'!$K$22+T73*'Demand - Solar'!$L$25</f>
        <v>0.16187411861660994</v>
      </c>
      <c r="U79" s="60">
        <f>U72*'Demand - Wind'!$K$22+U73*'Demand - Solar'!$L$25</f>
        <v>0.17892903990140482</v>
      </c>
      <c r="V79" s="60">
        <f>V72*'Demand - Wind'!$K$22+V73*'Demand - Solar'!$L$25</f>
        <v>0.19778085337944451</v>
      </c>
      <c r="W79" s="60">
        <f>W72*'Demand - Wind'!$K$22+W73*'Demand - Solar'!$L$25</f>
        <v>0.21861887810416969</v>
      </c>
      <c r="X79" s="60">
        <f>X72*'Demand - Wind'!$K$22+X73*'Demand - Solar'!$L$25</f>
        <v>0.24165237962560554</v>
      </c>
      <c r="Y79" s="60">
        <f>Y72*'Demand - Wind'!$K$22+Y73*'Demand - Solar'!$L$25</f>
        <v>0.26711267153650275</v>
      </c>
      <c r="Z79" s="60">
        <f>Z72*'Demand - Wind'!$K$22+Z73*'Demand - Solar'!$L$25</f>
        <v>0.29525543843561358</v>
      </c>
      <c r="AA79" s="60">
        <f>AA72*'Demand - Wind'!$K$22+AA73*'Demand - Solar'!$L$25</f>
        <v>0.32636330363643357</v>
      </c>
      <c r="AB79" s="60">
        <f>AB72*'Demand - Wind'!$K$22+AB73*'Demand - Solar'!$L$25</f>
        <v>0.36074866740757455</v>
      </c>
      <c r="AC79" s="60">
        <f>AC72*'Demand - Wind'!$K$22+AC73*'Demand - Solar'!$L$25</f>
        <v>0.39875684424777003</v>
      </c>
      <c r="AD79" s="60">
        <f>AD72*'Demand - Wind'!$K$22+AD73*'Demand - Solar'!$L$25</f>
        <v>0.44076953070153307</v>
      </c>
      <c r="AE79" s="60">
        <f>AE72*'Demand - Wind'!$K$22+AE73*'Demand - Solar'!$L$25</f>
        <v>0.48720863854097085</v>
      </c>
      <c r="AF79" s="60">
        <f>AF72*'Demand - Wind'!$K$22+AF73*'Demand - Solar'!$L$25</f>
        <v>0.53854053180840855</v>
      </c>
      <c r="AG79" s="60">
        <f>AG72*'Demand - Wind'!$K$22+AG73*'Demand - Solar'!$L$25</f>
        <v>0.59528071027027574</v>
      </c>
      <c r="AH79" s="60">
        <f>AH72*'Demand - Wind'!$K$22+AH73*'Demand - Solar'!$L$25</f>
        <v>0.65799898631576259</v>
      </c>
      <c r="AI79" s="60"/>
    </row>
    <row r="80" spans="1:35" s="68" customFormat="1" x14ac:dyDescent="0.2">
      <c r="A80" s="689"/>
      <c r="B80" s="62" t="s">
        <v>266</v>
      </c>
      <c r="C80" s="283" t="s">
        <v>153</v>
      </c>
      <c r="D80" s="284">
        <f>D72*'Demand - Wind'!J22+D73*'Demand - Solar'!K25</f>
        <v>0</v>
      </c>
      <c r="E80" s="284">
        <f>E72*'Demand - Wind'!K22+E73*'Demand - Solar'!L25</f>
        <v>3.6026841934390125E-2</v>
      </c>
      <c r="F80" s="284">
        <f>F72*'Demand - Wind'!L22+F73*'Demand - Solar'!M25</f>
        <v>0.23435974939203716</v>
      </c>
      <c r="G80" s="284">
        <f>G72*'Demand - Wind'!M22+G73*'Demand - Solar'!N25</f>
        <v>0.70943425671187132</v>
      </c>
      <c r="H80" s="284">
        <f>H72*'Demand - Wind'!N22+H73*'Demand - Solar'!O25</f>
        <v>0</v>
      </c>
      <c r="I80" s="284">
        <f>I72*'Demand - Wind'!O22+I73*'Demand - Solar'!P25</f>
        <v>0</v>
      </c>
      <c r="J80" s="284">
        <f>J72*'Demand - Wind'!P22+J73*'Demand - Solar'!Q25</f>
        <v>0</v>
      </c>
      <c r="K80" s="284">
        <f>K72*'Demand - Wind'!Q22+K73*'Demand - Solar'!R25</f>
        <v>0</v>
      </c>
      <c r="L80" s="284">
        <f>L72*'Demand - Wind'!R22+L73*'Demand - Solar'!S25</f>
        <v>0</v>
      </c>
      <c r="M80" s="284">
        <f>M72*'Demand - Wind'!S22+M73*'Demand - Solar'!T25</f>
        <v>0</v>
      </c>
      <c r="N80" s="284">
        <f>N72*'Demand - Wind'!T22+N73*'Demand - Solar'!U25</f>
        <v>0</v>
      </c>
      <c r="O80" s="284">
        <f>O72*'Demand - Wind'!U22+O73*'Demand - Solar'!V25</f>
        <v>0</v>
      </c>
      <c r="P80" s="284">
        <f>P72*'Demand - Wind'!V22+P73*'Demand - Solar'!W25</f>
        <v>0</v>
      </c>
      <c r="Q80" s="284">
        <f>Q72*'Demand - Wind'!W22+Q73*'Demand - Solar'!X25</f>
        <v>0</v>
      </c>
      <c r="R80" s="284">
        <f>R72*'Demand - Wind'!X22+R73*'Demand - Solar'!Y25</f>
        <v>0</v>
      </c>
      <c r="S80" s="284">
        <f>S72*'Demand - Wind'!Y22+S73*'Demand - Solar'!Z25</f>
        <v>0</v>
      </c>
      <c r="T80" s="284">
        <f>T72*'Demand - Wind'!Z22+T73*'Demand - Solar'!AA25</f>
        <v>0</v>
      </c>
      <c r="U80" s="284">
        <f>U72*'Demand - Wind'!AA22+U73*'Demand - Solar'!AB25</f>
        <v>0</v>
      </c>
      <c r="V80" s="284">
        <f>V72*'Demand - Wind'!AB22+V73*'Demand - Solar'!AC25</f>
        <v>0</v>
      </c>
      <c r="W80" s="284">
        <f>W72*'Demand - Wind'!AC22+W73*'Demand - Solar'!AD25</f>
        <v>0</v>
      </c>
      <c r="X80" s="284">
        <f>X72*'Demand - Wind'!AD22+X73*'Demand - Solar'!AE25</f>
        <v>0</v>
      </c>
      <c r="Y80" s="284">
        <f>Y72*'Demand - Wind'!AE22+Y73*'Demand - Solar'!AF25</f>
        <v>0</v>
      </c>
      <c r="Z80" s="284">
        <f>Z72*'Demand - Wind'!AF22+Z73*'Demand - Solar'!AG25</f>
        <v>0</v>
      </c>
      <c r="AA80" s="284">
        <f>AA72*'Demand - Wind'!AG22+AA73*'Demand - Solar'!AH25</f>
        <v>0</v>
      </c>
      <c r="AB80" s="284">
        <f>AB72*'Demand - Wind'!AH22+AB73*'Demand - Solar'!AI25</f>
        <v>0</v>
      </c>
      <c r="AC80" s="284">
        <f>AC72*'Demand - Wind'!AI22+AC73*'Demand - Solar'!AJ25</f>
        <v>0</v>
      </c>
      <c r="AD80" s="284">
        <f>AD72*'Demand - Wind'!AJ22+AD73*'Demand - Solar'!AK25</f>
        <v>0</v>
      </c>
      <c r="AE80" s="284">
        <f>AE72*'Demand - Wind'!AK22+AE73*'Demand - Solar'!AL25</f>
        <v>0</v>
      </c>
      <c r="AF80" s="284">
        <f>AF72*'Demand - Wind'!AL22+AF73*'Demand - Solar'!AM25</f>
        <v>0</v>
      </c>
      <c r="AG80" s="284">
        <f>AG72*'Demand - Wind'!AM22+AG73*'Demand - Solar'!AN25</f>
        <v>0</v>
      </c>
      <c r="AH80" s="284">
        <f>AH72*'Demand - Wind'!AN22+AH73*'Demand - Solar'!AO25</f>
        <v>0</v>
      </c>
      <c r="AI80" s="284"/>
    </row>
    <row r="81" spans="1:35" outlineLevel="1" x14ac:dyDescent="0.2">
      <c r="A81" s="1" t="s">
        <v>67</v>
      </c>
      <c r="B81" s="1" t="s">
        <v>168</v>
      </c>
      <c r="C81" s="54" t="s">
        <v>153</v>
      </c>
      <c r="D81" s="66">
        <f>D17+D29+D41+D53+D63</f>
        <v>0</v>
      </c>
      <c r="E81" s="66">
        <f t="shared" ref="E81:AH81" si="20">E17+E29+E41+E53+E63</f>
        <v>0.85244366053895815</v>
      </c>
      <c r="F81" s="66">
        <f t="shared" si="20"/>
        <v>1.7391480325644026</v>
      </c>
      <c r="G81" s="66">
        <f t="shared" si="20"/>
        <v>2.6612035354352193</v>
      </c>
      <c r="H81" s="66">
        <f t="shared" si="20"/>
        <v>3.6197328325532796</v>
      </c>
      <c r="I81" s="66">
        <f t="shared" si="20"/>
        <v>4.6158917556164401</v>
      </c>
      <c r="J81" s="66">
        <f t="shared" si="20"/>
        <v>5.6434227587169081</v>
      </c>
      <c r="K81" s="66">
        <f t="shared" si="20"/>
        <v>6.7081095117331042</v>
      </c>
      <c r="L81" s="66">
        <f t="shared" si="20"/>
        <v>7.8110226913655527</v>
      </c>
      <c r="M81" s="66">
        <f t="shared" si="20"/>
        <v>8.9532613793580857</v>
      </c>
      <c r="N81" s="66">
        <f t="shared" si="20"/>
        <v>10.135953787219638</v>
      </c>
      <c r="O81" s="66">
        <f t="shared" si="20"/>
        <v>12.13429788743368</v>
      </c>
      <c r="P81" s="66">
        <f t="shared" si="20"/>
        <v>14.186719582246729</v>
      </c>
      <c r="Q81" s="66">
        <f t="shared" si="20"/>
        <v>16.2943591050192</v>
      </c>
      <c r="R81" s="66">
        <f t="shared" si="20"/>
        <v>18.458378502748253</v>
      </c>
      <c r="S81" s="66">
        <f t="shared" si="20"/>
        <v>20.679962033824889</v>
      </c>
      <c r="T81" s="66">
        <f t="shared" si="20"/>
        <v>22.954551542926836</v>
      </c>
      <c r="U81" s="66">
        <f t="shared" si="20"/>
        <v>25.288279551380374</v>
      </c>
      <c r="V81" s="66">
        <f t="shared" si="20"/>
        <v>27.682371782227893</v>
      </c>
      <c r="W81" s="66">
        <f t="shared" si="20"/>
        <v>30.138077211057443</v>
      </c>
      <c r="X81" s="66">
        <f t="shared" si="20"/>
        <v>32.656668488525511</v>
      </c>
      <c r="Y81" s="66">
        <f t="shared" si="20"/>
        <v>35.4083536041095</v>
      </c>
      <c r="Z81" s="66">
        <f t="shared" si="20"/>
        <v>38.23020227920739</v>
      </c>
      <c r="AA81" s="66">
        <f t="shared" si="20"/>
        <v>41.123648817907757</v>
      </c>
      <c r="AB81" s="66">
        <f t="shared" si="20"/>
        <v>44.090154025463193</v>
      </c>
      <c r="AC81" s="66">
        <f t="shared" si="20"/>
        <v>47.131205665423309</v>
      </c>
      <c r="AD81" s="66">
        <f t="shared" si="20"/>
        <v>50.239870569625083</v>
      </c>
      <c r="AE81" s="66">
        <f t="shared" si="20"/>
        <v>53.42529311000154</v>
      </c>
      <c r="AF81" s="66">
        <f t="shared" si="20"/>
        <v>56.689021111212675</v>
      </c>
      <c r="AG81" s="66">
        <f t="shared" si="20"/>
        <v>60.032630788341748</v>
      </c>
      <c r="AH81" s="66">
        <f t="shared" si="20"/>
        <v>63.457727234126153</v>
      </c>
    </row>
    <row r="82" spans="1:35" outlineLevel="1" x14ac:dyDescent="0.2">
      <c r="B82" s="1" t="s">
        <v>172</v>
      </c>
      <c r="C82" s="54" t="s">
        <v>153</v>
      </c>
      <c r="D82" s="66">
        <f>D18+D42+D54+D32+D64</f>
        <v>0</v>
      </c>
      <c r="E82" s="66">
        <f t="shared" ref="E82:AH82" si="21">E18+E42+E54+E32+E64</f>
        <v>0.65586546087035691</v>
      </c>
      <c r="F82" s="66">
        <f t="shared" si="21"/>
        <v>1.3336354841942164</v>
      </c>
      <c r="G82" s="66">
        <f t="shared" si="21"/>
        <v>2.033895442594122</v>
      </c>
      <c r="H82" s="66">
        <f t="shared" si="21"/>
        <v>2.7572456320803265</v>
      </c>
      <c r="I82" s="66">
        <f t="shared" si="21"/>
        <v>3.5043016537563205</v>
      </c>
      <c r="J82" s="66">
        <f t="shared" si="21"/>
        <v>4.2732123067170384</v>
      </c>
      <c r="K82" s="66">
        <f t="shared" si="21"/>
        <v>5.0661445286428286</v>
      </c>
      <c r="L82" s="66">
        <f t="shared" si="21"/>
        <v>5.8836987368933977</v>
      </c>
      <c r="M82" s="66">
        <f t="shared" si="21"/>
        <v>6.7264893733031919</v>
      </c>
      <c r="N82" s="66">
        <f t="shared" si="21"/>
        <v>7.595145225804643</v>
      </c>
      <c r="O82" s="66">
        <f t="shared" si="21"/>
        <v>8.4714958167382566</v>
      </c>
      <c r="P82" s="66">
        <f t="shared" si="21"/>
        <v>9.0494680959378364</v>
      </c>
      <c r="Q82" s="66">
        <f t="shared" si="21"/>
        <v>10.001615517123765</v>
      </c>
      <c r="R82" s="66">
        <f t="shared" si="21"/>
        <v>10.97866313079219</v>
      </c>
      <c r="S82" s="66">
        <f t="shared" si="21"/>
        <v>11.981128252096731</v>
      </c>
      <c r="T82" s="66">
        <f t="shared" si="21"/>
        <v>13.007616329178468</v>
      </c>
      <c r="U82" s="66">
        <f t="shared" si="21"/>
        <v>14.060298680782333</v>
      </c>
      <c r="V82" s="66">
        <f t="shared" si="21"/>
        <v>15.139713379509681</v>
      </c>
      <c r="W82" s="66">
        <f t="shared" si="21"/>
        <v>16.246408644405928</v>
      </c>
      <c r="X82" s="66">
        <f t="shared" si="21"/>
        <v>17.380943024874131</v>
      </c>
      <c r="Y82" s="66">
        <f t="shared" si="21"/>
        <v>19.694587489601123</v>
      </c>
      <c r="Z82" s="66">
        <f t="shared" si="21"/>
        <v>20.899200064422857</v>
      </c>
      <c r="AA82" s="66">
        <f t="shared" si="21"/>
        <v>22.133291291611283</v>
      </c>
      <c r="AB82" s="66">
        <f t="shared" si="21"/>
        <v>23.397456852448531</v>
      </c>
      <c r="AC82" s="66">
        <f t="shared" si="21"/>
        <v>24.692303586977886</v>
      </c>
      <c r="AD82" s="66">
        <f t="shared" si="21"/>
        <v>26.015633577849879</v>
      </c>
      <c r="AE82" s="66">
        <f t="shared" si="21"/>
        <v>27.370610355880629</v>
      </c>
      <c r="AF82" s="66">
        <f t="shared" si="21"/>
        <v>28.757867587017373</v>
      </c>
      <c r="AG82" s="66">
        <f t="shared" si="21"/>
        <v>30.178050768819951</v>
      </c>
      <c r="AH82" s="66">
        <f t="shared" si="21"/>
        <v>31.63181744464287</v>
      </c>
    </row>
    <row r="83" spans="1:35" outlineLevel="1" x14ac:dyDescent="0.2">
      <c r="B83" s="1" t="s">
        <v>214</v>
      </c>
      <c r="C83" s="54" t="s">
        <v>153</v>
      </c>
      <c r="D83" s="66">
        <f>D74+D13</f>
        <v>0</v>
      </c>
      <c r="E83" s="66">
        <f t="shared" ref="E83:AG83" si="22">E74+E13</f>
        <v>0.67972367134593858</v>
      </c>
      <c r="F83" s="66">
        <f t="shared" si="22"/>
        <v>0.77550459039394204</v>
      </c>
      <c r="G83" s="66">
        <f t="shared" si="22"/>
        <v>0.88291463479965138</v>
      </c>
      <c r="H83" s="66">
        <f t="shared" si="22"/>
        <v>1.003448139337507</v>
      </c>
      <c r="I83" s="66">
        <f t="shared" si="22"/>
        <v>1.1387957283591998</v>
      </c>
      <c r="J83" s="66">
        <f t="shared" si="22"/>
        <v>1.2908702995356887</v>
      </c>
      <c r="K83" s="66">
        <f t="shared" si="22"/>
        <v>1.4618364610874759</v>
      </c>
      <c r="L83" s="66">
        <f t="shared" si="22"/>
        <v>1.6541438828116954</v>
      </c>
      <c r="M83" s="66">
        <f t="shared" si="22"/>
        <v>1.8705650827036528</v>
      </c>
      <c r="N83" s="66">
        <f t="shared" si="22"/>
        <v>2.1142382406878006</v>
      </c>
      <c r="O83" s="66">
        <f t="shared" si="22"/>
        <v>2.4193308857383626</v>
      </c>
      <c r="P83" s="66">
        <f t="shared" si="22"/>
        <v>2.7602902539710135</v>
      </c>
      <c r="Q83" s="66">
        <f t="shared" si="22"/>
        <v>3.1416958161578337</v>
      </c>
      <c r="R83" s="66">
        <f t="shared" si="22"/>
        <v>3.5687296619767688</v>
      </c>
      <c r="S83" s="66">
        <f t="shared" si="22"/>
        <v>4.0472565029699155</v>
      </c>
      <c r="T83" s="66">
        <f t="shared" si="22"/>
        <v>4.5839143361350425</v>
      </c>
      <c r="U83" s="66">
        <f t="shared" si="22"/>
        <v>5.186217192074948</v>
      </c>
      <c r="V83" s="66">
        <f t="shared" si="22"/>
        <v>5.8626715821599102</v>
      </c>
      <c r="W83" s="66">
        <f t="shared" si="22"/>
        <v>6.6229084752192158</v>
      </c>
      <c r="X83" s="66">
        <f t="shared" si="22"/>
        <v>7.4778328792930671</v>
      </c>
      <c r="Y83" s="66">
        <f t="shared" si="22"/>
        <v>8.451872216335623</v>
      </c>
      <c r="Z83" s="66">
        <f t="shared" si="22"/>
        <v>9.5473426662018142</v>
      </c>
      <c r="AA83" s="66">
        <f t="shared" si="22"/>
        <v>10.780092601652509</v>
      </c>
      <c r="AB83" s="66">
        <f t="shared" si="22"/>
        <v>12.168071102971064</v>
      </c>
      <c r="AC83" s="66">
        <f t="shared" si="22"/>
        <v>13.73160784124509</v>
      </c>
      <c r="AD83" s="66">
        <f t="shared" si="22"/>
        <v>15.493730348168478</v>
      </c>
      <c r="AE83" s="66">
        <f t="shared" si="22"/>
        <v>17.480523675408612</v>
      </c>
      <c r="AF83" s="66">
        <f t="shared" si="22"/>
        <v>19.72153811701498</v>
      </c>
      <c r="AG83" s="66">
        <f t="shared" si="22"/>
        <v>22.250251428715423</v>
      </c>
      <c r="AH83" s="66">
        <f>AH74+AH13</f>
        <v>25.104592840330554</v>
      </c>
    </row>
    <row r="84" spans="1:35" s="69" customFormat="1" x14ac:dyDescent="0.2">
      <c r="A84" s="69" t="s">
        <v>383</v>
      </c>
      <c r="C84" s="70" t="s">
        <v>153</v>
      </c>
      <c r="D84" s="71">
        <f>D4+D83-D81-D82</f>
        <v>162.69230769230768</v>
      </c>
      <c r="E84" s="71">
        <f t="shared" ref="E84:AG84" si="23">E4+E83-E81-E82</f>
        <v>165.89019518813586</v>
      </c>
      <c r="F84" s="71">
        <f t="shared" si="23"/>
        <v>168.54762586197771</v>
      </c>
      <c r="G84" s="71">
        <f t="shared" si="23"/>
        <v>171.26096206778783</v>
      </c>
      <c r="H84" s="71">
        <f t="shared" si="23"/>
        <v>174.03250248689827</v>
      </c>
      <c r="I84" s="71">
        <f t="shared" si="23"/>
        <v>176.86475616514028</v>
      </c>
      <c r="J84" s="71">
        <f t="shared" si="23"/>
        <v>179.26888380171204</v>
      </c>
      <c r="K84" s="71">
        <f t="shared" si="23"/>
        <v>181.71987802091863</v>
      </c>
      <c r="L84" s="71">
        <f t="shared" si="23"/>
        <v>184.2204806305447</v>
      </c>
      <c r="M84" s="71">
        <f t="shared" si="23"/>
        <v>186.77375708958598</v>
      </c>
      <c r="N84" s="71">
        <f>N4+N83-N81-N82</f>
        <v>189.38313922766349</v>
      </c>
      <c r="O84" s="71">
        <f t="shared" si="23"/>
        <v>189.25470137671061</v>
      </c>
      <c r="P84" s="71">
        <f t="shared" si="23"/>
        <v>189.4355006374293</v>
      </c>
      <c r="Q84" s="71">
        <f t="shared" si="23"/>
        <v>189.2567689585882</v>
      </c>
      <c r="R84" s="71">
        <f t="shared" si="23"/>
        <v>189.07215161962398</v>
      </c>
      <c r="S84" s="71">
        <f t="shared" si="23"/>
        <v>188.88616621704827</v>
      </c>
      <c r="T84" s="71">
        <f t="shared" si="23"/>
        <v>188.56618057057182</v>
      </c>
      <c r="U84" s="71">
        <f t="shared" si="23"/>
        <v>188.25397962403645</v>
      </c>
      <c r="V84" s="71">
        <f t="shared" si="23"/>
        <v>187.95661484993349</v>
      </c>
      <c r="W84" s="71">
        <f t="shared" si="23"/>
        <v>187.68223224927195</v>
      </c>
      <c r="X84" s="71">
        <f t="shared" si="23"/>
        <v>187.44022136589339</v>
      </c>
      <c r="Y84" s="71">
        <f t="shared" si="23"/>
        <v>185.79629075607883</v>
      </c>
      <c r="Z84" s="71">
        <f t="shared" si="23"/>
        <v>185.33870119458993</v>
      </c>
      <c r="AA84" s="71">
        <f t="shared" si="23"/>
        <v>184.94363330857982</v>
      </c>
      <c r="AB84" s="71">
        <f t="shared" si="23"/>
        <v>184.62725974109424</v>
      </c>
      <c r="AC84" s="71">
        <f t="shared" si="23"/>
        <v>184.4080985888439</v>
      </c>
      <c r="AD84" s="71">
        <f t="shared" si="23"/>
        <v>184.18821866826843</v>
      </c>
      <c r="AE84" s="71">
        <f t="shared" si="23"/>
        <v>184.1093575697945</v>
      </c>
      <c r="AF84" s="71">
        <f t="shared" si="23"/>
        <v>184.19913417214315</v>
      </c>
      <c r="AG84" s="71">
        <f t="shared" si="23"/>
        <v>184.48905712020377</v>
      </c>
      <c r="AH84" s="71">
        <f>AH4+AH83-AH81-AH82</f>
        <v>185.01504816156154</v>
      </c>
    </row>
    <row r="85" spans="1:35" s="67" customFormat="1" x14ac:dyDescent="0.2">
      <c r="A85" s="687" t="s">
        <v>257</v>
      </c>
      <c r="B85" s="58" t="s">
        <v>258</v>
      </c>
      <c r="C85" s="59" t="s">
        <v>153</v>
      </c>
      <c r="D85" s="60">
        <f>D20+D34+D44+D56+D66+D75</f>
        <v>99.242307692307705</v>
      </c>
      <c r="E85" s="60">
        <f t="shared" ref="E85:AH90" si="24">E20+E34+E44+E56+E66+E75</f>
        <v>100.53238851980105</v>
      </c>
      <c r="F85" s="60">
        <f t="shared" si="24"/>
        <v>101.61117211588613</v>
      </c>
      <c r="G85" s="60">
        <f t="shared" si="24"/>
        <v>102.70630616976992</v>
      </c>
      <c r="H85" s="60">
        <f t="shared" si="24"/>
        <v>103.81857357573601</v>
      </c>
      <c r="I85" s="60">
        <f t="shared" si="24"/>
        <v>104.94884422804284</v>
      </c>
      <c r="J85" s="60">
        <f t="shared" si="24"/>
        <v>105.91755207389421</v>
      </c>
      <c r="K85" s="60">
        <f t="shared" si="24"/>
        <v>106.89911165601536</v>
      </c>
      <c r="L85" s="60">
        <f t="shared" si="24"/>
        <v>107.8945196146628</v>
      </c>
      <c r="M85" s="60">
        <f t="shared" si="24"/>
        <v>108.9049102422705</v>
      </c>
      <c r="N85" s="60">
        <f t="shared" si="24"/>
        <v>109.93157431480978</v>
      </c>
      <c r="O85" s="60">
        <f t="shared" si="24"/>
        <v>109.5487433877985</v>
      </c>
      <c r="P85" s="60">
        <f t="shared" si="24"/>
        <v>109.41694337929138</v>
      </c>
      <c r="Q85" s="60">
        <f t="shared" si="24"/>
        <v>108.97072802375986</v>
      </c>
      <c r="R85" s="60">
        <f t="shared" si="24"/>
        <v>108.50628141863953</v>
      </c>
      <c r="S85" s="60">
        <f t="shared" si="24"/>
        <v>108.02521121092035</v>
      </c>
      <c r="T85" s="60">
        <f t="shared" si="24"/>
        <v>107.47880488772499</v>
      </c>
      <c r="U85" s="60">
        <f t="shared" si="24"/>
        <v>106.91918552026415</v>
      </c>
      <c r="V85" s="60">
        <f t="shared" si="24"/>
        <v>106.34906042726291</v>
      </c>
      <c r="W85" s="60">
        <f t="shared" si="24"/>
        <v>105.77161433638896</v>
      </c>
      <c r="X85" s="60">
        <f t="shared" si="24"/>
        <v>105.19057596212444</v>
      </c>
      <c r="Y85" s="60">
        <f t="shared" si="24"/>
        <v>103.54901949963326</v>
      </c>
      <c r="Z85" s="60">
        <f t="shared" si="24"/>
        <v>102.84094989692321</v>
      </c>
      <c r="AA85" s="60">
        <f t="shared" si="24"/>
        <v>102.14156348225568</v>
      </c>
      <c r="AB85" s="60">
        <f t="shared" si="24"/>
        <v>101.4575807646174</v>
      </c>
      <c r="AC85" s="60">
        <f t="shared" si="24"/>
        <v>100.79676054384578</v>
      </c>
      <c r="AD85" s="60">
        <f t="shared" si="24"/>
        <v>100.12429876231883</v>
      </c>
      <c r="AE85" s="60">
        <f t="shared" si="24"/>
        <v>99.493642585224592</v>
      </c>
      <c r="AF85" s="60">
        <f t="shared" si="24"/>
        <v>98.916596093970554</v>
      </c>
      <c r="AG85" s="60">
        <f t="shared" si="24"/>
        <v>98.406697640828881</v>
      </c>
      <c r="AH85" s="60">
        <f t="shared" si="24"/>
        <v>97.979456238769473</v>
      </c>
      <c r="AI85" s="60"/>
    </row>
    <row r="86" spans="1:35" x14ac:dyDescent="0.2">
      <c r="A86" s="688"/>
      <c r="B86" s="1" t="s">
        <v>260</v>
      </c>
      <c r="C86" s="54" t="s">
        <v>153</v>
      </c>
      <c r="D86" s="44">
        <f t="shared" ref="D86:S90" si="25">D21+D35+D45+D57+D67+D76</f>
        <v>22.776923076923076</v>
      </c>
      <c r="E86" s="44">
        <f t="shared" si="25"/>
        <v>23.34721913111402</v>
      </c>
      <c r="F86" s="44">
        <f t="shared" si="25"/>
        <v>23.775464800523771</v>
      </c>
      <c r="G86" s="44">
        <f t="shared" si="25"/>
        <v>24.213666248735031</v>
      </c>
      <c r="H86" s="44">
        <f t="shared" si="25"/>
        <v>24.662287934980757</v>
      </c>
      <c r="I86" s="44">
        <f t="shared" si="25"/>
        <v>25.121839849633787</v>
      </c>
      <c r="J86" s="44">
        <f t="shared" si="25"/>
        <v>25.508848872257708</v>
      </c>
      <c r="K86" s="44">
        <f t="shared" si="25"/>
        <v>25.904616945249142</v>
      </c>
      <c r="L86" s="44">
        <f t="shared" si="25"/>
        <v>26.309730425147933</v>
      </c>
      <c r="M86" s="44">
        <f t="shared" si="25"/>
        <v>26.724846373660249</v>
      </c>
      <c r="N86" s="44">
        <f t="shared" si="25"/>
        <v>27.150701789637743</v>
      </c>
      <c r="O86" s="44">
        <f t="shared" si="25"/>
        <v>27.175490561883805</v>
      </c>
      <c r="P86" s="44">
        <f t="shared" si="25"/>
        <v>27.238573349306943</v>
      </c>
      <c r="Q86" s="44">
        <f t="shared" si="25"/>
        <v>27.264001990447905</v>
      </c>
      <c r="R86" s="44">
        <f t="shared" si="25"/>
        <v>27.292699234268351</v>
      </c>
      <c r="S86" s="44">
        <f t="shared" si="25"/>
        <v>27.325770106605017</v>
      </c>
      <c r="T86" s="44">
        <f t="shared" si="24"/>
        <v>27.34091089039029</v>
      </c>
      <c r="U86" s="44">
        <f t="shared" si="24"/>
        <v>27.36276913846471</v>
      </c>
      <c r="V86" s="44">
        <f t="shared" si="24"/>
        <v>27.393006106121454</v>
      </c>
      <c r="W86" s="44">
        <f t="shared" si="24"/>
        <v>27.433521552379126</v>
      </c>
      <c r="X86" s="44">
        <f t="shared" si="24"/>
        <v>27.486485498859967</v>
      </c>
      <c r="Y86" s="44">
        <f t="shared" si="24"/>
        <v>27.380792491125206</v>
      </c>
      <c r="Z86" s="44">
        <f t="shared" si="24"/>
        <v>27.421804586891433</v>
      </c>
      <c r="AA86" s="44">
        <f t="shared" si="24"/>
        <v>27.482708760846439</v>
      </c>
      <c r="AB86" s="44">
        <f t="shared" si="24"/>
        <v>27.567143084441831</v>
      </c>
      <c r="AC86" s="44">
        <f t="shared" si="24"/>
        <v>27.679249364045919</v>
      </c>
      <c r="AD86" s="44">
        <f t="shared" si="24"/>
        <v>27.803378446901728</v>
      </c>
      <c r="AE86" s="44">
        <f t="shared" si="24"/>
        <v>27.964981435859968</v>
      </c>
      <c r="AF86" s="44">
        <f t="shared" si="24"/>
        <v>28.170147414712154</v>
      </c>
      <c r="AG86" s="44">
        <f t="shared" si="24"/>
        <v>28.425794710668683</v>
      </c>
      <c r="AH86" s="44">
        <f t="shared" si="24"/>
        <v>28.739780881758431</v>
      </c>
      <c r="AI86" s="44"/>
    </row>
    <row r="87" spans="1:35" x14ac:dyDescent="0.2">
      <c r="A87" s="688"/>
      <c r="B87" s="1" t="s">
        <v>262</v>
      </c>
      <c r="C87" s="54" t="s">
        <v>153</v>
      </c>
      <c r="D87" s="44">
        <f t="shared" si="25"/>
        <v>19.523076923076918</v>
      </c>
      <c r="E87" s="44">
        <f t="shared" si="24"/>
        <v>19.888766595903018</v>
      </c>
      <c r="F87" s="44">
        <f t="shared" si="24"/>
        <v>20.227721336030527</v>
      </c>
      <c r="G87" s="44">
        <f t="shared" si="24"/>
        <v>20.572660824228262</v>
      </c>
      <c r="H87" s="44">
        <f t="shared" si="24"/>
        <v>20.923717170083478</v>
      </c>
      <c r="I87" s="44">
        <f t="shared" si="24"/>
        <v>21.281028231610904</v>
      </c>
      <c r="J87" s="44">
        <f t="shared" si="24"/>
        <v>21.589644374485676</v>
      </c>
      <c r="K87" s="44">
        <f t="shared" si="24"/>
        <v>21.9026130667709</v>
      </c>
      <c r="L87" s="44">
        <f t="shared" si="24"/>
        <v>22.220028645472613</v>
      </c>
      <c r="M87" s="44">
        <f t="shared" si="24"/>
        <v>22.541991855494938</v>
      </c>
      <c r="N87" s="44">
        <f t="shared" si="24"/>
        <v>22.868610526378365</v>
      </c>
      <c r="O87" s="44">
        <f t="shared" si="24"/>
        <v>22.954823712229967</v>
      </c>
      <c r="P87" s="44">
        <f t="shared" si="24"/>
        <v>23.039271762727523</v>
      </c>
      <c r="Q87" s="44">
        <f t="shared" si="24"/>
        <v>23.121955307832717</v>
      </c>
      <c r="R87" s="44">
        <f t="shared" si="24"/>
        <v>23.202883329112602</v>
      </c>
      <c r="S87" s="44">
        <f t="shared" si="24"/>
        <v>23.282074255210027</v>
      </c>
      <c r="T87" s="44">
        <f t="shared" si="24"/>
        <v>23.34410279542843</v>
      </c>
      <c r="U87" s="44">
        <f t="shared" si="24"/>
        <v>23.404215644742859</v>
      </c>
      <c r="V87" s="44">
        <f t="shared" si="24"/>
        <v>23.462464983589637</v>
      </c>
      <c r="W87" s="44">
        <f t="shared" si="24"/>
        <v>23.518918149825549</v>
      </c>
      <c r="X87" s="44">
        <f t="shared" si="24"/>
        <v>23.57365947749166</v>
      </c>
      <c r="Y87" s="44">
        <f t="shared" si="24"/>
        <v>23.5997921359806</v>
      </c>
      <c r="Z87" s="44">
        <f t="shared" si="24"/>
        <v>23.62383630962232</v>
      </c>
      <c r="AA87" s="44">
        <f t="shared" si="24"/>
        <v>23.645930372318404</v>
      </c>
      <c r="AB87" s="44">
        <f t="shared" si="24"/>
        <v>23.666239132366552</v>
      </c>
      <c r="AC87" s="44">
        <f t="shared" si="24"/>
        <v>23.68495689998257</v>
      </c>
      <c r="AD87" s="44">
        <f t="shared" si="24"/>
        <v>23.688961636279835</v>
      </c>
      <c r="AE87" s="44">
        <f t="shared" si="24"/>
        <v>23.691689933621738</v>
      </c>
      <c r="AF87" s="44">
        <f t="shared" si="24"/>
        <v>23.69344529703735</v>
      </c>
      <c r="AG87" s="44">
        <f t="shared" si="24"/>
        <v>23.694576667168267</v>
      </c>
      <c r="AH87" s="44">
        <f>AH22+AH36+AH46+AH58+AH68+AH77</f>
        <v>23.695483520638252</v>
      </c>
      <c r="AI87" s="44"/>
    </row>
    <row r="88" spans="1:35" s="68" customFormat="1" x14ac:dyDescent="0.2">
      <c r="A88" s="689"/>
      <c r="B88" s="62" t="s">
        <v>248</v>
      </c>
      <c r="C88" s="283" t="s">
        <v>153</v>
      </c>
      <c r="D88" s="284">
        <f t="shared" si="25"/>
        <v>21.150000000000006</v>
      </c>
      <c r="E88" s="284">
        <f t="shared" si="24"/>
        <v>22.121820941317772</v>
      </c>
      <c r="F88" s="284">
        <f t="shared" si="24"/>
        <v>22.933267609537257</v>
      </c>
      <c r="G88" s="284">
        <f t="shared" si="24"/>
        <v>23.768328825054624</v>
      </c>
      <c r="H88" s="284">
        <f t="shared" si="24"/>
        <v>24.627923806098</v>
      </c>
      <c r="I88" s="284">
        <f t="shared" si="24"/>
        <v>25.513043855852747</v>
      </c>
      <c r="J88" s="284">
        <f t="shared" si="24"/>
        <v>26.252838481074395</v>
      </c>
      <c r="K88" s="284">
        <f t="shared" si="24"/>
        <v>27.013536352883289</v>
      </c>
      <c r="L88" s="284">
        <f t="shared" si="24"/>
        <v>27.796201945261359</v>
      </c>
      <c r="M88" s="284">
        <f t="shared" si="24"/>
        <v>28.602008618160284</v>
      </c>
      <c r="N88" s="284">
        <f t="shared" si="24"/>
        <v>29.432252596837618</v>
      </c>
      <c r="O88" s="284">
        <f t="shared" si="24"/>
        <v>29.575643714798371</v>
      </c>
      <c r="P88" s="284">
        <f t="shared" si="24"/>
        <v>29.740712146103448</v>
      </c>
      <c r="Q88" s="284">
        <f t="shared" si="24"/>
        <v>29.900083636547691</v>
      </c>
      <c r="R88" s="284">
        <f t="shared" si="24"/>
        <v>30.070287637603521</v>
      </c>
      <c r="S88" s="284">
        <f t="shared" si="24"/>
        <v>30.253110644312905</v>
      </c>
      <c r="T88" s="284">
        <f t="shared" si="24"/>
        <v>30.402361997028066</v>
      </c>
      <c r="U88" s="284">
        <f t="shared" si="24"/>
        <v>30.567809320564752</v>
      </c>
      <c r="V88" s="284">
        <f t="shared" si="24"/>
        <v>30.752083332959455</v>
      </c>
      <c r="W88" s="284">
        <f t="shared" si="24"/>
        <v>30.958178210678323</v>
      </c>
      <c r="X88" s="284">
        <f t="shared" si="24"/>
        <v>31.189500427417371</v>
      </c>
      <c r="Y88" s="284">
        <f t="shared" si="24"/>
        <v>31.266686629339787</v>
      </c>
      <c r="Z88" s="284">
        <f t="shared" si="24"/>
        <v>31.452110401152961</v>
      </c>
      <c r="AA88" s="284">
        <f t="shared" si="24"/>
        <v>31.673430693159297</v>
      </c>
      <c r="AB88" s="284">
        <f t="shared" si="24"/>
        <v>31.936296759668444</v>
      </c>
      <c r="AC88" s="284">
        <f t="shared" si="24"/>
        <v>32.247131780969617</v>
      </c>
      <c r="AD88" s="284">
        <f t="shared" si="24"/>
        <v>32.571579822768015</v>
      </c>
      <c r="AE88" s="284">
        <f t="shared" si="24"/>
        <v>32.959043615088206</v>
      </c>
      <c r="AF88" s="284">
        <f t="shared" si="24"/>
        <v>33.418945366423088</v>
      </c>
      <c r="AG88" s="284">
        <f t="shared" si="24"/>
        <v>33.961988101537912</v>
      </c>
      <c r="AH88" s="284">
        <f t="shared" si="24"/>
        <v>34.600327520395361</v>
      </c>
      <c r="AI88" s="284"/>
    </row>
    <row r="89" spans="1:35" s="67" customFormat="1" x14ac:dyDescent="0.2">
      <c r="A89" s="687" t="s">
        <v>263</v>
      </c>
      <c r="B89" s="58" t="s">
        <v>264</v>
      </c>
      <c r="C89" s="59" t="s">
        <v>153</v>
      </c>
      <c r="D89" s="60">
        <f t="shared" si="25"/>
        <v>18.74215384615384</v>
      </c>
      <c r="E89" s="60">
        <f t="shared" si="24"/>
        <v>19.094657005744271</v>
      </c>
      <c r="F89" s="60">
        <f t="shared" si="24"/>
        <v>19.420205386579909</v>
      </c>
      <c r="G89" s="60">
        <f t="shared" si="24"/>
        <v>19.751515122277343</v>
      </c>
      <c r="H89" s="60">
        <f t="shared" si="24"/>
        <v>20.088714723440738</v>
      </c>
      <c r="I89" s="60">
        <f t="shared" si="24"/>
        <v>20.431938396737007</v>
      </c>
      <c r="J89" s="60">
        <f t="shared" si="24"/>
        <v>20.728436552468306</v>
      </c>
      <c r="K89" s="60">
        <f t="shared" si="24"/>
        <v>21.029137036190509</v>
      </c>
      <c r="L89" s="60">
        <f t="shared" si="24"/>
        <v>21.334132927464847</v>
      </c>
      <c r="M89" s="60">
        <f t="shared" si="24"/>
        <v>21.64352372252208</v>
      </c>
      <c r="N89" s="60">
        <f t="shared" si="24"/>
        <v>21.957416011860666</v>
      </c>
      <c r="O89" s="60">
        <f t="shared" si="24"/>
        <v>22.040554685451735</v>
      </c>
      <c r="P89" s="60">
        <f t="shared" si="24"/>
        <v>22.122038235027709</v>
      </c>
      <c r="Q89" s="60">
        <f t="shared" si="24"/>
        <v>22.201871417126974</v>
      </c>
      <c r="R89" s="60">
        <f t="shared" si="24"/>
        <v>22.280067443256605</v>
      </c>
      <c r="S89" s="60">
        <f t="shared" si="24"/>
        <v>22.356649077631005</v>
      </c>
      <c r="T89" s="60">
        <f t="shared" si="24"/>
        <v>22.416813648355955</v>
      </c>
      <c r="U89" s="60">
        <f t="shared" si="24"/>
        <v>22.475204180549198</v>
      </c>
      <c r="V89" s="60">
        <f t="shared" si="24"/>
        <v>22.53187761838123</v>
      </c>
      <c r="W89" s="60">
        <f t="shared" si="24"/>
        <v>22.586906178956689</v>
      </c>
      <c r="X89" s="60">
        <f t="shared" si="24"/>
        <v>22.640379193577019</v>
      </c>
      <c r="Y89" s="60">
        <f t="shared" si="24"/>
        <v>22.666484957402837</v>
      </c>
      <c r="Z89" s="60">
        <f t="shared" si="24"/>
        <v>22.690693074774849</v>
      </c>
      <c r="AA89" s="60">
        <f t="shared" si="24"/>
        <v>22.713147689571123</v>
      </c>
      <c r="AB89" s="60">
        <f t="shared" si="24"/>
        <v>22.734019513768196</v>
      </c>
      <c r="AC89" s="60">
        <f t="shared" si="24"/>
        <v>22.753508897753179</v>
      </c>
      <c r="AD89" s="60">
        <f t="shared" si="24"/>
        <v>22.759033952056701</v>
      </c>
      <c r="AE89" s="60">
        <f t="shared" si="24"/>
        <v>22.763510681818509</v>
      </c>
      <c r="AF89" s="60">
        <f t="shared" si="24"/>
        <v>22.767249106428192</v>
      </c>
      <c r="AG89" s="60">
        <f t="shared" si="24"/>
        <v>22.770604828892345</v>
      </c>
      <c r="AH89" s="60">
        <f t="shared" si="24"/>
        <v>22.773984139265348</v>
      </c>
      <c r="AI89" s="60"/>
    </row>
    <row r="90" spans="1:35" s="68" customFormat="1" x14ac:dyDescent="0.2">
      <c r="A90" s="689"/>
      <c r="B90" s="62" t="s">
        <v>266</v>
      </c>
      <c r="C90" s="283" t="s">
        <v>153</v>
      </c>
      <c r="D90" s="284">
        <f t="shared" si="25"/>
        <v>15.260538461538461</v>
      </c>
      <c r="E90" s="284">
        <f t="shared" si="24"/>
        <v>15.548039474000927</v>
      </c>
      <c r="F90" s="284">
        <f t="shared" si="24"/>
        <v>16.001931514507582</v>
      </c>
      <c r="G90" s="284">
        <f t="shared" si="24"/>
        <v>16.736709710542375</v>
      </c>
      <c r="H90" s="284">
        <f t="shared" si="24"/>
        <v>16.291183872940906</v>
      </c>
      <c r="I90" s="284">
        <f t="shared" si="24"/>
        <v>16.559357772676197</v>
      </c>
      <c r="J90" s="284">
        <f t="shared" si="24"/>
        <v>16.780478049028954</v>
      </c>
      <c r="K90" s="284">
        <f t="shared" si="24"/>
        <v>17.003937988650904</v>
      </c>
      <c r="L90" s="284">
        <f t="shared" si="24"/>
        <v>17.229740475028446</v>
      </c>
      <c r="M90" s="284">
        <f t="shared" si="24"/>
        <v>17.457887462018785</v>
      </c>
      <c r="N90" s="284">
        <f t="shared" si="24"/>
        <v>17.688379932384251</v>
      </c>
      <c r="O90" s="284">
        <f t="shared" si="24"/>
        <v>17.676554738415572</v>
      </c>
      <c r="P90" s="284">
        <f t="shared" si="24"/>
        <v>17.683167574819119</v>
      </c>
      <c r="Q90" s="284">
        <f t="shared" si="24"/>
        <v>17.661150947701607</v>
      </c>
      <c r="R90" s="284">
        <f t="shared" si="24"/>
        <v>17.634814006436237</v>
      </c>
      <c r="S90" s="284">
        <f t="shared" si="24"/>
        <v>17.604029179676999</v>
      </c>
      <c r="T90" s="284">
        <f t="shared" si="24"/>
        <v>17.554253093433459</v>
      </c>
      <c r="U90" s="284">
        <f t="shared" si="24"/>
        <v>17.499532766787325</v>
      </c>
      <c r="V90" s="284">
        <f t="shared" si="24"/>
        <v>17.439729034065344</v>
      </c>
      <c r="W90" s="284">
        <f t="shared" si="24"/>
        <v>17.374699471986705</v>
      </c>
      <c r="X90" s="284">
        <f t="shared" si="24"/>
        <v>17.304298327168201</v>
      </c>
      <c r="Y90" s="284">
        <f t="shared" si="24"/>
        <v>17.117600144131089</v>
      </c>
      <c r="Z90" s="284">
        <f t="shared" si="24"/>
        <v>17.003880758875596</v>
      </c>
      <c r="AA90" s="284">
        <f t="shared" si="24"/>
        <v>16.883475142405995</v>
      </c>
      <c r="AB90" s="284">
        <f t="shared" si="24"/>
        <v>16.756202910531371</v>
      </c>
      <c r="AC90" s="284">
        <f t="shared" si="24"/>
        <v>16.621879460544488</v>
      </c>
      <c r="AD90" s="284">
        <f t="shared" si="24"/>
        <v>16.467866363401971</v>
      </c>
      <c r="AE90" s="284">
        <f t="shared" si="24"/>
        <v>16.306255179185207</v>
      </c>
      <c r="AF90" s="284">
        <f t="shared" si="24"/>
        <v>16.136846965471719</v>
      </c>
      <c r="AG90" s="284">
        <f t="shared" si="24"/>
        <v>15.95943817315576</v>
      </c>
      <c r="AH90" s="284">
        <f t="shared" si="24"/>
        <v>15.773820542957775</v>
      </c>
      <c r="AI90" s="284"/>
    </row>
    <row r="91" spans="1:35" x14ac:dyDescent="0.2">
      <c r="A91" s="298"/>
      <c r="C91" s="54"/>
      <c r="D91" s="44"/>
      <c r="E91" s="44"/>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c r="AE91" s="44"/>
      <c r="AF91" s="44"/>
      <c r="AG91" s="44"/>
      <c r="AH91" s="44"/>
      <c r="AI91" s="44"/>
    </row>
    <row r="92" spans="1:35" s="67" customFormat="1" x14ac:dyDescent="0.2">
      <c r="A92" s="58" t="s">
        <v>216</v>
      </c>
      <c r="B92" s="58" t="s">
        <v>197</v>
      </c>
      <c r="C92" s="100" t="s">
        <v>153</v>
      </c>
      <c r="D92" s="101">
        <f>D33</f>
        <v>89.109936202323638</v>
      </c>
      <c r="E92" s="101">
        <f t="shared" ref="E92:AH92" si="26">E33</f>
        <v>89.392388801173141</v>
      </c>
      <c r="F92" s="101">
        <f t="shared" si="26"/>
        <v>89.665284525294794</v>
      </c>
      <c r="G92" s="101">
        <f t="shared" si="26"/>
        <v>89.92830042148681</v>
      </c>
      <c r="H92" s="101">
        <f t="shared" si="26"/>
        <v>90.181106367005242</v>
      </c>
      <c r="I92" s="101">
        <f t="shared" si="26"/>
        <v>90.423364932115589</v>
      </c>
      <c r="J92" s="101">
        <f t="shared" si="26"/>
        <v>90.654731240201087</v>
      </c>
      <c r="K92" s="101">
        <f t="shared" si="26"/>
        <v>90.874852825386284</v>
      </c>
      <c r="L92" s="101">
        <f t="shared" si="26"/>
        <v>91.083369487633576</v>
      </c>
      <c r="M92" s="101">
        <f t="shared" si="26"/>
        <v>91.279913145270029</v>
      </c>
      <c r="N92" s="101">
        <f t="shared" si="26"/>
        <v>91.464107684900725</v>
      </c>
      <c r="O92" s="101">
        <f t="shared" si="26"/>
        <v>90.841372511137351</v>
      </c>
      <c r="P92" s="101">
        <f t="shared" si="26"/>
        <v>90.504702163027559</v>
      </c>
      <c r="Q92" s="101">
        <f t="shared" si="26"/>
        <v>89.781155035045174</v>
      </c>
      <c r="R92" s="101">
        <f t="shared" si="26"/>
        <v>89.019609665855342</v>
      </c>
      <c r="S92" s="101">
        <f t="shared" si="26"/>
        <v>88.219143919941331</v>
      </c>
      <c r="T92" s="101">
        <f t="shared" si="26"/>
        <v>87.378817289647216</v>
      </c>
      <c r="U92" s="101">
        <f t="shared" si="26"/>
        <v>86.497670561496562</v>
      </c>
      <c r="V92" s="101">
        <f t="shared" si="26"/>
        <v>85.574725476768918</v>
      </c>
      <c r="W92" s="101">
        <f t="shared" si="26"/>
        <v>84.608984386238845</v>
      </c>
      <c r="X92" s="101">
        <f t="shared" si="26"/>
        <v>83.599429898980475</v>
      </c>
      <c r="Y92" s="101">
        <f t="shared" si="26"/>
        <v>81.346867984957996</v>
      </c>
      <c r="Z92" s="101">
        <f t="shared" si="26"/>
        <v>80.184859626809725</v>
      </c>
      <c r="AA92" s="101">
        <f t="shared" si="26"/>
        <v>78.974371048508246</v>
      </c>
      <c r="AB92" s="101">
        <f t="shared" si="26"/>
        <v>77.714272557527494</v>
      </c>
      <c r="AC92" s="101">
        <f t="shared" si="26"/>
        <v>76.403412332073742</v>
      </c>
      <c r="AD92" s="101">
        <f t="shared" si="26"/>
        <v>75.040616022886041</v>
      </c>
      <c r="AE92" s="101">
        <f t="shared" si="26"/>
        <v>73.624686348223975</v>
      </c>
      <c r="AF92" s="101">
        <f t="shared" si="26"/>
        <v>72.154402681930904</v>
      </c>
      <c r="AG92" s="101">
        <f t="shared" si="26"/>
        <v>70.628520634457345</v>
      </c>
      <c r="AH92" s="101">
        <f t="shared" si="26"/>
        <v>69.045771626728879</v>
      </c>
    </row>
    <row r="93" spans="1:35" outlineLevel="1" x14ac:dyDescent="0.2">
      <c r="A93"/>
      <c r="B93" t="s">
        <v>217</v>
      </c>
      <c r="C93" s="54" t="s">
        <v>153</v>
      </c>
      <c r="D93" s="44">
        <f>'Ethylene Recycling LC'!C67-'Ethylene Recycling LC'!$C$67</f>
        <v>0</v>
      </c>
      <c r="E93" s="44">
        <f>'Ethylene Recycling LC'!D67-'Ethylene Recycling LC'!$C$67</f>
        <v>0.44980716907180707</v>
      </c>
      <c r="F93" s="44">
        <f>'Ethylene Recycling LC'!E67-'Ethylene Recycling LC'!$C$67</f>
        <v>0.89666496381752658</v>
      </c>
      <c r="G93" s="44">
        <f>'Ethylene Recycling LC'!F67-'Ethylene Recycling LC'!$C$67</f>
        <v>1.3370435674457601</v>
      </c>
      <c r="H93" s="44">
        <f>'Ethylene Recycling LC'!G67-'Ethylene Recycling LC'!$C$67</f>
        <v>1.7673750206610404</v>
      </c>
      <c r="I93" s="44">
        <f>'Ethylene Recycling LC'!H67-'Ethylene Recycling LC'!$C$67</f>
        <v>2.1841004926790237</v>
      </c>
      <c r="J93" s="44">
        <f>'Ethylene Recycling LC'!I67-'Ethylene Recycling LC'!$C$67</f>
        <v>2.6004804880352692</v>
      </c>
      <c r="K93" s="44">
        <f>'Ethylene Recycling LC'!J67-'Ethylene Recycling LC'!$C$67</f>
        <v>3.0156673359194821</v>
      </c>
      <c r="L93" s="44">
        <f>'Ethylene Recycling LC'!K67-'Ethylene Recycling LC'!$C$67</f>
        <v>3.4287948352474702</v>
      </c>
      <c r="M93" s="44">
        <f>'Ethylene Recycling LC'!L67-'Ethylene Recycling LC'!$C$67</f>
        <v>3.8389803250117813</v>
      </c>
      <c r="N93" s="44">
        <f>'Ethylene Recycling LC'!M67-'Ethylene Recycling LC'!$C$67</f>
        <v>4.2453268619913489</v>
      </c>
      <c r="O93" s="44">
        <f>'Ethylene Recycling LC'!N67-'Ethylene Recycling LC'!$C$67</f>
        <v>4.8561819910923925</v>
      </c>
      <c r="P93" s="44">
        <f>'Ethylene Recycling LC'!O67-'Ethylene Recycling LC'!$C$67</f>
        <v>5.4685560470968566</v>
      </c>
      <c r="Q93" s="44">
        <f>'Ethylene Recycling LC'!P67-'Ethylene Recycling LC'!$C$67</f>
        <v>5.9854741201467574</v>
      </c>
      <c r="R93" s="44">
        <f>'Ethylene Recycling LC'!Q67-'Ethylene Recycling LC'!$C$67</f>
        <v>6.4487069600005222</v>
      </c>
      <c r="S93" s="44">
        <f>'Ethylene Recycling LC'!R67-'Ethylene Recycling LC'!$C$67</f>
        <v>6.8543762969825712</v>
      </c>
      <c r="T93" s="44">
        <f>'Ethylene Recycling LC'!S67-'Ethylene Recycling LC'!$C$67</f>
        <v>7.2214208273116833</v>
      </c>
      <c r="U93" s="44">
        <f>'Ethylene Recycling LC'!T67-'Ethylene Recycling LC'!$C$67</f>
        <v>7.5487047792753463</v>
      </c>
      <c r="V93" s="44">
        <f>'Ethylene Recycling LC'!U67-'Ethylene Recycling LC'!$C$67</f>
        <v>7.8351022431983131</v>
      </c>
      <c r="W93" s="44">
        <f>'Ethylene Recycling LC'!V67-'Ethylene Recycling LC'!$C$67</f>
        <v>8.0794982113255571</v>
      </c>
      <c r="X93" s="44">
        <f>'Ethylene Recycling LC'!W67-'Ethylene Recycling LC'!$C$67</f>
        <v>8.2807896223974176</v>
      </c>
      <c r="Y93" s="44">
        <f>'Ethylene Recycling LC'!X67-'Ethylene Recycling LC'!$C$67</f>
        <v>8.6079408087041784</v>
      </c>
      <c r="Z93" s="44">
        <f>'Ethylene Recycling LC'!Y67-'Ethylene Recycling LC'!$C$67</f>
        <v>9.0966537474626676</v>
      </c>
      <c r="AA93" s="44">
        <f>'Ethylene Recycling LC'!Z67-'Ethylene Recycling LC'!$C$67</f>
        <v>9.5078627987560829</v>
      </c>
      <c r="AB93" s="44">
        <f>'Ethylene Recycling LC'!AA67-'Ethylene Recycling LC'!$C$67</f>
        <v>9.8396401651735239</v>
      </c>
      <c r="AC93" s="44">
        <f>'Ethylene Recycling LC'!AB67-'Ethylene Recycling LC'!$C$67</f>
        <v>10.090080245563815</v>
      </c>
      <c r="AD93" s="44">
        <f>'Ethylene Recycling LC'!AC67-'Ethylene Recycling LC'!$C$67</f>
        <v>10.257447313991523</v>
      </c>
      <c r="AE93" s="44">
        <f>'Ethylene Recycling LC'!AD67-'Ethylene Recycling LC'!$C$67</f>
        <v>10.339887726065555</v>
      </c>
      <c r="AF93" s="44">
        <f>'Ethylene Recycling LC'!AE67-'Ethylene Recycling LC'!$C$67</f>
        <v>10.335570146708069</v>
      </c>
      <c r="AG93" s="44">
        <f>'Ethylene Recycling LC'!AF67-'Ethylene Recycling LC'!$C$67</f>
        <v>10.242687048522349</v>
      </c>
      <c r="AH93" s="44">
        <f>'Ethylene Recycling LC'!AG67-'Ethylene Recycling LC'!$C$67</f>
        <v>10.059456211326065</v>
      </c>
    </row>
    <row r="94" spans="1:35" outlineLevel="1" x14ac:dyDescent="0.2">
      <c r="A94"/>
      <c r="B94" s="181" t="s">
        <v>218</v>
      </c>
      <c r="C94" s="54" t="s">
        <v>153</v>
      </c>
      <c r="D94" s="44">
        <f>'Ethylene Recycling LC'!C118-'Ethylene Recycling LC'!$C$118</f>
        <v>0</v>
      </c>
      <c r="E94" s="44">
        <f>'Ethylene Recycling LC'!D118-'Ethylene Recycling LC'!$C$118</f>
        <v>1.8700648518153269E-3</v>
      </c>
      <c r="F94" s="44">
        <f>'Ethylene Recycling LC'!E118-'Ethylene Recycling LC'!$C$118</f>
        <v>3.7152470000596767E-3</v>
      </c>
      <c r="G94" s="44">
        <f>'Ethylene Recycling LC'!F118-'Ethylene Recycling LC'!$C$118</f>
        <v>5.51656191653858E-3</v>
      </c>
      <c r="H94" s="44">
        <f>'Ethylene Recycling LC'!G118-'Ethylene Recycling LC'!$C$118</f>
        <v>7.2552059166358209E-3</v>
      </c>
      <c r="I94" s="44">
        <f>'Ethylene Recycling LC'!H118-'Ethylene Recycling LC'!$C$118</f>
        <v>8.912850768403667E-3</v>
      </c>
      <c r="J94" s="44">
        <f>'Ethylene Recycling LC'!I118-'Ethylene Recycling LC'!$C$118</f>
        <v>1.0510391527087427E-2</v>
      </c>
      <c r="K94" s="44">
        <f>'Ethylene Recycling LC'!J118-'Ethylene Recycling LC'!$C$118</f>
        <v>1.2040884693431456E-2</v>
      </c>
      <c r="L94" s="44">
        <f>'Ethylene Recycling LC'!K118-'Ethylene Recycling LC'!$C$118</f>
        <v>1.3497365193705577E-2</v>
      </c>
      <c r="M94" s="44">
        <f>'Ethylene Recycling LC'!L118-'Ethylene Recycling LC'!$C$118</f>
        <v>1.4872868177446073E-2</v>
      </c>
      <c r="N94" s="44">
        <f>'Ethylene Recycling LC'!M118-'Ethylene Recycling LC'!$C$118</f>
        <v>1.6160451408523475E-2</v>
      </c>
      <c r="O94" s="44">
        <f>'Ethylene Recycling LC'!N118-'Ethylene Recycling LC'!$C$118</f>
        <v>1.9140141079746712E-2</v>
      </c>
      <c r="P94" s="44">
        <f>'Ethylene Recycling LC'!O118-'Ethylene Recycling LC'!$C$118</f>
        <v>2.1891074361714016E-2</v>
      </c>
      <c r="Q94" s="44">
        <f>'Ethylene Recycling LC'!P118-'Ethylene Recycling LC'!$C$118</f>
        <v>2.4280661815364882E-2</v>
      </c>
      <c r="R94" s="44">
        <f>'Ethylene Recycling LC'!Q118-'Ethylene Recycling LC'!$C$118</f>
        <v>2.6379342595640662E-2</v>
      </c>
      <c r="S94" s="44">
        <f>'Ethylene Recycling LC'!R118-'Ethylene Recycling LC'!$C$118</f>
        <v>2.8170490916340926E-2</v>
      </c>
      <c r="T94" s="44">
        <f>'Ethylene Recycling LC'!S118-'Ethylene Recycling LC'!$C$118</f>
        <v>2.9707252807554568E-2</v>
      </c>
      <c r="U94" s="44">
        <f>'Ethylene Recycling LC'!T118-'Ethylene Recycling LC'!$C$118</f>
        <v>3.0986092046185319E-2</v>
      </c>
      <c r="V94" s="44">
        <f>'Ethylene Recycling LC'!U118-'Ethylene Recycling LC'!$C$118</f>
        <v>3.2003665919833911E-2</v>
      </c>
      <c r="W94" s="44">
        <f>'Ethylene Recycling LC'!V118-'Ethylene Recycling LC'!$C$118</f>
        <v>3.2756830029937123E-2</v>
      </c>
      <c r="X94" s="44">
        <f>'Ethylene Recycling LC'!W118-'Ethylene Recycling LC'!$C$118</f>
        <v>3.3242642926893932E-2</v>
      </c>
      <c r="Y94" s="44">
        <f>'Ethylene Recycling LC'!X118-'Ethylene Recycling LC'!$C$118</f>
        <v>3.5016236693088357E-2</v>
      </c>
      <c r="Z94" s="44">
        <f>'Ethylene Recycling LC'!Y118-'Ethylene Recycling LC'!$C$118</f>
        <v>3.6346529158148469E-2</v>
      </c>
      <c r="AA94" s="44">
        <f>'Ethylene Recycling LC'!Z118-'Ethylene Recycling LC'!$C$118</f>
        <v>3.6862838230479623E-2</v>
      </c>
      <c r="AB94" s="44">
        <f>'Ethylene Recycling LC'!AA118-'Ethylene Recycling LC'!$C$118</f>
        <v>3.6916560978130238E-2</v>
      </c>
      <c r="AC94" s="44">
        <f>'Ethylene Recycling LC'!AB118-'Ethylene Recycling LC'!$C$118</f>
        <v>3.6515219424624108E-2</v>
      </c>
      <c r="AD94" s="44">
        <f>'Ethylene Recycling LC'!AC118-'Ethylene Recycling LC'!$C$118</f>
        <v>3.5667420157540812E-2</v>
      </c>
      <c r="AE94" s="44">
        <f>'Ethylene Recycling LC'!AD118-'Ethylene Recycling LC'!$C$118</f>
        <v>3.4381995086521094E-2</v>
      </c>
      <c r="AF94" s="44">
        <f>'Ethylene Recycling LC'!AE118-'Ethylene Recycling LC'!$C$118</f>
        <v>3.2668408769800747E-2</v>
      </c>
      <c r="AG94" s="44">
        <f>'Ethylene Recycling LC'!AF118-'Ethylene Recycling LC'!$C$118</f>
        <v>3.0536747257737418E-2</v>
      </c>
      <c r="AH94" s="44">
        <f>'Ethylene Recycling LC'!AG118-'Ethylene Recycling LC'!$C$118</f>
        <v>2.7997705933581002E-2</v>
      </c>
    </row>
    <row r="95" spans="1:35" s="68" customFormat="1" x14ac:dyDescent="0.2">
      <c r="A95" s="62"/>
      <c r="B95" s="62" t="s">
        <v>219</v>
      </c>
      <c r="C95" s="63" t="s">
        <v>153</v>
      </c>
      <c r="D95" s="64">
        <f>D92-D93-D94</f>
        <v>89.109936202323638</v>
      </c>
      <c r="E95" s="64">
        <f t="shared" ref="E95:AG95" si="27">E92-E93-E94</f>
        <v>88.940711567249522</v>
      </c>
      <c r="F95" s="64">
        <f t="shared" si="27"/>
        <v>88.764904314477207</v>
      </c>
      <c r="G95" s="64">
        <f t="shared" si="27"/>
        <v>88.585740292124513</v>
      </c>
      <c r="H95" s="64">
        <f t="shared" si="27"/>
        <v>88.406476140427571</v>
      </c>
      <c r="I95" s="64">
        <f t="shared" si="27"/>
        <v>88.230351588668171</v>
      </c>
      <c r="J95" s="64">
        <f t="shared" si="27"/>
        <v>88.043740360638722</v>
      </c>
      <c r="K95" s="64">
        <f t="shared" si="27"/>
        <v>87.847144604773362</v>
      </c>
      <c r="L95" s="64">
        <f t="shared" si="27"/>
        <v>87.641077287192402</v>
      </c>
      <c r="M95" s="64">
        <f t="shared" si="27"/>
        <v>87.426059952080806</v>
      </c>
      <c r="N95" s="64">
        <f t="shared" si="27"/>
        <v>87.202620371500856</v>
      </c>
      <c r="O95" s="64">
        <f t="shared" si="27"/>
        <v>85.966050378965207</v>
      </c>
      <c r="P95" s="64">
        <f t="shared" si="27"/>
        <v>85.014255041568987</v>
      </c>
      <c r="Q95" s="64">
        <f t="shared" si="27"/>
        <v>83.771400253083044</v>
      </c>
      <c r="R95" s="64">
        <f t="shared" si="27"/>
        <v>82.544523363259174</v>
      </c>
      <c r="S95" s="64">
        <f t="shared" si="27"/>
        <v>81.336597132042428</v>
      </c>
      <c r="T95" s="64">
        <f t="shared" si="27"/>
        <v>80.127689209527972</v>
      </c>
      <c r="U95" s="64">
        <f t="shared" si="27"/>
        <v>78.917979690175031</v>
      </c>
      <c r="V95" s="64">
        <f t="shared" si="27"/>
        <v>77.707619567650781</v>
      </c>
      <c r="W95" s="64">
        <f t="shared" si="27"/>
        <v>76.496729344883349</v>
      </c>
      <c r="X95" s="64">
        <f t="shared" si="27"/>
        <v>75.28539763365616</v>
      </c>
      <c r="Y95" s="64">
        <f t="shared" si="27"/>
        <v>72.703910939560728</v>
      </c>
      <c r="Z95" s="64">
        <f t="shared" si="27"/>
        <v>71.051859350188906</v>
      </c>
      <c r="AA95" s="64">
        <f t="shared" si="27"/>
        <v>69.42964541152169</v>
      </c>
      <c r="AB95" s="64">
        <f t="shared" si="27"/>
        <v>67.837715831375846</v>
      </c>
      <c r="AC95" s="64">
        <f t="shared" si="27"/>
        <v>66.276816867085302</v>
      </c>
      <c r="AD95" s="64">
        <f t="shared" si="27"/>
        <v>64.747501288736984</v>
      </c>
      <c r="AE95" s="64">
        <f t="shared" si="27"/>
        <v>63.2504166270719</v>
      </c>
      <c r="AF95" s="64">
        <f t="shared" si="27"/>
        <v>61.786164126453038</v>
      </c>
      <c r="AG95" s="64">
        <f t="shared" si="27"/>
        <v>60.355296838677262</v>
      </c>
      <c r="AH95" s="64">
        <f>AH92-AH93-AH94</f>
        <v>58.958317709469235</v>
      </c>
    </row>
    <row r="96" spans="1:35" s="67" customFormat="1" x14ac:dyDescent="0.2">
      <c r="A96" s="687" t="s">
        <v>257</v>
      </c>
      <c r="B96" s="58" t="s">
        <v>258</v>
      </c>
      <c r="C96" s="59" t="s">
        <v>153</v>
      </c>
      <c r="D96" s="60">
        <f>D34-('Ethylene Recycling LC'!C68+'Ethylene Recycling LC'!C119-'Ethylene Recycling LC'!$C$68-'Ethylene Recycling LC'!$C$119)</f>
        <v>74.910171646535289</v>
      </c>
      <c r="E96" s="60">
        <f>E34-('Ethylene Recycling LC'!D68+'Ethylene Recycling LC'!D119-'Ethylene Recycling LC'!$C$68-'Ethylene Recycling LC'!$C$119)</f>
        <v>74.724661589782883</v>
      </c>
      <c r="F96" s="60">
        <f>F34-('Ethylene Recycling LC'!E68+'Ethylene Recycling LC'!E119-'Ethylene Recycling LC'!$C$68-'Ethylene Recycling LC'!$C$119)</f>
        <v>74.53421205211589</v>
      </c>
      <c r="G96" s="60">
        <f>G34-('Ethylene Recycling LC'!F68+'Ethylene Recycling LC'!F119-'Ethylene Recycling LC'!$C$68-'Ethylene Recycling LC'!$C$119)</f>
        <v>74.34182484097451</v>
      </c>
      <c r="H96" s="60">
        <f>H34-('Ethylene Recycling LC'!G68+'Ethylene Recycling LC'!G119-'Ethylene Recycling LC'!$C$68-'Ethylene Recycling LC'!$C$119)</f>
        <v>74.150522045135631</v>
      </c>
      <c r="I96" s="60">
        <f>I34-('Ethylene Recycling LC'!H68+'Ethylene Recycling LC'!H119-'Ethylene Recycling LC'!$C$68-'Ethylene Recycling LC'!$C$119)</f>
        <v>73.963301861736269</v>
      </c>
      <c r="J96" s="60">
        <f>J34-('Ethylene Recycling LC'!I68+'Ethylene Recycling LC'!I119-'Ethylene Recycling LC'!$C$68-'Ethylene Recycling LC'!$C$119)</f>
        <v>73.767574190373864</v>
      </c>
      <c r="K96" s="60">
        <f>K34-('Ethylene Recycling LC'!J68+'Ethylene Recycling LC'!J119-'Ethylene Recycling LC'!$C$68-'Ethylene Recycling LC'!$C$119)</f>
        <v>73.563825009418906</v>
      </c>
      <c r="L96" s="60">
        <f>L34-('Ethylene Recycling LC'!K68+'Ethylene Recycling LC'!K119-'Ethylene Recycling LC'!$C$68-'Ethylene Recycling LC'!$C$119)</f>
        <v>73.352548692577486</v>
      </c>
      <c r="M96" s="60">
        <f>M34-('Ethylene Recycling LC'!L68+'Ethylene Recycling LC'!L119-'Ethylene Recycling LC'!$C$68-'Ethylene Recycling LC'!$C$119)</f>
        <v>73.134245900667196</v>
      </c>
      <c r="N96" s="60">
        <f>N34-('Ethylene Recycling LC'!M68+'Ethylene Recycling LC'!M119-'Ethylene Recycling LC'!$C$68-'Ethylene Recycling LC'!$C$119)</f>
        <v>72.909421379656578</v>
      </c>
      <c r="O96" s="60">
        <f>O34-('Ethylene Recycling LC'!N68+'Ethylene Recycling LC'!N119-'Ethylene Recycling LC'!$C$68-'Ethylene Recycling LC'!$C$119)</f>
        <v>71.798301430060917</v>
      </c>
      <c r="P96" s="60">
        <f>P34-('Ethylene Recycling LC'!O68+'Ethylene Recycling LC'!O119-'Ethylene Recycling LC'!$C$68-'Ethylene Recycling LC'!$C$119)</f>
        <v>70.927163643379515</v>
      </c>
      <c r="Q96" s="60">
        <f>Q34-('Ethylene Recycling LC'!P68+'Ethylene Recycling LC'!P119-'Ethylene Recycling LC'!$C$68-'Ethylene Recycling LC'!$C$119)</f>
        <v>69.818024387740053</v>
      </c>
      <c r="R96" s="60">
        <f>R34-('Ethylene Recycling LC'!Q68+'Ethylene Recycling LC'!Q119-'Ethylene Recycling LC'!$C$68-'Ethylene Recycling LC'!$C$119)</f>
        <v>68.72633791911268</v>
      </c>
      <c r="S96" s="60">
        <f>S34-('Ethylene Recycling LC'!R68+'Ethylene Recycling LC'!R119-'Ethylene Recycling LC'!$C$68-'Ethylene Recycling LC'!$C$119)</f>
        <v>67.654787588403025</v>
      </c>
      <c r="T96" s="60">
        <f>T34-('Ethylene Recycling LC'!S68+'Ethylene Recycling LC'!S119-'Ethylene Recycling LC'!$C$68-'Ethylene Recycling LC'!$C$119)</f>
        <v>66.58503190746066</v>
      </c>
      <c r="U96" s="60">
        <f>U34-('Ethylene Recycling LC'!T68+'Ethylene Recycling LC'!T119-'Ethylene Recycling LC'!$C$68-'Ethylene Recycling LC'!$C$119)</f>
        <v>65.517219340506216</v>
      </c>
      <c r="V96" s="60">
        <f>V34-('Ethylene Recycling LC'!U68+'Ethylene Recycling LC'!U119-'Ethylene Recycling LC'!$C$68-'Ethylene Recycling LC'!$C$119)</f>
        <v>64.45147004206882</v>
      </c>
      <c r="W96" s="60">
        <f>W34-('Ethylene Recycling LC'!V68+'Ethylene Recycling LC'!V119-'Ethylene Recycling LC'!$C$68-'Ethylene Recycling LC'!$C$119)</f>
        <v>63.387874637401545</v>
      </c>
      <c r="X96" s="60">
        <f>X34-('Ethylene Recycling LC'!W68+'Ethylene Recycling LC'!W119-'Ethylene Recycling LC'!$C$68-'Ethylene Recycling LC'!$C$119)</f>
        <v>62.326492997498043</v>
      </c>
      <c r="Y96" s="60">
        <f>Y34-('Ethylene Recycling LC'!X68+'Ethylene Recycling LC'!X119-'Ethylene Recycling LC'!$C$68-'Ethylene Recycling LC'!$C$119)</f>
        <v>60.128595631272233</v>
      </c>
      <c r="Z96" s="60">
        <f>Z34-('Ethylene Recycling LC'!Y68+'Ethylene Recycling LC'!Y119-'Ethylene Recycling LC'!$C$68-'Ethylene Recycling LC'!$C$119)</f>
        <v>58.673503395660759</v>
      </c>
      <c r="AA96" s="60">
        <f>AA34-('Ethylene Recycling LC'!Z68+'Ethylene Recycling LC'!Z119-'Ethylene Recycling LC'!$C$68-'Ethylene Recycling LC'!$C$119)</f>
        <v>57.24867299786699</v>
      </c>
      <c r="AB96" s="60">
        <f>AB34-('Ethylene Recycling LC'!AA68+'Ethylene Recycling LC'!AA119-'Ethylene Recycling LC'!$C$68-'Ethylene Recycling LC'!$C$119)</f>
        <v>55.854488519720732</v>
      </c>
      <c r="AC96" s="60">
        <f>AC34-('Ethylene Recycling LC'!AB68+'Ethylene Recycling LC'!AB119-'Ethylene Recycling LC'!$C$68-'Ethylene Recycling LC'!$C$119)</f>
        <v>54.491546177246022</v>
      </c>
      <c r="AD96" s="60">
        <f>AD34-('Ethylene Recycling LC'!AC68+'Ethylene Recycling LC'!AC119-'Ethylene Recycling LC'!$C$68-'Ethylene Recycling LC'!$C$119)</f>
        <v>53.160262634124351</v>
      </c>
      <c r="AE96" s="60">
        <f>AE34-('Ethylene Recycling LC'!AD68+'Ethylene Recycling LC'!AD119-'Ethylene Recycling LC'!$C$68-'Ethylene Recycling LC'!$C$119)</f>
        <v>51.861138097102568</v>
      </c>
      <c r="AF96" s="60">
        <f>AF34-('Ethylene Recycling LC'!AE68+'Ethylene Recycling LC'!AE119-'Ethylene Recycling LC'!$C$68-'Ethylene Recycling LC'!$C$119)</f>
        <v>50.594627599485307</v>
      </c>
      <c r="AG96" s="60">
        <f>AG34-('Ethylene Recycling LC'!AF68+'Ethylene Recycling LC'!AF119-'Ethylene Recycling LC'!$C$68-'Ethylene Recycling LC'!$C$119)</f>
        <v>49.361139363113921</v>
      </c>
      <c r="AH96" s="60">
        <f>AH34-('Ethylene Recycling LC'!AG68+'Ethylene Recycling LC'!AG119-'Ethylene Recycling LC'!$C$68-'Ethylene Recycling LC'!$C$119)</f>
        <v>48.161033159106822</v>
      </c>
      <c r="AI96" s="60"/>
    </row>
    <row r="97" spans="1:36" x14ac:dyDescent="0.2">
      <c r="A97" s="688"/>
      <c r="B97" s="1" t="s">
        <v>260</v>
      </c>
      <c r="C97" s="54" t="s">
        <v>153</v>
      </c>
      <c r="D97" s="44">
        <f>D35+(D101-D39)</f>
        <v>10.180685222672066</v>
      </c>
      <c r="E97" s="44">
        <f t="shared" ref="E97:AH97" si="28">E35+(E101-E39)</f>
        <v>10.184837981536647</v>
      </c>
      <c r="F97" s="44">
        <f t="shared" si="28"/>
        <v>10.188811163884179</v>
      </c>
      <c r="G97" s="44">
        <f t="shared" si="28"/>
        <v>10.192807904775911</v>
      </c>
      <c r="H97" s="44">
        <f t="shared" si="28"/>
        <v>10.197022115480046</v>
      </c>
      <c r="I97" s="44">
        <f t="shared" si="28"/>
        <v>10.201635085380479</v>
      </c>
      <c r="J97" s="44">
        <f t="shared" si="28"/>
        <v>10.2056788725512</v>
      </c>
      <c r="K97" s="44">
        <f t="shared" si="28"/>
        <v>10.209169050228077</v>
      </c>
      <c r="L97" s="44">
        <f t="shared" si="28"/>
        <v>10.212118879955664</v>
      </c>
      <c r="M97" s="44">
        <f t="shared" si="28"/>
        <v>10.214539087141787</v>
      </c>
      <c r="N97" s="44">
        <f t="shared" si="28"/>
        <v>10.216437639106218</v>
      </c>
      <c r="O97" s="44">
        <f t="shared" si="28"/>
        <v>10.113753097413845</v>
      </c>
      <c r="P97" s="44">
        <f t="shared" si="28"/>
        <v>10.044611045532733</v>
      </c>
      <c r="Q97" s="44">
        <f t="shared" si="28"/>
        <v>9.9381584701757895</v>
      </c>
      <c r="R97" s="44">
        <f t="shared" si="28"/>
        <v>9.8314672935716168</v>
      </c>
      <c r="S97" s="44">
        <f t="shared" si="28"/>
        <v>9.724541123838053</v>
      </c>
      <c r="T97" s="44">
        <f t="shared" si="28"/>
        <v>9.6160050205674246</v>
      </c>
      <c r="U97" s="44">
        <f t="shared" si="28"/>
        <v>9.5057257878139438</v>
      </c>
      <c r="V97" s="44">
        <f t="shared" si="28"/>
        <v>9.393563926105875</v>
      </c>
      <c r="W97" s="44">
        <f t="shared" si="28"/>
        <v>9.2793735718291988</v>
      </c>
      <c r="X97" s="44">
        <f t="shared" si="28"/>
        <v>9.1630024405474728</v>
      </c>
      <c r="Y97" s="44">
        <f t="shared" si="28"/>
        <v>8.8979008892348723</v>
      </c>
      <c r="Z97" s="44">
        <f t="shared" si="28"/>
        <v>8.7490030944843191</v>
      </c>
      <c r="AA97" s="44">
        <f t="shared" si="28"/>
        <v>8.5995409199283692</v>
      </c>
      <c r="AB97" s="44">
        <f t="shared" si="28"/>
        <v>8.449306648999567</v>
      </c>
      <c r="AC97" s="44">
        <f t="shared" si="28"/>
        <v>8.2980828346390076</v>
      </c>
      <c r="AD97" s="44">
        <f t="shared" si="28"/>
        <v>8.1456346653712544</v>
      </c>
      <c r="AE97" s="44">
        <f t="shared" si="28"/>
        <v>7.9917253156118804</v>
      </c>
      <c r="AF97" s="44">
        <f t="shared" si="28"/>
        <v>7.836108368834382</v>
      </c>
      <c r="AG97" s="44">
        <f t="shared" si="28"/>
        <v>7.6785277825907068</v>
      </c>
      <c r="AH97" s="44">
        <f t="shared" si="28"/>
        <v>7.5187178596890911</v>
      </c>
      <c r="AI97" s="44"/>
    </row>
    <row r="98" spans="1:36" x14ac:dyDescent="0.2">
      <c r="A98" s="688"/>
      <c r="B98" s="1" t="s">
        <v>262</v>
      </c>
      <c r="C98" s="54" t="s">
        <v>153</v>
      </c>
      <c r="D98" s="44">
        <f>D36+(D100-D38)</f>
        <v>2.502958579881656</v>
      </c>
      <c r="E98" s="44">
        <f t="shared" ref="E98:AH98" si="29">E36+(E100-E38)</f>
        <v>2.5245827579940685</v>
      </c>
      <c r="F98" s="44">
        <f t="shared" si="29"/>
        <v>2.5457623523439969</v>
      </c>
      <c r="G98" s="44">
        <f t="shared" si="29"/>
        <v>2.5665137485859684</v>
      </c>
      <c r="H98" s="44">
        <f t="shared" si="29"/>
        <v>2.5868642085933602</v>
      </c>
      <c r="I98" s="44">
        <f t="shared" si="29"/>
        <v>2.6068518276091575</v>
      </c>
      <c r="J98" s="44">
        <f t="shared" si="29"/>
        <v>2.626449661964203</v>
      </c>
      <c r="K98" s="44">
        <f t="shared" si="29"/>
        <v>2.6456651526388861</v>
      </c>
      <c r="L98" s="44">
        <f t="shared" si="29"/>
        <v>2.6645084654185793</v>
      </c>
      <c r="M98" s="44">
        <f t="shared" si="29"/>
        <v>2.6829925451527998</v>
      </c>
      <c r="N98" s="44">
        <f t="shared" si="29"/>
        <v>2.7011331594791343</v>
      </c>
      <c r="O98" s="44">
        <f t="shared" si="29"/>
        <v>2.6973973809388481</v>
      </c>
      <c r="P98" s="44">
        <f t="shared" si="29"/>
        <v>2.6924220743284564</v>
      </c>
      <c r="Q98" s="44">
        <f t="shared" si="29"/>
        <v>2.6871396485875656</v>
      </c>
      <c r="R98" s="44">
        <f t="shared" si="29"/>
        <v>2.6813180934105296</v>
      </c>
      <c r="S98" s="44">
        <f t="shared" si="29"/>
        <v>2.675113745144897</v>
      </c>
      <c r="T98" s="44">
        <f t="shared" si="29"/>
        <v>2.6684190284006251</v>
      </c>
      <c r="U98" s="44">
        <f t="shared" si="29"/>
        <v>2.6613262409412557</v>
      </c>
      <c r="V98" s="44">
        <f t="shared" si="29"/>
        <v>2.653930720515072</v>
      </c>
      <c r="W98" s="44">
        <f t="shared" si="29"/>
        <v>2.6463307850637534</v>
      </c>
      <c r="X98" s="44">
        <f t="shared" si="29"/>
        <v>2.6386276680484908</v>
      </c>
      <c r="Y98" s="44">
        <f t="shared" si="29"/>
        <v>2.6272333743712726</v>
      </c>
      <c r="Z98" s="44">
        <f t="shared" si="29"/>
        <v>2.6122869056469198</v>
      </c>
      <c r="AA98" s="44">
        <f t="shared" si="29"/>
        <v>2.5975384348694961</v>
      </c>
      <c r="AB98" s="44">
        <f t="shared" si="29"/>
        <v>2.583160335888782</v>
      </c>
      <c r="AC98" s="44">
        <f t="shared" si="29"/>
        <v>2.5693556981562091</v>
      </c>
      <c r="AD98" s="44">
        <f t="shared" si="29"/>
        <v>2.5563294923084787</v>
      </c>
      <c r="AE98" s="44">
        <f t="shared" si="29"/>
        <v>2.5442937745273055</v>
      </c>
      <c r="AF98" s="44">
        <f t="shared" si="29"/>
        <v>2.5334651549618119</v>
      </c>
      <c r="AG98" s="44">
        <f t="shared" si="29"/>
        <v>2.5240646666013169</v>
      </c>
      <c r="AH98" s="44">
        <f t="shared" si="29"/>
        <v>2.5163176276830641</v>
      </c>
      <c r="AI98" s="44"/>
    </row>
    <row r="99" spans="1:36" s="68" customFormat="1" x14ac:dyDescent="0.2">
      <c r="A99" s="689"/>
      <c r="B99" s="62" t="s">
        <v>248</v>
      </c>
      <c r="C99" s="283" t="s">
        <v>153</v>
      </c>
      <c r="D99" s="44">
        <f>D37-('Ethylene Recycling LC'!C69+'Ethylene Recycling LC'!C120-'Ethylene Recycling LC'!$C$69-'Ethylene Recycling LC'!$C$120+'Ethylene Recycling LC'!C72+'Ethylene Recycling LC'!C123-'Ethylene Recycling LC'!$C$72-'Ethylene Recycling LC'!$C$123)</f>
        <v>1.516120753234631</v>
      </c>
      <c r="E99" s="44">
        <f>E37-('Ethylene Recycling LC'!D69+'Ethylene Recycling LC'!D120-'Ethylene Recycling LC'!$C$69-'Ethylene Recycling LC'!$C$120+'Ethylene Recycling LC'!D72+'Ethylene Recycling LC'!D123-'Ethylene Recycling LC'!$C$72-'Ethylene Recycling LC'!$C$123)</f>
        <v>1.5066292379359241</v>
      </c>
      <c r="F99" s="44">
        <f>F37-('Ethylene Recycling LC'!E69+'Ethylene Recycling LC'!E120-'Ethylene Recycling LC'!$C$69-'Ethylene Recycling LC'!$C$120+'Ethylene Recycling LC'!E72+'Ethylene Recycling LC'!E123-'Ethylene Recycling LC'!$C$72-'Ethylene Recycling LC'!$C$123)</f>
        <v>1.4961187461331427</v>
      </c>
      <c r="G99" s="44">
        <f>G37-('Ethylene Recycling LC'!F69+'Ethylene Recycling LC'!F120-'Ethylene Recycling LC'!$C$69-'Ethylene Recycling LC'!$C$120+'Ethylene Recycling LC'!F72+'Ethylene Recycling LC'!F123-'Ethylene Recycling LC'!$C$72-'Ethylene Recycling LC'!$C$123)</f>
        <v>1.4845937977881269</v>
      </c>
      <c r="H99" s="44">
        <f>H37-('Ethylene Recycling LC'!G69+'Ethylene Recycling LC'!G120-'Ethylene Recycling LC'!$C$69-'Ethylene Recycling LC'!$C$120+'Ethylene Recycling LC'!G72+'Ethylene Recycling LC'!G123-'Ethylene Recycling LC'!$C$72-'Ethylene Recycling LC'!$C$123)</f>
        <v>1.4720677712185226</v>
      </c>
      <c r="I99" s="44">
        <f>I37-('Ethylene Recycling LC'!H69+'Ethylene Recycling LC'!H120-'Ethylene Recycling LC'!$C$69-'Ethylene Recycling LC'!$C$120+'Ethylene Recycling LC'!H72+'Ethylene Recycling LC'!H123-'Ethylene Recycling LC'!$C$72-'Ethylene Recycling LC'!$C$123)</f>
        <v>1.4585628139422548</v>
      </c>
      <c r="J99" s="44">
        <f>J37-('Ethylene Recycling LC'!I69+'Ethylene Recycling LC'!I120-'Ethylene Recycling LC'!$C$69-'Ethylene Recycling LC'!$C$120+'Ethylene Recycling LC'!I72+'Ethylene Recycling LC'!I123-'Ethylene Recycling LC'!$C$72-'Ethylene Recycling LC'!$C$123)</f>
        <v>1.4440376357494569</v>
      </c>
      <c r="K99" s="44">
        <f>K37-('Ethylene Recycling LC'!J69+'Ethylene Recycling LC'!J120-'Ethylene Recycling LC'!$C$69-'Ethylene Recycling LC'!$C$120+'Ethylene Recycling LC'!J72+'Ethylene Recycling LC'!J123-'Ethylene Recycling LC'!$C$72-'Ethylene Recycling LC'!$C$123)</f>
        <v>1.4284853924874938</v>
      </c>
      <c r="L99" s="44">
        <f>L37-('Ethylene Recycling LC'!K69+'Ethylene Recycling LC'!K120-'Ethylene Recycling LC'!$C$69-'Ethylene Recycling LC'!$C$120+'Ethylene Recycling LC'!K72+'Ethylene Recycling LC'!K123-'Ethylene Recycling LC'!$C$72-'Ethylene Recycling LC'!$C$123)</f>
        <v>1.41190124924067</v>
      </c>
      <c r="M99" s="44">
        <f>M37-('Ethylene Recycling LC'!L69+'Ethylene Recycling LC'!L120-'Ethylene Recycling LC'!$C$69-'Ethylene Recycling LC'!$C$120+'Ethylene Recycling LC'!L72+'Ethylene Recycling LC'!L123-'Ethylene Recycling LC'!$C$72-'Ethylene Recycling LC'!$C$123)</f>
        <v>1.394282419119016</v>
      </c>
      <c r="N99" s="44">
        <f>N37-('Ethylene Recycling LC'!M69+'Ethylene Recycling LC'!M120-'Ethylene Recycling LC'!$C$69-'Ethylene Recycling LC'!$C$120+'Ethylene Recycling LC'!M72+'Ethylene Recycling LC'!M123-'Ethylene Recycling LC'!$C$72-'Ethylene Recycling LC'!$C$123)</f>
        <v>1.3756281932589138</v>
      </c>
      <c r="O99" s="44">
        <f>O37-('Ethylene Recycling LC'!N69+'Ethylene Recycling LC'!N120-'Ethylene Recycling LC'!$C$69-'Ethylene Recycling LC'!$C$120+'Ethylene Recycling LC'!N72+'Ethylene Recycling LC'!N123-'Ethylene Recycling LC'!$C$72-'Ethylene Recycling LC'!$C$123)</f>
        <v>1.3565984705515917</v>
      </c>
      <c r="P99" s="44">
        <f>P37-('Ethylene Recycling LC'!O69+'Ethylene Recycling LC'!O120-'Ethylene Recycling LC'!$C$69-'Ethylene Recycling LC'!$C$120+'Ethylene Recycling LC'!O72+'Ethylene Recycling LC'!O123-'Ethylene Recycling LC'!$C$72-'Ethylene Recycling LC'!$C$123)</f>
        <v>1.3500582783282773</v>
      </c>
      <c r="Q99" s="44">
        <f>Q37-('Ethylene Recycling LC'!P69+'Ethylene Recycling LC'!P120-'Ethylene Recycling LC'!$C$69-'Ethylene Recycling LC'!$C$120+'Ethylene Recycling LC'!P72+'Ethylene Recycling LC'!P123-'Ethylene Recycling LC'!$C$72-'Ethylene Recycling LC'!$C$123)</f>
        <v>1.3280777465796307</v>
      </c>
      <c r="R99" s="44">
        <f>R37-('Ethylene Recycling LC'!Q69+'Ethylene Recycling LC'!Q120-'Ethylene Recycling LC'!$C$69-'Ethylene Recycling LC'!$C$120+'Ethylene Recycling LC'!Q72+'Ethylene Recycling LC'!Q123-'Ethylene Recycling LC'!$C$72-'Ethylene Recycling LC'!$C$123)</f>
        <v>1.3054000571643476</v>
      </c>
      <c r="S99" s="44">
        <f>S37-('Ethylene Recycling LC'!R69+'Ethylene Recycling LC'!R120-'Ethylene Recycling LC'!$C$69-'Ethylene Recycling LC'!$C$120+'Ethylene Recycling LC'!R72+'Ethylene Recycling LC'!R123-'Ethylene Recycling LC'!$C$72-'Ethylene Recycling LC'!$C$123)</f>
        <v>1.2821546746564356</v>
      </c>
      <c r="T99" s="44">
        <f>T37-('Ethylene Recycling LC'!S69+'Ethylene Recycling LC'!S120-'Ethylene Recycling LC'!$C$69-'Ethylene Recycling LC'!$C$120+'Ethylene Recycling LC'!S72+'Ethylene Recycling LC'!S123-'Ethylene Recycling LC'!$C$72-'Ethylene Recycling LC'!$C$123)</f>
        <v>1.2582332530992613</v>
      </c>
      <c r="U99" s="44">
        <f>U37-('Ethylene Recycling LC'!T69+'Ethylene Recycling LC'!T120-'Ethylene Recycling LC'!$C$69-'Ethylene Recycling LC'!$C$120+'Ethylene Recycling LC'!T72+'Ethylene Recycling LC'!T123-'Ethylene Recycling LC'!$C$72-'Ethylene Recycling LC'!$C$123)</f>
        <v>1.2337083209136064</v>
      </c>
      <c r="V99" s="44">
        <f>V37-('Ethylene Recycling LC'!U69+'Ethylene Recycling LC'!U120-'Ethylene Recycling LC'!$C$69-'Ethylene Recycling LC'!$C$120+'Ethylene Recycling LC'!U72+'Ethylene Recycling LC'!U123-'Ethylene Recycling LC'!$C$72-'Ethylene Recycling LC'!$C$123)</f>
        <v>1.2086548789609999</v>
      </c>
      <c r="W99" s="44">
        <f>W37-('Ethylene Recycling LC'!V69+'Ethylene Recycling LC'!V120-'Ethylene Recycling LC'!$C$69-'Ethylene Recycling LC'!$C$120+'Ethylene Recycling LC'!V72+'Ethylene Recycling LC'!V123-'Ethylene Recycling LC'!$C$72-'Ethylene Recycling LC'!$C$123)</f>
        <v>1.1831503505888477</v>
      </c>
      <c r="X99" s="44">
        <f>X37-('Ethylene Recycling LC'!W69+'Ethylene Recycling LC'!W120-'Ethylene Recycling LC'!$C$69-'Ethylene Recycling LC'!$C$120+'Ethylene Recycling LC'!W72+'Ethylene Recycling LC'!W123-'Ethylene Recycling LC'!$C$72-'Ethylene Recycling LC'!$C$123)</f>
        <v>1.1572745275621426</v>
      </c>
      <c r="Y99" s="44">
        <f>Y37-('Ethylene Recycling LC'!X69+'Ethylene Recycling LC'!X120-'Ethylene Recycling LC'!$C$69-'Ethylene Recycling LC'!$C$120+'Ethylene Recycling LC'!X72+'Ethylene Recycling LC'!X123-'Ethylene Recycling LC'!$C$72-'Ethylene Recycling LC'!$C$123)</f>
        <v>1.0501810446823361</v>
      </c>
      <c r="Z99" s="44">
        <f>Z37-('Ethylene Recycling LC'!Y69+'Ethylene Recycling LC'!Y120-'Ethylene Recycling LC'!$C$69-'Ethylene Recycling LC'!$C$120+'Ethylene Recycling LC'!Y72+'Ethylene Recycling LC'!Y123-'Ethylene Recycling LC'!$C$72-'Ethylene Recycling LC'!$C$123)</f>
        <v>1.0170659543969001</v>
      </c>
      <c r="AA99" s="44">
        <f>AA37-('Ethylene Recycling LC'!Z69+'Ethylene Recycling LC'!Z120-'Ethylene Recycling LC'!$C$69-'Ethylene Recycling LC'!$C$120+'Ethylene Recycling LC'!Z72+'Ethylene Recycling LC'!Z123-'Ethylene Recycling LC'!$C$72-'Ethylene Recycling LC'!$C$123)</f>
        <v>0.98389305885680667</v>
      </c>
      <c r="AB99" s="44">
        <f>AB37-('Ethylene Recycling LC'!AA69+'Ethylene Recycling LC'!AA120-'Ethylene Recycling LC'!$C$69-'Ethylene Recycling LC'!$C$120+'Ethylene Recycling LC'!AA72+'Ethylene Recycling LC'!AA123-'Ethylene Recycling LC'!$C$72-'Ethylene Recycling LC'!$C$123)</f>
        <v>0.95076032676674593</v>
      </c>
      <c r="AC99" s="44">
        <f>AC37-('Ethylene Recycling LC'!AB69+'Ethylene Recycling LC'!AB120-'Ethylene Recycling LC'!$C$69-'Ethylene Recycling LC'!$C$120+'Ethylene Recycling LC'!AB72+'Ethylene Recycling LC'!AB123-'Ethylene Recycling LC'!$C$72-'Ethylene Recycling LC'!$C$123)</f>
        <v>0.91783215704404308</v>
      </c>
      <c r="AD99" s="44">
        <f>AD37-('Ethylene Recycling LC'!AC69+'Ethylene Recycling LC'!AC120-'Ethylene Recycling LC'!$C$69-'Ethylene Recycling LC'!$C$120+'Ethylene Recycling LC'!AC72+'Ethylene Recycling LC'!AC123-'Ethylene Recycling LC'!$C$72-'Ethylene Recycling LC'!$C$123)</f>
        <v>0.88527449693288029</v>
      </c>
      <c r="AE99" s="44">
        <f>AE37-('Ethylene Recycling LC'!AD69+'Ethylene Recycling LC'!AD120-'Ethylene Recycling LC'!$C$69-'Ethylene Recycling LC'!$C$120+'Ethylene Recycling LC'!AD72+'Ethylene Recycling LC'!AD123-'Ethylene Recycling LC'!$C$72-'Ethylene Recycling LC'!$C$123)</f>
        <v>0.85325943983012897</v>
      </c>
      <c r="AF99" s="44">
        <f>AF37-('Ethylene Recycling LC'!AE69+'Ethylene Recycling LC'!AE120-'Ethylene Recycling LC'!$C$69-'Ethylene Recycling LC'!$C$120+'Ethylene Recycling LC'!AE72+'Ethylene Recycling LC'!AE123-'Ethylene Recycling LC'!$C$72-'Ethylene Recycling LC'!$C$123)</f>
        <v>0.82196300317151261</v>
      </c>
      <c r="AG99" s="44">
        <f>AG37-('Ethylene Recycling LC'!AF69+'Ethylene Recycling LC'!AF120-'Ethylene Recycling LC'!$C$69-'Ethylene Recycling LC'!$C$120+'Ethylene Recycling LC'!AF72+'Ethylene Recycling LC'!AF123-'Ethylene Recycling LC'!$C$72-'Ethylene Recycling LC'!$C$123)</f>
        <v>0.79156502637129789</v>
      </c>
      <c r="AH99" s="44">
        <f>AH37-('Ethylene Recycling LC'!AG69+'Ethylene Recycling LC'!AG120-'Ethylene Recycling LC'!$C$69-'Ethylene Recycling LC'!$C$120+'Ethylene Recycling LC'!AG72+'Ethylene Recycling LC'!AG123-'Ethylene Recycling LC'!$C$72-'Ethylene Recycling LC'!$C$123)</f>
        <v>0.76224906299024919</v>
      </c>
      <c r="AI99" s="284"/>
    </row>
    <row r="100" spans="1:36" s="67" customFormat="1" x14ac:dyDescent="0.2">
      <c r="A100" s="687" t="s">
        <v>263</v>
      </c>
      <c r="B100" s="58" t="s">
        <v>264</v>
      </c>
      <c r="C100" s="59" t="s">
        <v>153</v>
      </c>
      <c r="D100" s="60">
        <f>D38-('Ethylene Recycling LC'!C70+'Ethylene Recycling LC'!C121-'Ethylene Recycling LC'!$C$70-'Ethylene Recycling LC'!$C$121)</f>
        <v>2.4028402366863899</v>
      </c>
      <c r="E100" s="60">
        <f>E38-('Ethylene Recycling LC'!D70+'Ethylene Recycling LC'!D121-'Ethylene Recycling LC'!$C$70-'Ethylene Recycling LC'!$C$121)</f>
        <v>2.4234305129185767</v>
      </c>
      <c r="F100" s="60">
        <f>F38-('Ethylene Recycling LC'!E70+'Ethylene Recycling LC'!E121-'Ethylene Recycling LC'!$C$70-'Ethylene Recycling LC'!$C$121)</f>
        <v>2.4435668793308998</v>
      </c>
      <c r="G100" s="60">
        <f>G38-('Ethylene Recycling LC'!F70+'Ethylene Recycling LC'!F121-'Ethylene Recycling LC'!$C$70-'Ethylene Recycling LC'!$C$121)</f>
        <v>2.4632656630930474</v>
      </c>
      <c r="H100" s="60">
        <f>H38-('Ethylene Recycling LC'!G70+'Ethylene Recycling LC'!G121-'Ethylene Recycling LC'!$C$70-'Ethylene Recycling LC'!$C$121)</f>
        <v>2.4825540677838909</v>
      </c>
      <c r="I100" s="60">
        <f>I38-('Ethylene Recycling LC'!H70+'Ethylene Recycling LC'!H121-'Ethylene Recycling LC'!$C$70-'Ethylene Recycling LC'!$C$121)</f>
        <v>2.5014701305590332</v>
      </c>
      <c r="J100" s="60">
        <f>J38-('Ethylene Recycling LC'!I70+'Ethylene Recycling LC'!I121-'Ethylene Recycling LC'!$C$70-'Ethylene Recycling LC'!$C$121)</f>
        <v>2.5199868498862843</v>
      </c>
      <c r="K100" s="60">
        <f>K38-('Ethylene Recycling LC'!J70+'Ethylene Recycling LC'!J121-'Ethylene Recycling LC'!$C$70-'Ethylene Recycling LC'!$C$121)</f>
        <v>2.5381116091250164</v>
      </c>
      <c r="L100" s="60">
        <f>L38-('Ethylene Recycling LC'!K70+'Ethylene Recycling LC'!K121-'Ethylene Recycling LC'!$C$70-'Ethylene Recycling LC'!$C$121)</f>
        <v>2.5558545166997195</v>
      </c>
      <c r="M100" s="60">
        <f>M38-('Ethylene Recycling LC'!L70+'Ethylene Recycling LC'!L121-'Ethylene Recycling LC'!$C$70-'Ethylene Recycling LC'!$C$121)</f>
        <v>2.5732284603777384</v>
      </c>
      <c r="N100" s="60">
        <f>N38-('Ethylene Recycling LC'!M70+'Ethylene Recycling LC'!M121-'Ethylene Recycling LC'!$C$70-'Ethylene Recycling LC'!$C$121)</f>
        <v>2.5902491510122467</v>
      </c>
      <c r="O100" s="60">
        <f>O38-('Ethylene Recycling LC'!N70+'Ethylene Recycling LC'!N121-'Ethylene Recycling LC'!$C$70-'Ethylene Recycling LC'!$C$121)</f>
        <v>2.5861743944956892</v>
      </c>
      <c r="P100" s="60">
        <f>P38-('Ethylene Recycling LC'!O70+'Ethylene Recycling LC'!O121-'Ethylene Recycling LC'!$C$70-'Ethylene Recycling LC'!$C$121)</f>
        <v>2.5808723517913501</v>
      </c>
      <c r="Q100" s="60">
        <f>Q38-('Ethylene Recycling LC'!P70+'Ethylene Recycling LC'!P121-'Ethylene Recycling LC'!$C$70-'Ethylene Recycling LC'!$C$121)</f>
        <v>2.5752758410512242</v>
      </c>
      <c r="R100" s="60">
        <f>R38-('Ethylene Recycling LC'!Q70+'Ethylene Recycling LC'!Q121-'Ethylene Recycling LC'!$C$70-'Ethylene Recycling LC'!$C$121)</f>
        <v>2.5691532702405917</v>
      </c>
      <c r="S100" s="60">
        <f>S38-('Ethylene Recycling LC'!R70+'Ethylene Recycling LC'!R121-'Ethylene Recycling LC'!$C$70-'Ethylene Recycling LC'!$C$121)</f>
        <v>2.5626614032098991</v>
      </c>
      <c r="T100" s="60">
        <f>T38-('Ethylene Recycling LC'!S70+'Ethylene Recycling LC'!S121-'Ethylene Recycling LC'!$C$70-'Ethylene Recycling LC'!$C$121)</f>
        <v>2.5556931014804865</v>
      </c>
      <c r="U100" s="60">
        <f>U38-('Ethylene Recycling LC'!T70+'Ethylene Recycling LC'!T121-'Ethylene Recycling LC'!$C$70-'Ethylene Recycling LC'!$C$121)</f>
        <v>2.548341109315412</v>
      </c>
      <c r="V100" s="60">
        <f>V38-('Ethylene Recycling LC'!U70+'Ethylene Recycling LC'!U121-'Ethylene Recycling LC'!$C$70-'Ethylene Recycling LC'!$C$121)</f>
        <v>2.5407012207334398</v>
      </c>
      <c r="W100" s="60">
        <f>W38-('Ethylene Recycling LC'!V70+'Ethylene Recycling LC'!V121-'Ethylene Recycling LC'!$C$70-'Ethylene Recycling LC'!$C$121)</f>
        <v>2.5328722199037692</v>
      </c>
      <c r="X100" s="60">
        <f>X38-('Ethylene Recycling LC'!W70+'Ethylene Recycling LC'!W121-'Ethylene Recycling LC'!$C$70-'Ethylene Recycling LC'!$C$121)</f>
        <v>2.5249558166615182</v>
      </c>
      <c r="Y100" s="60">
        <f>Y38-('Ethylene Recycling LC'!X70+'Ethylene Recycling LC'!X121-'Ethylene Recycling LC'!$C$70-'Ethylene Recycling LC'!$C$121)</f>
        <v>2.5134012937973695</v>
      </c>
      <c r="Z100" s="60">
        <f>Z38-('Ethylene Recycling LC'!Y70+'Ethylene Recycling LC'!Y121-'Ethylene Recycling LC'!$C$70-'Ethylene Recycling LC'!$C$121)</f>
        <v>2.498312389151724</v>
      </c>
      <c r="AA100" s="60">
        <f>AA38-('Ethylene Recycling LC'!Z70+'Ethylene Recycling LC'!Z121-'Ethylene Recycling LC'!$C$70-'Ethylene Recycling LC'!$C$121)</f>
        <v>2.4834398053350037</v>
      </c>
      <c r="AB100" s="60">
        <f>AB38-('Ethylene Recycling LC'!AA70+'Ethylene Recycling LC'!AA121-'Ethylene Recycling LC'!$C$70-'Ethylene Recycling LC'!$C$121)</f>
        <v>2.4689564571551261</v>
      </c>
      <c r="AC100" s="60">
        <f>AC38-('Ethylene Recycling LC'!AB70+'Ethylene Recycling LC'!AB121-'Ethylene Recycling LC'!$C$70-'Ethylene Recycling LC'!$C$121)</f>
        <v>2.4550659865772015</v>
      </c>
      <c r="AD100" s="60">
        <f>AD38-('Ethylene Recycling LC'!AC70+'Ethylene Recycling LC'!AC121-'Ethylene Recycling LC'!$C$70-'Ethylene Recycling LC'!$C$121)</f>
        <v>2.4419739285246815</v>
      </c>
      <c r="AE100" s="60">
        <f>AE38-('Ethylene Recycling LC'!AD70+'Ethylene Recycling LC'!AD121-'Ethylene Recycling LC'!$C$70-'Ethylene Recycling LC'!$C$121)</f>
        <v>2.4298929154604543</v>
      </c>
      <c r="AF100" s="60">
        <f>AF38-('Ethylene Recycling LC'!AE70+'Ethylene Recycling LC'!AE121-'Ethylene Recycling LC'!$C$70-'Ethylene Recycling LC'!$C$121)</f>
        <v>2.4190401460344826</v>
      </c>
      <c r="AG100" s="60">
        <f>AG38-('Ethylene Recycling LC'!AF70+'Ethylene Recycling LC'!AF121-'Ethylene Recycling LC'!$C$70-'Ethylene Recycling LC'!$C$121)</f>
        <v>2.4096372541857929</v>
      </c>
      <c r="AH100" s="60">
        <f>AH38-('Ethylene Recycling LC'!AG70+'Ethylene Recycling LC'!AG121-'Ethylene Recycling LC'!$C$70-'Ethylene Recycling LC'!$C$121)</f>
        <v>2.4019101717834261</v>
      </c>
      <c r="AI100" s="60"/>
    </row>
    <row r="101" spans="1:36" s="68" customFormat="1" x14ac:dyDescent="0.2">
      <c r="A101" s="689"/>
      <c r="B101" s="62" t="s">
        <v>266</v>
      </c>
      <c r="C101" s="283" t="s">
        <v>153</v>
      </c>
      <c r="D101" s="284">
        <f>D39-('Ethylene Recycling LC'!C71+'Ethylene Recycling LC'!C122-'Ethylene Recycling LC'!$C$71-'Ethylene Recycling LC'!$C$122)</f>
        <v>6.2246933198380567</v>
      </c>
      <c r="E101" s="284">
        <f>E39-('Ethylene Recycling LC'!D71+'Ethylene Recycling LC'!D122-'Ethylene Recycling LC'!$C$71-'Ethylene Recycling LC'!$C$122)</f>
        <v>6.2163067341401401</v>
      </c>
      <c r="F101" s="284">
        <f>F39-('Ethylene Recycling LC'!E71+'Ethylene Recycling LC'!E122-'Ethylene Recycling LC'!$C$71-'Ethylene Recycling LC'!$C$122)</f>
        <v>6.2081648446903799</v>
      </c>
      <c r="G101" s="284">
        <f>G39-('Ethylene Recycling LC'!F71+'Ethylene Recycling LC'!F122-'Ethylene Recycling LC'!$C$71-'Ethylene Recycling LC'!$C$122)</f>
        <v>6.2004851238989858</v>
      </c>
      <c r="H101" s="284">
        <f>H39-('Ethylene Recycling LC'!G71+'Ethylene Recycling LC'!G122-'Ethylene Recycling LC'!$C$71-'Ethylene Recycling LC'!$C$122)</f>
        <v>6.1934761386714303</v>
      </c>
      <c r="I101" s="284">
        <f>I39-('Ethylene Recycling LC'!H71+'Ethylene Recycling LC'!H122-'Ethylene Recycling LC'!$C$71-'Ethylene Recycling LC'!$C$122)</f>
        <v>6.1873341584191355</v>
      </c>
      <c r="J101" s="284">
        <f>J39-('Ethylene Recycling LC'!I71+'Ethylene Recycling LC'!I122-'Ethylene Recycling LC'!$C$71-'Ethylene Recycling LC'!$C$122)</f>
        <v>6.1811065518443078</v>
      </c>
      <c r="K101" s="284">
        <f>K39-('Ethylene Recycling LC'!J71+'Ethylene Recycling LC'!J122-'Ethylene Recycling LC'!$C$71-'Ethylene Recycling LC'!$C$122)</f>
        <v>6.1748245397324428</v>
      </c>
      <c r="L101" s="284">
        <f>L39-('Ethylene Recycling LC'!K71+'Ethylene Recycling LC'!K122-'Ethylene Recycling LC'!$C$71-'Ethylene Recycling LC'!$C$122)</f>
        <v>6.1685173745320645</v>
      </c>
      <c r="M101" s="284">
        <f>M39-('Ethylene Recycling LC'!L71+'Ethylene Recycling LC'!L122-'Ethylene Recycling LC'!$C$71-'Ethylene Recycling LC'!$C$122)</f>
        <v>6.1622121224562978</v>
      </c>
      <c r="N101" s="284">
        <f>N39-('Ethylene Recycling LC'!M71+'Ethylene Recycling LC'!M122-'Ethylene Recycling LC'!$C$71-'Ethylene Recycling LC'!$C$122)</f>
        <v>6.1559334481945633</v>
      </c>
      <c r="O101" s="284">
        <f>O39-('Ethylene Recycling LC'!N71+'Ethylene Recycling LC'!N122-'Ethylene Recycling LC'!$C$71-'Ethylene Recycling LC'!$C$122)</f>
        <v>6.0808949290447778</v>
      </c>
      <c r="P101" s="284">
        <f>P39-('Ethylene Recycling LC'!O71+'Ethylene Recycling LC'!O122-'Ethylene Recycling LC'!$C$71-'Ethylene Recycling LC'!$C$122)</f>
        <v>6.0266991921068467</v>
      </c>
      <c r="Q101" s="284">
        <f>Q39-('Ethylene Recycling LC'!P71+'Ethylene Recycling LC'!P122-'Ethylene Recycling LC'!$C$71-'Ethylene Recycling LC'!$C$122)</f>
        <v>5.9523681365444876</v>
      </c>
      <c r="R101" s="284">
        <f>R39-('Ethylene Recycling LC'!Q71+'Ethylene Recycling LC'!Q122-'Ethylene Recycling LC'!$C$71-'Ethylene Recycling LC'!$C$122)</f>
        <v>5.8794853930124189</v>
      </c>
      <c r="S101" s="284">
        <f>S39-('Ethylene Recycling LC'!R71+'Ethylene Recycling LC'!R122-'Ethylene Recycling LC'!$C$71-'Ethylene Recycling LC'!$C$122)</f>
        <v>5.8080955073823688</v>
      </c>
      <c r="T101" s="284">
        <f>T39-('Ethylene Recycling LC'!S71+'Ethylene Recycling LC'!S122-'Ethylene Recycling LC'!$C$71-'Ethylene Recycling LC'!$C$122)</f>
        <v>5.736865292622662</v>
      </c>
      <c r="U101" s="284">
        <f>U39-('Ethylene Recycling LC'!T71+'Ethylene Recycling LC'!T122-'Ethylene Recycling LC'!$C$71-'Ethylene Recycling LC'!$C$122)</f>
        <v>5.6657041365992367</v>
      </c>
      <c r="V101" s="284">
        <f>V39-('Ethylene Recycling LC'!U71+'Ethylene Recycling LC'!U122-'Ethylene Recycling LC'!$C$71-'Ethylene Recycling LC'!$C$122)</f>
        <v>5.5945159691563395</v>
      </c>
      <c r="W101" s="284">
        <f>W39-('Ethylene Recycling LC'!V71+'Ethylene Recycling LC'!V122-'Ethylene Recycling LC'!$C$71-'Ethylene Recycling LC'!$C$122)</f>
        <v>5.5231992168278996</v>
      </c>
      <c r="X101" s="284">
        <f>X39-('Ethylene Recycling LC'!W71+'Ethylene Recycling LC'!W122-'Ethylene Recycling LC'!$C$71-'Ethylene Recycling LC'!$C$122)</f>
        <v>5.4516467617485214</v>
      </c>
      <c r="Y101" s="284">
        <f>Y39-('Ethylene Recycling LC'!X71+'Ethylene Recycling LC'!X122-'Ethylene Recycling LC'!$C$71-'Ethylene Recycling LC'!$C$122)</f>
        <v>5.2865465915644245</v>
      </c>
      <c r="Z101" s="284">
        <f>Z39-('Ethylene Recycling LC'!Y71+'Ethylene Recycling LC'!Y122-'Ethylene Recycling LC'!$C$71-'Ethylene Recycling LC'!$C$122)</f>
        <v>5.1892355878247276</v>
      </c>
      <c r="AA101" s="284">
        <f>AA39-('Ethylene Recycling LC'!Z71+'Ethylene Recycling LC'!Z122-'Ethylene Recycling LC'!$C$71-'Ethylene Recycling LC'!$C$122)</f>
        <v>5.0935124598702828</v>
      </c>
      <c r="AB101" s="284">
        <f>AB39-('Ethylene Recycling LC'!AA71+'Ethylene Recycling LC'!AA122-'Ethylene Recycling LC'!$C$71-'Ethylene Recycling LC'!$C$122)</f>
        <v>4.9992196432791287</v>
      </c>
      <c r="AC101" s="284">
        <f>AC39-('Ethylene Recycling LC'!AB71+'Ethylene Recycling LC'!AB122-'Ethylene Recycling LC'!$C$71-'Ethylene Recycling LC'!$C$122)</f>
        <v>4.9061908255558464</v>
      </c>
      <c r="AD101" s="284">
        <f>AD39-('Ethylene Recycling LC'!AC71+'Ethylene Recycling LC'!AC122-'Ethylene Recycling LC'!$C$71-'Ethylene Recycling LC'!$C$122)</f>
        <v>4.8142433298843335</v>
      </c>
      <c r="AE101" s="284">
        <f>AE39-('Ethylene Recycling LC'!AD71+'Ethylene Recycling LC'!AD122-'Ethylene Recycling LC'!$C$71-'Ethylene Recycling LC'!$C$122)</f>
        <v>4.7231934834156775</v>
      </c>
      <c r="AF101" s="284">
        <f>AF39-('Ethylene Recycling LC'!AE71+'Ethylene Recycling LC'!AE122-'Ethylene Recycling LC'!$C$71-'Ethylene Recycling LC'!$C$122)</f>
        <v>4.6328490587227895</v>
      </c>
      <c r="AG101" s="284">
        <f>AG39-('Ethylene Recycling LC'!AF71+'Ethylene Recycling LC'!AF122-'Ethylene Recycling LC'!$C$71-'Ethylene Recycling LC'!$C$122)</f>
        <v>4.5430092574212075</v>
      </c>
      <c r="AH101" s="284">
        <f>AH39-('Ethylene Recycling LC'!AG71+'Ethylene Recycling LC'!AG122-'Ethylene Recycling LC'!$C$71-'Ethylene Recycling LC'!$C$122)</f>
        <v>4.4534647002648438</v>
      </c>
      <c r="AI101" s="284"/>
    </row>
    <row r="102" spans="1:36" s="67" customFormat="1" x14ac:dyDescent="0.2">
      <c r="A102" s="58" t="s">
        <v>220</v>
      </c>
      <c r="B102" s="58" t="s">
        <v>197</v>
      </c>
      <c r="C102" s="100" t="s">
        <v>153</v>
      </c>
      <c r="D102" s="101">
        <f t="shared" ref="D102:AH102" si="30">D19</f>
        <v>8.4778361655826675</v>
      </c>
      <c r="E102" s="101">
        <f t="shared" si="30"/>
        <v>8.6072937226427388</v>
      </c>
      <c r="F102" s="101">
        <f t="shared" si="30"/>
        <v>8.7386858660291455</v>
      </c>
      <c r="G102" s="101">
        <f t="shared" si="30"/>
        <v>8.8720407642500625</v>
      </c>
      <c r="H102" s="101">
        <f t="shared" si="30"/>
        <v>9.0073869827220996</v>
      </c>
      <c r="I102" s="101">
        <f t="shared" si="30"/>
        <v>9.1447534891219284</v>
      </c>
      <c r="J102" s="101">
        <f t="shared" si="30"/>
        <v>9.2841696588056024</v>
      </c>
      <c r="K102" s="101">
        <f t="shared" si="30"/>
        <v>9.4256652802962808</v>
      </c>
      <c r="L102" s="101">
        <f t="shared" si="30"/>
        <v>9.5692705608411881</v>
      </c>
      <c r="M102" s="101">
        <f t="shared" si="30"/>
        <v>9.7150161320385298</v>
      </c>
      <c r="N102" s="101">
        <f t="shared" si="30"/>
        <v>9.8629330555352155</v>
      </c>
      <c r="O102" s="101">
        <f t="shared" si="30"/>
        <v>9.9877468668196858</v>
      </c>
      <c r="P102" s="101">
        <f t="shared" si="30"/>
        <v>10.113620836464856</v>
      </c>
      <c r="Q102" s="101">
        <f t="shared" si="30"/>
        <v>10.240553225447391</v>
      </c>
      <c r="R102" s="101">
        <f t="shared" si="30"/>
        <v>10.368541967254757</v>
      </c>
      <c r="S102" s="101">
        <f t="shared" si="30"/>
        <v>10.49758465904109</v>
      </c>
      <c r="T102" s="101">
        <f t="shared" si="30"/>
        <v>10.627678552626778</v>
      </c>
      <c r="U102" s="101">
        <f t="shared" si="30"/>
        <v>10.758820545340248</v>
      </c>
      <c r="V102" s="101">
        <f t="shared" si="30"/>
        <v>10.891007170700325</v>
      </c>
      <c r="W102" s="101">
        <f t="shared" si="30"/>
        <v>11.024234588937659</v>
      </c>
      <c r="X102" s="101">
        <f t="shared" si="30"/>
        <v>11.158498577353665</v>
      </c>
      <c r="Y102" s="101">
        <f t="shared" si="30"/>
        <v>11.207184719226293</v>
      </c>
      <c r="Z102" s="101">
        <f t="shared" si="30"/>
        <v>11.254045431998277</v>
      </c>
      <c r="AA102" s="101">
        <f t="shared" si="30"/>
        <v>11.299023605266882</v>
      </c>
      <c r="AB102" s="101">
        <f t="shared" si="30"/>
        <v>11.342061435227155</v>
      </c>
      <c r="AC102" s="101">
        <f t="shared" si="30"/>
        <v>11.383100436610349</v>
      </c>
      <c r="AD102" s="101">
        <f t="shared" si="30"/>
        <v>11.422081455666676</v>
      </c>
      <c r="AE102" s="101">
        <f t="shared" si="30"/>
        <v>11.458944684233799</v>
      </c>
      <c r="AF102" s="101">
        <f t="shared" si="30"/>
        <v>11.493629674933839</v>
      </c>
      <c r="AG102" s="101">
        <f t="shared" si="30"/>
        <v>11.526075357542979</v>
      </c>
      <c r="AH102" s="101">
        <f t="shared" si="30"/>
        <v>11.556220056579152</v>
      </c>
    </row>
    <row r="103" spans="1:36" outlineLevel="1" x14ac:dyDescent="0.2">
      <c r="A103"/>
      <c r="B103" t="s">
        <v>217</v>
      </c>
      <c r="C103" s="54" t="s">
        <v>153</v>
      </c>
      <c r="D103" s="44">
        <f>'Ethylene Recycling LC'!C106-'Ethylene Recycling LC'!$C$106</f>
        <v>0</v>
      </c>
      <c r="E103" s="44">
        <f>'Ethylene Recycling LC'!D106-'Ethylene Recycling LC'!$C$106</f>
        <v>3.5928677153587701E-3</v>
      </c>
      <c r="F103" s="44">
        <f>'Ethylene Recycling LC'!E106-'Ethylene Recycling LC'!$C$106</f>
        <v>8.2108983212996998E-3</v>
      </c>
      <c r="G103" s="44">
        <f>'Ethylene Recycling LC'!F106-'Ethylene Recycling LC'!$C$106</f>
        <v>1.3895170870809815E-2</v>
      </c>
      <c r="H103" s="44">
        <f>'Ethylene Recycling LC'!G106-'Ethylene Recycling LC'!$C$106</f>
        <v>2.0673440635054892E-2</v>
      </c>
      <c r="I103" s="44">
        <f>'Ethylene Recycling LC'!H106-'Ethylene Recycling LC'!$C$106</f>
        <v>2.8558980359517063E-2</v>
      </c>
      <c r="J103" s="44">
        <f>'Ethylene Recycling LC'!I106-'Ethylene Recycling LC'!$C$106</f>
        <v>3.7642161244276925E-2</v>
      </c>
      <c r="K103" s="44">
        <f>'Ethylene Recycling LC'!J106-'Ethylene Recycling LC'!$C$106</f>
        <v>4.797061335479906E-2</v>
      </c>
      <c r="L103" s="44">
        <f>'Ethylene Recycling LC'!K106-'Ethylene Recycling LC'!$C$106</f>
        <v>5.9590550252066887E-2</v>
      </c>
      <c r="M103" s="44">
        <f>'Ethylene Recycling LC'!L106-'Ethylene Recycling LC'!$C$106</f>
        <v>7.2546573272055728E-2</v>
      </c>
      <c r="N103" s="44">
        <f>'Ethylene Recycling LC'!M106-'Ethylene Recycling LC'!$C$106</f>
        <v>8.6881475151878926E-2</v>
      </c>
      <c r="O103" s="44">
        <f>'Ethylene Recycling LC'!N106-'Ethylene Recycling LC'!$C$106</f>
        <v>0.11044475159127619</v>
      </c>
      <c r="P103" s="44">
        <f>'Ethylene Recycling LC'!O106-'Ethylene Recycling LC'!$C$106</f>
        <v>0.13657352414437937</v>
      </c>
      <c r="Q103" s="44">
        <f>'Ethylene Recycling LC'!P106-'Ethylene Recycling LC'!$C$106</f>
        <v>0.16463347765609365</v>
      </c>
      <c r="R103" s="44">
        <f>'Ethylene Recycling LC'!Q106-'Ethylene Recycling LC'!$C$106</f>
        <v>0.19490958918548307</v>
      </c>
      <c r="S103" s="44">
        <f>'Ethylene Recycling LC'!R106-'Ethylene Recycling LC'!$C$106</f>
        <v>0.22726624829893949</v>
      </c>
      <c r="T103" s="44">
        <f>'Ethylene Recycling LC'!S106-'Ethylene Recycling LC'!$C$106</f>
        <v>0.26202207054369758</v>
      </c>
      <c r="U103" s="44">
        <f>'Ethylene Recycling LC'!T106-'Ethylene Recycling LC'!$C$106</f>
        <v>0.29918824194938676</v>
      </c>
      <c r="V103" s="44">
        <f>'Ethylene Recycling LC'!U106-'Ethylene Recycling LC'!$C$106</f>
        <v>0.33877404388581672</v>
      </c>
      <c r="W103" s="44">
        <f>'Ethylene Recycling LC'!V106-'Ethylene Recycling LC'!$C$106</f>
        <v>0.38078682376457162</v>
      </c>
      <c r="X103" s="44">
        <f>'Ethylene Recycling LC'!W106-'Ethylene Recycling LC'!$C$106</f>
        <v>0.42523196746954983</v>
      </c>
      <c r="Y103" s="44">
        <f>'Ethylene Recycling LC'!X106-'Ethylene Recycling LC'!$C$106</f>
        <v>0.49033790994114212</v>
      </c>
      <c r="Z103" s="44">
        <f>'Ethylene Recycling LC'!Y106-'Ethylene Recycling LC'!$C$106</f>
        <v>0.55949605348254838</v>
      </c>
      <c r="AA103" s="44">
        <f>'Ethylene Recycling LC'!Z106-'Ethylene Recycling LC'!$C$106</f>
        <v>0.62747139450848088</v>
      </c>
      <c r="AB103" s="44">
        <f>'Ethylene Recycling LC'!AA106-'Ethylene Recycling LC'!$C$106</f>
        <v>0.6981808481989199</v>
      </c>
      <c r="AC103" s="44">
        <f>'Ethylene Recycling LC'!AB106-'Ethylene Recycling LC'!$C$106</f>
        <v>0.77150544304450419</v>
      </c>
      <c r="AD103" s="44">
        <f>'Ethylene Recycling LC'!AC106-'Ethylene Recycling LC'!$C$106</f>
        <v>0.84732944783896069</v>
      </c>
      <c r="AE103" s="44">
        <f>'Ethylene Recycling LC'!AD106-'Ethylene Recycling LC'!$C$106</f>
        <v>0.92552662412638154</v>
      </c>
      <c r="AF103" s="44">
        <f>'Ethylene Recycling LC'!AE106-'Ethylene Recycling LC'!$C$106</f>
        <v>1.0059663432645995</v>
      </c>
      <c r="AG103" s="44">
        <f>'Ethylene Recycling LC'!AF106-'Ethylene Recycling LC'!$C$106</f>
        <v>1.0885137367870217</v>
      </c>
      <c r="AH103" s="44">
        <f>'Ethylene Recycling LC'!AG106-'Ethylene Recycling LC'!$C$106</f>
        <v>1.1730298546609266</v>
      </c>
    </row>
    <row r="104" spans="1:36" outlineLevel="1" x14ac:dyDescent="0.2">
      <c r="A104"/>
      <c r="B104" s="181" t="s">
        <v>222</v>
      </c>
      <c r="C104" s="54" t="s">
        <v>153</v>
      </c>
      <c r="D104" s="44">
        <f>'Ethylene Recycling LC'!C79-'Ethylene Recycling LC'!$C$79</f>
        <v>0</v>
      </c>
      <c r="E104" s="44">
        <f>'Ethylene Recycling LC'!D79-'Ethylene Recycling LC'!$C$79</f>
        <v>7.634180697517845E-2</v>
      </c>
      <c r="F104" s="44">
        <f>'Ethylene Recycling LC'!E79-'Ethylene Recycling LC'!$C$79</f>
        <v>0.15042745048491324</v>
      </c>
      <c r="G104" s="44">
        <f>'Ethylene Recycling LC'!F79-'Ethylene Recycling LC'!$C$79</f>
        <v>0.22166620311259244</v>
      </c>
      <c r="H104" s="44">
        <f>'Ethylene Recycling LC'!G79-'Ethylene Recycling LC'!$C$79</f>
        <v>0.28947680420289279</v>
      </c>
      <c r="I104" s="44">
        <f>'Ethylene Recycling LC'!H79-'Ethylene Recycling LC'!$C$79</f>
        <v>0.35329521624369886</v>
      </c>
      <c r="J104" s="44">
        <f>'Ethylene Recycling LC'!I79-'Ethylene Recycling LC'!$C$79</f>
        <v>0.41659120700261743</v>
      </c>
      <c r="K104" s="44">
        <f>'Ethylene Recycling LC'!J79-'Ethylene Recycling LC'!$C$79</f>
        <v>0.47923130022758498</v>
      </c>
      <c r="L104" s="44">
        <f>'Ethylene Recycling LC'!K79-'Ethylene Recycling LC'!$C$79</f>
        <v>0.54108002327601468</v>
      </c>
      <c r="M104" s="44">
        <f>'Ethylene Recycling LC'!L79-'Ethylene Recycling LC'!$C$79</f>
        <v>0.60200024195162793</v>
      </c>
      <c r="N104" s="44">
        <f>'Ethylene Recycling LC'!M79-'Ethylene Recycling LC'!$C$79</f>
        <v>0.66185350951810173</v>
      </c>
      <c r="O104" s="44">
        <f>'Ethylene Recycling LC'!N79-'Ethylene Recycling LC'!$C$79</f>
        <v>0.76119211448535307</v>
      </c>
      <c r="P104" s="44">
        <f>'Ethylene Recycling LC'!O79-'Ethylene Recycling LC'!$C$79</f>
        <v>0.86161207909275728</v>
      </c>
      <c r="Q104" s="44">
        <f>'Ethylene Recycling LC'!P79-'Ethylene Recycling LC'!$C$79</f>
        <v>0.94223081774350792</v>
      </c>
      <c r="R104" s="44">
        <f>'Ethylene Recycling LC'!Q79-'Ethylene Recycling LC'!$C$79</f>
        <v>1.0124750553788431</v>
      </c>
      <c r="S104" s="44">
        <f>'Ethylene Recycling LC'!R79-'Ethylene Recycling LC'!$C$79</f>
        <v>1.0717260800991886</v>
      </c>
      <c r="T104" s="44">
        <f>'Ethylene Recycling LC'!S79-'Ethylene Recycling LC'!$C$79</f>
        <v>1.1240808058802716</v>
      </c>
      <c r="U104" s="44">
        <f>'Ethylene Recycling LC'!T79-'Ethylene Recycling LC'!$C$79</f>
        <v>1.1693450128301666</v>
      </c>
      <c r="V104" s="44">
        <f>'Ethylene Recycling LC'!U79-'Ethylene Recycling LC'!$C$79</f>
        <v>1.2073263109377828</v>
      </c>
      <c r="W104" s="44">
        <f>'Ethylene Recycling LC'!V79-'Ethylene Recycling LC'!$C$79</f>
        <v>1.237834319616288</v>
      </c>
      <c r="X104" s="44">
        <f>'Ethylene Recycling LC'!W79-'Ethylene Recycling LC'!$C$79</f>
        <v>1.2606808479646188</v>
      </c>
      <c r="Y104" s="44">
        <f>'Ethylene Recycling LC'!X79-'Ethylene Recycling LC'!$C$79</f>
        <v>1.2805180955140316</v>
      </c>
      <c r="Z104" s="44">
        <f>'Ethylene Recycling LC'!Y79-'Ethylene Recycling LC'!$C$79</f>
        <v>1.3359291227899064</v>
      </c>
      <c r="AA104" s="44">
        <f>'Ethylene Recycling LC'!Z79-'Ethylene Recycling LC'!$C$79</f>
        <v>1.3789631018361872</v>
      </c>
      <c r="AB104" s="44">
        <f>'Ethylene Recycling LC'!AA79-'Ethylene Recycling LC'!$C$79</f>
        <v>1.4093245680117628</v>
      </c>
      <c r="AC104" s="44">
        <f>'Ethylene Recycling LC'!AB79-'Ethylene Recycling LC'!$C$79</f>
        <v>1.4267216861197856</v>
      </c>
      <c r="AD104" s="44">
        <f>'Ethylene Recycling LC'!AC79-'Ethylene Recycling LC'!$C$79</f>
        <v>1.4308937049337898</v>
      </c>
      <c r="AE104" s="44">
        <f>'Ethylene Recycling LC'!AD79-'Ethylene Recycling LC'!$C$79</f>
        <v>1.421556598405993</v>
      </c>
      <c r="AF104" s="44">
        <f>'Ethylene Recycling LC'!AE79-'Ethylene Recycling LC'!$C$79</f>
        <v>1.3984299659942359</v>
      </c>
      <c r="AG104" s="44">
        <f>'Ethylene Recycling LC'!AF79-'Ethylene Recycling LC'!$C$79</f>
        <v>1.3612372647093371</v>
      </c>
      <c r="AH104" s="44">
        <f>'Ethylene Recycling LC'!AG79-'Ethylene Recycling LC'!$C$79</f>
        <v>1.3097060412419821</v>
      </c>
    </row>
    <row r="105" spans="1:36" s="68" customFormat="1" x14ac:dyDescent="0.2">
      <c r="A105" s="62"/>
      <c r="B105" s="62" t="s">
        <v>219</v>
      </c>
      <c r="C105" s="63" t="s">
        <v>153</v>
      </c>
      <c r="D105" s="64">
        <f>D102-D103-D104</f>
        <v>8.4778361655826675</v>
      </c>
      <c r="E105" s="64">
        <f t="shared" ref="E105:AH105" si="31">E102-E103-E104</f>
        <v>8.5273590479522028</v>
      </c>
      <c r="F105" s="64">
        <f t="shared" si="31"/>
        <v>8.5800475172229316</v>
      </c>
      <c r="G105" s="64">
        <f t="shared" si="31"/>
        <v>8.6364793902666595</v>
      </c>
      <c r="H105" s="64">
        <f t="shared" si="31"/>
        <v>8.6972367378841522</v>
      </c>
      <c r="I105" s="64">
        <f t="shared" si="31"/>
        <v>8.7628992925187124</v>
      </c>
      <c r="J105" s="64">
        <f t="shared" si="31"/>
        <v>8.8299362905587078</v>
      </c>
      <c r="K105" s="64">
        <f t="shared" si="31"/>
        <v>8.8984633667138961</v>
      </c>
      <c r="L105" s="64">
        <f t="shared" si="31"/>
        <v>8.968599987313107</v>
      </c>
      <c r="M105" s="64">
        <f t="shared" si="31"/>
        <v>9.0404693168148462</v>
      </c>
      <c r="N105" s="64">
        <f t="shared" si="31"/>
        <v>9.1141980708652355</v>
      </c>
      <c r="O105" s="64">
        <f t="shared" si="31"/>
        <v>9.1161100007430562</v>
      </c>
      <c r="P105" s="64">
        <f t="shared" si="31"/>
        <v>9.1154352332277178</v>
      </c>
      <c r="Q105" s="64">
        <f t="shared" si="31"/>
        <v>9.1336889300477893</v>
      </c>
      <c r="R105" s="64">
        <f t="shared" si="31"/>
        <v>9.1611573226904301</v>
      </c>
      <c r="S105" s="64">
        <f t="shared" si="31"/>
        <v>9.1985923306429633</v>
      </c>
      <c r="T105" s="64">
        <f t="shared" si="31"/>
        <v>9.2415756762028085</v>
      </c>
      <c r="U105" s="64">
        <f t="shared" si="31"/>
        <v>9.2902872905606948</v>
      </c>
      <c r="V105" s="64">
        <f t="shared" si="31"/>
        <v>9.3449068158767261</v>
      </c>
      <c r="W105" s="64">
        <f t="shared" si="31"/>
        <v>9.4056134455567992</v>
      </c>
      <c r="X105" s="64">
        <f t="shared" si="31"/>
        <v>9.4725857619194969</v>
      </c>
      <c r="Y105" s="64">
        <f t="shared" si="31"/>
        <v>9.43632871377112</v>
      </c>
      <c r="Z105" s="64">
        <f t="shared" si="31"/>
        <v>9.3586202557258211</v>
      </c>
      <c r="AA105" s="64">
        <f t="shared" si="31"/>
        <v>9.2925891089222148</v>
      </c>
      <c r="AB105" s="64">
        <f t="shared" si="31"/>
        <v>9.2345560190164733</v>
      </c>
      <c r="AC105" s="64">
        <f t="shared" si="31"/>
        <v>9.1848733074460593</v>
      </c>
      <c r="AD105" s="64">
        <f t="shared" si="31"/>
        <v>9.1438583028939249</v>
      </c>
      <c r="AE105" s="64">
        <f t="shared" si="31"/>
        <v>9.1118614617014231</v>
      </c>
      <c r="AF105" s="64">
        <f t="shared" si="31"/>
        <v>9.0892333656750033</v>
      </c>
      <c r="AG105" s="64">
        <f t="shared" si="31"/>
        <v>9.0763243560466194</v>
      </c>
      <c r="AH105" s="438">
        <f t="shared" si="31"/>
        <v>9.0734841606762426</v>
      </c>
      <c r="AI105" s="437"/>
      <c r="AJ105" s="437"/>
    </row>
    <row r="106" spans="1:36" s="67" customFormat="1" x14ac:dyDescent="0.2">
      <c r="A106" s="687" t="s">
        <v>257</v>
      </c>
      <c r="B106" s="58" t="s">
        <v>258</v>
      </c>
      <c r="C106" s="59" t="s">
        <v>153</v>
      </c>
      <c r="D106" s="60">
        <f>D20-('Ethylene Recycling LC'!C107+'Ethylene Recycling LC'!C80-'Ethylene Recycling LC'!$C$107-'Ethylene Recycling LC'!$C$80)</f>
        <v>2.4605530832803555</v>
      </c>
      <c r="E106" s="60">
        <f>E20-('Ethylene Recycling LC'!D107+'Ethylene Recycling LC'!D80-'Ethylene Recycling LC'!$C$107-'Ethylene Recycling LC'!$C$80)</f>
        <v>2.4189119243934414</v>
      </c>
      <c r="F106" s="60">
        <f>F20-('Ethylene Recycling LC'!E107+'Ethylene Recycling LC'!E80-'Ethylene Recycling LC'!$C$107-'Ethylene Recycling LC'!$C$80)</f>
        <v>2.3792887829533731</v>
      </c>
      <c r="G106" s="60">
        <f>G20-('Ethylene Recycling LC'!F107+'Ethylene Recycling LC'!F80-'Ethylene Recycling LC'!$C$107-'Ethylene Recycling LC'!$C$80)</f>
        <v>2.3422589459837724</v>
      </c>
      <c r="H106" s="60">
        <f>H20-('Ethylene Recycling LC'!G107+'Ethylene Recycling LC'!G80-'Ethylene Recycling LC'!$C$107-'Ethylene Recycling LC'!$C$80)</f>
        <v>2.3083994297811934</v>
      </c>
      <c r="I106" s="60">
        <f>I20-('Ethylene Recycling LC'!H107+'Ethylene Recycling LC'!H80-'Ethylene Recycling LC'!$C$107-'Ethylene Recycling LC'!$C$80)</f>
        <v>2.2782819443036804</v>
      </c>
      <c r="J106" s="60">
        <f>J20-('Ethylene Recycling LC'!I107+'Ethylene Recycling LC'!I80-'Ethylene Recycling LC'!$C$107-'Ethylene Recycling LC'!$C$80)</f>
        <v>2.2483838427045226</v>
      </c>
      <c r="K106" s="60">
        <f>K20-('Ethylene Recycling LC'!J107+'Ethylene Recycling LC'!J80-'Ethylene Recycling LC'!$C$107-'Ethylene Recycling LC'!$C$80)</f>
        <v>2.2188205128036014</v>
      </c>
      <c r="L106" s="60">
        <f>L20-('Ethylene Recycling LC'!K107+'Ethylene Recycling LC'!K80-'Ethylene Recycling LC'!$C$107-'Ethylene Recycling LC'!$C$80)</f>
        <v>2.1897111369903288</v>
      </c>
      <c r="M106" s="60">
        <f>M20-('Ethylene Recycling LC'!L107+'Ethylene Recycling LC'!L80-'Ethylene Recycling LC'!$C$107-'Ethylene Recycling LC'!$C$80)</f>
        <v>2.161178490590328</v>
      </c>
      <c r="N106" s="60">
        <f>N20-('Ethylene Recycling LC'!M107+'Ethylene Recycling LC'!M80-'Ethylene Recycling LC'!$C$107-'Ethylene Recycling LC'!$C$80)</f>
        <v>2.1333487230854695</v>
      </c>
      <c r="O106" s="60">
        <f>O20-('Ethylene Recycling LC'!N107+'Ethylene Recycling LC'!N80-'Ethylene Recycling LC'!$C$107-'Ethylene Recycling LC'!$C$80)</f>
        <v>2.0522702997238031</v>
      </c>
      <c r="P106" s="60">
        <f>P20-('Ethylene Recycling LC'!O107+'Ethylene Recycling LC'!O80-'Ethylene Recycling LC'!$C$107-'Ethylene Recycling LC'!$C$80)</f>
        <v>1.9685803550633594</v>
      </c>
      <c r="Q106" s="60">
        <f>Q20-('Ethylene Recycling LC'!P107+'Ethylene Recycling LC'!P80-'Ethylene Recycling LC'!$C$107-'Ethylene Recycling LC'!$C$80)</f>
        <v>1.9036711222669167</v>
      </c>
      <c r="R106" s="60">
        <f>R20-('Ethylene Recycling LC'!Q107+'Ethylene Recycling LC'!Q80-'Ethylene Recycling LC'!$C$107-'Ethylene Recycling LC'!$C$80)</f>
        <v>1.8479144883947272</v>
      </c>
      <c r="S106" s="60">
        <f>S20-('Ethylene Recycling LC'!R107+'Ethylene Recycling LC'!R80-'Ethylene Recycling LC'!$C$107-'Ethylene Recycling LC'!$C$80)</f>
        <v>1.8020516286096679</v>
      </c>
      <c r="T106" s="60">
        <f>T20-('Ethylene Recycling LC'!S107+'Ethylene Recycling LC'!S80-'Ethylene Recycling LC'!$C$107-'Ethylene Recycling LC'!$C$80)</f>
        <v>1.7617615380719114</v>
      </c>
      <c r="U106" s="60">
        <f>U20-('Ethylene Recycling LC'!T107+'Ethylene Recycling LC'!T80-'Ethylene Recycling LC'!$C$107-'Ethylene Recycling LC'!$C$80)</f>
        <v>1.7272505170323109</v>
      </c>
      <c r="V106" s="60">
        <f>V20-('Ethylene Recycling LC'!U107+'Ethylene Recycling LC'!U80-'Ethylene Recycling LC'!$C$107-'Ethylene Recycling LC'!$C$80)</f>
        <v>1.6987244981813974</v>
      </c>
      <c r="W106" s="60">
        <f>W20-('Ethylene Recycling LC'!V107+'Ethylene Recycling LC'!V80-'Ethylene Recycling LC'!$C$107-'Ethylene Recycling LC'!$C$80)</f>
        <v>1.6763888579680324</v>
      </c>
      <c r="X106" s="60">
        <f>X20-('Ethylene Recycling LC'!W107+'Ethylene Recycling LC'!W80-'Ethylene Recycling LC'!$C$107-'Ethylene Recycling LC'!$C$80)</f>
        <v>1.6604482253372033</v>
      </c>
      <c r="Y106" s="60">
        <f>Y20-('Ethylene Recycling LC'!X107+'Ethylene Recycling LC'!X80-'Ethylene Recycling LC'!$C$107-'Ethylene Recycling LC'!$C$80)</f>
        <v>1.6075665983249015</v>
      </c>
      <c r="Z106" s="60">
        <f>Z20-('Ethylene Recycling LC'!Y107+'Ethylene Recycling LC'!Y80-'Ethylene Recycling LC'!$C$107-'Ethylene Recycling LC'!$C$80)</f>
        <v>1.5159653471704311</v>
      </c>
      <c r="AA106" s="60">
        <f>AA20-('Ethylene Recycling LC'!Z107+'Ethylene Recycling LC'!Z80-'Ethylene Recycling LC'!$C$107-'Ethylene Recycling LC'!$C$80)</f>
        <v>1.4374800751826622</v>
      </c>
      <c r="AB106" s="60">
        <f>AB20-('Ethylene Recycling LC'!AA107+'Ethylene Recycling LC'!AA80-'Ethylene Recycling LC'!$C$107-'Ethylene Recycling LC'!$C$80)</f>
        <v>1.3694986080492875</v>
      </c>
      <c r="AC106" s="60">
        <f>AC20-('Ethylene Recycling LC'!AB107+'Ethylene Recycling LC'!AB80-'Ethylene Recycling LC'!$C$107-'Ethylene Recycling LC'!$C$80)</f>
        <v>1.3124073704857167</v>
      </c>
      <c r="AD106" s="60">
        <f>AD20-('Ethylene Recycling LC'!AC107+'Ethylene Recycling LC'!AC80-'Ethylene Recycling LC'!$C$107-'Ethylene Recycling LC'!$C$80)</f>
        <v>1.2665577282193832</v>
      </c>
      <c r="AE106" s="60">
        <f>AE20-('Ethylene Recycling LC'!AD107+'Ethylene Recycling LC'!AD80-'Ethylene Recycling LC'!$C$107-'Ethylene Recycling LC'!$C$80)</f>
        <v>1.2323303854963683</v>
      </c>
      <c r="AF106" s="60">
        <f>AF20-('Ethylene Recycling LC'!AE107+'Ethylene Recycling LC'!AE80-'Ethylene Recycling LC'!$C$107-'Ethylene Recycling LC'!$C$80)</f>
        <v>1.2101039073916966</v>
      </c>
      <c r="AG106" s="60">
        <f>AG20-('Ethylene Recycling LC'!AF107+'Ethylene Recycling LC'!AF80-'Ethylene Recycling LC'!$C$107-'Ethylene Recycling LC'!$C$80)</f>
        <v>1.2002543187973758</v>
      </c>
      <c r="AH106" s="60">
        <f>AH20-('Ethylene Recycling LC'!AG107+'Ethylene Recycling LC'!AG80-'Ethylene Recycling LC'!$C$107-'Ethylene Recycling LC'!$C$80)</f>
        <v>1.2031547007062962</v>
      </c>
      <c r="AI106" s="437"/>
      <c r="AJ106" s="437"/>
    </row>
    <row r="107" spans="1:36" x14ac:dyDescent="0.2">
      <c r="A107" s="688"/>
      <c r="B107" s="1" t="s">
        <v>260</v>
      </c>
      <c r="C107" s="54" t="s">
        <v>153</v>
      </c>
      <c r="D107" s="44">
        <f>D21+(D111-D25)</f>
        <v>0</v>
      </c>
      <c r="E107" s="44">
        <f t="shared" ref="E107:AH107" si="32">E21+(E111-E25)</f>
        <v>0</v>
      </c>
      <c r="F107" s="44">
        <f t="shared" si="32"/>
        <v>0</v>
      </c>
      <c r="G107" s="44">
        <f t="shared" si="32"/>
        <v>0</v>
      </c>
      <c r="H107" s="44">
        <f t="shared" si="32"/>
        <v>0</v>
      </c>
      <c r="I107" s="44">
        <f t="shared" si="32"/>
        <v>0</v>
      </c>
      <c r="J107" s="44">
        <f t="shared" si="32"/>
        <v>0</v>
      </c>
      <c r="K107" s="44">
        <f t="shared" si="32"/>
        <v>0</v>
      </c>
      <c r="L107" s="44">
        <f t="shared" si="32"/>
        <v>0</v>
      </c>
      <c r="M107" s="44">
        <f t="shared" si="32"/>
        <v>0</v>
      </c>
      <c r="N107" s="44">
        <f t="shared" si="32"/>
        <v>0</v>
      </c>
      <c r="O107" s="44">
        <f t="shared" si="32"/>
        <v>0</v>
      </c>
      <c r="P107" s="44">
        <f t="shared" si="32"/>
        <v>0</v>
      </c>
      <c r="Q107" s="44">
        <f t="shared" si="32"/>
        <v>0</v>
      </c>
      <c r="R107" s="44">
        <f t="shared" si="32"/>
        <v>0</v>
      </c>
      <c r="S107" s="44">
        <f t="shared" si="32"/>
        <v>0</v>
      </c>
      <c r="T107" s="44">
        <f t="shared" si="32"/>
        <v>0</v>
      </c>
      <c r="U107" s="44">
        <f t="shared" si="32"/>
        <v>0</v>
      </c>
      <c r="V107" s="44">
        <f t="shared" si="32"/>
        <v>0</v>
      </c>
      <c r="W107" s="44">
        <f t="shared" si="32"/>
        <v>0</v>
      </c>
      <c r="X107" s="44">
        <f t="shared" si="32"/>
        <v>0</v>
      </c>
      <c r="Y107" s="44">
        <f t="shared" si="32"/>
        <v>0</v>
      </c>
      <c r="Z107" s="44">
        <f t="shared" si="32"/>
        <v>0</v>
      </c>
      <c r="AA107" s="44">
        <f t="shared" si="32"/>
        <v>0</v>
      </c>
      <c r="AB107" s="44">
        <f t="shared" si="32"/>
        <v>0</v>
      </c>
      <c r="AC107" s="44">
        <f t="shared" si="32"/>
        <v>0</v>
      </c>
      <c r="AD107" s="44">
        <f t="shared" si="32"/>
        <v>0</v>
      </c>
      <c r="AE107" s="44">
        <f t="shared" si="32"/>
        <v>0</v>
      </c>
      <c r="AF107" s="44">
        <f t="shared" si="32"/>
        <v>0</v>
      </c>
      <c r="AG107" s="44">
        <f t="shared" si="32"/>
        <v>0</v>
      </c>
      <c r="AH107" s="44">
        <f t="shared" si="32"/>
        <v>0</v>
      </c>
      <c r="AI107" s="437"/>
      <c r="AJ107" s="437"/>
    </row>
    <row r="108" spans="1:36" x14ac:dyDescent="0.2">
      <c r="A108" s="688"/>
      <c r="B108" s="1" t="s">
        <v>262</v>
      </c>
      <c r="C108" s="54" t="s">
        <v>153</v>
      </c>
      <c r="D108" s="44">
        <f>D22+(D110-D24)</f>
        <v>0.50059171597633134</v>
      </c>
      <c r="E108" s="44">
        <f t="shared" ref="E108:AH108" si="33">E22+(E110-E24)</f>
        <v>0.50820394918341916</v>
      </c>
      <c r="F108" s="44">
        <f t="shared" si="33"/>
        <v>0.51589742818724826</v>
      </c>
      <c r="G108" s="44">
        <f t="shared" si="33"/>
        <v>0.52366239223596622</v>
      </c>
      <c r="H108" s="44">
        <f t="shared" si="33"/>
        <v>0.53148870751014332</v>
      </c>
      <c r="I108" s="44">
        <f t="shared" si="33"/>
        <v>0.53936612605529899</v>
      </c>
      <c r="J108" s="44">
        <f t="shared" si="33"/>
        <v>0.54728258226885118</v>
      </c>
      <c r="K108" s="44">
        <f t="shared" si="33"/>
        <v>0.55522581245576175</v>
      </c>
      <c r="L108" s="44">
        <f t="shared" si="33"/>
        <v>0.56318293768748828</v>
      </c>
      <c r="M108" s="44">
        <f t="shared" si="33"/>
        <v>0.5711404957199766</v>
      </c>
      <c r="N108" s="44">
        <f t="shared" si="33"/>
        <v>0.57908447713317968</v>
      </c>
      <c r="O108" s="44">
        <f t="shared" si="33"/>
        <v>0.58519935111927757</v>
      </c>
      <c r="P108" s="44">
        <f t="shared" si="33"/>
        <v>0.59109856544076589</v>
      </c>
      <c r="Q108" s="44">
        <f t="shared" si="33"/>
        <v>0.59678398030147006</v>
      </c>
      <c r="R108" s="44">
        <f t="shared" si="33"/>
        <v>0.60222053360228922</v>
      </c>
      <c r="S108" s="44">
        <f t="shared" si="33"/>
        <v>0.60739160375659007</v>
      </c>
      <c r="T108" s="44">
        <f t="shared" si="33"/>
        <v>0.61225653030835447</v>
      </c>
      <c r="U108" s="44">
        <f t="shared" si="33"/>
        <v>0.61678874558273311</v>
      </c>
      <c r="V108" s="44">
        <f t="shared" si="33"/>
        <v>0.62096162306496516</v>
      </c>
      <c r="W108" s="44">
        <f t="shared" si="33"/>
        <v>0.62474851284058464</v>
      </c>
      <c r="X108" s="44">
        <f t="shared" si="33"/>
        <v>0.6281227775303585</v>
      </c>
      <c r="Y108" s="44">
        <f t="shared" si="33"/>
        <v>0.62457689256941229</v>
      </c>
      <c r="Z108" s="44">
        <f t="shared" si="33"/>
        <v>0.62013979162428701</v>
      </c>
      <c r="AA108" s="44">
        <f t="shared" si="33"/>
        <v>0.61519470420242373</v>
      </c>
      <c r="AB108" s="44">
        <f t="shared" si="33"/>
        <v>0.60941515445349048</v>
      </c>
      <c r="AC108" s="44">
        <f t="shared" si="33"/>
        <v>0.60277901738338036</v>
      </c>
      <c r="AD108" s="44">
        <f t="shared" si="33"/>
        <v>0.59526552723381787</v>
      </c>
      <c r="AE108" s="44">
        <f t="shared" si="33"/>
        <v>0.58685654610737681</v>
      </c>
      <c r="AF108" s="44">
        <f t="shared" si="33"/>
        <v>0.5775361407879398</v>
      </c>
      <c r="AG108" s="44">
        <f t="shared" si="33"/>
        <v>0.5672906465302705</v>
      </c>
      <c r="AH108" s="44">
        <f t="shared" si="33"/>
        <v>0.55610872685341861</v>
      </c>
      <c r="AI108" s="437"/>
      <c r="AJ108" s="437"/>
    </row>
    <row r="109" spans="1:36" x14ac:dyDescent="0.2">
      <c r="A109" s="689"/>
      <c r="B109" s="1" t="s">
        <v>248</v>
      </c>
      <c r="C109" s="54" t="s">
        <v>153</v>
      </c>
      <c r="D109" s="284">
        <f>D23-('Ethylene Recycling LC'!C81+'Ethylene Recycling LC'!C84-'Ethylene Recycling LC'!$C$81-'Ethylene Recycling LC'!$C$84+'Ethylene Recycling LC'!C108+'Ethylene Recycling LC'!C111-'Ethylene Recycling LC'!$C$108-'Ethylene Recycling LC'!$C$111)</f>
        <v>5.5166913663259809</v>
      </c>
      <c r="E109" s="284">
        <f>E23-('Ethylene Recycling LC'!D81+'Ethylene Recycling LC'!D84-'Ethylene Recycling LC'!$C$81-'Ethylene Recycling LC'!$C$84+'Ethylene Recycling LC'!D108+'Ethylene Recycling LC'!D111-'Ethylene Recycling LC'!$C$108-'Ethylene Recycling LC'!$C$111)</f>
        <v>5.6002431743753398</v>
      </c>
      <c r="F109" s="284">
        <f>F23-('Ethylene Recycling LC'!E81+'Ethylene Recycling LC'!E84-'Ethylene Recycling LC'!$C$81-'Ethylene Recycling LC'!$C$84+'Ethylene Recycling LC'!E108+'Ethylene Recycling LC'!E111-'Ethylene Recycling LC'!$C$108-'Ethylene Recycling LC'!$C$111)</f>
        <v>5.6848613060823112</v>
      </c>
      <c r="G109" s="284">
        <f>G23-('Ethylene Recycling LC'!F81+'Ethylene Recycling LC'!F84-'Ethylene Recycling LC'!$C$81-'Ethylene Recycling LC'!$C$84+'Ethylene Recycling LC'!F108+'Ethylene Recycling LC'!F111-'Ethylene Recycling LC'!$C$108-'Ethylene Recycling LC'!$C$111)</f>
        <v>5.7705580520469208</v>
      </c>
      <c r="H109" s="284">
        <f>H23-('Ethylene Recycling LC'!G81+'Ethylene Recycling LC'!G84-'Ethylene Recycling LC'!$C$81-'Ethylene Recycling LC'!$C$84+'Ethylene Recycling LC'!G108+'Ethylene Recycling LC'!G111-'Ethylene Recycling LC'!$C$108-'Ethylene Recycling LC'!$C$111)</f>
        <v>5.8573486005928155</v>
      </c>
      <c r="I109" s="284">
        <f>I23-('Ethylene Recycling LC'!H81+'Ethylene Recycling LC'!H84-'Ethylene Recycling LC'!$C$81-'Ethylene Recycling LC'!$C$84+'Ethylene Recycling LC'!H108+'Ethylene Recycling LC'!H111-'Ethylene Recycling LC'!$C$108-'Ethylene Recycling LC'!$C$111)</f>
        <v>5.9452512221597322</v>
      </c>
      <c r="J109" s="284">
        <f>J23-('Ethylene Recycling LC'!I81+'Ethylene Recycling LC'!I84-'Ethylene Recycling LC'!$C$81-'Ethylene Recycling LC'!$C$84+'Ethylene Recycling LC'!I108+'Ethylene Recycling LC'!I111-'Ethylene Recycling LC'!$C$108-'Ethylene Recycling LC'!$C$111)</f>
        <v>6.0342698655853342</v>
      </c>
      <c r="K109" s="284">
        <f>K23-('Ethylene Recycling LC'!J81+'Ethylene Recycling LC'!J84-'Ethylene Recycling LC'!$C$81-'Ethylene Recycling LC'!$C$84+'Ethylene Recycling LC'!J108+'Ethylene Recycling LC'!J111-'Ethylene Recycling LC'!$C$108-'Ethylene Recycling LC'!$C$111)</f>
        <v>6.1244170414545342</v>
      </c>
      <c r="L109" s="284">
        <f>L23-('Ethylene Recycling LC'!K81+'Ethylene Recycling LC'!K84-'Ethylene Recycling LC'!$C$81-'Ethylene Recycling LC'!$C$84+'Ethylene Recycling LC'!K108+'Ethylene Recycling LC'!K111-'Ethylene Recycling LC'!$C$108-'Ethylene Recycling LC'!$C$111)</f>
        <v>6.2157059126352889</v>
      </c>
      <c r="M109" s="284">
        <f>M23-('Ethylene Recycling LC'!L81+'Ethylene Recycling LC'!L84-'Ethylene Recycling LC'!$C$81-'Ethylene Recycling LC'!$C$84+'Ethylene Recycling LC'!L108+'Ethylene Recycling LC'!L111-'Ethylene Recycling LC'!$C$108-'Ethylene Recycling LC'!$C$111)</f>
        <v>6.3081503305045414</v>
      </c>
      <c r="N109" s="284">
        <f>N23-('Ethylene Recycling LC'!M81+'Ethylene Recycling LC'!M84-'Ethylene Recycling LC'!$C$81-'Ethylene Recycling LC'!$C$84+'Ethylene Recycling LC'!M108+'Ethylene Recycling LC'!M111-'Ethylene Recycling LC'!$C$108-'Ethylene Recycling LC'!$C$111)</f>
        <v>6.4017648706465859</v>
      </c>
      <c r="O109" s="284">
        <f>O23-('Ethylene Recycling LC'!N81+'Ethylene Recycling LC'!N84-'Ethylene Recycling LC'!$C$81-'Ethylene Recycling LC'!$C$84+'Ethylene Recycling LC'!N108+'Ethylene Recycling LC'!N111-'Ethylene Recycling LC'!$C$108-'Ethylene Recycling LC'!$C$111)</f>
        <v>6.4786403498999761</v>
      </c>
      <c r="P109" s="284">
        <f>P23-('Ethylene Recycling LC'!O81+'Ethylene Recycling LC'!O84-'Ethylene Recycling LC'!$C$81-'Ethylene Recycling LC'!$C$84+'Ethylene Recycling LC'!O108+'Ethylene Recycling LC'!O111-'Ethylene Recycling LC'!$C$108-'Ethylene Recycling LC'!$C$111)</f>
        <v>6.5557563127235943</v>
      </c>
      <c r="Q109" s="284">
        <f>Q23-('Ethylene Recycling LC'!P81+'Ethylene Recycling LC'!P84-'Ethylene Recycling LC'!$C$81-'Ethylene Recycling LC'!$C$84+'Ethylene Recycling LC'!P108+'Ethylene Recycling LC'!P111-'Ethylene Recycling LC'!$C$108-'Ethylene Recycling LC'!$C$111)</f>
        <v>6.633233827479402</v>
      </c>
      <c r="R109" s="284">
        <f>R23-('Ethylene Recycling LC'!Q81+'Ethylene Recycling LC'!Q84-'Ethylene Recycling LC'!$C$81-'Ethylene Recycling LC'!$C$84+'Ethylene Recycling LC'!Q108+'Ethylene Recycling LC'!Q111-'Ethylene Recycling LC'!$C$108-'Ethylene Recycling LC'!$C$111)</f>
        <v>6.711022300693414</v>
      </c>
      <c r="S109" s="284">
        <f>S23-('Ethylene Recycling LC'!R81+'Ethylene Recycling LC'!R84-'Ethylene Recycling LC'!$C$81-'Ethylene Recycling LC'!$C$84+'Ethylene Recycling LC'!R108+'Ethylene Recycling LC'!R111-'Ethylene Recycling LC'!$C$108-'Ethylene Recycling LC'!$C$111)</f>
        <v>6.7891490982767033</v>
      </c>
      <c r="T109" s="284">
        <f>T23-('Ethylene Recycling LC'!S81+'Ethylene Recycling LC'!S84-'Ethylene Recycling LC'!$C$81-'Ethylene Recycling LC'!$C$84+'Ethylene Recycling LC'!S108+'Ethylene Recycling LC'!S111-'Ethylene Recycling LC'!$C$108-'Ethylene Recycling LC'!$C$111)</f>
        <v>6.8675576078225422</v>
      </c>
      <c r="U109" s="284">
        <f>U23-('Ethylene Recycling LC'!T81+'Ethylene Recycling LC'!T84-'Ethylene Recycling LC'!$C$81-'Ethylene Recycling LC'!$C$84+'Ethylene Recycling LC'!T108+'Ethylene Recycling LC'!T111-'Ethylene Recycling LC'!$C$108-'Ethylene Recycling LC'!$C$111)</f>
        <v>6.94624802794565</v>
      </c>
      <c r="V109" s="284">
        <f>V23-('Ethylene Recycling LC'!U81+'Ethylene Recycling LC'!U84-'Ethylene Recycling LC'!$C$81-'Ethylene Recycling LC'!$C$84+'Ethylene Recycling LC'!U108+'Ethylene Recycling LC'!U111-'Ethylene Recycling LC'!$C$108-'Ethylene Recycling LC'!$C$111)</f>
        <v>7.025220694630363</v>
      </c>
      <c r="W109" s="284">
        <f>W23-('Ethylene Recycling LC'!V81+'Ethylene Recycling LC'!V84-'Ethylene Recycling LC'!$C$81-'Ethylene Recycling LC'!$C$84+'Ethylene Recycling LC'!V108+'Ethylene Recycling LC'!V111-'Ethylene Recycling LC'!$C$108-'Ethylene Recycling LC'!$C$111)</f>
        <v>7.1044760747481828</v>
      </c>
      <c r="X109" s="284">
        <f>X23-('Ethylene Recycling LC'!W81+'Ethylene Recycling LC'!W84-'Ethylene Recycling LC'!$C$81-'Ethylene Recycling LC'!$C$84+'Ethylene Recycling LC'!W108+'Ethylene Recycling LC'!W111-'Ethylene Recycling LC'!$C$108-'Ethylene Recycling LC'!$C$111)</f>
        <v>7.1840147590519345</v>
      </c>
      <c r="Y109" s="284">
        <f>Y23-('Ethylene Recycling LC'!X81+'Ethylene Recycling LC'!X84-'Ethylene Recycling LC'!$C$81-'Ethylene Recycling LC'!$C$84+'Ethylene Recycling LC'!X108+'Ethylene Recycling LC'!X111-'Ethylene Recycling LC'!$C$108-'Ethylene Recycling LC'!$C$111)</f>
        <v>7.2041852228768049</v>
      </c>
      <c r="Z109" s="284">
        <f>Z23-('Ethylene Recycling LC'!Y81+'Ethylene Recycling LC'!Y84-'Ethylene Recycling LC'!$C$81-'Ethylene Recycling LC'!$C$84+'Ethylene Recycling LC'!Y108+'Ethylene Recycling LC'!Y111-'Ethylene Recycling LC'!$C$108-'Ethylene Recycling LC'!$C$111)</f>
        <v>7.2225151169311035</v>
      </c>
      <c r="AA109" s="284">
        <f>AA23-('Ethylene Recycling LC'!Z81+'Ethylene Recycling LC'!Z84-'Ethylene Recycling LC'!$C$81-'Ethylene Recycling LC'!$C$84+'Ethylene Recycling LC'!Z108+'Ethylene Recycling LC'!Z111-'Ethylene Recycling LC'!$C$108-'Ethylene Recycling LC'!$C$111)</f>
        <v>7.2399143295371271</v>
      </c>
      <c r="AB109" s="284">
        <f>AB23-('Ethylene Recycling LC'!AA81+'Ethylene Recycling LC'!AA84-'Ethylene Recycling LC'!$C$81-'Ethylene Recycling LC'!$C$84+'Ethylene Recycling LC'!AA108+'Ethylene Recycling LC'!AA111-'Ethylene Recycling LC'!$C$108-'Ethylene Recycling LC'!$C$111)</f>
        <v>7.2556422565136929</v>
      </c>
      <c r="AC109" s="284">
        <f>AC23-('Ethylene Recycling LC'!AB81+'Ethylene Recycling LC'!AB84-'Ethylene Recycling LC'!$C$81-'Ethylene Recycling LC'!$C$84+'Ethylene Recycling LC'!AB108+'Ethylene Recycling LC'!AB111-'Ethylene Recycling LC'!$C$108-'Ethylene Recycling LC'!$C$111)</f>
        <v>7.2696869195769613</v>
      </c>
      <c r="AD109" s="284">
        <f>AD23-('Ethylene Recycling LC'!AC81+'Ethylene Recycling LC'!AC84-'Ethylene Recycling LC'!$C$81-'Ethylene Recycling LC'!$C$84+'Ethylene Recycling LC'!AC108+'Ethylene Recycling LC'!AC111-'Ethylene Recycling LC'!$C$108-'Ethylene Recycling LC'!$C$111)</f>
        <v>7.2820350474407238</v>
      </c>
      <c r="AE109" s="284">
        <f>AE23-('Ethylene Recycling LC'!AD81+'Ethylene Recycling LC'!AD84-'Ethylene Recycling LC'!$C$81-'Ethylene Recycling LC'!$C$84+'Ethylene Recycling LC'!AD108+'Ethylene Recycling LC'!AD111-'Ethylene Recycling LC'!$C$108-'Ethylene Recycling LC'!$C$111)</f>
        <v>7.2926745300976776</v>
      </c>
      <c r="AF109" s="284">
        <f>AF23-('Ethylene Recycling LC'!AE81+'Ethylene Recycling LC'!AE84-'Ethylene Recycling LC'!$C$81-'Ethylene Recycling LC'!$C$84+'Ethylene Recycling LC'!AE108+'Ethylene Recycling LC'!AE111-'Ethylene Recycling LC'!$C$108-'Ethylene Recycling LC'!$C$111)</f>
        <v>7.3015933174953656</v>
      </c>
      <c r="AG109" s="284">
        <f>AG23-('Ethylene Recycling LC'!AF81+'Ethylene Recycling LC'!AF84-'Ethylene Recycling LC'!$C$81-'Ethylene Recycling LC'!$C$84+'Ethylene Recycling LC'!AF108+'Ethylene Recycling LC'!AF111-'Ethylene Recycling LC'!$C$108-'Ethylene Recycling LC'!$C$111)</f>
        <v>7.3087793907189713</v>
      </c>
      <c r="AH109" s="284">
        <f>AH23-('Ethylene Recycling LC'!AG81+'Ethylene Recycling LC'!AG84-'Ethylene Recycling LC'!$C$81-'Ethylene Recycling LC'!$C$84+'Ethylene Recycling LC'!AG108+'Ethylene Recycling LC'!AG111-'Ethylene Recycling LC'!$C$108-'Ethylene Recycling LC'!$C$111)</f>
        <v>7.3142207331165281</v>
      </c>
      <c r="AI109" s="437"/>
      <c r="AJ109" s="437"/>
    </row>
    <row r="110" spans="1:36" s="67" customFormat="1" x14ac:dyDescent="0.2">
      <c r="A110" s="690" t="s">
        <v>263</v>
      </c>
      <c r="B110" s="58" t="s">
        <v>264</v>
      </c>
      <c r="C110" s="59" t="s">
        <v>153</v>
      </c>
      <c r="D110" s="60">
        <f>D24-('Ethylene Recycling LC'!C82+'Ethylene Recycling LC'!C109-'Ethylene Recycling LC'!$C$82-'Ethylene Recycling LC'!$C$109)</f>
        <v>0.48056804733727804</v>
      </c>
      <c r="E110" s="60">
        <f>E24-('Ethylene Recycling LC'!D82+'Ethylene Recycling LC'!D109-'Ethylene Recycling LC'!$C$82-'Ethylene Recycling LC'!$C$109)</f>
        <v>0.48787451676517007</v>
      </c>
      <c r="F110" s="60">
        <f>F24-('Ethylene Recycling LC'!E82+'Ethylene Recycling LC'!E109-'Ethylene Recycling LC'!$C$82-'Ethylene Recycling LC'!$C$109)</f>
        <v>0.49525766272061755</v>
      </c>
      <c r="G110" s="60">
        <f>G24-('Ethylene Recycling LC'!F82+'Ethylene Recycling LC'!F109-'Ethylene Recycling LC'!$C$82-'Ethylene Recycling LC'!$C$109)</f>
        <v>0.50270765792100947</v>
      </c>
      <c r="H110" s="60">
        <f>H24-('Ethylene Recycling LC'!G82+'Ethylene Recycling LC'!G109-'Ethylene Recycling LC'!$C$82-'Ethylene Recycling LC'!$C$109)</f>
        <v>0.51021430107870536</v>
      </c>
      <c r="I110" s="60">
        <f>I24-('Ethylene Recycling LC'!H82+'Ethylene Recycling LC'!H109-'Ethylene Recycling LC'!$C$82-'Ethylene Recycling LC'!$C$109)</f>
        <v>0.51776727582092219</v>
      </c>
      <c r="J110" s="60">
        <f>J24-('Ethylene Recycling LC'!I82+'Ethylene Recycling LC'!I109-'Ethylene Recycling LC'!$C$82-'Ethylene Recycling LC'!$C$109)</f>
        <v>0.5253544471638838</v>
      </c>
      <c r="K110" s="60">
        <f>K24-('Ethylene Recycling LC'!J82+'Ethylene Recycling LC'!J109-'Ethylene Recycling LC'!$C$82-'Ethylene Recycling LC'!$C$109)</f>
        <v>0.53296348105550517</v>
      </c>
      <c r="L110" s="60">
        <f>L24-('Ethylene Recycling LC'!K82+'Ethylene Recycling LC'!K109-'Ethylene Recycling LC'!$C$82-'Ethylene Recycling LC'!$C$109)</f>
        <v>0.54058142722121916</v>
      </c>
      <c r="M110" s="60">
        <f>M24-('Ethylene Recycling LC'!L82+'Ethylene Recycling LC'!L109-'Ethylene Recycling LC'!$C$82-'Ethylene Recycling LC'!$C$109)</f>
        <v>0.54819475106867888</v>
      </c>
      <c r="N110" s="60">
        <f>N24-('Ethylene Recycling LC'!M82+'Ethylene Recycling LC'!M109-'Ethylene Recycling LC'!$C$82-'Ethylene Recycling LC'!$C$109)</f>
        <v>0.55578936981381932</v>
      </c>
      <c r="O110" s="60">
        <f>O24-('Ethylene Recycling LC'!N82+'Ethylene Recycling LC'!N109-'Ethylene Recycling LC'!$C$82-'Ethylene Recycling LC'!$C$109)</f>
        <v>0.56160944801123669</v>
      </c>
      <c r="P110" s="60">
        <f>P24-('Ethylene Recycling LC'!O82+'Ethylene Recycling LC'!O109-'Ethylene Recycling LC'!$C$82-'Ethylene Recycling LC'!$C$109)</f>
        <v>0.56721136257259408</v>
      </c>
      <c r="Q110" s="60">
        <f>Q24-('Ethylene Recycling LC'!P82+'Ethylene Recycling LC'!P109-'Ethylene Recycling LC'!$C$82-'Ethylene Recycling LC'!$C$109)</f>
        <v>0.57259697780908891</v>
      </c>
      <c r="R110" s="60">
        <f>R24-('Ethylene Recycling LC'!Q82+'Ethylene Recycling LC'!Q109-'Ethylene Recycling LC'!$C$82-'Ethylene Recycling LC'!$C$109)</f>
        <v>0.57773123650248404</v>
      </c>
      <c r="S110" s="60">
        <f>S24-('Ethylene Recycling LC'!R82+'Ethylene Recycling LC'!R109-'Ethylene Recycling LC'!$C$82-'Ethylene Recycling LC'!$C$109)</f>
        <v>0.58259752274139021</v>
      </c>
      <c r="T110" s="60">
        <f>T24-('Ethylene Recycling LC'!S82+'Ethylene Recycling LC'!S109-'Ethylene Recycling LC'!$C$82-'Ethylene Recycling LC'!$C$109)</f>
        <v>0.58715518256067167</v>
      </c>
      <c r="U110" s="60">
        <f>U24-('Ethylene Recycling LC'!T82+'Ethylene Recycling LC'!T109-'Ethylene Recycling LC'!$C$82-'Ethylene Recycling LC'!$C$109)</f>
        <v>0.59137765561363065</v>
      </c>
      <c r="V110" s="60">
        <f>V24-('Ethylene Recycling LC'!U82+'Ethylene Recycling LC'!U109-'Ethylene Recycling LC'!$C$82-'Ethylene Recycling LC'!$C$109)</f>
        <v>0.59523832357293394</v>
      </c>
      <c r="W110" s="60">
        <f>W24-('Ethylene Recycling LC'!V82+'Ethylene Recycling LC'!V109-'Ethylene Recycling LC'!$C$82-'Ethylene Recycling LC'!$C$109)</f>
        <v>0.59871054559320669</v>
      </c>
      <c r="X110" s="60">
        <f>X24-('Ethylene Recycling LC'!W82+'Ethylene Recycling LC'!W109-'Ethylene Recycling LC'!$C$82-'Ethylene Recycling LC'!$C$109)</f>
        <v>0.60176769426874177</v>
      </c>
      <c r="Y110" s="60">
        <f>Y24-('Ethylene Recycling LC'!X82+'Ethylene Recycling LC'!X109-'Ethylene Recycling LC'!$C$82-'Ethylene Recycling LC'!$C$109)</f>
        <v>0.59810681827079848</v>
      </c>
      <c r="Z110" s="60">
        <f>Z24-('Ethylene Recycling LC'!Y82+'Ethylene Recycling LC'!Y109-'Ethylene Recycling LC'!$C$82-'Ethylene Recycling LC'!$C$109)</f>
        <v>0.59355903774111773</v>
      </c>
      <c r="AA110" s="60">
        <f>AA24-('Ethylene Recycling LC'!Z82+'Ethylene Recycling LC'!Z109-'Ethylene Recycling LC'!$C$82-'Ethylene Recycling LC'!$C$109)</f>
        <v>0.58850771707530747</v>
      </c>
      <c r="AB110" s="60">
        <f>AB24-('Ethylene Recycling LC'!AA82+'Ethylene Recycling LC'!AA109-'Ethylene Recycling LC'!$C$82-'Ethylene Recycling LC'!$C$109)</f>
        <v>0.58262651694893863</v>
      </c>
      <c r="AC110" s="60">
        <f>AC24-('Ethylene Recycling LC'!AB82+'Ethylene Recycling LC'!AB109-'Ethylene Recycling LC'!$C$82-'Ethylene Recycling LC'!$C$109)</f>
        <v>0.57589345050334584</v>
      </c>
      <c r="AD110" s="60">
        <f>AD24-('Ethylene Recycling LC'!AC82+'Ethylene Recycling LC'!AC109-'Ethylene Recycling LC'!$C$82-'Ethylene Recycling LC'!$C$109)</f>
        <v>0.56828789169456995</v>
      </c>
      <c r="AE110" s="60">
        <f>AE24-('Ethylene Recycling LC'!AD82+'Ethylene Recycling LC'!AD109-'Ethylene Recycling LC'!$C$82-'Ethylene Recycling LC'!$C$109)</f>
        <v>0.5597918438851478</v>
      </c>
      <c r="AF110" s="60">
        <f>AF24-('Ethylene Recycling LC'!AE82+'Ethylene Recycling LC'!AE109-'Ethylene Recycling LC'!$C$82-'Ethylene Recycling LC'!$C$109)</f>
        <v>0.55038951662867863</v>
      </c>
      <c r="AG110" s="60">
        <f>AG24-('Ethylene Recycling LC'!AF82+'Ethylene Recycling LC'!AF109-'Ethylene Recycling LC'!$C$82-'Ethylene Recycling LC'!$C$109)</f>
        <v>0.5400673894207324</v>
      </c>
      <c r="AH110" s="60">
        <f>AH24-('Ethylene Recycling LC'!AG82+'Ethylene Recycling LC'!AG109-'Ethylene Recycling LC'!$C$82-'Ethylene Recycling LC'!$C$109)</f>
        <v>0.52881427145071513</v>
      </c>
      <c r="AI110" s="437"/>
      <c r="AJ110" s="437"/>
    </row>
    <row r="111" spans="1:36" s="68" customFormat="1" x14ac:dyDescent="0.2">
      <c r="A111" s="691"/>
      <c r="B111" s="62" t="s">
        <v>266</v>
      </c>
      <c r="C111" s="283" t="s">
        <v>153</v>
      </c>
      <c r="D111" s="284">
        <f>D25-('Ethylene Recycling LC'!C83+'Ethylene Recycling LC'!C110-'Ethylene Recycling LC'!$C$83-'Ethylene Recycling LC'!$C$110)</f>
        <v>0</v>
      </c>
      <c r="E111" s="284">
        <f>E25-('Ethylene Recycling LC'!D83+'Ethylene Recycling LC'!D110-'Ethylene Recycling LC'!$C$83-'Ethylene Recycling LC'!$C$110)</f>
        <v>0</v>
      </c>
      <c r="F111" s="284">
        <f>F25-('Ethylene Recycling LC'!E83+'Ethylene Recycling LC'!E110-'Ethylene Recycling LC'!$C$83-'Ethylene Recycling LC'!$C$110)</f>
        <v>0</v>
      </c>
      <c r="G111" s="284">
        <f>G25-('Ethylene Recycling LC'!F83+'Ethylene Recycling LC'!F110-'Ethylene Recycling LC'!$C$83-'Ethylene Recycling LC'!$C$110)</f>
        <v>0</v>
      </c>
      <c r="H111" s="284">
        <f>H25-('Ethylene Recycling LC'!G83+'Ethylene Recycling LC'!G110-'Ethylene Recycling LC'!$C$83-'Ethylene Recycling LC'!$C$110)</f>
        <v>0</v>
      </c>
      <c r="I111" s="284">
        <f>I25-('Ethylene Recycling LC'!H83+'Ethylene Recycling LC'!H110-'Ethylene Recycling LC'!$C$83-'Ethylene Recycling LC'!$C$110)</f>
        <v>0</v>
      </c>
      <c r="J111" s="284">
        <f>J25-('Ethylene Recycling LC'!I83+'Ethylene Recycling LC'!I110-'Ethylene Recycling LC'!$C$83-'Ethylene Recycling LC'!$C$110)</f>
        <v>0</v>
      </c>
      <c r="K111" s="284">
        <f>K25-('Ethylene Recycling LC'!J83+'Ethylene Recycling LC'!J110-'Ethylene Recycling LC'!$C$83-'Ethylene Recycling LC'!$C$110)</f>
        <v>0</v>
      </c>
      <c r="L111" s="284">
        <f>L25-('Ethylene Recycling LC'!K83+'Ethylene Recycling LC'!K110-'Ethylene Recycling LC'!$C$83-'Ethylene Recycling LC'!$C$110)</f>
        <v>0</v>
      </c>
      <c r="M111" s="284">
        <f>M25-('Ethylene Recycling LC'!L83+'Ethylene Recycling LC'!L110-'Ethylene Recycling LC'!$C$83-'Ethylene Recycling LC'!$C$110)</f>
        <v>0</v>
      </c>
      <c r="N111" s="284">
        <f>N25-('Ethylene Recycling LC'!M83+'Ethylene Recycling LC'!M110-'Ethylene Recycling LC'!$C$83-'Ethylene Recycling LC'!$C$110)</f>
        <v>0</v>
      </c>
      <c r="O111" s="284">
        <f>O25-('Ethylene Recycling LC'!N83+'Ethylene Recycling LC'!N110-'Ethylene Recycling LC'!$C$83-'Ethylene Recycling LC'!$C$110)</f>
        <v>0</v>
      </c>
      <c r="P111" s="284">
        <f>P25-('Ethylene Recycling LC'!O83+'Ethylene Recycling LC'!O110-'Ethylene Recycling LC'!$C$83-'Ethylene Recycling LC'!$C$110)</f>
        <v>0</v>
      </c>
      <c r="Q111" s="284">
        <f>Q25-('Ethylene Recycling LC'!P83+'Ethylene Recycling LC'!P110-'Ethylene Recycling LC'!$C$83-'Ethylene Recycling LC'!$C$110)</f>
        <v>0</v>
      </c>
      <c r="R111" s="284">
        <f>R25-('Ethylene Recycling LC'!Q83+'Ethylene Recycling LC'!Q110-'Ethylene Recycling LC'!$C$83-'Ethylene Recycling LC'!$C$110)</f>
        <v>0</v>
      </c>
      <c r="S111" s="284">
        <f>S25-('Ethylene Recycling LC'!R83+'Ethylene Recycling LC'!R110-'Ethylene Recycling LC'!$C$83-'Ethylene Recycling LC'!$C$110)</f>
        <v>0</v>
      </c>
      <c r="T111" s="284">
        <f>T25-('Ethylene Recycling LC'!S83+'Ethylene Recycling LC'!S110-'Ethylene Recycling LC'!$C$83-'Ethylene Recycling LC'!$C$110)</f>
        <v>0</v>
      </c>
      <c r="U111" s="284">
        <f>U25-('Ethylene Recycling LC'!T83+'Ethylene Recycling LC'!T110-'Ethylene Recycling LC'!$C$83-'Ethylene Recycling LC'!$C$110)</f>
        <v>0</v>
      </c>
      <c r="V111" s="284">
        <f>V25-('Ethylene Recycling LC'!U83+'Ethylene Recycling LC'!U110-'Ethylene Recycling LC'!$C$83-'Ethylene Recycling LC'!$C$110)</f>
        <v>0</v>
      </c>
      <c r="W111" s="284">
        <f>W25-('Ethylene Recycling LC'!V83+'Ethylene Recycling LC'!V110-'Ethylene Recycling LC'!$C$83-'Ethylene Recycling LC'!$C$110)</f>
        <v>0</v>
      </c>
      <c r="X111" s="284">
        <f>X25-('Ethylene Recycling LC'!W83+'Ethylene Recycling LC'!W110-'Ethylene Recycling LC'!$C$83-'Ethylene Recycling LC'!$C$110)</f>
        <v>0</v>
      </c>
      <c r="Y111" s="284">
        <f>Y25-('Ethylene Recycling LC'!X83+'Ethylene Recycling LC'!X110-'Ethylene Recycling LC'!$C$83-'Ethylene Recycling LC'!$C$110)</f>
        <v>0</v>
      </c>
      <c r="Z111" s="284">
        <f>Z25-('Ethylene Recycling LC'!Y83+'Ethylene Recycling LC'!Y110-'Ethylene Recycling LC'!$C$83-'Ethylene Recycling LC'!$C$110)</f>
        <v>0</v>
      </c>
      <c r="AA111" s="284">
        <f>AA25-('Ethylene Recycling LC'!Z83+'Ethylene Recycling LC'!Z110-'Ethylene Recycling LC'!$C$83-'Ethylene Recycling LC'!$C$110)</f>
        <v>0</v>
      </c>
      <c r="AB111" s="284">
        <f>AB25-('Ethylene Recycling LC'!AA83+'Ethylene Recycling LC'!AA110-'Ethylene Recycling LC'!$C$83-'Ethylene Recycling LC'!$C$110)</f>
        <v>0</v>
      </c>
      <c r="AC111" s="284">
        <f>AC25-('Ethylene Recycling LC'!AB83+'Ethylene Recycling LC'!AB110-'Ethylene Recycling LC'!$C$83-'Ethylene Recycling LC'!$C$110)</f>
        <v>0</v>
      </c>
      <c r="AD111" s="284">
        <f>AD25-('Ethylene Recycling LC'!AC83+'Ethylene Recycling LC'!AC110-'Ethylene Recycling LC'!$C$83-'Ethylene Recycling LC'!$C$110)</f>
        <v>0</v>
      </c>
      <c r="AE111" s="284">
        <f>AE25-('Ethylene Recycling LC'!AD83+'Ethylene Recycling LC'!AD110-'Ethylene Recycling LC'!$C$83-'Ethylene Recycling LC'!$C$110)</f>
        <v>0</v>
      </c>
      <c r="AF111" s="284">
        <f>AF25-('Ethylene Recycling LC'!AE83+'Ethylene Recycling LC'!AE110-'Ethylene Recycling LC'!$C$83-'Ethylene Recycling LC'!$C$110)</f>
        <v>0</v>
      </c>
      <c r="AG111" s="284">
        <f>AG25-('Ethylene Recycling LC'!AF83+'Ethylene Recycling LC'!AF110-'Ethylene Recycling LC'!$C$83-'Ethylene Recycling LC'!$C$110)</f>
        <v>0</v>
      </c>
      <c r="AH111" s="284">
        <f>AH25-('Ethylene Recycling LC'!AG83+'Ethylene Recycling LC'!AG110-'Ethylene Recycling LC'!$C$83-'Ethylene Recycling LC'!$C$110)</f>
        <v>0</v>
      </c>
      <c r="AI111" s="437"/>
    </row>
    <row r="112" spans="1:36" s="67" customFormat="1" x14ac:dyDescent="0.2">
      <c r="A112" s="58" t="s">
        <v>221</v>
      </c>
      <c r="B112" s="58" t="s">
        <v>197</v>
      </c>
      <c r="C112" s="100" t="s">
        <v>153</v>
      </c>
      <c r="D112" s="66">
        <f t="shared" ref="D112:AH112" si="34">D55</f>
        <v>3.4336211538461541</v>
      </c>
      <c r="E112" s="66">
        <f t="shared" si="34"/>
        <v>3.4515637128666348</v>
      </c>
      <c r="F112" s="66">
        <f t="shared" si="34"/>
        <v>3.4687456324371291</v>
      </c>
      <c r="G112" s="66">
        <f t="shared" si="34"/>
        <v>3.4851270530322105</v>
      </c>
      <c r="H112" s="66">
        <f t="shared" si="34"/>
        <v>3.5006667764683801</v>
      </c>
      <c r="I112" s="66">
        <f t="shared" si="34"/>
        <v>3.5153222272584816</v>
      </c>
      <c r="J112" s="66">
        <f t="shared" si="34"/>
        <v>3.5290494129333454</v>
      </c>
      <c r="K112" s="66">
        <f t="shared" si="34"/>
        <v>3.5418028833043316</v>
      </c>
      <c r="L112" s="66">
        <f t="shared" si="34"/>
        <v>3.553535688639796</v>
      </c>
      <c r="M112" s="66">
        <f t="shared" si="34"/>
        <v>3.5641993367278131</v>
      </c>
      <c r="N112" s="66">
        <f t="shared" si="34"/>
        <v>3.5737437487968373</v>
      </c>
      <c r="O112" s="66">
        <f t="shared" si="34"/>
        <v>3.6017529390106477</v>
      </c>
      <c r="P112" s="66">
        <f t="shared" si="34"/>
        <v>3.6293624942202189</v>
      </c>
      <c r="Q112" s="66">
        <f t="shared" si="34"/>
        <v>3.6565432777024882</v>
      </c>
      <c r="R112" s="66">
        <f t="shared" si="34"/>
        <v>3.6832651052310617</v>
      </c>
      <c r="S112" s="66">
        <f t="shared" si="34"/>
        <v>3.7094967139303692</v>
      </c>
      <c r="T112" s="66">
        <f t="shared" si="34"/>
        <v>3.7352057302836403</v>
      </c>
      <c r="U112" s="66">
        <f t="shared" si="34"/>
        <v>3.7603586372729056</v>
      </c>
      <c r="V112" s="66">
        <f t="shared" si="34"/>
        <v>3.7849207406286651</v>
      </c>
      <c r="W112" s="66">
        <f t="shared" si="34"/>
        <v>3.8088561341663283</v>
      </c>
      <c r="X112" s="66">
        <f t="shared" si="34"/>
        <v>3.8321276641859563</v>
      </c>
      <c r="Y112" s="66">
        <f t="shared" si="34"/>
        <v>3.8427439325900599</v>
      </c>
      <c r="Z112" s="66">
        <f t="shared" si="34"/>
        <v>3.8521161159672284</v>
      </c>
      <c r="AA112" s="66">
        <f t="shared" si="34"/>
        <v>3.860187280971966</v>
      </c>
      <c r="AB112" s="66">
        <f t="shared" si="34"/>
        <v>3.8668986516997612</v>
      </c>
      <c r="AC112" s="66">
        <f t="shared" si="34"/>
        <v>3.872189557407216</v>
      </c>
      <c r="AD112" s="66">
        <f t="shared" si="34"/>
        <v>3.8759973788489832</v>
      </c>
      <c r="AE112" s="66">
        <f t="shared" si="34"/>
        <v>3.8782574931964882</v>
      </c>
      <c r="AF112" s="66">
        <f t="shared" si="34"/>
        <v>3.8789032175025167</v>
      </c>
      <c r="AG112" s="66">
        <f t="shared" si="34"/>
        <v>3.8778657506748981</v>
      </c>
      <c r="AH112" s="66">
        <f t="shared" si="34"/>
        <v>3.8750741139216012</v>
      </c>
    </row>
    <row r="113" spans="1:36" outlineLevel="1" x14ac:dyDescent="0.2">
      <c r="A113"/>
      <c r="B113" t="s">
        <v>217</v>
      </c>
      <c r="C113" s="54" t="s">
        <v>153</v>
      </c>
      <c r="D113" s="44">
        <f>'Ethylene Recycling LC'!C138-'Ethylene Recycling LC'!$C$138</f>
        <v>0</v>
      </c>
      <c r="E113" s="44">
        <f>'Ethylene Recycling LC'!D138-'Ethylene Recycling LC'!$C$138</f>
        <v>7.8735500055456265E-3</v>
      </c>
      <c r="F113" s="44">
        <f>'Ethylene Recycling LC'!E138-'Ethylene Recycling LC'!$C$138</f>
        <v>1.6584062272038562E-2</v>
      </c>
      <c r="G113" s="44">
        <f>'Ethylene Recycling LC'!F138-'Ethylene Recycling LC'!$C$138</f>
        <v>2.6126643423037534E-2</v>
      </c>
      <c r="H113" s="44">
        <f>'Ethylene Recycling LC'!G138-'Ethylene Recycling LC'!$C$138</f>
        <v>3.6485602894558683E-2</v>
      </c>
      <c r="I113" s="44">
        <f>'Ethylene Recycling LC'!H138-'Ethylene Recycling LC'!$C$138</f>
        <v>4.7634030062421728E-2</v>
      </c>
      <c r="J113" s="44">
        <f>'Ethylene Recycling LC'!I138-'Ethylene Recycling LC'!$C$138</f>
        <v>5.6937554273840715E-2</v>
      </c>
      <c r="K113" s="44">
        <f>'Ethylene Recycling LC'!J138-'Ethylene Recycling LC'!$C$138</f>
        <v>6.6411575394843395E-2</v>
      </c>
      <c r="L113" s="44">
        <f>'Ethylene Recycling LC'!K138-'Ethylene Recycling LC'!$C$138</f>
        <v>7.5994460897830962E-2</v>
      </c>
      <c r="M113" s="44">
        <f>'Ethylene Recycling LC'!L138-'Ethylene Recycling LC'!$C$138</f>
        <v>8.5619778796479001E-2</v>
      </c>
      <c r="N113" s="44">
        <f>'Ethylene Recycling LC'!M138-'Ethylene Recycling LC'!$C$138</f>
        <v>9.5216336204720517E-2</v>
      </c>
      <c r="O113" s="44">
        <f>'Ethylene Recycling LC'!N138-'Ethylene Recycling LC'!$C$138</f>
        <v>0.10887612938416634</v>
      </c>
      <c r="P113" s="44">
        <f>'Ethylene Recycling LC'!O138-'Ethylene Recycling LC'!$C$138</f>
        <v>0.12242777099132986</v>
      </c>
      <c r="Q113" s="44">
        <f>'Ethylene Recycling LC'!P138-'Ethylene Recycling LC'!$C$138</f>
        <v>0.13567508131519923</v>
      </c>
      <c r="R113" s="44">
        <f>'Ethylene Recycling LC'!Q138-'Ethylene Recycling LC'!$C$138</f>
        <v>0.14841611302578644</v>
      </c>
      <c r="S113" s="44">
        <f>'Ethylene Recycling LC'!R138-'Ethylene Recycling LC'!$C$138</f>
        <v>0.16044601771483269</v>
      </c>
      <c r="T113" s="44">
        <f>'Ethylene Recycling LC'!S138-'Ethylene Recycling LC'!$C$138</f>
        <v>0.17471587915163467</v>
      </c>
      <c r="U113" s="44">
        <f>'Ethylene Recycling LC'!T138-'Ethylene Recycling LC'!$C$138</f>
        <v>0.18887556828921298</v>
      </c>
      <c r="V113" s="44">
        <f>'Ethylene Recycling LC'!U138-'Ethylene Recycling LC'!$C$138</f>
        <v>0.20282760493054652</v>
      </c>
      <c r="W113" s="44">
        <f>'Ethylene Recycling LC'!V138-'Ethylene Recycling LC'!$C$138</f>
        <v>0.2164708523424424</v>
      </c>
      <c r="X113" s="44">
        <f>'Ethylene Recycling LC'!W138-'Ethylene Recycling LC'!$C$138</f>
        <v>0.22970052878192632</v>
      </c>
      <c r="Y113" s="44">
        <f>'Ethylene Recycling LC'!X138-'Ethylene Recycling LC'!$C$138</f>
        <v>0.24926738864966053</v>
      </c>
      <c r="Z113" s="44">
        <f>'Ethylene Recycling LC'!Y138-'Ethylene Recycling LC'!$C$138</f>
        <v>0.26829544228781915</v>
      </c>
      <c r="AA113" s="44">
        <f>'Ethylene Recycling LC'!Z138-'Ethylene Recycling LC'!$C$138</f>
        <v>0.28660758727489721</v>
      </c>
      <c r="AB113" s="44">
        <f>'Ethylene Recycling LC'!AA138-'Ethylene Recycling LC'!$C$138</f>
        <v>0.30402066640294895</v>
      </c>
      <c r="AC113" s="44">
        <f>'Ethylene Recycling LC'!AB138-'Ethylene Recycling LC'!$C$138</f>
        <v>0.32034549030556297</v>
      </c>
      <c r="AD113" s="44">
        <f>'Ethylene Recycling LC'!AC138-'Ethylene Recycling LC'!$C$138</f>
        <v>0.33174039216377499</v>
      </c>
      <c r="AE113" s="44">
        <f>'Ethylene Recycling LC'!AD138-'Ethylene Recycling LC'!$C$138</f>
        <v>0.34099963667298244</v>
      </c>
      <c r="AF113" s="44">
        <f>'Ethylene Recycling LC'!AE138-'Ethylene Recycling LC'!$C$138</f>
        <v>0.34786724698621735</v>
      </c>
      <c r="AG113" s="44">
        <f>'Ethylene Recycling LC'!AF138-'Ethylene Recycling LC'!$C$138</f>
        <v>0.3520800655358346</v>
      </c>
      <c r="AH113" s="44">
        <f>'Ethylene Recycling LC'!AG138-'Ethylene Recycling LC'!$C$138</f>
        <v>0.35336780088209818</v>
      </c>
    </row>
    <row r="114" spans="1:36" outlineLevel="1" x14ac:dyDescent="0.2">
      <c r="A114"/>
      <c r="B114" t="s">
        <v>222</v>
      </c>
      <c r="C114" s="54" t="s">
        <v>153</v>
      </c>
      <c r="D114" s="44">
        <f>'Ethylene Recycling LC'!C73-'Ethylene Recycling LC'!$C$73</f>
        <v>0</v>
      </c>
      <c r="E114" s="44">
        <f>'Ethylene Recycling LC'!D73-'Ethylene Recycling LC'!$C$73</f>
        <v>3.9747255516054292E-2</v>
      </c>
      <c r="F114" s="44">
        <f>'Ethylene Recycling LC'!E73-'Ethylene Recycling LC'!$C$73</f>
        <v>7.5285495675088576E-2</v>
      </c>
      <c r="G114" s="44">
        <f>'Ethylene Recycling LC'!F73-'Ethylene Recycling LC'!$C$73</f>
        <v>0.10625632443592448</v>
      </c>
      <c r="H114" s="44">
        <f>'Ethylene Recycling LC'!G73-'Ethylene Recycling LC'!$C$73</f>
        <v>0.13234576554289057</v>
      </c>
      <c r="I114" s="44">
        <f>'Ethylene Recycling LC'!H73-'Ethylene Recycling LC'!$C$73</f>
        <v>0.1532893771974706</v>
      </c>
      <c r="J114" s="44">
        <f>'Ethylene Recycling LC'!I73-'Ethylene Recycling LC'!$C$73</f>
        <v>0.17184146343194473</v>
      </c>
      <c r="K114" s="44">
        <f>'Ethylene Recycling LC'!J73-'Ethylene Recycling LC'!$C$73</f>
        <v>0.18793002690588145</v>
      </c>
      <c r="L114" s="44">
        <f>'Ethylene Recycling LC'!K73-'Ethylene Recycling LC'!$C$73</f>
        <v>0.20149004409281535</v>
      </c>
      <c r="M114" s="44">
        <f>'Ethylene Recycling LC'!L73-'Ethylene Recycling LC'!$C$73</f>
        <v>0.21246385395153</v>
      </c>
      <c r="N114" s="44">
        <f>'Ethylene Recycling LC'!M73-'Ethylene Recycling LC'!$C$73</f>
        <v>0.22080152462987179</v>
      </c>
      <c r="O114" s="44">
        <f>'Ethylene Recycling LC'!N73-'Ethylene Recycling LC'!$C$73</f>
        <v>0.25335945265209459</v>
      </c>
      <c r="P114" s="44">
        <f>'Ethylene Recycling LC'!O73-'Ethylene Recycling LC'!$C$73</f>
        <v>0.28349400977274275</v>
      </c>
      <c r="Q114" s="44">
        <f>'Ethylene Recycling LC'!P73-'Ethylene Recycling LC'!$C$73</f>
        <v>0.29800642744751138</v>
      </c>
      <c r="R114" s="44">
        <f>'Ethylene Recycling LC'!Q73-'Ethylene Recycling LC'!$C$73</f>
        <v>0.30361696031635832</v>
      </c>
      <c r="S114" s="44">
        <f>'Ethylene Recycling LC'!R73-'Ethylene Recycling LC'!$C$73</f>
        <v>0.30044444893166733</v>
      </c>
      <c r="T114" s="44">
        <f>'Ethylene Recycling LC'!S73-'Ethylene Recycling LC'!$C$73</f>
        <v>0.29139335508270703</v>
      </c>
      <c r="U114" s="44">
        <f>'Ethylene Recycling LC'!T73-'Ethylene Recycling LC'!$C$73</f>
        <v>0.27667862090221917</v>
      </c>
      <c r="V114" s="44">
        <f>'Ethylene Recycling LC'!U73-'Ethylene Recycling LC'!$C$73</f>
        <v>0.25652840155455037</v>
      </c>
      <c r="W114" s="44">
        <f>'Ethylene Recycling LC'!V73-'Ethylene Recycling LC'!$C$73</f>
        <v>0.23118401761790808</v>
      </c>
      <c r="X114" s="44">
        <f>'Ethylene Recycling LC'!W73-'Ethylene Recycling LC'!$C$73</f>
        <v>0.20089989091615457</v>
      </c>
      <c r="Y114" s="44">
        <f>'Ethylene Recycling LC'!X73-'Ethylene Recycling LC'!$C$73</f>
        <v>0.16838147417048677</v>
      </c>
      <c r="Z114" s="44">
        <f>'Ethylene Recycling LC'!Y73-'Ethylene Recycling LC'!$C$73</f>
        <v>0.15260751847136644</v>
      </c>
      <c r="AA114" s="44">
        <f>'Ethylene Recycling LC'!Z73-'Ethylene Recycling LC'!$C$73</f>
        <v>0.12924431484040855</v>
      </c>
      <c r="AB114" s="44">
        <f>'Ethylene Recycling LC'!AA73-'Ethylene Recycling LC'!$C$73</f>
        <v>9.8740220476490004E-2</v>
      </c>
      <c r="AC114" s="44">
        <f>'Ethylene Recycling LC'!AB73-'Ethylene Recycling LC'!$C$73</f>
        <v>6.1563760305869852E-2</v>
      </c>
      <c r="AD114" s="44">
        <f>'Ethylene Recycling LC'!AC73-'Ethylene Recycling LC'!$C$73</f>
        <v>1.8215020445710328E-2</v>
      </c>
      <c r="AE114" s="44">
        <f>'Ethylene Recycling LC'!AD73-'Ethylene Recycling LC'!$C$73</f>
        <v>-3.079906248883546E-2</v>
      </c>
      <c r="AF114" s="44">
        <f>'Ethylene Recycling LC'!AE73-'Ethylene Recycling LC'!$C$73</f>
        <v>-8.4952275555430834E-2</v>
      </c>
      <c r="AG114" s="44">
        <f>'Ethylene Recycling LC'!AF73-'Ethylene Recycling LC'!$C$73</f>
        <v>-0.14369932649377271</v>
      </c>
      <c r="AH114" s="44">
        <f>'Ethylene Recycling LC'!AG73-'Ethylene Recycling LC'!$C$73</f>
        <v>-0.20647606257855378</v>
      </c>
    </row>
    <row r="115" spans="1:36" s="68" customFormat="1" x14ac:dyDescent="0.2">
      <c r="A115" s="62"/>
      <c r="B115" s="62" t="s">
        <v>219</v>
      </c>
      <c r="C115" s="63" t="s">
        <v>153</v>
      </c>
      <c r="D115" s="64">
        <f>D112-D113-IF(D114&lt;0,0,D114)</f>
        <v>3.4336211538461541</v>
      </c>
      <c r="E115" s="64">
        <f t="shared" ref="E115:AG115" si="35">E112-E113-IF(E114&lt;0,0,E114)</f>
        <v>3.4039429073450349</v>
      </c>
      <c r="F115" s="64">
        <f t="shared" si="35"/>
        <v>3.3768760744900019</v>
      </c>
      <c r="G115" s="64">
        <f t="shared" si="35"/>
        <v>3.3527440851732484</v>
      </c>
      <c r="H115" s="64">
        <f t="shared" si="35"/>
        <v>3.3318354080309307</v>
      </c>
      <c r="I115" s="64">
        <f t="shared" si="35"/>
        <v>3.3143988199985892</v>
      </c>
      <c r="J115" s="64">
        <f t="shared" si="35"/>
        <v>3.3002703952275603</v>
      </c>
      <c r="K115" s="64">
        <f t="shared" si="35"/>
        <v>3.2874612810036066</v>
      </c>
      <c r="L115" s="64">
        <f t="shared" si="35"/>
        <v>3.2760511836491495</v>
      </c>
      <c r="M115" s="64">
        <f t="shared" si="35"/>
        <v>3.2661157039798039</v>
      </c>
      <c r="N115" s="64">
        <f t="shared" si="35"/>
        <v>3.2577258879622448</v>
      </c>
      <c r="O115" s="64">
        <f t="shared" si="35"/>
        <v>3.2395173569743867</v>
      </c>
      <c r="P115" s="64">
        <f t="shared" si="35"/>
        <v>3.2234407134561462</v>
      </c>
      <c r="Q115" s="64">
        <f t="shared" si="35"/>
        <v>3.2228617689397776</v>
      </c>
      <c r="R115" s="64">
        <f t="shared" si="35"/>
        <v>3.2312320318889167</v>
      </c>
      <c r="S115" s="64">
        <f t="shared" si="35"/>
        <v>3.2486062472838695</v>
      </c>
      <c r="T115" s="64">
        <f t="shared" si="35"/>
        <v>3.2690964960492988</v>
      </c>
      <c r="U115" s="64">
        <f t="shared" si="35"/>
        <v>3.2948044480814733</v>
      </c>
      <c r="V115" s="64">
        <f t="shared" si="35"/>
        <v>3.3255647341435681</v>
      </c>
      <c r="W115" s="64">
        <f t="shared" si="35"/>
        <v>3.3612012642059774</v>
      </c>
      <c r="X115" s="64">
        <f t="shared" si="35"/>
        <v>3.401527244487875</v>
      </c>
      <c r="Y115" s="64">
        <f t="shared" si="35"/>
        <v>3.4250950697699123</v>
      </c>
      <c r="Z115" s="64">
        <f t="shared" si="35"/>
        <v>3.4312131552080429</v>
      </c>
      <c r="AA115" s="64">
        <f t="shared" si="35"/>
        <v>3.4443353788566604</v>
      </c>
      <c r="AB115" s="64">
        <f t="shared" si="35"/>
        <v>3.4641377648203227</v>
      </c>
      <c r="AC115" s="64">
        <f t="shared" si="35"/>
        <v>3.4902803067957833</v>
      </c>
      <c r="AD115" s="64">
        <f t="shared" si="35"/>
        <v>3.5260419662394975</v>
      </c>
      <c r="AE115" s="64">
        <f t="shared" si="35"/>
        <v>3.5372578565235058</v>
      </c>
      <c r="AF115" s="64">
        <f t="shared" si="35"/>
        <v>3.5310359705162995</v>
      </c>
      <c r="AG115" s="64">
        <f t="shared" si="35"/>
        <v>3.5257856851390637</v>
      </c>
      <c r="AH115" s="64">
        <f>AH112-AH113-AH114</f>
        <v>3.7281823756180565</v>
      </c>
      <c r="AJ115" s="68" t="s">
        <v>384</v>
      </c>
    </row>
    <row r="116" spans="1:36" s="67" customFormat="1" x14ac:dyDescent="0.2">
      <c r="A116" s="687" t="s">
        <v>257</v>
      </c>
      <c r="B116" s="58" t="s">
        <v>258</v>
      </c>
      <c r="C116" s="59" t="s">
        <v>153</v>
      </c>
      <c r="D116" s="60">
        <f>D56-('Ethylene Recycling LC'!C74+'Ethylene Recycling LC'!C139-'Ethylene Recycling LC'!$C$74-'Ethylene Recycling LC'!$C$139)</f>
        <v>0</v>
      </c>
      <c r="E116" s="60">
        <f>E56-('Ethylene Recycling LC'!D74+'Ethylene Recycling LC'!D139-'Ethylene Recycling LC'!$C$74-'Ethylene Recycling LC'!$C$139)</f>
        <v>0</v>
      </c>
      <c r="F116" s="60">
        <f>F56-('Ethylene Recycling LC'!E74+'Ethylene Recycling LC'!E139-'Ethylene Recycling LC'!$C$74-'Ethylene Recycling LC'!$C$139)</f>
        <v>0</v>
      </c>
      <c r="G116" s="60">
        <f>G56-('Ethylene Recycling LC'!F74+'Ethylene Recycling LC'!F139-'Ethylene Recycling LC'!$C$74-'Ethylene Recycling LC'!$C$139)</f>
        <v>0</v>
      </c>
      <c r="H116" s="60">
        <f>H56-('Ethylene Recycling LC'!G74+'Ethylene Recycling LC'!G139-'Ethylene Recycling LC'!$C$74-'Ethylene Recycling LC'!$C$139)</f>
        <v>0</v>
      </c>
      <c r="I116" s="60">
        <f>I56-('Ethylene Recycling LC'!H74+'Ethylene Recycling LC'!H139-'Ethylene Recycling LC'!$C$74-'Ethylene Recycling LC'!$C$139)</f>
        <v>0</v>
      </c>
      <c r="J116" s="60">
        <f>J56-('Ethylene Recycling LC'!I74+'Ethylene Recycling LC'!I139-'Ethylene Recycling LC'!$C$74-'Ethylene Recycling LC'!$C$139)</f>
        <v>0</v>
      </c>
      <c r="K116" s="60">
        <f>K56-('Ethylene Recycling LC'!J74+'Ethylene Recycling LC'!J139-'Ethylene Recycling LC'!$C$74-'Ethylene Recycling LC'!$C$139)</f>
        <v>0</v>
      </c>
      <c r="L116" s="60">
        <f>L56-('Ethylene Recycling LC'!K74+'Ethylene Recycling LC'!K139-'Ethylene Recycling LC'!$C$74-'Ethylene Recycling LC'!$C$139)</f>
        <v>0</v>
      </c>
      <c r="M116" s="60">
        <f>M56-('Ethylene Recycling LC'!L74+'Ethylene Recycling LC'!L139-'Ethylene Recycling LC'!$C$74-'Ethylene Recycling LC'!$C$139)</f>
        <v>0</v>
      </c>
      <c r="N116" s="60">
        <f>N56-('Ethylene Recycling LC'!M74+'Ethylene Recycling LC'!M139-'Ethylene Recycling LC'!$C$74-'Ethylene Recycling LC'!$C$139)</f>
        <v>0</v>
      </c>
      <c r="O116" s="60">
        <f>O56-('Ethylene Recycling LC'!N74+'Ethylene Recycling LC'!N139-'Ethylene Recycling LC'!$C$74-'Ethylene Recycling LC'!$C$139)</f>
        <v>0</v>
      </c>
      <c r="P116" s="60">
        <f>P56-('Ethylene Recycling LC'!O74+'Ethylene Recycling LC'!O139-'Ethylene Recycling LC'!$C$74-'Ethylene Recycling LC'!$C$139)</f>
        <v>0</v>
      </c>
      <c r="Q116" s="60">
        <f>Q56-('Ethylene Recycling LC'!P74+'Ethylene Recycling LC'!P139-'Ethylene Recycling LC'!$C$74-'Ethylene Recycling LC'!$C$139)</f>
        <v>0</v>
      </c>
      <c r="R116" s="60">
        <f>R56-('Ethylene Recycling LC'!Q74+'Ethylene Recycling LC'!Q139-'Ethylene Recycling LC'!$C$74-'Ethylene Recycling LC'!$C$139)</f>
        <v>0</v>
      </c>
      <c r="S116" s="60">
        <f>S56-('Ethylene Recycling LC'!R74+'Ethylene Recycling LC'!R139-'Ethylene Recycling LC'!$C$74-'Ethylene Recycling LC'!$C$139)</f>
        <v>0</v>
      </c>
      <c r="T116" s="60">
        <f>T56-('Ethylene Recycling LC'!S74+'Ethylene Recycling LC'!S139-'Ethylene Recycling LC'!$C$74-'Ethylene Recycling LC'!$C$139)</f>
        <v>0</v>
      </c>
      <c r="U116" s="60">
        <f>U56-('Ethylene Recycling LC'!T74+'Ethylene Recycling LC'!T139-'Ethylene Recycling LC'!$C$74-'Ethylene Recycling LC'!$C$139)</f>
        <v>0</v>
      </c>
      <c r="V116" s="60">
        <f>V56-('Ethylene Recycling LC'!U74+'Ethylene Recycling LC'!U139-'Ethylene Recycling LC'!$C$74-'Ethylene Recycling LC'!$C$139)</f>
        <v>0</v>
      </c>
      <c r="W116" s="60">
        <f>W56-('Ethylene Recycling LC'!V74+'Ethylene Recycling LC'!V139-'Ethylene Recycling LC'!$C$74-'Ethylene Recycling LC'!$C$139)</f>
        <v>0</v>
      </c>
      <c r="X116" s="60">
        <f>X56-('Ethylene Recycling LC'!W74+'Ethylene Recycling LC'!W139-'Ethylene Recycling LC'!$C$74-'Ethylene Recycling LC'!$C$139)</f>
        <v>0</v>
      </c>
      <c r="Y116" s="60">
        <f>Y56-('Ethylene Recycling LC'!X74+'Ethylene Recycling LC'!X139-'Ethylene Recycling LC'!$C$74-'Ethylene Recycling LC'!$C$139)</f>
        <v>0</v>
      </c>
      <c r="Z116" s="60">
        <f>Z56-('Ethylene Recycling LC'!Y74+'Ethylene Recycling LC'!Y139-'Ethylene Recycling LC'!$C$74-'Ethylene Recycling LC'!$C$139)</f>
        <v>0</v>
      </c>
      <c r="AA116" s="60">
        <f>AA56-('Ethylene Recycling LC'!Z74+'Ethylene Recycling LC'!Z139-'Ethylene Recycling LC'!$C$74-'Ethylene Recycling LC'!$C$139)</f>
        <v>0</v>
      </c>
      <c r="AB116" s="60">
        <f>AB56-('Ethylene Recycling LC'!AA74+'Ethylene Recycling LC'!AA139-'Ethylene Recycling LC'!$C$74-'Ethylene Recycling LC'!$C$139)</f>
        <v>0</v>
      </c>
      <c r="AC116" s="60">
        <f>AC56-('Ethylene Recycling LC'!AB74+'Ethylene Recycling LC'!AB139-'Ethylene Recycling LC'!$C$74-'Ethylene Recycling LC'!$C$139)</f>
        <v>0</v>
      </c>
      <c r="AD116" s="60">
        <f>AD56-('Ethylene Recycling LC'!AC74+'Ethylene Recycling LC'!AC139-'Ethylene Recycling LC'!$C$74-'Ethylene Recycling LC'!$C$139)</f>
        <v>0</v>
      </c>
      <c r="AE116" s="60">
        <f>AE56-('Ethylene Recycling LC'!AD74+'Ethylene Recycling LC'!AD139-'Ethylene Recycling LC'!$C$74-'Ethylene Recycling LC'!$C$139)</f>
        <v>0</v>
      </c>
      <c r="AF116" s="60">
        <f>AF56-('Ethylene Recycling LC'!AE74+'Ethylene Recycling LC'!AE139-'Ethylene Recycling LC'!$C$74-'Ethylene Recycling LC'!$C$139)</f>
        <v>0</v>
      </c>
      <c r="AG116" s="60">
        <f>AG56-('Ethylene Recycling LC'!AF74+'Ethylene Recycling LC'!AF139-'Ethylene Recycling LC'!$C$74-'Ethylene Recycling LC'!$C$139)</f>
        <v>0</v>
      </c>
      <c r="AH116" s="60">
        <f>AH56-('Ethylene Recycling LC'!AG74+'Ethylene Recycling LC'!AG139-'Ethylene Recycling LC'!$C$74-'Ethylene Recycling LC'!$C$139)</f>
        <v>0</v>
      </c>
      <c r="AI116" s="60"/>
    </row>
    <row r="117" spans="1:36" x14ac:dyDescent="0.2">
      <c r="A117" s="688"/>
      <c r="B117" s="1" t="s">
        <v>260</v>
      </c>
      <c r="C117" s="54" t="s">
        <v>153</v>
      </c>
      <c r="D117" s="44">
        <f>D57+(D121-D61)</f>
        <v>3.4336211538461541</v>
      </c>
      <c r="E117" s="44">
        <f t="shared" ref="E117:AH117" si="36">E57+(E121-E61)</f>
        <v>3.4050680031128291</v>
      </c>
      <c r="F117" s="44">
        <f t="shared" si="36"/>
        <v>3.3792458642623364</v>
      </c>
      <c r="G117" s="44">
        <f t="shared" si="36"/>
        <v>3.3564774679448348</v>
      </c>
      <c r="H117" s="44">
        <f t="shared" si="36"/>
        <v>3.337049040683695</v>
      </c>
      <c r="I117" s="44">
        <f t="shared" si="36"/>
        <v>3.3212055140042747</v>
      </c>
      <c r="J117" s="44">
        <f t="shared" si="36"/>
        <v>3.3084065220441712</v>
      </c>
      <c r="K117" s="44">
        <f t="shared" si="36"/>
        <v>3.2969512038918403</v>
      </c>
      <c r="L117" s="44">
        <f t="shared" si="36"/>
        <v>3.2869104588517875</v>
      </c>
      <c r="M117" s="44">
        <f t="shared" si="36"/>
        <v>3.278350394900106</v>
      </c>
      <c r="N117" s="44">
        <f t="shared" si="36"/>
        <v>3.2713318848522559</v>
      </c>
      <c r="O117" s="44">
        <f t="shared" si="36"/>
        <v>3.2550752784072419</v>
      </c>
      <c r="P117" s="44">
        <f t="shared" si="36"/>
        <v>3.2409351050464457</v>
      </c>
      <c r="Q117" s="44">
        <f t="shared" si="36"/>
        <v>3.2422491430817271</v>
      </c>
      <c r="R117" s="44">
        <f t="shared" si="36"/>
        <v>3.2524400435888694</v>
      </c>
      <c r="S117" s="44">
        <f t="shared" si="36"/>
        <v>3.2715332796089625</v>
      </c>
      <c r="T117" s="44">
        <f t="shared" si="36"/>
        <v>3.2940626289958712</v>
      </c>
      <c r="U117" s="44">
        <f t="shared" si="36"/>
        <v>3.3217939385111066</v>
      </c>
      <c r="V117" s="44">
        <f t="shared" si="36"/>
        <v>3.35454790942517</v>
      </c>
      <c r="W117" s="44">
        <f t="shared" si="36"/>
        <v>3.3921339997127999</v>
      </c>
      <c r="X117" s="44">
        <f t="shared" si="36"/>
        <v>3.4343504427415983</v>
      </c>
      <c r="Y117" s="44">
        <f t="shared" si="36"/>
        <v>3.4607142864918874</v>
      </c>
      <c r="Z117" s="44">
        <f t="shared" si="36"/>
        <v>3.469551397350898</v>
      </c>
      <c r="AA117" s="44">
        <f t="shared" si="36"/>
        <v>3.4852903462136418</v>
      </c>
      <c r="AB117" s="44">
        <f t="shared" si="36"/>
        <v>3.5075809848228623</v>
      </c>
      <c r="AC117" s="44">
        <f t="shared" si="36"/>
        <v>3.536056272544509</v>
      </c>
      <c r="AD117" s="44">
        <f t="shared" si="36"/>
        <v>3.5734462134935256</v>
      </c>
      <c r="AE117" s="44">
        <f t="shared" si="36"/>
        <v>3.5859852092131943</v>
      </c>
      <c r="AF117" s="44">
        <f t="shared" si="36"/>
        <v>3.5807446746031131</v>
      </c>
      <c r="AG117" s="44">
        <f t="shared" si="36"/>
        <v>3.5760963825220808</v>
      </c>
      <c r="AH117" s="44">
        <f t="shared" si="36"/>
        <v>3.572201022156376</v>
      </c>
      <c r="AI117" s="44"/>
    </row>
    <row r="118" spans="1:36" x14ac:dyDescent="0.2">
      <c r="A118" s="688"/>
      <c r="B118" s="1" t="s">
        <v>262</v>
      </c>
      <c r="C118" s="54" t="s">
        <v>153</v>
      </c>
      <c r="D118" s="44">
        <f>D58+(D120-D60)</f>
        <v>0</v>
      </c>
      <c r="E118" s="44">
        <f t="shared" ref="E118:AH118" si="37">E58+(E120-E60)</f>
        <v>0</v>
      </c>
      <c r="F118" s="44">
        <f t="shared" si="37"/>
        <v>0</v>
      </c>
      <c r="G118" s="44">
        <f t="shared" si="37"/>
        <v>0</v>
      </c>
      <c r="H118" s="44">
        <f t="shared" si="37"/>
        <v>0</v>
      </c>
      <c r="I118" s="44">
        <f t="shared" si="37"/>
        <v>0</v>
      </c>
      <c r="J118" s="44">
        <f t="shared" si="37"/>
        <v>0</v>
      </c>
      <c r="K118" s="44">
        <f t="shared" si="37"/>
        <v>0</v>
      </c>
      <c r="L118" s="44">
        <f t="shared" si="37"/>
        <v>0</v>
      </c>
      <c r="M118" s="44">
        <f t="shared" si="37"/>
        <v>0</v>
      </c>
      <c r="N118" s="44">
        <f t="shared" si="37"/>
        <v>0</v>
      </c>
      <c r="O118" s="44">
        <f t="shared" si="37"/>
        <v>0</v>
      </c>
      <c r="P118" s="44">
        <f t="shared" si="37"/>
        <v>0</v>
      </c>
      <c r="Q118" s="44">
        <f t="shared" si="37"/>
        <v>0</v>
      </c>
      <c r="R118" s="44">
        <f t="shared" si="37"/>
        <v>0</v>
      </c>
      <c r="S118" s="44">
        <f t="shared" si="37"/>
        <v>0</v>
      </c>
      <c r="T118" s="44">
        <f t="shared" si="37"/>
        <v>0</v>
      </c>
      <c r="U118" s="44">
        <f t="shared" si="37"/>
        <v>0</v>
      </c>
      <c r="V118" s="44">
        <f t="shared" si="37"/>
        <v>0</v>
      </c>
      <c r="W118" s="44">
        <f t="shared" si="37"/>
        <v>0</v>
      </c>
      <c r="X118" s="44">
        <f t="shared" si="37"/>
        <v>0</v>
      </c>
      <c r="Y118" s="44">
        <f t="shared" si="37"/>
        <v>0</v>
      </c>
      <c r="Z118" s="44">
        <f t="shared" si="37"/>
        <v>0</v>
      </c>
      <c r="AA118" s="44">
        <f t="shared" si="37"/>
        <v>0</v>
      </c>
      <c r="AB118" s="44">
        <f t="shared" si="37"/>
        <v>0</v>
      </c>
      <c r="AC118" s="44">
        <f t="shared" si="37"/>
        <v>0</v>
      </c>
      <c r="AD118" s="44">
        <f t="shared" si="37"/>
        <v>0</v>
      </c>
      <c r="AE118" s="44">
        <f t="shared" si="37"/>
        <v>0</v>
      </c>
      <c r="AF118" s="44">
        <f t="shared" si="37"/>
        <v>0</v>
      </c>
      <c r="AG118" s="44">
        <f t="shared" si="37"/>
        <v>0</v>
      </c>
      <c r="AH118" s="44">
        <f t="shared" si="37"/>
        <v>0</v>
      </c>
      <c r="AI118" s="44"/>
    </row>
    <row r="119" spans="1:36" x14ac:dyDescent="0.2">
      <c r="A119" s="689"/>
      <c r="B119" s="1" t="s">
        <v>248</v>
      </c>
      <c r="C119" s="54" t="s">
        <v>153</v>
      </c>
      <c r="D119" s="44">
        <f>D59-('Ethylene Recycling LC'!C75+'Ethylene Recycling LC'!C78-'Ethylene Recycling LC'!$C$75-'Ethylene Recycling LC'!$C$78+'Ethylene Recycling LC'!C140+'Ethylene Recycling LC'!C143-'Ethylene Recycling LC'!$C$140-'Ethylene Recycling LC'!$C$143)</f>
        <v>0</v>
      </c>
      <c r="E119" s="44">
        <f>E59-('Ethylene Recycling LC'!D75+'Ethylene Recycling LC'!D78-'Ethylene Recycling LC'!$C$75-'Ethylene Recycling LC'!$C$78+'Ethylene Recycling LC'!D140+'Ethylene Recycling LC'!D143-'Ethylene Recycling LC'!$C$140-'Ethylene Recycling LC'!$C$143)</f>
        <v>-1.1664286122821778E-3</v>
      </c>
      <c r="F119" s="44">
        <f>F59-('Ethylene Recycling LC'!E75+'Ethylene Recycling LC'!E78-'Ethylene Recycling LC'!$C$75-'Ethylene Recycling LC'!$C$78+'Ethylene Recycling LC'!E140+'Ethylene Recycling LC'!E143-'Ethylene Recycling LC'!$C$140-'Ethylene Recycling LC'!$C$143)</f>
        <v>-2.4548149054707934E-3</v>
      </c>
      <c r="G119" s="44">
        <f>G59-('Ethylene Recycling LC'!F75+'Ethylene Recycling LC'!F78-'Ethylene Recycling LC'!$C$75-'Ethylene Recycling LC'!$C$78+'Ethylene Recycling LC'!F140+'Ethylene Recycling LC'!F143-'Ethylene Recycling LC'!$C$140-'Ethylene Recycling LC'!$C$143)</f>
        <v>-3.8640047802240224E-3</v>
      </c>
      <c r="H119" s="44">
        <f>H59-('Ethylene Recycling LC'!G75+'Ethylene Recycling LC'!G78-'Ethylene Recycling LC'!$C$75-'Ethylene Recycling LC'!$C$78+'Ethylene Recycling LC'!G140+'Ethylene Recycling LC'!G143-'Ethylene Recycling LC'!$C$140-'Ethylene Recycling LC'!$C$143)</f>
        <v>-5.3912595756148594E-3</v>
      </c>
      <c r="I119" s="44">
        <f>I59-('Ethylene Recycling LC'!H75+'Ethylene Recycling LC'!H78-'Ethylene Recycling LC'!$C$75-'Ethylene Recycling LC'!$C$78+'Ethylene Recycling LC'!H140+'Ethylene Recycling LC'!H143-'Ethylene Recycling LC'!$C$140-'Ethylene Recycling LC'!$C$143)</f>
        <v>-7.0322038641752972E-3</v>
      </c>
      <c r="J119" s="44">
        <f>J59-('Ethylene Recycling LC'!I75+'Ethylene Recycling LC'!I78-'Ethylene Recycling LC'!$C$75-'Ethylene Recycling LC'!$C$78+'Ethylene Recycling LC'!I140+'Ethylene Recycling LC'!I143-'Ethylene Recycling LC'!$C$140-'Ethylene Recycling LC'!$C$143)</f>
        <v>-8.4104337604007096E-3</v>
      </c>
      <c r="K119" s="44">
        <f>K59-('Ethylene Recycling LC'!J75+'Ethylene Recycling LC'!J78-'Ethylene Recycling LC'!$C$75-'Ethylene Recycling LC'!$C$78+'Ethylene Recycling LC'!J140+'Ethylene Recycling LC'!J143-'Ethylene Recycling LC'!$C$140-'Ethylene Recycling LC'!$C$143)</f>
        <v>-9.8136861707371348E-3</v>
      </c>
      <c r="L119" s="44">
        <f>L59-('Ethylene Recycling LC'!K75+'Ethylene Recycling LC'!K78-'Ethylene Recycling LC'!$C$75-'Ethylene Recycling LC'!$C$78+'Ethylene Recycling LC'!K140+'Ethylene Recycling LC'!K143-'Ethylene Recycling LC'!$C$140-'Ethylene Recycling LC'!$C$143)</f>
        <v>-1.1232891472984917E-2</v>
      </c>
      <c r="M119" s="44">
        <f>M59-('Ethylene Recycling LC'!L75+'Ethylene Recycling LC'!L78-'Ethylene Recycling LC'!$C$75-'Ethylene Recycling LC'!$C$78+'Ethylene Recycling LC'!L140+'Ethylene Recycling LC'!L143-'Ethylene Recycling LC'!$C$140-'Ethylene Recycling LC'!$C$143)</f>
        <v>-1.2658287788930377E-2</v>
      </c>
      <c r="N119" s="44">
        <f>N59-('Ethylene Recycling LC'!M75+'Ethylene Recycling LC'!M78-'Ethylene Recycling LC'!$C$75-'Ethylene Recycling LC'!$C$78+'Ethylene Recycling LC'!M140+'Ethylene Recycling LC'!M143-'Ethylene Recycling LC'!$C$140-'Ethylene Recycling LC'!$C$143)</f>
        <v>-1.4079427838005615E-2</v>
      </c>
      <c r="O119" s="44">
        <f>O59-('Ethylene Recycling LC'!N75+'Ethylene Recycling LC'!N78-'Ethylene Recycling LC'!$C$75-'Ethylene Recycling LC'!$C$78+'Ethylene Recycling LC'!N140+'Ethylene Recycling LC'!N143-'Ethylene Recycling LC'!$C$140-'Ethylene Recycling LC'!$C$143)</f>
        <v>-1.6090584144599213E-2</v>
      </c>
      <c r="P119" s="44">
        <f>P59-('Ethylene Recycling LC'!O75+'Ethylene Recycling LC'!O78-'Ethylene Recycling LC'!$C$75-'Ethylene Recycling LC'!$C$78+'Ethylene Recycling LC'!O140+'Ethylene Recycling LC'!O143-'Ethylene Recycling LC'!$C$140-'Ethylene Recycling LC'!$C$143)</f>
        <v>-1.8087482291689428E-2</v>
      </c>
      <c r="Q119" s="44">
        <f>Q59-('Ethylene Recycling LC'!P75+'Ethylene Recycling LC'!P78-'Ethylene Recycling LC'!$C$75-'Ethylene Recycling LC'!$C$78+'Ethylene Recycling LC'!P140+'Ethylene Recycling LC'!P143-'Ethylene Recycling LC'!$C$140-'Ethylene Recycling LC'!$C$143)</f>
        <v>-2.0036151844928844E-2</v>
      </c>
      <c r="R119" s="44">
        <f>R59-('Ethylene Recycling LC'!Q75+'Ethylene Recycling LC'!Q78-'Ethylene Recycling LC'!$C$75-'Ethylene Recycling LC'!$C$78+'Ethylene Recycling LC'!Q140+'Ethylene Recycling LC'!Q143-'Ethylene Recycling LC'!$C$140-'Ethylene Recycling LC'!$C$143)</f>
        <v>-2.1909302829769058E-2</v>
      </c>
      <c r="S119" s="44">
        <f>S59-('Ethylene Recycling LC'!R75+'Ethylene Recycling LC'!R78-'Ethylene Recycling LC'!$C$75-'Ethylene Recycling LC'!$C$78+'Ethylene Recycling LC'!R140+'Ethylene Recycling LC'!R143-'Ethylene Recycling LC'!$C$140-'Ethylene Recycling LC'!$C$143)</f>
        <v>-2.3676835965300368E-2</v>
      </c>
      <c r="T119" s="44">
        <f>T59-('Ethylene Recycling LC'!S75+'Ethylene Recycling LC'!S78-'Ethylene Recycling LC'!$C$75-'Ethylene Recycling LC'!$C$78+'Ethylene Recycling LC'!S140+'Ethylene Recycling LC'!S143-'Ethylene Recycling LC'!$C$140-'Ethylene Recycling LC'!$C$143)</f>
        <v>-2.5761116156104973E-2</v>
      </c>
      <c r="U119" s="44">
        <f>U59-('Ethylene Recycling LC'!T75+'Ethylene Recycling LC'!T78-'Ethylene Recycling LC'!$C$75-'Ethylene Recycling LC'!$C$78+'Ethylene Recycling LC'!T140+'Ethylene Recycling LC'!T143-'Ethylene Recycling LC'!$C$140-'Ethylene Recycling LC'!$C$143)</f>
        <v>-2.7825856131980239E-2</v>
      </c>
      <c r="V119" s="44">
        <f>V59-('Ethylene Recycling LC'!U75+'Ethylene Recycling LC'!U78-'Ethylene Recycling LC'!$C$75-'Ethylene Recycling LC'!$C$78+'Ethylene Recycling LC'!U140+'Ethylene Recycling LC'!U143-'Ethylene Recycling LC'!$C$140-'Ethylene Recycling LC'!$C$143)</f>
        <v>-2.9856698700674974E-2</v>
      </c>
      <c r="W119" s="44">
        <f>W59-('Ethylene Recycling LC'!V75+'Ethylene Recycling LC'!V78-'Ethylene Recycling LC'!$C$75-'Ethylene Recycling LC'!$C$78+'Ethylene Recycling LC'!V140+'Ethylene Recycling LC'!V143-'Ethylene Recycling LC'!$C$140-'Ethylene Recycling LC'!$C$143)</f>
        <v>-3.1838802765877201E-2</v>
      </c>
      <c r="X119" s="44">
        <f>X59-('Ethylene Recycling LC'!W75+'Ethylene Recycling LC'!W78-'Ethylene Recycling LC'!$C$75-'Ethylene Recycling LC'!$C$78+'Ethylene Recycling LC'!W140+'Ethylene Recycling LC'!W143-'Ethylene Recycling LC'!$C$140-'Ethylene Recycling LC'!$C$143)</f>
        <v>-3.3756847116867966E-2</v>
      </c>
      <c r="Y119" s="44">
        <f>Y59-('Ethylene Recycling LC'!X75+'Ethylene Recycling LC'!X78-'Ethylene Recycling LC'!$C$75-'Ethylene Recycling LC'!$C$78+'Ethylene Recycling LC'!X140+'Ethylene Recycling LC'!X143-'Ethylene Recycling LC'!$C$140-'Ethylene Recycling LC'!$C$143)</f>
        <v>-3.6576879022282495E-2</v>
      </c>
      <c r="Z119" s="44">
        <f>Z59-('Ethylene Recycling LC'!Y75+'Ethylene Recycling LC'!Y78-'Ethylene Recycling LC'!$C$75-'Ethylene Recycling LC'!$C$78+'Ethylene Recycling LC'!Y140+'Ethylene Recycling LC'!Y143-'Ethylene Recycling LC'!$C$140-'Ethylene Recycling LC'!$C$143)</f>
        <v>-3.9329987552855633E-2</v>
      </c>
      <c r="AA119" s="44">
        <f>AA59-('Ethylene Recycling LC'!Z75+'Ethylene Recycling LC'!Z78-'Ethylene Recycling LC'!$C$75-'Ethylene Recycling LC'!$C$78+'Ethylene Recycling LC'!Z140+'Ethylene Recycling LC'!Z143-'Ethylene Recycling LC'!$C$140-'Ethylene Recycling LC'!$C$143)</f>
        <v>-4.1973954191667315E-2</v>
      </c>
      <c r="AB119" s="44">
        <f>AB59-('Ethylene Recycling LC'!AA75+'Ethylene Recycling LC'!AA78-'Ethylene Recycling LC'!$C$75-'Ethylene Recycling LC'!$C$78+'Ethylene Recycling LC'!AA140+'Ethylene Recycling LC'!AA143-'Ethylene Recycling LC'!$C$140-'Ethylene Recycling LC'!$C$143)</f>
        <v>-4.4482207988659157E-2</v>
      </c>
      <c r="AC119" s="44">
        <f>AC59-('Ethylene Recycling LC'!AB75+'Ethylene Recycling LC'!AB78-'Ethylene Recycling LC'!$C$75-'Ethylene Recycling LC'!$C$78+'Ethylene Recycling LC'!AB140+'Ethylene Recycling LC'!AB143-'Ethylene Recycling LC'!$C$140-'Ethylene Recycling LC'!$C$143)</f>
        <v>-4.6827392296294963E-2</v>
      </c>
      <c r="AD119" s="44">
        <f>AD59-('Ethylene Recycling LC'!AC75+'Ethylene Recycling LC'!AC78-'Ethylene Recycling LC'!$C$75-'Ethylene Recycling LC'!$C$78+'Ethylene Recycling LC'!AC140+'Ethylene Recycling LC'!AC143-'Ethylene Recycling LC'!$C$140-'Ethylene Recycling LC'!$C$143)</f>
        <v>-4.8460316908880023E-2</v>
      </c>
      <c r="AE119" s="44">
        <f>AE59-('Ethylene Recycling LC'!AD75+'Ethylene Recycling LC'!AD78-'Ethylene Recycling LC'!$C$75-'Ethylene Recycling LC'!$C$78+'Ethylene Recycling LC'!AD140+'Ethylene Recycling LC'!AD143-'Ethylene Recycling LC'!$C$140-'Ethylene Recycling LC'!$C$143)</f>
        <v>-4.978010967662392E-2</v>
      </c>
      <c r="AF119" s="44">
        <f>AF59-('Ethylene Recycling LC'!AE75+'Ethylene Recycling LC'!AE78-'Ethylene Recycling LC'!$C$75-'Ethylene Recycling LC'!$C$78+'Ethylene Recycling LC'!AE140+'Ethylene Recycling LC'!AE143-'Ethylene Recycling LC'!$C$140-'Ethylene Recycling LC'!$C$143)</f>
        <v>-5.0750117539403262E-2</v>
      </c>
      <c r="AG119" s="44">
        <f>AG59-('Ethylene Recycling LC'!AF75+'Ethylene Recycling LC'!AF78-'Ethylene Recycling LC'!$C$75-'Ethylene Recycling LC'!$C$78+'Ethylene Recycling LC'!AF140+'Ethylene Recycling LC'!AF143-'Ethylene Recycling LC'!$C$140-'Ethylene Recycling LC'!$C$143)</f>
        <v>-5.1332749583213627E-2</v>
      </c>
      <c r="AH119" s="44">
        <f>AH59-('Ethylene Recycling LC'!AG75+'Ethylene Recycling LC'!AG78-'Ethylene Recycling LC'!$C$75-'Ethylene Recycling LC'!$C$78+'Ethylene Recycling LC'!AG140+'Ethylene Recycling LC'!AG143-'Ethylene Recycling LC'!$C$140-'Ethylene Recycling LC'!$C$143)</f>
        <v>-5.1489486683447716E-2</v>
      </c>
      <c r="AI119" s="44"/>
    </row>
    <row r="120" spans="1:36" s="67" customFormat="1" x14ac:dyDescent="0.2">
      <c r="A120" s="690" t="s">
        <v>263</v>
      </c>
      <c r="B120" s="58" t="s">
        <v>264</v>
      </c>
      <c r="C120" s="59" t="s">
        <v>153</v>
      </c>
      <c r="D120" s="60">
        <f>D60-('Ethylene Recycling LC'!C76+'Ethylene Recycling LC'!C141-'Ethylene Recycling LC'!$C$76-'Ethylene Recycling LC'!$C$141)</f>
        <v>0</v>
      </c>
      <c r="E120" s="60">
        <f>E60-('Ethylene Recycling LC'!D76+'Ethylene Recycling LC'!D141-'Ethylene Recycling LC'!$C$76-'Ethylene Recycling LC'!$C$141)</f>
        <v>0</v>
      </c>
      <c r="F120" s="60">
        <f>F60-('Ethylene Recycling LC'!E76+'Ethylene Recycling LC'!E141-'Ethylene Recycling LC'!$C$76-'Ethylene Recycling LC'!$C$141)</f>
        <v>0</v>
      </c>
      <c r="G120" s="60">
        <f>G60-('Ethylene Recycling LC'!F76+'Ethylene Recycling LC'!F141-'Ethylene Recycling LC'!$C$76-'Ethylene Recycling LC'!$C$141)</f>
        <v>0</v>
      </c>
      <c r="H120" s="60">
        <f>H60-('Ethylene Recycling LC'!G76+'Ethylene Recycling LC'!G141-'Ethylene Recycling LC'!$C$76-'Ethylene Recycling LC'!$C$141)</f>
        <v>0</v>
      </c>
      <c r="I120" s="60">
        <f>I60-('Ethylene Recycling LC'!H76+'Ethylene Recycling LC'!H141-'Ethylene Recycling LC'!$C$76-'Ethylene Recycling LC'!$C$141)</f>
        <v>0</v>
      </c>
      <c r="J120" s="60">
        <f>J60-('Ethylene Recycling LC'!I76+'Ethylene Recycling LC'!I141-'Ethylene Recycling LC'!$C$76-'Ethylene Recycling LC'!$C$141)</f>
        <v>0</v>
      </c>
      <c r="K120" s="60">
        <f>K60-('Ethylene Recycling LC'!J76+'Ethylene Recycling LC'!J141-'Ethylene Recycling LC'!$C$76-'Ethylene Recycling LC'!$C$141)</f>
        <v>0</v>
      </c>
      <c r="L120" s="60">
        <f>L60-('Ethylene Recycling LC'!K76+'Ethylene Recycling LC'!K141-'Ethylene Recycling LC'!$C$76-'Ethylene Recycling LC'!$C$141)</f>
        <v>0</v>
      </c>
      <c r="M120" s="60">
        <f>M60-('Ethylene Recycling LC'!L76+'Ethylene Recycling LC'!L141-'Ethylene Recycling LC'!$C$76-'Ethylene Recycling LC'!$C$141)</f>
        <v>0</v>
      </c>
      <c r="N120" s="60">
        <f>N60-('Ethylene Recycling LC'!M76+'Ethylene Recycling LC'!M141-'Ethylene Recycling LC'!$C$76-'Ethylene Recycling LC'!$C$141)</f>
        <v>0</v>
      </c>
      <c r="O120" s="60">
        <f>O60-('Ethylene Recycling LC'!N76+'Ethylene Recycling LC'!N141-'Ethylene Recycling LC'!$C$76-'Ethylene Recycling LC'!$C$141)</f>
        <v>0</v>
      </c>
      <c r="P120" s="60">
        <f>P60-('Ethylene Recycling LC'!O76+'Ethylene Recycling LC'!O141-'Ethylene Recycling LC'!$C$76-'Ethylene Recycling LC'!$C$141)</f>
        <v>0</v>
      </c>
      <c r="Q120" s="60">
        <f>Q60-('Ethylene Recycling LC'!P76+'Ethylene Recycling LC'!P141-'Ethylene Recycling LC'!$C$76-'Ethylene Recycling LC'!$C$141)</f>
        <v>0</v>
      </c>
      <c r="R120" s="60">
        <f>R60-('Ethylene Recycling LC'!Q76+'Ethylene Recycling LC'!Q141-'Ethylene Recycling LC'!$C$76-'Ethylene Recycling LC'!$C$141)</f>
        <v>0</v>
      </c>
      <c r="S120" s="60">
        <f>S60-('Ethylene Recycling LC'!R76+'Ethylene Recycling LC'!R141-'Ethylene Recycling LC'!$C$76-'Ethylene Recycling LC'!$C$141)</f>
        <v>0</v>
      </c>
      <c r="T120" s="60">
        <f>T60-('Ethylene Recycling LC'!S76+'Ethylene Recycling LC'!S141-'Ethylene Recycling LC'!$C$76-'Ethylene Recycling LC'!$C$141)</f>
        <v>0</v>
      </c>
      <c r="U120" s="60">
        <f>U60-('Ethylene Recycling LC'!T76+'Ethylene Recycling LC'!T141-'Ethylene Recycling LC'!$C$76-'Ethylene Recycling LC'!$C$141)</f>
        <v>0</v>
      </c>
      <c r="V120" s="60">
        <f>V60-('Ethylene Recycling LC'!U76+'Ethylene Recycling LC'!U141-'Ethylene Recycling LC'!$C$76-'Ethylene Recycling LC'!$C$141)</f>
        <v>0</v>
      </c>
      <c r="W120" s="60">
        <f>W60-('Ethylene Recycling LC'!V76+'Ethylene Recycling LC'!V141-'Ethylene Recycling LC'!$C$76-'Ethylene Recycling LC'!$C$141)</f>
        <v>0</v>
      </c>
      <c r="X120" s="60">
        <f>X60-('Ethylene Recycling LC'!W76+'Ethylene Recycling LC'!W141-'Ethylene Recycling LC'!$C$76-'Ethylene Recycling LC'!$C$141)</f>
        <v>0</v>
      </c>
      <c r="Y120" s="60">
        <f>Y60-('Ethylene Recycling LC'!X76+'Ethylene Recycling LC'!X141-'Ethylene Recycling LC'!$C$76-'Ethylene Recycling LC'!$C$141)</f>
        <v>0</v>
      </c>
      <c r="Z120" s="60">
        <f>Z60-('Ethylene Recycling LC'!Y76+'Ethylene Recycling LC'!Y141-'Ethylene Recycling LC'!$C$76-'Ethylene Recycling LC'!$C$141)</f>
        <v>0</v>
      </c>
      <c r="AA120" s="60">
        <f>AA60-('Ethylene Recycling LC'!Z76+'Ethylene Recycling LC'!Z141-'Ethylene Recycling LC'!$C$76-'Ethylene Recycling LC'!$C$141)</f>
        <v>0</v>
      </c>
      <c r="AB120" s="60">
        <f>AB60-('Ethylene Recycling LC'!AA76+'Ethylene Recycling LC'!AA141-'Ethylene Recycling LC'!$C$76-'Ethylene Recycling LC'!$C$141)</f>
        <v>0</v>
      </c>
      <c r="AC120" s="60">
        <f>AC60-('Ethylene Recycling LC'!AB76+'Ethylene Recycling LC'!AB141-'Ethylene Recycling LC'!$C$76-'Ethylene Recycling LC'!$C$141)</f>
        <v>0</v>
      </c>
      <c r="AD120" s="60">
        <f>AD60-('Ethylene Recycling LC'!AC76+'Ethylene Recycling LC'!AC141-'Ethylene Recycling LC'!$C$76-'Ethylene Recycling LC'!$C$141)</f>
        <v>0</v>
      </c>
      <c r="AE120" s="60">
        <f>AE60-('Ethylene Recycling LC'!AD76+'Ethylene Recycling LC'!AD141-'Ethylene Recycling LC'!$C$76-'Ethylene Recycling LC'!$C$141)</f>
        <v>0</v>
      </c>
      <c r="AF120" s="60">
        <f>AF60-('Ethylene Recycling LC'!AE76+'Ethylene Recycling LC'!AE141-'Ethylene Recycling LC'!$C$76-'Ethylene Recycling LC'!$C$141)</f>
        <v>0</v>
      </c>
      <c r="AG120" s="60">
        <f>AG60-('Ethylene Recycling LC'!AF76+'Ethylene Recycling LC'!AF141-'Ethylene Recycling LC'!$C$76-'Ethylene Recycling LC'!$C$141)</f>
        <v>0</v>
      </c>
      <c r="AH120" s="60">
        <f>AH60-('Ethylene Recycling LC'!AG76+'Ethylene Recycling LC'!AG141-'Ethylene Recycling LC'!$C$76-'Ethylene Recycling LC'!$C$141)</f>
        <v>0</v>
      </c>
      <c r="AI120" s="60"/>
    </row>
    <row r="121" spans="1:36" s="68" customFormat="1" x14ac:dyDescent="0.2">
      <c r="A121" s="691"/>
      <c r="B121" s="62" t="s">
        <v>266</v>
      </c>
      <c r="C121" s="283" t="s">
        <v>153</v>
      </c>
      <c r="D121" s="284">
        <f>D61-('Ethylene Recycling LC'!C142-'Ethylene Recycling LC'!$C$142)-IF('Ethylene Recycling LC'!C77-'Ethylene Recycling LC'!$C$77&lt;0,0,'Ethylene Recycling LC'!C77-'Ethylene Recycling LC'!$C$77)</f>
        <v>3.4336211538461541</v>
      </c>
      <c r="E121" s="284">
        <f>E61-('Ethylene Recycling LC'!D142-'Ethylene Recycling LC'!$C$142)-IF('Ethylene Recycling LC'!D77-'Ethylene Recycling LC'!$C$77&lt;0,0,'Ethylene Recycling LC'!D77-'Ethylene Recycling LC'!$C$77)</f>
        <v>3.4050680031128291</v>
      </c>
      <c r="F121" s="284">
        <f>F61-('Ethylene Recycling LC'!E142-'Ethylene Recycling LC'!$C$142)-IF('Ethylene Recycling LC'!E77-'Ethylene Recycling LC'!$C$77&lt;0,0,'Ethylene Recycling LC'!E77-'Ethylene Recycling LC'!$C$77)</f>
        <v>3.3792458642623364</v>
      </c>
      <c r="G121" s="284">
        <f>G61-('Ethylene Recycling LC'!F142-'Ethylene Recycling LC'!$C$142)-IF('Ethylene Recycling LC'!F77-'Ethylene Recycling LC'!$C$77&lt;0,0,'Ethylene Recycling LC'!F77-'Ethylene Recycling LC'!$C$77)</f>
        <v>3.3564774679448348</v>
      </c>
      <c r="H121" s="284">
        <f>H61-('Ethylene Recycling LC'!G142-'Ethylene Recycling LC'!$C$142)-IF('Ethylene Recycling LC'!G77-'Ethylene Recycling LC'!$C$77&lt;0,0,'Ethylene Recycling LC'!G77-'Ethylene Recycling LC'!$C$77)</f>
        <v>3.337049040683695</v>
      </c>
      <c r="I121" s="284">
        <f>I61-('Ethylene Recycling LC'!H142-'Ethylene Recycling LC'!$C$142)-IF('Ethylene Recycling LC'!H77-'Ethylene Recycling LC'!$C$77&lt;0,0,'Ethylene Recycling LC'!H77-'Ethylene Recycling LC'!$C$77)</f>
        <v>3.3212055140042747</v>
      </c>
      <c r="J121" s="284">
        <f>J61-('Ethylene Recycling LC'!I142-'Ethylene Recycling LC'!$C$142)-IF('Ethylene Recycling LC'!I77-'Ethylene Recycling LC'!$C$77&lt;0,0,'Ethylene Recycling LC'!I77-'Ethylene Recycling LC'!$C$77)</f>
        <v>3.3084065220441712</v>
      </c>
      <c r="K121" s="284">
        <f>K61-('Ethylene Recycling LC'!J142-'Ethylene Recycling LC'!$C$142)-IF('Ethylene Recycling LC'!J77-'Ethylene Recycling LC'!$C$77&lt;0,0,'Ethylene Recycling LC'!J77-'Ethylene Recycling LC'!$C$77)</f>
        <v>3.2969512038918403</v>
      </c>
      <c r="L121" s="284">
        <f>L61-('Ethylene Recycling LC'!K142-'Ethylene Recycling LC'!$C$142)-IF('Ethylene Recycling LC'!K77-'Ethylene Recycling LC'!$C$77&lt;0,0,'Ethylene Recycling LC'!K77-'Ethylene Recycling LC'!$C$77)</f>
        <v>3.2869104588517875</v>
      </c>
      <c r="M121" s="284">
        <f>M61-('Ethylene Recycling LC'!L142-'Ethylene Recycling LC'!$C$142)-IF('Ethylene Recycling LC'!L77-'Ethylene Recycling LC'!$C$77&lt;0,0,'Ethylene Recycling LC'!L77-'Ethylene Recycling LC'!$C$77)</f>
        <v>3.278350394900106</v>
      </c>
      <c r="N121" s="284">
        <f>N61-('Ethylene Recycling LC'!M142-'Ethylene Recycling LC'!$C$142)-IF('Ethylene Recycling LC'!M77-'Ethylene Recycling LC'!$C$77&lt;0,0,'Ethylene Recycling LC'!M77-'Ethylene Recycling LC'!$C$77)</f>
        <v>3.2713318848522559</v>
      </c>
      <c r="O121" s="284">
        <f>O61-('Ethylene Recycling LC'!N142-'Ethylene Recycling LC'!$C$142)-IF('Ethylene Recycling LC'!N77-'Ethylene Recycling LC'!$C$77&lt;0,0,'Ethylene Recycling LC'!N77-'Ethylene Recycling LC'!$C$77)</f>
        <v>3.2550752784072419</v>
      </c>
      <c r="P121" s="284">
        <f>P61-('Ethylene Recycling LC'!O142-'Ethylene Recycling LC'!$C$142)-IF('Ethylene Recycling LC'!O77-'Ethylene Recycling LC'!$C$77&lt;0,0,'Ethylene Recycling LC'!O77-'Ethylene Recycling LC'!$C$77)</f>
        <v>3.2409351050464457</v>
      </c>
      <c r="Q121" s="284">
        <f>Q61-('Ethylene Recycling LC'!P142-'Ethylene Recycling LC'!$C$142)-IF('Ethylene Recycling LC'!P77-'Ethylene Recycling LC'!$C$77&lt;0,0,'Ethylene Recycling LC'!P77-'Ethylene Recycling LC'!$C$77)</f>
        <v>3.2422491430817271</v>
      </c>
      <c r="R121" s="284">
        <f>R61-('Ethylene Recycling LC'!Q142-'Ethylene Recycling LC'!$C$142)-IF('Ethylene Recycling LC'!Q77-'Ethylene Recycling LC'!$C$77&lt;0,0,'Ethylene Recycling LC'!Q77-'Ethylene Recycling LC'!$C$77)</f>
        <v>3.2524400435888694</v>
      </c>
      <c r="S121" s="284">
        <f>S61-('Ethylene Recycling LC'!R142-'Ethylene Recycling LC'!$C$142)-IF('Ethylene Recycling LC'!R77-'Ethylene Recycling LC'!$C$77&lt;0,0,'Ethylene Recycling LC'!R77-'Ethylene Recycling LC'!$C$77)</f>
        <v>3.2715332796089625</v>
      </c>
      <c r="T121" s="284">
        <f>T61-('Ethylene Recycling LC'!S142-'Ethylene Recycling LC'!$C$142)-IF('Ethylene Recycling LC'!S77-'Ethylene Recycling LC'!$C$77&lt;0,0,'Ethylene Recycling LC'!S77-'Ethylene Recycling LC'!$C$77)</f>
        <v>3.2940626289958712</v>
      </c>
      <c r="U121" s="284">
        <f>U61-('Ethylene Recycling LC'!T142-'Ethylene Recycling LC'!$C$142)-IF('Ethylene Recycling LC'!T77-'Ethylene Recycling LC'!$C$77&lt;0,0,'Ethylene Recycling LC'!T77-'Ethylene Recycling LC'!$C$77)</f>
        <v>3.3217939385111066</v>
      </c>
      <c r="V121" s="284">
        <f>V61-('Ethylene Recycling LC'!U142-'Ethylene Recycling LC'!$C$142)-IF('Ethylene Recycling LC'!U77-'Ethylene Recycling LC'!$C$77&lt;0,0,'Ethylene Recycling LC'!U77-'Ethylene Recycling LC'!$C$77)</f>
        <v>3.35454790942517</v>
      </c>
      <c r="W121" s="284">
        <f>W61-('Ethylene Recycling LC'!V142-'Ethylene Recycling LC'!$C$142)-IF('Ethylene Recycling LC'!V77-'Ethylene Recycling LC'!$C$77&lt;0,0,'Ethylene Recycling LC'!V77-'Ethylene Recycling LC'!$C$77)</f>
        <v>3.3921339997127999</v>
      </c>
      <c r="X121" s="284">
        <f>X61-('Ethylene Recycling LC'!W142-'Ethylene Recycling LC'!$C$142)-IF('Ethylene Recycling LC'!W77-'Ethylene Recycling LC'!$C$77&lt;0,0,'Ethylene Recycling LC'!W77-'Ethylene Recycling LC'!$C$77)</f>
        <v>3.4343504427415983</v>
      </c>
      <c r="Y121" s="284">
        <f>Y61-('Ethylene Recycling LC'!X142-'Ethylene Recycling LC'!$C$142)-IF('Ethylene Recycling LC'!X77-'Ethylene Recycling LC'!$C$77&lt;0,0,'Ethylene Recycling LC'!X77-'Ethylene Recycling LC'!$C$77)</f>
        <v>3.4607142864918874</v>
      </c>
      <c r="Z121" s="284">
        <f>Z61-('Ethylene Recycling LC'!Y142-'Ethylene Recycling LC'!$C$142)-IF('Ethylene Recycling LC'!Y77-'Ethylene Recycling LC'!$C$77&lt;0,0,'Ethylene Recycling LC'!Y77-'Ethylene Recycling LC'!$C$77)</f>
        <v>3.469551397350898</v>
      </c>
      <c r="AA121" s="284">
        <f>AA61-('Ethylene Recycling LC'!Z142-'Ethylene Recycling LC'!$C$142)-IF('Ethylene Recycling LC'!Z77-'Ethylene Recycling LC'!$C$77&lt;0,0,'Ethylene Recycling LC'!Z77-'Ethylene Recycling LC'!$C$77)</f>
        <v>3.4852903462136418</v>
      </c>
      <c r="AB121" s="284">
        <f>AB61-('Ethylene Recycling LC'!AA142-'Ethylene Recycling LC'!$C$142)-IF('Ethylene Recycling LC'!AA77-'Ethylene Recycling LC'!$C$77&lt;0,0,'Ethylene Recycling LC'!AA77-'Ethylene Recycling LC'!$C$77)</f>
        <v>3.5075809848228623</v>
      </c>
      <c r="AC121" s="284">
        <f>AC61-('Ethylene Recycling LC'!AB142-'Ethylene Recycling LC'!$C$142)-IF('Ethylene Recycling LC'!AB77-'Ethylene Recycling LC'!$C$77&lt;0,0,'Ethylene Recycling LC'!AB77-'Ethylene Recycling LC'!$C$77)</f>
        <v>3.536056272544509</v>
      </c>
      <c r="AD121" s="284">
        <f>AD61-('Ethylene Recycling LC'!AC142-'Ethylene Recycling LC'!$C$142)-IF('Ethylene Recycling LC'!AC77-'Ethylene Recycling LC'!$C$77&lt;0,0,'Ethylene Recycling LC'!AC77-'Ethylene Recycling LC'!$C$77)</f>
        <v>3.5734462134935256</v>
      </c>
      <c r="AE121" s="284">
        <f>AE61-('Ethylene Recycling LC'!AD142-'Ethylene Recycling LC'!$C$142)-IF('Ethylene Recycling LC'!AD77-'Ethylene Recycling LC'!$C$77&lt;0,0,'Ethylene Recycling LC'!AD77-'Ethylene Recycling LC'!$C$77)</f>
        <v>3.5859852092131943</v>
      </c>
      <c r="AF121" s="284">
        <f>AF61-('Ethylene Recycling LC'!AE142-'Ethylene Recycling LC'!$C$142)-IF('Ethylene Recycling LC'!AE77-'Ethylene Recycling LC'!$C$77&lt;0,0,'Ethylene Recycling LC'!AE77-'Ethylene Recycling LC'!$C$77)</f>
        <v>3.5807446746031131</v>
      </c>
      <c r="AG121" s="284">
        <f>AG61-('Ethylene Recycling LC'!AF142-'Ethylene Recycling LC'!$C$142)-IF('Ethylene Recycling LC'!AF77-'Ethylene Recycling LC'!$C$77&lt;0,0,'Ethylene Recycling LC'!AF77-'Ethylene Recycling LC'!$C$77)</f>
        <v>3.5760963825220808</v>
      </c>
      <c r="AH121" s="284">
        <f>AH61-('Ethylene Recycling LC'!AG142-'Ethylene Recycling LC'!$C$142)-IF('Ethylene Recycling LC'!AG77-'Ethylene Recycling LC'!$C$77&lt;0,0,'Ethylene Recycling LC'!AG77-'Ethylene Recycling LC'!$C$77)</f>
        <v>3.572201022156376</v>
      </c>
      <c r="AI121" s="284"/>
      <c r="AJ121" s="68" t="s">
        <v>384</v>
      </c>
    </row>
    <row r="122" spans="1:36" s="67" customFormat="1" x14ac:dyDescent="0.2">
      <c r="A122" s="58" t="s">
        <v>223</v>
      </c>
      <c r="B122" s="58" t="s">
        <v>197</v>
      </c>
      <c r="C122" s="100" t="s">
        <v>153</v>
      </c>
      <c r="D122" s="101">
        <f t="shared" ref="D122:AH122" si="38">D43</f>
        <v>34.871127768537121</v>
      </c>
      <c r="E122" s="101">
        <f t="shared" si="38"/>
        <v>35.093105379494368</v>
      </c>
      <c r="F122" s="101">
        <f t="shared" si="38"/>
        <v>35.31255247329905</v>
      </c>
      <c r="G122" s="101">
        <f t="shared" si="38"/>
        <v>35.529318860838416</v>
      </c>
      <c r="H122" s="101">
        <f t="shared" si="38"/>
        <v>35.743249977889334</v>
      </c>
      <c r="I122" s="101">
        <f t="shared" si="38"/>
        <v>35.954186779769202</v>
      </c>
      <c r="J122" s="101">
        <f t="shared" si="38"/>
        <v>36.161965633669382</v>
      </c>
      <c r="K122" s="101">
        <f t="shared" si="38"/>
        <v>36.366418208622818</v>
      </c>
      <c r="L122" s="101">
        <f t="shared" si="38"/>
        <v>36.56737136305653</v>
      </c>
      <c r="M122" s="101">
        <f t="shared" si="38"/>
        <v>36.764647029878709</v>
      </c>
      <c r="N122" s="101">
        <f t="shared" si="38"/>
        <v>36.958062099048902</v>
      </c>
      <c r="O122" s="101">
        <f t="shared" si="38"/>
        <v>37.14742829757926</v>
      </c>
      <c r="P122" s="101">
        <f t="shared" si="38"/>
        <v>37.332552066913017</v>
      </c>
      <c r="Q122" s="101">
        <f t="shared" si="38"/>
        <v>37.513234437626124</v>
      </c>
      <c r="R122" s="101">
        <f t="shared" si="38"/>
        <v>37.689270901396142</v>
      </c>
      <c r="S122" s="101">
        <f t="shared" si="38"/>
        <v>37.86045128018187</v>
      </c>
      <c r="T122" s="101">
        <f t="shared" si="38"/>
        <v>38.026559592555792</v>
      </c>
      <c r="U122" s="101">
        <f t="shared" si="38"/>
        <v>38.187373917130465</v>
      </c>
      <c r="V122" s="101">
        <f t="shared" si="38"/>
        <v>38.342666253018429</v>
      </c>
      <c r="W122" s="101">
        <f t="shared" si="38"/>
        <v>38.492202377264533</v>
      </c>
      <c r="X122" s="101">
        <f t="shared" si="38"/>
        <v>38.635741699187882</v>
      </c>
      <c r="Y122" s="101">
        <f t="shared" si="38"/>
        <v>38.757294317736132</v>
      </c>
      <c r="Z122" s="101">
        <f t="shared" si="38"/>
        <v>38.871813995963947</v>
      </c>
      <c r="AA122" s="101">
        <f t="shared" si="38"/>
        <v>38.979026485193693</v>
      </c>
      <c r="AB122" s="101">
        <f t="shared" si="38"/>
        <v>39.078650244812408</v>
      </c>
      <c r="AC122" s="101">
        <f t="shared" si="38"/>
        <v>39.170396273603941</v>
      </c>
      <c r="AD122" s="101">
        <f t="shared" si="38"/>
        <v>39.253967937453638</v>
      </c>
      <c r="AE122" s="101">
        <f t="shared" si="38"/>
        <v>39.329060793351154</v>
      </c>
      <c r="AF122" s="101">
        <f t="shared" si="38"/>
        <v>39.395362409615259</v>
      </c>
      <c r="AG122" s="101">
        <f t="shared" si="38"/>
        <v>39.452552182263062</v>
      </c>
      <c r="AH122" s="101">
        <f t="shared" si="38"/>
        <v>39.50030114744451</v>
      </c>
    </row>
    <row r="123" spans="1:36" outlineLevel="1" x14ac:dyDescent="0.2">
      <c r="A123"/>
      <c r="B123" t="s">
        <v>217</v>
      </c>
      <c r="C123" s="54" t="s">
        <v>153</v>
      </c>
      <c r="D123" s="44">
        <f>'Ethylene Recycling LC'!C162-'Ethylene Recycling LC'!$C$162</f>
        <v>0</v>
      </c>
      <c r="E123" s="44">
        <f>'Ethylene Recycling LC'!D162-'Ethylene Recycling LC'!$C$162</f>
        <v>5.5962113440523528E-2</v>
      </c>
      <c r="F123" s="44">
        <f>'Ethylene Recycling LC'!E162-'Ethylene Recycling LC'!$C$162</f>
        <v>0.11460978593982817</v>
      </c>
      <c r="G123" s="44">
        <f>'Ethylene Recycling LC'!F162-'Ethylene Recycling LC'!$C$162</f>
        <v>0.17560335493546669</v>
      </c>
      <c r="H123" s="44">
        <f>'Ethylene Recycling LC'!G162-'Ethylene Recycling LC'!$C$162</f>
        <v>0.23856581282029388</v>
      </c>
      <c r="I123" s="44">
        <f>'Ethylene Recycling LC'!H162-'Ethylene Recycling LC'!$C$162</f>
        <v>0.30308655433505788</v>
      </c>
      <c r="J123" s="44">
        <f>'Ethylene Recycling LC'!I162-'Ethylene Recycling LC'!$C$162</f>
        <v>0.36976275129607733</v>
      </c>
      <c r="K123" s="44">
        <f>'Ethylene Recycling LC'!J162-'Ethylene Recycling LC'!$C$162</f>
        <v>0.43856575902184963</v>
      </c>
      <c r="L123" s="44">
        <f>'Ethylene Recycling LC'!K162-'Ethylene Recycling LC'!$C$162</f>
        <v>0.50946206552521989</v>
      </c>
      <c r="M123" s="44">
        <f>'Ethylene Recycling LC'!L162-'Ethylene Recycling LC'!$C$162</f>
        <v>0.58241324288717544</v>
      </c>
      <c r="N123" s="44">
        <f>'Ethylene Recycling LC'!M162-'Ethylene Recycling LC'!$C$162</f>
        <v>0.65737591159165465</v>
      </c>
      <c r="O123" s="44">
        <f>'Ethylene Recycling LC'!N162-'Ethylene Recycling LC'!$C$162</f>
        <v>0.8040384205463833</v>
      </c>
      <c r="P123" s="44">
        <f>'Ethylene Recycling LC'!O162-'Ethylene Recycling LC'!$C$162</f>
        <v>0.95294167908667149</v>
      </c>
      <c r="Q123" s="44">
        <f>'Ethylene Recycling LC'!P162-'Ethylene Recycling LC'!$C$162</f>
        <v>1.1033033812016517</v>
      </c>
      <c r="R123" s="44">
        <f>'Ethylene Recycling LC'!Q162-'Ethylene Recycling LC'!$C$162</f>
        <v>1.2543115469969326</v>
      </c>
      <c r="S123" s="44">
        <f>'Ethylene Recycling LC'!R162-'Ethylene Recycling LC'!$C$162</f>
        <v>1.4051316704399788</v>
      </c>
      <c r="T123" s="44">
        <f>'Ethylene Recycling LC'!S162-'Ethylene Recycling LC'!$C$162</f>
        <v>1.5579173728547484</v>
      </c>
      <c r="U123" s="44">
        <f>'Ethylene Recycling LC'!T162-'Ethylene Recycling LC'!$C$162</f>
        <v>1.7126361894464575</v>
      </c>
      <c r="V123" s="44">
        <f>'Ethylene Recycling LC'!U162-'Ethylene Recycling LC'!$C$162</f>
        <v>1.8692543045276899</v>
      </c>
      <c r="W123" s="44">
        <f>'Ethylene Recycling LC'!V162-'Ethylene Recycling LC'!$C$162</f>
        <v>2.0277365565432492</v>
      </c>
      <c r="X123" s="44">
        <f>'Ethylene Recycling LC'!W162-'Ethylene Recycling LC'!$C$162</f>
        <v>2.1880464441524206</v>
      </c>
      <c r="Y123" s="44">
        <f>'Ethylene Recycling LC'!X162-'Ethylene Recycling LC'!$C$162</f>
        <v>2.4489186232217257</v>
      </c>
      <c r="Z123" s="44">
        <f>'Ethylene Recycling LC'!Y162-'Ethylene Recycling LC'!$C$162</f>
        <v>2.712878072429127</v>
      </c>
      <c r="AA123" s="44">
        <f>'Ethylene Recycling LC'!Z162-'Ethylene Recycling LC'!$C$162</f>
        <v>2.9798696043239872</v>
      </c>
      <c r="AB123" s="44">
        <f>'Ethylene Recycling LC'!AA162-'Ethylene Recycling LC'!$C$162</f>
        <v>3.2498360422381043</v>
      </c>
      <c r="AC123" s="44">
        <f>'Ethylene Recycling LC'!AB162-'Ethylene Recycling LC'!$C$162</f>
        <v>3.522718230873938</v>
      </c>
      <c r="AD123" s="44">
        <f>'Ethylene Recycling LC'!AC162-'Ethylene Recycling LC'!$C$162</f>
        <v>3.7984920180233739</v>
      </c>
      <c r="AE123" s="44">
        <f>'Ethylene Recycling LC'!AD162-'Ethylene Recycling LC'!$C$162</f>
        <v>4.0771022820455869</v>
      </c>
      <c r="AF123" s="44">
        <f>'Ethylene Recycling LC'!AE162-'Ethylene Recycling LC'!$C$162</f>
        <v>4.3584921333827769</v>
      </c>
      <c r="AG123" s="44">
        <f>'Ethylene Recycling LC'!AF162-'Ethylene Recycling LC'!$C$162</f>
        <v>4.6426029253778376</v>
      </c>
      <c r="AH123" s="44">
        <f>'Ethylene Recycling LC'!AG162-'Ethylene Recycling LC'!$C$162</f>
        <v>4.9293742662870192</v>
      </c>
    </row>
    <row r="124" spans="1:36" outlineLevel="1" x14ac:dyDescent="0.2">
      <c r="A124"/>
      <c r="B124" t="s">
        <v>222</v>
      </c>
      <c r="C124" s="54" t="s">
        <v>153</v>
      </c>
      <c r="D124" s="44">
        <f>'Ethylene Recycling LC'!C85-'Ethylene Recycling LC'!$C$85</f>
        <v>0</v>
      </c>
      <c r="E124" s="44">
        <f>'Ethylene Recycling LC'!D85-'Ethylene Recycling LC'!$C$85</f>
        <v>0.37736123419296419</v>
      </c>
      <c r="F124" s="44">
        <f>'Ethylene Recycling LC'!E85-'Ethylene Recycling LC'!$C$85</f>
        <v>0.74660449054099409</v>
      </c>
      <c r="G124" s="44">
        <f>'Ethylene Recycling LC'!F85-'Ethylene Recycling LC'!$C$85</f>
        <v>1.104860609564442</v>
      </c>
      <c r="H124" s="44">
        <f>'Ethylene Recycling LC'!G85-'Ethylene Recycling LC'!$C$85</f>
        <v>1.4492677355119108</v>
      </c>
      <c r="I124" s="44">
        <f>'Ethylene Recycling LC'!H85-'Ethylene Recycling LC'!$C$85</f>
        <v>1.7770085802080091</v>
      </c>
      <c r="J124" s="44">
        <f>'Ethylene Recycling LC'!I85-'Ethylene Recycling LC'!$C$85</f>
        <v>2.1042865988159898</v>
      </c>
      <c r="K124" s="44">
        <f>'Ethylene Recycling LC'!J85-'Ethylene Recycling LC'!$C$85</f>
        <v>2.4304445148993628</v>
      </c>
      <c r="L124" s="44">
        <f>'Ethylene Recycling LC'!K85-'Ethylene Recycling LC'!$C$85</f>
        <v>2.7548071705350621</v>
      </c>
      <c r="M124" s="44">
        <f>'Ethylene Recycling LC'!L85-'Ethylene Recycling LC'!$C$85</f>
        <v>3.0766829670891225</v>
      </c>
      <c r="N124" s="44">
        <f>'Ethylene Recycling LC'!M85-'Ethylene Recycling LC'!$C$85</f>
        <v>3.395365405417615</v>
      </c>
      <c r="O124" s="44">
        <f>'Ethylene Recycling LC'!N85-'Ethylene Recycling LC'!$C$85</f>
        <v>3.9055634996776929</v>
      </c>
      <c r="P124" s="44">
        <f>'Ethylene Recycling LC'!O85-'Ethylene Recycling LC'!$C$85</f>
        <v>4.4240931860906878</v>
      </c>
      <c r="Q124" s="44">
        <f>'Ethylene Recycling LC'!P85-'Ethylene Recycling LC'!$C$85</f>
        <v>4.850057116215674</v>
      </c>
      <c r="R124" s="44">
        <f>'Ethylene Recycling LC'!Q85-'Ethylene Recycling LC'!$C$85</f>
        <v>5.228239802707777</v>
      </c>
      <c r="S124" s="44">
        <f>'Ethylene Recycling LC'!R85-'Ethylene Recycling LC'!$C$85</f>
        <v>5.5551419507625885</v>
      </c>
      <c r="T124" s="44">
        <f>'Ethylene Recycling LC'!S85-'Ethylene Recycling LC'!$C$85</f>
        <v>5.8502433945433721</v>
      </c>
      <c r="U124" s="44">
        <f>'Ethylene Recycling LC'!T85-'Ethylene Recycling LC'!$C$85</f>
        <v>6.1122680333071484</v>
      </c>
      <c r="V124" s="44">
        <f>'Ethylene Recycling LC'!U85-'Ethylene Recycling LC'!$C$85</f>
        <v>6.3399365511934738</v>
      </c>
      <c r="W124" s="44">
        <f>'Ethylene Recycling LC'!V85-'Ethylene Recycling LC'!$C$85</f>
        <v>6.5319674458130281</v>
      </c>
      <c r="X124" s="44">
        <f>'Ethylene Recycling LC'!W85-'Ethylene Recycling LC'!$C$85</f>
        <v>6.6870780773100558</v>
      </c>
      <c r="Y124" s="44">
        <f>'Ethylene Recycling LC'!X85-'Ethylene Recycling LC'!$C$85</f>
        <v>6.8279812008522187</v>
      </c>
      <c r="Z124" s="44">
        <f>'Ethylene Recycling LC'!Y85-'Ethylene Recycling LC'!$C$85</f>
        <v>7.146504211309499</v>
      </c>
      <c r="AA124" s="44">
        <f>'Ethylene Recycling LC'!Z85-'Ethylene Recycling LC'!$C$85</f>
        <v>7.4049920303690628</v>
      </c>
      <c r="AB124" s="44">
        <f>'Ethylene Recycling LC'!AA85-'Ethylene Recycling LC'!$C$85</f>
        <v>7.6013819716053694</v>
      </c>
      <c r="AC124" s="44">
        <f>'Ethylene Recycling LC'!AB85-'Ethylene Recycling LC'!$C$85</f>
        <v>7.7336110110486578</v>
      </c>
      <c r="AD124" s="44">
        <f>'Ethylene Recycling LC'!AC85-'Ethylene Recycling LC'!$C$85</f>
        <v>7.7997543969290861</v>
      </c>
      <c r="AE124" s="44">
        <f>'Ethylene Recycling LC'!AD85-'Ethylene Recycling LC'!$C$85</f>
        <v>7.7977533604110922</v>
      </c>
      <c r="AF124" s="44">
        <f>'Ethylene Recycling LC'!AE85-'Ethylene Recycling LC'!$C$85</f>
        <v>7.7255496649955466</v>
      </c>
      <c r="AG124" s="44">
        <f>'Ethylene Recycling LC'!AF85-'Ethylene Recycling LC'!$C$85</f>
        <v>7.5810870713653946</v>
      </c>
      <c r="AH124" s="44">
        <f>'Ethylene Recycling LC'!AG85-'Ethylene Recycling LC'!$C$85</f>
        <v>7.3623128245095293</v>
      </c>
    </row>
    <row r="125" spans="1:36" outlineLevel="1" x14ac:dyDescent="0.2">
      <c r="A125"/>
      <c r="B125" t="s">
        <v>226</v>
      </c>
      <c r="C125" s="54" t="s">
        <v>153</v>
      </c>
      <c r="D125" s="44">
        <f>'Ethylene Recycling LC'!C144-'Ethylene Recycling LC'!$C$144</f>
        <v>0</v>
      </c>
      <c r="E125" s="44">
        <f>'Ethylene Recycling LC'!D144-'Ethylene Recycling LC'!$C$144</f>
        <v>1.9870187670681994E-2</v>
      </c>
      <c r="F125" s="44">
        <f>'Ethylene Recycling LC'!E144-'Ethylene Recycling LC'!$C$144</f>
        <v>3.9647370499631518E-2</v>
      </c>
      <c r="G125" s="44">
        <f>'Ethylene Recycling LC'!F144-'Ethylene Recycling LC'!$C$144</f>
        <v>5.9192880569213513E-2</v>
      </c>
      <c r="H125" s="44">
        <f>'Ethylene Recycling LC'!G144-'Ethylene Recycling LC'!$C$144</f>
        <v>7.8365111272651167E-2</v>
      </c>
      <c r="I125" s="44">
        <f>'Ethylene Recycling LC'!H144-'Ethylene Recycling LC'!$C$144</f>
        <v>9.702121184629231E-2</v>
      </c>
      <c r="J125" s="44">
        <f>'Ethylene Recycling LC'!I144-'Ethylene Recycling LC'!$C$144</f>
        <v>0.10333686342300635</v>
      </c>
      <c r="K125" s="44">
        <f>'Ethylene Recycling LC'!J144-'Ethylene Recycling LC'!$C$144</f>
        <v>0.10866688094571114</v>
      </c>
      <c r="L125" s="44">
        <f>'Ethylene Recycling LC'!K144-'Ethylene Recycling LC'!$C$144</f>
        <v>0.11297088104547215</v>
      </c>
      <c r="M125" s="44">
        <f>'Ethylene Recycling LC'!L144-'Ethylene Recycling LC'!$C$144</f>
        <v>0.11621066881654424</v>
      </c>
      <c r="N125" s="44">
        <f>'Ethylene Recycling LC'!M144-'Ethylene Recycling LC'!$C$144</f>
        <v>0.11835042915374561</v>
      </c>
      <c r="O125" s="44">
        <f>'Ethylene Recycling LC'!N144-'Ethylene Recycling LC'!$C$144</f>
        <v>0.13198316385179271</v>
      </c>
      <c r="P125" s="44">
        <f>'Ethylene Recycling LC'!O144-'Ethylene Recycling LC'!$C$144</f>
        <v>0.14303584339639869</v>
      </c>
      <c r="Q125" s="44">
        <f>'Ethylene Recycling LC'!P144-'Ethylene Recycling LC'!$C$144</f>
        <v>0.15140295817770327</v>
      </c>
      <c r="R125" s="44">
        <f>'Ethylene Recycling LC'!Q144-'Ethylene Recycling LC'!$C$144</f>
        <v>0.15700529943147851</v>
      </c>
      <c r="S125" s="44">
        <f>'Ethylene Recycling LC'!R144-'Ethylene Recycling LC'!$C$144</f>
        <v>0.15979114060028127</v>
      </c>
      <c r="T125" s="44">
        <f>'Ethylene Recycling LC'!S144-'Ethylene Recycling LC'!$C$144</f>
        <v>0.16676590420605625</v>
      </c>
      <c r="U125" s="44">
        <f>'Ethylene Recycling LC'!T144-'Ethylene Recycling LC'!$C$144</f>
        <v>0.1722814180222354</v>
      </c>
      <c r="V125" s="44">
        <f>'Ethylene Recycling LC'!U144-'Ethylene Recycling LC'!$C$144</f>
        <v>0.17633201364717765</v>
      </c>
      <c r="W125" s="44">
        <f>'Ethylene Recycling LC'!V144-'Ethylene Recycling LC'!$C$144</f>
        <v>0.17891378062053975</v>
      </c>
      <c r="X125" s="44">
        <f>'Ethylene Recycling LC'!W144-'Ethylene Recycling LC'!$C$144</f>
        <v>0.18002460078382543</v>
      </c>
      <c r="Y125" s="44">
        <f>'Ethylene Recycling LC'!X144-'Ethylene Recycling LC'!$C$144</f>
        <v>0.19147718808220682</v>
      </c>
      <c r="Z125" s="44">
        <f>'Ethylene Recycling LC'!Y144-'Ethylene Recycling LC'!$C$144</f>
        <v>0.20052773534398199</v>
      </c>
      <c r="AA125" s="44">
        <f>'Ethylene Recycling LC'!Z144-'Ethylene Recycling LC'!$C$144</f>
        <v>0.20717473116486496</v>
      </c>
      <c r="AB125" s="44">
        <f>'Ethylene Recycling LC'!AA144-'Ethylene Recycling LC'!$C$144</f>
        <v>0.21141959030958046</v>
      </c>
      <c r="AC125" s="44">
        <f>'Ethylene Recycling LC'!AB144-'Ethylene Recycling LC'!$C$144</f>
        <v>0.21326670252044222</v>
      </c>
      <c r="AD125" s="44">
        <f>'Ethylene Recycling LC'!AC144-'Ethylene Recycling LC'!$C$144</f>
        <v>0.20770957666011564</v>
      </c>
      <c r="AE125" s="44">
        <f>'Ethylene Recycling LC'!AD144-'Ethylene Recycling LC'!$C$144</f>
        <v>0.19932876156284185</v>
      </c>
      <c r="AF125" s="44">
        <f>'Ethylene Recycling LC'!AE144-'Ethylene Recycling LC'!$C$144</f>
        <v>0.18814389103199508</v>
      </c>
      <c r="AG125" s="44">
        <f>'Ethylene Recycling LC'!AF144-'Ethylene Recycling LC'!$C$144</f>
        <v>0.17417826280956866</v>
      </c>
      <c r="AH125" s="44">
        <f>'Ethylene Recycling LC'!AG144-'Ethylene Recycling LC'!$C$144</f>
        <v>0.15745888301365296</v>
      </c>
    </row>
    <row r="126" spans="1:36" outlineLevel="1" x14ac:dyDescent="0.2">
      <c r="A126" s="181"/>
      <c r="B126" s="181" t="s">
        <v>218</v>
      </c>
      <c r="C126" s="176" t="s">
        <v>153</v>
      </c>
      <c r="D126" s="238">
        <f>'Ethylene Recycling LC'!C112-'Ethylene Recycling LC'!$C$112</f>
        <v>0</v>
      </c>
      <c r="E126" s="238">
        <f>'Ethylene Recycling LC'!D112-'Ethylene Recycling LC'!$C$112</f>
        <v>8.1036143578664191E-3</v>
      </c>
      <c r="F126" s="238">
        <f>'Ethylene Recycling LC'!E112-'Ethylene Recycling LC'!$C$112</f>
        <v>1.609940366692527E-2</v>
      </c>
      <c r="G126" s="238">
        <f>'Ethylene Recycling LC'!F112-'Ethylene Recycling LC'!$C$112</f>
        <v>2.3905101638333849E-2</v>
      </c>
      <c r="H126" s="238">
        <f>'Ethylene Recycling LC'!G112-'Ethylene Recycling LC'!$C$112</f>
        <v>3.1439225638755217E-2</v>
      </c>
      <c r="I126" s="238">
        <f>'Ethylene Recycling LC'!H112-'Ethylene Recycling LC'!$C$112</f>
        <v>3.862235332974924E-2</v>
      </c>
      <c r="J126" s="238">
        <f>'Ethylene Recycling LC'!I112-'Ethylene Recycling LC'!$C$112</f>
        <v>4.5545029950712163E-2</v>
      </c>
      <c r="K126" s="238">
        <f>'Ethylene Recycling LC'!J112-'Ethylene Recycling LC'!$C$112</f>
        <v>5.2177167004869657E-2</v>
      </c>
      <c r="L126" s="238">
        <f>'Ethylene Recycling LC'!K112-'Ethylene Recycling LC'!$C$112</f>
        <v>5.8488582506057513E-2</v>
      </c>
      <c r="M126" s="238">
        <f>'Ethylene Recycling LC'!L112-'Ethylene Recycling LC'!$C$112</f>
        <v>6.4449095435599665E-2</v>
      </c>
      <c r="N126" s="238">
        <f>'Ethylene Recycling LC'!M112-'Ethylene Recycling LC'!$C$112</f>
        <v>7.0028622770268376E-2</v>
      </c>
      <c r="O126" s="238">
        <f>'Ethylene Recycling LC'!N112-'Ethylene Recycling LC'!$C$112</f>
        <v>8.2940611345569085E-2</v>
      </c>
      <c r="P126" s="238">
        <f>'Ethylene Recycling LC'!O112-'Ethylene Recycling LC'!$C$112</f>
        <v>9.4861322234094075E-2</v>
      </c>
      <c r="Q126" s="238">
        <f>'Ethylene Recycling LC'!P112-'Ethylene Recycling LC'!$C$112</f>
        <v>0.10521620119991454</v>
      </c>
      <c r="R126" s="238">
        <f>'Ethylene Recycling LC'!Q112-'Ethylene Recycling LC'!$C$112</f>
        <v>0.11431048458110951</v>
      </c>
      <c r="S126" s="238">
        <f>'Ethylene Recycling LC'!R112-'Ethylene Recycling LC'!$C$112</f>
        <v>0.12207212730414407</v>
      </c>
      <c r="T126" s="238">
        <f>'Ethylene Recycling LC'!S112-'Ethylene Recycling LC'!$C$112</f>
        <v>0.12873142883273647</v>
      </c>
      <c r="U126" s="238">
        <f>'Ethylene Recycling LC'!T112-'Ethylene Recycling LC'!$C$112</f>
        <v>0.13427306553346971</v>
      </c>
      <c r="V126" s="238">
        <f>'Ethylene Recycling LC'!U112-'Ethylene Recycling LC'!$C$112</f>
        <v>0.13868255231928028</v>
      </c>
      <c r="W126" s="238">
        <f>'Ethylene Recycling LC'!V112-'Ethylene Recycling LC'!$C$112</f>
        <v>0.14194626346306088</v>
      </c>
      <c r="X126" s="238">
        <f>'Ethylene Recycling LC'!W112-'Ethylene Recycling LC'!$C$112</f>
        <v>0.14405145268320707</v>
      </c>
      <c r="Y126" s="238">
        <f>'Ethylene Recycling LC'!X112-'Ethylene Recycling LC'!$C$112</f>
        <v>0.15173702567004954</v>
      </c>
      <c r="Z126" s="238">
        <f>'Ethylene Recycling LC'!Y112-'Ethylene Recycling LC'!$C$112</f>
        <v>0.15750162635197673</v>
      </c>
      <c r="AA126" s="238">
        <f>'Ethylene Recycling LC'!Z112-'Ethylene Recycling LC'!$C$112</f>
        <v>0.15973896566541171</v>
      </c>
      <c r="AB126" s="238">
        <f>'Ethylene Recycling LC'!AA112-'Ethylene Recycling LC'!$C$112</f>
        <v>0.15997176423856441</v>
      </c>
      <c r="AC126" s="238">
        <f>'Ethylene Recycling LC'!AB112-'Ethylene Recycling LC'!$C$112</f>
        <v>0.15823261750670453</v>
      </c>
      <c r="AD126" s="238">
        <f>'Ethylene Recycling LC'!AC112-'Ethylene Recycling LC'!$C$112</f>
        <v>0.1545588206826769</v>
      </c>
      <c r="AE126" s="238">
        <f>'Ethylene Recycling LC'!AD112-'Ethylene Recycling LC'!$C$112</f>
        <v>0.14898864537492479</v>
      </c>
      <c r="AF126" s="238">
        <f>'Ethylene Recycling LC'!AE112-'Ethylene Recycling LC'!$C$112</f>
        <v>0.14156310466913657</v>
      </c>
      <c r="AG126" s="238">
        <f>'Ethylene Recycling LC'!AF112-'Ethylene Recycling LC'!$C$112</f>
        <v>0.13232590478352885</v>
      </c>
      <c r="AH126" s="238">
        <f>'Ethylene Recycling LC'!AG112-'Ethylene Recycling LC'!$C$112</f>
        <v>0.12132339237885104</v>
      </c>
    </row>
    <row r="127" spans="1:36" s="68" customFormat="1" x14ac:dyDescent="0.2">
      <c r="A127" s="239"/>
      <c r="B127" s="239" t="s">
        <v>219</v>
      </c>
      <c r="C127" s="240" t="s">
        <v>153</v>
      </c>
      <c r="D127" s="241">
        <f>D122-D123-D124-D125-D126-IF(D131&lt;0,D131,0)</f>
        <v>34.871127768537121</v>
      </c>
      <c r="E127" s="241">
        <f t="shared" ref="E127:AH127" si="39">E122-E123-E124-E125-E126-IF(E131&lt;0,E131,0)</f>
        <v>34.631808229832338</v>
      </c>
      <c r="F127" s="241">
        <f t="shared" si="39"/>
        <v>34.39559142265167</v>
      </c>
      <c r="G127" s="241">
        <f t="shared" si="39"/>
        <v>34.165756914130959</v>
      </c>
      <c r="H127" s="241">
        <f t="shared" si="39"/>
        <v>33.945612092645725</v>
      </c>
      <c r="I127" s="241">
        <f t="shared" si="39"/>
        <v>33.738448080050091</v>
      </c>
      <c r="J127" s="241">
        <f t="shared" si="39"/>
        <v>33.539034390183602</v>
      </c>
      <c r="K127" s="241">
        <f t="shared" si="39"/>
        <v>33.336563886751023</v>
      </c>
      <c r="L127" s="241">
        <f t="shared" si="39"/>
        <v>33.131642663444723</v>
      </c>
      <c r="M127" s="241">
        <f t="shared" si="39"/>
        <v>32.924891055650271</v>
      </c>
      <c r="N127" s="241">
        <f t="shared" si="39"/>
        <v>32.716941730115622</v>
      </c>
      <c r="O127" s="241">
        <f t="shared" si="39"/>
        <v>32.222902602157824</v>
      </c>
      <c r="P127" s="241">
        <f t="shared" si="39"/>
        <v>31.717620036105167</v>
      </c>
      <c r="Q127" s="241">
        <f t="shared" si="39"/>
        <v>31.303254780831185</v>
      </c>
      <c r="R127" s="241">
        <f t="shared" si="39"/>
        <v>30.935403767678846</v>
      </c>
      <c r="S127" s="241">
        <f t="shared" si="39"/>
        <v>30.618314391074879</v>
      </c>
      <c r="T127" s="241">
        <f t="shared" si="39"/>
        <v>30.322901492118881</v>
      </c>
      <c r="U127" s="241">
        <f t="shared" si="39"/>
        <v>30.055915210821155</v>
      </c>
      <c r="V127" s="241">
        <f t="shared" si="39"/>
        <v>29.818460831330803</v>
      </c>
      <c r="W127" s="241">
        <f t="shared" si="39"/>
        <v>29.611638330824658</v>
      </c>
      <c r="X127" s="241">
        <f t="shared" si="39"/>
        <v>29.436541124258376</v>
      </c>
      <c r="Y127" s="241">
        <f t="shared" si="39"/>
        <v>29.137180279909938</v>
      </c>
      <c r="Z127" s="241">
        <f t="shared" si="39"/>
        <v>28.654402350529363</v>
      </c>
      <c r="AA127" s="241">
        <f t="shared" si="39"/>
        <v>28.227251153670366</v>
      </c>
      <c r="AB127" s="241">
        <f t="shared" si="39"/>
        <v>27.856040876420792</v>
      </c>
      <c r="AC127" s="241">
        <f t="shared" si="39"/>
        <v>27.5425677116542</v>
      </c>
      <c r="AD127" s="241">
        <f t="shared" si="39"/>
        <v>27.293453125158386</v>
      </c>
      <c r="AE127" s="241">
        <f t="shared" si="39"/>
        <v>27.105887743956707</v>
      </c>
      <c r="AF127" s="241">
        <f t="shared" si="39"/>
        <v>26.981613615535807</v>
      </c>
      <c r="AG127" s="241">
        <f t="shared" si="39"/>
        <v>26.922358017926733</v>
      </c>
      <c r="AH127" s="241">
        <f t="shared" si="39"/>
        <v>26.929831781255455</v>
      </c>
    </row>
    <row r="128" spans="1:36" s="67" customFormat="1" x14ac:dyDescent="0.2">
      <c r="A128" s="687" t="s">
        <v>257</v>
      </c>
      <c r="B128" s="58" t="s">
        <v>258</v>
      </c>
      <c r="C128" s="59" t="s">
        <v>153</v>
      </c>
      <c r="D128" s="60">
        <f>D44-('Ethylene Recycling LC'!C86+'Ethylene Recycling LC'!C113+'Ethylene Recycling LC'!C145+'Ethylene Recycling LC'!C163-('Ethylene Recycling LC'!$C$86+'Ethylene Recycling LC'!$C$113+'Ethylene Recycling LC'!$C$145+'Ethylene Recycling LC'!$C$163))</f>
        <v>12.029370629370625</v>
      </c>
      <c r="E128" s="60">
        <f>E44-('Ethylene Recycling LC'!D86+'Ethylene Recycling LC'!D113+'Ethylene Recycling LC'!D145+'Ethylene Recycling LC'!D163-('Ethylene Recycling LC'!$C$86+'Ethylene Recycling LC'!$C$113+'Ethylene Recycling LC'!$C$145+'Ethylene Recycling LC'!$C$163))</f>
        <v>11.784016033564594</v>
      </c>
      <c r="F128" s="60">
        <f>F44-('Ethylene Recycling LC'!E86+'Ethylene Recycling LC'!E113+'Ethylene Recycling LC'!E145+'Ethylene Recycling LC'!E163-('Ethylene Recycling LC'!$C$86+'Ethylene Recycling LC'!$C$113+'Ethylene Recycling LC'!$C$145+'Ethylene Recycling LC'!$C$163))</f>
        <v>11.553105084024114</v>
      </c>
      <c r="G128" s="60">
        <f>G44-('Ethylene Recycling LC'!F86+'Ethylene Recycling LC'!F113+'Ethylene Recycling LC'!F145+'Ethylene Recycling LC'!F163-('Ethylene Recycling LC'!$C$86+'Ethylene Recycling LC'!$C$113+'Ethylene Recycling LC'!$C$145+'Ethylene Recycling LC'!$C$163))</f>
        <v>11.339219088667374</v>
      </c>
      <c r="H128" s="60">
        <f>H44-('Ethylene Recycling LC'!G86+'Ethylene Recycling LC'!G113+'Ethylene Recycling LC'!G145+'Ethylene Recycling LC'!G163-('Ethylene Recycling LC'!$C$86+'Ethylene Recycling LC'!$C$113+'Ethylene Recycling LC'!$C$145+'Ethylene Recycling LC'!$C$163))</f>
        <v>11.144816331162158</v>
      </c>
      <c r="I128" s="60">
        <f>I44-('Ethylene Recycling LC'!H86+'Ethylene Recycling LC'!H113+'Ethylene Recycling LC'!H145+'Ethylene Recycling LC'!H163-('Ethylene Recycling LC'!$C$86+'Ethylene Recycling LC'!$C$113+'Ethylene Recycling LC'!$C$145+'Ethylene Recycling LC'!$C$163))</f>
        <v>10.972195910618325</v>
      </c>
      <c r="J128" s="60">
        <f>J44-('Ethylene Recycling LC'!I86+'Ethylene Recycling LC'!I113+'Ethylene Recycling LC'!I145+'Ethylene Recycling LC'!I163-('Ethylene Recycling LC'!$C$86+'Ethylene Recycling LC'!$C$113+'Ethylene Recycling LC'!$C$145+'Ethylene Recycling LC'!$C$163))</f>
        <v>10.805320845122516</v>
      </c>
      <c r="K128" s="60">
        <f>K44-('Ethylene Recycling LC'!J86+'Ethylene Recycling LC'!J113+'Ethylene Recycling LC'!J145+'Ethylene Recycling LC'!J163-('Ethylene Recycling LC'!$C$86+'Ethylene Recycling LC'!$C$113+'Ethylene Recycling LC'!$C$145+'Ethylene Recycling LC'!$C$163))</f>
        <v>10.644719702620861</v>
      </c>
      <c r="L128" s="60">
        <f>L44-('Ethylene Recycling LC'!K86+'Ethylene Recycling LC'!K113+'Ethylene Recycling LC'!K145+'Ethylene Recycling LC'!K163-('Ethylene Recycling LC'!$C$86+'Ethylene Recycling LC'!$C$113+'Ethylene Recycling LC'!$C$145+'Ethylene Recycling LC'!$C$163))</f>
        <v>10.490907154594609</v>
      </c>
      <c r="M128" s="60">
        <f>M44-('Ethylene Recycling LC'!L86+'Ethylene Recycling LC'!L113+'Ethylene Recycling LC'!L145+'Ethylene Recycling LC'!L163-('Ethylene Recycling LC'!$C$86+'Ethylene Recycling LC'!$C$113+'Ethylene Recycling LC'!$C$145+'Ethylene Recycling LC'!$C$163))</f>
        <v>10.344381673281337</v>
      </c>
      <c r="N128" s="60">
        <f>N44-('Ethylene Recycling LC'!M86+'Ethylene Recycling LC'!M113+'Ethylene Recycling LC'!M145+'Ethylene Recycling LC'!M163-('Ethylene Recycling LC'!$C$86+'Ethylene Recycling LC'!$C$113+'Ethylene Recycling LC'!$C$145+'Ethylene Recycling LC'!$C$163))</f>
        <v>10.205623237001138</v>
      </c>
      <c r="O128" s="60">
        <f>O44-('Ethylene Recycling LC'!N86+'Ethylene Recycling LC'!N113+'Ethylene Recycling LC'!N145+'Ethylene Recycling LC'!N163-('Ethylene Recycling LC'!$C$86+'Ethylene Recycling LC'!$C$113+'Ethylene Recycling LC'!$C$145+'Ethylene Recycling LC'!$C$163))</f>
        <v>9.8701673759917519</v>
      </c>
      <c r="P128" s="60">
        <f>P44-('Ethylene Recycling LC'!O86+'Ethylene Recycling LC'!O113+'Ethylene Recycling LC'!O145+'Ethylene Recycling LC'!O163-('Ethylene Recycling LC'!$C$86+'Ethylene Recycling LC'!$C$113+'Ethylene Recycling LC'!$C$145+'Ethylene Recycling LC'!$C$163))</f>
        <v>9.5363912519580758</v>
      </c>
      <c r="Q128" s="60">
        <f>Q44-('Ethylene Recycling LC'!P86+'Ethylene Recycling LC'!P113+'Ethylene Recycling LC'!P145+'Ethylene Recycling LC'!P163-('Ethylene Recycling LC'!$C$86+'Ethylene Recycling LC'!$C$113+'Ethylene Recycling LC'!$C$145+'Ethylene Recycling LC'!$C$163))</f>
        <v>9.2908389939314944</v>
      </c>
      <c r="R128" s="60">
        <f>R44-('Ethylene Recycling LC'!Q86+'Ethylene Recycling LC'!Q113+'Ethylene Recycling LC'!Q145+'Ethylene Recycling LC'!Q163-('Ethylene Recycling LC'!$C$86+'Ethylene Recycling LC'!$C$113+'Ethylene Recycling LC'!$C$145+'Ethylene Recycling LC'!$C$163))</f>
        <v>9.0928058186269602</v>
      </c>
      <c r="S128" s="60">
        <f>S44-('Ethylene Recycling LC'!R86+'Ethylene Recycling LC'!R113+'Ethylene Recycling LC'!R145+'Ethylene Recycling LC'!R163-('Ethylene Recycling LC'!$C$86+'Ethylene Recycling LC'!$C$113+'Ethylene Recycling LC'!$C$145+'Ethylene Recycling LC'!$C$163))</f>
        <v>8.9438266452764452</v>
      </c>
      <c r="T128" s="60">
        <f>T44-('Ethylene Recycling LC'!S86+'Ethylene Recycling LC'!S113+'Ethylene Recycling LC'!S145+'Ethylene Recycling LC'!S163-('Ethylene Recycling LC'!$C$86+'Ethylene Recycling LC'!$C$113+'Ethylene Recycling LC'!$C$145+'Ethylene Recycling LC'!$C$163))</f>
        <v>8.82506671179571</v>
      </c>
      <c r="U128" s="60">
        <f>U44-('Ethylene Recycling LC'!T86+'Ethylene Recycling LC'!T113+'Ethylene Recycling LC'!T145+'Ethylene Recycling LC'!T163-('Ethylene Recycling LC'!$C$86+'Ethylene Recycling LC'!$C$113+'Ethylene Recycling LC'!$C$145+'Ethylene Recycling LC'!$C$163))</f>
        <v>8.7363451807513606</v>
      </c>
      <c r="V128" s="60">
        <f>V44-('Ethylene Recycling LC'!U86+'Ethylene Recycling LC'!U113+'Ethylene Recycling LC'!U145+'Ethylene Recycling LC'!U163-('Ethylene Recycling LC'!$C$86+'Ethylene Recycling LC'!$C$113+'Ethylene Recycling LC'!$C$145+'Ethylene Recycling LC'!$C$163))</f>
        <v>8.6774225615784921</v>
      </c>
      <c r="W128" s="60">
        <f>W44-('Ethylene Recycling LC'!V86+'Ethylene Recycling LC'!V113+'Ethylene Recycling LC'!V145+'Ethylene Recycling LC'!V163-('Ethylene Recycling LC'!$C$86+'Ethylene Recycling LC'!$C$113+'Ethylene Recycling LC'!$C$145+'Ethylene Recycling LC'!$C$163))</f>
        <v>8.6479997025910897</v>
      </c>
      <c r="X128" s="60">
        <f>X44-('Ethylene Recycling LC'!W86+'Ethylene Recycling LC'!W113+'Ethylene Recycling LC'!W145+'Ethylene Recycling LC'!W163-('Ethylene Recycling LC'!$C$86+'Ethylene Recycling LC'!$C$113+'Ethylene Recycling LC'!$C$145+'Ethylene Recycling LC'!$C$163))</f>
        <v>8.6477168385096981</v>
      </c>
      <c r="Y128" s="60">
        <f>Y44-('Ethylene Recycling LC'!X86+'Ethylene Recycling LC'!X113+'Ethylene Recycling LC'!X145+'Ethylene Recycling LC'!X163-('Ethylene Recycling LC'!$C$86+'Ethylene Recycling LC'!$C$113+'Ethylene Recycling LC'!$C$145+'Ethylene Recycling LC'!$C$163))</f>
        <v>8.6020230501096826</v>
      </c>
      <c r="Z128" s="60">
        <f>Z44-('Ethylene Recycling LC'!Y86+'Ethylene Recycling LC'!Y113+'Ethylene Recycling LC'!Y145+'Ethylene Recycling LC'!Y163-('Ethylene Recycling LC'!$C$86+'Ethylene Recycling LC'!$C$113+'Ethylene Recycling LC'!$C$145+'Ethylene Recycling LC'!$C$163))</f>
        <v>8.4225083850137352</v>
      </c>
      <c r="AA128" s="60">
        <f>AA44-('Ethylene Recycling LC'!Z86+'Ethylene Recycling LC'!Z113+'Ethylene Recycling LC'!Z145+'Ethylene Recycling LC'!Z163-('Ethylene Recycling LC'!$C$86+'Ethylene Recycling LC'!$C$113+'Ethylene Recycling LC'!$C$145+'Ethylene Recycling LC'!$C$163))</f>
        <v>8.2903264479233307</v>
      </c>
      <c r="AB128" s="60">
        <f>AB44-('Ethylene Recycling LC'!AA86+'Ethylene Recycling LC'!AA113+'Ethylene Recycling LC'!AA145+'Ethylene Recycling LC'!AA163-('Ethylene Recycling LC'!$C$86+'Ethylene Recycling LC'!$C$113+'Ethylene Recycling LC'!$C$145+'Ethylene Recycling LC'!$C$163))</f>
        <v>8.2035932709012194</v>
      </c>
      <c r="AC128" s="60">
        <f>AC44-('Ethylene Recycling LC'!AB86+'Ethylene Recycling LC'!AB113+'Ethylene Recycling LC'!AB145+'Ethylene Recycling LC'!AB163-('Ethylene Recycling LC'!$C$86+'Ethylene Recycling LC'!$C$113+'Ethylene Recycling LC'!$C$145+'Ethylene Recycling LC'!$C$163))</f>
        <v>8.1614378855133047</v>
      </c>
      <c r="AD128" s="60">
        <f>AD44-('Ethylene Recycling LC'!AC86+'Ethylene Recycling LC'!AC113+'Ethylene Recycling LC'!AC145+'Ethylene Recycling LC'!AC163-('Ethylene Recycling LC'!$C$86+'Ethylene Recycling LC'!$C$113+'Ethylene Recycling LC'!$C$145+'Ethylene Recycling LC'!$C$163))</f>
        <v>8.1627752183609523</v>
      </c>
      <c r="AE128" s="60">
        <f>AE44-('Ethylene Recycling LC'!AD86+'Ethylene Recycling LC'!AD113+'Ethylene Recycling LC'!AD145+'Ethylene Recycling LC'!AD163-('Ethylene Recycling LC'!$C$86+'Ethylene Recycling LC'!$C$113+'Ethylene Recycling LC'!$C$145+'Ethylene Recycling LC'!$C$163))</f>
        <v>8.2065349532619436</v>
      </c>
      <c r="AF128" s="60">
        <f>AF44-('Ethylene Recycling LC'!AE86+'Ethylene Recycling LC'!AE113+'Ethylene Recycling LC'!AE145+'Ethylene Recycling LC'!AE163-('Ethylene Recycling LC'!$C$86+'Ethylene Recycling LC'!$C$113+'Ethylene Recycling LC'!$C$145+'Ethylene Recycling LC'!$C$163))</f>
        <v>8.2915480689345564</v>
      </c>
      <c r="AG128" s="60">
        <f>AG44-('Ethylene Recycling LC'!AF86+'Ethylene Recycling LC'!AF113+'Ethylene Recycling LC'!AF145+'Ethylene Recycling LC'!AF163-('Ethylene Recycling LC'!$C$86+'Ethylene Recycling LC'!$C$113+'Ethylene Recycling LC'!$C$145+'Ethylene Recycling LC'!$C$163))</f>
        <v>8.4165459531254925</v>
      </c>
      <c r="AH128" s="60">
        <f>AH44-('Ethylene Recycling LC'!AG86+'Ethylene Recycling LC'!AG113+'Ethylene Recycling LC'!AG145+'Ethylene Recycling LC'!AG163-('Ethylene Recycling LC'!$C$86+'Ethylene Recycling LC'!$C$113+'Ethylene Recycling LC'!$C$145+'Ethylene Recycling LC'!$C$163))</f>
        <v>8.5801596047522679</v>
      </c>
      <c r="AI128" s="60"/>
    </row>
    <row r="129" spans="1:35" x14ac:dyDescent="0.2">
      <c r="A129" s="688"/>
      <c r="B129" s="1" t="s">
        <v>260</v>
      </c>
      <c r="C129" s="54" t="s">
        <v>153</v>
      </c>
      <c r="D129" s="44">
        <f>D45+(D133-D49)</f>
        <v>4.5813083502024288</v>
      </c>
      <c r="E129" s="44">
        <f t="shared" ref="E129:AH129" si="40">E45+(E133-E49)</f>
        <v>4.5816569004998335</v>
      </c>
      <c r="F129" s="44">
        <f t="shared" si="40"/>
        <v>4.5805218998411954</v>
      </c>
      <c r="G129" s="44">
        <f t="shared" si="40"/>
        <v>4.5780574052080247</v>
      </c>
      <c r="H129" s="44">
        <f t="shared" si="40"/>
        <v>4.5744384965890976</v>
      </c>
      <c r="I129" s="44">
        <f t="shared" si="40"/>
        <v>4.569859439352383</v>
      </c>
      <c r="J129" s="44">
        <f t="shared" si="40"/>
        <v>4.5743547081119882</v>
      </c>
      <c r="K129" s="44">
        <f t="shared" si="40"/>
        <v>4.5781799085106236</v>
      </c>
      <c r="L129" s="44">
        <f t="shared" si="40"/>
        <v>4.5813615088892767</v>
      </c>
      <c r="M129" s="44">
        <f t="shared" si="40"/>
        <v>4.5839282024048931</v>
      </c>
      <c r="N129" s="44">
        <f t="shared" si="40"/>
        <v>4.5859108389424623</v>
      </c>
      <c r="O129" s="44">
        <f t="shared" si="40"/>
        <v>4.5729374679920749</v>
      </c>
      <c r="P129" s="44">
        <f t="shared" si="40"/>
        <v>4.5597508184731783</v>
      </c>
      <c r="Q129" s="44">
        <f t="shared" si="40"/>
        <v>4.5485596341323218</v>
      </c>
      <c r="R129" s="44">
        <f t="shared" si="40"/>
        <v>4.5388227940190884</v>
      </c>
      <c r="S129" s="44">
        <f t="shared" si="40"/>
        <v>4.5308834089540673</v>
      </c>
      <c r="T129" s="44">
        <f t="shared" si="40"/>
        <v>4.5184456657547969</v>
      </c>
      <c r="U129" s="44">
        <f t="shared" si="40"/>
        <v>4.5065166416673792</v>
      </c>
      <c r="V129" s="44">
        <f t="shared" si="40"/>
        <v>4.4952750042430472</v>
      </c>
      <c r="W129" s="44">
        <f t="shared" si="40"/>
        <v>4.4849056948618475</v>
      </c>
      <c r="X129" s="44">
        <f t="shared" si="40"/>
        <v>4.475599863398088</v>
      </c>
      <c r="Y129" s="44">
        <f t="shared" si="40"/>
        <v>4.4545217103147046</v>
      </c>
      <c r="Z129" s="44">
        <f t="shared" si="40"/>
        <v>4.4275959745006688</v>
      </c>
      <c r="AA129" s="44">
        <f t="shared" si="40"/>
        <v>4.4030099329718571</v>
      </c>
      <c r="AB129" s="44">
        <f t="shared" si="40"/>
        <v>4.3811080682232824</v>
      </c>
      <c r="AC129" s="44">
        <f t="shared" si="40"/>
        <v>4.3622450980296774</v>
      </c>
      <c r="AD129" s="44">
        <f t="shared" si="40"/>
        <v>4.3510773470428354</v>
      </c>
      <c r="AE129" s="44">
        <f t="shared" si="40"/>
        <v>4.3440618824399566</v>
      </c>
      <c r="AF129" s="44">
        <f t="shared" si="40"/>
        <v>4.3415776024177113</v>
      </c>
      <c r="AG129" s="44">
        <f t="shared" si="40"/>
        <v>4.3440128161782727</v>
      </c>
      <c r="AH129" s="44">
        <f t="shared" si="40"/>
        <v>4.3517650902003489</v>
      </c>
      <c r="AI129" s="44"/>
    </row>
    <row r="130" spans="1:35" x14ac:dyDescent="0.2">
      <c r="A130" s="688"/>
      <c r="B130" s="1" t="s">
        <v>262</v>
      </c>
      <c r="C130" s="54" t="s">
        <v>153</v>
      </c>
      <c r="D130" s="44">
        <f>D46+(D132-D48)</f>
        <v>13.515976331360944</v>
      </c>
      <c r="E130" s="44">
        <f t="shared" ref="E130:AH130" si="41">E46+(E132-E48)</f>
        <v>13.53259732748668</v>
      </c>
      <c r="F130" s="44">
        <f t="shared" si="41"/>
        <v>13.54361916452488</v>
      </c>
      <c r="G130" s="44">
        <f t="shared" si="41"/>
        <v>13.549412361295335</v>
      </c>
      <c r="H130" s="44">
        <f t="shared" si="41"/>
        <v>13.550417078510344</v>
      </c>
      <c r="I130" s="44">
        <f t="shared" si="41"/>
        <v>13.547138409788309</v>
      </c>
      <c r="J130" s="44">
        <f t="shared" si="41"/>
        <v>13.53896158404515</v>
      </c>
      <c r="K130" s="44">
        <f t="shared" si="41"/>
        <v>13.525916352069935</v>
      </c>
      <c r="L130" s="44">
        <f t="shared" si="41"/>
        <v>13.50804687846019</v>
      </c>
      <c r="M130" s="44">
        <f t="shared" si="41"/>
        <v>13.485411936239768</v>
      </c>
      <c r="N130" s="44">
        <f t="shared" si="41"/>
        <v>13.458085040936858</v>
      </c>
      <c r="O130" s="44">
        <f t="shared" si="41"/>
        <v>13.376705504820029</v>
      </c>
      <c r="P130" s="44">
        <f t="shared" si="41"/>
        <v>13.288850292768332</v>
      </c>
      <c r="Q130" s="44">
        <f t="shared" si="41"/>
        <v>13.201379506710154</v>
      </c>
      <c r="R130" s="44">
        <f t="shared" si="41"/>
        <v>13.112929509700765</v>
      </c>
      <c r="S130" s="44">
        <f t="shared" si="41"/>
        <v>13.024865118560168</v>
      </c>
      <c r="T130" s="44">
        <f t="shared" si="41"/>
        <v>12.93519971224775</v>
      </c>
      <c r="U130" s="44">
        <f t="shared" si="41"/>
        <v>12.844502995204524</v>
      </c>
      <c r="V130" s="44">
        <f t="shared" si="41"/>
        <v>12.753368067461761</v>
      </c>
      <c r="W130" s="44">
        <f t="shared" si="41"/>
        <v>12.662411286230313</v>
      </c>
      <c r="X130" s="44">
        <f t="shared" si="41"/>
        <v>12.572272092686489</v>
      </c>
      <c r="Y130" s="44">
        <f t="shared" si="41"/>
        <v>12.426966286720477</v>
      </c>
      <c r="Z130" s="44">
        <f t="shared" si="41"/>
        <v>12.260245395656977</v>
      </c>
      <c r="AA130" s="44">
        <f t="shared" si="41"/>
        <v>12.096911832208173</v>
      </c>
      <c r="AB130" s="44">
        <f t="shared" si="41"/>
        <v>11.938001324870502</v>
      </c>
      <c r="AC130" s="44">
        <f t="shared" si="41"/>
        <v>11.784698607595697</v>
      </c>
      <c r="AD130" s="44">
        <f t="shared" si="41"/>
        <v>11.638190570985218</v>
      </c>
      <c r="AE130" s="44">
        <f t="shared" si="41"/>
        <v>11.499729975807972</v>
      </c>
      <c r="AF130" s="44">
        <f t="shared" si="41"/>
        <v>11.370605998665139</v>
      </c>
      <c r="AG130" s="44">
        <f t="shared" si="41"/>
        <v>11.252143825122864</v>
      </c>
      <c r="AH130" s="44">
        <f t="shared" si="41"/>
        <v>11.145704195485171</v>
      </c>
      <c r="AI130" s="44"/>
    </row>
    <row r="131" spans="1:35" x14ac:dyDescent="0.2">
      <c r="A131" s="689"/>
      <c r="B131" s="1" t="s">
        <v>248</v>
      </c>
      <c r="C131" s="54" t="s">
        <v>153</v>
      </c>
      <c r="D131" s="44">
        <f>D47-('Ethylene Recycling LC'!C87+'Ethylene Recycling LC'!C114+'Ethylene Recycling LC'!C146+'Ethylene Recycling LC'!C164-('Ethylene Recycling LC'!$C$87+'Ethylene Recycling LC'!$C$114+'Ethylene Recycling LC'!$C$146+'Ethylene Recycling LC'!$C$164)+'Ethylene Recycling LC'!C90+'Ethylene Recycling LC'!C117+'Ethylene Recycling LC'!C149+'Ethylene Recycling LC'!C167-('Ethylene Recycling LC'!$C$90+'Ethylene Recycling LC'!$C$117+'Ethylene Recycling LC'!$C$149+'Ethylene Recycling LC'!$C$167))</f>
        <v>4.7444724576031234</v>
      </c>
      <c r="E131" s="44">
        <f>E47-('Ethylene Recycling LC'!D87+'Ethylene Recycling LC'!D114+'Ethylene Recycling LC'!D146+'Ethylene Recycling LC'!D164-('Ethylene Recycling LC'!$C$87+'Ethylene Recycling LC'!$C$114+'Ethylene Recycling LC'!$C$146+'Ethylene Recycling LC'!$C$164)+'Ethylene Recycling LC'!D90+'Ethylene Recycling LC'!D117+'Ethylene Recycling LC'!D149+'Ethylene Recycling LC'!D167-('Ethylene Recycling LC'!$C$90+'Ethylene Recycling LC'!$C$117+'Ethylene Recycling LC'!$C$149+'Ethylene Recycling LC'!$C$167))</f>
        <v>4.7335379682812242</v>
      </c>
      <c r="F131" s="44">
        <f>F47-('Ethylene Recycling LC'!E87+'Ethylene Recycling LC'!E114+'Ethylene Recycling LC'!E146+'Ethylene Recycling LC'!E164-('Ethylene Recycling LC'!$C$87+'Ethylene Recycling LC'!$C$114+'Ethylene Recycling LC'!$C$146+'Ethylene Recycling LC'!$C$164)+'Ethylene Recycling LC'!E90+'Ethylene Recycling LC'!E117+'Ethylene Recycling LC'!E149+'Ethylene Recycling LC'!E167-('Ethylene Recycling LC'!$C$90+'Ethylene Recycling LC'!$C$117+'Ethylene Recycling LC'!$C$149+'Ethylene Recycling LC'!$C$167))</f>
        <v>4.7183452742614813</v>
      </c>
      <c r="G131" s="44">
        <f>G47-('Ethylene Recycling LC'!F87+'Ethylene Recycling LC'!F114+'Ethylene Recycling LC'!F146+'Ethylene Recycling LC'!F164-('Ethylene Recycling LC'!$C$87+'Ethylene Recycling LC'!$C$114+'Ethylene Recycling LC'!$C$146+'Ethylene Recycling LC'!$C$164)+'Ethylene Recycling LC'!F90+'Ethylene Recycling LC'!F117+'Ethylene Recycling LC'!F149+'Ethylene Recycling LC'!F167-('Ethylene Recycling LC'!$C$90+'Ethylene Recycling LC'!$C$117+'Ethylene Recycling LC'!$C$149+'Ethylene Recycling LC'!$C$167))</f>
        <v>4.6990680589602247</v>
      </c>
      <c r="H131" s="44">
        <f>H47-('Ethylene Recycling LC'!G87+'Ethylene Recycling LC'!G114+'Ethylene Recycling LC'!G146+'Ethylene Recycling LC'!G164-('Ethylene Recycling LC'!$C$87+'Ethylene Recycling LC'!$C$114+'Ethylene Recycling LC'!$C$146+'Ethylene Recycling LC'!$C$164)+'Ethylene Recycling LC'!G90+'Ethylene Recycling LC'!G117+'Ethylene Recycling LC'!G149+'Ethylene Recycling LC'!G167-('Ethylene Recycling LC'!$C$90+'Ethylene Recycling LC'!$C$117+'Ethylene Recycling LC'!$C$149+'Ethylene Recycling LC'!$C$167))</f>
        <v>4.6759401863841257</v>
      </c>
      <c r="I131" s="44">
        <f>I47-('Ethylene Recycling LC'!H87+'Ethylene Recycling LC'!H114+'Ethylene Recycling LC'!H146+'Ethylene Recycling LC'!H164-('Ethylene Recycling LC'!$C$87+'Ethylene Recycling LC'!$C$114+'Ethylene Recycling LC'!$C$146+'Ethylene Recycling LC'!$C$164)+'Ethylene Recycling LC'!H90+'Ethylene Recycling LC'!H117+'Ethylene Recycling LC'!H149+'Ethylene Recycling LC'!H167-('Ethylene Recycling LC'!$C$90+'Ethylene Recycling LC'!$C$117+'Ethylene Recycling LC'!$C$149+'Ethylene Recycling LC'!$C$167))</f>
        <v>4.6492543202910754</v>
      </c>
      <c r="J131" s="44">
        <f>J47-('Ethylene Recycling LC'!I87+'Ethylene Recycling LC'!I114+'Ethylene Recycling LC'!I146+'Ethylene Recycling LC'!I164-('Ethylene Recycling LC'!$C$87+'Ethylene Recycling LC'!$C$114+'Ethylene Recycling LC'!$C$146+'Ethylene Recycling LC'!$C$164)+'Ethylene Recycling LC'!I90+'Ethylene Recycling LC'!I117+'Ethylene Recycling LC'!I149+'Ethylene Recycling LC'!I167-('Ethylene Recycling LC'!$C$90+'Ethylene Recycling LC'!$C$117+'Ethylene Recycling LC'!$C$149+'Ethylene Recycling LC'!$C$167))</f>
        <v>4.6203972529039419</v>
      </c>
      <c r="K131" s="44">
        <f>K47-('Ethylene Recycling LC'!J87+'Ethylene Recycling LC'!J114+'Ethylene Recycling LC'!J146+'Ethylene Recycling LC'!J164-('Ethylene Recycling LC'!$C$87+'Ethylene Recycling LC'!$C$114+'Ethylene Recycling LC'!$C$146+'Ethylene Recycling LC'!$C$164)+'Ethylene Recycling LC'!J90+'Ethylene Recycling LC'!J117+'Ethylene Recycling LC'!J149+'Ethylene Recycling LC'!J167-('Ethylene Recycling LC'!$C$90+'Ethylene Recycling LC'!$C$117+'Ethylene Recycling LC'!$C$149+'Ethylene Recycling LC'!$C$167))</f>
        <v>4.5877479235496077</v>
      </c>
      <c r="L131" s="44">
        <f>L47-('Ethylene Recycling LC'!K87+'Ethylene Recycling LC'!K114+'Ethylene Recycling LC'!K146+'Ethylene Recycling LC'!K164-('Ethylene Recycling LC'!$C$87+'Ethylene Recycling LC'!$C$114+'Ethylene Recycling LC'!$C$146+'Ethylene Recycling LC'!$C$164)+'Ethylene Recycling LC'!K90+'Ethylene Recycling LC'!K117+'Ethylene Recycling LC'!K149+'Ethylene Recycling LC'!K167-('Ethylene Recycling LC'!$C$90+'Ethylene Recycling LC'!$C$117+'Ethylene Recycling LC'!$C$149+'Ethylene Recycling LC'!$C$167))</f>
        <v>4.5513271215006421</v>
      </c>
      <c r="M131" s="44">
        <f>M47-('Ethylene Recycling LC'!L87+'Ethylene Recycling LC'!L114+'Ethylene Recycling LC'!L146+'Ethylene Recycling LC'!L164-('Ethylene Recycling LC'!$C$87+'Ethylene Recycling LC'!$C$114+'Ethylene Recycling LC'!$C$146+'Ethylene Recycling LC'!$C$164)+'Ethylene Recycling LC'!L90+'Ethylene Recycling LC'!L117+'Ethylene Recycling LC'!L149+'Ethylene Recycling LC'!L167-('Ethylene Recycling LC'!$C$90+'Ethylene Recycling LC'!$C$117+'Ethylene Recycling LC'!$C$149+'Ethylene Recycling LC'!$C$167))</f>
        <v>4.5111692437242787</v>
      </c>
      <c r="N131" s="44">
        <f>N47-('Ethylene Recycling LC'!M87+'Ethylene Recycling LC'!M114+'Ethylene Recycling LC'!M146+'Ethylene Recycling LC'!M164-('Ethylene Recycling LC'!$C$87+'Ethylene Recycling LC'!$C$114+'Ethylene Recycling LC'!$C$146+'Ethylene Recycling LC'!$C$164)+'Ethylene Recycling LC'!M90+'Ethylene Recycling LC'!M117+'Ethylene Recycling LC'!M149+'Ethylene Recycling LC'!M167-('Ethylene Recycling LC'!$C$90+'Ethylene Recycling LC'!$C$117+'Ethylene Recycling LC'!$C$149+'Ethylene Recycling LC'!$C$167))</f>
        <v>4.4673226132351642</v>
      </c>
      <c r="O131" s="44">
        <f>O47-('Ethylene Recycling LC'!N87+'Ethylene Recycling LC'!N114+'Ethylene Recycling LC'!N146+'Ethylene Recycling LC'!N164-('Ethylene Recycling LC'!$C$87+'Ethylene Recycling LC'!$C$114+'Ethylene Recycling LC'!$C$146+'Ethylene Recycling LC'!$C$164)+'Ethylene Recycling LC'!N90+'Ethylene Recycling LC'!N117+'Ethylene Recycling LC'!N149+'Ethylene Recycling LC'!N167-('Ethylene Recycling LC'!$C$90+'Ethylene Recycling LC'!$C$117+'Ethylene Recycling LC'!$C$149+'Ethylene Recycling LC'!$C$167))</f>
        <v>4.4030922533539716</v>
      </c>
      <c r="P131" s="44">
        <f>P47-('Ethylene Recycling LC'!O87+'Ethylene Recycling LC'!O114+'Ethylene Recycling LC'!O146+'Ethylene Recycling LC'!O164-('Ethylene Recycling LC'!$C$87+'Ethylene Recycling LC'!$C$114+'Ethylene Recycling LC'!$C$146+'Ethylene Recycling LC'!$C$164)+'Ethylene Recycling LC'!O90+'Ethylene Recycling LC'!O117+'Ethylene Recycling LC'!O149+'Ethylene Recycling LC'!O167-('Ethylene Recycling LC'!$C$90+'Ethylene Recycling LC'!$C$117+'Ethylene Recycling LC'!$C$149+'Ethylene Recycling LC'!$C$167))</f>
        <v>4.3326276729055913</v>
      </c>
      <c r="Q131" s="44">
        <f>Q47-('Ethylene Recycling LC'!P87+'Ethylene Recycling LC'!P114+'Ethylene Recycling LC'!P146+'Ethylene Recycling LC'!P164-('Ethylene Recycling LC'!$C$87+'Ethylene Recycling LC'!$C$114+'Ethylene Recycling LC'!$C$146+'Ethylene Recycling LC'!$C$164)+'Ethylene Recycling LC'!P90+'Ethylene Recycling LC'!P117+'Ethylene Recycling LC'!P149+'Ethylene Recycling LC'!P167-('Ethylene Recycling LC'!$C$90+'Ethylene Recycling LC'!$C$117+'Ethylene Recycling LC'!$C$149+'Ethylene Recycling LC'!$C$167))</f>
        <v>4.2624766460572152</v>
      </c>
      <c r="R131" s="44">
        <f>R47-('Ethylene Recycling LC'!Q87+'Ethylene Recycling LC'!Q114+'Ethylene Recycling LC'!Q146+'Ethylene Recycling LC'!Q164-('Ethylene Recycling LC'!$C$87+'Ethylene Recycling LC'!$C$114+'Ethylene Recycling LC'!$C$146+'Ethylene Recycling LC'!$C$164)+'Ethylene Recycling LC'!Q90+'Ethylene Recycling LC'!Q117+'Ethylene Recycling LC'!Q149+'Ethylene Recycling LC'!Q167-('Ethylene Recycling LC'!$C$90+'Ethylene Recycling LC'!$C$117+'Ethylene Recycling LC'!$C$149+'Ethylene Recycling LC'!$C$167))</f>
        <v>4.1908456453320406</v>
      </c>
      <c r="S131" s="44">
        <f>S47-('Ethylene Recycling LC'!R87+'Ethylene Recycling LC'!R114+'Ethylene Recycling LC'!R146+'Ethylene Recycling LC'!R164-('Ethylene Recycling LC'!$C$87+'Ethylene Recycling LC'!$C$114+'Ethylene Recycling LC'!$C$146+'Ethylene Recycling LC'!$C$164)+'Ethylene Recycling LC'!R90+'Ethylene Recycling LC'!R117+'Ethylene Recycling LC'!R149+'Ethylene Recycling LC'!R167-('Ethylene Recycling LC'!$C$90+'Ethylene Recycling LC'!$C$117+'Ethylene Recycling LC'!$C$149+'Ethylene Recycling LC'!$C$167))</f>
        <v>4.1187392182842046</v>
      </c>
      <c r="T131" s="44">
        <f>T47-('Ethylene Recycling LC'!S87+'Ethylene Recycling LC'!S114+'Ethylene Recycling LC'!S146+'Ethylene Recycling LC'!S164-('Ethylene Recycling LC'!$C$87+'Ethylene Recycling LC'!$C$114+'Ethylene Recycling LC'!$C$146+'Ethylene Recycling LC'!$C$164)+'Ethylene Recycling LC'!S90+'Ethylene Recycling LC'!S117+'Ethylene Recycling LC'!S149+'Ethylene Recycling LC'!S167-('Ethylene Recycling LC'!$C$90+'Ethylene Recycling LC'!$C$117+'Ethylene Recycling LC'!$C$149+'Ethylene Recycling LC'!$C$167))</f>
        <v>4.044189402320634</v>
      </c>
      <c r="U131" s="44">
        <f>U47-('Ethylene Recycling LC'!T87+'Ethylene Recycling LC'!T114+'Ethylene Recycling LC'!T146+'Ethylene Recycling LC'!T164-('Ethylene Recycling LC'!$C$87+'Ethylene Recycling LC'!$C$114+'Ethylene Recycling LC'!$C$146+'Ethylene Recycling LC'!$C$164)+'Ethylene Recycling LC'!T90+'Ethylene Recycling LC'!T117+'Ethylene Recycling LC'!T149+'Ethylene Recycling LC'!T167-('Ethylene Recycling LC'!$C$90+'Ethylene Recycling LC'!$C$117+'Ethylene Recycling LC'!$C$149+'Ethylene Recycling LC'!$C$167))</f>
        <v>3.9685503931979005</v>
      </c>
      <c r="V131" s="44">
        <f>V47-('Ethylene Recycling LC'!U87+'Ethylene Recycling LC'!U114+'Ethylene Recycling LC'!U146+'Ethylene Recycling LC'!U164-('Ethylene Recycling LC'!$C$87+'Ethylene Recycling LC'!$C$114+'Ethylene Recycling LC'!$C$146+'Ethylene Recycling LC'!$C$164)+'Ethylene Recycling LC'!U90+'Ethylene Recycling LC'!U117+'Ethylene Recycling LC'!U149+'Ethylene Recycling LC'!U167-('Ethylene Recycling LC'!$C$90+'Ethylene Recycling LC'!$C$117+'Ethylene Recycling LC'!$C$149+'Ethylene Recycling LC'!$C$167))</f>
        <v>3.8923951980475096</v>
      </c>
      <c r="W131" s="44">
        <f>W47-('Ethylene Recycling LC'!V87+'Ethylene Recycling LC'!V114+'Ethylene Recycling LC'!V146+'Ethylene Recycling LC'!V164-('Ethylene Recycling LC'!$C$87+'Ethylene Recycling LC'!$C$114+'Ethylene Recycling LC'!$C$146+'Ethylene Recycling LC'!$C$164)+'Ethylene Recycling LC'!V90+'Ethylene Recycling LC'!V117+'Ethylene Recycling LC'!V149+'Ethylene Recycling LC'!V167-('Ethylene Recycling LC'!$C$90+'Ethylene Recycling LC'!$C$117+'Ethylene Recycling LC'!$C$149+'Ethylene Recycling LC'!$C$167))</f>
        <v>3.8163216471414172</v>
      </c>
      <c r="X131" s="44">
        <f>X47-('Ethylene Recycling LC'!W87+'Ethylene Recycling LC'!W114+'Ethylene Recycling LC'!W146+'Ethylene Recycling LC'!W164-('Ethylene Recycling LC'!$C$87+'Ethylene Recycling LC'!$C$114+'Ethylene Recycling LC'!$C$146+'Ethylene Recycling LC'!$C$164)+'Ethylene Recycling LC'!W90+'Ethylene Recycling LC'!W117+'Ethylene Recycling LC'!W149+'Ethylene Recycling LC'!W167-('Ethylene Recycling LC'!$C$90+'Ethylene Recycling LC'!$C$117+'Ethylene Recycling LC'!$C$149+'Ethylene Recycling LC'!$C$167))</f>
        <v>3.7409523296641143</v>
      </c>
      <c r="Y131" s="44">
        <f>Y47-('Ethylene Recycling LC'!X87+'Ethylene Recycling LC'!X114+'Ethylene Recycling LC'!X146+'Ethylene Recycling LC'!X164-('Ethylene Recycling LC'!$C$87+'Ethylene Recycling LC'!$C$114+'Ethylene Recycling LC'!$C$146+'Ethylene Recycling LC'!$C$164)+'Ethylene Recycling LC'!X90+'Ethylene Recycling LC'!X117+'Ethylene Recycling LC'!X149+'Ethylene Recycling LC'!X167-('Ethylene Recycling LC'!$C$90+'Ethylene Recycling LC'!$C$117+'Ethylene Recycling LC'!$C$149+'Ethylene Recycling LC'!$C$167))</f>
        <v>3.6536692327650799</v>
      </c>
      <c r="Z131" s="44">
        <f>Z47-('Ethylene Recycling LC'!Y87+'Ethylene Recycling LC'!Y114+'Ethylene Recycling LC'!Y146+'Ethylene Recycling LC'!Y164-('Ethylene Recycling LC'!$C$87+'Ethylene Recycling LC'!$C$114+'Ethylene Recycling LC'!$C$146+'Ethylene Recycling LC'!$C$164)+'Ethylene Recycling LC'!Y90+'Ethylene Recycling LC'!Y117+'Ethylene Recycling LC'!Y149+'Ethylene Recycling LC'!Y167-('Ethylene Recycling LC'!$C$90+'Ethylene Recycling LC'!$C$117+'Ethylene Recycling LC'!$C$149+'Ethylene Recycling LC'!$C$167))</f>
        <v>3.544052595358</v>
      </c>
      <c r="AA131" s="44">
        <f>AA47-('Ethylene Recycling LC'!Z87+'Ethylene Recycling LC'!Z114+'Ethylene Recycling LC'!Z146+'Ethylene Recycling LC'!Z164-('Ethylene Recycling LC'!$C$87+'Ethylene Recycling LC'!$C$114+'Ethylene Recycling LC'!$C$146+'Ethylene Recycling LC'!$C$164)+'Ethylene Recycling LC'!Z90+'Ethylene Recycling LC'!Z117+'Ethylene Recycling LC'!Z149+'Ethylene Recycling LC'!Z167-('Ethylene Recycling LC'!$C$90+'Ethylene Recycling LC'!$C$117+'Ethylene Recycling LC'!$C$149+'Ethylene Recycling LC'!$C$167))</f>
        <v>3.4370029405670213</v>
      </c>
      <c r="AB131" s="44">
        <f>AB47-('Ethylene Recycling LC'!AA87+'Ethylene Recycling LC'!AA114+'Ethylene Recycling LC'!AA146+'Ethylene Recycling LC'!AA164-('Ethylene Recycling LC'!$C$87+'Ethylene Recycling LC'!$C$114+'Ethylene Recycling LC'!$C$146+'Ethylene Recycling LC'!$C$164)+'Ethylene Recycling LC'!AA90+'Ethylene Recycling LC'!AA117+'Ethylene Recycling LC'!AA149+'Ethylene Recycling LC'!AA167-('Ethylene Recycling LC'!$C$90+'Ethylene Recycling LC'!$C$117+'Ethylene Recycling LC'!$C$149+'Ethylene Recycling LC'!$C$167))</f>
        <v>3.3333382124258035</v>
      </c>
      <c r="AC131" s="44">
        <f>AC47-('Ethylene Recycling LC'!AB87+'Ethylene Recycling LC'!AB114+'Ethylene Recycling LC'!AB146+'Ethylene Recycling LC'!AB164-('Ethylene Recycling LC'!$C$87+'Ethylene Recycling LC'!$C$114+'Ethylene Recycling LC'!$C$146+'Ethylene Recycling LC'!$C$164)+'Ethylene Recycling LC'!AB90+'Ethylene Recycling LC'!AB117+'Ethylene Recycling LC'!AB149+'Ethylene Recycling LC'!AB167-('Ethylene Recycling LC'!$C$90+'Ethylene Recycling LC'!$C$117+'Ethylene Recycling LC'!$C$149+'Ethylene Recycling LC'!$C$167))</f>
        <v>3.2341861205155378</v>
      </c>
      <c r="AD131" s="44">
        <f>AD47-('Ethylene Recycling LC'!AC87+'Ethylene Recycling LC'!AC114+'Ethylene Recycling LC'!AC146+'Ethylene Recycling LC'!AC164-('Ethylene Recycling LC'!$C$87+'Ethylene Recycling LC'!$C$114+'Ethylene Recycling LC'!$C$146+'Ethylene Recycling LC'!$C$164)+'Ethylene Recycling LC'!AC90+'Ethylene Recycling LC'!AC117+'Ethylene Recycling LC'!AC149+'Ethylene Recycling LC'!AC167-('Ethylene Recycling LC'!$C$90+'Ethylene Recycling LC'!$C$117+'Ethylene Recycling LC'!$C$149+'Ethylene Recycling LC'!$C$167))</f>
        <v>3.1414099887694014</v>
      </c>
      <c r="AE131" s="44">
        <f>AE47-('Ethylene Recycling LC'!AD87+'Ethylene Recycling LC'!AD114+'Ethylene Recycling LC'!AD146+'Ethylene Recycling LC'!AD164-('Ethylene Recycling LC'!$C$87+'Ethylene Recycling LC'!$C$114+'Ethylene Recycling LC'!$C$146+'Ethylene Recycling LC'!$C$164)+'Ethylene Recycling LC'!AD90+'Ethylene Recycling LC'!AD117+'Ethylene Recycling LC'!AD149+'Ethylene Recycling LC'!AD167-('Ethylene Recycling LC'!$C$90+'Ethylene Recycling LC'!$C$117+'Ethylene Recycling LC'!$C$149+'Ethylene Recycling LC'!$C$167))</f>
        <v>3.0555609324468551</v>
      </c>
      <c r="AF131" s="44">
        <f>AF47-('Ethylene Recycling LC'!AE87+'Ethylene Recycling LC'!AE114+'Ethylene Recycling LC'!AE146+'Ethylene Recycling LC'!AE164-('Ethylene Recycling LC'!$C$87+'Ethylene Recycling LC'!$C$114+'Ethylene Recycling LC'!$C$146+'Ethylene Recycling LC'!$C$164)+'Ethylene Recycling LC'!AE90+'Ethylene Recycling LC'!AE117+'Ethylene Recycling LC'!AE149+'Ethylene Recycling LC'!AE167-('Ethylene Recycling LC'!$C$90+'Ethylene Recycling LC'!$C$117+'Ethylene Recycling LC'!$C$149+'Ethylene Recycling LC'!$C$167))</f>
        <v>2.9778819455184138</v>
      </c>
      <c r="AG131" s="44">
        <f>AG47-('Ethylene Recycling LC'!AF87+'Ethylene Recycling LC'!AF114+'Ethylene Recycling LC'!AF146+'Ethylene Recycling LC'!AF164-('Ethylene Recycling LC'!$C$87+'Ethylene Recycling LC'!$C$114+'Ethylene Recycling LC'!$C$146+'Ethylene Recycling LC'!$C$164)+'Ethylene Recycling LC'!AF90+'Ethylene Recycling LC'!AF117+'Ethylene Recycling LC'!AF149+'Ethylene Recycling LC'!AF167-('Ethylene Recycling LC'!$C$90+'Ethylene Recycling LC'!$C$117+'Ethylene Recycling LC'!$C$149+'Ethylene Recycling LC'!$C$167))</f>
        <v>2.9096554235001202</v>
      </c>
      <c r="AH131" s="44">
        <f>AH47-('Ethylene Recycling LC'!AG87+'Ethylene Recycling LC'!AG114+'Ethylene Recycling LC'!AG146+'Ethylene Recycling LC'!AG164-('Ethylene Recycling LC'!$C$87+'Ethylene Recycling LC'!$C$114+'Ethylene Recycling LC'!$C$146+'Ethylene Recycling LC'!$C$164)+'Ethylene Recycling LC'!AG90+'Ethylene Recycling LC'!AG117+'Ethylene Recycling LC'!AG149+'Ethylene Recycling LC'!AG167-('Ethylene Recycling LC'!$C$90+'Ethylene Recycling LC'!$C$117+'Ethylene Recycling LC'!$C$149+'Ethylene Recycling LC'!$C$167))</f>
        <v>2.8522028908176664</v>
      </c>
      <c r="AI131" s="44"/>
    </row>
    <row r="132" spans="1:35" s="67" customFormat="1" x14ac:dyDescent="0.2">
      <c r="A132" s="690" t="s">
        <v>263</v>
      </c>
      <c r="B132" s="58" t="s">
        <v>264</v>
      </c>
      <c r="C132" s="59" t="s">
        <v>153</v>
      </c>
      <c r="D132" s="60">
        <f>D48-('Ethylene Recycling LC'!C88+'Ethylene Recycling LC'!C115+'Ethylene Recycling LC'!C147+'Ethylene Recycling LC'!C165-('Ethylene Recycling LC'!$C$88+'Ethylene Recycling LC'!$C$115+'Ethylene Recycling LC'!$C$147+'Ethylene Recycling LC'!$C$165))</f>
        <v>12.975337278106506</v>
      </c>
      <c r="E132" s="60">
        <f>E48-('Ethylene Recycling LC'!D88+'Ethylene Recycling LC'!D115+'Ethylene Recycling LC'!D147+'Ethylene Recycling LC'!D165-('Ethylene Recycling LC'!$C$88+'Ethylene Recycling LC'!$C$115+'Ethylene Recycling LC'!$C$147+'Ethylene Recycling LC'!$C$165))</f>
        <v>12.988516751886644</v>
      </c>
      <c r="F132" s="60">
        <f>F48-('Ethylene Recycling LC'!E88+'Ethylene Recycling LC'!E115+'Ethylene Recycling LC'!E147+'Ethylene Recycling LC'!E165-('Ethylene Recycling LC'!$C$88+'Ethylene Recycling LC'!$C$115+'Ethylene Recycling LC'!$C$147+'Ethylene Recycling LC'!$C$165))</f>
        <v>12.996136299505887</v>
      </c>
      <c r="G132" s="60">
        <f>G48-('Ethylene Recycling LC'!F88+'Ethylene Recycling LC'!F115+'Ethylene Recycling LC'!F147+'Ethylene Recycling LC'!F165-('Ethylene Recycling LC'!$C$88+'Ethylene Recycling LC'!$C$115+'Ethylene Recycling LC'!$C$147+'Ethylene Recycling LC'!$C$165))</f>
        <v>12.998568768303489</v>
      </c>
      <c r="H132" s="60">
        <f>H48-('Ethylene Recycling LC'!G88+'Ethylene Recycling LC'!G115+'Ethylene Recycling LC'!G147+'Ethylene Recycling LC'!G165-('Ethylene Recycling LC'!$C$88+'Ethylene Recycling LC'!$C$115+'Ethylene Recycling LC'!$C$147+'Ethylene Recycling LC'!$C$165))</f>
        <v>12.996256715342557</v>
      </c>
      <c r="I132" s="60">
        <f>I48-('Ethylene Recycling LC'!H88+'Ethylene Recycling LC'!H115+'Ethylene Recycling LC'!H147+'Ethylene Recycling LC'!H165-('Ethylene Recycling LC'!$C$88+'Ethylene Recycling LC'!$C$115+'Ethylene Recycling LC'!$C$147+'Ethylene Recycling LC'!$C$165))</f>
        <v>12.989707700056975</v>
      </c>
      <c r="J132" s="60">
        <f>J48-('Ethylene Recycling LC'!I88+'Ethylene Recycling LC'!I115+'Ethylene Recycling LC'!I147+'Ethylene Recycling LC'!I165-('Ethylene Recycling LC'!$C$88+'Ethylene Recycling LC'!$C$115+'Ethylene Recycling LC'!$C$147+'Ethylene Recycling LC'!$C$165))</f>
        <v>12.978309488312064</v>
      </c>
      <c r="K132" s="60">
        <f>K48-('Ethylene Recycling LC'!J88+'Ethylene Recycling LC'!J115+'Ethylene Recycling LC'!J147+'Ethylene Recycling LC'!J165-('Ethylene Recycling LC'!$C$88+'Ethylene Recycling LC'!$C$115+'Ethylene Recycling LC'!$C$147+'Ethylene Recycling LC'!$C$165))</f>
        <v>12.962094440686149</v>
      </c>
      <c r="L132" s="60">
        <f>L48-('Ethylene Recycling LC'!K88+'Ethylene Recycling LC'!K115+'Ethylene Recycling LC'!K147+'Ethylene Recycling LC'!K165-('Ethylene Recycling LC'!$C$88+'Ethylene Recycling LC'!$C$115+'Ethylene Recycling LC'!$C$147+'Ethylene Recycling LC'!$C$165))</f>
        <v>12.941109406149248</v>
      </c>
      <c r="M132" s="60">
        <f>M48-('Ethylene Recycling LC'!L88+'Ethylene Recycling LC'!L115+'Ethylene Recycling LC'!L147+'Ethylene Recycling LC'!L165-('Ethylene Recycling LC'!$C$88+'Ethylene Recycling LC'!$C$115+'Ethylene Recycling LC'!$C$147+'Ethylene Recycling LC'!$C$165))</f>
        <v>12.915415918462536</v>
      </c>
      <c r="N132" s="60">
        <f>N48-('Ethylene Recycling LC'!M88+'Ethylene Recycling LC'!M115+'Ethylene Recycling LC'!M147+'Ethylene Recycling LC'!M165-('Ethylene Recycling LC'!$C$88+'Ethylene Recycling LC'!$C$115+'Ethylene Recycling LC'!$C$147+'Ethylene Recycling LC'!$C$165))</f>
        <v>12.885090332076979</v>
      </c>
      <c r="O132" s="60">
        <f>O48-('Ethylene Recycling LC'!N88+'Ethylene Recycling LC'!N115+'Ethylene Recycling LC'!N147+'Ethylene Recycling LC'!N165-('Ethylene Recycling LC'!$C$88+'Ethylene Recycling LC'!$C$115+'Ethylene Recycling LC'!$C$147+'Ethylene Recycling LC'!$C$165))</f>
        <v>12.800774878229833</v>
      </c>
      <c r="P132" s="60">
        <f>P48-('Ethylene Recycling LC'!O88+'Ethylene Recycling LC'!O115+'Ethylene Recycling LC'!O147+'Ethylene Recycling LC'!O165-('Ethylene Recycling LC'!$C$88+'Ethylene Recycling LC'!$C$115+'Ethylene Recycling LC'!$C$147+'Ethylene Recycling LC'!$C$165))</f>
        <v>12.710049522715847</v>
      </c>
      <c r="Q132" s="60">
        <f>Q48-('Ethylene Recycling LC'!P88+'Ethylene Recycling LC'!P115+'Ethylene Recycling LC'!P147+'Ethylene Recycling LC'!P165-('Ethylene Recycling LC'!$C$88+'Ethylene Recycling LC'!$C$115+'Ethylene Recycling LC'!$C$147+'Ethylene Recycling LC'!$C$165))</f>
        <v>12.619777452268748</v>
      </c>
      <c r="R132" s="60">
        <f>R48-('Ethylene Recycling LC'!Q88+'Ethylene Recycling LC'!Q115+'Ethylene Recycling LC'!Q147+'Ethylene Recycling LC'!Q165-('Ethylene Recycling LC'!$C$88+'Ethylene Recycling LC'!$C$115+'Ethylene Recycling LC'!$C$147+'Ethylene Recycling LC'!$C$165))</f>
        <v>12.528598200623758</v>
      </c>
      <c r="S132" s="60">
        <f>S48-('Ethylene Recycling LC'!R88+'Ethylene Recycling LC'!R115+'Ethylene Recycling LC'!R147+'Ethylene Recycling LC'!R165-('Ethylene Recycling LC'!$C$88+'Ethylene Recycling LC'!$C$115+'Ethylene Recycling LC'!$C$147+'Ethylene Recycling LC'!$C$165))</f>
        <v>12.437879843183683</v>
      </c>
      <c r="T132" s="60">
        <f>T48-('Ethylene Recycling LC'!S88+'Ethylene Recycling LC'!S115+'Ethylene Recycling LC'!S147+'Ethylene Recycling LC'!S165-('Ethylene Recycling LC'!$C$88+'Ethylene Recycling LC'!$C$115+'Ethylene Recycling LC'!$C$147+'Ethylene Recycling LC'!$C$165))</f>
        <v>12.34563910746593</v>
      </c>
      <c r="U132" s="60">
        <f>U48-('Ethylene Recycling LC'!T88+'Ethylene Recycling LC'!T115+'Ethylene Recycling LC'!T147+'Ethylene Recycling LC'!T165-('Ethylene Recycling LC'!$C$88+'Ethylene Recycling LC'!$C$115+'Ethylene Recycling LC'!$C$147+'Ethylene Recycling LC'!$C$165))</f>
        <v>12.25244913856217</v>
      </c>
      <c r="V132" s="60">
        <f>V48-('Ethylene Recycling LC'!U88+'Ethylene Recycling LC'!U115+'Ethylene Recycling LC'!U147+'Ethylene Recycling LC'!U165-('Ethylene Recycling LC'!$C$88+'Ethylene Recycling LC'!$C$115+'Ethylene Recycling LC'!$C$147+'Ethylene Recycling LC'!$C$165))</f>
        <v>12.158906571410398</v>
      </c>
      <c r="W132" s="60">
        <f>W48-('Ethylene Recycling LC'!V88+'Ethylene Recycling LC'!V115+'Ethylene Recycling LC'!V147+'Ethylene Recycling LC'!V165-('Ethylene Recycling LC'!$C$88+'Ethylene Recycling LC'!$C$115+'Ethylene Recycling LC'!$C$147+'Ethylene Recycling LC'!$C$165))</f>
        <v>12.065631394594604</v>
      </c>
      <c r="X132" s="60">
        <f>X48-('Ethylene Recycling LC'!W88+'Ethylene Recycling LC'!W115+'Ethylene Recycling LC'!W147+'Ethylene Recycling LC'!W165-('Ethylene Recycling LC'!$C$88+'Ethylene Recycling LC'!$C$115+'Ethylene Recycling LC'!$C$147+'Ethylene Recycling LC'!$C$165))</f>
        <v>11.973266779388926</v>
      </c>
      <c r="Y132" s="60">
        <f>Y48-('Ethylene Recycling LC'!X88+'Ethylene Recycling LC'!X115+'Ethylene Recycling LC'!X147+'Ethylene Recycling LC'!X165-('Ethylene Recycling LC'!$C$88+'Ethylene Recycling LC'!$C$115+'Ethylene Recycling LC'!$C$147+'Ethylene Recycling LC'!$C$165))</f>
        <v>11.826076431774339</v>
      </c>
      <c r="Z132" s="60">
        <f>Z48-('Ethylene Recycling LC'!Y88+'Ethylene Recycling LC'!Y115+'Ethylene Recycling LC'!Y147+'Ethylene Recycling LC'!Y165-('Ethylene Recycling LC'!$C$88+'Ethylene Recycling LC'!$C$115+'Ethylene Recycling LC'!$C$147+'Ethylene Recycling LC'!$C$165))</f>
        <v>11.657580037181758</v>
      </c>
      <c r="AA132" s="60">
        <f>AA48-('Ethylene Recycling LC'!Z88+'Ethylene Recycling LC'!Z115+'Ethylene Recycling LC'!Z147+'Ethylene Recycling LC'!Z165-('Ethylene Recycling LC'!$C$88+'Ethylene Recycling LC'!$C$115+'Ethylene Recycling LC'!$C$147+'Ethylene Recycling LC'!$C$165))</f>
        <v>11.492584260251963</v>
      </c>
      <c r="AB132" s="60">
        <f>AB48-('Ethylene Recycling LC'!AA88+'Ethylene Recycling LC'!AA115+'Ethylene Recycling LC'!AA147+'Ethylene Recycling LC'!AA165-('Ethylene Recycling LC'!$C$88+'Ethylene Recycling LC'!$C$115+'Ethylene Recycling LC'!$C$147+'Ethylene Recycling LC'!$C$165))</f>
        <v>11.332129194463548</v>
      </c>
      <c r="AC132" s="60">
        <f>AC48-('Ethylene Recycling LC'!AB88+'Ethylene Recycling LC'!AB115+'Ethylene Recycling LC'!AB147+'Ethylene Recycling LC'!AB165-('Ethylene Recycling LC'!$C$88+'Ethylene Recycling LC'!$C$115+'Ethylene Recycling LC'!$C$147+'Ethylene Recycling LC'!$C$165))</f>
        <v>11.177404054418966</v>
      </c>
      <c r="AD132" s="60">
        <f>AD48-('Ethylene Recycling LC'!AC88+'Ethylene Recycling LC'!AC115+'Ethylene Recycling LC'!AC147+'Ethylene Recycling LC'!AC165-('Ethylene Recycling LC'!$C$88+'Ethylene Recycling LC'!$C$115+'Ethylene Recycling LC'!$C$147+'Ethylene Recycling LC'!$C$165))</f>
        <v>11.029600329710227</v>
      </c>
      <c r="AE132" s="60">
        <f>AE48-('Ethylene Recycling LC'!AD88+'Ethylene Recycling LC'!AD115+'Ethylene Recycling LC'!AD147+'Ethylene Recycling LC'!AD165-('Ethylene Recycling LC'!$C$88+'Ethylene Recycling LC'!$C$115+'Ethylene Recycling LC'!$C$147+'Ethylene Recycling LC'!$C$165))</f>
        <v>10.889975501165249</v>
      </c>
      <c r="AF132" s="60">
        <f>AF48-('Ethylene Recycling LC'!AE88+'Ethylene Recycling LC'!AE115+'Ethylene Recycling LC'!AE147+'Ethylene Recycling LC'!AE165-('Ethylene Recycling LC'!$C$88+'Ethylene Recycling LC'!$C$115+'Ethylene Recycling LC'!$C$147+'Ethylene Recycling LC'!$C$165))</f>
        <v>10.759823589299909</v>
      </c>
      <c r="AG132" s="60">
        <f>AG48-('Ethylene Recycling LC'!AF88+'Ethylene Recycling LC'!AF115+'Ethylene Recycling LC'!AF147+'Ethylene Recycling LC'!AF165-('Ethylene Recycling LC'!$C$88+'Ethylene Recycling LC'!$C$115+'Ethylene Recycling LC'!$C$147+'Ethylene Recycling LC'!$C$165))</f>
        <v>10.640474750297734</v>
      </c>
      <c r="AH132" s="60">
        <f>AH48-('Ethylene Recycling LC'!AG88+'Ethylene Recycling LC'!AG115+'Ethylene Recycling LC'!AG147+'Ethylene Recycling LC'!AG165-('Ethylene Recycling LC'!$C$88+'Ethylene Recycling LC'!$C$115+'Ethylene Recycling LC'!$C$147+'Ethylene Recycling LC'!$C$165))</f>
        <v>10.53329482469081</v>
      </c>
      <c r="AI132" s="60"/>
    </row>
    <row r="133" spans="1:35" s="68" customFormat="1" x14ac:dyDescent="0.2">
      <c r="A133" s="691"/>
      <c r="B133" s="62" t="s">
        <v>266</v>
      </c>
      <c r="C133" s="283" t="s">
        <v>153</v>
      </c>
      <c r="D133" s="284">
        <f>D49-('Ethylene Recycling LC'!C89+'Ethylene Recycling LC'!C116+'Ethylene Recycling LC'!C148+'Ethylene Recycling LC'!C166-('Ethylene Recycling LC'!$C$89+'Ethylene Recycling LC'!$C$116+'Ethylene Recycling LC'!$C$148+'Ethylene Recycling LC'!$C$166))</f>
        <v>2.8011119939271252</v>
      </c>
      <c r="E133" s="284">
        <f>E49-('Ethylene Recycling LC'!D89+'Ethylene Recycling LC'!D116+'Ethylene Recycling LC'!D148+'Ethylene Recycling LC'!D166-('Ethylene Recycling LC'!$C$89+'Ethylene Recycling LC'!$C$116+'Ethylene Recycling LC'!$C$148+'Ethylene Recycling LC'!$C$166))</f>
        <v>2.790128426237874</v>
      </c>
      <c r="F133" s="284">
        <f>F49-('Ethylene Recycling LC'!E89+'Ethylene Recycling LC'!E116+'Ethylene Recycling LC'!E148+'Ethylene Recycling LC'!E166-('Ethylene Recycling LC'!$C$89+'Ethylene Recycling LC'!$C$116+'Ethylene Recycling LC'!$C$148+'Ethylene Recycling LC'!$C$166))</f>
        <v>2.7777904923279988</v>
      </c>
      <c r="G133" s="284">
        <f>G49-('Ethylene Recycling LC'!F89+'Ethylene Recycling LC'!F116+'Ethylene Recycling LC'!F148+'Ethylene Recycling LC'!F166-('Ethylene Recycling LC'!$C$89+'Ethylene Recycling LC'!$C$116+'Ethylene Recycling LC'!$C$148+'Ethylene Recycling LC'!$C$166))</f>
        <v>2.7642599164421093</v>
      </c>
      <c r="H133" s="284">
        <f>H49-('Ethylene Recycling LC'!G89+'Ethylene Recycling LC'!G116+'Ethylene Recycling LC'!G148+'Ethylene Recycling LC'!G166-('Ethylene Recycling LC'!$C$89+'Ethylene Recycling LC'!$C$116+'Ethylene Recycling LC'!$C$148+'Ethylene Recycling LC'!$C$166))</f>
        <v>2.7497196691846439</v>
      </c>
      <c r="I133" s="284">
        <f>I49-('Ethylene Recycling LC'!H89+'Ethylene Recycling LC'!H116+'Ethylene Recycling LC'!H148+'Ethylene Recycling LC'!H166-('Ethylene Recycling LC'!$C$89+'Ethylene Recycling LC'!$C$116+'Ethylene Recycling LC'!$C$148+'Ethylene Recycling LC'!$C$166))</f>
        <v>2.7343721352699331</v>
      </c>
      <c r="J133" s="284">
        <f>J49-('Ethylene Recycling LC'!I89+'Ethylene Recycling LC'!I116+'Ethylene Recycling LC'!I148+'Ethylene Recycling LC'!I166-('Ethylene Recycling LC'!$C$89+'Ethylene Recycling LC'!$C$116+'Ethylene Recycling LC'!$C$148+'Ethylene Recycling LC'!$C$166))</f>
        <v>2.7282601428856115</v>
      </c>
      <c r="K133" s="284">
        <f>K49-('Ethylene Recycling LC'!J89+'Ethylene Recycling LC'!J116+'Ethylene Recycling LC'!J148+'Ethylene Recycling LC'!J166-('Ethylene Recycling LC'!$C$89+'Ethylene Recycling LC'!$C$116+'Ethylene Recycling LC'!$C$148+'Ethylene Recycling LC'!$C$166))</f>
        <v>2.7216478910923039</v>
      </c>
      <c r="L133" s="284">
        <f>L49-('Ethylene Recycling LC'!K89+'Ethylene Recycling LC'!K116+'Ethylene Recycling LC'!K148+'Ethylene Recycling LC'!K166-('Ethylene Recycling LC'!$C$89+'Ethylene Recycling LC'!$C$116+'Ethylene Recycling LC'!$C$148+'Ethylene Recycling LC'!$C$166))</f>
        <v>2.7145706872338393</v>
      </c>
      <c r="M133" s="284">
        <f>M49-('Ethylene Recycling LC'!L89+'Ethylene Recycling LC'!L116+'Ethylene Recycling LC'!L148+'Ethylene Recycling LC'!L166-('Ethylene Recycling LC'!$C$89+'Ethylene Recycling LC'!$C$116+'Ethylene Recycling LC'!$C$148+'Ethylene Recycling LC'!$C$166))</f>
        <v>2.707066314921311</v>
      </c>
      <c r="N133" s="284">
        <f>N49-('Ethylene Recycling LC'!M89+'Ethylene Recycling LC'!M116+'Ethylene Recycling LC'!M148+'Ethylene Recycling LC'!M166-('Ethylene Recycling LC'!$C$89+'Ethylene Recycling LC'!$C$116+'Ethylene Recycling LC'!$C$148+'Ethylene Recycling LC'!$C$166))</f>
        <v>2.6991749719400353</v>
      </c>
      <c r="O133" s="284">
        <f>O49-('Ethylene Recycling LC'!N89+'Ethylene Recycling LC'!N116+'Ethylene Recycling LC'!N148+'Ethylene Recycling LC'!N166-('Ethylene Recycling LC'!$C$89+'Ethylene Recycling LC'!$C$116+'Ethylene Recycling LC'!$C$148+'Ethylene Recycling LC'!$C$166))</f>
        <v>2.6765343192526467</v>
      </c>
      <c r="P133" s="284">
        <f>P49-('Ethylene Recycling LC'!O89+'Ethylene Recycling LC'!O116+'Ethylene Recycling LC'!O148+'Ethylene Recycling LC'!O166-('Ethylene Recycling LC'!$C$89+'Ethylene Recycling LC'!$C$116+'Ethylene Recycling LC'!$C$148+'Ethylene Recycling LC'!$C$166))</f>
        <v>2.6538969670832531</v>
      </c>
      <c r="Q133" s="284">
        <f>Q49-('Ethylene Recycling LC'!P89+'Ethylene Recycling LC'!P116+'Ethylene Recycling LC'!P148+'Ethylene Recycling LC'!P166-('Ethylene Recycling LC'!$C$89+'Ethylene Recycling LC'!$C$116+'Ethylene Recycling LC'!$C$148+'Ethylene Recycling LC'!$C$166))</f>
        <v>2.6334818167117695</v>
      </c>
      <c r="R133" s="284">
        <f>R49-('Ethylene Recycling LC'!Q89+'Ethylene Recycling LC'!Q116+'Ethylene Recycling LC'!Q148+'Ethylene Recycling LC'!Q166-('Ethylene Recycling LC'!$C$89+'Ethylene Recycling LC'!$C$116+'Ethylene Recycling LC'!$C$148+'Ethylene Recycling LC'!$C$166))</f>
        <v>2.6147581874859194</v>
      </c>
      <c r="S133" s="284">
        <f>S49-('Ethylene Recycling LC'!R89+'Ethylene Recycling LC'!R116+'Ethylene Recycling LC'!R148+'Ethylene Recycling LC'!R166-('Ethylene Recycling LC'!$C$89+'Ethylene Recycling LC'!$C$116+'Ethylene Recycling LC'!$C$148+'Ethylene Recycling LC'!$C$166))</f>
        <v>2.5980799199676858</v>
      </c>
      <c r="T133" s="284">
        <f>T49-('Ethylene Recycling LC'!S89+'Ethylene Recycling LC'!S116+'Ethylene Recycling LC'!S148+'Ethylene Recycling LC'!S166-('Ethylene Recycling LC'!$C$89+'Ethylene Recycling LC'!$C$116+'Ethylene Recycling LC'!$C$148+'Ethylene Recycling LC'!$C$166))</f>
        <v>2.5771622269830834</v>
      </c>
      <c r="U133" s="284">
        <f>U49-('Ethylene Recycling LC'!T89+'Ethylene Recycling LC'!T116+'Ethylene Recycling LC'!T148+'Ethylene Recycling LC'!T166-('Ethylene Recycling LC'!$C$89+'Ethylene Recycling LC'!$C$116+'Ethylene Recycling LC'!$C$148+'Ethylene Recycling LC'!$C$166))</f>
        <v>2.557023515025949</v>
      </c>
      <c r="V133" s="284">
        <f>V49-('Ethylene Recycling LC'!U89+'Ethylene Recycling LC'!U116+'Ethylene Recycling LC'!U148+'Ethylene Recycling LC'!U166-('Ethylene Recycling LC'!$C$89+'Ethylene Recycling LC'!$C$116+'Ethylene Recycling LC'!$C$148+'Ethylene Recycling LC'!$C$166))</f>
        <v>2.5378540912581347</v>
      </c>
      <c r="W133" s="284">
        <f>W49-('Ethylene Recycling LC'!V89+'Ethylene Recycling LC'!V116+'Ethylene Recycling LC'!V148+'Ethylene Recycling LC'!V166-('Ethylene Recycling LC'!$C$89+'Ethylene Recycling LC'!$C$116+'Ethylene Recycling LC'!$C$148+'Ethylene Recycling LC'!$C$166))</f>
        <v>2.5198508543113736</v>
      </c>
      <c r="X133" s="284">
        <f>X49-('Ethylene Recycling LC'!W89+'Ethylene Recycling LC'!W116+'Ethylene Recycling LC'!W148+'Ethylene Recycling LC'!W166-('Ethylene Recycling LC'!$C$89+'Ethylene Recycling LC'!$C$116+'Ethylene Recycling LC'!$C$148+'Ethylene Recycling LC'!$C$166))</f>
        <v>2.5032172363886769</v>
      </c>
      <c r="Y133" s="284">
        <f>Y49-('Ethylene Recycling LC'!X89+'Ethylene Recycling LC'!X116+'Ethylene Recycling LC'!X148+'Ethylene Recycling LC'!X166-('Ethylene Recycling LC'!$C$89+'Ethylene Recycling LC'!$C$116+'Ethylene Recycling LC'!$C$148+'Ethylene Recycling LC'!$C$166))</f>
        <v>2.4759337339953524</v>
      </c>
      <c r="Z133" s="284">
        <f>Z49-('Ethylene Recycling LC'!Y89+'Ethylene Recycling LC'!Y116+'Ethylene Recycling LC'!Y148+'Ethylene Recycling LC'!Y166-('Ethylene Recycling LC'!$C$89+'Ethylene Recycling LC'!$C$116+'Ethylene Recycling LC'!$C$148+'Ethylene Recycling LC'!$C$166))</f>
        <v>2.4431616855740454</v>
      </c>
      <c r="AA133" s="284">
        <f>AA49-('Ethylene Recycling LC'!Z89+'Ethylene Recycling LC'!Z116+'Ethylene Recycling LC'!Z148+'Ethylene Recycling LC'!Z166-('Ethylene Recycling LC'!$C$89+'Ethylene Recycling LC'!$C$116+'Ethylene Recycling LC'!$C$148+'Ethylene Recycling LC'!$C$166))</f>
        <v>2.4131023687344713</v>
      </c>
      <c r="AB133" s="284">
        <f>AB49-('Ethylene Recycling LC'!AA89+'Ethylene Recycling LC'!AA116+'Ethylene Recycling LC'!AA148+'Ethylene Recycling LC'!AA166-('Ethylene Recycling LC'!$C$89+'Ethylene Recycling LC'!$C$116+'Ethylene Recycling LC'!$C$148+'Ethylene Recycling LC'!$C$166))</f>
        <v>2.386114638824067</v>
      </c>
      <c r="AC133" s="284">
        <f>AC49-('Ethylene Recycling LC'!AB89+'Ethylene Recycling LC'!AB116+'Ethylene Recycling LC'!AB148+'Ethylene Recycling LC'!AB166-('Ethylene Recycling LC'!$C$89+'Ethylene Recycling LC'!$C$116+'Ethylene Recycling LC'!$C$148+'Ethylene Recycling LC'!$C$166))</f>
        <v>2.3625679673391957</v>
      </c>
      <c r="AD133" s="284">
        <f>AD49-('Ethylene Recycling LC'!AC89+'Ethylene Recycling LC'!AC116+'Ethylene Recycling LC'!AC148+'Ethylene Recycling LC'!AC166-('Ethylene Recycling LC'!$C$89+'Ethylene Recycling LC'!$C$116+'Ethylene Recycling LC'!$C$148+'Ethylene Recycling LC'!$C$166))</f>
        <v>2.3471338223182805</v>
      </c>
      <c r="AE133" s="284">
        <f>AE49-('Ethylene Recycling LC'!AD89+'Ethylene Recycling LC'!AD116+'Ethylene Recycling LC'!AD148+'Ethylene Recycling LC'!AD166-('Ethylene Recycling LC'!$C$89+'Ethylene Recycling LC'!$C$116+'Ethylene Recycling LC'!$C$148+'Ethylene Recycling LC'!$C$166))</f>
        <v>2.3362848129749398</v>
      </c>
      <c r="AF133" s="284">
        <f>AF49-('Ethylene Recycling LC'!AE89+'Ethylene Recycling LC'!AE116+'Ethylene Recycling LC'!AE148+'Ethylene Recycling LC'!AE166-('Ethylene Recycling LC'!$C$89+'Ethylene Recycling LC'!$C$116+'Ethylene Recycling LC'!$C$148+'Ethylene Recycling LC'!$C$166))</f>
        <v>2.3304157873697022</v>
      </c>
      <c r="AG133" s="284">
        <f>AG49-('Ethylene Recycling LC'!AF89+'Ethylene Recycling LC'!AF116+'Ethylene Recycling LC'!AF148+'Ethylene Recycling LC'!AF166-('Ethylene Recycling LC'!$C$89+'Ethylene Recycling LC'!$C$116+'Ethylene Recycling LC'!$C$148+'Ethylene Recycling LC'!$C$166))</f>
        <v>2.329931421770524</v>
      </c>
      <c r="AH133" s="284">
        <f>AH49-('Ethylene Recycling LC'!AG89+'Ethylene Recycling LC'!AG116+'Ethylene Recycling LC'!AG148+'Ethylene Recycling LC'!AG166-('Ethylene Recycling LC'!$C$89+'Ethylene Recycling LC'!$C$116+'Ethylene Recycling LC'!$C$148+'Ethylene Recycling LC'!$C$166))</f>
        <v>2.3352460764991791</v>
      </c>
      <c r="AI133" s="284"/>
    </row>
    <row r="134" spans="1:35" x14ac:dyDescent="0.2">
      <c r="A134" s="178" t="s">
        <v>225</v>
      </c>
      <c r="B134" s="242" t="s">
        <v>197</v>
      </c>
      <c r="C134" s="243" t="s">
        <v>153</v>
      </c>
      <c r="D134" s="180">
        <f t="shared" ref="D134:AH134" si="42">D65+D74</f>
        <v>26.799786402018107</v>
      </c>
      <c r="E134" s="180">
        <f t="shared" si="42"/>
        <v>29.345843571958987</v>
      </c>
      <c r="F134" s="180">
        <f t="shared" si="42"/>
        <v>31.362357364917568</v>
      </c>
      <c r="G134" s="180">
        <f t="shared" si="42"/>
        <v>33.446174968180337</v>
      </c>
      <c r="H134" s="180">
        <f t="shared" si="42"/>
        <v>35.600092382813187</v>
      </c>
      <c r="I134" s="180">
        <f t="shared" si="42"/>
        <v>37.827128736875089</v>
      </c>
      <c r="J134" s="180">
        <f t="shared" si="42"/>
        <v>39.638967856102596</v>
      </c>
      <c r="K134" s="180">
        <f t="shared" si="42"/>
        <v>41.511138823308961</v>
      </c>
      <c r="L134" s="180">
        <f t="shared" si="42"/>
        <v>43.446933530373613</v>
      </c>
      <c r="M134" s="180">
        <f t="shared" si="42"/>
        <v>45.4499814456709</v>
      </c>
      <c r="N134" s="180">
        <f t="shared" si="42"/>
        <v>47.524292639381848</v>
      </c>
      <c r="O134" s="180">
        <f t="shared" si="42"/>
        <v>47.676400762163702</v>
      </c>
      <c r="P134" s="180">
        <f t="shared" si="42"/>
        <v>47.855263076803645</v>
      </c>
      <c r="Q134" s="180">
        <f t="shared" si="42"/>
        <v>48.065282982766995</v>
      </c>
      <c r="R134" s="180">
        <f t="shared" si="42"/>
        <v>48.311463979886696</v>
      </c>
      <c r="S134" s="180">
        <f t="shared" si="42"/>
        <v>48.599489643953632</v>
      </c>
      <c r="T134" s="180">
        <f t="shared" si="42"/>
        <v>48.797919405458359</v>
      </c>
      <c r="U134" s="180">
        <f t="shared" si="42"/>
        <v>49.049755962796297</v>
      </c>
      <c r="V134" s="180">
        <f t="shared" si="42"/>
        <v>49.363295208817149</v>
      </c>
      <c r="W134" s="180">
        <f t="shared" si="42"/>
        <v>49.747954762664577</v>
      </c>
      <c r="X134" s="180">
        <f t="shared" si="42"/>
        <v>50.214423526185435</v>
      </c>
      <c r="Y134" s="180">
        <f t="shared" si="42"/>
        <v>50.642199801568367</v>
      </c>
      <c r="Z134" s="180">
        <f t="shared" si="42"/>
        <v>51.175866023850737</v>
      </c>
      <c r="AA134" s="180">
        <f t="shared" si="42"/>
        <v>51.831024888639021</v>
      </c>
      <c r="AB134" s="180">
        <f t="shared" si="42"/>
        <v>52.625376851827426</v>
      </c>
      <c r="AC134" s="180">
        <f t="shared" si="42"/>
        <v>53.578999989148642</v>
      </c>
      <c r="AD134" s="180">
        <f t="shared" si="42"/>
        <v>54.595555873413076</v>
      </c>
      <c r="AE134" s="180">
        <f t="shared" si="42"/>
        <v>55.818408250789091</v>
      </c>
      <c r="AF134" s="180">
        <f t="shared" si="42"/>
        <v>57.276836188160622</v>
      </c>
      <c r="AG134" s="180">
        <f t="shared" si="42"/>
        <v>59.004043195265467</v>
      </c>
      <c r="AH134" s="180">
        <f t="shared" si="42"/>
        <v>61.037681216887378</v>
      </c>
    </row>
    <row r="135" spans="1:35" x14ac:dyDescent="0.2">
      <c r="A135" s="178"/>
      <c r="B135" s="181" t="s">
        <v>217</v>
      </c>
      <c r="C135" s="176" t="s">
        <v>153</v>
      </c>
      <c r="D135" s="238">
        <f>'Ethylene Recycling LC'!C172-'Ethylene Recycling LC'!$C$172</f>
        <v>0</v>
      </c>
      <c r="E135" s="238">
        <f>'Ethylene Recycling LC'!D172-'Ethylene Recycling LC'!$C$172</f>
        <v>0.11272835763187006</v>
      </c>
      <c r="F135" s="238">
        <f>'Ethylene Recycling LC'!E172-'Ethylene Recycling LC'!$C$172</f>
        <v>0.227159357203782</v>
      </c>
      <c r="G135" s="238">
        <f>'Ethylene Recycling LC'!F172-'Ethylene Recycling LC'!$C$172</f>
        <v>0.34262632003669613</v>
      </c>
      <c r="H135" s="238">
        <f>'Ethylene Recycling LC'!G172-'Ethylene Recycling LC'!$C$172</f>
        <v>0.45842153404383246</v>
      </c>
      <c r="I135" s="238">
        <f>'Ethylene Recycling LC'!H172-'Ethylene Recycling LC'!$C$172</f>
        <v>0.57380324898438784</v>
      </c>
      <c r="J135" s="238">
        <f>'Ethylene Recycling LC'!I172-'Ethylene Recycling LC'!$C$172</f>
        <v>0.67867722022154209</v>
      </c>
      <c r="K135" s="238">
        <f>'Ethylene Recycling LC'!J172-'Ethylene Recycling LC'!$C$172</f>
        <v>0.78523989781344894</v>
      </c>
      <c r="L135" s="238">
        <f>'Ethylene Recycling LC'!K172-'Ethylene Recycling LC'!$C$172</f>
        <v>0.89338587943087489</v>
      </c>
      <c r="M135" s="238">
        <f>'Ethylene Recycling LC'!L172-'Ethylene Recycling LC'!$C$172</f>
        <v>1.0030038850403551</v>
      </c>
      <c r="N135" s="238">
        <f>'Ethylene Recycling LC'!M172-'Ethylene Recycling LC'!$C$172</f>
        <v>1.1139768864935615</v>
      </c>
      <c r="O135" s="238">
        <f>'Ethylene Recycling LC'!N172-'Ethylene Recycling LC'!$C$172</f>
        <v>1.3102934025671098</v>
      </c>
      <c r="P135" s="238">
        <f>'Ethylene Recycling LC'!O172-'Ethylene Recycling LC'!$C$172</f>
        <v>1.5051581020267311</v>
      </c>
      <c r="Q135" s="238">
        <f>'Ethylene Recycling LC'!P172-'Ethylene Recycling LC'!$C$172</f>
        <v>1.6974715544174452</v>
      </c>
      <c r="R135" s="238">
        <f>'Ethylene Recycling LC'!Q172-'Ethylene Recycling LC'!$C$172</f>
        <v>1.8861279242262154</v>
      </c>
      <c r="S135" s="238">
        <f>'Ethylene Recycling LC'!R172-'Ethylene Recycling LC'!$C$172</f>
        <v>2.0700254076827216</v>
      </c>
      <c r="T135" s="238">
        <f>'Ethylene Recycling LC'!S172-'Ethylene Recycling LC'!$C$172</f>
        <v>2.2546577255995848</v>
      </c>
      <c r="U135" s="238">
        <f>'Ethylene Recycling LC'!T172-'Ethylene Recycling LC'!$C$172</f>
        <v>2.4399401776699845</v>
      </c>
      <c r="V135" s="238">
        <f>'Ethylene Recycling LC'!U172-'Ethylene Recycling LC'!$C$172</f>
        <v>2.6257865390107042</v>
      </c>
      <c r="W135" s="238">
        <f>'Ethylene Recycling LC'!V172-'Ethylene Recycling LC'!$C$172</f>
        <v>2.8121091012037871</v>
      </c>
      <c r="X135" s="238">
        <f>'Ethylene Recycling LC'!W172-'Ethylene Recycling LC'!$C$172</f>
        <v>2.9988187151058394</v>
      </c>
      <c r="Y135" s="238">
        <f>'Ethylene Recycling LC'!X172-'Ethylene Recycling LC'!$C$172</f>
        <v>3.3036583014102145</v>
      </c>
      <c r="Z135" s="238">
        <f>'Ethylene Recycling LC'!Y172-'Ethylene Recycling LC'!$C$172</f>
        <v>3.6093700288985318</v>
      </c>
      <c r="AA135" s="238">
        <f>'Ethylene Recycling LC'!Z172-'Ethylene Recycling LC'!$C$172</f>
        <v>3.9158145888679572</v>
      </c>
      <c r="AB135" s="238">
        <f>'Ethylene Recycling LC'!AA172-'Ethylene Recycling LC'!$C$172</f>
        <v>4.2228504829743327</v>
      </c>
      <c r="AC135" s="238">
        <f>'Ethylene Recycling LC'!AB172-'Ethylene Recycling LC'!$C$172</f>
        <v>4.5303340877996883</v>
      </c>
      <c r="AD135" s="238">
        <f>'Ethylene Recycling LC'!AC172-'Ethylene Recycling LC'!$C$172</f>
        <v>4.8367292951188299</v>
      </c>
      <c r="AE135" s="238">
        <f>'Ethylene Recycling LC'!AD172-'Ethylene Recycling LC'!$C$172</f>
        <v>5.1431801579044834</v>
      </c>
      <c r="AF135" s="238">
        <f>'Ethylene Recycling LC'!AE172-'Ethylene Recycling LC'!$C$172</f>
        <v>5.4495419791054216</v>
      </c>
      <c r="AG135" s="238">
        <f>'Ethylene Recycling LC'!AF172-'Ethylene Recycling LC'!$C$172</f>
        <v>5.7556682343359116</v>
      </c>
      <c r="AH135" s="238">
        <f>'Ethylene Recycling LC'!AG172-'Ethylene Recycling LC'!$C$172</f>
        <v>6.0614106365702591</v>
      </c>
    </row>
    <row r="136" spans="1:35" outlineLevel="1" x14ac:dyDescent="0.2">
      <c r="A136"/>
      <c r="B136" t="s">
        <v>222</v>
      </c>
      <c r="C136" s="54" t="s">
        <v>153</v>
      </c>
      <c r="D136" s="44">
        <f>'Ethylene Recycling LC'!C91-'Ethylene Recycling LC'!$C$91</f>
        <v>0</v>
      </c>
      <c r="E136" s="44">
        <f>'Ethylene Recycling LC'!D91-'Ethylene Recycling LC'!$C$91</f>
        <v>6.0086853126021467E-2</v>
      </c>
      <c r="F136" s="44">
        <f>'Ethylene Recycling LC'!E91-'Ethylene Recycling LC'!$C$91</f>
        <v>0.11839793268644616</v>
      </c>
      <c r="G136" s="44">
        <f>'Ethylene Recycling LC'!F91-'Ethylene Recycling LC'!$C$91</f>
        <v>0.17446829092950011</v>
      </c>
      <c r="H136" s="44">
        <f>'Ethylene Recycling LC'!G91-'Ethylene Recycling LC'!$C$91</f>
        <v>0.227840431170101</v>
      </c>
      <c r="I136" s="44">
        <f>'Ethylene Recycling LC'!H91-'Ethylene Recycling LC'!$C$91</f>
        <v>0.27807041265689803</v>
      </c>
      <c r="J136" s="44">
        <f>'Ethylene Recycling LC'!I91-'Ethylene Recycling LC'!$C$91</f>
        <v>0.32788920855511039</v>
      </c>
      <c r="K136" s="44">
        <f>'Ethylene Recycling LC'!J91-'Ethylene Recycling LC'!$C$91</f>
        <v>0.37719176282439415</v>
      </c>
      <c r="L136" s="44">
        <f>'Ethylene Recycling LC'!K91-'Ethylene Recycling LC'!$C$91</f>
        <v>0.42587144811205424</v>
      </c>
      <c r="M136" s="44">
        <f>'Ethylene Recycling LC'!L91-'Ethylene Recycling LC'!$C$91</f>
        <v>0.47382032929529427</v>
      </c>
      <c r="N136" s="44">
        <f>'Ethylene Recycling LC'!M91-'Ethylene Recycling LC'!$C$91</f>
        <v>0.52092943818170667</v>
      </c>
      <c r="O136" s="44">
        <f>'Ethylene Recycling LC'!N91-'Ethylene Recycling LC'!$C$91</f>
        <v>0.59911653386247643</v>
      </c>
      <c r="P136" s="44">
        <f>'Ethylene Recycling LC'!O91-'Ethylene Recycling LC'!$C$91</f>
        <v>0.67815474245828833</v>
      </c>
      <c r="Q136" s="44">
        <f>'Ethylene Recycling LC'!P91-'Ethylene Recycling LC'!$C$91</f>
        <v>0.74160786860825989</v>
      </c>
      <c r="R136" s="44">
        <f>'Ethylene Recycling LC'!Q91-'Ethylene Recycling LC'!$C$91</f>
        <v>0.79689546733009831</v>
      </c>
      <c r="S136" s="44">
        <f>'Ethylene Recycling LC'!R91-'Ethylene Recycling LC'!$C$91</f>
        <v>0.84353056493913492</v>
      </c>
      <c r="T136" s="44">
        <f>'Ethylene Recycling LC'!S91-'Ethylene Recycling LC'!$C$91</f>
        <v>0.88473774673251171</v>
      </c>
      <c r="U136" s="44">
        <f>'Ethylene Recycling LC'!T91-'Ethylene Recycling LC'!$C$91</f>
        <v>0.92036414676976142</v>
      </c>
      <c r="V136" s="44">
        <f>'Ethylene Recycling LC'!U91-'Ethylene Recycling LC'!$C$91</f>
        <v>0.95025833936687842</v>
      </c>
      <c r="W136" s="44">
        <f>'Ethylene Recycling LC'!V91-'Ethylene Recycling LC'!$C$91</f>
        <v>0.97427048041075981</v>
      </c>
      <c r="X136" s="44">
        <f>'Ethylene Recycling LC'!W91-'Ethylene Recycling LC'!$C$91</f>
        <v>0.99225244923882316</v>
      </c>
      <c r="Y136" s="44">
        <f>'Ethylene Recycling LC'!X91-'Ethylene Recycling LC'!$C$91</f>
        <v>1.0078658834389547</v>
      </c>
      <c r="Z136" s="44">
        <f>'Ethylene Recycling LC'!Y91-'Ethylene Recycling LC'!$C$91</f>
        <v>1.0514786087517041</v>
      </c>
      <c r="AA136" s="44">
        <f>'Ethylene Recycling LC'!Z91-'Ethylene Recycling LC'!$C$91</f>
        <v>1.0853496484982865</v>
      </c>
      <c r="AB136" s="44">
        <f>'Ethylene Recycling LC'!AA91-'Ethylene Recycling LC'!$C$91</f>
        <v>1.1092464493609597</v>
      </c>
      <c r="AC136" s="44">
        <f>'Ethylene Recycling LC'!AB91-'Ethylene Recycling LC'!$C$91</f>
        <v>1.1229393146727893</v>
      </c>
      <c r="AD136" s="44">
        <f>'Ethylene Recycling LC'!AC91-'Ethylene Recycling LC'!$C$91</f>
        <v>1.1262230132338882</v>
      </c>
      <c r="AE136" s="44">
        <f>'Ethylene Recycling LC'!AD91-'Ethylene Recycling LC'!$C$91</f>
        <v>1.1188739947761488</v>
      </c>
      <c r="AF136" s="44">
        <f>'Ethylene Recycling LC'!AE91-'Ethylene Recycling LC'!$C$91</f>
        <v>1.1006715625822592</v>
      </c>
      <c r="AG136" s="44">
        <f>'Ethylene Recycling LC'!AF91-'Ethylene Recycling LC'!$C$91</f>
        <v>1.0713980561247514</v>
      </c>
      <c r="AH136" s="44">
        <f>'Ethylene Recycling LC'!AG91-'Ethylene Recycling LC'!$C$91</f>
        <v>1.0308390337676578</v>
      </c>
    </row>
    <row r="137" spans="1:35" outlineLevel="1" x14ac:dyDescent="0.2">
      <c r="A137"/>
      <c r="B137" t="s">
        <v>226</v>
      </c>
      <c r="C137" s="54" t="s">
        <v>153</v>
      </c>
      <c r="D137" s="44">
        <f>'Ethylene Recycling LC'!C150-'Ethylene Recycling LC'!$C$150</f>
        <v>0</v>
      </c>
      <c r="E137" s="44">
        <f>'Ethylene Recycling LC'!D150-'Ethylene Recycling LC'!$C$150</f>
        <v>1.9870187670681994E-2</v>
      </c>
      <c r="F137" s="44">
        <f>'Ethylene Recycling LC'!E150-'Ethylene Recycling LC'!$C$150</f>
        <v>3.9647370499631518E-2</v>
      </c>
      <c r="G137" s="44">
        <f>'Ethylene Recycling LC'!F150-'Ethylene Recycling LC'!$C$150</f>
        <v>5.9192880569213513E-2</v>
      </c>
      <c r="H137" s="44">
        <f>'Ethylene Recycling LC'!G150-'Ethylene Recycling LC'!$C$150</f>
        <v>7.8365111272651167E-2</v>
      </c>
      <c r="I137" s="44">
        <f>'Ethylene Recycling LC'!H150-'Ethylene Recycling LC'!$C$150</f>
        <v>9.702121184629231E-2</v>
      </c>
      <c r="J137" s="44">
        <f>'Ethylene Recycling LC'!I150-'Ethylene Recycling LC'!$C$150</f>
        <v>0.10333686342300635</v>
      </c>
      <c r="K137" s="44">
        <f>'Ethylene Recycling LC'!J150-'Ethylene Recycling LC'!$C$150</f>
        <v>0.10866688094571114</v>
      </c>
      <c r="L137" s="44">
        <f>'Ethylene Recycling LC'!K150-'Ethylene Recycling LC'!$C$150</f>
        <v>0.11297088104547215</v>
      </c>
      <c r="M137" s="44">
        <f>'Ethylene Recycling LC'!L150-'Ethylene Recycling LC'!$C$150</f>
        <v>0.11621066881654424</v>
      </c>
      <c r="N137" s="44">
        <f>'Ethylene Recycling LC'!M150-'Ethylene Recycling LC'!$C$150</f>
        <v>0.11835042915374561</v>
      </c>
      <c r="O137" s="44">
        <f>'Ethylene Recycling LC'!N150-'Ethylene Recycling LC'!$C$150</f>
        <v>0.13198316385179271</v>
      </c>
      <c r="P137" s="44">
        <f>'Ethylene Recycling LC'!O150-'Ethylene Recycling LC'!$C$150</f>
        <v>0.14303584339639869</v>
      </c>
      <c r="Q137" s="44">
        <f>'Ethylene Recycling LC'!P150-'Ethylene Recycling LC'!$C$150</f>
        <v>0.15140295817770327</v>
      </c>
      <c r="R137" s="44">
        <f>'Ethylene Recycling LC'!Q150-'Ethylene Recycling LC'!$C$150</f>
        <v>0.15700529943147851</v>
      </c>
      <c r="S137" s="44">
        <f>'Ethylene Recycling LC'!R150-'Ethylene Recycling LC'!$C$150</f>
        <v>0.15979114060028127</v>
      </c>
      <c r="T137" s="44">
        <f>'Ethylene Recycling LC'!S150-'Ethylene Recycling LC'!$C$150</f>
        <v>0.16676590420605625</v>
      </c>
      <c r="U137" s="44">
        <f>'Ethylene Recycling LC'!T150-'Ethylene Recycling LC'!$C$150</f>
        <v>0.1722814180222354</v>
      </c>
      <c r="V137" s="44">
        <f>'Ethylene Recycling LC'!U150-'Ethylene Recycling LC'!$C$150</f>
        <v>0.17633201364717765</v>
      </c>
      <c r="W137" s="44">
        <f>'Ethylene Recycling LC'!V150-'Ethylene Recycling LC'!$C$150</f>
        <v>0.17891378062053975</v>
      </c>
      <c r="X137" s="44">
        <f>'Ethylene Recycling LC'!W150-'Ethylene Recycling LC'!$C$150</f>
        <v>0.18002460078382543</v>
      </c>
      <c r="Y137" s="44">
        <f>'Ethylene Recycling LC'!X150-'Ethylene Recycling LC'!$C$150</f>
        <v>0.19147718808220682</v>
      </c>
      <c r="Z137" s="44">
        <f>'Ethylene Recycling LC'!Y150-'Ethylene Recycling LC'!$C$150</f>
        <v>0.20052773534398199</v>
      </c>
      <c r="AA137" s="44">
        <f>'Ethylene Recycling LC'!Z150-'Ethylene Recycling LC'!$C$150</f>
        <v>0.20717473116486496</v>
      </c>
      <c r="AB137" s="44">
        <f>'Ethylene Recycling LC'!AA150-'Ethylene Recycling LC'!$C$150</f>
        <v>0.21141959030958046</v>
      </c>
      <c r="AC137" s="44">
        <f>'Ethylene Recycling LC'!AB150-'Ethylene Recycling LC'!$C$150</f>
        <v>0.21326670252044222</v>
      </c>
      <c r="AD137" s="44">
        <f>'Ethylene Recycling LC'!AC150-'Ethylene Recycling LC'!$C$150</f>
        <v>0.20770957666011564</v>
      </c>
      <c r="AE137" s="44">
        <f>'Ethylene Recycling LC'!AD150-'Ethylene Recycling LC'!$C$150</f>
        <v>0.19932876156284185</v>
      </c>
      <c r="AF137" s="44">
        <f>'Ethylene Recycling LC'!AE150-'Ethylene Recycling LC'!$C$150</f>
        <v>0.18814389103199508</v>
      </c>
      <c r="AG137" s="44">
        <f>'Ethylene Recycling LC'!AF150-'Ethylene Recycling LC'!$C$150</f>
        <v>0.17417826280956866</v>
      </c>
      <c r="AH137" s="44">
        <f>'Ethylene Recycling LC'!AG150-'Ethylene Recycling LC'!$C$150</f>
        <v>0.15745888301365296</v>
      </c>
    </row>
    <row r="138" spans="1:35" outlineLevel="1" x14ac:dyDescent="0.2">
      <c r="A138" s="181"/>
      <c r="B138" s="181" t="s">
        <v>218</v>
      </c>
      <c r="C138" s="176" t="s">
        <v>153</v>
      </c>
      <c r="D138" s="238">
        <f>'Ethylene Recycling LC'!C124-'Ethylene Recycling LC'!$C$124</f>
        <v>0</v>
      </c>
      <c r="E138" s="238">
        <f>'Ethylene Recycling LC'!D124-'Ethylene Recycling LC'!$C$124</f>
        <v>5.6101945554459798E-3</v>
      </c>
      <c r="F138" s="238">
        <f>'Ethylene Recycling LC'!E124-'Ethylene Recycling LC'!$C$124</f>
        <v>1.1145741000179031E-2</v>
      </c>
      <c r="G138" s="238">
        <f>'Ethylene Recycling LC'!F124-'Ethylene Recycling LC'!$C$124</f>
        <v>1.6549685749615739E-2</v>
      </c>
      <c r="H138" s="238">
        <f>'Ethylene Recycling LC'!G124-'Ethylene Recycling LC'!$C$124</f>
        <v>2.1765617749907457E-2</v>
      </c>
      <c r="I138" s="238">
        <f>'Ethylene Recycling LC'!H124-'Ethylene Recycling LC'!$C$124</f>
        <v>2.6738552305211001E-2</v>
      </c>
      <c r="J138" s="238">
        <f>'Ethylene Recycling LC'!I124-'Ethylene Recycling LC'!$C$124</f>
        <v>3.1531174581262277E-2</v>
      </c>
      <c r="K138" s="238">
        <f>'Ethylene Recycling LC'!J124-'Ethylene Recycling LC'!$C$124</f>
        <v>3.6122654080294365E-2</v>
      </c>
      <c r="L138" s="238">
        <f>'Ethylene Recycling LC'!K124-'Ethylene Recycling LC'!$C$124</f>
        <v>4.0492095581116737E-2</v>
      </c>
      <c r="M138" s="238">
        <f>'Ethylene Recycling LC'!L124-'Ethylene Recycling LC'!$C$124</f>
        <v>4.4618604532338242E-2</v>
      </c>
      <c r="N138" s="238">
        <f>'Ethylene Recycling LC'!M124-'Ethylene Recycling LC'!$C$124</f>
        <v>4.8481354225570407E-2</v>
      </c>
      <c r="O138" s="238">
        <f>'Ethylene Recycling LC'!N124-'Ethylene Recycling LC'!$C$124</f>
        <v>5.7420423239240133E-2</v>
      </c>
      <c r="P138" s="238">
        <f>'Ethylene Recycling LC'!O124-'Ethylene Recycling LC'!$C$124</f>
        <v>6.5673223085142035E-2</v>
      </c>
      <c r="Q138" s="238">
        <f>'Ethylene Recycling LC'!P124-'Ethylene Recycling LC'!$C$124</f>
        <v>7.2841985446094659E-2</v>
      </c>
      <c r="R138" s="238">
        <f>'Ethylene Recycling LC'!Q124-'Ethylene Recycling LC'!$C$124</f>
        <v>7.9138027786921972E-2</v>
      </c>
      <c r="S138" s="238">
        <f>'Ethylene Recycling LC'!R124-'Ethylene Recycling LC'!$C$124</f>
        <v>8.4511472749022792E-2</v>
      </c>
      <c r="T138" s="238">
        <f>'Ethylene Recycling LC'!S124-'Ethylene Recycling LC'!$C$124</f>
        <v>8.9121758422663733E-2</v>
      </c>
      <c r="U138" s="238">
        <f>'Ethylene Recycling LC'!T124-'Ethylene Recycling LC'!$C$124</f>
        <v>9.2958276138555951E-2</v>
      </c>
      <c r="V138" s="238">
        <f>'Ethylene Recycling LC'!U124-'Ethylene Recycling LC'!$C$124</f>
        <v>9.6010997759501754E-2</v>
      </c>
      <c r="W138" s="238">
        <f>'Ethylene Recycling LC'!V124-'Ethylene Recycling LC'!$C$124</f>
        <v>9.8270490089811369E-2</v>
      </c>
      <c r="X138" s="238">
        <f>'Ethylene Recycling LC'!W124-'Ethylene Recycling LC'!$C$124</f>
        <v>9.972792878068179E-2</v>
      </c>
      <c r="Y138" s="238">
        <f>'Ethylene Recycling LC'!X124-'Ethylene Recycling LC'!$C$124</f>
        <v>0.10504871007926506</v>
      </c>
      <c r="Z138" s="238">
        <f>'Ethylene Recycling LC'!Y124-'Ethylene Recycling LC'!$C$124</f>
        <v>0.10903958747444539</v>
      </c>
      <c r="AA138" s="238">
        <f>'Ethylene Recycling LC'!Z124-'Ethylene Recycling LC'!$C$124</f>
        <v>0.11058851469143888</v>
      </c>
      <c r="AB138" s="238">
        <f>'Ethylene Recycling LC'!AA124-'Ethylene Recycling LC'!$C$124</f>
        <v>0.11074968293439072</v>
      </c>
      <c r="AC138" s="238">
        <f>'Ethylene Recycling LC'!AB124-'Ethylene Recycling LC'!$C$124</f>
        <v>0.10954565827387233</v>
      </c>
      <c r="AD138" s="238">
        <f>'Ethylene Recycling LC'!AC124-'Ethylene Recycling LC'!$C$124</f>
        <v>0.10700226047262243</v>
      </c>
      <c r="AE138" s="238">
        <f>'Ethylene Recycling LC'!AD124-'Ethylene Recycling LC'!$C$124</f>
        <v>0.10314598525956328</v>
      </c>
      <c r="AF138" s="238">
        <f>'Ethylene Recycling LC'!AE124-'Ethylene Recycling LC'!$C$124</f>
        <v>9.8005226309402227E-2</v>
      </c>
      <c r="AG138" s="238">
        <f>'Ethylene Recycling LC'!AF124-'Ethylene Recycling LC'!$C$124</f>
        <v>9.1610241773212281E-2</v>
      </c>
      <c r="AH138" s="238">
        <f>'Ethylene Recycling LC'!AG124-'Ethylene Recycling LC'!$C$124</f>
        <v>8.3993117800743033E-2</v>
      </c>
    </row>
    <row r="139" spans="1:35" x14ac:dyDescent="0.2">
      <c r="A139" s="178"/>
      <c r="B139" s="239" t="s">
        <v>219</v>
      </c>
      <c r="C139" s="179" t="s">
        <v>153</v>
      </c>
      <c r="D139" s="241">
        <f>D134-D135-D136-D137-D138</f>
        <v>26.799786402018107</v>
      </c>
      <c r="E139" s="241">
        <f t="shared" ref="E139:AG139" si="43">E134-E135-E136-E137-E138</f>
        <v>29.14754797897497</v>
      </c>
      <c r="F139" s="241">
        <f t="shared" si="43"/>
        <v>30.96600696352753</v>
      </c>
      <c r="G139" s="241">
        <f t="shared" si="43"/>
        <v>32.853337790895317</v>
      </c>
      <c r="H139" s="241">
        <f t="shared" si="43"/>
        <v>34.813699688576698</v>
      </c>
      <c r="I139" s="241">
        <f t="shared" si="43"/>
        <v>36.851495311082303</v>
      </c>
      <c r="J139" s="241">
        <f t="shared" si="43"/>
        <v>38.497533389321674</v>
      </c>
      <c r="K139" s="241">
        <f t="shared" si="43"/>
        <v>40.203917627645112</v>
      </c>
      <c r="L139" s="241">
        <f t="shared" si="43"/>
        <v>41.9742132262041</v>
      </c>
      <c r="M139" s="241">
        <f t="shared" si="43"/>
        <v>43.812327957986369</v>
      </c>
      <c r="N139" s="241">
        <f t="shared" si="43"/>
        <v>45.722554531327269</v>
      </c>
      <c r="O139" s="241">
        <f t="shared" si="43"/>
        <v>45.577587238643076</v>
      </c>
      <c r="P139" s="241">
        <f t="shared" si="43"/>
        <v>45.463241165837083</v>
      </c>
      <c r="Q139" s="241">
        <f t="shared" si="43"/>
        <v>45.401958616117483</v>
      </c>
      <c r="R139" s="241">
        <f t="shared" si="43"/>
        <v>45.392297261111985</v>
      </c>
      <c r="S139" s="241">
        <f t="shared" si="43"/>
        <v>45.44163105798247</v>
      </c>
      <c r="T139" s="241">
        <f t="shared" si="43"/>
        <v>45.402636270497538</v>
      </c>
      <c r="U139" s="241">
        <f t="shared" si="43"/>
        <v>45.424211944195761</v>
      </c>
      <c r="V139" s="241">
        <f t="shared" si="43"/>
        <v>45.514907319032893</v>
      </c>
      <c r="W139" s="241">
        <f t="shared" si="43"/>
        <v>45.68439091033968</v>
      </c>
      <c r="X139" s="241">
        <f t="shared" si="43"/>
        <v>45.943599832276263</v>
      </c>
      <c r="Y139" s="241">
        <f t="shared" si="43"/>
        <v>46.034149718557721</v>
      </c>
      <c r="Z139" s="241">
        <f t="shared" si="43"/>
        <v>46.205450063382074</v>
      </c>
      <c r="AA139" s="241">
        <f t="shared" si="43"/>
        <v>46.512097405416476</v>
      </c>
      <c r="AB139" s="241">
        <f t="shared" si="43"/>
        <v>46.971110646248164</v>
      </c>
      <c r="AC139" s="241">
        <f t="shared" si="43"/>
        <v>47.602914225881847</v>
      </c>
      <c r="AD139" s="241">
        <f t="shared" si="43"/>
        <v>48.317891727927623</v>
      </c>
      <c r="AE139" s="241">
        <f t="shared" si="43"/>
        <v>49.253879351286052</v>
      </c>
      <c r="AF139" s="241">
        <f t="shared" si="43"/>
        <v>50.440473529131545</v>
      </c>
      <c r="AG139" s="241">
        <f t="shared" si="43"/>
        <v>51.911188400222024</v>
      </c>
      <c r="AH139" s="241">
        <f>AH134-AH135-AH136-AH137-AH138</f>
        <v>53.703979545735066</v>
      </c>
    </row>
    <row r="140" spans="1:35" s="67" customFormat="1" x14ac:dyDescent="0.2">
      <c r="A140" s="687" t="s">
        <v>257</v>
      </c>
      <c r="B140" s="58" t="s">
        <v>258</v>
      </c>
      <c r="C140" s="59" t="s">
        <v>153</v>
      </c>
      <c r="D140" s="60">
        <f>D66+D75-('Ethylene Recycling LC'!C92+'Ethylene Recycling LC'!C125+'Ethylene Recycling LC'!C151+'Ethylene Recycling LC'!C173-('Ethylene Recycling LC'!$C$92+'Ethylene Recycling LC'!$C$125+'Ethylene Recycling LC'!$C$151+'Ethylene Recycling LC'!$C$173))</f>
        <v>9.842212333121422</v>
      </c>
      <c r="E140" s="60">
        <f>E66+E75-('Ethylene Recycling LC'!D92+'Ethylene Recycling LC'!D125+'Ethylene Recycling LC'!D151+'Ethylene Recycling LC'!D173-('Ethylene Recycling LC'!$C$92+'Ethylene Recycling LC'!$C$125+'Ethylene Recycling LC'!$C$151+'Ethylene Recycling LC'!$C$173))</f>
        <v>10.652158601130328</v>
      </c>
      <c r="F140" s="60">
        <f>F66+F75-('Ethylene Recycling LC'!E92+'Ethylene Recycling LC'!E125+'Ethylene Recycling LC'!E151+'Ethylene Recycling LC'!E173-('Ethylene Recycling LC'!$C$92+'Ethylene Recycling LC'!$C$125+'Ethylene Recycling LC'!$C$151+'Ethylene Recycling LC'!$C$173))</f>
        <v>11.258765080802192</v>
      </c>
      <c r="G140" s="60">
        <f>G66+G75-('Ethylene Recycling LC'!F92+'Ethylene Recycling LC'!F125+'Ethylene Recycling LC'!F151+'Ethylene Recycling LC'!F173-('Ethylene Recycling LC'!$C$92+'Ethylene Recycling LC'!$C$125+'Ethylene Recycling LC'!$C$151+'Ethylene Recycling LC'!$C$173))</f>
        <v>11.890898999426303</v>
      </c>
      <c r="H140" s="60">
        <f>H66+H75-('Ethylene Recycling LC'!G92+'Ethylene Recycling LC'!G125+'Ethylene Recycling LC'!G151+'Ethylene Recycling LC'!G173-('Ethylene Recycling LC'!$C$92+'Ethylene Recycling LC'!$C$125+'Ethylene Recycling LC'!$C$151+'Ethylene Recycling LC'!$C$173))</f>
        <v>12.550604996405072</v>
      </c>
      <c r="I140" s="60">
        <f>I66+I75-('Ethylene Recycling LC'!H92+'Ethylene Recycling LC'!H125+'Ethylene Recycling LC'!H151+'Ethylene Recycling LC'!H173-('Ethylene Recycling LC'!$C$92+'Ethylene Recycling LC'!$C$125+'Ethylene Recycling LC'!$C$151+'Ethylene Recycling LC'!$C$173))</f>
        <v>13.240046542618584</v>
      </c>
      <c r="J140" s="60">
        <f>J66+J75-('Ethylene Recycling LC'!I92+'Ethylene Recycling LC'!I125+'Ethylene Recycling LC'!I151+'Ethylene Recycling LC'!I173-('Ethylene Recycling LC'!$C$92+'Ethylene Recycling LC'!$C$125+'Ethylene Recycling LC'!$C$151+'Ethylene Recycling LC'!$C$173))</f>
        <v>13.785189235307188</v>
      </c>
      <c r="K140" s="60">
        <f>K66+K75-('Ethylene Recycling LC'!J92+'Ethylene Recycling LC'!J125+'Ethylene Recycling LC'!J151+'Ethylene Recycling LC'!J173-('Ethylene Recycling LC'!$C$92+'Ethylene Recycling LC'!$C$125+'Ethylene Recycling LC'!$C$151+'Ethylene Recycling LC'!$C$173))</f>
        <v>14.352146990267013</v>
      </c>
      <c r="L140" s="60">
        <f>L66+L75-('Ethylene Recycling LC'!K92+'Ethylene Recycling LC'!K125+'Ethylene Recycling LC'!K151+'Ethylene Recycling LC'!K173-('Ethylene Recycling LC'!$C$92+'Ethylene Recycling LC'!$C$125+'Ethylene Recycling LC'!$C$151+'Ethylene Recycling LC'!$C$173))</f>
        <v>14.942457208016492</v>
      </c>
      <c r="M140" s="60">
        <f>M66+M75-('Ethylene Recycling LC'!L92+'Ethylene Recycling LC'!L125+'Ethylene Recycling LC'!L151+'Ethylene Recycling LC'!L173-('Ethylene Recycling LC'!$C$92+'Ethylene Recycling LC'!$C$125+'Ethylene Recycling LC'!$C$151+'Ethylene Recycling LC'!$C$173))</f>
        <v>15.557810945573612</v>
      </c>
      <c r="N140" s="60">
        <f>N66+N75-('Ethylene Recycling LC'!M92+'Ethylene Recycling LC'!M125+'Ethylene Recycling LC'!M151+'Ethylene Recycling LC'!M173-('Ethylene Recycling LC'!$C$92+'Ethylene Recycling LC'!$C$125+'Ethylene Recycling LC'!$C$151+'Ethylene Recycling LC'!$C$173))</f>
        <v>16.200071596355134</v>
      </c>
      <c r="O140" s="60">
        <f>O66+O75-('Ethylene Recycling LC'!N92+'Ethylene Recycling LC'!N125+'Ethylene Recycling LC'!N151+'Ethylene Recycling LC'!N173-('Ethylene Recycling LC'!$C$92+'Ethylene Recycling LC'!$C$125+'Ethylene Recycling LC'!$C$151+'Ethylene Recycling LC'!$C$173))</f>
        <v>16.04780831242952</v>
      </c>
      <c r="P140" s="60">
        <f>P66+P75-('Ethylene Recycling LC'!O92+'Ethylene Recycling LC'!O125+'Ethylene Recycling LC'!O151+'Ethylene Recycling LC'!O173-('Ethylene Recycling LC'!$C$92+'Ethylene Recycling LC'!$C$125+'Ethylene Recycling LC'!$C$151+'Ethylene Recycling LC'!$C$173))</f>
        <v>15.907231645535374</v>
      </c>
      <c r="Q140" s="60">
        <f>Q66+Q75-('Ethylene Recycling LC'!P92+'Ethylene Recycling LC'!P125+'Ethylene Recycling LC'!P151+'Ethylene Recycling LC'!P173-('Ethylene Recycling LC'!$C$92+'Ethylene Recycling LC'!$C$125+'Ethylene Recycling LC'!$C$151+'Ethylene Recycling LC'!$C$173))</f>
        <v>15.794486103538839</v>
      </c>
      <c r="R140" s="60">
        <f>R66+R75-('Ethylene Recycling LC'!Q92+'Ethylene Recycling LC'!Q125+'Ethylene Recycling LC'!Q151+'Ethylene Recycling LC'!Q173-('Ethylene Recycling LC'!$C$92+'Ethylene Recycling LC'!$C$125+'Ethylene Recycling LC'!$C$151+'Ethylene Recycling LC'!$C$173))</f>
        <v>15.706677881045973</v>
      </c>
      <c r="S140" s="60">
        <f>S66+S75-('Ethylene Recycling LC'!R92+'Ethylene Recycling LC'!R125+'Ethylene Recycling LC'!R151+'Ethylene Recycling LC'!R173-('Ethylene Recycling LC'!$C$92+'Ethylene Recycling LC'!$C$125+'Ethylene Recycling LC'!$C$151+'Ethylene Recycling LC'!$C$173))</f>
        <v>15.647653886239096</v>
      </c>
      <c r="T140" s="60">
        <f>T66+T75-('Ethylene Recycling LC'!S92+'Ethylene Recycling LC'!S125+'Ethylene Recycling LC'!S151+'Ethylene Recycling LC'!S173-('Ethylene Recycling LC'!$C$92+'Ethylene Recycling LC'!$C$125+'Ethylene Recycling LC'!$C$151+'Ethylene Recycling LC'!$C$173))</f>
        <v>15.563034340736454</v>
      </c>
      <c r="U140" s="60">
        <f>U66+U75-('Ethylene Recycling LC'!T92+'Ethylene Recycling LC'!T125+'Ethylene Recycling LC'!T151+'Ethylene Recycling LC'!T173-('Ethylene Recycling LC'!$C$92+'Ethylene Recycling LC'!$C$125+'Ethylene Recycling LC'!$C$151+'Ethylene Recycling LC'!$C$173))</f>
        <v>15.506136184538692</v>
      </c>
      <c r="V140" s="60">
        <f>V66+V75-('Ethylene Recycling LC'!U92+'Ethylene Recycling LC'!U125+'Ethylene Recycling LC'!U151+'Ethylene Recycling LC'!U173-('Ethylene Recycling LC'!$C$92+'Ethylene Recycling LC'!$C$125+'Ethylene Recycling LC'!$C$151+'Ethylene Recycling LC'!$C$173))</f>
        <v>15.480882386498262</v>
      </c>
      <c r="W140" s="60">
        <f>W66+W75-('Ethylene Recycling LC'!V92+'Ethylene Recycling LC'!V125+'Ethylene Recycling LC'!V151+'Ethylene Recycling LC'!V173-('Ethylene Recycling LC'!$C$92+'Ethylene Recycling LC'!$C$125+'Ethylene Recycling LC'!$C$151+'Ethylene Recycling LC'!$C$173))</f>
        <v>15.491695257297192</v>
      </c>
      <c r="X140" s="60">
        <f>X66+X75-('Ethylene Recycling LC'!W92+'Ethylene Recycling LC'!W125+'Ethylene Recycling LC'!W151+'Ethylene Recycling LC'!W173-('Ethylene Recycling LC'!$C$92+'Ethylene Recycling LC'!$C$125+'Ethylene Recycling LC'!$C$151+'Ethylene Recycling LC'!$C$173))</f>
        <v>15.543563178528554</v>
      </c>
      <c r="Y140" s="60">
        <f>Y66+Y75-('Ethylene Recycling LC'!X92+'Ethylene Recycling LC'!X125+'Ethylene Recycling LC'!X151+'Ethylene Recycling LC'!X173-('Ethylene Recycling LC'!$C$92+'Ethylene Recycling LC'!$C$125+'Ethylene Recycling LC'!$C$151+'Ethylene Recycling LC'!$C$173))</f>
        <v>15.502110700428354</v>
      </c>
      <c r="Z140" s="60">
        <f>Z66+Z75-('Ethylene Recycling LC'!Y92+'Ethylene Recycling LC'!Y125+'Ethylene Recycling LC'!Y151+'Ethylene Recycling LC'!Y173-('Ethylene Recycling LC'!$C$92+'Ethylene Recycling LC'!$C$125+'Ethylene Recycling LC'!$C$151+'Ethylene Recycling LC'!$C$173))</f>
        <v>15.483456053215601</v>
      </c>
      <c r="AA140" s="60">
        <f>AA66+AA75-('Ethylene Recycling LC'!Z92+'Ethylene Recycling LC'!Z125+'Ethylene Recycling LC'!Z151+'Ethylene Recycling LC'!Z173-('Ethylene Recycling LC'!$C$92+'Ethylene Recycling LC'!$C$125+'Ethylene Recycling LC'!$C$151+'Ethylene Recycling LC'!$C$173))</f>
        <v>15.527479134469814</v>
      </c>
      <c r="AB140" s="60">
        <f>AB66+AB75-('Ethylene Recycling LC'!AA92+'Ethylene Recycling LC'!AA125+'Ethylene Recycling LC'!AA151+'Ethylene Recycling LC'!AA173-('Ethylene Recycling LC'!$C$92+'Ethylene Recycling LC'!$C$125+'Ethylene Recycling LC'!$C$151+'Ethylene Recycling LC'!$C$173))</f>
        <v>15.641678682001109</v>
      </c>
      <c r="AC140" s="60">
        <f>AC66+AC75-('Ethylene Recycling LC'!AB92+'Ethylene Recycling LC'!AB125+'Ethylene Recycling LC'!AB151+'Ethylene Recycling LC'!AB173-('Ethylene Recycling LC'!$C$92+'Ethylene Recycling LC'!$C$125+'Ethylene Recycling LC'!$C$151+'Ethylene Recycling LC'!$C$173))</f>
        <v>15.835386537072328</v>
      </c>
      <c r="AD140" s="60">
        <f>AD66+AD75-('Ethylene Recycling LC'!AC92+'Ethylene Recycling LC'!AC125+'Ethylene Recycling LC'!AC151+'Ethylene Recycling LC'!AC173-('Ethylene Recycling LC'!$C$92+'Ethylene Recycling LC'!$C$125+'Ethylene Recycling LC'!$C$151+'Ethylene Recycling LC'!$C$173))</f>
        <v>16.076375425182892</v>
      </c>
      <c r="AE140" s="60">
        <f>AE66+AE75-('Ethylene Recycling LC'!AD92+'Ethylene Recycling LC'!AD125+'Ethylene Recycling LC'!AD151+'Ethylene Recycling LC'!AD173-('Ethylene Recycling LC'!$C$92+'Ethylene Recycling LC'!$C$125+'Ethylene Recycling LC'!$C$151+'Ethylene Recycling LC'!$C$173))</f>
        <v>16.41878956252928</v>
      </c>
      <c r="AF140" s="60">
        <f>AF66+AF75-('Ethylene Recycling LC'!AE92+'Ethylene Recycling LC'!AE125+'Ethylene Recycling LC'!AE151+'Ethylene Recycling LC'!AE173-('Ethylene Recycling LC'!$C$92+'Ethylene Recycling LC'!$C$125+'Ethylene Recycling LC'!$C$151+'Ethylene Recycling LC'!$C$173))</f>
        <v>16.876080140411311</v>
      </c>
      <c r="AG140" s="60">
        <f>AG66+AG75-('Ethylene Recycling LC'!AF92+'Ethylene Recycling LC'!AF125+'Ethylene Recycling LC'!AF151+'Ethylene Recycling LC'!AF173-('Ethylene Recycling LC'!$C$92+'Ethylene Recycling LC'!$C$125+'Ethylene Recycling LC'!$C$151+'Ethylene Recycling LC'!$C$173))</f>
        <v>17.463459214948543</v>
      </c>
      <c r="AH140" s="60">
        <f>AH66+AH75-('Ethylene Recycling LC'!AG92+'Ethylene Recycling LC'!AG125+'Ethylene Recycling LC'!AG151+'Ethylene Recycling LC'!AG173-('Ethylene Recycling LC'!$C$92+'Ethylene Recycling LC'!$C$125+'Ethylene Recycling LC'!$C$151+'Ethylene Recycling LC'!$C$173))</f>
        <v>18.198136265949721</v>
      </c>
      <c r="AI140" s="60"/>
    </row>
    <row r="141" spans="1:35" x14ac:dyDescent="0.2">
      <c r="A141" s="688"/>
      <c r="B141" s="1" t="s">
        <v>260</v>
      </c>
      <c r="C141" s="54" t="s">
        <v>153</v>
      </c>
      <c r="D141" s="44">
        <f>D67+D76+(D145-D71-D80)</f>
        <v>4.5813083502024288</v>
      </c>
      <c r="E141" s="44">
        <f t="shared" ref="E141:AH141" si="44">E67+E76+(E145-E71-E80)</f>
        <v>5.0528084558079307</v>
      </c>
      <c r="F141" s="44">
        <f t="shared" si="44"/>
        <v>5.3844564245899562</v>
      </c>
      <c r="G141" s="44">
        <f t="shared" si="44"/>
        <v>5.7284899566055998</v>
      </c>
      <c r="H141" s="44">
        <f t="shared" si="44"/>
        <v>6.0856117861455026</v>
      </c>
      <c r="I141" s="44">
        <f t="shared" si="44"/>
        <v>6.456575338836636</v>
      </c>
      <c r="J141" s="44">
        <f t="shared" si="44"/>
        <v>6.7680812539487993</v>
      </c>
      <c r="K141" s="44">
        <f t="shared" si="44"/>
        <v>7.0918111112848754</v>
      </c>
      <c r="L141" s="44">
        <f t="shared" si="44"/>
        <v>7.4285012188124551</v>
      </c>
      <c r="M141" s="44">
        <f t="shared" si="44"/>
        <v>7.7789602275830045</v>
      </c>
      <c r="N141" s="44">
        <f t="shared" si="44"/>
        <v>8.1440782737990851</v>
      </c>
      <c r="O141" s="44">
        <f t="shared" si="44"/>
        <v>8.1714661419206518</v>
      </c>
      <c r="P141" s="44">
        <f t="shared" si="44"/>
        <v>8.2074651662822138</v>
      </c>
      <c r="Q141" s="44">
        <f t="shared" si="44"/>
        <v>8.253704148885852</v>
      </c>
      <c r="R141" s="44">
        <f t="shared" si="44"/>
        <v>8.311158663184596</v>
      </c>
      <c r="S141" s="44">
        <f t="shared" si="44"/>
        <v>8.3811815822710543</v>
      </c>
      <c r="T141" s="44">
        <f t="shared" si="44"/>
        <v>8.4355396064542703</v>
      </c>
      <c r="U141" s="44">
        <f t="shared" si="44"/>
        <v>8.5039139777086916</v>
      </c>
      <c r="V141" s="44">
        <f t="shared" si="44"/>
        <v>8.5881680739990074</v>
      </c>
      <c r="W141" s="44">
        <f t="shared" si="44"/>
        <v>8.6904069994328523</v>
      </c>
      <c r="X141" s="44">
        <f t="shared" si="44"/>
        <v>8.8130093957688977</v>
      </c>
      <c r="Y141" s="44">
        <f t="shared" si="44"/>
        <v>8.9257106067232712</v>
      </c>
      <c r="Z141" s="44">
        <f t="shared" si="44"/>
        <v>9.0635557487912521</v>
      </c>
      <c r="AA141" s="44">
        <f t="shared" si="44"/>
        <v>9.2314886014453172</v>
      </c>
      <c r="AB141" s="44">
        <f t="shared" si="44"/>
        <v>9.4334073001575369</v>
      </c>
      <c r="AC141" s="44">
        <f t="shared" si="44"/>
        <v>9.6737172805984333</v>
      </c>
      <c r="AD141" s="44">
        <f t="shared" si="44"/>
        <v>9.9413331138159311</v>
      </c>
      <c r="AE141" s="44">
        <f t="shared" si="44"/>
        <v>10.258059767244212</v>
      </c>
      <c r="AF141" s="44">
        <f t="shared" si="44"/>
        <v>10.630255818121901</v>
      </c>
      <c r="AG141" s="44">
        <f t="shared" si="44"/>
        <v>11.065112503719007</v>
      </c>
      <c r="AH141" s="44">
        <f t="shared" si="44"/>
        <v>11.570763780921791</v>
      </c>
      <c r="AI141" s="44"/>
    </row>
    <row r="142" spans="1:35" x14ac:dyDescent="0.2">
      <c r="A142" s="688"/>
      <c r="B142" s="1" t="s">
        <v>262</v>
      </c>
      <c r="C142" s="54" t="s">
        <v>153</v>
      </c>
      <c r="D142" s="44">
        <f>D68+D77+(D144-D70-D79)</f>
        <v>3.0035502958579876</v>
      </c>
      <c r="E142" s="44">
        <f t="shared" ref="E142:AH142" si="45">E68+E77+(E144-E70-E79)</f>
        <v>3.2305969115604922</v>
      </c>
      <c r="F142" s="44">
        <f t="shared" si="45"/>
        <v>3.4311420352227788</v>
      </c>
      <c r="G142" s="44">
        <f t="shared" si="45"/>
        <v>3.6380740285147661</v>
      </c>
      <c r="H142" s="44">
        <f t="shared" si="45"/>
        <v>3.8517041227729147</v>
      </c>
      <c r="I142" s="44">
        <f t="shared" si="45"/>
        <v>4.0723585790186245</v>
      </c>
      <c r="J142" s="44">
        <f t="shared" si="45"/>
        <v>4.2467669856826236</v>
      </c>
      <c r="K142" s="44">
        <f t="shared" si="45"/>
        <v>4.4260818976206968</v>
      </c>
      <c r="L142" s="44">
        <f t="shared" si="45"/>
        <v>4.6104830274730881</v>
      </c>
      <c r="M142" s="44">
        <f t="shared" si="45"/>
        <v>4.8001599561740393</v>
      </c>
      <c r="N142" s="44">
        <f t="shared" si="45"/>
        <v>4.9953128349193054</v>
      </c>
      <c r="O142" s="44">
        <f t="shared" si="45"/>
        <v>4.9582450583583686</v>
      </c>
      <c r="P142" s="44">
        <f t="shared" si="45"/>
        <v>4.9213750543633168</v>
      </c>
      <c r="Q142" s="44">
        <f t="shared" si="45"/>
        <v>4.8851504708547804</v>
      </c>
      <c r="R142" s="44">
        <f t="shared" si="45"/>
        <v>4.8498065013025151</v>
      </c>
      <c r="S142" s="44">
        <f t="shared" si="45"/>
        <v>4.8156666795842513</v>
      </c>
      <c r="T142" s="44">
        <f t="shared" si="45"/>
        <v>4.7664989768333426</v>
      </c>
      <c r="U142" s="44">
        <f t="shared" si="45"/>
        <v>4.7176839291754593</v>
      </c>
      <c r="V142" s="44">
        <f t="shared" si="45"/>
        <v>4.669410975099578</v>
      </c>
      <c r="W142" s="44">
        <f t="shared" si="45"/>
        <v>4.6218881625934225</v>
      </c>
      <c r="X142" s="44">
        <f t="shared" si="45"/>
        <v>4.5753440231775526</v>
      </c>
      <c r="Y142" s="44">
        <f t="shared" si="45"/>
        <v>4.4958105884214783</v>
      </c>
      <c r="Z142" s="44">
        <f t="shared" si="45"/>
        <v>4.4169122508606513</v>
      </c>
      <c r="AA142" s="44">
        <f t="shared" si="45"/>
        <v>4.3396212934987481</v>
      </c>
      <c r="AB142" s="44">
        <f t="shared" si="45"/>
        <v>4.2642130216263574</v>
      </c>
      <c r="AC142" s="44">
        <f t="shared" si="45"/>
        <v>4.191073493053497</v>
      </c>
      <c r="AD142" s="44">
        <f t="shared" si="45"/>
        <v>4.1074991701981247</v>
      </c>
      <c r="AE142" s="44">
        <f t="shared" si="45"/>
        <v>4.0269181551861557</v>
      </c>
      <c r="AF142" s="44">
        <f t="shared" si="45"/>
        <v>3.9498361374694508</v>
      </c>
      <c r="AG142" s="44">
        <f t="shared" si="45"/>
        <v>3.8768080436927606</v>
      </c>
      <c r="AH142" s="44">
        <f t="shared" si="45"/>
        <v>3.8084431604042481</v>
      </c>
      <c r="AI142" s="44"/>
    </row>
    <row r="143" spans="1:35" x14ac:dyDescent="0.2">
      <c r="A143" s="689"/>
      <c r="B143" s="1" t="s">
        <v>248</v>
      </c>
      <c r="C143" s="54" t="s">
        <v>153</v>
      </c>
      <c r="D143" s="284">
        <f>D69+D78-('Ethylene Recycling LC'!C93+'Ethylene Recycling LC'!C126+'Ethylene Recycling LC'!C152+'Ethylene Recycling LC'!C174-('Ethylene Recycling LC'!$C$93+'Ethylene Recycling LC'!$C$126+'Ethylene Recycling LC'!$C$152+'Ethylene Recycling LC'!$C$174)+'Ethylene Recycling LC'!C96+'Ethylene Recycling LC'!C129+'Ethylene Recycling LC'!C155+'Ethylene Recycling LC'!C177-('Ethylene Recycling LC'!$C$96+'Ethylene Recycling LC'!$C$129+'Ethylene Recycling LC'!$C$155+'Ethylene Recycling LC'!$C$177))</f>
        <v>9.3727154228362686</v>
      </c>
      <c r="E143" s="284">
        <f>E69+E78-('Ethylene Recycling LC'!D93+'Ethylene Recycling LC'!D126+'Ethylene Recycling LC'!D152+'Ethylene Recycling LC'!D174-('Ethylene Recycling LC'!$C$93+'Ethylene Recycling LC'!$C$126+'Ethylene Recycling LC'!$C$152+'Ethylene Recycling LC'!$C$174)+'Ethylene Recycling LC'!D96+'Ethylene Recycling LC'!D129+'Ethylene Recycling LC'!D155+'Ethylene Recycling LC'!D177-('Ethylene Recycling LC'!$C$96+'Ethylene Recycling LC'!$C$129+'Ethylene Recycling LC'!$C$155+'Ethylene Recycling LC'!$C$177))</f>
        <v>10.211984010476218</v>
      </c>
      <c r="F143" s="284">
        <f>F69+F78-('Ethylene Recycling LC'!E93+'Ethylene Recycling LC'!E126+'Ethylene Recycling LC'!E152+'Ethylene Recycling LC'!E174-('Ethylene Recycling LC'!$C$93+'Ethylene Recycling LC'!$C$126+'Ethylene Recycling LC'!$C$152+'Ethylene Recycling LC'!$C$174)+'Ethylene Recycling LC'!E96+'Ethylene Recycling LC'!E129+'Ethylene Recycling LC'!E155+'Ethylene Recycling LC'!E177-('Ethylene Recycling LC'!$C$96+'Ethylene Recycling LC'!$C$129+'Ethylene Recycling LC'!$C$155+'Ethylene Recycling LC'!$C$177))</f>
        <v>10.891643422912606</v>
      </c>
      <c r="G143" s="284">
        <f>G69+G78-('Ethylene Recycling LC'!F93+'Ethylene Recycling LC'!F126+'Ethylene Recycling LC'!F152+'Ethylene Recycling LC'!F174-('Ethylene Recycling LC'!$C$93+'Ethylene Recycling LC'!$C$126+'Ethylene Recycling LC'!$C$152+'Ethylene Recycling LC'!$C$174)+'Ethylene Recycling LC'!F96+'Ethylene Recycling LC'!F129+'Ethylene Recycling LC'!F155+'Ethylene Recycling LC'!F177-('Ethylene Recycling LC'!$C$96+'Ethylene Recycling LC'!$C$129+'Ethylene Recycling LC'!$C$155+'Ethylene Recycling LC'!$C$177))</f>
        <v>11.595874806348647</v>
      </c>
      <c r="H143" s="284">
        <f>H69+H78-('Ethylene Recycling LC'!G93+'Ethylene Recycling LC'!G126+'Ethylene Recycling LC'!G152+'Ethylene Recycling LC'!G174-('Ethylene Recycling LC'!$C$93+'Ethylene Recycling LC'!$C$126+'Ethylene Recycling LC'!$C$152+'Ethylene Recycling LC'!$C$174)+'Ethylene Recycling LC'!G96+'Ethylene Recycling LC'!G129+'Ethylene Recycling LC'!G155+'Ethylene Recycling LC'!G177-('Ethylene Recycling LC'!$C$96+'Ethylene Recycling LC'!$C$129+'Ethylene Recycling LC'!$C$155+'Ethylene Recycling LC'!$C$177))</f>
        <v>12.325778783253208</v>
      </c>
      <c r="I143" s="284">
        <f>I69+I78-('Ethylene Recycling LC'!H93+'Ethylene Recycling LC'!H126+'Ethylene Recycling LC'!H152+'Ethylene Recycling LC'!H174-('Ethylene Recycling LC'!$C$93+'Ethylene Recycling LC'!$C$126+'Ethylene Recycling LC'!$C$152+'Ethylene Recycling LC'!$C$174)+'Ethylene Recycling LC'!H96+'Ethylene Recycling LC'!H129+'Ethylene Recycling LC'!H155+'Ethylene Recycling LC'!H177-('Ethylene Recycling LC'!$C$96+'Ethylene Recycling LC'!$C$129+'Ethylene Recycling LC'!$C$155+'Ethylene Recycling LC'!$C$177))</f>
        <v>13.082514850608451</v>
      </c>
      <c r="J143" s="284">
        <f>J69+J78-('Ethylene Recycling LC'!I93+'Ethylene Recycling LC'!I126+'Ethylene Recycling LC'!I152+'Ethylene Recycling LC'!I174-('Ethylene Recycling LC'!$C$93+'Ethylene Recycling LC'!$C$126+'Ethylene Recycling LC'!$C$152+'Ethylene Recycling LC'!$C$174)+'Ethylene Recycling LC'!I96+'Ethylene Recycling LC'!I129+'Ethylene Recycling LC'!I155+'Ethylene Recycling LC'!I177-('Ethylene Recycling LC'!$C$96+'Ethylene Recycling LC'!$C$129+'Ethylene Recycling LC'!$C$155+'Ethylene Recycling LC'!$C$177))</f>
        <v>13.697495914383062</v>
      </c>
      <c r="K143" s="284">
        <f>K69+K78-('Ethylene Recycling LC'!J93+'Ethylene Recycling LC'!J126+'Ethylene Recycling LC'!J152+'Ethylene Recycling LC'!J174-('Ethylene Recycling LC'!$C$93+'Ethylene Recycling LC'!$C$126+'Ethylene Recycling LC'!$C$152+'Ethylene Recycling LC'!$C$174)+'Ethylene Recycling LC'!J96+'Ethylene Recycling LC'!J129+'Ethylene Recycling LC'!J155+'Ethylene Recycling LC'!J177-('Ethylene Recycling LC'!$C$96+'Ethylene Recycling LC'!$C$129+'Ethylene Recycling LC'!$C$155+'Ethylene Recycling LC'!$C$177))</f>
        <v>14.333877628472527</v>
      </c>
      <c r="L143" s="284">
        <f>L69+L78-('Ethylene Recycling LC'!K93+'Ethylene Recycling LC'!K126+'Ethylene Recycling LC'!K152+'Ethylene Recycling LC'!K174-('Ethylene Recycling LC'!$C$93+'Ethylene Recycling LC'!$C$126+'Ethylene Recycling LC'!$C$152+'Ethylene Recycling LC'!$C$174)+'Ethylene Recycling LC'!K96+'Ethylene Recycling LC'!K129+'Ethylene Recycling LC'!K155+'Ethylene Recycling LC'!K177-('Ethylene Recycling LC'!$C$96+'Ethylene Recycling LC'!$C$129+'Ethylene Recycling LC'!$C$155+'Ethylene Recycling LC'!$C$177))</f>
        <v>14.992771771902062</v>
      </c>
      <c r="M143" s="284">
        <f>M69+M78-('Ethylene Recycling LC'!L93+'Ethylene Recycling LC'!L126+'Ethylene Recycling LC'!L152+'Ethylene Recycling LC'!L174-('Ethylene Recycling LC'!$C$93+'Ethylene Recycling LC'!$C$126+'Ethylene Recycling LC'!$C$152+'Ethylene Recycling LC'!$C$174)+'Ethylene Recycling LC'!L96+'Ethylene Recycling LC'!L129+'Ethylene Recycling LC'!L155+'Ethylene Recycling LC'!L177-('Ethylene Recycling LC'!$C$96+'Ethylene Recycling LC'!$C$129+'Ethylene Recycling LC'!$C$155+'Ethylene Recycling LC'!$C$177))</f>
        <v>15.67539682865571</v>
      </c>
      <c r="N143" s="284">
        <f>N69+N78-('Ethylene Recycling LC'!M93+'Ethylene Recycling LC'!M126+'Ethylene Recycling LC'!M152+'Ethylene Recycling LC'!M174-('Ethylene Recycling LC'!$C$93+'Ethylene Recycling LC'!$C$126+'Ethylene Recycling LC'!$C$152+'Ethylene Recycling LC'!$C$174)+'Ethylene Recycling LC'!M96+'Ethylene Recycling LC'!M129+'Ethylene Recycling LC'!M155+'Ethylene Recycling LC'!M177-('Ethylene Recycling LC'!$C$96+'Ethylene Recycling LC'!$C$129+'Ethylene Recycling LC'!$C$155+'Ethylene Recycling LC'!$C$177))</f>
        <v>16.383091826253739</v>
      </c>
      <c r="O143" s="284">
        <f>O69+O78-('Ethylene Recycling LC'!N93+'Ethylene Recycling LC'!N126+'Ethylene Recycling LC'!N152+'Ethylene Recycling LC'!N174-('Ethylene Recycling LC'!$C$93+'Ethylene Recycling LC'!$C$126+'Ethylene Recycling LC'!$C$152+'Ethylene Recycling LC'!$C$174)+'Ethylene Recycling LC'!N96+'Ethylene Recycling LC'!N129+'Ethylene Recycling LC'!N155+'Ethylene Recycling LC'!N177-('Ethylene Recycling LC'!$C$96+'Ethylene Recycling LC'!$C$129+'Ethylene Recycling LC'!$C$155+'Ethylene Recycling LC'!$C$177))</f>
        <v>16.400067725934544</v>
      </c>
      <c r="P143" s="284">
        <f>P69+P78-('Ethylene Recycling LC'!O93+'Ethylene Recycling LC'!O126+'Ethylene Recycling LC'!O152+'Ethylene Recycling LC'!O174-('Ethylene Recycling LC'!$C$93+'Ethylene Recycling LC'!$C$126+'Ethylene Recycling LC'!$C$152+'Ethylene Recycling LC'!$C$174)+'Ethylene Recycling LC'!O96+'Ethylene Recycling LC'!O129+'Ethylene Recycling LC'!O155+'Ethylene Recycling LC'!O177-('Ethylene Recycling LC'!$C$96+'Ethylene Recycling LC'!$C$129+'Ethylene Recycling LC'!$C$155+'Ethylene Recycling LC'!$C$177))</f>
        <v>16.427169299656175</v>
      </c>
      <c r="Q143" s="284">
        <f>Q69+Q78-('Ethylene Recycling LC'!P93+'Ethylene Recycling LC'!P126+'Ethylene Recycling LC'!P152+'Ethylene Recycling LC'!P174-('Ethylene Recycling LC'!$C$93+'Ethylene Recycling LC'!$C$126+'Ethylene Recycling LC'!$C$152+'Ethylene Recycling LC'!$C$174)+'Ethylene Recycling LC'!P96+'Ethylene Recycling LC'!P129+'Ethylene Recycling LC'!P155+'Ethylene Recycling LC'!P177-('Ethylene Recycling LC'!$C$96+'Ethylene Recycling LC'!$C$129+'Ethylene Recycling LC'!$C$155+'Ethylene Recycling LC'!$C$177))</f>
        <v>16.468617892838019</v>
      </c>
      <c r="R143" s="284">
        <f>R69+R78-('Ethylene Recycling LC'!Q93+'Ethylene Recycling LC'!Q126+'Ethylene Recycling LC'!Q152+'Ethylene Recycling LC'!Q174-('Ethylene Recycling LC'!$C$93+'Ethylene Recycling LC'!$C$126+'Ethylene Recycling LC'!$C$152+'Ethylene Recycling LC'!$C$174)+'Ethylene Recycling LC'!Q96+'Ethylene Recycling LC'!Q129+'Ethylene Recycling LC'!Q155+'Ethylene Recycling LC'!Q177-('Ethylene Recycling LC'!$C$96+'Ethylene Recycling LC'!$C$129+'Ethylene Recycling LC'!$C$155+'Ethylene Recycling LC'!$C$177))</f>
        <v>16.524654215578899</v>
      </c>
      <c r="S143" s="284">
        <f>S69+S78-('Ethylene Recycling LC'!R93+'Ethylene Recycling LC'!R126+'Ethylene Recycling LC'!R152+'Ethylene Recycling LC'!R174-('Ethylene Recycling LC'!$C$93+'Ethylene Recycling LC'!$C$126+'Ethylene Recycling LC'!$C$152+'Ethylene Recycling LC'!$C$174)+'Ethylene Recycling LC'!R96+'Ethylene Recycling LC'!R129+'Ethylene Recycling LC'!R155+'Ethylene Recycling LC'!R177-('Ethylene Recycling LC'!$C$96+'Ethylene Recycling LC'!$C$129+'Ethylene Recycling LC'!$C$155+'Ethylene Recycling LC'!$C$177))</f>
        <v>16.597128909888074</v>
      </c>
      <c r="T143" s="284">
        <f>T69+T78-('Ethylene Recycling LC'!S93+'Ethylene Recycling LC'!S126+'Ethylene Recycling LC'!S152+'Ethylene Recycling LC'!S174-('Ethylene Recycling LC'!$C$93+'Ethylene Recycling LC'!$C$126+'Ethylene Recycling LC'!$C$152+'Ethylene Recycling LC'!$C$174)+'Ethylene Recycling LC'!S96+'Ethylene Recycling LC'!S129+'Ethylene Recycling LC'!S155+'Ethylene Recycling LC'!S177-('Ethylene Recycling LC'!$C$96+'Ethylene Recycling LC'!$C$129+'Ethylene Recycling LC'!$C$155+'Ethylene Recycling LC'!$C$177))</f>
        <v>16.637563346473478</v>
      </c>
      <c r="U143" s="284">
        <f>U69+U78-('Ethylene Recycling LC'!T93+'Ethylene Recycling LC'!T126+'Ethylene Recycling LC'!T152+'Ethylene Recycling LC'!T174-('Ethylene Recycling LC'!$C$93+'Ethylene Recycling LC'!$C$126+'Ethylene Recycling LC'!$C$152+'Ethylene Recycling LC'!$C$174)+'Ethylene Recycling LC'!T96+'Ethylene Recycling LC'!T129+'Ethylene Recycling LC'!T155+'Ethylene Recycling LC'!T177-('Ethylene Recycling LC'!$C$96+'Ethylene Recycling LC'!$C$129+'Ethylene Recycling LC'!$C$155+'Ethylene Recycling LC'!$C$177))</f>
        <v>16.696477852772915</v>
      </c>
      <c r="V143" s="284">
        <f>V69+V78-('Ethylene Recycling LC'!U93+'Ethylene Recycling LC'!U126+'Ethylene Recycling LC'!U152+'Ethylene Recycling LC'!U174-('Ethylene Recycling LC'!$C$93+'Ethylene Recycling LC'!$C$126+'Ethylene Recycling LC'!$C$152+'Ethylene Recycling LC'!$C$174)+'Ethylene Recycling LC'!U96+'Ethylene Recycling LC'!U129+'Ethylene Recycling LC'!U155+'Ethylene Recycling LC'!U177-('Ethylene Recycling LC'!$C$96+'Ethylene Recycling LC'!$C$129+'Ethylene Recycling LC'!$C$155+'Ethylene Recycling LC'!$C$177))</f>
        <v>16.776445883436029</v>
      </c>
      <c r="W143" s="284">
        <f>W69+W78-('Ethylene Recycling LC'!V93+'Ethylene Recycling LC'!V126+'Ethylene Recycling LC'!V152+'Ethylene Recycling LC'!V174-('Ethylene Recycling LC'!$C$93+'Ethylene Recycling LC'!$C$126+'Ethylene Recycling LC'!$C$152+'Ethylene Recycling LC'!$C$174)+'Ethylene Recycling LC'!V96+'Ethylene Recycling LC'!V129+'Ethylene Recycling LC'!V155+'Ethylene Recycling LC'!V177-('Ethylene Recycling LC'!$C$96+'Ethylene Recycling LC'!$C$129+'Ethylene Recycling LC'!$C$155+'Ethylene Recycling LC'!$C$177))</f>
        <v>16.880400491016214</v>
      </c>
      <c r="X143" s="284">
        <f>X69+X78-('Ethylene Recycling LC'!W93+'Ethylene Recycling LC'!W126+'Ethylene Recycling LC'!W152+'Ethylene Recycling LC'!W174-('Ethylene Recycling LC'!$C$93+'Ethylene Recycling LC'!$C$126+'Ethylene Recycling LC'!$C$152+'Ethylene Recycling LC'!$C$174)+'Ethylene Recycling LC'!W96+'Ethylene Recycling LC'!W129+'Ethylene Recycling LC'!W155+'Ethylene Recycling LC'!W177-('Ethylene Recycling LC'!$C$96+'Ethylene Recycling LC'!$C$129+'Ethylene Recycling LC'!$C$155+'Ethylene Recycling LC'!$C$177))</f>
        <v>17.011683234801264</v>
      </c>
      <c r="Y143" s="284">
        <f>Y69+Y78-('Ethylene Recycling LC'!X93+'Ethylene Recycling LC'!X126+'Ethylene Recycling LC'!X152+'Ethylene Recycling LC'!X174-('Ethylene Recycling LC'!$C$93+'Ethylene Recycling LC'!$C$126+'Ethylene Recycling LC'!$C$152+'Ethylene Recycling LC'!$C$174)+'Ethylene Recycling LC'!X96+'Ethylene Recycling LC'!X129+'Ethylene Recycling LC'!X155+'Ethylene Recycling LC'!X177-('Ethylene Recycling LC'!$C$96+'Ethylene Recycling LC'!$C$129+'Ethylene Recycling LC'!$C$155+'Ethylene Recycling LC'!$C$177))</f>
        <v>17.110517822984619</v>
      </c>
      <c r="Z143" s="284">
        <f>Z69+Z78-('Ethylene Recycling LC'!Y93+'Ethylene Recycling LC'!Y126+'Ethylene Recycling LC'!Y152+'Ethylene Recycling LC'!Y174-('Ethylene Recycling LC'!$C$93+'Ethylene Recycling LC'!$C$126+'Ethylene Recycling LC'!$C$152+'Ethylene Recycling LC'!$C$174)+'Ethylene Recycling LC'!Y96+'Ethylene Recycling LC'!Y129+'Ethylene Recycling LC'!Y155+'Ethylene Recycling LC'!Y177-('Ethylene Recycling LC'!$C$96+'Ethylene Recycling LC'!$C$129+'Ethylene Recycling LC'!$C$155+'Ethylene Recycling LC'!$C$177))</f>
        <v>17.241526010514569</v>
      </c>
      <c r="AA143" s="284">
        <f>AA69+AA78-('Ethylene Recycling LC'!Z93+'Ethylene Recycling LC'!Z126+'Ethylene Recycling LC'!Z152+'Ethylene Recycling LC'!Z174-('Ethylene Recycling LC'!$C$93+'Ethylene Recycling LC'!$C$126+'Ethylene Recycling LC'!$C$152+'Ethylene Recycling LC'!$C$174)+'Ethylene Recycling LC'!Z96+'Ethylene Recycling LC'!Z129+'Ethylene Recycling LC'!Z155+'Ethylene Recycling LC'!Z177-('Ethylene Recycling LC'!$C$96+'Ethylene Recycling LC'!$C$129+'Ethylene Recycling LC'!$C$155+'Ethylene Recycling LC'!$C$177))</f>
        <v>17.413508376002586</v>
      </c>
      <c r="AB143" s="284">
        <f>AB69+AB78-('Ethylene Recycling LC'!AA93+'Ethylene Recycling LC'!AA126+'Ethylene Recycling LC'!AA152+'Ethylene Recycling LC'!AA174-('Ethylene Recycling LC'!$C$93+'Ethylene Recycling LC'!$C$126+'Ethylene Recycling LC'!$C$152+'Ethylene Recycling LC'!$C$174)+'Ethylene Recycling LC'!AA96+'Ethylene Recycling LC'!AA129+'Ethylene Recycling LC'!AA155+'Ethylene Recycling LC'!AA177-('Ethylene Recycling LC'!$C$96+'Ethylene Recycling LC'!$C$129+'Ethylene Recycling LC'!$C$155+'Ethylene Recycling LC'!$C$177))</f>
        <v>17.631811642463155</v>
      </c>
      <c r="AC143" s="284">
        <f>AC69+AC78-('Ethylene Recycling LC'!AB93+'Ethylene Recycling LC'!AB126+'Ethylene Recycling LC'!AB152+'Ethylene Recycling LC'!AB174-('Ethylene Recycling LC'!$C$93+'Ethylene Recycling LC'!$C$126+'Ethylene Recycling LC'!$C$152+'Ethylene Recycling LC'!$C$174)+'Ethylene Recycling LC'!AB96+'Ethylene Recycling LC'!AB129+'Ethylene Recycling LC'!AB155+'Ethylene Recycling LC'!AB177-('Ethylene Recycling LC'!$C$96+'Ethylene Recycling LC'!$C$129+'Ethylene Recycling LC'!$C$155+'Ethylene Recycling LC'!$C$177))</f>
        <v>17.902736915157586</v>
      </c>
      <c r="AD143" s="284">
        <f>AD69+AD78-('Ethylene Recycling LC'!AC93+'Ethylene Recycling LC'!AC126+'Ethylene Recycling LC'!AC152+'Ethylene Recycling LC'!AC174-('Ethylene Recycling LC'!$C$93+'Ethylene Recycling LC'!$C$126+'Ethylene Recycling LC'!$C$152+'Ethylene Recycling LC'!$C$174)+'Ethylene Recycling LC'!AC96+'Ethylene Recycling LC'!AC129+'Ethylene Recycling LC'!AC155+'Ethylene Recycling LC'!AC177-('Ethylene Recycling LC'!$C$96+'Ethylene Recycling LC'!$C$129+'Ethylene Recycling LC'!$C$155+'Ethylene Recycling LC'!$C$177))</f>
        <v>18.192684018730677</v>
      </c>
      <c r="AE143" s="284">
        <f>AE69+AE78-('Ethylene Recycling LC'!AD93+'Ethylene Recycling LC'!AD126+'Ethylene Recycling LC'!AD152+'Ethylene Recycling LC'!AD174-('Ethylene Recycling LC'!$C$93+'Ethylene Recycling LC'!$C$126+'Ethylene Recycling LC'!$C$152+'Ethylene Recycling LC'!$C$174)+'Ethylene Recycling LC'!AD96+'Ethylene Recycling LC'!AD129+'Ethylene Recycling LC'!AD155+'Ethylene Recycling LC'!AD177-('Ethylene Recycling LC'!$C$96+'Ethylene Recycling LC'!$C$129+'Ethylene Recycling LC'!$C$155+'Ethylene Recycling LC'!$C$177))</f>
        <v>18.550111866326404</v>
      </c>
      <c r="AF143" s="284">
        <f>AF69+AF78-('Ethylene Recycling LC'!AE93+'Ethylene Recycling LC'!AE126+'Ethylene Recycling LC'!AE152+'Ethylene Recycling LC'!AE174-('Ethylene Recycling LC'!$C$93+'Ethylene Recycling LC'!$C$126+'Ethylene Recycling LC'!$C$152+'Ethylene Recycling LC'!$C$174)+'Ethylene Recycling LC'!AE96+'Ethylene Recycling LC'!AE129+'Ethylene Recycling LC'!AE155+'Ethylene Recycling LC'!AE177-('Ethylene Recycling LC'!$C$96+'Ethylene Recycling LC'!$C$129+'Ethylene Recycling LC'!$C$155+'Ethylene Recycling LC'!$C$177))</f>
        <v>18.984301433128877</v>
      </c>
      <c r="AG143" s="284">
        <f>AG69+AG78-('Ethylene Recycling LC'!AF93+'Ethylene Recycling LC'!AF126+'Ethylene Recycling LC'!AF152+'Ethylene Recycling LC'!AF174-('Ethylene Recycling LC'!$C$93+'Ethylene Recycling LC'!$C$126+'Ethylene Recycling LC'!$C$152+'Ethylene Recycling LC'!$C$174)+'Ethylene Recycling LC'!AF96+'Ethylene Recycling LC'!AF129+'Ethylene Recycling LC'!AF155+'Ethylene Recycling LC'!AF177-('Ethylene Recycling LC'!$C$96+'Ethylene Recycling LC'!$C$129+'Ethylene Recycling LC'!$C$155+'Ethylene Recycling LC'!$C$177))</f>
        <v>19.505808637861712</v>
      </c>
      <c r="AH143" s="284">
        <f>AH69+AH78-('Ethylene Recycling LC'!AG93+'Ethylene Recycling LC'!AG126+'Ethylene Recycling LC'!AG152+'Ethylene Recycling LC'!AG174-('Ethylene Recycling LC'!$C$93+'Ethylene Recycling LC'!$C$126+'Ethylene Recycling LC'!$C$152+'Ethylene Recycling LC'!$C$174)+'Ethylene Recycling LC'!AG96+'Ethylene Recycling LC'!AG129+'Ethylene Recycling LC'!AG155+'Ethylene Recycling LC'!AG177-('Ethylene Recycling LC'!$C$96+'Ethylene Recycling LC'!$C$129+'Ethylene Recycling LC'!$C$155+'Ethylene Recycling LC'!$C$177))</f>
        <v>20.126636338459303</v>
      </c>
      <c r="AI143" s="44"/>
    </row>
    <row r="144" spans="1:35" s="67" customFormat="1" x14ac:dyDescent="0.2">
      <c r="A144" s="690" t="s">
        <v>263</v>
      </c>
      <c r="B144" s="58" t="s">
        <v>264</v>
      </c>
      <c r="C144" s="59" t="s">
        <v>153</v>
      </c>
      <c r="D144" s="60">
        <f>D70+D79-('Ethylene Recycling LC'!C94+'Ethylene Recycling LC'!C127+'Ethylene Recycling LC'!C153+'Ethylene Recycling LC'!C175-('Ethylene Recycling LC'!$C$94+'Ethylene Recycling LC'!$C$127+'Ethylene Recycling LC'!$C$153+'Ethylene Recycling LC'!$C$175))</f>
        <v>2.8834082840236679</v>
      </c>
      <c r="E144" s="60">
        <f>E70+E79-('Ethylene Recycling LC'!D94+'Ethylene Recycling LC'!D127+'Ethylene Recycling LC'!D153+'Ethylene Recycling LC'!D175-('Ethylene Recycling LC'!$C$94+'Ethylene Recycling LC'!$C$127+'Ethylene Recycling LC'!$C$153+'Ethylene Recycling LC'!$C$175))</f>
        <v>3.1020495744955232</v>
      </c>
      <c r="F144" s="60">
        <f>F70+F79-('Ethylene Recycling LC'!E94+'Ethylene Recycling LC'!E127+'Ethylene Recycling LC'!E153+'Ethylene Recycling LC'!E175-('Ethylene Recycling LC'!$C$94+'Ethylene Recycling LC'!$C$127+'Ethylene Recycling LC'!$C$153+'Ethylene Recycling LC'!$C$175))</f>
        <v>3.2939441892708827</v>
      </c>
      <c r="G144" s="60">
        <f>G70+G79-('Ethylene Recycling LC'!F94+'Ethylene Recycling LC'!F127+'Ethylene Recycling LC'!F153+'Ethylene Recycling LC'!F175-('Ethylene Recycling LC'!$C$94+'Ethylene Recycling LC'!$C$127+'Ethylene Recycling LC'!$C$153+'Ethylene Recycling LC'!$C$175))</f>
        <v>3.4919747393635712</v>
      </c>
      <c r="H144" s="60">
        <f>H70+H79-('Ethylene Recycling LC'!G94+'Ethylene Recycling LC'!G127+'Ethylene Recycling LC'!G153+'Ethylene Recycling LC'!G175-('Ethylene Recycling LC'!$C$94+'Ethylene Recycling LC'!$C$127+'Ethylene Recycling LC'!$C$153+'Ethylene Recycling LC'!$C$175))</f>
        <v>3.696446586538868</v>
      </c>
      <c r="I144" s="60">
        <f>I70+I79-('Ethylene Recycling LC'!H94+'Ethylene Recycling LC'!H127+'Ethylene Recycling LC'!H153+'Ethylene Recycling LC'!H175-('Ethylene Recycling LC'!$C$94+'Ethylene Recycling LC'!$C$127+'Ethylene Recycling LC'!$C$153+'Ethylene Recycling LC'!$C$175))</f>
        <v>3.9076800011605632</v>
      </c>
      <c r="J144" s="60">
        <f>J70+J79-('Ethylene Recycling LC'!I94+'Ethylene Recycling LC'!I127+'Ethylene Recycling LC'!I153+'Ethylene Recycling LC'!I175-('Ethylene Recycling LC'!$C$94+'Ethylene Recycling LC'!$C$127+'Ethylene Recycling LC'!$C$153+'Ethylene Recycling LC'!$C$175))</f>
        <v>4.0746022065812246</v>
      </c>
      <c r="K144" s="60">
        <f>K70+K79-('Ethylene Recycling LC'!J94+'Ethylene Recycling LC'!J127+'Ethylene Recycling LC'!J153+'Ethylene Recycling LC'!J175-('Ethylene Recycling LC'!$C$94+'Ethylene Recycling LC'!$C$127+'Ethylene Recycling LC'!$C$153+'Ethylene Recycling LC'!$C$175))</f>
        <v>4.2462436533382171</v>
      </c>
      <c r="L144" s="60">
        <f>L70+L79-('Ethylene Recycling LC'!K94+'Ethylene Recycling LC'!K127+'Ethylene Recycling LC'!K153+'Ethylene Recycling LC'!K175-('Ethylene Recycling LC'!$C$94+'Ethylene Recycling LC'!$C$127+'Ethylene Recycling LC'!$C$153+'Ethylene Recycling LC'!$C$175))</f>
        <v>4.4227802409613899</v>
      </c>
      <c r="M144" s="60">
        <f>M70+M79-('Ethylene Recycling LC'!L94+'Ethylene Recycling LC'!L127+'Ethylene Recycling LC'!L153+'Ethylene Recycling LC'!L175-('Ethylene Recycling LC'!$C$94+'Ethylene Recycling LC'!$C$127+'Ethylene Recycling LC'!$C$153+'Ethylene Recycling LC'!$C$175))</f>
        <v>4.6043976704047722</v>
      </c>
      <c r="N144" s="60">
        <f>N70+N79-('Ethylene Recycling LC'!M94+'Ethylene Recycling LC'!M127+'Ethylene Recycling LC'!M153+'Ethylene Recycling LC'!M175-('Ethylene Recycling LC'!$C$94+'Ethylene Recycling LC'!$C$127+'Ethylene Recycling LC'!$C$153+'Ethylene Recycling LC'!$C$175))</f>
        <v>4.7912921450477315</v>
      </c>
      <c r="O144" s="60">
        <f>O70+O79-('Ethylene Recycling LC'!N94+'Ethylene Recycling LC'!N127+'Ethylene Recycling LC'!N153+'Ethylene Recycling LC'!N175-('Ethylene Recycling LC'!$C$94+'Ethylene Recycling LC'!$C$127+'Ethylene Recycling LC'!$C$153+'Ethylene Recycling LC'!$C$175))</f>
        <v>4.7547195477215309</v>
      </c>
      <c r="P144" s="60">
        <f>P70+P79-('Ethylene Recycling LC'!O94+'Ethylene Recycling LC'!O127+'Ethylene Recycling LC'!O153+'Ethylene Recycling LC'!O175-('Ethylene Recycling LC'!$C$94+'Ethylene Recycling LC'!$C$127+'Ethylene Recycling LC'!$C$153+'Ethylene Recycling LC'!$C$175))</f>
        <v>4.718379222121265</v>
      </c>
      <c r="Q144" s="60">
        <f>Q70+Q79-('Ethylene Recycling LC'!P94+'Ethylene Recycling LC'!P127+'Ethylene Recycling LC'!P153+'Ethylene Recycling LC'!P175-('Ethylene Recycling LC'!$C$94+'Ethylene Recycling LC'!$C$127+'Ethylene Recycling LC'!$C$153+'Ethylene Recycling LC'!$C$175))</f>
        <v>4.6827194446191642</v>
      </c>
      <c r="R144" s="60">
        <f>R70+R79-('Ethylene Recycling LC'!Q94+'Ethylene Recycling LC'!Q127+'Ethylene Recycling LC'!Q153+'Ethylene Recycling LC'!Q175-('Ethylene Recycling LC'!$C$94+'Ethylene Recycling LC'!$C$127+'Ethylene Recycling LC'!$C$153+'Ethylene Recycling LC'!$C$175))</f>
        <v>4.6479760447932685</v>
      </c>
      <c r="S144" s="60">
        <f>S70+S79-('Ethylene Recycling LC'!R94+'Ethylene Recycling LC'!R127+'Ethylene Recycling LC'!R153+'Ethylene Recycling LC'!R175-('Ethylene Recycling LC'!$C$94+'Ethylene Recycling LC'!$C$127+'Ethylene Recycling LC'!$C$153+'Ethylene Recycling LC'!$C$175))</f>
        <v>4.6144732003319096</v>
      </c>
      <c r="T144" s="60">
        <f>T70+T79-('Ethylene Recycling LC'!S94+'Ethylene Recycling LC'!S127+'Ethylene Recycling LC'!S153+'Ethylene Recycling LC'!S175-('Ethylene Recycling LC'!$C$94+'Ethylene Recycling LC'!$C$127+'Ethylene Recycling LC'!$C$153+'Ethylene Recycling LC'!$C$175))</f>
        <v>4.5665977092105097</v>
      </c>
      <c r="U144" s="60">
        <f>U70+U79-('Ethylene Recycling LC'!T94+'Ethylene Recycling LC'!T127+'Ethylene Recycling LC'!T153+'Ethylene Recycling LC'!T175-('Ethylene Recycling LC'!$C$94+'Ethylene Recycling LC'!$C$127+'Ethylene Recycling LC'!$C$153+'Ethylene Recycling LC'!$C$175))</f>
        <v>4.5191225432190993</v>
      </c>
      <c r="V144" s="60">
        <f>V70+V79-('Ethylene Recycling LC'!U94+'Ethylene Recycling LC'!U127+'Ethylene Recycling LC'!U153+'Ethylene Recycling LC'!U175-('Ethylene Recycling LC'!$C$94+'Ethylene Recycling LC'!$C$127+'Ethylene Recycling LC'!$C$153+'Ethylene Recycling LC'!$C$175))</f>
        <v>4.4722379052161951</v>
      </c>
      <c r="W144" s="60">
        <f>W70+W79-('Ethylene Recycling LC'!V94+'Ethylene Recycling LC'!V127+'Ethylene Recycling LC'!V153+'Ethylene Recycling LC'!V175-('Ethylene Recycling LC'!$C$94+'Ethylene Recycling LC'!$C$127+'Ethylene Recycling LC'!$C$153+'Ethylene Recycling LC'!$C$175))</f>
        <v>4.426152615767637</v>
      </c>
      <c r="X144" s="60">
        <f>X70+X79-('Ethylene Recycling LC'!W94+'Ethylene Recycling LC'!W127+'Ethylene Recycling LC'!W153+'Ethylene Recycling LC'!W175-('Ethylene Recycling LC'!$C$94+'Ethylene Recycling LC'!$C$127+'Ethylene Recycling LC'!$C$153+'Ethylene Recycling LC'!$C$175))</f>
        <v>4.3810959872090631</v>
      </c>
      <c r="Y144" s="60">
        <f>Y70+Y79-('Ethylene Recycling LC'!X94+'Ethylene Recycling LC'!X127+'Ethylene Recycling LC'!X153+'Ethylene Recycling LC'!X175-('Ethylene Recycling LC'!$C$94+'Ethylene Recycling LC'!$C$127+'Ethylene Recycling LC'!$C$153+'Ethylene Recycling LC'!$C$175))</f>
        <v>4.3036954196623673</v>
      </c>
      <c r="Z144" s="60">
        <f>Z70+Z79-('Ethylene Recycling LC'!Y94+'Ethylene Recycling LC'!Y127+'Ethylene Recycling LC'!Y153+'Ethylene Recycling LC'!Y175-('Ethylene Recycling LC'!$C$94+'Ethylene Recycling LC'!$C$127+'Ethylene Recycling LC'!$C$153+'Ethylene Recycling LC'!$C$175))</f>
        <v>4.2269896448667668</v>
      </c>
      <c r="AA144" s="60">
        <f>AA70+AA79-('Ethylene Recycling LC'!Z94+'Ethylene Recycling LC'!Z127+'Ethylene Recycling LC'!Z153+'Ethylene Recycling LC'!Z175-('Ethylene Recycling LC'!$C$94+'Ethylene Recycling LC'!$C$127+'Ethylene Recycling LC'!$C$153+'Ethylene Recycling LC'!$C$175))</f>
        <v>4.1519517993692858</v>
      </c>
      <c r="AB144" s="60">
        <f>AB70+AB79-('Ethylene Recycling LC'!AA94+'Ethylene Recycling LC'!AA127+'Ethylene Recycling LC'!AA153+'Ethylene Recycling LC'!AA175-('Ethylene Recycling LC'!$C$94+'Ethylene Recycling LC'!$C$127+'Ethylene Recycling LC'!$C$153+'Ethylene Recycling LC'!$C$175))</f>
        <v>4.0788580496731601</v>
      </c>
      <c r="AC144" s="60">
        <f>AC70+AC79-('Ethylene Recycling LC'!AB94+'Ethylene Recycling LC'!AB127+'Ethylene Recycling LC'!AB153+'Ethylene Recycling LC'!AB175-('Ethylene Recycling LC'!$C$94+'Ethylene Recycling LC'!$C$127+'Ethylene Recycling LC'!$C$153+'Ethylene Recycling LC'!$C$175))</f>
        <v>4.0080953224598765</v>
      </c>
      <c r="AD144" s="60">
        <f>AD70+AD79-('Ethylene Recycling LC'!AC94+'Ethylene Recycling LC'!AC127+'Ethylene Recycling LC'!AC153+'Ethylene Recycling LC'!AC175-('Ethylene Recycling LC'!$C$94+'Ethylene Recycling LC'!$C$127+'Ethylene Recycling LC'!$C$153+'Ethylene Recycling LC'!$C$175))</f>
        <v>3.9274949265730266</v>
      </c>
      <c r="AE144" s="60">
        <f>AE70+AE79-('Ethylene Recycling LC'!AD94+'Ethylene Recycling LC'!AD127+'Ethylene Recycling LC'!AD153+'Ethylene Recycling LC'!AD175-('Ethylene Recycling LC'!$C$94+'Ethylene Recycling LC'!$C$127+'Ethylene Recycling LC'!$C$153+'Ethylene Recycling LC'!$C$175))</f>
        <v>3.8499589393147273</v>
      </c>
      <c r="AF144" s="60">
        <f>AF70+AF79-('Ethylene Recycling LC'!AE94+'Ethylene Recycling LC'!AE127+'Ethylene Recycling LC'!AE153+'Ethylene Recycling LC'!AE175-('Ethylene Recycling LC'!$C$94+'Ethylene Recycling LC'!$C$127+'Ethylene Recycling LC'!$C$153+'Ethylene Recycling LC'!$C$175))</f>
        <v>3.7759939893121137</v>
      </c>
      <c r="AG144" s="60">
        <f>AG70+AG79-('Ethylene Recycling LC'!AF94+'Ethylene Recycling LC'!AF127+'Ethylene Recycling LC'!AF153+'Ethylene Recycling LC'!AF175-('Ethylene Recycling LC'!$C$94+'Ethylene Recycling LC'!$C$127+'Ethylene Recycling LC'!$C$153+'Ethylene Recycling LC'!$C$175))</f>
        <v>3.706155949767032</v>
      </c>
      <c r="AH144" s="60">
        <f>AH70+AH79-('Ethylene Recycling LC'!AG94+'Ethylene Recycling LC'!AG127+'Ethylene Recycling LC'!AG153+'Ethylene Recycling LC'!AG175-('Ethylene Recycling LC'!$C$94+'Ethylene Recycling LC'!$C$127+'Ethylene Recycling LC'!$C$153+'Ethylene Recycling LC'!$C$175))</f>
        <v>3.6410550611280503</v>
      </c>
      <c r="AI144" s="60"/>
    </row>
    <row r="145" spans="1:36" s="68" customFormat="1" x14ac:dyDescent="0.2">
      <c r="A145" s="691"/>
      <c r="B145" s="62" t="s">
        <v>266</v>
      </c>
      <c r="C145" s="283" t="s">
        <v>153</v>
      </c>
      <c r="D145" s="284">
        <f>D71+D80-('Ethylene Recycling LC'!C95+'Ethylene Recycling LC'!C128+'Ethylene Recycling LC'!C154+'Ethylene Recycling LC'!C176-('Ethylene Recycling LC'!$C$95+'Ethylene Recycling LC'!$C$128+'Ethylene Recycling LC'!$C$154+'Ethylene Recycling LC'!$C$176))</f>
        <v>2.8011119939271247</v>
      </c>
      <c r="E145" s="284">
        <f>E71+E80-('Ethylene Recycling LC'!D95+'Ethylene Recycling LC'!D128+'Ethylene Recycling LC'!D154+'Ethylene Recycling LC'!D176-('Ethylene Recycling LC'!$C$95+'Ethylene Recycling LC'!$C$128+'Ethylene Recycling LC'!$C$154+'Ethylene Recycling LC'!$C$176))</f>
        <v>3.013688520353301</v>
      </c>
      <c r="F145" s="284">
        <f>F71+F80-('Ethylene Recycling LC'!E95+'Ethylene Recycling LC'!E128+'Ethylene Recycling LC'!E154+'Ethylene Recycling LC'!E176-('Ethylene Recycling LC'!$C$95+'Ethylene Recycling LC'!$C$128+'Ethylene Recycling LC'!$C$154+'Ethylene Recycling LC'!$C$176))</f>
        <v>3.3943008652807634</v>
      </c>
      <c r="G145" s="284">
        <f>G71+G80-('Ethylene Recycling LC'!F95+'Ethylene Recycling LC'!F128+'Ethylene Recycling LC'!F154+'Ethylene Recycling LC'!F176-('Ethylene Recycling LC'!$C$95+'Ethylene Recycling LC'!$C$128+'Ethylene Recycling LC'!$C$154+'Ethylene Recycling LC'!$C$176))</f>
        <v>4.0576536880557823</v>
      </c>
      <c r="H145" s="284">
        <f>H71+H80-('Ethylene Recycling LC'!G95+'Ethylene Recycling LC'!G128+'Ethylene Recycling LC'!G154+'Ethylene Recycling LC'!G176-('Ethylene Recycling LC'!$C$95+'Ethylene Recycling LC'!$C$128+'Ethylene Recycling LC'!$C$154+'Ethylene Recycling LC'!$C$176))</f>
        <v>3.5427725283187179</v>
      </c>
      <c r="I145" s="284">
        <f>I71+I80-('Ethylene Recycling LC'!H95+'Ethylene Recycling LC'!H128+'Ethylene Recycling LC'!H154+'Ethylene Recycling LC'!H176-('Ethylene Recycling LC'!$C$95+'Ethylene Recycling LC'!$C$128+'Ethylene Recycling LC'!$C$154+'Ethylene Recycling LC'!$C$176))</f>
        <v>3.7438814929228412</v>
      </c>
      <c r="J145" s="284">
        <f>J71+J80-('Ethylene Recycling LC'!I95+'Ethylene Recycling LC'!I128+'Ethylene Recycling LC'!I154+'Ethylene Recycling LC'!I176-('Ethylene Recycling LC'!$C$95+'Ethylene Recycling LC'!$C$128+'Ethylene Recycling LC'!$C$154+'Ethylene Recycling LC'!$C$176))</f>
        <v>3.9103773166533138</v>
      </c>
      <c r="K145" s="284">
        <f>K71+K80-('Ethylene Recycling LC'!J95+'Ethylene Recycling LC'!J128+'Ethylene Recycling LC'!J154+'Ethylene Recycling LC'!J176-('Ethylene Recycling LC'!$C$95+'Ethylene Recycling LC'!$C$128+'Ethylene Recycling LC'!$C$154+'Ethylene Recycling LC'!$C$176))</f>
        <v>4.0820086826005895</v>
      </c>
      <c r="L145" s="284">
        <f>L71+L80-('Ethylene Recycling LC'!K95+'Ethylene Recycling LC'!K128+'Ethylene Recycling LC'!K154+'Ethylene Recycling LC'!K176-('Ethylene Recycling LC'!$C$95+'Ethylene Recycling LC'!$C$128+'Ethylene Recycling LC'!$C$154+'Ethylene Recycling LC'!$C$176))</f>
        <v>4.2589035957720052</v>
      </c>
      <c r="M145" s="284">
        <f>M71+M80-('Ethylene Recycling LC'!L95+'Ethylene Recycling LC'!L128+'Ethylene Recycling LC'!L154+'Ethylene Recycling LC'!L176-('Ethylene Recycling LC'!$C$95+'Ethylene Recycling LC'!$C$128+'Ethylene Recycling LC'!$C$154+'Ethylene Recycling LC'!$C$176))</f>
        <v>4.4411901681106167</v>
      </c>
      <c r="N145" s="284">
        <f>N71+N80-('Ethylene Recycling LC'!M95+'Ethylene Recycling LC'!M128+'Ethylene Recycling LC'!M154+'Ethylene Recycling LC'!M176-('Ethylene Recycling LC'!$C$95+'Ethylene Recycling LC'!$C$128+'Ethylene Recycling LC'!$C$154+'Ethylene Recycling LC'!$C$176))</f>
        <v>4.628996474459675</v>
      </c>
      <c r="O145" s="284">
        <f>O71+O80-('Ethylene Recycling LC'!N95+'Ethylene Recycling LC'!N128+'Ethylene Recycling LC'!N154+'Ethylene Recycling LC'!N176-('Ethylene Recycling LC'!$C$95+'Ethylene Recycling LC'!$C$128+'Ethylene Recycling LC'!$C$154+'Ethylene Recycling LC'!$C$176))</f>
        <v>4.6017916355609145</v>
      </c>
      <c r="P145" s="284">
        <f>P71+P80-('Ethylene Recycling LC'!O95+'Ethylene Recycling LC'!O128+'Ethylene Recycling LC'!O154+'Ethylene Recycling LC'!O176-('Ethylene Recycling LC'!$C$95+'Ethylene Recycling LC'!$C$128+'Ethylene Recycling LC'!$C$154+'Ethylene Recycling LC'!$C$176))</f>
        <v>4.5758250966102008</v>
      </c>
      <c r="Q145" s="284">
        <f>Q71+Q80-('Ethylene Recycling LC'!P95+'Ethylene Recycling LC'!P128+'Ethylene Recycling LC'!P154+'Ethylene Recycling LC'!P176-('Ethylene Recycling LC'!$C$95+'Ethylene Recycling LC'!$C$128+'Ethylene Recycling LC'!$C$154+'Ethylene Recycling LC'!$C$176))</f>
        <v>4.5517212571914119</v>
      </c>
      <c r="R145" s="284">
        <f>R71+R80-('Ethylene Recycling LC'!Q95+'Ethylene Recycling LC'!Q128+'Ethylene Recycling LC'!Q154+'Ethylene Recycling LC'!Q176-('Ethylene Recycling LC'!$C$95+'Ethylene Recycling LC'!$C$128+'Ethylene Recycling LC'!$C$154+'Ethylene Recycling LC'!$C$176))</f>
        <v>4.5293199424448494</v>
      </c>
      <c r="S145" s="284">
        <f>S71+S80-('Ethylene Recycling LC'!R95+'Ethylene Recycling LC'!R128+'Ethylene Recycling LC'!R154+'Ethylene Recycling LC'!R176-('Ethylene Recycling LC'!$C$95+'Ethylene Recycling LC'!$C$128+'Ethylene Recycling LC'!$C$154+'Ethylene Recycling LC'!$C$176))</f>
        <v>4.508689760785102</v>
      </c>
      <c r="T145" s="284">
        <f>T71+T80-('Ethylene Recycling LC'!S95+'Ethylene Recycling LC'!S128+'Ethylene Recycling LC'!S154+'Ethylene Recycling LC'!S176-('Ethylene Recycling LC'!$C$95+'Ethylene Recycling LC'!$C$128+'Ethylene Recycling LC'!$C$154+'Ethylene Recycling LC'!$C$176))</f>
        <v>4.4693049762139125</v>
      </c>
      <c r="U145" s="284">
        <f>U71+U80-('Ethylene Recycling LC'!T95+'Ethylene Recycling LC'!T128+'Ethylene Recycling LC'!T154+'Ethylene Recycling LC'!T176-('Ethylene Recycling LC'!$C$95+'Ethylene Recycling LC'!$C$128+'Ethylene Recycling LC'!$C$154+'Ethylene Recycling LC'!$C$176))</f>
        <v>4.4301923838874462</v>
      </c>
      <c r="V145" s="284">
        <f>V71+V80-('Ethylene Recycling LC'!U95+'Ethylene Recycling LC'!U128+'Ethylene Recycling LC'!U154+'Ethylene Recycling LC'!U176-('Ethylene Recycling LC'!$C$95+'Ethylene Recycling LC'!$C$128+'Ethylene Recycling LC'!$C$154+'Ethylene Recycling LC'!$C$176))</f>
        <v>4.391359871877345</v>
      </c>
      <c r="W145" s="284">
        <f>W71+W80-('Ethylene Recycling LC'!V95+'Ethylene Recycling LC'!V128+'Ethylene Recycling LC'!V154+'Ethylene Recycling LC'!V176-('Ethylene Recycling LC'!$C$95+'Ethylene Recycling LC'!$C$128+'Ethylene Recycling LC'!$C$154+'Ethylene Recycling LC'!$C$176))</f>
        <v>4.3528141145922001</v>
      </c>
      <c r="X145" s="284">
        <f>X71+X80-('Ethylene Recycling LC'!W95+'Ethylene Recycling LC'!W128+'Ethylene Recycling LC'!W154+'Ethylene Recycling LC'!W176-('Ethylene Recycling LC'!$C$95+'Ethylene Recycling LC'!$C$128+'Ethylene Recycling LC'!$C$154+'Ethylene Recycling LC'!$C$176))</f>
        <v>4.3145605298854974</v>
      </c>
      <c r="Y145" s="284">
        <f>Y71+Y80-('Ethylene Recycling LC'!X95+'Ethylene Recycling LC'!X128+'Ethylene Recycling LC'!X154+'Ethylene Recycling LC'!X176-('Ethylene Recycling LC'!$C$95+'Ethylene Recycling LC'!$C$128+'Ethylene Recycling LC'!$C$154+'Ethylene Recycling LC'!$C$176))</f>
        <v>4.2524605337189563</v>
      </c>
      <c r="Z145" s="284">
        <f>Z71+Z80-('Ethylene Recycling LC'!Y95+'Ethylene Recycling LC'!Y128+'Ethylene Recycling LC'!Y154+'Ethylene Recycling LC'!Y176-('Ethylene Recycling LC'!$C$95+'Ethylene Recycling LC'!$C$128+'Ethylene Recycling LC'!$C$154+'Ethylene Recycling LC'!$C$176))</f>
        <v>4.1898337163616288</v>
      </c>
      <c r="AA145" s="284">
        <f>AA71+AA80-('Ethylene Recycling LC'!Z95+'Ethylene Recycling LC'!Z128+'Ethylene Recycling LC'!Z154+'Ethylene Recycling LC'!Z176-('Ethylene Recycling LC'!$C$95+'Ethylene Recycling LC'!$C$128+'Ethylene Recycling LC'!$C$154+'Ethylene Recycling LC'!$C$176))</f>
        <v>4.1281910073003498</v>
      </c>
      <c r="AB145" s="284">
        <f>AB71+AB80-('Ethylene Recycling LC'!AA95+'Ethylene Recycling LC'!AA128+'Ethylene Recycling LC'!AA154+'Ethylene Recycling LC'!AA176-('Ethylene Recycling LC'!$C$95+'Ethylene Recycling LC'!$C$128+'Ethylene Recycling LC'!$C$154+'Ethylene Recycling LC'!$C$176))</f>
        <v>4.0675475613667293</v>
      </c>
      <c r="AC145" s="284">
        <f>AC71+AC80-('Ethylene Recycling LC'!AB95+'Ethylene Recycling LC'!AB128+'Ethylene Recycling LC'!AB154+'Ethylene Recycling LC'!AB176-('Ethylene Recycling LC'!$C$95+'Ethylene Recycling LC'!$C$128+'Ethylene Recycling LC'!$C$154+'Ethylene Recycling LC'!$C$176))</f>
        <v>4.007916516870643</v>
      </c>
      <c r="AD145" s="284">
        <f>AD71+AD80-('Ethylene Recycling LC'!AC95+'Ethylene Recycling LC'!AC128+'Ethylene Recycling LC'!AC154+'Ethylene Recycling LC'!AC176-('Ethylene Recycling LC'!$C$95+'Ethylene Recycling LC'!$C$128+'Ethylene Recycling LC'!$C$154+'Ethylene Recycling LC'!$C$176))</f>
        <v>3.9411558905276491</v>
      </c>
      <c r="AE145" s="284">
        <f>AE71+AE80-('Ethylene Recycling LC'!AD95+'Ethylene Recycling LC'!AD128+'Ethylene Recycling LC'!AD154+'Ethylene Recycling LC'!AD176-('Ethylene Recycling LC'!$C$95+'Ethylene Recycling LC'!$C$128+'Ethylene Recycling LC'!$C$154+'Ethylene Recycling LC'!$C$176))</f>
        <v>3.8756424122306736</v>
      </c>
      <c r="AF145" s="284">
        <f>AF71+AF80-('Ethylene Recycling LC'!AE95+'Ethylene Recycling LC'!AE128+'Ethylene Recycling LC'!AE154+'Ethylene Recycling LC'!AE176-('Ethylene Recycling LC'!$C$95+'Ethylene Recycling LC'!$C$128+'Ethylene Recycling LC'!$C$154+'Ethylene Recycling LC'!$C$176))</f>
        <v>3.8113764940410695</v>
      </c>
      <c r="AG145" s="284">
        <f>AG71+AG80-('Ethylene Recycling LC'!AF95+'Ethylene Recycling LC'!AF128+'Ethylene Recycling LC'!AF154+'Ethylene Recycling LC'!AF176-('Ethylene Recycling LC'!$C$95+'Ethylene Recycling LC'!$C$128+'Ethylene Recycling LC'!$C$154+'Ethylene Recycling LC'!$C$176))</f>
        <v>3.7483558857833343</v>
      </c>
      <c r="AH145" s="284">
        <f>AH71+AH80-('Ethylene Recycling LC'!AG95+'Ethylene Recycling LC'!AG128+'Ethylene Recycling LC'!AG154+'Ethylene Recycling LC'!AG176-('Ethylene Recycling LC'!$C$95+'Ethylene Recycling LC'!$C$128+'Ethylene Recycling LC'!$C$154+'Ethylene Recycling LC'!$C$176))</f>
        <v>3.6865756152465519</v>
      </c>
      <c r="AI145" s="284"/>
    </row>
    <row r="146" spans="1:36" s="67" customFormat="1" x14ac:dyDescent="0.2">
      <c r="A146" s="58" t="s">
        <v>67</v>
      </c>
      <c r="B146" s="58" t="s">
        <v>227</v>
      </c>
      <c r="C146" s="100" t="s">
        <v>153</v>
      </c>
      <c r="D146" s="101">
        <f t="shared" ref="D146:AH146" si="46">D94+D114+D124+D125+D126+D136+D137+D138+D104</f>
        <v>0</v>
      </c>
      <c r="E146" s="101">
        <f t="shared" si="46"/>
        <v>0.60886139891671009</v>
      </c>
      <c r="F146" s="101">
        <f t="shared" si="46"/>
        <v>1.200970502053869</v>
      </c>
      <c r="G146" s="101">
        <f t="shared" si="46"/>
        <v>1.7716085384853739</v>
      </c>
      <c r="H146" s="101">
        <f t="shared" si="46"/>
        <v>2.3161210082783961</v>
      </c>
      <c r="I146" s="101">
        <f t="shared" si="46"/>
        <v>2.8299797664020252</v>
      </c>
      <c r="J146" s="101">
        <f t="shared" si="46"/>
        <v>3.3148688007107374</v>
      </c>
      <c r="K146" s="101">
        <f t="shared" si="46"/>
        <v>3.7924720725272412</v>
      </c>
      <c r="L146" s="101">
        <f t="shared" si="46"/>
        <v>4.2616684913877707</v>
      </c>
      <c r="M146" s="101">
        <f t="shared" si="46"/>
        <v>4.7213292980660473</v>
      </c>
      <c r="N146" s="101">
        <f t="shared" si="46"/>
        <v>5.1703211644591498</v>
      </c>
      <c r="O146" s="101">
        <f t="shared" si="46"/>
        <v>5.9426991040457589</v>
      </c>
      <c r="P146" s="101">
        <f t="shared" si="46"/>
        <v>6.7158513238882236</v>
      </c>
      <c r="Q146" s="101">
        <f t="shared" si="46"/>
        <v>7.3370469948317352</v>
      </c>
      <c r="R146" s="101">
        <f t="shared" si="46"/>
        <v>7.8750657395597052</v>
      </c>
      <c r="S146" s="101">
        <f t="shared" si="46"/>
        <v>8.3251794169026496</v>
      </c>
      <c r="T146" s="101">
        <f t="shared" si="46"/>
        <v>8.7315475507139304</v>
      </c>
      <c r="U146" s="101">
        <f t="shared" si="46"/>
        <v>9.0814360835719761</v>
      </c>
      <c r="V146" s="101">
        <f t="shared" si="46"/>
        <v>9.3734108463456565</v>
      </c>
      <c r="W146" s="101">
        <f t="shared" si="46"/>
        <v>9.6060574082818739</v>
      </c>
      <c r="X146" s="101">
        <f t="shared" si="46"/>
        <v>9.7779824913880855</v>
      </c>
      <c r="Y146" s="101">
        <f t="shared" si="46"/>
        <v>9.9595030025825082</v>
      </c>
      <c r="Z146" s="101">
        <f t="shared" si="46"/>
        <v>10.39046267499501</v>
      </c>
      <c r="AA146" s="101">
        <f t="shared" si="46"/>
        <v>10.720088876461006</v>
      </c>
      <c r="AB146" s="101">
        <f t="shared" si="46"/>
        <v>10.949170398224826</v>
      </c>
      <c r="AC146" s="101">
        <f t="shared" si="46"/>
        <v>11.075662672393189</v>
      </c>
      <c r="AD146" s="101">
        <f t="shared" si="46"/>
        <v>11.087733790175548</v>
      </c>
      <c r="AE146" s="101">
        <f t="shared" si="46"/>
        <v>10.99255903995109</v>
      </c>
      <c r="AF146" s="101">
        <f t="shared" si="46"/>
        <v>10.788223439828942</v>
      </c>
      <c r="AG146" s="101">
        <f t="shared" si="46"/>
        <v>10.472852485139327</v>
      </c>
      <c r="AH146" s="101">
        <f t="shared" si="46"/>
        <v>10.044613819081098</v>
      </c>
    </row>
    <row r="147" spans="1:36" s="68" customFormat="1" x14ac:dyDescent="0.2">
      <c r="B147" s="62" t="s">
        <v>228</v>
      </c>
      <c r="C147" s="63" t="s">
        <v>153</v>
      </c>
      <c r="D147" s="64">
        <f t="shared" ref="D147:AH147" si="47">D93+D103+D113+D123+D135</f>
        <v>0</v>
      </c>
      <c r="E147" s="64">
        <f t="shared" si="47"/>
        <v>0.62996405786510501</v>
      </c>
      <c r="F147" s="64">
        <f t="shared" si="47"/>
        <v>1.2632290675544751</v>
      </c>
      <c r="G147" s="64">
        <f t="shared" si="47"/>
        <v>1.8952950567117703</v>
      </c>
      <c r="H147" s="64">
        <f t="shared" si="47"/>
        <v>2.5215214110547803</v>
      </c>
      <c r="I147" s="64">
        <f t="shared" si="47"/>
        <v>3.1371833064204084</v>
      </c>
      <c r="J147" s="64">
        <f t="shared" si="47"/>
        <v>3.7435001750710066</v>
      </c>
      <c r="K147" s="64">
        <f t="shared" si="47"/>
        <v>4.3538551815044233</v>
      </c>
      <c r="L147" s="64">
        <f t="shared" si="47"/>
        <v>4.967227791353463</v>
      </c>
      <c r="M147" s="64">
        <f t="shared" si="47"/>
        <v>5.5825638050078465</v>
      </c>
      <c r="N147" s="64">
        <f t="shared" si="47"/>
        <v>6.1987774714331643</v>
      </c>
      <c r="O147" s="64">
        <f t="shared" si="47"/>
        <v>7.1898346951813288</v>
      </c>
      <c r="P147" s="64">
        <f t="shared" si="47"/>
        <v>8.185657123345969</v>
      </c>
      <c r="Q147" s="64">
        <f t="shared" si="47"/>
        <v>9.0865576147371474</v>
      </c>
      <c r="R147" s="64">
        <f t="shared" si="47"/>
        <v>9.9324721334349384</v>
      </c>
      <c r="S147" s="64">
        <f t="shared" si="47"/>
        <v>10.717245641119042</v>
      </c>
      <c r="T147" s="64">
        <f t="shared" si="47"/>
        <v>11.470733875461349</v>
      </c>
      <c r="U147" s="64">
        <f t="shared" si="47"/>
        <v>12.189344956630389</v>
      </c>
      <c r="V147" s="64">
        <f t="shared" si="47"/>
        <v>12.871744735553071</v>
      </c>
      <c r="W147" s="64">
        <f t="shared" si="47"/>
        <v>13.516601545179608</v>
      </c>
      <c r="X147" s="64">
        <f t="shared" si="47"/>
        <v>14.122587277907153</v>
      </c>
      <c r="Y147" s="64">
        <f t="shared" si="47"/>
        <v>15.10012303192692</v>
      </c>
      <c r="Z147" s="64">
        <f t="shared" si="47"/>
        <v>16.246693344560693</v>
      </c>
      <c r="AA147" s="64">
        <f t="shared" si="47"/>
        <v>17.317625973731406</v>
      </c>
      <c r="AB147" s="64">
        <f t="shared" si="47"/>
        <v>18.31452820498783</v>
      </c>
      <c r="AC147" s="64">
        <f t="shared" si="47"/>
        <v>19.234983497587507</v>
      </c>
      <c r="AD147" s="64">
        <f t="shared" si="47"/>
        <v>20.071738467136463</v>
      </c>
      <c r="AE147" s="64">
        <f t="shared" si="47"/>
        <v>20.826696426814991</v>
      </c>
      <c r="AF147" s="64">
        <f t="shared" si="47"/>
        <v>21.497437849447085</v>
      </c>
      <c r="AG147" s="64">
        <f t="shared" si="47"/>
        <v>22.081552010558955</v>
      </c>
      <c r="AH147" s="64">
        <f t="shared" si="47"/>
        <v>22.576638769726369</v>
      </c>
    </row>
    <row r="148" spans="1:36" s="104" customFormat="1" x14ac:dyDescent="0.2">
      <c r="A148" s="102" t="s">
        <v>275</v>
      </c>
      <c r="B148" s="102"/>
      <c r="C148" s="103" t="s">
        <v>153</v>
      </c>
      <c r="D148" s="105">
        <f t="shared" ref="D148:AG148" si="48">D95+D105+D115+IF(D127&lt;0,0,D127)+D139</f>
        <v>162.69230769230768</v>
      </c>
      <c r="E148" s="105">
        <f t="shared" si="48"/>
        <v>164.65136973135407</v>
      </c>
      <c r="F148" s="105">
        <f t="shared" si="48"/>
        <v>166.08342629236932</v>
      </c>
      <c r="G148" s="105">
        <f t="shared" si="48"/>
        <v>167.59405847259069</v>
      </c>
      <c r="H148" s="105">
        <f t="shared" si="48"/>
        <v>169.19486006756506</v>
      </c>
      <c r="I148" s="105">
        <f t="shared" si="48"/>
        <v>170.89759309231789</v>
      </c>
      <c r="J148" s="105">
        <f t="shared" si="48"/>
        <v>172.21051482593026</v>
      </c>
      <c r="K148" s="105">
        <f t="shared" si="48"/>
        <v>173.57355076688702</v>
      </c>
      <c r="L148" s="105">
        <f t="shared" si="48"/>
        <v>174.9915843478035</v>
      </c>
      <c r="M148" s="105">
        <f t="shared" si="48"/>
        <v>176.46986398651211</v>
      </c>
      <c r="N148" s="105">
        <f t="shared" si="48"/>
        <v>178.01404059177122</v>
      </c>
      <c r="O148" s="105">
        <f t="shared" si="48"/>
        <v>176.12216757748354</v>
      </c>
      <c r="P148" s="105">
        <f t="shared" si="48"/>
        <v>174.53399219019508</v>
      </c>
      <c r="Q148" s="105">
        <f t="shared" si="48"/>
        <v>172.83316434901928</v>
      </c>
      <c r="R148" s="105">
        <f t="shared" si="48"/>
        <v>171.26461374662935</v>
      </c>
      <c r="S148" s="105">
        <f t="shared" si="48"/>
        <v>169.84374115902662</v>
      </c>
      <c r="T148" s="105">
        <f t="shared" si="48"/>
        <v>168.3638991443965</v>
      </c>
      <c r="U148" s="105">
        <f t="shared" si="48"/>
        <v>166.98319858383411</v>
      </c>
      <c r="V148" s="105">
        <f t="shared" si="48"/>
        <v>165.71145926803476</v>
      </c>
      <c r="W148" s="105">
        <f t="shared" si="48"/>
        <v>164.55957329581045</v>
      </c>
      <c r="X148" s="105">
        <f t="shared" si="48"/>
        <v>163.53965159659816</v>
      </c>
      <c r="Y148" s="105">
        <f t="shared" si="48"/>
        <v>160.73666472156941</v>
      </c>
      <c r="Z148" s="105">
        <f t="shared" si="48"/>
        <v>158.7015451750342</v>
      </c>
      <c r="AA148" s="105">
        <f t="shared" si="48"/>
        <v>156.90591845838742</v>
      </c>
      <c r="AB148" s="105">
        <f t="shared" si="48"/>
        <v>155.36356113788162</v>
      </c>
      <c r="AC148" s="105">
        <f t="shared" si="48"/>
        <v>154.09745241886318</v>
      </c>
      <c r="AD148" s="105">
        <f t="shared" si="48"/>
        <v>153.02874641095642</v>
      </c>
      <c r="AE148" s="105">
        <f t="shared" si="48"/>
        <v>152.25930304053961</v>
      </c>
      <c r="AF148" s="105">
        <f t="shared" si="48"/>
        <v>151.8285206073117</v>
      </c>
      <c r="AG148" s="105">
        <f t="shared" si="48"/>
        <v>151.79095329801169</v>
      </c>
      <c r="AH148" s="105">
        <f>AH95+AH105+AH115+AH127+AH139</f>
        <v>152.39379557275407</v>
      </c>
      <c r="AI148" s="641">
        <f>AH148-AH84</f>
        <v>-32.621252588807465</v>
      </c>
      <c r="AJ148" s="104" t="s">
        <v>385</v>
      </c>
    </row>
    <row r="149" spans="1:36" s="67" customFormat="1" x14ac:dyDescent="0.2">
      <c r="A149" s="687" t="s">
        <v>257</v>
      </c>
      <c r="B149" s="58" t="s">
        <v>258</v>
      </c>
      <c r="C149" s="59" t="s">
        <v>153</v>
      </c>
      <c r="D149" s="60">
        <f>D96+D106+D116+D128+D140</f>
        <v>99.242307692307705</v>
      </c>
      <c r="E149" s="60">
        <f t="shared" ref="E149:AH154" si="49">E96+E106+E116+E128+E140</f>
        <v>99.579748148871246</v>
      </c>
      <c r="F149" s="60">
        <f t="shared" si="49"/>
        <v>99.72537099989556</v>
      </c>
      <c r="G149" s="60">
        <f t="shared" si="49"/>
        <v>99.914201875051958</v>
      </c>
      <c r="H149" s="60">
        <f t="shared" si="49"/>
        <v>100.15434280248405</v>
      </c>
      <c r="I149" s="60">
        <f t="shared" si="49"/>
        <v>100.45382625927687</v>
      </c>
      <c r="J149" s="60">
        <f t="shared" si="49"/>
        <v>100.60646811350809</v>
      </c>
      <c r="K149" s="60">
        <f t="shared" si="49"/>
        <v>100.77951221511039</v>
      </c>
      <c r="L149" s="60">
        <f t="shared" si="49"/>
        <v>100.97562419217891</v>
      </c>
      <c r="M149" s="60">
        <f t="shared" si="49"/>
        <v>101.19761701011247</v>
      </c>
      <c r="N149" s="60">
        <f t="shared" si="49"/>
        <v>101.44846493609832</v>
      </c>
      <c r="O149" s="60">
        <f t="shared" si="49"/>
        <v>99.768547418205998</v>
      </c>
      <c r="P149" s="60">
        <f t="shared" si="49"/>
        <v>98.339366895936323</v>
      </c>
      <c r="Q149" s="60">
        <f t="shared" si="49"/>
        <v>96.807020607477313</v>
      </c>
      <c r="R149" s="60">
        <f t="shared" si="49"/>
        <v>95.373736107180335</v>
      </c>
      <c r="S149" s="60">
        <f t="shared" si="49"/>
        <v>94.048319748528229</v>
      </c>
      <c r="T149" s="60">
        <f t="shared" si="49"/>
        <v>92.734894498064733</v>
      </c>
      <c r="U149" s="60">
        <f t="shared" si="49"/>
        <v>91.48695122282858</v>
      </c>
      <c r="V149" s="60">
        <f t="shared" si="49"/>
        <v>90.308499488326973</v>
      </c>
      <c r="W149" s="60">
        <f t="shared" si="49"/>
        <v>89.203958455257862</v>
      </c>
      <c r="X149" s="60">
        <f t="shared" si="49"/>
        <v>88.178221239873508</v>
      </c>
      <c r="Y149" s="60">
        <f t="shared" si="49"/>
        <v>85.840295980135181</v>
      </c>
      <c r="Z149" s="60">
        <f t="shared" si="49"/>
        <v>84.095433181060528</v>
      </c>
      <c r="AA149" s="60">
        <f t="shared" si="49"/>
        <v>82.503958655442801</v>
      </c>
      <c r="AB149" s="60">
        <f t="shared" si="49"/>
        <v>81.069259080672353</v>
      </c>
      <c r="AC149" s="60">
        <f t="shared" si="49"/>
        <v>79.80077797031737</v>
      </c>
      <c r="AD149" s="60">
        <f t="shared" si="49"/>
        <v>78.66597100588757</v>
      </c>
      <c r="AE149" s="60">
        <f t="shared" si="49"/>
        <v>77.718792998390157</v>
      </c>
      <c r="AF149" s="60">
        <f t="shared" si="49"/>
        <v>76.972359716222883</v>
      </c>
      <c r="AG149" s="60">
        <f t="shared" si="49"/>
        <v>76.441398849985333</v>
      </c>
      <c r="AH149" s="60">
        <f t="shared" si="49"/>
        <v>76.142483730515096</v>
      </c>
      <c r="AI149" s="60"/>
    </row>
    <row r="150" spans="1:36" x14ac:dyDescent="0.2">
      <c r="A150" s="688"/>
      <c r="B150" s="1" t="s">
        <v>260</v>
      </c>
      <c r="C150" s="54" t="s">
        <v>153</v>
      </c>
      <c r="D150" s="44">
        <f t="shared" ref="D150:S154" si="50">D97+D107+D117+D129+D141</f>
        <v>22.776923076923076</v>
      </c>
      <c r="E150" s="44">
        <f t="shared" si="50"/>
        <v>23.224371340957241</v>
      </c>
      <c r="F150" s="44">
        <f t="shared" si="50"/>
        <v>23.533035352577667</v>
      </c>
      <c r="G150" s="44">
        <f t="shared" si="50"/>
        <v>23.855832734534371</v>
      </c>
      <c r="H150" s="44">
        <f t="shared" si="50"/>
        <v>24.194121438898339</v>
      </c>
      <c r="I150" s="44">
        <f t="shared" si="50"/>
        <v>24.549275377573771</v>
      </c>
      <c r="J150" s="44">
        <f t="shared" si="50"/>
        <v>24.85652135665616</v>
      </c>
      <c r="K150" s="44">
        <f t="shared" si="50"/>
        <v>25.176111273915417</v>
      </c>
      <c r="L150" s="44">
        <f t="shared" si="50"/>
        <v>25.508892066509183</v>
      </c>
      <c r="M150" s="44">
        <f t="shared" si="50"/>
        <v>25.855777912029794</v>
      </c>
      <c r="N150" s="44">
        <f t="shared" si="50"/>
        <v>26.217758636700022</v>
      </c>
      <c r="O150" s="44">
        <f t="shared" si="50"/>
        <v>26.113231985733812</v>
      </c>
      <c r="P150" s="44">
        <f t="shared" si="50"/>
        <v>26.052762135334568</v>
      </c>
      <c r="Q150" s="44">
        <f t="shared" si="50"/>
        <v>25.982671396275691</v>
      </c>
      <c r="R150" s="44">
        <f t="shared" si="50"/>
        <v>25.933888794364169</v>
      </c>
      <c r="S150" s="44">
        <f t="shared" si="50"/>
        <v>25.908139394672137</v>
      </c>
      <c r="T150" s="44">
        <f t="shared" si="49"/>
        <v>25.864052921772362</v>
      </c>
      <c r="U150" s="44">
        <f t="shared" si="49"/>
        <v>25.83795034570112</v>
      </c>
      <c r="V150" s="44">
        <f t="shared" si="49"/>
        <v>25.8315549137731</v>
      </c>
      <c r="W150" s="44">
        <f t="shared" si="49"/>
        <v>25.846820265836698</v>
      </c>
      <c r="X150" s="44">
        <f t="shared" si="49"/>
        <v>25.885962142456055</v>
      </c>
      <c r="Y150" s="44">
        <f t="shared" si="49"/>
        <v>25.738847492764734</v>
      </c>
      <c r="Z150" s="44">
        <f t="shared" si="49"/>
        <v>25.709706215127138</v>
      </c>
      <c r="AA150" s="44">
        <f t="shared" si="49"/>
        <v>25.719329800559183</v>
      </c>
      <c r="AB150" s="44">
        <f t="shared" si="49"/>
        <v>25.771403002203247</v>
      </c>
      <c r="AC150" s="44">
        <f t="shared" si="49"/>
        <v>25.870101485811631</v>
      </c>
      <c r="AD150" s="44">
        <f t="shared" si="49"/>
        <v>26.011491339723548</v>
      </c>
      <c r="AE150" s="44">
        <f t="shared" si="49"/>
        <v>26.179832174509244</v>
      </c>
      <c r="AF150" s="44">
        <f t="shared" si="49"/>
        <v>26.388686463977109</v>
      </c>
      <c r="AG150" s="44">
        <f t="shared" si="49"/>
        <v>26.663749485010065</v>
      </c>
      <c r="AH150" s="44">
        <f t="shared" si="49"/>
        <v>27.013447752967608</v>
      </c>
      <c r="AI150" s="44"/>
    </row>
    <row r="151" spans="1:36" x14ac:dyDescent="0.2">
      <c r="A151" s="688"/>
      <c r="B151" s="1" t="s">
        <v>262</v>
      </c>
      <c r="C151" s="54" t="s">
        <v>153</v>
      </c>
      <c r="D151" s="44">
        <f t="shared" si="50"/>
        <v>19.523076923076918</v>
      </c>
      <c r="E151" s="44">
        <f t="shared" si="49"/>
        <v>19.795980946224663</v>
      </c>
      <c r="F151" s="44">
        <f t="shared" si="49"/>
        <v>20.036420980278905</v>
      </c>
      <c r="G151" s="44">
        <f t="shared" si="49"/>
        <v>20.277662530632035</v>
      </c>
      <c r="H151" s="44">
        <f t="shared" si="49"/>
        <v>20.520474117386762</v>
      </c>
      <c r="I151" s="44">
        <f t="shared" si="49"/>
        <v>20.765714942471391</v>
      </c>
      <c r="J151" s="44">
        <f t="shared" si="49"/>
        <v>20.959460813960828</v>
      </c>
      <c r="K151" s="44">
        <f t="shared" si="49"/>
        <v>21.152889214785279</v>
      </c>
      <c r="L151" s="44">
        <f t="shared" si="49"/>
        <v>21.346221309039343</v>
      </c>
      <c r="M151" s="44">
        <f t="shared" si="49"/>
        <v>21.539704933286583</v>
      </c>
      <c r="N151" s="44">
        <f t="shared" si="49"/>
        <v>21.733615512468475</v>
      </c>
      <c r="O151" s="44">
        <f t="shared" si="49"/>
        <v>21.617547295236523</v>
      </c>
      <c r="P151" s="44">
        <f t="shared" si="49"/>
        <v>21.493745986900873</v>
      </c>
      <c r="Q151" s="44">
        <f t="shared" si="49"/>
        <v>21.370453606453971</v>
      </c>
      <c r="R151" s="44">
        <f t="shared" si="49"/>
        <v>21.246274638016097</v>
      </c>
      <c r="S151" s="44">
        <f t="shared" si="49"/>
        <v>21.123037147045906</v>
      </c>
      <c r="T151" s="44">
        <f t="shared" si="49"/>
        <v>20.982374247790073</v>
      </c>
      <c r="U151" s="44">
        <f t="shared" si="49"/>
        <v>20.840301910903975</v>
      </c>
      <c r="V151" s="44">
        <f t="shared" si="49"/>
        <v>20.697671386141376</v>
      </c>
      <c r="W151" s="44">
        <f t="shared" si="49"/>
        <v>20.555378746728074</v>
      </c>
      <c r="X151" s="44">
        <f t="shared" si="49"/>
        <v>20.414366561442893</v>
      </c>
      <c r="Y151" s="44">
        <f t="shared" si="49"/>
        <v>20.17458714208264</v>
      </c>
      <c r="Z151" s="44">
        <f t="shared" si="49"/>
        <v>19.909584343788836</v>
      </c>
      <c r="AA151" s="44">
        <f t="shared" si="49"/>
        <v>19.649266264778841</v>
      </c>
      <c r="AB151" s="44">
        <f t="shared" si="49"/>
        <v>19.394789836839131</v>
      </c>
      <c r="AC151" s="44">
        <f t="shared" si="49"/>
        <v>19.147906816188783</v>
      </c>
      <c r="AD151" s="44">
        <f t="shared" si="49"/>
        <v>18.89728476072564</v>
      </c>
      <c r="AE151" s="44">
        <f t="shared" si="49"/>
        <v>18.65779845162881</v>
      </c>
      <c r="AF151" s="44">
        <f t="shared" si="49"/>
        <v>18.431443431884343</v>
      </c>
      <c r="AG151" s="44">
        <f t="shared" si="49"/>
        <v>18.220307181947213</v>
      </c>
      <c r="AH151" s="44">
        <f t="shared" si="49"/>
        <v>18.026573710425904</v>
      </c>
      <c r="AI151" s="44"/>
    </row>
    <row r="152" spans="1:36" x14ac:dyDescent="0.2">
      <c r="A152" s="689"/>
      <c r="B152" s="1" t="s">
        <v>248</v>
      </c>
      <c r="C152" s="54" t="s">
        <v>153</v>
      </c>
      <c r="D152" s="44">
        <f t="shared" ref="D152:AG152" si="51">D99+D109+D119+IF(D131&lt;0,0,D131)+D143</f>
        <v>21.150000000000006</v>
      </c>
      <c r="E152" s="44">
        <f t="shared" si="51"/>
        <v>22.051227962456423</v>
      </c>
      <c r="F152" s="44">
        <f t="shared" si="51"/>
        <v>22.788513934484072</v>
      </c>
      <c r="G152" s="44">
        <f t="shared" si="51"/>
        <v>23.546230710363695</v>
      </c>
      <c r="H152" s="44">
        <f t="shared" si="51"/>
        <v>24.325744081873054</v>
      </c>
      <c r="I152" s="44">
        <f t="shared" si="51"/>
        <v>25.128551003137339</v>
      </c>
      <c r="J152" s="44">
        <f t="shared" si="51"/>
        <v>25.787790234861394</v>
      </c>
      <c r="K152" s="44">
        <f t="shared" si="51"/>
        <v>26.464714299793428</v>
      </c>
      <c r="L152" s="44">
        <f t="shared" si="51"/>
        <v>27.160473163805676</v>
      </c>
      <c r="M152" s="44">
        <f t="shared" si="51"/>
        <v>27.876340534214616</v>
      </c>
      <c r="N152" s="44">
        <f t="shared" si="51"/>
        <v>28.613728075556399</v>
      </c>
      <c r="O152" s="44">
        <f t="shared" si="51"/>
        <v>28.622308215595485</v>
      </c>
      <c r="P152" s="44">
        <f t="shared" si="51"/>
        <v>28.647524081321947</v>
      </c>
      <c r="Q152" s="44">
        <f t="shared" si="51"/>
        <v>28.672369961109339</v>
      </c>
      <c r="R152" s="44">
        <f t="shared" si="51"/>
        <v>28.710012915938933</v>
      </c>
      <c r="S152" s="44">
        <f t="shared" si="51"/>
        <v>28.763495065140116</v>
      </c>
      <c r="T152" s="44">
        <f t="shared" si="51"/>
        <v>28.78178249355981</v>
      </c>
      <c r="U152" s="44">
        <f t="shared" si="51"/>
        <v>28.817158738698094</v>
      </c>
      <c r="V152" s="44">
        <f t="shared" si="51"/>
        <v>28.872859956374228</v>
      </c>
      <c r="W152" s="44">
        <f t="shared" si="51"/>
        <v>28.952509760728784</v>
      </c>
      <c r="X152" s="44">
        <f t="shared" si="51"/>
        <v>29.060168003962588</v>
      </c>
      <c r="Y152" s="44">
        <f t="shared" si="51"/>
        <v>28.981976444286556</v>
      </c>
      <c r="Z152" s="44">
        <f t="shared" si="51"/>
        <v>28.985829689647716</v>
      </c>
      <c r="AA152" s="44">
        <f t="shared" si="51"/>
        <v>29.032344750771873</v>
      </c>
      <c r="AB152" s="44">
        <f t="shared" si="51"/>
        <v>29.127070230180738</v>
      </c>
      <c r="AC152" s="44">
        <f t="shared" si="51"/>
        <v>29.277614719997835</v>
      </c>
      <c r="AD152" s="44">
        <f t="shared" si="51"/>
        <v>29.452943234964803</v>
      </c>
      <c r="AE152" s="44">
        <f t="shared" si="51"/>
        <v>29.701826659024441</v>
      </c>
      <c r="AF152" s="44">
        <f t="shared" si="51"/>
        <v>30.034989581774767</v>
      </c>
      <c r="AG152" s="44">
        <f t="shared" si="51"/>
        <v>30.464475728868887</v>
      </c>
      <c r="AH152" s="44">
        <f>AH99+AH109+AH119+AH131+AH143</f>
        <v>31.003819538700299</v>
      </c>
      <c r="AI152" s="44"/>
    </row>
    <row r="153" spans="1:36" s="67" customFormat="1" x14ac:dyDescent="0.2">
      <c r="A153" s="690" t="s">
        <v>263</v>
      </c>
      <c r="B153" s="58" t="s">
        <v>264</v>
      </c>
      <c r="C153" s="59" t="s">
        <v>153</v>
      </c>
      <c r="D153" s="60">
        <f t="shared" si="50"/>
        <v>18.74215384615384</v>
      </c>
      <c r="E153" s="60">
        <f t="shared" si="49"/>
        <v>19.001871356065916</v>
      </c>
      <c r="F153" s="60">
        <f t="shared" si="49"/>
        <v>19.228905030828287</v>
      </c>
      <c r="G153" s="60">
        <f t="shared" si="49"/>
        <v>19.456516828681117</v>
      </c>
      <c r="H153" s="60">
        <f t="shared" si="49"/>
        <v>19.685471670744022</v>
      </c>
      <c r="I153" s="60">
        <f t="shared" si="49"/>
        <v>19.916625107597493</v>
      </c>
      <c r="J153" s="60">
        <f t="shared" si="49"/>
        <v>20.098252991943458</v>
      </c>
      <c r="K153" s="60">
        <f t="shared" si="49"/>
        <v>20.279413184204891</v>
      </c>
      <c r="L153" s="60">
        <f t="shared" si="49"/>
        <v>20.460325591031577</v>
      </c>
      <c r="M153" s="60">
        <f t="shared" si="49"/>
        <v>20.641236800313724</v>
      </c>
      <c r="N153" s="60">
        <f t="shared" si="49"/>
        <v>20.822420997950776</v>
      </c>
      <c r="O153" s="60">
        <f t="shared" si="49"/>
        <v>20.703278268458291</v>
      </c>
      <c r="P153" s="60">
        <f t="shared" si="49"/>
        <v>20.576512459201055</v>
      </c>
      <c r="Q153" s="60">
        <f t="shared" si="49"/>
        <v>20.450369715748224</v>
      </c>
      <c r="R153" s="60">
        <f t="shared" si="49"/>
        <v>20.323458752160104</v>
      </c>
      <c r="S153" s="60">
        <f t="shared" si="49"/>
        <v>20.197611969466884</v>
      </c>
      <c r="T153" s="60">
        <f t="shared" si="49"/>
        <v>20.055085100717598</v>
      </c>
      <c r="U153" s="60">
        <f t="shared" si="49"/>
        <v>19.911290446710311</v>
      </c>
      <c r="V153" s="60">
        <f t="shared" si="49"/>
        <v>19.76708402093297</v>
      </c>
      <c r="W153" s="60">
        <f t="shared" si="49"/>
        <v>19.623366775859218</v>
      </c>
      <c r="X153" s="60">
        <f t="shared" si="49"/>
        <v>19.481086277528249</v>
      </c>
      <c r="Y153" s="60">
        <f t="shared" si="49"/>
        <v>19.241279963504876</v>
      </c>
      <c r="Z153" s="60">
        <f t="shared" si="49"/>
        <v>18.976441108941366</v>
      </c>
      <c r="AA153" s="60">
        <f t="shared" si="49"/>
        <v>18.716483582031561</v>
      </c>
      <c r="AB153" s="60">
        <f t="shared" si="49"/>
        <v>18.462570218240771</v>
      </c>
      <c r="AC153" s="60">
        <f t="shared" si="49"/>
        <v>18.216458813959392</v>
      </c>
      <c r="AD153" s="60">
        <f t="shared" si="49"/>
        <v>17.967357076502505</v>
      </c>
      <c r="AE153" s="60">
        <f t="shared" si="49"/>
        <v>17.729619199825578</v>
      </c>
      <c r="AF153" s="60">
        <f t="shared" si="49"/>
        <v>17.505247241275185</v>
      </c>
      <c r="AG153" s="60">
        <f t="shared" si="49"/>
        <v>17.296335343671291</v>
      </c>
      <c r="AH153" s="60">
        <f t="shared" si="49"/>
        <v>17.105074329053</v>
      </c>
      <c r="AI153" s="60"/>
    </row>
    <row r="154" spans="1:36" s="68" customFormat="1" x14ac:dyDescent="0.2">
      <c r="A154" s="691"/>
      <c r="B154" s="62" t="s">
        <v>266</v>
      </c>
      <c r="C154" s="283" t="s">
        <v>153</v>
      </c>
      <c r="D154" s="284">
        <f t="shared" si="50"/>
        <v>15.260538461538461</v>
      </c>
      <c r="E154" s="284">
        <f t="shared" si="49"/>
        <v>15.425191683844144</v>
      </c>
      <c r="F154" s="284">
        <f t="shared" si="49"/>
        <v>15.759502066561479</v>
      </c>
      <c r="G154" s="284">
        <f t="shared" si="49"/>
        <v>16.378876196341711</v>
      </c>
      <c r="H154" s="284">
        <f t="shared" si="49"/>
        <v>15.823017376858488</v>
      </c>
      <c r="I154" s="284">
        <f t="shared" si="49"/>
        <v>15.986793300616185</v>
      </c>
      <c r="J154" s="284">
        <f t="shared" si="49"/>
        <v>16.128150533427402</v>
      </c>
      <c r="K154" s="284">
        <f t="shared" si="49"/>
        <v>16.275432317317176</v>
      </c>
      <c r="L154" s="284">
        <f t="shared" si="49"/>
        <v>16.428902116389697</v>
      </c>
      <c r="M154" s="284">
        <f t="shared" si="49"/>
        <v>16.588819000388334</v>
      </c>
      <c r="N154" s="284">
        <f t="shared" si="49"/>
        <v>16.75543677944653</v>
      </c>
      <c r="O154" s="284">
        <f t="shared" si="49"/>
        <v>16.614296162265582</v>
      </c>
      <c r="P154" s="284">
        <f t="shared" si="49"/>
        <v>16.497356360846744</v>
      </c>
      <c r="Q154" s="284">
        <f t="shared" si="49"/>
        <v>16.379820353529396</v>
      </c>
      <c r="R154" s="284">
        <f t="shared" si="49"/>
        <v>16.276003566532058</v>
      </c>
      <c r="S154" s="284">
        <f t="shared" si="49"/>
        <v>16.18639846774412</v>
      </c>
      <c r="T154" s="284">
        <f t="shared" si="49"/>
        <v>16.077395124815528</v>
      </c>
      <c r="U154" s="284">
        <f t="shared" si="49"/>
        <v>15.974713974023738</v>
      </c>
      <c r="V154" s="284">
        <f t="shared" si="49"/>
        <v>15.878277841716988</v>
      </c>
      <c r="W154" s="284">
        <f t="shared" si="49"/>
        <v>15.787998185444273</v>
      </c>
      <c r="X154" s="284">
        <f t="shared" si="49"/>
        <v>15.703774970764295</v>
      </c>
      <c r="Y154" s="284">
        <f t="shared" si="49"/>
        <v>15.475655145770622</v>
      </c>
      <c r="Z154" s="284">
        <f t="shared" si="49"/>
        <v>15.291782387111301</v>
      </c>
      <c r="AA154" s="284">
        <f t="shared" si="49"/>
        <v>15.120096182118745</v>
      </c>
      <c r="AB154" s="284">
        <f t="shared" si="49"/>
        <v>14.960462828292787</v>
      </c>
      <c r="AC154" s="284">
        <f t="shared" si="49"/>
        <v>14.812731582310196</v>
      </c>
      <c r="AD154" s="284">
        <f t="shared" si="49"/>
        <v>14.675979256223791</v>
      </c>
      <c r="AE154" s="284">
        <f t="shared" si="49"/>
        <v>14.521105917834486</v>
      </c>
      <c r="AF154" s="284">
        <f t="shared" si="49"/>
        <v>14.355386014736673</v>
      </c>
      <c r="AG154" s="284">
        <f t="shared" si="49"/>
        <v>14.197392947497148</v>
      </c>
      <c r="AH154" s="284">
        <f t="shared" si="49"/>
        <v>14.04748741416695</v>
      </c>
      <c r="AI154" s="284"/>
    </row>
    <row r="155" spans="1:36" x14ac:dyDescent="0.2">
      <c r="A155" s="1" t="s">
        <v>230</v>
      </c>
      <c r="C155" s="59" t="s">
        <v>153</v>
      </c>
      <c r="D155" s="66">
        <f>'Ethylene Recycling LC'!C269</f>
        <v>1.0818815477462023E-5</v>
      </c>
      <c r="E155" s="66">
        <f>'Ethylene Recycling LC'!D269</f>
        <v>2.2450164123469027E-5</v>
      </c>
      <c r="F155" s="66">
        <f>'Ethylene Recycling LC'!E269</f>
        <v>4.6377227113904831E-5</v>
      </c>
      <c r="G155" s="66">
        <f>'Ethylene Recycling LC'!F269</f>
        <v>9.530945749910947E-5</v>
      </c>
      <c r="H155" s="66">
        <f>'Ethylene Recycling LC'!G269</f>
        <v>1.9466582546183984E-4</v>
      </c>
      <c r="I155" s="66">
        <f>'Ethylene Recycling LC'!H269</f>
        <v>3.9461549713766606E-4</v>
      </c>
      <c r="J155" s="66">
        <f>'Ethylene Recycling LC'!I269</f>
        <v>7.936807610126772E-4</v>
      </c>
      <c r="K155" s="66">
        <f>'Ethylene Recycling LC'!J269</f>
        <v>1.5807465564700515E-3</v>
      </c>
      <c r="L155" s="66">
        <f>'Ethylene Recycling LC'!K269</f>
        <v>3.1069648718372862E-3</v>
      </c>
      <c r="M155" s="66">
        <f>'Ethylene Recycling LC'!L269</f>
        <v>5.9997342237784355E-3</v>
      </c>
      <c r="N155" s="66">
        <f>'Ethylene Recycling LC'!M269</f>
        <v>1.1368098515214534E-2</v>
      </c>
      <c r="O155" s="66">
        <f>'Ethylene Recycling LC'!N269</f>
        <v>1.9705540444307054E-2</v>
      </c>
      <c r="P155" s="66">
        <f>'Ethylene Recycling LC'!O269</f>
        <v>3.3068912384060331E-2</v>
      </c>
      <c r="Q155" s="66">
        <f>'Ethylene Recycling LC'!P269</f>
        <v>5.3010416144521316E-2</v>
      </c>
      <c r="R155" s="66">
        <f>'Ethylene Recycling LC'!Q269</f>
        <v>8.0719640665498915E-2</v>
      </c>
      <c r="S155" s="66">
        <f>'Ethylene Recycling LC'!R269</f>
        <v>0.11627082711024428</v>
      </c>
      <c r="T155" s="66">
        <f>'Ethylene Recycling LC'!S269</f>
        <v>0.15834521317711944</v>
      </c>
      <c r="U155" s="66">
        <f>'Ethylene Recycling LC'!T269</f>
        <v>0.20437949253555035</v>
      </c>
      <c r="V155" s="66">
        <f>'Ethylene Recycling LC'!U269</f>
        <v>0.25127135776581466</v>
      </c>
      <c r="W155" s="66">
        <f>'Ethylene Recycling LC'!V269</f>
        <v>0.29634832930614946</v>
      </c>
      <c r="X155" s="66">
        <f>'Ethylene Recycling LC'!W269</f>
        <v>0.33798886141920415</v>
      </c>
      <c r="Y155" s="66">
        <f>'Ethylene Recycling LC'!X269</f>
        <v>0.35466660969038366</v>
      </c>
      <c r="Z155" s="66">
        <f>'Ethylene Recycling LC'!Y269</f>
        <v>0.36475197795011116</v>
      </c>
      <c r="AA155" s="66">
        <f>'Ethylene Recycling LC'!Z269</f>
        <v>0.38154721198452102</v>
      </c>
      <c r="AB155" s="66">
        <f>'Ethylene Recycling LC'!AA269</f>
        <v>0.40694941078283103</v>
      </c>
      <c r="AC155" s="66">
        <f>'Ethylene Recycling LC'!AB269</f>
        <v>0.43062517559905061</v>
      </c>
      <c r="AD155" s="66">
        <f>'Ethylene Recycling LC'!AC269</f>
        <v>0.45466251799307533</v>
      </c>
      <c r="AE155" s="66">
        <f>'Ethylene Recycling LC'!AD269</f>
        <v>0.48162908839128399</v>
      </c>
      <c r="AF155" s="66">
        <f>'Ethylene Recycling LC'!AE269</f>
        <v>0.51360981573295728</v>
      </c>
      <c r="AG155" s="66">
        <f>'Ethylene Recycling LC'!AF269</f>
        <v>0.55144439592937589</v>
      </c>
      <c r="AH155" s="66">
        <f>'Ethylene Recycling LC'!AG269</f>
        <v>0.59388082156864486</v>
      </c>
    </row>
    <row r="156" spans="1:36" x14ac:dyDescent="0.2">
      <c r="A156" s="1" t="s">
        <v>231</v>
      </c>
      <c r="C156" s="283" t="s">
        <v>153</v>
      </c>
      <c r="D156" s="66">
        <f>'Ethylene Recycling LC'!C271</f>
        <v>3.1645345371101353E-5</v>
      </c>
      <c r="E156" s="66">
        <f>'Ethylene Recycling LC'!D271</f>
        <v>6.5667373549821236E-5</v>
      </c>
      <c r="F156" s="66">
        <f>'Ethylene Recycling LC'!E271</f>
        <v>1.3565471861784752E-4</v>
      </c>
      <c r="G156" s="66">
        <f>'Ethylene Recycling LC'!F271</f>
        <v>2.7878289503826251E-4</v>
      </c>
      <c r="H156" s="66">
        <f>'Ethylene Recycling LC'!G271</f>
        <v>5.6940311917914226E-4</v>
      </c>
      <c r="I156" s="66">
        <f>'Ethylene Recycling LC'!H271</f>
        <v>1.1542616399849894E-3</v>
      </c>
      <c r="J156" s="66">
        <f>'Ethylene Recycling LC'!I271</f>
        <v>2.3215389752203018E-3</v>
      </c>
      <c r="K156" s="66">
        <f>'Ethylene Recycling LC'!J271</f>
        <v>4.6237289865866966E-3</v>
      </c>
      <c r="L156" s="66">
        <f>'Ethylene Recycling LC'!K271</f>
        <v>9.0879613050056027E-3</v>
      </c>
      <c r="M156" s="66">
        <f>'Ethylene Recycling LC'!L271</f>
        <v>1.7549394574832441E-2</v>
      </c>
      <c r="N156" s="66">
        <f>'Ethylene Recycling LC'!M271</f>
        <v>3.3252014000617863E-2</v>
      </c>
      <c r="O156" s="66">
        <f>'Ethylene Recycling LC'!N271</f>
        <v>5.7639270619170395E-2</v>
      </c>
      <c r="P156" s="66">
        <f>'Ethylene Recycling LC'!O271</f>
        <v>9.6727516577052489E-2</v>
      </c>
      <c r="Q156" s="66">
        <f>'Ethylene Recycling LC'!P271</f>
        <v>0.15505698665938566</v>
      </c>
      <c r="R156" s="66">
        <f>'Ethylene Recycling LC'!Q271</f>
        <v>0.23610726261227866</v>
      </c>
      <c r="S156" s="66">
        <f>'Ethylene Recycling LC'!R271</f>
        <v>0.34009550196621424</v>
      </c>
      <c r="T156" s="66">
        <f>'Ethylene Recycling LC'!S271</f>
        <v>0.46316428718923985</v>
      </c>
      <c r="U156" s="66">
        <f>'Ethylene Recycling LC'!T271</f>
        <v>0.59781587379242052</v>
      </c>
      <c r="V156" s="66">
        <f>'Ethylene Recycling LC'!U271</f>
        <v>0.73497592365168318</v>
      </c>
      <c r="W156" s="66">
        <f>'Ethylene Recycling LC'!V271</f>
        <v>0.86682735744763473</v>
      </c>
      <c r="X156" s="66">
        <f>'Ethylene Recycling LC'!W271</f>
        <v>0.988627107420187</v>
      </c>
      <c r="Y156" s="66">
        <f>'Ethylene Recycling LC'!X271</f>
        <v>1.0374099991474035</v>
      </c>
      <c r="Z156" s="66">
        <f>'Ethylene Recycling LC'!Y271</f>
        <v>1.0669099903838462</v>
      </c>
      <c r="AA156" s="66">
        <f>'Ethylene Recycling LC'!Z271</f>
        <v>1.1160365313360039</v>
      </c>
      <c r="AB156" s="66">
        <f>'Ethylene Recycling LC'!AA271</f>
        <v>1.1903386909238549</v>
      </c>
      <c r="AC156" s="66">
        <f>'Ethylene Recycling LC'!AB271</f>
        <v>1.2595909816293436</v>
      </c>
      <c r="AD156" s="66">
        <f>'Ethylene Recycling LC'!AC271</f>
        <v>1.329900897113804</v>
      </c>
      <c r="AE156" s="66">
        <f>'Ethylene Recycling LC'!AD271</f>
        <v>1.4087788884709154</v>
      </c>
      <c r="AF156" s="66">
        <f>'Ethylene Recycling LC'!AE271</f>
        <v>1.5023234326083563</v>
      </c>
      <c r="AG156" s="66">
        <f>'Ethylene Recycling LC'!AF271</f>
        <v>1.6129906641348126</v>
      </c>
      <c r="AH156" s="66">
        <f>'Ethylene Recycling LC'!AG271</f>
        <v>1.7371184254842242</v>
      </c>
    </row>
    <row r="157" spans="1:36" s="104" customFormat="1" x14ac:dyDescent="0.2">
      <c r="A157" s="102" t="s">
        <v>276</v>
      </c>
      <c r="B157" s="102"/>
      <c r="C157" s="103" t="s">
        <v>153</v>
      </c>
      <c r="D157" s="105">
        <f>D148-D155-D156</f>
        <v>162.69226522814685</v>
      </c>
      <c r="E157" s="105">
        <f t="shared" ref="E157:AH157" si="52">E148-E155-E156</f>
        <v>164.65128161381639</v>
      </c>
      <c r="F157" s="105">
        <f t="shared" si="52"/>
        <v>166.08324426042361</v>
      </c>
      <c r="G157" s="105">
        <f t="shared" si="52"/>
        <v>167.59368438023816</v>
      </c>
      <c r="H157" s="105">
        <f t="shared" si="52"/>
        <v>169.19409599862041</v>
      </c>
      <c r="I157" s="105">
        <f t="shared" si="52"/>
        <v>170.89604421518078</v>
      </c>
      <c r="J157" s="105">
        <f t="shared" si="52"/>
        <v>172.20739960619403</v>
      </c>
      <c r="K157" s="105">
        <f t="shared" si="52"/>
        <v>173.56734629134397</v>
      </c>
      <c r="L157" s="105">
        <f t="shared" si="52"/>
        <v>174.97938942162665</v>
      </c>
      <c r="M157" s="105">
        <f t="shared" si="52"/>
        <v>176.44631485771347</v>
      </c>
      <c r="N157" s="105">
        <f t="shared" si="52"/>
        <v>177.96942047925538</v>
      </c>
      <c r="O157" s="105">
        <f t="shared" si="52"/>
        <v>176.04482276642005</v>
      </c>
      <c r="P157" s="105">
        <f t="shared" si="52"/>
        <v>174.40419576123395</v>
      </c>
      <c r="Q157" s="105">
        <f t="shared" si="52"/>
        <v>172.62509694621536</v>
      </c>
      <c r="R157" s="105">
        <f t="shared" si="52"/>
        <v>170.94778684335157</v>
      </c>
      <c r="S157" s="105">
        <f t="shared" si="52"/>
        <v>169.38737482995018</v>
      </c>
      <c r="T157" s="105">
        <f t="shared" si="52"/>
        <v>167.74238964403014</v>
      </c>
      <c r="U157" s="105">
        <f t="shared" si="52"/>
        <v>166.18100321750615</v>
      </c>
      <c r="V157" s="105">
        <f t="shared" si="52"/>
        <v>164.72521198661727</v>
      </c>
      <c r="W157" s="105">
        <f t="shared" si="52"/>
        <v>163.39639760905666</v>
      </c>
      <c r="X157" s="105">
        <f t="shared" si="52"/>
        <v>162.21303562775876</v>
      </c>
      <c r="Y157" s="105">
        <f t="shared" si="52"/>
        <v>159.34458811273163</v>
      </c>
      <c r="Z157" s="105">
        <f t="shared" si="52"/>
        <v>157.26988320670026</v>
      </c>
      <c r="AA157" s="105">
        <f t="shared" si="52"/>
        <v>155.4083347150669</v>
      </c>
      <c r="AB157" s="105">
        <f t="shared" si="52"/>
        <v>153.76627303617494</v>
      </c>
      <c r="AC157" s="105">
        <f t="shared" si="52"/>
        <v>152.40723626163478</v>
      </c>
      <c r="AD157" s="105">
        <f t="shared" si="52"/>
        <v>151.24418299584951</v>
      </c>
      <c r="AE157" s="105">
        <f t="shared" si="52"/>
        <v>150.3688950636774</v>
      </c>
      <c r="AF157" s="105">
        <f t="shared" si="52"/>
        <v>149.81258735897038</v>
      </c>
      <c r="AG157" s="105">
        <f t="shared" si="52"/>
        <v>149.62651823794752</v>
      </c>
      <c r="AH157" s="105">
        <f t="shared" si="52"/>
        <v>150.06279632570121</v>
      </c>
    </row>
    <row r="158" spans="1:36" s="67" customFormat="1" x14ac:dyDescent="0.2">
      <c r="A158" s="687" t="s">
        <v>257</v>
      </c>
      <c r="B158" s="58" t="s">
        <v>258</v>
      </c>
      <c r="C158" s="59" t="s">
        <v>153</v>
      </c>
      <c r="D158" s="60">
        <f>D149-D156*D149/D148</f>
        <v>99.242288388647026</v>
      </c>
      <c r="E158" s="60">
        <f t="shared" ref="E158:AH158" si="53">E149-E156*E149/E148</f>
        <v>99.579708433802182</v>
      </c>
      <c r="F158" s="60">
        <f t="shared" si="53"/>
        <v>99.725289545547923</v>
      </c>
      <c r="G158" s="60">
        <f t="shared" si="53"/>
        <v>99.914035673632242</v>
      </c>
      <c r="H158" s="60">
        <f t="shared" si="53"/>
        <v>100.15400574617414</v>
      </c>
      <c r="I158" s="60">
        <f t="shared" si="53"/>
        <v>100.45314778279196</v>
      </c>
      <c r="J158" s="60">
        <f t="shared" si="53"/>
        <v>100.60511185580732</v>
      </c>
      <c r="K158" s="60">
        <f t="shared" si="53"/>
        <v>100.77682760590683</v>
      </c>
      <c r="L158" s="60">
        <f t="shared" si="53"/>
        <v>100.970380153908</v>
      </c>
      <c r="M158" s="60">
        <f t="shared" si="53"/>
        <v>101.1875532129812</v>
      </c>
      <c r="N158" s="60">
        <f t="shared" si="53"/>
        <v>101.42951493774324</v>
      </c>
      <c r="O158" s="60">
        <f t="shared" si="53"/>
        <v>99.735896296640675</v>
      </c>
      <c r="P158" s="60">
        <f t="shared" si="53"/>
        <v>98.284866780387262</v>
      </c>
      <c r="Q158" s="60">
        <f t="shared" si="53"/>
        <v>96.720170349545583</v>
      </c>
      <c r="R158" s="60">
        <f t="shared" si="53"/>
        <v>95.242252835389664</v>
      </c>
      <c r="S158" s="60">
        <f t="shared" si="53"/>
        <v>93.859997174521766</v>
      </c>
      <c r="T158" s="60">
        <f t="shared" si="53"/>
        <v>92.479783446788062</v>
      </c>
      <c r="U158" s="60">
        <f t="shared" si="53"/>
        <v>91.159419158826211</v>
      </c>
      <c r="V158" s="60">
        <f t="shared" si="53"/>
        <v>89.907956441284753</v>
      </c>
      <c r="W158" s="60">
        <f t="shared" si="53"/>
        <v>88.734071288969204</v>
      </c>
      <c r="X158" s="60">
        <f t="shared" si="53"/>
        <v>87.645167763540641</v>
      </c>
      <c r="Y158" s="60">
        <f t="shared" si="53"/>
        <v>85.286274397481208</v>
      </c>
      <c r="Z158" s="60">
        <f t="shared" si="53"/>
        <v>83.530081043451688</v>
      </c>
      <c r="AA158" s="60">
        <f t="shared" si="53"/>
        <v>81.917126541371019</v>
      </c>
      <c r="AB158" s="60">
        <f t="shared" si="53"/>
        <v>80.448136115792494</v>
      </c>
      <c r="AC158" s="60">
        <f t="shared" si="53"/>
        <v>79.148487236884634</v>
      </c>
      <c r="AD158" s="60">
        <f t="shared" si="53"/>
        <v>77.982322032301212</v>
      </c>
      <c r="AE158" s="60">
        <f t="shared" si="53"/>
        <v>76.999700025894271</v>
      </c>
      <c r="AF158" s="60">
        <f t="shared" si="53"/>
        <v>76.210728244070665</v>
      </c>
      <c r="AG158" s="60">
        <f t="shared" si="53"/>
        <v>75.629102332838102</v>
      </c>
      <c r="AH158" s="60">
        <f t="shared" si="53"/>
        <v>75.274544777007861</v>
      </c>
      <c r="AI158" s="60"/>
    </row>
    <row r="159" spans="1:36" x14ac:dyDescent="0.2">
      <c r="A159" s="688"/>
      <c r="B159" s="1" t="s">
        <v>260</v>
      </c>
      <c r="C159" s="54" t="s">
        <v>153</v>
      </c>
      <c r="D159" s="44">
        <f>D163/('Demand Breakdown - Ethylene'!$K$14)</f>
        <v>24.959074315087449</v>
      </c>
      <c r="E159" s="44">
        <f>E163/('Demand Breakdown - Ethylene'!$K$14)</f>
        <v>25.228343005341987</v>
      </c>
      <c r="F159" s="44">
        <f>F163/('Demand Breakdown - Ethylene'!$K$14)</f>
        <v>25.775062918315616</v>
      </c>
      <c r="G159" s="44">
        <f>G163/('Demand Breakdown - Ethylene'!$K$14)</f>
        <v>26.787955642919012</v>
      </c>
      <c r="H159" s="44">
        <f>H163/('Demand Breakdown - Ethylene'!$K$14)</f>
        <v>25.878599979950398</v>
      </c>
      <c r="I159" s="44">
        <f>I163/('Demand Breakdown - Ethylene'!$K$14)</f>
        <v>26.145995706119724</v>
      </c>
      <c r="J159" s="44">
        <f>J163/('Demand Breakdown - Ethylene'!$K$14)</f>
        <v>26.376260443124046</v>
      </c>
      <c r="K159" s="44">
        <f>K163/('Demand Breakdown - Ethylene'!$K$14)</f>
        <v>26.615308415853971</v>
      </c>
      <c r="L159" s="44">
        <f>L163/('Demand Breakdown - Ethylene'!$K$14)</f>
        <v>26.862747174622235</v>
      </c>
      <c r="M159" s="44">
        <f>M163/('Demand Breakdown - Ethylene'!$K$14)</f>
        <v>27.11752643838642</v>
      </c>
      <c r="N159" s="44">
        <f>N163/('Demand Breakdown - Ethylene'!$K$14)</f>
        <v>27.377450690125791</v>
      </c>
      <c r="O159" s="44">
        <f>O163/('Demand Breakdown - Ethylene'!$K$14)</f>
        <v>27.127006949311387</v>
      </c>
      <c r="P159" s="44">
        <f>P163/('Demand Breakdown - Ethylene'!$K$14)</f>
        <v>26.904254542397027</v>
      </c>
      <c r="Q159" s="44">
        <f>Q163/('Demand Breakdown - Ethylene'!$K$14)</f>
        <v>26.664895634281297</v>
      </c>
      <c r="R159" s="44">
        <f>R163/('Demand Breakdown - Ethylene'!$K$14)</f>
        <v>26.429430636843041</v>
      </c>
      <c r="S159" s="44">
        <f>S163/('Demand Breakdown - Ethylene'!$K$14)</f>
        <v>26.198359300816804</v>
      </c>
      <c r="T159" s="44">
        <f>T163/('Demand Breakdown - Ethylene'!$K$14)</f>
        <v>25.919745632063439</v>
      </c>
      <c r="U159" s="44">
        <f>U163/('Demand Breakdown - Ethylene'!$K$14)</f>
        <v>25.641596427291191</v>
      </c>
      <c r="V159" s="44">
        <f>V163/('Demand Breakdown - Ethylene'!$K$14)</f>
        <v>25.371086447082078</v>
      </c>
      <c r="W159" s="44">
        <f>W163/('Demand Breakdown - Ethylene'!$K$14)</f>
        <v>25.114412203445866</v>
      </c>
      <c r="X159" s="44">
        <f>X163/('Demand Breakdown - Ethylene'!$K$14)</f>
        <v>24.875298310580657</v>
      </c>
      <c r="Y159" s="44">
        <f>Y163/('Demand Breakdown - Ethylene'!$K$14)</f>
        <v>24.459164647076673</v>
      </c>
      <c r="Z159" s="44">
        <f>Z163/('Demand Breakdown - Ethylene'!$K$14)</f>
        <v>24.130951140562701</v>
      </c>
      <c r="AA159" s="44">
        <f>AA163/('Demand Breakdown - Ethylene'!$K$14)</f>
        <v>23.806171351848743</v>
      </c>
      <c r="AB159" s="44">
        <f>AB163/('Demand Breakdown - Ethylene'!$K$14)</f>
        <v>23.479799646629736</v>
      </c>
      <c r="AC159" s="44">
        <f>AC163/('Demand Breakdown - Ethylene'!$K$14)</f>
        <v>23.176542728489679</v>
      </c>
      <c r="AD159" s="44">
        <f>AD163/('Demand Breakdown - Ethylene'!$K$14)</f>
        <v>22.889700882624076</v>
      </c>
      <c r="AE159" s="44">
        <f>AE163/('Demand Breakdown - Ethylene'!$K$14)</f>
        <v>22.565840832265973</v>
      </c>
      <c r="AF159" s="44">
        <f>AF163/('Demand Breakdown - Ethylene'!$K$14)</f>
        <v>22.211610108442855</v>
      </c>
      <c r="AG159" s="44">
        <f>AG163/('Demand Breakdown - Ethylene'!$K$14)</f>
        <v>21.854974872369585</v>
      </c>
      <c r="AH159" s="44">
        <f>AH163/('Demand Breakdown - Ethylene'!$K$14)</f>
        <v>21.500186372005857</v>
      </c>
      <c r="AI159" s="44"/>
    </row>
    <row r="160" spans="1:36" x14ac:dyDescent="0.2">
      <c r="A160" s="688"/>
      <c r="B160" s="1" t="s">
        <v>262</v>
      </c>
      <c r="C160" s="54" t="s">
        <v>153</v>
      </c>
      <c r="D160" s="44">
        <f>D162/('Demand Breakdown - Ethylene'!$M$14)</f>
        <v>19.523072967408748</v>
      </c>
      <c r="E160" s="44">
        <f>E162/('Demand Breakdown - Ethylene'!$M$14)</f>
        <v>19.793607771769612</v>
      </c>
      <c r="F160" s="44">
        <f>F162/('Demand Breakdown - Ethylene'!$M$14)</f>
        <v>20.030092359737427</v>
      </c>
      <c r="G160" s="44">
        <f>G162/('Demand Breakdown - Ethylene'!$M$14)</f>
        <v>20.267169893726869</v>
      </c>
      <c r="H160" s="44">
        <f>H162/('Demand Breakdown - Ethylene'!$M$14)</f>
        <v>20.505627720602842</v>
      </c>
      <c r="I160" s="44">
        <f>I162/('Demand Breakdown - Ethylene'!$M$14)</f>
        <v>20.746338389181346</v>
      </c>
      <c r="J160" s="44">
        <f>J162/('Demand Breakdown - Ethylene'!$M$14)</f>
        <v>20.935385876273084</v>
      </c>
      <c r="K160" s="44">
        <f>K162/('Demand Breakdown - Ethylene'!$M$14)</f>
        <v>21.123801775197666</v>
      </c>
      <c r="L160" s="44">
        <f>L162/('Demand Breakdown - Ethylene'!$M$14)</f>
        <v>21.311684377784328</v>
      </c>
      <c r="M160" s="44">
        <f>M162/('Demand Breakdown - Ethylene'!$M$14)</f>
        <v>21.499057022670957</v>
      </c>
      <c r="N160" s="44">
        <f>N162/('Demand Breakdown - Ethylene'!$M$14)</f>
        <v>21.685793001806836</v>
      </c>
      <c r="O160" s="44">
        <f>O162/('Demand Breakdown - Ethylene'!$M$14)</f>
        <v>21.55854533555047</v>
      </c>
      <c r="P160" s="44">
        <f>P162/('Demand Breakdown - Ethylene'!$M$14)</f>
        <v>21.421458884741632</v>
      </c>
      <c r="Q160" s="44">
        <f>Q162/('Demand Breakdown - Ethylene'!$M$14)</f>
        <v>21.282497134114099</v>
      </c>
      <c r="R160" s="44">
        <f>R162/('Demand Breakdown - Ethylene'!$M$14)</f>
        <v>21.139758756713004</v>
      </c>
      <c r="S160" s="44">
        <f>S162/('Demand Breakdown - Ethylene'!$M$14)</f>
        <v>20.99511994874959</v>
      </c>
      <c r="T160" s="44">
        <f>T162/('Demand Breakdown - Ethylene'!$M$14)</f>
        <v>20.830586653419225</v>
      </c>
      <c r="U160" s="44">
        <f>U162/('Demand Breakdown - Ethylene'!$M$14)</f>
        <v>20.663208506395229</v>
      </c>
      <c r="V160" s="44">
        <f>V162/('Demand Breakdown - Ethylene'!$M$14)</f>
        <v>20.495087658943255</v>
      </c>
      <c r="W160" s="44">
        <f>W162/('Demand Breakdown - Ethylene'!$M$14)</f>
        <v>20.328218847437341</v>
      </c>
      <c r="X160" s="44">
        <f>X162/('Demand Breakdown - Ethylene'!$M$14)</f>
        <v>20.164247601679676</v>
      </c>
      <c r="Y160" s="44">
        <f>Y162/('Demand Breakdown - Ethylene'!$M$14)</f>
        <v>19.907365858824214</v>
      </c>
      <c r="Z160" s="44">
        <f>Z162/('Demand Breakdown - Ethylene'!$M$14)</f>
        <v>19.627702139554088</v>
      </c>
      <c r="AA160" s="44">
        <f>AA162/('Demand Breakdown - Ethylene'!$M$14)</f>
        <v>19.350752882833252</v>
      </c>
      <c r="AB160" s="44">
        <f>AB162/('Demand Breakdown - Ethylene'!$M$14)</f>
        <v>19.077056711903019</v>
      </c>
      <c r="AC160" s="44">
        <f>AC162/('Demand Breakdown - Ethylene'!$M$14)</f>
        <v>18.812441689340389</v>
      </c>
      <c r="AD160" s="44">
        <f>AD162/('Demand Breakdown - Ethylene'!$M$14)</f>
        <v>18.544926727242903</v>
      </c>
      <c r="AE160" s="44">
        <f>AE162/('Demand Breakdown - Ethylene'!$M$14)</f>
        <v>18.288529122912465</v>
      </c>
      <c r="AF160" s="44">
        <f>AF162/('Demand Breakdown - Ethylene'!$M$14)</f>
        <v>18.044656780825957</v>
      </c>
      <c r="AG160" s="44">
        <f>AG162/('Demand Breakdown - Ethylene'!$M$14)</f>
        <v>17.815332456351708</v>
      </c>
      <c r="AH160" s="44">
        <f>AH162/('Demand Breakdown - Ethylene'!$M$14)</f>
        <v>17.6037412477054</v>
      </c>
      <c r="AI160" s="44"/>
    </row>
    <row r="161" spans="1:46" x14ac:dyDescent="0.2">
      <c r="A161" s="689"/>
      <c r="B161" s="1" t="s">
        <v>248</v>
      </c>
      <c r="C161" s="54" t="s">
        <v>153</v>
      </c>
      <c r="D161" s="44">
        <f>D157-D160-D159-D158</f>
        <v>18.967829557003625</v>
      </c>
      <c r="E161" s="44">
        <f t="shared" ref="E161:AH161" si="54">E157-E160-E159-E158</f>
        <v>20.049622402902614</v>
      </c>
      <c r="F161" s="44">
        <f t="shared" si="54"/>
        <v>20.552799436822639</v>
      </c>
      <c r="G161" s="44">
        <f t="shared" si="54"/>
        <v>20.624523169960028</v>
      </c>
      <c r="H161" s="44">
        <f t="shared" si="54"/>
        <v>22.655862551893051</v>
      </c>
      <c r="I161" s="44">
        <f t="shared" si="54"/>
        <v>23.550562337087754</v>
      </c>
      <c r="J161" s="44">
        <f t="shared" si="54"/>
        <v>24.290641430989595</v>
      </c>
      <c r="K161" s="44">
        <f t="shared" si="54"/>
        <v>25.051408494385484</v>
      </c>
      <c r="L161" s="44">
        <f t="shared" si="54"/>
        <v>25.834577715312093</v>
      </c>
      <c r="M161" s="44">
        <f t="shared" si="54"/>
        <v>26.642178183674886</v>
      </c>
      <c r="N161" s="44">
        <f t="shared" si="54"/>
        <v>27.476661849579514</v>
      </c>
      <c r="O161" s="44">
        <f t="shared" si="54"/>
        <v>27.623374184917537</v>
      </c>
      <c r="P161" s="44">
        <f t="shared" si="54"/>
        <v>27.793615553708023</v>
      </c>
      <c r="Q161" s="44">
        <f t="shared" si="54"/>
        <v>27.957533828274393</v>
      </c>
      <c r="R161" s="44">
        <f t="shared" si="54"/>
        <v>28.136344614405857</v>
      </c>
      <c r="S161" s="44">
        <f t="shared" si="54"/>
        <v>28.333898405862016</v>
      </c>
      <c r="T161" s="44">
        <f t="shared" si="54"/>
        <v>28.512273911759408</v>
      </c>
      <c r="U161" s="44">
        <f t="shared" si="54"/>
        <v>28.716779124993522</v>
      </c>
      <c r="V161" s="44">
        <f t="shared" si="54"/>
        <v>28.951081439307188</v>
      </c>
      <c r="W161" s="44">
        <f t="shared" si="54"/>
        <v>29.219695269204252</v>
      </c>
      <c r="X161" s="44">
        <f t="shared" si="54"/>
        <v>29.528321951957778</v>
      </c>
      <c r="Y161" s="44">
        <f t="shared" si="54"/>
        <v>29.691783209349524</v>
      </c>
      <c r="Z161" s="44">
        <f t="shared" si="54"/>
        <v>29.98114888313178</v>
      </c>
      <c r="AA161" s="44">
        <f t="shared" si="54"/>
        <v>30.334283939013872</v>
      </c>
      <c r="AB161" s="44">
        <f t="shared" si="54"/>
        <v>30.761280561849674</v>
      </c>
      <c r="AC161" s="44">
        <f t="shared" si="54"/>
        <v>31.269764606920091</v>
      </c>
      <c r="AD161" s="44">
        <f t="shared" si="54"/>
        <v>31.827233353681308</v>
      </c>
      <c r="AE161" s="44">
        <f t="shared" si="54"/>
        <v>32.514825082604673</v>
      </c>
      <c r="AF161" s="44">
        <f t="shared" si="54"/>
        <v>33.345592225630895</v>
      </c>
      <c r="AG161" s="44">
        <f t="shared" si="54"/>
        <v>34.327108576388127</v>
      </c>
      <c r="AH161" s="44">
        <f t="shared" si="54"/>
        <v>35.684323928982081</v>
      </c>
      <c r="AI161" s="44"/>
    </row>
    <row r="162" spans="1:46" s="67" customFormat="1" x14ac:dyDescent="0.2">
      <c r="A162" s="690" t="s">
        <v>263</v>
      </c>
      <c r="B162" s="58" t="s">
        <v>264</v>
      </c>
      <c r="C162" s="59" t="s">
        <v>153</v>
      </c>
      <c r="D162" s="60">
        <f>D153-D156*D151/D148</f>
        <v>18.742150048712396</v>
      </c>
      <c r="E162" s="60">
        <f t="shared" ref="E162:AH162" si="55">E153-E156*E151/E148</f>
        <v>19.001863460898825</v>
      </c>
      <c r="F162" s="60">
        <f t="shared" si="55"/>
        <v>19.228888665347931</v>
      </c>
      <c r="G162" s="60">
        <f t="shared" si="55"/>
        <v>19.456483097977795</v>
      </c>
      <c r="H162" s="60">
        <f t="shared" si="55"/>
        <v>19.685402611778727</v>
      </c>
      <c r="I162" s="60">
        <f t="shared" si="55"/>
        <v>19.91648485361409</v>
      </c>
      <c r="J162" s="60">
        <f t="shared" si="55"/>
        <v>20.097970441222159</v>
      </c>
      <c r="K162" s="60">
        <f t="shared" si="55"/>
        <v>20.27884970418976</v>
      </c>
      <c r="L162" s="60">
        <f t="shared" si="55"/>
        <v>20.459217002672954</v>
      </c>
      <c r="M162" s="60">
        <f t="shared" si="55"/>
        <v>20.639094741764119</v>
      </c>
      <c r="N162" s="60">
        <f t="shared" si="55"/>
        <v>20.81836128173456</v>
      </c>
      <c r="O162" s="60">
        <f t="shared" si="55"/>
        <v>20.696203522128449</v>
      </c>
      <c r="P162" s="60">
        <f t="shared" si="55"/>
        <v>20.564600529351967</v>
      </c>
      <c r="Q162" s="60">
        <f t="shared" si="55"/>
        <v>20.431197248749534</v>
      </c>
      <c r="R162" s="60">
        <f t="shared" si="55"/>
        <v>20.294168406444484</v>
      </c>
      <c r="S162" s="60">
        <f t="shared" si="55"/>
        <v>20.155315150799606</v>
      </c>
      <c r="T162" s="60">
        <f t="shared" si="55"/>
        <v>19.997363187282456</v>
      </c>
      <c r="U162" s="60">
        <f t="shared" si="55"/>
        <v>19.83668016613942</v>
      </c>
      <c r="V162" s="60">
        <f t="shared" si="55"/>
        <v>19.675284152585526</v>
      </c>
      <c r="W162" s="60">
        <f t="shared" si="55"/>
        <v>19.515090093539847</v>
      </c>
      <c r="X162" s="60">
        <f t="shared" si="55"/>
        <v>19.357677697612488</v>
      </c>
      <c r="Y162" s="60">
        <f t="shared" si="55"/>
        <v>19.111071224471246</v>
      </c>
      <c r="Z162" s="60">
        <f t="shared" si="55"/>
        <v>18.842594053971926</v>
      </c>
      <c r="AA162" s="60">
        <f t="shared" si="55"/>
        <v>18.576722767519922</v>
      </c>
      <c r="AB162" s="60">
        <f t="shared" si="55"/>
        <v>18.313974443426897</v>
      </c>
      <c r="AC162" s="60">
        <f t="shared" si="55"/>
        <v>18.059944021766771</v>
      </c>
      <c r="AD162" s="60">
        <f t="shared" si="55"/>
        <v>17.803129658153185</v>
      </c>
      <c r="AE162" s="60">
        <f t="shared" si="55"/>
        <v>17.556987957995965</v>
      </c>
      <c r="AF162" s="60">
        <f t="shared" si="55"/>
        <v>17.322870509592917</v>
      </c>
      <c r="AG162" s="60">
        <f t="shared" si="55"/>
        <v>17.102719158097639</v>
      </c>
      <c r="AH162" s="60">
        <f t="shared" si="55"/>
        <v>16.899591597797183</v>
      </c>
      <c r="AI162" s="60"/>
    </row>
    <row r="163" spans="1:46" s="68" customFormat="1" x14ac:dyDescent="0.2">
      <c r="A163" s="691"/>
      <c r="B163" s="62" t="s">
        <v>266</v>
      </c>
      <c r="C163" s="283" t="s">
        <v>153</v>
      </c>
      <c r="D163" s="284">
        <f>D154-D155-D156*D150/D148</f>
        <v>15.260523212374633</v>
      </c>
      <c r="E163" s="284">
        <f t="shared" ref="E163:AH163" si="56">E154-E155-E156*E150/E148</f>
        <v>15.42515997117907</v>
      </c>
      <c r="F163" s="284">
        <f t="shared" si="56"/>
        <v>15.759436467866212</v>
      </c>
      <c r="G163" s="284">
        <f t="shared" si="56"/>
        <v>16.37874120410444</v>
      </c>
      <c r="H163" s="284">
        <f t="shared" si="56"/>
        <v>15.822741288889306</v>
      </c>
      <c r="I163" s="284">
        <f t="shared" si="56"/>
        <v>15.98623287654126</v>
      </c>
      <c r="J163" s="284">
        <f t="shared" si="56"/>
        <v>16.12702176637287</v>
      </c>
      <c r="K163" s="284">
        <f t="shared" si="56"/>
        <v>16.273180918377594</v>
      </c>
      <c r="L163" s="284">
        <f t="shared" si="56"/>
        <v>16.424470380244443</v>
      </c>
      <c r="M163" s="284">
        <f t="shared" si="56"/>
        <v>16.580247987202998</v>
      </c>
      <c r="N163" s="284">
        <f t="shared" si="56"/>
        <v>16.739171352190539</v>
      </c>
      <c r="O163" s="284">
        <f t="shared" si="56"/>
        <v>16.586044578663451</v>
      </c>
      <c r="P163" s="284">
        <f t="shared" si="56"/>
        <v>16.449848891539187</v>
      </c>
      <c r="Q163" s="284">
        <f t="shared" si="56"/>
        <v>16.303499626847881</v>
      </c>
      <c r="R163" s="284">
        <f t="shared" si="56"/>
        <v>16.159531184198702</v>
      </c>
      <c r="S163" s="284">
        <f t="shared" si="56"/>
        <v>16.01824912210671</v>
      </c>
      <c r="T163" s="284">
        <f t="shared" si="56"/>
        <v>15.847898639327569</v>
      </c>
      <c r="U163" s="284">
        <f t="shared" si="56"/>
        <v>15.677832139971681</v>
      </c>
      <c r="V163" s="284">
        <f t="shared" si="56"/>
        <v>15.512436429375764</v>
      </c>
      <c r="W163" s="284">
        <f t="shared" si="56"/>
        <v>15.35550019033178</v>
      </c>
      <c r="X163" s="284">
        <f t="shared" si="56"/>
        <v>15.209300733316461</v>
      </c>
      <c r="Y163" s="284">
        <f t="shared" si="56"/>
        <v>14.95486752192471</v>
      </c>
      <c r="Z163" s="284">
        <f t="shared" si="56"/>
        <v>14.754190614939276</v>
      </c>
      <c r="AA163" s="284">
        <f t="shared" si="56"/>
        <v>14.555613158018792</v>
      </c>
      <c r="AB163" s="284">
        <f t="shared" si="56"/>
        <v>14.3560623685752</v>
      </c>
      <c r="AC163" s="284">
        <f t="shared" si="56"/>
        <v>14.170644464843408</v>
      </c>
      <c r="AD163" s="284">
        <f t="shared" si="56"/>
        <v>13.995263094851399</v>
      </c>
      <c r="AE163" s="284">
        <f t="shared" si="56"/>
        <v>13.797247986051346</v>
      </c>
      <c r="AF163" s="284">
        <f t="shared" si="56"/>
        <v>13.580663584114161</v>
      </c>
      <c r="AG163" s="284">
        <f t="shared" si="56"/>
        <v>13.362609010865947</v>
      </c>
      <c r="AH163" s="284">
        <f t="shared" si="56"/>
        <v>13.14568357216843</v>
      </c>
      <c r="AI163" s="284"/>
    </row>
    <row r="164" spans="1:46" s="426" customFormat="1" x14ac:dyDescent="0.2">
      <c r="A164" s="425" t="s">
        <v>233</v>
      </c>
      <c r="C164" s="429" t="s">
        <v>153</v>
      </c>
      <c r="D164" s="430">
        <f>'Ethylene Recycling LC'!C278</f>
        <v>15.604941930162472</v>
      </c>
      <c r="E164" s="430">
        <f>'Ethylene Recycling LC'!D278</f>
        <v>16.230545449691729</v>
      </c>
      <c r="F164" s="430">
        <f>'Ethylene Recycling LC'!E278</f>
        <v>16.848960346565949</v>
      </c>
      <c r="G164" s="430">
        <f>'Ethylene Recycling LC'!F278</f>
        <v>17.456912284429109</v>
      </c>
      <c r="H164" s="430">
        <f>'Ethylene Recycling LC'!G278</f>
        <v>18.050951203839254</v>
      </c>
      <c r="I164" s="430">
        <f>'Ethylene Recycling LC'!H278</f>
        <v>18.627431060256345</v>
      </c>
      <c r="J164" s="430">
        <f>'Ethylene Recycling LC'!I278</f>
        <v>19.212234767233742</v>
      </c>
      <c r="K164" s="430">
        <f>'Ethylene Recycling LC'!J278</f>
        <v>19.815992375379544</v>
      </c>
      <c r="L164" s="430">
        <f>'Ethylene Recycling LC'!K278</f>
        <v>20.437385345453155</v>
      </c>
      <c r="M164" s="430">
        <f>'Ethylene Recycling LC'!L278</f>
        <v>21.073957314646599</v>
      </c>
      <c r="N164" s="430">
        <f>'Ethylene Recycling LC'!M278</f>
        <v>21.721305746932099</v>
      </c>
      <c r="O164" s="430">
        <f>'Ethylene Recycling LC'!N278</f>
        <v>21.274229804750618</v>
      </c>
      <c r="P164" s="430">
        <f>'Ethylene Recycling LC'!O278</f>
        <v>20.831222413234055</v>
      </c>
      <c r="Q164" s="430">
        <f>'Ethylene Recycling LC'!P278</f>
        <v>20.355536846117435</v>
      </c>
      <c r="R164" s="430">
        <f>'Ethylene Recycling LC'!Q278</f>
        <v>19.867019984709874</v>
      </c>
      <c r="S164" s="430">
        <f>'Ethylene Recycling LC'!R278</f>
        <v>19.368907385623459</v>
      </c>
      <c r="T164" s="430">
        <f>'Ethylene Recycling LC'!S278</f>
        <v>18.899647735984001</v>
      </c>
      <c r="U164" s="430">
        <f>'Ethylene Recycling LC'!T278</f>
        <v>18.474352187722648</v>
      </c>
      <c r="V164" s="430">
        <f>'Ethylene Recycling LC'!U278</f>
        <v>18.106330964343297</v>
      </c>
      <c r="W164" s="430">
        <f>'Ethylene Recycling LC'!V278</f>
        <v>17.807170952565766</v>
      </c>
      <c r="X164" s="430">
        <f>'Ethylene Recycling LC'!W278</f>
        <v>17.584296431455101</v>
      </c>
      <c r="Y164" s="430">
        <f>'Ethylene Recycling LC'!X278</f>
        <v>16.460938204395116</v>
      </c>
      <c r="Z164" s="430">
        <f>'Ethylene Recycling LC'!Y278</f>
        <v>15.445652074669558</v>
      </c>
      <c r="AA164" s="430">
        <f>'Ethylene Recycling LC'!Z278</f>
        <v>14.972034033784109</v>
      </c>
      <c r="AB164" s="430">
        <f>'Ethylene Recycling LC'!AA278</f>
        <v>14.931019429981458</v>
      </c>
      <c r="AC164" s="430">
        <f>'Ethylene Recycling LC'!AB278</f>
        <v>14.810015378249361</v>
      </c>
      <c r="AD164" s="430">
        <f>'Ethylene Recycling LC'!AC278</f>
        <v>14.600654952042097</v>
      </c>
      <c r="AE164" s="430">
        <f>'Ethylene Recycling LC'!AD278</f>
        <v>14.30272072078515</v>
      </c>
      <c r="AF164" s="430">
        <f>'Ethylene Recycling LC'!AE278</f>
        <v>13.913023445913199</v>
      </c>
      <c r="AG164" s="430">
        <f>'Ethylene Recycling LC'!AF278</f>
        <v>13.433294311380422</v>
      </c>
      <c r="AH164" s="430">
        <f>'Ethylene Recycling LC'!AG278</f>
        <v>12.873504356057348</v>
      </c>
      <c r="AI164" s="430"/>
    </row>
    <row r="165" spans="1:46" s="428" customFormat="1" x14ac:dyDescent="0.2">
      <c r="A165" s="427" t="s">
        <v>234</v>
      </c>
      <c r="C165" s="431" t="s">
        <v>153</v>
      </c>
      <c r="D165" s="432">
        <f>'Ethylene Recycling LC'!C279</f>
        <v>102.73927251328456</v>
      </c>
      <c r="E165" s="432">
        <f>'Ethylene Recycling LC'!D279</f>
        <v>105.17855352943165</v>
      </c>
      <c r="F165" s="432">
        <f>'Ethylene Recycling LC'!E279</f>
        <v>107.39817187396136</v>
      </c>
      <c r="G165" s="432">
        <f>'Ethylene Recycling LC'!F279</f>
        <v>109.38213696957992</v>
      </c>
      <c r="H165" s="432">
        <f>'Ethylene Recycling LC'!G279</f>
        <v>111.11594654637204</v>
      </c>
      <c r="I165" s="432">
        <f>'Ethylene Recycling LC'!H279</f>
        <v>112.58671387471425</v>
      </c>
      <c r="J165" s="432">
        <f>'Ethylene Recycling LC'!I279</f>
        <v>113.90265495705766</v>
      </c>
      <c r="K165" s="432">
        <f>'Ethylene Recycling LC'!J279</f>
        <v>115.18338615523189</v>
      </c>
      <c r="L165" s="432">
        <f>'Ethylene Recycling LC'!K279</f>
        <v>116.42606779096432</v>
      </c>
      <c r="M165" s="432">
        <f>'Ethylene Recycling LC'!L279</f>
        <v>117.62680497728908</v>
      </c>
      <c r="N165" s="432">
        <f>'Ethylene Recycling LC'!M279</f>
        <v>118.77984406050571</v>
      </c>
      <c r="O165" s="432">
        <f>'Ethylene Recycling LC'!N279</f>
        <v>118.05235035755065</v>
      </c>
      <c r="P165" s="432">
        <f>'Ethylene Recycling LC'!O279</f>
        <v>117.35117480692999</v>
      </c>
      <c r="Q165" s="432">
        <f>'Ethylene Recycling LC'!P279</f>
        <v>116.14262784189768</v>
      </c>
      <c r="R165" s="432">
        <f>'Ethylene Recycling LC'!Q279</f>
        <v>114.71140181869667</v>
      </c>
      <c r="S165" s="432">
        <f>'Ethylene Recycling LC'!R279</f>
        <v>113.06571377899853</v>
      </c>
      <c r="T165" s="432">
        <f>'Ethylene Recycling LC'!S279</f>
        <v>111.43326621357889</v>
      </c>
      <c r="U165" s="432">
        <f>'Ethylene Recycling LC'!T279</f>
        <v>109.81328897800866</v>
      </c>
      <c r="V165" s="432">
        <f>'Ethylene Recycling LC'!U279</f>
        <v>108.21963692850096</v>
      </c>
      <c r="W165" s="432">
        <f>'Ethylene Recycling LC'!V279</f>
        <v>106.664470245205</v>
      </c>
      <c r="X165" s="432">
        <f>'Ethylene Recycling LC'!W279</f>
        <v>105.15581501548063</v>
      </c>
      <c r="Y165" s="432">
        <f>'Ethylene Recycling LC'!X279</f>
        <v>101.90372859311071</v>
      </c>
      <c r="Z165" s="432">
        <f>'Ethylene Recycling LC'!Y279</f>
        <v>99.51389128339838</v>
      </c>
      <c r="AA165" s="432">
        <f>'Ethylene Recycling LC'!Z279</f>
        <v>97.197475912518598</v>
      </c>
      <c r="AB165" s="432">
        <f>'Ethylene Recycling LC'!AA279</f>
        <v>94.950834532277739</v>
      </c>
      <c r="AC165" s="432">
        <f>'Ethylene Recycling LC'!AB279</f>
        <v>92.817969934422493</v>
      </c>
      <c r="AD165" s="432">
        <f>'Ethylene Recycling LC'!AC279</f>
        <v>90.790707358490934</v>
      </c>
      <c r="AE165" s="432">
        <f>'Ethylene Recycling LC'!AD279</f>
        <v>88.867742858315864</v>
      </c>
      <c r="AF165" s="432">
        <f>'Ethylene Recycling LC'!AE279</f>
        <v>87.044223965404981</v>
      </c>
      <c r="AG165" s="432">
        <f>'Ethylene Recycling LC'!AF279</f>
        <v>85.320151686122784</v>
      </c>
      <c r="AH165" s="432">
        <f>'Ethylene Recycling LC'!AG279</f>
        <v>83.703700224802859</v>
      </c>
      <c r="AI165" s="432"/>
    </row>
    <row r="166" spans="1:46" hidden="1" x14ac:dyDescent="0.2">
      <c r="A166" t="s">
        <v>277</v>
      </c>
      <c r="B166"/>
      <c r="C166" s="54"/>
      <c r="D166" s="44">
        <f>'Ethylene Recycling LC'!C280</f>
        <v>0</v>
      </c>
      <c r="E166" s="44">
        <f>'Ethylene Recycling LC'!D280</f>
        <v>0</v>
      </c>
      <c r="F166" s="44">
        <f>'Ethylene Recycling LC'!E280</f>
        <v>0</v>
      </c>
      <c r="G166" s="44">
        <f>'Ethylene Recycling LC'!F280</f>
        <v>0</v>
      </c>
      <c r="H166" s="44">
        <f>'Ethylene Recycling LC'!G280</f>
        <v>0</v>
      </c>
      <c r="I166" s="44">
        <f>'Ethylene Recycling LC'!H280</f>
        <v>0</v>
      </c>
      <c r="J166" s="44">
        <f>'Ethylene Recycling LC'!I280</f>
        <v>0</v>
      </c>
      <c r="K166" s="44">
        <f>'Ethylene Recycling LC'!J280</f>
        <v>0</v>
      </c>
      <c r="L166" s="44">
        <f>'Ethylene Recycling LC'!K280</f>
        <v>0</v>
      </c>
      <c r="M166" s="44">
        <f>'Ethylene Recycling LC'!L280</f>
        <v>0</v>
      </c>
      <c r="N166" s="44">
        <f>'Ethylene Recycling LC'!M280</f>
        <v>0</v>
      </c>
      <c r="O166" s="44">
        <f>'Ethylene Recycling LC'!N280</f>
        <v>0</v>
      </c>
      <c r="P166" s="44">
        <f>'Ethylene Recycling LC'!O280</f>
        <v>0</v>
      </c>
      <c r="Q166" s="44">
        <f>'Ethylene Recycling LC'!P280</f>
        <v>0</v>
      </c>
      <c r="R166" s="44">
        <f>'Ethylene Recycling LC'!Q280</f>
        <v>0</v>
      </c>
      <c r="S166" s="44">
        <f>'Ethylene Recycling LC'!R280</f>
        <v>0</v>
      </c>
      <c r="T166" s="44">
        <f>'Ethylene Recycling LC'!S280</f>
        <v>0</v>
      </c>
      <c r="U166" s="44">
        <f>'Ethylene Recycling LC'!T280</f>
        <v>0</v>
      </c>
      <c r="V166" s="44">
        <f>'Ethylene Recycling LC'!U280</f>
        <v>0</v>
      </c>
      <c r="W166" s="44">
        <f>'Ethylene Recycling LC'!V280</f>
        <v>0</v>
      </c>
      <c r="X166" s="44">
        <f>'Ethylene Recycling LC'!W280</f>
        <v>0</v>
      </c>
      <c r="Y166" s="44">
        <f>'Ethylene Recycling LC'!X280</f>
        <v>0</v>
      </c>
      <c r="Z166" s="44">
        <f>'Ethylene Recycling LC'!Y280</f>
        <v>0</v>
      </c>
      <c r="AA166" s="44">
        <f>'Ethylene Recycling LC'!Z280</f>
        <v>0</v>
      </c>
      <c r="AB166" s="44">
        <f>'Ethylene Recycling LC'!AA280</f>
        <v>0</v>
      </c>
      <c r="AC166" s="44">
        <f>'Ethylene Recycling LC'!AB280</f>
        <v>0</v>
      </c>
      <c r="AD166" s="44">
        <f>'Ethylene Recycling LC'!AC280</f>
        <v>0</v>
      </c>
      <c r="AE166" s="44">
        <f>'Ethylene Recycling LC'!AD280</f>
        <v>0</v>
      </c>
      <c r="AF166" s="44">
        <f>'Ethylene Recycling LC'!AE280</f>
        <v>0</v>
      </c>
      <c r="AG166" s="44">
        <f>'Ethylene Recycling LC'!AF280</f>
        <v>0</v>
      </c>
      <c r="AH166" s="44">
        <f>'Ethylene Recycling LC'!AG280</f>
        <v>0</v>
      </c>
    </row>
    <row r="167" spans="1:46" hidden="1" x14ac:dyDescent="0.2">
      <c r="A167" t="s">
        <v>278</v>
      </c>
      <c r="B167"/>
      <c r="C167" s="54"/>
      <c r="D167" s="44">
        <f>'Ethylene Recycling LC'!C281</f>
        <v>0</v>
      </c>
      <c r="E167" s="44">
        <f>'Ethylene Recycling LC'!D281</f>
        <v>0</v>
      </c>
      <c r="F167" s="44">
        <f>'Ethylene Recycling LC'!E281</f>
        <v>0</v>
      </c>
      <c r="G167" s="44">
        <f>'Ethylene Recycling LC'!F281</f>
        <v>0</v>
      </c>
      <c r="H167" s="44">
        <f>'Ethylene Recycling LC'!G281</f>
        <v>0</v>
      </c>
      <c r="I167" s="44">
        <f>'Ethylene Recycling LC'!H281</f>
        <v>0</v>
      </c>
      <c r="J167" s="44">
        <f>'Ethylene Recycling LC'!I281</f>
        <v>0</v>
      </c>
      <c r="K167" s="44">
        <f>'Ethylene Recycling LC'!J281</f>
        <v>0</v>
      </c>
      <c r="L167" s="44">
        <f>'Ethylene Recycling LC'!K281</f>
        <v>0</v>
      </c>
      <c r="M167" s="44">
        <f>'Ethylene Recycling LC'!L281</f>
        <v>0</v>
      </c>
      <c r="N167" s="44">
        <f>'Ethylene Recycling LC'!M281</f>
        <v>0</v>
      </c>
      <c r="O167" s="44">
        <f>'Ethylene Recycling LC'!N281</f>
        <v>0</v>
      </c>
      <c r="P167" s="44">
        <f>'Ethylene Recycling LC'!O281</f>
        <v>0</v>
      </c>
      <c r="Q167" s="44">
        <f>'Ethylene Recycling LC'!P281</f>
        <v>0</v>
      </c>
      <c r="R167" s="44">
        <f>'Ethylene Recycling LC'!Q281</f>
        <v>0</v>
      </c>
      <c r="S167" s="44">
        <f>'Ethylene Recycling LC'!R281</f>
        <v>0</v>
      </c>
      <c r="T167" s="44">
        <f>'Ethylene Recycling LC'!S281</f>
        <v>0</v>
      </c>
      <c r="U167" s="44">
        <f>'Ethylene Recycling LC'!T281</f>
        <v>0</v>
      </c>
      <c r="V167" s="44">
        <f>'Ethylene Recycling LC'!U281</f>
        <v>0</v>
      </c>
      <c r="W167" s="44">
        <f>'Ethylene Recycling LC'!V281</f>
        <v>0</v>
      </c>
      <c r="X167" s="44">
        <f>'Ethylene Recycling LC'!W281</f>
        <v>0</v>
      </c>
      <c r="Y167" s="44">
        <f>'Ethylene Recycling LC'!X281</f>
        <v>0</v>
      </c>
      <c r="Z167" s="44">
        <f>'Ethylene Recycling LC'!Y281</f>
        <v>0</v>
      </c>
      <c r="AA167" s="44">
        <f>'Ethylene Recycling LC'!Z281</f>
        <v>0</v>
      </c>
      <c r="AB167" s="44">
        <f>'Ethylene Recycling LC'!AA281</f>
        <v>0</v>
      </c>
      <c r="AC167" s="44">
        <f>'Ethylene Recycling LC'!AB281</f>
        <v>0</v>
      </c>
      <c r="AD167" s="44">
        <f>'Ethylene Recycling LC'!AC281</f>
        <v>0</v>
      </c>
      <c r="AE167" s="44">
        <f>'Ethylene Recycling LC'!AD281</f>
        <v>0</v>
      </c>
      <c r="AF167" s="44">
        <f>'Ethylene Recycling LC'!AE281</f>
        <v>0</v>
      </c>
      <c r="AG167" s="44">
        <f>'Ethylene Recycling LC'!AF281</f>
        <v>0</v>
      </c>
      <c r="AH167" s="44" t="str">
        <f>'Ethylene Recycling LC'!AG281</f>
        <v>From Plastics Europe facts 2020 (EU data for 2019)</v>
      </c>
    </row>
    <row r="168" spans="1:46" hidden="1" x14ac:dyDescent="0.2">
      <c r="A168" t="s">
        <v>279</v>
      </c>
      <c r="B168"/>
      <c r="C168" s="54"/>
      <c r="D168" s="244">
        <f>'Ethylene Recycling LC'!C282</f>
        <v>14.348994409010164</v>
      </c>
      <c r="E168" s="244">
        <f>'Ethylene Recycling LC'!D282</f>
        <v>0</v>
      </c>
      <c r="F168" s="244">
        <f>'Ethylene Recycling LC'!E282</f>
        <v>0</v>
      </c>
      <c r="G168" s="244">
        <f>'Ethylene Recycling LC'!F282</f>
        <v>0</v>
      </c>
      <c r="H168" s="244">
        <f>'Ethylene Recycling LC'!G282</f>
        <v>0</v>
      </c>
      <c r="I168" s="244">
        <f>'Ethylene Recycling LC'!H282</f>
        <v>0</v>
      </c>
      <c r="J168" s="244">
        <f>'Ethylene Recycling LC'!I282</f>
        <v>0</v>
      </c>
      <c r="K168" s="244">
        <f>'Ethylene Recycling LC'!J282</f>
        <v>0</v>
      </c>
      <c r="L168" s="244">
        <f>'Ethylene Recycling LC'!K282</f>
        <v>0</v>
      </c>
      <c r="M168" s="244">
        <f>'Ethylene Recycling LC'!L282</f>
        <v>0</v>
      </c>
      <c r="N168" s="244">
        <f>'Ethylene Recycling LC'!M282</f>
        <v>0.39980093750123691</v>
      </c>
      <c r="O168" s="244">
        <f>'Ethylene Recycling LC'!N282</f>
        <v>0</v>
      </c>
      <c r="P168" s="244">
        <f>'Ethylene Recycling LC'!O282</f>
        <v>0</v>
      </c>
      <c r="Q168" s="244">
        <f>'Ethylene Recycling LC'!P282</f>
        <v>0</v>
      </c>
      <c r="R168" s="244">
        <f>'Ethylene Recycling LC'!Q282</f>
        <v>0</v>
      </c>
      <c r="S168" s="244">
        <f>'Ethylene Recycling LC'!R282</f>
        <v>0</v>
      </c>
      <c r="T168" s="244">
        <f>'Ethylene Recycling LC'!S282</f>
        <v>0</v>
      </c>
      <c r="U168" s="244">
        <f>'Ethylene Recycling LC'!T282</f>
        <v>0</v>
      </c>
      <c r="V168" s="244">
        <f>'Ethylene Recycling LC'!U282</f>
        <v>0</v>
      </c>
      <c r="W168" s="244">
        <f>'Ethylene Recycling LC'!V282</f>
        <v>0</v>
      </c>
      <c r="X168" s="244">
        <f>'Ethylene Recycling LC'!W282</f>
        <v>0</v>
      </c>
      <c r="Y168" s="244">
        <f>'Ethylene Recycling LC'!X282</f>
        <v>0</v>
      </c>
      <c r="Z168" s="244">
        <f>'Ethylene Recycling LC'!Y282</f>
        <v>0</v>
      </c>
      <c r="AA168" s="244">
        <f>'Ethylene Recycling LC'!Z282</f>
        <v>0</v>
      </c>
      <c r="AB168" s="244">
        <f>'Ethylene Recycling LC'!AA282</f>
        <v>0</v>
      </c>
      <c r="AC168" s="244">
        <f>'Ethylene Recycling LC'!AB282</f>
        <v>0</v>
      </c>
      <c r="AD168" s="244">
        <f>'Ethylene Recycling LC'!AC282</f>
        <v>0</v>
      </c>
      <c r="AE168" s="244">
        <f>'Ethylene Recycling LC'!AD282</f>
        <v>0</v>
      </c>
      <c r="AF168" s="244">
        <f>'Ethylene Recycling LC'!AE282</f>
        <v>0</v>
      </c>
      <c r="AG168" s="244">
        <f>'Ethylene Recycling LC'!AF282</f>
        <v>0</v>
      </c>
      <c r="AH168" s="244">
        <f>'Ethylene Recycling LC'!AG282</f>
        <v>0.46</v>
      </c>
    </row>
    <row r="169" spans="1:46" hidden="1" x14ac:dyDescent="0.2">
      <c r="A169" t="s">
        <v>280</v>
      </c>
      <c r="B169"/>
      <c r="C169" s="54"/>
      <c r="D169" s="244">
        <f>'Ethylene Recycling LC'!C283</f>
        <v>9.0743320403108019</v>
      </c>
      <c r="E169" s="244">
        <f>'Ethylene Recycling LC'!D283</f>
        <v>0</v>
      </c>
      <c r="F169" s="244">
        <f>'Ethylene Recycling LC'!E283</f>
        <v>0</v>
      </c>
      <c r="G169" s="244">
        <f>'Ethylene Recycling LC'!F283</f>
        <v>0</v>
      </c>
      <c r="H169" s="244">
        <f>'Ethylene Recycling LC'!G283</f>
        <v>0</v>
      </c>
      <c r="I169" s="244">
        <f>'Ethylene Recycling LC'!H283</f>
        <v>0</v>
      </c>
      <c r="J169" s="244">
        <f>'Ethylene Recycling LC'!I283</f>
        <v>0</v>
      </c>
      <c r="K169" s="244">
        <f>'Ethylene Recycling LC'!J283</f>
        <v>0</v>
      </c>
      <c r="L169" s="244">
        <f>'Ethylene Recycling LC'!K283</f>
        <v>0</v>
      </c>
      <c r="M169" s="244">
        <f>'Ethylene Recycling LC'!L283</f>
        <v>0</v>
      </c>
      <c r="N169" s="244">
        <f>'Ethylene Recycling LC'!M283</f>
        <v>0.25283489236260948</v>
      </c>
      <c r="O169" s="244">
        <f>'Ethylene Recycling LC'!N283</f>
        <v>0</v>
      </c>
      <c r="P169" s="244">
        <f>'Ethylene Recycling LC'!O283</f>
        <v>0</v>
      </c>
      <c r="Q169" s="244">
        <f>'Ethylene Recycling LC'!P283</f>
        <v>0</v>
      </c>
      <c r="R169" s="244">
        <f>'Ethylene Recycling LC'!Q283</f>
        <v>0</v>
      </c>
      <c r="S169" s="244">
        <f>'Ethylene Recycling LC'!R283</f>
        <v>0</v>
      </c>
      <c r="T169" s="244">
        <f>'Ethylene Recycling LC'!S283</f>
        <v>0</v>
      </c>
      <c r="U169" s="244">
        <f>'Ethylene Recycling LC'!T283</f>
        <v>0</v>
      </c>
      <c r="V169" s="244">
        <f>'Ethylene Recycling LC'!U283</f>
        <v>0</v>
      </c>
      <c r="W169" s="244">
        <f>'Ethylene Recycling LC'!V283</f>
        <v>0</v>
      </c>
      <c r="X169" s="244">
        <f>'Ethylene Recycling LC'!W283</f>
        <v>0</v>
      </c>
      <c r="Y169" s="244">
        <f>'Ethylene Recycling LC'!X283</f>
        <v>0</v>
      </c>
      <c r="Z169" s="244">
        <f>'Ethylene Recycling LC'!Y283</f>
        <v>0</v>
      </c>
      <c r="AA169" s="244">
        <f>'Ethylene Recycling LC'!Z283</f>
        <v>0</v>
      </c>
      <c r="AB169" s="244">
        <f>'Ethylene Recycling LC'!AA283</f>
        <v>0</v>
      </c>
      <c r="AC169" s="244">
        <f>'Ethylene Recycling LC'!AB283</f>
        <v>0</v>
      </c>
      <c r="AD169" s="244">
        <f>'Ethylene Recycling LC'!AC283</f>
        <v>0</v>
      </c>
      <c r="AE169" s="244">
        <f>'Ethylene Recycling LC'!AD283</f>
        <v>0</v>
      </c>
      <c r="AF169" s="244">
        <f>'Ethylene Recycling LC'!AE283</f>
        <v>0</v>
      </c>
      <c r="AG169" s="244">
        <f>'Ethylene Recycling LC'!AF283</f>
        <v>0</v>
      </c>
      <c r="AH169" s="244">
        <f>'Ethylene Recycling LC'!AG283</f>
        <v>0.24</v>
      </c>
    </row>
    <row r="170" spans="1:46" ht="16" thickBot="1" x14ac:dyDescent="0.25">
      <c r="C170" s="65"/>
      <c r="D170" s="66"/>
      <c r="E170" s="66"/>
      <c r="F170" s="66"/>
      <c r="G170" s="66"/>
      <c r="H170" s="66"/>
      <c r="I170" s="66"/>
      <c r="J170" s="66"/>
      <c r="K170" s="66"/>
      <c r="L170" s="66"/>
      <c r="M170" s="66"/>
      <c r="N170" s="66"/>
      <c r="O170" s="66"/>
      <c r="P170" s="66"/>
      <c r="Q170" s="66"/>
      <c r="R170" s="66"/>
      <c r="S170" s="66"/>
      <c r="T170" s="66"/>
      <c r="U170" s="66"/>
      <c r="V170" s="66"/>
      <c r="W170" s="66"/>
      <c r="X170" s="66"/>
      <c r="Y170" s="66"/>
      <c r="Z170" s="66"/>
      <c r="AA170" s="66"/>
      <c r="AB170" s="66"/>
      <c r="AC170" s="66"/>
      <c r="AD170" s="66"/>
      <c r="AE170" s="66"/>
      <c r="AF170" s="66"/>
      <c r="AG170" s="66"/>
      <c r="AH170" s="66"/>
    </row>
    <row r="171" spans="1:46" ht="54" customHeight="1" thickBot="1" x14ac:dyDescent="0.25">
      <c r="A171" s="250" t="s">
        <v>281</v>
      </c>
      <c r="B171" s="185">
        <v>2020</v>
      </c>
      <c r="C171" s="186" t="s">
        <v>282</v>
      </c>
      <c r="D171" s="186" t="s">
        <v>282</v>
      </c>
      <c r="E171" s="186" t="s">
        <v>283</v>
      </c>
      <c r="F171" s="186" t="s">
        <v>284</v>
      </c>
      <c r="G171" s="186" t="s">
        <v>285</v>
      </c>
      <c r="H171" s="186" t="s">
        <v>286</v>
      </c>
      <c r="I171" s="186" t="s">
        <v>287</v>
      </c>
      <c r="J171" s="186" t="s">
        <v>288</v>
      </c>
      <c r="K171" s="186" t="s">
        <v>289</v>
      </c>
      <c r="L171" s="186" t="s">
        <v>290</v>
      </c>
      <c r="M171" s="186" t="s">
        <v>291</v>
      </c>
      <c r="N171" s="186" t="s">
        <v>292</v>
      </c>
      <c r="O171" s="186" t="s">
        <v>293</v>
      </c>
      <c r="P171" s="186" t="s">
        <v>294</v>
      </c>
      <c r="Q171" s="186" t="s">
        <v>295</v>
      </c>
      <c r="R171" s="186" t="s">
        <v>296</v>
      </c>
      <c r="S171" s="186" t="s">
        <v>297</v>
      </c>
      <c r="T171" s="186" t="s">
        <v>298</v>
      </c>
      <c r="U171" s="186" t="s">
        <v>299</v>
      </c>
      <c r="V171" s="186" t="s">
        <v>300</v>
      </c>
      <c r="W171" s="186" t="s">
        <v>301</v>
      </c>
      <c r="X171" s="186" t="s">
        <v>292</v>
      </c>
      <c r="AJ171" s="138" t="s">
        <v>302</v>
      </c>
      <c r="AK171" s="139" t="s">
        <v>1</v>
      </c>
      <c r="AL171" s="139" t="s">
        <v>180</v>
      </c>
      <c r="AM171" s="139" t="s">
        <v>181</v>
      </c>
      <c r="AN171" s="139" t="s">
        <v>303</v>
      </c>
      <c r="AO171" s="139" t="s">
        <v>304</v>
      </c>
      <c r="AP171" s="139" t="s">
        <v>305</v>
      </c>
      <c r="AQ171" s="139" t="s">
        <v>306</v>
      </c>
      <c r="AR171" s="139" t="s">
        <v>307</v>
      </c>
      <c r="AS171" s="139" t="s">
        <v>163</v>
      </c>
      <c r="AT171" s="139" t="s">
        <v>308</v>
      </c>
    </row>
    <row r="172" spans="1:46" x14ac:dyDescent="0.2">
      <c r="A172" t="s">
        <v>309</v>
      </c>
      <c r="B172" s="183">
        <f>'Demand Breakdown - Ethylene'!J63</f>
        <v>0.43683153193696267</v>
      </c>
      <c r="C172" s="184">
        <f>D172/$D$180</f>
        <v>0.29763561714405118</v>
      </c>
      <c r="D172" s="249">
        <f>AH33*B172/(B172+B176)</f>
        <v>55.067068040502718</v>
      </c>
      <c r="N172" s="194">
        <f>X172/$X$180</f>
        <v>0.30855505337083017</v>
      </c>
      <c r="X172" s="44">
        <f>AH95*B172/(B172+B176)</f>
        <v>47.021875726334514</v>
      </c>
      <c r="AJ172" s="30" t="s">
        <v>67</v>
      </c>
      <c r="AK172" s="140">
        <f>D4</f>
        <v>162.69230769230768</v>
      </c>
      <c r="AM172" s="140">
        <f>AH4</f>
        <v>255</v>
      </c>
      <c r="AN172" s="140"/>
      <c r="AO172" s="140"/>
      <c r="AP172" s="140"/>
      <c r="AQ172" s="140"/>
      <c r="AS172" s="137"/>
      <c r="AT172" s="140">
        <f>AH84</f>
        <v>185.01504816156154</v>
      </c>
    </row>
    <row r="173" spans="1:46" x14ac:dyDescent="0.2">
      <c r="A173" t="s">
        <v>310</v>
      </c>
      <c r="B173" s="183">
        <f>'Demand Breakdown - Ethylene'!J64</f>
        <v>0.21433790117776957</v>
      </c>
      <c r="C173" s="184">
        <f t="shared" ref="C173:C179" si="57">D173/$D$180</f>
        <v>0.21349777512665608</v>
      </c>
      <c r="D173" s="249">
        <f>AH43</f>
        <v>39.50030114744451</v>
      </c>
      <c r="N173" s="194">
        <f t="shared" ref="N173:N179" si="58">X173/$X$180</f>
        <v>0.17671212715742701</v>
      </c>
      <c r="X173" s="44">
        <f>IF(AH127&lt;0,0,AH127)</f>
        <v>26.929831781255455</v>
      </c>
      <c r="AJ173" s="30" t="s">
        <v>168</v>
      </c>
      <c r="AN173" s="44">
        <f>-AH29</f>
        <v>-41.828547522630245</v>
      </c>
      <c r="AO173" s="43">
        <f>-AH41</f>
        <v>-12.720883100136124</v>
      </c>
      <c r="AP173" s="44">
        <f>-AH17</f>
        <v>-3.9072263109037397</v>
      </c>
      <c r="AQ173" s="44">
        <f>-AH53</f>
        <v>-1.8894989481105329</v>
      </c>
      <c r="AR173" s="43">
        <f>-AH63</f>
        <v>-3.1115713523455146</v>
      </c>
    </row>
    <row r="174" spans="1:46" x14ac:dyDescent="0.2">
      <c r="A174" t="s">
        <v>311</v>
      </c>
      <c r="B174" s="183">
        <f>'Demand Breakdown - Ethylene'!J65</f>
        <v>5.2109631277813095E-2</v>
      </c>
      <c r="C174" s="184">
        <f t="shared" si="57"/>
        <v>6.2460973695976668E-2</v>
      </c>
      <c r="D174" s="249">
        <f>AH19</f>
        <v>11.556220056579152</v>
      </c>
      <c r="N174" s="194">
        <f t="shared" si="58"/>
        <v>5.9539721591516402E-2</v>
      </c>
      <c r="X174" s="44">
        <f>AH105</f>
        <v>9.0734841606762426</v>
      </c>
      <c r="AJ174" s="30" t="s">
        <v>172</v>
      </c>
      <c r="AN174" s="44">
        <f>-AH32</f>
        <v>-24.353107213728443</v>
      </c>
      <c r="AO174" s="43">
        <f>-AH42</f>
        <v>-5.6010116621290171</v>
      </c>
      <c r="AP174">
        <f>-AH18</f>
        <v>0</v>
      </c>
      <c r="AQ174" s="43">
        <f>-AH54</f>
        <v>-0.64050811800357055</v>
      </c>
      <c r="AR174" s="43">
        <f>-AH64</f>
        <v>-1.0371904507818381</v>
      </c>
    </row>
    <row r="175" spans="1:46" x14ac:dyDescent="0.2">
      <c r="A175" t="s">
        <v>312</v>
      </c>
      <c r="B175" s="183">
        <f>'Demand Breakdown - Ethylene'!J66</f>
        <v>3.6272535773636247E-2</v>
      </c>
      <c r="C175" s="184">
        <f t="shared" si="57"/>
        <v>4.4439336056889496E-2</v>
      </c>
      <c r="D175" s="249">
        <f>AH65*B175/(B175+B177)</f>
        <v>8.2219459008332283</v>
      </c>
      <c r="N175" s="194">
        <f t="shared" si="58"/>
        <v>4.7469621739038237E-2</v>
      </c>
      <c r="X175" s="44">
        <f>AH139*C175/(C175+C177+C179)</f>
        <v>7.2340758312149553</v>
      </c>
      <c r="AJ175" s="30" t="s">
        <v>175</v>
      </c>
      <c r="AL175" s="140">
        <f>AH4-D4</f>
        <v>92.307692307692321</v>
      </c>
      <c r="AS175" s="44">
        <f>AH74</f>
        <v>23.698824988741201</v>
      </c>
    </row>
    <row r="176" spans="1:46" x14ac:dyDescent="0.2">
      <c r="A176" t="s">
        <v>313</v>
      </c>
      <c r="B176" s="183">
        <f>'Demand Breakdown - Ethylene'!J67</f>
        <v>0.11088911611514482</v>
      </c>
      <c r="C176" s="184">
        <f t="shared" si="57"/>
        <v>7.5554414222671618E-2</v>
      </c>
      <c r="D176" s="249">
        <f>AH33*B176/(B172+B176)</f>
        <v>13.978703586226159</v>
      </c>
      <c r="N176" s="194">
        <f t="shared" si="58"/>
        <v>7.8326298903922009E-2</v>
      </c>
      <c r="X176" s="44">
        <f>AH95*B176/(B172+B176)</f>
        <v>11.936441983134722</v>
      </c>
    </row>
    <row r="177" spans="1:43" x14ac:dyDescent="0.2">
      <c r="A177" t="s">
        <v>248</v>
      </c>
      <c r="B177" s="183">
        <f>'Demand Breakdown - Ethylene'!J68</f>
        <v>0.12845428371867368</v>
      </c>
      <c r="C177" s="184">
        <f t="shared" si="57"/>
        <v>0.15737590329348264</v>
      </c>
      <c r="D177" s="249">
        <f>AH65*B177/(B175+B177)</f>
        <v>29.116910327312944</v>
      </c>
      <c r="N177" s="194">
        <f t="shared" si="58"/>
        <v>0.1681072505362714</v>
      </c>
      <c r="X177" s="44">
        <f>AH139*C177/(C175+C177+C179)</f>
        <v>25.618501972522296</v>
      </c>
      <c r="AJ177" s="142"/>
      <c r="AK177" s="139"/>
      <c r="AL177" s="139"/>
      <c r="AM177" s="139"/>
      <c r="AN177" s="139"/>
      <c r="AO177" s="139"/>
      <c r="AP177" s="139"/>
    </row>
    <row r="178" spans="1:43" x14ac:dyDescent="0.2">
      <c r="A178" s="131" t="s">
        <v>320</v>
      </c>
      <c r="B178" s="183">
        <f>'Demand Breakdown - Ethylene'!J69</f>
        <v>2.1105000000000002E-2</v>
      </c>
      <c r="C178" s="184">
        <f t="shared" si="57"/>
        <v>2.0944642894872814E-2</v>
      </c>
      <c r="D178" s="249">
        <f>AH55</f>
        <v>3.8750741139216012</v>
      </c>
      <c r="N178" s="194">
        <f t="shared" si="58"/>
        <v>2.4464134918394307E-2</v>
      </c>
      <c r="X178" s="44">
        <f>AH115</f>
        <v>3.7281823756180565</v>
      </c>
      <c r="AK178" s="141"/>
      <c r="AL178" s="143"/>
      <c r="AM178" s="141"/>
      <c r="AN178" s="143"/>
      <c r="AO178" s="143"/>
      <c r="AP178" s="141"/>
    </row>
    <row r="179" spans="1:43" ht="16" thickBot="1" x14ac:dyDescent="0.25">
      <c r="A179" t="s">
        <v>321</v>
      </c>
      <c r="B179" s="183"/>
      <c r="C179" s="184">
        <f t="shared" si="57"/>
        <v>0.12809133756539937</v>
      </c>
      <c r="D179" s="249">
        <f>AH74</f>
        <v>23.698824988741201</v>
      </c>
      <c r="N179" s="194">
        <f t="shared" si="58"/>
        <v>0.13682579178260035</v>
      </c>
      <c r="X179" s="44">
        <f>AH139*C179/(C175+C177+C179)</f>
        <v>20.851401741997812</v>
      </c>
    </row>
    <row r="180" spans="1:43" ht="16" thickBot="1" x14ac:dyDescent="0.25">
      <c r="A180" s="185" t="s">
        <v>67</v>
      </c>
      <c r="B180" s="247">
        <f>SUM(B172:B178)</f>
        <v>1</v>
      </c>
      <c r="C180" s="246">
        <f>SUM(C172:C179)</f>
        <v>1</v>
      </c>
      <c r="D180" s="187">
        <f>SUM(D172:D179)</f>
        <v>185.01504816156154</v>
      </c>
      <c r="E180" s="188"/>
      <c r="F180" s="188"/>
      <c r="G180" s="188"/>
      <c r="H180" s="188"/>
      <c r="I180" s="188"/>
      <c r="J180" s="188"/>
      <c r="K180" s="188"/>
      <c r="L180" s="188"/>
      <c r="M180" s="188"/>
      <c r="N180" s="248">
        <f>SUM(N172:N179)</f>
        <v>0.99999999999999989</v>
      </c>
      <c r="X180" s="44">
        <f>SUM(X172:X179)</f>
        <v>152.39379557275407</v>
      </c>
    </row>
    <row r="181" spans="1:43" ht="16" thickBot="1" x14ac:dyDescent="0.25">
      <c r="AJ181" s="142"/>
      <c r="AK181" s="136"/>
      <c r="AL181" s="136"/>
      <c r="AM181" s="136"/>
      <c r="AN181" s="136"/>
      <c r="AO181" s="136"/>
      <c r="AP181" s="136"/>
      <c r="AQ181" s="136"/>
    </row>
    <row r="182" spans="1:43" ht="49" thickBot="1" x14ac:dyDescent="0.25">
      <c r="A182" s="250" t="s">
        <v>323</v>
      </c>
      <c r="B182" s="185">
        <v>2020</v>
      </c>
      <c r="C182" s="186" t="s">
        <v>282</v>
      </c>
      <c r="D182" s="186" t="s">
        <v>292</v>
      </c>
      <c r="E182" s="186" t="s">
        <v>283</v>
      </c>
      <c r="F182" s="186" t="s">
        <v>284</v>
      </c>
      <c r="G182" s="186" t="s">
        <v>285</v>
      </c>
      <c r="H182" s="186" t="s">
        <v>286</v>
      </c>
      <c r="I182" s="186" t="s">
        <v>287</v>
      </c>
      <c r="J182" s="186" t="s">
        <v>288</v>
      </c>
      <c r="K182" s="186" t="s">
        <v>289</v>
      </c>
      <c r="L182" s="186" t="s">
        <v>290</v>
      </c>
      <c r="M182" s="186" t="s">
        <v>291</v>
      </c>
      <c r="O182" s="186" t="s">
        <v>293</v>
      </c>
      <c r="P182" s="186" t="s">
        <v>294</v>
      </c>
      <c r="Q182" s="186" t="s">
        <v>295</v>
      </c>
      <c r="R182" s="186" t="s">
        <v>296</v>
      </c>
      <c r="S182" s="186" t="s">
        <v>297</v>
      </c>
      <c r="T182" s="186" t="s">
        <v>298</v>
      </c>
      <c r="U182" s="186" t="s">
        <v>299</v>
      </c>
      <c r="V182" s="186" t="s">
        <v>300</v>
      </c>
      <c r="W182" s="186" t="s">
        <v>301</v>
      </c>
      <c r="X182" s="186"/>
      <c r="AK182" s="141"/>
      <c r="AL182" s="143"/>
      <c r="AM182" s="143"/>
      <c r="AN182" s="143"/>
      <c r="AO182" s="143"/>
      <c r="AP182" s="141"/>
      <c r="AQ182" s="143"/>
    </row>
    <row r="183" spans="1:43" x14ac:dyDescent="0.2">
      <c r="A183" t="s">
        <v>324</v>
      </c>
      <c r="B183" s="183">
        <f>B172+B176</f>
        <v>0.54772064805210752</v>
      </c>
      <c r="C183" s="184">
        <f t="shared" ref="C183" si="59">C172+C176</f>
        <v>0.3731900313667228</v>
      </c>
      <c r="D183" s="194">
        <f>N172+N176</f>
        <v>0.38688135227475218</v>
      </c>
      <c r="X183" s="44"/>
    </row>
    <row r="184" spans="1:43" x14ac:dyDescent="0.2">
      <c r="A184" t="s">
        <v>310</v>
      </c>
      <c r="B184" s="183">
        <f>B173</f>
        <v>0.21433790117776957</v>
      </c>
      <c r="C184" s="184">
        <f t="shared" ref="C184" si="60">C173</f>
        <v>0.21349777512665608</v>
      </c>
      <c r="D184" s="194">
        <f>N173</f>
        <v>0.17671212715742701</v>
      </c>
      <c r="X184" s="44"/>
      <c r="AJ184" s="142"/>
      <c r="AK184" s="136"/>
      <c r="AL184" s="136"/>
      <c r="AM184" s="136"/>
      <c r="AN184" s="136"/>
      <c r="AO184" s="136"/>
      <c r="AP184" s="139"/>
    </row>
    <row r="185" spans="1:43" x14ac:dyDescent="0.2">
      <c r="A185" t="s">
        <v>311</v>
      </c>
      <c r="B185" s="183">
        <f>B174</f>
        <v>5.2109631277813095E-2</v>
      </c>
      <c r="C185" s="184">
        <f>C174</f>
        <v>6.2460973695976668E-2</v>
      </c>
      <c r="D185" s="194">
        <f>N174</f>
        <v>5.9539721591516402E-2</v>
      </c>
      <c r="X185" s="44"/>
      <c r="AK185" s="141"/>
      <c r="AL185" s="143"/>
      <c r="AM185" s="141"/>
      <c r="AN185" s="143"/>
      <c r="AO185" s="143"/>
      <c r="AP185" s="141"/>
    </row>
    <row r="186" spans="1:43" x14ac:dyDescent="0.2">
      <c r="A186" s="131" t="s">
        <v>329</v>
      </c>
      <c r="B186" s="183">
        <f>'Demand Breakdown - Ethylene'!C37</f>
        <v>4.2210000000000004E-2</v>
      </c>
      <c r="C186" s="184">
        <f>(AH65*('Demand Breakdown - Ethylene'!C37-'Yearly HC Ethylene'!C178)/(SUM('Yearly HC Ethylene'!C177:C178,C175))+'Yearly HC Ethylene'!AH55)/'Yearly HC Ethylene'!AH84</f>
        <v>4.6320511448729756E-2</v>
      </c>
      <c r="D186" s="194">
        <f>((AH139-AH74)*('Demand Breakdown - Ethylene'!C37-'Yearly HC Ethylene'!N178)/(SUM('Yearly HC Ethylene'!N177:N178,N175))+'Yearly HC Ethylene'!AH115)/('Yearly HC Ethylene'!AH148-AH74)</f>
        <v>5.758719093241374E-2</v>
      </c>
      <c r="X186" s="44"/>
    </row>
    <row r="187" spans="1:43" x14ac:dyDescent="0.2">
      <c r="A187" t="s">
        <v>312</v>
      </c>
      <c r="B187" s="183">
        <f>B175</f>
        <v>3.6272535773636247E-2</v>
      </c>
      <c r="C187" s="184">
        <f>C175</f>
        <v>4.4439336056889496E-2</v>
      </c>
      <c r="D187" s="194">
        <f>N175</f>
        <v>4.7469621739038237E-2</v>
      </c>
      <c r="X187" s="44"/>
      <c r="AJ187" s="142"/>
      <c r="AK187" s="136"/>
      <c r="AL187" s="136"/>
      <c r="AM187" s="136"/>
      <c r="AN187" s="136"/>
      <c r="AO187" s="136"/>
      <c r="AP187" s="136"/>
    </row>
    <row r="188" spans="1:43" x14ac:dyDescent="0.2">
      <c r="A188" t="s">
        <v>248</v>
      </c>
      <c r="B188" s="183">
        <f>B177+B178-B186</f>
        <v>0.10734928371867369</v>
      </c>
      <c r="C188" s="184">
        <f>C177+C178-C186</f>
        <v>0.13200003473962571</v>
      </c>
      <c r="D188" s="194">
        <f>N177+N178-D186</f>
        <v>0.13498419452225197</v>
      </c>
      <c r="X188" s="44"/>
      <c r="AK188" s="141"/>
      <c r="AL188" s="143"/>
      <c r="AM188" s="143"/>
      <c r="AN188" s="143"/>
      <c r="AO188" s="143"/>
      <c r="AP188" s="141"/>
    </row>
    <row r="189" spans="1:43" ht="16" thickBot="1" x14ac:dyDescent="0.25">
      <c r="A189" t="s">
        <v>321</v>
      </c>
      <c r="B189" s="183">
        <f>B179</f>
        <v>0</v>
      </c>
      <c r="C189" s="184">
        <f t="shared" ref="C189" si="61">C179</f>
        <v>0.12809133756539937</v>
      </c>
      <c r="D189" s="194">
        <f>N179</f>
        <v>0.13682579178260035</v>
      </c>
      <c r="X189" s="44"/>
    </row>
    <row r="190" spans="1:43" ht="16" thickBot="1" x14ac:dyDescent="0.25">
      <c r="A190" s="185" t="s">
        <v>67</v>
      </c>
      <c r="B190" s="251">
        <f>SUM(B183:B189)</f>
        <v>1</v>
      </c>
      <c r="C190" s="252">
        <f>SUM(C183:C189)</f>
        <v>1</v>
      </c>
      <c r="D190" s="253">
        <f>SUM(D183:D189)</f>
        <v>0.99999999999999989</v>
      </c>
      <c r="E190" s="188"/>
      <c r="F190" s="188"/>
      <c r="G190" s="188"/>
      <c r="H190" s="188"/>
      <c r="I190" s="188"/>
      <c r="J190" s="188"/>
      <c r="K190" s="188"/>
      <c r="L190" s="188"/>
      <c r="M190" s="188"/>
      <c r="X190" s="44"/>
    </row>
    <row r="191" spans="1:43" ht="16" thickBot="1" x14ac:dyDescent="0.25"/>
    <row r="192" spans="1:43" ht="49" thickBot="1" x14ac:dyDescent="0.25">
      <c r="A192" s="250" t="s">
        <v>333</v>
      </c>
      <c r="B192" s="254">
        <v>2020</v>
      </c>
      <c r="C192" s="186" t="s">
        <v>334</v>
      </c>
      <c r="D192" s="186" t="s">
        <v>282</v>
      </c>
      <c r="E192" s="188"/>
      <c r="F192" s="188"/>
      <c r="G192" s="188"/>
      <c r="H192" s="188"/>
      <c r="I192" s="188"/>
      <c r="J192" s="188"/>
      <c r="K192" s="188"/>
      <c r="L192" s="188"/>
      <c r="M192" s="188"/>
      <c r="N192" s="255" t="s">
        <v>292</v>
      </c>
    </row>
    <row r="193" spans="1:47" x14ac:dyDescent="0.2">
      <c r="A193" t="s">
        <v>321</v>
      </c>
      <c r="B193" s="183">
        <f>B189</f>
        <v>0</v>
      </c>
      <c r="C193" s="183">
        <f>0</f>
        <v>0</v>
      </c>
      <c r="D193" s="184">
        <f>C189</f>
        <v>0.12809133756539937</v>
      </c>
      <c r="N193" s="194">
        <f>D189</f>
        <v>0.13682579178260035</v>
      </c>
    </row>
    <row r="194" spans="1:47" x14ac:dyDescent="0.2">
      <c r="A194" t="s">
        <v>248</v>
      </c>
      <c r="B194" s="183">
        <f>B188</f>
        <v>0.10734928371867369</v>
      </c>
      <c r="C194" s="183">
        <f>'Demand Breakdown - Ethylene'!N68+'Demand Breakdown - Ethylene'!N69-C196</f>
        <v>0.10977903437623246</v>
      </c>
      <c r="D194" s="184">
        <f>C188</f>
        <v>0.13200003473962571</v>
      </c>
      <c r="N194" s="194">
        <f>D188</f>
        <v>0.13498419452225197</v>
      </c>
      <c r="AJ194" s="138"/>
      <c r="AK194" s="139"/>
      <c r="AL194" s="139"/>
      <c r="AM194" s="139"/>
      <c r="AN194" s="139"/>
      <c r="AO194" s="139"/>
      <c r="AP194" s="139"/>
      <c r="AQ194" s="139"/>
      <c r="AR194" s="139"/>
      <c r="AS194" s="139"/>
      <c r="AT194" s="139"/>
      <c r="AU194" s="139"/>
    </row>
    <row r="195" spans="1:47" x14ac:dyDescent="0.2">
      <c r="A195" t="s">
        <v>312</v>
      </c>
      <c r="B195" s="183">
        <f>B187</f>
        <v>3.6272535773636247E-2</v>
      </c>
      <c r="C195" s="183">
        <f>'Demand Breakdown - Ethylene'!N66</f>
        <v>3.5825472334785662E-2</v>
      </c>
      <c r="D195" s="184">
        <f>C187</f>
        <v>4.4439336056889496E-2</v>
      </c>
      <c r="N195" s="194">
        <f>D187</f>
        <v>4.7469621739038237E-2</v>
      </c>
      <c r="AK195" s="140"/>
      <c r="AL195" s="140"/>
      <c r="AM195" s="140"/>
      <c r="AN195" s="140"/>
      <c r="AO195" s="140"/>
      <c r="AP195" s="140"/>
      <c r="AQ195" s="140"/>
      <c r="AR195" s="140"/>
      <c r="AS195" s="140"/>
      <c r="AT195" s="137"/>
      <c r="AU195" s="137"/>
    </row>
    <row r="196" spans="1:47" x14ac:dyDescent="0.2">
      <c r="A196" s="131" t="s">
        <v>329</v>
      </c>
      <c r="B196" s="183">
        <f>B186</f>
        <v>4.2210000000000004E-2</v>
      </c>
      <c r="C196" s="183">
        <f>('Demand Breakdown - Ethylene'!M68*('Demand Breakdown - Ethylene'!C37-'Demand Breakdown - Ethylene'!N69)/('Demand Breakdown - Ethylene'!N68)+'Demand Breakdown - Ethylene'!M69)/'Demand Breakdown - Ethylene'!M70</f>
        <v>4.2210000000000004E-2</v>
      </c>
      <c r="D196" s="184">
        <f>C186</f>
        <v>4.6320511448729756E-2</v>
      </c>
      <c r="N196" s="194">
        <f>D186</f>
        <v>5.758719093241374E-2</v>
      </c>
      <c r="AJ196" s="137"/>
    </row>
    <row r="197" spans="1:47" ht="96" x14ac:dyDescent="0.2">
      <c r="A197" t="s">
        <v>311</v>
      </c>
      <c r="B197" s="183">
        <f>B185</f>
        <v>5.2109631277813095E-2</v>
      </c>
      <c r="C197" s="183">
        <f>'Demand Breakdown - Ethylene'!N65</f>
        <v>5.5128151042719585E-2</v>
      </c>
      <c r="D197" s="184">
        <f>C185</f>
        <v>6.2460973695976668E-2</v>
      </c>
      <c r="N197" s="194">
        <f>D185</f>
        <v>5.9539721591516402E-2</v>
      </c>
      <c r="AJ197" s="138" t="s">
        <v>336</v>
      </c>
      <c r="AK197" s="139" t="s">
        <v>1</v>
      </c>
      <c r="AL197" s="139" t="s">
        <v>180</v>
      </c>
      <c r="AM197" s="139" t="s">
        <v>181</v>
      </c>
      <c r="AN197" s="139" t="s">
        <v>337</v>
      </c>
      <c r="AO197" s="263" t="s">
        <v>308</v>
      </c>
      <c r="AP197" s="139" t="s">
        <v>338</v>
      </c>
      <c r="AQ197" s="139" t="s">
        <v>339</v>
      </c>
      <c r="AR197" s="139" t="s">
        <v>340</v>
      </c>
      <c r="AS197" s="139" t="s">
        <v>341</v>
      </c>
      <c r="AT197" s="139" t="s">
        <v>342</v>
      </c>
      <c r="AU197" s="139" t="s">
        <v>184</v>
      </c>
    </row>
    <row r="198" spans="1:47" x14ac:dyDescent="0.2">
      <c r="A198" t="s">
        <v>310</v>
      </c>
      <c r="B198" s="183">
        <f>B184</f>
        <v>0.21433790117776957</v>
      </c>
      <c r="C198" s="183">
        <f>'Demand Breakdown - Ethylene'!N64</f>
        <v>0.22675370944984116</v>
      </c>
      <c r="D198" s="184">
        <f>C184</f>
        <v>0.21349777512665608</v>
      </c>
      <c r="N198" s="194">
        <f>D184</f>
        <v>0.17671212715742701</v>
      </c>
      <c r="AK198" s="140">
        <f>D4</f>
        <v>162.69230769230768</v>
      </c>
      <c r="AL198" s="140">
        <f>AH4-D4</f>
        <v>92.307692307692321</v>
      </c>
      <c r="AM198" s="140">
        <f>AH4</f>
        <v>255</v>
      </c>
      <c r="AN198" s="140">
        <f>AH83-AH82-AH81</f>
        <v>-69.984951838438462</v>
      </c>
      <c r="AO198" s="140">
        <f>SUM(AM198:AN198)</f>
        <v>185.01504816156154</v>
      </c>
      <c r="AP198" s="140">
        <f>AH95-AH92</f>
        <v>-10.087453917259644</v>
      </c>
      <c r="AQ198" s="140">
        <f>AH127-AH122</f>
        <v>-12.570469366189055</v>
      </c>
      <c r="AR198" s="140">
        <f>AH105-AH102</f>
        <v>-2.4827358959029091</v>
      </c>
      <c r="AS198" s="140">
        <f>AH115-AH112</f>
        <v>-0.14689173830354463</v>
      </c>
      <c r="AT198" s="44">
        <f>AH139-AH134</f>
        <v>-7.333701671152312</v>
      </c>
      <c r="AU198" s="137" t="s">
        <v>167</v>
      </c>
    </row>
    <row r="199" spans="1:47" ht="16" thickBot="1" x14ac:dyDescent="0.25">
      <c r="A199" t="s">
        <v>324</v>
      </c>
      <c r="B199" s="183">
        <f>B183</f>
        <v>0.54772064805210752</v>
      </c>
      <c r="C199" s="183">
        <f>'Demand Breakdown - Ethylene'!N63+'Demand Breakdown - Ethylene'!N67</f>
        <v>0.53030363279642112</v>
      </c>
      <c r="D199" s="184">
        <f>C183</f>
        <v>0.3731900313667228</v>
      </c>
      <c r="N199" s="194">
        <f>D183</f>
        <v>0.38688135227475218</v>
      </c>
      <c r="AK199" s="141"/>
      <c r="AL199" s="143"/>
      <c r="AM199" s="141"/>
      <c r="AN199" s="143"/>
      <c r="AO199" s="143"/>
      <c r="AP199" s="141"/>
    </row>
    <row r="200" spans="1:47" ht="16" thickBot="1" x14ac:dyDescent="0.25">
      <c r="A200" s="185" t="s">
        <v>67</v>
      </c>
      <c r="B200" s="251">
        <f>SUM(B193:B199)</f>
        <v>1</v>
      </c>
      <c r="C200" s="251">
        <f>SUM(C193:C199)</f>
        <v>1</v>
      </c>
      <c r="D200" s="252">
        <f>SUM(D193:D199)</f>
        <v>0.99999999999999989</v>
      </c>
      <c r="N200" s="253">
        <f>SUM(N193:N199)</f>
        <v>0.99999999999999989</v>
      </c>
    </row>
    <row r="202" spans="1:47" x14ac:dyDescent="0.2">
      <c r="AJ202" s="142"/>
      <c r="AK202" s="136"/>
      <c r="AL202" s="136"/>
      <c r="AM202" s="136"/>
      <c r="AN202" s="136"/>
      <c r="AO202" s="136"/>
      <c r="AP202" s="136"/>
      <c r="AQ202" s="136"/>
    </row>
    <row r="203" spans="1:47" x14ac:dyDescent="0.2">
      <c r="AK203" s="141"/>
      <c r="AL203" s="143"/>
      <c r="AM203" s="143"/>
      <c r="AN203" s="143"/>
      <c r="AO203" s="143"/>
      <c r="AP203" s="141"/>
      <c r="AQ203" s="143"/>
    </row>
    <row r="205" spans="1:47" x14ac:dyDescent="0.2">
      <c r="AJ205" s="142"/>
      <c r="AK205" s="136"/>
      <c r="AL205" s="136"/>
      <c r="AM205" s="136"/>
      <c r="AN205" s="136"/>
      <c r="AO205" s="136"/>
      <c r="AP205" s="139"/>
    </row>
    <row r="206" spans="1:47" x14ac:dyDescent="0.2">
      <c r="AK206" s="141"/>
      <c r="AL206" s="143"/>
      <c r="AM206" s="141"/>
      <c r="AN206" s="143"/>
      <c r="AO206" s="143"/>
      <c r="AP206" s="141"/>
    </row>
    <row r="208" spans="1:47" x14ac:dyDescent="0.2">
      <c r="AJ208" s="142"/>
      <c r="AK208" s="136"/>
      <c r="AL208" s="136"/>
      <c r="AM208" s="136"/>
      <c r="AN208" s="136"/>
      <c r="AO208" s="136"/>
      <c r="AP208" s="136"/>
    </row>
    <row r="209" spans="1:42" x14ac:dyDescent="0.2">
      <c r="AK209" s="141"/>
      <c r="AL209" s="143"/>
      <c r="AM209" s="143"/>
      <c r="AN209" s="143"/>
      <c r="AO209" s="143"/>
      <c r="AP209" s="141"/>
    </row>
    <row r="212" spans="1:42" x14ac:dyDescent="0.2">
      <c r="A212" s="1" t="s">
        <v>357</v>
      </c>
      <c r="D212" s="1">
        <v>2020</v>
      </c>
      <c r="E212" s="1">
        <f>D212+1</f>
        <v>2021</v>
      </c>
      <c r="F212" s="1">
        <f t="shared" ref="F212:Q212" si="62">E212+1</f>
        <v>2022</v>
      </c>
      <c r="G212" s="1">
        <f t="shared" si="62"/>
        <v>2023</v>
      </c>
      <c r="H212" s="1">
        <f t="shared" si="62"/>
        <v>2024</v>
      </c>
      <c r="I212" s="1">
        <f t="shared" si="62"/>
        <v>2025</v>
      </c>
      <c r="J212" s="1">
        <f t="shared" si="62"/>
        <v>2026</v>
      </c>
      <c r="K212" s="1">
        <f t="shared" si="62"/>
        <v>2027</v>
      </c>
      <c r="L212" s="1">
        <f t="shared" si="62"/>
        <v>2028</v>
      </c>
      <c r="M212" s="1">
        <f t="shared" si="62"/>
        <v>2029</v>
      </c>
      <c r="N212" s="1">
        <f t="shared" si="62"/>
        <v>2030</v>
      </c>
      <c r="O212" s="1">
        <f t="shared" si="62"/>
        <v>2031</v>
      </c>
      <c r="P212" s="1">
        <f t="shared" si="62"/>
        <v>2032</v>
      </c>
      <c r="Q212" s="1">
        <f t="shared" si="62"/>
        <v>2033</v>
      </c>
      <c r="R212" s="1">
        <f>Q212+1</f>
        <v>2034</v>
      </c>
      <c r="S212" s="1">
        <f t="shared" ref="S212:AB212" si="63">R212+1</f>
        <v>2035</v>
      </c>
      <c r="T212" s="1">
        <f t="shared" si="63"/>
        <v>2036</v>
      </c>
      <c r="U212" s="1">
        <f t="shared" si="63"/>
        <v>2037</v>
      </c>
      <c r="V212" s="1">
        <f t="shared" si="63"/>
        <v>2038</v>
      </c>
      <c r="W212" s="1">
        <f t="shared" si="63"/>
        <v>2039</v>
      </c>
      <c r="X212" s="1">
        <f t="shared" si="63"/>
        <v>2040</v>
      </c>
      <c r="Y212" s="1">
        <f t="shared" si="63"/>
        <v>2041</v>
      </c>
      <c r="Z212" s="1">
        <f t="shared" si="63"/>
        <v>2042</v>
      </c>
      <c r="AA212" s="1">
        <f t="shared" si="63"/>
        <v>2043</v>
      </c>
      <c r="AB212" s="1">
        <f t="shared" si="63"/>
        <v>2044</v>
      </c>
      <c r="AC212" s="1">
        <f>AB212+1</f>
        <v>2045</v>
      </c>
      <c r="AD212" s="1">
        <f t="shared" ref="AD212:AF212" si="64">AC212+1</f>
        <v>2046</v>
      </c>
      <c r="AE212" s="1">
        <f t="shared" si="64"/>
        <v>2047</v>
      </c>
      <c r="AF212" s="1">
        <f t="shared" si="64"/>
        <v>2048</v>
      </c>
      <c r="AG212" s="1">
        <f>AF212+1</f>
        <v>2049</v>
      </c>
      <c r="AH212" s="1">
        <f t="shared" ref="AH212" si="65">AG212+1</f>
        <v>2050</v>
      </c>
      <c r="AK212" s="141"/>
      <c r="AL212" s="143"/>
      <c r="AM212" s="143"/>
      <c r="AN212" s="143"/>
      <c r="AO212" s="143"/>
      <c r="AP212" s="141"/>
    </row>
    <row r="213" spans="1:42" x14ac:dyDescent="0.2">
      <c r="C213" t="s">
        <v>168</v>
      </c>
      <c r="D213" s="44">
        <f t="shared" ref="D213:AH213" si="66">D81</f>
        <v>0</v>
      </c>
      <c r="E213" s="44">
        <f t="shared" si="66"/>
        <v>0.85244366053895815</v>
      </c>
      <c r="F213" s="44">
        <f t="shared" si="66"/>
        <v>1.7391480325644026</v>
      </c>
      <c r="G213" s="44">
        <f t="shared" si="66"/>
        <v>2.6612035354352193</v>
      </c>
      <c r="H213" s="44">
        <f t="shared" si="66"/>
        <v>3.6197328325532796</v>
      </c>
      <c r="I213" s="44">
        <f t="shared" si="66"/>
        <v>4.6158917556164401</v>
      </c>
      <c r="J213" s="44">
        <f t="shared" si="66"/>
        <v>5.6434227587169081</v>
      </c>
      <c r="K213" s="44">
        <f t="shared" si="66"/>
        <v>6.7081095117331042</v>
      </c>
      <c r="L213" s="44">
        <f t="shared" si="66"/>
        <v>7.8110226913655527</v>
      </c>
      <c r="M213" s="44">
        <f t="shared" si="66"/>
        <v>8.9532613793580857</v>
      </c>
      <c r="N213" s="44">
        <f t="shared" si="66"/>
        <v>10.135953787219638</v>
      </c>
      <c r="O213" s="44">
        <f t="shared" si="66"/>
        <v>12.13429788743368</v>
      </c>
      <c r="P213" s="44">
        <f t="shared" si="66"/>
        <v>14.186719582246729</v>
      </c>
      <c r="Q213" s="44">
        <f t="shared" si="66"/>
        <v>16.2943591050192</v>
      </c>
      <c r="R213" s="44">
        <f t="shared" si="66"/>
        <v>18.458378502748253</v>
      </c>
      <c r="S213" s="44">
        <f t="shared" si="66"/>
        <v>20.679962033824889</v>
      </c>
      <c r="T213" s="44">
        <f t="shared" si="66"/>
        <v>22.954551542926836</v>
      </c>
      <c r="U213" s="44">
        <f t="shared" si="66"/>
        <v>25.288279551380374</v>
      </c>
      <c r="V213" s="44">
        <f t="shared" si="66"/>
        <v>27.682371782227893</v>
      </c>
      <c r="W213" s="44">
        <f t="shared" si="66"/>
        <v>30.138077211057443</v>
      </c>
      <c r="X213" s="44">
        <f t="shared" si="66"/>
        <v>32.656668488525511</v>
      </c>
      <c r="Y213" s="44">
        <f t="shared" si="66"/>
        <v>35.4083536041095</v>
      </c>
      <c r="Z213" s="44">
        <f t="shared" si="66"/>
        <v>38.23020227920739</v>
      </c>
      <c r="AA213" s="44">
        <f t="shared" si="66"/>
        <v>41.123648817907757</v>
      </c>
      <c r="AB213" s="44">
        <f t="shared" si="66"/>
        <v>44.090154025463193</v>
      </c>
      <c r="AC213" s="44">
        <f t="shared" si="66"/>
        <v>47.131205665423309</v>
      </c>
      <c r="AD213" s="44">
        <f t="shared" si="66"/>
        <v>50.239870569625083</v>
      </c>
      <c r="AE213" s="44">
        <f t="shared" si="66"/>
        <v>53.42529311000154</v>
      </c>
      <c r="AF213" s="44">
        <f t="shared" si="66"/>
        <v>56.689021111212675</v>
      </c>
      <c r="AG213" s="44">
        <f t="shared" si="66"/>
        <v>60.032630788341748</v>
      </c>
      <c r="AH213" s="44">
        <f t="shared" si="66"/>
        <v>63.457727234126153</v>
      </c>
    </row>
    <row r="214" spans="1:42" x14ac:dyDescent="0.2">
      <c r="C214" t="s">
        <v>172</v>
      </c>
      <c r="D214" s="44">
        <f t="shared" ref="D214:AH214" si="67">D82</f>
        <v>0</v>
      </c>
      <c r="E214" s="44">
        <f t="shared" si="67"/>
        <v>0.65586546087035691</v>
      </c>
      <c r="F214" s="44">
        <f t="shared" si="67"/>
        <v>1.3336354841942164</v>
      </c>
      <c r="G214" s="44">
        <f t="shared" si="67"/>
        <v>2.033895442594122</v>
      </c>
      <c r="H214" s="44">
        <f t="shared" si="67"/>
        <v>2.7572456320803265</v>
      </c>
      <c r="I214" s="44">
        <f t="shared" si="67"/>
        <v>3.5043016537563205</v>
      </c>
      <c r="J214" s="44">
        <f t="shared" si="67"/>
        <v>4.2732123067170384</v>
      </c>
      <c r="K214" s="44">
        <f t="shared" si="67"/>
        <v>5.0661445286428286</v>
      </c>
      <c r="L214" s="44">
        <f t="shared" si="67"/>
        <v>5.8836987368933977</v>
      </c>
      <c r="M214" s="44">
        <f t="shared" si="67"/>
        <v>6.7264893733031919</v>
      </c>
      <c r="N214" s="44">
        <f t="shared" si="67"/>
        <v>7.595145225804643</v>
      </c>
      <c r="O214" s="44">
        <f t="shared" si="67"/>
        <v>8.4714958167382566</v>
      </c>
      <c r="P214" s="44">
        <f t="shared" si="67"/>
        <v>9.0494680959378364</v>
      </c>
      <c r="Q214" s="44">
        <f t="shared" si="67"/>
        <v>10.001615517123765</v>
      </c>
      <c r="R214" s="44">
        <f t="shared" si="67"/>
        <v>10.97866313079219</v>
      </c>
      <c r="S214" s="44">
        <f t="shared" si="67"/>
        <v>11.981128252096731</v>
      </c>
      <c r="T214" s="44">
        <f t="shared" si="67"/>
        <v>13.007616329178468</v>
      </c>
      <c r="U214" s="44">
        <f t="shared" si="67"/>
        <v>14.060298680782333</v>
      </c>
      <c r="V214" s="44">
        <f t="shared" si="67"/>
        <v>15.139713379509681</v>
      </c>
      <c r="W214" s="44">
        <f t="shared" si="67"/>
        <v>16.246408644405928</v>
      </c>
      <c r="X214" s="44">
        <f t="shared" si="67"/>
        <v>17.380943024874131</v>
      </c>
      <c r="Y214" s="44">
        <f t="shared" si="67"/>
        <v>19.694587489601123</v>
      </c>
      <c r="Z214" s="44">
        <f t="shared" si="67"/>
        <v>20.899200064422857</v>
      </c>
      <c r="AA214" s="44">
        <f t="shared" si="67"/>
        <v>22.133291291611283</v>
      </c>
      <c r="AB214" s="44">
        <f t="shared" si="67"/>
        <v>23.397456852448531</v>
      </c>
      <c r="AC214" s="44">
        <f t="shared" si="67"/>
        <v>24.692303586977886</v>
      </c>
      <c r="AD214" s="44">
        <f t="shared" si="67"/>
        <v>26.015633577849879</v>
      </c>
      <c r="AE214" s="44">
        <f t="shared" si="67"/>
        <v>27.370610355880629</v>
      </c>
      <c r="AF214" s="44">
        <f t="shared" si="67"/>
        <v>28.757867587017373</v>
      </c>
      <c r="AG214" s="44">
        <f t="shared" si="67"/>
        <v>30.178050768819951</v>
      </c>
      <c r="AH214" s="44">
        <f t="shared" si="67"/>
        <v>31.63181744464287</v>
      </c>
    </row>
    <row r="215" spans="1:42" x14ac:dyDescent="0.2">
      <c r="C215" t="s">
        <v>324</v>
      </c>
      <c r="D215" s="44">
        <f t="shared" ref="D215:AH215" si="68">D33</f>
        <v>89.109936202323638</v>
      </c>
      <c r="E215" s="44">
        <f t="shared" si="68"/>
        <v>89.392388801173141</v>
      </c>
      <c r="F215" s="44">
        <f t="shared" si="68"/>
        <v>89.665284525294794</v>
      </c>
      <c r="G215" s="44">
        <f t="shared" si="68"/>
        <v>89.92830042148681</v>
      </c>
      <c r="H215" s="44">
        <f t="shared" si="68"/>
        <v>90.181106367005242</v>
      </c>
      <c r="I215" s="44">
        <f t="shared" si="68"/>
        <v>90.423364932115589</v>
      </c>
      <c r="J215" s="44">
        <f t="shared" si="68"/>
        <v>90.654731240201087</v>
      </c>
      <c r="K215" s="44">
        <f t="shared" si="68"/>
        <v>90.874852825386284</v>
      </c>
      <c r="L215" s="44">
        <f t="shared" si="68"/>
        <v>91.083369487633576</v>
      </c>
      <c r="M215" s="44">
        <f t="shared" si="68"/>
        <v>91.279913145270029</v>
      </c>
      <c r="N215" s="44">
        <f t="shared" si="68"/>
        <v>91.464107684900725</v>
      </c>
      <c r="O215" s="44">
        <f t="shared" si="68"/>
        <v>90.841372511137351</v>
      </c>
      <c r="P215" s="44">
        <f t="shared" si="68"/>
        <v>90.504702163027559</v>
      </c>
      <c r="Q215" s="44">
        <f t="shared" si="68"/>
        <v>89.781155035045174</v>
      </c>
      <c r="R215" s="44">
        <f t="shared" si="68"/>
        <v>89.019609665855342</v>
      </c>
      <c r="S215" s="44">
        <f t="shared" si="68"/>
        <v>88.219143919941331</v>
      </c>
      <c r="T215" s="44">
        <f t="shared" si="68"/>
        <v>87.378817289647216</v>
      </c>
      <c r="U215" s="44">
        <f t="shared" si="68"/>
        <v>86.497670561496562</v>
      </c>
      <c r="V215" s="44">
        <f t="shared" si="68"/>
        <v>85.574725476768918</v>
      </c>
      <c r="W215" s="44">
        <f t="shared" si="68"/>
        <v>84.608984386238845</v>
      </c>
      <c r="X215" s="44">
        <f t="shared" si="68"/>
        <v>83.599429898980475</v>
      </c>
      <c r="Y215" s="44">
        <f t="shared" si="68"/>
        <v>81.346867984957996</v>
      </c>
      <c r="Z215" s="44">
        <f t="shared" si="68"/>
        <v>80.184859626809725</v>
      </c>
      <c r="AA215" s="44">
        <f t="shared" si="68"/>
        <v>78.974371048508246</v>
      </c>
      <c r="AB215" s="44">
        <f t="shared" si="68"/>
        <v>77.714272557527494</v>
      </c>
      <c r="AC215" s="44">
        <f t="shared" si="68"/>
        <v>76.403412332073742</v>
      </c>
      <c r="AD215" s="44">
        <f t="shared" si="68"/>
        <v>75.040616022886041</v>
      </c>
      <c r="AE215" s="44">
        <f t="shared" si="68"/>
        <v>73.624686348223975</v>
      </c>
      <c r="AF215" s="44">
        <f t="shared" si="68"/>
        <v>72.154402681930904</v>
      </c>
      <c r="AG215" s="44">
        <f t="shared" si="68"/>
        <v>70.628520634457345</v>
      </c>
      <c r="AH215" s="44">
        <f t="shared" si="68"/>
        <v>69.045771626728879</v>
      </c>
    </row>
    <row r="216" spans="1:42" x14ac:dyDescent="0.2">
      <c r="C216" t="s">
        <v>310</v>
      </c>
      <c r="D216" s="44">
        <f t="shared" ref="D216:AH216" si="69">D43</f>
        <v>34.871127768537121</v>
      </c>
      <c r="E216" s="44">
        <f t="shared" si="69"/>
        <v>35.093105379494368</v>
      </c>
      <c r="F216" s="44">
        <f t="shared" si="69"/>
        <v>35.31255247329905</v>
      </c>
      <c r="G216" s="44">
        <f t="shared" si="69"/>
        <v>35.529318860838416</v>
      </c>
      <c r="H216" s="44">
        <f t="shared" si="69"/>
        <v>35.743249977889334</v>
      </c>
      <c r="I216" s="44">
        <f t="shared" si="69"/>
        <v>35.954186779769202</v>
      </c>
      <c r="J216" s="44">
        <f t="shared" si="69"/>
        <v>36.161965633669382</v>
      </c>
      <c r="K216" s="44">
        <f t="shared" si="69"/>
        <v>36.366418208622818</v>
      </c>
      <c r="L216" s="44">
        <f t="shared" si="69"/>
        <v>36.56737136305653</v>
      </c>
      <c r="M216" s="44">
        <f t="shared" si="69"/>
        <v>36.764647029878709</v>
      </c>
      <c r="N216" s="44">
        <f t="shared" si="69"/>
        <v>36.958062099048902</v>
      </c>
      <c r="O216" s="44">
        <f t="shared" si="69"/>
        <v>37.14742829757926</v>
      </c>
      <c r="P216" s="44">
        <f t="shared" si="69"/>
        <v>37.332552066913017</v>
      </c>
      <c r="Q216" s="44">
        <f t="shared" si="69"/>
        <v>37.513234437626124</v>
      </c>
      <c r="R216" s="44">
        <f t="shared" si="69"/>
        <v>37.689270901396142</v>
      </c>
      <c r="S216" s="44">
        <f t="shared" si="69"/>
        <v>37.86045128018187</v>
      </c>
      <c r="T216" s="44">
        <f t="shared" si="69"/>
        <v>38.026559592555792</v>
      </c>
      <c r="U216" s="44">
        <f t="shared" si="69"/>
        <v>38.187373917130465</v>
      </c>
      <c r="V216" s="44">
        <f t="shared" si="69"/>
        <v>38.342666253018429</v>
      </c>
      <c r="W216" s="44">
        <f t="shared" si="69"/>
        <v>38.492202377264533</v>
      </c>
      <c r="X216" s="44">
        <f t="shared" si="69"/>
        <v>38.635741699187882</v>
      </c>
      <c r="Y216" s="44">
        <f t="shared" si="69"/>
        <v>38.757294317736132</v>
      </c>
      <c r="Z216" s="44">
        <f t="shared" si="69"/>
        <v>38.871813995963947</v>
      </c>
      <c r="AA216" s="44">
        <f t="shared" si="69"/>
        <v>38.979026485193693</v>
      </c>
      <c r="AB216" s="44">
        <f t="shared" si="69"/>
        <v>39.078650244812408</v>
      </c>
      <c r="AC216" s="44">
        <f t="shared" si="69"/>
        <v>39.170396273603941</v>
      </c>
      <c r="AD216" s="44">
        <f t="shared" si="69"/>
        <v>39.253967937453638</v>
      </c>
      <c r="AE216" s="44">
        <f t="shared" si="69"/>
        <v>39.329060793351154</v>
      </c>
      <c r="AF216" s="44">
        <f t="shared" si="69"/>
        <v>39.395362409615259</v>
      </c>
      <c r="AG216" s="44">
        <f t="shared" si="69"/>
        <v>39.452552182263062</v>
      </c>
      <c r="AH216" s="44">
        <f t="shared" si="69"/>
        <v>39.50030114744451</v>
      </c>
    </row>
    <row r="217" spans="1:42" x14ac:dyDescent="0.2">
      <c r="C217" t="s">
        <v>311</v>
      </c>
      <c r="D217" s="44">
        <f t="shared" ref="D217:AH217" si="70">D19</f>
        <v>8.4778361655826675</v>
      </c>
      <c r="E217" s="44">
        <f t="shared" si="70"/>
        <v>8.6072937226427388</v>
      </c>
      <c r="F217" s="44">
        <f t="shared" si="70"/>
        <v>8.7386858660291455</v>
      </c>
      <c r="G217" s="44">
        <f t="shared" si="70"/>
        <v>8.8720407642500625</v>
      </c>
      <c r="H217" s="44">
        <f t="shared" si="70"/>
        <v>9.0073869827220996</v>
      </c>
      <c r="I217" s="44">
        <f t="shared" si="70"/>
        <v>9.1447534891219284</v>
      </c>
      <c r="J217" s="44">
        <f t="shared" si="70"/>
        <v>9.2841696588056024</v>
      </c>
      <c r="K217" s="44">
        <f t="shared" si="70"/>
        <v>9.4256652802962808</v>
      </c>
      <c r="L217" s="44">
        <f t="shared" si="70"/>
        <v>9.5692705608411881</v>
      </c>
      <c r="M217" s="44">
        <f t="shared" si="70"/>
        <v>9.7150161320385298</v>
      </c>
      <c r="N217" s="44">
        <f t="shared" si="70"/>
        <v>9.8629330555352155</v>
      </c>
      <c r="O217" s="44">
        <f t="shared" si="70"/>
        <v>9.9877468668196858</v>
      </c>
      <c r="P217" s="44">
        <f t="shared" si="70"/>
        <v>10.113620836464856</v>
      </c>
      <c r="Q217" s="44">
        <f t="shared" si="70"/>
        <v>10.240553225447391</v>
      </c>
      <c r="R217" s="44">
        <f t="shared" si="70"/>
        <v>10.368541967254757</v>
      </c>
      <c r="S217" s="44">
        <f t="shared" si="70"/>
        <v>10.49758465904109</v>
      </c>
      <c r="T217" s="44">
        <f t="shared" si="70"/>
        <v>10.627678552626778</v>
      </c>
      <c r="U217" s="44">
        <f t="shared" si="70"/>
        <v>10.758820545340248</v>
      </c>
      <c r="V217" s="44">
        <f t="shared" si="70"/>
        <v>10.891007170700325</v>
      </c>
      <c r="W217" s="44">
        <f t="shared" si="70"/>
        <v>11.024234588937659</v>
      </c>
      <c r="X217" s="44">
        <f t="shared" si="70"/>
        <v>11.158498577353665</v>
      </c>
      <c r="Y217" s="44">
        <f t="shared" si="70"/>
        <v>11.207184719226293</v>
      </c>
      <c r="Z217" s="44">
        <f t="shared" si="70"/>
        <v>11.254045431998277</v>
      </c>
      <c r="AA217" s="44">
        <f t="shared" si="70"/>
        <v>11.299023605266882</v>
      </c>
      <c r="AB217" s="44">
        <f t="shared" si="70"/>
        <v>11.342061435227155</v>
      </c>
      <c r="AC217" s="44">
        <f t="shared" si="70"/>
        <v>11.383100436610349</v>
      </c>
      <c r="AD217" s="44">
        <f t="shared" si="70"/>
        <v>11.422081455666676</v>
      </c>
      <c r="AE217" s="44">
        <f t="shared" si="70"/>
        <v>11.458944684233799</v>
      </c>
      <c r="AF217" s="44">
        <f t="shared" si="70"/>
        <v>11.493629674933839</v>
      </c>
      <c r="AG217" s="44">
        <f t="shared" si="70"/>
        <v>11.526075357542979</v>
      </c>
      <c r="AH217" s="44">
        <f t="shared" si="70"/>
        <v>11.556220056579152</v>
      </c>
    </row>
    <row r="218" spans="1:42" x14ac:dyDescent="0.2">
      <c r="C218" s="131" t="s">
        <v>320</v>
      </c>
      <c r="D218" s="44">
        <f t="shared" ref="D218:AH218" si="71">D55</f>
        <v>3.4336211538461541</v>
      </c>
      <c r="E218" s="44">
        <f t="shared" si="71"/>
        <v>3.4515637128666348</v>
      </c>
      <c r="F218" s="44">
        <f t="shared" si="71"/>
        <v>3.4687456324371291</v>
      </c>
      <c r="G218" s="44">
        <f t="shared" si="71"/>
        <v>3.4851270530322105</v>
      </c>
      <c r="H218" s="44">
        <f t="shared" si="71"/>
        <v>3.5006667764683801</v>
      </c>
      <c r="I218" s="44">
        <f t="shared" si="71"/>
        <v>3.5153222272584816</v>
      </c>
      <c r="J218" s="44">
        <f t="shared" si="71"/>
        <v>3.5290494129333454</v>
      </c>
      <c r="K218" s="44">
        <f t="shared" si="71"/>
        <v>3.5418028833043316</v>
      </c>
      <c r="L218" s="44">
        <f t="shared" si="71"/>
        <v>3.553535688639796</v>
      </c>
      <c r="M218" s="44">
        <f t="shared" si="71"/>
        <v>3.5641993367278131</v>
      </c>
      <c r="N218" s="44">
        <f t="shared" si="71"/>
        <v>3.5737437487968373</v>
      </c>
      <c r="O218" s="44">
        <f t="shared" si="71"/>
        <v>3.6017529390106477</v>
      </c>
      <c r="P218" s="44">
        <f t="shared" si="71"/>
        <v>3.6293624942202189</v>
      </c>
      <c r="Q218" s="44">
        <f t="shared" si="71"/>
        <v>3.6565432777024882</v>
      </c>
      <c r="R218" s="44">
        <f t="shared" si="71"/>
        <v>3.6832651052310617</v>
      </c>
      <c r="S218" s="44">
        <f t="shared" si="71"/>
        <v>3.7094967139303692</v>
      </c>
      <c r="T218" s="44">
        <f t="shared" si="71"/>
        <v>3.7352057302836403</v>
      </c>
      <c r="U218" s="44">
        <f t="shared" si="71"/>
        <v>3.7603586372729056</v>
      </c>
      <c r="V218" s="44">
        <f t="shared" si="71"/>
        <v>3.7849207406286651</v>
      </c>
      <c r="W218" s="44">
        <f t="shared" si="71"/>
        <v>3.8088561341663283</v>
      </c>
      <c r="X218" s="44">
        <f t="shared" si="71"/>
        <v>3.8321276641859563</v>
      </c>
      <c r="Y218" s="44">
        <f t="shared" si="71"/>
        <v>3.8427439325900599</v>
      </c>
      <c r="Z218" s="44">
        <f t="shared" si="71"/>
        <v>3.8521161159672284</v>
      </c>
      <c r="AA218" s="44">
        <f t="shared" si="71"/>
        <v>3.860187280971966</v>
      </c>
      <c r="AB218" s="44">
        <f t="shared" si="71"/>
        <v>3.8668986516997612</v>
      </c>
      <c r="AC218" s="44">
        <f t="shared" si="71"/>
        <v>3.872189557407216</v>
      </c>
      <c r="AD218" s="44">
        <f t="shared" si="71"/>
        <v>3.8759973788489832</v>
      </c>
      <c r="AE218" s="44">
        <f t="shared" si="71"/>
        <v>3.8782574931964882</v>
      </c>
      <c r="AF218" s="44">
        <f t="shared" si="71"/>
        <v>3.8789032175025167</v>
      </c>
      <c r="AG218" s="44">
        <f t="shared" si="71"/>
        <v>3.8778657506748981</v>
      </c>
      <c r="AH218" s="44">
        <f t="shared" si="71"/>
        <v>3.8750741139216012</v>
      </c>
    </row>
    <row r="219" spans="1:42" x14ac:dyDescent="0.2">
      <c r="C219" t="s">
        <v>321</v>
      </c>
      <c r="D219" s="44">
        <f t="shared" ref="D219:AH219" si="72">D74</f>
        <v>0</v>
      </c>
      <c r="E219" s="44">
        <f t="shared" si="72"/>
        <v>0.67110171196554103</v>
      </c>
      <c r="F219" s="44">
        <f t="shared" si="72"/>
        <v>0.75796752501421338</v>
      </c>
      <c r="G219" s="44">
        <f t="shared" si="72"/>
        <v>0.85616184156287534</v>
      </c>
      <c r="H219" s="44">
        <f t="shared" si="72"/>
        <v>0.9671713517084386</v>
      </c>
      <c r="I219" s="44">
        <f t="shared" si="72"/>
        <v>1.0926788620857466</v>
      </c>
      <c r="J219" s="44">
        <f t="shared" si="72"/>
        <v>1.2345892759355666</v>
      </c>
      <c r="K219" s="44">
        <f t="shared" si="72"/>
        <v>1.3950590265859308</v>
      </c>
      <c r="L219" s="44">
        <f t="shared" si="72"/>
        <v>1.5765294246538997</v>
      </c>
      <c r="M219" s="44">
        <f t="shared" si="72"/>
        <v>1.7817644407638649</v>
      </c>
      <c r="N219" s="44">
        <f t="shared" si="72"/>
        <v>2.0138935152958402</v>
      </c>
      <c r="O219" s="44">
        <f t="shared" si="72"/>
        <v>2.2764600657252894</v>
      </c>
      <c r="P219" s="44">
        <f t="shared" si="72"/>
        <v>2.5734764517453481</v>
      </c>
      <c r="Q219" s="44">
        <f t="shared" si="72"/>
        <v>2.9094862599913314</v>
      </c>
      <c r="R219" s="44">
        <f t="shared" si="72"/>
        <v>3.2896348854242845</v>
      </c>
      <c r="S219" s="44">
        <f t="shared" si="72"/>
        <v>3.7197495171000581</v>
      </c>
      <c r="T219" s="44">
        <f t="shared" si="72"/>
        <v>4.2064297842214451</v>
      </c>
      <c r="U219" s="44">
        <f t="shared" si="72"/>
        <v>4.7571504863910397</v>
      </c>
      <c r="V219" s="44">
        <f t="shared" si="72"/>
        <v>5.3803780225130033</v>
      </c>
      <c r="W219" s="44">
        <f t="shared" si="72"/>
        <v>6.0857023488525108</v>
      </c>
      <c r="X219" s="44">
        <f t="shared" si="72"/>
        <v>6.8839865417768289</v>
      </c>
      <c r="Y219" s="44">
        <f t="shared" si="72"/>
        <v>7.7875363185562083</v>
      </c>
      <c r="Z219" s="44">
        <f t="shared" si="72"/>
        <v>8.8102921847018152</v>
      </c>
      <c r="AA219" s="44">
        <f t="shared" si="72"/>
        <v>9.9680472336598847</v>
      </c>
      <c r="AB219" s="44">
        <f t="shared" si="72"/>
        <v>11.27869402993422</v>
      </c>
      <c r="AC219" s="44">
        <f t="shared" si="72"/>
        <v>12.762504466303872</v>
      </c>
      <c r="AD219" s="44">
        <f t="shared" si="72"/>
        <v>14.442447007032245</v>
      </c>
      <c r="AE219" s="44">
        <f t="shared" si="72"/>
        <v>16.34454632010209</v>
      </c>
      <c r="AF219" s="44">
        <f t="shared" si="72"/>
        <v>18.498290971941969</v>
      </c>
      <c r="AG219" s="44">
        <f t="shared" si="72"/>
        <v>20.937095618479546</v>
      </c>
      <c r="AH219" s="44">
        <f t="shared" si="72"/>
        <v>23.698824988741201</v>
      </c>
    </row>
    <row r="220" spans="1:42" x14ac:dyDescent="0.2">
      <c r="C220" t="s">
        <v>248</v>
      </c>
      <c r="D220" s="44">
        <f t="shared" ref="D220:AH220" si="73">D65</f>
        <v>26.799786402018107</v>
      </c>
      <c r="E220" s="44">
        <f t="shared" si="73"/>
        <v>28.674741859993446</v>
      </c>
      <c r="F220" s="44">
        <f t="shared" si="73"/>
        <v>30.604389839903355</v>
      </c>
      <c r="G220" s="44">
        <f t="shared" si="73"/>
        <v>32.590013126617464</v>
      </c>
      <c r="H220" s="44">
        <f t="shared" si="73"/>
        <v>34.63292103110475</v>
      </c>
      <c r="I220" s="44">
        <f t="shared" si="73"/>
        <v>36.734449874789341</v>
      </c>
      <c r="J220" s="44">
        <f t="shared" si="73"/>
        <v>38.404378580167027</v>
      </c>
      <c r="K220" s="44">
        <f t="shared" si="73"/>
        <v>40.116079796723028</v>
      </c>
      <c r="L220" s="44">
        <f t="shared" si="73"/>
        <v>41.870404105719714</v>
      </c>
      <c r="M220" s="44">
        <f t="shared" si="73"/>
        <v>43.668217004907035</v>
      </c>
      <c r="N220" s="44">
        <f t="shared" si="73"/>
        <v>45.510399124086007</v>
      </c>
      <c r="O220" s="44">
        <f t="shared" si="73"/>
        <v>45.399940696438414</v>
      </c>
      <c r="P220" s="44">
        <f t="shared" si="73"/>
        <v>45.281786625058295</v>
      </c>
      <c r="Q220" s="44">
        <f t="shared" si="73"/>
        <v>45.155796722775662</v>
      </c>
      <c r="R220" s="44">
        <f t="shared" si="73"/>
        <v>45.021829094462412</v>
      </c>
      <c r="S220" s="44">
        <f t="shared" si="73"/>
        <v>44.879740126853576</v>
      </c>
      <c r="T220" s="44">
        <f t="shared" si="73"/>
        <v>44.591489621236917</v>
      </c>
      <c r="U220" s="44">
        <f t="shared" si="73"/>
        <v>44.292605476405257</v>
      </c>
      <c r="V220" s="44">
        <f t="shared" si="73"/>
        <v>43.982917186304142</v>
      </c>
      <c r="W220" s="44">
        <f t="shared" si="73"/>
        <v>43.662252413812062</v>
      </c>
      <c r="X220" s="44">
        <f t="shared" si="73"/>
        <v>43.330436984408607</v>
      </c>
      <c r="Y220" s="44">
        <f t="shared" si="73"/>
        <v>42.85466348301216</v>
      </c>
      <c r="Z220" s="44">
        <f t="shared" si="73"/>
        <v>42.365573839148922</v>
      </c>
      <c r="AA220" s="44">
        <f t="shared" si="73"/>
        <v>41.862977654979133</v>
      </c>
      <c r="AB220" s="44">
        <f t="shared" si="73"/>
        <v>41.346682821893204</v>
      </c>
      <c r="AC220" s="44">
        <f t="shared" si="73"/>
        <v>40.816495522844768</v>
      </c>
      <c r="AD220" s="44">
        <f t="shared" si="73"/>
        <v>40.153108866380833</v>
      </c>
      <c r="AE220" s="44">
        <f t="shared" si="73"/>
        <v>39.473861930687001</v>
      </c>
      <c r="AF220" s="44">
        <f t="shared" si="73"/>
        <v>38.778545216218653</v>
      </c>
      <c r="AG220" s="44">
        <f t="shared" si="73"/>
        <v>38.066947576785921</v>
      </c>
      <c r="AH220" s="44">
        <f t="shared" si="73"/>
        <v>37.338856228146177</v>
      </c>
    </row>
    <row r="221" spans="1:42" x14ac:dyDescent="0.2">
      <c r="C221" t="s">
        <v>364</v>
      </c>
      <c r="D221" s="44">
        <f>SUM(D213:D220)</f>
        <v>162.69230769230768</v>
      </c>
      <c r="E221" s="44">
        <f t="shared" ref="E221:AH221" si="74">SUM(E213:E220)</f>
        <v>167.39850430954519</v>
      </c>
      <c r="F221" s="44">
        <f t="shared" si="74"/>
        <v>171.62040937873633</v>
      </c>
      <c r="G221" s="44">
        <f t="shared" si="74"/>
        <v>175.95606104581719</v>
      </c>
      <c r="H221" s="44">
        <f t="shared" si="74"/>
        <v>180.40948095153186</v>
      </c>
      <c r="I221" s="44">
        <f t="shared" si="74"/>
        <v>184.98494957451302</v>
      </c>
      <c r="J221" s="44">
        <f t="shared" si="74"/>
        <v>189.18551886714599</v>
      </c>
      <c r="K221" s="44">
        <f t="shared" si="74"/>
        <v>193.49413206129461</v>
      </c>
      <c r="L221" s="44">
        <f t="shared" si="74"/>
        <v>197.91520205880363</v>
      </c>
      <c r="M221" s="44">
        <f t="shared" si="74"/>
        <v>202.45350784224726</v>
      </c>
      <c r="N221" s="44">
        <f t="shared" si="74"/>
        <v>207.11423824068783</v>
      </c>
      <c r="O221" s="44">
        <f t="shared" si="74"/>
        <v>209.86049508088263</v>
      </c>
      <c r="P221" s="44">
        <f t="shared" si="74"/>
        <v>212.67168831561386</v>
      </c>
      <c r="Q221" s="44">
        <f t="shared" si="74"/>
        <v>215.55274358073115</v>
      </c>
      <c r="R221" s="44">
        <f t="shared" si="74"/>
        <v>218.50919325316445</v>
      </c>
      <c r="S221" s="44">
        <f t="shared" si="74"/>
        <v>221.5472565029699</v>
      </c>
      <c r="T221" s="44">
        <f t="shared" si="74"/>
        <v>224.5283484426771</v>
      </c>
      <c r="U221" s="44">
        <f t="shared" si="74"/>
        <v>227.60255785619916</v>
      </c>
      <c r="V221" s="44">
        <f t="shared" si="74"/>
        <v>230.77870001167111</v>
      </c>
      <c r="W221" s="44">
        <f t="shared" si="74"/>
        <v>234.06671810473532</v>
      </c>
      <c r="X221" s="44">
        <f t="shared" si="74"/>
        <v>237.47783287929306</v>
      </c>
      <c r="Y221" s="44">
        <f t="shared" si="74"/>
        <v>240.89923184978949</v>
      </c>
      <c r="Z221" s="44">
        <f t="shared" si="74"/>
        <v>244.46810353822013</v>
      </c>
      <c r="AA221" s="44">
        <f t="shared" si="74"/>
        <v>248.20057341809883</v>
      </c>
      <c r="AB221" s="44">
        <f t="shared" si="74"/>
        <v>252.11487061900596</v>
      </c>
      <c r="AC221" s="44">
        <f t="shared" si="74"/>
        <v>256.23160784124508</v>
      </c>
      <c r="AD221" s="44">
        <f t="shared" si="74"/>
        <v>260.4437228157434</v>
      </c>
      <c r="AE221" s="44">
        <f t="shared" si="74"/>
        <v>264.90526103567669</v>
      </c>
      <c r="AF221" s="44">
        <f t="shared" si="74"/>
        <v>269.64602287037314</v>
      </c>
      <c r="AG221" s="44">
        <f t="shared" si="74"/>
        <v>274.69973867736547</v>
      </c>
      <c r="AH221" s="44">
        <f t="shared" si="74"/>
        <v>280.10459284033055</v>
      </c>
    </row>
    <row r="223" spans="1:42" x14ac:dyDescent="0.2">
      <c r="A223" s="1" t="s">
        <v>365</v>
      </c>
      <c r="C223" t="s">
        <v>168</v>
      </c>
      <c r="D223" s="44">
        <f>D213</f>
        <v>0</v>
      </c>
      <c r="E223" s="44">
        <f t="shared" ref="E223:AH224" si="75">E213</f>
        <v>0.85244366053895815</v>
      </c>
      <c r="F223" s="44">
        <f t="shared" si="75"/>
        <v>1.7391480325644026</v>
      </c>
      <c r="G223" s="44">
        <f t="shared" si="75"/>
        <v>2.6612035354352193</v>
      </c>
      <c r="H223" s="44">
        <f t="shared" si="75"/>
        <v>3.6197328325532796</v>
      </c>
      <c r="I223" s="44">
        <f t="shared" si="75"/>
        <v>4.6158917556164401</v>
      </c>
      <c r="J223" s="44">
        <f t="shared" si="75"/>
        <v>5.6434227587169081</v>
      </c>
      <c r="K223" s="44">
        <f t="shared" si="75"/>
        <v>6.7081095117331042</v>
      </c>
      <c r="L223" s="44">
        <f t="shared" si="75"/>
        <v>7.8110226913655527</v>
      </c>
      <c r="M223" s="44">
        <f t="shared" si="75"/>
        <v>8.9532613793580857</v>
      </c>
      <c r="N223" s="44">
        <f t="shared" si="75"/>
        <v>10.135953787219638</v>
      </c>
      <c r="O223" s="44">
        <f t="shared" si="75"/>
        <v>12.13429788743368</v>
      </c>
      <c r="P223" s="44">
        <f t="shared" si="75"/>
        <v>14.186719582246729</v>
      </c>
      <c r="Q223" s="44">
        <f t="shared" si="75"/>
        <v>16.2943591050192</v>
      </c>
      <c r="R223" s="44">
        <f t="shared" si="75"/>
        <v>18.458378502748253</v>
      </c>
      <c r="S223" s="44">
        <f t="shared" si="75"/>
        <v>20.679962033824889</v>
      </c>
      <c r="T223" s="44">
        <f t="shared" si="75"/>
        <v>22.954551542926836</v>
      </c>
      <c r="U223" s="44">
        <f t="shared" si="75"/>
        <v>25.288279551380374</v>
      </c>
      <c r="V223" s="44">
        <f t="shared" si="75"/>
        <v>27.682371782227893</v>
      </c>
      <c r="W223" s="44">
        <f t="shared" si="75"/>
        <v>30.138077211057443</v>
      </c>
      <c r="X223" s="44">
        <f t="shared" si="75"/>
        <v>32.656668488525511</v>
      </c>
      <c r="Y223" s="44">
        <f t="shared" si="75"/>
        <v>35.4083536041095</v>
      </c>
      <c r="Z223" s="44">
        <f t="shared" si="75"/>
        <v>38.23020227920739</v>
      </c>
      <c r="AA223" s="44">
        <f t="shared" si="75"/>
        <v>41.123648817907757</v>
      </c>
      <c r="AB223" s="44">
        <f t="shared" si="75"/>
        <v>44.090154025463193</v>
      </c>
      <c r="AC223" s="44">
        <f t="shared" si="75"/>
        <v>47.131205665423309</v>
      </c>
      <c r="AD223" s="44">
        <f t="shared" si="75"/>
        <v>50.239870569625083</v>
      </c>
      <c r="AE223" s="44">
        <f t="shared" si="75"/>
        <v>53.42529311000154</v>
      </c>
      <c r="AF223" s="44">
        <f t="shared" si="75"/>
        <v>56.689021111212675</v>
      </c>
      <c r="AG223" s="44">
        <f t="shared" si="75"/>
        <v>60.032630788341748</v>
      </c>
      <c r="AH223" s="44">
        <f t="shared" si="75"/>
        <v>63.457727234126153</v>
      </c>
    </row>
    <row r="224" spans="1:42" x14ac:dyDescent="0.2">
      <c r="C224" t="s">
        <v>172</v>
      </c>
      <c r="D224" s="44">
        <f>D214</f>
        <v>0</v>
      </c>
      <c r="E224" s="44">
        <f t="shared" si="75"/>
        <v>0.65586546087035691</v>
      </c>
      <c r="F224" s="44">
        <f t="shared" si="75"/>
        <v>1.3336354841942164</v>
      </c>
      <c r="G224" s="44">
        <f t="shared" si="75"/>
        <v>2.033895442594122</v>
      </c>
      <c r="H224" s="44">
        <f t="shared" si="75"/>
        <v>2.7572456320803265</v>
      </c>
      <c r="I224" s="44">
        <f t="shared" si="75"/>
        <v>3.5043016537563205</v>
      </c>
      <c r="J224" s="44">
        <f t="shared" si="75"/>
        <v>4.2732123067170384</v>
      </c>
      <c r="K224" s="44">
        <f t="shared" si="75"/>
        <v>5.0661445286428286</v>
      </c>
      <c r="L224" s="44">
        <f t="shared" si="75"/>
        <v>5.8836987368933977</v>
      </c>
      <c r="M224" s="44">
        <f t="shared" si="75"/>
        <v>6.7264893733031919</v>
      </c>
      <c r="N224" s="44">
        <f t="shared" si="75"/>
        <v>7.595145225804643</v>
      </c>
      <c r="O224" s="44">
        <f t="shared" si="75"/>
        <v>8.4714958167382566</v>
      </c>
      <c r="P224" s="44">
        <f t="shared" si="75"/>
        <v>9.0494680959378364</v>
      </c>
      <c r="Q224" s="44">
        <f t="shared" si="75"/>
        <v>10.001615517123765</v>
      </c>
      <c r="R224" s="44">
        <f t="shared" si="75"/>
        <v>10.97866313079219</v>
      </c>
      <c r="S224" s="44">
        <f t="shared" si="75"/>
        <v>11.981128252096731</v>
      </c>
      <c r="T224" s="44">
        <f t="shared" si="75"/>
        <v>13.007616329178468</v>
      </c>
      <c r="U224" s="44">
        <f t="shared" si="75"/>
        <v>14.060298680782333</v>
      </c>
      <c r="V224" s="44">
        <f t="shared" si="75"/>
        <v>15.139713379509681</v>
      </c>
      <c r="W224" s="44">
        <f t="shared" si="75"/>
        <v>16.246408644405928</v>
      </c>
      <c r="X224" s="44">
        <f t="shared" si="75"/>
        <v>17.380943024874131</v>
      </c>
      <c r="Y224" s="44">
        <f t="shared" si="75"/>
        <v>19.694587489601123</v>
      </c>
      <c r="Z224" s="44">
        <f t="shared" si="75"/>
        <v>20.899200064422857</v>
      </c>
      <c r="AA224" s="44">
        <f t="shared" si="75"/>
        <v>22.133291291611283</v>
      </c>
      <c r="AB224" s="44">
        <f t="shared" si="75"/>
        <v>23.397456852448531</v>
      </c>
      <c r="AC224" s="44">
        <f t="shared" si="75"/>
        <v>24.692303586977886</v>
      </c>
      <c r="AD224" s="44">
        <f t="shared" si="75"/>
        <v>26.015633577849879</v>
      </c>
      <c r="AE224" s="44">
        <f t="shared" si="75"/>
        <v>27.370610355880629</v>
      </c>
      <c r="AF224" s="44">
        <f t="shared" si="75"/>
        <v>28.757867587017373</v>
      </c>
      <c r="AG224" s="44">
        <f t="shared" si="75"/>
        <v>30.178050768819951</v>
      </c>
      <c r="AH224" s="44">
        <f t="shared" si="75"/>
        <v>31.63181744464287</v>
      </c>
      <c r="AJ224" cm="1">
        <f t="array" ref="AJ224">_xlfn.IFS(AH127&lt;0, AH122, AH127-AH122&lt;=0,AH127-AH122, else, AH122)</f>
        <v>-12.570469366189055</v>
      </c>
    </row>
    <row r="225" spans="3:37" x14ac:dyDescent="0.2">
      <c r="C225" t="s">
        <v>193</v>
      </c>
      <c r="D225" s="44" cm="1">
        <f t="array" ref="D225">-(D95-D92+D105-D102+D115-D112+_xlfn.IFS(D127&lt;0, -D122, D127-D122&lt;=0,D127-D122, else, D122)+D139-D134)</f>
        <v>0</v>
      </c>
      <c r="E225" s="44" cm="1">
        <f t="array" ref="E225">-(E95-E92+E105-E102+E115-E112+_xlfn.IFS(E127&lt;0, -E122, E127-E122&lt;=0,E127-E122, else, E122)+E139-E134)</f>
        <v>1.2388254567818038</v>
      </c>
      <c r="F225" s="44" cm="1">
        <f t="array" ref="F225">-(F95-F92+F105-F102+F115-F112+_xlfn.IFS(F127&lt;0, -F122, F127-F122&lt;=0,F127-F122, else, F122)+F139-F134)</f>
        <v>2.464199569608347</v>
      </c>
      <c r="G225" s="44" cm="1">
        <f t="array" ref="G225">-(G95-G92+G105-G102+G115-G112+_xlfn.IFS(G127&lt;0, -G122, G127-G122&lt;=0,G127-G122, else, G122)+G139-G134)</f>
        <v>3.6669035951971374</v>
      </c>
      <c r="H225" s="44" cm="1">
        <f t="array" ref="H225">-(H95-H92+H105-H102+H115-H112+_xlfn.IFS(H127&lt;0, -H122, H127-H122&lt;=0,H127-H122, else, H122)+H139-H134)</f>
        <v>4.837642419333168</v>
      </c>
      <c r="I225" s="44" cm="1">
        <f t="array" ref="I225">-(I95-I92+I105-I102+I115-I112+_xlfn.IFS(I127&lt;0, -I122, I127-I122&lt;=0,I127-I122, else, I122)+I139-I134)</f>
        <v>5.967163072822423</v>
      </c>
      <c r="J225" s="44" cm="1">
        <f t="array" ref="J225">-(J95-J92+J105-J102+J115-J112+_xlfn.IFS(J127&lt;0, -J122, J127-J122&lt;=0,J127-J122, else, J122)+J139-J134)</f>
        <v>7.0583689757817467</v>
      </c>
      <c r="K225" s="44" cm="1">
        <f t="array" ref="K225">-(K95-K92+K105-K102+K115-K112+_xlfn.IFS(K127&lt;0, -K122, K127-K122&lt;=0,K127-K122, else, K122)+K139-K134)</f>
        <v>8.1463272540316751</v>
      </c>
      <c r="L225" s="44" cm="1">
        <f t="array" ref="L225">-(L95-L92+L105-L102+L115-L112+_xlfn.IFS(L127&lt;0, -L122, L127-L122&lt;=0,L127-L122, else, L122)+L139-L134)</f>
        <v>9.2288962827412178</v>
      </c>
      <c r="M225" s="44" cm="1">
        <f t="array" ref="M225">-(M95-M92+M105-M102+M115-M112+_xlfn.IFS(M127&lt;0, -M122, M127-M122&lt;=0,M127-M122, else, M122)+M139-M134)</f>
        <v>10.303893103073889</v>
      </c>
      <c r="N225" s="44" cm="1">
        <f t="array" ref="N225">-(N95-N92+N105-N102+N115-N112+_xlfn.IFS(N127&lt;0, -N122, N127-N122&lt;=0,N127-N122, else, N122)+N139-N134)</f>
        <v>11.3690986358923</v>
      </c>
      <c r="O225" s="44" cm="1">
        <f t="array" ref="O225">-(O95-O92+O105-O102+O115-O112+_xlfn.IFS(O127&lt;0, -O122, O127-O122&lt;=0,O127-O122, else, O122)+O139-O134)</f>
        <v>13.132533799227097</v>
      </c>
      <c r="P225" s="44" cm="1">
        <f t="array" ref="P225">-(P95-P92+P105-P102+P115-P112+_xlfn.IFS(P127&lt;0, -P122, P127-P122&lt;=0,P127-P122, else, P122)+P139-P134)</f>
        <v>14.9015084472342</v>
      </c>
      <c r="Q225" s="44" cm="1">
        <f t="array" ref="Q225">-(Q95-Q92+Q105-Q102+Q115-Q112+_xlfn.IFS(Q127&lt;0, -Q122, Q127-Q122&lt;=0,Q127-Q122, else, Q122)+Q139-Q134)</f>
        <v>16.423604609568891</v>
      </c>
      <c r="R225" s="44" cm="1">
        <f t="array" ref="R225">-(R95-R92+R105-R102+R115-R112+_xlfn.IFS(R127&lt;0, -R122, R127-R122&lt;=0,R127-R122, else, R122)+R139-R134)</f>
        <v>17.807537872994647</v>
      </c>
      <c r="S225" s="44" cm="1">
        <f t="array" ref="S225">-(S95-S92+S105-S102+S115-S112+_xlfn.IFS(S127&lt;0, -S122, S127-S122&lt;=0,S127-S122, else, S122)+S139-S134)</f>
        <v>19.042425058021685</v>
      </c>
      <c r="T225" s="44" cm="1">
        <f t="array" ref="T225">-(T95-T92+T105-T102+T115-T112+_xlfn.IFS(T127&lt;0, -T122, T127-T122&lt;=0,T127-T122, else, T122)+T139-T134)</f>
        <v>20.202281426175286</v>
      </c>
      <c r="U225" s="44" cm="1">
        <f t="array" ref="U225">-(U95-U92+U105-U102+U115-U112+_xlfn.IFS(U127&lt;0, -U122, U127-U122&lt;=0,U127-U122, else, U122)+U139-U134)</f>
        <v>21.270781040202362</v>
      </c>
      <c r="V225" s="44" cm="1">
        <f t="array" ref="V225">-(V95-V92+V105-V102+V115-V112+_xlfn.IFS(V127&lt;0, -V122, V127-V122&lt;=0,V127-V122, else, V122)+V139-V134)</f>
        <v>22.245155581898715</v>
      </c>
      <c r="W225" s="44" cm="1">
        <f t="array" ref="W225">-(W95-W92+W105-W102+W115-W112+_xlfn.IFS(W127&lt;0, -W122, W127-W122&lt;=0,W127-W122, else, W122)+W139-W134)</f>
        <v>23.122658953461482</v>
      </c>
      <c r="X225" s="44" cm="1">
        <f t="array" ref="X225">-(X95-X92+X105-X102+X115-X112+_xlfn.IFS(X127&lt;0, -X122, X127-X122&lt;=0,X127-X122, else, X122)+X139-X134)</f>
        <v>23.900569769295242</v>
      </c>
      <c r="Y225" s="44" cm="1">
        <f t="array" ref="Y225">-(Y95-Y92+Y105-Y102+Y115-Y112+_xlfn.IFS(Y127&lt;0, -Y122, Y127-Y122&lt;=0,Y127-Y122, else, Y122)+Y139-Y134)</f>
        <v>25.059626034509428</v>
      </c>
      <c r="Z225" s="44" cm="1">
        <f t="array" ref="Z225">-(Z95-Z92+Z105-Z102+Z115-Z112+_xlfn.IFS(Z127&lt;0, -Z122, Z127-Z122&lt;=0,Z127-Z122, else, Z122)+Z139-Z134)</f>
        <v>26.637156019555707</v>
      </c>
      <c r="AA225" s="44" cm="1">
        <f t="array" ref="AA225">-(AA95-AA92+AA105-AA102+AA115-AA112+_xlfn.IFS(AA127&lt;0, -AA122, AA127-AA122&lt;=0,AA127-AA122, else, AA122)+AA139-AA134)</f>
        <v>28.037714850192401</v>
      </c>
      <c r="AB225" s="44" cm="1">
        <f t="array" ref="AB225">-(AB95-AB92+AB105-AB102+AB115-AB112+_xlfn.IFS(AB127&lt;0, -AB122, AB127-AB122&lt;=0,AB127-AB122, else, AB122)+AB139-AB134)</f>
        <v>29.263698603212646</v>
      </c>
      <c r="AC225" s="44" cm="1">
        <f t="array" ref="AC225">-(AC95-AC92+AC105-AC102+AC115-AC112+_xlfn.IFS(AC127&lt;0, -AC122, AC127-AC122&lt;=0,AC127-AC122, else, AC122)+AC139-AC134)</f>
        <v>30.3106461699807</v>
      </c>
      <c r="AD225" s="44" cm="1">
        <f t="array" ref="AD225">-(AD95-AD92+AD105-AD102+AD115-AD112+_xlfn.IFS(AD127&lt;0, -AD122, AD127-AD122&lt;=0,AD127-AD122, else, AD122)+AD139-AD134)</f>
        <v>31.159472257311997</v>
      </c>
      <c r="AE225" s="44" cm="1">
        <f t="array" ref="AE225">-(AE95-AE92+AE105-AE102+AE115-AE112+_xlfn.IFS(AE127&lt;0, -AE122, AE127-AE122&lt;=0,AE127-AE122, else, AE122)+AE139-AE134)</f>
        <v>31.850054529254919</v>
      </c>
      <c r="AF225" s="44" cm="1">
        <f t="array" ref="AF225">-(AF95-AF92+AF105-AF102+AF115-AF112+_xlfn.IFS(AF127&lt;0, -AF122, AF127-AF122&lt;=0,AF127-AF122, else, AF122)+AF139-AF134)</f>
        <v>32.370613564831451</v>
      </c>
      <c r="AG225" s="44" cm="1">
        <f t="array" ref="AG225">-(AG95-AG92+AG105-AG102+AG115-AG112+_xlfn.IFS(AG127&lt;0, -AG122, AG127-AG122&lt;=0,AG127-AG122, else, AG122)+AG139-AG134)</f>
        <v>32.698103822192053</v>
      </c>
      <c r="AH225" s="44" cm="1">
        <f t="array" ref="AH225">-(AH95-AH92+AH105-AH102+AH115-AH112+_xlfn.IFS(AH127&lt;0, -AH122, AH127-AH122&lt;=0,AH127-AH122, else, AH122)+AH139-AH134)</f>
        <v>32.621252588807465</v>
      </c>
      <c r="AI225" s="44"/>
    </row>
    <row r="226" spans="3:37" x14ac:dyDescent="0.2">
      <c r="C226" t="s">
        <v>324</v>
      </c>
      <c r="D226" s="44">
        <f t="shared" ref="D226:AH226" si="76">D95</f>
        <v>89.109936202323638</v>
      </c>
      <c r="E226" s="44">
        <f t="shared" si="76"/>
        <v>88.940711567249522</v>
      </c>
      <c r="F226" s="44">
        <f t="shared" si="76"/>
        <v>88.764904314477207</v>
      </c>
      <c r="G226" s="44">
        <f t="shared" si="76"/>
        <v>88.585740292124513</v>
      </c>
      <c r="H226" s="44">
        <f t="shared" si="76"/>
        <v>88.406476140427571</v>
      </c>
      <c r="I226" s="44">
        <f t="shared" si="76"/>
        <v>88.230351588668171</v>
      </c>
      <c r="J226" s="44">
        <f t="shared" si="76"/>
        <v>88.043740360638722</v>
      </c>
      <c r="K226" s="44">
        <f t="shared" si="76"/>
        <v>87.847144604773362</v>
      </c>
      <c r="L226" s="44">
        <f t="shared" si="76"/>
        <v>87.641077287192402</v>
      </c>
      <c r="M226" s="44">
        <f t="shared" si="76"/>
        <v>87.426059952080806</v>
      </c>
      <c r="N226" s="44">
        <f t="shared" si="76"/>
        <v>87.202620371500856</v>
      </c>
      <c r="O226" s="44">
        <f t="shared" si="76"/>
        <v>85.966050378965207</v>
      </c>
      <c r="P226" s="44">
        <f t="shared" si="76"/>
        <v>85.014255041568987</v>
      </c>
      <c r="Q226" s="44">
        <f t="shared" si="76"/>
        <v>83.771400253083044</v>
      </c>
      <c r="R226" s="44">
        <f t="shared" si="76"/>
        <v>82.544523363259174</v>
      </c>
      <c r="S226" s="44">
        <f t="shared" si="76"/>
        <v>81.336597132042428</v>
      </c>
      <c r="T226" s="44">
        <f t="shared" si="76"/>
        <v>80.127689209527972</v>
      </c>
      <c r="U226" s="44">
        <f t="shared" si="76"/>
        <v>78.917979690175031</v>
      </c>
      <c r="V226" s="44">
        <f t="shared" si="76"/>
        <v>77.707619567650781</v>
      </c>
      <c r="W226" s="44">
        <f t="shared" si="76"/>
        <v>76.496729344883349</v>
      </c>
      <c r="X226" s="44">
        <f t="shared" si="76"/>
        <v>75.28539763365616</v>
      </c>
      <c r="Y226" s="44">
        <f t="shared" si="76"/>
        <v>72.703910939560728</v>
      </c>
      <c r="Z226" s="44">
        <f t="shared" si="76"/>
        <v>71.051859350188906</v>
      </c>
      <c r="AA226" s="44">
        <f t="shared" si="76"/>
        <v>69.42964541152169</v>
      </c>
      <c r="AB226" s="44">
        <f t="shared" si="76"/>
        <v>67.837715831375846</v>
      </c>
      <c r="AC226" s="44">
        <f t="shared" si="76"/>
        <v>66.276816867085302</v>
      </c>
      <c r="AD226" s="44">
        <f t="shared" si="76"/>
        <v>64.747501288736984</v>
      </c>
      <c r="AE226" s="44">
        <f t="shared" si="76"/>
        <v>63.2504166270719</v>
      </c>
      <c r="AF226" s="44">
        <f t="shared" si="76"/>
        <v>61.786164126453038</v>
      </c>
      <c r="AG226" s="44">
        <f t="shared" si="76"/>
        <v>60.355296838677262</v>
      </c>
      <c r="AH226" s="44">
        <f t="shared" si="76"/>
        <v>58.958317709469235</v>
      </c>
    </row>
    <row r="227" spans="3:37" x14ac:dyDescent="0.2">
      <c r="C227" t="s">
        <v>310</v>
      </c>
      <c r="D227" s="44">
        <f t="shared" ref="D227:AH227" si="77">IF(D127&lt;0,0,D127)</f>
        <v>34.871127768537121</v>
      </c>
      <c r="E227" s="44">
        <f t="shared" si="77"/>
        <v>34.631808229832338</v>
      </c>
      <c r="F227" s="44">
        <f t="shared" si="77"/>
        <v>34.39559142265167</v>
      </c>
      <c r="G227" s="44">
        <f t="shared" si="77"/>
        <v>34.165756914130959</v>
      </c>
      <c r="H227" s="44">
        <f t="shared" si="77"/>
        <v>33.945612092645725</v>
      </c>
      <c r="I227" s="44">
        <f t="shared" si="77"/>
        <v>33.738448080050091</v>
      </c>
      <c r="J227" s="44">
        <f t="shared" si="77"/>
        <v>33.539034390183602</v>
      </c>
      <c r="K227" s="44">
        <f t="shared" si="77"/>
        <v>33.336563886751023</v>
      </c>
      <c r="L227" s="44">
        <f t="shared" si="77"/>
        <v>33.131642663444723</v>
      </c>
      <c r="M227" s="44">
        <f t="shared" si="77"/>
        <v>32.924891055650271</v>
      </c>
      <c r="N227" s="44">
        <f t="shared" si="77"/>
        <v>32.716941730115622</v>
      </c>
      <c r="O227" s="44">
        <f t="shared" si="77"/>
        <v>32.222902602157824</v>
      </c>
      <c r="P227" s="44">
        <f t="shared" si="77"/>
        <v>31.717620036105167</v>
      </c>
      <c r="Q227" s="44">
        <f t="shared" si="77"/>
        <v>31.303254780831185</v>
      </c>
      <c r="R227" s="44">
        <f t="shared" si="77"/>
        <v>30.935403767678846</v>
      </c>
      <c r="S227" s="44">
        <f t="shared" si="77"/>
        <v>30.618314391074879</v>
      </c>
      <c r="T227" s="44">
        <f t="shared" si="77"/>
        <v>30.322901492118881</v>
      </c>
      <c r="U227" s="44">
        <f t="shared" si="77"/>
        <v>30.055915210821155</v>
      </c>
      <c r="V227" s="44">
        <f t="shared" si="77"/>
        <v>29.818460831330803</v>
      </c>
      <c r="W227" s="44">
        <f t="shared" si="77"/>
        <v>29.611638330824658</v>
      </c>
      <c r="X227" s="44">
        <f t="shared" si="77"/>
        <v>29.436541124258376</v>
      </c>
      <c r="Y227" s="44">
        <f t="shared" si="77"/>
        <v>29.137180279909938</v>
      </c>
      <c r="Z227" s="44">
        <f t="shared" si="77"/>
        <v>28.654402350529363</v>
      </c>
      <c r="AA227" s="44">
        <f t="shared" si="77"/>
        <v>28.227251153670366</v>
      </c>
      <c r="AB227" s="44">
        <f t="shared" si="77"/>
        <v>27.856040876420792</v>
      </c>
      <c r="AC227" s="44">
        <f t="shared" si="77"/>
        <v>27.5425677116542</v>
      </c>
      <c r="AD227" s="44">
        <f t="shared" si="77"/>
        <v>27.293453125158386</v>
      </c>
      <c r="AE227" s="44">
        <f t="shared" si="77"/>
        <v>27.105887743956707</v>
      </c>
      <c r="AF227" s="44">
        <f t="shared" si="77"/>
        <v>26.981613615535807</v>
      </c>
      <c r="AG227" s="44">
        <f t="shared" si="77"/>
        <v>26.922358017926733</v>
      </c>
      <c r="AH227" s="44">
        <f t="shared" si="77"/>
        <v>26.929831781255455</v>
      </c>
    </row>
    <row r="228" spans="3:37" x14ac:dyDescent="0.2">
      <c r="C228" t="s">
        <v>311</v>
      </c>
      <c r="D228" s="44">
        <f t="shared" ref="D228:AH228" si="78">D105</f>
        <v>8.4778361655826675</v>
      </c>
      <c r="E228" s="44">
        <f t="shared" si="78"/>
        <v>8.5273590479522028</v>
      </c>
      <c r="F228" s="44">
        <f t="shared" si="78"/>
        <v>8.5800475172229316</v>
      </c>
      <c r="G228" s="44">
        <f t="shared" si="78"/>
        <v>8.6364793902666595</v>
      </c>
      <c r="H228" s="44">
        <f t="shared" si="78"/>
        <v>8.6972367378841522</v>
      </c>
      <c r="I228" s="44">
        <f t="shared" si="78"/>
        <v>8.7628992925187124</v>
      </c>
      <c r="J228" s="44">
        <f t="shared" si="78"/>
        <v>8.8299362905587078</v>
      </c>
      <c r="K228" s="44">
        <f t="shared" si="78"/>
        <v>8.8984633667138961</v>
      </c>
      <c r="L228" s="44">
        <f t="shared" si="78"/>
        <v>8.968599987313107</v>
      </c>
      <c r="M228" s="44">
        <f t="shared" si="78"/>
        <v>9.0404693168148462</v>
      </c>
      <c r="N228" s="44">
        <f t="shared" si="78"/>
        <v>9.1141980708652355</v>
      </c>
      <c r="O228" s="44">
        <f t="shared" si="78"/>
        <v>9.1161100007430562</v>
      </c>
      <c r="P228" s="44">
        <f t="shared" si="78"/>
        <v>9.1154352332277178</v>
      </c>
      <c r="Q228" s="44">
        <f t="shared" si="78"/>
        <v>9.1336889300477893</v>
      </c>
      <c r="R228" s="44">
        <f t="shared" si="78"/>
        <v>9.1611573226904301</v>
      </c>
      <c r="S228" s="44">
        <f t="shared" si="78"/>
        <v>9.1985923306429633</v>
      </c>
      <c r="T228" s="44">
        <f t="shared" si="78"/>
        <v>9.2415756762028085</v>
      </c>
      <c r="U228" s="44">
        <f t="shared" si="78"/>
        <v>9.2902872905606948</v>
      </c>
      <c r="V228" s="44">
        <f t="shared" si="78"/>
        <v>9.3449068158767261</v>
      </c>
      <c r="W228" s="44">
        <f t="shared" si="78"/>
        <v>9.4056134455567992</v>
      </c>
      <c r="X228" s="44">
        <f t="shared" si="78"/>
        <v>9.4725857619194969</v>
      </c>
      <c r="Y228" s="44">
        <f t="shared" si="78"/>
        <v>9.43632871377112</v>
      </c>
      <c r="Z228" s="44">
        <f t="shared" si="78"/>
        <v>9.3586202557258211</v>
      </c>
      <c r="AA228" s="44">
        <f t="shared" si="78"/>
        <v>9.2925891089222148</v>
      </c>
      <c r="AB228" s="44">
        <f t="shared" si="78"/>
        <v>9.2345560190164733</v>
      </c>
      <c r="AC228" s="44">
        <f t="shared" si="78"/>
        <v>9.1848733074460593</v>
      </c>
      <c r="AD228" s="44">
        <f t="shared" si="78"/>
        <v>9.1438583028939249</v>
      </c>
      <c r="AE228" s="44">
        <f t="shared" si="78"/>
        <v>9.1118614617014231</v>
      </c>
      <c r="AF228" s="44">
        <f t="shared" si="78"/>
        <v>9.0892333656750033</v>
      </c>
      <c r="AG228" s="44">
        <f t="shared" si="78"/>
        <v>9.0763243560466194</v>
      </c>
      <c r="AH228" s="44">
        <f t="shared" si="78"/>
        <v>9.0734841606762426</v>
      </c>
    </row>
    <row r="229" spans="3:37" x14ac:dyDescent="0.2">
      <c r="C229" s="131" t="s">
        <v>320</v>
      </c>
      <c r="D229" s="44">
        <f t="shared" ref="D229:AH229" si="79">D115</f>
        <v>3.4336211538461541</v>
      </c>
      <c r="E229" s="44">
        <f t="shared" si="79"/>
        <v>3.4039429073450349</v>
      </c>
      <c r="F229" s="44">
        <f t="shared" si="79"/>
        <v>3.3768760744900019</v>
      </c>
      <c r="G229" s="44">
        <f t="shared" si="79"/>
        <v>3.3527440851732484</v>
      </c>
      <c r="H229" s="44">
        <f t="shared" si="79"/>
        <v>3.3318354080309307</v>
      </c>
      <c r="I229" s="44">
        <f t="shared" si="79"/>
        <v>3.3143988199985892</v>
      </c>
      <c r="J229" s="44">
        <f t="shared" si="79"/>
        <v>3.3002703952275603</v>
      </c>
      <c r="K229" s="44">
        <f t="shared" si="79"/>
        <v>3.2874612810036066</v>
      </c>
      <c r="L229" s="44">
        <f t="shared" si="79"/>
        <v>3.2760511836491495</v>
      </c>
      <c r="M229" s="44">
        <f t="shared" si="79"/>
        <v>3.2661157039798039</v>
      </c>
      <c r="N229" s="44">
        <f t="shared" si="79"/>
        <v>3.2577258879622448</v>
      </c>
      <c r="O229" s="44">
        <f t="shared" si="79"/>
        <v>3.2395173569743867</v>
      </c>
      <c r="P229" s="44">
        <f t="shared" si="79"/>
        <v>3.2234407134561462</v>
      </c>
      <c r="Q229" s="44">
        <f t="shared" si="79"/>
        <v>3.2228617689397776</v>
      </c>
      <c r="R229" s="44">
        <f t="shared" si="79"/>
        <v>3.2312320318889167</v>
      </c>
      <c r="S229" s="44">
        <f t="shared" si="79"/>
        <v>3.2486062472838695</v>
      </c>
      <c r="T229" s="44">
        <f t="shared" si="79"/>
        <v>3.2690964960492988</v>
      </c>
      <c r="U229" s="44">
        <f t="shared" si="79"/>
        <v>3.2948044480814733</v>
      </c>
      <c r="V229" s="44">
        <f t="shared" si="79"/>
        <v>3.3255647341435681</v>
      </c>
      <c r="W229" s="44">
        <f t="shared" si="79"/>
        <v>3.3612012642059774</v>
      </c>
      <c r="X229" s="44">
        <f t="shared" si="79"/>
        <v>3.401527244487875</v>
      </c>
      <c r="Y229" s="44">
        <f t="shared" si="79"/>
        <v>3.4250950697699123</v>
      </c>
      <c r="Z229" s="44">
        <f t="shared" si="79"/>
        <v>3.4312131552080429</v>
      </c>
      <c r="AA229" s="44">
        <f t="shared" si="79"/>
        <v>3.4443353788566604</v>
      </c>
      <c r="AB229" s="44">
        <f t="shared" si="79"/>
        <v>3.4641377648203227</v>
      </c>
      <c r="AC229" s="44">
        <f t="shared" si="79"/>
        <v>3.4902803067957833</v>
      </c>
      <c r="AD229" s="44">
        <f t="shared" si="79"/>
        <v>3.5260419662394975</v>
      </c>
      <c r="AE229" s="44">
        <f t="shared" si="79"/>
        <v>3.5372578565235058</v>
      </c>
      <c r="AF229" s="44">
        <f t="shared" si="79"/>
        <v>3.5310359705162995</v>
      </c>
      <c r="AG229" s="44">
        <f t="shared" si="79"/>
        <v>3.5257856851390637</v>
      </c>
      <c r="AH229" s="44">
        <f t="shared" si="79"/>
        <v>3.7281823756180565</v>
      </c>
    </row>
    <row r="230" spans="3:37" x14ac:dyDescent="0.2">
      <c r="C230" t="s">
        <v>321</v>
      </c>
      <c r="D230" s="44">
        <f>D219</f>
        <v>0</v>
      </c>
      <c r="E230" s="44">
        <f t="shared" ref="E230:AH230" si="80">E219</f>
        <v>0.67110171196554103</v>
      </c>
      <c r="F230" s="44">
        <f t="shared" si="80"/>
        <v>0.75796752501421338</v>
      </c>
      <c r="G230" s="44">
        <f t="shared" si="80"/>
        <v>0.85616184156287534</v>
      </c>
      <c r="H230" s="44">
        <f t="shared" si="80"/>
        <v>0.9671713517084386</v>
      </c>
      <c r="I230" s="44">
        <f t="shared" si="80"/>
        <v>1.0926788620857466</v>
      </c>
      <c r="J230" s="44">
        <f t="shared" si="80"/>
        <v>1.2345892759355666</v>
      </c>
      <c r="K230" s="44">
        <f t="shared" si="80"/>
        <v>1.3950590265859308</v>
      </c>
      <c r="L230" s="44">
        <f t="shared" si="80"/>
        <v>1.5765294246538997</v>
      </c>
      <c r="M230" s="44">
        <f t="shared" si="80"/>
        <v>1.7817644407638649</v>
      </c>
      <c r="N230" s="44">
        <f t="shared" si="80"/>
        <v>2.0138935152958402</v>
      </c>
      <c r="O230" s="44">
        <f t="shared" si="80"/>
        <v>2.2764600657252894</v>
      </c>
      <c r="P230" s="44">
        <f t="shared" si="80"/>
        <v>2.5734764517453481</v>
      </c>
      <c r="Q230" s="44">
        <f t="shared" si="80"/>
        <v>2.9094862599913314</v>
      </c>
      <c r="R230" s="44">
        <f t="shared" si="80"/>
        <v>3.2896348854242845</v>
      </c>
      <c r="S230" s="44">
        <f t="shared" si="80"/>
        <v>3.7197495171000581</v>
      </c>
      <c r="T230" s="44">
        <f t="shared" si="80"/>
        <v>4.2064297842214451</v>
      </c>
      <c r="U230" s="44">
        <f t="shared" si="80"/>
        <v>4.7571504863910397</v>
      </c>
      <c r="V230" s="44">
        <f t="shared" si="80"/>
        <v>5.3803780225130033</v>
      </c>
      <c r="W230" s="44">
        <f t="shared" si="80"/>
        <v>6.0857023488525108</v>
      </c>
      <c r="X230" s="44">
        <f t="shared" si="80"/>
        <v>6.8839865417768289</v>
      </c>
      <c r="Y230" s="44">
        <f t="shared" si="80"/>
        <v>7.7875363185562083</v>
      </c>
      <c r="Z230" s="44">
        <f t="shared" si="80"/>
        <v>8.8102921847018152</v>
      </c>
      <c r="AA230" s="44">
        <f t="shared" si="80"/>
        <v>9.9680472336598847</v>
      </c>
      <c r="AB230" s="44">
        <f t="shared" si="80"/>
        <v>11.27869402993422</v>
      </c>
      <c r="AC230" s="44">
        <f t="shared" si="80"/>
        <v>12.762504466303872</v>
      </c>
      <c r="AD230" s="44">
        <f t="shared" si="80"/>
        <v>14.442447007032245</v>
      </c>
      <c r="AE230" s="44">
        <f t="shared" si="80"/>
        <v>16.34454632010209</v>
      </c>
      <c r="AF230" s="44">
        <f t="shared" si="80"/>
        <v>18.498290971941969</v>
      </c>
      <c r="AG230" s="44">
        <f t="shared" si="80"/>
        <v>20.937095618479546</v>
      </c>
      <c r="AH230" s="44">
        <f t="shared" si="80"/>
        <v>23.698824988741201</v>
      </c>
    </row>
    <row r="231" spans="3:37" x14ac:dyDescent="0.2">
      <c r="C231" t="s">
        <v>248</v>
      </c>
      <c r="D231" s="44">
        <f t="shared" ref="D231:AH231" si="81">D139-D230</f>
        <v>26.799786402018107</v>
      </c>
      <c r="E231" s="44">
        <f t="shared" si="81"/>
        <v>28.476446267009429</v>
      </c>
      <c r="F231" s="44">
        <f t="shared" si="81"/>
        <v>30.208039438513318</v>
      </c>
      <c r="G231" s="44">
        <f t="shared" si="81"/>
        <v>31.997175949332441</v>
      </c>
      <c r="H231" s="44">
        <f t="shared" si="81"/>
        <v>33.846528336868261</v>
      </c>
      <c r="I231" s="44">
        <f t="shared" si="81"/>
        <v>35.758816448996555</v>
      </c>
      <c r="J231" s="44">
        <f t="shared" si="81"/>
        <v>37.262944113386105</v>
      </c>
      <c r="K231" s="44">
        <f t="shared" si="81"/>
        <v>38.808858601059178</v>
      </c>
      <c r="L231" s="44">
        <f t="shared" si="81"/>
        <v>40.397683801550201</v>
      </c>
      <c r="M231" s="44">
        <f t="shared" si="81"/>
        <v>42.030563517222504</v>
      </c>
      <c r="N231" s="44">
        <f t="shared" si="81"/>
        <v>43.708661016031428</v>
      </c>
      <c r="O231" s="44">
        <f t="shared" si="81"/>
        <v>43.301127172917788</v>
      </c>
      <c r="P231" s="44">
        <f t="shared" si="81"/>
        <v>42.889764714091733</v>
      </c>
      <c r="Q231" s="44">
        <f t="shared" si="81"/>
        <v>42.49247235612615</v>
      </c>
      <c r="R231" s="44">
        <f t="shared" si="81"/>
        <v>42.1026623756877</v>
      </c>
      <c r="S231" s="44">
        <f t="shared" si="81"/>
        <v>41.721881540882414</v>
      </c>
      <c r="T231" s="44">
        <f t="shared" si="81"/>
        <v>41.196206486276097</v>
      </c>
      <c r="U231" s="44">
        <f t="shared" si="81"/>
        <v>40.667061457804721</v>
      </c>
      <c r="V231" s="44">
        <f t="shared" si="81"/>
        <v>40.134529296519887</v>
      </c>
      <c r="W231" s="44">
        <f t="shared" si="81"/>
        <v>39.598688561487165</v>
      </c>
      <c r="X231" s="44">
        <f t="shared" si="81"/>
        <v>39.059613290499435</v>
      </c>
      <c r="Y231" s="44">
        <f t="shared" si="81"/>
        <v>38.246613400001515</v>
      </c>
      <c r="Z231" s="44">
        <f t="shared" si="81"/>
        <v>37.395157878680259</v>
      </c>
      <c r="AA231" s="44">
        <f t="shared" si="81"/>
        <v>36.544050171756595</v>
      </c>
      <c r="AB231" s="44">
        <f t="shared" si="81"/>
        <v>35.692416616313942</v>
      </c>
      <c r="AC231" s="44">
        <f t="shared" si="81"/>
        <v>34.840409759577973</v>
      </c>
      <c r="AD231" s="44">
        <f t="shared" si="81"/>
        <v>33.875444720895381</v>
      </c>
      <c r="AE231" s="44">
        <f t="shared" si="81"/>
        <v>32.909333031183962</v>
      </c>
      <c r="AF231" s="44">
        <f t="shared" si="81"/>
        <v>31.942182557189575</v>
      </c>
      <c r="AG231" s="44">
        <f t="shared" si="81"/>
        <v>30.974092781742478</v>
      </c>
      <c r="AH231" s="44">
        <f t="shared" si="81"/>
        <v>30.005154556993865</v>
      </c>
    </row>
    <row r="232" spans="3:37" x14ac:dyDescent="0.2">
      <c r="D232" s="44">
        <f>SUM(D226:D231)</f>
        <v>162.69230769230768</v>
      </c>
      <c r="E232" s="44">
        <f t="shared" ref="E232:AG232" si="82">SUM(E226:E231)</f>
        <v>164.65136973135409</v>
      </c>
      <c r="F232" s="44">
        <f t="shared" si="82"/>
        <v>166.08342629236935</v>
      </c>
      <c r="G232" s="44">
        <f t="shared" si="82"/>
        <v>167.59405847259069</v>
      </c>
      <c r="H232" s="44">
        <f t="shared" si="82"/>
        <v>169.19486006756506</v>
      </c>
      <c r="I232" s="44">
        <f t="shared" si="82"/>
        <v>170.89759309231786</v>
      </c>
      <c r="J232" s="44">
        <f t="shared" si="82"/>
        <v>172.21051482593029</v>
      </c>
      <c r="K232" s="44">
        <f t="shared" si="82"/>
        <v>173.57355076688697</v>
      </c>
      <c r="L232" s="44">
        <f t="shared" si="82"/>
        <v>174.9915843478035</v>
      </c>
      <c r="M232" s="44">
        <f t="shared" si="82"/>
        <v>176.46986398651208</v>
      </c>
      <c r="N232" s="44">
        <f t="shared" si="82"/>
        <v>178.01404059177122</v>
      </c>
      <c r="O232" s="44">
        <f t="shared" si="82"/>
        <v>176.12216757748354</v>
      </c>
      <c r="P232" s="44">
        <f t="shared" si="82"/>
        <v>174.53399219019508</v>
      </c>
      <c r="Q232" s="44">
        <f t="shared" si="82"/>
        <v>172.83316434901928</v>
      </c>
      <c r="R232" s="44">
        <f t="shared" si="82"/>
        <v>171.26461374662938</v>
      </c>
      <c r="S232" s="44">
        <f t="shared" si="82"/>
        <v>169.84374115902662</v>
      </c>
      <c r="T232" s="44">
        <f t="shared" si="82"/>
        <v>168.3638991443965</v>
      </c>
      <c r="U232" s="44">
        <f t="shared" si="82"/>
        <v>166.98319858383411</v>
      </c>
      <c r="V232" s="44">
        <f t="shared" si="82"/>
        <v>165.71145926803476</v>
      </c>
      <c r="W232" s="44">
        <f t="shared" si="82"/>
        <v>164.55957329581045</v>
      </c>
      <c r="X232" s="44">
        <f t="shared" si="82"/>
        <v>163.53965159659819</v>
      </c>
      <c r="Y232" s="44">
        <f t="shared" si="82"/>
        <v>160.73666472156941</v>
      </c>
      <c r="Z232" s="44">
        <f t="shared" si="82"/>
        <v>158.70154517503423</v>
      </c>
      <c r="AA232" s="44">
        <f t="shared" si="82"/>
        <v>156.90591845838742</v>
      </c>
      <c r="AB232" s="44">
        <f t="shared" si="82"/>
        <v>155.36356113788159</v>
      </c>
      <c r="AC232" s="44">
        <f t="shared" si="82"/>
        <v>154.09745241886318</v>
      </c>
      <c r="AD232" s="44">
        <f t="shared" si="82"/>
        <v>153.02874641095644</v>
      </c>
      <c r="AE232" s="44">
        <f t="shared" si="82"/>
        <v>152.25930304053961</v>
      </c>
      <c r="AF232" s="44">
        <f t="shared" si="82"/>
        <v>151.8285206073117</v>
      </c>
      <c r="AG232" s="44">
        <f t="shared" si="82"/>
        <v>151.79095329801171</v>
      </c>
      <c r="AH232" s="44">
        <f>SUM(AH226:AH231)</f>
        <v>152.39379557275404</v>
      </c>
      <c r="AJ232" s="44">
        <f>AH233-AH232</f>
        <v>127.71079726757645</v>
      </c>
      <c r="AK232">
        <f>AJ232/AH233</f>
        <v>0.45593967586378031</v>
      </c>
    </row>
    <row r="233" spans="3:37" x14ac:dyDescent="0.2">
      <c r="C233" t="s">
        <v>364</v>
      </c>
      <c r="D233" s="44">
        <f>SUM(D223:D231)</f>
        <v>162.69230769230768</v>
      </c>
      <c r="E233" s="44">
        <f t="shared" ref="E233:AH233" si="83">SUM(E223:E231)</f>
        <v>167.39850430954519</v>
      </c>
      <c r="F233" s="44">
        <f t="shared" si="83"/>
        <v>171.62040937873633</v>
      </c>
      <c r="G233" s="44">
        <f t="shared" si="83"/>
        <v>175.95606104581717</v>
      </c>
      <c r="H233" s="44">
        <f t="shared" si="83"/>
        <v>180.40948095153183</v>
      </c>
      <c r="I233" s="44">
        <f t="shared" si="83"/>
        <v>184.98494957451302</v>
      </c>
      <c r="J233" s="44">
        <f t="shared" si="83"/>
        <v>189.18551886714599</v>
      </c>
      <c r="K233" s="44">
        <f t="shared" si="83"/>
        <v>193.49413206129458</v>
      </c>
      <c r="L233" s="44">
        <f t="shared" si="83"/>
        <v>197.91520205880363</v>
      </c>
      <c r="M233" s="44">
        <f t="shared" si="83"/>
        <v>202.45350784224723</v>
      </c>
      <c r="N233" s="44">
        <f t="shared" si="83"/>
        <v>207.11423824068783</v>
      </c>
      <c r="O233" s="44">
        <f t="shared" si="83"/>
        <v>209.86049508088257</v>
      </c>
      <c r="P233" s="44">
        <f t="shared" si="83"/>
        <v>212.67168831561384</v>
      </c>
      <c r="Q233" s="44">
        <f t="shared" si="83"/>
        <v>215.55274358073112</v>
      </c>
      <c r="R233" s="44">
        <f t="shared" si="83"/>
        <v>218.50919325316443</v>
      </c>
      <c r="S233" s="44">
        <f t="shared" si="83"/>
        <v>221.5472565029699</v>
      </c>
      <c r="T233" s="44">
        <f t="shared" si="83"/>
        <v>224.5283484426771</v>
      </c>
      <c r="U233" s="44">
        <f t="shared" si="83"/>
        <v>227.60255785619916</v>
      </c>
      <c r="V233" s="44">
        <f t="shared" si="83"/>
        <v>230.77870001167105</v>
      </c>
      <c r="W233" s="44">
        <f t="shared" si="83"/>
        <v>234.06671810473534</v>
      </c>
      <c r="X233" s="44">
        <f t="shared" si="83"/>
        <v>237.47783287929309</v>
      </c>
      <c r="Y233" s="44">
        <f t="shared" si="83"/>
        <v>240.89923184978949</v>
      </c>
      <c r="Z233" s="44">
        <f t="shared" si="83"/>
        <v>244.46810353822013</v>
      </c>
      <c r="AA233" s="44">
        <f t="shared" si="83"/>
        <v>248.20057341809886</v>
      </c>
      <c r="AB233" s="44">
        <f t="shared" si="83"/>
        <v>252.11487061900598</v>
      </c>
      <c r="AC233" s="44">
        <f t="shared" si="83"/>
        <v>256.23160784124508</v>
      </c>
      <c r="AD233" s="44">
        <f t="shared" si="83"/>
        <v>260.4437228157434</v>
      </c>
      <c r="AE233" s="44">
        <f t="shared" si="83"/>
        <v>264.90526103567663</v>
      </c>
      <c r="AF233" s="44">
        <f t="shared" si="83"/>
        <v>269.6460228703732</v>
      </c>
      <c r="AG233" s="44">
        <f t="shared" si="83"/>
        <v>274.69973867736547</v>
      </c>
      <c r="AH233" s="44">
        <f t="shared" si="83"/>
        <v>280.1045928403305</v>
      </c>
    </row>
    <row r="234" spans="3:37" x14ac:dyDescent="0.2">
      <c r="C234" t="s">
        <v>366</v>
      </c>
      <c r="D234" s="44">
        <f>D221-D233</f>
        <v>0</v>
      </c>
      <c r="E234" s="44">
        <f t="shared" ref="E234:AH234" si="84">E221-E233</f>
        <v>0</v>
      </c>
      <c r="F234" s="44">
        <f t="shared" si="84"/>
        <v>0</v>
      </c>
      <c r="G234" s="44">
        <f t="shared" si="84"/>
        <v>0</v>
      </c>
      <c r="H234" s="44">
        <f t="shared" si="84"/>
        <v>0</v>
      </c>
      <c r="I234" s="44">
        <f t="shared" si="84"/>
        <v>0</v>
      </c>
      <c r="J234" s="44">
        <f t="shared" si="84"/>
        <v>0</v>
      </c>
      <c r="K234" s="44">
        <f t="shared" si="84"/>
        <v>0</v>
      </c>
      <c r="L234" s="44">
        <f t="shared" si="84"/>
        <v>0</v>
      </c>
      <c r="M234" s="44">
        <f t="shared" si="84"/>
        <v>0</v>
      </c>
      <c r="N234" s="44">
        <f t="shared" si="84"/>
        <v>0</v>
      </c>
      <c r="O234" s="44">
        <f t="shared" si="84"/>
        <v>0</v>
      </c>
      <c r="P234" s="44">
        <f t="shared" si="84"/>
        <v>0</v>
      </c>
      <c r="Q234" s="44">
        <f t="shared" si="84"/>
        <v>0</v>
      </c>
      <c r="R234" s="44">
        <f t="shared" si="84"/>
        <v>0</v>
      </c>
      <c r="S234" s="44">
        <f t="shared" si="84"/>
        <v>0</v>
      </c>
      <c r="T234" s="44">
        <f t="shared" si="84"/>
        <v>0</v>
      </c>
      <c r="U234" s="44">
        <f t="shared" si="84"/>
        <v>0</v>
      </c>
      <c r="V234" s="44">
        <f t="shared" si="84"/>
        <v>0</v>
      </c>
      <c r="W234" s="44">
        <f t="shared" si="84"/>
        <v>0</v>
      </c>
      <c r="X234" s="44">
        <f t="shared" si="84"/>
        <v>0</v>
      </c>
      <c r="Y234" s="44">
        <f t="shared" si="84"/>
        <v>0</v>
      </c>
      <c r="Z234" s="44">
        <f t="shared" si="84"/>
        <v>0</v>
      </c>
      <c r="AA234" s="44">
        <f t="shared" si="84"/>
        <v>0</v>
      </c>
      <c r="AB234" s="44">
        <f t="shared" si="84"/>
        <v>0</v>
      </c>
      <c r="AC234" s="44">
        <f t="shared" si="84"/>
        <v>0</v>
      </c>
      <c r="AD234" s="44">
        <f t="shared" si="84"/>
        <v>0</v>
      </c>
      <c r="AE234" s="44">
        <f t="shared" si="84"/>
        <v>0</v>
      </c>
      <c r="AF234" s="44">
        <f t="shared" si="84"/>
        <v>0</v>
      </c>
      <c r="AG234" s="44">
        <f t="shared" si="84"/>
        <v>0</v>
      </c>
      <c r="AH234" s="44">
        <f t="shared" si="84"/>
        <v>0</v>
      </c>
      <c r="AJ234" s="208" t="s">
        <v>367</v>
      </c>
    </row>
    <row r="237" spans="3:37" x14ac:dyDescent="0.2">
      <c r="D237">
        <v>0</v>
      </c>
      <c r="E237">
        <v>0.85244366053895815</v>
      </c>
      <c r="F237">
        <v>1.7391480325644026</v>
      </c>
      <c r="G237">
        <v>2.6612035354352193</v>
      </c>
      <c r="H237">
        <v>3.6197328325532796</v>
      </c>
      <c r="I237">
        <v>4.6158917556164401</v>
      </c>
      <c r="J237">
        <v>5.6434227587169081</v>
      </c>
      <c r="K237">
        <v>6.7081095117331042</v>
      </c>
      <c r="L237">
        <v>7.8110226913655527</v>
      </c>
      <c r="M237">
        <v>8.9532613793580857</v>
      </c>
      <c r="N237">
        <v>10.135953787219638</v>
      </c>
      <c r="O237">
        <v>12.13429788743368</v>
      </c>
      <c r="P237">
        <v>14.186719582246729</v>
      </c>
      <c r="Q237">
        <v>16.2943591050192</v>
      </c>
      <c r="R237">
        <v>18.458378502748253</v>
      </c>
      <c r="S237">
        <v>20.679962033824889</v>
      </c>
      <c r="T237">
        <v>22.954551542926836</v>
      </c>
      <c r="U237">
        <v>25.288279551380374</v>
      </c>
      <c r="V237">
        <v>27.682371782227893</v>
      </c>
      <c r="W237">
        <v>30.138077211057443</v>
      </c>
      <c r="X237">
        <v>32.656668488525511</v>
      </c>
      <c r="Y237">
        <v>35.4083536041095</v>
      </c>
      <c r="Z237">
        <v>38.23020227920739</v>
      </c>
      <c r="AA237">
        <v>41.123648817907757</v>
      </c>
      <c r="AB237">
        <v>44.090154025463193</v>
      </c>
      <c r="AC237">
        <v>47.131205665423309</v>
      </c>
      <c r="AD237">
        <v>50.239870569625083</v>
      </c>
      <c r="AE237">
        <v>53.42529311000154</v>
      </c>
      <c r="AF237">
        <v>56.689021111212675</v>
      </c>
      <c r="AG237">
        <v>60.032630788341748</v>
      </c>
      <c r="AH237">
        <v>63.457727234126153</v>
      </c>
    </row>
    <row r="238" spans="3:37" x14ac:dyDescent="0.2">
      <c r="D238">
        <v>0</v>
      </c>
      <c r="E238">
        <v>0.65586546087035691</v>
      </c>
      <c r="F238">
        <v>1.3336354841942164</v>
      </c>
      <c r="G238">
        <v>2.033895442594122</v>
      </c>
      <c r="H238">
        <v>2.7572456320803265</v>
      </c>
      <c r="I238">
        <v>3.5043016537563205</v>
      </c>
      <c r="J238">
        <v>4.2732123067170384</v>
      </c>
      <c r="K238">
        <v>5.0661445286428286</v>
      </c>
      <c r="L238">
        <v>5.8836987368933977</v>
      </c>
      <c r="M238">
        <v>6.7264893733031919</v>
      </c>
      <c r="N238">
        <v>7.595145225804643</v>
      </c>
      <c r="O238">
        <v>8.4714958167382566</v>
      </c>
      <c r="P238">
        <v>9.0494680959378364</v>
      </c>
      <c r="Q238">
        <v>10.001615517123765</v>
      </c>
      <c r="R238">
        <v>10.97866313079219</v>
      </c>
      <c r="S238">
        <v>11.981128252096731</v>
      </c>
      <c r="T238">
        <v>13.007616329178468</v>
      </c>
      <c r="U238">
        <v>14.060298680782333</v>
      </c>
      <c r="V238">
        <v>15.139713379509681</v>
      </c>
      <c r="W238">
        <v>16.246408644405928</v>
      </c>
      <c r="X238">
        <v>17.380943024874131</v>
      </c>
      <c r="Y238">
        <v>19.694587489601123</v>
      </c>
      <c r="Z238">
        <v>20.899200064422857</v>
      </c>
      <c r="AA238">
        <v>22.133291291611283</v>
      </c>
      <c r="AB238">
        <v>23.397456852448531</v>
      </c>
      <c r="AC238">
        <v>24.692303586977886</v>
      </c>
      <c r="AD238">
        <v>26.015633577849879</v>
      </c>
      <c r="AE238">
        <v>27.370610355880629</v>
      </c>
      <c r="AF238">
        <v>28.757867587017373</v>
      </c>
      <c r="AG238">
        <v>30.178050768819951</v>
      </c>
      <c r="AH238">
        <v>31.63181744464287</v>
      </c>
    </row>
    <row r="239" spans="3:37" x14ac:dyDescent="0.2">
      <c r="D239">
        <v>0</v>
      </c>
      <c r="E239">
        <v>1.2388254567818038</v>
      </c>
      <c r="F239">
        <v>2.464199569608347</v>
      </c>
      <c r="G239">
        <v>3.6669035951971374</v>
      </c>
      <c r="H239">
        <v>4.837642419333168</v>
      </c>
      <c r="I239">
        <v>5.967163072822423</v>
      </c>
      <c r="J239">
        <v>7.0583689757817467</v>
      </c>
      <c r="K239">
        <v>8.1463272540316751</v>
      </c>
      <c r="L239">
        <v>9.2288962827412178</v>
      </c>
      <c r="M239">
        <v>10.303893103073889</v>
      </c>
      <c r="N239">
        <v>11.3690986358923</v>
      </c>
      <c r="O239">
        <v>13.132533799227097</v>
      </c>
      <c r="P239">
        <v>14.9015084472342</v>
      </c>
      <c r="Q239">
        <v>16.423604609568891</v>
      </c>
      <c r="R239">
        <v>17.807537872994647</v>
      </c>
      <c r="S239">
        <v>19.042425058021685</v>
      </c>
      <c r="T239">
        <v>20.202281426175286</v>
      </c>
      <c r="U239">
        <v>21.270781040202362</v>
      </c>
      <c r="V239">
        <v>22.245155581898715</v>
      </c>
      <c r="W239">
        <v>23.122658953461482</v>
      </c>
      <c r="X239">
        <v>23.900569769295242</v>
      </c>
      <c r="Y239">
        <v>25.059626034509428</v>
      </c>
      <c r="Z239">
        <v>26.637156019555707</v>
      </c>
      <c r="AA239">
        <v>28.037714850192401</v>
      </c>
      <c r="AB239">
        <v>29.263698603212646</v>
      </c>
      <c r="AC239">
        <v>30.3106461699807</v>
      </c>
      <c r="AD239">
        <v>31.159472257311997</v>
      </c>
      <c r="AE239">
        <v>31.850054529254919</v>
      </c>
      <c r="AF239">
        <v>32.370613564831451</v>
      </c>
      <c r="AG239">
        <v>32.698103822192053</v>
      </c>
      <c r="AH239">
        <v>32.621252588807465</v>
      </c>
    </row>
    <row r="240" spans="3:37" x14ac:dyDescent="0.2">
      <c r="D240">
        <v>89.109936202323638</v>
      </c>
      <c r="E240">
        <v>88.940711567249522</v>
      </c>
      <c r="F240">
        <v>88.764904314477207</v>
      </c>
      <c r="G240">
        <v>88.585740292124513</v>
      </c>
      <c r="H240">
        <v>88.406476140427571</v>
      </c>
      <c r="I240">
        <v>88.230351588668171</v>
      </c>
      <c r="J240">
        <v>88.043740360638722</v>
      </c>
      <c r="K240">
        <v>87.847144604773362</v>
      </c>
      <c r="L240">
        <v>87.641077287192402</v>
      </c>
      <c r="M240">
        <v>87.426059952080806</v>
      </c>
      <c r="N240">
        <v>87.202620371500856</v>
      </c>
      <c r="O240">
        <v>85.966050378965207</v>
      </c>
      <c r="P240">
        <v>85.014255041568987</v>
      </c>
      <c r="Q240">
        <v>83.771400253083044</v>
      </c>
      <c r="R240">
        <v>82.544523363259174</v>
      </c>
      <c r="S240">
        <v>81.336597132042428</v>
      </c>
      <c r="T240">
        <v>80.127689209527972</v>
      </c>
      <c r="U240">
        <v>78.917979690175031</v>
      </c>
      <c r="V240">
        <v>77.707619567650781</v>
      </c>
      <c r="W240">
        <v>76.496729344883349</v>
      </c>
      <c r="X240">
        <v>75.28539763365616</v>
      </c>
      <c r="Y240">
        <v>72.703910939560728</v>
      </c>
      <c r="Z240">
        <v>71.051859350188906</v>
      </c>
      <c r="AA240">
        <v>69.42964541152169</v>
      </c>
      <c r="AB240">
        <v>67.837715831375846</v>
      </c>
      <c r="AC240">
        <v>66.276816867085302</v>
      </c>
      <c r="AD240">
        <v>64.747501288736984</v>
      </c>
      <c r="AE240">
        <v>63.2504166270719</v>
      </c>
      <c r="AF240">
        <v>61.786164126453038</v>
      </c>
      <c r="AG240">
        <v>60.355296838677262</v>
      </c>
      <c r="AH240">
        <v>58.958317709469235</v>
      </c>
    </row>
    <row r="241" spans="4:44" x14ac:dyDescent="0.2">
      <c r="D241">
        <v>34.871127768537121</v>
      </c>
      <c r="E241">
        <v>34.631808229832338</v>
      </c>
      <c r="F241">
        <v>34.39559142265167</v>
      </c>
      <c r="G241">
        <v>34.165756914130959</v>
      </c>
      <c r="H241">
        <v>33.945612092645725</v>
      </c>
      <c r="I241">
        <v>33.738448080050091</v>
      </c>
      <c r="J241">
        <v>33.539034390183602</v>
      </c>
      <c r="K241">
        <v>33.336563886751023</v>
      </c>
      <c r="L241">
        <v>33.131642663444723</v>
      </c>
      <c r="M241">
        <v>32.924891055650271</v>
      </c>
      <c r="N241">
        <v>32.716941730115622</v>
      </c>
      <c r="O241">
        <v>32.222902602157824</v>
      </c>
      <c r="P241">
        <v>31.717620036105167</v>
      </c>
      <c r="Q241">
        <v>31.303254780831185</v>
      </c>
      <c r="R241">
        <v>30.935403767678846</v>
      </c>
      <c r="S241">
        <v>30.618314391074879</v>
      </c>
      <c r="T241">
        <v>30.322901492118881</v>
      </c>
      <c r="U241">
        <v>30.055915210821155</v>
      </c>
      <c r="V241">
        <v>29.818460831330803</v>
      </c>
      <c r="W241">
        <v>29.611638330824658</v>
      </c>
      <c r="X241">
        <v>29.436541124258376</v>
      </c>
      <c r="Y241">
        <v>29.137180279909938</v>
      </c>
      <c r="Z241">
        <v>28.654402350529363</v>
      </c>
      <c r="AA241">
        <v>28.227251153670366</v>
      </c>
      <c r="AB241">
        <v>27.856040876420792</v>
      </c>
      <c r="AC241">
        <v>27.5425677116542</v>
      </c>
      <c r="AD241">
        <v>27.293453125158386</v>
      </c>
      <c r="AE241">
        <v>27.105887743956707</v>
      </c>
      <c r="AF241">
        <v>26.981613615535807</v>
      </c>
      <c r="AG241">
        <v>26.922358017926733</v>
      </c>
      <c r="AH241">
        <v>26.929831781255455</v>
      </c>
    </row>
    <row r="242" spans="4:44" x14ac:dyDescent="0.2">
      <c r="D242">
        <v>8.4778361655826675</v>
      </c>
      <c r="E242">
        <v>8.5273590479522028</v>
      </c>
      <c r="F242">
        <v>8.5800475172229316</v>
      </c>
      <c r="G242">
        <v>8.6364793902666595</v>
      </c>
      <c r="H242">
        <v>8.6972367378841522</v>
      </c>
      <c r="I242">
        <v>8.7628992925187124</v>
      </c>
      <c r="J242">
        <v>8.8299362905587078</v>
      </c>
      <c r="K242">
        <v>8.8984633667138961</v>
      </c>
      <c r="L242">
        <v>8.968599987313107</v>
      </c>
      <c r="M242">
        <v>9.0404693168148462</v>
      </c>
      <c r="N242">
        <v>9.1141980708652355</v>
      </c>
      <c r="O242">
        <v>9.1161100007430562</v>
      </c>
      <c r="P242">
        <v>9.1154352332277178</v>
      </c>
      <c r="Q242">
        <v>9.1336889300477893</v>
      </c>
      <c r="R242">
        <v>9.1611573226904301</v>
      </c>
      <c r="S242">
        <v>9.1985923306429633</v>
      </c>
      <c r="T242">
        <v>9.2415756762028085</v>
      </c>
      <c r="U242">
        <v>9.2902872905606948</v>
      </c>
      <c r="V242">
        <v>9.3449068158767261</v>
      </c>
      <c r="W242">
        <v>9.4056134455567992</v>
      </c>
      <c r="X242">
        <v>9.4725857619194969</v>
      </c>
      <c r="Y242">
        <v>9.43632871377112</v>
      </c>
      <c r="Z242">
        <v>9.3586202557258211</v>
      </c>
      <c r="AA242">
        <v>9.2925891089222148</v>
      </c>
      <c r="AB242">
        <v>9.2345560190164733</v>
      </c>
      <c r="AC242">
        <v>9.1848733074460593</v>
      </c>
      <c r="AD242">
        <v>9.1438583028939249</v>
      </c>
      <c r="AE242">
        <v>9.1118614617014231</v>
      </c>
      <c r="AF242">
        <v>9.0892333656750033</v>
      </c>
      <c r="AG242">
        <v>9.0763243560466194</v>
      </c>
      <c r="AH242">
        <v>9.0734841606762426</v>
      </c>
    </row>
    <row r="243" spans="4:44" x14ac:dyDescent="0.2">
      <c r="D243">
        <v>3.4336211538461541</v>
      </c>
      <c r="E243">
        <v>3.4039429073450349</v>
      </c>
      <c r="F243">
        <v>3.3768760744900019</v>
      </c>
      <c r="G243">
        <v>3.3527440851732484</v>
      </c>
      <c r="H243">
        <v>3.3318354080309307</v>
      </c>
      <c r="I243">
        <v>3.3143988199985892</v>
      </c>
      <c r="J243">
        <v>3.3002703952275603</v>
      </c>
      <c r="K243">
        <v>3.2874612810036066</v>
      </c>
      <c r="L243">
        <v>3.2760511836491495</v>
      </c>
      <c r="M243">
        <v>3.2661157039798039</v>
      </c>
      <c r="N243">
        <v>3.2577258879622448</v>
      </c>
      <c r="O243">
        <v>3.2395173569743867</v>
      </c>
      <c r="P243">
        <v>3.2234407134561462</v>
      </c>
      <c r="Q243">
        <v>3.2228617689397776</v>
      </c>
      <c r="R243">
        <v>3.2312320318889167</v>
      </c>
      <c r="S243">
        <v>3.2486062472838695</v>
      </c>
      <c r="T243">
        <v>3.2690964960492988</v>
      </c>
      <c r="U243">
        <v>3.2948044480814733</v>
      </c>
      <c r="V243">
        <v>3.3255647341435681</v>
      </c>
      <c r="W243">
        <v>3.3612012642059774</v>
      </c>
      <c r="X243">
        <v>3.401527244487875</v>
      </c>
      <c r="Y243">
        <v>3.4250950697699123</v>
      </c>
      <c r="Z243">
        <v>3.4312131552080429</v>
      </c>
      <c r="AA243">
        <v>3.4443353788566604</v>
      </c>
      <c r="AB243">
        <v>3.4641377648203227</v>
      </c>
      <c r="AC243">
        <v>3.4902803067957833</v>
      </c>
      <c r="AD243">
        <v>3.5260419662394975</v>
      </c>
      <c r="AE243">
        <v>3.5372578565235058</v>
      </c>
      <c r="AF243">
        <v>3.5310359705162995</v>
      </c>
      <c r="AG243">
        <v>3.5257856851390637</v>
      </c>
      <c r="AH243">
        <v>3.7281823756180565</v>
      </c>
    </row>
    <row r="244" spans="4:44" x14ac:dyDescent="0.2">
      <c r="D244">
        <v>0</v>
      </c>
      <c r="E244">
        <v>0.67110171196554103</v>
      </c>
      <c r="F244">
        <v>0.75796752501421338</v>
      </c>
      <c r="G244">
        <v>0.85616184156287534</v>
      </c>
      <c r="H244">
        <v>0.9671713517084386</v>
      </c>
      <c r="I244">
        <v>1.0926788620857466</v>
      </c>
      <c r="J244">
        <v>1.2345892759355666</v>
      </c>
      <c r="K244">
        <v>1.3950590265859308</v>
      </c>
      <c r="L244">
        <v>1.5765294246538997</v>
      </c>
      <c r="M244">
        <v>1.7817644407638649</v>
      </c>
      <c r="N244">
        <v>2.0138935152958402</v>
      </c>
      <c r="O244">
        <v>2.2764600657252894</v>
      </c>
      <c r="P244">
        <v>2.5734764517453481</v>
      </c>
      <c r="Q244">
        <v>2.9094862599913314</v>
      </c>
      <c r="R244">
        <v>3.2896348854242845</v>
      </c>
      <c r="S244">
        <v>3.7197495171000581</v>
      </c>
      <c r="T244">
        <v>4.2064297842214451</v>
      </c>
      <c r="U244">
        <v>4.7571504863910397</v>
      </c>
      <c r="V244">
        <v>5.3803780225130033</v>
      </c>
      <c r="W244">
        <v>6.0857023488525108</v>
      </c>
      <c r="X244">
        <v>6.8839865417768289</v>
      </c>
      <c r="Y244">
        <v>7.7875363185562083</v>
      </c>
      <c r="Z244">
        <v>8.8102921847018152</v>
      </c>
      <c r="AA244">
        <v>9.9680472336598847</v>
      </c>
      <c r="AB244">
        <v>11.27869402993422</v>
      </c>
      <c r="AC244">
        <v>12.762504466303872</v>
      </c>
      <c r="AD244">
        <v>14.442447007032245</v>
      </c>
      <c r="AE244">
        <v>16.34454632010209</v>
      </c>
      <c r="AF244">
        <v>18.498290971941969</v>
      </c>
      <c r="AG244">
        <v>20.937095618479546</v>
      </c>
      <c r="AH244">
        <v>23.698824988741201</v>
      </c>
    </row>
    <row r="245" spans="4:44" x14ac:dyDescent="0.2">
      <c r="D245">
        <v>26.799786402018107</v>
      </c>
      <c r="E245">
        <v>28.476446267009429</v>
      </c>
      <c r="F245">
        <v>30.208039438513318</v>
      </c>
      <c r="G245">
        <v>31.997175949332441</v>
      </c>
      <c r="H245">
        <v>33.846528336868261</v>
      </c>
      <c r="I245">
        <v>35.758816448996555</v>
      </c>
      <c r="J245">
        <v>37.262944113386105</v>
      </c>
      <c r="K245">
        <v>38.808858601059178</v>
      </c>
      <c r="L245">
        <v>40.397683801550201</v>
      </c>
      <c r="M245">
        <v>42.030563517222504</v>
      </c>
      <c r="N245">
        <v>43.708661016031428</v>
      </c>
      <c r="O245">
        <v>43.301127172917788</v>
      </c>
      <c r="P245">
        <v>42.889764714091733</v>
      </c>
      <c r="Q245">
        <v>42.49247235612615</v>
      </c>
      <c r="R245">
        <v>42.1026623756877</v>
      </c>
      <c r="S245">
        <v>41.721881540882414</v>
      </c>
      <c r="T245">
        <v>41.196206486276097</v>
      </c>
      <c r="U245">
        <v>40.667061457804721</v>
      </c>
      <c r="V245">
        <v>40.134529296519887</v>
      </c>
      <c r="W245">
        <v>39.598688561487165</v>
      </c>
      <c r="X245">
        <v>39.059613290499435</v>
      </c>
      <c r="Y245">
        <v>38.246613400001515</v>
      </c>
      <c r="Z245">
        <v>37.395157878680259</v>
      </c>
      <c r="AA245">
        <v>36.544050171756595</v>
      </c>
      <c r="AB245">
        <v>35.692416616313942</v>
      </c>
      <c r="AC245">
        <v>34.840409759577973</v>
      </c>
      <c r="AD245">
        <v>33.875444720895381</v>
      </c>
      <c r="AE245">
        <v>32.909333031183962</v>
      </c>
      <c r="AF245">
        <v>31.942182557189575</v>
      </c>
      <c r="AG245">
        <v>30.974092781742478</v>
      </c>
      <c r="AH245">
        <v>30.005154556993865</v>
      </c>
    </row>
    <row r="246" spans="4:44" x14ac:dyDescent="0.2">
      <c r="D246">
        <v>162.69230769230768</v>
      </c>
      <c r="E246">
        <v>164.65136973135409</v>
      </c>
      <c r="F246">
        <v>166.08342629236935</v>
      </c>
      <c r="G246">
        <v>167.59405847259069</v>
      </c>
      <c r="H246">
        <v>169.19486006756506</v>
      </c>
      <c r="I246">
        <v>170.89759309231786</v>
      </c>
      <c r="J246">
        <v>172.21051482593029</v>
      </c>
      <c r="K246">
        <v>173.57355076688697</v>
      </c>
      <c r="L246">
        <v>174.9915843478035</v>
      </c>
      <c r="M246">
        <v>176.46986398651208</v>
      </c>
      <c r="N246">
        <v>178.01404059177122</v>
      </c>
      <c r="O246">
        <v>176.12216757748354</v>
      </c>
      <c r="P246">
        <v>174.53399219019508</v>
      </c>
      <c r="Q246">
        <v>172.83316434901928</v>
      </c>
      <c r="R246">
        <v>171.26461374662938</v>
      </c>
      <c r="S246">
        <v>169.84374115902662</v>
      </c>
      <c r="T246">
        <v>168.3638991443965</v>
      </c>
      <c r="U246">
        <v>166.98319858383411</v>
      </c>
      <c r="V246">
        <v>165.71145926803476</v>
      </c>
      <c r="W246">
        <v>164.55957329581045</v>
      </c>
      <c r="X246">
        <v>163.53965159659819</v>
      </c>
      <c r="Y246">
        <v>160.73666472156941</v>
      </c>
      <c r="Z246">
        <v>158.70154517503423</v>
      </c>
      <c r="AA246">
        <v>156.90591845838742</v>
      </c>
      <c r="AB246">
        <v>155.36356113788159</v>
      </c>
      <c r="AC246">
        <v>154.09745241886318</v>
      </c>
      <c r="AD246">
        <v>153.02874641095644</v>
      </c>
      <c r="AE246">
        <v>152.25930304053961</v>
      </c>
      <c r="AF246">
        <v>151.8285206073117</v>
      </c>
      <c r="AG246">
        <v>151.79095329801171</v>
      </c>
      <c r="AH246">
        <v>152.39379557275404</v>
      </c>
    </row>
    <row r="249" spans="4:44" ht="64" x14ac:dyDescent="0.2">
      <c r="AJ249" s="30"/>
      <c r="AK249" s="139" t="s">
        <v>1</v>
      </c>
      <c r="AL249" s="139" t="s">
        <v>180</v>
      </c>
      <c r="AM249" s="139" t="s">
        <v>181</v>
      </c>
      <c r="AN249" s="139" t="s">
        <v>182</v>
      </c>
      <c r="AO249" s="139" t="s">
        <v>183</v>
      </c>
      <c r="AP249" s="263" t="s">
        <v>28</v>
      </c>
      <c r="AQ249" s="139" t="s">
        <v>51</v>
      </c>
      <c r="AR249" s="139" t="s">
        <v>184</v>
      </c>
    </row>
    <row r="251" spans="4:44" ht="16" x14ac:dyDescent="0.2">
      <c r="AJ251" s="30" t="s">
        <v>188</v>
      </c>
      <c r="AK251" s="143">
        <f>D4+'Yearly LC Propylene'!D4</f>
        <v>274.61538461538458</v>
      </c>
      <c r="AL251" s="137"/>
      <c r="AM251" s="143" t="s">
        <v>167</v>
      </c>
      <c r="AN251" s="137"/>
      <c r="AO251" s="137"/>
      <c r="AP251" s="137"/>
      <c r="AQ251" s="137"/>
      <c r="AR251" s="532" t="s">
        <v>167</v>
      </c>
    </row>
    <row r="252" spans="4:44" x14ac:dyDescent="0.2">
      <c r="AJ252" s="30" t="s">
        <v>183</v>
      </c>
      <c r="AK252" s="137"/>
      <c r="AL252" s="137"/>
      <c r="AM252" s="137"/>
      <c r="AN252" s="137"/>
      <c r="AO252" s="143">
        <f>AH81+'Yearly LC Propylene'!AH39</f>
        <v>87.959014606715002</v>
      </c>
      <c r="AP252" s="137"/>
      <c r="AQ252" s="137"/>
      <c r="AR252" s="137"/>
    </row>
    <row r="253" spans="4:44" x14ac:dyDescent="0.2">
      <c r="AJ253" s="30" t="s">
        <v>28</v>
      </c>
      <c r="AK253" s="137"/>
      <c r="AL253" s="137"/>
      <c r="AM253" s="137"/>
      <c r="AN253" s="137"/>
      <c r="AO253" s="137"/>
      <c r="AP253" s="143">
        <f>AH82+'Yearly LC Propylene'!AH40</f>
        <v>36.278572269013821</v>
      </c>
      <c r="AQ253" s="137"/>
      <c r="AR253" s="137"/>
    </row>
    <row r="254" spans="4:44" x14ac:dyDescent="0.2">
      <c r="AJ254" s="30" t="s">
        <v>193</v>
      </c>
      <c r="AK254" s="137"/>
      <c r="AL254" s="137"/>
      <c r="AM254" s="137"/>
      <c r="AN254" s="137"/>
      <c r="AO254" s="137"/>
      <c r="AP254" s="137"/>
      <c r="AQ254" s="143">
        <f>AH146+AH147+'Yearly LC Propylene'!AH66+'Yearly LC Propylene'!AH67</f>
        <v>70.058978830108813</v>
      </c>
      <c r="AR254" s="137"/>
    </row>
    <row r="255" spans="4:44" x14ac:dyDescent="0.2">
      <c r="AJ255" s="30" t="s">
        <v>195</v>
      </c>
      <c r="AK255" s="137"/>
      <c r="AL255" s="137"/>
      <c r="AM255" s="137"/>
      <c r="AN255" s="137"/>
      <c r="AO255" s="137"/>
      <c r="AP255" s="137"/>
      <c r="AQ255" s="143">
        <f>AH155+AH156+'Yearly LC Propylene'!AH69+'Yearly LC Propylene'!AH70</f>
        <v>4.1100856910731451</v>
      </c>
      <c r="AR255" s="137"/>
    </row>
    <row r="256" spans="4:44" x14ac:dyDescent="0.2">
      <c r="AJ256" s="30" t="s">
        <v>175</v>
      </c>
      <c r="AK256" s="137"/>
      <c r="AL256" s="143">
        <f>AH4-D4+'Yearly LC Propylene'!AH4-'Yearly LC Propylene'!D4</f>
        <v>140.38461538461542</v>
      </c>
      <c r="AM256" s="137"/>
      <c r="AN256" s="533">
        <f>AH83+'Yearly LC Propylene'!AH41</f>
        <v>28.028692099047639</v>
      </c>
      <c r="AO256" s="137"/>
      <c r="AP256" s="137"/>
      <c r="AQ256" s="137"/>
      <c r="AR256" s="137"/>
    </row>
  </sheetData>
  <mergeCells count="30">
    <mergeCell ref="A149:A152"/>
    <mergeCell ref="A153:A154"/>
    <mergeCell ref="A158:A161"/>
    <mergeCell ref="A162:A163"/>
    <mergeCell ref="A120:A121"/>
    <mergeCell ref="A128:A131"/>
    <mergeCell ref="A132:A133"/>
    <mergeCell ref="A140:A143"/>
    <mergeCell ref="A144:A145"/>
    <mergeCell ref="A96:A99"/>
    <mergeCell ref="A100:A101"/>
    <mergeCell ref="A106:A109"/>
    <mergeCell ref="A110:A111"/>
    <mergeCell ref="A116:A119"/>
    <mergeCell ref="A38:A39"/>
    <mergeCell ref="A5:A8"/>
    <mergeCell ref="A9:A10"/>
    <mergeCell ref="A20:A23"/>
    <mergeCell ref="A24:A25"/>
    <mergeCell ref="A34:A37"/>
    <mergeCell ref="A75:A78"/>
    <mergeCell ref="A79:A80"/>
    <mergeCell ref="A85:A88"/>
    <mergeCell ref="A89:A90"/>
    <mergeCell ref="A44:A47"/>
    <mergeCell ref="A48:A49"/>
    <mergeCell ref="A56:A59"/>
    <mergeCell ref="A60:A61"/>
    <mergeCell ref="A66:A69"/>
    <mergeCell ref="A70:A71"/>
  </mergeCells>
  <pageMargins left="0.7" right="0.7" top="0.75" bottom="0.75" header="0.3" footer="0.3"/>
  <pageSetup paperSize="9"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91FC4-54DC-421E-B792-54D5F178C5C2}">
  <sheetPr>
    <tabColor theme="9"/>
  </sheetPr>
  <dimension ref="A2:AT154"/>
  <sheetViews>
    <sheetView zoomScale="85" zoomScaleNormal="85" workbookViewId="0">
      <pane xSplit="3" ySplit="3" topLeftCell="D57" activePane="bottomRight" state="frozen"/>
      <selection pane="topRight" activeCell="C65" sqref="C65"/>
      <selection pane="bottomLeft" activeCell="C65" sqref="C65"/>
      <selection pane="bottomRight" activeCell="AH71" sqref="AH71"/>
    </sheetView>
  </sheetViews>
  <sheetFormatPr baseColWidth="10" defaultColWidth="8.83203125" defaultRowHeight="15" outlineLevelRow="1" outlineLevelCol="1" x14ac:dyDescent="0.2"/>
  <cols>
    <col min="1" max="1" width="53.5" style="1" customWidth="1"/>
    <col min="2" max="2" width="24.5" style="1" customWidth="1"/>
    <col min="5" max="13" width="8.83203125" hidden="1" customWidth="1" outlineLevel="1"/>
    <col min="14" max="14" width="8.83203125" collapsed="1"/>
    <col min="15" max="23" width="8.83203125" hidden="1" customWidth="1" outlineLevel="1"/>
    <col min="24" max="24" width="8.83203125" collapsed="1"/>
    <col min="25" max="33" width="8.83203125" hidden="1" customWidth="1" outlineLevel="1"/>
    <col min="34" max="34" width="8.83203125" collapsed="1"/>
    <col min="36" max="36" width="15.5" customWidth="1"/>
  </cols>
  <sheetData>
    <row r="2" spans="1:36" s="53" customFormat="1" x14ac:dyDescent="0.2">
      <c r="A2" s="52" t="s">
        <v>386</v>
      </c>
      <c r="B2" s="52"/>
      <c r="C2" s="52"/>
    </row>
    <row r="3" spans="1:36" s="1" customFormat="1" x14ac:dyDescent="0.2">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row>
    <row r="4" spans="1:36" x14ac:dyDescent="0.2">
      <c r="A4" s="1" t="s">
        <v>387</v>
      </c>
      <c r="C4" s="54" t="s">
        <v>153</v>
      </c>
      <c r="D4" s="44">
        <f>'Yearly Demand - Eth&amp;Prop'!N5</f>
        <v>111.92307692307692</v>
      </c>
      <c r="E4" s="44">
        <f>'Yearly Demand - Eth&amp;Prop'!O5</f>
        <v>114.14109897114302</v>
      </c>
      <c r="F4" s="44">
        <f>'Yearly Demand - Eth&amp;Prop'!P5</f>
        <v>116.40307640304019</v>
      </c>
      <c r="G4" s="44">
        <f>'Yearly Demand - Eth&amp;Prop'!Q5</f>
        <v>118.70988029927432</v>
      </c>
      <c r="H4" s="44">
        <f>'Yearly Demand - Eth&amp;Prop'!R5</f>
        <v>121.06239900288395</v>
      </c>
      <c r="I4" s="44">
        <f>'Yearly Demand - Eth&amp;Prop'!S5</f>
        <v>123.46153846153845</v>
      </c>
      <c r="J4" s="44">
        <f>'Yearly Demand - Eth&amp;Prop'!T5</f>
        <v>125.68750385067274</v>
      </c>
      <c r="K4" s="44">
        <f>'Yearly Demand - Eth&amp;Prop'!U5</f>
        <v>127.95360256371801</v>
      </c>
      <c r="L4" s="44">
        <f>'Yearly Demand - Eth&amp;Prop'!V5</f>
        <v>130.26055818950272</v>
      </c>
      <c r="M4" s="44">
        <f>'Yearly Demand - Eth&amp;Prop'!W5</f>
        <v>132.60910736289145</v>
      </c>
      <c r="N4" s="44">
        <f>'Yearly Demand - Eth&amp;Prop'!X5</f>
        <v>135</v>
      </c>
      <c r="O4" s="44">
        <f>'Yearly Demand - Eth&amp;Prop'!Y5</f>
        <v>136.22747472491002</v>
      </c>
      <c r="P4" s="44">
        <f>'Yearly Demand - Eth&amp;Prop'!Z5</f>
        <v>137.46611014760001</v>
      </c>
      <c r="Q4" s="44">
        <f>'Yearly Demand - Eth&amp;Prop'!AA5</f>
        <v>138.71600774565835</v>
      </c>
      <c r="R4" s="44">
        <f>'Yearly Demand - Eth&amp;Prop'!AB5</f>
        <v>139.97726991934886</v>
      </c>
      <c r="S4" s="44">
        <f>'Yearly Demand - Eth&amp;Prop'!AC5</f>
        <v>141.25</v>
      </c>
      <c r="T4" s="44">
        <f>'Yearly Demand - Eth&amp;Prop'!AD5</f>
        <v>142.47844586453499</v>
      </c>
      <c r="U4" s="44">
        <f>'Yearly Demand - Eth&amp;Prop'!AE5</f>
        <v>143.71757547591665</v>
      </c>
      <c r="V4" s="44">
        <f>'Yearly Demand - Eth&amp;Prop'!AF5</f>
        <v>144.96748175028398</v>
      </c>
      <c r="W4" s="44">
        <f>'Yearly Demand - Eth&amp;Prop'!AG5</f>
        <v>146.22825841186406</v>
      </c>
      <c r="X4" s="44">
        <f>'Yearly Demand - Eth&amp;Prop'!AH5</f>
        <v>147.5</v>
      </c>
      <c r="Y4" s="44">
        <f>'Yearly Demand - Eth&amp;Prop'!AI5</f>
        <v>148.72933671873375</v>
      </c>
      <c r="Z4" s="44">
        <f>'Yearly Demand - Eth&amp;Prop'!AJ5</f>
        <v>149.96891932742022</v>
      </c>
      <c r="AA4" s="44">
        <f>'Yearly Demand - Eth&amp;Prop'!AK5</f>
        <v>151.21883322028813</v>
      </c>
      <c r="AB4" s="44">
        <f>'Yearly Demand - Eth&amp;Prop'!AL5</f>
        <v>152.47916450328322</v>
      </c>
      <c r="AC4" s="44">
        <f>'Yearly Demand - Eth&amp;Prop'!AM5</f>
        <v>153.75</v>
      </c>
      <c r="AD4" s="44">
        <f>'Yearly Demand - Eth&amp;Prop'!AN5</f>
        <v>154.98015684917894</v>
      </c>
      <c r="AE4" s="44">
        <f>'Yearly Demand - Eth&amp;Prop'!AO5</f>
        <v>156.22015620810475</v>
      </c>
      <c r="AF4" s="44">
        <f>'Yearly Demand - Eth&amp;Prop'!AP5</f>
        <v>157.4700768268963</v>
      </c>
      <c r="AG4" s="44">
        <f>'Yearly Demand - Eth&amp;Prop'!AQ5</f>
        <v>158.72999808575381</v>
      </c>
      <c r="AH4" s="44">
        <f>'Yearly Demand - Eth&amp;Prop'!AR5</f>
        <v>160</v>
      </c>
    </row>
    <row r="6" spans="1:36" x14ac:dyDescent="0.2">
      <c r="A6" s="58" t="s">
        <v>268</v>
      </c>
      <c r="B6" s="58" t="s">
        <v>199</v>
      </c>
      <c r="C6" s="59" t="s">
        <v>153</v>
      </c>
      <c r="D6" s="60">
        <f>'R&amp;S - Transportation'!C4</f>
        <v>17.63451512942034</v>
      </c>
      <c r="E6" s="60">
        <f>D6*(1+'R&amp;S - Transportation'!$B$5)</f>
        <v>17.934301886620485</v>
      </c>
      <c r="F6" s="60">
        <f>E6*(1+'R&amp;S - Transportation'!$B$5)</f>
        <v>18.239185018693032</v>
      </c>
      <c r="G6" s="60">
        <f>F6*(1+'R&amp;S - Transportation'!$B$5)</f>
        <v>18.549251164010812</v>
      </c>
      <c r="H6" s="60">
        <f>G6*(1+'R&amp;S - Transportation'!$B$5)</f>
        <v>18.864588433798993</v>
      </c>
      <c r="I6" s="60">
        <f>H6*(1+'R&amp;S - Transportation'!$B$5)</f>
        <v>19.185286437173573</v>
      </c>
      <c r="J6" s="60">
        <f>I6*(1+'R&amp;S - Transportation'!$B$5)</f>
        <v>19.511436306605521</v>
      </c>
      <c r="K6" s="60">
        <f>J6*(1+'R&amp;S - Transportation'!$B$5)</f>
        <v>19.843130723817815</v>
      </c>
      <c r="L6" s="60">
        <f>K6*(1+'R&amp;S - Transportation'!$B$5)</f>
        <v>20.180463946122718</v>
      </c>
      <c r="M6" s="60">
        <f>L6*(1+'R&amp;S - Transportation'!$B$5)</f>
        <v>20.523531833206803</v>
      </c>
      <c r="N6" s="60">
        <f>M6*(1+'R&amp;S - Transportation'!$B$5)</f>
        <v>20.872431874371316</v>
      </c>
      <c r="O6" s="60">
        <f>N6*(1+'R&amp;S - Transportation'!$B$5)</f>
        <v>21.227263216235627</v>
      </c>
      <c r="P6" s="60">
        <f>O6*(1+'R&amp;S - Transportation'!$B$5)</f>
        <v>21.588126690911633</v>
      </c>
      <c r="Q6" s="60">
        <f>P6*(1+'R&amp;S - Transportation'!$B$5)</f>
        <v>21.955124844657128</v>
      </c>
      <c r="R6" s="60">
        <f>Q6*(1+'R&amp;S - Transportation'!$B$5)</f>
        <v>22.328361967016296</v>
      </c>
      <c r="S6" s="60">
        <f>R6*(1+'R&amp;S - Transportation'!$B$5)</f>
        <v>22.707944120455572</v>
      </c>
      <c r="T6" s="60">
        <f>S6*(1+'R&amp;S - Transportation'!$B$5)</f>
        <v>23.093979170503314</v>
      </c>
      <c r="U6" s="60">
        <f>T6*(1+'R&amp;S - Transportation'!$B$5)</f>
        <v>23.486576816401868</v>
      </c>
      <c r="V6" s="60">
        <f>U6*(1+'R&amp;S - Transportation'!$B$5)</f>
        <v>23.885848622280697</v>
      </c>
      <c r="W6" s="60">
        <f>V6*(1+'R&amp;S - Transportation'!$B$5)</f>
        <v>24.291908048859465</v>
      </c>
      <c r="X6" s="60">
        <f>W6*(1+'R&amp;S - Transportation'!$B$5)</f>
        <v>24.704870485690073</v>
      </c>
      <c r="Y6" s="60">
        <f>X6*(1+'R&amp;S - Transportation'!$B$5)</f>
        <v>25.124853283946802</v>
      </c>
      <c r="Z6" s="60">
        <f>Y6*(1+'R&amp;S - Transportation'!$B$5)</f>
        <v>25.551975789773895</v>
      </c>
      <c r="AA6" s="60">
        <f>Z6*(1+'R&amp;S - Transportation'!$B$5)</f>
        <v>25.986359378200049</v>
      </c>
      <c r="AB6" s="60">
        <f>AA6*(1+'R&amp;S - Transportation'!$B$5)</f>
        <v>26.428127487629446</v>
      </c>
      <c r="AC6" s="60">
        <f>AB6*(1+'R&amp;S - Transportation'!$B$5)</f>
        <v>26.877405654919144</v>
      </c>
      <c r="AD6" s="60">
        <f>AC6*(1+'R&amp;S - Transportation'!$B$5)</f>
        <v>27.334321551052767</v>
      </c>
      <c r="AE6" s="60">
        <f>AD6*(1+'R&amp;S - Transportation'!$B$5)</f>
        <v>27.799005017420662</v>
      </c>
      <c r="AF6" s="60">
        <f>AE6*(1+'R&amp;S - Transportation'!$B$5)</f>
        <v>28.271588102716809</v>
      </c>
      <c r="AG6" s="60">
        <f>AF6*(1+'R&amp;S - Transportation'!$B$5)</f>
        <v>28.752205100462991</v>
      </c>
      <c r="AH6" s="60">
        <f>AG6*(1+'R&amp;S - Transportation'!$B$5)</f>
        <v>29.240992587170858</v>
      </c>
      <c r="AJ6" s="43"/>
    </row>
    <row r="7" spans="1:36" outlineLevel="1" x14ac:dyDescent="0.2">
      <c r="B7" s="1" t="s">
        <v>270</v>
      </c>
      <c r="C7" s="54" t="s">
        <v>153</v>
      </c>
      <c r="D7" s="44">
        <v>0</v>
      </c>
      <c r="E7" s="44">
        <f>E6*('R&amp;S - Transportation'!$B$8*'R&amp;S - Transportation'!$D$19*('Yearly HC Propylene'!E3-'Yearly HC Propylene'!$D$3)/10)</f>
        <v>3.5868603773240977E-2</v>
      </c>
      <c r="F7" s="44">
        <f>F6*('R&amp;S - Transportation'!$B$8*'R&amp;S - Transportation'!$D$19*('Yearly HC Propylene'!F3-'Yearly HC Propylene'!$D$3)/10)</f>
        <v>7.2956740074772139E-2</v>
      </c>
      <c r="G7" s="44">
        <f>G6*('R&amp;S - Transportation'!$B$8*'R&amp;S - Transportation'!$D$19*('Yearly HC Propylene'!G3-'Yearly HC Propylene'!$D$3)/10)</f>
        <v>0.11129550698406489</v>
      </c>
      <c r="H7" s="44">
        <f>H6*('R&amp;S - Transportation'!$B$8*'R&amp;S - Transportation'!$D$19*('Yearly HC Propylene'!H3-'Yearly HC Propylene'!$D$3)/10)</f>
        <v>0.15091670747039199</v>
      </c>
      <c r="I7" s="44">
        <f>I6*('R&amp;S - Transportation'!$B$8*'R&amp;S - Transportation'!$D$19*('Yearly HC Propylene'!I3-'Yearly HC Propylene'!$D$3)/10)</f>
        <v>0.19185286437173577</v>
      </c>
      <c r="J7" s="44">
        <f>J6*('R&amp;S - Transportation'!$B$8*'R&amp;S - Transportation'!$D$19*('Yearly HC Propylene'!J3-'Yearly HC Propylene'!$D$3)/10)</f>
        <v>0.23413723567926628</v>
      </c>
      <c r="K7" s="44">
        <f>K6*('R&amp;S - Transportation'!$B$8*'R&amp;S - Transportation'!$D$19*('Yearly HC Propylene'!K3-'Yearly HC Propylene'!$D$3)/10)</f>
        <v>0.27780383013344945</v>
      </c>
      <c r="L7" s="44">
        <f>L6*('R&amp;S - Transportation'!$B$8*'R&amp;S - Transportation'!$D$19*('Yearly HC Propylene'!L3-'Yearly HC Propylene'!$D$3)/10)</f>
        <v>0.32288742313796354</v>
      </c>
      <c r="M7" s="44">
        <f>M6*('R&amp;S - Transportation'!$B$8*'R&amp;S - Transportation'!$D$19*('Yearly HC Propylene'!M3-'Yearly HC Propylene'!$D$3)/10)</f>
        <v>0.36942357299772255</v>
      </c>
      <c r="N7" s="44">
        <f>N6*('R&amp;S - Transportation'!$B$8*'R&amp;S - Transportation'!$D$19*('Yearly HC Propylene'!N3-'Yearly HC Propylene'!$D$3)/10)</f>
        <v>0.41744863748742639</v>
      </c>
      <c r="O7" s="44">
        <f>O6*('R&amp;S - Transportation'!$B$8*('R&amp;S - Transportation'!$D$19+('R&amp;S - Transportation'!$D$20-'R&amp;S - Transportation'!$D$19)*('Yearly HC Propylene'!O3-'Yearly HC Propylene'!$N$3)/10))</f>
        <v>0.53068158040589075</v>
      </c>
      <c r="P7" s="44">
        <f>P6*('R&amp;S - Transportation'!$B$8*('R&amp;S - Transportation'!$D$19+('R&amp;S - Transportation'!$D$20-'R&amp;S - Transportation'!$D$19)*('Yearly HC Propylene'!P3-'Yearly HC Propylene'!$N$3)/10))</f>
        <v>0.64764380072734895</v>
      </c>
      <c r="Q7" s="44">
        <f>Q6*('R&amp;S - Transportation'!$B$8*('R&amp;S - Transportation'!$D$19+('R&amp;S - Transportation'!$D$20-'R&amp;S - Transportation'!$D$19)*('Yearly HC Propylene'!Q3-'Yearly HC Propylene'!$N$3)/10))</f>
        <v>0.76842936956299934</v>
      </c>
      <c r="R7" s="44">
        <f>R6*('R&amp;S - Transportation'!$B$8*('R&amp;S - Transportation'!$D$19+('R&amp;S - Transportation'!$D$20-'R&amp;S - Transportation'!$D$19)*('Yearly HC Propylene'!R3-'Yearly HC Propylene'!$N$3)/10))</f>
        <v>0.89313447868065199</v>
      </c>
      <c r="S7" s="44">
        <f>S6*('R&amp;S - Transportation'!$B$8*('R&amp;S - Transportation'!$D$19+('R&amp;S - Transportation'!$D$20-'R&amp;S - Transportation'!$D$19)*('Yearly HC Propylene'!S3-'Yearly HC Propylene'!$N$3)/10))</f>
        <v>1.0218574854205007</v>
      </c>
      <c r="T7" s="44">
        <f>T6*('R&amp;S - Transportation'!$B$8*('R&amp;S - Transportation'!$D$19+('R&amp;S - Transportation'!$D$20-'R&amp;S - Transportation'!$D$19)*('Yearly HC Propylene'!T3-'Yearly HC Propylene'!$N$3)/10))</f>
        <v>1.1546989585251657</v>
      </c>
      <c r="U7" s="44">
        <f>U6*('R&amp;S - Transportation'!$B$8*('R&amp;S - Transportation'!$D$19+('R&amp;S - Transportation'!$D$20-'R&amp;S - Transportation'!$D$19)*('Yearly HC Propylene'!U3-'Yearly HC Propylene'!$N$3)/10))</f>
        <v>1.2917617249021029</v>
      </c>
      <c r="V7" s="44">
        <f>V6*('R&amp;S - Transportation'!$B$8*('R&amp;S - Transportation'!$D$19+('R&amp;S - Transportation'!$D$20-'R&amp;S - Transportation'!$D$19)*('Yearly HC Propylene'!V3-'Yearly HC Propylene'!$N$3)/10))</f>
        <v>1.4331509173368417</v>
      </c>
      <c r="W7" s="44">
        <f>W6*('R&amp;S - Transportation'!$B$8*('R&amp;S - Transportation'!$D$19+('R&amp;S - Transportation'!$D$20-'R&amp;S - Transportation'!$D$19)*('Yearly HC Propylene'!W3-'Yearly HC Propylene'!$N$3)/10))</f>
        <v>1.5789740231758649</v>
      </c>
      <c r="X7" s="44">
        <f>X6*('R&amp;S - Transportation'!$B$8*('R&amp;S - Transportation'!$D$19+('R&amp;S - Transportation'!$D$20-'R&amp;S - Transportation'!$D$19)*('Yearly HC Propylene'!X3-'Yearly HC Propylene'!$N$3)/10))</f>
        <v>1.729340933998305</v>
      </c>
      <c r="Y7" s="44">
        <f>Y6*('R&amp;S - Transportation'!$B$8*('R&amp;S - Transportation'!$D$20+('R&amp;S - Transportation'!$D$21-'R&amp;S - Transportation'!$D$20)*('Yearly HC Propylene'!Y3-'Yearly HC Propylene'!$X$3)/10))</f>
        <v>1.8341142897281164</v>
      </c>
      <c r="Z7" s="44">
        <f>Z6*('R&amp;S - Transportation'!$B$8*('R&amp;S - Transportation'!$D$20+('R&amp;S - Transportation'!$D$21-'R&amp;S - Transportation'!$D$20)*('Yearly HC Propylene'!Z3-'Yearly HC Propylene'!$X$3)/10))</f>
        <v>1.9419501600228164</v>
      </c>
      <c r="AA7" s="44">
        <f>AA6*('R&amp;S - Transportation'!$B$8*('R&amp;S - Transportation'!$D$20+('R&amp;S - Transportation'!$D$21-'R&amp;S - Transportation'!$D$20)*('Yearly HC Propylene'!AA3-'Yearly HC Propylene'!$X$3)/10))</f>
        <v>2.052922390877804</v>
      </c>
      <c r="AB7" s="44">
        <f>AB6*('R&amp;S - Transportation'!$B$8*('R&amp;S - Transportation'!$D$20+('R&amp;S - Transportation'!$D$21-'R&amp;S - Transportation'!$D$20)*('Yearly HC Propylene'!AB3-'Yearly HC Propylene'!$X$3)/10))</f>
        <v>2.1671064539856149</v>
      </c>
      <c r="AC7" s="44">
        <f>AC6*('R&amp;S - Transportation'!$B$8*('R&amp;S - Transportation'!$D$20+('R&amp;S - Transportation'!$D$21-'R&amp;S - Transportation'!$D$20)*('Yearly HC Propylene'!AC3-'Yearly HC Propylene'!$X$3)/10))</f>
        <v>2.2845794806681274</v>
      </c>
      <c r="AD7" s="44">
        <f>AD6*('R&amp;S - Transportation'!$B$8*('R&amp;S - Transportation'!$D$20+('R&amp;S - Transportation'!$D$21-'R&amp;S - Transportation'!$D$20)*('Yearly HC Propylene'!AD3-'Yearly HC Propylene'!$X$3)/10))</f>
        <v>2.4054202964926437</v>
      </c>
      <c r="AE7" s="44">
        <f>AE6*('R&amp;S - Transportation'!$B$8*('R&amp;S - Transportation'!$D$20+('R&amp;S - Transportation'!$D$21-'R&amp;S - Transportation'!$D$20)*('Yearly HC Propylene'!AE3-'Yearly HC Propylene'!$X$3)/10))</f>
        <v>2.5297094565852807</v>
      </c>
      <c r="AF7" s="44">
        <f>AF6*('R&amp;S - Transportation'!$B$8*('R&amp;S - Transportation'!$D$20+('R&amp;S - Transportation'!$D$21-'R&amp;S - Transportation'!$D$20)*('Yearly HC Propylene'!AF3-'Yearly HC Propylene'!$X$3)/10))</f>
        <v>2.6575292816553802</v>
      </c>
      <c r="AG7" s="44">
        <f>AG6*('R&amp;S - Transportation'!$B$8*('R&amp;S - Transportation'!$D$20+('R&amp;S - Transportation'!$D$21-'R&amp;S - Transportation'!$D$20)*('Yearly HC Propylene'!AG3-'Yearly HC Propylene'!$X$3)/10))</f>
        <v>2.78896389474491</v>
      </c>
      <c r="AH7" s="44">
        <f>AH6*('R&amp;S - Transportation'!$B$8*('R&amp;S - Transportation'!$D$20+('R&amp;S - Transportation'!$D$21-'R&amp;S - Transportation'!$D$20)*('Yearly HC Propylene'!AH3-'Yearly HC Propylene'!$X$3)/10))</f>
        <v>2.924099258717086</v>
      </c>
      <c r="AJ7" s="43"/>
    </row>
    <row r="8" spans="1:36" outlineLevel="1" x14ac:dyDescent="0.2">
      <c r="B8" s="1" t="s">
        <v>191</v>
      </c>
      <c r="C8" s="54" t="s">
        <v>153</v>
      </c>
      <c r="D8" s="44">
        <f>SUM(D6:D7)</f>
        <v>17.63451512942034</v>
      </c>
      <c r="E8" s="44">
        <f t="shared" ref="E8:AH8" si="1">SUM(E6:E7)</f>
        <v>17.970170490393727</v>
      </c>
      <c r="F8" s="44">
        <f t="shared" si="1"/>
        <v>18.312141758767805</v>
      </c>
      <c r="G8" s="44">
        <f t="shared" si="1"/>
        <v>18.660546670994876</v>
      </c>
      <c r="H8" s="44">
        <f t="shared" si="1"/>
        <v>19.015505141269383</v>
      </c>
      <c r="I8" s="44">
        <f t="shared" si="1"/>
        <v>19.377139301545309</v>
      </c>
      <c r="J8" s="44">
        <f t="shared" si="1"/>
        <v>19.745573542284788</v>
      </c>
      <c r="K8" s="44">
        <f t="shared" si="1"/>
        <v>20.120934553951265</v>
      </c>
      <c r="L8" s="44">
        <f t="shared" si="1"/>
        <v>20.503351369260681</v>
      </c>
      <c r="M8" s="44">
        <f t="shared" si="1"/>
        <v>20.892955406204525</v>
      </c>
      <c r="N8" s="44">
        <f>SUM(N6:N7)</f>
        <v>21.28988051185874</v>
      </c>
      <c r="O8" s="44">
        <f t="shared" si="1"/>
        <v>21.757944796641517</v>
      </c>
      <c r="P8" s="44">
        <f t="shared" si="1"/>
        <v>22.235770491638981</v>
      </c>
      <c r="Q8" s="44">
        <f t="shared" si="1"/>
        <v>22.723554214220126</v>
      </c>
      <c r="R8" s="44">
        <f t="shared" si="1"/>
        <v>23.221496445696946</v>
      </c>
      <c r="S8" s="44">
        <f t="shared" si="1"/>
        <v>23.729801605876073</v>
      </c>
      <c r="T8" s="44">
        <f t="shared" si="1"/>
        <v>24.24867812902848</v>
      </c>
      <c r="U8" s="44">
        <f t="shared" si="1"/>
        <v>24.77833854130397</v>
      </c>
      <c r="V8" s="44">
        <f t="shared" si="1"/>
        <v>25.31899953961754</v>
      </c>
      <c r="W8" s="44">
        <f t="shared" si="1"/>
        <v>25.870882072035329</v>
      </c>
      <c r="X8" s="44">
        <f t="shared" si="1"/>
        <v>26.434211419688378</v>
      </c>
      <c r="Y8" s="44">
        <f t="shared" si="1"/>
        <v>26.958967573674919</v>
      </c>
      <c r="Z8" s="44">
        <f t="shared" si="1"/>
        <v>27.493925949796711</v>
      </c>
      <c r="AA8" s="44">
        <f t="shared" si="1"/>
        <v>28.039281769077853</v>
      </c>
      <c r="AB8" s="44">
        <f t="shared" si="1"/>
        <v>28.59523394161506</v>
      </c>
      <c r="AC8" s="44">
        <f t="shared" si="1"/>
        <v>29.161985135587273</v>
      </c>
      <c r="AD8" s="44">
        <f t="shared" si="1"/>
        <v>29.73974184754541</v>
      </c>
      <c r="AE8" s="44">
        <f t="shared" si="1"/>
        <v>30.328714474005942</v>
      </c>
      <c r="AF8" s="44">
        <f t="shared" si="1"/>
        <v>30.929117384372191</v>
      </c>
      <c r="AG8" s="44">
        <f t="shared" si="1"/>
        <v>31.541168995207901</v>
      </c>
      <c r="AH8" s="44">
        <f t="shared" si="1"/>
        <v>32.165091845887943</v>
      </c>
      <c r="AJ8" s="43"/>
    </row>
    <row r="9" spans="1:36" outlineLevel="1" x14ac:dyDescent="0.2">
      <c r="B9" s="61" t="s">
        <v>77</v>
      </c>
      <c r="C9" s="54" t="s">
        <v>153</v>
      </c>
      <c r="D9" s="44">
        <v>0</v>
      </c>
      <c r="E9" s="44">
        <f>E8*'R&amp;S - Transportation'!$B$15*('R&amp;S - Transportation'!$B$10*'R&amp;S - Transportation'!$B$19*('Yearly HC Propylene'!E$3-'Yearly HC Propylene'!$D$3)/10)</f>
        <v>5.9301562618299296E-2</v>
      </c>
      <c r="F9" s="44">
        <f>F8*'R&amp;S - Transportation'!$B$15*('R&amp;S - Transportation'!$B$10*'R&amp;S - Transportation'!$B$19*('Yearly HC Propylene'!F$3-'Yearly HC Propylene'!$D$3)/10)</f>
        <v>0.12086013560786751</v>
      </c>
      <c r="G9" s="44">
        <f>G8*'R&amp;S - Transportation'!$B$15*('R&amp;S - Transportation'!$B$10*'R&amp;S - Transportation'!$B$19*('Yearly HC Propylene'!G$3-'Yearly HC Propylene'!$D$3)/10)</f>
        <v>0.18473941204284927</v>
      </c>
      <c r="H9" s="44">
        <f>H8*'R&amp;S - Transportation'!$B$15*('R&amp;S - Transportation'!$B$10*'R&amp;S - Transportation'!$B$19*('Yearly HC Propylene'!H$3-'Yearly HC Propylene'!$D$3)/10)</f>
        <v>0.25100466786475584</v>
      </c>
      <c r="I9" s="44">
        <f>I8*'R&amp;S - Transportation'!$B$15*('R&amp;S - Transportation'!$B$10*'R&amp;S - Transportation'!$B$19*('Yearly HC Propylene'!I$3-'Yearly HC Propylene'!$D$3)/10)</f>
        <v>0.31972279847549762</v>
      </c>
      <c r="J9" s="44">
        <f>J8*'R&amp;S - Transportation'!$B$15*('R&amp;S - Transportation'!$B$10*'R&amp;S - Transportation'!$B$19*('Yearly HC Propylene'!J$3-'Yearly HC Propylene'!$D$3)/10)</f>
        <v>0.39096235613723884</v>
      </c>
      <c r="K9" s="44">
        <f>K8*'R&amp;S - Transportation'!$B$15*('R&amp;S - Transportation'!$B$10*'R&amp;S - Transportation'!$B$19*('Yearly HC Propylene'!K$3-'Yearly HC Propylene'!$D$3)/10)</f>
        <v>0.46479358819627425</v>
      </c>
      <c r="L9" s="44">
        <f>L8*'R&amp;S - Transportation'!$B$15*('R&amp;S - Transportation'!$B$10*'R&amp;S - Transportation'!$B$19*('Yearly HC Propylene'!L$3-'Yearly HC Propylene'!$D$3)/10)</f>
        <v>0.54128847614848197</v>
      </c>
      <c r="M9" s="44">
        <f>M8*'R&amp;S - Transportation'!$B$15*('R&amp;S - Transportation'!$B$10*'R&amp;S - Transportation'!$B$19*('Yearly HC Propylene'!M$3-'Yearly HC Propylene'!$D$3)/10)</f>
        <v>0.62052077556427443</v>
      </c>
      <c r="N9" s="44">
        <f>N8*'R&amp;S - Transportation'!$B$15*('R&amp;S - Transportation'!$B$10*'R&amp;S - Transportation'!$B$19*('Yearly HC Propylene'!N$3-'Yearly HC Propylene'!$D$3)/10)</f>
        <v>0.70256605689133844</v>
      </c>
      <c r="O9" s="44">
        <f>O8*'R&amp;S - Transportation'!$B$15*('R&amp;S - Transportation'!$B$10*('R&amp;S - Transportation'!$B$19+('R&amp;S - Transportation'!$B$20-'R&amp;S - Transportation'!$B$19)*('Yearly HC Propylene'!O3-'Yearly HC Propylene'!$N$3)/10))</f>
        <v>0.93341583177592113</v>
      </c>
      <c r="P9" s="44">
        <f>P8*'R&amp;S - Transportation'!$B$15*('R&amp;S - Transportation'!$B$10*('R&amp;S - Transportation'!$B$19+('R&amp;S - Transportation'!$B$20-'R&amp;S - Transportation'!$B$19)*('Yearly HC Propylene'!P3-'Yearly HC Propylene'!$N$3)/10))</f>
        <v>1.1740486819585385</v>
      </c>
      <c r="Q9" s="44">
        <f>Q8*'R&amp;S - Transportation'!$B$15*('R&amp;S - Transportation'!$B$10*('R&amp;S - Transportation'!$B$19+('R&amp;S - Transportation'!$B$20-'R&amp;S - Transportation'!$B$19)*('Yearly HC Propylene'!Q3-'Yearly HC Propylene'!$N$3)/10))</f>
        <v>1.4247668492316021</v>
      </c>
      <c r="R9" s="44">
        <f>R8*'R&amp;S - Transportation'!$B$15*('R&amp;S - Transportation'!$B$10*('R&amp;S - Transportation'!$B$19+('R&amp;S - Transportation'!$B$20-'R&amp;S - Transportation'!$B$19)*('Yearly HC Propylene'!R3-'Yearly HC Propylene'!$N$3)/10))</f>
        <v>1.6858806419575985</v>
      </c>
      <c r="S9" s="44">
        <f>S8*'R&amp;S - Transportation'!$B$15*('R&amp;S - Transportation'!$B$10*('R&amp;S - Transportation'!$B$19+('R&amp;S - Transportation'!$B$20-'R&amp;S - Transportation'!$B$19)*('Yearly HC Propylene'!S3-'Yearly HC Propylene'!$N$3)/10))</f>
        <v>1.9577086324847761</v>
      </c>
      <c r="T9" s="44">
        <f>T8*'R&amp;S - Transportation'!$B$15*('R&amp;S - Transportation'!$B$10*('R&amp;S - Transportation'!$B$19+('R&amp;S - Transportation'!$B$20-'R&amp;S - Transportation'!$B$19)*('Yearly HC Propylene'!T3-'Yearly HC Propylene'!$N$3)/10))</f>
        <v>2.2405778591222316</v>
      </c>
      <c r="U9" s="44">
        <f>U8*'R&amp;S - Transportation'!$B$15*('R&amp;S - Transportation'!$B$10*('R&amp;S - Transportation'!$B$19+('R&amp;S - Transportation'!$B$20-'R&amp;S - Transportation'!$B$19)*('Yearly HC Propylene'!U3-'Yearly HC Propylene'!$N$3)/10))</f>
        <v>2.5348240327753966</v>
      </c>
      <c r="V9" s="44">
        <f>V8*'R&amp;S - Transportation'!$B$15*('R&amp;S - Transportation'!$B$10*('R&amp;S - Transportation'!$B$19+('R&amp;S - Transportation'!$B$20-'R&amp;S - Transportation'!$B$19)*('Yearly HC Propylene'!V3-'Yearly HC Propylene'!$N$3)/10))</f>
        <v>2.8407917483450889</v>
      </c>
      <c r="W9" s="44">
        <f>W8*'R&amp;S - Transportation'!$B$15*('R&amp;S - Transportation'!$B$10*('R&amp;S - Transportation'!$B$19+('R&amp;S - Transportation'!$B$20-'R&amp;S - Transportation'!$B$19)*('Yearly HC Propylene'!W3-'Yearly HC Propylene'!$N$3)/10))</f>
        <v>3.1588347009955138</v>
      </c>
      <c r="X9" s="44">
        <f>X8*'R&amp;S - Transportation'!$B$15*('R&amp;S - Transportation'!$B$10*('R&amp;S - Transportation'!$B$19+('R&amp;S - Transportation'!$B$20-'R&amp;S - Transportation'!$B$19)*('Yearly HC Propylene'!X3-'Yearly HC Propylene'!$N$3)/10))</f>
        <v>3.4893159073988662</v>
      </c>
      <c r="Y9" s="44">
        <f>Y8*'R&amp;S - Transportation'!$B$15*('R&amp;S - Transportation'!$B$10*('R&amp;S - Transportation'!$B$20+('R&amp;S - Transportation'!$B$21-'R&amp;S - Transportation'!$B$20)*('Yearly HC Propylene'!Y3-'Yearly HC Propylene'!$X$3)/10))</f>
        <v>4.0923712776838528</v>
      </c>
      <c r="Z9" s="44">
        <f>Z8*'R&amp;S - Transportation'!$B$15*('R&amp;S - Transportation'!$B$10*('R&amp;S - Transportation'!$B$20+('R&amp;S - Transportation'!$B$21-'R&amp;S - Transportation'!$B$20)*('Yearly HC Propylene'!Z3-'Yearly HC Propylene'!$X$3)/10))</f>
        <v>4.7179576929851157</v>
      </c>
      <c r="AA9" s="44">
        <f>AA8*'R&amp;S - Transportation'!$B$15*('R&amp;S - Transportation'!$B$10*('R&amp;S - Transportation'!$B$20+('R&amp;S - Transportation'!$B$21-'R&amp;S - Transportation'!$B$20)*('Yearly HC Propylene'!AA3-'Yearly HC Propylene'!$X$3)/10))</f>
        <v>5.3667185306015019</v>
      </c>
      <c r="AB9" s="44">
        <f>AB8*'R&amp;S - Transportation'!$B$15*('R&amp;S - Transportation'!$B$10*('R&amp;S - Transportation'!$B$20+('R&amp;S - Transportation'!$B$21-'R&amp;S - Transportation'!$B$20)*('Yearly HC Propylene'!AB3-'Yearly HC Propylene'!$X$3)/10))</f>
        <v>6.0393134084691011</v>
      </c>
      <c r="AC9" s="44">
        <f>AC8*'R&amp;S - Transportation'!$B$15*('R&amp;S - Transportation'!$B$10*('R&amp;S - Transportation'!$B$20+('R&amp;S - Transportation'!$B$21-'R&amp;S - Transportation'!$B$20)*('Yearly HC Propylene'!AC3-'Yearly HC Propylene'!$X$3)/10))</f>
        <v>6.7364185663206593</v>
      </c>
      <c r="AD9" s="44">
        <f>AD8*'R&amp;S - Transportation'!$B$15*('R&amp;S - Transportation'!$B$10*('R&amp;S - Transportation'!$B$20+('R&amp;S - Transportation'!$B$21-'R&amp;S - Transportation'!$B$20)*('Yearly HC Propylene'!AD3-'Yearly HC Propylene'!$X$3)/10))</f>
        <v>7.4587272553643897</v>
      </c>
      <c r="AE9" s="44">
        <f>AE8*'R&amp;S - Transportation'!$B$15*('R&amp;S - Transportation'!$B$10*('R&amp;S - Transportation'!$B$20+('R&amp;S - Transportation'!$B$21-'R&amp;S - Transportation'!$B$20)*('Yearly HC Propylene'!AE3-'Yearly HC Propylene'!$X$3)/10))</f>
        <v>8.2069501366660074</v>
      </c>
      <c r="AF9" s="44">
        <f>AF8*'R&amp;S - Transportation'!$B$15*('R&amp;S - Transportation'!$B$10*('R&amp;S - Transportation'!$B$20+('R&amp;S - Transportation'!$B$21-'R&amp;S - Transportation'!$B$20)*('Yearly HC Propylene'!AF3-'Yearly HC Propylene'!$X$3)/10))</f>
        <v>8.9818156884216833</v>
      </c>
      <c r="AG9" s="44">
        <f>AG8*'R&amp;S - Transportation'!$B$15*('R&amp;S - Transportation'!$B$10*('R&amp;S - Transportation'!$B$20+('R&amp;S - Transportation'!$B$21-'R&amp;S - Transportation'!$B$20)*('Yearly HC Propylene'!AG3-'Yearly HC Propylene'!$X$3)/10))</f>
        <v>9.7840706223134895</v>
      </c>
      <c r="AH9" s="44">
        <f>AH8*'R&amp;S - Transportation'!$B$15*('R&amp;S - Transportation'!$B$10*('R&amp;S - Transportation'!$B$20+('R&amp;S - Transportation'!$B$21-'R&amp;S - Transportation'!$B$20)*('Yearly HC Propylene'!AH3-'Yearly HC Propylene'!$X$3)/10))</f>
        <v>10.614480309143021</v>
      </c>
    </row>
    <row r="10" spans="1:36" outlineLevel="1" x14ac:dyDescent="0.2">
      <c r="B10" s="61" t="s">
        <v>194</v>
      </c>
      <c r="C10" s="54" t="s">
        <v>153</v>
      </c>
      <c r="D10" s="44">
        <v>0</v>
      </c>
      <c r="E10" s="44">
        <f>(E8-E9)*'R&amp;S - Transportation'!$B$15*('R&amp;S - Transportation'!$B$11*'R&amp;S - Transportation'!$B$19*('Yearly HC Propylene'!E$3-'Yearly HC Propylene'!$D$3)/10)</f>
        <v>3.7612824748328402E-2</v>
      </c>
      <c r="F10" s="44">
        <f>(F8-F9)*'R&amp;S - Transportation'!$B$15*('R&amp;S - Transportation'!$B$11*'R&amp;S - Transportation'!$B$19*('Yearly HC Propylene'!F$3-'Yearly HC Propylene'!$D$3)/10)</f>
        <v>7.6403382817271756E-2</v>
      </c>
      <c r="G10" s="44">
        <f>(G8-G9)*'R&amp;S - Transportation'!$B$15*('R&amp;S - Transportation'!$B$11*'R&amp;S - Transportation'!$B$19*('Yearly HC Propylene'!G$3-'Yearly HC Propylene'!$D$3)/10)</f>
        <v>0.11639758573139777</v>
      </c>
      <c r="H10" s="44">
        <f>(H8-H9)*'R&amp;S - Transportation'!$B$15*('R&amp;S - Transportation'!$B$11*'R&amp;S - Transportation'!$B$19*('Yearly HC Propylene'!H$3-'Yearly HC Propylene'!$D$3)/10)</f>
        <v>0.15762180397659889</v>
      </c>
      <c r="I10" s="44">
        <f>(I8-I9)*'R&amp;S - Transportation'!$B$15*('R&amp;S - Transportation'!$B$11*'R&amp;S - Transportation'!$B$19*('Yearly HC Propylene'!I$3-'Yearly HC Propylene'!$D$3)/10)</f>
        <v>0.20010287328223306</v>
      </c>
      <c r="J10" s="44">
        <f>(J8-J9)*'R&amp;S - Transportation'!$B$15*('R&amp;S - Transportation'!$B$11*'R&amp;S - Transportation'!$B$19*('Yearly HC Propylene'!J$3-'Yearly HC Propylene'!$D$3)/10)</f>
        <v>0.24386810094545913</v>
      </c>
      <c r="K10" s="44">
        <f>(K8-K9)*'R&amp;S - Transportation'!$B$15*('R&amp;S - Transportation'!$B$11*'R&amp;S - Transportation'!$B$19*('Yearly HC Propylene'!K$3-'Yearly HC Propylene'!$D$3)/10)</f>
        <v>0.28894527219659838</v>
      </c>
      <c r="L10" s="44">
        <f>(L8-L9)*'R&amp;S - Transportation'!$B$15*('R&amp;S - Transportation'!$B$11*'R&amp;S - Transportation'!$B$19*('Yearly HC Propylene'!L$3-'Yearly HC Propylene'!$D$3)/10)</f>
        <v>0.33536265660428499</v>
      </c>
      <c r="M10" s="44">
        <f>(M8-M9)*'R&amp;S - Transportation'!$B$15*('R&amp;S - Transportation'!$B$11*'R&amp;S - Transportation'!$B$19*('Yearly HC Propylene'!M$3-'Yearly HC Propylene'!$D$3)/10)</f>
        <v>0.38314901451910077</v>
      </c>
      <c r="N10" s="44">
        <f>(N8-N9)*'R&amp;S - Transportation'!$B$15*('R&amp;S - Transportation'!$B$11*'R&amp;S - Transportation'!$B$19*('Yearly HC Propylene'!N$3-'Yearly HC Propylene'!$D$3)/10)</f>
        <v>0.43233360355431544</v>
      </c>
      <c r="O10" s="44">
        <f>(O8-O9)*'R&amp;S - Transportation'!$B$15*('R&amp;S - Transportation'!$B$11*('R&amp;S - Transportation'!$B$19+('R&amp;S - Transportation'!$B$20-'R&amp;S - Transportation'!$B$19)*('Yearly HC Propylene'!O$3-'Yearly HC Propylene'!$N$3)/10))</f>
        <v>0.56850964074083077</v>
      </c>
      <c r="P10" s="44">
        <f>(P8-P9)*'R&amp;S - Transportation'!$B$15*('R&amp;S - Transportation'!$B$11*('R&amp;S - Transportation'!$B$19+('R&amp;S - Transportation'!$B$20-'R&amp;S - Transportation'!$B$19)*('Yearly HC Propylene'!P$3-'Yearly HC Propylene'!$N$3)/10))</f>
        <v>0.70767385280526296</v>
      </c>
      <c r="Q10" s="44">
        <f>(Q8-Q9)*'R&amp;S - Transportation'!$B$15*('R&amp;S - Transportation'!$B$11*('R&amp;S - Transportation'!$B$19+('R&amp;S - Transportation'!$B$20-'R&amp;S - Transportation'!$B$19)*('Yearly HC Propylene'!Q$3-'Yearly HC Propylene'!$N$3)/10))</f>
        <v>0.84982161586304206</v>
      </c>
      <c r="R10" s="44">
        <f>(R8-R9)*'R&amp;S - Transportation'!$B$15*('R&amp;S - Transportation'!$B$11*('R&amp;S - Transportation'!$B$19+('R&amp;S - Transportation'!$B$20-'R&amp;S - Transportation'!$B$19)*('Yearly HC Propylene'!R$3-'Yearly HC Propylene'!$N$3)/10))</f>
        <v>0.99494545013275792</v>
      </c>
      <c r="S10" s="44">
        <f>(S8-S9)*'R&amp;S - Transportation'!$B$15*('R&amp;S - Transportation'!$B$11*('R&amp;S - Transportation'!$B$19+('R&amp;S - Transportation'!$B$20-'R&amp;S - Transportation'!$B$19)*('Yearly HC Propylene'!S$3-'Yearly HC Propylene'!$N$3)/10))</f>
        <v>1.1430348811030429</v>
      </c>
      <c r="T10" s="44">
        <f>(T8-T9)*'R&amp;S - Transportation'!$B$15*('R&amp;S - Transportation'!$B$11*('R&amp;S - Transportation'!$B$19+('R&amp;S - Transportation'!$B$20-'R&amp;S - Transportation'!$B$19)*('Yearly HC Propylene'!T$3-'Yearly HC Propylene'!$N$3)/10))</f>
        <v>1.2940762958704874</v>
      </c>
      <c r="U10" s="44">
        <f>(U8-U9)*'R&amp;S - Transportation'!$B$15*('R&amp;S - Transportation'!$B$11*('R&amp;S - Transportation'!$B$19+('R&amp;S - Transportation'!$B$20-'R&amp;S - Transportation'!$B$19)*('Yearly HC Propylene'!U$3-'Yearly HC Propylene'!$N$3)/10))</f>
        <v>1.4480527945052102</v>
      </c>
      <c r="V10" s="44">
        <f>(V8-V9)*'R&amp;S - Transportation'!$B$15*('R&amp;S - Transportation'!$B$11*('R&amp;S - Transportation'!$B$19+('R&amp;S - Transportation'!$B$20-'R&amp;S - Transportation'!$B$19)*('Yearly HC Propylene'!V$3-'Yearly HC Propylene'!$N$3)/10))</f>
        <v>1.6049440362968532</v>
      </c>
      <c r="W10" s="44">
        <f>(W8-W9)*'R&amp;S - Transportation'!$B$15*('R&amp;S - Transportation'!$B$11*('R&amp;S - Transportation'!$B$19+('R&amp;S - Transportation'!$B$20-'R&amp;S - Transportation'!$B$19)*('Yearly HC Propylene'!W$3-'Yearly HC Propylene'!$N$3)/10))</f>
        <v>1.7647260807297935</v>
      </c>
      <c r="X10" s="44">
        <f>(X8-X9)*'R&amp;S - Transportation'!$B$15*('R&amp;S - Transportation'!$B$11*('R&amp;S - Transportation'!$B$19+('R&amp;S - Transportation'!$B$20-'R&amp;S - Transportation'!$B$19)*('Yearly HC Propylene'!X$3-'Yearly HC Propylene'!$N$3)/10))</f>
        <v>1.9273712230323192</v>
      </c>
      <c r="Y10" s="44">
        <f>(Y8-Y9)*'R&amp;S - Transportation'!$B$15*('R&amp;S - Transportation'!$B$11*('R&amp;S - Transportation'!$B$20+('R&amp;S - Transportation'!$B$21-'R&amp;S - Transportation'!$B$20)*('Yearly HC Propylene'!Y$3-'Yearly HC Propylene'!$X$3)/10))</f>
        <v>2.2089132021927371</v>
      </c>
      <c r="Z10" s="44">
        <f>(Z8-Z9)*'R&amp;S - Transportation'!$B$15*('R&amp;S - Transportation'!$B$11*('R&amp;S - Transportation'!$B$20+('R&amp;S - Transportation'!$B$21-'R&amp;S - Transportation'!$B$20)*('Yearly HC Propylene'!Z$3-'Yearly HC Propylene'!$X$3)/10))</f>
        <v>2.4871357336438265</v>
      </c>
      <c r="AA10" s="44">
        <f>(AA8-AA9)*'R&amp;S - Transportation'!$B$15*('R&amp;S - Transportation'!$B$11*('R&amp;S - Transportation'!$B$20+('R&amp;S - Transportation'!$B$21-'R&amp;S - Transportation'!$B$20)*('Yearly HC Propylene'!AA$3-'Yearly HC Propylene'!$X$3)/10))</f>
        <v>2.7615182024464198</v>
      </c>
      <c r="AB10" s="44">
        <f>(AB8-AB9)*'R&amp;S - Transportation'!$B$15*('R&amp;S - Transportation'!$B$11*('R&amp;S - Transportation'!$B$20+('R&amp;S - Transportation'!$B$21-'R&amp;S - Transportation'!$B$20)*('Yearly HC Propylene'!AB$3-'Yearly HC Propylene'!$X$3)/10))</f>
        <v>3.0315157196548164</v>
      </c>
      <c r="AC10" s="44">
        <f>(AC8-AC9)*'R&amp;S - Transportation'!$B$15*('R&amp;S - Transportation'!$B$11*('R&amp;S - Transportation'!$B$20+('R&amp;S - Transportation'!$B$21-'R&amp;S - Transportation'!$B$20)*('Yearly HC Propylene'!AC$3-'Yearly HC Propylene'!$X$3)/10))</f>
        <v>3.2965582856821922</v>
      </c>
      <c r="AD10" s="44">
        <f>(AD8-AD9)*'R&amp;S - Transportation'!$B$15*('R&amp;S - Transportation'!$B$11*('R&amp;S - Transportation'!$B$20+('R&amp;S - Transportation'!$B$21-'R&amp;S - Transportation'!$B$20)*('Yearly HC Propylene'!AD$3-'Yearly HC Propylene'!$X$3)/10))</f>
        <v>3.5560499289120906</v>
      </c>
      <c r="AE10" s="44">
        <f>(AE8-AE9)*'R&amp;S - Transportation'!$B$15*('R&amp;S - Transportation'!$B$11*('R&amp;S - Transportation'!$B$20+('R&amp;S - Transportation'!$B$21-'R&amp;S - Transportation'!$B$20)*('Yearly HC Propylene'!AE$3-'Yearly HC Propylene'!$X$3)/10))</f>
        <v>3.8093678188899367</v>
      </c>
      <c r="AF10" s="44">
        <f>(AF8-AF9)*'R&amp;S - Transportation'!$B$15*('R&amp;S - Transportation'!$B$11*('R&amp;S - Transportation'!$B$20+('R&amp;S - Transportation'!$B$21-'R&amp;S - Transportation'!$B$20)*('Yearly HC Propylene'!AF$3-'Yearly HC Propylene'!$X$3)/10))</f>
        <v>4.0558613534116539</v>
      </c>
      <c r="AG10" s="44">
        <f>(AG8-AG9)*'R&amp;S - Transportation'!$B$15*('R&amp;S - Transportation'!$B$11*('R&amp;S - Transportation'!$B$20+('R&amp;S - Transportation'!$B$21-'R&amp;S - Transportation'!$B$20)*('Yearly HC Propylene'!AG$3-'Yearly HC Propylene'!$X$3)/10))</f>
        <v>4.2948512188093568</v>
      </c>
      <c r="AH10" s="44">
        <f>(AH8-AH9)*'R&amp;S - Transportation'!$B$15*('R&amp;S - Transportation'!$B$11*('R&amp;S - Transportation'!$B$20+('R&amp;S - Transportation'!$B$21-'R&amp;S - Transportation'!$B$20)*('Yearly HC Propylene'!AH$3-'Yearly HC Propylene'!$X$3)/10))</f>
        <v>4.5256284227164336</v>
      </c>
    </row>
    <row r="11" spans="1:36" outlineLevel="1" x14ac:dyDescent="0.2">
      <c r="B11" s="1" t="s">
        <v>168</v>
      </c>
      <c r="C11" s="54" t="s">
        <v>153</v>
      </c>
      <c r="D11" s="44">
        <f>SUM(D9:D10)</f>
        <v>0</v>
      </c>
      <c r="E11" s="44">
        <f t="shared" ref="E11:AH11" si="2">SUM(E9:E10)</f>
        <v>9.6914387366627691E-2</v>
      </c>
      <c r="F11" s="44">
        <f t="shared" si="2"/>
        <v>0.19726351842513928</v>
      </c>
      <c r="G11" s="44">
        <f t="shared" si="2"/>
        <v>0.30113699777424707</v>
      </c>
      <c r="H11" s="44">
        <f t="shared" si="2"/>
        <v>0.4086264718413547</v>
      </c>
      <c r="I11" s="44">
        <f t="shared" si="2"/>
        <v>0.51982567175773065</v>
      </c>
      <c r="J11" s="44">
        <f t="shared" si="2"/>
        <v>0.63483045708269792</v>
      </c>
      <c r="K11" s="44">
        <f t="shared" si="2"/>
        <v>0.75373886039287263</v>
      </c>
      <c r="L11" s="44">
        <f t="shared" si="2"/>
        <v>0.87665113275276696</v>
      </c>
      <c r="M11" s="44">
        <f t="shared" si="2"/>
        <v>1.0036697900833751</v>
      </c>
      <c r="N11" s="44">
        <f t="shared" si="2"/>
        <v>1.1348996604456538</v>
      </c>
      <c r="O11" s="44">
        <f t="shared" si="2"/>
        <v>1.5019254725167519</v>
      </c>
      <c r="P11" s="44">
        <f t="shared" si="2"/>
        <v>1.8817225347638016</v>
      </c>
      <c r="Q11" s="44">
        <f t="shared" si="2"/>
        <v>2.2745884650946442</v>
      </c>
      <c r="R11" s="44">
        <f t="shared" si="2"/>
        <v>2.6808260920903564</v>
      </c>
      <c r="S11" s="44">
        <f t="shared" si="2"/>
        <v>3.100743513587819</v>
      </c>
      <c r="T11" s="44">
        <f t="shared" si="2"/>
        <v>3.5346541549927188</v>
      </c>
      <c r="U11" s="44">
        <f t="shared" si="2"/>
        <v>3.9828768272806068</v>
      </c>
      <c r="V11" s="44">
        <f t="shared" si="2"/>
        <v>4.4457357846419416</v>
      </c>
      <c r="W11" s="44">
        <f t="shared" si="2"/>
        <v>4.9235607817253069</v>
      </c>
      <c r="X11" s="44">
        <f t="shared" si="2"/>
        <v>5.4166871304311854</v>
      </c>
      <c r="Y11" s="44">
        <f t="shared" si="2"/>
        <v>6.3012844798765899</v>
      </c>
      <c r="Z11" s="44">
        <f t="shared" si="2"/>
        <v>7.2050934266289417</v>
      </c>
      <c r="AA11" s="44">
        <f t="shared" si="2"/>
        <v>8.1282367330479222</v>
      </c>
      <c r="AB11" s="44">
        <f t="shared" si="2"/>
        <v>9.0708291281239184</v>
      </c>
      <c r="AC11" s="44">
        <f t="shared" si="2"/>
        <v>10.032976852002852</v>
      </c>
      <c r="AD11" s="44">
        <f t="shared" si="2"/>
        <v>11.014777184276481</v>
      </c>
      <c r="AE11" s="44">
        <f t="shared" si="2"/>
        <v>12.016317955555945</v>
      </c>
      <c r="AF11" s="44">
        <f t="shared" si="2"/>
        <v>13.037677041833337</v>
      </c>
      <c r="AG11" s="44">
        <f t="shared" si="2"/>
        <v>14.078921841122845</v>
      </c>
      <c r="AH11" s="44">
        <f t="shared" si="2"/>
        <v>15.140108731859454</v>
      </c>
      <c r="AI11" s="44"/>
    </row>
    <row r="12" spans="1:36" outlineLevel="1" x14ac:dyDescent="0.2">
      <c r="B12" s="1" t="s">
        <v>172</v>
      </c>
      <c r="C12" s="54" t="s">
        <v>153</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6" s="1" customFormat="1" x14ac:dyDescent="0.2">
      <c r="A13" s="62"/>
      <c r="B13" s="62" t="s">
        <v>197</v>
      </c>
      <c r="C13" s="63" t="s">
        <v>153</v>
      </c>
      <c r="D13" s="64">
        <f>D8-D11-D12</f>
        <v>17.63451512942034</v>
      </c>
      <c r="E13" s="64">
        <f t="shared" ref="E13:AG13" si="3">E8-E11-E12</f>
        <v>17.873256103027099</v>
      </c>
      <c r="F13" s="64">
        <f t="shared" si="3"/>
        <v>18.114878240342666</v>
      </c>
      <c r="G13" s="64">
        <f t="shared" si="3"/>
        <v>18.359409673220629</v>
      </c>
      <c r="H13" s="64">
        <f t="shared" si="3"/>
        <v>18.606878669428028</v>
      </c>
      <c r="I13" s="64">
        <f t="shared" si="3"/>
        <v>18.85731362978758</v>
      </c>
      <c r="J13" s="64">
        <f t="shared" si="3"/>
        <v>19.110743085202088</v>
      </c>
      <c r="K13" s="64">
        <f t="shared" si="3"/>
        <v>19.367195693558394</v>
      </c>
      <c r="L13" s="64">
        <f t="shared" si="3"/>
        <v>19.626700236507915</v>
      </c>
      <c r="M13" s="64">
        <f t="shared" si="3"/>
        <v>19.88928561612115</v>
      </c>
      <c r="N13" s="64">
        <f>N8-N11-N12</f>
        <v>20.154980851413086</v>
      </c>
      <c r="O13" s="64">
        <f t="shared" si="3"/>
        <v>20.256019324124765</v>
      </c>
      <c r="P13" s="64">
        <f t="shared" si="3"/>
        <v>20.354047956875178</v>
      </c>
      <c r="Q13" s="64">
        <f t="shared" si="3"/>
        <v>20.448965749125481</v>
      </c>
      <c r="R13" s="64">
        <f t="shared" si="3"/>
        <v>20.54067035360659</v>
      </c>
      <c r="S13" s="64">
        <f t="shared" si="3"/>
        <v>20.629058092288254</v>
      </c>
      <c r="T13" s="64">
        <f t="shared" si="3"/>
        <v>20.714023974035761</v>
      </c>
      <c r="U13" s="64">
        <f t="shared" si="3"/>
        <v>20.795461714023364</v>
      </c>
      <c r="V13" s="64">
        <f t="shared" si="3"/>
        <v>20.873263754975596</v>
      </c>
      <c r="W13" s="64">
        <f t="shared" si="3"/>
        <v>20.947321290310022</v>
      </c>
      <c r="X13" s="64">
        <f t="shared" si="3"/>
        <v>21.017524289257192</v>
      </c>
      <c r="Y13" s="64">
        <f t="shared" si="3"/>
        <v>20.65768309379833</v>
      </c>
      <c r="Z13" s="64">
        <f t="shared" si="3"/>
        <v>20.28883252316777</v>
      </c>
      <c r="AA13" s="64">
        <f t="shared" si="3"/>
        <v>19.911045036029932</v>
      </c>
      <c r="AB13" s="64">
        <f t="shared" si="3"/>
        <v>19.524404813491142</v>
      </c>
      <c r="AC13" s="64">
        <f t="shared" si="3"/>
        <v>19.129008283584419</v>
      </c>
      <c r="AD13" s="64">
        <f t="shared" si="3"/>
        <v>18.724964663268928</v>
      </c>
      <c r="AE13" s="64">
        <f t="shared" si="3"/>
        <v>18.312396518449997</v>
      </c>
      <c r="AF13" s="64">
        <f t="shared" si="3"/>
        <v>17.891440342538854</v>
      </c>
      <c r="AG13" s="64">
        <f t="shared" si="3"/>
        <v>17.462247154085055</v>
      </c>
      <c r="AH13" s="64">
        <f>AH8-AH11-AH12</f>
        <v>17.024983114028487</v>
      </c>
    </row>
    <row r="14" spans="1:36" x14ac:dyDescent="0.2">
      <c r="A14" s="1" t="s">
        <v>198</v>
      </c>
      <c r="B14" s="1" t="s">
        <v>199</v>
      </c>
      <c r="C14" s="54" t="s">
        <v>153</v>
      </c>
      <c r="D14" s="44">
        <f>'R&amp;S - Packaging and hh goods'!I4</f>
        <v>46.844581662413418</v>
      </c>
      <c r="E14" s="44">
        <f>D14*(1+'R&amp;S - Packaging and hh goods'!$B$5)</f>
        <v>47.500405805687208</v>
      </c>
      <c r="F14" s="44">
        <f>E14*(1+'R&amp;S - Packaging and hh goods'!$B$5)</f>
        <v>48.165411486966832</v>
      </c>
      <c r="G14" s="44">
        <f>F14*(1+'R&amp;S - Packaging and hh goods'!$B$5)</f>
        <v>48.839727247784367</v>
      </c>
      <c r="H14" s="44">
        <f>G14*(1+'R&amp;S - Packaging and hh goods'!$B$5)</f>
        <v>49.523483429253346</v>
      </c>
      <c r="I14" s="44">
        <f>H14*(1+'R&amp;S - Packaging and hh goods'!$B$5)</f>
        <v>50.216812197262897</v>
      </c>
      <c r="J14" s="44">
        <f>I14*(1+'R&amp;S - Packaging and hh goods'!$B$5)</f>
        <v>50.919847568024579</v>
      </c>
      <c r="K14" s="44">
        <f>J14*(1+'R&amp;S - Packaging and hh goods'!$B$5)</f>
        <v>51.632725433976923</v>
      </c>
      <c r="L14" s="44">
        <f>K14*(1+'R&amp;S - Packaging and hh goods'!$B$5)</f>
        <v>52.355583590052603</v>
      </c>
      <c r="M14" s="44">
        <f>L14*(1+'R&amp;S - Packaging and hh goods'!$B$5)</f>
        <v>53.08856176031334</v>
      </c>
      <c r="N14" s="44">
        <f>M14*(1+'R&amp;S - Packaging and hh goods'!$B$5)</f>
        <v>53.831801624957727</v>
      </c>
      <c r="O14" s="44">
        <f>N14*(1+'R&amp;S - Packaging and hh goods'!$B$5)</f>
        <v>54.585446847707139</v>
      </c>
      <c r="P14" s="44">
        <f>O14*(1+'R&amp;S - Packaging and hh goods'!$B$5)</f>
        <v>55.34964310357504</v>
      </c>
      <c r="Q14" s="44">
        <f>P14*(1+'R&amp;S - Packaging and hh goods'!$B$5)</f>
        <v>56.124538107025089</v>
      </c>
      <c r="R14" s="44">
        <f>Q14*(1+'R&amp;S - Packaging and hh goods'!$B$5)</f>
        <v>56.910281640523444</v>
      </c>
      <c r="S14" s="44">
        <f>R14*(1+'R&amp;S - Packaging and hh goods'!$B$5)</f>
        <v>57.707025583490775</v>
      </c>
      <c r="T14" s="44">
        <f>S14*(1+'R&amp;S - Packaging and hh goods'!$B$5)</f>
        <v>58.514923941659646</v>
      </c>
      <c r="U14" s="44">
        <f>T14*(1+'R&amp;S - Packaging and hh goods'!$B$5)</f>
        <v>59.33413287684288</v>
      </c>
      <c r="V14" s="44">
        <f>U14*(1+'R&amp;S - Packaging and hh goods'!$B$5)</f>
        <v>60.164810737118678</v>
      </c>
      <c r="W14" s="44">
        <f>V14*(1+'R&amp;S - Packaging and hh goods'!$B$5)</f>
        <v>61.007118087438343</v>
      </c>
      <c r="X14" s="44">
        <f>W14*(1+'R&amp;S - Packaging and hh goods'!$B$5)</f>
        <v>61.861217740662482</v>
      </c>
      <c r="Y14" s="44">
        <f>X14*(1+'R&amp;S - Packaging and hh goods'!$B$5)</f>
        <v>62.72727478903176</v>
      </c>
      <c r="Z14" s="44">
        <f>Y14*(1+'R&amp;S - Packaging and hh goods'!$B$5)</f>
        <v>63.605456636078209</v>
      </c>
      <c r="AA14" s="44">
        <f>Z14*(1+'R&amp;S - Packaging and hh goods'!$B$5)</f>
        <v>64.495933028983302</v>
      </c>
      <c r="AB14" s="44">
        <f>AA14*(1+'R&amp;S - Packaging and hh goods'!$B$5)</f>
        <v>65.39887609138907</v>
      </c>
      <c r="AC14" s="44">
        <f>AB14*(1+'R&amp;S - Packaging and hh goods'!$B$5)</f>
        <v>66.314460356668519</v>
      </c>
      <c r="AD14" s="44">
        <f>AC14*(1+'R&amp;S - Packaging and hh goods'!$B$5)</f>
        <v>67.242862801661886</v>
      </c>
      <c r="AE14" s="44">
        <f>AD14*(1+'R&amp;S - Packaging and hh goods'!$B$5)</f>
        <v>68.184262880885157</v>
      </c>
      <c r="AF14" s="44">
        <f>AE14*(1+'R&amp;S - Packaging and hh goods'!$B$5)</f>
        <v>69.138842561217544</v>
      </c>
      <c r="AG14" s="44">
        <f>AF14*(1+'R&amp;S - Packaging and hh goods'!$B$5)</f>
        <v>70.106786357074597</v>
      </c>
      <c r="AH14" s="44">
        <f>AG14*(1+'R&amp;S - Packaging and hh goods'!$B$5)</f>
        <v>71.088281366073645</v>
      </c>
    </row>
    <row r="15" spans="1:36" outlineLevel="1" x14ac:dyDescent="0.2">
      <c r="B15" s="61" t="s">
        <v>25</v>
      </c>
      <c r="C15" s="54" t="s">
        <v>153</v>
      </c>
      <c r="D15" s="44">
        <v>0</v>
      </c>
      <c r="E15" s="44">
        <f>E14*'R&amp;S - Packaging and hh goods'!$B$7*('R&amp;S - Packaging and hh goods'!$D$14*'R&amp;S - Packaging and hh goods'!$P$19*('Yearly HC Propylene'!E$3-'Yearly HC Propylene'!$D$3)/10)</f>
        <v>1.752764974229858E-2</v>
      </c>
      <c r="F15" s="44">
        <f>F14*'R&amp;S - Packaging and hh goods'!$B$7*('R&amp;S - Packaging and hh goods'!$D$14*'R&amp;S - Packaging and hh goods'!$P$19*('Yearly HC Propylene'!F$3-'Yearly HC Propylene'!$D$3)/10)</f>
        <v>3.5546073677381523E-2</v>
      </c>
      <c r="G15" s="44">
        <f>G14*'R&amp;S - Packaging and hh goods'!$B$7*('R&amp;S - Packaging and hh goods'!$D$14*'R&amp;S - Packaging and hh goods'!$P$19*('Yearly HC Propylene'!G$3-'Yearly HC Propylene'!$D$3)/10)</f>
        <v>5.4065578063297301E-2</v>
      </c>
      <c r="H15" s="44">
        <f>H14*'R&amp;S - Packaging and hh goods'!$B$7*('R&amp;S - Packaging and hh goods'!$D$14*'R&amp;S - Packaging and hh goods'!$P$19*('Yearly HC Propylene'!H$3-'Yearly HC Propylene'!$D$3)/10)</f>
        <v>7.3096661541577929E-2</v>
      </c>
      <c r="I15" s="44">
        <f>I14*'R&amp;S - Packaging and hh goods'!$B$7*('R&amp;S - Packaging and hh goods'!$D$14*'R&amp;S - Packaging and hh goods'!$P$19*('Yearly HC Propylene'!I$3-'Yearly HC Propylene'!$D$3)/10)</f>
        <v>9.2650018503950049E-2</v>
      </c>
      <c r="J15" s="44">
        <f>J14*'R&amp;S - Packaging and hh goods'!$B$7*('R&amp;S - Packaging and hh goods'!$D$14*'R&amp;S - Packaging and hh goods'!$P$19*('Yearly HC Propylene'!J$3-'Yearly HC Propylene'!$D$3)/10)</f>
        <v>0.11273654251560643</v>
      </c>
      <c r="K15" s="44">
        <f>K14*'R&amp;S - Packaging and hh goods'!$B$7*('R&amp;S - Packaging and hh goods'!$D$14*'R&amp;S - Packaging and hh goods'!$P$19*('Yearly HC Propylene'!K$3-'Yearly HC Propylene'!$D$3)/10)</f>
        <v>0.13336732979596239</v>
      </c>
      <c r="L15" s="44">
        <f>L14*'R&amp;S - Packaging and hh goods'!$B$7*('R&amp;S - Packaging and hh goods'!$D$14*'R&amp;S - Packaging and hh goods'!$P$19*('Yearly HC Propylene'!L$3-'Yearly HC Propylene'!$D$3)/10)</f>
        <v>0.15455368275783526</v>
      </c>
      <c r="M15" s="44">
        <f>M14*'R&amp;S - Packaging and hh goods'!$B$7*('R&amp;S - Packaging and hh goods'!$D$14*'R&amp;S - Packaging and hh goods'!$P$19*('Yearly HC Propylene'!M$3-'Yearly HC Propylene'!$D$3)/10)</f>
        <v>0.1763071136060006</v>
      </c>
      <c r="N15" s="44">
        <f>N14*'R&amp;S - Packaging and hh goods'!$B$7*('R&amp;S - Packaging and hh goods'!$D$14*'R&amp;S - Packaging and hh goods'!$P$19*('Yearly HC Propylene'!N$3-'Yearly HC Propylene'!$D$3)/10)</f>
        <v>0.19863934799609401</v>
      </c>
      <c r="O15" s="44">
        <f>O14*'R&amp;S - Packaging and hh goods'!$B$7*('R&amp;S - Packaging and hh goods'!$D$14*('R&amp;S - Packaging and hh goods'!$P$19+('R&amp;S - Packaging and hh goods'!$P$20-'R&amp;S - Packaging and hh goods'!$P$19)*('Yearly HC Propylene'!O$3-'Yearly HC Propylene'!$N$3)/10))</f>
        <v>0.30436845162281506</v>
      </c>
      <c r="P15" s="44">
        <f>P14*'R&amp;S - Packaging and hh goods'!$B$7*('R&amp;S - Packaging and hh goods'!$D$14*('R&amp;S - Packaging and hh goods'!$P$19+('R&amp;S - Packaging and hh goods'!$P$20-'R&amp;S - Packaging and hh goods'!$P$19)*('Yearly HC Propylene'!P$3-'Yearly HC Propylene'!$N$3)/10))</f>
        <v>0.41301903683887692</v>
      </c>
      <c r="Q15" s="44">
        <f>Q14*'R&amp;S - Packaging and hh goods'!$B$7*('R&amp;S - Packaging and hh goods'!$D$14*('R&amp;S - Packaging and hh goods'!$P$19+('R&amp;S - Packaging and hh goods'!$P$20-'R&amp;S - Packaging and hh goods'!$P$19)*('Yearly HC Propylene'!Q$3-'Yearly HC Propylene'!$N$3)/10))</f>
        <v>0.52465218222447063</v>
      </c>
      <c r="R15" s="44">
        <f>R14*'R&amp;S - Packaging and hh goods'!$B$7*('R&amp;S - Packaging and hh goods'!$D$14*('R&amp;S - Packaging and hh goods'!$P$19+('R&amp;S - Packaging and hh goods'!$P$20-'R&amp;S - Packaging and hh goods'!$P$19)*('Yearly HC Propylene'!R$3-'Yearly HC Propylene'!$N$3)/10))</f>
        <v>0.6393301039496404</v>
      </c>
      <c r="S15" s="44">
        <f>S14*'R&amp;S - Packaging and hh goods'!$B$7*('R&amp;S - Packaging and hh goods'!$D$14*('R&amp;S - Packaging and hh goods'!$P$19+('R&amp;S - Packaging and hh goods'!$P$20-'R&amp;S - Packaging and hh goods'!$P$19)*('Yearly HC Propylene'!S$3-'Yearly HC Propylene'!$N$3)/10))</f>
        <v>0.75711617565539913</v>
      </c>
      <c r="T15" s="44">
        <f>T14*'R&amp;S - Packaging and hh goods'!$B$7*('R&amp;S - Packaging and hh goods'!$D$14*('R&amp;S - Packaging and hh goods'!$P$19+('R&amp;S - Packaging and hh goods'!$P$20-'R&amp;S - Packaging and hh goods'!$P$19)*('Yearly HC Propylene'!T$3-'Yearly HC Propylene'!$N$3)/10))</f>
        <v>0.87807494866854496</v>
      </c>
      <c r="U15" s="44">
        <f>U14*'R&amp;S - Packaging and hh goods'!$B$7*('R&amp;S - Packaging and hh goods'!$D$14*('R&amp;S - Packaging and hh goods'!$P$19+('R&amp;S - Packaging and hh goods'!$P$20-'R&amp;S - Packaging and hh goods'!$P$19)*('Yearly HC Propylene'!U$3-'Yearly HC Propylene'!$N$3)/10))</f>
        <v>1.0022721725556301</v>
      </c>
      <c r="V15" s="44">
        <f>V14*'R&amp;S - Packaging and hh goods'!$B$7*('R&amp;S - Packaging and hh goods'!$D$14*('R&amp;S - Packaging and hh goods'!$P$19+('R&amp;S - Packaging and hh goods'!$P$20-'R&amp;S - Packaging and hh goods'!$P$19)*('Yearly HC Propylene'!V$3-'Yearly HC Propylene'!$N$3)/10))</f>
        <v>1.1297748160216148</v>
      </c>
      <c r="W15" s="44">
        <f>W14*'R&amp;S - Packaging and hh goods'!$B$7*('R&amp;S - Packaging and hh goods'!$D$14*('R&amp;S - Packaging and hh goods'!$P$19+('R&amp;S - Packaging and hh goods'!$P$20-'R&amp;S - Packaging and hh goods'!$P$19)*('Yearly HC Propylene'!W$3-'Yearly HC Propylene'!$N$3)/10))</f>
        <v>1.260651088158826</v>
      </c>
      <c r="X15" s="44">
        <f>X14*'R&amp;S - Packaging and hh goods'!$B$7*('R&amp;S - Packaging and hh goods'!$D$14*('R&amp;S - Packaging and hh goods'!$P$19+('R&amp;S - Packaging and hh goods'!$P$20-'R&amp;S - Packaging and hh goods'!$P$19)*('Yearly HC Propylene'!X$3-'Yearly HC Propylene'!$N$3)/10))</f>
        <v>1.3949704600519393</v>
      </c>
      <c r="Y15" s="44">
        <f>Y14*'R&amp;S - Packaging and hh goods'!$B$7*('R&amp;S - Packaging and hh goods'!$D$14*('R&amp;S - Packaging and hh goods'!$P$20+('R&amp;S - Packaging and hh goods'!$P$21-'R&amp;S - Packaging and hh goods'!$P$20)*('Yearly HC Propylene'!Y$3-'Yearly HC Propylene'!$X$3)/10))</f>
        <v>1.53023186847843</v>
      </c>
      <c r="Z15" s="44">
        <f>Z14*'R&amp;S - Packaging and hh goods'!$B$7*('R&amp;S - Packaging and hh goods'!$D$14*('R&amp;S - Packaging and hh goods'!$P$20+('R&amp;S - Packaging and hh goods'!$P$21-'R&amp;S - Packaging and hh goods'!$P$20)*('Yearly HC Propylene'!Z$3-'Yearly HC Propylene'!$X$3)/10))</f>
        <v>1.6690071821306924</v>
      </c>
      <c r="AA15" s="44">
        <f>AA14*'R&amp;S - Packaging and hh goods'!$B$7*('R&amp;S - Packaging and hh goods'!$D$14*('R&amp;S - Packaging and hh goods'!$P$20+('R&amp;S - Packaging and hh goods'!$P$21-'R&amp;S - Packaging and hh goods'!$P$20)*('Yearly HC Propylene'!AA$3-'Yearly HC Propylene'!$X$3)/10))</f>
        <v>1.8113682791189962</v>
      </c>
      <c r="AB15" s="44">
        <f>AB14*'R&amp;S - Packaging and hh goods'!$B$7*('R&amp;S - Packaging and hh goods'!$D$14*('R&amp;S - Packaging and hh goods'!$P$20+('R&amp;S - Packaging and hh goods'!$P$21-'R&amp;S - Packaging and hh goods'!$P$20)*('Yearly HC Propylene'!AB$3-'Yearly HC Propylene'!$X$3)/10))</f>
        <v>1.9573883614152749</v>
      </c>
      <c r="AC15" s="44">
        <f>AC14*'R&amp;S - Packaging and hh goods'!$B$7*('R&amp;S - Packaging and hh goods'!$D$14*('R&amp;S - Packaging and hh goods'!$P$20+('R&amp;S - Packaging and hh goods'!$P$21-'R&amp;S - Packaging and hh goods'!$P$20)*('Yearly HC Propylene'!AC$3-'Yearly HC Propylene'!$X$3)/10))</f>
        <v>2.1071419778331424</v>
      </c>
      <c r="AD15" s="44">
        <f>AD14*'R&amp;S - Packaging and hh goods'!$B$7*('R&amp;S - Packaging and hh goods'!$D$14*('R&amp;S - Packaging and hh goods'!$P$20+('R&amp;S - Packaging and hh goods'!$P$21-'R&amp;S - Packaging and hh goods'!$P$20)*('Yearly HC Propylene'!AD$3-'Yearly HC Propylene'!$X$3)/10))</f>
        <v>2.2607050473918728</v>
      </c>
      <c r="AE15" s="44">
        <f>AE14*'R&amp;S - Packaging and hh goods'!$B$7*('R&amp;S - Packaging and hh goods'!$D$14*('R&amp;S - Packaging and hh goods'!$P$20+('R&amp;S - Packaging and hh goods'!$P$21-'R&amp;S - Packaging and hh goods'!$P$20)*('Yearly HC Propylene'!AE$3-'Yearly HC Propylene'!$X$3)/10))</f>
        <v>2.4181548830705921</v>
      </c>
      <c r="AF15" s="44">
        <f>AF14*'R&amp;S - Packaging and hh goods'!$B$7*('R&amp;S - Packaging and hh goods'!$D$14*('R&amp;S - Packaging and hh goods'!$P$20+('R&amp;S - Packaging and hh goods'!$P$21-'R&amp;S - Packaging and hh goods'!$P$20)*('Yearly HC Propylene'!AF$3-'Yearly HC Propylene'!$X$3)/10))</f>
        <v>2.5795702159590266</v>
      </c>
      <c r="AG15" s="44">
        <f>AG14*'R&amp;S - Packaging and hh goods'!$B$7*('R&amp;S - Packaging and hh goods'!$D$14*('R&amp;S - Packaging and hh goods'!$P$20+('R&amp;S - Packaging and hh goods'!$P$21-'R&amp;S - Packaging and hh goods'!$P$20)*('Yearly HC Propylene'!AG$3-'Yearly HC Propylene'!$X$3)/10))</f>
        <v>2.7450312198112563</v>
      </c>
      <c r="AH15" s="44">
        <f>AH14*'R&amp;S - Packaging and hh goods'!$B$7*('R&amp;S - Packaging and hh goods'!$D$14*('R&amp;S - Packaging and hh goods'!$P$20+('R&amp;S - Packaging and hh goods'!$P$21-'R&amp;S - Packaging and hh goods'!$P$20)*('Yearly HC Propylene'!AH$3-'Yearly HC Propylene'!$X$3)/10))</f>
        <v>2.9146195360090195</v>
      </c>
    </row>
    <row r="16" spans="1:36" outlineLevel="1" x14ac:dyDescent="0.2">
      <c r="B16" s="61" t="s">
        <v>200</v>
      </c>
      <c r="C16" s="54" t="s">
        <v>153</v>
      </c>
      <c r="D16" s="44">
        <v>0</v>
      </c>
      <c r="E16" s="44">
        <f>E14*'R&amp;S - Packaging and hh goods'!$B$8*('R&amp;S - Packaging and hh goods'!$D$14*'R&amp;S - Packaging and hh goods'!$Q$19*('Yearly HC Propylene'!E$3-'Yearly HC Propylene'!$D$3)/10)</f>
        <v>0.13908118819905216</v>
      </c>
      <c r="F16" s="44">
        <f>F14*'R&amp;S - Packaging and hh goods'!$B$8*('R&amp;S - Packaging and hh goods'!$D$14*'R&amp;S - Packaging and hh goods'!$Q$19*('Yearly HC Propylene'!F$3-'Yearly HC Propylene'!$D$3)/10)</f>
        <v>0.28205664966767774</v>
      </c>
      <c r="G16" s="44">
        <f>G14*'R&amp;S - Packaging and hh goods'!$B$8*('R&amp;S - Packaging and hh goods'!$D$14*'R&amp;S - Packaging and hh goods'!$Q$19*('Yearly HC Propylene'!G$3-'Yearly HC Propylene'!$D$3)/10)</f>
        <v>0.42900816414453785</v>
      </c>
      <c r="H16" s="44">
        <f>H14*'R&amp;S - Packaging and hh goods'!$B$8*('R&amp;S - Packaging and hh goods'!$D$14*'R&amp;S - Packaging and hh goods'!$Q$19*('Yearly HC Propylene'!H$3-'Yearly HC Propylene'!$D$3)/10)</f>
        <v>0.58001903792341514</v>
      </c>
      <c r="I16" s="44">
        <f>I14*'R&amp;S - Packaging and hh goods'!$B$8*('R&amp;S - Packaging and hh goods'!$D$14*'R&amp;S - Packaging and hh goods'!$Q$19*('Yearly HC Propylene'!I$3-'Yearly HC Propylene'!$D$3)/10)</f>
        <v>0.73517413056792869</v>
      </c>
      <c r="J16" s="44">
        <f>J14*'R&amp;S - Packaging and hh goods'!$B$8*('R&amp;S - Packaging and hh goods'!$D$14*'R&amp;S - Packaging and hh goods'!$Q$19*('Yearly HC Propylene'!J$3-'Yearly HC Propylene'!$D$3)/10)</f>
        <v>0.89455988207505566</v>
      </c>
      <c r="K16" s="44">
        <f>K14*'R&amp;S - Packaging and hh goods'!$B$8*('R&amp;S - Packaging and hh goods'!$D$14*'R&amp;S - Packaging and hh goods'!$Q$19*('Yearly HC Propylene'!K$3-'Yearly HC Propylene'!$D$3)/10)</f>
        <v>1.0582643404947909</v>
      </c>
      <c r="L16" s="44">
        <f>L14*'R&amp;S - Packaging and hh goods'!$B$8*('R&amp;S - Packaging and hh goods'!$D$14*'R&amp;S - Packaging and hh goods'!$Q$19*('Yearly HC Propylene'!L$3-'Yearly HC Propylene'!$D$3)/10)</f>
        <v>1.2263771900133922</v>
      </c>
      <c r="M16" s="44">
        <f>M14*'R&amp;S - Packaging and hh goods'!$B$8*('R&amp;S - Packaging and hh goods'!$D$14*'R&amp;S - Packaging and hh goods'!$Q$19*('Yearly HC Propylene'!M$3-'Yearly HC Propylene'!$D$3)/10)</f>
        <v>1.3989897795077773</v>
      </c>
      <c r="N16" s="44">
        <f>N14*'R&amp;S - Packaging and hh goods'!$B$8*('R&amp;S - Packaging and hh goods'!$D$14*'R&amp;S - Packaging and hh goods'!$Q$19*('Yearly HC Propylene'!N$3-'Yearly HC Propylene'!$D$3)/10)</f>
        <v>1.576195151578762</v>
      </c>
      <c r="O16" s="44">
        <f>O14*'R&amp;S - Packaging and hh goods'!$B$8*('R&amp;S - Packaging and hh goods'!$D$14*('R&amp;S - Packaging and hh goods'!$Q$19+('R&amp;S - Packaging and hh goods'!$Q$20-'R&amp;S - Packaging and hh goods'!$Q$19)*('Yearly HC Propylene'!O$3-'Yearly HC Propylene'!$N$3)/10))</f>
        <v>1.851320015286835</v>
      </c>
      <c r="P16" s="44">
        <f>P14*'R&amp;S - Packaging and hh goods'!$B$8*('R&amp;S - Packaging and hh goods'!$D$14*('R&amp;S - Packaging and hh goods'!$Q$19+('R&amp;S - Packaging and hh goods'!$Q$20-'R&amp;S - Packaging and hh goods'!$Q$19)*('Yearly HC Propylene'!P$3-'Yearly HC Propylene'!$N$3)/10))</f>
        <v>2.1338394409290249</v>
      </c>
      <c r="Q16" s="44">
        <f>Q14*'R&amp;S - Packaging and hh goods'!$B$8*('R&amp;S - Packaging and hh goods'!$D$14*('R&amp;S - Packaging and hh goods'!$Q$19+('R&amp;S - Packaging and hh goods'!$Q$20-'R&amp;S - Packaging and hh goods'!$Q$19)*('Yearly HC Propylene'!Q$3-'Yearly HC Propylene'!$N$3)/10))</f>
        <v>2.4239065517661991</v>
      </c>
      <c r="R16" s="44">
        <f>R14*'R&amp;S - Packaging and hh goods'!$B$8*('R&amp;S - Packaging and hh goods'!$D$14*('R&amp;S - Packaging and hh goods'!$Q$19+('R&amp;S - Packaging and hh goods'!$Q$20-'R&amp;S - Packaging and hh goods'!$Q$19)*('Yearly HC Propylene'!R$3-'Yearly HC Propylene'!$N$3)/10))</f>
        <v>2.7216773091763931</v>
      </c>
      <c r="S16" s="44">
        <f>S14*'R&amp;S - Packaging and hh goods'!$B$8*('R&amp;S - Packaging and hh goods'!$D$14*('R&amp;S - Packaging and hh goods'!$Q$19+('R&amp;S - Packaging and hh goods'!$Q$20-'R&amp;S - Packaging and hh goods'!$Q$19)*('Yearly HC Propylene'!S$3-'Yearly HC Propylene'!$N$3)/10))</f>
        <v>3.0273105621099257</v>
      </c>
      <c r="T16" s="44">
        <f>T14*'R&amp;S - Packaging and hh goods'!$B$8*('R&amp;S - Packaging and hh goods'!$D$14*('R&amp;S - Packaging and hh goods'!$Q$19+('R&amp;S - Packaging and hh goods'!$Q$20-'R&amp;S - Packaging and hh goods'!$Q$19)*('Yearly HC Propylene'!T$3-'Yearly HC Propylene'!$N$3)/10))</f>
        <v>3.3409680973729992</v>
      </c>
      <c r="U16" s="44">
        <f>U14*'R&amp;S - Packaging and hh goods'!$B$8*('R&amp;S - Packaging and hh goods'!$D$14*('R&amp;S - Packaging and hh goods'!$Q$19+('R&amp;S - Packaging and hh goods'!$Q$20-'R&amp;S - Packaging and hh goods'!$Q$19)*('Yearly HC Propylene'!U$3-'Yearly HC Propylene'!$N$3)/10))</f>
        <v>3.6628146907532644</v>
      </c>
      <c r="V16" s="44">
        <f>V14*'R&amp;S - Packaging and hh goods'!$B$8*('R&amp;S - Packaging and hh goods'!$D$14*('R&amp;S - Packaging and hh goods'!$Q$19+('R&amp;S - Packaging and hh goods'!$Q$20-'R&amp;S - Packaging and hh goods'!$Q$19)*('Yearly HC Propylene'!V$3-'Yearly HC Propylene'!$N$3)/10))</f>
        <v>3.9930181590010929</v>
      </c>
      <c r="W16" s="44">
        <f>W14*'R&amp;S - Packaging and hh goods'!$B$8*('R&amp;S - Packaging and hh goods'!$D$14*('R&amp;S - Packaging and hh goods'!$Q$19+('R&amp;S - Packaging and hh goods'!$Q$20-'R&amp;S - Packaging and hh goods'!$Q$19)*('Yearly HC Propylene'!W$3-'Yearly HC Propylene'!$N$3)/10))</f>
        <v>4.3317494126804714</v>
      </c>
      <c r="X16" s="44">
        <f>X14*'R&amp;S - Packaging and hh goods'!$B$8*('R&amp;S - Packaging and hh goods'!$D$14*('R&amp;S - Packaging and hh goods'!$Q$19+('R&amp;S - Packaging and hh goods'!$Q$20-'R&amp;S - Packaging and hh goods'!$Q$19)*('Yearly HC Propylene'!X$3-'Yearly HC Propylene'!$N$3)/10))</f>
        <v>4.6791825099037094</v>
      </c>
      <c r="Y16" s="44">
        <f>Y14*'R&amp;S - Packaging and hh goods'!$B$8*('R&amp;S - Packaging and hh goods'!$D$14*('R&amp;S - Packaging and hh goods'!$Q$20+('R&amp;S - Packaging and hh goods'!$Q$21-'R&amp;S - Packaging and hh goods'!$Q$20)*('Yearly HC Propylene'!Y$3-'Yearly HC Propylene'!$X$3)/10))</f>
        <v>5.035494710964314</v>
      </c>
      <c r="Z16" s="44">
        <f>Z14*'R&amp;S - Packaging and hh goods'!$B$8*('R&amp;S - Packaging and hh goods'!$D$14*('R&amp;S - Packaging and hh goods'!$Q$20+('R&amp;S - Packaging and hh goods'!$Q$21-'R&amp;S - Packaging and hh goods'!$Q$20)*('Yearly HC Propylene'!Z$3-'Yearly HC Propylene'!$X$3)/10))</f>
        <v>5.4008665338826729</v>
      </c>
      <c r="AA16" s="44">
        <f>AA14*'R&amp;S - Packaging and hh goods'!$B$8*('R&amp;S - Packaging and hh goods'!$D$14*('R&amp;S - Packaging and hh goods'!$Q$20+('R&amp;S - Packaging and hh goods'!$Q$21-'R&amp;S - Packaging and hh goods'!$Q$20)*('Yearly HC Propylene'!AA$3-'Yearly HC Propylene'!$X$3)/10))</f>
        <v>5.7754818108793966</v>
      </c>
      <c r="AB16" s="44">
        <f>AB14*'R&amp;S - Packaging and hh goods'!$B$8*('R&amp;S - Packaging and hh goods'!$D$14*('R&amp;S - Packaging and hh goods'!$Q$20+('R&amp;S - Packaging and hh goods'!$Q$21-'R&amp;S - Packaging and hh goods'!$Q$20)*('Yearly HC Propylene'!AB$3-'Yearly HC Propylene'!$X$3)/10))</f>
        <v>6.1595277457913884</v>
      </c>
      <c r="AC16" s="44">
        <f>AC14*'R&amp;S - Packaging and hh goods'!$B$8*('R&amp;S - Packaging and hh goods'!$D$14*('R&amp;S - Packaging and hh goods'!$Q$20+('R&amp;S - Packaging and hh goods'!$Q$21-'R&amp;S - Packaging and hh goods'!$Q$20)*('Yearly HC Propylene'!AC$3-'Yearly HC Propylene'!$X$3)/10))</f>
        <v>6.5531949724459837</v>
      </c>
      <c r="AD16" s="44">
        <f>AD14*'R&amp;S - Packaging and hh goods'!$B$8*('R&amp;S - Packaging and hh goods'!$D$14*('R&amp;S - Packaging and hh goods'!$Q$20+('R&amp;S - Packaging and hh goods'!$Q$21-'R&amp;S - Packaging and hh goods'!$Q$20)*('Yearly HC Propylene'!AD$3-'Yearly HC Propylene'!$X$3)/10))</f>
        <v>6.9566776140087327</v>
      </c>
      <c r="AE16" s="44">
        <f>AE14*'R&amp;S - Packaging and hh goods'!$B$8*('R&amp;S - Packaging and hh goods'!$D$14*('R&amp;S - Packaging and hh goods'!$Q$20+('R&amp;S - Packaging and hh goods'!$Q$21-'R&amp;S - Packaging and hh goods'!$Q$20)*('Yearly HC Propylene'!AE$3-'Yearly HC Propylene'!$X$3)/10))</f>
        <v>7.3701733433206389</v>
      </c>
      <c r="AF16" s="44">
        <f>AF14*'R&amp;S - Packaging and hh goods'!$B$8*('R&amp;S - Packaging and hh goods'!$D$14*('R&amp;S - Packaging and hh goods'!$Q$20+('R&amp;S - Packaging and hh goods'!$Q$21-'R&amp;S - Packaging and hh goods'!$Q$20)*('Yearly HC Propylene'!AF$3-'Yearly HC Propylene'!$X$3)/10))</f>
        <v>7.7938834442409295</v>
      </c>
      <c r="AG16" s="44">
        <f>AG14*'R&amp;S - Packaging and hh goods'!$B$8*('R&amp;S - Packaging and hh goods'!$D$14*('R&amp;S - Packaging and hh goods'!$Q$20+('R&amp;S - Packaging and hh goods'!$Q$21-'R&amp;S - Packaging and hh goods'!$Q$20)*('Yearly HC Propylene'!AG$3-'Yearly HC Propylene'!$X$3)/10))</f>
        <v>8.2280128740117036</v>
      </c>
      <c r="AH16" s="44">
        <f>AH14*'R&amp;S - Packaging and hh goods'!$B$8*('R&amp;S - Packaging and hh goods'!$D$14*('R&amp;S - Packaging and hh goods'!$Q$20+('R&amp;S - Packaging and hh goods'!$Q$21-'R&amp;S - Packaging and hh goods'!$Q$20)*('Yearly HC Propylene'!AH$3-'Yearly HC Propylene'!$X$3)/10))</f>
        <v>8.6727703266609844</v>
      </c>
    </row>
    <row r="17" spans="1:34" outlineLevel="1" x14ac:dyDescent="0.2">
      <c r="B17" s="1" t="s">
        <v>168</v>
      </c>
      <c r="C17" s="54" t="s">
        <v>153</v>
      </c>
      <c r="D17" s="44">
        <f>SUM(D15:D16)</f>
        <v>0</v>
      </c>
      <c r="E17" s="44">
        <f t="shared" ref="E17:AH17" si="4">SUM(E15:E16)</f>
        <v>0.15660883794135075</v>
      </c>
      <c r="F17" s="44">
        <f t="shared" si="4"/>
        <v>0.31760272334505923</v>
      </c>
      <c r="G17" s="44">
        <f t="shared" si="4"/>
        <v>0.48307374220783517</v>
      </c>
      <c r="H17" s="44">
        <f t="shared" si="4"/>
        <v>0.65311569946499304</v>
      </c>
      <c r="I17" s="44">
        <f t="shared" si="4"/>
        <v>0.82782414907187873</v>
      </c>
      <c r="J17" s="44">
        <f t="shared" si="4"/>
        <v>1.0072964245906622</v>
      </c>
      <c r="K17" s="44">
        <f t="shared" si="4"/>
        <v>1.1916316702907532</v>
      </c>
      <c r="L17" s="44">
        <f t="shared" si="4"/>
        <v>1.3809308727712275</v>
      </c>
      <c r="M17" s="44">
        <f t="shared" si="4"/>
        <v>1.5752968931137779</v>
      </c>
      <c r="N17" s="44">
        <f t="shared" si="4"/>
        <v>1.774834499574856</v>
      </c>
      <c r="O17" s="44">
        <f t="shared" si="4"/>
        <v>2.1556884669096501</v>
      </c>
      <c r="P17" s="44">
        <f t="shared" si="4"/>
        <v>2.546858477767902</v>
      </c>
      <c r="Q17" s="44">
        <f t="shared" si="4"/>
        <v>2.9485587339906698</v>
      </c>
      <c r="R17" s="44">
        <f t="shared" si="4"/>
        <v>3.3610074131260337</v>
      </c>
      <c r="S17" s="44">
        <f t="shared" si="4"/>
        <v>3.7844267377653247</v>
      </c>
      <c r="T17" s="44">
        <f t="shared" si="4"/>
        <v>4.219043046041544</v>
      </c>
      <c r="U17" s="44">
        <f t="shared" si="4"/>
        <v>4.6650868633088942</v>
      </c>
      <c r="V17" s="44">
        <f t="shared" si="4"/>
        <v>5.1227929750227075</v>
      </c>
      <c r="W17" s="44">
        <f t="shared" si="4"/>
        <v>5.5924005008392976</v>
      </c>
      <c r="X17" s="44">
        <f t="shared" si="4"/>
        <v>6.0741529699556489</v>
      </c>
      <c r="Y17" s="44">
        <f t="shared" si="4"/>
        <v>6.5657265794427442</v>
      </c>
      <c r="Z17" s="44">
        <f t="shared" si="4"/>
        <v>7.0698737160133653</v>
      </c>
      <c r="AA17" s="44">
        <f t="shared" si="4"/>
        <v>7.5868500899983928</v>
      </c>
      <c r="AB17" s="44">
        <f t="shared" si="4"/>
        <v>8.1169161072066629</v>
      </c>
      <c r="AC17" s="44">
        <f t="shared" si="4"/>
        <v>8.6603369502791256</v>
      </c>
      <c r="AD17" s="44">
        <f t="shared" si="4"/>
        <v>9.217382661400606</v>
      </c>
      <c r="AE17" s="44">
        <f t="shared" si="4"/>
        <v>9.788328226391231</v>
      </c>
      <c r="AF17" s="44">
        <f t="shared" si="4"/>
        <v>10.373453660199957</v>
      </c>
      <c r="AG17" s="44">
        <f t="shared" si="4"/>
        <v>10.97304409382296</v>
      </c>
      <c r="AH17" s="44">
        <f t="shared" si="4"/>
        <v>11.587389862670005</v>
      </c>
    </row>
    <row r="18" spans="1:34" outlineLevel="1" x14ac:dyDescent="0.2">
      <c r="B18" s="61" t="s">
        <v>202</v>
      </c>
      <c r="C18" s="54" t="s">
        <v>153</v>
      </c>
      <c r="D18" s="44">
        <v>0</v>
      </c>
      <c r="E18" s="44">
        <f>E14*'R&amp;S - Packaging and hh goods'!$B$9*('R&amp;S - Packaging and hh goods'!$E$14*'R&amp;S - Packaging and hh goods'!$R$19*('Yearly HC Propylene'!E$3-'Yearly HC Propylene'!$D$3)/10)</f>
        <v>4.4080376587677723E-2</v>
      </c>
      <c r="F18" s="44">
        <f>F14*'R&amp;S - Packaging and hh goods'!$B$9*('R&amp;S - Packaging and hh goods'!$E$14*'R&amp;S - Packaging and hh goods'!$R$19*('Yearly HC Propylene'!F$3-'Yearly HC Propylene'!$D$3)/10)</f>
        <v>8.9395003719810434E-2</v>
      </c>
      <c r="G18" s="44">
        <f>G14*'R&amp;S - Packaging and hh goods'!$B$9*('R&amp;S - Packaging and hh goods'!$E$14*'R&amp;S - Packaging and hh goods'!$R$19*('Yearly HC Propylene'!G$3-'Yearly HC Propylene'!$D$3)/10)</f>
        <v>0.13596980065783168</v>
      </c>
      <c r="H18" s="44">
        <f>H14*'R&amp;S - Packaging and hh goods'!$B$9*('R&amp;S - Packaging and hh goods'!$E$14*'R&amp;S - Packaging and hh goods'!$R$19*('Yearly HC Propylene'!H$3-'Yearly HC Propylene'!$D$3)/10)</f>
        <v>0.18383117048938841</v>
      </c>
      <c r="I18" s="44">
        <f>I14*'R&amp;S - Packaging and hh goods'!$B$9*('R&amp;S - Packaging and hh goods'!$E$14*'R&amp;S - Packaging and hh goods'!$R$19*('Yearly HC Propylene'!I$3-'Yearly HC Propylene'!$D$3)/10)</f>
        <v>0.23300600859529985</v>
      </c>
      <c r="J18" s="44">
        <f>J14*'R&amp;S - Packaging and hh goods'!$B$9*('R&amp;S - Packaging and hh goods'!$E$14*'R&amp;S - Packaging and hh goods'!$R$19*('Yearly HC Propylene'!J$3-'Yearly HC Propylene'!$D$3)/10)</f>
        <v>0.28352171125876086</v>
      </c>
      <c r="K18" s="44">
        <f>K14*'R&amp;S - Packaging and hh goods'!$B$9*('R&amp;S - Packaging and hh goods'!$E$14*'R&amp;S - Packaging and hh goods'!$R$19*('Yearly HC Propylene'!K$3-'Yearly HC Propylene'!$D$3)/10)</f>
        <v>0.33540618441911407</v>
      </c>
      <c r="L18" s="44">
        <f>L14*'R&amp;S - Packaging and hh goods'!$B$9*('R&amp;S - Packaging and hh goods'!$E$14*'R&amp;S - Packaging and hh goods'!$R$19*('Yearly HC Propylene'!L$3-'Yearly HC Propylene'!$D$3)/10)</f>
        <v>0.38868785257255051</v>
      </c>
      <c r="M18" s="44">
        <f>M14*'R&amp;S - Packaging and hh goods'!$B$9*('R&amp;S - Packaging and hh goods'!$E$14*'R&amp;S - Packaging and hh goods'!$R$19*('Yearly HC Propylene'!M$3-'Yearly HC Propylene'!$D$3)/10)</f>
        <v>0.44339566782213702</v>
      </c>
      <c r="N18" s="44">
        <f>N14*'R&amp;S - Packaging and hh goods'!$B$9*('R&amp;S - Packaging and hh goods'!$E$14*'R&amp;S - Packaging and hh goods'!$R$19*('Yearly HC Propylene'!N$3-'Yearly HC Propylene'!$D$3)/10)</f>
        <v>0.49955911907960771</v>
      </c>
      <c r="O18" s="44">
        <f>O14*'R&amp;S - Packaging and hh goods'!$B$9*('R&amp;S - Packaging and hh goods'!$E$14*'R&amp;S - Packaging and hh goods'!$R$19*('Yearly HC Propylene'!O$3-'Yearly HC Propylene'!$D$3)/10)</f>
        <v>0.55720824142139458</v>
      </c>
      <c r="P18" s="44">
        <f>P14*'R&amp;S - Packaging and hh goods'!$B$9*('R&amp;S - Packaging and hh goods'!$E$14*'R&amp;S - Packaging and hh goods'!$R$19*('Yearly HC Propylene'!P$3-'Yearly HC Propylene'!$D$3)/10)</f>
        <v>0.61637362560141162</v>
      </c>
      <c r="Q18" s="44">
        <f>Q14*'R&amp;S - Packaging and hh goods'!$B$9*('R&amp;S - Packaging and hh goods'!$E$14*'R&amp;S - Packaging and hh goods'!$R$19*('Yearly HC Propylene'!Q$3-'Yearly HC Propylene'!$D$3)/10)</f>
        <v>0.67708642772315064</v>
      </c>
      <c r="R18" s="44">
        <f>R14*'R&amp;S - Packaging and hh goods'!$B$9*('R&amp;S - Packaging and hh goods'!$E$14*'R&amp;S - Packaging and hh goods'!$R$19*('Yearly HC Propylene'!R$3-'Yearly HC Propylene'!$D$3)/10)</f>
        <v>0.73937837907368054</v>
      </c>
      <c r="S18" s="44">
        <f>S14*'R&amp;S - Packaging and hh goods'!$B$9*('R&amp;S - Packaging and hh goods'!$E$14*'R&amp;S - Packaging and hh goods'!$R$19*('Yearly HC Propylene'!S$3-'Yearly HC Propylene'!$D$3)/10)</f>
        <v>0.80328179612219153</v>
      </c>
      <c r="T18" s="44">
        <f>T14*'R&amp;S - Packaging and hh goods'!$B$9*('R&amp;S - Packaging and hh goods'!$E$14*'R&amp;S - Packaging and hh goods'!$R$19*('Yearly HC Propylene'!T$3-'Yearly HC Propylene'!$D$3)/10)</f>
        <v>0.86882959068576238</v>
      </c>
      <c r="U18" s="44">
        <f>U14*'R&amp;S - Packaging and hh goods'!$B$9*('R&amp;S - Packaging and hh goods'!$E$14*'R&amp;S - Packaging and hh goods'!$R$19*('Yearly HC Propylene'!U$3-'Yearly HC Propylene'!$D$3)/10)</f>
        <v>0.93605528026507323</v>
      </c>
      <c r="V18" s="44">
        <f>V14*'R&amp;S - Packaging and hh goods'!$B$9*('R&amp;S - Packaging and hh goods'!$E$14*'R&amp;S - Packaging and hh goods'!$R$19*('Yearly HC Propylene'!V$3-'Yearly HC Propylene'!$D$3)/10)</f>
        <v>1.0049929985528305</v>
      </c>
      <c r="W18" s="44">
        <f>W14*'R&amp;S - Packaging and hh goods'!$B$9*('R&amp;S - Packaging and hh goods'!$E$14*'R&amp;S - Packaging and hh goods'!$R$19*('Yearly HC Propylene'!W$3-'Yearly HC Propylene'!$D$3)/10)</f>
        <v>1.0756775061177128</v>
      </c>
      <c r="X18" s="44">
        <f>X14*'R&amp;S - Packaging and hh goods'!$B$9*('R&amp;S - Packaging and hh goods'!$E$14*'R&amp;S - Packaging and hh goods'!$R$19*('Yearly HC Propylene'!X$3-'Yearly HC Propylene'!$D$3)/10)</f>
        <v>1.1481442012666956</v>
      </c>
      <c r="Y18" s="44">
        <f>Y14*'R&amp;S - Packaging and hh goods'!$B$9*('R&amp;S - Packaging and hh goods'!$E$14*('R&amp;S - Packaging and hh goods'!$R$20+('R&amp;S - Packaging and hh goods'!$R$21-'R&amp;S - Packaging and hh goods'!$R$20)*('Yearly HC Propylene'!Y$3-'Yearly HC Propylene'!$X$3)/10))</f>
        <v>1.4653091390717818</v>
      </c>
      <c r="Z18" s="44">
        <f>Z14*'R&amp;S - Packaging and hh goods'!$B$9*('R&amp;S - Packaging and hh goods'!$E$14*('R&amp;S - Packaging and hh goods'!$R$20+('R&amp;S - Packaging and hh goods'!$R$21-'R&amp;S - Packaging and hh goods'!$R$20)*('Yearly HC Propylene'!Z$3-'Yearly HC Propylene'!$X$3)/10))</f>
        <v>1.5468847053894221</v>
      </c>
      <c r="AA18" s="44">
        <f>AA14*'R&amp;S - Packaging and hh goods'!$B$9*('R&amp;S - Packaging and hh goods'!$E$14*('R&amp;S - Packaging and hh goods'!$R$20+('R&amp;S - Packaging and hh goods'!$R$21-'R&amp;S - Packaging and hh goods'!$R$20)*('Yearly HC Propylene'!AA$3-'Yearly HC Propylene'!$X$3)/10))</f>
        <v>1.6304571869726978</v>
      </c>
      <c r="AB18" s="44">
        <f>AB14*'R&amp;S - Packaging and hh goods'!$B$9*('R&amp;S - Packaging and hh goods'!$E$14*('R&amp;S - Packaging and hh goods'!$R$20+('R&amp;S - Packaging and hh goods'!$R$21-'R&amp;S - Packaging and hh goods'!$R$20)*('Yearly HC Propylene'!AB$3-'Yearly HC Propylene'!$X$3)/10))</f>
        <v>1.7160665086380491</v>
      </c>
      <c r="AC18" s="44">
        <f>AC14*'R&amp;S - Packaging and hh goods'!$B$9*('R&amp;S - Packaging and hh goods'!$E$14*('R&amp;S - Packaging and hh goods'!$R$20+('R&amp;S - Packaging and hh goods'!$R$21-'R&amp;S - Packaging and hh goods'!$R$20)*('Yearly HC Propylene'!AC$3-'Yearly HC Propylene'!$X$3)/10))</f>
        <v>1.8037533217013837</v>
      </c>
      <c r="AD18" s="44">
        <f>AD14*'R&amp;S - Packaging and hh goods'!$B$9*('R&amp;S - Packaging and hh goods'!$E$14*('R&amp;S - Packaging and hh goods'!$R$20+('R&amp;S - Packaging and hh goods'!$R$21-'R&amp;S - Packaging and hh goods'!$R$20)*('Yearly HC Propylene'!AD$3-'Yearly HC Propylene'!$X$3)/10))</f>
        <v>1.8935590164947989</v>
      </c>
      <c r="AE18" s="44">
        <f>AE14*'R&amp;S - Packaging and hh goods'!$B$9*('R&amp;S - Packaging and hh goods'!$E$14*('R&amp;S - Packaging and hh goods'!$R$20+('R&amp;S - Packaging and hh goods'!$R$21-'R&amp;S - Packaging and hh goods'!$R$20)*('Yearly HC Propylene'!AE$3-'Yearly HC Propylene'!$X$3)/10))</f>
        <v>1.9855257350913758</v>
      </c>
      <c r="AF18" s="44">
        <f>AF14*'R&amp;S - Packaging and hh goods'!$B$9*('R&amp;S - Packaging and hh goods'!$E$14*('R&amp;S - Packaging and hh goods'!$R$20+('R&amp;S - Packaging and hh goods'!$R$21-'R&amp;S - Packaging and hh goods'!$R$20)*('Yearly HC Propylene'!AF$3-'Yearly HC Propylene'!$X$3)/10))</f>
        <v>2.0796963842414238</v>
      </c>
      <c r="AG18" s="44">
        <f>AG14*'R&amp;S - Packaging and hh goods'!$B$9*('R&amp;S - Packaging and hh goods'!$E$14*('R&amp;S - Packaging and hh goods'!$R$20+('R&amp;S - Packaging and hh goods'!$R$21-'R&amp;S - Packaging and hh goods'!$R$20)*('Yearly HC Propylene'!AG$3-'Yearly HC Propylene'!$X$3)/10))</f>
        <v>2.1761146485235954</v>
      </c>
      <c r="AH18" s="44">
        <f>AH14*'R&amp;S - Packaging and hh goods'!$B$9*('R&amp;S - Packaging and hh goods'!$E$14*('R&amp;S - Packaging and hh goods'!$R$20+('R&amp;S - Packaging and hh goods'!$R$21-'R&amp;S - Packaging and hh goods'!$R$20)*('Yearly HC Propylene'!AH$3-'Yearly HC Propylene'!$X$3)/10))</f>
        <v>2.2748250037143567</v>
      </c>
    </row>
    <row r="19" spans="1:34" outlineLevel="1" x14ac:dyDescent="0.2">
      <c r="B19" s="61" t="s">
        <v>203</v>
      </c>
      <c r="C19" s="54" t="s">
        <v>153</v>
      </c>
      <c r="D19" s="44">
        <v>0</v>
      </c>
      <c r="E19" s="44">
        <f>E14*'R&amp;S - Packaging and hh goods'!$B$10*('R&amp;S - Packaging and hh goods'!$E$14*'R&amp;S - Packaging and hh goods'!$S$19*('Yearly HC Propylene'!E$3-'Yearly HC Propylene'!$D$3)/10)</f>
        <v>3.8570329514218009E-2</v>
      </c>
      <c r="F19" s="44">
        <f>F14*'R&amp;S - Packaging and hh goods'!$B$10*('R&amp;S - Packaging and hh goods'!$E$14*'R&amp;S - Packaging and hh goods'!$S$19*('Yearly HC Propylene'!F$3-'Yearly HC Propylene'!$D$3)/10)</f>
        <v>7.8220628254834126E-2</v>
      </c>
      <c r="G19" s="44">
        <f>G14*'R&amp;S - Packaging and hh goods'!$B$10*('R&amp;S - Packaging and hh goods'!$E$14*'R&amp;S - Packaging and hh goods'!$S$19*('Yearly HC Propylene'!G$3-'Yearly HC Propylene'!$D$3)/10)</f>
        <v>0.11897357557560272</v>
      </c>
      <c r="H19" s="44">
        <f>H14*'R&amp;S - Packaging and hh goods'!$B$10*('R&amp;S - Packaging and hh goods'!$E$14*'R&amp;S - Packaging and hh goods'!$S$19*('Yearly HC Propylene'!H$3-'Yearly HC Propylene'!$D$3)/10)</f>
        <v>0.16085227417821488</v>
      </c>
      <c r="I19" s="44">
        <f>I14*'R&amp;S - Packaging and hh goods'!$B$10*('R&amp;S - Packaging and hh goods'!$E$14*'R&amp;S - Packaging and hh goods'!$S$19*('Yearly HC Propylene'!I$3-'Yearly HC Propylene'!$D$3)/10)</f>
        <v>0.20388025752088734</v>
      </c>
      <c r="J19" s="44">
        <f>J14*'R&amp;S - Packaging and hh goods'!$B$10*('R&amp;S - Packaging and hh goods'!$E$14*'R&amp;S - Packaging and hh goods'!$S$19*('Yearly HC Propylene'!J$3-'Yearly HC Propylene'!$D$3)/10)</f>
        <v>0.24808149735141574</v>
      </c>
      <c r="K19" s="44">
        <f>K14*'R&amp;S - Packaging and hh goods'!$B$10*('R&amp;S - Packaging and hh goods'!$E$14*'R&amp;S - Packaging and hh goods'!$S$19*('Yearly HC Propylene'!K$3-'Yearly HC Propylene'!$D$3)/10)</f>
        <v>0.29348041136672481</v>
      </c>
      <c r="L19" s="44">
        <f>L14*'R&amp;S - Packaging and hh goods'!$B$10*('R&amp;S - Packaging and hh goods'!$E$14*'R&amp;S - Packaging and hh goods'!$S$19*('Yearly HC Propylene'!L$3-'Yearly HC Propylene'!$D$3)/10)</f>
        <v>0.34010187100098166</v>
      </c>
      <c r="M19" s="44">
        <f>M14*'R&amp;S - Packaging and hh goods'!$B$10*('R&amp;S - Packaging and hh goods'!$E$14*'R&amp;S - Packaging and hh goods'!$S$19*('Yearly HC Propylene'!M$3-'Yearly HC Propylene'!$D$3)/10)</f>
        <v>0.38797120934436991</v>
      </c>
      <c r="N19" s="44">
        <f>N14*'R&amp;S - Packaging and hh goods'!$B$10*('R&amp;S - Packaging and hh goods'!$E$14*'R&amp;S - Packaging and hh goods'!$S$19*('Yearly HC Propylene'!N$3-'Yearly HC Propylene'!$D$3)/10)</f>
        <v>0.4371142291946567</v>
      </c>
      <c r="O19" s="44">
        <f>O14*'R&amp;S - Packaging and hh goods'!$B$10*('R&amp;S - Packaging and hh goods'!$E$14*'R&amp;S - Packaging and hh goods'!$S$19*('Yearly HC Propylene'!O$3-'Yearly HC Propylene'!$D$3)/10)</f>
        <v>0.4875572112437202</v>
      </c>
      <c r="P19" s="44">
        <f>P14*'R&amp;S - Packaging and hh goods'!$B$10*('R&amp;S - Packaging and hh goods'!$E$14*('R&amp;S - Packaging and hh goods'!$S$19+('R&amp;S - Packaging and hh goods'!$S$20-'R&amp;S - Packaging and hh goods'!$S$19)*('Yearly HC Propylene'!P$3-'Yearly HC Propylene'!$O$3)/10))</f>
        <v>0.50833112226323307</v>
      </c>
      <c r="Q19" s="44">
        <f>Q14*'R&amp;S - Packaging and hh goods'!$B$10*('R&amp;S - Packaging and hh goods'!$E$14*('R&amp;S - Packaging and hh goods'!$S$19+('R&amp;S - Packaging and hh goods'!$S$20-'R&amp;S - Packaging and hh goods'!$S$19)*('Yearly HC Propylene'!Q$3-'Yearly HC Propylene'!$O$3)/10))</f>
        <v>0.57516426652079311</v>
      </c>
      <c r="R19" s="44">
        <f>R14*'R&amp;S - Packaging and hh goods'!$B$10*('R&amp;S - Packaging and hh goods'!$E$14*('R&amp;S - Packaging and hh goods'!$S$19+('R&amp;S - Packaging and hh goods'!$S$20-'R&amp;S - Packaging and hh goods'!$S$19)*('Yearly HC Propylene'!R$3-'Yearly HC Propylene'!$O$3)/10))</f>
        <v>0.64376910591760128</v>
      </c>
      <c r="S19" s="44">
        <f>S14*'R&amp;S - Packaging and hh goods'!$B$10*('R&amp;S - Packaging and hh goods'!$E$14*('R&amp;S - Packaging and hh goods'!$S$19+('R&amp;S - Packaging and hh goods'!$S$20-'R&amp;S - Packaging and hh goods'!$S$19)*('Yearly HC Propylene'!S$3-'Yearly HC Propylene'!$O$3)/10))</f>
        <v>0.71418214862128193</v>
      </c>
      <c r="T19" s="44">
        <f>T14*'R&amp;S - Packaging and hh goods'!$B$10*('R&amp;S - Packaging and hh goods'!$E$14*('R&amp;S - Packaging and hh goods'!$S$19+('R&amp;S - Packaging and hh goods'!$S$20-'R&amp;S - Packaging and hh goods'!$S$19)*('Yearly HC Propylene'!T$3-'Yearly HC Propylene'!$O$3)/10))</f>
        <v>0.78644057777590559</v>
      </c>
      <c r="U19" s="44">
        <f>U14*'R&amp;S - Packaging and hh goods'!$B$10*('R&amp;S - Packaging and hh goods'!$E$14*('R&amp;S - Packaging and hh goods'!$S$19+('R&amp;S - Packaging and hh goods'!$S$20-'R&amp;S - Packaging and hh goods'!$S$19)*('Yearly HC Propylene'!U$3-'Yearly HC Propylene'!$O$3)/10))</f>
        <v>0.86058226324572917</v>
      </c>
      <c r="V19" s="44">
        <f>V14*'R&amp;S - Packaging and hh goods'!$B$10*('R&amp;S - Packaging and hh goods'!$E$14*('R&amp;S - Packaging and hh goods'!$S$19+('R&amp;S - Packaging and hh goods'!$S$20-'R&amp;S - Packaging and hh goods'!$S$19)*('Yearly HC Propylene'!V$3-'Yearly HC Propylene'!$O$3)/10))</f>
        <v>0.93664577355546375</v>
      </c>
      <c r="W19" s="44">
        <f>W14*'R&amp;S - Packaging and hh goods'!$B$10*('R&amp;S - Packaging and hh goods'!$E$14*('R&amp;S - Packaging and hh goods'!$S$19+('R&amp;S - Packaging and hh goods'!$S$20-'R&amp;S - Packaging and hh goods'!$S$19)*('Yearly HC Propylene'!W$3-'Yearly HC Propylene'!$O$3)/10))</f>
        <v>1.0146703880302748</v>
      </c>
      <c r="X19" s="44">
        <f>X14*'R&amp;S - Packaging and hh goods'!$B$10*('R&amp;S - Packaging and hh goods'!$E$14*('R&amp;S - Packaging and hh goods'!$S$19+('R&amp;S - Packaging and hh goods'!$S$20-'R&amp;S - Packaging and hh goods'!$S$19)*('Yearly HC Propylene'!X$3-'Yearly HC Propylene'!$O$3)/10))</f>
        <v>1.0946961091387633</v>
      </c>
      <c r="Y19" s="44">
        <f>Y14*'R&amp;S - Packaging and hh goods'!$B$10*('R&amp;S - Packaging and hh goods'!$E$14*('R&amp;S - Packaging and hh goods'!$S$20+('R&amp;S - Packaging and hh goods'!$S$21-'R&amp;S - Packaging and hh goods'!$S$20)*('Yearly HC Propylene'!Y$3-'Yearly HC Propylene'!$X$3)/10))</f>
        <v>1.2347236769473013</v>
      </c>
      <c r="Z19" s="44">
        <f>Z14*'R&amp;S - Packaging and hh goods'!$B$10*('R&amp;S - Packaging and hh goods'!$E$14*('R&amp;S - Packaging and hh goods'!$S$20+('R&amp;S - Packaging and hh goods'!$S$21-'R&amp;S - Packaging and hh goods'!$S$20)*('Yearly HC Propylene'!Z$3-'Yearly HC Propylene'!$X$3)/10))</f>
        <v>1.3107812503562997</v>
      </c>
      <c r="AA19" s="44">
        <f>AA14*'R&amp;S - Packaging and hh goods'!$B$10*('R&amp;S - Packaging and hh goods'!$E$14*('R&amp;S - Packaging and hh goods'!$S$20+('R&amp;S - Packaging and hh goods'!$S$21-'R&amp;S - Packaging and hh goods'!$S$20)*('Yearly HC Propylene'!AA$3-'Yearly HC Propylene'!$X$3)/10))</f>
        <v>1.3887264299800686</v>
      </c>
      <c r="AB19" s="44">
        <f>AB14*'R&amp;S - Packaging and hh goods'!$B$10*('R&amp;S - Packaging and hh goods'!$E$14*('R&amp;S - Packaging and hh goods'!$S$20+('R&amp;S - Packaging and hh goods'!$S$21-'R&amp;S - Packaging and hh goods'!$S$20)*('Yearly HC Propylene'!AB$3-'Yearly HC Propylene'!$X$3)/10))</f>
        <v>1.4685971615082332</v>
      </c>
      <c r="AC19" s="44">
        <f>AC14*'R&amp;S - Packaging and hh goods'!$B$10*('R&amp;S - Packaging and hh goods'!$E$14*('R&amp;S - Packaging and hh goods'!$S$20+('R&amp;S - Packaging and hh goods'!$S$21-'R&amp;S - Packaging and hh goods'!$S$20)*('Yearly HC Propylene'!AC$3-'Yearly HC Propylene'!$X$3)/10))</f>
        <v>1.55043208313891</v>
      </c>
      <c r="AD19" s="44">
        <f>AD14*'R&amp;S - Packaging and hh goods'!$B$10*('R&amp;S - Packaging and hh goods'!$E$14*('R&amp;S - Packaging and hh goods'!$S$20+('R&amp;S - Packaging and hh goods'!$S$21-'R&amp;S - Packaging and hh goods'!$S$20)*('Yearly HC Propylene'!AD$3-'Yearly HC Propylene'!$X$3)/10))</f>
        <v>1.6342705375315905</v>
      </c>
      <c r="AE19" s="44">
        <f>AE14*'R&amp;S - Packaging and hh goods'!$B$10*('R&amp;S - Packaging and hh goods'!$E$14*('R&amp;S - Packaging and hh goods'!$S$20+('R&amp;S - Packaging and hh goods'!$S$21-'R&amp;S - Packaging and hh goods'!$S$20)*('Yearly HC Propylene'!AE$3-'Yearly HC Propylene'!$X$3)/10))</f>
        <v>1.7201525839589709</v>
      </c>
      <c r="AF19" s="44">
        <f>AF14*'R&amp;S - Packaging and hh goods'!$B$10*('R&amp;S - Packaging and hh goods'!$E$14*('R&amp;S - Packaging and hh goods'!$S$20+('R&amp;S - Packaging and hh goods'!$S$21-'R&amp;S - Packaging and hh goods'!$S$20)*('Yearly HC Propylene'!AF$3-'Yearly HC Propylene'!$X$3)/10))</f>
        <v>1.808119010660961</v>
      </c>
      <c r="AG19" s="44">
        <f>AG14*'R&amp;S - Packaging and hh goods'!$B$10*('R&amp;S - Packaging and hh goods'!$E$14*('R&amp;S - Packaging and hh goods'!$S$20+('R&amp;S - Packaging and hh goods'!$S$21-'R&amp;S - Packaging and hh goods'!$S$20)*('Yearly HC Propylene'!AG$3-'Yearly HC Propylene'!$X$3)/10))</f>
        <v>1.898211347404152</v>
      </c>
      <c r="AH19" s="44">
        <f>AH14*'R&amp;S - Packaging and hh goods'!$B$10*('R&amp;S - Packaging and hh goods'!$E$14*('R&amp;S - Packaging and hh goods'!$S$20+('R&amp;S - Packaging and hh goods'!$S$21-'R&amp;S - Packaging and hh goods'!$S$20)*('Yearly HC Propylene'!AH$3-'Yearly HC Propylene'!$X$3)/10))</f>
        <v>1.9904718782500621</v>
      </c>
    </row>
    <row r="20" spans="1:34" outlineLevel="1" x14ac:dyDescent="0.2">
      <c r="B20" s="1" t="s">
        <v>172</v>
      </c>
      <c r="C20" s="54" t="s">
        <v>153</v>
      </c>
      <c r="D20" s="44">
        <f>SUM(D18:D19)</f>
        <v>0</v>
      </c>
      <c r="E20" s="44">
        <f t="shared" ref="E20:AH20" si="5">SUM(E18:E19)</f>
        <v>8.2650706101895732E-2</v>
      </c>
      <c r="F20" s="44">
        <f t="shared" si="5"/>
        <v>0.16761563197464457</v>
      </c>
      <c r="G20" s="44">
        <f t="shared" si="5"/>
        <v>0.25494337623343438</v>
      </c>
      <c r="H20" s="44">
        <f t="shared" si="5"/>
        <v>0.34468344466760326</v>
      </c>
      <c r="I20" s="44">
        <f t="shared" si="5"/>
        <v>0.43688626611618719</v>
      </c>
      <c r="J20" s="44">
        <f t="shared" si="5"/>
        <v>0.53160320861017663</v>
      </c>
      <c r="K20" s="44">
        <f t="shared" si="5"/>
        <v>0.62888659578583894</v>
      </c>
      <c r="L20" s="44">
        <f t="shared" si="5"/>
        <v>0.72878972357353211</v>
      </c>
      <c r="M20" s="44">
        <f t="shared" si="5"/>
        <v>0.83136687716650692</v>
      </c>
      <c r="N20" s="44">
        <f t="shared" si="5"/>
        <v>0.93667334827426441</v>
      </c>
      <c r="O20" s="44">
        <f t="shared" si="5"/>
        <v>1.0447654526651147</v>
      </c>
      <c r="P20" s="44">
        <f t="shared" si="5"/>
        <v>1.1247047478646448</v>
      </c>
      <c r="Q20" s="44">
        <f t="shared" si="5"/>
        <v>1.2522506942439438</v>
      </c>
      <c r="R20" s="44">
        <f t="shared" si="5"/>
        <v>1.3831474849912819</v>
      </c>
      <c r="S20" s="44">
        <f t="shared" si="5"/>
        <v>1.5174639447434735</v>
      </c>
      <c r="T20" s="44">
        <f t="shared" si="5"/>
        <v>1.655270168461668</v>
      </c>
      <c r="U20" s="44">
        <f t="shared" si="5"/>
        <v>1.7966375435108024</v>
      </c>
      <c r="V20" s="44">
        <f t="shared" si="5"/>
        <v>1.9416387721082944</v>
      </c>
      <c r="W20" s="44">
        <f t="shared" si="5"/>
        <v>2.0903478941479876</v>
      </c>
      <c r="X20" s="44">
        <f t="shared" si="5"/>
        <v>2.2428403104054588</v>
      </c>
      <c r="Y20" s="44">
        <f t="shared" si="5"/>
        <v>2.7000328160190832</v>
      </c>
      <c r="Z20" s="44">
        <f t="shared" si="5"/>
        <v>2.8576659557457216</v>
      </c>
      <c r="AA20" s="44">
        <f t="shared" si="5"/>
        <v>3.0191836169527662</v>
      </c>
      <c r="AB20" s="44">
        <f t="shared" si="5"/>
        <v>3.184663670146282</v>
      </c>
      <c r="AC20" s="44">
        <f t="shared" si="5"/>
        <v>3.3541854048402939</v>
      </c>
      <c r="AD20" s="44">
        <f t="shared" si="5"/>
        <v>3.5278295540263893</v>
      </c>
      <c r="AE20" s="44">
        <f t="shared" si="5"/>
        <v>3.7056783190503468</v>
      </c>
      <c r="AF20" s="44">
        <f t="shared" si="5"/>
        <v>3.8878153949023848</v>
      </c>
      <c r="AG20" s="44">
        <f t="shared" si="5"/>
        <v>4.0743259959277474</v>
      </c>
      <c r="AH20" s="44">
        <f t="shared" si="5"/>
        <v>4.265296881964419</v>
      </c>
    </row>
    <row r="21" spans="1:34" s="1" customFormat="1" x14ac:dyDescent="0.2">
      <c r="B21" s="1" t="s">
        <v>197</v>
      </c>
      <c r="C21" s="65" t="s">
        <v>153</v>
      </c>
      <c r="D21" s="66">
        <f>D14-D17-D20</f>
        <v>46.844581662413418</v>
      </c>
      <c r="E21" s="66">
        <f t="shared" ref="E21:AH21" si="6">E14-E17-E20</f>
        <v>47.261146261643965</v>
      </c>
      <c r="F21" s="66">
        <f t="shared" si="6"/>
        <v>47.68019313164713</v>
      </c>
      <c r="G21" s="66">
        <f t="shared" si="6"/>
        <v>48.101710129343097</v>
      </c>
      <c r="H21" s="66">
        <f t="shared" si="6"/>
        <v>48.525684285120754</v>
      </c>
      <c r="I21" s="66">
        <f t="shared" si="6"/>
        <v>48.952101782074827</v>
      </c>
      <c r="J21" s="66">
        <f t="shared" si="6"/>
        <v>49.380947934823737</v>
      </c>
      <c r="K21" s="66">
        <f t="shared" si="6"/>
        <v>49.812207167900333</v>
      </c>
      <c r="L21" s="66">
        <f t="shared" si="6"/>
        <v>50.245862993707838</v>
      </c>
      <c r="M21" s="66">
        <f t="shared" si="6"/>
        <v>50.68189799003305</v>
      </c>
      <c r="N21" s="66">
        <f t="shared" si="6"/>
        <v>51.120293777108607</v>
      </c>
      <c r="O21" s="66">
        <f t="shared" si="6"/>
        <v>51.38499292813237</v>
      </c>
      <c r="P21" s="66">
        <f t="shared" si="6"/>
        <v>51.678079877942487</v>
      </c>
      <c r="Q21" s="66">
        <f t="shared" si="6"/>
        <v>51.923728678790475</v>
      </c>
      <c r="R21" s="66">
        <f t="shared" si="6"/>
        <v>52.166126742406128</v>
      </c>
      <c r="S21" s="66">
        <f t="shared" si="6"/>
        <v>52.405134900981977</v>
      </c>
      <c r="T21" s="66">
        <f t="shared" si="6"/>
        <v>52.640610727156435</v>
      </c>
      <c r="U21" s="66">
        <f t="shared" si="6"/>
        <v>52.872408470023181</v>
      </c>
      <c r="V21" s="66">
        <f t="shared" si="6"/>
        <v>53.100378989987682</v>
      </c>
      <c r="W21" s="66">
        <f t="shared" si="6"/>
        <v>53.324369692451057</v>
      </c>
      <c r="X21" s="66">
        <f t="shared" si="6"/>
        <v>53.544224460301379</v>
      </c>
      <c r="Y21" s="66">
        <f t="shared" si="6"/>
        <v>53.461515393569933</v>
      </c>
      <c r="Z21" s="66">
        <f t="shared" si="6"/>
        <v>53.677916964319117</v>
      </c>
      <c r="AA21" s="66">
        <f t="shared" si="6"/>
        <v>53.889899322032143</v>
      </c>
      <c r="AB21" s="66">
        <f t="shared" si="6"/>
        <v>54.097296314036129</v>
      </c>
      <c r="AC21" s="66">
        <f t="shared" si="6"/>
        <v>54.299938001549101</v>
      </c>
      <c r="AD21" s="66">
        <f t="shared" si="6"/>
        <v>54.49765058623489</v>
      </c>
      <c r="AE21" s="66">
        <f t="shared" si="6"/>
        <v>54.690256335443578</v>
      </c>
      <c r="AF21" s="66">
        <f t="shared" si="6"/>
        <v>54.877573506115205</v>
      </c>
      <c r="AG21" s="66">
        <f t="shared" si="6"/>
        <v>55.059416267323883</v>
      </c>
      <c r="AH21" s="66">
        <f t="shared" si="6"/>
        <v>55.235594621439219</v>
      </c>
    </row>
    <row r="22" spans="1:34" s="67" customFormat="1" x14ac:dyDescent="0.2">
      <c r="A22" s="58" t="s">
        <v>272</v>
      </c>
      <c r="B22" s="58" t="s">
        <v>199</v>
      </c>
      <c r="C22" s="59" t="s">
        <v>153</v>
      </c>
      <c r="D22" s="60">
        <f>'R&amp;S - Buildings'!I4</f>
        <v>12.379169704702877</v>
      </c>
      <c r="E22" s="60">
        <f>D22*(1+'R&amp;S - Buildings'!$B$5)</f>
        <v>12.589615589682824</v>
      </c>
      <c r="F22" s="60">
        <f>E22*(1+'R&amp;S - Buildings'!$B$5)</f>
        <v>12.80363905470743</v>
      </c>
      <c r="G22" s="60">
        <f>F22*(1+'R&amp;S - Buildings'!$B$5)</f>
        <v>13.021300918637456</v>
      </c>
      <c r="H22" s="60">
        <f>G22*(1+'R&amp;S - Buildings'!$B$5)</f>
        <v>13.242663034254292</v>
      </c>
      <c r="I22" s="60">
        <f>H22*(1+'R&amp;S - Buildings'!$B$5)</f>
        <v>13.467788305836613</v>
      </c>
      <c r="J22" s="60">
        <f>I22*(1+'R&amp;S - Buildings'!$B$5)</f>
        <v>13.696740707035834</v>
      </c>
      <c r="K22" s="60">
        <f>J22*(1+'R&amp;S - Buildings'!$B$5)</f>
        <v>13.929585299055443</v>
      </c>
      <c r="L22" s="60">
        <f>K22*(1+'R&amp;S - Buildings'!$B$5)</f>
        <v>14.166388249139384</v>
      </c>
      <c r="M22" s="60">
        <f>L22*(1+'R&amp;S - Buildings'!$B$5)</f>
        <v>14.407216849374752</v>
      </c>
      <c r="N22" s="60">
        <f>M22*(1+'R&amp;S - Buildings'!$B$5)</f>
        <v>14.652139535814122</v>
      </c>
      <c r="O22" s="60">
        <f>N22*(1+'R&amp;S - Buildings'!$B$5)</f>
        <v>14.90122590792296</v>
      </c>
      <c r="P22" s="60">
        <f>O22*(1+'R&amp;S - Buildings'!$B$5)</f>
        <v>15.154546748357649</v>
      </c>
      <c r="Q22" s="60">
        <f>P22*(1+'R&amp;S - Buildings'!$B$5)</f>
        <v>15.412174043079728</v>
      </c>
      <c r="R22" s="60">
        <f>Q22*(1+'R&amp;S - Buildings'!$B$5)</f>
        <v>15.674181001812082</v>
      </c>
      <c r="S22" s="60">
        <f>R22*(1+'R&amp;S - Buildings'!$B$5)</f>
        <v>15.940642078842886</v>
      </c>
      <c r="T22" s="60">
        <f>S22*(1+'R&amp;S - Buildings'!$B$5)</f>
        <v>16.211632994183216</v>
      </c>
      <c r="U22" s="60">
        <f>T22*(1+'R&amp;S - Buildings'!$B$5)</f>
        <v>16.48723075508433</v>
      </c>
      <c r="V22" s="60">
        <f>U22*(1+'R&amp;S - Buildings'!$B$5)</f>
        <v>16.767513677920761</v>
      </c>
      <c r="W22" s="60">
        <f>V22*(1+'R&amp;S - Buildings'!$B$5)</f>
        <v>17.052561410445414</v>
      </c>
      <c r="X22" s="60">
        <f>W22*(1+'R&amp;S - Buildings'!$B$5)</f>
        <v>17.342454954422983</v>
      </c>
      <c r="Y22" s="60">
        <f>X22*(1+'R&amp;S - Buildings'!$B$5)</f>
        <v>17.637276688648171</v>
      </c>
      <c r="Z22" s="60">
        <f>Y22*(1+'R&amp;S - Buildings'!$B$5)</f>
        <v>17.937110392355187</v>
      </c>
      <c r="AA22" s="60">
        <f>Z22*(1+'R&amp;S - Buildings'!$B$5)</f>
        <v>18.242041269025222</v>
      </c>
      <c r="AB22" s="60">
        <f>AA22*(1+'R&amp;S - Buildings'!$B$5)</f>
        <v>18.552155970598648</v>
      </c>
      <c r="AC22" s="60">
        <f>AB22*(1+'R&amp;S - Buildings'!$B$5)</f>
        <v>18.867542622098824</v>
      </c>
      <c r="AD22" s="60">
        <f>AC22*(1+'R&amp;S - Buildings'!$B$5)</f>
        <v>19.188290846674501</v>
      </c>
      <c r="AE22" s="60">
        <f>AD22*(1+'R&amp;S - Buildings'!$B$5)</f>
        <v>19.514491791067964</v>
      </c>
      <c r="AF22" s="60">
        <f>AE22*(1+'R&amp;S - Buildings'!$B$5)</f>
        <v>19.846238151516118</v>
      </c>
      <c r="AG22" s="60">
        <f>AF22*(1+'R&amp;S - Buildings'!$B$5)</f>
        <v>20.183624200091892</v>
      </c>
      <c r="AH22" s="60">
        <f>AG22*(1+'R&amp;S - Buildings'!$B$5)</f>
        <v>20.526745811493452</v>
      </c>
    </row>
    <row r="23" spans="1:34" outlineLevel="1" x14ac:dyDescent="0.2">
      <c r="B23" s="1" t="s">
        <v>168</v>
      </c>
      <c r="C23" s="54" t="s">
        <v>153</v>
      </c>
      <c r="D23">
        <v>0</v>
      </c>
      <c r="E23" s="43">
        <f>E22*'R&amp;S - Buildings'!$B$7*'R&amp;S - Buildings'!$B$11*'R&amp;S - Buildings'!$B$15*('Yearly HC Propylene'!E$3-'Yearly HC Propylene'!$D$3)/10</f>
        <v>0.22850152295274331</v>
      </c>
      <c r="F23" s="43">
        <f>F22*'R&amp;S - Buildings'!$B$7*'R&amp;S - Buildings'!$B$11*'R&amp;S - Buildings'!$B$15*('Yearly HC Propylene'!F$3-'Yearly HC Propylene'!$D$3)/10</f>
        <v>0.46477209768587979</v>
      </c>
      <c r="G23" s="43">
        <f>G22*'R&amp;S - Buildings'!$B$7*'R&amp;S - Buildings'!$B$11*'R&amp;S - Buildings'!$B$15*('Yearly HC Propylene'!G$3-'Yearly HC Propylene'!$D$3)/10</f>
        <v>0.70900983501980952</v>
      </c>
      <c r="H23" s="43">
        <f>H22*'R&amp;S - Buildings'!$B$7*'R&amp;S - Buildings'!$B$11*'R&amp;S - Buildings'!$B$15*('Yearly HC Propylene'!H$3-'Yearly HC Propylene'!$D$3)/10</f>
        <v>0.96141733628686177</v>
      </c>
      <c r="I23" s="43">
        <f>I22*'R&amp;S - Buildings'!$B$7*'R&amp;S - Buildings'!$B$11*'R&amp;S - Buildings'!$B$15*('Yearly HC Propylene'!I$3-'Yearly HC Propylene'!$D$3)/10</f>
        <v>1.2222017887546728</v>
      </c>
      <c r="J23" s="43">
        <f>J22*'R&amp;S - Buildings'!$B$7*'R&amp;S - Buildings'!$B$11*'R&amp;S - Buildings'!$B$15*('Yearly HC Propylene'!J$3-'Yearly HC Propylene'!$D$3)/10</f>
        <v>1.4915750629962026</v>
      </c>
      <c r="K23" s="43">
        <f>K22*'R&amp;S - Buildings'!$B$7*'R&amp;S - Buildings'!$B$11*'R&amp;S - Buildings'!$B$15*('Yearly HC Propylene'!K$3-'Yearly HC Propylene'!$D$3)/10</f>
        <v>1.7697538122449941</v>
      </c>
      <c r="L23" s="43">
        <f>L22*'R&amp;S - Buildings'!$B$7*'R&amp;S - Buildings'!$B$11*'R&amp;S - Buildings'!$B$15*('Yearly HC Propylene'!L$3-'Yearly HC Propylene'!$D$3)/10</f>
        <v>2.056959573775039</v>
      </c>
      <c r="M23" s="43">
        <f>M22*'R&amp;S - Buildings'!$B$7*'R&amp;S - Buildings'!$B$11*'R&amp;S - Buildings'!$B$15*('Yearly HC Propylene'!M$3-'Yearly HC Propylene'!$D$3)/10</f>
        <v>2.3534188723453662</v>
      </c>
      <c r="N23" s="43">
        <f>N22*'R&amp;S - Buildings'!$B$7*'R&amp;S - Buildings'!$B$11*'R&amp;S - Buildings'!$B$15*('Yearly HC Propylene'!N$3-'Yearly HC Propylene'!$D$3)/10</f>
        <v>2.6593633257502636</v>
      </c>
      <c r="O23" s="43">
        <f>O22*'R&amp;S - Buildings'!$B$7*'R&amp;S - Buildings'!$B$11*('R&amp;S - Buildings'!$B$15+('R&amp;S - Buildings'!$B$16-'R&amp;S - Buildings'!$B$15)*('Yearly HC Propylene'!O$3-'Yearly HC Propylene'!$N$3)/10)</f>
        <v>2.9750297525168188</v>
      </c>
      <c r="P23" s="43">
        <f>P22*'R&amp;S - Buildings'!$B$7*'R&amp;S - Buildings'!$B$11*('R&amp;S - Buildings'!$B$15+('R&amp;S - Buildings'!$B$16-'R&amp;S - Buildings'!$B$15)*('Yearly HC Propylene'!P$3-'Yearly HC Propylene'!$N$3)/10)</f>
        <v>3.3006602817922963</v>
      </c>
      <c r="Q23" s="43">
        <f>Q22*'R&amp;S - Buildings'!$B$7*'R&amp;S - Buildings'!$B$11*('R&amp;S - Buildings'!$B$15+('R&amp;S - Buildings'!$B$16-'R&amp;S - Buildings'!$B$15)*('Yearly HC Propylene'!Q$3-'Yearly HC Propylene'!$N$3)/10)</f>
        <v>3.6365024654646625</v>
      </c>
      <c r="R23" s="43">
        <f>R22*'R&amp;S - Buildings'!$B$7*'R&amp;S - Buildings'!$B$11*('R&amp;S - Buildings'!$B$15+('R&amp;S - Buildings'!$B$16-'R&amp;S - Buildings'!$B$15)*('Yearly HC Propylene'!R$3-'Yearly HC Propylene'!$N$3)/10)</f>
        <v>3.9828093925604504</v>
      </c>
      <c r="S23" s="43">
        <f>S22*'R&amp;S - Buildings'!$B$7*'R&amp;S - Buildings'!$B$11*('R&amp;S - Buildings'!$B$15+('R&amp;S - Buildings'!$B$16-'R&amp;S - Buildings'!$B$15)*('Yearly HC Propylene'!S$3-'Yearly HC Propylene'!$N$3)/10)</f>
        <v>4.3398398059649761</v>
      </c>
      <c r="T23" s="43">
        <f>T22*'R&amp;S - Buildings'!$B$7*'R&amp;S - Buildings'!$B$11*('R&amp;S - Buildings'!$B$15+('R&amp;S - Buildings'!$B$16-'R&amp;S - Buildings'!$B$15)*('Yearly HC Propylene'!T$3-'Yearly HC Propylene'!$N$3)/10)</f>
        <v>4.7078582215108069</v>
      </c>
      <c r="U23" s="43">
        <f>U22*'R&amp;S - Buildings'!$B$7*'R&amp;S - Buildings'!$B$11*('R&amp;S - Buildings'!$B$15+('R&amp;S - Buildings'!$B$16-'R&amp;S - Buildings'!$B$15)*('Yearly HC Propylene'!U$3-'Yearly HC Propylene'!$N$3)/10)</f>
        <v>5.0871350494812715</v>
      </c>
      <c r="V23" s="43">
        <f>V22*'R&amp;S - Buildings'!$B$7*'R&amp;S - Buildings'!$B$11*('R&amp;S - Buildings'!$B$15+('R&amp;S - Buildings'!$B$16-'R&amp;S - Buildings'!$B$15)*('Yearly HC Propylene'!V$3-'Yearly HC Propylene'!$N$3)/10)</f>
        <v>5.4779467185767139</v>
      </c>
      <c r="W23" s="43">
        <f>W22*'R&amp;S - Buildings'!$B$7*'R&amp;S - Buildings'!$B$11*('R&amp;S - Buildings'!$B$15+('R&amp;S - Buildings'!$B$16-'R&amp;S - Buildings'!$B$15)*('Yearly HC Propylene'!W$3-'Yearly HC Propylene'!$N$3)/10)</f>
        <v>5.8805758023921015</v>
      </c>
      <c r="X23" s="43">
        <f>X22*'R&amp;S - Buildings'!$B$7*'R&amp;S - Buildings'!$B$11*('R&amp;S - Buildings'!$B$15+('R&amp;S - Buildings'!$B$16-'R&amp;S - Buildings'!$B$15)*('Yearly HC Propylene'!X$3-'Yearly HC Propylene'!$N$3)/10)</f>
        <v>6.2953111484555428</v>
      </c>
      <c r="Y23" s="43">
        <f>Y22*'R&amp;S - Buildings'!$B$7*'R&amp;S - Buildings'!$B$11*('R&amp;S - Buildings'!$B$16+('R&amp;S - Buildings'!$B$17-'R&amp;S - Buildings'!$B$16)*('Yearly HC Propylene'!Y$3-'Yearly HC Propylene'!$X$3)/10)</f>
        <v>6.7321485120570079</v>
      </c>
      <c r="Z23" s="43">
        <f>Z22*'R&amp;S - Buildings'!$B$7*'R&amp;S - Buildings'!$B$11*('R&amp;S - Buildings'!$B$16+('R&amp;S - Buildings'!$B$17-'R&amp;S - Buildings'!$B$16)*('Yearly HC Propylene'!Z$3-'Yearly HC Propylene'!$X$3)/10)</f>
        <v>7.1820190010990181</v>
      </c>
      <c r="AA23" s="43">
        <f>AA22*'R&amp;S - Buildings'!$B$7*'R&amp;S - Buildings'!$B$11*('R&amp;S - Buildings'!$B$16+('R&amp;S - Buildings'!$B$17-'R&amp;S - Buildings'!$B$16)*('Yearly HC Propylene'!AA$3-'Yearly HC Propylene'!$X$3)/10)</f>
        <v>7.6452394958484708</v>
      </c>
      <c r="AB23" s="43">
        <f>AB22*'R&amp;S - Buildings'!$B$7*'R&amp;S - Buildings'!$B$11*('R&amp;S - Buildings'!$B$16+('R&amp;S - Buildings'!$B$17-'R&amp;S - Buildings'!$B$16)*('Yearly HC Propylene'!AB$3-'Yearly HC Propylene'!$X$3)/10)</f>
        <v>8.1221338839280897</v>
      </c>
      <c r="AC23" s="43">
        <f>AC22*'R&amp;S - Buildings'!$B$7*'R&amp;S - Buildings'!$B$11*('R&amp;S - Buildings'!$B$16+('R&amp;S - Buildings'!$B$17-'R&amp;S - Buildings'!$B$16)*('Yearly HC Propylene'!AC$3-'Yearly HC Propylene'!$X$3)/10)</f>
        <v>8.6130332069881153</v>
      </c>
      <c r="AD23" s="43">
        <f>AD22*'R&amp;S - Buildings'!$B$7*'R&amp;S - Buildings'!$B$11*('R&amp;S - Buildings'!$B$16+('R&amp;S - Buildings'!$B$17-'R&amp;S - Buildings'!$B$16)*('Yearly HC Propylene'!AD$3-'Yearly HC Propylene'!$X$3)/10)</f>
        <v>9.1182758103397248</v>
      </c>
      <c r="AE23" s="43">
        <f>AE22*'R&amp;S - Buildings'!$B$7*'R&amp;S - Buildings'!$B$11*('R&amp;S - Buildings'!$B$16+('R&amp;S - Buildings'!$B$17-'R&amp;S - Buildings'!$B$16)*('Yearly HC Propylene'!AE$3-'Yearly HC Propylene'!$X$3)/10)</f>
        <v>9.6382074956084693</v>
      </c>
      <c r="AF23" s="43">
        <f>AF22*'R&amp;S - Buildings'!$B$7*'R&amp;S - Buildings'!$B$11*('R&amp;S - Buildings'!$B$16+('R&amp;S - Buildings'!$B$17-'R&amp;S - Buildings'!$B$16)*('Yearly HC Propylene'!AF$3-'Yearly HC Propylene'!$X$3)/10)</f>
        <v>10.173181676467163</v>
      </c>
      <c r="AG23" s="43">
        <f>AG22*'R&amp;S - Buildings'!$B$7*'R&amp;S - Buildings'!$B$11*('R&amp;S - Buildings'!$B$16+('R&amp;S - Buildings'!$B$17-'R&amp;S - Buildings'!$B$16)*('Yearly HC Propylene'!AG$3-'Yearly HC Propylene'!$X$3)/10)</f>
        <v>10.723559537508821</v>
      </c>
      <c r="AH23" s="43">
        <f>AH22*'R&amp;S - Buildings'!$B$7*'R&amp;S - Buildings'!$B$11*('R&amp;S - Buildings'!$B$16+('R&amp;S - Buildings'!$B$17-'R&amp;S - Buildings'!$B$16)*('Yearly HC Propylene'!AH$3-'Yearly HC Propylene'!$X$3)/10)</f>
        <v>11.289710196321399</v>
      </c>
    </row>
    <row r="24" spans="1:34" outlineLevel="1" x14ac:dyDescent="0.2">
      <c r="B24" s="1" t="s">
        <v>172</v>
      </c>
      <c r="C24" s="54" t="s">
        <v>153</v>
      </c>
      <c r="D24">
        <v>0</v>
      </c>
      <c r="E24" s="43">
        <f>E22*'R&amp;S - Buildings'!$B$8*'R&amp;S - Buildings'!$C$11*'R&amp;S - Buildings'!$B$15*('Yearly HC Propylene'!E$3-'Yearly HC Propylene'!$D$3)/10</f>
        <v>0</v>
      </c>
      <c r="F24" s="43">
        <f>F22*'R&amp;S - Buildings'!$B$8*'R&amp;S - Buildings'!$C$11*'R&amp;S - Buildings'!$B$15*('Yearly HC Propylene'!F$3-'Yearly HC Propylene'!$D$3)/10</f>
        <v>0</v>
      </c>
      <c r="G24" s="43">
        <f>G22*'R&amp;S - Buildings'!$B$8*'R&amp;S - Buildings'!$C$11*'R&amp;S - Buildings'!$B$15*('Yearly HC Propylene'!G$3-'Yearly HC Propylene'!$D$3)/10</f>
        <v>0</v>
      </c>
      <c r="H24" s="43">
        <f>H22*'R&amp;S - Buildings'!$B$8*'R&amp;S - Buildings'!$C$11*'R&amp;S - Buildings'!$B$15*('Yearly HC Propylene'!H$3-'Yearly HC Propylene'!$D$3)/10</f>
        <v>0</v>
      </c>
      <c r="I24" s="43">
        <f>I22*'R&amp;S - Buildings'!$B$8*'R&amp;S - Buildings'!$C$11*'R&amp;S - Buildings'!$B$15*('Yearly HC Propylene'!I$3-'Yearly HC Propylene'!$D$3)/10</f>
        <v>0</v>
      </c>
      <c r="J24" s="43">
        <f>J22*'R&amp;S - Buildings'!$B$8*'R&amp;S - Buildings'!$C$11*'R&amp;S - Buildings'!$B$15*('Yearly HC Propylene'!J$3-'Yearly HC Propylene'!$D$3)/10</f>
        <v>0</v>
      </c>
      <c r="K24" s="43">
        <f>K22*'R&amp;S - Buildings'!$B$8*'R&amp;S - Buildings'!$C$11*'R&amp;S - Buildings'!$B$15*('Yearly HC Propylene'!K$3-'Yearly HC Propylene'!$D$3)/10</f>
        <v>0</v>
      </c>
      <c r="L24" s="43">
        <f>L22*'R&amp;S - Buildings'!$B$8*'R&amp;S - Buildings'!$C$11*'R&amp;S - Buildings'!$B$15*('Yearly HC Propylene'!L$3-'Yearly HC Propylene'!$D$3)/10</f>
        <v>0</v>
      </c>
      <c r="M24" s="43">
        <f>M22*'R&amp;S - Buildings'!$B$8*'R&amp;S - Buildings'!$C$11*'R&amp;S - Buildings'!$B$15*('Yearly HC Propylene'!M$3-'Yearly HC Propylene'!$D$3)/10</f>
        <v>0</v>
      </c>
      <c r="N24" s="43">
        <f>N22*'R&amp;S - Buildings'!$B$8*'R&amp;S - Buildings'!$C$11*'R&amp;S - Buildings'!$B$15*('Yearly HC Propylene'!N$3-'Yearly HC Propylene'!$D$3)/10</f>
        <v>0</v>
      </c>
      <c r="O24" s="43">
        <f>O22*'R&amp;S - Buildings'!$B$8*'R&amp;S - Buildings'!$C$11*('R&amp;S - Buildings'!$B$15+('R&amp;S - Buildings'!$B$16-'R&amp;S - Buildings'!$B$15)*('Yearly HC Propylene'!O$3-'Yearly HC Propylene'!$N$3)/10)</f>
        <v>0</v>
      </c>
      <c r="P24" s="43">
        <f>P22*'R&amp;S - Buildings'!$B$8*'R&amp;S - Buildings'!$C$11*('R&amp;S - Buildings'!$B$15+('R&amp;S - Buildings'!$B$16-'R&amp;S - Buildings'!$B$15)*('Yearly HC Propylene'!P$3-'Yearly HC Propylene'!$N$3)/10)</f>
        <v>0</v>
      </c>
      <c r="Q24" s="43">
        <f>Q22*'R&amp;S - Buildings'!$B$8*'R&amp;S - Buildings'!$C$11*('R&amp;S - Buildings'!$B$15+('R&amp;S - Buildings'!$B$16-'R&amp;S - Buildings'!$B$15)*('Yearly HC Propylene'!Q$3-'Yearly HC Propylene'!$N$3)/10)</f>
        <v>0</v>
      </c>
      <c r="R24" s="43">
        <f>R22*'R&amp;S - Buildings'!$B$8*'R&amp;S - Buildings'!$C$11*('R&amp;S - Buildings'!$B$15+('R&amp;S - Buildings'!$B$16-'R&amp;S - Buildings'!$B$15)*('Yearly HC Propylene'!R$3-'Yearly HC Propylene'!$N$3)/10)</f>
        <v>0</v>
      </c>
      <c r="S24" s="43">
        <f>S22*'R&amp;S - Buildings'!$B$8*'R&amp;S - Buildings'!$C$11*('R&amp;S - Buildings'!$B$15+('R&amp;S - Buildings'!$B$16-'R&amp;S - Buildings'!$B$15)*('Yearly HC Propylene'!S$3-'Yearly HC Propylene'!$N$3)/10)</f>
        <v>0</v>
      </c>
      <c r="T24" s="43">
        <f>T22*'R&amp;S - Buildings'!$B$8*'R&amp;S - Buildings'!$C$11*('R&amp;S - Buildings'!$B$15+('R&amp;S - Buildings'!$B$16-'R&amp;S - Buildings'!$B$15)*('Yearly HC Propylene'!T$3-'Yearly HC Propylene'!$N$3)/10)</f>
        <v>0</v>
      </c>
      <c r="U24" s="43">
        <f>U22*'R&amp;S - Buildings'!$B$8*'R&amp;S - Buildings'!$C$11*('R&amp;S - Buildings'!$B$15+('R&amp;S - Buildings'!$B$16-'R&amp;S - Buildings'!$B$15)*('Yearly HC Propylene'!U$3-'Yearly HC Propylene'!$N$3)/10)</f>
        <v>0</v>
      </c>
      <c r="V24" s="43">
        <f>V22*'R&amp;S - Buildings'!$B$8*'R&amp;S - Buildings'!$C$11*('R&amp;S - Buildings'!$B$15+('R&amp;S - Buildings'!$B$16-'R&amp;S - Buildings'!$B$15)*('Yearly HC Propylene'!V$3-'Yearly HC Propylene'!$N$3)/10)</f>
        <v>0</v>
      </c>
      <c r="W24" s="43">
        <f>W22*'R&amp;S - Buildings'!$B$8*'R&amp;S - Buildings'!$C$11*('R&amp;S - Buildings'!$B$15+('R&amp;S - Buildings'!$B$16-'R&amp;S - Buildings'!$B$15)*('Yearly HC Propylene'!W$3-'Yearly HC Propylene'!$N$3)/10)</f>
        <v>0</v>
      </c>
      <c r="X24" s="43">
        <f>X22*'R&amp;S - Buildings'!$B$8*'R&amp;S - Buildings'!$C$11*('R&amp;S - Buildings'!$B$15+('R&amp;S - Buildings'!$B$16-'R&amp;S - Buildings'!$B$15)*('Yearly HC Propylene'!X$3-'Yearly HC Propylene'!$N$3)/10)</f>
        <v>0</v>
      </c>
      <c r="Y24" s="43">
        <f>Y22*'R&amp;S - Buildings'!$B$8*'R&amp;S - Buildings'!$C$11*('R&amp;S - Buildings'!$B$16+('R&amp;S - Buildings'!$B$17-'R&amp;S - Buildings'!$B$16)*('Yearly HC Propylene'!Y$3-'Yearly HC Propylene'!$X$3)/10)</f>
        <v>0</v>
      </c>
      <c r="Z24" s="43">
        <f>Z22*'R&amp;S - Buildings'!$B$8*'R&amp;S - Buildings'!$C$11*('R&amp;S - Buildings'!$B$16+('R&amp;S - Buildings'!$B$17-'R&amp;S - Buildings'!$B$16)*('Yearly HC Propylene'!Z$3-'Yearly HC Propylene'!$X$3)/10)</f>
        <v>0</v>
      </c>
      <c r="AA24" s="43">
        <f>AA22*'R&amp;S - Buildings'!$B$8*'R&amp;S - Buildings'!$C$11*('R&amp;S - Buildings'!$B$16+('R&amp;S - Buildings'!$B$17-'R&amp;S - Buildings'!$B$16)*('Yearly HC Propylene'!AA$3-'Yearly HC Propylene'!$X$3)/10)</f>
        <v>0</v>
      </c>
      <c r="AB24" s="43">
        <f>AB22*'R&amp;S - Buildings'!$B$8*'R&amp;S - Buildings'!$C$11*('R&amp;S - Buildings'!$B$16+('R&amp;S - Buildings'!$B$17-'R&amp;S - Buildings'!$B$16)*('Yearly HC Propylene'!AB$3-'Yearly HC Propylene'!$X$3)/10)</f>
        <v>0</v>
      </c>
      <c r="AC24" s="43">
        <f>AC22*'R&amp;S - Buildings'!$B$8*'R&amp;S - Buildings'!$C$11*('R&amp;S - Buildings'!$B$16+('R&amp;S - Buildings'!$B$17-'R&amp;S - Buildings'!$B$16)*('Yearly HC Propylene'!AC$3-'Yearly HC Propylene'!$X$3)/10)</f>
        <v>0</v>
      </c>
      <c r="AD24" s="43">
        <f>AD22*'R&amp;S - Buildings'!$B$8*'R&amp;S - Buildings'!$C$11*('R&amp;S - Buildings'!$B$16+('R&amp;S - Buildings'!$B$17-'R&amp;S - Buildings'!$B$16)*('Yearly HC Propylene'!AD$3-'Yearly HC Propylene'!$X$3)/10)</f>
        <v>0</v>
      </c>
      <c r="AE24" s="43">
        <f>AE22*'R&amp;S - Buildings'!$B$8*'R&amp;S - Buildings'!$C$11*('R&amp;S - Buildings'!$B$16+('R&amp;S - Buildings'!$B$17-'R&amp;S - Buildings'!$B$16)*('Yearly HC Propylene'!AE$3-'Yearly HC Propylene'!$X$3)/10)</f>
        <v>0</v>
      </c>
      <c r="AF24" s="43">
        <f>AF22*'R&amp;S - Buildings'!$B$8*'R&amp;S - Buildings'!$C$11*('R&amp;S - Buildings'!$B$16+('R&amp;S - Buildings'!$B$17-'R&amp;S - Buildings'!$B$16)*('Yearly HC Propylene'!AF$3-'Yearly HC Propylene'!$X$3)/10)</f>
        <v>0</v>
      </c>
      <c r="AG24" s="43">
        <f>AG22*'R&amp;S - Buildings'!$B$8*'R&amp;S - Buildings'!$C$11*('R&amp;S - Buildings'!$B$16+('R&amp;S - Buildings'!$B$17-'R&amp;S - Buildings'!$B$16)*('Yearly HC Propylene'!AG$3-'Yearly HC Propylene'!$X$3)/10)</f>
        <v>0</v>
      </c>
      <c r="AH24" s="43">
        <f>AH22*'R&amp;S - Buildings'!$B$8*'R&amp;S - Buildings'!$C$11*('R&amp;S - Buildings'!$B$16+('R&amp;S - Buildings'!$B$17-'R&amp;S - Buildings'!$B$16)*('Yearly HC Propylene'!AH$3-'Yearly HC Propylene'!$X$3)/10)</f>
        <v>0</v>
      </c>
    </row>
    <row r="25" spans="1:34" s="68" customFormat="1" x14ac:dyDescent="0.2">
      <c r="A25" s="62"/>
      <c r="B25" s="62" t="s">
        <v>197</v>
      </c>
      <c r="C25" s="63" t="s">
        <v>153</v>
      </c>
      <c r="D25" s="64">
        <f>D22-D23-D24</f>
        <v>12.379169704702877</v>
      </c>
      <c r="E25" s="64">
        <f t="shared" ref="E25:AH25" si="7">E22-E23-E24</f>
        <v>12.36111406673008</v>
      </c>
      <c r="F25" s="64">
        <f t="shared" si="7"/>
        <v>12.338866957021551</v>
      </c>
      <c r="G25" s="64">
        <f t="shared" si="7"/>
        <v>12.312291083617646</v>
      </c>
      <c r="H25" s="64">
        <f t="shared" si="7"/>
        <v>12.28124569796743</v>
      </c>
      <c r="I25" s="64">
        <f t="shared" si="7"/>
        <v>12.245586517081941</v>
      </c>
      <c r="J25" s="64">
        <f t="shared" si="7"/>
        <v>12.205165644039631</v>
      </c>
      <c r="K25" s="64">
        <f t="shared" si="7"/>
        <v>12.159831486810448</v>
      </c>
      <c r="L25" s="64">
        <f t="shared" si="7"/>
        <v>12.109428675364345</v>
      </c>
      <c r="M25" s="64">
        <f t="shared" si="7"/>
        <v>12.053797977029387</v>
      </c>
      <c r="N25" s="64">
        <f t="shared" si="7"/>
        <v>11.992776210063859</v>
      </c>
      <c r="O25" s="64">
        <f t="shared" si="7"/>
        <v>11.926196155406142</v>
      </c>
      <c r="P25" s="64">
        <f t="shared" si="7"/>
        <v>11.853886466565353</v>
      </c>
      <c r="Q25" s="64">
        <f t="shared" si="7"/>
        <v>11.775671577615066</v>
      </c>
      <c r="R25" s="64">
        <f t="shared" si="7"/>
        <v>11.691371609251632</v>
      </c>
      <c r="S25" s="64">
        <f t="shared" si="7"/>
        <v>11.60080227287791</v>
      </c>
      <c r="T25" s="64">
        <f t="shared" si="7"/>
        <v>11.503774772672408</v>
      </c>
      <c r="U25" s="64">
        <f t="shared" si="7"/>
        <v>11.400095705603057</v>
      </c>
      <c r="V25" s="64">
        <f t="shared" si="7"/>
        <v>11.289566959344047</v>
      </c>
      <c r="W25" s="64">
        <f t="shared" si="7"/>
        <v>11.171985608053312</v>
      </c>
      <c r="X25" s="64">
        <f t="shared" si="7"/>
        <v>11.04714380596744</v>
      </c>
      <c r="Y25" s="64">
        <f t="shared" si="7"/>
        <v>10.905128176591163</v>
      </c>
      <c r="Z25" s="64">
        <f t="shared" si="7"/>
        <v>10.755091391256169</v>
      </c>
      <c r="AA25" s="64">
        <f t="shared" si="7"/>
        <v>10.59680177317675</v>
      </c>
      <c r="AB25" s="64">
        <f t="shared" si="7"/>
        <v>10.430022086670558</v>
      </c>
      <c r="AC25" s="64">
        <f t="shared" si="7"/>
        <v>10.254509415110709</v>
      </c>
      <c r="AD25" s="64">
        <f t="shared" si="7"/>
        <v>10.070015036334777</v>
      </c>
      <c r="AE25" s="64">
        <f t="shared" si="7"/>
        <v>9.8762842954594952</v>
      </c>
      <c r="AF25" s="64">
        <f t="shared" si="7"/>
        <v>9.6730564750489556</v>
      </c>
      <c r="AG25" s="64">
        <f t="shared" si="7"/>
        <v>9.4600646625830702</v>
      </c>
      <c r="AH25" s="64">
        <f t="shared" si="7"/>
        <v>9.2370356151720525</v>
      </c>
    </row>
    <row r="26" spans="1:34" x14ac:dyDescent="0.2">
      <c r="A26" s="1" t="s">
        <v>388</v>
      </c>
      <c r="B26" s="58" t="s">
        <v>199</v>
      </c>
      <c r="C26" s="59" t="s">
        <v>153</v>
      </c>
      <c r="D26" s="60">
        <v>0</v>
      </c>
      <c r="E26" s="60">
        <v>0</v>
      </c>
      <c r="F26" s="60">
        <v>0</v>
      </c>
      <c r="G26" s="60">
        <v>0</v>
      </c>
      <c r="H26" s="60">
        <v>0</v>
      </c>
      <c r="I26" s="60">
        <v>0</v>
      </c>
      <c r="J26" s="60">
        <v>0</v>
      </c>
      <c r="K26" s="60">
        <v>0</v>
      </c>
      <c r="L26" s="60">
        <v>0</v>
      </c>
      <c r="M26" s="60">
        <v>0</v>
      </c>
      <c r="N26" s="60">
        <v>0</v>
      </c>
      <c r="O26" s="60">
        <v>0</v>
      </c>
      <c r="P26" s="60">
        <v>0</v>
      </c>
      <c r="Q26" s="60">
        <v>0</v>
      </c>
      <c r="R26" s="60">
        <v>0</v>
      </c>
      <c r="S26" s="60">
        <v>0</v>
      </c>
      <c r="T26" s="60">
        <v>0</v>
      </c>
      <c r="U26" s="60">
        <v>0</v>
      </c>
      <c r="V26" s="60">
        <v>0</v>
      </c>
      <c r="W26" s="60">
        <v>0</v>
      </c>
      <c r="X26" s="60">
        <v>0</v>
      </c>
      <c r="Y26" s="60">
        <v>0</v>
      </c>
      <c r="Z26" s="60">
        <v>0</v>
      </c>
      <c r="AA26" s="60">
        <v>0</v>
      </c>
      <c r="AB26" s="60">
        <v>0</v>
      </c>
      <c r="AC26" s="60">
        <v>0</v>
      </c>
      <c r="AD26" s="60">
        <v>0</v>
      </c>
      <c r="AE26" s="60">
        <v>0</v>
      </c>
      <c r="AF26" s="60">
        <v>0</v>
      </c>
      <c r="AG26" s="60">
        <v>0</v>
      </c>
      <c r="AH26" s="60">
        <v>0</v>
      </c>
    </row>
    <row r="27" spans="1:34" outlineLevel="1" x14ac:dyDescent="0.2">
      <c r="B27" s="61" t="s">
        <v>206</v>
      </c>
      <c r="C27" s="54" t="s">
        <v>153</v>
      </c>
      <c r="D27">
        <v>0</v>
      </c>
      <c r="E27" s="43">
        <v>0</v>
      </c>
      <c r="F27" s="43">
        <v>0</v>
      </c>
      <c r="G27" s="43">
        <v>0</v>
      </c>
      <c r="H27" s="43">
        <v>0</v>
      </c>
      <c r="I27" s="43">
        <v>0</v>
      </c>
      <c r="J27" s="43">
        <v>0</v>
      </c>
      <c r="K27" s="43">
        <v>0</v>
      </c>
      <c r="L27" s="43">
        <v>0</v>
      </c>
      <c r="M27" s="43">
        <v>0</v>
      </c>
      <c r="N27" s="43">
        <v>0</v>
      </c>
      <c r="O27" s="43">
        <v>0</v>
      </c>
      <c r="P27" s="43">
        <v>0</v>
      </c>
      <c r="Q27" s="43">
        <v>0</v>
      </c>
      <c r="R27" s="43">
        <v>0</v>
      </c>
      <c r="S27" s="43">
        <v>0</v>
      </c>
      <c r="T27" s="43">
        <v>0</v>
      </c>
      <c r="U27" s="43">
        <v>0</v>
      </c>
      <c r="V27" s="43">
        <v>0</v>
      </c>
      <c r="W27" s="43">
        <v>0</v>
      </c>
      <c r="X27" s="43">
        <v>0</v>
      </c>
      <c r="Y27" s="43">
        <v>0</v>
      </c>
      <c r="Z27" s="43">
        <v>0</v>
      </c>
      <c r="AA27" s="43">
        <v>0</v>
      </c>
      <c r="AB27" s="43">
        <v>0</v>
      </c>
      <c r="AC27" s="43">
        <v>0</v>
      </c>
      <c r="AD27" s="43">
        <v>0</v>
      </c>
      <c r="AE27" s="43">
        <v>0</v>
      </c>
      <c r="AF27" s="43">
        <v>0</v>
      </c>
      <c r="AG27" s="43">
        <v>0</v>
      </c>
      <c r="AH27" s="43">
        <v>0</v>
      </c>
    </row>
    <row r="28" spans="1:34" outlineLevel="1" x14ac:dyDescent="0.2">
      <c r="B28" s="61" t="s">
        <v>207</v>
      </c>
      <c r="C28" s="54" t="s">
        <v>153</v>
      </c>
      <c r="D28">
        <v>0</v>
      </c>
      <c r="E28" s="43">
        <v>0</v>
      </c>
      <c r="F28" s="43">
        <v>0</v>
      </c>
      <c r="G28" s="43">
        <v>0</v>
      </c>
      <c r="H28" s="43">
        <v>0</v>
      </c>
      <c r="I28" s="43">
        <v>0</v>
      </c>
      <c r="J28" s="43">
        <v>0</v>
      </c>
      <c r="K28" s="43">
        <v>0</v>
      </c>
      <c r="L28" s="43">
        <v>0</v>
      </c>
      <c r="M28" s="43">
        <v>0</v>
      </c>
      <c r="N28" s="43">
        <v>0</v>
      </c>
      <c r="O28" s="43">
        <v>0</v>
      </c>
      <c r="P28" s="43">
        <v>0</v>
      </c>
      <c r="Q28" s="43">
        <v>0</v>
      </c>
      <c r="R28" s="43">
        <v>0</v>
      </c>
      <c r="S28" s="43">
        <v>0</v>
      </c>
      <c r="T28" s="43">
        <v>0</v>
      </c>
      <c r="U28" s="43">
        <v>0</v>
      </c>
      <c r="V28" s="43">
        <v>0</v>
      </c>
      <c r="W28" s="43">
        <v>0</v>
      </c>
      <c r="X28" s="43">
        <v>0</v>
      </c>
      <c r="Y28" s="43">
        <v>0</v>
      </c>
      <c r="Z28" s="43">
        <v>0</v>
      </c>
      <c r="AA28" s="43">
        <v>0</v>
      </c>
      <c r="AB28" s="43">
        <v>0</v>
      </c>
      <c r="AC28" s="43">
        <v>0</v>
      </c>
      <c r="AD28" s="43">
        <v>0</v>
      </c>
      <c r="AE28" s="43">
        <v>0</v>
      </c>
      <c r="AF28" s="43">
        <v>0</v>
      </c>
      <c r="AG28" s="43">
        <v>0</v>
      </c>
      <c r="AH28" s="43">
        <v>0</v>
      </c>
    </row>
    <row r="29" spans="1:34" outlineLevel="1" x14ac:dyDescent="0.2">
      <c r="B29" s="1" t="s">
        <v>168</v>
      </c>
      <c r="C29" s="54" t="s">
        <v>153</v>
      </c>
      <c r="D29" s="44">
        <v>0</v>
      </c>
      <c r="E29" s="44">
        <v>0</v>
      </c>
      <c r="F29" s="44">
        <v>0</v>
      </c>
      <c r="G29" s="44">
        <v>0</v>
      </c>
      <c r="H29" s="44">
        <v>0</v>
      </c>
      <c r="I29" s="44">
        <v>0</v>
      </c>
      <c r="J29" s="44">
        <v>0</v>
      </c>
      <c r="K29" s="44">
        <v>0</v>
      </c>
      <c r="L29" s="44">
        <v>0</v>
      </c>
      <c r="M29" s="44">
        <v>0</v>
      </c>
      <c r="N29" s="44">
        <v>0</v>
      </c>
      <c r="O29" s="44">
        <v>0</v>
      </c>
      <c r="P29" s="44">
        <v>0</v>
      </c>
      <c r="Q29" s="44">
        <v>0</v>
      </c>
      <c r="R29" s="44">
        <v>0</v>
      </c>
      <c r="S29" s="44">
        <v>0</v>
      </c>
      <c r="T29" s="44">
        <v>0</v>
      </c>
      <c r="U29" s="44">
        <v>0</v>
      </c>
      <c r="V29" s="44">
        <v>0</v>
      </c>
      <c r="W29" s="44">
        <v>0</v>
      </c>
      <c r="X29" s="44">
        <v>0</v>
      </c>
      <c r="Y29" s="44">
        <v>0</v>
      </c>
      <c r="Z29" s="44">
        <v>0</v>
      </c>
      <c r="AA29" s="44">
        <v>0</v>
      </c>
      <c r="AB29" s="44">
        <v>0</v>
      </c>
      <c r="AC29" s="44">
        <v>0</v>
      </c>
      <c r="AD29" s="44">
        <v>0</v>
      </c>
      <c r="AE29" s="44">
        <v>0</v>
      </c>
      <c r="AF29" s="44">
        <v>0</v>
      </c>
      <c r="AG29" s="44">
        <v>0</v>
      </c>
      <c r="AH29" s="44">
        <v>0</v>
      </c>
    </row>
    <row r="30" spans="1:34" outlineLevel="1" x14ac:dyDescent="0.2">
      <c r="B30" s="1" t="s">
        <v>172</v>
      </c>
      <c r="C30" s="54" t="s">
        <v>153</v>
      </c>
      <c r="D30">
        <v>0</v>
      </c>
      <c r="E30" s="43">
        <v>0</v>
      </c>
      <c r="F30" s="43">
        <v>0</v>
      </c>
      <c r="G30" s="43">
        <v>0</v>
      </c>
      <c r="H30" s="43">
        <v>0</v>
      </c>
      <c r="I30" s="43">
        <v>0</v>
      </c>
      <c r="J30" s="43">
        <v>0</v>
      </c>
      <c r="K30" s="43">
        <v>0</v>
      </c>
      <c r="L30" s="43">
        <v>0</v>
      </c>
      <c r="M30" s="43">
        <v>0</v>
      </c>
      <c r="N30" s="43">
        <v>0</v>
      </c>
      <c r="O30" s="43">
        <v>0</v>
      </c>
      <c r="P30" s="43">
        <v>0</v>
      </c>
      <c r="Q30" s="43">
        <v>0</v>
      </c>
      <c r="R30" s="43">
        <v>0</v>
      </c>
      <c r="S30" s="43">
        <v>0</v>
      </c>
      <c r="T30" s="43">
        <v>0</v>
      </c>
      <c r="U30" s="43">
        <v>0</v>
      </c>
      <c r="V30" s="43">
        <v>0</v>
      </c>
      <c r="W30" s="43">
        <v>0</v>
      </c>
      <c r="X30" s="43">
        <v>0</v>
      </c>
      <c r="Y30" s="43">
        <v>0</v>
      </c>
      <c r="Z30" s="43">
        <v>0</v>
      </c>
      <c r="AA30" s="43">
        <v>0</v>
      </c>
      <c r="AB30" s="43">
        <v>0</v>
      </c>
      <c r="AC30" s="43">
        <v>0</v>
      </c>
      <c r="AD30" s="43">
        <v>0</v>
      </c>
      <c r="AE30" s="43">
        <v>0</v>
      </c>
      <c r="AF30" s="43">
        <v>0</v>
      </c>
      <c r="AG30" s="43">
        <v>0</v>
      </c>
      <c r="AH30" s="43">
        <v>0</v>
      </c>
    </row>
    <row r="31" spans="1:34" x14ac:dyDescent="0.2">
      <c r="B31" s="1" t="s">
        <v>197</v>
      </c>
      <c r="C31" s="65" t="s">
        <v>153</v>
      </c>
      <c r="D31" s="66">
        <f>D26-D29-D30</f>
        <v>0</v>
      </c>
      <c r="E31" s="66">
        <f t="shared" ref="E31:AH31" si="8">E26-E29-E30</f>
        <v>0</v>
      </c>
      <c r="F31" s="66">
        <f t="shared" si="8"/>
        <v>0</v>
      </c>
      <c r="G31" s="66">
        <f t="shared" si="8"/>
        <v>0</v>
      </c>
      <c r="H31" s="66">
        <f t="shared" si="8"/>
        <v>0</v>
      </c>
      <c r="I31" s="66">
        <f t="shared" si="8"/>
        <v>0</v>
      </c>
      <c r="J31" s="66">
        <f t="shared" si="8"/>
        <v>0</v>
      </c>
      <c r="K31" s="66">
        <f t="shared" si="8"/>
        <v>0</v>
      </c>
      <c r="L31" s="66">
        <f t="shared" si="8"/>
        <v>0</v>
      </c>
      <c r="M31" s="66">
        <f t="shared" si="8"/>
        <v>0</v>
      </c>
      <c r="N31" s="66">
        <f t="shared" si="8"/>
        <v>0</v>
      </c>
      <c r="O31" s="66">
        <f t="shared" si="8"/>
        <v>0</v>
      </c>
      <c r="P31" s="66">
        <f t="shared" si="8"/>
        <v>0</v>
      </c>
      <c r="Q31" s="66">
        <f t="shared" si="8"/>
        <v>0</v>
      </c>
      <c r="R31" s="66">
        <f t="shared" si="8"/>
        <v>0</v>
      </c>
      <c r="S31" s="66">
        <f t="shared" si="8"/>
        <v>0</v>
      </c>
      <c r="T31" s="66">
        <f t="shared" si="8"/>
        <v>0</v>
      </c>
      <c r="U31" s="66">
        <f t="shared" si="8"/>
        <v>0</v>
      </c>
      <c r="V31" s="66">
        <f t="shared" si="8"/>
        <v>0</v>
      </c>
      <c r="W31" s="66">
        <f t="shared" si="8"/>
        <v>0</v>
      </c>
      <c r="X31" s="66">
        <f t="shared" si="8"/>
        <v>0</v>
      </c>
      <c r="Y31" s="66">
        <f t="shared" si="8"/>
        <v>0</v>
      </c>
      <c r="Z31" s="66">
        <f t="shared" si="8"/>
        <v>0</v>
      </c>
      <c r="AA31" s="66">
        <f t="shared" si="8"/>
        <v>0</v>
      </c>
      <c r="AB31" s="66">
        <f t="shared" si="8"/>
        <v>0</v>
      </c>
      <c r="AC31" s="66">
        <f t="shared" si="8"/>
        <v>0</v>
      </c>
      <c r="AD31" s="66">
        <f t="shared" si="8"/>
        <v>0</v>
      </c>
      <c r="AE31" s="66">
        <f t="shared" si="8"/>
        <v>0</v>
      </c>
      <c r="AF31" s="66">
        <f t="shared" si="8"/>
        <v>0</v>
      </c>
      <c r="AG31" s="66">
        <f t="shared" si="8"/>
        <v>0</v>
      </c>
      <c r="AH31" s="66">
        <f t="shared" si="8"/>
        <v>0</v>
      </c>
    </row>
    <row r="32" spans="1:34" s="67" customFormat="1" x14ac:dyDescent="0.2">
      <c r="A32" s="58" t="s">
        <v>208</v>
      </c>
      <c r="B32" s="58" t="s">
        <v>199</v>
      </c>
      <c r="C32" s="59" t="s">
        <v>153</v>
      </c>
      <c r="D32" s="60">
        <f t="shared" ref="D32:AH32" si="9">D4-D6-D14-D22-D26</f>
        <v>35.064810426540291</v>
      </c>
      <c r="E32" s="60">
        <f t="shared" si="9"/>
        <v>36.116775689152504</v>
      </c>
      <c r="F32" s="60">
        <f t="shared" si="9"/>
        <v>37.194840842672889</v>
      </c>
      <c r="G32" s="60">
        <f t="shared" si="9"/>
        <v>38.299600968841681</v>
      </c>
      <c r="H32" s="60">
        <f t="shared" si="9"/>
        <v>39.431664105577326</v>
      </c>
      <c r="I32" s="60">
        <f t="shared" si="9"/>
        <v>40.591651521265369</v>
      </c>
      <c r="J32" s="60">
        <f t="shared" si="9"/>
        <v>41.559479269006808</v>
      </c>
      <c r="K32" s="60">
        <f t="shared" si="9"/>
        <v>42.548161106867823</v>
      </c>
      <c r="L32" s="60">
        <f t="shared" si="9"/>
        <v>43.558122404188012</v>
      </c>
      <c r="M32" s="60">
        <f t="shared" si="9"/>
        <v>44.589796919996559</v>
      </c>
      <c r="N32" s="60">
        <f t="shared" si="9"/>
        <v>45.643626964856836</v>
      </c>
      <c r="O32" s="60">
        <f t="shared" si="9"/>
        <v>45.513538753044301</v>
      </c>
      <c r="P32" s="60">
        <f t="shared" si="9"/>
        <v>45.373793604755676</v>
      </c>
      <c r="Q32" s="60">
        <f t="shared" si="9"/>
        <v>45.224170750896405</v>
      </c>
      <c r="R32" s="60">
        <f t="shared" si="9"/>
        <v>45.064445309997041</v>
      </c>
      <c r="S32" s="60">
        <f t="shared" si="9"/>
        <v>44.894388217210761</v>
      </c>
      <c r="T32" s="60">
        <f t="shared" si="9"/>
        <v>44.657909758188808</v>
      </c>
      <c r="U32" s="60">
        <f t="shared" si="9"/>
        <v>44.409635027587569</v>
      </c>
      <c r="V32" s="60">
        <f t="shared" si="9"/>
        <v>44.149308712963851</v>
      </c>
      <c r="W32" s="60">
        <f t="shared" si="9"/>
        <v>43.876670865120836</v>
      </c>
      <c r="X32" s="60">
        <f t="shared" si="9"/>
        <v>43.591456819224469</v>
      </c>
      <c r="Y32" s="60">
        <f t="shared" si="9"/>
        <v>43.239931957107011</v>
      </c>
      <c r="Z32" s="60">
        <f t="shared" si="9"/>
        <v>42.874376509212937</v>
      </c>
      <c r="AA32" s="60">
        <f t="shared" si="9"/>
        <v>42.494499544079559</v>
      </c>
      <c r="AB32" s="60">
        <f t="shared" si="9"/>
        <v>42.100004953666058</v>
      </c>
      <c r="AC32" s="60">
        <f t="shared" si="9"/>
        <v>41.690591366313512</v>
      </c>
      <c r="AD32" s="60">
        <f t="shared" si="9"/>
        <v>41.214681649789782</v>
      </c>
      <c r="AE32" s="60">
        <f t="shared" si="9"/>
        <v>40.722396518730974</v>
      </c>
      <c r="AF32" s="60">
        <f t="shared" si="9"/>
        <v>40.213408011445836</v>
      </c>
      <c r="AG32" s="60">
        <f t="shared" si="9"/>
        <v>39.68738242812433</v>
      </c>
      <c r="AH32" s="60">
        <f t="shared" si="9"/>
        <v>39.143980235262035</v>
      </c>
    </row>
    <row r="33" spans="1:34" s="181" customFormat="1" outlineLevel="1" x14ac:dyDescent="0.2">
      <c r="A33" s="178"/>
      <c r="B33" s="178" t="s">
        <v>168</v>
      </c>
      <c r="C33" s="176" t="s">
        <v>153</v>
      </c>
      <c r="D33" s="181">
        <v>0</v>
      </c>
      <c r="E33" s="265">
        <f>E32*'R&amp;S - Others'!$B$7*'R&amp;S - Others'!$B$11*'R&amp;S - Others'!$B$15*('Yearly HC Propylene'!E$3-'Yearly HC Propylene'!$D$3)/10</f>
        <v>0.17877803966130493</v>
      </c>
      <c r="F33" s="265">
        <f>F32*'R&amp;S - Others'!$B$7*'R&amp;S - Others'!$B$11*'R&amp;S - Others'!$B$15*('Yearly HC Propylene'!F$3-'Yearly HC Propylene'!$D$3)/10</f>
        <v>0.36822892434246163</v>
      </c>
      <c r="G33" s="265">
        <f>G32*'R&amp;S - Others'!$B$7*'R&amp;S - Others'!$B$11*'R&amp;S - Others'!$B$15*('Yearly HC Propylene'!G$3-'Yearly HC Propylene'!$D$3)/10</f>
        <v>0.56874907438729894</v>
      </c>
      <c r="H33" s="265">
        <f>H32*'R&amp;S - Others'!$B$7*'R&amp;S - Others'!$B$11*'R&amp;S - Others'!$B$15*('Yearly HC Propylene'!H$3-'Yearly HC Propylene'!$D$3)/10</f>
        <v>0.78074694929043109</v>
      </c>
      <c r="I33" s="265">
        <f>I32*'R&amp;S - Others'!$B$7*'R&amp;S - Others'!$B$11*'R&amp;S - Others'!$B$15*('Yearly HC Propylene'!I$3-'Yearly HC Propylene'!$D$3)/10</f>
        <v>1.004643375151318</v>
      </c>
      <c r="J33" s="265">
        <f>J32*'R&amp;S - Others'!$B$7*'R&amp;S - Others'!$B$11*'R&amp;S - Others'!$B$15*('Yearly HC Propylene'!J$3-'Yearly HC Propylene'!$D$3)/10</f>
        <v>1.2343165342895022</v>
      </c>
      <c r="K33" s="265">
        <f>K32*'R&amp;S - Others'!$B$7*'R&amp;S - Others'!$B$11*'R&amp;S - Others'!$B$15*('Yearly HC Propylene'!K$3-'Yearly HC Propylene'!$D$3)/10</f>
        <v>1.4742937823529703</v>
      </c>
      <c r="L33" s="265">
        <f>L32*'R&amp;S - Others'!$B$7*'R&amp;S - Others'!$B$11*'R&amp;S - Others'!$B$15*('Yearly HC Propylene'!L$3-'Yearly HC Propylene'!$D$3)/10</f>
        <v>1.7249016472058454</v>
      </c>
      <c r="M33" s="265">
        <f>M32*'R&amp;S - Others'!$B$7*'R&amp;S - Others'!$B$11*'R&amp;S - Others'!$B$15*('Yearly HC Propylene'!M$3-'Yearly HC Propylene'!$D$3)/10</f>
        <v>1.9864754527858466</v>
      </c>
      <c r="N33" s="265">
        <f>N32*'R&amp;S - Others'!$B$7*'R&amp;S - Others'!$B$11*'R&amp;S - Others'!$B$15*('Yearly HC Propylene'!N$3-'Yearly HC Propylene'!$D$3)/10</f>
        <v>2.2593595347604136</v>
      </c>
      <c r="O33" s="265">
        <f>O32*'R&amp;S - Others'!$B$7*'R&amp;S - Others'!$B$11*('R&amp;S - Others'!$B$15+('R&amp;S - Others'!$B$16-'R&amp;S - Others'!$B$15)*('Yearly HC Propylene'!O$3-'Yearly HC Propylene'!$N$3)/10)</f>
        <v>2.4782121851032621</v>
      </c>
      <c r="P33" s="265">
        <f>P32*'R&amp;S - Others'!$B$7*'R&amp;S - Others'!$B$11*('R&amp;S - Others'!$B$15+('R&amp;S - Others'!$B$16-'R&amp;S - Others'!$B$15)*('Yearly HC Propylene'!P$3-'Yearly HC Propylene'!$N$3)/10)</f>
        <v>2.6952033401224869</v>
      </c>
      <c r="Q33" s="265">
        <f>Q32*'R&amp;S - Others'!$B$7*'R&amp;S - Others'!$B$11*('R&amp;S - Others'!$B$15+('R&amp;S - Others'!$B$16-'R&amp;S - Others'!$B$15)*('Yearly HC Propylene'!Q$3-'Yearly HC Propylene'!$N$3)/10)</f>
        <v>2.9101753878201837</v>
      </c>
      <c r="R33" s="265">
        <f>R32*'R&amp;S - Others'!$B$7*'R&amp;S - Others'!$B$11*('R&amp;S - Others'!$B$15+('R&amp;S - Others'!$B$16-'R&amp;S - Others'!$B$15)*('Yearly HC Propylene'!R$3-'Yearly HC Propylene'!$N$3)/10)</f>
        <v>3.1229660599827951</v>
      </c>
      <c r="S33" s="265">
        <f>S32*'R&amp;S - Others'!$B$7*'R&amp;S - Others'!$B$11*('R&amp;S - Others'!$B$15+('R&amp;S - Others'!$B$16-'R&amp;S - Others'!$B$15)*('Yearly HC Propylene'!S$3-'Yearly HC Propylene'!$N$3)/10)</f>
        <v>3.3334083251278992</v>
      </c>
      <c r="T33" s="265">
        <f>T32*'R&amp;S - Others'!$B$7*'R&amp;S - Others'!$B$11*('R&amp;S - Others'!$B$15+('R&amp;S - Others'!$B$16-'R&amp;S - Others'!$B$15)*('Yearly HC Propylene'!T$3-'Yearly HC Propylene'!$N$3)/10)</f>
        <v>3.5369064528485539</v>
      </c>
      <c r="U33" s="265">
        <f>U32*'R&amp;S - Others'!$B$7*'R&amp;S - Others'!$B$11*('R&amp;S - Others'!$B$15+('R&amp;S - Others'!$B$16-'R&amp;S - Others'!$B$15)*('Yearly HC Propylene'!U$3-'Yearly HC Propylene'!$N$3)/10)</f>
        <v>3.7370707875714939</v>
      </c>
      <c r="V33" s="265">
        <f>V32*'R&amp;S - Others'!$B$7*'R&amp;S - Others'!$B$11*('R&amp;S - Others'!$B$15+('R&amp;S - Others'!$B$16-'R&amp;S - Others'!$B$15)*('Yearly HC Propylene'!V$3-'Yearly HC Propylene'!$N$3)/10)</f>
        <v>3.9337034063250798</v>
      </c>
      <c r="W33" s="265">
        <f>W32*'R&amp;S - Others'!$B$7*'R&amp;S - Others'!$B$11*('R&amp;S - Others'!$B$15+('R&amp;S - Others'!$B$16-'R&amp;S - Others'!$B$15)*('Yearly HC Propylene'!W$3-'Yearly HC Propylene'!$N$3)/10)</f>
        <v>4.1266008948646142</v>
      </c>
      <c r="X33" s="265">
        <f>X32*'R&amp;S - Others'!$B$7*'R&amp;S - Others'!$B$11*('R&amp;S - Others'!$B$15+('R&amp;S - Others'!$B$16-'R&amp;S - Others'!$B$15)*('Yearly HC Propylene'!X$3-'Yearly HC Propylene'!$N$3)/10)</f>
        <v>4.315554225103222</v>
      </c>
      <c r="Y33" s="265">
        <f>Y32*'R&amp;S - Others'!$B$7*'R&amp;S - Others'!$B$11*('R&amp;S - Others'!$B$16+('R&amp;S - Others'!$B$17-'R&amp;S - Others'!$B$16)*('Yearly HC Propylene'!Y$3-'Yearly HC Propylene'!$X$3)/10)</f>
        <v>4.5012769167348399</v>
      </c>
      <c r="Z33" s="265">
        <f>Z32*'R&amp;S - Others'!$B$7*'R&amp;S - Others'!$B$11*('R&amp;S - Others'!$B$16+('R&amp;S - Others'!$B$17-'R&amp;S - Others'!$B$16)*('Yearly HC Propylene'!Z$3-'Yearly HC Propylene'!$X$3)/10)</f>
        <v>4.6818819148060529</v>
      </c>
      <c r="AA33" s="265">
        <f>AA32*'R&amp;S - Others'!$B$7*'R&amp;S - Others'!$B$11*('R&amp;S - Others'!$B$16+('R&amp;S - Others'!$B$17-'R&amp;S - Others'!$B$16)*('Yearly HC Propylene'!AA$3-'Yearly HC Propylene'!$X$3)/10)</f>
        <v>4.8571212978882929</v>
      </c>
      <c r="AB33" s="265">
        <f>AB32*'R&amp;S - Others'!$B$7*'R&amp;S - Others'!$B$11*('R&amp;S - Others'!$B$16+('R&amp;S - Others'!$B$17-'R&amp;S - Others'!$B$16)*('Yearly HC Propylene'!AB$3-'Yearly HC Propylene'!$X$3)/10)</f>
        <v>5.0267405914677274</v>
      </c>
      <c r="AC33" s="265">
        <f>AC32*'R&amp;S - Others'!$B$7*'R&amp;S - Others'!$B$11*('R&amp;S - Others'!$B$16+('R&amp;S - Others'!$B$17-'R&amp;S - Others'!$B$16)*('Yearly HC Propylene'!AC$3-'Yearly HC Propylene'!$X$3)/10)</f>
        <v>5.1904786251060324</v>
      </c>
      <c r="AD33" s="265">
        <f>AD32*'R&amp;S - Others'!$B$7*'R&amp;S - Others'!$B$11*('R&amp;S - Others'!$B$16+('R&amp;S - Others'!$B$17-'R&amp;S - Others'!$B$16)*('Yearly HC Propylene'!AD$3-'Yearly HC Propylene'!$X$3)/10)</f>
        <v>5.3414227418127567</v>
      </c>
      <c r="AE33" s="265">
        <f>AE32*'R&amp;S - Others'!$B$7*'R&amp;S - Others'!$B$11*('R&amp;S - Others'!$B$16+('R&amp;S - Others'!$B$17-'R&amp;S - Others'!$B$16)*('Yearly HC Propylene'!AE$3-'Yearly HC Propylene'!$X$3)/10)</f>
        <v>5.4853068110730625</v>
      </c>
      <c r="AF33" s="265">
        <f>AF32*'R&amp;S - Others'!$B$7*'R&amp;S - Others'!$B$11*('R&amp;S - Others'!$B$16+('R&amp;S - Others'!$B$17-'R&amp;S - Others'!$B$16)*('Yearly HC Propylene'!AF$3-'Yearly HC Propylene'!$X$3)/10)</f>
        <v>5.6218344400001268</v>
      </c>
      <c r="AG33" s="265">
        <f>AG32*'R&amp;S - Others'!$B$7*'R&amp;S - Others'!$B$11*('R&amp;S - Others'!$B$16+('R&amp;S - Others'!$B$17-'R&amp;S - Others'!$B$16)*('Yearly HC Propylene'!AG$3-'Yearly HC Propylene'!$X$3)/10)</f>
        <v>5.7507017138352152</v>
      </c>
      <c r="AH33" s="265">
        <f>AH32*'R&amp;S - Others'!$B$7*'R&amp;S - Others'!$B$11*('R&amp;S - Others'!$B$16+('R&amp;S - Others'!$B$17-'R&amp;S - Others'!$B$16)*('Yearly HC Propylene'!AH$3-'Yearly HC Propylene'!$X$3)/10)</f>
        <v>5.8715970352893052</v>
      </c>
    </row>
    <row r="34" spans="1:34" s="181" customFormat="1" outlineLevel="1" x14ac:dyDescent="0.2">
      <c r="A34" s="178"/>
      <c r="B34" s="178" t="s">
        <v>172</v>
      </c>
      <c r="C34" s="176" t="s">
        <v>153</v>
      </c>
      <c r="D34" s="181">
        <v>0</v>
      </c>
      <c r="E34" s="265">
        <f>E32*'R&amp;S - Others'!$B$8*'R&amp;S - Others'!$B$11*'R&amp;S - Others'!$C$15*('Yearly HC Propylene'!E$3-'Yearly HC Propylene'!$D$3)/10</f>
        <v>5.9592679887101638E-2</v>
      </c>
      <c r="F34" s="265">
        <f>F32*'R&amp;S - Others'!$B$8*'R&amp;S - Others'!$B$11*'R&amp;S - Others'!$C$15*('Yearly HC Propylene'!F$3-'Yearly HC Propylene'!$D$3)/10</f>
        <v>0.12274297478082055</v>
      </c>
      <c r="G34" s="265">
        <f>G32*'R&amp;S - Others'!$B$8*'R&amp;S - Others'!$B$11*'R&amp;S - Others'!$C$15*('Yearly HC Propylene'!G$3-'Yearly HC Propylene'!$D$3)/10</f>
        <v>0.18958302479576633</v>
      </c>
      <c r="H34" s="265">
        <f>H32*'R&amp;S - Others'!$B$8*'R&amp;S - Others'!$B$11*'R&amp;S - Others'!$C$15*('Yearly HC Propylene'!H$3-'Yearly HC Propylene'!$D$3)/10</f>
        <v>0.26024898309681038</v>
      </c>
      <c r="I34" s="265">
        <f>I32*'R&amp;S - Others'!$B$8*'R&amp;S - Others'!$B$11*'R&amp;S - Others'!$C$15*('Yearly HC Propylene'!I$3-'Yearly HC Propylene'!$D$3)/10</f>
        <v>0.33488112505043932</v>
      </c>
      <c r="J34" s="265">
        <f>J32*'R&amp;S - Others'!$B$8*'R&amp;S - Others'!$B$11*'R&amp;S - Others'!$C$15*('Yearly HC Propylene'!J$3-'Yearly HC Propylene'!$D$3)/10</f>
        <v>0.4114388447631675</v>
      </c>
      <c r="K34" s="265">
        <f>K32*'R&amp;S - Others'!$B$8*'R&amp;S - Others'!$B$11*'R&amp;S - Others'!$C$15*('Yearly HC Propylene'!K$3-'Yearly HC Propylene'!$D$3)/10</f>
        <v>0.49143126078432331</v>
      </c>
      <c r="L34" s="265">
        <f>L32*'R&amp;S - Others'!$B$8*'R&amp;S - Others'!$B$11*'R&amp;S - Others'!$C$15*('Yearly HC Propylene'!L$3-'Yearly HC Propylene'!$D$3)/10</f>
        <v>0.57496721573528187</v>
      </c>
      <c r="M34" s="265">
        <f>M32*'R&amp;S - Others'!$B$8*'R&amp;S - Others'!$B$11*'R&amp;S - Others'!$C$15*('Yearly HC Propylene'!M$3-'Yearly HC Propylene'!$D$3)/10</f>
        <v>0.6621584842619489</v>
      </c>
      <c r="N34" s="265">
        <f>N32*'R&amp;S - Others'!$B$8*'R&amp;S - Others'!$B$11*'R&amp;S - Others'!$C$15*('Yearly HC Propylene'!N$3-'Yearly HC Propylene'!$D$3)/10</f>
        <v>0.75311984492013784</v>
      </c>
      <c r="O34" s="265">
        <f>O32*'R&amp;S - Others'!$B$8*'R&amp;S - Others'!$B$11*('R&amp;S - Others'!$C$15+('R&amp;S - Others'!$C$16-'R&amp;S - Others'!$C$15)*('Yearly HC Propylene'!O$3-'Yearly HC Propylene'!$N$3)/10)</f>
        <v>0.82607072836775408</v>
      </c>
      <c r="P34" s="265">
        <f>P32*'R&amp;S - Others'!$B$8*'R&amp;S - Others'!$B$11*('R&amp;S - Others'!$C$15+('R&amp;S - Others'!$C$16-'R&amp;S - Others'!$C$15)*('Yearly HC Propylene'!P$3-'Yearly HC Propylene'!$N$3)/10)</f>
        <v>0.89840111337416251</v>
      </c>
      <c r="Q34" s="265">
        <f>Q32*'R&amp;S - Others'!$B$8*'R&amp;S - Others'!$B$11*('R&amp;S - Others'!$C$15+('R&amp;S - Others'!$C$16-'R&amp;S - Others'!$C$15)*('Yearly HC Propylene'!Q$3-'Yearly HC Propylene'!$N$3)/10)</f>
        <v>0.97005846260672812</v>
      </c>
      <c r="R34" s="265">
        <f>R32*'R&amp;S - Others'!$B$8*'R&amp;S - Others'!$B$11*('R&amp;S - Others'!$C$15+('R&amp;S - Others'!$C$16-'R&amp;S - Others'!$C$15)*('Yearly HC Propylene'!R$3-'Yearly HC Propylene'!$N$3)/10)</f>
        <v>1.0409886866609317</v>
      </c>
      <c r="S34" s="265">
        <f>S32*'R&amp;S - Others'!$B$8*'R&amp;S - Others'!$B$11*('R&amp;S - Others'!$C$15+('R&amp;S - Others'!$C$16-'R&amp;S - Others'!$C$15)*('Yearly HC Propylene'!S$3-'Yearly HC Propylene'!$N$3)/10)</f>
        <v>1.1111361083759663</v>
      </c>
      <c r="T34" s="265">
        <f>T32*'R&amp;S - Others'!$B$8*'R&amp;S - Others'!$B$11*('R&amp;S - Others'!$C$15+('R&amp;S - Others'!$C$16-'R&amp;S - Others'!$C$15)*('Yearly HC Propylene'!T$3-'Yearly HC Propylene'!$N$3)/10)</f>
        <v>1.1789688176161846</v>
      </c>
      <c r="U34" s="265">
        <f>U32*'R&amp;S - Others'!$B$8*'R&amp;S - Others'!$B$11*('R&amp;S - Others'!$C$15+('R&amp;S - Others'!$C$16-'R&amp;S - Others'!$C$15)*('Yearly HC Propylene'!U$3-'Yearly HC Propylene'!$N$3)/10)</f>
        <v>1.2456902625238315</v>
      </c>
      <c r="V34" s="265">
        <f>V32*'R&amp;S - Others'!$B$8*'R&amp;S - Others'!$B$11*('R&amp;S - Others'!$C$15+('R&amp;S - Others'!$C$16-'R&amp;S - Others'!$C$15)*('Yearly HC Propylene'!V$3-'Yearly HC Propylene'!$N$3)/10)</f>
        <v>1.3112344687750266</v>
      </c>
      <c r="W34" s="265">
        <f>W32*'R&amp;S - Others'!$B$8*'R&amp;S - Others'!$B$11*('R&amp;S - Others'!$C$15+('R&amp;S - Others'!$C$16-'R&amp;S - Others'!$C$15)*('Yearly HC Propylene'!W$3-'Yearly HC Propylene'!$N$3)/10)</f>
        <v>1.3755336316215383</v>
      </c>
      <c r="X34" s="265">
        <f>X32*'R&amp;S - Others'!$B$8*'R&amp;S - Others'!$B$11*('R&amp;S - Others'!$C$15+('R&amp;S - Others'!$C$16-'R&amp;S - Others'!$C$15)*('Yearly HC Propylene'!X$3-'Yearly HC Propylene'!$N$3)/10)</f>
        <v>1.4385180750344078</v>
      </c>
      <c r="Y34" s="265">
        <f>Y32*'R&amp;S - Others'!$B$8*'R&amp;S - Others'!$B$11*('R&amp;S - Others'!$C$16+('R&amp;S - Others'!$C$17-'R&amp;S - Others'!$C$16)*('Yearly HC Propylene'!Y$3-'Yearly HC Propylene'!$X$3)/10)</f>
        <v>1.5004256389116135</v>
      </c>
      <c r="Z34" s="265">
        <f>Z32*'R&amp;S - Others'!$B$8*'R&amp;S - Others'!$B$11*('R&amp;S - Others'!$C$16+('R&amp;S - Others'!$C$17-'R&amp;S - Others'!$C$16)*('Yearly HC Propylene'!Z$3-'Yearly HC Propylene'!$X$3)/10)</f>
        <v>1.5606273049353507</v>
      </c>
      <c r="AA34" s="265">
        <f>AA32*'R&amp;S - Others'!$B$8*'R&amp;S - Others'!$B$11*('R&amp;S - Others'!$C$16+('R&amp;S - Others'!$C$17-'R&amp;S - Others'!$C$16)*('Yearly HC Propylene'!AA$3-'Yearly HC Propylene'!$X$3)/10)</f>
        <v>1.6190404326294314</v>
      </c>
      <c r="AB34" s="265">
        <f>AB32*'R&amp;S - Others'!$B$8*'R&amp;S - Others'!$B$11*('R&amp;S - Others'!$C$16+('R&amp;S - Others'!$C$17-'R&amp;S - Others'!$C$16)*('Yearly HC Propylene'!AB$3-'Yearly HC Propylene'!$X$3)/10)</f>
        <v>1.6755801971559094</v>
      </c>
      <c r="AC34" s="265">
        <f>AC32*'R&amp;S - Others'!$B$8*'R&amp;S - Others'!$B$11*('R&amp;S - Others'!$C$16+('R&amp;S - Others'!$C$17-'R&amp;S - Others'!$C$16)*('Yearly HC Propylene'!AC$3-'Yearly HC Propylene'!$X$3)/10)</f>
        <v>1.730159541702011</v>
      </c>
      <c r="AD34" s="265">
        <f>AD32*'R&amp;S - Others'!$B$8*'R&amp;S - Others'!$B$11*('R&amp;S - Others'!$C$16+('R&amp;S - Others'!$C$17-'R&amp;S - Others'!$C$16)*('Yearly HC Propylene'!AD$3-'Yearly HC Propylene'!$X$3)/10)</f>
        <v>1.7804742472709187</v>
      </c>
      <c r="AE34" s="265">
        <f>AE32*'R&amp;S - Others'!$B$8*'R&amp;S - Others'!$B$11*('R&amp;S - Others'!$C$16+('R&amp;S - Others'!$C$17-'R&amp;S - Others'!$C$16)*('Yearly HC Propylene'!AE$3-'Yearly HC Propylene'!$X$3)/10)</f>
        <v>1.8284356036910208</v>
      </c>
      <c r="AF34" s="265">
        <f>AF32*'R&amp;S - Others'!$B$8*'R&amp;S - Others'!$B$11*('R&amp;S - Others'!$C$16+('R&amp;S - Others'!$C$17-'R&amp;S - Others'!$C$16)*('Yearly HC Propylene'!AF$3-'Yearly HC Propylene'!$X$3)/10)</f>
        <v>1.873944813333376</v>
      </c>
      <c r="AG34" s="265">
        <f>AG32*'R&amp;S - Others'!$B$8*'R&amp;S - Others'!$B$11*('R&amp;S - Others'!$C$16+('R&amp;S - Others'!$C$17-'R&amp;S - Others'!$C$16)*('Yearly HC Propylene'!AG$3-'Yearly HC Propylene'!$X$3)/10)</f>
        <v>1.9169005712784053</v>
      </c>
      <c r="AH34" s="265">
        <f>AH32*'R&amp;S - Others'!$B$8*'R&amp;S - Others'!$B$11*('R&amp;S - Others'!$C$16+('R&amp;S - Others'!$C$17-'R&amp;S - Others'!$C$16)*('Yearly HC Propylene'!AH$3-'Yearly HC Propylene'!$X$3)/10)</f>
        <v>1.9571990117631017</v>
      </c>
    </row>
    <row r="35" spans="1:34" s="181" customFormat="1" x14ac:dyDescent="0.2">
      <c r="A35" s="178"/>
      <c r="B35" s="178" t="s">
        <v>197</v>
      </c>
      <c r="C35" s="179" t="s">
        <v>153</v>
      </c>
      <c r="D35" s="180">
        <f>D32-D33-D34</f>
        <v>35.064810426540291</v>
      </c>
      <c r="E35" s="180">
        <f t="shared" ref="E35:AG35" si="10">E32-E33-E34</f>
        <v>35.878404969604098</v>
      </c>
      <c r="F35" s="180">
        <f t="shared" si="10"/>
        <v>36.703868943549608</v>
      </c>
      <c r="G35" s="180">
        <f t="shared" si="10"/>
        <v>37.541268869658616</v>
      </c>
      <c r="H35" s="180">
        <f t="shared" si="10"/>
        <v>38.390668173190086</v>
      </c>
      <c r="I35" s="180">
        <f t="shared" si="10"/>
        <v>39.252127021063615</v>
      </c>
      <c r="J35" s="180">
        <f t="shared" si="10"/>
        <v>39.913723889954134</v>
      </c>
      <c r="K35" s="180">
        <f t="shared" si="10"/>
        <v>40.582436063730526</v>
      </c>
      <c r="L35" s="180">
        <f t="shared" si="10"/>
        <v>41.25825354124688</v>
      </c>
      <c r="M35" s="180">
        <f t="shared" si="10"/>
        <v>41.941162982948761</v>
      </c>
      <c r="N35" s="180">
        <f t="shared" si="10"/>
        <v>42.631147585176286</v>
      </c>
      <c r="O35" s="180">
        <f t="shared" si="10"/>
        <v>42.209255839573288</v>
      </c>
      <c r="P35" s="180">
        <f t="shared" si="10"/>
        <v>41.780189151259023</v>
      </c>
      <c r="Q35" s="180">
        <f t="shared" si="10"/>
        <v>41.343936900469494</v>
      </c>
      <c r="R35" s="180">
        <f t="shared" si="10"/>
        <v>40.900490563353316</v>
      </c>
      <c r="S35" s="180">
        <f t="shared" si="10"/>
        <v>40.449843783706896</v>
      </c>
      <c r="T35" s="180">
        <f t="shared" si="10"/>
        <v>39.942034487724065</v>
      </c>
      <c r="U35" s="180">
        <f t="shared" si="10"/>
        <v>39.426873977492242</v>
      </c>
      <c r="V35" s="180">
        <f t="shared" si="10"/>
        <v>38.904370837863745</v>
      </c>
      <c r="W35" s="180">
        <f t="shared" si="10"/>
        <v>38.374536338634684</v>
      </c>
      <c r="X35" s="180">
        <f t="shared" si="10"/>
        <v>37.837384519086839</v>
      </c>
      <c r="Y35" s="180">
        <f t="shared" si="10"/>
        <v>37.238229401460558</v>
      </c>
      <c r="Z35" s="180">
        <f t="shared" si="10"/>
        <v>36.631867289471529</v>
      </c>
      <c r="AA35" s="180">
        <f t="shared" si="10"/>
        <v>36.018337813561836</v>
      </c>
      <c r="AB35" s="180">
        <f t="shared" si="10"/>
        <v>35.397684165042421</v>
      </c>
      <c r="AC35" s="180">
        <f t="shared" si="10"/>
        <v>34.769953199505473</v>
      </c>
      <c r="AD35" s="180">
        <f t="shared" si="10"/>
        <v>34.092784660706108</v>
      </c>
      <c r="AE35" s="180">
        <f t="shared" si="10"/>
        <v>33.408654103966896</v>
      </c>
      <c r="AF35" s="180">
        <f t="shared" si="10"/>
        <v>32.717628758112333</v>
      </c>
      <c r="AG35" s="180">
        <f t="shared" si="10"/>
        <v>32.019780143010713</v>
      </c>
      <c r="AH35" s="180">
        <f>AH32-AH33-AH34</f>
        <v>31.315184188209628</v>
      </c>
    </row>
    <row r="36" spans="1:34" s="67" customFormat="1" outlineLevel="1" x14ac:dyDescent="0.2">
      <c r="B36" s="58" t="s">
        <v>210</v>
      </c>
      <c r="C36" s="59" t="s">
        <v>153</v>
      </c>
      <c r="D36" s="60">
        <v>0</v>
      </c>
      <c r="E36" s="60">
        <v>0</v>
      </c>
      <c r="F36" s="60">
        <v>0</v>
      </c>
      <c r="G36" s="60">
        <v>0</v>
      </c>
      <c r="H36" s="60">
        <v>0</v>
      </c>
      <c r="I36" s="60">
        <v>0</v>
      </c>
      <c r="J36" s="60">
        <v>0</v>
      </c>
      <c r="K36" s="60">
        <v>0</v>
      </c>
      <c r="L36" s="60">
        <v>0</v>
      </c>
      <c r="M36" s="60">
        <v>0</v>
      </c>
      <c r="N36" s="60">
        <v>0</v>
      </c>
      <c r="O36" s="60">
        <v>0</v>
      </c>
      <c r="P36" s="60">
        <v>0</v>
      </c>
      <c r="Q36" s="60">
        <v>0</v>
      </c>
      <c r="R36" s="60">
        <v>0</v>
      </c>
      <c r="S36" s="60">
        <v>0</v>
      </c>
      <c r="T36" s="60">
        <v>0</v>
      </c>
      <c r="U36" s="60">
        <v>0</v>
      </c>
      <c r="V36" s="60">
        <v>0</v>
      </c>
      <c r="W36" s="60">
        <v>0</v>
      </c>
      <c r="X36" s="60">
        <v>0</v>
      </c>
      <c r="Y36" s="60">
        <v>0</v>
      </c>
      <c r="Z36" s="60">
        <v>0</v>
      </c>
      <c r="AA36" s="60">
        <v>0</v>
      </c>
      <c r="AB36" s="60">
        <v>0</v>
      </c>
      <c r="AC36" s="60">
        <v>0</v>
      </c>
      <c r="AD36" s="60">
        <v>0</v>
      </c>
      <c r="AE36" s="60">
        <v>0</v>
      </c>
      <c r="AF36" s="60">
        <v>0</v>
      </c>
      <c r="AG36" s="60">
        <v>0</v>
      </c>
      <c r="AH36" s="60">
        <v>0</v>
      </c>
    </row>
    <row r="37" spans="1:34" outlineLevel="1" x14ac:dyDescent="0.2">
      <c r="B37" s="1" t="s">
        <v>211</v>
      </c>
      <c r="C37" s="54" t="s">
        <v>153</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4">
        <v>0</v>
      </c>
      <c r="AH37" s="44">
        <v>0</v>
      </c>
    </row>
    <row r="38" spans="1:34" s="68" customFormat="1" x14ac:dyDescent="0.2">
      <c r="A38" s="62" t="s">
        <v>212</v>
      </c>
      <c r="B38" s="62" t="s">
        <v>213</v>
      </c>
      <c r="C38" s="63" t="s">
        <v>153</v>
      </c>
      <c r="D38" s="64">
        <f>D36+D37</f>
        <v>0</v>
      </c>
      <c r="E38" s="64">
        <f t="shared" ref="E38:AH38" si="11">E36+E37</f>
        <v>0</v>
      </c>
      <c r="F38" s="64">
        <f t="shared" si="11"/>
        <v>0</v>
      </c>
      <c r="G38" s="64">
        <f t="shared" si="11"/>
        <v>0</v>
      </c>
      <c r="H38" s="64">
        <f t="shared" si="11"/>
        <v>0</v>
      </c>
      <c r="I38" s="64">
        <f t="shared" si="11"/>
        <v>0</v>
      </c>
      <c r="J38" s="64">
        <f t="shared" si="11"/>
        <v>0</v>
      </c>
      <c r="K38" s="64">
        <f t="shared" si="11"/>
        <v>0</v>
      </c>
      <c r="L38" s="64">
        <f t="shared" si="11"/>
        <v>0</v>
      </c>
      <c r="M38" s="64">
        <f t="shared" si="11"/>
        <v>0</v>
      </c>
      <c r="N38" s="64">
        <f t="shared" si="11"/>
        <v>0</v>
      </c>
      <c r="O38" s="64">
        <f t="shared" si="11"/>
        <v>0</v>
      </c>
      <c r="P38" s="64">
        <f t="shared" si="11"/>
        <v>0</v>
      </c>
      <c r="Q38" s="64">
        <f t="shared" si="11"/>
        <v>0</v>
      </c>
      <c r="R38" s="64">
        <f t="shared" si="11"/>
        <v>0</v>
      </c>
      <c r="S38" s="64">
        <f t="shared" si="11"/>
        <v>0</v>
      </c>
      <c r="T38" s="64">
        <f t="shared" si="11"/>
        <v>0</v>
      </c>
      <c r="U38" s="64">
        <f t="shared" si="11"/>
        <v>0</v>
      </c>
      <c r="V38" s="64">
        <f t="shared" si="11"/>
        <v>0</v>
      </c>
      <c r="W38" s="64">
        <f t="shared" si="11"/>
        <v>0</v>
      </c>
      <c r="X38" s="64">
        <f t="shared" si="11"/>
        <v>0</v>
      </c>
      <c r="Y38" s="64">
        <f t="shared" si="11"/>
        <v>0</v>
      </c>
      <c r="Z38" s="64">
        <f t="shared" si="11"/>
        <v>0</v>
      </c>
      <c r="AA38" s="64">
        <f t="shared" si="11"/>
        <v>0</v>
      </c>
      <c r="AB38" s="64">
        <f t="shared" si="11"/>
        <v>0</v>
      </c>
      <c r="AC38" s="64">
        <f t="shared" si="11"/>
        <v>0</v>
      </c>
      <c r="AD38" s="64">
        <f t="shared" si="11"/>
        <v>0</v>
      </c>
      <c r="AE38" s="64">
        <f t="shared" si="11"/>
        <v>0</v>
      </c>
      <c r="AF38" s="64">
        <f t="shared" si="11"/>
        <v>0</v>
      </c>
      <c r="AG38" s="64">
        <f t="shared" si="11"/>
        <v>0</v>
      </c>
      <c r="AH38" s="64">
        <f t="shared" si="11"/>
        <v>0</v>
      </c>
    </row>
    <row r="39" spans="1:34" x14ac:dyDescent="0.2">
      <c r="A39" s="1" t="s">
        <v>67</v>
      </c>
      <c r="B39" s="1" t="s">
        <v>168</v>
      </c>
      <c r="C39" s="54" t="s">
        <v>153</v>
      </c>
      <c r="D39" s="66">
        <f>D11+D17+D23+D29+D33</f>
        <v>0</v>
      </c>
      <c r="E39" s="66">
        <f t="shared" ref="E39:AH39" si="12">E11+E17+E23+E29+E33</f>
        <v>0.66080278792202662</v>
      </c>
      <c r="F39" s="66">
        <f t="shared" si="12"/>
        <v>1.34786726379854</v>
      </c>
      <c r="G39" s="66">
        <f t="shared" si="12"/>
        <v>2.0619696493891908</v>
      </c>
      <c r="H39" s="66">
        <f t="shared" si="12"/>
        <v>2.8039064568836407</v>
      </c>
      <c r="I39" s="66">
        <f t="shared" si="12"/>
        <v>3.5744949847356002</v>
      </c>
      <c r="J39" s="66">
        <f t="shared" si="12"/>
        <v>4.3680184789590646</v>
      </c>
      <c r="K39" s="66">
        <f t="shared" si="12"/>
        <v>5.1894181252815903</v>
      </c>
      <c r="L39" s="66">
        <f t="shared" si="12"/>
        <v>6.0394432265048792</v>
      </c>
      <c r="M39" s="66">
        <f t="shared" si="12"/>
        <v>6.9188610083283653</v>
      </c>
      <c r="N39" s="66">
        <f t="shared" si="12"/>
        <v>7.8284570205311876</v>
      </c>
      <c r="O39" s="66">
        <f t="shared" si="12"/>
        <v>9.1108558770464825</v>
      </c>
      <c r="P39" s="66">
        <f t="shared" si="12"/>
        <v>10.424444634446488</v>
      </c>
      <c r="Q39" s="66">
        <f t="shared" si="12"/>
        <v>11.769825052370161</v>
      </c>
      <c r="R39" s="66">
        <f t="shared" si="12"/>
        <v>13.147608957759635</v>
      </c>
      <c r="S39" s="66">
        <f t="shared" si="12"/>
        <v>14.558418382446018</v>
      </c>
      <c r="T39" s="66">
        <f t="shared" si="12"/>
        <v>15.998461875393623</v>
      </c>
      <c r="U39" s="66">
        <f t="shared" si="12"/>
        <v>17.472169527642265</v>
      </c>
      <c r="V39" s="66">
        <f t="shared" si="12"/>
        <v>18.980178884566442</v>
      </c>
      <c r="W39" s="66">
        <f t="shared" si="12"/>
        <v>20.523137979821321</v>
      </c>
      <c r="X39" s="66">
        <f t="shared" si="12"/>
        <v>22.1017054739456</v>
      </c>
      <c r="Y39" s="66">
        <f t="shared" si="12"/>
        <v>24.100436488111185</v>
      </c>
      <c r="Z39" s="66">
        <f t="shared" si="12"/>
        <v>26.138868058547377</v>
      </c>
      <c r="AA39" s="66">
        <f t="shared" si="12"/>
        <v>28.217447616783076</v>
      </c>
      <c r="AB39" s="66">
        <f t="shared" si="12"/>
        <v>30.336619710726399</v>
      </c>
      <c r="AC39" s="66">
        <f t="shared" si="12"/>
        <v>32.496825634376123</v>
      </c>
      <c r="AD39" s="66">
        <f t="shared" si="12"/>
        <v>34.69185839782957</v>
      </c>
      <c r="AE39" s="66">
        <f t="shared" si="12"/>
        <v>36.928160488628706</v>
      </c>
      <c r="AF39" s="66">
        <f t="shared" si="12"/>
        <v>39.206146818500585</v>
      </c>
      <c r="AG39" s="66">
        <f t="shared" si="12"/>
        <v>41.526227186289837</v>
      </c>
      <c r="AH39" s="66">
        <f t="shared" si="12"/>
        <v>43.888805826140164</v>
      </c>
    </row>
    <row r="40" spans="1:34" x14ac:dyDescent="0.2">
      <c r="B40" s="1" t="s">
        <v>172</v>
      </c>
      <c r="C40" s="54" t="s">
        <v>153</v>
      </c>
      <c r="D40" s="66">
        <f>D12+D24+D30+D20+D34</f>
        <v>0</v>
      </c>
      <c r="E40" s="66">
        <f t="shared" ref="E40:AH40" si="13">E12+E24+E30+E20+E34</f>
        <v>0.14224338598899738</v>
      </c>
      <c r="F40" s="66">
        <f t="shared" si="13"/>
        <v>0.2903586067554651</v>
      </c>
      <c r="G40" s="66">
        <f t="shared" si="13"/>
        <v>0.44452640102920071</v>
      </c>
      <c r="H40" s="66">
        <f t="shared" si="13"/>
        <v>0.60493242776441369</v>
      </c>
      <c r="I40" s="66">
        <f t="shared" si="13"/>
        <v>0.77176739116662652</v>
      </c>
      <c r="J40" s="66">
        <f t="shared" si="13"/>
        <v>0.94304205337334412</v>
      </c>
      <c r="K40" s="66">
        <f t="shared" si="13"/>
        <v>1.1203178565701624</v>
      </c>
      <c r="L40" s="66">
        <f t="shared" si="13"/>
        <v>1.303756939308814</v>
      </c>
      <c r="M40" s="66">
        <f t="shared" si="13"/>
        <v>1.4935253614284558</v>
      </c>
      <c r="N40" s="66">
        <f t="shared" si="13"/>
        <v>1.6897931931944021</v>
      </c>
      <c r="O40" s="66">
        <f t="shared" si="13"/>
        <v>1.8708361810328689</v>
      </c>
      <c r="P40" s="66">
        <f t="shared" si="13"/>
        <v>2.0231058612388075</v>
      </c>
      <c r="Q40" s="66">
        <f t="shared" si="13"/>
        <v>2.2223091568506721</v>
      </c>
      <c r="R40" s="66">
        <f t="shared" si="13"/>
        <v>2.4241361716522136</v>
      </c>
      <c r="S40" s="66">
        <f t="shared" si="13"/>
        <v>2.62860005311944</v>
      </c>
      <c r="T40" s="66">
        <f t="shared" si="13"/>
        <v>2.8342389860778523</v>
      </c>
      <c r="U40" s="66">
        <f t="shared" si="13"/>
        <v>3.0423278060346339</v>
      </c>
      <c r="V40" s="66">
        <f t="shared" si="13"/>
        <v>3.252873240883321</v>
      </c>
      <c r="W40" s="66">
        <f t="shared" si="13"/>
        <v>3.4658815257695261</v>
      </c>
      <c r="X40" s="66">
        <f t="shared" si="13"/>
        <v>3.6813583854398666</v>
      </c>
      <c r="Y40" s="66">
        <f t="shared" si="13"/>
        <v>4.2004584549306969</v>
      </c>
      <c r="Z40" s="66">
        <f t="shared" si="13"/>
        <v>4.4182932606810725</v>
      </c>
      <c r="AA40" s="66">
        <f t="shared" si="13"/>
        <v>4.6382240495821971</v>
      </c>
      <c r="AB40" s="66">
        <f t="shared" si="13"/>
        <v>4.8602438673021915</v>
      </c>
      <c r="AC40" s="66">
        <f t="shared" si="13"/>
        <v>5.0843449465423047</v>
      </c>
      <c r="AD40" s="66">
        <f t="shared" si="13"/>
        <v>5.3083038012973081</v>
      </c>
      <c r="AE40" s="66">
        <f t="shared" si="13"/>
        <v>5.5341139227413674</v>
      </c>
      <c r="AF40" s="66">
        <f t="shared" si="13"/>
        <v>5.7617602082357608</v>
      </c>
      <c r="AG40" s="66">
        <f t="shared" si="13"/>
        <v>5.9912265672061524</v>
      </c>
      <c r="AH40" s="66">
        <f t="shared" si="13"/>
        <v>6.2224958937275208</v>
      </c>
    </row>
    <row r="41" spans="1:34" x14ac:dyDescent="0.2">
      <c r="B41" s="1" t="s">
        <v>214</v>
      </c>
      <c r="C41" s="54" t="s">
        <v>153</v>
      </c>
      <c r="D41" s="66">
        <f>D38+D7</f>
        <v>0</v>
      </c>
      <c r="E41" s="66">
        <f t="shared" ref="E41:AH41" si="14">E38+E7</f>
        <v>3.5868603773240977E-2</v>
      </c>
      <c r="F41" s="66">
        <f t="shared" si="14"/>
        <v>7.2956740074772139E-2</v>
      </c>
      <c r="G41" s="66">
        <f t="shared" si="14"/>
        <v>0.11129550698406489</v>
      </c>
      <c r="H41" s="66">
        <f t="shared" si="14"/>
        <v>0.15091670747039199</v>
      </c>
      <c r="I41" s="66">
        <f t="shared" si="14"/>
        <v>0.19185286437173577</v>
      </c>
      <c r="J41" s="66">
        <f t="shared" si="14"/>
        <v>0.23413723567926628</v>
      </c>
      <c r="K41" s="66">
        <f t="shared" si="14"/>
        <v>0.27780383013344945</v>
      </c>
      <c r="L41" s="66">
        <f t="shared" si="14"/>
        <v>0.32288742313796354</v>
      </c>
      <c r="M41" s="66">
        <f t="shared" si="14"/>
        <v>0.36942357299772255</v>
      </c>
      <c r="N41" s="66">
        <f t="shared" si="14"/>
        <v>0.41744863748742639</v>
      </c>
      <c r="O41" s="66">
        <f t="shared" si="14"/>
        <v>0.53068158040589075</v>
      </c>
      <c r="P41" s="66">
        <f t="shared" si="14"/>
        <v>0.64764380072734895</v>
      </c>
      <c r="Q41" s="66">
        <f t="shared" si="14"/>
        <v>0.76842936956299934</v>
      </c>
      <c r="R41" s="66">
        <f t="shared" si="14"/>
        <v>0.89313447868065199</v>
      </c>
      <c r="S41" s="66">
        <f t="shared" si="14"/>
        <v>1.0218574854205007</v>
      </c>
      <c r="T41" s="66">
        <f t="shared" si="14"/>
        <v>1.1546989585251657</v>
      </c>
      <c r="U41" s="66">
        <f t="shared" si="14"/>
        <v>1.2917617249021029</v>
      </c>
      <c r="V41" s="66">
        <f t="shared" si="14"/>
        <v>1.4331509173368417</v>
      </c>
      <c r="W41" s="66">
        <f t="shared" si="14"/>
        <v>1.5789740231758649</v>
      </c>
      <c r="X41" s="66">
        <f t="shared" si="14"/>
        <v>1.729340933998305</v>
      </c>
      <c r="Y41" s="66">
        <f t="shared" si="14"/>
        <v>1.8341142897281164</v>
      </c>
      <c r="Z41" s="66">
        <f t="shared" si="14"/>
        <v>1.9419501600228164</v>
      </c>
      <c r="AA41" s="66">
        <f t="shared" si="14"/>
        <v>2.052922390877804</v>
      </c>
      <c r="AB41" s="66">
        <f t="shared" si="14"/>
        <v>2.1671064539856149</v>
      </c>
      <c r="AC41" s="66">
        <f t="shared" si="14"/>
        <v>2.2845794806681274</v>
      </c>
      <c r="AD41" s="66">
        <f t="shared" si="14"/>
        <v>2.4054202964926437</v>
      </c>
      <c r="AE41" s="66">
        <f t="shared" si="14"/>
        <v>2.5297094565852807</v>
      </c>
      <c r="AF41" s="66">
        <f t="shared" si="14"/>
        <v>2.6575292816553802</v>
      </c>
      <c r="AG41" s="66">
        <f t="shared" si="14"/>
        <v>2.78896389474491</v>
      </c>
      <c r="AH41" s="66">
        <f t="shared" si="14"/>
        <v>2.924099258717086</v>
      </c>
    </row>
    <row r="42" spans="1:34" s="69" customFormat="1" x14ac:dyDescent="0.2">
      <c r="A42" s="69" t="s">
        <v>389</v>
      </c>
      <c r="C42" s="70" t="s">
        <v>153</v>
      </c>
      <c r="D42" s="71">
        <f>D4+D41-D39-D40</f>
        <v>111.92307692307692</v>
      </c>
      <c r="E42" s="71">
        <f t="shared" ref="E42:AG42" si="15">E4+E41-E39-E40</f>
        <v>113.37392140100525</v>
      </c>
      <c r="F42" s="71">
        <f t="shared" si="15"/>
        <v>114.83780727256097</v>
      </c>
      <c r="G42" s="71">
        <f t="shared" si="15"/>
        <v>116.31467975583999</v>
      </c>
      <c r="H42" s="71">
        <f t="shared" si="15"/>
        <v>117.80447682570629</v>
      </c>
      <c r="I42" s="71">
        <f t="shared" si="15"/>
        <v>119.30712895000798</v>
      </c>
      <c r="J42" s="71">
        <f t="shared" si="15"/>
        <v>120.61058055401961</v>
      </c>
      <c r="K42" s="71">
        <f t="shared" si="15"/>
        <v>121.92167041199968</v>
      </c>
      <c r="L42" s="71">
        <f t="shared" si="15"/>
        <v>123.24024544682698</v>
      </c>
      <c r="M42" s="71">
        <f t="shared" si="15"/>
        <v>124.56614456613237</v>
      </c>
      <c r="N42" s="71">
        <f t="shared" si="15"/>
        <v>125.89919842376185</v>
      </c>
      <c r="O42" s="71">
        <f t="shared" si="15"/>
        <v>125.77646424723656</v>
      </c>
      <c r="P42" s="71">
        <f t="shared" si="15"/>
        <v>125.66620345264205</v>
      </c>
      <c r="Q42" s="71">
        <f t="shared" si="15"/>
        <v>125.4923029060005</v>
      </c>
      <c r="R42" s="71">
        <f t="shared" si="15"/>
        <v>125.29865926861767</v>
      </c>
      <c r="S42" s="71">
        <f t="shared" si="15"/>
        <v>125.08483904985503</v>
      </c>
      <c r="T42" s="71">
        <f t="shared" si="15"/>
        <v>124.80044396158868</v>
      </c>
      <c r="U42" s="71">
        <f t="shared" si="15"/>
        <v>124.49483986714185</v>
      </c>
      <c r="V42" s="71">
        <f t="shared" si="15"/>
        <v>124.16758054217105</v>
      </c>
      <c r="W42" s="71">
        <f t="shared" si="15"/>
        <v>123.81821292944909</v>
      </c>
      <c r="X42" s="71">
        <f t="shared" si="15"/>
        <v>123.44627707461285</v>
      </c>
      <c r="Y42" s="71">
        <f t="shared" si="15"/>
        <v>122.26255606541999</v>
      </c>
      <c r="Z42" s="71">
        <f t="shared" si="15"/>
        <v>121.35370816821461</v>
      </c>
      <c r="AA42" s="71">
        <f t="shared" si="15"/>
        <v>120.41608394480066</v>
      </c>
      <c r="AB42" s="71">
        <f t="shared" si="15"/>
        <v>119.44940737924024</v>
      </c>
      <c r="AC42" s="71">
        <f t="shared" si="15"/>
        <v>118.4534088997497</v>
      </c>
      <c r="AD42" s="71">
        <f t="shared" si="15"/>
        <v>117.3854149465447</v>
      </c>
      <c r="AE42" s="71">
        <f t="shared" si="15"/>
        <v>116.28759125331997</v>
      </c>
      <c r="AF42" s="71">
        <f t="shared" si="15"/>
        <v>115.15969908181533</v>
      </c>
      <c r="AG42" s="71">
        <f t="shared" si="15"/>
        <v>114.00150822700272</v>
      </c>
      <c r="AH42" s="71">
        <f>AH4+AH41-AH39-AH40</f>
        <v>112.81279753884941</v>
      </c>
    </row>
    <row r="43" spans="1:34" s="67" customFormat="1" x14ac:dyDescent="0.2">
      <c r="A43" s="58" t="s">
        <v>216</v>
      </c>
      <c r="B43" s="58" t="s">
        <v>197</v>
      </c>
      <c r="C43" s="100" t="s">
        <v>153</v>
      </c>
      <c r="D43" s="101">
        <f t="shared" ref="D43" si="16">D21</f>
        <v>46.844581662413418</v>
      </c>
      <c r="E43" s="101">
        <f t="shared" ref="E43:AH43" si="17">E21</f>
        <v>47.261146261643965</v>
      </c>
      <c r="F43" s="101">
        <f t="shared" si="17"/>
        <v>47.68019313164713</v>
      </c>
      <c r="G43" s="101">
        <f t="shared" si="17"/>
        <v>48.101710129343097</v>
      </c>
      <c r="H43" s="101">
        <f t="shared" si="17"/>
        <v>48.525684285120754</v>
      </c>
      <c r="I43" s="101">
        <f t="shared" si="17"/>
        <v>48.952101782074827</v>
      </c>
      <c r="J43" s="101">
        <f t="shared" si="17"/>
        <v>49.380947934823737</v>
      </c>
      <c r="K43" s="101">
        <f t="shared" si="17"/>
        <v>49.812207167900333</v>
      </c>
      <c r="L43" s="101">
        <f t="shared" si="17"/>
        <v>50.245862993707838</v>
      </c>
      <c r="M43" s="101">
        <f t="shared" si="17"/>
        <v>50.68189799003305</v>
      </c>
      <c r="N43" s="101">
        <f t="shared" si="17"/>
        <v>51.120293777108607</v>
      </c>
      <c r="O43" s="101">
        <f t="shared" si="17"/>
        <v>51.38499292813237</v>
      </c>
      <c r="P43" s="101">
        <f t="shared" si="17"/>
        <v>51.678079877942487</v>
      </c>
      <c r="Q43" s="101">
        <f t="shared" si="17"/>
        <v>51.923728678790475</v>
      </c>
      <c r="R43" s="101">
        <f t="shared" si="17"/>
        <v>52.166126742406128</v>
      </c>
      <c r="S43" s="101">
        <f t="shared" si="17"/>
        <v>52.405134900981977</v>
      </c>
      <c r="T43" s="101">
        <f t="shared" si="17"/>
        <v>52.640610727156435</v>
      </c>
      <c r="U43" s="101">
        <f t="shared" si="17"/>
        <v>52.872408470023181</v>
      </c>
      <c r="V43" s="101">
        <f t="shared" si="17"/>
        <v>53.100378989987682</v>
      </c>
      <c r="W43" s="101">
        <f t="shared" si="17"/>
        <v>53.324369692451057</v>
      </c>
      <c r="X43" s="101">
        <f t="shared" si="17"/>
        <v>53.544224460301379</v>
      </c>
      <c r="Y43" s="101">
        <f t="shared" si="17"/>
        <v>53.461515393569933</v>
      </c>
      <c r="Z43" s="101">
        <f t="shared" si="17"/>
        <v>53.677916964319117</v>
      </c>
      <c r="AA43" s="101">
        <f t="shared" si="17"/>
        <v>53.889899322032143</v>
      </c>
      <c r="AB43" s="101">
        <f t="shared" si="17"/>
        <v>54.097296314036129</v>
      </c>
      <c r="AC43" s="101">
        <f t="shared" si="17"/>
        <v>54.299938001549101</v>
      </c>
      <c r="AD43" s="101">
        <f t="shared" si="17"/>
        <v>54.49765058623489</v>
      </c>
      <c r="AE43" s="101">
        <f t="shared" si="17"/>
        <v>54.690256335443578</v>
      </c>
      <c r="AF43" s="101">
        <f t="shared" si="17"/>
        <v>54.877573506115205</v>
      </c>
      <c r="AG43" s="101">
        <f t="shared" si="17"/>
        <v>55.059416267323883</v>
      </c>
      <c r="AH43" s="101">
        <f t="shared" si="17"/>
        <v>55.235594621439219</v>
      </c>
    </row>
    <row r="44" spans="1:34" outlineLevel="1" x14ac:dyDescent="0.2">
      <c r="A44"/>
      <c r="B44" t="s">
        <v>217</v>
      </c>
      <c r="C44" s="54" t="s">
        <v>153</v>
      </c>
      <c r="D44" s="44">
        <f>0</f>
        <v>0</v>
      </c>
      <c r="E44" s="44">
        <f>'Propylene Recycling HC'!D63*'Propylene Recycling HC'!D45-'Propylene Recycling HC'!$C$63*'Propylene Recycling HC'!$C$45</f>
        <v>0.11431741906889481</v>
      </c>
      <c r="F44" s="44">
        <f>'Propylene Recycling HC'!E63*'Propylene Recycling HC'!E45-'Propylene Recycling HC'!$C$63*'Propylene Recycling HC'!$C$45</f>
        <v>0.23472948772475821</v>
      </c>
      <c r="G44" s="44">
        <f>'Propylene Recycling HC'!F63*'Propylene Recycling HC'!F45-'Propylene Recycling HC'!$C$63*'Propylene Recycling HC'!$C$45</f>
        <v>0.36072998186095584</v>
      </c>
      <c r="H44" s="44">
        <f>'Propylene Recycling HC'!G63*'Propylene Recycling HC'!G45-'Propylene Recycling HC'!$C$63*'Propylene Recycling HC'!$C$45</f>
        <v>0.49171837954623487</v>
      </c>
      <c r="I44" s="44">
        <f>'Propylene Recycling HC'!H63*'Propylene Recycling HC'!H45-'Propylene Recycling HC'!$C$63*'Propylene Recycling HC'!$C$45</f>
        <v>0.62700321456032915</v>
      </c>
      <c r="J44" s="44">
        <f>'Propylene Recycling HC'!I63*'Propylene Recycling HC'!I45-'Propylene Recycling HC'!$C$63*'Propylene Recycling HC'!$C$45</f>
        <v>0.76940629253039983</v>
      </c>
      <c r="K44" s="44">
        <f>'Propylene Recycling HC'!J63*'Propylene Recycling HC'!J45-'Propylene Recycling HC'!$C$63*'Propylene Recycling HC'!$C$45</f>
        <v>0.91900774997946411</v>
      </c>
      <c r="L44" s="44">
        <f>'Propylene Recycling HC'!K63*'Propylene Recycling HC'!K45-'Propylene Recycling HC'!$C$63*'Propylene Recycling HC'!$C$45</f>
        <v>1.0758735055586577</v>
      </c>
      <c r="M44" s="44">
        <f>'Propylene Recycling HC'!L63*'Propylene Recycling HC'!L45-'Propylene Recycling HC'!$C$63*'Propylene Recycling HC'!$C$45</f>
        <v>1.2400545524737807</v>
      </c>
      <c r="N44" s="44">
        <f>'Propylene Recycling HC'!M63*'Propylene Recycling HC'!M45-'Propylene Recycling HC'!$C$63*'Propylene Recycling HC'!$C$45</f>
        <v>1.4115862788368752</v>
      </c>
      <c r="O44" s="44">
        <f>'Propylene Recycling HC'!N63*'Propylene Recycling HC'!N45-'Propylene Recycling HC'!$C$63*'Propylene Recycling HC'!$C$45</f>
        <v>1.6659459119980236</v>
      </c>
      <c r="P44" s="44">
        <f>'Propylene Recycling HC'!O63*'Propylene Recycling HC'!O45-'Propylene Recycling HC'!$C$63*'Propylene Recycling HC'!$C$45</f>
        <v>1.9285882053687708</v>
      </c>
      <c r="Q44" s="44">
        <f>'Propylene Recycling HC'!P63*'Propylene Recycling HC'!P45-'Propylene Recycling HC'!$C$63*'Propylene Recycling HC'!$C$45</f>
        <v>2.1941052695223289</v>
      </c>
      <c r="R44" s="44">
        <f>'Propylene Recycling HC'!Q63*'Propylene Recycling HC'!Q45-'Propylene Recycling HC'!$C$63*'Propylene Recycling HC'!$C$45</f>
        <v>2.4632607316364274</v>
      </c>
      <c r="S44" s="44">
        <f>'Propylene Recycling HC'!R63*'Propylene Recycling HC'!R45-'Propylene Recycling HC'!$C$63*'Propylene Recycling HC'!$C$45</f>
        <v>2.7345178602376943</v>
      </c>
      <c r="T44" s="44">
        <f>'Propylene Recycling HC'!S63*'Propylene Recycling HC'!S45-'Propylene Recycling HC'!$C$63*'Propylene Recycling HC'!$C$45</f>
        <v>3.0133111618532435</v>
      </c>
      <c r="U44" s="44">
        <f>'Propylene Recycling HC'!T63*'Propylene Recycling HC'!T45-'Propylene Recycling HC'!$C$63*'Propylene Recycling HC'!$C$45</f>
        <v>3.2994968803756763</v>
      </c>
      <c r="V44" s="44">
        <f>'Propylene Recycling HC'!U63*'Propylene Recycling HC'!U45-'Propylene Recycling HC'!$C$63*'Propylene Recycling HC'!$C$45</f>
        <v>3.5929198283234309</v>
      </c>
      <c r="W44" s="44">
        <f>'Propylene Recycling HC'!V63*'Propylene Recycling HC'!V45-'Propylene Recycling HC'!$C$63*'Propylene Recycling HC'!$C$45</f>
        <v>3.8934133017567008</v>
      </c>
      <c r="X44" s="44">
        <f>'Propylene Recycling HC'!W63*'Propylene Recycling HC'!W45-'Propylene Recycling HC'!$C$63*'Propylene Recycling HC'!$C$45</f>
        <v>4.2007990058381139</v>
      </c>
      <c r="Y44" s="44">
        <f>'Propylene Recycling HC'!X63*'Propylene Recycling HC'!X45-'Propylene Recycling HC'!$C$63*'Propylene Recycling HC'!$C$45</f>
        <v>4.6585723152705301</v>
      </c>
      <c r="Z44" s="44">
        <f>'Propylene Recycling HC'!Y63*'Propylene Recycling HC'!Y45-'Propylene Recycling HC'!$C$63*'Propylene Recycling HC'!$C$45</f>
        <v>5.1577429121631484</v>
      </c>
      <c r="AA44" s="44">
        <f>'Propylene Recycling HC'!Z63*'Propylene Recycling HC'!Z45-'Propylene Recycling HC'!$C$63*'Propylene Recycling HC'!$C$45</f>
        <v>5.6690972189040227</v>
      </c>
      <c r="AB44" s="44">
        <f>'Propylene Recycling HC'!AA63*'Propylene Recycling HC'!AA45-'Propylene Recycling HC'!$C$63*'Propylene Recycling HC'!$C$45</f>
        <v>6.1923156746366139</v>
      </c>
      <c r="AC44" s="44">
        <f>'Propylene Recycling HC'!AB63*'Propylene Recycling HC'!AB45-'Propylene Recycling HC'!$C$63*'Propylene Recycling HC'!$C$45</f>
        <v>6.7270590800058576</v>
      </c>
      <c r="AD44" s="44">
        <f>'Propylene Recycling HC'!AC63*'Propylene Recycling HC'!AC45-'Propylene Recycling HC'!$C$63*'Propylene Recycling HC'!$C$45</f>
        <v>7.273045801983943</v>
      </c>
      <c r="AE44" s="44">
        <f>'Propylene Recycling HC'!AD63*'Propylene Recycling HC'!AD45-'Propylene Recycling HC'!$C$63*'Propylene Recycling HC'!$C$45</f>
        <v>7.8299130206678873</v>
      </c>
      <c r="AF44" s="44">
        <f>'Propylene Recycling HC'!AE63*'Propylene Recycling HC'!AE45-'Propylene Recycling HC'!$C$63*'Propylene Recycling HC'!$C$45</f>
        <v>8.3972786891428086</v>
      </c>
      <c r="AG44" s="44">
        <f>'Propylene Recycling HC'!AF63*'Propylene Recycling HC'!AF45-'Propylene Recycling HC'!$C$63*'Propylene Recycling HC'!$C$45</f>
        <v>8.9747414621102912</v>
      </c>
      <c r="AH44" s="44">
        <f>'Propylene Recycling HC'!AG63*'Propylene Recycling HC'!AG45-'Propylene Recycling HC'!$C$63*'Propylene Recycling HC'!$C$45</f>
        <v>9.5618806401523493</v>
      </c>
    </row>
    <row r="45" spans="1:34" outlineLevel="1" x14ac:dyDescent="0.2">
      <c r="A45"/>
      <c r="B45" s="181" t="s">
        <v>218</v>
      </c>
      <c r="C45" s="54" t="s">
        <v>153</v>
      </c>
      <c r="D45" s="44">
        <f>0</f>
        <v>0</v>
      </c>
      <c r="E45" s="44">
        <f>'Propylene Recycling HC'!D90*'Propylene Recycling HC'!D46-'Propylene Recycling HC'!$C$90*'Propylene Recycling HC'!$C$46</f>
        <v>8.4766627042845988E-3</v>
      </c>
      <c r="F45" s="44">
        <f>'Propylene Recycling HC'!E90*'Propylene Recycling HC'!E46-'Propylene Recycling HC'!$C$90*'Propylene Recycling HC'!$C$46</f>
        <v>1.6866112136104755E-2</v>
      </c>
      <c r="G45" s="44">
        <f>'Propylene Recycling HC'!F90*'Propylene Recycling HC'!F46-'Propylene Recycling HC'!$C$90*'Propylene Recycling HC'!$C$46</f>
        <v>2.5082283308704337E-2</v>
      </c>
      <c r="H45" s="44">
        <f>'Propylene Recycling HC'!G90*'Propylene Recycling HC'!G46-'Propylene Recycling HC'!$C$90*'Propylene Recycling HC'!$C$46</f>
        <v>3.3039416846912639E-2</v>
      </c>
      <c r="I45" s="44">
        <f>'Propylene Recycling HC'!H90*'Propylene Recycling HC'!H46-'Propylene Recycling HC'!$C$90*'Propylene Recycling HC'!$C$46</f>
        <v>4.0653392285547915E-2</v>
      </c>
      <c r="J45" s="44">
        <f>'Propylene Recycling HC'!I90*'Propylene Recycling HC'!I46-'Propylene Recycling HC'!$C$90*'Propylene Recycling HC'!$C$46</f>
        <v>4.8017670310260552E-2</v>
      </c>
      <c r="K45" s="44">
        <f>'Propylene Recycling HC'!J90*'Propylene Recycling HC'!J46-'Propylene Recycling HC'!$C$90*'Propylene Recycling HC'!$C$46</f>
        <v>5.5099673442833105E-2</v>
      </c>
      <c r="L45" s="44">
        <f>'Propylene Recycling HC'!K90*'Propylene Recycling HC'!K46-'Propylene Recycling HC'!$C$90*'Propylene Recycling HC'!$C$46</f>
        <v>6.1866521107908523E-2</v>
      </c>
      <c r="M45" s="44">
        <f>'Propylene Recycling HC'!L90*'Propylene Recycling HC'!L46-'Propylene Recycling HC'!$C$90*'Propylene Recycling HC'!$C$46</f>
        <v>6.8285124876461337E-2</v>
      </c>
      <c r="N45" s="44">
        <f>'Propylene Recycling HC'!M90*'Propylene Recycling HC'!M46-'Propylene Recycling HC'!$C$90*'Propylene Recycling HC'!$C$46</f>
        <v>7.4322287249026814E-2</v>
      </c>
      <c r="O45" s="44">
        <f>'Propylene Recycling HC'!N90*'Propylene Recycling HC'!N46-'Propylene Recycling HC'!$C$90*'Propylene Recycling HC'!$C$46</f>
        <v>8.8120334551746657E-2</v>
      </c>
      <c r="P45" s="44">
        <f>'Propylene Recycling HC'!O90*'Propylene Recycling HC'!O46-'Propylene Recycling HC'!$C$90*'Propylene Recycling HC'!$C$46</f>
        <v>0.10091347077456383</v>
      </c>
      <c r="Q45" s="44">
        <f>'Propylene Recycling HC'!P90*'Propylene Recycling HC'!P46-'Propylene Recycling HC'!$C$90*'Propylene Recycling HC'!$C$46</f>
        <v>0.11208873774652847</v>
      </c>
      <c r="R45" s="44">
        <f>'Propylene Recycling HC'!Q90*'Propylene Recycling HC'!Q46-'Propylene Recycling HC'!$C$90*'Propylene Recycling HC'!$C$46</f>
        <v>0.12196254874964196</v>
      </c>
      <c r="S45" s="44">
        <f>'Propylene Recycling HC'!R90*'Propylene Recycling HC'!R46-'Propylene Recycling HC'!$C$90*'Propylene Recycling HC'!$C$46</f>
        <v>0.13045242163752621</v>
      </c>
      <c r="T45" s="44">
        <f>'Propylene Recycling HC'!S90*'Propylene Recycling HC'!S46-'Propylene Recycling HC'!$C$90*'Propylene Recycling HC'!$C$46</f>
        <v>0.13779703294997031</v>
      </c>
      <c r="U45" s="44">
        <f>'Propylene Recycling HC'!T90*'Propylene Recycling HC'!T46-'Propylene Recycling HC'!$C$90*'Propylene Recycling HC'!$C$46</f>
        <v>0.14397474651361275</v>
      </c>
      <c r="V45" s="44">
        <f>'Propylene Recycling HC'!U90*'Propylene Recycling HC'!U46-'Propylene Recycling HC'!$C$90*'Propylene Recycling HC'!$C$46</f>
        <v>0.14896464365753664</v>
      </c>
      <c r="W45" s="44">
        <f>'Propylene Recycling HC'!V90*'Propylene Recycling HC'!V46-'Propylene Recycling HC'!$C$90*'Propylene Recycling HC'!$C$46</f>
        <v>0.15274654957511363</v>
      </c>
      <c r="X45" s="44">
        <f>'Propylene Recycling HC'!W90*'Propylene Recycling HC'!W46-'Propylene Recycling HC'!$C$90*'Propylene Recycling HC'!$C$46</f>
        <v>0.15530105920743381</v>
      </c>
      <c r="Y45" s="44">
        <f>'Propylene Recycling HC'!X90*'Propylene Recycling HC'!X46-'Propylene Recycling HC'!$C$90*'Propylene Recycling HC'!$C$46</f>
        <v>0.16385088361588648</v>
      </c>
      <c r="Z45" s="44">
        <f>'Propylene Recycling HC'!Y90*'Propylene Recycling HC'!Y46-'Propylene Recycling HC'!$C$90*'Propylene Recycling HC'!$C$46</f>
        <v>0.17036582447756138</v>
      </c>
      <c r="AA45" s="44">
        <f>'Propylene Recycling HC'!Z90*'Propylene Recycling HC'!Z46-'Propylene Recycling HC'!$C$90*'Propylene Recycling HC'!$C$46</f>
        <v>0.17310737225929007</v>
      </c>
      <c r="AB45" s="44">
        <f>'Propylene Recycling HC'!AA90*'Propylene Recycling HC'!AA46-'Propylene Recycling HC'!$C$90*'Propylene Recycling HC'!$C$46</f>
        <v>0.17369840983480533</v>
      </c>
      <c r="AC45" s="44">
        <f>'Propylene Recycling HC'!AB90*'Propylene Recycling HC'!AB46-'Propylene Recycling HC'!$C$90*'Propylene Recycling HC'!$C$46</f>
        <v>0.17216349162525948</v>
      </c>
      <c r="AD45" s="44">
        <f>'Propylene Recycling HC'!AC90*'Propylene Recycling HC'!AC46-'Propylene Recycling HC'!$C$90*'Propylene Recycling HC'!$C$46</f>
        <v>0.16853233858253022</v>
      </c>
      <c r="AE45" s="44">
        <f>'Propylene Recycling HC'!AD90*'Propylene Recycling HC'!AD46-'Propylene Recycling HC'!$C$90*'Propylene Recycling HC'!$C$46</f>
        <v>0.16283584853064337</v>
      </c>
      <c r="AF45" s="44">
        <f>'Propylene Recycling HC'!AE90*'Propylene Recycling HC'!AE46-'Propylene Recycling HC'!$C$90*'Propylene Recycling HC'!$C$46</f>
        <v>0.15510802264831294</v>
      </c>
      <c r="AG45" s="44">
        <f>'Propylene Recycling HC'!AF90*'Propylene Recycling HC'!AF46-'Propylene Recycling HC'!$C$90*'Propylene Recycling HC'!$C$46</f>
        <v>0.14538594043197661</v>
      </c>
      <c r="AH45" s="44">
        <f>'Propylene Recycling HC'!AG90*'Propylene Recycling HC'!AG46-'Propylene Recycling HC'!$C$90*'Propylene Recycling HC'!$C$46</f>
        <v>0.13370972998499786</v>
      </c>
    </row>
    <row r="46" spans="1:34" s="68" customFormat="1" x14ac:dyDescent="0.2">
      <c r="A46" s="62"/>
      <c r="B46" s="62" t="s">
        <v>219</v>
      </c>
      <c r="C46" s="63" t="s">
        <v>153</v>
      </c>
      <c r="D46" s="64">
        <f>D43-D44-D45</f>
        <v>46.844581662413418</v>
      </c>
      <c r="E46" s="64">
        <f t="shared" ref="E46:AH46" si="18">E43-E44-E45</f>
        <v>47.138352179870786</v>
      </c>
      <c r="F46" s="64">
        <f t="shared" si="18"/>
        <v>47.428597531786266</v>
      </c>
      <c r="G46" s="64">
        <f t="shared" si="18"/>
        <v>47.715897864173435</v>
      </c>
      <c r="H46" s="64">
        <f t="shared" si="18"/>
        <v>48.000926488727607</v>
      </c>
      <c r="I46" s="64">
        <f t="shared" si="18"/>
        <v>48.284445175228946</v>
      </c>
      <c r="J46" s="64">
        <f t="shared" si="18"/>
        <v>48.563523971983081</v>
      </c>
      <c r="K46" s="64">
        <f t="shared" si="18"/>
        <v>48.838099744478036</v>
      </c>
      <c r="L46" s="64">
        <f t="shared" si="18"/>
        <v>49.108122967041275</v>
      </c>
      <c r="M46" s="64">
        <f t="shared" si="18"/>
        <v>49.37355831268281</v>
      </c>
      <c r="N46" s="64">
        <f t="shared" si="18"/>
        <v>49.63438521102271</v>
      </c>
      <c r="O46" s="64">
        <f t="shared" si="18"/>
        <v>49.630926681582601</v>
      </c>
      <c r="P46" s="64">
        <f t="shared" si="18"/>
        <v>49.648578201799154</v>
      </c>
      <c r="Q46" s="64">
        <f t="shared" si="18"/>
        <v>49.617534671521618</v>
      </c>
      <c r="R46" s="64">
        <f t="shared" si="18"/>
        <v>49.580903462020061</v>
      </c>
      <c r="S46" s="64">
        <f t="shared" si="18"/>
        <v>49.540164619106754</v>
      </c>
      <c r="T46" s="64">
        <f t="shared" si="18"/>
        <v>49.489502532353221</v>
      </c>
      <c r="U46" s="64">
        <f t="shared" si="18"/>
        <v>49.42893684313389</v>
      </c>
      <c r="V46" s="64">
        <f t="shared" si="18"/>
        <v>49.358494518006715</v>
      </c>
      <c r="W46" s="64">
        <f t="shared" si="18"/>
        <v>49.278209841119242</v>
      </c>
      <c r="X46" s="64">
        <f t="shared" si="18"/>
        <v>49.188124395255834</v>
      </c>
      <c r="Y46" s="64">
        <f t="shared" si="18"/>
        <v>48.639092194683514</v>
      </c>
      <c r="Z46" s="64">
        <f t="shared" si="18"/>
        <v>48.349808227678402</v>
      </c>
      <c r="AA46" s="64">
        <f t="shared" si="18"/>
        <v>48.047694730868834</v>
      </c>
      <c r="AB46" s="64">
        <f t="shared" si="18"/>
        <v>47.731282229564705</v>
      </c>
      <c r="AC46" s="64">
        <f t="shared" si="18"/>
        <v>47.40071542991798</v>
      </c>
      <c r="AD46" s="64">
        <f t="shared" si="18"/>
        <v>47.05607244566842</v>
      </c>
      <c r="AE46" s="64">
        <f t="shared" si="18"/>
        <v>46.69750746624505</v>
      </c>
      <c r="AF46" s="64">
        <f t="shared" si="18"/>
        <v>46.325186794324082</v>
      </c>
      <c r="AG46" s="64">
        <f t="shared" si="18"/>
        <v>45.939288864781616</v>
      </c>
      <c r="AH46" s="64">
        <f t="shared" si="18"/>
        <v>45.540004251301866</v>
      </c>
    </row>
    <row r="47" spans="1:34" s="67" customFormat="1" x14ac:dyDescent="0.2">
      <c r="A47" s="58" t="s">
        <v>220</v>
      </c>
      <c r="B47" s="58" t="s">
        <v>197</v>
      </c>
      <c r="C47" s="100" t="s">
        <v>153</v>
      </c>
      <c r="D47" s="101">
        <f>D13</f>
        <v>17.63451512942034</v>
      </c>
      <c r="E47" s="101">
        <f t="shared" ref="E47:AH47" si="19">E13</f>
        <v>17.873256103027099</v>
      </c>
      <c r="F47" s="101">
        <f t="shared" si="19"/>
        <v>18.114878240342666</v>
      </c>
      <c r="G47" s="101">
        <f t="shared" si="19"/>
        <v>18.359409673220629</v>
      </c>
      <c r="H47" s="101">
        <f t="shared" si="19"/>
        <v>18.606878669428028</v>
      </c>
      <c r="I47" s="101">
        <f t="shared" si="19"/>
        <v>18.85731362978758</v>
      </c>
      <c r="J47" s="101">
        <f t="shared" si="19"/>
        <v>19.110743085202088</v>
      </c>
      <c r="K47" s="101">
        <f t="shared" si="19"/>
        <v>19.367195693558394</v>
      </c>
      <c r="L47" s="101">
        <f t="shared" si="19"/>
        <v>19.626700236507915</v>
      </c>
      <c r="M47" s="101">
        <f t="shared" si="19"/>
        <v>19.88928561612115</v>
      </c>
      <c r="N47" s="101">
        <f t="shared" si="19"/>
        <v>20.154980851413086</v>
      </c>
      <c r="O47" s="101">
        <f t="shared" si="19"/>
        <v>20.256019324124765</v>
      </c>
      <c r="P47" s="101">
        <f t="shared" si="19"/>
        <v>20.354047956875178</v>
      </c>
      <c r="Q47" s="101">
        <f t="shared" si="19"/>
        <v>20.448965749125481</v>
      </c>
      <c r="R47" s="101">
        <f t="shared" si="19"/>
        <v>20.54067035360659</v>
      </c>
      <c r="S47" s="101">
        <f t="shared" si="19"/>
        <v>20.629058092288254</v>
      </c>
      <c r="T47" s="101">
        <f t="shared" si="19"/>
        <v>20.714023974035761</v>
      </c>
      <c r="U47" s="101">
        <f t="shared" si="19"/>
        <v>20.795461714023364</v>
      </c>
      <c r="V47" s="101">
        <f t="shared" si="19"/>
        <v>20.873263754975596</v>
      </c>
      <c r="W47" s="101">
        <f t="shared" si="19"/>
        <v>20.947321290310022</v>
      </c>
      <c r="X47" s="101">
        <f t="shared" si="19"/>
        <v>21.017524289257192</v>
      </c>
      <c r="Y47" s="101">
        <f t="shared" si="19"/>
        <v>20.65768309379833</v>
      </c>
      <c r="Z47" s="101">
        <f t="shared" si="19"/>
        <v>20.28883252316777</v>
      </c>
      <c r="AA47" s="101">
        <f t="shared" si="19"/>
        <v>19.911045036029932</v>
      </c>
      <c r="AB47" s="101">
        <f t="shared" si="19"/>
        <v>19.524404813491142</v>
      </c>
      <c r="AC47" s="101">
        <f t="shared" si="19"/>
        <v>19.129008283584419</v>
      </c>
      <c r="AD47" s="101">
        <f t="shared" si="19"/>
        <v>18.724964663268928</v>
      </c>
      <c r="AE47" s="101">
        <f t="shared" si="19"/>
        <v>18.312396518449997</v>
      </c>
      <c r="AF47" s="101">
        <f t="shared" si="19"/>
        <v>17.891440342538854</v>
      </c>
      <c r="AG47" s="101">
        <f t="shared" si="19"/>
        <v>17.462247154085055</v>
      </c>
      <c r="AH47" s="101">
        <f t="shared" si="19"/>
        <v>17.024983114028487</v>
      </c>
    </row>
    <row r="48" spans="1:34" outlineLevel="1" x14ac:dyDescent="0.2">
      <c r="A48"/>
      <c r="B48" t="s">
        <v>217</v>
      </c>
      <c r="C48" s="54" t="s">
        <v>153</v>
      </c>
      <c r="D48" s="44">
        <f>0</f>
        <v>0</v>
      </c>
      <c r="E48" s="44">
        <f>'Propylene Recycling HC'!D87*'Propylene Recycling HC'!D46-'Propylene Recycling HC'!$C$87*'Propylene Recycling HC'!$C$46</f>
        <v>1.6227898477090882E-2</v>
      </c>
      <c r="F48" s="44">
        <f>'Propylene Recycling HC'!E87*'Propylene Recycling HC'!E46-'Propylene Recycling HC'!$C$87*'Propylene Recycling HC'!$C$46</f>
        <v>3.7130770254623802E-2</v>
      </c>
      <c r="G48" s="44">
        <f>'Propylene Recycling HC'!F87*'Propylene Recycling HC'!F46-'Propylene Recycling HC'!$C$87*'Propylene Recycling HC'!$C$46</f>
        <v>6.2915283332907815E-2</v>
      </c>
      <c r="H48" s="44">
        <f>'Propylene Recycling HC'!G87*'Propylene Recycling HC'!G46-'Propylene Recycling HC'!$C$87*'Propylene Recycling HC'!$C$46</f>
        <v>9.3729169266802942E-2</v>
      </c>
      <c r="I48" s="44">
        <f>'Propylene Recycling HC'!H87*'Propylene Recycling HC'!H46-'Propylene Recycling HC'!$C$87*'Propylene Recycling HC'!$C$46</f>
        <v>0.12965554241839217</v>
      </c>
      <c r="J48" s="44">
        <f>'Propylene Recycling HC'!I87*'Propylene Recycling HC'!I46-'Propylene Recycling HC'!$C$87*'Propylene Recycling HC'!$C$46</f>
        <v>0.17112824836303306</v>
      </c>
      <c r="K48" s="44">
        <f>'Propylene Recycling HC'!J87*'Propylene Recycling HC'!J46-'Propylene Recycling HC'!$C$87*'Propylene Recycling HC'!$C$46</f>
        <v>0.21838956200023382</v>
      </c>
      <c r="L48" s="44">
        <f>'Propylene Recycling HC'!K87*'Propylene Recycling HC'!K46-'Propylene Recycling HC'!$C$87*'Propylene Recycling HC'!$C$46</f>
        <v>0.27167696343224379</v>
      </c>
      <c r="M48" s="44">
        <f>'Propylene Recycling HC'!L87*'Propylene Recycling HC'!L46-'Propylene Recycling HC'!$C$87*'Propylene Recycling HC'!$C$46</f>
        <v>0.33122222384627698</v>
      </c>
      <c r="N48" s="44">
        <f>'Propylene Recycling HC'!M87*'Propylene Recycling HC'!M46-'Propylene Recycling HC'!$C$87*'Propylene Recycling HC'!$C$46</f>
        <v>0.39725047977696948</v>
      </c>
      <c r="O48" s="44">
        <f>'Propylene Recycling HC'!N87*'Propylene Recycling HC'!N46-'Propylene Recycling HC'!$C$87*'Propylene Recycling HC'!$C$46</f>
        <v>0.50570570425462646</v>
      </c>
      <c r="P48" s="44">
        <f>'Propylene Recycling HC'!O87*'Propylene Recycling HC'!O46-'Propylene Recycling HC'!$C$87*'Propylene Recycling HC'!$C$46</f>
        <v>0.6262548249099954</v>
      </c>
      <c r="Q48" s="44">
        <f>'Propylene Recycling HC'!P87*'Propylene Recycling HC'!P46-'Propylene Recycling HC'!$C$87*'Propylene Recycling HC'!$C$46</f>
        <v>0.75604501913082456</v>
      </c>
      <c r="R48" s="44">
        <f>'Propylene Recycling HC'!Q87*'Propylene Recycling HC'!Q46-'Propylene Recycling HC'!$C$87*'Propylene Recycling HC'!$C$46</f>
        <v>0.8964316552797954</v>
      </c>
      <c r="S48" s="44">
        <f>'Propylene Recycling HC'!R87*'Propylene Recycling HC'!R46-'Propylene Recycling HC'!$C$87*'Propylene Recycling HC'!$C$46</f>
        <v>1.0468426542511873</v>
      </c>
      <c r="T48" s="44">
        <f>'Propylene Recycling HC'!S87*'Propylene Recycling HC'!S46-'Propylene Recycling HC'!$C$87*'Propylene Recycling HC'!$C$46</f>
        <v>1.2087971837214815</v>
      </c>
      <c r="U48" s="44">
        <f>'Propylene Recycling HC'!T87*'Propylene Recycling HC'!T46-'Propylene Recycling HC'!$C$87*'Propylene Recycling HC'!$C$46</f>
        <v>1.382404599443908</v>
      </c>
      <c r="V48" s="44">
        <f>'Propylene Recycling HC'!U87*'Propylene Recycling HC'!U46-'Propylene Recycling HC'!$C$87*'Propylene Recycling HC'!$C$46</f>
        <v>1.5677665738876476</v>
      </c>
      <c r="W48" s="44">
        <f>'Propylene Recycling HC'!V87*'Propylene Recycling HC'!V46-'Propylene Recycling HC'!$C$87*'Propylene Recycling HC'!$C$46</f>
        <v>1.7649769092937144</v>
      </c>
      <c r="X48" s="44">
        <f>'Propylene Recycling HC'!W87*'Propylene Recycling HC'!W46-'Propylene Recycling HC'!$C$87*'Propylene Recycling HC'!$C$46</f>
        <v>1.9741213563709707</v>
      </c>
      <c r="Y48" s="44">
        <f>'Propylene Recycling HC'!X87*'Propylene Recycling HC'!X46-'Propylene Recycling HC'!$C$87*'Propylene Recycling HC'!$C$46</f>
        <v>2.2799916108756664</v>
      </c>
      <c r="Z48" s="44">
        <f>'Propylene Recycling HC'!Y87*'Propylene Recycling HC'!Y46-'Propylene Recycling HC'!$C$87*'Propylene Recycling HC'!$C$46</f>
        <v>2.6057384606420948</v>
      </c>
      <c r="AA48" s="44">
        <f>'Propylene Recycling HC'!Z87*'Propylene Recycling HC'!Z46-'Propylene Recycling HC'!$C$87*'Propylene Recycling HC'!$C$46</f>
        <v>2.9270522168734003</v>
      </c>
      <c r="AB48" s="44">
        <f>'Propylene Recycling HC'!AA87*'Propylene Recycling HC'!AA46-'Propylene Recycling HC'!$C$87*'Propylene Recycling HC'!$C$46</f>
        <v>3.2622135223813369</v>
      </c>
      <c r="AC48" s="44">
        <f>'Propylene Recycling HC'!AB87*'Propylene Recycling HC'!AB46-'Propylene Recycling HC'!$C$87*'Propylene Recycling HC'!$C$46</f>
        <v>3.610740686991067</v>
      </c>
      <c r="AD48" s="44">
        <f>'Propylene Recycling HC'!AC87*'Propylene Recycling HC'!AC46-'Propylene Recycling HC'!$C$87*'Propylene Recycling HC'!$C$46</f>
        <v>3.9721645596957487</v>
      </c>
      <c r="AE48" s="44">
        <f>'Propylene Recycling HC'!AD87*'Propylene Recycling HC'!AD46-'Propylene Recycling HC'!$C$87*'Propylene Recycling HC'!$C$46</f>
        <v>4.3459640702086801</v>
      </c>
      <c r="AF48" s="44">
        <f>'Propylene Recycling HC'!AE87*'Propylene Recycling HC'!AE46-'Propylene Recycling HC'!$C$87*'Propylene Recycling HC'!$C$46</f>
        <v>4.731594532118466</v>
      </c>
      <c r="AG48" s="44">
        <f>'Propylene Recycling HC'!AF87*'Propylene Recycling HC'!AF46-'Propylene Recycling HC'!$C$87*'Propylene Recycling HC'!$C$46</f>
        <v>5.1284881228623265</v>
      </c>
      <c r="AH48" s="44">
        <f>'Propylene Recycling HC'!AG87*'Propylene Recycling HC'!AG46-'Propylene Recycling HC'!$C$87*'Propylene Recycling HC'!$C$46</f>
        <v>5.5360544032639467</v>
      </c>
    </row>
    <row r="49" spans="1:36" s="68" customFormat="1" x14ac:dyDescent="0.2">
      <c r="A49" s="62"/>
      <c r="B49" s="62" t="s">
        <v>219</v>
      </c>
      <c r="C49" s="63" t="s">
        <v>153</v>
      </c>
      <c r="D49" s="64">
        <f>D47-D48</f>
        <v>17.63451512942034</v>
      </c>
      <c r="E49" s="64">
        <f t="shared" ref="E49:AH49" si="20">E47-E48</f>
        <v>17.857028204550009</v>
      </c>
      <c r="F49" s="64">
        <f t="shared" si="20"/>
        <v>18.077747470088042</v>
      </c>
      <c r="G49" s="64">
        <f t="shared" si="20"/>
        <v>18.296494389887719</v>
      </c>
      <c r="H49" s="64">
        <f t="shared" si="20"/>
        <v>18.513149500161227</v>
      </c>
      <c r="I49" s="64">
        <f t="shared" si="20"/>
        <v>18.727658087369189</v>
      </c>
      <c r="J49" s="64">
        <f t="shared" si="20"/>
        <v>18.939614836839056</v>
      </c>
      <c r="K49" s="64">
        <f t="shared" si="20"/>
        <v>19.14880613155816</v>
      </c>
      <c r="L49" s="64">
        <f t="shared" si="20"/>
        <v>19.35502327307567</v>
      </c>
      <c r="M49" s="64">
        <f t="shared" si="20"/>
        <v>19.558063392274875</v>
      </c>
      <c r="N49" s="64">
        <f t="shared" si="20"/>
        <v>19.757730371636118</v>
      </c>
      <c r="O49" s="64">
        <f t="shared" si="20"/>
        <v>19.750313619870138</v>
      </c>
      <c r="P49" s="64">
        <f t="shared" si="20"/>
        <v>19.727793131965182</v>
      </c>
      <c r="Q49" s="64">
        <f t="shared" si="20"/>
        <v>19.692920729994658</v>
      </c>
      <c r="R49" s="64">
        <f t="shared" si="20"/>
        <v>19.644238698326795</v>
      </c>
      <c r="S49" s="64">
        <f t="shared" si="20"/>
        <v>19.582215438037068</v>
      </c>
      <c r="T49" s="64">
        <f t="shared" si="20"/>
        <v>19.505226790314278</v>
      </c>
      <c r="U49" s="64">
        <f t="shared" si="20"/>
        <v>19.413057114579455</v>
      </c>
      <c r="V49" s="64">
        <f t="shared" si="20"/>
        <v>19.305497181087947</v>
      </c>
      <c r="W49" s="64">
        <f t="shared" si="20"/>
        <v>19.182344381016307</v>
      </c>
      <c r="X49" s="64">
        <f t="shared" si="20"/>
        <v>19.04340293288622</v>
      </c>
      <c r="Y49" s="64">
        <f t="shared" si="20"/>
        <v>18.377691482922664</v>
      </c>
      <c r="Z49" s="64">
        <f t="shared" si="20"/>
        <v>17.683094062525676</v>
      </c>
      <c r="AA49" s="64">
        <f t="shared" si="20"/>
        <v>16.983992819156533</v>
      </c>
      <c r="AB49" s="64">
        <f t="shared" si="20"/>
        <v>16.262191291109804</v>
      </c>
      <c r="AC49" s="64">
        <f t="shared" si="20"/>
        <v>15.518267596593352</v>
      </c>
      <c r="AD49" s="64">
        <f t="shared" si="20"/>
        <v>14.752800103573179</v>
      </c>
      <c r="AE49" s="64">
        <f t="shared" si="20"/>
        <v>13.966432448241317</v>
      </c>
      <c r="AF49" s="64">
        <f t="shared" si="20"/>
        <v>13.159845810420387</v>
      </c>
      <c r="AG49" s="64">
        <f t="shared" si="20"/>
        <v>12.33375903122273</v>
      </c>
      <c r="AH49" s="64">
        <f t="shared" si="20"/>
        <v>11.48892871076454</v>
      </c>
    </row>
    <row r="50" spans="1:36" s="67" customFormat="1" x14ac:dyDescent="0.2">
      <c r="A50" s="58" t="s">
        <v>221</v>
      </c>
      <c r="B50" s="58" t="s">
        <v>197</v>
      </c>
      <c r="C50" s="100" t="s">
        <v>153</v>
      </c>
      <c r="D50" s="101">
        <f>D31</f>
        <v>0</v>
      </c>
      <c r="E50" s="101">
        <f t="shared" ref="E50:AH50" si="21">E31</f>
        <v>0</v>
      </c>
      <c r="F50" s="101">
        <f t="shared" si="21"/>
        <v>0</v>
      </c>
      <c r="G50" s="101">
        <f t="shared" si="21"/>
        <v>0</v>
      </c>
      <c r="H50" s="101">
        <f t="shared" si="21"/>
        <v>0</v>
      </c>
      <c r="I50" s="101">
        <f t="shared" si="21"/>
        <v>0</v>
      </c>
      <c r="J50" s="101">
        <f t="shared" si="21"/>
        <v>0</v>
      </c>
      <c r="K50" s="101">
        <f t="shared" si="21"/>
        <v>0</v>
      </c>
      <c r="L50" s="101">
        <f t="shared" si="21"/>
        <v>0</v>
      </c>
      <c r="M50" s="101">
        <f t="shared" si="21"/>
        <v>0</v>
      </c>
      <c r="N50" s="101">
        <f t="shared" si="21"/>
        <v>0</v>
      </c>
      <c r="O50" s="101">
        <f t="shared" si="21"/>
        <v>0</v>
      </c>
      <c r="P50" s="101">
        <f t="shared" si="21"/>
        <v>0</v>
      </c>
      <c r="Q50" s="101">
        <f t="shared" si="21"/>
        <v>0</v>
      </c>
      <c r="R50" s="101">
        <f t="shared" si="21"/>
        <v>0</v>
      </c>
      <c r="S50" s="101">
        <f t="shared" si="21"/>
        <v>0</v>
      </c>
      <c r="T50" s="101">
        <f t="shared" si="21"/>
        <v>0</v>
      </c>
      <c r="U50" s="101">
        <f t="shared" si="21"/>
        <v>0</v>
      </c>
      <c r="V50" s="101">
        <f t="shared" si="21"/>
        <v>0</v>
      </c>
      <c r="W50" s="101">
        <f t="shared" si="21"/>
        <v>0</v>
      </c>
      <c r="X50" s="101">
        <f t="shared" si="21"/>
        <v>0</v>
      </c>
      <c r="Y50" s="101">
        <f t="shared" si="21"/>
        <v>0</v>
      </c>
      <c r="Z50" s="101">
        <f t="shared" si="21"/>
        <v>0</v>
      </c>
      <c r="AA50" s="101">
        <f t="shared" si="21"/>
        <v>0</v>
      </c>
      <c r="AB50" s="101">
        <f t="shared" si="21"/>
        <v>0</v>
      </c>
      <c r="AC50" s="101">
        <f t="shared" si="21"/>
        <v>0</v>
      </c>
      <c r="AD50" s="101">
        <f t="shared" si="21"/>
        <v>0</v>
      </c>
      <c r="AE50" s="101">
        <f t="shared" si="21"/>
        <v>0</v>
      </c>
      <c r="AF50" s="101">
        <f t="shared" si="21"/>
        <v>0</v>
      </c>
      <c r="AG50" s="101">
        <f t="shared" si="21"/>
        <v>0</v>
      </c>
      <c r="AH50" s="101">
        <f t="shared" si="21"/>
        <v>0</v>
      </c>
    </row>
    <row r="51" spans="1:36" outlineLevel="1" x14ac:dyDescent="0.2">
      <c r="A51"/>
      <c r="B51" t="s">
        <v>217</v>
      </c>
      <c r="C51" s="54" t="s">
        <v>153</v>
      </c>
      <c r="D51" s="44">
        <f>0</f>
        <v>0</v>
      </c>
      <c r="E51" s="44">
        <f>'Propylene Recycling HC'!D97*'Propylene Recycling HC'!D48-'Propylene Recycling HC'!$C$97*'Propylene Recycling HC'!$C$48</f>
        <v>0</v>
      </c>
      <c r="F51" s="44">
        <f>'Propylene Recycling HC'!E97*'Propylene Recycling HC'!E48-'Propylene Recycling HC'!$C$97*'Propylene Recycling HC'!$C$48</f>
        <v>0</v>
      </c>
      <c r="G51" s="44">
        <f>'Propylene Recycling HC'!F97*'Propylene Recycling HC'!F48-'Propylene Recycling HC'!$C$97*'Propylene Recycling HC'!$C$48</f>
        <v>0</v>
      </c>
      <c r="H51" s="44">
        <f>'Propylene Recycling HC'!G97*'Propylene Recycling HC'!G48-'Propylene Recycling HC'!$C$97*'Propylene Recycling HC'!$C$48</f>
        <v>0</v>
      </c>
      <c r="I51" s="44">
        <f>'Propylene Recycling HC'!H97*'Propylene Recycling HC'!H48-'Propylene Recycling HC'!$C$97*'Propylene Recycling HC'!$C$48</f>
        <v>0</v>
      </c>
      <c r="J51" s="44">
        <f>'Propylene Recycling HC'!I97*'Propylene Recycling HC'!I48-'Propylene Recycling HC'!$C$97*'Propylene Recycling HC'!$C$48</f>
        <v>0</v>
      </c>
      <c r="K51" s="44">
        <f>'Propylene Recycling HC'!J97*'Propylene Recycling HC'!J48-'Propylene Recycling HC'!$C$97*'Propylene Recycling HC'!$C$48</f>
        <v>0</v>
      </c>
      <c r="L51" s="44">
        <f>'Propylene Recycling HC'!K97*'Propylene Recycling HC'!K48-'Propylene Recycling HC'!$C$97*'Propylene Recycling HC'!$C$48</f>
        <v>0</v>
      </c>
      <c r="M51" s="44">
        <f>'Propylene Recycling HC'!L97*'Propylene Recycling HC'!L48-'Propylene Recycling HC'!$C$97*'Propylene Recycling HC'!$C$48</f>
        <v>0</v>
      </c>
      <c r="N51" s="44">
        <f>'Propylene Recycling HC'!M97*'Propylene Recycling HC'!M48-'Propylene Recycling HC'!$C$97*'Propylene Recycling HC'!$C$48</f>
        <v>0</v>
      </c>
      <c r="O51" s="44">
        <f>'Propylene Recycling HC'!N97*'Propylene Recycling HC'!N48-'Propylene Recycling HC'!$C$97*'Propylene Recycling HC'!$C$48</f>
        <v>0</v>
      </c>
      <c r="P51" s="44">
        <f>'Propylene Recycling HC'!O97*'Propylene Recycling HC'!O48-'Propylene Recycling HC'!$C$97*'Propylene Recycling HC'!$C$48</f>
        <v>0</v>
      </c>
      <c r="Q51" s="44">
        <f>'Propylene Recycling HC'!P97*'Propylene Recycling HC'!P48-'Propylene Recycling HC'!$C$97*'Propylene Recycling HC'!$C$48</f>
        <v>0</v>
      </c>
      <c r="R51" s="44">
        <f>'Propylene Recycling HC'!Q97*'Propylene Recycling HC'!Q48-'Propylene Recycling HC'!$C$97*'Propylene Recycling HC'!$C$48</f>
        <v>0</v>
      </c>
      <c r="S51" s="44">
        <f>'Propylene Recycling HC'!R97*'Propylene Recycling HC'!R48-'Propylene Recycling HC'!$C$97*'Propylene Recycling HC'!$C$48</f>
        <v>0</v>
      </c>
      <c r="T51" s="44">
        <f>'Propylene Recycling HC'!S97*'Propylene Recycling HC'!S48-'Propylene Recycling HC'!$C$97*'Propylene Recycling HC'!$C$48</f>
        <v>0</v>
      </c>
      <c r="U51" s="44">
        <f>'Propylene Recycling HC'!T97*'Propylene Recycling HC'!T48-'Propylene Recycling HC'!$C$97*'Propylene Recycling HC'!$C$48</f>
        <v>0</v>
      </c>
      <c r="V51" s="44">
        <f>'Propylene Recycling HC'!U97*'Propylene Recycling HC'!U48-'Propylene Recycling HC'!$C$97*'Propylene Recycling HC'!$C$48</f>
        <v>0</v>
      </c>
      <c r="W51" s="44">
        <f>'Propylene Recycling HC'!V97*'Propylene Recycling HC'!V48-'Propylene Recycling HC'!$C$97*'Propylene Recycling HC'!$C$48</f>
        <v>0</v>
      </c>
      <c r="X51" s="44">
        <f>'Propylene Recycling HC'!W97*'Propylene Recycling HC'!W48-'Propylene Recycling HC'!$C$97*'Propylene Recycling HC'!$C$48</f>
        <v>0</v>
      </c>
      <c r="Y51" s="44">
        <f>'Propylene Recycling HC'!X97*'Propylene Recycling HC'!X48-'Propylene Recycling HC'!$C$97*'Propylene Recycling HC'!$C$48</f>
        <v>0</v>
      </c>
      <c r="Z51" s="44">
        <f>'Propylene Recycling HC'!Y97*'Propylene Recycling HC'!Y48-'Propylene Recycling HC'!$C$97*'Propylene Recycling HC'!$C$48</f>
        <v>0</v>
      </c>
      <c r="AA51" s="44">
        <f>'Propylene Recycling HC'!Z97*'Propylene Recycling HC'!Z48-'Propylene Recycling HC'!$C$97*'Propylene Recycling HC'!$C$48</f>
        <v>0</v>
      </c>
      <c r="AB51" s="44">
        <f>'Propylene Recycling HC'!AA97*'Propylene Recycling HC'!AA48-'Propylene Recycling HC'!$C$97*'Propylene Recycling HC'!$C$48</f>
        <v>0</v>
      </c>
      <c r="AC51" s="44">
        <f>'Propylene Recycling HC'!AB97*'Propylene Recycling HC'!AB48-'Propylene Recycling HC'!$C$97*'Propylene Recycling HC'!$C$48</f>
        <v>0</v>
      </c>
      <c r="AD51" s="44">
        <f>'Propylene Recycling HC'!AC97*'Propylene Recycling HC'!AC48-'Propylene Recycling HC'!$C$97*'Propylene Recycling HC'!$C$48</f>
        <v>0</v>
      </c>
      <c r="AE51" s="44">
        <f>'Propylene Recycling HC'!AD97*'Propylene Recycling HC'!AD48-'Propylene Recycling HC'!$C$97*'Propylene Recycling HC'!$C$48</f>
        <v>0</v>
      </c>
      <c r="AF51" s="44">
        <f>'Propylene Recycling HC'!AE97*'Propylene Recycling HC'!AE48-'Propylene Recycling HC'!$C$97*'Propylene Recycling HC'!$C$48</f>
        <v>0</v>
      </c>
      <c r="AG51" s="44">
        <f>'Propylene Recycling HC'!AF97*'Propylene Recycling HC'!AF48-'Propylene Recycling HC'!$C$97*'Propylene Recycling HC'!$C$48</f>
        <v>0</v>
      </c>
      <c r="AH51" s="44">
        <f>'Propylene Recycling HC'!AG97*'Propylene Recycling HC'!AG48-'Propylene Recycling HC'!$C$97*'Propylene Recycling HC'!$C$48</f>
        <v>0</v>
      </c>
    </row>
    <row r="52" spans="1:36" outlineLevel="1" x14ac:dyDescent="0.2">
      <c r="A52"/>
      <c r="B52" t="s">
        <v>222</v>
      </c>
      <c r="C52" s="54" t="s">
        <v>153</v>
      </c>
      <c r="D52" s="44">
        <f>0</f>
        <v>0</v>
      </c>
      <c r="E52" s="44">
        <f>0</f>
        <v>0</v>
      </c>
      <c r="F52" s="44">
        <f>0</f>
        <v>0</v>
      </c>
      <c r="G52" s="44">
        <f>0</f>
        <v>0</v>
      </c>
      <c r="H52" s="44">
        <f>0</f>
        <v>0</v>
      </c>
      <c r="I52" s="44">
        <f>0</f>
        <v>0</v>
      </c>
      <c r="J52" s="44">
        <f>0</f>
        <v>0</v>
      </c>
      <c r="K52" s="44">
        <f>0</f>
        <v>0</v>
      </c>
      <c r="L52" s="44">
        <f>0</f>
        <v>0</v>
      </c>
      <c r="M52" s="44">
        <f>0</f>
        <v>0</v>
      </c>
      <c r="N52" s="44">
        <f>0</f>
        <v>0</v>
      </c>
      <c r="O52" s="44">
        <f>0</f>
        <v>0</v>
      </c>
      <c r="P52" s="44">
        <f>0</f>
        <v>0</v>
      </c>
      <c r="Q52" s="44">
        <f>0</f>
        <v>0</v>
      </c>
      <c r="R52" s="44">
        <f>0</f>
        <v>0</v>
      </c>
      <c r="S52" s="44">
        <f>0</f>
        <v>0</v>
      </c>
      <c r="T52" s="44">
        <f>0</f>
        <v>0</v>
      </c>
      <c r="U52" s="44">
        <f>0</f>
        <v>0</v>
      </c>
      <c r="V52" s="44">
        <f>0</f>
        <v>0</v>
      </c>
      <c r="W52" s="44">
        <f>0</f>
        <v>0</v>
      </c>
      <c r="X52" s="44">
        <f>0</f>
        <v>0</v>
      </c>
      <c r="Y52" s="44">
        <f>0</f>
        <v>0</v>
      </c>
      <c r="Z52" s="44">
        <f>0</f>
        <v>0</v>
      </c>
      <c r="AA52" s="44">
        <f>0</f>
        <v>0</v>
      </c>
      <c r="AB52" s="44">
        <f>0</f>
        <v>0</v>
      </c>
      <c r="AC52" s="44">
        <f>0</f>
        <v>0</v>
      </c>
      <c r="AD52" s="44">
        <f>0</f>
        <v>0</v>
      </c>
      <c r="AE52" s="44">
        <f>0</f>
        <v>0</v>
      </c>
      <c r="AF52" s="44">
        <f>0</f>
        <v>0</v>
      </c>
      <c r="AG52" s="44">
        <f>0</f>
        <v>0</v>
      </c>
      <c r="AH52" s="44">
        <f>0</f>
        <v>0</v>
      </c>
    </row>
    <row r="53" spans="1:36" s="68" customFormat="1" x14ac:dyDescent="0.2">
      <c r="A53" s="62"/>
      <c r="B53" s="62" t="s">
        <v>219</v>
      </c>
      <c r="C53" s="63" t="s">
        <v>153</v>
      </c>
      <c r="D53" s="64">
        <f>D50-D51-D52</f>
        <v>0</v>
      </c>
      <c r="E53" s="64">
        <f t="shared" ref="E53:AH53" si="22">E50-E51-E52</f>
        <v>0</v>
      </c>
      <c r="F53" s="64">
        <f t="shared" si="22"/>
        <v>0</v>
      </c>
      <c r="G53" s="64">
        <f t="shared" si="22"/>
        <v>0</v>
      </c>
      <c r="H53" s="64">
        <f t="shared" si="22"/>
        <v>0</v>
      </c>
      <c r="I53" s="64">
        <f t="shared" si="22"/>
        <v>0</v>
      </c>
      <c r="J53" s="64">
        <f t="shared" si="22"/>
        <v>0</v>
      </c>
      <c r="K53" s="64">
        <f t="shared" si="22"/>
        <v>0</v>
      </c>
      <c r="L53" s="64">
        <f t="shared" si="22"/>
        <v>0</v>
      </c>
      <c r="M53" s="64">
        <f t="shared" si="22"/>
        <v>0</v>
      </c>
      <c r="N53" s="64">
        <f t="shared" si="22"/>
        <v>0</v>
      </c>
      <c r="O53" s="64">
        <f t="shared" si="22"/>
        <v>0</v>
      </c>
      <c r="P53" s="64">
        <f t="shared" si="22"/>
        <v>0</v>
      </c>
      <c r="Q53" s="64">
        <f t="shared" si="22"/>
        <v>0</v>
      </c>
      <c r="R53" s="64">
        <f t="shared" si="22"/>
        <v>0</v>
      </c>
      <c r="S53" s="64">
        <f t="shared" si="22"/>
        <v>0</v>
      </c>
      <c r="T53" s="64">
        <f t="shared" si="22"/>
        <v>0</v>
      </c>
      <c r="U53" s="64">
        <f t="shared" si="22"/>
        <v>0</v>
      </c>
      <c r="V53" s="64">
        <f t="shared" si="22"/>
        <v>0</v>
      </c>
      <c r="W53" s="64">
        <f t="shared" si="22"/>
        <v>0</v>
      </c>
      <c r="X53" s="64">
        <f t="shared" si="22"/>
        <v>0</v>
      </c>
      <c r="Y53" s="64">
        <f t="shared" si="22"/>
        <v>0</v>
      </c>
      <c r="Z53" s="64">
        <f t="shared" si="22"/>
        <v>0</v>
      </c>
      <c r="AA53" s="64">
        <f t="shared" si="22"/>
        <v>0</v>
      </c>
      <c r="AB53" s="64">
        <f t="shared" si="22"/>
        <v>0</v>
      </c>
      <c r="AC53" s="64">
        <f t="shared" si="22"/>
        <v>0</v>
      </c>
      <c r="AD53" s="64">
        <f t="shared" si="22"/>
        <v>0</v>
      </c>
      <c r="AE53" s="64">
        <f t="shared" si="22"/>
        <v>0</v>
      </c>
      <c r="AF53" s="64">
        <f t="shared" si="22"/>
        <v>0</v>
      </c>
      <c r="AG53" s="64">
        <f t="shared" si="22"/>
        <v>0</v>
      </c>
      <c r="AH53" s="64">
        <f t="shared" si="22"/>
        <v>0</v>
      </c>
    </row>
    <row r="54" spans="1:36" s="67" customFormat="1" x14ac:dyDescent="0.2">
      <c r="A54" s="58" t="s">
        <v>223</v>
      </c>
      <c r="B54" s="58" t="s">
        <v>197</v>
      </c>
      <c r="C54" s="100" t="s">
        <v>153</v>
      </c>
      <c r="D54" s="101">
        <f>D25</f>
        <v>12.379169704702877</v>
      </c>
      <c r="E54" s="101">
        <f t="shared" ref="E54:AH54" si="23">E25</f>
        <v>12.36111406673008</v>
      </c>
      <c r="F54" s="101">
        <f t="shared" si="23"/>
        <v>12.338866957021551</v>
      </c>
      <c r="G54" s="101">
        <f t="shared" si="23"/>
        <v>12.312291083617646</v>
      </c>
      <c r="H54" s="101">
        <f t="shared" si="23"/>
        <v>12.28124569796743</v>
      </c>
      <c r="I54" s="101">
        <f t="shared" si="23"/>
        <v>12.245586517081941</v>
      </c>
      <c r="J54" s="101">
        <f t="shared" si="23"/>
        <v>12.205165644039631</v>
      </c>
      <c r="K54" s="101">
        <f t="shared" si="23"/>
        <v>12.159831486810448</v>
      </c>
      <c r="L54" s="101">
        <f t="shared" si="23"/>
        <v>12.109428675364345</v>
      </c>
      <c r="M54" s="101">
        <f t="shared" si="23"/>
        <v>12.053797977029387</v>
      </c>
      <c r="N54" s="101">
        <f t="shared" si="23"/>
        <v>11.992776210063859</v>
      </c>
      <c r="O54" s="101">
        <f t="shared" si="23"/>
        <v>11.926196155406142</v>
      </c>
      <c r="P54" s="101">
        <f t="shared" si="23"/>
        <v>11.853886466565353</v>
      </c>
      <c r="Q54" s="101">
        <f t="shared" si="23"/>
        <v>11.775671577615066</v>
      </c>
      <c r="R54" s="101">
        <f t="shared" si="23"/>
        <v>11.691371609251632</v>
      </c>
      <c r="S54" s="101">
        <f t="shared" si="23"/>
        <v>11.60080227287791</v>
      </c>
      <c r="T54" s="101">
        <f t="shared" si="23"/>
        <v>11.503774772672408</v>
      </c>
      <c r="U54" s="101">
        <f t="shared" si="23"/>
        <v>11.400095705603057</v>
      </c>
      <c r="V54" s="101">
        <f t="shared" si="23"/>
        <v>11.289566959344047</v>
      </c>
      <c r="W54" s="101">
        <f t="shared" si="23"/>
        <v>11.171985608053312</v>
      </c>
      <c r="X54" s="101">
        <f t="shared" si="23"/>
        <v>11.04714380596744</v>
      </c>
      <c r="Y54" s="101">
        <f t="shared" si="23"/>
        <v>10.905128176591163</v>
      </c>
      <c r="Z54" s="101">
        <f t="shared" si="23"/>
        <v>10.755091391256169</v>
      </c>
      <c r="AA54" s="101">
        <f t="shared" si="23"/>
        <v>10.59680177317675</v>
      </c>
      <c r="AB54" s="101">
        <f t="shared" si="23"/>
        <v>10.430022086670558</v>
      </c>
      <c r="AC54" s="101">
        <f t="shared" si="23"/>
        <v>10.254509415110709</v>
      </c>
      <c r="AD54" s="101">
        <f t="shared" si="23"/>
        <v>10.070015036334777</v>
      </c>
      <c r="AE54" s="101">
        <f t="shared" si="23"/>
        <v>9.8762842954594952</v>
      </c>
      <c r="AF54" s="101">
        <f t="shared" si="23"/>
        <v>9.6730564750489556</v>
      </c>
      <c r="AG54" s="101">
        <f t="shared" si="23"/>
        <v>9.4600646625830702</v>
      </c>
      <c r="AH54" s="101">
        <f t="shared" si="23"/>
        <v>9.2370356151720525</v>
      </c>
    </row>
    <row r="55" spans="1:36" outlineLevel="1" x14ac:dyDescent="0.2">
      <c r="A55"/>
      <c r="B55" t="s">
        <v>217</v>
      </c>
      <c r="C55" s="54" t="s">
        <v>153</v>
      </c>
      <c r="D55" s="44">
        <f>0</f>
        <v>0</v>
      </c>
      <c r="E55" s="44">
        <f>'Propylene Recycling HC'!D111*'Propylene Recycling HC'!D47-'Propylene Recycling HC'!$C$111*'Propylene Recycling HC'!$C$47</f>
        <v>8.6642708277423087E-3</v>
      </c>
      <c r="F55" s="44">
        <f>'Propylene Recycling HC'!E111*'Propylene Recycling HC'!E47-'Propylene Recycling HC'!$C$111*'Propylene Recycling HC'!$C$47</f>
        <v>1.8391185006919643E-2</v>
      </c>
      <c r="G55" s="44">
        <f>'Propylene Recycling HC'!F111*'Propylene Recycling HC'!F47-'Propylene Recycling HC'!$C$111*'Propylene Recycling HC'!$C$47</f>
        <v>2.918218706996966E-2</v>
      </c>
      <c r="H55" s="44">
        <f>'Propylene Recycling HC'!G111*'Propylene Recycling HC'!G47-'Propylene Recycling HC'!$C$111*'Propylene Recycling HC'!$C$47</f>
        <v>4.1025316014492628E-2</v>
      </c>
      <c r="I55" s="44">
        <f>'Propylene Recycling HC'!H111*'Propylene Recycling HC'!H47-'Propylene Recycling HC'!$C$111*'Propylene Recycling HC'!$C$47</f>
        <v>5.3894591601988978E-2</v>
      </c>
      <c r="J55" s="44">
        <f>'Propylene Recycling HC'!I111*'Propylene Recycling HC'!I47-'Propylene Recycling HC'!$C$111*'Propylene Recycling HC'!$C$47</f>
        <v>6.7928942654131838E-2</v>
      </c>
      <c r="K55" s="44">
        <f>'Propylene Recycling HC'!J111*'Propylene Recycling HC'!J47-'Propylene Recycling HC'!$C$111*'Propylene Recycling HC'!$C$47</f>
        <v>8.3170251029573136E-2</v>
      </c>
      <c r="L55" s="44">
        <f>'Propylene Recycling HC'!K111*'Propylene Recycling HC'!K47-'Propylene Recycling HC'!$C$111*'Propylene Recycling HC'!$C$47</f>
        <v>9.9659410847217134E-2</v>
      </c>
      <c r="M55" s="44">
        <f>'Propylene Recycling HC'!L111*'Propylene Recycling HC'!L47-'Propylene Recycling HC'!$C$111*'Propylene Recycling HC'!$C$47</f>
        <v>0.11743616800870907</v>
      </c>
      <c r="N55" s="44">
        <f>'Propylene Recycling HC'!M111*'Propylene Recycling HC'!M47-'Propylene Recycling HC'!$C$111*'Propylene Recycling HC'!$C$47</f>
        <v>0.13653895749302175</v>
      </c>
      <c r="O55" s="44">
        <f>'Propylene Recycling HC'!N111*'Propylene Recycling HC'!N47-'Propylene Recycling HC'!$C$111*'Propylene Recycling HC'!$C$47</f>
        <v>0.1712096606040743</v>
      </c>
      <c r="P55" s="44">
        <f>'Propylene Recycling HC'!O111*'Propylene Recycling HC'!O47-'Propylene Recycling HC'!$C$111*'Propylene Recycling HC'!$C$47</f>
        <v>0.20822351011682744</v>
      </c>
      <c r="Q55" s="44">
        <f>'Propylene Recycling HC'!P111*'Propylene Recycling HC'!P47-'Propylene Recycling HC'!$C$111*'Propylene Recycling HC'!$C$47</f>
        <v>0.24747241317485957</v>
      </c>
      <c r="R55" s="44">
        <f>'Propylene Recycling HC'!Q111*'Propylene Recycling HC'!Q47-'Propylene Recycling HC'!$C$111*'Propylene Recycling HC'!$C$47</f>
        <v>0.28882258265306715</v>
      </c>
      <c r="S55" s="44">
        <f>'Propylene Recycling HC'!R111*'Propylene Recycling HC'!R47-'Propylene Recycling HC'!$C$111*'Propylene Recycling HC'!$C$47</f>
        <v>0.33211490566052143</v>
      </c>
      <c r="T55" s="44">
        <f>'Propylene Recycling HC'!S111*'Propylene Recycling HC'!S47-'Propylene Recycling HC'!$C$111*'Propylene Recycling HC'!$C$47</f>
        <v>0.37787287267110781</v>
      </c>
      <c r="U55" s="44">
        <f>'Propylene Recycling HC'!T111*'Propylene Recycling HC'!T47-'Propylene Recycling HC'!$C$111*'Propylene Recycling HC'!$C$47</f>
        <v>0.42614709294489456</v>
      </c>
      <c r="V55" s="44">
        <f>'Propylene Recycling HC'!U111*'Propylene Recycling HC'!U47-'Propylene Recycling HC'!$C$111*'Propylene Recycling HC'!$C$47</f>
        <v>0.47698778079529225</v>
      </c>
      <c r="W55" s="44">
        <f>'Propylene Recycling HC'!V111*'Propylene Recycling HC'!V47-'Propylene Recycling HC'!$C$111*'Propylene Recycling HC'!$C$47</f>
        <v>0.53044471144715744</v>
      </c>
      <c r="X55" s="44">
        <f>'Propylene Recycling HC'!W111*'Propylene Recycling HC'!W47-'Propylene Recycling HC'!$C$111*'Propylene Recycling HC'!$C$47</f>
        <v>0.58656717644544554</v>
      </c>
      <c r="Y55" s="44">
        <f>'Propylene Recycling HC'!X111*'Propylene Recycling HC'!X47-'Propylene Recycling HC'!$C$111*'Propylene Recycling HC'!$C$47</f>
        <v>0.67191247524001785</v>
      </c>
      <c r="Z55" s="44">
        <f>'Propylene Recycling HC'!Y111*'Propylene Recycling HC'!Y47-'Propylene Recycling HC'!$C$111*'Propylene Recycling HC'!$C$47</f>
        <v>0.76171387218216446</v>
      </c>
      <c r="AA55" s="44">
        <f>'Propylene Recycling HC'!Z111*'Propylene Recycling HC'!Z47-'Propylene Recycling HC'!$C$111*'Propylene Recycling HC'!$C$47</f>
        <v>0.85605553945593005</v>
      </c>
      <c r="AB55" s="44">
        <f>'Propylene Recycling HC'!AA111*'Propylene Recycling HC'!AA47-'Propylene Recycling HC'!$C$111*'Propylene Recycling HC'!$C$47</f>
        <v>0.95502094667211523</v>
      </c>
      <c r="AC55" s="44">
        <f>'Propylene Recycling HC'!AB111*'Propylene Recycling HC'!AB47-'Propylene Recycling HC'!$C$111*'Propylene Recycling HC'!$C$47</f>
        <v>1.0586927936322148</v>
      </c>
      <c r="AD55" s="44">
        <f>'Propylene Recycling HC'!AC111*'Propylene Recycling HC'!AC47-'Propylene Recycling HC'!$C$111*'Propylene Recycling HC'!$C$47</f>
        <v>1.1671641223260947</v>
      </c>
      <c r="AE55" s="44">
        <f>'Propylene Recycling HC'!AD111*'Propylene Recycling HC'!AD47-'Propylene Recycling HC'!$C$111*'Propylene Recycling HC'!$C$47</f>
        <v>1.2805191198142907</v>
      </c>
      <c r="AF55" s="44">
        <f>'Propylene Recycling HC'!AE111*'Propylene Recycling HC'!AE47-'Propylene Recycling HC'!$C$111*'Propylene Recycling HC'!$C$47</f>
        <v>1.3988412854753998</v>
      </c>
      <c r="AG55" s="44">
        <f>'Propylene Recycling HC'!AF111*'Propylene Recycling HC'!AF47-'Propylene Recycling HC'!$C$111*'Propylene Recycling HC'!$C$47</f>
        <v>1.5222133699825433</v>
      </c>
      <c r="AH55" s="44">
        <f>'Propylene Recycling HC'!AG111*'Propylene Recycling HC'!AG47-'Propylene Recycling HC'!$C$111*'Propylene Recycling HC'!$C$47</f>
        <v>1.6507173137739004</v>
      </c>
    </row>
    <row r="56" spans="1:36" outlineLevel="1" x14ac:dyDescent="0.2">
      <c r="A56"/>
      <c r="B56" t="s">
        <v>222</v>
      </c>
      <c r="C56" s="54" t="s">
        <v>153</v>
      </c>
      <c r="D56" s="44">
        <f>0</f>
        <v>0</v>
      </c>
      <c r="E56" s="44">
        <f>'Propylene Recycling HC'!D67*'Propylene Recycling HC'!D45-'Propylene Recycling HC'!$C$67*'Propylene Recycling HC'!$C$45</f>
        <v>0.1335207063205226</v>
      </c>
      <c r="F56" s="44">
        <f>'Propylene Recycling HC'!E67*'Propylene Recycling HC'!E45-'Propylene Recycling HC'!$C$67*'Propylene Recycling HC'!$C$45</f>
        <v>0.27161887651110583</v>
      </c>
      <c r="G56" s="44">
        <f>'Propylene Recycling HC'!F67*'Propylene Recycling HC'!F45-'Propylene Recycling HC'!$C$67*'Propylene Recycling HC'!$C$45</f>
        <v>0.41362037001605056</v>
      </c>
      <c r="H56" s="44">
        <f>'Propylene Recycling HC'!G67*'Propylene Recycling HC'!G45-'Propylene Recycling HC'!$C$67*'Propylene Recycling HC'!$C$45</f>
        <v>0.55876945519015897</v>
      </c>
      <c r="I56" s="44">
        <f>'Propylene Recycling HC'!H67*'Propylene Recycling HC'!H45-'Propylene Recycling HC'!$C$67*'Propylene Recycling HC'!$C$45</f>
        <v>0.70623452138639897</v>
      </c>
      <c r="J56" s="44">
        <f>'Propylene Recycling HC'!I67*'Propylene Recycling HC'!I45-'Propylene Recycling HC'!$C$67*'Propylene Recycling HC'!$C$45</f>
        <v>0.86010845372003097</v>
      </c>
      <c r="K56" s="44">
        <f>'Propylene Recycling HC'!J67*'Propylene Recycling HC'!J45-'Propylene Recycling HC'!$C$67*'Propylene Recycling HC'!$C$45</f>
        <v>1.0204261609516754</v>
      </c>
      <c r="L56" s="44">
        <f>'Propylene Recycling HC'!K67*'Propylene Recycling HC'!K45-'Propylene Recycling HC'!$C$67*'Propylene Recycling HC'!$C$45</f>
        <v>1.1872090335200511</v>
      </c>
      <c r="M56" s="44">
        <f>'Propylene Recycling HC'!L67*'Propylene Recycling HC'!L45-'Propylene Recycling HC'!$C$67*'Propylene Recycling HC'!$C$45</f>
        <v>1.360464389844269</v>
      </c>
      <c r="N56" s="44">
        <f>'Propylene Recycling HC'!M67*'Propylene Recycling HC'!M45-'Propylene Recycling HC'!$C$67*'Propylene Recycling HC'!$C$45</f>
        <v>1.5401849515192352</v>
      </c>
      <c r="O56" s="44">
        <f>'Propylene Recycling HC'!N67*'Propylene Recycling HC'!N45-'Propylene Recycling HC'!$C$67*'Propylene Recycling HC'!$C$45</f>
        <v>1.8147513952519254</v>
      </c>
      <c r="P56" s="44">
        <f>'Propylene Recycling HC'!O67*'Propylene Recycling HC'!O45-'Propylene Recycling HC'!$C$67*'Propylene Recycling HC'!$C$45</f>
        <v>2.0969073573981287</v>
      </c>
      <c r="Q56" s="44">
        <f>'Propylene Recycling HC'!P67*'Propylene Recycling HC'!P45-'Propylene Recycling HC'!$C$67*'Propylene Recycling HC'!$C$45</f>
        <v>2.3800729793227786</v>
      </c>
      <c r="R56" s="44">
        <f>'Propylene Recycling HC'!Q67*'Propylene Recycling HC'!Q45-'Propylene Recycling HC'!$C$67*'Propylene Recycling HC'!$C$45</f>
        <v>2.6655125345374309</v>
      </c>
      <c r="S56" s="44">
        <f>'Propylene Recycling HC'!R67*'Propylene Recycling HC'!R45-'Propylene Recycling HC'!$C$67*'Propylene Recycling HC'!$C$45</f>
        <v>2.9515883377446368</v>
      </c>
      <c r="T56" s="44">
        <f>'Propylene Recycling HC'!S67*'Propylene Recycling HC'!S45-'Propylene Recycling HC'!$C$67*'Propylene Recycling HC'!$C$45</f>
        <v>3.2450602100944641</v>
      </c>
      <c r="U56" s="44">
        <f>'Propylene Recycling HC'!T67*'Propylene Recycling HC'!T45-'Propylene Recycling HC'!$C$67*'Propylene Recycling HC'!$C$45</f>
        <v>3.5457742719249739</v>
      </c>
      <c r="V56" s="44">
        <f>'Propylene Recycling HC'!U67*'Propylene Recycling HC'!U45-'Propylene Recycling HC'!$C$67*'Propylene Recycling HC'!$C$45</f>
        <v>3.8535651562539286</v>
      </c>
      <c r="W56" s="44">
        <f>'Propylene Recycling HC'!V67*'Propylene Recycling HC'!V45-'Propylene Recycling HC'!$C$67*'Propylene Recycling HC'!$C$45</f>
        <v>4.1682559302207878</v>
      </c>
      <c r="X56" s="44">
        <f>'Propylene Recycling HC'!W67*'Propylene Recycling HC'!W45-'Propylene Recycling HC'!$C$67*'Propylene Recycling HC'!$C$45</f>
        <v>4.4896580273042908</v>
      </c>
      <c r="Y56" s="44">
        <f>'Propylene Recycling HC'!X67*'Propylene Recycling HC'!X45-'Propylene Recycling HC'!$C$67*'Propylene Recycling HC'!$C$45</f>
        <v>4.9159309712000692</v>
      </c>
      <c r="Z56" s="44">
        <f>'Propylene Recycling HC'!Y67*'Propylene Recycling HC'!Y45-'Propylene Recycling HC'!$C$67*'Propylene Recycling HC'!$C$45</f>
        <v>5.3868383861835225</v>
      </c>
      <c r="AA56" s="44">
        <f>'Propylene Recycling HC'!Z67*'Propylene Recycling HC'!Z45-'Propylene Recycling HC'!$C$67*'Propylene Recycling HC'!$C$45</f>
        <v>5.8683898102678578</v>
      </c>
      <c r="AB56" s="44">
        <f>'Propylene Recycling HC'!AA67*'Propylene Recycling HC'!AA45-'Propylene Recycling HC'!$C$67*'Propylene Recycling HC'!$C$45</f>
        <v>6.3602821045697491</v>
      </c>
      <c r="AC56" s="44">
        <f>'Propylene Recycling HC'!AB67*'Propylene Recycling HC'!AB45-'Propylene Recycling HC'!$C$67*'Propylene Recycling HC'!$C$45</f>
        <v>6.8621944297317423</v>
      </c>
      <c r="AD56" s="44">
        <f>'Propylene Recycling HC'!AC67*'Propylene Recycling HC'!AC45-'Propylene Recycling HC'!$C$67*'Propylene Recycling HC'!$C$45</f>
        <v>7.3738716867566563</v>
      </c>
      <c r="AE56" s="44">
        <f>'Propylene Recycling HC'!AD67*'Propylene Recycling HC'!AD45-'Propylene Recycling HC'!$C$67*'Propylene Recycling HC'!$C$45</f>
        <v>7.8949723389715452</v>
      </c>
      <c r="AF56" s="44">
        <f>'Propylene Recycling HC'!AE67*'Propylene Recycling HC'!AE45-'Propylene Recycling HC'!$C$67*'Propylene Recycling HC'!$C$45</f>
        <v>8.4251375281318559</v>
      </c>
      <c r="AG56" s="44">
        <f>'Propylene Recycling HC'!AF67*'Propylene Recycling HC'!AF45-'Propylene Recycling HC'!$C$67*'Propylene Recycling HC'!$C$45</f>
        <v>8.9639910188821226</v>
      </c>
      <c r="AH56" s="44">
        <f>'Propylene Recycling HC'!AG67*'Propylene Recycling HC'!AG45-'Propylene Recycling HC'!$C$67*'Propylene Recycling HC'!$C$45</f>
        <v>9.5111391574027486</v>
      </c>
    </row>
    <row r="57" spans="1:36" outlineLevel="1" x14ac:dyDescent="0.2">
      <c r="A57"/>
      <c r="B57" t="s">
        <v>226</v>
      </c>
      <c r="C57" s="54" t="s">
        <v>153</v>
      </c>
      <c r="D57" s="44">
        <f>0</f>
        <v>0</v>
      </c>
      <c r="E57" s="44">
        <f>'Propylene Recycling HC'!D104*'Propylene Recycling HC'!D48-'Propylene Recycling HC'!$C$104*'Propylene Recycling HC'!$C$48</f>
        <v>0</v>
      </c>
      <c r="F57" s="44">
        <f>'Propylene Recycling HC'!E104*'Propylene Recycling HC'!E48-'Propylene Recycling HC'!$C$104*'Propylene Recycling HC'!$C$48</f>
        <v>0</v>
      </c>
      <c r="G57" s="44">
        <f>'Propylene Recycling HC'!F104*'Propylene Recycling HC'!F48-'Propylene Recycling HC'!$C$104*'Propylene Recycling HC'!$C$48</f>
        <v>0</v>
      </c>
      <c r="H57" s="44">
        <f>'Propylene Recycling HC'!G104*'Propylene Recycling HC'!G48-'Propylene Recycling HC'!$C$104*'Propylene Recycling HC'!$C$48</f>
        <v>0</v>
      </c>
      <c r="I57" s="44">
        <f>'Propylene Recycling HC'!H104*'Propylene Recycling HC'!H48-'Propylene Recycling HC'!$C$104*'Propylene Recycling HC'!$C$48</f>
        <v>0</v>
      </c>
      <c r="J57" s="44">
        <f>'Propylene Recycling HC'!I104*'Propylene Recycling HC'!I48-'Propylene Recycling HC'!$C$104*'Propylene Recycling HC'!$C$48</f>
        <v>0</v>
      </c>
      <c r="K57" s="44">
        <f>'Propylene Recycling HC'!J104*'Propylene Recycling HC'!J48-'Propylene Recycling HC'!$C$104*'Propylene Recycling HC'!$C$48</f>
        <v>0</v>
      </c>
      <c r="L57" s="44">
        <f>'Propylene Recycling HC'!K104*'Propylene Recycling HC'!K48-'Propylene Recycling HC'!$C$104*'Propylene Recycling HC'!$C$48</f>
        <v>0</v>
      </c>
      <c r="M57" s="44">
        <f>'Propylene Recycling HC'!L104*'Propylene Recycling HC'!L48-'Propylene Recycling HC'!$C$104*'Propylene Recycling HC'!$C$48</f>
        <v>0</v>
      </c>
      <c r="N57" s="44">
        <f>'Propylene Recycling HC'!M104*'Propylene Recycling HC'!M48-'Propylene Recycling HC'!$C$104*'Propylene Recycling HC'!$C$48</f>
        <v>0</v>
      </c>
      <c r="O57" s="44">
        <f>'Propylene Recycling HC'!N104*'Propylene Recycling HC'!N48-'Propylene Recycling HC'!$C$104*'Propylene Recycling HC'!$C$48</f>
        <v>0</v>
      </c>
      <c r="P57" s="44">
        <f>'Propylene Recycling HC'!O104*'Propylene Recycling HC'!O48-'Propylene Recycling HC'!$C$104*'Propylene Recycling HC'!$C$48</f>
        <v>0</v>
      </c>
      <c r="Q57" s="44">
        <f>'Propylene Recycling HC'!P104*'Propylene Recycling HC'!P48-'Propylene Recycling HC'!$C$104*'Propylene Recycling HC'!$C$48</f>
        <v>0</v>
      </c>
      <c r="R57" s="44">
        <f>'Propylene Recycling HC'!Q104*'Propylene Recycling HC'!Q48-'Propylene Recycling HC'!$C$104*'Propylene Recycling HC'!$C$48</f>
        <v>0</v>
      </c>
      <c r="S57" s="44">
        <f>'Propylene Recycling HC'!R104*'Propylene Recycling HC'!R48-'Propylene Recycling HC'!$C$104*'Propylene Recycling HC'!$C$48</f>
        <v>0</v>
      </c>
      <c r="T57" s="44">
        <f>'Propylene Recycling HC'!S104*'Propylene Recycling HC'!S48-'Propylene Recycling HC'!$C$104*'Propylene Recycling HC'!$C$48</f>
        <v>0</v>
      </c>
      <c r="U57" s="44">
        <f>'Propylene Recycling HC'!T104*'Propylene Recycling HC'!T48-'Propylene Recycling HC'!$C$104*'Propylene Recycling HC'!$C$48</f>
        <v>0</v>
      </c>
      <c r="V57" s="44">
        <f>'Propylene Recycling HC'!U104*'Propylene Recycling HC'!U48-'Propylene Recycling HC'!$C$104*'Propylene Recycling HC'!$C$48</f>
        <v>0</v>
      </c>
      <c r="W57" s="44">
        <f>'Propylene Recycling HC'!V104*'Propylene Recycling HC'!V48-'Propylene Recycling HC'!$C$104*'Propylene Recycling HC'!$C$48</f>
        <v>0</v>
      </c>
      <c r="X57" s="44">
        <f>'Propylene Recycling HC'!W104*'Propylene Recycling HC'!W48-'Propylene Recycling HC'!$C$104*'Propylene Recycling HC'!$C$48</f>
        <v>0</v>
      </c>
      <c r="Y57" s="44">
        <f>'Propylene Recycling HC'!X104*'Propylene Recycling HC'!X48-'Propylene Recycling HC'!$C$104*'Propylene Recycling HC'!$C$48</f>
        <v>0</v>
      </c>
      <c r="Z57" s="44">
        <f>'Propylene Recycling HC'!Y104*'Propylene Recycling HC'!Y48-'Propylene Recycling HC'!$C$104*'Propylene Recycling HC'!$C$48</f>
        <v>0</v>
      </c>
      <c r="AA57" s="44">
        <f>'Propylene Recycling HC'!Z104*'Propylene Recycling HC'!Z48-'Propylene Recycling HC'!$C$104*'Propylene Recycling HC'!$C$48</f>
        <v>0</v>
      </c>
      <c r="AB57" s="44">
        <f>'Propylene Recycling HC'!AA104*'Propylene Recycling HC'!AA48-'Propylene Recycling HC'!$C$104*'Propylene Recycling HC'!$C$48</f>
        <v>0</v>
      </c>
      <c r="AC57" s="44">
        <f>'Propylene Recycling HC'!AB104*'Propylene Recycling HC'!AB48-'Propylene Recycling HC'!$C$104*'Propylene Recycling HC'!$C$48</f>
        <v>0</v>
      </c>
      <c r="AD57" s="44">
        <f>'Propylene Recycling HC'!AC104*'Propylene Recycling HC'!AC48-'Propylene Recycling HC'!$C$104*'Propylene Recycling HC'!$C$48</f>
        <v>0</v>
      </c>
      <c r="AE57" s="44">
        <f>'Propylene Recycling HC'!AD104*'Propylene Recycling HC'!AD48-'Propylene Recycling HC'!$C$104*'Propylene Recycling HC'!$C$48</f>
        <v>0</v>
      </c>
      <c r="AF57" s="44">
        <f>'Propylene Recycling HC'!AE104*'Propylene Recycling HC'!AE48-'Propylene Recycling HC'!$C$104*'Propylene Recycling HC'!$C$48</f>
        <v>0</v>
      </c>
      <c r="AG57" s="44">
        <f>'Propylene Recycling HC'!AF104*'Propylene Recycling HC'!AF48-'Propylene Recycling HC'!$C$104*'Propylene Recycling HC'!$C$48</f>
        <v>0</v>
      </c>
      <c r="AH57" s="44">
        <f>'Propylene Recycling HC'!AG104*'Propylene Recycling HC'!AG48-'Propylene Recycling HC'!$C$104*'Propylene Recycling HC'!$C$48</f>
        <v>0</v>
      </c>
    </row>
    <row r="58" spans="1:36" outlineLevel="1" x14ac:dyDescent="0.2">
      <c r="A58" s="181"/>
      <c r="B58" s="181" t="s">
        <v>218</v>
      </c>
      <c r="C58" s="176" t="s">
        <v>153</v>
      </c>
      <c r="D58" s="238">
        <f>0</f>
        <v>0</v>
      </c>
      <c r="E58" s="238">
        <f>'Propylene Recycling HC'!D89*'Propylene Recycling HC'!D46-'Propylene Recycling HC'!$C$89*'Propylene Recycling HC'!$C$46</f>
        <v>3.6732205051899919E-2</v>
      </c>
      <c r="F58" s="238">
        <f>'Propylene Recycling HC'!E89*'Propylene Recycling HC'!E46-'Propylene Recycling HC'!$C$89*'Propylene Recycling HC'!$C$46</f>
        <v>7.3086485923120587E-2</v>
      </c>
      <c r="G58" s="238">
        <f>'Propylene Recycling HC'!F89*'Propylene Recycling HC'!F46-'Propylene Recycling HC'!$C$89*'Propylene Recycling HC'!$C$46</f>
        <v>0.10868989433771881</v>
      </c>
      <c r="H58" s="238">
        <f>'Propylene Recycling HC'!G89*'Propylene Recycling HC'!G46-'Propylene Recycling HC'!$C$89*'Propylene Recycling HC'!$C$46</f>
        <v>0.14317080633662144</v>
      </c>
      <c r="I58" s="238">
        <f>'Propylene Recycling HC'!H89*'Propylene Recycling HC'!H46-'Propylene Recycling HC'!$C$89*'Propylene Recycling HC'!$C$46</f>
        <v>0.17616469990404093</v>
      </c>
      <c r="J58" s="238">
        <f>'Propylene Recycling HC'!I89*'Propylene Recycling HC'!I46-'Propylene Recycling HC'!$C$89*'Propylene Recycling HC'!$C$46</f>
        <v>0.20807657134446234</v>
      </c>
      <c r="K58" s="238">
        <f>'Propylene Recycling HC'!J89*'Propylene Recycling HC'!J46-'Propylene Recycling HC'!$C$89*'Propylene Recycling HC'!$C$46</f>
        <v>0.23876525158561018</v>
      </c>
      <c r="L58" s="238">
        <f>'Propylene Recycling HC'!K89*'Propylene Recycling HC'!K46-'Propylene Recycling HC'!$C$89*'Propylene Recycling HC'!$C$46</f>
        <v>0.26808825813427029</v>
      </c>
      <c r="M58" s="238">
        <f>'Propylene Recycling HC'!L89*'Propylene Recycling HC'!L46-'Propylene Recycling HC'!$C$89*'Propylene Recycling HC'!$C$46</f>
        <v>0.29590220779799919</v>
      </c>
      <c r="N58" s="238">
        <f>'Propylene Recycling HC'!M89*'Propylene Recycling HC'!M46-'Propylene Recycling HC'!$C$89*'Propylene Recycling HC'!$C$46</f>
        <v>0.32206324474578285</v>
      </c>
      <c r="O58" s="238">
        <f>'Propylene Recycling HC'!N89*'Propylene Recycling HC'!N46-'Propylene Recycling HC'!$C$89*'Propylene Recycling HC'!$C$46</f>
        <v>0.38185478305756887</v>
      </c>
      <c r="P58" s="238">
        <f>'Propylene Recycling HC'!O89*'Propylene Recycling HC'!O46-'Propylene Recycling HC'!$C$89*'Propylene Recycling HC'!$C$46</f>
        <v>0.43729170668977663</v>
      </c>
      <c r="Q58" s="238">
        <f>'Propylene Recycling HC'!P89*'Propylene Recycling HC'!P46-'Propylene Recycling HC'!$C$89*'Propylene Recycling HC'!$C$46</f>
        <v>0.48571786356829011</v>
      </c>
      <c r="R58" s="238">
        <f>'Propylene Recycling HC'!Q89*'Propylene Recycling HC'!Q46-'Propylene Recycling HC'!$C$89*'Propylene Recycling HC'!$C$46</f>
        <v>0.52850437791511506</v>
      </c>
      <c r="S58" s="238">
        <f>'Propylene Recycling HC'!R89*'Propylene Recycling HC'!R46-'Propylene Recycling HC'!$C$89*'Propylene Recycling HC'!$C$46</f>
        <v>0.56529382709594711</v>
      </c>
      <c r="T58" s="238">
        <f>'Propylene Recycling HC'!S89*'Propylene Recycling HC'!S46-'Propylene Recycling HC'!$C$89*'Propylene Recycling HC'!$C$46</f>
        <v>0.59712047611653807</v>
      </c>
      <c r="U58" s="238">
        <f>'Propylene Recycling HC'!T89*'Propylene Recycling HC'!T46-'Propylene Recycling HC'!$C$89*'Propylene Recycling HC'!$C$46</f>
        <v>0.62389056822565525</v>
      </c>
      <c r="V58" s="238">
        <f>'Propylene Recycling HC'!U89*'Propylene Recycling HC'!U46-'Propylene Recycling HC'!$C$89*'Propylene Recycling HC'!$C$46</f>
        <v>0.6455134558493254</v>
      </c>
      <c r="W58" s="238">
        <f>'Propylene Recycling HC'!V89*'Propylene Recycling HC'!V46-'Propylene Recycling HC'!$C$89*'Propylene Recycling HC'!$C$46</f>
        <v>0.66190171482549243</v>
      </c>
      <c r="X58" s="238">
        <f>'Propylene Recycling HC'!W89*'Propylene Recycling HC'!W46-'Propylene Recycling HC'!$C$89*'Propylene Recycling HC'!$C$46</f>
        <v>0.67297125656554657</v>
      </c>
      <c r="Y58" s="238">
        <f>'Propylene Recycling HC'!X89*'Propylene Recycling HC'!X46-'Propylene Recycling HC'!$C$89*'Propylene Recycling HC'!$C$46</f>
        <v>0.7100204956688414</v>
      </c>
      <c r="Z58" s="238">
        <f>'Propylene Recycling HC'!Y89*'Propylene Recycling HC'!Y46-'Propylene Recycling HC'!$C$89*'Propylene Recycling HC'!$C$46</f>
        <v>0.73825190606943281</v>
      </c>
      <c r="AA58" s="238">
        <f>'Propylene Recycling HC'!Z89*'Propylene Recycling HC'!Z46-'Propylene Recycling HC'!$C$89*'Propylene Recycling HC'!$C$46</f>
        <v>0.7501319464569236</v>
      </c>
      <c r="AB58" s="238">
        <f>'Propylene Recycling HC'!AA89*'Propylene Recycling HC'!AA46-'Propylene Recycling HC'!$C$89*'Propylene Recycling HC'!$C$46</f>
        <v>0.75269310928415645</v>
      </c>
      <c r="AC58" s="238">
        <f>'Propylene Recycling HC'!AB89*'Propylene Recycling HC'!AB46-'Propylene Recycling HC'!$C$89*'Propylene Recycling HC'!$C$46</f>
        <v>0.74604179704279128</v>
      </c>
      <c r="AD58" s="238">
        <f>'Propylene Recycling HC'!AC89*'Propylene Recycling HC'!AC46-'Propylene Recycling HC'!$C$89*'Propylene Recycling HC'!$C$46</f>
        <v>0.73030680052429764</v>
      </c>
      <c r="AE58" s="238">
        <f>'Propylene Recycling HC'!AD89*'Propylene Recycling HC'!AD46-'Propylene Recycling HC'!$C$89*'Propylene Recycling HC'!$C$46</f>
        <v>0.70562201029945459</v>
      </c>
      <c r="AF58" s="238">
        <f>'Propylene Recycling HC'!AE89*'Propylene Recycling HC'!AE46-'Propylene Recycling HC'!$C$89*'Propylene Recycling HC'!$C$46</f>
        <v>0.67213476480935608</v>
      </c>
      <c r="AG58" s="238">
        <f>'Propylene Recycling HC'!AF89*'Propylene Recycling HC'!AF46-'Propylene Recycling HC'!$C$89*'Propylene Recycling HC'!$C$46</f>
        <v>0.63000574187189895</v>
      </c>
      <c r="AH58" s="238">
        <f>'Propylene Recycling HC'!AG89*'Propylene Recycling HC'!AG46-'Propylene Recycling HC'!$C$89*'Propylene Recycling HC'!$C$46</f>
        <v>0.57940882993499088</v>
      </c>
    </row>
    <row r="59" spans="1:36" s="68" customFormat="1" x14ac:dyDescent="0.2">
      <c r="A59" s="239"/>
      <c r="B59" s="239" t="s">
        <v>219</v>
      </c>
      <c r="C59" s="240" t="s">
        <v>153</v>
      </c>
      <c r="D59" s="241">
        <f>D54-D55-D56-D57-D58</f>
        <v>12.379169704702877</v>
      </c>
      <c r="E59" s="241">
        <f t="shared" ref="E59:AH59" si="24">E54-E55-E56-E57-E58</f>
        <v>12.182196884529915</v>
      </c>
      <c r="F59" s="241">
        <f t="shared" si="24"/>
        <v>11.975770409580406</v>
      </c>
      <c r="G59" s="241">
        <f t="shared" si="24"/>
        <v>11.760798632193907</v>
      </c>
      <c r="H59" s="241">
        <f t="shared" si="24"/>
        <v>11.538280120426156</v>
      </c>
      <c r="I59" s="241">
        <f t="shared" si="24"/>
        <v>11.309292704189513</v>
      </c>
      <c r="J59" s="241">
        <f t="shared" si="24"/>
        <v>11.069051676321008</v>
      </c>
      <c r="K59" s="241">
        <f t="shared" si="24"/>
        <v>10.81746982324359</v>
      </c>
      <c r="L59" s="241">
        <f t="shared" si="24"/>
        <v>10.554471972862807</v>
      </c>
      <c r="M59" s="241">
        <f t="shared" si="24"/>
        <v>10.279995211378409</v>
      </c>
      <c r="N59" s="241">
        <f t="shared" si="24"/>
        <v>9.9939890563058196</v>
      </c>
      <c r="O59" s="241">
        <f t="shared" si="24"/>
        <v>9.558380316492574</v>
      </c>
      <c r="P59" s="241">
        <f t="shared" si="24"/>
        <v>9.1114638923606197</v>
      </c>
      <c r="Q59" s="241">
        <f t="shared" si="24"/>
        <v>8.6624083215491368</v>
      </c>
      <c r="R59" s="241">
        <f t="shared" si="24"/>
        <v>8.2085321141460206</v>
      </c>
      <c r="S59" s="241">
        <f t="shared" si="24"/>
        <v>7.7518052023768051</v>
      </c>
      <c r="T59" s="241">
        <f t="shared" si="24"/>
        <v>7.2837212137902974</v>
      </c>
      <c r="U59" s="241">
        <f t="shared" si="24"/>
        <v>6.8042837725075334</v>
      </c>
      <c r="V59" s="241">
        <f t="shared" si="24"/>
        <v>6.3135005664454997</v>
      </c>
      <c r="W59" s="241">
        <f t="shared" si="24"/>
        <v>5.8113832515598736</v>
      </c>
      <c r="X59" s="241">
        <f t="shared" si="24"/>
        <v>5.2979473456521582</v>
      </c>
      <c r="Y59" s="241">
        <f t="shared" si="24"/>
        <v>4.6072642344822352</v>
      </c>
      <c r="Z59" s="241">
        <f t="shared" si="24"/>
        <v>3.8682872268210486</v>
      </c>
      <c r="AA59" s="241">
        <f t="shared" si="24"/>
        <v>3.1222244769960388</v>
      </c>
      <c r="AB59" s="241">
        <f t="shared" si="24"/>
        <v>2.3620259261445362</v>
      </c>
      <c r="AC59" s="241">
        <f t="shared" si="24"/>
        <v>1.5875803947039606</v>
      </c>
      <c r="AD59" s="241">
        <f t="shared" si="24"/>
        <v>0.7986724267277272</v>
      </c>
      <c r="AE59" s="241">
        <f t="shared" si="24"/>
        <v>-4.8291736257946027E-3</v>
      </c>
      <c r="AF59" s="241">
        <f t="shared" si="24"/>
        <v>-0.82305710336765525</v>
      </c>
      <c r="AG59" s="241">
        <f t="shared" si="24"/>
        <v>-1.6561454681534944</v>
      </c>
      <c r="AH59" s="241">
        <f t="shared" si="24"/>
        <v>-2.5042296859395874</v>
      </c>
    </row>
    <row r="60" spans="1:36" x14ac:dyDescent="0.2">
      <c r="A60" s="178" t="s">
        <v>225</v>
      </c>
      <c r="B60" s="242" t="s">
        <v>197</v>
      </c>
      <c r="C60" s="243" t="s">
        <v>153</v>
      </c>
      <c r="D60" s="180">
        <f>D35+D38</f>
        <v>35.064810426540291</v>
      </c>
      <c r="E60" s="180">
        <f t="shared" ref="E60:AH60" si="25">E35+E38</f>
        <v>35.878404969604098</v>
      </c>
      <c r="F60" s="180">
        <f t="shared" si="25"/>
        <v>36.703868943549608</v>
      </c>
      <c r="G60" s="180">
        <f t="shared" si="25"/>
        <v>37.541268869658616</v>
      </c>
      <c r="H60" s="180">
        <f t="shared" si="25"/>
        <v>38.390668173190086</v>
      </c>
      <c r="I60" s="180">
        <f t="shared" si="25"/>
        <v>39.252127021063615</v>
      </c>
      <c r="J60" s="180">
        <f t="shared" si="25"/>
        <v>39.913723889954134</v>
      </c>
      <c r="K60" s="180">
        <f t="shared" si="25"/>
        <v>40.582436063730526</v>
      </c>
      <c r="L60" s="180">
        <f t="shared" si="25"/>
        <v>41.25825354124688</v>
      </c>
      <c r="M60" s="180">
        <f t="shared" si="25"/>
        <v>41.941162982948761</v>
      </c>
      <c r="N60" s="180">
        <f t="shared" si="25"/>
        <v>42.631147585176286</v>
      </c>
      <c r="O60" s="180">
        <f t="shared" si="25"/>
        <v>42.209255839573288</v>
      </c>
      <c r="P60" s="180">
        <f t="shared" si="25"/>
        <v>41.780189151259023</v>
      </c>
      <c r="Q60" s="180">
        <f t="shared" si="25"/>
        <v>41.343936900469494</v>
      </c>
      <c r="R60" s="180">
        <f t="shared" si="25"/>
        <v>40.900490563353316</v>
      </c>
      <c r="S60" s="180">
        <f t="shared" si="25"/>
        <v>40.449843783706896</v>
      </c>
      <c r="T60" s="180">
        <f t="shared" si="25"/>
        <v>39.942034487724065</v>
      </c>
      <c r="U60" s="180">
        <f t="shared" si="25"/>
        <v>39.426873977492242</v>
      </c>
      <c r="V60" s="180">
        <f t="shared" si="25"/>
        <v>38.904370837863745</v>
      </c>
      <c r="W60" s="180">
        <f t="shared" si="25"/>
        <v>38.374536338634684</v>
      </c>
      <c r="X60" s="180">
        <f t="shared" si="25"/>
        <v>37.837384519086839</v>
      </c>
      <c r="Y60" s="180">
        <f t="shared" si="25"/>
        <v>37.238229401460558</v>
      </c>
      <c r="Z60" s="180">
        <f t="shared" si="25"/>
        <v>36.631867289471529</v>
      </c>
      <c r="AA60" s="180">
        <f t="shared" si="25"/>
        <v>36.018337813561836</v>
      </c>
      <c r="AB60" s="180">
        <f t="shared" si="25"/>
        <v>35.397684165042421</v>
      </c>
      <c r="AC60" s="180">
        <f t="shared" si="25"/>
        <v>34.769953199505473</v>
      </c>
      <c r="AD60" s="180">
        <f t="shared" si="25"/>
        <v>34.092784660706108</v>
      </c>
      <c r="AE60" s="180">
        <f t="shared" si="25"/>
        <v>33.408654103966896</v>
      </c>
      <c r="AF60" s="180">
        <f t="shared" si="25"/>
        <v>32.717628758112333</v>
      </c>
      <c r="AG60" s="180">
        <f t="shared" si="25"/>
        <v>32.019780143010713</v>
      </c>
      <c r="AH60" s="180">
        <f t="shared" si="25"/>
        <v>31.315184188209628</v>
      </c>
    </row>
    <row r="61" spans="1:36" x14ac:dyDescent="0.2">
      <c r="A61" s="178"/>
      <c r="B61" s="181" t="s">
        <v>217</v>
      </c>
      <c r="C61" s="176" t="s">
        <v>153</v>
      </c>
      <c r="D61" s="238">
        <f>0</f>
        <v>0</v>
      </c>
      <c r="E61" s="238">
        <f>'Propylene Recycling HC'!D114*'Propylene Recycling HC'!D49-'Propylene Recycling HC'!$C$114*'Propylene Recycling HC'!$C$49</f>
        <v>0.14294018050629442</v>
      </c>
      <c r="F61" s="238">
        <f>'Propylene Recycling HC'!E114*'Propylene Recycling HC'!E49-'Propylene Recycling HC'!$C$114*'Propylene Recycling HC'!$C$49</f>
        <v>0.28803932040275337</v>
      </c>
      <c r="G61" s="238">
        <f>'Propylene Recycling HC'!F114*'Propylene Recycling HC'!F49-'Propylene Recycling HC'!$C$114*'Propylene Recycling HC'!$C$49</f>
        <v>0.43445206743974407</v>
      </c>
      <c r="H61" s="238">
        <f>'Propylene Recycling HC'!G114*'Propylene Recycling HC'!G49-'Propylene Recycling HC'!$C$114*'Propylene Recycling HC'!$C$49</f>
        <v>0.58128103877983217</v>
      </c>
      <c r="I61" s="238">
        <f>'Propylene Recycling HC'!H114*'Propylene Recycling HC'!H49-'Propylene Recycling HC'!$C$114*'Propylene Recycling HC'!$C$49</f>
        <v>0.72758569101816151</v>
      </c>
      <c r="J61" s="238">
        <f>'Propylene Recycling HC'!I114*'Propylene Recycling HC'!I49-'Propylene Recycling HC'!$C$114*'Propylene Recycling HC'!$C$49</f>
        <v>0.8605664661661947</v>
      </c>
      <c r="K61" s="238">
        <f>'Propylene Recycling HC'!J114*'Propylene Recycling HC'!J49-'Propylene Recycling HC'!$C$114*'Propylene Recycling HC'!$C$49</f>
        <v>0.99568853030522653</v>
      </c>
      <c r="L61" s="238">
        <f>'Propylene Recycling HC'!K114*'Propylene Recycling HC'!K49-'Propylene Recycling HC'!$C$114*'Propylene Recycling HC'!$C$49</f>
        <v>1.1328182326992475</v>
      </c>
      <c r="M61" s="238">
        <f>'Propylene Recycling HC'!L114*'Propylene Recycling HC'!L49-'Propylene Recycling HC'!$C$114*'Propylene Recycling HC'!$C$49</f>
        <v>1.2718144696508042</v>
      </c>
      <c r="N61" s="238">
        <f>'Propylene Recycling HC'!M114*'Propylene Recycling HC'!M49-'Propylene Recycling HC'!$C$114*'Propylene Recycling HC'!$C$49</f>
        <v>1.4125288488210199</v>
      </c>
      <c r="O61" s="238">
        <f>'Propylene Recycling HC'!N114*'Propylene Recycling HC'!N49-'Propylene Recycling HC'!$C$114*'Propylene Recycling HC'!$C$49</f>
        <v>1.6614592762078761</v>
      </c>
      <c r="P61" s="238">
        <f>'Propylene Recycling HC'!O114*'Propylene Recycling HC'!O49-'Propylene Recycling HC'!$C$114*'Propylene Recycling HC'!$C$49</f>
        <v>1.9085487921043478</v>
      </c>
      <c r="Q61" s="238">
        <f>'Propylene Recycling HC'!P114*'Propylene Recycling HC'!P49-'Propylene Recycling HC'!$C$114*'Propylene Recycling HC'!$C$49</f>
        <v>2.1524033126171673</v>
      </c>
      <c r="R61" s="238">
        <f>'Propylene Recycling HC'!Q114*'Propylene Recycling HC'!Q49-'Propylene Recycling HC'!$C$114*'Propylene Recycling HC'!$C$49</f>
        <v>2.3916206322040541</v>
      </c>
      <c r="S61" s="238">
        <f>'Propylene Recycling HC'!R114*'Propylene Recycling HC'!R49-'Propylene Recycling HC'!$C$114*'Propylene Recycling HC'!$C$49</f>
        <v>2.6248036575947724</v>
      </c>
      <c r="T61" s="238">
        <f>'Propylene Recycling HC'!S114*'Propylene Recycling HC'!S49-'Propylene Recycling HC'!$C$114*'Propylene Recycling HC'!$C$49</f>
        <v>2.8589184571425204</v>
      </c>
      <c r="U61" s="238">
        <f>'Propylene Recycling HC'!T114*'Propylene Recycling HC'!T49-'Propylene Recycling HC'!$C$114*'Propylene Recycling HC'!$C$49</f>
        <v>3.0938576303901222</v>
      </c>
      <c r="V61" s="238">
        <f>'Propylene Recycling HC'!U114*'Propylene Recycling HC'!U49-'Propylene Recycling HC'!$C$114*'Propylene Recycling HC'!$C$49</f>
        <v>3.3295118437091169</v>
      </c>
      <c r="W61" s="238">
        <f>'Propylene Recycling HC'!V114*'Propylene Recycling HC'!V49-'Propylene Recycling HC'!$C$114*'Propylene Recycling HC'!$C$49</f>
        <v>3.5657698823407822</v>
      </c>
      <c r="X61" s="238">
        <f>'Propylene Recycling HC'!W114*'Propylene Recycling HC'!W49-'Propylene Recycling HC'!$C$114*'Propylene Recycling HC'!$C$49</f>
        <v>3.802518704678584</v>
      </c>
      <c r="Y61" s="238">
        <f>'Propylene Recycling HC'!X114*'Propylene Recycling HC'!X49-'Propylene Recycling HC'!$C$114*'Propylene Recycling HC'!$C$49</f>
        <v>4.1890569849053563</v>
      </c>
      <c r="Z61" s="238">
        <f>'Propylene Recycling HC'!Y114*'Propylene Recycling HC'!Y49-'Propylene Recycling HC'!$C$114*'Propylene Recycling HC'!$C$49</f>
        <v>4.5767011449735309</v>
      </c>
      <c r="AA61" s="238">
        <f>'Propylene Recycling HC'!Z114*'Propylene Recycling HC'!Z49-'Propylene Recycling HC'!$C$114*'Propylene Recycling HC'!$C$49</f>
        <v>4.965274540677985</v>
      </c>
      <c r="AB61" s="238">
        <f>'Propylene Recycling HC'!AA114*'Propylene Recycling HC'!AA49-'Propylene Recycling HC'!$C$114*'Propylene Recycling HC'!$C$49</f>
        <v>5.3545977513362866</v>
      </c>
      <c r="AC61" s="238">
        <f>'Propylene Recycling HC'!AB114*'Propylene Recycling HC'!AB49-'Propylene Recycling HC'!$C$114*'Propylene Recycling HC'!$C$49</f>
        <v>5.7444886616606681</v>
      </c>
      <c r="AD61" s="238">
        <f>'Propylene Recycling HC'!AC114*'Propylene Recycling HC'!AC49-'Propylene Recycling HC'!$C$114*'Propylene Recycling HC'!$C$49</f>
        <v>6.1329994779317962</v>
      </c>
      <c r="AE61" s="238">
        <f>'Propylene Recycling HC'!AD114*'Propylene Recycling HC'!AD49-'Propylene Recycling HC'!$C$114*'Propylene Recycling HC'!$C$49</f>
        <v>6.5215808656420622</v>
      </c>
      <c r="AF61" s="238">
        <f>'Propylene Recycling HC'!AE114*'Propylene Recycling HC'!AE49-'Propylene Recycling HC'!$C$114*'Propylene Recycling HC'!$C$49</f>
        <v>6.9100493481307899</v>
      </c>
      <c r="AG61" s="238">
        <f>'Propylene Recycling HC'!AF114*'Propylene Recycling HC'!AF49-'Propylene Recycling HC'!$C$114*'Propylene Recycling HC'!$C$49</f>
        <v>7.2982191316670617</v>
      </c>
      <c r="AH61" s="238">
        <f>'Propylene Recycling HC'!AG114*'Propylene Recycling HC'!AG49-'Propylene Recycling HC'!$C$114*'Propylene Recycling HC'!$C$49</f>
        <v>7.68590218748274</v>
      </c>
    </row>
    <row r="62" spans="1:36" outlineLevel="1" x14ac:dyDescent="0.2">
      <c r="A62"/>
      <c r="B62" t="s">
        <v>222</v>
      </c>
      <c r="C62" s="54" t="s">
        <v>153</v>
      </c>
      <c r="D62" s="44">
        <f>0</f>
        <v>0</v>
      </c>
      <c r="E62" s="44">
        <f>'Propylene Recycling HC'!D66*'Propylene Recycling HC'!D45-'Propylene Recycling HC'!$C$66*'Propylene Recycling HC'!$C$45</f>
        <v>3.3380176580130649E-2</v>
      </c>
      <c r="F62" s="44">
        <f>'Propylene Recycling HC'!E66*'Propylene Recycling HC'!E45-'Propylene Recycling HC'!$C$66*'Propylene Recycling HC'!$C$45</f>
        <v>6.7904719127776458E-2</v>
      </c>
      <c r="G62" s="44">
        <f>'Propylene Recycling HC'!F66*'Propylene Recycling HC'!F45-'Propylene Recycling HC'!$C$66*'Propylene Recycling HC'!$C$45</f>
        <v>0.10340509250401264</v>
      </c>
      <c r="H62" s="44">
        <f>'Propylene Recycling HC'!G66*'Propylene Recycling HC'!G45-'Propylene Recycling HC'!$C$66*'Propylene Recycling HC'!$C$45</f>
        <v>0.13969236379753974</v>
      </c>
      <c r="I62" s="44">
        <f>'Propylene Recycling HC'!H66*'Propylene Recycling HC'!H45-'Propylene Recycling HC'!$C$66*'Propylene Recycling HC'!$C$45</f>
        <v>0.17655863034659974</v>
      </c>
      <c r="J62" s="44">
        <f>'Propylene Recycling HC'!I66*'Propylene Recycling HC'!I45-'Propylene Recycling HC'!$C$66*'Propylene Recycling HC'!$C$45</f>
        <v>0.21502711343000774</v>
      </c>
      <c r="K62" s="44">
        <f>'Propylene Recycling HC'!J66*'Propylene Recycling HC'!J45-'Propylene Recycling HC'!$C$66*'Propylene Recycling HC'!$C$45</f>
        <v>0.25510654023791884</v>
      </c>
      <c r="L62" s="44">
        <f>'Propylene Recycling HC'!K66*'Propylene Recycling HC'!K45-'Propylene Recycling HC'!$C$66*'Propylene Recycling HC'!$C$45</f>
        <v>0.29680225838001278</v>
      </c>
      <c r="M62" s="44">
        <f>'Propylene Recycling HC'!L66*'Propylene Recycling HC'!L45-'Propylene Recycling HC'!$C$66*'Propylene Recycling HC'!$C$45</f>
        <v>0.34011609746106725</v>
      </c>
      <c r="N62" s="44">
        <f>'Propylene Recycling HC'!M66*'Propylene Recycling HC'!M45-'Propylene Recycling HC'!$C$66*'Propylene Recycling HC'!$C$45</f>
        <v>0.38504623787980879</v>
      </c>
      <c r="O62" s="44">
        <f>'Propylene Recycling HC'!N66*'Propylene Recycling HC'!N45-'Propylene Recycling HC'!$C$66*'Propylene Recycling HC'!$C$45</f>
        <v>0.45368784881298135</v>
      </c>
      <c r="P62" s="44">
        <f>'Propylene Recycling HC'!O66*'Propylene Recycling HC'!O45-'Propylene Recycling HC'!$C$66*'Propylene Recycling HC'!$C$45</f>
        <v>0.52422683934953218</v>
      </c>
      <c r="Q62" s="44">
        <f>'Propylene Recycling HC'!P66*'Propylene Recycling HC'!P45-'Propylene Recycling HC'!$C$66*'Propylene Recycling HC'!$C$45</f>
        <v>0.59501824483069465</v>
      </c>
      <c r="R62" s="44">
        <f>'Propylene Recycling HC'!Q66*'Propylene Recycling HC'!Q45-'Propylene Recycling HC'!$C$66*'Propylene Recycling HC'!$C$45</f>
        <v>0.66637813363435772</v>
      </c>
      <c r="S62" s="44">
        <f>'Propylene Recycling HC'!R66*'Propylene Recycling HC'!R45-'Propylene Recycling HC'!$C$66*'Propylene Recycling HC'!$C$45</f>
        <v>0.7378970844361592</v>
      </c>
      <c r="T62" s="44">
        <f>'Propylene Recycling HC'!S66*'Propylene Recycling HC'!S45-'Propylene Recycling HC'!$C$66*'Propylene Recycling HC'!$C$45</f>
        <v>0.81126505252361603</v>
      </c>
      <c r="U62" s="44">
        <f>'Propylene Recycling HC'!T66*'Propylene Recycling HC'!T45-'Propylene Recycling HC'!$C$66*'Propylene Recycling HC'!$C$45</f>
        <v>0.88644356798124346</v>
      </c>
      <c r="V62" s="44">
        <f>'Propylene Recycling HC'!U66*'Propylene Recycling HC'!U45-'Propylene Recycling HC'!$C$66*'Propylene Recycling HC'!$C$45</f>
        <v>0.96339128906348215</v>
      </c>
      <c r="W62" s="44">
        <f>'Propylene Recycling HC'!V66*'Propylene Recycling HC'!V45-'Propylene Recycling HC'!$C$66*'Propylene Recycling HC'!$C$45</f>
        <v>1.0420639825551969</v>
      </c>
      <c r="X62" s="44">
        <f>'Propylene Recycling HC'!W66*'Propylene Recycling HC'!W45-'Propylene Recycling HC'!$C$66*'Propylene Recycling HC'!$C$45</f>
        <v>1.1224145068260727</v>
      </c>
      <c r="Y62" s="44">
        <f>'Propylene Recycling HC'!X66*'Propylene Recycling HC'!X45-'Propylene Recycling HC'!$C$66*'Propylene Recycling HC'!$C$45</f>
        <v>1.2289827428000173</v>
      </c>
      <c r="Z62" s="44">
        <f>'Propylene Recycling HC'!Y66*'Propylene Recycling HC'!Y45-'Propylene Recycling HC'!$C$66*'Propylene Recycling HC'!$C$45</f>
        <v>1.3467095965458806</v>
      </c>
      <c r="AA62" s="44">
        <f>'Propylene Recycling HC'!Z66*'Propylene Recycling HC'!Z45-'Propylene Recycling HC'!$C$66*'Propylene Recycling HC'!$C$45</f>
        <v>1.4670974525669644</v>
      </c>
      <c r="AB62" s="44">
        <f>'Propylene Recycling HC'!AA66*'Propylene Recycling HC'!AA45-'Propylene Recycling HC'!$C$66*'Propylene Recycling HC'!$C$45</f>
        <v>1.5900705261424373</v>
      </c>
      <c r="AC62" s="44">
        <f>'Propylene Recycling HC'!AB66*'Propylene Recycling HC'!AB45-'Propylene Recycling HC'!$C$66*'Propylene Recycling HC'!$C$45</f>
        <v>1.7155486074329356</v>
      </c>
      <c r="AD62" s="44">
        <f>'Propylene Recycling HC'!AC66*'Propylene Recycling HC'!AC45-'Propylene Recycling HC'!$C$66*'Propylene Recycling HC'!$C$45</f>
        <v>1.8434679216891641</v>
      </c>
      <c r="AE62" s="44">
        <f>'Propylene Recycling HC'!AD66*'Propylene Recycling HC'!AD45-'Propylene Recycling HC'!$C$66*'Propylene Recycling HC'!$C$45</f>
        <v>1.9737430847428863</v>
      </c>
      <c r="AF62" s="44">
        <f>'Propylene Recycling HC'!AE66*'Propylene Recycling HC'!AE45-'Propylene Recycling HC'!$C$66*'Propylene Recycling HC'!$C$45</f>
        <v>2.106284382032964</v>
      </c>
      <c r="AG62" s="44">
        <f>'Propylene Recycling HC'!AF66*'Propylene Recycling HC'!AF45-'Propylene Recycling HC'!$C$66*'Propylene Recycling HC'!$C$45</f>
        <v>2.2409977547205306</v>
      </c>
      <c r="AH62" s="44">
        <f>'Propylene Recycling HC'!AG66*'Propylene Recycling HC'!AG45-'Propylene Recycling HC'!$C$66*'Propylene Recycling HC'!$C$45</f>
        <v>2.3777847893506872</v>
      </c>
    </row>
    <row r="63" spans="1:36" outlineLevel="1" x14ac:dyDescent="0.2">
      <c r="A63"/>
      <c r="B63" t="s">
        <v>226</v>
      </c>
      <c r="C63" s="54" t="s">
        <v>153</v>
      </c>
      <c r="D63" s="44">
        <f>0</f>
        <v>0</v>
      </c>
      <c r="E63" s="44">
        <f>'Propylene Recycling HC'!D105*'Propylene Recycling HC'!D48-'Propylene Recycling HC'!$C$105*'Propylene Recycling HC'!$C$48</f>
        <v>0</v>
      </c>
      <c r="F63" s="44">
        <f>'Propylene Recycling HC'!E105*'Propylene Recycling HC'!E48-'Propylene Recycling HC'!$C$105*'Propylene Recycling HC'!$C$48</f>
        <v>0</v>
      </c>
      <c r="G63" s="44">
        <f>'Propylene Recycling HC'!F105*'Propylene Recycling HC'!F48-'Propylene Recycling HC'!$C$105*'Propylene Recycling HC'!$C$48</f>
        <v>0</v>
      </c>
      <c r="H63" s="44">
        <f>'Propylene Recycling HC'!G105*'Propylene Recycling HC'!G48-'Propylene Recycling HC'!$C$105*'Propylene Recycling HC'!$C$48</f>
        <v>0</v>
      </c>
      <c r="I63" s="44">
        <f>'Propylene Recycling HC'!H105*'Propylene Recycling HC'!H48-'Propylene Recycling HC'!$C$105*'Propylene Recycling HC'!$C$48</f>
        <v>0</v>
      </c>
      <c r="J63" s="44">
        <f>'Propylene Recycling HC'!I105*'Propylene Recycling HC'!I48-'Propylene Recycling HC'!$C$105*'Propylene Recycling HC'!$C$48</f>
        <v>0</v>
      </c>
      <c r="K63" s="44">
        <f>'Propylene Recycling HC'!J105*'Propylene Recycling HC'!J48-'Propylene Recycling HC'!$C$105*'Propylene Recycling HC'!$C$48</f>
        <v>0</v>
      </c>
      <c r="L63" s="44">
        <f>'Propylene Recycling HC'!K105*'Propylene Recycling HC'!K48-'Propylene Recycling HC'!$C$105*'Propylene Recycling HC'!$C$48</f>
        <v>0</v>
      </c>
      <c r="M63" s="44">
        <f>'Propylene Recycling HC'!L105*'Propylene Recycling HC'!L48-'Propylene Recycling HC'!$C$105*'Propylene Recycling HC'!$C$48</f>
        <v>0</v>
      </c>
      <c r="N63" s="44">
        <f>'Propylene Recycling HC'!M105*'Propylene Recycling HC'!M48-'Propylene Recycling HC'!$C$105*'Propylene Recycling HC'!$C$48</f>
        <v>0</v>
      </c>
      <c r="O63" s="44">
        <f>'Propylene Recycling HC'!N105*'Propylene Recycling HC'!N48-'Propylene Recycling HC'!$C$105*'Propylene Recycling HC'!$C$48</f>
        <v>0</v>
      </c>
      <c r="P63" s="44">
        <f>'Propylene Recycling HC'!O105*'Propylene Recycling HC'!O48-'Propylene Recycling HC'!$C$105*'Propylene Recycling HC'!$C$48</f>
        <v>0</v>
      </c>
      <c r="Q63" s="44">
        <f>'Propylene Recycling HC'!P105*'Propylene Recycling HC'!P48-'Propylene Recycling HC'!$C$105*'Propylene Recycling HC'!$C$48</f>
        <v>0</v>
      </c>
      <c r="R63" s="44">
        <f>'Propylene Recycling HC'!Q105*'Propylene Recycling HC'!Q48-'Propylene Recycling HC'!$C$105*'Propylene Recycling HC'!$C$48</f>
        <v>0</v>
      </c>
      <c r="S63" s="44">
        <f>'Propylene Recycling HC'!R105*'Propylene Recycling HC'!R48-'Propylene Recycling HC'!$C$105*'Propylene Recycling HC'!$C$48</f>
        <v>0</v>
      </c>
      <c r="T63" s="44">
        <f>'Propylene Recycling HC'!S105*'Propylene Recycling HC'!S48-'Propylene Recycling HC'!$C$105*'Propylene Recycling HC'!$C$48</f>
        <v>0</v>
      </c>
      <c r="U63" s="44">
        <f>'Propylene Recycling HC'!T105*'Propylene Recycling HC'!T48-'Propylene Recycling HC'!$C$105*'Propylene Recycling HC'!$C$48</f>
        <v>0</v>
      </c>
      <c r="V63" s="44">
        <f>'Propylene Recycling HC'!U105*'Propylene Recycling HC'!U48-'Propylene Recycling HC'!$C$105*'Propylene Recycling HC'!$C$48</f>
        <v>0</v>
      </c>
      <c r="W63" s="44">
        <f>'Propylene Recycling HC'!V105*'Propylene Recycling HC'!V48-'Propylene Recycling HC'!$C$105*'Propylene Recycling HC'!$C$48</f>
        <v>0</v>
      </c>
      <c r="X63" s="44">
        <f>'Propylene Recycling HC'!W105*'Propylene Recycling HC'!W48-'Propylene Recycling HC'!$C$105*'Propylene Recycling HC'!$C$48</f>
        <v>0</v>
      </c>
      <c r="Y63" s="44">
        <f>'Propylene Recycling HC'!X105*'Propylene Recycling HC'!X48-'Propylene Recycling HC'!$C$105*'Propylene Recycling HC'!$C$48</f>
        <v>0</v>
      </c>
      <c r="Z63" s="44">
        <f>'Propylene Recycling HC'!Y105*'Propylene Recycling HC'!Y48-'Propylene Recycling HC'!$C$105*'Propylene Recycling HC'!$C$48</f>
        <v>0</v>
      </c>
      <c r="AA63" s="44">
        <f>'Propylene Recycling HC'!Z105*'Propylene Recycling HC'!Z48-'Propylene Recycling HC'!$C$105*'Propylene Recycling HC'!$C$48</f>
        <v>0</v>
      </c>
      <c r="AB63" s="44">
        <f>'Propylene Recycling HC'!AA105*'Propylene Recycling HC'!AA48-'Propylene Recycling HC'!$C$105*'Propylene Recycling HC'!$C$48</f>
        <v>0</v>
      </c>
      <c r="AC63" s="44">
        <f>'Propylene Recycling HC'!AB105*'Propylene Recycling HC'!AB48-'Propylene Recycling HC'!$C$105*'Propylene Recycling HC'!$C$48</f>
        <v>0</v>
      </c>
      <c r="AD63" s="44">
        <f>'Propylene Recycling HC'!AC105*'Propylene Recycling HC'!AC48-'Propylene Recycling HC'!$C$105*'Propylene Recycling HC'!$C$48</f>
        <v>0</v>
      </c>
      <c r="AE63" s="44">
        <f>'Propylene Recycling HC'!AD105*'Propylene Recycling HC'!AD48-'Propylene Recycling HC'!$C$105*'Propylene Recycling HC'!$C$48</f>
        <v>0</v>
      </c>
      <c r="AF63" s="44">
        <f>'Propylene Recycling HC'!AE105*'Propylene Recycling HC'!AE48-'Propylene Recycling HC'!$C$105*'Propylene Recycling HC'!$C$48</f>
        <v>0</v>
      </c>
      <c r="AG63" s="44">
        <f>'Propylene Recycling HC'!AF105*'Propylene Recycling HC'!AF48-'Propylene Recycling HC'!$C$105*'Propylene Recycling HC'!$C$48</f>
        <v>0</v>
      </c>
      <c r="AH63" s="44">
        <f>'Propylene Recycling HC'!AG105*'Propylene Recycling HC'!AG48-'Propylene Recycling HC'!$C$105*'Propylene Recycling HC'!$C$48</f>
        <v>0</v>
      </c>
      <c r="AJ63" s="44"/>
    </row>
    <row r="64" spans="1:36" outlineLevel="1" x14ac:dyDescent="0.2">
      <c r="A64" s="181"/>
      <c r="B64" s="181" t="s">
        <v>218</v>
      </c>
      <c r="C64" s="176" t="s">
        <v>153</v>
      </c>
      <c r="D64" s="238">
        <f>0</f>
        <v>0</v>
      </c>
      <c r="E64" s="238">
        <f>'Propylene Recycling HC'!D91*'Propylene Recycling HC'!D46-'Propylene Recycling HC'!$C$91*'Propylene Recycling HC'!$C$46</f>
        <v>2.5429988112853796E-2</v>
      </c>
      <c r="F64" s="238">
        <f>'Propylene Recycling HC'!E91*'Propylene Recycling HC'!E46-'Propylene Recycling HC'!$C$91*'Propylene Recycling HC'!$C$46</f>
        <v>5.0598336408314265E-2</v>
      </c>
      <c r="G64" s="238">
        <f>'Propylene Recycling HC'!F91*'Propylene Recycling HC'!F46-'Propylene Recycling HC'!$C$91*'Propylene Recycling HC'!$C$46</f>
        <v>7.5246849926113024E-2</v>
      </c>
      <c r="H64" s="238">
        <f>'Propylene Recycling HC'!G91*'Propylene Recycling HC'!G46-'Propylene Recycling HC'!$C$91*'Propylene Recycling HC'!$C$46</f>
        <v>9.9118250540737918E-2</v>
      </c>
      <c r="I64" s="238">
        <f>'Propylene Recycling HC'!H91*'Propylene Recycling HC'!H46-'Propylene Recycling HC'!$C$91*'Propylene Recycling HC'!$C$46</f>
        <v>0.12196017685664376</v>
      </c>
      <c r="J64" s="238">
        <f>'Propylene Recycling HC'!I91*'Propylene Recycling HC'!I46-'Propylene Recycling HC'!$C$91*'Propylene Recycling HC'!$C$46</f>
        <v>0.14405301093078163</v>
      </c>
      <c r="K64" s="238">
        <f>'Propylene Recycling HC'!J91*'Propylene Recycling HC'!J46-'Propylene Recycling HC'!$C$91*'Propylene Recycling HC'!$C$46</f>
        <v>0.16529902032849933</v>
      </c>
      <c r="L64" s="238">
        <f>'Propylene Recycling HC'!K91*'Propylene Recycling HC'!K46-'Propylene Recycling HC'!$C$91*'Propylene Recycling HC'!$C$46</f>
        <v>0.1855995633237256</v>
      </c>
      <c r="M64" s="238">
        <f>'Propylene Recycling HC'!L91*'Propylene Recycling HC'!L46-'Propylene Recycling HC'!$C$91*'Propylene Recycling HC'!$C$46</f>
        <v>0.20485537462938405</v>
      </c>
      <c r="N64" s="238">
        <f>'Propylene Recycling HC'!M91*'Propylene Recycling HC'!M46-'Propylene Recycling HC'!$C$91*'Propylene Recycling HC'!$C$46</f>
        <v>0.22296686174708044</v>
      </c>
      <c r="O64" s="238">
        <f>'Propylene Recycling HC'!N91*'Propylene Recycling HC'!N46-'Propylene Recycling HC'!$C$91*'Propylene Recycling HC'!$C$46</f>
        <v>0.26436100365523996</v>
      </c>
      <c r="P64" s="238">
        <f>'Propylene Recycling HC'!O91*'Propylene Recycling HC'!O46-'Propylene Recycling HC'!$C$91*'Propylene Recycling HC'!$C$46</f>
        <v>0.30274041232369142</v>
      </c>
      <c r="Q64" s="238">
        <f>'Propylene Recycling HC'!P91*'Propylene Recycling HC'!P46-'Propylene Recycling HC'!$C$91*'Propylene Recycling HC'!$C$46</f>
        <v>0.33626621323958539</v>
      </c>
      <c r="R64" s="238">
        <f>'Propylene Recycling HC'!Q91*'Propylene Recycling HC'!Q46-'Propylene Recycling HC'!$C$91*'Propylene Recycling HC'!$C$46</f>
        <v>0.36588764624892589</v>
      </c>
      <c r="S64" s="238">
        <f>'Propylene Recycling HC'!R91*'Propylene Recycling HC'!R46-'Propylene Recycling HC'!$C$91*'Propylene Recycling HC'!$C$46</f>
        <v>0.39135726491257872</v>
      </c>
      <c r="T64" s="238">
        <f>'Propylene Recycling HC'!S91*'Propylene Recycling HC'!S46-'Propylene Recycling HC'!$C$91*'Propylene Recycling HC'!$C$46</f>
        <v>0.41339109884991088</v>
      </c>
      <c r="U64" s="238">
        <f>'Propylene Recycling HC'!T91*'Propylene Recycling HC'!T46-'Propylene Recycling HC'!$C$91*'Propylene Recycling HC'!$C$46</f>
        <v>0.43192423954083825</v>
      </c>
      <c r="V64" s="238">
        <f>'Propylene Recycling HC'!U91*'Propylene Recycling HC'!U46-'Propylene Recycling HC'!$C$91*'Propylene Recycling HC'!$C$46</f>
        <v>0.44689393097260999</v>
      </c>
      <c r="W64" s="238">
        <f>'Propylene Recycling HC'!V91*'Propylene Recycling HC'!V46-'Propylene Recycling HC'!$C$91*'Propylene Recycling HC'!$C$46</f>
        <v>0.45823964872534095</v>
      </c>
      <c r="X64" s="238">
        <f>'Propylene Recycling HC'!W91*'Propylene Recycling HC'!W46-'Propylene Recycling HC'!$C$91*'Propylene Recycling HC'!$C$46</f>
        <v>0.46590317762230138</v>
      </c>
      <c r="Y64" s="238">
        <f>'Propylene Recycling HC'!X91*'Propylene Recycling HC'!X46-'Propylene Recycling HC'!$C$91*'Propylene Recycling HC'!$C$46</f>
        <v>0.49155265084765942</v>
      </c>
      <c r="Z64" s="238">
        <f>'Propylene Recycling HC'!Y91*'Propylene Recycling HC'!Y46-'Propylene Recycling HC'!$C$91*'Propylene Recycling HC'!$C$46</f>
        <v>0.51109747343268419</v>
      </c>
      <c r="AA64" s="238">
        <f>'Propylene Recycling HC'!Z91*'Propylene Recycling HC'!Z46-'Propylene Recycling HC'!$C$91*'Propylene Recycling HC'!$C$46</f>
        <v>0.51932211677787021</v>
      </c>
      <c r="AB64" s="238">
        <f>'Propylene Recycling HC'!AA91*'Propylene Recycling HC'!AA46-'Propylene Recycling HC'!$C$91*'Propylene Recycling HC'!$C$46</f>
        <v>0.521095229504416</v>
      </c>
      <c r="AC64" s="238">
        <f>'Propylene Recycling HC'!AB91*'Propylene Recycling HC'!AB46-'Propylene Recycling HC'!$C$91*'Propylene Recycling HC'!$C$46</f>
        <v>0.51649047487577848</v>
      </c>
      <c r="AD64" s="238">
        <f>'Propylene Recycling HC'!AC91*'Propylene Recycling HC'!AC46-'Propylene Recycling HC'!$C$91*'Propylene Recycling HC'!$C$46</f>
        <v>0.50559701574759064</v>
      </c>
      <c r="AE64" s="238">
        <f>'Propylene Recycling HC'!AD91*'Propylene Recycling HC'!AD46-'Propylene Recycling HC'!$C$91*'Propylene Recycling HC'!$C$46</f>
        <v>0.4885075455919301</v>
      </c>
      <c r="AF64" s="238">
        <f>'Propylene Recycling HC'!AE91*'Propylene Recycling HC'!AE46-'Propylene Recycling HC'!$C$91*'Propylene Recycling HC'!$C$46</f>
        <v>0.46532406794493875</v>
      </c>
      <c r="AG64" s="238">
        <f>'Propylene Recycling HC'!AF91*'Propylene Recycling HC'!AF46-'Propylene Recycling HC'!$C$91*'Propylene Recycling HC'!$C$46</f>
        <v>0.43615782129592995</v>
      </c>
      <c r="AH64" s="238">
        <f>'Propylene Recycling HC'!AG91*'Propylene Recycling HC'!AG46-'Propylene Recycling HC'!$C$91*'Propylene Recycling HC'!$C$46</f>
        <v>0.40112918995499369</v>
      </c>
    </row>
    <row r="65" spans="1:45" x14ac:dyDescent="0.2">
      <c r="A65" s="178"/>
      <c r="B65" s="239" t="s">
        <v>219</v>
      </c>
      <c r="C65" s="179" t="s">
        <v>153</v>
      </c>
      <c r="D65" s="241">
        <f>D60-D61-D62-D63-D64</f>
        <v>35.064810426540291</v>
      </c>
      <c r="E65" s="241">
        <f t="shared" ref="E65:AH65" si="26">E60-E61-E62-E63-E64</f>
        <v>35.676654624404819</v>
      </c>
      <c r="F65" s="241">
        <f t="shared" si="26"/>
        <v>36.297326567610767</v>
      </c>
      <c r="G65" s="241">
        <f t="shared" si="26"/>
        <v>36.928164859788751</v>
      </c>
      <c r="H65" s="241">
        <f t="shared" si="26"/>
        <v>37.570576520071974</v>
      </c>
      <c r="I65" s="241">
        <f t="shared" si="26"/>
        <v>38.226022522842207</v>
      </c>
      <c r="J65" s="241">
        <f t="shared" si="26"/>
        <v>38.694077299427143</v>
      </c>
      <c r="K65" s="241">
        <f t="shared" si="26"/>
        <v>39.166341972858888</v>
      </c>
      <c r="L65" s="241">
        <f t="shared" si="26"/>
        <v>39.643033486843891</v>
      </c>
      <c r="M65" s="241">
        <f t="shared" si="26"/>
        <v>40.124377041207502</v>
      </c>
      <c r="N65" s="241">
        <f t="shared" si="26"/>
        <v>40.61060563672838</v>
      </c>
      <c r="O65" s="241">
        <f t="shared" si="26"/>
        <v>39.829747710897188</v>
      </c>
      <c r="P65" s="241">
        <f t="shared" si="26"/>
        <v>39.044673107481451</v>
      </c>
      <c r="Q65" s="241">
        <f t="shared" si="26"/>
        <v>38.260249129782046</v>
      </c>
      <c r="R65" s="241">
        <f t="shared" si="26"/>
        <v>37.476604151265974</v>
      </c>
      <c r="S65" s="241">
        <f t="shared" si="26"/>
        <v>36.695785776763387</v>
      </c>
      <c r="T65" s="241">
        <f t="shared" si="26"/>
        <v>35.858459879208013</v>
      </c>
      <c r="U65" s="241">
        <f t="shared" si="26"/>
        <v>35.01464853958003</v>
      </c>
      <c r="V65" s="241">
        <f t="shared" si="26"/>
        <v>34.164573774118537</v>
      </c>
      <c r="W65" s="241">
        <f t="shared" si="26"/>
        <v>33.308462825013365</v>
      </c>
      <c r="X65" s="241">
        <f t="shared" si="26"/>
        <v>32.446548129959879</v>
      </c>
      <c r="Y65" s="241">
        <f t="shared" si="26"/>
        <v>31.328637022907525</v>
      </c>
      <c r="Z65" s="241">
        <f t="shared" si="26"/>
        <v>30.197359074519429</v>
      </c>
      <c r="AA65" s="241">
        <f t="shared" si="26"/>
        <v>29.066643703539015</v>
      </c>
      <c r="AB65" s="241">
        <f t="shared" si="26"/>
        <v>27.931920658059283</v>
      </c>
      <c r="AC65" s="241">
        <f t="shared" si="26"/>
        <v>26.793425455536092</v>
      </c>
      <c r="AD65" s="241">
        <f t="shared" si="26"/>
        <v>25.610720245337557</v>
      </c>
      <c r="AE65" s="241">
        <f t="shared" si="26"/>
        <v>24.42482260799002</v>
      </c>
      <c r="AF65" s="241">
        <f t="shared" si="26"/>
        <v>23.235970960003641</v>
      </c>
      <c r="AG65" s="241">
        <f t="shared" si="26"/>
        <v>22.044405435327192</v>
      </c>
      <c r="AH65" s="241">
        <f t="shared" si="26"/>
        <v>20.850368021421207</v>
      </c>
    </row>
    <row r="66" spans="1:45" s="67" customFormat="1" x14ac:dyDescent="0.2">
      <c r="A66" s="58" t="s">
        <v>67</v>
      </c>
      <c r="B66" s="58" t="s">
        <v>227</v>
      </c>
      <c r="C66" s="100" t="s">
        <v>153</v>
      </c>
      <c r="D66" s="101">
        <f>D45+D52+D56+D57+D58+D62+D63+D64</f>
        <v>0</v>
      </c>
      <c r="E66" s="101">
        <f t="shared" ref="E66:AG66" si="27">E45+E52+E56+E57+E58+E62+E63+E64</f>
        <v>0.23753973876969156</v>
      </c>
      <c r="F66" s="101">
        <f t="shared" si="27"/>
        <v>0.48007453010642198</v>
      </c>
      <c r="G66" s="101">
        <f t="shared" si="27"/>
        <v>0.7260444900925993</v>
      </c>
      <c r="H66" s="101">
        <f t="shared" si="27"/>
        <v>0.97379029271197082</v>
      </c>
      <c r="I66" s="101">
        <f t="shared" si="27"/>
        <v>1.2215714207792314</v>
      </c>
      <c r="J66" s="101">
        <f t="shared" si="27"/>
        <v>1.4752828197355432</v>
      </c>
      <c r="K66" s="101">
        <f t="shared" si="27"/>
        <v>1.734696646546537</v>
      </c>
      <c r="L66" s="101">
        <f t="shared" si="27"/>
        <v>1.9995656344659682</v>
      </c>
      <c r="M66" s="101">
        <f t="shared" si="27"/>
        <v>2.2696231946091809</v>
      </c>
      <c r="N66" s="101">
        <f t="shared" si="27"/>
        <v>2.544583583140934</v>
      </c>
      <c r="O66" s="101">
        <f t="shared" si="27"/>
        <v>3.0027753653294624</v>
      </c>
      <c r="P66" s="101">
        <f t="shared" si="27"/>
        <v>3.4620797865356927</v>
      </c>
      <c r="Q66" s="101">
        <f t="shared" si="27"/>
        <v>3.9091640387078765</v>
      </c>
      <c r="R66" s="101">
        <f t="shared" si="27"/>
        <v>4.3482452410854719</v>
      </c>
      <c r="S66" s="101">
        <f t="shared" si="27"/>
        <v>4.7765889358268474</v>
      </c>
      <c r="T66" s="101">
        <f t="shared" si="27"/>
        <v>5.2046338705344999</v>
      </c>
      <c r="U66" s="101">
        <f t="shared" si="27"/>
        <v>5.6320073941863233</v>
      </c>
      <c r="V66" s="101">
        <f t="shared" si="27"/>
        <v>6.0583284757968832</v>
      </c>
      <c r="W66" s="101">
        <f t="shared" si="27"/>
        <v>6.4832078259019319</v>
      </c>
      <c r="X66" s="101">
        <f t="shared" si="27"/>
        <v>6.9062480275256464</v>
      </c>
      <c r="Y66" s="101">
        <f t="shared" si="27"/>
        <v>7.5103377441324737</v>
      </c>
      <c r="Z66" s="101">
        <f t="shared" si="27"/>
        <v>8.153263186709081</v>
      </c>
      <c r="AA66" s="101">
        <f t="shared" si="27"/>
        <v>8.7780486983289059</v>
      </c>
      <c r="AB66" s="101">
        <f t="shared" si="27"/>
        <v>9.397839379335565</v>
      </c>
      <c r="AC66" s="101">
        <f t="shared" si="27"/>
        <v>10.012438800708509</v>
      </c>
      <c r="AD66" s="101">
        <f t="shared" si="27"/>
        <v>10.621775763300239</v>
      </c>
      <c r="AE66" s="101">
        <f t="shared" si="27"/>
        <v>11.225680828136458</v>
      </c>
      <c r="AF66" s="101">
        <f t="shared" si="27"/>
        <v>11.82398876556743</v>
      </c>
      <c r="AG66" s="101">
        <f t="shared" si="27"/>
        <v>12.416538277202461</v>
      </c>
      <c r="AH66" s="101">
        <f>AH45+AH52+AH56+AH57+AH58+AH62+AH63+AH64</f>
        <v>13.003171696628417</v>
      </c>
    </row>
    <row r="67" spans="1:45" s="68" customFormat="1" x14ac:dyDescent="0.2">
      <c r="B67" s="62" t="s">
        <v>228</v>
      </c>
      <c r="C67" s="63" t="s">
        <v>153</v>
      </c>
      <c r="D67" s="64">
        <f>D44+D48+D51+D55+D61</f>
        <v>0</v>
      </c>
      <c r="E67" s="64">
        <f t="shared" ref="E67:AG67" si="28">E44+E48+E51+E55+E61</f>
        <v>0.28214976888002241</v>
      </c>
      <c r="F67" s="64">
        <f t="shared" si="28"/>
        <v>0.57829076338905505</v>
      </c>
      <c r="G67" s="64">
        <f t="shared" si="28"/>
        <v>0.88727951970357744</v>
      </c>
      <c r="H67" s="64">
        <f t="shared" si="28"/>
        <v>1.2077539036073626</v>
      </c>
      <c r="I67" s="64">
        <f t="shared" si="28"/>
        <v>1.5381390395988719</v>
      </c>
      <c r="J67" s="64">
        <f t="shared" si="28"/>
        <v>1.8690299497137595</v>
      </c>
      <c r="K67" s="64">
        <f t="shared" si="28"/>
        <v>2.2162560933144975</v>
      </c>
      <c r="L67" s="64">
        <f t="shared" si="28"/>
        <v>2.5800281125373661</v>
      </c>
      <c r="M67" s="64">
        <f t="shared" si="28"/>
        <v>2.960527413979571</v>
      </c>
      <c r="N67" s="64">
        <f t="shared" si="28"/>
        <v>3.3579045649278862</v>
      </c>
      <c r="O67" s="64">
        <f t="shared" si="28"/>
        <v>4.0043205530646002</v>
      </c>
      <c r="P67" s="64">
        <f t="shared" si="28"/>
        <v>4.6716153324999414</v>
      </c>
      <c r="Q67" s="64">
        <f t="shared" si="28"/>
        <v>5.3500260144451808</v>
      </c>
      <c r="R67" s="64">
        <f t="shared" si="28"/>
        <v>6.0401356017733443</v>
      </c>
      <c r="S67" s="64">
        <f t="shared" si="28"/>
        <v>6.738279077744175</v>
      </c>
      <c r="T67" s="64">
        <f t="shared" si="28"/>
        <v>7.458899675388353</v>
      </c>
      <c r="U67" s="64">
        <f t="shared" si="28"/>
        <v>8.2019062031546017</v>
      </c>
      <c r="V67" s="64">
        <f t="shared" si="28"/>
        <v>8.9671860267154884</v>
      </c>
      <c r="W67" s="64">
        <f t="shared" si="28"/>
        <v>9.7546048048383547</v>
      </c>
      <c r="X67" s="64">
        <f t="shared" si="28"/>
        <v>10.564006243333115</v>
      </c>
      <c r="Y67" s="64">
        <f t="shared" si="28"/>
        <v>11.799533386291571</v>
      </c>
      <c r="Z67" s="64">
        <f t="shared" si="28"/>
        <v>13.101896389960938</v>
      </c>
      <c r="AA67" s="64">
        <f t="shared" si="28"/>
        <v>14.417479515911339</v>
      </c>
      <c r="AB67" s="64">
        <f t="shared" si="28"/>
        <v>15.764147895026355</v>
      </c>
      <c r="AC67" s="64">
        <f t="shared" si="28"/>
        <v>17.14098122228981</v>
      </c>
      <c r="AD67" s="64">
        <f t="shared" si="28"/>
        <v>18.545373961937585</v>
      </c>
      <c r="AE67" s="64">
        <f t="shared" si="28"/>
        <v>19.97797707633292</v>
      </c>
      <c r="AF67" s="64">
        <f t="shared" si="28"/>
        <v>21.437763854867466</v>
      </c>
      <c r="AG67" s="64">
        <f t="shared" si="28"/>
        <v>22.923662086622222</v>
      </c>
      <c r="AH67" s="64">
        <f>AH44+AH48+AH51+AH55+AH61</f>
        <v>24.434554544672935</v>
      </c>
    </row>
    <row r="68" spans="1:45" s="104" customFormat="1" x14ac:dyDescent="0.2">
      <c r="A68" s="102" t="s">
        <v>390</v>
      </c>
      <c r="B68" s="102"/>
      <c r="C68" s="103" t="s">
        <v>153</v>
      </c>
      <c r="D68" s="105">
        <f t="shared" ref="D68:AG68" si="29">D46+D49+D53+IF(D59&lt;0,0,D59)+D65</f>
        <v>111.92307692307692</v>
      </c>
      <c r="E68" s="105">
        <f t="shared" si="29"/>
        <v>112.85423189335553</v>
      </c>
      <c r="F68" s="105">
        <f t="shared" si="29"/>
        <v>113.77944197906548</v>
      </c>
      <c r="G68" s="105">
        <f t="shared" si="29"/>
        <v>114.70135574604382</v>
      </c>
      <c r="H68" s="105">
        <f t="shared" si="29"/>
        <v>115.62293262938695</v>
      </c>
      <c r="I68" s="105">
        <f t="shared" si="29"/>
        <v>116.54741848962985</v>
      </c>
      <c r="J68" s="105">
        <f t="shared" si="29"/>
        <v>117.26626778457029</v>
      </c>
      <c r="K68" s="105">
        <f t="shared" si="29"/>
        <v>117.97071767213866</v>
      </c>
      <c r="L68" s="105">
        <f t="shared" si="29"/>
        <v>118.66065169982365</v>
      </c>
      <c r="M68" s="105">
        <f t="shared" si="29"/>
        <v>119.33599395754359</v>
      </c>
      <c r="N68" s="105">
        <f t="shared" si="29"/>
        <v>119.99671027569303</v>
      </c>
      <c r="O68" s="105">
        <f t="shared" si="29"/>
        <v>118.76936832884249</v>
      </c>
      <c r="P68" s="105">
        <f t="shared" si="29"/>
        <v>117.53250833360642</v>
      </c>
      <c r="Q68" s="105">
        <f t="shared" si="29"/>
        <v>116.23311285284746</v>
      </c>
      <c r="R68" s="105">
        <f t="shared" si="29"/>
        <v>114.91027842575885</v>
      </c>
      <c r="S68" s="105">
        <f t="shared" si="29"/>
        <v>113.56997103628402</v>
      </c>
      <c r="T68" s="105">
        <f t="shared" si="29"/>
        <v>112.13691041566581</v>
      </c>
      <c r="U68" s="105">
        <f t="shared" si="29"/>
        <v>110.66092626980091</v>
      </c>
      <c r="V68" s="105">
        <f t="shared" si="29"/>
        <v>109.1420660396587</v>
      </c>
      <c r="W68" s="105">
        <f t="shared" si="29"/>
        <v>107.5804002987088</v>
      </c>
      <c r="X68" s="105">
        <f t="shared" si="29"/>
        <v>105.97602280375409</v>
      </c>
      <c r="Y68" s="105">
        <f t="shared" si="29"/>
        <v>102.95268493499594</v>
      </c>
      <c r="Z68" s="105">
        <f t="shared" si="29"/>
        <v>100.09854859154456</v>
      </c>
      <c r="AA68" s="105">
        <f t="shared" si="29"/>
        <v>97.22055573056042</v>
      </c>
      <c r="AB68" s="105">
        <f t="shared" si="29"/>
        <v>94.287420104878336</v>
      </c>
      <c r="AC68" s="105">
        <f t="shared" si="29"/>
        <v>91.299988876751385</v>
      </c>
      <c r="AD68" s="105">
        <f t="shared" si="29"/>
        <v>88.218265221306879</v>
      </c>
      <c r="AE68" s="105">
        <f t="shared" si="29"/>
        <v>85.088762522476387</v>
      </c>
      <c r="AF68" s="105">
        <f t="shared" si="29"/>
        <v>82.721003564748116</v>
      </c>
      <c r="AG68" s="105">
        <f t="shared" si="29"/>
        <v>80.317453331331535</v>
      </c>
      <c r="AH68" s="105">
        <f>AH46+AH49+AH53+AH59+AH65</f>
        <v>75.375071297548033</v>
      </c>
      <c r="AI68" s="641">
        <f>AH68-AH42</f>
        <v>-37.437726241301377</v>
      </c>
      <c r="AJ68" s="104" t="s">
        <v>385</v>
      </c>
    </row>
    <row r="69" spans="1:45" x14ac:dyDescent="0.2">
      <c r="A69" s="1" t="s">
        <v>230</v>
      </c>
      <c r="C69" s="59" t="s">
        <v>153</v>
      </c>
      <c r="D69" s="66">
        <f>'Propylene Recycling HC'!C204</f>
        <v>0</v>
      </c>
      <c r="E69" s="66">
        <f>'Propylene Recycling HC'!D204</f>
        <v>0</v>
      </c>
      <c r="F69" s="66">
        <f>'Propylene Recycling HC'!E204</f>
        <v>0</v>
      </c>
      <c r="G69" s="66">
        <f>'Propylene Recycling HC'!F204</f>
        <v>0</v>
      </c>
      <c r="H69" s="66">
        <f>'Propylene Recycling HC'!G204</f>
        <v>0</v>
      </c>
      <c r="I69" s="66">
        <f>'Propylene Recycling HC'!H204</f>
        <v>0</v>
      </c>
      <c r="J69" s="66">
        <f>'Propylene Recycling HC'!I204</f>
        <v>0</v>
      </c>
      <c r="K69" s="66">
        <f>'Propylene Recycling HC'!J204</f>
        <v>0</v>
      </c>
      <c r="L69" s="66">
        <f>'Propylene Recycling HC'!K204</f>
        <v>0</v>
      </c>
      <c r="M69" s="66">
        <f>'Propylene Recycling HC'!L204</f>
        <v>0</v>
      </c>
      <c r="N69" s="66">
        <f>'Propylene Recycling HC'!M204</f>
        <v>0</v>
      </c>
      <c r="O69" s="66">
        <f>'Propylene Recycling HC'!N204</f>
        <v>0</v>
      </c>
      <c r="P69" s="66">
        <f>'Propylene Recycling HC'!O204</f>
        <v>0</v>
      </c>
      <c r="Q69" s="66">
        <f>'Propylene Recycling HC'!P204</f>
        <v>0</v>
      </c>
      <c r="R69" s="66">
        <f>'Propylene Recycling HC'!Q204</f>
        <v>0</v>
      </c>
      <c r="S69" s="66">
        <f>'Propylene Recycling HC'!R204</f>
        <v>0</v>
      </c>
      <c r="T69" s="66">
        <f>'Propylene Recycling HC'!S204</f>
        <v>0</v>
      </c>
      <c r="U69" s="66">
        <f>'Propylene Recycling HC'!T204</f>
        <v>0</v>
      </c>
      <c r="V69" s="66">
        <f>'Propylene Recycling HC'!U204</f>
        <v>0</v>
      </c>
      <c r="W69" s="66">
        <f>'Propylene Recycling HC'!V204</f>
        <v>0</v>
      </c>
      <c r="X69" s="66">
        <f>'Propylene Recycling HC'!W204</f>
        <v>0</v>
      </c>
      <c r="Y69" s="66">
        <f>'Propylene Recycling HC'!X204</f>
        <v>0</v>
      </c>
      <c r="Z69" s="66">
        <f>'Propylene Recycling HC'!Y204</f>
        <v>0</v>
      </c>
      <c r="AA69" s="66">
        <f>'Propylene Recycling HC'!Z204</f>
        <v>0</v>
      </c>
      <c r="AB69" s="66">
        <f>'Propylene Recycling HC'!AA204</f>
        <v>0</v>
      </c>
      <c r="AC69" s="66">
        <f>'Propylene Recycling HC'!AB204</f>
        <v>0</v>
      </c>
      <c r="AD69" s="66">
        <f>'Propylene Recycling HC'!AC204</f>
        <v>0</v>
      </c>
      <c r="AE69" s="66">
        <f>'Propylene Recycling HC'!AD204</f>
        <v>0</v>
      </c>
      <c r="AF69" s="66">
        <f>'Propylene Recycling HC'!AE204</f>
        <v>0</v>
      </c>
      <c r="AG69" s="66">
        <f>'Propylene Recycling HC'!AF204</f>
        <v>0</v>
      </c>
      <c r="AH69" s="66">
        <f>'Propylene Recycling HC'!AG204</f>
        <v>0</v>
      </c>
    </row>
    <row r="70" spans="1:45" x14ac:dyDescent="0.2">
      <c r="A70" s="1" t="s">
        <v>231</v>
      </c>
      <c r="C70" s="283" t="s">
        <v>153</v>
      </c>
      <c r="D70" s="66">
        <f>'Propylene Recycling HC'!C206</f>
        <v>4.0207245589958333E-5</v>
      </c>
      <c r="E70" s="66">
        <f>'Propylene Recycling HC'!D206</f>
        <v>8.6873546030303593E-5</v>
      </c>
      <c r="F70" s="66">
        <f>'Propylene Recycling HC'!E206</f>
        <v>1.8623331745762706E-4</v>
      </c>
      <c r="G70" s="66">
        <f>'Propylene Recycling HC'!F206</f>
        <v>3.9594695059065138E-4</v>
      </c>
      <c r="H70" s="66">
        <f>'Propylene Recycling HC'!G206</f>
        <v>8.3427860948189858E-4</v>
      </c>
      <c r="I70" s="66">
        <f>'Propylene Recycling HC'!H206</f>
        <v>1.740139246361534E-3</v>
      </c>
      <c r="J70" s="66">
        <f>'Propylene Recycling HC'!I206</f>
        <v>3.5843418856456922E-3</v>
      </c>
      <c r="K70" s="66">
        <f>'Propylene Recycling HC'!J206</f>
        <v>7.2940450726292246E-3</v>
      </c>
      <c r="L70" s="66">
        <f>'Propylene Recycling HC'!K206</f>
        <v>1.4616548818097461E-2</v>
      </c>
      <c r="M70" s="66">
        <f>'Propylene Recycling HC'!L206</f>
        <v>2.871883591308997E-2</v>
      </c>
      <c r="N70" s="66">
        <f>'Propylene Recycling HC'!M206</f>
        <v>5.5262656540788227E-2</v>
      </c>
      <c r="O70" s="66">
        <f>'Propylene Recycling HC'!N206</f>
        <v>9.942192008674762E-2</v>
      </c>
      <c r="P70" s="66">
        <f>'Propylene Recycling HC'!O206</f>
        <v>0.1725854055586572</v>
      </c>
      <c r="Q70" s="66">
        <f>'Propylene Recycling HC'!P206</f>
        <v>0.28536759709997078</v>
      </c>
      <c r="R70" s="66">
        <f>'Propylene Recycling HC'!Q206</f>
        <v>0.44673518562801628</v>
      </c>
      <c r="S70" s="66">
        <f>'Propylene Recycling HC'!R206</f>
        <v>0.65924420852718546</v>
      </c>
      <c r="T70" s="66">
        <f>'Propylene Recycling HC'!S206</f>
        <v>0.91660905458753128</v>
      </c>
      <c r="U70" s="66">
        <f>'Propylene Recycling HC'!T206</f>
        <v>1.203246252475547</v>
      </c>
      <c r="V70" s="66">
        <f>'Propylene Recycling HC'!U206</f>
        <v>1.4985075564771051</v>
      </c>
      <c r="W70" s="66">
        <f>'Propylene Recycling HC'!V206</f>
        <v>1.7828470023642231</v>
      </c>
      <c r="X70" s="66">
        <f>'Propylene Recycling HC'!W206</f>
        <v>2.0424639121348656</v>
      </c>
      <c r="Y70" s="66">
        <f>'Propylene Recycling HC'!X206</f>
        <v>2.190257791772646</v>
      </c>
      <c r="Z70" s="66">
        <f>'Propylene Recycling HC'!Y206</f>
        <v>2.2959382534585626</v>
      </c>
      <c r="AA70" s="66">
        <f>'Propylene Recycling HC'!Z206</f>
        <v>2.3623079905403879</v>
      </c>
      <c r="AB70" s="66">
        <f>'Propylene Recycling HC'!AA206</f>
        <v>2.4011917950098161</v>
      </c>
      <c r="AC70" s="66">
        <f>'Propylene Recycling HC'!AB206</f>
        <v>2.4245440470331578</v>
      </c>
      <c r="AD70" s="66">
        <f>'Propylene Recycling HC'!AC206</f>
        <v>2.444238825737727</v>
      </c>
      <c r="AE70" s="66">
        <f>'Propylene Recycling HC'!AD206</f>
        <v>2.4715281981908626</v>
      </c>
      <c r="AF70" s="66">
        <f>'Propylene Recycling HC'!AE206</f>
        <v>2.5129343295400388</v>
      </c>
      <c r="AG70" s="66">
        <f>'Propylene Recycling HC'!AF206</f>
        <v>2.5687951422958037</v>
      </c>
      <c r="AH70" s="66">
        <f>'Propylene Recycling HC'!AG206</f>
        <v>2.9085749042381877</v>
      </c>
    </row>
    <row r="71" spans="1:45" s="104" customFormat="1" x14ac:dyDescent="0.2">
      <c r="A71" s="102" t="s">
        <v>391</v>
      </c>
      <c r="B71" s="102"/>
      <c r="C71" s="103" t="s">
        <v>153</v>
      </c>
      <c r="D71" s="105">
        <f>D68-D69-D70</f>
        <v>111.92303671583133</v>
      </c>
      <c r="E71" s="105">
        <f t="shared" ref="E71:AH71" si="30">E68-E69-E70</f>
        <v>112.85414501980951</v>
      </c>
      <c r="F71" s="105">
        <f t="shared" si="30"/>
        <v>113.77925574574802</v>
      </c>
      <c r="G71" s="105">
        <f t="shared" si="30"/>
        <v>114.70095979909323</v>
      </c>
      <c r="H71" s="105">
        <f t="shared" si="30"/>
        <v>115.62209835077746</v>
      </c>
      <c r="I71" s="105">
        <f t="shared" si="30"/>
        <v>116.54567835038348</v>
      </c>
      <c r="J71" s="105">
        <f t="shared" si="30"/>
        <v>117.26268344268465</v>
      </c>
      <c r="K71" s="105">
        <f t="shared" si="30"/>
        <v>117.96342362706604</v>
      </c>
      <c r="L71" s="105">
        <f t="shared" si="30"/>
        <v>118.64603515100555</v>
      </c>
      <c r="M71" s="105">
        <f t="shared" si="30"/>
        <v>119.3072751216305</v>
      </c>
      <c r="N71" s="105">
        <f t="shared" si="30"/>
        <v>119.94144761915224</v>
      </c>
      <c r="O71" s="105">
        <f t="shared" si="30"/>
        <v>118.66994640875575</v>
      </c>
      <c r="P71" s="105">
        <f t="shared" si="30"/>
        <v>117.35992292804775</v>
      </c>
      <c r="Q71" s="105">
        <f t="shared" si="30"/>
        <v>115.94774525574748</v>
      </c>
      <c r="R71" s="105">
        <f t="shared" si="30"/>
        <v>114.46354324013083</v>
      </c>
      <c r="S71" s="105">
        <f t="shared" si="30"/>
        <v>112.91072682775683</v>
      </c>
      <c r="T71" s="105">
        <f t="shared" si="30"/>
        <v>111.22030136107828</v>
      </c>
      <c r="U71" s="105">
        <f t="shared" si="30"/>
        <v>109.45768001732536</v>
      </c>
      <c r="V71" s="105">
        <f t="shared" si="30"/>
        <v>107.64355848318159</v>
      </c>
      <c r="W71" s="105">
        <f t="shared" si="30"/>
        <v>105.79755329634457</v>
      </c>
      <c r="X71" s="105">
        <f t="shared" si="30"/>
        <v>103.93355889161923</v>
      </c>
      <c r="Y71" s="105">
        <f t="shared" si="30"/>
        <v>100.76242714322329</v>
      </c>
      <c r="Z71" s="105">
        <f t="shared" si="30"/>
        <v>97.802610338085998</v>
      </c>
      <c r="AA71" s="105">
        <f t="shared" si="30"/>
        <v>94.858247740020033</v>
      </c>
      <c r="AB71" s="105">
        <f t="shared" si="30"/>
        <v>91.886228309868514</v>
      </c>
      <c r="AC71" s="105">
        <f t="shared" si="30"/>
        <v>88.875444829718234</v>
      </c>
      <c r="AD71" s="105">
        <f t="shared" si="30"/>
        <v>85.774026395569152</v>
      </c>
      <c r="AE71" s="105">
        <f t="shared" si="30"/>
        <v>82.617234324285519</v>
      </c>
      <c r="AF71" s="105">
        <f t="shared" si="30"/>
        <v>80.208069235208072</v>
      </c>
      <c r="AG71" s="105">
        <f t="shared" si="30"/>
        <v>77.748658189035737</v>
      </c>
      <c r="AH71" s="105">
        <f t="shared" si="30"/>
        <v>72.466496393309839</v>
      </c>
    </row>
    <row r="72" spans="1:45" s="426" customFormat="1" x14ac:dyDescent="0.2">
      <c r="A72" s="425" t="s">
        <v>233</v>
      </c>
      <c r="C72" s="429" t="s">
        <v>153</v>
      </c>
      <c r="D72" s="430">
        <f>'Propylene Recycling HC'!C213</f>
        <v>9.9134783941819578</v>
      </c>
      <c r="E72" s="430">
        <f>'Propylene Recycling HC'!D213</f>
        <v>10.735934807250526</v>
      </c>
      <c r="F72" s="430">
        <f>'Propylene Recycling HC'!E213</f>
        <v>11.565469990944862</v>
      </c>
      <c r="G72" s="430">
        <f>'Propylene Recycling HC'!F213</f>
        <v>12.396633120284203</v>
      </c>
      <c r="H72" s="430">
        <f>'Propylene Recycling HC'!G213</f>
        <v>13.223680488935337</v>
      </c>
      <c r="I72" s="430">
        <f>'Propylene Recycling HC'!H213</f>
        <v>14.040578337681264</v>
      </c>
      <c r="J72" s="430">
        <f>'Propylene Recycling HC'!I213</f>
        <v>14.830192850914248</v>
      </c>
      <c r="K72" s="430">
        <f>'Propylene Recycling HC'!J213</f>
        <v>15.627705074533267</v>
      </c>
      <c r="L72" s="430">
        <f>'Propylene Recycling HC'!K213</f>
        <v>16.43034169419559</v>
      </c>
      <c r="M72" s="430">
        <f>'Propylene Recycling HC'!L213</f>
        <v>17.233866011132733</v>
      </c>
      <c r="N72" s="430">
        <f>'Propylene Recycling HC'!M213</f>
        <v>18.031504735061137</v>
      </c>
      <c r="O72" s="430">
        <f>'Propylene Recycling HC'!N213</f>
        <v>18.315232900976042</v>
      </c>
      <c r="P72" s="430">
        <f>'Propylene Recycling HC'!O213</f>
        <v>18.527191378853974</v>
      </c>
      <c r="Q72" s="430">
        <f>'Propylene Recycling HC'!P213</f>
        <v>18.637308699712449</v>
      </c>
      <c r="R72" s="430">
        <f>'Propylene Recycling HC'!Q213</f>
        <v>18.648049291627846</v>
      </c>
      <c r="S72" s="430">
        <f>'Propylene Recycling HC'!R213</f>
        <v>18.55550106643463</v>
      </c>
      <c r="T72" s="430">
        <f>'Propylene Recycling HC'!S213</f>
        <v>18.399722076481314</v>
      </c>
      <c r="U72" s="430">
        <f>'Propylene Recycling HC'!T213</f>
        <v>18.19606599557282</v>
      </c>
      <c r="V72" s="430">
        <f>'Propylene Recycling HC'!U213</f>
        <v>17.964968629078772</v>
      </c>
      <c r="W72" s="430">
        <f>'Propylene Recycling HC'!V213</f>
        <v>17.72578141662532</v>
      </c>
      <c r="X72" s="430">
        <f>'Propylene Recycling HC'!W213</f>
        <v>17.492128975944251</v>
      </c>
      <c r="Y72" s="430">
        <f>'Propylene Recycling HC'!X213</f>
        <v>16.656054097187578</v>
      </c>
      <c r="Z72" s="430">
        <f>'Propylene Recycling HC'!Y213</f>
        <v>15.863640003477709</v>
      </c>
      <c r="AA72" s="430">
        <f>'Propylene Recycling HC'!Z213</f>
        <v>15.068263762082118</v>
      </c>
      <c r="AB72" s="430">
        <f>'Propylene Recycling HC'!AA213</f>
        <v>14.269540969160794</v>
      </c>
      <c r="AC72" s="430">
        <f>'Propylene Recycling HC'!AB213</f>
        <v>13.455824551772711</v>
      </c>
      <c r="AD72" s="430">
        <f>'Propylene Recycling HC'!AC213</f>
        <v>12.613043633463924</v>
      </c>
      <c r="AE72" s="430">
        <f>'Propylene Recycling HC'!AD213</f>
        <v>11.732891856899766</v>
      </c>
      <c r="AF72" s="430">
        <f>'Propylene Recycling HC'!AE213</f>
        <v>10.809237594933919</v>
      </c>
      <c r="AG72" s="430">
        <f>'Propylene Recycling HC'!AF213</f>
        <v>9.8514166825826486</v>
      </c>
      <c r="AH72" s="430">
        <f>'Propylene Recycling HC'!AG213</f>
        <v>9.8203896161508357</v>
      </c>
      <c r="AI72" s="430"/>
    </row>
    <row r="73" spans="1:45" s="428" customFormat="1" x14ac:dyDescent="0.2">
      <c r="A73" s="427" t="s">
        <v>234</v>
      </c>
      <c r="C73" s="431" t="s">
        <v>153</v>
      </c>
      <c r="D73" s="432">
        <f>'Propylene Recycling HC'!C214</f>
        <v>71.728733557018757</v>
      </c>
      <c r="E73" s="432">
        <f>'Propylene Recycling HC'!D214</f>
        <v>73.964757425943475</v>
      </c>
      <c r="F73" s="432">
        <f>'Propylene Recycling HC'!E214</f>
        <v>76.063872141247302</v>
      </c>
      <c r="G73" s="432">
        <f>'Propylene Recycling HC'!F214</f>
        <v>78.010794082138759</v>
      </c>
      <c r="H73" s="432">
        <f>'Propylene Recycling HC'!G214</f>
        <v>79.791034418195096</v>
      </c>
      <c r="I73" s="432">
        <f>'Propylene Recycling HC'!H214</f>
        <v>81.391016010097076</v>
      </c>
      <c r="J73" s="432">
        <f>'Propylene Recycling HC'!I214</f>
        <v>82.755772850217866</v>
      </c>
      <c r="K73" s="432">
        <f>'Propylene Recycling HC'!J214</f>
        <v>84.092736885152945</v>
      </c>
      <c r="L73" s="432">
        <f>'Propylene Recycling HC'!K214</f>
        <v>85.398078444979973</v>
      </c>
      <c r="M73" s="432">
        <f>'Propylene Recycling HC'!L214</f>
        <v>86.666556781259288</v>
      </c>
      <c r="N73" s="432">
        <f>'Propylene Recycling HC'!M214</f>
        <v>87.890449945231396</v>
      </c>
      <c r="O73" s="432">
        <f>'Propylene Recycling HC'!N214</f>
        <v>88.350065314271347</v>
      </c>
      <c r="P73" s="432">
        <f>'Propylene Recycling HC'!O214</f>
        <v>88.613388835085658</v>
      </c>
      <c r="Q73" s="432">
        <f>'Propylene Recycling HC'!P214</f>
        <v>88.574014442321015</v>
      </c>
      <c r="R73" s="432">
        <f>'Propylene Recycling HC'!Q214</f>
        <v>88.290801114423559</v>
      </c>
      <c r="S73" s="432">
        <f>'Propylene Recycling HC'!R214</f>
        <v>87.761240911393159</v>
      </c>
      <c r="T73" s="432">
        <f>'Propylene Recycling HC'!S214</f>
        <v>87.151325814035417</v>
      </c>
      <c r="U73" s="432">
        <f>'Propylene Recycling HC'!T214</f>
        <v>86.476624403059489</v>
      </c>
      <c r="V73" s="432">
        <f>'Propylene Recycling HC'!U214</f>
        <v>85.757799883996697</v>
      </c>
      <c r="W73" s="432">
        <f>'Propylene Recycling HC'!V214</f>
        <v>85.014443470299156</v>
      </c>
      <c r="X73" s="432">
        <f>'Propylene Recycling HC'!W214</f>
        <v>84.260431794052082</v>
      </c>
      <c r="Y73" s="432">
        <f>'Propylene Recycling HC'!X214</f>
        <v>82.723152975441536</v>
      </c>
      <c r="Z73" s="432">
        <f>'Propylene Recycling HC'!Y214</f>
        <v>81.385515265436695</v>
      </c>
      <c r="AA73" s="432">
        <f>'Propylene Recycling HC'!Z214</f>
        <v>79.963671895079443</v>
      </c>
      <c r="AB73" s="432">
        <f>'Propylene Recycling HC'!AA214</f>
        <v>78.524064975810234</v>
      </c>
      <c r="AC73" s="432">
        <f>'Propylene Recycling HC'!AB214</f>
        <v>77.055397162719203</v>
      </c>
      <c r="AD73" s="432">
        <f>'Propylene Recycling HC'!AC214</f>
        <v>75.538752896068445</v>
      </c>
      <c r="AE73" s="432">
        <f>'Propylene Recycling HC'!AD214</f>
        <v>73.971997149049741</v>
      </c>
      <c r="AF73" s="432">
        <f>'Propylene Recycling HC'!AE214</f>
        <v>72.349363777737793</v>
      </c>
      <c r="AG73" s="432">
        <f>'Propylene Recycling HC'!AF214</f>
        <v>70.671315882099961</v>
      </c>
      <c r="AH73" s="432">
        <f>'Propylene Recycling HC'!AG214</f>
        <v>68.66923532114285</v>
      </c>
      <c r="AI73" s="432"/>
    </row>
    <row r="74" spans="1:45" hidden="1" x14ac:dyDescent="0.2">
      <c r="A74" t="s">
        <v>277</v>
      </c>
      <c r="B74"/>
      <c r="C74" s="54"/>
      <c r="D74" s="44">
        <f t="shared" ref="D74:AH74" si="31">D4-D6-D14-D22-D26-D32</f>
        <v>0</v>
      </c>
      <c r="E74" s="44">
        <f t="shared" si="31"/>
        <v>0</v>
      </c>
      <c r="F74" s="44">
        <f t="shared" si="31"/>
        <v>0</v>
      </c>
      <c r="G74" s="44">
        <f t="shared" si="31"/>
        <v>0</v>
      </c>
      <c r="H74" s="44">
        <f t="shared" si="31"/>
        <v>0</v>
      </c>
      <c r="I74" s="44">
        <f t="shared" si="31"/>
        <v>0</v>
      </c>
      <c r="J74" s="44">
        <f t="shared" si="31"/>
        <v>0</v>
      </c>
      <c r="K74" s="44">
        <f t="shared" si="31"/>
        <v>0</v>
      </c>
      <c r="L74" s="44">
        <f t="shared" si="31"/>
        <v>0</v>
      </c>
      <c r="M74" s="44">
        <f t="shared" si="31"/>
        <v>0</v>
      </c>
      <c r="N74" s="44">
        <f t="shared" si="31"/>
        <v>0</v>
      </c>
      <c r="O74" s="44">
        <f t="shared" si="31"/>
        <v>0</v>
      </c>
      <c r="P74" s="44">
        <f t="shared" si="31"/>
        <v>0</v>
      </c>
      <c r="Q74" s="44">
        <f t="shared" si="31"/>
        <v>0</v>
      </c>
      <c r="R74" s="44">
        <f t="shared" si="31"/>
        <v>0</v>
      </c>
      <c r="S74" s="44">
        <f t="shared" si="31"/>
        <v>0</v>
      </c>
      <c r="T74" s="44">
        <f t="shared" si="31"/>
        <v>0</v>
      </c>
      <c r="U74" s="44">
        <f t="shared" si="31"/>
        <v>0</v>
      </c>
      <c r="V74" s="44">
        <f t="shared" si="31"/>
        <v>0</v>
      </c>
      <c r="W74" s="44">
        <f t="shared" si="31"/>
        <v>0</v>
      </c>
      <c r="X74" s="44">
        <f t="shared" si="31"/>
        <v>0</v>
      </c>
      <c r="Y74" s="44">
        <f t="shared" si="31"/>
        <v>0</v>
      </c>
      <c r="Z74" s="44">
        <f t="shared" si="31"/>
        <v>0</v>
      </c>
      <c r="AA74" s="44">
        <f t="shared" si="31"/>
        <v>0</v>
      </c>
      <c r="AB74" s="44">
        <f t="shared" si="31"/>
        <v>0</v>
      </c>
      <c r="AC74" s="44">
        <f t="shared" si="31"/>
        <v>0</v>
      </c>
      <c r="AD74" s="44">
        <f t="shared" si="31"/>
        <v>0</v>
      </c>
      <c r="AE74" s="44">
        <f t="shared" si="31"/>
        <v>0</v>
      </c>
      <c r="AF74" s="44">
        <f t="shared" si="31"/>
        <v>0</v>
      </c>
      <c r="AG74" s="44">
        <f t="shared" si="31"/>
        <v>0</v>
      </c>
      <c r="AH74" s="44">
        <f t="shared" si="31"/>
        <v>0</v>
      </c>
    </row>
    <row r="75" spans="1:45" hidden="1" x14ac:dyDescent="0.2">
      <c r="A75" t="s">
        <v>278</v>
      </c>
      <c r="B75"/>
      <c r="C75" s="54"/>
      <c r="D75" s="44">
        <f t="shared" ref="D75:AH75" si="32">D42-D13-D21-D25-D31-D35-D38</f>
        <v>0</v>
      </c>
      <c r="E75" s="44">
        <f t="shared" si="32"/>
        <v>0</v>
      </c>
      <c r="F75" s="44">
        <f t="shared" si="32"/>
        <v>1.4210854715202004E-14</v>
      </c>
      <c r="G75" s="44">
        <f t="shared" si="32"/>
        <v>7.1054273576010019E-15</v>
      </c>
      <c r="H75" s="44">
        <f t="shared" si="32"/>
        <v>-7.1054273576010019E-15</v>
      </c>
      <c r="I75" s="44">
        <f t="shared" si="32"/>
        <v>1.4210854715202004E-14</v>
      </c>
      <c r="J75" s="44">
        <f t="shared" si="32"/>
        <v>1.4210854715202004E-14</v>
      </c>
      <c r="K75" s="44">
        <f t="shared" si="32"/>
        <v>-7.1054273576010019E-15</v>
      </c>
      <c r="L75" s="44">
        <f t="shared" si="32"/>
        <v>-7.1054273576010019E-15</v>
      </c>
      <c r="M75" s="44">
        <f t="shared" si="32"/>
        <v>2.1316282072803006E-14</v>
      </c>
      <c r="N75" s="44">
        <f t="shared" si="32"/>
        <v>7.1054273576010019E-15</v>
      </c>
      <c r="O75" s="44">
        <f t="shared" si="32"/>
        <v>0</v>
      </c>
      <c r="P75" s="44">
        <f t="shared" si="32"/>
        <v>1.4210854715202004E-14</v>
      </c>
      <c r="Q75" s="44">
        <f t="shared" si="32"/>
        <v>-7.1054273576010019E-15</v>
      </c>
      <c r="R75" s="44">
        <f t="shared" si="32"/>
        <v>7.1054273576010019E-15</v>
      </c>
      <c r="S75" s="44">
        <f t="shared" si="32"/>
        <v>0</v>
      </c>
      <c r="T75" s="44">
        <f t="shared" si="32"/>
        <v>7.1054273576010019E-15</v>
      </c>
      <c r="U75" s="44">
        <f t="shared" si="32"/>
        <v>7.1054273576010019E-15</v>
      </c>
      <c r="V75" s="44">
        <f t="shared" si="32"/>
        <v>-2.1316282072803006E-14</v>
      </c>
      <c r="W75" s="44">
        <f t="shared" si="32"/>
        <v>2.1316282072803006E-14</v>
      </c>
      <c r="X75" s="44">
        <f t="shared" si="32"/>
        <v>0</v>
      </c>
      <c r="Y75" s="44">
        <f t="shared" si="32"/>
        <v>7.1054273576010019E-15</v>
      </c>
      <c r="Z75" s="44">
        <f t="shared" si="32"/>
        <v>2.8421709430404007E-14</v>
      </c>
      <c r="AA75" s="44">
        <f t="shared" si="32"/>
        <v>0</v>
      </c>
      <c r="AB75" s="44">
        <f t="shared" si="32"/>
        <v>-1.4210854715202004E-14</v>
      </c>
      <c r="AC75" s="44">
        <f t="shared" si="32"/>
        <v>7.1054273576010019E-15</v>
      </c>
      <c r="AD75" s="44">
        <f t="shared" si="32"/>
        <v>-7.1054273576010019E-15</v>
      </c>
      <c r="AE75" s="44">
        <f t="shared" si="32"/>
        <v>0</v>
      </c>
      <c r="AF75" s="44">
        <f t="shared" si="32"/>
        <v>-2.1316282072803006E-14</v>
      </c>
      <c r="AG75" s="44">
        <f t="shared" si="32"/>
        <v>0</v>
      </c>
      <c r="AH75" s="44">
        <f t="shared" si="32"/>
        <v>2.1316282072803006E-14</v>
      </c>
    </row>
    <row r="76" spans="1:45" hidden="1" x14ac:dyDescent="0.2">
      <c r="A76" t="s">
        <v>279</v>
      </c>
      <c r="B76"/>
      <c r="C76" s="54"/>
      <c r="D76" s="244">
        <f t="shared" ref="D76:AH76" si="33">D42-D43-D47-D50-D54-D60</f>
        <v>0</v>
      </c>
      <c r="E76" s="244">
        <f t="shared" si="33"/>
        <v>0</v>
      </c>
      <c r="F76" s="244">
        <f t="shared" si="33"/>
        <v>0</v>
      </c>
      <c r="G76" s="244">
        <f t="shared" si="33"/>
        <v>0</v>
      </c>
      <c r="H76" s="244">
        <f t="shared" si="33"/>
        <v>0</v>
      </c>
      <c r="I76" s="244">
        <f t="shared" si="33"/>
        <v>0</v>
      </c>
      <c r="J76" s="244">
        <f t="shared" si="33"/>
        <v>0</v>
      </c>
      <c r="K76" s="244">
        <f t="shared" si="33"/>
        <v>0</v>
      </c>
      <c r="L76" s="244">
        <f t="shared" si="33"/>
        <v>0</v>
      </c>
      <c r="M76" s="244">
        <f t="shared" si="33"/>
        <v>0</v>
      </c>
      <c r="N76" s="244">
        <f t="shared" si="33"/>
        <v>0</v>
      </c>
      <c r="O76" s="244">
        <f t="shared" si="33"/>
        <v>0</v>
      </c>
      <c r="P76" s="244">
        <f t="shared" si="33"/>
        <v>0</v>
      </c>
      <c r="Q76" s="244">
        <f t="shared" si="33"/>
        <v>0</v>
      </c>
      <c r="R76" s="244">
        <f t="shared" si="33"/>
        <v>0</v>
      </c>
      <c r="S76" s="244">
        <f t="shared" si="33"/>
        <v>0</v>
      </c>
      <c r="T76" s="244">
        <f t="shared" si="33"/>
        <v>0</v>
      </c>
      <c r="U76" s="244">
        <f t="shared" si="33"/>
        <v>0</v>
      </c>
      <c r="V76" s="244">
        <f t="shared" si="33"/>
        <v>0</v>
      </c>
      <c r="W76" s="244">
        <f t="shared" si="33"/>
        <v>0</v>
      </c>
      <c r="X76" s="244">
        <f t="shared" si="33"/>
        <v>0</v>
      </c>
      <c r="Y76" s="244">
        <f t="shared" si="33"/>
        <v>0</v>
      </c>
      <c r="Z76" s="244">
        <f t="shared" si="33"/>
        <v>0</v>
      </c>
      <c r="AA76" s="244">
        <f t="shared" si="33"/>
        <v>0</v>
      </c>
      <c r="AB76" s="244">
        <f t="shared" si="33"/>
        <v>0</v>
      </c>
      <c r="AC76" s="244">
        <f t="shared" si="33"/>
        <v>0</v>
      </c>
      <c r="AD76" s="244">
        <f t="shared" si="33"/>
        <v>0</v>
      </c>
      <c r="AE76" s="244">
        <f t="shared" si="33"/>
        <v>0</v>
      </c>
      <c r="AF76" s="244">
        <f t="shared" si="33"/>
        <v>0</v>
      </c>
      <c r="AG76" s="244">
        <f t="shared" si="33"/>
        <v>0</v>
      </c>
      <c r="AH76" s="244">
        <f t="shared" si="33"/>
        <v>0</v>
      </c>
    </row>
    <row r="77" spans="1:45" hidden="1" x14ac:dyDescent="0.2">
      <c r="A77" t="s">
        <v>280</v>
      </c>
      <c r="B77"/>
      <c r="C77" s="54"/>
      <c r="D77" s="244">
        <f t="shared" ref="D77:AH77" si="34">D46+D49+D53+D59+D65-D68</f>
        <v>0</v>
      </c>
      <c r="E77" s="244">
        <f t="shared" si="34"/>
        <v>0</v>
      </c>
      <c r="F77" s="244">
        <f t="shared" si="34"/>
        <v>0</v>
      </c>
      <c r="G77" s="244">
        <f t="shared" si="34"/>
        <v>0</v>
      </c>
      <c r="H77" s="244">
        <f t="shared" si="34"/>
        <v>0</v>
      </c>
      <c r="I77" s="244">
        <f t="shared" si="34"/>
        <v>0</v>
      </c>
      <c r="J77" s="244">
        <f t="shared" si="34"/>
        <v>0</v>
      </c>
      <c r="K77" s="244">
        <f t="shared" si="34"/>
        <v>0</v>
      </c>
      <c r="L77" s="244">
        <f t="shared" si="34"/>
        <v>0</v>
      </c>
      <c r="M77" s="244">
        <f t="shared" si="34"/>
        <v>0</v>
      </c>
      <c r="N77" s="244">
        <f t="shared" si="34"/>
        <v>0</v>
      </c>
      <c r="O77" s="244">
        <f t="shared" si="34"/>
        <v>0</v>
      </c>
      <c r="P77" s="244">
        <f t="shared" si="34"/>
        <v>0</v>
      </c>
      <c r="Q77" s="244">
        <f t="shared" si="34"/>
        <v>0</v>
      </c>
      <c r="R77" s="244">
        <f t="shared" si="34"/>
        <v>0</v>
      </c>
      <c r="S77" s="244">
        <f t="shared" si="34"/>
        <v>0</v>
      </c>
      <c r="T77" s="244">
        <f t="shared" si="34"/>
        <v>0</v>
      </c>
      <c r="U77" s="244">
        <f t="shared" si="34"/>
        <v>0</v>
      </c>
      <c r="V77" s="244">
        <f t="shared" si="34"/>
        <v>0</v>
      </c>
      <c r="W77" s="244">
        <f t="shared" si="34"/>
        <v>0</v>
      </c>
      <c r="X77" s="244">
        <f t="shared" si="34"/>
        <v>0</v>
      </c>
      <c r="Y77" s="244">
        <f t="shared" si="34"/>
        <v>0</v>
      </c>
      <c r="Z77" s="244">
        <f t="shared" si="34"/>
        <v>0</v>
      </c>
      <c r="AA77" s="244">
        <f t="shared" si="34"/>
        <v>0</v>
      </c>
      <c r="AB77" s="244">
        <f t="shared" si="34"/>
        <v>0</v>
      </c>
      <c r="AC77" s="244">
        <f t="shared" si="34"/>
        <v>0</v>
      </c>
      <c r="AD77" s="244">
        <f t="shared" si="34"/>
        <v>0</v>
      </c>
      <c r="AE77" s="244">
        <f t="shared" si="34"/>
        <v>-4.8291736257937146E-3</v>
      </c>
      <c r="AF77" s="244">
        <f t="shared" si="34"/>
        <v>-0.82305710336765969</v>
      </c>
      <c r="AG77" s="244">
        <f t="shared" si="34"/>
        <v>-1.6561454681534968</v>
      </c>
      <c r="AH77" s="244">
        <f t="shared" si="34"/>
        <v>0</v>
      </c>
    </row>
    <row r="78" spans="1:45" ht="16" thickBot="1" x14ac:dyDescent="0.25">
      <c r="C78" s="65"/>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row>
    <row r="79" spans="1:45" ht="54" customHeight="1" thickBot="1" x14ac:dyDescent="0.25">
      <c r="A79" s="250" t="s">
        <v>392</v>
      </c>
      <c r="B79" s="185">
        <v>2020</v>
      </c>
      <c r="C79" s="186" t="s">
        <v>282</v>
      </c>
      <c r="D79" s="186" t="s">
        <v>282</v>
      </c>
      <c r="E79" s="186" t="s">
        <v>283</v>
      </c>
      <c r="F79" s="186" t="s">
        <v>284</v>
      </c>
      <c r="G79" s="186" t="s">
        <v>285</v>
      </c>
      <c r="H79" s="186" t="s">
        <v>286</v>
      </c>
      <c r="I79" s="186" t="s">
        <v>287</v>
      </c>
      <c r="J79" s="186" t="s">
        <v>288</v>
      </c>
      <c r="K79" s="186" t="s">
        <v>289</v>
      </c>
      <c r="L79" s="186" t="s">
        <v>290</v>
      </c>
      <c r="M79" s="186" t="s">
        <v>291</v>
      </c>
      <c r="N79" s="186" t="s">
        <v>292</v>
      </c>
      <c r="O79" s="186" t="s">
        <v>293</v>
      </c>
      <c r="P79" s="186" t="s">
        <v>294</v>
      </c>
      <c r="Q79" s="186" t="s">
        <v>295</v>
      </c>
      <c r="R79" s="186" t="s">
        <v>296</v>
      </c>
      <c r="S79" s="186" t="s">
        <v>297</v>
      </c>
      <c r="T79" s="186" t="s">
        <v>298</v>
      </c>
      <c r="U79" s="186" t="s">
        <v>299</v>
      </c>
      <c r="V79" s="186" t="s">
        <v>300</v>
      </c>
      <c r="W79" s="186" t="s">
        <v>301</v>
      </c>
      <c r="X79" s="186" t="s">
        <v>292</v>
      </c>
      <c r="AJ79" s="138" t="s">
        <v>302</v>
      </c>
      <c r="AK79" s="139" t="s">
        <v>1</v>
      </c>
      <c r="AL79" s="139" t="s">
        <v>180</v>
      </c>
      <c r="AM79" s="139" t="s">
        <v>181</v>
      </c>
      <c r="AN79" s="139" t="s">
        <v>303</v>
      </c>
      <c r="AO79" s="139" t="s">
        <v>304</v>
      </c>
      <c r="AP79" s="139" t="s">
        <v>305</v>
      </c>
      <c r="AQ79" s="139" t="s">
        <v>393</v>
      </c>
      <c r="AR79" s="139" t="s">
        <v>308</v>
      </c>
      <c r="AS79" s="139"/>
    </row>
    <row r="80" spans="1:45" x14ac:dyDescent="0.2">
      <c r="A80" t="s">
        <v>309</v>
      </c>
      <c r="B80" s="183">
        <f>'Demand Breakdown - Propylene'!J50</f>
        <v>0.26787914691943132</v>
      </c>
      <c r="C80" s="184">
        <f>D80/$D$88</f>
        <v>0.31337175364236303</v>
      </c>
      <c r="D80" s="249">
        <f>AH21*B80/(B80+B84)</f>
        <v>35.352344198050091</v>
      </c>
      <c r="N80" s="194">
        <f>X80/$X$88</f>
        <v>0.37425723555361573</v>
      </c>
      <c r="X80" s="44">
        <f>AH46*B80/(B80+B84)</f>
        <v>29.146891892928064</v>
      </c>
      <c r="AJ80" s="30" t="s">
        <v>67</v>
      </c>
      <c r="AK80" s="140">
        <f>D4</f>
        <v>111.92307692307692</v>
      </c>
      <c r="AM80" s="140">
        <f>AH4</f>
        <v>160</v>
      </c>
      <c r="AN80" s="140"/>
      <c r="AO80" s="140"/>
      <c r="AP80" s="140"/>
      <c r="AR80" s="140" t="s">
        <v>167</v>
      </c>
      <c r="AS80" s="137"/>
    </row>
    <row r="81" spans="1:45" x14ac:dyDescent="0.2">
      <c r="A81" t="s">
        <v>310</v>
      </c>
      <c r="B81" s="183">
        <f>'Demand Breakdown - Propylene'!J51</f>
        <v>0.11060426540284357</v>
      </c>
      <c r="C81" s="184">
        <f t="shared" ref="C81:C87" si="35">D81/$D$88</f>
        <v>8.1879324125359892E-2</v>
      </c>
      <c r="D81" s="249">
        <f>AH25</f>
        <v>9.2370356151720525</v>
      </c>
      <c r="N81" s="194">
        <f t="shared" ref="N81:N87" si="36">X81/$X$88</f>
        <v>0</v>
      </c>
      <c r="X81" s="44">
        <f>IF(AH59&lt;0,0,AH59)</f>
        <v>0</v>
      </c>
      <c r="AJ81" s="30" t="s">
        <v>168</v>
      </c>
      <c r="AN81" s="44">
        <f>-AH17</f>
        <v>-11.587389862670005</v>
      </c>
      <c r="AO81" s="43">
        <f>-AH23</f>
        <v>-11.289710196321399</v>
      </c>
      <c r="AP81" s="44">
        <f>-AH11+AH7</f>
        <v>-12.216009473142368</v>
      </c>
      <c r="AQ81" s="43">
        <f>-AH33</f>
        <v>-5.8715970352893052</v>
      </c>
    </row>
    <row r="82" spans="1:45" x14ac:dyDescent="0.2">
      <c r="A82" t="s">
        <v>311</v>
      </c>
      <c r="B82" s="183">
        <f>'Demand Breakdown - Propylene'!J52</f>
        <v>0.15755924170616112</v>
      </c>
      <c r="C82" s="184">
        <f t="shared" si="35"/>
        <v>0.15091357971302488</v>
      </c>
      <c r="D82" s="249">
        <f>AH13</f>
        <v>17.024983114028487</v>
      </c>
      <c r="N82" s="194">
        <f t="shared" si="36"/>
        <v>0.14752223717570967</v>
      </c>
      <c r="X82" s="44">
        <f>AH49</f>
        <v>11.48892871076454</v>
      </c>
      <c r="AJ82" s="30" t="s">
        <v>172</v>
      </c>
      <c r="AN82" s="44">
        <f>-AH20</f>
        <v>-4.265296881964419</v>
      </c>
      <c r="AO82" s="43">
        <f>-AH24</f>
        <v>0</v>
      </c>
      <c r="AP82">
        <f>-AH12</f>
        <v>0</v>
      </c>
      <c r="AQ82" s="43">
        <f>-AH34</f>
        <v>-1.9571990117631017</v>
      </c>
    </row>
    <row r="83" spans="1:45" x14ac:dyDescent="0.2">
      <c r="A83" t="s">
        <v>312</v>
      </c>
      <c r="B83" s="183">
        <f>'Demand Breakdown - Propylene'!J53</f>
        <v>6.3578199052132689E-2</v>
      </c>
      <c r="C83" s="184">
        <f t="shared" si="35"/>
        <v>5.6331714415697176E-2</v>
      </c>
      <c r="D83" s="249">
        <f>AH35*B83/(B83+B85)</f>
        <v>6.354938293394329</v>
      </c>
      <c r="N83" s="194">
        <f t="shared" si="36"/>
        <v>5.4331043658125105E-2</v>
      </c>
      <c r="X83" s="44">
        <f>AH65*C83/(C83+C85+C87)</f>
        <v>4.2312637017981318</v>
      </c>
      <c r="AJ83" s="30" t="s">
        <v>175</v>
      </c>
      <c r="AL83" s="140">
        <f>AH4-D4</f>
        <v>48.07692307692308</v>
      </c>
      <c r="AS83" s="44"/>
    </row>
    <row r="84" spans="1:45" x14ac:dyDescent="0.2">
      <c r="A84" t="s">
        <v>313</v>
      </c>
      <c r="B84" s="183">
        <f>'Demand Breakdown - Propylene'!J54</f>
        <v>0.15066350710900475</v>
      </c>
      <c r="C84" s="184">
        <f t="shared" si="35"/>
        <v>0.17624995441268027</v>
      </c>
      <c r="D84" s="249">
        <f>AH21*B84/(B80+B84)</f>
        <v>19.883250423389136</v>
      </c>
      <c r="N84" s="194">
        <f t="shared" si="36"/>
        <v>0.21049383021362192</v>
      </c>
      <c r="X84" s="44">
        <f>AH46*B84/(B80+B84)</f>
        <v>16.393112358373802</v>
      </c>
    </row>
    <row r="85" spans="1:45" ht="96" x14ac:dyDescent="0.2">
      <c r="A85" t="s">
        <v>248</v>
      </c>
      <c r="B85" s="183">
        <f>'Demand Breakdown - Propylene'!J55</f>
        <v>0.24971563981042649</v>
      </c>
      <c r="C85" s="184">
        <f t="shared" si="35"/>
        <v>0.2212536736908747</v>
      </c>
      <c r="D85" s="249">
        <f>AH35*B85/(B83+B85)</f>
        <v>24.960245894815298</v>
      </c>
      <c r="N85" s="194">
        <f t="shared" si="36"/>
        <v>0.21339565339892747</v>
      </c>
      <c r="X85" s="44">
        <f>AH65*C85/(C83+C85+C87)</f>
        <v>16.619104319623077</v>
      </c>
      <c r="AJ85" s="260" t="s">
        <v>314</v>
      </c>
      <c r="AK85" s="136" t="s">
        <v>1</v>
      </c>
      <c r="AL85" s="136" t="s">
        <v>180</v>
      </c>
      <c r="AM85" s="136" t="s">
        <v>181</v>
      </c>
      <c r="AN85" s="136" t="s">
        <v>25</v>
      </c>
      <c r="AO85" s="136" t="s">
        <v>315</v>
      </c>
      <c r="AP85" s="136" t="s">
        <v>316</v>
      </c>
      <c r="AQ85" s="136" t="s">
        <v>317</v>
      </c>
      <c r="AR85" s="136" t="s">
        <v>318</v>
      </c>
      <c r="AS85" s="263" t="s">
        <v>319</v>
      </c>
    </row>
    <row r="86" spans="1:45" x14ac:dyDescent="0.2">
      <c r="A86" s="131" t="s">
        <v>320</v>
      </c>
      <c r="B86" s="183">
        <f>'Demand Breakdown - Propylene'!J56</f>
        <v>0</v>
      </c>
      <c r="C86" s="184">
        <f t="shared" si="35"/>
        <v>0</v>
      </c>
      <c r="D86" s="249">
        <f>AH31</f>
        <v>0</v>
      </c>
      <c r="N86" s="194">
        <f t="shared" si="36"/>
        <v>0</v>
      </c>
      <c r="X86" s="44">
        <f>AH53</f>
        <v>0</v>
      </c>
      <c r="AK86" s="143">
        <f>D14</f>
        <v>46.844581662413418</v>
      </c>
      <c r="AL86" s="143">
        <f>AH14-D14</f>
        <v>24.243699703660226</v>
      </c>
      <c r="AM86" s="143">
        <f>AH14</f>
        <v>71.088281366073645</v>
      </c>
      <c r="AN86" s="143">
        <f>-'Yearly LC Propylene'!AH15</f>
        <v>-2.2442570427269448</v>
      </c>
      <c r="AO86" s="143">
        <f>-'Yearly LC Propylene'!AH16</f>
        <v>-6.6780331515289584</v>
      </c>
      <c r="AP86" s="143">
        <f>SUM(AM86:AO87)</f>
        <v>59.500891503403643</v>
      </c>
      <c r="AQ86" s="262">
        <f>-'Yearly LC Propylene'!AH18</f>
        <v>-1.9563495031943468</v>
      </c>
      <c r="AR86" s="262">
        <f>-'Yearly LC Propylene'!AH19</f>
        <v>-1.7118058152950535</v>
      </c>
      <c r="AS86" s="44" t="s">
        <v>167</v>
      </c>
    </row>
    <row r="87" spans="1:45" ht="16" thickBot="1" x14ac:dyDescent="0.25">
      <c r="A87" t="s">
        <v>321</v>
      </c>
      <c r="B87" s="183"/>
      <c r="C87" s="184">
        <f t="shared" si="35"/>
        <v>0</v>
      </c>
      <c r="D87" s="249">
        <f>AH38</f>
        <v>0</v>
      </c>
      <c r="N87" s="194">
        <f t="shared" si="36"/>
        <v>0</v>
      </c>
      <c r="X87" s="44">
        <f>AH65*C87/(C83+C85+C87)</f>
        <v>0</v>
      </c>
      <c r="AN87" s="44">
        <f>-AH15-AN86</f>
        <v>-0.67036249328207465</v>
      </c>
      <c r="AO87" s="44">
        <f>-AH16-AO86</f>
        <v>-1.994737175132026</v>
      </c>
      <c r="AP87" s="44"/>
      <c r="AQ87" s="44">
        <f>-AH18-AQ86</f>
        <v>-0.31847550052000995</v>
      </c>
      <c r="AR87" s="44">
        <f>-AH19-AR86</f>
        <v>-0.27866606295500862</v>
      </c>
    </row>
    <row r="88" spans="1:45" ht="16" thickBot="1" x14ac:dyDescent="0.25">
      <c r="A88" s="185" t="s">
        <v>67</v>
      </c>
      <c r="B88" s="247">
        <f>SUM(B80:B86)</f>
        <v>1</v>
      </c>
      <c r="C88" s="246">
        <f>SUM(C80:C87)</f>
        <v>0.99999999999999989</v>
      </c>
      <c r="D88" s="187">
        <f>SUM(D80:D87)</f>
        <v>112.8127975388494</v>
      </c>
      <c r="E88" s="188"/>
      <c r="F88" s="188"/>
      <c r="G88" s="188"/>
      <c r="H88" s="188"/>
      <c r="I88" s="188"/>
      <c r="J88" s="188"/>
      <c r="K88" s="188"/>
      <c r="L88" s="188"/>
      <c r="M88" s="188"/>
      <c r="N88" s="248">
        <f>SUM(N80:N87)</f>
        <v>1</v>
      </c>
      <c r="X88" s="44">
        <f>SUM(X80:X87)</f>
        <v>77.879300983487624</v>
      </c>
    </row>
    <row r="89" spans="1:45" ht="81" thickBot="1" x14ac:dyDescent="0.25">
      <c r="AJ89" s="260" t="s">
        <v>322</v>
      </c>
      <c r="AK89" s="136" t="s">
        <v>1</v>
      </c>
      <c r="AL89" s="136" t="s">
        <v>180</v>
      </c>
      <c r="AM89" s="136" t="s">
        <v>181</v>
      </c>
      <c r="AN89" s="136" t="s">
        <v>183</v>
      </c>
      <c r="AO89" s="136" t="s">
        <v>28</v>
      </c>
      <c r="AP89" s="263" t="s">
        <v>319</v>
      </c>
      <c r="AQ89" s="136"/>
      <c r="AR89" s="136"/>
    </row>
    <row r="90" spans="1:45" ht="49" thickBot="1" x14ac:dyDescent="0.25">
      <c r="A90" s="250" t="s">
        <v>394</v>
      </c>
      <c r="B90" s="185">
        <v>2020</v>
      </c>
      <c r="C90" s="186" t="s">
        <v>282</v>
      </c>
      <c r="D90" s="186" t="s">
        <v>292</v>
      </c>
      <c r="E90" s="186" t="s">
        <v>283</v>
      </c>
      <c r="F90" s="186" t="s">
        <v>284</v>
      </c>
      <c r="G90" s="186" t="s">
        <v>285</v>
      </c>
      <c r="H90" s="186" t="s">
        <v>286</v>
      </c>
      <c r="I90" s="186" t="s">
        <v>287</v>
      </c>
      <c r="J90" s="186" t="s">
        <v>288</v>
      </c>
      <c r="K90" s="186" t="s">
        <v>289</v>
      </c>
      <c r="L90" s="186" t="s">
        <v>290</v>
      </c>
      <c r="M90" s="186" t="s">
        <v>291</v>
      </c>
      <c r="O90" s="186" t="s">
        <v>293</v>
      </c>
      <c r="P90" s="186" t="s">
        <v>294</v>
      </c>
      <c r="Q90" s="186" t="s">
        <v>295</v>
      </c>
      <c r="R90" s="186" t="s">
        <v>296</v>
      </c>
      <c r="S90" s="186" t="s">
        <v>297</v>
      </c>
      <c r="T90" s="186" t="s">
        <v>298</v>
      </c>
      <c r="U90" s="186" t="s">
        <v>299</v>
      </c>
      <c r="V90" s="186" t="s">
        <v>300</v>
      </c>
      <c r="W90" s="186" t="s">
        <v>301</v>
      </c>
      <c r="X90" s="186"/>
      <c r="AK90" s="143">
        <f>D22</f>
        <v>12.379169704702877</v>
      </c>
      <c r="AL90" s="143">
        <f>AH22-D22</f>
        <v>8.1475761067905754</v>
      </c>
      <c r="AM90" s="143">
        <f>AH22</f>
        <v>20.526745811493452</v>
      </c>
      <c r="AN90" s="143">
        <f>-'Yearly LC Propylene'!AH23</f>
        <v>-4.5158840785285594</v>
      </c>
      <c r="AO90" s="143">
        <f>-'Yearly LC Propylene'!AH24</f>
        <v>0</v>
      </c>
      <c r="AP90" s="143" t="s">
        <v>167</v>
      </c>
      <c r="AQ90" s="143"/>
    </row>
    <row r="91" spans="1:45" x14ac:dyDescent="0.2">
      <c r="A91" t="s">
        <v>324</v>
      </c>
      <c r="B91" s="183">
        <f>B80+B84</f>
        <v>0.41854265402843605</v>
      </c>
      <c r="C91" s="184">
        <f t="shared" ref="C91" si="37">C80+C84</f>
        <v>0.48962170805504329</v>
      </c>
      <c r="D91" s="194">
        <f>N80+N84</f>
        <v>0.58475106576723768</v>
      </c>
      <c r="X91" s="44"/>
      <c r="AN91" s="44">
        <f>-(AH23+AN90)</f>
        <v>-6.7738261177928401</v>
      </c>
      <c r="AO91" s="44">
        <f>-(AH24+AO90)</f>
        <v>0</v>
      </c>
    </row>
    <row r="92" spans="1:45" x14ac:dyDescent="0.2">
      <c r="A92" t="s">
        <v>311</v>
      </c>
      <c r="B92" s="183">
        <f>B82</f>
        <v>0.15755924170616112</v>
      </c>
      <c r="C92" s="184">
        <f>C82</f>
        <v>0.15091357971302488</v>
      </c>
      <c r="D92" s="194">
        <f>N82</f>
        <v>0.14752223717570967</v>
      </c>
      <c r="X92" s="44"/>
    </row>
    <row r="93" spans="1:45" ht="96" x14ac:dyDescent="0.2">
      <c r="A93" t="s">
        <v>310</v>
      </c>
      <c r="B93" s="183">
        <f>B81</f>
        <v>0.11060426540284357</v>
      </c>
      <c r="C93" s="184">
        <f>C81</f>
        <v>8.1879324125359892E-2</v>
      </c>
      <c r="D93" s="194">
        <f>N81</f>
        <v>0</v>
      </c>
      <c r="X93" s="44"/>
      <c r="AJ93" s="260" t="s">
        <v>325</v>
      </c>
      <c r="AK93" s="136" t="s">
        <v>1</v>
      </c>
      <c r="AL93" s="136" t="s">
        <v>180</v>
      </c>
      <c r="AM93" s="136" t="s">
        <v>181</v>
      </c>
      <c r="AN93" s="136" t="s">
        <v>326</v>
      </c>
      <c r="AO93" s="136" t="s">
        <v>327</v>
      </c>
      <c r="AP93" s="136" t="s">
        <v>328</v>
      </c>
      <c r="AQ93" s="136" t="s">
        <v>316</v>
      </c>
      <c r="AR93" s="136" t="s">
        <v>28</v>
      </c>
      <c r="AS93" s="263" t="s">
        <v>319</v>
      </c>
    </row>
    <row r="94" spans="1:45" x14ac:dyDescent="0.2">
      <c r="A94" t="s">
        <v>312</v>
      </c>
      <c r="B94" s="183">
        <f>B83</f>
        <v>6.3578199052132689E-2</v>
      </c>
      <c r="C94" s="184">
        <f>C83</f>
        <v>5.6331714415697176E-2</v>
      </c>
      <c r="D94" s="194">
        <f>N83</f>
        <v>5.4331043658125105E-2</v>
      </c>
      <c r="X94" s="44"/>
      <c r="AK94" s="143">
        <f>D6</f>
        <v>17.63451512942034</v>
      </c>
      <c r="AL94" s="143">
        <f>AH6-D6</f>
        <v>11.606477457750518</v>
      </c>
      <c r="AM94" s="143">
        <f>AH6</f>
        <v>29.240992587170858</v>
      </c>
      <c r="AN94" s="143">
        <f>AH7</f>
        <v>2.924099258717086</v>
      </c>
      <c r="AO94" s="143">
        <f>-'Yearly LC Propylene'!AH9</f>
        <v>-5.3072401545715104</v>
      </c>
      <c r="AP94" s="143">
        <f>-'Yearly LC Propylene'!AH10</f>
        <v>-2.8200744275882252</v>
      </c>
      <c r="AQ94" s="44">
        <f>SUM(AM94:AP95)</f>
        <v>17.02498311402849</v>
      </c>
      <c r="AR94">
        <f>-'Yearly LC Propylene'!AH12</f>
        <v>0</v>
      </c>
      <c r="AS94" s="44" t="s">
        <v>167</v>
      </c>
    </row>
    <row r="95" spans="1:45" x14ac:dyDescent="0.2">
      <c r="A95" t="s">
        <v>248</v>
      </c>
      <c r="B95" s="183">
        <f>B85+B86+B87</f>
        <v>0.24971563981042649</v>
      </c>
      <c r="C95" s="183">
        <f>C85+C86+C87</f>
        <v>0.2212536736908747</v>
      </c>
      <c r="D95" s="183">
        <f>N85+N86+N87</f>
        <v>0.21339565339892747</v>
      </c>
      <c r="X95" s="44"/>
      <c r="AN95" s="44"/>
      <c r="AO95" s="44">
        <f>-(AH9+AO94)</f>
        <v>-5.3072401545715104</v>
      </c>
      <c r="AP95" s="44">
        <f>-(AH10+AP94)</f>
        <v>-1.7055539951282084</v>
      </c>
      <c r="AR95">
        <f>-(AH12+AR94)</f>
        <v>0</v>
      </c>
    </row>
    <row r="96" spans="1:45" ht="16" thickBot="1" x14ac:dyDescent="0.25">
      <c r="A96" t="s">
        <v>321</v>
      </c>
      <c r="B96" s="183">
        <f>B87</f>
        <v>0</v>
      </c>
      <c r="C96" s="184">
        <f>C87</f>
        <v>0</v>
      </c>
      <c r="D96" s="194">
        <f>N87</f>
        <v>0</v>
      </c>
      <c r="X96" s="44"/>
      <c r="AJ96" s="142"/>
      <c r="AK96" s="136"/>
      <c r="AL96" s="136"/>
      <c r="AM96" s="136"/>
      <c r="AN96" s="136"/>
      <c r="AO96" s="136"/>
      <c r="AP96" s="136"/>
    </row>
    <row r="97" spans="1:46" ht="97" thickBot="1" x14ac:dyDescent="0.25">
      <c r="A97" s="185" t="s">
        <v>67</v>
      </c>
      <c r="B97" s="251">
        <f>SUM(B91:B96)</f>
        <v>1</v>
      </c>
      <c r="C97" s="252">
        <f>SUM(C91:C96)</f>
        <v>0.99999999999999989</v>
      </c>
      <c r="D97" s="253">
        <f>SUM(D91:D96)</f>
        <v>1</v>
      </c>
      <c r="X97" s="44"/>
      <c r="AJ97" s="260" t="s">
        <v>330</v>
      </c>
      <c r="AK97" s="136" t="s">
        <v>1</v>
      </c>
      <c r="AL97" s="136" t="s">
        <v>180</v>
      </c>
      <c r="AM97" s="136" t="s">
        <v>181</v>
      </c>
      <c r="AN97" s="136" t="s">
        <v>331</v>
      </c>
      <c r="AO97" s="136" t="s">
        <v>332</v>
      </c>
      <c r="AP97" s="136" t="s">
        <v>316</v>
      </c>
      <c r="AQ97" s="136" t="s">
        <v>28</v>
      </c>
      <c r="AR97" s="263" t="s">
        <v>319</v>
      </c>
    </row>
    <row r="98" spans="1:46" ht="16" thickBot="1" x14ac:dyDescent="0.25">
      <c r="E98" s="188"/>
      <c r="F98" s="188"/>
      <c r="G98" s="188"/>
      <c r="H98" s="188"/>
      <c r="I98" s="188"/>
      <c r="J98" s="188"/>
      <c r="K98" s="188"/>
      <c r="L98" s="188"/>
      <c r="M98" s="188"/>
      <c r="X98" s="44"/>
      <c r="AK98" s="143">
        <f>D26</f>
        <v>0</v>
      </c>
      <c r="AL98" s="143">
        <f>AH26-D26</f>
        <v>0</v>
      </c>
      <c r="AM98" s="143">
        <f>AH26</f>
        <v>0</v>
      </c>
      <c r="AN98" s="143">
        <f>-'Yearly LC Propylene'!AH27</f>
        <v>0</v>
      </c>
      <c r="AO98" s="143">
        <f>-'Yearly LC Propylene'!AH28</f>
        <v>0</v>
      </c>
      <c r="AP98" s="143">
        <f>SUM(AM98:AO99)</f>
        <v>0</v>
      </c>
      <c r="AQ98" s="43">
        <f>-'Yearly LC Propylene'!AH30</f>
        <v>0</v>
      </c>
      <c r="AR98" s="44">
        <f>SUM(AP98:AQ99)</f>
        <v>0</v>
      </c>
    </row>
    <row r="99" spans="1:46" ht="16" thickBot="1" x14ac:dyDescent="0.25">
      <c r="AN99" s="44">
        <f>-(AH27+AN98)</f>
        <v>0</v>
      </c>
      <c r="AO99" s="44">
        <f>-(AH28+AO98)</f>
        <v>0</v>
      </c>
      <c r="AP99" s="44"/>
      <c r="AQ99" s="43">
        <f>-(AH30+AQ98)</f>
        <v>0</v>
      </c>
    </row>
    <row r="100" spans="1:46" ht="49" thickBot="1" x14ac:dyDescent="0.25">
      <c r="A100" s="250" t="s">
        <v>395</v>
      </c>
      <c r="B100" s="254">
        <v>2020</v>
      </c>
      <c r="C100" s="186" t="s">
        <v>334</v>
      </c>
      <c r="D100" s="186" t="s">
        <v>282</v>
      </c>
      <c r="E100" s="188"/>
      <c r="F100" s="188"/>
      <c r="G100" s="188"/>
      <c r="H100" s="188"/>
      <c r="I100" s="188"/>
      <c r="J100" s="188"/>
      <c r="K100" s="188"/>
      <c r="L100" s="188"/>
      <c r="M100" s="188"/>
      <c r="N100" s="255" t="s">
        <v>292</v>
      </c>
    </row>
    <row r="101" spans="1:46" ht="80" x14ac:dyDescent="0.2">
      <c r="A101" t="s">
        <v>321</v>
      </c>
      <c r="B101" s="183">
        <f>B96</f>
        <v>0</v>
      </c>
      <c r="C101" s="183">
        <f>0</f>
        <v>0</v>
      </c>
      <c r="D101" s="184">
        <f>C96</f>
        <v>0</v>
      </c>
      <c r="N101" s="194">
        <f>D96</f>
        <v>0</v>
      </c>
      <c r="AJ101" s="260" t="s">
        <v>335</v>
      </c>
      <c r="AK101" s="136" t="s">
        <v>1</v>
      </c>
      <c r="AL101" s="136" t="s">
        <v>180</v>
      </c>
      <c r="AM101" s="136" t="s">
        <v>181</v>
      </c>
      <c r="AN101" s="136" t="s">
        <v>183</v>
      </c>
      <c r="AO101" s="136" t="s">
        <v>28</v>
      </c>
      <c r="AP101" s="263" t="s">
        <v>319</v>
      </c>
    </row>
    <row r="102" spans="1:46" x14ac:dyDescent="0.2">
      <c r="A102" t="s">
        <v>248</v>
      </c>
      <c r="B102" s="183">
        <f>B95</f>
        <v>0.24971563981042649</v>
      </c>
      <c r="C102" s="183">
        <f>'Demand Breakdown - Propylene'!N55</f>
        <v>0.19500192105324163</v>
      </c>
      <c r="D102" s="184">
        <f>C95</f>
        <v>0.2212536736908747</v>
      </c>
      <c r="N102" s="194">
        <f>D95</f>
        <v>0.21339565339892747</v>
      </c>
      <c r="AK102" s="143">
        <f>D32</f>
        <v>35.064810426540291</v>
      </c>
      <c r="AL102" s="143">
        <f>AH32-D32</f>
        <v>4.0791698087217441</v>
      </c>
      <c r="AM102" s="143">
        <f>AH32</f>
        <v>39.143980235262035</v>
      </c>
      <c r="AN102" s="143">
        <f>-'Yearly LC Propylene'!AH33</f>
        <v>-2.9357985176446526</v>
      </c>
      <c r="AO102" s="43">
        <f>-'Yearly LC Propylene'!AH34</f>
        <v>-0.97859950588155087</v>
      </c>
      <c r="AP102" s="44">
        <f>SUM(AM102:AO103)</f>
        <v>31.315184188209624</v>
      </c>
    </row>
    <row r="103" spans="1:46" x14ac:dyDescent="0.2">
      <c r="A103" t="s">
        <v>312</v>
      </c>
      <c r="B103" s="183">
        <f>B94</f>
        <v>6.3578199052132689E-2</v>
      </c>
      <c r="C103" s="183">
        <f>'Demand Breakdown - Propylene'!N53</f>
        <v>4.9647955417142467E-2</v>
      </c>
      <c r="D103" s="184">
        <f>C94</f>
        <v>5.6331714415697176E-2</v>
      </c>
      <c r="N103" s="194">
        <f>D94</f>
        <v>5.4331043658125105E-2</v>
      </c>
      <c r="AN103" s="44">
        <f>-(AH33+AN102)</f>
        <v>-2.9357985176446526</v>
      </c>
      <c r="AO103" s="43">
        <f>-(AH34+AO102)</f>
        <v>-0.97859950588155087</v>
      </c>
    </row>
    <row r="104" spans="1:46" x14ac:dyDescent="0.2">
      <c r="A104" t="s">
        <v>310</v>
      </c>
      <c r="B104" s="183">
        <f>B93</f>
        <v>0.11060426540284357</v>
      </c>
      <c r="C104" s="183">
        <f>'Demand Breakdown - Propylene'!N51</f>
        <v>0.12829216132183463</v>
      </c>
      <c r="D104" s="184">
        <f>C93</f>
        <v>8.1879324125359892E-2</v>
      </c>
      <c r="N104" s="194">
        <f>D93</f>
        <v>0</v>
      </c>
    </row>
    <row r="105" spans="1:46" ht="96" x14ac:dyDescent="0.2">
      <c r="A105" t="s">
        <v>311</v>
      </c>
      <c r="B105" s="183">
        <f>B92</f>
        <v>0.15755924170616112</v>
      </c>
      <c r="C105" s="183">
        <f>'Demand Breakdown - Propylene'!N52</f>
        <v>0.18275620366981862</v>
      </c>
      <c r="D105" s="184">
        <f>C92</f>
        <v>0.15091357971302488</v>
      </c>
      <c r="N105" s="194">
        <f>D92</f>
        <v>0.14752223717570967</v>
      </c>
      <c r="AJ105" s="138" t="s">
        <v>336</v>
      </c>
      <c r="AK105" s="139" t="s">
        <v>1</v>
      </c>
      <c r="AL105" s="139" t="s">
        <v>180</v>
      </c>
      <c r="AM105" s="139" t="s">
        <v>181</v>
      </c>
      <c r="AN105" s="139" t="s">
        <v>396</v>
      </c>
      <c r="AO105" s="263" t="s">
        <v>308</v>
      </c>
      <c r="AP105" s="139" t="s">
        <v>397</v>
      </c>
      <c r="AQ105" s="139" t="s">
        <v>398</v>
      </c>
      <c r="AR105" s="139" t="s">
        <v>399</v>
      </c>
      <c r="AS105" s="139" t="s">
        <v>400</v>
      </c>
      <c r="AT105" s="139" t="s">
        <v>184</v>
      </c>
    </row>
    <row r="106" spans="1:46" ht="16" thickBot="1" x14ac:dyDescent="0.25">
      <c r="A106" t="s">
        <v>324</v>
      </c>
      <c r="B106" s="183">
        <f>B91</f>
        <v>0.41854265402843605</v>
      </c>
      <c r="C106" s="183">
        <f>'Demand Breakdown - Propylene'!N50+'Demand Breakdown - Propylene'!N54</f>
        <v>0.44430175853796272</v>
      </c>
      <c r="D106" s="184">
        <f>C91</f>
        <v>0.48962170805504329</v>
      </c>
      <c r="N106" s="194">
        <f>D91</f>
        <v>0.58475106576723768</v>
      </c>
      <c r="AK106" s="140">
        <f>D4</f>
        <v>111.92307692307692</v>
      </c>
      <c r="AL106" s="140">
        <f>AH4-D4</f>
        <v>48.07692307692308</v>
      </c>
      <c r="AM106" s="140">
        <f>AH4</f>
        <v>160</v>
      </c>
      <c r="AN106" s="140">
        <f>AH41-AH40-AH39</f>
        <v>-47.187202461150598</v>
      </c>
      <c r="AO106" s="140">
        <f>SUM(AM106:AN106)</f>
        <v>112.8127975388494</v>
      </c>
      <c r="AP106" s="140">
        <f>AH46-AH43</f>
        <v>-9.6955903701373529</v>
      </c>
      <c r="AQ106" s="140">
        <f>IF(AH59-AH54&lt;AH54,-AH54,AH59-AH54)</f>
        <v>-9.2370356151720525</v>
      </c>
      <c r="AR106" s="140">
        <f>AH49-AH47</f>
        <v>-5.5360544032639467</v>
      </c>
      <c r="AS106" s="44">
        <f>AH65-AH60</f>
        <v>-10.46481616678842</v>
      </c>
      <c r="AT106" s="137" t="s">
        <v>167</v>
      </c>
    </row>
    <row r="107" spans="1:46" ht="16" thickBot="1" x14ac:dyDescent="0.25">
      <c r="A107" s="185" t="s">
        <v>67</v>
      </c>
      <c r="B107" s="251">
        <f>SUM(B101:B106)</f>
        <v>0.99999999999999989</v>
      </c>
      <c r="C107" s="251">
        <f>SUM(C101:C106)</f>
        <v>1</v>
      </c>
      <c r="D107" s="252">
        <f>SUM(D101:D106)</f>
        <v>1</v>
      </c>
      <c r="N107" s="253">
        <f>SUM(N101:N106)</f>
        <v>0.99999999999999989</v>
      </c>
      <c r="AJ107" s="137"/>
    </row>
    <row r="109" spans="1:46" ht="78" customHeight="1" thickBot="1" x14ac:dyDescent="0.25">
      <c r="AJ109" s="142" t="s">
        <v>343</v>
      </c>
      <c r="AK109" s="139" t="s">
        <v>1</v>
      </c>
      <c r="AL109" s="139" t="s">
        <v>180</v>
      </c>
      <c r="AM109" s="139" t="s">
        <v>181</v>
      </c>
      <c r="AN109" s="139" t="s">
        <v>344</v>
      </c>
      <c r="AO109" s="263" t="s">
        <v>308</v>
      </c>
      <c r="AP109" s="139" t="s">
        <v>345</v>
      </c>
      <c r="AQ109" s="139" t="s">
        <v>346</v>
      </c>
      <c r="AR109" s="139" t="s">
        <v>401</v>
      </c>
      <c r="AS109" s="139" t="s">
        <v>184</v>
      </c>
    </row>
    <row r="110" spans="1:46" ht="49" thickBot="1" x14ac:dyDescent="0.25">
      <c r="A110" s="250" t="s">
        <v>395</v>
      </c>
      <c r="B110" s="254">
        <v>2020</v>
      </c>
      <c r="C110" s="186" t="s">
        <v>334</v>
      </c>
      <c r="D110" s="186" t="s">
        <v>282</v>
      </c>
      <c r="E110" s="188"/>
      <c r="F110" s="188"/>
      <c r="G110" s="188"/>
      <c r="H110" s="188"/>
      <c r="I110" s="188"/>
      <c r="J110" s="188"/>
      <c r="K110" s="188"/>
      <c r="L110" s="188"/>
      <c r="M110" s="188"/>
      <c r="N110" s="255" t="s">
        <v>292</v>
      </c>
      <c r="AK110" s="140">
        <f>D14</f>
        <v>46.844581662413418</v>
      </c>
      <c r="AL110" s="140">
        <f>AH14-D14</f>
        <v>24.243699703660226</v>
      </c>
      <c r="AM110" s="140" t="s">
        <v>167</v>
      </c>
      <c r="AN110" s="140">
        <f>AH21-AH14</f>
        <v>-15.852686744634426</v>
      </c>
      <c r="AO110" s="143" t="s">
        <v>167</v>
      </c>
      <c r="AP110" s="143">
        <f>-AH44</f>
        <v>-9.5618806401523493</v>
      </c>
      <c r="AQ110" s="143">
        <f>-AH45</f>
        <v>-0.13370972998499786</v>
      </c>
      <c r="AR110" s="143">
        <f>SUM(AP110:AQ110)</f>
        <v>-9.6955903701373476</v>
      </c>
      <c r="AS110" s="143" t="s">
        <v>167</v>
      </c>
    </row>
    <row r="111" spans="1:46" x14ac:dyDescent="0.2">
      <c r="A111" t="s">
        <v>321</v>
      </c>
      <c r="B111" s="261">
        <f>$D$4*B101</f>
        <v>0</v>
      </c>
      <c r="C111" s="261">
        <f>$AH$4*C101</f>
        <v>0</v>
      </c>
      <c r="D111" s="184"/>
      <c r="N111" s="194"/>
    </row>
    <row r="112" spans="1:46" x14ac:dyDescent="0.2">
      <c r="A112" t="s">
        <v>248</v>
      </c>
      <c r="B112" s="261">
        <f t="shared" ref="B112:B113" si="38">$D$4*B102</f>
        <v>27.948942763397735</v>
      </c>
      <c r="C112" s="261">
        <f t="shared" ref="C112:C113" si="39">$AH$4*C102</f>
        <v>31.200307368518661</v>
      </c>
      <c r="D112" s="184"/>
      <c r="N112" s="194"/>
    </row>
    <row r="113" spans="1:46" ht="71.5" customHeight="1" x14ac:dyDescent="0.2">
      <c r="A113" t="s">
        <v>312</v>
      </c>
      <c r="B113" s="261">
        <f t="shared" si="38"/>
        <v>7.1158676631425433</v>
      </c>
      <c r="C113" s="261">
        <f t="shared" si="39"/>
        <v>7.9436728667427943</v>
      </c>
      <c r="D113" s="184"/>
      <c r="N113" s="194"/>
      <c r="AJ113" s="142" t="s">
        <v>348</v>
      </c>
      <c r="AK113" s="139" t="s">
        <v>1</v>
      </c>
      <c r="AL113" s="139" t="s">
        <v>180</v>
      </c>
      <c r="AM113" s="139" t="s">
        <v>181</v>
      </c>
      <c r="AN113" s="139" t="s">
        <v>344</v>
      </c>
      <c r="AO113" s="263" t="s">
        <v>308</v>
      </c>
      <c r="AP113" s="139" t="s">
        <v>345</v>
      </c>
      <c r="AQ113" s="139" t="s">
        <v>349</v>
      </c>
      <c r="AR113" s="139" t="s">
        <v>350</v>
      </c>
      <c r="AS113" s="139" t="s">
        <v>402</v>
      </c>
      <c r="AT113" s="139" t="s">
        <v>184</v>
      </c>
    </row>
    <row r="114" spans="1:46" ht="16" x14ac:dyDescent="0.2">
      <c r="A114" s="131"/>
      <c r="B114" s="261"/>
      <c r="C114" s="261"/>
      <c r="D114" s="184"/>
      <c r="N114" s="194"/>
      <c r="AK114" s="143">
        <f>D22</f>
        <v>12.379169704702877</v>
      </c>
      <c r="AL114" s="143">
        <f>AH22-D22</f>
        <v>8.1475761067905754</v>
      </c>
      <c r="AM114" s="143" t="s">
        <v>167</v>
      </c>
      <c r="AN114" s="143">
        <f>AH25-AH22</f>
        <v>-11.289710196321399</v>
      </c>
      <c r="AO114" s="143" t="s">
        <v>167</v>
      </c>
      <c r="AP114" s="143">
        <f>-AH55</f>
        <v>-1.6507173137739004</v>
      </c>
      <c r="AQ114" s="143">
        <f>-AH56</f>
        <v>-9.5111391574027486</v>
      </c>
      <c r="AR114" s="44">
        <f>-AH58</f>
        <v>-0.57940882993499088</v>
      </c>
      <c r="AS114" s="143">
        <f>SUM(AP114:AR114)</f>
        <v>-11.741265301111639</v>
      </c>
      <c r="AT114" t="s">
        <v>167</v>
      </c>
    </row>
    <row r="115" spans="1:46" x14ac:dyDescent="0.2">
      <c r="A115" t="s">
        <v>311</v>
      </c>
      <c r="B115" s="261">
        <f>$D$4*B105</f>
        <v>17.63451512942034</v>
      </c>
      <c r="C115" s="261">
        <f>$AH$4*C105</f>
        <v>29.240992587170979</v>
      </c>
      <c r="D115" s="184"/>
      <c r="N115" s="194"/>
    </row>
    <row r="116" spans="1:46" ht="64" x14ac:dyDescent="0.2">
      <c r="A116" t="s">
        <v>310</v>
      </c>
      <c r="B116" s="261">
        <f>$D$4*B104</f>
        <v>12.379169704702877</v>
      </c>
      <c r="C116" s="261">
        <f>$AH$4*C104</f>
        <v>20.526745811493541</v>
      </c>
      <c r="D116" s="184"/>
      <c r="N116" s="194"/>
      <c r="AJ116" s="142" t="s">
        <v>353</v>
      </c>
      <c r="AK116" s="139" t="s">
        <v>1</v>
      </c>
      <c r="AL116" s="139" t="s">
        <v>180</v>
      </c>
      <c r="AM116" s="139" t="s">
        <v>181</v>
      </c>
      <c r="AN116" s="139" t="s">
        <v>344</v>
      </c>
      <c r="AO116" s="263" t="s">
        <v>308</v>
      </c>
      <c r="AP116" s="139" t="s">
        <v>345</v>
      </c>
      <c r="AQ116" s="139" t="s">
        <v>184</v>
      </c>
      <c r="AR116" s="139"/>
      <c r="AS116" s="139"/>
      <c r="AT116" s="139"/>
    </row>
    <row r="117" spans="1:46" ht="17" thickBot="1" x14ac:dyDescent="0.25">
      <c r="A117" t="s">
        <v>324</v>
      </c>
      <c r="B117" s="261">
        <f>$D$4*B106</f>
        <v>46.844581662413418</v>
      </c>
      <c r="C117" s="261">
        <f>$AH$4*C106</f>
        <v>71.088281366074028</v>
      </c>
      <c r="D117" s="184"/>
      <c r="N117" s="194"/>
      <c r="AK117" s="143">
        <f>D6</f>
        <v>17.63451512942034</v>
      </c>
      <c r="AL117" s="143">
        <f>AH6-D6</f>
        <v>11.606477457750518</v>
      </c>
      <c r="AM117" s="143" t="s">
        <v>167</v>
      </c>
      <c r="AN117" s="143">
        <f>AH13-AH6</f>
        <v>-12.216009473142371</v>
      </c>
      <c r="AO117" s="143" t="s">
        <v>167</v>
      </c>
      <c r="AP117" s="143">
        <f>-AH48</f>
        <v>-5.5360544032639467</v>
      </c>
      <c r="AQ117" t="s">
        <v>167</v>
      </c>
      <c r="AR117" s="44"/>
      <c r="AS117" s="44"/>
      <c r="AT117" s="143"/>
    </row>
    <row r="118" spans="1:46" ht="16" thickBot="1" x14ac:dyDescent="0.25">
      <c r="A118" s="185" t="s">
        <v>67</v>
      </c>
      <c r="B118" s="264">
        <f>SUM(B111:B117)</f>
        <v>111.92307692307691</v>
      </c>
      <c r="C118" s="264">
        <f>SUM(C111:C117)</f>
        <v>160</v>
      </c>
      <c r="D118" s="252"/>
      <c r="N118" s="253"/>
    </row>
    <row r="119" spans="1:46" ht="51.5" customHeight="1" x14ac:dyDescent="0.2">
      <c r="AJ119" s="142" t="s">
        <v>354</v>
      </c>
      <c r="AK119" s="139" t="s">
        <v>1</v>
      </c>
      <c r="AL119" s="139" t="s">
        <v>180</v>
      </c>
      <c r="AM119" s="139" t="s">
        <v>181</v>
      </c>
      <c r="AN119" s="139" t="s">
        <v>344</v>
      </c>
      <c r="AO119" s="263" t="s">
        <v>308</v>
      </c>
      <c r="AP119" s="139" t="s">
        <v>345</v>
      </c>
      <c r="AQ119" s="139" t="s">
        <v>355</v>
      </c>
      <c r="AR119" s="139" t="s">
        <v>403</v>
      </c>
      <c r="AS119" s="139" t="s">
        <v>184</v>
      </c>
    </row>
    <row r="120" spans="1:46" ht="16" x14ac:dyDescent="0.2">
      <c r="A120" s="1" t="s">
        <v>357</v>
      </c>
      <c r="D120" s="1">
        <v>2020</v>
      </c>
      <c r="E120" s="1">
        <f>D120+1</f>
        <v>2021</v>
      </c>
      <c r="F120" s="1">
        <f t="shared" ref="F120:Q120" si="40">E120+1</f>
        <v>2022</v>
      </c>
      <c r="G120" s="1">
        <f t="shared" si="40"/>
        <v>2023</v>
      </c>
      <c r="H120" s="1">
        <f t="shared" si="40"/>
        <v>2024</v>
      </c>
      <c r="I120" s="1">
        <f t="shared" si="40"/>
        <v>2025</v>
      </c>
      <c r="J120" s="1">
        <f t="shared" si="40"/>
        <v>2026</v>
      </c>
      <c r="K120" s="1">
        <f t="shared" si="40"/>
        <v>2027</v>
      </c>
      <c r="L120" s="1">
        <f t="shared" si="40"/>
        <v>2028</v>
      </c>
      <c r="M120" s="1">
        <f t="shared" si="40"/>
        <v>2029</v>
      </c>
      <c r="N120" s="1">
        <f t="shared" si="40"/>
        <v>2030</v>
      </c>
      <c r="O120" s="1">
        <f t="shared" si="40"/>
        <v>2031</v>
      </c>
      <c r="P120" s="1">
        <f t="shared" si="40"/>
        <v>2032</v>
      </c>
      <c r="Q120" s="1">
        <f t="shared" si="40"/>
        <v>2033</v>
      </c>
      <c r="R120" s="1">
        <f>Q120+1</f>
        <v>2034</v>
      </c>
      <c r="S120" s="1">
        <f t="shared" ref="S120:AB120" si="41">R120+1</f>
        <v>2035</v>
      </c>
      <c r="T120" s="1">
        <f t="shared" si="41"/>
        <v>2036</v>
      </c>
      <c r="U120" s="1">
        <f t="shared" si="41"/>
        <v>2037</v>
      </c>
      <c r="V120" s="1">
        <f t="shared" si="41"/>
        <v>2038</v>
      </c>
      <c r="W120" s="1">
        <f t="shared" si="41"/>
        <v>2039</v>
      </c>
      <c r="X120" s="1">
        <f t="shared" si="41"/>
        <v>2040</v>
      </c>
      <c r="Y120" s="1">
        <f t="shared" si="41"/>
        <v>2041</v>
      </c>
      <c r="Z120" s="1">
        <f t="shared" si="41"/>
        <v>2042</v>
      </c>
      <c r="AA120" s="1">
        <f t="shared" si="41"/>
        <v>2043</v>
      </c>
      <c r="AB120" s="1">
        <f t="shared" si="41"/>
        <v>2044</v>
      </c>
      <c r="AC120" s="1">
        <f>AB120+1</f>
        <v>2045</v>
      </c>
      <c r="AD120" s="1">
        <f t="shared" ref="AD120:AF120" si="42">AC120+1</f>
        <v>2046</v>
      </c>
      <c r="AE120" s="1">
        <f t="shared" si="42"/>
        <v>2047</v>
      </c>
      <c r="AF120" s="1">
        <f t="shared" si="42"/>
        <v>2048</v>
      </c>
      <c r="AG120" s="1">
        <f>AF120+1</f>
        <v>2049</v>
      </c>
      <c r="AH120" s="1">
        <f t="shared" ref="AH120" si="43">AG120+1</f>
        <v>2050</v>
      </c>
      <c r="AK120" s="143">
        <f>D26</f>
        <v>0</v>
      </c>
      <c r="AL120" s="143">
        <f>AH26-D26</f>
        <v>0</v>
      </c>
      <c r="AM120" s="143" t="s">
        <v>167</v>
      </c>
      <c r="AN120" s="143">
        <f>AH31-AH26</f>
        <v>0</v>
      </c>
      <c r="AO120" s="143" t="s">
        <v>167</v>
      </c>
      <c r="AP120" s="143">
        <f>-AH51</f>
        <v>0</v>
      </c>
      <c r="AQ120" s="143">
        <f>-AH52</f>
        <v>0</v>
      </c>
      <c r="AR120" s="143">
        <f>SUM(AP120:AQ120)</f>
        <v>0</v>
      </c>
      <c r="AS120" t="s">
        <v>167</v>
      </c>
    </row>
    <row r="121" spans="1:46" x14ac:dyDescent="0.2">
      <c r="C121" t="s">
        <v>168</v>
      </c>
      <c r="D121" s="44">
        <f t="shared" ref="D121:AH121" si="44">D39</f>
        <v>0</v>
      </c>
      <c r="E121" s="44">
        <f t="shared" si="44"/>
        <v>0.66080278792202662</v>
      </c>
      <c r="F121" s="44">
        <f t="shared" si="44"/>
        <v>1.34786726379854</v>
      </c>
      <c r="G121" s="44">
        <f t="shared" si="44"/>
        <v>2.0619696493891908</v>
      </c>
      <c r="H121" s="44">
        <f t="shared" si="44"/>
        <v>2.8039064568836407</v>
      </c>
      <c r="I121" s="44">
        <f t="shared" si="44"/>
        <v>3.5744949847356002</v>
      </c>
      <c r="J121" s="44">
        <f t="shared" si="44"/>
        <v>4.3680184789590646</v>
      </c>
      <c r="K121" s="44">
        <f t="shared" si="44"/>
        <v>5.1894181252815903</v>
      </c>
      <c r="L121" s="44">
        <f t="shared" si="44"/>
        <v>6.0394432265048792</v>
      </c>
      <c r="M121" s="44">
        <f t="shared" si="44"/>
        <v>6.9188610083283653</v>
      </c>
      <c r="N121" s="44">
        <f t="shared" si="44"/>
        <v>7.8284570205311876</v>
      </c>
      <c r="O121" s="44">
        <f t="shared" si="44"/>
        <v>9.1108558770464825</v>
      </c>
      <c r="P121" s="44">
        <f t="shared" si="44"/>
        <v>10.424444634446488</v>
      </c>
      <c r="Q121" s="44">
        <f t="shared" si="44"/>
        <v>11.769825052370161</v>
      </c>
      <c r="R121" s="44">
        <f t="shared" si="44"/>
        <v>13.147608957759635</v>
      </c>
      <c r="S121" s="44">
        <f t="shared" si="44"/>
        <v>14.558418382446018</v>
      </c>
      <c r="T121" s="44">
        <f t="shared" si="44"/>
        <v>15.998461875393623</v>
      </c>
      <c r="U121" s="44">
        <f t="shared" si="44"/>
        <v>17.472169527642265</v>
      </c>
      <c r="V121" s="44">
        <f t="shared" si="44"/>
        <v>18.980178884566442</v>
      </c>
      <c r="W121" s="44">
        <f t="shared" si="44"/>
        <v>20.523137979821321</v>
      </c>
      <c r="X121" s="44">
        <f t="shared" si="44"/>
        <v>22.1017054739456</v>
      </c>
      <c r="Y121" s="44">
        <f t="shared" si="44"/>
        <v>24.100436488111185</v>
      </c>
      <c r="Z121" s="44">
        <f t="shared" si="44"/>
        <v>26.138868058547377</v>
      </c>
      <c r="AA121" s="44">
        <f t="shared" si="44"/>
        <v>28.217447616783076</v>
      </c>
      <c r="AB121" s="44">
        <f t="shared" si="44"/>
        <v>30.336619710726399</v>
      </c>
      <c r="AC121" s="44">
        <f t="shared" si="44"/>
        <v>32.496825634376123</v>
      </c>
      <c r="AD121" s="44">
        <f t="shared" si="44"/>
        <v>34.69185839782957</v>
      </c>
      <c r="AE121" s="44">
        <f t="shared" si="44"/>
        <v>36.928160488628706</v>
      </c>
      <c r="AF121" s="44">
        <f t="shared" si="44"/>
        <v>39.206146818500585</v>
      </c>
      <c r="AG121" s="44">
        <f t="shared" si="44"/>
        <v>41.526227186289837</v>
      </c>
      <c r="AH121" s="44">
        <f t="shared" si="44"/>
        <v>43.888805826140164</v>
      </c>
    </row>
    <row r="122" spans="1:46" ht="46" customHeight="1" x14ac:dyDescent="0.2">
      <c r="C122" t="s">
        <v>172</v>
      </c>
      <c r="D122" s="44">
        <f t="shared" ref="D122:AH122" si="45">D40</f>
        <v>0</v>
      </c>
      <c r="E122" s="44">
        <f t="shared" si="45"/>
        <v>0.14224338598899738</v>
      </c>
      <c r="F122" s="44">
        <f t="shared" si="45"/>
        <v>0.2903586067554651</v>
      </c>
      <c r="G122" s="44">
        <f t="shared" si="45"/>
        <v>0.44452640102920071</v>
      </c>
      <c r="H122" s="44">
        <f t="shared" si="45"/>
        <v>0.60493242776441369</v>
      </c>
      <c r="I122" s="44">
        <f t="shared" si="45"/>
        <v>0.77176739116662652</v>
      </c>
      <c r="J122" s="44">
        <f t="shared" si="45"/>
        <v>0.94304205337334412</v>
      </c>
      <c r="K122" s="44">
        <f t="shared" si="45"/>
        <v>1.1203178565701624</v>
      </c>
      <c r="L122" s="44">
        <f t="shared" si="45"/>
        <v>1.303756939308814</v>
      </c>
      <c r="M122" s="44">
        <f t="shared" si="45"/>
        <v>1.4935253614284558</v>
      </c>
      <c r="N122" s="44">
        <f t="shared" si="45"/>
        <v>1.6897931931944021</v>
      </c>
      <c r="O122" s="44">
        <f t="shared" si="45"/>
        <v>1.8708361810328689</v>
      </c>
      <c r="P122" s="44">
        <f t="shared" si="45"/>
        <v>2.0231058612388075</v>
      </c>
      <c r="Q122" s="44">
        <f t="shared" si="45"/>
        <v>2.2223091568506721</v>
      </c>
      <c r="R122" s="44">
        <f t="shared" si="45"/>
        <v>2.4241361716522136</v>
      </c>
      <c r="S122" s="44">
        <f t="shared" si="45"/>
        <v>2.62860005311944</v>
      </c>
      <c r="T122" s="44">
        <f t="shared" si="45"/>
        <v>2.8342389860778523</v>
      </c>
      <c r="U122" s="44">
        <f t="shared" si="45"/>
        <v>3.0423278060346339</v>
      </c>
      <c r="V122" s="44">
        <f t="shared" si="45"/>
        <v>3.252873240883321</v>
      </c>
      <c r="W122" s="44">
        <f t="shared" si="45"/>
        <v>3.4658815257695261</v>
      </c>
      <c r="X122" s="44">
        <f t="shared" si="45"/>
        <v>3.6813583854398666</v>
      </c>
      <c r="Y122" s="44">
        <f t="shared" si="45"/>
        <v>4.2004584549306969</v>
      </c>
      <c r="Z122" s="44">
        <f t="shared" si="45"/>
        <v>4.4182932606810725</v>
      </c>
      <c r="AA122" s="44">
        <f t="shared" si="45"/>
        <v>4.6382240495821971</v>
      </c>
      <c r="AB122" s="44">
        <f t="shared" si="45"/>
        <v>4.8602438673021915</v>
      </c>
      <c r="AC122" s="44">
        <f t="shared" si="45"/>
        <v>5.0843449465423047</v>
      </c>
      <c r="AD122" s="44">
        <f t="shared" si="45"/>
        <v>5.3083038012973081</v>
      </c>
      <c r="AE122" s="44">
        <f t="shared" si="45"/>
        <v>5.5341139227413674</v>
      </c>
      <c r="AF122" s="44">
        <f t="shared" si="45"/>
        <v>5.7617602082357608</v>
      </c>
      <c r="AG122" s="44">
        <f t="shared" si="45"/>
        <v>5.9912265672061524</v>
      </c>
      <c r="AH122" s="44">
        <f t="shared" si="45"/>
        <v>6.2224958937275208</v>
      </c>
      <c r="AJ122" s="142" t="s">
        <v>358</v>
      </c>
      <c r="AK122" s="139" t="s">
        <v>1</v>
      </c>
      <c r="AL122" s="139" t="s">
        <v>180</v>
      </c>
      <c r="AM122" s="139" t="s">
        <v>181</v>
      </c>
      <c r="AN122" s="139" t="s">
        <v>344</v>
      </c>
      <c r="AO122" s="263" t="s">
        <v>308</v>
      </c>
      <c r="AP122" s="139" t="s">
        <v>345</v>
      </c>
      <c r="AQ122" s="139" t="s">
        <v>359</v>
      </c>
      <c r="AR122" s="139" t="s">
        <v>360</v>
      </c>
      <c r="AS122" s="139" t="s">
        <v>404</v>
      </c>
      <c r="AT122" s="139" t="s">
        <v>184</v>
      </c>
    </row>
    <row r="123" spans="1:46" ht="16" x14ac:dyDescent="0.2">
      <c r="C123" t="s">
        <v>324</v>
      </c>
      <c r="D123" s="44">
        <f t="shared" ref="D123:AH123" si="46">D21</f>
        <v>46.844581662413418</v>
      </c>
      <c r="E123" s="44">
        <f t="shared" si="46"/>
        <v>47.261146261643965</v>
      </c>
      <c r="F123" s="44">
        <f t="shared" si="46"/>
        <v>47.68019313164713</v>
      </c>
      <c r="G123" s="44">
        <f t="shared" si="46"/>
        <v>48.101710129343097</v>
      </c>
      <c r="H123" s="44">
        <f t="shared" si="46"/>
        <v>48.525684285120754</v>
      </c>
      <c r="I123" s="44">
        <f t="shared" si="46"/>
        <v>48.952101782074827</v>
      </c>
      <c r="J123" s="44">
        <f t="shared" si="46"/>
        <v>49.380947934823737</v>
      </c>
      <c r="K123" s="44">
        <f t="shared" si="46"/>
        <v>49.812207167900333</v>
      </c>
      <c r="L123" s="44">
        <f t="shared" si="46"/>
        <v>50.245862993707838</v>
      </c>
      <c r="M123" s="44">
        <f t="shared" si="46"/>
        <v>50.68189799003305</v>
      </c>
      <c r="N123" s="44">
        <f t="shared" si="46"/>
        <v>51.120293777108607</v>
      </c>
      <c r="O123" s="44">
        <f t="shared" si="46"/>
        <v>51.38499292813237</v>
      </c>
      <c r="P123" s="44">
        <f t="shared" si="46"/>
        <v>51.678079877942487</v>
      </c>
      <c r="Q123" s="44">
        <f t="shared" si="46"/>
        <v>51.923728678790475</v>
      </c>
      <c r="R123" s="44">
        <f t="shared" si="46"/>
        <v>52.166126742406128</v>
      </c>
      <c r="S123" s="44">
        <f t="shared" si="46"/>
        <v>52.405134900981977</v>
      </c>
      <c r="T123" s="44">
        <f t="shared" si="46"/>
        <v>52.640610727156435</v>
      </c>
      <c r="U123" s="44">
        <f t="shared" si="46"/>
        <v>52.872408470023181</v>
      </c>
      <c r="V123" s="44">
        <f t="shared" si="46"/>
        <v>53.100378989987682</v>
      </c>
      <c r="W123" s="44">
        <f t="shared" si="46"/>
        <v>53.324369692451057</v>
      </c>
      <c r="X123" s="44">
        <f t="shared" si="46"/>
        <v>53.544224460301379</v>
      </c>
      <c r="Y123" s="44">
        <f t="shared" si="46"/>
        <v>53.461515393569933</v>
      </c>
      <c r="Z123" s="44">
        <f t="shared" si="46"/>
        <v>53.677916964319117</v>
      </c>
      <c r="AA123" s="44">
        <f t="shared" si="46"/>
        <v>53.889899322032143</v>
      </c>
      <c r="AB123" s="44">
        <f t="shared" si="46"/>
        <v>54.097296314036129</v>
      </c>
      <c r="AC123" s="44">
        <f t="shared" si="46"/>
        <v>54.299938001549101</v>
      </c>
      <c r="AD123" s="44">
        <f t="shared" si="46"/>
        <v>54.49765058623489</v>
      </c>
      <c r="AE123" s="44">
        <f t="shared" si="46"/>
        <v>54.690256335443578</v>
      </c>
      <c r="AF123" s="44">
        <f t="shared" si="46"/>
        <v>54.877573506115205</v>
      </c>
      <c r="AG123" s="44">
        <f t="shared" si="46"/>
        <v>55.059416267323883</v>
      </c>
      <c r="AH123" s="44">
        <f t="shared" si="46"/>
        <v>55.235594621439219</v>
      </c>
      <c r="AK123" s="143">
        <f>D32</f>
        <v>35.064810426540291</v>
      </c>
      <c r="AL123" s="143">
        <f>AH32-D32</f>
        <v>4.0791698087217441</v>
      </c>
      <c r="AM123" s="143" t="s">
        <v>167</v>
      </c>
      <c r="AN123" s="143">
        <f>AH35-AH32</f>
        <v>-7.8287960470524069</v>
      </c>
      <c r="AO123" s="143" t="s">
        <v>167</v>
      </c>
      <c r="AP123" s="143">
        <f>-AH61</f>
        <v>-7.68590218748274</v>
      </c>
      <c r="AQ123" s="143">
        <f>-AH62</f>
        <v>-2.3777847893506872</v>
      </c>
      <c r="AR123" s="44">
        <f>-AH64</f>
        <v>-0.40112918995499369</v>
      </c>
      <c r="AS123" s="143">
        <f>SUM(AP123:AR123)</f>
        <v>-10.46481616678842</v>
      </c>
      <c r="AT123" t="s">
        <v>167</v>
      </c>
    </row>
    <row r="124" spans="1:46" x14ac:dyDescent="0.2">
      <c r="C124" t="s">
        <v>310</v>
      </c>
      <c r="D124" s="44">
        <f t="shared" ref="D124:AH124" si="47">D25</f>
        <v>12.379169704702877</v>
      </c>
      <c r="E124" s="44">
        <f t="shared" si="47"/>
        <v>12.36111406673008</v>
      </c>
      <c r="F124" s="44">
        <f t="shared" si="47"/>
        <v>12.338866957021551</v>
      </c>
      <c r="G124" s="44">
        <f t="shared" si="47"/>
        <v>12.312291083617646</v>
      </c>
      <c r="H124" s="44">
        <f t="shared" si="47"/>
        <v>12.28124569796743</v>
      </c>
      <c r="I124" s="44">
        <f t="shared" si="47"/>
        <v>12.245586517081941</v>
      </c>
      <c r="J124" s="44">
        <f t="shared" si="47"/>
        <v>12.205165644039631</v>
      </c>
      <c r="K124" s="44">
        <f t="shared" si="47"/>
        <v>12.159831486810448</v>
      </c>
      <c r="L124" s="44">
        <f t="shared" si="47"/>
        <v>12.109428675364345</v>
      </c>
      <c r="M124" s="44">
        <f t="shared" si="47"/>
        <v>12.053797977029387</v>
      </c>
      <c r="N124" s="44">
        <f t="shared" si="47"/>
        <v>11.992776210063859</v>
      </c>
      <c r="O124" s="44">
        <f t="shared" si="47"/>
        <v>11.926196155406142</v>
      </c>
      <c r="P124" s="44">
        <f t="shared" si="47"/>
        <v>11.853886466565353</v>
      </c>
      <c r="Q124" s="44">
        <f t="shared" si="47"/>
        <v>11.775671577615066</v>
      </c>
      <c r="R124" s="44">
        <f t="shared" si="47"/>
        <v>11.691371609251632</v>
      </c>
      <c r="S124" s="44">
        <f t="shared" si="47"/>
        <v>11.60080227287791</v>
      </c>
      <c r="T124" s="44">
        <f t="shared" si="47"/>
        <v>11.503774772672408</v>
      </c>
      <c r="U124" s="44">
        <f t="shared" si="47"/>
        <v>11.400095705603057</v>
      </c>
      <c r="V124" s="44">
        <f t="shared" si="47"/>
        <v>11.289566959344047</v>
      </c>
      <c r="W124" s="44">
        <f t="shared" si="47"/>
        <v>11.171985608053312</v>
      </c>
      <c r="X124" s="44">
        <f t="shared" si="47"/>
        <v>11.04714380596744</v>
      </c>
      <c r="Y124" s="44">
        <f t="shared" si="47"/>
        <v>10.905128176591163</v>
      </c>
      <c r="Z124" s="44">
        <f t="shared" si="47"/>
        <v>10.755091391256169</v>
      </c>
      <c r="AA124" s="44">
        <f t="shared" si="47"/>
        <v>10.59680177317675</v>
      </c>
      <c r="AB124" s="44">
        <f t="shared" si="47"/>
        <v>10.430022086670558</v>
      </c>
      <c r="AC124" s="44">
        <f t="shared" si="47"/>
        <v>10.254509415110709</v>
      </c>
      <c r="AD124" s="44">
        <f t="shared" si="47"/>
        <v>10.070015036334777</v>
      </c>
      <c r="AE124" s="44">
        <f t="shared" si="47"/>
        <v>9.8762842954594952</v>
      </c>
      <c r="AF124" s="44">
        <f t="shared" si="47"/>
        <v>9.6730564750489556</v>
      </c>
      <c r="AG124" s="44">
        <f t="shared" si="47"/>
        <v>9.4600646625830702</v>
      </c>
      <c r="AH124" s="44">
        <f t="shared" si="47"/>
        <v>9.2370356151720525</v>
      </c>
    </row>
    <row r="125" spans="1:46" ht="64" x14ac:dyDescent="0.2">
      <c r="C125" t="s">
        <v>311</v>
      </c>
      <c r="D125" s="44">
        <f t="shared" ref="D125:AH125" si="48">D13</f>
        <v>17.63451512942034</v>
      </c>
      <c r="E125" s="44">
        <f t="shared" si="48"/>
        <v>17.873256103027099</v>
      </c>
      <c r="F125" s="44">
        <f t="shared" si="48"/>
        <v>18.114878240342666</v>
      </c>
      <c r="G125" s="44">
        <f t="shared" si="48"/>
        <v>18.359409673220629</v>
      </c>
      <c r="H125" s="44">
        <f t="shared" si="48"/>
        <v>18.606878669428028</v>
      </c>
      <c r="I125" s="44">
        <f t="shared" si="48"/>
        <v>18.85731362978758</v>
      </c>
      <c r="J125" s="44">
        <f t="shared" si="48"/>
        <v>19.110743085202088</v>
      </c>
      <c r="K125" s="44">
        <f t="shared" si="48"/>
        <v>19.367195693558394</v>
      </c>
      <c r="L125" s="44">
        <f t="shared" si="48"/>
        <v>19.626700236507915</v>
      </c>
      <c r="M125" s="44">
        <f t="shared" si="48"/>
        <v>19.88928561612115</v>
      </c>
      <c r="N125" s="44">
        <f t="shared" si="48"/>
        <v>20.154980851413086</v>
      </c>
      <c r="O125" s="44">
        <f t="shared" si="48"/>
        <v>20.256019324124765</v>
      </c>
      <c r="P125" s="44">
        <f t="shared" si="48"/>
        <v>20.354047956875178</v>
      </c>
      <c r="Q125" s="44">
        <f t="shared" si="48"/>
        <v>20.448965749125481</v>
      </c>
      <c r="R125" s="44">
        <f t="shared" si="48"/>
        <v>20.54067035360659</v>
      </c>
      <c r="S125" s="44">
        <f t="shared" si="48"/>
        <v>20.629058092288254</v>
      </c>
      <c r="T125" s="44">
        <f t="shared" si="48"/>
        <v>20.714023974035761</v>
      </c>
      <c r="U125" s="44">
        <f t="shared" si="48"/>
        <v>20.795461714023364</v>
      </c>
      <c r="V125" s="44">
        <f t="shared" si="48"/>
        <v>20.873263754975596</v>
      </c>
      <c r="W125" s="44">
        <f t="shared" si="48"/>
        <v>20.947321290310022</v>
      </c>
      <c r="X125" s="44">
        <f t="shared" si="48"/>
        <v>21.017524289257192</v>
      </c>
      <c r="Y125" s="44">
        <f t="shared" si="48"/>
        <v>20.65768309379833</v>
      </c>
      <c r="Z125" s="44">
        <f t="shared" si="48"/>
        <v>20.28883252316777</v>
      </c>
      <c r="AA125" s="44">
        <f t="shared" si="48"/>
        <v>19.911045036029932</v>
      </c>
      <c r="AB125" s="44">
        <f t="shared" si="48"/>
        <v>19.524404813491142</v>
      </c>
      <c r="AC125" s="44">
        <f t="shared" si="48"/>
        <v>19.129008283584419</v>
      </c>
      <c r="AD125" s="44">
        <f t="shared" si="48"/>
        <v>18.724964663268928</v>
      </c>
      <c r="AE125" s="44">
        <f t="shared" si="48"/>
        <v>18.312396518449997</v>
      </c>
      <c r="AF125" s="44">
        <f t="shared" si="48"/>
        <v>17.891440342538854</v>
      </c>
      <c r="AG125" s="44">
        <f t="shared" si="48"/>
        <v>17.462247154085055</v>
      </c>
      <c r="AH125" s="44">
        <f t="shared" si="48"/>
        <v>17.024983114028487</v>
      </c>
      <c r="AJ125" s="142" t="s">
        <v>363</v>
      </c>
      <c r="AK125" s="139" t="s">
        <v>1</v>
      </c>
      <c r="AL125" s="139" t="s">
        <v>180</v>
      </c>
      <c r="AM125" s="139" t="s">
        <v>181</v>
      </c>
      <c r="AN125" s="139" t="s">
        <v>182</v>
      </c>
      <c r="AO125" s="139" t="s">
        <v>183</v>
      </c>
      <c r="AP125" s="263" t="s">
        <v>28</v>
      </c>
      <c r="AQ125" s="139" t="s">
        <v>193</v>
      </c>
      <c r="AR125" s="139" t="s">
        <v>184</v>
      </c>
    </row>
    <row r="126" spans="1:46" ht="16" x14ac:dyDescent="0.2">
      <c r="C126" s="131" t="s">
        <v>320</v>
      </c>
      <c r="D126" s="44">
        <f t="shared" ref="D126:AH126" si="49">D31</f>
        <v>0</v>
      </c>
      <c r="E126" s="44">
        <f t="shared" si="49"/>
        <v>0</v>
      </c>
      <c r="F126" s="44">
        <f t="shared" si="49"/>
        <v>0</v>
      </c>
      <c r="G126" s="44">
        <f t="shared" si="49"/>
        <v>0</v>
      </c>
      <c r="H126" s="44">
        <f t="shared" si="49"/>
        <v>0</v>
      </c>
      <c r="I126" s="44">
        <f t="shared" si="49"/>
        <v>0</v>
      </c>
      <c r="J126" s="44">
        <f t="shared" si="49"/>
        <v>0</v>
      </c>
      <c r="K126" s="44">
        <f t="shared" si="49"/>
        <v>0</v>
      </c>
      <c r="L126" s="44">
        <f t="shared" si="49"/>
        <v>0</v>
      </c>
      <c r="M126" s="44">
        <f t="shared" si="49"/>
        <v>0</v>
      </c>
      <c r="N126" s="44">
        <f t="shared" si="49"/>
        <v>0</v>
      </c>
      <c r="O126" s="44">
        <f t="shared" si="49"/>
        <v>0</v>
      </c>
      <c r="P126" s="44">
        <f t="shared" si="49"/>
        <v>0</v>
      </c>
      <c r="Q126" s="44">
        <f t="shared" si="49"/>
        <v>0</v>
      </c>
      <c r="R126" s="44">
        <f t="shared" si="49"/>
        <v>0</v>
      </c>
      <c r="S126" s="44">
        <f t="shared" si="49"/>
        <v>0</v>
      </c>
      <c r="T126" s="44">
        <f t="shared" si="49"/>
        <v>0</v>
      </c>
      <c r="U126" s="44">
        <f t="shared" si="49"/>
        <v>0</v>
      </c>
      <c r="V126" s="44">
        <f t="shared" si="49"/>
        <v>0</v>
      </c>
      <c r="W126" s="44">
        <f t="shared" si="49"/>
        <v>0</v>
      </c>
      <c r="X126" s="44">
        <f t="shared" si="49"/>
        <v>0</v>
      </c>
      <c r="Y126" s="44">
        <f t="shared" si="49"/>
        <v>0</v>
      </c>
      <c r="Z126" s="44">
        <f t="shared" si="49"/>
        <v>0</v>
      </c>
      <c r="AA126" s="44">
        <f t="shared" si="49"/>
        <v>0</v>
      </c>
      <c r="AB126" s="44">
        <f t="shared" si="49"/>
        <v>0</v>
      </c>
      <c r="AC126" s="44">
        <f t="shared" si="49"/>
        <v>0</v>
      </c>
      <c r="AD126" s="44">
        <f t="shared" si="49"/>
        <v>0</v>
      </c>
      <c r="AE126" s="44">
        <f t="shared" si="49"/>
        <v>0</v>
      </c>
      <c r="AF126" s="44">
        <f t="shared" si="49"/>
        <v>0</v>
      </c>
      <c r="AG126" s="44">
        <f t="shared" si="49"/>
        <v>0</v>
      </c>
      <c r="AH126" s="44">
        <f t="shared" si="49"/>
        <v>0</v>
      </c>
      <c r="AK126" s="143">
        <f>D4</f>
        <v>111.92307692307692</v>
      </c>
      <c r="AL126" s="143">
        <f>AH4-D4</f>
        <v>48.07692307692308</v>
      </c>
      <c r="AM126" s="143" t="s">
        <v>167</v>
      </c>
      <c r="AN126" s="44">
        <f>AH41</f>
        <v>2.924099258717086</v>
      </c>
      <c r="AO126" s="143">
        <f>AH39</f>
        <v>43.888805826140164</v>
      </c>
      <c r="AP126" s="143">
        <f>AH40</f>
        <v>6.2224958937275208</v>
      </c>
      <c r="AQ126" s="143">
        <f>AH66+AH67</f>
        <v>37.437726241301348</v>
      </c>
      <c r="AR126" t="s">
        <v>167</v>
      </c>
    </row>
    <row r="127" spans="1:46" x14ac:dyDescent="0.2">
      <c r="C127" t="s">
        <v>321</v>
      </c>
      <c r="D127" s="44">
        <f t="shared" ref="D127:AH127" si="50">D38</f>
        <v>0</v>
      </c>
      <c r="E127" s="44">
        <f t="shared" si="50"/>
        <v>0</v>
      </c>
      <c r="F127" s="44">
        <f t="shared" si="50"/>
        <v>0</v>
      </c>
      <c r="G127" s="44">
        <f t="shared" si="50"/>
        <v>0</v>
      </c>
      <c r="H127" s="44">
        <f t="shared" si="50"/>
        <v>0</v>
      </c>
      <c r="I127" s="44">
        <f t="shared" si="50"/>
        <v>0</v>
      </c>
      <c r="J127" s="44">
        <f t="shared" si="50"/>
        <v>0</v>
      </c>
      <c r="K127" s="44">
        <f t="shared" si="50"/>
        <v>0</v>
      </c>
      <c r="L127" s="44">
        <f t="shared" si="50"/>
        <v>0</v>
      </c>
      <c r="M127" s="44">
        <f t="shared" si="50"/>
        <v>0</v>
      </c>
      <c r="N127" s="44">
        <f t="shared" si="50"/>
        <v>0</v>
      </c>
      <c r="O127" s="44">
        <f t="shared" si="50"/>
        <v>0</v>
      </c>
      <c r="P127" s="44">
        <f t="shared" si="50"/>
        <v>0</v>
      </c>
      <c r="Q127" s="44">
        <f t="shared" si="50"/>
        <v>0</v>
      </c>
      <c r="R127" s="44">
        <f t="shared" si="50"/>
        <v>0</v>
      </c>
      <c r="S127" s="44">
        <f t="shared" si="50"/>
        <v>0</v>
      </c>
      <c r="T127" s="44">
        <f t="shared" si="50"/>
        <v>0</v>
      </c>
      <c r="U127" s="44">
        <f t="shared" si="50"/>
        <v>0</v>
      </c>
      <c r="V127" s="44">
        <f t="shared" si="50"/>
        <v>0</v>
      </c>
      <c r="W127" s="44">
        <f t="shared" si="50"/>
        <v>0</v>
      </c>
      <c r="X127" s="44">
        <f t="shared" si="50"/>
        <v>0</v>
      </c>
      <c r="Y127" s="44">
        <f t="shared" si="50"/>
        <v>0</v>
      </c>
      <c r="Z127" s="44">
        <f t="shared" si="50"/>
        <v>0</v>
      </c>
      <c r="AA127" s="44">
        <f t="shared" si="50"/>
        <v>0</v>
      </c>
      <c r="AB127" s="44">
        <f t="shared" si="50"/>
        <v>0</v>
      </c>
      <c r="AC127" s="44">
        <f t="shared" si="50"/>
        <v>0</v>
      </c>
      <c r="AD127" s="44">
        <f t="shared" si="50"/>
        <v>0</v>
      </c>
      <c r="AE127" s="44">
        <f t="shared" si="50"/>
        <v>0</v>
      </c>
      <c r="AF127" s="44">
        <f t="shared" si="50"/>
        <v>0</v>
      </c>
      <c r="AG127" s="44">
        <f t="shared" si="50"/>
        <v>0</v>
      </c>
      <c r="AH127" s="44">
        <f t="shared" si="50"/>
        <v>0</v>
      </c>
    </row>
    <row r="128" spans="1:46" x14ac:dyDescent="0.2">
      <c r="C128" t="s">
        <v>248</v>
      </c>
      <c r="D128" s="44">
        <f t="shared" ref="D128:AH128" si="51">D35</f>
        <v>35.064810426540291</v>
      </c>
      <c r="E128" s="44">
        <f t="shared" si="51"/>
        <v>35.878404969604098</v>
      </c>
      <c r="F128" s="44">
        <f t="shared" si="51"/>
        <v>36.703868943549608</v>
      </c>
      <c r="G128" s="44">
        <f t="shared" si="51"/>
        <v>37.541268869658616</v>
      </c>
      <c r="H128" s="44">
        <f t="shared" si="51"/>
        <v>38.390668173190086</v>
      </c>
      <c r="I128" s="44">
        <f t="shared" si="51"/>
        <v>39.252127021063615</v>
      </c>
      <c r="J128" s="44">
        <f t="shared" si="51"/>
        <v>39.913723889954134</v>
      </c>
      <c r="K128" s="44">
        <f t="shared" si="51"/>
        <v>40.582436063730526</v>
      </c>
      <c r="L128" s="44">
        <f t="shared" si="51"/>
        <v>41.25825354124688</v>
      </c>
      <c r="M128" s="44">
        <f t="shared" si="51"/>
        <v>41.941162982948761</v>
      </c>
      <c r="N128" s="44">
        <f t="shared" si="51"/>
        <v>42.631147585176286</v>
      </c>
      <c r="O128" s="44">
        <f t="shared" si="51"/>
        <v>42.209255839573288</v>
      </c>
      <c r="P128" s="44">
        <f t="shared" si="51"/>
        <v>41.780189151259023</v>
      </c>
      <c r="Q128" s="44">
        <f t="shared" si="51"/>
        <v>41.343936900469494</v>
      </c>
      <c r="R128" s="44">
        <f t="shared" si="51"/>
        <v>40.900490563353316</v>
      </c>
      <c r="S128" s="44">
        <f t="shared" si="51"/>
        <v>40.449843783706896</v>
      </c>
      <c r="T128" s="44">
        <f t="shared" si="51"/>
        <v>39.942034487724065</v>
      </c>
      <c r="U128" s="44">
        <f t="shared" si="51"/>
        <v>39.426873977492242</v>
      </c>
      <c r="V128" s="44">
        <f t="shared" si="51"/>
        <v>38.904370837863745</v>
      </c>
      <c r="W128" s="44">
        <f t="shared" si="51"/>
        <v>38.374536338634684</v>
      </c>
      <c r="X128" s="44">
        <f t="shared" si="51"/>
        <v>37.837384519086839</v>
      </c>
      <c r="Y128" s="44">
        <f t="shared" si="51"/>
        <v>37.238229401460558</v>
      </c>
      <c r="Z128" s="44">
        <f t="shared" si="51"/>
        <v>36.631867289471529</v>
      </c>
      <c r="AA128" s="44">
        <f t="shared" si="51"/>
        <v>36.018337813561836</v>
      </c>
      <c r="AB128" s="44">
        <f t="shared" si="51"/>
        <v>35.397684165042421</v>
      </c>
      <c r="AC128" s="44">
        <f t="shared" si="51"/>
        <v>34.769953199505473</v>
      </c>
      <c r="AD128" s="44">
        <f t="shared" si="51"/>
        <v>34.092784660706108</v>
      </c>
      <c r="AE128" s="44">
        <f t="shared" si="51"/>
        <v>33.408654103966896</v>
      </c>
      <c r="AF128" s="44">
        <f t="shared" si="51"/>
        <v>32.717628758112333</v>
      </c>
      <c r="AG128" s="44">
        <f t="shared" si="51"/>
        <v>32.019780143010713</v>
      </c>
      <c r="AH128" s="44">
        <f t="shared" si="51"/>
        <v>31.315184188209628</v>
      </c>
    </row>
    <row r="129" spans="1:36" x14ac:dyDescent="0.2">
      <c r="C129" t="s">
        <v>364</v>
      </c>
      <c r="D129" s="44">
        <f>SUM(D121:D128)</f>
        <v>111.92307692307692</v>
      </c>
      <c r="E129" s="44">
        <f t="shared" ref="E129:AH129" si="52">SUM(E121:E128)</f>
        <v>114.17696757491626</v>
      </c>
      <c r="F129" s="44">
        <f t="shared" si="52"/>
        <v>116.47603314311496</v>
      </c>
      <c r="G129" s="44">
        <f t="shared" si="52"/>
        <v>118.82117580625837</v>
      </c>
      <c r="H129" s="44">
        <f t="shared" si="52"/>
        <v>121.21331571035435</v>
      </c>
      <c r="I129" s="44">
        <f t="shared" si="52"/>
        <v>123.65339132591019</v>
      </c>
      <c r="J129" s="44">
        <f t="shared" si="52"/>
        <v>125.921641086352</v>
      </c>
      <c r="K129" s="44">
        <f t="shared" si="52"/>
        <v>128.23140639385144</v>
      </c>
      <c r="L129" s="44">
        <f t="shared" si="52"/>
        <v>130.58344561264067</v>
      </c>
      <c r="M129" s="44">
        <f t="shared" si="52"/>
        <v>132.97853093588915</v>
      </c>
      <c r="N129" s="44">
        <f t="shared" si="52"/>
        <v>135.41744863748741</v>
      </c>
      <c r="O129" s="44">
        <f t="shared" si="52"/>
        <v>136.75815630531594</v>
      </c>
      <c r="P129" s="44">
        <f t="shared" si="52"/>
        <v>138.11375394832734</v>
      </c>
      <c r="Q129" s="44">
        <f t="shared" si="52"/>
        <v>139.48443711522134</v>
      </c>
      <c r="R129" s="44">
        <f t="shared" si="52"/>
        <v>140.87040439802951</v>
      </c>
      <c r="S129" s="44">
        <f t="shared" si="52"/>
        <v>142.27185748542047</v>
      </c>
      <c r="T129" s="44">
        <f t="shared" si="52"/>
        <v>143.63314482306015</v>
      </c>
      <c r="U129" s="44">
        <f t="shared" si="52"/>
        <v>145.00933720081875</v>
      </c>
      <c r="V129" s="44">
        <f t="shared" si="52"/>
        <v>146.40063266762084</v>
      </c>
      <c r="W129" s="44">
        <f t="shared" si="52"/>
        <v>147.80723243503991</v>
      </c>
      <c r="X129" s="44">
        <f t="shared" si="52"/>
        <v>149.22934093399832</v>
      </c>
      <c r="Y129" s="44">
        <f t="shared" si="52"/>
        <v>150.56345100846187</v>
      </c>
      <c r="Z129" s="44">
        <f t="shared" si="52"/>
        <v>151.91086948744305</v>
      </c>
      <c r="AA129" s="44">
        <f t="shared" si="52"/>
        <v>153.27175561116593</v>
      </c>
      <c r="AB129" s="44">
        <f t="shared" si="52"/>
        <v>154.64627095726885</v>
      </c>
      <c r="AC129" s="44">
        <f t="shared" si="52"/>
        <v>156.03457948066813</v>
      </c>
      <c r="AD129" s="44">
        <f t="shared" si="52"/>
        <v>157.38557714567159</v>
      </c>
      <c r="AE129" s="44">
        <f t="shared" si="52"/>
        <v>158.74986566469005</v>
      </c>
      <c r="AF129" s="44">
        <f t="shared" si="52"/>
        <v>160.1276061085517</v>
      </c>
      <c r="AG129" s="44">
        <f t="shared" si="52"/>
        <v>161.51896198049872</v>
      </c>
      <c r="AH129" s="44">
        <f t="shared" si="52"/>
        <v>162.92409925871706</v>
      </c>
    </row>
    <row r="131" spans="1:36" x14ac:dyDescent="0.2">
      <c r="A131" s="1" t="s">
        <v>365</v>
      </c>
      <c r="C131" t="s">
        <v>168</v>
      </c>
      <c r="D131" s="44">
        <f>D121</f>
        <v>0</v>
      </c>
      <c r="E131" s="44">
        <f t="shared" ref="E131:AH132" si="53">E121</f>
        <v>0.66080278792202662</v>
      </c>
      <c r="F131" s="44">
        <f t="shared" si="53"/>
        <v>1.34786726379854</v>
      </c>
      <c r="G131" s="44">
        <f t="shared" si="53"/>
        <v>2.0619696493891908</v>
      </c>
      <c r="H131" s="44">
        <f t="shared" si="53"/>
        <v>2.8039064568836407</v>
      </c>
      <c r="I131" s="44">
        <f t="shared" si="53"/>
        <v>3.5744949847356002</v>
      </c>
      <c r="J131" s="44">
        <f t="shared" si="53"/>
        <v>4.3680184789590646</v>
      </c>
      <c r="K131" s="44">
        <f t="shared" si="53"/>
        <v>5.1894181252815903</v>
      </c>
      <c r="L131" s="44">
        <f t="shared" si="53"/>
        <v>6.0394432265048792</v>
      </c>
      <c r="M131" s="44">
        <f t="shared" si="53"/>
        <v>6.9188610083283653</v>
      </c>
      <c r="N131" s="44">
        <f t="shared" si="53"/>
        <v>7.8284570205311876</v>
      </c>
      <c r="O131" s="44">
        <f t="shared" si="53"/>
        <v>9.1108558770464825</v>
      </c>
      <c r="P131" s="44">
        <f t="shared" si="53"/>
        <v>10.424444634446488</v>
      </c>
      <c r="Q131" s="44">
        <f t="shared" si="53"/>
        <v>11.769825052370161</v>
      </c>
      <c r="R131" s="44">
        <f t="shared" si="53"/>
        <v>13.147608957759635</v>
      </c>
      <c r="S131" s="44">
        <f t="shared" si="53"/>
        <v>14.558418382446018</v>
      </c>
      <c r="T131" s="44">
        <f t="shared" si="53"/>
        <v>15.998461875393623</v>
      </c>
      <c r="U131" s="44">
        <f t="shared" si="53"/>
        <v>17.472169527642265</v>
      </c>
      <c r="V131" s="44">
        <f t="shared" si="53"/>
        <v>18.980178884566442</v>
      </c>
      <c r="W131" s="44">
        <f t="shared" si="53"/>
        <v>20.523137979821321</v>
      </c>
      <c r="X131" s="44">
        <f t="shared" si="53"/>
        <v>22.1017054739456</v>
      </c>
      <c r="Y131" s="44">
        <f t="shared" si="53"/>
        <v>24.100436488111185</v>
      </c>
      <c r="Z131" s="44">
        <f t="shared" si="53"/>
        <v>26.138868058547377</v>
      </c>
      <c r="AA131" s="44">
        <f t="shared" si="53"/>
        <v>28.217447616783076</v>
      </c>
      <c r="AB131" s="44">
        <f t="shared" si="53"/>
        <v>30.336619710726399</v>
      </c>
      <c r="AC131" s="44">
        <f t="shared" si="53"/>
        <v>32.496825634376123</v>
      </c>
      <c r="AD131" s="44">
        <f t="shared" si="53"/>
        <v>34.69185839782957</v>
      </c>
      <c r="AE131" s="44">
        <f t="shared" si="53"/>
        <v>36.928160488628706</v>
      </c>
      <c r="AF131" s="44">
        <f t="shared" si="53"/>
        <v>39.206146818500585</v>
      </c>
      <c r="AG131" s="44">
        <f t="shared" si="53"/>
        <v>41.526227186289837</v>
      </c>
      <c r="AH131" s="44">
        <f t="shared" si="53"/>
        <v>43.888805826140164</v>
      </c>
    </row>
    <row r="132" spans="1:36" x14ac:dyDescent="0.2">
      <c r="C132" t="s">
        <v>172</v>
      </c>
      <c r="D132" s="44">
        <f>D122</f>
        <v>0</v>
      </c>
      <c r="E132" s="44">
        <f t="shared" si="53"/>
        <v>0.14224338598899738</v>
      </c>
      <c r="F132" s="44">
        <f t="shared" si="53"/>
        <v>0.2903586067554651</v>
      </c>
      <c r="G132" s="44">
        <f t="shared" si="53"/>
        <v>0.44452640102920071</v>
      </c>
      <c r="H132" s="44">
        <f t="shared" si="53"/>
        <v>0.60493242776441369</v>
      </c>
      <c r="I132" s="44">
        <f t="shared" si="53"/>
        <v>0.77176739116662652</v>
      </c>
      <c r="J132" s="44">
        <f t="shared" si="53"/>
        <v>0.94304205337334412</v>
      </c>
      <c r="K132" s="44">
        <f t="shared" si="53"/>
        <v>1.1203178565701624</v>
      </c>
      <c r="L132" s="44">
        <f t="shared" si="53"/>
        <v>1.303756939308814</v>
      </c>
      <c r="M132" s="44">
        <f t="shared" si="53"/>
        <v>1.4935253614284558</v>
      </c>
      <c r="N132" s="44">
        <f t="shared" si="53"/>
        <v>1.6897931931944021</v>
      </c>
      <c r="O132" s="44">
        <f t="shared" si="53"/>
        <v>1.8708361810328689</v>
      </c>
      <c r="P132" s="44">
        <f t="shared" si="53"/>
        <v>2.0231058612388075</v>
      </c>
      <c r="Q132" s="44">
        <f t="shared" si="53"/>
        <v>2.2223091568506721</v>
      </c>
      <c r="R132" s="44">
        <f t="shared" si="53"/>
        <v>2.4241361716522136</v>
      </c>
      <c r="S132" s="44">
        <f t="shared" si="53"/>
        <v>2.62860005311944</v>
      </c>
      <c r="T132" s="44">
        <f t="shared" si="53"/>
        <v>2.8342389860778523</v>
      </c>
      <c r="U132" s="44">
        <f t="shared" si="53"/>
        <v>3.0423278060346339</v>
      </c>
      <c r="V132" s="44">
        <f t="shared" si="53"/>
        <v>3.252873240883321</v>
      </c>
      <c r="W132" s="44">
        <f t="shared" si="53"/>
        <v>3.4658815257695261</v>
      </c>
      <c r="X132" s="44">
        <f t="shared" si="53"/>
        <v>3.6813583854398666</v>
      </c>
      <c r="Y132" s="44">
        <f t="shared" si="53"/>
        <v>4.2004584549306969</v>
      </c>
      <c r="Z132" s="44">
        <f t="shared" si="53"/>
        <v>4.4182932606810725</v>
      </c>
      <c r="AA132" s="44">
        <f t="shared" si="53"/>
        <v>4.6382240495821971</v>
      </c>
      <c r="AB132" s="44">
        <f t="shared" si="53"/>
        <v>4.8602438673021915</v>
      </c>
      <c r="AC132" s="44">
        <f t="shared" si="53"/>
        <v>5.0843449465423047</v>
      </c>
      <c r="AD132" s="44">
        <f t="shared" si="53"/>
        <v>5.3083038012973081</v>
      </c>
      <c r="AE132" s="44">
        <f t="shared" si="53"/>
        <v>5.5341139227413674</v>
      </c>
      <c r="AF132" s="44">
        <f t="shared" si="53"/>
        <v>5.7617602082357608</v>
      </c>
      <c r="AG132" s="44">
        <f t="shared" si="53"/>
        <v>5.9912265672061524</v>
      </c>
      <c r="AH132" s="44">
        <f t="shared" si="53"/>
        <v>6.2224958937275208</v>
      </c>
    </row>
    <row r="133" spans="1:36" x14ac:dyDescent="0.2">
      <c r="C133" t="s">
        <v>193</v>
      </c>
      <c r="D133" s="44" cm="1">
        <f t="array" ref="D133">-(D46-D43+D49-D47+D53-D50+_xlfn.IFS(D59&lt;0, -D54, D59-D54&lt;=0,D59-D54, else, D54)+D65-D60)</f>
        <v>0</v>
      </c>
      <c r="E133" s="44" cm="1">
        <f t="array" ref="E133">-(E46-E43+E49-E47+E53-E50+_xlfn.IFS(E59&lt;0, -E54, E59-E54&lt;=0,E59-E54, else, E54)+E65-E60)</f>
        <v>0.51968950764971567</v>
      </c>
      <c r="F133" s="44" cm="1">
        <f t="array" ref="F133">-(F46-F43+F49-F47+F53-F50+_xlfn.IFS(F59&lt;0, -F54, F59-F54&lt;=0,F59-F54, else, F54)+F65-F60)</f>
        <v>1.0583652934954699</v>
      </c>
      <c r="G133" s="44" cm="1">
        <f t="array" ref="G133">-(G46-G43+G49-G47+G53-G50+_xlfn.IFS(G59&lt;0, -G54, G59-G54&lt;=0,G59-G54, else, G54)+G65-G60)</f>
        <v>1.6133240097961732</v>
      </c>
      <c r="H133" s="44" cm="1">
        <f t="array" ref="H133">-(H46-H43+H49-H47+H53-H50+_xlfn.IFS(H59&lt;0, -H54, H59-H54&lt;=0,H59-H54, else, H54)+H65-H60)</f>
        <v>2.1815441963193294</v>
      </c>
      <c r="I133" s="44" cm="1">
        <f t="array" ref="I133">-(I46-I43+I49-I47+I53-I50+_xlfn.IFS(I59&lt;0, -I54, I59-I54&lt;=0,I59-I54, else, I54)+I65-I60)</f>
        <v>2.7597104603781091</v>
      </c>
      <c r="J133" s="44" cm="1">
        <f t="array" ref="J133">-(J46-J43+J49-J47+J53-J50+_xlfn.IFS(J59&lt;0, -J54, J59-J54&lt;=0,J59-J54, else, J54)+J65-J60)</f>
        <v>3.3443127694493029</v>
      </c>
      <c r="K133" s="44" cm="1">
        <f t="array" ref="K133">-(K46-K43+K49-K47+K53-K50+_xlfn.IFS(K59&lt;0, -K54, K59-K54&lt;=0,K59-K54, else, K54)+K65-K60)</f>
        <v>3.9509527398610231</v>
      </c>
      <c r="L133" s="44" cm="1">
        <f t="array" ref="L133">-(L46-L43+L49-L47+L53-L50+_xlfn.IFS(L59&lt;0, -L54, L59-L54&lt;=0,L59-L54, else, L54)+L65-L60)</f>
        <v>4.5795937470033365</v>
      </c>
      <c r="M133" s="44" cm="1">
        <f t="array" ref="M133">-(M46-M43+M49-M47+M53-M50+_xlfn.IFS(M59&lt;0, -M54, M59-M54&lt;=0,M59-M54, else, M54)+M65-M60)</f>
        <v>5.230150608588751</v>
      </c>
      <c r="N133" s="44" cm="1">
        <f t="array" ref="N133">-(N46-N43+N49-N47+N53-N50+_xlfn.IFS(N59&lt;0, -N54, N59-N54&lt;=0,N59-N54, else, N54)+N65-N60)</f>
        <v>5.9024881480688123</v>
      </c>
      <c r="O133" s="44" cm="1">
        <f t="array" ref="O133">-(O46-O43+O49-O47+O53-O50+_xlfn.IFS(O59&lt;0, -O54, O59-O54&lt;=0,O59-O54, else, O54)+O65-O60)</f>
        <v>7.0070959183940644</v>
      </c>
      <c r="P133" s="44" cm="1">
        <f t="array" ref="P133">-(P46-P43+P49-P47+P53-P50+_xlfn.IFS(P59&lt;0, -P54, P59-P54&lt;=0,P59-P54, else, P54)+P65-P60)</f>
        <v>8.1336951190356359</v>
      </c>
      <c r="Q133" s="44" cm="1">
        <f t="array" ref="Q133">-(Q46-Q43+Q49-Q47+Q53-Q50+_xlfn.IFS(Q59&lt;0, -Q54, Q59-Q54&lt;=0,Q59-Q54, else, Q54)+Q65-Q60)</f>
        <v>9.2591900531530555</v>
      </c>
      <c r="R133" s="44" cm="1">
        <f t="array" ref="R133">-(R46-R43+R49-R47+R53-R50+_xlfn.IFS(R59&lt;0, -R54, R59-R54&lt;=0,R59-R54, else, R54)+R65-R60)</f>
        <v>10.388380842858815</v>
      </c>
      <c r="S133" s="44" cm="1">
        <f t="array" ref="S133">-(S46-S43+S49-S47+S53-S50+_xlfn.IFS(S59&lt;0, -S54, S59-S54&lt;=0,S59-S54, else, S54)+S65-S60)</f>
        <v>11.514868013571025</v>
      </c>
      <c r="T133" s="44" cm="1">
        <f t="array" ref="T133">-(T46-T43+T49-T47+T53-T50+_xlfn.IFS(T59&lt;0, -T54, T59-T54&lt;=0,T59-T54, else, T54)+T65-T60)</f>
        <v>12.66353354592286</v>
      </c>
      <c r="U133" s="44" cm="1">
        <f t="array" ref="U133">-(U46-U43+U49-U47+U53-U50+_xlfn.IFS(U59&lt;0, -U54, U59-U54&lt;=0,U59-U54, else, U54)+U65-U60)</f>
        <v>13.833913597340938</v>
      </c>
      <c r="V133" s="44" cm="1">
        <f t="array" ref="V133">-(V46-V43+V49-V47+V53-V50+_xlfn.IFS(V59&lt;0, -V54, V59-V54&lt;=0,V59-V54, else, V54)+V65-V60)</f>
        <v>15.025514502512372</v>
      </c>
      <c r="W133" s="44" cm="1">
        <f t="array" ref="W133">-(W46-W43+W49-W47+W53-W50+_xlfn.IFS(W59&lt;0, -W54, W59-W54&lt;=0,W59-W54, else, W54)+W65-W60)</f>
        <v>16.237812630740287</v>
      </c>
      <c r="X133" s="44" cm="1">
        <f t="array" ref="X133">-(X46-X43+X49-X47+X53-X50+_xlfn.IFS(X59&lt;0, -X54, X59-X54&lt;=0,X59-X54, else, X54)+X65-X60)</f>
        <v>17.47025427085876</v>
      </c>
      <c r="Y133" s="44" cm="1">
        <f t="array" ref="Y133">-(Y46-Y43+Y49-Y47+Y53-Y50+_xlfn.IFS(Y59&lt;0, -Y54, Y59-Y54&lt;=0,Y59-Y54, else, Y54)+Y65-Y60)</f>
        <v>19.309871130424042</v>
      </c>
      <c r="Z133" s="44" cm="1">
        <f t="array" ref="Z133">-(Z46-Z43+Z49-Z47+Z53-Z50+_xlfn.IFS(Z59&lt;0, -Z54, Z59-Z54&lt;=0,Z59-Z54, else, Z54)+Z65-Z60)</f>
        <v>21.255159576670028</v>
      </c>
      <c r="AA133" s="44" cm="1">
        <f t="array" ref="AA133">-(AA46-AA43+AA49-AA47+AA53-AA50+_xlfn.IFS(AA59&lt;0, -AA54, AA59-AA54&lt;=0,AA59-AA54, else, AA54)+AA65-AA60)</f>
        <v>23.195528214240241</v>
      </c>
      <c r="AB133" s="44" cm="1">
        <f t="array" ref="AB133">-(AB46-AB43+AB49-AB47+AB53-AB50+_xlfn.IFS(AB59&lt;0, -AB54, AB59-AB54&lt;=0,AB59-AB54, else, AB54)+AB65-AB60)</f>
        <v>25.16198727436192</v>
      </c>
      <c r="AC133" s="44" cm="1">
        <f t="array" ref="AC133">-(AC46-AC43+AC49-AC47+AC53-AC50+_xlfn.IFS(AC59&lt;0, -AC54, AC59-AC54&lt;=0,AC59-AC54, else, AC54)+AC65-AC60)</f>
        <v>27.153420022998315</v>
      </c>
      <c r="AD133" s="44" cm="1">
        <f t="array" ref="AD133">-(AD46-AD43+AD49-AD47+AD53-AD50+_xlfn.IFS(AD59&lt;0, -AD54, AD59-AD54&lt;=0,AD59-AD54, else, AD54)+AD65-AD60)</f>
        <v>29.16714972523782</v>
      </c>
      <c r="AE133" s="44" cm="1">
        <f t="array" ref="AE133">-(AE46-AE43+AE49-AE47+AE53-AE50+_xlfn.IFS(AE59&lt;0, -AE54, AE59-AE54&lt;=0,AE59-AE54, else, AE54)+AE65-AE60)</f>
        <v>31.19882873084358</v>
      </c>
      <c r="AF133" s="44" cm="1">
        <f t="array" ref="AF133">-(AF46-AF43+AF49-AF47+AF53-AF50+_xlfn.IFS(AF59&lt;0, -AF54, AF59-AF54&lt;=0,AF59-AF54, else, AF54)+AF65-AF60)</f>
        <v>32.438695517067238</v>
      </c>
      <c r="AG133" s="44" cm="1">
        <f t="array" ref="AG133">-(AG46-AG43+AG49-AG47+AG53-AG50+_xlfn.IFS(AG59&lt;0, -AG54, AG59-AG54&lt;=0,AG59-AG54, else, AG54)+AG65-AG60)</f>
        <v>33.684054895671181</v>
      </c>
      <c r="AH133" s="44" cm="1">
        <f t="array" ref="AH133">-(AH46-AH43+AH49-AH47+AH53-AH50+_xlfn.IFS(AH59&lt;0, -AH54, AH59-AH54&lt;=0,AH59-AH54, else, AH54)+AH65-AH60)</f>
        <v>34.933496555361771</v>
      </c>
      <c r="AI133" s="44"/>
    </row>
    <row r="134" spans="1:36" x14ac:dyDescent="0.2">
      <c r="C134" t="s">
        <v>324</v>
      </c>
      <c r="D134" s="44">
        <f t="shared" ref="D134:AH134" si="54">D46</f>
        <v>46.844581662413418</v>
      </c>
      <c r="E134" s="44">
        <f t="shared" si="54"/>
        <v>47.138352179870786</v>
      </c>
      <c r="F134" s="44">
        <f t="shared" si="54"/>
        <v>47.428597531786266</v>
      </c>
      <c r="G134" s="44">
        <f t="shared" si="54"/>
        <v>47.715897864173435</v>
      </c>
      <c r="H134" s="44">
        <f t="shared" si="54"/>
        <v>48.000926488727607</v>
      </c>
      <c r="I134" s="44">
        <f t="shared" si="54"/>
        <v>48.284445175228946</v>
      </c>
      <c r="J134" s="44">
        <f t="shared" si="54"/>
        <v>48.563523971983081</v>
      </c>
      <c r="K134" s="44">
        <f t="shared" si="54"/>
        <v>48.838099744478036</v>
      </c>
      <c r="L134" s="44">
        <f t="shared" si="54"/>
        <v>49.108122967041275</v>
      </c>
      <c r="M134" s="44">
        <f t="shared" si="54"/>
        <v>49.37355831268281</v>
      </c>
      <c r="N134" s="44">
        <f t="shared" si="54"/>
        <v>49.63438521102271</v>
      </c>
      <c r="O134" s="44">
        <f t="shared" si="54"/>
        <v>49.630926681582601</v>
      </c>
      <c r="P134" s="44">
        <f t="shared" si="54"/>
        <v>49.648578201799154</v>
      </c>
      <c r="Q134" s="44">
        <f t="shared" si="54"/>
        <v>49.617534671521618</v>
      </c>
      <c r="R134" s="44">
        <f t="shared" si="54"/>
        <v>49.580903462020061</v>
      </c>
      <c r="S134" s="44">
        <f t="shared" si="54"/>
        <v>49.540164619106754</v>
      </c>
      <c r="T134" s="44">
        <f t="shared" si="54"/>
        <v>49.489502532353221</v>
      </c>
      <c r="U134" s="44">
        <f t="shared" si="54"/>
        <v>49.42893684313389</v>
      </c>
      <c r="V134" s="44">
        <f t="shared" si="54"/>
        <v>49.358494518006715</v>
      </c>
      <c r="W134" s="44">
        <f t="shared" si="54"/>
        <v>49.278209841119242</v>
      </c>
      <c r="X134" s="44">
        <f t="shared" si="54"/>
        <v>49.188124395255834</v>
      </c>
      <c r="Y134" s="44">
        <f t="shared" si="54"/>
        <v>48.639092194683514</v>
      </c>
      <c r="Z134" s="44">
        <f t="shared" si="54"/>
        <v>48.349808227678402</v>
      </c>
      <c r="AA134" s="44">
        <f t="shared" si="54"/>
        <v>48.047694730868834</v>
      </c>
      <c r="AB134" s="44">
        <f t="shared" si="54"/>
        <v>47.731282229564705</v>
      </c>
      <c r="AC134" s="44">
        <f t="shared" si="54"/>
        <v>47.40071542991798</v>
      </c>
      <c r="AD134" s="44">
        <f t="shared" si="54"/>
        <v>47.05607244566842</v>
      </c>
      <c r="AE134" s="44">
        <f t="shared" si="54"/>
        <v>46.69750746624505</v>
      </c>
      <c r="AF134" s="44">
        <f t="shared" si="54"/>
        <v>46.325186794324082</v>
      </c>
      <c r="AG134" s="44">
        <f t="shared" si="54"/>
        <v>45.939288864781616</v>
      </c>
      <c r="AH134" s="44">
        <f t="shared" si="54"/>
        <v>45.540004251301866</v>
      </c>
    </row>
    <row r="135" spans="1:36" x14ac:dyDescent="0.2">
      <c r="C135" t="s">
        <v>310</v>
      </c>
      <c r="D135" s="44">
        <f t="shared" ref="D135:AH135" si="55">IF(D59&lt;0,0,D59)</f>
        <v>12.379169704702877</v>
      </c>
      <c r="E135" s="44">
        <f t="shared" si="55"/>
        <v>12.182196884529915</v>
      </c>
      <c r="F135" s="44">
        <f t="shared" si="55"/>
        <v>11.975770409580406</v>
      </c>
      <c r="G135" s="44">
        <f t="shared" si="55"/>
        <v>11.760798632193907</v>
      </c>
      <c r="H135" s="44">
        <f t="shared" si="55"/>
        <v>11.538280120426156</v>
      </c>
      <c r="I135" s="44">
        <f t="shared" si="55"/>
        <v>11.309292704189513</v>
      </c>
      <c r="J135" s="44">
        <f t="shared" si="55"/>
        <v>11.069051676321008</v>
      </c>
      <c r="K135" s="44">
        <f t="shared" si="55"/>
        <v>10.81746982324359</v>
      </c>
      <c r="L135" s="44">
        <f t="shared" si="55"/>
        <v>10.554471972862807</v>
      </c>
      <c r="M135" s="44">
        <f t="shared" si="55"/>
        <v>10.279995211378409</v>
      </c>
      <c r="N135" s="44">
        <f t="shared" si="55"/>
        <v>9.9939890563058196</v>
      </c>
      <c r="O135" s="44">
        <f t="shared" si="55"/>
        <v>9.558380316492574</v>
      </c>
      <c r="P135" s="44">
        <f t="shared" si="55"/>
        <v>9.1114638923606197</v>
      </c>
      <c r="Q135" s="44">
        <f t="shared" si="55"/>
        <v>8.6624083215491368</v>
      </c>
      <c r="R135" s="44">
        <f t="shared" si="55"/>
        <v>8.2085321141460206</v>
      </c>
      <c r="S135" s="44">
        <f t="shared" si="55"/>
        <v>7.7518052023768051</v>
      </c>
      <c r="T135" s="44">
        <f t="shared" si="55"/>
        <v>7.2837212137902974</v>
      </c>
      <c r="U135" s="44">
        <f t="shared" si="55"/>
        <v>6.8042837725075334</v>
      </c>
      <c r="V135" s="44">
        <f t="shared" si="55"/>
        <v>6.3135005664454997</v>
      </c>
      <c r="W135" s="44">
        <f t="shared" si="55"/>
        <v>5.8113832515598736</v>
      </c>
      <c r="X135" s="44">
        <f t="shared" si="55"/>
        <v>5.2979473456521582</v>
      </c>
      <c r="Y135" s="44">
        <f t="shared" si="55"/>
        <v>4.6072642344822352</v>
      </c>
      <c r="Z135" s="44">
        <f t="shared" si="55"/>
        <v>3.8682872268210486</v>
      </c>
      <c r="AA135" s="44">
        <f t="shared" si="55"/>
        <v>3.1222244769960388</v>
      </c>
      <c r="AB135" s="44">
        <f t="shared" si="55"/>
        <v>2.3620259261445362</v>
      </c>
      <c r="AC135" s="44">
        <f t="shared" si="55"/>
        <v>1.5875803947039606</v>
      </c>
      <c r="AD135" s="44">
        <f t="shared" si="55"/>
        <v>0.7986724267277272</v>
      </c>
      <c r="AE135" s="44">
        <f t="shared" si="55"/>
        <v>0</v>
      </c>
      <c r="AF135" s="44">
        <f t="shared" si="55"/>
        <v>0</v>
      </c>
      <c r="AG135" s="44">
        <f t="shared" si="55"/>
        <v>0</v>
      </c>
      <c r="AH135" s="44">
        <f t="shared" si="55"/>
        <v>0</v>
      </c>
    </row>
    <row r="136" spans="1:36" x14ac:dyDescent="0.2">
      <c r="C136" t="s">
        <v>311</v>
      </c>
      <c r="D136" s="44">
        <f t="shared" ref="D136:AH136" si="56">D49</f>
        <v>17.63451512942034</v>
      </c>
      <c r="E136" s="44">
        <f t="shared" si="56"/>
        <v>17.857028204550009</v>
      </c>
      <c r="F136" s="44">
        <f t="shared" si="56"/>
        <v>18.077747470088042</v>
      </c>
      <c r="G136" s="44">
        <f t="shared" si="56"/>
        <v>18.296494389887719</v>
      </c>
      <c r="H136" s="44">
        <f t="shared" si="56"/>
        <v>18.513149500161227</v>
      </c>
      <c r="I136" s="44">
        <f t="shared" si="56"/>
        <v>18.727658087369189</v>
      </c>
      <c r="J136" s="44">
        <f t="shared" si="56"/>
        <v>18.939614836839056</v>
      </c>
      <c r="K136" s="44">
        <f t="shared" si="56"/>
        <v>19.14880613155816</v>
      </c>
      <c r="L136" s="44">
        <f t="shared" si="56"/>
        <v>19.35502327307567</v>
      </c>
      <c r="M136" s="44">
        <f t="shared" si="56"/>
        <v>19.558063392274875</v>
      </c>
      <c r="N136" s="44">
        <f t="shared" si="56"/>
        <v>19.757730371636118</v>
      </c>
      <c r="O136" s="44">
        <f t="shared" si="56"/>
        <v>19.750313619870138</v>
      </c>
      <c r="P136" s="44">
        <f t="shared" si="56"/>
        <v>19.727793131965182</v>
      </c>
      <c r="Q136" s="44">
        <f t="shared" si="56"/>
        <v>19.692920729994658</v>
      </c>
      <c r="R136" s="44">
        <f t="shared" si="56"/>
        <v>19.644238698326795</v>
      </c>
      <c r="S136" s="44">
        <f t="shared" si="56"/>
        <v>19.582215438037068</v>
      </c>
      <c r="T136" s="44">
        <f t="shared" si="56"/>
        <v>19.505226790314278</v>
      </c>
      <c r="U136" s="44">
        <f t="shared" si="56"/>
        <v>19.413057114579455</v>
      </c>
      <c r="V136" s="44">
        <f t="shared" si="56"/>
        <v>19.305497181087947</v>
      </c>
      <c r="W136" s="44">
        <f t="shared" si="56"/>
        <v>19.182344381016307</v>
      </c>
      <c r="X136" s="44">
        <f t="shared" si="56"/>
        <v>19.04340293288622</v>
      </c>
      <c r="Y136" s="44">
        <f t="shared" si="56"/>
        <v>18.377691482922664</v>
      </c>
      <c r="Z136" s="44">
        <f t="shared" si="56"/>
        <v>17.683094062525676</v>
      </c>
      <c r="AA136" s="44">
        <f t="shared" si="56"/>
        <v>16.983992819156533</v>
      </c>
      <c r="AB136" s="44">
        <f t="shared" si="56"/>
        <v>16.262191291109804</v>
      </c>
      <c r="AC136" s="44">
        <f t="shared" si="56"/>
        <v>15.518267596593352</v>
      </c>
      <c r="AD136" s="44">
        <f t="shared" si="56"/>
        <v>14.752800103573179</v>
      </c>
      <c r="AE136" s="44">
        <f t="shared" si="56"/>
        <v>13.966432448241317</v>
      </c>
      <c r="AF136" s="44">
        <f t="shared" si="56"/>
        <v>13.159845810420387</v>
      </c>
      <c r="AG136" s="44">
        <f t="shared" si="56"/>
        <v>12.33375903122273</v>
      </c>
      <c r="AH136" s="44">
        <f t="shared" si="56"/>
        <v>11.48892871076454</v>
      </c>
    </row>
    <row r="137" spans="1:36" x14ac:dyDescent="0.2">
      <c r="C137" s="131" t="s">
        <v>320</v>
      </c>
      <c r="D137" s="44">
        <f t="shared" ref="D137:AH137" si="57">D53</f>
        <v>0</v>
      </c>
      <c r="E137" s="44">
        <f t="shared" si="57"/>
        <v>0</v>
      </c>
      <c r="F137" s="44">
        <f t="shared" si="57"/>
        <v>0</v>
      </c>
      <c r="G137" s="44">
        <f t="shared" si="57"/>
        <v>0</v>
      </c>
      <c r="H137" s="44">
        <f t="shared" si="57"/>
        <v>0</v>
      </c>
      <c r="I137" s="44">
        <f t="shared" si="57"/>
        <v>0</v>
      </c>
      <c r="J137" s="44">
        <f t="shared" si="57"/>
        <v>0</v>
      </c>
      <c r="K137" s="44">
        <f t="shared" si="57"/>
        <v>0</v>
      </c>
      <c r="L137" s="44">
        <f t="shared" si="57"/>
        <v>0</v>
      </c>
      <c r="M137" s="44">
        <f t="shared" si="57"/>
        <v>0</v>
      </c>
      <c r="N137" s="44">
        <f t="shared" si="57"/>
        <v>0</v>
      </c>
      <c r="O137" s="44">
        <f t="shared" si="57"/>
        <v>0</v>
      </c>
      <c r="P137" s="44">
        <f t="shared" si="57"/>
        <v>0</v>
      </c>
      <c r="Q137" s="44">
        <f t="shared" si="57"/>
        <v>0</v>
      </c>
      <c r="R137" s="44">
        <f t="shared" si="57"/>
        <v>0</v>
      </c>
      <c r="S137" s="44">
        <f t="shared" si="57"/>
        <v>0</v>
      </c>
      <c r="T137" s="44">
        <f t="shared" si="57"/>
        <v>0</v>
      </c>
      <c r="U137" s="44">
        <f t="shared" si="57"/>
        <v>0</v>
      </c>
      <c r="V137" s="44">
        <f t="shared" si="57"/>
        <v>0</v>
      </c>
      <c r="W137" s="44">
        <f t="shared" si="57"/>
        <v>0</v>
      </c>
      <c r="X137" s="44">
        <f t="shared" si="57"/>
        <v>0</v>
      </c>
      <c r="Y137" s="44">
        <f t="shared" si="57"/>
        <v>0</v>
      </c>
      <c r="Z137" s="44">
        <f t="shared" si="57"/>
        <v>0</v>
      </c>
      <c r="AA137" s="44">
        <f t="shared" si="57"/>
        <v>0</v>
      </c>
      <c r="AB137" s="44">
        <f t="shared" si="57"/>
        <v>0</v>
      </c>
      <c r="AC137" s="44">
        <f t="shared" si="57"/>
        <v>0</v>
      </c>
      <c r="AD137" s="44">
        <f t="shared" si="57"/>
        <v>0</v>
      </c>
      <c r="AE137" s="44">
        <f t="shared" si="57"/>
        <v>0</v>
      </c>
      <c r="AF137" s="44">
        <f t="shared" si="57"/>
        <v>0</v>
      </c>
      <c r="AG137" s="44">
        <f t="shared" si="57"/>
        <v>0</v>
      </c>
      <c r="AH137" s="44">
        <f t="shared" si="57"/>
        <v>0</v>
      </c>
    </row>
    <row r="138" spans="1:36" x14ac:dyDescent="0.2">
      <c r="C138" t="s">
        <v>321</v>
      </c>
      <c r="D138" s="44">
        <f>D127</f>
        <v>0</v>
      </c>
      <c r="E138" s="44">
        <f t="shared" ref="E138:AH138" si="58">E127</f>
        <v>0</v>
      </c>
      <c r="F138" s="44">
        <f t="shared" si="58"/>
        <v>0</v>
      </c>
      <c r="G138" s="44">
        <f t="shared" si="58"/>
        <v>0</v>
      </c>
      <c r="H138" s="44">
        <f t="shared" si="58"/>
        <v>0</v>
      </c>
      <c r="I138" s="44">
        <f t="shared" si="58"/>
        <v>0</v>
      </c>
      <c r="J138" s="44">
        <f t="shared" si="58"/>
        <v>0</v>
      </c>
      <c r="K138" s="44">
        <f t="shared" si="58"/>
        <v>0</v>
      </c>
      <c r="L138" s="44">
        <f t="shared" si="58"/>
        <v>0</v>
      </c>
      <c r="M138" s="44">
        <f t="shared" si="58"/>
        <v>0</v>
      </c>
      <c r="N138" s="44">
        <f t="shared" si="58"/>
        <v>0</v>
      </c>
      <c r="O138" s="44">
        <f t="shared" si="58"/>
        <v>0</v>
      </c>
      <c r="P138" s="44">
        <f t="shared" si="58"/>
        <v>0</v>
      </c>
      <c r="Q138" s="44">
        <f t="shared" si="58"/>
        <v>0</v>
      </c>
      <c r="R138" s="44">
        <f t="shared" si="58"/>
        <v>0</v>
      </c>
      <c r="S138" s="44">
        <f t="shared" si="58"/>
        <v>0</v>
      </c>
      <c r="T138" s="44">
        <f t="shared" si="58"/>
        <v>0</v>
      </c>
      <c r="U138" s="44">
        <f t="shared" si="58"/>
        <v>0</v>
      </c>
      <c r="V138" s="44">
        <f t="shared" si="58"/>
        <v>0</v>
      </c>
      <c r="W138" s="44">
        <f t="shared" si="58"/>
        <v>0</v>
      </c>
      <c r="X138" s="44">
        <f t="shared" si="58"/>
        <v>0</v>
      </c>
      <c r="Y138" s="44">
        <f t="shared" si="58"/>
        <v>0</v>
      </c>
      <c r="Z138" s="44">
        <f t="shared" si="58"/>
        <v>0</v>
      </c>
      <c r="AA138" s="44">
        <f t="shared" si="58"/>
        <v>0</v>
      </c>
      <c r="AB138" s="44">
        <f t="shared" si="58"/>
        <v>0</v>
      </c>
      <c r="AC138" s="44">
        <f t="shared" si="58"/>
        <v>0</v>
      </c>
      <c r="AD138" s="44">
        <f t="shared" si="58"/>
        <v>0</v>
      </c>
      <c r="AE138" s="44">
        <f t="shared" si="58"/>
        <v>0</v>
      </c>
      <c r="AF138" s="44">
        <f t="shared" si="58"/>
        <v>0</v>
      </c>
      <c r="AG138" s="44">
        <f t="shared" si="58"/>
        <v>0</v>
      </c>
      <c r="AH138" s="44">
        <f t="shared" si="58"/>
        <v>0</v>
      </c>
    </row>
    <row r="139" spans="1:36" x14ac:dyDescent="0.2">
      <c r="C139" t="s">
        <v>248</v>
      </c>
      <c r="D139" s="44">
        <f t="shared" ref="D139:AH139" si="59">D65-D138</f>
        <v>35.064810426540291</v>
      </c>
      <c r="E139" s="44">
        <f t="shared" si="59"/>
        <v>35.676654624404819</v>
      </c>
      <c r="F139" s="44">
        <f t="shared" si="59"/>
        <v>36.297326567610767</v>
      </c>
      <c r="G139" s="44">
        <f t="shared" si="59"/>
        <v>36.928164859788751</v>
      </c>
      <c r="H139" s="44">
        <f t="shared" si="59"/>
        <v>37.570576520071974</v>
      </c>
      <c r="I139" s="44">
        <f t="shared" si="59"/>
        <v>38.226022522842207</v>
      </c>
      <c r="J139" s="44">
        <f t="shared" si="59"/>
        <v>38.694077299427143</v>
      </c>
      <c r="K139" s="44">
        <f t="shared" si="59"/>
        <v>39.166341972858888</v>
      </c>
      <c r="L139" s="44">
        <f t="shared" si="59"/>
        <v>39.643033486843891</v>
      </c>
      <c r="M139" s="44">
        <f t="shared" si="59"/>
        <v>40.124377041207502</v>
      </c>
      <c r="N139" s="44">
        <f t="shared" si="59"/>
        <v>40.61060563672838</v>
      </c>
      <c r="O139" s="44">
        <f t="shared" si="59"/>
        <v>39.829747710897188</v>
      </c>
      <c r="P139" s="44">
        <f t="shared" si="59"/>
        <v>39.044673107481451</v>
      </c>
      <c r="Q139" s="44">
        <f t="shared" si="59"/>
        <v>38.260249129782046</v>
      </c>
      <c r="R139" s="44">
        <f t="shared" si="59"/>
        <v>37.476604151265974</v>
      </c>
      <c r="S139" s="44">
        <f t="shared" si="59"/>
        <v>36.695785776763387</v>
      </c>
      <c r="T139" s="44">
        <f t="shared" si="59"/>
        <v>35.858459879208013</v>
      </c>
      <c r="U139" s="44">
        <f t="shared" si="59"/>
        <v>35.01464853958003</v>
      </c>
      <c r="V139" s="44">
        <f t="shared" si="59"/>
        <v>34.164573774118537</v>
      </c>
      <c r="W139" s="44">
        <f t="shared" si="59"/>
        <v>33.308462825013365</v>
      </c>
      <c r="X139" s="44">
        <f t="shared" si="59"/>
        <v>32.446548129959879</v>
      </c>
      <c r="Y139" s="44">
        <f t="shared" si="59"/>
        <v>31.328637022907525</v>
      </c>
      <c r="Z139" s="44">
        <f t="shared" si="59"/>
        <v>30.197359074519429</v>
      </c>
      <c r="AA139" s="44">
        <f t="shared" si="59"/>
        <v>29.066643703539015</v>
      </c>
      <c r="AB139" s="44">
        <f t="shared" si="59"/>
        <v>27.931920658059283</v>
      </c>
      <c r="AC139" s="44">
        <f t="shared" si="59"/>
        <v>26.793425455536092</v>
      </c>
      <c r="AD139" s="44">
        <f t="shared" si="59"/>
        <v>25.610720245337557</v>
      </c>
      <c r="AE139" s="44">
        <f t="shared" si="59"/>
        <v>24.42482260799002</v>
      </c>
      <c r="AF139" s="44">
        <f t="shared" si="59"/>
        <v>23.235970960003641</v>
      </c>
      <c r="AG139" s="44">
        <f t="shared" si="59"/>
        <v>22.044405435327192</v>
      </c>
      <c r="AH139" s="44">
        <f t="shared" si="59"/>
        <v>20.850368021421207</v>
      </c>
    </row>
    <row r="140" spans="1:36" x14ac:dyDescent="0.2">
      <c r="D140" s="44">
        <f>SUM(D134:D139)</f>
        <v>111.92307692307692</v>
      </c>
      <c r="E140" s="44">
        <f t="shared" ref="E140:AG140" si="60">SUM(E134:E139)</f>
        <v>112.85423189335553</v>
      </c>
      <c r="F140" s="44">
        <f t="shared" si="60"/>
        <v>113.77944197906548</v>
      </c>
      <c r="G140" s="44">
        <f t="shared" si="60"/>
        <v>114.70135574604382</v>
      </c>
      <c r="H140" s="44">
        <f t="shared" si="60"/>
        <v>115.62293262938695</v>
      </c>
      <c r="I140" s="44">
        <f t="shared" si="60"/>
        <v>116.54741848962985</v>
      </c>
      <c r="J140" s="44">
        <f t="shared" si="60"/>
        <v>117.26626778457029</v>
      </c>
      <c r="K140" s="44">
        <f t="shared" si="60"/>
        <v>117.97071767213868</v>
      </c>
      <c r="L140" s="44">
        <f t="shared" si="60"/>
        <v>118.66065169982365</v>
      </c>
      <c r="M140" s="44">
        <f t="shared" si="60"/>
        <v>119.33599395754359</v>
      </c>
      <c r="N140" s="44">
        <f t="shared" si="60"/>
        <v>119.99671027569303</v>
      </c>
      <c r="O140" s="44">
        <f t="shared" si="60"/>
        <v>118.76936832884249</v>
      </c>
      <c r="P140" s="44">
        <f t="shared" si="60"/>
        <v>117.53250833360642</v>
      </c>
      <c r="Q140" s="44">
        <f t="shared" si="60"/>
        <v>116.23311285284746</v>
      </c>
      <c r="R140" s="44">
        <f t="shared" si="60"/>
        <v>114.91027842575886</v>
      </c>
      <c r="S140" s="44">
        <f t="shared" si="60"/>
        <v>113.56997103628402</v>
      </c>
      <c r="T140" s="44">
        <f t="shared" si="60"/>
        <v>112.13691041566581</v>
      </c>
      <c r="U140" s="44">
        <f t="shared" si="60"/>
        <v>110.66092626980091</v>
      </c>
      <c r="V140" s="44">
        <f t="shared" si="60"/>
        <v>109.1420660396587</v>
      </c>
      <c r="W140" s="44">
        <f t="shared" si="60"/>
        <v>107.5804002987088</v>
      </c>
      <c r="X140" s="44">
        <f t="shared" si="60"/>
        <v>105.97602280375409</v>
      </c>
      <c r="Y140" s="44">
        <f t="shared" si="60"/>
        <v>102.95268493499594</v>
      </c>
      <c r="Z140" s="44">
        <f t="shared" si="60"/>
        <v>100.09854859154456</v>
      </c>
      <c r="AA140" s="44">
        <f t="shared" si="60"/>
        <v>97.22055573056042</v>
      </c>
      <c r="AB140" s="44">
        <f t="shared" si="60"/>
        <v>94.287420104878322</v>
      </c>
      <c r="AC140" s="44">
        <f t="shared" si="60"/>
        <v>91.299988876751385</v>
      </c>
      <c r="AD140" s="44">
        <f t="shared" si="60"/>
        <v>88.218265221306879</v>
      </c>
      <c r="AE140" s="44">
        <f t="shared" si="60"/>
        <v>85.088762522476387</v>
      </c>
      <c r="AF140" s="44">
        <f t="shared" si="60"/>
        <v>82.721003564748116</v>
      </c>
      <c r="AG140" s="44">
        <f t="shared" si="60"/>
        <v>80.317453331331535</v>
      </c>
      <c r="AH140" s="44">
        <f>SUM(AH134:AH139)</f>
        <v>77.87930098348761</v>
      </c>
    </row>
    <row r="141" spans="1:36" x14ac:dyDescent="0.2">
      <c r="C141" t="s">
        <v>364</v>
      </c>
      <c r="D141" s="44">
        <f>SUM(D131:D139)</f>
        <v>111.92307692307692</v>
      </c>
      <c r="E141" s="44">
        <f t="shared" ref="E141:AH141" si="61">SUM(E131:E139)</f>
        <v>114.17696757491626</v>
      </c>
      <c r="F141" s="44">
        <f t="shared" si="61"/>
        <v>116.47603314311495</v>
      </c>
      <c r="G141" s="44">
        <f t="shared" si="61"/>
        <v>118.82117580625837</v>
      </c>
      <c r="H141" s="44">
        <f t="shared" si="61"/>
        <v>121.21331571035435</v>
      </c>
      <c r="I141" s="44">
        <f t="shared" si="61"/>
        <v>123.65339132591021</v>
      </c>
      <c r="J141" s="44">
        <f t="shared" si="61"/>
        <v>125.921641086352</v>
      </c>
      <c r="K141" s="44">
        <f t="shared" si="61"/>
        <v>128.23140639385144</v>
      </c>
      <c r="L141" s="44">
        <f t="shared" si="61"/>
        <v>130.58344561264067</v>
      </c>
      <c r="M141" s="44">
        <f t="shared" si="61"/>
        <v>132.97853093588915</v>
      </c>
      <c r="N141" s="44">
        <f t="shared" si="61"/>
        <v>135.41744863748744</v>
      </c>
      <c r="O141" s="44">
        <f t="shared" si="61"/>
        <v>136.75815630531591</v>
      </c>
      <c r="P141" s="44">
        <f t="shared" si="61"/>
        <v>138.11375394832734</v>
      </c>
      <c r="Q141" s="44">
        <f t="shared" si="61"/>
        <v>139.48443711522134</v>
      </c>
      <c r="R141" s="44">
        <f t="shared" si="61"/>
        <v>140.87040439802951</v>
      </c>
      <c r="S141" s="44">
        <f t="shared" si="61"/>
        <v>142.27185748542047</v>
      </c>
      <c r="T141" s="44">
        <f t="shared" si="61"/>
        <v>143.63314482306015</v>
      </c>
      <c r="U141" s="44">
        <f t="shared" si="61"/>
        <v>145.00933720081875</v>
      </c>
      <c r="V141" s="44">
        <f t="shared" si="61"/>
        <v>146.40063266762081</v>
      </c>
      <c r="W141" s="44">
        <f t="shared" si="61"/>
        <v>147.80723243503991</v>
      </c>
      <c r="X141" s="44">
        <f t="shared" si="61"/>
        <v>149.22934093399834</v>
      </c>
      <c r="Y141" s="44">
        <f t="shared" si="61"/>
        <v>150.56345100846184</v>
      </c>
      <c r="Z141" s="44">
        <f t="shared" si="61"/>
        <v>151.91086948744302</v>
      </c>
      <c r="AA141" s="44">
        <f t="shared" si="61"/>
        <v>153.27175561116593</v>
      </c>
      <c r="AB141" s="44">
        <f t="shared" si="61"/>
        <v>154.64627095726883</v>
      </c>
      <c r="AC141" s="44">
        <f t="shared" si="61"/>
        <v>156.03457948066813</v>
      </c>
      <c r="AD141" s="44">
        <f t="shared" si="61"/>
        <v>157.38557714567159</v>
      </c>
      <c r="AE141" s="44">
        <f t="shared" si="61"/>
        <v>158.74986566469002</v>
      </c>
      <c r="AF141" s="44">
        <f t="shared" si="61"/>
        <v>160.1276061085517</v>
      </c>
      <c r="AG141" s="44">
        <f t="shared" si="61"/>
        <v>161.51896198049872</v>
      </c>
      <c r="AH141" s="44">
        <f t="shared" si="61"/>
        <v>162.92409925871709</v>
      </c>
    </row>
    <row r="142" spans="1:36" x14ac:dyDescent="0.2">
      <c r="C142" t="s">
        <v>366</v>
      </c>
      <c r="D142" s="44">
        <f>D129-D141</f>
        <v>0</v>
      </c>
      <c r="E142" s="44">
        <f t="shared" ref="E142:AH142" si="62">E129-E141</f>
        <v>0</v>
      </c>
      <c r="F142" s="44">
        <f t="shared" si="62"/>
        <v>0</v>
      </c>
      <c r="G142" s="44">
        <f t="shared" si="62"/>
        <v>0</v>
      </c>
      <c r="H142" s="44">
        <f t="shared" si="62"/>
        <v>0</v>
      </c>
      <c r="I142" s="44">
        <f t="shared" si="62"/>
        <v>0</v>
      </c>
      <c r="J142" s="44">
        <f t="shared" si="62"/>
        <v>0</v>
      </c>
      <c r="K142" s="44">
        <f t="shared" si="62"/>
        <v>0</v>
      </c>
      <c r="L142" s="44">
        <f t="shared" si="62"/>
        <v>0</v>
      </c>
      <c r="M142" s="44">
        <f t="shared" si="62"/>
        <v>0</v>
      </c>
      <c r="N142" s="44">
        <f t="shared" si="62"/>
        <v>0</v>
      </c>
      <c r="O142" s="44">
        <f t="shared" si="62"/>
        <v>0</v>
      </c>
      <c r="P142" s="44">
        <f t="shared" si="62"/>
        <v>0</v>
      </c>
      <c r="Q142" s="44">
        <f t="shared" si="62"/>
        <v>0</v>
      </c>
      <c r="R142" s="44">
        <f t="shared" si="62"/>
        <v>0</v>
      </c>
      <c r="S142" s="44">
        <f t="shared" si="62"/>
        <v>0</v>
      </c>
      <c r="T142" s="44">
        <f t="shared" si="62"/>
        <v>0</v>
      </c>
      <c r="U142" s="44">
        <f t="shared" si="62"/>
        <v>0</v>
      </c>
      <c r="V142" s="44">
        <f t="shared" si="62"/>
        <v>0</v>
      </c>
      <c r="W142" s="44">
        <f t="shared" si="62"/>
        <v>0</v>
      </c>
      <c r="X142" s="44">
        <f t="shared" si="62"/>
        <v>0</v>
      </c>
      <c r="Y142" s="44">
        <f t="shared" si="62"/>
        <v>0</v>
      </c>
      <c r="Z142" s="44">
        <f t="shared" si="62"/>
        <v>0</v>
      </c>
      <c r="AA142" s="44">
        <f t="shared" si="62"/>
        <v>0</v>
      </c>
      <c r="AB142" s="44">
        <f t="shared" si="62"/>
        <v>0</v>
      </c>
      <c r="AC142" s="44">
        <f t="shared" si="62"/>
        <v>0</v>
      </c>
      <c r="AD142" s="44">
        <f t="shared" si="62"/>
        <v>0</v>
      </c>
      <c r="AE142" s="44">
        <f t="shared" si="62"/>
        <v>0</v>
      </c>
      <c r="AF142" s="44">
        <f t="shared" si="62"/>
        <v>0</v>
      </c>
      <c r="AG142" s="44">
        <f t="shared" si="62"/>
        <v>0</v>
      </c>
      <c r="AH142" s="44">
        <f t="shared" si="62"/>
        <v>0</v>
      </c>
      <c r="AJ142" s="208" t="s">
        <v>367</v>
      </c>
    </row>
    <row r="145" spans="4:34" x14ac:dyDescent="0.2">
      <c r="D145">
        <v>0</v>
      </c>
      <c r="E145">
        <v>0.66080278792202662</v>
      </c>
      <c r="F145">
        <v>1.34786726379854</v>
      </c>
      <c r="G145">
        <v>2.0619696493891908</v>
      </c>
      <c r="H145">
        <v>2.8039064568836407</v>
      </c>
      <c r="I145">
        <v>3.5744949847356002</v>
      </c>
      <c r="J145">
        <v>4.3680184789590646</v>
      </c>
      <c r="K145">
        <v>5.1894181252815903</v>
      </c>
      <c r="L145">
        <v>6.0394432265048792</v>
      </c>
      <c r="M145">
        <v>6.9188610083283653</v>
      </c>
      <c r="N145">
        <v>7.8284570205311876</v>
      </c>
      <c r="O145">
        <v>9.1108558770464825</v>
      </c>
      <c r="P145">
        <v>10.424444634446488</v>
      </c>
      <c r="Q145">
        <v>11.769825052370161</v>
      </c>
      <c r="R145">
        <v>13.147608957759635</v>
      </c>
      <c r="S145">
        <v>14.558418382446018</v>
      </c>
      <c r="T145">
        <v>15.998461875393623</v>
      </c>
      <c r="U145">
        <v>17.472169527642265</v>
      </c>
      <c r="V145">
        <v>18.980178884566442</v>
      </c>
      <c r="W145">
        <v>20.523137979821321</v>
      </c>
      <c r="X145">
        <v>22.1017054739456</v>
      </c>
      <c r="Y145">
        <v>24.100436488111185</v>
      </c>
      <c r="Z145">
        <v>26.138868058547377</v>
      </c>
      <c r="AA145">
        <v>28.217447616783076</v>
      </c>
      <c r="AB145">
        <v>30.336619710726399</v>
      </c>
      <c r="AC145">
        <v>32.496825634376123</v>
      </c>
      <c r="AD145">
        <v>34.69185839782957</v>
      </c>
      <c r="AE145">
        <v>36.928160488628706</v>
      </c>
      <c r="AF145">
        <v>39.206146818500585</v>
      </c>
      <c r="AG145">
        <v>41.526227186289837</v>
      </c>
      <c r="AH145">
        <v>43.888805826140164</v>
      </c>
    </row>
    <row r="146" spans="4:34" x14ac:dyDescent="0.2">
      <c r="D146">
        <v>0</v>
      </c>
      <c r="E146">
        <v>0.14224338598899738</v>
      </c>
      <c r="F146">
        <v>0.2903586067554651</v>
      </c>
      <c r="G146">
        <v>0.44452640102920071</v>
      </c>
      <c r="H146">
        <v>0.60493242776441369</v>
      </c>
      <c r="I146">
        <v>0.77176739116662652</v>
      </c>
      <c r="J146">
        <v>0.94304205337334412</v>
      </c>
      <c r="K146">
        <v>1.1203178565701624</v>
      </c>
      <c r="L146">
        <v>1.303756939308814</v>
      </c>
      <c r="M146">
        <v>1.4935253614284558</v>
      </c>
      <c r="N146">
        <v>1.6897931931944021</v>
      </c>
      <c r="O146">
        <v>1.8708361810328689</v>
      </c>
      <c r="P146">
        <v>2.0231058612388075</v>
      </c>
      <c r="Q146">
        <v>2.2223091568506721</v>
      </c>
      <c r="R146">
        <v>2.4241361716522136</v>
      </c>
      <c r="S146">
        <v>2.62860005311944</v>
      </c>
      <c r="T146">
        <v>2.8342389860778523</v>
      </c>
      <c r="U146">
        <v>3.0423278060346339</v>
      </c>
      <c r="V146">
        <v>3.252873240883321</v>
      </c>
      <c r="W146">
        <v>3.4658815257695261</v>
      </c>
      <c r="X146">
        <v>3.6813583854398666</v>
      </c>
      <c r="Y146">
        <v>4.2004584549306969</v>
      </c>
      <c r="Z146">
        <v>4.4182932606810725</v>
      </c>
      <c r="AA146">
        <v>4.6382240495821971</v>
      </c>
      <c r="AB146">
        <v>4.8602438673021915</v>
      </c>
      <c r="AC146">
        <v>5.0843449465423047</v>
      </c>
      <c r="AD146">
        <v>5.3083038012973081</v>
      </c>
      <c r="AE146">
        <v>5.5341139227413674</v>
      </c>
      <c r="AF146">
        <v>5.7617602082357608</v>
      </c>
      <c r="AG146">
        <v>5.9912265672061524</v>
      </c>
      <c r="AH146">
        <v>6.2224958937275208</v>
      </c>
    </row>
    <row r="147" spans="4:34" x14ac:dyDescent="0.2">
      <c r="D147">
        <v>0</v>
      </c>
      <c r="E147">
        <v>0.51968950764971567</v>
      </c>
      <c r="F147">
        <v>1.0583652934954699</v>
      </c>
      <c r="G147">
        <v>1.6133240097961732</v>
      </c>
      <c r="H147">
        <v>2.1815441963193294</v>
      </c>
      <c r="I147">
        <v>2.7597104603781091</v>
      </c>
      <c r="J147">
        <v>3.3443127694493029</v>
      </c>
      <c r="K147">
        <v>3.9509527398610231</v>
      </c>
      <c r="L147">
        <v>4.5795937470033365</v>
      </c>
      <c r="M147">
        <v>5.230150608588751</v>
      </c>
      <c r="N147">
        <v>5.9024881480688123</v>
      </c>
      <c r="O147">
        <v>7.0070959183940644</v>
      </c>
      <c r="P147">
        <v>8.1336951190356359</v>
      </c>
      <c r="Q147">
        <v>9.2591900531530555</v>
      </c>
      <c r="R147">
        <v>10.388380842858815</v>
      </c>
      <c r="S147">
        <v>11.514868013571025</v>
      </c>
      <c r="T147">
        <v>12.66353354592286</v>
      </c>
      <c r="U147">
        <v>13.833913597340938</v>
      </c>
      <c r="V147">
        <v>15.025514502512372</v>
      </c>
      <c r="W147">
        <v>16.237812630740287</v>
      </c>
      <c r="X147">
        <v>17.47025427085876</v>
      </c>
      <c r="Y147">
        <v>19.309871130424042</v>
      </c>
      <c r="Z147">
        <v>21.255159576670028</v>
      </c>
      <c r="AA147">
        <v>23.195528214240241</v>
      </c>
      <c r="AB147">
        <v>25.16198727436192</v>
      </c>
      <c r="AC147">
        <v>27.153420022998315</v>
      </c>
      <c r="AD147">
        <v>29.16714972523782</v>
      </c>
      <c r="AE147">
        <v>31.19882873084358</v>
      </c>
      <c r="AF147">
        <v>32.438695517067238</v>
      </c>
      <c r="AG147">
        <v>33.684054895671181</v>
      </c>
      <c r="AH147">
        <v>34.933496555361771</v>
      </c>
    </row>
    <row r="148" spans="4:34" x14ac:dyDescent="0.2">
      <c r="D148">
        <v>46.844581662413418</v>
      </c>
      <c r="E148">
        <v>47.138352179870786</v>
      </c>
      <c r="F148">
        <v>47.428597531786266</v>
      </c>
      <c r="G148">
        <v>47.715897864173435</v>
      </c>
      <c r="H148">
        <v>48.000926488727607</v>
      </c>
      <c r="I148">
        <v>48.284445175228946</v>
      </c>
      <c r="J148">
        <v>48.563523971983081</v>
      </c>
      <c r="K148">
        <v>48.838099744478036</v>
      </c>
      <c r="L148">
        <v>49.108122967041275</v>
      </c>
      <c r="M148">
        <v>49.37355831268281</v>
      </c>
      <c r="N148">
        <v>49.63438521102271</v>
      </c>
      <c r="O148">
        <v>49.630926681582601</v>
      </c>
      <c r="P148">
        <v>49.648578201799154</v>
      </c>
      <c r="Q148">
        <v>49.617534671521618</v>
      </c>
      <c r="R148">
        <v>49.580903462020061</v>
      </c>
      <c r="S148">
        <v>49.540164619106754</v>
      </c>
      <c r="T148">
        <v>49.489502532353221</v>
      </c>
      <c r="U148">
        <v>49.42893684313389</v>
      </c>
      <c r="V148">
        <v>49.358494518006715</v>
      </c>
      <c r="W148">
        <v>49.278209841119242</v>
      </c>
      <c r="X148">
        <v>49.188124395255834</v>
      </c>
      <c r="Y148">
        <v>48.639092194683514</v>
      </c>
      <c r="Z148">
        <v>48.349808227678402</v>
      </c>
      <c r="AA148">
        <v>48.047694730868834</v>
      </c>
      <c r="AB148">
        <v>47.731282229564705</v>
      </c>
      <c r="AC148">
        <v>47.40071542991798</v>
      </c>
      <c r="AD148">
        <v>47.05607244566842</v>
      </c>
      <c r="AE148">
        <v>46.69750746624505</v>
      </c>
      <c r="AF148">
        <v>46.325186794324082</v>
      </c>
      <c r="AG148">
        <v>45.939288864781616</v>
      </c>
      <c r="AH148">
        <v>45.540004251301866</v>
      </c>
    </row>
    <row r="149" spans="4:34" x14ac:dyDescent="0.2">
      <c r="D149">
        <v>12.379169704702877</v>
      </c>
      <c r="E149">
        <v>12.182196884529915</v>
      </c>
      <c r="F149">
        <v>11.975770409580406</v>
      </c>
      <c r="G149">
        <v>11.760798632193907</v>
      </c>
      <c r="H149">
        <v>11.538280120426156</v>
      </c>
      <c r="I149">
        <v>11.309292704189513</v>
      </c>
      <c r="J149">
        <v>11.069051676321008</v>
      </c>
      <c r="K149">
        <v>10.81746982324359</v>
      </c>
      <c r="L149">
        <v>10.554471972862807</v>
      </c>
      <c r="M149">
        <v>10.279995211378409</v>
      </c>
      <c r="N149">
        <v>9.9939890563058196</v>
      </c>
      <c r="O149">
        <v>9.558380316492574</v>
      </c>
      <c r="P149">
        <v>9.1114638923606197</v>
      </c>
      <c r="Q149">
        <v>8.6624083215491368</v>
      </c>
      <c r="R149">
        <v>8.2085321141460206</v>
      </c>
      <c r="S149">
        <v>7.7518052023768051</v>
      </c>
      <c r="T149">
        <v>7.2837212137902974</v>
      </c>
      <c r="U149">
        <v>6.8042837725075334</v>
      </c>
      <c r="V149">
        <v>6.3135005664454997</v>
      </c>
      <c r="W149">
        <v>5.8113832515598736</v>
      </c>
      <c r="X149">
        <v>5.2979473456521582</v>
      </c>
      <c r="Y149">
        <v>4.6072642344822352</v>
      </c>
      <c r="Z149">
        <v>3.8682872268210486</v>
      </c>
      <c r="AA149">
        <v>3.1222244769960388</v>
      </c>
      <c r="AB149">
        <v>2.3620259261445362</v>
      </c>
      <c r="AC149">
        <v>1.5875803947039606</v>
      </c>
      <c r="AD149">
        <v>0.7986724267277272</v>
      </c>
      <c r="AE149">
        <v>0</v>
      </c>
      <c r="AF149">
        <v>0</v>
      </c>
      <c r="AG149">
        <v>0</v>
      </c>
      <c r="AH149">
        <v>0</v>
      </c>
    </row>
    <row r="150" spans="4:34" x14ac:dyDescent="0.2">
      <c r="D150">
        <v>17.63451512942034</v>
      </c>
      <c r="E150">
        <v>17.857028204550009</v>
      </c>
      <c r="F150">
        <v>18.077747470088042</v>
      </c>
      <c r="G150">
        <v>18.296494389887719</v>
      </c>
      <c r="H150">
        <v>18.513149500161227</v>
      </c>
      <c r="I150">
        <v>18.727658087369189</v>
      </c>
      <c r="J150">
        <v>18.939614836839056</v>
      </c>
      <c r="K150">
        <v>19.14880613155816</v>
      </c>
      <c r="L150">
        <v>19.35502327307567</v>
      </c>
      <c r="M150">
        <v>19.558063392274875</v>
      </c>
      <c r="N150">
        <v>19.757730371636118</v>
      </c>
      <c r="O150">
        <v>19.750313619870138</v>
      </c>
      <c r="P150">
        <v>19.727793131965182</v>
      </c>
      <c r="Q150">
        <v>19.692920729994658</v>
      </c>
      <c r="R150">
        <v>19.644238698326795</v>
      </c>
      <c r="S150">
        <v>19.582215438037068</v>
      </c>
      <c r="T150">
        <v>19.505226790314278</v>
      </c>
      <c r="U150">
        <v>19.413057114579455</v>
      </c>
      <c r="V150">
        <v>19.305497181087947</v>
      </c>
      <c r="W150">
        <v>19.182344381016307</v>
      </c>
      <c r="X150">
        <v>19.04340293288622</v>
      </c>
      <c r="Y150">
        <v>18.377691482922664</v>
      </c>
      <c r="Z150">
        <v>17.683094062525676</v>
      </c>
      <c r="AA150">
        <v>16.983992819156533</v>
      </c>
      <c r="AB150">
        <v>16.262191291109804</v>
      </c>
      <c r="AC150">
        <v>15.518267596593352</v>
      </c>
      <c r="AD150">
        <v>14.752800103573179</v>
      </c>
      <c r="AE150">
        <v>13.966432448241317</v>
      </c>
      <c r="AF150">
        <v>13.159845810420387</v>
      </c>
      <c r="AG150">
        <v>12.33375903122273</v>
      </c>
      <c r="AH150">
        <v>11.48892871076454</v>
      </c>
    </row>
    <row r="151" spans="4:34" x14ac:dyDescent="0.2">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row>
    <row r="152" spans="4:34" x14ac:dyDescent="0.2">
      <c r="D152">
        <v>0</v>
      </c>
      <c r="E152">
        <v>0</v>
      </c>
      <c r="F152">
        <v>0</v>
      </c>
      <c r="G152">
        <v>0</v>
      </c>
      <c r="H152">
        <v>0</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row>
    <row r="153" spans="4:34" x14ac:dyDescent="0.2">
      <c r="D153">
        <v>35.064810426540291</v>
      </c>
      <c r="E153">
        <v>35.676654624404819</v>
      </c>
      <c r="F153">
        <v>36.297326567610767</v>
      </c>
      <c r="G153">
        <v>36.928164859788751</v>
      </c>
      <c r="H153">
        <v>37.570576520071974</v>
      </c>
      <c r="I153">
        <v>38.226022522842207</v>
      </c>
      <c r="J153">
        <v>38.694077299427143</v>
      </c>
      <c r="K153">
        <v>39.166341972858888</v>
      </c>
      <c r="L153">
        <v>39.643033486843891</v>
      </c>
      <c r="M153">
        <v>40.124377041207502</v>
      </c>
      <c r="N153">
        <v>40.61060563672838</v>
      </c>
      <c r="O153">
        <v>39.829747710897188</v>
      </c>
      <c r="P153">
        <v>39.044673107481451</v>
      </c>
      <c r="Q153">
        <v>38.260249129782046</v>
      </c>
      <c r="R153">
        <v>37.476604151265974</v>
      </c>
      <c r="S153">
        <v>36.695785776763387</v>
      </c>
      <c r="T153">
        <v>35.858459879208013</v>
      </c>
      <c r="U153">
        <v>35.01464853958003</v>
      </c>
      <c r="V153">
        <v>34.164573774118537</v>
      </c>
      <c r="W153">
        <v>33.308462825013365</v>
      </c>
      <c r="X153">
        <v>32.446548129959879</v>
      </c>
      <c r="Y153">
        <v>31.328637022907525</v>
      </c>
      <c r="Z153">
        <v>30.197359074519429</v>
      </c>
      <c r="AA153">
        <v>29.066643703539015</v>
      </c>
      <c r="AB153">
        <v>27.931920658059283</v>
      </c>
      <c r="AC153">
        <v>26.793425455536092</v>
      </c>
      <c r="AD153">
        <v>25.610720245337557</v>
      </c>
      <c r="AE153">
        <v>24.42482260799002</v>
      </c>
      <c r="AF153">
        <v>23.235970960003641</v>
      </c>
      <c r="AG153">
        <v>22.044405435327192</v>
      </c>
      <c r="AH153">
        <v>20.850368021421207</v>
      </c>
    </row>
    <row r="154" spans="4:34" x14ac:dyDescent="0.2">
      <c r="D154">
        <v>111.92307692307692</v>
      </c>
      <c r="E154">
        <v>112.85423189335553</v>
      </c>
      <c r="F154">
        <v>113.77944197906548</v>
      </c>
      <c r="G154">
        <v>114.70135574604382</v>
      </c>
      <c r="H154">
        <v>115.62293262938695</v>
      </c>
      <c r="I154">
        <v>116.54741848962985</v>
      </c>
      <c r="J154">
        <v>117.26626778457029</v>
      </c>
      <c r="K154">
        <v>117.97071767213868</v>
      </c>
      <c r="L154">
        <v>118.66065169982365</v>
      </c>
      <c r="M154">
        <v>119.33599395754359</v>
      </c>
      <c r="N154">
        <v>119.99671027569303</v>
      </c>
      <c r="O154">
        <v>118.76936832884249</v>
      </c>
      <c r="P154">
        <v>117.53250833360642</v>
      </c>
      <c r="Q154">
        <v>116.23311285284746</v>
      </c>
      <c r="R154">
        <v>114.91027842575886</v>
      </c>
      <c r="S154">
        <v>113.56997103628402</v>
      </c>
      <c r="T154">
        <v>112.13691041566581</v>
      </c>
      <c r="U154">
        <v>110.66092626980091</v>
      </c>
      <c r="V154">
        <v>109.1420660396587</v>
      </c>
      <c r="W154">
        <v>107.5804002987088</v>
      </c>
      <c r="X154">
        <v>105.97602280375409</v>
      </c>
      <c r="Y154">
        <v>102.95268493499594</v>
      </c>
      <c r="Z154">
        <v>100.09854859154456</v>
      </c>
      <c r="AA154">
        <v>97.22055573056042</v>
      </c>
      <c r="AB154">
        <v>94.287420104878322</v>
      </c>
      <c r="AC154">
        <v>91.299988876751385</v>
      </c>
      <c r="AD154">
        <v>88.218265221306879</v>
      </c>
      <c r="AE154">
        <v>85.088762522476387</v>
      </c>
      <c r="AF154">
        <v>82.721003564748116</v>
      </c>
      <c r="AG154">
        <v>80.317453331331535</v>
      </c>
      <c r="AH154">
        <v>77.87930098348761</v>
      </c>
    </row>
  </sheetData>
  <pageMargins left="0.7" right="0.7" top="0.75" bottom="0.7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0F808-D4BB-4D0D-A060-7245A3CB5532}">
  <sheetPr>
    <tabColor theme="9"/>
  </sheetPr>
  <dimension ref="A2:AU152"/>
  <sheetViews>
    <sheetView zoomScale="70" zoomScaleNormal="70" workbookViewId="0">
      <pane xSplit="3" ySplit="3" topLeftCell="D40" activePane="bottomRight" state="frozen"/>
      <selection pane="topRight" activeCell="C65" sqref="C65"/>
      <selection pane="bottomLeft" activeCell="C65" sqref="C65"/>
      <selection pane="bottomRight" activeCell="AH69" sqref="AH69:AH70"/>
    </sheetView>
  </sheetViews>
  <sheetFormatPr baseColWidth="10" defaultColWidth="8.83203125" defaultRowHeight="15" outlineLevelRow="1" outlineLevelCol="1" x14ac:dyDescent="0.2"/>
  <cols>
    <col min="1" max="1" width="29.5" style="1" customWidth="1"/>
    <col min="2" max="2" width="24.5" style="1" customWidth="1"/>
    <col min="5" max="13" width="8.83203125" hidden="1" customWidth="1" outlineLevel="1"/>
    <col min="14" max="14" width="8.83203125" collapsed="1"/>
    <col min="15" max="23" width="8.83203125" hidden="1" customWidth="1" outlineLevel="1"/>
    <col min="24" max="24" width="8.83203125" collapsed="1"/>
    <col min="25" max="33" width="8.83203125" hidden="1" customWidth="1" outlineLevel="1"/>
    <col min="34" max="34" width="8.83203125" collapsed="1"/>
  </cols>
  <sheetData>
    <row r="2" spans="1:36" s="53" customFormat="1" x14ac:dyDescent="0.2">
      <c r="A2" s="52" t="s">
        <v>405</v>
      </c>
      <c r="B2" s="52"/>
      <c r="C2" s="52"/>
    </row>
    <row r="3" spans="1:36" s="1" customFormat="1" x14ac:dyDescent="0.2">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row>
    <row r="4" spans="1:36" x14ac:dyDescent="0.2">
      <c r="A4" s="1" t="s">
        <v>387</v>
      </c>
      <c r="C4" s="54" t="s">
        <v>153</v>
      </c>
      <c r="D4" s="44">
        <f>'Yearly Demand - Eth&amp;Prop'!N5</f>
        <v>111.92307692307692</v>
      </c>
      <c r="E4" s="44">
        <f>'Yearly Demand - Eth&amp;Prop'!O5</f>
        <v>114.14109897114302</v>
      </c>
      <c r="F4" s="44">
        <f>'Yearly Demand - Eth&amp;Prop'!P5</f>
        <v>116.40307640304019</v>
      </c>
      <c r="G4" s="44">
        <f>'Yearly Demand - Eth&amp;Prop'!Q5</f>
        <v>118.70988029927432</v>
      </c>
      <c r="H4" s="44">
        <f>'Yearly Demand - Eth&amp;Prop'!R5</f>
        <v>121.06239900288395</v>
      </c>
      <c r="I4" s="44">
        <f>'Yearly Demand - Eth&amp;Prop'!S5</f>
        <v>123.46153846153845</v>
      </c>
      <c r="J4" s="44">
        <f>'Yearly Demand - Eth&amp;Prop'!T5</f>
        <v>125.68750385067274</v>
      </c>
      <c r="K4" s="44">
        <f>'Yearly Demand - Eth&amp;Prop'!U5</f>
        <v>127.95360256371801</v>
      </c>
      <c r="L4" s="44">
        <f>'Yearly Demand - Eth&amp;Prop'!V5</f>
        <v>130.26055818950272</v>
      </c>
      <c r="M4" s="44">
        <f>'Yearly Demand - Eth&amp;Prop'!W5</f>
        <v>132.60910736289145</v>
      </c>
      <c r="N4" s="44">
        <f>'Yearly Demand - Eth&amp;Prop'!X5</f>
        <v>135</v>
      </c>
      <c r="O4" s="44">
        <f>'Yearly Demand - Eth&amp;Prop'!Y5</f>
        <v>136.22747472491002</v>
      </c>
      <c r="P4" s="44">
        <f>'Yearly Demand - Eth&amp;Prop'!Z5</f>
        <v>137.46611014760001</v>
      </c>
      <c r="Q4" s="44">
        <f>'Yearly Demand - Eth&amp;Prop'!AA5</f>
        <v>138.71600774565835</v>
      </c>
      <c r="R4" s="44">
        <f>'Yearly Demand - Eth&amp;Prop'!AB5</f>
        <v>139.97726991934886</v>
      </c>
      <c r="S4" s="44">
        <f>'Yearly Demand - Eth&amp;Prop'!AC5</f>
        <v>141.25</v>
      </c>
      <c r="T4" s="44">
        <f>'Yearly Demand - Eth&amp;Prop'!AD5</f>
        <v>142.47844586453499</v>
      </c>
      <c r="U4" s="44">
        <f>'Yearly Demand - Eth&amp;Prop'!AE5</f>
        <v>143.71757547591665</v>
      </c>
      <c r="V4" s="44">
        <f>'Yearly Demand - Eth&amp;Prop'!AF5</f>
        <v>144.96748175028398</v>
      </c>
      <c r="W4" s="44">
        <f>'Yearly Demand - Eth&amp;Prop'!AG5</f>
        <v>146.22825841186406</v>
      </c>
      <c r="X4" s="44">
        <f>'Yearly Demand - Eth&amp;Prop'!AH5</f>
        <v>147.5</v>
      </c>
      <c r="Y4" s="44">
        <f>'Yearly Demand - Eth&amp;Prop'!AI5</f>
        <v>148.72933671873375</v>
      </c>
      <c r="Z4" s="44">
        <f>'Yearly Demand - Eth&amp;Prop'!AJ5</f>
        <v>149.96891932742022</v>
      </c>
      <c r="AA4" s="44">
        <f>'Yearly Demand - Eth&amp;Prop'!AK5</f>
        <v>151.21883322028813</v>
      </c>
      <c r="AB4" s="44">
        <f>'Yearly Demand - Eth&amp;Prop'!AL5</f>
        <v>152.47916450328322</v>
      </c>
      <c r="AC4" s="44">
        <f>'Yearly Demand - Eth&amp;Prop'!AM5</f>
        <v>153.75</v>
      </c>
      <c r="AD4" s="44">
        <f>'Yearly Demand - Eth&amp;Prop'!AN5</f>
        <v>154.98015684917894</v>
      </c>
      <c r="AE4" s="44">
        <f>'Yearly Demand - Eth&amp;Prop'!AO5</f>
        <v>156.22015620810475</v>
      </c>
      <c r="AF4" s="44">
        <f>'Yearly Demand - Eth&amp;Prop'!AP5</f>
        <v>157.4700768268963</v>
      </c>
      <c r="AG4" s="44">
        <f>'Yearly Demand - Eth&amp;Prop'!AQ5</f>
        <v>158.72999808575381</v>
      </c>
      <c r="AH4" s="44">
        <f>'Yearly Demand - Eth&amp;Prop'!AR5</f>
        <v>160</v>
      </c>
    </row>
    <row r="6" spans="1:36" x14ac:dyDescent="0.2">
      <c r="A6" s="58" t="s">
        <v>268</v>
      </c>
      <c r="B6" s="58" t="s">
        <v>199</v>
      </c>
      <c r="C6" s="59" t="s">
        <v>153</v>
      </c>
      <c r="D6" s="60">
        <f>'R&amp;S - Transportation'!C4</f>
        <v>17.63451512942034</v>
      </c>
      <c r="E6" s="60">
        <f>D6*(1+'R&amp;S - Transportation'!$B$5)</f>
        <v>17.934301886620485</v>
      </c>
      <c r="F6" s="60">
        <f>E6*(1+'R&amp;S - Transportation'!$B$5)</f>
        <v>18.239185018693032</v>
      </c>
      <c r="G6" s="60">
        <f>F6*(1+'R&amp;S - Transportation'!$B$5)</f>
        <v>18.549251164010812</v>
      </c>
      <c r="H6" s="60">
        <f>G6*(1+'R&amp;S - Transportation'!$B$5)</f>
        <v>18.864588433798993</v>
      </c>
      <c r="I6" s="60">
        <f>H6*(1+'R&amp;S - Transportation'!$B$5)</f>
        <v>19.185286437173573</v>
      </c>
      <c r="J6" s="60">
        <f>I6*(1+'R&amp;S - Transportation'!$B$5)</f>
        <v>19.511436306605521</v>
      </c>
      <c r="K6" s="60">
        <f>J6*(1+'R&amp;S - Transportation'!$B$5)</f>
        <v>19.843130723817815</v>
      </c>
      <c r="L6" s="60">
        <f>K6*(1+'R&amp;S - Transportation'!$B$5)</f>
        <v>20.180463946122718</v>
      </c>
      <c r="M6" s="60">
        <f>L6*(1+'R&amp;S - Transportation'!$B$5)</f>
        <v>20.523531833206803</v>
      </c>
      <c r="N6" s="60">
        <f>M6*(1+'R&amp;S - Transportation'!$B$5)</f>
        <v>20.872431874371316</v>
      </c>
      <c r="O6" s="60">
        <f>N6*(1+'R&amp;S - Transportation'!$B$5)</f>
        <v>21.227263216235627</v>
      </c>
      <c r="P6" s="60">
        <f>O6*(1+'R&amp;S - Transportation'!$B$5)</f>
        <v>21.588126690911633</v>
      </c>
      <c r="Q6" s="60">
        <f>P6*(1+'R&amp;S - Transportation'!$B$5)</f>
        <v>21.955124844657128</v>
      </c>
      <c r="R6" s="60">
        <f>Q6*(1+'R&amp;S - Transportation'!$B$5)</f>
        <v>22.328361967016296</v>
      </c>
      <c r="S6" s="60">
        <f>R6*(1+'R&amp;S - Transportation'!$B$5)</f>
        <v>22.707944120455572</v>
      </c>
      <c r="T6" s="60">
        <f>S6*(1+'R&amp;S - Transportation'!$B$5)</f>
        <v>23.093979170503314</v>
      </c>
      <c r="U6" s="60">
        <f>T6*(1+'R&amp;S - Transportation'!$B$5)</f>
        <v>23.486576816401868</v>
      </c>
      <c r="V6" s="60">
        <f>U6*(1+'R&amp;S - Transportation'!$B$5)</f>
        <v>23.885848622280697</v>
      </c>
      <c r="W6" s="60">
        <f>V6*(1+'R&amp;S - Transportation'!$B$5)</f>
        <v>24.291908048859465</v>
      </c>
      <c r="X6" s="60">
        <f>W6*(1+'R&amp;S - Transportation'!$B$5)</f>
        <v>24.704870485690073</v>
      </c>
      <c r="Y6" s="60">
        <f>X6*(1+'R&amp;S - Transportation'!$B$5)</f>
        <v>25.124853283946802</v>
      </c>
      <c r="Z6" s="60">
        <f>Y6*(1+'R&amp;S - Transportation'!$B$5)</f>
        <v>25.551975789773895</v>
      </c>
      <c r="AA6" s="60">
        <f>Z6*(1+'R&amp;S - Transportation'!$B$5)</f>
        <v>25.986359378200049</v>
      </c>
      <c r="AB6" s="60">
        <f>AA6*(1+'R&amp;S - Transportation'!$B$5)</f>
        <v>26.428127487629446</v>
      </c>
      <c r="AC6" s="60">
        <f>AB6*(1+'R&amp;S - Transportation'!$B$5)</f>
        <v>26.877405654919144</v>
      </c>
      <c r="AD6" s="60">
        <f>AC6*(1+'R&amp;S - Transportation'!$B$5)</f>
        <v>27.334321551052767</v>
      </c>
      <c r="AE6" s="60">
        <f>AD6*(1+'R&amp;S - Transportation'!$B$5)</f>
        <v>27.799005017420662</v>
      </c>
      <c r="AF6" s="60">
        <f>AE6*(1+'R&amp;S - Transportation'!$B$5)</f>
        <v>28.271588102716809</v>
      </c>
      <c r="AG6" s="60">
        <f>AF6*(1+'R&amp;S - Transportation'!$B$5)</f>
        <v>28.752205100462991</v>
      </c>
      <c r="AH6" s="60">
        <f>AG6*(1+'R&amp;S - Transportation'!$B$5)</f>
        <v>29.240992587170858</v>
      </c>
      <c r="AJ6" s="43"/>
    </row>
    <row r="7" spans="1:36" outlineLevel="1" x14ac:dyDescent="0.2">
      <c r="B7" s="1" t="s">
        <v>270</v>
      </c>
      <c r="C7" s="54" t="s">
        <v>153</v>
      </c>
      <c r="D7" s="44">
        <v>0</v>
      </c>
      <c r="E7" s="44">
        <f>E6*('R&amp;S - Transportation'!$B$8*'R&amp;S - Transportation'!$C$19*('Yearly LC Propylene'!E3-'Yearly LC Propylene'!$D$3)/10)</f>
        <v>1.7934301886620489E-2</v>
      </c>
      <c r="F7" s="44">
        <f>F6*('R&amp;S - Transportation'!$B$8*'R&amp;S - Transportation'!$C$19*('Yearly LC Propylene'!F3-'Yearly LC Propylene'!$D$3)/10)</f>
        <v>3.6478370037386069E-2</v>
      </c>
      <c r="G7" s="44">
        <f>G6*('R&amp;S - Transportation'!$B$8*'R&amp;S - Transportation'!$C$19*('Yearly LC Propylene'!G3-'Yearly LC Propylene'!$D$3)/10)</f>
        <v>5.5647753492032444E-2</v>
      </c>
      <c r="H7" s="44">
        <f>H6*('R&amp;S - Transportation'!$B$8*'R&amp;S - Transportation'!$C$19*('Yearly LC Propylene'!H3-'Yearly LC Propylene'!$D$3)/10)</f>
        <v>7.5458353735195993E-2</v>
      </c>
      <c r="I7" s="44">
        <f>I6*('R&amp;S - Transportation'!$B$8*'R&amp;S - Transportation'!$C$19*('Yearly LC Propylene'!I3-'Yearly LC Propylene'!$D$3)/10)</f>
        <v>9.5926432185867883E-2</v>
      </c>
      <c r="J7" s="44">
        <f>J6*('R&amp;S - Transportation'!$B$8*'R&amp;S - Transportation'!$C$19*('Yearly LC Propylene'!J3-'Yearly LC Propylene'!$D$3)/10)</f>
        <v>0.11706861783963314</v>
      </c>
      <c r="K7" s="44">
        <f>K6*('R&amp;S - Transportation'!$B$8*'R&amp;S - Transportation'!$C$19*('Yearly LC Propylene'!K3-'Yearly LC Propylene'!$D$3)/10)</f>
        <v>0.13890191506672472</v>
      </c>
      <c r="L7" s="44">
        <f>L6*('R&amp;S - Transportation'!$B$8*'R&amp;S - Transportation'!$C$19*('Yearly LC Propylene'!L3-'Yearly LC Propylene'!$D$3)/10)</f>
        <v>0.16144371156898177</v>
      </c>
      <c r="M7" s="44">
        <f>M6*('R&amp;S - Transportation'!$B$8*'R&amp;S - Transportation'!$C$19*('Yearly LC Propylene'!M3-'Yearly LC Propylene'!$D$3)/10)</f>
        <v>0.18471178649886127</v>
      </c>
      <c r="N7" s="44">
        <f>N6*('R&amp;S - Transportation'!$B$8*'R&amp;S - Transportation'!$C$19*('Yearly LC Propylene'!N3-'Yearly LC Propylene'!$D$3)/10)</f>
        <v>0.20872431874371319</v>
      </c>
      <c r="O7" s="44">
        <f>O6*('R&amp;S - Transportation'!$B$8*('R&amp;S - Transportation'!$C$19+('R&amp;S - Transportation'!$C$20-'R&amp;S - Transportation'!$C$19)*('Yearly LC Propylene'!O3-'Yearly LC Propylene'!$N$3)/10))</f>
        <v>0.2971816850272988</v>
      </c>
      <c r="P7" s="44">
        <f>P6*('R&amp;S - Transportation'!$B$8*('R&amp;S - Transportation'!$C$19+('R&amp;S - Transportation'!$C$20-'R&amp;S - Transportation'!$C$19)*('Yearly LC Propylene'!P3-'Yearly LC Propylene'!$N$3)/10))</f>
        <v>0.38858628043640936</v>
      </c>
      <c r="Q7" s="44">
        <f>Q6*('R&amp;S - Transportation'!$B$8*('R&amp;S - Transportation'!$C$19+('R&amp;S - Transportation'!$C$20-'R&amp;S - Transportation'!$C$19)*('Yearly LC Propylene'!Q3-'Yearly LC Propylene'!$N$3)/10))</f>
        <v>0.48301274658245696</v>
      </c>
      <c r="R7" s="44">
        <f>R6*('R&amp;S - Transportation'!$B$8*('R&amp;S - Transportation'!$C$19+('R&amp;S - Transportation'!$C$20-'R&amp;S - Transportation'!$C$19)*('Yearly LC Propylene'!R3-'Yearly LC Propylene'!$N$3)/10))</f>
        <v>0.58053741114242374</v>
      </c>
      <c r="S7" s="44">
        <f>S6*('R&amp;S - Transportation'!$B$8*('R&amp;S - Transportation'!$C$19+('R&amp;S - Transportation'!$C$20-'R&amp;S - Transportation'!$C$19)*('Yearly LC Propylene'!S3-'Yearly LC Propylene'!$N$3)/10))</f>
        <v>0.68123832361366732</v>
      </c>
      <c r="T7" s="44">
        <f>T6*('R&amp;S - Transportation'!$B$8*('R&amp;S - Transportation'!$C$19+('R&amp;S - Transportation'!$C$20-'R&amp;S - Transportation'!$C$19)*('Yearly LC Propylene'!T3-'Yearly LC Propylene'!$N$3)/10))</f>
        <v>0.78519529179711289</v>
      </c>
      <c r="U7" s="44">
        <f>U6*('R&amp;S - Transportation'!$B$8*('R&amp;S - Transportation'!$C$19+('R&amp;S - Transportation'!$C$20-'R&amp;S - Transportation'!$C$19)*('Yearly LC Propylene'!U3-'Yearly LC Propylene'!$N$3)/10))</f>
        <v>0.89248991902327113</v>
      </c>
      <c r="V7" s="44">
        <f>V6*('R&amp;S - Transportation'!$B$8*('R&amp;S - Transportation'!$C$19+('R&amp;S - Transportation'!$C$20-'R&amp;S - Transportation'!$C$19)*('Yearly LC Propylene'!V3-'Yearly LC Propylene'!$N$3)/10))</f>
        <v>1.0032056421357896</v>
      </c>
      <c r="W7" s="44">
        <f>W6*('R&amp;S - Transportation'!$B$8*('R&amp;S - Transportation'!$C$19+('R&amp;S - Transportation'!$C$20-'R&amp;S - Transportation'!$C$19)*('Yearly LC Propylene'!W3-'Yearly LC Propylene'!$N$3)/10))</f>
        <v>1.1174277702475355</v>
      </c>
      <c r="X7" s="44">
        <f>X6*('R&amp;S - Transportation'!$B$8*('R&amp;S - Transportation'!$C$19+('R&amp;S - Transportation'!$C$20-'R&amp;S - Transportation'!$C$19)*('Yearly LC Propylene'!X3-'Yearly LC Propylene'!$N$3)/10))</f>
        <v>1.2352435242845037</v>
      </c>
      <c r="Y7" s="44">
        <f>Y6*('R&amp;S - Transportation'!$B$8*('R&amp;S - Transportation'!$C$20+('R&amp;S - Transportation'!$C$21-'R&amp;S - Transportation'!$C$20)*('Yearly LC Propylene'!Y3-'Yearly LC Propylene'!$X$3)/10))</f>
        <v>1.3818669306170743</v>
      </c>
      <c r="Z7" s="44">
        <f>Z6*('R&amp;S - Transportation'!$B$8*('R&amp;S - Transportation'!$C$20+('R&amp;S - Transportation'!$C$21-'R&amp;S - Transportation'!$C$20)*('Yearly LC Propylene'!Z3-'Yearly LC Propylene'!$X$3)/10))</f>
        <v>1.5331185473864337</v>
      </c>
      <c r="AA7" s="44">
        <f>AA6*('R&amp;S - Transportation'!$B$8*('R&amp;S - Transportation'!$C$20+('R&amp;S - Transportation'!$C$21-'R&amp;S - Transportation'!$C$20)*('Yearly LC Propylene'!AA3-'Yearly LC Propylene'!$X$3)/10))</f>
        <v>1.6891133595830032</v>
      </c>
      <c r="AB7" s="44">
        <f>AB6*('R&amp;S - Transportation'!$B$8*('R&amp;S - Transportation'!$C$20+('R&amp;S - Transportation'!$C$21-'R&amp;S - Transportation'!$C$20)*('Yearly LC Propylene'!AB3-'Yearly LC Propylene'!$X$3)/10))</f>
        <v>1.8499689241340611</v>
      </c>
      <c r="AC7" s="44">
        <f>AC6*('R&amp;S - Transportation'!$B$8*('R&amp;S - Transportation'!$C$20+('R&amp;S - Transportation'!$C$21-'R&amp;S - Transportation'!$C$20)*('Yearly LC Propylene'!AC3-'Yearly LC Propylene'!$X$3)/10))</f>
        <v>2.0158054241189363</v>
      </c>
      <c r="AD7" s="44">
        <f>AD6*('R&amp;S - Transportation'!$B$8*('R&amp;S - Transportation'!$C$20+('R&amp;S - Transportation'!$C$21-'R&amp;S - Transportation'!$C$20)*('Yearly LC Propylene'!AD3-'Yearly LC Propylene'!$X$3)/10))</f>
        <v>2.1867457240842216</v>
      </c>
      <c r="AE7" s="44">
        <f>AE6*('R&amp;S - Transportation'!$B$8*('R&amp;S - Transportation'!$C$20+('R&amp;S - Transportation'!$C$21-'R&amp;S - Transportation'!$C$20)*('Yearly LC Propylene'!AE3-'Yearly LC Propylene'!$X$3)/10))</f>
        <v>2.3629154264807566</v>
      </c>
      <c r="AF7" s="44">
        <f>AF6*('R&amp;S - Transportation'!$B$8*('R&amp;S - Transportation'!$C$20+('R&amp;S - Transportation'!$C$21-'R&amp;S - Transportation'!$C$20)*('Yearly LC Propylene'!AF3-'Yearly LC Propylene'!$X$3)/10))</f>
        <v>2.544442929244513</v>
      </c>
      <c r="AG7" s="44">
        <f>AG6*('R&amp;S - Transportation'!$B$8*('R&amp;S - Transportation'!$C$20+('R&amp;S - Transportation'!$C$21-'R&amp;S - Transportation'!$C$20)*('Yearly LC Propylene'!AG3-'Yearly LC Propylene'!$X$3)/10))</f>
        <v>2.7314594845439841</v>
      </c>
      <c r="AH7" s="44">
        <f>AH6*('R&amp;S - Transportation'!$B$8*('R&amp;S - Transportation'!$C$20+('R&amp;S - Transportation'!$C$21-'R&amp;S - Transportation'!$C$20)*('Yearly LC Propylene'!AH3-'Yearly LC Propylene'!$X$3)/10))</f>
        <v>2.924099258717086</v>
      </c>
      <c r="AJ7" s="43"/>
    </row>
    <row r="8" spans="1:36" outlineLevel="1" x14ac:dyDescent="0.2">
      <c r="B8" s="1" t="s">
        <v>191</v>
      </c>
      <c r="C8" s="54" t="s">
        <v>153</v>
      </c>
      <c r="D8" s="44">
        <f>SUM(D6:D7)</f>
        <v>17.63451512942034</v>
      </c>
      <c r="E8" s="44">
        <f t="shared" ref="E8:AH8" si="1">SUM(E6:E7)</f>
        <v>17.952236188507104</v>
      </c>
      <c r="F8" s="44">
        <f t="shared" si="1"/>
        <v>18.275663388730418</v>
      </c>
      <c r="G8" s="44">
        <f t="shared" si="1"/>
        <v>18.604898917502844</v>
      </c>
      <c r="H8" s="44">
        <f t="shared" si="1"/>
        <v>18.94004678753419</v>
      </c>
      <c r="I8" s="44">
        <f t="shared" si="1"/>
        <v>19.28121286935944</v>
      </c>
      <c r="J8" s="44">
        <f t="shared" si="1"/>
        <v>19.628504924445153</v>
      </c>
      <c r="K8" s="44">
        <f t="shared" si="1"/>
        <v>19.98203263888454</v>
      </c>
      <c r="L8" s="44">
        <f t="shared" si="1"/>
        <v>20.341907657691699</v>
      </c>
      <c r="M8" s="44">
        <f t="shared" si="1"/>
        <v>20.708243619705666</v>
      </c>
      <c r="N8" s="44">
        <f>SUM(N6:N7)</f>
        <v>21.081156193115028</v>
      </c>
      <c r="O8" s="44">
        <f t="shared" si="1"/>
        <v>21.524444901262925</v>
      </c>
      <c r="P8" s="44">
        <f t="shared" si="1"/>
        <v>21.976712971348043</v>
      </c>
      <c r="Q8" s="44">
        <f t="shared" si="1"/>
        <v>22.438137591239585</v>
      </c>
      <c r="R8" s="44">
        <f t="shared" si="1"/>
        <v>22.908899378158718</v>
      </c>
      <c r="S8" s="44">
        <f t="shared" si="1"/>
        <v>23.389182444069238</v>
      </c>
      <c r="T8" s="44">
        <f t="shared" si="1"/>
        <v>23.879174462300426</v>
      </c>
      <c r="U8" s="44">
        <f t="shared" si="1"/>
        <v>24.379066735425141</v>
      </c>
      <c r="V8" s="44">
        <f t="shared" si="1"/>
        <v>24.889054264416487</v>
      </c>
      <c r="W8" s="44">
        <f t="shared" si="1"/>
        <v>25.409335819107</v>
      </c>
      <c r="X8" s="44">
        <f t="shared" si="1"/>
        <v>25.940114009974575</v>
      </c>
      <c r="Y8" s="44">
        <f t="shared" si="1"/>
        <v>26.506720214563877</v>
      </c>
      <c r="Z8" s="44">
        <f t="shared" si="1"/>
        <v>27.085094337160328</v>
      </c>
      <c r="AA8" s="44">
        <f t="shared" si="1"/>
        <v>27.675472737783053</v>
      </c>
      <c r="AB8" s="44">
        <f t="shared" si="1"/>
        <v>28.278096411763507</v>
      </c>
      <c r="AC8" s="44">
        <f t="shared" si="1"/>
        <v>28.893211079038082</v>
      </c>
      <c r="AD8" s="44">
        <f t="shared" si="1"/>
        <v>29.521067275136989</v>
      </c>
      <c r="AE8" s="44">
        <f t="shared" si="1"/>
        <v>30.161920443901419</v>
      </c>
      <c r="AF8" s="44">
        <f t="shared" si="1"/>
        <v>30.816031031961323</v>
      </c>
      <c r="AG8" s="44">
        <f t="shared" si="1"/>
        <v>31.483664585006974</v>
      </c>
      <c r="AH8" s="44">
        <f t="shared" si="1"/>
        <v>32.165091845887943</v>
      </c>
      <c r="AJ8" s="43"/>
    </row>
    <row r="9" spans="1:36" outlineLevel="1" x14ac:dyDescent="0.2">
      <c r="B9" s="61" t="s">
        <v>77</v>
      </c>
      <c r="C9" s="54" t="s">
        <v>153</v>
      </c>
      <c r="D9" s="44">
        <v>0</v>
      </c>
      <c r="E9" s="44">
        <f>E8*'R&amp;S - Transportation'!$B$16*('R&amp;S - Transportation'!$B$10*'R&amp;S - Transportation'!$B$19*('Yearly LC Propylene'!E$3-'Yearly LC Propylene'!$D$3)/10)</f>
        <v>2.9621189711036722E-2</v>
      </c>
      <c r="F9" s="44">
        <f>F8*'R&amp;S - Transportation'!$B$16*('R&amp;S - Transportation'!$B$10*'R&amp;S - Transportation'!$B$19*('Yearly LC Propylene'!F$3-'Yearly LC Propylene'!$D$3)/10)</f>
        <v>6.0309689182810378E-2</v>
      </c>
      <c r="G9" s="44">
        <f>G8*'R&amp;S - Transportation'!$B$16*('R&amp;S - Transportation'!$B$10*'R&amp;S - Transportation'!$B$19*('Yearly LC Propylene'!G$3-'Yearly LC Propylene'!$D$3)/10)</f>
        <v>9.2094249641639078E-2</v>
      </c>
      <c r="H9" s="44">
        <f>H8*'R&amp;S - Transportation'!$B$16*('R&amp;S - Transportation'!$B$10*'R&amp;S - Transportation'!$B$19*('Yearly LC Propylene'!H$3-'Yearly LC Propylene'!$D$3)/10)</f>
        <v>0.12500430879772564</v>
      </c>
      <c r="I9" s="44">
        <f>I8*'R&amp;S - Transportation'!$B$16*('R&amp;S - Transportation'!$B$10*'R&amp;S - Transportation'!$B$19*('Yearly LC Propylene'!I$3-'Yearly LC Propylene'!$D$3)/10)</f>
        <v>0.15907000617221539</v>
      </c>
      <c r="J9" s="44">
        <f>J8*'R&amp;S - Transportation'!$B$16*('R&amp;S - Transportation'!$B$10*'R&amp;S - Transportation'!$B$19*('Yearly LC Propylene'!J$3-'Yearly LC Propylene'!$D$3)/10)</f>
        <v>0.19432219875200704</v>
      </c>
      <c r="K9" s="44">
        <f>K8*'R&amp;S - Transportation'!$B$16*('R&amp;S - Transportation'!$B$10*'R&amp;S - Transportation'!$B$19*('Yearly LC Propylene'!K$3-'Yearly LC Propylene'!$D$3)/10)</f>
        <v>0.23079247697911645</v>
      </c>
      <c r="L9" s="44">
        <f>L8*'R&amp;S - Transportation'!$B$16*('R&amp;S - Transportation'!$B$10*'R&amp;S - Transportation'!$B$19*('Yearly LC Propylene'!L$3-'Yearly LC Propylene'!$D$3)/10)</f>
        <v>0.26851318108153044</v>
      </c>
      <c r="M9" s="44">
        <f>M8*'R&amp;S - Transportation'!$B$16*('R&amp;S - Transportation'!$B$10*'R&amp;S - Transportation'!$B$19*('Yearly LC Propylene'!M$3-'Yearly LC Propylene'!$D$3)/10)</f>
        <v>0.3075174177526292</v>
      </c>
      <c r="N9" s="44">
        <f>N8*'R&amp;S - Transportation'!$B$16*('R&amp;S - Transportation'!$B$10*'R&amp;S - Transportation'!$B$19*('Yearly LC Propylene'!N$3-'Yearly LC Propylene'!$D$3)/10)</f>
        <v>0.347839077186398</v>
      </c>
      <c r="O9" s="44">
        <f>O8*'R&amp;S - Transportation'!$B$16*('R&amp;S - Transportation'!$B$10*('R&amp;S - Transportation'!$B$19+('R&amp;S - Transportation'!$B$20-'R&amp;S - Transportation'!$B$19)*('Yearly LC Propylene'!O3-'Yearly LC Propylene'!$N$3)/10))</f>
        <v>0.46169934313208977</v>
      </c>
      <c r="P9" s="44">
        <f>P8*'R&amp;S - Transportation'!$B$16*('R&amp;S - Transportation'!$B$10*('R&amp;S - Transportation'!$B$19+('R&amp;S - Transportation'!$B$20-'R&amp;S - Transportation'!$B$19)*('Yearly LC Propylene'!P3-'Yearly LC Propylene'!$N$3)/10))</f>
        <v>0.5801852224435885</v>
      </c>
      <c r="Q9" s="44">
        <f>Q8*'R&amp;S - Transportation'!$B$16*('R&amp;S - Transportation'!$B$10*('R&amp;S - Transportation'!$B$19+('R&amp;S - Transportation'!$B$20-'R&amp;S - Transportation'!$B$19)*('Yearly LC Propylene'!Q3-'Yearly LC Propylene'!$N$3)/10))</f>
        <v>0.70343561348536099</v>
      </c>
      <c r="R9" s="44">
        <f>R8*'R&amp;S - Transportation'!$B$16*('R&amp;S - Transportation'!$B$10*('R&amp;S - Transportation'!$B$19+('R&amp;S - Transportation'!$B$20-'R&amp;S - Transportation'!$B$19)*('Yearly LC Propylene'!R3-'Yearly LC Propylene'!$N$3)/10))</f>
        <v>0.83159304742716167</v>
      </c>
      <c r="S9" s="44">
        <f>S8*'R&amp;S - Transportation'!$B$16*('R&amp;S - Transportation'!$B$10*('R&amp;S - Transportation'!$B$19+('R&amp;S - Transportation'!$B$20-'R&amp;S - Transportation'!$B$19)*('Yearly LC Propylene'!S3-'Yearly LC Propylene'!$N$3)/10))</f>
        <v>0.96480377581785615</v>
      </c>
      <c r="T9" s="44">
        <f>T8*'R&amp;S - Transportation'!$B$16*('R&amp;S - Transportation'!$B$10*('R&amp;S - Transportation'!$B$19+('R&amp;S - Transportation'!$B$20-'R&amp;S - Transportation'!$B$19)*('Yearly LC Propylene'!T3-'Yearly LC Propylene'!$N$3)/10))</f>
        <v>1.1032178601582798</v>
      </c>
      <c r="U9" s="44">
        <f>U8*'R&amp;S - Transportation'!$B$16*('R&amp;S - Transportation'!$B$10*('R&amp;S - Transportation'!$B$19+('R&amp;S - Transportation'!$B$20-'R&amp;S - Transportation'!$B$19)*('Yearly LC Propylene'!U3-'Yearly LC Propylene'!$N$3)/10))</f>
        <v>1.2469892635169961</v>
      </c>
      <c r="V9" s="44">
        <f>V8*'R&amp;S - Transportation'!$B$16*('R&amp;S - Transportation'!$B$10*('R&amp;S - Transportation'!$B$19+('R&amp;S - Transportation'!$B$20-'R&amp;S - Transportation'!$B$19)*('Yearly LC Propylene'!V3-'Yearly LC Propylene'!$N$3)/10))</f>
        <v>1.3962759442337653</v>
      </c>
      <c r="W9" s="44">
        <f>W8*'R&amp;S - Transportation'!$B$16*('R&amp;S - Transportation'!$B$10*('R&amp;S - Transportation'!$B$19+('R&amp;S - Transportation'!$B$20-'R&amp;S - Transportation'!$B$19)*('Yearly LC Propylene'!W3-'Yearly LC Propylene'!$N$3)/10))</f>
        <v>1.5512399517564823</v>
      </c>
      <c r="X9" s="44">
        <f>X8*'R&amp;S - Transportation'!$B$16*('R&amp;S - Transportation'!$B$10*('R&amp;S - Transportation'!$B$19+('R&amp;S - Transportation'!$B$20-'R&amp;S - Transportation'!$B$19)*('Yearly LC Propylene'!X3-'Yearly LC Propylene'!$N$3)/10))</f>
        <v>1.712047524658322</v>
      </c>
      <c r="Y9" s="44">
        <f>Y8*'R&amp;S - Transportation'!$B$16*('R&amp;S - Transportation'!$B$10*('R&amp;S - Transportation'!$B$20+('R&amp;S - Transportation'!$B$21-'R&amp;S - Transportation'!$B$20)*('Yearly LC Propylene'!Y3-'Yearly LC Propylene'!$X$3)/10))</f>
        <v>2.0118600642853983</v>
      </c>
      <c r="Z9" s="44">
        <f>Z8*'R&amp;S - Transportation'!$B$16*('R&amp;S - Transportation'!$B$10*('R&amp;S - Transportation'!$B$20+('R&amp;S - Transportation'!$B$21-'R&amp;S - Transportation'!$B$20)*('Yearly LC Propylene'!Z3-'Yearly LC Propylene'!$X$3)/10))</f>
        <v>2.323901094128356</v>
      </c>
      <c r="AA9" s="44">
        <f>AA8*'R&amp;S - Transportation'!$B$16*('R&amp;S - Transportation'!$B$10*('R&amp;S - Transportation'!$B$20+('R&amp;S - Transportation'!$B$21-'R&amp;S - Transportation'!$B$20)*('Yearly LC Propylene'!AA3-'Yearly LC Propylene'!$X$3)/10))</f>
        <v>2.6485427410058389</v>
      </c>
      <c r="AB9" s="44">
        <f>AB8*'R&amp;S - Transportation'!$B$16*('R&amp;S - Transportation'!$B$10*('R&amp;S - Transportation'!$B$20+('R&amp;S - Transportation'!$B$21-'R&amp;S - Transportation'!$B$20)*('Yearly LC Propylene'!AB3-'Yearly LC Propylene'!$X$3)/10))</f>
        <v>2.9861669810822264</v>
      </c>
      <c r="AC9" s="44">
        <f>AC8*'R&amp;S - Transportation'!$B$16*('R&amp;S - Transportation'!$B$10*('R&amp;S - Transportation'!$B$20+('R&amp;S - Transportation'!$B$21-'R&amp;S - Transportation'!$B$20)*('Yearly LC Propylene'!AC3-'Yearly LC Propylene'!$X$3)/10))</f>
        <v>3.3371658796288983</v>
      </c>
      <c r="AD9" s="44">
        <f>AD8*'R&amp;S - Transportation'!$B$16*('R&amp;S - Transportation'!$B$10*('R&amp;S - Transportation'!$B$20+('R&amp;S - Transportation'!$B$21-'R&amp;S - Transportation'!$B$20)*('Yearly LC Propylene'!AD3-'Yearly LC Propylene'!$X$3)/10))</f>
        <v>3.7019418363021788</v>
      </c>
      <c r="AE9" s="44">
        <f>AE8*'R&amp;S - Transportation'!$B$16*('R&amp;S - Transportation'!$B$10*('R&amp;S - Transportation'!$B$20+('R&amp;S - Transportation'!$B$21-'R&amp;S - Transportation'!$B$20)*('Yearly LC Propylene'!AE3-'Yearly LC Propylene'!$X$3)/10))</f>
        <v>4.0809078360598621</v>
      </c>
      <c r="AF9" s="44">
        <f>AF8*'R&amp;S - Transportation'!$B$16*('R&amp;S - Transportation'!$B$10*('R&amp;S - Transportation'!$B$20+('R&amp;S - Transportation'!$B$21-'R&amp;S - Transportation'!$B$20)*('Yearly LC Propylene'!AF3-'Yearly LC Propylene'!$X$3)/10))</f>
        <v>4.4744877058407839</v>
      </c>
      <c r="AG9" s="44">
        <f>AG8*'R&amp;S - Transportation'!$B$16*('R&amp;S - Transportation'!$B$10*('R&amp;S - Transportation'!$B$20+('R&amp;S - Transportation'!$B$21-'R&amp;S - Transportation'!$B$20)*('Yearly LC Propylene'!AG3-'Yearly LC Propylene'!$X$3)/10))</f>
        <v>4.8831163771345816</v>
      </c>
      <c r="AH9" s="44">
        <f>AH8*'R&amp;S - Transportation'!$B$16*('R&amp;S - Transportation'!$B$10*('R&amp;S - Transportation'!$B$20+('R&amp;S - Transportation'!$B$21-'R&amp;S - Transportation'!$B$20)*('Yearly LC Propylene'!AH3-'Yearly LC Propylene'!$X$3)/10))</f>
        <v>5.3072401545715104</v>
      </c>
    </row>
    <row r="10" spans="1:36" outlineLevel="1" x14ac:dyDescent="0.2">
      <c r="B10" s="61" t="s">
        <v>194</v>
      </c>
      <c r="C10" s="54" t="s">
        <v>153</v>
      </c>
      <c r="D10" s="44">
        <v>0</v>
      </c>
      <c r="E10" s="44">
        <f>(E8-E9)*'R&amp;S - Transportation'!$B$16*('R&amp;S - Transportation'!$B$11*'R&amp;S - Transportation'!$B$19*('Yearly LC Propylene'!E$3-'Yearly LC Propylene'!$D$3)/10)</f>
        <v>1.8818745748735873E-2</v>
      </c>
      <c r="F10" s="44">
        <f>(F8-F9)*'R&amp;S - Transportation'!$B$16*('R&amp;S - Transportation'!$B$11*'R&amp;S - Transportation'!$B$19*('Yearly LC Propylene'!F$3-'Yearly LC Propylene'!$D$3)/10)</f>
        <v>3.8252242769049982E-2</v>
      </c>
      <c r="G10" s="44">
        <f>(G8-G9)*'R&amp;S - Transportation'!$B$16*('R&amp;S - Transportation'!$B$11*'R&amp;S - Transportation'!$B$19*('Yearly LC Propylene'!G$3-'Yearly LC Propylene'!$D$3)/10)</f>
        <v>5.8315334703762794E-2</v>
      </c>
      <c r="H10" s="44">
        <f>(H8-H9)*'R&amp;S - Transportation'!$B$16*('R&amp;S - Transportation'!$B$11*'R&amp;S - Transportation'!$B$19*('Yearly LC Propylene'!H$3-'Yearly LC Propylene'!$D$3)/10)</f>
        <v>7.9023178410693173E-2</v>
      </c>
      <c r="I10" s="44">
        <f>(I8-I9)*'R&amp;S - Transportation'!$B$16*('R&amp;S - Transportation'!$B$11*'R&amp;S - Transportation'!$B$19*('Yearly LC Propylene'!I$3-'Yearly LC Propylene'!$D$3)/10)</f>
        <v>0.10039125003173294</v>
      </c>
      <c r="J10" s="44">
        <f>(J8-J9)*'R&amp;S - Transportation'!$B$16*('R&amp;S - Transportation'!$B$11*'R&amp;S - Transportation'!$B$19*('Yearly LC Propylene'!J$3-'Yearly LC Propylene'!$D$3)/10)</f>
        <v>0.12243535117186681</v>
      </c>
      <c r="K10" s="44">
        <f>(K8-K9)*'R&amp;S - Transportation'!$B$16*('R&amp;S - Transportation'!$B$11*'R&amp;S - Transportation'!$B$19*('Yearly LC Propylene'!K$3-'Yearly LC Propylene'!$D$3)/10)</f>
        <v>0.14517161519000488</v>
      </c>
      <c r="L10" s="44">
        <f>(L8-L9)*'R&amp;S - Transportation'!$B$16*('R&amp;S - Transportation'!$B$11*'R&amp;S - Transportation'!$B$19*('Yearly LC Propylene'!L$3-'Yearly LC Propylene'!$D$3)/10)</f>
        <v>0.16861651360352545</v>
      </c>
      <c r="M10" s="44">
        <f>(M8-M9)*'R&amp;S - Transportation'!$B$16*('R&amp;S - Transportation'!$B$11*'R&amp;S - Transportation'!$B$19*('Yearly LC Propylene'!M$3-'Yearly LC Propylene'!$D$3)/10)</f>
        <v>0.19278686260845621</v>
      </c>
      <c r="N10" s="44">
        <f>(N8-N9)*'R&amp;S - Transportation'!$B$16*('R&amp;S - Transportation'!$B$11*'R&amp;S - Transportation'!$B$19*('Yearly LC Propylene'!N$3-'Yearly LC Propylene'!$D$3)/10)</f>
        <v>0.21769982971725063</v>
      </c>
      <c r="O10" s="44">
        <f>(O8-O9)*'R&amp;S - Transportation'!$B$16*('R&amp;S - Transportation'!$B$11*('R&amp;S - Transportation'!$B$19+('R&amp;S - Transportation'!$B$20-'R&amp;S - Transportation'!$B$19)*('Yearly LC Propylene'!O$3-'Yearly LC Propylene'!$N$3)/10))</f>
        <v>0.28750647686848591</v>
      </c>
      <c r="P10" s="44">
        <f>(P8-P9)*'R&amp;S - Transportation'!$B$16*('R&amp;S - Transportation'!$B$11*('R&amp;S - Transportation'!$B$19+('R&amp;S - Transportation'!$B$20-'R&amp;S - Transportation'!$B$19)*('Yearly LC Propylene'!P$3-'Yearly LC Propylene'!$N$3)/10))</f>
        <v>0.35946166618159486</v>
      </c>
      <c r="Q10" s="44">
        <f>(Q8-Q9)*'R&amp;S - Transportation'!$B$16*('R&amp;S - Transportation'!$B$11*('R&amp;S - Transportation'!$B$19+('R&amp;S - Transportation'!$B$20-'R&amp;S - Transportation'!$B$19)*('Yearly LC Propylene'!Q$3-'Yearly LC Propylene'!$N$3)/10))</f>
        <v>0.43360730445619672</v>
      </c>
      <c r="R10" s="44">
        <f>(R8-R9)*'R&amp;S - Transportation'!$B$16*('R&amp;S - Transportation'!$B$11*('R&amp;S - Transportation'!$B$19+('R&amp;S - Transportation'!$B$20-'R&amp;S - Transportation'!$B$19)*('Yearly LC Propylene'!R$3-'Yearly LC Propylene'!$N$3)/10))</f>
        <v>0.50998577623989905</v>
      </c>
      <c r="S10" s="44">
        <f>(S8-S9)*'R&amp;S - Transportation'!$B$16*('R&amp;S - Transportation'!$B$11*('R&amp;S - Transportation'!$B$19+('R&amp;S - Transportation'!$B$20-'R&amp;S - Transportation'!$B$19)*('Yearly LC Propylene'!S$3-'Yearly LC Propylene'!$N$3)/10))</f>
        <v>0.58863994004159881</v>
      </c>
      <c r="T10" s="44">
        <f>(T8-T9)*'R&amp;S - Transportation'!$B$16*('R&amp;S - Transportation'!$B$11*('R&amp;S - Transportation'!$B$19+('R&amp;S - Transportation'!$B$20-'R&amp;S - Transportation'!$B$19)*('Yearly LC Propylene'!T$3-'Yearly LC Propylene'!$N$3)/10))</f>
        <v>0.66961312410297913</v>
      </c>
      <c r="U10" s="44">
        <f>(U8-U9)*'R&amp;S - Transportation'!$B$16*('R&amp;S - Transportation'!$B$11*('R&amp;S - Transportation'!$B$19+('R&amp;S - Transportation'!$B$20-'R&amp;S - Transportation'!$B$19)*('Yearly LC Propylene'!U$3-'Yearly LC Propylene'!$N$3)/10))</f>
        <v>0.75294912171061013</v>
      </c>
      <c r="V10" s="44">
        <f>(V8-V9)*'R&amp;S - Transportation'!$B$16*('R&amp;S - Transportation'!$B$11*('R&amp;S - Transportation'!$B$19+('R&amp;S - Transportation'!$B$20-'R&amp;S - Transportation'!$B$19)*('Yearly LC Propylene'!V$3-'Yearly LC Propylene'!$N$3)/10))</f>
        <v>0.83869218603052342</v>
      </c>
      <c r="W10" s="44">
        <f>(W8-W9)*'R&amp;S - Transportation'!$B$16*('R&amp;S - Transportation'!$B$11*('R&amp;S - Transportation'!$B$19+('R&amp;S - Transportation'!$B$20-'R&amp;S - Transportation'!$B$19)*('Yearly LC Propylene'!W$3-'Yearly LC Propylene'!$N$3)/10))</f>
        <v>0.92688702444656745</v>
      </c>
      <c r="X10" s="44">
        <f>(X8-X9)*'R&amp;S - Transportation'!$B$16*('R&amp;S - Transportation'!$B$11*('R&amp;S - Transportation'!$B$19+('R&amp;S - Transportation'!$B$20-'R&amp;S - Transportation'!$B$19)*('Yearly LC Propylene'!X$3-'Yearly LC Propylene'!$N$3)/10))</f>
        <v>1.0175787923832829</v>
      </c>
      <c r="Y10" s="44">
        <f>(Y8-Y9)*'R&amp;S - Transportation'!$B$16*('R&amp;S - Transportation'!$B$11*('R&amp;S - Transportation'!$B$20+('R&amp;S - Transportation'!$B$21-'R&amp;S - Transportation'!$B$20)*('Yearly LC Propylene'!Y$3-'Yearly LC Propylene'!$X$3)/10))</f>
        <v>1.1831017452584507</v>
      </c>
      <c r="Z10" s="44">
        <f>(Z8-Z9)*'R&amp;S - Transportation'!$B$16*('R&amp;S - Transportation'!$B$11*('R&amp;S - Transportation'!$B$20+('R&amp;S - Transportation'!$B$21-'R&amp;S - Transportation'!$B$20)*('Yearly LC Propylene'!Z$3-'Yearly LC Propylene'!$X$3)/10))</f>
        <v>1.3519611510695457</v>
      </c>
      <c r="AA10" s="44">
        <f>(AA8-AA9)*'R&amp;S - Transportation'!$B$16*('R&amp;S - Transportation'!$B$11*('R&amp;S - Transportation'!$B$20+('R&amp;S - Transportation'!$B$21-'R&amp;S - Transportation'!$B$20)*('Yearly LC Propylene'!AA$3-'Yearly LC Propylene'!$X$3)/10))</f>
        <v>1.5241400368037323</v>
      </c>
      <c r="AB10" s="44">
        <f>(AB8-AB9)*'R&amp;S - Transportation'!$B$16*('R&amp;S - Transportation'!$B$11*('R&amp;S - Transportation'!$B$20+('R&amp;S - Transportation'!$B$21-'R&amp;S - Transportation'!$B$20)*('Yearly LC Propylene'!AB$3-'Yearly LC Propylene'!$X$3)/10))</f>
        <v>1.6996176577417819</v>
      </c>
      <c r="AC10" s="44">
        <f>(AC8-AC9)*'R&amp;S - Transportation'!$B$16*('R&amp;S - Transportation'!$B$11*('R&amp;S - Transportation'!$B$20+('R&amp;S - Transportation'!$B$21-'R&amp;S - Transportation'!$B$20)*('Yearly LC Propylene'!AC$3-'Yearly LC Propylene'!$X$3)/10))</f>
        <v>1.8783693221565749</v>
      </c>
      <c r="AD10" s="44">
        <f>(AD8-AD9)*'R&amp;S - Transportation'!$B$16*('R&amp;S - Transportation'!$B$11*('R&amp;S - Transportation'!$B$20+('R&amp;S - Transportation'!$B$21-'R&amp;S - Transportation'!$B$20)*('Yearly LC Propylene'!AD$3-'Yearly LC Propylene'!$X$3)/10))</f>
        <v>2.0603662100190179</v>
      </c>
      <c r="AE10" s="44">
        <f>(AE8-AE9)*'R&amp;S - Transportation'!$B$16*('R&amp;S - Transportation'!$B$11*('R&amp;S - Transportation'!$B$20+('R&amp;S - Transportation'!$B$21-'R&amp;S - Transportation'!$B$20)*('Yearly LC Propylene'!AE$3-'Yearly LC Propylene'!$X$3)/10))</f>
        <v>2.2455751855351584</v>
      </c>
      <c r="AF10" s="44">
        <f>(AF8-AF9)*'R&amp;S - Transportation'!$B$16*('R&amp;S - Transportation'!$B$11*('R&amp;S - Transportation'!$B$20+('R&amp;S - Transportation'!$B$21-'R&amp;S - Transportation'!$B$20)*('Yearly LC Propylene'!AF$3-'Yearly LC Propylene'!$X$3)/10))</f>
        <v>2.4339586033335379</v>
      </c>
      <c r="AG10" s="44">
        <f>(AG8-AG9)*'R&amp;S - Transportation'!$B$16*('R&amp;S - Transportation'!$B$11*('R&amp;S - Transportation'!$B$20+('R&amp;S - Transportation'!$B$21-'R&amp;S - Transportation'!$B$20)*('Yearly LC Propylene'!AG$3-'Yearly LC Propylene'!$X$3)/10))</f>
        <v>2.6254741081170052</v>
      </c>
      <c r="AH10" s="44">
        <f>(AH8-AH9)*'R&amp;S - Transportation'!$B$16*('R&amp;S - Transportation'!$B$11*('R&amp;S - Transportation'!$B$20+('R&amp;S - Transportation'!$B$21-'R&amp;S - Transportation'!$B$20)*('Yearly LC Propylene'!AH$3-'Yearly LC Propylene'!$X$3)/10))</f>
        <v>2.8200744275882252</v>
      </c>
    </row>
    <row r="11" spans="1:36" outlineLevel="1" x14ac:dyDescent="0.2">
      <c r="B11" s="1" t="s">
        <v>168</v>
      </c>
      <c r="C11" s="54" t="s">
        <v>153</v>
      </c>
      <c r="D11" s="44">
        <f>SUM(D9:D10)</f>
        <v>0</v>
      </c>
      <c r="E11" s="44">
        <f t="shared" ref="E11:AH11" si="2">SUM(E9:E10)</f>
        <v>4.8439935459772598E-2</v>
      </c>
      <c r="F11" s="44">
        <f t="shared" si="2"/>
        <v>9.856193195186036E-2</v>
      </c>
      <c r="G11" s="44">
        <f t="shared" si="2"/>
        <v>0.15040958434540186</v>
      </c>
      <c r="H11" s="44">
        <f t="shared" si="2"/>
        <v>0.20402748720841882</v>
      </c>
      <c r="I11" s="44">
        <f t="shared" si="2"/>
        <v>0.25946125620394833</v>
      </c>
      <c r="J11" s="44">
        <f t="shared" si="2"/>
        <v>0.31675754992387384</v>
      </c>
      <c r="K11" s="44">
        <f t="shared" si="2"/>
        <v>0.3759640921691213</v>
      </c>
      <c r="L11" s="44">
        <f t="shared" si="2"/>
        <v>0.43712969468505591</v>
      </c>
      <c r="M11" s="44">
        <f t="shared" si="2"/>
        <v>0.50030428036108543</v>
      </c>
      <c r="N11" s="44">
        <f t="shared" si="2"/>
        <v>0.56553890690364861</v>
      </c>
      <c r="O11" s="44">
        <f t="shared" si="2"/>
        <v>0.74920582000057567</v>
      </c>
      <c r="P11" s="44">
        <f t="shared" si="2"/>
        <v>0.93964688862518342</v>
      </c>
      <c r="Q11" s="44">
        <f t="shared" si="2"/>
        <v>1.1370429179415578</v>
      </c>
      <c r="R11" s="44">
        <f t="shared" si="2"/>
        <v>1.3415788236670607</v>
      </c>
      <c r="S11" s="44">
        <f t="shared" si="2"/>
        <v>1.553443715859455</v>
      </c>
      <c r="T11" s="44">
        <f t="shared" si="2"/>
        <v>1.7728309842612591</v>
      </c>
      <c r="U11" s="44">
        <f t="shared" si="2"/>
        <v>1.9999383852276063</v>
      </c>
      <c r="V11" s="44">
        <f t="shared" si="2"/>
        <v>2.2349681302642885</v>
      </c>
      <c r="W11" s="44">
        <f t="shared" si="2"/>
        <v>2.4781269762030496</v>
      </c>
      <c r="X11" s="44">
        <f t="shared" si="2"/>
        <v>2.7296263170416051</v>
      </c>
      <c r="Y11" s="44">
        <f t="shared" si="2"/>
        <v>3.194961809543849</v>
      </c>
      <c r="Z11" s="44">
        <f t="shared" si="2"/>
        <v>3.6758622451979015</v>
      </c>
      <c r="AA11" s="44">
        <f t="shared" si="2"/>
        <v>4.1726827778095714</v>
      </c>
      <c r="AB11" s="44">
        <f t="shared" si="2"/>
        <v>4.6857846388240088</v>
      </c>
      <c r="AC11" s="44">
        <f t="shared" si="2"/>
        <v>5.2155352017854728</v>
      </c>
      <c r="AD11" s="44">
        <f t="shared" si="2"/>
        <v>5.7623080463211966</v>
      </c>
      <c r="AE11" s="44">
        <f t="shared" si="2"/>
        <v>6.3264830215950205</v>
      </c>
      <c r="AF11" s="44">
        <f t="shared" si="2"/>
        <v>6.9084463091743213</v>
      </c>
      <c r="AG11" s="44">
        <f t="shared" si="2"/>
        <v>7.5085904852515863</v>
      </c>
      <c r="AH11" s="44">
        <f t="shared" si="2"/>
        <v>8.1273145821597357</v>
      </c>
      <c r="AI11" s="44"/>
    </row>
    <row r="12" spans="1:36" outlineLevel="1" x14ac:dyDescent="0.2">
      <c r="B12" s="1" t="s">
        <v>172</v>
      </c>
      <c r="C12" s="54" t="s">
        <v>153</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row>
    <row r="13" spans="1:36" s="1" customFormat="1" x14ac:dyDescent="0.2">
      <c r="A13" s="62"/>
      <c r="B13" s="62" t="s">
        <v>197</v>
      </c>
      <c r="C13" s="63" t="s">
        <v>153</v>
      </c>
      <c r="D13" s="64">
        <f>D8-D11-D12</f>
        <v>17.63451512942034</v>
      </c>
      <c r="E13" s="64">
        <f t="shared" ref="E13:AH13" si="3">E8-E11-E12</f>
        <v>17.903796253047332</v>
      </c>
      <c r="F13" s="64">
        <f t="shared" si="3"/>
        <v>18.177101456778558</v>
      </c>
      <c r="G13" s="64">
        <f t="shared" si="3"/>
        <v>18.454489333157444</v>
      </c>
      <c r="H13" s="64">
        <f t="shared" si="3"/>
        <v>18.736019300325772</v>
      </c>
      <c r="I13" s="64">
        <f t="shared" si="3"/>
        <v>19.021751613155491</v>
      </c>
      <c r="J13" s="64">
        <f t="shared" si="3"/>
        <v>19.311747374521278</v>
      </c>
      <c r="K13" s="64">
        <f t="shared" si="3"/>
        <v>19.60606854671542</v>
      </c>
      <c r="L13" s="64">
        <f t="shared" si="3"/>
        <v>19.904777963006644</v>
      </c>
      <c r="M13" s="64">
        <f t="shared" si="3"/>
        <v>20.207939339344581</v>
      </c>
      <c r="N13" s="64">
        <f>N8-N11-N12</f>
        <v>20.515617286211381</v>
      </c>
      <c r="O13" s="64">
        <f t="shared" si="3"/>
        <v>20.775239081262349</v>
      </c>
      <c r="P13" s="64">
        <f t="shared" si="3"/>
        <v>21.037066082722859</v>
      </c>
      <c r="Q13" s="64">
        <f t="shared" si="3"/>
        <v>21.301094673298028</v>
      </c>
      <c r="R13" s="64">
        <f t="shared" si="3"/>
        <v>21.567320554491658</v>
      </c>
      <c r="S13" s="64">
        <f t="shared" si="3"/>
        <v>21.835738728209783</v>
      </c>
      <c r="T13" s="64">
        <f t="shared" si="3"/>
        <v>22.106343478039168</v>
      </c>
      <c r="U13" s="64">
        <f t="shared" si="3"/>
        <v>22.379128350197536</v>
      </c>
      <c r="V13" s="64">
        <f t="shared" si="3"/>
        <v>22.654086134152198</v>
      </c>
      <c r="W13" s="64">
        <f t="shared" si="3"/>
        <v>22.931208842903949</v>
      </c>
      <c r="X13" s="64">
        <f t="shared" si="3"/>
        <v>23.210487692932972</v>
      </c>
      <c r="Y13" s="64">
        <f t="shared" si="3"/>
        <v>23.311758405020029</v>
      </c>
      <c r="Z13" s="64">
        <f t="shared" si="3"/>
        <v>23.409232091962426</v>
      </c>
      <c r="AA13" s="64">
        <f t="shared" si="3"/>
        <v>23.502789959973484</v>
      </c>
      <c r="AB13" s="64">
        <f t="shared" si="3"/>
        <v>23.592311772939496</v>
      </c>
      <c r="AC13" s="64">
        <f t="shared" si="3"/>
        <v>23.677675877252611</v>
      </c>
      <c r="AD13" s="64">
        <f t="shared" si="3"/>
        <v>23.758759228815791</v>
      </c>
      <c r="AE13" s="64">
        <f t="shared" si="3"/>
        <v>23.835437422306399</v>
      </c>
      <c r="AF13" s="64">
        <f t="shared" si="3"/>
        <v>23.907584722787</v>
      </c>
      <c r="AG13" s="64">
        <f t="shared" si="3"/>
        <v>23.975074099755389</v>
      </c>
      <c r="AH13" s="64">
        <f t="shared" si="3"/>
        <v>24.037777263728209</v>
      </c>
    </row>
    <row r="14" spans="1:36" x14ac:dyDescent="0.2">
      <c r="A14" s="1" t="s">
        <v>198</v>
      </c>
      <c r="B14" s="1" t="s">
        <v>199</v>
      </c>
      <c r="C14" s="54" t="s">
        <v>153</v>
      </c>
      <c r="D14" s="44">
        <f>'R&amp;S - Packaging and hh goods'!I4</f>
        <v>46.844581662413418</v>
      </c>
      <c r="E14" s="44">
        <f>D14*(1+'R&amp;S - Packaging and hh goods'!$B$5)</f>
        <v>47.500405805687208</v>
      </c>
      <c r="F14" s="44">
        <f>E14*(1+'R&amp;S - Packaging and hh goods'!$B$5)</f>
        <v>48.165411486966832</v>
      </c>
      <c r="G14" s="44">
        <f>F14*(1+'R&amp;S - Packaging and hh goods'!$B$5)</f>
        <v>48.839727247784367</v>
      </c>
      <c r="H14" s="44">
        <f>G14*(1+'R&amp;S - Packaging and hh goods'!$B$5)</f>
        <v>49.523483429253346</v>
      </c>
      <c r="I14" s="44">
        <f>H14*(1+'R&amp;S - Packaging and hh goods'!$B$5)</f>
        <v>50.216812197262897</v>
      </c>
      <c r="J14" s="44">
        <f>I14*(1+'R&amp;S - Packaging and hh goods'!$B$5)</f>
        <v>50.919847568024579</v>
      </c>
      <c r="K14" s="44">
        <f>J14*(1+'R&amp;S - Packaging and hh goods'!$B$5)</f>
        <v>51.632725433976923</v>
      </c>
      <c r="L14" s="44">
        <f>K14*(1+'R&amp;S - Packaging and hh goods'!$B$5)</f>
        <v>52.355583590052603</v>
      </c>
      <c r="M14" s="44">
        <f>L14*(1+'R&amp;S - Packaging and hh goods'!$B$5)</f>
        <v>53.08856176031334</v>
      </c>
      <c r="N14" s="44">
        <f>M14*(1+'R&amp;S - Packaging and hh goods'!$B$5)</f>
        <v>53.831801624957727</v>
      </c>
      <c r="O14" s="44">
        <f>N14*(1+'R&amp;S - Packaging and hh goods'!$B$5)</f>
        <v>54.585446847707139</v>
      </c>
      <c r="P14" s="44">
        <f>O14*(1+'R&amp;S - Packaging and hh goods'!$B$5)</f>
        <v>55.34964310357504</v>
      </c>
      <c r="Q14" s="44">
        <f>P14*(1+'R&amp;S - Packaging and hh goods'!$B$5)</f>
        <v>56.124538107025089</v>
      </c>
      <c r="R14" s="44">
        <f>Q14*(1+'R&amp;S - Packaging and hh goods'!$B$5)</f>
        <v>56.910281640523444</v>
      </c>
      <c r="S14" s="44">
        <f>R14*(1+'R&amp;S - Packaging and hh goods'!$B$5)</f>
        <v>57.707025583490775</v>
      </c>
      <c r="T14" s="44">
        <f>S14*(1+'R&amp;S - Packaging and hh goods'!$B$5)</f>
        <v>58.514923941659646</v>
      </c>
      <c r="U14" s="44">
        <f>T14*(1+'R&amp;S - Packaging and hh goods'!$B$5)</f>
        <v>59.33413287684288</v>
      </c>
      <c r="V14" s="44">
        <f>U14*(1+'R&amp;S - Packaging and hh goods'!$B$5)</f>
        <v>60.164810737118678</v>
      </c>
      <c r="W14" s="44">
        <f>V14*(1+'R&amp;S - Packaging and hh goods'!$B$5)</f>
        <v>61.007118087438343</v>
      </c>
      <c r="X14" s="44">
        <f>W14*(1+'R&amp;S - Packaging and hh goods'!$B$5)</f>
        <v>61.861217740662482</v>
      </c>
      <c r="Y14" s="44">
        <f>X14*(1+'R&amp;S - Packaging and hh goods'!$B$5)</f>
        <v>62.72727478903176</v>
      </c>
      <c r="Z14" s="44">
        <f>Y14*(1+'R&amp;S - Packaging and hh goods'!$B$5)</f>
        <v>63.605456636078209</v>
      </c>
      <c r="AA14" s="44">
        <f>Z14*(1+'R&amp;S - Packaging and hh goods'!$B$5)</f>
        <v>64.495933028983302</v>
      </c>
      <c r="AB14" s="44">
        <f>AA14*(1+'R&amp;S - Packaging and hh goods'!$B$5)</f>
        <v>65.39887609138907</v>
      </c>
      <c r="AC14" s="44">
        <f>AB14*(1+'R&amp;S - Packaging and hh goods'!$B$5)</f>
        <v>66.314460356668519</v>
      </c>
      <c r="AD14" s="44">
        <f>AC14*(1+'R&amp;S - Packaging and hh goods'!$B$5)</f>
        <v>67.242862801661886</v>
      </c>
      <c r="AE14" s="44">
        <f>AD14*(1+'R&amp;S - Packaging and hh goods'!$B$5)</f>
        <v>68.184262880885157</v>
      </c>
      <c r="AF14" s="44">
        <f>AE14*(1+'R&amp;S - Packaging and hh goods'!$B$5)</f>
        <v>69.138842561217544</v>
      </c>
      <c r="AG14" s="44">
        <f>AF14*(1+'R&amp;S - Packaging and hh goods'!$B$5)</f>
        <v>70.106786357074597</v>
      </c>
      <c r="AH14" s="44">
        <f>AG14*(1+'R&amp;S - Packaging and hh goods'!$B$5)</f>
        <v>71.088281366073645</v>
      </c>
    </row>
    <row r="15" spans="1:36" outlineLevel="1" x14ac:dyDescent="0.2">
      <c r="B15" s="61" t="s">
        <v>25</v>
      </c>
      <c r="C15" s="54" t="s">
        <v>153</v>
      </c>
      <c r="D15" s="44">
        <v>0</v>
      </c>
      <c r="E15" s="44">
        <f>E14*'R&amp;S - Packaging and hh goods'!$B$7*('R&amp;S - Packaging and hh goods'!$D$15*'R&amp;S - Packaging and hh goods'!$P$19*('Yearly LC Propylene'!E$3-'Yearly LC Propylene'!$D$3)/10)</f>
        <v>1.3496290301569907E-2</v>
      </c>
      <c r="F15" s="44">
        <f>F14*'R&amp;S - Packaging and hh goods'!$B$7*('R&amp;S - Packaging and hh goods'!$D$15*'R&amp;S - Packaging and hh goods'!$P$19*('Yearly LC Propylene'!F$3-'Yearly LC Propylene'!$D$3)/10)</f>
        <v>2.7370476731583774E-2</v>
      </c>
      <c r="G15" s="44">
        <f>G14*'R&amp;S - Packaging and hh goods'!$B$7*('R&amp;S - Packaging and hh goods'!$D$15*'R&amp;S - Packaging and hh goods'!$P$19*('Yearly LC Propylene'!G$3-'Yearly LC Propylene'!$D$3)/10)</f>
        <v>4.1630495108738917E-2</v>
      </c>
      <c r="H15" s="44">
        <f>H14*'R&amp;S - Packaging and hh goods'!$B$7*('R&amp;S - Packaging and hh goods'!$D$15*'R&amp;S - Packaging and hh goods'!$P$19*('Yearly LC Propylene'!H$3-'Yearly LC Propylene'!$D$3)/10)</f>
        <v>5.6284429387015014E-2</v>
      </c>
      <c r="I15" s="44">
        <f>I14*'R&amp;S - Packaging and hh goods'!$B$7*('R&amp;S - Packaging and hh goods'!$D$15*'R&amp;S - Packaging and hh goods'!$P$19*('Yearly LC Propylene'!I$3-'Yearly LC Propylene'!$D$3)/10)</f>
        <v>7.1340514248041539E-2</v>
      </c>
      <c r="J15" s="44">
        <f>J14*'R&amp;S - Packaging and hh goods'!$B$7*('R&amp;S - Packaging and hh goods'!$D$15*'R&amp;S - Packaging and hh goods'!$P$19*('Yearly LC Propylene'!J$3-'Yearly LC Propylene'!$D$3)/10)</f>
        <v>8.680713773701694E-2</v>
      </c>
      <c r="K15" s="44">
        <f>K14*'R&amp;S - Packaging and hh goods'!$B$7*('R&amp;S - Packaging and hh goods'!$D$15*'R&amp;S - Packaging and hh goods'!$P$19*('Yearly LC Propylene'!K$3-'Yearly LC Propylene'!$D$3)/10)</f>
        <v>0.10269284394289104</v>
      </c>
      <c r="L15" s="44">
        <f>L14*'R&amp;S - Packaging and hh goods'!$B$7*('R&amp;S - Packaging and hh goods'!$D$15*'R&amp;S - Packaging and hh goods'!$P$19*('Yearly LC Propylene'!L$3-'Yearly LC Propylene'!$D$3)/10)</f>
        <v>0.11900633572353317</v>
      </c>
      <c r="M15" s="44">
        <f>M14*'R&amp;S - Packaging and hh goods'!$B$7*('R&amp;S - Packaging and hh goods'!$D$15*'R&amp;S - Packaging and hh goods'!$P$19*('Yearly LC Propylene'!M$3-'Yearly LC Propylene'!$D$3)/10)</f>
        <v>0.13575647747662048</v>
      </c>
      <c r="N15" s="44">
        <f>N14*'R&amp;S - Packaging and hh goods'!$B$7*('R&amp;S - Packaging and hh goods'!$D$15*'R&amp;S - Packaging and hh goods'!$P$19*('Yearly LC Propylene'!N$3-'Yearly LC Propylene'!$D$3)/10)</f>
        <v>0.15295229795699239</v>
      </c>
      <c r="O15" s="44">
        <f>O14*'R&amp;S - Packaging and hh goods'!$B$7*('R&amp;S - Packaging and hh goods'!$D$15*('R&amp;S - Packaging and hh goods'!$P$19+('R&amp;S - Packaging and hh goods'!$P$20-'R&amp;S - Packaging and hh goods'!$P$19)*('Yearly LC Propylene'!O$3-'Yearly LC Propylene'!$N$3)/10))</f>
        <v>0.23436370774956758</v>
      </c>
      <c r="P15" s="44">
        <f>P14*'R&amp;S - Packaging and hh goods'!$B$7*('R&amp;S - Packaging and hh goods'!$D$15*('R&amp;S - Packaging and hh goods'!$P$19+('R&amp;S - Packaging and hh goods'!$P$20-'R&amp;S - Packaging and hh goods'!$P$19)*('Yearly LC Propylene'!P$3-'Yearly LC Propylene'!$N$3)/10))</f>
        <v>0.31802465836593519</v>
      </c>
      <c r="Q15" s="44">
        <f>Q14*'R&amp;S - Packaging and hh goods'!$B$7*('R&amp;S - Packaging and hh goods'!$D$15*('R&amp;S - Packaging and hh goods'!$P$19+('R&amp;S - Packaging and hh goods'!$P$20-'R&amp;S - Packaging and hh goods'!$P$19)*('Yearly LC Propylene'!Q$3-'Yearly LC Propylene'!$N$3)/10))</f>
        <v>0.40398218031284239</v>
      </c>
      <c r="R15" s="44">
        <f>R14*'R&amp;S - Packaging and hh goods'!$B$7*('R&amp;S - Packaging and hh goods'!$D$15*('R&amp;S - Packaging and hh goods'!$P$19+('R&amp;S - Packaging and hh goods'!$P$20-'R&amp;S - Packaging and hh goods'!$P$19)*('Yearly LC Propylene'!R$3-'Yearly LC Propylene'!$N$3)/10))</f>
        <v>0.49228418004122315</v>
      </c>
      <c r="S15" s="44">
        <f>S14*'R&amp;S - Packaging and hh goods'!$B$7*('R&amp;S - Packaging and hh goods'!$D$15*('R&amp;S - Packaging and hh goods'!$P$19+('R&amp;S - Packaging and hh goods'!$P$20-'R&amp;S - Packaging and hh goods'!$P$19)*('Yearly LC Propylene'!S$3-'Yearly LC Propylene'!$N$3)/10))</f>
        <v>0.58297945525465733</v>
      </c>
      <c r="T15" s="44">
        <f>T14*'R&amp;S - Packaging and hh goods'!$B$7*('R&amp;S - Packaging and hh goods'!$D$15*('R&amp;S - Packaging and hh goods'!$P$19+('R&amp;S - Packaging and hh goods'!$P$20-'R&amp;S - Packaging and hh goods'!$P$19)*('Yearly LC Propylene'!T$3-'Yearly LC Propylene'!$N$3)/10))</f>
        <v>0.67611771047477964</v>
      </c>
      <c r="U15" s="44">
        <f>U14*'R&amp;S - Packaging and hh goods'!$B$7*('R&amp;S - Packaging and hh goods'!$D$15*('R&amp;S - Packaging and hh goods'!$P$19+('R&amp;S - Packaging and hh goods'!$P$20-'R&amp;S - Packaging and hh goods'!$P$19)*('Yearly LC Propylene'!U$3-'Yearly LC Propylene'!$N$3)/10))</f>
        <v>0.77174957286783519</v>
      </c>
      <c r="V15" s="44">
        <f>V14*'R&amp;S - Packaging and hh goods'!$B$7*('R&amp;S - Packaging and hh goods'!$D$15*('R&amp;S - Packaging and hh goods'!$P$19+('R&amp;S - Packaging and hh goods'!$P$20-'R&amp;S - Packaging and hh goods'!$P$19)*('Yearly LC Propylene'!V$3-'Yearly LC Propylene'!$N$3)/10))</f>
        <v>0.86992660833664337</v>
      </c>
      <c r="W15" s="44">
        <f>W14*'R&amp;S - Packaging and hh goods'!$B$7*('R&amp;S - Packaging and hh goods'!$D$15*('R&amp;S - Packaging and hh goods'!$P$19+('R&amp;S - Packaging and hh goods'!$P$20-'R&amp;S - Packaging and hh goods'!$P$19)*('Yearly LC Propylene'!W$3-'Yearly LC Propylene'!$N$3)/10))</f>
        <v>0.97070133788229607</v>
      </c>
      <c r="X15" s="44">
        <f>X14*'R&amp;S - Packaging and hh goods'!$B$7*('R&amp;S - Packaging and hh goods'!$D$15*('R&amp;S - Packaging and hh goods'!$P$19+('R&amp;S - Packaging and hh goods'!$P$20-'R&amp;S - Packaging and hh goods'!$P$19)*('Yearly LC Propylene'!X$3-'Yearly LC Propylene'!$N$3)/10))</f>
        <v>1.0741272542399931</v>
      </c>
      <c r="Y15" s="44">
        <f>Y14*'R&amp;S - Packaging and hh goods'!$B$7*('R&amp;S - Packaging and hh goods'!$D$15*('R&amp;S - Packaging and hh goods'!$P$20+('R&amp;S - Packaging and hh goods'!$P$21-'R&amp;S - Packaging and hh goods'!$P$20)*('Yearly LC Propylene'!Y$3-'Yearly LC Propylene'!$X$3)/10))</f>
        <v>1.1782785387283912</v>
      </c>
      <c r="Z15" s="44">
        <f>Z14*'R&amp;S - Packaging and hh goods'!$B$7*('R&amp;S - Packaging and hh goods'!$D$15*('R&amp;S - Packaging and hh goods'!$P$20+('R&amp;S - Packaging and hh goods'!$P$21-'R&amp;S - Packaging and hh goods'!$P$20)*('Yearly LC Propylene'!Z$3-'Yearly LC Propylene'!$X$3)/10))</f>
        <v>1.2851355302406331</v>
      </c>
      <c r="AA15" s="44">
        <f>AA14*'R&amp;S - Packaging and hh goods'!$B$7*('R&amp;S - Packaging and hh goods'!$D$15*('R&amp;S - Packaging and hh goods'!$P$20+('R&amp;S - Packaging and hh goods'!$P$21-'R&amp;S - Packaging and hh goods'!$P$20)*('Yearly LC Propylene'!AA$3-'Yearly LC Propylene'!$X$3)/10))</f>
        <v>1.3947535749216271</v>
      </c>
      <c r="AB15" s="44">
        <f>AB14*'R&amp;S - Packaging and hh goods'!$B$7*('R&amp;S - Packaging and hh goods'!$D$15*('R&amp;S - Packaging and hh goods'!$P$20+('R&amp;S - Packaging and hh goods'!$P$21-'R&amp;S - Packaging and hh goods'!$P$20)*('Yearly LC Propylene'!AB$3-'Yearly LC Propylene'!$X$3)/10))</f>
        <v>1.5071890382897619</v>
      </c>
      <c r="AC15" s="44">
        <f>AC14*'R&amp;S - Packaging and hh goods'!$B$7*('R&amp;S - Packaging and hh goods'!$D$15*('R&amp;S - Packaging and hh goods'!$P$20+('R&amp;S - Packaging and hh goods'!$P$21-'R&amp;S - Packaging and hh goods'!$P$20)*('Yearly LC Propylene'!AC$3-'Yearly LC Propylene'!$X$3)/10))</f>
        <v>1.6224993229315197</v>
      </c>
      <c r="AD15" s="44">
        <f>AD14*'R&amp;S - Packaging and hh goods'!$B$7*('R&amp;S - Packaging and hh goods'!$D$15*('R&amp;S - Packaging and hh goods'!$P$20+('R&amp;S - Packaging and hh goods'!$P$21-'R&amp;S - Packaging and hh goods'!$P$20)*('Yearly LC Propylene'!AD$3-'Yearly LC Propylene'!$X$3)/10))</f>
        <v>1.740742886491742</v>
      </c>
      <c r="AE15" s="44">
        <f>AE14*'R&amp;S - Packaging and hh goods'!$B$7*('R&amp;S - Packaging and hh goods'!$D$15*('R&amp;S - Packaging and hh goods'!$P$20+('R&amp;S - Packaging and hh goods'!$P$21-'R&amp;S - Packaging and hh goods'!$P$20)*('Yearly LC Propylene'!AE$3-'Yearly LC Propylene'!$X$3)/10))</f>
        <v>1.8619792599643561</v>
      </c>
      <c r="AF15" s="44">
        <f>AF14*'R&amp;S - Packaging and hh goods'!$B$7*('R&amp;S - Packaging and hh goods'!$D$15*('R&amp;S - Packaging and hh goods'!$P$20+('R&amp;S - Packaging and hh goods'!$P$21-'R&amp;S - Packaging and hh goods'!$P$20)*('Yearly LC Propylene'!AF$3-'Yearly LC Propylene'!$X$3)/10))</f>
        <v>1.9862690662884506</v>
      </c>
      <c r="AG15" s="44">
        <f>AG14*'R&amp;S - Packaging and hh goods'!$B$7*('R&amp;S - Packaging and hh goods'!$D$15*('R&amp;S - Packaging and hh goods'!$P$20+('R&amp;S - Packaging and hh goods'!$P$21-'R&amp;S - Packaging and hh goods'!$P$20)*('Yearly LC Propylene'!AG$3-'Yearly LC Propylene'!$X$3)/10))</f>
        <v>2.1136740392546671</v>
      </c>
      <c r="AH15" s="44">
        <f>AH14*'R&amp;S - Packaging and hh goods'!$B$7*('R&amp;S - Packaging and hh goods'!$D$15*('R&amp;S - Packaging and hh goods'!$P$20+('R&amp;S - Packaging and hh goods'!$P$21-'R&amp;S - Packaging and hh goods'!$P$20)*('Yearly LC Propylene'!AH$3-'Yearly LC Propylene'!$X$3)/10))</f>
        <v>2.2442570427269448</v>
      </c>
    </row>
    <row r="16" spans="1:36" outlineLevel="1" x14ac:dyDescent="0.2">
      <c r="B16" s="61" t="s">
        <v>200</v>
      </c>
      <c r="C16" s="54" t="s">
        <v>153</v>
      </c>
      <c r="D16" s="44">
        <v>0</v>
      </c>
      <c r="E16" s="44">
        <f>E14*'R&amp;S - Packaging and hh goods'!$B$8*('R&amp;S - Packaging and hh goods'!$D$15*'R&amp;S - Packaging and hh goods'!$Q$19*('Yearly LC Propylene'!E$3-'Yearly LC Propylene'!$D$3)/10)</f>
        <v>0.10709251491327015</v>
      </c>
      <c r="F16" s="44">
        <f>F14*'R&amp;S - Packaging and hh goods'!$B$8*('R&amp;S - Packaging and hh goods'!$D$15*'R&amp;S - Packaging and hh goods'!$Q$19*('Yearly LC Propylene'!F$3-'Yearly LC Propylene'!$D$3)/10)</f>
        <v>0.21718362024411186</v>
      </c>
      <c r="G16" s="44">
        <f>G14*'R&amp;S - Packaging and hh goods'!$B$8*('R&amp;S - Packaging and hh goods'!$D$15*'R&amp;S - Packaging and hh goods'!$Q$19*('Yearly LC Propylene'!G$3-'Yearly LC Propylene'!$D$3)/10)</f>
        <v>0.3303362863912942</v>
      </c>
      <c r="H16" s="44">
        <f>H14*'R&amp;S - Packaging and hh goods'!$B$8*('R&amp;S - Packaging and hh goods'!$D$15*'R&amp;S - Packaging and hh goods'!$Q$19*('Yearly LC Propylene'!H$3-'Yearly LC Propylene'!$D$3)/10)</f>
        <v>0.44661465920102966</v>
      </c>
      <c r="I16" s="44">
        <f>I14*'R&amp;S - Packaging and hh goods'!$B$8*('R&amp;S - Packaging and hh goods'!$D$15*'R&amp;S - Packaging and hh goods'!$Q$19*('Yearly LC Propylene'!I$3-'Yearly LC Propylene'!$D$3)/10)</f>
        <v>0.56608408053730508</v>
      </c>
      <c r="J16" s="44">
        <f>J14*'R&amp;S - Packaging and hh goods'!$B$8*('R&amp;S - Packaging and hh goods'!$D$15*'R&amp;S - Packaging and hh goods'!$Q$19*('Yearly LC Propylene'!J$3-'Yearly LC Propylene'!$D$3)/10)</f>
        <v>0.68881110919779298</v>
      </c>
      <c r="K16" s="44">
        <f>K14*'R&amp;S - Packaging and hh goods'!$B$8*('R&amp;S - Packaging and hh goods'!$D$15*'R&amp;S - Packaging and hh goods'!$Q$19*('Yearly LC Propylene'!K$3-'Yearly LC Propylene'!$D$3)/10)</f>
        <v>0.81486354218098889</v>
      </c>
      <c r="L16" s="44">
        <f>L14*'R&amp;S - Packaging and hh goods'!$B$8*('R&amp;S - Packaging and hh goods'!$D$15*'R&amp;S - Packaging and hh goods'!$Q$19*('Yearly LC Propylene'!L$3-'Yearly LC Propylene'!$D$3)/10)</f>
        <v>0.94431043631031197</v>
      </c>
      <c r="M16" s="44">
        <f>M14*'R&amp;S - Packaging and hh goods'!$B$8*('R&amp;S - Packaging and hh goods'!$D$15*'R&amp;S - Packaging and hh goods'!$Q$19*('Yearly LC Propylene'!M$3-'Yearly LC Propylene'!$D$3)/10)</f>
        <v>1.0772221302209883</v>
      </c>
      <c r="N16" s="44">
        <f>N14*'R&amp;S - Packaging and hh goods'!$B$8*('R&amp;S - Packaging and hh goods'!$D$15*'R&amp;S - Packaging and hh goods'!$Q$19*('Yearly LC Propylene'!N$3-'Yearly LC Propylene'!$D$3)/10)</f>
        <v>1.2136702667156467</v>
      </c>
      <c r="O16" s="44">
        <f>O14*'R&amp;S - Packaging and hh goods'!$B$8*('R&amp;S - Packaging and hh goods'!$D$15*('R&amp;S - Packaging and hh goods'!$Q$19+('R&amp;S - Packaging and hh goods'!$Q$20-'R&amp;S - Packaging and hh goods'!$Q$19)*('Yearly LC Propylene'!O$3-'Yearly LC Propylene'!$N$3)/10))</f>
        <v>1.425516411770863</v>
      </c>
      <c r="P16" s="44">
        <f>P14*'R&amp;S - Packaging and hh goods'!$B$8*('R&amp;S - Packaging and hh goods'!$D$15*('R&amp;S - Packaging and hh goods'!$Q$19+('R&amp;S - Packaging and hh goods'!$Q$20-'R&amp;S - Packaging and hh goods'!$Q$19)*('Yearly LC Propylene'!P$3-'Yearly LC Propylene'!$N$3)/10))</f>
        <v>1.6430563695153493</v>
      </c>
      <c r="Q16" s="44">
        <f>Q14*'R&amp;S - Packaging and hh goods'!$B$8*('R&amp;S - Packaging and hh goods'!$D$15*('R&amp;S - Packaging and hh goods'!$Q$19+('R&amp;S - Packaging and hh goods'!$Q$20-'R&amp;S - Packaging and hh goods'!$Q$19)*('Yearly LC Propylene'!Q$3-'Yearly LC Propylene'!$N$3)/10))</f>
        <v>1.8664080448599734</v>
      </c>
      <c r="R16" s="44">
        <f>R14*'R&amp;S - Packaging and hh goods'!$B$8*('R&amp;S - Packaging and hh goods'!$D$15*('R&amp;S - Packaging and hh goods'!$Q$19+('R&amp;S - Packaging and hh goods'!$Q$20-'R&amp;S - Packaging and hh goods'!$Q$19)*('Yearly LC Propylene'!R$3-'Yearly LC Propylene'!$N$3)/10))</f>
        <v>2.0956915280658226</v>
      </c>
      <c r="S16" s="44">
        <f>S14*'R&amp;S - Packaging and hh goods'!$B$8*('R&amp;S - Packaging and hh goods'!$D$15*('R&amp;S - Packaging and hh goods'!$Q$19+('R&amp;S - Packaging and hh goods'!$Q$20-'R&amp;S - Packaging and hh goods'!$Q$19)*('Yearly LC Propylene'!S$3-'Yearly LC Propylene'!$N$3)/10))</f>
        <v>2.3310291328246429</v>
      </c>
      <c r="T16" s="44">
        <f>T14*'R&amp;S - Packaging and hh goods'!$B$8*('R&amp;S - Packaging and hh goods'!$D$15*('R&amp;S - Packaging and hh goods'!$Q$19+('R&amp;S - Packaging and hh goods'!$Q$20-'R&amp;S - Packaging and hh goods'!$Q$19)*('Yearly LC Propylene'!T$3-'Yearly LC Propylene'!$N$3)/10))</f>
        <v>2.5725454349772092</v>
      </c>
      <c r="U16" s="44">
        <f>U14*'R&amp;S - Packaging and hh goods'!$B$8*('R&amp;S - Packaging and hh goods'!$D$15*('R&amp;S - Packaging and hh goods'!$Q$19+('R&amp;S - Packaging and hh goods'!$Q$20-'R&amp;S - Packaging and hh goods'!$Q$19)*('Yearly LC Propylene'!U$3-'Yearly LC Propylene'!$N$3)/10))</f>
        <v>2.8203673118800139</v>
      </c>
      <c r="V16" s="44">
        <f>V14*'R&amp;S - Packaging and hh goods'!$B$8*('R&amp;S - Packaging and hh goods'!$D$15*('R&amp;S - Packaging and hh goods'!$Q$19+('R&amp;S - Packaging and hh goods'!$Q$20-'R&amp;S - Packaging and hh goods'!$Q$19)*('Yearly LC Propylene'!V$3-'Yearly LC Propylene'!$N$3)/10))</f>
        <v>3.0746239824308415</v>
      </c>
      <c r="W16" s="44">
        <f>W14*'R&amp;S - Packaging and hh goods'!$B$8*('R&amp;S - Packaging and hh goods'!$D$15*('R&amp;S - Packaging and hh goods'!$Q$19+('R&amp;S - Packaging and hh goods'!$Q$20-'R&amp;S - Packaging and hh goods'!$Q$19)*('Yearly LC Propylene'!W$3-'Yearly LC Propylene'!$N$3)/10))</f>
        <v>3.3354470477639633</v>
      </c>
      <c r="X16" s="44">
        <f>X14*'R&amp;S - Packaging and hh goods'!$B$8*('R&amp;S - Packaging and hh goods'!$D$15*('R&amp;S - Packaging and hh goods'!$Q$19+('R&amp;S - Packaging and hh goods'!$Q$20-'R&amp;S - Packaging and hh goods'!$Q$19)*('Yearly LC Propylene'!X$3-'Yearly LC Propylene'!$N$3)/10))</f>
        <v>3.6029705326258568</v>
      </c>
      <c r="Y16" s="44">
        <f>Y14*'R&amp;S - Packaging and hh goods'!$B$8*('R&amp;S - Packaging and hh goods'!$D$15*('R&amp;S - Packaging and hh goods'!$Q$20+('R&amp;S - Packaging and hh goods'!$Q$21-'R&amp;S - Packaging and hh goods'!$Q$20)*('Yearly LC Propylene'!Y$3-'Yearly LC Propylene'!$X$3)/10))</f>
        <v>3.8773309274425212</v>
      </c>
      <c r="Z16" s="44">
        <f>Z14*'R&amp;S - Packaging and hh goods'!$B$8*('R&amp;S - Packaging and hh goods'!$D$15*('R&amp;S - Packaging and hh goods'!$Q$20+('R&amp;S - Packaging and hh goods'!$Q$21-'R&amp;S - Packaging and hh goods'!$Q$20)*('Yearly LC Propylene'!Z$3-'Yearly LC Propylene'!$X$3)/10))</f>
        <v>4.158667231089658</v>
      </c>
      <c r="AA16" s="44">
        <f>AA14*'R&amp;S - Packaging and hh goods'!$B$8*('R&amp;S - Packaging and hh goods'!$D$15*('R&amp;S - Packaging and hh goods'!$Q$20+('R&amp;S - Packaging and hh goods'!$Q$21-'R&amp;S - Packaging and hh goods'!$Q$20)*('Yearly LC Propylene'!AA$3-'Yearly LC Propylene'!$X$3)/10))</f>
        <v>4.4471209943771361</v>
      </c>
      <c r="AB16" s="44">
        <f>AB14*'R&amp;S - Packaging and hh goods'!$B$8*('R&amp;S - Packaging and hh goods'!$D$15*('R&amp;S - Packaging and hh goods'!$Q$20+('R&amp;S - Packaging and hh goods'!$Q$21-'R&amp;S - Packaging and hh goods'!$Q$20)*('Yearly LC Propylene'!AB$3-'Yearly LC Propylene'!$X$3)/10))</f>
        <v>4.7428363642593698</v>
      </c>
      <c r="AC16" s="44">
        <f>AC14*'R&amp;S - Packaging and hh goods'!$B$8*('R&amp;S - Packaging and hh goods'!$D$15*('R&amp;S - Packaging and hh goods'!$Q$20+('R&amp;S - Packaging and hh goods'!$Q$21-'R&amp;S - Packaging and hh goods'!$Q$20)*('Yearly LC Propylene'!AC$3-'Yearly LC Propylene'!$X$3)/10))</f>
        <v>5.0459601287834071</v>
      </c>
      <c r="AD16" s="44">
        <f>AD14*'R&amp;S - Packaging and hh goods'!$B$8*('R&amp;S - Packaging and hh goods'!$D$15*('R&amp;S - Packaging and hh goods'!$Q$20+('R&amp;S - Packaging and hh goods'!$Q$21-'R&amp;S - Packaging and hh goods'!$Q$20)*('Yearly LC Propylene'!AD$3-'Yearly LC Propylene'!$X$3)/10))</f>
        <v>5.3566417627867242</v>
      </c>
      <c r="AE16" s="44">
        <f>AE14*'R&amp;S - Packaging and hh goods'!$B$8*('R&amp;S - Packaging and hh goods'!$D$15*('R&amp;S - Packaging and hh goods'!$Q$20+('R&amp;S - Packaging and hh goods'!$Q$21-'R&amp;S - Packaging and hh goods'!$Q$20)*('Yearly LC Propylene'!AE$3-'Yearly LC Propylene'!$X$3)/10))</f>
        <v>5.6750334743568924</v>
      </c>
      <c r="AF16" s="44">
        <f>AF14*'R&amp;S - Packaging and hh goods'!$B$8*('R&amp;S - Packaging and hh goods'!$D$15*('R&amp;S - Packaging and hh goods'!$Q$20+('R&amp;S - Packaging and hh goods'!$Q$21-'R&amp;S - Packaging and hh goods'!$Q$20)*('Yearly LC Propylene'!AF$3-'Yearly LC Propylene'!$X$3)/10))</f>
        <v>6.0012902520655169</v>
      </c>
      <c r="AG16" s="44">
        <f>AG14*'R&amp;S - Packaging and hh goods'!$B$8*('R&amp;S - Packaging and hh goods'!$D$15*('R&amp;S - Packaging and hh goods'!$Q$20+('R&amp;S - Packaging and hh goods'!$Q$21-'R&amp;S - Packaging and hh goods'!$Q$20)*('Yearly LC Propylene'!AG$3-'Yearly LC Propylene'!$X$3)/10))</f>
        <v>6.3355699129890111</v>
      </c>
      <c r="AH16" s="44">
        <f>AH14*'R&amp;S - Packaging and hh goods'!$B$8*('R&amp;S - Packaging and hh goods'!$D$15*('R&amp;S - Packaging and hh goods'!$Q$20+('R&amp;S - Packaging and hh goods'!$Q$21-'R&amp;S - Packaging and hh goods'!$Q$20)*('Yearly LC Propylene'!AH$3-'Yearly LC Propylene'!$X$3)/10))</f>
        <v>6.6780331515289584</v>
      </c>
    </row>
    <row r="17" spans="1:34" outlineLevel="1" x14ac:dyDescent="0.2">
      <c r="B17" s="1" t="s">
        <v>168</v>
      </c>
      <c r="C17" s="54" t="s">
        <v>153</v>
      </c>
      <c r="D17" s="44">
        <f>SUM(D15:D16)</f>
        <v>0</v>
      </c>
      <c r="E17" s="44">
        <f t="shared" ref="E17:AH17" si="4">SUM(E15:E16)</f>
        <v>0.12058880521484006</v>
      </c>
      <c r="F17" s="44">
        <f t="shared" si="4"/>
        <v>0.24455409697569563</v>
      </c>
      <c r="G17" s="44">
        <f t="shared" si="4"/>
        <v>0.37196678150003309</v>
      </c>
      <c r="H17" s="44">
        <f t="shared" si="4"/>
        <v>0.50289908858804466</v>
      </c>
      <c r="I17" s="44">
        <f t="shared" si="4"/>
        <v>0.63742459478534663</v>
      </c>
      <c r="J17" s="44">
        <f t="shared" si="4"/>
        <v>0.77561824693480996</v>
      </c>
      <c r="K17" s="44">
        <f t="shared" si="4"/>
        <v>0.91755638612387991</v>
      </c>
      <c r="L17" s="44">
        <f t="shared" si="4"/>
        <v>1.0633167720338452</v>
      </c>
      <c r="M17" s="44">
        <f t="shared" si="4"/>
        <v>1.2129786076976088</v>
      </c>
      <c r="N17" s="44">
        <f t="shared" si="4"/>
        <v>1.3666225646726391</v>
      </c>
      <c r="O17" s="44">
        <f t="shared" si="4"/>
        <v>1.6598801195204305</v>
      </c>
      <c r="P17" s="44">
        <f t="shared" si="4"/>
        <v>1.9610810278812845</v>
      </c>
      <c r="Q17" s="44">
        <f t="shared" si="4"/>
        <v>2.2703902251728159</v>
      </c>
      <c r="R17" s="44">
        <f t="shared" si="4"/>
        <v>2.5879757081070456</v>
      </c>
      <c r="S17" s="44">
        <f t="shared" si="4"/>
        <v>2.9140085880793003</v>
      </c>
      <c r="T17" s="44">
        <f t="shared" si="4"/>
        <v>3.2486631454519888</v>
      </c>
      <c r="U17" s="44">
        <f t="shared" si="4"/>
        <v>3.5921168847478491</v>
      </c>
      <c r="V17" s="44">
        <f t="shared" si="4"/>
        <v>3.9445505907674847</v>
      </c>
      <c r="W17" s="44">
        <f t="shared" si="4"/>
        <v>4.3061483856462592</v>
      </c>
      <c r="X17" s="44">
        <f t="shared" si="4"/>
        <v>4.6770977868658496</v>
      </c>
      <c r="Y17" s="44">
        <f t="shared" si="4"/>
        <v>5.0556094661709121</v>
      </c>
      <c r="Z17" s="44">
        <f t="shared" si="4"/>
        <v>5.4438027613302911</v>
      </c>
      <c r="AA17" s="44">
        <f t="shared" si="4"/>
        <v>5.8418745692987635</v>
      </c>
      <c r="AB17" s="44">
        <f t="shared" si="4"/>
        <v>6.2500254025491317</v>
      </c>
      <c r="AC17" s="44">
        <f t="shared" si="4"/>
        <v>6.6684594517149272</v>
      </c>
      <c r="AD17" s="44">
        <f t="shared" si="4"/>
        <v>7.0973846492784665</v>
      </c>
      <c r="AE17" s="44">
        <f t="shared" si="4"/>
        <v>7.5370127343212481</v>
      </c>
      <c r="AF17" s="44">
        <f t="shared" si="4"/>
        <v>7.9875593183539673</v>
      </c>
      <c r="AG17" s="44">
        <f t="shared" si="4"/>
        <v>8.4492439522436786</v>
      </c>
      <c r="AH17" s="44">
        <f t="shared" si="4"/>
        <v>8.9222901942559041</v>
      </c>
    </row>
    <row r="18" spans="1:34" outlineLevel="1" x14ac:dyDescent="0.2">
      <c r="B18" s="61" t="s">
        <v>202</v>
      </c>
      <c r="C18" s="54" t="s">
        <v>153</v>
      </c>
      <c r="D18" s="44">
        <v>0</v>
      </c>
      <c r="E18" s="44">
        <f>E14*'R&amp;S - Packaging and hh goods'!$B$9*('R&amp;S - Packaging and hh goods'!$E$15*'R&amp;S - Packaging and hh goods'!$R$19*('Yearly LC Propylene'!E$3-'Yearly LC Propylene'!$D$3)/10)</f>
        <v>3.7909123865402843E-2</v>
      </c>
      <c r="F18" s="44">
        <f>F14*'R&amp;S - Packaging and hh goods'!$B$9*('R&amp;S - Packaging and hh goods'!$E$15*'R&amp;S - Packaging and hh goods'!$R$19*('Yearly LC Propylene'!F$3-'Yearly LC Propylene'!$D$3)/10)</f>
        <v>7.6879703199036975E-2</v>
      </c>
      <c r="G18" s="44">
        <f>G14*'R&amp;S - Packaging and hh goods'!$B$9*('R&amp;S - Packaging and hh goods'!$E$15*'R&amp;S - Packaging and hh goods'!$R$19*('Yearly LC Propylene'!G$3-'Yearly LC Propylene'!$D$3)/10)</f>
        <v>0.11693402856573525</v>
      </c>
      <c r="H18" s="44">
        <f>H14*'R&amp;S - Packaging and hh goods'!$B$9*('R&amp;S - Packaging and hh goods'!$E$15*'R&amp;S - Packaging and hh goods'!$R$19*('Yearly LC Propylene'!H$3-'Yearly LC Propylene'!$D$3)/10)</f>
        <v>0.15809480662087402</v>
      </c>
      <c r="I18" s="44">
        <f>I14*'R&amp;S - Packaging and hh goods'!$B$9*('R&amp;S - Packaging and hh goods'!$E$15*'R&amp;S - Packaging and hh goods'!$R$19*('Yearly LC Propylene'!I$3-'Yearly LC Propylene'!$D$3)/10)</f>
        <v>0.20038516739195786</v>
      </c>
      <c r="J18" s="44">
        <f>J14*'R&amp;S - Packaging and hh goods'!$B$9*('R&amp;S - Packaging and hh goods'!$E$15*'R&amp;S - Packaging and hh goods'!$R$19*('Yearly LC Propylene'!J$3-'Yearly LC Propylene'!$D$3)/10)</f>
        <v>0.24382867168253436</v>
      </c>
      <c r="K18" s="44">
        <f>K14*'R&amp;S - Packaging and hh goods'!$B$9*('R&amp;S - Packaging and hh goods'!$E$15*'R&amp;S - Packaging and hh goods'!$R$19*('Yearly LC Propylene'!K$3-'Yearly LC Propylene'!$D$3)/10)</f>
        <v>0.2884493186004381</v>
      </c>
      <c r="L18" s="44">
        <f>L14*'R&amp;S - Packaging and hh goods'!$B$9*('R&amp;S - Packaging and hh goods'!$E$15*'R&amp;S - Packaging and hh goods'!$R$19*('Yearly LC Propylene'!L$3-'Yearly LC Propylene'!$D$3)/10)</f>
        <v>0.33427155321239338</v>
      </c>
      <c r="M18" s="44">
        <f>M14*'R&amp;S - Packaging and hh goods'!$B$9*('R&amp;S - Packaging and hh goods'!$E$15*'R&amp;S - Packaging and hh goods'!$R$19*('Yearly LC Propylene'!M$3-'Yearly LC Propylene'!$D$3)/10)</f>
        <v>0.38132027432703774</v>
      </c>
      <c r="N18" s="44">
        <f>N14*'R&amp;S - Packaging and hh goods'!$B$9*('R&amp;S - Packaging and hh goods'!$E$15*'R&amp;S - Packaging and hh goods'!$R$19*('Yearly LC Propylene'!N$3-'Yearly LC Propylene'!$D$3)/10)</f>
        <v>0.4296208424084626</v>
      </c>
      <c r="O18" s="44">
        <f>O14*'R&amp;S - Packaging and hh goods'!$B$9*('R&amp;S - Packaging and hh goods'!$E$15*'R&amp;S - Packaging and hh goods'!$R$19*('Yearly LC Propylene'!O$3-'Yearly LC Propylene'!$D$3)/10)</f>
        <v>0.47919908762239921</v>
      </c>
      <c r="P18" s="44">
        <f>P14*'R&amp;S - Packaging and hh goods'!$B$9*('R&amp;S - Packaging and hh goods'!$E$15*'R&amp;S - Packaging and hh goods'!$R$19*('Yearly LC Propylene'!P$3-'Yearly LC Propylene'!$D$3)/10)</f>
        <v>0.53008131801721403</v>
      </c>
      <c r="Q18" s="44">
        <f>Q14*'R&amp;S - Packaging and hh goods'!$B$9*('R&amp;S - Packaging and hh goods'!$E$15*'R&amp;S - Packaging and hh goods'!$R$19*('Yearly LC Propylene'!Q$3-'Yearly LC Propylene'!$D$3)/10)</f>
        <v>0.5822943278419096</v>
      </c>
      <c r="R18" s="44">
        <f>R14*'R&amp;S - Packaging and hh goods'!$B$9*('R&amp;S - Packaging and hh goods'!$E$15*'R&amp;S - Packaging and hh goods'!$R$19*('Yearly LC Propylene'!R$3-'Yearly LC Propylene'!$D$3)/10)</f>
        <v>0.63586540600336527</v>
      </c>
      <c r="S18" s="44">
        <f>S14*'R&amp;S - Packaging and hh goods'!$B$9*('R&amp;S - Packaging and hh goods'!$E$15*'R&amp;S - Packaging and hh goods'!$R$19*('Yearly LC Propylene'!S$3-'Yearly LC Propylene'!$D$3)/10)</f>
        <v>0.69082234466508474</v>
      </c>
      <c r="T18" s="44">
        <f>T14*'R&amp;S - Packaging and hh goods'!$B$9*('R&amp;S - Packaging and hh goods'!$E$15*'R&amp;S - Packaging and hh goods'!$R$19*('Yearly LC Propylene'!T$3-'Yearly LC Propylene'!$D$3)/10)</f>
        <v>0.74719344798975562</v>
      </c>
      <c r="U18" s="44">
        <f>U14*'R&amp;S - Packaging and hh goods'!$B$9*('R&amp;S - Packaging and hh goods'!$E$15*'R&amp;S - Packaging and hh goods'!$R$19*('Yearly LC Propylene'!U$3-'Yearly LC Propylene'!$D$3)/10)</f>
        <v>0.80500754102796301</v>
      </c>
      <c r="V18" s="44">
        <f>V14*'R&amp;S - Packaging and hh goods'!$B$9*('R&amp;S - Packaging and hh goods'!$E$15*'R&amp;S - Packaging and hh goods'!$R$19*('Yearly LC Propylene'!V$3-'Yearly LC Propylene'!$D$3)/10)</f>
        <v>0.86429397875543401</v>
      </c>
      <c r="W18" s="44">
        <f>W14*'R&amp;S - Packaging and hh goods'!$B$9*('R&amp;S - Packaging and hh goods'!$E$15*'R&amp;S - Packaging and hh goods'!$R$19*('Yearly LC Propylene'!W$3-'Yearly LC Propylene'!$D$3)/10)</f>
        <v>0.92508265526123312</v>
      </c>
      <c r="X18" s="44">
        <f>X14*'R&amp;S - Packaging and hh goods'!$B$9*('R&amp;S - Packaging and hh goods'!$E$15*'R&amp;S - Packaging and hh goods'!$R$19*('Yearly LC Propylene'!X$3-'Yearly LC Propylene'!$D$3)/10)</f>
        <v>0.98740401308935821</v>
      </c>
      <c r="Y18" s="44">
        <f>Y14*'R&amp;S - Packaging and hh goods'!$B$9*('R&amp;S - Packaging and hh goods'!$E$15*('R&amp;S - Packaging and hh goods'!$R$20+('R&amp;S - Packaging and hh goods'!$R$21-'R&amp;S - Packaging and hh goods'!$R$20)*('Yearly LC Propylene'!Y$3-'Yearly LC Propylene'!$X$3)/10))</f>
        <v>1.2601658596017324</v>
      </c>
      <c r="Z18" s="44">
        <f>Z14*'R&amp;S - Packaging and hh goods'!$B$9*('R&amp;S - Packaging and hh goods'!$E$15*('R&amp;S - Packaging and hh goods'!$R$20+('R&amp;S - Packaging and hh goods'!$R$21-'R&amp;S - Packaging and hh goods'!$R$20)*('Yearly LC Propylene'!Z$3-'Yearly LC Propylene'!$X$3)/10))</f>
        <v>1.3303208466349028</v>
      </c>
      <c r="AA18" s="44">
        <f>AA14*'R&amp;S - Packaging and hh goods'!$B$9*('R&amp;S - Packaging and hh goods'!$E$15*('R&amp;S - Packaging and hh goods'!$R$20+('R&amp;S - Packaging and hh goods'!$R$21-'R&amp;S - Packaging and hh goods'!$R$20)*('Yearly LC Propylene'!AA$3-'Yearly LC Propylene'!$X$3)/10))</f>
        <v>1.40219318079652</v>
      </c>
      <c r="AB18" s="44">
        <f>AB14*'R&amp;S - Packaging and hh goods'!$B$9*('R&amp;S - Packaging and hh goods'!$E$15*('R&amp;S - Packaging and hh goods'!$R$20+('R&amp;S - Packaging and hh goods'!$R$21-'R&amp;S - Packaging and hh goods'!$R$20)*('Yearly LC Propylene'!AB$3-'Yearly LC Propylene'!$X$3)/10))</f>
        <v>1.4758171974287222</v>
      </c>
      <c r="AC18" s="44">
        <f>AC14*'R&amp;S - Packaging and hh goods'!$B$9*('R&amp;S - Packaging and hh goods'!$E$15*('R&amp;S - Packaging and hh goods'!$R$20+('R&amp;S - Packaging and hh goods'!$R$21-'R&amp;S - Packaging and hh goods'!$R$20)*('Yearly LC Propylene'!AC$3-'Yearly LC Propylene'!$X$3)/10))</f>
        <v>1.5512278566631901</v>
      </c>
      <c r="AD18" s="44">
        <f>AD14*'R&amp;S - Packaging and hh goods'!$B$9*('R&amp;S - Packaging and hh goods'!$E$15*('R&amp;S - Packaging and hh goods'!$R$20+('R&amp;S - Packaging and hh goods'!$R$21-'R&amp;S - Packaging and hh goods'!$R$20)*('Yearly LC Propylene'!AD$3-'Yearly LC Propylene'!$X$3)/10))</f>
        <v>1.6284607541855272</v>
      </c>
      <c r="AE18" s="44">
        <f>AE14*'R&amp;S - Packaging and hh goods'!$B$9*('R&amp;S - Packaging and hh goods'!$E$15*('R&amp;S - Packaging and hh goods'!$R$20+('R&amp;S - Packaging and hh goods'!$R$21-'R&amp;S - Packaging and hh goods'!$R$20)*('Yearly LC Propylene'!AE$3-'Yearly LC Propylene'!$X$3)/10))</f>
        <v>1.7075521321785829</v>
      </c>
      <c r="AF18" s="44">
        <f>AF14*'R&amp;S - Packaging and hh goods'!$B$9*('R&amp;S - Packaging and hh goods'!$E$15*('R&amp;S - Packaging and hh goods'!$R$20+('R&amp;S - Packaging and hh goods'!$R$21-'R&amp;S - Packaging and hh goods'!$R$20)*('Yearly LC Propylene'!AF$3-'Yearly LC Propylene'!$X$3)/10))</f>
        <v>1.7885388904476243</v>
      </c>
      <c r="AG18" s="44">
        <f>AG14*'R&amp;S - Packaging and hh goods'!$B$9*('R&amp;S - Packaging and hh goods'!$E$15*('R&amp;S - Packaging and hh goods'!$R$20+('R&amp;S - Packaging and hh goods'!$R$21-'R&amp;S - Packaging and hh goods'!$R$20)*('Yearly LC Propylene'!AG$3-'Yearly LC Propylene'!$X$3)/10))</f>
        <v>1.871458597730292</v>
      </c>
      <c r="AH18" s="44">
        <f>AH14*'R&amp;S - Packaging and hh goods'!$B$9*('R&amp;S - Packaging and hh goods'!$E$15*('R&amp;S - Packaging and hh goods'!$R$20+('R&amp;S - Packaging and hh goods'!$R$21-'R&amp;S - Packaging and hh goods'!$R$20)*('Yearly LC Propylene'!AH$3-'Yearly LC Propylene'!$X$3)/10))</f>
        <v>1.9563495031943468</v>
      </c>
    </row>
    <row r="19" spans="1:34" outlineLevel="1" x14ac:dyDescent="0.2">
      <c r="B19" s="61" t="s">
        <v>203</v>
      </c>
      <c r="C19" s="54" t="s">
        <v>153</v>
      </c>
      <c r="D19" s="44">
        <v>0</v>
      </c>
      <c r="E19" s="44">
        <f>E14*'R&amp;S - Packaging and hh goods'!$B$10*('R&amp;S - Packaging and hh goods'!$E$15*'R&amp;S - Packaging and hh goods'!$S$19*('Yearly LC Propylene'!E$3-'Yearly LC Propylene'!$D$3)/10)</f>
        <v>3.3170483382227486E-2</v>
      </c>
      <c r="F19" s="44">
        <f>F14*'R&amp;S - Packaging and hh goods'!$B$10*('R&amp;S - Packaging and hh goods'!$E$15*'R&amp;S - Packaging and hh goods'!$S$19*('Yearly LC Propylene'!F$3-'Yearly LC Propylene'!$D$3)/10)</f>
        <v>6.7269740299157346E-2</v>
      </c>
      <c r="G19" s="44">
        <f>G14*'R&amp;S - Packaging and hh goods'!$B$10*('R&amp;S - Packaging and hh goods'!$E$15*'R&amp;S - Packaging and hh goods'!$S$19*('Yearly LC Propylene'!G$3-'Yearly LC Propylene'!$D$3)/10)</f>
        <v>0.10231727499501835</v>
      </c>
      <c r="H19" s="44">
        <f>H14*'R&amp;S - Packaging and hh goods'!$B$10*('R&amp;S - Packaging and hh goods'!$E$15*'R&amp;S - Packaging and hh goods'!$S$19*('Yearly LC Propylene'!H$3-'Yearly LC Propylene'!$D$3)/10)</f>
        <v>0.13833295579326479</v>
      </c>
      <c r="I19" s="44">
        <f>I14*'R&amp;S - Packaging and hh goods'!$B$10*('R&amp;S - Packaging and hh goods'!$E$15*'R&amp;S - Packaging and hh goods'!$S$19*('Yearly LC Propylene'!I$3-'Yearly LC Propylene'!$D$3)/10)</f>
        <v>0.17533702146796312</v>
      </c>
      <c r="J19" s="44">
        <f>J14*'R&amp;S - Packaging and hh goods'!$B$10*('R&amp;S - Packaging and hh goods'!$E$15*'R&amp;S - Packaging and hh goods'!$S$19*('Yearly LC Propylene'!J$3-'Yearly LC Propylene'!$D$3)/10)</f>
        <v>0.21335008772221756</v>
      </c>
      <c r="K19" s="44">
        <f>K14*'R&amp;S - Packaging and hh goods'!$B$10*('R&amp;S - Packaging and hh goods'!$E$15*'R&amp;S - Packaging and hh goods'!$S$19*('Yearly LC Propylene'!K$3-'Yearly LC Propylene'!$D$3)/10)</f>
        <v>0.25239315377538335</v>
      </c>
      <c r="L19" s="44">
        <f>L14*'R&amp;S - Packaging and hh goods'!$B$10*('R&amp;S - Packaging and hh goods'!$E$15*'R&amp;S - Packaging and hh goods'!$S$19*('Yearly LC Propylene'!L$3-'Yearly LC Propylene'!$D$3)/10)</f>
        <v>0.2924876090608442</v>
      </c>
      <c r="M19" s="44">
        <f>M14*'R&amp;S - Packaging and hh goods'!$B$10*('R&amp;S - Packaging and hh goods'!$E$15*'R&amp;S - Packaging and hh goods'!$S$19*('Yearly LC Propylene'!M$3-'Yearly LC Propylene'!$D$3)/10)</f>
        <v>0.33365524003615804</v>
      </c>
      <c r="N19" s="44">
        <f>N14*'R&amp;S - Packaging and hh goods'!$B$10*('R&amp;S - Packaging and hh goods'!$E$15*'R&amp;S - Packaging and hh goods'!$S$19*('Yearly LC Propylene'!N$3-'Yearly LC Propylene'!$D$3)/10)</f>
        <v>0.37591823710740474</v>
      </c>
      <c r="O19" s="44">
        <f>O14*'R&amp;S - Packaging and hh goods'!$B$10*('R&amp;S - Packaging and hh goods'!$E$15*'R&amp;S - Packaging and hh goods'!$S$19*('Yearly LC Propylene'!O$3-'Yearly LC Propylene'!$D$3)/10)</f>
        <v>0.41929920166959933</v>
      </c>
      <c r="P19" s="44">
        <f>P14*'R&amp;S - Packaging and hh goods'!$B$10*('R&amp;S - Packaging and hh goods'!$E$15*('R&amp;S - Packaging and hh goods'!$S$19+('R&amp;S - Packaging and hh goods'!$S$20-'R&amp;S - Packaging and hh goods'!$S$19)*('Yearly LC Propylene'!P$3-'Yearly LC Propylene'!$O$3)/10))</f>
        <v>0.43716476514638042</v>
      </c>
      <c r="Q19" s="44">
        <f>Q14*'R&amp;S - Packaging and hh goods'!$B$10*('R&amp;S - Packaging and hh goods'!$E$15*('R&amp;S - Packaging and hh goods'!$S$19+('R&amp;S - Packaging and hh goods'!$S$20-'R&amp;S - Packaging and hh goods'!$S$19)*('Yearly LC Propylene'!Q$3-'Yearly LC Propylene'!$O$3)/10))</f>
        <v>0.49464126920788204</v>
      </c>
      <c r="R19" s="44">
        <f>R14*'R&amp;S - Packaging and hh goods'!$B$10*('R&amp;S - Packaging and hh goods'!$E$15*('R&amp;S - Packaging and hh goods'!$S$19+('R&amp;S - Packaging and hh goods'!$S$20-'R&amp;S - Packaging and hh goods'!$S$19)*('Yearly LC Propylene'!R$3-'Yearly LC Propylene'!$O$3)/10))</f>
        <v>0.5536414310891371</v>
      </c>
      <c r="S19" s="44">
        <f>S14*'R&amp;S - Packaging and hh goods'!$B$10*('R&amp;S - Packaging and hh goods'!$E$15*('R&amp;S - Packaging and hh goods'!$S$19+('R&amp;S - Packaging and hh goods'!$S$20-'R&amp;S - Packaging and hh goods'!$S$19)*('Yearly LC Propylene'!S$3-'Yearly LC Propylene'!$O$3)/10))</f>
        <v>0.61419664781430239</v>
      </c>
      <c r="T19" s="44">
        <f>T14*'R&amp;S - Packaging and hh goods'!$B$10*('R&amp;S - Packaging and hh goods'!$E$15*('R&amp;S - Packaging and hh goods'!$S$19+('R&amp;S - Packaging and hh goods'!$S$20-'R&amp;S - Packaging and hh goods'!$S$19)*('Yearly LC Propylene'!T$3-'Yearly LC Propylene'!$O$3)/10))</f>
        <v>0.67633889688727877</v>
      </c>
      <c r="U19" s="44">
        <f>U14*'R&amp;S - Packaging and hh goods'!$B$10*('R&amp;S - Packaging and hh goods'!$E$15*('R&amp;S - Packaging and hh goods'!$S$19+('R&amp;S - Packaging and hh goods'!$S$20-'R&amp;S - Packaging and hh goods'!$S$19)*('Yearly LC Propylene'!U$3-'Yearly LC Propylene'!$O$3)/10))</f>
        <v>0.74010074639132706</v>
      </c>
      <c r="V19" s="44">
        <f>V14*'R&amp;S - Packaging and hh goods'!$B$10*('R&amp;S - Packaging and hh goods'!$E$15*('R&amp;S - Packaging and hh goods'!$S$19+('R&amp;S - Packaging and hh goods'!$S$20-'R&amp;S - Packaging and hh goods'!$S$19)*('Yearly LC Propylene'!V$3-'Yearly LC Propylene'!$O$3)/10))</f>
        <v>0.80551536525769873</v>
      </c>
      <c r="W19" s="44">
        <f>W14*'R&amp;S - Packaging and hh goods'!$B$10*('R&amp;S - Packaging and hh goods'!$E$15*('R&amp;S - Packaging and hh goods'!$S$19+('R&amp;S - Packaging and hh goods'!$S$20-'R&amp;S - Packaging and hh goods'!$S$19)*('Yearly LC Propylene'!W$3-'Yearly LC Propylene'!$O$3)/10))</f>
        <v>0.8726165337060362</v>
      </c>
      <c r="X19" s="44">
        <f>X14*'R&amp;S - Packaging and hh goods'!$B$10*('R&amp;S - Packaging and hh goods'!$E$15*('R&amp;S - Packaging and hh goods'!$S$19+('R&amp;S - Packaging and hh goods'!$S$20-'R&amp;S - Packaging and hh goods'!$S$19)*('Yearly LC Propylene'!X$3-'Yearly LC Propylene'!$O$3)/10))</f>
        <v>0.94143865385933645</v>
      </c>
      <c r="Y19" s="44">
        <f>Y14*'R&amp;S - Packaging and hh goods'!$B$10*('R&amp;S - Packaging and hh goods'!$E$15*('R&amp;S - Packaging and hh goods'!$S$20+('R&amp;S - Packaging and hh goods'!$S$21-'R&amp;S - Packaging and hh goods'!$S$20)*('Yearly LC Propylene'!Y$3-'Yearly LC Propylene'!$X$3)/10))</f>
        <v>1.061862362174679</v>
      </c>
      <c r="Z19" s="44">
        <f>Z14*'R&amp;S - Packaging and hh goods'!$B$10*('R&amp;S - Packaging and hh goods'!$E$15*('R&amp;S - Packaging and hh goods'!$S$20+('R&amp;S - Packaging and hh goods'!$S$21-'R&amp;S - Packaging and hh goods'!$S$20)*('Yearly LC Propylene'!Z$3-'Yearly LC Propylene'!$X$3)/10))</f>
        <v>1.1272718753064177</v>
      </c>
      <c r="AA19" s="44">
        <f>AA14*'R&amp;S - Packaging and hh goods'!$B$10*('R&amp;S - Packaging and hh goods'!$E$15*('R&amp;S - Packaging and hh goods'!$S$20+('R&amp;S - Packaging and hh goods'!$S$21-'R&amp;S - Packaging and hh goods'!$S$20)*('Yearly LC Propylene'!AA$3-'Yearly LC Propylene'!$X$3)/10))</f>
        <v>1.1943047297828591</v>
      </c>
      <c r="AB19" s="44">
        <f>AB14*'R&amp;S - Packaging and hh goods'!$B$10*('R&amp;S - Packaging and hh goods'!$E$15*('R&amp;S - Packaging and hh goods'!$S$20+('R&amp;S - Packaging and hh goods'!$S$21-'R&amp;S - Packaging and hh goods'!$S$20)*('Yearly LC Propylene'!AB$3-'Yearly LC Propylene'!$X$3)/10))</f>
        <v>1.2629935588970804</v>
      </c>
      <c r="AC19" s="44">
        <f>AC14*'R&amp;S - Packaging and hh goods'!$B$10*('R&amp;S - Packaging and hh goods'!$E$15*('R&amp;S - Packaging and hh goods'!$S$20+('R&amp;S - Packaging and hh goods'!$S$21-'R&amp;S - Packaging and hh goods'!$S$20)*('Yearly LC Propylene'!AC$3-'Yearly LC Propylene'!$X$3)/10))</f>
        <v>1.3333715914994626</v>
      </c>
      <c r="AD19" s="44">
        <f>AD14*'R&amp;S - Packaging and hh goods'!$B$10*('R&amp;S - Packaging and hh goods'!$E$15*('R&amp;S - Packaging and hh goods'!$S$20+('R&amp;S - Packaging and hh goods'!$S$21-'R&amp;S - Packaging and hh goods'!$S$20)*('Yearly LC Propylene'!AD$3-'Yearly LC Propylene'!$X$3)/10))</f>
        <v>1.4054726622771678</v>
      </c>
      <c r="AE19" s="44">
        <f>AE14*'R&amp;S - Packaging and hh goods'!$B$10*('R&amp;S - Packaging and hh goods'!$E$15*('R&amp;S - Packaging and hh goods'!$S$20+('R&amp;S - Packaging and hh goods'!$S$21-'R&amp;S - Packaging and hh goods'!$S$20)*('Yearly LC Propylene'!AE$3-'Yearly LC Propylene'!$X$3)/10))</f>
        <v>1.479331222204715</v>
      </c>
      <c r="AF19" s="44">
        <f>AF14*'R&amp;S - Packaging and hh goods'!$B$10*('R&amp;S - Packaging and hh goods'!$E$15*('R&amp;S - Packaging and hh goods'!$S$20+('R&amp;S - Packaging and hh goods'!$S$21-'R&amp;S - Packaging and hh goods'!$S$20)*('Yearly LC Propylene'!AF$3-'Yearly LC Propylene'!$X$3)/10))</f>
        <v>1.5549823491684265</v>
      </c>
      <c r="AG19" s="44">
        <f>AG14*'R&amp;S - Packaging and hh goods'!$B$10*('R&amp;S - Packaging and hh goods'!$E$15*('R&amp;S - Packaging and hh goods'!$S$20+('R&amp;S - Packaging and hh goods'!$S$21-'R&amp;S - Packaging and hh goods'!$S$20)*('Yearly LC Propylene'!AG$3-'Yearly LC Propylene'!$X$3)/10))</f>
        <v>1.6324617587675707</v>
      </c>
      <c r="AH19" s="44">
        <f>AH14*'R&amp;S - Packaging and hh goods'!$B$10*('R&amp;S - Packaging and hh goods'!$E$15*('R&amp;S - Packaging and hh goods'!$S$20+('R&amp;S - Packaging and hh goods'!$S$21-'R&amp;S - Packaging and hh goods'!$S$20)*('Yearly LC Propylene'!AH$3-'Yearly LC Propylene'!$X$3)/10))</f>
        <v>1.7118058152950535</v>
      </c>
    </row>
    <row r="20" spans="1:34" outlineLevel="1" x14ac:dyDescent="0.2">
      <c r="B20" s="1" t="s">
        <v>172</v>
      </c>
      <c r="C20" s="54" t="s">
        <v>153</v>
      </c>
      <c r="D20" s="44">
        <f>SUM(D18:D19)</f>
        <v>0</v>
      </c>
      <c r="E20" s="44">
        <f t="shared" ref="E20:AH20" si="5">SUM(E18:E19)</f>
        <v>7.1079607247630322E-2</v>
      </c>
      <c r="F20" s="44">
        <f t="shared" si="5"/>
        <v>0.14414944349819431</v>
      </c>
      <c r="G20" s="44">
        <f t="shared" si="5"/>
        <v>0.21925130356075359</v>
      </c>
      <c r="H20" s="44">
        <f t="shared" si="5"/>
        <v>0.29642776241413882</v>
      </c>
      <c r="I20" s="44">
        <f t="shared" si="5"/>
        <v>0.37572218885992098</v>
      </c>
      <c r="J20" s="44">
        <f t="shared" si="5"/>
        <v>0.45717875940475194</v>
      </c>
      <c r="K20" s="44">
        <f t="shared" si="5"/>
        <v>0.54084247237582139</v>
      </c>
      <c r="L20" s="44">
        <f t="shared" si="5"/>
        <v>0.62675916227323758</v>
      </c>
      <c r="M20" s="44">
        <f t="shared" si="5"/>
        <v>0.71497551436319573</v>
      </c>
      <c r="N20" s="44">
        <f t="shared" si="5"/>
        <v>0.80553907951586734</v>
      </c>
      <c r="O20" s="44">
        <f t="shared" si="5"/>
        <v>0.8984982892919986</v>
      </c>
      <c r="P20" s="44">
        <f t="shared" si="5"/>
        <v>0.96724608316359451</v>
      </c>
      <c r="Q20" s="44">
        <f t="shared" si="5"/>
        <v>1.0769355970497916</v>
      </c>
      <c r="R20" s="44">
        <f t="shared" si="5"/>
        <v>1.1895068370925024</v>
      </c>
      <c r="S20" s="44">
        <f t="shared" si="5"/>
        <v>1.3050189924793871</v>
      </c>
      <c r="T20" s="44">
        <f t="shared" si="5"/>
        <v>1.4235323448770343</v>
      </c>
      <c r="U20" s="44">
        <f t="shared" si="5"/>
        <v>1.5451082874192901</v>
      </c>
      <c r="V20" s="44">
        <f t="shared" si="5"/>
        <v>1.6698093440131327</v>
      </c>
      <c r="W20" s="44">
        <f t="shared" si="5"/>
        <v>1.7976991889672693</v>
      </c>
      <c r="X20" s="44">
        <f t="shared" si="5"/>
        <v>1.9288426669486947</v>
      </c>
      <c r="Y20" s="44">
        <f t="shared" si="5"/>
        <v>2.3220282217764114</v>
      </c>
      <c r="Z20" s="44">
        <f t="shared" si="5"/>
        <v>2.4575927219413205</v>
      </c>
      <c r="AA20" s="44">
        <f t="shared" si="5"/>
        <v>2.5964979105793793</v>
      </c>
      <c r="AB20" s="44">
        <f t="shared" si="5"/>
        <v>2.7388107563258028</v>
      </c>
      <c r="AC20" s="44">
        <f t="shared" si="5"/>
        <v>2.8845994481626525</v>
      </c>
      <c r="AD20" s="44">
        <f t="shared" si="5"/>
        <v>3.0339334164626948</v>
      </c>
      <c r="AE20" s="44">
        <f t="shared" si="5"/>
        <v>3.1868833543832977</v>
      </c>
      <c r="AF20" s="44">
        <f t="shared" si="5"/>
        <v>3.3435212396160505</v>
      </c>
      <c r="AG20" s="44">
        <f t="shared" si="5"/>
        <v>3.5039203564978627</v>
      </c>
      <c r="AH20" s="44">
        <f t="shared" si="5"/>
        <v>3.6681553184894002</v>
      </c>
    </row>
    <row r="21" spans="1:34" s="1" customFormat="1" x14ac:dyDescent="0.2">
      <c r="B21" s="1" t="s">
        <v>197</v>
      </c>
      <c r="C21" s="65" t="s">
        <v>153</v>
      </c>
      <c r="D21" s="66">
        <f>D14-D17-D20</f>
        <v>46.844581662413418</v>
      </c>
      <c r="E21" s="66">
        <f t="shared" ref="E21:AH21" si="6">E14-E17-E20</f>
        <v>47.308737393224739</v>
      </c>
      <c r="F21" s="66">
        <f t="shared" si="6"/>
        <v>47.776707946492941</v>
      </c>
      <c r="G21" s="66">
        <f t="shared" si="6"/>
        <v>48.248509162723579</v>
      </c>
      <c r="H21" s="66">
        <f t="shared" si="6"/>
        <v>48.724156578251161</v>
      </c>
      <c r="I21" s="66">
        <f t="shared" si="6"/>
        <v>49.203665413617635</v>
      </c>
      <c r="J21" s="66">
        <f t="shared" si="6"/>
        <v>49.687050561685012</v>
      </c>
      <c r="K21" s="66">
        <f t="shared" si="6"/>
        <v>50.174326575477224</v>
      </c>
      <c r="L21" s="66">
        <f t="shared" si="6"/>
        <v>50.665507655745522</v>
      </c>
      <c r="M21" s="66">
        <f t="shared" si="6"/>
        <v>51.160607638252536</v>
      </c>
      <c r="N21" s="66">
        <f t="shared" si="6"/>
        <v>51.659639980769221</v>
      </c>
      <c r="O21" s="66">
        <f t="shared" si="6"/>
        <v>52.027068438894709</v>
      </c>
      <c r="P21" s="66">
        <f t="shared" si="6"/>
        <v>52.421315992530161</v>
      </c>
      <c r="Q21" s="66">
        <f t="shared" si="6"/>
        <v>52.777212284802481</v>
      </c>
      <c r="R21" s="66">
        <f t="shared" si="6"/>
        <v>53.132799095323897</v>
      </c>
      <c r="S21" s="66">
        <f t="shared" si="6"/>
        <v>53.487998002932088</v>
      </c>
      <c r="T21" s="66">
        <f t="shared" si="6"/>
        <v>53.842728451330629</v>
      </c>
      <c r="U21" s="66">
        <f t="shared" si="6"/>
        <v>54.196907704675745</v>
      </c>
      <c r="V21" s="66">
        <f t="shared" si="6"/>
        <v>54.550450802338062</v>
      </c>
      <c r="W21" s="66">
        <f t="shared" si="6"/>
        <v>54.903270512824811</v>
      </c>
      <c r="X21" s="66">
        <f t="shared" si="6"/>
        <v>55.255277286847935</v>
      </c>
      <c r="Y21" s="66">
        <f t="shared" si="6"/>
        <v>55.349637101084433</v>
      </c>
      <c r="Z21" s="66">
        <f t="shared" si="6"/>
        <v>55.704061152806602</v>
      </c>
      <c r="AA21" s="66">
        <f t="shared" si="6"/>
        <v>56.057560549105155</v>
      </c>
      <c r="AB21" s="66">
        <f t="shared" si="6"/>
        <v>56.410039932514131</v>
      </c>
      <c r="AC21" s="66">
        <f t="shared" si="6"/>
        <v>56.761401456790942</v>
      </c>
      <c r="AD21" s="66">
        <f t="shared" si="6"/>
        <v>57.111544735920724</v>
      </c>
      <c r="AE21" s="66">
        <f t="shared" si="6"/>
        <v>57.460366792180608</v>
      </c>
      <c r="AF21" s="66">
        <f t="shared" si="6"/>
        <v>57.807762003247525</v>
      </c>
      <c r="AG21" s="66">
        <f t="shared" si="6"/>
        <v>58.153622048333055</v>
      </c>
      <c r="AH21" s="66">
        <f t="shared" si="6"/>
        <v>58.49783585332834</v>
      </c>
    </row>
    <row r="22" spans="1:34" s="67" customFormat="1" x14ac:dyDescent="0.2">
      <c r="A22" s="58" t="s">
        <v>272</v>
      </c>
      <c r="B22" s="58" t="s">
        <v>199</v>
      </c>
      <c r="C22" s="59" t="s">
        <v>153</v>
      </c>
      <c r="D22" s="60">
        <f>'R&amp;S - Buildings'!I4</f>
        <v>12.379169704702877</v>
      </c>
      <c r="E22" s="60">
        <f>D22*(1+'R&amp;S - Buildings'!$B$5)</f>
        <v>12.589615589682824</v>
      </c>
      <c r="F22" s="60">
        <f>E22*(1+'R&amp;S - Buildings'!$B$5)</f>
        <v>12.80363905470743</v>
      </c>
      <c r="G22" s="60">
        <f>F22*(1+'R&amp;S - Buildings'!$B$5)</f>
        <v>13.021300918637456</v>
      </c>
      <c r="H22" s="60">
        <f>G22*(1+'R&amp;S - Buildings'!$B$5)</f>
        <v>13.242663034254292</v>
      </c>
      <c r="I22" s="60">
        <f>H22*(1+'R&amp;S - Buildings'!$B$5)</f>
        <v>13.467788305836613</v>
      </c>
      <c r="J22" s="60">
        <f>I22*(1+'R&amp;S - Buildings'!$B$5)</f>
        <v>13.696740707035834</v>
      </c>
      <c r="K22" s="60">
        <f>J22*(1+'R&amp;S - Buildings'!$B$5)</f>
        <v>13.929585299055443</v>
      </c>
      <c r="L22" s="60">
        <f>K22*(1+'R&amp;S - Buildings'!$B$5)</f>
        <v>14.166388249139384</v>
      </c>
      <c r="M22" s="60">
        <f>L22*(1+'R&amp;S - Buildings'!$B$5)</f>
        <v>14.407216849374752</v>
      </c>
      <c r="N22" s="60">
        <f>M22*(1+'R&amp;S - Buildings'!$B$5)</f>
        <v>14.652139535814122</v>
      </c>
      <c r="O22" s="60">
        <f>N22*(1+'R&amp;S - Buildings'!$B$5)</f>
        <v>14.90122590792296</v>
      </c>
      <c r="P22" s="60">
        <f>O22*(1+'R&amp;S - Buildings'!$B$5)</f>
        <v>15.154546748357649</v>
      </c>
      <c r="Q22" s="60">
        <f>P22*(1+'R&amp;S - Buildings'!$B$5)</f>
        <v>15.412174043079728</v>
      </c>
      <c r="R22" s="60">
        <f>Q22*(1+'R&amp;S - Buildings'!$B$5)</f>
        <v>15.674181001812082</v>
      </c>
      <c r="S22" s="60">
        <f>R22*(1+'R&amp;S - Buildings'!$B$5)</f>
        <v>15.940642078842886</v>
      </c>
      <c r="T22" s="60">
        <f>S22*(1+'R&amp;S - Buildings'!$B$5)</f>
        <v>16.211632994183216</v>
      </c>
      <c r="U22" s="60">
        <f>T22*(1+'R&amp;S - Buildings'!$B$5)</f>
        <v>16.48723075508433</v>
      </c>
      <c r="V22" s="60">
        <f>U22*(1+'R&amp;S - Buildings'!$B$5)</f>
        <v>16.767513677920761</v>
      </c>
      <c r="W22" s="60">
        <f>V22*(1+'R&amp;S - Buildings'!$B$5)</f>
        <v>17.052561410445414</v>
      </c>
      <c r="X22" s="60">
        <f>W22*(1+'R&amp;S - Buildings'!$B$5)</f>
        <v>17.342454954422983</v>
      </c>
      <c r="Y22" s="60">
        <f>X22*(1+'R&amp;S - Buildings'!$B$5)</f>
        <v>17.637276688648171</v>
      </c>
      <c r="Z22" s="60">
        <f>Y22*(1+'R&amp;S - Buildings'!$B$5)</f>
        <v>17.937110392355187</v>
      </c>
      <c r="AA22" s="60">
        <f>Z22*(1+'R&amp;S - Buildings'!$B$5)</f>
        <v>18.242041269025222</v>
      </c>
      <c r="AB22" s="60">
        <f>AA22*(1+'R&amp;S - Buildings'!$B$5)</f>
        <v>18.552155970598648</v>
      </c>
      <c r="AC22" s="60">
        <f>AB22*(1+'R&amp;S - Buildings'!$B$5)</f>
        <v>18.867542622098824</v>
      </c>
      <c r="AD22" s="60">
        <f>AC22*(1+'R&amp;S - Buildings'!$B$5)</f>
        <v>19.188290846674501</v>
      </c>
      <c r="AE22" s="60">
        <f>AD22*(1+'R&amp;S - Buildings'!$B$5)</f>
        <v>19.514491791067964</v>
      </c>
      <c r="AF22" s="60">
        <f>AE22*(1+'R&amp;S - Buildings'!$B$5)</f>
        <v>19.846238151516118</v>
      </c>
      <c r="AG22" s="60">
        <f>AF22*(1+'R&amp;S - Buildings'!$B$5)</f>
        <v>20.183624200091892</v>
      </c>
      <c r="AH22" s="60">
        <f>AG22*(1+'R&amp;S - Buildings'!$B$5)</f>
        <v>20.526745811493452</v>
      </c>
    </row>
    <row r="23" spans="1:34" outlineLevel="1" x14ac:dyDescent="0.2">
      <c r="B23" s="1" t="s">
        <v>168</v>
      </c>
      <c r="C23" s="54" t="s">
        <v>153</v>
      </c>
      <c r="D23">
        <v>0</v>
      </c>
      <c r="E23" s="43">
        <f>E22*'R&amp;S - Buildings'!$B$7*'R&amp;S - Buildings'!$B$12*'R&amp;S - Buildings'!$B$15*('Yearly LC Propylene'!E$3-'Yearly LC Propylene'!$D$3)/10</f>
        <v>9.1400609181097298E-2</v>
      </c>
      <c r="F23" s="43">
        <f>F22*'R&amp;S - Buildings'!$B$7*'R&amp;S - Buildings'!$B$12*'R&amp;S - Buildings'!$B$15*('Yearly LC Propylene'!F$3-'Yearly LC Propylene'!$D$3)/10</f>
        <v>0.18590883907435191</v>
      </c>
      <c r="G23" s="43">
        <f>G22*'R&amp;S - Buildings'!$B$7*'R&amp;S - Buildings'!$B$12*'R&amp;S - Buildings'!$B$15*('Yearly LC Propylene'!G$3-'Yearly LC Propylene'!$D$3)/10</f>
        <v>0.28360393400792383</v>
      </c>
      <c r="H23" s="43">
        <f>H22*'R&amp;S - Buildings'!$B$7*'R&amp;S - Buildings'!$B$12*'R&amp;S - Buildings'!$B$15*('Yearly LC Propylene'!H$3-'Yearly LC Propylene'!$D$3)/10</f>
        <v>0.38456693451474466</v>
      </c>
      <c r="I23" s="43">
        <f>I22*'R&amp;S - Buildings'!$B$7*'R&amp;S - Buildings'!$B$12*'R&amp;S - Buildings'!$B$15*('Yearly LC Propylene'!I$3-'Yearly LC Propylene'!$D$3)/10</f>
        <v>0.48888071550186912</v>
      </c>
      <c r="J23" s="43">
        <f>J22*'R&amp;S - Buildings'!$B$7*'R&amp;S - Buildings'!$B$12*'R&amp;S - Buildings'!$B$15*('Yearly LC Propylene'!J$3-'Yearly LC Propylene'!$D$3)/10</f>
        <v>0.59663002519848107</v>
      </c>
      <c r="K23" s="43">
        <f>K22*'R&amp;S - Buildings'!$B$7*'R&amp;S - Buildings'!$B$12*'R&amp;S - Buildings'!$B$15*('Yearly LC Propylene'!K$3-'Yearly LC Propylene'!$D$3)/10</f>
        <v>0.70790152489799751</v>
      </c>
      <c r="L23" s="43">
        <f>L22*'R&amp;S - Buildings'!$B$7*'R&amp;S - Buildings'!$B$12*'R&amp;S - Buildings'!$B$15*('Yearly LC Propylene'!L$3-'Yearly LC Propylene'!$D$3)/10</f>
        <v>0.82278382951001561</v>
      </c>
      <c r="M23" s="43">
        <f>M22*'R&amp;S - Buildings'!$B$7*'R&amp;S - Buildings'!$B$12*'R&amp;S - Buildings'!$B$15*('Yearly LC Propylene'!M$3-'Yearly LC Propylene'!$D$3)/10</f>
        <v>0.94136754893814634</v>
      </c>
      <c r="N23" s="43">
        <f>N22*'R&amp;S - Buildings'!$B$7*'R&amp;S - Buildings'!$B$12*'R&amp;S - Buildings'!$B$15*('Yearly LC Propylene'!N$3-'Yearly LC Propylene'!$D$3)/10</f>
        <v>1.0637453303001054</v>
      </c>
      <c r="O23" s="43">
        <f>O22*'R&amp;S - Buildings'!$B$7*'R&amp;S - Buildings'!$B$12*('R&amp;S - Buildings'!$B$15+('R&amp;S - Buildings'!$B$16-'R&amp;S - Buildings'!$B$15)*('Yearly LC Propylene'!O$3-'Yearly LC Propylene'!$N$3)/10)</f>
        <v>1.1900119010067274</v>
      </c>
      <c r="P23" s="43">
        <f>P22*'R&amp;S - Buildings'!$B$7*'R&amp;S - Buildings'!$B$12*('R&amp;S - Buildings'!$B$15+('R&amp;S - Buildings'!$B$16-'R&amp;S - Buildings'!$B$15)*('Yearly LC Propylene'!P$3-'Yearly LC Propylene'!$N$3)/10)</f>
        <v>1.3202641127169186</v>
      </c>
      <c r="Q23" s="43">
        <f>Q22*'R&amp;S - Buildings'!$B$7*'R&amp;S - Buildings'!$B$12*('R&amp;S - Buildings'!$B$15+('R&amp;S - Buildings'!$B$16-'R&amp;S - Buildings'!$B$15)*('Yearly LC Propylene'!Q$3-'Yearly LC Propylene'!$N$3)/10)</f>
        <v>1.4546009861858649</v>
      </c>
      <c r="R23" s="43">
        <f>R22*'R&amp;S - Buildings'!$B$7*'R&amp;S - Buildings'!$B$12*('R&amp;S - Buildings'!$B$15+('R&amp;S - Buildings'!$B$16-'R&amp;S - Buildings'!$B$15)*('Yearly LC Propylene'!R$3-'Yearly LC Propylene'!$N$3)/10)</f>
        <v>1.5931237570241801</v>
      </c>
      <c r="S23" s="43">
        <f>S22*'R&amp;S - Buildings'!$B$7*'R&amp;S - Buildings'!$B$12*('R&amp;S - Buildings'!$B$15+('R&amp;S - Buildings'!$B$16-'R&amp;S - Buildings'!$B$15)*('Yearly LC Propylene'!S$3-'Yearly LC Propylene'!$N$3)/10)</f>
        <v>1.73593592238599</v>
      </c>
      <c r="T23" s="43">
        <f>T22*'R&amp;S - Buildings'!$B$7*'R&amp;S - Buildings'!$B$12*('R&amp;S - Buildings'!$B$15+('R&amp;S - Buildings'!$B$16-'R&amp;S - Buildings'!$B$15)*('Yearly LC Propylene'!T$3-'Yearly LC Propylene'!$N$3)/10)</f>
        <v>1.8831432886043225</v>
      </c>
      <c r="U23" s="43">
        <f>U22*'R&amp;S - Buildings'!$B$7*'R&amp;S - Buildings'!$B$12*('R&amp;S - Buildings'!$B$15+('R&amp;S - Buildings'!$B$16-'R&amp;S - Buildings'!$B$15)*('Yearly LC Propylene'!U$3-'Yearly LC Propylene'!$N$3)/10)</f>
        <v>2.0348540197925082</v>
      </c>
      <c r="V23" s="43">
        <f>V22*'R&amp;S - Buildings'!$B$7*'R&amp;S - Buildings'!$B$12*('R&amp;S - Buildings'!$B$15+('R&amp;S - Buildings'!$B$16-'R&amp;S - Buildings'!$B$15)*('Yearly LC Propylene'!V$3-'Yearly LC Propylene'!$N$3)/10)</f>
        <v>2.1911786874306856</v>
      </c>
      <c r="W23" s="43">
        <f>W22*'R&amp;S - Buildings'!$B$7*'R&amp;S - Buildings'!$B$12*('R&amp;S - Buildings'!$B$15+('R&amp;S - Buildings'!$B$16-'R&amp;S - Buildings'!$B$15)*('Yearly LC Propylene'!W$3-'Yearly LC Propylene'!$N$3)/10)</f>
        <v>2.3522303209568403</v>
      </c>
      <c r="X23" s="43">
        <f>X22*'R&amp;S - Buildings'!$B$7*'R&amp;S - Buildings'!$B$12*('R&amp;S - Buildings'!$B$15+('R&amp;S - Buildings'!$B$16-'R&amp;S - Buildings'!$B$15)*('Yearly LC Propylene'!X$3-'Yearly LC Propylene'!$N$3)/10)</f>
        <v>2.518124459382217</v>
      </c>
      <c r="Y23" s="43">
        <f>Y22*'R&amp;S - Buildings'!$B$7*'R&amp;S - Buildings'!$B$12*('R&amp;S - Buildings'!$B$16+('R&amp;S - Buildings'!$B$17-'R&amp;S - Buildings'!$B$16)*('Yearly LC Propylene'!Y$3-'Yearly LC Propylene'!$X$3)/10)</f>
        <v>2.6928594048228027</v>
      </c>
      <c r="Z23" s="43">
        <f>Z22*'R&amp;S - Buildings'!$B$7*'R&amp;S - Buildings'!$B$12*('R&amp;S - Buildings'!$B$16+('R&amp;S - Buildings'!$B$17-'R&amp;S - Buildings'!$B$16)*('Yearly LC Propylene'!Z$3-'Yearly LC Propylene'!$X$3)/10)</f>
        <v>2.8728076004396068</v>
      </c>
      <c r="AA23" s="43">
        <f>AA22*'R&amp;S - Buildings'!$B$7*'R&amp;S - Buildings'!$B$12*('R&amp;S - Buildings'!$B$16+('R&amp;S - Buildings'!$B$17-'R&amp;S - Buildings'!$B$16)*('Yearly LC Propylene'!AA$3-'Yearly LC Propylene'!$X$3)/10)</f>
        <v>3.0580957983393882</v>
      </c>
      <c r="AB23" s="43">
        <f>AB22*'R&amp;S - Buildings'!$B$7*'R&amp;S - Buildings'!$B$12*('R&amp;S - Buildings'!$B$16+('R&amp;S - Buildings'!$B$17-'R&amp;S - Buildings'!$B$16)*('Yearly LC Propylene'!AB$3-'Yearly LC Propylene'!$X$3)/10)</f>
        <v>3.2488535535712355</v>
      </c>
      <c r="AC23" s="43">
        <f>AC22*'R&amp;S - Buildings'!$B$7*'R&amp;S - Buildings'!$B$12*('R&amp;S - Buildings'!$B$16+('R&amp;S - Buildings'!$B$17-'R&amp;S - Buildings'!$B$16)*('Yearly LC Propylene'!AC$3-'Yearly LC Propylene'!$X$3)/10)</f>
        <v>3.4452132827952457</v>
      </c>
      <c r="AD23" s="43">
        <f>AD22*'R&amp;S - Buildings'!$B$7*'R&amp;S - Buildings'!$B$12*('R&amp;S - Buildings'!$B$16+('R&amp;S - Buildings'!$B$17-'R&amp;S - Buildings'!$B$16)*('Yearly LC Propylene'!AD$3-'Yearly LC Propylene'!$X$3)/10)</f>
        <v>3.6473103241358897</v>
      </c>
      <c r="AE23" s="43">
        <f>AE22*'R&amp;S - Buildings'!$B$7*'R&amp;S - Buildings'!$B$12*('R&amp;S - Buildings'!$B$16+('R&amp;S - Buildings'!$B$17-'R&amp;S - Buildings'!$B$16)*('Yearly LC Propylene'!AE$3-'Yearly LC Propylene'!$X$3)/10)</f>
        <v>3.8552829982433874</v>
      </c>
      <c r="AF23" s="43">
        <f>AF22*'R&amp;S - Buildings'!$B$7*'R&amp;S - Buildings'!$B$12*('R&amp;S - Buildings'!$B$16+('R&amp;S - Buildings'!$B$17-'R&amp;S - Buildings'!$B$16)*('Yearly LC Propylene'!AF$3-'Yearly LC Propylene'!$X$3)/10)</f>
        <v>4.0692726705868649</v>
      </c>
      <c r="AG23" s="43">
        <f>AG22*'R&amp;S - Buildings'!$B$7*'R&amp;S - Buildings'!$B$12*('R&amp;S - Buildings'!$B$16+('R&amp;S - Buildings'!$B$17-'R&amp;S - Buildings'!$B$16)*('Yearly LC Propylene'!AG$3-'Yearly LC Propylene'!$X$3)/10)</f>
        <v>4.2894238150035289</v>
      </c>
      <c r="AH23" s="43">
        <f>AH22*'R&amp;S - Buildings'!$B$7*'R&amp;S - Buildings'!$B$12*('R&amp;S - Buildings'!$B$16+('R&amp;S - Buildings'!$B$17-'R&amp;S - Buildings'!$B$16)*('Yearly LC Propylene'!AH$3-'Yearly LC Propylene'!$X$3)/10)</f>
        <v>4.5158840785285594</v>
      </c>
    </row>
    <row r="24" spans="1:34" outlineLevel="1" x14ac:dyDescent="0.2">
      <c r="B24" s="1" t="s">
        <v>172</v>
      </c>
      <c r="C24" s="54" t="s">
        <v>153</v>
      </c>
      <c r="D24">
        <v>0</v>
      </c>
      <c r="E24" s="43">
        <f>E22*'R&amp;S - Buildings'!$B$8*'R&amp;S - Buildings'!$C$12*'R&amp;S - Buildings'!$B$15*('Yearly LC Propylene'!E$3-'Yearly LC Propylene'!$D$3)/10</f>
        <v>0</v>
      </c>
      <c r="F24" s="43">
        <f>F22*'R&amp;S - Buildings'!$B$8*'R&amp;S - Buildings'!$C$12*'R&amp;S - Buildings'!$B$15*('Yearly LC Propylene'!F$3-'Yearly LC Propylene'!$D$3)/10</f>
        <v>0</v>
      </c>
      <c r="G24" s="43">
        <f>G22*'R&amp;S - Buildings'!$B$8*'R&amp;S - Buildings'!$C$12*'R&amp;S - Buildings'!$B$15*('Yearly LC Propylene'!G$3-'Yearly LC Propylene'!$D$3)/10</f>
        <v>0</v>
      </c>
      <c r="H24" s="43">
        <f>H22*'R&amp;S - Buildings'!$B$8*'R&amp;S - Buildings'!$C$12*'R&amp;S - Buildings'!$B$15*('Yearly LC Propylene'!H$3-'Yearly LC Propylene'!$D$3)/10</f>
        <v>0</v>
      </c>
      <c r="I24" s="43">
        <f>I22*'R&amp;S - Buildings'!$B$8*'R&amp;S - Buildings'!$C$12*'R&amp;S - Buildings'!$B$15*('Yearly LC Propylene'!I$3-'Yearly LC Propylene'!$D$3)/10</f>
        <v>0</v>
      </c>
      <c r="J24" s="43">
        <f>J22*'R&amp;S - Buildings'!$B$8*'R&amp;S - Buildings'!$C$12*'R&amp;S - Buildings'!$B$15*('Yearly LC Propylene'!J$3-'Yearly LC Propylene'!$D$3)/10</f>
        <v>0</v>
      </c>
      <c r="K24" s="43">
        <f>K22*'R&amp;S - Buildings'!$B$8*'R&amp;S - Buildings'!$C$12*'R&amp;S - Buildings'!$B$15*('Yearly LC Propylene'!K$3-'Yearly LC Propylene'!$D$3)/10</f>
        <v>0</v>
      </c>
      <c r="L24" s="43">
        <f>L22*'R&amp;S - Buildings'!$B$8*'R&amp;S - Buildings'!$C$12*'R&amp;S - Buildings'!$B$15*('Yearly LC Propylene'!L$3-'Yearly LC Propylene'!$D$3)/10</f>
        <v>0</v>
      </c>
      <c r="M24" s="43">
        <f>M22*'R&amp;S - Buildings'!$B$8*'R&amp;S - Buildings'!$C$12*'R&amp;S - Buildings'!$B$15*('Yearly LC Propylene'!M$3-'Yearly LC Propylene'!$D$3)/10</f>
        <v>0</v>
      </c>
      <c r="N24" s="43">
        <f>N22*'R&amp;S - Buildings'!$B$8*'R&amp;S - Buildings'!$C$12*'R&amp;S - Buildings'!$B$15*('Yearly LC Propylene'!N$3-'Yearly LC Propylene'!$D$3)/10</f>
        <v>0</v>
      </c>
      <c r="O24" s="43">
        <f>O22*'R&amp;S - Buildings'!$B$8*'R&amp;S - Buildings'!$C$12*('R&amp;S - Buildings'!$B$15+('R&amp;S - Buildings'!$B$16-'R&amp;S - Buildings'!$B$15)*('Yearly LC Propylene'!O$3-'Yearly LC Propylene'!$N$3)/10)</f>
        <v>0</v>
      </c>
      <c r="P24" s="43">
        <f>P22*'R&amp;S - Buildings'!$B$8*'R&amp;S - Buildings'!$C$12*('R&amp;S - Buildings'!$B$15+('R&amp;S - Buildings'!$B$16-'R&amp;S - Buildings'!$B$15)*('Yearly LC Propylene'!P$3-'Yearly LC Propylene'!$N$3)/10)</f>
        <v>0</v>
      </c>
      <c r="Q24" s="43">
        <f>Q22*'R&amp;S - Buildings'!$B$8*'R&amp;S - Buildings'!$C$12*('R&amp;S - Buildings'!$B$15+('R&amp;S - Buildings'!$B$16-'R&amp;S - Buildings'!$B$15)*('Yearly LC Propylene'!Q$3-'Yearly LC Propylene'!$N$3)/10)</f>
        <v>0</v>
      </c>
      <c r="R24" s="43">
        <f>R22*'R&amp;S - Buildings'!$B$8*'R&amp;S - Buildings'!$C$12*('R&amp;S - Buildings'!$B$15+('R&amp;S - Buildings'!$B$16-'R&amp;S - Buildings'!$B$15)*('Yearly LC Propylene'!R$3-'Yearly LC Propylene'!$N$3)/10)</f>
        <v>0</v>
      </c>
      <c r="S24" s="43">
        <f>S22*'R&amp;S - Buildings'!$B$8*'R&amp;S - Buildings'!$C$12*('R&amp;S - Buildings'!$B$15+('R&amp;S - Buildings'!$B$16-'R&amp;S - Buildings'!$B$15)*('Yearly LC Propylene'!S$3-'Yearly LC Propylene'!$N$3)/10)</f>
        <v>0</v>
      </c>
      <c r="T24" s="43">
        <f>T22*'R&amp;S - Buildings'!$B$8*'R&amp;S - Buildings'!$C$12*('R&amp;S - Buildings'!$B$15+('R&amp;S - Buildings'!$B$16-'R&amp;S - Buildings'!$B$15)*('Yearly LC Propylene'!T$3-'Yearly LC Propylene'!$N$3)/10)</f>
        <v>0</v>
      </c>
      <c r="U24" s="43">
        <f>U22*'R&amp;S - Buildings'!$B$8*'R&amp;S - Buildings'!$C$12*('R&amp;S - Buildings'!$B$15+('R&amp;S - Buildings'!$B$16-'R&amp;S - Buildings'!$B$15)*('Yearly LC Propylene'!U$3-'Yearly LC Propylene'!$N$3)/10)</f>
        <v>0</v>
      </c>
      <c r="V24" s="43">
        <f>V22*'R&amp;S - Buildings'!$B$8*'R&amp;S - Buildings'!$C$12*('R&amp;S - Buildings'!$B$15+('R&amp;S - Buildings'!$B$16-'R&amp;S - Buildings'!$B$15)*('Yearly LC Propylene'!V$3-'Yearly LC Propylene'!$N$3)/10)</f>
        <v>0</v>
      </c>
      <c r="W24" s="43">
        <f>W22*'R&amp;S - Buildings'!$B$8*'R&amp;S - Buildings'!$C$12*('R&amp;S - Buildings'!$B$15+('R&amp;S - Buildings'!$B$16-'R&amp;S - Buildings'!$B$15)*('Yearly LC Propylene'!W$3-'Yearly LC Propylene'!$N$3)/10)</f>
        <v>0</v>
      </c>
      <c r="X24" s="43">
        <f>X22*'R&amp;S - Buildings'!$B$8*'R&amp;S - Buildings'!$C$12*('R&amp;S - Buildings'!$B$15+('R&amp;S - Buildings'!$B$16-'R&amp;S - Buildings'!$B$15)*('Yearly LC Propylene'!X$3-'Yearly LC Propylene'!$N$3)/10)</f>
        <v>0</v>
      </c>
      <c r="Y24" s="43">
        <f>Y22*'R&amp;S - Buildings'!$B$8*'R&amp;S - Buildings'!$C$12*('R&amp;S - Buildings'!$B$16+('R&amp;S - Buildings'!$B$17-'R&amp;S - Buildings'!$B$16)*('Yearly LC Propylene'!Y$3-'Yearly LC Propylene'!$X$3)/10)</f>
        <v>0</v>
      </c>
      <c r="Z24" s="43">
        <f>Z22*'R&amp;S - Buildings'!$B$8*'R&amp;S - Buildings'!$C$12*('R&amp;S - Buildings'!$B$16+('R&amp;S - Buildings'!$B$17-'R&amp;S - Buildings'!$B$16)*('Yearly LC Propylene'!Z$3-'Yearly LC Propylene'!$X$3)/10)</f>
        <v>0</v>
      </c>
      <c r="AA24" s="43">
        <f>AA22*'R&amp;S - Buildings'!$B$8*'R&amp;S - Buildings'!$C$12*('R&amp;S - Buildings'!$B$16+('R&amp;S - Buildings'!$B$17-'R&amp;S - Buildings'!$B$16)*('Yearly LC Propylene'!AA$3-'Yearly LC Propylene'!$X$3)/10)</f>
        <v>0</v>
      </c>
      <c r="AB24" s="43">
        <f>AB22*'R&amp;S - Buildings'!$B$8*'R&amp;S - Buildings'!$C$12*('R&amp;S - Buildings'!$B$16+('R&amp;S - Buildings'!$B$17-'R&amp;S - Buildings'!$B$16)*('Yearly LC Propylene'!AB$3-'Yearly LC Propylene'!$X$3)/10)</f>
        <v>0</v>
      </c>
      <c r="AC24" s="43">
        <f>AC22*'R&amp;S - Buildings'!$B$8*'R&amp;S - Buildings'!$C$12*('R&amp;S - Buildings'!$B$16+('R&amp;S - Buildings'!$B$17-'R&amp;S - Buildings'!$B$16)*('Yearly LC Propylene'!AC$3-'Yearly LC Propylene'!$X$3)/10)</f>
        <v>0</v>
      </c>
      <c r="AD24" s="43">
        <f>AD22*'R&amp;S - Buildings'!$B$8*'R&amp;S - Buildings'!$C$12*('R&amp;S - Buildings'!$B$16+('R&amp;S - Buildings'!$B$17-'R&amp;S - Buildings'!$B$16)*('Yearly LC Propylene'!AD$3-'Yearly LC Propylene'!$X$3)/10)</f>
        <v>0</v>
      </c>
      <c r="AE24" s="43">
        <f>AE22*'R&amp;S - Buildings'!$B$8*'R&amp;S - Buildings'!$C$12*('R&amp;S - Buildings'!$B$16+('R&amp;S - Buildings'!$B$17-'R&amp;S - Buildings'!$B$16)*('Yearly LC Propylene'!AE$3-'Yearly LC Propylene'!$X$3)/10)</f>
        <v>0</v>
      </c>
      <c r="AF24" s="43">
        <f>AF22*'R&amp;S - Buildings'!$B$8*'R&amp;S - Buildings'!$C$12*('R&amp;S - Buildings'!$B$16+('R&amp;S - Buildings'!$B$17-'R&amp;S - Buildings'!$B$16)*('Yearly LC Propylene'!AF$3-'Yearly LC Propylene'!$X$3)/10)</f>
        <v>0</v>
      </c>
      <c r="AG24" s="43">
        <f>AG22*'R&amp;S - Buildings'!$B$8*'R&amp;S - Buildings'!$C$12*('R&amp;S - Buildings'!$B$16+('R&amp;S - Buildings'!$B$17-'R&amp;S - Buildings'!$B$16)*('Yearly LC Propylene'!AG$3-'Yearly LC Propylene'!$X$3)/10)</f>
        <v>0</v>
      </c>
      <c r="AH24" s="43">
        <f>AH22*'R&amp;S - Buildings'!$B$8*'R&amp;S - Buildings'!$C$12*('R&amp;S - Buildings'!$B$16+('R&amp;S - Buildings'!$B$17-'R&amp;S - Buildings'!$B$16)*('Yearly LC Propylene'!AH$3-'Yearly LC Propylene'!$X$3)/10)</f>
        <v>0</v>
      </c>
    </row>
    <row r="25" spans="1:34" s="68" customFormat="1" x14ac:dyDescent="0.2">
      <c r="A25" s="62"/>
      <c r="B25" s="62" t="s">
        <v>197</v>
      </c>
      <c r="C25" s="63" t="s">
        <v>153</v>
      </c>
      <c r="D25" s="64">
        <f>D22-D23-D24</f>
        <v>12.379169704702877</v>
      </c>
      <c r="E25" s="64">
        <f t="shared" ref="E25:AH25" si="7">E22-E23-E24</f>
        <v>12.498214980501727</v>
      </c>
      <c r="F25" s="64">
        <f t="shared" si="7"/>
        <v>12.617730215633078</v>
      </c>
      <c r="G25" s="64">
        <f t="shared" si="7"/>
        <v>12.737696984629531</v>
      </c>
      <c r="H25" s="64">
        <f t="shared" si="7"/>
        <v>12.858096099739548</v>
      </c>
      <c r="I25" s="64">
        <f t="shared" si="7"/>
        <v>12.978907590334744</v>
      </c>
      <c r="J25" s="64">
        <f t="shared" si="7"/>
        <v>13.100110681837354</v>
      </c>
      <c r="K25" s="64">
        <f t="shared" si="7"/>
        <v>13.221683774157446</v>
      </c>
      <c r="L25" s="64">
        <f t="shared" si="7"/>
        <v>13.343604419629369</v>
      </c>
      <c r="M25" s="64">
        <f t="shared" si="7"/>
        <v>13.465849300436606</v>
      </c>
      <c r="N25" s="64">
        <f t="shared" si="7"/>
        <v>13.588394205514017</v>
      </c>
      <c r="O25" s="64">
        <f t="shared" si="7"/>
        <v>13.711214006916233</v>
      </c>
      <c r="P25" s="64">
        <f t="shared" si="7"/>
        <v>13.834282635640731</v>
      </c>
      <c r="Q25" s="64">
        <f t="shared" si="7"/>
        <v>13.957573056893864</v>
      </c>
      <c r="R25" s="64">
        <f t="shared" si="7"/>
        <v>14.081057244787901</v>
      </c>
      <c r="S25" s="64">
        <f t="shared" si="7"/>
        <v>14.204706156456897</v>
      </c>
      <c r="T25" s="64">
        <f t="shared" si="7"/>
        <v>14.328489705578892</v>
      </c>
      <c r="U25" s="64">
        <f t="shared" si="7"/>
        <v>14.452376735291821</v>
      </c>
      <c r="V25" s="64">
        <f t="shared" si="7"/>
        <v>14.576334990490075</v>
      </c>
      <c r="W25" s="64">
        <f t="shared" si="7"/>
        <v>14.700331089488573</v>
      </c>
      <c r="X25" s="64">
        <f t="shared" si="7"/>
        <v>14.824330495040765</v>
      </c>
      <c r="Y25" s="64">
        <f t="shared" si="7"/>
        <v>14.944417283825368</v>
      </c>
      <c r="Z25" s="64">
        <f t="shared" si="7"/>
        <v>15.06430279191558</v>
      </c>
      <c r="AA25" s="64">
        <f t="shared" si="7"/>
        <v>15.183945470685835</v>
      </c>
      <c r="AB25" s="64">
        <f t="shared" si="7"/>
        <v>15.303302417027412</v>
      </c>
      <c r="AC25" s="64">
        <f t="shared" si="7"/>
        <v>15.422329339303579</v>
      </c>
      <c r="AD25" s="64">
        <f t="shared" si="7"/>
        <v>15.540980522538611</v>
      </c>
      <c r="AE25" s="64">
        <f t="shared" si="7"/>
        <v>15.659208792824577</v>
      </c>
      <c r="AF25" s="64">
        <f t="shared" si="7"/>
        <v>15.776965480929253</v>
      </c>
      <c r="AG25" s="64">
        <f t="shared" si="7"/>
        <v>15.894200385088363</v>
      </c>
      <c r="AH25" s="64">
        <f t="shared" si="7"/>
        <v>16.010861732964891</v>
      </c>
    </row>
    <row r="26" spans="1:34" x14ac:dyDescent="0.2">
      <c r="A26" s="1" t="s">
        <v>388</v>
      </c>
      <c r="B26" s="58" t="s">
        <v>199</v>
      </c>
      <c r="C26" s="59" t="s">
        <v>153</v>
      </c>
      <c r="D26" s="60">
        <v>0</v>
      </c>
      <c r="E26" s="60">
        <v>0</v>
      </c>
      <c r="F26" s="60">
        <v>0</v>
      </c>
      <c r="G26" s="60">
        <v>0</v>
      </c>
      <c r="H26" s="60">
        <v>0</v>
      </c>
      <c r="I26" s="60">
        <v>0</v>
      </c>
      <c r="J26" s="60">
        <v>0</v>
      </c>
      <c r="K26" s="60">
        <v>0</v>
      </c>
      <c r="L26" s="60">
        <v>0</v>
      </c>
      <c r="M26" s="60">
        <v>0</v>
      </c>
      <c r="N26" s="60">
        <v>0</v>
      </c>
      <c r="O26" s="60">
        <v>0</v>
      </c>
      <c r="P26" s="60">
        <v>0</v>
      </c>
      <c r="Q26" s="60">
        <v>0</v>
      </c>
      <c r="R26" s="60">
        <v>0</v>
      </c>
      <c r="S26" s="60">
        <v>0</v>
      </c>
      <c r="T26" s="60">
        <v>0</v>
      </c>
      <c r="U26" s="60">
        <v>0</v>
      </c>
      <c r="V26" s="60">
        <v>0</v>
      </c>
      <c r="W26" s="60">
        <v>0</v>
      </c>
      <c r="X26" s="60">
        <v>0</v>
      </c>
      <c r="Y26" s="60">
        <v>0</v>
      </c>
      <c r="Z26" s="60">
        <v>0</v>
      </c>
      <c r="AA26" s="60">
        <v>0</v>
      </c>
      <c r="AB26" s="60">
        <v>0</v>
      </c>
      <c r="AC26" s="60">
        <v>0</v>
      </c>
      <c r="AD26" s="60">
        <v>0</v>
      </c>
      <c r="AE26" s="60">
        <v>0</v>
      </c>
      <c r="AF26" s="60">
        <v>0</v>
      </c>
      <c r="AG26" s="60">
        <v>0</v>
      </c>
      <c r="AH26" s="60">
        <v>0</v>
      </c>
    </row>
    <row r="27" spans="1:34" outlineLevel="1" x14ac:dyDescent="0.2">
      <c r="B27" s="61" t="s">
        <v>206</v>
      </c>
      <c r="C27" s="54" t="s">
        <v>153</v>
      </c>
      <c r="D27">
        <v>0</v>
      </c>
      <c r="E27" s="43">
        <v>0</v>
      </c>
      <c r="F27" s="43">
        <v>0</v>
      </c>
      <c r="G27" s="43">
        <v>0</v>
      </c>
      <c r="H27" s="43">
        <v>0</v>
      </c>
      <c r="I27" s="43">
        <v>0</v>
      </c>
      <c r="J27" s="43">
        <v>0</v>
      </c>
      <c r="K27" s="43">
        <v>0</v>
      </c>
      <c r="L27" s="43">
        <v>0</v>
      </c>
      <c r="M27" s="43">
        <v>0</v>
      </c>
      <c r="N27" s="43">
        <v>0</v>
      </c>
      <c r="O27" s="43">
        <v>0</v>
      </c>
      <c r="P27" s="43">
        <v>0</v>
      </c>
      <c r="Q27" s="43">
        <v>0</v>
      </c>
      <c r="R27" s="43">
        <v>0</v>
      </c>
      <c r="S27" s="43">
        <v>0</v>
      </c>
      <c r="T27" s="43">
        <v>0</v>
      </c>
      <c r="U27" s="43">
        <v>0</v>
      </c>
      <c r="V27" s="43">
        <v>0</v>
      </c>
      <c r="W27" s="43">
        <v>0</v>
      </c>
      <c r="X27" s="43">
        <v>0</v>
      </c>
      <c r="Y27" s="43">
        <v>0</v>
      </c>
      <c r="Z27" s="43">
        <v>0</v>
      </c>
      <c r="AA27" s="43">
        <v>0</v>
      </c>
      <c r="AB27" s="43">
        <v>0</v>
      </c>
      <c r="AC27" s="43">
        <v>0</v>
      </c>
      <c r="AD27" s="43">
        <v>0</v>
      </c>
      <c r="AE27" s="43">
        <v>0</v>
      </c>
      <c r="AF27" s="43">
        <v>0</v>
      </c>
      <c r="AG27" s="43">
        <v>0</v>
      </c>
      <c r="AH27" s="43">
        <v>0</v>
      </c>
    </row>
    <row r="28" spans="1:34" outlineLevel="1" x14ac:dyDescent="0.2">
      <c r="B28" s="61" t="s">
        <v>207</v>
      </c>
      <c r="C28" s="54" t="s">
        <v>153</v>
      </c>
      <c r="D28">
        <v>0</v>
      </c>
      <c r="E28" s="43">
        <v>0</v>
      </c>
      <c r="F28" s="43">
        <v>0</v>
      </c>
      <c r="G28" s="43">
        <v>0</v>
      </c>
      <c r="H28" s="43">
        <v>0</v>
      </c>
      <c r="I28" s="43">
        <v>0</v>
      </c>
      <c r="J28" s="43">
        <v>0</v>
      </c>
      <c r="K28" s="43">
        <v>0</v>
      </c>
      <c r="L28" s="43">
        <v>0</v>
      </c>
      <c r="M28" s="43">
        <v>0</v>
      </c>
      <c r="N28" s="43">
        <v>0</v>
      </c>
      <c r="O28" s="43">
        <v>0</v>
      </c>
      <c r="P28" s="43">
        <v>0</v>
      </c>
      <c r="Q28" s="43">
        <v>0</v>
      </c>
      <c r="R28" s="43">
        <v>0</v>
      </c>
      <c r="S28" s="43">
        <v>0</v>
      </c>
      <c r="T28" s="43">
        <v>0</v>
      </c>
      <c r="U28" s="43">
        <v>0</v>
      </c>
      <c r="V28" s="43">
        <v>0</v>
      </c>
      <c r="W28" s="43">
        <v>0</v>
      </c>
      <c r="X28" s="43">
        <v>0</v>
      </c>
      <c r="Y28" s="43">
        <v>0</v>
      </c>
      <c r="Z28" s="43">
        <v>0</v>
      </c>
      <c r="AA28" s="43">
        <v>0</v>
      </c>
      <c r="AB28" s="43">
        <v>0</v>
      </c>
      <c r="AC28" s="43">
        <v>0</v>
      </c>
      <c r="AD28" s="43">
        <v>0</v>
      </c>
      <c r="AE28" s="43">
        <v>0</v>
      </c>
      <c r="AF28" s="43">
        <v>0</v>
      </c>
      <c r="AG28" s="43">
        <v>0</v>
      </c>
      <c r="AH28" s="43">
        <v>0</v>
      </c>
    </row>
    <row r="29" spans="1:34" outlineLevel="1" x14ac:dyDescent="0.2">
      <c r="B29" s="1" t="s">
        <v>168</v>
      </c>
      <c r="C29" s="54" t="s">
        <v>153</v>
      </c>
      <c r="D29" s="44">
        <v>0</v>
      </c>
      <c r="E29" s="44">
        <v>0</v>
      </c>
      <c r="F29" s="44">
        <v>0</v>
      </c>
      <c r="G29" s="44">
        <v>0</v>
      </c>
      <c r="H29" s="44">
        <v>0</v>
      </c>
      <c r="I29" s="44">
        <v>0</v>
      </c>
      <c r="J29" s="44">
        <v>0</v>
      </c>
      <c r="K29" s="44">
        <v>0</v>
      </c>
      <c r="L29" s="44">
        <v>0</v>
      </c>
      <c r="M29" s="44">
        <v>0</v>
      </c>
      <c r="N29" s="44">
        <v>0</v>
      </c>
      <c r="O29" s="44">
        <v>0</v>
      </c>
      <c r="P29" s="44">
        <v>0</v>
      </c>
      <c r="Q29" s="44">
        <v>0</v>
      </c>
      <c r="R29" s="44">
        <v>0</v>
      </c>
      <c r="S29" s="44">
        <v>0</v>
      </c>
      <c r="T29" s="44">
        <v>0</v>
      </c>
      <c r="U29" s="44">
        <v>0</v>
      </c>
      <c r="V29" s="44">
        <v>0</v>
      </c>
      <c r="W29" s="44">
        <v>0</v>
      </c>
      <c r="X29" s="44">
        <v>0</v>
      </c>
      <c r="Y29" s="44">
        <v>0</v>
      </c>
      <c r="Z29" s="44">
        <v>0</v>
      </c>
      <c r="AA29" s="44">
        <v>0</v>
      </c>
      <c r="AB29" s="44">
        <v>0</v>
      </c>
      <c r="AC29" s="44">
        <v>0</v>
      </c>
      <c r="AD29" s="44">
        <v>0</v>
      </c>
      <c r="AE29" s="44">
        <v>0</v>
      </c>
      <c r="AF29" s="44">
        <v>0</v>
      </c>
      <c r="AG29" s="44">
        <v>0</v>
      </c>
      <c r="AH29" s="44">
        <v>0</v>
      </c>
    </row>
    <row r="30" spans="1:34" outlineLevel="1" x14ac:dyDescent="0.2">
      <c r="B30" s="1" t="s">
        <v>172</v>
      </c>
      <c r="C30" s="54" t="s">
        <v>153</v>
      </c>
      <c r="D30">
        <v>0</v>
      </c>
      <c r="E30" s="43">
        <v>0</v>
      </c>
      <c r="F30" s="43">
        <v>0</v>
      </c>
      <c r="G30" s="43">
        <v>0</v>
      </c>
      <c r="H30" s="43">
        <v>0</v>
      </c>
      <c r="I30" s="43">
        <v>0</v>
      </c>
      <c r="J30" s="43">
        <v>0</v>
      </c>
      <c r="K30" s="43">
        <v>0</v>
      </c>
      <c r="L30" s="43">
        <v>0</v>
      </c>
      <c r="M30" s="43">
        <v>0</v>
      </c>
      <c r="N30" s="43">
        <v>0</v>
      </c>
      <c r="O30" s="43">
        <v>0</v>
      </c>
      <c r="P30" s="43">
        <v>0</v>
      </c>
      <c r="Q30" s="43">
        <v>0</v>
      </c>
      <c r="R30" s="43">
        <v>0</v>
      </c>
      <c r="S30" s="43">
        <v>0</v>
      </c>
      <c r="T30" s="43">
        <v>0</v>
      </c>
      <c r="U30" s="43">
        <v>0</v>
      </c>
      <c r="V30" s="43">
        <v>0</v>
      </c>
      <c r="W30" s="43">
        <v>0</v>
      </c>
      <c r="X30" s="43">
        <v>0</v>
      </c>
      <c r="Y30" s="43">
        <v>0</v>
      </c>
      <c r="Z30" s="43">
        <v>0</v>
      </c>
      <c r="AA30" s="43">
        <v>0</v>
      </c>
      <c r="AB30" s="43">
        <v>0</v>
      </c>
      <c r="AC30" s="43">
        <v>0</v>
      </c>
      <c r="AD30" s="43">
        <v>0</v>
      </c>
      <c r="AE30" s="43">
        <v>0</v>
      </c>
      <c r="AF30" s="43">
        <v>0</v>
      </c>
      <c r="AG30" s="43">
        <v>0</v>
      </c>
      <c r="AH30" s="43">
        <v>0</v>
      </c>
    </row>
    <row r="31" spans="1:34" x14ac:dyDescent="0.2">
      <c r="B31" s="1" t="s">
        <v>197</v>
      </c>
      <c r="C31" s="65" t="s">
        <v>153</v>
      </c>
      <c r="D31" s="66">
        <f>D26-D29-D30</f>
        <v>0</v>
      </c>
      <c r="E31" s="66">
        <f t="shared" ref="E31:AH31" si="8">E26-E29-E30</f>
        <v>0</v>
      </c>
      <c r="F31" s="66">
        <f t="shared" si="8"/>
        <v>0</v>
      </c>
      <c r="G31" s="66">
        <f t="shared" si="8"/>
        <v>0</v>
      </c>
      <c r="H31" s="66">
        <f t="shared" si="8"/>
        <v>0</v>
      </c>
      <c r="I31" s="66">
        <f t="shared" si="8"/>
        <v>0</v>
      </c>
      <c r="J31" s="66">
        <f t="shared" si="8"/>
        <v>0</v>
      </c>
      <c r="K31" s="66">
        <f t="shared" si="8"/>
        <v>0</v>
      </c>
      <c r="L31" s="66">
        <f t="shared" si="8"/>
        <v>0</v>
      </c>
      <c r="M31" s="66">
        <f t="shared" si="8"/>
        <v>0</v>
      </c>
      <c r="N31" s="66">
        <f t="shared" si="8"/>
        <v>0</v>
      </c>
      <c r="O31" s="66">
        <f t="shared" si="8"/>
        <v>0</v>
      </c>
      <c r="P31" s="66">
        <f t="shared" si="8"/>
        <v>0</v>
      </c>
      <c r="Q31" s="66">
        <f t="shared" si="8"/>
        <v>0</v>
      </c>
      <c r="R31" s="66">
        <f t="shared" si="8"/>
        <v>0</v>
      </c>
      <c r="S31" s="66">
        <f t="shared" si="8"/>
        <v>0</v>
      </c>
      <c r="T31" s="66">
        <f t="shared" si="8"/>
        <v>0</v>
      </c>
      <c r="U31" s="66">
        <f t="shared" si="8"/>
        <v>0</v>
      </c>
      <c r="V31" s="66">
        <f t="shared" si="8"/>
        <v>0</v>
      </c>
      <c r="W31" s="66">
        <f t="shared" si="8"/>
        <v>0</v>
      </c>
      <c r="X31" s="66">
        <f t="shared" si="8"/>
        <v>0</v>
      </c>
      <c r="Y31" s="66">
        <f t="shared" si="8"/>
        <v>0</v>
      </c>
      <c r="Z31" s="66">
        <f t="shared" si="8"/>
        <v>0</v>
      </c>
      <c r="AA31" s="66">
        <f t="shared" si="8"/>
        <v>0</v>
      </c>
      <c r="AB31" s="66">
        <f t="shared" si="8"/>
        <v>0</v>
      </c>
      <c r="AC31" s="66">
        <f t="shared" si="8"/>
        <v>0</v>
      </c>
      <c r="AD31" s="66">
        <f t="shared" si="8"/>
        <v>0</v>
      </c>
      <c r="AE31" s="66">
        <f t="shared" si="8"/>
        <v>0</v>
      </c>
      <c r="AF31" s="66">
        <f t="shared" si="8"/>
        <v>0</v>
      </c>
      <c r="AG31" s="66">
        <f t="shared" si="8"/>
        <v>0</v>
      </c>
      <c r="AH31" s="66">
        <f t="shared" si="8"/>
        <v>0</v>
      </c>
    </row>
    <row r="32" spans="1:34" s="67" customFormat="1" x14ac:dyDescent="0.2">
      <c r="A32" s="58" t="s">
        <v>208</v>
      </c>
      <c r="B32" s="58" t="s">
        <v>199</v>
      </c>
      <c r="C32" s="59" t="s">
        <v>153</v>
      </c>
      <c r="D32" s="60">
        <f>D4-D6-D14-D22-D26</f>
        <v>35.064810426540291</v>
      </c>
      <c r="E32" s="60">
        <f t="shared" ref="E32:AH32" si="9">E4-E6-E14-E22-E26</f>
        <v>36.116775689152504</v>
      </c>
      <c r="F32" s="60">
        <f t="shared" si="9"/>
        <v>37.194840842672889</v>
      </c>
      <c r="G32" s="60">
        <f t="shared" si="9"/>
        <v>38.299600968841681</v>
      </c>
      <c r="H32" s="60">
        <f t="shared" si="9"/>
        <v>39.431664105577326</v>
      </c>
      <c r="I32" s="60">
        <f t="shared" si="9"/>
        <v>40.591651521265369</v>
      </c>
      <c r="J32" s="60">
        <f t="shared" si="9"/>
        <v>41.559479269006808</v>
      </c>
      <c r="K32" s="60">
        <f t="shared" si="9"/>
        <v>42.548161106867823</v>
      </c>
      <c r="L32" s="60">
        <f t="shared" si="9"/>
        <v>43.558122404188012</v>
      </c>
      <c r="M32" s="60">
        <f t="shared" si="9"/>
        <v>44.589796919996559</v>
      </c>
      <c r="N32" s="60">
        <f>N4-N6-N14-N22-N26</f>
        <v>45.643626964856836</v>
      </c>
      <c r="O32" s="60">
        <f t="shared" si="9"/>
        <v>45.513538753044301</v>
      </c>
      <c r="P32" s="60">
        <f t="shared" si="9"/>
        <v>45.373793604755676</v>
      </c>
      <c r="Q32" s="60">
        <f t="shared" si="9"/>
        <v>45.224170750896405</v>
      </c>
      <c r="R32" s="60">
        <f t="shared" si="9"/>
        <v>45.064445309997041</v>
      </c>
      <c r="S32" s="60">
        <f t="shared" si="9"/>
        <v>44.894388217210761</v>
      </c>
      <c r="T32" s="60">
        <f t="shared" si="9"/>
        <v>44.657909758188808</v>
      </c>
      <c r="U32" s="60">
        <f t="shared" si="9"/>
        <v>44.409635027587569</v>
      </c>
      <c r="V32" s="60">
        <f t="shared" si="9"/>
        <v>44.149308712963851</v>
      </c>
      <c r="W32" s="60">
        <f t="shared" si="9"/>
        <v>43.876670865120836</v>
      </c>
      <c r="X32" s="60">
        <f t="shared" si="9"/>
        <v>43.591456819224469</v>
      </c>
      <c r="Y32" s="60">
        <f t="shared" si="9"/>
        <v>43.239931957107011</v>
      </c>
      <c r="Z32" s="60">
        <f t="shared" si="9"/>
        <v>42.874376509212937</v>
      </c>
      <c r="AA32" s="60">
        <f t="shared" si="9"/>
        <v>42.494499544079559</v>
      </c>
      <c r="AB32" s="60">
        <f t="shared" si="9"/>
        <v>42.100004953666058</v>
      </c>
      <c r="AC32" s="60">
        <f t="shared" si="9"/>
        <v>41.690591366313512</v>
      </c>
      <c r="AD32" s="60">
        <f t="shared" si="9"/>
        <v>41.214681649789782</v>
      </c>
      <c r="AE32" s="60">
        <f t="shared" si="9"/>
        <v>40.722396518730974</v>
      </c>
      <c r="AF32" s="60">
        <f t="shared" si="9"/>
        <v>40.213408011445836</v>
      </c>
      <c r="AG32" s="60">
        <f t="shared" si="9"/>
        <v>39.68738242812433</v>
      </c>
      <c r="AH32" s="60">
        <f t="shared" si="9"/>
        <v>39.143980235262035</v>
      </c>
    </row>
    <row r="33" spans="1:34" outlineLevel="1" x14ac:dyDescent="0.2">
      <c r="B33" s="1" t="s">
        <v>168</v>
      </c>
      <c r="C33" s="54" t="s">
        <v>153</v>
      </c>
      <c r="D33">
        <v>0</v>
      </c>
      <c r="E33" s="43">
        <f>E32*'R&amp;S - Others'!$B$7*'R&amp;S - Others'!$B$12*'R&amp;S - Others'!$B$15*('Yearly HC Propylene'!E$3-'Yearly HC Propylene'!$D$3)/10</f>
        <v>8.9389019830652464E-2</v>
      </c>
      <c r="F33" s="43">
        <f>F32*'R&amp;S - Others'!$B$7*'R&amp;S - Others'!$B$12*'R&amp;S - Others'!$B$15*('Yearly HC Propylene'!F$3-'Yearly HC Propylene'!$D$3)/10</f>
        <v>0.18411446217123081</v>
      </c>
      <c r="G33" s="43">
        <f>G32*'R&amp;S - Others'!$B$7*'R&amp;S - Others'!$B$12*'R&amp;S - Others'!$B$15*('Yearly HC Propylene'!G$3-'Yearly HC Propylene'!$D$3)/10</f>
        <v>0.28437453719364947</v>
      </c>
      <c r="H33" s="43">
        <f>H32*'R&amp;S - Others'!$B$7*'R&amp;S - Others'!$B$12*'R&amp;S - Others'!$B$15*('Yearly HC Propylene'!H$3-'Yearly HC Propylene'!$D$3)/10</f>
        <v>0.39037347464521555</v>
      </c>
      <c r="I33" s="43">
        <f>I32*'R&amp;S - Others'!$B$7*'R&amp;S - Others'!$B$12*'R&amp;S - Others'!$B$15*('Yearly HC Propylene'!I$3-'Yearly HC Propylene'!$D$3)/10</f>
        <v>0.50232168757565898</v>
      </c>
      <c r="J33" s="43">
        <f>J32*'R&amp;S - Others'!$B$7*'R&amp;S - Others'!$B$12*'R&amp;S - Others'!$B$15*('Yearly HC Propylene'!J$3-'Yearly HC Propylene'!$D$3)/10</f>
        <v>0.61715826714475108</v>
      </c>
      <c r="K33" s="43">
        <f>K32*'R&amp;S - Others'!$B$7*'R&amp;S - Others'!$B$12*'R&amp;S - Others'!$B$15*('Yearly HC Propylene'!K$3-'Yearly HC Propylene'!$D$3)/10</f>
        <v>0.73714689117648513</v>
      </c>
      <c r="L33" s="43">
        <f>L32*'R&amp;S - Others'!$B$7*'R&amp;S - Others'!$B$12*'R&amp;S - Others'!$B$15*('Yearly HC Propylene'!L$3-'Yearly HC Propylene'!$D$3)/10</f>
        <v>0.86245082360292269</v>
      </c>
      <c r="M33" s="43">
        <f>M32*'R&amp;S - Others'!$B$7*'R&amp;S - Others'!$B$12*'R&amp;S - Others'!$B$15*('Yearly HC Propylene'!M$3-'Yearly HC Propylene'!$D$3)/10</f>
        <v>0.99323772639292329</v>
      </c>
      <c r="N33" s="43">
        <f>N32*'R&amp;S - Others'!$B$7*'R&amp;S - Others'!$B$12*'R&amp;S - Others'!$B$15*('Yearly HC Propylene'!N$3-'Yearly HC Propylene'!$D$3)/10</f>
        <v>1.1296797673802068</v>
      </c>
      <c r="O33" s="43">
        <f>O32*'R&amp;S - Others'!$B$7*'R&amp;S - Others'!$B$12*('R&amp;S - Others'!$B$15+('R&amp;S - Others'!$B$16-'R&amp;S - Others'!$B$15)*('Yearly HC Propylene'!O$3-'Yearly HC Propylene'!$N$3)/10)</f>
        <v>1.2391060925516311</v>
      </c>
      <c r="P33" s="43">
        <f>P32*'R&amp;S - Others'!$B$7*'R&amp;S - Others'!$B$12*('R&amp;S - Others'!$B$15+('R&amp;S - Others'!$B$16-'R&amp;S - Others'!$B$15)*('Yearly HC Propylene'!P$3-'Yearly HC Propylene'!$N$3)/10)</f>
        <v>1.3476016700612434</v>
      </c>
      <c r="Q33" s="43">
        <f>Q32*'R&amp;S - Others'!$B$7*'R&amp;S - Others'!$B$12*('R&amp;S - Others'!$B$15+('R&amp;S - Others'!$B$16-'R&amp;S - Others'!$B$15)*('Yearly HC Propylene'!Q$3-'Yearly HC Propylene'!$N$3)/10)</f>
        <v>1.4550876939100919</v>
      </c>
      <c r="R33" s="43">
        <f>R32*'R&amp;S - Others'!$B$7*'R&amp;S - Others'!$B$12*('R&amp;S - Others'!$B$15+('R&amp;S - Others'!$B$16-'R&amp;S - Others'!$B$15)*('Yearly HC Propylene'!R$3-'Yearly HC Propylene'!$N$3)/10)</f>
        <v>1.5614830299913975</v>
      </c>
      <c r="S33" s="43">
        <f>S32*'R&amp;S - Others'!$B$7*'R&amp;S - Others'!$B$12*('R&amp;S - Others'!$B$15+('R&amp;S - Others'!$B$16-'R&amp;S - Others'!$B$15)*('Yearly HC Propylene'!S$3-'Yearly HC Propylene'!$N$3)/10)</f>
        <v>1.6667041625639496</v>
      </c>
      <c r="T33" s="43">
        <f>T32*'R&amp;S - Others'!$B$7*'R&amp;S - Others'!$B$12*('R&amp;S - Others'!$B$15+('R&amp;S - Others'!$B$16-'R&amp;S - Others'!$B$15)*('Yearly HC Propylene'!T$3-'Yearly HC Propylene'!$N$3)/10)</f>
        <v>1.7684532264242769</v>
      </c>
      <c r="U33" s="43">
        <f>U32*'R&amp;S - Others'!$B$7*'R&amp;S - Others'!$B$12*('R&amp;S - Others'!$B$15+('R&amp;S - Others'!$B$16-'R&amp;S - Others'!$B$15)*('Yearly HC Propylene'!U$3-'Yearly HC Propylene'!$N$3)/10)</f>
        <v>1.868535393785747</v>
      </c>
      <c r="V33" s="43">
        <f>V32*'R&amp;S - Others'!$B$7*'R&amp;S - Others'!$B$12*('R&amp;S - Others'!$B$15+('R&amp;S - Others'!$B$16-'R&amp;S - Others'!$B$15)*('Yearly HC Propylene'!V$3-'Yearly HC Propylene'!$N$3)/10)</f>
        <v>1.9668517031625399</v>
      </c>
      <c r="W33" s="43">
        <f>W32*'R&amp;S - Others'!$B$7*'R&amp;S - Others'!$B$12*('R&amp;S - Others'!$B$15+('R&amp;S - Others'!$B$16-'R&amp;S - Others'!$B$15)*('Yearly HC Propylene'!W$3-'Yearly HC Propylene'!$N$3)/10)</f>
        <v>2.0633004474323071</v>
      </c>
      <c r="X33" s="43">
        <f>X32*'R&amp;S - Others'!$B$7*'R&amp;S - Others'!$B$12*('R&amp;S - Others'!$B$15+('R&amp;S - Others'!$B$16-'R&amp;S - Others'!$B$15)*('Yearly HC Propylene'!X$3-'Yearly HC Propylene'!$N$3)/10)</f>
        <v>2.157777112551611</v>
      </c>
      <c r="Y33" s="43">
        <f>Y32*'R&amp;S - Others'!$B$7*'R&amp;S - Others'!$B$12*('R&amp;S - Others'!$B$16+('R&amp;S - Others'!$B$17-'R&amp;S - Others'!$B$16)*('Yearly HC Propylene'!Y$3-'Yearly HC Propylene'!$X$3)/10)</f>
        <v>2.2506384583674199</v>
      </c>
      <c r="Z33" s="43">
        <f>Z32*'R&amp;S - Others'!$B$7*'R&amp;S - Others'!$B$12*('R&amp;S - Others'!$B$16+('R&amp;S - Others'!$B$17-'R&amp;S - Others'!$B$16)*('Yearly HC Propylene'!Z$3-'Yearly HC Propylene'!$X$3)/10)</f>
        <v>2.3409409574030264</v>
      </c>
      <c r="AA33" s="43">
        <f>AA32*'R&amp;S - Others'!$B$7*'R&amp;S - Others'!$B$12*('R&amp;S - Others'!$B$16+('R&amp;S - Others'!$B$17-'R&amp;S - Others'!$B$16)*('Yearly HC Propylene'!AA$3-'Yearly HC Propylene'!$X$3)/10)</f>
        <v>2.4285606489441465</v>
      </c>
      <c r="AB33" s="43">
        <f>AB32*'R&amp;S - Others'!$B$7*'R&amp;S - Others'!$B$12*('R&amp;S - Others'!$B$16+('R&amp;S - Others'!$B$17-'R&amp;S - Others'!$B$16)*('Yearly HC Propylene'!AB$3-'Yearly HC Propylene'!$X$3)/10)</f>
        <v>2.5133702957338637</v>
      </c>
      <c r="AC33" s="43">
        <f>AC32*'R&amp;S - Others'!$B$7*'R&amp;S - Others'!$B$12*('R&amp;S - Others'!$B$16+('R&amp;S - Others'!$B$17-'R&amp;S - Others'!$B$16)*('Yearly HC Propylene'!AC$3-'Yearly HC Propylene'!$X$3)/10)</f>
        <v>2.5952393125530162</v>
      </c>
      <c r="AD33" s="43">
        <f>AD32*'R&amp;S - Others'!$B$7*'R&amp;S - Others'!$B$12*('R&amp;S - Others'!$B$16+('R&amp;S - Others'!$B$17-'R&amp;S - Others'!$B$16)*('Yearly HC Propylene'!AD$3-'Yearly HC Propylene'!$X$3)/10)</f>
        <v>2.6707113709063783</v>
      </c>
      <c r="AE33" s="43">
        <f>AE32*'R&amp;S - Others'!$B$7*'R&amp;S - Others'!$B$12*('R&amp;S - Others'!$B$16+('R&amp;S - Others'!$B$17-'R&amp;S - Others'!$B$16)*('Yearly HC Propylene'!AE$3-'Yearly HC Propylene'!$X$3)/10)</f>
        <v>2.7426534055365313</v>
      </c>
      <c r="AF33" s="43">
        <f>AF32*'R&amp;S - Others'!$B$7*'R&amp;S - Others'!$B$12*('R&amp;S - Others'!$B$16+('R&amp;S - Others'!$B$17-'R&amp;S - Others'!$B$16)*('Yearly HC Propylene'!AF$3-'Yearly HC Propylene'!$X$3)/10)</f>
        <v>2.8109172200000634</v>
      </c>
      <c r="AG33" s="43">
        <f>AG32*'R&amp;S - Others'!$B$7*'R&amp;S - Others'!$B$12*('R&amp;S - Others'!$B$16+('R&amp;S - Others'!$B$17-'R&amp;S - Others'!$B$16)*('Yearly HC Propylene'!AG$3-'Yearly HC Propylene'!$X$3)/10)</f>
        <v>2.8753508569176076</v>
      </c>
      <c r="AH33" s="43">
        <f>AH32*'R&amp;S - Others'!$B$7*'R&amp;S - Others'!$B$12*('R&amp;S - Others'!$B$16+('R&amp;S - Others'!$B$17-'R&amp;S - Others'!$B$16)*('Yearly HC Propylene'!AH$3-'Yearly HC Propylene'!$X$3)/10)</f>
        <v>2.9357985176446526</v>
      </c>
    </row>
    <row r="34" spans="1:34" outlineLevel="1" x14ac:dyDescent="0.2">
      <c r="B34" s="1" t="s">
        <v>172</v>
      </c>
      <c r="C34" s="54" t="s">
        <v>153</v>
      </c>
      <c r="D34">
        <v>0</v>
      </c>
      <c r="E34" s="43">
        <f>E32*'R&amp;S - Others'!$B$8*'R&amp;S - Others'!$B$12*'R&amp;S - Others'!$C$15*('Yearly HC Propylene'!E$3-'Yearly HC Propylene'!$D$3)/10</f>
        <v>2.9796339943550819E-2</v>
      </c>
      <c r="F34" s="43">
        <f>F32*'R&amp;S - Others'!$B$8*'R&amp;S - Others'!$B$12*'R&amp;S - Others'!$C$15*('Yearly HC Propylene'!F$3-'Yearly HC Propylene'!$D$3)/10</f>
        <v>6.1371487390410276E-2</v>
      </c>
      <c r="G34" s="43">
        <f>G32*'R&amp;S - Others'!$B$8*'R&amp;S - Others'!$B$12*'R&amp;S - Others'!$C$15*('Yearly HC Propylene'!G$3-'Yearly HC Propylene'!$D$3)/10</f>
        <v>9.4791512397883165E-2</v>
      </c>
      <c r="H34" s="43">
        <f>H32*'R&amp;S - Others'!$B$8*'R&amp;S - Others'!$B$12*'R&amp;S - Others'!$C$15*('Yearly HC Propylene'!H$3-'Yearly HC Propylene'!$D$3)/10</f>
        <v>0.13012449154840519</v>
      </c>
      <c r="I34" s="43">
        <f>I32*'R&amp;S - Others'!$B$8*'R&amp;S - Others'!$B$12*'R&amp;S - Others'!$C$15*('Yearly HC Propylene'!I$3-'Yearly HC Propylene'!$D$3)/10</f>
        <v>0.16744056252521966</v>
      </c>
      <c r="J34" s="43">
        <f>J32*'R&amp;S - Others'!$B$8*'R&amp;S - Others'!$B$12*'R&amp;S - Others'!$C$15*('Yearly HC Propylene'!J$3-'Yearly HC Propylene'!$D$3)/10</f>
        <v>0.20571942238158375</v>
      </c>
      <c r="K34" s="43">
        <f>K32*'R&amp;S - Others'!$B$8*'R&amp;S - Others'!$B$12*'R&amp;S - Others'!$C$15*('Yearly HC Propylene'!K$3-'Yearly HC Propylene'!$D$3)/10</f>
        <v>0.24571563039216165</v>
      </c>
      <c r="L34" s="43">
        <f>L32*'R&amp;S - Others'!$B$8*'R&amp;S - Others'!$B$12*'R&amp;S - Others'!$C$15*('Yearly HC Propylene'!L$3-'Yearly HC Propylene'!$D$3)/10</f>
        <v>0.28748360786764093</v>
      </c>
      <c r="M34" s="43">
        <f>M32*'R&amp;S - Others'!$B$8*'R&amp;S - Others'!$B$12*'R&amp;S - Others'!$C$15*('Yearly HC Propylene'!M$3-'Yearly HC Propylene'!$D$3)/10</f>
        <v>0.33107924213097445</v>
      </c>
      <c r="N34" s="43">
        <f>N32*'R&amp;S - Others'!$B$8*'R&amp;S - Others'!$B$12*'R&amp;S - Others'!$C$15*('Yearly HC Propylene'!N$3-'Yearly HC Propylene'!$D$3)/10</f>
        <v>0.37655992246006892</v>
      </c>
      <c r="O34" s="43">
        <f>O32*'R&amp;S - Others'!$B$8*'R&amp;S - Others'!$B$12*('R&amp;S - Others'!$C$15+('R&amp;S - Others'!$C$16-'R&amp;S - Others'!$C$15)*('Yearly HC Propylene'!O$3-'Yearly HC Propylene'!$N$3)/10)</f>
        <v>0.41303536418387704</v>
      </c>
      <c r="P34" s="43">
        <f>P32*'R&amp;S - Others'!$B$8*'R&amp;S - Others'!$B$12*('R&amp;S - Others'!$C$15+('R&amp;S - Others'!$C$16-'R&amp;S - Others'!$C$15)*('Yearly HC Propylene'!P$3-'Yearly HC Propylene'!$N$3)/10)</f>
        <v>0.44920055668708125</v>
      </c>
      <c r="Q34" s="43">
        <f>Q32*'R&amp;S - Others'!$B$8*'R&amp;S - Others'!$B$12*('R&amp;S - Others'!$C$15+('R&amp;S - Others'!$C$16-'R&amp;S - Others'!$C$15)*('Yearly HC Propylene'!Q$3-'Yearly HC Propylene'!$N$3)/10)</f>
        <v>0.48502923130336406</v>
      </c>
      <c r="R34" s="43">
        <f>R32*'R&amp;S - Others'!$B$8*'R&amp;S - Others'!$B$12*('R&amp;S - Others'!$C$15+('R&amp;S - Others'!$C$16-'R&amp;S - Others'!$C$15)*('Yearly HC Propylene'!R$3-'Yearly HC Propylene'!$N$3)/10)</f>
        <v>0.52049434333046585</v>
      </c>
      <c r="S34" s="43">
        <f>S32*'R&amp;S - Others'!$B$8*'R&amp;S - Others'!$B$12*('R&amp;S - Others'!$C$15+('R&amp;S - Others'!$C$16-'R&amp;S - Others'!$C$15)*('Yearly HC Propylene'!S$3-'Yearly HC Propylene'!$N$3)/10)</f>
        <v>0.55556805418798316</v>
      </c>
      <c r="T34" s="43">
        <f>T32*'R&amp;S - Others'!$B$8*'R&amp;S - Others'!$B$12*('R&amp;S - Others'!$C$15+('R&amp;S - Others'!$C$16-'R&amp;S - Others'!$C$15)*('Yearly HC Propylene'!T$3-'Yearly HC Propylene'!$N$3)/10)</f>
        <v>0.58948440880809228</v>
      </c>
      <c r="U34" s="43">
        <f>U32*'R&amp;S - Others'!$B$8*'R&amp;S - Others'!$B$12*('R&amp;S - Others'!$C$15+('R&amp;S - Others'!$C$16-'R&amp;S - Others'!$C$15)*('Yearly HC Propylene'!U$3-'Yearly HC Propylene'!$N$3)/10)</f>
        <v>0.62284513126191576</v>
      </c>
      <c r="V34" s="43">
        <f>V32*'R&amp;S - Others'!$B$8*'R&amp;S - Others'!$B$12*('R&amp;S - Others'!$C$15+('R&amp;S - Others'!$C$16-'R&amp;S - Others'!$C$15)*('Yearly HC Propylene'!V$3-'Yearly HC Propylene'!$N$3)/10)</f>
        <v>0.65561723438751329</v>
      </c>
      <c r="W34" s="43">
        <f>W32*'R&amp;S - Others'!$B$8*'R&amp;S - Others'!$B$12*('R&amp;S - Others'!$C$15+('R&amp;S - Others'!$C$16-'R&amp;S - Others'!$C$15)*('Yearly HC Propylene'!W$3-'Yearly HC Propylene'!$N$3)/10)</f>
        <v>0.68776681581076915</v>
      </c>
      <c r="X34" s="43">
        <f>X32*'R&amp;S - Others'!$B$8*'R&amp;S - Others'!$B$12*('R&amp;S - Others'!$C$15+('R&amp;S - Others'!$C$16-'R&amp;S - Others'!$C$15)*('Yearly HC Propylene'!X$3-'Yearly HC Propylene'!$N$3)/10)</f>
        <v>0.71925903751720388</v>
      </c>
      <c r="Y34" s="43">
        <f>Y32*'R&amp;S - Others'!$B$8*'R&amp;S - Others'!$B$12*('R&amp;S - Others'!$C$16+('R&amp;S - Others'!$C$17-'R&amp;S - Others'!$C$16)*('Yearly HC Propylene'!Y$3-'Yearly HC Propylene'!$X$3)/10)</f>
        <v>0.75021281945580676</v>
      </c>
      <c r="Z34" s="43">
        <f>Z32*'R&amp;S - Others'!$B$8*'R&amp;S - Others'!$B$12*('R&amp;S - Others'!$C$16+('R&amp;S - Others'!$C$17-'R&amp;S - Others'!$C$16)*('Yearly HC Propylene'!Z$3-'Yearly HC Propylene'!$X$3)/10)</f>
        <v>0.78031365246767537</v>
      </c>
      <c r="AA34" s="43">
        <f>AA32*'R&amp;S - Others'!$B$8*'R&amp;S - Others'!$B$12*('R&amp;S - Others'!$C$16+('R&amp;S - Others'!$C$17-'R&amp;S - Others'!$C$16)*('Yearly HC Propylene'!AA$3-'Yearly HC Propylene'!$X$3)/10)</f>
        <v>0.80952021631471571</v>
      </c>
      <c r="AB34" s="43">
        <f>AB32*'R&amp;S - Others'!$B$8*'R&amp;S - Others'!$B$12*('R&amp;S - Others'!$C$16+('R&amp;S - Others'!$C$17-'R&amp;S - Others'!$C$16)*('Yearly HC Propylene'!AB$3-'Yearly HC Propylene'!$X$3)/10)</f>
        <v>0.83779009857795472</v>
      </c>
      <c r="AC34" s="43">
        <f>AC32*'R&amp;S - Others'!$B$8*'R&amp;S - Others'!$B$12*('R&amp;S - Others'!$C$16+('R&amp;S - Others'!$C$17-'R&amp;S - Others'!$C$16)*('Yearly HC Propylene'!AC$3-'Yearly HC Propylene'!$X$3)/10)</f>
        <v>0.86507977085100551</v>
      </c>
      <c r="AD34" s="43">
        <f>AD32*'R&amp;S - Others'!$B$8*'R&amp;S - Others'!$B$12*('R&amp;S - Others'!$C$16+('R&amp;S - Others'!$C$17-'R&amp;S - Others'!$C$16)*('Yearly HC Propylene'!AD$3-'Yearly HC Propylene'!$X$3)/10)</f>
        <v>0.89023712363545937</v>
      </c>
      <c r="AE34" s="43">
        <f>AE32*'R&amp;S - Others'!$B$8*'R&amp;S - Others'!$B$12*('R&amp;S - Others'!$C$16+('R&amp;S - Others'!$C$17-'R&amp;S - Others'!$C$16)*('Yearly HC Propylene'!AE$3-'Yearly HC Propylene'!$X$3)/10)</f>
        <v>0.91421780184551038</v>
      </c>
      <c r="AF34" s="43">
        <f>AF32*'R&amp;S - Others'!$B$8*'R&amp;S - Others'!$B$12*('R&amp;S - Others'!$C$16+('R&amp;S - Others'!$C$17-'R&amp;S - Others'!$C$16)*('Yearly HC Propylene'!AF$3-'Yearly HC Propylene'!$X$3)/10)</f>
        <v>0.93697240666668802</v>
      </c>
      <c r="AG34" s="43">
        <f>AG32*'R&amp;S - Others'!$B$8*'R&amp;S - Others'!$B$12*('R&amp;S - Others'!$C$16+('R&amp;S - Others'!$C$17-'R&amp;S - Others'!$C$16)*('Yearly HC Propylene'!AG$3-'Yearly HC Propylene'!$X$3)/10)</f>
        <v>0.95845028563920265</v>
      </c>
      <c r="AH34" s="43">
        <f>AH32*'R&amp;S - Others'!$B$8*'R&amp;S - Others'!$B$12*('R&amp;S - Others'!$C$16+('R&amp;S - Others'!$C$17-'R&amp;S - Others'!$C$16)*('Yearly HC Propylene'!AH$3-'Yearly HC Propylene'!$X$3)/10)</f>
        <v>0.97859950588155087</v>
      </c>
    </row>
    <row r="35" spans="1:34" s="181" customFormat="1" x14ac:dyDescent="0.2">
      <c r="A35" s="178"/>
      <c r="B35" s="178" t="s">
        <v>197</v>
      </c>
      <c r="C35" s="179" t="s">
        <v>153</v>
      </c>
      <c r="D35" s="180">
        <f>D32-D33-D34</f>
        <v>35.064810426540291</v>
      </c>
      <c r="E35" s="180">
        <f t="shared" ref="E35:AH35" si="10">E32-E33-E34</f>
        <v>35.997590329378298</v>
      </c>
      <c r="F35" s="180">
        <f t="shared" si="10"/>
        <v>36.949354893111249</v>
      </c>
      <c r="G35" s="180">
        <f t="shared" si="10"/>
        <v>37.920434919250148</v>
      </c>
      <c r="H35" s="180">
        <f t="shared" si="10"/>
        <v>38.911166139383703</v>
      </c>
      <c r="I35" s="180">
        <f t="shared" si="10"/>
        <v>39.921889271164488</v>
      </c>
      <c r="J35" s="180">
        <f t="shared" si="10"/>
        <v>40.736601579480471</v>
      </c>
      <c r="K35" s="180">
        <f t="shared" si="10"/>
        <v>41.565298585299175</v>
      </c>
      <c r="L35" s="180">
        <f t="shared" si="10"/>
        <v>42.40818797271745</v>
      </c>
      <c r="M35" s="180">
        <f t="shared" si="10"/>
        <v>43.265479951472663</v>
      </c>
      <c r="N35" s="180">
        <f t="shared" si="10"/>
        <v>44.137387275016557</v>
      </c>
      <c r="O35" s="180">
        <f t="shared" si="10"/>
        <v>43.861397296308795</v>
      </c>
      <c r="P35" s="180">
        <f t="shared" si="10"/>
        <v>43.576991378007349</v>
      </c>
      <c r="Q35" s="180">
        <f t="shared" si="10"/>
        <v>43.284053825682946</v>
      </c>
      <c r="R35" s="180">
        <f t="shared" si="10"/>
        <v>42.982467936675171</v>
      </c>
      <c r="S35" s="180">
        <f t="shared" si="10"/>
        <v>42.672116000458821</v>
      </c>
      <c r="T35" s="180">
        <f t="shared" si="10"/>
        <v>42.29997212295644</v>
      </c>
      <c r="U35" s="180">
        <f t="shared" si="10"/>
        <v>41.918254502539902</v>
      </c>
      <c r="V35" s="180">
        <f t="shared" si="10"/>
        <v>41.526839775413798</v>
      </c>
      <c r="W35" s="180">
        <f t="shared" si="10"/>
        <v>41.125603601877764</v>
      </c>
      <c r="X35" s="180">
        <f t="shared" si="10"/>
        <v>40.714420669155651</v>
      </c>
      <c r="Y35" s="180">
        <f t="shared" si="10"/>
        <v>40.239080679283788</v>
      </c>
      <c r="Z35" s="180">
        <f t="shared" si="10"/>
        <v>39.753121899342233</v>
      </c>
      <c r="AA35" s="180">
        <f t="shared" si="10"/>
        <v>39.256418678820694</v>
      </c>
      <c r="AB35" s="180">
        <f t="shared" si="10"/>
        <v>38.748844559354239</v>
      </c>
      <c r="AC35" s="180">
        <f t="shared" si="10"/>
        <v>38.230272282909489</v>
      </c>
      <c r="AD35" s="180">
        <f t="shared" si="10"/>
        <v>37.653733155247949</v>
      </c>
      <c r="AE35" s="180">
        <f t="shared" si="10"/>
        <v>37.065525311348935</v>
      </c>
      <c r="AF35" s="180">
        <f t="shared" si="10"/>
        <v>36.465518384779081</v>
      </c>
      <c r="AG35" s="180">
        <f t="shared" si="10"/>
        <v>35.853581285567522</v>
      </c>
      <c r="AH35" s="180">
        <f t="shared" si="10"/>
        <v>35.229582211735831</v>
      </c>
    </row>
    <row r="36" spans="1:34" s="67" customFormat="1" outlineLevel="1" x14ac:dyDescent="0.2">
      <c r="B36" s="58" t="s">
        <v>210</v>
      </c>
      <c r="C36" s="59" t="s">
        <v>153</v>
      </c>
      <c r="D36" s="60">
        <v>0</v>
      </c>
      <c r="E36" s="60">
        <v>0</v>
      </c>
      <c r="F36" s="60">
        <v>0</v>
      </c>
      <c r="G36" s="60">
        <v>0</v>
      </c>
      <c r="H36" s="60">
        <v>0</v>
      </c>
      <c r="I36" s="60">
        <v>0</v>
      </c>
      <c r="J36" s="60">
        <v>0</v>
      </c>
      <c r="K36" s="60">
        <v>0</v>
      </c>
      <c r="L36" s="60">
        <v>0</v>
      </c>
      <c r="M36" s="60">
        <v>0</v>
      </c>
      <c r="N36" s="60">
        <v>0</v>
      </c>
      <c r="O36" s="60">
        <v>0</v>
      </c>
      <c r="P36" s="60">
        <v>0</v>
      </c>
      <c r="Q36" s="60">
        <v>0</v>
      </c>
      <c r="R36" s="60">
        <v>0</v>
      </c>
      <c r="S36" s="60">
        <v>0</v>
      </c>
      <c r="T36" s="60">
        <v>0</v>
      </c>
      <c r="U36" s="60">
        <v>0</v>
      </c>
      <c r="V36" s="60">
        <v>0</v>
      </c>
      <c r="W36" s="60">
        <v>0</v>
      </c>
      <c r="X36" s="60">
        <v>0</v>
      </c>
      <c r="Y36" s="60">
        <v>0</v>
      </c>
      <c r="Z36" s="60">
        <v>0</v>
      </c>
      <c r="AA36" s="60">
        <v>0</v>
      </c>
      <c r="AB36" s="60">
        <v>0</v>
      </c>
      <c r="AC36" s="60">
        <v>0</v>
      </c>
      <c r="AD36" s="60">
        <v>0</v>
      </c>
      <c r="AE36" s="60">
        <v>0</v>
      </c>
      <c r="AF36" s="60">
        <v>0</v>
      </c>
      <c r="AG36" s="60">
        <v>0</v>
      </c>
      <c r="AH36" s="60">
        <v>0</v>
      </c>
    </row>
    <row r="37" spans="1:34" outlineLevel="1" x14ac:dyDescent="0.2">
      <c r="B37" s="1" t="s">
        <v>211</v>
      </c>
      <c r="C37" s="54" t="s">
        <v>153</v>
      </c>
      <c r="D37" s="44">
        <v>0</v>
      </c>
      <c r="E37" s="44">
        <v>0</v>
      </c>
      <c r="F37" s="44">
        <v>0</v>
      </c>
      <c r="G37" s="44">
        <v>0</v>
      </c>
      <c r="H37" s="44">
        <v>0</v>
      </c>
      <c r="I37" s="44">
        <v>0</v>
      </c>
      <c r="J37" s="44">
        <v>0</v>
      </c>
      <c r="K37" s="44">
        <v>0</v>
      </c>
      <c r="L37" s="44">
        <v>0</v>
      </c>
      <c r="M37" s="44">
        <v>0</v>
      </c>
      <c r="N37" s="44">
        <v>0</v>
      </c>
      <c r="O37" s="44">
        <v>0</v>
      </c>
      <c r="P37" s="44">
        <v>0</v>
      </c>
      <c r="Q37" s="44">
        <v>0</v>
      </c>
      <c r="R37" s="44">
        <v>0</v>
      </c>
      <c r="S37" s="44">
        <v>0</v>
      </c>
      <c r="T37" s="44">
        <v>0</v>
      </c>
      <c r="U37" s="44">
        <v>0</v>
      </c>
      <c r="V37" s="44">
        <v>0</v>
      </c>
      <c r="W37" s="44">
        <v>0</v>
      </c>
      <c r="X37" s="44">
        <v>0</v>
      </c>
      <c r="Y37" s="44">
        <v>0</v>
      </c>
      <c r="Z37" s="44">
        <v>0</v>
      </c>
      <c r="AA37" s="44">
        <v>0</v>
      </c>
      <c r="AB37" s="44">
        <v>0</v>
      </c>
      <c r="AC37" s="44">
        <v>0</v>
      </c>
      <c r="AD37" s="44">
        <v>0</v>
      </c>
      <c r="AE37" s="44">
        <v>0</v>
      </c>
      <c r="AF37" s="44">
        <v>0</v>
      </c>
      <c r="AG37" s="44">
        <v>0</v>
      </c>
      <c r="AH37" s="44">
        <v>0</v>
      </c>
    </row>
    <row r="38" spans="1:34" s="68" customFormat="1" x14ac:dyDescent="0.2">
      <c r="A38" s="62" t="s">
        <v>212</v>
      </c>
      <c r="B38" s="62" t="s">
        <v>213</v>
      </c>
      <c r="C38" s="63" t="s">
        <v>153</v>
      </c>
      <c r="D38" s="64">
        <f>D36+D37</f>
        <v>0</v>
      </c>
      <c r="E38" s="64">
        <f t="shared" ref="E38:AH38" si="11">E36+E37</f>
        <v>0</v>
      </c>
      <c r="F38" s="64">
        <f t="shared" si="11"/>
        <v>0</v>
      </c>
      <c r="G38" s="64">
        <f t="shared" si="11"/>
        <v>0</v>
      </c>
      <c r="H38" s="64">
        <f t="shared" si="11"/>
        <v>0</v>
      </c>
      <c r="I38" s="64">
        <f t="shared" si="11"/>
        <v>0</v>
      </c>
      <c r="J38" s="64">
        <f t="shared" si="11"/>
        <v>0</v>
      </c>
      <c r="K38" s="64">
        <f t="shared" si="11"/>
        <v>0</v>
      </c>
      <c r="L38" s="64">
        <f t="shared" si="11"/>
        <v>0</v>
      </c>
      <c r="M38" s="64">
        <f t="shared" si="11"/>
        <v>0</v>
      </c>
      <c r="N38" s="64">
        <f t="shared" si="11"/>
        <v>0</v>
      </c>
      <c r="O38" s="64">
        <f t="shared" si="11"/>
        <v>0</v>
      </c>
      <c r="P38" s="64">
        <f t="shared" si="11"/>
        <v>0</v>
      </c>
      <c r="Q38" s="64">
        <f t="shared" si="11"/>
        <v>0</v>
      </c>
      <c r="R38" s="64">
        <f t="shared" si="11"/>
        <v>0</v>
      </c>
      <c r="S38" s="64">
        <f t="shared" si="11"/>
        <v>0</v>
      </c>
      <c r="T38" s="64">
        <f t="shared" si="11"/>
        <v>0</v>
      </c>
      <c r="U38" s="64">
        <f t="shared" si="11"/>
        <v>0</v>
      </c>
      <c r="V38" s="64">
        <f t="shared" si="11"/>
        <v>0</v>
      </c>
      <c r="W38" s="64">
        <f t="shared" si="11"/>
        <v>0</v>
      </c>
      <c r="X38" s="64">
        <f t="shared" si="11"/>
        <v>0</v>
      </c>
      <c r="Y38" s="64">
        <f t="shared" si="11"/>
        <v>0</v>
      </c>
      <c r="Z38" s="64">
        <f t="shared" si="11"/>
        <v>0</v>
      </c>
      <c r="AA38" s="64">
        <f t="shared" si="11"/>
        <v>0</v>
      </c>
      <c r="AB38" s="64">
        <f t="shared" si="11"/>
        <v>0</v>
      </c>
      <c r="AC38" s="64">
        <f t="shared" si="11"/>
        <v>0</v>
      </c>
      <c r="AD38" s="64">
        <f t="shared" si="11"/>
        <v>0</v>
      </c>
      <c r="AE38" s="64">
        <f t="shared" si="11"/>
        <v>0</v>
      </c>
      <c r="AF38" s="64">
        <f t="shared" si="11"/>
        <v>0</v>
      </c>
      <c r="AG38" s="64">
        <f t="shared" si="11"/>
        <v>0</v>
      </c>
      <c r="AH38" s="64">
        <f t="shared" si="11"/>
        <v>0</v>
      </c>
    </row>
    <row r="39" spans="1:34" x14ac:dyDescent="0.2">
      <c r="A39" s="1" t="s">
        <v>67</v>
      </c>
      <c r="B39" s="1" t="s">
        <v>168</v>
      </c>
      <c r="C39" s="54" t="s">
        <v>153</v>
      </c>
      <c r="D39" s="66">
        <f>D11+D17+D23+D29+D33</f>
        <v>0</v>
      </c>
      <c r="E39" s="66">
        <f t="shared" ref="E39:AH39" si="12">E11+E17+E23+E29+E33</f>
        <v>0.34981836968636243</v>
      </c>
      <c r="F39" s="66">
        <f t="shared" si="12"/>
        <v>0.71313933017313869</v>
      </c>
      <c r="G39" s="66">
        <f t="shared" si="12"/>
        <v>1.0903548370470082</v>
      </c>
      <c r="H39" s="66">
        <f t="shared" si="12"/>
        <v>1.4818669849564237</v>
      </c>
      <c r="I39" s="66">
        <f t="shared" si="12"/>
        <v>1.8880882540668229</v>
      </c>
      <c r="J39" s="66">
        <f t="shared" si="12"/>
        <v>2.306164089201916</v>
      </c>
      <c r="K39" s="66">
        <f t="shared" si="12"/>
        <v>2.738568894367484</v>
      </c>
      <c r="L39" s="66">
        <f t="shared" si="12"/>
        <v>3.1856811198318393</v>
      </c>
      <c r="M39" s="66">
        <f t="shared" si="12"/>
        <v>3.647888163389764</v>
      </c>
      <c r="N39" s="66">
        <f t="shared" si="12"/>
        <v>4.1255865692565994</v>
      </c>
      <c r="O39" s="66">
        <f t="shared" si="12"/>
        <v>4.838203933079364</v>
      </c>
      <c r="P39" s="66">
        <f t="shared" si="12"/>
        <v>5.5685936992846301</v>
      </c>
      <c r="Q39" s="66">
        <f t="shared" si="12"/>
        <v>6.3171218232103303</v>
      </c>
      <c r="R39" s="66">
        <f t="shared" si="12"/>
        <v>7.0841613187896835</v>
      </c>
      <c r="S39" s="66">
        <f t="shared" si="12"/>
        <v>7.8700923888886951</v>
      </c>
      <c r="T39" s="66">
        <f t="shared" si="12"/>
        <v>8.6730906447418477</v>
      </c>
      <c r="U39" s="66">
        <f t="shared" si="12"/>
        <v>9.4954446835537105</v>
      </c>
      <c r="V39" s="66">
        <f t="shared" si="12"/>
        <v>10.337549111624998</v>
      </c>
      <c r="W39" s="66">
        <f t="shared" si="12"/>
        <v>11.199806130238457</v>
      </c>
      <c r="X39" s="66">
        <f t="shared" si="12"/>
        <v>12.082625675841282</v>
      </c>
      <c r="Y39" s="66">
        <f t="shared" si="12"/>
        <v>13.194069138904986</v>
      </c>
      <c r="Z39" s="66">
        <f t="shared" si="12"/>
        <v>14.333413564370826</v>
      </c>
      <c r="AA39" s="66">
        <f t="shared" si="12"/>
        <v>15.50121379439187</v>
      </c>
      <c r="AB39" s="66">
        <f t="shared" si="12"/>
        <v>16.698033890678239</v>
      </c>
      <c r="AC39" s="66">
        <f t="shared" si="12"/>
        <v>17.924447248848661</v>
      </c>
      <c r="AD39" s="66">
        <f t="shared" si="12"/>
        <v>19.177714390641931</v>
      </c>
      <c r="AE39" s="66">
        <f t="shared" si="12"/>
        <v>20.461432159696187</v>
      </c>
      <c r="AF39" s="66">
        <f t="shared" si="12"/>
        <v>21.77619551811522</v>
      </c>
      <c r="AG39" s="66">
        <f t="shared" si="12"/>
        <v>23.122609109416402</v>
      </c>
      <c r="AH39" s="66">
        <f t="shared" si="12"/>
        <v>24.501287372588852</v>
      </c>
    </row>
    <row r="40" spans="1:34" x14ac:dyDescent="0.2">
      <c r="B40" s="1" t="s">
        <v>172</v>
      </c>
      <c r="C40" s="54" t="s">
        <v>153</v>
      </c>
      <c r="D40" s="66">
        <f>D12+D24+D30+D20+D34</f>
        <v>0</v>
      </c>
      <c r="E40" s="66">
        <f t="shared" ref="E40:AH40" si="13">E12+E24+E30+E20+E34</f>
        <v>0.10087594719118115</v>
      </c>
      <c r="F40" s="66">
        <f t="shared" si="13"/>
        <v>0.20552093088860457</v>
      </c>
      <c r="G40" s="66">
        <f t="shared" si="13"/>
        <v>0.31404281595863676</v>
      </c>
      <c r="H40" s="66">
        <f t="shared" si="13"/>
        <v>0.42655225396254404</v>
      </c>
      <c r="I40" s="66">
        <f t="shared" si="13"/>
        <v>0.5431627513851407</v>
      </c>
      <c r="J40" s="66">
        <f t="shared" si="13"/>
        <v>0.66289818178633575</v>
      </c>
      <c r="K40" s="66">
        <f t="shared" si="13"/>
        <v>0.7865581027679831</v>
      </c>
      <c r="L40" s="66">
        <f t="shared" si="13"/>
        <v>0.91424277014087851</v>
      </c>
      <c r="M40" s="66">
        <f t="shared" si="13"/>
        <v>1.0460547564941702</v>
      </c>
      <c r="N40" s="66">
        <f t="shared" si="13"/>
        <v>1.1820990019759363</v>
      </c>
      <c r="O40" s="66">
        <f t="shared" si="13"/>
        <v>1.3115336534758757</v>
      </c>
      <c r="P40" s="66">
        <f t="shared" si="13"/>
        <v>1.4164466398506756</v>
      </c>
      <c r="Q40" s="66">
        <f t="shared" si="13"/>
        <v>1.5619648283531555</v>
      </c>
      <c r="R40" s="66">
        <f t="shared" si="13"/>
        <v>1.7100011804229682</v>
      </c>
      <c r="S40" s="66">
        <f t="shared" si="13"/>
        <v>1.8605870466673702</v>
      </c>
      <c r="T40" s="66">
        <f t="shared" si="13"/>
        <v>2.0130167536851267</v>
      </c>
      <c r="U40" s="66">
        <f t="shared" si="13"/>
        <v>2.1679534186812059</v>
      </c>
      <c r="V40" s="66">
        <f t="shared" si="13"/>
        <v>2.3254265784006458</v>
      </c>
      <c r="W40" s="66">
        <f t="shared" si="13"/>
        <v>2.4854660047780386</v>
      </c>
      <c r="X40" s="66">
        <f t="shared" si="13"/>
        <v>2.6481017044658985</v>
      </c>
      <c r="Y40" s="66">
        <f t="shared" si="13"/>
        <v>3.0722410412322181</v>
      </c>
      <c r="Z40" s="66">
        <f t="shared" si="13"/>
        <v>3.237906374408996</v>
      </c>
      <c r="AA40" s="66">
        <f t="shared" si="13"/>
        <v>3.4060181268940948</v>
      </c>
      <c r="AB40" s="66">
        <f t="shared" si="13"/>
        <v>3.5766008549037576</v>
      </c>
      <c r="AC40" s="66">
        <f t="shared" si="13"/>
        <v>3.7496792190136579</v>
      </c>
      <c r="AD40" s="66">
        <f t="shared" si="13"/>
        <v>3.9241705400981539</v>
      </c>
      <c r="AE40" s="66">
        <f t="shared" si="13"/>
        <v>4.1011011562288084</v>
      </c>
      <c r="AF40" s="66">
        <f t="shared" si="13"/>
        <v>4.2804936462827383</v>
      </c>
      <c r="AG40" s="66">
        <f t="shared" si="13"/>
        <v>4.4623706421370652</v>
      </c>
      <c r="AH40" s="66">
        <f t="shared" si="13"/>
        <v>4.6467548243709516</v>
      </c>
    </row>
    <row r="41" spans="1:34" x14ac:dyDescent="0.2">
      <c r="B41" s="1" t="s">
        <v>214</v>
      </c>
      <c r="C41" s="54" t="s">
        <v>153</v>
      </c>
      <c r="D41" s="66">
        <f>D38+D7</f>
        <v>0</v>
      </c>
      <c r="E41" s="66">
        <f t="shared" ref="E41:AH41" si="14">E38+E7</f>
        <v>1.7934301886620489E-2</v>
      </c>
      <c r="F41" s="66">
        <f t="shared" si="14"/>
        <v>3.6478370037386069E-2</v>
      </c>
      <c r="G41" s="66">
        <f t="shared" si="14"/>
        <v>5.5647753492032444E-2</v>
      </c>
      <c r="H41" s="66">
        <f t="shared" si="14"/>
        <v>7.5458353735195993E-2</v>
      </c>
      <c r="I41" s="66">
        <f t="shared" si="14"/>
        <v>9.5926432185867883E-2</v>
      </c>
      <c r="J41" s="66">
        <f t="shared" si="14"/>
        <v>0.11706861783963314</v>
      </c>
      <c r="K41" s="66">
        <f t="shared" si="14"/>
        <v>0.13890191506672472</v>
      </c>
      <c r="L41" s="66">
        <f t="shared" si="14"/>
        <v>0.16144371156898177</v>
      </c>
      <c r="M41" s="66">
        <f t="shared" si="14"/>
        <v>0.18471178649886127</v>
      </c>
      <c r="N41" s="66">
        <f t="shared" si="14"/>
        <v>0.20872431874371319</v>
      </c>
      <c r="O41" s="66">
        <f t="shared" si="14"/>
        <v>0.2971816850272988</v>
      </c>
      <c r="P41" s="66">
        <f t="shared" si="14"/>
        <v>0.38858628043640936</v>
      </c>
      <c r="Q41" s="66">
        <f t="shared" si="14"/>
        <v>0.48301274658245696</v>
      </c>
      <c r="R41" s="66">
        <f t="shared" si="14"/>
        <v>0.58053741114242374</v>
      </c>
      <c r="S41" s="66">
        <f t="shared" si="14"/>
        <v>0.68123832361366732</v>
      </c>
      <c r="T41" s="66">
        <f t="shared" si="14"/>
        <v>0.78519529179711289</v>
      </c>
      <c r="U41" s="66">
        <f t="shared" si="14"/>
        <v>0.89248991902327113</v>
      </c>
      <c r="V41" s="66">
        <f t="shared" si="14"/>
        <v>1.0032056421357896</v>
      </c>
      <c r="W41" s="66">
        <f t="shared" si="14"/>
        <v>1.1174277702475355</v>
      </c>
      <c r="X41" s="66">
        <f t="shared" si="14"/>
        <v>1.2352435242845037</v>
      </c>
      <c r="Y41" s="66">
        <f t="shared" si="14"/>
        <v>1.3818669306170743</v>
      </c>
      <c r="Z41" s="66">
        <f t="shared" si="14"/>
        <v>1.5331185473864337</v>
      </c>
      <c r="AA41" s="66">
        <f t="shared" si="14"/>
        <v>1.6891133595830032</v>
      </c>
      <c r="AB41" s="66">
        <f t="shared" si="14"/>
        <v>1.8499689241340611</v>
      </c>
      <c r="AC41" s="66">
        <f t="shared" si="14"/>
        <v>2.0158054241189363</v>
      </c>
      <c r="AD41" s="66">
        <f t="shared" si="14"/>
        <v>2.1867457240842216</v>
      </c>
      <c r="AE41" s="66">
        <f t="shared" si="14"/>
        <v>2.3629154264807566</v>
      </c>
      <c r="AF41" s="66">
        <f t="shared" si="14"/>
        <v>2.544442929244513</v>
      </c>
      <c r="AG41" s="66">
        <f t="shared" si="14"/>
        <v>2.7314594845439841</v>
      </c>
      <c r="AH41" s="66">
        <f t="shared" si="14"/>
        <v>2.924099258717086</v>
      </c>
    </row>
    <row r="42" spans="1:34" s="69" customFormat="1" x14ac:dyDescent="0.2">
      <c r="A42" s="69" t="s">
        <v>389</v>
      </c>
      <c r="C42" s="70" t="s">
        <v>153</v>
      </c>
      <c r="D42" s="71">
        <f>D4+D41-D39-D40</f>
        <v>111.92307692307692</v>
      </c>
      <c r="E42" s="71">
        <f t="shared" ref="E42:AG42" si="15">E4+E41-E39-E40</f>
        <v>113.7083389561521</v>
      </c>
      <c r="F42" s="71">
        <f t="shared" si="15"/>
        <v>115.52089451201583</v>
      </c>
      <c r="G42" s="71">
        <f t="shared" si="15"/>
        <v>117.36113039976071</v>
      </c>
      <c r="H42" s="71">
        <f t="shared" si="15"/>
        <v>119.22943811770018</v>
      </c>
      <c r="I42" s="71">
        <f t="shared" si="15"/>
        <v>121.12621388827235</v>
      </c>
      <c r="J42" s="71">
        <f t="shared" si="15"/>
        <v>122.83551019752413</v>
      </c>
      <c r="K42" s="71">
        <f t="shared" si="15"/>
        <v>124.56737748164925</v>
      </c>
      <c r="L42" s="71">
        <f t="shared" si="15"/>
        <v>126.32207801109898</v>
      </c>
      <c r="M42" s="71">
        <f t="shared" si="15"/>
        <v>128.09987622950641</v>
      </c>
      <c r="N42" s="71">
        <f t="shared" si="15"/>
        <v>129.90103874751119</v>
      </c>
      <c r="O42" s="71">
        <f t="shared" si="15"/>
        <v>130.3749188233821</v>
      </c>
      <c r="P42" s="71">
        <f t="shared" si="15"/>
        <v>130.86965608890111</v>
      </c>
      <c r="Q42" s="71">
        <f t="shared" si="15"/>
        <v>131.31993384067732</v>
      </c>
      <c r="R42" s="71">
        <f t="shared" si="15"/>
        <v>131.76364483127861</v>
      </c>
      <c r="S42" s="71">
        <f t="shared" si="15"/>
        <v>132.20055888805757</v>
      </c>
      <c r="T42" s="71">
        <f t="shared" si="15"/>
        <v>132.57753375790514</v>
      </c>
      <c r="U42" s="71">
        <f t="shared" si="15"/>
        <v>132.946667292705</v>
      </c>
      <c r="V42" s="71">
        <f t="shared" si="15"/>
        <v>133.3077117023941</v>
      </c>
      <c r="W42" s="71">
        <f t="shared" si="15"/>
        <v>133.66041404709509</v>
      </c>
      <c r="X42" s="71">
        <f t="shared" si="15"/>
        <v>134.00451614397733</v>
      </c>
      <c r="Y42" s="71">
        <f t="shared" si="15"/>
        <v>133.84489346921362</v>
      </c>
      <c r="Z42" s="71">
        <f t="shared" si="15"/>
        <v>133.93071793602684</v>
      </c>
      <c r="AA42" s="71">
        <f t="shared" si="15"/>
        <v>134.00071465858517</v>
      </c>
      <c r="AB42" s="71">
        <f t="shared" si="15"/>
        <v>134.0544986818353</v>
      </c>
      <c r="AC42" s="71">
        <f t="shared" si="15"/>
        <v>134.0916789562566</v>
      </c>
      <c r="AD42" s="71">
        <f t="shared" si="15"/>
        <v>134.06501764252309</v>
      </c>
      <c r="AE42" s="71">
        <f t="shared" si="15"/>
        <v>134.0205383186605</v>
      </c>
      <c r="AF42" s="71">
        <f t="shared" si="15"/>
        <v>133.95783059174286</v>
      </c>
      <c r="AG42" s="71">
        <f t="shared" si="15"/>
        <v>133.87647781874432</v>
      </c>
      <c r="AH42" s="71">
        <f>AH4+AH41-AH39-AH40</f>
        <v>133.77605706175729</v>
      </c>
    </row>
    <row r="43" spans="1:34" s="67" customFormat="1" x14ac:dyDescent="0.2">
      <c r="A43" s="58" t="s">
        <v>216</v>
      </c>
      <c r="B43" s="58" t="s">
        <v>197</v>
      </c>
      <c r="C43" s="100" t="s">
        <v>153</v>
      </c>
      <c r="D43" s="101">
        <f t="shared" ref="D43" si="16">D21</f>
        <v>46.844581662413418</v>
      </c>
      <c r="E43" s="101">
        <f t="shared" ref="E43:AH43" si="17">E21</f>
        <v>47.308737393224739</v>
      </c>
      <c r="F43" s="101">
        <f t="shared" si="17"/>
        <v>47.776707946492941</v>
      </c>
      <c r="G43" s="101">
        <f t="shared" si="17"/>
        <v>48.248509162723579</v>
      </c>
      <c r="H43" s="101">
        <f t="shared" si="17"/>
        <v>48.724156578251161</v>
      </c>
      <c r="I43" s="101">
        <f t="shared" si="17"/>
        <v>49.203665413617635</v>
      </c>
      <c r="J43" s="101">
        <f t="shared" si="17"/>
        <v>49.687050561685012</v>
      </c>
      <c r="K43" s="101">
        <f t="shared" si="17"/>
        <v>50.174326575477224</v>
      </c>
      <c r="L43" s="101">
        <f t="shared" si="17"/>
        <v>50.665507655745522</v>
      </c>
      <c r="M43" s="101">
        <f t="shared" si="17"/>
        <v>51.160607638252536</v>
      </c>
      <c r="N43" s="101">
        <f t="shared" si="17"/>
        <v>51.659639980769221</v>
      </c>
      <c r="O43" s="101">
        <f t="shared" si="17"/>
        <v>52.027068438894709</v>
      </c>
      <c r="P43" s="101">
        <f t="shared" si="17"/>
        <v>52.421315992530161</v>
      </c>
      <c r="Q43" s="101">
        <f t="shared" si="17"/>
        <v>52.777212284802481</v>
      </c>
      <c r="R43" s="101">
        <f t="shared" si="17"/>
        <v>53.132799095323897</v>
      </c>
      <c r="S43" s="101">
        <f t="shared" si="17"/>
        <v>53.487998002932088</v>
      </c>
      <c r="T43" s="101">
        <f t="shared" si="17"/>
        <v>53.842728451330629</v>
      </c>
      <c r="U43" s="101">
        <f t="shared" si="17"/>
        <v>54.196907704675745</v>
      </c>
      <c r="V43" s="101">
        <f t="shared" si="17"/>
        <v>54.550450802338062</v>
      </c>
      <c r="W43" s="101">
        <f t="shared" si="17"/>
        <v>54.903270512824811</v>
      </c>
      <c r="X43" s="101">
        <f t="shared" si="17"/>
        <v>55.255277286847935</v>
      </c>
      <c r="Y43" s="101">
        <f t="shared" si="17"/>
        <v>55.349637101084433</v>
      </c>
      <c r="Z43" s="101">
        <f t="shared" si="17"/>
        <v>55.704061152806602</v>
      </c>
      <c r="AA43" s="101">
        <f t="shared" si="17"/>
        <v>56.057560549105155</v>
      </c>
      <c r="AB43" s="101">
        <f t="shared" si="17"/>
        <v>56.410039932514131</v>
      </c>
      <c r="AC43" s="101">
        <f t="shared" si="17"/>
        <v>56.761401456790942</v>
      </c>
      <c r="AD43" s="101">
        <f t="shared" si="17"/>
        <v>57.111544735920724</v>
      </c>
      <c r="AE43" s="101">
        <f t="shared" si="17"/>
        <v>57.460366792180608</v>
      </c>
      <c r="AF43" s="101">
        <f t="shared" si="17"/>
        <v>57.807762003247525</v>
      </c>
      <c r="AG43" s="101">
        <f t="shared" si="17"/>
        <v>58.153622048333055</v>
      </c>
      <c r="AH43" s="101">
        <f t="shared" si="17"/>
        <v>58.49783585332834</v>
      </c>
    </row>
    <row r="44" spans="1:34" outlineLevel="1" x14ac:dyDescent="0.2">
      <c r="A44"/>
      <c r="B44" t="s">
        <v>217</v>
      </c>
      <c r="C44" s="54" t="s">
        <v>153</v>
      </c>
      <c r="D44" s="44">
        <f>0</f>
        <v>0</v>
      </c>
      <c r="E44" s="44">
        <f>'Propylene Recycling LC'!D59*'Propylene Recycling LC'!D45-'Propylene Recycling LC'!$C$59*'Propylene Recycling LC'!$C$45</f>
        <v>0.11431741906889481</v>
      </c>
      <c r="F44" s="44">
        <f>'Propylene Recycling LC'!E59*'Propylene Recycling LC'!E45-'Propylene Recycling LC'!$C$59*'Propylene Recycling LC'!$C$45</f>
        <v>0.23472948772475821</v>
      </c>
      <c r="G44" s="44">
        <f>'Propylene Recycling LC'!F59*'Propylene Recycling LC'!F45-'Propylene Recycling LC'!$C$59*'Propylene Recycling LC'!$C$45</f>
        <v>0.36072998186095584</v>
      </c>
      <c r="H44" s="44">
        <f>'Propylene Recycling LC'!G59*'Propylene Recycling LC'!G45-'Propylene Recycling LC'!$C$59*'Propylene Recycling LC'!$C$45</f>
        <v>0.49171837954623487</v>
      </c>
      <c r="I44" s="44">
        <f>'Propylene Recycling LC'!H59*'Propylene Recycling LC'!H45-'Propylene Recycling LC'!$C$59*'Propylene Recycling LC'!$C$45</f>
        <v>0.62700321456032915</v>
      </c>
      <c r="J44" s="44">
        <f>'Propylene Recycling LC'!I59*'Propylene Recycling LC'!I45-'Propylene Recycling LC'!$C$59*'Propylene Recycling LC'!$C$45</f>
        <v>0.76940629253040005</v>
      </c>
      <c r="K44" s="44">
        <f>'Propylene Recycling LC'!J59*'Propylene Recycling LC'!J45-'Propylene Recycling LC'!$C$59*'Propylene Recycling LC'!$C$45</f>
        <v>0.91900774997946411</v>
      </c>
      <c r="L44" s="44">
        <f>'Propylene Recycling LC'!K59*'Propylene Recycling LC'!K45-'Propylene Recycling LC'!$C$59*'Propylene Recycling LC'!$C$45</f>
        <v>1.0758735055586577</v>
      </c>
      <c r="M44" s="44">
        <f>'Propylene Recycling LC'!L59*'Propylene Recycling LC'!L45-'Propylene Recycling LC'!$C$59*'Propylene Recycling LC'!$C$45</f>
        <v>1.2400545524737807</v>
      </c>
      <c r="N44" s="44">
        <f>'Propylene Recycling LC'!M59*'Propylene Recycling LC'!M45-'Propylene Recycling LC'!$C$59*'Propylene Recycling LC'!$C$45</f>
        <v>1.4115862788368752</v>
      </c>
      <c r="O44" s="44">
        <f>'Propylene Recycling LC'!N59*'Propylene Recycling LC'!N45-'Propylene Recycling LC'!$C$59*'Propylene Recycling LC'!$C$45</f>
        <v>1.6659459119980236</v>
      </c>
      <c r="P44" s="44">
        <f>'Propylene Recycling LC'!O59*'Propylene Recycling LC'!O45-'Propylene Recycling LC'!$C$59*'Propylene Recycling LC'!$C$45</f>
        <v>1.9285882053687708</v>
      </c>
      <c r="Q44" s="44">
        <f>'Propylene Recycling LC'!P59*'Propylene Recycling LC'!P45-'Propylene Recycling LC'!$C$59*'Propylene Recycling LC'!$C$45</f>
        <v>2.1941052695223289</v>
      </c>
      <c r="R44" s="44">
        <f>'Propylene Recycling LC'!Q59*'Propylene Recycling LC'!Q45-'Propylene Recycling LC'!$C$59*'Propylene Recycling LC'!$C$45</f>
        <v>2.4632607316364274</v>
      </c>
      <c r="S44" s="44">
        <f>'Propylene Recycling LC'!R59*'Propylene Recycling LC'!R45-'Propylene Recycling LC'!$C$59*'Propylene Recycling LC'!$C$45</f>
        <v>2.7345178602376943</v>
      </c>
      <c r="T44" s="44">
        <f>'Propylene Recycling LC'!S59*'Propylene Recycling LC'!S45-'Propylene Recycling LC'!$C$59*'Propylene Recycling LC'!$C$45</f>
        <v>3.0133111618532431</v>
      </c>
      <c r="U44" s="44">
        <f>'Propylene Recycling LC'!T59*'Propylene Recycling LC'!T45-'Propylene Recycling LC'!$C$59*'Propylene Recycling LC'!$C$45</f>
        <v>3.2994968803756763</v>
      </c>
      <c r="V44" s="44">
        <f>'Propylene Recycling LC'!U59*'Propylene Recycling LC'!U45-'Propylene Recycling LC'!$C$59*'Propylene Recycling LC'!$C$45</f>
        <v>3.5929198283234309</v>
      </c>
      <c r="W44" s="44">
        <f>'Propylene Recycling LC'!V59*'Propylene Recycling LC'!V45-'Propylene Recycling LC'!$C$59*'Propylene Recycling LC'!$C$45</f>
        <v>3.8934133017567008</v>
      </c>
      <c r="X44" s="44">
        <f>'Propylene Recycling LC'!W59*'Propylene Recycling LC'!W45-'Propylene Recycling LC'!$C$59*'Propylene Recycling LC'!$C$45</f>
        <v>4.2007990058381139</v>
      </c>
      <c r="Y44" s="44">
        <f>'Propylene Recycling LC'!X59*'Propylene Recycling LC'!X45-'Propylene Recycling LC'!$C$59*'Propylene Recycling LC'!$C$45</f>
        <v>4.6585723152705301</v>
      </c>
      <c r="Z44" s="44">
        <f>'Propylene Recycling LC'!Y59*'Propylene Recycling LC'!Y45-'Propylene Recycling LC'!$C$59*'Propylene Recycling LC'!$C$45</f>
        <v>5.1577429121631484</v>
      </c>
      <c r="AA44" s="44">
        <f>'Propylene Recycling LC'!Z59*'Propylene Recycling LC'!Z45-'Propylene Recycling LC'!$C$59*'Propylene Recycling LC'!$C$45</f>
        <v>5.6690972189040227</v>
      </c>
      <c r="AB44" s="44">
        <f>'Propylene Recycling LC'!AA59*'Propylene Recycling LC'!AA45-'Propylene Recycling LC'!$C$59*'Propylene Recycling LC'!$C$45</f>
        <v>6.1923156746366139</v>
      </c>
      <c r="AC44" s="44">
        <f>'Propylene Recycling LC'!AB59*'Propylene Recycling LC'!AB45-'Propylene Recycling LC'!$C$59*'Propylene Recycling LC'!$C$45</f>
        <v>6.7270590800058576</v>
      </c>
      <c r="AD44" s="44">
        <f>'Propylene Recycling LC'!AC59*'Propylene Recycling LC'!AC45-'Propylene Recycling LC'!$C$59*'Propylene Recycling LC'!$C$45</f>
        <v>7.273045801983943</v>
      </c>
      <c r="AE44" s="44">
        <f>'Propylene Recycling LC'!AD59*'Propylene Recycling LC'!AD45-'Propylene Recycling LC'!$C$59*'Propylene Recycling LC'!$C$45</f>
        <v>7.8299130206678873</v>
      </c>
      <c r="AF44" s="44">
        <f>'Propylene Recycling LC'!AE59*'Propylene Recycling LC'!AE45-'Propylene Recycling LC'!$C$59*'Propylene Recycling LC'!$C$45</f>
        <v>8.3972786891428086</v>
      </c>
      <c r="AG44" s="44">
        <f>'Propylene Recycling LC'!AF59*'Propylene Recycling LC'!AF45-'Propylene Recycling LC'!$C$59*'Propylene Recycling LC'!$C$45</f>
        <v>8.9747414621102912</v>
      </c>
      <c r="AH44" s="44">
        <f>'Propylene Recycling LC'!AG59*'Propylene Recycling LC'!AG45-'Propylene Recycling LC'!$C$59*'Propylene Recycling LC'!$C$45</f>
        <v>9.5618806401523493</v>
      </c>
    </row>
    <row r="45" spans="1:34" outlineLevel="1" x14ac:dyDescent="0.2">
      <c r="A45"/>
      <c r="B45" s="181" t="s">
        <v>218</v>
      </c>
      <c r="C45" s="54" t="s">
        <v>153</v>
      </c>
      <c r="D45" s="44">
        <f>0</f>
        <v>0</v>
      </c>
      <c r="E45" s="44">
        <f>'Propylene Recycling LC'!D77*'Propylene Recycling LC'!D46-'Propylene Recycling LC'!$C$77*'Propylene Recycling LC'!$C$46</f>
        <v>8.4766627042845988E-3</v>
      </c>
      <c r="F45" s="44">
        <f>'Propylene Recycling LC'!E77*'Propylene Recycling LC'!E46-'Propylene Recycling LC'!$C$77*'Propylene Recycling LC'!$C$46</f>
        <v>1.6866112136104755E-2</v>
      </c>
      <c r="G45" s="44">
        <f>'Propylene Recycling LC'!F77*'Propylene Recycling LC'!F46-'Propylene Recycling LC'!$C$77*'Propylene Recycling LC'!$C$46</f>
        <v>2.5082283308704337E-2</v>
      </c>
      <c r="H45" s="44">
        <f>'Propylene Recycling LC'!G77*'Propylene Recycling LC'!G46-'Propylene Recycling LC'!$C$77*'Propylene Recycling LC'!$C$46</f>
        <v>3.3039416846912639E-2</v>
      </c>
      <c r="I45" s="44">
        <f>'Propylene Recycling LC'!H77*'Propylene Recycling LC'!H46-'Propylene Recycling LC'!$C$77*'Propylene Recycling LC'!$C$46</f>
        <v>4.0653392285547915E-2</v>
      </c>
      <c r="J45" s="44">
        <f>'Propylene Recycling LC'!I77*'Propylene Recycling LC'!I46-'Propylene Recycling LC'!$C$77*'Propylene Recycling LC'!$C$46</f>
        <v>4.8017670310260552E-2</v>
      </c>
      <c r="K45" s="44">
        <f>'Propylene Recycling LC'!J77*'Propylene Recycling LC'!J46-'Propylene Recycling LC'!$C$77*'Propylene Recycling LC'!$C$46</f>
        <v>5.5099673442833105E-2</v>
      </c>
      <c r="L45" s="44">
        <f>'Propylene Recycling LC'!K77*'Propylene Recycling LC'!K46-'Propylene Recycling LC'!$C$77*'Propylene Recycling LC'!$C$46</f>
        <v>6.1866521107908523E-2</v>
      </c>
      <c r="M45" s="44">
        <f>'Propylene Recycling LC'!L77*'Propylene Recycling LC'!L46-'Propylene Recycling LC'!$C$77*'Propylene Recycling LC'!$C$46</f>
        <v>6.8285124876461337E-2</v>
      </c>
      <c r="N45" s="44">
        <f>'Propylene Recycling LC'!M77*'Propylene Recycling LC'!M46-'Propylene Recycling LC'!$C$77*'Propylene Recycling LC'!$C$46</f>
        <v>7.4322287249026814E-2</v>
      </c>
      <c r="O45" s="44">
        <f>'Propylene Recycling LC'!N77*'Propylene Recycling LC'!N46-'Propylene Recycling LC'!$C$77*'Propylene Recycling LC'!$C$46</f>
        <v>8.8120334551746657E-2</v>
      </c>
      <c r="P45" s="44">
        <f>'Propylene Recycling LC'!O77*'Propylene Recycling LC'!O46-'Propylene Recycling LC'!$C$77*'Propylene Recycling LC'!$C$46</f>
        <v>0.10091347077456383</v>
      </c>
      <c r="Q45" s="44">
        <f>'Propylene Recycling LC'!P77*'Propylene Recycling LC'!P46-'Propylene Recycling LC'!$C$77*'Propylene Recycling LC'!$C$46</f>
        <v>0.11208873774652847</v>
      </c>
      <c r="R45" s="44">
        <f>'Propylene Recycling LC'!Q77*'Propylene Recycling LC'!Q46-'Propylene Recycling LC'!$C$77*'Propylene Recycling LC'!$C$46</f>
        <v>0.12196254874964196</v>
      </c>
      <c r="S45" s="44">
        <f>'Propylene Recycling LC'!R77*'Propylene Recycling LC'!R46-'Propylene Recycling LC'!$C$77*'Propylene Recycling LC'!$C$46</f>
        <v>0.13045242163752621</v>
      </c>
      <c r="T45" s="44">
        <f>'Propylene Recycling LC'!S77*'Propylene Recycling LC'!S46-'Propylene Recycling LC'!$C$77*'Propylene Recycling LC'!$C$46</f>
        <v>0.13779703294997031</v>
      </c>
      <c r="U45" s="44">
        <f>'Propylene Recycling LC'!T77*'Propylene Recycling LC'!T46-'Propylene Recycling LC'!$C$77*'Propylene Recycling LC'!$C$46</f>
        <v>0.14397474651361275</v>
      </c>
      <c r="V45" s="44">
        <f>'Propylene Recycling LC'!U77*'Propylene Recycling LC'!U46-'Propylene Recycling LC'!$C$77*'Propylene Recycling LC'!$C$46</f>
        <v>0.14896464365753664</v>
      </c>
      <c r="W45" s="44">
        <f>'Propylene Recycling LC'!V77*'Propylene Recycling LC'!V46-'Propylene Recycling LC'!$C$77*'Propylene Recycling LC'!$C$46</f>
        <v>0.15274654957511363</v>
      </c>
      <c r="X45" s="44">
        <f>'Propylene Recycling LC'!W77*'Propylene Recycling LC'!W46-'Propylene Recycling LC'!$C$77*'Propylene Recycling LC'!$C$46</f>
        <v>0.15530105920743381</v>
      </c>
      <c r="Y45" s="44">
        <f>'Propylene Recycling LC'!X77*'Propylene Recycling LC'!X46-'Propylene Recycling LC'!$C$77*'Propylene Recycling LC'!$C$46</f>
        <v>0.16385088361588648</v>
      </c>
      <c r="Z45" s="44">
        <f>'Propylene Recycling LC'!Y77*'Propylene Recycling LC'!Y46-'Propylene Recycling LC'!$C$77*'Propylene Recycling LC'!$C$46</f>
        <v>0.17036582447756138</v>
      </c>
      <c r="AA45" s="44">
        <f>'Propylene Recycling LC'!Z77*'Propylene Recycling LC'!Z46-'Propylene Recycling LC'!$C$77*'Propylene Recycling LC'!$C$46</f>
        <v>0.17310737225929007</v>
      </c>
      <c r="AB45" s="44">
        <f>'Propylene Recycling LC'!AA77*'Propylene Recycling LC'!AA46-'Propylene Recycling LC'!$C$77*'Propylene Recycling LC'!$C$46</f>
        <v>0.17369840983480533</v>
      </c>
      <c r="AC45" s="44">
        <f>'Propylene Recycling LC'!AB77*'Propylene Recycling LC'!AB46-'Propylene Recycling LC'!$C$77*'Propylene Recycling LC'!$C$46</f>
        <v>0.17216349162525948</v>
      </c>
      <c r="AD45" s="44">
        <f>'Propylene Recycling LC'!AC77*'Propylene Recycling LC'!AC46-'Propylene Recycling LC'!$C$77*'Propylene Recycling LC'!$C$46</f>
        <v>0.16853233858253022</v>
      </c>
      <c r="AE45" s="44">
        <f>'Propylene Recycling LC'!AD77*'Propylene Recycling LC'!AD46-'Propylene Recycling LC'!$C$77*'Propylene Recycling LC'!$C$46</f>
        <v>0.16283584853064337</v>
      </c>
      <c r="AF45" s="44">
        <f>'Propylene Recycling LC'!AE77*'Propylene Recycling LC'!AE46-'Propylene Recycling LC'!$C$77*'Propylene Recycling LC'!$C$46</f>
        <v>0.15510802264831294</v>
      </c>
      <c r="AG45" s="44">
        <f>'Propylene Recycling LC'!AF77*'Propylene Recycling LC'!AF46-'Propylene Recycling LC'!$C$77*'Propylene Recycling LC'!$C$46</f>
        <v>0.14538594043197661</v>
      </c>
      <c r="AH45" s="44">
        <f>'Propylene Recycling LC'!AG77*'Propylene Recycling LC'!AG46-'Propylene Recycling LC'!$C$77*'Propylene Recycling LC'!$C$46</f>
        <v>0.13370972998499786</v>
      </c>
    </row>
    <row r="46" spans="1:34" s="68" customFormat="1" x14ac:dyDescent="0.2">
      <c r="A46" s="62"/>
      <c r="B46" s="62" t="s">
        <v>219</v>
      </c>
      <c r="C46" s="63" t="s">
        <v>153</v>
      </c>
      <c r="D46" s="64">
        <f>D43-D44-D45</f>
        <v>46.844581662413418</v>
      </c>
      <c r="E46" s="64">
        <f t="shared" ref="E46:AH46" si="18">E43-E44-E45</f>
        <v>47.18594331145156</v>
      </c>
      <c r="F46" s="64">
        <f t="shared" si="18"/>
        <v>47.525112346632078</v>
      </c>
      <c r="G46" s="64">
        <f t="shared" si="18"/>
        <v>47.862696897553917</v>
      </c>
      <c r="H46" s="64">
        <f t="shared" si="18"/>
        <v>48.199398781858015</v>
      </c>
      <c r="I46" s="64">
        <f t="shared" si="18"/>
        <v>48.536008806771754</v>
      </c>
      <c r="J46" s="64">
        <f t="shared" si="18"/>
        <v>48.869626598844356</v>
      </c>
      <c r="K46" s="64">
        <f t="shared" si="18"/>
        <v>49.200219152054927</v>
      </c>
      <c r="L46" s="64">
        <f t="shared" si="18"/>
        <v>49.527767629078959</v>
      </c>
      <c r="M46" s="64">
        <f t="shared" si="18"/>
        <v>49.852267960902296</v>
      </c>
      <c r="N46" s="64">
        <f t="shared" si="18"/>
        <v>50.173731414683324</v>
      </c>
      <c r="O46" s="64">
        <f t="shared" si="18"/>
        <v>50.27300219234494</v>
      </c>
      <c r="P46" s="64">
        <f t="shared" si="18"/>
        <v>50.391814316386828</v>
      </c>
      <c r="Q46" s="64">
        <f t="shared" si="18"/>
        <v>50.471018277533624</v>
      </c>
      <c r="R46" s="64">
        <f t="shared" si="18"/>
        <v>50.547575814937829</v>
      </c>
      <c r="S46" s="64">
        <f t="shared" si="18"/>
        <v>50.623027721056864</v>
      </c>
      <c r="T46" s="64">
        <f t="shared" si="18"/>
        <v>50.691620256527415</v>
      </c>
      <c r="U46" s="64">
        <f t="shared" si="18"/>
        <v>50.753436077786453</v>
      </c>
      <c r="V46" s="64">
        <f t="shared" si="18"/>
        <v>50.808566330357095</v>
      </c>
      <c r="W46" s="64">
        <f t="shared" si="18"/>
        <v>50.857110661492996</v>
      </c>
      <c r="X46" s="64">
        <f t="shared" si="18"/>
        <v>50.89917722180239</v>
      </c>
      <c r="Y46" s="64">
        <f t="shared" si="18"/>
        <v>50.527213902198014</v>
      </c>
      <c r="Z46" s="64">
        <f t="shared" si="18"/>
        <v>50.375952416165887</v>
      </c>
      <c r="AA46" s="64">
        <f t="shared" si="18"/>
        <v>50.215355957941846</v>
      </c>
      <c r="AB46" s="64">
        <f t="shared" si="18"/>
        <v>50.044025848042715</v>
      </c>
      <c r="AC46" s="64">
        <f t="shared" si="18"/>
        <v>49.862178885159821</v>
      </c>
      <c r="AD46" s="64">
        <f t="shared" si="18"/>
        <v>49.669966595354254</v>
      </c>
      <c r="AE46" s="64">
        <f t="shared" si="18"/>
        <v>49.467617922982079</v>
      </c>
      <c r="AF46" s="64">
        <f t="shared" si="18"/>
        <v>49.255375291456403</v>
      </c>
      <c r="AG46" s="64">
        <f t="shared" si="18"/>
        <v>49.033494645790782</v>
      </c>
      <c r="AH46" s="64">
        <f t="shared" si="18"/>
        <v>48.802245483190987</v>
      </c>
    </row>
    <row r="47" spans="1:34" s="67" customFormat="1" x14ac:dyDescent="0.2">
      <c r="A47" s="58" t="s">
        <v>220</v>
      </c>
      <c r="B47" s="58" t="s">
        <v>197</v>
      </c>
      <c r="C47" s="100" t="s">
        <v>153</v>
      </c>
      <c r="D47" s="101">
        <f>D13</f>
        <v>17.63451512942034</v>
      </c>
      <c r="E47" s="101">
        <f t="shared" ref="E47:AH47" si="19">E13</f>
        <v>17.903796253047332</v>
      </c>
      <c r="F47" s="101">
        <f t="shared" si="19"/>
        <v>18.177101456778558</v>
      </c>
      <c r="G47" s="101">
        <f t="shared" si="19"/>
        <v>18.454489333157444</v>
      </c>
      <c r="H47" s="101">
        <f t="shared" si="19"/>
        <v>18.736019300325772</v>
      </c>
      <c r="I47" s="101">
        <f t="shared" si="19"/>
        <v>19.021751613155491</v>
      </c>
      <c r="J47" s="101">
        <f t="shared" si="19"/>
        <v>19.311747374521278</v>
      </c>
      <c r="K47" s="101">
        <f t="shared" si="19"/>
        <v>19.60606854671542</v>
      </c>
      <c r="L47" s="101">
        <f t="shared" si="19"/>
        <v>19.904777963006644</v>
      </c>
      <c r="M47" s="101">
        <f t="shared" si="19"/>
        <v>20.207939339344581</v>
      </c>
      <c r="N47" s="101">
        <f t="shared" si="19"/>
        <v>20.515617286211381</v>
      </c>
      <c r="O47" s="101">
        <f t="shared" si="19"/>
        <v>20.775239081262349</v>
      </c>
      <c r="P47" s="101">
        <f t="shared" si="19"/>
        <v>21.037066082722859</v>
      </c>
      <c r="Q47" s="101">
        <f t="shared" si="19"/>
        <v>21.301094673298028</v>
      </c>
      <c r="R47" s="101">
        <f t="shared" si="19"/>
        <v>21.567320554491658</v>
      </c>
      <c r="S47" s="101">
        <f t="shared" si="19"/>
        <v>21.835738728209783</v>
      </c>
      <c r="T47" s="101">
        <f t="shared" si="19"/>
        <v>22.106343478039168</v>
      </c>
      <c r="U47" s="101">
        <f t="shared" si="19"/>
        <v>22.379128350197536</v>
      </c>
      <c r="V47" s="101">
        <f t="shared" si="19"/>
        <v>22.654086134152198</v>
      </c>
      <c r="W47" s="101">
        <f t="shared" si="19"/>
        <v>22.931208842903949</v>
      </c>
      <c r="X47" s="101">
        <f t="shared" si="19"/>
        <v>23.210487692932972</v>
      </c>
      <c r="Y47" s="101">
        <f t="shared" si="19"/>
        <v>23.311758405020029</v>
      </c>
      <c r="Z47" s="101">
        <f t="shared" si="19"/>
        <v>23.409232091962426</v>
      </c>
      <c r="AA47" s="101">
        <f t="shared" si="19"/>
        <v>23.502789959973484</v>
      </c>
      <c r="AB47" s="101">
        <f t="shared" si="19"/>
        <v>23.592311772939496</v>
      </c>
      <c r="AC47" s="101">
        <f t="shared" si="19"/>
        <v>23.677675877252611</v>
      </c>
      <c r="AD47" s="101">
        <f t="shared" si="19"/>
        <v>23.758759228815791</v>
      </c>
      <c r="AE47" s="101">
        <f t="shared" si="19"/>
        <v>23.835437422306399</v>
      </c>
      <c r="AF47" s="101">
        <f t="shared" si="19"/>
        <v>23.907584722787</v>
      </c>
      <c r="AG47" s="101">
        <f t="shared" si="19"/>
        <v>23.975074099755389</v>
      </c>
      <c r="AH47" s="101">
        <f t="shared" si="19"/>
        <v>24.037777263728209</v>
      </c>
    </row>
    <row r="48" spans="1:34" outlineLevel="1" x14ac:dyDescent="0.2">
      <c r="A48"/>
      <c r="B48" t="s">
        <v>217</v>
      </c>
      <c r="C48" s="54" t="s">
        <v>153</v>
      </c>
      <c r="D48" s="44">
        <f>0</f>
        <v>0</v>
      </c>
      <c r="E48" s="44">
        <f>'Propylene Recycling LC'!D74*'Propylene Recycling LC'!D46-'Propylene Recycling LC'!$C$74*'Propylene Recycling LC'!$C$46</f>
        <v>1.6227898477090882E-2</v>
      </c>
      <c r="F48" s="44">
        <f>'Propylene Recycling LC'!E74*'Propylene Recycling LC'!E46-'Propylene Recycling LC'!$C$74*'Propylene Recycling LC'!$C$46</f>
        <v>3.7130770254623802E-2</v>
      </c>
      <c r="G48" s="44">
        <f>'Propylene Recycling LC'!F74*'Propylene Recycling LC'!F46-'Propylene Recycling LC'!$C$74*'Propylene Recycling LC'!$C$46</f>
        <v>6.2915283332907815E-2</v>
      </c>
      <c r="H48" s="44">
        <f>'Propylene Recycling LC'!G74*'Propylene Recycling LC'!G46-'Propylene Recycling LC'!$C$74*'Propylene Recycling LC'!$C$46</f>
        <v>9.3729169266802942E-2</v>
      </c>
      <c r="I48" s="44">
        <f>'Propylene Recycling LC'!H74*'Propylene Recycling LC'!H46-'Propylene Recycling LC'!$C$74*'Propylene Recycling LC'!$C$46</f>
        <v>0.12965554241839217</v>
      </c>
      <c r="J48" s="44">
        <f>'Propylene Recycling LC'!I74*'Propylene Recycling LC'!I46-'Propylene Recycling LC'!$C$74*'Propylene Recycling LC'!$C$46</f>
        <v>0.17112824836303306</v>
      </c>
      <c r="K48" s="44">
        <f>'Propylene Recycling LC'!J74*'Propylene Recycling LC'!J46-'Propylene Recycling LC'!$C$74*'Propylene Recycling LC'!$C$46</f>
        <v>0.21838956200023382</v>
      </c>
      <c r="L48" s="44">
        <f>'Propylene Recycling LC'!K74*'Propylene Recycling LC'!K46-'Propylene Recycling LC'!$C$74*'Propylene Recycling LC'!$C$46</f>
        <v>0.27167696343224379</v>
      </c>
      <c r="M48" s="44">
        <f>'Propylene Recycling LC'!L74*'Propylene Recycling LC'!L46-'Propylene Recycling LC'!$C$74*'Propylene Recycling LC'!$C$46</f>
        <v>0.33122222384627698</v>
      </c>
      <c r="N48" s="44">
        <f>'Propylene Recycling LC'!M74*'Propylene Recycling LC'!M46-'Propylene Recycling LC'!$C$74*'Propylene Recycling LC'!$C$46</f>
        <v>0.39725047977696948</v>
      </c>
      <c r="O48" s="44">
        <f>'Propylene Recycling LC'!N74*'Propylene Recycling LC'!N46-'Propylene Recycling LC'!$C$74*'Propylene Recycling LC'!$C$46</f>
        <v>0.50570570425462646</v>
      </c>
      <c r="P48" s="44">
        <f>'Propylene Recycling LC'!O74*'Propylene Recycling LC'!O46-'Propylene Recycling LC'!$C$74*'Propylene Recycling LC'!$C$46</f>
        <v>0.6262548249099954</v>
      </c>
      <c r="Q48" s="44">
        <f>'Propylene Recycling LC'!P74*'Propylene Recycling LC'!P46-'Propylene Recycling LC'!$C$74*'Propylene Recycling LC'!$C$46</f>
        <v>0.75604501913082456</v>
      </c>
      <c r="R48" s="44">
        <f>'Propylene Recycling LC'!Q74*'Propylene Recycling LC'!Q46-'Propylene Recycling LC'!$C$74*'Propylene Recycling LC'!$C$46</f>
        <v>0.8964316552797954</v>
      </c>
      <c r="S48" s="44">
        <f>'Propylene Recycling LC'!R74*'Propylene Recycling LC'!R46-'Propylene Recycling LC'!$C$74*'Propylene Recycling LC'!$C$46</f>
        <v>1.0468426542511873</v>
      </c>
      <c r="T48" s="44">
        <f>'Propylene Recycling LC'!S74*'Propylene Recycling LC'!S46-'Propylene Recycling LC'!$C$74*'Propylene Recycling LC'!$C$46</f>
        <v>1.2087971837214815</v>
      </c>
      <c r="U48" s="44">
        <f>'Propylene Recycling LC'!T74*'Propylene Recycling LC'!T46-'Propylene Recycling LC'!$C$74*'Propylene Recycling LC'!$C$46</f>
        <v>1.382404599443908</v>
      </c>
      <c r="V48" s="44">
        <f>'Propylene Recycling LC'!U74*'Propylene Recycling LC'!U46-'Propylene Recycling LC'!$C$74*'Propylene Recycling LC'!$C$46</f>
        <v>1.5677665738876476</v>
      </c>
      <c r="W48" s="44">
        <f>'Propylene Recycling LC'!V74*'Propylene Recycling LC'!V46-'Propylene Recycling LC'!$C$74*'Propylene Recycling LC'!$C$46</f>
        <v>1.7649769092937144</v>
      </c>
      <c r="X48" s="44">
        <f>'Propylene Recycling LC'!W74*'Propylene Recycling LC'!W46-'Propylene Recycling LC'!$C$74*'Propylene Recycling LC'!$C$46</f>
        <v>1.9741213563709707</v>
      </c>
      <c r="Y48" s="44">
        <f>'Propylene Recycling LC'!X74*'Propylene Recycling LC'!X46-'Propylene Recycling LC'!$C$74*'Propylene Recycling LC'!$C$46</f>
        <v>2.2799916108756664</v>
      </c>
      <c r="Z48" s="44">
        <f>'Propylene Recycling LC'!Y74*'Propylene Recycling LC'!Y46-'Propylene Recycling LC'!$C$74*'Propylene Recycling LC'!$C$46</f>
        <v>2.6057384606420948</v>
      </c>
      <c r="AA48" s="44">
        <f>'Propylene Recycling LC'!Z74*'Propylene Recycling LC'!Z46-'Propylene Recycling LC'!$C$74*'Propylene Recycling LC'!$C$46</f>
        <v>2.9270522168734003</v>
      </c>
      <c r="AB48" s="44">
        <f>'Propylene Recycling LC'!AA74*'Propylene Recycling LC'!AA46-'Propylene Recycling LC'!$C$74*'Propylene Recycling LC'!$C$46</f>
        <v>3.2622135223813369</v>
      </c>
      <c r="AC48" s="44">
        <f>'Propylene Recycling LC'!AB74*'Propylene Recycling LC'!AB46-'Propylene Recycling LC'!$C$74*'Propylene Recycling LC'!$C$46</f>
        <v>3.610740686991067</v>
      </c>
      <c r="AD48" s="44">
        <f>'Propylene Recycling LC'!AC74*'Propylene Recycling LC'!AC46-'Propylene Recycling LC'!$C$74*'Propylene Recycling LC'!$C$46</f>
        <v>3.9721645596957487</v>
      </c>
      <c r="AE48" s="44">
        <f>'Propylene Recycling LC'!AD74*'Propylene Recycling LC'!AD46-'Propylene Recycling LC'!$C$74*'Propylene Recycling LC'!$C$46</f>
        <v>4.3459640702086801</v>
      </c>
      <c r="AF48" s="44">
        <f>'Propylene Recycling LC'!AE74*'Propylene Recycling LC'!AE46-'Propylene Recycling LC'!$C$74*'Propylene Recycling LC'!$C$46</f>
        <v>4.731594532118466</v>
      </c>
      <c r="AG48" s="44">
        <f>'Propylene Recycling LC'!AF74*'Propylene Recycling LC'!AF46-'Propylene Recycling LC'!$C$74*'Propylene Recycling LC'!$C$46</f>
        <v>5.1284881228623265</v>
      </c>
      <c r="AH48" s="44">
        <f>'Propylene Recycling LC'!AG74*'Propylene Recycling LC'!AG46-'Propylene Recycling LC'!$C$74*'Propylene Recycling LC'!$C$46</f>
        <v>5.5360544032639467</v>
      </c>
    </row>
    <row r="49" spans="1:34" s="68" customFormat="1" x14ac:dyDescent="0.2">
      <c r="A49" s="62"/>
      <c r="B49" s="62" t="s">
        <v>219</v>
      </c>
      <c r="C49" s="63" t="s">
        <v>153</v>
      </c>
      <c r="D49" s="64">
        <f>D47-D48</f>
        <v>17.63451512942034</v>
      </c>
      <c r="E49" s="64">
        <f t="shared" ref="E49:AH49" si="20">E47-E48</f>
        <v>17.887568354570242</v>
      </c>
      <c r="F49" s="64">
        <f t="shared" si="20"/>
        <v>18.139970686523935</v>
      </c>
      <c r="G49" s="64">
        <f t="shared" si="20"/>
        <v>18.391574049824534</v>
      </c>
      <c r="H49" s="64">
        <f t="shared" si="20"/>
        <v>18.642290131058971</v>
      </c>
      <c r="I49" s="64">
        <f t="shared" si="20"/>
        <v>18.8920960707371</v>
      </c>
      <c r="J49" s="64">
        <f t="shared" si="20"/>
        <v>19.140619126158246</v>
      </c>
      <c r="K49" s="64">
        <f t="shared" si="20"/>
        <v>19.387678984715187</v>
      </c>
      <c r="L49" s="64">
        <f t="shared" si="20"/>
        <v>19.633100999574399</v>
      </c>
      <c r="M49" s="64">
        <f t="shared" si="20"/>
        <v>19.876717115498302</v>
      </c>
      <c r="N49" s="64">
        <f t="shared" si="20"/>
        <v>20.118366806434413</v>
      </c>
      <c r="O49" s="64">
        <f t="shared" si="20"/>
        <v>20.269533377007722</v>
      </c>
      <c r="P49" s="64">
        <f t="shared" si="20"/>
        <v>20.410811257812863</v>
      </c>
      <c r="Q49" s="64">
        <f t="shared" si="20"/>
        <v>20.545049654167205</v>
      </c>
      <c r="R49" s="64">
        <f t="shared" si="20"/>
        <v>20.670888899211864</v>
      </c>
      <c r="S49" s="64">
        <f t="shared" si="20"/>
        <v>20.788896073958597</v>
      </c>
      <c r="T49" s="64">
        <f t="shared" si="20"/>
        <v>20.897546294317685</v>
      </c>
      <c r="U49" s="64">
        <f t="shared" si="20"/>
        <v>20.996723750753628</v>
      </c>
      <c r="V49" s="64">
        <f t="shared" si="20"/>
        <v>21.086319560264549</v>
      </c>
      <c r="W49" s="64">
        <f t="shared" si="20"/>
        <v>21.166231933610234</v>
      </c>
      <c r="X49" s="64">
        <f t="shared" si="20"/>
        <v>21.236366336562</v>
      </c>
      <c r="Y49" s="64">
        <f t="shared" si="20"/>
        <v>21.031766794144364</v>
      </c>
      <c r="Z49" s="64">
        <f t="shared" si="20"/>
        <v>20.803493631320332</v>
      </c>
      <c r="AA49" s="64">
        <f t="shared" si="20"/>
        <v>20.575737743100085</v>
      </c>
      <c r="AB49" s="64">
        <f t="shared" si="20"/>
        <v>20.330098250558159</v>
      </c>
      <c r="AC49" s="64">
        <f t="shared" si="20"/>
        <v>20.066935190261542</v>
      </c>
      <c r="AD49" s="64">
        <f t="shared" si="20"/>
        <v>19.786594669120042</v>
      </c>
      <c r="AE49" s="64">
        <f t="shared" si="20"/>
        <v>19.489473352097718</v>
      </c>
      <c r="AF49" s="64">
        <f t="shared" si="20"/>
        <v>19.175990190668536</v>
      </c>
      <c r="AG49" s="64">
        <f t="shared" si="20"/>
        <v>18.846585976893063</v>
      </c>
      <c r="AH49" s="64">
        <f t="shared" si="20"/>
        <v>18.501722860464263</v>
      </c>
    </row>
    <row r="50" spans="1:34" s="67" customFormat="1" x14ac:dyDescent="0.2">
      <c r="A50" s="58" t="s">
        <v>221</v>
      </c>
      <c r="B50" s="58" t="s">
        <v>197</v>
      </c>
      <c r="C50" s="100" t="s">
        <v>153</v>
      </c>
      <c r="D50" s="101">
        <f>D31</f>
        <v>0</v>
      </c>
      <c r="E50" s="101">
        <f t="shared" ref="E50:AH50" si="21">E31</f>
        <v>0</v>
      </c>
      <c r="F50" s="101">
        <f t="shared" si="21"/>
        <v>0</v>
      </c>
      <c r="G50" s="101">
        <f t="shared" si="21"/>
        <v>0</v>
      </c>
      <c r="H50" s="101">
        <f t="shared" si="21"/>
        <v>0</v>
      </c>
      <c r="I50" s="101">
        <f t="shared" si="21"/>
        <v>0</v>
      </c>
      <c r="J50" s="101">
        <f t="shared" si="21"/>
        <v>0</v>
      </c>
      <c r="K50" s="101">
        <f t="shared" si="21"/>
        <v>0</v>
      </c>
      <c r="L50" s="101">
        <f t="shared" si="21"/>
        <v>0</v>
      </c>
      <c r="M50" s="101">
        <f t="shared" si="21"/>
        <v>0</v>
      </c>
      <c r="N50" s="101">
        <f t="shared" si="21"/>
        <v>0</v>
      </c>
      <c r="O50" s="101">
        <f t="shared" si="21"/>
        <v>0</v>
      </c>
      <c r="P50" s="101">
        <f t="shared" si="21"/>
        <v>0</v>
      </c>
      <c r="Q50" s="101">
        <f t="shared" si="21"/>
        <v>0</v>
      </c>
      <c r="R50" s="101">
        <f t="shared" si="21"/>
        <v>0</v>
      </c>
      <c r="S50" s="101">
        <f t="shared" si="21"/>
        <v>0</v>
      </c>
      <c r="T50" s="101">
        <f t="shared" si="21"/>
        <v>0</v>
      </c>
      <c r="U50" s="101">
        <f t="shared" si="21"/>
        <v>0</v>
      </c>
      <c r="V50" s="101">
        <f t="shared" si="21"/>
        <v>0</v>
      </c>
      <c r="W50" s="101">
        <f t="shared" si="21"/>
        <v>0</v>
      </c>
      <c r="X50" s="101">
        <f t="shared" si="21"/>
        <v>0</v>
      </c>
      <c r="Y50" s="101">
        <f t="shared" si="21"/>
        <v>0</v>
      </c>
      <c r="Z50" s="101">
        <f t="shared" si="21"/>
        <v>0</v>
      </c>
      <c r="AA50" s="101">
        <f t="shared" si="21"/>
        <v>0</v>
      </c>
      <c r="AB50" s="101">
        <f t="shared" si="21"/>
        <v>0</v>
      </c>
      <c r="AC50" s="101">
        <f t="shared" si="21"/>
        <v>0</v>
      </c>
      <c r="AD50" s="101">
        <f t="shared" si="21"/>
        <v>0</v>
      </c>
      <c r="AE50" s="101">
        <f t="shared" si="21"/>
        <v>0</v>
      </c>
      <c r="AF50" s="101">
        <f t="shared" si="21"/>
        <v>0</v>
      </c>
      <c r="AG50" s="101">
        <f t="shared" si="21"/>
        <v>0</v>
      </c>
      <c r="AH50" s="101">
        <f t="shared" si="21"/>
        <v>0</v>
      </c>
    </row>
    <row r="51" spans="1:34" outlineLevel="1" x14ac:dyDescent="0.2">
      <c r="A51"/>
      <c r="B51" t="s">
        <v>217</v>
      </c>
      <c r="C51" s="54" t="s">
        <v>153</v>
      </c>
      <c r="D51" s="44">
        <f>0</f>
        <v>0</v>
      </c>
      <c r="E51" s="44">
        <f>0</f>
        <v>0</v>
      </c>
      <c r="F51" s="44">
        <f>0</f>
        <v>0</v>
      </c>
      <c r="G51" s="44">
        <f>0</f>
        <v>0</v>
      </c>
      <c r="H51" s="44">
        <f>0</f>
        <v>0</v>
      </c>
      <c r="I51" s="44">
        <f>0</f>
        <v>0</v>
      </c>
      <c r="J51" s="44">
        <f>0</f>
        <v>0</v>
      </c>
      <c r="K51" s="44">
        <f>0</f>
        <v>0</v>
      </c>
      <c r="L51" s="44">
        <f>0</f>
        <v>0</v>
      </c>
      <c r="M51" s="44">
        <f>0</f>
        <v>0</v>
      </c>
      <c r="N51" s="44">
        <f>0</f>
        <v>0</v>
      </c>
      <c r="O51" s="44">
        <f>0</f>
        <v>0</v>
      </c>
      <c r="P51" s="44">
        <f>0</f>
        <v>0</v>
      </c>
      <c r="Q51" s="44">
        <f>0</f>
        <v>0</v>
      </c>
      <c r="R51" s="44">
        <f>0</f>
        <v>0</v>
      </c>
      <c r="S51" s="44">
        <f>0</f>
        <v>0</v>
      </c>
      <c r="T51" s="44">
        <f>0</f>
        <v>0</v>
      </c>
      <c r="U51" s="44">
        <f>0</f>
        <v>0</v>
      </c>
      <c r="V51" s="44">
        <f>0</f>
        <v>0</v>
      </c>
      <c r="W51" s="44">
        <f>0</f>
        <v>0</v>
      </c>
      <c r="X51" s="44">
        <f>0</f>
        <v>0</v>
      </c>
      <c r="Y51" s="44">
        <f>0</f>
        <v>0</v>
      </c>
      <c r="Z51" s="44">
        <f>0</f>
        <v>0</v>
      </c>
      <c r="AA51" s="44">
        <f>0</f>
        <v>0</v>
      </c>
      <c r="AB51" s="44">
        <f>0</f>
        <v>0</v>
      </c>
      <c r="AC51" s="44">
        <f>0</f>
        <v>0</v>
      </c>
      <c r="AD51" s="44">
        <f>0</f>
        <v>0</v>
      </c>
      <c r="AE51" s="44">
        <f>0</f>
        <v>0</v>
      </c>
      <c r="AF51" s="44">
        <f>0</f>
        <v>0</v>
      </c>
      <c r="AG51" s="44">
        <f>0</f>
        <v>0</v>
      </c>
      <c r="AH51" s="44">
        <f>0</f>
        <v>0</v>
      </c>
    </row>
    <row r="52" spans="1:34" outlineLevel="1" x14ac:dyDescent="0.2">
      <c r="A52"/>
      <c r="B52" t="s">
        <v>222</v>
      </c>
      <c r="C52" s="54" t="s">
        <v>153</v>
      </c>
      <c r="D52" s="44">
        <v>0</v>
      </c>
      <c r="E52" s="44">
        <v>0</v>
      </c>
      <c r="F52" s="44">
        <v>0</v>
      </c>
      <c r="G52" s="44">
        <v>0</v>
      </c>
      <c r="H52" s="44">
        <v>0</v>
      </c>
      <c r="I52" s="44">
        <v>0</v>
      </c>
      <c r="J52" s="44">
        <v>0</v>
      </c>
      <c r="K52" s="44">
        <v>0</v>
      </c>
      <c r="L52" s="44">
        <v>0</v>
      </c>
      <c r="M52" s="44">
        <v>0</v>
      </c>
      <c r="N52" s="44">
        <v>0</v>
      </c>
      <c r="O52" s="44">
        <v>0</v>
      </c>
      <c r="P52" s="44">
        <v>0</v>
      </c>
      <c r="Q52" s="44">
        <v>0</v>
      </c>
      <c r="R52" s="44">
        <v>0</v>
      </c>
      <c r="S52" s="44">
        <v>0</v>
      </c>
      <c r="T52" s="44">
        <v>0</v>
      </c>
      <c r="U52" s="44">
        <v>0</v>
      </c>
      <c r="V52" s="44">
        <v>0</v>
      </c>
      <c r="W52" s="44">
        <v>0</v>
      </c>
      <c r="X52" s="44">
        <v>0</v>
      </c>
      <c r="Y52" s="44">
        <v>0</v>
      </c>
      <c r="Z52" s="44">
        <v>0</v>
      </c>
      <c r="AA52" s="44">
        <v>0</v>
      </c>
      <c r="AB52" s="44">
        <v>0</v>
      </c>
      <c r="AC52" s="44">
        <v>0</v>
      </c>
      <c r="AD52" s="44">
        <v>0</v>
      </c>
      <c r="AE52" s="44">
        <v>0</v>
      </c>
      <c r="AF52" s="44">
        <v>0</v>
      </c>
      <c r="AG52" s="44">
        <v>0</v>
      </c>
      <c r="AH52" s="44">
        <v>0</v>
      </c>
    </row>
    <row r="53" spans="1:34" s="68" customFormat="1" x14ac:dyDescent="0.2">
      <c r="A53" s="62"/>
      <c r="B53" s="62" t="s">
        <v>219</v>
      </c>
      <c r="C53" s="63" t="s">
        <v>153</v>
      </c>
      <c r="D53" s="64">
        <f>D50-D51-D52</f>
        <v>0</v>
      </c>
      <c r="E53" s="64">
        <f t="shared" ref="E53:AH53" si="22">E50-E51-E52</f>
        <v>0</v>
      </c>
      <c r="F53" s="64">
        <f t="shared" si="22"/>
        <v>0</v>
      </c>
      <c r="G53" s="64">
        <f t="shared" si="22"/>
        <v>0</v>
      </c>
      <c r="H53" s="64">
        <f t="shared" si="22"/>
        <v>0</v>
      </c>
      <c r="I53" s="64">
        <f t="shared" si="22"/>
        <v>0</v>
      </c>
      <c r="J53" s="64">
        <f t="shared" si="22"/>
        <v>0</v>
      </c>
      <c r="K53" s="64">
        <f t="shared" si="22"/>
        <v>0</v>
      </c>
      <c r="L53" s="64">
        <f t="shared" si="22"/>
        <v>0</v>
      </c>
      <c r="M53" s="64">
        <f t="shared" si="22"/>
        <v>0</v>
      </c>
      <c r="N53" s="64">
        <f t="shared" si="22"/>
        <v>0</v>
      </c>
      <c r="O53" s="64">
        <f t="shared" si="22"/>
        <v>0</v>
      </c>
      <c r="P53" s="64">
        <f t="shared" si="22"/>
        <v>0</v>
      </c>
      <c r="Q53" s="64">
        <f t="shared" si="22"/>
        <v>0</v>
      </c>
      <c r="R53" s="64">
        <f t="shared" si="22"/>
        <v>0</v>
      </c>
      <c r="S53" s="64">
        <f t="shared" si="22"/>
        <v>0</v>
      </c>
      <c r="T53" s="64">
        <f t="shared" si="22"/>
        <v>0</v>
      </c>
      <c r="U53" s="64">
        <f t="shared" si="22"/>
        <v>0</v>
      </c>
      <c r="V53" s="64">
        <f t="shared" si="22"/>
        <v>0</v>
      </c>
      <c r="W53" s="64">
        <f t="shared" si="22"/>
        <v>0</v>
      </c>
      <c r="X53" s="64">
        <f t="shared" si="22"/>
        <v>0</v>
      </c>
      <c r="Y53" s="64">
        <f t="shared" si="22"/>
        <v>0</v>
      </c>
      <c r="Z53" s="64">
        <f t="shared" si="22"/>
        <v>0</v>
      </c>
      <c r="AA53" s="64">
        <f t="shared" si="22"/>
        <v>0</v>
      </c>
      <c r="AB53" s="64">
        <f t="shared" si="22"/>
        <v>0</v>
      </c>
      <c r="AC53" s="64">
        <f t="shared" si="22"/>
        <v>0</v>
      </c>
      <c r="AD53" s="64">
        <f t="shared" si="22"/>
        <v>0</v>
      </c>
      <c r="AE53" s="64">
        <f t="shared" si="22"/>
        <v>0</v>
      </c>
      <c r="AF53" s="64">
        <f t="shared" si="22"/>
        <v>0</v>
      </c>
      <c r="AG53" s="64">
        <f t="shared" si="22"/>
        <v>0</v>
      </c>
      <c r="AH53" s="64">
        <f t="shared" si="22"/>
        <v>0</v>
      </c>
    </row>
    <row r="54" spans="1:34" s="67" customFormat="1" x14ac:dyDescent="0.2">
      <c r="A54" s="58" t="s">
        <v>223</v>
      </c>
      <c r="B54" s="58" t="s">
        <v>197</v>
      </c>
      <c r="C54" s="100" t="s">
        <v>153</v>
      </c>
      <c r="D54" s="101">
        <f>D25</f>
        <v>12.379169704702877</v>
      </c>
      <c r="E54" s="101">
        <f t="shared" ref="E54:AH54" si="23">E25</f>
        <v>12.498214980501727</v>
      </c>
      <c r="F54" s="101">
        <f t="shared" si="23"/>
        <v>12.617730215633078</v>
      </c>
      <c r="G54" s="101">
        <f t="shared" si="23"/>
        <v>12.737696984629531</v>
      </c>
      <c r="H54" s="101">
        <f t="shared" si="23"/>
        <v>12.858096099739548</v>
      </c>
      <c r="I54" s="101">
        <f t="shared" si="23"/>
        <v>12.978907590334744</v>
      </c>
      <c r="J54" s="101">
        <f t="shared" si="23"/>
        <v>13.100110681837354</v>
      </c>
      <c r="K54" s="101">
        <f t="shared" si="23"/>
        <v>13.221683774157446</v>
      </c>
      <c r="L54" s="101">
        <f t="shared" si="23"/>
        <v>13.343604419629369</v>
      </c>
      <c r="M54" s="101">
        <f t="shared" si="23"/>
        <v>13.465849300436606</v>
      </c>
      <c r="N54" s="101">
        <f t="shared" si="23"/>
        <v>13.588394205514017</v>
      </c>
      <c r="O54" s="101">
        <f t="shared" si="23"/>
        <v>13.711214006916233</v>
      </c>
      <c r="P54" s="101">
        <f t="shared" si="23"/>
        <v>13.834282635640731</v>
      </c>
      <c r="Q54" s="101">
        <f t="shared" si="23"/>
        <v>13.957573056893864</v>
      </c>
      <c r="R54" s="101">
        <f t="shared" si="23"/>
        <v>14.081057244787901</v>
      </c>
      <c r="S54" s="101">
        <f t="shared" si="23"/>
        <v>14.204706156456897</v>
      </c>
      <c r="T54" s="101">
        <f t="shared" si="23"/>
        <v>14.328489705578892</v>
      </c>
      <c r="U54" s="101">
        <f t="shared" si="23"/>
        <v>14.452376735291821</v>
      </c>
      <c r="V54" s="101">
        <f t="shared" si="23"/>
        <v>14.576334990490075</v>
      </c>
      <c r="W54" s="101">
        <f t="shared" si="23"/>
        <v>14.700331089488573</v>
      </c>
      <c r="X54" s="101">
        <f t="shared" si="23"/>
        <v>14.824330495040765</v>
      </c>
      <c r="Y54" s="101">
        <f t="shared" si="23"/>
        <v>14.944417283825368</v>
      </c>
      <c r="Z54" s="101">
        <f t="shared" si="23"/>
        <v>15.06430279191558</v>
      </c>
      <c r="AA54" s="101">
        <f t="shared" si="23"/>
        <v>15.183945470685835</v>
      </c>
      <c r="AB54" s="101">
        <f t="shared" si="23"/>
        <v>15.303302417027412</v>
      </c>
      <c r="AC54" s="101">
        <f t="shared" si="23"/>
        <v>15.422329339303579</v>
      </c>
      <c r="AD54" s="101">
        <f t="shared" si="23"/>
        <v>15.540980522538611</v>
      </c>
      <c r="AE54" s="101">
        <f t="shared" si="23"/>
        <v>15.659208792824577</v>
      </c>
      <c r="AF54" s="101">
        <f t="shared" si="23"/>
        <v>15.776965480929253</v>
      </c>
      <c r="AG54" s="101">
        <f t="shared" si="23"/>
        <v>15.894200385088363</v>
      </c>
      <c r="AH54" s="101">
        <f t="shared" si="23"/>
        <v>16.010861732964891</v>
      </c>
    </row>
    <row r="55" spans="1:34" outlineLevel="1" x14ac:dyDescent="0.2">
      <c r="A55"/>
      <c r="B55" t="s">
        <v>217</v>
      </c>
      <c r="C55" s="54" t="s">
        <v>153</v>
      </c>
      <c r="D55" s="44">
        <f>0</f>
        <v>0</v>
      </c>
      <c r="E55" s="44">
        <f>'Propylene Recycling LC'!D85*'Propylene Recycling LC'!D47-'Propylene Recycling LC'!$C$85*'Propylene Recycling LC'!$C$47</f>
        <v>8.6642708277423087E-3</v>
      </c>
      <c r="F55" s="44">
        <f>'Propylene Recycling LC'!E85*'Propylene Recycling LC'!E47-'Propylene Recycling LC'!$C$85*'Propylene Recycling LC'!$C$47</f>
        <v>1.8391185006919643E-2</v>
      </c>
      <c r="G55" s="44">
        <f>'Propylene Recycling LC'!F85*'Propylene Recycling LC'!F47-'Propylene Recycling LC'!$C$85*'Propylene Recycling LC'!$C$47</f>
        <v>2.918218706996966E-2</v>
      </c>
      <c r="H55" s="44">
        <f>'Propylene Recycling LC'!G85*'Propylene Recycling LC'!G47-'Propylene Recycling LC'!$C$85*'Propylene Recycling LC'!$C$47</f>
        <v>4.1025316014492628E-2</v>
      </c>
      <c r="I55" s="44">
        <f>'Propylene Recycling LC'!H85*'Propylene Recycling LC'!H47-'Propylene Recycling LC'!$C$85*'Propylene Recycling LC'!$C$47</f>
        <v>5.3894591601988978E-2</v>
      </c>
      <c r="J55" s="44">
        <f>'Propylene Recycling LC'!I85*'Propylene Recycling LC'!I47-'Propylene Recycling LC'!$C$85*'Propylene Recycling LC'!$C$47</f>
        <v>6.7928942654131838E-2</v>
      </c>
      <c r="K55" s="44">
        <f>'Propylene Recycling LC'!J85*'Propylene Recycling LC'!J47-'Propylene Recycling LC'!$C$85*'Propylene Recycling LC'!$C$47</f>
        <v>8.3170251029573136E-2</v>
      </c>
      <c r="L55" s="44">
        <f>'Propylene Recycling LC'!K85*'Propylene Recycling LC'!K47-'Propylene Recycling LC'!$C$85*'Propylene Recycling LC'!$C$47</f>
        <v>9.9659410847217134E-2</v>
      </c>
      <c r="M55" s="44">
        <f>'Propylene Recycling LC'!L85*'Propylene Recycling LC'!L47-'Propylene Recycling LC'!$C$85*'Propylene Recycling LC'!$C$47</f>
        <v>0.11743616800870907</v>
      </c>
      <c r="N55" s="44">
        <f>'Propylene Recycling LC'!M85*'Propylene Recycling LC'!M47-'Propylene Recycling LC'!$C$85*'Propylene Recycling LC'!$C$47</f>
        <v>0.13653895749302175</v>
      </c>
      <c r="O55" s="44">
        <f>'Propylene Recycling LC'!N85*'Propylene Recycling LC'!N47-'Propylene Recycling LC'!$C$85*'Propylene Recycling LC'!$C$47</f>
        <v>0.1712096606040743</v>
      </c>
      <c r="P55" s="44">
        <f>'Propylene Recycling LC'!O85*'Propylene Recycling LC'!O47-'Propylene Recycling LC'!$C$85*'Propylene Recycling LC'!$C$47</f>
        <v>0.20822351011682744</v>
      </c>
      <c r="Q55" s="44">
        <f>'Propylene Recycling LC'!P85*'Propylene Recycling LC'!P47-'Propylene Recycling LC'!$C$85*'Propylene Recycling LC'!$C$47</f>
        <v>0.24747241317485957</v>
      </c>
      <c r="R55" s="44">
        <f>'Propylene Recycling LC'!Q85*'Propylene Recycling LC'!Q47-'Propylene Recycling LC'!$C$85*'Propylene Recycling LC'!$C$47</f>
        <v>0.28882258265306715</v>
      </c>
      <c r="S55" s="44">
        <f>'Propylene Recycling LC'!R85*'Propylene Recycling LC'!R47-'Propylene Recycling LC'!$C$85*'Propylene Recycling LC'!$C$47</f>
        <v>0.33211490566052143</v>
      </c>
      <c r="T55" s="44">
        <f>'Propylene Recycling LC'!S85*'Propylene Recycling LC'!S47-'Propylene Recycling LC'!$C$85*'Propylene Recycling LC'!$C$47</f>
        <v>0.37787287267110781</v>
      </c>
      <c r="U55" s="44">
        <f>'Propylene Recycling LC'!T85*'Propylene Recycling LC'!T47-'Propylene Recycling LC'!$C$85*'Propylene Recycling LC'!$C$47</f>
        <v>0.42614709294489456</v>
      </c>
      <c r="V55" s="44">
        <f>'Propylene Recycling LC'!U85*'Propylene Recycling LC'!U47-'Propylene Recycling LC'!$C$85*'Propylene Recycling LC'!$C$47</f>
        <v>0.47698778079529225</v>
      </c>
      <c r="W55" s="44">
        <f>'Propylene Recycling LC'!V85*'Propylene Recycling LC'!V47-'Propylene Recycling LC'!$C$85*'Propylene Recycling LC'!$C$47</f>
        <v>0.53044471144715744</v>
      </c>
      <c r="X55" s="44">
        <f>'Propylene Recycling LC'!W85*'Propylene Recycling LC'!W47-'Propylene Recycling LC'!$C$85*'Propylene Recycling LC'!$C$47</f>
        <v>0.58656717644544554</v>
      </c>
      <c r="Y55" s="44">
        <f>'Propylene Recycling LC'!X85*'Propylene Recycling LC'!X47-'Propylene Recycling LC'!$C$85*'Propylene Recycling LC'!$C$47</f>
        <v>0.67191247524001785</v>
      </c>
      <c r="Z55" s="44">
        <f>'Propylene Recycling LC'!Y85*'Propylene Recycling LC'!Y47-'Propylene Recycling LC'!$C$85*'Propylene Recycling LC'!$C$47</f>
        <v>0.76171387218216446</v>
      </c>
      <c r="AA55" s="44">
        <f>'Propylene Recycling LC'!Z85*'Propylene Recycling LC'!Z47-'Propylene Recycling LC'!$C$85*'Propylene Recycling LC'!$C$47</f>
        <v>0.85605553945593005</v>
      </c>
      <c r="AB55" s="44">
        <f>'Propylene Recycling LC'!AA85*'Propylene Recycling LC'!AA47-'Propylene Recycling LC'!$C$85*'Propylene Recycling LC'!$C$47</f>
        <v>0.95502094667211523</v>
      </c>
      <c r="AC55" s="44">
        <f>'Propylene Recycling LC'!AB85*'Propylene Recycling LC'!AB47-'Propylene Recycling LC'!$C$85*'Propylene Recycling LC'!$C$47</f>
        <v>1.0586927936322148</v>
      </c>
      <c r="AD55" s="44">
        <f>'Propylene Recycling LC'!AC85*'Propylene Recycling LC'!AC47-'Propylene Recycling LC'!$C$85*'Propylene Recycling LC'!$C$47</f>
        <v>1.1671641223260947</v>
      </c>
      <c r="AE55" s="44">
        <f>'Propylene Recycling LC'!AD85*'Propylene Recycling LC'!AD47-'Propylene Recycling LC'!$C$85*'Propylene Recycling LC'!$C$47</f>
        <v>1.2805191198142907</v>
      </c>
      <c r="AF55" s="44">
        <f>'Propylene Recycling LC'!AE85*'Propylene Recycling LC'!AE47-'Propylene Recycling LC'!$C$85*'Propylene Recycling LC'!$C$47</f>
        <v>1.3988412854753998</v>
      </c>
      <c r="AG55" s="44">
        <f>'Propylene Recycling LC'!AF85*'Propylene Recycling LC'!AF47-'Propylene Recycling LC'!$C$85*'Propylene Recycling LC'!$C$47</f>
        <v>1.5222133699825433</v>
      </c>
      <c r="AH55" s="44">
        <f>'Propylene Recycling LC'!AG85*'Propylene Recycling LC'!AG47-'Propylene Recycling LC'!$C$85*'Propylene Recycling LC'!$C$47</f>
        <v>1.6507173137739004</v>
      </c>
    </row>
    <row r="56" spans="1:34" outlineLevel="1" x14ac:dyDescent="0.2">
      <c r="A56"/>
      <c r="B56" t="s">
        <v>222</v>
      </c>
      <c r="C56" s="54" t="s">
        <v>153</v>
      </c>
      <c r="D56" s="44">
        <f>0</f>
        <v>0</v>
      </c>
      <c r="E56" s="44">
        <f>'Propylene Recycling LC'!D63*'Propylene Recycling LC'!D45-'Propylene Recycling LC'!$C$63*'Propylene Recycling LC'!$C$45</f>
        <v>0.1335207063205226</v>
      </c>
      <c r="F56" s="44">
        <f>'Propylene Recycling LC'!E63*'Propylene Recycling LC'!E45-'Propylene Recycling LC'!$C$63*'Propylene Recycling LC'!$C$45</f>
        <v>0.27161887651110606</v>
      </c>
      <c r="G56" s="44">
        <f>'Propylene Recycling LC'!F63*'Propylene Recycling LC'!F45-'Propylene Recycling LC'!$C$63*'Propylene Recycling LC'!$C$45</f>
        <v>0.41362037001605034</v>
      </c>
      <c r="H56" s="44">
        <f>'Propylene Recycling LC'!G63*'Propylene Recycling LC'!G45-'Propylene Recycling LC'!$C$63*'Propylene Recycling LC'!$C$45</f>
        <v>0.55876945519015897</v>
      </c>
      <c r="I56" s="44">
        <f>'Propylene Recycling LC'!H63*'Propylene Recycling LC'!H45-'Propylene Recycling LC'!$C$63*'Propylene Recycling LC'!$C$45</f>
        <v>0.70623452138639897</v>
      </c>
      <c r="J56" s="44">
        <f>'Propylene Recycling LC'!I63*'Propylene Recycling LC'!I45-'Propylene Recycling LC'!$C$63*'Propylene Recycling LC'!$C$45</f>
        <v>0.86010845372003097</v>
      </c>
      <c r="K56" s="44">
        <f>'Propylene Recycling LC'!J63*'Propylene Recycling LC'!J45-'Propylene Recycling LC'!$C$63*'Propylene Recycling LC'!$C$45</f>
        <v>1.0204261609516754</v>
      </c>
      <c r="L56" s="44">
        <f>'Propylene Recycling LC'!K63*'Propylene Recycling LC'!K45-'Propylene Recycling LC'!$C$63*'Propylene Recycling LC'!$C$45</f>
        <v>1.1872090335200511</v>
      </c>
      <c r="M56" s="44">
        <f>'Propylene Recycling LC'!L63*'Propylene Recycling LC'!L45-'Propylene Recycling LC'!$C$63*'Propylene Recycling LC'!$C$45</f>
        <v>1.360464389844269</v>
      </c>
      <c r="N56" s="44">
        <f>'Propylene Recycling LC'!M63*'Propylene Recycling LC'!M45-'Propylene Recycling LC'!$C$63*'Propylene Recycling LC'!$C$45</f>
        <v>1.5401849515192352</v>
      </c>
      <c r="O56" s="44">
        <f>'Propylene Recycling LC'!N63*'Propylene Recycling LC'!N45-'Propylene Recycling LC'!$C$63*'Propylene Recycling LC'!$C$45</f>
        <v>1.8147513952519254</v>
      </c>
      <c r="P56" s="44">
        <f>'Propylene Recycling LC'!O63*'Propylene Recycling LC'!O45-'Propylene Recycling LC'!$C$63*'Propylene Recycling LC'!$C$45</f>
        <v>2.0969073573981278</v>
      </c>
      <c r="Q56" s="44">
        <f>'Propylene Recycling LC'!P63*'Propylene Recycling LC'!P45-'Propylene Recycling LC'!$C$63*'Propylene Recycling LC'!$C$45</f>
        <v>2.3800729793227795</v>
      </c>
      <c r="R56" s="44">
        <f>'Propylene Recycling LC'!Q63*'Propylene Recycling LC'!Q45-'Propylene Recycling LC'!$C$63*'Propylene Recycling LC'!$C$45</f>
        <v>2.6655125345374309</v>
      </c>
      <c r="S56" s="44">
        <f>'Propylene Recycling LC'!R63*'Propylene Recycling LC'!R45-'Propylene Recycling LC'!$C$63*'Propylene Recycling LC'!$C$45</f>
        <v>2.9515883377446368</v>
      </c>
      <c r="T56" s="44">
        <f>'Propylene Recycling LC'!S63*'Propylene Recycling LC'!S45-'Propylene Recycling LC'!$C$63*'Propylene Recycling LC'!$C$45</f>
        <v>3.2450602100944641</v>
      </c>
      <c r="U56" s="44">
        <f>'Propylene Recycling LC'!T63*'Propylene Recycling LC'!T45-'Propylene Recycling LC'!$C$63*'Propylene Recycling LC'!$C$45</f>
        <v>3.5457742719249739</v>
      </c>
      <c r="V56" s="44">
        <f>'Propylene Recycling LC'!U63*'Propylene Recycling LC'!U45-'Propylene Recycling LC'!$C$63*'Propylene Recycling LC'!$C$45</f>
        <v>3.8535651562539286</v>
      </c>
      <c r="W56" s="44">
        <f>'Propylene Recycling LC'!V63*'Propylene Recycling LC'!V45-'Propylene Recycling LC'!$C$63*'Propylene Recycling LC'!$C$45</f>
        <v>4.1682559302207878</v>
      </c>
      <c r="X56" s="44">
        <f>'Propylene Recycling LC'!W63*'Propylene Recycling LC'!W45-'Propylene Recycling LC'!$C$63*'Propylene Recycling LC'!$C$45</f>
        <v>4.4896580273042908</v>
      </c>
      <c r="Y56" s="44">
        <f>'Propylene Recycling LC'!X63*'Propylene Recycling LC'!X45-'Propylene Recycling LC'!$C$63*'Propylene Recycling LC'!$C$45</f>
        <v>4.9159309712000692</v>
      </c>
      <c r="Z56" s="44">
        <f>'Propylene Recycling LC'!Y63*'Propylene Recycling LC'!Y45-'Propylene Recycling LC'!$C$63*'Propylene Recycling LC'!$C$45</f>
        <v>5.3868383861835225</v>
      </c>
      <c r="AA56" s="44">
        <f>'Propylene Recycling LC'!Z63*'Propylene Recycling LC'!Z45-'Propylene Recycling LC'!$C$63*'Propylene Recycling LC'!$C$45</f>
        <v>5.8683898102678578</v>
      </c>
      <c r="AB56" s="44">
        <f>'Propylene Recycling LC'!AA63*'Propylene Recycling LC'!AA45-'Propylene Recycling LC'!$C$63*'Propylene Recycling LC'!$C$45</f>
        <v>6.3602821045697491</v>
      </c>
      <c r="AC56" s="44">
        <f>'Propylene Recycling LC'!AB63*'Propylene Recycling LC'!AB45-'Propylene Recycling LC'!$C$63*'Propylene Recycling LC'!$C$45</f>
        <v>6.8621944297317423</v>
      </c>
      <c r="AD56" s="44">
        <f>'Propylene Recycling LC'!AC63*'Propylene Recycling LC'!AC45-'Propylene Recycling LC'!$C$63*'Propylene Recycling LC'!$C$45</f>
        <v>7.3738716867566563</v>
      </c>
      <c r="AE56" s="44">
        <f>'Propylene Recycling LC'!AD63*'Propylene Recycling LC'!AD45-'Propylene Recycling LC'!$C$63*'Propylene Recycling LC'!$C$45</f>
        <v>7.8949723389715452</v>
      </c>
      <c r="AF56" s="44">
        <f>'Propylene Recycling LC'!AE63*'Propylene Recycling LC'!AE45-'Propylene Recycling LC'!$C$63*'Propylene Recycling LC'!$C$45</f>
        <v>8.4251375281318559</v>
      </c>
      <c r="AG56" s="44">
        <f>'Propylene Recycling LC'!AF63*'Propylene Recycling LC'!AF45-'Propylene Recycling LC'!$C$63*'Propylene Recycling LC'!$C$45</f>
        <v>8.9639910188821226</v>
      </c>
      <c r="AH56" s="44">
        <f>'Propylene Recycling LC'!AG63*'Propylene Recycling LC'!AG45-'Propylene Recycling LC'!$C$63*'Propylene Recycling LC'!$C$45</f>
        <v>9.5111391574027486</v>
      </c>
    </row>
    <row r="57" spans="1:34" outlineLevel="1" x14ac:dyDescent="0.2">
      <c r="A57"/>
      <c r="B57" t="s">
        <v>226</v>
      </c>
      <c r="C57" s="54" t="s">
        <v>153</v>
      </c>
      <c r="D57" s="44">
        <v>0</v>
      </c>
      <c r="E57" s="44">
        <v>0</v>
      </c>
      <c r="F57" s="44">
        <v>0</v>
      </c>
      <c r="G57" s="44">
        <v>0</v>
      </c>
      <c r="H57" s="44">
        <v>0</v>
      </c>
      <c r="I57" s="44">
        <v>0</v>
      </c>
      <c r="J57" s="44">
        <v>0</v>
      </c>
      <c r="K57" s="44">
        <v>0</v>
      </c>
      <c r="L57" s="44">
        <v>0</v>
      </c>
      <c r="M57" s="44">
        <v>0</v>
      </c>
      <c r="N57" s="44">
        <v>0</v>
      </c>
      <c r="O57" s="44">
        <v>0</v>
      </c>
      <c r="P57" s="44">
        <v>0</v>
      </c>
      <c r="Q57" s="44">
        <v>0</v>
      </c>
      <c r="R57" s="44">
        <v>0</v>
      </c>
      <c r="S57" s="44">
        <v>0</v>
      </c>
      <c r="T57" s="44">
        <v>0</v>
      </c>
      <c r="U57" s="44">
        <v>0</v>
      </c>
      <c r="V57" s="44">
        <v>0</v>
      </c>
      <c r="W57" s="44">
        <v>0</v>
      </c>
      <c r="X57" s="44">
        <v>0</v>
      </c>
      <c r="Y57" s="44">
        <v>0</v>
      </c>
      <c r="Z57" s="44">
        <v>0</v>
      </c>
      <c r="AA57" s="44">
        <v>0</v>
      </c>
      <c r="AB57" s="44">
        <v>0</v>
      </c>
      <c r="AC57" s="44">
        <v>0</v>
      </c>
      <c r="AD57" s="44">
        <v>0</v>
      </c>
      <c r="AE57" s="44">
        <v>0</v>
      </c>
      <c r="AF57" s="44">
        <v>0</v>
      </c>
      <c r="AG57" s="44">
        <v>0</v>
      </c>
      <c r="AH57" s="44">
        <v>0</v>
      </c>
    </row>
    <row r="58" spans="1:34" outlineLevel="1" x14ac:dyDescent="0.2">
      <c r="A58" s="181"/>
      <c r="B58" s="181" t="s">
        <v>218</v>
      </c>
      <c r="C58" s="176" t="s">
        <v>153</v>
      </c>
      <c r="D58" s="238">
        <f>0</f>
        <v>0</v>
      </c>
      <c r="E58" s="238">
        <f>'Propylene Recycling LC'!D76*'Propylene Recycling LC'!D46-'Propylene Recycling LC'!$C$76*'Propylene Recycling LC'!$C$46</f>
        <v>3.6732205051899919E-2</v>
      </c>
      <c r="F58" s="238">
        <f>'Propylene Recycling LC'!E76*'Propylene Recycling LC'!E46-'Propylene Recycling LC'!$C$76*'Propylene Recycling LC'!$C$46</f>
        <v>7.3086485923120587E-2</v>
      </c>
      <c r="G58" s="238">
        <f>'Propylene Recycling LC'!F76*'Propylene Recycling LC'!F46-'Propylene Recycling LC'!$C$76*'Propylene Recycling LC'!$C$46</f>
        <v>0.10868989433771881</v>
      </c>
      <c r="H58" s="238">
        <f>'Propylene Recycling LC'!G76*'Propylene Recycling LC'!G46-'Propylene Recycling LC'!$C$76*'Propylene Recycling LC'!$C$46</f>
        <v>0.14317080633662144</v>
      </c>
      <c r="I58" s="238">
        <f>'Propylene Recycling LC'!H76*'Propylene Recycling LC'!H46-'Propylene Recycling LC'!$C$76*'Propylene Recycling LC'!$C$46</f>
        <v>0.17616469990404093</v>
      </c>
      <c r="J58" s="238">
        <f>'Propylene Recycling LC'!I76*'Propylene Recycling LC'!I46-'Propylene Recycling LC'!$C$76*'Propylene Recycling LC'!$C$46</f>
        <v>0.20807657134446234</v>
      </c>
      <c r="K58" s="238">
        <f>'Propylene Recycling LC'!J76*'Propylene Recycling LC'!J46-'Propylene Recycling LC'!$C$76*'Propylene Recycling LC'!$C$46</f>
        <v>0.23876525158561018</v>
      </c>
      <c r="L58" s="238">
        <f>'Propylene Recycling LC'!K76*'Propylene Recycling LC'!K46-'Propylene Recycling LC'!$C$76*'Propylene Recycling LC'!$C$46</f>
        <v>0.26808825813427029</v>
      </c>
      <c r="M58" s="238">
        <f>'Propylene Recycling LC'!L76*'Propylene Recycling LC'!L46-'Propylene Recycling LC'!$C$76*'Propylene Recycling LC'!$C$46</f>
        <v>0.29590220779799919</v>
      </c>
      <c r="N58" s="238">
        <f>'Propylene Recycling LC'!M76*'Propylene Recycling LC'!M46-'Propylene Recycling LC'!$C$76*'Propylene Recycling LC'!$C$46</f>
        <v>0.32206324474578285</v>
      </c>
      <c r="O58" s="238">
        <f>'Propylene Recycling LC'!N76*'Propylene Recycling LC'!N46-'Propylene Recycling LC'!$C$76*'Propylene Recycling LC'!$C$46</f>
        <v>0.38185478305756887</v>
      </c>
      <c r="P58" s="238">
        <f>'Propylene Recycling LC'!O76*'Propylene Recycling LC'!O46-'Propylene Recycling LC'!$C$76*'Propylene Recycling LC'!$C$46</f>
        <v>0.43729170668977663</v>
      </c>
      <c r="Q58" s="238">
        <f>'Propylene Recycling LC'!P76*'Propylene Recycling LC'!P46-'Propylene Recycling LC'!$C$76*'Propylene Recycling LC'!$C$46</f>
        <v>0.48571786356829011</v>
      </c>
      <c r="R58" s="238">
        <f>'Propylene Recycling LC'!Q76*'Propylene Recycling LC'!Q46-'Propylene Recycling LC'!$C$76*'Propylene Recycling LC'!$C$46</f>
        <v>0.52850437791511506</v>
      </c>
      <c r="S58" s="238">
        <f>'Propylene Recycling LC'!R76*'Propylene Recycling LC'!R46-'Propylene Recycling LC'!$C$76*'Propylene Recycling LC'!$C$46</f>
        <v>0.56529382709594711</v>
      </c>
      <c r="T58" s="238">
        <f>'Propylene Recycling LC'!S76*'Propylene Recycling LC'!S46-'Propylene Recycling LC'!$C$76*'Propylene Recycling LC'!$C$46</f>
        <v>0.59712047611653807</v>
      </c>
      <c r="U58" s="238">
        <f>'Propylene Recycling LC'!T76*'Propylene Recycling LC'!T46-'Propylene Recycling LC'!$C$76*'Propylene Recycling LC'!$C$46</f>
        <v>0.62389056822565525</v>
      </c>
      <c r="V58" s="238">
        <f>'Propylene Recycling LC'!U76*'Propylene Recycling LC'!U46-'Propylene Recycling LC'!$C$76*'Propylene Recycling LC'!$C$46</f>
        <v>0.6455134558493254</v>
      </c>
      <c r="W58" s="238">
        <f>'Propylene Recycling LC'!V76*'Propylene Recycling LC'!V46-'Propylene Recycling LC'!$C$76*'Propylene Recycling LC'!$C$46</f>
        <v>0.66190171482549243</v>
      </c>
      <c r="X58" s="238">
        <f>'Propylene Recycling LC'!W76*'Propylene Recycling LC'!W46-'Propylene Recycling LC'!$C$76*'Propylene Recycling LC'!$C$46</f>
        <v>0.67297125656554657</v>
      </c>
      <c r="Y58" s="238">
        <f>'Propylene Recycling LC'!X76*'Propylene Recycling LC'!X46-'Propylene Recycling LC'!$C$76*'Propylene Recycling LC'!$C$46</f>
        <v>0.7100204956688414</v>
      </c>
      <c r="Z58" s="238">
        <f>'Propylene Recycling LC'!Y76*'Propylene Recycling LC'!Y46-'Propylene Recycling LC'!$C$76*'Propylene Recycling LC'!$C$46</f>
        <v>0.73825190606943281</v>
      </c>
      <c r="AA58" s="238">
        <f>'Propylene Recycling LC'!Z76*'Propylene Recycling LC'!Z46-'Propylene Recycling LC'!$C$76*'Propylene Recycling LC'!$C$46</f>
        <v>0.7501319464569236</v>
      </c>
      <c r="AB58" s="238">
        <f>'Propylene Recycling LC'!AA76*'Propylene Recycling LC'!AA46-'Propylene Recycling LC'!$C$76*'Propylene Recycling LC'!$C$46</f>
        <v>0.75269310928415645</v>
      </c>
      <c r="AC58" s="238">
        <f>'Propylene Recycling LC'!AB76*'Propylene Recycling LC'!AB46-'Propylene Recycling LC'!$C$76*'Propylene Recycling LC'!$C$46</f>
        <v>0.74604179704279128</v>
      </c>
      <c r="AD58" s="238">
        <f>'Propylene Recycling LC'!AC76*'Propylene Recycling LC'!AC46-'Propylene Recycling LC'!$C$76*'Propylene Recycling LC'!$C$46</f>
        <v>0.73030680052429764</v>
      </c>
      <c r="AE58" s="238">
        <f>'Propylene Recycling LC'!AD76*'Propylene Recycling LC'!AD46-'Propylene Recycling LC'!$C$76*'Propylene Recycling LC'!$C$46</f>
        <v>0.70562201029945459</v>
      </c>
      <c r="AF58" s="238">
        <f>'Propylene Recycling LC'!AE76*'Propylene Recycling LC'!AE46-'Propylene Recycling LC'!$C$76*'Propylene Recycling LC'!$C$46</f>
        <v>0.67213476480935608</v>
      </c>
      <c r="AG58" s="238">
        <f>'Propylene Recycling LC'!AF76*'Propylene Recycling LC'!AF46-'Propylene Recycling LC'!$C$76*'Propylene Recycling LC'!$C$46</f>
        <v>0.63000574187189895</v>
      </c>
      <c r="AH58" s="238">
        <f>'Propylene Recycling LC'!AG76*'Propylene Recycling LC'!AG46-'Propylene Recycling LC'!$C$76*'Propylene Recycling LC'!$C$46</f>
        <v>0.57940882993499088</v>
      </c>
    </row>
    <row r="59" spans="1:34" s="68" customFormat="1" x14ac:dyDescent="0.2">
      <c r="A59" s="239"/>
      <c r="B59" s="239" t="s">
        <v>219</v>
      </c>
      <c r="C59" s="240" t="s">
        <v>153</v>
      </c>
      <c r="D59" s="241">
        <f>D54-D55-D56-D57-D58</f>
        <v>12.379169704702877</v>
      </c>
      <c r="E59" s="241">
        <f t="shared" ref="E59:AH59" si="24">E54-E55-E56-E57-E58</f>
        <v>12.319297798301562</v>
      </c>
      <c r="F59" s="241">
        <f t="shared" si="24"/>
        <v>12.254633668191932</v>
      </c>
      <c r="G59" s="241">
        <f t="shared" si="24"/>
        <v>12.186204533205794</v>
      </c>
      <c r="H59" s="241">
        <f t="shared" si="24"/>
        <v>12.115130522198275</v>
      </c>
      <c r="I59" s="241">
        <f t="shared" si="24"/>
        <v>12.042613777442316</v>
      </c>
      <c r="J59" s="241">
        <f t="shared" si="24"/>
        <v>11.96399671411873</v>
      </c>
      <c r="K59" s="241">
        <f t="shared" si="24"/>
        <v>11.879322110590588</v>
      </c>
      <c r="L59" s="241">
        <f t="shared" si="24"/>
        <v>11.78864771712783</v>
      </c>
      <c r="M59" s="241">
        <f t="shared" si="24"/>
        <v>11.692046534785629</v>
      </c>
      <c r="N59" s="241">
        <f t="shared" si="24"/>
        <v>11.589607051755978</v>
      </c>
      <c r="O59" s="241">
        <f t="shared" si="24"/>
        <v>11.343398168002665</v>
      </c>
      <c r="P59" s="241">
        <f t="shared" si="24"/>
        <v>11.091860061435998</v>
      </c>
      <c r="Q59" s="241">
        <f t="shared" si="24"/>
        <v>10.844309800827935</v>
      </c>
      <c r="R59" s="241">
        <f t="shared" si="24"/>
        <v>10.598217749682288</v>
      </c>
      <c r="S59" s="241">
        <f t="shared" si="24"/>
        <v>10.355709085955791</v>
      </c>
      <c r="T59" s="241">
        <f t="shared" si="24"/>
        <v>10.10843614669678</v>
      </c>
      <c r="U59" s="241">
        <f t="shared" si="24"/>
        <v>9.8565648021962993</v>
      </c>
      <c r="V59" s="241">
        <f t="shared" si="24"/>
        <v>9.6002685975915281</v>
      </c>
      <c r="W59" s="241">
        <f t="shared" si="24"/>
        <v>9.339728732995134</v>
      </c>
      <c r="X59" s="241">
        <f t="shared" si="24"/>
        <v>9.0751340347254832</v>
      </c>
      <c r="Y59" s="241">
        <f t="shared" si="24"/>
        <v>8.6465533417164391</v>
      </c>
      <c r="Z59" s="241">
        <f t="shared" si="24"/>
        <v>8.1774986274804604</v>
      </c>
      <c r="AA59" s="241">
        <f t="shared" si="24"/>
        <v>7.7093681745051246</v>
      </c>
      <c r="AB59" s="241">
        <f t="shared" si="24"/>
        <v>7.2353062565013904</v>
      </c>
      <c r="AC59" s="241">
        <f t="shared" si="24"/>
        <v>6.7554003188968306</v>
      </c>
      <c r="AD59" s="241">
        <f t="shared" si="24"/>
        <v>6.2696379129315609</v>
      </c>
      <c r="AE59" s="241">
        <f t="shared" si="24"/>
        <v>5.7780953237392874</v>
      </c>
      <c r="AF59" s="241">
        <f t="shared" si="24"/>
        <v>5.2808519025126417</v>
      </c>
      <c r="AG59" s="241">
        <f t="shared" si="24"/>
        <v>4.7779902543517982</v>
      </c>
      <c r="AH59" s="241">
        <f t="shared" si="24"/>
        <v>4.2695964318532518</v>
      </c>
    </row>
    <row r="60" spans="1:34" x14ac:dyDescent="0.2">
      <c r="A60" s="178" t="s">
        <v>225</v>
      </c>
      <c r="B60" s="242" t="s">
        <v>197</v>
      </c>
      <c r="C60" s="243" t="s">
        <v>153</v>
      </c>
      <c r="D60" s="180">
        <f>D35+D38</f>
        <v>35.064810426540291</v>
      </c>
      <c r="E60" s="180">
        <f t="shared" ref="E60:AH60" si="25">E35+E38</f>
        <v>35.997590329378298</v>
      </c>
      <c r="F60" s="180">
        <f t="shared" si="25"/>
        <v>36.949354893111249</v>
      </c>
      <c r="G60" s="180">
        <f t="shared" si="25"/>
        <v>37.920434919250148</v>
      </c>
      <c r="H60" s="180">
        <f t="shared" si="25"/>
        <v>38.911166139383703</v>
      </c>
      <c r="I60" s="180">
        <f t="shared" si="25"/>
        <v>39.921889271164488</v>
      </c>
      <c r="J60" s="180">
        <f t="shared" si="25"/>
        <v>40.736601579480471</v>
      </c>
      <c r="K60" s="180">
        <f t="shared" si="25"/>
        <v>41.565298585299175</v>
      </c>
      <c r="L60" s="180">
        <f t="shared" si="25"/>
        <v>42.40818797271745</v>
      </c>
      <c r="M60" s="180">
        <f t="shared" si="25"/>
        <v>43.265479951472663</v>
      </c>
      <c r="N60" s="180">
        <f t="shared" si="25"/>
        <v>44.137387275016557</v>
      </c>
      <c r="O60" s="180">
        <f t="shared" si="25"/>
        <v>43.861397296308795</v>
      </c>
      <c r="P60" s="180">
        <f t="shared" si="25"/>
        <v>43.576991378007349</v>
      </c>
      <c r="Q60" s="180">
        <f t="shared" si="25"/>
        <v>43.284053825682946</v>
      </c>
      <c r="R60" s="180">
        <f t="shared" si="25"/>
        <v>42.982467936675171</v>
      </c>
      <c r="S60" s="180">
        <f t="shared" si="25"/>
        <v>42.672116000458821</v>
      </c>
      <c r="T60" s="180">
        <f t="shared" si="25"/>
        <v>42.29997212295644</v>
      </c>
      <c r="U60" s="180">
        <f t="shared" si="25"/>
        <v>41.918254502539902</v>
      </c>
      <c r="V60" s="180">
        <f t="shared" si="25"/>
        <v>41.526839775413798</v>
      </c>
      <c r="W60" s="180">
        <f t="shared" si="25"/>
        <v>41.125603601877764</v>
      </c>
      <c r="X60" s="180">
        <f t="shared" si="25"/>
        <v>40.714420669155651</v>
      </c>
      <c r="Y60" s="180">
        <f t="shared" si="25"/>
        <v>40.239080679283788</v>
      </c>
      <c r="Z60" s="180">
        <f t="shared" si="25"/>
        <v>39.753121899342233</v>
      </c>
      <c r="AA60" s="180">
        <f t="shared" si="25"/>
        <v>39.256418678820694</v>
      </c>
      <c r="AB60" s="180">
        <f t="shared" si="25"/>
        <v>38.748844559354239</v>
      </c>
      <c r="AC60" s="180">
        <f t="shared" si="25"/>
        <v>38.230272282909489</v>
      </c>
      <c r="AD60" s="180">
        <f t="shared" si="25"/>
        <v>37.653733155247949</v>
      </c>
      <c r="AE60" s="180">
        <f t="shared" si="25"/>
        <v>37.065525311348935</v>
      </c>
      <c r="AF60" s="180">
        <f t="shared" si="25"/>
        <v>36.465518384779081</v>
      </c>
      <c r="AG60" s="180">
        <f t="shared" si="25"/>
        <v>35.853581285567522</v>
      </c>
      <c r="AH60" s="180">
        <f t="shared" si="25"/>
        <v>35.229582211735831</v>
      </c>
    </row>
    <row r="61" spans="1:34" x14ac:dyDescent="0.2">
      <c r="A61" s="178"/>
      <c r="B61" s="181" t="s">
        <v>217</v>
      </c>
      <c r="C61" s="176" t="s">
        <v>153</v>
      </c>
      <c r="D61" s="238">
        <f>0</f>
        <v>0</v>
      </c>
      <c r="E61" s="238">
        <f>'Propylene Recycling LC'!D88*'Propylene Recycling LC'!D49-'Propylene Recycling LC'!$C$88*'Propylene Recycling LC'!$C$49</f>
        <v>0.14294018050629442</v>
      </c>
      <c r="F61" s="238">
        <f>'Propylene Recycling LC'!E88*'Propylene Recycling LC'!E49-'Propylene Recycling LC'!$C$88*'Propylene Recycling LC'!$C$49</f>
        <v>0.28803932040275337</v>
      </c>
      <c r="G61" s="238">
        <f>'Propylene Recycling LC'!F88*'Propylene Recycling LC'!F49-'Propylene Recycling LC'!$C$88*'Propylene Recycling LC'!$C$49</f>
        <v>0.43445206743974407</v>
      </c>
      <c r="H61" s="238">
        <f>'Propylene Recycling LC'!G88*'Propylene Recycling LC'!G49-'Propylene Recycling LC'!$C$88*'Propylene Recycling LC'!$C$49</f>
        <v>0.58128103877983217</v>
      </c>
      <c r="I61" s="238">
        <f>'Propylene Recycling LC'!H88*'Propylene Recycling LC'!H49-'Propylene Recycling LC'!$C$88*'Propylene Recycling LC'!$C$49</f>
        <v>0.72758569101816151</v>
      </c>
      <c r="J61" s="238">
        <f>'Propylene Recycling LC'!I88*'Propylene Recycling LC'!I49-'Propylene Recycling LC'!$C$88*'Propylene Recycling LC'!$C$49</f>
        <v>0.8605664661661947</v>
      </c>
      <c r="K61" s="238">
        <f>'Propylene Recycling LC'!J88*'Propylene Recycling LC'!J49-'Propylene Recycling LC'!$C$88*'Propylene Recycling LC'!$C$49</f>
        <v>0.99568853030522653</v>
      </c>
      <c r="L61" s="238">
        <f>'Propylene Recycling LC'!K88*'Propylene Recycling LC'!K49-'Propylene Recycling LC'!$C$88*'Propylene Recycling LC'!$C$49</f>
        <v>1.1328182326992475</v>
      </c>
      <c r="M61" s="238">
        <f>'Propylene Recycling LC'!L88*'Propylene Recycling LC'!L49-'Propylene Recycling LC'!$C$88*'Propylene Recycling LC'!$C$49</f>
        <v>1.2718144696508042</v>
      </c>
      <c r="N61" s="238">
        <f>'Propylene Recycling LC'!M88*'Propylene Recycling LC'!M49-'Propylene Recycling LC'!$C$88*'Propylene Recycling LC'!$C$49</f>
        <v>1.4125288488210199</v>
      </c>
      <c r="O61" s="238">
        <f>'Propylene Recycling LC'!N88*'Propylene Recycling LC'!N49-'Propylene Recycling LC'!$C$88*'Propylene Recycling LC'!$C$49</f>
        <v>1.6614592762078766</v>
      </c>
      <c r="P61" s="238">
        <f>'Propylene Recycling LC'!O88*'Propylene Recycling LC'!O49-'Propylene Recycling LC'!$C$88*'Propylene Recycling LC'!$C$49</f>
        <v>1.9085487921043478</v>
      </c>
      <c r="Q61" s="238">
        <f>'Propylene Recycling LC'!P88*'Propylene Recycling LC'!P49-'Propylene Recycling LC'!$C$88*'Propylene Recycling LC'!$C$49</f>
        <v>2.1524033126171682</v>
      </c>
      <c r="R61" s="238">
        <f>'Propylene Recycling LC'!Q88*'Propylene Recycling LC'!Q49-'Propylene Recycling LC'!$C$88*'Propylene Recycling LC'!$C$49</f>
        <v>2.3916206322040541</v>
      </c>
      <c r="S61" s="238">
        <f>'Propylene Recycling LC'!R88*'Propylene Recycling LC'!R49-'Propylene Recycling LC'!$C$88*'Propylene Recycling LC'!$C$49</f>
        <v>2.6248036575947724</v>
      </c>
      <c r="T61" s="238">
        <f>'Propylene Recycling LC'!S88*'Propylene Recycling LC'!S49-'Propylene Recycling LC'!$C$88*'Propylene Recycling LC'!$C$49</f>
        <v>2.8589184571425204</v>
      </c>
      <c r="U61" s="238">
        <f>'Propylene Recycling LC'!T88*'Propylene Recycling LC'!T49-'Propylene Recycling LC'!$C$88*'Propylene Recycling LC'!$C$49</f>
        <v>3.0938576303901222</v>
      </c>
      <c r="V61" s="238">
        <f>'Propylene Recycling LC'!U88*'Propylene Recycling LC'!U49-'Propylene Recycling LC'!$C$88*'Propylene Recycling LC'!$C$49</f>
        <v>3.3295118437091169</v>
      </c>
      <c r="W61" s="238">
        <f>'Propylene Recycling LC'!V88*'Propylene Recycling LC'!V49-'Propylene Recycling LC'!$C$88*'Propylene Recycling LC'!$C$49</f>
        <v>3.5657698823407822</v>
      </c>
      <c r="X61" s="238">
        <f>'Propylene Recycling LC'!W88*'Propylene Recycling LC'!W49-'Propylene Recycling LC'!$C$88*'Propylene Recycling LC'!$C$49</f>
        <v>3.802518704678584</v>
      </c>
      <c r="Y61" s="238">
        <f>'Propylene Recycling LC'!X88*'Propylene Recycling LC'!X49-'Propylene Recycling LC'!$C$88*'Propylene Recycling LC'!$C$49</f>
        <v>4.1890569849053563</v>
      </c>
      <c r="Z61" s="238">
        <f>'Propylene Recycling LC'!Y88*'Propylene Recycling LC'!Y49-'Propylene Recycling LC'!$C$88*'Propylene Recycling LC'!$C$49</f>
        <v>4.5767011449735318</v>
      </c>
      <c r="AA61" s="238">
        <f>'Propylene Recycling LC'!Z88*'Propylene Recycling LC'!Z49-'Propylene Recycling LC'!$C$88*'Propylene Recycling LC'!$C$49</f>
        <v>4.965274540677985</v>
      </c>
      <c r="AB61" s="238">
        <f>'Propylene Recycling LC'!AA88*'Propylene Recycling LC'!AA49-'Propylene Recycling LC'!$C$88*'Propylene Recycling LC'!$C$49</f>
        <v>5.3545977513362875</v>
      </c>
      <c r="AC61" s="238">
        <f>'Propylene Recycling LC'!AB88*'Propylene Recycling LC'!AB49-'Propylene Recycling LC'!$C$88*'Propylene Recycling LC'!$C$49</f>
        <v>5.7444886616606681</v>
      </c>
      <c r="AD61" s="238">
        <f>'Propylene Recycling LC'!AC88*'Propylene Recycling LC'!AC49-'Propylene Recycling LC'!$C$88*'Propylene Recycling LC'!$C$49</f>
        <v>6.1329994779317953</v>
      </c>
      <c r="AE61" s="238">
        <f>'Propylene Recycling LC'!AD88*'Propylene Recycling LC'!AD49-'Propylene Recycling LC'!$C$88*'Propylene Recycling LC'!$C$49</f>
        <v>6.5215808656420622</v>
      </c>
      <c r="AF61" s="238">
        <f>'Propylene Recycling LC'!AE88*'Propylene Recycling LC'!AE49-'Propylene Recycling LC'!$C$88*'Propylene Recycling LC'!$C$49</f>
        <v>6.9100493481307899</v>
      </c>
      <c r="AG61" s="238">
        <f>'Propylene Recycling LC'!AF88*'Propylene Recycling LC'!AF49-'Propylene Recycling LC'!$C$88*'Propylene Recycling LC'!$C$49</f>
        <v>7.2982191316670617</v>
      </c>
      <c r="AH61" s="238">
        <f>'Propylene Recycling LC'!AG88*'Propylene Recycling LC'!AG49-'Propylene Recycling LC'!$C$88*'Propylene Recycling LC'!$C$49</f>
        <v>7.68590218748274</v>
      </c>
    </row>
    <row r="62" spans="1:34" outlineLevel="1" x14ac:dyDescent="0.2">
      <c r="A62"/>
      <c r="B62" t="s">
        <v>222</v>
      </c>
      <c r="C62" s="54" t="s">
        <v>153</v>
      </c>
      <c r="D62" s="44">
        <f>0</f>
        <v>0</v>
      </c>
      <c r="E62" s="44">
        <f>'Propylene Recycling LC'!D62*'Propylene Recycling LC'!D45-'Propylene Recycling LC'!$C$62*'Propylene Recycling LC'!$C$45</f>
        <v>3.3380176580130649E-2</v>
      </c>
      <c r="F62" s="44">
        <f>'Propylene Recycling LC'!E62*'Propylene Recycling LC'!E45-'Propylene Recycling LC'!$C$62*'Propylene Recycling LC'!$C$45</f>
        <v>6.7904719127776514E-2</v>
      </c>
      <c r="G62" s="44">
        <f>'Propylene Recycling LC'!F62*'Propylene Recycling LC'!F45-'Propylene Recycling LC'!$C$62*'Propylene Recycling LC'!$C$45</f>
        <v>0.10340509250401259</v>
      </c>
      <c r="H62" s="44">
        <f>'Propylene Recycling LC'!G62*'Propylene Recycling LC'!G45-'Propylene Recycling LC'!$C$62*'Propylene Recycling LC'!$C$45</f>
        <v>0.13969236379753974</v>
      </c>
      <c r="I62" s="44">
        <f>'Propylene Recycling LC'!H62*'Propylene Recycling LC'!H45-'Propylene Recycling LC'!$C$62*'Propylene Recycling LC'!$C$45</f>
        <v>0.17655863034659974</v>
      </c>
      <c r="J62" s="44">
        <f>'Propylene Recycling LC'!I62*'Propylene Recycling LC'!I45-'Propylene Recycling LC'!$C$62*'Propylene Recycling LC'!$C$45</f>
        <v>0.21502711343000774</v>
      </c>
      <c r="K62" s="44">
        <f>'Propylene Recycling LC'!J62*'Propylene Recycling LC'!J45-'Propylene Recycling LC'!$C$62*'Propylene Recycling LC'!$C$45</f>
        <v>0.25510654023791884</v>
      </c>
      <c r="L62" s="44">
        <f>'Propylene Recycling LC'!K62*'Propylene Recycling LC'!K45-'Propylene Recycling LC'!$C$62*'Propylene Recycling LC'!$C$45</f>
        <v>0.29680225838001278</v>
      </c>
      <c r="M62" s="44">
        <f>'Propylene Recycling LC'!L62*'Propylene Recycling LC'!L45-'Propylene Recycling LC'!$C$62*'Propylene Recycling LC'!$C$45</f>
        <v>0.34011609746106725</v>
      </c>
      <c r="N62" s="44">
        <f>'Propylene Recycling LC'!M62*'Propylene Recycling LC'!M45-'Propylene Recycling LC'!$C$62*'Propylene Recycling LC'!$C$45</f>
        <v>0.38504623787980879</v>
      </c>
      <c r="O62" s="44">
        <f>'Propylene Recycling LC'!N62*'Propylene Recycling LC'!N45-'Propylene Recycling LC'!$C$62*'Propylene Recycling LC'!$C$45</f>
        <v>0.45368784881298135</v>
      </c>
      <c r="P62" s="44">
        <f>'Propylene Recycling LC'!O62*'Propylene Recycling LC'!O45-'Propylene Recycling LC'!$C$62*'Propylene Recycling LC'!$C$45</f>
        <v>0.52422683934953196</v>
      </c>
      <c r="Q62" s="44">
        <f>'Propylene Recycling LC'!P62*'Propylene Recycling LC'!P45-'Propylene Recycling LC'!$C$62*'Propylene Recycling LC'!$C$45</f>
        <v>0.59501824483069488</v>
      </c>
      <c r="R62" s="44">
        <f>'Propylene Recycling LC'!Q62*'Propylene Recycling LC'!Q45-'Propylene Recycling LC'!$C$62*'Propylene Recycling LC'!$C$45</f>
        <v>0.66637813363435772</v>
      </c>
      <c r="S62" s="44">
        <f>'Propylene Recycling LC'!R62*'Propylene Recycling LC'!R45-'Propylene Recycling LC'!$C$62*'Propylene Recycling LC'!$C$45</f>
        <v>0.7378970844361592</v>
      </c>
      <c r="T62" s="44">
        <f>'Propylene Recycling LC'!S62*'Propylene Recycling LC'!S45-'Propylene Recycling LC'!$C$62*'Propylene Recycling LC'!$C$45</f>
        <v>0.81126505252361603</v>
      </c>
      <c r="U62" s="44">
        <f>'Propylene Recycling LC'!T62*'Propylene Recycling LC'!T45-'Propylene Recycling LC'!$C$62*'Propylene Recycling LC'!$C$45</f>
        <v>0.88644356798124346</v>
      </c>
      <c r="V62" s="44">
        <f>'Propylene Recycling LC'!U62*'Propylene Recycling LC'!U45-'Propylene Recycling LC'!$C$62*'Propylene Recycling LC'!$C$45</f>
        <v>0.96339128906348215</v>
      </c>
      <c r="W62" s="44">
        <f>'Propylene Recycling LC'!V62*'Propylene Recycling LC'!V45-'Propylene Recycling LC'!$C$62*'Propylene Recycling LC'!$C$45</f>
        <v>1.0420639825551969</v>
      </c>
      <c r="X62" s="44">
        <f>'Propylene Recycling LC'!W62*'Propylene Recycling LC'!W45-'Propylene Recycling LC'!$C$62*'Propylene Recycling LC'!$C$45</f>
        <v>1.1224145068260727</v>
      </c>
      <c r="Y62" s="44">
        <f>'Propylene Recycling LC'!X62*'Propylene Recycling LC'!X45-'Propylene Recycling LC'!$C$62*'Propylene Recycling LC'!$C$45</f>
        <v>1.2289827428000173</v>
      </c>
      <c r="Z62" s="44">
        <f>'Propylene Recycling LC'!Y62*'Propylene Recycling LC'!Y45-'Propylene Recycling LC'!$C$62*'Propylene Recycling LC'!$C$45</f>
        <v>1.3467095965458806</v>
      </c>
      <c r="AA62" s="44">
        <f>'Propylene Recycling LC'!Z62*'Propylene Recycling LC'!Z45-'Propylene Recycling LC'!$C$62*'Propylene Recycling LC'!$C$45</f>
        <v>1.4670974525669644</v>
      </c>
      <c r="AB62" s="44">
        <f>'Propylene Recycling LC'!AA62*'Propylene Recycling LC'!AA45-'Propylene Recycling LC'!$C$62*'Propylene Recycling LC'!$C$45</f>
        <v>1.5900705261424373</v>
      </c>
      <c r="AC62" s="44">
        <f>'Propylene Recycling LC'!AB62*'Propylene Recycling LC'!AB45-'Propylene Recycling LC'!$C$62*'Propylene Recycling LC'!$C$45</f>
        <v>1.7155486074329356</v>
      </c>
      <c r="AD62" s="44">
        <f>'Propylene Recycling LC'!AC62*'Propylene Recycling LC'!AC45-'Propylene Recycling LC'!$C$62*'Propylene Recycling LC'!$C$45</f>
        <v>1.8434679216891641</v>
      </c>
      <c r="AE62" s="44">
        <f>'Propylene Recycling LC'!AD62*'Propylene Recycling LC'!AD45-'Propylene Recycling LC'!$C$62*'Propylene Recycling LC'!$C$45</f>
        <v>1.9737430847428863</v>
      </c>
      <c r="AF62" s="44">
        <f>'Propylene Recycling LC'!AE62*'Propylene Recycling LC'!AE45-'Propylene Recycling LC'!$C$62*'Propylene Recycling LC'!$C$45</f>
        <v>2.106284382032964</v>
      </c>
      <c r="AG62" s="44">
        <f>'Propylene Recycling LC'!AF62*'Propylene Recycling LC'!AF45-'Propylene Recycling LC'!$C$62*'Propylene Recycling LC'!$C$45</f>
        <v>2.2409977547205306</v>
      </c>
      <c r="AH62" s="44">
        <f>'Propylene Recycling LC'!AG62*'Propylene Recycling LC'!AG45-'Propylene Recycling LC'!$C$62*'Propylene Recycling LC'!$C$45</f>
        <v>2.3777847893506872</v>
      </c>
    </row>
    <row r="63" spans="1:34" outlineLevel="1" x14ac:dyDescent="0.2">
      <c r="A63"/>
      <c r="B63" t="s">
        <v>226</v>
      </c>
      <c r="C63" s="54" t="s">
        <v>153</v>
      </c>
      <c r="D63" s="44">
        <v>0</v>
      </c>
      <c r="E63" s="44">
        <v>0</v>
      </c>
      <c r="F63" s="44">
        <v>0</v>
      </c>
      <c r="G63" s="44">
        <v>0</v>
      </c>
      <c r="H63" s="44">
        <v>0</v>
      </c>
      <c r="I63" s="44">
        <v>0</v>
      </c>
      <c r="J63" s="44">
        <v>0</v>
      </c>
      <c r="K63" s="44">
        <v>0</v>
      </c>
      <c r="L63" s="44">
        <v>0</v>
      </c>
      <c r="M63" s="44">
        <v>0</v>
      </c>
      <c r="N63" s="44">
        <v>0</v>
      </c>
      <c r="O63" s="44">
        <v>0</v>
      </c>
      <c r="P63" s="44">
        <v>0</v>
      </c>
      <c r="Q63" s="44">
        <v>0</v>
      </c>
      <c r="R63" s="44">
        <v>0</v>
      </c>
      <c r="S63" s="44">
        <v>0</v>
      </c>
      <c r="T63" s="44">
        <v>0</v>
      </c>
      <c r="U63" s="44">
        <v>0</v>
      </c>
      <c r="V63" s="44">
        <v>0</v>
      </c>
      <c r="W63" s="44">
        <v>0</v>
      </c>
      <c r="X63" s="44">
        <v>0</v>
      </c>
      <c r="Y63" s="44">
        <v>0</v>
      </c>
      <c r="Z63" s="44">
        <v>0</v>
      </c>
      <c r="AA63" s="44">
        <v>0</v>
      </c>
      <c r="AB63" s="44">
        <v>0</v>
      </c>
      <c r="AC63" s="44">
        <v>0</v>
      </c>
      <c r="AD63" s="44">
        <v>0</v>
      </c>
      <c r="AE63" s="44">
        <v>0</v>
      </c>
      <c r="AF63" s="44">
        <v>0</v>
      </c>
      <c r="AG63" s="44">
        <v>0</v>
      </c>
      <c r="AH63" s="44">
        <v>0</v>
      </c>
    </row>
    <row r="64" spans="1:34" outlineLevel="1" x14ac:dyDescent="0.2">
      <c r="A64" s="181"/>
      <c r="B64" s="181" t="s">
        <v>218</v>
      </c>
      <c r="C64" s="176" t="s">
        <v>153</v>
      </c>
      <c r="D64" s="238">
        <f>0</f>
        <v>0</v>
      </c>
      <c r="E64" s="238">
        <f>'Propylene Recycling LC'!D78*'Propylene Recycling LC'!D46-'Propylene Recycling LC'!$C$78*'Propylene Recycling LC'!$C$46</f>
        <v>2.5429988112853796E-2</v>
      </c>
      <c r="F64" s="238">
        <f>'Propylene Recycling LC'!E78*'Propylene Recycling LC'!E46-'Propylene Recycling LC'!$C$78*'Propylene Recycling LC'!$C$46</f>
        <v>5.0598336408314265E-2</v>
      </c>
      <c r="G64" s="238">
        <f>'Propylene Recycling LC'!F78*'Propylene Recycling LC'!F46-'Propylene Recycling LC'!$C$78*'Propylene Recycling LC'!$C$46</f>
        <v>7.5246849926113024E-2</v>
      </c>
      <c r="H64" s="238">
        <f>'Propylene Recycling LC'!G78*'Propylene Recycling LC'!G46-'Propylene Recycling LC'!$C$78*'Propylene Recycling LC'!$C$46</f>
        <v>9.9118250540737918E-2</v>
      </c>
      <c r="I64" s="238">
        <f>'Propylene Recycling LC'!H78*'Propylene Recycling LC'!H46-'Propylene Recycling LC'!$C$78*'Propylene Recycling LC'!$C$46</f>
        <v>0.12196017685664376</v>
      </c>
      <c r="J64" s="238">
        <f>'Propylene Recycling LC'!I78*'Propylene Recycling LC'!I46-'Propylene Recycling LC'!$C$78*'Propylene Recycling LC'!$C$46</f>
        <v>0.14405301093078163</v>
      </c>
      <c r="K64" s="238">
        <f>'Propylene Recycling LC'!J78*'Propylene Recycling LC'!J46-'Propylene Recycling LC'!$C$78*'Propylene Recycling LC'!$C$46</f>
        <v>0.16529902032849933</v>
      </c>
      <c r="L64" s="238">
        <f>'Propylene Recycling LC'!K78*'Propylene Recycling LC'!K46-'Propylene Recycling LC'!$C$78*'Propylene Recycling LC'!$C$46</f>
        <v>0.1855995633237256</v>
      </c>
      <c r="M64" s="238">
        <f>'Propylene Recycling LC'!L78*'Propylene Recycling LC'!L46-'Propylene Recycling LC'!$C$78*'Propylene Recycling LC'!$C$46</f>
        <v>0.20485537462938405</v>
      </c>
      <c r="N64" s="238">
        <f>'Propylene Recycling LC'!M78*'Propylene Recycling LC'!M46-'Propylene Recycling LC'!$C$78*'Propylene Recycling LC'!$C$46</f>
        <v>0.22296686174708044</v>
      </c>
      <c r="O64" s="238">
        <f>'Propylene Recycling LC'!N78*'Propylene Recycling LC'!N46-'Propylene Recycling LC'!$C$78*'Propylene Recycling LC'!$C$46</f>
        <v>0.26436100365523996</v>
      </c>
      <c r="P64" s="238">
        <f>'Propylene Recycling LC'!O78*'Propylene Recycling LC'!O46-'Propylene Recycling LC'!$C$78*'Propylene Recycling LC'!$C$46</f>
        <v>0.30274041232369142</v>
      </c>
      <c r="Q64" s="238">
        <f>'Propylene Recycling LC'!P78*'Propylene Recycling LC'!P46-'Propylene Recycling LC'!$C$78*'Propylene Recycling LC'!$C$46</f>
        <v>0.33626621323958539</v>
      </c>
      <c r="R64" s="238">
        <f>'Propylene Recycling LC'!Q78*'Propylene Recycling LC'!Q46-'Propylene Recycling LC'!$C$78*'Propylene Recycling LC'!$C$46</f>
        <v>0.36588764624892589</v>
      </c>
      <c r="S64" s="238">
        <f>'Propylene Recycling LC'!R78*'Propylene Recycling LC'!R46-'Propylene Recycling LC'!$C$78*'Propylene Recycling LC'!$C$46</f>
        <v>0.39135726491257872</v>
      </c>
      <c r="T64" s="238">
        <f>'Propylene Recycling LC'!S78*'Propylene Recycling LC'!S46-'Propylene Recycling LC'!$C$78*'Propylene Recycling LC'!$C$46</f>
        <v>0.41339109884991088</v>
      </c>
      <c r="U64" s="238">
        <f>'Propylene Recycling LC'!T78*'Propylene Recycling LC'!T46-'Propylene Recycling LC'!$C$78*'Propylene Recycling LC'!$C$46</f>
        <v>0.43192423954083825</v>
      </c>
      <c r="V64" s="238">
        <f>'Propylene Recycling LC'!U78*'Propylene Recycling LC'!U46-'Propylene Recycling LC'!$C$78*'Propylene Recycling LC'!$C$46</f>
        <v>0.44689393097260999</v>
      </c>
      <c r="W64" s="238">
        <f>'Propylene Recycling LC'!V78*'Propylene Recycling LC'!V46-'Propylene Recycling LC'!$C$78*'Propylene Recycling LC'!$C$46</f>
        <v>0.45823964872534095</v>
      </c>
      <c r="X64" s="238">
        <f>'Propylene Recycling LC'!W78*'Propylene Recycling LC'!W46-'Propylene Recycling LC'!$C$78*'Propylene Recycling LC'!$C$46</f>
        <v>0.46590317762230138</v>
      </c>
      <c r="Y64" s="238">
        <f>'Propylene Recycling LC'!X78*'Propylene Recycling LC'!X46-'Propylene Recycling LC'!$C$78*'Propylene Recycling LC'!$C$46</f>
        <v>0.49155265084765942</v>
      </c>
      <c r="Z64" s="238">
        <f>'Propylene Recycling LC'!Y78*'Propylene Recycling LC'!Y46-'Propylene Recycling LC'!$C$78*'Propylene Recycling LC'!$C$46</f>
        <v>0.51109747343268419</v>
      </c>
      <c r="AA64" s="238">
        <f>'Propylene Recycling LC'!Z78*'Propylene Recycling LC'!Z46-'Propylene Recycling LC'!$C$78*'Propylene Recycling LC'!$C$46</f>
        <v>0.51932211677787021</v>
      </c>
      <c r="AB64" s="238">
        <f>'Propylene Recycling LC'!AA78*'Propylene Recycling LC'!AA46-'Propylene Recycling LC'!$C$78*'Propylene Recycling LC'!$C$46</f>
        <v>0.521095229504416</v>
      </c>
      <c r="AC64" s="238">
        <f>'Propylene Recycling LC'!AB78*'Propylene Recycling LC'!AB46-'Propylene Recycling LC'!$C$78*'Propylene Recycling LC'!$C$46</f>
        <v>0.51649047487577848</v>
      </c>
      <c r="AD64" s="238">
        <f>'Propylene Recycling LC'!AC78*'Propylene Recycling LC'!AC46-'Propylene Recycling LC'!$C$78*'Propylene Recycling LC'!$C$46</f>
        <v>0.50559701574759064</v>
      </c>
      <c r="AE64" s="238">
        <f>'Propylene Recycling LC'!AD78*'Propylene Recycling LC'!AD46-'Propylene Recycling LC'!$C$78*'Propylene Recycling LC'!$C$46</f>
        <v>0.4885075455919301</v>
      </c>
      <c r="AF64" s="238">
        <f>'Propylene Recycling LC'!AE78*'Propylene Recycling LC'!AE46-'Propylene Recycling LC'!$C$78*'Propylene Recycling LC'!$C$46</f>
        <v>0.46532406794493875</v>
      </c>
      <c r="AG64" s="238">
        <f>'Propylene Recycling LC'!AF78*'Propylene Recycling LC'!AF46-'Propylene Recycling LC'!$C$78*'Propylene Recycling LC'!$C$46</f>
        <v>0.43615782129592995</v>
      </c>
      <c r="AH64" s="238">
        <f>'Propylene Recycling LC'!AG78*'Propylene Recycling LC'!AG46-'Propylene Recycling LC'!$C$78*'Propylene Recycling LC'!$C$46</f>
        <v>0.40112918995499369</v>
      </c>
    </row>
    <row r="65" spans="1:46" x14ac:dyDescent="0.2">
      <c r="A65" s="178"/>
      <c r="B65" s="239" t="s">
        <v>219</v>
      </c>
      <c r="C65" s="179" t="s">
        <v>153</v>
      </c>
      <c r="D65" s="241">
        <f>D60-D61-D62-D63-D64</f>
        <v>35.064810426540291</v>
      </c>
      <c r="E65" s="241">
        <f t="shared" ref="E65:AH65" si="26">E60-E61-E62-E63-E64</f>
        <v>35.795839984179018</v>
      </c>
      <c r="F65" s="241">
        <f t="shared" si="26"/>
        <v>36.542812517172408</v>
      </c>
      <c r="G65" s="241">
        <f t="shared" si="26"/>
        <v>37.307330909380283</v>
      </c>
      <c r="H65" s="241">
        <f t="shared" si="26"/>
        <v>38.09107448626559</v>
      </c>
      <c r="I65" s="241">
        <f t="shared" si="26"/>
        <v>38.895784772943081</v>
      </c>
      <c r="J65" s="241">
        <f t="shared" si="26"/>
        <v>39.516954988953479</v>
      </c>
      <c r="K65" s="241">
        <f t="shared" si="26"/>
        <v>40.149204494427536</v>
      </c>
      <c r="L65" s="241">
        <f t="shared" si="26"/>
        <v>40.79296791831446</v>
      </c>
      <c r="M65" s="241">
        <f t="shared" si="26"/>
        <v>41.448694009731405</v>
      </c>
      <c r="N65" s="241">
        <f t="shared" si="26"/>
        <v>42.116845326568651</v>
      </c>
      <c r="O65" s="241">
        <f t="shared" si="26"/>
        <v>41.481889167632694</v>
      </c>
      <c r="P65" s="241">
        <f t="shared" si="26"/>
        <v>40.841475334229777</v>
      </c>
      <c r="Q65" s="241">
        <f t="shared" si="26"/>
        <v>40.200366054995499</v>
      </c>
      <c r="R65" s="241">
        <f t="shared" si="26"/>
        <v>39.558581524587829</v>
      </c>
      <c r="S65" s="241">
        <f t="shared" si="26"/>
        <v>38.918057993515312</v>
      </c>
      <c r="T65" s="241">
        <f t="shared" si="26"/>
        <v>38.216397514440388</v>
      </c>
      <c r="U65" s="241">
        <f t="shared" si="26"/>
        <v>37.50602906462769</v>
      </c>
      <c r="V65" s="241">
        <f t="shared" si="26"/>
        <v>36.78704271166859</v>
      </c>
      <c r="W65" s="241">
        <f t="shared" si="26"/>
        <v>36.059530088256444</v>
      </c>
      <c r="X65" s="241">
        <f t="shared" si="26"/>
        <v>35.32358428002869</v>
      </c>
      <c r="Y65" s="241">
        <f t="shared" si="26"/>
        <v>34.329488300730752</v>
      </c>
      <c r="Z65" s="241">
        <f t="shared" si="26"/>
        <v>33.318613684390137</v>
      </c>
      <c r="AA65" s="241">
        <f t="shared" si="26"/>
        <v>32.304724568797873</v>
      </c>
      <c r="AB65" s="241">
        <f t="shared" si="26"/>
        <v>31.283081052371102</v>
      </c>
      <c r="AC65" s="241">
        <f t="shared" si="26"/>
        <v>30.253744538940108</v>
      </c>
      <c r="AD65" s="241">
        <f t="shared" si="26"/>
        <v>29.171668739879397</v>
      </c>
      <c r="AE65" s="241">
        <f t="shared" si="26"/>
        <v>28.081693815372059</v>
      </c>
      <c r="AF65" s="241">
        <f t="shared" si="26"/>
        <v>26.983860586670389</v>
      </c>
      <c r="AG65" s="241">
        <f t="shared" si="26"/>
        <v>25.878206577884001</v>
      </c>
      <c r="AH65" s="241">
        <f t="shared" si="26"/>
        <v>24.764766044947411</v>
      </c>
    </row>
    <row r="66" spans="1:46" s="67" customFormat="1" x14ac:dyDescent="0.2">
      <c r="A66" s="58" t="s">
        <v>67</v>
      </c>
      <c r="B66" s="58" t="s">
        <v>227</v>
      </c>
      <c r="C66" s="100" t="s">
        <v>153</v>
      </c>
      <c r="D66" s="101">
        <f>D45+D52+D56+D57+D58+D62+D63+D64</f>
        <v>0</v>
      </c>
      <c r="E66" s="101">
        <f t="shared" ref="E66:AH66" si="27">E45+E52+E56+E57+E58+E62+E63+E64</f>
        <v>0.23753973876969156</v>
      </c>
      <c r="F66" s="101">
        <f t="shared" si="27"/>
        <v>0.4800745301064222</v>
      </c>
      <c r="G66" s="101">
        <f t="shared" si="27"/>
        <v>0.72604449009259908</v>
      </c>
      <c r="H66" s="101">
        <f t="shared" si="27"/>
        <v>0.97379029271197082</v>
      </c>
      <c r="I66" s="101">
        <f t="shared" si="27"/>
        <v>1.2215714207792314</v>
      </c>
      <c r="J66" s="101">
        <f t="shared" si="27"/>
        <v>1.4752828197355432</v>
      </c>
      <c r="K66" s="101">
        <f t="shared" si="27"/>
        <v>1.734696646546537</v>
      </c>
      <c r="L66" s="101">
        <f t="shared" si="27"/>
        <v>1.9995656344659682</v>
      </c>
      <c r="M66" s="101">
        <f t="shared" si="27"/>
        <v>2.2696231946091809</v>
      </c>
      <c r="N66" s="101">
        <f t="shared" si="27"/>
        <v>2.544583583140934</v>
      </c>
      <c r="O66" s="101">
        <f t="shared" si="27"/>
        <v>3.0027753653294624</v>
      </c>
      <c r="P66" s="101">
        <f t="shared" si="27"/>
        <v>3.4620797865356918</v>
      </c>
      <c r="Q66" s="101">
        <f t="shared" si="27"/>
        <v>3.9091640387078779</v>
      </c>
      <c r="R66" s="101">
        <f t="shared" si="27"/>
        <v>4.3482452410854719</v>
      </c>
      <c r="S66" s="101">
        <f t="shared" si="27"/>
        <v>4.7765889358268474</v>
      </c>
      <c r="T66" s="101">
        <f t="shared" si="27"/>
        <v>5.2046338705344999</v>
      </c>
      <c r="U66" s="101">
        <f t="shared" si="27"/>
        <v>5.6320073941863233</v>
      </c>
      <c r="V66" s="101">
        <f t="shared" si="27"/>
        <v>6.0583284757968832</v>
      </c>
      <c r="W66" s="101">
        <f t="shared" si="27"/>
        <v>6.4832078259019319</v>
      </c>
      <c r="X66" s="101">
        <f t="shared" si="27"/>
        <v>6.9062480275256464</v>
      </c>
      <c r="Y66" s="101">
        <f t="shared" si="27"/>
        <v>7.5103377441324737</v>
      </c>
      <c r="Z66" s="101">
        <f t="shared" si="27"/>
        <v>8.153263186709081</v>
      </c>
      <c r="AA66" s="101">
        <f t="shared" si="27"/>
        <v>8.7780486983289059</v>
      </c>
      <c r="AB66" s="101">
        <f t="shared" si="27"/>
        <v>9.397839379335565</v>
      </c>
      <c r="AC66" s="101">
        <f t="shared" si="27"/>
        <v>10.012438800708509</v>
      </c>
      <c r="AD66" s="101">
        <f t="shared" si="27"/>
        <v>10.621775763300239</v>
      </c>
      <c r="AE66" s="101">
        <f t="shared" si="27"/>
        <v>11.225680828136458</v>
      </c>
      <c r="AF66" s="101">
        <f t="shared" si="27"/>
        <v>11.82398876556743</v>
      </c>
      <c r="AG66" s="101">
        <f t="shared" si="27"/>
        <v>12.416538277202461</v>
      </c>
      <c r="AH66" s="101">
        <f t="shared" si="27"/>
        <v>13.003171696628417</v>
      </c>
    </row>
    <row r="67" spans="1:46" s="68" customFormat="1" x14ac:dyDescent="0.2">
      <c r="B67" s="62" t="s">
        <v>228</v>
      </c>
      <c r="C67" s="63" t="s">
        <v>153</v>
      </c>
      <c r="D67" s="64">
        <f>D44+D48+D51+D55+D61</f>
        <v>0</v>
      </c>
      <c r="E67" s="64">
        <f t="shared" ref="E67:AH67" si="28">E44+E48+E51+E55+E61</f>
        <v>0.28214976888002241</v>
      </c>
      <c r="F67" s="64">
        <f t="shared" si="28"/>
        <v>0.57829076338905505</v>
      </c>
      <c r="G67" s="64">
        <f t="shared" si="28"/>
        <v>0.88727951970357744</v>
      </c>
      <c r="H67" s="64">
        <f t="shared" si="28"/>
        <v>1.2077539036073626</v>
      </c>
      <c r="I67" s="64">
        <f t="shared" si="28"/>
        <v>1.5381390395988719</v>
      </c>
      <c r="J67" s="64">
        <f t="shared" si="28"/>
        <v>1.8690299497137597</v>
      </c>
      <c r="K67" s="64">
        <f t="shared" si="28"/>
        <v>2.2162560933144975</v>
      </c>
      <c r="L67" s="64">
        <f t="shared" si="28"/>
        <v>2.5800281125373661</v>
      </c>
      <c r="M67" s="64">
        <f t="shared" si="28"/>
        <v>2.960527413979571</v>
      </c>
      <c r="N67" s="64">
        <f t="shared" si="28"/>
        <v>3.3579045649278862</v>
      </c>
      <c r="O67" s="64">
        <f t="shared" si="28"/>
        <v>4.0043205530646011</v>
      </c>
      <c r="P67" s="64">
        <f t="shared" si="28"/>
        <v>4.6716153324999414</v>
      </c>
      <c r="Q67" s="64">
        <f t="shared" si="28"/>
        <v>5.3500260144451817</v>
      </c>
      <c r="R67" s="64">
        <f t="shared" si="28"/>
        <v>6.0401356017733443</v>
      </c>
      <c r="S67" s="64">
        <f t="shared" si="28"/>
        <v>6.738279077744175</v>
      </c>
      <c r="T67" s="64">
        <f t="shared" si="28"/>
        <v>7.458899675388353</v>
      </c>
      <c r="U67" s="64">
        <f t="shared" si="28"/>
        <v>8.2019062031546017</v>
      </c>
      <c r="V67" s="64">
        <f t="shared" si="28"/>
        <v>8.9671860267154884</v>
      </c>
      <c r="W67" s="64">
        <f t="shared" si="28"/>
        <v>9.7546048048383547</v>
      </c>
      <c r="X67" s="64">
        <f t="shared" si="28"/>
        <v>10.564006243333115</v>
      </c>
      <c r="Y67" s="64">
        <f t="shared" si="28"/>
        <v>11.799533386291571</v>
      </c>
      <c r="Z67" s="64">
        <f t="shared" si="28"/>
        <v>13.10189638996094</v>
      </c>
      <c r="AA67" s="64">
        <f t="shared" si="28"/>
        <v>14.417479515911339</v>
      </c>
      <c r="AB67" s="64">
        <f t="shared" si="28"/>
        <v>15.764147895026355</v>
      </c>
      <c r="AC67" s="64">
        <f t="shared" si="28"/>
        <v>17.14098122228981</v>
      </c>
      <c r="AD67" s="64">
        <f t="shared" si="28"/>
        <v>18.545373961937585</v>
      </c>
      <c r="AE67" s="64">
        <f t="shared" si="28"/>
        <v>19.97797707633292</v>
      </c>
      <c r="AF67" s="64">
        <f t="shared" si="28"/>
        <v>21.437763854867466</v>
      </c>
      <c r="AG67" s="64">
        <f t="shared" si="28"/>
        <v>22.923662086622222</v>
      </c>
      <c r="AH67" s="64">
        <f t="shared" si="28"/>
        <v>24.434554544672935</v>
      </c>
    </row>
    <row r="68" spans="1:46" s="104" customFormat="1" x14ac:dyDescent="0.2">
      <c r="A68" s="102" t="s">
        <v>390</v>
      </c>
      <c r="B68" s="102"/>
      <c r="C68" s="103" t="s">
        <v>153</v>
      </c>
      <c r="D68" s="105">
        <f t="shared" ref="D68:AG68" si="29">D46+D49+D53+IF(D59&lt;0,0,D59)+D65</f>
        <v>111.92307692307692</v>
      </c>
      <c r="E68" s="105">
        <f t="shared" si="29"/>
        <v>113.18864944850239</v>
      </c>
      <c r="F68" s="105">
        <f t="shared" si="29"/>
        <v>114.46252921852034</v>
      </c>
      <c r="G68" s="105">
        <f t="shared" si="29"/>
        <v>115.74780638996452</v>
      </c>
      <c r="H68" s="105">
        <f t="shared" si="29"/>
        <v>117.04789392138085</v>
      </c>
      <c r="I68" s="105">
        <f t="shared" si="29"/>
        <v>118.36650342789426</v>
      </c>
      <c r="J68" s="105">
        <f t="shared" si="29"/>
        <v>119.49119742807483</v>
      </c>
      <c r="K68" s="105">
        <f t="shared" si="29"/>
        <v>120.61642474178825</v>
      </c>
      <c r="L68" s="105">
        <f t="shared" si="29"/>
        <v>121.74248426409565</v>
      </c>
      <c r="M68" s="105">
        <f t="shared" si="29"/>
        <v>122.86972562091762</v>
      </c>
      <c r="N68" s="105">
        <f t="shared" si="29"/>
        <v>123.99855059944237</v>
      </c>
      <c r="O68" s="105">
        <f t="shared" si="29"/>
        <v>123.36782290498803</v>
      </c>
      <c r="P68" s="105">
        <f t="shared" si="29"/>
        <v>122.73596096986546</v>
      </c>
      <c r="Q68" s="105">
        <f t="shared" si="29"/>
        <v>122.06074378752426</v>
      </c>
      <c r="R68" s="105">
        <f t="shared" si="29"/>
        <v>121.37526398841982</v>
      </c>
      <c r="S68" s="105">
        <f t="shared" si="29"/>
        <v>120.68569087448657</v>
      </c>
      <c r="T68" s="105">
        <f t="shared" si="29"/>
        <v>119.91400021198227</v>
      </c>
      <c r="U68" s="105">
        <f t="shared" si="29"/>
        <v>119.11275369536406</v>
      </c>
      <c r="V68" s="105">
        <f t="shared" si="29"/>
        <v>118.28219719988176</v>
      </c>
      <c r="W68" s="105">
        <f t="shared" si="29"/>
        <v>117.42260141635481</v>
      </c>
      <c r="X68" s="105">
        <f t="shared" si="29"/>
        <v>116.53426187311857</v>
      </c>
      <c r="Y68" s="105">
        <f t="shared" si="29"/>
        <v>114.53502233878956</v>
      </c>
      <c r="Z68" s="105">
        <f t="shared" si="29"/>
        <v>112.67555835935681</v>
      </c>
      <c r="AA68" s="105">
        <f t="shared" si="29"/>
        <v>110.80518644434494</v>
      </c>
      <c r="AB68" s="105">
        <f t="shared" si="29"/>
        <v>108.89251140747336</v>
      </c>
      <c r="AC68" s="105">
        <f t="shared" si="29"/>
        <v>106.93825893325831</v>
      </c>
      <c r="AD68" s="105">
        <f t="shared" si="29"/>
        <v>104.89786791728524</v>
      </c>
      <c r="AE68" s="105">
        <f t="shared" si="29"/>
        <v>102.81688041419115</v>
      </c>
      <c r="AF68" s="105">
        <f t="shared" si="29"/>
        <v>100.69607797130796</v>
      </c>
      <c r="AG68" s="105">
        <f t="shared" si="29"/>
        <v>98.536277454919642</v>
      </c>
      <c r="AH68" s="105">
        <f>AH46+AH49+AH53+AH59+AH65</f>
        <v>96.338330820455894</v>
      </c>
      <c r="AI68" s="641">
        <f>AH68-AH42</f>
        <v>-37.437726241301391</v>
      </c>
      <c r="AJ68" s="104" t="s">
        <v>385</v>
      </c>
    </row>
    <row r="69" spans="1:46" x14ac:dyDescent="0.2">
      <c r="A69" s="1" t="s">
        <v>230</v>
      </c>
      <c r="C69" s="59" t="s">
        <v>153</v>
      </c>
      <c r="D69" s="66">
        <f>'Propylene Recycling LC'!C190</f>
        <v>0</v>
      </c>
      <c r="E69" s="66">
        <f>'Propylene Recycling LC'!D190</f>
        <v>0</v>
      </c>
      <c r="F69" s="66">
        <f>'Propylene Recycling LC'!E190</f>
        <v>0</v>
      </c>
      <c r="G69" s="66">
        <f>'Propylene Recycling LC'!F190</f>
        <v>0</v>
      </c>
      <c r="H69" s="66">
        <f>'Propylene Recycling LC'!G190</f>
        <v>0</v>
      </c>
      <c r="I69" s="66">
        <f>'Propylene Recycling LC'!H190</f>
        <v>0</v>
      </c>
      <c r="J69" s="66">
        <f>'Propylene Recycling LC'!I190</f>
        <v>0</v>
      </c>
      <c r="K69" s="66">
        <f>'Propylene Recycling LC'!J190</f>
        <v>0</v>
      </c>
      <c r="L69" s="66">
        <f>'Propylene Recycling LC'!K190</f>
        <v>0</v>
      </c>
      <c r="M69" s="66">
        <f>'Propylene Recycling LC'!L190</f>
        <v>0</v>
      </c>
      <c r="N69" s="66">
        <f>'Propylene Recycling LC'!M190</f>
        <v>0</v>
      </c>
      <c r="O69" s="66">
        <f>'Propylene Recycling LC'!N190</f>
        <v>0</v>
      </c>
      <c r="P69" s="66">
        <f>'Propylene Recycling LC'!O190</f>
        <v>0</v>
      </c>
      <c r="Q69" s="66">
        <f>'Propylene Recycling LC'!P190</f>
        <v>0</v>
      </c>
      <c r="R69" s="66">
        <f>'Propylene Recycling LC'!Q190</f>
        <v>0</v>
      </c>
      <c r="S69" s="66">
        <f>'Propylene Recycling LC'!R190</f>
        <v>0</v>
      </c>
      <c r="T69" s="66">
        <f>'Propylene Recycling LC'!S190</f>
        <v>0</v>
      </c>
      <c r="U69" s="66">
        <f>'Propylene Recycling LC'!T190</f>
        <v>0</v>
      </c>
      <c r="V69" s="66">
        <f>'Propylene Recycling LC'!U190</f>
        <v>0</v>
      </c>
      <c r="W69" s="66">
        <f>'Propylene Recycling LC'!V190</f>
        <v>0</v>
      </c>
      <c r="X69" s="66">
        <f>'Propylene Recycling LC'!W190</f>
        <v>0</v>
      </c>
      <c r="Y69" s="66">
        <f>'Propylene Recycling LC'!X190</f>
        <v>0</v>
      </c>
      <c r="Z69" s="66">
        <f>'Propylene Recycling LC'!Y190</f>
        <v>0</v>
      </c>
      <c r="AA69" s="66">
        <f>'Propylene Recycling LC'!Z190</f>
        <v>0</v>
      </c>
      <c r="AB69" s="66">
        <f>'Propylene Recycling LC'!AA190</f>
        <v>0</v>
      </c>
      <c r="AC69" s="66">
        <f>'Propylene Recycling LC'!AB190</f>
        <v>0</v>
      </c>
      <c r="AD69" s="66">
        <f>'Propylene Recycling LC'!AC190</f>
        <v>0</v>
      </c>
      <c r="AE69" s="66">
        <f>'Propylene Recycling LC'!AD190</f>
        <v>0</v>
      </c>
      <c r="AF69" s="66">
        <f>'Propylene Recycling LC'!AE190</f>
        <v>0</v>
      </c>
      <c r="AG69" s="66">
        <f>'Propylene Recycling LC'!AF190</f>
        <v>0</v>
      </c>
      <c r="AH69" s="66">
        <f>'Propylene Recycling LC'!AG190</f>
        <v>0</v>
      </c>
    </row>
    <row r="70" spans="1:46" x14ac:dyDescent="0.2">
      <c r="A70" s="1" t="s">
        <v>231</v>
      </c>
      <c r="C70" s="283" t="s">
        <v>153</v>
      </c>
      <c r="D70" s="66">
        <f>'Propylene Recycling LC'!C192</f>
        <v>2.0103622794979166E-5</v>
      </c>
      <c r="E70" s="66">
        <f>'Propylene Recycling LC'!D192</f>
        <v>4.3467300529601939E-5</v>
      </c>
      <c r="F70" s="66">
        <f>'Propylene Recycling LC'!E192</f>
        <v>9.3248806870404948E-5</v>
      </c>
      <c r="G70" s="66">
        <f>'Propylene Recycling LC'!F192</f>
        <v>1.9839889725181743E-4</v>
      </c>
      <c r="H70" s="66">
        <f>'Propylene Recycling LC'!G192</f>
        <v>4.1834558979200346E-4</v>
      </c>
      <c r="I70" s="66">
        <f>'Propylene Recycling LC'!H192</f>
        <v>8.7324348831859021E-4</v>
      </c>
      <c r="J70" s="66">
        <f>'Propylene Recycling LC'!I192</f>
        <v>1.8037548392472883E-3</v>
      </c>
      <c r="K70" s="66">
        <f>'Propylene Recycling LC'!J192</f>
        <v>3.6811068885496752E-3</v>
      </c>
      <c r="L70" s="66">
        <f>'Propylene Recycling LC'!K192</f>
        <v>7.3981330472876394E-3</v>
      </c>
      <c r="M70" s="66">
        <f>'Propylene Recycling LC'!L192</f>
        <v>1.4579315049450217E-2</v>
      </c>
      <c r="N70" s="66">
        <f>'Propylene Recycling LC'!M192</f>
        <v>2.8139801963422747E-2</v>
      </c>
      <c r="O70" s="66">
        <f>'Propylene Recycling LC'!N192</f>
        <v>5.0840007763773863E-2</v>
      </c>
      <c r="P70" s="66">
        <f>'Propylene Recycling LC'!O192</f>
        <v>8.8643615682089838E-2</v>
      </c>
      <c r="Q70" s="66">
        <f>'Propylene Recycling LC'!P192</f>
        <v>0.14732828764095304</v>
      </c>
      <c r="R70" s="66">
        <f>'Propylene Recycling LC'!Q192</f>
        <v>0.23190366874150342</v>
      </c>
      <c r="S70" s="66">
        <f>'Propylene Recycling LC'!R192</f>
        <v>0.34420983700106994</v>
      </c>
      <c r="T70" s="66">
        <f>'Propylene Recycling LC'!S192</f>
        <v>0.48153759852392825</v>
      </c>
      <c r="U70" s="66">
        <f>'Propylene Recycling LC'!T192</f>
        <v>0.63624718010323145</v>
      </c>
      <c r="V70" s="66">
        <f>'Propylene Recycling LC'!U192</f>
        <v>0.79784561206533366</v>
      </c>
      <c r="W70" s="66">
        <f>'Propylene Recycling LC'!V192</f>
        <v>0.95616639725118191</v>
      </c>
      <c r="X70" s="66">
        <f>'Propylene Recycling LC'!W192</f>
        <v>1.103855900903997</v>
      </c>
      <c r="Y70" s="66">
        <f>'Propylene Recycling LC'!X192</f>
        <v>1.1978784291355864</v>
      </c>
      <c r="Z70" s="66">
        <f>'Propylene Recycling LC'!Y192</f>
        <v>1.2712629111423983</v>
      </c>
      <c r="AA70" s="66">
        <f>'Propylene Recycling LC'!Z192</f>
        <v>1.3284749127397892</v>
      </c>
      <c r="AB70" s="66">
        <f>'Propylene Recycling LC'!AA192</f>
        <v>1.3741380594198829</v>
      </c>
      <c r="AC70" s="66">
        <f>'Propylene Recycling LC'!AB192</f>
        <v>1.4151427365225868</v>
      </c>
      <c r="AD70" s="66">
        <f>'Propylene Recycling LC'!AC192</f>
        <v>1.4591267942837822</v>
      </c>
      <c r="AE70" s="66">
        <f>'Propylene Recycling LC'!AD192</f>
        <v>1.5137623238164903</v>
      </c>
      <c r="AF70" s="66">
        <f>'Propylene Recycling LC'!AE192</f>
        <v>1.5850405757506603</v>
      </c>
      <c r="AG70" s="66">
        <f>'Propylene Recycling LC'!AF192</f>
        <v>1.6749036913069</v>
      </c>
      <c r="AH70" s="66">
        <f>'Propylene Recycling LC'!AG192</f>
        <v>1.779086444020276</v>
      </c>
    </row>
    <row r="71" spans="1:46" s="104" customFormat="1" x14ac:dyDescent="0.2">
      <c r="A71" s="102" t="s">
        <v>391</v>
      </c>
      <c r="B71" s="102"/>
      <c r="C71" s="103" t="s">
        <v>153</v>
      </c>
      <c r="D71" s="105">
        <f>D68-D69-D70</f>
        <v>111.92305681945412</v>
      </c>
      <c r="E71" s="105">
        <f t="shared" ref="E71:AH71" si="30">E68-E69-E70</f>
        <v>113.18860598120186</v>
      </c>
      <c r="F71" s="105">
        <f t="shared" si="30"/>
        <v>114.46243596971347</v>
      </c>
      <c r="G71" s="105">
        <f t="shared" si="30"/>
        <v>115.74760799106727</v>
      </c>
      <c r="H71" s="105">
        <f t="shared" si="30"/>
        <v>117.04747557579105</v>
      </c>
      <c r="I71" s="105">
        <f t="shared" si="30"/>
        <v>118.36563018440594</v>
      </c>
      <c r="J71" s="105">
        <f t="shared" si="30"/>
        <v>119.48939367323558</v>
      </c>
      <c r="K71" s="105">
        <f t="shared" si="30"/>
        <v>120.6127436348997</v>
      </c>
      <c r="L71" s="105">
        <f t="shared" si="30"/>
        <v>121.73508613104836</v>
      </c>
      <c r="M71" s="105">
        <f t="shared" si="30"/>
        <v>122.85514630586817</v>
      </c>
      <c r="N71" s="105">
        <f t="shared" si="30"/>
        <v>123.97041079747895</v>
      </c>
      <c r="O71" s="105">
        <f t="shared" si="30"/>
        <v>123.31698289722426</v>
      </c>
      <c r="P71" s="105">
        <f t="shared" si="30"/>
        <v>122.64731735418337</v>
      </c>
      <c r="Q71" s="105">
        <f t="shared" si="30"/>
        <v>121.9134154998833</v>
      </c>
      <c r="R71" s="105">
        <f t="shared" si="30"/>
        <v>121.14336031967831</v>
      </c>
      <c r="S71" s="105">
        <f t="shared" si="30"/>
        <v>120.34148103748549</v>
      </c>
      <c r="T71" s="105">
        <f t="shared" si="30"/>
        <v>119.43246261345834</v>
      </c>
      <c r="U71" s="105">
        <f t="shared" si="30"/>
        <v>118.47650651526084</v>
      </c>
      <c r="V71" s="105">
        <f t="shared" si="30"/>
        <v>117.48435158781643</v>
      </c>
      <c r="W71" s="105">
        <f t="shared" si="30"/>
        <v>116.46643501910363</v>
      </c>
      <c r="X71" s="105">
        <f t="shared" si="30"/>
        <v>115.43040597221457</v>
      </c>
      <c r="Y71" s="105">
        <f t="shared" si="30"/>
        <v>113.33714390965397</v>
      </c>
      <c r="Z71" s="105">
        <f t="shared" si="30"/>
        <v>111.40429544821441</v>
      </c>
      <c r="AA71" s="105">
        <f t="shared" si="30"/>
        <v>109.47671153160515</v>
      </c>
      <c r="AB71" s="105">
        <f t="shared" si="30"/>
        <v>107.51837334805349</v>
      </c>
      <c r="AC71" s="105">
        <f t="shared" si="30"/>
        <v>105.52311619673573</v>
      </c>
      <c r="AD71" s="105">
        <f t="shared" si="30"/>
        <v>103.43874112300146</v>
      </c>
      <c r="AE71" s="105">
        <f t="shared" si="30"/>
        <v>101.30311809037465</v>
      </c>
      <c r="AF71" s="105">
        <f t="shared" si="30"/>
        <v>99.111037395557304</v>
      </c>
      <c r="AG71" s="105">
        <f t="shared" si="30"/>
        <v>96.861373763612747</v>
      </c>
      <c r="AH71" s="105">
        <f t="shared" si="30"/>
        <v>94.559244376435615</v>
      </c>
    </row>
    <row r="72" spans="1:46" s="426" customFormat="1" x14ac:dyDescent="0.2">
      <c r="A72" s="425" t="s">
        <v>233</v>
      </c>
      <c r="C72" s="429" t="s">
        <v>153</v>
      </c>
      <c r="D72" s="430">
        <f>'Propylene Recycling LC'!C199</f>
        <v>9.9134984978047527</v>
      </c>
      <c r="E72" s="430">
        <f>'Propylene Recycling LC'!D199</f>
        <v>10.743523526700654</v>
      </c>
      <c r="F72" s="430">
        <f>'Propylene Recycling LC'!E199</f>
        <v>11.581976579607343</v>
      </c>
      <c r="G72" s="430">
        <f>'Propylene Recycling LC'!F199</f>
        <v>12.423470440926272</v>
      </c>
      <c r="H72" s="430">
        <f>'Propylene Recycling LC'!G199</f>
        <v>13.262339124788893</v>
      </c>
      <c r="I72" s="430">
        <f>'Propylene Recycling LC'!H199</f>
        <v>14.092669208947385</v>
      </c>
      <c r="J72" s="430">
        <f>'Propylene Recycling LC'!I199</f>
        <v>14.927853208399281</v>
      </c>
      <c r="K72" s="430">
        <f>'Propylene Recycling LC'!J199</f>
        <v>15.777439626137937</v>
      </c>
      <c r="L72" s="430">
        <f>'Propylene Recycling LC'!K199</f>
        <v>16.639758532043064</v>
      </c>
      <c r="M72" s="430">
        <f>'Propylene Recycling LC'!L199</f>
        <v>17.512361109317325</v>
      </c>
      <c r="N72" s="430">
        <f>'Propylene Recycling LC'!M199</f>
        <v>18.391461585911184</v>
      </c>
      <c r="O72" s="430">
        <f>'Propylene Recycling LC'!N199</f>
        <v>18.782053045462192</v>
      </c>
      <c r="P72" s="430">
        <f>'Propylene Recycling LC'!O199</f>
        <v>19.120580029302879</v>
      </c>
      <c r="Q72" s="430">
        <f>'Propylene Recycling LC'!P199</f>
        <v>19.391298555243232</v>
      </c>
      <c r="R72" s="430">
        <f>'Propylene Recycling LC'!Q199</f>
        <v>19.592595124112211</v>
      </c>
      <c r="S72" s="430">
        <f>'Propylene Recycling LC'!R199</f>
        <v>19.720901857761568</v>
      </c>
      <c r="T72" s="430">
        <f>'Propylene Recycling LC'!S199</f>
        <v>19.8140064146945</v>
      </c>
      <c r="U72" s="430">
        <f>'Propylene Recycling LC'!T199</f>
        <v>19.879516219731151</v>
      </c>
      <c r="V72" s="430">
        <f>'Propylene Recycling LC'!U199</f>
        <v>19.927907825830168</v>
      </c>
      <c r="W72" s="430">
        <f>'Propylene Recycling LC'!V199</f>
        <v>19.969347599138821</v>
      </c>
      <c r="X72" s="430">
        <f>'Propylene Recycling LC'!W199</f>
        <v>20.011205670709749</v>
      </c>
      <c r="Y72" s="430">
        <f>'Propylene Recycling LC'!X199</f>
        <v>19.416672575178701</v>
      </c>
      <c r="Z72" s="430">
        <f>'Propylene Recycling LC'!Y199</f>
        <v>18.838684109649865</v>
      </c>
      <c r="AA72" s="430">
        <f>'Propylene Recycling LC'!Z199</f>
        <v>18.276146822271794</v>
      </c>
      <c r="AB72" s="430">
        <f>'Propylene Recycling LC'!AA199</f>
        <v>17.706293930454724</v>
      </c>
      <c r="AC72" s="430">
        <f>'Propylene Recycling LC'!AB199</f>
        <v>17.122766115577686</v>
      </c>
      <c r="AD72" s="430">
        <f>'Propylene Recycling LC'!AC199</f>
        <v>16.518236181847769</v>
      </c>
      <c r="AE72" s="430">
        <f>'Propylene Recycling LC'!AD199</f>
        <v>15.886092492162476</v>
      </c>
      <c r="AF72" s="430">
        <f>'Propylene Recycling LC'!AE199</f>
        <v>15.22095615022231</v>
      </c>
      <c r="AG72" s="430">
        <f>'Propylene Recycling LC'!AF199</f>
        <v>14.521528861668587</v>
      </c>
      <c r="AH72" s="430">
        <f>'Propylene Recycling LC'!AG199</f>
        <v>13.792751291113163</v>
      </c>
      <c r="AI72" s="430"/>
    </row>
    <row r="73" spans="1:46" s="428" customFormat="1" x14ac:dyDescent="0.2">
      <c r="A73" s="427" t="s">
        <v>234</v>
      </c>
      <c r="C73" s="431" t="s">
        <v>153</v>
      </c>
      <c r="D73" s="432">
        <f>'Propylene Recycling LC'!C200</f>
        <v>71.728753660641544</v>
      </c>
      <c r="E73" s="432">
        <f>'Propylene Recycling LC'!D200</f>
        <v>74.002018447325128</v>
      </c>
      <c r="F73" s="432">
        <f>'Propylene Recycling LC'!E200</f>
        <v>76.141058081130623</v>
      </c>
      <c r="G73" s="432">
        <f>'Propylene Recycling LC'!F200</f>
        <v>78.130444458875047</v>
      </c>
      <c r="H73" s="432">
        <f>'Propylene Recycling LC'!G200</f>
        <v>79.955539868222701</v>
      </c>
      <c r="I73" s="432">
        <f>'Propylene Recycling LC'!H200</f>
        <v>81.602645020066305</v>
      </c>
      <c r="J73" s="432">
        <f>'Propylene Recycling LC'!I200</f>
        <v>83.136584787828127</v>
      </c>
      <c r="K73" s="432">
        <f>'Propylene Recycling LC'!J200</f>
        <v>84.652336404850985</v>
      </c>
      <c r="L73" s="432">
        <f>'Propylene Recycling LC'!K200</f>
        <v>86.14701908108043</v>
      </c>
      <c r="M73" s="432">
        <f>'Propylene Recycling LC'!L200</f>
        <v>87.617015133727065</v>
      </c>
      <c r="N73" s="432">
        <f>'Propylene Recycling LC'!M200</f>
        <v>89.057415252797412</v>
      </c>
      <c r="O73" s="432">
        <f>'Propylene Recycling LC'!N200</f>
        <v>89.785371102445495</v>
      </c>
      <c r="P73" s="432">
        <f>'Propylene Recycling LC'!O200</f>
        <v>90.334686350913074</v>
      </c>
      <c r="Q73" s="432">
        <f>'Propylene Recycling LC'!P200</f>
        <v>90.63320699187102</v>
      </c>
      <c r="R73" s="432">
        <f>'Propylene Recycling LC'!Q200</f>
        <v>90.716709460246662</v>
      </c>
      <c r="S73" s="432">
        <f>'Propylene Recycling LC'!R200</f>
        <v>90.581959024505494</v>
      </c>
      <c r="T73" s="432">
        <f>'Propylene Recycling LC'!S200</f>
        <v>90.39490091878136</v>
      </c>
      <c r="U73" s="432">
        <f>'Propylene Recycling LC'!T200</f>
        <v>90.163233267642482</v>
      </c>
      <c r="V73" s="432">
        <f>'Propylene Recycling LC'!U200</f>
        <v>89.897534551652882</v>
      </c>
      <c r="W73" s="432">
        <f>'Propylene Recycling LC'!V200</f>
        <v>89.608084282254026</v>
      </c>
      <c r="X73" s="432">
        <f>'Propylene Recycling LC'!W200</f>
        <v>89.302376932590505</v>
      </c>
      <c r="Y73" s="432">
        <f>'Propylene Recycling LC'!X200</f>
        <v>88.201911663320118</v>
      </c>
      <c r="Z73" s="432">
        <f>'Propylene Recycling LC'!Y200</f>
        <v>87.249335019860808</v>
      </c>
      <c r="AA73" s="432">
        <f>'Propylene Recycling LC'!Z200</f>
        <v>86.275841345517208</v>
      </c>
      <c r="AB73" s="432">
        <f>'Propylene Recycling LC'!AA200</f>
        <v>85.279496084347443</v>
      </c>
      <c r="AC73" s="432">
        <f>'Propylene Recycling LC'!AB200</f>
        <v>84.254120751644678</v>
      </c>
      <c r="AD73" s="432">
        <f>'Propylene Recycling LC'!AC200</f>
        <v>83.190309550977346</v>
      </c>
      <c r="AE73" s="432">
        <f>'Propylene Recycling LC'!AD200</f>
        <v>82.084549049169638</v>
      </c>
      <c r="AF73" s="432">
        <f>'Propylene Recycling LC'!AE200</f>
        <v>80.931660136218071</v>
      </c>
      <c r="AG73" s="432">
        <f>'Propylene Recycling LC'!AF200</f>
        <v>79.730553390673222</v>
      </c>
      <c r="AH73" s="432">
        <f>'Propylene Recycling LC'!AG200</f>
        <v>78.486387332564647</v>
      </c>
      <c r="AI73" s="432"/>
    </row>
    <row r="74" spans="1:46" hidden="1" x14ac:dyDescent="0.2">
      <c r="A74" t="s">
        <v>277</v>
      </c>
      <c r="B74"/>
      <c r="C74" s="54"/>
      <c r="D74" s="44">
        <f t="shared" ref="D74:AH74" si="31">D4-D6-D14-D22-D26-D32</f>
        <v>0</v>
      </c>
      <c r="E74" s="44">
        <f t="shared" si="31"/>
        <v>0</v>
      </c>
      <c r="F74" s="44">
        <f t="shared" si="31"/>
        <v>0</v>
      </c>
      <c r="G74" s="44">
        <f t="shared" si="31"/>
        <v>0</v>
      </c>
      <c r="H74" s="44">
        <f t="shared" si="31"/>
        <v>0</v>
      </c>
      <c r="I74" s="44">
        <f t="shared" si="31"/>
        <v>0</v>
      </c>
      <c r="J74" s="44">
        <f t="shared" si="31"/>
        <v>0</v>
      </c>
      <c r="K74" s="44">
        <f t="shared" si="31"/>
        <v>0</v>
      </c>
      <c r="L74" s="44">
        <f t="shared" si="31"/>
        <v>0</v>
      </c>
      <c r="M74" s="44">
        <f t="shared" si="31"/>
        <v>0</v>
      </c>
      <c r="N74" s="44">
        <f t="shared" si="31"/>
        <v>0</v>
      </c>
      <c r="O74" s="44">
        <f t="shared" si="31"/>
        <v>0</v>
      </c>
      <c r="P74" s="44">
        <f t="shared" si="31"/>
        <v>0</v>
      </c>
      <c r="Q74" s="44">
        <f t="shared" si="31"/>
        <v>0</v>
      </c>
      <c r="R74" s="44">
        <f t="shared" si="31"/>
        <v>0</v>
      </c>
      <c r="S74" s="44">
        <f t="shared" si="31"/>
        <v>0</v>
      </c>
      <c r="T74" s="44">
        <f t="shared" si="31"/>
        <v>0</v>
      </c>
      <c r="U74" s="44">
        <f t="shared" si="31"/>
        <v>0</v>
      </c>
      <c r="V74" s="44">
        <f t="shared" si="31"/>
        <v>0</v>
      </c>
      <c r="W74" s="44">
        <f t="shared" si="31"/>
        <v>0</v>
      </c>
      <c r="X74" s="44">
        <f t="shared" si="31"/>
        <v>0</v>
      </c>
      <c r="Y74" s="44">
        <f t="shared" si="31"/>
        <v>0</v>
      </c>
      <c r="Z74" s="44">
        <f t="shared" si="31"/>
        <v>0</v>
      </c>
      <c r="AA74" s="44">
        <f t="shared" si="31"/>
        <v>0</v>
      </c>
      <c r="AB74" s="44">
        <f t="shared" si="31"/>
        <v>0</v>
      </c>
      <c r="AC74" s="44">
        <f t="shared" si="31"/>
        <v>0</v>
      </c>
      <c r="AD74" s="44">
        <f t="shared" si="31"/>
        <v>0</v>
      </c>
      <c r="AE74" s="44">
        <f t="shared" si="31"/>
        <v>0</v>
      </c>
      <c r="AF74" s="44">
        <f t="shared" si="31"/>
        <v>0</v>
      </c>
      <c r="AG74" s="44">
        <f t="shared" si="31"/>
        <v>0</v>
      </c>
      <c r="AH74" s="44">
        <f t="shared" si="31"/>
        <v>0</v>
      </c>
    </row>
    <row r="75" spans="1:46" hidden="1" x14ac:dyDescent="0.2">
      <c r="A75" t="s">
        <v>278</v>
      </c>
      <c r="B75"/>
      <c r="C75" s="54"/>
      <c r="D75" s="44">
        <f t="shared" ref="D75:AH75" si="32">D42-D13-D21-D25-D31-D35-D38</f>
        <v>0</v>
      </c>
      <c r="E75" s="44">
        <f t="shared" si="32"/>
        <v>7.1054273576010019E-15</v>
      </c>
      <c r="F75" s="44">
        <f t="shared" si="32"/>
        <v>0</v>
      </c>
      <c r="G75" s="44">
        <f t="shared" si="32"/>
        <v>1.4210854715202004E-14</v>
      </c>
      <c r="H75" s="44">
        <f t="shared" si="32"/>
        <v>7.1054273576010019E-15</v>
      </c>
      <c r="I75" s="44">
        <f t="shared" si="32"/>
        <v>-7.1054273576010019E-15</v>
      </c>
      <c r="J75" s="44">
        <f t="shared" si="32"/>
        <v>2.1316282072803006E-14</v>
      </c>
      <c r="K75" s="44">
        <f t="shared" si="32"/>
        <v>-2.1316282072803006E-14</v>
      </c>
      <c r="L75" s="44">
        <f t="shared" si="32"/>
        <v>-7.1054273576010019E-15</v>
      </c>
      <c r="M75" s="44">
        <f t="shared" si="32"/>
        <v>2.1316282072803006E-14</v>
      </c>
      <c r="N75" s="44">
        <f t="shared" si="32"/>
        <v>2.1316282072803006E-14</v>
      </c>
      <c r="O75" s="44">
        <f t="shared" si="32"/>
        <v>1.4210854715202004E-14</v>
      </c>
      <c r="P75" s="44">
        <f t="shared" si="32"/>
        <v>7.1054273576010019E-15</v>
      </c>
      <c r="Q75" s="44">
        <f t="shared" si="32"/>
        <v>7.1054273576010019E-15</v>
      </c>
      <c r="R75" s="44">
        <f t="shared" si="32"/>
        <v>-1.4210854715202004E-14</v>
      </c>
      <c r="S75" s="44">
        <f t="shared" si="32"/>
        <v>-7.1054273576010019E-15</v>
      </c>
      <c r="T75" s="44">
        <f t="shared" si="32"/>
        <v>2.1316282072803006E-14</v>
      </c>
      <c r="U75" s="44">
        <f t="shared" si="32"/>
        <v>0</v>
      </c>
      <c r="V75" s="44">
        <f t="shared" si="32"/>
        <v>-2.8421709430404007E-14</v>
      </c>
      <c r="W75" s="44">
        <f t="shared" si="32"/>
        <v>0</v>
      </c>
      <c r="X75" s="44">
        <f t="shared" si="32"/>
        <v>7.1054273576010019E-15</v>
      </c>
      <c r="Y75" s="44">
        <f t="shared" si="32"/>
        <v>0</v>
      </c>
      <c r="Z75" s="44">
        <f t="shared" si="32"/>
        <v>0</v>
      </c>
      <c r="AA75" s="44">
        <f t="shared" si="32"/>
        <v>0</v>
      </c>
      <c r="AB75" s="44">
        <f t="shared" si="32"/>
        <v>2.1316282072803006E-14</v>
      </c>
      <c r="AC75" s="44">
        <f t="shared" si="32"/>
        <v>-2.1316282072803006E-14</v>
      </c>
      <c r="AD75" s="44">
        <f t="shared" si="32"/>
        <v>1.4210854715202004E-14</v>
      </c>
      <c r="AE75" s="44">
        <f t="shared" si="32"/>
        <v>-2.1316282072803006E-14</v>
      </c>
      <c r="AF75" s="44">
        <f t="shared" si="32"/>
        <v>7.1054273576010019E-15</v>
      </c>
      <c r="AG75" s="44">
        <f t="shared" si="32"/>
        <v>-7.1054273576010019E-15</v>
      </c>
      <c r="AH75" s="44">
        <f t="shared" si="32"/>
        <v>2.1316282072803006E-14</v>
      </c>
    </row>
    <row r="76" spans="1:46" hidden="1" x14ac:dyDescent="0.2">
      <c r="A76" t="s">
        <v>279</v>
      </c>
      <c r="B76"/>
      <c r="C76" s="54"/>
      <c r="D76" s="244">
        <f t="shared" ref="D76:AH76" si="33">D42-D43-D47-D50-D54-D60</f>
        <v>0</v>
      </c>
      <c r="E76" s="244">
        <f t="shared" si="33"/>
        <v>0</v>
      </c>
      <c r="F76" s="244">
        <f t="shared" si="33"/>
        <v>0</v>
      </c>
      <c r="G76" s="244">
        <f t="shared" si="33"/>
        <v>0</v>
      </c>
      <c r="H76" s="244">
        <f t="shared" si="33"/>
        <v>0</v>
      </c>
      <c r="I76" s="244">
        <f t="shared" si="33"/>
        <v>0</v>
      </c>
      <c r="J76" s="244">
        <f t="shared" si="33"/>
        <v>0</v>
      </c>
      <c r="K76" s="244">
        <f t="shared" si="33"/>
        <v>0</v>
      </c>
      <c r="L76" s="244">
        <f t="shared" si="33"/>
        <v>0</v>
      </c>
      <c r="M76" s="244">
        <f t="shared" si="33"/>
        <v>0</v>
      </c>
      <c r="N76" s="244">
        <f t="shared" si="33"/>
        <v>0</v>
      </c>
      <c r="O76" s="244">
        <f t="shared" si="33"/>
        <v>0</v>
      </c>
      <c r="P76" s="244">
        <f t="shared" si="33"/>
        <v>0</v>
      </c>
      <c r="Q76" s="244">
        <f t="shared" si="33"/>
        <v>0</v>
      </c>
      <c r="R76" s="244">
        <f t="shared" si="33"/>
        <v>0</v>
      </c>
      <c r="S76" s="244">
        <f t="shared" si="33"/>
        <v>0</v>
      </c>
      <c r="T76" s="244">
        <f t="shared" si="33"/>
        <v>0</v>
      </c>
      <c r="U76" s="244">
        <f t="shared" si="33"/>
        <v>0</v>
      </c>
      <c r="V76" s="244">
        <f t="shared" si="33"/>
        <v>0</v>
      </c>
      <c r="W76" s="244">
        <f t="shared" si="33"/>
        <v>0</v>
      </c>
      <c r="X76" s="244">
        <f t="shared" si="33"/>
        <v>0</v>
      </c>
      <c r="Y76" s="244">
        <f t="shared" si="33"/>
        <v>0</v>
      </c>
      <c r="Z76" s="244">
        <f t="shared" si="33"/>
        <v>0</v>
      </c>
      <c r="AA76" s="244">
        <f t="shared" si="33"/>
        <v>0</v>
      </c>
      <c r="AB76" s="244">
        <f t="shared" si="33"/>
        <v>0</v>
      </c>
      <c r="AC76" s="244">
        <f t="shared" si="33"/>
        <v>0</v>
      </c>
      <c r="AD76" s="244">
        <f t="shared" si="33"/>
        <v>0</v>
      </c>
      <c r="AE76" s="244">
        <f t="shared" si="33"/>
        <v>0</v>
      </c>
      <c r="AF76" s="244">
        <f t="shared" si="33"/>
        <v>0</v>
      </c>
      <c r="AG76" s="244">
        <f t="shared" si="33"/>
        <v>0</v>
      </c>
      <c r="AH76" s="244">
        <f t="shared" si="33"/>
        <v>0</v>
      </c>
    </row>
    <row r="77" spans="1:46" hidden="1" x14ac:dyDescent="0.2">
      <c r="A77" t="s">
        <v>280</v>
      </c>
      <c r="B77"/>
      <c r="C77" s="54"/>
      <c r="D77" s="244" t="e">
        <f>D46+D49+D53+D59+D65-#REF!</f>
        <v>#REF!</v>
      </c>
      <c r="E77" s="244" t="e">
        <f>E46+E49+E53+E59+E65-#REF!</f>
        <v>#REF!</v>
      </c>
      <c r="F77" s="244" t="e">
        <f>F46+F49+F53+F59+F65-#REF!</f>
        <v>#REF!</v>
      </c>
      <c r="G77" s="244" t="e">
        <f>G46+G49+G53+G59+G65-#REF!</f>
        <v>#REF!</v>
      </c>
      <c r="H77" s="244" t="e">
        <f>H46+H49+H53+H59+H65-#REF!</f>
        <v>#REF!</v>
      </c>
      <c r="I77" s="244" t="e">
        <f>I46+I49+I53+I59+I65-#REF!</f>
        <v>#REF!</v>
      </c>
      <c r="J77" s="244" t="e">
        <f>J46+J49+J53+J59+J65-#REF!</f>
        <v>#REF!</v>
      </c>
      <c r="K77" s="244" t="e">
        <f>K46+K49+K53+K59+K65-#REF!</f>
        <v>#REF!</v>
      </c>
      <c r="L77" s="244" t="e">
        <f>L46+L49+L53+L59+L65-#REF!</f>
        <v>#REF!</v>
      </c>
      <c r="M77" s="244" t="e">
        <f>M46+M49+M53+M59+M65-#REF!</f>
        <v>#REF!</v>
      </c>
      <c r="N77" s="244" t="e">
        <f>N46+N49+N53+N59+N65-#REF!</f>
        <v>#REF!</v>
      </c>
      <c r="O77" s="244" t="e">
        <f>O46+O49+O53+O59+O65-#REF!</f>
        <v>#REF!</v>
      </c>
      <c r="P77" s="244" t="e">
        <f>P46+P49+P53+P59+P65-#REF!</f>
        <v>#REF!</v>
      </c>
      <c r="Q77" s="244" t="e">
        <f>Q46+Q49+Q53+Q59+Q65-#REF!</f>
        <v>#REF!</v>
      </c>
      <c r="R77" s="244" t="e">
        <f>R46+R49+R53+R59+R65-#REF!</f>
        <v>#REF!</v>
      </c>
      <c r="S77" s="244" t="e">
        <f>S46+S49+S53+S59+S65-#REF!</f>
        <v>#REF!</v>
      </c>
      <c r="T77" s="244" t="e">
        <f>T46+T49+T53+T59+T65-#REF!</f>
        <v>#REF!</v>
      </c>
      <c r="U77" s="244" t="e">
        <f>U46+U49+U53+U59+U65-#REF!</f>
        <v>#REF!</v>
      </c>
      <c r="V77" s="244" t="e">
        <f>V46+V49+V53+V59+V65-#REF!</f>
        <v>#REF!</v>
      </c>
      <c r="W77" s="244" t="e">
        <f>W46+W49+W53+W59+W65-#REF!</f>
        <v>#REF!</v>
      </c>
      <c r="X77" s="244" t="e">
        <f>X46+X49+X53+X59+X65-#REF!</f>
        <v>#REF!</v>
      </c>
      <c r="Y77" s="244" t="e">
        <f>Y46+Y49+Y53+Y59+Y65-#REF!</f>
        <v>#REF!</v>
      </c>
      <c r="Z77" s="244" t="e">
        <f>Z46+Z49+Z53+Z59+Z65-#REF!</f>
        <v>#REF!</v>
      </c>
      <c r="AA77" s="244" t="e">
        <f>AA46+AA49+AA53+AA59+AA65-#REF!</f>
        <v>#REF!</v>
      </c>
      <c r="AB77" s="244" t="e">
        <f>AB46+AB49+AB53+AB59+AB65-#REF!</f>
        <v>#REF!</v>
      </c>
      <c r="AC77" s="244" t="e">
        <f>AC46+AC49+AC53+AC59+AC65-#REF!</f>
        <v>#REF!</v>
      </c>
      <c r="AD77" s="244" t="e">
        <f>AD46+AD49+AD53+AD59+AD65-#REF!</f>
        <v>#REF!</v>
      </c>
      <c r="AE77" s="244" t="e">
        <f>AE46+AE49+AE53+AE59+AE65-#REF!</f>
        <v>#REF!</v>
      </c>
      <c r="AF77" s="244" t="e">
        <f>AF46+AF49+AF53+AF59+AF65-#REF!</f>
        <v>#REF!</v>
      </c>
      <c r="AG77" s="244" t="e">
        <f>AG46+AG49+AG53+AG59+AG65-#REF!</f>
        <v>#REF!</v>
      </c>
      <c r="AH77" s="244" t="e">
        <f>AH46+AH49+AH53+AH59+AH65-#REF!</f>
        <v>#REF!</v>
      </c>
    </row>
    <row r="78" spans="1:46" ht="16" thickBot="1" x14ac:dyDescent="0.25">
      <c r="C78" s="65"/>
      <c r="D78" s="66"/>
      <c r="E78" s="66"/>
      <c r="F78" s="66"/>
      <c r="G78" s="66"/>
      <c r="H78" s="66"/>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row>
    <row r="79" spans="1:46" ht="54" customHeight="1" thickBot="1" x14ac:dyDescent="0.25">
      <c r="A79" s="250" t="s">
        <v>392</v>
      </c>
      <c r="B79" s="185">
        <v>2020</v>
      </c>
      <c r="C79" s="186" t="s">
        <v>282</v>
      </c>
      <c r="D79" s="186" t="s">
        <v>282</v>
      </c>
      <c r="E79" s="186" t="s">
        <v>283</v>
      </c>
      <c r="F79" s="186" t="s">
        <v>284</v>
      </c>
      <c r="G79" s="186" t="s">
        <v>285</v>
      </c>
      <c r="H79" s="186" t="s">
        <v>286</v>
      </c>
      <c r="I79" s="186" t="s">
        <v>287</v>
      </c>
      <c r="J79" s="186" t="s">
        <v>288</v>
      </c>
      <c r="K79" s="186" t="s">
        <v>289</v>
      </c>
      <c r="L79" s="186" t="s">
        <v>290</v>
      </c>
      <c r="M79" s="186" t="s">
        <v>291</v>
      </c>
      <c r="N79" s="186" t="s">
        <v>292</v>
      </c>
      <c r="O79" s="186" t="s">
        <v>293</v>
      </c>
      <c r="P79" s="186" t="s">
        <v>294</v>
      </c>
      <c r="Q79" s="186" t="s">
        <v>295</v>
      </c>
      <c r="R79" s="186" t="s">
        <v>296</v>
      </c>
      <c r="S79" s="186" t="s">
        <v>297</v>
      </c>
      <c r="T79" s="186" t="s">
        <v>298</v>
      </c>
      <c r="U79" s="186" t="s">
        <v>299</v>
      </c>
      <c r="V79" s="186" t="s">
        <v>300</v>
      </c>
      <c r="W79" s="186" t="s">
        <v>301</v>
      </c>
      <c r="X79" s="186" t="s">
        <v>292</v>
      </c>
      <c r="AJ79" s="138" t="s">
        <v>302</v>
      </c>
      <c r="AK79" s="139" t="s">
        <v>1</v>
      </c>
      <c r="AL79" s="139" t="s">
        <v>180</v>
      </c>
      <c r="AM79" s="139" t="s">
        <v>181</v>
      </c>
      <c r="AN79" s="139" t="s">
        <v>303</v>
      </c>
      <c r="AO79" s="139" t="s">
        <v>304</v>
      </c>
      <c r="AP79" s="139" t="s">
        <v>305</v>
      </c>
      <c r="AQ79" s="139" t="s">
        <v>393</v>
      </c>
      <c r="AR79" s="139" t="s">
        <v>308</v>
      </c>
      <c r="AS79" s="139"/>
      <c r="AT79" s="139"/>
    </row>
    <row r="80" spans="1:46" x14ac:dyDescent="0.2">
      <c r="A80" t="s">
        <v>309</v>
      </c>
      <c r="B80" s="183">
        <f>'Demand Breakdown - Propylene'!J50</f>
        <v>0.26787914691943132</v>
      </c>
      <c r="C80" s="184">
        <f>D80/$D$88</f>
        <v>0.27987273476402053</v>
      </c>
      <c r="D80" s="249">
        <f>AH21*B80/(B80+B84)</f>
        <v>37.440270935821673</v>
      </c>
      <c r="N80" s="194">
        <f>X80/$X$88</f>
        <v>0.32422005202593179</v>
      </c>
      <c r="X80" s="44">
        <f>AH46*B80/(B80+B84)</f>
        <v>31.23481863069965</v>
      </c>
      <c r="AJ80" s="30" t="s">
        <v>67</v>
      </c>
      <c r="AK80" s="140">
        <f>D4</f>
        <v>111.92307692307692</v>
      </c>
      <c r="AM80" s="140">
        <f>AH4</f>
        <v>160</v>
      </c>
      <c r="AN80" s="140"/>
      <c r="AO80" s="140"/>
      <c r="AP80" s="140"/>
      <c r="AR80" s="140">
        <f>AH42</f>
        <v>133.77605706175729</v>
      </c>
      <c r="AS80" s="137"/>
      <c r="AT80" s="140"/>
    </row>
    <row r="81" spans="1:45" x14ac:dyDescent="0.2">
      <c r="A81" t="s">
        <v>310</v>
      </c>
      <c r="B81" s="183">
        <f>'Demand Breakdown - Propylene'!J51</f>
        <v>0.11060426540284357</v>
      </c>
      <c r="C81" s="184">
        <f t="shared" ref="C81:C87" si="34">D81/$D$88</f>
        <v>0.11968406069535693</v>
      </c>
      <c r="D81" s="249">
        <f>AH25</f>
        <v>16.010861732964891</v>
      </c>
      <c r="N81" s="194">
        <f t="shared" ref="N81:N87" si="35">X81/$X$88</f>
        <v>4.4318771100678757E-2</v>
      </c>
      <c r="X81" s="44">
        <f>IF(AH59&lt;0,0,AH59)</f>
        <v>4.2695964318532518</v>
      </c>
      <c r="AJ81" s="30" t="s">
        <v>168</v>
      </c>
      <c r="AN81" s="44">
        <f>-AH17</f>
        <v>-8.9222901942559041</v>
      </c>
      <c r="AO81" s="43">
        <f>-AH23</f>
        <v>-4.5158840785285594</v>
      </c>
      <c r="AP81" s="44">
        <f>-AH11</f>
        <v>-8.1273145821597357</v>
      </c>
      <c r="AQ81" s="43">
        <f>-AH33</f>
        <v>-2.9357985176446526</v>
      </c>
    </row>
    <row r="82" spans="1:45" x14ac:dyDescent="0.2">
      <c r="A82" t="s">
        <v>311</v>
      </c>
      <c r="B82" s="183">
        <f>'Demand Breakdown - Propylene'!J52</f>
        <v>0.15755924170616112</v>
      </c>
      <c r="C82" s="184">
        <f t="shared" si="34"/>
        <v>0.17968669275871427</v>
      </c>
      <c r="D82" s="249">
        <f>AH13</f>
        <v>24.037777263728209</v>
      </c>
      <c r="N82" s="194">
        <f t="shared" si="35"/>
        <v>0.1920494439014685</v>
      </c>
      <c r="X82" s="44">
        <f>AH49</f>
        <v>18.501722860464263</v>
      </c>
      <c r="AJ82" s="30" t="s">
        <v>172</v>
      </c>
      <c r="AN82" s="44">
        <f>-AH20</f>
        <v>-3.6681553184894002</v>
      </c>
      <c r="AO82" s="43">
        <f>-AH24</f>
        <v>0</v>
      </c>
      <c r="AP82">
        <f>-AH12</f>
        <v>0</v>
      </c>
      <c r="AQ82" s="43">
        <f>-AH34</f>
        <v>-0.97859950588155087</v>
      </c>
    </row>
    <row r="83" spans="1:45" x14ac:dyDescent="0.2">
      <c r="A83" t="s">
        <v>312</v>
      </c>
      <c r="B83" s="183">
        <f>'Demand Breakdown - Propylene'!J53</f>
        <v>6.3578199052132689E-2</v>
      </c>
      <c r="C83" s="184">
        <f t="shared" si="34"/>
        <v>5.3442340409002836E-2</v>
      </c>
      <c r="D83" s="249">
        <f>AH35*B83/(B83+B85)</f>
        <v>7.1493055800686207</v>
      </c>
      <c r="N83" s="194">
        <f t="shared" si="35"/>
        <v>5.2166473569472613E-2</v>
      </c>
      <c r="X83" s="44">
        <f>AH65*C83/(C83+C85+C87)</f>
        <v>5.0256309884724226</v>
      </c>
      <c r="AJ83" s="30" t="s">
        <v>175</v>
      </c>
      <c r="AL83" s="140">
        <f>AH4-D4</f>
        <v>48.07692307692308</v>
      </c>
      <c r="AS83" s="44"/>
    </row>
    <row r="84" spans="1:45" x14ac:dyDescent="0.2">
      <c r="A84" t="s">
        <v>313</v>
      </c>
      <c r="B84" s="183">
        <f>'Demand Breakdown - Propylene'!J54</f>
        <v>0.15066350710900475</v>
      </c>
      <c r="C84" s="184">
        <f t="shared" si="34"/>
        <v>0.15740907139896876</v>
      </c>
      <c r="D84" s="249">
        <f>AH21*B84/(B80+B84)</f>
        <v>21.057564917506671</v>
      </c>
      <c r="N84" s="194">
        <f t="shared" si="35"/>
        <v>0.18235137253137018</v>
      </c>
      <c r="X84" s="44">
        <f>AH46*B84/(B80+B84)</f>
        <v>17.567426852491341</v>
      </c>
    </row>
    <row r="85" spans="1:45" x14ac:dyDescent="0.2">
      <c r="A85" t="s">
        <v>248</v>
      </c>
      <c r="B85" s="183">
        <f>'Demand Breakdown - Propylene'!J55</f>
        <v>0.24971563981042649</v>
      </c>
      <c r="C85" s="184">
        <f t="shared" si="34"/>
        <v>0.20990509997393661</v>
      </c>
      <c r="D85" s="249">
        <f>AH35*B85/(B83+B85)</f>
        <v>28.080276631667211</v>
      </c>
      <c r="N85" s="194">
        <f t="shared" si="35"/>
        <v>0.20489388687107807</v>
      </c>
      <c r="X85" s="44">
        <f>AH65*C85/(C83+C85+C87)</f>
        <v>19.739135056474989</v>
      </c>
      <c r="AJ85" s="142"/>
      <c r="AK85" s="139"/>
      <c r="AL85" s="139"/>
      <c r="AM85" s="139"/>
      <c r="AN85" s="139"/>
      <c r="AO85" s="139"/>
      <c r="AP85" s="139"/>
    </row>
    <row r="86" spans="1:45" x14ac:dyDescent="0.2">
      <c r="A86" s="131" t="s">
        <v>320</v>
      </c>
      <c r="B86" s="183">
        <f>'Demand Breakdown - Propylene'!J56</f>
        <v>0</v>
      </c>
      <c r="C86" s="184">
        <f t="shared" si="34"/>
        <v>0</v>
      </c>
      <c r="D86" s="249">
        <f>AH31</f>
        <v>0</v>
      </c>
      <c r="N86" s="194">
        <f t="shared" si="35"/>
        <v>0</v>
      </c>
      <c r="X86" s="44">
        <f>AH53</f>
        <v>0</v>
      </c>
      <c r="AK86" s="141"/>
      <c r="AL86" s="143"/>
      <c r="AM86" s="141"/>
      <c r="AN86" s="143"/>
      <c r="AO86" s="143"/>
      <c r="AP86" s="141"/>
    </row>
    <row r="87" spans="1:45" ht="16" thickBot="1" x14ac:dyDescent="0.25">
      <c r="A87" t="s">
        <v>321</v>
      </c>
      <c r="B87" s="183"/>
      <c r="C87" s="184">
        <f t="shared" si="34"/>
        <v>0</v>
      </c>
      <c r="D87" s="249">
        <f>AH38</f>
        <v>0</v>
      </c>
      <c r="N87" s="194">
        <f t="shared" si="35"/>
        <v>0</v>
      </c>
      <c r="X87" s="44">
        <f>AH65*C87/(C83+C85+C87)</f>
        <v>0</v>
      </c>
    </row>
    <row r="88" spans="1:45" ht="16" thickBot="1" x14ac:dyDescent="0.25">
      <c r="A88" s="185" t="s">
        <v>67</v>
      </c>
      <c r="B88" s="247">
        <f>SUM(B80:B86)</f>
        <v>1</v>
      </c>
      <c r="C88" s="246">
        <f>SUM(C80:C87)</f>
        <v>0.99999999999999989</v>
      </c>
      <c r="D88" s="187">
        <f>SUM(D80:D87)</f>
        <v>133.77605706175729</v>
      </c>
      <c r="E88" s="188"/>
      <c r="F88" s="188"/>
      <c r="G88" s="188"/>
      <c r="H88" s="188"/>
      <c r="I88" s="188"/>
      <c r="J88" s="188"/>
      <c r="K88" s="188"/>
      <c r="L88" s="188"/>
      <c r="M88" s="188"/>
      <c r="N88" s="248">
        <f>SUM(N80:N87)</f>
        <v>1</v>
      </c>
      <c r="X88" s="44">
        <f>SUM(X80:X87)</f>
        <v>96.338330820455923</v>
      </c>
    </row>
    <row r="89" spans="1:45" ht="16" thickBot="1" x14ac:dyDescent="0.25">
      <c r="AJ89" s="142"/>
      <c r="AK89" s="136"/>
      <c r="AL89" s="136"/>
      <c r="AM89" s="136"/>
      <c r="AN89" s="136"/>
      <c r="AO89" s="136"/>
      <c r="AP89" s="136"/>
      <c r="AQ89" s="136"/>
    </row>
    <row r="90" spans="1:45" ht="49" thickBot="1" x14ac:dyDescent="0.25">
      <c r="A90" s="250" t="s">
        <v>394</v>
      </c>
      <c r="B90" s="185">
        <v>2020</v>
      </c>
      <c r="C90" s="186" t="s">
        <v>282</v>
      </c>
      <c r="D90" s="186" t="s">
        <v>292</v>
      </c>
      <c r="E90" s="186" t="s">
        <v>283</v>
      </c>
      <c r="F90" s="186" t="s">
        <v>284</v>
      </c>
      <c r="G90" s="186" t="s">
        <v>285</v>
      </c>
      <c r="H90" s="186" t="s">
        <v>286</v>
      </c>
      <c r="I90" s="186" t="s">
        <v>287</v>
      </c>
      <c r="J90" s="186" t="s">
        <v>288</v>
      </c>
      <c r="K90" s="186" t="s">
        <v>289</v>
      </c>
      <c r="L90" s="186" t="s">
        <v>290</v>
      </c>
      <c r="M90" s="186" t="s">
        <v>291</v>
      </c>
      <c r="O90" s="186" t="s">
        <v>293</v>
      </c>
      <c r="P90" s="186" t="s">
        <v>294</v>
      </c>
      <c r="Q90" s="186" t="s">
        <v>295</v>
      </c>
      <c r="R90" s="186" t="s">
        <v>296</v>
      </c>
      <c r="S90" s="186" t="s">
        <v>297</v>
      </c>
      <c r="T90" s="186" t="s">
        <v>298</v>
      </c>
      <c r="U90" s="186" t="s">
        <v>299</v>
      </c>
      <c r="V90" s="186" t="s">
        <v>300</v>
      </c>
      <c r="W90" s="186" t="s">
        <v>301</v>
      </c>
      <c r="X90" s="186"/>
      <c r="AK90" s="141"/>
      <c r="AL90" s="143"/>
      <c r="AM90" s="143"/>
      <c r="AN90" s="143"/>
      <c r="AO90" s="143"/>
      <c r="AP90" s="141"/>
      <c r="AQ90" s="143"/>
    </row>
    <row r="91" spans="1:45" x14ac:dyDescent="0.2">
      <c r="A91" t="s">
        <v>324</v>
      </c>
      <c r="B91" s="183">
        <f>B80+B84</f>
        <v>0.41854265402843605</v>
      </c>
      <c r="C91" s="184">
        <f t="shared" ref="C91" si="36">C80+C84</f>
        <v>0.43728180616298928</v>
      </c>
      <c r="D91" s="194">
        <f>N80+N84</f>
        <v>0.50657142455730197</v>
      </c>
      <c r="X91" s="44"/>
    </row>
    <row r="92" spans="1:45" x14ac:dyDescent="0.2">
      <c r="A92" t="s">
        <v>311</v>
      </c>
      <c r="B92" s="183">
        <f>B82</f>
        <v>0.15755924170616112</v>
      </c>
      <c r="C92" s="184">
        <f>C82</f>
        <v>0.17968669275871427</v>
      </c>
      <c r="D92" s="194">
        <f>N82</f>
        <v>0.1920494439014685</v>
      </c>
      <c r="X92" s="44"/>
      <c r="AJ92" s="142"/>
      <c r="AK92" s="136"/>
      <c r="AL92" s="136"/>
      <c r="AM92" s="136"/>
      <c r="AN92" s="136"/>
      <c r="AO92" s="136"/>
      <c r="AP92" s="139"/>
    </row>
    <row r="93" spans="1:45" x14ac:dyDescent="0.2">
      <c r="A93" t="s">
        <v>310</v>
      </c>
      <c r="B93" s="183">
        <f>B81</f>
        <v>0.11060426540284357</v>
      </c>
      <c r="C93" s="184">
        <f>C81</f>
        <v>0.11968406069535693</v>
      </c>
      <c r="D93" s="194">
        <f>N81</f>
        <v>4.4318771100678757E-2</v>
      </c>
      <c r="X93" s="44"/>
      <c r="AK93" s="141"/>
      <c r="AL93" s="143"/>
      <c r="AM93" s="141"/>
      <c r="AN93" s="143"/>
      <c r="AO93" s="143"/>
      <c r="AP93" s="141"/>
    </row>
    <row r="94" spans="1:45" x14ac:dyDescent="0.2">
      <c r="A94" t="s">
        <v>312</v>
      </c>
      <c r="B94" s="183">
        <f>B83</f>
        <v>6.3578199052132689E-2</v>
      </c>
      <c r="C94" s="184">
        <f>C83</f>
        <v>5.3442340409002836E-2</v>
      </c>
      <c r="D94" s="194">
        <f>N83</f>
        <v>5.2166473569472613E-2</v>
      </c>
      <c r="X94" s="44"/>
    </row>
    <row r="95" spans="1:45" x14ac:dyDescent="0.2">
      <c r="A95" t="s">
        <v>248</v>
      </c>
      <c r="B95" s="183">
        <f>B85+B86+B87</f>
        <v>0.24971563981042649</v>
      </c>
      <c r="C95" s="183">
        <f>C85+C86+C87</f>
        <v>0.20990509997393661</v>
      </c>
      <c r="D95" s="183">
        <f>N85+N86+N87</f>
        <v>0.20489388687107807</v>
      </c>
      <c r="X95" s="44"/>
      <c r="AJ95" s="142"/>
      <c r="AK95" s="136"/>
      <c r="AL95" s="136"/>
      <c r="AM95" s="136"/>
      <c r="AN95" s="136"/>
      <c r="AO95" s="136"/>
      <c r="AP95" s="136"/>
    </row>
    <row r="96" spans="1:45" ht="16" thickBot="1" x14ac:dyDescent="0.25">
      <c r="A96" t="s">
        <v>321</v>
      </c>
      <c r="B96" s="183">
        <f>B87</f>
        <v>0</v>
      </c>
      <c r="C96" s="184">
        <f>C87</f>
        <v>0</v>
      </c>
      <c r="D96" s="194">
        <f>N87</f>
        <v>0</v>
      </c>
      <c r="X96" s="44"/>
      <c r="AK96" s="141"/>
      <c r="AL96" s="143"/>
      <c r="AM96" s="143"/>
      <c r="AN96" s="143"/>
      <c r="AO96" s="143"/>
      <c r="AP96" s="141"/>
    </row>
    <row r="97" spans="1:47" ht="16" thickBot="1" x14ac:dyDescent="0.25">
      <c r="A97" s="185" t="s">
        <v>67</v>
      </c>
      <c r="B97" s="251">
        <f>SUM(B91:B96)</f>
        <v>1</v>
      </c>
      <c r="C97" s="252">
        <f>SUM(C91:C96)</f>
        <v>1</v>
      </c>
      <c r="D97" s="253">
        <f>SUM(D91:D96)</f>
        <v>0.99999999999999978</v>
      </c>
      <c r="X97" s="44"/>
    </row>
    <row r="98" spans="1:47" ht="16" thickBot="1" x14ac:dyDescent="0.25">
      <c r="E98" s="188"/>
      <c r="F98" s="188"/>
      <c r="G98" s="188"/>
      <c r="H98" s="188"/>
      <c r="I98" s="188"/>
      <c r="J98" s="188"/>
      <c r="K98" s="188"/>
      <c r="L98" s="188"/>
      <c r="M98" s="188"/>
      <c r="X98" s="44"/>
    </row>
    <row r="99" spans="1:47" ht="16" thickBot="1" x14ac:dyDescent="0.25"/>
    <row r="100" spans="1:47" ht="49" thickBot="1" x14ac:dyDescent="0.25">
      <c r="A100" s="250" t="s">
        <v>395</v>
      </c>
      <c r="B100" s="254">
        <v>2020</v>
      </c>
      <c r="C100" s="186" t="s">
        <v>334</v>
      </c>
      <c r="D100" s="186" t="s">
        <v>282</v>
      </c>
      <c r="E100" s="188"/>
      <c r="F100" s="188"/>
      <c r="G100" s="188"/>
      <c r="H100" s="188"/>
      <c r="I100" s="188"/>
      <c r="J100" s="188"/>
      <c r="K100" s="188"/>
      <c r="L100" s="188"/>
      <c r="M100" s="188"/>
      <c r="N100" s="255" t="s">
        <v>292</v>
      </c>
    </row>
    <row r="101" spans="1:47" x14ac:dyDescent="0.2">
      <c r="A101" t="s">
        <v>321</v>
      </c>
      <c r="B101" s="183">
        <f>B96</f>
        <v>0</v>
      </c>
      <c r="C101" s="183">
        <f>0</f>
        <v>0</v>
      </c>
      <c r="D101" s="184">
        <f>C96</f>
        <v>0</v>
      </c>
      <c r="N101" s="194">
        <f>D96</f>
        <v>0</v>
      </c>
    </row>
    <row r="102" spans="1:47" x14ac:dyDescent="0.2">
      <c r="A102" t="s">
        <v>248</v>
      </c>
      <c r="B102" s="183">
        <f>B95</f>
        <v>0.24971563981042649</v>
      </c>
      <c r="C102" s="183">
        <f>'Demand Breakdown - Propylene'!N55</f>
        <v>0.19500192105324163</v>
      </c>
      <c r="D102" s="184">
        <f>C95</f>
        <v>0.20990509997393661</v>
      </c>
      <c r="N102" s="194">
        <f>D95</f>
        <v>0.20489388687107807</v>
      </c>
      <c r="AJ102" s="138"/>
      <c r="AK102" s="139"/>
      <c r="AL102" s="139"/>
      <c r="AM102" s="139"/>
      <c r="AN102" s="139"/>
      <c r="AO102" s="139"/>
      <c r="AP102" s="139"/>
      <c r="AQ102" s="139"/>
      <c r="AR102" s="139"/>
      <c r="AS102" s="139"/>
      <c r="AT102" s="139"/>
      <c r="AU102" s="139"/>
    </row>
    <row r="103" spans="1:47" x14ac:dyDescent="0.2">
      <c r="A103" t="s">
        <v>312</v>
      </c>
      <c r="B103" s="183">
        <f>B94</f>
        <v>6.3578199052132689E-2</v>
      </c>
      <c r="C103" s="183">
        <f>'Demand Breakdown - Propylene'!N53</f>
        <v>4.9647955417142467E-2</v>
      </c>
      <c r="D103" s="184">
        <f>C94</f>
        <v>5.3442340409002836E-2</v>
      </c>
      <c r="N103" s="194">
        <f>D94</f>
        <v>5.2166473569472613E-2</v>
      </c>
      <c r="AK103" s="140"/>
      <c r="AL103" s="140"/>
      <c r="AM103" s="140"/>
      <c r="AN103" s="140"/>
      <c r="AO103" s="140"/>
      <c r="AP103" s="140"/>
      <c r="AQ103" s="140"/>
      <c r="AR103" s="140"/>
      <c r="AS103" s="140"/>
      <c r="AT103" s="137"/>
      <c r="AU103" s="137"/>
    </row>
    <row r="104" spans="1:47" x14ac:dyDescent="0.2">
      <c r="A104" t="s">
        <v>310</v>
      </c>
      <c r="B104" s="183">
        <f>B93</f>
        <v>0.11060426540284357</v>
      </c>
      <c r="C104" s="183">
        <f>'Demand Breakdown - Propylene'!N51</f>
        <v>0.12829216132183463</v>
      </c>
      <c r="D104" s="184">
        <f>C93</f>
        <v>0.11968406069535693</v>
      </c>
      <c r="N104" s="194">
        <f>D93</f>
        <v>4.4318771100678757E-2</v>
      </c>
      <c r="AJ104" s="137"/>
    </row>
    <row r="105" spans="1:47" ht="96" x14ac:dyDescent="0.2">
      <c r="A105" t="s">
        <v>311</v>
      </c>
      <c r="B105" s="183">
        <f>B92</f>
        <v>0.15755924170616112</v>
      </c>
      <c r="C105" s="183">
        <f>'Demand Breakdown - Propylene'!N52</f>
        <v>0.18275620366981862</v>
      </c>
      <c r="D105" s="184">
        <f>C92</f>
        <v>0.17968669275871427</v>
      </c>
      <c r="N105" s="194">
        <f>D92</f>
        <v>0.1920494439014685</v>
      </c>
      <c r="AJ105" s="138" t="s">
        <v>336</v>
      </c>
      <c r="AK105" s="139" t="s">
        <v>1</v>
      </c>
      <c r="AL105" s="139" t="s">
        <v>180</v>
      </c>
      <c r="AM105" s="139" t="s">
        <v>181</v>
      </c>
      <c r="AN105" s="139" t="s">
        <v>396</v>
      </c>
      <c r="AO105" s="263" t="s">
        <v>308</v>
      </c>
      <c r="AP105" s="139" t="s">
        <v>397</v>
      </c>
      <c r="AQ105" s="139" t="s">
        <v>398</v>
      </c>
      <c r="AR105" s="139" t="s">
        <v>399</v>
      </c>
      <c r="AS105" s="139" t="s">
        <v>400</v>
      </c>
      <c r="AT105" s="139" t="s">
        <v>184</v>
      </c>
    </row>
    <row r="106" spans="1:47" ht="16" thickBot="1" x14ac:dyDescent="0.25">
      <c r="A106" t="s">
        <v>324</v>
      </c>
      <c r="B106" s="183">
        <f>B91</f>
        <v>0.41854265402843605</v>
      </c>
      <c r="C106" s="183">
        <f>'Demand Breakdown - Propylene'!N50+'Demand Breakdown - Propylene'!N54</f>
        <v>0.44430175853796272</v>
      </c>
      <c r="D106" s="184">
        <f>C91</f>
        <v>0.43728180616298928</v>
      </c>
      <c r="N106" s="194">
        <f>D91</f>
        <v>0.50657142455730197</v>
      </c>
      <c r="AK106" s="140">
        <f>D4</f>
        <v>111.92307692307692</v>
      </c>
      <c r="AL106" s="140">
        <f>AH4-D4</f>
        <v>48.07692307692308</v>
      </c>
      <c r="AM106" s="140">
        <f>AH4</f>
        <v>160</v>
      </c>
      <c r="AN106" s="140">
        <f>AH41-AH40-AH39</f>
        <v>-26.223942938242718</v>
      </c>
      <c r="AO106" s="140">
        <f>SUM(AM106:AN106)</f>
        <v>133.77605706175729</v>
      </c>
      <c r="AP106" s="140">
        <f>AH46-AH43</f>
        <v>-9.6955903701373529</v>
      </c>
      <c r="AQ106" s="140">
        <f>IF(AH59-AH54&lt;-AH54,-AH54,AH59-AH54)</f>
        <v>-11.741265301111639</v>
      </c>
      <c r="AR106" s="140">
        <f>AH49-AH47</f>
        <v>-5.5360544032639467</v>
      </c>
      <c r="AS106" s="44">
        <f>AH65-AH60</f>
        <v>-10.46481616678842</v>
      </c>
      <c r="AT106" s="137" t="s">
        <v>167</v>
      </c>
    </row>
    <row r="107" spans="1:47" ht="16" thickBot="1" x14ac:dyDescent="0.25">
      <c r="A107" s="185" t="s">
        <v>67</v>
      </c>
      <c r="B107" s="251">
        <f>SUM(B101:B106)</f>
        <v>0.99999999999999989</v>
      </c>
      <c r="C107" s="251">
        <f>SUM(C101:C106)</f>
        <v>1</v>
      </c>
      <c r="D107" s="252">
        <f>SUM(D101:D106)</f>
        <v>0.99999999999999989</v>
      </c>
      <c r="N107" s="253">
        <f>SUM(N101:N106)</f>
        <v>1</v>
      </c>
      <c r="AK107" s="141"/>
      <c r="AL107" s="143"/>
      <c r="AM107" s="141"/>
      <c r="AN107" s="143"/>
      <c r="AO107" s="143"/>
      <c r="AP107" s="141"/>
    </row>
    <row r="109" spans="1:47" ht="16" thickBot="1" x14ac:dyDescent="0.25"/>
    <row r="110" spans="1:47" ht="49" thickBot="1" x14ac:dyDescent="0.25">
      <c r="A110" s="250" t="s">
        <v>395</v>
      </c>
      <c r="B110" s="254">
        <v>2020</v>
      </c>
      <c r="C110" s="186" t="s">
        <v>334</v>
      </c>
      <c r="D110" s="186" t="s">
        <v>282</v>
      </c>
      <c r="E110" s="188"/>
      <c r="F110" s="188"/>
      <c r="G110" s="188"/>
      <c r="H110" s="188"/>
      <c r="I110" s="188"/>
      <c r="J110" s="188"/>
      <c r="K110" s="188"/>
      <c r="L110" s="188"/>
      <c r="M110" s="188"/>
      <c r="N110" s="255" t="s">
        <v>292</v>
      </c>
      <c r="AJ110" s="142"/>
      <c r="AK110" s="136"/>
      <c r="AL110" s="136"/>
      <c r="AM110" s="136"/>
      <c r="AN110" s="136"/>
      <c r="AO110" s="136"/>
      <c r="AP110" s="136"/>
      <c r="AQ110" s="136"/>
    </row>
    <row r="111" spans="1:47" x14ac:dyDescent="0.2">
      <c r="A111" t="s">
        <v>321</v>
      </c>
      <c r="B111" s="261">
        <f>$D$4*B101</f>
        <v>0</v>
      </c>
      <c r="C111" s="261">
        <f>$AH$4*C101</f>
        <v>0</v>
      </c>
      <c r="D111" s="184"/>
      <c r="N111" s="194"/>
      <c r="AK111" s="141"/>
      <c r="AL111" s="143"/>
      <c r="AM111" s="143"/>
      <c r="AN111" s="143"/>
      <c r="AO111" s="143"/>
      <c r="AP111" s="141"/>
      <c r="AQ111" s="143"/>
    </row>
    <row r="112" spans="1:47" x14ac:dyDescent="0.2">
      <c r="A112" t="s">
        <v>248</v>
      </c>
      <c r="B112" s="261">
        <f t="shared" ref="B112:B113" si="37">$D$4*B102</f>
        <v>27.948942763397735</v>
      </c>
      <c r="C112" s="261">
        <f t="shared" ref="C112:C113" si="38">$AH$4*C102</f>
        <v>31.200307368518661</v>
      </c>
      <c r="D112" s="184"/>
      <c r="N112" s="194"/>
    </row>
    <row r="113" spans="1:42" x14ac:dyDescent="0.2">
      <c r="A113" t="s">
        <v>312</v>
      </c>
      <c r="B113" s="261">
        <f t="shared" si="37"/>
        <v>7.1158676631425433</v>
      </c>
      <c r="C113" s="261">
        <f t="shared" si="38"/>
        <v>7.9436728667427943</v>
      </c>
      <c r="D113" s="184"/>
      <c r="N113" s="194"/>
      <c r="AJ113" s="142"/>
      <c r="AK113" s="136"/>
      <c r="AL113" s="136"/>
      <c r="AM113" s="136"/>
      <c r="AN113" s="136"/>
      <c r="AO113" s="136"/>
      <c r="AP113" s="139"/>
    </row>
    <row r="114" spans="1:42" x14ac:dyDescent="0.2">
      <c r="A114" s="131"/>
      <c r="B114" s="261"/>
      <c r="C114" s="261"/>
      <c r="D114" s="184"/>
      <c r="N114" s="194"/>
      <c r="AK114" s="141"/>
      <c r="AL114" s="143"/>
      <c r="AM114" s="141"/>
      <c r="AN114" s="143"/>
      <c r="AO114" s="143"/>
      <c r="AP114" s="141"/>
    </row>
    <row r="115" spans="1:42" x14ac:dyDescent="0.2">
      <c r="A115" t="s">
        <v>311</v>
      </c>
      <c r="B115" s="261">
        <f>$D$4*B105</f>
        <v>17.63451512942034</v>
      </c>
      <c r="C115" s="261">
        <f>$AH$4*C105</f>
        <v>29.240992587170979</v>
      </c>
      <c r="D115" s="184"/>
      <c r="N115" s="194"/>
    </row>
    <row r="116" spans="1:42" x14ac:dyDescent="0.2">
      <c r="A116" t="s">
        <v>310</v>
      </c>
      <c r="B116" s="261">
        <f>$D$4*B104</f>
        <v>12.379169704702877</v>
      </c>
      <c r="C116" s="261">
        <f>$AH$4*C104</f>
        <v>20.526745811493541</v>
      </c>
      <c r="D116" s="184"/>
      <c r="N116" s="194"/>
      <c r="AJ116" s="142"/>
      <c r="AK116" s="136"/>
      <c r="AL116" s="136"/>
      <c r="AM116" s="136"/>
      <c r="AN116" s="136"/>
      <c r="AO116" s="136"/>
      <c r="AP116" s="136"/>
    </row>
    <row r="117" spans="1:42" ht="16" thickBot="1" x14ac:dyDescent="0.25">
      <c r="A117" t="s">
        <v>324</v>
      </c>
      <c r="B117" s="261">
        <f>$D$4*B106</f>
        <v>46.844581662413418</v>
      </c>
      <c r="C117" s="261">
        <f>$AH$4*C106</f>
        <v>71.088281366074028</v>
      </c>
      <c r="D117" s="184"/>
      <c r="N117" s="194"/>
      <c r="AK117" s="141"/>
      <c r="AL117" s="143"/>
      <c r="AM117" s="143"/>
      <c r="AN117" s="143"/>
      <c r="AO117" s="143"/>
      <c r="AP117" s="141"/>
    </row>
    <row r="118" spans="1:42" ht="16" thickBot="1" x14ac:dyDescent="0.25">
      <c r="A118" s="185" t="s">
        <v>67</v>
      </c>
      <c r="B118" s="264">
        <f>SUM(B111:B117)</f>
        <v>111.92307692307691</v>
      </c>
      <c r="C118" s="264">
        <f>SUM(C111:C117)</f>
        <v>160</v>
      </c>
      <c r="D118" s="252"/>
      <c r="N118" s="253"/>
    </row>
    <row r="120" spans="1:42" x14ac:dyDescent="0.2">
      <c r="A120" s="1" t="s">
        <v>357</v>
      </c>
      <c r="D120" s="1">
        <v>2020</v>
      </c>
      <c r="E120" s="1">
        <f>D120+1</f>
        <v>2021</v>
      </c>
      <c r="F120" s="1">
        <f t="shared" ref="F120:Q120" si="39">E120+1</f>
        <v>2022</v>
      </c>
      <c r="G120" s="1">
        <f t="shared" si="39"/>
        <v>2023</v>
      </c>
      <c r="H120" s="1">
        <f t="shared" si="39"/>
        <v>2024</v>
      </c>
      <c r="I120" s="1">
        <f t="shared" si="39"/>
        <v>2025</v>
      </c>
      <c r="J120" s="1">
        <f t="shared" si="39"/>
        <v>2026</v>
      </c>
      <c r="K120" s="1">
        <f t="shared" si="39"/>
        <v>2027</v>
      </c>
      <c r="L120" s="1">
        <f t="shared" si="39"/>
        <v>2028</v>
      </c>
      <c r="M120" s="1">
        <f t="shared" si="39"/>
        <v>2029</v>
      </c>
      <c r="N120" s="1">
        <f t="shared" si="39"/>
        <v>2030</v>
      </c>
      <c r="O120" s="1">
        <f t="shared" si="39"/>
        <v>2031</v>
      </c>
      <c r="P120" s="1">
        <f t="shared" si="39"/>
        <v>2032</v>
      </c>
      <c r="Q120" s="1">
        <f t="shared" si="39"/>
        <v>2033</v>
      </c>
      <c r="R120" s="1">
        <f>Q120+1</f>
        <v>2034</v>
      </c>
      <c r="S120" s="1">
        <f t="shared" ref="S120:AB120" si="40">R120+1</f>
        <v>2035</v>
      </c>
      <c r="T120" s="1">
        <f t="shared" si="40"/>
        <v>2036</v>
      </c>
      <c r="U120" s="1">
        <f t="shared" si="40"/>
        <v>2037</v>
      </c>
      <c r="V120" s="1">
        <f t="shared" si="40"/>
        <v>2038</v>
      </c>
      <c r="W120" s="1">
        <f t="shared" si="40"/>
        <v>2039</v>
      </c>
      <c r="X120" s="1">
        <f t="shared" si="40"/>
        <v>2040</v>
      </c>
      <c r="Y120" s="1">
        <f t="shared" si="40"/>
        <v>2041</v>
      </c>
      <c r="Z120" s="1">
        <f t="shared" si="40"/>
        <v>2042</v>
      </c>
      <c r="AA120" s="1">
        <f t="shared" si="40"/>
        <v>2043</v>
      </c>
      <c r="AB120" s="1">
        <f t="shared" si="40"/>
        <v>2044</v>
      </c>
      <c r="AC120" s="1">
        <f>AB120+1</f>
        <v>2045</v>
      </c>
      <c r="AD120" s="1">
        <f t="shared" ref="AD120:AF120" si="41">AC120+1</f>
        <v>2046</v>
      </c>
      <c r="AE120" s="1">
        <f t="shared" si="41"/>
        <v>2047</v>
      </c>
      <c r="AF120" s="1">
        <f t="shared" si="41"/>
        <v>2048</v>
      </c>
      <c r="AG120" s="1">
        <f>AF120+1</f>
        <v>2049</v>
      </c>
      <c r="AH120" s="1">
        <f t="shared" ref="AH120" si="42">AG120+1</f>
        <v>2050</v>
      </c>
      <c r="AK120" s="141"/>
      <c r="AL120" s="143"/>
      <c r="AM120" s="143"/>
      <c r="AN120" s="143"/>
      <c r="AO120" s="143"/>
      <c r="AP120" s="141"/>
    </row>
    <row r="121" spans="1:42" x14ac:dyDescent="0.2">
      <c r="C121" t="s">
        <v>168</v>
      </c>
      <c r="D121" s="44">
        <f t="shared" ref="D121:AH121" si="43">D39</f>
        <v>0</v>
      </c>
      <c r="E121" s="44">
        <f t="shared" si="43"/>
        <v>0.34981836968636243</v>
      </c>
      <c r="F121" s="44">
        <f t="shared" si="43"/>
        <v>0.71313933017313869</v>
      </c>
      <c r="G121" s="44">
        <f t="shared" si="43"/>
        <v>1.0903548370470082</v>
      </c>
      <c r="H121" s="44">
        <f t="shared" si="43"/>
        <v>1.4818669849564237</v>
      </c>
      <c r="I121" s="44">
        <f t="shared" si="43"/>
        <v>1.8880882540668229</v>
      </c>
      <c r="J121" s="44">
        <f t="shared" si="43"/>
        <v>2.306164089201916</v>
      </c>
      <c r="K121" s="44">
        <f t="shared" si="43"/>
        <v>2.738568894367484</v>
      </c>
      <c r="L121" s="44">
        <f t="shared" si="43"/>
        <v>3.1856811198318393</v>
      </c>
      <c r="M121" s="44">
        <f t="shared" si="43"/>
        <v>3.647888163389764</v>
      </c>
      <c r="N121" s="44">
        <f t="shared" si="43"/>
        <v>4.1255865692565994</v>
      </c>
      <c r="O121" s="44">
        <f t="shared" si="43"/>
        <v>4.838203933079364</v>
      </c>
      <c r="P121" s="44">
        <f t="shared" si="43"/>
        <v>5.5685936992846301</v>
      </c>
      <c r="Q121" s="44">
        <f t="shared" si="43"/>
        <v>6.3171218232103303</v>
      </c>
      <c r="R121" s="44">
        <f t="shared" si="43"/>
        <v>7.0841613187896835</v>
      </c>
      <c r="S121" s="44">
        <f t="shared" si="43"/>
        <v>7.8700923888886951</v>
      </c>
      <c r="T121" s="44">
        <f t="shared" si="43"/>
        <v>8.6730906447418477</v>
      </c>
      <c r="U121" s="44">
        <f t="shared" si="43"/>
        <v>9.4954446835537105</v>
      </c>
      <c r="V121" s="44">
        <f t="shared" si="43"/>
        <v>10.337549111624998</v>
      </c>
      <c r="W121" s="44">
        <f t="shared" si="43"/>
        <v>11.199806130238457</v>
      </c>
      <c r="X121" s="44">
        <f t="shared" si="43"/>
        <v>12.082625675841282</v>
      </c>
      <c r="Y121" s="44">
        <f t="shared" si="43"/>
        <v>13.194069138904986</v>
      </c>
      <c r="Z121" s="44">
        <f t="shared" si="43"/>
        <v>14.333413564370826</v>
      </c>
      <c r="AA121" s="44">
        <f t="shared" si="43"/>
        <v>15.50121379439187</v>
      </c>
      <c r="AB121" s="44">
        <f t="shared" si="43"/>
        <v>16.698033890678239</v>
      </c>
      <c r="AC121" s="44">
        <f t="shared" si="43"/>
        <v>17.924447248848661</v>
      </c>
      <c r="AD121" s="44">
        <f t="shared" si="43"/>
        <v>19.177714390641931</v>
      </c>
      <c r="AE121" s="44">
        <f t="shared" si="43"/>
        <v>20.461432159696187</v>
      </c>
      <c r="AF121" s="44">
        <f t="shared" si="43"/>
        <v>21.77619551811522</v>
      </c>
      <c r="AG121" s="44">
        <f t="shared" si="43"/>
        <v>23.122609109416402</v>
      </c>
      <c r="AH121" s="44">
        <f t="shared" si="43"/>
        <v>24.501287372588852</v>
      </c>
    </row>
    <row r="122" spans="1:42" x14ac:dyDescent="0.2">
      <c r="C122" t="s">
        <v>172</v>
      </c>
      <c r="D122" s="44">
        <f t="shared" ref="D122:AH122" si="44">D40</f>
        <v>0</v>
      </c>
      <c r="E122" s="44">
        <f t="shared" si="44"/>
        <v>0.10087594719118115</v>
      </c>
      <c r="F122" s="44">
        <f t="shared" si="44"/>
        <v>0.20552093088860457</v>
      </c>
      <c r="G122" s="44">
        <f t="shared" si="44"/>
        <v>0.31404281595863676</v>
      </c>
      <c r="H122" s="44">
        <f t="shared" si="44"/>
        <v>0.42655225396254404</v>
      </c>
      <c r="I122" s="44">
        <f t="shared" si="44"/>
        <v>0.5431627513851407</v>
      </c>
      <c r="J122" s="44">
        <f t="shared" si="44"/>
        <v>0.66289818178633575</v>
      </c>
      <c r="K122" s="44">
        <f t="shared" si="44"/>
        <v>0.7865581027679831</v>
      </c>
      <c r="L122" s="44">
        <f t="shared" si="44"/>
        <v>0.91424277014087851</v>
      </c>
      <c r="M122" s="44">
        <f t="shared" si="44"/>
        <v>1.0460547564941702</v>
      </c>
      <c r="N122" s="44">
        <f t="shared" si="44"/>
        <v>1.1820990019759363</v>
      </c>
      <c r="O122" s="44">
        <f t="shared" si="44"/>
        <v>1.3115336534758757</v>
      </c>
      <c r="P122" s="44">
        <f t="shared" si="44"/>
        <v>1.4164466398506756</v>
      </c>
      <c r="Q122" s="44">
        <f t="shared" si="44"/>
        <v>1.5619648283531555</v>
      </c>
      <c r="R122" s="44">
        <f t="shared" si="44"/>
        <v>1.7100011804229682</v>
      </c>
      <c r="S122" s="44">
        <f t="shared" si="44"/>
        <v>1.8605870466673702</v>
      </c>
      <c r="T122" s="44">
        <f t="shared" si="44"/>
        <v>2.0130167536851267</v>
      </c>
      <c r="U122" s="44">
        <f t="shared" si="44"/>
        <v>2.1679534186812059</v>
      </c>
      <c r="V122" s="44">
        <f t="shared" si="44"/>
        <v>2.3254265784006458</v>
      </c>
      <c r="W122" s="44">
        <f t="shared" si="44"/>
        <v>2.4854660047780386</v>
      </c>
      <c r="X122" s="44">
        <f t="shared" si="44"/>
        <v>2.6481017044658985</v>
      </c>
      <c r="Y122" s="44">
        <f t="shared" si="44"/>
        <v>3.0722410412322181</v>
      </c>
      <c r="Z122" s="44">
        <f t="shared" si="44"/>
        <v>3.237906374408996</v>
      </c>
      <c r="AA122" s="44">
        <f t="shared" si="44"/>
        <v>3.4060181268940948</v>
      </c>
      <c r="AB122" s="44">
        <f t="shared" si="44"/>
        <v>3.5766008549037576</v>
      </c>
      <c r="AC122" s="44">
        <f t="shared" si="44"/>
        <v>3.7496792190136579</v>
      </c>
      <c r="AD122" s="44">
        <f t="shared" si="44"/>
        <v>3.9241705400981539</v>
      </c>
      <c r="AE122" s="44">
        <f t="shared" si="44"/>
        <v>4.1011011562288084</v>
      </c>
      <c r="AF122" s="44">
        <f t="shared" si="44"/>
        <v>4.2804936462827383</v>
      </c>
      <c r="AG122" s="44">
        <f t="shared" si="44"/>
        <v>4.4623706421370652</v>
      </c>
      <c r="AH122" s="44">
        <f t="shared" si="44"/>
        <v>4.6467548243709516</v>
      </c>
    </row>
    <row r="123" spans="1:42" x14ac:dyDescent="0.2">
      <c r="C123" t="s">
        <v>324</v>
      </c>
      <c r="D123" s="44">
        <f t="shared" ref="D123:AH123" si="45">D21</f>
        <v>46.844581662413418</v>
      </c>
      <c r="E123" s="44">
        <f t="shared" si="45"/>
        <v>47.308737393224739</v>
      </c>
      <c r="F123" s="44">
        <f t="shared" si="45"/>
        <v>47.776707946492941</v>
      </c>
      <c r="G123" s="44">
        <f t="shared" si="45"/>
        <v>48.248509162723579</v>
      </c>
      <c r="H123" s="44">
        <f t="shared" si="45"/>
        <v>48.724156578251161</v>
      </c>
      <c r="I123" s="44">
        <f t="shared" si="45"/>
        <v>49.203665413617635</v>
      </c>
      <c r="J123" s="44">
        <f t="shared" si="45"/>
        <v>49.687050561685012</v>
      </c>
      <c r="K123" s="44">
        <f t="shared" si="45"/>
        <v>50.174326575477224</v>
      </c>
      <c r="L123" s="44">
        <f t="shared" si="45"/>
        <v>50.665507655745522</v>
      </c>
      <c r="M123" s="44">
        <f t="shared" si="45"/>
        <v>51.160607638252536</v>
      </c>
      <c r="N123" s="44">
        <f t="shared" si="45"/>
        <v>51.659639980769221</v>
      </c>
      <c r="O123" s="44">
        <f t="shared" si="45"/>
        <v>52.027068438894709</v>
      </c>
      <c r="P123" s="44">
        <f t="shared" si="45"/>
        <v>52.421315992530161</v>
      </c>
      <c r="Q123" s="44">
        <f t="shared" si="45"/>
        <v>52.777212284802481</v>
      </c>
      <c r="R123" s="44">
        <f t="shared" si="45"/>
        <v>53.132799095323897</v>
      </c>
      <c r="S123" s="44">
        <f t="shared" si="45"/>
        <v>53.487998002932088</v>
      </c>
      <c r="T123" s="44">
        <f t="shared" si="45"/>
        <v>53.842728451330629</v>
      </c>
      <c r="U123" s="44">
        <f t="shared" si="45"/>
        <v>54.196907704675745</v>
      </c>
      <c r="V123" s="44">
        <f t="shared" si="45"/>
        <v>54.550450802338062</v>
      </c>
      <c r="W123" s="44">
        <f t="shared" si="45"/>
        <v>54.903270512824811</v>
      </c>
      <c r="X123" s="44">
        <f t="shared" si="45"/>
        <v>55.255277286847935</v>
      </c>
      <c r="Y123" s="44">
        <f t="shared" si="45"/>
        <v>55.349637101084433</v>
      </c>
      <c r="Z123" s="44">
        <f t="shared" si="45"/>
        <v>55.704061152806602</v>
      </c>
      <c r="AA123" s="44">
        <f t="shared" si="45"/>
        <v>56.057560549105155</v>
      </c>
      <c r="AB123" s="44">
        <f t="shared" si="45"/>
        <v>56.410039932514131</v>
      </c>
      <c r="AC123" s="44">
        <f t="shared" si="45"/>
        <v>56.761401456790942</v>
      </c>
      <c r="AD123" s="44">
        <f t="shared" si="45"/>
        <v>57.111544735920724</v>
      </c>
      <c r="AE123" s="44">
        <f t="shared" si="45"/>
        <v>57.460366792180608</v>
      </c>
      <c r="AF123" s="44">
        <f t="shared" si="45"/>
        <v>57.807762003247525</v>
      </c>
      <c r="AG123" s="44">
        <f t="shared" si="45"/>
        <v>58.153622048333055</v>
      </c>
      <c r="AH123" s="44">
        <f t="shared" si="45"/>
        <v>58.49783585332834</v>
      </c>
    </row>
    <row r="124" spans="1:42" x14ac:dyDescent="0.2">
      <c r="C124" t="s">
        <v>310</v>
      </c>
      <c r="D124" s="44">
        <f t="shared" ref="D124:AH124" si="46">D25</f>
        <v>12.379169704702877</v>
      </c>
      <c r="E124" s="44">
        <f t="shared" si="46"/>
        <v>12.498214980501727</v>
      </c>
      <c r="F124" s="44">
        <f t="shared" si="46"/>
        <v>12.617730215633078</v>
      </c>
      <c r="G124" s="44">
        <f t="shared" si="46"/>
        <v>12.737696984629531</v>
      </c>
      <c r="H124" s="44">
        <f t="shared" si="46"/>
        <v>12.858096099739548</v>
      </c>
      <c r="I124" s="44">
        <f t="shared" si="46"/>
        <v>12.978907590334744</v>
      </c>
      <c r="J124" s="44">
        <f t="shared" si="46"/>
        <v>13.100110681837354</v>
      </c>
      <c r="K124" s="44">
        <f t="shared" si="46"/>
        <v>13.221683774157446</v>
      </c>
      <c r="L124" s="44">
        <f t="shared" si="46"/>
        <v>13.343604419629369</v>
      </c>
      <c r="M124" s="44">
        <f t="shared" si="46"/>
        <v>13.465849300436606</v>
      </c>
      <c r="N124" s="44">
        <f t="shared" si="46"/>
        <v>13.588394205514017</v>
      </c>
      <c r="O124" s="44">
        <f t="shared" si="46"/>
        <v>13.711214006916233</v>
      </c>
      <c r="P124" s="44">
        <f t="shared" si="46"/>
        <v>13.834282635640731</v>
      </c>
      <c r="Q124" s="44">
        <f t="shared" si="46"/>
        <v>13.957573056893864</v>
      </c>
      <c r="R124" s="44">
        <f t="shared" si="46"/>
        <v>14.081057244787901</v>
      </c>
      <c r="S124" s="44">
        <f t="shared" si="46"/>
        <v>14.204706156456897</v>
      </c>
      <c r="T124" s="44">
        <f t="shared" si="46"/>
        <v>14.328489705578892</v>
      </c>
      <c r="U124" s="44">
        <f t="shared" si="46"/>
        <v>14.452376735291821</v>
      </c>
      <c r="V124" s="44">
        <f t="shared" si="46"/>
        <v>14.576334990490075</v>
      </c>
      <c r="W124" s="44">
        <f t="shared" si="46"/>
        <v>14.700331089488573</v>
      </c>
      <c r="X124" s="44">
        <f t="shared" si="46"/>
        <v>14.824330495040765</v>
      </c>
      <c r="Y124" s="44">
        <f t="shared" si="46"/>
        <v>14.944417283825368</v>
      </c>
      <c r="Z124" s="44">
        <f t="shared" si="46"/>
        <v>15.06430279191558</v>
      </c>
      <c r="AA124" s="44">
        <f t="shared" si="46"/>
        <v>15.183945470685835</v>
      </c>
      <c r="AB124" s="44">
        <f t="shared" si="46"/>
        <v>15.303302417027412</v>
      </c>
      <c r="AC124" s="44">
        <f t="shared" si="46"/>
        <v>15.422329339303579</v>
      </c>
      <c r="AD124" s="44">
        <f t="shared" si="46"/>
        <v>15.540980522538611</v>
      </c>
      <c r="AE124" s="44">
        <f t="shared" si="46"/>
        <v>15.659208792824577</v>
      </c>
      <c r="AF124" s="44">
        <f t="shared" si="46"/>
        <v>15.776965480929253</v>
      </c>
      <c r="AG124" s="44">
        <f t="shared" si="46"/>
        <v>15.894200385088363</v>
      </c>
      <c r="AH124" s="44">
        <f t="shared" si="46"/>
        <v>16.010861732964891</v>
      </c>
    </row>
    <row r="125" spans="1:42" x14ac:dyDescent="0.2">
      <c r="C125" t="s">
        <v>311</v>
      </c>
      <c r="D125" s="44">
        <f t="shared" ref="D125:AH125" si="47">D13</f>
        <v>17.63451512942034</v>
      </c>
      <c r="E125" s="44">
        <f t="shared" si="47"/>
        <v>17.903796253047332</v>
      </c>
      <c r="F125" s="44">
        <f t="shared" si="47"/>
        <v>18.177101456778558</v>
      </c>
      <c r="G125" s="44">
        <f t="shared" si="47"/>
        <v>18.454489333157444</v>
      </c>
      <c r="H125" s="44">
        <f t="shared" si="47"/>
        <v>18.736019300325772</v>
      </c>
      <c r="I125" s="44">
        <f t="shared" si="47"/>
        <v>19.021751613155491</v>
      </c>
      <c r="J125" s="44">
        <f t="shared" si="47"/>
        <v>19.311747374521278</v>
      </c>
      <c r="K125" s="44">
        <f t="shared" si="47"/>
        <v>19.60606854671542</v>
      </c>
      <c r="L125" s="44">
        <f t="shared" si="47"/>
        <v>19.904777963006644</v>
      </c>
      <c r="M125" s="44">
        <f t="shared" si="47"/>
        <v>20.207939339344581</v>
      </c>
      <c r="N125" s="44">
        <f t="shared" si="47"/>
        <v>20.515617286211381</v>
      </c>
      <c r="O125" s="44">
        <f t="shared" si="47"/>
        <v>20.775239081262349</v>
      </c>
      <c r="P125" s="44">
        <f t="shared" si="47"/>
        <v>21.037066082722859</v>
      </c>
      <c r="Q125" s="44">
        <f t="shared" si="47"/>
        <v>21.301094673298028</v>
      </c>
      <c r="R125" s="44">
        <f t="shared" si="47"/>
        <v>21.567320554491658</v>
      </c>
      <c r="S125" s="44">
        <f t="shared" si="47"/>
        <v>21.835738728209783</v>
      </c>
      <c r="T125" s="44">
        <f t="shared" si="47"/>
        <v>22.106343478039168</v>
      </c>
      <c r="U125" s="44">
        <f t="shared" si="47"/>
        <v>22.379128350197536</v>
      </c>
      <c r="V125" s="44">
        <f t="shared" si="47"/>
        <v>22.654086134152198</v>
      </c>
      <c r="W125" s="44">
        <f t="shared" si="47"/>
        <v>22.931208842903949</v>
      </c>
      <c r="X125" s="44">
        <f t="shared" si="47"/>
        <v>23.210487692932972</v>
      </c>
      <c r="Y125" s="44">
        <f t="shared" si="47"/>
        <v>23.311758405020029</v>
      </c>
      <c r="Z125" s="44">
        <f t="shared" si="47"/>
        <v>23.409232091962426</v>
      </c>
      <c r="AA125" s="44">
        <f t="shared" si="47"/>
        <v>23.502789959973484</v>
      </c>
      <c r="AB125" s="44">
        <f t="shared" si="47"/>
        <v>23.592311772939496</v>
      </c>
      <c r="AC125" s="44">
        <f t="shared" si="47"/>
        <v>23.677675877252611</v>
      </c>
      <c r="AD125" s="44">
        <f t="shared" si="47"/>
        <v>23.758759228815791</v>
      </c>
      <c r="AE125" s="44">
        <f t="shared" si="47"/>
        <v>23.835437422306399</v>
      </c>
      <c r="AF125" s="44">
        <f t="shared" si="47"/>
        <v>23.907584722787</v>
      </c>
      <c r="AG125" s="44">
        <f t="shared" si="47"/>
        <v>23.975074099755389</v>
      </c>
      <c r="AH125" s="44">
        <f t="shared" si="47"/>
        <v>24.037777263728209</v>
      </c>
    </row>
    <row r="126" spans="1:42" x14ac:dyDescent="0.2">
      <c r="C126" s="131" t="s">
        <v>320</v>
      </c>
      <c r="D126" s="44">
        <f t="shared" ref="D126:AH126" si="48">D31</f>
        <v>0</v>
      </c>
      <c r="E126" s="44">
        <f t="shared" si="48"/>
        <v>0</v>
      </c>
      <c r="F126" s="44">
        <f t="shared" si="48"/>
        <v>0</v>
      </c>
      <c r="G126" s="44">
        <f t="shared" si="48"/>
        <v>0</v>
      </c>
      <c r="H126" s="44">
        <f t="shared" si="48"/>
        <v>0</v>
      </c>
      <c r="I126" s="44">
        <f t="shared" si="48"/>
        <v>0</v>
      </c>
      <c r="J126" s="44">
        <f t="shared" si="48"/>
        <v>0</v>
      </c>
      <c r="K126" s="44">
        <f t="shared" si="48"/>
        <v>0</v>
      </c>
      <c r="L126" s="44">
        <f t="shared" si="48"/>
        <v>0</v>
      </c>
      <c r="M126" s="44">
        <f t="shared" si="48"/>
        <v>0</v>
      </c>
      <c r="N126" s="44">
        <f t="shared" si="48"/>
        <v>0</v>
      </c>
      <c r="O126" s="44">
        <f t="shared" si="48"/>
        <v>0</v>
      </c>
      <c r="P126" s="44">
        <f t="shared" si="48"/>
        <v>0</v>
      </c>
      <c r="Q126" s="44">
        <f t="shared" si="48"/>
        <v>0</v>
      </c>
      <c r="R126" s="44">
        <f t="shared" si="48"/>
        <v>0</v>
      </c>
      <c r="S126" s="44">
        <f t="shared" si="48"/>
        <v>0</v>
      </c>
      <c r="T126" s="44">
        <f t="shared" si="48"/>
        <v>0</v>
      </c>
      <c r="U126" s="44">
        <f t="shared" si="48"/>
        <v>0</v>
      </c>
      <c r="V126" s="44">
        <f t="shared" si="48"/>
        <v>0</v>
      </c>
      <c r="W126" s="44">
        <f t="shared" si="48"/>
        <v>0</v>
      </c>
      <c r="X126" s="44">
        <f t="shared" si="48"/>
        <v>0</v>
      </c>
      <c r="Y126" s="44">
        <f t="shared" si="48"/>
        <v>0</v>
      </c>
      <c r="Z126" s="44">
        <f t="shared" si="48"/>
        <v>0</v>
      </c>
      <c r="AA126" s="44">
        <f t="shared" si="48"/>
        <v>0</v>
      </c>
      <c r="AB126" s="44">
        <f t="shared" si="48"/>
        <v>0</v>
      </c>
      <c r="AC126" s="44">
        <f t="shared" si="48"/>
        <v>0</v>
      </c>
      <c r="AD126" s="44">
        <f t="shared" si="48"/>
        <v>0</v>
      </c>
      <c r="AE126" s="44">
        <f t="shared" si="48"/>
        <v>0</v>
      </c>
      <c r="AF126" s="44">
        <f t="shared" si="48"/>
        <v>0</v>
      </c>
      <c r="AG126" s="44">
        <f t="shared" si="48"/>
        <v>0</v>
      </c>
      <c r="AH126" s="44">
        <f t="shared" si="48"/>
        <v>0</v>
      </c>
    </row>
    <row r="127" spans="1:42" x14ac:dyDescent="0.2">
      <c r="C127" t="s">
        <v>321</v>
      </c>
      <c r="D127" s="44">
        <f t="shared" ref="D127:AH127" si="49">D38</f>
        <v>0</v>
      </c>
      <c r="E127" s="44">
        <f t="shared" si="49"/>
        <v>0</v>
      </c>
      <c r="F127" s="44">
        <f t="shared" si="49"/>
        <v>0</v>
      </c>
      <c r="G127" s="44">
        <f t="shared" si="49"/>
        <v>0</v>
      </c>
      <c r="H127" s="44">
        <f t="shared" si="49"/>
        <v>0</v>
      </c>
      <c r="I127" s="44">
        <f t="shared" si="49"/>
        <v>0</v>
      </c>
      <c r="J127" s="44">
        <f t="shared" si="49"/>
        <v>0</v>
      </c>
      <c r="K127" s="44">
        <f t="shared" si="49"/>
        <v>0</v>
      </c>
      <c r="L127" s="44">
        <f t="shared" si="49"/>
        <v>0</v>
      </c>
      <c r="M127" s="44">
        <f t="shared" si="49"/>
        <v>0</v>
      </c>
      <c r="N127" s="44">
        <f t="shared" si="49"/>
        <v>0</v>
      </c>
      <c r="O127" s="44">
        <f t="shared" si="49"/>
        <v>0</v>
      </c>
      <c r="P127" s="44">
        <f t="shared" si="49"/>
        <v>0</v>
      </c>
      <c r="Q127" s="44">
        <f t="shared" si="49"/>
        <v>0</v>
      </c>
      <c r="R127" s="44">
        <f t="shared" si="49"/>
        <v>0</v>
      </c>
      <c r="S127" s="44">
        <f t="shared" si="49"/>
        <v>0</v>
      </c>
      <c r="T127" s="44">
        <f t="shared" si="49"/>
        <v>0</v>
      </c>
      <c r="U127" s="44">
        <f t="shared" si="49"/>
        <v>0</v>
      </c>
      <c r="V127" s="44">
        <f t="shared" si="49"/>
        <v>0</v>
      </c>
      <c r="W127" s="44">
        <f t="shared" si="49"/>
        <v>0</v>
      </c>
      <c r="X127" s="44">
        <f t="shared" si="49"/>
        <v>0</v>
      </c>
      <c r="Y127" s="44">
        <f t="shared" si="49"/>
        <v>0</v>
      </c>
      <c r="Z127" s="44">
        <f t="shared" si="49"/>
        <v>0</v>
      </c>
      <c r="AA127" s="44">
        <f t="shared" si="49"/>
        <v>0</v>
      </c>
      <c r="AB127" s="44">
        <f t="shared" si="49"/>
        <v>0</v>
      </c>
      <c r="AC127" s="44">
        <f t="shared" si="49"/>
        <v>0</v>
      </c>
      <c r="AD127" s="44">
        <f t="shared" si="49"/>
        <v>0</v>
      </c>
      <c r="AE127" s="44">
        <f t="shared" si="49"/>
        <v>0</v>
      </c>
      <c r="AF127" s="44">
        <f t="shared" si="49"/>
        <v>0</v>
      </c>
      <c r="AG127" s="44">
        <f t="shared" si="49"/>
        <v>0</v>
      </c>
      <c r="AH127" s="44">
        <f t="shared" si="49"/>
        <v>0</v>
      </c>
    </row>
    <row r="128" spans="1:42" x14ac:dyDescent="0.2">
      <c r="C128" t="s">
        <v>248</v>
      </c>
      <c r="D128" s="44">
        <f t="shared" ref="D128:AH128" si="50">D35</f>
        <v>35.064810426540291</v>
      </c>
      <c r="E128" s="44">
        <f t="shared" si="50"/>
        <v>35.997590329378298</v>
      </c>
      <c r="F128" s="44">
        <f t="shared" si="50"/>
        <v>36.949354893111249</v>
      </c>
      <c r="G128" s="44">
        <f t="shared" si="50"/>
        <v>37.920434919250148</v>
      </c>
      <c r="H128" s="44">
        <f t="shared" si="50"/>
        <v>38.911166139383703</v>
      </c>
      <c r="I128" s="44">
        <f t="shared" si="50"/>
        <v>39.921889271164488</v>
      </c>
      <c r="J128" s="44">
        <f t="shared" si="50"/>
        <v>40.736601579480471</v>
      </c>
      <c r="K128" s="44">
        <f t="shared" si="50"/>
        <v>41.565298585299175</v>
      </c>
      <c r="L128" s="44">
        <f t="shared" si="50"/>
        <v>42.40818797271745</v>
      </c>
      <c r="M128" s="44">
        <f t="shared" si="50"/>
        <v>43.265479951472663</v>
      </c>
      <c r="N128" s="44">
        <f t="shared" si="50"/>
        <v>44.137387275016557</v>
      </c>
      <c r="O128" s="44">
        <f t="shared" si="50"/>
        <v>43.861397296308795</v>
      </c>
      <c r="P128" s="44">
        <f t="shared" si="50"/>
        <v>43.576991378007349</v>
      </c>
      <c r="Q128" s="44">
        <f t="shared" si="50"/>
        <v>43.284053825682946</v>
      </c>
      <c r="R128" s="44">
        <f t="shared" si="50"/>
        <v>42.982467936675171</v>
      </c>
      <c r="S128" s="44">
        <f t="shared" si="50"/>
        <v>42.672116000458821</v>
      </c>
      <c r="T128" s="44">
        <f t="shared" si="50"/>
        <v>42.29997212295644</v>
      </c>
      <c r="U128" s="44">
        <f t="shared" si="50"/>
        <v>41.918254502539902</v>
      </c>
      <c r="V128" s="44">
        <f t="shared" si="50"/>
        <v>41.526839775413798</v>
      </c>
      <c r="W128" s="44">
        <f t="shared" si="50"/>
        <v>41.125603601877764</v>
      </c>
      <c r="X128" s="44">
        <f t="shared" si="50"/>
        <v>40.714420669155651</v>
      </c>
      <c r="Y128" s="44">
        <f t="shared" si="50"/>
        <v>40.239080679283788</v>
      </c>
      <c r="Z128" s="44">
        <f t="shared" si="50"/>
        <v>39.753121899342233</v>
      </c>
      <c r="AA128" s="44">
        <f t="shared" si="50"/>
        <v>39.256418678820694</v>
      </c>
      <c r="AB128" s="44">
        <f t="shared" si="50"/>
        <v>38.748844559354239</v>
      </c>
      <c r="AC128" s="44">
        <f t="shared" si="50"/>
        <v>38.230272282909489</v>
      </c>
      <c r="AD128" s="44">
        <f t="shared" si="50"/>
        <v>37.653733155247949</v>
      </c>
      <c r="AE128" s="44">
        <f t="shared" si="50"/>
        <v>37.065525311348935</v>
      </c>
      <c r="AF128" s="44">
        <f t="shared" si="50"/>
        <v>36.465518384779081</v>
      </c>
      <c r="AG128" s="44">
        <f t="shared" si="50"/>
        <v>35.853581285567522</v>
      </c>
      <c r="AH128" s="44">
        <f t="shared" si="50"/>
        <v>35.229582211735831</v>
      </c>
    </row>
    <row r="129" spans="1:36" x14ac:dyDescent="0.2">
      <c r="C129" t="s">
        <v>364</v>
      </c>
      <c r="D129" s="44">
        <f>SUM(D121:D128)</f>
        <v>111.92307692307692</v>
      </c>
      <c r="E129" s="44">
        <f t="shared" ref="E129:AH129" si="51">SUM(E121:E128)</f>
        <v>114.15903327302964</v>
      </c>
      <c r="F129" s="44">
        <f t="shared" si="51"/>
        <v>116.43955477307757</v>
      </c>
      <c r="G129" s="44">
        <f t="shared" si="51"/>
        <v>118.76552805276634</v>
      </c>
      <c r="H129" s="44">
        <f t="shared" si="51"/>
        <v>121.13785735661915</v>
      </c>
      <c r="I129" s="44">
        <f t="shared" si="51"/>
        <v>123.55746489372432</v>
      </c>
      <c r="J129" s="44">
        <f t="shared" si="51"/>
        <v>125.80457246851236</v>
      </c>
      <c r="K129" s="44">
        <f t="shared" si="51"/>
        <v>128.09250447878475</v>
      </c>
      <c r="L129" s="44">
        <f t="shared" si="51"/>
        <v>130.42200190107172</v>
      </c>
      <c r="M129" s="44">
        <f t="shared" si="51"/>
        <v>132.79381914939032</v>
      </c>
      <c r="N129" s="44">
        <f t="shared" si="51"/>
        <v>135.20872431874372</v>
      </c>
      <c r="O129" s="44">
        <f t="shared" si="51"/>
        <v>136.52465640993734</v>
      </c>
      <c r="P129" s="44">
        <f t="shared" si="51"/>
        <v>137.85469642803639</v>
      </c>
      <c r="Q129" s="44">
        <f t="shared" si="51"/>
        <v>139.19902049224081</v>
      </c>
      <c r="R129" s="44">
        <f t="shared" si="51"/>
        <v>140.55780733049127</v>
      </c>
      <c r="S129" s="44">
        <f t="shared" si="51"/>
        <v>141.93123832361366</v>
      </c>
      <c r="T129" s="44">
        <f t="shared" si="51"/>
        <v>143.26364115633208</v>
      </c>
      <c r="U129" s="44">
        <f t="shared" si="51"/>
        <v>144.61006539493991</v>
      </c>
      <c r="V129" s="44">
        <f t="shared" si="51"/>
        <v>145.97068739241976</v>
      </c>
      <c r="W129" s="44">
        <f t="shared" si="51"/>
        <v>147.34568618211159</v>
      </c>
      <c r="X129" s="44">
        <f t="shared" si="51"/>
        <v>148.7352435242845</v>
      </c>
      <c r="Y129" s="44">
        <f t="shared" si="51"/>
        <v>150.11120364935084</v>
      </c>
      <c r="Z129" s="44">
        <f t="shared" si="51"/>
        <v>151.50203787480666</v>
      </c>
      <c r="AA129" s="44">
        <f t="shared" si="51"/>
        <v>152.90794657987112</v>
      </c>
      <c r="AB129" s="44">
        <f t="shared" si="51"/>
        <v>154.32913342741728</v>
      </c>
      <c r="AC129" s="44">
        <f t="shared" si="51"/>
        <v>155.76580542411892</v>
      </c>
      <c r="AD129" s="44">
        <f t="shared" si="51"/>
        <v>157.16690257326314</v>
      </c>
      <c r="AE129" s="44">
        <f t="shared" si="51"/>
        <v>158.58307163458551</v>
      </c>
      <c r="AF129" s="44">
        <f t="shared" si="51"/>
        <v>160.0145197561408</v>
      </c>
      <c r="AG129" s="44">
        <f t="shared" si="51"/>
        <v>161.4614575702978</v>
      </c>
      <c r="AH129" s="44">
        <f t="shared" si="51"/>
        <v>162.92409925871709</v>
      </c>
    </row>
    <row r="131" spans="1:36" x14ac:dyDescent="0.2">
      <c r="A131" s="1" t="s">
        <v>365</v>
      </c>
      <c r="C131" t="s">
        <v>168</v>
      </c>
      <c r="D131" s="44">
        <f>D121</f>
        <v>0</v>
      </c>
      <c r="E131" s="44">
        <f t="shared" ref="E131:AH132" si="52">E121</f>
        <v>0.34981836968636243</v>
      </c>
      <c r="F131" s="44">
        <f t="shared" si="52"/>
        <v>0.71313933017313869</v>
      </c>
      <c r="G131" s="44">
        <f t="shared" si="52"/>
        <v>1.0903548370470082</v>
      </c>
      <c r="H131" s="44">
        <f t="shared" si="52"/>
        <v>1.4818669849564237</v>
      </c>
      <c r="I131" s="44">
        <f t="shared" si="52"/>
        <v>1.8880882540668229</v>
      </c>
      <c r="J131" s="44">
        <f t="shared" si="52"/>
        <v>2.306164089201916</v>
      </c>
      <c r="K131" s="44">
        <f t="shared" si="52"/>
        <v>2.738568894367484</v>
      </c>
      <c r="L131" s="44">
        <f t="shared" si="52"/>
        <v>3.1856811198318393</v>
      </c>
      <c r="M131" s="44">
        <f t="shared" si="52"/>
        <v>3.647888163389764</v>
      </c>
      <c r="N131" s="44">
        <f t="shared" si="52"/>
        <v>4.1255865692565994</v>
      </c>
      <c r="O131" s="44">
        <f t="shared" si="52"/>
        <v>4.838203933079364</v>
      </c>
      <c r="P131" s="44">
        <f t="shared" si="52"/>
        <v>5.5685936992846301</v>
      </c>
      <c r="Q131" s="44">
        <f t="shared" si="52"/>
        <v>6.3171218232103303</v>
      </c>
      <c r="R131" s="44">
        <f t="shared" si="52"/>
        <v>7.0841613187896835</v>
      </c>
      <c r="S131" s="44">
        <f t="shared" si="52"/>
        <v>7.8700923888886951</v>
      </c>
      <c r="T131" s="44">
        <f t="shared" si="52"/>
        <v>8.6730906447418477</v>
      </c>
      <c r="U131" s="44">
        <f t="shared" si="52"/>
        <v>9.4954446835537105</v>
      </c>
      <c r="V131" s="44">
        <f t="shared" si="52"/>
        <v>10.337549111624998</v>
      </c>
      <c r="W131" s="44">
        <f t="shared" si="52"/>
        <v>11.199806130238457</v>
      </c>
      <c r="X131" s="44">
        <f t="shared" si="52"/>
        <v>12.082625675841282</v>
      </c>
      <c r="Y131" s="44">
        <f t="shared" si="52"/>
        <v>13.194069138904986</v>
      </c>
      <c r="Z131" s="44">
        <f t="shared" si="52"/>
        <v>14.333413564370826</v>
      </c>
      <c r="AA131" s="44">
        <f t="shared" si="52"/>
        <v>15.50121379439187</v>
      </c>
      <c r="AB131" s="44">
        <f t="shared" si="52"/>
        <v>16.698033890678239</v>
      </c>
      <c r="AC131" s="44">
        <f t="shared" si="52"/>
        <v>17.924447248848661</v>
      </c>
      <c r="AD131" s="44">
        <f t="shared" si="52"/>
        <v>19.177714390641931</v>
      </c>
      <c r="AE131" s="44">
        <f t="shared" si="52"/>
        <v>20.461432159696187</v>
      </c>
      <c r="AF131" s="44">
        <f t="shared" si="52"/>
        <v>21.77619551811522</v>
      </c>
      <c r="AG131" s="44">
        <f t="shared" si="52"/>
        <v>23.122609109416402</v>
      </c>
      <c r="AH131" s="44">
        <f t="shared" si="52"/>
        <v>24.501287372588852</v>
      </c>
    </row>
    <row r="132" spans="1:36" x14ac:dyDescent="0.2">
      <c r="C132" t="s">
        <v>172</v>
      </c>
      <c r="D132" s="44">
        <f>D122</f>
        <v>0</v>
      </c>
      <c r="E132" s="44">
        <f t="shared" si="52"/>
        <v>0.10087594719118115</v>
      </c>
      <c r="F132" s="44">
        <f t="shared" si="52"/>
        <v>0.20552093088860457</v>
      </c>
      <c r="G132" s="44">
        <f t="shared" si="52"/>
        <v>0.31404281595863676</v>
      </c>
      <c r="H132" s="44">
        <f t="shared" si="52"/>
        <v>0.42655225396254404</v>
      </c>
      <c r="I132" s="44">
        <f t="shared" si="52"/>
        <v>0.5431627513851407</v>
      </c>
      <c r="J132" s="44">
        <f t="shared" si="52"/>
        <v>0.66289818178633575</v>
      </c>
      <c r="K132" s="44">
        <f t="shared" si="52"/>
        <v>0.7865581027679831</v>
      </c>
      <c r="L132" s="44">
        <f t="shared" si="52"/>
        <v>0.91424277014087851</v>
      </c>
      <c r="M132" s="44">
        <f t="shared" si="52"/>
        <v>1.0460547564941702</v>
      </c>
      <c r="N132" s="44">
        <f t="shared" si="52"/>
        <v>1.1820990019759363</v>
      </c>
      <c r="O132" s="44">
        <f t="shared" si="52"/>
        <v>1.3115336534758757</v>
      </c>
      <c r="P132" s="44">
        <f t="shared" si="52"/>
        <v>1.4164466398506756</v>
      </c>
      <c r="Q132" s="44">
        <f t="shared" si="52"/>
        <v>1.5619648283531555</v>
      </c>
      <c r="R132" s="44">
        <f t="shared" si="52"/>
        <v>1.7100011804229682</v>
      </c>
      <c r="S132" s="44">
        <f t="shared" si="52"/>
        <v>1.8605870466673702</v>
      </c>
      <c r="T132" s="44">
        <f t="shared" si="52"/>
        <v>2.0130167536851267</v>
      </c>
      <c r="U132" s="44">
        <f t="shared" si="52"/>
        <v>2.1679534186812059</v>
      </c>
      <c r="V132" s="44">
        <f t="shared" si="52"/>
        <v>2.3254265784006458</v>
      </c>
      <c r="W132" s="44">
        <f t="shared" si="52"/>
        <v>2.4854660047780386</v>
      </c>
      <c r="X132" s="44">
        <f t="shared" si="52"/>
        <v>2.6481017044658985</v>
      </c>
      <c r="Y132" s="44">
        <f t="shared" si="52"/>
        <v>3.0722410412322181</v>
      </c>
      <c r="Z132" s="44">
        <f t="shared" si="52"/>
        <v>3.237906374408996</v>
      </c>
      <c r="AA132" s="44">
        <f t="shared" si="52"/>
        <v>3.4060181268940948</v>
      </c>
      <c r="AB132" s="44">
        <f t="shared" si="52"/>
        <v>3.5766008549037576</v>
      </c>
      <c r="AC132" s="44">
        <f t="shared" si="52"/>
        <v>3.7496792190136579</v>
      </c>
      <c r="AD132" s="44">
        <f t="shared" si="52"/>
        <v>3.9241705400981539</v>
      </c>
      <c r="AE132" s="44">
        <f t="shared" si="52"/>
        <v>4.1011011562288084</v>
      </c>
      <c r="AF132" s="44">
        <f t="shared" si="52"/>
        <v>4.2804936462827383</v>
      </c>
      <c r="AG132" s="44">
        <f t="shared" si="52"/>
        <v>4.4623706421370652</v>
      </c>
      <c r="AH132" s="44">
        <f t="shared" si="52"/>
        <v>4.6467548243709516</v>
      </c>
    </row>
    <row r="133" spans="1:36" x14ac:dyDescent="0.2">
      <c r="C133" t="s">
        <v>193</v>
      </c>
      <c r="D133" s="44" cm="1">
        <f t="array" ref="D133">-(D46-D43+D49-D47+D53-D50+_xlfn.IFS(D59&lt;0, -D54, D59-D54&lt;=0,D59-D54, else, D54)+D65-D60)</f>
        <v>0</v>
      </c>
      <c r="E133" s="44" cm="1">
        <f t="array" ref="E133">-(E46-E43+E49-E47+E53-E50+_xlfn.IFS(E59&lt;0, -E54, E59-E54&lt;=0,E59-E54, else, E54)+E65-E60)</f>
        <v>0.51968950764971567</v>
      </c>
      <c r="F133" s="44" cm="1">
        <f t="array" ref="F133">-(F46-F43+F49-F47+F53-F50+_xlfn.IFS(F59&lt;0, -F54, F59-F54&lt;=0,F59-F54, else, F54)+F65-F60)</f>
        <v>1.0583652934954699</v>
      </c>
      <c r="G133" s="44" cm="1">
        <f t="array" ref="G133">-(G46-G43+G49-G47+G53-G50+_xlfn.IFS(G59&lt;0, -G54, G59-G54&lt;=0,G59-G54, else, G54)+G65-G60)</f>
        <v>1.6133240097961732</v>
      </c>
      <c r="H133" s="44" cm="1">
        <f t="array" ref="H133">-(H46-H43+H49-H47+H53-H50+_xlfn.IFS(H59&lt;0, -H54, H59-H54&lt;=0,H59-H54, else, H54)+H65-H60)</f>
        <v>2.1815441963193294</v>
      </c>
      <c r="I133" s="44" cm="1">
        <f t="array" ref="I133">-(I46-I43+I49-I47+I53-I50+_xlfn.IFS(I59&lt;0, -I54, I59-I54&lt;=0,I59-I54, else, I54)+I65-I60)</f>
        <v>2.7597104603781091</v>
      </c>
      <c r="J133" s="44" cm="1">
        <f t="array" ref="J133">-(J46-J43+J49-J47+J53-J50+_xlfn.IFS(J59&lt;0, -J54, J59-J54&lt;=0,J59-J54, else, J54)+J65-J60)</f>
        <v>3.3443127694493029</v>
      </c>
      <c r="K133" s="44" cm="1">
        <f t="array" ref="K133">-(K46-K43+K49-K47+K53-K50+_xlfn.IFS(K59&lt;0, -K54, K59-K54&lt;=0,K59-K54, else, K54)+K65-K60)</f>
        <v>3.9509527398610231</v>
      </c>
      <c r="L133" s="44" cm="1">
        <f t="array" ref="L133">-(L46-L43+L49-L47+L53-L50+_xlfn.IFS(L59&lt;0, -L54, L59-L54&lt;=0,L59-L54, else, L54)+L65-L60)</f>
        <v>4.5795937470033365</v>
      </c>
      <c r="M133" s="44" cm="1">
        <f t="array" ref="M133">-(M46-M43+M49-M47+M53-M50+_xlfn.IFS(M59&lt;0, -M54, M59-M54&lt;=0,M59-M54, else, M54)+M65-M60)</f>
        <v>5.230150608588751</v>
      </c>
      <c r="N133" s="44" cm="1">
        <f t="array" ref="N133">-(N46-N43+N49-N47+N53-N50+_xlfn.IFS(N59&lt;0, -N54, N59-N54&lt;=0,N59-N54, else, N54)+N65-N60)</f>
        <v>5.9024881480688123</v>
      </c>
      <c r="O133" s="44" cm="1">
        <f t="array" ref="O133">-(O46-O43+O49-O47+O53-O50+_xlfn.IFS(O59&lt;0, -O54, O59-O54&lt;=0,O59-O54, else, O54)+O65-O60)</f>
        <v>7.0070959183940644</v>
      </c>
      <c r="P133" s="44" cm="1">
        <f t="array" ref="P133">-(P46-P43+P49-P47+P53-P50+_xlfn.IFS(P59&lt;0, -P54, P59-P54&lt;=0,P59-P54, else, P54)+P65-P60)</f>
        <v>8.1336951190356359</v>
      </c>
      <c r="Q133" s="44" cm="1">
        <f t="array" ref="Q133">-(Q46-Q43+Q49-Q47+Q53-Q50+_xlfn.IFS(Q59&lt;0, -Q54, Q59-Q54&lt;=0,Q59-Q54, else, Q54)+Q65-Q60)</f>
        <v>9.2591900531530555</v>
      </c>
      <c r="R133" s="44" cm="1">
        <f t="array" ref="R133">-(R46-R43+R49-R47+R53-R50+_xlfn.IFS(R59&lt;0, -R54, R59-R54&lt;=0,R59-R54, else, R54)+R65-R60)</f>
        <v>10.388380842858815</v>
      </c>
      <c r="S133" s="44" cm="1">
        <f t="array" ref="S133">-(S46-S43+S49-S47+S53-S50+_xlfn.IFS(S59&lt;0, -S54, S59-S54&lt;=0,S59-S54, else, S54)+S65-S60)</f>
        <v>11.514868013571025</v>
      </c>
      <c r="T133" s="44" cm="1">
        <f t="array" ref="T133">-(T46-T43+T49-T47+T53-T50+_xlfn.IFS(T59&lt;0, -T54, T59-T54&lt;=0,T59-T54, else, T54)+T65-T60)</f>
        <v>12.66353354592286</v>
      </c>
      <c r="U133" s="44" cm="1">
        <f t="array" ref="U133">-(U46-U43+U49-U47+U53-U50+_xlfn.IFS(U59&lt;0, -U54, U59-U54&lt;=0,U59-U54, else, U54)+U65-U60)</f>
        <v>13.833913597340935</v>
      </c>
      <c r="V133" s="44" cm="1">
        <f t="array" ref="V133">-(V46-V43+V49-V47+V53-V50+_xlfn.IFS(V59&lt;0, -V54, V59-V54&lt;=0,V59-V54, else, V54)+V65-V60)</f>
        <v>15.025514502512372</v>
      </c>
      <c r="W133" s="44" cm="1">
        <f t="array" ref="W133">-(W46-W43+W49-W47+W53-W50+_xlfn.IFS(W59&lt;0, -W54, W59-W54&lt;=0,W59-W54, else, W54)+W65-W60)</f>
        <v>16.237812630740287</v>
      </c>
      <c r="X133" s="44" cm="1">
        <f t="array" ref="X133">-(X46-X43+X49-X47+X53-X50+_xlfn.IFS(X59&lt;0, -X54, X59-X54&lt;=0,X59-X54, else, X54)+X65-X60)</f>
        <v>17.47025427085876</v>
      </c>
      <c r="Y133" s="44" cm="1">
        <f t="array" ref="Y133">-(Y46-Y43+Y49-Y47+Y53-Y50+_xlfn.IFS(Y59&lt;0, -Y54, Y59-Y54&lt;=0,Y59-Y54, else, Y54)+Y65-Y60)</f>
        <v>19.30987113042405</v>
      </c>
      <c r="Z133" s="44" cm="1">
        <f t="array" ref="Z133">-(Z46-Z43+Z49-Z47+Z53-Z50+_xlfn.IFS(Z59&lt;0, -Z54, Z59-Z54&lt;=0,Z59-Z54, else, Z54)+Z65-Z60)</f>
        <v>21.255159576670025</v>
      </c>
      <c r="AA133" s="44" cm="1">
        <f t="array" ref="AA133">-(AA46-AA43+AA49-AA47+AA53-AA50+_xlfn.IFS(AA59&lt;0, -AA54, AA59-AA54&lt;=0,AA59-AA54, else, AA54)+AA65-AA60)</f>
        <v>23.195528214240241</v>
      </c>
      <c r="AB133" s="44" cm="1">
        <f t="array" ref="AB133">-(AB46-AB43+AB49-AB47+AB53-AB50+_xlfn.IFS(AB59&lt;0, -AB54, AB59-AB54&lt;=0,AB59-AB54, else, AB54)+AB65-AB60)</f>
        <v>25.161987274361913</v>
      </c>
      <c r="AC133" s="44" cm="1">
        <f t="array" ref="AC133">-(AC46-AC43+AC49-AC47+AC53-AC50+_xlfn.IFS(AC59&lt;0, -AC54, AC59-AC54&lt;=0,AC59-AC54, else, AC54)+AC65-AC60)</f>
        <v>27.153420022998318</v>
      </c>
      <c r="AD133" s="44" cm="1">
        <f t="array" ref="AD133">-(AD46-AD43+AD49-AD47+AD53-AD50+_xlfn.IFS(AD59&lt;0, -AD54, AD59-AD54&lt;=0,AD59-AD54, else, AD54)+AD65-AD60)</f>
        <v>29.16714972523782</v>
      </c>
      <c r="AE133" s="44" cm="1">
        <f t="array" ref="AE133">-(AE46-AE43+AE49-AE47+AE53-AE50+_xlfn.IFS(AE59&lt;0, -AE54, AE59-AE54&lt;=0,AE59-AE54, else, AE54)+AE65-AE60)</f>
        <v>31.203657904469374</v>
      </c>
      <c r="AF133" s="44" cm="1">
        <f t="array" ref="AF133">-(AF46-AF43+AF49-AF47+AF53-AF50+_xlfn.IFS(AF59&lt;0, -AF54, AF59-AF54&lt;=0,AF59-AF54, else, AF54)+AF65-AF60)</f>
        <v>33.261752620434891</v>
      </c>
      <c r="AG133" s="44" cm="1">
        <f t="array" ref="AG133">-(AG46-AG43+AG49-AG47+AG53-AG50+_xlfn.IFS(AG59&lt;0, -AG54, AG59-AG54&lt;=0,AG59-AG54, else, AG54)+AG65-AG60)</f>
        <v>35.340200363824685</v>
      </c>
      <c r="AH133" s="44" cm="1">
        <f t="array" ref="AH133">-(AH46-AH43+AH49-AH47+AH53-AH50+_xlfn.IFS(AH59&lt;0, -AH54, AH59-AH54&lt;=0,AH59-AH54, else, AH54)+AH65-AH60)</f>
        <v>37.437726241301363</v>
      </c>
      <c r="AI133" s="44"/>
    </row>
    <row r="134" spans="1:36" x14ac:dyDescent="0.2">
      <c r="C134" t="s">
        <v>324</v>
      </c>
      <c r="D134" s="44">
        <f t="shared" ref="D134:AH134" si="53">D46</f>
        <v>46.844581662413418</v>
      </c>
      <c r="E134" s="44">
        <f t="shared" si="53"/>
        <v>47.18594331145156</v>
      </c>
      <c r="F134" s="44">
        <f t="shared" si="53"/>
        <v>47.525112346632078</v>
      </c>
      <c r="G134" s="44">
        <f t="shared" si="53"/>
        <v>47.862696897553917</v>
      </c>
      <c r="H134" s="44">
        <f t="shared" si="53"/>
        <v>48.199398781858015</v>
      </c>
      <c r="I134" s="44">
        <f t="shared" si="53"/>
        <v>48.536008806771754</v>
      </c>
      <c r="J134" s="44">
        <f t="shared" si="53"/>
        <v>48.869626598844356</v>
      </c>
      <c r="K134" s="44">
        <f t="shared" si="53"/>
        <v>49.200219152054927</v>
      </c>
      <c r="L134" s="44">
        <f t="shared" si="53"/>
        <v>49.527767629078959</v>
      </c>
      <c r="M134" s="44">
        <f t="shared" si="53"/>
        <v>49.852267960902296</v>
      </c>
      <c r="N134" s="44">
        <f t="shared" si="53"/>
        <v>50.173731414683324</v>
      </c>
      <c r="O134" s="44">
        <f t="shared" si="53"/>
        <v>50.27300219234494</v>
      </c>
      <c r="P134" s="44">
        <f t="shared" si="53"/>
        <v>50.391814316386828</v>
      </c>
      <c r="Q134" s="44">
        <f t="shared" si="53"/>
        <v>50.471018277533624</v>
      </c>
      <c r="R134" s="44">
        <f t="shared" si="53"/>
        <v>50.547575814937829</v>
      </c>
      <c r="S134" s="44">
        <f t="shared" si="53"/>
        <v>50.623027721056864</v>
      </c>
      <c r="T134" s="44">
        <f t="shared" si="53"/>
        <v>50.691620256527415</v>
      </c>
      <c r="U134" s="44">
        <f t="shared" si="53"/>
        <v>50.753436077786453</v>
      </c>
      <c r="V134" s="44">
        <f t="shared" si="53"/>
        <v>50.808566330357095</v>
      </c>
      <c r="W134" s="44">
        <f t="shared" si="53"/>
        <v>50.857110661492996</v>
      </c>
      <c r="X134" s="44">
        <f t="shared" si="53"/>
        <v>50.89917722180239</v>
      </c>
      <c r="Y134" s="44">
        <f t="shared" si="53"/>
        <v>50.527213902198014</v>
      </c>
      <c r="Z134" s="44">
        <f t="shared" si="53"/>
        <v>50.375952416165887</v>
      </c>
      <c r="AA134" s="44">
        <f t="shared" si="53"/>
        <v>50.215355957941846</v>
      </c>
      <c r="AB134" s="44">
        <f t="shared" si="53"/>
        <v>50.044025848042715</v>
      </c>
      <c r="AC134" s="44">
        <f t="shared" si="53"/>
        <v>49.862178885159821</v>
      </c>
      <c r="AD134" s="44">
        <f t="shared" si="53"/>
        <v>49.669966595354254</v>
      </c>
      <c r="AE134" s="44">
        <f t="shared" si="53"/>
        <v>49.467617922982079</v>
      </c>
      <c r="AF134" s="44">
        <f t="shared" si="53"/>
        <v>49.255375291456403</v>
      </c>
      <c r="AG134" s="44">
        <f t="shared" si="53"/>
        <v>49.033494645790782</v>
      </c>
      <c r="AH134" s="44">
        <f t="shared" si="53"/>
        <v>48.802245483190987</v>
      </c>
    </row>
    <row r="135" spans="1:36" x14ac:dyDescent="0.2">
      <c r="C135" t="s">
        <v>310</v>
      </c>
      <c r="D135" s="44">
        <f t="shared" ref="D135:AH135" si="54">IF(D59&lt;0,0,D59)</f>
        <v>12.379169704702877</v>
      </c>
      <c r="E135" s="44">
        <f t="shared" si="54"/>
        <v>12.319297798301562</v>
      </c>
      <c r="F135" s="44">
        <f t="shared" si="54"/>
        <v>12.254633668191932</v>
      </c>
      <c r="G135" s="44">
        <f t="shared" si="54"/>
        <v>12.186204533205794</v>
      </c>
      <c r="H135" s="44">
        <f t="shared" si="54"/>
        <v>12.115130522198275</v>
      </c>
      <c r="I135" s="44">
        <f t="shared" si="54"/>
        <v>12.042613777442316</v>
      </c>
      <c r="J135" s="44">
        <f t="shared" si="54"/>
        <v>11.96399671411873</v>
      </c>
      <c r="K135" s="44">
        <f t="shared" si="54"/>
        <v>11.879322110590588</v>
      </c>
      <c r="L135" s="44">
        <f t="shared" si="54"/>
        <v>11.78864771712783</v>
      </c>
      <c r="M135" s="44">
        <f t="shared" si="54"/>
        <v>11.692046534785629</v>
      </c>
      <c r="N135" s="44">
        <f t="shared" si="54"/>
        <v>11.589607051755978</v>
      </c>
      <c r="O135" s="44">
        <f t="shared" si="54"/>
        <v>11.343398168002665</v>
      </c>
      <c r="P135" s="44">
        <f t="shared" si="54"/>
        <v>11.091860061435998</v>
      </c>
      <c r="Q135" s="44">
        <f t="shared" si="54"/>
        <v>10.844309800827935</v>
      </c>
      <c r="R135" s="44">
        <f t="shared" si="54"/>
        <v>10.598217749682288</v>
      </c>
      <c r="S135" s="44">
        <f t="shared" si="54"/>
        <v>10.355709085955791</v>
      </c>
      <c r="T135" s="44">
        <f t="shared" si="54"/>
        <v>10.10843614669678</v>
      </c>
      <c r="U135" s="44">
        <f t="shared" si="54"/>
        <v>9.8565648021962993</v>
      </c>
      <c r="V135" s="44">
        <f t="shared" si="54"/>
        <v>9.6002685975915281</v>
      </c>
      <c r="W135" s="44">
        <f t="shared" si="54"/>
        <v>9.339728732995134</v>
      </c>
      <c r="X135" s="44">
        <f t="shared" si="54"/>
        <v>9.0751340347254832</v>
      </c>
      <c r="Y135" s="44">
        <f t="shared" si="54"/>
        <v>8.6465533417164391</v>
      </c>
      <c r="Z135" s="44">
        <f t="shared" si="54"/>
        <v>8.1774986274804604</v>
      </c>
      <c r="AA135" s="44">
        <f t="shared" si="54"/>
        <v>7.7093681745051246</v>
      </c>
      <c r="AB135" s="44">
        <f t="shared" si="54"/>
        <v>7.2353062565013904</v>
      </c>
      <c r="AC135" s="44">
        <f t="shared" si="54"/>
        <v>6.7554003188968306</v>
      </c>
      <c r="AD135" s="44">
        <f t="shared" si="54"/>
        <v>6.2696379129315609</v>
      </c>
      <c r="AE135" s="44">
        <f t="shared" si="54"/>
        <v>5.7780953237392874</v>
      </c>
      <c r="AF135" s="44">
        <f t="shared" si="54"/>
        <v>5.2808519025126417</v>
      </c>
      <c r="AG135" s="44">
        <f t="shared" si="54"/>
        <v>4.7779902543517982</v>
      </c>
      <c r="AH135" s="44">
        <f t="shared" si="54"/>
        <v>4.2695964318532518</v>
      </c>
    </row>
    <row r="136" spans="1:36" x14ac:dyDescent="0.2">
      <c r="C136" t="s">
        <v>311</v>
      </c>
      <c r="D136" s="44">
        <f t="shared" ref="D136:AH136" si="55">D49</f>
        <v>17.63451512942034</v>
      </c>
      <c r="E136" s="44">
        <f t="shared" si="55"/>
        <v>17.887568354570242</v>
      </c>
      <c r="F136" s="44">
        <f t="shared" si="55"/>
        <v>18.139970686523935</v>
      </c>
      <c r="G136" s="44">
        <f t="shared" si="55"/>
        <v>18.391574049824534</v>
      </c>
      <c r="H136" s="44">
        <f t="shared" si="55"/>
        <v>18.642290131058971</v>
      </c>
      <c r="I136" s="44">
        <f t="shared" si="55"/>
        <v>18.8920960707371</v>
      </c>
      <c r="J136" s="44">
        <f t="shared" si="55"/>
        <v>19.140619126158246</v>
      </c>
      <c r="K136" s="44">
        <f t="shared" si="55"/>
        <v>19.387678984715187</v>
      </c>
      <c r="L136" s="44">
        <f t="shared" si="55"/>
        <v>19.633100999574399</v>
      </c>
      <c r="M136" s="44">
        <f t="shared" si="55"/>
        <v>19.876717115498302</v>
      </c>
      <c r="N136" s="44">
        <f t="shared" si="55"/>
        <v>20.118366806434413</v>
      </c>
      <c r="O136" s="44">
        <f t="shared" si="55"/>
        <v>20.269533377007722</v>
      </c>
      <c r="P136" s="44">
        <f t="shared" si="55"/>
        <v>20.410811257812863</v>
      </c>
      <c r="Q136" s="44">
        <f t="shared" si="55"/>
        <v>20.545049654167205</v>
      </c>
      <c r="R136" s="44">
        <f t="shared" si="55"/>
        <v>20.670888899211864</v>
      </c>
      <c r="S136" s="44">
        <f t="shared" si="55"/>
        <v>20.788896073958597</v>
      </c>
      <c r="T136" s="44">
        <f t="shared" si="55"/>
        <v>20.897546294317685</v>
      </c>
      <c r="U136" s="44">
        <f t="shared" si="55"/>
        <v>20.996723750753628</v>
      </c>
      <c r="V136" s="44">
        <f t="shared" si="55"/>
        <v>21.086319560264549</v>
      </c>
      <c r="W136" s="44">
        <f t="shared" si="55"/>
        <v>21.166231933610234</v>
      </c>
      <c r="X136" s="44">
        <f t="shared" si="55"/>
        <v>21.236366336562</v>
      </c>
      <c r="Y136" s="44">
        <f t="shared" si="55"/>
        <v>21.031766794144364</v>
      </c>
      <c r="Z136" s="44">
        <f t="shared" si="55"/>
        <v>20.803493631320332</v>
      </c>
      <c r="AA136" s="44">
        <f t="shared" si="55"/>
        <v>20.575737743100085</v>
      </c>
      <c r="AB136" s="44">
        <f t="shared" si="55"/>
        <v>20.330098250558159</v>
      </c>
      <c r="AC136" s="44">
        <f t="shared" si="55"/>
        <v>20.066935190261542</v>
      </c>
      <c r="AD136" s="44">
        <f t="shared" si="55"/>
        <v>19.786594669120042</v>
      </c>
      <c r="AE136" s="44">
        <f t="shared" si="55"/>
        <v>19.489473352097718</v>
      </c>
      <c r="AF136" s="44">
        <f t="shared" si="55"/>
        <v>19.175990190668536</v>
      </c>
      <c r="AG136" s="44">
        <f t="shared" si="55"/>
        <v>18.846585976893063</v>
      </c>
      <c r="AH136" s="44">
        <f t="shared" si="55"/>
        <v>18.501722860464263</v>
      </c>
    </row>
    <row r="137" spans="1:36" x14ac:dyDescent="0.2">
      <c r="C137" s="131" t="s">
        <v>320</v>
      </c>
      <c r="D137" s="44">
        <f t="shared" ref="D137:AH137" si="56">D53</f>
        <v>0</v>
      </c>
      <c r="E137" s="44">
        <f t="shared" si="56"/>
        <v>0</v>
      </c>
      <c r="F137" s="44">
        <f t="shared" si="56"/>
        <v>0</v>
      </c>
      <c r="G137" s="44">
        <f t="shared" si="56"/>
        <v>0</v>
      </c>
      <c r="H137" s="44">
        <f t="shared" si="56"/>
        <v>0</v>
      </c>
      <c r="I137" s="44">
        <f t="shared" si="56"/>
        <v>0</v>
      </c>
      <c r="J137" s="44">
        <f t="shared" si="56"/>
        <v>0</v>
      </c>
      <c r="K137" s="44">
        <f t="shared" si="56"/>
        <v>0</v>
      </c>
      <c r="L137" s="44">
        <f t="shared" si="56"/>
        <v>0</v>
      </c>
      <c r="M137" s="44">
        <f t="shared" si="56"/>
        <v>0</v>
      </c>
      <c r="N137" s="44">
        <f t="shared" si="56"/>
        <v>0</v>
      </c>
      <c r="O137" s="44">
        <f t="shared" si="56"/>
        <v>0</v>
      </c>
      <c r="P137" s="44">
        <f t="shared" si="56"/>
        <v>0</v>
      </c>
      <c r="Q137" s="44">
        <f t="shared" si="56"/>
        <v>0</v>
      </c>
      <c r="R137" s="44">
        <f t="shared" si="56"/>
        <v>0</v>
      </c>
      <c r="S137" s="44">
        <f t="shared" si="56"/>
        <v>0</v>
      </c>
      <c r="T137" s="44">
        <f t="shared" si="56"/>
        <v>0</v>
      </c>
      <c r="U137" s="44">
        <f t="shared" si="56"/>
        <v>0</v>
      </c>
      <c r="V137" s="44">
        <f t="shared" si="56"/>
        <v>0</v>
      </c>
      <c r="W137" s="44">
        <f t="shared" si="56"/>
        <v>0</v>
      </c>
      <c r="X137" s="44">
        <f t="shared" si="56"/>
        <v>0</v>
      </c>
      <c r="Y137" s="44">
        <f t="shared" si="56"/>
        <v>0</v>
      </c>
      <c r="Z137" s="44">
        <f t="shared" si="56"/>
        <v>0</v>
      </c>
      <c r="AA137" s="44">
        <f t="shared" si="56"/>
        <v>0</v>
      </c>
      <c r="AB137" s="44">
        <f t="shared" si="56"/>
        <v>0</v>
      </c>
      <c r="AC137" s="44">
        <f t="shared" si="56"/>
        <v>0</v>
      </c>
      <c r="AD137" s="44">
        <f t="shared" si="56"/>
        <v>0</v>
      </c>
      <c r="AE137" s="44">
        <f t="shared" si="56"/>
        <v>0</v>
      </c>
      <c r="AF137" s="44">
        <f t="shared" si="56"/>
        <v>0</v>
      </c>
      <c r="AG137" s="44">
        <f t="shared" si="56"/>
        <v>0</v>
      </c>
      <c r="AH137" s="44">
        <f t="shared" si="56"/>
        <v>0</v>
      </c>
    </row>
    <row r="138" spans="1:36" x14ac:dyDescent="0.2">
      <c r="C138" t="s">
        <v>321</v>
      </c>
      <c r="D138" s="44">
        <f>D127</f>
        <v>0</v>
      </c>
      <c r="E138" s="44">
        <f t="shared" ref="E138:AH138" si="57">E127</f>
        <v>0</v>
      </c>
      <c r="F138" s="44">
        <f t="shared" si="57"/>
        <v>0</v>
      </c>
      <c r="G138" s="44">
        <f t="shared" si="57"/>
        <v>0</v>
      </c>
      <c r="H138" s="44">
        <f t="shared" si="57"/>
        <v>0</v>
      </c>
      <c r="I138" s="44">
        <f t="shared" si="57"/>
        <v>0</v>
      </c>
      <c r="J138" s="44">
        <f t="shared" si="57"/>
        <v>0</v>
      </c>
      <c r="K138" s="44">
        <f t="shared" si="57"/>
        <v>0</v>
      </c>
      <c r="L138" s="44">
        <f t="shared" si="57"/>
        <v>0</v>
      </c>
      <c r="M138" s="44">
        <f t="shared" si="57"/>
        <v>0</v>
      </c>
      <c r="N138" s="44">
        <f t="shared" si="57"/>
        <v>0</v>
      </c>
      <c r="O138" s="44">
        <f t="shared" si="57"/>
        <v>0</v>
      </c>
      <c r="P138" s="44">
        <f t="shared" si="57"/>
        <v>0</v>
      </c>
      <c r="Q138" s="44">
        <f t="shared" si="57"/>
        <v>0</v>
      </c>
      <c r="R138" s="44">
        <f t="shared" si="57"/>
        <v>0</v>
      </c>
      <c r="S138" s="44">
        <f t="shared" si="57"/>
        <v>0</v>
      </c>
      <c r="T138" s="44">
        <f t="shared" si="57"/>
        <v>0</v>
      </c>
      <c r="U138" s="44">
        <f t="shared" si="57"/>
        <v>0</v>
      </c>
      <c r="V138" s="44">
        <f t="shared" si="57"/>
        <v>0</v>
      </c>
      <c r="W138" s="44">
        <f t="shared" si="57"/>
        <v>0</v>
      </c>
      <c r="X138" s="44">
        <f t="shared" si="57"/>
        <v>0</v>
      </c>
      <c r="Y138" s="44">
        <f t="shared" si="57"/>
        <v>0</v>
      </c>
      <c r="Z138" s="44">
        <f t="shared" si="57"/>
        <v>0</v>
      </c>
      <c r="AA138" s="44">
        <f t="shared" si="57"/>
        <v>0</v>
      </c>
      <c r="AB138" s="44">
        <f t="shared" si="57"/>
        <v>0</v>
      </c>
      <c r="AC138" s="44">
        <f t="shared" si="57"/>
        <v>0</v>
      </c>
      <c r="AD138" s="44">
        <f t="shared" si="57"/>
        <v>0</v>
      </c>
      <c r="AE138" s="44">
        <f t="shared" si="57"/>
        <v>0</v>
      </c>
      <c r="AF138" s="44">
        <f t="shared" si="57"/>
        <v>0</v>
      </c>
      <c r="AG138" s="44">
        <f t="shared" si="57"/>
        <v>0</v>
      </c>
      <c r="AH138" s="44">
        <f t="shared" si="57"/>
        <v>0</v>
      </c>
    </row>
    <row r="139" spans="1:36" x14ac:dyDescent="0.2">
      <c r="C139" t="s">
        <v>248</v>
      </c>
      <c r="D139" s="44">
        <f t="shared" ref="D139:AH139" si="58">D65-D138</f>
        <v>35.064810426540291</v>
      </c>
      <c r="E139" s="44">
        <f t="shared" si="58"/>
        <v>35.795839984179018</v>
      </c>
      <c r="F139" s="44">
        <f t="shared" si="58"/>
        <v>36.542812517172408</v>
      </c>
      <c r="G139" s="44">
        <f t="shared" si="58"/>
        <v>37.307330909380283</v>
      </c>
      <c r="H139" s="44">
        <f t="shared" si="58"/>
        <v>38.09107448626559</v>
      </c>
      <c r="I139" s="44">
        <f t="shared" si="58"/>
        <v>38.895784772943081</v>
      </c>
      <c r="J139" s="44">
        <f t="shared" si="58"/>
        <v>39.516954988953479</v>
      </c>
      <c r="K139" s="44">
        <f t="shared" si="58"/>
        <v>40.149204494427536</v>
      </c>
      <c r="L139" s="44">
        <f t="shared" si="58"/>
        <v>40.79296791831446</v>
      </c>
      <c r="M139" s="44">
        <f t="shared" si="58"/>
        <v>41.448694009731405</v>
      </c>
      <c r="N139" s="44">
        <f t="shared" si="58"/>
        <v>42.116845326568651</v>
      </c>
      <c r="O139" s="44">
        <f t="shared" si="58"/>
        <v>41.481889167632694</v>
      </c>
      <c r="P139" s="44">
        <f t="shared" si="58"/>
        <v>40.841475334229777</v>
      </c>
      <c r="Q139" s="44">
        <f t="shared" si="58"/>
        <v>40.200366054995499</v>
      </c>
      <c r="R139" s="44">
        <f t="shared" si="58"/>
        <v>39.558581524587829</v>
      </c>
      <c r="S139" s="44">
        <f t="shared" si="58"/>
        <v>38.918057993515312</v>
      </c>
      <c r="T139" s="44">
        <f t="shared" si="58"/>
        <v>38.216397514440388</v>
      </c>
      <c r="U139" s="44">
        <f t="shared" si="58"/>
        <v>37.50602906462769</v>
      </c>
      <c r="V139" s="44">
        <f t="shared" si="58"/>
        <v>36.78704271166859</v>
      </c>
      <c r="W139" s="44">
        <f t="shared" si="58"/>
        <v>36.059530088256444</v>
      </c>
      <c r="X139" s="44">
        <f t="shared" si="58"/>
        <v>35.32358428002869</v>
      </c>
      <c r="Y139" s="44">
        <f t="shared" si="58"/>
        <v>34.329488300730752</v>
      </c>
      <c r="Z139" s="44">
        <f t="shared" si="58"/>
        <v>33.318613684390137</v>
      </c>
      <c r="AA139" s="44">
        <f t="shared" si="58"/>
        <v>32.304724568797873</v>
      </c>
      <c r="AB139" s="44">
        <f t="shared" si="58"/>
        <v>31.283081052371102</v>
      </c>
      <c r="AC139" s="44">
        <f t="shared" si="58"/>
        <v>30.253744538940108</v>
      </c>
      <c r="AD139" s="44">
        <f t="shared" si="58"/>
        <v>29.171668739879397</v>
      </c>
      <c r="AE139" s="44">
        <f t="shared" si="58"/>
        <v>28.081693815372059</v>
      </c>
      <c r="AF139" s="44">
        <f t="shared" si="58"/>
        <v>26.983860586670389</v>
      </c>
      <c r="AG139" s="44">
        <f t="shared" si="58"/>
        <v>25.878206577884001</v>
      </c>
      <c r="AH139" s="44">
        <f t="shared" si="58"/>
        <v>24.764766044947411</v>
      </c>
    </row>
    <row r="140" spans="1:36" x14ac:dyDescent="0.2">
      <c r="D140" s="44">
        <f>SUM(D134:D139)</f>
        <v>111.92307692307692</v>
      </c>
      <c r="E140" s="44">
        <f t="shared" ref="E140:AG140" si="59">SUM(E134:E139)</f>
        <v>113.18864944850239</v>
      </c>
      <c r="F140" s="44">
        <f t="shared" si="59"/>
        <v>114.46252921852036</v>
      </c>
      <c r="G140" s="44">
        <f t="shared" si="59"/>
        <v>115.74780638996452</v>
      </c>
      <c r="H140" s="44">
        <f t="shared" si="59"/>
        <v>117.04789392138085</v>
      </c>
      <c r="I140" s="44">
        <f t="shared" si="59"/>
        <v>118.36650342789426</v>
      </c>
      <c r="J140" s="44">
        <f t="shared" si="59"/>
        <v>119.4911974280748</v>
      </c>
      <c r="K140" s="44">
        <f t="shared" si="59"/>
        <v>120.61642474178824</v>
      </c>
      <c r="L140" s="44">
        <f t="shared" si="59"/>
        <v>121.74248426409565</v>
      </c>
      <c r="M140" s="44">
        <f t="shared" si="59"/>
        <v>122.86972562091765</v>
      </c>
      <c r="N140" s="44">
        <f t="shared" si="59"/>
        <v>123.99855059944237</v>
      </c>
      <c r="O140" s="44">
        <f t="shared" si="59"/>
        <v>123.36782290498803</v>
      </c>
      <c r="P140" s="44">
        <f t="shared" si="59"/>
        <v>122.73596096986546</v>
      </c>
      <c r="Q140" s="44">
        <f t="shared" si="59"/>
        <v>122.06074378752426</v>
      </c>
      <c r="R140" s="44">
        <f t="shared" si="59"/>
        <v>121.37526398841982</v>
      </c>
      <c r="S140" s="44">
        <f t="shared" si="59"/>
        <v>120.68569087448657</v>
      </c>
      <c r="T140" s="44">
        <f t="shared" si="59"/>
        <v>119.91400021198227</v>
      </c>
      <c r="U140" s="44">
        <f t="shared" si="59"/>
        <v>119.11275369536406</v>
      </c>
      <c r="V140" s="44">
        <f t="shared" si="59"/>
        <v>118.28219719988176</v>
      </c>
      <c r="W140" s="44">
        <f t="shared" si="59"/>
        <v>117.42260141635481</v>
      </c>
      <c r="X140" s="44">
        <f t="shared" si="59"/>
        <v>116.53426187311857</v>
      </c>
      <c r="Y140" s="44">
        <f t="shared" si="59"/>
        <v>114.53502233878956</v>
      </c>
      <c r="Z140" s="44">
        <f t="shared" si="59"/>
        <v>112.67555835935681</v>
      </c>
      <c r="AA140" s="44">
        <f t="shared" si="59"/>
        <v>110.80518644434491</v>
      </c>
      <c r="AB140" s="44">
        <f t="shared" si="59"/>
        <v>108.89251140747336</v>
      </c>
      <c r="AC140" s="44">
        <f t="shared" si="59"/>
        <v>106.93825893325831</v>
      </c>
      <c r="AD140" s="44">
        <f t="shared" si="59"/>
        <v>104.89786791728524</v>
      </c>
      <c r="AE140" s="44">
        <f t="shared" si="59"/>
        <v>102.81688041419115</v>
      </c>
      <c r="AF140" s="44">
        <f t="shared" si="59"/>
        <v>100.69607797130797</v>
      </c>
      <c r="AG140" s="44">
        <f t="shared" si="59"/>
        <v>98.536277454919642</v>
      </c>
      <c r="AH140" s="44">
        <f>SUM(AH134:AH139)</f>
        <v>96.338330820455909</v>
      </c>
    </row>
    <row r="141" spans="1:36" x14ac:dyDescent="0.2">
      <c r="C141" t="s">
        <v>364</v>
      </c>
      <c r="D141" s="44">
        <f>SUM(D131:D139)</f>
        <v>111.92307692307692</v>
      </c>
      <c r="E141" s="44">
        <f t="shared" ref="E141:AH141" si="60">SUM(E131:E139)</f>
        <v>114.15903327302965</v>
      </c>
      <c r="F141" s="44">
        <f t="shared" si="60"/>
        <v>116.43955477307757</v>
      </c>
      <c r="G141" s="44">
        <f t="shared" si="60"/>
        <v>118.76552805276634</v>
      </c>
      <c r="H141" s="44">
        <f t="shared" si="60"/>
        <v>121.13785735661915</v>
      </c>
      <c r="I141" s="44">
        <f t="shared" si="60"/>
        <v>123.55746489372433</v>
      </c>
      <c r="J141" s="44">
        <f t="shared" si="60"/>
        <v>125.80457246851236</v>
      </c>
      <c r="K141" s="44">
        <f t="shared" si="60"/>
        <v>128.09250447878475</v>
      </c>
      <c r="L141" s="44">
        <f t="shared" si="60"/>
        <v>130.4220019010717</v>
      </c>
      <c r="M141" s="44">
        <f t="shared" si="60"/>
        <v>132.79381914939032</v>
      </c>
      <c r="N141" s="44">
        <f t="shared" si="60"/>
        <v>135.20872431874369</v>
      </c>
      <c r="O141" s="44">
        <f t="shared" si="60"/>
        <v>136.52465640993731</v>
      </c>
      <c r="P141" s="44">
        <f t="shared" si="60"/>
        <v>137.85469642803642</v>
      </c>
      <c r="Q141" s="44">
        <f t="shared" si="60"/>
        <v>139.19902049224078</v>
      </c>
      <c r="R141" s="44">
        <f t="shared" si="60"/>
        <v>140.55780733049127</v>
      </c>
      <c r="S141" s="44">
        <f t="shared" si="60"/>
        <v>141.93123832361366</v>
      </c>
      <c r="T141" s="44">
        <f t="shared" si="60"/>
        <v>143.26364115633208</v>
      </c>
      <c r="U141" s="44">
        <f t="shared" si="60"/>
        <v>144.61006539493994</v>
      </c>
      <c r="V141" s="44">
        <f t="shared" si="60"/>
        <v>145.97068739241976</v>
      </c>
      <c r="W141" s="44">
        <f t="shared" si="60"/>
        <v>147.34568618211159</v>
      </c>
      <c r="X141" s="44">
        <f t="shared" si="60"/>
        <v>148.7352435242845</v>
      </c>
      <c r="Y141" s="44">
        <f t="shared" si="60"/>
        <v>150.11120364935081</v>
      </c>
      <c r="Z141" s="44">
        <f t="shared" si="60"/>
        <v>151.50203787480666</v>
      </c>
      <c r="AA141" s="44">
        <f t="shared" si="60"/>
        <v>152.90794657987112</v>
      </c>
      <c r="AB141" s="44">
        <f t="shared" si="60"/>
        <v>154.32913342741728</v>
      </c>
      <c r="AC141" s="44">
        <f t="shared" si="60"/>
        <v>155.76580542411895</v>
      </c>
      <c r="AD141" s="44">
        <f t="shared" si="60"/>
        <v>157.16690257326317</v>
      </c>
      <c r="AE141" s="44">
        <f t="shared" si="60"/>
        <v>158.58307163458554</v>
      </c>
      <c r="AF141" s="44">
        <f t="shared" si="60"/>
        <v>160.01451975614083</v>
      </c>
      <c r="AG141" s="44">
        <f t="shared" si="60"/>
        <v>161.4614575702978</v>
      </c>
      <c r="AH141" s="44">
        <f t="shared" si="60"/>
        <v>162.92409925871709</v>
      </c>
    </row>
    <row r="142" spans="1:36" x14ac:dyDescent="0.2">
      <c r="C142" t="s">
        <v>366</v>
      </c>
      <c r="D142" s="44">
        <f>D129-D141</f>
        <v>0</v>
      </c>
      <c r="E142" s="44">
        <f t="shared" ref="E142:AH142" si="61">E129-E141</f>
        <v>0</v>
      </c>
      <c r="F142" s="44">
        <f t="shared" si="61"/>
        <v>0</v>
      </c>
      <c r="G142" s="44">
        <f t="shared" si="61"/>
        <v>0</v>
      </c>
      <c r="H142" s="44">
        <f t="shared" si="61"/>
        <v>0</v>
      </c>
      <c r="I142" s="44">
        <f t="shared" si="61"/>
        <v>0</v>
      </c>
      <c r="J142" s="44">
        <f t="shared" si="61"/>
        <v>0</v>
      </c>
      <c r="K142" s="44">
        <f t="shared" si="61"/>
        <v>0</v>
      </c>
      <c r="L142" s="44">
        <f t="shared" si="61"/>
        <v>0</v>
      </c>
      <c r="M142" s="44">
        <f t="shared" si="61"/>
        <v>0</v>
      </c>
      <c r="N142" s="44">
        <f t="shared" si="61"/>
        <v>0</v>
      </c>
      <c r="O142" s="44">
        <f t="shared" si="61"/>
        <v>0</v>
      </c>
      <c r="P142" s="44">
        <f t="shared" si="61"/>
        <v>0</v>
      </c>
      <c r="Q142" s="44">
        <f t="shared" si="61"/>
        <v>0</v>
      </c>
      <c r="R142" s="44">
        <f t="shared" si="61"/>
        <v>0</v>
      </c>
      <c r="S142" s="44">
        <f t="shared" si="61"/>
        <v>0</v>
      </c>
      <c r="T142" s="44">
        <f t="shared" si="61"/>
        <v>0</v>
      </c>
      <c r="U142" s="44">
        <f t="shared" si="61"/>
        <v>0</v>
      </c>
      <c r="V142" s="44">
        <f t="shared" si="61"/>
        <v>0</v>
      </c>
      <c r="W142" s="44">
        <f t="shared" si="61"/>
        <v>0</v>
      </c>
      <c r="X142" s="44">
        <f t="shared" si="61"/>
        <v>0</v>
      </c>
      <c r="Y142" s="44">
        <f t="shared" si="61"/>
        <v>0</v>
      </c>
      <c r="Z142" s="44">
        <f t="shared" si="61"/>
        <v>0</v>
      </c>
      <c r="AA142" s="44">
        <f t="shared" si="61"/>
        <v>0</v>
      </c>
      <c r="AB142" s="44">
        <f t="shared" si="61"/>
        <v>0</v>
      </c>
      <c r="AC142" s="44">
        <f t="shared" si="61"/>
        <v>0</v>
      </c>
      <c r="AD142" s="44">
        <f t="shared" si="61"/>
        <v>0</v>
      </c>
      <c r="AE142" s="44">
        <f t="shared" si="61"/>
        <v>0</v>
      </c>
      <c r="AF142" s="44">
        <f t="shared" si="61"/>
        <v>0</v>
      </c>
      <c r="AG142" s="44">
        <f t="shared" si="61"/>
        <v>0</v>
      </c>
      <c r="AH142" s="44">
        <f t="shared" si="61"/>
        <v>0</v>
      </c>
      <c r="AJ142" s="208" t="s">
        <v>367</v>
      </c>
    </row>
    <row r="144" spans="1:36" x14ac:dyDescent="0.2">
      <c r="D144">
        <v>0</v>
      </c>
      <c r="E144">
        <v>0.36374414573886427</v>
      </c>
      <c r="F144">
        <v>0.74151790492138414</v>
      </c>
      <c r="G144">
        <v>1.1337277966830479</v>
      </c>
      <c r="H144">
        <v>1.5407908303183575</v>
      </c>
      <c r="I144">
        <v>1.9631347595641815</v>
      </c>
      <c r="J144">
        <v>2.3979206697350532</v>
      </c>
      <c r="K144">
        <v>2.8476389804102342</v>
      </c>
      <c r="L144">
        <v>3.3126845408501504</v>
      </c>
      <c r="M144">
        <v>3.7934615397725517</v>
      </c>
      <c r="N144">
        <v>4.2903837129386559</v>
      </c>
      <c r="O144">
        <v>5.0434072845473219</v>
      </c>
      <c r="P144">
        <v>5.8154669998934612</v>
      </c>
      <c r="Q144">
        <v>6.6069593222199616</v>
      </c>
      <c r="R144">
        <v>7.4182884357579999</v>
      </c>
      <c r="S144">
        <v>8.2498663896520625</v>
      </c>
      <c r="T144">
        <v>9.0999013312522941</v>
      </c>
      <c r="U144">
        <v>9.9707150978471333</v>
      </c>
      <c r="V144">
        <v>10.86273625420009</v>
      </c>
      <c r="W144">
        <v>11.776401693131401</v>
      </c>
      <c r="X144">
        <v>12.712156790686837</v>
      </c>
      <c r="Y144">
        <v>13.867283990110685</v>
      </c>
      <c r="Z144">
        <v>15.051615464480728</v>
      </c>
      <c r="AA144">
        <v>16.265737743976718</v>
      </c>
      <c r="AB144">
        <v>17.510247279071049</v>
      </c>
      <c r="AC144">
        <v>18.785750569547474</v>
      </c>
      <c r="AD144">
        <v>20.089541971675903</v>
      </c>
      <c r="AE144">
        <v>21.425252909257033</v>
      </c>
      <c r="AF144">
        <v>22.793513685761937</v>
      </c>
      <c r="AG144">
        <v>24.194965063167281</v>
      </c>
      <c r="AH144">
        <v>25.630258392220995</v>
      </c>
    </row>
    <row r="145" spans="4:34" x14ac:dyDescent="0.2">
      <c r="D145">
        <v>0</v>
      </c>
      <c r="E145">
        <v>0.18454975918628228</v>
      </c>
      <c r="F145">
        <v>0.37577228898919007</v>
      </c>
      <c r="G145">
        <v>0.57385073480945803</v>
      </c>
      <c r="H145">
        <v>0.7789727581607051</v>
      </c>
      <c r="I145">
        <v>0.9913306420517497</v>
      </c>
      <c r="J145">
        <v>1.2100288410565403</v>
      </c>
      <c r="K145">
        <v>1.4359493369793801</v>
      </c>
      <c r="L145">
        <v>1.6692766925158633</v>
      </c>
      <c r="M145">
        <v>1.91019971012768</v>
      </c>
      <c r="N145">
        <v>2.1589115239562222</v>
      </c>
      <c r="O145">
        <v>2.4046604809824492</v>
      </c>
      <c r="P145">
        <v>2.6429549531497485</v>
      </c>
      <c r="Q145">
        <v>2.9206552292545314</v>
      </c>
      <c r="R145">
        <v>3.2050331365347615</v>
      </c>
      <c r="S145">
        <v>3.4962234919214223</v>
      </c>
      <c r="T145">
        <v>3.7936264070986718</v>
      </c>
      <c r="U145">
        <v>4.0980131520904344</v>
      </c>
      <c r="V145">
        <v>4.4095238341615044</v>
      </c>
      <c r="W145">
        <v>4.7283012644492937</v>
      </c>
      <c r="X145">
        <v>5.0544910095095759</v>
      </c>
      <c r="Y145">
        <v>5.7680407033405769</v>
      </c>
      <c r="Z145">
        <v>6.1234923916780293</v>
      </c>
      <c r="AA145">
        <v>6.4870242404483323</v>
      </c>
      <c r="AB145">
        <v>6.858797005162188</v>
      </c>
      <c r="AC145">
        <v>7.2389745421465737</v>
      </c>
      <c r="AD145">
        <v>7.6266164269271508</v>
      </c>
      <c r="AE145">
        <v>8.0228943748261692</v>
      </c>
      <c r="AF145">
        <v>8.4279795295510329</v>
      </c>
      <c r="AG145">
        <v>8.8420463416749868</v>
      </c>
      <c r="AH145">
        <v>9.2652726319569787</v>
      </c>
    </row>
    <row r="146" spans="4:34" x14ac:dyDescent="0.2">
      <c r="D146">
        <v>0</v>
      </c>
      <c r="E146">
        <v>0.39470029650526328</v>
      </c>
      <c r="F146">
        <v>0.80418754469548048</v>
      </c>
      <c r="G146">
        <v>1.2286883029451303</v>
      </c>
      <c r="H146">
        <v>1.6684298876832244</v>
      </c>
      <c r="I146">
        <v>2.1236403081696338</v>
      </c>
      <c r="J146">
        <v>2.5805030408336052</v>
      </c>
      <c r="K146">
        <v>3.0519446933123575</v>
      </c>
      <c r="L146">
        <v>3.5381525359869315</v>
      </c>
      <c r="M146">
        <v>4.0393132774175768</v>
      </c>
      <c r="N146">
        <v>4.5556129669908003</v>
      </c>
      <c r="O146">
        <v>5.4177423721489788</v>
      </c>
      <c r="P146">
        <v>6.3071469547421657</v>
      </c>
      <c r="Q146">
        <v>7.2130149872974414</v>
      </c>
      <c r="R146">
        <v>8.1427833941377727</v>
      </c>
      <c r="S146">
        <v>9.0963180048014465</v>
      </c>
      <c r="T146">
        <v>10.073463867560086</v>
      </c>
      <c r="U146">
        <v>11.074044514100532</v>
      </c>
      <c r="V146">
        <v>12.097861205402936</v>
      </c>
      <c r="W146">
        <v>13.144692158406244</v>
      </c>
      <c r="X146">
        <v>14.214291753043881</v>
      </c>
      <c r="Y146">
        <v>15.741993193645214</v>
      </c>
      <c r="Z146">
        <v>17.394162925464911</v>
      </c>
      <c r="AA146">
        <v>19.059950529648937</v>
      </c>
      <c r="AB146">
        <v>20.759138768060765</v>
      </c>
      <c r="AC146">
        <v>22.49127248394511</v>
      </c>
      <c r="AD146">
        <v>24.254431158947408</v>
      </c>
      <c r="AE146">
        <v>26.049341348157448</v>
      </c>
      <c r="AF146">
        <v>27.875427435783426</v>
      </c>
      <c r="AG146">
        <v>29.732072691288174</v>
      </c>
      <c r="AH146">
        <v>31.352234872901157</v>
      </c>
    </row>
    <row r="147" spans="4:34" x14ac:dyDescent="0.2">
      <c r="D147">
        <v>46.844581662413418</v>
      </c>
      <c r="E147">
        <v>47.234035096965279</v>
      </c>
      <c r="F147">
        <v>47.621987624565769</v>
      </c>
      <c r="G147">
        <v>48.008351499019518</v>
      </c>
      <c r="H147">
        <v>48.393037784813579</v>
      </c>
      <c r="I147">
        <v>48.775956357278133</v>
      </c>
      <c r="J147">
        <v>49.157015903205668</v>
      </c>
      <c r="K147">
        <v>49.536123921943776</v>
      </c>
      <c r="L147">
        <v>49.913186726977663</v>
      </c>
      <c r="M147">
        <v>50.288109448018446</v>
      </c>
      <c r="N147">
        <v>50.660796033613771</v>
      </c>
      <c r="O147">
        <v>50.808275762911556</v>
      </c>
      <c r="P147">
        <v>50.958143380913342</v>
      </c>
      <c r="Q147">
        <v>51.066263697813241</v>
      </c>
      <c r="R147">
        <v>51.163612275553533</v>
      </c>
      <c r="S147">
        <v>51.250087328616139</v>
      </c>
      <c r="T147">
        <v>51.325591573650918</v>
      </c>
      <c r="U147">
        <v>51.39003246461882</v>
      </c>
      <c r="V147">
        <v>51.443322434927921</v>
      </c>
      <c r="W147">
        <v>51.485379146728192</v>
      </c>
      <c r="X147">
        <v>51.51612574753419</v>
      </c>
      <c r="Y147">
        <v>51.053307874542298</v>
      </c>
      <c r="Z147">
        <v>50.902012081386907</v>
      </c>
      <c r="AA147">
        <v>50.732446015889487</v>
      </c>
      <c r="AB147">
        <v>50.543510433848525</v>
      </c>
      <c r="AC147">
        <v>50.335127318721405</v>
      </c>
      <c r="AD147">
        <v>50.107232022321469</v>
      </c>
      <c r="AE147">
        <v>49.859773916217442</v>
      </c>
      <c r="AF147">
        <v>49.592717061693463</v>
      </c>
      <c r="AG147">
        <v>49.306040898628197</v>
      </c>
      <c r="AH147">
        <v>48.999740953655724</v>
      </c>
    </row>
    <row r="148" spans="4:34" x14ac:dyDescent="0.2">
      <c r="D148">
        <v>12.379169704702877</v>
      </c>
      <c r="E148">
        <v>12.229688607790319</v>
      </c>
      <c r="F148">
        <v>12.073203852741992</v>
      </c>
      <c r="G148">
        <v>11.9095324904427</v>
      </c>
      <c r="H148">
        <v>11.738487480196984</v>
      </c>
      <c r="I148">
        <v>11.559877604328227</v>
      </c>
      <c r="J148">
        <v>11.373507381062117</v>
      </c>
      <c r="K148">
        <v>11.17917697566085</v>
      </c>
      <c r="L148">
        <v>10.976682109773805</v>
      </c>
      <c r="M148">
        <v>10.765813968969722</v>
      </c>
      <c r="N148">
        <v>10.546359108414764</v>
      </c>
      <c r="O148">
        <v>10.201141924836172</v>
      </c>
      <c r="P148">
        <v>9.8437610259996404</v>
      </c>
      <c r="Q148">
        <v>9.4785436883963943</v>
      </c>
      <c r="R148">
        <v>9.102193244642061</v>
      </c>
      <c r="S148">
        <v>8.7145710665043872</v>
      </c>
      <c r="T148">
        <v>8.3155404146487371</v>
      </c>
      <c r="U148">
        <v>7.9049666127805152</v>
      </c>
      <c r="V148">
        <v>7.4827172280967797</v>
      </c>
      <c r="W148">
        <v>7.0486622582150416</v>
      </c>
      <c r="X148">
        <v>6.6026743247509501</v>
      </c>
      <c r="Y148">
        <v>6.0208657433183745</v>
      </c>
      <c r="Z148">
        <v>5.3824566726409255</v>
      </c>
      <c r="AA148">
        <v>4.732973177227966</v>
      </c>
      <c r="AB148">
        <v>4.0677883230557601</v>
      </c>
      <c r="AC148">
        <v>3.386652796639241</v>
      </c>
      <c r="AD148">
        <v>2.6893255772722613</v>
      </c>
      <c r="AE148">
        <v>1.9755747700398398</v>
      </c>
      <c r="AF148">
        <v>1.2451784658184974</v>
      </c>
      <c r="AG148">
        <v>0.49792562862786538</v>
      </c>
      <c r="AH148">
        <v>0</v>
      </c>
    </row>
    <row r="149" spans="4:34" x14ac:dyDescent="0.2">
      <c r="D149">
        <v>17.63451512942034</v>
      </c>
      <c r="E149">
        <v>17.89028599241496</v>
      </c>
      <c r="F149">
        <v>18.146825145035919</v>
      </c>
      <c r="G149">
        <v>18.404191763691742</v>
      </c>
      <c r="H149">
        <v>18.662448591004782</v>
      </c>
      <c r="I149">
        <v>18.921662055674837</v>
      </c>
      <c r="J149">
        <v>19.181902395405185</v>
      </c>
      <c r="K149">
        <v>19.443243782957936</v>
      </c>
      <c r="L149">
        <v>19.705764455406722</v>
      </c>
      <c r="M149">
        <v>19.969546846656328</v>
      </c>
      <c r="N149">
        <v>20.234677723299971</v>
      </c>
      <c r="O149">
        <v>20.422891339553036</v>
      </c>
      <c r="P149">
        <v>20.606654039661528</v>
      </c>
      <c r="Q149">
        <v>20.787845370156841</v>
      </c>
      <c r="R149">
        <v>20.965324520099937</v>
      </c>
      <c r="S149">
        <v>21.1392273856579</v>
      </c>
      <c r="T149">
        <v>21.309696839707755</v>
      </c>
      <c r="U149">
        <v>21.476882853691386</v>
      </c>
      <c r="V149">
        <v>21.640942619719013</v>
      </c>
      <c r="W149">
        <v>21.802040672874696</v>
      </c>
      <c r="X149">
        <v>21.96034901367549</v>
      </c>
      <c r="Y149">
        <v>21.882565345049137</v>
      </c>
      <c r="Z149">
        <v>21.792737087538534</v>
      </c>
      <c r="AA149">
        <v>21.70612947160733</v>
      </c>
      <c r="AB149">
        <v>21.611397950763791</v>
      </c>
      <c r="AC149">
        <v>21.509000959134386</v>
      </c>
      <c r="AD149">
        <v>21.399401132942486</v>
      </c>
      <c r="AE149">
        <v>21.283064577532688</v>
      </c>
      <c r="AF149">
        <v>21.160460110738285</v>
      </c>
      <c r="AG149">
        <v>21.032058482701768</v>
      </c>
      <c r="AH149">
        <v>20.898331572293753</v>
      </c>
    </row>
    <row r="150" spans="4:34" x14ac:dyDescent="0.2">
      <c r="D150">
        <v>0</v>
      </c>
      <c r="E150">
        <v>0</v>
      </c>
      <c r="F150">
        <v>0</v>
      </c>
      <c r="G150">
        <v>0</v>
      </c>
      <c r="H150">
        <v>0</v>
      </c>
      <c r="I150">
        <v>0</v>
      </c>
      <c r="J150">
        <v>0</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row>
    <row r="151" spans="4:34" x14ac:dyDescent="0.2">
      <c r="D151">
        <v>0</v>
      </c>
      <c r="E151">
        <v>0</v>
      </c>
      <c r="F151">
        <v>0</v>
      </c>
      <c r="G151">
        <v>0</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row>
    <row r="152" spans="4:34" x14ac:dyDescent="0.2">
      <c r="D152">
        <v>35.064810426540291</v>
      </c>
      <c r="E152">
        <v>35.862029374428673</v>
      </c>
      <c r="F152">
        <v>36.676060412127832</v>
      </c>
      <c r="G152">
        <v>37.50718546517475</v>
      </c>
      <c r="H152">
        <v>38.355690024441522</v>
      </c>
      <c r="I152">
        <v>39.221863166657556</v>
      </c>
      <c r="J152">
        <v>39.903694237214204</v>
      </c>
      <c r="K152">
        <v>40.598426787520197</v>
      </c>
      <c r="L152">
        <v>41.306254839560559</v>
      </c>
      <c r="M152">
        <v>42.027374358428013</v>
      </c>
      <c r="N152">
        <v>42.761983249529528</v>
      </c>
      <c r="O152">
        <v>42.226537244957811</v>
      </c>
      <c r="P152">
        <v>41.680569073676516</v>
      </c>
      <c r="Q152">
        <v>41.125738197102393</v>
      </c>
      <c r="R152">
        <v>40.560572323765214</v>
      </c>
      <c r="S152">
        <v>39.9849446564603</v>
      </c>
      <c r="T152">
        <v>39.345820722413634</v>
      </c>
      <c r="U152">
        <v>38.695410699811092</v>
      </c>
      <c r="V152">
        <v>38.033583815911534</v>
      </c>
      <c r="W152">
        <v>37.360208988306731</v>
      </c>
      <c r="X152">
        <v>36.675154885083579</v>
      </c>
      <c r="Y152">
        <v>35.777146799344536</v>
      </c>
      <c r="Z152">
        <v>34.855561251616628</v>
      </c>
      <c r="AA152">
        <v>33.923685401072362</v>
      </c>
      <c r="AB152">
        <v>32.978253667455199</v>
      </c>
      <c r="AC152">
        <v>32.019026753984754</v>
      </c>
      <c r="AD152">
        <v>31.000354283176481</v>
      </c>
      <c r="AE152">
        <v>29.96716973855489</v>
      </c>
      <c r="AF152">
        <v>28.919243466794175</v>
      </c>
      <c r="AG152">
        <v>27.856348464209521</v>
      </c>
      <c r="AH152">
        <v>26.778260835688471</v>
      </c>
    </row>
  </sheetData>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3F42E6-2217-4A68-A163-58760CD59E89}">
  <sheetPr>
    <tabColor rgb="FFFFFF00"/>
  </sheetPr>
  <dimension ref="A1:FI41"/>
  <sheetViews>
    <sheetView zoomScale="70" zoomScaleNormal="70" workbookViewId="0">
      <pane ySplit="1" topLeftCell="A2" activePane="bottomLeft" state="frozen"/>
      <selection activeCell="CJ13" sqref="CJ13"/>
      <selection pane="bottomLeft" activeCell="D20" sqref="D20"/>
    </sheetView>
  </sheetViews>
  <sheetFormatPr baseColWidth="10" defaultColWidth="8.83203125" defaultRowHeight="15" outlineLevelCol="1" x14ac:dyDescent="0.2"/>
  <cols>
    <col min="1" max="1" width="25.5" customWidth="1"/>
    <col min="2" max="2" width="12.33203125" customWidth="1"/>
    <col min="3" max="3" width="17.33203125" customWidth="1"/>
    <col min="5" max="13" width="8.6640625" hidden="1" customWidth="1" outlineLevel="1"/>
    <col min="14" max="14" width="8.6640625" collapsed="1"/>
    <col min="15" max="23" width="8.6640625" hidden="1" customWidth="1" outlineLevel="1"/>
    <col min="24" max="24" width="8.6640625" collapsed="1"/>
    <col min="25" max="33" width="8.6640625" hidden="1" customWidth="1" outlineLevel="1"/>
    <col min="34" max="34" width="8.6640625" collapsed="1"/>
    <col min="36" max="36" width="11.5" bestFit="1" customWidth="1"/>
    <col min="37" max="45" width="8.6640625" hidden="1" customWidth="1" outlineLevel="1"/>
    <col min="46" max="46" width="9.5" bestFit="1" customWidth="1" collapsed="1"/>
    <col min="47" max="55" width="0" hidden="1" customWidth="1" outlineLevel="1"/>
    <col min="56" max="56" width="11.5" bestFit="1" customWidth="1" collapsed="1"/>
    <col min="57" max="65" width="0" hidden="1" customWidth="1" outlineLevel="1"/>
    <col min="66" max="66" width="11.5" bestFit="1" customWidth="1" collapsed="1"/>
    <col min="67" max="67" width="8.6640625" customWidth="1"/>
    <col min="69" max="77" width="8.6640625" hidden="1" customWidth="1" outlineLevel="1"/>
    <col min="78" max="78" width="8.6640625" collapsed="1"/>
    <col min="79" max="87" width="0" hidden="1" customWidth="1" outlineLevel="1"/>
    <col min="88" max="88" width="8.6640625" collapsed="1"/>
    <col min="89" max="97" width="8.6640625" hidden="1" customWidth="1" outlineLevel="1"/>
    <col min="98" max="98" width="8.6640625" collapsed="1"/>
    <col min="101" max="109" width="8.6640625" hidden="1" customWidth="1" outlineLevel="1"/>
    <col min="110" max="110" width="8.6640625" collapsed="1"/>
    <col min="111" max="119" width="0" hidden="1" customWidth="1" outlineLevel="1"/>
    <col min="120" max="120" width="8.6640625" collapsed="1"/>
    <col min="121" max="129" width="8.6640625" hidden="1" customWidth="1" outlineLevel="1"/>
    <col min="130" max="130" width="8.6640625" collapsed="1"/>
    <col min="135" max="135" width="36.5" customWidth="1"/>
    <col min="141" max="165" width="8.6640625" style="43"/>
  </cols>
  <sheetData>
    <row r="1" spans="1:165" ht="16" thickBot="1" x14ac:dyDescent="0.25">
      <c r="A1" s="1"/>
      <c r="B1" s="1"/>
      <c r="D1" s="684" t="s">
        <v>406</v>
      </c>
      <c r="E1" s="684"/>
      <c r="F1" s="684"/>
      <c r="G1" s="684"/>
      <c r="H1" s="684"/>
      <c r="I1" s="684"/>
      <c r="J1" s="684"/>
      <c r="K1" s="684"/>
      <c r="L1" s="684"/>
      <c r="M1" s="684"/>
      <c r="N1" s="684"/>
      <c r="O1" s="684"/>
      <c r="P1" s="684"/>
      <c r="Q1" s="684"/>
      <c r="R1" s="684"/>
      <c r="S1" s="684"/>
      <c r="T1" s="684"/>
      <c r="U1" s="684"/>
      <c r="V1" s="684"/>
      <c r="W1" s="684"/>
      <c r="X1" s="684"/>
      <c r="Y1" s="684"/>
      <c r="Z1" s="684"/>
      <c r="AA1" s="684"/>
      <c r="AB1" s="684"/>
      <c r="AC1" s="684"/>
      <c r="AD1" s="684"/>
      <c r="AE1" s="684"/>
      <c r="AF1" s="684"/>
      <c r="AG1" s="684"/>
      <c r="AH1" s="684"/>
      <c r="AJ1" s="684" t="s">
        <v>407</v>
      </c>
      <c r="AK1" s="684"/>
      <c r="AL1" s="684"/>
      <c r="AM1" s="684"/>
      <c r="AN1" s="684"/>
      <c r="AO1" s="684"/>
      <c r="AP1" s="684"/>
      <c r="AQ1" s="684"/>
      <c r="AR1" s="684"/>
      <c r="AS1" s="684"/>
      <c r="AT1" s="684"/>
      <c r="AU1" s="684"/>
      <c r="AV1" s="684"/>
      <c r="AW1" s="684"/>
      <c r="AX1" s="684"/>
      <c r="AY1" s="684"/>
      <c r="AZ1" s="684"/>
      <c r="BA1" s="684"/>
      <c r="BB1" s="684"/>
      <c r="BC1" s="684"/>
      <c r="BD1" s="684"/>
      <c r="BE1" s="684"/>
      <c r="BF1" s="684"/>
      <c r="BG1" s="684"/>
      <c r="BH1" s="684"/>
      <c r="BI1" s="684"/>
      <c r="BJ1" s="684"/>
      <c r="BK1" s="684"/>
      <c r="BL1" s="684"/>
      <c r="BM1" s="684"/>
      <c r="BN1" s="684"/>
      <c r="BP1" s="684" t="s">
        <v>1883</v>
      </c>
      <c r="BQ1" s="684"/>
      <c r="BR1" s="684"/>
      <c r="BS1" s="684"/>
      <c r="BT1" s="684"/>
      <c r="BU1" s="684"/>
      <c r="BV1" s="684"/>
      <c r="BW1" s="684"/>
      <c r="BX1" s="684"/>
      <c r="BY1" s="684"/>
      <c r="BZ1" s="684"/>
      <c r="CA1" s="684"/>
      <c r="CB1" s="684"/>
      <c r="CC1" s="684"/>
      <c r="CD1" s="684"/>
      <c r="CE1" s="684"/>
      <c r="CF1" s="684"/>
      <c r="CG1" s="684"/>
      <c r="CH1" s="684"/>
      <c r="CI1" s="684"/>
      <c r="CJ1" s="684"/>
      <c r="CK1" s="684"/>
      <c r="CL1" s="684"/>
      <c r="CM1" s="684"/>
      <c r="CN1" s="684"/>
      <c r="CO1" s="684"/>
      <c r="CP1" s="684"/>
      <c r="CQ1" s="684"/>
      <c r="CR1" s="684"/>
      <c r="CS1" s="684"/>
      <c r="CT1" s="684"/>
      <c r="CV1" s="684" t="s">
        <v>1884</v>
      </c>
      <c r="CW1" s="684"/>
      <c r="CX1" s="684"/>
      <c r="CY1" s="684"/>
      <c r="CZ1" s="684"/>
      <c r="DA1" s="684"/>
      <c r="DB1" s="684"/>
      <c r="DC1" s="684"/>
      <c r="DD1" s="684"/>
      <c r="DE1" s="684"/>
      <c r="DF1" s="684"/>
      <c r="DG1" s="684"/>
      <c r="DH1" s="684"/>
      <c r="DI1" s="684"/>
      <c r="DJ1" s="684"/>
      <c r="DK1" s="684"/>
      <c r="DL1" s="684"/>
      <c r="DM1" s="684"/>
      <c r="DN1" s="684"/>
      <c r="DO1" s="684"/>
      <c r="DP1" s="684"/>
      <c r="DQ1" s="684"/>
      <c r="DR1" s="684"/>
      <c r="DS1" s="684"/>
      <c r="DT1" s="684"/>
      <c r="DU1" s="684"/>
      <c r="DV1" s="684"/>
      <c r="DW1" s="684"/>
      <c r="DX1" s="684"/>
      <c r="DY1" s="684"/>
      <c r="DZ1" s="684"/>
      <c r="EE1" t="s">
        <v>408</v>
      </c>
      <c r="EF1" t="s">
        <v>409</v>
      </c>
      <c r="EG1" t="s">
        <v>410</v>
      </c>
      <c r="EH1" t="s">
        <v>411</v>
      </c>
      <c r="EK1" s="43">
        <v>2.665</v>
      </c>
      <c r="EL1" s="43">
        <v>2.665</v>
      </c>
      <c r="EM1" s="43">
        <v>2.665</v>
      </c>
      <c r="EN1" s="43">
        <v>2.665</v>
      </c>
      <c r="EO1" s="43">
        <v>2.665</v>
      </c>
      <c r="EP1" s="43">
        <v>2.665</v>
      </c>
      <c r="EQ1" s="43">
        <v>2.665</v>
      </c>
      <c r="ER1" s="43">
        <v>2.665</v>
      </c>
      <c r="ES1" s="43">
        <v>2.665</v>
      </c>
      <c r="ET1" s="43">
        <v>2.665</v>
      </c>
      <c r="EU1" s="43">
        <v>2.665</v>
      </c>
      <c r="EV1" s="43">
        <v>2.665</v>
      </c>
      <c r="EW1" s="43">
        <v>2.665</v>
      </c>
      <c r="EX1" s="43">
        <v>2.665</v>
      </c>
      <c r="EY1" s="43">
        <v>2.665</v>
      </c>
      <c r="EZ1" s="43">
        <v>2.665</v>
      </c>
      <c r="FA1" s="43">
        <v>2.665</v>
      </c>
      <c r="FB1" s="43">
        <v>2.665</v>
      </c>
      <c r="FC1" s="43">
        <v>2.665</v>
      </c>
      <c r="FD1" s="43">
        <v>2.665</v>
      </c>
      <c r="FE1" s="43">
        <v>2.665</v>
      </c>
      <c r="FF1" s="43">
        <v>2.665</v>
      </c>
      <c r="FG1" s="43">
        <v>2.665</v>
      </c>
      <c r="FH1" s="43">
        <v>2.665</v>
      </c>
      <c r="FI1" s="43">
        <v>2.665</v>
      </c>
    </row>
    <row r="2" spans="1:165" s="645" customFormat="1" ht="16" thickBot="1" x14ac:dyDescent="0.25">
      <c r="A2" s="649" t="s">
        <v>412</v>
      </c>
      <c r="C2" s="650"/>
      <c r="D2" s="651"/>
      <c r="E2" s="651"/>
      <c r="F2" s="651"/>
      <c r="G2" s="651"/>
      <c r="H2" s="651"/>
      <c r="I2" s="651"/>
      <c r="J2" s="651"/>
      <c r="K2" s="651"/>
      <c r="L2" s="651"/>
      <c r="M2" s="651"/>
      <c r="N2" s="651"/>
      <c r="O2" s="651"/>
      <c r="P2" s="651"/>
      <c r="Q2" s="651"/>
      <c r="R2" s="651"/>
      <c r="S2" s="651"/>
      <c r="T2" s="651"/>
      <c r="U2" s="651"/>
      <c r="V2" s="651"/>
      <c r="W2" s="651"/>
      <c r="X2" s="651"/>
      <c r="Y2" s="651"/>
      <c r="Z2" s="651"/>
      <c r="AA2" s="651"/>
      <c r="AB2" s="651"/>
      <c r="AC2" s="651"/>
      <c r="AD2" s="651"/>
      <c r="AE2" s="651"/>
      <c r="AF2" s="651"/>
      <c r="AG2" s="651"/>
      <c r="AH2" s="651"/>
      <c r="AI2" s="651"/>
      <c r="AJ2" s="651"/>
      <c r="AK2" s="651"/>
      <c r="AL2" s="651"/>
      <c r="AM2" s="651"/>
      <c r="AN2" s="651"/>
      <c r="AO2" s="651"/>
      <c r="AP2" s="651"/>
      <c r="AQ2" s="651"/>
      <c r="AR2" s="651"/>
      <c r="AS2" s="651"/>
      <c r="AT2" s="651"/>
      <c r="AU2" s="651"/>
      <c r="AV2" s="651"/>
      <c r="AW2" s="651"/>
      <c r="AX2" s="651"/>
      <c r="AY2" s="651"/>
      <c r="AZ2" s="651"/>
      <c r="BA2" s="651"/>
      <c r="BB2" s="651"/>
      <c r="BC2" s="651"/>
      <c r="BD2" s="651"/>
      <c r="BE2" s="651"/>
      <c r="BF2" s="651"/>
      <c r="BG2" s="651"/>
      <c r="BH2" s="651"/>
      <c r="BI2" s="651"/>
      <c r="BJ2" s="651"/>
      <c r="BK2" s="651"/>
      <c r="BL2" s="651"/>
      <c r="BM2" s="651"/>
      <c r="BN2" s="651"/>
      <c r="BP2" s="651"/>
      <c r="BQ2" s="651"/>
      <c r="BR2" s="651"/>
      <c r="BS2" s="651"/>
      <c r="BT2" s="651"/>
      <c r="BU2" s="651"/>
      <c r="BV2" s="651"/>
      <c r="BW2" s="651"/>
      <c r="BX2" s="651"/>
      <c r="BY2" s="651"/>
      <c r="BZ2" s="651"/>
      <c r="CA2" s="651"/>
      <c r="CB2" s="651"/>
      <c r="CC2" s="651"/>
      <c r="CD2" s="651"/>
      <c r="CE2" s="651"/>
      <c r="CF2" s="651"/>
      <c r="CG2" s="651"/>
      <c r="CH2" s="651"/>
      <c r="CI2" s="651"/>
      <c r="CJ2" s="651"/>
      <c r="CK2" s="651"/>
      <c r="CL2" s="651"/>
      <c r="CM2" s="651"/>
      <c r="CN2" s="651"/>
      <c r="CO2" s="651"/>
      <c r="CP2" s="651"/>
      <c r="CQ2" s="651"/>
      <c r="CR2" s="651"/>
      <c r="CS2" s="651"/>
      <c r="CT2" s="651"/>
      <c r="CV2" s="651"/>
      <c r="CW2" s="651"/>
      <c r="CX2" s="651"/>
      <c r="CY2" s="651"/>
      <c r="CZ2" s="651"/>
      <c r="DA2" s="651"/>
      <c r="DB2" s="651"/>
      <c r="DC2" s="651"/>
      <c r="DD2" s="651"/>
      <c r="DE2" s="651"/>
      <c r="DF2" s="651"/>
      <c r="DG2" s="651"/>
      <c r="DH2" s="651"/>
      <c r="DI2" s="651"/>
      <c r="DJ2" s="651"/>
      <c r="DK2" s="651"/>
      <c r="DL2" s="651"/>
      <c r="DM2" s="651"/>
      <c r="DN2" s="651"/>
      <c r="DO2" s="651"/>
      <c r="DP2" s="651"/>
      <c r="DQ2" s="651"/>
      <c r="DR2" s="651"/>
      <c r="DS2" s="651"/>
      <c r="DT2" s="651"/>
      <c r="DU2" s="651"/>
      <c r="DV2" s="651"/>
      <c r="DW2" s="651"/>
      <c r="DX2" s="651"/>
      <c r="DY2" s="651"/>
      <c r="DZ2" s="651"/>
      <c r="EK2" s="646"/>
      <c r="EL2" s="646"/>
      <c r="EM2" s="646"/>
      <c r="EN2" s="646"/>
      <c r="EO2" s="646"/>
      <c r="EP2" s="646"/>
      <c r="EQ2" s="646"/>
      <c r="ER2" s="646"/>
      <c r="ES2" s="646"/>
      <c r="ET2" s="646"/>
      <c r="EU2" s="646"/>
      <c r="EV2" s="646"/>
      <c r="EW2" s="646"/>
      <c r="EX2" s="646"/>
      <c r="EY2" s="646"/>
      <c r="EZ2" s="646"/>
      <c r="FA2" s="646"/>
      <c r="FB2" s="646"/>
      <c r="FC2" s="646"/>
      <c r="FD2" s="646"/>
      <c r="FE2" s="646"/>
      <c r="FF2" s="646"/>
      <c r="FG2" s="646"/>
      <c r="FH2" s="646"/>
      <c r="FI2" s="646"/>
    </row>
    <row r="3" spans="1:165" s="1" customFormat="1" x14ac:dyDescent="0.2">
      <c r="A3" s="3" t="s">
        <v>121</v>
      </c>
      <c r="C3" s="54" t="s">
        <v>413</v>
      </c>
      <c r="D3" s="43">
        <v>2.5984502619948584</v>
      </c>
      <c r="E3" s="43">
        <v>2.5026859846603231</v>
      </c>
      <c r="F3" s="43">
        <v>2.4127806745166174</v>
      </c>
      <c r="G3" s="43">
        <v>2.3165203482431123</v>
      </c>
      <c r="H3" s="43">
        <v>2.2371905461327817</v>
      </c>
      <c r="I3" s="43">
        <v>2.1620005336307151</v>
      </c>
      <c r="J3" s="43">
        <v>2.0522682171328164</v>
      </c>
      <c r="K3" s="43">
        <v>1.9405684212396161</v>
      </c>
      <c r="L3" s="43">
        <v>1.8440605702255679</v>
      </c>
      <c r="M3" s="43">
        <v>1.7387585217358443</v>
      </c>
      <c r="N3" s="43">
        <v>1.6340046823923657</v>
      </c>
      <c r="O3" s="43">
        <v>1.419635684540189</v>
      </c>
      <c r="P3" s="43">
        <v>1.2431176590479829</v>
      </c>
      <c r="Q3" s="43">
        <v>1.1019972784103458</v>
      </c>
      <c r="R3" s="43">
        <v>0.98118696900957303</v>
      </c>
      <c r="S3" s="43">
        <v>0.88332102777608612</v>
      </c>
      <c r="T3" s="43">
        <v>0.74052948842822741</v>
      </c>
      <c r="U3" s="43">
        <v>0.6360941610202685</v>
      </c>
      <c r="V3" s="43">
        <v>0.5554157325906004</v>
      </c>
      <c r="W3" s="43">
        <v>0.49262635112169001</v>
      </c>
      <c r="X3" s="43">
        <v>0.44043947711283632</v>
      </c>
      <c r="Y3" s="43">
        <v>0.39746136150210937</v>
      </c>
      <c r="Z3" s="43">
        <v>0.36063638481531707</v>
      </c>
      <c r="AA3" s="43">
        <v>0.3285839126740363</v>
      </c>
      <c r="AB3" s="43">
        <v>0.30110456914635864</v>
      </c>
      <c r="AC3" s="43">
        <v>0.27672080573549118</v>
      </c>
      <c r="AD3" s="43">
        <v>0.26482183491196343</v>
      </c>
      <c r="AE3" s="43">
        <v>0.25306798364189209</v>
      </c>
      <c r="AF3" s="43">
        <v>0.24171776521789756</v>
      </c>
      <c r="AG3" s="43">
        <v>0.2302596642174618</v>
      </c>
      <c r="AH3" s="43">
        <v>0.21897259756407511</v>
      </c>
      <c r="AI3" s="443"/>
      <c r="AJ3" s="43">
        <v>2.5984502619948584</v>
      </c>
      <c r="AK3" s="43">
        <v>2.5045380201334169</v>
      </c>
      <c r="AL3" s="43">
        <v>2.4169175155692173</v>
      </c>
      <c r="AM3" s="43">
        <v>2.3233890240923767</v>
      </c>
      <c r="AN3" s="43">
        <v>2.246982274771089</v>
      </c>
      <c r="AO3" s="43">
        <v>2.1749276983784851</v>
      </c>
      <c r="AP3" s="43">
        <v>2.0788757321867486</v>
      </c>
      <c r="AQ3" s="43">
        <v>1.9805332177915727</v>
      </c>
      <c r="AR3" s="43">
        <v>1.8969293385055579</v>
      </c>
      <c r="AS3" s="43">
        <v>1.8040701877620693</v>
      </c>
      <c r="AT3" s="43">
        <v>1.7111485716612485</v>
      </c>
      <c r="AU3" s="43">
        <v>1.5051026127172566</v>
      </c>
      <c r="AV3" s="43">
        <v>1.3348250882855108</v>
      </c>
      <c r="AW3" s="43">
        <v>1.1987069267825479</v>
      </c>
      <c r="AX3" s="43">
        <v>1.0817028779583904</v>
      </c>
      <c r="AY3" s="43">
        <v>0.98721131787379279</v>
      </c>
      <c r="AZ3" s="43">
        <v>0.8412442909952127</v>
      </c>
      <c r="BA3" s="43">
        <v>0.7343332266076571</v>
      </c>
      <c r="BB3" s="43">
        <v>0.6516689207463352</v>
      </c>
      <c r="BC3" s="43">
        <v>0.58755187109432794</v>
      </c>
      <c r="BD3" s="43">
        <v>0.53423079475557445</v>
      </c>
      <c r="BE3" s="43">
        <v>0.49053199141826159</v>
      </c>
      <c r="BF3" s="43">
        <v>0.45313305571309903</v>
      </c>
      <c r="BG3" s="43">
        <v>0.4206148995906715</v>
      </c>
      <c r="BH3" s="43">
        <v>0.39295367266342113</v>
      </c>
      <c r="BI3" s="43">
        <v>0.36846471277666593</v>
      </c>
      <c r="BJ3" s="43">
        <v>0.35981190418155989</v>
      </c>
      <c r="BK3" s="43">
        <v>0.3512107683726956</v>
      </c>
      <c r="BL3" s="43">
        <v>0.34301734997370187</v>
      </c>
      <c r="BM3" s="43">
        <v>0.33452241503206359</v>
      </c>
      <c r="BN3" s="43">
        <v>0.32610316538216344</v>
      </c>
      <c r="BO3" s="443"/>
      <c r="BP3" s="43">
        <v>2.5984502619948584</v>
      </c>
      <c r="BQ3" s="43">
        <v>2.599909245858977</v>
      </c>
      <c r="BR3" s="43">
        <v>2.6013682297230951</v>
      </c>
      <c r="BS3" s="43">
        <v>2.6024624676211841</v>
      </c>
      <c r="BT3" s="43">
        <v>2.6039214514853026</v>
      </c>
      <c r="BU3" s="43">
        <v>2.6053804353494212</v>
      </c>
      <c r="BV3" s="43">
        <v>2.5980855160288288</v>
      </c>
      <c r="BW3" s="43">
        <v>2.5904258507422071</v>
      </c>
      <c r="BX3" s="43">
        <v>2.5831309314216155</v>
      </c>
      <c r="BY3" s="43">
        <v>2.5758360121010231</v>
      </c>
      <c r="BZ3" s="43">
        <v>2.5681763468144014</v>
      </c>
      <c r="CA3" s="43">
        <v>2.5674468548823426</v>
      </c>
      <c r="CB3" s="43">
        <v>2.5663526169842537</v>
      </c>
      <c r="CC3" s="43">
        <v>2.5656231250521944</v>
      </c>
      <c r="CD3" s="43">
        <v>2.5645288871541054</v>
      </c>
      <c r="CE3" s="43">
        <v>2.5637993952220466</v>
      </c>
      <c r="CF3" s="43">
        <v>2.5616109194258692</v>
      </c>
      <c r="CG3" s="43">
        <v>2.5594224436296913</v>
      </c>
      <c r="CH3" s="43">
        <v>2.5572339678335139</v>
      </c>
      <c r="CI3" s="43">
        <v>2.5554102380033656</v>
      </c>
      <c r="CJ3" s="43">
        <v>2.5532217622071882</v>
      </c>
      <c r="CK3" s="43">
        <v>2.5499390485129219</v>
      </c>
      <c r="CL3" s="43">
        <v>2.5470210807846851</v>
      </c>
      <c r="CM3" s="43">
        <v>2.5437383670904188</v>
      </c>
      <c r="CN3" s="43">
        <v>2.5404556533961524</v>
      </c>
      <c r="CO3" s="43">
        <v>2.5375376856679157</v>
      </c>
      <c r="CP3" s="43">
        <v>2.5371729397018865</v>
      </c>
      <c r="CQ3" s="43">
        <v>2.5368081937358564</v>
      </c>
      <c r="CR3" s="43">
        <v>2.5364434477698268</v>
      </c>
      <c r="CS3" s="43">
        <v>2.5360787018037971</v>
      </c>
      <c r="CT3" s="43">
        <v>2.5357139558377675</v>
      </c>
      <c r="CV3" s="43">
        <f>AJ3</f>
        <v>2.5984502619948584</v>
      </c>
      <c r="CW3" s="43">
        <f t="shared" ref="CW3:DZ3" si="0">AK3</f>
        <v>2.5045380201334169</v>
      </c>
      <c r="CX3" s="43">
        <f t="shared" si="0"/>
        <v>2.4169175155692173</v>
      </c>
      <c r="CY3" s="43">
        <f t="shared" si="0"/>
        <v>2.3233890240923767</v>
      </c>
      <c r="CZ3" s="43">
        <f t="shared" si="0"/>
        <v>2.246982274771089</v>
      </c>
      <c r="DA3" s="43">
        <f t="shared" si="0"/>
        <v>2.1749276983784851</v>
      </c>
      <c r="DB3" s="43">
        <f t="shared" si="0"/>
        <v>2.0788757321867486</v>
      </c>
      <c r="DC3" s="43">
        <f t="shared" si="0"/>
        <v>1.9805332177915727</v>
      </c>
      <c r="DD3" s="43">
        <f t="shared" si="0"/>
        <v>1.8969293385055579</v>
      </c>
      <c r="DE3" s="43">
        <f t="shared" si="0"/>
        <v>1.8040701877620693</v>
      </c>
      <c r="DF3" s="43">
        <f t="shared" si="0"/>
        <v>1.7111485716612485</v>
      </c>
      <c r="DG3" s="43">
        <f t="shared" si="0"/>
        <v>1.5051026127172566</v>
      </c>
      <c r="DH3" s="43">
        <f t="shared" si="0"/>
        <v>1.3348250882855108</v>
      </c>
      <c r="DI3" s="43">
        <f t="shared" si="0"/>
        <v>1.1987069267825479</v>
      </c>
      <c r="DJ3" s="43">
        <f t="shared" si="0"/>
        <v>1.0817028779583904</v>
      </c>
      <c r="DK3" s="43">
        <f t="shared" si="0"/>
        <v>0.98721131787379279</v>
      </c>
      <c r="DL3" s="43">
        <f t="shared" si="0"/>
        <v>0.8412442909952127</v>
      </c>
      <c r="DM3" s="43">
        <f t="shared" si="0"/>
        <v>0.7343332266076571</v>
      </c>
      <c r="DN3" s="43">
        <f t="shared" si="0"/>
        <v>0.6516689207463352</v>
      </c>
      <c r="DO3" s="43">
        <f t="shared" si="0"/>
        <v>0.58755187109432794</v>
      </c>
      <c r="DP3" s="43">
        <f t="shared" si="0"/>
        <v>0.53423079475557445</v>
      </c>
      <c r="DQ3" s="43">
        <f t="shared" si="0"/>
        <v>0.49053199141826159</v>
      </c>
      <c r="DR3" s="43">
        <f t="shared" si="0"/>
        <v>0.45313305571309903</v>
      </c>
      <c r="DS3" s="43">
        <f t="shared" si="0"/>
        <v>0.4206148995906715</v>
      </c>
      <c r="DT3" s="43">
        <f t="shared" si="0"/>
        <v>0.39295367266342113</v>
      </c>
      <c r="DU3" s="43">
        <f t="shared" si="0"/>
        <v>0.36846471277666593</v>
      </c>
      <c r="DV3" s="43">
        <f t="shared" si="0"/>
        <v>0.35981190418155989</v>
      </c>
      <c r="DW3" s="43">
        <f t="shared" si="0"/>
        <v>0.3512107683726956</v>
      </c>
      <c r="DX3" s="43">
        <f t="shared" si="0"/>
        <v>0.34301734997370187</v>
      </c>
      <c r="DY3" s="43">
        <f t="shared" si="0"/>
        <v>0.33452241503206359</v>
      </c>
      <c r="DZ3" s="43">
        <f t="shared" si="0"/>
        <v>0.32610316538216344</v>
      </c>
      <c r="EK3" s="443"/>
      <c r="EL3" s="443"/>
      <c r="EM3" s="443"/>
      <c r="EN3" s="443"/>
      <c r="EO3" s="443"/>
      <c r="EP3" s="443"/>
      <c r="EQ3" s="443"/>
      <c r="ER3" s="443"/>
      <c r="ES3" s="443"/>
      <c r="ET3" s="443"/>
      <c r="EU3" s="443"/>
      <c r="EV3" s="443"/>
      <c r="EW3" s="443"/>
      <c r="EX3" s="443"/>
      <c r="EY3" s="443"/>
      <c r="EZ3" s="443"/>
      <c r="FA3" s="443"/>
      <c r="FB3" s="443"/>
      <c r="FC3" s="443"/>
      <c r="FD3" s="443"/>
      <c r="FE3" s="443"/>
      <c r="FF3" s="443"/>
      <c r="FG3" s="443"/>
      <c r="FH3" s="443"/>
      <c r="FI3" s="443"/>
    </row>
    <row r="4" spans="1:165" x14ac:dyDescent="0.2">
      <c r="A4" s="3" t="s">
        <v>4</v>
      </c>
      <c r="C4" s="54" t="s">
        <v>413</v>
      </c>
      <c r="D4" s="43">
        <f>'Scope 3 Yearly'!D43</f>
        <v>0.93492203464847856</v>
      </c>
      <c r="E4" s="43">
        <f>'Scope 3 Yearly'!E43</f>
        <v>0.93388822765560087</v>
      </c>
      <c r="F4" s="43">
        <f>'Scope 3 Yearly'!F43</f>
        <v>0.93308885124293905</v>
      </c>
      <c r="G4" s="43">
        <f>'Scope 3 Yearly'!G43</f>
        <v>0.93251008303235106</v>
      </c>
      <c r="H4" s="43">
        <f>'Scope 3 Yearly'!H43</f>
        <v>0.93212967631303179</v>
      </c>
      <c r="I4" s="43">
        <f>'Scope 3 Yearly'!I43</f>
        <v>0.93190864636896453</v>
      </c>
      <c r="J4" s="43">
        <f>'Scope 3 Yearly'!J43</f>
        <v>0.93169669382856379</v>
      </c>
      <c r="K4" s="43">
        <f>'Scope 3 Yearly'!K43</f>
        <v>0.93142773598639106</v>
      </c>
      <c r="L4" s="43">
        <f>'Scope 3 Yearly'!L43</f>
        <v>0.93085979203572244</v>
      </c>
      <c r="M4" s="43">
        <f>'Scope 3 Yearly'!M43</f>
        <v>0.92956653356527275</v>
      </c>
      <c r="N4" s="43">
        <f>'Scope 3 Yearly'!N43</f>
        <v>0.92683830757155949</v>
      </c>
      <c r="O4" s="43">
        <f>'Scope 3 Yearly'!O43</f>
        <v>0.91685367542952489</v>
      </c>
      <c r="P4" s="43">
        <f>'Scope 3 Yearly'!P43</f>
        <v>0.90257395805081653</v>
      </c>
      <c r="Q4" s="43">
        <f>'Scope 3 Yearly'!Q43</f>
        <v>0.88251816010152373</v>
      </c>
      <c r="R4" s="43">
        <f>'Scope 3 Yearly'!R43</f>
        <v>0.85513789011588626</v>
      </c>
      <c r="S4" s="43">
        <f>'Scope 3 Yearly'!S43</f>
        <v>0.81983958123870848</v>
      </c>
      <c r="T4" s="43">
        <f>'Scope 3 Yearly'!T43</f>
        <v>0.77743489349542327</v>
      </c>
      <c r="U4" s="43">
        <f>'Scope 3 Yearly'!U43</f>
        <v>0.73034101348173386</v>
      </c>
      <c r="V4" s="43">
        <f>'Scope 3 Yearly'!V43</f>
        <v>0.68127719204728432</v>
      </c>
      <c r="W4" s="43">
        <f>'Scope 3 Yearly'!W43</f>
        <v>0.63305093604769314</v>
      </c>
      <c r="X4" s="43">
        <f>'Scope 3 Yearly'!X43</f>
        <v>0.58771782885861934</v>
      </c>
      <c r="Y4" s="43">
        <f>'Scope 3 Yearly'!Y43</f>
        <v>0.54270699273675027</v>
      </c>
      <c r="Z4" s="43">
        <f>'Scope 3 Yearly'!Z43</f>
        <v>0.50192513265896976</v>
      </c>
      <c r="AA4" s="43">
        <f>'Scope 3 Yearly'!AA43</f>
        <v>0.46534286343108033</v>
      </c>
      <c r="AB4" s="43">
        <f>'Scope 3 Yearly'!AB43</f>
        <v>0.43228621659114919</v>
      </c>
      <c r="AC4" s="43">
        <f>'Scope 3 Yearly'!AC43</f>
        <v>0.40203971467182159</v>
      </c>
      <c r="AD4" s="43">
        <f>'Scope 3 Yearly'!AD43</f>
        <v>0.37394206373675776</v>
      </c>
      <c r="AE4" s="43">
        <f>'Scope 3 Yearly'!AE43</f>
        <v>0.34741953816676174</v>
      </c>
      <c r="AF4" s="43">
        <f>'Scope 3 Yearly'!AF43</f>
        <v>0.32196527489606297</v>
      </c>
      <c r="AG4" s="43">
        <f>'Scope 3 Yearly'!AG43</f>
        <v>0.29712726219366653</v>
      </c>
      <c r="AH4" s="43">
        <f>'Scope 3 Yearly'!AH43</f>
        <v>0.27251830225283014</v>
      </c>
      <c r="AI4" s="43"/>
      <c r="AJ4" s="43">
        <f>'Scope 3 Yearly'!AJ43</f>
        <v>0.93492146414365851</v>
      </c>
      <c r="AK4" s="43">
        <f>'Scope 3 Yearly'!AK43</f>
        <v>0.93401983126599752</v>
      </c>
      <c r="AL4" s="43">
        <f>'Scope 3 Yearly'!AL43</f>
        <v>0.93337640132573418</v>
      </c>
      <c r="AM4" s="43">
        <f>'Scope 3 Yearly'!AM43</f>
        <v>0.93297908924382422</v>
      </c>
      <c r="AN4" s="43">
        <f>'Scope 3 Yearly'!AN43</f>
        <v>0.93280712644741204</v>
      </c>
      <c r="AO4" s="43">
        <f>'Scope 3 Yearly'!AO43</f>
        <v>0.93282245467223279</v>
      </c>
      <c r="AP4" s="43">
        <f>'Scope 3 Yearly'!AP43</f>
        <v>0.93300053551196716</v>
      </c>
      <c r="AQ4" s="43">
        <f>'Scope 3 Yearly'!AQ43</f>
        <v>0.93316880537693014</v>
      </c>
      <c r="AR4" s="43">
        <f>'Scope 3 Yearly'!AR43</f>
        <v>0.93308193199169631</v>
      </c>
      <c r="AS4" s="43">
        <f>'Scope 3 Yearly'!AS43</f>
        <v>0.93230519214290175</v>
      </c>
      <c r="AT4" s="43">
        <f>'Scope 3 Yearly'!AT43</f>
        <v>0.93011208620527674</v>
      </c>
      <c r="AU4" s="43">
        <f>'Scope 3 Yearly'!AU43</f>
        <v>0.92115595067469225</v>
      </c>
      <c r="AV4" s="43">
        <f>'Scope 3 Yearly'!AV43</f>
        <v>0.90792769518840677</v>
      </c>
      <c r="AW4" s="43">
        <f>'Scope 3 Yearly'!AW43</f>
        <v>0.8890504075047414</v>
      </c>
      <c r="AX4" s="43">
        <f>'Scope 3 Yearly'!AX43</f>
        <v>0.86285470345199289</v>
      </c>
      <c r="AY4" s="43">
        <f>'Scope 3 Yearly'!AY43</f>
        <v>0.82869403345271553</v>
      </c>
      <c r="AZ4" s="43">
        <f>'Scope 3 Yearly'!AZ43</f>
        <v>0.78726883826817673</v>
      </c>
      <c r="BA4" s="43">
        <f>'Scope 3 Yearly'!BA43</f>
        <v>0.74076783186769435</v>
      </c>
      <c r="BB4" s="43">
        <f>'Scope 3 Yearly'!BB43</f>
        <v>0.69217055618099399</v>
      </c>
      <c r="BC4" s="43">
        <f>'Scope 3 Yearly'!BC43</f>
        <v>0.64440860839556935</v>
      </c>
      <c r="BD4" s="43">
        <f>'Scope 3 Yearly'!BD43</f>
        <v>0.59967988225733859</v>
      </c>
      <c r="BE4" s="43">
        <f>'Scope 3 Yearly'!BE43</f>
        <v>0.5557866405285885</v>
      </c>
      <c r="BF4" s="43">
        <f>'Scope 3 Yearly'!BF43</f>
        <v>0.51610956652656592</v>
      </c>
      <c r="BG4" s="43">
        <f>'Scope 3 Yearly'!BG43</f>
        <v>0.48132910930533745</v>
      </c>
      <c r="BH4" s="43">
        <f>'Scope 3 Yearly'!BH43</f>
        <v>0.45075501027150261</v>
      </c>
      <c r="BI4" s="43">
        <f>'Scope 3 Yearly'!BI43</f>
        <v>0.42349383467633883</v>
      </c>
      <c r="BJ4" s="43">
        <f>'Scope 3 Yearly'!BJ43</f>
        <v>0.39892135855563171</v>
      </c>
      <c r="BK4" s="43">
        <f>'Scope 3 Yearly'!BK43</f>
        <v>0.37645709977873809</v>
      </c>
      <c r="BL4" s="43">
        <f>'Scope 3 Yearly'!BL43</f>
        <v>0.35563917469943518</v>
      </c>
      <c r="BM4" s="43">
        <f>'Scope 3 Yearly'!BM43</f>
        <v>0.33609204408477006</v>
      </c>
      <c r="BN4" s="43">
        <f>'Scope 3 Yearly'!BN43</f>
        <v>0.31752435537616269</v>
      </c>
      <c r="BO4" s="43"/>
      <c r="BP4" s="43">
        <f>'Scope 3 Yearly'!BP43</f>
        <v>0.93492899236244886</v>
      </c>
      <c r="BQ4" s="43">
        <f>'Scope 3 Yearly'!BQ43</f>
        <v>0.9463595019173191</v>
      </c>
      <c r="BR4" s="43">
        <f>'Scope 3 Yearly'!BR43</f>
        <v>0.9576485925190914</v>
      </c>
      <c r="BS4" s="43">
        <f>'Scope 3 Yearly'!BS43</f>
        <v>0.96879150867990382</v>
      </c>
      <c r="BT4" s="43">
        <f>'Scope 3 Yearly'!BT43</f>
        <v>0.97978256146405163</v>
      </c>
      <c r="BU4" s="43">
        <f>'Scope 3 Yearly'!BU43</f>
        <v>0.99061504922470001</v>
      </c>
      <c r="BV4" s="43">
        <f>'Scope 3 Yearly'!BV43</f>
        <v>1.0014302314659815</v>
      </c>
      <c r="BW4" s="43">
        <f>'Scope 3 Yearly'!BW43</f>
        <v>1.0122265741123453</v>
      </c>
      <c r="BX4" s="43">
        <f>'Scope 3 Yearly'!BX43</f>
        <v>1.0230025331020887</v>
      </c>
      <c r="BY4" s="43">
        <f>'Scope 3 Yearly'!BY43</f>
        <v>1.0337565506184438</v>
      </c>
      <c r="BZ4" s="43">
        <f>'Scope 3 Yearly'!BZ43</f>
        <v>1.0444870513164777</v>
      </c>
      <c r="CA4" s="43">
        <f>'Scope 3 Yearly'!CA43</f>
        <v>1.0550857507401368</v>
      </c>
      <c r="CB4" s="43">
        <f>'Scope 3 Yearly'!CB43</f>
        <v>1.0655453775565595</v>
      </c>
      <c r="CC4" s="43">
        <f>'Scope 3 Yearly'!CC43</f>
        <v>1.0758578606009033</v>
      </c>
      <c r="CD4" s="43">
        <f>'Scope 3 Yearly'!CD43</f>
        <v>1.0860142493309548</v>
      </c>
      <c r="CE4" s="43">
        <f>'Scope 3 Yearly'!CE43</f>
        <v>1.0960046252960649</v>
      </c>
      <c r="CF4" s="43">
        <f>'Scope 3 Yearly'!CF43</f>
        <v>1.1059672047980778</v>
      </c>
      <c r="CG4" s="43">
        <f>'Scope 3 Yearly'!CG43</f>
        <v>1.1159012069240144</v>
      </c>
      <c r="CH4" s="43">
        <f>'Scope 3 Yearly'!CH43</f>
        <v>1.12580583308339</v>
      </c>
      <c r="CI4" s="43">
        <f>'Scope 3 Yearly'!CI43</f>
        <v>1.135680266448742</v>
      </c>
      <c r="CJ4" s="43">
        <f>'Scope 3 Yearly'!CJ43</f>
        <v>1.1455236713800416</v>
      </c>
      <c r="CK4" s="43">
        <f>'Scope 3 Yearly'!CK43</f>
        <v>1.1553362124642714</v>
      </c>
      <c r="CL4" s="43">
        <f>'Scope 3 Yearly'!CL43</f>
        <v>1.1651170838233047</v>
      </c>
      <c r="CM4" s="43">
        <f>'Scope 3 Yearly'!CM43</f>
        <v>1.1748654612608997</v>
      </c>
      <c r="CN4" s="43">
        <f>'Scope 3 Yearly'!CN43</f>
        <v>1.1845805017192972</v>
      </c>
      <c r="CO4" s="43">
        <f>'Scope 3 Yearly'!CO43</f>
        <v>1.1942613427203839</v>
      </c>
      <c r="CP4" s="43">
        <f>'Scope 3 Yearly'!CP43</f>
        <v>1.2039080768000934</v>
      </c>
      <c r="CQ4" s="43">
        <f>'Scope 3 Yearly'!CQ43</f>
        <v>1.2135198650383663</v>
      </c>
      <c r="CR4" s="43">
        <f>'Scope 3 Yearly'!CR43</f>
        <v>1.2230958494948914</v>
      </c>
      <c r="CS4" s="43">
        <f>'Scope 3 Yearly'!CS43</f>
        <v>1.2326351526740549</v>
      </c>
      <c r="CT4" s="43">
        <f>'Scope 3 Yearly'!CT43</f>
        <v>1.2421368769749814</v>
      </c>
      <c r="CV4" s="43">
        <f>'Scope 3 Yearly'!CV43</f>
        <v>0.93492146414365851</v>
      </c>
      <c r="CW4" s="43">
        <f>'Scope 3 Yearly'!CW43</f>
        <v>0.93455578262696926</v>
      </c>
      <c r="CX4" s="43">
        <f>'Scope 3 Yearly'!CX43</f>
        <v>0.93453495065530912</v>
      </c>
      <c r="CY4" s="43">
        <f>'Scope 3 Yearly'!CY43</f>
        <v>0.93485253975255989</v>
      </c>
      <c r="CZ4" s="43">
        <f>'Scope 3 Yearly'!CZ43</f>
        <v>0.93549339347590943</v>
      </c>
      <c r="DA4" s="43">
        <f>'Scope 3 Yearly'!DA43</f>
        <v>0.93642484380361779</v>
      </c>
      <c r="DB4" s="43">
        <f>'Scope 3 Yearly'!DB43</f>
        <v>0.93774104828594296</v>
      </c>
      <c r="DC4" s="43">
        <f>'Scope 3 Yearly'!DC43</f>
        <v>0.93917342655312663</v>
      </c>
      <c r="DD4" s="43">
        <f>'Scope 3 Yearly'!DD43</f>
        <v>0.94047758609557142</v>
      </c>
      <c r="DE4" s="43">
        <f>'Scope 3 Yearly'!DE43</f>
        <v>0.94121396931987489</v>
      </c>
      <c r="DF4" s="43">
        <f>'Scope 3 Yearly'!DF43</f>
        <v>0.94064088499943455</v>
      </c>
      <c r="DG4" s="43">
        <f>'Scope 3 Yearly'!DG43</f>
        <v>0.93452192593649142</v>
      </c>
      <c r="DH4" s="43">
        <f>'Scope 3 Yearly'!DH43</f>
        <v>0.92402427161901035</v>
      </c>
      <c r="DI4" s="43">
        <f>'Scope 3 Yearly'!DI43</f>
        <v>0.90828693879191136</v>
      </c>
      <c r="DJ4" s="43">
        <f>'Scope 3 Yearly'!DJ43</f>
        <v>0.88515843172782049</v>
      </c>
      <c r="DK4" s="43">
        <f>'Scope 3 Yearly'!DK43</f>
        <v>0.85381955067956228</v>
      </c>
      <c r="DL4" s="43">
        <f>'Scope 3 Yearly'!DL43</f>
        <v>0.81481726169836144</v>
      </c>
      <c r="DM4" s="43">
        <f>'Scope 3 Yearly'!DM43</f>
        <v>0.77031134718643479</v>
      </c>
      <c r="DN4" s="43">
        <f>'Scope 3 Yearly'!DN43</f>
        <v>0.72333608998922472</v>
      </c>
      <c r="DO4" s="43">
        <f>'Scope 3 Yearly'!DO43</f>
        <v>0.67695740074444188</v>
      </c>
      <c r="DP4" s="43">
        <f>'Scope 3 Yearly'!DP43</f>
        <v>0.63353917879002664</v>
      </c>
      <c r="DQ4" s="43">
        <f>'Scope 3 Yearly'!DQ43</f>
        <v>0.59287507283026941</v>
      </c>
      <c r="DR4" s="43">
        <f>'Scope 3 Yearly'!DR43</f>
        <v>0.55574148074069285</v>
      </c>
      <c r="DS4" s="43">
        <f>'Scope 3 Yearly'!DS43</f>
        <v>0.52377075954158681</v>
      </c>
      <c r="DT4" s="43">
        <f>'Scope 3 Yearly'!DT43</f>
        <v>0.49633058641620609</v>
      </c>
      <c r="DU4" s="43">
        <f>'Scope 3 Yearly'!DU43</f>
        <v>0.47253329939209338</v>
      </c>
      <c r="DV4" s="43">
        <f>'Scope 3 Yearly'!DV43</f>
        <v>0.45175551785558615</v>
      </c>
      <c r="DW4" s="43">
        <f>'Scope 3 Yearly'!DW43</f>
        <v>0.43339740595382559</v>
      </c>
      <c r="DX4" s="43">
        <f>'Scope 3 Yearly'!DX43</f>
        <v>0.41698475205525648</v>
      </c>
      <c r="DY4" s="43">
        <f>'Scope 3 Yearly'!DY43</f>
        <v>0.40212724785506432</v>
      </c>
      <c r="DZ4" s="43">
        <f>'Scope 3 Yearly'!DZ43</f>
        <v>0.3885055629311619</v>
      </c>
    </row>
    <row r="5" spans="1:165" x14ac:dyDescent="0.2">
      <c r="A5" t="s">
        <v>5</v>
      </c>
      <c r="C5" s="54" t="s">
        <v>413</v>
      </c>
      <c r="D5" s="43">
        <f>'Scope 3 Yearly'!D66</f>
        <v>0.98265006202422689</v>
      </c>
      <c r="E5" s="43">
        <f>'Scope 3 Yearly'!E66</f>
        <v>0.98389979137885719</v>
      </c>
      <c r="F5" s="43">
        <f>'Scope 3 Yearly'!F66</f>
        <v>0.98539832501425573</v>
      </c>
      <c r="G5" s="43">
        <f>'Scope 3 Yearly'!G66</f>
        <v>0.9871260175440808</v>
      </c>
      <c r="H5" s="43">
        <f>'Scope 3 Yearly'!H66</f>
        <v>0.98905330639793165</v>
      </c>
      <c r="I5" s="43">
        <f>'Scope 3 Yearly'!I66</f>
        <v>0.99113133972291778</v>
      </c>
      <c r="J5" s="43">
        <f>'Scope 3 Yearly'!J66</f>
        <v>0.99325009649277773</v>
      </c>
      <c r="K5" s="43">
        <f>'Scope 3 Yearly'!K66</f>
        <v>0.99526995878004076</v>
      </c>
      <c r="L5" s="43">
        <f>'Scope 3 Yearly'!L66</f>
        <v>0.99691238654710146</v>
      </c>
      <c r="M5" s="43">
        <f>'Scope 3 Yearly'!M66</f>
        <v>0.99769166037017554</v>
      </c>
      <c r="N5" s="43">
        <f>'Scope 3 Yearly'!N66</f>
        <v>0.99680441402784381</v>
      </c>
      <c r="O5" s="43">
        <f>'Scope 3 Yearly'!O66</f>
        <v>0.98997637451580656</v>
      </c>
      <c r="P5" s="43">
        <f>'Scope 3 Yearly'!P66</f>
        <v>0.97834087171413553</v>
      </c>
      <c r="Q5" s="43">
        <f>'Scope 3 Yearly'!Q66</f>
        <v>0.95998567034957549</v>
      </c>
      <c r="R5" s="43">
        <f>'Scope 3 Yearly'!R66</f>
        <v>0.93321367544190215</v>
      </c>
      <c r="S5" s="43">
        <f>'Scope 3 Yearly'!S66</f>
        <v>0.89730950407492815</v>
      </c>
      <c r="T5" s="43">
        <f>'Scope 3 Yearly'!T66</f>
        <v>0.85311229907606112</v>
      </c>
      <c r="U5" s="43">
        <f>'Scope 3 Yearly'!U66</f>
        <v>0.80303330490168223</v>
      </c>
      <c r="V5" s="43">
        <f>'Scope 3 Yearly'!V66</f>
        <v>0.75037476255875268</v>
      </c>
      <c r="W5" s="43">
        <f>'Scope 3 Yearly'!W66</f>
        <v>0.69835117454943541</v>
      </c>
      <c r="X5" s="43">
        <f>'Scope 3 Yearly'!X66</f>
        <v>0.64934068086457719</v>
      </c>
      <c r="Y5" s="43">
        <f>'Scope 3 Yearly'!Y66</f>
        <v>0.60113191943251665</v>
      </c>
      <c r="Z5" s="43">
        <f>'Scope 3 Yearly'!Z66</f>
        <v>0.557676016057153</v>
      </c>
      <c r="AA5" s="43">
        <f>'Scope 3 Yearly'!AA66</f>
        <v>0.51877406542702365</v>
      </c>
      <c r="AB5" s="43">
        <f>'Scope 3 Yearly'!AB66</f>
        <v>0.48374026581093044</v>
      </c>
      <c r="AC5" s="43">
        <f>'Scope 3 Yearly'!AC66</f>
        <v>0.45183697098888098</v>
      </c>
      <c r="AD5" s="43">
        <f>'Scope 3 Yearly'!AD66</f>
        <v>0.42234802205050626</v>
      </c>
      <c r="AE5" s="43">
        <f>'Scope 3 Yearly'!AE66</f>
        <v>0.39464537479720241</v>
      </c>
      <c r="AF5" s="43">
        <f>'Scope 3 Yearly'!AF66</f>
        <v>0.36818437272541288</v>
      </c>
      <c r="AG5" s="43">
        <f>'Scope 3 Yearly'!AG66</f>
        <v>0.34251405915254801</v>
      </c>
      <c r="AH5" s="43">
        <f>'Scope 3 Yearly'!AH66</f>
        <v>0.31718465566102327</v>
      </c>
      <c r="AI5" s="43"/>
      <c r="AJ5" s="43">
        <f>'Scope 3 Yearly'!AJ66</f>
        <v>0.9826494956942956</v>
      </c>
      <c r="AK5" s="43">
        <f>'Scope 3 Yearly'!AK66</f>
        <v>0.98391336198096024</v>
      </c>
      <c r="AL5" s="43">
        <f>'Scope 3 Yearly'!AL66</f>
        <v>0.98542882037387458</v>
      </c>
      <c r="AM5" s="43">
        <f>'Scope 3 Yearly'!AM66</f>
        <v>0.98717607991075795</v>
      </c>
      <c r="AN5" s="43">
        <f>'Scope 3 Yearly'!AN66</f>
        <v>0.98912501030644251</v>
      </c>
      <c r="AO5" s="43">
        <f>'Scope 3 Yearly'!AO66</f>
        <v>0.99122541342828785</v>
      </c>
      <c r="AP5" s="43">
        <f>'Scope 3 Yearly'!AP66</f>
        <v>0.99343178715249536</v>
      </c>
      <c r="AQ5" s="43">
        <f>'Scope 3 Yearly'!AQ66</f>
        <v>0.99554537289725165</v>
      </c>
      <c r="AR5" s="43">
        <f>'Scope 3 Yearly'!AR66</f>
        <v>0.99728010348625307</v>
      </c>
      <c r="AS5" s="43">
        <f>'Scope 3 Yearly'!AS66</f>
        <v>0.99813723402195131</v>
      </c>
      <c r="AT5" s="43">
        <f>'Scope 3 Yearly'!AT66</f>
        <v>0.99729166521123258</v>
      </c>
      <c r="AU5" s="43">
        <f>'Scope 3 Yearly'!AU66</f>
        <v>0.99052778031825395</v>
      </c>
      <c r="AV5" s="43">
        <f>'Scope 3 Yearly'!AV66</f>
        <v>0.97888856364430032</v>
      </c>
      <c r="AW5" s="43">
        <f>'Scope 3 Yearly'!AW66</f>
        <v>0.96046134220032742</v>
      </c>
      <c r="AX5" s="43">
        <f>'Scope 3 Yearly'!AX66</f>
        <v>0.93350181933806753</v>
      </c>
      <c r="AY5" s="43">
        <f>'Scope 3 Yearly'!AY66</f>
        <v>0.89727902412433269</v>
      </c>
      <c r="AZ5" s="43">
        <f>'Scope 3 Yearly'!AZ66</f>
        <v>0.85264296106659276</v>
      </c>
      <c r="BA5" s="43">
        <f>'Scope 3 Yearly'!BA66</f>
        <v>0.80205093062076882</v>
      </c>
      <c r="BB5" s="43">
        <f>'Scope 3 Yearly'!BB66</f>
        <v>0.74889019023434367</v>
      </c>
      <c r="BC5" s="43">
        <f>'Scope 3 Yearly'!BC66</f>
        <v>0.69648095158258605</v>
      </c>
      <c r="BD5" s="43">
        <f>'Scope 3 Yearly'!BD66</f>
        <v>0.64729806967393033</v>
      </c>
      <c r="BE5" s="43">
        <f>'Scope 3 Yearly'!BE66</f>
        <v>0.59959148695987541</v>
      </c>
      <c r="BF5" s="43">
        <f>'Scope 3 Yearly'!BF66</f>
        <v>0.55690818423901423</v>
      </c>
      <c r="BG5" s="43">
        <f>'Scope 3 Yearly'!BG66</f>
        <v>0.51914134988274607</v>
      </c>
      <c r="BH5" s="43">
        <f>'Scope 3 Yearly'!BH66</f>
        <v>0.48547606301271046</v>
      </c>
      <c r="BI5" s="43">
        <f>'Scope 3 Yearly'!BI66</f>
        <v>0.45512340642317378</v>
      </c>
      <c r="BJ5" s="43">
        <f>'Scope 3 Yearly'!BJ66</f>
        <v>0.42733302655647987</v>
      </c>
      <c r="BK5" s="43">
        <f>'Scope 3 Yearly'!BK66</f>
        <v>0.40144409175795948</v>
      </c>
      <c r="BL5" s="43">
        <f>'Scope 3 Yearly'!BL66</f>
        <v>0.37690128454770105</v>
      </c>
      <c r="BM5" s="43">
        <f>'Scope 3 Yearly'!BM66</f>
        <v>0.35324878632021911</v>
      </c>
      <c r="BN5" s="43">
        <f>'Scope 3 Yearly'!BN66</f>
        <v>0.33012776836663926</v>
      </c>
      <c r="BO5" s="43"/>
      <c r="BP5" s="43">
        <f>'Scope 3 Yearly'!BP66</f>
        <v>0.98265836376166216</v>
      </c>
      <c r="BQ5" s="43">
        <f>'Scope 3 Yearly'!BQ66</f>
        <v>0.99446246014899087</v>
      </c>
      <c r="BR5" s="43">
        <f>'Scope 3 Yearly'!BR66</f>
        <v>1.0062049518102754</v>
      </c>
      <c r="BS5" s="43">
        <f>'Scope 3 Yearly'!BS66</f>
        <v>1.0178838194457653</v>
      </c>
      <c r="BT5" s="43">
        <f>'Scope 3 Yearly'!BT66</f>
        <v>1.0294966361205569</v>
      </c>
      <c r="BU5" s="43">
        <f>'Scope 3 Yearly'!BU66</f>
        <v>1.0410405334422612</v>
      </c>
      <c r="BV5" s="43">
        <f>'Scope 3 Yearly'!BV66</f>
        <v>1.0525768617666698</v>
      </c>
      <c r="BW5" s="43">
        <f>'Scope 3 Yearly'!BW66</f>
        <v>1.0641049623127548</v>
      </c>
      <c r="BX5" s="43">
        <f>'Scope 3 Yearly'!BX66</f>
        <v>1.0756241718341921</v>
      </c>
      <c r="BY5" s="43">
        <f>'Scope 3 Yearly'!BY66</f>
        <v>1.0871338209999268</v>
      </c>
      <c r="BZ5" s="43">
        <f>'Scope 3 Yearly'!BZ66</f>
        <v>1.0986332327725536</v>
      </c>
      <c r="CA5" s="43">
        <f>'Scope 3 Yearly'!CA66</f>
        <v>1.1100754485020263</v>
      </c>
      <c r="CB5" s="43">
        <f>'Scope 3 Yearly'!CB66</f>
        <v>1.1214573389705509</v>
      </c>
      <c r="CC5" s="43">
        <f>'Scope 3 Yearly'!CC66</f>
        <v>1.1327754280456883</v>
      </c>
      <c r="CD5" s="43">
        <f>'Scope 3 Yearly'!CD66</f>
        <v>1.1440258584129204</v>
      </c>
      <c r="CE5" s="43">
        <f>'Scope 3 Yearly'!CE66</f>
        <v>1.1552043534148417</v>
      </c>
      <c r="CF5" s="43">
        <f>'Scope 3 Yearly'!CF66</f>
        <v>1.1663708462145934</v>
      </c>
      <c r="CG5" s="43">
        <f>'Scope 3 Yearly'!CG66</f>
        <v>1.1775250000534667</v>
      </c>
      <c r="CH5" s="43">
        <f>'Scope 3 Yearly'!CH66</f>
        <v>1.1886664705466163</v>
      </c>
      <c r="CI5" s="43">
        <f>'Scope 3 Yearly'!CI66</f>
        <v>1.1997949054418275</v>
      </c>
      <c r="CJ5" s="43">
        <f>'Scope 3 Yearly'!CJ66</f>
        <v>1.2109099443713376</v>
      </c>
      <c r="CK5" s="43">
        <f>'Scope 3 Yearly'!CK66</f>
        <v>1.2220116603308468</v>
      </c>
      <c r="CL5" s="43">
        <f>'Scope 3 Yearly'!CL66</f>
        <v>1.2330997057921804</v>
      </c>
      <c r="CM5" s="43">
        <f>'Scope 3 Yearly'!CM66</f>
        <v>1.2441737253259075</v>
      </c>
      <c r="CN5" s="43">
        <f>'Scope 3 Yearly'!CN66</f>
        <v>1.2552333553670438</v>
      </c>
      <c r="CO5" s="43">
        <f>'Scope 3 Yearly'!CO66</f>
        <v>1.2662782239741013</v>
      </c>
      <c r="CP5" s="43">
        <f>'Scope 3 Yearly'!CP66</f>
        <v>1.277308372797155</v>
      </c>
      <c r="CQ5" s="43">
        <f>'Scope 3 Yearly'!CQ66</f>
        <v>1.2883234400612265</v>
      </c>
      <c r="CR5" s="43">
        <f>'Scope 3 Yearly'!CR66</f>
        <v>1.2993230557882174</v>
      </c>
      <c r="CS5" s="43">
        <f>'Scope 3 Yearly'!CS66</f>
        <v>1.3103068415662225</v>
      </c>
      <c r="CT5" s="43">
        <f>'Scope 3 Yearly'!CT66</f>
        <v>1.3212744103124132</v>
      </c>
      <c r="CV5" s="43">
        <f>'Scope 3 Yearly'!CV66</f>
        <v>0.9826494956942956</v>
      </c>
      <c r="CW5" s="43">
        <f>'Scope 3 Yearly'!CW66</f>
        <v>0.98495553058001106</v>
      </c>
      <c r="CX5" s="43">
        <f>'Scope 3 Yearly'!CX66</f>
        <v>0.98761329334897818</v>
      </c>
      <c r="CY5" s="43">
        <f>'Scope 3 Yearly'!CY66</f>
        <v>0.99060473094854529</v>
      </c>
      <c r="CZ5" s="43">
        <f>'Scope 3 Yearly'!CZ66</f>
        <v>0.99390146760813214</v>
      </c>
      <c r="DA5" s="43">
        <f>'Scope 3 Yearly'!DA66</f>
        <v>0.9974549171064192</v>
      </c>
      <c r="DB5" s="43">
        <f>'Scope 3 Yearly'!DB66</f>
        <v>1.0013825674317296</v>
      </c>
      <c r="DC5" s="43">
        <f>'Scope 3 Yearly'!DC66</f>
        <v>1.0053368336000215</v>
      </c>
      <c r="DD5" s="43">
        <f>'Scope 3 Yearly'!DD66</f>
        <v>1.0090289785826221</v>
      </c>
      <c r="DE5" s="43">
        <f>'Scope 3 Yearly'!DE66</f>
        <v>1.0119521591292109</v>
      </c>
      <c r="DF5" s="43">
        <f>'Scope 3 Yearly'!DF66</f>
        <v>1.0132633710510208</v>
      </c>
      <c r="DG5" s="43">
        <f>'Scope 3 Yearly'!DG66</f>
        <v>1.0104673312147812</v>
      </c>
      <c r="DH5" s="43">
        <f>'Scope 3 Yearly'!DH66</f>
        <v>1.0025483476851211</v>
      </c>
      <c r="DI5" s="43">
        <f>'Scope 3 Yearly'!DI66</f>
        <v>0.98839785337908204</v>
      </c>
      <c r="DJ5" s="43">
        <f>'Scope 3 Yearly'!DJ66</f>
        <v>0.96559547252276734</v>
      </c>
      <c r="DK5" s="43">
        <f>'Scope 3 Yearly'!DK66</f>
        <v>0.93319765662649257</v>
      </c>
      <c r="DL5" s="43">
        <f>'Scope 3 Yearly'!DL66</f>
        <v>0.89185123375590547</v>
      </c>
      <c r="DM5" s="43">
        <f>'Scope 3 Yearly'!DM66</f>
        <v>0.84395607582669596</v>
      </c>
      <c r="DN5" s="43">
        <f>'Scope 3 Yearly'!DN66</f>
        <v>0.79292875038640265</v>
      </c>
      <c r="DO5" s="43">
        <f>'Scope 3 Yearly'!DO66</f>
        <v>0.74221137993248543</v>
      </c>
      <c r="DP5" s="43">
        <f>'Scope 3 Yearly'!DP66</f>
        <v>0.69444207728050722</v>
      </c>
      <c r="DQ5" s="43">
        <f>'Scope 3 Yearly'!DQ66</f>
        <v>0.65049241804643354</v>
      </c>
      <c r="DR5" s="43">
        <f>'Scope 3 Yearly'!DR66</f>
        <v>0.6103260427845042</v>
      </c>
      <c r="DS5" s="43">
        <f>'Scope 3 Yearly'!DS66</f>
        <v>0.57514587652306859</v>
      </c>
      <c r="DT5" s="43">
        <f>'Scope 3 Yearly'!DT66</f>
        <v>0.54416543468391809</v>
      </c>
      <c r="DU5" s="43">
        <f>'Scope 3 Yearly'!DU66</f>
        <v>0.51650556174630546</v>
      </c>
      <c r="DV5" s="43">
        <f>'Scope 3 Yearly'!DV66</f>
        <v>0.49139208334170792</v>
      </c>
      <c r="DW5" s="43">
        <f>'Scope 3 Yearly'!DW66</f>
        <v>0.46812542400017843</v>
      </c>
      <c r="DX5" s="43">
        <f>'Scope 3 Yearly'!DX66</f>
        <v>0.44611222870010925</v>
      </c>
      <c r="DY5" s="43">
        <f>'Scope 3 Yearly'!DY66</f>
        <v>0.42485173905461626</v>
      </c>
      <c r="DZ5" s="43">
        <f>'Scope 3 Yearly'!DZ66</f>
        <v>0.40392641483059577</v>
      </c>
    </row>
    <row r="6" spans="1:165" x14ac:dyDescent="0.2">
      <c r="A6" t="s">
        <v>6</v>
      </c>
      <c r="C6" s="54" t="s">
        <v>413</v>
      </c>
      <c r="D6" s="43">
        <f>'Scope 3 Yearly'!D89</f>
        <v>0.9550017093678278</v>
      </c>
      <c r="E6" s="43">
        <f>'Scope 3 Yearly'!E89</f>
        <v>0.96552114360973973</v>
      </c>
      <c r="F6" s="43">
        <f>'Scope 3 Yearly'!F89</f>
        <v>0.9625123012704726</v>
      </c>
      <c r="G6" s="43">
        <f>'Scope 3 Yearly'!G89</f>
        <v>0.95952690979764066</v>
      </c>
      <c r="H6" s="43">
        <f>'Scope 3 Yearly'!H89</f>
        <v>0.95654193917555363</v>
      </c>
      <c r="I6" s="43">
        <f>'Scope 3 Yearly'!I89</f>
        <v>0.95351860532620036</v>
      </c>
      <c r="J6" s="43">
        <f>'Scope 3 Yearly'!J89</f>
        <v>0.95021772010635996</v>
      </c>
      <c r="K6" s="43">
        <f>'Scope 3 Yearly'!K89</f>
        <v>0.94669853465859333</v>
      </c>
      <c r="L6" s="43">
        <f>'Scope 3 Yearly'!L89</f>
        <v>0.94274770667647645</v>
      </c>
      <c r="M6" s="43">
        <f>'Scope 3 Yearly'!M89</f>
        <v>0.93799293778351844</v>
      </c>
      <c r="N6" s="43">
        <f>'Scope 3 Yearly'!N89</f>
        <v>0.93182286660992997</v>
      </c>
      <c r="O6" s="43">
        <f>'Scope 3 Yearly'!O89</f>
        <v>0.92090893252122152</v>
      </c>
      <c r="P6" s="43">
        <f>'Scope 3 Yearly'!P89</f>
        <v>0.90625163610223536</v>
      </c>
      <c r="Q6" s="43">
        <f>'Scope 3 Yearly'!Q89</f>
        <v>0.88642793379441676</v>
      </c>
      <c r="R6" s="43">
        <f>'Scope 3 Yearly'!R89</f>
        <v>0.86025830700564276</v>
      </c>
      <c r="S6" s="43">
        <f>'Scope 3 Yearly'!S89</f>
        <v>0.82733307447910076</v>
      </c>
      <c r="T6" s="43">
        <f>'Scope 3 Yearly'!T89</f>
        <v>0.78841534247381873</v>
      </c>
      <c r="U6" s="43">
        <f>'Scope 3 Yearly'!U89</f>
        <v>0.74544080455332107</v>
      </c>
      <c r="V6" s="43">
        <f>'Scope 3 Yearly'!V89</f>
        <v>0.7009489301786187</v>
      </c>
      <c r="W6" s="43">
        <f>'Scope 3 Yearly'!W89</f>
        <v>0.65733866607427305</v>
      </c>
      <c r="X6" s="43">
        <f>'Scope 3 Yearly'!X89</f>
        <v>0.61632521946733165</v>
      </c>
      <c r="Y6" s="43">
        <f>'Scope 3 Yearly'!Y89</f>
        <v>0.57582838584138729</v>
      </c>
      <c r="Z6" s="43">
        <f>'Scope 3 Yearly'!Z89</f>
        <v>0.53909883533319336</v>
      </c>
      <c r="AA6" s="43">
        <f>'Scope 3 Yearly'!AA89</f>
        <v>0.50583498058266263</v>
      </c>
      <c r="AB6" s="43">
        <f>'Scope 3 Yearly'!AB89</f>
        <v>0.47552508455527975</v>
      </c>
      <c r="AC6" s="43">
        <f>'Scope 3 Yearly'!AC89</f>
        <v>0.44759488517575341</v>
      </c>
      <c r="AD6" s="43">
        <f>'Scope 3 Yearly'!AD89</f>
        <v>0.42152503280623915</v>
      </c>
      <c r="AE6" s="43">
        <f>'Scope 3 Yearly'!AE89</f>
        <v>0.39679463939654708</v>
      </c>
      <c r="AF6" s="43">
        <f>'Scope 3 Yearly'!AF89</f>
        <v>0.37295391134638672</v>
      </c>
      <c r="AG6" s="43">
        <f>'Scope 3 Yearly'!AG89</f>
        <v>0.34959703660131697</v>
      </c>
      <c r="AH6" s="43">
        <f>'Scope 3 Yearly'!AH89</f>
        <v>0.32637766744587926</v>
      </c>
      <c r="AI6" s="43"/>
      <c r="AJ6" s="43">
        <f>'Scope 3 Yearly'!AJ89</f>
        <v>0.95500135462922764</v>
      </c>
      <c r="AK6" s="43">
        <f>'Scope 3 Yearly'!AK89</f>
        <v>0.95162410512323492</v>
      </c>
      <c r="AL6" s="43">
        <f>'Scope 3 Yearly'!AL89</f>
        <v>0.94832385611981929</v>
      </c>
      <c r="AM6" s="43">
        <f>'Scope 3 Yearly'!AM89</f>
        <v>0.94508969397885967</v>
      </c>
      <c r="AN6" s="43">
        <f>'Scope 3 Yearly'!AN89</f>
        <v>0.94190237731035098</v>
      </c>
      <c r="AO6" s="43">
        <f>'Scope 3 Yearly'!AO89</f>
        <v>0.93872660572673206</v>
      </c>
      <c r="AP6" s="43">
        <f>'Scope 3 Yearly'!AP89</f>
        <v>0.93555643607006878</v>
      </c>
      <c r="AQ6" s="43">
        <f>'Scope 3 Yearly'!AQ89</f>
        <v>0.9322194637499388</v>
      </c>
      <c r="AR6" s="43">
        <f>'Scope 3 Yearly'!AR89</f>
        <v>0.92849713043637017</v>
      </c>
      <c r="AS6" s="43">
        <f>'Scope 3 Yearly'!AS89</f>
        <v>0.9240084467915326</v>
      </c>
      <c r="AT6" s="43">
        <f>'Scope 3 Yearly'!AT89</f>
        <v>0.91812742976747841</v>
      </c>
      <c r="AU6" s="43">
        <f>'Scope 3 Yearly'!AU89</f>
        <v>0.90657784541483977</v>
      </c>
      <c r="AV6" s="43">
        <f>'Scope 3 Yearly'!AV89</f>
        <v>0.89131017523738132</v>
      </c>
      <c r="AW6" s="43">
        <f>'Scope 3 Yearly'!AW89</f>
        <v>0.87091329645510374</v>
      </c>
      <c r="AX6" s="43">
        <f>'Scope 3 Yearly'!AX89</f>
        <v>0.84421387813758453</v>
      </c>
      <c r="AY6" s="43">
        <f>'Scope 3 Yearly'!AY89</f>
        <v>0.81081412878611925</v>
      </c>
      <c r="AZ6" s="43">
        <f>'Scope 3 Yearly'!AZ89</f>
        <v>0.77144165161524147</v>
      </c>
      <c r="BA6" s="43">
        <f>'Scope 3 Yearly'!BA89</f>
        <v>0.72811259539243722</v>
      </c>
      <c r="BB6" s="43">
        <f>'Scope 3 Yearly'!BB89</f>
        <v>0.68339887076776829</v>
      </c>
      <c r="BC6" s="43">
        <f>'Scope 3 Yearly'!BC89</f>
        <v>0.63973834574271782</v>
      </c>
      <c r="BD6" s="43">
        <f>'Scope 3 Yearly'!BD89</f>
        <v>0.59887997578618191</v>
      </c>
      <c r="BE6" s="43">
        <f>'Scope 3 Yearly'!BE89</f>
        <v>0.55822897869649335</v>
      </c>
      <c r="BF6" s="43">
        <f>'Scope 3 Yearly'!BF89</f>
        <v>0.52165091678405429</v>
      </c>
      <c r="BG6" s="43">
        <f>'Scope 3 Yearly'!BG89</f>
        <v>0.48878754640547117</v>
      </c>
      <c r="BH6" s="43">
        <f>'Scope 3 Yearly'!BH89</f>
        <v>0.45906612754252518</v>
      </c>
      <c r="BI6" s="43">
        <f>'Scope 3 Yearly'!BI89</f>
        <v>0.43186214058123956</v>
      </c>
      <c r="BJ6" s="43">
        <f>'Scope 3 Yearly'!BJ89</f>
        <v>0.4066311898949585</v>
      </c>
      <c r="BK6" s="43">
        <f>'Scope 3 Yearly'!BK89</f>
        <v>0.3828305442052416</v>
      </c>
      <c r="BL6" s="43">
        <f>'Scope 3 Yearly'!BL89</f>
        <v>0.3600306326490505</v>
      </c>
      <c r="BM6" s="43">
        <f>'Scope 3 Yearly'!BM89</f>
        <v>0.3379127930144521</v>
      </c>
      <c r="BN6" s="43">
        <f>'Scope 3 Yearly'!BN89</f>
        <v>0.31601471881198351</v>
      </c>
      <c r="BO6" s="43"/>
      <c r="BP6" s="43">
        <f>'Scope 3 Yearly'!BP89</f>
        <v>0.95500964634628061</v>
      </c>
      <c r="BQ6" s="43">
        <f>'Scope 3 Yearly'!BQ89</f>
        <v>0.96659886462602651</v>
      </c>
      <c r="BR6" s="43">
        <f>'Scope 3 Yearly'!BR89</f>
        <v>0.97808028741683661</v>
      </c>
      <c r="BS6" s="43">
        <f>'Scope 3 Yearly'!BS89</f>
        <v>0.9894503285506262</v>
      </c>
      <c r="BT6" s="43">
        <f>'Scope 3 Yearly'!BT89</f>
        <v>1.0007046896005618</v>
      </c>
      <c r="BU6" s="43">
        <f>'Scope 3 Yearly'!BU89</f>
        <v>1.0118382999855642</v>
      </c>
      <c r="BV6" s="43">
        <f>'Scope 3 Yearly'!BV89</f>
        <v>1.0229586968969255</v>
      </c>
      <c r="BW6" s="43">
        <f>'Scope 3 Yearly'!BW89</f>
        <v>1.0340647180169054</v>
      </c>
      <c r="BX6" s="43">
        <f>'Scope 3 Yearly'!BX89</f>
        <v>1.0451551933307393</v>
      </c>
      <c r="BY6" s="43">
        <f>'Scope 3 Yearly'!BY89</f>
        <v>1.0562289422703597</v>
      </c>
      <c r="BZ6" s="43">
        <f>'Scope 3 Yearly'!BZ89</f>
        <v>1.0672847708546638</v>
      </c>
      <c r="CA6" s="43">
        <f>'Scope 3 Yearly'!CA89</f>
        <v>1.0782402969528435</v>
      </c>
      <c r="CB6" s="43">
        <f>'Scope 3 Yearly'!CB89</f>
        <v>1.089090006382188</v>
      </c>
      <c r="CC6" s="43">
        <f>'Scope 3 Yearly'!CC89</f>
        <v>1.0998277764089219</v>
      </c>
      <c r="CD6" s="43">
        <f>'Scope 3 Yearly'!CD89</f>
        <v>1.110446815399369</v>
      </c>
      <c r="CE6" s="43">
        <f>'Scope 3 Yearly'!CE89</f>
        <v>1.120939595637358</v>
      </c>
      <c r="CF6" s="43">
        <f>'Scope 3 Yearly'!CF89</f>
        <v>1.131411266971744</v>
      </c>
      <c r="CG6" s="43">
        <f>'Scope 3 Yearly'!CG89</f>
        <v>1.1418612366882477</v>
      </c>
      <c r="CH6" s="43">
        <f>'Scope 3 Yearly'!CH89</f>
        <v>1.1522888986531585</v>
      </c>
      <c r="CI6" s="43">
        <f>'Scope 3 Yearly'!CI89</f>
        <v>1.1626936328887196</v>
      </c>
      <c r="CJ6" s="43">
        <f>'Scope 3 Yearly'!CJ89</f>
        <v>1.1730748051362814</v>
      </c>
      <c r="CK6" s="43">
        <f>'Scope 3 Yearly'!CK89</f>
        <v>1.1834325418113787</v>
      </c>
      <c r="CL6" s="43">
        <f>'Scope 3 Yearly'!CL89</f>
        <v>1.1937662312485047</v>
      </c>
      <c r="CM6" s="43">
        <f>'Scope 3 Yearly'!CM89</f>
        <v>1.2040752478773378</v>
      </c>
      <c r="CN6" s="43">
        <f>'Scope 3 Yearly'!CN89</f>
        <v>1.214358951810327</v>
      </c>
      <c r="CO6" s="43">
        <f>'Scope 3 Yearly'!CO89</f>
        <v>1.2246166884185627</v>
      </c>
      <c r="CP6" s="43">
        <f>'Scope 3 Yearly'!CP89</f>
        <v>1.2348485292276683</v>
      </c>
      <c r="CQ6" s="43">
        <f>'Scope 3 Yearly'!CQ89</f>
        <v>1.2450538374948112</v>
      </c>
      <c r="CR6" s="43">
        <f>'Scope 3 Yearly'!CR89</f>
        <v>1.2552319620401042</v>
      </c>
      <c r="CS6" s="43">
        <f>'Scope 3 Yearly'!CS89</f>
        <v>1.2653822368405367</v>
      </c>
      <c r="CT6" s="43">
        <f>'Scope 3 Yearly'!CT89</f>
        <v>1.2755039806125876</v>
      </c>
      <c r="CV6" s="43">
        <f>'Scope 3 Yearly'!CV89</f>
        <v>0.95500135462922764</v>
      </c>
      <c r="CW6" s="43">
        <f>'Scope 3 Yearly'!CW89</f>
        <v>0.95264659021202758</v>
      </c>
      <c r="CX6" s="43">
        <f>'Scope 3 Yearly'!CX89</f>
        <v>0.95045661331728071</v>
      </c>
      <c r="CY6" s="43">
        <f>'Scope 3 Yearly'!CY89</f>
        <v>0.9484199849398558</v>
      </c>
      <c r="CZ6" s="43">
        <f>'Scope 3 Yearly'!CZ89</f>
        <v>0.94651689948865603</v>
      </c>
      <c r="DA6" s="43">
        <f>'Scope 3 Yearly'!DA89</f>
        <v>0.9447113387327869</v>
      </c>
      <c r="DB6" s="43">
        <f>'Scope 3 Yearly'!DB89</f>
        <v>0.94292053244337315</v>
      </c>
      <c r="DC6" s="43">
        <f>'Scope 3 Yearly'!DC89</f>
        <v>0.94106158289459463</v>
      </c>
      <c r="DD6" s="43">
        <f>'Scope 3 Yearly'!DD89</f>
        <v>0.93891320985078208</v>
      </c>
      <c r="DE6" s="43">
        <f>'Scope 3 Yearly'!DE89</f>
        <v>0.93608717068323455</v>
      </c>
      <c r="DF6" s="43">
        <f>'Scope 3 Yearly'!DF89</f>
        <v>0.93194216850690514</v>
      </c>
      <c r="DG6" s="43">
        <f>'Scope 3 Yearly'!DG89</f>
        <v>0.92372992960313116</v>
      </c>
      <c r="DH6" s="43">
        <f>'Scope 3 Yearly'!DH89</f>
        <v>0.91154743926758752</v>
      </c>
      <c r="DI6" s="43">
        <f>'Scope 3 Yearly'!DI89</f>
        <v>0.89473857529768808</v>
      </c>
      <c r="DJ6" s="43">
        <f>'Scope 3 Yearly'!DJ89</f>
        <v>0.87153473482336663</v>
      </c>
      <c r="DK6" s="43">
        <f>'Scope 3 Yearly'!DK89</f>
        <v>0.84138043651891659</v>
      </c>
      <c r="DL6" s="43">
        <f>'Scope 3 Yearly'!DL89</f>
        <v>0.80490716482300639</v>
      </c>
      <c r="DM6" s="43">
        <f>'Scope 3 Yearly'!DM89</f>
        <v>0.76405288517114411</v>
      </c>
      <c r="DN6" s="43">
        <f>'Scope 3 Yearly'!DN89</f>
        <v>0.72142454698915615</v>
      </c>
      <c r="DO6" s="43">
        <f>'Scope 3 Yearly'!DO89</f>
        <v>0.67956084645521186</v>
      </c>
      <c r="DP6" s="43">
        <f>'Scope 3 Yearly'!DP89</f>
        <v>0.64033675370265619</v>
      </c>
      <c r="DQ6" s="43">
        <f>'Scope 3 Yearly'!DQ89</f>
        <v>0.60353115673725188</v>
      </c>
      <c r="DR6" s="43">
        <f>'Scope 3 Yearly'!DR89</f>
        <v>0.56967555873268261</v>
      </c>
      <c r="DS6" s="43">
        <f>'Scope 3 Yearly'!DS89</f>
        <v>0.53962587743917645</v>
      </c>
      <c r="DT6" s="43">
        <f>'Scope 3 Yearly'!DT89</f>
        <v>0.5128304296306212</v>
      </c>
      <c r="DU6" s="43">
        <f>'Scope 3 Yearly'!DU89</f>
        <v>0.48857165853751439</v>
      </c>
      <c r="DV6" s="43">
        <f>'Scope 3 Yearly'!DV89</f>
        <v>0.46627046785028448</v>
      </c>
      <c r="DW6" s="43">
        <f>'Scope 3 Yearly'!DW89</f>
        <v>0.44536414318056305</v>
      </c>
      <c r="DX6" s="43">
        <f>'Scope 3 Yearly'!DX89</f>
        <v>0.42539147508486991</v>
      </c>
      <c r="DY6" s="43">
        <f>'Scope 3 Yearly'!DY89</f>
        <v>0.40598235133688659</v>
      </c>
      <c r="DZ6" s="43">
        <f>'Scope 3 Yearly'!DZ89</f>
        <v>0.38665845358897272</v>
      </c>
    </row>
    <row r="7" spans="1:165" x14ac:dyDescent="0.2">
      <c r="A7" t="s">
        <v>7</v>
      </c>
      <c r="C7" s="54" t="s">
        <v>413</v>
      </c>
      <c r="D7" s="43">
        <f>'Scope 3 Yearly'!D112</f>
        <v>1.0242296100586308</v>
      </c>
      <c r="E7" s="43">
        <f>'Scope 3 Yearly'!E112</f>
        <v>1.0237277765817441</v>
      </c>
      <c r="F7" s="43">
        <f>'Scope 3 Yearly'!F112</f>
        <v>1.0225444228396721</v>
      </c>
      <c r="G7" s="43">
        <f>'Scope 3 Yearly'!G112</f>
        <v>1.0213440038810027</v>
      </c>
      <c r="H7" s="43">
        <f>'Scope 3 Yearly'!H112</f>
        <v>1.0201593843186192</v>
      </c>
      <c r="I7" s="43">
        <f>'Scope 3 Yearly'!I112</f>
        <v>1.0189697602646643</v>
      </c>
      <c r="J7" s="43">
        <f>'Scope 3 Yearly'!J112</f>
        <v>1.0172683591198863</v>
      </c>
      <c r="K7" s="43">
        <f>'Scope 3 Yearly'!K112</f>
        <v>1.0154151316329694</v>
      </c>
      <c r="L7" s="43">
        <f>'Scope 3 Yearly'!L112</f>
        <v>1.0132819154486064</v>
      </c>
      <c r="M7" s="43">
        <f>'Scope 3 Yearly'!M112</f>
        <v>1.0106275286582349</v>
      </c>
      <c r="N7" s="43">
        <f>'Scope 3 Yearly'!N112</f>
        <v>1.0070216258080982</v>
      </c>
      <c r="O7" s="43">
        <f>'Scope 3 Yearly'!O112</f>
        <v>0.9982944407111829</v>
      </c>
      <c r="P7" s="43">
        <f>'Scope 3 Yearly'!P112</f>
        <v>0.9866572519991974</v>
      </c>
      <c r="Q7" s="43">
        <f>'Scope 3 Yearly'!Q112</f>
        <v>0.97073536938274185</v>
      </c>
      <c r="R7" s="43">
        <f>'Scope 3 Yearly'!R112</f>
        <v>0.9491228766335158</v>
      </c>
      <c r="S7" s="43">
        <f>'Scope 3 Yearly'!S112</f>
        <v>0.92082675913047074</v>
      </c>
      <c r="T7" s="43">
        <f>'Scope 3 Yearly'!T112</f>
        <v>0.88593009955806035</v>
      </c>
      <c r="U7" s="43">
        <f>'Scope 3 Yearly'!U112</f>
        <v>0.84528276259906643</v>
      </c>
      <c r="V7" s="43">
        <f>'Scope 3 Yearly'!V112</f>
        <v>0.80075532983533559</v>
      </c>
      <c r="W7" s="43">
        <f>'Scope 3 Yearly'!W112</f>
        <v>0.75448987811489521</v>
      </c>
      <c r="X7" s="43">
        <f>'Scope 3 Yearly'!X112</f>
        <v>0.70833899915655496</v>
      </c>
      <c r="Y7" s="43">
        <f>'Scope 3 Yearly'!Y112</f>
        <v>0.65878906108983493</v>
      </c>
      <c r="Z7" s="43">
        <f>'Scope 3 Yearly'!Z112</f>
        <v>0.61160439087642859</v>
      </c>
      <c r="AA7" s="43">
        <f>'Scope 3 Yearly'!AA112</f>
        <v>0.56695064019263397</v>
      </c>
      <c r="AB7" s="43">
        <f>'Scope 3 Yearly'!AB112</f>
        <v>0.52511250927979436</v>
      </c>
      <c r="AC7" s="43">
        <f>'Scope 3 Yearly'!AC112</f>
        <v>0.48541383578091302</v>
      </c>
      <c r="AD7" s="43">
        <f>'Scope 3 Yearly'!AD112</f>
        <v>0.44730496132746411</v>
      </c>
      <c r="AE7" s="43">
        <f>'Scope 3 Yearly'!AE112</f>
        <v>0.41047127630782132</v>
      </c>
      <c r="AF7" s="43">
        <f>'Scope 3 Yearly'!AF112</f>
        <v>0.37459023747126968</v>
      </c>
      <c r="AG7" s="43">
        <f>'Scope 3 Yearly'!AG112</f>
        <v>0.33936657158307454</v>
      </c>
      <c r="AH7" s="43">
        <f>'Scope 3 Yearly'!AH112</f>
        <v>0.30454565356710495</v>
      </c>
      <c r="AI7" s="43"/>
      <c r="AJ7" s="43">
        <f>'Scope 3 Yearly'!AJ112</f>
        <v>1.0242292391497747</v>
      </c>
      <c r="AK7" s="43">
        <f>'Scope 3 Yearly'!AK112</f>
        <v>1.0237826206795462</v>
      </c>
      <c r="AL7" s="43">
        <f>'Scope 3 Yearly'!AL112</f>
        <v>1.0226864113519196</v>
      </c>
      <c r="AM7" s="43">
        <f>'Scope 3 Yearly'!AM112</f>
        <v>1.0215740154874196</v>
      </c>
      <c r="AN7" s="43">
        <f>'Scope 3 Yearly'!AN112</f>
        <v>1.0204891147234365</v>
      </c>
      <c r="AO7" s="43">
        <f>'Scope 3 Yearly'!AO112</f>
        <v>1.0194106504462714</v>
      </c>
      <c r="AP7" s="43">
        <f>'Scope 3 Yearly'!AP112</f>
        <v>1.0182140898243131</v>
      </c>
      <c r="AQ7" s="43">
        <f>'Scope 3 Yearly'!AQ112</f>
        <v>1.0169409642667553</v>
      </c>
      <c r="AR7" s="43">
        <f>'Scope 3 Yearly'!AR112</f>
        <v>1.0154638421638924</v>
      </c>
      <c r="AS7" s="43">
        <f>'Scope 3 Yearly'!AS112</f>
        <v>1.0135381712009424</v>
      </c>
      <c r="AT7" s="43">
        <f>'Scope 3 Yearly'!AT112</f>
        <v>1.0107232144650364</v>
      </c>
      <c r="AU7" s="43">
        <f>'Scope 3 Yearly'!AU112</f>
        <v>1.0032153474492875</v>
      </c>
      <c r="AV7" s="43">
        <f>'Scope 3 Yearly'!AV112</f>
        <v>0.99293810179530229</v>
      </c>
      <c r="AW7" s="43">
        <f>'Scope 3 Yearly'!AW112</f>
        <v>0.97851252619608275</v>
      </c>
      <c r="AX7" s="43">
        <f>'Scope 3 Yearly'!AX112</f>
        <v>0.95848835517402042</v>
      </c>
      <c r="AY7" s="43">
        <f>'Scope 3 Yearly'!AY112</f>
        <v>0.9318345373156558</v>
      </c>
      <c r="AZ7" s="43">
        <f>'Scope 3 Yearly'!AZ112</f>
        <v>0.89835981798064268</v>
      </c>
      <c r="BA7" s="43">
        <f>'Scope 3 Yearly'!BA112</f>
        <v>0.85911226606616475</v>
      </c>
      <c r="BB7" s="43">
        <f>'Scope 3 Yearly'!BB112</f>
        <v>0.81598113878571255</v>
      </c>
      <c r="BC7" s="43">
        <f>'Scope 3 Yearly'!BC112</f>
        <v>0.77115007105841804</v>
      </c>
      <c r="BD7" s="43">
        <f>'Scope 3 Yearly'!BD112</f>
        <v>0.72651990237696196</v>
      </c>
      <c r="BE7" s="43">
        <f>'Scope 3 Yearly'!BE112</f>
        <v>0.67944614589349173</v>
      </c>
      <c r="BF7" s="43">
        <f>'Scope 3 Yearly'!BF112</f>
        <v>0.63491903139502892</v>
      </c>
      <c r="BG7" s="43">
        <f>'Scope 3 Yearly'!BG112</f>
        <v>0.59313284692090795</v>
      </c>
      <c r="BH7" s="43">
        <f>'Scope 3 Yearly'!BH112</f>
        <v>0.55387724936210936</v>
      </c>
      <c r="BI7" s="43">
        <f>'Scope 3 Yearly'!BI112</f>
        <v>0.51682839996288688</v>
      </c>
      <c r="BJ7" s="43">
        <f>'Scope 3 Yearly'!BJ112</f>
        <v>0.48177614988573764</v>
      </c>
      <c r="BK7" s="43">
        <f>'Scope 3 Yearly'!BK112</f>
        <v>0.44821484244763327</v>
      </c>
      <c r="BL7" s="43">
        <f>'Scope 3 Yearly'!BL112</f>
        <v>0.4157879472819917</v>
      </c>
      <c r="BM7" s="43">
        <f>'Scope 3 Yearly'!BM112</f>
        <v>0.3841573695365596</v>
      </c>
      <c r="BN7" s="43">
        <f>'Scope 3 Yearly'!BN112</f>
        <v>0.35300668663399271</v>
      </c>
      <c r="BO7" s="43"/>
      <c r="BP7" s="43">
        <f>'Scope 3 Yearly'!BP112</f>
        <v>1.0242287414357147</v>
      </c>
      <c r="BQ7" s="43">
        <f>'Scope 3 Yearly'!BQ112</f>
        <v>1.0367894740985055</v>
      </c>
      <c r="BR7" s="43">
        <f>'Scope 3 Yearly'!BR112</f>
        <v>1.0492351774033923</v>
      </c>
      <c r="BS7" s="43">
        <f>'Scope 3 Yearly'!BS112</f>
        <v>1.0615625701361142</v>
      </c>
      <c r="BT7" s="43">
        <f>'Scope 3 Yearly'!BT112</f>
        <v>1.0737676005067862</v>
      </c>
      <c r="BU7" s="43">
        <f>'Scope 3 Yearly'!BU112</f>
        <v>1.0858453896055433</v>
      </c>
      <c r="BV7" s="43">
        <f>'Scope 3 Yearly'!BV112</f>
        <v>1.0979087613315364</v>
      </c>
      <c r="BW7" s="43">
        <f>'Scope 3 Yearly'!BW112</f>
        <v>1.1099565744178548</v>
      </c>
      <c r="BX7" s="43">
        <f>'Scope 3 Yearly'!BX112</f>
        <v>1.1219876781823543</v>
      </c>
      <c r="BY7" s="43">
        <f>'Scope 3 Yearly'!BY112</f>
        <v>1.134000909713194</v>
      </c>
      <c r="BZ7" s="43">
        <f>'Scope 3 Yearly'!BZ112</f>
        <v>1.1459950910469576</v>
      </c>
      <c r="CA7" s="43">
        <f>'Scope 3 Yearly'!CA112</f>
        <v>1.1578845249057599</v>
      </c>
      <c r="CB7" s="43">
        <f>'Scope 3 Yearly'!CB112</f>
        <v>1.1696637268874732</v>
      </c>
      <c r="CC7" s="43">
        <f>'Scope 3 Yearly'!CC112</f>
        <v>1.1813265789288967</v>
      </c>
      <c r="CD7" s="43">
        <f>'Scope 3 Yearly'!CD112</f>
        <v>1.1928662689148528</v>
      </c>
      <c r="CE7" s="43">
        <f>'Scope 3 Yearly'!CE112</f>
        <v>1.2042752232136511</v>
      </c>
      <c r="CF7" s="43">
        <f>'Scope 3 Yearly'!CF112</f>
        <v>1.2156627630549517</v>
      </c>
      <c r="CG7" s="43">
        <f>'Scope 3 Yearly'!CG112</f>
        <v>1.227028291657573</v>
      </c>
      <c r="CH7" s="43">
        <f>'Scope 3 Yearly'!CH112</f>
        <v>1.2383711986980193</v>
      </c>
      <c r="CI7" s="43">
        <f>'Scope 3 Yearly'!CI112</f>
        <v>1.2496908598833045</v>
      </c>
      <c r="CJ7" s="43">
        <f>'Scope 3 Yearly'!CJ112</f>
        <v>1.2609866365114673</v>
      </c>
      <c r="CK7" s="43">
        <f>'Scope 3 Yearly'!CK112</f>
        <v>1.2722586770337725</v>
      </c>
      <c r="CL7" s="43">
        <f>'Scope 3 Yearly'!CL112</f>
        <v>1.2835063655503984</v>
      </c>
      <c r="CM7" s="43">
        <f>'Scope 3 Yearly'!CM112</f>
        <v>1.2947290721423941</v>
      </c>
      <c r="CN7" s="43">
        <f>'Scope 3 Yearly'!CN112</f>
        <v>1.3059261524568386</v>
      </c>
      <c r="CO7" s="43">
        <f>'Scope 3 Yearly'!CO112</f>
        <v>1.3170969472802148</v>
      </c>
      <c r="CP7" s="43">
        <f>'Scope 3 Yearly'!CP112</f>
        <v>1.3282415469198408</v>
      </c>
      <c r="CQ7" s="43">
        <f>'Scope 3 Yearly'!CQ112</f>
        <v>1.3393593102485739</v>
      </c>
      <c r="CR7" s="43">
        <f>'Scope 3 Yearly'!CR112</f>
        <v>1.3504495815939397</v>
      </c>
      <c r="CS7" s="43">
        <f>'Scope 3 Yearly'!CS112</f>
        <v>1.3615116903297519</v>
      </c>
      <c r="CT7" s="43">
        <f>'Scope 3 Yearly'!CT112</f>
        <v>1.3725449504563496</v>
      </c>
      <c r="CV7" s="43">
        <f>'Scope 3 Yearly'!CV112</f>
        <v>1.0242292391497747</v>
      </c>
      <c r="CW7" s="43">
        <f>'Scope 3 Yearly'!CW112</f>
        <v>1.0247781674213394</v>
      </c>
      <c r="CX7" s="43">
        <f>'Scope 3 Yearly'!CX112</f>
        <v>1.0247037715483063</v>
      </c>
      <c r="CY7" s="43">
        <f>'Scope 3 Yearly'!CY112</f>
        <v>1.024747215144884</v>
      </c>
      <c r="CZ7" s="43">
        <f>'Scope 3 Yearly'!CZ112</f>
        <v>1.0249178288358514</v>
      </c>
      <c r="DA7" s="43">
        <f>'Scope 3 Yearly'!DA112</f>
        <v>1.0251955989759205</v>
      </c>
      <c r="DB7" s="43">
        <f>'Scope 3 Yearly'!DB112</f>
        <v>1.0254612159398131</v>
      </c>
      <c r="DC7" s="43">
        <f>'Scope 3 Yearly'!DC112</f>
        <v>1.0257655288338963</v>
      </c>
      <c r="DD7" s="43">
        <f>'Scope 3 Yearly'!DD112</f>
        <v>1.0259815202791938</v>
      </c>
      <c r="DE7" s="43">
        <f>'Scope 3 Yearly'!DE112</f>
        <v>1.0258617958285048</v>
      </c>
      <c r="DF7" s="43">
        <f>'Scope 3 Yearly'!DF112</f>
        <v>1.0249564516658094</v>
      </c>
      <c r="DG7" s="43">
        <f>'Scope 3 Yearly'!DG112</f>
        <v>1.0209951325493123</v>
      </c>
      <c r="DH7" s="43">
        <f>'Scope 3 Yearly'!DH112</f>
        <v>1.0140626936449686</v>
      </c>
      <c r="DI7" s="43">
        <f>'Scope 3 Yearly'!DI112</f>
        <v>1.0036598569820674</v>
      </c>
      <c r="DJ7" s="43">
        <f>'Scope 3 Yearly'!DJ112</f>
        <v>0.98770302422890421</v>
      </c>
      <c r="DK7" s="43">
        <f>'Scope 3 Yearly'!DK112</f>
        <v>0.96499938640926497</v>
      </c>
      <c r="DL7" s="43">
        <f>'Scope 3 Yearly'!DL112</f>
        <v>0.93522001944179201</v>
      </c>
      <c r="DM7" s="43">
        <f>'Scope 3 Yearly'!DM112</f>
        <v>0.89929116283178023</v>
      </c>
      <c r="DN7" s="43">
        <f>'Scope 3 Yearly'!DN112</f>
        <v>0.85907252073062956</v>
      </c>
      <c r="DO7" s="43">
        <f>'Scope 3 Yearly'!DO112</f>
        <v>0.81678863220991604</v>
      </c>
      <c r="DP7" s="43">
        <f>'Scope 3 Yearly'!DP112</f>
        <v>0.77442279617331333</v>
      </c>
      <c r="DQ7" s="43">
        <f>'Scope 3 Yearly'!DQ112</f>
        <v>0.73223065401354814</v>
      </c>
      <c r="DR7" s="43">
        <f>'Scope 3 Yearly'!DR112</f>
        <v>0.69106086937457667</v>
      </c>
      <c r="DS7" s="43">
        <f>'Scope 3 Yearly'!DS112</f>
        <v>0.65259137690805025</v>
      </c>
      <c r="DT7" s="43">
        <f>'Scope 3 Yearly'!DT112</f>
        <v>0.61662099568550199</v>
      </c>
      <c r="DU7" s="43">
        <f>'Scope 3 Yearly'!DU112</f>
        <v>0.58271217714399781</v>
      </c>
      <c r="DV7" s="43">
        <f>'Scope 3 Yearly'!DV112</f>
        <v>0.55064768772563866</v>
      </c>
      <c r="DW7" s="43">
        <f>'Scope 3 Yearly'!DW112</f>
        <v>0.51989138171871407</v>
      </c>
      <c r="DX7" s="43">
        <f>'Scope 3 Yearly'!DX112</f>
        <v>0.49007427872518483</v>
      </c>
      <c r="DY7" s="43">
        <f>'Scope 3 Yearly'!DY112</f>
        <v>0.46085539432211065</v>
      </c>
      <c r="DZ7" s="43">
        <f>'Scope 3 Yearly'!DZ112</f>
        <v>0.4319198171325519</v>
      </c>
    </row>
    <row r="8" spans="1:165" x14ac:dyDescent="0.2">
      <c r="A8" t="s">
        <v>8</v>
      </c>
      <c r="C8" s="54" t="s">
        <v>413</v>
      </c>
      <c r="D8" s="43">
        <f>'Scope 3 Yearly'!D135</f>
        <v>0.95981060169486876</v>
      </c>
      <c r="E8" s="43">
        <f>'Scope 3 Yearly'!E135</f>
        <v>0.95959046470912801</v>
      </c>
      <c r="F8" s="43">
        <f>'Scope 3 Yearly'!F135</f>
        <v>0.95891852791517174</v>
      </c>
      <c r="G8" s="43">
        <f>'Scope 3 Yearly'!G135</f>
        <v>0.9583771102139137</v>
      </c>
      <c r="H8" s="43">
        <f>'Scope 3 Yearly'!H135</f>
        <v>0.95799195679688176</v>
      </c>
      <c r="I8" s="43">
        <f>'Scope 3 Yearly'!I135</f>
        <v>0.95774042131437565</v>
      </c>
      <c r="J8" s="43">
        <f>'Scope 3 Yearly'!J135</f>
        <v>0.95715847606405591</v>
      </c>
      <c r="K8" s="43">
        <f>'Scope 3 Yearly'!K135</f>
        <v>0.95655959040018002</v>
      </c>
      <c r="L8" s="43">
        <f>'Scope 3 Yearly'!L135</f>
        <v>0.95581292753912739</v>
      </c>
      <c r="M8" s="43">
        <f>'Scope 3 Yearly'!M135</f>
        <v>0.9546744050945517</v>
      </c>
      <c r="N8" s="43">
        <f>'Scope 3 Yearly'!N135</f>
        <v>0.95271044001247773</v>
      </c>
      <c r="O8" s="43">
        <f>'Scope 3 Yearly'!O135</f>
        <v>0.94600101420278371</v>
      </c>
      <c r="P8" s="43">
        <f>'Scope 3 Yearly'!P135</f>
        <v>0.93647864490710053</v>
      </c>
      <c r="Q8" s="43">
        <f>'Scope 3 Yearly'!Q135</f>
        <v>0.92275567813101889</v>
      </c>
      <c r="R8" s="43">
        <f>'Scope 3 Yearly'!R135</f>
        <v>0.90340938949380634</v>
      </c>
      <c r="S8" s="43">
        <f>'Scope 3 Yearly'!S135</f>
        <v>0.87742964725850114</v>
      </c>
      <c r="T8" s="43">
        <f>'Scope 3 Yearly'!T135</f>
        <v>0.84487538436155918</v>
      </c>
      <c r="U8" s="43">
        <f>'Scope 3 Yearly'!U135</f>
        <v>0.80659885517741903</v>
      </c>
      <c r="V8" s="43">
        <f>'Scope 3 Yearly'!V135</f>
        <v>0.76446948428027239</v>
      </c>
      <c r="W8" s="43">
        <f>'Scope 3 Yearly'!W135</f>
        <v>0.72063361520124447</v>
      </c>
      <c r="X8" s="43">
        <f>'Scope 3 Yearly'!X135</f>
        <v>0.6769503333336272</v>
      </c>
      <c r="Y8" s="43">
        <f>'Scope 3 Yearly'!Y135</f>
        <v>0.6301136058494371</v>
      </c>
      <c r="Z8" s="43">
        <f>'Scope 3 Yearly'!Z135</f>
        <v>0.58565308099906177</v>
      </c>
      <c r="AA8" s="43">
        <f>'Scope 3 Yearly'!AA135</f>
        <v>0.54373593107353213</v>
      </c>
      <c r="AB8" s="43">
        <f>'Scope 3 Yearly'!AB135</f>
        <v>0.5046941615527637</v>
      </c>
      <c r="AC8" s="43">
        <f>'Scope 3 Yearly'!AC135</f>
        <v>0.467805965104513</v>
      </c>
      <c r="AD8" s="43">
        <f>'Scope 3 Yearly'!AD135</f>
        <v>0.43249385635758042</v>
      </c>
      <c r="AE8" s="43">
        <f>'Scope 3 Yearly'!AE135</f>
        <v>0.39843257167218354</v>
      </c>
      <c r="AF8" s="43">
        <f>'Scope 3 Yearly'!AF135</f>
        <v>0.36528922719219753</v>
      </c>
      <c r="AG8" s="43">
        <f>'Scope 3 Yearly'!AG135</f>
        <v>0.3327561586546553</v>
      </c>
      <c r="AH8" s="43">
        <f>'Scope 3 Yearly'!AH135</f>
        <v>0.30056529652930963</v>
      </c>
      <c r="AI8" s="43"/>
      <c r="AJ8" s="43">
        <f>'Scope 3 Yearly'!AJ135</f>
        <v>0.95981021058607219</v>
      </c>
      <c r="AK8" s="43">
        <f>'Scope 3 Yearly'!AK135</f>
        <v>0.95963889379849621</v>
      </c>
      <c r="AL8" s="43">
        <f>'Scope 3 Yearly'!AL135</f>
        <v>0.95904453307835857</v>
      </c>
      <c r="AM8" s="43">
        <f>'Scope 3 Yearly'!AM135</f>
        <v>0.95858203710578138</v>
      </c>
      <c r="AN8" s="43">
        <f>'Scope 3 Yearly'!AN135</f>
        <v>0.95828676641923238</v>
      </c>
      <c r="AO8" s="43">
        <f>'Scope 3 Yearly'!AO135</f>
        <v>0.95813578972139157</v>
      </c>
      <c r="AP8" s="43">
        <f>'Scope 3 Yearly'!AP135</f>
        <v>0.95801085561901056</v>
      </c>
      <c r="AQ8" s="43">
        <f>'Scope 3 Yearly'!AQ135</f>
        <v>0.95794008781573514</v>
      </c>
      <c r="AR8" s="43">
        <f>'Scope 3 Yearly'!AR135</f>
        <v>0.95779320659998057</v>
      </c>
      <c r="AS8" s="43">
        <f>'Scope 3 Yearly'!AS135</f>
        <v>0.95732229057482421</v>
      </c>
      <c r="AT8" s="43">
        <f>'Scope 3 Yearly'!AT135</f>
        <v>0.95608237013868225</v>
      </c>
      <c r="AU8" s="43">
        <f>'Scope 3 Yearly'!AU135</f>
        <v>0.9504920666751725</v>
      </c>
      <c r="AV8" s="43">
        <f>'Scope 3 Yearly'!AV135</f>
        <v>0.94221703183391159</v>
      </c>
      <c r="AW8" s="43">
        <f>'Scope 3 Yearly'!AW135</f>
        <v>0.92986421371344741</v>
      </c>
      <c r="AX8" s="43">
        <f>'Scope 3 Yearly'!AX135</f>
        <v>0.91196876473288013</v>
      </c>
      <c r="AY8" s="43">
        <f>'Scope 3 Yearly'!AY135</f>
        <v>0.88748584564563715</v>
      </c>
      <c r="AZ8" s="43">
        <f>'Scope 3 Yearly'!AZ135</f>
        <v>0.85621931583599187</v>
      </c>
      <c r="BA8" s="43">
        <f>'Scope 3 Yearly'!BA135</f>
        <v>0.81921345465197404</v>
      </c>
      <c r="BB8" s="43">
        <f>'Scope 3 Yearly'!BB135</f>
        <v>0.77836331751834975</v>
      </c>
      <c r="BC8" s="43">
        <f>'Scope 3 Yearly'!BC135</f>
        <v>0.73586261152170818</v>
      </c>
      <c r="BD8" s="43">
        <f>'Scope 3 Yearly'!BD135</f>
        <v>0.69362274871778828</v>
      </c>
      <c r="BE8" s="43">
        <f>'Scope 3 Yearly'!BE135</f>
        <v>0.64919994481401255</v>
      </c>
      <c r="BF8" s="43">
        <f>'Scope 3 Yearly'!BF135</f>
        <v>0.60736165662985608</v>
      </c>
      <c r="BG8" s="43">
        <f>'Scope 3 Yearly'!BG135</f>
        <v>0.56830226455589472</v>
      </c>
      <c r="BH8" s="43">
        <f>'Scope 3 Yearly'!BH135</f>
        <v>0.53181370769238634</v>
      </c>
      <c r="BI8" s="43">
        <f>'Scope 3 Yearly'!BI135</f>
        <v>0.49757136454177792</v>
      </c>
      <c r="BJ8" s="43">
        <f>'Scope 3 Yearly'!BJ135</f>
        <v>0.46535834178963786</v>
      </c>
      <c r="BK8" s="43">
        <f>'Scope 3 Yearly'!BK135</f>
        <v>0.43467328938560212</v>
      </c>
      <c r="BL8" s="43">
        <f>'Scope 3 Yearly'!BL135</f>
        <v>0.40515786007031829</v>
      </c>
      <c r="BM8" s="43">
        <f>'Scope 3 Yearly'!BM135</f>
        <v>0.37647095511205902</v>
      </c>
      <c r="BN8" s="43">
        <f>'Scope 3 Yearly'!BN135</f>
        <v>0.34829223169570495</v>
      </c>
      <c r="BO8" s="43"/>
      <c r="BP8" s="43">
        <f>'Scope 3 Yearly'!BP135</f>
        <v>0.95980968576617665</v>
      </c>
      <c r="BQ8" s="43">
        <f>'Scope 3 Yearly'!BQ135</f>
        <v>0.971437309531195</v>
      </c>
      <c r="BR8" s="43">
        <f>'Scope 3 Yearly'!BR135</f>
        <v>0.98296493693968956</v>
      </c>
      <c r="BS8" s="43">
        <f>'Scope 3 Yearly'!BS135</f>
        <v>0.99438925060919536</v>
      </c>
      <c r="BT8" s="43">
        <f>'Scope 3 Yearly'!BT135</f>
        <v>1.0057062722515469</v>
      </c>
      <c r="BU8" s="43">
        <f>'Scope 3 Yearly'!BU135</f>
        <v>1.0169113072368201</v>
      </c>
      <c r="BV8" s="43">
        <f>'Scope 3 Yearly'!BV135</f>
        <v>1.0281040793399003</v>
      </c>
      <c r="BW8" s="43">
        <f>'Scope 3 Yearly'!BW135</f>
        <v>1.0392835120304622</v>
      </c>
      <c r="BX8" s="43">
        <f>'Scope 3 Yearly'!BX135</f>
        <v>1.050448521617513</v>
      </c>
      <c r="BY8" s="43">
        <f>'Scope 3 Yearly'!BY135</f>
        <v>1.0615980146037598</v>
      </c>
      <c r="BZ8" s="43">
        <f>'Scope 3 Yearly'!BZ135</f>
        <v>1.0727308850367068</v>
      </c>
      <c r="CA8" s="43">
        <f>'Scope 3 Yearly'!CA135</f>
        <v>1.0837707490465356</v>
      </c>
      <c r="CB8" s="43">
        <f>'Scope 3 Yearly'!CB135</f>
        <v>1.094712498239429</v>
      </c>
      <c r="CC8" s="43">
        <f>'Scope 3 Yearly'!CC135</f>
        <v>1.105550459968627</v>
      </c>
      <c r="CD8" s="43">
        <f>'Scope 3 Yearly'!CD135</f>
        <v>1.1162783414203759</v>
      </c>
      <c r="CE8" s="43">
        <f>'Scope 3 Yearly'!CE135</f>
        <v>1.1268891673642876</v>
      </c>
      <c r="CF8" s="43">
        <f>'Scope 3 Yearly'!CF135</f>
        <v>1.1374804306411701</v>
      </c>
      <c r="CG8" s="43">
        <f>'Scope 3 Yearly'!CG135</f>
        <v>1.1480515820304296</v>
      </c>
      <c r="CH8" s="43">
        <f>'Scope 3 Yearly'!CH135</f>
        <v>1.1586020598762414</v>
      </c>
      <c r="CI8" s="43">
        <f>'Scope 3 Yearly'!CI135</f>
        <v>1.1691312896940969</v>
      </c>
      <c r="CJ8" s="43">
        <f>'Scope 3 Yearly'!CJ135</f>
        <v>1.1796386837660195</v>
      </c>
      <c r="CK8" s="43">
        <f>'Scope 3 Yearly'!CK135</f>
        <v>1.1901243595927782</v>
      </c>
      <c r="CL8" s="43">
        <f>'Scope 3 Yearly'!CL135</f>
        <v>1.2005877503925646</v>
      </c>
      <c r="CM8" s="43">
        <f>'Scope 3 Yearly'!CM135</f>
        <v>1.2110282764987756</v>
      </c>
      <c r="CN8" s="43">
        <f>'Scope 3 Yearly'!CN135</f>
        <v>1.2214453449778688</v>
      </c>
      <c r="CO8" s="43">
        <f>'Scope 3 Yearly'!CO135</f>
        <v>1.2318383492363625</v>
      </c>
      <c r="CP8" s="43">
        <f>'Scope 3 Yearly'!CP135</f>
        <v>1.242207355863802</v>
      </c>
      <c r="CQ8" s="43">
        <f>'Scope 3 Yearly'!CQ135</f>
        <v>1.2525517748416186</v>
      </c>
      <c r="CR8" s="43">
        <f>'Scope 3 Yearly'!CR135</f>
        <v>1.2628710027734296</v>
      </c>
      <c r="CS8" s="43">
        <f>'Scope 3 Yearly'!CS135</f>
        <v>1.2731644225087755</v>
      </c>
      <c r="CT8" s="43">
        <f>'Scope 3 Yearly'!CT135</f>
        <v>1.2834314027563702</v>
      </c>
      <c r="CV8" s="43">
        <f>'Scope 3 Yearly'!CV135</f>
        <v>0.95981021058607219</v>
      </c>
      <c r="CW8" s="43">
        <f>'Scope 3 Yearly'!CW135</f>
        <v>0.96056129737181806</v>
      </c>
      <c r="CX8" s="43">
        <f>'Scope 3 Yearly'!CX135</f>
        <v>0.96090997930647382</v>
      </c>
      <c r="CY8" s="43">
        <f>'Scope 3 Yearly'!CY135</f>
        <v>0.96151965479877588</v>
      </c>
      <c r="CZ8" s="43">
        <f>'Scope 3 Yearly'!CZ135</f>
        <v>0.96239211833402738</v>
      </c>
      <c r="DA8" s="43">
        <f>'Scope 3 Yearly'!DA135</f>
        <v>0.96350635546807384</v>
      </c>
      <c r="DB8" s="43">
        <f>'Scope 3 Yearly'!DB135</f>
        <v>0.96473789981336155</v>
      </c>
      <c r="DC8" s="43">
        <f>'Scope 3 Yearly'!DC135</f>
        <v>0.96613728762130557</v>
      </c>
      <c r="DD8" s="43">
        <f>'Scope 3 Yearly'!DD135</f>
        <v>0.96757583644494338</v>
      </c>
      <c r="DE8" s="43">
        <f>'Scope 3 Yearly'!DE135</f>
        <v>0.96880397138309315</v>
      </c>
      <c r="DF8" s="43">
        <f>'Scope 3 Yearly'!DF135</f>
        <v>0.96936868772797791</v>
      </c>
      <c r="DG8" s="43">
        <f>'Scope 3 Yearly'!DG135</f>
        <v>0.96712260609132361</v>
      </c>
      <c r="DH8" s="43">
        <f>'Scope 3 Yearly'!DH135</f>
        <v>0.96201184031125742</v>
      </c>
      <c r="DI8" s="43">
        <f>'Scope 3 Yearly'!DI135</f>
        <v>0.95347346349422402</v>
      </c>
      <c r="DJ8" s="43">
        <f>'Scope 3 Yearly'!DJ135</f>
        <v>0.93943969932205551</v>
      </c>
      <c r="DK8" s="43">
        <f>'Scope 3 Yearly'!DK135</f>
        <v>0.91870707335758661</v>
      </c>
      <c r="DL8" s="43">
        <f>'Scope 3 Yearly'!DL135</f>
        <v>0.89094697441649884</v>
      </c>
      <c r="DM8" s="43">
        <f>'Scope 3 Yearly'!DM135</f>
        <v>0.85708483974679028</v>
      </c>
      <c r="DN8" s="43">
        <f>'Scope 3 Yearly'!DN135</f>
        <v>0.8189916051826559</v>
      </c>
      <c r="DO8" s="43">
        <f>'Scope 3 Yearly'!DO135</f>
        <v>0.77890794077229542</v>
      </c>
      <c r="DP8" s="43">
        <f>'Scope 3 Yearly'!DP135</f>
        <v>0.73883394200526142</v>
      </c>
      <c r="DQ8" s="43">
        <f>'Scope 3 Yearly'!DQ135</f>
        <v>0.69909353574568223</v>
      </c>
      <c r="DR8" s="43">
        <f>'Scope 3 Yearly'!DR135</f>
        <v>0.66052892828637377</v>
      </c>
      <c r="DS8" s="43">
        <f>'Scope 3 Yearly'!DS135</f>
        <v>0.62475623346920006</v>
      </c>
      <c r="DT8" s="43">
        <f>'Scope 3 Yearly'!DT135</f>
        <v>0.59158447174261597</v>
      </c>
      <c r="DU8" s="43">
        <f>'Scope 3 Yearly'!DU135</f>
        <v>0.56058700246268789</v>
      </c>
      <c r="DV8" s="43">
        <f>'Scope 3 Yearly'!DV135</f>
        <v>0.53154535704201644</v>
      </c>
      <c r="DW8" s="43">
        <f>'Scope 3 Yearly'!DW135</f>
        <v>0.50393437621900439</v>
      </c>
      <c r="DX8" s="43">
        <f>'Scope 3 Yearly'!DX135</f>
        <v>0.47738801651654084</v>
      </c>
      <c r="DY8" s="43">
        <f>'Scope 3 Yearly'!DY135</f>
        <v>0.4515659507732484</v>
      </c>
      <c r="DZ8" s="43">
        <f>'Scope 3 Yearly'!DZ135</f>
        <v>0.42615146601648318</v>
      </c>
    </row>
    <row r="9" spans="1:165" x14ac:dyDescent="0.2">
      <c r="A9" t="s">
        <v>9</v>
      </c>
      <c r="C9" s="54" t="s">
        <v>413</v>
      </c>
      <c r="D9" s="43">
        <f>'Scope 3 Yearly'!D158</f>
        <v>0.95658965127668072</v>
      </c>
      <c r="E9" s="43">
        <f>'Scope 3 Yearly'!E158</f>
        <v>0.9563835991154972</v>
      </c>
      <c r="F9" s="43">
        <f>'Scope 3 Yearly'!F158</f>
        <v>0.95573723316894665</v>
      </c>
      <c r="G9" s="43">
        <f>'Scope 3 Yearly'!G158</f>
        <v>0.95522876553055913</v>
      </c>
      <c r="H9" s="43">
        <f>'Scope 3 Yearly'!H158</f>
        <v>0.95488358542079488</v>
      </c>
      <c r="I9" s="43">
        <f>'Scope 3 Yearly'!I158</f>
        <v>0.95467895436686123</v>
      </c>
      <c r="J9" s="43">
        <f>'Scope 3 Yearly'!J158</f>
        <v>0.95415298191126419</v>
      </c>
      <c r="K9" s="43">
        <f>'Scope 3 Yearly'!K158</f>
        <v>0.95361681333854054</v>
      </c>
      <c r="L9" s="43">
        <f>'Scope 3 Yearly'!L158</f>
        <v>0.95293947814365332</v>
      </c>
      <c r="M9" s="43">
        <f>'Scope 3 Yearly'!M158</f>
        <v>0.95187674891636753</v>
      </c>
      <c r="N9" s="43">
        <f>'Scope 3 Yearly'!N158</f>
        <v>0.94999488072269678</v>
      </c>
      <c r="O9" s="43">
        <f>'Scope 3 Yearly'!O158</f>
        <v>0.94338634287736367</v>
      </c>
      <c r="P9" s="43">
        <f>'Scope 3 Yearly'!P158</f>
        <v>0.93396971455249567</v>
      </c>
      <c r="Q9" s="43">
        <f>'Scope 3 Yearly'!Q158</f>
        <v>0.92035669356843286</v>
      </c>
      <c r="R9" s="43">
        <f>'Scope 3 Yearly'!R158</f>
        <v>0.90112371513682088</v>
      </c>
      <c r="S9" s="43">
        <f>'Scope 3 Yearly'!S158</f>
        <v>0.87525979166490264</v>
      </c>
      <c r="T9" s="43">
        <f>'Scope 3 Yearly'!T158</f>
        <v>0.84282264860173406</v>
      </c>
      <c r="U9" s="43">
        <f>'Scope 3 Yearly'!U158</f>
        <v>0.80466465980633672</v>
      </c>
      <c r="V9" s="43">
        <f>'Scope 3 Yearly'!V158</f>
        <v>0.76265519200251941</v>
      </c>
      <c r="W9" s="43">
        <f>'Scope 3 Yearly'!W158</f>
        <v>0.7189408020555621</v>
      </c>
      <c r="X9" s="43">
        <f>'Scope 3 Yearly'!X158</f>
        <v>0.67538090004248108</v>
      </c>
      <c r="Y9" s="43">
        <f>'Scope 3 Yearly'!Y158</f>
        <v>0.62867983308741748</v>
      </c>
      <c r="Z9" s="43">
        <f>'Scope 3 Yearly'!Z158</f>
        <v>0.58435551550519371</v>
      </c>
      <c r="AA9" s="43">
        <f>'Scope 3 Yearly'!AA158</f>
        <v>0.54257519561757739</v>
      </c>
      <c r="AB9" s="43">
        <f>'Scope 3 Yearly'!AB158</f>
        <v>0.50367324416641246</v>
      </c>
      <c r="AC9" s="43">
        <f>'Scope 3 Yearly'!AC158</f>
        <v>0.46692557157069325</v>
      </c>
      <c r="AD9" s="43">
        <f>'Scope 3 Yearly'!AD158</f>
        <v>0.4317533011090865</v>
      </c>
      <c r="AE9" s="43">
        <f>'Scope 3 Yearly'!AE158</f>
        <v>0.39783063644040195</v>
      </c>
      <c r="AF9" s="43">
        <f>'Scope 3 Yearly'!AF158</f>
        <v>0.36482417667824418</v>
      </c>
      <c r="AG9" s="43">
        <f>'Scope 3 Yearly'!AG158</f>
        <v>0.3324256380082346</v>
      </c>
      <c r="AH9" s="43">
        <f>'Scope 3 Yearly'!AH158</f>
        <v>0.30036627867741983</v>
      </c>
      <c r="AI9" s="43"/>
      <c r="AJ9" s="43">
        <f>'Scope 3 Yearly'!AJ158</f>
        <v>0.95658925915788706</v>
      </c>
      <c r="AK9" s="43">
        <f>'Scope 3 Yearly'!AK158</f>
        <v>0.95643170745444361</v>
      </c>
      <c r="AL9" s="43">
        <f>'Scope 3 Yearly'!AL158</f>
        <v>0.9558624391646805</v>
      </c>
      <c r="AM9" s="43">
        <f>'Scope 3 Yearly'!AM158</f>
        <v>0.95543243818669943</v>
      </c>
      <c r="AN9" s="43">
        <f>'Scope 3 Yearly'!AN158</f>
        <v>0.9551766490040221</v>
      </c>
      <c r="AO9" s="43">
        <f>'Scope 3 Yearly'!AO158</f>
        <v>0.95507204668514756</v>
      </c>
      <c r="AP9" s="43">
        <f>'Scope 3 Yearly'!AP158</f>
        <v>0.95500069390874542</v>
      </c>
      <c r="AQ9" s="43">
        <f>'Scope 3 Yearly'!AQ158</f>
        <v>0.9549900439931841</v>
      </c>
      <c r="AR9" s="43">
        <f>'Scope 3 Yearly'!AR158</f>
        <v>0.9549096748217849</v>
      </c>
      <c r="AS9" s="43">
        <f>'Scope 3 Yearly'!AS158</f>
        <v>0.95451149654351819</v>
      </c>
      <c r="AT9" s="43">
        <f>'Scope 3 Yearly'!AT158</f>
        <v>0.95335032792236452</v>
      </c>
      <c r="AU9" s="43">
        <f>'Scope 3 Yearly'!AU158</f>
        <v>0.94785590263646669</v>
      </c>
      <c r="AV9" s="43">
        <f>'Scope 3 Yearly'!AV158</f>
        <v>0.93968097833584208</v>
      </c>
      <c r="AW9" s="43">
        <f>'Scope 3 Yearly'!AW158</f>
        <v>0.92743179808931564</v>
      </c>
      <c r="AX9" s="43">
        <f>'Scope 3 Yearly'!AX158</f>
        <v>0.90964278521082309</v>
      </c>
      <c r="AY9" s="43">
        <f>'Scope 3 Yearly'!AY158</f>
        <v>0.88526841106213627</v>
      </c>
      <c r="AZ9" s="43">
        <f>'Scope 3 Yearly'!AZ158</f>
        <v>0.85411229072875938</v>
      </c>
      <c r="BA9" s="43">
        <f>'Scope 3 Yearly'!BA158</f>
        <v>0.81721851408126467</v>
      </c>
      <c r="BB9" s="43">
        <f>'Scope 3 Yearly'!BB158</f>
        <v>0.77648242645498167</v>
      </c>
      <c r="BC9" s="43">
        <f>'Scope 3 Yearly'!BC158</f>
        <v>0.73409823854487288</v>
      </c>
      <c r="BD9" s="43">
        <f>'Scope 3 Yearly'!BD158</f>
        <v>0.69197789103482987</v>
      </c>
      <c r="BE9" s="43">
        <f>'Scope 3 Yearly'!BE158</f>
        <v>0.64768763476003888</v>
      </c>
      <c r="BF9" s="43">
        <f>'Scope 3 Yearly'!BF158</f>
        <v>0.60598378789159768</v>
      </c>
      <c r="BG9" s="43">
        <f>'Scope 3 Yearly'!BG158</f>
        <v>0.56706073543764435</v>
      </c>
      <c r="BH9" s="43">
        <f>'Scope 3 Yearly'!BH158</f>
        <v>0.53071053060890039</v>
      </c>
      <c r="BI9" s="43">
        <f>'Scope 3 Yearly'!BI158</f>
        <v>0.49660851277072277</v>
      </c>
      <c r="BJ9" s="43">
        <f>'Scope 3 Yearly'!BJ158</f>
        <v>0.46453745138483321</v>
      </c>
      <c r="BK9" s="43">
        <f>'Scope 3 Yearly'!BK158</f>
        <v>0.43399621173250091</v>
      </c>
      <c r="BL9" s="43">
        <f>'Scope 3 Yearly'!BL158</f>
        <v>0.40462635570973493</v>
      </c>
      <c r="BM9" s="43">
        <f>'Scope 3 Yearly'!BM158</f>
        <v>0.37608663439083428</v>
      </c>
      <c r="BN9" s="43">
        <f>'Scope 3 Yearly'!BN158</f>
        <v>0.34805650894879059</v>
      </c>
      <c r="BO9" s="43"/>
      <c r="BP9" s="43">
        <f>'Scope 3 Yearly'!BP158</f>
        <v>0.95658873298269975</v>
      </c>
      <c r="BQ9" s="43">
        <f>'Scope 3 Yearly'!BQ158</f>
        <v>0.96816970130282953</v>
      </c>
      <c r="BR9" s="43">
        <f>'Scope 3 Yearly'!BR158</f>
        <v>0.97965142491650437</v>
      </c>
      <c r="BS9" s="43">
        <f>'Scope 3 Yearly'!BS158</f>
        <v>0.99103058463284932</v>
      </c>
      <c r="BT9" s="43">
        <f>'Scope 3 Yearly'!BT158</f>
        <v>1.0023032058387848</v>
      </c>
      <c r="BU9" s="43">
        <f>'Scope 3 Yearly'!BU158</f>
        <v>1.013464603118384</v>
      </c>
      <c r="BV9" s="43">
        <f>'Scope 3 Yearly'!BV158</f>
        <v>1.0246138452403186</v>
      </c>
      <c r="BW9" s="43">
        <f>'Scope 3 Yearly'!BW158</f>
        <v>1.0357498589110925</v>
      </c>
      <c r="BX9" s="43">
        <f>'Scope 3 Yearly'!BX158</f>
        <v>1.0468715637892707</v>
      </c>
      <c r="BY9" s="43">
        <f>'Scope 3 Yearly'!BY158</f>
        <v>1.0579778698482882</v>
      </c>
      <c r="BZ9" s="43">
        <f>'Scope 3 Yearly'!BZ158</f>
        <v>1.0690676747361942</v>
      </c>
      <c r="CA9" s="43">
        <f>'Scope 3 Yearly'!CA158</f>
        <v>1.0800650602535744</v>
      </c>
      <c r="CB9" s="43">
        <f>'Scope 3 Yearly'!CB158</f>
        <v>1.0909649368070267</v>
      </c>
      <c r="CC9" s="43">
        <f>'Scope 3 Yearly'!CC158</f>
        <v>1.1017616540206134</v>
      </c>
      <c r="CD9" s="43">
        <f>'Scope 3 Yearly'!CD158</f>
        <v>1.1124489450456521</v>
      </c>
      <c r="CE9" s="43">
        <f>'Scope 3 Yearly'!CE158</f>
        <v>1.1230198645718195</v>
      </c>
      <c r="CF9" s="43">
        <f>'Scope 3 Yearly'!CF158</f>
        <v>1.1335713140204811</v>
      </c>
      <c r="CG9" s="43">
        <f>'Scope 3 Yearly'!CG158</f>
        <v>1.1441027465490725</v>
      </c>
      <c r="CH9" s="43">
        <f>'Scope 3 Yearly'!CH158</f>
        <v>1.1546136029351526</v>
      </c>
      <c r="CI9" s="43">
        <f>'Scope 3 Yearly'!CI158</f>
        <v>1.1651033111846365</v>
      </c>
      <c r="CJ9" s="43">
        <f>'Scope 3 Yearly'!CJ158</f>
        <v>1.1755712861287471</v>
      </c>
      <c r="CK9" s="43">
        <f>'Scope 3 Yearly'!CK158</f>
        <v>1.1860176437207284</v>
      </c>
      <c r="CL9" s="43">
        <f>'Scope 3 Yearly'!CL158</f>
        <v>1.1964418196346727</v>
      </c>
      <c r="CM9" s="43">
        <f>'Scope 3 Yearly'!CM158</f>
        <v>1.2068432367165947</v>
      </c>
      <c r="CN9" s="43">
        <f>'Scope 3 Yearly'!CN158</f>
        <v>1.2172213046039202</v>
      </c>
      <c r="CO9" s="43">
        <f>'Scope 3 Yearly'!CO158</f>
        <v>1.2275754193341699</v>
      </c>
      <c r="CP9" s="43">
        <f>'Scope 3 Yearly'!CP158</f>
        <v>1.2379056463110001</v>
      </c>
      <c r="CQ9" s="43">
        <f>'Scope 3 Yearly'!CQ158</f>
        <v>1.2482113980712708</v>
      </c>
      <c r="CR9" s="43">
        <f>'Scope 3 Yearly'!CR158</f>
        <v>1.2584920738324039</v>
      </c>
      <c r="CS9" s="43">
        <f>'Scope 3 Yearly'!CS158</f>
        <v>1.2687470591177266</v>
      </c>
      <c r="CT9" s="43">
        <f>'Scope 3 Yearly'!CT158</f>
        <v>1.2789757253713712</v>
      </c>
      <c r="CV9" s="43">
        <f>'Scope 3 Yearly'!CV158</f>
        <v>0.95658925915788706</v>
      </c>
      <c r="CW9" s="43">
        <f>'Scope 3 Yearly'!CW158</f>
        <v>0.95735045386934203</v>
      </c>
      <c r="CX9" s="43">
        <f>'Scope 3 Yearly'!CX158</f>
        <v>0.95772028969438217</v>
      </c>
      <c r="CY9" s="43">
        <f>'Scope 3 Yearly'!CY158</f>
        <v>0.95835827678147045</v>
      </c>
      <c r="CZ9" s="43">
        <f>'Scope 3 Yearly'!CZ158</f>
        <v>0.95926583280893618</v>
      </c>
      <c r="DA9" s="43">
        <f>'Scope 3 Yearly'!DA158</f>
        <v>0.96042189329268135</v>
      </c>
      <c r="DB9" s="43">
        <f>'Scope 3 Yearly'!DB158</f>
        <v>0.96170173400703896</v>
      </c>
      <c r="DC9" s="43">
        <f>'Scope 3 Yearly'!DC158</f>
        <v>0.96315587556067606</v>
      </c>
      <c r="DD9" s="43">
        <f>'Scope 3 Yearly'!DD158</f>
        <v>0.96465555225323085</v>
      </c>
      <c r="DE9" s="43">
        <f>'Scope 3 Yearly'!DE158</f>
        <v>0.96595108016082265</v>
      </c>
      <c r="DF9" s="43">
        <f>'Scope 3 Yearly'!DF158</f>
        <v>0.9665892995310863</v>
      </c>
      <c r="DG9" s="43">
        <f>'Scope 3 Yearly'!DG158</f>
        <v>0.96442897976842412</v>
      </c>
      <c r="DH9" s="43">
        <f>'Scope 3 Yearly'!DH158</f>
        <v>0.95940929764457183</v>
      </c>
      <c r="DI9" s="43">
        <f>'Scope 3 Yearly'!DI158</f>
        <v>0.95096414381983185</v>
      </c>
      <c r="DJ9" s="43">
        <f>'Scope 3 Yearly'!DJ158</f>
        <v>0.93702653307671313</v>
      </c>
      <c r="DK9" s="43">
        <f>'Scope 3 Yearly'!DK158</f>
        <v>0.91639245770500266</v>
      </c>
      <c r="DL9" s="43">
        <f>'Scope 3 Yearly'!DL158</f>
        <v>0.88873332216523415</v>
      </c>
      <c r="DM9" s="43">
        <f>'Scope 3 Yearly'!DM158</f>
        <v>0.85497452359254078</v>
      </c>
      <c r="DN9" s="43">
        <f>'Scope 3 Yearly'!DN158</f>
        <v>0.81698755940525736</v>
      </c>
      <c r="DO9" s="43">
        <f>'Scope 3 Yearly'!DO158</f>
        <v>0.77701390620041466</v>
      </c>
      <c r="DP9" s="43">
        <f>'Scope 3 Yearly'!DP158</f>
        <v>0.73705449929685907</v>
      </c>
      <c r="DQ9" s="43">
        <f>'Scope 3 Yearly'!DQ158</f>
        <v>0.6974366798322893</v>
      </c>
      <c r="DR9" s="43">
        <f>'Scope 3 Yearly'!DR158</f>
        <v>0.65900233123196394</v>
      </c>
      <c r="DS9" s="43">
        <f>'Scope 3 Yearly'!DS158</f>
        <v>0.62336447629725789</v>
      </c>
      <c r="DT9" s="43">
        <f>'Scope 3 Yearly'!DT158</f>
        <v>0.59033264554547193</v>
      </c>
      <c r="DU9" s="43">
        <f>'Scope 3 Yearly'!DU158</f>
        <v>0.55948074372862278</v>
      </c>
      <c r="DV9" s="43">
        <f>'Scope 3 Yearly'!DV158</f>
        <v>0.53059024050783565</v>
      </c>
      <c r="DW9" s="43">
        <f>'Scope 3 Yearly'!DW158</f>
        <v>0.50313652594401925</v>
      </c>
      <c r="DX9" s="43">
        <f>'Scope 3 Yearly'!DX158</f>
        <v>0.47675370340610901</v>
      </c>
      <c r="DY9" s="43">
        <f>'Scope 3 Yearly'!DY158</f>
        <v>0.45110147859580568</v>
      </c>
      <c r="DZ9" s="43">
        <f>'Scope 3 Yearly'!DZ158</f>
        <v>0.42586304846067974</v>
      </c>
    </row>
    <row r="10" spans="1:165" x14ac:dyDescent="0.2">
      <c r="A10" t="s">
        <v>10</v>
      </c>
      <c r="C10" s="54" t="s">
        <v>413</v>
      </c>
      <c r="D10" s="43">
        <f>'Scope 3 Yearly'!D181</f>
        <v>0.98582389346283572</v>
      </c>
      <c r="E10" s="43">
        <f>'Scope 3 Yearly'!E181</f>
        <v>0.98585064641771547</v>
      </c>
      <c r="F10" s="43">
        <f>'Scope 3 Yearly'!F181</f>
        <v>0.9860698234068721</v>
      </c>
      <c r="G10" s="43">
        <f>'Scope 3 Yearly'!G181</f>
        <v>0.98646806311245661</v>
      </c>
      <c r="H10" s="43">
        <f>'Scope 3 Yearly'!H181</f>
        <v>0.98702741315863007</v>
      </c>
      <c r="I10" s="43">
        <f>'Scope 3 Yearly'!I181</f>
        <v>0.98772012297227518</v>
      </c>
      <c r="J10" s="43">
        <f>'Scope 3 Yearly'!J181</f>
        <v>0.98828388299415926</v>
      </c>
      <c r="K10" s="43">
        <f>'Scope 3 Yearly'!K181</f>
        <v>0.98879394987311064</v>
      </c>
      <c r="L10" s="43">
        <f>'Scope 3 Yearly'!L181</f>
        <v>0.98907994145654732</v>
      </c>
      <c r="M10" s="43">
        <f>'Scope 3 Yearly'!M181</f>
        <v>0.98883240866272937</v>
      </c>
      <c r="N10" s="43">
        <f>'Scope 3 Yearly'!N181</f>
        <v>0.98751182755176503</v>
      </c>
      <c r="O10" s="43">
        <f>'Scope 3 Yearly'!O181</f>
        <v>0.98420880408895739</v>
      </c>
      <c r="P10" s="43">
        <f>'Scope 3 Yearly'!P181</f>
        <v>0.97767052064466387</v>
      </c>
      <c r="Q10" s="43">
        <f>'Scope 3 Yearly'!Q181</f>
        <v>0.96652091697676068</v>
      </c>
      <c r="R10" s="43">
        <f>'Scope 3 Yearly'!R181</f>
        <v>0.94881189350886896</v>
      </c>
      <c r="S10" s="43">
        <f>'Scope 3 Yearly'!S181</f>
        <v>0.92332801006597576</v>
      </c>
      <c r="T10" s="43">
        <f>'Scope 3 Yearly'!T181</f>
        <v>0.88995480462476284</v>
      </c>
      <c r="U10" s="43">
        <f>'Scope 3 Yearly'!U181</f>
        <v>0.84985385094247268</v>
      </c>
      <c r="V10" s="43">
        <f>'Scope 3 Yearly'!V181</f>
        <v>0.80524941263006933</v>
      </c>
      <c r="W10" s="43">
        <f>'Scope 3 Yearly'!W181</f>
        <v>0.75872164813922482</v>
      </c>
      <c r="X10" s="43">
        <f>'Scope 3 Yearly'!X181</f>
        <v>0.71252442209920286</v>
      </c>
      <c r="Y10" s="43">
        <f>'Scope 3 Yearly'!Y181</f>
        <v>0.66814934227582223</v>
      </c>
      <c r="Z10" s="43">
        <f>'Scope 3 Yearly'!Z181</f>
        <v>0.62647906127817043</v>
      </c>
      <c r="AA10" s="43">
        <f>'Scope 3 Yearly'!AA181</f>
        <v>0.58834372308377225</v>
      </c>
      <c r="AB10" s="43">
        <f>'Scope 3 Yearly'!AB181</f>
        <v>0.55287366961891415</v>
      </c>
      <c r="AC10" s="43">
        <f>'Scope 3 Yearly'!AC181</f>
        <v>0.51969789287692403</v>
      </c>
      <c r="AD10" s="43">
        <f>'Scope 3 Yearly'!AD181</f>
        <v>0.48836027282416411</v>
      </c>
      <c r="AE10" s="43">
        <f>'Scope 3 Yearly'!AE181</f>
        <v>0.45847561820958188</v>
      </c>
      <c r="AF10" s="43">
        <f>'Scope 3 Yearly'!AF181</f>
        <v>0.42968295554352692</v>
      </c>
      <c r="AG10" s="43">
        <f>'Scope 3 Yearly'!AG181</f>
        <v>0.40168342784120747</v>
      </c>
      <c r="AH10" s="43">
        <f>'Scope 3 Yearly'!AH181</f>
        <v>0.37423856321628929</v>
      </c>
      <c r="AI10" s="43"/>
      <c r="AJ10" s="43">
        <f>'Scope 3 Yearly'!AJ181</f>
        <v>0.98582389346283572</v>
      </c>
      <c r="AK10" s="43">
        <f>'Scope 3 Yearly'!AK181</f>
        <v>0.98585312063468877</v>
      </c>
      <c r="AL10" s="43">
        <f>'Scope 3 Yearly'!AL181</f>
        <v>0.98607557812107105</v>
      </c>
      <c r="AM10" s="43">
        <f>'Scope 3 Yearly'!AM181</f>
        <v>0.98647798215722793</v>
      </c>
      <c r="AN10" s="43">
        <f>'Scope 3 Yearly'!AN181</f>
        <v>0.98704246105094162</v>
      </c>
      <c r="AO10" s="43">
        <f>'Scope 3 Yearly'!AO181</f>
        <v>0.98774134759701959</v>
      </c>
      <c r="AP10" s="43">
        <f>'Scope 3 Yearly'!AP181</f>
        <v>0.988419860076026</v>
      </c>
      <c r="AQ10" s="43">
        <f>'Scope 3 Yearly'!AQ181</f>
        <v>0.98907166288981385</v>
      </c>
      <c r="AR10" s="43">
        <f>'Scope 3 Yearly'!AR181</f>
        <v>0.98952876026920911</v>
      </c>
      <c r="AS10" s="43">
        <f>'Scope 3 Yearly'!AS181</f>
        <v>0.98948387634584112</v>
      </c>
      <c r="AT10" s="43">
        <f>'Scope 3 Yearly'!AT181</f>
        <v>0.98839903924763783</v>
      </c>
      <c r="AU10" s="43">
        <f>'Scope 3 Yearly'!AU181</f>
        <v>0.985373896233391</v>
      </c>
      <c r="AV10" s="43">
        <f>'Scope 3 Yearly'!AV181</f>
        <v>0.97914451014118886</v>
      </c>
      <c r="AW10" s="43">
        <f>'Scope 3 Yearly'!AW181</f>
        <v>0.96818550878436271</v>
      </c>
      <c r="AX10" s="43">
        <f>'Scope 3 Yearly'!AX181</f>
        <v>0.9506666524948173</v>
      </c>
      <c r="AY10" s="43">
        <f>'Scope 3 Yearly'!AY181</f>
        <v>0.92536402404308093</v>
      </c>
      <c r="AZ10" s="43">
        <f>'Scope 3 Yearly'!AZ181</f>
        <v>0.89214169797044462</v>
      </c>
      <c r="BA10" s="43">
        <f>'Scope 3 Yearly'!BA181</f>
        <v>0.8521707899727039</v>
      </c>
      <c r="BB10" s="43">
        <f>'Scope 3 Yearly'!BB181</f>
        <v>0.8076769295411601</v>
      </c>
      <c r="BC10" s="43">
        <f>'Scope 3 Yearly'!BC181</f>
        <v>0.76124548994217411</v>
      </c>
      <c r="BD10" s="43">
        <f>'Scope 3 Yearly'!BD181</f>
        <v>0.71513735419277891</v>
      </c>
      <c r="BE10" s="43">
        <f>'Scope 3 Yearly'!BE181</f>
        <v>0.67086075488434926</v>
      </c>
      <c r="BF10" s="43">
        <f>'Scope 3 Yearly'!BF181</f>
        <v>0.6292848135738518</v>
      </c>
      <c r="BG10" s="43">
        <f>'Scope 3 Yearly'!BG181</f>
        <v>0.5908941682718758</v>
      </c>
      <c r="BH10" s="43">
        <f>'Scope 3 Yearly'!BH181</f>
        <v>0.55516779726417886</v>
      </c>
      <c r="BI10" s="43">
        <f>'Scope 3 Yearly'!BI181</f>
        <v>0.52173187144249444</v>
      </c>
      <c r="BJ10" s="43">
        <f>'Scope 3 Yearly'!BJ181</f>
        <v>0.490142141164774</v>
      </c>
      <c r="BK10" s="43">
        <f>'Scope 3 Yearly'!BK181</f>
        <v>0.45999594418875411</v>
      </c>
      <c r="BL10" s="43">
        <f>'Scope 3 Yearly'!BL181</f>
        <v>0.43092989897394562</v>
      </c>
      <c r="BM10" s="43">
        <f>'Scope 3 Yearly'!BM181</f>
        <v>0.40264332283315962</v>
      </c>
      <c r="BN10" s="43">
        <f>'Scope 3 Yearly'!BN181</f>
        <v>0.37489650984359385</v>
      </c>
      <c r="BO10" s="43"/>
      <c r="BP10" s="43">
        <f>'Scope 3 Yearly'!BP181</f>
        <v>0.98582389346283572</v>
      </c>
      <c r="BQ10" s="43">
        <f>'Scope 3 Yearly'!BQ181</f>
        <v>0.99764669945094486</v>
      </c>
      <c r="BR10" s="43">
        <f>'Scope 3 Yearly'!BR181</f>
        <v>1.0094148439985102</v>
      </c>
      <c r="BS10" s="43">
        <f>'Scope 3 Yearly'!BS181</f>
        <v>1.021126535395052</v>
      </c>
      <c r="BT10" s="43">
        <f>'Scope 3 Yearly'!BT181</f>
        <v>1.0327796202382835</v>
      </c>
      <c r="BU10" s="43">
        <f>'Scope 3 Yearly'!BU181</f>
        <v>1.0443715534237932</v>
      </c>
      <c r="BV10" s="43">
        <f>'Scope 3 Yearly'!BV181</f>
        <v>1.055956770691187</v>
      </c>
      <c r="BW10" s="43">
        <f>'Scope 3 Yearly'!BW181</f>
        <v>1.0675346875086882</v>
      </c>
      <c r="BX10" s="43">
        <f>'Scope 3 Yearly'!BX181</f>
        <v>1.0791047153824938</v>
      </c>
      <c r="BY10" s="43">
        <f>'Scope 3 Yearly'!BY181</f>
        <v>1.0906662604198614</v>
      </c>
      <c r="BZ10" s="43">
        <f>'Scope 3 Yearly'!BZ181</f>
        <v>1.102218721890259</v>
      </c>
      <c r="CA10" s="43">
        <f>'Scope 3 Yearly'!CA181</f>
        <v>1.1137204337134627</v>
      </c>
      <c r="CB10" s="43">
        <f>'Scope 3 Yearly'!CB181</f>
        <v>1.125168619356512</v>
      </c>
      <c r="CC10" s="43">
        <f>'Scope 3 Yearly'!CC181</f>
        <v>1.1365601944715196</v>
      </c>
      <c r="CD10" s="43">
        <f>'Scope 3 Yearly'!CD181</f>
        <v>1.1478917364904166</v>
      </c>
      <c r="CE10" s="43">
        <f>'Scope 3 Yearly'!CE181</f>
        <v>1.1591594507651388</v>
      </c>
      <c r="CF10" s="43">
        <f>'Scope 3 Yearly'!CF181</f>
        <v>1.1704165155702109</v>
      </c>
      <c r="CG10" s="43">
        <f>'Scope 3 Yearly'!CG181</f>
        <v>1.1816626321019972</v>
      </c>
      <c r="CH10" s="43">
        <f>'Scope 3 Yearly'!CH181</f>
        <v>1.1928974947902442</v>
      </c>
      <c r="CI10" s="43">
        <f>'Scope 3 Yearly'!CI181</f>
        <v>1.2041207910840375</v>
      </c>
      <c r="CJ10" s="43">
        <f>'Scope 3 Yearly'!CJ181</f>
        <v>1.2153322012315928</v>
      </c>
      <c r="CK10" s="43">
        <f>'Scope 3 Yearly'!CK181</f>
        <v>1.226531790001482</v>
      </c>
      <c r="CL10" s="43">
        <f>'Scope 3 Yearly'!CL181</f>
        <v>1.2377192490343982</v>
      </c>
      <c r="CM10" s="43">
        <f>'Scope 3 Yearly'!CM181</f>
        <v>1.2488942629603046</v>
      </c>
      <c r="CN10" s="43">
        <f>'Scope 3 Yearly'!CN181</f>
        <v>1.2600565091905449</v>
      </c>
      <c r="CO10" s="43">
        <f>'Scope 3 Yearly'!CO181</f>
        <v>1.2712056577040505</v>
      </c>
      <c r="CP10" s="43">
        <f>'Scope 3 Yearly'!CP181</f>
        <v>1.2823417454566406</v>
      </c>
      <c r="CQ10" s="43">
        <f>'Scope 3 Yearly'!CQ181</f>
        <v>1.2934644514479183</v>
      </c>
      <c r="CR10" s="43">
        <f>'Scope 3 Yearly'!CR181</f>
        <v>1.3045734473989172</v>
      </c>
      <c r="CS10" s="43">
        <f>'Scope 3 Yearly'!CS181</f>
        <v>1.3156683975474128</v>
      </c>
      <c r="CT10" s="43">
        <f>'Scope 3 Yearly'!CT181</f>
        <v>1.3267489584375309</v>
      </c>
      <c r="CV10" s="43">
        <f>'Scope 3 Yearly'!CV181</f>
        <v>0.98582389346283572</v>
      </c>
      <c r="CW10" s="43">
        <f>'Scope 3 Yearly'!CW181</f>
        <v>0.98694057959633719</v>
      </c>
      <c r="CX10" s="43">
        <f>'Scope 3 Yearly'!CX181</f>
        <v>0.98834712491949772</v>
      </c>
      <c r="CY10" s="43">
        <f>'Scope 3 Yearly'!CY181</f>
        <v>0.99003106353814196</v>
      </c>
      <c r="CZ10" s="43">
        <f>'Scope 3 Yearly'!CZ181</f>
        <v>0.99197543240577524</v>
      </c>
      <c r="DA10" s="43">
        <f>'Scope 3 Yearly'!DA181</f>
        <v>0.9941535046400668</v>
      </c>
      <c r="DB10" s="43">
        <f>'Scope 3 Yearly'!DB181</f>
        <v>0.99654550071219783</v>
      </c>
      <c r="DC10" s="43">
        <f>'Scope 3 Yearly'!DC181</f>
        <v>0.99901902570535484</v>
      </c>
      <c r="DD10" s="43">
        <f>'Scope 3 Yearly'!DD181</f>
        <v>1.0014060190211902</v>
      </c>
      <c r="DE10" s="43">
        <f>'Scope 3 Yearly'!DE181</f>
        <v>1.0033966002475809</v>
      </c>
      <c r="DF10" s="43">
        <f>'Scope 3 Yearly'!DF181</f>
        <v>1.0044451755606916</v>
      </c>
      <c r="DG10" s="43">
        <f>'Scope 3 Yearly'!DG181</f>
        <v>1.0055114992550873</v>
      </c>
      <c r="DH10" s="43">
        <f>'Scope 3 Yearly'!DH181</f>
        <v>1.0032264055601114</v>
      </c>
      <c r="DI10" s="43">
        <f>'Scope 3 Yearly'!DI181</f>
        <v>0.99688696635873009</v>
      </c>
      <c r="DJ10" s="43">
        <f>'Scope 3 Yearly'!DJ181</f>
        <v>0.98407222826289431</v>
      </c>
      <c r="DK10" s="43">
        <f>'Scope 3 Yearly'!DK181</f>
        <v>0.96337623991188204</v>
      </c>
      <c r="DL10" s="43">
        <f>'Scope 3 Yearly'!DL181</f>
        <v>0.93445155910811639</v>
      </c>
      <c r="DM10" s="43">
        <f>'Scope 3 Yearly'!DM181</f>
        <v>0.89834537342292764</v>
      </c>
      <c r="DN10" s="43">
        <f>'Scope 3 Yearly'!DN181</f>
        <v>0.85721029748484168</v>
      </c>
      <c r="DO10" s="43">
        <f>'Scope 3 Yearly'!DO181</f>
        <v>0.81363882842544477</v>
      </c>
      <c r="DP10" s="43">
        <f>'Scope 3 Yearly'!DP181</f>
        <v>0.76995487715116506</v>
      </c>
      <c r="DQ10" s="43">
        <f>'Scope 3 Yearly'!DQ181</f>
        <v>0.73105373692368036</v>
      </c>
      <c r="DR10" s="43">
        <f>'Scope 3 Yearly'!DR181</f>
        <v>0.6931970479409576</v>
      </c>
      <c r="DS10" s="43">
        <f>'Scope 3 Yearly'!DS181</f>
        <v>0.65833983299920229</v>
      </c>
      <c r="DT10" s="43">
        <f>'Scope 3 Yearly'!DT181</f>
        <v>0.62599901311080974</v>
      </c>
      <c r="DU10" s="43">
        <f>'Scope 3 Yearly'!DU181</f>
        <v>0.59568125990652088</v>
      </c>
      <c r="DV10" s="43">
        <f>'Scope 3 Yearly'!DV181</f>
        <v>0.56690279968007462</v>
      </c>
      <c r="DW10" s="43">
        <f>'Scope 3 Yearly'!DW181</f>
        <v>0.53921039603015564</v>
      </c>
      <c r="DX10" s="43">
        <f>'Scope 3 Yearly'!DX181</f>
        <v>0.51218488582433896</v>
      </c>
      <c r="DY10" s="43">
        <f>'Scope 3 Yearly'!DY181</f>
        <v>0.48545757731650502</v>
      </c>
      <c r="DZ10" s="43">
        <f>'Scope 3 Yearly'!DZ181</f>
        <v>0.45870301641953209</v>
      </c>
    </row>
    <row r="11" spans="1:165" ht="16" thickBot="1" x14ac:dyDescent="0.25"/>
    <row r="12" spans="1:165" s="645" customFormat="1" ht="16" thickBot="1" x14ac:dyDescent="0.25">
      <c r="A12" s="644" t="s">
        <v>414</v>
      </c>
      <c r="EK12" s="646"/>
      <c r="EL12" s="646"/>
      <c r="EM12" s="646"/>
      <c r="EN12" s="646"/>
      <c r="EO12" s="646"/>
      <c r="EP12" s="646"/>
      <c r="EQ12" s="646"/>
      <c r="ER12" s="646"/>
      <c r="ES12" s="646"/>
      <c r="ET12" s="646"/>
      <c r="EU12" s="646"/>
      <c r="EV12" s="646"/>
      <c r="EW12" s="646"/>
      <c r="EX12" s="646"/>
      <c r="EY12" s="646"/>
      <c r="EZ12" s="646"/>
      <c r="FA12" s="646"/>
      <c r="FB12" s="646"/>
      <c r="FC12" s="646"/>
      <c r="FD12" s="646"/>
      <c r="FE12" s="646"/>
      <c r="FF12" s="646"/>
      <c r="FG12" s="646"/>
      <c r="FH12" s="646"/>
      <c r="FI12" s="646"/>
    </row>
    <row r="13" spans="1:165" x14ac:dyDescent="0.2">
      <c r="A13" t="s">
        <v>4</v>
      </c>
      <c r="C13" s="54" t="s">
        <v>415</v>
      </c>
      <c r="D13" s="44">
        <f>'Scope 3 Yearly'!$EE$186*'Scope 3 Yearly'!D37*'Yearly HC Ethylene'!D157*'Scope 3 Yearly'!$B$197</f>
        <v>2.8157270224244916E-3</v>
      </c>
      <c r="E13" s="44">
        <f>'Scope 3 Yearly'!$EE$186*'Scope 3 Yearly'!E37*'Yearly HC Ethylene'!E157*'Scope 3 Yearly'!$B$197</f>
        <v>5.6349756624290122E-3</v>
      </c>
      <c r="F13" s="44">
        <f>'Scope 3 Yearly'!$EE$186*'Scope 3 Yearly'!F37*'Yearly HC Ethylene'!F157*'Scope 3 Yearly'!$B$197</f>
        <v>1.1206823354325459E-2</v>
      </c>
      <c r="G13" s="44">
        <f>'Scope 3 Yearly'!$EE$186*'Scope 3 Yearly'!G37*'Yearly HC Ethylene'!G157*'Scope 3 Yearly'!$B$197</f>
        <v>2.2217312612702021E-2</v>
      </c>
      <c r="H13" s="44">
        <f>'Scope 3 Yearly'!$EE$186*'Scope 3 Yearly'!H37*'Yearly HC Ethylene'!H157*'Scope 3 Yearly'!$B$197</f>
        <v>4.3867228778517509E-2</v>
      </c>
      <c r="I13" s="44">
        <f>'Scope 3 Yearly'!$EE$186*'Scope 3 Yearly'!I37*'Yearly HC Ethylene'!I157*'Scope 3 Yearly'!$B$197</f>
        <v>8.6154794728814973E-2</v>
      </c>
      <c r="J13" s="44">
        <f>'Scope 3 Yearly'!$EE$186*'Scope 3 Yearly'!J37*'Yearly HC Ethylene'!J157*'Scope 3 Yearly'!$B$197</f>
        <v>0.16748694154868687</v>
      </c>
      <c r="K13" s="44">
        <f>'Scope 3 Yearly'!$EE$186*'Scope 3 Yearly'!K37*'Yearly HC Ethylene'!K157*'Scope 3 Yearly'!$B$197</f>
        <v>0.32235289486275998</v>
      </c>
      <c r="L13" s="44">
        <f>'Scope 3 Yearly'!$EE$186*'Scope 3 Yearly'!L37*'Yearly HC Ethylene'!L157*'Scope 3 Yearly'!$B$197</f>
        <v>0.61214642476276138</v>
      </c>
      <c r="M13" s="44">
        <f>'Scope 3 Yearly'!$EE$186*'Scope 3 Yearly'!M37*'Yearly HC Ethylene'!M157*'Scope 3 Yearly'!$B$197</f>
        <v>1.1418634688727323</v>
      </c>
      <c r="N13" s="44">
        <f>'Scope 3 Yearly'!$EE$186*'Scope 3 Yearly'!N37*'Yearly HC Ethylene'!N157*'Scope 3 Yearly'!$B$197</f>
        <v>2.0804125590428448</v>
      </c>
      <c r="O13" s="44">
        <f>'Scope 3 Yearly'!$EE$186*'Scope 3 Yearly'!O37*'Yearly HC Ethylene'!O157*'Scope 3 Yearly'!$B$197</f>
        <v>3.5679533486555699</v>
      </c>
      <c r="P13" s="44">
        <f>'Scope 3 Yearly'!$EE$186*'Scope 3 Yearly'!P37*'Yearly HC Ethylene'!P157*'Scope 3 Yearly'!$B$197</f>
        <v>5.8978723678423179</v>
      </c>
      <c r="Q13" s="44">
        <f>'Scope 3 Yearly'!$EE$186*'Scope 3 Yearly'!Q37*'Yearly HC Ethylene'!Q157*'Scope 3 Yearly'!$B$197</f>
        <v>9.2968915023698013</v>
      </c>
      <c r="R13" s="44">
        <f>'Scope 3 Yearly'!$EE$186*'Scope 3 Yearly'!R37*'Yearly HC Ethylene'!R157*'Scope 3 Yearly'!$B$197</f>
        <v>13.902196680548542</v>
      </c>
      <c r="S13" s="44">
        <f>'Scope 3 Yearly'!$EE$186*'Scope 3 Yearly'!S37*'Yearly HC Ethylene'!S157*'Scope 3 Yearly'!$B$197</f>
        <v>19.63101281511241</v>
      </c>
      <c r="T13" s="44">
        <f>'Scope 3 Yearly'!$EE$186*'Scope 3 Yearly'!T37*'Yearly HC Ethylene'!T157*'Scope 3 Yearly'!$B$197</f>
        <v>26.098925800483446</v>
      </c>
      <c r="U13" s="44">
        <f>'Scope 3 Yearly'!$EE$186*'Scope 3 Yearly'!U37*'Yearly HC Ethylene'!U157*'Scope 3 Yearly'!$B$197</f>
        <v>32.734846707197157</v>
      </c>
      <c r="V13" s="44">
        <f>'Scope 3 Yearly'!$EE$186*'Scope 3 Yearly'!V37*'Yearly HC Ethylene'!V157*'Scope 3 Yearly'!$B$197</f>
        <v>38.964772215737113</v>
      </c>
      <c r="W13" s="44">
        <f>'Scope 3 Yearly'!$EE$186*'Scope 3 Yearly'!W37*'Yearly HC Ethylene'!W157*'Scope 3 Yearly'!$B$197</f>
        <v>44.340369077816263</v>
      </c>
      <c r="X13" s="44">
        <f>'Scope 3 Yearly'!$EE$186*'Scope 3 Yearly'!X37*'Yearly HC Ethylene'!X157*'Scope 3 Yearly'!$B$197</f>
        <v>48.632776004251269</v>
      </c>
      <c r="Y13" s="44">
        <f>'Scope 3 Yearly'!$EE$186*'Scope 3 Yearly'!Y37*'Yearly HC Ethylene'!Y157*'Scope 3 Yearly'!$B$197</f>
        <v>50.33151046832873</v>
      </c>
      <c r="Z13" s="44">
        <f>'Scope 3 Yearly'!$EE$186*'Scope 3 Yearly'!Z37*'Yearly HC Ethylene'!Z157*'Scope 3 Yearly'!$B$197</f>
        <v>51.118509962178358</v>
      </c>
      <c r="AA13" s="44">
        <f>'Scope 3 Yearly'!$EE$186*'Scope 3 Yearly'!AA37*'Yearly HC Ethylene'!AA157*'Scope 3 Yearly'!$B$197</f>
        <v>51.043246058214955</v>
      </c>
      <c r="AB13" s="44">
        <f>'Scope 3 Yearly'!$EE$186*'Scope 3 Yearly'!AB37*'Yearly HC Ethylene'!AB157*'Scope 3 Yearly'!$B$197</f>
        <v>50.338589177586236</v>
      </c>
      <c r="AC13" s="44">
        <f>'Scope 3 Yearly'!$EE$186*'Scope 3 Yearly'!AC37*'Yearly HC Ethylene'!AC157*'Scope 3 Yearly'!$B$197</f>
        <v>49.201956597947692</v>
      </c>
      <c r="AD13" s="44">
        <f>'Scope 3 Yearly'!$EE$186*'Scope 3 Yearly'!AD37*'Yearly HC Ethylene'!AD157*'Scope 3 Yearly'!$B$197</f>
        <v>47.743416683769304</v>
      </c>
      <c r="AE13" s="44">
        <f>'Scope 3 Yearly'!$EE$186*'Scope 3 Yearly'!AE37*'Yearly HC Ethylene'!AE157*'Scope 3 Yearly'!$B$197</f>
        <v>46.115955560846515</v>
      </c>
      <c r="AF13" s="44">
        <f>'Scope 3 Yearly'!$EE$186*'Scope 3 Yearly'!AF37*'Yearly HC Ethylene'!AF157*'Scope 3 Yearly'!$B$197</f>
        <v>44.42341790925235</v>
      </c>
      <c r="AG13" s="44">
        <f>'Scope 3 Yearly'!$EE$186*'Scope 3 Yearly'!AG37*'Yearly HC Ethylene'!AG157*'Scope 3 Yearly'!$B$197</f>
        <v>42.793669481631611</v>
      </c>
      <c r="AH13" s="44">
        <f>'Scope 3 Yearly'!$EE$186*'Scope 3 Yearly'!AH37*'Yearly HC Ethylene'!AH157*'Scope 3 Yearly'!$B$197</f>
        <v>40.994568818224174</v>
      </c>
      <c r="AJ13" s="44">
        <f>'Scope 3 Yearly'!$EE$186*'Scope 3 Yearly'!AJ37*'Yearly LC Ethylene'!D157*'Scope 3 Yearly'!$B$197</f>
        <v>2.8157289074840254E-3</v>
      </c>
      <c r="AK13" s="44">
        <f>'Scope 3 Yearly'!$EE$186*'Scope 3 Yearly'!AK37*'Yearly LC Ethylene'!E157*'Scope 3 Yearly'!$B$197</f>
        <v>5.6675079912812181E-3</v>
      </c>
      <c r="AL13" s="44">
        <f>'Scope 3 Yearly'!$EE$186*'Scope 3 Yearly'!AL37*'Yearly LC Ethylene'!F157*'Scope 3 Yearly'!$B$197</f>
        <v>1.1338982351281437E-2</v>
      </c>
      <c r="AM13" s="44">
        <f>'Scope 3 Yearly'!$EE$186*'Scope 3 Yearly'!AM37*'Yearly LC Ethylene'!G157*'Scope 3 Yearly'!$B$197</f>
        <v>2.2618644725371593E-2</v>
      </c>
      <c r="AN13" s="44">
        <f>'Scope 3 Yearly'!$EE$186*'Scope 3 Yearly'!AN37*'Yearly LC Ethylene'!H157*'Scope 3 Yearly'!$B$197</f>
        <v>4.4945973833055375E-2</v>
      </c>
      <c r="AO13" s="44">
        <f>'Scope 3 Yearly'!$EE$186*'Scope 3 Yearly'!AO37*'Yearly LC Ethylene'!I157*'Scope 3 Yearly'!$B$197</f>
        <v>8.8858189432350312E-2</v>
      </c>
      <c r="AP13" s="44">
        <f>'Scope 3 Yearly'!$EE$186*'Scope 3 Yearly'!AP37*'Yearly LC Ethylene'!J157*'Scope 3 Yearly'!$B$197</f>
        <v>0.17397138903896617</v>
      </c>
      <c r="AQ13" s="44">
        <f>'Scope 3 Yearly'!$EE$186*'Scope 3 Yearly'!AQ37*'Yearly LC Ethylene'!K157*'Scope 3 Yearly'!$B$197</f>
        <v>0.33730718727438291</v>
      </c>
      <c r="AR13" s="44">
        <f>'Scope 3 Yearly'!$EE$186*'Scope 3 Yearly'!AR37*'Yearly LC Ethylene'!L157*'Scope 3 Yearly'!$B$197</f>
        <v>0.64546575729017963</v>
      </c>
      <c r="AS13" s="44">
        <f>'Scope 3 Yearly'!$EE$186*'Scope 3 Yearly'!AS37*'Yearly LC Ethylene'!M157*'Scope 3 Yearly'!$B$197</f>
        <v>1.2136575173192845</v>
      </c>
      <c r="AT13" s="44">
        <f>'Scope 3 Yearly'!$EE$186*'Scope 3 Yearly'!AT37*'Yearly LC Ethylene'!N157*'Scope 3 Yearly'!$B$197</f>
        <v>2.2297591170248707</v>
      </c>
      <c r="AU13" s="44">
        <f>'Scope 3 Yearly'!$EE$186*'Scope 3 Yearly'!AU37*'Yearly LC Ethylene'!O157*'Scope 3 Yearly'!$B$197</f>
        <v>3.872064157065239</v>
      </c>
      <c r="AV13" s="44">
        <f>'Scope 3 Yearly'!$EE$186*'Scope 3 Yearly'!AV37*'Yearly LC Ethylene'!P157*'Scope 3 Yearly'!$B$197</f>
        <v>6.4841694248033024</v>
      </c>
      <c r="AW13" s="44">
        <f>'Scope 3 Yearly'!$EE$186*'Scope 3 Yearly'!AW37*'Yearly LC Ethylene'!Q157*'Scope 3 Yearly'!$B$197</f>
        <v>10.371446027141207</v>
      </c>
      <c r="AX13" s="44">
        <f>'Scope 3 Yearly'!$EE$186*'Scope 3 Yearly'!AX37*'Yearly LC Ethylene'!R157*'Scope 3 Yearly'!$B$197</f>
        <v>15.75503665569139</v>
      </c>
      <c r="AY13" s="44">
        <f>'Scope 3 Yearly'!$EE$186*'Scope 3 Yearly'!AY37*'Yearly LC Ethylene'!S157*'Scope 3 Yearly'!$B$197</f>
        <v>22.625153897115851</v>
      </c>
      <c r="AZ13" s="44">
        <f>'Scope 3 Yearly'!$EE$186*'Scope 3 Yearly'!AZ37*'Yearly LC Ethylene'!T157*'Scope 3 Yearly'!$B$197</f>
        <v>30.627938165202657</v>
      </c>
      <c r="BA13" s="44">
        <f>'Scope 3 Yearly'!$EE$186*'Scope 3 Yearly'!BA37*'Yearly LC Ethylene'!U157*'Scope 3 Yearly'!$B$197</f>
        <v>39.198579600949174</v>
      </c>
      <c r="BB13" s="44">
        <f>'Scope 3 Yearly'!$EE$186*'Scope 3 Yearly'!BB37*'Yearly LC Ethylene'!V157*'Scope 3 Yearly'!$B$197</f>
        <v>47.671804554084986</v>
      </c>
      <c r="BC13" s="44">
        <f>'Scope 3 Yearly'!$EE$186*'Scope 3 Yearly'!BC37*'Yearly LC Ethylene'!W157*'Scope 3 Yearly'!$B$197</f>
        <v>55.48685759639838</v>
      </c>
      <c r="BD13" s="44">
        <f>'Scope 3 Yearly'!$EE$186*'Scope 3 Yearly'!BD37*'Yearly LC Ethylene'!X157*'Scope 3 Yearly'!$B$197</f>
        <v>62.302409306089544</v>
      </c>
      <c r="BE13" s="44">
        <f>'Scope 3 Yearly'!$EE$186*'Scope 3 Yearly'!BE37*'Yearly LC Ethylene'!Y157*'Scope 3 Yearly'!$B$197</f>
        <v>66.76776270733734</v>
      </c>
      <c r="BF13" s="44">
        <f>'Scope 3 Yearly'!$EE$186*'Scope 3 Yearly'!BF37*'Yearly LC Ethylene'!Z157*'Scope 3 Yearly'!$B$197</f>
        <v>70.200629816503195</v>
      </c>
      <c r="BG13" s="44">
        <f>'Scope 3 Yearly'!$EE$186*'Scope 3 Yearly'!BG37*'Yearly LC Ethylene'!AA157*'Scope 3 Yearly'!$B$197</f>
        <v>72.645597705931721</v>
      </c>
      <c r="BH13" s="44">
        <f>'Scope 3 Yearly'!$EE$186*'Scope 3 Yearly'!BH37*'Yearly LC Ethylene'!AB157*'Scope 3 Yearly'!$B$197</f>
        <v>74.322574258084188</v>
      </c>
      <c r="BI13" s="44">
        <f>'Scope 3 Yearly'!$EE$186*'Scope 3 Yearly'!BI37*'Yearly LC Ethylene'!AC157*'Scope 3 Yearly'!$B$197</f>
        <v>75.517572618028183</v>
      </c>
      <c r="BJ13" s="44">
        <f>'Scope 3 Yearly'!$EE$186*'Scope 3 Yearly'!BJ37*'Yearly LC Ethylene'!AD157*'Scope 3 Yearly'!$B$197</f>
        <v>76.369007808367144</v>
      </c>
      <c r="BK13" s="44">
        <f>'Scope 3 Yearly'!$EE$186*'Scope 3 Yearly'!BK37*'Yearly LC Ethylene'!AE157*'Scope 3 Yearly'!$B$197</f>
        <v>77.053279222299338</v>
      </c>
      <c r="BL13" s="44">
        <f>'Scope 3 Yearly'!$EE$186*'Scope 3 Yearly'!BL37*'Yearly LC Ethylene'!AF157*'Scope 3 Yearly'!$B$197</f>
        <v>77.692048467964199</v>
      </c>
      <c r="BM13" s="44">
        <f>'Scope 3 Yearly'!$EE$186*'Scope 3 Yearly'!BM37*'Yearly LC Ethylene'!AG157*'Scope 3 Yearly'!$B$197</f>
        <v>78.397050465036045</v>
      </c>
      <c r="BN13" s="44">
        <f>'Scope 3 Yearly'!$EE$186*'Scope 3 Yearly'!BN37*'Yearly LC Ethylene'!AH157*'Scope 3 Yearly'!$B$197</f>
        <v>79.377381915787026</v>
      </c>
      <c r="BP13" s="44">
        <f>'Scope 3 Yearly'!$EE$186*'Scope 3 Yearly'!BP37*'Yearly LC Ethylene'!AJ157*'Scope 3 Yearly'!$B$197</f>
        <v>0</v>
      </c>
      <c r="BQ13" s="44">
        <f>'Scope 3 Yearly'!$EE$186*'Scope 3 Yearly'!BQ37*'Yearly LC Ethylene'!AK157*'Scope 3 Yearly'!$B$197</f>
        <v>0</v>
      </c>
      <c r="BR13" s="44">
        <f>'Scope 3 Yearly'!$EE$186*'Scope 3 Yearly'!BR37*'Yearly LC Ethylene'!AL157*'Scope 3 Yearly'!$B$197</f>
        <v>0</v>
      </c>
      <c r="BS13" s="44">
        <f>'Scope 3 Yearly'!$EE$186*'Scope 3 Yearly'!BS37*'Yearly LC Ethylene'!AM157*'Scope 3 Yearly'!$B$197</f>
        <v>0</v>
      </c>
      <c r="BT13" s="44">
        <f>'Scope 3 Yearly'!$EE$186*'Scope 3 Yearly'!BT37*'Yearly LC Ethylene'!AN157*'Scope 3 Yearly'!$B$197</f>
        <v>0</v>
      </c>
      <c r="BU13" s="44">
        <f>'Scope 3 Yearly'!$EE$186*'Scope 3 Yearly'!BU37*'Yearly LC Ethylene'!AO157*'Scope 3 Yearly'!$B$197</f>
        <v>0</v>
      </c>
      <c r="BV13" s="44">
        <f>'Scope 3 Yearly'!$EE$186*'Scope 3 Yearly'!BV37*'Yearly LC Ethylene'!AP157*'Scope 3 Yearly'!$B$197</f>
        <v>0</v>
      </c>
      <c r="BW13" s="44">
        <f>'Scope 3 Yearly'!$EE$186*'Scope 3 Yearly'!BW37*'Yearly LC Ethylene'!AQ157*'Scope 3 Yearly'!$B$197</f>
        <v>0</v>
      </c>
      <c r="BX13" s="44">
        <f>'Scope 3 Yearly'!$EE$186*'Scope 3 Yearly'!BX37*'Yearly LC Ethylene'!AR157*'Scope 3 Yearly'!$B$197</f>
        <v>0</v>
      </c>
      <c r="BY13" s="44">
        <f>'Scope 3 Yearly'!$EE$186*'Scope 3 Yearly'!BY37*'Yearly LC Ethylene'!AS157*'Scope 3 Yearly'!$B$197</f>
        <v>0</v>
      </c>
      <c r="BZ13" s="44">
        <f>'Scope 3 Yearly'!$EE$186*'Scope 3 Yearly'!BZ37*'Yearly LC Ethylene'!AT157*'Scope 3 Yearly'!$B$197</f>
        <v>0</v>
      </c>
      <c r="CA13" s="44">
        <f>'Scope 3 Yearly'!$EE$186*'Scope 3 Yearly'!CA37*'Yearly LC Ethylene'!AU157*'Scope 3 Yearly'!$B$197</f>
        <v>0</v>
      </c>
      <c r="CB13" s="44">
        <f>'Scope 3 Yearly'!$EE$186*'Scope 3 Yearly'!CB37*'Yearly LC Ethylene'!AV157*'Scope 3 Yearly'!$B$197</f>
        <v>0</v>
      </c>
      <c r="CC13" s="44">
        <f>'Scope 3 Yearly'!$EE$186*'Scope 3 Yearly'!CC37*'Yearly LC Ethylene'!AW157*'Scope 3 Yearly'!$B$197</f>
        <v>0</v>
      </c>
      <c r="CD13" s="44">
        <f>'Scope 3 Yearly'!$EE$186*'Scope 3 Yearly'!CD37*'Yearly LC Ethylene'!AX157*'Scope 3 Yearly'!$B$197</f>
        <v>0</v>
      </c>
      <c r="CE13" s="44">
        <f>'Scope 3 Yearly'!$EE$186*'Scope 3 Yearly'!CE37*'Yearly LC Ethylene'!AY157*'Scope 3 Yearly'!$B$197</f>
        <v>0</v>
      </c>
      <c r="CF13" s="44">
        <f>'Scope 3 Yearly'!$EE$186*'Scope 3 Yearly'!CF37*'Yearly LC Ethylene'!AZ157*'Scope 3 Yearly'!$B$197</f>
        <v>0</v>
      </c>
      <c r="CG13" s="44">
        <f>'Scope 3 Yearly'!$EE$186*'Scope 3 Yearly'!CG37*'Yearly LC Ethylene'!BA157*'Scope 3 Yearly'!$B$197</f>
        <v>0</v>
      </c>
      <c r="CH13" s="44">
        <f>'Scope 3 Yearly'!$EE$186*'Scope 3 Yearly'!CH37*'Yearly LC Ethylene'!BB157*'Scope 3 Yearly'!$B$197</f>
        <v>0</v>
      </c>
      <c r="CI13" s="44">
        <f>'Scope 3 Yearly'!$EE$186*'Scope 3 Yearly'!CI37*'Yearly LC Ethylene'!BC157*'Scope 3 Yearly'!$B$197</f>
        <v>0</v>
      </c>
      <c r="CJ13" s="44">
        <f>'Scope 3 Yearly'!$EE$186*'Scope 3 Yearly'!CJ37*'Yearly LC Ethylene'!BD157*'Scope 3 Yearly'!$B$197</f>
        <v>0</v>
      </c>
      <c r="CK13" s="44">
        <f>'Scope 3 Yearly'!$EE$186*'Scope 3 Yearly'!CK37*'Yearly LC Ethylene'!BE157*'Scope 3 Yearly'!$B$197</f>
        <v>0</v>
      </c>
      <c r="CL13" s="44">
        <f>'Scope 3 Yearly'!$EE$186*'Scope 3 Yearly'!CL37*'Yearly LC Ethylene'!BF157*'Scope 3 Yearly'!$B$197</f>
        <v>0</v>
      </c>
      <c r="CM13" s="44">
        <f>'Scope 3 Yearly'!$EE$186*'Scope 3 Yearly'!CM37*'Yearly LC Ethylene'!BG157*'Scope 3 Yearly'!$B$197</f>
        <v>0</v>
      </c>
      <c r="CN13" s="44">
        <f>'Scope 3 Yearly'!$EE$186*'Scope 3 Yearly'!CN37*'Yearly LC Ethylene'!BH157*'Scope 3 Yearly'!$B$197</f>
        <v>0</v>
      </c>
      <c r="CO13" s="44">
        <f>'Scope 3 Yearly'!$EE$186*'Scope 3 Yearly'!CO37*'Yearly LC Ethylene'!BI157*'Scope 3 Yearly'!$B$197</f>
        <v>0</v>
      </c>
      <c r="CP13" s="44">
        <f>'Scope 3 Yearly'!$EE$186*'Scope 3 Yearly'!CP37*'Yearly LC Ethylene'!BJ157*'Scope 3 Yearly'!$B$197</f>
        <v>0</v>
      </c>
      <c r="CQ13" s="44">
        <f>'Scope 3 Yearly'!$EE$186*'Scope 3 Yearly'!CQ37*'Yearly LC Ethylene'!BK157*'Scope 3 Yearly'!$B$197</f>
        <v>0</v>
      </c>
      <c r="CR13" s="44">
        <f>'Scope 3 Yearly'!$EE$186*'Scope 3 Yearly'!CR37*'Yearly LC Ethylene'!BL157*'Scope 3 Yearly'!$B$197</f>
        <v>0</v>
      </c>
      <c r="CS13" s="44">
        <f>'Scope 3 Yearly'!$EE$186*'Scope 3 Yearly'!CS37*'Yearly LC Ethylene'!BM157*'Scope 3 Yearly'!$B$197</f>
        <v>0</v>
      </c>
      <c r="CT13" s="44">
        <f>'Scope 3 Yearly'!$EE$186*'Scope 3 Yearly'!CT37*'Yearly LC Ethylene'!BN157*'Scope 3 Yearly'!$B$197</f>
        <v>0</v>
      </c>
      <c r="CV13" s="44">
        <f>'Scope 3 Yearly'!$EE$186*'Scope 3 Yearly'!CV37*'Yearly LC Ethylene'!D4*'Scope 3 Yearly'!$B$197</f>
        <v>2.8157296424148777E-3</v>
      </c>
      <c r="CW13" s="44">
        <f>'Scope 3 Yearly'!$EE$186*'Scope 3 Yearly'!CW37*'Yearly LC Ethylene'!E4*'Scope 3 Yearly'!$B$197</f>
        <v>5.745217772436916E-3</v>
      </c>
      <c r="CX13" s="44">
        <f>'Scope 3 Yearly'!$EE$186*'Scope 3 Yearly'!CX37*'Yearly LC Ethylene'!F4*'Scope 3 Yearly'!$B$197</f>
        <v>1.1691916949934903E-2</v>
      </c>
      <c r="CY13" s="44">
        <f>'Scope 3 Yearly'!$EE$186*'Scope 3 Yearly'!CY37*'Yearly LC Ethylene'!G4*'Scope 3 Yearly'!$B$197</f>
        <v>2.3716447907522694E-2</v>
      </c>
      <c r="CZ13" s="44">
        <f>'Scope 3 Yearly'!$EE$186*'Scope 3 Yearly'!CZ37*'Yearly LC Ethylene'!H4*'Scope 3 Yearly'!$B$197</f>
        <v>4.7906504949867638E-2</v>
      </c>
      <c r="DA13" s="44">
        <f>'Scope 3 Yearly'!$EE$186*'Scope 3 Yearly'!DA37*'Yearly LC Ethylene'!I4*'Scope 3 Yearly'!$B$197</f>
        <v>9.6238115485546574E-2</v>
      </c>
      <c r="DB13" s="44">
        <f>'Scope 3 Yearly'!$EE$186*'Scope 3 Yearly'!DB37*'Yearly LC Ethylene'!J4*'Scope 3 Yearly'!$B$197</f>
        <v>0.19145913439046253</v>
      </c>
      <c r="DC13" s="44">
        <f>'Scope 3 Yearly'!$EE$186*'Scope 3 Yearly'!DC37*'Yearly LC Ethylene'!K4*'Scope 3 Yearly'!$B$197</f>
        <v>0.37715978701456687</v>
      </c>
      <c r="DD13" s="44">
        <f>'Scope 3 Yearly'!$EE$186*'Scope 3 Yearly'!DD37*'Yearly LC Ethylene'!L4*'Scope 3 Yearly'!$B$197</f>
        <v>0.7331972413673733</v>
      </c>
      <c r="DE13" s="44">
        <f>'Scope 3 Yearly'!$EE$186*'Scope 3 Yearly'!DE37*'Yearly LC Ethylene'!M4*'Scope 3 Yearly'!$B$197</f>
        <v>1.40034081302963</v>
      </c>
      <c r="DF13" s="44">
        <f>'Scope 3 Yearly'!$EE$186*'Scope 3 Yearly'!DF37*'Yearly LC Ethylene'!N4*'Scope 3 Yearly'!$B$197</f>
        <v>2.6129327129648492</v>
      </c>
      <c r="DG13" s="44">
        <f>'Scope 3 Yearly'!$EE$186*'Scope 3 Yearly'!DG37*'Yearly LC Ethylene'!O4*'Scope 3 Yearly'!$B$197</f>
        <v>4.6620738023021016</v>
      </c>
      <c r="DH13" s="44">
        <f>'Scope 3 Yearly'!$EE$186*'Scope 3 Yearly'!DH37*'Yearly LC Ethylene'!P4*'Scope 3 Yearly'!$B$197</f>
        <v>8.0089004181205752</v>
      </c>
      <c r="DI13" s="44">
        <f>'Scope 3 Yearly'!$EE$186*'Scope 3 Yearly'!DI37*'Yearly LC Ethylene'!Q4*'Scope 3 Yearly'!$B$197</f>
        <v>13.165297720478813</v>
      </c>
      <c r="DJ13" s="44">
        <f>'Scope 3 Yearly'!$EE$186*'Scope 3 Yearly'!DJ37*'Yearly LC Ethylene'!R4*'Scope 3 Yearly'!$B$197</f>
        <v>20.552065321087053</v>
      </c>
      <c r="DK13" s="44">
        <f>'Scope 3 Yearly'!$EE$186*'Scope 3 Yearly'!DK37*'Yearly LC Ethylene'!S4*'Scope 3 Yearly'!$B$197</f>
        <v>30.32479230329637</v>
      </c>
      <c r="DL13" s="44">
        <f>'Scope 3 Yearly'!$EE$186*'Scope 3 Yearly'!DL37*'Yearly LC Ethylene'!T4*'Scope 3 Yearly'!$B$197</f>
        <v>42.191755809669189</v>
      </c>
      <c r="DM13" s="44">
        <f>'Scope 3 Yearly'!$EE$186*'Scope 3 Yearly'!DM37*'Yearly LC Ethylene'!U4*'Scope 3 Yearly'!$B$197</f>
        <v>55.49747264713568</v>
      </c>
      <c r="DN13" s="44">
        <f>'Scope 3 Yearly'!$EE$186*'Scope 3 Yearly'!DN37*'Yearly LC Ethylene'!V4*'Scope 3 Yearly'!$B$197</f>
        <v>69.353106274725377</v>
      </c>
      <c r="DO13" s="44">
        <f>'Scope 3 Yearly'!$EE$186*'Scope 3 Yearly'!DO37*'Yearly LC Ethylene'!W4*'Scope 3 Yearly'!$B$197</f>
        <v>82.912360203688408</v>
      </c>
      <c r="DP13" s="44">
        <f>'Scope 3 Yearly'!$EE$186*'Scope 3 Yearly'!DP37*'Yearly LC Ethylene'!X4*'Scope 3 Yearly'!$B$197</f>
        <v>95.565823857087736</v>
      </c>
      <c r="DQ13" s="44">
        <f>'Scope 3 Yearly'!$EE$186*'Scope 3 Yearly'!DQ37*'Yearly LC Ethylene'!Y4*'Scope 3 Yearly'!$B$197</f>
        <v>106.70825700103016</v>
      </c>
      <c r="DR13" s="44">
        <f>'Scope 3 Yearly'!$EE$186*'Scope 3 Yearly'!DR37*'Yearly LC Ethylene'!Z4*'Scope 3 Yearly'!$B$197</f>
        <v>116.18054684602735</v>
      </c>
      <c r="DS13" s="44">
        <f>'Scope 3 Yearly'!$EE$186*'Scope 3 Yearly'!DS37*'Yearly LC Ethylene'!AA4*'Scope 3 Yearly'!$B$197</f>
        <v>124.41127274004</v>
      </c>
      <c r="DT13" s="44">
        <f>'Scope 3 Yearly'!$EE$186*'Scope 3 Yearly'!DT37*'Yearly LC Ethylene'!AB4*'Scope 3 Yearly'!$B$197</f>
        <v>131.60531266366405</v>
      </c>
      <c r="DU13" s="44">
        <f>'Scope 3 Yearly'!$EE$186*'Scope 3 Yearly'!DU37*'Yearly LC Ethylene'!AC4*'Scope 3 Yearly'!$B$197</f>
        <v>138.05478249423726</v>
      </c>
      <c r="DV13" s="44">
        <f>'Scope 3 Yearly'!$EE$186*'Scope 3 Yearly'!DV37*'Yearly LC Ethylene'!AD4*'Scope 3 Yearly'!$B$197</f>
        <v>143.90871073392296</v>
      </c>
      <c r="DW13" s="44">
        <f>'Scope 3 Yearly'!$EE$186*'Scope 3 Yearly'!DW37*'Yearly LC Ethylene'!AE4*'Scope 3 Yearly'!$B$197</f>
        <v>149.40294367704197</v>
      </c>
      <c r="DX13" s="44">
        <f>'Scope 3 Yearly'!$EE$186*'Scope 3 Yearly'!DX37*'Yearly LC Ethylene'!AF4*'Scope 3 Yearly'!$B$197</f>
        <v>154.67991655384225</v>
      </c>
      <c r="DY13" s="44">
        <f>'Scope 3 Yearly'!$EE$186*'Scope 3 Yearly'!DY37*'Yearly LC Ethylene'!AG4*'Scope 3 Yearly'!$B$197</f>
        <v>159.85696002484076</v>
      </c>
      <c r="DZ13" s="44">
        <f>'Scope 3 Yearly'!$EE$186*'Scope 3 Yearly'!DZ37*'Yearly LC Ethylene'!AH4*'Scope 3 Yearly'!$B$197</f>
        <v>165.03806183970403</v>
      </c>
    </row>
    <row r="14" spans="1:165" x14ac:dyDescent="0.2">
      <c r="A14" t="s">
        <v>5</v>
      </c>
      <c r="C14" s="54" t="s">
        <v>415</v>
      </c>
      <c r="D14" s="44">
        <f>'Scope 3 Yearly'!$EE$187*'Scope 3 Yearly'!D60*'Yearly HC Propylene'!D71*'Scope 3 Yearly'!$B$197</f>
        <v>2.3762587279603348E-3</v>
      </c>
      <c r="E14" s="44">
        <f>'Scope 3 Yearly'!$EE$187*'Scope 3 Yearly'!E60*'Yearly HC Propylene'!E71*'Scope 3 Yearly'!$B$197</f>
        <v>4.7744820216960816E-3</v>
      </c>
      <c r="F14" s="44">
        <f>'Scope 3 Yearly'!$EE$187*'Scope 3 Yearly'!F60*'Yearly HC Propylene'!F71*'Scope 3 Yearly'!$B$197</f>
        <v>9.5645587678516858E-3</v>
      </c>
      <c r="G14" s="44">
        <f>'Scope 3 Yearly'!$EE$187*'Scope 3 Yearly'!G60*'Yearly HC Propylene'!G71*'Scope 3 Yearly'!$B$197</f>
        <v>1.9091528025003805E-2</v>
      </c>
      <c r="H14" s="44">
        <f>'Scope 3 Yearly'!$EE$187*'Scope 3 Yearly'!H60*'Yearly HC Propylene'!H71*'Scope 3 Yearly'!$B$197</f>
        <v>3.7936746324410214E-2</v>
      </c>
      <c r="I14" s="44">
        <f>'Scope 3 Yearly'!$EE$187*'Scope 3 Yearly'!I60*'Yearly HC Propylene'!I71*'Scope 3 Yearly'!$B$197</f>
        <v>7.4948027282761384E-2</v>
      </c>
      <c r="J14" s="44">
        <f>'Scope 3 Yearly'!$EE$187*'Scope 3 Yearly'!J60*'Yearly HC Propylene'!J71*'Scope 3 Yearly'!$B$197</f>
        <v>0.14667240062303677</v>
      </c>
      <c r="K14" s="44">
        <f>'Scope 3 Yearly'!$EE$187*'Scope 3 Yearly'!K60*'Yearly HC Propylene'!K71*'Scope 3 Yearly'!$B$197</f>
        <v>0.28408683228174908</v>
      </c>
      <c r="L14" s="44">
        <f>'Scope 3 Yearly'!$EE$187*'Scope 3 Yearly'!L60*'Yearly HC Propylene'!L71*'Scope 3 Yearly'!$B$197</f>
        <v>0.54272760205138537</v>
      </c>
      <c r="M14" s="44">
        <f>'Scope 3 Yearly'!$EE$187*'Scope 3 Yearly'!M60*'Yearly HC Propylene'!M71*'Scope 3 Yearly'!$B$197</f>
        <v>1.0181001171084045</v>
      </c>
      <c r="N14" s="44">
        <f>'Scope 3 Yearly'!$EE$187*'Scope 3 Yearly'!N60*'Yearly HC Propylene'!N71*'Scope 3 Yearly'!$B$197</f>
        <v>1.8646730423389537</v>
      </c>
      <c r="O14" s="44">
        <f>'Scope 3 Yearly'!$EE$187*'Scope 3 Yearly'!O60*'Yearly HC Propylene'!O71*'Scope 3 Yearly'!$B$197</f>
        <v>3.246115460105746</v>
      </c>
      <c r="P14" s="44">
        <f>'Scope 3 Yearly'!$EE$187*'Scope 3 Yearly'!P60*'Yearly HC Propylene'!P71*'Scope 3 Yearly'!$B$197</f>
        <v>5.4363620889431017</v>
      </c>
      <c r="Q14" s="44">
        <f>'Scope 3 Yearly'!$EE$187*'Scope 3 Yearly'!Q60*'Yearly HC Propylene'!Q71*'Scope 3 Yearly'!$B$197</f>
        <v>8.685776450863596</v>
      </c>
      <c r="R14" s="44">
        <f>'Scope 3 Yearly'!$EE$187*'Scope 3 Yearly'!R60*'Yearly HC Propylene'!R71*'Scope 3 Yearly'!$B$197</f>
        <v>13.150684209581391</v>
      </c>
      <c r="S14" s="44">
        <f>'Scope 3 Yearly'!$EE$187*'Scope 3 Yearly'!S60*'Yearly HC Propylene'!S71*'Scope 3 Yearly'!$B$197</f>
        <v>18.778049630597273</v>
      </c>
      <c r="T14" s="44">
        <f>'Scope 3 Yearly'!$EE$187*'Scope 3 Yearly'!T60*'Yearly HC Propylene'!T71*'Scope 3 Yearly'!$B$197</f>
        <v>25.231363218231806</v>
      </c>
      <c r="U14" s="44">
        <f>'Scope 3 Yearly'!$EE$187*'Scope 3 Yearly'!U60*'Yearly HC Propylene'!U71*'Scope 3 Yearly'!$B$197</f>
        <v>31.981938355112447</v>
      </c>
      <c r="V14" s="44">
        <f>'Scope 3 Yearly'!$EE$187*'Scope 3 Yearly'!V60*'Yearly HC Propylene'!V71*'Scope 3 Yearly'!$B$197</f>
        <v>38.442884076038013</v>
      </c>
      <c r="W14" s="44">
        <f>'Scope 3 Yearly'!$EE$187*'Scope 3 Yearly'!W60*'Yearly HC Propylene'!W71*'Scope 3 Yearly'!$B$197</f>
        <v>44.140012616913005</v>
      </c>
      <c r="X14" s="44">
        <f>'Scope 3 Yearly'!$EE$187*'Scope 3 Yearly'!X60*'Yearly HC Propylene'!X71*'Scope 3 Yearly'!$B$197</f>
        <v>48.801233283093865</v>
      </c>
      <c r="Y14" s="44">
        <f>'Scope 3 Yearly'!$EE$187*'Scope 3 Yearly'!Y60*'Yearly HC Propylene'!Y71*'Scope 3 Yearly'!$B$197</f>
        <v>51.385029979525953</v>
      </c>
      <c r="Z14" s="44">
        <f>'Scope 3 Yearly'!$EE$187*'Scope 3 Yearly'!Z60*'Yearly HC Propylene'!Z71*'Scope 3 Yearly'!$B$197</f>
        <v>52.923050632798862</v>
      </c>
      <c r="AA14" s="44">
        <f>'Scope 3 Yearly'!$EE$187*'Scope 3 Yearly'!AA60*'Yearly HC Propylene'!AA71*'Scope 3 Yearly'!$B$197</f>
        <v>53.516632867002947</v>
      </c>
      <c r="AB14" s="44">
        <f>'Scope 3 Yearly'!$EE$187*'Scope 3 Yearly'!AB60*'Yearly HC Propylene'!AB71*'Scope 3 Yearly'!$B$197</f>
        <v>53.329674609887235</v>
      </c>
      <c r="AC14" s="44">
        <f>'Scope 3 Yearly'!$EE$187*'Scope 3 Yearly'!AC60*'Yearly HC Propylene'!AC71*'Scope 3 Yearly'!$B$197</f>
        <v>52.526831395733367</v>
      </c>
      <c r="AD14" s="44">
        <f>'Scope 3 Yearly'!$EE$187*'Scope 3 Yearly'!AD60*'Yearly HC Propylene'!AD71*'Scope 3 Yearly'!$B$197</f>
        <v>51.21731461811946</v>
      </c>
      <c r="AE14" s="44">
        <f>'Scope 3 Yearly'!$EE$187*'Scope 3 Yearly'!AE60*'Yearly HC Propylene'!AE71*'Scope 3 Yearly'!$B$197</f>
        <v>49.533389755404137</v>
      </c>
      <c r="AF14" s="44">
        <f>'Scope 3 Yearly'!$EE$187*'Scope 3 Yearly'!AF60*'Yearly HC Propylene'!AF71*'Scope 3 Yearly'!$B$197</f>
        <v>48.043915769205213</v>
      </c>
      <c r="AG14" s="44">
        <f>'Scope 3 Yearly'!$EE$187*'Scope 3 Yearly'!AG60*'Yearly HC Propylene'!AG71*'Scope 3 Yearly'!$B$197</f>
        <v>46.337175333209949</v>
      </c>
      <c r="AH14" s="44">
        <f>'Scope 3 Yearly'!$EE$187*'Scope 3 Yearly'!AH60*'Yearly HC Propylene'!AH71*'Scope 3 Yearly'!$B$197</f>
        <v>42.609594716178634</v>
      </c>
      <c r="AJ14" s="44">
        <f>'Scope 3 Yearly'!$EE$187*'Scope 3 Yearly'!AJ60*'Yearly LC Propylene'!D71*'Scope 3 Yearly'!$B$197</f>
        <v>2.3762601990991853E-3</v>
      </c>
      <c r="AK14" s="44">
        <f>'Scope 3 Yearly'!$EE$187*'Scope 3 Yearly'!AK60*'Yearly LC Propylene'!E71*'Scope 3 Yearly'!$B$197</f>
        <v>4.7887717197760988E-3</v>
      </c>
      <c r="AL14" s="44">
        <f>'Scope 3 Yearly'!$EE$187*'Scope 3 Yearly'!AL60*'Yearly LC Propylene'!F71*'Scope 3 Yearly'!$B$197</f>
        <v>9.622592746574862E-3</v>
      </c>
      <c r="AM14" s="44">
        <f>'Scope 3 Yearly'!$EE$187*'Scope 3 Yearly'!AM60*'Yearly LC Propylene'!G71*'Scope 3 Yearly'!$B$197</f>
        <v>1.9267702954670576E-2</v>
      </c>
      <c r="AN14" s="44">
        <f>'Scope 3 Yearly'!$EE$187*'Scope 3 Yearly'!AN60*'Yearly LC Propylene'!H71*'Scope 3 Yearly'!$B$197</f>
        <v>3.8410107759595691E-2</v>
      </c>
      <c r="AO14" s="44">
        <f>'Scope 3 Yearly'!$EE$187*'Scope 3 Yearly'!AO60*'Yearly LC Propylene'!I71*'Scope 3 Yearly'!$B$197</f>
        <v>7.6133846544340647E-2</v>
      </c>
      <c r="AP14" s="44">
        <f>'Scope 3 Yearly'!$EE$187*'Scope 3 Yearly'!AP60*'Yearly LC Propylene'!J71*'Scope 3 Yearly'!$B$197</f>
        <v>0.14951459002891082</v>
      </c>
      <c r="AQ14" s="44">
        <f>'Scope 3 Yearly'!$EE$187*'Scope 3 Yearly'!AQ60*'Yearly LC Propylene'!K71*'Scope 3 Yearly'!$B$197</f>
        <v>0.29064007239066114</v>
      </c>
      <c r="AR14" s="44">
        <f>'Scope 3 Yearly'!$EE$187*'Scope 3 Yearly'!AR60*'Yearly LC Propylene'!L71*'Scope 3 Yearly'!$B$197</f>
        <v>0.557336846385593</v>
      </c>
      <c r="AS14" s="44">
        <f>'Scope 3 Yearly'!$EE$187*'Scope 3 Yearly'!AS60*'Yearly LC Propylene'!M71*'Scope 3 Yearly'!$B$197</f>
        <v>1.0496339543604709</v>
      </c>
      <c r="AT14" s="44">
        <f>'Scope 3 Yearly'!$EE$187*'Scope 3 Yearly'!AT60*'Yearly LC Propylene'!N71*'Scope 3 Yearly'!$B$197</f>
        <v>1.9305096993018385</v>
      </c>
      <c r="AU14" s="44">
        <f>'Scope 3 Yearly'!$EE$187*'Scope 3 Yearly'!AU60*'Yearly LC Propylene'!O71*'Scope 3 Yearly'!$B$197</f>
        <v>3.3812959947314551</v>
      </c>
      <c r="AV14" s="44">
        <f>'Scope 3 Yearly'!$EE$187*'Scope 3 Yearly'!AV60*'Yearly LC Propylene'!P71*'Scope 3 Yearly'!$B$197</f>
        <v>5.7005827223833103</v>
      </c>
      <c r="AW14" s="44">
        <f>'Scope 3 Yearly'!$EE$187*'Scope 3 Yearly'!AW60*'Yearly LC Propylene'!Q71*'Scope 3 Yearly'!$B$197</f>
        <v>9.1765514387609546</v>
      </c>
      <c r="AX14" s="44">
        <f>'Scope 3 Yearly'!$EE$187*'Scope 3 Yearly'!AX60*'Yearly LC Propylene'!R71*'Scope 3 Yearly'!$B$197</f>
        <v>14.010818717180754</v>
      </c>
      <c r="AY14" s="44">
        <f>'Scope 3 Yearly'!$EE$187*'Scope 3 Yearly'!AY60*'Yearly LC Propylene'!S71*'Scope 3 Yearly'!$B$197</f>
        <v>20.193817707084577</v>
      </c>
      <c r="AZ14" s="44">
        <f>'Scope 3 Yearly'!$EE$187*'Scope 3 Yearly'!AZ60*'Yearly LC Propylene'!T71*'Scope 3 Yearly'!$B$197</f>
        <v>27.412890800859138</v>
      </c>
      <c r="BA14" s="44">
        <f>'Scope 3 Yearly'!$EE$187*'Scope 3 Yearly'!BA60*'Yearly LC Propylene'!U71*'Scope 3 Yearly'!$B$197</f>
        <v>35.13074607111966</v>
      </c>
      <c r="BB14" s="44">
        <f>'Scope 3 Yearly'!$EE$187*'Scope 3 Yearly'!BB60*'Yearly LC Propylene'!V71*'Scope 3 Yearly'!$B$197</f>
        <v>42.716043750631606</v>
      </c>
      <c r="BC14" s="44">
        <f>'Scope 3 Yearly'!$EE$187*'Scope 3 Yearly'!BC60*'Yearly LC Propylene'!W71*'Scope 3 Yearly'!$B$197</f>
        <v>49.628303115844474</v>
      </c>
      <c r="BD14" s="44">
        <f>'Scope 3 Yearly'!$EE$187*'Scope 3 Yearly'!BD60*'Yearly LC Propylene'!X71*'Scope 3 Yearly'!$B$197</f>
        <v>55.528245862438581</v>
      </c>
      <c r="BE14" s="44">
        <f>'Scope 3 Yearly'!$EE$187*'Scope 3 Yearly'!BE60*'Yearly LC Propylene'!Y71*'Scope 3 Yearly'!$B$197</f>
        <v>59.384924824153927</v>
      </c>
      <c r="BF14" s="44">
        <f>'Scope 3 Yearly'!$EE$187*'Scope 3 Yearly'!BF60*'Yearly LC Propylene'!Z71*'Scope 3 Yearly'!$B$197</f>
        <v>62.100195620459431</v>
      </c>
      <c r="BG14" s="44">
        <f>'Scope 3 Yearly'!$EE$187*'Scope 3 Yearly'!BG60*'Yearly LC Propylene'!AA71*'Scope 3 Yearly'!$B$197</f>
        <v>63.797496222787167</v>
      </c>
      <c r="BH14" s="44">
        <f>'Scope 3 Yearly'!$EE$187*'Scope 3 Yearly'!BH60*'Yearly LC Propylene'!AB71*'Scope 3 Yearly'!$B$197</f>
        <v>64.632917046894505</v>
      </c>
      <c r="BI14" s="44">
        <f>'Scope 3 Yearly'!$EE$187*'Scope 3 Yearly'!BI60*'Yearly LC Propylene'!AC71*'Scope 3 Yearly'!$B$197</f>
        <v>64.780588030616542</v>
      </c>
      <c r="BJ14" s="44">
        <f>'Scope 3 Yearly'!$EE$187*'Scope 3 Yearly'!BJ60*'Yearly LC Propylene'!AD71*'Scope 3 Yearly'!$B$197</f>
        <v>64.358305967141803</v>
      </c>
      <c r="BK14" s="44">
        <f>'Scope 3 Yearly'!$EE$187*'Scope 3 Yearly'!BK60*'Yearly LC Propylene'!AE71*'Scope 3 Yearly'!$B$197</f>
        <v>63.507955291102427</v>
      </c>
      <c r="BL14" s="44">
        <f>'Scope 3 Yearly'!$EE$187*'Scope 3 Yearly'!BL60*'Yearly LC Propylene'!AF71*'Scope 3 Yearly'!$B$197</f>
        <v>62.318816053402323</v>
      </c>
      <c r="BM14" s="44">
        <f>'Scope 3 Yearly'!$EE$187*'Scope 3 Yearly'!BM60*'Yearly LC Propylene'!AG71*'Scope 3 Yearly'!$B$197</f>
        <v>60.863140655367964</v>
      </c>
      <c r="BN14" s="44">
        <f>'Scope 3 Yearly'!$EE$187*'Scope 3 Yearly'!BN60*'Yearly LC Propylene'!AH71*'Scope 3 Yearly'!$B$197</f>
        <v>59.204598430703456</v>
      </c>
      <c r="BP14" s="44">
        <f>'Scope 3 Yearly'!$EE$187*'Scope 3 Yearly'!BP60*'Yearly LC Propylene'!AJ71*'Scope 3 Yearly'!$B$197</f>
        <v>0</v>
      </c>
      <c r="BQ14" s="44">
        <f>'Scope 3 Yearly'!$EE$187*'Scope 3 Yearly'!BQ60*'Yearly LC Propylene'!AK71*'Scope 3 Yearly'!$B$197</f>
        <v>0</v>
      </c>
      <c r="BR14" s="44">
        <f>'Scope 3 Yearly'!$EE$187*'Scope 3 Yearly'!BR60*'Yearly LC Propylene'!AL71*'Scope 3 Yearly'!$B$197</f>
        <v>0</v>
      </c>
      <c r="BS14" s="44">
        <f>'Scope 3 Yearly'!$EE$187*'Scope 3 Yearly'!BS60*'Yearly LC Propylene'!AM71*'Scope 3 Yearly'!$B$197</f>
        <v>0</v>
      </c>
      <c r="BT14" s="44">
        <f>'Scope 3 Yearly'!$EE$187*'Scope 3 Yearly'!BT60*'Yearly LC Propylene'!AN71*'Scope 3 Yearly'!$B$197</f>
        <v>0</v>
      </c>
      <c r="BU14" s="44">
        <f>'Scope 3 Yearly'!$EE$187*'Scope 3 Yearly'!BU60*'Yearly LC Propylene'!AO71*'Scope 3 Yearly'!$B$197</f>
        <v>0</v>
      </c>
      <c r="BV14" s="44">
        <f>'Scope 3 Yearly'!$EE$187*'Scope 3 Yearly'!BV60*'Yearly LC Propylene'!AP71*'Scope 3 Yearly'!$B$197</f>
        <v>0</v>
      </c>
      <c r="BW14" s="44">
        <f>'Scope 3 Yearly'!$EE$187*'Scope 3 Yearly'!BW60*'Yearly LC Propylene'!AQ71*'Scope 3 Yearly'!$B$197</f>
        <v>0</v>
      </c>
      <c r="BX14" s="44">
        <f>'Scope 3 Yearly'!$EE$187*'Scope 3 Yearly'!BX60*'Yearly LC Propylene'!AR71*'Scope 3 Yearly'!$B$197</f>
        <v>0</v>
      </c>
      <c r="BY14" s="44">
        <f>'Scope 3 Yearly'!$EE$187*'Scope 3 Yearly'!BY60*'Yearly LC Propylene'!AS71*'Scope 3 Yearly'!$B$197</f>
        <v>0</v>
      </c>
      <c r="BZ14" s="44">
        <f>'Scope 3 Yearly'!$EE$187*'Scope 3 Yearly'!BZ60*'Yearly LC Propylene'!AT71*'Scope 3 Yearly'!$B$197</f>
        <v>0</v>
      </c>
      <c r="CA14" s="44">
        <f>'Scope 3 Yearly'!$EE$187*'Scope 3 Yearly'!CA60*'Yearly LC Propylene'!AU71*'Scope 3 Yearly'!$B$197</f>
        <v>0</v>
      </c>
      <c r="CB14" s="44">
        <f>'Scope 3 Yearly'!$EE$187*'Scope 3 Yearly'!CB60*'Yearly LC Propylene'!AV71*'Scope 3 Yearly'!$B$197</f>
        <v>0</v>
      </c>
      <c r="CC14" s="44">
        <f>'Scope 3 Yearly'!$EE$187*'Scope 3 Yearly'!CC60*'Yearly LC Propylene'!AW71*'Scope 3 Yearly'!$B$197</f>
        <v>0</v>
      </c>
      <c r="CD14" s="44">
        <f>'Scope 3 Yearly'!$EE$187*'Scope 3 Yearly'!CD60*'Yearly LC Propylene'!AX71*'Scope 3 Yearly'!$B$197</f>
        <v>0</v>
      </c>
      <c r="CE14" s="44">
        <f>'Scope 3 Yearly'!$EE$187*'Scope 3 Yearly'!CE60*'Yearly LC Propylene'!AY71*'Scope 3 Yearly'!$B$197</f>
        <v>0</v>
      </c>
      <c r="CF14" s="44">
        <f>'Scope 3 Yearly'!$EE$187*'Scope 3 Yearly'!CF60*'Yearly LC Propylene'!AZ71*'Scope 3 Yearly'!$B$197</f>
        <v>0</v>
      </c>
      <c r="CG14" s="44">
        <f>'Scope 3 Yearly'!$EE$187*'Scope 3 Yearly'!CG60*'Yearly LC Propylene'!BA71*'Scope 3 Yearly'!$B$197</f>
        <v>0</v>
      </c>
      <c r="CH14" s="44">
        <f>'Scope 3 Yearly'!$EE$187*'Scope 3 Yearly'!CH60*'Yearly LC Propylene'!BB71*'Scope 3 Yearly'!$B$197</f>
        <v>0</v>
      </c>
      <c r="CI14" s="44">
        <f>'Scope 3 Yearly'!$EE$187*'Scope 3 Yearly'!CI60*'Yearly LC Propylene'!BC71*'Scope 3 Yearly'!$B$197</f>
        <v>0</v>
      </c>
      <c r="CJ14" s="44">
        <f>'Scope 3 Yearly'!$EE$187*'Scope 3 Yearly'!CJ60*'Yearly LC Propylene'!BD71*'Scope 3 Yearly'!$B$197</f>
        <v>0</v>
      </c>
      <c r="CK14" s="44">
        <f>'Scope 3 Yearly'!$EE$187*'Scope 3 Yearly'!CK60*'Yearly LC Propylene'!BE71*'Scope 3 Yearly'!$B$197</f>
        <v>0</v>
      </c>
      <c r="CL14" s="44">
        <f>'Scope 3 Yearly'!$EE$187*'Scope 3 Yearly'!CL60*'Yearly LC Propylene'!BF71*'Scope 3 Yearly'!$B$197</f>
        <v>0</v>
      </c>
      <c r="CM14" s="44">
        <f>'Scope 3 Yearly'!$EE$187*'Scope 3 Yearly'!CM60*'Yearly LC Propylene'!BG71*'Scope 3 Yearly'!$B$197</f>
        <v>0</v>
      </c>
      <c r="CN14" s="44">
        <f>'Scope 3 Yearly'!$EE$187*'Scope 3 Yearly'!CN60*'Yearly LC Propylene'!BH71*'Scope 3 Yearly'!$B$197</f>
        <v>0</v>
      </c>
      <c r="CO14" s="44">
        <f>'Scope 3 Yearly'!$EE$187*'Scope 3 Yearly'!CO60*'Yearly LC Propylene'!BI71*'Scope 3 Yearly'!$B$197</f>
        <v>0</v>
      </c>
      <c r="CP14" s="44">
        <f>'Scope 3 Yearly'!$EE$187*'Scope 3 Yearly'!CP60*'Yearly LC Propylene'!BJ71*'Scope 3 Yearly'!$B$197</f>
        <v>0</v>
      </c>
      <c r="CQ14" s="44">
        <f>'Scope 3 Yearly'!$EE$187*'Scope 3 Yearly'!CQ60*'Yearly LC Propylene'!BK71*'Scope 3 Yearly'!$B$197</f>
        <v>0</v>
      </c>
      <c r="CR14" s="44">
        <f>'Scope 3 Yearly'!$EE$187*'Scope 3 Yearly'!CR60*'Yearly LC Propylene'!BL71*'Scope 3 Yearly'!$B$197</f>
        <v>0</v>
      </c>
      <c r="CS14" s="44">
        <f>'Scope 3 Yearly'!$EE$187*'Scope 3 Yearly'!CS60*'Yearly LC Propylene'!BM71*'Scope 3 Yearly'!$B$197</f>
        <v>0</v>
      </c>
      <c r="CT14" s="44">
        <f>'Scope 3 Yearly'!$EE$187*'Scope 3 Yearly'!CT60*'Yearly LC Propylene'!BN71*'Scope 3 Yearly'!$B$197</f>
        <v>0</v>
      </c>
      <c r="CV14" s="44">
        <f>'Scope 3 Yearly'!$EE$187*'Scope 3 Yearly'!CV60*'Yearly LC Propylene'!D4*'Scope 3 Yearly'!$B$197</f>
        <v>2.3762606259231131E-3</v>
      </c>
      <c r="CW14" s="44">
        <f>'Scope 3 Yearly'!$EE$187*'Scope 3 Yearly'!CW60*'Yearly LC Propylene'!E4*'Scope 3 Yearly'!$B$197</f>
        <v>4.8345762876573807E-3</v>
      </c>
      <c r="CX14" s="44">
        <f>'Scope 3 Yearly'!$EE$187*'Scope 3 Yearly'!CX60*'Yearly LC Propylene'!F4*'Scope 3 Yearly'!$B$197</f>
        <v>9.8090965878246464E-3</v>
      </c>
      <c r="CY14" s="44">
        <f>'Scope 3 Yearly'!$EE$187*'Scope 3 Yearly'!CY60*'Yearly LC Propylene'!G4*'Scope 3 Yearly'!$B$197</f>
        <v>1.9834714833381138E-2</v>
      </c>
      <c r="CZ14" s="44">
        <f>'Scope 3 Yearly'!$EE$187*'Scope 3 Yearly'!CZ60*'Yearly LC Propylene'!H4*'Scope 3 Yearly'!$B$197</f>
        <v>3.9934164681235999E-2</v>
      </c>
      <c r="DA14" s="44">
        <f>'Scope 3 Yearly'!$EE$187*'Scope 3 Yearly'!DA60*'Yearly LC Propylene'!I4*'Scope 3 Yearly'!$B$197</f>
        <v>7.9948616720729948E-2</v>
      </c>
      <c r="DB14" s="44">
        <f>'Scope 3 Yearly'!$EE$187*'Scope 3 Yearly'!DB60*'Yearly LC Propylene'!J4*'Scope 3 Yearly'!$B$197</f>
        <v>0.15862877700263414</v>
      </c>
      <c r="DC14" s="44">
        <f>'Scope 3 Yearly'!$EE$187*'Scope 3 Yearly'!DC60*'Yearly LC Propylene'!K4*'Scope 3 Yearly'!$B$197</f>
        <v>0.31160782209787241</v>
      </c>
      <c r="DD14" s="44">
        <f>'Scope 3 Yearly'!$EE$187*'Scope 3 Yearly'!DD60*'Yearly LC Propylene'!L4*'Scope 3 Yearly'!$B$197</f>
        <v>0.60396990511593096</v>
      </c>
      <c r="DE14" s="44">
        <f>'Scope 3 Yearly'!$EE$187*'Scope 3 Yearly'!DE60*'Yearly LC Propylene'!M4*'Scope 3 Yearly'!$B$197</f>
        <v>1.1499370307089258</v>
      </c>
      <c r="DF14" s="44">
        <f>'Scope 3 Yearly'!$EE$187*'Scope 3 Yearly'!DF60*'Yearly LC Propylene'!N4*'Scope 3 Yearly'!$B$197</f>
        <v>2.138698274826242</v>
      </c>
      <c r="DG14" s="44">
        <f>'Scope 3 Yearly'!$EE$187*'Scope 3 Yearly'!DG60*'Yearly LC Propylene'!O4*'Scope 3 Yearly'!$B$197</f>
        <v>3.8167166694551624</v>
      </c>
      <c r="DH14" s="44">
        <f>'Scope 3 Yearly'!$EE$187*'Scope 3 Yearly'!DH60*'Yearly LC Propylene'!P4*'Scope 3 Yearly'!$B$197</f>
        <v>6.5568657230160463</v>
      </c>
      <c r="DI14" s="44">
        <f>'Scope 3 Yearly'!$EE$187*'Scope 3 Yearly'!DI60*'Yearly LC Propylene'!Q4*'Scope 3 Yearly'!$B$197</f>
        <v>10.771415863631546</v>
      </c>
      <c r="DJ14" s="44">
        <f>'Scope 3 Yearly'!$EE$187*'Scope 3 Yearly'!DJ60*'Yearly LC Propylene'!R4*'Scope 3 Yearly'!$B$197</f>
        <v>16.795880331038401</v>
      </c>
      <c r="DK14" s="44">
        <f>'Scope 3 Yearly'!$EE$187*'Scope 3 Yearly'!DK60*'Yearly LC Propylene'!S4*'Scope 3 Yearly'!$B$197</f>
        <v>24.741134206404702</v>
      </c>
      <c r="DL14" s="44">
        <f>'Scope 3 Yearly'!$EE$187*'Scope 3 Yearly'!DL60*'Yearly LC Propylene'!T4*'Scope 3 Yearly'!$B$197</f>
        <v>34.357480192741889</v>
      </c>
      <c r="DM14" s="44">
        <f>'Scope 3 Yearly'!$EE$187*'Scope 3 Yearly'!DM60*'Yearly LC Propylene'!U4*'Scope 3 Yearly'!$B$197</f>
        <v>45.079861812009796</v>
      </c>
      <c r="DN14" s="44">
        <f>'Scope 3 Yearly'!$EE$187*'Scope 3 Yearly'!DN60*'Yearly LC Propylene'!V4*'Scope 3 Yearly'!$B$197</f>
        <v>56.159804568958144</v>
      </c>
      <c r="DO14" s="44">
        <f>'Scope 3 Yearly'!$EE$187*'Scope 3 Yearly'!DO60*'Yearly LC Propylene'!W4*'Scope 3 Yearly'!$B$197</f>
        <v>66.889423970288306</v>
      </c>
      <c r="DP14" s="44">
        <f>'Scope 3 Yearly'!$EE$187*'Scope 3 Yearly'!DP60*'Yearly LC Propylene'!X4*'Scope 3 Yearly'!$B$197</f>
        <v>76.761143140256721</v>
      </c>
      <c r="DQ14" s="44">
        <f>'Scope 3 Yearly'!$EE$187*'Scope 3 Yearly'!DQ60*'Yearly LC Propylene'!Y4*'Scope 3 Yearly'!$B$197</f>
        <v>85.377707774760779</v>
      </c>
      <c r="DR14" s="44">
        <f>'Scope 3 Yearly'!$EE$187*'Scope 3 Yearly'!DR60*'Yearly LC Propylene'!Z4*'Scope 3 Yearly'!$B$197</f>
        <v>92.620872359699646</v>
      </c>
      <c r="DS14" s="44">
        <f>'Scope 3 Yearly'!$EE$187*'Scope 3 Yearly'!DS60*'Yearly LC Propylene'!AA4*'Scope 3 Yearly'!$B$197</f>
        <v>98.785757021388051</v>
      </c>
      <c r="DT14" s="44">
        <f>'Scope 3 Yearly'!$EE$187*'Scope 3 Yearly'!DT60*'Yearly LC Propylene'!AB4*'Scope 3 Yearly'!$B$197</f>
        <v>104.01126533972656</v>
      </c>
      <c r="DU14" s="44">
        <f>'Scope 3 Yearly'!$EE$187*'Scope 3 Yearly'!DU60*'Yearly LC Propylene'!AC4*'Scope 3 Yearly'!$B$197</f>
        <v>108.44503704659091</v>
      </c>
      <c r="DV14" s="44">
        <f>'Scope 3 Yearly'!$EE$187*'Scope 3 Yearly'!DV60*'Yearly LC Propylene'!AD4*'Scope 3 Yearly'!$B$197</f>
        <v>112.19374831233439</v>
      </c>
      <c r="DW14" s="44">
        <f>'Scope 3 Yearly'!$EE$187*'Scope 3 Yearly'!DW60*'Yearly LC Propylene'!AE4*'Scope 3 Yearly'!$B$197</f>
        <v>115.40518032168272</v>
      </c>
      <c r="DX14" s="44">
        <f>'Scope 3 Yearly'!$EE$187*'Scope 3 Yearly'!DX60*'Yearly LC Propylene'!AF4*'Scope 3 Yearly'!$B$197</f>
        <v>118.16587283427289</v>
      </c>
      <c r="DY14" s="44">
        <f>'Scope 3 Yearly'!$EE$187*'Scope 3 Yearly'!DY60*'Yearly LC Propylene'!AG4*'Scope 3 Yearly'!$B$197</f>
        <v>120.53929561725106</v>
      </c>
      <c r="DZ14" s="44">
        <f>'Scope 3 Yearly'!$EE$187*'Scope 3 Yearly'!DZ60*'Yearly LC Propylene'!AH4*'Scope 3 Yearly'!$B$197</f>
        <v>122.57210034477772</v>
      </c>
    </row>
    <row r="15" spans="1:165" x14ac:dyDescent="0.2">
      <c r="A15" t="s">
        <v>6</v>
      </c>
      <c r="C15" s="54" t="s">
        <v>415</v>
      </c>
      <c r="D15" s="44">
        <f>'Scope 3 Yearly'!$EE$188*'Scope 3 Yearly'!D83*'Yearly Methanol'!D122*'Scope 3 Yearly'!$B$197</f>
        <v>1.3367979852345079E-3</v>
      </c>
      <c r="E15" s="44">
        <f>'Scope 3 Yearly'!$EE$188*'Scope 3 Yearly'!E83*'Yearly Methanol'!E122*'Scope 3 Yearly'!$B$197</f>
        <v>2.8757850874781268E-3</v>
      </c>
      <c r="F15" s="44">
        <f>'Scope 3 Yearly'!$EE$188*'Scope 3 Yearly'!F83*'Yearly Methanol'!F122*'Scope 3 Yearly'!$B$197</f>
        <v>5.9721767019833899E-3</v>
      </c>
      <c r="G15" s="44">
        <f>'Scope 3 Yearly'!$EE$188*'Scope 3 Yearly'!G83*'Yearly Methanol'!G122*'Scope 3 Yearly'!$B$197</f>
        <v>1.2323835389045079E-2</v>
      </c>
      <c r="H15" s="44">
        <f>'Scope 3 Yearly'!$EE$188*'Scope 3 Yearly'!H83*'Yearly Methanol'!H122*'Scope 3 Yearly'!$B$197</f>
        <v>2.5252598942130888E-2</v>
      </c>
      <c r="I15" s="44">
        <f>'Scope 3 Yearly'!$EE$188*'Scope 3 Yearly'!I83*'Yearly Methanol'!I122*'Scope 3 Yearly'!$B$197</f>
        <v>5.1333653049782713E-2</v>
      </c>
      <c r="J15" s="44">
        <f>'Scope 3 Yearly'!$EE$188*'Scope 3 Yearly'!J83*'Yearly Methanol'!J122*'Scope 3 Yearly'!$B$197</f>
        <v>0.10329802617381523</v>
      </c>
      <c r="K15" s="44">
        <f>'Scope 3 Yearly'!$EE$188*'Scope 3 Yearly'!K83*'Yearly Methanol'!K122*'Scope 3 Yearly'!$B$197</f>
        <v>0.20535865985240245</v>
      </c>
      <c r="L15" s="44">
        <f>'Scope 3 Yearly'!$EE$188*'Scope 3 Yearly'!L83*'Yearly Methanol'!L122*'Scope 3 Yearly'!$B$197</f>
        <v>0.40202261854585425</v>
      </c>
      <c r="M15" s="44">
        <f>'Scope 3 Yearly'!$EE$188*'Scope 3 Yearly'!M83*'Yearly Methanol'!M122*'Scope 3 Yearly'!$B$197</f>
        <v>0.77165248014806642</v>
      </c>
      <c r="N15" s="44">
        <f>'Scope 3 Yearly'!$EE$188*'Scope 3 Yearly'!N83*'Yearly Methanol'!N122*'Scope 3 Yearly'!$B$197</f>
        <v>1.4441761806566733</v>
      </c>
      <c r="O15" s="44">
        <f>'Scope 3 Yearly'!$EE$188*'Scope 3 Yearly'!O83*'Yearly Methanol'!O122*'Scope 3 Yearly'!$B$197</f>
        <v>2.5159115420083933</v>
      </c>
      <c r="P15" s="44">
        <f>'Scope 3 Yearly'!$EE$188*'Scope 3 Yearly'!P83*'Yearly Methanol'!P122*'Scope 3 Yearly'!$B$197</f>
        <v>4.2139661510179742</v>
      </c>
      <c r="Q15" s="44">
        <f>'Scope 3 Yearly'!$EE$188*'Scope 3 Yearly'!Q83*'Yearly Methanol'!Q122*'Scope 3 Yearly'!$B$197</f>
        <v>6.7324665688746643</v>
      </c>
      <c r="R15" s="44">
        <f>'Scope 3 Yearly'!$EE$188*'Scope 3 Yearly'!R83*'Yearly Methanol'!R122*'Scope 3 Yearly'!$B$197</f>
        <v>10.188319374346138</v>
      </c>
      <c r="S15" s="44">
        <f>'Scope 3 Yearly'!$EE$188*'Scope 3 Yearly'!S83*'Yearly Methanol'!S122*'Scope 3 Yearly'!$B$197</f>
        <v>14.533249406009377</v>
      </c>
      <c r="T15" s="44">
        <f>'Scope 3 Yearly'!$EE$188*'Scope 3 Yearly'!T83*'Yearly Methanol'!T122*'Scope 3 Yearly'!$B$197</f>
        <v>19.470431875678987</v>
      </c>
      <c r="U15" s="44">
        <f>'Scope 3 Yearly'!$EE$188*'Scope 3 Yearly'!U83*'Yearly Methanol'!U122*'Scope 3 Yearly'!$B$197</f>
        <v>24.591016845817929</v>
      </c>
      <c r="V15" s="44">
        <f>'Scope 3 Yearly'!$EE$188*'Scope 3 Yearly'!V83*'Yearly Methanol'!V122*'Scope 3 Yearly'!$B$197</f>
        <v>29.426841614577455</v>
      </c>
      <c r="W15" s="44">
        <f>'Scope 3 Yearly'!$EE$188*'Scope 3 Yearly'!W83*'Yearly Methanol'!W122*'Scope 3 Yearly'!$B$197</f>
        <v>33.599837596782685</v>
      </c>
      <c r="X15" s="44">
        <f>'Scope 3 Yearly'!$EE$188*'Scope 3 Yearly'!X83*'Yearly Methanol'!X122*'Scope 3 Yearly'!$B$197</f>
        <v>36.893036230769376</v>
      </c>
      <c r="Y15" s="44">
        <f>'Scope 3 Yearly'!$EE$188*'Scope 3 Yearly'!Y83*'Yearly Methanol'!Y122*'Scope 3 Yearly'!$B$197</f>
        <v>39.186147134186179</v>
      </c>
      <c r="Z15" s="44">
        <f>'Scope 3 Yearly'!$EE$188*'Scope 3 Yearly'!Z83*'Yearly Methanol'!Z122*'Scope 3 Yearly'!$B$197</f>
        <v>40.616987114888211</v>
      </c>
      <c r="AA15" s="44">
        <f>'Scope 3 Yearly'!$EE$188*'Scope 3 Yearly'!AA83*'Yearly Methanol'!AA122*'Scope 3 Yearly'!$B$197</f>
        <v>41.304412096235033</v>
      </c>
      <c r="AB15" s="44">
        <f>'Scope 3 Yearly'!$EE$188*'Scope 3 Yearly'!AB83*'Yearly Methanol'!AB122*'Scope 3 Yearly'!$B$197</f>
        <v>41.378759758843806</v>
      </c>
      <c r="AC15" s="44">
        <f>'Scope 3 Yearly'!$EE$188*'Scope 3 Yearly'!AC83*'Yearly Methanol'!AC122*'Scope 3 Yearly'!$B$197</f>
        <v>40.959257876119423</v>
      </c>
      <c r="AD15" s="44">
        <f>'Scope 3 Yearly'!$EE$188*'Scope 3 Yearly'!AD83*'Yearly Methanol'!AD122*'Scope 3 Yearly'!$B$197</f>
        <v>40.147829480542391</v>
      </c>
      <c r="AE15" s="44">
        <f>'Scope 3 Yearly'!$EE$188*'Scope 3 Yearly'!AE83*'Yearly Methanol'!AE122*'Scope 3 Yearly'!$B$197</f>
        <v>39.0173964086135</v>
      </c>
      <c r="AF15" s="44">
        <f>'Scope 3 Yearly'!$EE$188*'Scope 3 Yearly'!AF83*'Yearly Methanol'!AF122*'Scope 3 Yearly'!$B$197</f>
        <v>37.627058012201047</v>
      </c>
      <c r="AG15" s="44">
        <f>'Scope 3 Yearly'!$EE$188*'Scope 3 Yearly'!AG83*'Yearly Methanol'!AG122*'Scope 3 Yearly'!$B$197</f>
        <v>36.026197645647507</v>
      </c>
      <c r="AH15" s="44">
        <f>'Scope 3 Yearly'!$EE$188*'Scope 3 Yearly'!AH83*'Yearly Methanol'!AH122*'Scope 3 Yearly'!$B$197</f>
        <v>34.260903307734694</v>
      </c>
      <c r="AJ15" s="44">
        <f>'Scope 3 Yearly'!$EE$188*'Scope 3 Yearly'!AJ83*'Yearly Methanol'!AJ122*'Scope 3 Yearly'!$B$197</f>
        <v>1.3367984064809929E-3</v>
      </c>
      <c r="AK15" s="44">
        <f>'Scope 3 Yearly'!$EE$188*'Scope 3 Yearly'!AK83*'Yearly Methanol'!AK122*'Scope 3 Yearly'!$B$197</f>
        <v>2.802537017733411E-3</v>
      </c>
      <c r="AL15" s="44">
        <f>'Scope 3 Yearly'!$EE$188*'Scope 3 Yearly'!AL83*'Yearly Methanol'!AL122*'Scope 3 Yearly'!$B$197</f>
        <v>5.8349777806029355E-3</v>
      </c>
      <c r="AM15" s="44">
        <f>'Scope 3 Yearly'!$EE$188*'Scope 3 Yearly'!AM83*'Yearly Methanol'!AM122*'Scope 3 Yearly'!$B$197</f>
        <v>1.2073894670348972E-2</v>
      </c>
      <c r="AN15" s="44">
        <f>'Scope 3 Yearly'!$EE$188*'Scope 3 Yearly'!AN83*'Yearly Methanol'!AN122*'Scope 3 Yearly'!$B$197</f>
        <v>2.4813230718886185E-2</v>
      </c>
      <c r="AO15" s="44">
        <f>'Scope 3 Yearly'!$EE$188*'Scope 3 Yearly'!AO83*'Yearly Methanol'!AO122*'Scope 3 Yearly'!$B$197</f>
        <v>5.0598070399900726E-2</v>
      </c>
      <c r="AP15" s="44">
        <f>'Scope 3 Yearly'!$EE$188*'Scope 3 Yearly'!AP83*'Yearly Methanol'!AP122*'Scope 3 Yearly'!$B$197</f>
        <v>0.10219654703641859</v>
      </c>
      <c r="AQ15" s="44">
        <f>'Scope 3 Yearly'!$EE$188*'Scope 3 Yearly'!AQ83*'Yearly Methanol'!AQ122*'Scope 3 Yearly'!$B$197</f>
        <v>0.20395869319187718</v>
      </c>
      <c r="AR15" s="44">
        <f>'Scope 3 Yearly'!$EE$188*'Scope 3 Yearly'!AR83*'Yearly Methanol'!AR122*'Scope 3 Yearly'!$B$197</f>
        <v>0.40090410046368963</v>
      </c>
      <c r="AS15" s="44">
        <f>'Scope 3 Yearly'!$EE$188*'Scope 3 Yearly'!AS83*'Yearly Methanol'!AS122*'Scope 3 Yearly'!$B$197</f>
        <v>0.7727816112036805</v>
      </c>
      <c r="AT15" s="44">
        <f>'Scope 3 Yearly'!$EE$188*'Scope 3 Yearly'!AT83*'Yearly Methanol'!AT122*'Scope 3 Yearly'!$B$197</f>
        <v>1.4527854572687378</v>
      </c>
      <c r="AU15" s="44">
        <f>'Scope 3 Yearly'!$EE$188*'Scope 3 Yearly'!AU83*'Yearly Methanol'!AU122*'Scope 3 Yearly'!$B$197</f>
        <v>2.5405660635684941</v>
      </c>
      <c r="AV15" s="44">
        <f>'Scope 3 Yearly'!$EE$188*'Scope 3 Yearly'!AV83*'Yearly Methanol'!AV122*'Scope 3 Yearly'!$B$197</f>
        <v>4.2738491646520842</v>
      </c>
      <c r="AW15" s="44">
        <f>'Scope 3 Yearly'!$EE$188*'Scope 3 Yearly'!AW83*'Yearly Methanol'!AW122*'Scope 3 Yearly'!$B$197</f>
        <v>6.8625588063620073</v>
      </c>
      <c r="AX15" s="44">
        <f>'Scope 3 Yearly'!$EE$188*'Scope 3 Yearly'!AX83*'Yearly Methanol'!AX122*'Scope 3 Yearly'!$B$197</f>
        <v>10.445504448898799</v>
      </c>
      <c r="AY15" s="44">
        <f>'Scope 3 Yearly'!$EE$188*'Scope 3 Yearly'!AY83*'Yearly Methanol'!AY122*'Scope 3 Yearly'!$B$197</f>
        <v>14.998868088927271</v>
      </c>
      <c r="AZ15" s="44">
        <f>'Scope 3 Yearly'!$EE$188*'Scope 3 Yearly'!AZ83*'Yearly Methanol'!AZ122*'Scope 3 Yearly'!$B$197</f>
        <v>20.241463047838618</v>
      </c>
      <c r="BA15" s="44">
        <f>'Scope 3 Yearly'!$EE$188*'Scope 3 Yearly'!BA83*'Yearly Methanol'!BA122*'Scope 3 Yearly'!$B$197</f>
        <v>25.770053712916027</v>
      </c>
      <c r="BB15" s="44">
        <f>'Scope 3 Yearly'!$EE$188*'Scope 3 Yearly'!BB83*'Yearly Methanol'!BB122*'Scope 3 Yearly'!$B$197</f>
        <v>31.10231255422833</v>
      </c>
      <c r="BC15" s="44">
        <f>'Scope 3 Yearly'!$EE$188*'Scope 3 Yearly'!BC83*'Yearly Methanol'!BC122*'Scope 3 Yearly'!$B$197</f>
        <v>35.832245236023212</v>
      </c>
      <c r="BD15" s="44">
        <f>'Scope 3 Yearly'!$EE$188*'Scope 3 Yearly'!BD83*'Yearly Methanol'!BD122*'Scope 3 Yearly'!$B$197</f>
        <v>39.710955236520391</v>
      </c>
      <c r="BE15" s="44">
        <f>'Scope 3 Yearly'!$EE$188*'Scope 3 Yearly'!BE83*'Yearly Methanol'!BE122*'Scope 3 Yearly'!$B$197</f>
        <v>42.519151234103404</v>
      </c>
      <c r="BF15" s="44">
        <f>'Scope 3 Yearly'!$EE$188*'Scope 3 Yearly'!BF83*'Yearly Methanol'!BF122*'Scope 3 Yearly'!$B$197</f>
        <v>44.439224600807911</v>
      </c>
      <c r="BG15" s="44">
        <f>'Scope 3 Yearly'!$EE$188*'Scope 3 Yearly'!BG83*'Yearly Methanol'!BG122*'Scope 3 Yearly'!$B$197</f>
        <v>45.585893539922161</v>
      </c>
      <c r="BH15" s="44">
        <f>'Scope 3 Yearly'!$EE$188*'Scope 3 Yearly'!BH83*'Yearly Methanol'!BH122*'Scope 3 Yearly'!$B$197</f>
        <v>46.091950902658262</v>
      </c>
      <c r="BI15" s="44">
        <f>'Scope 3 Yearly'!$EE$188*'Scope 3 Yearly'!BI83*'Yearly Methanol'!BI122*'Scope 3 Yearly'!$B$197</f>
        <v>46.082970663258074</v>
      </c>
      <c r="BJ15" s="44">
        <f>'Scope 3 Yearly'!$EE$188*'Scope 3 Yearly'!BJ83*'Yearly Methanol'!BJ122*'Scope 3 Yearly'!$B$197</f>
        <v>45.670513313036288</v>
      </c>
      <c r="BK15" s="44">
        <f>'Scope 3 Yearly'!$EE$188*'Scope 3 Yearly'!BK83*'Yearly Methanol'!BK122*'Scope 3 Yearly'!$B$197</f>
        <v>44.933344900664324</v>
      </c>
      <c r="BL15" s="44">
        <f>'Scope 3 Yearly'!$EE$188*'Scope 3 Yearly'!BL83*'Yearly Methanol'!BL122*'Scope 3 Yearly'!$B$197</f>
        <v>43.936114209972743</v>
      </c>
      <c r="BM15" s="44">
        <f>'Scope 3 Yearly'!$EE$188*'Scope 3 Yearly'!BM83*'Yearly Methanol'!BM122*'Scope 3 Yearly'!$B$197</f>
        <v>42.668254536176995</v>
      </c>
      <c r="BN15" s="44">
        <f>'Scope 3 Yearly'!$EE$188*'Scope 3 Yearly'!BN83*'Yearly Methanol'!BN122*'Scope 3 Yearly'!$B$197</f>
        <v>41.225171019339655</v>
      </c>
      <c r="BP15" s="44">
        <f>'Scope 3 Yearly'!$EE$188*'Scope 3 Yearly'!BP83*'Yearly Methanol'!BP122*'Scope 3 Yearly'!$B$197</f>
        <v>0</v>
      </c>
      <c r="BQ15" s="44">
        <f>'Scope 3 Yearly'!$EE$188*'Scope 3 Yearly'!BQ83*'Yearly Methanol'!BQ122*'Scope 3 Yearly'!$B$197</f>
        <v>0</v>
      </c>
      <c r="BR15" s="44">
        <f>'Scope 3 Yearly'!$EE$188*'Scope 3 Yearly'!BR83*'Yearly Methanol'!BR122*'Scope 3 Yearly'!$B$197</f>
        <v>0</v>
      </c>
      <c r="BS15" s="44">
        <f>'Scope 3 Yearly'!$EE$188*'Scope 3 Yearly'!BS83*'Yearly Methanol'!BS122*'Scope 3 Yearly'!$B$197</f>
        <v>0</v>
      </c>
      <c r="BT15" s="44">
        <f>'Scope 3 Yearly'!$EE$188*'Scope 3 Yearly'!BT83*'Yearly Methanol'!BT122*'Scope 3 Yearly'!$B$197</f>
        <v>0</v>
      </c>
      <c r="BU15" s="44">
        <f>'Scope 3 Yearly'!$EE$188*'Scope 3 Yearly'!BU83*'Yearly Methanol'!BU122*'Scope 3 Yearly'!$B$197</f>
        <v>0</v>
      </c>
      <c r="BV15" s="44">
        <f>'Scope 3 Yearly'!$EE$188*'Scope 3 Yearly'!BV83*'Yearly Methanol'!BV122*'Scope 3 Yearly'!$B$197</f>
        <v>0</v>
      </c>
      <c r="BW15" s="44">
        <f>'Scope 3 Yearly'!$EE$188*'Scope 3 Yearly'!BW83*'Yearly Methanol'!BW122*'Scope 3 Yearly'!$B$197</f>
        <v>0</v>
      </c>
      <c r="BX15" s="44">
        <f>'Scope 3 Yearly'!$EE$188*'Scope 3 Yearly'!BX83*'Yearly Methanol'!BX122*'Scope 3 Yearly'!$B$197</f>
        <v>0</v>
      </c>
      <c r="BY15" s="44">
        <f>'Scope 3 Yearly'!$EE$188*'Scope 3 Yearly'!BY83*'Yearly Methanol'!BY122*'Scope 3 Yearly'!$B$197</f>
        <v>0</v>
      </c>
      <c r="BZ15" s="44">
        <f>'Scope 3 Yearly'!$EE$188*'Scope 3 Yearly'!BZ83*'Yearly Methanol'!BZ122*'Scope 3 Yearly'!$B$197</f>
        <v>0</v>
      </c>
      <c r="CA15" s="44">
        <f>'Scope 3 Yearly'!$EE$188*'Scope 3 Yearly'!CA83*'Yearly Methanol'!CA122*'Scope 3 Yearly'!$B$197</f>
        <v>0</v>
      </c>
      <c r="CB15" s="44">
        <f>'Scope 3 Yearly'!$EE$188*'Scope 3 Yearly'!CB83*'Yearly Methanol'!CB122*'Scope 3 Yearly'!$B$197</f>
        <v>0</v>
      </c>
      <c r="CC15" s="44">
        <f>'Scope 3 Yearly'!$EE$188*'Scope 3 Yearly'!CC83*'Yearly Methanol'!CC122*'Scope 3 Yearly'!$B$197</f>
        <v>0</v>
      </c>
      <c r="CD15" s="44">
        <f>'Scope 3 Yearly'!$EE$188*'Scope 3 Yearly'!CD83*'Yearly Methanol'!CD122*'Scope 3 Yearly'!$B$197</f>
        <v>0</v>
      </c>
      <c r="CE15" s="44">
        <f>'Scope 3 Yearly'!$EE$188*'Scope 3 Yearly'!CE83*'Yearly Methanol'!CE122*'Scope 3 Yearly'!$B$197</f>
        <v>0</v>
      </c>
      <c r="CF15" s="44">
        <f>'Scope 3 Yearly'!$EE$188*'Scope 3 Yearly'!CF83*'Yearly Methanol'!CF122*'Scope 3 Yearly'!$B$197</f>
        <v>0</v>
      </c>
      <c r="CG15" s="44">
        <f>'Scope 3 Yearly'!$EE$188*'Scope 3 Yearly'!CG83*'Yearly Methanol'!CG122*'Scope 3 Yearly'!$B$197</f>
        <v>0</v>
      </c>
      <c r="CH15" s="44">
        <f>'Scope 3 Yearly'!$EE$188*'Scope 3 Yearly'!CH83*'Yearly Methanol'!CH122*'Scope 3 Yearly'!$B$197</f>
        <v>0</v>
      </c>
      <c r="CI15" s="44">
        <f>'Scope 3 Yearly'!$EE$188*'Scope 3 Yearly'!CI83*'Yearly Methanol'!CI122*'Scope 3 Yearly'!$B$197</f>
        <v>0</v>
      </c>
      <c r="CJ15" s="44">
        <f>'Scope 3 Yearly'!$EE$188*'Scope 3 Yearly'!CJ83*'Yearly Methanol'!CJ122*'Scope 3 Yearly'!$B$197</f>
        <v>0</v>
      </c>
      <c r="CK15" s="44">
        <f>'Scope 3 Yearly'!$EE$188*'Scope 3 Yearly'!CK83*'Yearly Methanol'!CK122*'Scope 3 Yearly'!$B$197</f>
        <v>0</v>
      </c>
      <c r="CL15" s="44">
        <f>'Scope 3 Yearly'!$EE$188*'Scope 3 Yearly'!CL83*'Yearly Methanol'!CL122*'Scope 3 Yearly'!$B$197</f>
        <v>0</v>
      </c>
      <c r="CM15" s="44">
        <f>'Scope 3 Yearly'!$EE$188*'Scope 3 Yearly'!CM83*'Yearly Methanol'!CM122*'Scope 3 Yearly'!$B$197</f>
        <v>0</v>
      </c>
      <c r="CN15" s="44">
        <f>'Scope 3 Yearly'!$EE$188*'Scope 3 Yearly'!CN83*'Yearly Methanol'!CN122*'Scope 3 Yearly'!$B$197</f>
        <v>0</v>
      </c>
      <c r="CO15" s="44">
        <f>'Scope 3 Yearly'!$EE$188*'Scope 3 Yearly'!CO83*'Yearly Methanol'!CO122*'Scope 3 Yearly'!$B$197</f>
        <v>0</v>
      </c>
      <c r="CP15" s="44">
        <f>'Scope 3 Yearly'!$EE$188*'Scope 3 Yearly'!CP83*'Yearly Methanol'!CP122*'Scope 3 Yearly'!$B$197</f>
        <v>0</v>
      </c>
      <c r="CQ15" s="44">
        <f>'Scope 3 Yearly'!$EE$188*'Scope 3 Yearly'!CQ83*'Yearly Methanol'!CQ122*'Scope 3 Yearly'!$B$197</f>
        <v>0</v>
      </c>
      <c r="CR15" s="44">
        <f>'Scope 3 Yearly'!$EE$188*'Scope 3 Yearly'!CR83*'Yearly Methanol'!CR122*'Scope 3 Yearly'!$B$197</f>
        <v>0</v>
      </c>
      <c r="CS15" s="44">
        <f>'Scope 3 Yearly'!$EE$188*'Scope 3 Yearly'!CS83*'Yearly Methanol'!CS122*'Scope 3 Yearly'!$B$197</f>
        <v>0</v>
      </c>
      <c r="CT15" s="44">
        <f>'Scope 3 Yearly'!$EE$188*'Scope 3 Yearly'!CT83*'Yearly Methanol'!CT122*'Scope 3 Yearly'!$B$197</f>
        <v>0</v>
      </c>
      <c r="CV15" s="44">
        <f>'Scope 3 Yearly'!$EE$188*'Scope 3 Yearly'!CV83*'Yearly Methanol'!D6*'Scope 3 Yearly'!$B$197</f>
        <v>1.3367984449276509E-3</v>
      </c>
      <c r="CW15" s="44">
        <f>'Scope 3 Yearly'!$EE$188*'Scope 3 Yearly'!CW83*'Yearly Methanol'!E6*'Scope 3 Yearly'!$B$197</f>
        <v>2.8322095593497384E-3</v>
      </c>
      <c r="CX15" s="44">
        <f>'Scope 3 Yearly'!$EE$188*'Scope 3 Yearly'!CX83*'Yearly Methanol'!F6*'Scope 3 Yearly'!$B$197</f>
        <v>5.9638264011657276E-3</v>
      </c>
      <c r="CY15" s="44">
        <f>'Scope 3 Yearly'!$EE$188*'Scope 3 Yearly'!CY83*'Yearly Methanol'!G6*'Scope 3 Yearly'!$B$197</f>
        <v>1.2478063031488093E-2</v>
      </c>
      <c r="CZ15" s="44">
        <f>'Scope 3 Yearly'!$EE$188*'Scope 3 Yearly'!CZ83*'Yearly Methanol'!H6*'Scope 3 Yearly'!$B$197</f>
        <v>2.5925349569439548E-2</v>
      </c>
      <c r="DA15" s="44">
        <f>'Scope 3 Yearly'!$EE$188*'Scope 3 Yearly'!DA83*'Yearly Methanol'!I6*'Scope 3 Yearly'!$B$197</f>
        <v>5.3431897536387947E-2</v>
      </c>
      <c r="DB15" s="44">
        <f>'Scope 3 Yearly'!$EE$188*'Scope 3 Yearly'!DB83*'Yearly Methanol'!J6*'Scope 3 Yearly'!$B$197</f>
        <v>0.10909661652058726</v>
      </c>
      <c r="DC15" s="44">
        <f>'Scope 3 Yearly'!$EE$188*'Scope 3 Yearly'!DC83*'Yearly Methanol'!K6*'Scope 3 Yearly'!$B$197</f>
        <v>0.22009995378152378</v>
      </c>
      <c r="DD15" s="44">
        <f>'Scope 3 Yearly'!$EE$188*'Scope 3 Yearly'!DD83*'Yearly Methanol'!L6*'Scope 3 Yearly'!$B$197</f>
        <v>0.43734885020175429</v>
      </c>
      <c r="DE15" s="44">
        <f>'Scope 3 Yearly'!$EE$188*'Scope 3 Yearly'!DE83*'Yearly Methanol'!M6*'Scope 3 Yearly'!$B$197</f>
        <v>0.8522615155161728</v>
      </c>
      <c r="DF15" s="44">
        <f>'Scope 3 Yearly'!$EE$188*'Scope 3 Yearly'!DF83*'Yearly Methanol'!N6*'Scope 3 Yearly'!$B$197</f>
        <v>1.6198572195080152</v>
      </c>
      <c r="DG15" s="44">
        <f>'Scope 3 Yearly'!$EE$188*'Scope 3 Yearly'!DG83*'Yearly Methanol'!O6*'Scope 3 Yearly'!$B$197</f>
        <v>2.9060395023073795</v>
      </c>
      <c r="DH15" s="44">
        <f>'Scope 3 Yearly'!$EE$188*'Scope 3 Yearly'!DH83*'Yearly Methanol'!P6*'Scope 3 Yearly'!$B$197</f>
        <v>5.0184350056715807</v>
      </c>
      <c r="DI15" s="44">
        <f>'Scope 3 Yearly'!$EE$188*'Scope 3 Yearly'!DI83*'Yearly Methanol'!Q6*'Scope 3 Yearly'!$B$197</f>
        <v>8.2860976843540168</v>
      </c>
      <c r="DJ15" s="44">
        <f>'Scope 3 Yearly'!$EE$188*'Scope 3 Yearly'!DJ83*'Yearly Methanol'!R6*'Scope 3 Yearly'!$B$197</f>
        <v>12.985236473317798</v>
      </c>
      <c r="DK15" s="44">
        <f>'Scope 3 Yearly'!$EE$188*'Scope 3 Yearly'!DK83*'Yearly Methanol'!S6*'Scope 3 Yearly'!$B$197</f>
        <v>19.222079640756608</v>
      </c>
      <c r="DL15" s="44">
        <f>'Scope 3 Yearly'!$EE$188*'Scope 3 Yearly'!DL83*'Yearly Methanol'!T6*'Scope 3 Yearly'!$B$197</f>
        <v>26.787481272941871</v>
      </c>
      <c r="DM15" s="44">
        <f>'Scope 3 Yearly'!$EE$188*'Scope 3 Yearly'!DM83*'Yearly Methanol'!U6*'Scope 3 Yearly'!$B$197</f>
        <v>35.269904031037925</v>
      </c>
      <c r="DN15" s="44">
        <f>'Scope 3 Yearly'!$EE$188*'Scope 3 Yearly'!DN83*'Yearly Methanol'!V6*'Scope 3 Yearly'!$B$197</f>
        <v>44.090502546149494</v>
      </c>
      <c r="DO15" s="44">
        <f>'Scope 3 Yearly'!$EE$188*'Scope 3 Yearly'!DO83*'Yearly Methanol'!W6*'Scope 3 Yearly'!$B$197</f>
        <v>52.694825958554091</v>
      </c>
      <c r="DP15" s="44">
        <f>'Scope 3 Yearly'!$EE$188*'Scope 3 Yearly'!DP83*'Yearly Methanol'!X6*'Scope 3 Yearly'!$B$197</f>
        <v>60.679619760691409</v>
      </c>
      <c r="DQ15" s="44">
        <f>'Scope 3 Yearly'!$EE$188*'Scope 3 Yearly'!DQ83*'Yearly Methanol'!Y6*'Scope 3 Yearly'!$B$197</f>
        <v>67.478881881758753</v>
      </c>
      <c r="DR15" s="44">
        <f>'Scope 3 Yearly'!$EE$188*'Scope 3 Yearly'!DR83*'Yearly Methanol'!Z6*'Scope 3 Yearly'!$B$197</f>
        <v>73.22270860171416</v>
      </c>
      <c r="DS15" s="44">
        <f>'Scope 3 Yearly'!$EE$188*'Scope 3 Yearly'!DS83*'Yearly Methanol'!AA6*'Scope 3 Yearly'!$B$197</f>
        <v>78.110849475816025</v>
      </c>
      <c r="DT15" s="44">
        <f>'Scope 3 Yearly'!$EE$188*'Scope 3 Yearly'!DT83*'Yearly Methanol'!AB6*'Scope 3 Yearly'!$B$197</f>
        <v>82.270751762114969</v>
      </c>
      <c r="DU15" s="44">
        <f>'Scope 3 Yearly'!$EE$188*'Scope 3 Yearly'!DU83*'Yearly Methanol'!AC6*'Scope 3 Yearly'!$B$197</f>
        <v>85.819880607298984</v>
      </c>
      <c r="DV15" s="44">
        <f>'Scope 3 Yearly'!$EE$188*'Scope 3 Yearly'!DV83*'Yearly Methanol'!AD6*'Scope 3 Yearly'!$B$197</f>
        <v>88.87997232483049</v>
      </c>
      <c r="DW15" s="44">
        <f>'Scope 3 Yearly'!$EE$188*'Scope 3 Yearly'!DW83*'Yearly Methanol'!AE6*'Scope 3 Yearly'!$B$197</f>
        <v>91.533841083691385</v>
      </c>
      <c r="DX15" s="44">
        <f>'Scope 3 Yearly'!$EE$188*'Scope 3 Yearly'!DX83*'Yearly Methanol'!AF6*'Scope 3 Yearly'!$B$197</f>
        <v>93.849211360100668</v>
      </c>
      <c r="DY15" s="44">
        <f>'Scope 3 Yearly'!$EE$188*'Scope 3 Yearly'!DY83*'Yearly Methanol'!AG6*'Scope 3 Yearly'!$B$197</f>
        <v>95.737361040807855</v>
      </c>
      <c r="DZ15" s="44">
        <f>'Scope 3 Yearly'!$EE$188*'Scope 3 Yearly'!DZ83*'Yearly Methanol'!AH6*'Scope 3 Yearly'!$B$197</f>
        <v>97.33753924569487</v>
      </c>
    </row>
    <row r="16" spans="1:165" x14ac:dyDescent="0.2">
      <c r="A16" t="s">
        <v>7</v>
      </c>
      <c r="C16" s="54" t="s">
        <v>415</v>
      </c>
      <c r="D16" s="44">
        <f>'Scope 3 Yearly'!$EE$189*'Scope 3 Yearly'!D106*'Yearly BTX'!D129*'Scope 3 Yearly'!$B$197</f>
        <v>1.1273297730200389E-3</v>
      </c>
      <c r="E16" s="44">
        <f>'Scope 3 Yearly'!$EE$189*'Scope 3 Yearly'!E106*'Yearly BTX'!E129*'Scope 3 Yearly'!$B$197</f>
        <v>2.2673232287211409E-3</v>
      </c>
      <c r="F16" s="44">
        <f>'Scope 3 Yearly'!$EE$189*'Scope 3 Yearly'!F106*'Yearly BTX'!F129*'Scope 3 Yearly'!$B$197</f>
        <v>4.5264725573474661E-3</v>
      </c>
      <c r="G16" s="44">
        <f>'Scope 3 Yearly'!$EE$189*'Scope 3 Yearly'!G106*'Yearly BTX'!G129*'Scope 3 Yearly'!$B$197</f>
        <v>9.0121811215933632E-3</v>
      </c>
      <c r="H16" s="44">
        <f>'Scope 3 Yearly'!$EE$189*'Scope 3 Yearly'!H106*'Yearly BTX'!H129*'Scope 3 Yearly'!$B$197</f>
        <v>1.7865198925006879E-2</v>
      </c>
      <c r="I16" s="44">
        <f>'Scope 3 Yearly'!$EE$189*'Scope 3 Yearly'!I106*'Yearly BTX'!I129*'Scope 3 Yearly'!$B$197</f>
        <v>3.5214976792576992E-2</v>
      </c>
      <c r="J16" s="44">
        <f>'Scope 3 Yearly'!$EE$189*'Scope 3 Yearly'!J106*'Yearly BTX'!J129*'Scope 3 Yearly'!$B$197</f>
        <v>6.8265541599980537E-2</v>
      </c>
      <c r="K16" s="44">
        <f>'Scope 3 Yearly'!$EE$189*'Scope 3 Yearly'!K106*'Yearly BTX'!K129*'Scope 3 Yearly'!$B$197</f>
        <v>0.13097252665154488</v>
      </c>
      <c r="L16" s="44">
        <f>'Scope 3 Yearly'!$EE$189*'Scope 3 Yearly'!L106*'Yearly BTX'!L129*'Scope 3 Yearly'!$B$197</f>
        <v>0.24784603241706474</v>
      </c>
      <c r="M16" s="44">
        <f>'Scope 3 Yearly'!$EE$189*'Scope 3 Yearly'!M106*'Yearly BTX'!M129*'Scope 3 Yearly'!$B$197</f>
        <v>0.46053651502503606</v>
      </c>
      <c r="N16" s="44">
        <f>'Scope 3 Yearly'!$EE$189*'Scope 3 Yearly'!N106*'Yearly BTX'!N129*'Scope 3 Yearly'!$B$197</f>
        <v>0.83553396236743938</v>
      </c>
      <c r="O16" s="44">
        <f>'Scope 3 Yearly'!$EE$189*'Scope 3 Yearly'!O106*'Yearly BTX'!O129*'Scope 3 Yearly'!$B$197</f>
        <v>1.4382780669938706</v>
      </c>
      <c r="P16" s="44">
        <f>'Scope 3 Yearly'!$EE$189*'Scope 3 Yearly'!P106*'Yearly BTX'!P129*'Scope 3 Yearly'!$B$197</f>
        <v>2.3814852590240578</v>
      </c>
      <c r="Q16" s="44">
        <f>'Scope 3 Yearly'!$EE$189*'Scope 3 Yearly'!Q106*'Yearly BTX'!Q129*'Scope 3 Yearly'!$B$197</f>
        <v>3.7634074194747376</v>
      </c>
      <c r="R16" s="44">
        <f>'Scope 3 Yearly'!$EE$189*'Scope 3 Yearly'!R106*'Yearly BTX'!R129*'Scope 3 Yearly'!$B$197</f>
        <v>5.6368582825322147</v>
      </c>
      <c r="S16" s="44">
        <f>'Scope 3 Yearly'!$EE$189*'Scope 3 Yearly'!S106*'Yearly BTX'!S129*'Scope 3 Yearly'!$B$197</f>
        <v>7.9643931223695121</v>
      </c>
      <c r="T16" s="44">
        <f>'Scope 3 Yearly'!$EE$189*'Scope 3 Yearly'!T106*'Yearly BTX'!T129*'Scope 3 Yearly'!$B$197</f>
        <v>10.58971801020386</v>
      </c>
      <c r="U16" s="44">
        <f>'Scope 3 Yearly'!$EE$189*'Scope 3 Yearly'!U106*'Yearly BTX'!U129*'Scope 3 Yearly'!$B$197</f>
        <v>13.28381602540764</v>
      </c>
      <c r="V16" s="44">
        <f>'Scope 3 Yearly'!$EE$189*'Scope 3 Yearly'!V106*'Yearly BTX'!V129*'Scope 3 Yearly'!$B$197</f>
        <v>15.801477714169943</v>
      </c>
      <c r="W16" s="44">
        <f>'Scope 3 Yearly'!$EE$189*'Scope 3 Yearly'!W106*'Yearly BTX'!W129*'Scope 3 Yearly'!$B$197</f>
        <v>17.952393144052309</v>
      </c>
      <c r="X16" s="44">
        <f>'Scope 3 Yearly'!$EE$189*'Scope 3 Yearly'!X106*'Yearly BTX'!X129*'Scope 3 Yearly'!$B$197</f>
        <v>19.635366146306197</v>
      </c>
      <c r="Y16" s="44">
        <f>'Scope 3 Yearly'!$EE$189*'Scope 3 Yearly'!Y106*'Yearly BTX'!Y129*'Scope 3 Yearly'!$B$197</f>
        <v>20.424957539520197</v>
      </c>
      <c r="Z16" s="44">
        <f>'Scope 3 Yearly'!$EE$189*'Scope 3 Yearly'!Z106*'Yearly BTX'!Z129*'Scope 3 Yearly'!$B$197</f>
        <v>20.734272914597902</v>
      </c>
      <c r="AA16" s="44">
        <f>'Scope 3 Yearly'!$EE$189*'Scope 3 Yearly'!AA106*'Yearly BTX'!AA129*'Scope 3 Yearly'!$B$197</f>
        <v>20.652981157198496</v>
      </c>
      <c r="AB16" s="44">
        <f>'Scope 3 Yearly'!$EE$189*'Scope 3 Yearly'!AB106*'Yearly BTX'!AB129*'Scope 3 Yearly'!$B$197</f>
        <v>20.198589939670654</v>
      </c>
      <c r="AC16" s="44">
        <f>'Scope 3 Yearly'!$EE$189*'Scope 3 Yearly'!AC106*'Yearly BTX'!AC129*'Scope 3 Yearly'!$B$197</f>
        <v>19.487611880020239</v>
      </c>
      <c r="AD16" s="44">
        <f>'Scope 3 Yearly'!$EE$189*'Scope 3 Yearly'!AD106*'Yearly BTX'!AD129*'Scope 3 Yearly'!$B$197</f>
        <v>18.574379561303314</v>
      </c>
      <c r="AE16" s="44">
        <f>'Scope 3 Yearly'!$EE$189*'Scope 3 Yearly'!AE106*'Yearly BTX'!AE129*'Scope 3 Yearly'!$B$197</f>
        <v>17.547053619690612</v>
      </c>
      <c r="AF16" s="44">
        <f>'Scope 3 Yearly'!$EE$189*'Scope 3 Yearly'!AF106*'Yearly BTX'!AF129*'Scope 3 Yearly'!$B$197</f>
        <v>16.442869882212687</v>
      </c>
      <c r="AG16" s="44">
        <f>'Scope 3 Yearly'!$EE$189*'Scope 3 Yearly'!AG106*'Yearly BTX'!AG129*'Scope 3 Yearly'!$B$197</f>
        <v>15.292012618390514</v>
      </c>
      <c r="AH16" s="44">
        <f>'Scope 3 Yearly'!$EE$189*'Scope 3 Yearly'!AH106*'Yearly BTX'!AH129*'Scope 3 Yearly'!$B$197</f>
        <v>14.122362340284146</v>
      </c>
      <c r="AJ16" s="44">
        <f>'Scope 3 Yearly'!$EE$189*'Scope 3 Yearly'!AJ106*'Yearly BTX'!AJ129*'Scope 3 Yearly'!$B$197</f>
        <v>1.1273302307849161E-3</v>
      </c>
      <c r="AK16" s="44">
        <f>'Scope 3 Yearly'!$EE$189*'Scope 3 Yearly'!AK106*'Yearly BTX'!AK129*'Scope 3 Yearly'!$B$197</f>
        <v>2.2798321694421546E-3</v>
      </c>
      <c r="AL16" s="44">
        <f>'Scope 3 Yearly'!$EE$189*'Scope 3 Yearly'!AL106*'Yearly BTX'!AL129*'Scope 3 Yearly'!$B$197</f>
        <v>4.5788709317484081E-3</v>
      </c>
      <c r="AM16" s="44">
        <f>'Scope 3 Yearly'!$EE$189*'Scope 3 Yearly'!AM106*'Yearly BTX'!AM129*'Scope 3 Yearly'!$B$197</f>
        <v>9.17088416646125E-3</v>
      </c>
      <c r="AN16" s="44">
        <f>'Scope 3 Yearly'!$EE$189*'Scope 3 Yearly'!AN106*'Yearly BTX'!AN129*'Scope 3 Yearly'!$B$197</f>
        <v>1.8290634714497413E-2</v>
      </c>
      <c r="AO16" s="44">
        <f>'Scope 3 Yearly'!$EE$189*'Scope 3 Yearly'!AO106*'Yearly BTX'!AO129*'Scope 3 Yearly'!$B$197</f>
        <v>3.6278209678511551E-2</v>
      </c>
      <c r="AP16" s="44">
        <f>'Scope 3 Yearly'!$EE$189*'Scope 3 Yearly'!AP106*'Yearly BTX'!AP129*'Scope 3 Yearly'!$B$197</f>
        <v>7.0825998455602154E-2</v>
      </c>
      <c r="AQ16" s="44">
        <f>'Scope 3 Yearly'!$EE$189*'Scope 3 Yearly'!AQ106*'Yearly BTX'!AQ129*'Scope 3 Yearly'!$B$197</f>
        <v>0.13688751442390135</v>
      </c>
      <c r="AR16" s="44">
        <f>'Scope 3 Yearly'!$EE$189*'Scope 3 Yearly'!AR106*'Yearly BTX'!AR129*'Scope 3 Yearly'!$B$197</f>
        <v>0.26102886809783843</v>
      </c>
      <c r="AS16" s="44">
        <f>'Scope 3 Yearly'!$EE$189*'Scope 3 Yearly'!AS106*'Yearly BTX'!AS129*'Scope 3 Yearly'!$B$197</f>
        <v>0.48892207591213044</v>
      </c>
      <c r="AT16" s="44">
        <f>'Scope 3 Yearly'!$EE$189*'Scope 3 Yearly'!AT106*'Yearly BTX'!AT129*'Scope 3 Yearly'!$B$197</f>
        <v>0.89449654482764862</v>
      </c>
      <c r="AU16" s="44">
        <f>'Scope 3 Yearly'!$EE$189*'Scope 3 Yearly'!AU106*'Yearly BTX'!AU129*'Scope 3 Yearly'!$B$197</f>
        <v>1.5573352638521853</v>
      </c>
      <c r="AV16" s="44">
        <f>'Scope 3 Yearly'!$EE$189*'Scope 3 Yearly'!AV106*'Yearly BTX'!AV129*'Scope 3 Yearly'!$B$197</f>
        <v>2.610504011460701</v>
      </c>
      <c r="AW16" s="44">
        <f>'Scope 3 Yearly'!$EE$189*'Scope 3 Yearly'!AW106*'Yearly BTX'!AW129*'Scope 3 Yearly'!$B$197</f>
        <v>4.1808372121411033</v>
      </c>
      <c r="AX16" s="44">
        <f>'Scope 3 Yearly'!$EE$189*'Scope 3 Yearly'!AX106*'Yearly BTX'!AX129*'Scope 3 Yearly'!$B$197</f>
        <v>6.3536365982303007</v>
      </c>
      <c r="AY16" s="44">
        <f>'Scope 3 Yearly'!$EE$189*'Scope 3 Yearly'!AY106*'Yearly BTX'!AY129*'Scope 3 Yearly'!$B$197</f>
        <v>9.1191145066732542</v>
      </c>
      <c r="AZ16" s="44">
        <f>'Scope 3 Yearly'!$EE$189*'Scope 3 Yearly'!AZ106*'Yearly BTX'!AZ129*'Scope 3 Yearly'!$B$197</f>
        <v>12.328248521848348</v>
      </c>
      <c r="BA16" s="44">
        <f>'Scope 3 Yearly'!$EE$189*'Scope 3 Yearly'!BA106*'Yearly BTX'!BA129*'Scope 3 Yearly'!$B$197</f>
        <v>15.740690892613786</v>
      </c>
      <c r="BB16" s="44">
        <f>'Scope 3 Yearly'!$EE$189*'Scope 3 Yearly'!BB106*'Yearly BTX'!BB129*'Scope 3 Yearly'!$B$197</f>
        <v>19.076797324268313</v>
      </c>
      <c r="BC16" s="44">
        <f>'Scope 3 Yearly'!$EE$189*'Scope 3 Yearly'!BC106*'Yearly BTX'!BC129*'Scope 3 Yearly'!$B$197</f>
        <v>22.101723901501103</v>
      </c>
      <c r="BD16" s="44">
        <f>'Scope 3 Yearly'!$EE$189*'Scope 3 Yearly'!BD106*'Yearly BTX'!BD129*'Scope 3 Yearly'!$B$197</f>
        <v>24.672797738900176</v>
      </c>
      <c r="BE16" s="44">
        <f>'Scope 3 Yearly'!$EE$189*'Scope 3 Yearly'!BE106*'Yearly BTX'!BE129*'Scope 3 Yearly'!$B$197</f>
        <v>26.301450097642199</v>
      </c>
      <c r="BF16" s="44">
        <f>'Scope 3 Yearly'!$EE$189*'Scope 3 Yearly'!BF106*'Yearly BTX'!BF129*'Scope 3 Yearly'!$B$197</f>
        <v>27.404533834893751</v>
      </c>
      <c r="BG16" s="44">
        <f>'Scope 3 Yearly'!$EE$189*'Scope 3 Yearly'!BG106*'Yearly BTX'!BG129*'Scope 3 Yearly'!$B$197</f>
        <v>28.069995938944487</v>
      </c>
      <c r="BH16" s="44">
        <f>'Scope 3 Yearly'!$EE$189*'Scope 3 Yearly'!BH106*'Yearly BTX'!BH129*'Scope 3 Yearly'!$B$197</f>
        <v>28.385263383858803</v>
      </c>
      <c r="BI16" s="44">
        <f>'Scope 3 Yearly'!$EE$189*'Scope 3 Yearly'!BI106*'Yearly BTX'!BI129*'Scope 3 Yearly'!$B$197</f>
        <v>28.432575563853142</v>
      </c>
      <c r="BJ16" s="44">
        <f>'Scope 3 Yearly'!$EE$189*'Scope 3 Yearly'!BJ106*'Yearly BTX'!BJ129*'Scope 3 Yearly'!$B$197</f>
        <v>28.243015571746266</v>
      </c>
      <c r="BK16" s="44">
        <f>'Scope 3 Yearly'!$EE$189*'Scope 3 Yearly'!BK106*'Yearly BTX'!BK129*'Scope 3 Yearly'!$B$197</f>
        <v>27.906440525235205</v>
      </c>
      <c r="BL16" s="44">
        <f>'Scope 3 Yearly'!$EE$189*'Scope 3 Yearly'!BL106*'Yearly BTX'!BL129*'Scope 3 Yearly'!$B$197</f>
        <v>27.460777189037358</v>
      </c>
      <c r="BM16" s="44">
        <f>'Scope 3 Yearly'!$EE$189*'Scope 3 Yearly'!BM106*'Yearly BTX'!BM129*'Scope 3 Yearly'!$B$197</f>
        <v>26.934761762346525</v>
      </c>
      <c r="BN16" s="44">
        <f>'Scope 3 Yearly'!$EE$189*'Scope 3 Yearly'!BN106*'Yearly BTX'!BN129*'Scope 3 Yearly'!$B$197</f>
        <v>26.353179457232091</v>
      </c>
      <c r="BP16" s="44">
        <f>'Scope 3 Yearly'!$EE$189*'Scope 3 Yearly'!BP106*'Yearly BTX'!BP129*'Scope 3 Yearly'!$B$197</f>
        <v>0</v>
      </c>
      <c r="BQ16" s="44">
        <f>'Scope 3 Yearly'!$EE$189*'Scope 3 Yearly'!BQ106*'Yearly BTX'!BQ129*'Scope 3 Yearly'!$B$197</f>
        <v>0</v>
      </c>
      <c r="BR16" s="44">
        <f>'Scope 3 Yearly'!$EE$189*'Scope 3 Yearly'!BR106*'Yearly BTX'!BR129*'Scope 3 Yearly'!$B$197</f>
        <v>0</v>
      </c>
      <c r="BS16" s="44">
        <f>'Scope 3 Yearly'!$EE$189*'Scope 3 Yearly'!BS106*'Yearly BTX'!BS129*'Scope 3 Yearly'!$B$197</f>
        <v>0</v>
      </c>
      <c r="BT16" s="44">
        <f>'Scope 3 Yearly'!$EE$189*'Scope 3 Yearly'!BT106*'Yearly BTX'!BT129*'Scope 3 Yearly'!$B$197</f>
        <v>0</v>
      </c>
      <c r="BU16" s="44">
        <f>'Scope 3 Yearly'!$EE$189*'Scope 3 Yearly'!BU106*'Yearly BTX'!BU129*'Scope 3 Yearly'!$B$197</f>
        <v>0</v>
      </c>
      <c r="BV16" s="44">
        <f>'Scope 3 Yearly'!$EE$189*'Scope 3 Yearly'!BV106*'Yearly BTX'!BV129*'Scope 3 Yearly'!$B$197</f>
        <v>0</v>
      </c>
      <c r="BW16" s="44">
        <f>'Scope 3 Yearly'!$EE$189*'Scope 3 Yearly'!BW106*'Yearly BTX'!BW129*'Scope 3 Yearly'!$B$197</f>
        <v>0</v>
      </c>
      <c r="BX16" s="44">
        <f>'Scope 3 Yearly'!$EE$189*'Scope 3 Yearly'!BX106*'Yearly BTX'!BX129*'Scope 3 Yearly'!$B$197</f>
        <v>0</v>
      </c>
      <c r="BY16" s="44">
        <f>'Scope 3 Yearly'!$EE$189*'Scope 3 Yearly'!BY106*'Yearly BTX'!BY129*'Scope 3 Yearly'!$B$197</f>
        <v>0</v>
      </c>
      <c r="BZ16" s="44">
        <f>'Scope 3 Yearly'!$EE$189*'Scope 3 Yearly'!BZ106*'Yearly BTX'!BZ129*'Scope 3 Yearly'!$B$197</f>
        <v>0</v>
      </c>
      <c r="CA16" s="44">
        <f>'Scope 3 Yearly'!$EE$189*'Scope 3 Yearly'!CA106*'Yearly BTX'!CA129*'Scope 3 Yearly'!$B$197</f>
        <v>0</v>
      </c>
      <c r="CB16" s="44">
        <f>'Scope 3 Yearly'!$EE$189*'Scope 3 Yearly'!CB106*'Yearly BTX'!CB129*'Scope 3 Yearly'!$B$197</f>
        <v>0</v>
      </c>
      <c r="CC16" s="44">
        <f>'Scope 3 Yearly'!$EE$189*'Scope 3 Yearly'!CC106*'Yearly BTX'!CC129*'Scope 3 Yearly'!$B$197</f>
        <v>0</v>
      </c>
      <c r="CD16" s="44">
        <f>'Scope 3 Yearly'!$EE$189*'Scope 3 Yearly'!CD106*'Yearly BTX'!CD129*'Scope 3 Yearly'!$B$197</f>
        <v>0</v>
      </c>
      <c r="CE16" s="44">
        <f>'Scope 3 Yearly'!$EE$189*'Scope 3 Yearly'!CE106*'Yearly BTX'!CE129*'Scope 3 Yearly'!$B$197</f>
        <v>0</v>
      </c>
      <c r="CF16" s="44">
        <f>'Scope 3 Yearly'!$EE$189*'Scope 3 Yearly'!CF106*'Yearly BTX'!CF129*'Scope 3 Yearly'!$B$197</f>
        <v>0</v>
      </c>
      <c r="CG16" s="44">
        <f>'Scope 3 Yearly'!$EE$189*'Scope 3 Yearly'!CG106*'Yearly BTX'!CG129*'Scope 3 Yearly'!$B$197</f>
        <v>0</v>
      </c>
      <c r="CH16" s="44">
        <f>'Scope 3 Yearly'!$EE$189*'Scope 3 Yearly'!CH106*'Yearly BTX'!CH129*'Scope 3 Yearly'!$B$197</f>
        <v>0</v>
      </c>
      <c r="CI16" s="44">
        <f>'Scope 3 Yearly'!$EE$189*'Scope 3 Yearly'!CI106*'Yearly BTX'!CI129*'Scope 3 Yearly'!$B$197</f>
        <v>0</v>
      </c>
      <c r="CJ16" s="44">
        <f>'Scope 3 Yearly'!$EE$189*'Scope 3 Yearly'!CJ106*'Yearly BTX'!CJ129*'Scope 3 Yearly'!$B$197</f>
        <v>0</v>
      </c>
      <c r="CK16" s="44">
        <f>'Scope 3 Yearly'!$EE$189*'Scope 3 Yearly'!CK106*'Yearly BTX'!CK129*'Scope 3 Yearly'!$B$197</f>
        <v>0</v>
      </c>
      <c r="CL16" s="44">
        <f>'Scope 3 Yearly'!$EE$189*'Scope 3 Yearly'!CL106*'Yearly BTX'!CL129*'Scope 3 Yearly'!$B$197</f>
        <v>0</v>
      </c>
      <c r="CM16" s="44">
        <f>'Scope 3 Yearly'!$EE$189*'Scope 3 Yearly'!CM106*'Yearly BTX'!CM129*'Scope 3 Yearly'!$B$197</f>
        <v>0</v>
      </c>
      <c r="CN16" s="44">
        <f>'Scope 3 Yearly'!$EE$189*'Scope 3 Yearly'!CN106*'Yearly BTX'!CN129*'Scope 3 Yearly'!$B$197</f>
        <v>0</v>
      </c>
      <c r="CO16" s="44">
        <f>'Scope 3 Yearly'!$EE$189*'Scope 3 Yearly'!CO106*'Yearly BTX'!CO129*'Scope 3 Yearly'!$B$197</f>
        <v>0</v>
      </c>
      <c r="CP16" s="44">
        <f>'Scope 3 Yearly'!$EE$189*'Scope 3 Yearly'!CP106*'Yearly BTX'!CP129*'Scope 3 Yearly'!$B$197</f>
        <v>0</v>
      </c>
      <c r="CQ16" s="44">
        <f>'Scope 3 Yearly'!$EE$189*'Scope 3 Yearly'!CQ106*'Yearly BTX'!CQ129*'Scope 3 Yearly'!$B$197</f>
        <v>0</v>
      </c>
      <c r="CR16" s="44">
        <f>'Scope 3 Yearly'!$EE$189*'Scope 3 Yearly'!CR106*'Yearly BTX'!CR129*'Scope 3 Yearly'!$B$197</f>
        <v>0</v>
      </c>
      <c r="CS16" s="44">
        <f>'Scope 3 Yearly'!$EE$189*'Scope 3 Yearly'!CS106*'Yearly BTX'!CS129*'Scope 3 Yearly'!$B$197</f>
        <v>0</v>
      </c>
      <c r="CT16" s="44">
        <f>'Scope 3 Yearly'!$EE$189*'Scope 3 Yearly'!CT106*'Yearly BTX'!CT129*'Scope 3 Yearly'!$B$197</f>
        <v>0</v>
      </c>
      <c r="CV16" s="44">
        <f>'Scope 3 Yearly'!$EE$189*'Scope 3 Yearly'!CV106*'Yearly BTX'!D5*'Scope 3 Yearly'!$B$197</f>
        <v>9.1227689314378024E-4</v>
      </c>
      <c r="CW16" s="44">
        <f>'Scope 3 Yearly'!$EE$189*'Scope 3 Yearly'!CW106*'Yearly BTX'!E5*'Scope 3 Yearly'!$B$197</f>
        <v>1.8662441753230698E-3</v>
      </c>
      <c r="CX16" s="44">
        <f>'Scope 3 Yearly'!$EE$189*'Scope 3 Yearly'!CX106*'Yearly BTX'!F5*'Scope 3 Yearly'!$B$197</f>
        <v>3.8025266198964723E-3</v>
      </c>
      <c r="CY16" s="44">
        <f>'Scope 3 Yearly'!$EE$189*'Scope 3 Yearly'!CY106*'Yearly BTX'!G5*'Scope 3 Yearly'!$B$197</f>
        <v>7.7209860716342541E-3</v>
      </c>
      <c r="CZ16" s="44">
        <f>'Scope 3 Yearly'!$EE$189*'Scope 3 Yearly'!CZ106*'Yearly BTX'!H5*'Scope 3 Yearly'!$B$197</f>
        <v>1.5610174628448813E-2</v>
      </c>
      <c r="DA16" s="44">
        <f>'Scope 3 Yearly'!$EE$189*'Scope 3 Yearly'!DA106*'Yearly BTX'!I5*'Scope 3 Yearly'!$B$197</f>
        <v>3.1383518037390541E-2</v>
      </c>
      <c r="DB16" s="44">
        <f>'Scope 3 Yearly'!$EE$189*'Scope 3 Yearly'!DB106*'Yearly BTX'!J5*'Scope 3 Yearly'!$B$197</f>
        <v>6.2130381223093348E-2</v>
      </c>
      <c r="DC16" s="44">
        <f>'Scope 3 Yearly'!$EE$189*'Scope 3 Yearly'!DC106*'Yearly BTX'!K5*'Scope 3 Yearly'!$B$197</f>
        <v>0.12178353708485544</v>
      </c>
      <c r="DD16" s="44">
        <f>'Scope 3 Yearly'!$EE$189*'Scope 3 Yearly'!DD106*'Yearly BTX'!L5*'Scope 3 Yearly'!$B$197</f>
        <v>0.23554972296311766</v>
      </c>
      <c r="DE16" s="44">
        <f>'Scope 3 Yearly'!$EE$189*'Scope 3 Yearly'!DE106*'Yearly BTX'!M5*'Scope 3 Yearly'!$B$197</f>
        <v>0.44756793862374983</v>
      </c>
      <c r="DF16" s="44">
        <f>'Scope 3 Yearly'!$EE$189*'Scope 3 Yearly'!DF106*'Yearly BTX'!N5*'Scope 3 Yearly'!$B$197</f>
        <v>0.83077477863889193</v>
      </c>
      <c r="DG16" s="44">
        <f>'Scope 3 Yearly'!$EE$189*'Scope 3 Yearly'!DG106*'Yearly BTX'!O5*'Scope 3 Yearly'!$B$197</f>
        <v>1.483112443653166</v>
      </c>
      <c r="DH16" s="44">
        <f>'Scope 3 Yearly'!$EE$189*'Scope 3 Yearly'!DH106*'Yearly BTX'!P5*'Scope 3 Yearly'!$B$197</f>
        <v>2.549474317364794</v>
      </c>
      <c r="DI16" s="44">
        <f>'Scope 3 Yearly'!$EE$189*'Scope 3 Yearly'!DI106*'Yearly BTX'!Q5*'Scope 3 Yearly'!$B$197</f>
        <v>4.1917594944695953</v>
      </c>
      <c r="DJ16" s="44">
        <f>'Scope 3 Yearly'!$EE$189*'Scope 3 Yearly'!DJ106*'Yearly BTX'!R5*'Scope 3 Yearly'!$B$197</f>
        <v>6.5435548462390321</v>
      </c>
      <c r="DK16" s="44">
        <f>'Scope 3 Yearly'!$EE$189*'Scope 3 Yearly'!DK106*'Yearly BTX'!S5*'Scope 3 Yearly'!$B$197</f>
        <v>9.6525167299344847</v>
      </c>
      <c r="DL16" s="44">
        <f>'Scope 3 Yearly'!$EE$189*'Scope 3 Yearly'!DL106*'Yearly BTX'!T5*'Scope 3 Yearly'!$B$197</f>
        <v>13.425101617977296</v>
      </c>
      <c r="DM16" s="44">
        <f>'Scope 3 Yearly'!$EE$189*'Scope 3 Yearly'!DM106*'Yearly BTX'!U5*'Scope 3 Yearly'!$B$197</f>
        <v>17.6470916776079</v>
      </c>
      <c r="DN16" s="44">
        <f>'Scope 3 Yearly'!$EE$189*'Scope 3 Yearly'!DN106*'Yearly BTX'!V5*'Scope 3 Yearly'!$B$197</f>
        <v>22.031519558185842</v>
      </c>
      <c r="DO16" s="44">
        <f>'Scope 3 Yearly'!$EE$189*'Scope 3 Yearly'!DO106*'Yearly BTX'!W5*'Scope 3 Yearly'!$B$197</f>
        <v>26.3061703172656</v>
      </c>
      <c r="DP16" s="44">
        <f>'Scope 3 Yearly'!$EE$189*'Scope 3 Yearly'!DP106*'Yearly BTX'!X5*'Scope 3 Yearly'!$B$197</f>
        <v>30.275854312377867</v>
      </c>
      <c r="DQ16" s="44">
        <f>'Scope 3 Yearly'!$EE$189*'Scope 3 Yearly'!DQ106*'Yearly BTX'!Y5*'Scope 3 Yearly'!$B$197</f>
        <v>33.605802713016907</v>
      </c>
      <c r="DR16" s="44">
        <f>'Scope 3 Yearly'!$EE$189*'Scope 3 Yearly'!DR106*'Yearly BTX'!Z5*'Scope 3 Yearly'!$B$197</f>
        <v>36.41898299379298</v>
      </c>
      <c r="DS16" s="44">
        <f>'Scope 3 Yearly'!$EE$189*'Scope 3 Yearly'!DS106*'Yearly BTX'!AA5*'Scope 3 Yearly'!$B$197</f>
        <v>38.827276916082582</v>
      </c>
      <c r="DT16" s="44">
        <f>'Scope 3 Yearly'!$EE$189*'Scope 3 Yearly'!DT106*'Yearly BTX'!AB5*'Scope 3 Yearly'!$B$197</f>
        <v>40.89936267797809</v>
      </c>
      <c r="DU16" s="44">
        <f>'Scope 3 Yearly'!$EE$189*'Scope 3 Yearly'!DU106*'Yearly BTX'!AC5*'Scope 3 Yearly'!$B$197</f>
        <v>42.700045252096146</v>
      </c>
      <c r="DV16" s="44">
        <f>'Scope 3 Yearly'!$EE$189*'Scope 3 Yearly'!DV106*'Yearly BTX'!AD5*'Scope 3 Yearly'!$B$197</f>
        <v>44.247591466865394</v>
      </c>
      <c r="DW16" s="44">
        <f>'Scope 3 Yearly'!$EE$189*'Scope 3 Yearly'!DW106*'Yearly BTX'!AE5*'Scope 3 Yearly'!$B$197</f>
        <v>45.6348693793447</v>
      </c>
      <c r="DX16" s="44">
        <f>'Scope 3 Yearly'!$EE$189*'Scope 3 Yearly'!DX106*'Yearly BTX'!AF5*'Scope 3 Yearly'!$B$197</f>
        <v>46.89853260074765</v>
      </c>
      <c r="DY16" s="44">
        <f>'Scope 3 Yearly'!$EE$189*'Scope 3 Yearly'!DY106*'Yearly BTX'!AG5*'Scope 3 Yearly'!$B$197</f>
        <v>48.064889049278619</v>
      </c>
      <c r="DZ16" s="44">
        <f>'Scope 3 Yearly'!$EE$189*'Scope 3 Yearly'!DZ106*'Yearly BTX'!AH5*'Scope 3 Yearly'!$B$197</f>
        <v>49.154089420146434</v>
      </c>
    </row>
    <row r="17" spans="1:165" x14ac:dyDescent="0.2">
      <c r="A17" t="s">
        <v>8</v>
      </c>
      <c r="C17" s="54" t="s">
        <v>415</v>
      </c>
      <c r="D17" s="44">
        <f>'Scope 3 Yearly'!$EE$190*'Scope 3 Yearly'!D129*'Yearly BTX'!D130*'Scope 3 Yearly'!$B$197</f>
        <v>2.5103298387282917E-4</v>
      </c>
      <c r="E17" s="44">
        <f>'Scope 3 Yearly'!$EE$190*'Scope 3 Yearly'!E129*'Yearly BTX'!E130*'Scope 3 Yearly'!$B$197</f>
        <v>5.0488590750625705E-4</v>
      </c>
      <c r="F17" s="44">
        <f>'Scope 3 Yearly'!$EE$190*'Scope 3 Yearly'!F129*'Yearly BTX'!F130*'Scope 3 Yearly'!$B$197</f>
        <v>1.0079516568123246E-3</v>
      </c>
      <c r="G17" s="44">
        <f>'Scope 3 Yearly'!$EE$190*'Scope 3 Yearly'!G129*'Yearly BTX'!G130*'Scope 3 Yearly'!$B$197</f>
        <v>2.0068260169296063E-3</v>
      </c>
      <c r="H17" s="44">
        <f>'Scope 3 Yearly'!$EE$190*'Scope 3 Yearly'!H129*'Yearly BTX'!H130*'Scope 3 Yearly'!$B$197</f>
        <v>3.9782096605253201E-3</v>
      </c>
      <c r="I17" s="44">
        <f>'Scope 3 Yearly'!$EE$190*'Scope 3 Yearly'!I129*'Yearly BTX'!I130*'Scope 3 Yearly'!$B$197</f>
        <v>7.8416457303092033E-3</v>
      </c>
      <c r="J17" s="44">
        <f>'Scope 3 Yearly'!$EE$190*'Scope 3 Yearly'!J129*'Yearly BTX'!J130*'Scope 3 Yearly'!$B$197</f>
        <v>1.5201321754883909E-2</v>
      </c>
      <c r="K17" s="44">
        <f>'Scope 3 Yearly'!$EE$190*'Scope 3 Yearly'!K129*'Yearly BTX'!K130*'Scope 3 Yearly'!$B$197</f>
        <v>2.916486813137377E-2</v>
      </c>
      <c r="L17" s="44">
        <f>'Scope 3 Yearly'!$EE$190*'Scope 3 Yearly'!L129*'Yearly BTX'!L130*'Scope 3 Yearly'!$B$197</f>
        <v>5.5190176421954354E-2</v>
      </c>
      <c r="M17" s="44">
        <f>'Scope 3 Yearly'!$EE$190*'Scope 3 Yearly'!M129*'Yearly BTX'!M130*'Scope 3 Yearly'!$B$197</f>
        <v>0.1025519402715835</v>
      </c>
      <c r="N17" s="44">
        <f>'Scope 3 Yearly'!$EE$190*'Scope 3 Yearly'!N129*'Yearly BTX'!N130*'Scope 3 Yearly'!$B$197</f>
        <v>0.18605610241117804</v>
      </c>
      <c r="O17" s="44">
        <f>'Scope 3 Yearly'!$EE$190*'Scope 3 Yearly'!O129*'Yearly BTX'!O130*'Scope 3 Yearly'!$B$197</f>
        <v>0.32027472655944678</v>
      </c>
      <c r="P17" s="44">
        <f>'Scope 3 Yearly'!$EE$190*'Scope 3 Yearly'!P129*'Yearly BTX'!P130*'Scope 3 Yearly'!$B$197</f>
        <v>0.53030742638901263</v>
      </c>
      <c r="Q17" s="44">
        <f>'Scope 3 Yearly'!$EE$190*'Scope 3 Yearly'!Q129*'Yearly BTX'!Q130*'Scope 3 Yearly'!$B$197</f>
        <v>0.838032860170982</v>
      </c>
      <c r="R17" s="44">
        <f>'Scope 3 Yearly'!$EE$190*'Scope 3 Yearly'!R129*'Yearly BTX'!R130*'Scope 3 Yearly'!$B$197</f>
        <v>1.2552115522874419</v>
      </c>
      <c r="S17" s="44">
        <f>'Scope 3 Yearly'!$EE$190*'Scope 3 Yearly'!S129*'Yearly BTX'!S130*'Scope 3 Yearly'!$B$197</f>
        <v>1.7735053380951713</v>
      </c>
      <c r="T17" s="44">
        <f>'Scope 3 Yearly'!$EE$190*'Scope 3 Yearly'!T129*'Yearly BTX'!T130*'Scope 3 Yearly'!$B$197</f>
        <v>2.3581107978295721</v>
      </c>
      <c r="U17" s="44">
        <f>'Scope 3 Yearly'!$EE$190*'Scope 3 Yearly'!U129*'Yearly BTX'!U130*'Scope 3 Yearly'!$B$197</f>
        <v>2.9580306081532983</v>
      </c>
      <c r="V17" s="44">
        <f>'Scope 3 Yearly'!$EE$190*'Scope 3 Yearly'!V129*'Yearly BTX'!V130*'Scope 3 Yearly'!$B$197</f>
        <v>3.5186617040740416</v>
      </c>
      <c r="W17" s="44">
        <f>'Scope 3 Yearly'!$EE$190*'Scope 3 Yearly'!W129*'Yearly BTX'!W130*'Scope 3 Yearly'!$B$197</f>
        <v>3.9976260065735563</v>
      </c>
      <c r="X17" s="44">
        <f>'Scope 3 Yearly'!$EE$190*'Scope 3 Yearly'!X129*'Yearly BTX'!X130*'Scope 3 Yearly'!$B$197</f>
        <v>4.3723892255040804</v>
      </c>
      <c r="Y17" s="44">
        <f>'Scope 3 Yearly'!$EE$190*'Scope 3 Yearly'!Y129*'Yearly BTX'!Y130*'Scope 3 Yearly'!$B$197</f>
        <v>4.5482148696257774</v>
      </c>
      <c r="Z17" s="44">
        <f>'Scope 3 Yearly'!$EE$190*'Scope 3 Yearly'!Z129*'Yearly BTX'!Z130*'Scope 3 Yearly'!$B$197</f>
        <v>4.6170929951058524</v>
      </c>
      <c r="AA17" s="44">
        <f>'Scope 3 Yearly'!$EE$190*'Scope 3 Yearly'!AA129*'Yearly BTX'!AA130*'Scope 3 Yearly'!$B$197</f>
        <v>4.5989910049760532</v>
      </c>
      <c r="AB17" s="44">
        <f>'Scope 3 Yearly'!$EE$190*'Scope 3 Yearly'!AB129*'Yearly BTX'!AB130*'Scope 3 Yearly'!$B$197</f>
        <v>4.4978074951357652</v>
      </c>
      <c r="AC17" s="44">
        <f>'Scope 3 Yearly'!$EE$190*'Scope 3 Yearly'!AC129*'Yearly BTX'!AC130*'Scope 3 Yearly'!$B$197</f>
        <v>4.3394874116485473</v>
      </c>
      <c r="AD17" s="44">
        <f>'Scope 3 Yearly'!$EE$190*'Scope 3 Yearly'!AD129*'Yearly BTX'!AD130*'Scope 3 Yearly'!$B$197</f>
        <v>4.1361294950715175</v>
      </c>
      <c r="AE17" s="44">
        <f>'Scope 3 Yearly'!$EE$190*'Scope 3 Yearly'!AE129*'Yearly BTX'!AE130*'Scope 3 Yearly'!$B$197</f>
        <v>3.9073652925240023</v>
      </c>
      <c r="AF17" s="44">
        <f>'Scope 3 Yearly'!$EE$190*'Scope 3 Yearly'!AF129*'Yearly BTX'!AF130*'Scope 3 Yearly'!$B$197</f>
        <v>3.6614864512153296</v>
      </c>
      <c r="AG17" s="44">
        <f>'Scope 3 Yearly'!$EE$190*'Scope 3 Yearly'!AG129*'Yearly BTX'!AG130*'Scope 3 Yearly'!$B$197</f>
        <v>3.4052143825951169</v>
      </c>
      <c r="AH17" s="44">
        <f>'Scope 3 Yearly'!$EE$190*'Scope 3 Yearly'!AH129*'Yearly BTX'!AH130*'Scope 3 Yearly'!$B$197</f>
        <v>3.1447574990568281</v>
      </c>
      <c r="AJ17" s="44">
        <f>'Scope 3 Yearly'!$EE$190*'Scope 3 Yearly'!AJ129*'Yearly BTX'!AJ130*'Scope 3 Yearly'!$B$197</f>
        <v>2.5103308580758305E-4</v>
      </c>
      <c r="AK17" s="44">
        <f>'Scope 3 Yearly'!$EE$190*'Scope 3 Yearly'!AK129*'Yearly BTX'!AK130*'Scope 3 Yearly'!$B$197</f>
        <v>5.076713894383736E-4</v>
      </c>
      <c r="AL17" s="44">
        <f>'Scope 3 Yearly'!$EE$190*'Scope 3 Yearly'!AL129*'Yearly BTX'!AL130*'Scope 3 Yearly'!$B$197</f>
        <v>1.0196196891758416E-3</v>
      </c>
      <c r="AM17" s="44">
        <f>'Scope 3 Yearly'!$EE$190*'Scope 3 Yearly'!AM129*'Yearly BTX'!AM130*'Scope 3 Yearly'!$B$197</f>
        <v>2.0421658969330958E-3</v>
      </c>
      <c r="AN17" s="44">
        <f>'Scope 3 Yearly'!$EE$190*'Scope 3 Yearly'!AN129*'Yearly BTX'!AN130*'Scope 3 Yearly'!$B$197</f>
        <v>4.0729453964546544E-3</v>
      </c>
      <c r="AO17" s="44">
        <f>'Scope 3 Yearly'!$EE$190*'Scope 3 Yearly'!AO129*'Yearly BTX'!AO130*'Scope 3 Yearly'!$B$197</f>
        <v>8.0784056654192703E-3</v>
      </c>
      <c r="AP17" s="44">
        <f>'Scope 3 Yearly'!$EE$190*'Scope 3 Yearly'!AP129*'Yearly BTX'!AP130*'Scope 3 Yearly'!$B$197</f>
        <v>1.5771482447812683E-2</v>
      </c>
      <c r="AQ17" s="44">
        <f>'Scope 3 Yearly'!$EE$190*'Scope 3 Yearly'!AQ129*'Yearly BTX'!AQ130*'Scope 3 Yearly'!$B$197</f>
        <v>3.0482013358620007E-2</v>
      </c>
      <c r="AR17" s="44">
        <f>'Scope 3 Yearly'!$EE$190*'Scope 3 Yearly'!AR129*'Yearly BTX'!AR130*'Scope 3 Yearly'!$B$197</f>
        <v>5.8125720799518665E-2</v>
      </c>
      <c r="AS17" s="44">
        <f>'Scope 3 Yearly'!$EE$190*'Scope 3 Yearly'!AS129*'Yearly BTX'!AS130*'Scope 3 Yearly'!$B$197</f>
        <v>0.10887281657497597</v>
      </c>
      <c r="AT17" s="44">
        <f>'Scope 3 Yearly'!$EE$190*'Scope 3 Yearly'!AT129*'Yearly BTX'!AT130*'Scope 3 Yearly'!$B$197</f>
        <v>0.19918584790896768</v>
      </c>
      <c r="AU17" s="44">
        <f>'Scope 3 Yearly'!$EE$190*'Scope 3 Yearly'!AU129*'Yearly BTX'!AU130*'Scope 3 Yearly'!$B$197</f>
        <v>0.34678629761359503</v>
      </c>
      <c r="AV17" s="44">
        <f>'Scope 3 Yearly'!$EE$190*'Scope 3 Yearly'!AV129*'Yearly BTX'!AV130*'Scope 3 Yearly'!$B$197</f>
        <v>0.58130515763227442</v>
      </c>
      <c r="AW17" s="44">
        <f>'Scope 3 Yearly'!$EE$190*'Scope 3 Yearly'!AW129*'Yearly BTX'!AW130*'Scope 3 Yearly'!$B$197</f>
        <v>0.93098582647979589</v>
      </c>
      <c r="AX17" s="44">
        <f>'Scope 3 Yearly'!$EE$190*'Scope 3 Yearly'!AX129*'Yearly BTX'!AX130*'Scope 3 Yearly'!$B$197</f>
        <v>1.4148232326238868</v>
      </c>
      <c r="AY17" s="44">
        <f>'Scope 3 Yearly'!$EE$190*'Scope 3 Yearly'!AY129*'Yearly BTX'!AY130*'Scope 3 Yearly'!$B$197</f>
        <v>2.0306378662878597</v>
      </c>
      <c r="AZ17" s="44">
        <f>'Scope 3 Yearly'!$EE$190*'Scope 3 Yearly'!AZ129*'Yearly BTX'!AZ130*'Scope 3 Yearly'!$B$197</f>
        <v>2.7452455230332808</v>
      </c>
      <c r="BA17" s="44">
        <f>'Scope 3 Yearly'!$EE$190*'Scope 3 Yearly'!BA129*'Yearly BTX'!BA130*'Scope 3 Yearly'!$B$197</f>
        <v>3.5051257383250767</v>
      </c>
      <c r="BB17" s="44">
        <f>'Scope 3 Yearly'!$EE$190*'Scope 3 Yearly'!BB129*'Yearly BTX'!BB130*'Scope 3 Yearly'!$B$197</f>
        <v>4.2480075215428128</v>
      </c>
      <c r="BC17" s="44">
        <f>'Scope 3 Yearly'!$EE$190*'Scope 3 Yearly'!BC129*'Yearly BTX'!BC130*'Scope 3 Yearly'!$B$197</f>
        <v>4.9215959983597672</v>
      </c>
      <c r="BD17" s="44">
        <f>'Scope 3 Yearly'!$EE$190*'Scope 3 Yearly'!BD129*'Yearly BTX'!BD130*'Scope 3 Yearly'!$B$197</f>
        <v>5.4941208731624682</v>
      </c>
      <c r="BE17" s="44">
        <f>'Scope 3 Yearly'!$EE$190*'Scope 3 Yearly'!BE129*'Yearly BTX'!BE130*'Scope 3 Yearly'!$B$197</f>
        <v>5.8567880102249994</v>
      </c>
      <c r="BF17" s="44">
        <f>'Scope 3 Yearly'!$EE$190*'Scope 3 Yearly'!BF129*'Yearly BTX'!BF130*'Scope 3 Yearly'!$B$197</f>
        <v>6.1024219042736112</v>
      </c>
      <c r="BG17" s="44">
        <f>'Scope 3 Yearly'!$EE$190*'Scope 3 Yearly'!BG129*'Yearly BTX'!BG130*'Scope 3 Yearly'!$B$197</f>
        <v>6.2506065274709774</v>
      </c>
      <c r="BH17" s="44">
        <f>'Scope 3 Yearly'!$EE$190*'Scope 3 Yearly'!BH129*'Yearly BTX'!BH130*'Scope 3 Yearly'!$B$197</f>
        <v>6.3208100555857243</v>
      </c>
      <c r="BI17" s="44">
        <f>'Scope 3 Yearly'!$EE$190*'Scope 3 Yearly'!BI129*'Yearly BTX'!BI130*'Scope 3 Yearly'!$B$197</f>
        <v>6.331345497833194</v>
      </c>
      <c r="BJ17" s="44">
        <f>'Scope 3 Yearly'!$EE$190*'Scope 3 Yearly'!BJ129*'Yearly BTX'!BJ130*'Scope 3 Yearly'!$B$197</f>
        <v>6.2891344149891584</v>
      </c>
      <c r="BK17" s="44">
        <f>'Scope 3 Yearly'!$EE$190*'Scope 3 Yearly'!BK129*'Yearly BTX'!BK130*'Scope 3 Yearly'!$B$197</f>
        <v>6.2141861254602997</v>
      </c>
      <c r="BL17" s="44">
        <f>'Scope 3 Yearly'!$EE$190*'Scope 3 Yearly'!BL129*'Yearly BTX'!BL130*'Scope 3 Yearly'!$B$197</f>
        <v>6.1149461339636186</v>
      </c>
      <c r="BM17" s="44">
        <f>'Scope 3 Yearly'!$EE$190*'Scope 3 Yearly'!BM129*'Yearly BTX'!BM130*'Scope 3 Yearly'!$B$197</f>
        <v>5.9978133966887084</v>
      </c>
      <c r="BN17" s="44">
        <f>'Scope 3 Yearly'!$EE$190*'Scope 3 Yearly'!BN129*'Yearly BTX'!BN130*'Scope 3 Yearly'!$B$197</f>
        <v>5.8683070668510791</v>
      </c>
      <c r="BP17" s="44">
        <f>'Scope 3 Yearly'!$EE$190*'Scope 3 Yearly'!BP129*'Yearly BTX'!BP130*'Scope 3 Yearly'!$B$197</f>
        <v>0</v>
      </c>
      <c r="BQ17" s="44">
        <f>'Scope 3 Yearly'!$EE$190*'Scope 3 Yearly'!BQ129*'Yearly BTX'!BQ130*'Scope 3 Yearly'!$B$197</f>
        <v>0</v>
      </c>
      <c r="BR17" s="44">
        <f>'Scope 3 Yearly'!$EE$190*'Scope 3 Yearly'!BR129*'Yearly BTX'!BR130*'Scope 3 Yearly'!$B$197</f>
        <v>0</v>
      </c>
      <c r="BS17" s="44">
        <f>'Scope 3 Yearly'!$EE$190*'Scope 3 Yearly'!BS129*'Yearly BTX'!BS130*'Scope 3 Yearly'!$B$197</f>
        <v>0</v>
      </c>
      <c r="BT17" s="44">
        <f>'Scope 3 Yearly'!$EE$190*'Scope 3 Yearly'!BT129*'Yearly BTX'!BT130*'Scope 3 Yearly'!$B$197</f>
        <v>0</v>
      </c>
      <c r="BU17" s="44">
        <f>'Scope 3 Yearly'!$EE$190*'Scope 3 Yearly'!BU129*'Yearly BTX'!BU130*'Scope 3 Yearly'!$B$197</f>
        <v>0</v>
      </c>
      <c r="BV17" s="44">
        <f>'Scope 3 Yearly'!$EE$190*'Scope 3 Yearly'!BV129*'Yearly BTX'!BV130*'Scope 3 Yearly'!$B$197</f>
        <v>0</v>
      </c>
      <c r="BW17" s="44">
        <f>'Scope 3 Yearly'!$EE$190*'Scope 3 Yearly'!BW129*'Yearly BTX'!BW130*'Scope 3 Yearly'!$B$197</f>
        <v>0</v>
      </c>
      <c r="BX17" s="44">
        <f>'Scope 3 Yearly'!$EE$190*'Scope 3 Yearly'!BX129*'Yearly BTX'!BX130*'Scope 3 Yearly'!$B$197</f>
        <v>0</v>
      </c>
      <c r="BY17" s="44">
        <f>'Scope 3 Yearly'!$EE$190*'Scope 3 Yearly'!BY129*'Yearly BTX'!BY130*'Scope 3 Yearly'!$B$197</f>
        <v>0</v>
      </c>
      <c r="BZ17" s="44">
        <f>'Scope 3 Yearly'!$EE$190*'Scope 3 Yearly'!BZ129*'Yearly BTX'!BZ130*'Scope 3 Yearly'!$B$197</f>
        <v>0</v>
      </c>
      <c r="CA17" s="44">
        <f>'Scope 3 Yearly'!$EE$190*'Scope 3 Yearly'!CA129*'Yearly BTX'!CA130*'Scope 3 Yearly'!$B$197</f>
        <v>0</v>
      </c>
      <c r="CB17" s="44">
        <f>'Scope 3 Yearly'!$EE$190*'Scope 3 Yearly'!CB129*'Yearly BTX'!CB130*'Scope 3 Yearly'!$B$197</f>
        <v>0</v>
      </c>
      <c r="CC17" s="44">
        <f>'Scope 3 Yearly'!$EE$190*'Scope 3 Yearly'!CC129*'Yearly BTX'!CC130*'Scope 3 Yearly'!$B$197</f>
        <v>0</v>
      </c>
      <c r="CD17" s="44">
        <f>'Scope 3 Yearly'!$EE$190*'Scope 3 Yearly'!CD129*'Yearly BTX'!CD130*'Scope 3 Yearly'!$B$197</f>
        <v>0</v>
      </c>
      <c r="CE17" s="44">
        <f>'Scope 3 Yearly'!$EE$190*'Scope 3 Yearly'!CE129*'Yearly BTX'!CE130*'Scope 3 Yearly'!$B$197</f>
        <v>0</v>
      </c>
      <c r="CF17" s="44">
        <f>'Scope 3 Yearly'!$EE$190*'Scope 3 Yearly'!CF129*'Yearly BTX'!CF130*'Scope 3 Yearly'!$B$197</f>
        <v>0</v>
      </c>
      <c r="CG17" s="44">
        <f>'Scope 3 Yearly'!$EE$190*'Scope 3 Yearly'!CG129*'Yearly BTX'!CG130*'Scope 3 Yearly'!$B$197</f>
        <v>0</v>
      </c>
      <c r="CH17" s="44">
        <f>'Scope 3 Yearly'!$EE$190*'Scope 3 Yearly'!CH129*'Yearly BTX'!CH130*'Scope 3 Yearly'!$B$197</f>
        <v>0</v>
      </c>
      <c r="CI17" s="44">
        <f>'Scope 3 Yearly'!$EE$190*'Scope 3 Yearly'!CI129*'Yearly BTX'!CI130*'Scope 3 Yearly'!$B$197</f>
        <v>0</v>
      </c>
      <c r="CJ17" s="44">
        <f>'Scope 3 Yearly'!$EE$190*'Scope 3 Yearly'!CJ129*'Yearly BTX'!CJ130*'Scope 3 Yearly'!$B$197</f>
        <v>0</v>
      </c>
      <c r="CK17" s="44">
        <f>'Scope 3 Yearly'!$EE$190*'Scope 3 Yearly'!CK129*'Yearly BTX'!CK130*'Scope 3 Yearly'!$B$197</f>
        <v>0</v>
      </c>
      <c r="CL17" s="44">
        <f>'Scope 3 Yearly'!$EE$190*'Scope 3 Yearly'!CL129*'Yearly BTX'!CL130*'Scope 3 Yearly'!$B$197</f>
        <v>0</v>
      </c>
      <c r="CM17" s="44">
        <f>'Scope 3 Yearly'!$EE$190*'Scope 3 Yearly'!CM129*'Yearly BTX'!CM130*'Scope 3 Yearly'!$B$197</f>
        <v>0</v>
      </c>
      <c r="CN17" s="44">
        <f>'Scope 3 Yearly'!$EE$190*'Scope 3 Yearly'!CN129*'Yearly BTX'!CN130*'Scope 3 Yearly'!$B$197</f>
        <v>0</v>
      </c>
      <c r="CO17" s="44">
        <f>'Scope 3 Yearly'!$EE$190*'Scope 3 Yearly'!CO129*'Yearly BTX'!CO130*'Scope 3 Yearly'!$B$197</f>
        <v>0</v>
      </c>
      <c r="CP17" s="44">
        <f>'Scope 3 Yearly'!$EE$190*'Scope 3 Yearly'!CP129*'Yearly BTX'!CP130*'Scope 3 Yearly'!$B$197</f>
        <v>0</v>
      </c>
      <c r="CQ17" s="44">
        <f>'Scope 3 Yearly'!$EE$190*'Scope 3 Yearly'!CQ129*'Yearly BTX'!CQ130*'Scope 3 Yearly'!$B$197</f>
        <v>0</v>
      </c>
      <c r="CR17" s="44">
        <f>'Scope 3 Yearly'!$EE$190*'Scope 3 Yearly'!CR129*'Yearly BTX'!CR130*'Scope 3 Yearly'!$B$197</f>
        <v>0</v>
      </c>
      <c r="CS17" s="44">
        <f>'Scope 3 Yearly'!$EE$190*'Scope 3 Yearly'!CS129*'Yearly BTX'!CS130*'Scope 3 Yearly'!$B$197</f>
        <v>0</v>
      </c>
      <c r="CT17" s="44">
        <f>'Scope 3 Yearly'!$EE$190*'Scope 3 Yearly'!CT129*'Yearly BTX'!CT130*'Scope 3 Yearly'!$B$197</f>
        <v>0</v>
      </c>
      <c r="CV17" s="44">
        <f>'Scope 3 Yearly'!$EE$190*'Scope 3 Yearly'!CV129*'Yearly BTX'!D6*'Scope 3 Yearly'!$B$197</f>
        <v>4.8686745792490924E-4</v>
      </c>
      <c r="CW17" s="44">
        <f>'Scope 3 Yearly'!$EE$190*'Scope 3 Yearly'!CW129*'Yearly BTX'!E6*'Scope 3 Yearly'!$B$197</f>
        <v>9.9598440378727065E-4</v>
      </c>
      <c r="CX17" s="44">
        <f>'Scope 3 Yearly'!$EE$190*'Scope 3 Yearly'!CX129*'Yearly BTX'!F6*'Scope 3 Yearly'!$B$197</f>
        <v>2.0293471017784654E-3</v>
      </c>
      <c r="CY17" s="44">
        <f>'Scope 3 Yearly'!$EE$190*'Scope 3 Yearly'!CY129*'Yearly BTX'!G6*'Scope 3 Yearly'!$B$197</f>
        <v>4.1205656852888696E-3</v>
      </c>
      <c r="CZ17" s="44">
        <f>'Scope 3 Yearly'!$EE$190*'Scope 3 Yearly'!CZ129*'Yearly BTX'!H6*'Scope 3 Yearly'!$B$197</f>
        <v>8.3308983229053168E-3</v>
      </c>
      <c r="DA17" s="44">
        <f>'Scope 3 Yearly'!$EE$190*'Scope 3 Yearly'!DA129*'Yearly BTX'!I6*'Scope 3 Yearly'!$B$197</f>
        <v>1.6748877191167345E-2</v>
      </c>
      <c r="DB17" s="44">
        <f>'Scope 3 Yearly'!$EE$190*'Scope 3 Yearly'!DB129*'Yearly BTX'!J6*'Scope 3 Yearly'!$B$197</f>
        <v>3.3157981960664995E-2</v>
      </c>
      <c r="DC17" s="44">
        <f>'Scope 3 Yearly'!$EE$190*'Scope 3 Yearly'!DC129*'Yearly BTX'!K6*'Scope 3 Yearly'!$B$197</f>
        <v>6.4993908716991525E-2</v>
      </c>
      <c r="DD17" s="44">
        <f>'Scope 3 Yearly'!$EE$190*'Scope 3 Yearly'!DD129*'Yearly BTX'!L6*'Scope 3 Yearly'!$B$197</f>
        <v>0.12570908645813439</v>
      </c>
      <c r="DE17" s="44">
        <f>'Scope 3 Yearly'!$EE$190*'Scope 3 Yearly'!DE129*'Yearly BTX'!M6*'Scope 3 Yearly'!$B$197</f>
        <v>0.2388597871590436</v>
      </c>
      <c r="DF17" s="44">
        <f>'Scope 3 Yearly'!$EE$190*'Scope 3 Yearly'!DF129*'Yearly BTX'!N6*'Scope 3 Yearly'!$B$197</f>
        <v>0.44337109448227419</v>
      </c>
      <c r="DG17" s="44">
        <f>'Scope 3 Yearly'!$EE$190*'Scope 3 Yearly'!DG129*'Yearly BTX'!O6*'Scope 3 Yearly'!$B$197</f>
        <v>0.79151318057599129</v>
      </c>
      <c r="DH17" s="44">
        <f>'Scope 3 Yearly'!$EE$190*'Scope 3 Yearly'!DH129*'Yearly BTX'!P6*'Scope 3 Yearly'!$B$197</f>
        <v>1.3606133064082897</v>
      </c>
      <c r="DI17" s="44">
        <f>'Scope 3 Yearly'!$EE$190*'Scope 3 Yearly'!DI129*'Yearly BTX'!Q6*'Scope 3 Yearly'!$B$197</f>
        <v>2.2370744065128565</v>
      </c>
      <c r="DJ17" s="44">
        <f>'Scope 3 Yearly'!$EE$190*'Scope 3 Yearly'!DJ129*'Yearly BTX'!R6*'Scope 3 Yearly'!$B$197</f>
        <v>3.4921896386106441</v>
      </c>
      <c r="DK17" s="44">
        <f>'Scope 3 Yearly'!$EE$190*'Scope 3 Yearly'!DK129*'Yearly BTX'!S6*'Scope 3 Yearly'!$B$197</f>
        <v>5.1513924316180093</v>
      </c>
      <c r="DL17" s="44">
        <f>'Scope 3 Yearly'!$EE$190*'Scope 3 Yearly'!DL129*'Yearly BTX'!T6*'Scope 3 Yearly'!$B$197</f>
        <v>7.1647601142277777</v>
      </c>
      <c r="DM17" s="44">
        <f>'Scope 3 Yearly'!$EE$190*'Scope 3 Yearly'!DM129*'Yearly BTX'!U6*'Scope 3 Yearly'!$B$197</f>
        <v>9.4179680855850236</v>
      </c>
      <c r="DN17" s="44">
        <f>'Scope 3 Yearly'!$EE$190*'Scope 3 Yearly'!DN129*'Yearly BTX'!V6*'Scope 3 Yearly'!$B$197</f>
        <v>11.757866500983834</v>
      </c>
      <c r="DO17" s="44">
        <f>'Scope 3 Yearly'!$EE$190*'Scope 3 Yearly'!DO129*'Yearly BTX'!W6*'Scope 3 Yearly'!$B$197</f>
        <v>14.039178637936027</v>
      </c>
      <c r="DP17" s="44">
        <f>'Scope 3 Yearly'!$EE$190*'Scope 3 Yearly'!DP129*'Yearly BTX'!X6*'Scope 3 Yearly'!$B$197</f>
        <v>16.157734933717272</v>
      </c>
      <c r="DQ17" s="44">
        <f>'Scope 3 Yearly'!$EE$190*'Scope 3 Yearly'!DQ129*'Yearly BTX'!Y6*'Scope 3 Yearly'!$B$197</f>
        <v>17.934874665113199</v>
      </c>
      <c r="DR17" s="44">
        <f>'Scope 3 Yearly'!$EE$190*'Scope 3 Yearly'!DR129*'Yearly BTX'!Z6*'Scope 3 Yearly'!$B$197</f>
        <v>19.436223589194807</v>
      </c>
      <c r="DS17" s="44">
        <f>'Scope 3 Yearly'!$EE$190*'Scope 3 Yearly'!DS129*'Yearly BTX'!AA6*'Scope 3 Yearly'!$B$197</f>
        <v>20.721491196752588</v>
      </c>
      <c r="DT17" s="44">
        <f>'Scope 3 Yearly'!$EE$190*'Scope 3 Yearly'!DT129*'Yearly BTX'!AB6*'Scope 3 Yearly'!$B$197</f>
        <v>21.82732993395873</v>
      </c>
      <c r="DU17" s="44">
        <f>'Scope 3 Yearly'!$EE$190*'Scope 3 Yearly'!DU129*'Yearly BTX'!AC6*'Scope 3 Yearly'!$B$197</f>
        <v>22.78832516904507</v>
      </c>
      <c r="DV17" s="44">
        <f>'Scope 3 Yearly'!$EE$190*'Scope 3 Yearly'!DV129*'Yearly BTX'!AD6*'Scope 3 Yearly'!$B$197</f>
        <v>23.614225613601512</v>
      </c>
      <c r="DW17" s="44">
        <f>'Scope 3 Yearly'!$EE$190*'Scope 3 Yearly'!DW129*'Yearly BTX'!AE6*'Scope 3 Yearly'!$B$197</f>
        <v>24.354593451217809</v>
      </c>
      <c r="DX17" s="44">
        <f>'Scope 3 Yearly'!$EE$190*'Scope 3 Yearly'!DX129*'Yearly BTX'!AF6*'Scope 3 Yearly'!$B$197</f>
        <v>25.028990122778236</v>
      </c>
      <c r="DY17" s="44">
        <f>'Scope 3 Yearly'!$EE$190*'Scope 3 Yearly'!DY129*'Yearly BTX'!AG6*'Scope 3 Yearly'!$B$197</f>
        <v>25.651455739739891</v>
      </c>
      <c r="DZ17" s="44">
        <f>'Scope 3 Yearly'!$EE$190*'Scope 3 Yearly'!DZ129*'Yearly BTX'!AH6*'Scope 3 Yearly'!$B$197</f>
        <v>26.232744402996317</v>
      </c>
    </row>
    <row r="18" spans="1:165" x14ac:dyDescent="0.2">
      <c r="A18" t="s">
        <v>9</v>
      </c>
      <c r="C18" s="54" t="s">
        <v>415</v>
      </c>
      <c r="D18" s="44">
        <f>'Scope 3 Yearly'!$EE$191*'Scope 3 Yearly'!D152*'Yearly BTX'!D131*'Scope 3 Yearly'!$B$197</f>
        <v>7.3949617909335882E-4</v>
      </c>
      <c r="E18" s="44">
        <f>'Scope 3 Yearly'!$EE$191*'Scope 3 Yearly'!E152*'Yearly BTX'!E131*'Scope 3 Yearly'!$B$197</f>
        <v>1.487299372850944E-3</v>
      </c>
      <c r="F18" s="44">
        <f>'Scope 3 Yearly'!$EE$191*'Scope 3 Yearly'!F152*'Yearly BTX'!F131*'Scope 3 Yearly'!$B$197</f>
        <v>2.9692369003633994E-3</v>
      </c>
      <c r="G18" s="44">
        <f>'Scope 3 Yearly'!$EE$191*'Scope 3 Yearly'!G152*'Yearly BTX'!G131*'Scope 3 Yearly'!$B$197</f>
        <v>5.9117337838615986E-3</v>
      </c>
      <c r="H18" s="44">
        <f>'Scope 3 Yearly'!$EE$191*'Scope 3 Yearly'!H152*'Yearly BTX'!H131*'Scope 3 Yearly'!$B$197</f>
        <v>1.1719060970414492E-2</v>
      </c>
      <c r="I18" s="44">
        <f>'Scope 3 Yearly'!$EE$191*'Scope 3 Yearly'!I152*'Yearly BTX'!I131*'Scope 3 Yearly'!$B$197</f>
        <v>2.3100020427216279E-2</v>
      </c>
      <c r="J18" s="44">
        <f>'Scope 3 Yearly'!$EE$191*'Scope 3 Yearly'!J152*'Yearly BTX'!J131*'Scope 3 Yearly'!$B$197</f>
        <v>4.4780248322268859E-2</v>
      </c>
      <c r="K18" s="44">
        <f>'Scope 3 Yearly'!$EE$191*'Scope 3 Yearly'!K152*'Yearly BTX'!K131*'Scope 3 Yearly'!$B$197</f>
        <v>8.5914242081583811E-2</v>
      </c>
      <c r="L18" s="44">
        <f>'Scope 3 Yearly'!$EE$191*'Scope 3 Yearly'!L152*'Yearly BTX'!L131*'Scope 3 Yearly'!$B$197</f>
        <v>0.16257992857304779</v>
      </c>
      <c r="M18" s="44">
        <f>'Scope 3 Yearly'!$EE$191*'Scope 3 Yearly'!M152*'Yearly BTX'!M131*'Scope 3 Yearly'!$B$197</f>
        <v>0.30209881912515729</v>
      </c>
      <c r="N18" s="44">
        <f>'Scope 3 Yearly'!$EE$191*'Scope 3 Yearly'!N152*'Yearly BTX'!N131*'Scope 3 Yearly'!$B$197</f>
        <v>0.54808644946741114</v>
      </c>
      <c r="O18" s="44">
        <f>'Scope 3 Yearly'!$EE$191*'Scope 3 Yearly'!O152*'Yearly BTX'!O131*'Scope 3 Yearly'!$B$197</f>
        <v>0.94346939153965115</v>
      </c>
      <c r="P18" s="44">
        <f>'Scope 3 Yearly'!$EE$191*'Scope 3 Yearly'!P152*'Yearly BTX'!P131*'Scope 3 Yearly'!$B$197</f>
        <v>1.5621864087715744</v>
      </c>
      <c r="Q18" s="44">
        <f>'Scope 3 Yearly'!$EE$191*'Scope 3 Yearly'!Q152*'Yearly BTX'!Q131*'Scope 3 Yearly'!$B$197</f>
        <v>2.4686879329174745</v>
      </c>
      <c r="R18" s="44">
        <f>'Scope 3 Yearly'!$EE$191*'Scope 3 Yearly'!R152*'Yearly BTX'!R131*'Scope 3 Yearly'!$B$197</f>
        <v>3.697618267329509</v>
      </c>
      <c r="S18" s="44">
        <f>'Scope 3 Yearly'!$EE$191*'Scope 3 Yearly'!S152*'Yearly BTX'!S131*'Scope 3 Yearly'!$B$197</f>
        <v>5.2244147398074503</v>
      </c>
      <c r="T18" s="44">
        <f>'Scope 3 Yearly'!$EE$191*'Scope 3 Yearly'!T152*'Yearly BTX'!T131*'Scope 3 Yearly'!$B$197</f>
        <v>6.9465529906506598</v>
      </c>
      <c r="U18" s="44">
        <f>'Scope 3 Yearly'!$EE$191*'Scope 3 Yearly'!U152*'Yearly BTX'!U131*'Scope 3 Yearly'!$B$197</f>
        <v>8.7138044516043003</v>
      </c>
      <c r="V18" s="44">
        <f>'Scope 3 Yearly'!$EE$191*'Scope 3 Yearly'!V152*'Yearly BTX'!V131*'Scope 3 Yearly'!$B$197</f>
        <v>10.365318714464417</v>
      </c>
      <c r="W18" s="44">
        <f>'Scope 3 Yearly'!$EE$191*'Scope 3 Yearly'!W152*'Yearly BTX'!W131*'Scope 3 Yearly'!$B$197</f>
        <v>11.776257891285651</v>
      </c>
      <c r="X18" s="44">
        <f>'Scope 3 Yearly'!$EE$191*'Scope 3 Yearly'!X152*'Yearly BTX'!X131*'Scope 3 Yearly'!$B$197</f>
        <v>12.880240181534187</v>
      </c>
      <c r="Y18" s="44">
        <f>'Scope 3 Yearly'!$EE$191*'Scope 3 Yearly'!Y152*'Yearly BTX'!Y131*'Scope 3 Yearly'!$B$197</f>
        <v>13.398189615941947</v>
      </c>
      <c r="Z18" s="44">
        <f>'Scope 3 Yearly'!$EE$191*'Scope 3 Yearly'!Z152*'Yearly BTX'!Z131*'Scope 3 Yearly'!$B$197</f>
        <v>13.601091680164039</v>
      </c>
      <c r="AA18" s="44">
        <f>'Scope 3 Yearly'!$EE$191*'Scope 3 Yearly'!AA152*'Yearly BTX'!AA131*'Scope 3 Yearly'!$B$197</f>
        <v>13.547766605791526</v>
      </c>
      <c r="AB18" s="44">
        <f>'Scope 3 Yearly'!$EE$191*'Scope 3 Yearly'!AB152*'Yearly BTX'!AB131*'Scope 3 Yearly'!$B$197</f>
        <v>13.249698926557578</v>
      </c>
      <c r="AC18" s="44">
        <f>'Scope 3 Yearly'!$EE$191*'Scope 3 Yearly'!AC152*'Yearly BTX'!AC131*'Scope 3 Yearly'!$B$197</f>
        <v>12.783317596876019</v>
      </c>
      <c r="AD18" s="44">
        <f>'Scope 3 Yearly'!$EE$191*'Scope 3 Yearly'!AD152*'Yearly BTX'!AD131*'Scope 3 Yearly'!$B$197</f>
        <v>12.184263241639247</v>
      </c>
      <c r="AE18" s="44">
        <f>'Scope 3 Yearly'!$EE$191*'Scope 3 Yearly'!AE152*'Yearly BTX'!AE131*'Scope 3 Yearly'!$B$197</f>
        <v>11.510366723789918</v>
      </c>
      <c r="AF18" s="44">
        <f>'Scope 3 Yearly'!$EE$191*'Scope 3 Yearly'!AF152*'Yearly BTX'!AF131*'Scope 3 Yearly'!$B$197</f>
        <v>10.7860536838757</v>
      </c>
      <c r="AG18" s="44">
        <f>'Scope 3 Yearly'!$EE$191*'Scope 3 Yearly'!AG152*'Yearly BTX'!AG131*'Scope 3 Yearly'!$B$197</f>
        <v>10.031124141831924</v>
      </c>
      <c r="AH18" s="44">
        <f>'Scope 3 Yearly'!$EE$191*'Scope 3 Yearly'!AH152*'Yearly BTX'!AH131*'Scope 3 Yearly'!$B$197</f>
        <v>9.2638669184038598</v>
      </c>
      <c r="AJ18" s="44">
        <f>'Scope 3 Yearly'!$EE$191*'Scope 3 Yearly'!AJ152*'Yearly BTX'!AJ131*'Scope 3 Yearly'!$B$197</f>
        <v>7.3949647937406244E-4</v>
      </c>
      <c r="AK18" s="44">
        <f>'Scope 3 Yearly'!$EE$191*'Scope 3 Yearly'!AK152*'Yearly BTX'!AK131*'Scope 3 Yearly'!$B$197</f>
        <v>1.4955048812026967E-3</v>
      </c>
      <c r="AL18" s="44">
        <f>'Scope 3 Yearly'!$EE$191*'Scope 3 Yearly'!AL152*'Yearly BTX'!AL131*'Scope 3 Yearly'!$B$197</f>
        <v>3.0036087395426273E-3</v>
      </c>
      <c r="AM18" s="44">
        <f>'Scope 3 Yearly'!$EE$191*'Scope 3 Yearly'!AM152*'Yearly BTX'!AM131*'Scope 3 Yearly'!$B$197</f>
        <v>6.0158384550048818E-3</v>
      </c>
      <c r="AN18" s="44">
        <f>'Scope 3 Yearly'!$EE$191*'Scope 3 Yearly'!AN152*'Yearly BTX'!AN131*'Scope 3 Yearly'!$B$197</f>
        <v>1.1998134714679228E-2</v>
      </c>
      <c r="AO18" s="44">
        <f>'Scope 3 Yearly'!$EE$191*'Scope 3 Yearly'!AO152*'Yearly BTX'!AO131*'Scope 3 Yearly'!$B$197</f>
        <v>2.3797470876456769E-2</v>
      </c>
      <c r="AP18" s="44">
        <f>'Scope 3 Yearly'!$EE$191*'Scope 3 Yearly'!AP152*'Yearly BTX'!AP131*'Scope 3 Yearly'!$B$197</f>
        <v>4.6459834994049182E-2</v>
      </c>
      <c r="AQ18" s="44">
        <f>'Scope 3 Yearly'!$EE$191*'Scope 3 Yearly'!AQ152*'Yearly BTX'!AQ131*'Scope 3 Yearly'!$B$197</f>
        <v>8.9794305361846141E-2</v>
      </c>
      <c r="AR18" s="44">
        <f>'Scope 3 Yearly'!$EE$191*'Scope 3 Yearly'!AR152*'Yearly BTX'!AR131*'Scope 3 Yearly'!$B$197</f>
        <v>0.17122749279858204</v>
      </c>
      <c r="AS18" s="44">
        <f>'Scope 3 Yearly'!$EE$191*'Scope 3 Yearly'!AS152*'Yearly BTX'!AS131*'Scope 3 Yearly'!$B$197</f>
        <v>0.32071893749672725</v>
      </c>
      <c r="AT18" s="44">
        <f>'Scope 3 Yearly'!$EE$191*'Scope 3 Yearly'!AT152*'Yearly BTX'!AT131*'Scope 3 Yearly'!$B$197</f>
        <v>0.58676422191902788</v>
      </c>
      <c r="AU18" s="44">
        <f>'Scope 3 Yearly'!$EE$191*'Scope 3 Yearly'!AU152*'Yearly BTX'!AU131*'Scope 3 Yearly'!$B$197</f>
        <v>1.0215675171080287</v>
      </c>
      <c r="AV18" s="44">
        <f>'Scope 3 Yearly'!$EE$191*'Scope 3 Yearly'!AV152*'Yearly BTX'!AV131*'Scope 3 Yearly'!$B$197</f>
        <v>1.7124161786408874</v>
      </c>
      <c r="AW18" s="44">
        <f>'Scope 3 Yearly'!$EE$191*'Scope 3 Yearly'!AW152*'Yearly BTX'!AW131*'Scope 3 Yearly'!$B$197</f>
        <v>2.7425099716005819</v>
      </c>
      <c r="AX18" s="44">
        <f>'Scope 3 Yearly'!$EE$191*'Scope 3 Yearly'!AX152*'Yearly BTX'!AX131*'Scope 3 Yearly'!$B$197</f>
        <v>4.1678043995521392</v>
      </c>
      <c r="AY18" s="44">
        <f>'Scope 3 Yearly'!$EE$191*'Scope 3 Yearly'!AY152*'Yearly BTX'!AY131*'Scope 3 Yearly'!$B$197</f>
        <v>5.9818790346804942</v>
      </c>
      <c r="AZ18" s="44">
        <f>'Scope 3 Yearly'!$EE$191*'Scope 3 Yearly'!AZ152*'Yearly BTX'!AZ131*'Scope 3 Yearly'!$B$197</f>
        <v>8.0869794225315363</v>
      </c>
      <c r="BA18" s="44">
        <f>'Scope 3 Yearly'!$EE$191*'Scope 3 Yearly'!BA152*'Yearly BTX'!BA131*'Scope 3 Yearly'!$B$197</f>
        <v>10.325444293194067</v>
      </c>
      <c r="BB18" s="44">
        <f>'Scope 3 Yearly'!$EE$191*'Scope 3 Yearly'!BB152*'Yearly BTX'!BB131*'Scope 3 Yearly'!$B$197</f>
        <v>12.513834964938926</v>
      </c>
      <c r="BC18" s="44">
        <f>'Scope 3 Yearly'!$EE$191*'Scope 3 Yearly'!BC152*'Yearly BTX'!BC131*'Scope 3 Yearly'!$B$197</f>
        <v>14.498100527187887</v>
      </c>
      <c r="BD18" s="44">
        <f>'Scope 3 Yearly'!$EE$191*'Scope 3 Yearly'!BD152*'Yearly BTX'!BD131*'Scope 3 Yearly'!$B$197</f>
        <v>16.184651636212589</v>
      </c>
      <c r="BE18" s="44">
        <f>'Scope 3 Yearly'!$EE$191*'Scope 3 Yearly'!BE152*'Yearly BTX'!BE131*'Scope 3 Yearly'!$B$197</f>
        <v>17.253001133569214</v>
      </c>
      <c r="BF18" s="44">
        <f>'Scope 3 Yearly'!$EE$191*'Scope 3 Yearly'!BF152*'Yearly BTX'!BF131*'Scope 3 Yearly'!$B$197</f>
        <v>17.976592604707484</v>
      </c>
      <c r="BG18" s="44">
        <f>'Scope 3 Yearly'!$EE$191*'Scope 3 Yearly'!BG152*'Yearly BTX'!BG131*'Scope 3 Yearly'!$B$197</f>
        <v>18.41311676565342</v>
      </c>
      <c r="BH18" s="44">
        <f>'Scope 3 Yearly'!$EE$191*'Scope 3 Yearly'!BH152*'Yearly BTX'!BH131*'Scope 3 Yearly'!$B$197</f>
        <v>18.619923217932335</v>
      </c>
      <c r="BI18" s="44">
        <f>'Scope 3 Yearly'!$EE$191*'Scope 3 Yearly'!BI152*'Yearly BTX'!BI131*'Scope 3 Yearly'!$B$197</f>
        <v>18.650958658641631</v>
      </c>
      <c r="BJ18" s="44">
        <f>'Scope 3 Yearly'!$EE$191*'Scope 3 Yearly'!BJ152*'Yearly BTX'!BJ131*'Scope 3 Yearly'!$B$197</f>
        <v>18.526612710165107</v>
      </c>
      <c r="BK18" s="44">
        <f>'Scope 3 Yearly'!$EE$191*'Scope 3 Yearly'!BK152*'Yearly BTX'!BK131*'Scope 3 Yearly'!$B$197</f>
        <v>18.305829078942168</v>
      </c>
      <c r="BL18" s="44">
        <f>'Scope 3 Yearly'!$EE$191*'Scope 3 Yearly'!BL152*'Yearly BTX'!BL131*'Scope 3 Yearly'!$B$197</f>
        <v>18.013486640937163</v>
      </c>
      <c r="BM18" s="44">
        <f>'Scope 3 Yearly'!$EE$191*'Scope 3 Yearly'!BM152*'Yearly BTX'!BM131*'Scope 3 Yearly'!$B$197</f>
        <v>17.668435523250476</v>
      </c>
      <c r="BN18" s="44">
        <f>'Scope 3 Yearly'!$EE$191*'Scope 3 Yearly'!BN152*'Yearly BTX'!BN131*'Scope 3 Yearly'!$B$197</f>
        <v>17.286934118113031</v>
      </c>
      <c r="BP18" s="44">
        <f>'Scope 3 Yearly'!$EE$191*'Scope 3 Yearly'!BP152*'Yearly BTX'!BP131*'Scope 3 Yearly'!$B$197</f>
        <v>0</v>
      </c>
      <c r="BQ18" s="44">
        <f>'Scope 3 Yearly'!$EE$191*'Scope 3 Yearly'!BQ152*'Yearly BTX'!BQ131*'Scope 3 Yearly'!$B$197</f>
        <v>0</v>
      </c>
      <c r="BR18" s="44">
        <f>'Scope 3 Yearly'!$EE$191*'Scope 3 Yearly'!BR152*'Yearly BTX'!BR131*'Scope 3 Yearly'!$B$197</f>
        <v>0</v>
      </c>
      <c r="BS18" s="44">
        <f>'Scope 3 Yearly'!$EE$191*'Scope 3 Yearly'!BS152*'Yearly BTX'!BS131*'Scope 3 Yearly'!$B$197</f>
        <v>0</v>
      </c>
      <c r="BT18" s="44">
        <f>'Scope 3 Yearly'!$EE$191*'Scope 3 Yearly'!BT152*'Yearly BTX'!BT131*'Scope 3 Yearly'!$B$197</f>
        <v>0</v>
      </c>
      <c r="BU18" s="44">
        <f>'Scope 3 Yearly'!$EE$191*'Scope 3 Yearly'!BU152*'Yearly BTX'!BU131*'Scope 3 Yearly'!$B$197</f>
        <v>0</v>
      </c>
      <c r="BV18" s="44">
        <f>'Scope 3 Yearly'!$EE$191*'Scope 3 Yearly'!BV152*'Yearly BTX'!BV131*'Scope 3 Yearly'!$B$197</f>
        <v>0</v>
      </c>
      <c r="BW18" s="44">
        <f>'Scope 3 Yearly'!$EE$191*'Scope 3 Yearly'!BW152*'Yearly BTX'!BW131*'Scope 3 Yearly'!$B$197</f>
        <v>0</v>
      </c>
      <c r="BX18" s="44">
        <f>'Scope 3 Yearly'!$EE$191*'Scope 3 Yearly'!BX152*'Yearly BTX'!BX131*'Scope 3 Yearly'!$B$197</f>
        <v>0</v>
      </c>
      <c r="BY18" s="44">
        <f>'Scope 3 Yearly'!$EE$191*'Scope 3 Yearly'!BY152*'Yearly BTX'!BY131*'Scope 3 Yearly'!$B$197</f>
        <v>0</v>
      </c>
      <c r="BZ18" s="44">
        <f>'Scope 3 Yearly'!$EE$191*'Scope 3 Yearly'!BZ152*'Yearly BTX'!BZ131*'Scope 3 Yearly'!$B$197</f>
        <v>0</v>
      </c>
      <c r="CA18" s="44">
        <f>'Scope 3 Yearly'!$EE$191*'Scope 3 Yearly'!CA152*'Yearly BTX'!CA131*'Scope 3 Yearly'!$B$197</f>
        <v>0</v>
      </c>
      <c r="CB18" s="44">
        <f>'Scope 3 Yearly'!$EE$191*'Scope 3 Yearly'!CB152*'Yearly BTX'!CB131*'Scope 3 Yearly'!$B$197</f>
        <v>0</v>
      </c>
      <c r="CC18" s="44">
        <f>'Scope 3 Yearly'!$EE$191*'Scope 3 Yearly'!CC152*'Yearly BTX'!CC131*'Scope 3 Yearly'!$B$197</f>
        <v>0</v>
      </c>
      <c r="CD18" s="44">
        <f>'Scope 3 Yearly'!$EE$191*'Scope 3 Yearly'!CD152*'Yearly BTX'!CD131*'Scope 3 Yearly'!$B$197</f>
        <v>0</v>
      </c>
      <c r="CE18" s="44">
        <f>'Scope 3 Yearly'!$EE$191*'Scope 3 Yearly'!CE152*'Yearly BTX'!CE131*'Scope 3 Yearly'!$B$197</f>
        <v>0</v>
      </c>
      <c r="CF18" s="44">
        <f>'Scope 3 Yearly'!$EE$191*'Scope 3 Yearly'!CF152*'Yearly BTX'!CF131*'Scope 3 Yearly'!$B$197</f>
        <v>0</v>
      </c>
      <c r="CG18" s="44">
        <f>'Scope 3 Yearly'!$EE$191*'Scope 3 Yearly'!CG152*'Yearly BTX'!CG131*'Scope 3 Yearly'!$B$197</f>
        <v>0</v>
      </c>
      <c r="CH18" s="44">
        <f>'Scope 3 Yearly'!$EE$191*'Scope 3 Yearly'!CH152*'Yearly BTX'!CH131*'Scope 3 Yearly'!$B$197</f>
        <v>0</v>
      </c>
      <c r="CI18" s="44">
        <f>'Scope 3 Yearly'!$EE$191*'Scope 3 Yearly'!CI152*'Yearly BTX'!CI131*'Scope 3 Yearly'!$B$197</f>
        <v>0</v>
      </c>
      <c r="CJ18" s="44">
        <f>'Scope 3 Yearly'!$EE$191*'Scope 3 Yearly'!CJ152*'Yearly BTX'!CJ131*'Scope 3 Yearly'!$B$197</f>
        <v>0</v>
      </c>
      <c r="CK18" s="44">
        <f>'Scope 3 Yearly'!$EE$191*'Scope 3 Yearly'!CK152*'Yearly BTX'!CK131*'Scope 3 Yearly'!$B$197</f>
        <v>0</v>
      </c>
      <c r="CL18" s="44">
        <f>'Scope 3 Yearly'!$EE$191*'Scope 3 Yearly'!CL152*'Yearly BTX'!CL131*'Scope 3 Yearly'!$B$197</f>
        <v>0</v>
      </c>
      <c r="CM18" s="44">
        <f>'Scope 3 Yearly'!$EE$191*'Scope 3 Yearly'!CM152*'Yearly BTX'!CM131*'Scope 3 Yearly'!$B$197</f>
        <v>0</v>
      </c>
      <c r="CN18" s="44">
        <f>'Scope 3 Yearly'!$EE$191*'Scope 3 Yearly'!CN152*'Yearly BTX'!CN131*'Scope 3 Yearly'!$B$197</f>
        <v>0</v>
      </c>
      <c r="CO18" s="44">
        <f>'Scope 3 Yearly'!$EE$191*'Scope 3 Yearly'!CO152*'Yearly BTX'!CO131*'Scope 3 Yearly'!$B$197</f>
        <v>0</v>
      </c>
      <c r="CP18" s="44">
        <f>'Scope 3 Yearly'!$EE$191*'Scope 3 Yearly'!CP152*'Yearly BTX'!CP131*'Scope 3 Yearly'!$B$197</f>
        <v>0</v>
      </c>
      <c r="CQ18" s="44">
        <f>'Scope 3 Yearly'!$EE$191*'Scope 3 Yearly'!CQ152*'Yearly BTX'!CQ131*'Scope 3 Yearly'!$B$197</f>
        <v>0</v>
      </c>
      <c r="CR18" s="44">
        <f>'Scope 3 Yearly'!$EE$191*'Scope 3 Yearly'!CR152*'Yearly BTX'!CR131*'Scope 3 Yearly'!$B$197</f>
        <v>0</v>
      </c>
      <c r="CS18" s="44">
        <f>'Scope 3 Yearly'!$EE$191*'Scope 3 Yearly'!CS152*'Yearly BTX'!CS131*'Scope 3 Yearly'!$B$197</f>
        <v>0</v>
      </c>
      <c r="CT18" s="44">
        <f>'Scope 3 Yearly'!$EE$191*'Scope 3 Yearly'!CT152*'Yearly BTX'!CT131*'Scope 3 Yearly'!$B$197</f>
        <v>0</v>
      </c>
      <c r="CV18" s="44">
        <f>'Scope 3 Yearly'!$EE$191*'Scope 3 Yearly'!CV152*'Yearly BTX'!D7*'Scope 3 Yearly'!$B$197</f>
        <v>6.9125285782657621E-4</v>
      </c>
      <c r="CW18" s="44">
        <f>'Scope 3 Yearly'!$EE$191*'Scope 3 Yearly'!CW152*'Yearly BTX'!E7*'Scope 3 Yearly'!$B$197</f>
        <v>1.4140954673845442E-3</v>
      </c>
      <c r="CX18" s="44">
        <f>'Scope 3 Yearly'!$EE$191*'Scope 3 Yearly'!CX152*'Yearly BTX'!F7*'Scope 3 Yearly'!$B$197</f>
        <v>2.8812605171956258E-3</v>
      </c>
      <c r="CY18" s="44">
        <f>'Scope 3 Yearly'!$EE$191*'Scope 3 Yearly'!CY152*'Yearly BTX'!G7*'Scope 3 Yearly'!$B$197</f>
        <v>5.8503659660436025E-3</v>
      </c>
      <c r="CZ18" s="44">
        <f>'Scope 3 Yearly'!$EE$191*'Scope 3 Yearly'!CZ152*'Yearly BTX'!H7*'Scope 3 Yearly'!$B$197</f>
        <v>1.182818276357077E-2</v>
      </c>
      <c r="DA18" s="44">
        <f>'Scope 3 Yearly'!$EE$191*'Scope 3 Yearly'!DA152*'Yearly BTX'!I7*'Scope 3 Yearly'!$B$197</f>
        <v>2.3780002206609672E-2</v>
      </c>
      <c r="DB18" s="44">
        <f>'Scope 3 Yearly'!$EE$191*'Scope 3 Yearly'!DB152*'Yearly BTX'!J7*'Scope 3 Yearly'!$B$197</f>
        <v>4.7077596616873954E-2</v>
      </c>
      <c r="DC18" s="44">
        <f>'Scope 3 Yearly'!$EE$191*'Scope 3 Yearly'!DC152*'Yearly BTX'!K7*'Scope 3 Yearly'!$B$197</f>
        <v>9.2278143487809841E-2</v>
      </c>
      <c r="DD18" s="44">
        <f>'Scope 3 Yearly'!$EE$191*'Scope 3 Yearly'!DD152*'Yearly BTX'!L7*'Scope 3 Yearly'!$B$197</f>
        <v>0.17848135843647991</v>
      </c>
      <c r="DE18" s="44">
        <f>'Scope 3 Yearly'!$EE$191*'Scope 3 Yearly'!DE152*'Yearly BTX'!M7*'Scope 3 Yearly'!$B$197</f>
        <v>0.3391323609864314</v>
      </c>
      <c r="DF18" s="44">
        <f>'Scope 3 Yearly'!$EE$191*'Scope 3 Yearly'!DF152*'Yearly BTX'!N7*'Scope 3 Yearly'!$B$197</f>
        <v>0.62949686028479279</v>
      </c>
      <c r="DG18" s="44">
        <f>'Scope 3 Yearly'!$EE$191*'Scope 3 Yearly'!DG152*'Yearly BTX'!O7*'Scope 3 Yearly'!$B$197</f>
        <v>1.1237878793799827</v>
      </c>
      <c r="DH18" s="44">
        <f>'Scope 3 Yearly'!$EE$191*'Scope 3 Yearly'!DH152*'Yearly BTX'!P7*'Scope 3 Yearly'!$B$197</f>
        <v>1.9317944157948974</v>
      </c>
      <c r="DI18" s="44">
        <f>'Scope 3 Yearly'!$EE$191*'Scope 3 Yearly'!DI152*'Yearly BTX'!Q7*'Scope 3 Yearly'!$B$197</f>
        <v>3.1761910793208239</v>
      </c>
      <c r="DJ18" s="44">
        <f>'Scope 3 Yearly'!$EE$191*'Scope 3 Yearly'!DJ152*'Yearly BTX'!R7*'Scope 3 Yearly'!$B$197</f>
        <v>4.9581996670113861</v>
      </c>
      <c r="DK18" s="44">
        <f>'Scope 3 Yearly'!$EE$191*'Scope 3 Yearly'!DK152*'Yearly BTX'!S7*'Scope 3 Yearly'!$B$197</f>
        <v>7.3139304798049416</v>
      </c>
      <c r="DL18" s="44">
        <f>'Scope 3 Yearly'!$EE$191*'Scope 3 Yearly'!DL152*'Yearly BTX'!T7*'Scope 3 Yearly'!$B$197</f>
        <v>10.172503468830479</v>
      </c>
      <c r="DM18" s="44">
        <f>'Scope 3 Yearly'!$EE$191*'Scope 3 Yearly'!DM152*'Yearly BTX'!U7*'Scope 3 Yearly'!$B$197</f>
        <v>13.371600931858172</v>
      </c>
      <c r="DN18" s="44">
        <f>'Scope 3 Yearly'!$EE$191*'Scope 3 Yearly'!DN152*'Yearly BTX'!V7*'Scope 3 Yearly'!$B$197</f>
        <v>16.69378120975583</v>
      </c>
      <c r="DO18" s="44">
        <f>'Scope 3 Yearly'!$EE$191*'Scope 3 Yearly'!DO152*'Yearly BTX'!W7*'Scope 3 Yearly'!$B$197</f>
        <v>19.932780877106524</v>
      </c>
      <c r="DP18" s="44">
        <f>'Scope 3 Yearly'!$EE$191*'Scope 3 Yearly'!DP152*'Yearly BTX'!X7*'Scope 3 Yearly'!$B$197</f>
        <v>22.940700322302089</v>
      </c>
      <c r="DQ18" s="44">
        <f>'Scope 3 Yearly'!$EE$191*'Scope 3 Yearly'!DQ152*'Yearly BTX'!Y7*'Scope 3 Yearly'!$B$197</f>
        <v>25.463877622589141</v>
      </c>
      <c r="DR18" s="44">
        <f>'Scope 3 Yearly'!$EE$191*'Scope 3 Yearly'!DR152*'Yearly BTX'!Z7*'Scope 3 Yearly'!$B$197</f>
        <v>27.595488017725323</v>
      </c>
      <c r="DS18" s="44">
        <f>'Scope 3 Yearly'!$EE$191*'Scope 3 Yearly'!DS152*'Yearly BTX'!AA7*'Scope 3 Yearly'!$B$197</f>
        <v>29.420306851546965</v>
      </c>
      <c r="DT18" s="44">
        <f>'Scope 3 Yearly'!$EE$191*'Scope 3 Yearly'!DT152*'Yearly BTX'!AB7*'Scope 3 Yearly'!$B$197</f>
        <v>30.990373149769294</v>
      </c>
      <c r="DU18" s="44">
        <f>'Scope 3 Yearly'!$EE$191*'Scope 3 Yearly'!DU152*'Yearly BTX'!AC7*'Scope 3 Yearly'!$B$197</f>
        <v>32.354791107466539</v>
      </c>
      <c r="DV18" s="44">
        <f>'Scope 3 Yearly'!$EE$191*'Scope 3 Yearly'!DV152*'Yearly BTX'!AD7*'Scope 3 Yearly'!$B$197</f>
        <v>33.527401914138963</v>
      </c>
      <c r="DW18" s="44">
        <f>'Scope 3 Yearly'!$EE$191*'Scope 3 Yearly'!DW152*'Yearly BTX'!AE7*'Scope 3 Yearly'!$B$197</f>
        <v>34.57857379935065</v>
      </c>
      <c r="DX18" s="44">
        <f>'Scope 3 Yearly'!$EE$191*'Scope 3 Yearly'!DX152*'Yearly BTX'!AF7*'Scope 3 Yearly'!$B$197</f>
        <v>35.536080034233933</v>
      </c>
      <c r="DY18" s="44">
        <f>'Scope 3 Yearly'!$EE$191*'Scope 3 Yearly'!DY152*'Yearly BTX'!AG7*'Scope 3 Yearly'!$B$197</f>
        <v>36.419854724079578</v>
      </c>
      <c r="DZ18" s="44">
        <f>'Scope 3 Yearly'!$EE$191*'Scope 3 Yearly'!DZ152*'Yearly BTX'!AH7*'Scope 3 Yearly'!$B$197</f>
        <v>37.245166506901946</v>
      </c>
    </row>
    <row r="19" spans="1:165" ht="16" thickBot="1" x14ac:dyDescent="0.25">
      <c r="A19" t="s">
        <v>10</v>
      </c>
      <c r="C19" s="54" t="s">
        <v>415</v>
      </c>
      <c r="D19" s="44">
        <f>'Scope 3 Yearly'!$EE$192*'Scope 3 Yearly'!D175*'Yearly Butadiene'!D76*'Scope 3 Yearly'!$B$197</f>
        <v>3.1934916709143153E-4</v>
      </c>
      <c r="E19" s="44">
        <f>'Scope 3 Yearly'!$EE$192*'Scope 3 Yearly'!E175*'Yearly Butadiene'!E76*'Scope 3 Yearly'!$B$197</f>
        <v>6.4407314074706071E-4</v>
      </c>
      <c r="F19" s="44">
        <f>'Scope 3 Yearly'!$EE$192*'Scope 3 Yearly'!F175*'Yearly Butadiene'!F76*'Scope 3 Yearly'!$B$197</f>
        <v>1.2952486236230021E-3</v>
      </c>
      <c r="G19" s="44">
        <f>'Scope 3 Yearly'!$EE$192*'Scope 3 Yearly'!G175*'Yearly Butadiene'!G76*'Scope 3 Yearly'!$B$197</f>
        <v>2.5956617200248214E-3</v>
      </c>
      <c r="H19" s="44">
        <f>'Scope 3 Yearly'!$EE$192*'Scope 3 Yearly'!H175*'Yearly Butadiene'!H76*'Scope 3 Yearly'!$B$197</f>
        <v>5.1787422843271487E-3</v>
      </c>
      <c r="I19" s="44">
        <f>'Scope 3 Yearly'!$EE$192*'Scope 3 Yearly'!I175*'Yearly Butadiene'!I76*'Scope 3 Yearly'!$B$197</f>
        <v>1.0273470457319118E-2</v>
      </c>
      <c r="J19" s="44">
        <f>'Scope 3 Yearly'!$EE$192*'Scope 3 Yearly'!J175*'Yearly Butadiene'!J76*'Scope 3 Yearly'!$B$197</f>
        <v>2.0191010662492289E-2</v>
      </c>
      <c r="K19" s="44">
        <f>'Scope 3 Yearly'!$EE$192*'Scope 3 Yearly'!K175*'Yearly Butadiene'!K76*'Scope 3 Yearly'!$B$197</f>
        <v>3.9279458640860992E-2</v>
      </c>
      <c r="L19" s="44">
        <f>'Scope 3 Yearly'!$EE$192*'Scope 3 Yearly'!L175*'Yearly Butadiene'!L76*'Scope 3 Yearly'!$B$197</f>
        <v>7.5382119591484414E-2</v>
      </c>
      <c r="M19" s="44">
        <f>'Scope 3 Yearly'!$EE$192*'Scope 3 Yearly'!M175*'Yearly Butadiene'!M76*'Scope 3 Yearly'!$B$197</f>
        <v>0.14208354130676465</v>
      </c>
      <c r="N19" s="44">
        <f>'Scope 3 Yearly'!$EE$192*'Scope 3 Yearly'!N175*'Yearly Butadiene'!N76*'Scope 3 Yearly'!$B$197</f>
        <v>0.26160938026747671</v>
      </c>
      <c r="O19" s="44">
        <f>'Scope 3 Yearly'!$EE$192*'Scope 3 Yearly'!O175*'Yearly Butadiene'!O76*'Scope 3 Yearly'!$B$197</f>
        <v>0.46299322478955629</v>
      </c>
      <c r="P19" s="44">
        <f>'Scope 3 Yearly'!$EE$192*'Scope 3 Yearly'!P175*'Yearly Butadiene'!P76*'Scope 3 Yearly'!$B$197</f>
        <v>0.78912156828396363</v>
      </c>
      <c r="Q19" s="44">
        <f>'Scope 3 Yearly'!$EE$192*'Scope 3 Yearly'!Q175*'Yearly Butadiene'!Q76*'Scope 3 Yearly'!$B$197</f>
        <v>1.2859646819181165</v>
      </c>
      <c r="R19" s="44">
        <f>'Scope 3 Yearly'!$EE$192*'Scope 3 Yearly'!R175*'Yearly Butadiene'!R76*'Scope 3 Yearly'!$B$197</f>
        <v>1.9888786771053166</v>
      </c>
      <c r="S19" s="44">
        <f>'Scope 3 Yearly'!$EE$192*'Scope 3 Yearly'!S175*'Yearly Butadiene'!S76*'Scope 3 Yearly'!$B$197</f>
        <v>2.9055383202071949</v>
      </c>
      <c r="T19" s="44">
        <f>'Scope 3 Yearly'!$EE$192*'Scope 3 Yearly'!T175*'Yearly Butadiene'!T76*'Scope 3 Yearly'!$B$197</f>
        <v>3.960486141267848</v>
      </c>
      <c r="U19" s="44">
        <f>'Scope 3 Yearly'!$EE$192*'Scope 3 Yearly'!U175*'Yearly Butadiene'!U76*'Scope 3 Yearly'!$B$197</f>
        <v>5.0980223848947439</v>
      </c>
      <c r="V19" s="44">
        <f>'Scope 3 Yearly'!$EE$192*'Scope 3 Yearly'!V175*'Yearly Butadiene'!V76*'Scope 3 Yearly'!$B$197</f>
        <v>6.227055351095574</v>
      </c>
      <c r="W19" s="44">
        <f>'Scope 3 Yearly'!$EE$192*'Scope 3 Yearly'!W175*'Yearly Butadiene'!W76*'Scope 3 Yearly'!$B$197</f>
        <v>7.2674281990605287</v>
      </c>
      <c r="X19" s="44">
        <f>'Scope 3 Yearly'!$EE$192*'Scope 3 Yearly'!X175*'Yearly Butadiene'!X76*'Scope 3 Yearly'!$B$197</f>
        <v>8.2392429554065902</v>
      </c>
      <c r="Y19" s="44">
        <f>'Scope 3 Yearly'!$EE$192*'Scope 3 Yearly'!Y175*'Yearly Butadiene'!Y76*'Scope 3 Yearly'!$B$197</f>
        <v>8.7952758806371296</v>
      </c>
      <c r="Z19" s="44">
        <f>'Scope 3 Yearly'!$EE$192*'Scope 3 Yearly'!Z175*'Yearly Butadiene'!Z76*'Scope 3 Yearly'!$B$197</f>
        <v>9.2459951813874941</v>
      </c>
      <c r="AA19" s="44">
        <f>'Scope 3 Yearly'!$EE$192*'Scope 3 Yearly'!AA175*'Yearly Butadiene'!AA76*'Scope 3 Yearly'!$B$197</f>
        <v>9.56368221600437</v>
      </c>
      <c r="AB19" s="44">
        <f>'Scope 3 Yearly'!$EE$192*'Scope 3 Yearly'!AB175*'Yearly Butadiene'!AB76*'Scope 3 Yearly'!$B$197</f>
        <v>9.7534205968067713</v>
      </c>
      <c r="AC19" s="44">
        <f>'Scope 3 Yearly'!$EE$192*'Scope 3 Yearly'!AC175*'Yearly Butadiene'!AC76*'Scope 3 Yearly'!$B$197</f>
        <v>9.8395587508331577</v>
      </c>
      <c r="AD19" s="44">
        <f>'Scope 3 Yearly'!$EE$192*'Scope 3 Yearly'!AD175*'Yearly Butadiene'!AD76*'Scope 3 Yearly'!$B$197</f>
        <v>9.8337274953493434</v>
      </c>
      <c r="AE19" s="44">
        <f>'Scope 3 Yearly'!$EE$192*'Scope 3 Yearly'!AE175*'Yearly Butadiene'!AE76*'Scope 3 Yearly'!$B$197</f>
        <v>9.7607062315204942</v>
      </c>
      <c r="AF19" s="44">
        <f>'Scope 3 Yearly'!$EE$192*'Scope 3 Yearly'!AF175*'Yearly Butadiene'!AF76*'Scope 3 Yearly'!$B$197</f>
        <v>9.6326833927674116</v>
      </c>
      <c r="AG19" s="44">
        <f>'Scope 3 Yearly'!$EE$192*'Scope 3 Yearly'!AG175*'Yearly Butadiene'!AG76*'Scope 3 Yearly'!$B$197</f>
        <v>9.4586899654768626</v>
      </c>
      <c r="AH19" s="44">
        <f>'Scope 3 Yearly'!$EE$192*'Scope 3 Yearly'!AH175*'Yearly Butadiene'!AH76*'Scope 3 Yearly'!$B$197</f>
        <v>9.5256762573288078</v>
      </c>
      <c r="AJ19" s="44">
        <f>'Scope 3 Yearly'!$EE$192*'Scope 3 Yearly'!AJ175*'Yearly Butadiene'!AJ76*'Scope 3 Yearly'!$B$197</f>
        <v>3.1934916709143148E-4</v>
      </c>
      <c r="AK19" s="44">
        <f>'Scope 3 Yearly'!$EE$192*'Scope 3 Yearly'!AK175*'Yearly Butadiene'!AK76*'Scope 3 Yearly'!$B$197</f>
        <v>6.4670965193314536E-4</v>
      </c>
      <c r="AL19" s="44">
        <f>'Scope 3 Yearly'!$EE$192*'Scope 3 Yearly'!AL175*'Yearly Butadiene'!AL76*'Scope 3 Yearly'!$B$197</f>
        <v>1.3059477210274593E-3</v>
      </c>
      <c r="AM19" s="44">
        <f>'Scope 3 Yearly'!$EE$192*'Scope 3 Yearly'!AM175*'Yearly Butadiene'!AM76*'Scope 3 Yearly'!$B$197</f>
        <v>2.62811297243975E-3</v>
      </c>
      <c r="AN19" s="44">
        <f>'Scope 3 Yearly'!$EE$192*'Scope 3 Yearly'!AN175*'Yearly Butadiene'!AN76*'Scope 3 Yearly'!$B$197</f>
        <v>5.2658516136346832E-3</v>
      </c>
      <c r="AO19" s="44">
        <f>'Scope 3 Yearly'!$EE$192*'Scope 3 Yearly'!AO175*'Yearly Butadiene'!AO76*'Scope 3 Yearly'!$B$197</f>
        <v>1.0491440885931297E-2</v>
      </c>
      <c r="AP19" s="44">
        <f>'Scope 3 Yearly'!$EE$192*'Scope 3 Yearly'!AP175*'Yearly Butadiene'!AP76*'Scope 3 Yearly'!$B$197</f>
        <v>2.0713613669478673E-2</v>
      </c>
      <c r="AQ19" s="44">
        <f>'Scope 3 Yearly'!$EE$192*'Scope 3 Yearly'!AQ175*'Yearly Butadiene'!AQ76*'Scope 3 Yearly'!$B$197</f>
        <v>4.0484128040210322E-2</v>
      </c>
      <c r="AR19" s="44">
        <f>'Scope 3 Yearly'!$EE$192*'Scope 3 Yearly'!AR175*'Yearly Butadiene'!AR76*'Scope 3 Yearly'!$B$197</f>
        <v>7.8064206532452149E-2</v>
      </c>
      <c r="AS19" s="44">
        <f>'Scope 3 Yearly'!$EE$192*'Scope 3 Yearly'!AS175*'Yearly Butadiene'!AS76*'Scope 3 Yearly'!$B$197</f>
        <v>0.14785491976261309</v>
      </c>
      <c r="AT19" s="44">
        <f>'Scope 3 Yearly'!$EE$192*'Scope 3 Yearly'!AT175*'Yearly Butadiene'!AT76*'Scope 3 Yearly'!$B$197</f>
        <v>0.27358801052760789</v>
      </c>
      <c r="AU19" s="44">
        <f>'Scope 3 Yearly'!$EE$192*'Scope 3 Yearly'!AU175*'Yearly Butadiene'!AU76*'Scope 3 Yearly'!$B$197</f>
        <v>0.48817919825568135</v>
      </c>
      <c r="AV19" s="44">
        <f>'Scope 3 Yearly'!$EE$192*'Scope 3 Yearly'!AV175*'Yearly Butadiene'!AV76*'Scope 3 Yearly'!$B$197</f>
        <v>0.83905714797248554</v>
      </c>
      <c r="AW19" s="44">
        <f>'Scope 3 Yearly'!$EE$192*'Scope 3 Yearly'!AW175*'Yearly Butadiene'!AW76*'Scope 3 Yearly'!$B$197</f>
        <v>1.378828024881142</v>
      </c>
      <c r="AX19" s="44">
        <f>'Scope 3 Yearly'!$EE$192*'Scope 3 Yearly'!AX175*'Yearly Butadiene'!AX76*'Scope 3 Yearly'!$B$197</f>
        <v>2.1507996351075853</v>
      </c>
      <c r="AY19" s="44">
        <f>'Scope 3 Yearly'!$EE$192*'Scope 3 Yearly'!AY175*'Yearly Butadiene'!AY76*'Scope 3 Yearly'!$B$197</f>
        <v>3.1696229584903617</v>
      </c>
      <c r="AZ19" s="44">
        <f>'Scope 3 Yearly'!$EE$192*'Scope 3 Yearly'!AZ175*'Yearly Butadiene'!AZ76*'Scope 3 Yearly'!$B$197</f>
        <v>4.3606736336883865</v>
      </c>
      <c r="BA19" s="44">
        <f>'Scope 3 Yearly'!$EE$192*'Scope 3 Yearly'!BA175*'Yearly Butadiene'!BA76*'Scope 3 Yearly'!$B$197</f>
        <v>5.6671556944554746</v>
      </c>
      <c r="BB19" s="44">
        <f>'Scope 3 Yearly'!$EE$192*'Scope 3 Yearly'!BB175*'Yearly Butadiene'!BB76*'Scope 3 Yearly'!$B$197</f>
        <v>6.9910719606250629</v>
      </c>
      <c r="BC19" s="44">
        <f>'Scope 3 Yearly'!$EE$192*'Scope 3 Yearly'!BC175*'Yearly Butadiene'!BC76*'Scope 3 Yearly'!$B$197</f>
        <v>8.2429681363851195</v>
      </c>
      <c r="BD19" s="44">
        <f>'Scope 3 Yearly'!$EE$192*'Scope 3 Yearly'!BD175*'Yearly Butadiene'!BD76*'Scope 3 Yearly'!$B$197</f>
        <v>9.4392399816647927</v>
      </c>
      <c r="BE19" s="44">
        <f>'Scope 3 Yearly'!$EE$192*'Scope 3 Yearly'!BE175*'Yearly Butadiene'!BE76*'Scope 3 Yearly'!$B$197</f>
        <v>10.25808107278961</v>
      </c>
      <c r="BF19" s="44">
        <f>'Scope 3 Yearly'!$EE$192*'Scope 3 Yearly'!BF175*'Yearly Butadiene'!BF76*'Scope 3 Yearly'!$B$197</f>
        <v>10.982061138308454</v>
      </c>
      <c r="BG19" s="44">
        <f>'Scope 3 Yearly'!$EE$192*'Scope 3 Yearly'!BG175*'Yearly Butadiene'!BG76*'Scope 3 Yearly'!$B$197</f>
        <v>11.568967346073087</v>
      </c>
      <c r="BH19" s="44">
        <f>'Scope 3 Yearly'!$EE$192*'Scope 3 Yearly'!BH175*'Yearly Butadiene'!BH76*'Scope 3 Yearly'!$B$197</f>
        <v>12.027416169503995</v>
      </c>
      <c r="BI19" s="44">
        <f>'Scope 3 Yearly'!$EE$192*'Scope 3 Yearly'!BI175*'Yearly Butadiene'!BI76*'Scope 3 Yearly'!$B$197</f>
        <v>12.381696798766042</v>
      </c>
      <c r="BJ19" s="44">
        <f>'Scope 3 Yearly'!$EE$192*'Scope 3 Yearly'!BJ175*'Yearly Butadiene'!BJ76*'Scope 3 Yearly'!$B$197</f>
        <v>12.643400291506143</v>
      </c>
      <c r="BK19" s="44">
        <f>'Scope 3 Yearly'!$EE$192*'Scope 3 Yearly'!BK175*'Yearly Butadiene'!BK76*'Scope 3 Yearly'!$B$197</f>
        <v>12.83884259878246</v>
      </c>
      <c r="BL19" s="44">
        <f>'Scope 3 Yearly'!$EE$192*'Scope 3 Yearly'!BL175*'Yearly Butadiene'!BL76*'Scope 3 Yearly'!$B$197</f>
        <v>12.981230057770196</v>
      </c>
      <c r="BM19" s="44">
        <f>'Scope 3 Yearly'!$EE$192*'Scope 3 Yearly'!BM175*'Yearly Butadiene'!BM76*'Scope 3 Yearly'!$B$197</f>
        <v>13.080572352281816</v>
      </c>
      <c r="BN19" s="44">
        <f>'Scope 3 Yearly'!$EE$192*'Scope 3 Yearly'!BN175*'Yearly Butadiene'!BN76*'Scope 3 Yearly'!$B$197</f>
        <v>13.45996591399947</v>
      </c>
      <c r="BP19" s="44">
        <f>'Scope 3 Yearly'!$EE$192*'Scope 3 Yearly'!BP175*'Yearly Butadiene'!BP76*'Scope 3 Yearly'!$B$197</f>
        <v>0</v>
      </c>
      <c r="BQ19" s="44">
        <f>'Scope 3 Yearly'!$EE$192*'Scope 3 Yearly'!BQ175*'Yearly Butadiene'!BQ76*'Scope 3 Yearly'!$B$197</f>
        <v>0</v>
      </c>
      <c r="BR19" s="44">
        <f>'Scope 3 Yearly'!$EE$192*'Scope 3 Yearly'!BR175*'Yearly Butadiene'!BR76*'Scope 3 Yearly'!$B$197</f>
        <v>0</v>
      </c>
      <c r="BS19" s="44">
        <f>'Scope 3 Yearly'!$EE$192*'Scope 3 Yearly'!BS175*'Yearly Butadiene'!BS76*'Scope 3 Yearly'!$B$197</f>
        <v>0</v>
      </c>
      <c r="BT19" s="44">
        <f>'Scope 3 Yearly'!$EE$192*'Scope 3 Yearly'!BT175*'Yearly Butadiene'!BT76*'Scope 3 Yearly'!$B$197</f>
        <v>0</v>
      </c>
      <c r="BU19" s="44">
        <f>'Scope 3 Yearly'!$EE$192*'Scope 3 Yearly'!BU175*'Yearly Butadiene'!BU76*'Scope 3 Yearly'!$B$197</f>
        <v>0</v>
      </c>
      <c r="BV19" s="44">
        <f>'Scope 3 Yearly'!$EE$192*'Scope 3 Yearly'!BV175*'Yearly Butadiene'!BV76*'Scope 3 Yearly'!$B$197</f>
        <v>0</v>
      </c>
      <c r="BW19" s="44">
        <f>'Scope 3 Yearly'!$EE$192*'Scope 3 Yearly'!BW175*'Yearly Butadiene'!BW76*'Scope 3 Yearly'!$B$197</f>
        <v>0</v>
      </c>
      <c r="BX19" s="44">
        <f>'Scope 3 Yearly'!$EE$192*'Scope 3 Yearly'!BX175*'Yearly Butadiene'!BX76*'Scope 3 Yearly'!$B$197</f>
        <v>0</v>
      </c>
      <c r="BY19" s="44">
        <f>'Scope 3 Yearly'!$EE$192*'Scope 3 Yearly'!BY175*'Yearly Butadiene'!BY76*'Scope 3 Yearly'!$B$197</f>
        <v>0</v>
      </c>
      <c r="BZ19" s="44">
        <f>'Scope 3 Yearly'!$EE$192*'Scope 3 Yearly'!BZ175*'Yearly Butadiene'!BZ76*'Scope 3 Yearly'!$B$197</f>
        <v>0</v>
      </c>
      <c r="CA19" s="44">
        <f>'Scope 3 Yearly'!$EE$192*'Scope 3 Yearly'!CA175*'Yearly Butadiene'!CA76*'Scope 3 Yearly'!$B$197</f>
        <v>0</v>
      </c>
      <c r="CB19" s="44">
        <f>'Scope 3 Yearly'!$EE$192*'Scope 3 Yearly'!CB175*'Yearly Butadiene'!CB76*'Scope 3 Yearly'!$B$197</f>
        <v>0</v>
      </c>
      <c r="CC19" s="44">
        <f>'Scope 3 Yearly'!$EE$192*'Scope 3 Yearly'!CC175*'Yearly Butadiene'!CC76*'Scope 3 Yearly'!$B$197</f>
        <v>0</v>
      </c>
      <c r="CD19" s="44">
        <f>'Scope 3 Yearly'!$EE$192*'Scope 3 Yearly'!CD175*'Yearly Butadiene'!CD76*'Scope 3 Yearly'!$B$197</f>
        <v>0</v>
      </c>
      <c r="CE19" s="44">
        <f>'Scope 3 Yearly'!$EE$192*'Scope 3 Yearly'!CE175*'Yearly Butadiene'!CE76*'Scope 3 Yearly'!$B$197</f>
        <v>0</v>
      </c>
      <c r="CF19" s="44">
        <f>'Scope 3 Yearly'!$EE$192*'Scope 3 Yearly'!CF175*'Yearly Butadiene'!CF76*'Scope 3 Yearly'!$B$197</f>
        <v>0</v>
      </c>
      <c r="CG19" s="44">
        <f>'Scope 3 Yearly'!$EE$192*'Scope 3 Yearly'!CG175*'Yearly Butadiene'!CG76*'Scope 3 Yearly'!$B$197</f>
        <v>0</v>
      </c>
      <c r="CH19" s="44">
        <f>'Scope 3 Yearly'!$EE$192*'Scope 3 Yearly'!CH175*'Yearly Butadiene'!CH76*'Scope 3 Yearly'!$B$197</f>
        <v>0</v>
      </c>
      <c r="CI19" s="44">
        <f>'Scope 3 Yearly'!$EE$192*'Scope 3 Yearly'!CI175*'Yearly Butadiene'!CI76*'Scope 3 Yearly'!$B$197</f>
        <v>0</v>
      </c>
      <c r="CJ19" s="44">
        <f>'Scope 3 Yearly'!$EE$192*'Scope 3 Yearly'!CJ175*'Yearly Butadiene'!CJ76*'Scope 3 Yearly'!$B$197</f>
        <v>0</v>
      </c>
      <c r="CK19" s="44">
        <f>'Scope 3 Yearly'!$EE$192*'Scope 3 Yearly'!CK175*'Yearly Butadiene'!CK76*'Scope 3 Yearly'!$B$197</f>
        <v>0</v>
      </c>
      <c r="CL19" s="44">
        <f>'Scope 3 Yearly'!$EE$192*'Scope 3 Yearly'!CL175*'Yearly Butadiene'!CL76*'Scope 3 Yearly'!$B$197</f>
        <v>0</v>
      </c>
      <c r="CM19" s="44">
        <f>'Scope 3 Yearly'!$EE$192*'Scope 3 Yearly'!CM175*'Yearly Butadiene'!CM76*'Scope 3 Yearly'!$B$197</f>
        <v>0</v>
      </c>
      <c r="CN19" s="44">
        <f>'Scope 3 Yearly'!$EE$192*'Scope 3 Yearly'!CN175*'Yearly Butadiene'!CN76*'Scope 3 Yearly'!$B$197</f>
        <v>0</v>
      </c>
      <c r="CO19" s="44">
        <f>'Scope 3 Yearly'!$EE$192*'Scope 3 Yearly'!CO175*'Yearly Butadiene'!CO76*'Scope 3 Yearly'!$B$197</f>
        <v>0</v>
      </c>
      <c r="CP19" s="44">
        <f>'Scope 3 Yearly'!$EE$192*'Scope 3 Yearly'!CP175*'Yearly Butadiene'!CP76*'Scope 3 Yearly'!$B$197</f>
        <v>0</v>
      </c>
      <c r="CQ19" s="44">
        <f>'Scope 3 Yearly'!$EE$192*'Scope 3 Yearly'!CQ175*'Yearly Butadiene'!CQ76*'Scope 3 Yearly'!$B$197</f>
        <v>0</v>
      </c>
      <c r="CR19" s="44">
        <f>'Scope 3 Yearly'!$EE$192*'Scope 3 Yearly'!CR175*'Yearly Butadiene'!CR76*'Scope 3 Yearly'!$B$197</f>
        <v>0</v>
      </c>
      <c r="CS19" s="44">
        <f>'Scope 3 Yearly'!$EE$192*'Scope 3 Yearly'!CS175*'Yearly Butadiene'!CS76*'Scope 3 Yearly'!$B$197</f>
        <v>0</v>
      </c>
      <c r="CT19" s="44">
        <f>'Scope 3 Yearly'!$EE$192*'Scope 3 Yearly'!CT175*'Yearly Butadiene'!CT76*'Scope 3 Yearly'!$B$197</f>
        <v>0</v>
      </c>
      <c r="CV19" s="44">
        <f>'Scope 3 Yearly'!$EE$192*'Scope 3 Yearly'!CV175*'Yearly Butadiene'!D4*'Scope 3 Yearly'!$B$197</f>
        <v>3.1934916709143148E-4</v>
      </c>
      <c r="CW19" s="44">
        <f>'Scope 3 Yearly'!$EE$192*'Scope 3 Yearly'!CW175*'Yearly Butadiene'!E4*'Scope 3 Yearly'!$B$197</f>
        <v>6.5178122731027188E-4</v>
      </c>
      <c r="CX19" s="44">
        <f>'Scope 3 Yearly'!$EE$192*'Scope 3 Yearly'!CX175*'Yearly Butadiene'!F4*'Scope 3 Yearly'!$B$197</f>
        <v>1.3266630198584806E-3</v>
      </c>
      <c r="CY19" s="44">
        <f>'Scope 3 Yearly'!$EE$192*'Scope 3 Yearly'!CY175*'Yearly Butadiene'!G4*'Scope 3 Yearly'!$B$197</f>
        <v>2.6913009458663247E-3</v>
      </c>
      <c r="CZ19" s="44">
        <f>'Scope 3 Yearly'!$EE$192*'Scope 3 Yearly'!CZ175*'Yearly Butadiene'!H4*'Scope 3 Yearly'!$B$197</f>
        <v>5.4362869213830612E-3</v>
      </c>
      <c r="DA19" s="44">
        <f>'Scope 3 Yearly'!$EE$192*'Scope 3 Yearly'!DA175*'Yearly Butadiene'!I4*'Scope 3 Yearly'!$B$197</f>
        <v>1.0919623328105321E-2</v>
      </c>
      <c r="DB19" s="44">
        <f>'Scope 3 Yearly'!$EE$192*'Scope 3 Yearly'!DB175*'Yearly Butadiene'!J4*'Scope 3 Yearly'!$B$197</f>
        <v>2.174274286986564E-2</v>
      </c>
      <c r="DC19" s="44">
        <f>'Scope 3 Yearly'!$EE$192*'Scope 3 Yearly'!DC175*'Yearly Butadiene'!K4*'Scope 3 Yearly'!$B$197</f>
        <v>4.2863204785743604E-2</v>
      </c>
      <c r="DD19" s="44">
        <f>'Scope 3 Yearly'!$EE$192*'Scope 3 Yearly'!DD175*'Yearly Butadiene'!L4*'Scope 3 Yearly'!$B$197</f>
        <v>8.33776063141453E-2</v>
      </c>
      <c r="DE19" s="44">
        <f>'Scope 3 Yearly'!$EE$192*'Scope 3 Yearly'!DE175*'Yearly Butadiene'!M4*'Scope 3 Yearly'!$B$197</f>
        <v>0.15932730912035756</v>
      </c>
      <c r="DF19" s="44">
        <f>'Scope 3 Yearly'!$EE$192*'Scope 3 Yearly'!DF175*'Yearly Butadiene'!N4*'Scope 3 Yearly'!$B$197</f>
        <v>0.29743379231163269</v>
      </c>
      <c r="DG19" s="44">
        <f>'Scope 3 Yearly'!$EE$192*'Scope 3 Yearly'!DG175*'Yearly Butadiene'!O4*'Scope 3 Yearly'!$B$197</f>
        <v>0.53832510272583756</v>
      </c>
      <c r="DH19" s="44">
        <f>'Scope 3 Yearly'!$EE$192*'Scope 3 Yearly'!DH175*'Yearly Butadiene'!P4*'Scope 3 Yearly'!$B$197</f>
        <v>0.93827094195329119</v>
      </c>
      <c r="DI19" s="44">
        <f>'Scope 3 Yearly'!$EE$192*'Scope 3 Yearly'!DI175*'Yearly Butadiene'!Q4*'Scope 3 Yearly'!$B$197</f>
        <v>1.5647010226991978</v>
      </c>
      <c r="DJ19" s="44">
        <f>'Scope 3 Yearly'!$EE$192*'Scope 3 Yearly'!DJ175*'Yearly Butadiene'!R4*'Scope 3 Yearly'!$B$197</f>
        <v>2.4780747217074484</v>
      </c>
      <c r="DK19" s="44">
        <f>'Scope 3 Yearly'!$EE$192*'Scope 3 Yearly'!DK175*'Yearly Butadiene'!S4*'Scope 3 Yearly'!$B$197</f>
        <v>3.7095668646708697</v>
      </c>
      <c r="DL19" s="44">
        <f>'Scope 3 Yearly'!$EE$192*'Scope 3 Yearly'!DL175*'Yearly Butadiene'!T4*'Scope 3 Yearly'!$B$197</f>
        <v>5.1903134783337377</v>
      </c>
      <c r="DM19" s="44">
        <f>'Scope 3 Yearly'!$EE$192*'Scope 3 Yearly'!DM175*'Yearly Butadiene'!U4*'Scope 3 Yearly'!$B$197</f>
        <v>6.8642176596533258</v>
      </c>
      <c r="DN19" s="44">
        <f>'Scope 3 Yearly'!$EE$192*'Scope 3 Yearly'!DN175*'Yearly Butadiene'!V4*'Scope 3 Yearly'!$B$197</f>
        <v>8.6212259532319973</v>
      </c>
      <c r="DO19" s="44">
        <f>'Scope 3 Yearly'!$EE$192*'Scope 3 Yearly'!DO175*'Yearly Butadiene'!W4*'Scope 3 Yearly'!$B$197</f>
        <v>10.353070708569915</v>
      </c>
      <c r="DP19" s="44">
        <f>'Scope 3 Yearly'!$EE$192*'Scope 3 Yearly'!DP175*'Yearly Butadiene'!X4*'Scope 3 Yearly'!$B$197</f>
        <v>11.978667870386335</v>
      </c>
      <c r="DQ19" s="44">
        <f>'Scope 3 Yearly'!$EE$192*'Scope 3 Yearly'!DQ175*'Yearly Butadiene'!Y4*'Scope 3 Yearly'!$B$197</f>
        <v>13.504075301082684</v>
      </c>
      <c r="DR19" s="44">
        <f>'Scope 3 Yearly'!$EE$192*'Scope 3 Yearly'!DR175*'Yearly Butadiene'!Z4*'Scope 3 Yearly'!$B$197</f>
        <v>14.854725258859029</v>
      </c>
      <c r="DS19" s="44">
        <f>'Scope 3 Yearly'!$EE$192*'Scope 3 Yearly'!DS175*'Yearly Butadiene'!AA4*'Scope 3 Yearly'!$B$197</f>
        <v>16.074997176608097</v>
      </c>
      <c r="DT19" s="44">
        <f>'Scope 3 Yearly'!$EE$192*'Scope 3 Yearly'!DT175*'Yearly Butadiene'!AB4*'Scope 3 Yearly'!$B$197</f>
        <v>17.178012609756117</v>
      </c>
      <c r="DU19" s="44">
        <f>'Scope 3 Yearly'!$EE$192*'Scope 3 Yearly'!DU175*'Yearly Butadiene'!AC4*'Scope 3 Yearly'!$B$197</f>
        <v>18.185550588679337</v>
      </c>
      <c r="DV19" s="44">
        <f>'Scope 3 Yearly'!$EE$192*'Scope 3 Yearly'!DV175*'Yearly Butadiene'!AD4*'Scope 3 Yearly'!$B$197</f>
        <v>19.107991018674248</v>
      </c>
      <c r="DW19" s="44">
        <f>'Scope 3 Yearly'!$EE$192*'Scope 3 Yearly'!DW175*'Yearly Butadiene'!AE4*'Scope 3 Yearly'!$B$197</f>
        <v>19.97605346312422</v>
      </c>
      <c r="DX19" s="44">
        <f>'Scope 3 Yearly'!$EE$192*'Scope 3 Yearly'!DX175*'Yearly Butadiene'!AF4*'Scope 3 Yearly'!$B$197</f>
        <v>20.805377253866361</v>
      </c>
      <c r="DY19" s="44">
        <f>'Scope 3 Yearly'!$EE$192*'Scope 3 Yearly'!DY175*'Yearly Butadiene'!AG4*'Scope 3 Yearly'!$B$197</f>
        <v>21.607252696789704</v>
      </c>
      <c r="DZ19" s="44">
        <f>'Scope 3 Yearly'!$EE$192*'Scope 3 Yearly'!DZ175*'Yearly Butadiene'!AH4*'Scope 3 Yearly'!$B$197</f>
        <v>22.388416738677098</v>
      </c>
    </row>
    <row r="20" spans="1:165" s="488" customFormat="1" ht="16" thickBot="1" x14ac:dyDescent="0.25">
      <c r="A20" s="185" t="s">
        <v>67</v>
      </c>
      <c r="C20" s="639" t="s">
        <v>415</v>
      </c>
      <c r="D20" s="640">
        <f>SUM(D13:D19)</f>
        <v>8.9659918386969916E-3</v>
      </c>
      <c r="E20" s="640">
        <f t="shared" ref="E20:AH20" si="1">SUM(E13:E19)</f>
        <v>1.8188824421428627E-2</v>
      </c>
      <c r="F20" s="640">
        <f t="shared" si="1"/>
        <v>3.6542468562306731E-2</v>
      </c>
      <c r="G20" s="640">
        <f t="shared" si="1"/>
        <v>7.3159078669160285E-2</v>
      </c>
      <c r="H20" s="640">
        <f t="shared" si="1"/>
        <v>0.14579778588533246</v>
      </c>
      <c r="I20" s="640">
        <f t="shared" si="1"/>
        <v>0.28886658846878066</v>
      </c>
      <c r="J20" s="640">
        <f t="shared" si="1"/>
        <v>0.56589549068516454</v>
      </c>
      <c r="K20" s="640">
        <f t="shared" si="1"/>
        <v>1.0971294825022748</v>
      </c>
      <c r="L20" s="640">
        <f t="shared" si="1"/>
        <v>2.0978949023635525</v>
      </c>
      <c r="M20" s="640">
        <f t="shared" si="1"/>
        <v>3.9388868818577452</v>
      </c>
      <c r="N20" s="640">
        <f t="shared" si="1"/>
        <v>7.2205476765519778</v>
      </c>
      <c r="O20" s="640">
        <f t="shared" si="1"/>
        <v>12.494995760652234</v>
      </c>
      <c r="P20" s="640">
        <f t="shared" si="1"/>
        <v>20.811301270272001</v>
      </c>
      <c r="Q20" s="640">
        <f t="shared" si="1"/>
        <v>33.071227416589373</v>
      </c>
      <c r="R20" s="640">
        <f t="shared" si="1"/>
        <v>49.819767043730558</v>
      </c>
      <c r="S20" s="640">
        <f t="shared" si="1"/>
        <v>70.810163372198389</v>
      </c>
      <c r="T20" s="640">
        <f t="shared" si="1"/>
        <v>94.655588834346162</v>
      </c>
      <c r="U20" s="640">
        <f t="shared" si="1"/>
        <v>119.36147537818754</v>
      </c>
      <c r="V20" s="640">
        <f t="shared" si="1"/>
        <v>142.74701139015656</v>
      </c>
      <c r="W20" s="640">
        <f t="shared" si="1"/>
        <v>163.073924532484</v>
      </c>
      <c r="X20" s="640">
        <f t="shared" si="1"/>
        <v>179.45428402686557</v>
      </c>
      <c r="Y20" s="640">
        <f t="shared" si="1"/>
        <v>188.06932548776592</v>
      </c>
      <c r="Z20" s="640">
        <f t="shared" si="1"/>
        <v>192.85700048112074</v>
      </c>
      <c r="AA20" s="640">
        <f t="shared" si="1"/>
        <v>194.2277120054234</v>
      </c>
      <c r="AB20" s="640">
        <f t="shared" si="1"/>
        <v>192.74654050448805</v>
      </c>
      <c r="AC20" s="640">
        <f t="shared" si="1"/>
        <v>189.13802150917846</v>
      </c>
      <c r="AD20" s="640">
        <f t="shared" si="1"/>
        <v>183.83706057579457</v>
      </c>
      <c r="AE20" s="640">
        <f t="shared" si="1"/>
        <v>177.39223359238918</v>
      </c>
      <c r="AF20" s="640">
        <f t="shared" si="1"/>
        <v>170.61748510072971</v>
      </c>
      <c r="AG20" s="640">
        <f t="shared" si="1"/>
        <v>163.34408356878347</v>
      </c>
      <c r="AH20" s="640">
        <f t="shared" si="1"/>
        <v>153.92172985721112</v>
      </c>
      <c r="AJ20" s="640">
        <f>SUM(AJ13:AJ19)</f>
        <v>8.9659964761221959E-3</v>
      </c>
      <c r="AK20" s="640">
        <f t="shared" ref="AK20" si="2">SUM(AK13:AK19)</f>
        <v>1.8188534820807099E-2</v>
      </c>
      <c r="AL20" s="640">
        <f t="shared" ref="AL20" si="3">SUM(AL13:AL19)</f>
        <v>3.6704599959953572E-2</v>
      </c>
      <c r="AM20" s="640">
        <f t="shared" ref="AM20" si="4">SUM(AM13:AM19)</f>
        <v>7.3817243841230118E-2</v>
      </c>
      <c r="AN20" s="640">
        <f t="shared" ref="AN20" si="5">SUM(AN13:AN19)</f>
        <v>0.14779687875080322</v>
      </c>
      <c r="AO20" s="640">
        <f t="shared" ref="AO20" si="6">SUM(AO13:AO19)</f>
        <v>0.2942356334829106</v>
      </c>
      <c r="AP20" s="640">
        <f t="shared" ref="AP20" si="7">SUM(AP13:AP19)</f>
        <v>0.57945345567123829</v>
      </c>
      <c r="AQ20" s="640">
        <f t="shared" ref="AQ20" si="8">SUM(AQ13:AQ19)</f>
        <v>1.1295539140414992</v>
      </c>
      <c r="AR20" s="640">
        <f t="shared" ref="AR20" si="9">SUM(AR13:AR19)</f>
        <v>2.1721529923678533</v>
      </c>
      <c r="AS20" s="640">
        <f t="shared" ref="AS20" si="10">SUM(AS13:AS19)</f>
        <v>4.102441832629883</v>
      </c>
      <c r="AT20" s="640">
        <f t="shared" ref="AT20" si="11">SUM(AT13:AT19)</f>
        <v>7.5670888987787004</v>
      </c>
      <c r="AU20" s="640">
        <f t="shared" ref="AU20" si="12">SUM(AU13:AU19)</f>
        <v>13.207794492194678</v>
      </c>
      <c r="AV20" s="640">
        <f t="shared" ref="AV20" si="13">SUM(AV13:AV19)</f>
        <v>22.201883807545048</v>
      </c>
      <c r="AW20" s="640">
        <f t="shared" ref="AW20" si="14">SUM(AW13:AW19)</f>
        <v>35.643717307366792</v>
      </c>
      <c r="AX20" s="640">
        <f t="shared" ref="AX20" si="15">SUM(AX13:AX19)</f>
        <v>54.298423687284853</v>
      </c>
      <c r="AY20" s="640">
        <f t="shared" ref="AY20" si="16">SUM(AY13:AY19)</f>
        <v>78.119094059259666</v>
      </c>
      <c r="AZ20" s="640">
        <f t="shared" ref="AZ20" si="17">SUM(AZ13:AZ19)</f>
        <v>105.80343911500198</v>
      </c>
      <c r="BA20" s="640">
        <f t="shared" ref="BA20" si="18">SUM(BA13:BA19)</f>
        <v>135.33779600357329</v>
      </c>
      <c r="BB20" s="640">
        <f t="shared" ref="BB20" si="19">SUM(BB13:BB19)</f>
        <v>164.31987263031999</v>
      </c>
      <c r="BC20" s="640">
        <f t="shared" ref="BC20" si="20">SUM(BC13:BC19)</f>
        <v>190.71179451169994</v>
      </c>
      <c r="BD20" s="640">
        <f t="shared" ref="BD20" si="21">SUM(BD13:BD19)</f>
        <v>213.33242063498855</v>
      </c>
      <c r="BE20" s="640">
        <f t="shared" ref="BE20" si="22">SUM(BE13:BE19)</f>
        <v>228.3411590798207</v>
      </c>
      <c r="BF20" s="640">
        <f t="shared" ref="BF20" si="23">SUM(BF13:BF19)</f>
        <v>239.20565951995383</v>
      </c>
      <c r="BG20" s="640">
        <f t="shared" ref="BG20" si="24">SUM(BG13:BG19)</f>
        <v>246.33167404678304</v>
      </c>
      <c r="BH20" s="640">
        <f t="shared" ref="BH20" si="25">SUM(BH13:BH19)</f>
        <v>250.4008550345178</v>
      </c>
      <c r="BI20" s="640">
        <f t="shared" ref="BI20" si="26">SUM(BI13:BI19)</f>
        <v>252.17770783099678</v>
      </c>
      <c r="BJ20" s="640">
        <f t="shared" ref="BJ20" si="27">SUM(BJ13:BJ19)</f>
        <v>252.09999007695188</v>
      </c>
      <c r="BK20" s="640">
        <f t="shared" ref="BK20" si="28">SUM(BK13:BK19)</f>
        <v>250.75987774248622</v>
      </c>
      <c r="BL20" s="640">
        <f t="shared" ref="BL20" si="29">SUM(BL13:BL19)</f>
        <v>248.51741875304765</v>
      </c>
      <c r="BM20" s="640">
        <f t="shared" ref="BM20" si="30">SUM(BM13:BM19)</f>
        <v>245.61002869114853</v>
      </c>
      <c r="BN20" s="640">
        <f t="shared" ref="BN20" si="31">SUM(BN13:BN19)</f>
        <v>242.77553792202582</v>
      </c>
      <c r="BP20" s="640">
        <f>SUM(BP13:BP19)</f>
        <v>0</v>
      </c>
      <c r="BQ20" s="640">
        <f t="shared" ref="BQ20:CT20" si="32">SUM(BQ13:BQ19)</f>
        <v>0</v>
      </c>
      <c r="BR20" s="640">
        <f t="shared" si="32"/>
        <v>0</v>
      </c>
      <c r="BS20" s="640">
        <f t="shared" si="32"/>
        <v>0</v>
      </c>
      <c r="BT20" s="640">
        <f t="shared" si="32"/>
        <v>0</v>
      </c>
      <c r="BU20" s="640">
        <f t="shared" si="32"/>
        <v>0</v>
      </c>
      <c r="BV20" s="640">
        <f t="shared" si="32"/>
        <v>0</v>
      </c>
      <c r="BW20" s="640">
        <f t="shared" si="32"/>
        <v>0</v>
      </c>
      <c r="BX20" s="640">
        <f t="shared" si="32"/>
        <v>0</v>
      </c>
      <c r="BY20" s="640">
        <f t="shared" si="32"/>
        <v>0</v>
      </c>
      <c r="BZ20" s="640">
        <f t="shared" si="32"/>
        <v>0</v>
      </c>
      <c r="CA20" s="640">
        <f t="shared" si="32"/>
        <v>0</v>
      </c>
      <c r="CB20" s="640">
        <f t="shared" si="32"/>
        <v>0</v>
      </c>
      <c r="CC20" s="640">
        <f t="shared" si="32"/>
        <v>0</v>
      </c>
      <c r="CD20" s="640">
        <f t="shared" si="32"/>
        <v>0</v>
      </c>
      <c r="CE20" s="640">
        <f t="shared" si="32"/>
        <v>0</v>
      </c>
      <c r="CF20" s="640">
        <f t="shared" si="32"/>
        <v>0</v>
      </c>
      <c r="CG20" s="640">
        <f t="shared" si="32"/>
        <v>0</v>
      </c>
      <c r="CH20" s="640">
        <f t="shared" si="32"/>
        <v>0</v>
      </c>
      <c r="CI20" s="640">
        <f t="shared" si="32"/>
        <v>0</v>
      </c>
      <c r="CJ20" s="640">
        <f t="shared" si="32"/>
        <v>0</v>
      </c>
      <c r="CK20" s="640">
        <f t="shared" si="32"/>
        <v>0</v>
      </c>
      <c r="CL20" s="640">
        <f t="shared" si="32"/>
        <v>0</v>
      </c>
      <c r="CM20" s="640">
        <f t="shared" si="32"/>
        <v>0</v>
      </c>
      <c r="CN20" s="640">
        <f t="shared" si="32"/>
        <v>0</v>
      </c>
      <c r="CO20" s="640">
        <f t="shared" si="32"/>
        <v>0</v>
      </c>
      <c r="CP20" s="640">
        <f t="shared" si="32"/>
        <v>0</v>
      </c>
      <c r="CQ20" s="640">
        <f t="shared" si="32"/>
        <v>0</v>
      </c>
      <c r="CR20" s="640">
        <f t="shared" si="32"/>
        <v>0</v>
      </c>
      <c r="CS20" s="640">
        <f t="shared" si="32"/>
        <v>0</v>
      </c>
      <c r="CT20" s="640">
        <f t="shared" si="32"/>
        <v>0</v>
      </c>
      <c r="CV20" s="640">
        <f>SUM(CV13:CV19)</f>
        <v>8.9385350892523391E-3</v>
      </c>
      <c r="CW20" s="640">
        <f t="shared" ref="CW20:DZ20" si="33">SUM(CW13:CW19)</f>
        <v>1.8340108893249194E-2</v>
      </c>
      <c r="CX20" s="640">
        <f t="shared" si="33"/>
        <v>3.7504637197654324E-2</v>
      </c>
      <c r="CY20" s="640">
        <f t="shared" si="33"/>
        <v>7.6412444441224983E-2</v>
      </c>
      <c r="CZ20" s="640">
        <f t="shared" si="33"/>
        <v>0.15497156183685118</v>
      </c>
      <c r="DA20" s="640">
        <f t="shared" si="33"/>
        <v>0.31245065050593734</v>
      </c>
      <c r="DB20" s="640">
        <f t="shared" si="33"/>
        <v>0.62329323058418196</v>
      </c>
      <c r="DC20" s="640">
        <f t="shared" si="33"/>
        <v>1.2307863569693636</v>
      </c>
      <c r="DD20" s="640">
        <f t="shared" si="33"/>
        <v>2.3976337708569355</v>
      </c>
      <c r="DE20" s="640">
        <f t="shared" si="33"/>
        <v>4.5874267551443113</v>
      </c>
      <c r="DF20" s="640">
        <f t="shared" si="33"/>
        <v>8.5725647330166979</v>
      </c>
      <c r="DG20" s="640">
        <f t="shared" si="33"/>
        <v>15.321568580399621</v>
      </c>
      <c r="DH20" s="640">
        <f t="shared" si="33"/>
        <v>26.364354128329474</v>
      </c>
      <c r="DI20" s="640">
        <f t="shared" si="33"/>
        <v>43.392537271466843</v>
      </c>
      <c r="DJ20" s="640">
        <f t="shared" si="33"/>
        <v>67.80520099901176</v>
      </c>
      <c r="DK20" s="640">
        <f t="shared" si="33"/>
        <v>100.11541265648599</v>
      </c>
      <c r="DL20" s="640">
        <f t="shared" si="33"/>
        <v>139.28939595472224</v>
      </c>
      <c r="DM20" s="640">
        <f t="shared" si="33"/>
        <v>183.14811684488782</v>
      </c>
      <c r="DN20" s="640">
        <f t="shared" si="33"/>
        <v>228.70780661199049</v>
      </c>
      <c r="DO20" s="640">
        <f t="shared" si="33"/>
        <v>273.12781067340893</v>
      </c>
      <c r="DP20" s="640">
        <f t="shared" si="33"/>
        <v>314.35954419681946</v>
      </c>
      <c r="DQ20" s="640">
        <f t="shared" si="33"/>
        <v>350.07347695935164</v>
      </c>
      <c r="DR20" s="640">
        <f t="shared" si="33"/>
        <v>380.32954766701334</v>
      </c>
      <c r="DS20" s="640">
        <f t="shared" si="33"/>
        <v>406.35195137823433</v>
      </c>
      <c r="DT20" s="640">
        <f t="shared" si="33"/>
        <v>428.78240813696783</v>
      </c>
      <c r="DU20" s="640">
        <f t="shared" si="33"/>
        <v>448.34841226541431</v>
      </c>
      <c r="DV20" s="640">
        <f t="shared" si="33"/>
        <v>465.47964138436794</v>
      </c>
      <c r="DW20" s="640">
        <f t="shared" si="33"/>
        <v>480.88605517545346</v>
      </c>
      <c r="DX20" s="640">
        <f t="shared" si="33"/>
        <v>494.96398075984195</v>
      </c>
      <c r="DY20" s="640">
        <f t="shared" si="33"/>
        <v>507.87706889278752</v>
      </c>
      <c r="DZ20" s="640">
        <f t="shared" si="33"/>
        <v>519.96811849889843</v>
      </c>
      <c r="EK20" s="643"/>
      <c r="EL20" s="643"/>
      <c r="EM20" s="643"/>
      <c r="EN20" s="643"/>
      <c r="EO20" s="643"/>
      <c r="EP20" s="643"/>
      <c r="EQ20" s="643"/>
      <c r="ER20" s="643"/>
      <c r="ES20" s="643"/>
      <c r="ET20" s="643"/>
      <c r="EU20" s="643"/>
      <c r="EV20" s="643"/>
      <c r="EW20" s="643"/>
      <c r="EX20" s="643"/>
      <c r="EY20" s="643"/>
      <c r="EZ20" s="643"/>
      <c r="FA20" s="643"/>
      <c r="FB20" s="643"/>
      <c r="FC20" s="643"/>
      <c r="FD20" s="643"/>
      <c r="FE20" s="643"/>
      <c r="FF20" s="643"/>
      <c r="FG20" s="643"/>
      <c r="FH20" s="643"/>
      <c r="FI20" s="643"/>
    </row>
    <row r="21" spans="1:165" ht="16" thickBot="1" x14ac:dyDescent="0.25">
      <c r="BP21" s="54"/>
      <c r="CV21" s="54"/>
    </row>
    <row r="22" spans="1:165" s="645" customFormat="1" ht="16" thickBot="1" x14ac:dyDescent="0.25">
      <c r="A22" s="644" t="s">
        <v>416</v>
      </c>
      <c r="EK22" s="646"/>
      <c r="EL22" s="646"/>
      <c r="EM22" s="646"/>
      <c r="EN22" s="646"/>
      <c r="EO22" s="646"/>
      <c r="EP22" s="646"/>
      <c r="EQ22" s="646"/>
      <c r="ER22" s="646"/>
      <c r="ES22" s="646"/>
      <c r="ET22" s="646"/>
      <c r="EU22" s="646"/>
      <c r="EV22" s="646"/>
      <c r="EW22" s="646"/>
      <c r="EX22" s="646"/>
      <c r="EY22" s="646"/>
      <c r="EZ22" s="646"/>
      <c r="FA22" s="646"/>
      <c r="FB22" s="646"/>
      <c r="FC22" s="646"/>
      <c r="FD22" s="646"/>
      <c r="FE22" s="646"/>
      <c r="FF22" s="646"/>
      <c r="FG22" s="646"/>
      <c r="FH22" s="646"/>
      <c r="FI22" s="646"/>
    </row>
    <row r="23" spans="1:165" x14ac:dyDescent="0.2">
      <c r="A23" t="s">
        <v>4</v>
      </c>
      <c r="C23" s="54" t="s">
        <v>415</v>
      </c>
      <c r="D23" s="44">
        <f>('Scope 3 Yearly'!$EE$186*'Scope 3 Yearly'!D37*(1-'Scope 3 Yearly'!$B$197)+'Scope 3 Yearly'!D30*'Scope 3 Yearly'!D40+'Scope 3 Yearly'!D26*'Scope 3 Yearly'!D36)*'Yearly HC Ethylene'!D157</f>
        <v>142.12541529656696</v>
      </c>
      <c r="E23" s="44">
        <f>('Scope 3 Yearly'!$EE$186*'Scope 3 Yearly'!E37*(1-'Scope 3 Yearly'!$B$197)+'Scope 3 Yearly'!E30*'Scope 3 Yearly'!E40+'Scope 3 Yearly'!E26*'Scope 3 Yearly'!E36)*'Yearly HC Ethylene'!E157</f>
        <v>142.79569260895065</v>
      </c>
      <c r="F23" s="44">
        <f>('Scope 3 Yearly'!$EE$186*'Scope 3 Yearly'!F37*(1-'Scope 3 Yearly'!$B$197)+'Scope 3 Yearly'!F30*'Scope 3 Yearly'!F40+'Scope 3 Yearly'!F26*'Scope 3 Yearly'!F36)*'Yearly HC Ethylene'!F157</f>
        <v>143.03996515825219</v>
      </c>
      <c r="G23" s="44">
        <f>('Scope 3 Yearly'!$EE$186*'Scope 3 Yearly'!G37*(1-'Scope 3 Yearly'!$B$197)+'Scope 3 Yearly'!G30*'Scope 3 Yearly'!G40+'Scope 3 Yearly'!G26*'Scope 3 Yearly'!G36)*'Yearly HC Ethylene'!G157</f>
        <v>143.38375504718292</v>
      </c>
      <c r="H23" s="44">
        <f>('Scope 3 Yearly'!$EE$186*'Scope 3 Yearly'!H37*(1-'Scope 3 Yearly'!$B$197)+'Scope 3 Yearly'!H30*'Scope 3 Yearly'!H40+'Scope 3 Yearly'!H26*'Scope 3 Yearly'!H36)*'Yearly HC Ethylene'!H157</f>
        <v>143.83208342082173</v>
      </c>
      <c r="I23" s="44">
        <f>('Scope 3 Yearly'!$EE$186*'Scope 3 Yearly'!I37*(1-'Scope 3 Yearly'!$B$197)+'Scope 3 Yearly'!I30*'Scope 3 Yearly'!I40+'Scope 3 Yearly'!I26*'Scope 3 Yearly'!I36)*'Yearly HC Ethylene'!I157</f>
        <v>144.38697483510234</v>
      </c>
      <c r="J23" s="44">
        <f>('Scope 3 Yearly'!$EE$186*'Scope 3 Yearly'!J37*(1-'Scope 3 Yearly'!$B$197)+'Scope 3 Yearly'!J30*'Scope 3 Yearly'!J40+'Scope 3 Yearly'!J26*'Scope 3 Yearly'!J36)*'Yearly HC Ethylene'!J157</f>
        <v>144.59410020930946</v>
      </c>
      <c r="K23" s="44">
        <f>('Scope 3 Yearly'!$EE$186*'Scope 3 Yearly'!K37*(1-'Scope 3 Yearly'!$B$197)+'Scope 3 Yearly'!K30*'Scope 3 Yearly'!K40+'Scope 3 Yearly'!K26*'Scope 3 Yearly'!K36)*'Yearly HC Ethylene'!K157</f>
        <v>144.82342459375025</v>
      </c>
      <c r="L23" s="44">
        <f>('Scope 3 Yearly'!$EE$186*'Scope 3 Yearly'!L37*(1-'Scope 3 Yearly'!$B$197)+'Scope 3 Yearly'!L30*'Scope 3 Yearly'!L40+'Scope 3 Yearly'!L26*'Scope 3 Yearly'!L36)*'Yearly HC Ethylene'!L157</f>
        <v>145.03310474149862</v>
      </c>
      <c r="M23" s="44">
        <f>('Scope 3 Yearly'!$EE$186*'Scope 3 Yearly'!M37*(1-'Scope 3 Yearly'!$B$197)+'Scope 3 Yearly'!M30*'Scope 3 Yearly'!M40+'Scope 3 Yearly'!M26*'Scope 3 Yearly'!M36)*'Yearly HC Ethylene'!M157</f>
        <v>145.14764259893016</v>
      </c>
      <c r="N23" s="44">
        <f>('Scope 3 Yearly'!$EE$186*'Scope 3 Yearly'!N37*(1-'Scope 3 Yearly'!$B$197)+'Scope 3 Yearly'!N30*'Scope 3 Yearly'!N40+'Scope 3 Yearly'!N26*'Scope 3 Yearly'!N36)*'Yearly HC Ethylene'!N157</f>
        <v>145.03904366023144</v>
      </c>
      <c r="O23" s="44">
        <f>('Scope 3 Yearly'!$EE$186*'Scope 3 Yearly'!O37*(1-'Scope 3 Yearly'!$B$197)+'Scope 3 Yearly'!O30*'Scope 3 Yearly'!O40+'Scope 3 Yearly'!O26*'Scope 3 Yearly'!O36)*'Yearly HC Ethylene'!O157</f>
        <v>140.216337951708</v>
      </c>
      <c r="P23" s="44">
        <f>('Scope 3 Yearly'!$EE$186*'Scope 3 Yearly'!P37*(1-'Scope 3 Yearly'!$B$197)+'Scope 3 Yearly'!P30*'Scope 3 Yearly'!P40+'Scope 3 Yearly'!P26*'Scope 3 Yearly'!P36)*'Yearly HC Ethylene'!P157</f>
        <v>135.05978631174651</v>
      </c>
      <c r="Q23" s="44">
        <f>('Scope 3 Yearly'!$EE$186*'Scope 3 Yearly'!Q37*(1-'Scope 3 Yearly'!$B$197)+'Scope 3 Yearly'!Q30*'Scope 3 Yearly'!Q40+'Scope 3 Yearly'!Q26*'Scope 3 Yearly'!Q36)*'Yearly HC Ethylene'!Q157</f>
        <v>128.94541331052469</v>
      </c>
      <c r="R23" s="44">
        <f>('Scope 3 Yearly'!$EE$186*'Scope 3 Yearly'!R37*(1-'Scope 3 Yearly'!$B$197)+'Scope 3 Yearly'!R30*'Scope 3 Yearly'!R40+'Scope 3 Yearly'!R26*'Scope 3 Yearly'!R36)*'Yearly HC Ethylene'!R157</f>
        <v>121.9423529845581</v>
      </c>
      <c r="S23" s="44">
        <f>('Scope 3 Yearly'!$EE$186*'Scope 3 Yearly'!S37*(1-'Scope 3 Yearly'!$B$197)+'Scope 3 Yearly'!S30*'Scope 3 Yearly'!S40+'Scope 3 Yearly'!S26*'Scope 3 Yearly'!S36)*'Yearly HC Ethylene'!S157</f>
        <v>114.05678363761218</v>
      </c>
      <c r="T23" s="44">
        <f>('Scope 3 Yearly'!$EE$186*'Scope 3 Yearly'!T37*(1-'Scope 3 Yearly'!$B$197)+'Scope 3 Yearly'!T30*'Scope 3 Yearly'!T40+'Scope 3 Yearly'!T26*'Scope 3 Yearly'!T36)*'Yearly HC Ethylene'!T157</f>
        <v>105.34264801364026</v>
      </c>
      <c r="U23" s="44">
        <f>('Scope 3 Yearly'!$EE$186*'Scope 3 Yearly'!U37*(1-'Scope 3 Yearly'!$B$197)+'Scope 3 Yearly'!U30*'Scope 3 Yearly'!U40+'Scope 3 Yearly'!U26*'Scope 3 Yearly'!U36)*'Yearly HC Ethylene'!U157</f>
        <v>96.267191862107481</v>
      </c>
      <c r="V23" s="44">
        <f>('Scope 3 Yearly'!$EE$186*'Scope 3 Yearly'!V37*(1-'Scope 3 Yearly'!$B$197)+'Scope 3 Yearly'!V30*'Scope 3 Yearly'!V40+'Scope 3 Yearly'!V26*'Scope 3 Yearly'!V36)*'Yearly HC Ethylene'!V157</f>
        <v>87.357911446525833</v>
      </c>
      <c r="W23" s="44">
        <f>('Scope 3 Yearly'!$EE$186*'Scope 3 Yearly'!W37*(1-'Scope 3 Yearly'!$B$197)+'Scope 3 Yearly'!W30*'Scope 3 Yearly'!W40+'Scope 3 Yearly'!W26*'Scope 3 Yearly'!W36)*'Yearly HC Ethylene'!W157</f>
        <v>79.03207147196153</v>
      </c>
      <c r="X23" s="44">
        <f>('Scope 3 Yearly'!$EE$186*'Scope 3 Yearly'!X37*(1-'Scope 3 Yearly'!$B$197)+'Scope 3 Yearly'!X30*'Scope 3 Yearly'!X40+'Scope 3 Yearly'!X26*'Scope 3 Yearly'!X36)*'Yearly HC Ethylene'!X157</f>
        <v>71.553600423148197</v>
      </c>
      <c r="Y23" s="44">
        <f>('Scope 3 Yearly'!$EE$186*'Scope 3 Yearly'!Y37*(1-'Scope 3 Yearly'!$B$197)+'Scope 3 Yearly'!Y30*'Scope 3 Yearly'!Y40+'Scope 3 Yearly'!Y26*'Scope 3 Yearly'!Y36)*'Yearly HC Ethylene'!Y157</f>
        <v>63.216721941395797</v>
      </c>
      <c r="Z23" s="44">
        <f>('Scope 3 Yearly'!$EE$186*'Scope 3 Yearly'!Z37*(1-'Scope 3 Yearly'!$B$197)+'Scope 3 Yearly'!Z30*'Scope 3 Yearly'!Z40+'Scope 3 Yearly'!Z26*'Scope 3 Yearly'!Z36)*'Yearly HC Ethylene'!Z157</f>
        <v>56.359286394662071</v>
      </c>
      <c r="AA23" s="44">
        <f>('Scope 3 Yearly'!$EE$186*'Scope 3 Yearly'!AA37*(1-'Scope 3 Yearly'!$B$197)+'Scope 3 Yearly'!AA30*'Scope 3 Yearly'!AA40+'Scope 3 Yearly'!AA26*'Scope 3 Yearly'!AA36)*'Yearly HC Ethylene'!AA157</f>
        <v>50.539263164876047</v>
      </c>
      <c r="AB23" s="44">
        <f>('Scope 3 Yearly'!$EE$186*'Scope 3 Yearly'!AB37*(1-'Scope 3 Yearly'!$B$197)+'Scope 3 Yearly'!AB30*'Scope 3 Yearly'!AB40+'Scope 3 Yearly'!AB26*'Scope 3 Yearly'!AB36)*'Yearly HC Ethylene'!AB157</f>
        <v>45.588246934151215</v>
      </c>
      <c r="AC23" s="44">
        <f>('Scope 3 Yearly'!$EE$186*'Scope 3 Yearly'!AC37*(1-'Scope 3 Yearly'!$B$197)+'Scope 3 Yearly'!AC30*'Scope 3 Yearly'!AC40+'Scope 3 Yearly'!AC26*'Scope 3 Yearly'!AC36)*'Yearly HC Ethylene'!AC157</f>
        <v>41.352101890127209</v>
      </c>
      <c r="AD23" s="44">
        <f>('Scope 3 Yearly'!$EE$186*'Scope 3 Yearly'!AD37*(1-'Scope 3 Yearly'!$B$197)+'Scope 3 Yearly'!AD30*'Scope 3 Yearly'!AD40+'Scope 3 Yearly'!AD26*'Scope 3 Yearly'!AD36)*'Yearly HC Ethylene'!AD157</f>
        <v>37.667442427653725</v>
      </c>
      <c r="AE23" s="44">
        <f>('Scope 3 Yearly'!$EE$186*'Scope 3 Yearly'!AE37*(1-'Scope 3 Yearly'!$B$197)+'Scope 3 Yearly'!AE30*'Scope 3 Yearly'!AE40+'Scope 3 Yearly'!AE26*'Scope 3 Yearly'!AE36)*'Yearly HC Ethylene'!AE157</f>
        <v>34.466722099095435</v>
      </c>
      <c r="AF23" s="44">
        <f>('Scope 3 Yearly'!$EE$186*'Scope 3 Yearly'!AF37*(1-'Scope 3 Yearly'!$B$197)+'Scope 3 Yearly'!AF30*'Scope 3 Yearly'!AF40+'Scope 3 Yearly'!AF26*'Scope 3 Yearly'!AF36)*'Yearly HC Ethylene'!AF157</f>
        <v>31.685359237117321</v>
      </c>
      <c r="AG23" s="44">
        <f>('Scope 3 Yearly'!$EE$186*'Scope 3 Yearly'!AG37*(1-'Scope 3 Yearly'!$B$197)+'Scope 3 Yearly'!AG30*'Scope 3 Yearly'!AG40+'Scope 3 Yearly'!AG26*'Scope 3 Yearly'!AG36)*'Yearly HC Ethylene'!AG157</f>
        <v>29.304484447580457</v>
      </c>
      <c r="AH23" s="44">
        <f>('Scope 3 Yearly'!$EE$186*'Scope 3 Yearly'!AH37*(1-'Scope 3 Yearly'!$B$197)+'Scope 3 Yearly'!AH30*'Scope 3 Yearly'!AH40+'Scope 3 Yearly'!AH26*'Scope 3 Yearly'!AH36)*'Yearly HC Ethylene'!AH157</f>
        <v>27.080892443946841</v>
      </c>
      <c r="AI23" s="44"/>
      <c r="AJ23" s="44">
        <f>('Scope 3 Yearly'!$EE$186*'Scope 3 Yearly'!AJ37*(1-'Scope 3 Yearly'!$B$197)+'Scope 3 Yearly'!AJ30*'Scope 3 Yearly'!AJ40+'Scope 3 Yearly'!AJ26*'Scope 3 Yearly'!AJ36)*'Yearly LC Ethylene'!D157</f>
        <v>142.12545757818347</v>
      </c>
      <c r="AK23" s="44">
        <f>('Scope 3 Yearly'!$EE$186*'Scope 3 Yearly'!AK37*(1-'Scope 3 Yearly'!$B$197)+'Scope 3 Yearly'!AK30*'Scope 3 Yearly'!AK40+'Scope 3 Yearly'!AK26*'Scope 3 Yearly'!AK36)*'Yearly LC Ethylene'!E157</f>
        <v>143.61998813990607</v>
      </c>
      <c r="AL23" s="44">
        <f>('Scope 3 Yearly'!$EE$186*'Scope 3 Yearly'!AL37*(1-'Scope 3 Yearly'!$B$197)+'Scope 3 Yearly'!AL30*'Scope 3 Yearly'!AL40+'Scope 3 Yearly'!AL26*'Scope 3 Yearly'!AL36)*'Yearly LC Ethylene'!F157</f>
        <v>144.72658921911989</v>
      </c>
      <c r="AM23" s="44">
        <f>('Scope 3 Yearly'!$EE$186*'Scope 3 Yearly'!AM37*(1-'Scope 3 Yearly'!$B$197)+'Scope 3 Yearly'!AM30*'Scope 3 Yearly'!AM40+'Scope 3 Yearly'!AM26*'Scope 3 Yearly'!AM36)*'Yearly LC Ethylene'!G157</f>
        <v>145.97342237796198</v>
      </c>
      <c r="AN23" s="44">
        <f>('Scope 3 Yearly'!$EE$186*'Scope 3 Yearly'!AN37*(1-'Scope 3 Yearly'!$B$197)+'Scope 3 Yearly'!AN30*'Scope 3 Yearly'!AN40+'Scope 3 Yearly'!AN26*'Scope 3 Yearly'!AN36)*'Yearly LC Ethylene'!H157</f>
        <v>147.3682780876108</v>
      </c>
      <c r="AO23" s="44">
        <f>('Scope 3 Yearly'!$EE$186*'Scope 3 Yearly'!AO37*(1-'Scope 3 Yearly'!$B$197)+'Scope 3 Yearly'!AO30*'Scope 3 Yearly'!AO40+'Scope 3 Yearly'!AO26*'Scope 3 Yearly'!AO36)*'Yearly LC Ethylene'!I157</f>
        <v>148.91603661173022</v>
      </c>
      <c r="AP23" s="44">
        <f>('Scope 3 Yearly'!$EE$186*'Scope 3 Yearly'!AP37*(1-'Scope 3 Yearly'!$B$197)+'Scope 3 Yearly'!AP30*'Scope 3 Yearly'!AP40+'Scope 3 Yearly'!AP26*'Scope 3 Yearly'!AP36)*'Yearly LC Ethylene'!J157</f>
        <v>150.1892108004964</v>
      </c>
      <c r="AQ23" s="44">
        <f>('Scope 3 Yearly'!$EE$186*'Scope 3 Yearly'!AQ37*(1-'Scope 3 Yearly'!$B$197)+'Scope 3 Yearly'!AQ30*'Scope 3 Yearly'!AQ40+'Scope 3 Yearly'!AQ26*'Scope 3 Yearly'!AQ36)*'Yearly LC Ethylene'!K157</f>
        <v>151.53617491226694</v>
      </c>
      <c r="AR23" s="44">
        <f>('Scope 3 Yearly'!$EE$186*'Scope 3 Yearly'!AR37*(1-'Scope 3 Yearly'!$B$197)+'Scope 3 Yearly'!AR30*'Scope 3 Yearly'!AR40+'Scope 3 Yearly'!AR26*'Scope 3 Yearly'!AR36)*'Yearly LC Ethylene'!L157</f>
        <v>152.91643221853059</v>
      </c>
      <c r="AS23" s="44">
        <f>('Scope 3 Yearly'!$EE$186*'Scope 3 Yearly'!AS37*(1-'Scope 3 Yearly'!$B$197)+'Scope 3 Yearly'!AS30*'Scope 3 Yearly'!AS40+'Scope 3 Yearly'!AS26*'Scope 3 Yearly'!AS36)*'Yearly LC Ethylene'!M157</f>
        <v>154.25355650177357</v>
      </c>
      <c r="AT23" s="44">
        <f>('Scope 3 Yearly'!$EE$186*'Scope 3 Yearly'!AT37*(1-'Scope 3 Yearly'!$B$197)+'Scope 3 Yearly'!AT30*'Scope 3 Yearly'!AT40+'Scope 3 Yearly'!AT26*'Scope 3 Yearly'!AT36)*'Yearly LC Ethylene'!N157</f>
        <v>155.41424003693854</v>
      </c>
      <c r="AU23" s="44">
        <f>('Scope 3 Yearly'!$EE$186*'Scope 3 Yearly'!AU37*(1-'Scope 3 Yearly'!$B$197)+'Scope 3 Yearly'!AU30*'Scope 3 Yearly'!AU40+'Scope 3 Yearly'!AU26*'Scope 3 Yearly'!AU36)*'Yearly LC Ethylene'!O157</f>
        <v>152.108004148574</v>
      </c>
      <c r="AV23" s="44">
        <f>('Scope 3 Yearly'!$EE$186*'Scope 3 Yearly'!AV37*(1-'Scope 3 Yearly'!$B$197)+'Scope 3 Yearly'!AV30*'Scope 3 Yearly'!AV40+'Scope 3 Yearly'!AV26*'Scope 3 Yearly'!AV36)*'Yearly LC Ethylene'!P157</f>
        <v>148.39260804395047</v>
      </c>
      <c r="AW23" s="44">
        <f>('Scope 3 Yearly'!$EE$186*'Scope 3 Yearly'!AW37*(1-'Scope 3 Yearly'!$B$197)+'Scope 3 Yearly'!AW30*'Scope 3 Yearly'!AW40+'Scope 3 Yearly'!AW26*'Scope 3 Yearly'!AW36)*'Yearly LC Ethylene'!Q157</f>
        <v>143.71007839929018</v>
      </c>
      <c r="AX23" s="44">
        <f>('Scope 3 Yearly'!$EE$186*'Scope 3 Yearly'!AX37*(1-'Scope 3 Yearly'!$B$197)+'Scope 3 Yearly'!AX30*'Scope 3 Yearly'!AX40+'Scope 3 Yearly'!AX26*'Scope 3 Yearly'!AX36)*'Yearly LC Ethylene'!R157</f>
        <v>137.99784392521869</v>
      </c>
      <c r="AY23" s="44">
        <f>('Scope 3 Yearly'!$EE$186*'Scope 3 Yearly'!AY37*(1-'Scope 3 Yearly'!$B$197)+'Scope 3 Yearly'!AY30*'Scope 3 Yearly'!AY40+'Scope 3 Yearly'!AY26*'Scope 3 Yearly'!AY36)*'Yearly LC Ethylene'!S157</f>
        <v>131.19099565645971</v>
      </c>
      <c r="AZ23" s="44">
        <f>('Scope 3 Yearly'!$EE$186*'Scope 3 Yearly'!AZ37*(1-'Scope 3 Yearly'!$B$197)+'Scope 3 Yearly'!AZ30*'Scope 3 Yearly'!AZ40+'Scope 3 Yearly'!AZ26*'Scope 3 Yearly'!AZ36)*'Yearly LC Ethylene'!T157</f>
        <v>123.28747059848598</v>
      </c>
      <c r="BA23" s="44">
        <f>('Scope 3 Yearly'!$EE$186*'Scope 3 Yearly'!BA37*(1-'Scope 3 Yearly'!$B$197)+'Scope 3 Yearly'!BA30*'Scope 3 Yearly'!BA40+'Scope 3 Yearly'!BA26*'Scope 3 Yearly'!BA36)*'Yearly LC Ethylene'!U157</f>
        <v>114.81505121403443</v>
      </c>
      <c r="BB23" s="44">
        <f>('Scope 3 Yearly'!$EE$186*'Scope 3 Yearly'!BB37*(1-'Scope 3 Yearly'!$B$197)+'Scope 3 Yearly'!BB30*'Scope 3 Yearly'!BB40+'Scope 3 Yearly'!BB26*'Scope 3 Yearly'!BB36)*'Yearly LC Ethylene'!V157</f>
        <v>106.28776229124949</v>
      </c>
      <c r="BC23" s="44">
        <f>('Scope 3 Yearly'!$EE$186*'Scope 3 Yearly'!BC37*(1-'Scope 3 Yearly'!$B$197)+'Scope 3 Yearly'!BC30*'Scope 3 Yearly'!BC40+'Scope 3 Yearly'!BC26*'Scope 3 Yearly'!BC36)*'Yearly LC Ethylene'!W157</f>
        <v>98.184479984957562</v>
      </c>
      <c r="BD23" s="44">
        <f>('Scope 3 Yearly'!$EE$186*'Scope 3 Yearly'!BD37*(1-'Scope 3 Yearly'!$B$197)+'Scope 3 Yearly'!BD30*'Scope 3 Yearly'!BD40+'Scope 3 Yearly'!BD26*'Scope 3 Yearly'!BD36)*'Yearly LC Ethylene'!X157</f>
        <v>90.842009250995105</v>
      </c>
      <c r="BE23" s="44">
        <f>('Scope 3 Yearly'!$EE$186*'Scope 3 Yearly'!BE37*(1-'Scope 3 Yearly'!$B$197)+'Scope 3 Yearly'!BE30*'Scope 3 Yearly'!BE40+'Scope 3 Yearly'!BE26*'Scope 3 Yearly'!BE36)*'Yearly LC Ethylene'!Y157</f>
        <v>82.837133817777527</v>
      </c>
      <c r="BF23" s="44">
        <f>('Scope 3 Yearly'!$EE$186*'Scope 3 Yearly'!BF37*(1-'Scope 3 Yearly'!$B$197)+'Scope 3 Yearly'!BF30*'Scope 3 Yearly'!BF40+'Scope 3 Yearly'!BF26*'Scope 3 Yearly'!BF36)*'Yearly LC Ethylene'!Z157</f>
        <v>76.167950436592875</v>
      </c>
      <c r="BG23" s="44">
        <f>('Scope 3 Yearly'!$EE$186*'Scope 3 Yearly'!BG37*(1-'Scope 3 Yearly'!$B$197)+'Scope 3 Yearly'!BG30*'Scope 3 Yearly'!BG40+'Scope 3 Yearly'!BG26*'Scope 3 Yearly'!BG36)*'Yearly LC Ethylene'!AA157</f>
        <v>70.543080740141363</v>
      </c>
      <c r="BH23" s="44">
        <f>('Scope 3 Yearly'!$EE$186*'Scope 3 Yearly'!BH37*(1-'Scope 3 Yearly'!$B$197)+'Scope 3 Yearly'!BH30*'Scope 3 Yearly'!BH40+'Scope 3 Yearly'!BH26*'Scope 3 Yearly'!BH36)*'Yearly LC Ethylene'!AB157</f>
        <v>65.813319517685656</v>
      </c>
      <c r="BI23" s="44">
        <f>('Scope 3 Yearly'!$EE$186*'Scope 3 Yearly'!BI37*(1-'Scope 3 Yearly'!$B$197)+'Scope 3 Yearly'!BI30*'Scope 3 Yearly'!BI40+'Scope 3 Yearly'!BI26*'Scope 3 Yearly'!BI36)*'Yearly LC Ethylene'!AC157</f>
        <v>61.860511044131229</v>
      </c>
      <c r="BJ23" s="44">
        <f>('Scope 3 Yearly'!$EE$186*'Scope 3 Yearly'!BJ37*(1-'Scope 3 Yearly'!$B$197)+'Scope 3 Yearly'!BJ30*'Scope 3 Yearly'!BJ40+'Scope 3 Yearly'!BJ26*'Scope 3 Yearly'!BJ36)*'Yearly LC Ethylene'!AD157</f>
        <v>58.517215858264862</v>
      </c>
      <c r="BK23" s="44">
        <f>('Scope 3 Yearly'!$EE$186*'Scope 3 Yearly'!BK37*(1-'Scope 3 Yearly'!$B$197)+'Scope 3 Yearly'!BK30*'Scope 3 Yearly'!BK40+'Scope 3 Yearly'!BK26*'Scope 3 Yearly'!BK36)*'Yearly LC Ethylene'!AE157</f>
        <v>55.703103316375099</v>
      </c>
      <c r="BL23" s="44">
        <f>('Scope 3 Yearly'!$EE$186*'Scope 3 Yearly'!BL37*(1-'Scope 3 Yearly'!$B$197)+'Scope 3 Yearly'!BL30*'Scope 3 Yearly'!BL40+'Scope 3 Yearly'!BL26*'Scope 3 Yearly'!BL36)*'Yearly LC Ethylene'!AF157</f>
        <v>53.338331420378545</v>
      </c>
      <c r="BM23" s="44">
        <f>('Scope 3 Yearly'!$EE$186*'Scope 3 Yearly'!BM37*(1-'Scope 3 Yearly'!$B$197)+'Scope 3 Yearly'!BM30*'Scope 3 Yearly'!BM40+'Scope 3 Yearly'!BM26*'Scope 3 Yearly'!BM36)*'Yearly LC Ethylene'!AG157</f>
        <v>51.369311847464473</v>
      </c>
      <c r="BN23" s="44">
        <f>('Scope 3 Yearly'!$EE$186*'Scope 3 Yearly'!BN37*(1-'Scope 3 Yearly'!$B$197)+'Scope 3 Yearly'!BN30*'Scope 3 Yearly'!BN40+'Scope 3 Yearly'!BN26*'Scope 3 Yearly'!BN36)*'Yearly LC Ethylene'!AH157</f>
        <v>49.824318871457535</v>
      </c>
      <c r="BO23" s="44"/>
      <c r="BP23" s="44">
        <f>('Scope 3 Yearly'!$EE$186*'Scope 3 Yearly'!BP37*(1-'Scope 3 Yearly'!$B$197)+'Scope 3 Yearly'!BP30*'Scope 3 Yearly'!BP40+'Scope 3 Yearly'!BP26*'Scope 3 Yearly'!BP36)*'Yearly HC Ethylene'!D4</f>
        <v>142.12678646794336</v>
      </c>
      <c r="BQ23" s="44">
        <f>('Scope 3 Yearly'!$EE$186*'Scope 3 Yearly'!BQ37*(1-'Scope 3 Yearly'!$B$197)+'Scope 3 Yearly'!BQ30*'Scope 3 Yearly'!BQ40+'Scope 3 Yearly'!BQ26*'Scope 3 Yearly'!BQ36)*'Yearly HC Ethylene'!E4</f>
        <v>147.7167207570393</v>
      </c>
      <c r="BR23" s="44">
        <f>('Scope 3 Yearly'!$EE$186*'Scope 3 Yearly'!BR37*(1-'Scope 3 Yearly'!$B$197)+'Scope 3 Yearly'!BR30*'Scope 3 Yearly'!BR40+'Scope 3 Yearly'!BR26*'Scope 3 Yearly'!BR36)*'Yearly HC Ethylene'!F4</f>
        <v>153.44368281142144</v>
      </c>
      <c r="BS23" s="44">
        <f>('Scope 3 Yearly'!$EE$186*'Scope 3 Yearly'!BS37*(1-'Scope 3 Yearly'!$B$197)+'Scope 3 Yearly'!BS30*'Scope 3 Yearly'!BS40+'Scope 3 Yearly'!BS26*'Scope 3 Yearly'!BS36)*'Yearly HC Ethylene'!G4</f>
        <v>159.31003780324957</v>
      </c>
      <c r="BT23" s="44">
        <f>('Scope 3 Yearly'!$EE$186*'Scope 3 Yearly'!BT37*(1-'Scope 3 Yearly'!$B$197)+'Scope 3 Yearly'!BT30*'Scope 3 Yearly'!BT40+'Scope 3 Yearly'!BT26*'Scope 3 Yearly'!BT36)*'Yearly HC Ethylene'!H4</f>
        <v>165.31776053423081</v>
      </c>
      <c r="BU23" s="44">
        <f>('Scope 3 Yearly'!$EE$186*'Scope 3 Yearly'!BU37*(1-'Scope 3 Yearly'!$B$197)+'Scope 3 Yearly'!BU30*'Scope 3 Yearly'!BU40+'Scope 3 Yearly'!BU26*'Scope 3 Yearly'!BU36)*'Yearly HC Ethylene'!I4</f>
        <v>171.46838261055854</v>
      </c>
      <c r="BV23" s="44">
        <f>('Scope 3 Yearly'!$EE$186*'Scope 3 Yearly'!BV37*(1-'Scope 3 Yearly'!$B$197)+'Scope 3 Yearly'!BV30*'Scope 3 Yearly'!BV40+'Scope 3 Yearly'!BV26*'Scope 3 Yearly'!BV36)*'Yearly HC Ethylene'!J4</f>
        <v>177.34041852968733</v>
      </c>
      <c r="BW23" s="44">
        <f>('Scope 3 Yearly'!$EE$186*'Scope 3 Yearly'!BW37*(1-'Scope 3 Yearly'!$B$197)+'Scope 3 Yearly'!BW30*'Scope 3 Yearly'!BW40+'Scope 3 Yearly'!BW26*'Scope 3 Yearly'!BW36)*'Yearly HC Ethylene'!K4</f>
        <v>183.37911410470716</v>
      </c>
      <c r="BX23" s="44">
        <f>('Scope 3 Yearly'!$EE$186*'Scope 3 Yearly'!BX37*(1-'Scope 3 Yearly'!$B$197)+'Scope 3 Yearly'!BX30*'Scope 3 Yearly'!BX40+'Scope 3 Yearly'!BX26*'Scope 3 Yearly'!BX36)*'Yearly HC Ethylene'!L4</f>
        <v>189.58853454591247</v>
      </c>
      <c r="BY23" s="44">
        <f>('Scope 3 Yearly'!$EE$186*'Scope 3 Yearly'!BY37*(1-'Scope 3 Yearly'!$B$197)+'Scope 3 Yearly'!BY30*'Scope 3 Yearly'!BY40+'Scope 3 Yearly'!BY26*'Scope 3 Yearly'!BY36)*'Yearly HC Ethylene'!M4</f>
        <v>195.97281841659904</v>
      </c>
      <c r="BZ23" s="44">
        <f>('Scope 3 Yearly'!$EE$186*'Scope 3 Yearly'!BZ37*(1-'Scope 3 Yearly'!$B$197)+'Scope 3 Yearly'!BZ30*'Scope 3 Yearly'!BZ40+'Scope 3 Yearly'!BZ26*'Scope 3 Yearly'!BZ36)*'Yearly HC Ethylene'!N4</f>
        <v>202.53617713881059</v>
      </c>
      <c r="CA23" s="44">
        <f>('Scope 3 Yearly'!$EE$186*'Scope 3 Yearly'!CA37*(1-'Scope 3 Yearly'!$B$197)+'Scope 3 Yearly'!CA30*'Scope 3 Yearly'!CA40+'Scope 3 Yearly'!CA26*'Scope 3 Yearly'!CA36)*'Yearly HC Ethylene'!O4</f>
        <v>207.17358876355408</v>
      </c>
      <c r="CB23" s="44">
        <f>('Scope 3 Yearly'!$EE$186*'Scope 3 Yearly'!CB37*(1-'Scope 3 Yearly'!$B$197)+'Scope 3 Yearly'!CB30*'Scope 3 Yearly'!CB40+'Scope 3 Yearly'!CB26*'Scope 3 Yearly'!CB36)*'Yearly HC Ethylene'!P4</f>
        <v>211.84168070690157</v>
      </c>
      <c r="CC23" s="44">
        <f>('Scope 3 Yearly'!$EE$186*'Scope 3 Yearly'!CC37*(1-'Scope 3 Yearly'!$B$197)+'Scope 3 Yearly'!CC30*'Scope 3 Yearly'!CC40+'Scope 3 Yearly'!CC26*'Scope 3 Yearly'!CC36)*'Yearly HC Ethylene'!Q4</f>
        <v>216.53814542579207</v>
      </c>
      <c r="CD23" s="44">
        <f>('Scope 3 Yearly'!$EE$186*'Scope 3 Yearly'!CD37*(1-'Scope 3 Yearly'!$B$197)+'Scope 3 Yearly'!CD30*'Scope 3 Yearly'!CD40+'Scope 3 Yearly'!CD26*'Scope 3 Yearly'!CD36)*'Yearly HC Ethylene'!R4</f>
        <v>221.26024925193795</v>
      </c>
      <c r="CE23" s="44">
        <f>('Scope 3 Yearly'!$EE$186*'Scope 3 Yearly'!CE37*(1-'Scope 3 Yearly'!$B$197)+'Scope 3 Yearly'!CE30*'Scope 3 Yearly'!CE40+'Scope 3 Yearly'!CE26*'Scope 3 Yearly'!CE36)*'Yearly HC Ethylene'!S4</f>
        <v>226.00478887973063</v>
      </c>
      <c r="CF23" s="44">
        <f>('Scope 3 Yearly'!$EE$186*'Scope 3 Yearly'!CF37*(1-'Scope 3 Yearly'!$B$197)+'Scope 3 Yearly'!CF30*'Scope 3 Yearly'!CF40+'Scope 3 Yearly'!CF26*'Scope 3 Yearly'!CF36)*'Yearly HC Ethylene'!T4</f>
        <v>230.67037840263103</v>
      </c>
      <c r="CG23" s="44">
        <f>('Scope 3 Yearly'!$EE$186*'Scope 3 Yearly'!CG37*(1-'Scope 3 Yearly'!$B$197)+'Scope 3 Yearly'!CG30*'Scope 3 Yearly'!CG40+'Scope 3 Yearly'!CG26*'Scope 3 Yearly'!CG36)*'Yearly HC Ethylene'!U4</f>
        <v>235.40411638945577</v>
      </c>
      <c r="CH23" s="44">
        <f>('Scope 3 Yearly'!$EE$186*'Scope 3 Yearly'!CH37*(1-'Scope 3 Yearly'!$B$197)+'Scope 3 Yearly'!CH30*'Scope 3 Yearly'!CH40+'Scope 3 Yearly'!CH26*'Scope 3 Yearly'!CH36)*'Yearly HC Ethylene'!V4</f>
        <v>240.20664459529704</v>
      </c>
      <c r="CI23" s="44">
        <f>('Scope 3 Yearly'!$EE$186*'Scope 3 Yearly'!CI37*(1-'Scope 3 Yearly'!$B$197)+'Scope 3 Yearly'!CI30*'Scope 3 Yearly'!CI40+'Scope 3 Yearly'!CI26*'Scope 3 Yearly'!CI36)*'Yearly HC Ethylene'!W4</f>
        <v>245.0785998923962</v>
      </c>
      <c r="CJ23" s="44">
        <f>('Scope 3 Yearly'!$EE$186*'Scope 3 Yearly'!CJ37*(1-'Scope 3 Yearly'!$B$197)+'Scope 3 Yearly'!CJ30*'Scope 3 Yearly'!CJ40+'Scope 3 Yearly'!CJ26*'Scope 3 Yearly'!CJ36)*'Yearly HC Ethylene'!X4</f>
        <v>250.02061366890536</v>
      </c>
      <c r="CK23" s="44">
        <f>('Scope 3 Yearly'!$EE$186*'Scope 3 Yearly'!CK37*(1-'Scope 3 Yearly'!$B$197)+'Scope 3 Yearly'!CK30*'Scope 3 Yearly'!CK40+'Scope 3 Yearly'!CK26*'Scope 3 Yearly'!CK36)*'Yearly HC Ethylene'!Y4</f>
        <v>254.88286003526906</v>
      </c>
      <c r="CL23" s="44">
        <f>('Scope 3 Yearly'!$EE$186*'Scope 3 Yearly'!CL37*(1-'Scope 3 Yearly'!$B$197)+'Scope 3 Yearly'!CL30*'Scope 3 Yearly'!CL40+'Scope 3 Yearly'!CL26*'Scope 3 Yearly'!CL36)*'Yearly HC Ethylene'!Z4</f>
        <v>259.81090249688674</v>
      </c>
      <c r="CM23" s="44">
        <f>('Scope 3 Yearly'!$EE$186*'Scope 3 Yearly'!CM37*(1-'Scope 3 Yearly'!$B$197)+'Scope 3 Yearly'!CM30*'Scope 3 Yearly'!CM40+'Scope 3 Yearly'!CM26*'Scope 3 Yearly'!CM36)*'Yearly HC Ethylene'!AA4</f>
        <v>264.80526338218937</v>
      </c>
      <c r="CN23" s="44">
        <f>('Scope 3 Yearly'!$EE$186*'Scope 3 Yearly'!CN37*(1-'Scope 3 Yearly'!$B$197)+'Scope 3 Yearly'!CN30*'Scope 3 Yearly'!CN40+'Scope 3 Yearly'!CN26*'Scope 3 Yearly'!CN36)*'Yearly HC Ethylene'!AB4</f>
        <v>269.86645742280939</v>
      </c>
      <c r="CO23" s="44">
        <f>('Scope 3 Yearly'!$EE$186*'Scope 3 Yearly'!CO37*(1-'Scope 3 Yearly'!$B$197)+'Scope 3 Yearly'!CO30*'Scope 3 Yearly'!CO40+'Scope 3 Yearly'!CO26*'Scope 3 Yearly'!CO36)*'Yearly HC Ethylene'!AC4</f>
        <v>274.99499111788958</v>
      </c>
      <c r="CP23" s="44">
        <f>('Scope 3 Yearly'!$EE$186*'Scope 3 Yearly'!CP37*(1-'Scope 3 Yearly'!$B$197)+'Scope 3 Yearly'!CP30*'Scope 3 Yearly'!CP40+'Scope 3 Yearly'!CP26*'Scope 3 Yearly'!CP36)*'Yearly HC Ethylene'!AD4</f>
        <v>280.0426853507883</v>
      </c>
      <c r="CQ23" s="44">
        <f>('Scope 3 Yearly'!$EE$186*'Scope 3 Yearly'!CQ37*(1-'Scope 3 Yearly'!$B$197)+'Scope 3 Yearly'!CQ30*'Scope 3 Yearly'!CQ40+'Scope 3 Yearly'!CQ26*'Scope 3 Yearly'!CQ36)*'Yearly HC Ethylene'!AE4</f>
        <v>285.15359196253377</v>
      </c>
      <c r="CR23" s="44">
        <f>('Scope 3 Yearly'!$EE$186*'Scope 3 Yearly'!CR37*(1-'Scope 3 Yearly'!$B$197)+'Scope 3 Yearly'!CR30*'Scope 3 Yearly'!CR40+'Scope 3 Yearly'!CR26*'Scope 3 Yearly'!CR36)*'Yearly HC Ethylene'!AF4</f>
        <v>290.3281154906889</v>
      </c>
      <c r="CS23" s="44">
        <f>('Scope 3 Yearly'!$EE$186*'Scope 3 Yearly'!CS37*(1-'Scope 3 Yearly'!$B$197)+'Scope 3 Yearly'!CS30*'Scope 3 Yearly'!CS40+'Scope 3 Yearly'!CS26*'Scope 3 Yearly'!CS36)*'Yearly HC Ethylene'!AG4</f>
        <v>295.56665027925425</v>
      </c>
      <c r="CT23" s="44">
        <f>('Scope 3 Yearly'!$EE$186*'Scope 3 Yearly'!CT37*(1-'Scope 3 Yearly'!$B$197)+'Scope 3 Yearly'!CT30*'Scope 3 Yearly'!CT40+'Scope 3 Yearly'!CT26*'Scope 3 Yearly'!CT36)*'Yearly HC Ethylene'!AH4</f>
        <v>300.86957980848126</v>
      </c>
      <c r="CV23" s="44">
        <f>('Scope 3 Yearly'!$EE$186*'Scope 3 Yearly'!CV37*(1-'Scope 3 Yearly'!$B$197)+'Scope 3 Yearly'!CV30*'Scope 3 Yearly'!CV40+'Scope 3 Yearly'!CV26*'Scope 3 Yearly'!CV36)*'Yearly HC Ethylene'!D4</f>
        <v>142.12549467422048</v>
      </c>
      <c r="CW23" s="44">
        <f>('Scope 3 Yearly'!$EE$186*'Scope 3 Yearly'!CW37*(1-'Scope 3 Yearly'!$B$197)+'Scope 3 Yearly'!CW30*'Scope 3 Yearly'!CW40+'Scope 3 Yearly'!CW26*'Scope 3 Yearly'!CW36)*'Yearly HC Ethylene'!E4</f>
        <v>145.58922715379109</v>
      </c>
      <c r="CX23" s="44">
        <f>('Scope 3 Yearly'!$EE$186*'Scope 3 Yearly'!CX37*(1-'Scope 3 Yearly'!$B$197)+'Scope 3 Yearly'!CX30*'Scope 3 Yearly'!CX40+'Scope 3 Yearly'!CX26*'Scope 3 Yearly'!CX36)*'Yearly HC Ethylene'!F4</f>
        <v>149.23131628351666</v>
      </c>
      <c r="CY23" s="44">
        <f>('Scope 3 Yearly'!$EE$186*'Scope 3 Yearly'!CY37*(1-'Scope 3 Yearly'!$B$197)+'Scope 3 Yearly'!CY30*'Scope 3 Yearly'!CY40+'Scope 3 Yearly'!CY26*'Scope 3 Yearly'!CY36)*'Yearly HC Ethylene'!G4</f>
        <v>153.05828928938482</v>
      </c>
      <c r="CZ23" s="44">
        <f>('Scope 3 Yearly'!$EE$186*'Scope 3 Yearly'!CZ37*(1-'Scope 3 Yearly'!$B$197)+'Scope 3 Yearly'!CZ30*'Scope 3 Yearly'!CZ40+'Scope 3 Yearly'!CZ26*'Scope 3 Yearly'!CZ36)*'Yearly HC Ethylene'!H4</f>
        <v>157.0752292492418</v>
      </c>
      <c r="DA23" s="44">
        <f>('Scope 3 Yearly'!$EE$186*'Scope 3 Yearly'!DA37*(1-'Scope 3 Yearly'!$B$197)+'Scope 3 Yearly'!DA30*'Scope 3 Yearly'!DA40+'Scope 3 Yearly'!DA26*'Scope 3 Yearly'!DA36)*'Yearly HC Ethylene'!I4</f>
        <v>161.28393815631796</v>
      </c>
      <c r="DB23" s="44">
        <f>('Scope 3 Yearly'!$EE$186*'Scope 3 Yearly'!DB37*(1-'Scope 3 Yearly'!$B$197)+'Scope 3 Yearly'!DB30*'Scope 3 Yearly'!DB40+'Scope 3 Yearly'!DB26*'Scope 3 Yearly'!DB36)*'Yearly HC Ethylene'!J4</f>
        <v>165.28635227605827</v>
      </c>
      <c r="DC23" s="44">
        <f>('Scope 3 Yearly'!$EE$186*'Scope 3 Yearly'!DC37*(1-'Scope 3 Yearly'!$B$197)+'Scope 3 Yearly'!DC30*'Scope 3 Yearly'!DC40+'Scope 3 Yearly'!DC26*'Scope 3 Yearly'!DC36)*'Yearly HC Ethylene'!K4</f>
        <v>169.44006416448318</v>
      </c>
      <c r="DD23" s="44">
        <f>('Scope 3 Yearly'!$EE$186*'Scope 3 Yearly'!DD37*(1-'Scope 3 Yearly'!$B$197)+'Scope 3 Yearly'!DD30*'Scope 3 Yearly'!DD40+'Scope 3 Yearly'!DD26*'Scope 3 Yearly'!DD36)*'Yearly HC Ethylene'!L4</f>
        <v>173.70078117399359</v>
      </c>
      <c r="DE23" s="44">
        <f>('Scope 3 Yearly'!$EE$186*'Scope 3 Yearly'!DE37*(1-'Scope 3 Yearly'!$B$197)+'Scope 3 Yearly'!DE30*'Scope 3 Yearly'!DE40+'Scope 3 Yearly'!DE26*'Scope 3 Yearly'!DE36)*'Yearly HC Ethylene'!M4</f>
        <v>177.980647457712</v>
      </c>
      <c r="DF23" s="44">
        <f>('Scope 3 Yearly'!$EE$186*'Scope 3 Yearly'!DF37*(1-'Scope 3 Yearly'!$B$197)+'Scope 3 Yearly'!DF30*'Scope 3 Yearly'!DF40+'Scope 3 Yearly'!DF26*'Scope 3 Yearly'!DF36)*'Yearly HC Ethylene'!N4</f>
        <v>182.12144475719106</v>
      </c>
      <c r="DG23" s="44">
        <f>('Scope 3 Yearly'!$EE$186*'Scope 3 Yearly'!DG37*(1-'Scope 3 Yearly'!$B$197)+'Scope 3 Yearly'!DG30*'Scope 3 Yearly'!DG40+'Scope 3 Yearly'!DG26*'Scope 3 Yearly'!DG36)*'Yearly HC Ethylene'!O4</f>
        <v>183.14230149507776</v>
      </c>
      <c r="DH23" s="44">
        <f>('Scope 3 Yearly'!$EE$186*'Scope 3 Yearly'!DH37*(1-'Scope 3 Yearly'!$B$197)+'Scope 3 Yearly'!DH30*'Scope 3 Yearly'!DH40+'Scope 3 Yearly'!DH26*'Scope 3 Yearly'!DH36)*'Yearly HC Ethylene'!P4</f>
        <v>183.28663900469405</v>
      </c>
      <c r="DI23" s="44">
        <f>('Scope 3 Yearly'!$EE$186*'Scope 3 Yearly'!DI37*(1-'Scope 3 Yearly'!$B$197)+'Scope 3 Yearly'!DI30*'Scope 3 Yearly'!DI40+'Scope 3 Yearly'!DI26*'Scope 3 Yearly'!DI36)*'Yearly HC Ethylene'!Q4</f>
        <v>182.42258240642988</v>
      </c>
      <c r="DJ23" s="44">
        <f>('Scope 3 Yearly'!$EE$186*'Scope 3 Yearly'!DJ37*(1-'Scope 3 Yearly'!$B$197)+'Scope 3 Yearly'!DJ30*'Scope 3 Yearly'!DJ40+'Scope 3 Yearly'!DJ26*'Scope 3 Yearly'!DJ36)*'Yearly HC Ethylene'!R4</f>
        <v>180.01485902577926</v>
      </c>
      <c r="DK23" s="44">
        <f>('Scope 3 Yearly'!$EE$186*'Scope 3 Yearly'!DK37*(1-'Scope 3 Yearly'!$B$197)+'Scope 3 Yearly'!DK30*'Scope 3 Yearly'!DK40+'Scope 3 Yearly'!DK26*'Scope 3 Yearly'!DK36)*'Yearly HC Ethylene'!S4</f>
        <v>175.83702252084731</v>
      </c>
      <c r="DL23" s="44">
        <f>('Scope 3 Yearly'!$EE$186*'Scope 3 Yearly'!DL37*(1-'Scope 3 Yearly'!$B$197)+'Scope 3 Yearly'!DL30*'Scope 3 Yearly'!DL40+'Scope 3 Yearly'!DL26*'Scope 3 Yearly'!DL36)*'Yearly HC Ethylene'!T4</f>
        <v>169.83561955185473</v>
      </c>
      <c r="DM23" s="44">
        <f>('Scope 3 Yearly'!$EE$186*'Scope 3 Yearly'!DM37*(1-'Scope 3 Yearly'!$B$197)+'Scope 3 Yearly'!DM30*'Scope 3 Yearly'!DM40+'Scope 3 Yearly'!DM26*'Scope 3 Yearly'!DM36)*'Yearly HC Ethylene'!U4</f>
        <v>162.55551168175654</v>
      </c>
      <c r="DN23" s="44">
        <f>('Scope 3 Yearly'!$EE$186*'Scope 3 Yearly'!DN37*(1-'Scope 3 Yearly'!$B$197)+'Scope 3 Yearly'!DN30*'Scope 3 Yearly'!DN40+'Scope 3 Yearly'!DN26*'Scope 3 Yearly'!DN36)*'Yearly HC Ethylene'!V4</f>
        <v>154.62780448188681</v>
      </c>
      <c r="DO23" s="44">
        <f>('Scope 3 Yearly'!$EE$186*'Scope 3 Yearly'!DO37*(1-'Scope 3 Yearly'!$B$197)+'Scope 3 Yearly'!DO30*'Scope 3 Yearly'!DO40+'Scope 3 Yearly'!DO26*'Scope 3 Yearly'!DO36)*'Yearly HC Ethylene'!W4</f>
        <v>146.71414680100833</v>
      </c>
      <c r="DP23" s="44">
        <f>('Scope 3 Yearly'!$EE$186*'Scope 3 Yearly'!DP37*(1-'Scope 3 Yearly'!$B$197)+'Scope 3 Yearly'!DP30*'Scope 3 Yearly'!DP40+'Scope 3 Yearly'!DP26*'Scope 3 Yearly'!DP36)*'Yearly HC Ethylene'!X4</f>
        <v>139.34278869141582</v>
      </c>
      <c r="DQ23" s="44">
        <f>('Scope 3 Yearly'!$EE$186*'Scope 3 Yearly'!DQ37*(1-'Scope 3 Yearly'!$B$197)+'Scope 3 Yearly'!DQ30*'Scope 3 Yearly'!DQ40+'Scope 3 Yearly'!DQ26*'Scope 3 Yearly'!DQ36)*'Yearly HC Ethylene'!Y4</f>
        <v>132.39033039644957</v>
      </c>
      <c r="DR23" s="44">
        <f>('Scope 3 Yearly'!$EE$186*'Scope 3 Yearly'!DR37*(1-'Scope 3 Yearly'!$B$197)+'Scope 3 Yearly'!DR30*'Scope 3 Yearly'!DR40+'Scope 3 Yearly'!DR26*'Scope 3 Yearly'!DR36)*'Yearly HC Ethylene'!Z4</f>
        <v>126.05633534906173</v>
      </c>
      <c r="DS23" s="44">
        <f>('Scope 3 Yearly'!$EE$186*'Scope 3 Yearly'!DS37*(1-'Scope 3 Yearly'!$B$197)+'Scope 3 Yearly'!DS30*'Scope 3 Yearly'!DS40+'Scope 3 Yearly'!DS26*'Scope 3 Yearly'!DS36)*'Yearly HC Ethylene'!AA4</f>
        <v>120.81054785192825</v>
      </c>
      <c r="DT23" s="44">
        <f>('Scope 3 Yearly'!$EE$186*'Scope 3 Yearly'!DT37*(1-'Scope 3 Yearly'!$B$197)+'Scope 3 Yearly'!DT30*'Scope 3 Yearly'!DT40+'Scope 3 Yearly'!DT26*'Scope 3 Yearly'!DT36)*'Yearly HC Ethylene'!AB4</f>
        <v>116.53770848251439</v>
      </c>
      <c r="DU23" s="44">
        <f>('Scope 3 Yearly'!$EE$186*'Scope 3 Yearly'!DU37*(1-'Scope 3 Yearly'!$B$197)+'Scope 3 Yearly'!DU30*'Scope 3 Yearly'!DU40+'Scope 3 Yearly'!DU26*'Scope 3 Yearly'!DU36)*'Yearly HC Ethylene'!AC4</f>
        <v>113.08810785506002</v>
      </c>
      <c r="DV23" s="44">
        <f>('Scope 3 Yearly'!$EE$186*'Scope 3 Yearly'!DV37*(1-'Scope 3 Yearly'!$B$197)+'Scope 3 Yearly'!DV30*'Scope 3 Yearly'!DV40+'Scope 3 Yearly'!DV26*'Scope 3 Yearly'!DV36)*'Yearly HC Ethylene'!AD4</f>
        <v>110.2690388623712</v>
      </c>
      <c r="DW23" s="44">
        <f>('Scope 3 Yearly'!$EE$186*'Scope 3 Yearly'!DW37*(1-'Scope 3 Yearly'!$B$197)+'Scope 3 Yearly'!DW30*'Scope 3 Yearly'!DW40+'Scope 3 Yearly'!DW26*'Scope 3 Yearly'!DW36)*'Yearly HC Ethylene'!AE4</f>
        <v>108.00588490728866</v>
      </c>
      <c r="DX23" s="44">
        <f>('Scope 3 Yearly'!$EE$186*'Scope 3 Yearly'!DX37*(1-'Scope 3 Yearly'!$B$197)+'Scope 3 Yearly'!DX30*'Scope 3 Yearly'!DX40+'Scope 3 Yearly'!DX26*'Scope 3 Yearly'!DX36)*'Yearly HC Ethylene'!AF4</f>
        <v>106.19321817247895</v>
      </c>
      <c r="DY23" s="44">
        <f>('Scope 3 Yearly'!$EE$186*'Scope 3 Yearly'!DY37*(1-'Scope 3 Yearly'!$B$197)+'Scope 3 Yearly'!DY30*'Scope 3 Yearly'!DY40+'Scope 3 Yearly'!DY26*'Scope 3 Yearly'!DY36)*'Yearly HC Ethylene'!AG4</f>
        <v>104.74554822908834</v>
      </c>
      <c r="DZ23" s="44">
        <f>('Scope 3 Yearly'!$EE$186*'Scope 3 Yearly'!DZ37*(1-'Scope 3 Yearly'!$B$197)+'Scope 3 Yearly'!DZ30*'Scope 3 Yearly'!DZ40+'Scope 3 Yearly'!DZ26*'Scope 3 Yearly'!DZ36)*'Yearly HC Ethylene'!AH4</f>
        <v>103.59259552995312</v>
      </c>
    </row>
    <row r="24" spans="1:165" x14ac:dyDescent="0.2">
      <c r="A24" t="s">
        <v>5</v>
      </c>
      <c r="C24" s="54" t="s">
        <v>415</v>
      </c>
      <c r="D24" s="44">
        <f>('Scope 3 Yearly'!$EE$187*'Scope 3 Yearly'!D60*(1-'Scope 3 Yearly'!$B$197)+'Scope 3 Yearly'!D49*'Scope 3 Yearly'!D59+'Scope 3 Yearly'!D53*'Scope 3 Yearly'!D63)*'Yearly HC Propylene'!D71</f>
        <v>106.94204213525619</v>
      </c>
      <c r="E24" s="44">
        <f>('Scope 3 Yearly'!$EE$187*'Scope 3 Yearly'!E60*(1-'Scope 3 Yearly'!$B$197)+'Scope 3 Yearly'!E49*'Scope 3 Yearly'!E59+'Scope 3 Yearly'!E53*'Scope 3 Yearly'!E63)*'Yearly HC Propylene'!E71</f>
        <v>107.86869192265597</v>
      </c>
      <c r="F24" s="44">
        <f>('Scope 3 Yearly'!$EE$187*'Scope 3 Yearly'!F60*(1-'Scope 3 Yearly'!$B$197)+'Scope 3 Yearly'!F49*'Scope 3 Yearly'!F59+'Scope 3 Yearly'!F53*'Scope 3 Yearly'!F63)*'Yearly HC Propylene'!F71</f>
        <v>108.82922567076801</v>
      </c>
      <c r="G24" s="44">
        <f>('Scope 3 Yearly'!$EE$187*'Scope 3 Yearly'!G60*(1-'Scope 3 Yearly'!$B$197)+'Scope 3 Yearly'!G49*'Scope 3 Yearly'!G59+'Scope 3 Yearly'!G53*'Scope 3 Yearly'!G63)*'Yearly HC Propylene'!G71</f>
        <v>109.82513808310505</v>
      </c>
      <c r="H24" s="44">
        <f>('Scope 3 Yearly'!$EE$187*'Scope 3 Yearly'!H60*(1-'Scope 3 Yearly'!$B$197)+'Scope 3 Yearly'!H49*'Scope 3 Yearly'!H59+'Scope 3 Yearly'!H53*'Scope 3 Yearly'!H63)*'Yearly HC Propylene'!H71</f>
        <v>110.85687476264944</v>
      </c>
      <c r="I24" s="44">
        <f>('Scope 3 Yearly'!$EE$187*'Scope 3 Yearly'!I60*(1-'Scope 3 Yearly'!$B$197)+'Scope 3 Yearly'!I49*'Scope 3 Yearly'!I59+'Scope 3 Yearly'!I53*'Scope 3 Yearly'!I63)*'Yearly HC Propylene'!I71</f>
        <v>111.92255297327509</v>
      </c>
      <c r="J24" s="44">
        <f>('Scope 3 Yearly'!$EE$187*'Scope 3 Yearly'!J60*(1-'Scope 3 Yearly'!$B$197)+'Scope 3 Yearly'!J49*'Scope 3 Yearly'!J59+'Scope 3 Yearly'!J53*'Scope 3 Yearly'!J63)*'Yearly HC Propylene'!J71</f>
        <v>112.80706319787548</v>
      </c>
      <c r="K24" s="44">
        <f>('Scope 3 Yearly'!$EE$187*'Scope 3 Yearly'!K60*(1-'Scope 3 Yearly'!$B$197)+'Scope 3 Yearly'!K49*'Scope 3 Yearly'!K59+'Scope 3 Yearly'!K53*'Scope 3 Yearly'!K63)*'Yearly HC Propylene'!K71</f>
        <v>113.67726407481956</v>
      </c>
      <c r="L24" s="44">
        <f>('Scope 3 Yearly'!$EE$187*'Scope 3 Yearly'!L60*(1-'Scope 3 Yearly'!$B$197)+'Scope 3 Yearly'!L49*'Scope 3 Yearly'!L59+'Scope 3 Yearly'!L53*'Scope 3 Yearly'!L63)*'Yearly HC Propylene'!L71</f>
        <v>114.49685914128041</v>
      </c>
      <c r="M24" s="44">
        <f>('Scope 3 Yearly'!$EE$187*'Scope 3 Yearly'!M60*(1-'Scope 3 Yearly'!$B$197)+'Scope 3 Yearly'!M49*'Scope 3 Yearly'!M59+'Scope 3 Yearly'!M53*'Scope 3 Yearly'!M63)*'Yearly HC Propylene'!M71</f>
        <v>115.20159991470938</v>
      </c>
      <c r="N24" s="44">
        <f>('Scope 3 Yearly'!$EE$187*'Scope 3 Yearly'!N60*(1-'Scope 3 Yearly'!$B$197)+'Scope 3 Yearly'!N49*'Scope 3 Yearly'!N59+'Scope 3 Yearly'!N53*'Scope 3 Yearly'!N63)*'Yearly HC Propylene'!N71</f>
        <v>115.6835288716227</v>
      </c>
      <c r="O24" s="44">
        <f>('Scope 3 Yearly'!$EE$187*'Scope 3 Yearly'!O60*(1-'Scope 3 Yearly'!$B$197)+'Scope 3 Yearly'!O49*'Scope 3 Yearly'!O59+'Scope 3 Yearly'!O53*'Scope 3 Yearly'!O63)*'Yearly HC Propylene'!O71</f>
        <v>113.48515733617819</v>
      </c>
      <c r="P24" s="44">
        <f>('Scope 3 Yearly'!$EE$187*'Scope 3 Yearly'!P60*(1-'Scope 3 Yearly'!$B$197)+'Scope 3 Yearly'!P49*'Scope 3 Yearly'!P59+'Scope 3 Yearly'!P53*'Scope 3 Yearly'!P63)*'Yearly HC Propylene'!P71</f>
        <v>110.7152077924454</v>
      </c>
      <c r="Q24" s="44">
        <f>('Scope 3 Yearly'!$EE$187*'Scope 3 Yearly'!Q60*(1-'Scope 3 Yearly'!$B$197)+'Scope 3 Yearly'!Q49*'Scope 3 Yearly'!Q59+'Scope 3 Yearly'!Q53*'Scope 3 Yearly'!Q63)*'Yearly HC Propylene'!Q71</f>
        <v>107.11404694500524</v>
      </c>
      <c r="R24" s="44">
        <f>('Scope 3 Yearly'!$EE$187*'Scope 3 Yearly'!R60*(1-'Scope 3 Yearly'!$B$197)+'Scope 3 Yearly'!R49*'Scope 3 Yearly'!R59+'Scope 3 Yearly'!R53*'Scope 3 Yearly'!R63)*'Yearly HC Propylene'!R71</f>
        <v>102.55273977461705</v>
      </c>
      <c r="S24" s="44">
        <f>('Scope 3 Yearly'!$EE$187*'Scope 3 Yearly'!S60*(1-'Scope 3 Yearly'!$B$197)+'Scope 3 Yearly'!S49*'Scope 3 Yearly'!S59+'Scope 3 Yearly'!S53*'Scope 3 Yearly'!S63)*'Yearly HC Propylene'!S71</f>
        <v>97.007382210254605</v>
      </c>
      <c r="T24" s="44">
        <f>('Scope 3 Yearly'!$EE$187*'Scope 3 Yearly'!T60*(1-'Scope 3 Yearly'!$B$197)+'Scope 3 Yearly'!T49*'Scope 3 Yearly'!T59+'Scope 3 Yearly'!T53*'Scope 3 Yearly'!T63)*'Yearly HC Propylene'!T71</f>
        <v>90.581719410893911</v>
      </c>
      <c r="U24" s="44">
        <f>('Scope 3 Yearly'!$EE$187*'Scope 3 Yearly'!U60*(1-'Scope 3 Yearly'!$B$197)+'Scope 3 Yearly'!U49*'Scope 3 Yearly'!U59+'Scope 3 Yearly'!U53*'Scope 3 Yearly'!U63)*'Yearly HC Propylene'!U71</f>
        <v>83.666541468919831</v>
      </c>
      <c r="V24" s="44">
        <f>('Scope 3 Yearly'!$EE$187*'Scope 3 Yearly'!V60*(1-'Scope 3 Yearly'!$B$197)+'Scope 3 Yearly'!V49*'Scope 3 Yearly'!V59+'Scope 3 Yearly'!V53*'Scope 3 Yearly'!V63)*'Yearly HC Propylene'!V71</f>
        <v>76.68614211751094</v>
      </c>
      <c r="W24" s="44">
        <f>('Scope 3 Yearly'!$EE$187*'Scope 3 Yearly'!W60*(1-'Scope 3 Yearly'!$B$197)+'Scope 3 Yearly'!W49*'Scope 3 Yearly'!W59+'Scope 3 Yearly'!W53*'Scope 3 Yearly'!W63)*'Yearly HC Propylene'!W71</f>
        <v>70.019969417307266</v>
      </c>
      <c r="X24" s="44">
        <f>('Scope 3 Yearly'!$EE$187*'Scope 3 Yearly'!X60*(1-'Scope 3 Yearly'!$B$197)+'Scope 3 Yearly'!X49*'Scope 3 Yearly'!X59+'Scope 3 Yearly'!X53*'Scope 3 Yearly'!X63)*'Yearly HC Propylene'!X71</f>
        <v>63.921536731433818</v>
      </c>
      <c r="Y24" s="44">
        <f>('Scope 3 Yearly'!$EE$187*'Scope 3 Yearly'!Y60*(1-'Scope 3 Yearly'!$B$197)+'Scope 3 Yearly'!Y49*'Scope 3 Yearly'!Y59+'Scope 3 Yearly'!Y53*'Scope 3 Yearly'!Y63)*'Yearly HC Propylene'!Y71</f>
        <v>57.377080282505155</v>
      </c>
      <c r="Z24" s="44">
        <f>('Scope 3 Yearly'!$EE$187*'Scope 3 Yearly'!Z60*(1-'Scope 3 Yearly'!$B$197)+'Scope 3 Yearly'!Z49*'Scope 3 Yearly'!Z59+'Scope 3 Yearly'!Z53*'Scope 3 Yearly'!Z63)*'Yearly HC Propylene'!Z71</f>
        <v>51.771008451027349</v>
      </c>
      <c r="AA24" s="44">
        <f>('Scope 3 Yearly'!$EE$187*'Scope 3 Yearly'!AA60*(1-'Scope 3 Yearly'!$B$197)+'Scope 3 Yearly'!AA49*'Scope 3 Yearly'!AA59+'Scope 3 Yearly'!AA53*'Scope 3 Yearly'!AA63)*'Yearly HC Propylene'!AA71</f>
        <v>46.902770502292299</v>
      </c>
      <c r="AB24" s="44">
        <f>('Scope 3 Yearly'!$EE$187*'Scope 3 Yearly'!AB60*(1-'Scope 3 Yearly'!$B$197)+'Scope 3 Yearly'!AB49*'Scope 3 Yearly'!AB59+'Scope 3 Yearly'!AB53*'Scope 3 Yearly'!AB63)*'Yearly HC Propylene'!AB71</f>
        <v>42.632222530251319</v>
      </c>
      <c r="AC24" s="44">
        <f>('Scope 3 Yearly'!$EE$187*'Scope 3 Yearly'!AC60*(1-'Scope 3 Yearly'!$B$197)+'Scope 3 Yearly'!AC49*'Scope 3 Yearly'!AC59+'Scope 3 Yearly'!AC53*'Scope 3 Yearly'!AC63)*'Yearly HC Propylene'!AC71</f>
        <v>38.845815248118072</v>
      </c>
      <c r="AD24" s="44">
        <f>('Scope 3 Yearly'!$EE$187*'Scope 3 Yearly'!AD60*(1-'Scope 3 Yearly'!$B$197)+'Scope 3 Yearly'!AD49*'Scope 3 Yearly'!AD59+'Scope 3 Yearly'!AD53*'Scope 3 Yearly'!AD63)*'Yearly HC Propylene'!AD71</f>
        <v>35.428055687275048</v>
      </c>
      <c r="AE24" s="44">
        <f>('Scope 3 Yearly'!$EE$187*'Scope 3 Yearly'!AE60*(1-'Scope 3 Yearly'!$B$197)+'Scope 3 Yearly'!AE49*'Scope 3 Yearly'!AE59+'Scope 3 Yearly'!AE53*'Scope 3 Yearly'!AE63)*'Yearly HC Propylene'!AE71</f>
        <v>32.321074265979085</v>
      </c>
      <c r="AF24" s="44">
        <f>('Scope 3 Yearly'!$EE$187*'Scope 3 Yearly'!AF60*(1-'Scope 3 Yearly'!$B$197)+'Scope 3 Yearly'!AF49*'Scope 3 Yearly'!AF59+'Scope 3 Yearly'!AF53*'Scope 3 Yearly'!AF63)*'Yearly HC Propylene'!AF71</f>
        <v>29.765429784229202</v>
      </c>
      <c r="AG24" s="44">
        <f>('Scope 3 Yearly'!$EE$187*'Scope 3 Yearly'!AG60*(1-'Scope 3 Yearly'!$B$197)+'Scope 3 Yearly'!AG49*'Scope 3 Yearly'!AG59+'Scope 3 Yearly'!AG53*'Scope 3 Yearly'!AG63)*'Yearly HC Propylene'!AG71</f>
        <v>27.392116373831005</v>
      </c>
      <c r="AH24" s="44">
        <f>('Scope 3 Yearly'!$EE$187*'Scope 3 Yearly'!AH60*(1-'Scope 3 Yearly'!$B$197)+'Scope 3 Yearly'!AH49*'Scope 3 Yearly'!AH59+'Scope 3 Yearly'!AH53*'Scope 3 Yearly'!AH63)*'Yearly HC Propylene'!AH71</f>
        <v>24.231334151558151</v>
      </c>
      <c r="AI24" s="44"/>
      <c r="AJ24" s="44">
        <f>('Scope 3 Yearly'!$EE$187*'Scope 3 Yearly'!AJ60*(1-'Scope 3 Yearly'!$B$197)+'Scope 3 Yearly'!AJ49*'Scope 3 Yearly'!AJ59+'Scope 3 Yearly'!AJ53*'Scope 3 Yearly'!AJ63)*'Yearly LC Propylene'!D71</f>
        <v>106.94207194248507</v>
      </c>
      <c r="AK24" s="44">
        <f>('Scope 3 Yearly'!$EE$187*'Scope 3 Yearly'!AK60*(1-'Scope 3 Yearly'!$B$197)+'Scope 3 Yearly'!AK49*'Scope 3 Yearly'!AK59+'Scope 3 Yearly'!AK53*'Scope 3 Yearly'!AK63)*'Yearly LC Propylene'!E71</f>
        <v>108.19146045166086</v>
      </c>
      <c r="AL24" s="44">
        <f>('Scope 3 Yearly'!$EE$187*'Scope 3 Yearly'!AL60*(1-'Scope 3 Yearly'!$B$197)+'Scope 3 Yearly'!AL49*'Scope 3 Yearly'!AL59+'Scope 3 Yearly'!AL53*'Scope 3 Yearly'!AL63)*'Yearly LC Propylene'!F71</f>
        <v>109.48940451634219</v>
      </c>
      <c r="AM24" s="44">
        <f>('Scope 3 Yearly'!$EE$187*'Scope 3 Yearly'!AM60*(1-'Scope 3 Yearly'!$B$197)+'Scope 3 Yearly'!AM49*'Scope 3 Yearly'!AM59+'Scope 3 Yearly'!AM53*'Scope 3 Yearly'!AM63)*'Yearly LC Propylene'!G71</f>
        <v>110.83828039675153</v>
      </c>
      <c r="AN24" s="44">
        <f>('Scope 3 Yearly'!$EE$187*'Scope 3 Yearly'!AN60*(1-'Scope 3 Yearly'!$B$197)+'Scope 3 Yearly'!AN49*'Scope 3 Yearly'!AN59+'Scope 3 Yearly'!AN53*'Scope 3 Yearly'!AN63)*'Yearly LC Propylene'!H71</f>
        <v>112.23947081292305</v>
      </c>
      <c r="AO24" s="44">
        <f>('Scope 3 Yearly'!$EE$187*'Scope 3 Yearly'!AO60*(1-'Scope 3 Yearly'!$B$197)+'Scope 3 Yearly'!AO49*'Scope 3 Yearly'!AO59+'Scope 3 Yearly'!AO53*'Scope 3 Yearly'!AO63)*'Yearly LC Propylene'!I71</f>
        <v>113.69209696644705</v>
      </c>
      <c r="AP24" s="44">
        <f>('Scope 3 Yearly'!$EE$187*'Scope 3 Yearly'!AP60*(1-'Scope 3 Yearly'!$B$197)+'Scope 3 Yearly'!AP49*'Scope 3 Yearly'!AP59+'Scope 3 Yearly'!AP53*'Scope 3 Yearly'!AP63)*'Yearly LC Propylene'!J71</f>
        <v>114.99046731973885</v>
      </c>
      <c r="AQ24" s="44">
        <f>('Scope 3 Yearly'!$EE$187*'Scope 3 Yearly'!AQ60*(1-'Scope 3 Yearly'!$B$197)+'Scope 3 Yearly'!AQ49*'Scope 3 Yearly'!AQ59+'Scope 3 Yearly'!AQ53*'Scope 3 Yearly'!AQ63)*'Yearly LC Propylene'!K71</f>
        <v>116.29453133111143</v>
      </c>
      <c r="AR24" s="44">
        <f>('Scope 3 Yearly'!$EE$187*'Scope 3 Yearly'!AR60*(1-'Scope 3 Yearly'!$B$197)+'Scope 3 Yearly'!AR49*'Scope 3 Yearly'!AR59+'Scope 3 Yearly'!AR53*'Scope 3 Yearly'!AR63)*'Yearly LC Propylene'!L71</f>
        <v>117.56920875514643</v>
      </c>
      <c r="AS24" s="44">
        <f>('Scope 3 Yearly'!$EE$187*'Scope 3 Yearly'!AS60*(1-'Scope 3 Yearly'!$B$197)+'Scope 3 Yearly'!AS49*'Scope 3 Yearly'!AS59+'Scope 3 Yearly'!AS53*'Scope 3 Yearly'!AS63)*'Yearly LC Propylene'!M71</f>
        <v>118.751348009173</v>
      </c>
      <c r="AT24" s="44">
        <f>('Scope 3 Yearly'!$EE$187*'Scope 3 Yearly'!AT60*(1-'Scope 3 Yearly'!$B$197)+'Scope 3 Yearly'!AT49*'Scope 3 Yearly'!AT59+'Scope 3 Yearly'!AT53*'Scope 3 Yearly'!AT63)*'Yearly LC Propylene'!N71</f>
        <v>119.73374341970604</v>
      </c>
      <c r="AU24" s="44">
        <f>('Scope 3 Yearly'!$EE$187*'Scope 3 Yearly'!AU60*(1-'Scope 3 Yearly'!$B$197)+'Scope 3 Yearly'!AU49*'Scope 3 Yearly'!AU59+'Scope 3 Yearly'!AU53*'Scope 3 Yearly'!AU63)*'Yearly LC Propylene'!O71</f>
        <v>118.15217131167756</v>
      </c>
      <c r="AV24" s="44">
        <f>('Scope 3 Yearly'!$EE$187*'Scope 3 Yearly'!AV60*(1-'Scope 3 Yearly'!$B$197)+'Scope 3 Yearly'!AV49*'Scope 3 Yearly'!AV59+'Scope 3 Yearly'!AV53*'Scope 3 Yearly'!AV63)*'Yearly LC Propylene'!P71</f>
        <v>115.99825479825964</v>
      </c>
      <c r="AW24" s="44">
        <f>('Scope 3 Yearly'!$EE$187*'Scope 3 Yearly'!AW60*(1-'Scope 3 Yearly'!$B$197)+'Scope 3 Yearly'!AW49*'Scope 3 Yearly'!AW59+'Scope 3 Yearly'!AW53*'Scope 3 Yearly'!AW63)*'Yearly LC Propylene'!Q71</f>
        <v>113.01079639587763</v>
      </c>
      <c r="AX24" s="44">
        <f>('Scope 3 Yearly'!$EE$187*'Scope 3 Yearly'!AX60*(1-'Scope 3 Yearly'!$B$197)+'Scope 3 Yearly'!AX49*'Scope 3 Yearly'!AX59+'Scope 3 Yearly'!AX53*'Scope 3 Yearly'!AX63)*'Yearly LC Propylene'!R71</f>
        <v>109.02604588001658</v>
      </c>
      <c r="AY24" s="44">
        <f>('Scope 3 Yearly'!$EE$187*'Scope 3 Yearly'!AY60*(1-'Scope 3 Yearly'!$B$197)+'Scope 3 Yearly'!AY49*'Scope 3 Yearly'!AY59+'Scope 3 Yearly'!AY53*'Scope 3 Yearly'!AY63)*'Yearly LC Propylene'!S71</f>
        <v>103.98793935692846</v>
      </c>
      <c r="AZ24" s="44">
        <f>('Scope 3 Yearly'!$EE$187*'Scope 3 Yearly'!AZ60*(1-'Scope 3 Yearly'!$B$197)+'Scope 3 Yearly'!AZ49*'Scope 3 Yearly'!AZ59+'Scope 3 Yearly'!AZ53*'Scope 3 Yearly'!AZ63)*'Yearly LC Propylene'!T71</f>
        <v>97.966896220331193</v>
      </c>
      <c r="BA24" s="44">
        <f>('Scope 3 Yearly'!$EE$187*'Scope 3 Yearly'!BA60*(1-'Scope 3 Yearly'!$B$197)+'Scope 3 Yearly'!BA49*'Scope 3 Yearly'!BA59+'Scope 3 Yearly'!BA53*'Scope 3 Yearly'!BA63)*'Yearly LC Propylene'!U71</f>
        <v>91.339108521326494</v>
      </c>
      <c r="BB24" s="44">
        <f>('Scope 3 Yearly'!$EE$187*'Scope 3 Yearly'!BB60*(1-'Scope 3 Yearly'!$B$197)+'Scope 3 Yearly'!BB49*'Scope 3 Yearly'!BB59+'Scope 3 Yearly'!BB53*'Scope 3 Yearly'!BB63)*'Yearly LC Propylene'!V71</f>
        <v>84.532715829688911</v>
      </c>
      <c r="BC24" s="44">
        <f>('Scope 3 Yearly'!$EE$187*'Scope 3 Yearly'!BC60*(1-'Scope 3 Yearly'!$B$197)+'Scope 3 Yearly'!BC49*'Scope 3 Yearly'!BC59+'Scope 3 Yearly'!BC53*'Scope 3 Yearly'!BC63)*'Yearly LC Propylene'!W71</f>
        <v>77.950281269693718</v>
      </c>
      <c r="BD24" s="44">
        <f>('Scope 3 Yearly'!$EE$187*'Scope 3 Yearly'!BD60*(1-'Scope 3 Yearly'!$B$197)+'Scope 3 Yearly'!BD49*'Scope 3 Yearly'!BD59+'Scope 3 Yearly'!BD53*'Scope 3 Yearly'!BD63)*'Yearly LC Propylene'!X71</f>
        <v>71.878114985250022</v>
      </c>
      <c r="BE24" s="44">
        <f>('Scope 3 Yearly'!$EE$187*'Scope 3 Yearly'!BE60*(1-'Scope 3 Yearly'!$B$197)+'Scope 3 Yearly'!BE49*'Scope 3 Yearly'!BE59+'Scope 3 Yearly'!BE53*'Scope 3 Yearly'!BE63)*'Yearly LC Propylene'!Y71</f>
        <v>65.43840157897246</v>
      </c>
      <c r="BF24" s="44">
        <f>('Scope 3 Yearly'!$EE$187*'Scope 3 Yearly'!BF60*(1-'Scope 3 Yearly'!$B$197)+'Scope 3 Yearly'!BF49*'Scope 3 Yearly'!BF59+'Scope 3 Yearly'!BF53*'Scope 3 Yearly'!BF63)*'Yearly LC Propylene'!Z71</f>
        <v>59.882512136773194</v>
      </c>
      <c r="BG24" s="44">
        <f>('Scope 3 Yearly'!$EE$187*'Scope 3 Yearly'!BG60*(1-'Scope 3 Yearly'!$B$197)+'Scope 3 Yearly'!BG49*'Scope 3 Yearly'!BG59+'Scope 3 Yearly'!BG53*'Scope 3 Yearly'!BG63)*'Yearly LC Propylene'!AA71</f>
        <v>55.070192720317053</v>
      </c>
      <c r="BH24" s="44">
        <f>('Scope 3 Yearly'!$EE$187*'Scope 3 Yearly'!BH60*(1-'Scope 3 Yearly'!$B$197)+'Scope 3 Yearly'!BH49*'Scope 3 Yearly'!BH59+'Scope 3 Yearly'!BH53*'Scope 3 Yearly'!BH63)*'Yearly LC Propylene'!AB71</f>
        <v>50.859932509164629</v>
      </c>
      <c r="BI24" s="44">
        <f>('Scope 3 Yearly'!$EE$187*'Scope 3 Yearly'!BI60*(1-'Scope 3 Yearly'!$B$197)+'Scope 3 Yearly'!BI49*'Scope 3 Yearly'!BI59+'Scope 3 Yearly'!BI53*'Scope 3 Yearly'!BI63)*'Yearly LC Propylene'!AC71</f>
        <v>47.140698789216387</v>
      </c>
      <c r="BJ24" s="44">
        <f>('Scope 3 Yearly'!$EE$187*'Scope 3 Yearly'!BJ60*(1-'Scope 3 Yearly'!$B$197)+'Scope 3 Yearly'!BJ49*'Scope 3 Yearly'!BJ59+'Scope 3 Yearly'!BJ53*'Scope 3 Yearly'!BJ63)*'Yearly LC Propylene'!AD71</f>
        <v>43.793756837528271</v>
      </c>
      <c r="BK24" s="44">
        <f>('Scope 3 Yearly'!$EE$187*'Scope 3 Yearly'!BK60*(1-'Scope 3 Yearly'!$B$197)+'Scope 3 Yearly'!BK49*'Scope 3 Yearly'!BK59+'Scope 3 Yearly'!BK53*'Scope 3 Yearly'!BK63)*'Yearly LC Propylene'!AE71</f>
        <v>40.757255153341447</v>
      </c>
      <c r="BL24" s="44">
        <f>('Scope 3 Yearly'!$EE$187*'Scope 3 Yearly'!BL60*(1-'Scope 3 Yearly'!$B$197)+'Scope 3 Yearly'!BL49*'Scope 3 Yearly'!BL59+'Scope 3 Yearly'!BL53*'Scope 3 Yearly'!BL63)*'Yearly LC Propylene'!AF71</f>
        <v>37.966656787637305</v>
      </c>
      <c r="BM24" s="44">
        <f>('Scope 3 Yearly'!$EE$187*'Scope 3 Yearly'!BM60*(1-'Scope 3 Yearly'!$B$197)+'Scope 3 Yearly'!BM49*'Scope 3 Yearly'!BM59+'Scope 3 Yearly'!BM53*'Scope 3 Yearly'!BM63)*'Yearly LC Propylene'!AG71</f>
        <v>35.374487246198093</v>
      </c>
      <c r="BN24" s="44">
        <f>('Scope 3 Yearly'!$EE$187*'Scope 3 Yearly'!BN60*(1-'Scope 3 Yearly'!$B$197)+'Scope 3 Yearly'!BN49*'Scope 3 Yearly'!BN59+'Scope 3 Yearly'!BN53*'Scope 3 Yearly'!BN63)*'Yearly LC Propylene'!AH71</f>
        <v>32.94800945866421</v>
      </c>
      <c r="BO24" s="44"/>
      <c r="BP24" s="44">
        <f>('Scope 3 Yearly'!$EE$187*'Scope 3 Yearly'!BP60*(1-'Scope 3 Yearly'!$B$197)+'Scope 3 Yearly'!BP49*'Scope 3 Yearly'!BP59+'Scope 3 Yearly'!BP53*'Scope 3 Yearly'!BP63)*'Yearly HC Propylene'!D4</f>
        <v>106.94308818518198</v>
      </c>
      <c r="BQ24" s="44">
        <f>('Scope 3 Yearly'!$EE$187*'Scope 3 Yearly'!BQ60*(1-'Scope 3 Yearly'!$B$197)+'Scope 3 Yearly'!BQ49*'Scope 3 Yearly'!BQ59+'Scope 3 Yearly'!BQ53*'Scope 3 Yearly'!BQ63)*'Yearly HC Propylene'!E4</f>
        <v>110.46070856035622</v>
      </c>
      <c r="BR24" s="44">
        <f>('Scope 3 Yearly'!$EE$187*'Scope 3 Yearly'!BR60*(1-'Scope 3 Yearly'!$B$197)+'Scope 3 Yearly'!BR49*'Scope 3 Yearly'!BR59+'Scope 3 Yearly'!BR53*'Scope 3 Yearly'!BR63)*'Yearly HC Propylene'!F4</f>
        <v>114.0603338926373</v>
      </c>
      <c r="BS24" s="44">
        <f>('Scope 3 Yearly'!$EE$187*'Scope 3 Yearly'!BS60*(1-'Scope 3 Yearly'!$B$197)+'Scope 3 Yearly'!BS49*'Scope 3 Yearly'!BS59+'Scope 3 Yearly'!BS53*'Scope 3 Yearly'!BS63)*'Yearly HC Propylene'!G4</f>
        <v>117.74361685111244</v>
      </c>
      <c r="BT24" s="44">
        <f>('Scope 3 Yearly'!$EE$187*'Scope 3 Yearly'!BT60*(1-'Scope 3 Yearly'!$B$197)+'Scope 3 Yearly'!BT49*'Scope 3 Yearly'!BT59+'Scope 3 Yearly'!BT53*'Scope 3 Yearly'!BT63)*'Yearly HC Propylene'!H4</f>
        <v>121.51212291555412</v>
      </c>
      <c r="BU24" s="44">
        <f>('Scope 3 Yearly'!$EE$187*'Scope 3 Yearly'!BU60*(1-'Scope 3 Yearly'!$B$197)+'Scope 3 Yearly'!BU49*'Scope 3 Yearly'!BU59+'Scope 3 Yearly'!BU53*'Scope 3 Yearly'!BU63)*'Yearly HC Propylene'!I4</f>
        <v>125.36731876211402</v>
      </c>
      <c r="BV24" s="44">
        <f>('Scope 3 Yearly'!$EE$187*'Scope 3 Yearly'!BV60*(1-'Scope 3 Yearly'!$B$197)+'Scope 3 Yearly'!BV49*'Scope 3 Yearly'!BV59+'Scope 3 Yearly'!BV53*'Scope 3 Yearly'!BV63)*'Yearly HC Propylene'!J4</f>
        <v>129.09846290324785</v>
      </c>
      <c r="BW24" s="44">
        <f>('Scope 3 Yearly'!$EE$187*'Scope 3 Yearly'!BW60*(1-'Scope 3 Yearly'!$B$197)+'Scope 3 Yearly'!BW49*'Scope 3 Yearly'!BW59+'Scope 3 Yearly'!BW53*'Scope 3 Yearly'!BW63)*'Yearly HC Propylene'!K4</f>
        <v>132.92087275925107</v>
      </c>
      <c r="BX24" s="44">
        <f>('Scope 3 Yearly'!$EE$187*'Scope 3 Yearly'!BX60*(1-'Scope 3 Yearly'!$B$197)+'Scope 3 Yearly'!BX49*'Scope 3 Yearly'!BX59+'Scope 3 Yearly'!BX53*'Scope 3 Yearly'!BX63)*'Yearly HC Propylene'!L4</f>
        <v>136.83651420184339</v>
      </c>
      <c r="BY24" s="44">
        <f>('Scope 3 Yearly'!$EE$187*'Scope 3 Yearly'!BY60*(1-'Scope 3 Yearly'!$B$197)+'Scope 3 Yearly'!BY49*'Scope 3 Yearly'!BY59+'Scope 3 Yearly'!BY53*'Scope 3 Yearly'!BY63)*'Yearly HC Propylene'!M4</f>
        <v>140.84738816336426</v>
      </c>
      <c r="BZ24" s="44">
        <f>('Scope 3 Yearly'!$EE$187*'Scope 3 Yearly'!BZ60*(1-'Scope 3 Yearly'!$B$197)+'Scope 3 Yearly'!BZ49*'Scope 3 Yearly'!BZ59+'Scope 3 Yearly'!BZ53*'Scope 3 Yearly'!BZ63)*'Yearly HC Propylene'!N4</f>
        <v>144.95553084245481</v>
      </c>
      <c r="CA24" s="44">
        <f>('Scope 3 Yearly'!$EE$187*'Scope 3 Yearly'!CA60*(1-'Scope 3 Yearly'!$B$197)+'Scope 3 Yearly'!CA49*'Scope 3 Yearly'!CA59+'Scope 3 Yearly'!CA53*'Scope 3 Yearly'!CA63)*'Yearly HC Propylene'!O4</f>
        <v>147.84266329881854</v>
      </c>
      <c r="CB24" s="44">
        <f>('Scope 3 Yearly'!$EE$187*'Scope 3 Yearly'!CB60*(1-'Scope 3 Yearly'!$B$197)+'Scope 3 Yearly'!CB49*'Scope 3 Yearly'!CB59+'Scope 3 Yearly'!CB53*'Scope 3 Yearly'!CB63)*'Yearly HC Propylene'!P4</f>
        <v>150.75593420455107</v>
      </c>
      <c r="CC24" s="44">
        <f>('Scope 3 Yearly'!$EE$187*'Scope 3 Yearly'!CC60*(1-'Scope 3 Yearly'!$B$197)+'Scope 3 Yearly'!CC49*'Scope 3 Yearly'!CC59+'Scope 3 Yearly'!CC53*'Scope 3 Yearly'!CC63)*'Yearly HC Propylene'!Q4</f>
        <v>153.6949510397871</v>
      </c>
      <c r="CD24" s="44">
        <f>('Scope 3 Yearly'!$EE$187*'Scope 3 Yearly'!CD60*(1-'Scope 3 Yearly'!$B$197)+'Scope 3 Yearly'!CD49*'Scope 3 Yearly'!CD59+'Scope 3 Yearly'!CD53*'Scope 3 Yearly'!CD63)*'Yearly HC Propylene'!R4</f>
        <v>156.65921282400629</v>
      </c>
      <c r="CE24" s="44">
        <f>('Scope 3 Yearly'!$EE$187*'Scope 3 Yearly'!CE60*(1-'Scope 3 Yearly'!$B$197)+'Scope 3 Yearly'!CE49*'Scope 3 Yearly'!CE59+'Scope 3 Yearly'!CE53*'Scope 3 Yearly'!CE63)*'Yearly HC Propylene'!S4</f>
        <v>159.64809960274297</v>
      </c>
      <c r="CF24" s="44">
        <f>('Scope 3 Yearly'!$EE$187*'Scope 3 Yearly'!CF60*(1-'Scope 3 Yearly'!$B$197)+'Scope 3 Yearly'!CF49*'Scope 3 Yearly'!CF59+'Scope 3 Yearly'!CF53*'Scope 3 Yearly'!CF63)*'Yearly HC Propylene'!T4</f>
        <v>162.61243869425442</v>
      </c>
      <c r="CG24" s="44">
        <f>('Scope 3 Yearly'!$EE$187*'Scope 3 Yearly'!CG60*(1-'Scope 3 Yearly'!$B$197)+'Scope 3 Yearly'!CG49*'Scope 3 Yearly'!CG59+'Scope 3 Yearly'!CG53*'Scope 3 Yearly'!CG63)*'Yearly HC Propylene'!U4</f>
        <v>165.6139904421548</v>
      </c>
      <c r="CH24" s="44">
        <f>('Scope 3 Yearly'!$EE$187*'Scope 3 Yearly'!CH60*(1-'Scope 3 Yearly'!$B$197)+'Scope 3 Yearly'!CH49*'Scope 3 Yearly'!CH59+'Scope 3 Yearly'!CH53*'Scope 3 Yearly'!CH63)*'Yearly HC Propylene'!V4</f>
        <v>168.65310019225001</v>
      </c>
      <c r="CI24" s="44">
        <f>('Scope 3 Yearly'!$EE$187*'Scope 3 Yearly'!CI60*(1-'Scope 3 Yearly'!$B$197)+'Scope 3 Yearly'!CI49*'Scope 3 Yearly'!CI59+'Scope 3 Yearly'!CI53*'Scope 3 Yearly'!CI63)*'Yearly HC Propylene'!W4</f>
        <v>171.73011392679317</v>
      </c>
      <c r="CJ24" s="44">
        <f>('Scope 3 Yearly'!$EE$187*'Scope 3 Yearly'!CJ60*(1-'Scope 3 Yearly'!$B$197)+'Scope 3 Yearly'!CJ49*'Scope 3 Yearly'!CJ59+'Scope 3 Yearly'!CJ53*'Scope 3 Yearly'!CJ63)*'Yearly HC Propylene'!X4</f>
        <v>174.84537815692963</v>
      </c>
      <c r="CK24" s="44">
        <f>('Scope 3 Yearly'!$EE$187*'Scope 3 Yearly'!CK60*(1-'Scope 3 Yearly'!$B$197)+'Scope 3 Yearly'!CK49*'Scope 3 Yearly'!CK59+'Scope 3 Yearly'!CK53*'Scope 3 Yearly'!CK63)*'Yearly HC Propylene'!Y4</f>
        <v>177.93538164242622</v>
      </c>
      <c r="CL24" s="44">
        <f>('Scope 3 Yearly'!$EE$187*'Scope 3 Yearly'!CL60*(1-'Scope 3 Yearly'!$B$197)+'Scope 3 Yearly'!CL49*'Scope 3 Yearly'!CL59+'Scope 3 Yearly'!CL53*'Scope 3 Yearly'!CL63)*'Yearly HC Propylene'!Z4</f>
        <v>181.06217242745473</v>
      </c>
      <c r="CM24" s="44">
        <f>('Scope 3 Yearly'!$EE$187*'Scope 3 Yearly'!CM60*(1-'Scope 3 Yearly'!$B$197)+'Scope 3 Yearly'!CM49*'Scope 3 Yearly'!CM59+'Scope 3 Yearly'!CM53*'Scope 3 Yearly'!CM63)*'Yearly HC Propylene'!AA4</f>
        <v>184.22606520527611</v>
      </c>
      <c r="CN24" s="44">
        <f>('Scope 3 Yearly'!$EE$187*'Scope 3 Yearly'!CN60*(1-'Scope 3 Yearly'!$B$197)+'Scope 3 Yearly'!CN49*'Scope 3 Yearly'!CN59+'Scope 3 Yearly'!CN53*'Scope 3 Yearly'!CN63)*'Yearly HC Propylene'!AB4</f>
        <v>187.42737467503025</v>
      </c>
      <c r="CO24" s="44">
        <f>('Scope 3 Yearly'!$EE$187*'Scope 3 Yearly'!CO60*(1-'Scope 3 Yearly'!$B$197)+'Scope 3 Yearly'!CO49*'Scope 3 Yearly'!CO59+'Scope 3 Yearly'!CO53*'Scope 3 Yearly'!CO63)*'Yearly HC Propylene'!AC4</f>
        <v>190.66641542647378</v>
      </c>
      <c r="CP24" s="44">
        <f>('Scope 3 Yearly'!$EE$187*'Scope 3 Yearly'!CP60*(1-'Scope 3 Yearly'!$B$197)+'Scope 3 Yearly'!CP49*'Scope 3 Yearly'!CP59+'Scope 3 Yearly'!CP53*'Scope 3 Yearly'!CP63)*'Yearly HC Propylene'!AD4</f>
        <v>193.87946547664458</v>
      </c>
      <c r="CQ24" s="44">
        <f>('Scope 3 Yearly'!$EE$187*'Scope 3 Yearly'!CQ60*(1-'Scope 3 Yearly'!$B$197)+'Scope 3 Yearly'!CQ49*'Scope 3 Yearly'!CQ59+'Scope 3 Yearly'!CQ53*'Scope 3 Yearly'!CQ63)*'Yearly HC Propylene'!AE4</f>
        <v>197.12881415685297</v>
      </c>
      <c r="CR24" s="44">
        <f>('Scope 3 Yearly'!$EE$187*'Scope 3 Yearly'!CR60*(1-'Scope 3 Yearly'!$B$197)+'Scope 3 Yearly'!CR49*'Scope 3 Yearly'!CR59+'Scope 3 Yearly'!CR53*'Scope 3 Yearly'!CR63)*'Yearly HC Propylene'!AF4</f>
        <v>200.41474573755957</v>
      </c>
      <c r="CS24" s="44">
        <f>('Scope 3 Yearly'!$EE$187*'Scope 3 Yearly'!CS60*(1-'Scope 3 Yearly'!$B$197)+'Scope 3 Yearly'!CS49*'Scope 3 Yearly'!CS59+'Scope 3 Yearly'!CS53*'Scope 3 Yearly'!CS63)*'Yearly HC Propylene'!AG4</f>
        <v>203.73754388071197</v>
      </c>
      <c r="CT24" s="44">
        <f>('Scope 3 Yearly'!$EE$187*'Scope 3 Yearly'!CT60*(1-'Scope 3 Yearly'!$B$197)+'Scope 3 Yearly'!CT49*'Scope 3 Yearly'!CT59+'Scope 3 Yearly'!CT53*'Scope 3 Yearly'!CT63)*'Yearly HC Propylene'!AH4</f>
        <v>207.09749151648987</v>
      </c>
      <c r="CV24" s="44">
        <f>('Scope 3 Yearly'!$EE$187*'Scope 3 Yearly'!CV60*(1-'Scope 3 Yearly'!$B$197)+'Scope 3 Yearly'!CV49*'Scope 3 Yearly'!CV59+'Scope 3 Yearly'!CV53*'Scope 3 Yearly'!CV63)*'Yearly HC Propylene'!D4</f>
        <v>106.94209115142321</v>
      </c>
      <c r="CW24" s="44">
        <f>('Scope 3 Yearly'!$EE$187*'Scope 3 Yearly'!CW60*(1-'Scope 3 Yearly'!$B$197)+'Scope 3 Yearly'!CW49*'Scope 3 Yearly'!CW59+'Scope 3 Yearly'!CW53*'Scope 3 Yearly'!CW63)*'Yearly HC Propylene'!E4</f>
        <v>109.22631101134984</v>
      </c>
      <c r="CX24" s="44">
        <f>('Scope 3 Yearly'!$EE$187*'Scope 3 Yearly'!CX60*(1-'Scope 3 Yearly'!$B$197)+'Scope 3 Yearly'!CX49*'Scope 3 Yearly'!CX59+'Scope 3 Yearly'!CX53*'Scope 3 Yearly'!CX63)*'Yearly HC Propylene'!F4</f>
        <v>111.6115139161937</v>
      </c>
      <c r="CY24" s="44">
        <f>('Scope 3 Yearly'!$EE$187*'Scope 3 Yearly'!CY60*(1-'Scope 3 Yearly'!$B$197)+'Scope 3 Yearly'!CY49*'Scope 3 Yearly'!CY59+'Scope 3 Yearly'!CY53*'Scope 3 Yearly'!CY63)*'Yearly HC Propylene'!G4</f>
        <v>114.10004033506195</v>
      </c>
      <c r="CZ24" s="44">
        <f>('Scope 3 Yearly'!$EE$187*'Scope 3 Yearly'!CZ60*(1-'Scope 3 Yearly'!$B$197)+'Scope 3 Yearly'!CZ49*'Scope 3 Yearly'!CZ59+'Scope 3 Yearly'!CZ53*'Scope 3 Yearly'!CZ63)*'Yearly HC Propylene'!H4</f>
        <v>116.69296892452222</v>
      </c>
      <c r="DA24" s="44">
        <f>('Scope 3 Yearly'!$EE$187*'Scope 3 Yearly'!DA60*(1-'Scope 3 Yearly'!$B$197)+'Scope 3 Yearly'!DA49*'Scope 3 Yearly'!DA59+'Scope 3 Yearly'!DA53*'Scope 3 Yearly'!DA63)*'Yearly HC Propylene'!I4</f>
        <v>119.38876461801735</v>
      </c>
      <c r="DB24" s="44">
        <f>('Scope 3 Yearly'!$EE$187*'Scope 3 Yearly'!DB60*(1-'Scope 3 Yearly'!$B$197)+'Scope 3 Yearly'!DB49*'Scope 3 Yearly'!DB59+'Scope 3 Yearly'!DB53*'Scope 3 Yearly'!DB63)*'Yearly HC Propylene'!J4</f>
        <v>122.00011513501401</v>
      </c>
      <c r="DC24" s="44">
        <f>('Scope 3 Yearly'!$EE$187*'Scope 3 Yearly'!DC60*(1-'Scope 3 Yearly'!$B$197)+'Scope 3 Yearly'!DC49*'Scope 3 Yearly'!DC59+'Scope 3 Yearly'!DC53*'Scope 3 Yearly'!DC63)*'Yearly HC Propylene'!K4</f>
        <v>124.68440890446475</v>
      </c>
      <c r="DD24" s="44">
        <f>('Scope 3 Yearly'!$EE$187*'Scope 3 Yearly'!DD60*(1-'Scope 3 Yearly'!$B$197)+'Scope 3 Yearly'!DD49*'Scope 3 Yearly'!DD59+'Scope 3 Yearly'!DD53*'Scope 3 Yearly'!DD63)*'Yearly HC Propylene'!L4</f>
        <v>127.40636890759929</v>
      </c>
      <c r="DE24" s="44">
        <f>('Scope 3 Yearly'!$EE$187*'Scope 3 Yearly'!DE60*(1-'Scope 3 Yearly'!$B$197)+'Scope 3 Yearly'!DE49*'Scope 3 Yearly'!DE59+'Scope 3 Yearly'!DE53*'Scope 3 Yearly'!DE63)*'Yearly HC Propylene'!M4</f>
        <v>130.09923312318239</v>
      </c>
      <c r="DF24" s="44">
        <f>('Scope 3 Yearly'!$EE$187*'Scope 3 Yearly'!DF60*(1-'Scope 3 Yearly'!$B$197)+'Scope 3 Yearly'!DF49*'Scope 3 Yearly'!DF59+'Scope 3 Yearly'!DF53*'Scope 3 Yearly'!DF63)*'Yearly HC Propylene'!N4</f>
        <v>132.64597975489147</v>
      </c>
      <c r="DG24" s="44">
        <f>('Scope 3 Yearly'!$EE$187*'Scope 3 Yearly'!DG60*(1-'Scope 3 Yearly'!$B$197)+'Scope 3 Yearly'!DG49*'Scope 3 Yearly'!DG59+'Scope 3 Yearly'!DG53*'Scope 3 Yearly'!DG63)*'Yearly HC Propylene'!O4</f>
        <v>133.36701740405215</v>
      </c>
      <c r="DH24" s="44">
        <f>('Scope 3 Yearly'!$EE$187*'Scope 3 Yearly'!DH60*(1-'Scope 3 Yearly'!$B$197)+'Scope 3 Yearly'!DH49*'Scope 3 Yearly'!DH59+'Scope 3 Yearly'!DH53*'Scope 3 Yearly'!DH63)*'Yearly HC Propylene'!P4</f>
        <v>133.42232151635253</v>
      </c>
      <c r="DI24" s="44">
        <f>('Scope 3 Yearly'!$EE$187*'Scope 3 Yearly'!DI60*(1-'Scope 3 Yearly'!$B$197)+'Scope 3 Yearly'!DI49*'Scope 3 Yearly'!DI59+'Scope 3 Yearly'!DI53*'Scope 3 Yearly'!DI63)*'Yearly HC Propylene'!Q4</f>
        <v>132.65182385601631</v>
      </c>
      <c r="DJ24" s="44">
        <f>('Scope 3 Yearly'!$EE$187*'Scope 3 Yearly'!DJ60*(1-'Scope 3 Yearly'!$B$197)+'Scope 3 Yearly'!DJ49*'Scope 3 Yearly'!DJ59+'Scope 3 Yearly'!DJ53*'Scope 3 Yearly'!DJ63)*'Yearly HC Propylene'!R4</f>
        <v>130.69817378491715</v>
      </c>
      <c r="DK24" s="44">
        <f>('Scope 3 Yearly'!$EE$187*'Scope 3 Yearly'!DK60*(1-'Scope 3 Yearly'!$B$197)+'Scope 3 Yearly'!DK49*'Scope 3 Yearly'!DK59+'Scope 3 Yearly'!DK53*'Scope 3 Yearly'!DK63)*'Yearly HC Propylene'!S4</f>
        <v>127.4043175389582</v>
      </c>
      <c r="DL24" s="44">
        <f>('Scope 3 Yearly'!$EE$187*'Scope 3 Yearly'!DL60*(1-'Scope 3 Yearly'!$B$197)+'Scope 3 Yearly'!DL49*'Scope 3 Yearly'!DL59+'Scope 3 Yearly'!DL53*'Scope 3 Yearly'!DL63)*'Yearly HC Propylene'!T4</f>
        <v>122.78514224880436</v>
      </c>
      <c r="DM24" s="44">
        <f>('Scope 3 Yearly'!$EE$187*'Scope 3 Yearly'!DM60*(1-'Scope 3 Yearly'!$B$197)+'Scope 3 Yearly'!DM49*'Scope 3 Yearly'!DM59+'Scope 3 Yearly'!DM53*'Scope 3 Yearly'!DM63)*'Yearly HC Propylene'!U4</f>
        <v>117.2065740317007</v>
      </c>
      <c r="DN24" s="44">
        <f>('Scope 3 Yearly'!$EE$187*'Scope 3 Yearly'!DN60*(1-'Scope 3 Yearly'!$B$197)+'Scope 3 Yearly'!DN49*'Scope 3 Yearly'!DN59+'Scope 3 Yearly'!DN53*'Scope 3 Yearly'!DN63)*'Yearly HC Propylene'!V4</f>
        <v>111.13718368659573</v>
      </c>
      <c r="DO24" s="44">
        <f>('Scope 3 Yearly'!$EE$187*'Scope 3 Yearly'!DO60*(1-'Scope 3 Yearly'!$B$197)+'Scope 3 Yearly'!DO49*'Scope 3 Yearly'!DO59+'Scope 3 Yearly'!DO53*'Scope 3 Yearly'!DO63)*'Yearly HC Propylene'!W4</f>
        <v>105.06201270434157</v>
      </c>
      <c r="DP24" s="44">
        <f>('Scope 3 Yearly'!$EE$187*'Scope 3 Yearly'!DP60*(1-'Scope 3 Yearly'!$B$197)+'Scope 3 Yearly'!DP49*'Scope 3 Yearly'!DP59+'Scope 3 Yearly'!DP53*'Scope 3 Yearly'!DP63)*'Yearly HC Propylene'!X4</f>
        <v>99.362877168911609</v>
      </c>
      <c r="DQ24" s="44">
        <f>('Scope 3 Yearly'!$EE$187*'Scope 3 Yearly'!DQ60*(1-'Scope 3 Yearly'!$B$197)+'Scope 3 Yearly'!DQ49*'Scope 3 Yearly'!DQ59+'Scope 3 Yearly'!DQ53*'Scope 3 Yearly'!DQ63)*'Yearly HC Propylene'!Y4</f>
        <v>94.080791443294643</v>
      </c>
      <c r="DR24" s="44">
        <f>('Scope 3 Yearly'!$EE$187*'Scope 3 Yearly'!DR60*(1-'Scope 3 Yearly'!$B$197)+'Scope 3 Yearly'!DR49*'Scope 3 Yearly'!DR59+'Scope 3 Yearly'!DR53*'Scope 3 Yearly'!DR63)*'Yearly HC Propylene'!Z4</f>
        <v>89.313253489509705</v>
      </c>
      <c r="DS24" s="44">
        <f>('Scope 3 Yearly'!$EE$187*'Scope 3 Yearly'!DS60*(1-'Scope 3 Yearly'!$B$197)+'Scope 3 Yearly'!DS49*'Scope 3 Yearly'!DS59+'Scope 3 Yearly'!DS53*'Scope 3 Yearly'!DS63)*'Yearly HC Propylene'!AA4</f>
        <v>85.272165825955128</v>
      </c>
      <c r="DT24" s="44">
        <f>('Scope 3 Yearly'!$EE$187*'Scope 3 Yearly'!DT60*(1-'Scope 3 Yearly'!$B$197)+'Scope 3 Yearly'!DT49*'Scope 3 Yearly'!DT59+'Scope 3 Yearly'!DT53*'Scope 3 Yearly'!DT63)*'Yearly HC Propylene'!AB4</f>
        <v>81.846931518395451</v>
      </c>
      <c r="DU24" s="44">
        <f>('Scope 3 Yearly'!$EE$187*'Scope 3 Yearly'!DU60*(1-'Scope 3 Yearly'!$B$197)+'Scope 3 Yearly'!DU49*'Scope 3 Yearly'!DU59+'Scope 3 Yearly'!DU53*'Scope 3 Yearly'!DU63)*'Yearly HC Propylene'!AC4</f>
        <v>78.915227261948331</v>
      </c>
      <c r="DV24" s="44">
        <f>('Scope 3 Yearly'!$EE$187*'Scope 3 Yearly'!DV60*(1-'Scope 3 Yearly'!$B$197)+'Scope 3 Yearly'!DV49*'Scope 3 Yearly'!DV59+'Scope 3 Yearly'!DV53*'Scope 3 Yearly'!DV63)*'Yearly HC Propylene'!AD4</f>
        <v>76.34423651221887</v>
      </c>
      <c r="DW24" s="44">
        <f>('Scope 3 Yearly'!$EE$187*'Scope 3 Yearly'!DW60*(1-'Scope 3 Yearly'!$B$197)+'Scope 3 Yearly'!DW49*'Scope 3 Yearly'!DW59+'Scope 3 Yearly'!DW53*'Scope 3 Yearly'!DW63)*'Yearly HC Propylene'!AE4</f>
        <v>74.063136796457101</v>
      </c>
      <c r="DX24" s="44">
        <f>('Scope 3 Yearly'!$EE$187*'Scope 3 Yearly'!DX60*(1-'Scope 3 Yearly'!$B$197)+'Scope 3 Yearly'!DX49*'Scope 3 Yearly'!DX59+'Scope 3 Yearly'!DX53*'Scope 3 Yearly'!DX63)*'Yearly HC Propylene'!AF4</f>
        <v>71.990506592197974</v>
      </c>
      <c r="DY24" s="44">
        <f>('Scope 3 Yearly'!$EE$187*'Scope 3 Yearly'!DY60*(1-'Scope 3 Yearly'!$B$197)+'Scope 3 Yearly'!DY49*'Scope 3 Yearly'!DY59+'Scope 3 Yearly'!DY53*'Scope 3 Yearly'!DY63)*'Yearly HC Propylene'!AG4</f>
        <v>70.059082222239454</v>
      </c>
      <c r="DZ24" s="44">
        <f>('Scope 3 Yearly'!$EE$187*'Scope 3 Yearly'!DZ60*(1-'Scope 3 Yearly'!$B$197)+'Scope 3 Yearly'!DZ49*'Scope 3 Yearly'!DZ59+'Scope 3 Yearly'!DZ53*'Scope 3 Yearly'!DZ63)*'Yearly HC Propylene'!AH4</f>
        <v>68.212720440203327</v>
      </c>
    </row>
    <row r="25" spans="1:165" x14ac:dyDescent="0.2">
      <c r="A25" t="s">
        <v>6</v>
      </c>
      <c r="C25" s="54" t="s">
        <v>415</v>
      </c>
      <c r="D25" s="44">
        <f>('Scope 3 Yearly'!$EE$188*'Scope 3 Yearly'!D83*(1-'Scope 3 Yearly'!$B$197)+'Scope 3 Yearly'!D72*'Scope 3 Yearly'!D82+'Scope 3 Yearly'!D76*'Scope 3 Yearly'!D86)*'Yearly Methanol'!D122</f>
        <v>64.450337112102119</v>
      </c>
      <c r="E25" s="44">
        <f>('Scope 3 Yearly'!$EE$188*'Scope 3 Yearly'!E83*(1-'Scope 3 Yearly'!$B$197)+'Scope 3 Yearly'!E72*'Scope 3 Yearly'!E82+'Scope 3 Yearly'!E76*'Scope 3 Yearly'!E86)*'Yearly Methanol'!E122</f>
        <v>69.320231320798925</v>
      </c>
      <c r="F25" s="44">
        <f>('Scope 3 Yearly'!$EE$188*'Scope 3 Yearly'!F83*(1-'Scope 3 Yearly'!$B$197)+'Scope 3 Yearly'!F72*'Scope 3 Yearly'!F82+'Scope 3 Yearly'!F76*'Scope 3 Yearly'!F86)*'Yearly Methanol'!F122</f>
        <v>72.190550240708433</v>
      </c>
      <c r="G25" s="44">
        <f>('Scope 3 Yearly'!$EE$188*'Scope 3 Yearly'!G83*(1-'Scope 3 Yearly'!$B$197)+'Scope 3 Yearly'!G72*'Scope 3 Yearly'!G82+'Scope 3 Yearly'!G76*'Scope 3 Yearly'!G86)*'Yearly Methanol'!G122</f>
        <v>74.974390779432298</v>
      </c>
      <c r="H25" s="44">
        <f>('Scope 3 Yearly'!$EE$188*'Scope 3 Yearly'!H83*(1-'Scope 3 Yearly'!$B$197)+'Scope 3 Yearly'!H72*'Scope 3 Yearly'!H82+'Scope 3 Yearly'!H76*'Scope 3 Yearly'!H86)*'Yearly Methanol'!H122</f>
        <v>77.671834122940041</v>
      </c>
      <c r="I25" s="44">
        <f>('Scope 3 Yearly'!$EE$188*'Scope 3 Yearly'!I83*(1-'Scope 3 Yearly'!$B$197)+'Scope 3 Yearly'!I72*'Scope 3 Yearly'!I82+'Scope 3 Yearly'!I76*'Scope 3 Yearly'!I86)*'Yearly Methanol'!I122</f>
        <v>80.293146889964007</v>
      </c>
      <c r="J25" s="44">
        <f>('Scope 3 Yearly'!$EE$188*'Scope 3 Yearly'!J83*(1-'Scope 3 Yearly'!$B$197)+'Scope 3 Yearly'!J72*'Scope 3 Yearly'!J82+'Scope 3 Yearly'!J76*'Scope 3 Yearly'!J86)*'Yearly Methanol'!J122</f>
        <v>82.791336138159053</v>
      </c>
      <c r="K25" s="44">
        <f>('Scope 3 Yearly'!$EE$188*'Scope 3 Yearly'!K83*(1-'Scope 3 Yearly'!$B$197)+'Scope 3 Yearly'!K72*'Scope 3 Yearly'!K82+'Scope 3 Yearly'!K76*'Scope 3 Yearly'!K86)*'Yearly Methanol'!K122</f>
        <v>85.184327165583014</v>
      </c>
      <c r="L25" s="44">
        <f>('Scope 3 Yearly'!$EE$188*'Scope 3 Yearly'!L83*(1-'Scope 3 Yearly'!$B$197)+'Scope 3 Yearly'!L72*'Scope 3 Yearly'!L82+'Scope 3 Yearly'!L76*'Scope 3 Yearly'!L86)*'Yearly Methanol'!L122</f>
        <v>87.44940931239455</v>
      </c>
      <c r="M25" s="44">
        <f>('Scope 3 Yearly'!$EE$188*'Scope 3 Yearly'!M83*(1-'Scope 3 Yearly'!$B$197)+'Scope 3 Yearly'!M72*'Scope 3 Yearly'!M82+'Scope 3 Yearly'!M76*'Scope 3 Yearly'!M86)*'Yearly Methanol'!M122</f>
        <v>89.544169231369082</v>
      </c>
      <c r="N25" s="44">
        <f>('Scope 3 Yearly'!$EE$188*'Scope 3 Yearly'!N83*(1-'Scope 3 Yearly'!$B$197)+'Scope 3 Yearly'!N72*'Scope 3 Yearly'!N82+'Scope 3 Yearly'!N76*'Scope 3 Yearly'!N86)*'Yearly Methanol'!N122</f>
        <v>91.395148927892691</v>
      </c>
      <c r="O25" s="44">
        <f>('Scope 3 Yearly'!$EE$188*'Scope 3 Yearly'!O83*(1-'Scope 3 Yearly'!$B$197)+'Scope 3 Yearly'!O72*'Scope 3 Yearly'!O82+'Scope 3 Yearly'!O76*'Scope 3 Yearly'!O86)*'Yearly Methanol'!O122</f>
        <v>89.269969167621284</v>
      </c>
      <c r="P25" s="44">
        <f>('Scope 3 Yearly'!$EE$188*'Scope 3 Yearly'!P83*(1-'Scope 3 Yearly'!$B$197)+'Scope 3 Yearly'!P72*'Scope 3 Yearly'!P82+'Scope 3 Yearly'!P76*'Scope 3 Yearly'!P86)*'Yearly Methanol'!P122</f>
        <v>86.70820675896762</v>
      </c>
      <c r="Q25" s="44">
        <f>('Scope 3 Yearly'!$EE$188*'Scope 3 Yearly'!Q83*(1-'Scope 3 Yearly'!$B$197)+'Scope 3 Yearly'!Q72*'Scope 3 Yearly'!Q82+'Scope 3 Yearly'!Q76*'Scope 3 Yearly'!Q86)*'Yearly Methanol'!Q122</f>
        <v>83.581591193055701</v>
      </c>
      <c r="R25" s="44">
        <f>('Scope 3 Yearly'!$EE$188*'Scope 3 Yearly'!R83*(1-'Scope 3 Yearly'!$B$197)+'Scope 3 Yearly'!R72*'Scope 3 Yearly'!R82+'Scope 3 Yearly'!R76*'Scope 3 Yearly'!R86)*'Yearly Methanol'!R122</f>
        <v>79.800399038510747</v>
      </c>
      <c r="S25" s="44">
        <f>('Scope 3 Yearly'!$EE$188*'Scope 3 Yearly'!S83*(1-'Scope 3 Yearly'!$B$197)+'Scope 3 Yearly'!S72*'Scope 3 Yearly'!S82+'Scope 3 Yearly'!S76*'Scope 3 Yearly'!S86)*'Yearly Methanol'!S122</f>
        <v>75.366281617340732</v>
      </c>
      <c r="T25" s="44">
        <f>('Scope 3 Yearly'!$EE$188*'Scope 3 Yearly'!T83*(1-'Scope 3 Yearly'!$B$197)+'Scope 3 Yearly'!T72*'Scope 3 Yearly'!T82+'Scope 3 Yearly'!T76*'Scope 3 Yearly'!T86)*'Yearly Methanol'!T122</f>
        <v>70.268763664283796</v>
      </c>
      <c r="U25" s="44">
        <f>('Scope 3 Yearly'!$EE$188*'Scope 3 Yearly'!U83*(1-'Scope 3 Yearly'!$B$197)+'Scope 3 Yearly'!U72*'Scope 3 Yearly'!U82+'Scope 3 Yearly'!U76*'Scope 3 Yearly'!U86)*'Yearly Methanol'!U122</f>
        <v>64.897482057060529</v>
      </c>
      <c r="V25" s="44">
        <f>('Scope 3 Yearly'!$EE$188*'Scope 3 Yearly'!V83*(1-'Scope 3 Yearly'!$B$197)+'Scope 3 Yearly'!V72*'Scope 3 Yearly'!V82+'Scope 3 Yearly'!V76*'Scope 3 Yearly'!V86)*'Yearly Methanol'!V122</f>
        <v>59.533026134149075</v>
      </c>
      <c r="W25" s="44">
        <f>('Scope 3 Yearly'!$EE$188*'Scope 3 Yearly'!W83*(1-'Scope 3 Yearly'!$B$197)+'Scope 3 Yearly'!W72*'Scope 3 Yearly'!W82+'Scope 3 Yearly'!W76*'Scope 3 Yearly'!W86)*'Yearly Methanol'!W122</f>
        <v>54.417443046537443</v>
      </c>
      <c r="X25" s="44">
        <f>('Scope 3 Yearly'!$EE$188*'Scope 3 Yearly'!X83*(1-'Scope 3 Yearly'!$B$197)+'Scope 3 Yearly'!X72*'Scope 3 Yearly'!X82+'Scope 3 Yearly'!X76*'Scope 3 Yearly'!X86)*'Yearly Methanol'!X122</f>
        <v>49.705005384869359</v>
      </c>
      <c r="Y25" s="44">
        <f>('Scope 3 Yearly'!$EE$188*'Scope 3 Yearly'!Y83*(1-'Scope 3 Yearly'!$B$197)+'Scope 3 Yearly'!Y72*'Scope 3 Yearly'!Y82+'Scope 3 Yearly'!Y76*'Scope 3 Yearly'!Y86)*'Yearly Methanol'!Y122</f>
        <v>45.346980400030198</v>
      </c>
      <c r="Z25" s="44">
        <f>('Scope 3 Yearly'!$EE$188*'Scope 3 Yearly'!Z83*(1-'Scope 3 Yearly'!$B$197)+'Scope 3 Yearly'!Z72*'Scope 3 Yearly'!Z82+'Scope 3 Yearly'!Z76*'Scope 3 Yearly'!Z86)*'Yearly Methanol'!Z122</f>
        <v>41.477644061978395</v>
      </c>
      <c r="AA25" s="44">
        <f>('Scope 3 Yearly'!$EE$188*'Scope 3 Yearly'!AA83*(1-'Scope 3 Yearly'!$B$197)+'Scope 3 Yearly'!AA72*'Scope 3 Yearly'!AA82+'Scope 3 Yearly'!AA76*'Scope 3 Yearly'!AA86)*'Yearly Methanol'!AA122</f>
        <v>38.041142646500013</v>
      </c>
      <c r="AB25" s="44">
        <f>('Scope 3 Yearly'!$EE$188*'Scope 3 Yearly'!AB83*(1-'Scope 3 Yearly'!$B$197)+'Scope 3 Yearly'!AB72*'Scope 3 Yearly'!AB82+'Scope 3 Yearly'!AB76*'Scope 3 Yearly'!AB86)*'Yearly Methanol'!AB122</f>
        <v>34.966827946731385</v>
      </c>
      <c r="AC25" s="44">
        <f>('Scope 3 Yearly'!$EE$188*'Scope 3 Yearly'!AC83*(1-'Scope 3 Yearly'!$B$197)+'Scope 3 Yearly'!AC72*'Scope 3 Yearly'!AC82+'Scope 3 Yearly'!AC76*'Scope 3 Yearly'!AC86)*'Yearly Methanol'!AC122</f>
        <v>32.186322426654286</v>
      </c>
      <c r="AD25" s="44">
        <f>('Scope 3 Yearly'!$EE$188*'Scope 3 Yearly'!AD83*(1-'Scope 3 Yearly'!$B$197)+'Scope 3 Yearly'!AD72*'Scope 3 Yearly'!AD82+'Scope 3 Yearly'!AD76*'Scope 3 Yearly'!AD86)*'Yearly Methanol'!AD122</f>
        <v>29.644085455807147</v>
      </c>
      <c r="AE25" s="44">
        <f>('Scope 3 Yearly'!$EE$188*'Scope 3 Yearly'!AE83*(1-'Scope 3 Yearly'!$B$197)+'Scope 3 Yearly'!AE72*'Scope 3 Yearly'!AE82+'Scope 3 Yearly'!AE76*'Scope 3 Yearly'!AE86)*'Yearly Methanol'!AE122</f>
        <v>27.289912286671136</v>
      </c>
      <c r="AF25" s="44">
        <f>('Scope 3 Yearly'!$EE$188*'Scope 3 Yearly'!AF83*(1-'Scope 3 Yearly'!$B$197)+'Scope 3 Yearly'!AF72*'Scope 3 Yearly'!AF82+'Scope 3 Yearly'!AF76*'Scope 3 Yearly'!AF86)*'Yearly Methanol'!AF122</f>
        <v>25.087977207863496</v>
      </c>
      <c r="AG25" s="44">
        <f>('Scope 3 Yearly'!$EE$188*'Scope 3 Yearly'!AG83*(1-'Scope 3 Yearly'!$B$197)+'Scope 3 Yearly'!AG72*'Scope 3 Yearly'!AG82+'Scope 3 Yearly'!AG76*'Scope 3 Yearly'!AG86)*'Yearly Methanol'!AG122</f>
        <v>23.012424689680639</v>
      </c>
      <c r="AH25" s="44">
        <f>('Scope 3 Yearly'!$EE$188*'Scope 3 Yearly'!AH83*(1-'Scope 3 Yearly'!$B$197)+'Scope 3 Yearly'!AH72*'Scope 3 Yearly'!AH82+'Scope 3 Yearly'!AH76*'Scope 3 Yearly'!AH86)*'Yearly Methanol'!AH122</f>
        <v>21.045615555173992</v>
      </c>
      <c r="AI25" s="44"/>
      <c r="AJ25" s="44">
        <f>('Scope 3 Yearly'!$EE$188*'Scope 3 Yearly'!AJ83*(1-'Scope 3 Yearly'!$B$197)+'Scope 3 Yearly'!AJ72*'Scope 3 Yearly'!AJ82+'Scope 3 Yearly'!AJ76*'Scope 3 Yearly'!AJ86)*'Yearly Methanol'!AJ122</f>
        <v>64.450343034571361</v>
      </c>
      <c r="AK25" s="44">
        <f>('Scope 3 Yearly'!$EE$188*'Scope 3 Yearly'!AK83*(1-'Scope 3 Yearly'!$B$197)+'Scope 3 Yearly'!AK72*'Scope 3 Yearly'!AK82+'Scope 3 Yearly'!AK76*'Scope 3 Yearly'!AK86)*'Yearly Methanol'!AK122</f>
        <v>67.554546033397969</v>
      </c>
      <c r="AL25" s="44">
        <f>('Scope 3 Yearly'!$EE$188*'Scope 3 Yearly'!AL83*(1-'Scope 3 Yearly'!$B$197)+'Scope 3 Yearly'!AL72*'Scope 3 Yearly'!AL82+'Scope 3 Yearly'!AL76*'Scope 3 Yearly'!AL86)*'Yearly Methanol'!AL122</f>
        <v>70.53199974737116</v>
      </c>
      <c r="AM25" s="44">
        <f>('Scope 3 Yearly'!$EE$188*'Scope 3 Yearly'!AM83*(1-'Scope 3 Yearly'!$B$197)+'Scope 3 Yearly'!AM72*'Scope 3 Yearly'!AM82+'Scope 3 Yearly'!AM76*'Scope 3 Yearly'!AM86)*'Yearly Methanol'!AM122</f>
        <v>73.453587697716358</v>
      </c>
      <c r="AN25" s="44">
        <f>('Scope 3 Yearly'!$EE$188*'Scope 3 Yearly'!AN83*(1-'Scope 3 Yearly'!$B$197)+'Scope 3 Yearly'!AN72*'Scope 3 Yearly'!AN82+'Scope 3 Yearly'!AN76*'Scope 3 Yearly'!AN86)*'Yearly Methanol'!AN122</f>
        <v>76.319928270700458</v>
      </c>
      <c r="AO25" s="44">
        <f>('Scope 3 Yearly'!$EE$188*'Scope 3 Yearly'!AO83*(1-'Scope 3 Yearly'!$B$197)+'Scope 3 Yearly'!AO72*'Scope 3 Yearly'!AO82+'Scope 3 Yearly'!AO76*'Scope 3 Yearly'!AO86)*'Yearly Methanol'!AO122</f>
        <v>79.141568567388305</v>
      </c>
      <c r="AP25" s="44">
        <f>('Scope 3 Yearly'!$EE$188*'Scope 3 Yearly'!AP83*(1-'Scope 3 Yearly'!$B$197)+'Scope 3 Yearly'!AP72*'Scope 3 Yearly'!AP82+'Scope 3 Yearly'!AP76*'Scope 3 Yearly'!AP86)*'Yearly Methanol'!AP122</f>
        <v>81.906459915669998</v>
      </c>
      <c r="AQ25" s="44">
        <f>('Scope 3 Yearly'!$EE$188*'Scope 3 Yearly'!AQ83*(1-'Scope 3 Yearly'!$B$197)+'Scope 3 Yearly'!AQ72*'Scope 3 Yearly'!AQ82+'Scope 3 Yearly'!AQ76*'Scope 3 Yearly'!AQ86)*'Yearly Methanol'!AQ122</f>
        <v>84.599501964784153</v>
      </c>
      <c r="AR25" s="44">
        <f>('Scope 3 Yearly'!$EE$188*'Scope 3 Yearly'!AR83*(1-'Scope 3 Yearly'!$B$197)+'Scope 3 Yearly'!AR72*'Scope 3 Yearly'!AR82+'Scope 3 Yearly'!AR76*'Scope 3 Yearly'!AR86)*'Yearly Methanol'!AR122</f>
        <v>87.198048756096043</v>
      </c>
      <c r="AS25" s="44">
        <f>('Scope 3 Yearly'!$EE$188*'Scope 3 Yearly'!AS83*(1-'Scope 3 Yearly'!$B$197)+'Scope 3 Yearly'!AS72*'Scope 3 Yearly'!AS82+'Scope 3 Yearly'!AS76*'Scope 3 Yearly'!AS86)*'Yearly Methanol'!AS122</f>
        <v>89.659708826030496</v>
      </c>
      <c r="AT25" s="44">
        <f>('Scope 3 Yearly'!$EE$188*'Scope 3 Yearly'!AT83*(1-'Scope 3 Yearly'!$B$197)+'Scope 3 Yearly'!AT72*'Scope 3 Yearly'!AT82+'Scope 3 Yearly'!AT76*'Scope 3 Yearly'!AT86)*'Yearly Methanol'!AT122</f>
        <v>91.9108331561131</v>
      </c>
      <c r="AU25" s="44">
        <f>('Scope 3 Yearly'!$EE$188*'Scope 3 Yearly'!AU83*(1-'Scope 3 Yearly'!$B$197)+'Scope 3 Yearly'!AU72*'Scope 3 Yearly'!AU82+'Scope 3 Yearly'!AU76*'Scope 3 Yearly'!AU86)*'Yearly Methanol'!AU122</f>
        <v>90.094461253862107</v>
      </c>
      <c r="AV25" s="44">
        <f>('Scope 3 Yearly'!$EE$188*'Scope 3 Yearly'!AV83*(1-'Scope 3 Yearly'!$B$197)+'Scope 3 Yearly'!AV72*'Scope 3 Yearly'!AV82+'Scope 3 Yearly'!AV76*'Scope 3 Yearly'!AV86)*'Yearly Methanol'!AV122</f>
        <v>87.856547210261596</v>
      </c>
      <c r="AW25" s="44">
        <f>('Scope 3 Yearly'!$EE$188*'Scope 3 Yearly'!AW83*(1-'Scope 3 Yearly'!$B$197)+'Scope 3 Yearly'!AW72*'Scope 3 Yearly'!AW82+'Scope 3 Yearly'!AW76*'Scope 3 Yearly'!AW86)*'Yearly Methanol'!AW122</f>
        <v>85.063266507962823</v>
      </c>
      <c r="AX25" s="44">
        <f>('Scope 3 Yearly'!$EE$188*'Scope 3 Yearly'!AX83*(1-'Scope 3 Yearly'!$B$197)+'Scope 3 Yearly'!AX72*'Scope 3 Yearly'!AX82+'Scope 3 Yearly'!AX76*'Scope 3 Yearly'!AX86)*'Yearly Methanol'!AX122</f>
        <v>81.613540901811291</v>
      </c>
      <c r="AY25" s="44">
        <f>('Scope 3 Yearly'!$EE$188*'Scope 3 Yearly'!AY83*(1-'Scope 3 Yearly'!$B$197)+'Scope 3 Yearly'!AY72*'Scope 3 Yearly'!AY82+'Scope 3 Yearly'!AY76*'Scope 3 Yearly'!AY86)*'Yearly Methanol'!AY122</f>
        <v>77.494043984790352</v>
      </c>
      <c r="AZ25" s="44">
        <f>('Scope 3 Yearly'!$EE$188*'Scope 3 Yearly'!AZ83*(1-'Scope 3 Yearly'!$B$197)+'Scope 3 Yearly'!AZ72*'Scope 3 Yearly'!AZ82+'Scope 3 Yearly'!AZ76*'Scope 3 Yearly'!AZ86)*'Yearly Methanol'!AZ122</f>
        <v>72.666890970765124</v>
      </c>
      <c r="BA25" s="44">
        <f>('Scope 3 Yearly'!$EE$188*'Scope 3 Yearly'!BA83*(1-'Scope 3 Yearly'!$B$197)+'Scope 3 Yearly'!BA72*'Scope 3 Yearly'!BA82+'Scope 3 Yearly'!BA76*'Scope 3 Yearly'!BA86)*'Yearly Methanol'!BA122</f>
        <v>67.52257385580269</v>
      </c>
      <c r="BB25" s="44">
        <f>('Scope 3 Yearly'!$EE$188*'Scope 3 Yearly'!BB83*(1-'Scope 3 Yearly'!$B$197)+'Scope 3 Yearly'!BB72*'Scope 3 Yearly'!BB82+'Scope 3 Yearly'!BB76*'Scope 3 Yearly'!BB86)*'Yearly Methanol'!BB122</f>
        <v>62.339212624307962</v>
      </c>
      <c r="BC25" s="44">
        <f>('Scope 3 Yearly'!$EE$188*'Scope 3 Yearly'!BC83*(1-'Scope 3 Yearly'!$B$197)+'Scope 3 Yearly'!BC72*'Scope 3 Yearly'!BC82+'Scope 3 Yearly'!BC76*'Scope 3 Yearly'!BC86)*'Yearly Methanol'!BC122</f>
        <v>57.365271075658868</v>
      </c>
      <c r="BD25" s="44">
        <f>('Scope 3 Yearly'!$EE$188*'Scope 3 Yearly'!BD83*(1-'Scope 3 Yearly'!$B$197)+'Scope 3 Yearly'!BD72*'Scope 3 Yearly'!BD82+'Scope 3 Yearly'!BD76*'Scope 3 Yearly'!BD86)*'Yearly Methanol'!BD122</f>
        <v>52.76667470951616</v>
      </c>
      <c r="BE25" s="44">
        <f>('Scope 3 Yearly'!$EE$188*'Scope 3 Yearly'!BE83*(1-'Scope 3 Yearly'!$B$197)+'Scope 3 Yearly'!BE72*'Scope 3 Yearly'!BE82+'Scope 3 Yearly'!BE76*'Scope 3 Yearly'!BE86)*'Yearly Methanol'!BE122</f>
        <v>48.433560369635885</v>
      </c>
      <c r="BF25" s="44">
        <f>('Scope 3 Yearly'!$EE$188*'Scope 3 Yearly'!BF83*(1-'Scope 3 Yearly'!$B$197)+'Scope 3 Yearly'!BF72*'Scope 3 Yearly'!BF82+'Scope 3 Yearly'!BF76*'Scope 3 Yearly'!BF86)*'Yearly Methanol'!BF122</f>
        <v>44.592765581836048</v>
      </c>
      <c r="BG25" s="44">
        <f>('Scope 3 Yearly'!$EE$188*'Scope 3 Yearly'!BG83*(1-'Scope 3 Yearly'!$B$197)+'Scope 3 Yearly'!BG72*'Scope 3 Yearly'!BG82+'Scope 3 Yearly'!BG76*'Scope 3 Yearly'!BG86)*'Yearly Methanol'!BG122</f>
        <v>41.192436574312488</v>
      </c>
      <c r="BH25" s="44">
        <f>('Scope 3 Yearly'!$EE$188*'Scope 3 Yearly'!BH83*(1-'Scope 3 Yearly'!$B$197)+'Scope 3 Yearly'!BH72*'Scope 3 Yearly'!BH82+'Scope 3 Yearly'!BH76*'Scope 3 Yearly'!BH86)*'Yearly Methanol'!BH122</f>
        <v>38.16296994917964</v>
      </c>
      <c r="BI25" s="44">
        <f>('Scope 3 Yearly'!$EE$188*'Scope 3 Yearly'!BI83*(1-'Scope 3 Yearly'!$B$197)+'Scope 3 Yearly'!BI72*'Scope 3 Yearly'!BI82+'Scope 3 Yearly'!BI76*'Scope 3 Yearly'!BI86)*'Yearly Methanol'!BI122</f>
        <v>35.435243978763936</v>
      </c>
      <c r="BJ25" s="44">
        <f>('Scope 3 Yearly'!$EE$188*'Scope 3 Yearly'!BJ83*(1-'Scope 3 Yearly'!$B$197)+'Scope 3 Yearly'!BJ72*'Scope 3 Yearly'!BJ82+'Scope 3 Yearly'!BJ76*'Scope 3 Yearly'!BJ86)*'Yearly Methanol'!BJ122</f>
        <v>32.953091369482223</v>
      </c>
      <c r="BK25" s="44">
        <f>('Scope 3 Yearly'!$EE$188*'Scope 3 Yearly'!BK83*(1-'Scope 3 Yearly'!$B$197)+'Scope 3 Yearly'!BK72*'Scope 3 Yearly'!BK82+'Scope 3 Yearly'!BK76*'Scope 3 Yearly'!BK86)*'Yearly Methanol'!BK122</f>
        <v>30.662732485235889</v>
      </c>
      <c r="BL25" s="44">
        <f>('Scope 3 Yearly'!$EE$188*'Scope 3 Yearly'!BL83*(1-'Scope 3 Yearly'!$B$197)+'Scope 3 Yearly'!BL72*'Scope 3 Yearly'!BL82+'Scope 3 Yearly'!BL76*'Scope 3 Yearly'!BL86)*'Yearly Methanol'!BL122</f>
        <v>28.526057723701044</v>
      </c>
      <c r="BM25" s="44">
        <f>('Scope 3 Yearly'!$EE$188*'Scope 3 Yearly'!BM83*(1-'Scope 3 Yearly'!$B$197)+'Scope 3 Yearly'!BM72*'Scope 3 Yearly'!BM82+'Scope 3 Yearly'!BM76*'Scope 3 Yearly'!BM86)*'Yearly Methanol'!BM122</f>
        <v>26.510977581907508</v>
      </c>
      <c r="BN25" s="44">
        <f>('Scope 3 Yearly'!$EE$188*'Scope 3 Yearly'!BN83*(1-'Scope 3 Yearly'!$B$197)+'Scope 3 Yearly'!BN72*'Scope 3 Yearly'!BN82+'Scope 3 Yearly'!BN76*'Scope 3 Yearly'!BN86)*'Yearly Methanol'!BN122</f>
        <v>24.601093272523265</v>
      </c>
      <c r="BO25" s="44"/>
      <c r="BP25" s="44">
        <f>('Scope 3 Yearly'!$EE$188*'Scope 3 Yearly'!BP83*(1-'Scope 3 Yearly'!$B$197)+'Scope 3 Yearly'!BP72*'Scope 3 Yearly'!BP82+'Scope 3 Yearly'!BP76*'Scope 3 Yearly'!BP86)*'Yearly Methanol'!D6</f>
        <v>64.450934896193118</v>
      </c>
      <c r="BQ25" s="44">
        <f>('Scope 3 Yearly'!$EE$188*'Scope 3 Yearly'!BQ83*(1-'Scope 3 Yearly'!$B$197)+'Scope 3 Yearly'!BQ72*'Scope 3 Yearly'!BQ82+'Scope 3 Yearly'!BQ76*'Scope 3 Yearly'!BQ86)*'Yearly Methanol'!E6</f>
        <v>69.404572436454359</v>
      </c>
      <c r="BR25" s="44">
        <f>('Scope 3 Yearly'!$EE$188*'Scope 3 Yearly'!BR83*(1-'Scope 3 Yearly'!$B$197)+'Scope 3 Yearly'!BR72*'Scope 3 Yearly'!BR82+'Scope 3 Yearly'!BR76*'Scope 3 Yearly'!BR86)*'Yearly Methanol'!F6</f>
        <v>74.448989356094216</v>
      </c>
      <c r="BS25" s="44">
        <f>('Scope 3 Yearly'!$EE$188*'Scope 3 Yearly'!BS83*(1-'Scope 3 Yearly'!$B$197)+'Scope 3 Yearly'!BS72*'Scope 3 Yearly'!BS82+'Scope 3 Yearly'!BS76*'Scope 3 Yearly'!BS86)*'Yearly Methanol'!G6</f>
        <v>79.581196270274376</v>
      </c>
      <c r="BT25" s="44">
        <f>('Scope 3 Yearly'!$EE$188*'Scope 3 Yearly'!BT83*(1-'Scope 3 Yearly'!$B$197)+'Scope 3 Yearly'!BT72*'Scope 3 Yearly'!BT82+'Scope 3 Yearly'!BT76*'Scope 3 Yearly'!BT86)*'Yearly Methanol'!H6</f>
        <v>84.798075054710495</v>
      </c>
      <c r="BU25" s="44">
        <f>('Scope 3 Yearly'!$EE$188*'Scope 3 Yearly'!BU83*(1-'Scope 3 Yearly'!$B$197)+'Scope 3 Yearly'!BU72*'Scope 3 Yearly'!BU82+'Scope 3 Yearly'!BU76*'Scope 3 Yearly'!BU86)*'Yearly Methanol'!I6</f>
        <v>90.096340171457214</v>
      </c>
      <c r="BV25" s="44">
        <f>('Scope 3 Yearly'!$EE$188*'Scope 3 Yearly'!BV83*(1-'Scope 3 Yearly'!$B$197)+'Scope 3 Yearly'!BV72*'Scope 3 Yearly'!BV82+'Scope 3 Yearly'!BV76*'Scope 3 Yearly'!BV86)*'Yearly Methanol'!J6</f>
        <v>95.492450334677301</v>
      </c>
      <c r="BW25" s="44">
        <f>('Scope 3 Yearly'!$EE$188*'Scope 3 Yearly'!BW83*(1-'Scope 3 Yearly'!$B$197)+'Scope 3 Yearly'!BW72*'Scope 3 Yearly'!BW82+'Scope 3 Yearly'!BW76*'Scope 3 Yearly'!BW86)*'Yearly Methanol'!K6</f>
        <v>100.98586683672329</v>
      </c>
      <c r="BX25" s="44">
        <f>('Scope 3 Yearly'!$EE$188*'Scope 3 Yearly'!BX83*(1-'Scope 3 Yearly'!$B$197)+'Scope 3 Yearly'!BX72*'Scope 3 Yearly'!BX82+'Scope 3 Yearly'!BX76*'Scope 3 Yearly'!BX86)*'Yearly Methanol'!L6</f>
        <v>106.57603173402376</v>
      </c>
      <c r="BY25" s="44">
        <f>('Scope 3 Yearly'!$EE$188*'Scope 3 Yearly'!BY83*(1-'Scope 3 Yearly'!$B$197)+'Scope 3 Yearly'!BY72*'Scope 3 Yearly'!BY82+'Scope 3 Yearly'!BY76*'Scope 3 Yearly'!BY86)*'Yearly Methanol'!M6</f>
        <v>112.26236678022383</v>
      </c>
      <c r="BZ25" s="44">
        <f>('Scope 3 Yearly'!$EE$188*'Scope 3 Yearly'!BZ83*(1-'Scope 3 Yearly'!$B$197)+'Scope 3 Yearly'!BZ72*'Scope 3 Yearly'!BZ82+'Scope 3 Yearly'!BZ76*'Scope 3 Yearly'!BZ86)*'Yearly Methanol'!N6</f>
        <v>118.04427229040286</v>
      </c>
      <c r="CA25" s="44">
        <f>('Scope 3 Yearly'!$EE$188*'Scope 3 Yearly'!CA83*(1-'Scope 3 Yearly'!$B$197)+'Scope 3 Yearly'!CA72*'Scope 3 Yearly'!CA82+'Scope 3 Yearly'!CA76*'Scope 3 Yearly'!CA86)*'Yearly Methanol'!O6</f>
        <v>121.12569117277748</v>
      </c>
      <c r="CB25" s="44">
        <f>('Scope 3 Yearly'!$EE$188*'Scope 3 Yearly'!CB83*(1-'Scope 3 Yearly'!$B$197)+'Scope 3 Yearly'!CB72*'Scope 3 Yearly'!CB82+'Scope 3 Yearly'!CB76*'Scope 3 Yearly'!CB86)*'Yearly Methanol'!P6</f>
        <v>124.22382258881531</v>
      </c>
      <c r="CC25" s="44">
        <f>('Scope 3 Yearly'!$EE$188*'Scope 3 Yearly'!CC83*(1-'Scope 3 Yearly'!$B$197)+'Scope 3 Yearly'!CC72*'Scope 3 Yearly'!CC82+'Scope 3 Yearly'!CC76*'Scope 3 Yearly'!CC86)*'Yearly Methanol'!Q6</f>
        <v>127.33693875758944</v>
      </c>
      <c r="CD25" s="44">
        <f>('Scope 3 Yearly'!$EE$188*'Scope 3 Yearly'!CD83*(1-'Scope 3 Yearly'!$B$197)+'Scope 3 Yearly'!CD72*'Scope 3 Yearly'!CD82+'Scope 3 Yearly'!CD76*'Scope 3 Yearly'!CD86)*'Yearly Methanol'!R6</f>
        <v>130.46313088457615</v>
      </c>
      <c r="CE25" s="44">
        <f>('Scope 3 Yearly'!$EE$188*'Scope 3 Yearly'!CE83*(1-'Scope 3 Yearly'!$B$197)+'Scope 3 Yearly'!CE72*'Scope 3 Yearly'!CE82+'Scope 3 Yearly'!CE76*'Scope 3 Yearly'!CE86)*'Yearly Methanol'!S6</f>
        <v>133.60029009521918</v>
      </c>
      <c r="CF25" s="44">
        <f>('Scope 3 Yearly'!$EE$188*'Scope 3 Yearly'!CF83*(1-'Scope 3 Yearly'!$B$197)+'Scope 3 Yearly'!CF72*'Scope 3 Yearly'!CF82+'Scope 3 Yearly'!CF76*'Scope 3 Yearly'!CF86)*'Yearly Methanol'!T6</f>
        <v>136.55232724920933</v>
      </c>
      <c r="CG25" s="44">
        <f>('Scope 3 Yearly'!$EE$188*'Scope 3 Yearly'!CG83*(1-'Scope 3 Yearly'!$B$197)+'Scope 3 Yearly'!CG72*'Scope 3 Yearly'!CG82+'Scope 3 Yearly'!CG76*'Scope 3 Yearly'!CG86)*'Yearly Methanol'!U6</f>
        <v>139.53250810467932</v>
      </c>
      <c r="CH25" s="44">
        <f>('Scope 3 Yearly'!$EE$188*'Scope 3 Yearly'!CH83*(1-'Scope 3 Yearly'!$B$197)+'Scope 3 Yearly'!CH72*'Scope 3 Yearly'!CH82+'Scope 3 Yearly'!CH76*'Scope 3 Yearly'!CH86)*'Yearly Methanol'!V6</f>
        <v>142.54061290006265</v>
      </c>
      <c r="CI25" s="44">
        <f>('Scope 3 Yearly'!$EE$188*'Scope 3 Yearly'!CI83*(1-'Scope 3 Yearly'!$B$197)+'Scope 3 Yearly'!CI72*'Scope 3 Yearly'!CI82+'Scope 3 Yearly'!CI76*'Scope 3 Yearly'!CI86)*'Yearly Methanol'!W6</f>
        <v>145.57641536400615</v>
      </c>
      <c r="CJ25" s="44">
        <f>('Scope 3 Yearly'!$EE$188*'Scope 3 Yearly'!CJ83*(1-'Scope 3 Yearly'!$B$197)+'Scope 3 Yearly'!CJ72*'Scope 3 Yearly'!CJ82+'Scope 3 Yearly'!CJ76*'Scope 3 Yearly'!CJ86)*'Yearly Methanol'!X6</f>
        <v>148.63968252128507</v>
      </c>
      <c r="CK25" s="44">
        <f>('Scope 3 Yearly'!$EE$188*'Scope 3 Yearly'!CK83*(1-'Scope 3 Yearly'!$B$197)+'Scope 3 Yearly'!CK72*'Scope 3 Yearly'!CK82+'Scope 3 Yearly'!CK76*'Scope 3 Yearly'!CK86)*'Yearly Methanol'!Y6</f>
        <v>151.27482984189902</v>
      </c>
      <c r="CL25" s="44">
        <f>('Scope 3 Yearly'!$EE$188*'Scope 3 Yearly'!CL83*(1-'Scope 3 Yearly'!$B$197)+'Scope 3 Yearly'!CL72*'Scope 3 Yearly'!CL82+'Scope 3 Yearly'!CL76*'Scope 3 Yearly'!CL86)*'Yearly Methanol'!Z6</f>
        <v>153.92907267710873</v>
      </c>
      <c r="CM25" s="44">
        <f>('Scope 3 Yearly'!$EE$188*'Scope 3 Yearly'!CM83*(1-'Scope 3 Yearly'!$B$197)+'Scope 3 Yearly'!CM72*'Scope 3 Yearly'!CM82+'Scope 3 Yearly'!CM76*'Scope 3 Yearly'!CM86)*'Yearly Methanol'!AA6</f>
        <v>156.60220886200608</v>
      </c>
      <c r="CN25" s="44">
        <f>('Scope 3 Yearly'!$EE$188*'Scope 3 Yearly'!CN83*(1-'Scope 3 Yearly'!$B$197)+'Scope 3 Yearly'!CN72*'Scope 3 Yearly'!CN82+'Scope 3 Yearly'!CN76*'Scope 3 Yearly'!CN86)*'Yearly Methanol'!AB6</f>
        <v>159.29403059415338</v>
      </c>
      <c r="CO25" s="44">
        <f>('Scope 3 Yearly'!$EE$188*'Scope 3 Yearly'!CO83*(1-'Scope 3 Yearly'!$B$197)+'Scope 3 Yearly'!CO72*'Scope 3 Yearly'!CO82+'Scope 3 Yearly'!CO76*'Scope 3 Yearly'!CO86)*'Yearly Methanol'!AC6</f>
        <v>162.00432426994314</v>
      </c>
      <c r="CP25" s="44">
        <f>('Scope 3 Yearly'!$EE$188*'Scope 3 Yearly'!CP83*(1-'Scope 3 Yearly'!$B$197)+'Scope 3 Yearly'!CP72*'Scope 3 Yearly'!CP82+'Scope 3 Yearly'!CP76*'Scope 3 Yearly'!CP86)*'Yearly Methanol'!AD6</f>
        <v>164.73303209899731</v>
      </c>
      <c r="CQ25" s="44">
        <f>('Scope 3 Yearly'!$EE$188*'Scope 3 Yearly'!CQ83*(1-'Scope 3 Yearly'!$B$197)+'Scope 3 Yearly'!CQ72*'Scope 3 Yearly'!CQ82+'Scope 3 Yearly'!CQ76*'Scope 3 Yearly'!CQ86)*'Yearly Methanol'!AE6</f>
        <v>167.47994053303705</v>
      </c>
      <c r="CR25" s="44">
        <f>('Scope 3 Yearly'!$EE$188*'Scope 3 Yearly'!CR83*(1-'Scope 3 Yearly'!$B$197)+'Scope 3 Yearly'!CR72*'Scope 3 Yearly'!CR82+'Scope 3 Yearly'!CR76*'Scope 3 Yearly'!CR86)*'Yearly Methanol'!AF6</f>
        <v>170.24483025466583</v>
      </c>
      <c r="CS25" s="44">
        <f>('Scope 3 Yearly'!$EE$188*'Scope 3 Yearly'!CS83*(1-'Scope 3 Yearly'!$B$197)+'Scope 3 Yearly'!CS72*'Scope 3 Yearly'!CS82+'Scope 3 Yearly'!CS76*'Scope 3 Yearly'!CS86)*'Yearly Methanol'!AG6</f>
        <v>173.02747601472177</v>
      </c>
      <c r="CT25" s="44">
        <f>('Scope 3 Yearly'!$EE$188*'Scope 3 Yearly'!CT83*(1-'Scope 3 Yearly'!$B$197)+'Scope 3 Yearly'!CT72*'Scope 3 Yearly'!CT82+'Scope 3 Yearly'!CT76*'Scope 3 Yearly'!CT86)*'Yearly Methanol'!AH6</f>
        <v>175.82764646459515</v>
      </c>
      <c r="CV25" s="44">
        <f>('Scope 3 Yearly'!$EE$188*'Scope 3 Yearly'!CV83*(1-'Scope 3 Yearly'!$B$197)+'Scope 3 Yearly'!CV72*'Scope 3 Yearly'!CV82+'Scope 3 Yearly'!CV76*'Scope 3 Yearly'!CV86)*'Yearly Methanol'!D6</f>
        <v>64.45034488817943</v>
      </c>
      <c r="CW25" s="44">
        <f>('Scope 3 Yearly'!$EE$188*'Scope 3 Yearly'!CW83*(1-'Scope 3 Yearly'!$B$197)+'Scope 3 Yearly'!CW72*'Scope 3 Yearly'!CW82+'Scope 3 Yearly'!CW76*'Scope 3 Yearly'!CW86)*'Yearly Methanol'!E6</f>
        <v>68.269796203463287</v>
      </c>
      <c r="CX25" s="44">
        <f>('Scope 3 Yearly'!$EE$188*'Scope 3 Yearly'!CX83*(1-'Scope 3 Yearly'!$B$197)+'Scope 3 Yearly'!CX72*'Scope 3 Yearly'!CX82+'Scope 3 Yearly'!CX76*'Scope 3 Yearly'!CX86)*'Yearly Methanol'!F6</f>
        <v>72.089495116624278</v>
      </c>
      <c r="CY25" s="44">
        <f>('Scope 3 Yearly'!$EE$188*'Scope 3 Yearly'!CY83*(1-'Scope 3 Yearly'!$B$197)+'Scope 3 Yearly'!CY72*'Scope 3 Yearly'!CY82+'Scope 3 Yearly'!CY76*'Scope 3 Yearly'!CY86)*'Yearly Methanol'!G6</f>
        <v>75.912414527842785</v>
      </c>
      <c r="CZ25" s="44">
        <f>('Scope 3 Yearly'!$EE$188*'Scope 3 Yearly'!CZ83*(1-'Scope 3 Yearly'!$B$197)+'Scope 3 Yearly'!CZ72*'Scope 3 Yearly'!CZ82+'Scope 3 Yearly'!CZ76*'Scope 3 Yearly'!CZ86)*'Yearly Methanol'!H6</f>
        <v>79.740556235849866</v>
      </c>
      <c r="DA25" s="44">
        <f>('Scope 3 Yearly'!$EE$188*'Scope 3 Yearly'!DA83*(1-'Scope 3 Yearly'!$B$197)+'Scope 3 Yearly'!DA72*'Scope 3 Yearly'!DA82+'Scope 3 Yearly'!DA76*'Scope 3 Yearly'!DA86)*'Yearly Methanol'!I6</f>
        <v>83.574020691706252</v>
      </c>
      <c r="DB25" s="44">
        <f>('Scope 3 Yearly'!$EE$188*'Scope 3 Yearly'!DB83*(1-'Scope 3 Yearly'!$B$197)+'Scope 3 Yearly'!DB72*'Scope 3 Yearly'!DB82+'Scope 3 Yearly'!DB76*'Scope 3 Yearly'!DB86)*'Yearly Methanol'!J6</f>
        <v>87.436590639352829</v>
      </c>
      <c r="DC25" s="44">
        <f>('Scope 3 Yearly'!$EE$188*'Scope 3 Yearly'!DC83*(1-'Scope 3 Yearly'!$B$197)+'Scope 3 Yearly'!DC72*'Scope 3 Yearly'!DC82+'Scope 3 Yearly'!DC76*'Scope 3 Yearly'!DC86)*'Yearly Methanol'!K6</f>
        <v>91.294693945070293</v>
      </c>
      <c r="DD25" s="44">
        <f>('Scope 3 Yearly'!$EE$188*'Scope 3 Yearly'!DD83*(1-'Scope 3 Yearly'!$B$197)+'Scope 3 Yearly'!DD72*'Scope 3 Yearly'!DD82+'Scope 3 Yearly'!DD76*'Scope 3 Yearly'!DD86)*'Yearly Methanol'!L6</f>
        <v>95.124909720820199</v>
      </c>
      <c r="DE25" s="44">
        <f>('Scope 3 Yearly'!$EE$188*'Scope 3 Yearly'!DE83*(1-'Scope 3 Yearly'!$B$197)+'Scope 3 Yearly'!DE72*'Scope 3 Yearly'!DE82+'Scope 3 Yearly'!DE76*'Scope 3 Yearly'!DE86)*'Yearly Methanol'!M6</f>
        <v>98.881130473317327</v>
      </c>
      <c r="DF25" s="44">
        <f>('Scope 3 Yearly'!$EE$188*'Scope 3 Yearly'!DF83*(1-'Scope 3 Yearly'!$B$197)+'Scope 3 Yearly'!DF72*'Scope 3 Yearly'!DF82+'Scope 3 Yearly'!DF76*'Scope 3 Yearly'!DF86)*'Yearly Methanol'!N6</f>
        <v>102.4806697327684</v>
      </c>
      <c r="DG25" s="44">
        <f>('Scope 3 Yearly'!$EE$188*'Scope 3 Yearly'!DG83*(1-'Scope 3 Yearly'!$B$197)+'Scope 3 Yearly'!DG72*'Scope 3 Yearly'!DG82+'Scope 3 Yearly'!DG76*'Scope 3 Yearly'!DG86)*'Yearly Methanol'!O6</f>
        <v>103.05501088803561</v>
      </c>
      <c r="DH25" s="44">
        <f>('Scope 3 Yearly'!$EE$188*'Scope 3 Yearly'!DH83*(1-'Scope 3 Yearly'!$B$197)+'Scope 3 Yearly'!DH72*'Scope 3 Yearly'!DH82+'Scope 3 Yearly'!DH76*'Scope 3 Yearly'!DH86)*'Yearly Methanol'!P6</f>
        <v>103.16282933988538</v>
      </c>
      <c r="DI25" s="44">
        <f>('Scope 3 Yearly'!$EE$188*'Scope 3 Yearly'!DI83*(1-'Scope 3 Yearly'!$B$197)+'Scope 3 Yearly'!DI72*'Scope 3 Yearly'!DI82+'Scope 3 Yearly'!DI76*'Scope 3 Yearly'!DI86)*'Yearly Methanol'!Q6</f>
        <v>102.70841467788775</v>
      </c>
      <c r="DJ25" s="44">
        <f>('Scope 3 Yearly'!$EE$188*'Scope 3 Yearly'!DJ83*(1-'Scope 3 Yearly'!$B$197)+'Scope 3 Yearly'!DJ72*'Scope 3 Yearly'!DJ82+'Scope 3 Yearly'!DJ76*'Scope 3 Yearly'!DJ86)*'Yearly Methanol'!R6</f>
        <v>101.45715156404329</v>
      </c>
      <c r="DK25" s="44">
        <f>('Scope 3 Yearly'!$EE$188*'Scope 3 Yearly'!DK83*(1-'Scope 3 Yearly'!$B$197)+'Scope 3 Yearly'!DK72*'Scope 3 Yearly'!DK82+'Scope 3 Yearly'!DK76*'Scope 3 Yearly'!DK86)*'Yearly Methanol'!S6</f>
        <v>99.313939980551737</v>
      </c>
      <c r="DL25" s="44">
        <f>('Scope 3 Yearly'!$EE$188*'Scope 3 Yearly'!DL83*(1-'Scope 3 Yearly'!$B$197)+'Scope 3 Yearly'!DL72*'Scope 3 Yearly'!DL82+'Scope 3 Yearly'!DL76*'Scope 3 Yearly'!DL86)*'Yearly Methanol'!T6</f>
        <v>96.167108891376998</v>
      </c>
      <c r="DM25" s="44">
        <f>('Scope 3 Yearly'!$EE$188*'Scope 3 Yearly'!DM83*(1-'Scope 3 Yearly'!$B$197)+'Scope 3 Yearly'!DM72*'Scope 3 Yearly'!DM82+'Scope 3 Yearly'!DM76*'Scope 3 Yearly'!DM86)*'Yearly Methanol'!U6</f>
        <v>92.41403709722222</v>
      </c>
      <c r="DN25" s="44">
        <f>('Scope 3 Yearly'!$EE$188*'Scope 3 Yearly'!DN83*(1-'Scope 3 Yearly'!$B$197)+'Scope 3 Yearly'!DN72*'Scope 3 Yearly'!DN82+'Scope 3 Yearly'!DN76*'Scope 3 Yearly'!DN86)*'Yearly Methanol'!V6</f>
        <v>88.371795767428893</v>
      </c>
      <c r="DO25" s="44">
        <f>('Scope 3 Yearly'!$EE$188*'Scope 3 Yearly'!DO83*(1-'Scope 3 Yearly'!$B$197)+'Scope 3 Yearly'!DO72*'Scope 3 Yearly'!DO82+'Scope 3 Yearly'!DO76*'Scope 3 Yearly'!DO86)*'Yearly Methanol'!W6</f>
        <v>84.361249357552325</v>
      </c>
      <c r="DP25" s="44">
        <f>('Scope 3 Yearly'!$EE$188*'Scope 3 Yearly'!DP83*(1-'Scope 3 Yearly'!$B$197)+'Scope 3 Yearly'!DP72*'Scope 3 Yearly'!DP82+'Scope 3 Yearly'!DP76*'Scope 3 Yearly'!DP86)*'Yearly Methanol'!X6</f>
        <v>80.629179991745005</v>
      </c>
      <c r="DQ25" s="44">
        <f>('Scope 3 Yearly'!$EE$188*'Scope 3 Yearly'!DQ83*(1-'Scope 3 Yearly'!$B$197)+'Scope 3 Yearly'!DQ72*'Scope 3 Yearly'!DQ82+'Scope 3 Yearly'!DQ76*'Scope 3 Yearly'!DQ86)*'Yearly Methanol'!Y6</f>
        <v>76.865186732004332</v>
      </c>
      <c r="DR25" s="44">
        <f>('Scope 3 Yearly'!$EE$188*'Scope 3 Yearly'!DR83*(1-'Scope 3 Yearly'!$B$197)+'Scope 3 Yearly'!DR72*'Scope 3 Yearly'!DR82+'Scope 3 Yearly'!DR76*'Scope 3 Yearly'!DR86)*'Yearly Methanol'!Z6</f>
        <v>73.475698761043816</v>
      </c>
      <c r="DS25" s="44">
        <f>('Scope 3 Yearly'!$EE$188*'Scope 3 Yearly'!DS83*(1-'Scope 3 Yearly'!$B$197)+'Scope 3 Yearly'!DS72*'Scope 3 Yearly'!DS82+'Scope 3 Yearly'!DS76*'Scope 3 Yearly'!DS86)*'Yearly Methanol'!AA6</f>
        <v>70.582716777952541</v>
      </c>
      <c r="DT25" s="44">
        <f>('Scope 3 Yearly'!$EE$188*'Scope 3 Yearly'!DT83*(1-'Scope 3 Yearly'!$B$197)+'Scope 3 Yearly'!DT72*'Scope 3 Yearly'!DT82+'Scope 3 Yearly'!DT76*'Scope 3 Yearly'!DT86)*'Yearly Methanol'!AB6</f>
        <v>68.118102308681728</v>
      </c>
      <c r="DU25" s="44">
        <f>('Scope 3 Yearly'!$EE$188*'Scope 3 Yearly'!DU83*(1-'Scope 3 Yearly'!$B$197)+'Scope 3 Yearly'!DU72*'Scope 3 Yearly'!DU82+'Scope 3 Yearly'!DU76*'Scope 3 Yearly'!DU86)*'Yearly Methanol'!AC6</f>
        <v>65.990719864174395</v>
      </c>
      <c r="DV25" s="44">
        <f>('Scope 3 Yearly'!$EE$188*'Scope 3 Yearly'!DV83*(1-'Scope 3 Yearly'!$B$197)+'Scope 3 Yearly'!DV72*'Scope 3 Yearly'!DV82+'Scope 3 Yearly'!DV76*'Scope 3 Yearly'!DV86)*'Yearly Methanol'!AD6</f>
        <v>64.130434200772754</v>
      </c>
      <c r="DW25" s="44">
        <f>('Scope 3 Yearly'!$EE$188*'Scope 3 Yearly'!DW83*(1-'Scope 3 Yearly'!$B$197)+'Scope 3 Yearly'!DW72*'Scope 3 Yearly'!DW82+'Scope 3 Yearly'!DW76*'Scope 3 Yearly'!DW86)*'Yearly Methanol'!AE6</f>
        <v>62.463137091176748</v>
      </c>
      <c r="DX25" s="44">
        <f>('Scope 3 Yearly'!$EE$188*'Scope 3 Yearly'!DX83*(1-'Scope 3 Yearly'!$B$197)+'Scope 3 Yearly'!DX72*'Scope 3 Yearly'!DX82+'Scope 3 Yearly'!DX76*'Scope 3 Yearly'!DX86)*'Yearly Methanol'!AF6</f>
        <v>60.932744479583157</v>
      </c>
      <c r="DY25" s="44">
        <f>('Scope 3 Yearly'!$EE$188*'Scope 3 Yearly'!DY83*(1-'Scope 3 Yearly'!$B$197)+'Scope 3 Yearly'!DY72*'Scope 3 Yearly'!DY82+'Scope 3 Yearly'!DY76*'Scope 3 Yearly'!DY86)*'Yearly Methanol'!AG6</f>
        <v>59.484294820447353</v>
      </c>
      <c r="DZ25" s="44">
        <f>('Scope 3 Yearly'!$EE$188*'Scope 3 Yearly'!DZ83*(1-'Scope 3 Yearly'!$B$197)+'Scope 3 Yearly'!DZ72*'Scope 3 Yearly'!DZ82+'Scope 3 Yearly'!DZ76*'Scope 3 Yearly'!DZ86)*'Yearly Methanol'!AH6</f>
        <v>58.086111535543857</v>
      </c>
    </row>
    <row r="26" spans="1:165" x14ac:dyDescent="0.2">
      <c r="A26" t="s">
        <v>7</v>
      </c>
      <c r="C26" s="54" t="s">
        <v>415</v>
      </c>
      <c r="D26" s="44">
        <f>('Scope 3 Yearly'!$EE$189*'Scope 3 Yearly'!D106*(1-'Scope 3 Yearly'!$B$197)+'Scope 3 Yearly'!D95*'Scope 3 Yearly'!D105+'Scope 3 Yearly'!D99*'Scope 3 Yearly'!D109)*'Yearly BTX'!D129</f>
        <v>50.838791598055003</v>
      </c>
      <c r="E26" s="44">
        <f>('Scope 3 Yearly'!$EE$189*'Scope 3 Yearly'!E106*(1-'Scope 3 Yearly'!$B$197)+'Scope 3 Yearly'!E95*'Scope 3 Yearly'!E105+'Scope 3 Yearly'!E99*'Scope 3 Yearly'!E109)*'Yearly BTX'!E129</f>
        <v>51.243019235108328</v>
      </c>
      <c r="F26" s="44">
        <f>('Scope 3 Yearly'!$EE$189*'Scope 3 Yearly'!F106*(1-'Scope 3 Yearly'!$B$197)+'Scope 3 Yearly'!F95*'Scope 3 Yearly'!F105+'Scope 3 Yearly'!F99*'Scope 3 Yearly'!F109)*'Yearly BTX'!F129</f>
        <v>51.422327736939735</v>
      </c>
      <c r="G26" s="44">
        <f>('Scope 3 Yearly'!$EE$189*'Scope 3 Yearly'!G106*(1-'Scope 3 Yearly'!$B$197)+'Scope 3 Yearly'!G95*'Scope 3 Yearly'!G105+'Scope 3 Yearly'!G99*'Scope 3 Yearly'!G109)*'Yearly BTX'!G129</f>
        <v>51.648700795277293</v>
      </c>
      <c r="H26" s="44">
        <f>('Scope 3 Yearly'!$EE$189*'Scope 3 Yearly'!H106*(1-'Scope 3 Yearly'!$B$197)+'Scope 3 Yearly'!H95*'Scope 3 Yearly'!H105+'Scope 3 Yearly'!H99*'Scope 3 Yearly'!H109)*'Yearly BTX'!H129</f>
        <v>51.884235370655503</v>
      </c>
      <c r="I26" s="44">
        <f>('Scope 3 Yearly'!$EE$189*'Scope 3 Yearly'!I106*(1-'Scope 3 Yearly'!$B$197)+'Scope 3 Yearly'!I95*'Scope 3 Yearly'!I105+'Scope 3 Yearly'!I99*'Scope 3 Yearly'!I109)*'Yearly BTX'!I129</f>
        <v>52.127475760435551</v>
      </c>
      <c r="J26" s="44">
        <f>('Scope 3 Yearly'!$EE$189*'Scope 3 Yearly'!J106*(1-'Scope 3 Yearly'!$B$197)+'Scope 3 Yearly'!J95*'Scope 3 Yearly'!J105+'Scope 3 Yearly'!J99*'Scope 3 Yearly'!J109)*'Yearly BTX'!J129</f>
        <v>51.895345510651744</v>
      </c>
      <c r="K26" s="44">
        <f>('Scope 3 Yearly'!$EE$189*'Scope 3 Yearly'!K106*(1-'Scope 3 Yearly'!$B$197)+'Scope 3 Yearly'!K95*'Scope 3 Yearly'!K105+'Scope 3 Yearly'!K99*'Scope 3 Yearly'!K109)*'Yearly BTX'!K129</f>
        <v>51.641358543631981</v>
      </c>
      <c r="L26" s="44">
        <f>('Scope 3 Yearly'!$EE$189*'Scope 3 Yearly'!L106*(1-'Scope 3 Yearly'!$B$197)+'Scope 3 Yearly'!L95*'Scope 3 Yearly'!L105+'Scope 3 Yearly'!L99*'Scope 3 Yearly'!L109)*'Yearly BTX'!L129</f>
        <v>51.349981505750222</v>
      </c>
      <c r="M26" s="44">
        <f>('Scope 3 Yearly'!$EE$189*'Scope 3 Yearly'!M106*(1-'Scope 3 Yearly'!$B$197)+'Scope 3 Yearly'!M95*'Scope 3 Yearly'!M105+'Scope 3 Yearly'!M99*'Scope 3 Yearly'!M109)*'Yearly BTX'!M129</f>
        <v>50.994249742331604</v>
      </c>
      <c r="N26" s="44">
        <f>('Scope 3 Yearly'!$EE$189*'Scope 3 Yearly'!N106*(1-'Scope 3 Yearly'!$B$197)+'Scope 3 Yearly'!N95*'Scope 3 Yearly'!N105+'Scope 3 Yearly'!N99*'Scope 3 Yearly'!N109)*'Yearly BTX'!N129</f>
        <v>50.52999557373122</v>
      </c>
      <c r="O26" s="44">
        <f>('Scope 3 Yearly'!$EE$189*'Scope 3 Yearly'!O106*(1-'Scope 3 Yearly'!$B$197)+'Scope 3 Yearly'!O95*'Scope 3 Yearly'!O105+'Scope 3 Yearly'!O99*'Scope 3 Yearly'!O109)*'Yearly BTX'!O129</f>
        <v>48.813496223569253</v>
      </c>
      <c r="P26" s="44">
        <f>('Scope 3 Yearly'!$EE$189*'Scope 3 Yearly'!P106*(1-'Scope 3 Yearly'!$B$197)+'Scope 3 Yearly'!P95*'Scope 3 Yearly'!P105+'Scope 3 Yearly'!P99*'Scope 3 Yearly'!P109)*'Yearly BTX'!P129</f>
        <v>46.876576179495075</v>
      </c>
      <c r="Q26" s="44">
        <f>('Scope 3 Yearly'!$EE$189*'Scope 3 Yearly'!Q106*(1-'Scope 3 Yearly'!$B$197)+'Scope 3 Yearly'!Q95*'Scope 3 Yearly'!Q105+'Scope 3 Yearly'!Q99*'Scope 3 Yearly'!Q109)*'Yearly BTX'!Q129</f>
        <v>44.649316067425424</v>
      </c>
      <c r="R26" s="44">
        <f>('Scope 3 Yearly'!$EE$189*'Scope 3 Yearly'!R106*(1-'Scope 3 Yearly'!$B$197)+'Scope 3 Yearly'!R95*'Scope 3 Yearly'!R105+'Scope 3 Yearly'!R99*'Scope 3 Yearly'!R109)*'Yearly BTX'!R129</f>
        <v>42.088256053850657</v>
      </c>
      <c r="S26" s="44">
        <f>('Scope 3 Yearly'!$EE$189*'Scope 3 Yearly'!S106*(1-'Scope 3 Yearly'!$B$197)+'Scope 3 Yearly'!S95*'Scope 3 Yearly'!S105+'Scope 3 Yearly'!S99*'Scope 3 Yearly'!S109)*'Yearly BTX'!S129</f>
        <v>39.208051793044376</v>
      </c>
      <c r="T26" s="44">
        <f>('Scope 3 Yearly'!$EE$189*'Scope 3 Yearly'!T106*(1-'Scope 3 Yearly'!$B$197)+'Scope 3 Yearly'!T95*'Scope 3 Yearly'!T105+'Scope 3 Yearly'!T99*'Scope 3 Yearly'!T109)*'Yearly BTX'!T129</f>
        <v>36.067141324826906</v>
      </c>
      <c r="U26" s="44">
        <f>('Scope 3 Yearly'!$EE$189*'Scope 3 Yearly'!U106*(1-'Scope 3 Yearly'!$B$197)+'Scope 3 Yearly'!U95*'Scope 3 Yearly'!U105+'Scope 3 Yearly'!U99*'Scope 3 Yearly'!U109)*'Yearly BTX'!U129</f>
        <v>32.837935554226121</v>
      </c>
      <c r="V26" s="44">
        <f>('Scope 3 Yearly'!$EE$189*'Scope 3 Yearly'!V106*(1-'Scope 3 Yearly'!$B$197)+'Scope 3 Yearly'!V95*'Scope 3 Yearly'!V105+'Scope 3 Yearly'!V99*'Scope 3 Yearly'!V109)*'Yearly BTX'!V129</f>
        <v>29.688870493950528</v>
      </c>
      <c r="W26" s="44">
        <f>('Scope 3 Yearly'!$EE$189*'Scope 3 Yearly'!W106*(1-'Scope 3 Yearly'!$B$197)+'Scope 3 Yearly'!W95*'Scope 3 Yearly'!W105+'Scope 3 Yearly'!W99*'Scope 3 Yearly'!W109)*'Yearly BTX'!W129</f>
        <v>26.75853064120199</v>
      </c>
      <c r="X26" s="44">
        <f>('Scope 3 Yearly'!$EE$189*'Scope 3 Yearly'!X106*(1-'Scope 3 Yearly'!$B$197)+'Scope 3 Yearly'!X95*'Scope 3 Yearly'!X105+'Scope 3 Yearly'!X99*'Scope 3 Yearly'!X109)*'Yearly BTX'!X129</f>
        <v>24.128877884160424</v>
      </c>
      <c r="Y26" s="44">
        <f>('Scope 3 Yearly'!$EE$189*'Scope 3 Yearly'!Y106*(1-'Scope 3 Yearly'!$B$197)+'Scope 3 Yearly'!Y95*'Scope 3 Yearly'!Y105+'Scope 3 Yearly'!Y99*'Scope 3 Yearly'!Y109)*'Yearly BTX'!Y129</f>
        <v>21.371969154310893</v>
      </c>
      <c r="Z26" s="44">
        <f>('Scope 3 Yearly'!$EE$189*'Scope 3 Yearly'!Z106*(1-'Scope 3 Yearly'!$B$197)+'Scope 3 Yearly'!Z95*'Scope 3 Yearly'!Z105+'Scope 3 Yearly'!Z99*'Scope 3 Yearly'!Z109)*'Yearly BTX'!Z129</f>
        <v>18.9958574083259</v>
      </c>
      <c r="AA26" s="44">
        <f>('Scope 3 Yearly'!$EE$189*'Scope 3 Yearly'!AA106*(1-'Scope 3 Yearly'!$B$197)+'Scope 3 Yearly'!AA95*'Scope 3 Yearly'!AA105+'Scope 3 Yearly'!AA99*'Scope 3 Yearly'!AA109)*'Yearly BTX'!AA129</f>
        <v>16.948737038300479</v>
      </c>
      <c r="AB26" s="44">
        <f>('Scope 3 Yearly'!$EE$189*'Scope 3 Yearly'!AB106*(1-'Scope 3 Yearly'!$B$197)+'Scope 3 Yearly'!AB95*'Scope 3 Yearly'!AB105+'Scope 3 Yearly'!AB99*'Scope 3 Yearly'!AB109)*'Yearly BTX'!AB129</f>
        <v>15.151489991416206</v>
      </c>
      <c r="AC26" s="44">
        <f>('Scope 3 Yearly'!$EE$189*'Scope 3 Yearly'!AC106*(1-'Scope 3 Yearly'!$B$197)+'Scope 3 Yearly'!AC95*'Scope 3 Yearly'!AC105+'Scope 3 Yearly'!AC99*'Scope 3 Yearly'!AC109)*'Yearly BTX'!AC129</f>
        <v>13.569118776314523</v>
      </c>
      <c r="AD26" s="44">
        <f>('Scope 3 Yearly'!$EE$189*'Scope 3 Yearly'!AD106*(1-'Scope 3 Yearly'!$B$197)+'Scope 3 Yearly'!AD95*'Scope 3 Yearly'!AD105+'Scope 3 Yearly'!AD99*'Scope 3 Yearly'!AD109)*'Yearly BTX'!AD129</f>
        <v>12.143314622852456</v>
      </c>
      <c r="AE26" s="44">
        <f>('Scope 3 Yearly'!$EE$189*'Scope 3 Yearly'!AE106*(1-'Scope 3 Yearly'!$B$197)+'Scope 3 Yearly'!AE95*'Scope 3 Yearly'!AE105+'Scope 3 Yearly'!AE99*'Scope 3 Yearly'!AE109)*'Yearly BTX'!AE129</f>
        <v>10.867972469363266</v>
      </c>
      <c r="AF26" s="44">
        <f>('Scope 3 Yearly'!$EE$189*'Scope 3 Yearly'!AF106*(1-'Scope 3 Yearly'!$B$197)+'Scope 3 Yearly'!AF95*'Scope 3 Yearly'!AF105+'Scope 3 Yearly'!AF99*'Scope 3 Yearly'!AF109)*'Yearly BTX'!AF129</f>
        <v>9.7168981479144261</v>
      </c>
      <c r="AG26" s="44">
        <f>('Scope 3 Yearly'!$EE$189*'Scope 3 Yearly'!AG106*(1-'Scope 3 Yearly'!$B$197)+'Scope 3 Yearly'!AG95*'Scope 3 Yearly'!AG105+'Scope 3 Yearly'!AG99*'Scope 3 Yearly'!AG109)*'Yearly BTX'!AG129</f>
        <v>8.6712704273426748</v>
      </c>
      <c r="AH26" s="44">
        <f>('Scope 3 Yearly'!$EE$189*'Scope 3 Yearly'!AH106*(1-'Scope 3 Yearly'!$B$197)+'Scope 3 Yearly'!AH95*'Scope 3 Yearly'!AH105+'Scope 3 Yearly'!AH99*'Scope 3 Yearly'!AH109)*'Yearly BTX'!AH129</f>
        <v>7.7183119238775486</v>
      </c>
      <c r="AI26" s="44"/>
      <c r="AJ26" s="44">
        <f>('Scope 3 Yearly'!$EE$189*'Scope 3 Yearly'!AJ106*(1-'Scope 3 Yearly'!$B$197)+'Scope 3 Yearly'!AJ95*'Scope 3 Yearly'!AJ105+'Scope 3 Yearly'!AJ99*'Scope 3 Yearly'!AJ109)*'Yearly BTX'!AJ129</f>
        <v>50.83880064504411</v>
      </c>
      <c r="AK26" s="44">
        <f>('Scope 3 Yearly'!$EE$189*'Scope 3 Yearly'!AK106*(1-'Scope 3 Yearly'!$B$197)+'Scope 3 Yearly'!AK95*'Scope 3 Yearly'!AK105+'Scope 3 Yearly'!AK99*'Scope 3 Yearly'!AK109)*'Yearly BTX'!AK129</f>
        <v>51.525704881905874</v>
      </c>
      <c r="AL26" s="44">
        <f>('Scope 3 Yearly'!$EE$189*'Scope 3 Yearly'!AL106*(1-'Scope 3 Yearly'!$B$197)+'Scope 3 Yearly'!AL95*'Scope 3 Yearly'!AL105+'Scope 3 Yearly'!AL99*'Scope 3 Yearly'!AL109)*'Yearly BTX'!AL129</f>
        <v>52.017540252386503</v>
      </c>
      <c r="AM26" s="44">
        <f>('Scope 3 Yearly'!$EE$189*'Scope 3 Yearly'!AM106*(1-'Scope 3 Yearly'!$B$197)+'Scope 3 Yearly'!AM95*'Scope 3 Yearly'!AM105+'Scope 3 Yearly'!AM99*'Scope 3 Yearly'!AM109)*'Yearly BTX'!AM129</f>
        <v>52.558119524053829</v>
      </c>
      <c r="AN26" s="44">
        <f>('Scope 3 Yearly'!$EE$189*'Scope 3 Yearly'!AN106*(1-'Scope 3 Yearly'!$B$197)+'Scope 3 Yearly'!AN95*'Scope 3 Yearly'!AN105+'Scope 3 Yearly'!AN99*'Scope 3 Yearly'!AN109)*'Yearly BTX'!AN129</f>
        <v>53.11957047538003</v>
      </c>
      <c r="AO26" s="44">
        <f>('Scope 3 Yearly'!$EE$189*'Scope 3 Yearly'!AO106*(1-'Scope 3 Yearly'!$B$197)+'Scope 3 Yearly'!AO95*'Scope 3 Yearly'!AO105+'Scope 3 Yearly'!AO99*'Scope 3 Yearly'!AO109)*'Yearly BTX'!AO129</f>
        <v>53.700897019022065</v>
      </c>
      <c r="AP26" s="44">
        <f>('Scope 3 Yearly'!$EE$189*'Scope 3 Yearly'!AP106*(1-'Scope 3 Yearly'!$B$197)+'Scope 3 Yearly'!AP95*'Scope 3 Yearly'!AP105+'Scope 3 Yearly'!AP99*'Scope 3 Yearly'!AP109)*'Yearly BTX'!AP129</f>
        <v>53.840922622821303</v>
      </c>
      <c r="AQ26" s="44">
        <f>('Scope 3 Yearly'!$EE$189*'Scope 3 Yearly'!AQ106*(1-'Scope 3 Yearly'!$B$197)+'Scope 3 Yearly'!AQ95*'Scope 3 Yearly'!AQ105+'Scope 3 Yearly'!AQ99*'Scope 3 Yearly'!AQ109)*'Yearly BTX'!AQ129</f>
        <v>53.971876037705663</v>
      </c>
      <c r="AR26" s="44">
        <f>('Scope 3 Yearly'!$EE$189*'Scope 3 Yearly'!AR106*(1-'Scope 3 Yearly'!$B$197)+'Scope 3 Yearly'!AR95*'Scope 3 Yearly'!AR105+'Scope 3 Yearly'!AR99*'Scope 3 Yearly'!AR109)*'Yearly BTX'!AR129</f>
        <v>54.077978639286385</v>
      </c>
      <c r="AS26" s="44">
        <f>('Scope 3 Yearly'!$EE$189*'Scope 3 Yearly'!AS106*(1-'Scope 3 Yearly'!$B$197)+'Scope 3 Yearly'!AS95*'Scope 3 Yearly'!AS105+'Scope 3 Yearly'!AS99*'Scope 3 Yearly'!AS109)*'Yearly BTX'!AS129</f>
        <v>54.131129181348328</v>
      </c>
      <c r="AT26" s="44">
        <f>('Scope 3 Yearly'!$EE$189*'Scope 3 Yearly'!AT106*(1-'Scope 3 Yearly'!$B$197)+'Scope 3 Yearly'!AT95*'Scope 3 Yearly'!AT105+'Scope 3 Yearly'!AT99*'Scope 3 Yearly'!AT109)*'Yearly BTX'!AT129</f>
        <v>54.084404167364625</v>
      </c>
      <c r="AU26" s="44">
        <f>('Scope 3 Yearly'!$EE$189*'Scope 3 Yearly'!AU106*(1-'Scope 3 Yearly'!$B$197)+'Scope 3 Yearly'!AU95*'Scope 3 Yearly'!AU105+'Scope 3 Yearly'!AU99*'Scope 3 Yearly'!AU109)*'Yearly BTX'!AU129</f>
        <v>52.834978572297807</v>
      </c>
      <c r="AV26" s="44">
        <f>('Scope 3 Yearly'!$EE$189*'Scope 3 Yearly'!AV106*(1-'Scope 3 Yearly'!$B$197)+'Scope 3 Yearly'!AV95*'Scope 3 Yearly'!AV105+'Scope 3 Yearly'!AV99*'Scope 3 Yearly'!AV109)*'Yearly BTX'!AV129</f>
        <v>51.353450814308843</v>
      </c>
      <c r="AW26" s="44">
        <f>('Scope 3 Yearly'!$EE$189*'Scope 3 Yearly'!AW106*(1-'Scope 3 Yearly'!$B$197)+'Scope 3 Yearly'!AW95*'Scope 3 Yearly'!AW105+'Scope 3 Yearly'!AW99*'Scope 3 Yearly'!AW109)*'Yearly BTX'!AW129</f>
        <v>49.553720797531135</v>
      </c>
      <c r="AX26" s="44">
        <f>('Scope 3 Yearly'!$EE$189*'Scope 3 Yearly'!AX106*(1-'Scope 3 Yearly'!$B$197)+'Scope 3 Yearly'!AX95*'Scope 3 Yearly'!AX105+'Scope 3 Yearly'!AX99*'Scope 3 Yearly'!AX109)*'Yearly BTX'!AX129</f>
        <v>47.369890126990974</v>
      </c>
      <c r="AY26" s="44">
        <f>('Scope 3 Yearly'!$EE$189*'Scope 3 Yearly'!AY106*(1-'Scope 3 Yearly'!$B$197)+'Scope 3 Yearly'!AY95*'Scope 3 Yearly'!AY105+'Scope 3 Yearly'!AY99*'Scope 3 Yearly'!AY109)*'Yearly BTX'!AY129</f>
        <v>44.795628103908392</v>
      </c>
      <c r="AZ26" s="44">
        <f>('Scope 3 Yearly'!$EE$189*'Scope 3 Yearly'!AZ106*(1-'Scope 3 Yearly'!$B$197)+'Scope 3 Yearly'!AZ95*'Scope 3 Yearly'!AZ105+'Scope 3 Yearly'!AZ99*'Scope 3 Yearly'!AZ109)*'Yearly BTX'!AZ129</f>
        <v>41.861847036987314</v>
      </c>
      <c r="BA26" s="44">
        <f>('Scope 3 Yearly'!$EE$189*'Scope 3 Yearly'!BA106*(1-'Scope 3 Yearly'!$B$197)+'Scope 3 Yearly'!BA95*'Scope 3 Yearly'!BA105+'Scope 3 Yearly'!BA99*'Scope 3 Yearly'!BA109)*'Yearly BTX'!BA129</f>
        <v>38.755911235220786</v>
      </c>
      <c r="BB26" s="44">
        <f>('Scope 3 Yearly'!$EE$189*'Scope 3 Yearly'!BB106*(1-'Scope 3 Yearly'!$B$197)+'Scope 3 Yearly'!BB95*'Scope 3 Yearly'!BB105+'Scope 3 Yearly'!BB99*'Scope 3 Yearly'!BB109)*'Yearly BTX'!BB129</f>
        <v>35.661766811899561</v>
      </c>
      <c r="BC26" s="44">
        <f>('Scope 3 Yearly'!$EE$189*'Scope 3 Yearly'!BC106*(1-'Scope 3 Yearly'!$B$197)+'Scope 3 Yearly'!BC95*'Scope 3 Yearly'!BC105+'Scope 3 Yearly'!BC99*'Scope 3 Yearly'!BC109)*'Yearly BTX'!BC129</f>
        <v>32.7423680916473</v>
      </c>
      <c r="BD26" s="44">
        <f>('Scope 3 Yearly'!$EE$189*'Scope 3 Yearly'!BD106*(1-'Scope 3 Yearly'!$B$197)+'Scope 3 Yearly'!BD95*'Scope 3 Yearly'!BD105+'Scope 3 Yearly'!BD99*'Scope 3 Yearly'!BD109)*'Yearly BTX'!BD129</f>
        <v>30.104997222915319</v>
      </c>
      <c r="BE26" s="44">
        <f>('Scope 3 Yearly'!$EE$189*'Scope 3 Yearly'!BE106*(1-'Scope 3 Yearly'!$B$197)+'Scope 3 Yearly'!BE95*'Scope 3 Yearly'!BE105+'Scope 3 Yearly'!BE99*'Scope 3 Yearly'!BE109)*'Yearly BTX'!BE129</f>
        <v>27.321369591478021</v>
      </c>
      <c r="BF26" s="44">
        <f>('Scope 3 Yearly'!$EE$189*'Scope 3 Yearly'!BF106*(1-'Scope 3 Yearly'!$B$197)+'Scope 3 Yearly'!BF95*'Scope 3 Yearly'!BF105+'Scope 3 Yearly'!BF99*'Scope 3 Yearly'!BF109)*'Yearly BTX'!BF129</f>
        <v>24.929451110615702</v>
      </c>
      <c r="BG26" s="44">
        <f>('Scope 3 Yearly'!$EE$189*'Scope 3 Yearly'!BG106*(1-'Scope 3 Yearly'!$B$197)+'Scope 3 Yearly'!BG95*'Scope 3 Yearly'!BG105+'Scope 3 Yearly'!BG99*'Scope 3 Yearly'!BG109)*'Yearly BTX'!BG129</f>
        <v>22.885688577682437</v>
      </c>
      <c r="BH26" s="44">
        <f>('Scope 3 Yearly'!$EE$189*'Scope 3 Yearly'!BH106*(1-'Scope 3 Yearly'!$B$197)+'Scope 3 Yearly'!BH95*'Scope 3 Yearly'!BH105+'Scope 3 Yearly'!BH99*'Scope 3 Yearly'!BH109)*'Yearly BTX'!BH129</f>
        <v>21.130175530115874</v>
      </c>
      <c r="BI26" s="44">
        <f>('Scope 3 Yearly'!$EE$189*'Scope 3 Yearly'!BI106*(1-'Scope 3 Yearly'!$B$197)+'Scope 3 Yearly'!BI95*'Scope 3 Yearly'!BI105+'Scope 3 Yearly'!BI99*'Scope 3 Yearly'!BI109)*'Yearly BTX'!BI129</f>
        <v>19.608885310406201</v>
      </c>
      <c r="BJ26" s="44">
        <f>('Scope 3 Yearly'!$EE$189*'Scope 3 Yearly'!BJ106*(1-'Scope 3 Yearly'!$B$197)+'Scope 3 Yearly'!BJ95*'Scope 3 Yearly'!BJ105+'Scope 3 Yearly'!BJ99*'Scope 3 Yearly'!BJ109)*'Yearly BTX'!BJ129</f>
        <v>18.252741520322619</v>
      </c>
      <c r="BK26" s="44">
        <f>('Scope 3 Yearly'!$EE$189*'Scope 3 Yearly'!BK106*(1-'Scope 3 Yearly'!$B$197)+'Scope 3 Yearly'!BK95*'Scope 3 Yearly'!BK105+'Scope 3 Yearly'!BK99*'Scope 3 Yearly'!BK109)*'Yearly BTX'!BK129</f>
        <v>17.050992416418872</v>
      </c>
      <c r="BL26" s="44">
        <f>('Scope 3 Yearly'!$EE$189*'Scope 3 Yearly'!BL106*(1-'Scope 3 Yearly'!$B$197)+'Scope 3 Yearly'!BL95*'Scope 3 Yearly'!BL105+'Scope 3 Yearly'!BL99*'Scope 3 Yearly'!BL109)*'Yearly BTX'!BL129</f>
        <v>15.973657954250141</v>
      </c>
      <c r="BM26" s="44">
        <f>('Scope 3 Yearly'!$EE$189*'Scope 3 Yearly'!BM106*(1-'Scope 3 Yearly'!$B$197)+'Scope 3 Yearly'!BM95*'Scope 3 Yearly'!BM105+'Scope 3 Yearly'!BM99*'Scope 3 Yearly'!BM109)*'Yearly BTX'!BM129</f>
        <v>14.998271476427327</v>
      </c>
      <c r="BN26" s="44">
        <f>('Scope 3 Yearly'!$EE$189*'Scope 3 Yearly'!BN106*(1-'Scope 3 Yearly'!$B$197)+'Scope 3 Yearly'!BN95*'Scope 3 Yearly'!BN105+'Scope 3 Yearly'!BN99*'Scope 3 Yearly'!BN109)*'Yearly BTX'!BN129</f>
        <v>14.108814048457399</v>
      </c>
      <c r="BO26" s="44"/>
      <c r="BP26" s="44">
        <f>('Scope 3 Yearly'!$EE$189*'Scope 3 Yearly'!BP106*(1-'Scope 3 Yearly'!$B$197)+'Scope 3 Yearly'!BP95*'Scope 3 Yearly'!BP105+'Scope 3 Yearly'!BP99*'Scope 3 Yearly'!BP109)*'Yearly Demand - BTX'!N7</f>
        <v>50.839392092740674</v>
      </c>
      <c r="BQ26" s="44">
        <f>('Scope 3 Yearly'!$EE$189*'Scope 3 Yearly'!BQ106*(1-'Scope 3 Yearly'!$B$197)+'Scope 3 Yearly'!BQ95*'Scope 3 Yearly'!BQ105+'Scope 3 Yearly'!BQ99*'Scope 3 Yearly'!BQ109)*'Yearly Demand - BTX'!O7</f>
        <v>52.78585985207377</v>
      </c>
      <c r="BR26" s="44">
        <f>('Scope 3 Yearly'!$EE$189*'Scope 3 Yearly'!BR106*(1-'Scope 3 Yearly'!$B$197)+'Scope 3 Yearly'!BR95*'Scope 3 Yearly'!BR105+'Scope 3 Yearly'!BR99*'Scope 3 Yearly'!BR109)*'Yearly Demand - BTX'!P7</f>
        <v>54.784504127090131</v>
      </c>
      <c r="BS26" s="44">
        <f>('Scope 3 Yearly'!$EE$189*'Scope 3 Yearly'!BS106*(1-'Scope 3 Yearly'!$B$197)+'Scope 3 Yearly'!BS95*'Scope 3 Yearly'!BS105+'Scope 3 Yearly'!BS99*'Scope 3 Yearly'!BS109)*'Yearly Demand - BTX'!Q7</f>
        <v>56.836475953829812</v>
      </c>
      <c r="BT26" s="44">
        <f>('Scope 3 Yearly'!$EE$189*'Scope 3 Yearly'!BT106*(1-'Scope 3 Yearly'!$B$197)+'Scope 3 Yearly'!BT95*'Scope 3 Yearly'!BT105+'Scope 3 Yearly'!BT99*'Scope 3 Yearly'!BT109)*'Yearly Demand - BTX'!R7</f>
        <v>58.942850310721816</v>
      </c>
      <c r="BU26" s="44">
        <f>('Scope 3 Yearly'!$EE$189*'Scope 3 Yearly'!BU106*(1-'Scope 3 Yearly'!$B$197)+'Scope 3 Yearly'!BU95*'Scope 3 Yearly'!BU105+'Scope 3 Yearly'!BU99*'Scope 3 Yearly'!BU109)*'Yearly Demand - BTX'!S7</f>
        <v>61.104614109405652</v>
      </c>
      <c r="BV26" s="44">
        <f>('Scope 3 Yearly'!$EE$189*'Scope 3 Yearly'!BV106*(1-'Scope 3 Yearly'!$B$197)+'Scope 3 Yearly'!BV95*'Scope 3 Yearly'!BV105+'Scope 3 Yearly'!BV99*'Scope 3 Yearly'!BV109)*'Yearly Demand - BTX'!T7</f>
        <v>62.829691116890288</v>
      </c>
      <c r="BW26" s="44">
        <f>('Scope 3 Yearly'!$EE$189*'Scope 3 Yearly'!BW106*(1-'Scope 3 Yearly'!$B$197)+'Scope 3 Yearly'!BW95*'Scope 3 Yearly'!BW105+'Scope 3 Yearly'!BW99*'Scope 3 Yearly'!BW109)*'Yearly Demand - BTX'!U7</f>
        <v>64.592628052793572</v>
      </c>
      <c r="BX26" s="44">
        <f>('Scope 3 Yearly'!$EE$189*'Scope 3 Yearly'!BX106*(1-'Scope 3 Yearly'!$B$197)+'Scope 3 Yearly'!BX95*'Scope 3 Yearly'!BX105+'Scope 3 Yearly'!BX99*'Scope 3 Yearly'!BX109)*'Yearly Demand - BTX'!V7</f>
        <v>66.394110749284494</v>
      </c>
      <c r="BY26" s="44">
        <f>('Scope 3 Yearly'!$EE$189*'Scope 3 Yearly'!BY106*(1-'Scope 3 Yearly'!$B$197)+'Scope 3 Yearly'!BY95*'Scope 3 Yearly'!BY105+'Scope 3 Yearly'!BY99*'Scope 3 Yearly'!BY109)*'Yearly Demand - BTX'!W7</f>
        <v>68.234832575742303</v>
      </c>
      <c r="BZ26" s="44">
        <f>('Scope 3 Yearly'!$EE$189*'Scope 3 Yearly'!BZ106*(1-'Scope 3 Yearly'!$B$197)+'Scope 3 Yearly'!BZ95*'Scope 3 Yearly'!BZ105+'Scope 3 Yearly'!BZ99*'Scope 3 Yearly'!BZ109)*'Yearly Demand - BTX'!X7</f>
        <v>70.115494182755683</v>
      </c>
      <c r="CA26" s="44">
        <f>('Scope 3 Yearly'!$EE$189*'Scope 3 Yearly'!CA106*(1-'Scope 3 Yearly'!$B$197)+'Scope 3 Yearly'!CA95*'Scope 3 Yearly'!CA105+'Scope 3 Yearly'!CA99*'Scope 3 Yearly'!CA109)*'Yearly Demand - BTX'!Y7</f>
        <v>71.561011974221984</v>
      </c>
      <c r="CB26" s="44">
        <f>('Scope 3 Yearly'!$EE$189*'Scope 3 Yearly'!CB106*(1-'Scope 3 Yearly'!$B$197)+'Scope 3 Yearly'!CB95*'Scope 3 Yearly'!CB105+'Scope 3 Yearly'!CB99*'Scope 3 Yearly'!CB109)*'Yearly Demand - BTX'!Z7</f>
        <v>73.016109553033147</v>
      </c>
      <c r="CC26" s="44">
        <f>('Scope 3 Yearly'!$EE$189*'Scope 3 Yearly'!CC106*(1-'Scope 3 Yearly'!$B$197)+'Scope 3 Yearly'!CC95*'Scope 3 Yearly'!CC105+'Scope 3 Yearly'!CC99*'Scope 3 Yearly'!CC109)*'Yearly Demand - BTX'!AA7</f>
        <v>74.480311005960914</v>
      </c>
      <c r="CD26" s="44">
        <f>('Scope 3 Yearly'!$EE$189*'Scope 3 Yearly'!CD106*(1-'Scope 3 Yearly'!$B$197)+'Scope 3 Yearly'!CD95*'Scope 3 Yearly'!CD105+'Scope 3 Yearly'!CD99*'Scope 3 Yearly'!CD109)*'Yearly Demand - BTX'!AB7</f>
        <v>75.953048062663441</v>
      </c>
      <c r="CE26" s="44">
        <f>('Scope 3 Yearly'!$EE$189*'Scope 3 Yearly'!CE106*(1-'Scope 3 Yearly'!$B$197)+'Scope 3 Yearly'!CE95*'Scope 3 Yearly'!CE105+'Scope 3 Yearly'!CE99*'Scope 3 Yearly'!CE109)*'Yearly Demand - BTX'!AC7</f>
        <v>77.433651135067208</v>
      </c>
      <c r="CF26" s="44">
        <f>('Scope 3 Yearly'!$EE$189*'Scope 3 Yearly'!CF106*(1-'Scope 3 Yearly'!$B$197)+'Scope 3 Yearly'!CF95*'Scope 3 Yearly'!CF105+'Scope 3 Yearly'!CF99*'Scope 3 Yearly'!CF109)*'Yearly Demand - BTX'!AD7</f>
        <v>78.899097389577335</v>
      </c>
      <c r="CG26" s="44">
        <f>('Scope 3 Yearly'!$EE$189*'Scope 3 Yearly'!CG106*(1-'Scope 3 Yearly'!$B$197)+'Scope 3 Yearly'!CG95*'Scope 3 Yearly'!CG105+'Scope 3 Yearly'!CG99*'Scope 3 Yearly'!CG109)*'Yearly Demand - BTX'!AE7</f>
        <v>80.383112059171438</v>
      </c>
      <c r="CH26" s="44">
        <f>('Scope 3 Yearly'!$EE$189*'Scope 3 Yearly'!CH106*(1-'Scope 3 Yearly'!$B$197)+'Scope 3 Yearly'!CH95*'Scope 3 Yearly'!CH105+'Scope 3 Yearly'!CH99*'Scope 3 Yearly'!CH109)*'Yearly Demand - BTX'!AF7</f>
        <v>81.885847751253223</v>
      </c>
      <c r="CI26" s="44">
        <f>('Scope 3 Yearly'!$EE$189*'Scope 3 Yearly'!CI106*(1-'Scope 3 Yearly'!$B$197)+'Scope 3 Yearly'!CI95*'Scope 3 Yearly'!CI105+'Scope 3 Yearly'!CI99*'Scope 3 Yearly'!CI109)*'Yearly Demand - BTX'!AG7</f>
        <v>83.407456125832184</v>
      </c>
      <c r="CJ26" s="44">
        <f>('Scope 3 Yearly'!$EE$189*'Scope 3 Yearly'!CJ106*(1-'Scope 3 Yearly'!$B$197)+'Scope 3 Yearly'!CJ95*'Scope 3 Yearly'!CJ105+'Scope 3 Yearly'!CJ99*'Scope 3 Yearly'!CJ109)*'Yearly Demand - BTX'!AH7</f>
        <v>84.948087785085121</v>
      </c>
      <c r="CK26" s="44">
        <f>('Scope 3 Yearly'!$EE$189*'Scope 3 Yearly'!CK106*(1-'Scope 3 Yearly'!$B$197)+'Scope 3 Yearly'!CK95*'Scope 3 Yearly'!CK105+'Scope 3 Yearly'!CK99*'Scope 3 Yearly'!CK109)*'Yearly Demand - BTX'!AI7</f>
        <v>86.04447894974399</v>
      </c>
      <c r="CL26" s="44">
        <f>('Scope 3 Yearly'!$EE$189*'Scope 3 Yearly'!CL106*(1-'Scope 3 Yearly'!$B$197)+'Scope 3 Yearly'!CL95*'Scope 3 Yearly'!CL105+'Scope 3 Yearly'!CL99*'Scope 3 Yearly'!CL109)*'Yearly Demand - BTX'!AJ7</f>
        <v>87.145890594626408</v>
      </c>
      <c r="CM26" s="44">
        <f>('Scope 3 Yearly'!$EE$189*'Scope 3 Yearly'!CM106*(1-'Scope 3 Yearly'!$B$197)+'Scope 3 Yearly'!CM95*'Scope 3 Yearly'!CM105+'Scope 3 Yearly'!CM99*'Scope 3 Yearly'!CM109)*'Yearly Demand - BTX'!AK7</f>
        <v>88.252286014544637</v>
      </c>
      <c r="CN26" s="44">
        <f>('Scope 3 Yearly'!$EE$189*'Scope 3 Yearly'!CN106*(1-'Scope 3 Yearly'!$B$197)+'Scope 3 Yearly'!CN95*'Scope 3 Yearly'!CN105+'Scope 3 Yearly'!CN99*'Scope 3 Yearly'!CN109)*'Yearly Demand - BTX'!AL7</f>
        <v>89.36362653927263</v>
      </c>
      <c r="CO26" s="44">
        <f>('Scope 3 Yearly'!$EE$189*'Scope 3 Yearly'!CO106*(1-'Scope 3 Yearly'!$B$197)+'Scope 3 Yearly'!CO95*'Scope 3 Yearly'!CO105+'Scope 3 Yearly'!CO99*'Scope 3 Yearly'!CO109)*'Yearly Demand - BTX'!AM7</f>
        <v>90.479871468773467</v>
      </c>
      <c r="CP26" s="44">
        <f>('Scope 3 Yearly'!$EE$189*'Scope 3 Yearly'!CP106*(1-'Scope 3 Yearly'!$B$197)+'Scope 3 Yearly'!CP95*'Scope 3 Yearly'!CP105+'Scope 3 Yearly'!CP99*'Scope 3 Yearly'!CP109)*'Yearly Demand - BTX'!AN7</f>
        <v>91.481177776582882</v>
      </c>
      <c r="CQ26" s="44">
        <f>('Scope 3 Yearly'!$EE$189*'Scope 3 Yearly'!CQ106*(1-'Scope 3 Yearly'!$B$197)+'Scope 3 Yearly'!CQ95*'Scope 3 Yearly'!CQ105+'Scope 3 Yearly'!CQ99*'Scope 3 Yearly'!CQ109)*'Yearly Demand - BTX'!AO7</f>
        <v>92.484599702829925</v>
      </c>
      <c r="CR26" s="44">
        <f>('Scope 3 Yearly'!$EE$189*'Scope 3 Yearly'!CR106*(1-'Scope 3 Yearly'!$B$197)+'Scope 3 Yearly'!CR95*'Scope 3 Yearly'!CR105+'Scope 3 Yearly'!CR99*'Scope 3 Yearly'!CR109)*'Yearly Demand - BTX'!AP7</f>
        <v>93.490081877553905</v>
      </c>
      <c r="CS26" s="44">
        <f>('Scope 3 Yearly'!$EE$189*'Scope 3 Yearly'!CS106*(1-'Scope 3 Yearly'!$B$197)+'Scope 3 Yearly'!CS95*'Scope 3 Yearly'!CS105+'Scope 3 Yearly'!CS99*'Scope 3 Yearly'!CS109)*'Yearly Demand - BTX'!AQ7</f>
        <v>94.497567115848369</v>
      </c>
      <c r="CT26" s="44">
        <f>('Scope 3 Yearly'!$EE$189*'Scope 3 Yearly'!CT106*(1-'Scope 3 Yearly'!$B$197)+'Scope 3 Yearly'!CT95*'Scope 3 Yearly'!CT105+'Scope 3 Yearly'!CT99*'Scope 3 Yearly'!CT109)*'Yearly Demand - BTX'!AR7</f>
        <v>95.506996364661262</v>
      </c>
      <c r="CV26" s="44">
        <f>('Scope 3 Yearly'!$EE$189*'Scope 3 Yearly'!CV106*(1-'Scope 3 Yearly'!$B$197)+'Scope 3 Yearly'!CV95*'Scope 3 Yearly'!CV105+'Scope 3 Yearly'!CV99*'Scope 3 Yearly'!CV109)*'Yearly Demand - BTX'!N7</f>
        <v>50.838806954660697</v>
      </c>
      <c r="CW26" s="44">
        <f>('Scope 3 Yearly'!$EE$189*'Scope 3 Yearly'!CW106*(1-'Scope 3 Yearly'!$B$197)+'Scope 3 Yearly'!CW95*'Scope 3 Yearly'!CW105+'Scope 3 Yearly'!CW99*'Scope 3 Yearly'!CW109)*'Yearly Demand - BTX'!O7</f>
        <v>52.121158700079782</v>
      </c>
      <c r="CX26" s="44">
        <f>('Scope 3 Yearly'!$EE$189*'Scope 3 Yearly'!CX106*(1-'Scope 3 Yearly'!$B$197)+'Scope 3 Yearly'!CX95*'Scope 3 Yearly'!CX105+'Scope 3 Yearly'!CX99*'Scope 3 Yearly'!CX109)*'Yearly Demand - BTX'!P7</f>
        <v>53.3811843891244</v>
      </c>
      <c r="CY26" s="44">
        <f>('Scope 3 Yearly'!$EE$189*'Scope 3 Yearly'!CY106*(1-'Scope 3 Yearly'!$B$197)+'Scope 3 Yearly'!CY95*'Scope 3 Yearly'!CY105+'Scope 3 Yearly'!CY99*'Scope 3 Yearly'!CY109)*'Yearly Demand - BTX'!Q7</f>
        <v>54.679673350937691</v>
      </c>
      <c r="CZ26" s="44">
        <f>('Scope 3 Yearly'!$EE$189*'Scope 3 Yearly'!CZ106*(1-'Scope 3 Yearly'!$B$197)+'Scope 3 Yearly'!CZ95*'Scope 3 Yearly'!CZ105+'Scope 3 Yearly'!CZ99*'Scope 3 Yearly'!CZ109)*'Yearly Demand - BTX'!R7</f>
        <v>56.02193071041043</v>
      </c>
      <c r="DA26" s="44">
        <f>('Scope 3 Yearly'!$EE$189*'Scope 3 Yearly'!DA106*(1-'Scope 3 Yearly'!$B$197)+'Scope 3 Yearly'!DA95*'Scope 3 Yearly'!DA105+'Scope 3 Yearly'!DA99*'Scope 3 Yearly'!DA109)*'Yearly Demand - BTX'!S7</f>
        <v>57.40660340881395</v>
      </c>
      <c r="DB26" s="44">
        <f>('Scope 3 Yearly'!$EE$189*'Scope 3 Yearly'!DB106*(1-'Scope 3 Yearly'!$B$197)+'Scope 3 Yearly'!DB95*'Scope 3 Yearly'!DB105+'Scope 3 Yearly'!DB99*'Scope 3 Yearly'!DB109)*'Yearly Demand - BTX'!T7</f>
        <v>58.364442102459734</v>
      </c>
      <c r="DC26" s="44">
        <f>('Scope 3 Yearly'!$EE$189*'Scope 3 Yearly'!DC106*(1-'Scope 3 Yearly'!$B$197)+'Scope 3 Yearly'!DC95*'Scope 3 Yearly'!DC105+'Scope 3 Yearly'!DC99*'Scope 3 Yearly'!DC109)*'Yearly Demand - BTX'!U7</f>
        <v>59.335798666813481</v>
      </c>
      <c r="DD26" s="44">
        <f>('Scope 3 Yearly'!$EE$189*'Scope 3 Yearly'!DD106*(1-'Scope 3 Yearly'!$B$197)+'Scope 3 Yearly'!DD95*'Scope 3 Yearly'!DD105+'Scope 3 Yearly'!DD99*'Scope 3 Yearly'!DD109)*'Yearly Demand - BTX'!V7</f>
        <v>60.3030168862986</v>
      </c>
      <c r="DE26" s="44">
        <f>('Scope 3 Yearly'!$EE$189*'Scope 3 Yearly'!DE106*(1-'Scope 3 Yearly'!$B$197)+'Scope 3 Yearly'!DE95*'Scope 3 Yearly'!DE105+'Scope 3 Yearly'!DE99*'Scope 3 Yearly'!DE109)*'Yearly Demand - BTX'!W7</f>
        <v>61.233761784637188</v>
      </c>
      <c r="DF26" s="44">
        <f>('Scope 3 Yearly'!$EE$189*'Scope 3 Yearly'!DF106*(1-'Scope 3 Yearly'!$B$197)+'Scope 3 Yearly'!DF95*'Scope 3 Yearly'!DF105+'Scope 3 Yearly'!DF99*'Scope 3 Yearly'!DF109)*'Yearly Demand - BTX'!X7</f>
        <v>62.072783110524227</v>
      </c>
      <c r="DG26" s="44">
        <f>('Scope 3 Yearly'!$EE$189*'Scope 3 Yearly'!DG106*(1-'Scope 3 Yearly'!$B$197)+'Scope 3 Yearly'!DG95*'Scope 3 Yearly'!DG105+'Scope 3 Yearly'!DG99*'Scope 3 Yearly'!DG109)*'Yearly Demand - BTX'!Y7</f>
        <v>62.178183321709461</v>
      </c>
      <c r="DH26" s="44">
        <f>('Scope 3 Yearly'!$EE$189*'Scope 3 Yearly'!DH106*(1-'Scope 3 Yearly'!$B$197)+'Scope 3 Yearly'!DH95*'Scope 3 Yearly'!DH105+'Scope 3 Yearly'!DH99*'Scope 3 Yearly'!DH109)*'Yearly Demand - BTX'!Z7</f>
        <v>61.975557359386308</v>
      </c>
      <c r="DI26" s="44">
        <f>('Scope 3 Yearly'!$EE$189*'Scope 3 Yearly'!DI106*(1-'Scope 3 Yearly'!$B$197)+'Scope 3 Yearly'!DI95*'Scope 3 Yearly'!DI105+'Scope 3 Yearly'!DI99*'Scope 3 Yearly'!DI109)*'Yearly Demand - BTX'!AA7</f>
        <v>61.395126806044168</v>
      </c>
      <c r="DJ26" s="44">
        <f>('Scope 3 Yearly'!$EE$189*'Scope 3 Yearly'!DJ106*(1-'Scope 3 Yearly'!$B$197)+'Scope 3 Yearly'!DJ95*'Scope 3 Yearly'!DJ105+'Scope 3 Yearly'!DJ99*'Scope 3 Yearly'!DJ109)*'Yearly Demand - BTX'!AB7</f>
        <v>60.286252098750836</v>
      </c>
      <c r="DK26" s="44">
        <f>('Scope 3 Yearly'!$EE$189*'Scope 3 Yearly'!DK106*(1-'Scope 3 Yearly'!$B$197)+'Scope 3 Yearly'!DK95*'Scope 3 Yearly'!DK105+'Scope 3 Yearly'!DK99*'Scope 3 Yearly'!DK109)*'Yearly Demand - BTX'!AC7</f>
        <v>58.593313275853632</v>
      </c>
      <c r="DL26" s="44">
        <f>('Scope 3 Yearly'!$EE$189*'Scope 3 Yearly'!DL106*(1-'Scope 3 Yearly'!$B$197)+'Scope 3 Yearly'!DL95*'Scope 3 Yearly'!DL105+'Scope 3 Yearly'!DL99*'Scope 3 Yearly'!DL109)*'Yearly Demand - BTX'!AD7</f>
        <v>56.332512255715272</v>
      </c>
      <c r="DM26" s="44">
        <f>('Scope 3 Yearly'!$EE$189*'Scope 3 Yearly'!DM106*(1-'Scope 3 Yearly'!$B$197)+'Scope 3 Yearly'!DM95*'Scope 3 Yearly'!DM105+'Scope 3 Yearly'!DM99*'Scope 3 Yearly'!DM109)*'Yearly Demand - BTX'!AE7</f>
        <v>53.692278751809567</v>
      </c>
      <c r="DN26" s="44">
        <f>('Scope 3 Yearly'!$EE$189*'Scope 3 Yearly'!DN106*(1-'Scope 3 Yearly'!$B$197)+'Scope 3 Yearly'!DN95*'Scope 3 Yearly'!DN105+'Scope 3 Yearly'!DN99*'Scope 3 Yearly'!DN109)*'Yearly Demand - BTX'!AF7</f>
        <v>50.893975322331414</v>
      </c>
      <c r="DO26" s="44">
        <f>('Scope 3 Yearly'!$EE$189*'Scope 3 Yearly'!DO106*(1-'Scope 3 Yearly'!$B$197)+'Scope 3 Yearly'!DO95*'Scope 3 Yearly'!DO105+'Scope 3 Yearly'!DO99*'Scope 3 Yearly'!DO109)*'Yearly Demand - BTX'!AG7</f>
        <v>48.157739945509711</v>
      </c>
      <c r="DP26" s="44">
        <f>('Scope 3 Yearly'!$EE$189*'Scope 3 Yearly'!DP106*(1-'Scope 3 Yearly'!$B$197)+'Scope 3 Yearly'!DP95*'Scope 3 Yearly'!DP105+'Scope 3 Yearly'!DP99*'Scope 3 Yearly'!DP109)*'Yearly Demand - BTX'!AH7</f>
        <v>45.65003680916233</v>
      </c>
      <c r="DQ26" s="44">
        <f>('Scope 3 Yearly'!$EE$189*'Scope 3 Yearly'!DQ106*(1-'Scope 3 Yearly'!$B$197)+'Scope 3 Yearly'!DQ95*'Scope 3 Yearly'!DQ105+'Scope 3 Yearly'!DQ99*'Scope 3 Yearly'!DQ109)*'Yearly Demand - BTX'!AI7</f>
        <v>43.138156202409611</v>
      </c>
      <c r="DR26" s="44">
        <f>('Scope 3 Yearly'!$EE$189*'Scope 3 Yearly'!DR106*(1-'Scope 3 Yearly'!$B$197)+'Scope 3 Yearly'!DR95*'Scope 3 Yearly'!DR105+'Scope 3 Yearly'!DR99*'Scope 3 Yearly'!DR109)*'Yearly Demand - BTX'!AJ7</f>
        <v>40.939510324199077</v>
      </c>
      <c r="DS26" s="44">
        <f>('Scope 3 Yearly'!$EE$189*'Scope 3 Yearly'!DS106*(1-'Scope 3 Yearly'!$B$197)+'Scope 3 Yearly'!DS95*'Scope 3 Yearly'!DS105+'Scope 3 Yearly'!DS99*'Scope 3 Yearly'!DS109)*'Yearly Demand - BTX'!AK7</f>
        <v>39.118581621005212</v>
      </c>
      <c r="DT26" s="44">
        <f>('Scope 3 Yearly'!$EE$189*'Scope 3 Yearly'!DT106*(1-'Scope 3 Yearly'!$B$197)+'Scope 3 Yearly'!DT95*'Scope 3 Yearly'!DT105+'Scope 3 Yearly'!DT99*'Scope 3 Yearly'!DT109)*'Yearly Demand - BTX'!AL7</f>
        <v>37.622811736632634</v>
      </c>
      <c r="DU26" s="44">
        <f>('Scope 3 Yearly'!$EE$189*'Scope 3 Yearly'!DU106*(1-'Scope 3 Yearly'!$B$197)+'Scope 3 Yearly'!DU95*'Scope 3 Yearly'!DU105+'Scope 3 Yearly'!DU99*'Scope 3 Yearly'!DU109)*'Yearly Demand - BTX'!AM7</f>
        <v>36.390629814838114</v>
      </c>
      <c r="DV26" s="44">
        <f>('Scope 3 Yearly'!$EE$189*'Scope 3 Yearly'!DV106*(1-'Scope 3 Yearly'!$B$197)+'Scope 3 Yearly'!DV95*'Scope 3 Yearly'!DV105+'Scope 3 Yearly'!DV99*'Scope 3 Yearly'!DV109)*'Yearly Demand - BTX'!AN7</f>
        <v>35.337124474786414</v>
      </c>
      <c r="DW26" s="44">
        <f>('Scope 3 Yearly'!$EE$189*'Scope 3 Yearly'!DW106*(1-'Scope 3 Yearly'!$B$197)+'Scope 3 Yearly'!DW95*'Scope 3 Yearly'!DW105+'Scope 3 Yearly'!DW99*'Scope 3 Yearly'!DW109)*'Yearly Demand - BTX'!AO7</f>
        <v>34.456134954096285</v>
      </c>
      <c r="DX26" s="44">
        <f>('Scope 3 Yearly'!$EE$189*'Scope 3 Yearly'!DX106*(1-'Scope 3 Yearly'!$B$197)+'Scope 3 Yearly'!DX95*'Scope 3 Yearly'!DX105+'Scope 3 Yearly'!DX99*'Scope 3 Yearly'!DX109)*'Yearly Demand - BTX'!AP7</f>
        <v>33.711287775520773</v>
      </c>
      <c r="DY26" s="44">
        <f>('Scope 3 Yearly'!$EE$189*'Scope 3 Yearly'!DY106*(1-'Scope 3 Yearly'!$B$197)+'Scope 3 Yearly'!DY95*'Scope 3 Yearly'!DY105+'Scope 3 Yearly'!DY99*'Scope 3 Yearly'!DY109)*'Yearly Demand - BTX'!AQ7</f>
        <v>33.073529829995159</v>
      </c>
      <c r="DZ26" s="44">
        <f>('Scope 3 Yearly'!$EE$189*'Scope 3 Yearly'!DZ106*(1-'Scope 3 Yearly'!$B$197)+'Scope 3 Yearly'!DZ95*'Scope 3 Yearly'!DZ105+'Scope 3 Yearly'!DZ99*'Scope 3 Yearly'!DZ109)*'Yearly Demand - BTX'!AR7</f>
        <v>32.519336627158225</v>
      </c>
    </row>
    <row r="27" spans="1:165" x14ac:dyDescent="0.2">
      <c r="A27" t="s">
        <v>8</v>
      </c>
      <c r="C27" s="54" t="s">
        <v>415</v>
      </c>
      <c r="D27" s="44">
        <f>('Scope 3 Yearly'!$EE$190*'Scope 3 Yearly'!D129*(1-'Scope 3 Yearly'!$B$197)+'Scope 3 Yearly'!D118*'Scope 3 Yearly'!D128+'Scope 3 Yearly'!D122*'Scope 3 Yearly'!D132)*'Yearly BTX'!D130</f>
        <v>12.843809410309508</v>
      </c>
      <c r="E27" s="44">
        <f>('Scope 3 Yearly'!$EE$190*'Scope 3 Yearly'!E129*(1-'Scope 3 Yearly'!$B$197)+'Scope 3 Yearly'!E118*'Scope 3 Yearly'!E128+'Scope 3 Yearly'!E122*'Scope 3 Yearly'!E132)*'Yearly BTX'!E130</f>
        <v>12.949530250563306</v>
      </c>
      <c r="F27" s="44">
        <f>('Scope 3 Yearly'!$EE$190*'Scope 3 Yearly'!F129*(1-'Scope 3 Yearly'!$B$197)+'Scope 3 Yearly'!F118*'Scope 3 Yearly'!F128+'Scope 3 Yearly'!F122*'Scope 3 Yearly'!F132)*'Yearly BTX'!F130</f>
        <v>13.000683648771094</v>
      </c>
      <c r="G27" s="44">
        <f>('Scope 3 Yearly'!$EE$190*'Scope 3 Yearly'!G129*(1-'Scope 3 Yearly'!$B$197)+'Scope 3 Yearly'!G118*'Scope 3 Yearly'!G128+'Scope 3 Yearly'!G122*'Scope 3 Yearly'!G132)*'Yearly BTX'!G130</f>
        <v>13.066017698331736</v>
      </c>
      <c r="H27" s="44">
        <f>('Scope 3 Yearly'!$EE$190*'Scope 3 Yearly'!H129*(1-'Scope 3 Yearly'!$B$197)+'Scope 3 Yearly'!H118*'Scope 3 Yearly'!H128+'Scope 3 Yearly'!H122*'Scope 3 Yearly'!H132)*'Yearly BTX'!H130</f>
        <v>13.135996070926875</v>
      </c>
      <c r="I27" s="44">
        <f>('Scope 3 Yearly'!$EE$190*'Scope 3 Yearly'!I129*(1-'Scope 3 Yearly'!$B$197)+'Scope 3 Yearly'!I118*'Scope 3 Yearly'!I128+'Scope 3 Yearly'!I122*'Scope 3 Yearly'!I132)*'Yearly BTX'!I130</f>
        <v>13.210319538624729</v>
      </c>
      <c r="J27" s="44">
        <f>('Scope 3 Yearly'!$EE$190*'Scope 3 Yearly'!J129*(1-'Scope 3 Yearly'!$B$197)+'Scope 3 Yearly'!J118*'Scope 3 Yearly'!J128+'Scope 3 Yearly'!J122*'Scope 3 Yearly'!J132)*'Yearly BTX'!J130</f>
        <v>13.16654101433941</v>
      </c>
      <c r="K27" s="44">
        <f>('Scope 3 Yearly'!$EE$190*'Scope 3 Yearly'!K129*(1-'Scope 3 Yearly'!$B$197)+'Scope 3 Yearly'!K118*'Scope 3 Yearly'!K128+'Scope 3 Yearly'!K122*'Scope 3 Yearly'!K132)*'Yearly BTX'!K130</f>
        <v>13.119579975415485</v>
      </c>
      <c r="L27" s="44">
        <f>('Scope 3 Yearly'!$EE$190*'Scope 3 Yearly'!L129*(1-'Scope 3 Yearly'!$B$197)+'Scope 3 Yearly'!L118*'Scope 3 Yearly'!L128+'Scope 3 Yearly'!L122*'Scope 3 Yearly'!L132)*'Yearly BTX'!L130</f>
        <v>13.06568670117645</v>
      </c>
      <c r="M27" s="44">
        <f>('Scope 3 Yearly'!$EE$190*'Scope 3 Yearly'!M129*(1-'Scope 3 Yearly'!$B$197)+'Scope 3 Yearly'!M118*'Scope 3 Yearly'!M128+'Scope 3 Yearly'!M122*'Scope 3 Yearly'!M132)*'Yearly BTX'!M130</f>
        <v>12.998315370672085</v>
      </c>
      <c r="N27" s="44">
        <f>('Scope 3 Yearly'!$EE$190*'Scope 3 Yearly'!N129*(1-'Scope 3 Yearly'!$B$197)+'Scope 3 Yearly'!N118*'Scope 3 Yearly'!N128+'Scope 3 Yearly'!N122*'Scope 3 Yearly'!N132)*'Yearly BTX'!N130</f>
        <v>12.906640090570569</v>
      </c>
      <c r="O27" s="44">
        <f>('Scope 3 Yearly'!$EE$190*'Scope 3 Yearly'!O129*(1-'Scope 3 Yearly'!$B$197)+'Scope 3 Yearly'!O118*'Scope 3 Yearly'!O128+'Scope 3 Yearly'!O122*'Scope 3 Yearly'!O132)*'Yearly BTX'!O130</f>
        <v>12.498303138953531</v>
      </c>
      <c r="P27" s="44">
        <f>('Scope 3 Yearly'!$EE$190*'Scope 3 Yearly'!P129*(1-'Scope 3 Yearly'!$B$197)+'Scope 3 Yearly'!P118*'Scope 3 Yearly'!P128+'Scope 3 Yearly'!P122*'Scope 3 Yearly'!P132)*'Yearly BTX'!P130</f>
        <v>12.036254773981602</v>
      </c>
      <c r="Q27" s="44">
        <f>('Scope 3 Yearly'!$EE$190*'Scope 3 Yearly'!Q129*(1-'Scope 3 Yearly'!$B$197)+'Scope 3 Yearly'!Q118*'Scope 3 Yearly'!Q128+'Scope 3 Yearly'!Q122*'Scope 3 Yearly'!Q132)*'Yearly BTX'!Q130</f>
        <v>11.501991668165324</v>
      </c>
      <c r="R27" s="44">
        <f>('Scope 3 Yearly'!$EE$190*'Scope 3 Yearly'!R129*(1-'Scope 3 Yearly'!$B$197)+'Scope 3 Yearly'!R118*'Scope 3 Yearly'!R128+'Scope 3 Yearly'!R122*'Scope 3 Yearly'!R132)*'Yearly BTX'!R130</f>
        <v>10.882854689430365</v>
      </c>
      <c r="S27" s="44">
        <f>('Scope 3 Yearly'!$EE$190*'Scope 3 Yearly'!S129*(1-'Scope 3 Yearly'!$B$197)+'Scope 3 Yearly'!S118*'Scope 3 Yearly'!S128+'Scope 3 Yearly'!S122*'Scope 3 Yearly'!S132)*'Yearly BTX'!S130</f>
        <v>10.180119543806784</v>
      </c>
      <c r="T27" s="44">
        <f>('Scope 3 Yearly'!$EE$190*'Scope 3 Yearly'!T129*(1-'Scope 3 Yearly'!$B$197)+'Scope 3 Yearly'!T118*'Scope 3 Yearly'!T128+'Scope 3 Yearly'!T122*'Scope 3 Yearly'!T132)*'Yearly BTX'!T130</f>
        <v>9.4056909917133265</v>
      </c>
      <c r="U27" s="44">
        <f>('Scope 3 Yearly'!$EE$190*'Scope 3 Yearly'!U129*(1-'Scope 3 Yearly'!$B$197)+'Scope 3 Yearly'!U118*'Scope 3 Yearly'!U128+'Scope 3 Yearly'!U122*'Scope 3 Yearly'!U132)*'Yearly BTX'!U130</f>
        <v>8.6012829560024802</v>
      </c>
      <c r="V27" s="44">
        <f>('Scope 3 Yearly'!$EE$190*'Scope 3 Yearly'!V129*(1-'Scope 3 Yearly'!$B$197)+'Scope 3 Yearly'!V118*'Scope 3 Yearly'!V128+'Scope 3 Yearly'!V122*'Scope 3 Yearly'!V132)*'Yearly BTX'!V130</f>
        <v>7.8087927726726951</v>
      </c>
      <c r="W27" s="44">
        <f>('Scope 3 Yearly'!$EE$190*'Scope 3 Yearly'!W129*(1-'Scope 3 Yearly'!$B$197)+'Scope 3 Yearly'!W118*'Scope 3 Yearly'!W128+'Scope 3 Yearly'!W122*'Scope 3 Yearly'!W132)*'Yearly BTX'!W130</f>
        <v>7.0639461809741286</v>
      </c>
      <c r="X27" s="44">
        <f>('Scope 3 Yearly'!$EE$190*'Scope 3 Yearly'!X129*(1-'Scope 3 Yearly'!$B$197)+'Scope 3 Yearly'!X118*'Scope 3 Yearly'!X128+'Scope 3 Yearly'!X122*'Scope 3 Yearly'!X132)*'Yearly BTX'!X130</f>
        <v>6.3890776435953329</v>
      </c>
      <c r="Y27" s="44">
        <f>('Scope 3 Yearly'!$EE$190*'Scope 3 Yearly'!Y129*(1-'Scope 3 Yearly'!$B$197)+'Scope 3 Yearly'!Y118*'Scope 3 Yearly'!Y128+'Scope 3 Yearly'!Y122*'Scope 3 Yearly'!Y132)*'Yearly BTX'!Y130</f>
        <v>5.672093743251243</v>
      </c>
      <c r="Z27" s="44">
        <f>('Scope 3 Yearly'!$EE$190*'Scope 3 Yearly'!Z129*(1-'Scope 3 Yearly'!$B$197)+'Scope 3 Yearly'!Z118*'Scope 3 Yearly'!Z128+'Scope 3 Yearly'!Z122*'Scope 3 Yearly'!Z132)*'Yearly BTX'!Z130</f>
        <v>5.0495791114459774</v>
      </c>
      <c r="AA27" s="44">
        <f>('Scope 3 Yearly'!$EE$190*'Scope 3 Yearly'!AA129*(1-'Scope 3 Yearly'!$B$197)+'Scope 3 Yearly'!AA118*'Scope 3 Yearly'!AA128+'Scope 3 Yearly'!AA122*'Scope 3 Yearly'!AA132)*'Yearly BTX'!AA130</f>
        <v>4.5098940552509852</v>
      </c>
      <c r="AB27" s="44">
        <f>('Scope 3 Yearly'!$EE$190*'Scope 3 Yearly'!AB129*(1-'Scope 3 Yearly'!$B$197)+'Scope 3 Yearly'!AB118*'Scope 3 Yearly'!AB128+'Scope 3 Yearly'!AB122*'Scope 3 Yearly'!AB132)*'Yearly BTX'!AB130</f>
        <v>4.0338049968451486</v>
      </c>
      <c r="AC27" s="44">
        <f>('Scope 3 Yearly'!$EE$190*'Scope 3 Yearly'!AC129*(1-'Scope 3 Yearly'!$B$197)+'Scope 3 Yearly'!AC118*'Scope 3 Yearly'!AC128+'Scope 3 Yearly'!AC122*'Scope 3 Yearly'!AC132)*'Yearly BTX'!AC130</f>
        <v>3.6131257329439044</v>
      </c>
      <c r="AD27" s="44">
        <f>('Scope 3 Yearly'!$EE$190*'Scope 3 Yearly'!AD129*(1-'Scope 3 Yearly'!$B$197)+'Scope 3 Yearly'!AD118*'Scope 3 Yearly'!AD128+'Scope 3 Yearly'!AD122*'Scope 3 Yearly'!AD132)*'Yearly BTX'!AD130</f>
        <v>3.2331275491299252</v>
      </c>
      <c r="AE27" s="44">
        <f>('Scope 3 Yearly'!$EE$190*'Scope 3 Yearly'!AE129*(1-'Scope 3 Yearly'!$B$197)+'Scope 3 Yearly'!AE118*'Scope 3 Yearly'!AE128+'Scope 3 Yearly'!AE122*'Scope 3 Yearly'!AE132)*'Yearly BTX'!AE130</f>
        <v>2.8927333957551578</v>
      </c>
      <c r="AF27" s="44">
        <f>('Scope 3 Yearly'!$EE$190*'Scope 3 Yearly'!AF129*(1-'Scope 3 Yearly'!$B$197)+'Scope 3 Yearly'!AF118*'Scope 3 Yearly'!AF128+'Scope 3 Yearly'!AF122*'Scope 3 Yearly'!AF132)*'Yearly BTX'!AF130</f>
        <v>2.5853018195517921</v>
      </c>
      <c r="AG27" s="44">
        <f>('Scope 3 Yearly'!$EE$190*'Scope 3 Yearly'!AG129*(1-'Scope 3 Yearly'!$B$197)+'Scope 3 Yearly'!AG118*'Scope 3 Yearly'!AG128+'Scope 3 Yearly'!AG122*'Scope 3 Yearly'!AG132)*'Yearly BTX'!AG130</f>
        <v>2.3060074154254973</v>
      </c>
      <c r="AH27" s="44">
        <f>('Scope 3 Yearly'!$EE$190*'Scope 3 Yearly'!AH129*(1-'Scope 3 Yearly'!$B$197)+'Scope 3 Yearly'!AH118*'Scope 3 Yearly'!AH128+'Scope 3 Yearly'!AH122*'Scope 3 Yearly'!AH132)*'Yearly BTX'!AH130</f>
        <v>2.0515355681325649</v>
      </c>
      <c r="AI27" s="44"/>
      <c r="AJ27" s="44">
        <f>('Scope 3 Yearly'!$EE$190*'Scope 3 Yearly'!AJ129*(1-'Scope 3 Yearly'!$B$197)+'Scope 3 Yearly'!AJ118*'Scope 3 Yearly'!AJ128+'Scope 3 Yearly'!AJ122*'Scope 3 Yearly'!AJ132)*'Yearly BTX'!AJ130</f>
        <v>12.843811489985416</v>
      </c>
      <c r="AK27" s="44">
        <f>('Scope 3 Yearly'!$EE$190*'Scope 3 Yearly'!AK129*(1-'Scope 3 Yearly'!$B$197)+'Scope 3 Yearly'!AK118*'Scope 3 Yearly'!AK128+'Scope 3 Yearly'!AK122*'Scope 3 Yearly'!AK132)*'Yearly BTX'!AK130</f>
        <v>13.020966788455697</v>
      </c>
      <c r="AL27" s="44">
        <f>('Scope 3 Yearly'!$EE$190*'Scope 3 Yearly'!AL129*(1-'Scope 3 Yearly'!$B$197)+'Scope 3 Yearly'!AL118*'Scope 3 Yearly'!AL128+'Scope 3 Yearly'!AL122*'Scope 3 Yearly'!AL132)*'Yearly BTX'!AL130</f>
        <v>13.151165421686205</v>
      </c>
      <c r="AM27" s="44">
        <f>('Scope 3 Yearly'!$EE$190*'Scope 3 Yearly'!AM129*(1-'Scope 3 Yearly'!$B$197)+'Scope 3 Yearly'!AM118*'Scope 3 Yearly'!AM128+'Scope 3 Yearly'!AM122*'Scope 3 Yearly'!AM132)*'Yearly BTX'!AM130</f>
        <v>13.296079349774423</v>
      </c>
      <c r="AN27" s="44">
        <f>('Scope 3 Yearly'!$EE$190*'Scope 3 Yearly'!AN129*(1-'Scope 3 Yearly'!$B$197)+'Scope 3 Yearly'!AN118*'Scope 3 Yearly'!AN128+'Scope 3 Yearly'!AN122*'Scope 3 Yearly'!AN132)*'Yearly BTX'!AN130</f>
        <v>13.448753150085588</v>
      </c>
      <c r="AO27" s="44">
        <f>('Scope 3 Yearly'!$EE$190*'Scope 3 Yearly'!AO129*(1-'Scope 3 Yearly'!$B$197)+'Scope 3 Yearly'!AO118*'Scope 3 Yearly'!AO128+'Scope 3 Yearly'!AO122*'Scope 3 Yearly'!AO132)*'Yearly BTX'!AO130</f>
        <v>13.60905368044868</v>
      </c>
      <c r="AP27" s="44">
        <f>('Scope 3 Yearly'!$EE$190*'Scope 3 Yearly'!AP129*(1-'Scope 3 Yearly'!$B$197)+'Scope 3 Yearly'!AP118*'Scope 3 Yearly'!AP128+'Scope 3 Yearly'!AP122*'Scope 3 Yearly'!AP132)*'Yearly BTX'!AP130</f>
        <v>13.660145222821756</v>
      </c>
      <c r="AQ27" s="44">
        <f>('Scope 3 Yearly'!$EE$190*'Scope 3 Yearly'!AQ129*(1-'Scope 3 Yearly'!$B$197)+'Scope 3 Yearly'!AQ118*'Scope 3 Yearly'!AQ128+'Scope 3 Yearly'!AQ122*'Scope 3 Yearly'!AQ132)*'Yearly BTX'!AQ130</f>
        <v>13.711624150854959</v>
      </c>
      <c r="AR27" s="44">
        <f>('Scope 3 Yearly'!$EE$190*'Scope 3 Yearly'!AR129*(1-'Scope 3 Yearly'!$B$197)+'Scope 3 Yearly'!AR118*'Scope 3 Yearly'!AR128+'Scope 3 Yearly'!AR122*'Scope 3 Yearly'!AR132)*'Yearly BTX'!AR130</f>
        <v>13.759756315723356</v>
      </c>
      <c r="AS27" s="44">
        <f>('Scope 3 Yearly'!$EE$190*'Scope 3 Yearly'!AS129*(1-'Scope 3 Yearly'!$B$197)+'Scope 3 Yearly'!AS118*'Scope 3 Yearly'!AS128+'Scope 3 Yearly'!AS122*'Scope 3 Yearly'!AS132)*'Yearly BTX'!AS130</f>
        <v>13.797802618120464</v>
      </c>
      <c r="AT27" s="44">
        <f>('Scope 3 Yearly'!$EE$190*'Scope 3 Yearly'!AT129*(1-'Scope 3 Yearly'!$B$197)+'Scope 3 Yearly'!AT118*'Scope 3 Yearly'!AT128+'Scope 3 Yearly'!AT122*'Scope 3 Yearly'!AT132)*'Yearly BTX'!AT130</f>
        <v>13.814354914959173</v>
      </c>
      <c r="AU27" s="44">
        <f>('Scope 3 Yearly'!$EE$190*'Scope 3 Yearly'!AU129*(1-'Scope 3 Yearly'!$B$197)+'Scope 3 Yearly'!AU118*'Scope 3 Yearly'!AU128+'Scope 3 Yearly'!AU122*'Scope 3 Yearly'!AU132)*'Yearly BTX'!AU130</f>
        <v>13.527696017036106</v>
      </c>
      <c r="AV27" s="44">
        <f>('Scope 3 Yearly'!$EE$190*'Scope 3 Yearly'!AV129*(1-'Scope 3 Yearly'!$B$197)+'Scope 3 Yearly'!AV118*'Scope 3 Yearly'!AV128+'Scope 3 Yearly'!AV122*'Scope 3 Yearly'!AV132)*'Yearly BTX'!AV130</f>
        <v>13.185335006157349</v>
      </c>
      <c r="AW27" s="44">
        <f>('Scope 3 Yearly'!$EE$190*'Scope 3 Yearly'!AW129*(1-'Scope 3 Yearly'!$B$197)+'Scope 3 Yearly'!AW118*'Scope 3 Yearly'!AW128+'Scope 3 Yearly'!AW122*'Scope 3 Yearly'!AW132)*'Yearly BTX'!AW130</f>
        <v>12.764788340699598</v>
      </c>
      <c r="AX27" s="44">
        <f>('Scope 3 Yearly'!$EE$190*'Scope 3 Yearly'!AX129*(1-'Scope 3 Yearly'!$B$197)+'Scope 3 Yearly'!AX118*'Scope 3 Yearly'!AX128+'Scope 3 Yearly'!AX122*'Scope 3 Yearly'!AX132)*'Yearly BTX'!AX130</f>
        <v>12.247707722191871</v>
      </c>
      <c r="AY27" s="44">
        <f>('Scope 3 Yearly'!$EE$190*'Scope 3 Yearly'!AY129*(1-'Scope 3 Yearly'!$B$197)+'Scope 3 Yearly'!AY118*'Scope 3 Yearly'!AY128+'Scope 3 Yearly'!AY122*'Scope 3 Yearly'!AY132)*'Yearly BTX'!AY130</f>
        <v>11.629854701599335</v>
      </c>
      <c r="AZ27" s="44">
        <f>('Scope 3 Yearly'!$EE$190*'Scope 3 Yearly'!AZ129*(1-'Scope 3 Yearly'!$B$197)+'Scope 3 Yearly'!AZ118*'Scope 3 Yearly'!AZ128+'Scope 3 Yearly'!AZ122*'Scope 3 Yearly'!AZ132)*'Yearly BTX'!AZ130</f>
        <v>10.915634680825891</v>
      </c>
      <c r="BA27" s="44">
        <f>('Scope 3 Yearly'!$EE$190*'Scope 3 Yearly'!BA129*(1-'Scope 3 Yearly'!$B$197)+'Scope 3 Yearly'!BA118*'Scope 3 Yearly'!BA128+'Scope 3 Yearly'!BA122*'Scope 3 Yearly'!BA132)*'Yearly BTX'!BA130</f>
        <v>10.150069830663851</v>
      </c>
      <c r="BB27" s="44">
        <f>('Scope 3 Yearly'!$EE$190*'Scope 3 Yearly'!BB129*(1-'Scope 3 Yearly'!$B$197)+'Scope 3 Yearly'!BB118*'Scope 3 Yearly'!BB128+'Scope 3 Yearly'!BB122*'Scope 3 Yearly'!BB132)*'Yearly BTX'!BB130</f>
        <v>9.3784543120671806</v>
      </c>
      <c r="BC27" s="44">
        <f>('Scope 3 Yearly'!$EE$190*'Scope 3 Yearly'!BC129*(1-'Scope 3 Yearly'!$B$197)+'Scope 3 Yearly'!BC118*'Scope 3 Yearly'!BC128+'Scope 3 Yearly'!BC122*'Scope 3 Yearly'!BC132)*'Yearly BTX'!BC130</f>
        <v>8.6423238533885662</v>
      </c>
      <c r="BD27" s="44">
        <f>('Scope 3 Yearly'!$EE$190*'Scope 3 Yearly'!BD129*(1-'Scope 3 Yearly'!$B$197)+'Scope 3 Yearly'!BD118*'Scope 3 Yearly'!BD128+'Scope 3 Yearly'!BD122*'Scope 3 Yearly'!BD132)*'Yearly BTX'!BD130</f>
        <v>7.9702918465280561</v>
      </c>
      <c r="BE27" s="44">
        <f>('Scope 3 Yearly'!$EE$190*'Scope 3 Yearly'!BE129*(1-'Scope 3 Yearly'!$B$197)+'Scope 3 Yearly'!BE118*'Scope 3 Yearly'!BE128+'Scope 3 Yearly'!BE122*'Scope 3 Yearly'!BE132)*'Yearly BTX'!BE130</f>
        <v>7.2500598419963938</v>
      </c>
      <c r="BF27" s="44">
        <f>('Scope 3 Yearly'!$EE$190*'Scope 3 Yearly'!BF129*(1-'Scope 3 Yearly'!$B$197)+'Scope 3 Yearly'!BF118*'Scope 3 Yearly'!BF128+'Scope 3 Yearly'!BF122*'Scope 3 Yearly'!BF132)*'Yearly BTX'!BF130</f>
        <v>6.6260673548655111</v>
      </c>
      <c r="BG27" s="44">
        <f>('Scope 3 Yearly'!$EE$190*'Scope 3 Yearly'!BG129*(1-'Scope 3 Yearly'!$B$197)+'Scope 3 Yearly'!BG118*'Scope 3 Yearly'!BG128+'Scope 3 Yearly'!BG122*'Scope 3 Yearly'!BG132)*'Yearly BTX'!BG130</f>
        <v>6.0890141799096531</v>
      </c>
      <c r="BH27" s="44">
        <f>('Scope 3 Yearly'!$EE$190*'Scope 3 Yearly'!BH129*(1-'Scope 3 Yearly'!$B$197)+'Scope 3 Yearly'!BH118*'Scope 3 Yearly'!BH128+'Scope 3 Yearly'!BH122*'Scope 3 Yearly'!BH132)*'Yearly BTX'!BH130</f>
        <v>5.6248436981475631</v>
      </c>
      <c r="BI27" s="44">
        <f>('Scope 3 Yearly'!$EE$190*'Scope 3 Yearly'!BI129*(1-'Scope 3 Yearly'!$B$197)+'Scope 3 Yearly'!BI118*'Scope 3 Yearly'!BI128+'Scope 3 Yearly'!BI122*'Scope 3 Yearly'!BI132)*'Yearly BTX'!BI130</f>
        <v>5.2205914080137417</v>
      </c>
      <c r="BJ27" s="44">
        <f>('Scope 3 Yearly'!$EE$190*'Scope 3 Yearly'!BJ129*(1-'Scope 3 Yearly'!$B$197)+'Scope 3 Yearly'!BJ118*'Scope 3 Yearly'!BJ128+'Scope 3 Yearly'!BJ122*'Scope 3 Yearly'!BJ132)*'Yearly BTX'!BJ130</f>
        <v>4.8588694792994538</v>
      </c>
      <c r="BK27" s="44">
        <f>('Scope 3 Yearly'!$EE$190*'Scope 3 Yearly'!BK129*(1-'Scope 3 Yearly'!$B$197)+'Scope 3 Yearly'!BK118*'Scope 3 Yearly'!BK128+'Scope 3 Yearly'!BK122*'Scope 3 Yearly'!BK132)*'Yearly BTX'!BK130</f>
        <v>4.5374853511640136</v>
      </c>
      <c r="BL27" s="44">
        <f>('Scope 3 Yearly'!$EE$190*'Scope 3 Yearly'!BL129*(1-'Scope 3 Yearly'!$B$197)+'Scope 3 Yearly'!BL118*'Scope 3 Yearly'!BL128+'Scope 3 Yearly'!BL122*'Scope 3 Yearly'!BL132)*'Yearly BTX'!BL130</f>
        <v>4.2488887987681938</v>
      </c>
      <c r="BM27" s="44">
        <f>('Scope 3 Yearly'!$EE$190*'Scope 3 Yearly'!BM129*(1-'Scope 3 Yearly'!$B$197)+'Scope 3 Yearly'!BM118*'Scope 3 Yearly'!BM128+'Scope 3 Yearly'!BM122*'Scope 3 Yearly'!BM132)*'Yearly BTX'!BM130</f>
        <v>3.987361708126246</v>
      </c>
      <c r="BN27" s="44">
        <f>('Scope 3 Yearly'!$EE$190*'Scope 3 Yearly'!BN129*(1-'Scope 3 Yearly'!$B$197)+'Scope 3 Yearly'!BN118*'Scope 3 Yearly'!BN128+'Scope 3 Yearly'!BN122*'Scope 3 Yearly'!BN132)*'Yearly BTX'!BN130</f>
        <v>3.748786784129591</v>
      </c>
      <c r="BO27" s="44"/>
      <c r="BP27" s="44">
        <f>('Scope 3 Yearly'!$EE$190*'Scope 3 Yearly'!BP129*(1-'Scope 3 Yearly'!$B$197)+'Scope 3 Yearly'!BP118*'Scope 3 Yearly'!BP128+'Scope 3 Yearly'!BP122*'Scope 3 Yearly'!BP132)*'Yearly Demand - BTX'!N8</f>
        <v>12.84393214339539</v>
      </c>
      <c r="BQ27" s="44">
        <f>('Scope 3 Yearly'!$EE$190*'Scope 3 Yearly'!BQ129*(1-'Scope 3 Yearly'!$B$197)+'Scope 3 Yearly'!BQ118*'Scope 3 Yearly'!BQ128+'Scope 3 Yearly'!BQ122*'Scope 3 Yearly'!BQ132)*'Yearly Demand - BTX'!O8</f>
        <v>13.334798796502692</v>
      </c>
      <c r="BR27" s="44">
        <f>('Scope 3 Yearly'!$EE$190*'Scope 3 Yearly'!BR129*(1-'Scope 3 Yearly'!$B$197)+'Scope 3 Yearly'!BR118*'Scope 3 Yearly'!BR128+'Scope 3 Yearly'!BR122*'Scope 3 Yearly'!BR132)*'Yearly Demand - BTX'!P8</f>
        <v>13.838801688998911</v>
      </c>
      <c r="BS27" s="44">
        <f>('Scope 3 Yearly'!$EE$190*'Scope 3 Yearly'!BS129*(1-'Scope 3 Yearly'!$B$197)+'Scope 3 Yearly'!BS118*'Scope 3 Yearly'!BS128+'Scope 3 Yearly'!BS122*'Scope 3 Yearly'!BS132)*'Yearly Demand - BTX'!Q8</f>
        <v>14.356230574879982</v>
      </c>
      <c r="BT27" s="44">
        <f>('Scope 3 Yearly'!$EE$190*'Scope 3 Yearly'!BT129*(1-'Scope 3 Yearly'!$B$197)+'Scope 3 Yearly'!BT118*'Scope 3 Yearly'!BT128+'Scope 3 Yearly'!BT122*'Scope 3 Yearly'!BT132)*'Yearly Demand - BTX'!R8</f>
        <v>14.887355971133386</v>
      </c>
      <c r="BU27" s="44">
        <f>('Scope 3 Yearly'!$EE$190*'Scope 3 Yearly'!BU129*(1-'Scope 3 Yearly'!$B$197)+'Scope 3 Yearly'!BU118*'Scope 3 Yearly'!BU128+'Scope 3 Yearly'!BU122*'Scope 3 Yearly'!BU132)*'Yearly Demand - BTX'!S8</f>
        <v>15.432426132053291</v>
      </c>
      <c r="BV27" s="44">
        <f>('Scope 3 Yearly'!$EE$190*'Scope 3 Yearly'!BV129*(1-'Scope 3 Yearly'!$B$197)+'Scope 3 Yearly'!BV118*'Scope 3 Yearly'!BV128+'Scope 3 Yearly'!BV122*'Scope 3 Yearly'!BV132)*'Yearly Demand - BTX'!T8</f>
        <v>15.86716987790212</v>
      </c>
      <c r="BW27" s="44">
        <f>('Scope 3 Yearly'!$EE$190*'Scope 3 Yearly'!BW129*(1-'Scope 3 Yearly'!$B$197)+'Scope 3 Yearly'!BW118*'Scope 3 Yearly'!BW128+'Scope 3 Yearly'!BW122*'Scope 3 Yearly'!BW132)*'Yearly Demand - BTX'!U8</f>
        <v>16.311444103762437</v>
      </c>
      <c r="BX27" s="44">
        <f>('Scope 3 Yearly'!$EE$190*'Scope 3 Yearly'!BX129*(1-'Scope 3 Yearly'!$B$197)+'Scope 3 Yearly'!BX118*'Scope 3 Yearly'!BX128+'Scope 3 Yearly'!BX122*'Scope 3 Yearly'!BX132)*'Yearly Demand - BTX'!V8</f>
        <v>16.765421360267585</v>
      </c>
      <c r="BY27" s="44">
        <f>('Scope 3 Yearly'!$EE$190*'Scope 3 Yearly'!BY129*(1-'Scope 3 Yearly'!$B$197)+'Scope 3 Yearly'!BY118*'Scope 3 Yearly'!BY128+'Scope 3 Yearly'!BY122*'Scope 3 Yearly'!BY132)*'Yearly Demand - BTX'!W8</f>
        <v>17.229276090165818</v>
      </c>
      <c r="BZ27" s="44">
        <f>('Scope 3 Yearly'!$EE$190*'Scope 3 Yearly'!BZ129*(1-'Scope 3 Yearly'!$B$197)+'Scope 3 Yearly'!BZ118*'Scope 3 Yearly'!BZ128+'Scope 3 Yearly'!BZ122*'Scope 3 Yearly'!BZ132)*'Yearly Demand - BTX'!X8</f>
        <v>17.703184563757905</v>
      </c>
      <c r="CA27" s="44">
        <f>('Scope 3 Yearly'!$EE$190*'Scope 3 Yearly'!CA129*(1-'Scope 3 Yearly'!$B$197)+'Scope 3 Yearly'!CA118*'Scope 3 Yearly'!CA128+'Scope 3 Yearly'!CA122*'Scope 3 Yearly'!CA132)*'Yearly Demand - BTX'!Y8</f>
        <v>18.067200516548038</v>
      </c>
      <c r="CB27" s="44">
        <f>('Scope 3 Yearly'!$EE$190*'Scope 3 Yearly'!CB129*(1-'Scope 3 Yearly'!$B$197)+'Scope 3 Yearly'!CB118*'Scope 3 Yearly'!CB128+'Scope 3 Yearly'!CB122*'Scope 3 Yearly'!CB132)*'Yearly Demand - BTX'!Z8</f>
        <v>18.433616739987244</v>
      </c>
      <c r="CC27" s="44">
        <f>('Scope 3 Yearly'!$EE$190*'Scope 3 Yearly'!CC129*(1-'Scope 3 Yearly'!$B$197)+'Scope 3 Yearly'!CC118*'Scope 3 Yearly'!CC128+'Scope 3 Yearly'!CC122*'Scope 3 Yearly'!CC132)*'Yearly Demand - BTX'!AA8</f>
        <v>18.802313289209323</v>
      </c>
      <c r="CD27" s="44">
        <f>('Scope 3 Yearly'!$EE$190*'Scope 3 Yearly'!CD129*(1-'Scope 3 Yearly'!$B$197)+'Scope 3 Yearly'!CD118*'Scope 3 Yearly'!CD128+'Scope 3 Yearly'!CD122*'Scope 3 Yearly'!CD132)*'Yearly Demand - BTX'!AB8</f>
        <v>19.173146921055764</v>
      </c>
      <c r="CE27" s="44">
        <f>('Scope 3 Yearly'!$EE$190*'Scope 3 Yearly'!CE129*(1-'Scope 3 Yearly'!$B$197)+'Scope 3 Yearly'!CE118*'Scope 3 Yearly'!CE128+'Scope 3 Yearly'!CE122*'Scope 3 Yearly'!CE132)*'Yearly Demand - BTX'!AC8</f>
        <v>19.545948837101214</v>
      </c>
      <c r="CF27" s="44">
        <f>('Scope 3 Yearly'!$EE$190*'Scope 3 Yearly'!CF129*(1-'Scope 3 Yearly'!$B$197)+'Scope 3 Yearly'!CF118*'Scope 3 Yearly'!CF128+'Scope 3 Yearly'!CF122*'Scope 3 Yearly'!CF132)*'Yearly Demand - BTX'!AD8</f>
        <v>19.914908083379274</v>
      </c>
      <c r="CG27" s="44">
        <f>('Scope 3 Yearly'!$EE$190*'Scope 3 Yearly'!CG129*(1-'Scope 3 Yearly'!$B$197)+'Scope 3 Yearly'!CG118*'Scope 3 Yearly'!CG128+'Scope 3 Yearly'!CG122*'Scope 3 Yearly'!CG132)*'Yearly Demand - BTX'!AE8</f>
        <v>20.288537884366118</v>
      </c>
      <c r="CH27" s="44">
        <f>('Scope 3 Yearly'!$EE$190*'Scope 3 Yearly'!CH129*(1-'Scope 3 Yearly'!$B$197)+'Scope 3 Yearly'!CH118*'Scope 3 Yearly'!CH128+'Scope 3 Yearly'!CH122*'Scope 3 Yearly'!CH132)*'Yearly Demand - BTX'!AF8</f>
        <v>20.666876585368261</v>
      </c>
      <c r="CI27" s="44">
        <f>('Scope 3 Yearly'!$EE$190*'Scope 3 Yearly'!CI129*(1-'Scope 3 Yearly'!$B$197)+'Scope 3 Yearly'!CI118*'Scope 3 Yearly'!CI128+'Scope 3 Yearly'!CI122*'Scope 3 Yearly'!CI132)*'Yearly Demand - BTX'!AG8</f>
        <v>21.049962292314941</v>
      </c>
      <c r="CJ27" s="44">
        <f>('Scope 3 Yearly'!$EE$190*'Scope 3 Yearly'!CJ129*(1-'Scope 3 Yearly'!$B$197)+'Scope 3 Yearly'!CJ118*'Scope 3 Yearly'!CJ128+'Scope 3 Yearly'!CJ122*'Scope 3 Yearly'!CJ132)*'Yearly Demand - BTX'!AH8</f>
        <v>21.437832843953657</v>
      </c>
      <c r="CK27" s="44">
        <f>('Scope 3 Yearly'!$EE$190*'Scope 3 Yearly'!CK129*(1-'Scope 3 Yearly'!$B$197)+'Scope 3 Yearly'!CK118*'Scope 3 Yearly'!CK128+'Scope 3 Yearly'!CK122*'Scope 3 Yearly'!CK132)*'Yearly Demand - BTX'!AI8</f>
        <v>21.713582071216511</v>
      </c>
      <c r="CL27" s="44">
        <f>('Scope 3 Yearly'!$EE$190*'Scope 3 Yearly'!CL129*(1-'Scope 3 Yearly'!$B$197)+'Scope 3 Yearly'!CL118*'Scope 3 Yearly'!CL128+'Scope 3 Yearly'!CL122*'Scope 3 Yearly'!CL132)*'Yearly Demand - BTX'!AJ8</f>
        <v>21.990592251202774</v>
      </c>
      <c r="CM27" s="44">
        <f>('Scope 3 Yearly'!$EE$190*'Scope 3 Yearly'!CM129*(1-'Scope 3 Yearly'!$B$197)+'Scope 3 Yearly'!CM118*'Scope 3 Yearly'!CM128+'Scope 3 Yearly'!CM122*'Scope 3 Yearly'!CM132)*'Yearly Demand - BTX'!AK8</f>
        <v>22.26885413037434</v>
      </c>
      <c r="CN27" s="44">
        <f>('Scope 3 Yearly'!$EE$190*'Scope 3 Yearly'!CN129*(1-'Scope 3 Yearly'!$B$197)+'Scope 3 Yearly'!CN118*'Scope 3 Yearly'!CN128+'Scope 3 Yearly'!CN122*'Scope 3 Yearly'!CN132)*'Yearly Demand - BTX'!AL8</f>
        <v>22.548357960577455</v>
      </c>
      <c r="CO27" s="44">
        <f>('Scope 3 Yearly'!$EE$190*'Scope 3 Yearly'!CO129*(1-'Scope 3 Yearly'!$B$197)+'Scope 3 Yearly'!CO118*'Scope 3 Yearly'!CO128+'Scope 3 Yearly'!CO122*'Scope 3 Yearly'!CO132)*'Yearly Demand - BTX'!AM8</f>
        <v>22.829093482743943</v>
      </c>
      <c r="CP27" s="44">
        <f>('Scope 3 Yearly'!$EE$190*'Scope 3 Yearly'!CP129*(1-'Scope 3 Yearly'!$B$197)+'Scope 3 Yearly'!CP118*'Scope 3 Yearly'!CP128+'Scope 3 Yearly'!CP122*'Scope 3 Yearly'!CP132)*'Yearly Demand - BTX'!AN8</f>
        <v>23.080824151026203</v>
      </c>
      <c r="CQ27" s="44">
        <f>('Scope 3 Yearly'!$EE$190*'Scope 3 Yearly'!CQ129*(1-'Scope 3 Yearly'!$B$197)+'Scope 3 Yearly'!CQ118*'Scope 3 Yearly'!CQ128+'Scope 3 Yearly'!CQ122*'Scope 3 Yearly'!CQ132)*'Yearly Demand - BTX'!AO8</f>
        <v>23.333085287012214</v>
      </c>
      <c r="CR27" s="44">
        <f>('Scope 3 Yearly'!$EE$190*'Scope 3 Yearly'!CR129*(1-'Scope 3 Yearly'!$B$197)+'Scope 3 Yearly'!CR118*'Scope 3 Yearly'!CR128+'Scope 3 Yearly'!CR122*'Scope 3 Yearly'!CR132)*'Yearly Demand - BTX'!AP8</f>
        <v>23.585862949272482</v>
      </c>
      <c r="CS27" s="44">
        <f>('Scope 3 Yearly'!$EE$190*'Scope 3 Yearly'!CS129*(1-'Scope 3 Yearly'!$B$197)+'Scope 3 Yearly'!CS118*'Scope 3 Yearly'!CS128+'Scope 3 Yearly'!CS122*'Scope 3 Yearly'!CS132)*'Yearly Demand - BTX'!AQ8</f>
        <v>23.839142739629928</v>
      </c>
      <c r="CT27" s="44">
        <f>('Scope 3 Yearly'!$EE$190*'Scope 3 Yearly'!CT129*(1-'Scope 3 Yearly'!$B$197)+'Scope 3 Yearly'!CT118*'Scope 3 Yearly'!CT128+'Scope 3 Yearly'!CT122*'Scope 3 Yearly'!CT132)*'Yearly Demand - BTX'!AR8</f>
        <v>24.09290978977452</v>
      </c>
      <c r="CV27" s="44">
        <f>('Scope 3 Yearly'!$EE$190*'Scope 3 Yearly'!CV129*(1-'Scope 3 Yearly'!$B$197)+'Scope 3 Yearly'!CV118*'Scope 3 Yearly'!CV128+'Scope 3 Yearly'!CV122*'Scope 3 Yearly'!CV132)*'Yearly Demand - BTX'!N8</f>
        <v>12.843813084034156</v>
      </c>
      <c r="CW27" s="44">
        <f>('Scope 3 Yearly'!$EE$190*'Scope 3 Yearly'!CW129*(1-'Scope 3 Yearly'!$B$197)+'Scope 3 Yearly'!CW118*'Scope 3 Yearly'!CW128+'Scope 3 Yearly'!CW122*'Scope 3 Yearly'!CW132)*'Yearly Demand - BTX'!O8</f>
        <v>13.171442835474789</v>
      </c>
      <c r="CX27" s="44">
        <f>('Scope 3 Yearly'!$EE$190*'Scope 3 Yearly'!CX129*(1-'Scope 3 Yearly'!$B$197)+'Scope 3 Yearly'!CX118*'Scope 3 Yearly'!CX128+'Scope 3 Yearly'!CX122*'Scope 3 Yearly'!CX132)*'Yearly Demand - BTX'!P8</f>
        <v>13.495924315158291</v>
      </c>
      <c r="CY27" s="44">
        <f>('Scope 3 Yearly'!$EE$190*'Scope 3 Yearly'!CY129*(1-'Scope 3 Yearly'!$B$197)+'Scope 3 Yearly'!CY118*'Scope 3 Yearly'!CY128+'Scope 3 Yearly'!CY122*'Scope 3 Yearly'!CY132)*'Yearly Demand - BTX'!Q8</f>
        <v>13.83278706082857</v>
      </c>
      <c r="CZ27" s="44">
        <f>('Scope 3 Yearly'!$EE$190*'Scope 3 Yearly'!CZ129*(1-'Scope 3 Yearly'!$B$197)+'Scope 3 Yearly'!CZ118*'Scope 3 Yearly'!CZ128+'Scope 3 Yearly'!CZ122*'Scope 3 Yearly'!CZ132)*'Yearly Demand - BTX'!R8</f>
        <v>14.183569452330339</v>
      </c>
      <c r="DA27" s="44">
        <f>('Scope 3 Yearly'!$EE$190*'Scope 3 Yearly'!DA129*(1-'Scope 3 Yearly'!$B$197)+'Scope 3 Yearly'!DA118*'Scope 3 Yearly'!DA128+'Scope 3 Yearly'!DA122*'Scope 3 Yearly'!DA132)*'Yearly Demand - BTX'!S8</f>
        <v>14.548165687549711</v>
      </c>
      <c r="DB27" s="44">
        <f>('Scope 3 Yearly'!$EE$190*'Scope 3 Yearly'!DB129*(1-'Scope 3 Yearly'!$B$197)+'Scope 3 Yearly'!DB118*'Scope 3 Yearly'!DB128+'Scope 3 Yearly'!DB122*'Scope 3 Yearly'!DB132)*'Yearly Demand - BTX'!T8</f>
        <v>14.807821191211136</v>
      </c>
      <c r="DC27" s="44">
        <f>('Scope 3 Yearly'!$EE$190*'Scope 3 Yearly'!DC129*(1-'Scope 3 Yearly'!$B$197)+'Scope 3 Yearly'!DC118*'Scope 3 Yearly'!DC128+'Scope 3 Yearly'!DC122*'Scope 3 Yearly'!DC132)*'Yearly Demand - BTX'!U8</f>
        <v>15.074335556573196</v>
      </c>
      <c r="DD27" s="44">
        <f>('Scope 3 Yearly'!$EE$190*'Scope 3 Yearly'!DD129*(1-'Scope 3 Yearly'!$B$197)+'Scope 3 Yearly'!DD118*'Scope 3 Yearly'!DD128+'Scope 3 Yearly'!DD122*'Scope 3 Yearly'!DD132)*'Yearly Demand - BTX'!V8</f>
        <v>15.343672939277019</v>
      </c>
      <c r="DE27" s="44">
        <f>('Scope 3 Yearly'!$EE$190*'Scope 3 Yearly'!DE129*(1-'Scope 3 Yearly'!$B$197)+'Scope 3 Yearly'!DE118*'Scope 3 Yearly'!DE128+'Scope 3 Yearly'!DE122*'Scope 3 Yearly'!DE132)*'Yearly Demand - BTX'!W8</f>
        <v>15.608234512140038</v>
      </c>
      <c r="DF27" s="44">
        <f>('Scope 3 Yearly'!$EE$190*'Scope 3 Yearly'!DF129*(1-'Scope 3 Yearly'!$B$197)+'Scope 3 Yearly'!DF118*'Scope 3 Yearly'!DF128+'Scope 3 Yearly'!DF122*'Scope 3 Yearly'!DF132)*'Yearly Demand - BTX'!X8</f>
        <v>15.854763857516824</v>
      </c>
      <c r="DG27" s="44">
        <f>('Scope 3 Yearly'!$EE$190*'Scope 3 Yearly'!DG129*(1-'Scope 3 Yearly'!$B$197)+'Scope 3 Yearly'!DG118*'Scope 3 Yearly'!DG128+'Scope 3 Yearly'!DG122*'Scope 3 Yearly'!DG132)*'Yearly Demand - BTX'!Y8</f>
        <v>15.919899763310326</v>
      </c>
      <c r="DH27" s="44">
        <f>('Scope 3 Yearly'!$EE$190*'Scope 3 Yearly'!DH129*(1-'Scope 3 Yearly'!$B$197)+'Scope 3 Yearly'!DH118*'Scope 3 Yearly'!DH128+'Scope 3 Yearly'!DH122*'Scope 3 Yearly'!DH132)*'Yearly Demand - BTX'!Z8</f>
        <v>15.912630466288695</v>
      </c>
      <c r="DI27" s="44">
        <f>('Scope 3 Yearly'!$EE$190*'Scope 3 Yearly'!DI129*(1-'Scope 3 Yearly'!$B$197)+'Scope 3 Yearly'!DI118*'Scope 3 Yearly'!DI128+'Scope 3 Yearly'!DI122*'Scope 3 Yearly'!DI132)*'Yearly Demand - BTX'!AA8</f>
        <v>15.815074755569334</v>
      </c>
      <c r="DJ27" s="44">
        <f>('Scope 3 Yearly'!$EE$190*'Scope 3 Yearly'!DJ129*(1-'Scope 3 Yearly'!$B$197)+'Scope 3 Yearly'!DJ118*'Scope 3 Yearly'!DJ128+'Scope 3 Yearly'!DJ122*'Scope 3 Yearly'!DJ132)*'Yearly Demand - BTX'!AB8</f>
        <v>15.587293814539807</v>
      </c>
      <c r="DK27" s="44">
        <f>('Scope 3 Yearly'!$EE$190*'Scope 3 Yearly'!DK129*(1-'Scope 3 Yearly'!$B$197)+'Scope 3 Yearly'!DK118*'Scope 3 Yearly'!DK128+'Scope 3 Yearly'!DK122*'Scope 3 Yearly'!DK132)*'Yearly Demand - BTX'!AC8</f>
        <v>15.212013955978316</v>
      </c>
      <c r="DL27" s="44">
        <f>('Scope 3 Yearly'!$EE$190*'Scope 3 Yearly'!DL129*(1-'Scope 3 Yearly'!$B$197)+'Scope 3 Yearly'!DL118*'Scope 3 Yearly'!DL128+'Scope 3 Yearly'!DL122*'Scope 3 Yearly'!DL132)*'Yearly Demand - BTX'!AD8</f>
        <v>14.688915276319076</v>
      </c>
      <c r="DM27" s="44">
        <f>('Scope 3 Yearly'!$EE$190*'Scope 3 Yearly'!DM129*(1-'Scope 3 Yearly'!$B$197)+'Scope 3 Yearly'!DM118*'Scope 3 Yearly'!DM128+'Scope 3 Yearly'!DM122*'Scope 3 Yearly'!DM132)*'Yearly Demand - BTX'!AE8</f>
        <v>14.061864663449485</v>
      </c>
      <c r="DN27" s="44">
        <f>('Scope 3 Yearly'!$EE$190*'Scope 3 Yearly'!DN129*(1-'Scope 3 Yearly'!$B$197)+'Scope 3 Yearly'!DN118*'Scope 3 Yearly'!DN128+'Scope 3 Yearly'!DN122*'Scope 3 Yearly'!DN132)*'Yearly Demand - BTX'!AF8</f>
        <v>13.384272990105829</v>
      </c>
      <c r="DO27" s="44">
        <f>('Scope 3 Yearly'!$EE$190*'Scope 3 Yearly'!DO129*(1-'Scope 3 Yearly'!$B$197)+'Scope 3 Yearly'!DO118*'Scope 3 Yearly'!DO128+'Scope 3 Yearly'!DO122*'Scope 3 Yearly'!DO132)*'Yearly Demand - BTX'!AG8</f>
        <v>12.711199858587346</v>
      </c>
      <c r="DP27" s="44">
        <f>('Scope 3 Yearly'!$EE$190*'Scope 3 Yearly'!DP129*(1-'Scope 3 Yearly'!$B$197)+'Scope 3 Yearly'!DP118*'Scope 3 Yearly'!DP128+'Scope 3 Yearly'!DP122*'Scope 3 Yearly'!DP132)*'Yearly Demand - BTX'!AH8</f>
        <v>12.085837891950421</v>
      </c>
      <c r="DQ27" s="44">
        <f>('Scope 3 Yearly'!$EE$190*'Scope 3 Yearly'!DQ129*(1-'Scope 3 Yearly'!$B$197)+'Scope 3 Yearly'!DQ118*'Scope 3 Yearly'!DQ128+'Scope 3 Yearly'!DQ122*'Scope 3 Yearly'!DQ132)*'Yearly Demand - BTX'!AI8</f>
        <v>11.447237770920923</v>
      </c>
      <c r="DR27" s="44">
        <f>('Scope 3 Yearly'!$EE$190*'Scope 3 Yearly'!DR129*(1-'Scope 3 Yearly'!$B$197)+'Scope 3 Yearly'!DR118*'Scope 3 Yearly'!DR128+'Scope 3 Yearly'!DR122*'Scope 3 Yearly'!DR132)*'Yearly Demand - BTX'!AJ8</f>
        <v>10.881425013318529</v>
      </c>
      <c r="DS27" s="44">
        <f>('Scope 3 Yearly'!$EE$190*'Scope 3 Yearly'!DS129*(1-'Scope 3 Yearly'!$B$197)+'Scope 3 Yearly'!DS118*'Scope 3 Yearly'!DS128+'Scope 3 Yearly'!DS122*'Scope 3 Yearly'!DS132)*'Yearly Demand - BTX'!AK8</f>
        <v>10.40797166227869</v>
      </c>
      <c r="DT27" s="44">
        <f>('Scope 3 Yearly'!$EE$190*'Scope 3 Yearly'!DT129*(1-'Scope 3 Yearly'!$B$197)+'Scope 3 Yearly'!DT118*'Scope 3 Yearly'!DT128+'Scope 3 Yearly'!DT122*'Scope 3 Yearly'!DT132)*'Yearly Demand - BTX'!AL8</f>
        <v>10.015176409764059</v>
      </c>
      <c r="DU27" s="44">
        <f>('Scope 3 Yearly'!$EE$190*'Scope 3 Yearly'!DU129*(1-'Scope 3 Yearly'!$B$197)+'Scope 3 Yearly'!DU118*'Scope 3 Yearly'!DU128+'Scope 3 Yearly'!DU122*'Scope 3 Yearly'!DU132)*'Yearly Demand - BTX'!AM8</f>
        <v>9.688496124903752</v>
      </c>
      <c r="DV27" s="44">
        <f>('Scope 3 Yearly'!$EE$190*'Scope 3 Yearly'!DV129*(1-'Scope 3 Yearly'!$B$197)+'Scope 3 Yearly'!DV118*'Scope 3 Yearly'!DV128+'Scope 3 Yearly'!DV122*'Scope 3 Yearly'!DV132)*'Yearly Demand - BTX'!AN8</f>
        <v>9.4067225685290214</v>
      </c>
      <c r="DW27" s="44">
        <f>('Scope 3 Yearly'!$EE$190*'Scope 3 Yearly'!DW129*(1-'Scope 3 Yearly'!$B$197)+'Scope 3 Yearly'!DW118*'Scope 3 Yearly'!DW128+'Scope 3 Yearly'!DW122*'Scope 3 Yearly'!DW132)*'Yearly Demand - BTX'!AO8</f>
        <v>9.1692145415180679</v>
      </c>
      <c r="DX27" s="44">
        <f>('Scope 3 Yearly'!$EE$190*'Scope 3 Yearly'!DX129*(1-'Scope 3 Yearly'!$B$197)+'Scope 3 Yearly'!DX118*'Scope 3 Yearly'!DX128+'Scope 3 Yearly'!DX122*'Scope 3 Yearly'!DX132)*'Yearly Demand - BTX'!AP8</f>
        <v>8.9669826054682957</v>
      </c>
      <c r="DY27" s="44">
        <f>('Scope 3 Yearly'!$EE$190*'Scope 3 Yearly'!DY129*(1-'Scope 3 Yearly'!$B$197)+'Scope 3 Yearly'!DY118*'Scope 3 Yearly'!DY128+'Scope 3 Yearly'!DY122*'Scope 3 Yearly'!DY132)*'Yearly Demand - BTX'!AQ8</f>
        <v>8.7927549920644239</v>
      </c>
      <c r="DZ27" s="44">
        <f>('Scope 3 Yearly'!$EE$190*'Scope 3 Yearly'!DZ129*(1-'Scope 3 Yearly'!$B$197)+'Scope 3 Yearly'!DZ118*'Scope 3 Yearly'!DZ128+'Scope 3 Yearly'!DZ122*'Scope 3 Yearly'!DZ132)*'Yearly Demand - BTX'!AR8</f>
        <v>8.6405603587837359</v>
      </c>
    </row>
    <row r="28" spans="1:165" x14ac:dyDescent="0.2">
      <c r="A28" t="s">
        <v>9</v>
      </c>
      <c r="C28" s="54" t="s">
        <v>415</v>
      </c>
      <c r="D28" s="44">
        <f>('Scope 3 Yearly'!$EE$191*'Scope 3 Yearly'!D152*(1-'Scope 3 Yearly'!$B$197)+'Scope 3 Yearly'!D141*'Scope 3 Yearly'!D151+'Scope 3 Yearly'!D145*'Scope 3 Yearly'!D155)*'Yearly BTX'!D131</f>
        <v>45.898666718334404</v>
      </c>
      <c r="E28" s="44">
        <f>('Scope 3 Yearly'!$EE$191*'Scope 3 Yearly'!E152*(1-'Scope 3 Yearly'!$B$197)+'Scope 3 Yearly'!E141*'Scope 3 Yearly'!E151+'Scope 3 Yearly'!E145*'Scope 3 Yearly'!E155)*'Yearly BTX'!E131</f>
        <v>46.277153406612697</v>
      </c>
      <c r="F28" s="44">
        <f>('Scope 3 Yearly'!$EE$191*'Scope 3 Yearly'!F152*(1-'Scope 3 Yearly'!$B$197)+'Scope 3 Yearly'!F141*'Scope 3 Yearly'!F151+'Scope 3 Yearly'!F145*'Scope 3 Yearly'!F155)*'Yearly BTX'!F131</f>
        <v>46.461062725517387</v>
      </c>
      <c r="G28" s="44">
        <f>('Scope 3 Yearly'!$EE$191*'Scope 3 Yearly'!G152*(1-'Scope 3 Yearly'!$B$197)+'Scope 3 Yearly'!G141*'Scope 3 Yearly'!G151+'Scope 3 Yearly'!G145*'Scope 3 Yearly'!G155)*'Yearly BTX'!G131</f>
        <v>46.696071905160913</v>
      </c>
      <c r="H28" s="44">
        <f>('Scope 3 Yearly'!$EE$191*'Scope 3 Yearly'!H152*(1-'Scope 3 Yearly'!$B$197)+'Scope 3 Yearly'!H141*'Scope 3 Yearly'!H151+'Scope 3 Yearly'!H145*'Scope 3 Yearly'!H155)*'Yearly BTX'!H131</f>
        <v>46.948094356823738</v>
      </c>
      <c r="I28" s="44">
        <f>('Scope 3 Yearly'!$EE$191*'Scope 3 Yearly'!I152*(1-'Scope 3 Yearly'!$B$197)+'Scope 3 Yearly'!I141*'Scope 3 Yearly'!I151+'Scope 3 Yearly'!I145*'Scope 3 Yearly'!I155)*'Yearly BTX'!I131</f>
        <v>47.21604477852344</v>
      </c>
      <c r="J28" s="44">
        <f>('Scope 3 Yearly'!$EE$191*'Scope 3 Yearly'!J152*(1-'Scope 3 Yearly'!$B$197)+'Scope 3 Yearly'!J141*'Scope 3 Yearly'!J151+'Scope 3 Yearly'!J145*'Scope 3 Yearly'!J155)*'Yearly BTX'!J131</f>
        <v>47.062217616438687</v>
      </c>
      <c r="K28" s="44">
        <f>('Scope 3 Yearly'!$EE$191*'Scope 3 Yearly'!K152*(1-'Scope 3 Yearly'!$B$197)+'Scope 3 Yearly'!K141*'Scope 3 Yearly'!K151+'Scope 3 Yearly'!K145*'Scope 3 Yearly'!K155)*'Yearly BTX'!K131</f>
        <v>46.897257132089436</v>
      </c>
      <c r="L28" s="44">
        <f>('Scope 3 Yearly'!$EE$191*'Scope 3 Yearly'!L152*(1-'Scope 3 Yearly'!$B$197)+'Scope 3 Yearly'!L141*'Scope 3 Yearly'!L151+'Scope 3 Yearly'!L145*'Scope 3 Yearly'!L155)*'Yearly BTX'!L131</f>
        <v>46.707623899420042</v>
      </c>
      <c r="M28" s="44">
        <f>('Scope 3 Yearly'!$EE$191*'Scope 3 Yearly'!M152*(1-'Scope 3 Yearly'!$B$197)+'Scope 3 Yearly'!M141*'Scope 3 Yearly'!M151+'Scope 3 Yearly'!M145*'Scope 3 Yearly'!M155)*'Yearly BTX'!M131</f>
        <v>46.469683047061672</v>
      </c>
      <c r="N28" s="44">
        <f>('Scope 3 Yearly'!$EE$191*'Scope 3 Yearly'!N152*(1-'Scope 3 Yearly'!$B$197)+'Scope 3 Yearly'!N141*'Scope 3 Yearly'!N151+'Scope 3 Yearly'!N145*'Scope 3 Yearly'!N155)*'Yearly BTX'!N131</f>
        <v>46.144341858701303</v>
      </c>
      <c r="O28" s="44">
        <f>('Scope 3 Yearly'!$EE$191*'Scope 3 Yearly'!O152*(1-'Scope 3 Yearly'!$B$197)+'Scope 3 Yearly'!O141*'Scope 3 Yearly'!O151+'Scope 3 Yearly'!O145*'Scope 3 Yearly'!O155)*'Yearly BTX'!O131</f>
        <v>44.685713835660216</v>
      </c>
      <c r="P28" s="44">
        <f>('Scope 3 Yearly'!$EE$191*'Scope 3 Yearly'!P152*(1-'Scope 3 Yearly'!$B$197)+'Scope 3 Yearly'!P141*'Scope 3 Yearly'!P151+'Scope 3 Yearly'!P145*'Scope 3 Yearly'!P155)*'Yearly BTX'!P131</f>
        <v>43.033119632322318</v>
      </c>
      <c r="Q28" s="44">
        <f>('Scope 3 Yearly'!$EE$191*'Scope 3 Yearly'!Q152*(1-'Scope 3 Yearly'!$B$197)+'Scope 3 Yearly'!Q141*'Scope 3 Yearly'!Q151+'Scope 3 Yearly'!Q145*'Scope 3 Yearly'!Q155)*'Yearly BTX'!Q131</f>
        <v>41.119581506281804</v>
      </c>
      <c r="R28" s="44">
        <f>('Scope 3 Yearly'!$EE$191*'Scope 3 Yearly'!R152*(1-'Scope 3 Yearly'!$B$197)+'Scope 3 Yearly'!R141*'Scope 3 Yearly'!R151+'Scope 3 Yearly'!R145*'Scope 3 Yearly'!R155)*'Yearly BTX'!R131</f>
        <v>38.899165816259149</v>
      </c>
      <c r="S28" s="44">
        <f>('Scope 3 Yearly'!$EE$191*'Scope 3 Yearly'!S152*(1-'Scope 3 Yearly'!$B$197)+'Scope 3 Yearly'!S141*'Scope 3 Yearly'!S151+'Scope 3 Yearly'!S145*'Scope 3 Yearly'!S155)*'Yearly BTX'!S131</f>
        <v>36.37622985332159</v>
      </c>
      <c r="T28" s="44">
        <f>('Scope 3 Yearly'!$EE$191*'Scope 3 Yearly'!T152*(1-'Scope 3 Yearly'!$B$197)+'Scope 3 Yearly'!T141*'Scope 3 Yearly'!T151+'Scope 3 Yearly'!T145*'Scope 3 Yearly'!T155)*'Yearly BTX'!T131</f>
        <v>33.593870503312154</v>
      </c>
      <c r="U28" s="44">
        <f>('Scope 3 Yearly'!$EE$191*'Scope 3 Yearly'!U152*(1-'Scope 3 Yearly'!$B$197)+'Scope 3 Yearly'!U141*'Scope 3 Yearly'!U151+'Scope 3 Yearly'!U145*'Scope 3 Yearly'!U155)*'Yearly BTX'!U131</f>
        <v>30.702418675926829</v>
      </c>
      <c r="V28" s="44">
        <f>('Scope 3 Yearly'!$EE$191*'Scope 3 Yearly'!V152*(1-'Scope 3 Yearly'!$B$197)+'Scope 3 Yearly'!V141*'Scope 3 Yearly'!V151+'Scope 3 Yearly'!V145*'Scope 3 Yearly'!V155)*'Yearly BTX'!V131</f>
        <v>27.853202887745425</v>
      </c>
      <c r="W28" s="44">
        <f>('Scope 3 Yearly'!$EE$191*'Scope 3 Yearly'!W152*(1-'Scope 3 Yearly'!$B$197)+'Scope 3 Yearly'!W141*'Scope 3 Yearly'!W151+'Scope 3 Yearly'!W145*'Scope 3 Yearly'!W155)*'Yearly BTX'!W131</f>
        <v>25.175372427579678</v>
      </c>
      <c r="X28" s="44">
        <f>('Scope 3 Yearly'!$EE$191*'Scope 3 Yearly'!X152*(1-'Scope 3 Yearly'!$B$197)+'Scope 3 Yearly'!X141*'Scope 3 Yearly'!X151+'Scope 3 Yearly'!X145*'Scope 3 Yearly'!X155)*'Yearly BTX'!X131</f>
        <v>22.749768136168797</v>
      </c>
      <c r="Y28" s="44">
        <f>('Scope 3 Yearly'!$EE$191*'Scope 3 Yearly'!Y152*(1-'Scope 3 Yearly'!$B$197)+'Scope 3 Yearly'!Y141*'Scope 3 Yearly'!Y151+'Scope 3 Yearly'!Y145*'Scope 3 Yearly'!Y155)*'Yearly BTX'!Y131</f>
        <v>20.17805057647746</v>
      </c>
      <c r="Z28" s="44">
        <f>('Scope 3 Yearly'!$EE$191*'Scope 3 Yearly'!Z152*(1-'Scope 3 Yearly'!$B$197)+'Scope 3 Yearly'!Z141*'Scope 3 Yearly'!Z151+'Scope 3 Yearly'!Z145*'Scope 3 Yearly'!Z155)*'Yearly BTX'!Z131</f>
        <v>17.946984173510341</v>
      </c>
      <c r="AA28" s="44">
        <f>('Scope 3 Yearly'!$EE$191*'Scope 3 Yearly'!AA152*(1-'Scope 3 Yearly'!$B$197)+'Scope 3 Yearly'!AA141*'Scope 3 Yearly'!AA151+'Scope 3 Yearly'!AA145*'Scope 3 Yearly'!AA155)*'Yearly BTX'!AA131</f>
        <v>16.014618629570787</v>
      </c>
      <c r="AB28" s="44">
        <f>('Scope 3 Yearly'!$EE$191*'Scope 3 Yearly'!AB152*(1-'Scope 3 Yearly'!$B$197)+'Scope 3 Yearly'!AB141*'Scope 3 Yearly'!AB151+'Scope 3 Yearly'!AB145*'Scope 3 Yearly'!AB155)*'Yearly BTX'!AB131</f>
        <v>14.31224208469477</v>
      </c>
      <c r="AC28" s="44">
        <f>('Scope 3 Yearly'!$EE$191*'Scope 3 Yearly'!AC152*(1-'Scope 3 Yearly'!$B$197)+'Scope 3 Yearly'!AC141*'Scope 3 Yearly'!AC151+'Scope 3 Yearly'!AC145*'Scope 3 Yearly'!AC155)*'Yearly BTX'!AC131</f>
        <v>12.809904092565811</v>
      </c>
      <c r="AD28" s="44">
        <f>('Scope 3 Yearly'!$EE$191*'Scope 3 Yearly'!AD152*(1-'Scope 3 Yearly'!$B$197)+'Scope 3 Yearly'!AD141*'Scope 3 Yearly'!AD151+'Scope 3 Yearly'!AD145*'Scope 3 Yearly'!AD155)*'Yearly BTX'!AD131</f>
        <v>11.454587196765887</v>
      </c>
      <c r="AE28" s="44">
        <f>('Scope 3 Yearly'!$EE$191*'Scope 3 Yearly'!AE152*(1-'Scope 3 Yearly'!$B$197)+'Scope 3 Yearly'!AE141*'Scope 3 Yearly'!AE151+'Scope 3 Yearly'!AE145*'Scope 3 Yearly'!AE155)*'Yearly BTX'!AE131</f>
        <v>10.241909771732548</v>
      </c>
      <c r="AF28" s="44">
        <f>('Scope 3 Yearly'!$EE$191*'Scope 3 Yearly'!AF152*(1-'Scope 3 Yearly'!$B$197)+'Scope 3 Yearly'!AF141*'Scope 3 Yearly'!AF151+'Scope 3 Yearly'!AF145*'Scope 3 Yearly'!AF155)*'Yearly BTX'!AF131</f>
        <v>9.1478706295442294</v>
      </c>
      <c r="AG28" s="44">
        <f>('Scope 3 Yearly'!$EE$191*'Scope 3 Yearly'!AG152*(1-'Scope 3 Yearly'!$B$197)+'Scope 3 Yearly'!AG141*'Scope 3 Yearly'!AG151+'Scope 3 Yearly'!AG145*'Scope 3 Yearly'!AG155)*'Yearly BTX'!AG131</f>
        <v>8.1549992165033558</v>
      </c>
      <c r="AH28" s="44">
        <f>('Scope 3 Yearly'!$EE$191*'Scope 3 Yearly'!AH152*(1-'Scope 3 Yearly'!$B$197)+'Scope 3 Yearly'!AH141*'Scope 3 Yearly'!AH151+'Scope 3 Yearly'!AH145*'Scope 3 Yearly'!AH155)*'Yearly BTX'!AH131</f>
        <v>7.2512371022899273</v>
      </c>
      <c r="AI28" s="44"/>
      <c r="AJ28" s="44">
        <f>('Scope 3 Yearly'!$EE$191*'Scope 3 Yearly'!AJ152*(1-'Scope 3 Yearly'!$B$197)+'Scope 3 Yearly'!AJ141*'Scope 3 Yearly'!AJ151+'Scope 3 Yearly'!AJ145*'Scope 3 Yearly'!AJ155)*'Yearly BTX'!AJ131</f>
        <v>45.898674110744764</v>
      </c>
      <c r="AK28" s="44">
        <f>('Scope 3 Yearly'!$EE$191*'Scope 3 Yearly'!AK152*(1-'Scope 3 Yearly'!$B$197)+'Scope 3 Yearly'!AK141*'Scope 3 Yearly'!AK151+'Scope 3 Yearly'!AK145*'Scope 3 Yearly'!AK155)*'Yearly BTX'!AK131</f>
        <v>46.532442862705651</v>
      </c>
      <c r="AL28" s="44">
        <f>('Scope 3 Yearly'!$EE$191*'Scope 3 Yearly'!AL152*(1-'Scope 3 Yearly'!$B$197)+'Scope 3 Yearly'!AL141*'Scope 3 Yearly'!AL151+'Scope 3 Yearly'!AL145*'Scope 3 Yearly'!AL155)*'Yearly BTX'!AL131</f>
        <v>46.998845277640598</v>
      </c>
      <c r="AM28" s="44">
        <f>('Scope 3 Yearly'!$EE$191*'Scope 3 Yearly'!AM152*(1-'Scope 3 Yearly'!$B$197)+'Scope 3 Yearly'!AM141*'Scope 3 Yearly'!AM151+'Scope 3 Yearly'!AM145*'Scope 3 Yearly'!AM155)*'Yearly BTX'!AM131</f>
        <v>47.518278871313306</v>
      </c>
      <c r="AN28" s="44">
        <f>('Scope 3 Yearly'!$EE$191*'Scope 3 Yearly'!AN152*(1-'Scope 3 Yearly'!$B$197)+'Scope 3 Yearly'!AN141*'Scope 3 Yearly'!AN151+'Scope 3 Yearly'!AN145*'Scope 3 Yearly'!AN155)*'Yearly BTX'!AN131</f>
        <v>48.065888493899088</v>
      </c>
      <c r="AO28" s="44">
        <f>('Scope 3 Yearly'!$EE$191*'Scope 3 Yearly'!AO152*(1-'Scope 3 Yearly'!$B$197)+'Scope 3 Yearly'!AO141*'Scope 3 Yearly'!AO151+'Scope 3 Yearly'!AO145*'Scope 3 Yearly'!AO155)*'Yearly BTX'!AO131</f>
        <v>48.641190471779389</v>
      </c>
      <c r="AP28" s="44">
        <f>('Scope 3 Yearly'!$EE$191*'Scope 3 Yearly'!AP152*(1-'Scope 3 Yearly'!$B$197)+'Scope 3 Yearly'!AP141*'Scope 3 Yearly'!AP151+'Scope 3 Yearly'!AP145*'Scope 3 Yearly'!AP155)*'Yearly BTX'!AP131</f>
        <v>48.826543698192737</v>
      </c>
      <c r="AQ28" s="44">
        <f>('Scope 3 Yearly'!$EE$191*'Scope 3 Yearly'!AQ152*(1-'Scope 3 Yearly'!$B$197)+'Scope 3 Yearly'!AQ141*'Scope 3 Yearly'!AQ151+'Scope 3 Yearly'!AQ145*'Scope 3 Yearly'!AQ155)*'Yearly BTX'!AQ131</f>
        <v>49.013573164115812</v>
      </c>
      <c r="AR28" s="44">
        <f>('Scope 3 Yearly'!$EE$191*'Scope 3 Yearly'!AR152*(1-'Scope 3 Yearly'!$B$197)+'Scope 3 Yearly'!AR141*'Scope 3 Yearly'!AR151+'Scope 3 Yearly'!AR145*'Scope 3 Yearly'!AR155)*'Yearly BTX'!AR131</f>
        <v>49.188795466187813</v>
      </c>
      <c r="AS28" s="44">
        <f>('Scope 3 Yearly'!$EE$191*'Scope 3 Yearly'!AS152*(1-'Scope 3 Yearly'!$B$197)+'Scope 3 Yearly'!AS141*'Scope 3 Yearly'!AS151+'Scope 3 Yearly'!AS145*'Scope 3 Yearly'!AS155)*'Yearly BTX'!AS131</f>
        <v>49.327874675132797</v>
      </c>
      <c r="AT28" s="44">
        <f>('Scope 3 Yearly'!$EE$191*'Scope 3 Yearly'!AT152*(1-'Scope 3 Yearly'!$B$197)+'Scope 3 Yearly'!AT141*'Scope 3 Yearly'!AT151+'Scope 3 Yearly'!AT145*'Scope 3 Yearly'!AT155)*'Yearly BTX'!AT131</f>
        <v>49.389606732880914</v>
      </c>
      <c r="AU28" s="44">
        <f>('Scope 3 Yearly'!$EE$191*'Scope 3 Yearly'!AU152*(1-'Scope 3 Yearly'!$B$197)+'Scope 3 Yearly'!AU141*'Scope 3 Yearly'!AU151+'Scope 3 Yearly'!AU145*'Scope 3 Yearly'!AU155)*'Yearly BTX'!AU131</f>
        <v>48.366089546913713</v>
      </c>
      <c r="AV28" s="44">
        <f>('Scope 3 Yearly'!$EE$191*'Scope 3 Yearly'!AV152*(1-'Scope 3 Yearly'!$B$197)+'Scope 3 Yearly'!AV141*'Scope 3 Yearly'!AV151+'Scope 3 Yearly'!AV145*'Scope 3 Yearly'!AV155)*'Yearly BTX'!AV131</f>
        <v>47.141324726433297</v>
      </c>
      <c r="AW28" s="44">
        <f>('Scope 3 Yearly'!$EE$191*'Scope 3 Yearly'!AW152*(1-'Scope 3 Yearly'!$B$197)+'Scope 3 Yearly'!AW141*'Scope 3 Yearly'!AW151+'Scope 3 Yearly'!AW145*'Scope 3 Yearly'!AW155)*'Yearly BTX'!AW131</f>
        <v>45.633929832063757</v>
      </c>
      <c r="AX28" s="44">
        <f>('Scope 3 Yearly'!$EE$191*'Scope 3 Yearly'!AX152*(1-'Scope 3 Yearly'!$B$197)+'Scope 3 Yearly'!AX141*'Scope 3 Yearly'!AX151+'Scope 3 Yearly'!AX145*'Scope 3 Yearly'!AX155)*'Yearly BTX'!AX131</f>
        <v>43.777407293494612</v>
      </c>
      <c r="AY28" s="44">
        <f>('Scope 3 Yearly'!$EE$191*'Scope 3 Yearly'!AY152*(1-'Scope 3 Yearly'!$B$197)+'Scope 3 Yearly'!AY141*'Scope 3 Yearly'!AY151+'Scope 3 Yearly'!AY145*'Scope 3 Yearly'!AY155)*'Yearly BTX'!AY131</f>
        <v>41.556173153435743</v>
      </c>
      <c r="AZ28" s="44">
        <f>('Scope 3 Yearly'!$EE$191*'Scope 3 Yearly'!AZ152*(1-'Scope 3 Yearly'!$B$197)+'Scope 3 Yearly'!AZ141*'Scope 3 Yearly'!AZ151+'Scope 3 Yearly'!AZ145*'Scope 3 Yearly'!AZ155)*'Yearly BTX'!AZ131</f>
        <v>38.986368613805489</v>
      </c>
      <c r="BA28" s="44">
        <f>('Scope 3 Yearly'!$EE$191*'Scope 3 Yearly'!BA152*(1-'Scope 3 Yearly'!$B$197)+'Scope 3 Yearly'!BA141*'Scope 3 Yearly'!BA151+'Scope 3 Yearly'!BA145*'Scope 3 Yearly'!BA155)*'Yearly BTX'!BA131</f>
        <v>36.230136775242265</v>
      </c>
      <c r="BB28" s="44">
        <f>('Scope 3 Yearly'!$EE$191*'Scope 3 Yearly'!BB152*(1-'Scope 3 Yearly'!$B$197)+'Scope 3 Yearly'!BB141*'Scope 3 Yearly'!BB151+'Scope 3 Yearly'!BB145*'Scope 3 Yearly'!BB155)*'Yearly BTX'!BB131</f>
        <v>33.451087892626681</v>
      </c>
      <c r="BC28" s="44">
        <f>('Scope 3 Yearly'!$EE$191*'Scope 3 Yearly'!BC152*(1-'Scope 3 Yearly'!$B$197)+'Scope 3 Yearly'!BC141*'Scope 3 Yearly'!BC151+'Scope 3 Yearly'!BC145*'Scope 3 Yearly'!BC155)*'Yearly BTX'!BC131</f>
        <v>30.799381491921729</v>
      </c>
      <c r="BD28" s="44">
        <f>('Scope 3 Yearly'!$EE$191*'Scope 3 Yearly'!BD152*(1-'Scope 3 Yearly'!$B$197)+'Scope 3 Yearly'!BD141*'Scope 3 Yearly'!BD151+'Scope 3 Yearly'!BD145*'Scope 3 Yearly'!BD155)*'Yearly BTX'!BD131</f>
        <v>28.378566802260991</v>
      </c>
      <c r="BE28" s="44">
        <f>('Scope 3 Yearly'!$EE$191*'Scope 3 Yearly'!BE152*(1-'Scope 3 Yearly'!$B$197)+'Scope 3 Yearly'!BE141*'Scope 3 Yearly'!BE151+'Scope 3 Yearly'!BE145*'Scope 3 Yearly'!BE155)*'Yearly BTX'!BE131</f>
        <v>25.789994277600421</v>
      </c>
      <c r="BF28" s="44">
        <f>('Scope 3 Yearly'!$EE$191*'Scope 3 Yearly'!BF152*(1-'Scope 3 Yearly'!$B$197)+'Scope 3 Yearly'!BF141*'Scope 3 Yearly'!BF151+'Scope 3 Yearly'!BF145*'Scope 3 Yearly'!BF155)*'Yearly BTX'!BF131</f>
        <v>23.548529280050531</v>
      </c>
      <c r="BG28" s="44">
        <f>('Scope 3 Yearly'!$EE$191*'Scope 3 Yearly'!BG152*(1-'Scope 3 Yearly'!$B$197)+'Scope 3 Yearly'!BG141*'Scope 3 Yearly'!BG151+'Scope 3 Yearly'!BG145*'Scope 3 Yearly'!BG155)*'Yearly BTX'!BG131</f>
        <v>21.620642924684827</v>
      </c>
      <c r="BH28" s="44">
        <f>('Scope 3 Yearly'!$EE$191*'Scope 3 Yearly'!BH152*(1-'Scope 3 Yearly'!$B$197)+'Scope 3 Yearly'!BH141*'Scope 3 Yearly'!BH151+'Scope 3 Yearly'!BH145*'Scope 3 Yearly'!BH155)*'Yearly BTX'!BH131</f>
        <v>19.955692522639833</v>
      </c>
      <c r="BI28" s="44">
        <f>('Scope 3 Yearly'!$EE$191*'Scope 3 Yearly'!BI152*(1-'Scope 3 Yearly'!$B$197)+'Scope 3 Yearly'!BI141*'Scope 3 Yearly'!BI151+'Scope 3 Yearly'!BI145*'Scope 3 Yearly'!BI155)*'Yearly BTX'!BI131</f>
        <v>18.506899289296879</v>
      </c>
      <c r="BJ28" s="44">
        <f>('Scope 3 Yearly'!$EE$191*'Scope 3 Yearly'!BJ152*(1-'Scope 3 Yearly'!$B$197)+'Scope 3 Yearly'!BJ141*'Scope 3 Yearly'!BJ151+'Scope 3 Yearly'!BJ145*'Scope 3 Yearly'!BJ155)*'Yearly BTX'!BJ131</f>
        <v>17.211918915495378</v>
      </c>
      <c r="BK28" s="44">
        <f>('Scope 3 Yearly'!$EE$191*'Scope 3 Yearly'!BK152*(1-'Scope 3 Yearly'!$B$197)+'Scope 3 Yearly'!BK141*'Scope 3 Yearly'!BK151+'Scope 3 Yearly'!BK145*'Scope 3 Yearly'!BK155)*'Yearly BTX'!BK131</f>
        <v>16.062382623908768</v>
      </c>
      <c r="BL28" s="44">
        <f>('Scope 3 Yearly'!$EE$191*'Scope 3 Yearly'!BL152*(1-'Scope 3 Yearly'!$B$197)+'Scope 3 Yearly'!BL141*'Scope 3 Yearly'!BL151+'Scope 3 Yearly'!BL145*'Scope 3 Yearly'!BL155)*'Yearly BTX'!BL131</f>
        <v>15.03104591462961</v>
      </c>
      <c r="BM28" s="44">
        <f>('Scope 3 Yearly'!$EE$191*'Scope 3 Yearly'!BM152*(1-'Scope 3 Yearly'!$B$197)+'Scope 3 Yearly'!BM141*'Scope 3 Yearly'!BM151+'Scope 3 Yearly'!BM145*'Scope 3 Yearly'!BM155)*'Yearly BTX'!BM131</f>
        <v>14.097263687415108</v>
      </c>
      <c r="BN28" s="44">
        <f>('Scope 3 Yearly'!$EE$191*'Scope 3 Yearly'!BN152*(1-'Scope 3 Yearly'!$B$197)+'Scope 3 Yearly'!BN141*'Scope 3 Yearly'!BN151+'Scope 3 Yearly'!BN145*'Scope 3 Yearly'!BN155)*'Yearly BTX'!BN131</f>
        <v>13.246134010731101</v>
      </c>
      <c r="BO28" s="44"/>
      <c r="BP28" s="44">
        <f>('Scope 3 Yearly'!$EE$191*'Scope 3 Yearly'!BP152*(1-'Scope 3 Yearly'!$B$197)+'Scope 3 Yearly'!BP141*'Scope 3 Yearly'!BP151+'Scope 3 Yearly'!BP145*'Scope 3 Yearly'!BP155)*'Yearly Demand - BTX'!N9</f>
        <v>45.899107710382935</v>
      </c>
      <c r="BQ28" s="44">
        <f>('Scope 3 Yearly'!$EE$191*'Scope 3 Yearly'!BQ152*(1-'Scope 3 Yearly'!$B$197)+'Scope 3 Yearly'!BQ141*'Scope 3 Yearly'!BQ151+'Scope 3 Yearly'!BQ145*'Scope 3 Yearly'!BQ155)*'Yearly Demand - BTX'!O9</f>
        <v>47.653100361484725</v>
      </c>
      <c r="BR28" s="44">
        <f>('Scope 3 Yearly'!$EE$191*'Scope 3 Yearly'!BR152*(1-'Scope 3 Yearly'!$B$197)+'Scope 3 Yearly'!BR141*'Scope 3 Yearly'!BR151+'Scope 3 Yearly'!BR145*'Scope 3 Yearly'!BR155)*'Yearly Demand - BTX'!P9</f>
        <v>49.454027978035008</v>
      </c>
      <c r="BS28" s="44">
        <f>('Scope 3 Yearly'!$EE$191*'Scope 3 Yearly'!BS152*(1-'Scope 3 Yearly'!$B$197)+'Scope 3 Yearly'!BS141*'Scope 3 Yearly'!BS151+'Scope 3 Yearly'!BS145*'Scope 3 Yearly'!BS155)*'Yearly Demand - BTX'!Q9</f>
        <v>51.302925825893212</v>
      </c>
      <c r="BT28" s="44">
        <f>('Scope 3 Yearly'!$EE$191*'Scope 3 Yearly'!BT152*(1-'Scope 3 Yearly'!$B$197)+'Scope 3 Yearly'!BT141*'Scope 3 Yearly'!BT151+'Scope 3 Yearly'!BT145*'Scope 3 Yearly'!BT155)*'Yearly Demand - BTX'!R9</f>
        <v>53.200760421273543</v>
      </c>
      <c r="BU28" s="44">
        <f>('Scope 3 Yearly'!$EE$191*'Scope 3 Yearly'!BU152*(1-'Scope 3 Yearly'!$B$197)+'Scope 3 Yearly'!BU141*'Scope 3 Yearly'!BU151+'Scope 3 Yearly'!BU145*'Scope 3 Yearly'!BU155)*'Yearly Demand - BTX'!S9</f>
        <v>55.148418719739617</v>
      </c>
      <c r="BV28" s="44">
        <f>('Scope 3 Yearly'!$EE$191*'Scope 3 Yearly'!BV152*(1-'Scope 3 Yearly'!$B$197)+'Scope 3 Yearly'!BV141*'Scope 3 Yearly'!BV151+'Scope 3 Yearly'!BV145*'Scope 3 Yearly'!BV155)*'Yearly Demand - BTX'!T9</f>
        <v>56.701813692982626</v>
      </c>
      <c r="BW28" s="44">
        <f>('Scope 3 Yearly'!$EE$191*'Scope 3 Yearly'!BW152*(1-'Scope 3 Yearly'!$B$197)+'Scope 3 Yearly'!BW141*'Scope 3 Yearly'!BW151+'Scope 3 Yearly'!BW145*'Scope 3 Yearly'!BW155)*'Yearly Demand - BTX'!U9</f>
        <v>58.28926022013448</v>
      </c>
      <c r="BX28" s="44">
        <f>('Scope 3 Yearly'!$EE$191*'Scope 3 Yearly'!BX152*(1-'Scope 3 Yearly'!$B$197)+'Scope 3 Yearly'!BX141*'Scope 3 Yearly'!BX151+'Scope 3 Yearly'!BX145*'Scope 3 Yearly'!BX155)*'Yearly Demand - BTX'!V9</f>
        <v>59.911374791111236</v>
      </c>
      <c r="BY28" s="44">
        <f>('Scope 3 Yearly'!$EE$191*'Scope 3 Yearly'!BY152*(1-'Scope 3 Yearly'!$B$197)+'Scope 3 Yearly'!BY141*'Scope 3 Yearly'!BY151+'Scope 3 Yearly'!BY145*'Scope 3 Yearly'!BY155)*'Yearly Demand - BTX'!W9</f>
        <v>61.568780655179822</v>
      </c>
      <c r="BZ28" s="44">
        <f>('Scope 3 Yearly'!$EE$191*'Scope 3 Yearly'!BZ152*(1-'Scope 3 Yearly'!$B$197)+'Scope 3 Yearly'!BZ141*'Scope 3 Yearly'!BZ151+'Scope 3 Yearly'!BZ145*'Scope 3 Yearly'!BZ155)*'Yearly Demand - BTX'!X9</f>
        <v>63.262107590259269</v>
      </c>
      <c r="CA28" s="44">
        <f>('Scope 3 Yearly'!$EE$191*'Scope 3 Yearly'!CA152*(1-'Scope 3 Yearly'!$B$197)+'Scope 3 Yearly'!CA141*'Scope 3 Yearly'!CA151+'Scope 3 Yearly'!CA145*'Scope 3 Yearly'!CA155)*'Yearly Demand - BTX'!Y9</f>
        <v>64.562730225526238</v>
      </c>
      <c r="CB28" s="44">
        <f>('Scope 3 Yearly'!$EE$191*'Scope 3 Yearly'!CB152*(1-'Scope 3 Yearly'!$B$197)+'Scope 3 Yearly'!CB141*'Scope 3 Yearly'!CB151+'Scope 3 Yearly'!CB145*'Scope 3 Yearly'!CB155)*'Yearly Demand - BTX'!Z9</f>
        <v>65.871926646768316</v>
      </c>
      <c r="CC28" s="44">
        <f>('Scope 3 Yearly'!$EE$191*'Scope 3 Yearly'!CC152*(1-'Scope 3 Yearly'!$B$197)+'Scope 3 Yearly'!CC141*'Scope 3 Yearly'!CC151+'Scope 3 Yearly'!CC145*'Scope 3 Yearly'!CC155)*'Yearly Demand - BTX'!AA9</f>
        <v>67.18926827410462</v>
      </c>
      <c r="CD28" s="44">
        <f>('Scope 3 Yearly'!$EE$191*'Scope 3 Yearly'!CD152*(1-'Scope 3 Yearly'!$B$197)+'Scope 3 Yearly'!CD141*'Scope 3 Yearly'!CD151+'Scope 3 Yearly'!CD145*'Scope 3 Yearly'!CD155)*'Yearly Demand - BTX'!AB9</f>
        <v>68.514243275453438</v>
      </c>
      <c r="CE28" s="44">
        <f>('Scope 3 Yearly'!$EE$191*'Scope 3 Yearly'!CE152*(1-'Scope 3 Yearly'!$B$197)+'Scope 3 Yearly'!CE141*'Scope 3 Yearly'!CE151+'Scope 3 Yearly'!CE145*'Scope 3 Yearly'!CE155)*'Yearly Demand - BTX'!AC9</f>
        <v>69.846248502310146</v>
      </c>
      <c r="CF28" s="44">
        <f>('Scope 3 Yearly'!$EE$191*'Scope 3 Yearly'!CF152*(1-'Scope 3 Yearly'!$B$197)+'Scope 3 Yearly'!CF141*'Scope 3 Yearly'!CF151+'Scope 3 Yearly'!CF145*'Scope 3 Yearly'!CF155)*'Yearly Demand - BTX'!AD9</f>
        <v>71.164518965923889</v>
      </c>
      <c r="CG28" s="44">
        <f>('Scope 3 Yearly'!$EE$191*'Scope 3 Yearly'!CG152*(1-'Scope 3 Yearly'!$B$197)+'Scope 3 Yearly'!CG141*'Scope 3 Yearly'!CG151+'Scope 3 Yearly'!CG145*'Scope 3 Yearly'!CG155)*'Yearly Demand - BTX'!AE9</f>
        <v>72.4994761970284</v>
      </c>
      <c r="CH28" s="44">
        <f>('Scope 3 Yearly'!$EE$191*'Scope 3 Yearly'!CH152*(1-'Scope 3 Yearly'!$B$197)+'Scope 3 Yearly'!CH141*'Scope 3 Yearly'!CH151+'Scope 3 Yearly'!CH145*'Scope 3 Yearly'!CH155)*'Yearly Demand - BTX'!AF9</f>
        <v>73.851257186389688</v>
      </c>
      <c r="CI28" s="44">
        <f>('Scope 3 Yearly'!$EE$191*'Scope 3 Yearly'!CI152*(1-'Scope 3 Yearly'!$B$197)+'Scope 3 Yearly'!CI141*'Scope 3 Yearly'!CI151+'Scope 3 Yearly'!CI145*'Scope 3 Yearly'!CI155)*'Yearly Demand - BTX'!AG9</f>
        <v>75.219998069328639</v>
      </c>
      <c r="CJ28" s="44">
        <f>('Scope 3 Yearly'!$EE$191*'Scope 3 Yearly'!CJ152*(1-'Scope 3 Yearly'!$B$197)+'Scope 3 Yearly'!CJ141*'Scope 3 Yearly'!CJ151+'Scope 3 Yearly'!CJ145*'Scope 3 Yearly'!CJ155)*'Yearly Demand - BTX'!AH9</f>
        <v>76.605834026377693</v>
      </c>
      <c r="CK28" s="44">
        <f>('Scope 3 Yearly'!$EE$191*'Scope 3 Yearly'!CK152*(1-'Scope 3 Yearly'!$B$197)+'Scope 3 Yearly'!CK141*'Scope 3 Yearly'!CK151+'Scope 3 Yearly'!CK145*'Scope 3 Yearly'!CK155)*'Yearly Demand - BTX'!AI9</f>
        <v>77.59101413643441</v>
      </c>
      <c r="CL28" s="44">
        <f>('Scope 3 Yearly'!$EE$191*'Scope 3 Yearly'!CL152*(1-'Scope 3 Yearly'!$B$197)+'Scope 3 Yearly'!CL141*'Scope 3 Yearly'!CL151+'Scope 3 Yearly'!CL145*'Scope 3 Yearly'!CL155)*'Yearly Demand - BTX'!AJ9</f>
        <v>78.580698968488662</v>
      </c>
      <c r="CM28" s="44">
        <f>('Scope 3 Yearly'!$EE$191*'Scope 3 Yearly'!CM152*(1-'Scope 3 Yearly'!$B$197)+'Scope 3 Yearly'!CM141*'Scope 3 Yearly'!CM151+'Scope 3 Yearly'!CM145*'Scope 3 Yearly'!CM155)*'Yearly Demand - BTX'!AK9</f>
        <v>79.574855457828718</v>
      </c>
      <c r="CN28" s="44">
        <f>('Scope 3 Yearly'!$EE$191*'Scope 3 Yearly'!CN152*(1-'Scope 3 Yearly'!$B$197)+'Scope 3 Yearly'!CN141*'Scope 3 Yearly'!CN151+'Scope 3 Yearly'!CN145*'Scope 3 Yearly'!CN155)*'Yearly Demand - BTX'!AL9</f>
        <v>80.573448772533609</v>
      </c>
      <c r="CO28" s="44">
        <f>('Scope 3 Yearly'!$EE$191*'Scope 3 Yearly'!CO152*(1-'Scope 3 Yearly'!$B$197)+'Scope 3 Yearly'!CO141*'Scope 3 Yearly'!CO151+'Scope 3 Yearly'!CO145*'Scope 3 Yearly'!CO155)*'Yearly Demand - BTX'!AM9</f>
        <v>81.576442255240309</v>
      </c>
      <c r="CP28" s="44">
        <f>('Scope 3 Yearly'!$EE$191*'Scope 3 Yearly'!CP152*(1-'Scope 3 Yearly'!$B$197)+'Scope 3 Yearly'!CP141*'Scope 3 Yearly'!CP151+'Scope 3 Yearly'!CP145*'Scope 3 Yearly'!CP155)*'Yearly Demand - BTX'!AN9</f>
        <v>82.475790242220043</v>
      </c>
      <c r="CQ28" s="44">
        <f>('Scope 3 Yearly'!$EE$191*'Scope 3 Yearly'!CQ152*(1-'Scope 3 Yearly'!$B$197)+'Scope 3 Yearly'!CQ141*'Scope 3 Yearly'!CQ151+'Scope 3 Yearly'!CQ145*'Scope 3 Yearly'!CQ155)*'Yearly Demand - BTX'!AO9</f>
        <v>83.377033139044826</v>
      </c>
      <c r="CR28" s="44">
        <f>('Scope 3 Yearly'!$EE$191*'Scope 3 Yearly'!CR152*(1-'Scope 3 Yearly'!$B$197)+'Scope 3 Yearly'!CR141*'Scope 3 Yearly'!CR151+'Scope 3 Yearly'!CR145*'Scope 3 Yearly'!CR155)*'Yearly Demand - BTX'!AP9</f>
        <v>84.280121133625741</v>
      </c>
      <c r="CS28" s="44">
        <f>('Scope 3 Yearly'!$EE$191*'Scope 3 Yearly'!CS152*(1-'Scope 3 Yearly'!$B$197)+'Scope 3 Yearly'!CS141*'Scope 3 Yearly'!CS151+'Scope 3 Yearly'!CS145*'Scope 3 Yearly'!CS155)*'Yearly Demand - BTX'!AQ9</f>
        <v>85.185002781980202</v>
      </c>
      <c r="CT28" s="44">
        <f>('Scope 3 Yearly'!$EE$191*'Scope 3 Yearly'!CT152*(1-'Scope 3 Yearly'!$B$197)+'Scope 3 Yearly'!CT141*'Scope 3 Yearly'!CT151+'Scope 3 Yearly'!CT145*'Scope 3 Yearly'!CT155)*'Yearly Demand - BTX'!AR9</f>
        <v>86.091624960408751</v>
      </c>
      <c r="CV28" s="44">
        <f>('Scope 3 Yearly'!$EE$191*'Scope 3 Yearly'!CV152*(1-'Scope 3 Yearly'!$B$197)+'Scope 3 Yearly'!CV141*'Scope 3 Yearly'!CV151+'Scope 3 Yearly'!CV145*'Scope 3 Yearly'!CV155)*'Yearly Demand - BTX'!N9</f>
        <v>45.898679807240988</v>
      </c>
      <c r="CW28" s="44">
        <f>('Scope 3 Yearly'!$EE$191*'Scope 3 Yearly'!CW152*(1-'Scope 3 Yearly'!$B$197)+'Scope 3 Yearly'!CW141*'Scope 3 Yearly'!CW151+'Scope 3 Yearly'!CW145*'Scope 3 Yearly'!CW155)*'Yearly Demand - BTX'!O9</f>
        <v>47.07019233813859</v>
      </c>
      <c r="CX28" s="44">
        <f>('Scope 3 Yearly'!$EE$191*'Scope 3 Yearly'!CX152*(1-'Scope 3 Yearly'!$B$197)+'Scope 3 Yearly'!CX141*'Scope 3 Yearly'!CX151+'Scope 3 Yearly'!CX145*'Scope 3 Yearly'!CX155)*'Yearly Demand - BTX'!P9</f>
        <v>48.230923908912779</v>
      </c>
      <c r="CY28" s="44">
        <f>('Scope 3 Yearly'!$EE$191*'Scope 3 Yearly'!CY152*(1-'Scope 3 Yearly'!$B$197)+'Scope 3 Yearly'!CY141*'Scope 3 Yearly'!CY151+'Scope 3 Yearly'!CY145*'Scope 3 Yearly'!CY155)*'Yearly Demand - BTX'!Q9</f>
        <v>49.436395183298764</v>
      </c>
      <c r="CZ28" s="44">
        <f>('Scope 3 Yearly'!$EE$191*'Scope 3 Yearly'!CZ152*(1-'Scope 3 Yearly'!$B$197)+'Scope 3 Yearly'!CZ141*'Scope 3 Yearly'!CZ151+'Scope 3 Yearly'!CZ145*'Scope 3 Yearly'!CZ155)*'Yearly Demand - BTX'!R9</f>
        <v>50.692124402390775</v>
      </c>
      <c r="DA28" s="44">
        <f>('Scope 3 Yearly'!$EE$191*'Scope 3 Yearly'!DA152*(1-'Scope 3 Yearly'!$B$197)+'Scope 3 Yearly'!DA141*'Scope 3 Yearly'!DA151+'Scope 3 Yearly'!DA145*'Scope 3 Yearly'!DA155)*'Yearly Demand - BTX'!S9</f>
        <v>51.997744651395948</v>
      </c>
      <c r="DB28" s="44">
        <f>('Scope 3 Yearly'!$EE$191*'Scope 3 Yearly'!DB152*(1-'Scope 3 Yearly'!$B$197)+'Scope 3 Yearly'!DB141*'Scope 3 Yearly'!DB151+'Scope 3 Yearly'!DB145*'Scope 3 Yearly'!DB155)*'Yearly Demand - BTX'!T9</f>
        <v>52.928773206581099</v>
      </c>
      <c r="DC28" s="44">
        <f>('Scope 3 Yearly'!$EE$191*'Scope 3 Yearly'!DC152*(1-'Scope 3 Yearly'!$B$197)+'Scope 3 Yearly'!DC141*'Scope 3 Yearly'!DC151+'Scope 3 Yearly'!DC145*'Scope 3 Yearly'!DC155)*'Yearly Demand - BTX'!U9</f>
        <v>53.884721501534415</v>
      </c>
      <c r="DD28" s="44">
        <f>('Scope 3 Yearly'!$EE$191*'Scope 3 Yearly'!DD152*(1-'Scope 3 Yearly'!$B$197)+'Scope 3 Yearly'!DD141*'Scope 3 Yearly'!DD151+'Scope 3 Yearly'!DD145*'Scope 3 Yearly'!DD155)*'Yearly Demand - BTX'!V9</f>
        <v>54.851028796762606</v>
      </c>
      <c r="DE28" s="44">
        <f>('Scope 3 Yearly'!$EE$191*'Scope 3 Yearly'!DE152*(1-'Scope 3 Yearly'!$B$197)+'Scope 3 Yearly'!DE141*'Scope 3 Yearly'!DE151+'Scope 3 Yearly'!DE145*'Scope 3 Yearly'!DE155)*'Yearly Demand - BTX'!W9</f>
        <v>55.800264522105827</v>
      </c>
      <c r="DF28" s="44">
        <f>('Scope 3 Yearly'!$EE$191*'Scope 3 Yearly'!DF152*(1-'Scope 3 Yearly'!$B$197)+'Scope 3 Yearly'!DF141*'Scope 3 Yearly'!DF151+'Scope 3 Yearly'!DF145*'Scope 3 Yearly'!DF155)*'Yearly Demand - BTX'!X9</f>
        <v>56.68455433394837</v>
      </c>
      <c r="DG28" s="44">
        <f>('Scope 3 Yearly'!$EE$191*'Scope 3 Yearly'!DG152*(1-'Scope 3 Yearly'!$B$197)+'Scope 3 Yearly'!DG141*'Scope 3 Yearly'!DG151+'Scope 3 Yearly'!DG145*'Scope 3 Yearly'!DG155)*'Yearly Demand - BTX'!Y9</f>
        <v>56.919027198754243</v>
      </c>
      <c r="DH28" s="44">
        <f>('Scope 3 Yearly'!$EE$191*'Scope 3 Yearly'!DH152*(1-'Scope 3 Yearly'!$B$197)+'Scope 3 Yearly'!DH141*'Scope 3 Yearly'!DH151+'Scope 3 Yearly'!DH145*'Scope 3 Yearly'!DH155)*'Yearly Demand - BTX'!Z9</f>
        <v>56.89218208811122</v>
      </c>
      <c r="DI28" s="44">
        <f>('Scope 3 Yearly'!$EE$191*'Scope 3 Yearly'!DI152*(1-'Scope 3 Yearly'!$B$197)+'Scope 3 Yearly'!DI141*'Scope 3 Yearly'!DI151+'Scope 3 Yearly'!DI145*'Scope 3 Yearly'!DI155)*'Yearly Demand - BTX'!AA9</f>
        <v>56.538658724437539</v>
      </c>
      <c r="DJ28" s="44">
        <f>('Scope 3 Yearly'!$EE$191*'Scope 3 Yearly'!DJ152*(1-'Scope 3 Yearly'!$B$197)+'Scope 3 Yearly'!DJ141*'Scope 3 Yearly'!DJ151+'Scope 3 Yearly'!DJ145*'Scope 3 Yearly'!DJ155)*'Yearly Demand - BTX'!AB9</f>
        <v>55.714205906961325</v>
      </c>
      <c r="DK28" s="44">
        <f>('Scope 3 Yearly'!$EE$191*'Scope 3 Yearly'!DK152*(1-'Scope 3 Yearly'!$B$197)+'Scope 3 Yearly'!DK141*'Scope 3 Yearly'!DK151+'Scope 3 Yearly'!DK145*'Scope 3 Yearly'!DK155)*'Yearly Demand - BTX'!AC9</f>
        <v>54.356060517263593</v>
      </c>
      <c r="DL28" s="44">
        <f>('Scope 3 Yearly'!$EE$191*'Scope 3 Yearly'!DL152*(1-'Scope 3 Yearly'!$B$197)+'Scope 3 Yearly'!DL141*'Scope 3 Yearly'!DL151+'Scope 3 Yearly'!DL145*'Scope 3 Yearly'!DL155)*'Yearly Demand - BTX'!AD9</f>
        <v>52.463047934854963</v>
      </c>
      <c r="DM28" s="44">
        <f>('Scope 3 Yearly'!$EE$191*'Scope 3 Yearly'!DM152*(1-'Scope 3 Yearly'!$B$197)+'Scope 3 Yearly'!DM141*'Scope 3 Yearly'!DM151+'Scope 3 Yearly'!DM145*'Scope 3 Yearly'!DM155)*'Yearly Demand - BTX'!AE9</f>
        <v>50.193081286259492</v>
      </c>
      <c r="DN28" s="44">
        <f>('Scope 3 Yearly'!$EE$191*'Scope 3 Yearly'!DN152*(1-'Scope 3 Yearly'!$B$197)+'Scope 3 Yearly'!DN141*'Scope 3 Yearly'!DN151+'Scope 3 Yearly'!DN145*'Scope 3 Yearly'!DN155)*'Yearly Demand - BTX'!AF9</f>
        <v>47.739049237022321</v>
      </c>
      <c r="DO28" s="44">
        <f>('Scope 3 Yearly'!$EE$191*'Scope 3 Yearly'!DO152*(1-'Scope 3 Yearly'!$B$197)+'Scope 3 Yearly'!DO141*'Scope 3 Yearly'!DO151+'Scope 3 Yearly'!DO145*'Scope 3 Yearly'!DO155)*'Yearly Demand - BTX'!AG9</f>
        <v>45.29997953168477</v>
      </c>
      <c r="DP28" s="44">
        <f>('Scope 3 Yearly'!$EE$191*'Scope 3 Yearly'!DP152*(1-'Scope 3 Yearly'!$B$197)+'Scope 3 Yearly'!DP141*'Scope 3 Yearly'!DP151+'Scope 3 Yearly'!DP145*'Scope 3 Yearly'!DP155)*'Yearly Demand - BTX'!AH9</f>
        <v>43.032145444889494</v>
      </c>
      <c r="DQ28" s="44">
        <f>('Scope 3 Yearly'!$EE$191*'Scope 3 Yearly'!DQ152*(1-'Scope 3 Yearly'!$B$197)+'Scope 3 Yearly'!DQ141*'Scope 3 Yearly'!DQ151+'Scope 3 Yearly'!DQ145*'Scope 3 Yearly'!DQ155)*'Yearly Demand - BTX'!AI9</f>
        <v>40.720242734588027</v>
      </c>
      <c r="DR28" s="44">
        <f>('Scope 3 Yearly'!$EE$191*'Scope 3 Yearly'!DR152*(1-'Scope 3 Yearly'!$B$197)+'Scope 3 Yearly'!DR141*'Scope 3 Yearly'!DR151+'Scope 3 Yearly'!DR145*'Scope 3 Yearly'!DR155)*'Yearly Demand - BTX'!AJ9</f>
        <v>38.671740236182146</v>
      </c>
      <c r="DS28" s="44">
        <f>('Scope 3 Yearly'!$EE$191*'Scope 3 Yearly'!DS152*(1-'Scope 3 Yearly'!$B$197)+'Scope 3 Yearly'!DS141*'Scope 3 Yearly'!DS151+'Scope 3 Yearly'!DS145*'Scope 3 Yearly'!DS155)*'Yearly Demand - BTX'!AK9</f>
        <v>36.956234988387692</v>
      </c>
      <c r="DT28" s="44">
        <f>('Scope 3 Yearly'!$EE$191*'Scope 3 Yearly'!DT152*(1-'Scope 3 Yearly'!$B$197)+'Scope 3 Yearly'!DT141*'Scope 3 Yearly'!DT151+'Scope 3 Yearly'!DT145*'Scope 3 Yearly'!DT155)*'Yearly Demand - BTX'!AL9</f>
        <v>35.53161504897772</v>
      </c>
      <c r="DU28" s="44">
        <f>('Scope 3 Yearly'!$EE$191*'Scope 3 Yearly'!DU152*(1-'Scope 3 Yearly'!$B$197)+'Scope 3 Yearly'!DU141*'Scope 3 Yearly'!DU151+'Scope 3 Yearly'!DU145*'Scope 3 Yearly'!DU155)*'Yearly Demand - BTX'!AM9</f>
        <v>34.345538280030979</v>
      </c>
      <c r="DV28" s="44">
        <f>('Scope 3 Yearly'!$EE$191*'Scope 3 Yearly'!DV152*(1-'Scope 3 Yearly'!$B$197)+'Scope 3 Yearly'!DV141*'Scope 3 Yearly'!DV151+'Scope 3 Yearly'!DV145*'Scope 3 Yearly'!DV155)*'Yearly Demand - BTX'!AN9</f>
        <v>33.322102353205338</v>
      </c>
      <c r="DW28" s="44">
        <f>('Scope 3 Yearly'!$EE$191*'Scope 3 Yearly'!DW152*(1-'Scope 3 Yearly'!$B$197)+'Scope 3 Yearly'!DW141*'Scope 3 Yearly'!DW151+'Scope 3 Yearly'!DW145*'Scope 3 Yearly'!DW155)*'Yearly Demand - BTX'!AO9</f>
        <v>32.458381885197589</v>
      </c>
      <c r="DX28" s="44">
        <f>('Scope 3 Yearly'!$EE$191*'Scope 3 Yearly'!DX152*(1-'Scope 3 Yearly'!$B$197)+'Scope 3 Yearly'!DX141*'Scope 3 Yearly'!DX151+'Scope 3 Yearly'!DX145*'Scope 3 Yearly'!DX155)*'Yearly Demand - BTX'!AP9</f>
        <v>31.721971000407059</v>
      </c>
      <c r="DY28" s="44">
        <f>('Scope 3 Yearly'!$EE$191*'Scope 3 Yearly'!DY152*(1-'Scope 3 Yearly'!$B$197)+'Scope 3 Yearly'!DY141*'Scope 3 Yearly'!DY151+'Scope 3 Yearly'!DY145*'Scope 3 Yearly'!DY155)*'Yearly Demand - BTX'!AQ9</f>
        <v>31.086667008250046</v>
      </c>
      <c r="DZ28" s="44">
        <f>('Scope 3 Yearly'!$EE$191*'Scope 3 Yearly'!DZ152*(1-'Scope 3 Yearly'!$B$197)+'Scope 3 Yearly'!DZ141*'Scope 3 Yearly'!DZ151+'Scope 3 Yearly'!DZ145*'Scope 3 Yearly'!DZ155)*'Yearly Demand - BTX'!AR9</f>
        <v>30.530949619433905</v>
      </c>
    </row>
    <row r="29" spans="1:165" ht="16" thickBot="1" x14ac:dyDescent="0.25">
      <c r="A29" t="s">
        <v>10</v>
      </c>
      <c r="C29" s="54" t="s">
        <v>415</v>
      </c>
      <c r="D29" s="44">
        <f>('Scope 3 Yearly'!$EE$192*'Scope 3 Yearly'!D175*(1-'Scope 3 Yearly'!$B$197)+'Scope 3 Yearly'!D164*'Scope 3 Yearly'!D174+'Scope 3 Yearly'!D168*'Scope 3 Yearly'!D178)*'Yearly Butadiene'!D76</f>
        <v>14.372100324015667</v>
      </c>
      <c r="E29" s="44">
        <f>('Scope 3 Yearly'!$EE$192*'Scope 3 Yearly'!E175*(1-'Scope 3 Yearly'!$B$197)+'Scope 3 Yearly'!E164*'Scope 3 Yearly'!E174+'Scope 3 Yearly'!E168*'Scope 3 Yearly'!E178)*'Yearly Butadiene'!E76</f>
        <v>14.551365032946643</v>
      </c>
      <c r="F29" s="44">
        <f>('Scope 3 Yearly'!$EE$192*'Scope 3 Yearly'!F175*(1-'Scope 3 Yearly'!$B$197)+'Scope 3 Yearly'!F164*'Scope 3 Yearly'!F174+'Scope 3 Yearly'!F168*'Scope 3 Yearly'!F178)*'Yearly Butadiene'!F76</f>
        <v>14.737795156951853</v>
      </c>
      <c r="G29" s="44">
        <f>('Scope 3 Yearly'!$EE$192*'Scope 3 Yearly'!G175*(1-'Scope 3 Yearly'!$B$197)+'Scope 3 Yearly'!G164*'Scope 3 Yearly'!G174+'Scope 3 Yearly'!G168*'Scope 3 Yearly'!G178)*'Yearly Butadiene'!G76</f>
        <v>14.931611997669972</v>
      </c>
      <c r="H29" s="44">
        <f>('Scope 3 Yearly'!$EE$192*'Scope 3 Yearly'!H175*(1-'Scope 3 Yearly'!$B$197)+'Scope 3 Yearly'!H164*'Scope 3 Yearly'!H174+'Scope 3 Yearly'!H168*'Scope 3 Yearly'!H178)*'Yearly Butadiene'!H76</f>
        <v>15.132891361113982</v>
      </c>
      <c r="I29" s="44">
        <f>('Scope 3 Yearly'!$EE$192*'Scope 3 Yearly'!I175*(1-'Scope 3 Yearly'!$B$197)+'Scope 3 Yearly'!I164*'Scope 3 Yearly'!I174+'Scope 3 Yearly'!I168*'Scope 3 Yearly'!I178)*'Yearly Butadiene'!I76</f>
        <v>15.341392205478028</v>
      </c>
      <c r="J29" s="44">
        <f>('Scope 3 Yearly'!$EE$192*'Scope 3 Yearly'!J175*(1-'Scope 3 Yearly'!$B$197)+'Scope 3 Yearly'!J164*'Scope 3 Yearly'!J174+'Scope 3 Yearly'!J168*'Scope 3 Yearly'!J178)*'Yearly Butadiene'!J76</f>
        <v>15.528398141579201</v>
      </c>
      <c r="K29" s="44">
        <f>('Scope 3 Yearly'!$EE$192*'Scope 3 Yearly'!K175*(1-'Scope 3 Yearly'!$B$197)+'Scope 3 Yearly'!K164*'Scope 3 Yearly'!K174+'Scope 3 Yearly'!K168*'Scope 3 Yearly'!K178)*'Yearly Butadiene'!K76</f>
        <v>15.716306179798471</v>
      </c>
      <c r="L29" s="44">
        <f>('Scope 3 Yearly'!$EE$192*'Scope 3 Yearly'!L175*(1-'Scope 3 Yearly'!$B$197)+'Scope 3 Yearly'!L164*'Scope 3 Yearly'!L174+'Scope 3 Yearly'!L168*'Scope 3 Yearly'!L178)*'Yearly Butadiene'!L76</f>
        <v>15.900401833383977</v>
      </c>
      <c r="M29" s="44">
        <f>('Scope 3 Yearly'!$EE$192*'Scope 3 Yearly'!M175*(1-'Scope 3 Yearly'!$B$197)+'Scope 3 Yearly'!M164*'Scope 3 Yearly'!M174+'Scope 3 Yearly'!M168*'Scope 3 Yearly'!M178)*'Yearly Butadiene'!M76</f>
        <v>16.072243419208256</v>
      </c>
      <c r="N29" s="44">
        <f>('Scope 3 Yearly'!$EE$192*'Scope 3 Yearly'!N175*(1-'Scope 3 Yearly'!$B$197)+'Scope 3 Yearly'!N164*'Scope 3 Yearly'!N174+'Scope 3 Yearly'!N168*'Scope 3 Yearly'!N178)*'Yearly Butadiene'!N76</f>
        <v>16.220801543632053</v>
      </c>
      <c r="O29" s="44">
        <f>('Scope 3 Yearly'!$EE$192*'Scope 3 Yearly'!O175*(1-'Scope 3 Yearly'!$B$197)+'Scope 3 Yearly'!O164*'Scope 3 Yearly'!O174+'Scope 3 Yearly'!O168*'Scope 3 Yearly'!O178)*'Yearly Butadiene'!O76</f>
        <v>16.170136568010655</v>
      </c>
      <c r="P29" s="44">
        <f>('Scope 3 Yearly'!$EE$192*'Scope 3 Yearly'!P175*(1-'Scope 3 Yearly'!$B$197)+'Scope 3 Yearly'!P164*'Scope 3 Yearly'!P174+'Scope 3 Yearly'!P168*'Scope 3 Yearly'!P178)*'Yearly Butadiene'!P76</f>
        <v>16.043662529337382</v>
      </c>
      <c r="Q29" s="44">
        <f>('Scope 3 Yearly'!$EE$192*'Scope 3 Yearly'!Q175*(1-'Scope 3 Yearly'!$B$197)+'Scope 3 Yearly'!Q164*'Scope 3 Yearly'!Q174+'Scope 3 Yearly'!Q168*'Scope 3 Yearly'!Q178)*'Yearly Butadiene'!Q76</f>
        <v>15.814690221553692</v>
      </c>
      <c r="R29" s="44">
        <f>('Scope 3 Yearly'!$EE$192*'Scope 3 Yearly'!R175*(1-'Scope 3 Yearly'!$B$197)+'Scope 3 Yearly'!R164*'Scope 3 Yearly'!R174+'Scope 3 Yearly'!R168*'Scope 3 Yearly'!R178)*'Yearly Butadiene'!R76</f>
        <v>15.44266414268704</v>
      </c>
      <c r="S29" s="44">
        <f>('Scope 3 Yearly'!$EE$192*'Scope 3 Yearly'!S175*(1-'Scope 3 Yearly'!$B$197)+'Scope 3 Yearly'!S164*'Scope 3 Yearly'!S174+'Scope 3 Yearly'!S168*'Scope 3 Yearly'!S178)*'Yearly Butadiene'!S76</f>
        <v>14.913051168181765</v>
      </c>
      <c r="T29" s="44">
        <f>('Scope 3 Yearly'!$EE$192*'Scope 3 Yearly'!T175*(1-'Scope 3 Yearly'!$B$197)+'Scope 3 Yearly'!T164*'Scope 3 Yearly'!T174+'Scope 3 Yearly'!T168*'Scope 3 Yearly'!T178)*'Yearly Butadiene'!T76</f>
        <v>14.087764702233443</v>
      </c>
      <c r="U29" s="44">
        <f>('Scope 3 Yearly'!$EE$192*'Scope 3 Yearly'!U175*(1-'Scope 3 Yearly'!$B$197)+'Scope 3 Yearly'!U164*'Scope 3 Yearly'!U174+'Scope 3 Yearly'!U168*'Scope 3 Yearly'!U178)*'Yearly Butadiene'!U76</f>
        <v>13.170706617371026</v>
      </c>
      <c r="V29" s="44">
        <f>('Scope 3 Yearly'!$EE$192*'Scope 3 Yearly'!V175*(1-'Scope 3 Yearly'!$B$197)+'Scope 3 Yearly'!V164*'Scope 3 Yearly'!V174+'Scope 3 Yearly'!V168*'Scope 3 Yearly'!V178)*'Yearly Butadiene'!V76</f>
        <v>12.221546358607219</v>
      </c>
      <c r="W29" s="44">
        <f>('Scope 3 Yearly'!$EE$192*'Scope 3 Yearly'!W175*(1-'Scope 3 Yearly'!$B$197)+'Scope 3 Yearly'!W164*'Scope 3 Yearly'!W174+'Scope 3 Yearly'!W168*'Scope 3 Yearly'!W178)*'Yearly Butadiene'!W76</f>
        <v>11.297798785907592</v>
      </c>
      <c r="X29" s="44">
        <f>('Scope 3 Yearly'!$EE$192*'Scope 3 Yearly'!X175*(1-'Scope 3 Yearly'!$B$197)+'Scope 3 Yearly'!X164*'Scope 3 Yearly'!X174+'Scope 3 Yearly'!X168*'Scope 3 Yearly'!X178)*'Yearly Butadiene'!X76</f>
        <v>10.534117726949127</v>
      </c>
      <c r="Y29" s="44">
        <f>('Scope 3 Yearly'!$EE$192*'Scope 3 Yearly'!Y175*(1-'Scope 3 Yearly'!$B$197)+'Scope 3 Yearly'!Y164*'Scope 3 Yearly'!Y174+'Scope 3 Yearly'!Y168*'Scope 3 Yearly'!Y178)*'Yearly Butadiene'!Y76</f>
        <v>9.5568195980267259</v>
      </c>
      <c r="Z29" s="44">
        <f>('Scope 3 Yearly'!$EE$192*'Scope 3 Yearly'!Z175*(1-'Scope 3 Yearly'!$B$197)+'Scope 3 Yearly'!Z164*'Scope 3 Yearly'!Z174+'Scope 3 Yearly'!Z168*'Scope 3 Yearly'!Z178)*'Yearly Butadiene'!Z76</f>
        <v>8.7790234286148277</v>
      </c>
      <c r="AA29" s="44">
        <f>('Scope 3 Yearly'!$EE$192*'Scope 3 Yearly'!AA175*(1-'Scope 3 Yearly'!$B$197)+'Scope 3 Yearly'!AA164*'Scope 3 Yearly'!AA174+'Scope 3 Yearly'!AA168*'Scope 3 Yearly'!AA178)*'Yearly Butadiene'!AA76</f>
        <v>8.1187448306892129</v>
      </c>
      <c r="AB29" s="44">
        <f>('Scope 3 Yearly'!$EE$192*'Scope 3 Yearly'!AB175*(1-'Scope 3 Yearly'!$B$197)+'Scope 3 Yearly'!AB164*'Scope 3 Yearly'!AB174+'Scope 3 Yearly'!AB168*'Scope 3 Yearly'!AB178)*'Yearly Butadiene'!AB76</f>
        <v>7.5400005460266595</v>
      </c>
      <c r="AC29" s="44">
        <f>('Scope 3 Yearly'!$EE$192*'Scope 3 Yearly'!AC175*(1-'Scope 3 Yearly'!$B$197)+'Scope 3 Yearly'!AC164*'Scope 3 Yearly'!AC174+'Scope 3 Yearly'!AC168*'Scope 3 Yearly'!AC178)*'Yearly Butadiene'!AC76</f>
        <v>7.0275560625398166</v>
      </c>
      <c r="AD29" s="44">
        <f>('Scope 3 Yearly'!$EE$192*'Scope 3 Yearly'!AD175*(1-'Scope 3 Yearly'!$B$197)+'Scope 3 Yearly'!AD164*'Scope 3 Yearly'!AD174+'Scope 3 Yearly'!AD168*'Scope 3 Yearly'!AD178)*'Yearly Butadiene'!AD76</f>
        <v>6.5612599000365348</v>
      </c>
      <c r="AE29" s="44">
        <f>('Scope 3 Yearly'!$EE$192*'Scope 3 Yearly'!AE175*(1-'Scope 3 Yearly'!$B$197)+'Scope 3 Yearly'!AE164*'Scope 3 Yearly'!AE174+'Scope 3 Yearly'!AE168*'Scope 3 Yearly'!AE178)*'Yearly Butadiene'!AE76</f>
        <v>6.1355362541244611</v>
      </c>
      <c r="AF29" s="44">
        <f>('Scope 3 Yearly'!$EE$192*'Scope 3 Yearly'!AF175*(1-'Scope 3 Yearly'!$B$197)+'Scope 3 Yearly'!AF164*'Scope 3 Yearly'!AF174+'Scope 3 Yearly'!AF168*'Scope 3 Yearly'!AF178)*'Yearly Butadiene'!AF76</f>
        <v>5.7406892725789973</v>
      </c>
      <c r="AG29" s="44">
        <f>('Scope 3 Yearly'!$EE$192*'Scope 3 Yearly'!AG175*(1-'Scope 3 Yearly'!$B$197)+'Scope 3 Yearly'!AG164*'Scope 3 Yearly'!AG174+'Scope 3 Yearly'!AG168*'Scope 3 Yearly'!AG178)*'Yearly Butadiene'!AG76</f>
        <v>5.3694017753985905</v>
      </c>
      <c r="AH29" s="44">
        <f>('Scope 3 Yearly'!$EE$192*'Scope 3 Yearly'!AH175*(1-'Scope 3 Yearly'!$B$197)+'Scope 3 Yearly'!AH164*'Scope 3 Yearly'!AH174+'Scope 3 Yearly'!AH168*'Scope 3 Yearly'!AH178)*'Yearly Butadiene'!AH76</f>
        <v>5.1684432182121602</v>
      </c>
      <c r="AI29" s="44"/>
      <c r="AJ29" s="44">
        <f>('Scope 3 Yearly'!$EE$192*'Scope 3 Yearly'!AJ175*(1-'Scope 3 Yearly'!$B$197)+'Scope 3 Yearly'!AJ164*'Scope 3 Yearly'!AJ174+'Scope 3 Yearly'!AJ168*'Scope 3 Yearly'!AJ178)*'Yearly Butadiene'!AJ76</f>
        <v>14.372100324015667</v>
      </c>
      <c r="AK29" s="44">
        <f>('Scope 3 Yearly'!$EE$192*'Scope 3 Yearly'!AK175*(1-'Scope 3 Yearly'!$B$197)+'Scope 3 Yearly'!AK164*'Scope 3 Yearly'!AK174+'Scope 3 Yearly'!AK168*'Scope 3 Yearly'!AK178)*'Yearly Butadiene'!AK76</f>
        <v>14.610930995653407</v>
      </c>
      <c r="AL29" s="44">
        <f>('Scope 3 Yearly'!$EE$192*'Scope 3 Yearly'!AL175*(1-'Scope 3 Yearly'!$B$197)+'Scope 3 Yearly'!AL164*'Scope 3 Yearly'!AL174+'Scope 3 Yearly'!AL168*'Scope 3 Yearly'!AL178)*'Yearly Butadiene'!AL76</f>
        <v>14.859533256522347</v>
      </c>
      <c r="AM29" s="44">
        <f>('Scope 3 Yearly'!$EE$192*'Scope 3 Yearly'!AM175*(1-'Scope 3 Yearly'!$B$197)+'Scope 3 Yearly'!AM164*'Scope 3 Yearly'!AM174+'Scope 3 Yearly'!AM168*'Scope 3 Yearly'!AM178)*'Yearly Butadiene'!AM76</f>
        <v>15.11828867674568</v>
      </c>
      <c r="AN29" s="44">
        <f>('Scope 3 Yearly'!$EE$192*'Scope 3 Yearly'!AN175*(1-'Scope 3 Yearly'!$B$197)+'Scope 3 Yearly'!AN164*'Scope 3 Yearly'!AN174+'Scope 3 Yearly'!AN168*'Scope 3 Yearly'!AN178)*'Yearly Butadiene'!AN76</f>
        <v>15.387435021442448</v>
      </c>
      <c r="AO29" s="44">
        <f>('Scope 3 Yearly'!$EE$192*'Scope 3 Yearly'!AO175*(1-'Scope 3 Yearly'!$B$197)+'Scope 3 Yearly'!AO164*'Scope 3 Yearly'!AO174+'Scope 3 Yearly'!AO168*'Scope 3 Yearly'!AO178)*'Yearly Butadiene'!AO76</f>
        <v>15.666887844797575</v>
      </c>
      <c r="AP29" s="44">
        <f>('Scope 3 Yearly'!$EE$192*'Scope 3 Yearly'!AP175*(1-'Scope 3 Yearly'!$B$197)+'Scope 3 Yearly'!AP164*'Scope 3 Yearly'!AP174+'Scope 3 Yearly'!AP168*'Scope 3 Yearly'!AP178)*'Yearly Butadiene'!AP76</f>
        <v>15.930318961597692</v>
      </c>
      <c r="AQ29" s="44">
        <f>('Scope 3 Yearly'!$EE$192*'Scope 3 Yearly'!AQ175*(1-'Scope 3 Yearly'!$B$197)+'Scope 3 Yearly'!AQ164*'Scope 3 Yearly'!AQ174+'Scope 3 Yearly'!AQ168*'Scope 3 Yearly'!AQ178)*'Yearly Butadiene'!AQ76</f>
        <v>16.198312647828374</v>
      </c>
      <c r="AR29" s="44">
        <f>('Scope 3 Yearly'!$EE$192*'Scope 3 Yearly'!AR175*(1-'Scope 3 Yearly'!$B$197)+'Scope 3 Yearly'!AR164*'Scope 3 Yearly'!AR174+'Scope 3 Yearly'!AR168*'Scope 3 Yearly'!AR178)*'Yearly Butadiene'!AR76</f>
        <v>16.466136258796396</v>
      </c>
      <c r="AS29" s="44">
        <f>('Scope 3 Yearly'!$EE$192*'Scope 3 Yearly'!AS175*(1-'Scope 3 Yearly'!$B$197)+'Scope 3 Yearly'!AS164*'Scope 3 Yearly'!AS174+'Scope 3 Yearly'!AS168*'Scope 3 Yearly'!AS178)*'Yearly Butadiene'!AS76</f>
        <v>16.725091726293307</v>
      </c>
      <c r="AT29" s="44">
        <f>('Scope 3 Yearly'!$EE$192*'Scope 3 Yearly'!AT175*(1-'Scope 3 Yearly'!$B$197)+'Scope 3 Yearly'!AT164*'Scope 3 Yearly'!AT174+'Scope 3 Yearly'!AT168*'Scope 3 Yearly'!AT178)*'Yearly Butadiene'!AT76</f>
        <v>16.963523322245162</v>
      </c>
      <c r="AU29" s="44">
        <f>('Scope 3 Yearly'!$EE$192*'Scope 3 Yearly'!AU175*(1-'Scope 3 Yearly'!$B$197)+'Scope 3 Yearly'!AU164*'Scope 3 Yearly'!AU174+'Scope 3 Yearly'!AU168*'Scope 3 Yearly'!AU178)*'Yearly Butadiene'!AU76</f>
        <v>17.049762032790717</v>
      </c>
      <c r="AV29" s="44">
        <f>('Scope 3 Yearly'!$EE$192*'Scope 3 Yearly'!AV175*(1-'Scope 3 Yearly'!$B$197)+'Scope 3 Yearly'!AV164*'Scope 3 Yearly'!AV174+'Scope 3 Yearly'!AV168*'Scope 3 Yearly'!AV178)*'Yearly Butadiene'!AV76</f>
        <v>17.058904820169289</v>
      </c>
      <c r="AW29" s="44">
        <f>('Scope 3 Yearly'!$EE$192*'Scope 3 Yearly'!AW175*(1-'Scope 3 Yearly'!$B$197)+'Scope 3 Yearly'!AW164*'Scope 3 Yearly'!AW174+'Scope 3 Yearly'!AW168*'Scope 3 Yearly'!AW178)*'Yearly Butadiene'!AW76</f>
        <v>16.956716143842325</v>
      </c>
      <c r="AX29" s="44">
        <f>('Scope 3 Yearly'!$EE$192*'Scope 3 Yearly'!AX175*(1-'Scope 3 Yearly'!$B$197)+'Scope 3 Yearly'!AX164*'Scope 3 Yearly'!AX174+'Scope 3 Yearly'!AX168*'Scope 3 Yearly'!AX178)*'Yearly Butadiene'!AX76</f>
        <v>16.699900695562377</v>
      </c>
      <c r="AY29" s="44">
        <f>('Scope 3 Yearly'!$EE$192*'Scope 3 Yearly'!AY175*(1-'Scope 3 Yearly'!$B$197)+'Scope 3 Yearly'!AY164*'Scope 3 Yearly'!AY174+'Scope 3 Yearly'!AY168*'Scope 3 Yearly'!AY178)*'Yearly Butadiene'!AY76</f>
        <v>16.268499725186786</v>
      </c>
      <c r="AZ29" s="44">
        <f>('Scope 3 Yearly'!$EE$192*'Scope 3 Yearly'!AZ175*(1-'Scope 3 Yearly'!$B$197)+'Scope 3 Yearly'!AZ164*'Scope 3 Yearly'!AZ174+'Scope 3 Yearly'!AZ168*'Scope 3 Yearly'!AZ178)*'Yearly Butadiene'!AZ76</f>
        <v>15.511263492256377</v>
      </c>
      <c r="BA29" s="44">
        <f>('Scope 3 Yearly'!$EE$192*'Scope 3 Yearly'!BA175*(1-'Scope 3 Yearly'!$B$197)+'Scope 3 Yearly'!BA164*'Scope 3 Yearly'!BA174+'Scope 3 Yearly'!BA168*'Scope 3 Yearly'!BA178)*'Yearly Butadiene'!BA76</f>
        <v>14.641058703036213</v>
      </c>
      <c r="BB29" s="44">
        <f>('Scope 3 Yearly'!$EE$192*'Scope 3 Yearly'!BB175*(1-'Scope 3 Yearly'!$B$197)+'Scope 3 Yearly'!BB164*'Scope 3 Yearly'!BB174+'Scope 3 Yearly'!BB168*'Scope 3 Yearly'!BB178)*'Yearly Butadiene'!BB76</f>
        <v>13.721045541711112</v>
      </c>
      <c r="BC29" s="44">
        <f>('Scope 3 Yearly'!$EE$192*'Scope 3 Yearly'!BC175*(1-'Scope 3 Yearly'!$B$197)+'Scope 3 Yearly'!BC164*'Scope 3 Yearly'!BC174+'Scope 3 Yearly'!BC168*'Scope 3 Yearly'!BC178)*'Yearly Butadiene'!BC76</f>
        <v>12.814353696066165</v>
      </c>
      <c r="BD29" s="44">
        <f>('Scope 3 Yearly'!$EE$192*'Scope 3 Yearly'!BD175*(1-'Scope 3 Yearly'!$B$197)+'Scope 3 Yearly'!BD164*'Scope 3 Yearly'!BD174+'Scope 3 Yearly'!BD168*'Scope 3 Yearly'!BD178)*'Yearly Butadiene'!BD76</f>
        <v>12.06834969644067</v>
      </c>
      <c r="BE29" s="44">
        <f>('Scope 3 Yearly'!$EE$192*'Scope 3 Yearly'!BE175*(1-'Scope 3 Yearly'!$B$197)+'Scope 3 Yearly'!BE164*'Scope 3 Yearly'!BE174+'Scope 3 Yearly'!BE168*'Scope 3 Yearly'!BE178)*'Yearly Butadiene'!BE76</f>
        <v>11.146282568623773</v>
      </c>
      <c r="BF29" s="44">
        <f>('Scope 3 Yearly'!$EE$192*'Scope 3 Yearly'!BF175*(1-'Scope 3 Yearly'!$B$197)+'Scope 3 Yearly'!BF164*'Scope 3 Yearly'!BF174+'Scope 3 Yearly'!BF168*'Scope 3 Yearly'!BF178)*'Yearly Butadiene'!BF76</f>
        <v>10.427408855000332</v>
      </c>
      <c r="BG29" s="44">
        <f>('Scope 3 Yearly'!$EE$192*'Scope 3 Yearly'!BG175*(1-'Scope 3 Yearly'!$B$197)+'Scope 3 Yearly'!BG164*'Scope 3 Yearly'!BG174+'Scope 3 Yearly'!BG168*'Scope 3 Yearly'!BG178)*'Yearly Butadiene'!BG76</f>
        <v>9.821059683493381</v>
      </c>
      <c r="BH29" s="44">
        <f>('Scope 3 Yearly'!$EE$192*'Scope 3 Yearly'!BH175*(1-'Scope 3 Yearly'!$B$197)+'Scope 3 Yearly'!BH164*'Scope 3 Yearly'!BH174+'Scope 3 Yearly'!BH168*'Scope 3 Yearly'!BH178)*'Yearly Butadiene'!BH76</f>
        <v>9.2979405107414745</v>
      </c>
      <c r="BI29" s="44">
        <f>('Scope 3 Yearly'!$EE$192*'Scope 3 Yearly'!BI175*(1-'Scope 3 Yearly'!$B$197)+'Scope 3 Yearly'!BI164*'Scope 3 Yearly'!BI174+'Scope 3 Yearly'!BI168*'Scope 3 Yearly'!BI178)*'Yearly Butadiene'!BI76</f>
        <v>8.8431880540710601</v>
      </c>
      <c r="BJ29" s="44">
        <f>('Scope 3 Yearly'!$EE$192*'Scope 3 Yearly'!BJ175*(1-'Scope 3 Yearly'!$B$197)+'Scope 3 Yearly'!BJ164*'Scope 3 Yearly'!BJ174+'Scope 3 Yearly'!BJ168*'Scope 3 Yearly'!BJ178)*'Yearly Butadiene'!BJ76</f>
        <v>8.4359298518290355</v>
      </c>
      <c r="BK29" s="44">
        <f>('Scope 3 Yearly'!$EE$192*'Scope 3 Yearly'!BK175*(1-'Scope 3 Yearly'!$B$197)+'Scope 3 Yearly'!BK164*'Scope 3 Yearly'!BK174+'Scope 3 Yearly'!BK168*'Scope 3 Yearly'!BK178)*'Yearly Butadiene'!BK76</f>
        <v>8.0704389987112872</v>
      </c>
      <c r="BL29" s="44">
        <f>('Scope 3 Yearly'!$EE$192*'Scope 3 Yearly'!BL175*(1-'Scope 3 Yearly'!$B$197)+'Scope 3 Yearly'!BL164*'Scope 3 Yearly'!BL174+'Scope 3 Yearly'!BL168*'Scope 3 Yearly'!BL178)*'Yearly Butadiene'!BL76</f>
        <v>7.7362875015153909</v>
      </c>
      <c r="BM29" s="44">
        <f>('Scope 3 Yearly'!$EE$192*'Scope 3 Yearly'!BM175*(1-'Scope 3 Yearly'!$B$197)+'Scope 3 Yearly'!BM164*'Scope 3 Yearly'!BM174+'Scope 3 Yearly'!BM168*'Scope 3 Yearly'!BM178)*'Yearly Butadiene'!BM76</f>
        <v>7.4254308649422764</v>
      </c>
      <c r="BN29" s="44">
        <f>('Scope 3 Yearly'!$EE$192*'Scope 3 Yearly'!BN175*(1-'Scope 3 Yearly'!$B$197)+'Scope 3 Yearly'!BN164*'Scope 3 Yearly'!BN174+'Scope 3 Yearly'!BN168*'Scope 3 Yearly'!BN178)*'Yearly Butadiene'!BN76</f>
        <v>7.3031108412963652</v>
      </c>
      <c r="BO29" s="44"/>
      <c r="BP29" s="44">
        <f>('Scope 3 Yearly'!$EE$192*'Scope 3 Yearly'!BP175*(1-'Scope 3 Yearly'!$B$197)+'Scope 3 Yearly'!BP164*'Scope 3 Yearly'!BP174+'Scope 3 Yearly'!BP168*'Scope 3 Yearly'!BP178)*'Yearly Butadiene'!D4</f>
        <v>14.372232892473018</v>
      </c>
      <c r="BQ29" s="44">
        <f>('Scope 3 Yearly'!$EE$192*'Scope 3 Yearly'!BQ175*(1-'Scope 3 Yearly'!$B$197)+'Scope 3 Yearly'!BQ164*'Scope 3 Yearly'!BQ174+'Scope 3 Yearly'!BQ168*'Scope 3 Yearly'!BQ178)*'Yearly Butadiene'!E4</f>
        <v>14.928891026312101</v>
      </c>
      <c r="BR29" s="44">
        <f>('Scope 3 Yearly'!$EE$192*'Scope 3 Yearly'!BR175*(1-'Scope 3 Yearly'!$B$197)+'Scope 3 Yearly'!BR164*'Scope 3 Yearly'!BR174+'Scope 3 Yearly'!BR168*'Scope 3 Yearly'!BR178)*'Yearly Butadiene'!F4</f>
        <v>15.502818129508821</v>
      </c>
      <c r="BS29" s="44">
        <f>('Scope 3 Yearly'!$EE$192*'Scope 3 Yearly'!BS175*(1-'Scope 3 Yearly'!$B$197)+'Scope 3 Yearly'!BS164*'Scope 3 Yearly'!BS174+'Scope 3 Yearly'!BS168*'Scope 3 Yearly'!BS178)*'Yearly Butadiene'!G4</f>
        <v>16.094497417662808</v>
      </c>
      <c r="BT29" s="44">
        <f>('Scope 3 Yearly'!$EE$192*'Scope 3 Yearly'!BT175*(1-'Scope 3 Yearly'!$B$197)+'Scope 3 Yearly'!BT164*'Scope 3 Yearly'!BT174+'Scope 3 Yearly'!BT168*'Scope 3 Yearly'!BT178)*'Yearly Butadiene'!H4</f>
        <v>16.704410566218016</v>
      </c>
      <c r="BU29" s="44">
        <f>('Scope 3 Yearly'!$EE$192*'Scope 3 Yearly'!BU175*(1-'Scope 3 Yearly'!$B$197)+'Scope 3 Yearly'!BU164*'Scope 3 Yearly'!BU174+'Scope 3 Yearly'!BU168*'Scope 3 Yearly'!BU178)*'Yearly Butadiene'!I4</f>
        <v>17.33303614109732</v>
      </c>
      <c r="BV29" s="44">
        <f>('Scope 3 Yearly'!$EE$192*'Scope 3 Yearly'!BV175*(1-'Scope 3 Yearly'!$B$197)+'Scope 3 Yearly'!BV164*'Scope 3 Yearly'!BV174+'Scope 3 Yearly'!BV168*'Scope 3 Yearly'!BV178)*'Yearly Butadiene'!J4</f>
        <v>17.958766561788437</v>
      </c>
      <c r="BW29" s="44">
        <f>('Scope 3 Yearly'!$EE$192*'Scope 3 Yearly'!BW175*(1-'Scope 3 Yearly'!$B$197)+'Scope 3 Yearly'!BW164*'Scope 3 Yearly'!BW174+'Scope 3 Yearly'!BW168*'Scope 3 Yearly'!BW178)*'Yearly Butadiene'!K4</f>
        <v>18.604373579550533</v>
      </c>
      <c r="BX29" s="44">
        <f>('Scope 3 Yearly'!$EE$192*'Scope 3 Yearly'!BX175*(1-'Scope 3 Yearly'!$B$197)+'Scope 3 Yearly'!BX164*'Scope 3 Yearly'!BX174+'Scope 3 Yearly'!BX168*'Scope 3 Yearly'!BX178)*'Yearly Butadiene'!L4</f>
        <v>19.270438127916105</v>
      </c>
      <c r="BY29" s="44">
        <f>('Scope 3 Yearly'!$EE$192*'Scope 3 Yearly'!BY175*(1-'Scope 3 Yearly'!$B$197)+'Scope 3 Yearly'!BY164*'Scope 3 Yearly'!BY174+'Scope 3 Yearly'!BY168*'Scope 3 Yearly'!BY178)*'Yearly Butadiene'!M4</f>
        <v>19.957556688417728</v>
      </c>
      <c r="BZ29" s="44">
        <f>('Scope 3 Yearly'!$EE$192*'Scope 3 Yearly'!BZ175*(1-'Scope 3 Yearly'!$B$197)+'Scope 3 Yearly'!BZ164*'Scope 3 Yearly'!BZ174+'Scope 3 Yearly'!BZ168*'Scope 3 Yearly'!BZ178)*'Yearly Butadiene'!N4</f>
        <v>20.666341634533307</v>
      </c>
      <c r="CA29" s="44">
        <f>('Scope 3 Yearly'!$EE$192*'Scope 3 Yearly'!CA175*(1-'Scope 3 Yearly'!$B$197)+'Scope 3 Yearly'!CA164*'Scope 3 Yearly'!CA174+'Scope 3 Yearly'!CA168*'Scope 3 Yearly'!CA178)*'Yearly Butadiene'!O4</f>
        <v>21.335180137401654</v>
      </c>
      <c r="CB29" s="44">
        <f>('Scope 3 Yearly'!$EE$192*'Scope 3 Yearly'!CB175*(1-'Scope 3 Yearly'!$B$197)+'Scope 3 Yearly'!CB164*'Scope 3 Yearly'!CB174+'Scope 3 Yearly'!CB168*'Scope 3 Yearly'!CB178)*'Yearly Butadiene'!P4</f>
        <v>22.021335506316106</v>
      </c>
      <c r="CC29" s="44">
        <f>('Scope 3 Yearly'!$EE$192*'Scope 3 Yearly'!CC175*(1-'Scope 3 Yearly'!$B$197)+'Scope 3 Yearly'!CC164*'Scope 3 Yearly'!CC174+'Scope 3 Yearly'!CC168*'Scope 3 Yearly'!CC178)*'Yearly Butadiene'!Q4</f>
        <v>22.725138008238499</v>
      </c>
      <c r="CD29" s="44">
        <f>('Scope 3 Yearly'!$EE$192*'Scope 3 Yearly'!CD175*(1-'Scope 3 Yearly'!$B$197)+'Scope 3 Yearly'!CD164*'Scope 3 Yearly'!CD174+'Scope 3 Yearly'!CD168*'Scope 3 Yearly'!CD178)*'Yearly Butadiene'!R4</f>
        <v>23.446908740098777</v>
      </c>
      <c r="CE29" s="44">
        <f>('Scope 3 Yearly'!$EE$192*'Scope 3 Yearly'!CE175*(1-'Scope 3 Yearly'!$B$197)+'Scope 3 Yearly'!CE164*'Scope 3 Yearly'!CE174+'Scope 3 Yearly'!CE168*'Scope 3 Yearly'!CE178)*'Yearly Butadiene'!S4</f>
        <v>24.186957418873313</v>
      </c>
      <c r="CF29" s="44">
        <f>('Scope 3 Yearly'!$EE$192*'Scope 3 Yearly'!CF175*(1-'Scope 3 Yearly'!$B$197)+'Scope 3 Yearly'!CF164*'Scope 3 Yearly'!CF174+'Scope 3 Yearly'!CF168*'Scope 3 Yearly'!CF178)*'Yearly Butadiene'!T4</f>
        <v>24.712127568571198</v>
      </c>
      <c r="CG29" s="44">
        <f>('Scope 3 Yearly'!$EE$192*'Scope 3 Yearly'!CG175*(1-'Scope 3 Yearly'!$B$197)+'Scope 3 Yearly'!CG164*'Scope 3 Yearly'!CG174+'Scope 3 Yearly'!CG168*'Scope 3 Yearly'!CG178)*'Yearly Butadiene'!U4</f>
        <v>25.246006049067596</v>
      </c>
      <c r="CH29" s="44">
        <f>('Scope 3 Yearly'!$EE$192*'Scope 3 Yearly'!CH175*(1-'Scope 3 Yearly'!$B$197)+'Scope 3 Yearly'!CH164*'Scope 3 Yearly'!CH174+'Scope 3 Yearly'!CH168*'Scope 3 Yearly'!CH178)*'Yearly Butadiene'!V4</f>
        <v>25.788713710291606</v>
      </c>
      <c r="CI29" s="44">
        <f>('Scope 3 Yearly'!$EE$192*'Scope 3 Yearly'!CI175*(1-'Scope 3 Yearly'!$B$197)+'Scope 3 Yearly'!CI164*'Scope 3 Yearly'!CI174+'Scope 3 Yearly'!CI168*'Scope 3 Yearly'!CI178)*'Yearly Butadiene'!W4</f>
        <v>26.340372628197279</v>
      </c>
      <c r="CJ29" s="44">
        <f>('Scope 3 Yearly'!$EE$192*'Scope 3 Yearly'!CJ175*(1-'Scope 3 Yearly'!$B$197)+'Scope 3 Yearly'!CJ164*'Scope 3 Yearly'!CJ174+'Scope 3 Yearly'!CJ168*'Scope 3 Yearly'!CJ178)*'Yearly Butadiene'!X4</f>
        <v>26.901106100862066</v>
      </c>
      <c r="CK29" s="44">
        <f>('Scope 3 Yearly'!$EE$192*'Scope 3 Yearly'!CK175*(1-'Scope 3 Yearly'!$B$197)+'Scope 3 Yearly'!CK164*'Scope 3 Yearly'!CK174+'Scope 3 Yearly'!CK168*'Scope 3 Yearly'!CK178)*'Yearly Butadiene'!Y4</f>
        <v>27.446568745083461</v>
      </c>
      <c r="CL29" s="44">
        <f>('Scope 3 Yearly'!$EE$192*'Scope 3 Yearly'!CL175*(1-'Scope 3 Yearly'!$B$197)+'Scope 3 Yearly'!CL164*'Scope 3 Yearly'!CL174+'Scope 3 Yearly'!CL168*'Scope 3 Yearly'!CL178)*'Yearly Butadiene'!Z4</f>
        <v>28.000361520973133</v>
      </c>
      <c r="CM29" s="44">
        <f>('Scope 3 Yearly'!$EE$192*'Scope 3 Yearly'!CM175*(1-'Scope 3 Yearly'!$B$197)+'Scope 3 Yearly'!CM164*'Scope 3 Yearly'!CM174+'Scope 3 Yearly'!CM168*'Scope 3 Yearly'!CM178)*'Yearly Butadiene'!AA4</f>
        <v>28.562588738201779</v>
      </c>
      <c r="CN29" s="44">
        <f>('Scope 3 Yearly'!$EE$192*'Scope 3 Yearly'!CN175*(1-'Scope 3 Yearly'!$B$197)+'Scope 3 Yearly'!CN164*'Scope 3 Yearly'!CN174+'Scope 3 Yearly'!CN168*'Scope 3 Yearly'!CN178)*'Yearly Butadiene'!AB4</f>
        <v>29.133355562055087</v>
      </c>
      <c r="CO29" s="44">
        <f>('Scope 3 Yearly'!$EE$192*'Scope 3 Yearly'!CO175*(1-'Scope 3 Yearly'!$B$197)+'Scope 3 Yearly'!CO164*'Scope 3 Yearly'!CO174+'Scope 3 Yearly'!CO168*'Scope 3 Yearly'!CO178)*'Yearly Butadiene'!AC4</f>
        <v>29.712768003858127</v>
      </c>
      <c r="CP29" s="44">
        <f>('Scope 3 Yearly'!$EE$192*'Scope 3 Yearly'!CP175*(1-'Scope 3 Yearly'!$B$197)+'Scope 3 Yearly'!CP164*'Scope 3 Yearly'!CP174+'Scope 3 Yearly'!CP168*'Scope 3 Yearly'!CP178)*'Yearly Butadiene'!AD4</f>
        <v>30.281978047084284</v>
      </c>
      <c r="CQ29" s="44">
        <f>('Scope 3 Yearly'!$EE$192*'Scope 3 Yearly'!CQ175*(1-'Scope 3 Yearly'!$B$197)+'Scope 3 Yearly'!CQ164*'Scope 3 Yearly'!CQ174+'Scope 3 Yearly'!CQ168*'Scope 3 Yearly'!CQ178)*'Yearly Butadiene'!AE4</f>
        <v>30.859328123608339</v>
      </c>
      <c r="CR29" s="44">
        <f>('Scope 3 Yearly'!$EE$192*'Scope 3 Yearly'!CR175*(1-'Scope 3 Yearly'!$B$197)+'Scope 3 Yearly'!CR164*'Scope 3 Yearly'!CR174+'Scope 3 Yearly'!CR168*'Scope 3 Yearly'!CR178)*'Yearly Butadiene'!AF4</f>
        <v>31.444911789587071</v>
      </c>
      <c r="CS29" s="44">
        <f>('Scope 3 Yearly'!$EE$192*'Scope 3 Yearly'!CS175*(1-'Scope 3 Yearly'!$B$197)+'Scope 3 Yearly'!CS164*'Scope 3 Yearly'!CS174+'Scope 3 Yearly'!CS168*'Scope 3 Yearly'!CS178)*'Yearly Butadiene'!AG4</f>
        <v>32.038823212968865</v>
      </c>
      <c r="CT29" s="44">
        <f>('Scope 3 Yearly'!$EE$192*'Scope 3 Yearly'!CT175*(1-'Scope 3 Yearly'!$B$197)+'Scope 3 Yearly'!CT164*'Scope 3 Yearly'!CT174+'Scope 3 Yearly'!CT168*'Scope 3 Yearly'!CT178)*'Yearly Butadiene'!AH4</f>
        <v>32.641157160160759</v>
      </c>
      <c r="CV29" s="44">
        <f>('Scope 3 Yearly'!$EE$192*'Scope 3 Yearly'!CV175*(1-'Scope 3 Yearly'!$B$197)+'Scope 3 Yearly'!CV164*'Scope 3 Yearly'!CV174+'Scope 3 Yearly'!CV168*'Scope 3 Yearly'!CV178)*'Yearly Butadiene'!D4</f>
        <v>14.372100324015667</v>
      </c>
      <c r="CW29" s="44">
        <f>('Scope 3 Yearly'!$EE$192*'Scope 3 Yearly'!CW175*(1-'Scope 3 Yearly'!$B$197)+'Scope 3 Yearly'!CW164*'Scope 3 Yearly'!CW174+'Scope 3 Yearly'!CW168*'Scope 3 Yearly'!CW178)*'Yearly Butadiene'!E4</f>
        <v>14.725511685230174</v>
      </c>
      <c r="CX29" s="44">
        <f>('Scope 3 Yearly'!$EE$192*'Scope 3 Yearly'!CX175*(1-'Scope 3 Yearly'!$B$197)+'Scope 3 Yearly'!CX164*'Scope 3 Yearly'!CX174+'Scope 3 Yearly'!CX168*'Scope 3 Yearly'!CX178)*'Yearly Butadiene'!F4</f>
        <v>15.095239224641947</v>
      </c>
      <c r="CY29" s="44">
        <f>('Scope 3 Yearly'!$EE$192*'Scope 3 Yearly'!CY175*(1-'Scope 3 Yearly'!$B$197)+'Scope 3 Yearly'!CY164*'Scope 3 Yearly'!CY174+'Scope 3 Yearly'!CY168*'Scope 3 Yearly'!CY178)*'Yearly Butadiene'!G4</f>
        <v>15.481779148114065</v>
      </c>
      <c r="CZ29" s="44">
        <f>('Scope 3 Yearly'!$EE$192*'Scope 3 Yearly'!CZ175*(1-'Scope 3 Yearly'!$B$197)+'Scope 3 Yearly'!CZ164*'Scope 3 Yearly'!CZ174+'Scope 3 Yearly'!CZ168*'Scope 3 Yearly'!CZ178)*'Yearly Butadiene'!H4</f>
        <v>15.885466947854352</v>
      </c>
      <c r="DA29" s="44">
        <f>('Scope 3 Yearly'!$EE$192*'Scope 3 Yearly'!DA175*(1-'Scope 3 Yearly'!$B$197)+'Scope 3 Yearly'!DA164*'Scope 3 Yearly'!DA174+'Scope 3 Yearly'!DA168*'Scope 3 Yearly'!DA178)*'Yearly Butadiene'!I4</f>
        <v>16.306293468065927</v>
      </c>
      <c r="DB29" s="44">
        <f>('Scope 3 Yearly'!$EE$192*'Scope 3 Yearly'!DB175*(1-'Scope 3 Yearly'!$B$197)+'Scope 3 Yearly'!DB164*'Scope 3 Yearly'!DB174+'Scope 3 Yearly'!DB168*'Scope 3 Yearly'!DB178)*'Yearly Butadiene'!J4</f>
        <v>16.721796328920387</v>
      </c>
      <c r="DC29" s="44">
        <f>('Scope 3 Yearly'!$EE$192*'Scope 3 Yearly'!DC175*(1-'Scope 3 Yearly'!$B$197)+'Scope 3 Yearly'!DC164*'Scope 3 Yearly'!DC174+'Scope 3 Yearly'!DC168*'Scope 3 Yearly'!DC178)*'Yearly Butadiene'!K4</f>
        <v>17.150217278182513</v>
      </c>
      <c r="DD29" s="44">
        <f>('Scope 3 Yearly'!$EE$192*'Scope 3 Yearly'!DD175*(1-'Scope 3 Yearly'!$B$197)+'Scope 3 Yearly'!DD164*'Scope 3 Yearly'!DD174+'Scope 3 Yearly'!DD168*'Scope 3 Yearly'!DD178)*'Yearly Butadiene'!L4</f>
        <v>17.586895294071383</v>
      </c>
      <c r="DE29" s="44">
        <f>('Scope 3 Yearly'!$EE$192*'Scope 3 Yearly'!DE175*(1-'Scope 3 Yearly'!$B$197)+'Scope 3 Yearly'!DE164*'Scope 3 Yearly'!DE174+'Scope 3 Yearly'!DE168*'Scope 3 Yearly'!DE178)*'Yearly Butadiene'!M4</f>
        <v>18.022828484976028</v>
      </c>
      <c r="DF29" s="44">
        <f>('Scope 3 Yearly'!$EE$192*'Scope 3 Yearly'!DF175*(1-'Scope 3 Yearly'!$B$197)+'Scope 3 Yearly'!DF164*'Scope 3 Yearly'!DF174+'Scope 3 Yearly'!DF168*'Scope 3 Yearly'!DF178)*'Yearly Butadiene'!N4</f>
        <v>18.442054763189486</v>
      </c>
      <c r="DG29" s="44">
        <f>('Scope 3 Yearly'!$EE$192*'Scope 3 Yearly'!DG175*(1-'Scope 3 Yearly'!$B$197)+'Scope 3 Yearly'!DG164*'Scope 3 Yearly'!DG174+'Scope 3 Yearly'!DG168*'Scope 3 Yearly'!DG178)*'Yearly Butadiene'!O4</f>
        <v>18.801118381422821</v>
      </c>
      <c r="DH29" s="44">
        <f>('Scope 3 Yearly'!$EE$192*'Scope 3 Yearly'!DH175*(1-'Scope 3 Yearly'!$B$197)+'Scope 3 Yearly'!DH164*'Scope 3 Yearly'!DH174+'Scope 3 Yearly'!DH168*'Scope 3 Yearly'!DH178)*'Yearly Butadiene'!P4</f>
        <v>19.076024479367934</v>
      </c>
      <c r="DI29" s="44">
        <f>('Scope 3 Yearly'!$EE$192*'Scope 3 Yearly'!DI175*(1-'Scope 3 Yearly'!$B$197)+'Scope 3 Yearly'!DI164*'Scope 3 Yearly'!DI174+'Scope 3 Yearly'!DI168*'Scope 3 Yearly'!DI178)*'Yearly Butadiene'!Q4</f>
        <v>19.242567320298857</v>
      </c>
      <c r="DJ29" s="44">
        <f>('Scope 3 Yearly'!$EE$192*'Scope 3 Yearly'!DJ175*(1-'Scope 3 Yearly'!$B$197)+'Scope 3 Yearly'!DJ164*'Scope 3 Yearly'!DJ174+'Scope 3 Yearly'!DJ168*'Scope 3 Yearly'!DJ178)*'Yearly Butadiene'!R4</f>
        <v>19.241030681422686</v>
      </c>
      <c r="DK29" s="44">
        <f>('Scope 3 Yearly'!$EE$192*'Scope 3 Yearly'!DK175*(1-'Scope 3 Yearly'!$B$197)+'Scope 3 Yearly'!DK164*'Scope 3 Yearly'!DK174+'Scope 3 Yearly'!DK168*'Scope 3 Yearly'!DK178)*'Yearly Butadiene'!S4</f>
        <v>19.039831648368459</v>
      </c>
      <c r="DL29" s="44">
        <f>('Scope 3 Yearly'!$EE$192*'Scope 3 Yearly'!DL175*(1-'Scope 3 Yearly'!$B$197)+'Scope 3 Yearly'!DL164*'Scope 3 Yearly'!DL174+'Scope 3 Yearly'!DL168*'Scope 3 Yearly'!DL178)*'Yearly Butadiene'!T4</f>
        <v>18.462358509904814</v>
      </c>
      <c r="DM29" s="44">
        <f>('Scope 3 Yearly'!$EE$192*'Scope 3 Yearly'!DM175*(1-'Scope 3 Yearly'!$B$197)+'Scope 3 Yearly'!DM164*'Scope 3 Yearly'!DM174+'Scope 3 Yearly'!DM168*'Scope 3 Yearly'!DM178)*'Yearly Butadiene'!U4</f>
        <v>17.733660256365802</v>
      </c>
      <c r="DN29" s="44">
        <f>('Scope 3 Yearly'!$EE$192*'Scope 3 Yearly'!DN175*(1-'Scope 3 Yearly'!$B$197)+'Scope 3 Yearly'!DN164*'Scope 3 Yearly'!DN174+'Scope 3 Yearly'!DN168*'Scope 3 Yearly'!DN178)*'Yearly Butadiene'!V4</f>
        <v>16.920471509365164</v>
      </c>
      <c r="DO29" s="44">
        <f>('Scope 3 Yearly'!$EE$192*'Scope 3 Yearly'!DO175*(1-'Scope 3 Yearly'!$B$197)+'Scope 3 Yearly'!DO164*'Scope 3 Yearly'!DO174+'Scope 3 Yearly'!DO168*'Scope 3 Yearly'!DO178)*'Yearly Butadiene'!W4</f>
        <v>16.094677027124547</v>
      </c>
      <c r="DP29" s="44">
        <f>('Scope 3 Yearly'!$EE$192*'Scope 3 Yearly'!DP175*(1-'Scope 3 Yearly'!$B$197)+'Scope 3 Yearly'!DP164*'Scope 3 Yearly'!DP174+'Scope 3 Yearly'!DP168*'Scope 3 Yearly'!DP178)*'Yearly Butadiene'!X4</f>
        <v>15.315083951477638</v>
      </c>
      <c r="DQ29" s="44">
        <f>('Scope 3 Yearly'!$EE$192*'Scope 3 Yearly'!DQ175*(1-'Scope 3 Yearly'!$B$197)+'Scope 3 Yearly'!DQ164*'Scope 3 Yearly'!DQ174+'Scope 3 Yearly'!DQ168*'Scope 3 Yearly'!DQ178)*'Yearly Butadiene'!Y4</f>
        <v>14.673332962156815</v>
      </c>
      <c r="DR29" s="44">
        <f>('Scope 3 Yearly'!$EE$192*'Scope 3 Yearly'!DR175*(1-'Scope 3 Yearly'!$B$197)+'Scope 3 Yearly'!DR164*'Scope 3 Yearly'!DR174+'Scope 3 Yearly'!DR168*'Scope 3 Yearly'!DR178)*'Yearly Butadiene'!Z4</f>
        <v>14.104482915552413</v>
      </c>
      <c r="DS29" s="44">
        <f>('Scope 3 Yearly'!$EE$192*'Scope 3 Yearly'!DS175*(1-'Scope 3 Yearly'!$B$197)+'Scope 3 Yearly'!DS164*'Scope 3 Yearly'!DS174+'Scope 3 Yearly'!DS168*'Scope 3 Yearly'!DS178)*'Yearly Butadiene'!AA4</f>
        <v>13.646292012142599</v>
      </c>
      <c r="DT29" s="44">
        <f>('Scope 3 Yearly'!$EE$192*'Scope 3 Yearly'!DT175*(1-'Scope 3 Yearly'!$B$197)+'Scope 3 Yearly'!DT164*'Scope 3 Yearly'!DT174+'Scope 3 Yearly'!DT168*'Scope 3 Yearly'!DT178)*'Yearly Butadiene'!AB4</f>
        <v>13.279671800436759</v>
      </c>
      <c r="DU29" s="44">
        <f>('Scope 3 Yearly'!$EE$192*'Scope 3 Yearly'!DU175*(1-'Scope 3 Yearly'!$B$197)+'Scope 3 Yearly'!DU164*'Scope 3 Yearly'!DU174+'Scope 3 Yearly'!DU168*'Scope 3 Yearly'!DU178)*'Yearly Butadiene'!AC4</f>
        <v>12.988384898791999</v>
      </c>
      <c r="DV29" s="44">
        <f>('Scope 3 Yearly'!$EE$192*'Scope 3 Yearly'!DV175*(1-'Scope 3 Yearly'!$B$197)+'Scope 3 Yearly'!DV164*'Scope 3 Yearly'!DV174+'Scope 3 Yearly'!DV168*'Scope 3 Yearly'!DV178)*'Yearly Butadiene'!AD4</f>
        <v>12.749234234971221</v>
      </c>
      <c r="DW29" s="44">
        <f>('Scope 3 Yearly'!$EE$192*'Scope 3 Yearly'!DW175*(1-'Scope 3 Yearly'!$B$197)+'Scope 3 Yearly'!DW164*'Scope 3 Yearly'!DW174+'Scope 3 Yearly'!DW168*'Scope 3 Yearly'!DW178)*'Yearly Butadiene'!AE4</f>
        <v>12.556857806203485</v>
      </c>
      <c r="DX29" s="44">
        <f>('Scope 3 Yearly'!$EE$192*'Scope 3 Yearly'!DX175*(1-'Scope 3 Yearly'!$B$197)+'Scope 3 Yearly'!DX164*'Scope 3 Yearly'!DX174+'Scope 3 Yearly'!DX168*'Scope 3 Yearly'!DX178)*'Yearly Butadiene'!AF4</f>
        <v>12.39916242891443</v>
      </c>
      <c r="DY29" s="44">
        <f>('Scope 3 Yearly'!$EE$192*'Scope 3 Yearly'!DY175*(1-'Scope 3 Yearly'!$B$197)+'Scope 3 Yearly'!DY164*'Scope 3 Yearly'!DY174+'Scope 3 Yearly'!DY168*'Scope 3 Yearly'!DY178)*'Yearly Butadiene'!AG4</f>
        <v>12.265759995843094</v>
      </c>
      <c r="DZ29" s="44">
        <f>('Scope 3 Yearly'!$EE$192*'Scope 3 Yearly'!DZ175*(1-'Scope 3 Yearly'!$B$197)+'Scope 3 Yearly'!DZ164*'Scope 3 Yearly'!DZ174+'Scope 3 Yearly'!DZ168*'Scope 3 Yearly'!DZ178)*'Yearly Butadiene'!AH4</f>
        <v>12.147511371751323</v>
      </c>
    </row>
    <row r="30" spans="1:165" s="488" customFormat="1" ht="16" thickBot="1" x14ac:dyDescent="0.25">
      <c r="A30" s="185" t="s">
        <v>67</v>
      </c>
      <c r="C30" s="639" t="s">
        <v>415</v>
      </c>
      <c r="D30" s="640">
        <f>SUM(D23:D29)</f>
        <v>437.47116259463985</v>
      </c>
      <c r="E30" s="640">
        <f t="shared" ref="E30:AH30" si="34">SUM(E23:E29)</f>
        <v>445.00568377763653</v>
      </c>
      <c r="F30" s="640">
        <f t="shared" si="34"/>
        <v>449.68161033790864</v>
      </c>
      <c r="G30" s="640">
        <f t="shared" si="34"/>
        <v>454.52568630616014</v>
      </c>
      <c r="H30" s="640">
        <f t="shared" si="34"/>
        <v>459.46200946593132</v>
      </c>
      <c r="I30" s="640">
        <f t="shared" si="34"/>
        <v>464.49790698140322</v>
      </c>
      <c r="J30" s="640">
        <f t="shared" si="34"/>
        <v>467.84500182835308</v>
      </c>
      <c r="K30" s="640">
        <f t="shared" si="34"/>
        <v>471.05951766508815</v>
      </c>
      <c r="L30" s="640">
        <f t="shared" si="34"/>
        <v>474.00306713490431</v>
      </c>
      <c r="M30" s="640">
        <f t="shared" si="34"/>
        <v>476.42790332428217</v>
      </c>
      <c r="N30" s="640">
        <f t="shared" si="34"/>
        <v>477.91950052638202</v>
      </c>
      <c r="O30" s="640">
        <f t="shared" si="34"/>
        <v>465.13911422170116</v>
      </c>
      <c r="P30" s="640">
        <f t="shared" si="34"/>
        <v>450.47281397829596</v>
      </c>
      <c r="Q30" s="640">
        <f t="shared" si="34"/>
        <v>432.7266309120119</v>
      </c>
      <c r="R30" s="640">
        <f t="shared" si="34"/>
        <v>411.60843249991308</v>
      </c>
      <c r="S30" s="640">
        <f t="shared" si="34"/>
        <v>387.10789982356204</v>
      </c>
      <c r="T30" s="640">
        <f t="shared" si="34"/>
        <v>359.34759861090379</v>
      </c>
      <c r="U30" s="640">
        <f t="shared" si="34"/>
        <v>330.14355919161432</v>
      </c>
      <c r="V30" s="640">
        <f t="shared" si="34"/>
        <v>301.14949221116177</v>
      </c>
      <c r="W30" s="640">
        <f t="shared" si="34"/>
        <v>273.76513197146966</v>
      </c>
      <c r="X30" s="640">
        <f t="shared" si="34"/>
        <v>248.98198393032504</v>
      </c>
      <c r="Y30" s="640">
        <f t="shared" si="34"/>
        <v>222.71971569599748</v>
      </c>
      <c r="Z30" s="640">
        <f t="shared" si="34"/>
        <v>200.37938302956485</v>
      </c>
      <c r="AA30" s="640">
        <f t="shared" si="34"/>
        <v>181.07517086747981</v>
      </c>
      <c r="AB30" s="640">
        <f t="shared" si="34"/>
        <v>164.22483503011668</v>
      </c>
      <c r="AC30" s="640">
        <f t="shared" si="34"/>
        <v>149.40394422926363</v>
      </c>
      <c r="AD30" s="640">
        <f t="shared" si="34"/>
        <v>136.13187283952072</v>
      </c>
      <c r="AE30" s="640">
        <f t="shared" si="34"/>
        <v>124.21586054272109</v>
      </c>
      <c r="AF30" s="640">
        <f t="shared" si="34"/>
        <v>113.72952609879945</v>
      </c>
      <c r="AG30" s="640">
        <f t="shared" si="34"/>
        <v>104.21070434576222</v>
      </c>
      <c r="AH30" s="640">
        <f t="shared" si="34"/>
        <v>94.547369963191187</v>
      </c>
      <c r="AJ30" s="640">
        <f>SUM(AJ23:AJ29)</f>
        <v>437.4712591250298</v>
      </c>
      <c r="AK30" s="640">
        <f t="shared" ref="AK30:BN30" si="35">SUM(AK23:AK29)</f>
        <v>445.05604015368556</v>
      </c>
      <c r="AL30" s="640">
        <f t="shared" si="35"/>
        <v>451.77507769106887</v>
      </c>
      <c r="AM30" s="640">
        <f t="shared" si="35"/>
        <v>458.75605689431717</v>
      </c>
      <c r="AN30" s="640">
        <f t="shared" si="35"/>
        <v>465.94932431204148</v>
      </c>
      <c r="AO30" s="640">
        <f t="shared" si="35"/>
        <v>473.36773116161334</v>
      </c>
      <c r="AP30" s="640">
        <f t="shared" si="35"/>
        <v>479.34406854133874</v>
      </c>
      <c r="AQ30" s="640">
        <f t="shared" si="35"/>
        <v>485.32559420866733</v>
      </c>
      <c r="AR30" s="640">
        <f t="shared" si="35"/>
        <v>491.17635640976704</v>
      </c>
      <c r="AS30" s="640">
        <f t="shared" si="35"/>
        <v>496.64651153787202</v>
      </c>
      <c r="AT30" s="640">
        <f t="shared" si="35"/>
        <v>501.31070575020755</v>
      </c>
      <c r="AU30" s="640">
        <f t="shared" si="35"/>
        <v>492.13316288315201</v>
      </c>
      <c r="AV30" s="640">
        <f t="shared" si="35"/>
        <v>480.98642541954058</v>
      </c>
      <c r="AW30" s="640">
        <f t="shared" si="35"/>
        <v>466.69329641726739</v>
      </c>
      <c r="AX30" s="640">
        <f t="shared" si="35"/>
        <v>448.73233654528644</v>
      </c>
      <c r="AY30" s="640">
        <f t="shared" si="35"/>
        <v>426.92313468230884</v>
      </c>
      <c r="AZ30" s="640">
        <f t="shared" si="35"/>
        <v>401.19637161345736</v>
      </c>
      <c r="BA30" s="640">
        <f t="shared" si="35"/>
        <v>373.45391013532668</v>
      </c>
      <c r="BB30" s="640">
        <f t="shared" si="35"/>
        <v>345.37204530355086</v>
      </c>
      <c r="BC30" s="640">
        <f t="shared" si="35"/>
        <v>318.49845946333392</v>
      </c>
      <c r="BD30" s="640">
        <f t="shared" si="35"/>
        <v>294.00900451390635</v>
      </c>
      <c r="BE30" s="640">
        <f t="shared" si="35"/>
        <v>268.21680204608447</v>
      </c>
      <c r="BF30" s="640">
        <f t="shared" si="35"/>
        <v>246.17468475573418</v>
      </c>
      <c r="BG30" s="640">
        <f t="shared" si="35"/>
        <v>227.22211540054118</v>
      </c>
      <c r="BH30" s="640">
        <f t="shared" si="35"/>
        <v>210.8448742376747</v>
      </c>
      <c r="BI30" s="640">
        <f t="shared" si="35"/>
        <v>196.61601787389944</v>
      </c>
      <c r="BJ30" s="640">
        <f t="shared" si="35"/>
        <v>184.02352383222183</v>
      </c>
      <c r="BK30" s="640">
        <f t="shared" si="35"/>
        <v>172.84439034515538</v>
      </c>
      <c r="BL30" s="640">
        <f t="shared" si="35"/>
        <v>162.82092610088023</v>
      </c>
      <c r="BM30" s="640">
        <f t="shared" si="35"/>
        <v>153.76310441248106</v>
      </c>
      <c r="BN30" s="640">
        <f t="shared" si="35"/>
        <v>145.78026728725948</v>
      </c>
      <c r="BP30" s="640">
        <f>SUM(BP23:BP29)</f>
        <v>437.47547438831043</v>
      </c>
      <c r="BQ30" s="640">
        <f t="shared" ref="BQ30:CT30" si="36">SUM(BQ23:BQ29)</f>
        <v>456.28465179022322</v>
      </c>
      <c r="BR30" s="640">
        <f t="shared" si="36"/>
        <v>475.53315798378583</v>
      </c>
      <c r="BS30" s="640">
        <f t="shared" si="36"/>
        <v>495.22498069690215</v>
      </c>
      <c r="BT30" s="640">
        <f t="shared" si="36"/>
        <v>515.36333577384221</v>
      </c>
      <c r="BU30" s="640">
        <f t="shared" si="36"/>
        <v>535.95053664642569</v>
      </c>
      <c r="BV30" s="640">
        <f t="shared" si="36"/>
        <v>555.28877301717603</v>
      </c>
      <c r="BW30" s="640">
        <f t="shared" si="36"/>
        <v>575.08355965692249</v>
      </c>
      <c r="BX30" s="640">
        <f t="shared" si="36"/>
        <v>595.34242551035902</v>
      </c>
      <c r="BY30" s="640">
        <f t="shared" si="36"/>
        <v>616.07301936969282</v>
      </c>
      <c r="BZ30" s="640">
        <f t="shared" si="36"/>
        <v>637.28310824297432</v>
      </c>
      <c r="CA30" s="640">
        <f t="shared" si="36"/>
        <v>651.66806608884792</v>
      </c>
      <c r="CB30" s="640">
        <f t="shared" si="36"/>
        <v>666.16442594637272</v>
      </c>
      <c r="CC30" s="640">
        <f t="shared" si="36"/>
        <v>680.76706580068185</v>
      </c>
      <c r="CD30" s="640">
        <f t="shared" si="36"/>
        <v>695.46993995979176</v>
      </c>
      <c r="CE30" s="640">
        <f t="shared" si="36"/>
        <v>710.2659844710447</v>
      </c>
      <c r="CF30" s="640">
        <f t="shared" si="36"/>
        <v>724.52579635354641</v>
      </c>
      <c r="CG30" s="640">
        <f t="shared" si="36"/>
        <v>738.96774712592332</v>
      </c>
      <c r="CH30" s="640">
        <f t="shared" si="36"/>
        <v>753.59305292091256</v>
      </c>
      <c r="CI30" s="640">
        <f t="shared" si="36"/>
        <v>768.4029182988686</v>
      </c>
      <c r="CJ30" s="640">
        <f t="shared" si="36"/>
        <v>783.39853510339856</v>
      </c>
      <c r="CK30" s="640">
        <f t="shared" si="36"/>
        <v>796.88871542207266</v>
      </c>
      <c r="CL30" s="640">
        <f t="shared" si="36"/>
        <v>810.51969093674109</v>
      </c>
      <c r="CM30" s="640">
        <f t="shared" si="36"/>
        <v>824.29212179042099</v>
      </c>
      <c r="CN30" s="640">
        <f t="shared" si="36"/>
        <v>838.20665152643187</v>
      </c>
      <c r="CO30" s="640">
        <f t="shared" si="36"/>
        <v>852.26390602492233</v>
      </c>
      <c r="CP30" s="640">
        <f t="shared" si="36"/>
        <v>865.97495314334355</v>
      </c>
      <c r="CQ30" s="640">
        <f t="shared" si="36"/>
        <v>879.81639290491887</v>
      </c>
      <c r="CR30" s="640">
        <f t="shared" si="36"/>
        <v>893.78866923295334</v>
      </c>
      <c r="CS30" s="640">
        <f t="shared" si="36"/>
        <v>907.89220602511523</v>
      </c>
      <c r="CT30" s="640">
        <f t="shared" si="36"/>
        <v>922.12740606457157</v>
      </c>
      <c r="CV30" s="640">
        <f>SUM(CV23:CV29)</f>
        <v>437.47133088377456</v>
      </c>
      <c r="CW30" s="640">
        <f t="shared" ref="CW30:DZ30" si="37">SUM(CW23:CW29)</f>
        <v>450.17363992752757</v>
      </c>
      <c r="CX30" s="640">
        <f t="shared" si="37"/>
        <v>463.13559715417205</v>
      </c>
      <c r="CY30" s="640">
        <f t="shared" si="37"/>
        <v>476.50137889546869</v>
      </c>
      <c r="CZ30" s="640">
        <f t="shared" si="37"/>
        <v>490.29184592259975</v>
      </c>
      <c r="DA30" s="640">
        <f t="shared" si="37"/>
        <v>504.50553068186713</v>
      </c>
      <c r="DB30" s="640">
        <f t="shared" si="37"/>
        <v>517.54589087959755</v>
      </c>
      <c r="DC30" s="640">
        <f t="shared" si="37"/>
        <v>530.8642400171218</v>
      </c>
      <c r="DD30" s="640">
        <f t="shared" si="37"/>
        <v>544.3166737188227</v>
      </c>
      <c r="DE30" s="640">
        <f t="shared" si="37"/>
        <v>557.62610035807074</v>
      </c>
      <c r="DF30" s="640">
        <f t="shared" si="37"/>
        <v>570.30225031002988</v>
      </c>
      <c r="DG30" s="640">
        <f t="shared" si="37"/>
        <v>573.38255845236245</v>
      </c>
      <c r="DH30" s="640">
        <f t="shared" si="37"/>
        <v>573.72818425408616</v>
      </c>
      <c r="DI30" s="640">
        <f t="shared" si="37"/>
        <v>570.77424854668379</v>
      </c>
      <c r="DJ30" s="640">
        <f t="shared" si="37"/>
        <v>562.99896687641433</v>
      </c>
      <c r="DK30" s="640">
        <f t="shared" si="37"/>
        <v>549.75649943782128</v>
      </c>
      <c r="DL30" s="640">
        <f t="shared" si="37"/>
        <v>530.7347046688302</v>
      </c>
      <c r="DM30" s="640">
        <f t="shared" si="37"/>
        <v>507.85700776856379</v>
      </c>
      <c r="DN30" s="640">
        <f t="shared" si="37"/>
        <v>483.07455299473617</v>
      </c>
      <c r="DO30" s="640">
        <f t="shared" si="37"/>
        <v>458.40100522580855</v>
      </c>
      <c r="DP30" s="640">
        <f t="shared" si="37"/>
        <v>435.41794994955228</v>
      </c>
      <c r="DQ30" s="640">
        <f t="shared" si="37"/>
        <v>413.31527824182388</v>
      </c>
      <c r="DR30" s="640">
        <f t="shared" si="37"/>
        <v>393.44244608886737</v>
      </c>
      <c r="DS30" s="640">
        <f t="shared" si="37"/>
        <v>376.79451073965009</v>
      </c>
      <c r="DT30" s="640">
        <f t="shared" si="37"/>
        <v>362.95201730540271</v>
      </c>
      <c r="DU30" s="640">
        <f t="shared" si="37"/>
        <v>351.40710409974758</v>
      </c>
      <c r="DV30" s="640">
        <f t="shared" si="37"/>
        <v>341.55889320685475</v>
      </c>
      <c r="DW30" s="640">
        <f t="shared" si="37"/>
        <v>333.1727479819379</v>
      </c>
      <c r="DX30" s="640">
        <f t="shared" si="37"/>
        <v>325.91587305457062</v>
      </c>
      <c r="DY30" s="640">
        <f t="shared" si="37"/>
        <v>319.5076370979279</v>
      </c>
      <c r="DZ30" s="640">
        <f t="shared" si="37"/>
        <v>313.72978548282742</v>
      </c>
      <c r="EK30" s="643"/>
      <c r="EL30" s="643"/>
      <c r="EM30" s="643"/>
      <c r="EN30" s="643"/>
      <c r="EO30" s="643"/>
      <c r="EP30" s="643"/>
      <c r="EQ30" s="643"/>
      <c r="ER30" s="643"/>
      <c r="ES30" s="643"/>
      <c r="ET30" s="643"/>
      <c r="EU30" s="643"/>
      <c r="EV30" s="643"/>
      <c r="EW30" s="643"/>
      <c r="EX30" s="643"/>
      <c r="EY30" s="643"/>
      <c r="EZ30" s="643"/>
      <c r="FA30" s="643"/>
      <c r="FB30" s="643"/>
      <c r="FC30" s="643"/>
      <c r="FD30" s="643"/>
      <c r="FE30" s="643"/>
      <c r="FF30" s="643"/>
      <c r="FG30" s="643"/>
      <c r="FH30" s="643"/>
      <c r="FI30" s="643"/>
    </row>
    <row r="31" spans="1:165" ht="16" thickBot="1" x14ac:dyDescent="0.25"/>
    <row r="32" spans="1:165" s="645" customFormat="1" ht="16" thickBot="1" x14ac:dyDescent="0.25">
      <c r="A32" s="644" t="s">
        <v>417</v>
      </c>
      <c r="EK32" s="646"/>
      <c r="EL32" s="646"/>
      <c r="EM32" s="646"/>
      <c r="EN32" s="646"/>
      <c r="EO32" s="646"/>
      <c r="EP32" s="646"/>
      <c r="EQ32" s="646"/>
      <c r="ER32" s="646"/>
      <c r="ES32" s="646"/>
      <c r="ET32" s="646"/>
      <c r="EU32" s="646"/>
      <c r="EV32" s="646"/>
      <c r="EW32" s="646"/>
      <c r="EX32" s="646"/>
      <c r="EY32" s="646"/>
      <c r="EZ32" s="646"/>
      <c r="FA32" s="646"/>
      <c r="FB32" s="646"/>
      <c r="FC32" s="646"/>
      <c r="FD32" s="646"/>
      <c r="FE32" s="646"/>
      <c r="FF32" s="646"/>
      <c r="FG32" s="646"/>
      <c r="FH32" s="646"/>
      <c r="FI32" s="646"/>
    </row>
    <row r="33" spans="1:165" s="1" customFormat="1" x14ac:dyDescent="0.2">
      <c r="A33" t="s">
        <v>121</v>
      </c>
      <c r="C33" s="54" t="s">
        <v>415</v>
      </c>
      <c r="D33" s="44">
        <f>D3*'Yearly Summary'!D15</f>
        <v>481.129050510968</v>
      </c>
      <c r="E33" s="44">
        <f>E3*'Yearly Summary'!E15</f>
        <v>481.8576247300831</v>
      </c>
      <c r="F33" s="44">
        <f>F3*'Yearly Summary'!F15</f>
        <v>479.71166288804864</v>
      </c>
      <c r="G33" s="44">
        <f>G3*'Yearly Summary'!G15</f>
        <v>477.12782588209723</v>
      </c>
      <c r="H33" s="44">
        <f>H3*'Yearly Summary'!H15</f>
        <v>474.36268455240247</v>
      </c>
      <c r="I33" s="44">
        <f>I3*'Yearly Summary'!I15</f>
        <v>471.32848545019834</v>
      </c>
      <c r="J33" s="44">
        <f>J3*'Yearly Summary'!J15</f>
        <v>461.24762763027167</v>
      </c>
      <c r="K33" s="44">
        <f>K3*'Yearly Summary'!K15</f>
        <v>450.9389321059511</v>
      </c>
      <c r="L33" s="44">
        <f>L3*'Yearly Summary'!L15</f>
        <v>440.48792839395202</v>
      </c>
      <c r="M33" s="44">
        <f>M3*'Yearly Summary'!M15</f>
        <v>429.88051007589672</v>
      </c>
      <c r="N33" s="44">
        <f>N3*'Yearly Summary'!N15</f>
        <v>419.09680045411528</v>
      </c>
      <c r="O33" s="44">
        <f>O3*'Yearly Summary'!O15</f>
        <v>409.26732965942693</v>
      </c>
      <c r="P33" s="44">
        <f>P3*'Yearly Summary'!P15</f>
        <v>399.29298766579677</v>
      </c>
      <c r="Q33" s="44">
        <f>Q3*'Yearly Summary'!Q15</f>
        <v>389.21531696720132</v>
      </c>
      <c r="R33" s="44">
        <f>R3*'Yearly Summary'!R15</f>
        <v>379.02057496754344</v>
      </c>
      <c r="S33" s="44">
        <f>S3*'Yearly Summary'!S15</f>
        <v>368.76114907212582</v>
      </c>
      <c r="T33" s="44">
        <f>T3*'Yearly Summary'!T15</f>
        <v>358.49375623762785</v>
      </c>
      <c r="U33" s="44">
        <f>U3*'Yearly Summary'!U15</f>
        <v>348.13516977561801</v>
      </c>
      <c r="V33" s="44">
        <f>V3*'Yearly Summary'!V15</f>
        <v>337.73726198650797</v>
      </c>
      <c r="W33" s="44">
        <f>W3*'Yearly Summary'!W15</f>
        <v>327.31102151637566</v>
      </c>
      <c r="X33" s="44">
        <f>X3*'Yearly Summary'!X15</f>
        <v>316.82953941643962</v>
      </c>
      <c r="Y33" s="44">
        <f>Y3*'Yearly Summary'!Y15</f>
        <v>306.17333078173704</v>
      </c>
      <c r="Z33" s="44">
        <f>Z3*'Yearly Summary'!Z15</f>
        <v>295.573369737603</v>
      </c>
      <c r="AA33" s="44">
        <f>AA3*'Yearly Summary'!AA15</f>
        <v>284.92825484333906</v>
      </c>
      <c r="AB33" s="44">
        <f>AB3*'Yearly Summary'!AB15</f>
        <v>274.3034933562061</v>
      </c>
      <c r="AC33" s="44">
        <f>AC3*'Yearly Summary'!AC15</f>
        <v>263.75029857118477</v>
      </c>
      <c r="AD33" s="44">
        <f>AD3*'Yearly Summary'!AD15</f>
        <v>253.25131082727361</v>
      </c>
      <c r="AE33" s="44">
        <f>AE3*'Yearly Summary'!AE15</f>
        <v>242.802813645133</v>
      </c>
      <c r="AF33" s="44">
        <f>AF3*'Yearly Summary'!AF15</f>
        <v>232.41729974605627</v>
      </c>
      <c r="AG33" s="44">
        <f>AG3*'Yearly Summary'!AG15</f>
        <v>222.09742565762929</v>
      </c>
      <c r="AH33" s="44">
        <f>AH3*'Yearly Summary'!AH15</f>
        <v>211.86474704714522</v>
      </c>
      <c r="AJ33" s="44">
        <f>AJ3*'Yearly Summary'!AJ15</f>
        <v>481.129050510968</v>
      </c>
      <c r="AK33" s="656">
        <f>AK3*'Yearly Summary'!AK15</f>
        <v>484.19857754595211</v>
      </c>
      <c r="AL33" s="656">
        <f>AL3*'Yearly Summary'!AL15</f>
        <v>484.41033612068867</v>
      </c>
      <c r="AM33" s="656">
        <f>AM3*'Yearly Summary'!AM15</f>
        <v>484.19462317603819</v>
      </c>
      <c r="AN33" s="656">
        <f>AN3*'Yearly Summary'!AN15</f>
        <v>483.80732233746699</v>
      </c>
      <c r="AO33" s="44">
        <f>AO3*'Yearly Summary'!AO15</f>
        <v>483.15579310964557</v>
      </c>
      <c r="AP33" s="44">
        <f>AP3*'Yearly Summary'!AP15</f>
        <v>477.63077863801141</v>
      </c>
      <c r="AQ33" s="44">
        <f>AQ3*'Yearly Summary'!AQ15</f>
        <v>471.8607728700423</v>
      </c>
      <c r="AR33" s="44">
        <f>AR3*'Yearly Summary'!AR15</f>
        <v>465.92885352306894</v>
      </c>
      <c r="AS33" s="44">
        <f>AS3*'Yearly Summary'!AS15</f>
        <v>459.8129462849576</v>
      </c>
      <c r="AT33" s="44">
        <f>AT3*'Yearly Summary'!AT15</f>
        <v>453.48573859602106</v>
      </c>
      <c r="AU33" s="44">
        <f>AU3*'Yearly Summary'!AU15</f>
        <v>448.14073487516885</v>
      </c>
      <c r="AV33" s="44">
        <f>AV3*'Yearly Summary'!AV15</f>
        <v>442.61825021932913</v>
      </c>
      <c r="AW33" s="44">
        <f>AW3*'Yearly Summary'!AW15</f>
        <v>436.95634929706989</v>
      </c>
      <c r="AX33" s="44">
        <f>AX3*'Yearly Summary'!AX15</f>
        <v>431.13456771485016</v>
      </c>
      <c r="AY33" s="44">
        <f>AY3*'Yearly Summary'!AY15</f>
        <v>425.20484796305976</v>
      </c>
      <c r="AZ33" s="44">
        <f>AZ3*'Yearly Summary'!AZ15</f>
        <v>419.19655367378061</v>
      </c>
      <c r="BA33" s="44">
        <f>BA3*'Yearly Summary'!BA15</f>
        <v>413.03754631978546</v>
      </c>
      <c r="BB33" s="44">
        <f>BB3*'Yearly Summary'!BB15</f>
        <v>406.78138704093357</v>
      </c>
      <c r="BC33" s="44">
        <f>BC3*'Yearly Summary'!BC15</f>
        <v>400.43496480748666</v>
      </c>
      <c r="BD33" s="44">
        <f>BD3*'Yearly Summary'!BD15</f>
        <v>393.96205337598724</v>
      </c>
      <c r="BE33" s="44">
        <f>BE3*'Yearly Summary'!BE15</f>
        <v>387.21823952436512</v>
      </c>
      <c r="BF33" s="44">
        <f>BF3*'Yearly Summary'!BF15</f>
        <v>380.46345970567899</v>
      </c>
      <c r="BG33" s="44">
        <f>BG3*'Yearly Summary'!BG15</f>
        <v>373.57163383511613</v>
      </c>
      <c r="BH33" s="44">
        <f>BH3*'Yearly Summary'!BH15</f>
        <v>366.61946253361361</v>
      </c>
      <c r="BI33" s="44">
        <f>BI3*'Yearly Summary'!BI15</f>
        <v>359.65889296636357</v>
      </c>
      <c r="BJ33" s="44">
        <f>BJ3*'Yearly Summary'!BJ15</f>
        <v>352.71851646642591</v>
      </c>
      <c r="BK33" s="44">
        <f>BK3*'Yearly Summary'!BK15</f>
        <v>345.73881216940146</v>
      </c>
      <c r="BL33" s="44">
        <f>BL3*'Yearly Summary'!BL15</f>
        <v>338.73397387508498</v>
      </c>
      <c r="BM33" s="44">
        <f>BM3*'Yearly Summary'!BM15</f>
        <v>331.69451140070669</v>
      </c>
      <c r="BN33" s="44">
        <f>BN3*'Yearly Summary'!BN15</f>
        <v>324.64874526455895</v>
      </c>
      <c r="BP33" s="44">
        <f>BP3*'Yearly Summary'!D14</f>
        <v>481.129050510968</v>
      </c>
      <c r="BQ33" s="44">
        <f>BQ3*'Yearly Summary'!E14</f>
        <v>503.96079582504245</v>
      </c>
      <c r="BR33" s="44">
        <f>BR3*'Yearly Summary'!F14</f>
        <v>524.06084243678367</v>
      </c>
      <c r="BS33" s="44">
        <f>BS3*'Yearly Summary'!G14</f>
        <v>546.42348103820439</v>
      </c>
      <c r="BT33" s="44">
        <f>BT3*'Yearly Summary'!H14</f>
        <v>566.15073927666151</v>
      </c>
      <c r="BU33" s="44">
        <f>BU3*'Yearly Summary'!I14</f>
        <v>585.7178146952017</v>
      </c>
      <c r="BV33" s="44">
        <f>BV3*'Yearly Summary'!J14</f>
        <v>605.27949608677113</v>
      </c>
      <c r="BW33" s="44">
        <f>BW3*'Yearly Summary'!K14</f>
        <v>626.9502832634671</v>
      </c>
      <c r="BX33" s="44">
        <f>BX3*'Yearly Summary'!L14</f>
        <v>645.69144296627826</v>
      </c>
      <c r="BY33" s="44">
        <f>BY3*'Yearly Summary'!M14</f>
        <v>669.16992891841437</v>
      </c>
      <c r="BZ33" s="44">
        <f>BZ3*'Yearly Summary'!N14</f>
        <v>694.70298682543273</v>
      </c>
      <c r="CA33" s="44">
        <f>CA3*'Yearly Summary'!O14</f>
        <v>780.06039751537423</v>
      </c>
      <c r="CB33" s="44">
        <f>CB3*'Yearly Summary'!P14</f>
        <v>868.12486312223223</v>
      </c>
      <c r="CC33" s="44">
        <f>CC3*'Yearly Summary'!Q14</f>
        <v>953.91950785434938</v>
      </c>
      <c r="CD33" s="44">
        <f>CD3*'Yearly Summary'!R14</f>
        <v>1042.3939769716674</v>
      </c>
      <c r="CE33" s="44">
        <f>CE3*'Yearly Summary'!S14</f>
        <v>1126.0866047533868</v>
      </c>
      <c r="CF33" s="44">
        <f>CF3*'Yearly Summary'!T14</f>
        <v>1299.8495688292664</v>
      </c>
      <c r="CG33" s="44">
        <f>CG3*'Yearly Summary'!U14</f>
        <v>1464.5396370113936</v>
      </c>
      <c r="CH33" s="44">
        <f>CH3*'Yearly Summary'!V14</f>
        <v>1622.7876958981349</v>
      </c>
      <c r="CI33" s="44">
        <f>CI3*'Yearly Summary'!W14</f>
        <v>1769.7009627215652</v>
      </c>
      <c r="CJ33" s="44">
        <f>CJ3*'Yearly Summary'!X14</f>
        <v>1912.5335643976723</v>
      </c>
      <c r="CK33" s="44">
        <f>CK3*'Yearly Summary'!Y14</f>
        <v>2044.1291358319304</v>
      </c>
      <c r="CL33" s="44">
        <f>CL3*'Yearly Summary'!Z14</f>
        <v>2171.3649825399471</v>
      </c>
      <c r="CM33" s="44">
        <f>CM3*'Yearly Summary'!AA14</f>
        <v>2293.6029928432586</v>
      </c>
      <c r="CN33" s="44">
        <f>CN3*'Yearly Summary'!AB14</f>
        <v>2406.1223830536587</v>
      </c>
      <c r="CO33" s="44">
        <f>CO3*'Yearly Summary'!AC14</f>
        <v>2514.3699665977679</v>
      </c>
      <c r="CP33" s="44">
        <f>CP3*'Yearly Summary'!AD14</f>
        <v>2526.2630960611687</v>
      </c>
      <c r="CQ33" s="44">
        <f>CQ3*'Yearly Summary'!AE14</f>
        <v>2538.0258616688498</v>
      </c>
      <c r="CR33" s="44">
        <f>CR3*'Yearly Summary'!AF14</f>
        <v>2547.1472391194156</v>
      </c>
      <c r="CS33" s="44">
        <f>CS3*'Yearly Summary'!AG14</f>
        <v>2558.6498022498508</v>
      </c>
      <c r="CT33" s="44">
        <f>CT3*'Yearly Summary'!AH14</f>
        <v>2570.0475227998108</v>
      </c>
      <c r="CV33" s="44">
        <f>AJ33</f>
        <v>481.129050510968</v>
      </c>
      <c r="CW33" s="44">
        <f t="shared" ref="CW33:DZ33" si="38">AK33</f>
        <v>484.19857754595211</v>
      </c>
      <c r="CX33" s="44">
        <f t="shared" si="38"/>
        <v>484.41033612068867</v>
      </c>
      <c r="CY33" s="44">
        <f t="shared" si="38"/>
        <v>484.19462317603819</v>
      </c>
      <c r="CZ33" s="44">
        <f t="shared" si="38"/>
        <v>483.80732233746699</v>
      </c>
      <c r="DA33" s="44">
        <f t="shared" si="38"/>
        <v>483.15579310964557</v>
      </c>
      <c r="DB33" s="44">
        <f t="shared" si="38"/>
        <v>477.63077863801141</v>
      </c>
      <c r="DC33" s="44">
        <f t="shared" si="38"/>
        <v>471.8607728700423</v>
      </c>
      <c r="DD33" s="44">
        <f t="shared" si="38"/>
        <v>465.92885352306894</v>
      </c>
      <c r="DE33" s="44">
        <f t="shared" si="38"/>
        <v>459.8129462849576</v>
      </c>
      <c r="DF33" s="44">
        <f t="shared" si="38"/>
        <v>453.48573859602106</v>
      </c>
      <c r="DG33" s="44">
        <f t="shared" si="38"/>
        <v>448.14073487516885</v>
      </c>
      <c r="DH33" s="44">
        <f t="shared" si="38"/>
        <v>442.61825021932913</v>
      </c>
      <c r="DI33" s="44">
        <f t="shared" si="38"/>
        <v>436.95634929706989</v>
      </c>
      <c r="DJ33" s="44">
        <f t="shared" si="38"/>
        <v>431.13456771485016</v>
      </c>
      <c r="DK33" s="44">
        <f t="shared" si="38"/>
        <v>425.20484796305976</v>
      </c>
      <c r="DL33" s="44">
        <f t="shared" si="38"/>
        <v>419.19655367378061</v>
      </c>
      <c r="DM33" s="44">
        <f t="shared" si="38"/>
        <v>413.03754631978546</v>
      </c>
      <c r="DN33" s="44">
        <f t="shared" si="38"/>
        <v>406.78138704093357</v>
      </c>
      <c r="DO33" s="44">
        <f t="shared" si="38"/>
        <v>400.43496480748666</v>
      </c>
      <c r="DP33" s="44">
        <f t="shared" si="38"/>
        <v>393.96205337598724</v>
      </c>
      <c r="DQ33" s="44">
        <f t="shared" si="38"/>
        <v>387.21823952436512</v>
      </c>
      <c r="DR33" s="44">
        <f t="shared" si="38"/>
        <v>380.46345970567899</v>
      </c>
      <c r="DS33" s="44">
        <f t="shared" si="38"/>
        <v>373.57163383511613</v>
      </c>
      <c r="DT33" s="44">
        <f t="shared" si="38"/>
        <v>366.61946253361361</v>
      </c>
      <c r="DU33" s="44">
        <f t="shared" si="38"/>
        <v>359.65889296636357</v>
      </c>
      <c r="DV33" s="44">
        <f t="shared" si="38"/>
        <v>352.71851646642591</v>
      </c>
      <c r="DW33" s="44">
        <f t="shared" si="38"/>
        <v>345.73881216940146</v>
      </c>
      <c r="DX33" s="44">
        <f t="shared" si="38"/>
        <v>338.73397387508498</v>
      </c>
      <c r="DY33" s="44">
        <f t="shared" si="38"/>
        <v>331.69451140070669</v>
      </c>
      <c r="DZ33" s="44">
        <f t="shared" si="38"/>
        <v>324.64874526455895</v>
      </c>
      <c r="EK33" s="443"/>
      <c r="EL33" s="443"/>
      <c r="EM33" s="443"/>
      <c r="EN33" s="443"/>
      <c r="EO33" s="443"/>
      <c r="EP33" s="443"/>
      <c r="EQ33" s="443"/>
      <c r="ER33" s="443"/>
      <c r="ES33" s="443"/>
      <c r="ET33" s="443"/>
      <c r="EU33" s="443"/>
      <c r="EV33" s="443"/>
      <c r="EW33" s="443"/>
      <c r="EX33" s="443"/>
      <c r="EY33" s="443"/>
      <c r="EZ33" s="443"/>
      <c r="FA33" s="443"/>
      <c r="FB33" s="443"/>
      <c r="FC33" s="443"/>
      <c r="FD33" s="443"/>
      <c r="FE33" s="443"/>
      <c r="FF33" s="443"/>
      <c r="FG33" s="443"/>
      <c r="FH33" s="443"/>
      <c r="FI33" s="443"/>
    </row>
    <row r="34" spans="1:165" x14ac:dyDescent="0.2">
      <c r="A34" t="s">
        <v>4</v>
      </c>
      <c r="C34" s="54" t="s">
        <v>415</v>
      </c>
      <c r="D34" s="44">
        <f>'Scope 3 Yearly'!D43*'Yearly HC Ethylene'!D157</f>
        <v>152.10455404273827</v>
      </c>
      <c r="E34" s="44">
        <f>'Scope 3 Yearly'!E43*'Yearly HC Ethylene'!E157</f>
        <v>152.92657478170042</v>
      </c>
      <c r="F34" s="44">
        <f>'Scope 3 Yearly'!F43*'Yearly HC Ethylene'!F157</f>
        <v>153.25594295404628</v>
      </c>
      <c r="G34" s="44">
        <f>'Scope 3 Yearly'!G43*'Yearly HC Ethylene'!G157</f>
        <v>153.65545325632891</v>
      </c>
      <c r="H34" s="44">
        <f>'Scope 3 Yearly'!H43*'Yearly HC Ethylene'!H157</f>
        <v>154.13105219984234</v>
      </c>
      <c r="I34" s="44">
        <f>'Scope 3 Yearly'!I43*'Yearly HC Ethylene'!I157</f>
        <v>154.68586190310944</v>
      </c>
      <c r="J34" s="44">
        <f>'Scope 3 Yearly'!J43*'Yearly HC Ethylene'!J157</f>
        <v>154.84424091043803</v>
      </c>
      <c r="K34" s="44">
        <f>'Scope 3 Yearly'!K43*'Yearly HC Ethylene'!K157</f>
        <v>154.99703884914484</v>
      </c>
      <c r="L34" s="44">
        <f>'Scope 3 Yearly'!L43*'Yearly HC Ethylene'!L157</f>
        <v>155.10513664998248</v>
      </c>
      <c r="M34" s="44">
        <f>'Scope 3 Yearly'!M43*'Yearly HC Ethylene'!M157</f>
        <v>155.09715445214991</v>
      </c>
      <c r="N34" s="44">
        <f>'Scope 3 Yearly'!N43*'Yearly HC Ethylene'!N157</f>
        <v>154.85158626718601</v>
      </c>
      <c r="O34" s="44">
        <f>'Scope 3 Yearly'!O43*'Yearly HC Ethylene'!O157</f>
        <v>149.96147579081961</v>
      </c>
      <c r="P34" s="44">
        <f>'Scope 3 Yearly'!P43*'Yearly HC Ethylene'!P157</f>
        <v>144.70689991704822</v>
      </c>
      <c r="Q34" s="44">
        <f>'Scope 3 Yearly'!Q43*'Yearly HC Ethylene'!Q157</f>
        <v>138.42175979212806</v>
      </c>
      <c r="R34" s="44">
        <f>'Scope 3 Yearly'!R43*'Yearly HC Ethylene'!R157</f>
        <v>131.19422637973975</v>
      </c>
      <c r="S34" s="44">
        <f>'Scope 3 Yearly'!S43*'Yearly HC Ethylene'!S157</f>
        <v>123.02184339393533</v>
      </c>
      <c r="T34" s="44">
        <f>'Scope 3 Yearly'!T43*'Yearly HC Ethylene'!T157</f>
        <v>113.94439480659923</v>
      </c>
      <c r="U34" s="44">
        <f>'Scope 3 Yearly'!U43*'Yearly HC Ethylene'!U157</f>
        <v>104.48583489164697</v>
      </c>
      <c r="V34" s="44">
        <f>'Scope 3 Yearly'!V43*'Yearly HC Ethylene'!V157</f>
        <v>95.119524584172098</v>
      </c>
      <c r="W34" s="44">
        <f>'Scope 3 Yearly'!W43*'Yearly HC Ethylene'!W157</f>
        <v>86.259840354959564</v>
      </c>
      <c r="X34" s="44">
        <f>'Scope 3 Yearly'!X43*'Yearly HC Ethylene'!X157</f>
        <v>78.174736341232133</v>
      </c>
      <c r="Y34" s="44">
        <f>'Scope 3 Yearly'!Y43*'Yearly HC Ethylene'!Y157</f>
        <v>69.253112083759632</v>
      </c>
      <c r="Z34" s="44">
        <f>'Scope 3 Yearly'!Z43*'Yearly HC Ethylene'!Z157</f>
        <v>61.782814540730136</v>
      </c>
      <c r="AA34" s="44">
        <f>'Scope 3 Yearly'!AA43*'Yearly HC Ethylene'!AA157</f>
        <v>55.280670914530582</v>
      </c>
      <c r="AB34" s="44">
        <f>'Scope 3 Yearly'!AB43*'Yearly HC Ethylene'!AB157</f>
        <v>49.593459340813176</v>
      </c>
      <c r="AC34" s="44">
        <f>'Scope 3 Yearly'!AC43*'Yearly HC Ethylene'!AC157</f>
        <v>44.58064362867227</v>
      </c>
      <c r="AD34" s="44">
        <f>'Scope 3 Yearly'!AD43*'Yearly HC Ethylene'!AD157</f>
        <v>40.0866637071843</v>
      </c>
      <c r="AE34" s="44">
        <f>'Scope 3 Yearly'!AE43*'Yearly HC Ethylene'!AE157</f>
        <v>36.051650308062207</v>
      </c>
      <c r="AF34" s="44">
        <f>'Scope 3 Yearly'!AF43*'Yearly HC Ethylene'!AF157</f>
        <v>32.409024476854789</v>
      </c>
      <c r="AG34" s="44">
        <f>'Scope 3 Yearly'!AG43*'Yearly HC Ethylene'!AG157</f>
        <v>29.129098004177649</v>
      </c>
      <c r="AH34" s="44">
        <f>'Scope 3 Yearly'!AH43*'Yearly HC Ethylene'!AH157</f>
        <v>25.957235359613712</v>
      </c>
      <c r="AI34" s="44"/>
      <c r="AJ34" s="44">
        <f>'Scope 3 Yearly'!AJ43*'Yearly LC Ethylene'!D157</f>
        <v>152.10449081194747</v>
      </c>
      <c r="AK34" s="44">
        <f>'Scope 3 Yearly'!AK43*'Yearly LC Ethylene'!E157</f>
        <v>153.78756227066702</v>
      </c>
      <c r="AL34" s="44">
        <f>'Scope 3 Yearly'!AL43*'Yearly LC Ethylene'!F157</f>
        <v>155.01818084829708</v>
      </c>
      <c r="AM34" s="44">
        <f>'Scope 3 Yearly'!AM43*'Yearly LC Ethylene'!G157</f>
        <v>156.36140301609151</v>
      </c>
      <c r="AN34" s="44">
        <f>'Scope 3 Yearly'!AN43*'Yearly LC Ethylene'!H157</f>
        <v>157.82545850034069</v>
      </c>
      <c r="AO34" s="44">
        <f>'Scope 3 Yearly'!AO43*'Yearly LC Ethylene'!I157</f>
        <v>159.41566745857938</v>
      </c>
      <c r="AP34" s="44">
        <f>'Scope 3 Yearly'!AP43*'Yearly LC Ethylene'!J157</f>
        <v>160.66959605170234</v>
      </c>
      <c r="AQ34" s="44">
        <f>'Scope 3 Yearly'!AQ43*'Yearly LC Ethylene'!K157</f>
        <v>161.96763319113739</v>
      </c>
      <c r="AR34" s="44">
        <f>'Scope 3 Yearly'!AR43*'Yearly LC Ethylene'!L157</f>
        <v>163.27010674025877</v>
      </c>
      <c r="AS34" s="44">
        <f>'Scope 3 Yearly'!AS43*'Yearly LC Ethylene'!M157</f>
        <v>164.50181547632749</v>
      </c>
      <c r="AT34" s="44">
        <f>'Scope 3 Yearly'!AT43*'Yearly LC Ethylene'!N157</f>
        <v>165.53150896270432</v>
      </c>
      <c r="AU34" s="44">
        <f>'Scope 3 Yearly'!AU43*'Yearly LC Ethylene'!O157</f>
        <v>162.16473607675937</v>
      </c>
      <c r="AV34" s="44">
        <f>'Scope 3 Yearly'!AV43*'Yearly LC Ethylene'!P157</f>
        <v>158.34639948868485</v>
      </c>
      <c r="AW34" s="44">
        <f>'Scope 3 Yearly'!AW43*'Yearly LC Ethylene'!Q157</f>
        <v>153.47241278557826</v>
      </c>
      <c r="AX34" s="44">
        <f>'Scope 3 Yearly'!AX43*'Yearly LC Ethylene'!R157</f>
        <v>147.50310192249461</v>
      </c>
      <c r="AY34" s="44">
        <f>'Scope 3 Yearly'!AY43*'Yearly LC Ethylene'!S157</f>
        <v>140.37030686379839</v>
      </c>
      <c r="AZ34" s="44">
        <f>'Scope 3 Yearly'!AZ43*'Yearly LC Ethylene'!T157</f>
        <v>132.05835622338344</v>
      </c>
      <c r="BA34" s="44">
        <f>'Scope 3 Yearly'!BA43*'Yearly LC Ethylene'!U157</f>
        <v>123.10154145103037</v>
      </c>
      <c r="BB34" s="44">
        <f>'Scope 3 Yearly'!BB43*'Yearly LC Ethylene'!V157</f>
        <v>114.01794159780901</v>
      </c>
      <c r="BC34" s="44">
        <f>'Scope 3 Yearly'!BC43*'Yearly LC Ethylene'!W157</f>
        <v>105.29404520010134</v>
      </c>
      <c r="BD34" s="44">
        <f>'Scope 3 Yearly'!BD43*'Yearly LC Ethylene'!X157</f>
        <v>97.275894105859848</v>
      </c>
      <c r="BE34" s="44">
        <f>'Scope 3 Yearly'!BE43*'Yearly LC Ethylene'!Y157</f>
        <v>88.561593313586769</v>
      </c>
      <c r="BF34" s="44">
        <f>'Scope 3 Yearly'!BF43*'Yearly LC Ethylene'!Z157</f>
        <v>81.168491249493712</v>
      </c>
      <c r="BG34" s="44">
        <f>'Scope 3 Yearly'!BG43*'Yearly LC Ethylene'!AA157</f>
        <v>74.802555327028898</v>
      </c>
      <c r="BH34" s="44">
        <f>'Scope 3 Yearly'!BH43*'Yearly LC Ethylene'!AB157</f>
        <v>69.310917981831707</v>
      </c>
      <c r="BI34" s="44">
        <f>'Scope 3 Yearly'!BI43*'Yearly LC Ethylene'!AC157</f>
        <v>64.543524916862467</v>
      </c>
      <c r="BJ34" s="44">
        <f>'Scope 3 Yearly'!BJ43*'Yearly LC Ethylene'!AD157</f>
        <v>60.33453495434086</v>
      </c>
      <c r="BK34" s="44">
        <f>'Scope 3 Yearly'!BK43*'Yearly LC Ethylene'!AE157</f>
        <v>56.607438132605402</v>
      </c>
      <c r="BL34" s="44">
        <f>'Scope 3 Yearly'!BL43*'Yearly LC Ethylene'!AF157</f>
        <v>53.27922492793126</v>
      </c>
      <c r="BM34" s="44">
        <f>'Scope 3 Yearly'!BM43*'Yearly LC Ethylene'!AG157</f>
        <v>50.288282363878906</v>
      </c>
      <c r="BN34" s="44">
        <f>'Scope 3 Yearly'!BN43*'Yearly LC Ethylene'!AH157</f>
        <v>47.648592669262676</v>
      </c>
      <c r="BO34" s="44"/>
      <c r="BP34" s="44">
        <f>'Scope 3 Yearly'!BP43*'Yearly HC Ethylene'!D4</f>
        <v>152.1057552958907</v>
      </c>
      <c r="BQ34" s="44">
        <f>'Scope 3 Yearly'!BQ43*'Yearly HC Ethylene'!E4</f>
        <v>157.77590220502904</v>
      </c>
      <c r="BR34" s="44">
        <f>'Scope 3 Yearly'!BR43*'Yearly HC Ethylene'!F4</f>
        <v>163.60938260961424</v>
      </c>
      <c r="BS34" s="44">
        <f>'Scope 3 Yearly'!BS43*'Yearly HC Ethylene'!G4</f>
        <v>169.60937764086736</v>
      </c>
      <c r="BT34" s="44">
        <f>'Scope 3 Yearly'!BT43*'Yearly HC Ethylene'!H4</f>
        <v>175.77890237083548</v>
      </c>
      <c r="BU34" s="44">
        <f>'Scope 3 Yearly'!BU43*'Yearly HC Ethylene'!I4</f>
        <v>182.12076674207947</v>
      </c>
      <c r="BV34" s="44">
        <f>'Scope 3 Yearly'!BV43*'Yearly HC Ethylene'!J4</f>
        <v>188.16338140628119</v>
      </c>
      <c r="BW34" s="44">
        <f>'Scope 3 Yearly'!BW43*'Yearly HC Ethylene'!K4</f>
        <v>194.38019269432684</v>
      </c>
      <c r="BX34" s="44">
        <f>'Scope 3 Yearly'!BX43*'Yearly HC Ethylene'!L4</f>
        <v>200.77555966333617</v>
      </c>
      <c r="BY34" s="44">
        <f>'Scope 3 Yearly'!BY43*'Yearly HC Ethylene'!M4</f>
        <v>207.35393102000256</v>
      </c>
      <c r="BZ34" s="44">
        <f>'Scope 3 Yearly'!BZ43*'Yearly HC Ethylene'!N4</f>
        <v>214.11984551987791</v>
      </c>
      <c r="CA34" s="44">
        <f>'Scope 3 Yearly'!CA43*'Yearly HC Ethylene'!O4</f>
        <v>218.86821645924172</v>
      </c>
      <c r="CB34" s="44">
        <f>'Scope 3 Yearly'!CB43*'Yearly HC Ethylene'!P4</f>
        <v>223.6701199010185</v>
      </c>
      <c r="CC34" s="44">
        <f>'Scope 3 Yearly'!CC43*'Yearly HC Ethylene'!Q4</f>
        <v>228.52409541599013</v>
      </c>
      <c r="CD34" s="44">
        <f>'Scope 3 Yearly'!CD43*'Yearly HC Ethylene'!R4</f>
        <v>233.42840621783108</v>
      </c>
      <c r="CE34" s="44">
        <f>'Scope 3 Yearly'!CE43*'Yearly HC Ethylene'!S4</f>
        <v>238.38100600189412</v>
      </c>
      <c r="CF34" s="44">
        <f>'Scope 3 Yearly'!CF43*'Yearly HC Ethylene'!T4</f>
        <v>243.25133099970731</v>
      </c>
      <c r="CG34" s="44">
        <f>'Scope 3 Yearly'!CG43*'Yearly HC Ethylene'!U4</f>
        <v>248.19466298671895</v>
      </c>
      <c r="CH34" s="44">
        <f>'Scope 3 Yearly'!CH43*'Yearly HC Ethylene'!V4</f>
        <v>253.21177675989324</v>
      </c>
      <c r="CI34" s="44">
        <f>'Scope 3 Yearly'!CI43*'Yearly HC Ethylene'!W4</f>
        <v>258.30344632216577</v>
      </c>
      <c r="CJ34" s="44">
        <f>'Scope 3 Yearly'!CJ43*'Yearly HC Ethylene'!X4</f>
        <v>263.47044441740957</v>
      </c>
      <c r="CK34" s="44">
        <f>'Scope 3 Yearly'!CK43*'Yearly HC Ethylene'!Y4</f>
        <v>268.55485207623491</v>
      </c>
      <c r="CL34" s="44">
        <f>'Scope 3 Yearly'!CL43*'Yearly HC Ethylene'!Z4</f>
        <v>273.71019183675793</v>
      </c>
      <c r="CM34" s="44">
        <f>'Scope 3 Yearly'!CM43*'Yearly HC Ethylene'!AA4</f>
        <v>278.93712270719885</v>
      </c>
      <c r="CN34" s="44">
        <f>'Scope 3 Yearly'!CN43*'Yearly HC Ethylene'!AB4</f>
        <v>284.23630015664423</v>
      </c>
      <c r="CO34" s="44">
        <f>'Scope 3 Yearly'!CO43*'Yearly HC Ethylene'!AC4</f>
        <v>289.6083756096931</v>
      </c>
      <c r="CP34" s="44">
        <f>'Scope 3 Yearly'!CP43*'Yearly HC Ethylene'!AD4</f>
        <v>294.89727434383548</v>
      </c>
      <c r="CQ34" s="44">
        <f>'Scope 3 Yearly'!CQ43*'Yearly HC Ethylene'!AE4</f>
        <v>300.25483388858572</v>
      </c>
      <c r="CR34" s="44">
        <f>'Scope 3 Yearly'!CR43*'Yearly HC Ethylene'!AF4</f>
        <v>305.68159998898165</v>
      </c>
      <c r="CS34" s="44">
        <f>'Scope 3 Yearly'!CS43*'Yearly HC Ethylene'!AG4</f>
        <v>311.17811225722659</v>
      </c>
      <c r="CT34" s="44">
        <f>'Scope 3 Yearly'!CT43*'Yearly HC Ethylene'!AH4</f>
        <v>316.74490362862025</v>
      </c>
      <c r="CV34" s="44">
        <f>'Scope 3 Yearly'!CV43*'Yearly HC Ethylene'!D4</f>
        <v>152.10453051260288</v>
      </c>
      <c r="CW34" s="44">
        <f>'Scope 3 Yearly'!CW43*'Yearly HC Ethylene'!E4</f>
        <v>155.80800051794631</v>
      </c>
      <c r="CX34" s="44">
        <f>'Scope 3 Yearly'!CX43*'Yearly HC Ethylene'!F4</f>
        <v>159.66053466608452</v>
      </c>
      <c r="CY34" s="44">
        <f>'Scope 3 Yearly'!CY43*'Yearly HC Ethylene'!G4</f>
        <v>163.6675755648115</v>
      </c>
      <c r="CZ34" s="44">
        <f>'Scope 3 Yearly'!CZ43*'Yearly HC Ethylene'!H4</f>
        <v>167.83315844553005</v>
      </c>
      <c r="DA34" s="44">
        <f>'Scope 3 Yearly'!DA43*'Yearly HC Ethylene'!I4</f>
        <v>172.15810589928049</v>
      </c>
      <c r="DB34" s="44">
        <f>'Scope 3 Yearly'!DB43*'Yearly HC Ethylene'!J4</f>
        <v>176.19652471510969</v>
      </c>
      <c r="DC34" s="44">
        <f>'Scope 3 Yearly'!DC43*'Yearly HC Ethylene'!K4</f>
        <v>180.35162906770941</v>
      </c>
      <c r="DD34" s="44">
        <f>'Scope 3 Yearly'!DD43*'Yearly HC Ethylene'!L4</f>
        <v>184.57912623791944</v>
      </c>
      <c r="DE34" s="44">
        <f>'Scope 3 Yearly'!DE43*'Yearly HC Ethylene'!M4</f>
        <v>188.79146773257131</v>
      </c>
      <c r="DF34" s="44">
        <f>'Scope 3 Yearly'!DF43*'Yearly HC Ethylene'!N4</f>
        <v>192.83138142488409</v>
      </c>
      <c r="DG34" s="44">
        <f>'Scope 3 Yearly'!DG43*'Yearly HC Ethylene'!O4</f>
        <v>193.85831628215411</v>
      </c>
      <c r="DH34" s="44">
        <f>'Scope 3 Yearly'!DH43*'Yearly HC Ethylene'!P4</f>
        <v>193.96322669843767</v>
      </c>
      <c r="DI34" s="44">
        <f>'Scope 3 Yearly'!DI43*'Yearly HC Ethylene'!Q4</f>
        <v>192.93018033966675</v>
      </c>
      <c r="DJ34" s="44">
        <f>'Scope 3 Yearly'!DJ43*'Yearly HC Ethylene'!R4</f>
        <v>190.25636366722637</v>
      </c>
      <c r="DK34" s="44">
        <f>'Scope 3 Yearly'!DK43*'Yearly HC Ethylene'!S4</f>
        <v>185.7057522728048</v>
      </c>
      <c r="DL34" s="44">
        <f>'Scope 3 Yearly'!DL43*'Yearly HC Ethylene'!T4</f>
        <v>179.21452152448828</v>
      </c>
      <c r="DM34" s="44">
        <f>'Scope 3 Yearly'!DM43*'Yearly HC Ethylene'!U4</f>
        <v>171.32983101325854</v>
      </c>
      <c r="DN34" s="44">
        <f>'Scope 3 Yearly'!DN43*'Yearly HC Ethylene'!V4</f>
        <v>162.68988058010791</v>
      </c>
      <c r="DO34" s="44">
        <f>'Scope 3 Yearly'!DO43*'Yearly HC Ethylene'!W4</f>
        <v>153.96977018221088</v>
      </c>
      <c r="DP34" s="44">
        <f>'Scope 3 Yearly'!DP43*'Yearly HC Ethylene'!X4</f>
        <v>145.71401112170614</v>
      </c>
      <c r="DQ34" s="44">
        <f>'Scope 3 Yearly'!DQ43*'Yearly HC Ethylene'!Y4</f>
        <v>137.81224527188778</v>
      </c>
      <c r="DR34" s="44">
        <f>'Scope 3 Yearly'!DR43*'Yearly HC Ethylene'!Z4</f>
        <v>130.55521150374568</v>
      </c>
      <c r="DS34" s="44">
        <f>'Scope 3 Yearly'!DS43*'Yearly HC Ethylene'!AA4</f>
        <v>124.35390556795885</v>
      </c>
      <c r="DT34" s="44">
        <f>'Scope 3 Yearly'!DT43*'Yearly HC Ethylene'!AB4</f>
        <v>119.09293571248544</v>
      </c>
      <c r="DU34" s="44">
        <f>'Scope 3 Yearly'!DU43*'Yearly HC Ethylene'!AC4</f>
        <v>114.58932510258265</v>
      </c>
      <c r="DV34" s="44">
        <f>'Scope 3 Yearly'!DV43*'Yearly HC Ethylene'!AD4</f>
        <v>110.65751069591123</v>
      </c>
      <c r="DW34" s="44">
        <f>'Scope 3 Yearly'!DW43*'Yearly HC Ethylene'!AE4</f>
        <v>107.23323934074678</v>
      </c>
      <c r="DX34" s="44">
        <f>'Scope 3 Yearly'!DX43*'Yearly HC Ethylene'!AF4</f>
        <v>104.21469930741679</v>
      </c>
      <c r="DY34" s="44">
        <f>'Scope 3 Yearly'!DY43*'Yearly HC Ethylene'!AG4</f>
        <v>101.51681752972179</v>
      </c>
      <c r="DZ34" s="44">
        <f>'Scope 3 Yearly'!DZ43*'Yearly HC Ethylene'!AH4</f>
        <v>99.068918547446287</v>
      </c>
    </row>
    <row r="35" spans="1:165" x14ac:dyDescent="0.2">
      <c r="A35" t="s">
        <v>5</v>
      </c>
      <c r="C35" s="54" t="s">
        <v>415</v>
      </c>
      <c r="D35" s="44">
        <f>'Scope 3 Yearly'!D66*'Yearly HC Propylene'!D71</f>
        <v>109.98117897075149</v>
      </c>
      <c r="E35" s="44">
        <f>'Scope 3 Yearly'!E66*'Yearly HC Propylene'!E71</f>
        <v>111.03716974122987</v>
      </c>
      <c r="F35" s="44">
        <f>'Scope 3 Yearly'!F66*'Yearly HC Propylene'!F71</f>
        <v>112.11788803322872</v>
      </c>
      <c r="G35" s="44">
        <f>'Scope 3 Yearly'!G66*'Yearly HC Propylene'!G71</f>
        <v>113.2243016549626</v>
      </c>
      <c r="H35" s="44">
        <f>'Scope 3 Yearly'!H66*'Yearly HC Propylene'!H71</f>
        <v>114.35641866650329</v>
      </c>
      <c r="I35" s="44">
        <f>'Scope 3 Yearly'!I66*'Yearly HC Propylene'!I71</f>
        <v>115.51207432233184</v>
      </c>
      <c r="J35" s="44">
        <f>'Scope 3 Yearly'!J66*'Yearly HC Propylene'!J71</f>
        <v>116.47117164444857</v>
      </c>
      <c r="K35" s="44">
        <f>'Scope 3 Yearly'!K66*'Yearly HC Propylene'!K71</f>
        <v>117.4054517708625</v>
      </c>
      <c r="L35" s="44">
        <f>'Scope 3 Yearly'!L66*'Yearly HC Propylene'!L71</f>
        <v>118.27970205674023</v>
      </c>
      <c r="M35" s="44">
        <f>'Scope 3 Yearly'!M66*'Yearly HC Propylene'!M71</f>
        <v>119.03187341034086</v>
      </c>
      <c r="N35" s="44">
        <f>'Scope 3 Yearly'!N66*'Yearly HC Propylene'!N71</f>
        <v>119.55816441166037</v>
      </c>
      <c r="O35" s="44">
        <f>'Scope 3 Yearly'!O66*'Yearly HC Propylene'!O71</f>
        <v>117.48044330972508</v>
      </c>
      <c r="P35" s="44">
        <f>'Scope 3 Yearly'!P66*'Yearly HC Propylene'!P71</f>
        <v>114.81800930173</v>
      </c>
      <c r="Q35" s="44">
        <f>'Scope 3 Yearly'!Q66*'Yearly HC Propylene'!Q71</f>
        <v>111.30817395486055</v>
      </c>
      <c r="R35" s="44">
        <f>'Scope 3 Yearly'!R66*'Yearly HC Propylene'!R71</f>
        <v>106.81894389122559</v>
      </c>
      <c r="S35" s="44">
        <f>'Scope 3 Yearly'!S66*'Yearly HC Propylene'!S71</f>
        <v>101.31586829455416</v>
      </c>
      <c r="T35" s="44">
        <f>'Scope 3 Yearly'!T66*'Yearly HC Propylene'!T71</f>
        <v>94.883406998081867</v>
      </c>
      <c r="U35" s="44">
        <f>'Scope 3 Yearly'!U66*'Yearly HC Propylene'!U71</f>
        <v>87.898162531183601</v>
      </c>
      <c r="V35" s="44">
        <f>'Scope 3 Yearly'!V66*'Yearly HC Propylene'!V71</f>
        <v>80.773009637796591</v>
      </c>
      <c r="W35" s="44">
        <f>'Scope 3 Yearly'!W66*'Yearly HC Propylene'!W71</f>
        <v>73.883845608958723</v>
      </c>
      <c r="X35" s="44">
        <f>'Scope 3 Yearly'!X66*'Yearly HC Propylene'!X71</f>
        <v>67.48828789536266</v>
      </c>
      <c r="Y35" s="44">
        <f>'Scope 3 Yearly'!Y66*'Yearly HC Propylene'!Y71</f>
        <v>60.57151123528493</v>
      </c>
      <c r="Z35" s="44">
        <f>'Scope 3 Yearly'!Z66*'Yearly HC Propylene'!Z71</f>
        <v>54.542170093333922</v>
      </c>
      <c r="AA35" s="44">
        <f>'Scope 3 Yearly'!AA66*'Yearly HC Propylene'!AA71</f>
        <v>49.209998819373972</v>
      </c>
      <c r="AB35" s="44">
        <f>'Scope 3 Yearly'!AB66*'Yearly HC Propylene'!AB71</f>
        <v>44.449068506979636</v>
      </c>
      <c r="AC35" s="44">
        <f>'Scope 3 Yearly'!AC66*'Yearly HC Propylene'!AC71</f>
        <v>40.157211787149286</v>
      </c>
      <c r="AD35" s="44">
        <f>'Scope 3 Yearly'!AD66*'Yearly HC Propylene'!AD71</f>
        <v>36.226490391476545</v>
      </c>
      <c r="AE35" s="44">
        <f>'Scope 3 Yearly'!AE66*'Yearly HC Propylene'!AE71</f>
        <v>32.604509404615953</v>
      </c>
      <c r="AF35" s="44">
        <f>'Scope 3 Yearly'!AF66*'Yearly HC Propylene'!AF71</f>
        <v>29.531357658881571</v>
      </c>
      <c r="AG35" s="44">
        <f>'Scope 3 Yearly'!AG66*'Yearly HC Propylene'!AG71</f>
        <v>26.630008509990624</v>
      </c>
      <c r="AH35" s="44">
        <f>'Scope 3 Yearly'!AH66*'Yearly HC Propylene'!AH71</f>
        <v>22.985260705472765</v>
      </c>
      <c r="AI35" s="44"/>
      <c r="AJ35" s="44">
        <f>'Scope 3 Yearly'!AJ66*'Yearly LC Propylene'!D71</f>
        <v>109.98113534020058</v>
      </c>
      <c r="AK35" s="44">
        <f>'Scope 3 Yearly'!AK66*'Yearly LC Propylene'!E71</f>
        <v>111.36778184890255</v>
      </c>
      <c r="AL35" s="44">
        <f>'Scope 3 Yearly'!AL66*'Yearly LC Propylene'!F71</f>
        <v>112.7945832547549</v>
      </c>
      <c r="AM35" s="44">
        <f>'Scope 3 Yearly'!AM66*'Yearly LC Propylene'!G71</f>
        <v>114.26326991566891</v>
      </c>
      <c r="AN35" s="44">
        <f>'Scope 3 Yearly'!AN66*'Yearly LC Propylene'!H71</f>
        <v>115.7745854852474</v>
      </c>
      <c r="AO35" s="44">
        <f>'Scope 3 Yearly'!AO66*'Yearly LC Propylene'!I71</f>
        <v>117.32702071523761</v>
      </c>
      <c r="AP35" s="44">
        <f>'Scope 3 Yearly'!AP66*'Yearly LC Propylene'!J71</f>
        <v>118.7045619025705</v>
      </c>
      <c r="AQ35" s="44">
        <f>'Scope 3 Yearly'!AQ66*'Yearly LC Propylene'!K71</f>
        <v>120.07545883816684</v>
      </c>
      <c r="AR35" s="44">
        <f>'Scope 3 Yearly'!AR66*'Yearly LC Propylene'!L71</f>
        <v>121.40397929467984</v>
      </c>
      <c r="AS35" s="44">
        <f>'Scope 3 Yearly'!AS66*'Yearly LC Propylene'!M71</f>
        <v>122.62629591910141</v>
      </c>
      <c r="AT35" s="44">
        <f>'Scope 3 Yearly'!AT66*'Yearly LC Propylene'!N71</f>
        <v>123.63465742113834</v>
      </c>
      <c r="AU35" s="44">
        <f>'Scope 3 Yearly'!AU66*'Yearly LC Propylene'!O71</f>
        <v>122.14889734473164</v>
      </c>
      <c r="AV35" s="44">
        <f>'Scope 3 Yearly'!AV66*'Yearly LC Propylene'!P71</f>
        <v>120.05805631966322</v>
      </c>
      <c r="AW35" s="44">
        <f>'Scope 3 Yearly'!AW66*'Yearly LC Propylene'!Q71</f>
        <v>117.09312268324412</v>
      </c>
      <c r="AX35" s="44">
        <f>'Scope 3 Yearly'!AX66*'Yearly LC Propylene'!R71</f>
        <v>113.08754725914676</v>
      </c>
      <c r="AY35" s="44">
        <f>'Scope 3 Yearly'!AY66*'Yearly LC Propylene'!S71</f>
        <v>107.97988666699187</v>
      </c>
      <c r="AZ35" s="44">
        <f>'Scope 3 Yearly'!AZ66*'Yearly LC Propylene'!T71</f>
        <v>101.83324857021425</v>
      </c>
      <c r="BA35" s="44">
        <f>'Scope 3 Yearly'!BA66*'Yearly LC Propylene'!U71</f>
        <v>95.024192307262538</v>
      </c>
      <c r="BB35" s="44">
        <f>'Scope 3 Yearly'!BB66*'Yearly LC Propylene'!V71</f>
        <v>87.982878410158364</v>
      </c>
      <c r="BC35" s="44">
        <f>'Scope 3 Yearly'!BC66*'Yearly LC Propylene'!W71</f>
        <v>81.116653489536716</v>
      </c>
      <c r="BD35" s="44">
        <f>'Scope 3 Yearly'!BD66*'Yearly LC Propylene'!X71</f>
        <v>74.717878967492609</v>
      </c>
      <c r="BE35" s="44">
        <f>'Scope 3 Yearly'!BE66*'Yearly LC Propylene'!Y71</f>
        <v>67.955986644574807</v>
      </c>
      <c r="BF35" s="44">
        <f>'Scope 3 Yearly'!BF66*'Yearly LC Propylene'!Z71</f>
        <v>62.041963894491765</v>
      </c>
      <c r="BG35" s="44">
        <f>'Scope 3 Yearly'!BG66*'Yearly LC Propylene'!AA71</f>
        <v>56.833887805241488</v>
      </c>
      <c r="BH35" s="44">
        <f>'Scope 3 Yearly'!BH66*'Yearly LC Propylene'!AB71</f>
        <v>52.197596594543747</v>
      </c>
      <c r="BI35" s="44">
        <f>'Scope 3 Yearly'!BI66*'Yearly LC Propylene'!AC71</f>
        <v>48.026040099846746</v>
      </c>
      <c r="BJ35" s="44">
        <f>'Scope 3 Yearly'!BJ66*'Yearly LC Propylene'!AD71</f>
        <v>44.202790307284431</v>
      </c>
      <c r="BK35" s="44">
        <f>'Scope 3 Yearly'!BK66*'Yearly LC Propylene'!AE71</f>
        <v>40.667538234039768</v>
      </c>
      <c r="BL35" s="44">
        <f>'Scope 3 Yearly'!BL66*'Yearly LC Propylene'!AF71</f>
        <v>37.355077307240784</v>
      </c>
      <c r="BM35" s="44">
        <f>'Scope 3 Yearly'!BM66*'Yearly LC Propylene'!AG71</f>
        <v>34.216162723305317</v>
      </c>
      <c r="BN35" s="44">
        <f>'Scope 3 Yearly'!BN66*'Yearly LC Propylene'!AH71</f>
        <v>31.216632324428375</v>
      </c>
      <c r="BO35" s="44"/>
      <c r="BP35" s="44">
        <f>'Scope 3 Yearly'!BP66*'Yearly HC Propylene'!D4</f>
        <v>109.98214763640142</v>
      </c>
      <c r="BQ35" s="44">
        <f>'Scope 3 Yearly'!BQ66*'Yearly HC Propylene'!E4</f>
        <v>113.50903808695234</v>
      </c>
      <c r="BR35" s="44">
        <f>'Scope 3 Yearly'!BR66*'Yearly HC Propylene'!F4</f>
        <v>117.12535188268885</v>
      </c>
      <c r="BS35" s="44">
        <f>'Scope 3 Yearly'!BS66*'Yearly HC Propylene'!G4</f>
        <v>120.83286636497496</v>
      </c>
      <c r="BT35" s="44">
        <f>'Scope 3 Yearly'!BT66*'Yearly HC Propylene'!H4</f>
        <v>124.63333253415368</v>
      </c>
      <c r="BU35" s="44">
        <f>'Scope 3 Yearly'!BU66*'Yearly HC Propylene'!I4</f>
        <v>128.52846585960225</v>
      </c>
      <c r="BV35" s="44">
        <f>'Scope 3 Yearly'!BV66*'Yearly HC Propylene'!J4</f>
        <v>132.29575836642732</v>
      </c>
      <c r="BW35" s="44">
        <f>'Scope 3 Yearly'!BW66*'Yearly HC Propylene'!K4</f>
        <v>136.15606343384636</v>
      </c>
      <c r="BX35" s="44">
        <f>'Scope 3 Yearly'!BX66*'Yearly HC Propylene'!L4</f>
        <v>140.11140502524344</v>
      </c>
      <c r="BY35" s="44">
        <f>'Scope 3 Yearly'!BY66*'Yearly HC Propylene'!M4</f>
        <v>144.16384558680971</v>
      </c>
      <c r="BZ35" s="44">
        <f>'Scope 3 Yearly'!BZ66*'Yearly HC Propylene'!N4</f>
        <v>148.31548642429473</v>
      </c>
      <c r="CA35" s="44">
        <f>'Scope 3 Yearly'!CA66*'Yearly HC Propylene'!O4</f>
        <v>151.22277510355295</v>
      </c>
      <c r="CB35" s="44">
        <f>'Scope 3 Yearly'!CB66*'Yearly HC Propylene'!P4</f>
        <v>154.16237808476015</v>
      </c>
      <c r="CC35" s="44">
        <f>'Scope 3 Yearly'!CC66*'Yearly HC Propylene'!Q4</f>
        <v>157.13408505087716</v>
      </c>
      <c r="CD35" s="44">
        <f>'Scope 3 Yearly'!CD66*'Yearly HC Propylene'!R4</f>
        <v>160.13761637778012</v>
      </c>
      <c r="CE35" s="44">
        <f>'Scope 3 Yearly'!CE66*'Yearly HC Propylene'!S4</f>
        <v>163.17261491984638</v>
      </c>
      <c r="CF35" s="44">
        <f>'Scope 3 Yearly'!CF66*'Yearly HC Propylene'!T4</f>
        <v>166.1827054703578</v>
      </c>
      <c r="CG35" s="44">
        <f>'Scope 3 Yearly'!CG66*'Yearly HC Propylene'!U4</f>
        <v>169.23103806996286</v>
      </c>
      <c r="CH35" s="44">
        <f>'Scope 3 Yearly'!CH66*'Yearly HC Propylene'!V4</f>
        <v>172.31798487614108</v>
      </c>
      <c r="CI35" s="44">
        <f>'Scope 3 Yearly'!CI66*'Yearly HC Propylene'!W4</f>
        <v>175.44391947418558</v>
      </c>
      <c r="CJ35" s="44">
        <f>'Scope 3 Yearly'!CJ66*'Yearly HC Propylene'!X4</f>
        <v>178.60921679477229</v>
      </c>
      <c r="CK35" s="44">
        <f>'Scope 3 Yearly'!CK66*'Yearly HC Propylene'!Y4</f>
        <v>181.74898370356541</v>
      </c>
      <c r="CL35" s="44">
        <f>'Scope 3 Yearly'!CL66*'Yearly HC Propylene'!Z4</f>
        <v>184.92663030061311</v>
      </c>
      <c r="CM35" s="44">
        <f>'Scope 3 Yearly'!CM66*'Yearly HC Propylene'!AA4</f>
        <v>188.142499067123</v>
      </c>
      <c r="CN35" s="44">
        <f>'Scope 3 Yearly'!CN66*'Yearly HC Propylene'!AB4</f>
        <v>191.39693328301965</v>
      </c>
      <c r="CO35" s="44">
        <f>'Scope 3 Yearly'!CO66*'Yearly HC Propylene'!AC4</f>
        <v>194.69027693601808</v>
      </c>
      <c r="CP35" s="44">
        <f>'Scope 3 Yearly'!CP66*'Yearly HC Propylene'!AD4</f>
        <v>197.95745196087262</v>
      </c>
      <c r="CQ35" s="44">
        <f>'Scope 3 Yearly'!CQ66*'Yearly HC Propylene'!AE4</f>
        <v>201.26208905292768</v>
      </c>
      <c r="CR35" s="44">
        <f>'Scope 3 Yearly'!CR66*'Yearly HC Propylene'!AF4</f>
        <v>204.60450141792828</v>
      </c>
      <c r="CS35" s="44">
        <f>'Scope 3 Yearly'!CS66*'Yearly HC Propylene'!AG4</f>
        <v>207.9850024535566</v>
      </c>
      <c r="CT35" s="44">
        <f>'Scope 3 Yearly'!CT66*'Yearly HC Propylene'!AH4</f>
        <v>211.40390564998611</v>
      </c>
      <c r="CV35" s="44">
        <f>'Scope 3 Yearly'!CV66*'Yearly HC Propylene'!D4</f>
        <v>109.9811550950154</v>
      </c>
      <c r="CW35" s="44">
        <f>'Scope 3 Yearly'!CW66*'Yearly HC Propylene'!E4</f>
        <v>112.42390669810773</v>
      </c>
      <c r="CX35" s="44">
        <f>'Scope 3 Yearly'!CX66*'Yearly HC Propylene'!F4</f>
        <v>114.96122564235925</v>
      </c>
      <c r="CY35" s="44">
        <f>'Scope 3 Yearly'!CY66*'Yearly HC Propylene'!G4</f>
        <v>117.59456903479665</v>
      </c>
      <c r="CZ35" s="44">
        <f>'Scope 3 Yearly'!CZ66*'Yearly HC Propylene'!H4</f>
        <v>120.32409604112763</v>
      </c>
      <c r="DA35" s="44">
        <f>'Scope 3 Yearly'!DA66*'Yearly HC Propylene'!I4</f>
        <v>123.14731861198483</v>
      </c>
      <c r="DB35" s="44">
        <f>'Scope 3 Yearly'!DB66*'Yearly HC Propylene'!J4</f>
        <v>125.86127530007207</v>
      </c>
      <c r="DC35" s="44">
        <f>'Scope 3 Yearly'!DC66*'Yearly HC Propylene'!K4</f>
        <v>128.63646964912385</v>
      </c>
      <c r="DD35" s="44">
        <f>'Scope 3 Yearly'!DD66*'Yearly HC Propylene'!L4</f>
        <v>131.43667797955612</v>
      </c>
      <c r="DE35" s="44">
        <f>'Scope 3 Yearly'!DE66*'Yearly HC Propylene'!M4</f>
        <v>134.19407251607535</v>
      </c>
      <c r="DF35" s="44">
        <f>'Scope 3 Yearly'!DF66*'Yearly HC Propylene'!N4</f>
        <v>136.79055509188782</v>
      </c>
      <c r="DG35" s="44">
        <f>'Scope 3 Yearly'!DG66*'Yearly HC Propylene'!O4</f>
        <v>137.6534128234089</v>
      </c>
      <c r="DH35" s="44">
        <f>'Scope 3 Yearly'!DH66*'Yearly HC Propylene'!P4</f>
        <v>137.81642159117726</v>
      </c>
      <c r="DI35" s="44">
        <f>'Scope 3 Yearly'!DI66*'Yearly HC Propylene'!Q4</f>
        <v>137.10660428512483</v>
      </c>
      <c r="DJ35" s="44">
        <f>'Scope 3 Yearly'!DJ66*'Yearly HC Propylene'!R4</f>
        <v>135.16141809022059</v>
      </c>
      <c r="DK35" s="44">
        <f>'Scope 3 Yearly'!DK66*'Yearly HC Propylene'!S4</f>
        <v>131.81416899849208</v>
      </c>
      <c r="DL35" s="44">
        <f>'Scope 3 Yearly'!DL66*'Yearly HC Propylene'!T4</f>
        <v>127.06957772790952</v>
      </c>
      <c r="DM35" s="44">
        <f>'Scope 3 Yearly'!DM66*'Yearly HC Propylene'!U4</f>
        <v>121.2913210259816</v>
      </c>
      <c r="DN35" s="44">
        <f>'Scope 3 Yearly'!DN66*'Yearly HC Propylene'!V4</f>
        <v>114.94888415091631</v>
      </c>
      <c r="DO35" s="44">
        <f>'Scope 3 Yearly'!DO66*'Yearly HC Propylene'!W4</f>
        <v>108.5322774609937</v>
      </c>
      <c r="DP35" s="44">
        <f>'Scope 3 Yearly'!DP66*'Yearly HC Propylene'!X4</f>
        <v>102.43020639887482</v>
      </c>
      <c r="DQ35" s="44">
        <f>'Scope 3 Yearly'!DQ66*'Yearly HC Propylene'!Y4</f>
        <v>96.747305876611335</v>
      </c>
      <c r="DR35" s="44">
        <f>'Scope 3 Yearly'!DR66*'Yearly HC Propylene'!Z4</f>
        <v>91.529937073772928</v>
      </c>
      <c r="DS35" s="44">
        <f>'Scope 3 Yearly'!DS66*'Yearly HC Propylene'!AA4</f>
        <v>86.972888379278345</v>
      </c>
      <c r="DT35" s="44">
        <f>'Scope 3 Yearly'!DT66*'Yearly HC Propylene'!AB4</f>
        <v>82.973890832169758</v>
      </c>
      <c r="DU35" s="44">
        <f>'Scope 3 Yearly'!DU66*'Yearly HC Propylene'!AC4</f>
        <v>79.412730118494466</v>
      </c>
      <c r="DV35" s="44">
        <f>'Scope 3 Yearly'!DV66*'Yearly HC Propylene'!AD4</f>
        <v>76.1560221507427</v>
      </c>
      <c r="DW35" s="44">
        <f>'Scope 3 Yearly'!DW66*'Yearly HC Propylene'!AE4</f>
        <v>73.130626862293141</v>
      </c>
      <c r="DX35" s="44">
        <f>'Scope 3 Yearly'!DX66*'Yearly HC Propylene'!AF4</f>
        <v>70.249326926824139</v>
      </c>
      <c r="DY35" s="44">
        <f>'Scope 3 Yearly'!DY66*'Yearly HC Propylene'!AG4</f>
        <v>67.436715726868414</v>
      </c>
      <c r="DZ35" s="44">
        <f>'Scope 3 Yearly'!DZ66*'Yearly HC Propylene'!AH4</f>
        <v>64.628226372895327</v>
      </c>
    </row>
    <row r="36" spans="1:165" x14ac:dyDescent="0.2">
      <c r="A36" t="s">
        <v>6</v>
      </c>
      <c r="C36" s="54" t="s">
        <v>415</v>
      </c>
      <c r="D36" s="44">
        <f>'Scope 3 Yearly'!D89*'Yearly Methanol'!D122</f>
        <v>67.767172099621177</v>
      </c>
      <c r="E36" s="44">
        <f>'Scope 3 Yearly'!E89*'Yearly Methanol'!E122</f>
        <v>71.943658512386733</v>
      </c>
      <c r="F36" s="44">
        <f>'Scope 3 Yearly'!F89*'Yearly Methanol'!F122</f>
        <v>74.990440086038674</v>
      </c>
      <c r="G36" s="44">
        <f>'Scope 3 Yearly'!G89*'Yearly Methanol'!G122</f>
        <v>77.943773134003251</v>
      </c>
      <c r="H36" s="44">
        <f>'Scope 3 Yearly'!H89*'Yearly Methanol'!H122</f>
        <v>80.80240777418804</v>
      </c>
      <c r="I36" s="44">
        <f>'Scope 3 Yearly'!I89*'Yearly Methanol'!I122</f>
        <v>83.575937151194339</v>
      </c>
      <c r="J36" s="44">
        <f>'Scope 3 Yearly'!J89*'Yearly Methanol'!J122</f>
        <v>86.225269099420771</v>
      </c>
      <c r="K36" s="44">
        <f>'Scope 3 Yearly'!K89*'Yearly Methanol'!K122</f>
        <v>88.757317164216005</v>
      </c>
      <c r="L36" s="44">
        <f>'Scope 3 Yearly'!L89*'Yearly Methanol'!L122</f>
        <v>91.149585867168611</v>
      </c>
      <c r="M36" s="44">
        <f>'Scope 3 Yearly'!M89*'Yearly Methanol'!M122</f>
        <v>93.361260725850926</v>
      </c>
      <c r="N36" s="44">
        <f>'Scope 3 Yearly'!N89*'Yearly Methanol'!N122</f>
        <v>95.322865593220868</v>
      </c>
      <c r="O36" s="44">
        <f>'Scope 3 Yearly'!O89*'Yearly Methanol'!O122</f>
        <v>93.263129880394118</v>
      </c>
      <c r="P36" s="44">
        <f>'Scope 3 Yearly'!P89*'Yearly Methanol'!P122</f>
        <v>90.755901877083232</v>
      </c>
      <c r="Q36" s="44">
        <f>'Scope 3 Yearly'!Q89*'Yearly Methanol'!Q122</f>
        <v>87.674974595580991</v>
      </c>
      <c r="R36" s="44">
        <f>'Scope 3 Yearly'!R89*'Yearly Methanol'!R122</f>
        <v>83.927990167321937</v>
      </c>
      <c r="S36" s="44">
        <f>'Scope 3 Yearly'!S89*'Yearly Methanol'!S122</f>
        <v>79.508013697241594</v>
      </c>
      <c r="T36" s="44">
        <f>'Scope 3 Yearly'!T89*'Yearly Methanol'!T122</f>
        <v>74.381679169377094</v>
      </c>
      <c r="U36" s="44">
        <f>'Scope 3 Yearly'!U89*'Yearly Methanol'!U122</f>
        <v>68.929945794750608</v>
      </c>
      <c r="V36" s="44">
        <f>'Scope 3 Yearly'!V89*'Yearly Methanol'!V122</f>
        <v>63.42042054962824</v>
      </c>
      <c r="W36" s="44">
        <f>'Scope 3 Yearly'!W89*'Yearly Methanol'!W122</f>
        <v>58.089587740183475</v>
      </c>
      <c r="X36" s="44">
        <f>'Scope 3 Yearly'!X89*'Yearly Methanol'!X122</f>
        <v>53.0942665831585</v>
      </c>
      <c r="Y36" s="44">
        <f>'Scope 3 Yearly'!Y89*'Yearly Methanol'!Y122</f>
        <v>48.418486034296272</v>
      </c>
      <c r="Z36" s="44">
        <f>'Scope 3 Yearly'!Z89*'Yearly Methanol'!Z122</f>
        <v>44.174783836628691</v>
      </c>
      <c r="AA36" s="44">
        <f>'Scope 3 Yearly'!AA89*'Yearly Methanol'!AA122</f>
        <v>40.323407678611879</v>
      </c>
      <c r="AB36" s="44">
        <f>'Scope 3 Yearly'!AB89*'Yearly Methanol'!AB122</f>
        <v>36.807587553051199</v>
      </c>
      <c r="AC36" s="44">
        <f>'Scope 3 Yearly'!AC89*'Yearly Methanol'!AC122</f>
        <v>33.570112325091145</v>
      </c>
      <c r="AD36" s="44">
        <f>'Scope 3 Yearly'!AD89*'Yearly Methanol'!AD122</f>
        <v>30.563471741841195</v>
      </c>
      <c r="AE36" s="44">
        <f>'Scope 3 Yearly'!AE89*'Yearly Methanol'!AE122</f>
        <v>27.741988852200784</v>
      </c>
      <c r="AF36" s="44">
        <f>'Scope 3 Yearly'!AF89*'Yearly Methanol'!AF122</f>
        <v>25.071037507078497</v>
      </c>
      <c r="AG36" s="44">
        <f>'Scope 3 Yearly'!AG89*'Yearly Methanol'!AG122</f>
        <v>22.523711799526232</v>
      </c>
      <c r="AH36" s="44">
        <f>'Scope 3 Yearly'!AH89*'Yearly Methanol'!AH122</f>
        <v>20.081641365583295</v>
      </c>
      <c r="AI36" s="44"/>
      <c r="AJ36" s="44">
        <f>'Scope 3 Yearly'!AJ89*'Yearly Methanol'!AJ122</f>
        <v>67.767148876277176</v>
      </c>
      <c r="AK36" s="44">
        <f>'Scope 3 Yearly'!AK89*'Yearly Methanol'!AK122</f>
        <v>71.071190223366386</v>
      </c>
      <c r="AL36" s="44">
        <f>'Scope 3 Yearly'!AL89*'Yearly Methanol'!AL122</f>
        <v>74.234245856878061</v>
      </c>
      <c r="AM36" s="44">
        <f>'Scope 3 Yearly'!AM89*'Yearly Methanol'!AM122</f>
        <v>77.329304301234288</v>
      </c>
      <c r="AN36" s="44">
        <f>'Scope 3 Yearly'!AN89*'Yearly Methanol'!AN122</f>
        <v>80.355587145026547</v>
      </c>
      <c r="AO36" s="44">
        <f>'Scope 3 Yearly'!AO89*'Yearly Methanol'!AO122</f>
        <v>83.322943354958099</v>
      </c>
      <c r="AP36" s="44">
        <f>'Scope 3 Yearly'!AP89*'Yearly Methanol'!AP122</f>
        <v>86.213886969660024</v>
      </c>
      <c r="AQ36" s="44">
        <f>'Scope 3 Yearly'!AQ89*'Yearly Methanol'!AQ122</f>
        <v>89.015553932639833</v>
      </c>
      <c r="AR36" s="44">
        <f>'Scope 3 Yearly'!AR89*'Yearly Methanol'!AR122</f>
        <v>91.704484136033102</v>
      </c>
      <c r="AS36" s="44">
        <f>'Scope 3 Yearly'!AS89*'Yearly Methanol'!AS122</f>
        <v>94.237806051927876</v>
      </c>
      <c r="AT36" s="44">
        <f>'Scope 3 Yearly'!AT89*'Yearly Methanol'!AT122</f>
        <v>96.542050894985252</v>
      </c>
      <c r="AU36" s="44">
        <f>'Scope 3 Yearly'!AU89*'Yearly Methanol'!AU122</f>
        <v>94.74404874950433</v>
      </c>
      <c r="AV36" s="44">
        <f>'Scope 3 Yearly'!AV89*'Yearly Methanol'!AV122</f>
        <v>92.491423773114462</v>
      </c>
      <c r="AW36" s="44">
        <f>'Scope 3 Yearly'!AW89*'Yearly Methanol'!AW122</f>
        <v>89.649310749800989</v>
      </c>
      <c r="AX36" s="44">
        <f>'Scope 3 Yearly'!AX89*'Yearly Methanol'!AX122</f>
        <v>86.114369909633851</v>
      </c>
      <c r="AY36" s="44">
        <f>'Scope 3 Yearly'!AY89*'Yearly Methanol'!AY122</f>
        <v>81.870160455959635</v>
      </c>
      <c r="AZ36" s="44">
        <f>'Scope 3 Yearly'!AZ89*'Yearly Methanol'!AZ122</f>
        <v>76.868667867107732</v>
      </c>
      <c r="BA36" s="44">
        <f>'Scope 3 Yearly'!BA89*'Yearly Methanol'!BA122</f>
        <v>71.504987586194844</v>
      </c>
      <c r="BB36" s="44">
        <f>'Scope 3 Yearly'!BB89*'Yearly Methanol'!BB122</f>
        <v>66.057705686734849</v>
      </c>
      <c r="BC36" s="44">
        <f>'Scope 3 Yearly'!BC89*'Yearly Methanol'!BC122</f>
        <v>60.778402807741287</v>
      </c>
      <c r="BD36" s="44">
        <f>'Scope 3 Yearly'!BD89*'Yearly Methanol'!BD122</f>
        <v>55.838129492448118</v>
      </c>
      <c r="BE36" s="44">
        <f>'Scope 3 Yearly'!BE89*'Yearly Methanol'!BE122</f>
        <v>51.191743591139534</v>
      </c>
      <c r="BF36" s="44">
        <f>'Scope 3 Yearly'!BF89*'Yearly Methanol'!BF122</f>
        <v>46.99708644523168</v>
      </c>
      <c r="BG36" s="44">
        <f>'Scope 3 Yearly'!BG89*'Yearly Methanol'!BG122</f>
        <v>43.2110250513906</v>
      </c>
      <c r="BH36" s="44">
        <f>'Scope 3 Yearly'!BH89*'Yearly Methanol'!BH122</f>
        <v>39.770983943506998</v>
      </c>
      <c r="BI36" s="44">
        <f>'Scope 3 Yearly'!BI89*'Yearly Methanol'!BI122</f>
        <v>36.613468173134457</v>
      </c>
      <c r="BJ36" s="44">
        <f>'Scope 3 Yearly'!BJ89*'Yearly Methanol'!BJ122</f>
        <v>33.686263706631465</v>
      </c>
      <c r="BK36" s="44">
        <f>'Scope 3 Yearly'!BK89*'Yearly Methanol'!BK122</f>
        <v>30.93848194513253</v>
      </c>
      <c r="BL36" s="44">
        <f>'Scope 3 Yearly'!BL89*'Yearly Methanol'!BL122</f>
        <v>28.333097116099555</v>
      </c>
      <c r="BM36" s="44">
        <f>'Scope 3 Yearly'!BM89*'Yearly Methanol'!BM122</f>
        <v>25.844984751730401</v>
      </c>
      <c r="BN36" s="44">
        <f>'Scope 3 Yearly'!BN89*'Yearly Methanol'!BN122</f>
        <v>23.441170532975004</v>
      </c>
      <c r="BO36" s="44"/>
      <c r="BP36" s="44">
        <f>'Scope 3 Yearly'!BP89*'Yearly Methanol'!D6</f>
        <v>67.767739207730912</v>
      </c>
      <c r="BQ36" s="44">
        <f>'Scope 3 Yearly'!BQ89*'Yearly Methanol'!E6</f>
        <v>72.870796586450552</v>
      </c>
      <c r="BR36" s="44">
        <f>'Scope 3 Yearly'!BR89*'Yearly Methanol'!F6</f>
        <v>78.067898112629194</v>
      </c>
      <c r="BS36" s="44">
        <f>'Scope 3 Yearly'!BS89*'Yearly Methanol'!G6</f>
        <v>83.35730951515049</v>
      </c>
      <c r="BT36" s="44">
        <f>'Scope 3 Yearly'!BT89*'Yearly Methanol'!H6</f>
        <v>88.737169836710493</v>
      </c>
      <c r="BU36" s="44">
        <f>'Scope 3 Yearly'!BU89*'Yearly Methanol'!I6</f>
        <v>94.205470085791333</v>
      </c>
      <c r="BV36" s="44">
        <f>'Scope 3 Yearly'!BV89*'Yearly Methanol'!J6</f>
        <v>99.771094297277145</v>
      </c>
      <c r="BW36" s="44">
        <f>'Scope 3 Yearly'!BW89*'Yearly Methanol'!K6</f>
        <v>105.43374840896139</v>
      </c>
      <c r="BX36" s="44">
        <f>'Scope 3 Yearly'!BX89*'Yearly Methanol'!L6</f>
        <v>111.19311694997909</v>
      </c>
      <c r="BY36" s="44">
        <f>'Scope 3 Yearly'!BY89*'Yearly Methanol'!M6</f>
        <v>117.0488625538455</v>
      </c>
      <c r="BZ36" s="44">
        <f>'Scope 3 Yearly'!BZ89*'Yearly Methanol'!N6</f>
        <v>123.0006253952004</v>
      </c>
      <c r="CA36" s="44">
        <f>'Scope 3 Yearly'!CA89*'Yearly Methanol'!O6</f>
        <v>126.14455276795258</v>
      </c>
      <c r="CB36" s="44">
        <f>'Scope 3 Yearly'!CB89*'Yearly Methanol'!P6</f>
        <v>129.31414690662214</v>
      </c>
      <c r="CC36" s="44">
        <f>'Scope 3 Yearly'!CC89*'Yearly Methanol'!Q6</f>
        <v>132.50811624387666</v>
      </c>
      <c r="CD36" s="44">
        <f>'Scope 3 Yearly'!CD89*'Yearly Methanol'!R6</f>
        <v>135.72504472322152</v>
      </c>
      <c r="CE36" s="44">
        <f>'Scope 3 Yearly'!CE89*'Yearly Methanol'!S6</f>
        <v>138.96337763476862</v>
      </c>
      <c r="CF36" s="44">
        <f>'Scope 3 Yearly'!CF89*'Yearly Methanol'!T6</f>
        <v>142.0093907674879</v>
      </c>
      <c r="CG36" s="44">
        <f>'Scope 3 Yearly'!CG89*'Yearly Methanol'!U6</f>
        <v>145.08500034527128</v>
      </c>
      <c r="CH36" s="44">
        <f>'Scope 3 Yearly'!CH89*'Yearly Methanol'!V6</f>
        <v>148.19002784056048</v>
      </c>
      <c r="CI36" s="44">
        <f>'Scope 3 Yearly'!CI89*'Yearly Methanol'!W6</f>
        <v>151.32428917850925</v>
      </c>
      <c r="CJ36" s="44">
        <f>'Scope 3 Yearly'!CJ89*'Yearly Methanol'!X6</f>
        <v>154.48759457252035</v>
      </c>
      <c r="CK36" s="44">
        <f>'Scope 3 Yearly'!CK89*'Yearly Methanol'!Y6</f>
        <v>157.20647865176889</v>
      </c>
      <c r="CL36" s="44">
        <f>'Scope 3 Yearly'!CL89*'Yearly Methanol'!Z6</f>
        <v>159.94585642680096</v>
      </c>
      <c r="CM36" s="44">
        <f>'Scope 3 Yearly'!CM89*'Yearly Methanol'!AA6</f>
        <v>162.70556077505626</v>
      </c>
      <c r="CN36" s="44">
        <f>'Scope 3 Yearly'!CN89*'Yearly Methanol'!AB6</f>
        <v>165.48541975822917</v>
      </c>
      <c r="CO36" s="44">
        <f>'Scope 3 Yearly'!CO89*'Yearly Methanol'!AC6</f>
        <v>168.28525648203154</v>
      </c>
      <c r="CP36" s="44">
        <f>'Scope 3 Yearly'!CP89*'Yearly Methanol'!AD6</f>
        <v>171.10499167297365</v>
      </c>
      <c r="CQ36" s="44">
        <f>'Scope 3 Yearly'!CQ89*'Yearly Methanol'!AE6</f>
        <v>173.94444743406922</v>
      </c>
      <c r="CR36" s="44">
        <f>'Scope 3 Yearly'!CR89*'Yearly Methanol'!AF6</f>
        <v>176.80344091898357</v>
      </c>
      <c r="CS36" s="44">
        <f>'Scope 3 Yearly'!CS89*'Yearly Methanol'!AG6</f>
        <v>179.6817841917327</v>
      </c>
      <c r="CT36" s="44">
        <f>'Scope 3 Yearly'!CT89*'Yearly Methanol'!AH6</f>
        <v>182.57928408197324</v>
      </c>
      <c r="CV36" s="44">
        <f>'Scope 3 Yearly'!CV89*'Yearly Methanol'!D6</f>
        <v>67.767150825277412</v>
      </c>
      <c r="CW36" s="44">
        <f>'Scope 3 Yearly'!CW89*'Yearly Methanol'!E6</f>
        <v>71.818950378112405</v>
      </c>
      <c r="CX36" s="44">
        <f>'Scope 3 Yearly'!CX89*'Yearly Methanol'!F6</f>
        <v>75.863046217703371</v>
      </c>
      <c r="CY36" s="44">
        <f>'Scope 3 Yearly'!CY89*'Yearly Methanol'!G6</f>
        <v>79.900663988653022</v>
      </c>
      <c r="CZ36" s="44">
        <f>'Scope 3 Yearly'!CZ89*'Yearly Methanol'!H6</f>
        <v>83.93208479593234</v>
      </c>
      <c r="DA36" s="44">
        <f>'Scope 3 Yearly'!DA89*'Yearly Methanol'!I6</f>
        <v>87.955729450020968</v>
      </c>
      <c r="DB36" s="44">
        <f>'Scope 3 Yearly'!DB89*'Yearly Methanol'!J6</f>
        <v>91.964820908820897</v>
      </c>
      <c r="DC36" s="44">
        <f>'Scope 3 Yearly'!DC89*'Yearly Methanol'!K6</f>
        <v>95.951102904398255</v>
      </c>
      <c r="DD36" s="44">
        <f>'Scope 3 Yearly'!DD89*'Yearly Methanol'!L6</f>
        <v>99.890128293875946</v>
      </c>
      <c r="DE36" s="44">
        <f>'Scope 3 Yearly'!DE89*'Yearly Methanol'!M6</f>
        <v>103.73502769598815</v>
      </c>
      <c r="DF36" s="44">
        <f>'Scope 3 Yearly'!DF89*'Yearly Methanol'!N6</f>
        <v>107.40289067060819</v>
      </c>
      <c r="DG36" s="44">
        <f>'Scope 3 Yearly'!DG89*'Yearly Methanol'!O6</f>
        <v>108.06821000611835</v>
      </c>
      <c r="DH36" s="44">
        <f>'Scope 3 Yearly'!DH89*'Yearly Methanol'!P6</f>
        <v>108.23345984541015</v>
      </c>
      <c r="DI36" s="44">
        <f>'Scope 3 Yearly'!DI89*'Yearly Methanol'!Q6</f>
        <v>107.79880785566317</v>
      </c>
      <c r="DJ36" s="44">
        <f>'Scope 3 Yearly'!DJ89*'Yearly Methanol'!R6</f>
        <v>106.52386878987997</v>
      </c>
      <c r="DK36" s="44">
        <f>'Scope 3 Yearly'!DK89*'Yearly Methanol'!S6</f>
        <v>104.30630498693752</v>
      </c>
      <c r="DL36" s="44">
        <f>'Scope 3 Yearly'!DL89*'Yearly Methanol'!T6</f>
        <v>101.02814019771976</v>
      </c>
      <c r="DM36" s="44">
        <f>'Scope 3 Yearly'!DM89*'Yearly Methanol'!U6</f>
        <v>97.080634272486535</v>
      </c>
      <c r="DN36" s="44">
        <f>'Scope 3 Yearly'!DN89*'Yearly Methanol'!V6</f>
        <v>92.778750041022732</v>
      </c>
      <c r="DO36" s="44">
        <f>'Scope 3 Yearly'!DO89*'Yearly Methanol'!W6</f>
        <v>88.444676339965085</v>
      </c>
      <c r="DP36" s="44">
        <f>'Scope 3 Yearly'!DP89*'Yearly Methanol'!X6</f>
        <v>84.3288802749517</v>
      </c>
      <c r="DQ36" s="44">
        <f>'Scope 3 Yearly'!DQ89*'Yearly Methanol'!Y6</f>
        <v>80.172721769226499</v>
      </c>
      <c r="DR36" s="44">
        <f>'Scope 3 Yearly'!DR89*'Yearly Methanol'!Z6</f>
        <v>76.327544490532262</v>
      </c>
      <c r="DS36" s="44">
        <f>'Scope 3 Yearly'!DS89*'Yearly Methanol'!AA6</f>
        <v>72.919139524091776</v>
      </c>
      <c r="DT36" s="44">
        <f>'Scope 3 Yearly'!DT89*'Yearly Methanol'!AB6</f>
        <v>69.88539820594309</v>
      </c>
      <c r="DU36" s="44">
        <f>'Scope 3 Yearly'!DU89*'Yearly Methanol'!AC6</f>
        <v>67.138891413453706</v>
      </c>
      <c r="DV36" s="44">
        <f>'Scope 3 Yearly'!DV89*'Yearly Methanol'!AD6</f>
        <v>64.608089681068279</v>
      </c>
      <c r="DW36" s="44">
        <f>'Scope 3 Yearly'!DW89*'Yearly Methanol'!AE6</f>
        <v>62.2211003729496</v>
      </c>
      <c r="DX36" s="44">
        <f>'Scope 3 Yearly'!DX89*'Yearly Methanol'!AF6</f>
        <v>59.917751305797388</v>
      </c>
      <c r="DY36" s="44">
        <f>'Scope 3 Yearly'!DY89*'Yearly Methanol'!AG6</f>
        <v>57.648693900355035</v>
      </c>
      <c r="DZ36" s="44">
        <f>'Scope 3 Yearly'!DZ89*'Yearly Methanol'!AH6</f>
        <v>55.34739578516438</v>
      </c>
    </row>
    <row r="37" spans="1:165" x14ac:dyDescent="0.2">
      <c r="A37" t="s">
        <v>7</v>
      </c>
      <c r="C37" s="54" t="s">
        <v>415</v>
      </c>
      <c r="D37" s="44">
        <f>'Scope 3 Yearly'!D112*'Yearly BTX'!D129</f>
        <v>53.088165770575209</v>
      </c>
      <c r="E37" s="44">
        <f>'Scope 3 Yearly'!E112*'Yearly BTX'!E129</f>
        <v>53.508741564233695</v>
      </c>
      <c r="F37" s="44">
        <f>'Scope 3 Yearly'!F112*'Yearly BTX'!F129</f>
        <v>53.72199956767053</v>
      </c>
      <c r="G37" s="44">
        <f>'Scope 3 Yearly'!G112*'Yearly BTX'!G129</f>
        <v>53.981149025641884</v>
      </c>
      <c r="H37" s="44">
        <f>'Scope 3 Yearly'!H112*'Yearly BTX'!H129</f>
        <v>54.245483921187684</v>
      </c>
      <c r="I37" s="44">
        <f>'Scope 3 Yearly'!I112*'Yearly BTX'!I129</f>
        <v>54.515201076125706</v>
      </c>
      <c r="J37" s="44">
        <f>'Scope 3 Yearly'!J112*'Yearly BTX'!J129</f>
        <v>54.303363888669864</v>
      </c>
      <c r="K37" s="44">
        <f>'Scope 3 Yearly'!K112*'Yearly BTX'!K129</f>
        <v>54.073861243320735</v>
      </c>
      <c r="L37" s="44">
        <f>'Scope 3 Yearly'!L112*'Yearly BTX'!L129</f>
        <v>53.819805790215135</v>
      </c>
      <c r="M37" s="44">
        <f>'Scope 3 Yearly'!M112*'Yearly BTX'!M129</f>
        <v>53.528047845326526</v>
      </c>
      <c r="N37" s="44">
        <f>'Scope 3 Yearly'!N112*'Yearly BTX'!N129</f>
        <v>53.174968023015353</v>
      </c>
      <c r="O37" s="44">
        <f>'Scope 3 Yearly'!O112*'Yearly BTX'!O129</f>
        <v>51.656499908102163</v>
      </c>
      <c r="P37" s="44">
        <f>'Scope 3 Yearly'!P112*'Yearly BTX'!P129</f>
        <v>49.995360815273813</v>
      </c>
      <c r="Q37" s="44">
        <f>'Scope 3 Yearly'!Q112*'Yearly BTX'!Q129</f>
        <v>48.133865841592247</v>
      </c>
      <c r="R37" s="44">
        <f>'Scope 3 Yearly'!R112*'Yearly BTX'!R129</f>
        <v>46.018743063813233</v>
      </c>
      <c r="S37" s="44">
        <f>'Scope 3 Yearly'!S112*'Yearly BTX'!S129</f>
        <v>43.624830369520069</v>
      </c>
      <c r="T37" s="44">
        <f>'Scope 3 Yearly'!T112*'Yearly BTX'!T129</f>
        <v>40.937934514775655</v>
      </c>
      <c r="U37" s="44">
        <f>'Scope 3 Yearly'!U112*'Yearly BTX'!U129</f>
        <v>38.060096003180767</v>
      </c>
      <c r="V37" s="44">
        <f>'Scope 3 Yearly'!V112*'Yearly BTX'!V129</f>
        <v>35.100403808484792</v>
      </c>
      <c r="W37" s="44">
        <f>'Scope 3 Yearly'!W112*'Yearly BTX'!W129</f>
        <v>32.169426916045232</v>
      </c>
      <c r="X37" s="44">
        <f>'Scope 3 Yearly'!X112*'Yearly BTX'!X129</f>
        <v>29.353430937913821</v>
      </c>
      <c r="Y37" s="44">
        <f>'Scope 3 Yearly'!Y112*'Yearly BTX'!Y129</f>
        <v>26.174968057198363</v>
      </c>
      <c r="Z37" s="44">
        <f>'Scope 3 Yearly'!Z112*'Yearly BTX'!Z129</f>
        <v>23.263213396995297</v>
      </c>
      <c r="AA37" s="44">
        <f>'Scope 3 Yearly'!AA112*'Yearly BTX'!AA129</f>
        <v>20.611935232258134</v>
      </c>
      <c r="AB37" s="44">
        <f>'Scope 3 Yearly'!AB112*'Yearly BTX'!AB129</f>
        <v>18.195429155973137</v>
      </c>
      <c r="AC37" s="44">
        <f>'Scope 3 Yearly'!AC112*'Yearly BTX'!AC129</f>
        <v>15.989276103772744</v>
      </c>
      <c r="AD37" s="44">
        <f>'Scope 3 Yearly'!AD112*'Yearly BTX'!AD129</f>
        <v>13.945032840310162</v>
      </c>
      <c r="AE37" s="44">
        <f>'Scope 3 Yearly'!AE112*'Yearly BTX'!AE129</f>
        <v>12.076464128032612</v>
      </c>
      <c r="AF37" s="44">
        <f>'Scope 3 Yearly'!AF112*'Yearly BTX'!AF129</f>
        <v>10.366738102916704</v>
      </c>
      <c r="AG37" s="44">
        <f>'Scope 3 Yearly'!AG112*'Yearly BTX'!AG129</f>
        <v>8.8027095685852164</v>
      </c>
      <c r="AH37" s="44">
        <f>'Scope 3 Yearly'!AH112*'Yearly BTX'!AH129</f>
        <v>7.375050636815752</v>
      </c>
      <c r="AI37" s="44"/>
      <c r="AJ37" s="44">
        <f>'Scope 3 Yearly'!AJ112*'Yearly BTX'!AJ129</f>
        <v>53.08815145564521</v>
      </c>
      <c r="AK37" s="44">
        <f>'Scope 3 Yearly'!AK112*'Yearly BTX'!AK129</f>
        <v>53.801453305967698</v>
      </c>
      <c r="AL37" s="44">
        <f>'Scope 3 Yearly'!AL112*'Yearly BTX'!AL129</f>
        <v>54.337780568038468</v>
      </c>
      <c r="AM37" s="44">
        <f>'Scope 3 Yearly'!AM112*'Yearly BTX'!AM129</f>
        <v>54.922239292247035</v>
      </c>
      <c r="AN37" s="44">
        <f>'Scope 3 Yearly'!AN112*'Yearly BTX'!AN129</f>
        <v>55.524028894922353</v>
      </c>
      <c r="AO37" s="44">
        <f>'Scope 3 Yearly'!AO112*'Yearly BTX'!AO129</f>
        <v>56.143717697405137</v>
      </c>
      <c r="AP37" s="44">
        <f>'Scope 3 Yearly'!AP112*'Yearly BTX'!AP129</f>
        <v>56.305072877428657</v>
      </c>
      <c r="AQ37" s="44">
        <f>'Scope 3 Yearly'!AQ112*'Yearly BTX'!AQ129</f>
        <v>56.461449054235899</v>
      </c>
      <c r="AR37" s="44">
        <f>'Scope 3 Yearly'!AR112*'Yearly BTX'!AR129</f>
        <v>56.605897282853704</v>
      </c>
      <c r="AS37" s="44">
        <f>'Scope 3 Yearly'!AS112*'Yearly BTX'!AS129</f>
        <v>56.724579482994855</v>
      </c>
      <c r="AT37" s="44">
        <f>'Scope 3 Yearly'!AT112*'Yearly BTX'!AT129</f>
        <v>56.791994911805858</v>
      </c>
      <c r="AU37" s="44">
        <f>'Scope 3 Yearly'!AU112*'Yearly BTX'!AU129</f>
        <v>55.74994252567587</v>
      </c>
      <c r="AV37" s="44">
        <f>'Scope 3 Yearly'!AV112*'Yearly BTX'!AV129</f>
        <v>54.562245232764916</v>
      </c>
      <c r="AW37" s="44">
        <f>'Scope 3 Yearly'!AW112*'Yearly BTX'!AW129</f>
        <v>53.16036682606466</v>
      </c>
      <c r="AX37" s="44">
        <f>'Scope 3 Yearly'!AX112*'Yearly BTX'!AX129</f>
        <v>51.474587637972867</v>
      </c>
      <c r="AY37" s="44">
        <f>'Scope 3 Yearly'!AY112*'Yearly BTX'!AY129</f>
        <v>49.46233548328015</v>
      </c>
      <c r="AZ37" s="44">
        <f>'Scope 3 Yearly'!AZ112*'Yearly BTX'!AZ129</f>
        <v>47.082239338758285</v>
      </c>
      <c r="BA37" s="44">
        <f>'Scope 3 Yearly'!BA112*'Yearly BTX'!BA129</f>
        <v>44.441540206884859</v>
      </c>
      <c r="BB37" s="44">
        <f>'Scope 3 Yearly'!BB112*'Yearly BTX'!BB129</f>
        <v>41.652758355003407</v>
      </c>
      <c r="BC37" s="44">
        <f>'Scope 3 Yearly'!BC112*'Yearly BTX'!BC129</f>
        <v>38.837497082301105</v>
      </c>
      <c r="BD37" s="44">
        <f>'Scope 3 Yearly'!BD112*'Yearly BTX'!BD129</f>
        <v>36.096006847930163</v>
      </c>
      <c r="BE37" s="44">
        <f>'Scope 3 Yearly'!BE112*'Yearly BTX'!BE129</f>
        <v>32.957392021936002</v>
      </c>
      <c r="BF37" s="44">
        <f>'Scope 3 Yearly'!BF112*'Yearly BTX'!BF129</f>
        <v>30.058859900886265</v>
      </c>
      <c r="BG37" s="44">
        <f>'Scope 3 Yearly'!BG112*'Yearly BTX'!BG129</f>
        <v>27.400686028785959</v>
      </c>
      <c r="BH37" s="44">
        <f>'Scope 3 Yearly'!BH112*'Yearly BTX'!BH129</f>
        <v>24.959777529824866</v>
      </c>
      <c r="BI37" s="44">
        <f>'Scope 3 Yearly'!BI112*'Yearly BTX'!BI129</f>
        <v>22.711091787815342</v>
      </c>
      <c r="BJ37" s="44">
        <f>'Scope 3 Yearly'!BJ112*'Yearly BTX'!BJ129</f>
        <v>20.602985514691007</v>
      </c>
      <c r="BK37" s="44">
        <f>'Scope 3 Yearly'!BK112*'Yearly BTX'!BK129</f>
        <v>18.644673554991286</v>
      </c>
      <c r="BL37" s="44">
        <f>'Scope 3 Yearly'!BL112*'Yearly BTX'!BL129</f>
        <v>16.814581763573926</v>
      </c>
      <c r="BM37" s="44">
        <f>'Scope 3 Yearly'!BM112*'Yearly BTX'!BM129</f>
        <v>15.094188342481141</v>
      </c>
      <c r="BN37" s="44">
        <f>'Scope 3 Yearly'!BN112*'Yearly BTX'!BN129</f>
        <v>13.468267794176969</v>
      </c>
      <c r="BO37" s="44"/>
      <c r="BP37" s="44">
        <f>'Scope 3 Yearly'!BP112*'Yearly Demand - BTX'!N7</f>
        <v>53.088132246764417</v>
      </c>
      <c r="BQ37" s="44">
        <f>'Scope 3 Yearly'!BQ112*'Yearly Demand - BTX'!O7</f>
        <v>55.051861614337305</v>
      </c>
      <c r="BR37" s="44">
        <f>'Scope 3 Yearly'!BR112*'Yearly Demand - BTX'!P7</f>
        <v>57.073593175473171</v>
      </c>
      <c r="BS37" s="44">
        <f>'Scope 3 Yearly'!BS112*'Yearly Demand - BTX'!Q7</f>
        <v>59.154653167889194</v>
      </c>
      <c r="BT37" s="44">
        <f>'Scope 3 Yearly'!BT112*'Yearly Demand - BTX'!R7</f>
        <v>61.296341358217262</v>
      </c>
      <c r="BU37" s="44">
        <f>'Scope 3 Yearly'!BU112*'Yearly Demand - BTX'!S7</f>
        <v>63.49992200878453</v>
      </c>
      <c r="BV37" s="44">
        <f>'Scope 3 Yearly'!BV112*'Yearly Demand - BTX'!T7</f>
        <v>65.24915032945141</v>
      </c>
      <c r="BW37" s="44">
        <f>'Scope 3 Yearly'!BW112*'Yearly Demand - BTX'!U7</f>
        <v>67.03753050359461</v>
      </c>
      <c r="BX37" s="44">
        <f>'Scope 3 Yearly'!BX112*'Yearly Demand - BTX'!V7</f>
        <v>68.865787300698955</v>
      </c>
      <c r="BY37" s="44">
        <f>'Scope 3 Yearly'!BY112*'Yearly Demand - BTX'!W7</f>
        <v>70.734655400398935</v>
      </c>
      <c r="BZ37" s="44">
        <f>'Scope 3 Yearly'!BZ112*'Yearly Demand - BTX'!X7</f>
        <v>72.644879247032847</v>
      </c>
      <c r="CA37" s="44">
        <f>'Scope 3 Yearly'!CA112*'Yearly Demand - BTX'!Y7</f>
        <v>74.108339659490994</v>
      </c>
      <c r="CB37" s="44">
        <f>'Scope 3 Yearly'!CB112*'Yearly Demand - BTX'!Z7</f>
        <v>75.586187500921866</v>
      </c>
      <c r="CC37" s="44">
        <f>'Scope 3 Yearly'!CC112*'Yearly Demand - BTX'!AA7</f>
        <v>77.07809610640993</v>
      </c>
      <c r="CD37" s="44">
        <f>'Scope 3 Yearly'!CD112*'Yearly Demand - BTX'!AB7</f>
        <v>78.583677038282886</v>
      </c>
      <c r="CE37" s="44">
        <f>'Scope 3 Yearly'!CE112*'Yearly Demand - BTX'!AC7</f>
        <v>80.102472989635586</v>
      </c>
      <c r="CF37" s="44">
        <f>'Scope 3 Yearly'!CF112*'Yearly Demand - BTX'!AD7</f>
        <v>81.605786155949374</v>
      </c>
      <c r="CG37" s="44">
        <f>'Scope 3 Yearly'!CG112*'Yearly Demand - BTX'!AE7</f>
        <v>83.128526278637679</v>
      </c>
      <c r="CH37" s="44">
        <f>'Scope 3 Yearly'!CH112*'Yearly Demand - BTX'!AF7</f>
        <v>84.670868358723226</v>
      </c>
      <c r="CI37" s="44">
        <f>'Scope 3 Yearly'!CI112*'Yearly Demand - BTX'!AG7</f>
        <v>86.23298711208848</v>
      </c>
      <c r="CJ37" s="44">
        <f>'Scope 3 Yearly'!CJ112*'Yearly Demand - BTX'!AH7</f>
        <v>87.815056880222102</v>
      </c>
      <c r="CK37" s="44">
        <f>'Scope 3 Yearly'!CK112*'Yearly Demand - BTX'!AI7</f>
        <v>88.938219244193192</v>
      </c>
      <c r="CL37" s="44">
        <f>'Scope 3 Yearly'!CL112*'Yearly Demand - BTX'!AJ7</f>
        <v>90.066967415922917</v>
      </c>
      <c r="CM37" s="44">
        <f>'Scope 3 Yearly'!CM112*'Yearly Demand - BTX'!AK7</f>
        <v>91.201276779062624</v>
      </c>
      <c r="CN37" s="44">
        <f>'Scope 3 Yearly'!CN112*'Yearly Demand - BTX'!AL7</f>
        <v>92.341121063731677</v>
      </c>
      <c r="CO37" s="44">
        <f>'Scope 3 Yearly'!CO112*'Yearly Demand - BTX'!AM7</f>
        <v>93.486472290250504</v>
      </c>
      <c r="CP37" s="44">
        <f>'Scope 3 Yearly'!CP112*'Yearly Demand - BTX'!AN7</f>
        <v>94.513498633984526</v>
      </c>
      <c r="CQ37" s="44">
        <f>'Scope 3 Yearly'!CQ112*'Yearly Demand - BTX'!AO7</f>
        <v>95.543166464515167</v>
      </c>
      <c r="CR37" s="44">
        <f>'Scope 3 Yearly'!CR112*'Yearly Demand - BTX'!AP7</f>
        <v>96.575430889389651</v>
      </c>
      <c r="CS37" s="44">
        <f>'Scope 3 Yearly'!CS112*'Yearly Demand - BTX'!AQ7</f>
        <v>97.610245456049768</v>
      </c>
      <c r="CT37" s="44">
        <f>'Scope 3 Yearly'!CT112*'Yearly Demand - BTX'!AR7</f>
        <v>98.647562105171303</v>
      </c>
      <c r="CV37" s="44">
        <f>'Scope 3 Yearly'!CV112*'Yearly Demand - BTX'!N7</f>
        <v>53.088158044429299</v>
      </c>
      <c r="CW37" s="44">
        <f>'Scope 3 Yearly'!CW112*'Yearly Demand - BTX'!O7</f>
        <v>54.414080454788333</v>
      </c>
      <c r="CX37" s="44">
        <f>'Scope 3 Yearly'!CX112*'Yearly Demand - BTX'!P7</f>
        <v>55.739196933383283</v>
      </c>
      <c r="CY37" s="44">
        <f>'Scope 3 Yearly'!CY112*'Yearly Demand - BTX'!Q7</f>
        <v>57.103149453435783</v>
      </c>
      <c r="CZ37" s="44">
        <f>'Scope 3 Yearly'!CZ112*'Yearly Demand - BTX'!R7</f>
        <v>58.507737680662302</v>
      </c>
      <c r="DA37" s="44">
        <f>'Scope 3 Yearly'!DA112*'Yearly Demand - BTX'!S7</f>
        <v>59.953139923879043</v>
      </c>
      <c r="DB37" s="44">
        <f>'Scope 3 Yearly'!DB112*'Yearly Demand - BTX'!T7</f>
        <v>60.94356415803653</v>
      </c>
      <c r="DC37" s="44">
        <f>'Scope 3 Yearly'!DC112*'Yearly Demand - BTX'!U7</f>
        <v>61.952683117178381</v>
      </c>
      <c r="DD37" s="44">
        <f>'Scope 3 Yearly'!DD112*'Yearly Demand - BTX'!V7</f>
        <v>62.973084752996101</v>
      </c>
      <c r="DE37" s="44">
        <f>'Scope 3 Yearly'!DE112*'Yearly Demand - BTX'!W7</f>
        <v>63.989349562970126</v>
      </c>
      <c r="DF37" s="44">
        <f>'Scope 3 Yearly'!DF112*'Yearly Demand - BTX'!X7</f>
        <v>64.972213447011228</v>
      </c>
      <c r="DG37" s="44">
        <f>'Scope 3 Yearly'!DG112*'Yearly Demand - BTX'!Y7</f>
        <v>65.346977566532189</v>
      </c>
      <c r="DH37" s="44">
        <f>'Scope 3 Yearly'!DH112*'Yearly Demand - BTX'!Z7</f>
        <v>65.530913832392841</v>
      </c>
      <c r="DI37" s="44">
        <f>'Scope 3 Yearly'!DI112*'Yearly Demand - BTX'!AA7</f>
        <v>65.485863345893364</v>
      </c>
      <c r="DJ37" s="44">
        <f>'Scope 3 Yearly'!DJ112*'Yearly Demand - BTX'!AB7</f>
        <v>65.067927133481433</v>
      </c>
      <c r="DK37" s="44">
        <f>'Scope 3 Yearly'!DK112*'Yearly Demand - BTX'!AC7</f>
        <v>64.187019540756125</v>
      </c>
      <c r="DL37" s="44">
        <f>'Scope 3 Yearly'!DL112*'Yearly Demand - BTX'!AD7</f>
        <v>62.780046600703372</v>
      </c>
      <c r="DM37" s="44">
        <f>'Scope 3 Yearly'!DM112*'Yearly Demand - BTX'!AE7</f>
        <v>60.925041068629781</v>
      </c>
      <c r="DN37" s="44">
        <f>'Scope 3 Yearly'!DN112*'Yearly Demand - BTX'!AF7</f>
        <v>58.73716732903214</v>
      </c>
      <c r="DO37" s="44">
        <f>'Scope 3 Yearly'!DO112*'Yearly Demand - BTX'!AG7</f>
        <v>56.361237691404071</v>
      </c>
      <c r="DP37" s="44">
        <f>'Scope 3 Yearly'!DP112*'Yearly Demand - BTX'!AH7</f>
        <v>53.930771291470165</v>
      </c>
      <c r="DQ37" s="44">
        <f>'Scope 3 Yearly'!DQ112*'Yearly Demand - BTX'!AI7</f>
        <v>51.187145837203985</v>
      </c>
      <c r="DR37" s="44">
        <f>'Scope 3 Yearly'!DR112*'Yearly Demand - BTX'!AJ7</f>
        <v>48.49353183978063</v>
      </c>
      <c r="DS37" s="44">
        <f>'Scope 3 Yearly'!DS112*'Yearly Demand - BTX'!AK7</f>
        <v>45.968819322591827</v>
      </c>
      <c r="DT37" s="44">
        <f>'Scope 3 Yearly'!DT112*'Yearly Demand - BTX'!AL7</f>
        <v>43.600837540402637</v>
      </c>
      <c r="DU37" s="44">
        <f>'Scope 3 Yearly'!DU112*'Yearly Demand - BTX'!AM7</f>
        <v>41.360437372704723</v>
      </c>
      <c r="DV37" s="44">
        <f>'Scope 3 Yearly'!DV112*'Yearly Demand - BTX'!AN7</f>
        <v>39.18236077041243</v>
      </c>
      <c r="DW37" s="44">
        <f>'Scope 3 Yearly'!DW112*'Yearly Demand - BTX'!AO7</f>
        <v>37.086440096346642</v>
      </c>
      <c r="DX37" s="44">
        <f>'Scope 3 Yearly'!DX112*'Yearly Demand - BTX'!AP7</f>
        <v>35.046946795176794</v>
      </c>
      <c r="DY37" s="44">
        <f>'Scope 3 Yearly'!DY112*'Yearly Demand - BTX'!AQ7</f>
        <v>33.039898576728966</v>
      </c>
      <c r="DZ37" s="44">
        <f>'Scope 3 Yearly'!DZ112*'Yearly Demand - BTX'!AR7</f>
        <v>31.04294469253718</v>
      </c>
    </row>
    <row r="38" spans="1:165" x14ac:dyDescent="0.2">
      <c r="A38" t="s">
        <v>8</v>
      </c>
      <c r="C38" s="54" t="s">
        <v>415</v>
      </c>
      <c r="D38" s="44">
        <f>'Scope 3 Yearly'!D135*'Yearly BTX'!D130</f>
        <v>13.451993017407323</v>
      </c>
      <c r="E38" s="44">
        <f>'Scope 3 Yearly'!E135*'Yearly BTX'!E130</f>
        <v>13.562097772900152</v>
      </c>
      <c r="F38" s="44">
        <f>'Scope 3 Yearly'!F135*'Yearly BTX'!F130</f>
        <v>13.622361206924035</v>
      </c>
      <c r="G38" s="44">
        <f>'Scope 3 Yearly'!G135*'Yearly BTX'!G130</f>
        <v>13.696424585593359</v>
      </c>
      <c r="H38" s="44">
        <f>'Scope 3 Yearly'!H135*'Yearly BTX'!H130</f>
        <v>13.773937841102986</v>
      </c>
      <c r="I38" s="44">
        <f>'Scope 3 Yearly'!I135*'Yearly BTX'!I130</f>
        <v>13.854945977711376</v>
      </c>
      <c r="J38" s="44">
        <f>'Scope 3 Yearly'!J135*'Yearly BTX'!J130</f>
        <v>13.815790639099776</v>
      </c>
      <c r="K38" s="44">
        <f>'Scope 3 Yearly'!K135*'Yearly BTX'!K130</f>
        <v>13.773885823697068</v>
      </c>
      <c r="L38" s="44">
        <f>'Scope 3 Yearly'!L135*'Yearly BTX'!L130</f>
        <v>13.727309698295178</v>
      </c>
      <c r="M38" s="44">
        <f>'Scope 3 Yearly'!M135*'Yearly BTX'!M130</f>
        <v>13.672447280716346</v>
      </c>
      <c r="N38" s="44">
        <f>'Scope 3 Yearly'!N135*'Yearly BTX'!N130</f>
        <v>13.602854779044224</v>
      </c>
      <c r="O38" s="44">
        <f>'Scope 3 Yearly'!O135*'Yearly BTX'!O130</f>
        <v>13.236056817122046</v>
      </c>
      <c r="P38" s="44">
        <f>'Scope 3 Yearly'!P135*'Yearly BTX'!P130</f>
        <v>12.831043285679172</v>
      </c>
      <c r="Q38" s="44">
        <f>'Scope 3 Yearly'!Q135*'Yearly BTX'!Q130</f>
        <v>12.371925973772885</v>
      </c>
      <c r="R38" s="44">
        <f>'Scope 3 Yearly'!R135*'Yearly BTX'!R130</f>
        <v>11.843978440078029</v>
      </c>
      <c r="S38" s="44">
        <f>'Scope 3 Yearly'!S135*'Yearly BTX'!S130</f>
        <v>11.240064969467213</v>
      </c>
      <c r="T38" s="44">
        <f>'Scope 3 Yearly'!T135*'Yearly BTX'!T130</f>
        <v>10.556496885174054</v>
      </c>
      <c r="U38" s="44">
        <f>'Scope 3 Yearly'!U135*'Yearly BTX'!U130</f>
        <v>9.8203318777836941</v>
      </c>
      <c r="V38" s="44">
        <f>'Scope 3 Yearly'!V135*'Yearly BTX'!V130</f>
        <v>9.0609373161461537</v>
      </c>
      <c r="W38" s="44">
        <f>'Scope 3 Yearly'!W135*'Yearly BTX'!W130</f>
        <v>8.3081651346844954</v>
      </c>
      <c r="X38" s="44">
        <f>'Scope 3 Yearly'!X135*'Yearly BTX'!X130</f>
        <v>7.5853429413183466</v>
      </c>
      <c r="Y38" s="44">
        <f>'Scope 3 Yearly'!Y135*'Yearly BTX'!Y130</f>
        <v>6.7695427537917681</v>
      </c>
      <c r="Z38" s="44">
        <f>'Scope 3 Yearly'!Z135*'Yearly BTX'!Z130</f>
        <v>6.023379676797231</v>
      </c>
      <c r="AA38" s="44">
        <f>'Scope 3 Yearly'!AA135*'Yearly BTX'!AA130</f>
        <v>5.3451789455979224</v>
      </c>
      <c r="AB38" s="44">
        <f>'Scope 3 Yearly'!AB135*'Yearly BTX'!AB130</f>
        <v>4.7286690188683211</v>
      </c>
      <c r="AC38" s="44">
        <f>'Scope 3 Yearly'!AC135*'Yearly BTX'!AC130</f>
        <v>4.1666124139233851</v>
      </c>
      <c r="AD38" s="44">
        <f>'Scope 3 Yearly'!AD135*'Yearly BTX'!AD130</f>
        <v>3.6458304328745985</v>
      </c>
      <c r="AE38" s="44">
        <f>'Scope 3 Yearly'!AE135*'Yearly BTX'!AE130</f>
        <v>3.1696590971931733</v>
      </c>
      <c r="AF38" s="44">
        <f>'Scope 3 Yearly'!AF135*'Yearly BTX'!AF130</f>
        <v>2.7335261566493672</v>
      </c>
      <c r="AG38" s="44">
        <f>'Scope 3 Yearly'!AG135*'Yearly BTX'!AG130</f>
        <v>2.3338562956516915</v>
      </c>
      <c r="AH38" s="44">
        <f>'Scope 3 Yearly'!AH135*'Yearly BTX'!AH130</f>
        <v>1.9681225306056083</v>
      </c>
      <c r="AI38" s="44"/>
      <c r="AJ38" s="44">
        <f>'Scope 3 Yearly'!AJ135*'Yearly BTX'!AJ130</f>
        <v>13.451988780091693</v>
      </c>
      <c r="AK38" s="44">
        <f>'Scope 3 Yearly'!AK135*'Yearly BTX'!AK130</f>
        <v>13.63624491378653</v>
      </c>
      <c r="AL38" s="44">
        <f>'Scope 3 Yearly'!AL135*'Yearly BTX'!AL130</f>
        <v>13.778402941449972</v>
      </c>
      <c r="AM38" s="44">
        <f>'Scope 3 Yearly'!AM135*'Yearly BTX'!AM130</f>
        <v>13.93504519989758</v>
      </c>
      <c r="AN38" s="44">
        <f>'Scope 3 Yearly'!AN135*'Yearly BTX'!AN130</f>
        <v>14.098366061885461</v>
      </c>
      <c r="AO38" s="44">
        <f>'Scope 3 Yearly'!AO135*'Yearly BTX'!AO130</f>
        <v>14.268547338984892</v>
      </c>
      <c r="AP38" s="44">
        <f>'Scope 3 Yearly'!AP135*'Yearly BTX'!AP130</f>
        <v>14.324502575356203</v>
      </c>
      <c r="AQ38" s="44">
        <f>'Scope 3 Yearly'!AQ135*'Yearly BTX'!AQ130</f>
        <v>14.381206522087703</v>
      </c>
      <c r="AR38" s="44">
        <f>'Scope 3 Yearly'!AR135*'Yearly BTX'!AR130</f>
        <v>14.436757594945314</v>
      </c>
      <c r="AS38" s="44">
        <f>'Scope 3 Yearly'!AS135*'Yearly BTX'!AS130</f>
        <v>14.487386410852043</v>
      </c>
      <c r="AT38" s="44">
        <f>'Scope 3 Yearly'!AT135*'Yearly BTX'!AT130</f>
        <v>14.526162244615639</v>
      </c>
      <c r="AU38" s="44">
        <f>'Scope 3 Yearly'!AU135*'Yearly BTX'!AU130</f>
        <v>14.28234270961511</v>
      </c>
      <c r="AV38" s="44">
        <f>'Scope 3 Yearly'!AV135*'Yearly BTX'!AV130</f>
        <v>13.999795910754049</v>
      </c>
      <c r="AW38" s="44">
        <f>'Scope 3 Yearly'!AW135*'Yearly BTX'!AW130</f>
        <v>13.659720421163094</v>
      </c>
      <c r="AX38" s="44">
        <f>'Scope 3 Yearly'!AX135*'Yearly BTX'!AX130</f>
        <v>13.243009668535594</v>
      </c>
      <c r="AY38" s="44">
        <f>'Scope 3 Yearly'!AY135*'Yearly BTX'!AY130</f>
        <v>12.737903314413234</v>
      </c>
      <c r="AZ38" s="44">
        <f>'Scope 3 Yearly'!AZ135*'Yearly BTX'!AZ130</f>
        <v>12.133679249903041</v>
      </c>
      <c r="BA38" s="44">
        <f>'Scope 3 Yearly'!BA135*'Yearly BTX'!BA130</f>
        <v>11.458742381200427</v>
      </c>
      <c r="BB38" s="44">
        <f>'Scope 3 Yearly'!BB135*'Yearly BTX'!BB130</f>
        <v>10.743522656784849</v>
      </c>
      <c r="BC38" s="44">
        <f>'Scope 3 Yearly'!BC135*'Yearly BTX'!BC130</f>
        <v>10.020970072886922</v>
      </c>
      <c r="BD38" s="44">
        <f>'Scope 3 Yearly'!BD135*'Yearly BTX'!BD130</f>
        <v>9.3182781448460386</v>
      </c>
      <c r="BE38" s="44">
        <f>'Scope 3 Yearly'!BE135*'Yearly BTX'!BE130</f>
        <v>8.5148493718494862</v>
      </c>
      <c r="BF38" s="44">
        <f>'Scope 3 Yearly'!BF135*'Yearly BTX'!BF130</f>
        <v>7.7750327537360286</v>
      </c>
      <c r="BG38" s="44">
        <f>'Scope 3 Yearly'!BG135*'Yearly BTX'!BG130</f>
        <v>7.0988752557907233</v>
      </c>
      <c r="BH38" s="44">
        <f>'Scope 3 Yearly'!BH135*'Yearly BTX'!BH130</f>
        <v>6.4801850459474579</v>
      </c>
      <c r="BI38" s="44">
        <f>'Scope 3 Yearly'!BI135*'Yearly BTX'!BI130</f>
        <v>5.9121809506120462</v>
      </c>
      <c r="BJ38" s="44">
        <f>'Scope 3 Yearly'!BJ135*'Yearly BTX'!BJ130</f>
        <v>5.3811247562929889</v>
      </c>
      <c r="BK38" s="44">
        <f>'Scope 3 Yearly'!BK135*'Yearly BTX'!BK130</f>
        <v>4.8891369287876225</v>
      </c>
      <c r="BL38" s="44">
        <f>'Scope 3 Yearly'!BL135*'Yearly BTX'!BL130</f>
        <v>4.4303612418583063</v>
      </c>
      <c r="BM38" s="44">
        <f>'Scope 3 Yearly'!BM135*'Yearly BTX'!BM130</f>
        <v>3.9997492777922554</v>
      </c>
      <c r="BN38" s="44">
        <f>'Scope 3 Yearly'!BN135*'Yearly BTX'!BN130</f>
        <v>3.5931330277640328</v>
      </c>
      <c r="BO38" s="44"/>
      <c r="BP38" s="44">
        <f>'Scope 3 Yearly'!BP135*'Yearly Demand - BTX'!N8</f>
        <v>13.451983094133745</v>
      </c>
      <c r="BQ38" s="44">
        <f>'Scope 3 Yearly'!BQ135*'Yearly Demand - BTX'!O8</f>
        <v>13.947517221730131</v>
      </c>
      <c r="BR38" s="44">
        <f>'Scope 3 Yearly'!BR135*'Yearly Demand - BTX'!P8</f>
        <v>14.457762830286635</v>
      </c>
      <c r="BS38" s="44">
        <f>'Scope 3 Yearly'!BS135*'Yearly Demand - BTX'!Q8</f>
        <v>14.983057047679257</v>
      </c>
      <c r="BT38" s="44">
        <f>'Scope 3 Yearly'!BT135*'Yearly Demand - BTX'!R8</f>
        <v>15.523731172787166</v>
      </c>
      <c r="BU38" s="44">
        <f>'Scope 3 Yearly'!BU135*'Yearly Demand - BTX'!S8</f>
        <v>16.080108454496067</v>
      </c>
      <c r="BV38" s="44">
        <f>'Scope 3 Yearly'!BV135*'Yearly Demand - BTX'!T8</f>
        <v>16.521382625354544</v>
      </c>
      <c r="BW38" s="44">
        <f>'Scope 3 Yearly'!BW135*'Yearly Demand - BTX'!U8</f>
        <v>16.972536607941738</v>
      </c>
      <c r="BX38" s="44">
        <f>'Scope 3 Yearly'!BX135*'Yearly Demand - BTX'!V8</f>
        <v>17.433753481395971</v>
      </c>
      <c r="BY38" s="44">
        <f>'Scope 3 Yearly'!BY135*'Yearly Demand - BTX'!W8</f>
        <v>17.905218858604439</v>
      </c>
      <c r="BZ38" s="44">
        <f>'Scope 3 Yearly'!BZ135*'Yearly Demand - BTX'!X8</f>
        <v>18.38712085153448</v>
      </c>
      <c r="CA38" s="44">
        <f>'Scope 3 Yearly'!CA135*'Yearly Demand - BTX'!Y8</f>
        <v>18.755988422121941</v>
      </c>
      <c r="CB38" s="44">
        <f>'Scope 3 Yearly'!CB135*'Yearly Demand - BTX'!Z8</f>
        <v>19.128556231724055</v>
      </c>
      <c r="CC38" s="44">
        <f>'Scope 3 Yearly'!CC135*'Yearly Demand - BTX'!AA8</f>
        <v>19.504744691661738</v>
      </c>
      <c r="CD38" s="44">
        <f>'Scope 3 Yearly'!CD135*'Yearly Demand - BTX'!AB8</f>
        <v>19.884459184859622</v>
      </c>
      <c r="CE38" s="44">
        <f>'Scope 3 Yearly'!CE135*'Yearly Demand - BTX'!AC8</f>
        <v>20.267588312928563</v>
      </c>
      <c r="CF38" s="44">
        <f>'Scope 3 Yearly'!CF135*'Yearly Demand - BTX'!AD8</f>
        <v>20.646786630929753</v>
      </c>
      <c r="CG38" s="44">
        <f>'Scope 3 Yearly'!CG135*'Yearly Demand - BTX'!AE8</f>
        <v>21.030887650002676</v>
      </c>
      <c r="CH38" s="44">
        <f>'Scope 3 Yearly'!CH135*'Yearly Demand - BTX'!AF8</f>
        <v>21.419935770604905</v>
      </c>
      <c r="CI38" s="44">
        <f>'Scope 3 Yearly'!CI135*'Yearly Demand - BTX'!AG8</f>
        <v>21.81397533288774</v>
      </c>
      <c r="CJ38" s="44">
        <f>'Scope 3 Yearly'!CJ135*'Yearly Demand - BTX'!AH8</f>
        <v>22.213050594620071</v>
      </c>
      <c r="CK38" s="44">
        <f>'Scope 3 Yearly'!CK135*'Yearly Demand - BTX'!AI8</f>
        <v>22.496038654330984</v>
      </c>
      <c r="CL38" s="44">
        <f>'Scope 3 Yearly'!CL135*'Yearly Demand - BTX'!AJ8</f>
        <v>22.780440529222346</v>
      </c>
      <c r="CM38" s="44">
        <f>'Scope 3 Yearly'!CM135*'Yearly Demand - BTX'!AK8</f>
        <v>23.066250234533054</v>
      </c>
      <c r="CN38" s="44">
        <f>'Scope 3 Yearly'!CN135*'Yearly Demand - BTX'!AL8</f>
        <v>23.353461375116495</v>
      </c>
      <c r="CO38" s="44">
        <f>'Scope 3 Yearly'!CO135*'Yearly Demand - BTX'!AM8</f>
        <v>23.642067131441696</v>
      </c>
      <c r="CP38" s="44">
        <f>'Scope 3 Yearly'!CP135*'Yearly Demand - BTX'!AN8</f>
        <v>23.900752401512428</v>
      </c>
      <c r="CQ38" s="44">
        <f>'Scope 3 Yearly'!CQ135*'Yearly Demand - BTX'!AO8</f>
        <v>24.1601103321299</v>
      </c>
      <c r="CR38" s="44">
        <f>'Scope 3 Yearly'!CR135*'Yearly Demand - BTX'!AP8</f>
        <v>24.420129814943685</v>
      </c>
      <c r="CS38" s="44">
        <f>'Scope 3 Yearly'!CS135*'Yearly Demand - BTX'!AQ8</f>
        <v>24.680799353763636</v>
      </c>
      <c r="CT38" s="44">
        <f>'Scope 3 Yearly'!CT135*'Yearly Demand - BTX'!AR8</f>
        <v>24.942107052942738</v>
      </c>
      <c r="CV38" s="44">
        <f>'Scope 3 Yearly'!CV135*'Yearly Demand - BTX'!N8</f>
        <v>13.451990449621471</v>
      </c>
      <c r="CW38" s="44">
        <f>'Scope 3 Yearly'!CW135*'Yearly Demand - BTX'!O8</f>
        <v>13.791363689836382</v>
      </c>
      <c r="CX38" s="44">
        <f>'Scope 3 Yearly'!CX135*'Yearly Demand - BTX'!P8</f>
        <v>14.133371456077713</v>
      </c>
      <c r="CY38" s="44">
        <f>'Scope 3 Yearly'!CY135*'Yearly Demand - BTX'!Q8</f>
        <v>14.487791205998084</v>
      </c>
      <c r="CZ38" s="44">
        <f>'Scope 3 Yearly'!CZ135*'Yearly Demand - BTX'!R8</f>
        <v>14.855149003276624</v>
      </c>
      <c r="DA38" s="44">
        <f>'Scope 3 Yearly'!DA135*'Yearly Demand - BTX'!S8</f>
        <v>15.235632234852082</v>
      </c>
      <c r="DB38" s="44">
        <f>'Scope 3 Yearly'!DB135*'Yearly Demand - BTX'!T8</f>
        <v>15.50310352452944</v>
      </c>
      <c r="DC38" s="44">
        <f>'Scope 3 Yearly'!DC135*'Yearly Demand - BTX'!U8</f>
        <v>15.7779857879334</v>
      </c>
      <c r="DD38" s="44">
        <f>'Scope 3 Yearly'!DD135*'Yearly Demand - BTX'!V8</f>
        <v>16.058358177478368</v>
      </c>
      <c r="DE38" s="44">
        <f>'Scope 3 Yearly'!DE135*'Yearly Demand - BTX'!W8</f>
        <v>16.340127713194764</v>
      </c>
      <c r="DF38" s="44">
        <f>'Scope 3 Yearly'!DF135*'Yearly Demand - BTX'!X8</f>
        <v>16.615443313481013</v>
      </c>
      <c r="DG38" s="44">
        <f>'Scope 3 Yearly'!DG135*'Yearly Demand - BTX'!Y8</f>
        <v>16.737248554253412</v>
      </c>
      <c r="DH38" s="44">
        <f>'Scope 3 Yearly'!DH135*'Yearly Demand - BTX'!Z8</f>
        <v>16.809799479382097</v>
      </c>
      <c r="DI38" s="44">
        <f>'Scope 3 Yearly'!DI135*'Yearly Demand - BTX'!AA8</f>
        <v>16.821716555802478</v>
      </c>
      <c r="DJ38" s="44">
        <f>'Scope 3 Yearly'!DJ135*'Yearly Demand - BTX'!AB8</f>
        <v>16.734401864356759</v>
      </c>
      <c r="DK38" s="44">
        <f>'Scope 3 Yearly'!DK135*'Yearly Demand - BTX'!AC8</f>
        <v>16.523343450481299</v>
      </c>
      <c r="DL38" s="44">
        <f>'Scope 3 Yearly'!DL135*'Yearly Demand - BTX'!AD8</f>
        <v>16.171875651417544</v>
      </c>
      <c r="DM38" s="44">
        <f>'Scope 3 Yearly'!DM135*'Yearly Demand - BTX'!AE8</f>
        <v>15.700736145806319</v>
      </c>
      <c r="DN38" s="44">
        <f>'Scope 3 Yearly'!DN135*'Yearly Demand - BTX'!AF8</f>
        <v>15.141305360315833</v>
      </c>
      <c r="DO38" s="44">
        <f>'Scope 3 Yearly'!DO135*'Yearly Demand - BTX'!AG8</f>
        <v>14.533080036753573</v>
      </c>
      <c r="DP38" s="44">
        <f>'Scope 3 Yearly'!DP135*'Yearly Demand - BTX'!AH8</f>
        <v>13.912527590559012</v>
      </c>
      <c r="DQ38" s="44">
        <f>'Scope 3 Yearly'!DQ135*'Yearly Demand - BTX'!AI8</f>
        <v>13.214446941081855</v>
      </c>
      <c r="DR38" s="44">
        <f>'Scope 3 Yearly'!DR135*'Yearly Demand - BTX'!AJ8</f>
        <v>12.533144673297425</v>
      </c>
      <c r="DS38" s="44">
        <f>'Scope 3 Yearly'!DS135*'Yearly Demand - BTX'!AK8</f>
        <v>11.899626042133535</v>
      </c>
      <c r="DT38" s="44">
        <f>'Scope 3 Yearly'!DT135*'Yearly Demand - BTX'!AL8</f>
        <v>11.310817277059744</v>
      </c>
      <c r="DU38" s="44">
        <f>'Scope 3 Yearly'!DU135*'Yearly Demand - BTX'!AM8</f>
        <v>10.759070419793773</v>
      </c>
      <c r="DV38" s="44">
        <f>'Scope 3 Yearly'!DV135*'Yearly Demand - BTX'!AN8</f>
        <v>10.227224874224367</v>
      </c>
      <c r="DW38" s="44">
        <f>'Scope 3 Yearly'!DW135*'Yearly Demand - BTX'!AO8</f>
        <v>9.7202450023622458</v>
      </c>
      <c r="DX38" s="44">
        <f>'Scope 3 Yearly'!DX135*'Yearly Demand - BTX'!AP8</f>
        <v>9.2312495178289691</v>
      </c>
      <c r="DY38" s="44">
        <f>'Scope 3 Yearly'!DY135*'Yearly Demand - BTX'!AQ8</f>
        <v>8.7537857868073061</v>
      </c>
      <c r="DZ38" s="44">
        <f>'Scope 3 Yearly'!DZ135*'Yearly Demand - BTX'!AR8</f>
        <v>8.2817947755711128</v>
      </c>
    </row>
    <row r="39" spans="1:165" x14ac:dyDescent="0.2">
      <c r="A39" t="s">
        <v>9</v>
      </c>
      <c r="C39" s="54" t="s">
        <v>415</v>
      </c>
      <c r="D39" s="44">
        <f>'Scope 3 Yearly'!D158*'Yearly BTX'!D131</f>
        <v>48.079739964236516</v>
      </c>
      <c r="E39" s="44">
        <f>'Scope 3 Yearly'!E158*'Yearly BTX'!E131</f>
        <v>48.473949765770691</v>
      </c>
      <c r="F39" s="44">
        <f>'Scope 3 Yearly'!F158*'Yearly BTX'!F131</f>
        <v>48.69053298362752</v>
      </c>
      <c r="G39" s="44">
        <f>'Scope 3 Yearly'!G158*'Yearly BTX'!G131</f>
        <v>48.956855090756996</v>
      </c>
      <c r="H39" s="44">
        <f>'Scope 3 Yearly'!H158*'Yearly BTX'!H131</f>
        <v>49.235916353454144</v>
      </c>
      <c r="I39" s="44">
        <f>'Scope 3 Yearly'!I158*'Yearly BTX'!I131</f>
        <v>49.527876693154113</v>
      </c>
      <c r="J39" s="44">
        <f>'Scope 3 Yearly'!J158*'Yearly BTX'!J131</f>
        <v>49.390707484457323</v>
      </c>
      <c r="K39" s="44">
        <f>'Scope 3 Yearly'!K158*'Yearly BTX'!K131</f>
        <v>49.244041580548249</v>
      </c>
      <c r="L39" s="44">
        <f>'Scope 3 Yearly'!L158*'Yearly BTX'!L131</f>
        <v>49.080976217461355</v>
      </c>
      <c r="M39" s="44">
        <f>'Scope 3 Yearly'!M158*'Yearly BTX'!M131</f>
        <v>48.888536677916697</v>
      </c>
      <c r="N39" s="44">
        <f>'Scope 3 Yearly'!N158*'Yearly BTX'!N131</f>
        <v>48.64360393468742</v>
      </c>
      <c r="O39" s="44">
        <f>'Scope 3 Yearly'!O158*'Yearly BTX'!O131</f>
        <v>47.336042581447302</v>
      </c>
      <c r="P39" s="44">
        <f>'Scope 3 Yearly'!P158*'Yearly BTX'!P131</f>
        <v>45.89149722303528</v>
      </c>
      <c r="Q39" s="44">
        <f>'Scope 3 Yearly'!Q158*'Yearly BTX'!Q131</f>
        <v>44.252937370990701</v>
      </c>
      <c r="R39" s="44">
        <f>'Scope 3 Yearly'!R158*'Yearly BTX'!R131</f>
        <v>42.367493237726499</v>
      </c>
      <c r="S39" s="44">
        <f>'Scope 3 Yearly'!S158*'Yearly BTX'!S131</f>
        <v>40.209515146109005</v>
      </c>
      <c r="T39" s="44">
        <f>'Scope 3 Yearly'!T158*'Yearly BTX'!T131</f>
        <v>37.765801477458339</v>
      </c>
      <c r="U39" s="44">
        <f>'Scope 3 Yearly'!U158*'Yearly BTX'!U131</f>
        <v>35.133291013828362</v>
      </c>
      <c r="V39" s="44">
        <f>'Scope 3 Yearly'!V158*'Yearly BTX'!V131</f>
        <v>32.417277926594139</v>
      </c>
      <c r="W39" s="44">
        <f>'Scope 3 Yearly'!W158*'Yearly BTX'!W131</f>
        <v>29.724809269012077</v>
      </c>
      <c r="X39" s="44">
        <f>'Scope 3 Yearly'!X158*'Yearly BTX'!X131</f>
        <v>27.139542975773882</v>
      </c>
      <c r="Y39" s="44">
        <f>'Scope 3 Yearly'!Y158*'Yearly BTX'!Y131</f>
        <v>24.221740595308283</v>
      </c>
      <c r="Z39" s="44">
        <f>'Scope 3 Yearly'!Z158*'Yearly BTX'!Z131</f>
        <v>21.553226647529709</v>
      </c>
      <c r="AA39" s="44">
        <f>'Scope 3 Yearly'!AA158*'Yearly BTX'!AA131</f>
        <v>19.127996921191126</v>
      </c>
      <c r="AB39" s="44">
        <f>'Scope 3 Yearly'!AB158*'Yearly BTX'!AB131</f>
        <v>16.923682093580712</v>
      </c>
      <c r="AC39" s="44">
        <f>'Scope 3 Yearly'!AC158*'Yearly BTX'!AC131</f>
        <v>14.914213253499753</v>
      </c>
      <c r="AD39" s="44">
        <f>'Scope 3 Yearly'!AD158*'Yearly BTX'!AD131</f>
        <v>13.052314549756028</v>
      </c>
      <c r="AE39" s="44">
        <f>'Scope 3 Yearly'!AE158*'Yearly BTX'!AE131</f>
        <v>11.349880446295314</v>
      </c>
      <c r="AF39" s="44">
        <f>'Scope 3 Yearly'!AF158*'Yearly BTX'!AF131</f>
        <v>9.7905101464225002</v>
      </c>
      <c r="AG39" s="44">
        <f>'Scope 3 Yearly'!AG158*'Yearly BTX'!AG131</f>
        <v>8.3613780804891196</v>
      </c>
      <c r="AH39" s="44">
        <f>'Scope 3 Yearly'!AH158*'Yearly BTX'!AH131</f>
        <v>7.0534211094483998</v>
      </c>
      <c r="AI39" s="44"/>
      <c r="AJ39" s="44">
        <f>'Scope 3 Yearly'!AJ158*'Yearly BTX'!AJ131</f>
        <v>48.079724702608658</v>
      </c>
      <c r="AK39" s="44">
        <f>'Scope 3 Yearly'!AK158*'Yearly BTX'!AK131</f>
        <v>48.738960018729614</v>
      </c>
      <c r="AL39" s="44">
        <f>'Scope 3 Yearly'!AL158*'Yearly BTX'!AL131</f>
        <v>49.248254776856989</v>
      </c>
      <c r="AM39" s="44">
        <f>'Scope 3 Yearly'!AM158*'Yearly BTX'!AM131</f>
        <v>49.809756509081147</v>
      </c>
      <c r="AN39" s="44">
        <f>'Scope 3 Yearly'!AN158*'Yearly BTX'!AN131</f>
        <v>50.39556635306797</v>
      </c>
      <c r="AO39" s="44">
        <f>'Scope 3 Yearly'!AO158*'Yearly BTX'!AO131</f>
        <v>51.006341368449704</v>
      </c>
      <c r="AP39" s="44">
        <f>'Scope 3 Yearly'!AP158*'Yearly BTX'!AP131</f>
        <v>51.209218494295641</v>
      </c>
      <c r="AQ39" s="44">
        <f>'Scope 3 Yearly'!AQ158*'Yearly BTX'!AQ131</f>
        <v>51.415156308128218</v>
      </c>
      <c r="AR39" s="44">
        <f>'Scope 3 Yearly'!AR158*'Yearly BTX'!AR131</f>
        <v>51.617331280272225</v>
      </c>
      <c r="AS39" s="44">
        <f>'Scope 3 Yearly'!AS158*'Yearly BTX'!AS131</f>
        <v>51.802220670987943</v>
      </c>
      <c r="AT39" s="44">
        <f>'Scope 3 Yearly'!AT158*'Yearly BTX'!AT131</f>
        <v>51.944963114722178</v>
      </c>
      <c r="AU39" s="44">
        <f>'Scope 3 Yearly'!AU158*'Yearly BTX'!AU131</f>
        <v>51.077380203947385</v>
      </c>
      <c r="AV39" s="44">
        <f>'Scope 3 Yearly'!AV158*'Yearly BTX'!AV131</f>
        <v>50.071030684632191</v>
      </c>
      <c r="AW39" s="44">
        <f>'Scope 3 Yearly'!AW158*'Yearly BTX'!AW131</f>
        <v>48.858440427349976</v>
      </c>
      <c r="AX39" s="44">
        <f>'Scope 3 Yearly'!AX158*'Yearly BTX'!AX131</f>
        <v>47.371043652176517</v>
      </c>
      <c r="AY39" s="44">
        <f>'Scope 3 Yearly'!AY158*'Yearly BTX'!AY131</f>
        <v>45.566620707832115</v>
      </c>
      <c r="AZ39" s="44">
        <f>'Scope 3 Yearly'!AZ158*'Yearly BTX'!AZ131</f>
        <v>43.406803176209223</v>
      </c>
      <c r="BA39" s="44">
        <f>'Scope 3 Yearly'!BA158*'Yearly BTX'!BA131</f>
        <v>40.99335065756992</v>
      </c>
      <c r="BB39" s="44">
        <f>'Scope 3 Yearly'!BB158*'Yearly BTX'!BB131</f>
        <v>38.435392119454264</v>
      </c>
      <c r="BC39" s="44">
        <f>'Scope 3 Yearly'!BC158*'Yearly BTX'!BC131</f>
        <v>35.851105423235687</v>
      </c>
      <c r="BD39" s="44">
        <f>'Scope 3 Yearly'!BD158*'Yearly BTX'!BD131</f>
        <v>33.338027591455841</v>
      </c>
      <c r="BE39" s="44">
        <f>'Scope 3 Yearly'!BE158*'Yearly BTX'!BE131</f>
        <v>30.46487795880773</v>
      </c>
      <c r="BF39" s="44">
        <f>'Scope 3 Yearly'!BF158*'Yearly BTX'!BF131</f>
        <v>27.819620618560126</v>
      </c>
      <c r="BG39" s="44">
        <f>'Scope 3 Yearly'!BG158*'Yearly BTX'!BG131</f>
        <v>25.402419059594351</v>
      </c>
      <c r="BH39" s="44">
        <f>'Scope 3 Yearly'!BH158*'Yearly BTX'!BH131</f>
        <v>23.191077486094461</v>
      </c>
      <c r="BI39" s="44">
        <f>'Scope 3 Yearly'!BI158*'Yearly BTX'!BI131</f>
        <v>21.161275459426282</v>
      </c>
      <c r="BJ39" s="44">
        <f>'Scope 3 Yearly'!BJ158*'Yearly BTX'!BJ131</f>
        <v>19.263785416818983</v>
      </c>
      <c r="BK39" s="44">
        <f>'Scope 3 Yearly'!BK158*'Yearly BTX'!BK131</f>
        <v>17.506145228450883</v>
      </c>
      <c r="BL39" s="44">
        <f>'Scope 3 Yearly'!BL158*'Yearly BTX'!BL131</f>
        <v>15.86734919261314</v>
      </c>
      <c r="BM39" s="44">
        <f>'Scope 3 Yearly'!BM158*'Yearly BTX'!BM131</f>
        <v>14.329285431934229</v>
      </c>
      <c r="BN39" s="44">
        <f>'Scope 3 Yearly'!BN158*'Yearly BTX'!BN131</f>
        <v>12.876997443260876</v>
      </c>
      <c r="BO39" s="44"/>
      <c r="BP39" s="44">
        <f>'Scope 3 Yearly'!BP158*'Yearly Demand - BTX'!N9</f>
        <v>48.07970422337565</v>
      </c>
      <c r="BQ39" s="44">
        <f>'Scope 3 Yearly'!BQ158*'Yearly Demand - BTX'!O9</f>
        <v>49.850435403679683</v>
      </c>
      <c r="BR39" s="44">
        <f>'Scope 3 Yearly'!BR158*'Yearly Demand - BTX'!P9</f>
        <v>51.673750691618565</v>
      </c>
      <c r="BS39" s="44">
        <f>'Scope 3 Yearly'!BS158*'Yearly Demand - BTX'!Q9</f>
        <v>53.550855245587158</v>
      </c>
      <c r="BT39" s="44">
        <f>'Scope 3 Yearly'!BT158*'Yearly Demand - BTX'!R9</f>
        <v>55.48293355823882</v>
      </c>
      <c r="BU39" s="44">
        <f>'Scope 3 Yearly'!BU158*'Yearly Demand - BTX'!S9</f>
        <v>57.471141531258546</v>
      </c>
      <c r="BV39" s="44">
        <f>'Scope 3 Yearly'!BV158*'Yearly Demand - BTX'!T9</f>
        <v>59.047955959708567</v>
      </c>
      <c r="BW39" s="44">
        <f>'Scope 3 Yearly'!BW158*'Yearly Demand - BTX'!U9</f>
        <v>60.660074717880939</v>
      </c>
      <c r="BX39" s="44">
        <f>'Scope 3 Yearly'!BX158*'Yearly Demand - BTX'!V9</f>
        <v>62.308152053088904</v>
      </c>
      <c r="BY39" s="44">
        <f>'Scope 3 Yearly'!BY158*'Yearly Demand - BTX'!W9</f>
        <v>63.992851273028691</v>
      </c>
      <c r="BZ39" s="44">
        <f>'Scope 3 Yearly'!BZ158*'Yearly Demand - BTX'!X9</f>
        <v>65.714844622285611</v>
      </c>
      <c r="CA39" s="44">
        <f>'Scope 3 Yearly'!CA158*'Yearly Demand - BTX'!Y9</f>
        <v>67.03286616275679</v>
      </c>
      <c r="CB39" s="44">
        <f>'Scope 3 Yearly'!CB158*'Yearly Demand - BTX'!Z9</f>
        <v>68.364123444721017</v>
      </c>
      <c r="CC39" s="44">
        <f>'Scope 3 Yearly'!CC158*'Yearly Demand - BTX'!AA9</f>
        <v>69.708332613933976</v>
      </c>
      <c r="CD39" s="44">
        <f>'Scope 3 Yearly'!CD158*'Yearly Demand - BTX'!AB9</f>
        <v>71.065156221508687</v>
      </c>
      <c r="CE39" s="44">
        <f>'Scope 3 Yearly'!CE158*'Yearly Demand - BTX'!AC9</f>
        <v>72.434196967346168</v>
      </c>
      <c r="CF39" s="44">
        <f>'Scope 3 Yearly'!CF158*'Yearly Demand - BTX'!AD9</f>
        <v>73.789186860587691</v>
      </c>
      <c r="CG39" s="44">
        <f>'Scope 3 Yearly'!CG158*'Yearly Demand - BTX'!AE9</f>
        <v>75.161696046207794</v>
      </c>
      <c r="CH39" s="44">
        <f>'Scope 3 Yearly'!CH158*'Yearly Demand - BTX'!AF9</f>
        <v>76.55188322999696</v>
      </c>
      <c r="CI39" s="44">
        <f>'Scope 3 Yearly'!CI158*'Yearly Demand - BTX'!AG9</f>
        <v>77.95990690448626</v>
      </c>
      <c r="CJ39" s="44">
        <f>'Scope 3 Yearly'!CJ158*'Yearly Demand - BTX'!AH9</f>
        <v>79.385925270146899</v>
      </c>
      <c r="CK39" s="44">
        <f>'Scope 3 Yearly'!CK158*'Yearly Demand - BTX'!AI9</f>
        <v>80.39706533105182</v>
      </c>
      <c r="CL39" s="44">
        <f>'Scope 3 Yearly'!CL158*'Yearly Demand - BTX'!AJ9</f>
        <v>81.413258310351949</v>
      </c>
      <c r="CM39" s="44">
        <f>'Scope 3 Yearly'!CM158*'Yearly Demand - BTX'!AK9</f>
        <v>82.434482865846164</v>
      </c>
      <c r="CN39" s="44">
        <f>'Scope 3 Yearly'!CN158*'Yearly Demand - BTX'!AL9</f>
        <v>83.460716190190851</v>
      </c>
      <c r="CO39" s="44">
        <f>'Scope 3 Yearly'!CO158*'Yearly Demand - BTX'!AM9</f>
        <v>84.49193396091502</v>
      </c>
      <c r="CP39" s="44">
        <f>'Scope 3 Yearly'!CP158*'Yearly Demand - BTX'!AN9</f>
        <v>85.416222588791328</v>
      </c>
      <c r="CQ39" s="44">
        <f>'Scope 3 Yearly'!CQ158*'Yearly Demand - BTX'!AO9</f>
        <v>86.342916059466873</v>
      </c>
      <c r="CR39" s="44">
        <f>'Scope 3 Yearly'!CR158*'Yearly Demand - BTX'!AP9</f>
        <v>87.271974720860385</v>
      </c>
      <c r="CS39" s="44">
        <f>'Scope 3 Yearly'!CS158*'Yearly Demand - BTX'!AQ9</f>
        <v>88.203357536114865</v>
      </c>
      <c r="CT39" s="44">
        <f>'Scope 3 Yearly'!CT158*'Yearly Demand - BTX'!AR9</f>
        <v>89.137022042115461</v>
      </c>
      <c r="CV39" s="44">
        <f>'Scope 3 Yearly'!CV158*'Yearly Demand - BTX'!N9</f>
        <v>48.079730669795623</v>
      </c>
      <c r="CW39" s="44">
        <f>'Scope 3 Yearly'!CW158*'Yearly Demand - BTX'!O9</f>
        <v>49.293359309918721</v>
      </c>
      <c r="CX39" s="44">
        <f>'Scope 3 Yearly'!CX158*'Yearly Demand - BTX'!P9</f>
        <v>50.516947378696621</v>
      </c>
      <c r="CY39" s="44">
        <f>'Scope 3 Yearly'!CY158*'Yearly Demand - BTX'!Q9</f>
        <v>51.785390026431848</v>
      </c>
      <c r="CZ39" s="44">
        <f>'Scope 3 Yearly'!CZ158*'Yearly Demand - BTX'!R9</f>
        <v>53.100580898458638</v>
      </c>
      <c r="DA39" s="44">
        <f>'Scope 3 Yearly'!DA158*'Yearly Demand - BTX'!S9</f>
        <v>54.463216958249703</v>
      </c>
      <c r="DB39" s="44">
        <f>'Scope 3 Yearly'!DB158*'Yearly Demand - BTX'!T9</f>
        <v>55.422364142174921</v>
      </c>
      <c r="DC39" s="44">
        <f>'Scope 3 Yearly'!DC158*'Yearly Demand - BTX'!U9</f>
        <v>56.408511064534729</v>
      </c>
      <c r="DD39" s="44">
        <f>'Scope 3 Yearly'!DD158*'Yearly Demand - BTX'!V9</f>
        <v>57.414784112666695</v>
      </c>
      <c r="DE39" s="44">
        <f>'Scope 3 Yearly'!DE158*'Yearly Demand - BTX'!W9</f>
        <v>58.426518712170157</v>
      </c>
      <c r="DF39" s="44">
        <f>'Scope 3 Yearly'!DF158*'Yearly Demand - BTX'!X9</f>
        <v>59.415570345369751</v>
      </c>
      <c r="DG39" s="44">
        <f>'Scope 3 Yearly'!DG158*'Yearly Demand - BTX'!Y9</f>
        <v>59.856059698036049</v>
      </c>
      <c r="DH39" s="44">
        <f>'Scope 3 Yearly'!DH158*'Yearly Demand - BTX'!Z9</f>
        <v>60.120333335505009</v>
      </c>
      <c r="DI39" s="44">
        <f>'Scope 3 Yearly'!DI158*'Yearly Demand - BTX'!AA9</f>
        <v>60.167391558244887</v>
      </c>
      <c r="DJ39" s="44">
        <f>'Scope 3 Yearly'!DJ158*'Yearly Demand - BTX'!AB9</f>
        <v>59.858870156115444</v>
      </c>
      <c r="DK39" s="44">
        <f>'Scope 3 Yearly'!DK158*'Yearly Demand - BTX'!AC9</f>
        <v>59.106836730891665</v>
      </c>
      <c r="DL39" s="44">
        <f>'Scope 3 Yearly'!DL158*'Yearly Demand - BTX'!AD9</f>
        <v>57.851595543548207</v>
      </c>
      <c r="DM39" s="44">
        <f>'Scope 3 Yearly'!DM158*'Yearly Demand - BTX'!AE9</f>
        <v>56.167451274235354</v>
      </c>
      <c r="DN39" s="44">
        <f>'Scope 3 Yearly'!DN158*'Yearly Demand - BTX'!AF9</f>
        <v>54.166983732880944</v>
      </c>
      <c r="DO39" s="44">
        <f>'Scope 3 Yearly'!DO158*'Yearly Demand - BTX'!AG9</f>
        <v>51.991897378854802</v>
      </c>
      <c r="DP39" s="44">
        <f>'Scope 3 Yearly'!DP158*'Yearly Demand - BTX'!AH9</f>
        <v>49.773037238677389</v>
      </c>
      <c r="DQ39" s="44">
        <f>'Scope 3 Yearly'!DQ158*'Yearly Demand - BTX'!AI9</f>
        <v>47.277426781647172</v>
      </c>
      <c r="DR39" s="44">
        <f>'Scope 3 Yearly'!DR158*'Yearly Demand - BTX'!AJ9</f>
        <v>44.842570812255808</v>
      </c>
      <c r="DS39" s="44">
        <f>'Scope 3 Yearly'!DS158*'Yearly Demand - BTX'!AK9</f>
        <v>42.579455787736848</v>
      </c>
      <c r="DT39" s="44">
        <f>'Scope 3 Yearly'!DT158*'Yearly Demand - BTX'!AL9</f>
        <v>40.477097468900553</v>
      </c>
      <c r="DU39" s="44">
        <f>'Scope 3 Yearly'!DU158*'Yearly Demand - BTX'!AM9</f>
        <v>38.508110627664962</v>
      </c>
      <c r="DV39" s="44">
        <f>'Scope 3 Yearly'!DV158*'Yearly Demand - BTX'!AN9</f>
        <v>36.611040770123104</v>
      </c>
      <c r="DW39" s="44">
        <f>'Scope 3 Yearly'!DW158*'Yearly Demand - BTX'!AO9</f>
        <v>34.803619717912362</v>
      </c>
      <c r="DX39" s="44">
        <f>'Scope 3 Yearly'!DX158*'Yearly Demand - BTX'!AP9</f>
        <v>33.061183313638765</v>
      </c>
      <c r="DY39" s="44">
        <f>'Scope 3 Yearly'!DY158*'Yearly Demand - BTX'!AQ9</f>
        <v>31.360596831116627</v>
      </c>
      <c r="DZ39" s="44">
        <f>'Scope 3 Yearly'!DZ158*'Yearly Demand - BTX'!AR9</f>
        <v>29.680128547036929</v>
      </c>
    </row>
    <row r="40" spans="1:165" ht="16" thickBot="1" x14ac:dyDescent="0.25">
      <c r="A40" t="s">
        <v>10</v>
      </c>
      <c r="C40" s="54" t="s">
        <v>415</v>
      </c>
      <c r="D40" s="44">
        <f>'Scope 3 Yearly'!D181*'Yearly Butadiene'!D76</f>
        <v>14.735472933865545</v>
      </c>
      <c r="E40" s="44">
        <f>'Scope 3 Yearly'!E181*'Yearly Butadiene'!E76</f>
        <v>14.95283302343352</v>
      </c>
      <c r="F40" s="44">
        <f>'Scope 3 Yearly'!F181*'Yearly Butadiene'!F76</f>
        <v>15.175379086016266</v>
      </c>
      <c r="G40" s="44">
        <f>'Scope 3 Yearly'!G181*'Yearly Butadiene'!G76</f>
        <v>15.403321018825544</v>
      </c>
      <c r="H40" s="44">
        <f>'Scope 3 Yearly'!H181*'Yearly Butadiene'!H76</f>
        <v>15.636814382006774</v>
      </c>
      <c r="I40" s="44">
        <f>'Scope 3 Yearly'!I181*'Yearly Butadiene'!I76</f>
        <v>15.875862490211734</v>
      </c>
      <c r="J40" s="44">
        <f>'Scope 3 Yearly'!J181*'Yearly Butadiene'!J76</f>
        <v>16.093490745593201</v>
      </c>
      <c r="K40" s="44">
        <f>'Scope 3 Yearly'!K181*'Yearly Butadiene'!K76</f>
        <v>16.31196194318262</v>
      </c>
      <c r="L40" s="44">
        <f>'Scope 3 Yearly'!L181*'Yearly Butadiene'!L76</f>
        <v>16.52831722452601</v>
      </c>
      <c r="M40" s="44">
        <f>'Scope 3 Yearly'!M181*'Yearly Butadiene'!M76</f>
        <v>16.737015949254381</v>
      </c>
      <c r="N40" s="44">
        <f>'Scope 3 Yearly'!N181*'Yearly Butadiene'!N76</f>
        <v>16.931550035481646</v>
      </c>
      <c r="O40" s="44">
        <f>'Scope 3 Yearly'!O181*'Yearly Butadiene'!O76</f>
        <v>16.934855585668011</v>
      </c>
      <c r="P40" s="44">
        <f>'Scope 3 Yearly'!P181*'Yearly Butadiene'!P76</f>
        <v>16.882402050310567</v>
      </c>
      <c r="Q40" s="44">
        <f>'Scope 3 Yearly'!Q181*'Yearly Butadiene'!Q76</f>
        <v>16.750568353189124</v>
      </c>
      <c r="R40" s="44">
        <f>'Scope 3 Yearly'!R181*'Yearly Butadiene'!R76</f>
        <v>16.499948144550032</v>
      </c>
      <c r="S40" s="44">
        <f>'Scope 3 Yearly'!S181*'Yearly Butadiene'!S76</f>
        <v>16.108273430800626</v>
      </c>
      <c r="T40" s="44">
        <f>'Scope 3 Yearly'!T181*'Yearly Butadiene'!T76</f>
        <v>15.407762241841045</v>
      </c>
      <c r="U40" s="44">
        <f>'Scope 3 Yearly'!U181*'Yearly Butadiene'!U76</f>
        <v>14.594000201138543</v>
      </c>
      <c r="V40" s="44">
        <f>'Scope 3 Yearly'!V181*'Yearly Butadiene'!V76</f>
        <v>13.709593969631856</v>
      </c>
      <c r="W40" s="44">
        <f>'Scope 3 Yearly'!W181*'Yearly Butadiene'!W76</f>
        <v>12.801857484242241</v>
      </c>
      <c r="X40" s="44">
        <f>'Scope 3 Yearly'!X181*'Yearly Butadiene'!X76</f>
        <v>12.016319901563518</v>
      </c>
      <c r="Y40" s="44">
        <f>'Scope 3 Yearly'!Y181*'Yearly Butadiene'!Y76</f>
        <v>10.927672664302492</v>
      </c>
      <c r="Z40" s="44">
        <f>'Scope 3 Yearly'!Z181*'Yearly Butadiene'!Z76</f>
        <v>10.014542903780015</v>
      </c>
      <c r="AA40" s="44">
        <f>'Scope 3 Yearly'!AA181*'Yearly Butadiene'!AA76</f>
        <v>9.1919757464708134</v>
      </c>
      <c r="AB40" s="44">
        <f>'Scope 3 Yearly'!AB181*'Yearly Butadiene'!AB76</f>
        <v>8.4325401139470291</v>
      </c>
      <c r="AC40" s="44">
        <f>'Scope 3 Yearly'!AC181*'Yearly Butadiene'!AC76</f>
        <v>7.7280985765122505</v>
      </c>
      <c r="AD40" s="44">
        <f>'Scope 3 Yearly'!AD181*'Yearly Butadiene'!AD76</f>
        <v>7.0636614280508612</v>
      </c>
      <c r="AE40" s="44">
        <f>'Scope 3 Yearly'!AE181*'Yearly Butadiene'!AE76</f>
        <v>6.4386720865435052</v>
      </c>
      <c r="AF40" s="44">
        <f>'Scope 3 Yearly'!AF181*'Yearly Butadiene'!AF76</f>
        <v>5.8468353126357071</v>
      </c>
      <c r="AG40" s="44">
        <f>'Scope 3 Yearly'!AG181*'Yearly Butadiene'!AG76</f>
        <v>5.2836000066707109</v>
      </c>
      <c r="AH40" s="44">
        <f>'Scope 3 Yearly'!AH181*'Yearly Butadiene'!AH76</f>
        <v>4.8898746864219111</v>
      </c>
      <c r="AI40" s="44"/>
      <c r="AJ40" s="44">
        <f>'Scope 3 Yearly'!AJ181*'Yearly Butadiene'!AJ76</f>
        <v>14.735472933865545</v>
      </c>
      <c r="AK40" s="44">
        <f>'Scope 3 Yearly'!AK181*'Yearly Butadiene'!AK76</f>
        <v>15.014008890184313</v>
      </c>
      <c r="AL40" s="44">
        <f>'Scope 3 Yearly'!AL181*'Yearly Butadiene'!AL76</f>
        <v>15.30065739805292</v>
      </c>
      <c r="AM40" s="44">
        <f>'Scope 3 Yearly'!AM181*'Yearly Butadiene'!AM76</f>
        <v>15.595772877710964</v>
      </c>
      <c r="AN40" s="44">
        <f>'Scope 3 Yearly'!AN181*'Yearly Butadiene'!AN76</f>
        <v>15.899657719047559</v>
      </c>
      <c r="AO40" s="44">
        <f>'Scope 3 Yearly'!AO181*'Yearly Butadiene'!AO76</f>
        <v>16.212460790260248</v>
      </c>
      <c r="AP40" s="44">
        <f>'Scope 3 Yearly'!AP181*'Yearly Butadiene'!AP76</f>
        <v>16.508594638155799</v>
      </c>
      <c r="AQ40" s="44">
        <f>'Scope 3 Yearly'!AQ181*'Yearly Butadiene'!AQ76</f>
        <v>16.809438859726047</v>
      </c>
      <c r="AR40" s="44">
        <f>'Scope 3 Yearly'!AR181*'Yearly Butadiene'!AR76</f>
        <v>17.112104410600274</v>
      </c>
      <c r="AS40" s="44">
        <f>'Scope 3 Yearly'!AS181*'Yearly Butadiene'!AS76</f>
        <v>17.410967159594694</v>
      </c>
      <c r="AT40" s="44">
        <f>'Scope 3 Yearly'!AT181*'Yearly Butadiene'!AT76</f>
        <v>17.69919950715947</v>
      </c>
      <c r="AU40" s="44">
        <f>'Scope 3 Yearly'!AU181*'Yearly Butadiene'!AU76</f>
        <v>17.84664957578148</v>
      </c>
      <c r="AV40" s="44">
        <f>'Scope 3 Yearly'!AV181*'Yearly Butadiene'!AV76</f>
        <v>17.939442384980346</v>
      </c>
      <c r="AW40" s="44">
        <f>'Scope 3 Yearly'!AW181*'Yearly Butadiene'!AW76</f>
        <v>17.94809170337221</v>
      </c>
      <c r="AX40" s="44">
        <f>'Scope 3 Yearly'!AX181*'Yearly Butadiene'!AX76</f>
        <v>17.830407358970081</v>
      </c>
      <c r="AY40" s="44">
        <f>'Scope 3 Yearly'!AY181*'Yearly Butadiene'!AY76</f>
        <v>17.558786945420998</v>
      </c>
      <c r="AZ40" s="44">
        <f>'Scope 3 Yearly'!AZ181*'Yearly Butadiene'!AZ76</f>
        <v>16.950664212483208</v>
      </c>
      <c r="BA40" s="44">
        <f>'Scope 3 Yearly'!BA181*'Yearly Butadiene'!BA76</f>
        <v>16.208964627851003</v>
      </c>
      <c r="BB40" s="44">
        <f>'Scope 3 Yearly'!BB181*'Yearly Butadiene'!BB76</f>
        <v>15.377196389342791</v>
      </c>
      <c r="BC40" s="44">
        <f>'Scope 3 Yearly'!BC181*'Yearly Butadiene'!BC76</f>
        <v>14.50578356645743</v>
      </c>
      <c r="BD40" s="44">
        <f>'Scope 3 Yearly'!BD181*'Yearly Butadiene'!BD76</f>
        <v>13.751875650452165</v>
      </c>
      <c r="BE40" s="44">
        <f>'Scope 3 Yearly'!BE181*'Yearly Butadiene'!BE76</f>
        <v>12.730995794041611</v>
      </c>
      <c r="BF40" s="44">
        <f>'Scope 3 Yearly'!BF181*'Yearly Butadiene'!BF76</f>
        <v>11.88131169389124</v>
      </c>
      <c r="BG40" s="44">
        <f>'Scope 3 Yearly'!BG181*'Yearly Butadiene'!BG76</f>
        <v>11.108049486614211</v>
      </c>
      <c r="BH40" s="44">
        <f>'Scope 3 Yearly'!BH181*'Yearly Butadiene'!BH76</f>
        <v>10.389553137364018</v>
      </c>
      <c r="BI40" s="44">
        <f>'Scope 3 Yearly'!BI181*'Yearly Butadiene'!BI76</f>
        <v>9.7178290650912125</v>
      </c>
      <c r="BJ40" s="44">
        <f>'Scope 3 Yearly'!BJ181*'Yearly Butadiene'!BJ76</f>
        <v>9.0768998900130295</v>
      </c>
      <c r="BK40" s="44">
        <f>'Scope 3 Yearly'!BK181*'Yearly Butadiene'!BK76</f>
        <v>8.4658997758165526</v>
      </c>
      <c r="BL40" s="44">
        <f>'Scope 3 Yearly'!BL181*'Yearly Butadiene'!BL76</f>
        <v>7.8774982167422962</v>
      </c>
      <c r="BM40" s="44">
        <f>'Scope 3 Yearly'!BM181*'Yearly Butadiene'!BM76</f>
        <v>7.3060516765446906</v>
      </c>
      <c r="BN40" s="44">
        <f>'Scope 3 Yearly'!BN181*'Yearly Butadiene'!BN76</f>
        <v>6.9094880851456049</v>
      </c>
      <c r="BO40" s="44"/>
      <c r="BP40" s="44">
        <f>'Scope 3 Yearly'!BP181*'Yearly Butadiene'!D4</f>
        <v>14.735472933865545</v>
      </c>
      <c r="BQ40" s="44">
        <f>'Scope 3 Yearly'!BQ181*'Yearly Butadiene'!E4</f>
        <v>15.29532762252926</v>
      </c>
      <c r="BR40" s="44">
        <f>'Scope 3 Yearly'!BR181*'Yearly Butadiene'!F4</f>
        <v>15.873364004479576</v>
      </c>
      <c r="BS40" s="44">
        <f>'Scope 3 Yearly'!BS181*'Yearly Butadiene'!G4</f>
        <v>16.470095801341042</v>
      </c>
      <c r="BT40" s="44">
        <f>'Scope 3 Yearly'!BT181*'Yearly Butadiene'!H4</f>
        <v>17.086043094380727</v>
      </c>
      <c r="BU40" s="44">
        <f>'Scope 3 Yearly'!BU181*'Yearly Butadiene'!I4</f>
        <v>17.721731269922113</v>
      </c>
      <c r="BV40" s="44">
        <f>'Scope 3 Yearly'!BV181*'Yearly Butadiene'!J4</f>
        <v>18.354289613314073</v>
      </c>
      <c r="BW40" s="44">
        <f>'Scope 3 Yearly'!BW181*'Yearly Butadiene'!K4</f>
        <v>19.007008319121962</v>
      </c>
      <c r="BX40" s="44">
        <f>'Scope 3 Yearly'!BX181*'Yearly Butadiene'!L4</f>
        <v>19.680480062770371</v>
      </c>
      <c r="BY40" s="44">
        <f>'Scope 3 Yearly'!BY181*'Yearly Butadiene'!M4</f>
        <v>20.375313725485256</v>
      </c>
      <c r="BZ40" s="44">
        <f>'Scope 3 Yearly'!BZ181*'Yearly Butadiene'!N4</f>
        <v>21.092134776208542</v>
      </c>
      <c r="CA40" s="44">
        <f>'Scope 3 Yearly'!CA181*'Yearly Butadiene'!O4</f>
        <v>21.768689106879201</v>
      </c>
      <c r="CB40" s="44">
        <f>'Scope 3 Yearly'!CB181*'Yearly Butadiene'!P4</f>
        <v>22.463479900776964</v>
      </c>
      <c r="CC40" s="44">
        <f>'Scope 3 Yearly'!CC181*'Yearly Butadiene'!Q4</f>
        <v>23.176892191906969</v>
      </c>
      <c r="CD40" s="44">
        <f>'Scope 3 Yearly'!CD181*'Yearly Butadiene'!R4</f>
        <v>23.909308912844793</v>
      </c>
      <c r="CE40" s="44">
        <f>'Scope 3 Yearly'!CE181*'Yearly Butadiene'!S4</f>
        <v>24.661109358035819</v>
      </c>
      <c r="CF40" s="44">
        <f>'Scope 3 Yearly'!CF181*'Yearly Butadiene'!T4</f>
        <v>25.193797929681029</v>
      </c>
      <c r="CG40" s="44">
        <f>'Scope 3 Yearly'!CG181*'Yearly Butadiene'!U4</f>
        <v>25.735373402250062</v>
      </c>
      <c r="CH40" s="44">
        <f>'Scope 3 Yearly'!CH181*'Yearly Butadiene'!V4</f>
        <v>26.2859616616369</v>
      </c>
      <c r="CI40" s="44">
        <f>'Scope 3 Yearly'!CI181*'Yearly Butadiene'!W4</f>
        <v>26.845689978901042</v>
      </c>
      <c r="CJ40" s="44">
        <f>'Scope 3 Yearly'!CJ181*'Yearly Butadiene'!X4</f>
        <v>27.414687011779375</v>
      </c>
      <c r="CK40" s="44">
        <f>'Scope 3 Yearly'!CK181*'Yearly Butadiene'!Y4</f>
        <v>27.968142148170688</v>
      </c>
      <c r="CL40" s="44">
        <f>'Scope 3 Yearly'!CL181*'Yearly Butadiene'!Z4</f>
        <v>28.530112011528374</v>
      </c>
      <c r="CM40" s="44">
        <f>'Scope 3 Yearly'!CM181*'Yearly Butadiene'!AA4</f>
        <v>29.100705943089817</v>
      </c>
      <c r="CN40" s="44">
        <f>'Scope 3 Yearly'!CN181*'Yearly Butadiene'!AB4</f>
        <v>29.680034292309507</v>
      </c>
      <c r="CO40" s="44">
        <f>'Scope 3 Yearly'!CO181*'Yearly Butadiene'!AC4</f>
        <v>30.268208412255003</v>
      </c>
      <c r="CP40" s="44">
        <f>'Scope 3 Yearly'!CP181*'Yearly Butadiene'!AD4</f>
        <v>30.846027332335712</v>
      </c>
      <c r="CQ40" s="44">
        <f>'Scope 3 Yearly'!CQ181*'Yearly Butadiene'!AE4</f>
        <v>31.4321809448188</v>
      </c>
      <c r="CR40" s="44">
        <f>'Scope 3 Yearly'!CR181*'Yearly Butadiene'!AF4</f>
        <v>32.026767966460888</v>
      </c>
      <c r="CS40" s="44">
        <f>'Scope 3 Yearly'!CS181*'Yearly Butadiene'!AG4</f>
        <v>32.629887877040552</v>
      </c>
      <c r="CT40" s="44">
        <f>'Scope 3 Yearly'!CT181*'Yearly Butadiene'!AH4</f>
        <v>33.241640910776709</v>
      </c>
      <c r="CV40" s="44">
        <f>'Scope 3 Yearly'!CV181*'Yearly Butadiene'!D4</f>
        <v>14.735472933865545</v>
      </c>
      <c r="CW40" s="44">
        <f>'Scope 3 Yearly'!CW181*'Yearly Butadiene'!E4</f>
        <v>15.131187741314385</v>
      </c>
      <c r="CX40" s="44">
        <f>'Scope 3 Yearly'!CX181*'Yearly Butadiene'!F4</f>
        <v>15.542067535368231</v>
      </c>
      <c r="CY40" s="44">
        <f>'Scope 3 Yearly'!CY181*'Yearly Butadiene'!G4</f>
        <v>15.96854640200722</v>
      </c>
      <c r="CZ40" s="44">
        <f>'Scope 3 Yearly'!CZ181*'Yearly Butadiene'!H4</f>
        <v>16.410988999513336</v>
      </c>
      <c r="DA40" s="44">
        <f>'Scope 3 Yearly'!DA181*'Yearly Butadiene'!I4</f>
        <v>16.869591279582959</v>
      </c>
      <c r="DB40" s="44">
        <f>'Scope 3 Yearly'!DB181*'Yearly Butadiene'!J4</f>
        <v>17.321622665428137</v>
      </c>
      <c r="DC40" s="44">
        <f>'Scope 3 Yearly'!DC181*'Yearly Butadiene'!K4</f>
        <v>17.787115636360301</v>
      </c>
      <c r="DD40" s="44">
        <f>'Scope 3 Yearly'!DD181*'Yearly Butadiene'!L4</f>
        <v>18.263427924229887</v>
      </c>
      <c r="DE40" s="44">
        <f>'Scope 3 Yearly'!DE181*'Yearly Butadiene'!M4</f>
        <v>18.74498300998097</v>
      </c>
      <c r="DF40" s="44">
        <f>'Scope 3 Yearly'!DF181*'Yearly Butadiene'!N4</f>
        <v>19.221133335410631</v>
      </c>
      <c r="DG40" s="44">
        <f>'Scope 3 Yearly'!DG181*'Yearly Butadiene'!O4</f>
        <v>19.653646065999624</v>
      </c>
      <c r="DH40" s="44">
        <f>'Scope 3 Yearly'!DH181*'Yearly Butadiene'!P4</f>
        <v>20.028959046259818</v>
      </c>
      <c r="DI40" s="44">
        <f>'Scope 3 Yearly'!DI181*'Yearly Butadiene'!Q4</f>
        <v>20.328656466415115</v>
      </c>
      <c r="DJ40" s="44">
        <f>'Scope 3 Yearly'!DJ181*'Yearly Butadiene'!R4</f>
        <v>20.497130652778669</v>
      </c>
      <c r="DK40" s="44">
        <f>'Scope 3 Yearly'!DK181*'Yearly Butadiene'!S4</f>
        <v>20.495822891076912</v>
      </c>
      <c r="DL40" s="44">
        <f>'Scope 3 Yearly'!DL181*'Yearly Butadiene'!T4</f>
        <v>20.114534819064602</v>
      </c>
      <c r="DM40" s="44">
        <f>'Scope 3 Yearly'!DM181*'Yearly Butadiene'!U4</f>
        <v>19.565020506823672</v>
      </c>
      <c r="DN40" s="44">
        <f>'Scope 3 Yearly'!DN181*'Yearly Butadiene'!V4</f>
        <v>18.888963313322222</v>
      </c>
      <c r="DO40" s="44">
        <f>'Scope 3 Yearly'!DO181*'Yearly Butadiene'!W4</f>
        <v>18.13995398504942</v>
      </c>
      <c r="DP40" s="44">
        <f>'Scope 3 Yearly'!DP181*'Yearly Butadiene'!X4</f>
        <v>17.36814999956534</v>
      </c>
      <c r="DQ40" s="44">
        <f>'Scope 3 Yearly'!DQ181*'Yearly Butadiene'!Y4</f>
        <v>16.669942841194654</v>
      </c>
      <c r="DR40" s="44">
        <f>'Scope 3 Yearly'!DR181*'Yearly Butadiene'!Z4</f>
        <v>15.978574655961168</v>
      </c>
      <c r="DS40" s="44">
        <f>'Scope 3 Yearly'!DS181*'Yearly Butadiene'!AA4</f>
        <v>15.340092799626845</v>
      </c>
      <c r="DT40" s="44">
        <f>'Scope 3 Yearly'!DT181*'Yearly Butadiene'!AB4</f>
        <v>14.745110271297474</v>
      </c>
      <c r="DU40" s="44">
        <f>'Scope 3 Yearly'!DU181*'Yearly Butadiene'!AC4</f>
        <v>14.183546472480245</v>
      </c>
      <c r="DV40" s="44">
        <f>'Scope 3 Yearly'!DV181*'Yearly Butadiene'!AD4</f>
        <v>13.636535904461429</v>
      </c>
      <c r="DW40" s="44">
        <f>'Scope 3 Yearly'!DW181*'Yearly Butadiene'!AE4</f>
        <v>13.103227318211067</v>
      </c>
      <c r="DX40" s="44">
        <f>'Scope 3 Yearly'!DX181*'Yearly Butadiene'!AF4</f>
        <v>12.573938651695098</v>
      </c>
      <c r="DY40" s="44">
        <f>'Scope 3 Yearly'!DY181*'Yearly Butadiene'!AG4</f>
        <v>12.039831880454104</v>
      </c>
      <c r="DZ40" s="44">
        <f>'Scope 3 Yearly'!DZ181*'Yearly Butadiene'!AH4</f>
        <v>11.492785322752633</v>
      </c>
    </row>
    <row r="41" spans="1:165" s="488" customFormat="1" ht="16" thickBot="1" x14ac:dyDescent="0.25">
      <c r="A41" s="185" t="s">
        <v>67</v>
      </c>
      <c r="C41" s="639" t="s">
        <v>415</v>
      </c>
      <c r="D41" s="640">
        <f>SUM(D33:D40)</f>
        <v>940.33732731016346</v>
      </c>
      <c r="E41" s="640">
        <f t="shared" ref="E41:AH41" si="39">SUM(E33:E40)</f>
        <v>948.26264989173819</v>
      </c>
      <c r="F41" s="640">
        <f t="shared" si="39"/>
        <v>951.28620680560073</v>
      </c>
      <c r="G41" s="640">
        <f t="shared" si="39"/>
        <v>953.98910364820972</v>
      </c>
      <c r="H41" s="640">
        <f t="shared" si="39"/>
        <v>956.54471569068767</v>
      </c>
      <c r="I41" s="640">
        <f t="shared" si="39"/>
        <v>958.87624506403688</v>
      </c>
      <c r="J41" s="640">
        <f t="shared" si="39"/>
        <v>952.39166204239916</v>
      </c>
      <c r="K41" s="640">
        <f t="shared" si="39"/>
        <v>945.50249048092303</v>
      </c>
      <c r="L41" s="640">
        <f t="shared" si="39"/>
        <v>938.17876189834112</v>
      </c>
      <c r="M41" s="640">
        <f t="shared" si="39"/>
        <v>930.19684641745232</v>
      </c>
      <c r="N41" s="640">
        <f t="shared" si="39"/>
        <v>921.18239349841133</v>
      </c>
      <c r="O41" s="640">
        <f t="shared" si="39"/>
        <v>899.13583353270531</v>
      </c>
      <c r="P41" s="640">
        <f t="shared" si="39"/>
        <v>875.17410213595701</v>
      </c>
      <c r="Q41" s="640">
        <f t="shared" si="39"/>
        <v>848.129522849316</v>
      </c>
      <c r="R41" s="640">
        <f t="shared" si="39"/>
        <v>817.69189829199843</v>
      </c>
      <c r="S41" s="640">
        <f t="shared" si="39"/>
        <v>783.78955837375383</v>
      </c>
      <c r="T41" s="640">
        <f t="shared" si="39"/>
        <v>746.37123233093519</v>
      </c>
      <c r="U41" s="640">
        <f t="shared" si="39"/>
        <v>707.05683208913058</v>
      </c>
      <c r="V41" s="640">
        <f t="shared" si="39"/>
        <v>667.33842977896188</v>
      </c>
      <c r="W41" s="640">
        <f t="shared" si="39"/>
        <v>628.54855402446151</v>
      </c>
      <c r="X41" s="640">
        <f t="shared" si="39"/>
        <v>591.68146699276247</v>
      </c>
      <c r="Y41" s="640">
        <f t="shared" si="39"/>
        <v>552.51036420567868</v>
      </c>
      <c r="Z41" s="640">
        <f t="shared" si="39"/>
        <v>516.92750083339808</v>
      </c>
      <c r="AA41" s="640">
        <f t="shared" si="39"/>
        <v>484.0194191013735</v>
      </c>
      <c r="AB41" s="640">
        <f t="shared" si="39"/>
        <v>453.43392913941938</v>
      </c>
      <c r="AC41" s="640">
        <f t="shared" si="39"/>
        <v>424.85646665980551</v>
      </c>
      <c r="AD41" s="640">
        <f t="shared" si="39"/>
        <v>397.83477591876726</v>
      </c>
      <c r="AE41" s="640">
        <f t="shared" si="39"/>
        <v>372.2356379680765</v>
      </c>
      <c r="AF41" s="640">
        <f t="shared" si="39"/>
        <v>348.16632910749541</v>
      </c>
      <c r="AG41" s="640">
        <f t="shared" si="39"/>
        <v>325.16178792272052</v>
      </c>
      <c r="AH41" s="640">
        <f t="shared" si="39"/>
        <v>302.17535344110661</v>
      </c>
      <c r="AI41" s="640"/>
      <c r="AJ41" s="640">
        <f t="shared" ref="AJ41" si="40">SUM(AJ33:AJ40)</f>
        <v>940.33716341160437</v>
      </c>
      <c r="AK41" s="640">
        <f t="shared" ref="AK41" si="41">SUM(AK33:AK40)</f>
        <v>951.61577901755618</v>
      </c>
      <c r="AL41" s="640">
        <f t="shared" ref="AL41" si="42">SUM(AL33:AL40)</f>
        <v>959.12244176501713</v>
      </c>
      <c r="AM41" s="640">
        <f t="shared" ref="AM41" si="43">SUM(AM33:AM40)</f>
        <v>966.41141428796959</v>
      </c>
      <c r="AN41" s="640">
        <f t="shared" ref="AN41" si="44">SUM(AN33:AN40)</f>
        <v>973.68057249700496</v>
      </c>
      <c r="AO41" s="640">
        <f t="shared" ref="AO41" si="45">SUM(AO33:AO40)</f>
        <v>980.85249183352062</v>
      </c>
      <c r="AP41" s="640">
        <f t="shared" ref="AP41" si="46">SUM(AP33:AP40)</f>
        <v>981.56621214718064</v>
      </c>
      <c r="AQ41" s="640">
        <f t="shared" ref="AQ41" si="47">SUM(AQ33:AQ40)</f>
        <v>981.98666957616422</v>
      </c>
      <c r="AR41" s="640">
        <f t="shared" ref="AR41" si="48">SUM(AR33:AR40)</f>
        <v>982.07951426271222</v>
      </c>
      <c r="AS41" s="640">
        <f t="shared" ref="AS41" si="49">SUM(AS33:AS40)</f>
        <v>981.60401745674403</v>
      </c>
      <c r="AT41" s="640">
        <f t="shared" ref="AT41" si="50">SUM(AT33:AT40)</f>
        <v>980.15627565315219</v>
      </c>
      <c r="AU41" s="640">
        <f t="shared" ref="AU41" si="51">SUM(AU33:AU40)</f>
        <v>966.15473206118418</v>
      </c>
      <c r="AV41" s="640">
        <f t="shared" ref="AV41" si="52">SUM(AV33:AV40)</f>
        <v>950.08664401392321</v>
      </c>
      <c r="AW41" s="640">
        <f t="shared" ref="AW41" si="53">SUM(AW33:AW40)</f>
        <v>930.79781489364325</v>
      </c>
      <c r="AX41" s="640">
        <f t="shared" ref="AX41" si="54">SUM(AX33:AX40)</f>
        <v>907.75863512378032</v>
      </c>
      <c r="AY41" s="640">
        <f t="shared" ref="AY41" si="55">SUM(AY33:AY40)</f>
        <v>880.75084840075624</v>
      </c>
      <c r="AZ41" s="640">
        <f t="shared" ref="AZ41" si="56">SUM(AZ33:AZ40)</f>
        <v>849.5302123118397</v>
      </c>
      <c r="BA41" s="640">
        <f t="shared" ref="BA41" si="57">SUM(BA33:BA40)</f>
        <v>815.7708655377794</v>
      </c>
      <c r="BB41" s="640">
        <f t="shared" ref="BB41" si="58">SUM(BB33:BB40)</f>
        <v>781.0487822562211</v>
      </c>
      <c r="BC41" s="640">
        <f t="shared" ref="BC41" si="59">SUM(BC33:BC40)</f>
        <v>746.83942244974719</v>
      </c>
      <c r="BD41" s="640">
        <f t="shared" ref="BD41" si="60">SUM(BD33:BD40)</f>
        <v>714.29814417647208</v>
      </c>
      <c r="BE41" s="640">
        <f t="shared" ref="BE41" si="61">SUM(BE33:BE40)</f>
        <v>679.59567822030112</v>
      </c>
      <c r="BF41" s="640">
        <f t="shared" ref="BF41" si="62">SUM(BF33:BF40)</f>
        <v>648.20582626196995</v>
      </c>
      <c r="BG41" s="640">
        <f t="shared" ref="BG41" si="63">SUM(BG33:BG40)</f>
        <v>619.42913184956228</v>
      </c>
      <c r="BH41" s="640">
        <f t="shared" ref="BH41" si="64">SUM(BH33:BH40)</f>
        <v>592.91955425272704</v>
      </c>
      <c r="BI41" s="640">
        <f t="shared" ref="BI41" si="65">SUM(BI33:BI40)</f>
        <v>568.34430341915208</v>
      </c>
      <c r="BJ41" s="640">
        <f t="shared" ref="BJ41" si="66">SUM(BJ33:BJ40)</f>
        <v>545.26690101249869</v>
      </c>
      <c r="BK41" s="640">
        <f t="shared" ref="BK41" si="67">SUM(BK33:BK40)</f>
        <v>523.45812596922553</v>
      </c>
      <c r="BL41" s="640">
        <f t="shared" ref="BL41" si="68">SUM(BL33:BL40)</f>
        <v>502.69116364114421</v>
      </c>
      <c r="BM41" s="640">
        <f t="shared" ref="BM41" si="69">SUM(BM33:BM40)</f>
        <v>482.77321596837368</v>
      </c>
      <c r="BN41" s="640">
        <f t="shared" ref="BN41" si="70">SUM(BN33:BN40)</f>
        <v>463.8030271415725</v>
      </c>
      <c r="BO41" s="640"/>
      <c r="BP41" s="640">
        <f t="shared" ref="BP41" si="71">SUM(BP33:BP40)</f>
        <v>940.33998514913048</v>
      </c>
      <c r="BQ41" s="640">
        <f t="shared" ref="BQ41" si="72">SUM(BQ33:BQ40)</f>
        <v>982.2616745657507</v>
      </c>
      <c r="BR41" s="640">
        <f t="shared" ref="BR41" si="73">SUM(BR33:BR40)</f>
        <v>1021.9419457435739</v>
      </c>
      <c r="BS41" s="640">
        <f t="shared" ref="BS41" si="74">SUM(BS33:BS40)</f>
        <v>1064.3816958216939</v>
      </c>
      <c r="BT41" s="640">
        <f t="shared" ref="BT41" si="75">SUM(BT33:BT40)</f>
        <v>1104.6891932019851</v>
      </c>
      <c r="BU41" s="640">
        <f t="shared" ref="BU41" si="76">SUM(BU33:BU40)</f>
        <v>1145.3454206471361</v>
      </c>
      <c r="BV41" s="640">
        <f t="shared" ref="BV41" si="77">SUM(BV33:BV40)</f>
        <v>1184.6825086845852</v>
      </c>
      <c r="BW41" s="640">
        <f t="shared" ref="BW41" si="78">SUM(BW33:BW40)</f>
        <v>1226.5974379491408</v>
      </c>
      <c r="BX41" s="640">
        <f t="shared" ref="BX41" si="79">SUM(BX33:BX40)</f>
        <v>1266.0596975027911</v>
      </c>
      <c r="BY41" s="640">
        <f t="shared" ref="BY41" si="80">SUM(BY33:BY40)</f>
        <v>1310.7446073365895</v>
      </c>
      <c r="BZ41" s="640">
        <f t="shared" ref="BZ41" si="81">SUM(BZ33:BZ40)</f>
        <v>1357.9779236618672</v>
      </c>
      <c r="CA41" s="640">
        <f t="shared" ref="CA41" si="82">SUM(CA33:CA40)</f>
        <v>1457.9618251973704</v>
      </c>
      <c r="CB41" s="640">
        <f t="shared" ref="CB41" si="83">SUM(CB33:CB40)</f>
        <v>1560.813855092777</v>
      </c>
      <c r="CC41" s="640">
        <f t="shared" ref="CC41" si="84">SUM(CC33:CC40)</f>
        <v>1661.5538701690057</v>
      </c>
      <c r="CD41" s="640">
        <f t="shared" ref="CD41" si="85">SUM(CD33:CD40)</f>
        <v>1765.1276456479964</v>
      </c>
      <c r="CE41" s="640">
        <f t="shared" ref="CE41" si="86">SUM(CE33:CE40)</f>
        <v>1864.0689709378423</v>
      </c>
      <c r="CF41" s="640">
        <f t="shared" ref="CF41" si="87">SUM(CF33:CF40)</f>
        <v>2052.5285536439674</v>
      </c>
      <c r="CG41" s="640">
        <f t="shared" ref="CG41" si="88">SUM(CG33:CG40)</f>
        <v>2232.1068217904444</v>
      </c>
      <c r="CH41" s="640">
        <f t="shared" ref="CH41" si="89">SUM(CH33:CH40)</f>
        <v>2405.4361343956912</v>
      </c>
      <c r="CI41" s="640">
        <f t="shared" ref="CI41" si="90">SUM(CI33:CI40)</f>
        <v>2567.6251770247895</v>
      </c>
      <c r="CJ41" s="640">
        <f t="shared" ref="CJ41" si="91">SUM(CJ33:CJ40)</f>
        <v>2725.9295399391426</v>
      </c>
      <c r="CK41" s="640">
        <f t="shared" ref="CK41" si="92">SUM(CK33:CK40)</f>
        <v>2871.4389156412462</v>
      </c>
      <c r="CL41" s="640">
        <f t="shared" ref="CL41" si="93">SUM(CL33:CL40)</f>
        <v>3012.7384393711445</v>
      </c>
      <c r="CM41" s="640">
        <f t="shared" ref="CM41" si="94">SUM(CM33:CM40)</f>
        <v>3149.1908912151684</v>
      </c>
      <c r="CN41" s="640">
        <f t="shared" ref="CN41" si="95">SUM(CN33:CN40)</f>
        <v>3276.0763691729003</v>
      </c>
      <c r="CO41" s="640">
        <f t="shared" ref="CO41" si="96">SUM(CO33:CO40)</f>
        <v>3398.8425574203725</v>
      </c>
      <c r="CP41" s="640">
        <f t="shared" ref="CP41" si="97">SUM(CP33:CP40)</f>
        <v>3424.899314995474</v>
      </c>
      <c r="CQ41" s="640">
        <f t="shared" ref="CQ41" si="98">SUM(CQ33:CQ40)</f>
        <v>3450.9656058453638</v>
      </c>
      <c r="CR41" s="640">
        <f t="shared" ref="CR41" si="99">SUM(CR33:CR40)</f>
        <v>3474.5310848369636</v>
      </c>
      <c r="CS41" s="640">
        <f t="shared" ref="CS41" si="100">SUM(CS33:CS40)</f>
        <v>3500.6189913753351</v>
      </c>
      <c r="CT41" s="640">
        <f t="shared" ref="CT41" si="101">SUM(CT33:CT40)</f>
        <v>3526.7439482713967</v>
      </c>
      <c r="CV41" s="640">
        <f t="shared" ref="CV41:DZ41" si="102">SUM(CV33:CV40)</f>
        <v>940.33723904157569</v>
      </c>
      <c r="CW41" s="640">
        <f t="shared" si="102"/>
        <v>956.8794263359764</v>
      </c>
      <c r="CX41" s="640">
        <f t="shared" si="102"/>
        <v>970.82672595036172</v>
      </c>
      <c r="CY41" s="640">
        <f t="shared" si="102"/>
        <v>984.70230885217222</v>
      </c>
      <c r="CZ41" s="640">
        <f t="shared" si="102"/>
        <v>998.77111820196797</v>
      </c>
      <c r="DA41" s="640">
        <f t="shared" si="102"/>
        <v>1012.9385274674956</v>
      </c>
      <c r="DB41" s="640">
        <f t="shared" si="102"/>
        <v>1020.8440540521832</v>
      </c>
      <c r="DC41" s="640">
        <f t="shared" si="102"/>
        <v>1028.7262700972806</v>
      </c>
      <c r="DD41" s="640">
        <f t="shared" si="102"/>
        <v>1036.5444410017915</v>
      </c>
      <c r="DE41" s="640">
        <f t="shared" si="102"/>
        <v>1044.0344932279086</v>
      </c>
      <c r="DF41" s="640">
        <f t="shared" si="102"/>
        <v>1050.7349262246739</v>
      </c>
      <c r="DG41" s="640">
        <f t="shared" si="102"/>
        <v>1049.3146058716716</v>
      </c>
      <c r="DH41" s="640">
        <f t="shared" si="102"/>
        <v>1045.1213640478941</v>
      </c>
      <c r="DI41" s="640">
        <f t="shared" si="102"/>
        <v>1037.5955697038805</v>
      </c>
      <c r="DJ41" s="640">
        <f t="shared" si="102"/>
        <v>1025.2345480689096</v>
      </c>
      <c r="DK41" s="640">
        <f t="shared" si="102"/>
        <v>1007.3440968345003</v>
      </c>
      <c r="DL41" s="640">
        <f t="shared" si="102"/>
        <v>983.42684573863187</v>
      </c>
      <c r="DM41" s="640">
        <f t="shared" si="102"/>
        <v>955.09758162700723</v>
      </c>
      <c r="DN41" s="640">
        <f t="shared" si="102"/>
        <v>924.13332154853174</v>
      </c>
      <c r="DO41" s="640">
        <f t="shared" si="102"/>
        <v>892.40785788271808</v>
      </c>
      <c r="DP41" s="640">
        <f t="shared" si="102"/>
        <v>861.41963729179179</v>
      </c>
      <c r="DQ41" s="640">
        <f t="shared" si="102"/>
        <v>830.29947484321838</v>
      </c>
      <c r="DR41" s="640">
        <f t="shared" si="102"/>
        <v>800.72397475502498</v>
      </c>
      <c r="DS41" s="640">
        <f t="shared" si="102"/>
        <v>773.60556125853407</v>
      </c>
      <c r="DT41" s="640">
        <f t="shared" si="102"/>
        <v>748.70554984187231</v>
      </c>
      <c r="DU41" s="640">
        <f t="shared" si="102"/>
        <v>725.61100449353808</v>
      </c>
      <c r="DV41" s="640">
        <f t="shared" si="102"/>
        <v>703.7973013133693</v>
      </c>
      <c r="DW41" s="640">
        <f t="shared" si="102"/>
        <v>683.03731088022346</v>
      </c>
      <c r="DX41" s="640">
        <f t="shared" si="102"/>
        <v>663.02906969346293</v>
      </c>
      <c r="DY41" s="640">
        <f t="shared" si="102"/>
        <v>643.4908516327589</v>
      </c>
      <c r="DZ41" s="640">
        <f t="shared" si="102"/>
        <v>624.19093930796282</v>
      </c>
      <c r="EK41" s="643"/>
      <c r="EL41" s="643"/>
      <c r="EM41" s="643"/>
      <c r="EN41" s="643"/>
      <c r="EO41" s="643"/>
      <c r="EP41" s="643"/>
      <c r="EQ41" s="643"/>
      <c r="ER41" s="643"/>
      <c r="ES41" s="643"/>
      <c r="ET41" s="643"/>
      <c r="EU41" s="643"/>
      <c r="EV41" s="643"/>
      <c r="EW41" s="643"/>
      <c r="EX41" s="643"/>
      <c r="EY41" s="643"/>
      <c r="EZ41" s="643"/>
      <c r="FA41" s="643"/>
      <c r="FB41" s="643"/>
      <c r="FC41" s="643"/>
      <c r="FD41" s="643"/>
      <c r="FE41" s="643"/>
      <c r="FF41" s="643"/>
      <c r="FG41" s="643"/>
      <c r="FH41" s="643"/>
      <c r="FI41" s="643"/>
    </row>
  </sheetData>
  <mergeCells count="4">
    <mergeCell ref="D1:AH1"/>
    <mergeCell ref="AJ1:BN1"/>
    <mergeCell ref="BP1:CT1"/>
    <mergeCell ref="CV1:DZ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89D7C-3889-4C62-A2DB-7F16243DA2AF}">
  <sheetPr>
    <tabColor rgb="FFFFFF00"/>
  </sheetPr>
  <dimension ref="A1:FI211"/>
  <sheetViews>
    <sheetView zoomScale="85" zoomScaleNormal="85" workbookViewId="0">
      <pane ySplit="1" topLeftCell="A2" activePane="bottomLeft" state="frozen"/>
      <selection activeCell="BP13" sqref="BP13"/>
      <selection pane="bottomLeft" activeCell="N11" sqref="N11"/>
    </sheetView>
  </sheetViews>
  <sheetFormatPr baseColWidth="10" defaultColWidth="8.83203125" defaultRowHeight="15" outlineLevelCol="1" x14ac:dyDescent="0.2"/>
  <cols>
    <col min="1" max="1" width="31.5" customWidth="1"/>
    <col min="2" max="2" width="12.33203125" customWidth="1"/>
    <col min="3" max="3" width="17.33203125" customWidth="1"/>
    <col min="4" max="4" width="8.6640625" customWidth="1"/>
    <col min="5" max="13" width="8.6640625" hidden="1" customWidth="1" outlineLevel="1"/>
    <col min="14" max="14" width="8.6640625" customWidth="1" collapsed="1"/>
    <col min="15" max="23" width="8.6640625" hidden="1" customWidth="1" outlineLevel="1"/>
    <col min="24" max="24" width="8.6640625" customWidth="1" collapsed="1"/>
    <col min="25" max="33" width="8.6640625" hidden="1" customWidth="1" outlineLevel="1"/>
    <col min="34" max="34" width="8.6640625" collapsed="1"/>
    <col min="36" max="36" width="11.5" bestFit="1" customWidth="1"/>
    <col min="37" max="45" width="0" hidden="1" customWidth="1" outlineLevel="1"/>
    <col min="46" max="46" width="8.6640625" collapsed="1"/>
    <col min="47" max="55" width="0" hidden="1" customWidth="1" outlineLevel="1"/>
    <col min="56" max="56" width="8.6640625" collapsed="1"/>
    <col min="57" max="65" width="0" hidden="1" customWidth="1" outlineLevel="1"/>
    <col min="66" max="66" width="8.6640625" collapsed="1"/>
    <col min="67" max="67" width="8.6640625" customWidth="1"/>
    <col min="69" max="77" width="8.6640625" hidden="1" customWidth="1" outlineLevel="1"/>
    <col min="78" max="78" width="8.6640625" collapsed="1"/>
    <col min="79" max="87" width="0" hidden="1" customWidth="1" outlineLevel="1"/>
    <col min="88" max="88" width="8.6640625" collapsed="1"/>
    <col min="89" max="97" width="8.6640625" hidden="1" customWidth="1" outlineLevel="1"/>
    <col min="98" max="98" width="8.6640625" collapsed="1"/>
    <col min="101" max="109" width="8.6640625" hidden="1" customWidth="1" outlineLevel="1"/>
    <col min="110" max="110" width="8.6640625" collapsed="1"/>
    <col min="111" max="119" width="0" hidden="1" customWidth="1" outlineLevel="1"/>
    <col min="120" max="120" width="8.6640625" collapsed="1"/>
    <col min="121" max="129" width="8.6640625" hidden="1" customWidth="1" outlineLevel="1"/>
    <col min="130" max="130" width="8.6640625" collapsed="1"/>
    <col min="135" max="135" width="36.5" customWidth="1"/>
    <col min="141" max="165" width="8.6640625" style="43"/>
  </cols>
  <sheetData>
    <row r="1" spans="1:165" x14ac:dyDescent="0.2">
      <c r="A1" s="1"/>
      <c r="B1" s="1"/>
      <c r="D1" s="684" t="s">
        <v>406</v>
      </c>
      <c r="E1" s="684"/>
      <c r="F1" s="684"/>
      <c r="G1" s="684"/>
      <c r="H1" s="684"/>
      <c r="I1" s="684"/>
      <c r="J1" s="684"/>
      <c r="K1" s="684"/>
      <c r="L1" s="684"/>
      <c r="M1" s="684"/>
      <c r="N1" s="684"/>
      <c r="O1" s="684"/>
      <c r="P1" s="684"/>
      <c r="Q1" s="684"/>
      <c r="R1" s="684"/>
      <c r="S1" s="684"/>
      <c r="T1" s="684"/>
      <c r="U1" s="684"/>
      <c r="V1" s="684"/>
      <c r="W1" s="684"/>
      <c r="X1" s="684"/>
      <c r="Y1" s="684"/>
      <c r="Z1" s="684"/>
      <c r="AA1" s="684"/>
      <c r="AB1" s="684"/>
      <c r="AC1" s="684"/>
      <c r="AD1" s="684"/>
      <c r="AE1" s="684"/>
      <c r="AF1" s="684"/>
      <c r="AG1" s="684"/>
      <c r="AH1" s="684"/>
      <c r="AJ1" s="684" t="s">
        <v>407</v>
      </c>
      <c r="AK1" s="684"/>
      <c r="AL1" s="684"/>
      <c r="AM1" s="684"/>
      <c r="AN1" s="684"/>
      <c r="AO1" s="684"/>
      <c r="AP1" s="684"/>
      <c r="AQ1" s="684"/>
      <c r="AR1" s="684"/>
      <c r="AS1" s="684"/>
      <c r="AT1" s="684"/>
      <c r="AU1" s="684"/>
      <c r="AV1" s="684"/>
      <c r="AW1" s="684"/>
      <c r="AX1" s="684"/>
      <c r="AY1" s="684"/>
      <c r="AZ1" s="684"/>
      <c r="BA1" s="684"/>
      <c r="BB1" s="684"/>
      <c r="BC1" s="684"/>
      <c r="BD1" s="684"/>
      <c r="BE1" s="684"/>
      <c r="BF1" s="684"/>
      <c r="BG1" s="684"/>
      <c r="BH1" s="684"/>
      <c r="BI1" s="684"/>
      <c r="BJ1" s="684"/>
      <c r="BK1" s="684"/>
      <c r="BL1" s="684"/>
      <c r="BM1" s="684"/>
      <c r="BN1" s="684"/>
      <c r="BP1" s="684" t="s">
        <v>1883</v>
      </c>
      <c r="BQ1" s="684"/>
      <c r="BR1" s="684"/>
      <c r="BS1" s="684"/>
      <c r="BT1" s="684"/>
      <c r="BU1" s="684"/>
      <c r="BV1" s="684"/>
      <c r="BW1" s="684"/>
      <c r="BX1" s="684"/>
      <c r="BY1" s="684"/>
      <c r="BZ1" s="684"/>
      <c r="CA1" s="684"/>
      <c r="CB1" s="684"/>
      <c r="CC1" s="684"/>
      <c r="CD1" s="684"/>
      <c r="CE1" s="684"/>
      <c r="CF1" s="684"/>
      <c r="CG1" s="684"/>
      <c r="CH1" s="684"/>
      <c r="CI1" s="684"/>
      <c r="CJ1" s="684"/>
      <c r="CK1" s="684"/>
      <c r="CL1" s="684"/>
      <c r="CM1" s="684"/>
      <c r="CN1" s="684"/>
      <c r="CO1" s="684"/>
      <c r="CP1" s="684"/>
      <c r="CQ1" s="684"/>
      <c r="CR1" s="684"/>
      <c r="CS1" s="684"/>
      <c r="CT1" s="684"/>
      <c r="CV1" s="684" t="s">
        <v>1884</v>
      </c>
      <c r="CW1" s="684"/>
      <c r="CX1" s="684"/>
      <c r="CY1" s="684"/>
      <c r="CZ1" s="684"/>
      <c r="DA1" s="684"/>
      <c r="DB1" s="684"/>
      <c r="DC1" s="684"/>
      <c r="DD1" s="684"/>
      <c r="DE1" s="684"/>
      <c r="DF1" s="684"/>
      <c r="DG1" s="684"/>
      <c r="DH1" s="684"/>
      <c r="DI1" s="684"/>
      <c r="DJ1" s="684"/>
      <c r="DK1" s="684"/>
      <c r="DL1" s="684"/>
      <c r="DM1" s="684"/>
      <c r="DN1" s="684"/>
      <c r="DO1" s="684"/>
      <c r="DP1" s="684"/>
      <c r="DQ1" s="684"/>
      <c r="DR1" s="684"/>
      <c r="DS1" s="684"/>
      <c r="DT1" s="684"/>
      <c r="DU1" s="684"/>
      <c r="DV1" s="684"/>
      <c r="DW1" s="684"/>
      <c r="DX1" s="684"/>
      <c r="DY1" s="684"/>
      <c r="DZ1" s="684"/>
      <c r="EE1" t="s">
        <v>408</v>
      </c>
      <c r="EF1" t="s">
        <v>409</v>
      </c>
      <c r="EG1" t="s">
        <v>410</v>
      </c>
      <c r="EH1" t="s">
        <v>411</v>
      </c>
      <c r="EK1" s="43">
        <v>2.665</v>
      </c>
      <c r="EL1" s="43">
        <v>2.665</v>
      </c>
      <c r="EM1" s="43">
        <v>2.665</v>
      </c>
      <c r="EN1" s="43">
        <v>2.665</v>
      </c>
      <c r="EO1" s="43">
        <v>2.665</v>
      </c>
      <c r="EP1" s="43">
        <v>2.665</v>
      </c>
      <c r="EQ1" s="43">
        <v>2.665</v>
      </c>
      <c r="ER1" s="43">
        <v>2.665</v>
      </c>
      <c r="ES1" s="43">
        <v>2.665</v>
      </c>
      <c r="ET1" s="43">
        <v>2.665</v>
      </c>
      <c r="EU1" s="43">
        <v>2.665</v>
      </c>
      <c r="EV1" s="43">
        <v>2.665</v>
      </c>
      <c r="EW1" s="43">
        <v>2.665</v>
      </c>
      <c r="EX1" s="43">
        <v>2.665</v>
      </c>
      <c r="EY1" s="43">
        <v>2.665</v>
      </c>
      <c r="EZ1" s="43">
        <v>2.665</v>
      </c>
      <c r="FA1" s="43">
        <v>2.665</v>
      </c>
      <c r="FB1" s="43">
        <v>2.665</v>
      </c>
      <c r="FC1" s="43">
        <v>2.665</v>
      </c>
      <c r="FD1" s="43">
        <v>2.665</v>
      </c>
      <c r="FE1" s="43">
        <v>2.665</v>
      </c>
      <c r="FF1" s="43">
        <v>2.665</v>
      </c>
      <c r="FG1" s="43">
        <v>2.665</v>
      </c>
      <c r="FH1" s="43">
        <v>2.665</v>
      </c>
      <c r="FI1" s="43">
        <v>2.665</v>
      </c>
    </row>
    <row r="2" spans="1:165" s="53" customFormat="1" x14ac:dyDescent="0.2">
      <c r="A2" s="52" t="s">
        <v>418</v>
      </c>
      <c r="B2" s="52"/>
      <c r="C2" s="52"/>
      <c r="EE2" s="53" t="s">
        <v>419</v>
      </c>
      <c r="EF2" s="53" t="s">
        <v>420</v>
      </c>
      <c r="EG2" s="53" t="s">
        <v>410</v>
      </c>
      <c r="EK2" s="454">
        <v>1.3140000000000001</v>
      </c>
      <c r="EL2" s="454">
        <v>1.3140000000000001</v>
      </c>
      <c r="EM2" s="454">
        <v>1.3140000000000001</v>
      </c>
      <c r="EN2" s="454">
        <v>1.3140000000000001</v>
      </c>
      <c r="EO2" s="454">
        <v>1.3140000000000001</v>
      </c>
      <c r="EP2" s="454">
        <v>1.3140000000000001</v>
      </c>
      <c r="EQ2" s="454">
        <v>1.3140000000000001</v>
      </c>
      <c r="ER2" s="454">
        <v>1.3140000000000001</v>
      </c>
      <c r="ES2" s="454">
        <v>1.3140000000000001</v>
      </c>
      <c r="ET2" s="454">
        <v>1.3140000000000001</v>
      </c>
      <c r="EU2" s="454">
        <v>1.3140000000000001</v>
      </c>
      <c r="EV2" s="454">
        <v>1.3140000000000001</v>
      </c>
      <c r="EW2" s="454">
        <v>1.3140000000000001</v>
      </c>
      <c r="EX2" s="454">
        <v>1.3140000000000001</v>
      </c>
      <c r="EY2" s="454">
        <v>1.3140000000000001</v>
      </c>
      <c r="EZ2" s="454">
        <v>1.3140000000000001</v>
      </c>
      <c r="FA2" s="454">
        <v>1.3140000000000001</v>
      </c>
      <c r="FB2" s="454">
        <v>1.3140000000000001</v>
      </c>
      <c r="FC2" s="454">
        <v>1.3140000000000001</v>
      </c>
      <c r="FD2" s="454">
        <v>1.3140000000000001</v>
      </c>
      <c r="FE2" s="454">
        <v>1.3140000000000001</v>
      </c>
      <c r="FF2" s="454">
        <v>1.3140000000000001</v>
      </c>
      <c r="FG2" s="454">
        <v>1.3140000000000001</v>
      </c>
      <c r="FH2" s="454">
        <v>1.3140000000000001</v>
      </c>
      <c r="FI2" s="454">
        <v>1.3140000000000001</v>
      </c>
    </row>
    <row r="3" spans="1:165" s="1" customFormat="1" ht="16" thickBot="1" x14ac:dyDescent="0.25">
      <c r="D3" s="1">
        <v>2020</v>
      </c>
      <c r="E3" s="1">
        <f>D3+1</f>
        <v>2021</v>
      </c>
      <c r="F3" s="1">
        <f t="shared" ref="F3:AH3" si="0">E3+1</f>
        <v>2022</v>
      </c>
      <c r="G3" s="1">
        <f t="shared" si="0"/>
        <v>2023</v>
      </c>
      <c r="H3" s="1">
        <f t="shared" si="0"/>
        <v>2024</v>
      </c>
      <c r="I3" s="1">
        <f t="shared" si="0"/>
        <v>2025</v>
      </c>
      <c r="J3" s="1">
        <f t="shared" si="0"/>
        <v>2026</v>
      </c>
      <c r="K3" s="1">
        <f t="shared" si="0"/>
        <v>2027</v>
      </c>
      <c r="L3" s="1">
        <f t="shared" si="0"/>
        <v>2028</v>
      </c>
      <c r="M3" s="1">
        <f t="shared" si="0"/>
        <v>2029</v>
      </c>
      <c r="N3" s="1">
        <f t="shared" si="0"/>
        <v>2030</v>
      </c>
      <c r="O3" s="1">
        <f t="shared" si="0"/>
        <v>2031</v>
      </c>
      <c r="P3" s="1">
        <f t="shared" si="0"/>
        <v>2032</v>
      </c>
      <c r="Q3" s="1">
        <f t="shared" si="0"/>
        <v>2033</v>
      </c>
      <c r="R3" s="1">
        <f>Q3+1</f>
        <v>2034</v>
      </c>
      <c r="S3" s="1">
        <f t="shared" si="0"/>
        <v>2035</v>
      </c>
      <c r="T3" s="1">
        <f t="shared" si="0"/>
        <v>2036</v>
      </c>
      <c r="U3" s="1">
        <f t="shared" si="0"/>
        <v>2037</v>
      </c>
      <c r="V3" s="1">
        <f t="shared" si="0"/>
        <v>2038</v>
      </c>
      <c r="W3" s="1">
        <f t="shared" si="0"/>
        <v>2039</v>
      </c>
      <c r="X3" s="1">
        <f t="shared" si="0"/>
        <v>2040</v>
      </c>
      <c r="Y3" s="1">
        <f t="shared" si="0"/>
        <v>2041</v>
      </c>
      <c r="Z3" s="1">
        <f t="shared" si="0"/>
        <v>2042</v>
      </c>
      <c r="AA3" s="1">
        <f t="shared" si="0"/>
        <v>2043</v>
      </c>
      <c r="AB3" s="1">
        <f t="shared" si="0"/>
        <v>2044</v>
      </c>
      <c r="AC3" s="1">
        <f>AB3+1</f>
        <v>2045</v>
      </c>
      <c r="AD3" s="1">
        <f t="shared" si="0"/>
        <v>2046</v>
      </c>
      <c r="AE3" s="1">
        <f t="shared" si="0"/>
        <v>2047</v>
      </c>
      <c r="AF3" s="1">
        <f t="shared" si="0"/>
        <v>2048</v>
      </c>
      <c r="AG3" s="1">
        <f>AF3+1</f>
        <v>2049</v>
      </c>
      <c r="AH3" s="1">
        <f t="shared" si="0"/>
        <v>2050</v>
      </c>
      <c r="AJ3" s="1">
        <v>2020</v>
      </c>
      <c r="AK3" s="1">
        <f>AJ3+1</f>
        <v>2021</v>
      </c>
      <c r="AL3" s="1">
        <f t="shared" ref="AL3:AW3" si="1">AK3+1</f>
        <v>2022</v>
      </c>
      <c r="AM3" s="1">
        <f t="shared" si="1"/>
        <v>2023</v>
      </c>
      <c r="AN3" s="1">
        <f t="shared" si="1"/>
        <v>2024</v>
      </c>
      <c r="AO3" s="1">
        <f t="shared" si="1"/>
        <v>2025</v>
      </c>
      <c r="AP3" s="1">
        <f t="shared" si="1"/>
        <v>2026</v>
      </c>
      <c r="AQ3" s="1">
        <f t="shared" si="1"/>
        <v>2027</v>
      </c>
      <c r="AR3" s="1">
        <f t="shared" si="1"/>
        <v>2028</v>
      </c>
      <c r="AS3" s="1">
        <f t="shared" si="1"/>
        <v>2029</v>
      </c>
      <c r="AT3" s="1">
        <f t="shared" si="1"/>
        <v>2030</v>
      </c>
      <c r="AU3" s="1">
        <f t="shared" si="1"/>
        <v>2031</v>
      </c>
      <c r="AV3" s="1">
        <f t="shared" si="1"/>
        <v>2032</v>
      </c>
      <c r="AW3" s="1">
        <f t="shared" si="1"/>
        <v>2033</v>
      </c>
      <c r="AX3" s="1">
        <f>AW3+1</f>
        <v>2034</v>
      </c>
      <c r="AY3" s="1">
        <f t="shared" ref="AY3:BH3" si="2">AX3+1</f>
        <v>2035</v>
      </c>
      <c r="AZ3" s="1">
        <f t="shared" si="2"/>
        <v>2036</v>
      </c>
      <c r="BA3" s="1">
        <f t="shared" si="2"/>
        <v>2037</v>
      </c>
      <c r="BB3" s="1">
        <f t="shared" si="2"/>
        <v>2038</v>
      </c>
      <c r="BC3" s="1">
        <f t="shared" si="2"/>
        <v>2039</v>
      </c>
      <c r="BD3" s="1">
        <f t="shared" si="2"/>
        <v>2040</v>
      </c>
      <c r="BE3" s="1">
        <f t="shared" si="2"/>
        <v>2041</v>
      </c>
      <c r="BF3" s="1">
        <f t="shared" si="2"/>
        <v>2042</v>
      </c>
      <c r="BG3" s="1">
        <f t="shared" si="2"/>
        <v>2043</v>
      </c>
      <c r="BH3" s="1">
        <f t="shared" si="2"/>
        <v>2044</v>
      </c>
      <c r="BI3" s="1">
        <f>BH3+1</f>
        <v>2045</v>
      </c>
      <c r="BJ3" s="1">
        <f t="shared" ref="BJ3:BL3" si="3">BI3+1</f>
        <v>2046</v>
      </c>
      <c r="BK3" s="1">
        <f t="shared" si="3"/>
        <v>2047</v>
      </c>
      <c r="BL3" s="1">
        <f t="shared" si="3"/>
        <v>2048</v>
      </c>
      <c r="BM3" s="1">
        <f>BL3+1</f>
        <v>2049</v>
      </c>
      <c r="BN3" s="1">
        <f t="shared" ref="BN3" si="4">BM3+1</f>
        <v>2050</v>
      </c>
      <c r="BP3" s="1">
        <v>2020</v>
      </c>
      <c r="BQ3" s="1">
        <f>BP3+1</f>
        <v>2021</v>
      </c>
      <c r="BR3" s="1">
        <f t="shared" ref="BR3" si="5">BQ3+1</f>
        <v>2022</v>
      </c>
      <c r="BS3" s="1">
        <f t="shared" ref="BS3" si="6">BR3+1</f>
        <v>2023</v>
      </c>
      <c r="BT3" s="1">
        <f t="shared" ref="BT3" si="7">BS3+1</f>
        <v>2024</v>
      </c>
      <c r="BU3" s="1">
        <f t="shared" ref="BU3" si="8">BT3+1</f>
        <v>2025</v>
      </c>
      <c r="BV3" s="1">
        <f t="shared" ref="BV3" si="9">BU3+1</f>
        <v>2026</v>
      </c>
      <c r="BW3" s="1">
        <f t="shared" ref="BW3" si="10">BV3+1</f>
        <v>2027</v>
      </c>
      <c r="BX3" s="1">
        <f t="shared" ref="BX3" si="11">BW3+1</f>
        <v>2028</v>
      </c>
      <c r="BY3" s="1">
        <f t="shared" ref="BY3" si="12">BX3+1</f>
        <v>2029</v>
      </c>
      <c r="BZ3" s="1">
        <f t="shared" ref="BZ3" si="13">BY3+1</f>
        <v>2030</v>
      </c>
      <c r="CA3" s="1">
        <f t="shared" ref="CA3" si="14">BZ3+1</f>
        <v>2031</v>
      </c>
      <c r="CB3" s="1">
        <f t="shared" ref="CB3" si="15">CA3+1</f>
        <v>2032</v>
      </c>
      <c r="CC3" s="1">
        <f t="shared" ref="CC3" si="16">CB3+1</f>
        <v>2033</v>
      </c>
      <c r="CD3" s="1">
        <f>CC3+1</f>
        <v>2034</v>
      </c>
      <c r="CE3" s="1">
        <f t="shared" ref="CE3" si="17">CD3+1</f>
        <v>2035</v>
      </c>
      <c r="CF3" s="1">
        <f t="shared" ref="CF3" si="18">CE3+1</f>
        <v>2036</v>
      </c>
      <c r="CG3" s="1">
        <f t="shared" ref="CG3" si="19">CF3+1</f>
        <v>2037</v>
      </c>
      <c r="CH3" s="1">
        <f t="shared" ref="CH3" si="20">CG3+1</f>
        <v>2038</v>
      </c>
      <c r="CI3" s="1">
        <f t="shared" ref="CI3" si="21">CH3+1</f>
        <v>2039</v>
      </c>
      <c r="CJ3" s="1">
        <f t="shared" ref="CJ3" si="22">CI3+1</f>
        <v>2040</v>
      </c>
      <c r="CK3" s="1">
        <f t="shared" ref="CK3" si="23">CJ3+1</f>
        <v>2041</v>
      </c>
      <c r="CL3" s="1">
        <f t="shared" ref="CL3" si="24">CK3+1</f>
        <v>2042</v>
      </c>
      <c r="CM3" s="1">
        <f t="shared" ref="CM3" si="25">CL3+1</f>
        <v>2043</v>
      </c>
      <c r="CN3" s="1">
        <f t="shared" ref="CN3" si="26">CM3+1</f>
        <v>2044</v>
      </c>
      <c r="CO3" s="1">
        <f>CN3+1</f>
        <v>2045</v>
      </c>
      <c r="CP3" s="1">
        <f t="shared" ref="CP3" si="27">CO3+1</f>
        <v>2046</v>
      </c>
      <c r="CQ3" s="1">
        <f t="shared" ref="CQ3" si="28">CP3+1</f>
        <v>2047</v>
      </c>
      <c r="CR3" s="1">
        <f t="shared" ref="CR3" si="29">CQ3+1</f>
        <v>2048</v>
      </c>
      <c r="CS3" s="1">
        <f>CR3+1</f>
        <v>2049</v>
      </c>
      <c r="CT3" s="1">
        <f t="shared" ref="CT3" si="30">CS3+1</f>
        <v>2050</v>
      </c>
      <c r="CV3" s="1">
        <v>2020</v>
      </c>
      <c r="CW3" s="1">
        <f>CV3+1</f>
        <v>2021</v>
      </c>
      <c r="CX3" s="1">
        <f t="shared" ref="CX3" si="31">CW3+1</f>
        <v>2022</v>
      </c>
      <c r="CY3" s="1">
        <f t="shared" ref="CY3" si="32">CX3+1</f>
        <v>2023</v>
      </c>
      <c r="CZ3" s="1">
        <f t="shared" ref="CZ3" si="33">CY3+1</f>
        <v>2024</v>
      </c>
      <c r="DA3" s="1">
        <f t="shared" ref="DA3" si="34">CZ3+1</f>
        <v>2025</v>
      </c>
      <c r="DB3" s="1">
        <f t="shared" ref="DB3" si="35">DA3+1</f>
        <v>2026</v>
      </c>
      <c r="DC3" s="1">
        <f t="shared" ref="DC3" si="36">DB3+1</f>
        <v>2027</v>
      </c>
      <c r="DD3" s="1">
        <f t="shared" ref="DD3" si="37">DC3+1</f>
        <v>2028</v>
      </c>
      <c r="DE3" s="1">
        <f t="shared" ref="DE3" si="38">DD3+1</f>
        <v>2029</v>
      </c>
      <c r="DF3" s="1">
        <f t="shared" ref="DF3" si="39">DE3+1</f>
        <v>2030</v>
      </c>
      <c r="DG3" s="1">
        <f t="shared" ref="DG3" si="40">DF3+1</f>
        <v>2031</v>
      </c>
      <c r="DH3" s="1">
        <f t="shared" ref="DH3" si="41">DG3+1</f>
        <v>2032</v>
      </c>
      <c r="DI3" s="1">
        <f t="shared" ref="DI3" si="42">DH3+1</f>
        <v>2033</v>
      </c>
      <c r="DJ3" s="1">
        <f>DI3+1</f>
        <v>2034</v>
      </c>
      <c r="DK3" s="1">
        <f t="shared" ref="DK3" si="43">DJ3+1</f>
        <v>2035</v>
      </c>
      <c r="DL3" s="1">
        <f t="shared" ref="DL3" si="44">DK3+1</f>
        <v>2036</v>
      </c>
      <c r="DM3" s="1">
        <f t="shared" ref="DM3" si="45">DL3+1</f>
        <v>2037</v>
      </c>
      <c r="DN3" s="1">
        <f t="shared" ref="DN3" si="46">DM3+1</f>
        <v>2038</v>
      </c>
      <c r="DO3" s="1">
        <f t="shared" ref="DO3" si="47">DN3+1</f>
        <v>2039</v>
      </c>
      <c r="DP3" s="1">
        <f t="shared" ref="DP3" si="48">DO3+1</f>
        <v>2040</v>
      </c>
      <c r="DQ3" s="1">
        <f t="shared" ref="DQ3" si="49">DP3+1</f>
        <v>2041</v>
      </c>
      <c r="DR3" s="1">
        <f t="shared" ref="DR3" si="50">DQ3+1</f>
        <v>2042</v>
      </c>
      <c r="DS3" s="1">
        <f t="shared" ref="DS3" si="51">DR3+1</f>
        <v>2043</v>
      </c>
      <c r="DT3" s="1">
        <f t="shared" ref="DT3" si="52">DS3+1</f>
        <v>2044</v>
      </c>
      <c r="DU3" s="1">
        <f>DT3+1</f>
        <v>2045</v>
      </c>
      <c r="DV3" s="1">
        <f t="shared" ref="DV3" si="53">DU3+1</f>
        <v>2046</v>
      </c>
      <c r="DW3" s="1">
        <f t="shared" ref="DW3" si="54">DV3+1</f>
        <v>2047</v>
      </c>
      <c r="DX3" s="1">
        <f t="shared" ref="DX3" si="55">DW3+1</f>
        <v>2048</v>
      </c>
      <c r="DY3" s="1">
        <f>DX3+1</f>
        <v>2049</v>
      </c>
      <c r="DZ3" s="1">
        <f t="shared" ref="DZ3" si="56">DY3+1</f>
        <v>2050</v>
      </c>
      <c r="EE3" s="1" t="s">
        <v>421</v>
      </c>
      <c r="EF3" s="1" t="s">
        <v>422</v>
      </c>
      <c r="EG3" s="1" t="s">
        <v>410</v>
      </c>
      <c r="EH3" s="1" t="s">
        <v>423</v>
      </c>
      <c r="EK3" s="443">
        <v>1.736E-2</v>
      </c>
      <c r="EL3" s="443">
        <v>1.736E-2</v>
      </c>
      <c r="EM3" s="443">
        <v>1.736E-2</v>
      </c>
      <c r="EN3" s="443">
        <v>1.736E-2</v>
      </c>
      <c r="EO3" s="443">
        <v>1.736E-2</v>
      </c>
      <c r="EP3" s="443">
        <v>1.736E-2</v>
      </c>
      <c r="EQ3" s="443">
        <v>1.736E-2</v>
      </c>
      <c r="ER3" s="443">
        <v>1.736E-2</v>
      </c>
      <c r="ES3" s="443">
        <v>1.736E-2</v>
      </c>
      <c r="ET3" s="443">
        <v>1.736E-2</v>
      </c>
      <c r="EU3" s="443">
        <v>1.736E-2</v>
      </c>
      <c r="EV3" s="443">
        <v>1.736E-2</v>
      </c>
      <c r="EW3" s="443">
        <v>1.736E-2</v>
      </c>
      <c r="EX3" s="443">
        <v>1.736E-2</v>
      </c>
      <c r="EY3" s="443">
        <v>1.736E-2</v>
      </c>
      <c r="EZ3" s="443">
        <v>1.736E-2</v>
      </c>
      <c r="FA3" s="443">
        <v>1.736E-2</v>
      </c>
      <c r="FB3" s="443">
        <v>1.736E-2</v>
      </c>
      <c r="FC3" s="443">
        <v>1.736E-2</v>
      </c>
      <c r="FD3" s="443">
        <v>1.736E-2</v>
      </c>
      <c r="FE3" s="443">
        <v>1.736E-2</v>
      </c>
      <c r="FF3" s="443">
        <v>1.736E-2</v>
      </c>
      <c r="FG3" s="443">
        <v>1.736E-2</v>
      </c>
      <c r="FH3" s="443">
        <v>1.736E-2</v>
      </c>
      <c r="FI3" s="443">
        <v>1.736E-2</v>
      </c>
    </row>
    <row r="4" spans="1:165" s="554" customFormat="1" x14ac:dyDescent="0.2">
      <c r="A4" s="550" t="s">
        <v>424</v>
      </c>
      <c r="B4" s="551"/>
      <c r="C4" s="552" t="s">
        <v>153</v>
      </c>
      <c r="D4" s="553">
        <f>'Ethylene Recycling HC'!C50+'Propylene Recycling HC'!C50+'Methanol Recycling HC'!C47+'BTX Recycling HC'!C47+'Butadiene Recycling HC'!C47</f>
        <v>324.40768545388835</v>
      </c>
      <c r="E4" s="553">
        <f>'Ethylene Recycling HC'!D50+'Propylene Recycling HC'!D50+'Methanol Recycling HC'!D47+'BTX Recycling HC'!D47+'Butadiene Recycling HC'!D47</f>
        <v>333.34844941217244</v>
      </c>
      <c r="F4" s="553">
        <f>'Ethylene Recycling HC'!E50+'Propylene Recycling HC'!E50+'Methanol Recycling HC'!E47+'BTX Recycling HC'!E47+'Butadiene Recycling HC'!E47</f>
        <v>341.47047438645507</v>
      </c>
      <c r="G4" s="553">
        <f>'Ethylene Recycling HC'!F50+'Propylene Recycling HC'!F50+'Methanol Recycling HC'!F47+'BTX Recycling HC'!F47+'Butadiene Recycling HC'!F47</f>
        <v>348.94411180615919</v>
      </c>
      <c r="H4" s="553">
        <f>'Ethylene Recycling HC'!G50+'Propylene Recycling HC'!G50+'Methanol Recycling HC'!G47+'BTX Recycling HC'!G47+'Butadiene Recycling HC'!G47</f>
        <v>355.63716909307431</v>
      </c>
      <c r="I4" s="553">
        <f>'Ethylene Recycling HC'!H50+'Propylene Recycling HC'!H50+'Methanol Recycling HC'!H47+'BTX Recycling HC'!H47+'Butadiene Recycling HC'!H47</f>
        <v>361.49936430535109</v>
      </c>
      <c r="J4" s="553">
        <f>'Ethylene Recycling HC'!I50+'Propylene Recycling HC'!I50+'Methanol Recycling HC'!I47+'BTX Recycling HC'!I47+'Butadiene Recycling HC'!I47</f>
        <v>365.65409703788742</v>
      </c>
      <c r="K4" s="553">
        <f>'Ethylene Recycling HC'!J50+'Propylene Recycling HC'!J50+'Methanol Recycling HC'!J47+'BTX Recycling HC'!J47+'Butadiene Recycling HC'!J47</f>
        <v>369.64579315700172</v>
      </c>
      <c r="L4" s="553">
        <f>'Ethylene Recycling HC'!K50+'Propylene Recycling HC'!K50+'Methanol Recycling HC'!K47+'BTX Recycling HC'!K47+'Butadiene Recycling HC'!K47</f>
        <v>373.46696372234067</v>
      </c>
      <c r="M4" s="553">
        <f>'Ethylene Recycling HC'!L50+'Propylene Recycling HC'!L50+'Methanol Recycling HC'!L47+'BTX Recycling HC'!L47+'Butadiene Recycling HC'!L47</f>
        <v>377.11026819146815</v>
      </c>
      <c r="N4" s="553">
        <f>'Ethylene Recycling HC'!M50+'Propylene Recycling HC'!M50+'Methanol Recycling HC'!M47+'BTX Recycling HC'!M47+'Butadiene Recycling HC'!M47</f>
        <v>380.56853354496195</v>
      </c>
      <c r="O4" s="553">
        <f>'Ethylene Recycling HC'!N50+'Propylene Recycling HC'!N50+'Methanol Recycling HC'!N47+'BTX Recycling HC'!N47+'Butadiene Recycling HC'!N47</f>
        <v>381.15059527367828</v>
      </c>
      <c r="P4" s="553">
        <f>'Ethylene Recycling HC'!O50+'Propylene Recycling HC'!O50+'Methanol Recycling HC'!O47+'BTX Recycling HC'!O47+'Butadiene Recycling HC'!O47</f>
        <v>381.4113324561784</v>
      </c>
      <c r="Q4" s="553">
        <f>'Ethylene Recycling HC'!P50+'Propylene Recycling HC'!P50+'Methanol Recycling HC'!P47+'BTX Recycling HC'!P47+'Butadiene Recycling HC'!P47</f>
        <v>380.17782441728792</v>
      </c>
      <c r="R4" s="553">
        <f>'Ethylene Recycling HC'!Q50+'Propylene Recycling HC'!Q50+'Methanol Recycling HC'!Q47+'BTX Recycling HC'!Q47+'Butadiene Recycling HC'!Q47</f>
        <v>378.10631756008087</v>
      </c>
      <c r="S4" s="553">
        <f>'Ethylene Recycling HC'!R50+'Propylene Recycling HC'!R50+'Methanol Recycling HC'!R47+'BTX Recycling HC'!R47+'Butadiene Recycling HC'!R47</f>
        <v>375.20461207397346</v>
      </c>
      <c r="T4" s="553">
        <f>'Ethylene Recycling HC'!S50+'Propylene Recycling HC'!S50+'Methanol Recycling HC'!S47+'BTX Recycling HC'!S47+'Butadiene Recycling HC'!S47</f>
        <v>372.47283802498839</v>
      </c>
      <c r="U4" s="553">
        <f>'Ethylene Recycling HC'!T50+'Propylene Recycling HC'!T50+'Methanol Recycling HC'!T47+'BTX Recycling HC'!T47+'Butadiene Recycling HC'!T47</f>
        <v>369.59908070770996</v>
      </c>
      <c r="V4" s="553">
        <f>'Ethylene Recycling HC'!U50+'Propylene Recycling HC'!U50+'Methanol Recycling HC'!U47+'BTX Recycling HC'!U47+'Butadiene Recycling HC'!U47</f>
        <v>366.58243121133131</v>
      </c>
      <c r="W4" s="553">
        <f>'Ethylene Recycling HC'!V50+'Propylene Recycling HC'!V50+'Methanol Recycling HC'!V47+'BTX Recycling HC'!V47+'Butadiene Recycling HC'!V47</f>
        <v>363.42203529927497</v>
      </c>
      <c r="X4" s="553">
        <f>'Ethylene Recycling HC'!W50+'Propylene Recycling HC'!W50+'Methanol Recycling HC'!W47+'BTX Recycling HC'!W47+'Butadiene Recycling HC'!W47</f>
        <v>360.11709461142328</v>
      </c>
      <c r="Y4" s="553">
        <f>'Ethylene Recycling HC'!X50+'Propylene Recycling HC'!X50+'Methanol Recycling HC'!X47+'BTX Recycling HC'!X47+'Butadiene Recycling HC'!X47</f>
        <v>354.61398372045358</v>
      </c>
      <c r="Z4" s="553">
        <f>'Ethylene Recycling HC'!Y50+'Propylene Recycling HC'!Y50+'Methanol Recycling HC'!Y47+'BTX Recycling HC'!Y47+'Butadiene Recycling HC'!Y47</f>
        <v>350.92601616188313</v>
      </c>
      <c r="AA4" s="553">
        <f>'Ethylene Recycling HC'!Z50+'Propylene Recycling HC'!Z50+'Methanol Recycling HC'!Z47+'BTX Recycling HC'!Z47+'Butadiene Recycling HC'!Z47</f>
        <v>346.85949992114388</v>
      </c>
      <c r="AB4" s="553">
        <f>'Ethylene Recycling HC'!AA50+'Propylene Recycling HC'!AA50+'Methanol Recycling HC'!AA47+'BTX Recycling HC'!AA47+'Butadiene Recycling HC'!AA47</f>
        <v>342.64212419270314</v>
      </c>
      <c r="AC4" s="553">
        <f>'Ethylene Recycling HC'!AB50+'Propylene Recycling HC'!AB50+'Methanol Recycling HC'!AB47+'BTX Recycling HC'!AB47+'Butadiene Recycling HC'!AB47</f>
        <v>338.27325503036957</v>
      </c>
      <c r="AD4" s="553">
        <f>'Ethylene Recycling HC'!AC50+'Propylene Recycling HC'!AC50+'Methanol Recycling HC'!AC47+'BTX Recycling HC'!AC47+'Butadiene Recycling HC'!AC47</f>
        <v>333.55365250720456</v>
      </c>
      <c r="AE4" s="553">
        <f>'Ethylene Recycling HC'!AD50+'Propylene Recycling HC'!AD50+'Methanol Recycling HC'!AD47+'BTX Recycling HC'!AD47+'Butadiene Recycling HC'!AD47</f>
        <v>328.6806254575809</v>
      </c>
      <c r="AF4" s="553">
        <f>'Ethylene Recycling HC'!AE50+'Propylene Recycling HC'!AE50+'Methanol Recycling HC'!AE47+'BTX Recycling HC'!AE47+'Butadiene Recycling HC'!AE47</f>
        <v>323.65357516032702</v>
      </c>
      <c r="AG4" s="553">
        <f>'Ethylene Recycling HC'!AF50+'Propylene Recycling HC'!AF50+'Methanol Recycling HC'!AF47+'BTX Recycling HC'!AF47+'Butadiene Recycling HC'!AF47</f>
        <v>318.47195482137209</v>
      </c>
      <c r="AH4" s="553">
        <f>'Ethylene Recycling HC'!AG50+'Propylene Recycling HC'!AG50+'Methanol Recycling HC'!AG47+'BTX Recycling HC'!AG47+'Butadiene Recycling HC'!AG47</f>
        <v>313.13527045968755</v>
      </c>
      <c r="AJ4" s="553">
        <f>'Ethylene Recycling LC'!C50+'Propylene Recycling LC'!C50+'Methanol Recycling LC'!C47+'BTX Recycling LC'!C47+'Butadiene Recycling LC'!C47</f>
        <v>324.40768545388835</v>
      </c>
      <c r="AK4" s="553">
        <f>'Ethylene Recycling LC'!D50+'Propylene Recycling LC'!D50+'Methanol Recycling LC'!D47+'BTX Recycling LC'!D47+'Butadiene Recycling LC'!D47</f>
        <v>333.74575239753824</v>
      </c>
      <c r="AL4" s="553">
        <f>'Ethylene Recycling LC'!E50+'Propylene Recycling LC'!E50+'Methanol Recycling LC'!E47+'BTX Recycling LC'!E47+'Butadiene Recycling LC'!E47</f>
        <v>342.31822540445148</v>
      </c>
      <c r="AM4" s="553">
        <f>'Ethylene Recycling LC'!F50+'Propylene Recycling LC'!F50+'Methanol Recycling LC'!F47+'BTX Recycling LC'!F47+'Butadiene Recycling LC'!F47</f>
        <v>350.25150530526724</v>
      </c>
      <c r="AN4" s="553">
        <f>'Ethylene Recycling LC'!G50+'Propylene Recycling LC'!G50+'Methanol Recycling LC'!G47+'BTX Recycling LC'!G47+'Butadiene Recycling LC'!G47</f>
        <v>357.42471230612585</v>
      </c>
      <c r="AO4" s="553">
        <f>'Ethylene Recycling LC'!H50+'Propylene Recycling LC'!H50+'Methanol Recycling LC'!H47+'BTX Recycling LC'!H47+'Butadiene Recycling LC'!H47</f>
        <v>363.78466616307117</v>
      </c>
      <c r="AP4" s="553">
        <f>'Ethylene Recycling LC'!I50+'Propylene Recycling LC'!I50+'Methanol Recycling LC'!I47+'BTX Recycling LC'!I47+'Butadiene Recycling LC'!I47</f>
        <v>369.26901107684984</v>
      </c>
      <c r="AQ4" s="553">
        <f>'Ethylene Recycling LC'!J50+'Propylene Recycling LC'!J50+'Methanol Recycling LC'!J47+'BTX Recycling LC'!J47+'Butadiene Recycling LC'!J47</f>
        <v>374.64620899303139</v>
      </c>
      <c r="AR4" s="553">
        <f>'Ethylene Recycling LC'!K50+'Propylene Recycling LC'!K50+'Methanol Recycling LC'!K47+'BTX Recycling LC'!K47+'Butadiene Recycling LC'!K47</f>
        <v>379.90872497469667</v>
      </c>
      <c r="AS4" s="553">
        <f>'Ethylene Recycling LC'!L50+'Propylene Recycling LC'!L50+'Methanol Recycling LC'!L47+'BTX Recycling LC'!L47+'Butadiene Recycling LC'!L47</f>
        <v>385.04906535477096</v>
      </c>
      <c r="AT4" s="553">
        <f>'Ethylene Recycling LC'!M50+'Propylene Recycling LC'!M50+'Methanol Recycling LC'!M47+'BTX Recycling LC'!M47+'Butadiene Recycling LC'!M47</f>
        <v>390.05979406900741</v>
      </c>
      <c r="AU4" s="553">
        <f>'Ethylene Recycling LC'!N50+'Propylene Recycling LC'!N50+'Methanol Recycling LC'!N47+'BTX Recycling LC'!N47+'Butadiene Recycling LC'!N47</f>
        <v>392.77684767980571</v>
      </c>
      <c r="AV4" s="553">
        <f>'Ethylene Recycling LC'!O50+'Propylene Recycling LC'!O50+'Methanol Recycling LC'!O47+'BTX Recycling LC'!O47+'Butadiene Recycling LC'!O47</f>
        <v>395.15562365096304</v>
      </c>
      <c r="AW4" s="553">
        <f>'Ethylene Recycling LC'!P50+'Propylene Recycling LC'!P50+'Methanol Recycling LC'!P47+'BTX Recycling LC'!P47+'Butadiene Recycling LC'!P47</f>
        <v>396.20392353281807</v>
      </c>
      <c r="AX4" s="553">
        <f>'Ethylene Recycling LC'!Q50+'Propylene Recycling LC'!Q50+'Methanol Recycling LC'!Q47+'BTX Recycling LC'!Q47+'Butadiene Recycling LC'!Q47</f>
        <v>396.44339428218086</v>
      </c>
      <c r="AY4" s="553">
        <f>'Ethylene Recycling LC'!R50+'Propylene Recycling LC'!R50+'Methanol Recycling LC'!R47+'BTX Recycling LC'!R47+'Butadiene Recycling LC'!R47</f>
        <v>395.86962510596555</v>
      </c>
      <c r="AZ4" s="553">
        <f>'Ethylene Recycling LC'!S50+'Propylene Recycling LC'!S50+'Methanol Recycling LC'!S47+'BTX Recycling LC'!S47+'Butadiene Recycling LC'!S47</f>
        <v>395.35271769616941</v>
      </c>
      <c r="BA4" s="553">
        <f>'Ethylene Recycling LC'!T50+'Propylene Recycling LC'!T50+'Methanol Recycling LC'!T47+'BTX Recycling LC'!T47+'Butadiene Recycling LC'!T47</f>
        <v>394.73620629732937</v>
      </c>
      <c r="BB4" s="553">
        <f>'Ethylene Recycling LC'!U50+'Propylene Recycling LC'!U50+'Methanol Recycling LC'!U47+'BTX Recycling LC'!U47+'Butadiene Recycling LC'!U47</f>
        <v>394.01913517090185</v>
      </c>
      <c r="BC4" s="553">
        <f>'Ethylene Recycling LC'!V50+'Propylene Recycling LC'!V50+'Methanol Recycling LC'!V47+'BTX Recycling LC'!V47+'Butadiene Recycling LC'!V47</f>
        <v>393.20058338331313</v>
      </c>
      <c r="BD4" s="553">
        <f>'Ethylene Recycling LC'!W50+'Propylene Recycling LC'!W50+'Methanol Recycling LC'!W47+'BTX Recycling LC'!W47+'Butadiene Recycling LC'!W47</f>
        <v>392.27966575419902</v>
      </c>
      <c r="BE4" s="553">
        <f>'Ethylene Recycling LC'!X50+'Propylene Recycling LC'!X50+'Methanol Recycling LC'!X47+'BTX Recycling LC'!X47+'Butadiene Recycling LC'!X47</f>
        <v>389.48888855381074</v>
      </c>
      <c r="BF4" s="553">
        <f>'Ethylene Recycling LC'!Y50+'Propylene Recycling LC'!Y50+'Methanol Recycling LC'!Y47+'BTX Recycling LC'!Y47+'Butadiene Recycling LC'!Y47</f>
        <v>388.29850201506781</v>
      </c>
      <c r="BG4" s="553">
        <f>'Ethylene Recycling LC'!Z50+'Propylene Recycling LC'!Z50+'Methanol Recycling LC'!Z47+'BTX Recycling LC'!Z47+'Butadiene Recycling LC'!Z47</f>
        <v>386.92407634210201</v>
      </c>
      <c r="BH4" s="553">
        <f>'Ethylene Recycling LC'!AA50+'Propylene Recycling LC'!AA50+'Methanol Recycling LC'!AA47+'BTX Recycling LC'!AA47+'Butadiene Recycling LC'!AA47</f>
        <v>385.44473428224967</v>
      </c>
      <c r="BI4" s="553">
        <f>'Ethylene Recycling LC'!AB50+'Propylene Recycling LC'!AB50+'Methanol Recycling LC'!AB47+'BTX Recycling LC'!AB47+'Butadiene Recycling LC'!AB47</f>
        <v>383.8597174353979</v>
      </c>
      <c r="BJ4" s="553">
        <f>'Ethylene Recycling LC'!AC50+'Propylene Recycling LC'!AC50+'Methanol Recycling LC'!AC47+'BTX Recycling LC'!AC47+'Butadiene Recycling LC'!AC47</f>
        <v>382.07100704190589</v>
      </c>
      <c r="BK4" s="553">
        <f>'Ethylene Recycling LC'!AD50+'Propylene Recycling LC'!AD50+'Methanol Recycling LC'!AD47+'BTX Recycling LC'!AD47+'Butadiene Recycling LC'!AD47</f>
        <v>380.17684881942807</v>
      </c>
      <c r="BL4" s="553">
        <f>'Ethylene Recycling LC'!AE50+'Propylene Recycling LC'!AE50+'Methanol Recycling LC'!AE47+'BTX Recycling LC'!AE47+'Butadiene Recycling LC'!AE47</f>
        <v>378.1765408017481</v>
      </c>
      <c r="BM4" s="553">
        <f>'Ethylene Recycling LC'!AF50+'Propylene Recycling LC'!AF50+'Methanol Recycling LC'!AF47+'BTX Recycling LC'!AF47+'Butadiene Recycling LC'!AF47</f>
        <v>376.06941332245498</v>
      </c>
      <c r="BN4" s="553">
        <f>'Ethylene Recycling LC'!AG50+'Propylene Recycling LC'!AG50+'Methanol Recycling LC'!AG47+'BTX Recycling LC'!AG47+'Butadiene Recycling LC'!AG47</f>
        <v>373.85482969943484</v>
      </c>
      <c r="BP4" s="553">
        <f>'Ethylene Recycling HC'!C32+'Propylene Recycling HC'!C32+'Methanol Recycling HC'!C32+'BTX Recycling HC'!C32+'Butadiene Recycling HC'!C32</f>
        <v>324.40768545388835</v>
      </c>
      <c r="BQ4" s="553">
        <f>'Ethylene Recycling HC'!D32+'Propylene Recycling HC'!D32+'Methanol Recycling HC'!D32+'BTX Recycling HC'!D32+'Butadiene Recycling HC'!D32</f>
        <v>335.28231755915317</v>
      </c>
      <c r="BR4" s="553">
        <f>'Ethylene Recycling HC'!E32+'Propylene Recycling HC'!E32+'Methanol Recycling HC'!E32+'BTX Recycling HC'!E32+'Butadiene Recycling HC'!E32</f>
        <v>345.61565231605346</v>
      </c>
      <c r="BS4" s="553">
        <f>'Ethylene Recycling HC'!F32+'Propylene Recycling HC'!F32+'Methanol Recycling HC'!F32+'BTX Recycling HC'!F32+'Butadiene Recycling HC'!F32</f>
        <v>355.33676550135777</v>
      </c>
      <c r="BT4" s="553">
        <f>'Ethylene Recycling HC'!G32+'Propylene Recycling HC'!G32+'Methanol Recycling HC'!G32+'BTX Recycling HC'!G32+'Butadiene Recycling HC'!G32</f>
        <v>364.37757107154272</v>
      </c>
      <c r="BU4" s="553">
        <f>'Ethylene Recycling HC'!H32+'Propylene Recycling HC'!H32+'Methanol Recycling HC'!H32+'BTX Recycling HC'!H32+'Butadiene Recycling HC'!H32</f>
        <v>372.67361549702787</v>
      </c>
      <c r="BV4" s="553">
        <f>'Ethylene Recycling HC'!I32+'Propylene Recycling HC'!I32+'Methanol Recycling HC'!I32+'BTX Recycling HC'!I32+'Butadiene Recycling HC'!I32</f>
        <v>380.98503260864499</v>
      </c>
      <c r="BW4" s="553">
        <f>'Ethylene Recycling HC'!J32+'Propylene Recycling HC'!J32+'Methanol Recycling HC'!J32+'BTX Recycling HC'!J32+'Butadiene Recycling HC'!J32</f>
        <v>389.30429718846113</v>
      </c>
      <c r="BX4" s="553">
        <f>'Ethylene Recycling HC'!K32+'Propylene Recycling HC'!K32+'Methanol Recycling HC'!K32+'BTX Recycling HC'!K32+'Butadiene Recycling HC'!K32</f>
        <v>397.62369296828092</v>
      </c>
      <c r="BY4" s="553">
        <f>'Ethylene Recycling HC'!L32+'Propylene Recycling HC'!L32+'Methanol Recycling HC'!L32+'BTX Recycling HC'!L32+'Butadiene Recycling HC'!L32</f>
        <v>405.93532266444282</v>
      </c>
      <c r="BZ4" s="553">
        <f>'Ethylene Recycling HC'!M32+'Propylene Recycling HC'!M32+'Methanol Recycling HC'!M32+'BTX Recycling HC'!M32+'Butadiene Recycling HC'!M32</f>
        <v>414.23111869081902</v>
      </c>
      <c r="CA4" s="553">
        <f>'Ethylene Recycling HC'!N32+'Propylene Recycling HC'!N32+'Methanol Recycling HC'!N32+'BTX Recycling HC'!N32+'Butadiene Recycling HC'!N32</f>
        <v>421.89834140174162</v>
      </c>
      <c r="CB4" s="553">
        <f>'Ethylene Recycling HC'!O32+'Propylene Recycling HC'!O32+'Methanol Recycling HC'!O32+'BTX Recycling HC'!O32+'Butadiene Recycling HC'!O32</f>
        <v>428.89446700163188</v>
      </c>
      <c r="CC4" s="553">
        <f>'Ethylene Recycling HC'!P32+'Propylene Recycling HC'!P32+'Methanol Recycling HC'!P32+'BTX Recycling HC'!P32+'Butadiene Recycling HC'!P32</f>
        <v>435.17997522300169</v>
      </c>
      <c r="CD4" s="553">
        <f>'Ethylene Recycling HC'!Q32+'Propylene Recycling HC'!Q32+'Methanol Recycling HC'!Q32+'BTX Recycling HC'!Q32+'Butadiene Recycling HC'!Q32</f>
        <v>440.71871663624506</v>
      </c>
      <c r="CE4" s="553">
        <f>'Ethylene Recycling HC'!R32+'Propylene Recycling HC'!R32+'Methanol Recycling HC'!R32+'BTX Recycling HC'!R32+'Butadiene Recycling HC'!R32</f>
        <v>445.47825510447694</v>
      </c>
      <c r="CF4" s="553">
        <f>'Ethylene Recycling HC'!S32+'Propylene Recycling HC'!S32+'Methanol Recycling HC'!S32+'BTX Recycling HC'!S32+'Butadiene Recycling HC'!S32</f>
        <v>450.23990570364913</v>
      </c>
      <c r="CG4" s="553">
        <f>'Ethylene Recycling HC'!T32+'Propylene Recycling HC'!T32+'Methanol Recycling HC'!T32+'BTX Recycling HC'!T32+'Butadiene Recycling HC'!T32</f>
        <v>455.002607549804</v>
      </c>
      <c r="CH4" s="553">
        <f>'Ethylene Recycling HC'!U32+'Propylene Recycling HC'!U32+'Methanol Recycling HC'!U32+'BTX Recycling HC'!U32+'Butadiene Recycling HC'!U32</f>
        <v>459.76528702255717</v>
      </c>
      <c r="CI4" s="553">
        <f>'Ethylene Recycling HC'!V32+'Propylene Recycling HC'!V32+'Methanol Recycling HC'!V32+'BTX Recycling HC'!V32+'Butadiene Recycling HC'!V32</f>
        <v>464.52685810380467</v>
      </c>
      <c r="CJ4" s="553">
        <f>'Ethylene Recycling HC'!W32+'Propylene Recycling HC'!W32+'Methanol Recycling HC'!W32+'BTX Recycling HC'!W32+'Butadiene Recycling HC'!W32</f>
        <v>469.28622272768155</v>
      </c>
      <c r="CK4" s="553">
        <f>'Ethylene Recycling HC'!X32+'Propylene Recycling HC'!X32+'Methanol Recycling HC'!X32+'BTX Recycling HC'!X32+'Butadiene Recycling HC'!X32</f>
        <v>474.04749243843122</v>
      </c>
      <c r="CL4" s="553">
        <f>'Ethylene Recycling HC'!Y32+'Propylene Recycling HC'!Y32+'Methanol Recycling HC'!Y32+'BTX Recycling HC'!Y32+'Butadiene Recycling HC'!Y32</f>
        <v>478.80971133567579</v>
      </c>
      <c r="CM4" s="553">
        <f>'Ethylene Recycling HC'!Z32+'Propylene Recycling HC'!Z32+'Methanol Recycling HC'!Z32+'BTX Recycling HC'!Z32+'Butadiene Recycling HC'!Z32</f>
        <v>483.5719127163805</v>
      </c>
      <c r="CN4" s="553">
        <f>'Ethylene Recycling HC'!AA32+'Propylene Recycling HC'!AA32+'Methanol Recycling HC'!AA32+'BTX Recycling HC'!AA32+'Butadiene Recycling HC'!AA32</f>
        <v>488.33311935106536</v>
      </c>
      <c r="CO4" s="553">
        <f>'Ethylene Recycling HC'!AB32+'Propylene Recycling HC'!AB32+'Methanol Recycling HC'!AB32+'BTX Recycling HC'!AB32+'Butadiene Recycling HC'!AB32</f>
        <v>493.09234376861764</v>
      </c>
      <c r="CP4" s="553">
        <f>'Ethylene Recycling HC'!AC32+'Propylene Recycling HC'!AC32+'Methanol Recycling HC'!AC32+'BTX Recycling HC'!AC32+'Butadiene Recycling HC'!AC32</f>
        <v>497.85329532816434</v>
      </c>
      <c r="CQ4" s="553">
        <f>'Ethylene Recycling HC'!AD32+'Propylene Recycling HC'!AD32+'Methanol Recycling HC'!AD32+'BTX Recycling HC'!AD32+'Butadiene Recycling HC'!AD32</f>
        <v>502.61510817254663</v>
      </c>
      <c r="CR4" s="553">
        <f>'Ethylene Recycling HC'!AE32+'Propylene Recycling HC'!AE32+'Methanol Recycling HC'!AE32+'BTX Recycling HC'!AE32+'Butadiene Recycling HC'!AE32</f>
        <v>507.37690720102233</v>
      </c>
      <c r="CS4" s="553">
        <f>'Ethylene Recycling HC'!AF32+'Propylene Recycling HC'!AF32+'Methanol Recycling HC'!AF32+'BTX Recycling HC'!AF32+'Butadiene Recycling HC'!AF32</f>
        <v>512.13780829676875</v>
      </c>
      <c r="CT4" s="553">
        <f>'Ethylene Recycling HC'!AG32+'Propylene Recycling HC'!AG32+'Methanol Recycling HC'!AG32+'BTX Recycling HC'!AG32+'Butadiene Recycling HC'!AG32</f>
        <v>516.89691856104844</v>
      </c>
      <c r="CV4" s="553">
        <f>BP4</f>
        <v>324.40768545388835</v>
      </c>
      <c r="CW4" s="553">
        <f t="shared" ref="CW4:DZ4" si="57">BQ4</f>
        <v>335.28231755915317</v>
      </c>
      <c r="CX4" s="553">
        <f t="shared" si="57"/>
        <v>345.61565231605346</v>
      </c>
      <c r="CY4" s="553">
        <f t="shared" si="57"/>
        <v>355.33676550135777</v>
      </c>
      <c r="CZ4" s="553">
        <f t="shared" si="57"/>
        <v>364.37757107154272</v>
      </c>
      <c r="DA4" s="553">
        <f t="shared" si="57"/>
        <v>372.67361549702787</v>
      </c>
      <c r="DB4" s="553">
        <f t="shared" si="57"/>
        <v>380.98503260864499</v>
      </c>
      <c r="DC4" s="553">
        <f t="shared" si="57"/>
        <v>389.30429718846113</v>
      </c>
      <c r="DD4" s="553">
        <f t="shared" si="57"/>
        <v>397.62369296828092</v>
      </c>
      <c r="DE4" s="553">
        <f t="shared" si="57"/>
        <v>405.93532266444282</v>
      </c>
      <c r="DF4" s="553">
        <f t="shared" si="57"/>
        <v>414.23111869081902</v>
      </c>
      <c r="DG4" s="553">
        <f t="shared" si="57"/>
        <v>421.89834140174162</v>
      </c>
      <c r="DH4" s="553">
        <f t="shared" si="57"/>
        <v>428.89446700163188</v>
      </c>
      <c r="DI4" s="553">
        <f t="shared" si="57"/>
        <v>435.17997522300169</v>
      </c>
      <c r="DJ4" s="553">
        <f t="shared" si="57"/>
        <v>440.71871663624506</v>
      </c>
      <c r="DK4" s="553">
        <f t="shared" si="57"/>
        <v>445.47825510447694</v>
      </c>
      <c r="DL4" s="553">
        <f t="shared" si="57"/>
        <v>450.23990570364913</v>
      </c>
      <c r="DM4" s="553">
        <f t="shared" si="57"/>
        <v>455.002607549804</v>
      </c>
      <c r="DN4" s="553">
        <f t="shared" si="57"/>
        <v>459.76528702255717</v>
      </c>
      <c r="DO4" s="553">
        <f t="shared" si="57"/>
        <v>464.52685810380467</v>
      </c>
      <c r="DP4" s="553">
        <f t="shared" si="57"/>
        <v>469.28622272768155</v>
      </c>
      <c r="DQ4" s="553">
        <f t="shared" si="57"/>
        <v>474.04749243843122</v>
      </c>
      <c r="DR4" s="553">
        <f t="shared" si="57"/>
        <v>478.80971133567579</v>
      </c>
      <c r="DS4" s="553">
        <f t="shared" si="57"/>
        <v>483.5719127163805</v>
      </c>
      <c r="DT4" s="553">
        <f t="shared" si="57"/>
        <v>488.33311935106536</v>
      </c>
      <c r="DU4" s="553">
        <f t="shared" si="57"/>
        <v>493.09234376861764</v>
      </c>
      <c r="DV4" s="553">
        <f t="shared" si="57"/>
        <v>497.85329532816434</v>
      </c>
      <c r="DW4" s="553">
        <f t="shared" si="57"/>
        <v>502.61510817254663</v>
      </c>
      <c r="DX4" s="553">
        <f t="shared" si="57"/>
        <v>507.37690720102233</v>
      </c>
      <c r="DY4" s="553">
        <f t="shared" si="57"/>
        <v>512.13780829676875</v>
      </c>
      <c r="DZ4" s="553">
        <f t="shared" si="57"/>
        <v>516.89691856104844</v>
      </c>
      <c r="EE4" s="554" t="s">
        <v>425</v>
      </c>
      <c r="EF4" s="554" t="s">
        <v>426</v>
      </c>
      <c r="EG4" s="554" t="s">
        <v>410</v>
      </c>
      <c r="EH4" s="554" t="s">
        <v>427</v>
      </c>
      <c r="EK4" s="613">
        <v>4.8379999999999999E-2</v>
      </c>
      <c r="EL4" s="613">
        <v>4.8379999999999999E-2</v>
      </c>
      <c r="EM4" s="613">
        <v>4.8379999999999999E-2</v>
      </c>
      <c r="EN4" s="613">
        <v>4.8379999999999999E-2</v>
      </c>
      <c r="EO4" s="613">
        <v>4.8379999999999999E-2</v>
      </c>
      <c r="EP4" s="613">
        <v>4.8379999999999999E-2</v>
      </c>
      <c r="EQ4" s="613">
        <v>4.8379999999999999E-2</v>
      </c>
      <c r="ER4" s="613">
        <v>4.8379999999999999E-2</v>
      </c>
      <c r="ES4" s="613">
        <v>4.8379999999999999E-2</v>
      </c>
      <c r="ET4" s="613">
        <v>4.8379999999999999E-2</v>
      </c>
      <c r="EU4" s="613">
        <v>4.8379999999999999E-2</v>
      </c>
      <c r="EV4" s="613">
        <v>4.8379999999999999E-2</v>
      </c>
      <c r="EW4" s="613">
        <v>4.8379999999999999E-2</v>
      </c>
      <c r="EX4" s="613">
        <v>4.8379999999999999E-2</v>
      </c>
      <c r="EY4" s="613">
        <v>4.8379999999999999E-2</v>
      </c>
      <c r="EZ4" s="613">
        <v>4.8379999999999999E-2</v>
      </c>
      <c r="FA4" s="613">
        <v>4.8379999999999999E-2</v>
      </c>
      <c r="FB4" s="613">
        <v>4.8379999999999999E-2</v>
      </c>
      <c r="FC4" s="613">
        <v>4.8379999999999999E-2</v>
      </c>
      <c r="FD4" s="613">
        <v>4.8379999999999999E-2</v>
      </c>
      <c r="FE4" s="613">
        <v>4.8379999999999999E-2</v>
      </c>
      <c r="FF4" s="613">
        <v>4.8379999999999999E-2</v>
      </c>
      <c r="FG4" s="613">
        <v>4.8379999999999999E-2</v>
      </c>
      <c r="FH4" s="613">
        <v>4.8379999999999999E-2</v>
      </c>
      <c r="FI4" s="613">
        <v>4.8379999999999999E-2</v>
      </c>
    </row>
    <row r="5" spans="1:165" ht="16" thickBot="1" x14ac:dyDescent="0.25">
      <c r="A5" s="1"/>
      <c r="B5" s="1"/>
      <c r="C5" s="54"/>
      <c r="EE5" t="s">
        <v>428</v>
      </c>
      <c r="EF5" t="s">
        <v>429</v>
      </c>
      <c r="EG5" t="s">
        <v>410</v>
      </c>
      <c r="EH5" t="s">
        <v>430</v>
      </c>
      <c r="EK5" s="43">
        <v>0.48</v>
      </c>
      <c r="EL5" s="43">
        <v>0.4660353086988977</v>
      </c>
      <c r="EM5" s="43">
        <v>0.45207061739779542</v>
      </c>
      <c r="EN5" s="43">
        <v>0.43810592609669313</v>
      </c>
      <c r="EO5" s="43">
        <v>0.42414123479559085</v>
      </c>
      <c r="EP5" s="43">
        <v>0.41017654349448857</v>
      </c>
      <c r="EQ5" s="43">
        <v>0.39621185219338628</v>
      </c>
      <c r="ER5" s="43">
        <v>0.382247160892284</v>
      </c>
      <c r="ES5" s="43">
        <v>0.36828246959118172</v>
      </c>
      <c r="ET5" s="43">
        <v>0.35431777829007943</v>
      </c>
      <c r="EU5" s="43">
        <v>0.34035308698897715</v>
      </c>
      <c r="EV5" s="43">
        <v>0.32638839568787487</v>
      </c>
      <c r="EW5" s="43">
        <v>0.31242370438677258</v>
      </c>
      <c r="EX5" s="43">
        <v>0.2984590130856703</v>
      </c>
      <c r="EY5" s="43">
        <v>0.28449432178456802</v>
      </c>
      <c r="EZ5" s="43">
        <v>0.27052963048346573</v>
      </c>
      <c r="FA5" s="43">
        <v>0.25656493918236345</v>
      </c>
      <c r="FB5" s="43">
        <v>0.24260024788126119</v>
      </c>
      <c r="FC5" s="43">
        <v>0.22863555658015894</v>
      </c>
      <c r="FD5" s="43">
        <v>0.21467086527905668</v>
      </c>
      <c r="FE5" s="43">
        <v>0.20070617397795443</v>
      </c>
      <c r="FF5" s="43">
        <v>0.18674148267685217</v>
      </c>
      <c r="FG5" s="43">
        <v>0.17277679137574992</v>
      </c>
      <c r="FH5" s="43">
        <v>0.15881210007464766</v>
      </c>
      <c r="FI5" s="43">
        <v>0.14484740877354568</v>
      </c>
    </row>
    <row r="6" spans="1:165" s="554" customFormat="1" x14ac:dyDescent="0.2">
      <c r="A6" s="550" t="s">
        <v>431</v>
      </c>
      <c r="B6" s="551"/>
      <c r="C6" s="552" t="s">
        <v>153</v>
      </c>
      <c r="D6" s="553">
        <f>SUM(D9:D12)</f>
        <v>186.18442597654681</v>
      </c>
      <c r="E6" s="553">
        <f t="shared" ref="E6:AH6" si="58">SUM(E9:E12)</f>
        <v>193.95371305579221</v>
      </c>
      <c r="F6" s="553">
        <f t="shared" si="58"/>
        <v>201.5654369705972</v>
      </c>
      <c r="G6" s="553">
        <f t="shared" si="58"/>
        <v>208.90677473414047</v>
      </c>
      <c r="H6" s="553">
        <f t="shared" si="58"/>
        <v>215.87770484217273</v>
      </c>
      <c r="I6" s="553">
        <f t="shared" si="58"/>
        <v>222.42691754334609</v>
      </c>
      <c r="J6" s="553">
        <f t="shared" si="58"/>
        <v>228.02597484508919</v>
      </c>
      <c r="K6" s="553">
        <f t="shared" si="58"/>
        <v>233.57098912343798</v>
      </c>
      <c r="L6" s="553">
        <f t="shared" si="58"/>
        <v>239.05427353979422</v>
      </c>
      <c r="M6" s="553">
        <f t="shared" si="58"/>
        <v>244.46963532130098</v>
      </c>
      <c r="N6" s="553">
        <f t="shared" si="58"/>
        <v>249.81214984191433</v>
      </c>
      <c r="O6" s="553">
        <f t="shared" si="58"/>
        <v>254.00583049219199</v>
      </c>
      <c r="P6" s="553">
        <f t="shared" si="58"/>
        <v>257.98264122665705</v>
      </c>
      <c r="Q6" s="553">
        <f t="shared" si="58"/>
        <v>260.90664360038477</v>
      </c>
      <c r="R6" s="553">
        <f t="shared" si="58"/>
        <v>263.2112342432647</v>
      </c>
      <c r="S6" s="553">
        <f t="shared" si="58"/>
        <v>264.87572286518184</v>
      </c>
      <c r="T6" s="553">
        <f t="shared" si="58"/>
        <v>266.57833912600614</v>
      </c>
      <c r="U6" s="553">
        <f t="shared" si="58"/>
        <v>268.10330881389694</v>
      </c>
      <c r="V6" s="553">
        <f t="shared" si="58"/>
        <v>269.41342696451409</v>
      </c>
      <c r="W6" s="553">
        <f t="shared" si="58"/>
        <v>270.486442124821</v>
      </c>
      <c r="X6" s="553">
        <f t="shared" si="58"/>
        <v>271.25833339375237</v>
      </c>
      <c r="Y6" s="553">
        <f t="shared" si="58"/>
        <v>270.95562517435781</v>
      </c>
      <c r="Z6" s="553">
        <f t="shared" si="58"/>
        <v>271.8279249979837</v>
      </c>
      <c r="AA6" s="553">
        <f t="shared" si="58"/>
        <v>272.20470204119073</v>
      </c>
      <c r="AB6" s="553">
        <f t="shared" si="58"/>
        <v>272.29373268731405</v>
      </c>
      <c r="AC6" s="553">
        <f t="shared" si="58"/>
        <v>272.08930698170536</v>
      </c>
      <c r="AD6" s="553">
        <f t="shared" si="58"/>
        <v>271.43135626740798</v>
      </c>
      <c r="AE6" s="553">
        <f t="shared" si="58"/>
        <v>270.48445823642658</v>
      </c>
      <c r="AF6" s="553">
        <f t="shared" si="58"/>
        <v>269.25461861093657</v>
      </c>
      <c r="AG6" s="553">
        <f t="shared" si="58"/>
        <v>267.74192855430124</v>
      </c>
      <c r="AH6" s="553">
        <f t="shared" si="58"/>
        <v>265.91049994855865</v>
      </c>
      <c r="AJ6" s="553">
        <f>SUM(AJ9:AJ12)</f>
        <v>186.18439578806351</v>
      </c>
      <c r="AK6" s="553">
        <f t="shared" ref="AK6:BN6" si="59">SUM(AK9:AK12)</f>
        <v>194.16700022410785</v>
      </c>
      <c r="AL6" s="553">
        <f t="shared" si="59"/>
        <v>202.02648011314849</v>
      </c>
      <c r="AM6" s="553">
        <f t="shared" si="59"/>
        <v>209.62687464246847</v>
      </c>
      <c r="AN6" s="553">
        <f t="shared" si="59"/>
        <v>216.87459601275205</v>
      </c>
      <c r="AO6" s="553">
        <f t="shared" si="59"/>
        <v>223.7169870133618</v>
      </c>
      <c r="AP6" s="553">
        <f t="shared" si="59"/>
        <v>230.09147943439723</v>
      </c>
      <c r="AQ6" s="553">
        <f t="shared" si="59"/>
        <v>236.46188046966387</v>
      </c>
      <c r="AR6" s="553">
        <f t="shared" si="59"/>
        <v>242.82077648724425</v>
      </c>
      <c r="AS6" s="553">
        <f t="shared" si="59"/>
        <v>249.16155126673129</v>
      </c>
      <c r="AT6" s="553">
        <f t="shared" si="59"/>
        <v>255.47770247605433</v>
      </c>
      <c r="AU6" s="553">
        <f t="shared" si="59"/>
        <v>261.01371093528599</v>
      </c>
      <c r="AV6" s="553">
        <f t="shared" si="59"/>
        <v>266.3414565293748</v>
      </c>
      <c r="AW6" s="553">
        <f t="shared" si="59"/>
        <v>270.73498038231401</v>
      </c>
      <c r="AX6" s="553">
        <f t="shared" si="59"/>
        <v>274.54619352515925</v>
      </c>
      <c r="AY6" s="553">
        <f t="shared" si="59"/>
        <v>277.75017963804044</v>
      </c>
      <c r="AZ6" s="553">
        <f t="shared" si="59"/>
        <v>280.94438998566739</v>
      </c>
      <c r="BA6" s="553">
        <f t="shared" si="59"/>
        <v>284.00305280426682</v>
      </c>
      <c r="BB6" s="553">
        <f t="shared" si="59"/>
        <v>286.91114310395881</v>
      </c>
      <c r="BC6" s="553">
        <f t="shared" si="59"/>
        <v>289.65540158119342</v>
      </c>
      <c r="BD6" s="553">
        <f t="shared" si="59"/>
        <v>292.1745156475273</v>
      </c>
      <c r="BE6" s="553">
        <f t="shared" si="59"/>
        <v>293.88779199796778</v>
      </c>
      <c r="BF6" s="553">
        <f t="shared" si="59"/>
        <v>296.67250567755576</v>
      </c>
      <c r="BG6" s="553">
        <f t="shared" si="59"/>
        <v>299.16359014562073</v>
      </c>
      <c r="BH6" s="553">
        <f t="shared" si="59"/>
        <v>301.44040372297212</v>
      </c>
      <c r="BI6" s="553">
        <f t="shared" si="59"/>
        <v>303.49408509332113</v>
      </c>
      <c r="BJ6" s="553">
        <f t="shared" si="59"/>
        <v>305.24456416961675</v>
      </c>
      <c r="BK6" s="553">
        <f t="shared" si="59"/>
        <v>306.7842824283544</v>
      </c>
      <c r="BL6" s="553">
        <f t="shared" si="59"/>
        <v>308.11901968795365</v>
      </c>
      <c r="BM6" s="553">
        <f t="shared" si="59"/>
        <v>309.25403879717641</v>
      </c>
      <c r="BN6" s="553">
        <f t="shared" si="59"/>
        <v>310.07104214518347</v>
      </c>
      <c r="BP6" s="553">
        <f>SUM(BP9:BP12)</f>
        <v>186.18435850912638</v>
      </c>
      <c r="BQ6" s="553">
        <f t="shared" ref="BQ6:CT6" si="60">SUM(BQ9:BQ12)</f>
        <v>190.59251635229654</v>
      </c>
      <c r="BR6" s="553">
        <f t="shared" si="60"/>
        <v>194.61499217444174</v>
      </c>
      <c r="BS6" s="553">
        <f t="shared" si="60"/>
        <v>198.22400933215147</v>
      </c>
      <c r="BT6" s="553">
        <f t="shared" si="60"/>
        <v>201.39472479833762</v>
      </c>
      <c r="BU6" s="553">
        <f t="shared" si="60"/>
        <v>204.10555518983418</v>
      </c>
      <c r="BV6" s="553">
        <f t="shared" si="60"/>
        <v>206.74740988586825</v>
      </c>
      <c r="BW6" s="553">
        <f t="shared" si="60"/>
        <v>209.31655310645411</v>
      </c>
      <c r="BX6" s="553">
        <f t="shared" si="60"/>
        <v>211.80931778919631</v>
      </c>
      <c r="BY6" s="553">
        <f t="shared" si="60"/>
        <v>214.222115521923</v>
      </c>
      <c r="BZ6" s="553">
        <f t="shared" si="60"/>
        <v>216.55144648587014</v>
      </c>
      <c r="CA6" s="553">
        <f t="shared" si="60"/>
        <v>218.50831722291912</v>
      </c>
      <c r="CB6" s="553">
        <f t="shared" si="60"/>
        <v>220.08297061204263</v>
      </c>
      <c r="CC6" s="553">
        <f t="shared" si="60"/>
        <v>221.26793213017001</v>
      </c>
      <c r="CD6" s="553">
        <f t="shared" si="60"/>
        <v>222.05809911894164</v>
      </c>
      <c r="CE6" s="553">
        <f t="shared" si="60"/>
        <v>222.45080729777959</v>
      </c>
      <c r="CF6" s="553">
        <f t="shared" si="60"/>
        <v>222.80722662206864</v>
      </c>
      <c r="CG6" s="553">
        <f t="shared" si="60"/>
        <v>223.12712294111554</v>
      </c>
      <c r="CH6" s="553">
        <f t="shared" si="60"/>
        <v>223.41028416596973</v>
      </c>
      <c r="CI6" s="553">
        <f t="shared" si="60"/>
        <v>223.65652085460317</v>
      </c>
      <c r="CJ6" s="553">
        <f t="shared" si="60"/>
        <v>223.86566679327586</v>
      </c>
      <c r="CK6" s="553">
        <f t="shared" si="60"/>
        <v>224.03977304044028</v>
      </c>
      <c r="CL6" s="553">
        <f t="shared" si="60"/>
        <v>224.17870811346796</v>
      </c>
      <c r="CM6" s="553">
        <f t="shared" si="60"/>
        <v>224.28236207033717</v>
      </c>
      <c r="CN6" s="553">
        <f t="shared" si="60"/>
        <v>224.35064702064545</v>
      </c>
      <c r="CO6" s="553">
        <f t="shared" si="60"/>
        <v>224.38349763361788</v>
      </c>
      <c r="CP6" s="553">
        <f t="shared" si="60"/>
        <v>224.38272579976456</v>
      </c>
      <c r="CQ6" s="553">
        <f t="shared" si="60"/>
        <v>224.34829380948042</v>
      </c>
      <c r="CR6" s="553">
        <f t="shared" si="60"/>
        <v>224.28018509537588</v>
      </c>
      <c r="CS6" s="553">
        <f t="shared" si="60"/>
        <v>224.17840468844696</v>
      </c>
      <c r="CT6" s="553">
        <f t="shared" si="60"/>
        <v>224.04297967204047</v>
      </c>
      <c r="CV6" s="553">
        <f>SUM(CV9:CV12)</f>
        <v>186.18439578806351</v>
      </c>
      <c r="CW6" s="553">
        <f t="shared" ref="CW6:DZ6" si="61">SUM(CW9:CW12)</f>
        <v>194.99213571589507</v>
      </c>
      <c r="CX6" s="553">
        <f t="shared" si="61"/>
        <v>203.82028035305999</v>
      </c>
      <c r="CY6" s="553">
        <f t="shared" si="61"/>
        <v>212.42885301051436</v>
      </c>
      <c r="CZ6" s="553">
        <f t="shared" si="61"/>
        <v>220.75429120385465</v>
      </c>
      <c r="DA6" s="553">
        <f t="shared" si="61"/>
        <v>228.73924338704734</v>
      </c>
      <c r="DB6" s="553">
        <f t="shared" si="61"/>
        <v>236.79304375058405</v>
      </c>
      <c r="DC6" s="553">
        <f t="shared" si="61"/>
        <v>244.94891353481765</v>
      </c>
      <c r="DD6" s="553">
        <f t="shared" si="61"/>
        <v>253.2017477314846</v>
      </c>
      <c r="DE6" s="553">
        <f t="shared" si="61"/>
        <v>261.54710185136673</v>
      </c>
      <c r="DF6" s="553">
        <f t="shared" si="61"/>
        <v>269.98049724914125</v>
      </c>
      <c r="DG6" s="553">
        <f t="shared" si="61"/>
        <v>278.69045762450105</v>
      </c>
      <c r="DH6" s="553">
        <f t="shared" si="61"/>
        <v>287.05710634668549</v>
      </c>
      <c r="DI6" s="553">
        <f t="shared" si="61"/>
        <v>294.93910848191803</v>
      </c>
      <c r="DJ6" s="553">
        <f t="shared" si="61"/>
        <v>302.35109596351157</v>
      </c>
      <c r="DK6" s="553">
        <f t="shared" si="61"/>
        <v>309.25165968709518</v>
      </c>
      <c r="DL6" s="553">
        <f t="shared" si="61"/>
        <v>316.18196468646943</v>
      </c>
      <c r="DM6" s="553">
        <f t="shared" si="61"/>
        <v>323.11594721712282</v>
      </c>
      <c r="DN6" s="553">
        <f t="shared" si="61"/>
        <v>330.04061871864468</v>
      </c>
      <c r="DO6" s="553">
        <f t="shared" si="61"/>
        <v>336.94472172087927</v>
      </c>
      <c r="DP6" s="553">
        <f t="shared" si="61"/>
        <v>343.76890881976055</v>
      </c>
      <c r="DQ6" s="553">
        <f t="shared" si="61"/>
        <v>351.13396682785583</v>
      </c>
      <c r="DR6" s="553">
        <f t="shared" si="61"/>
        <v>358.58217285285161</v>
      </c>
      <c r="DS6" s="553">
        <f t="shared" si="61"/>
        <v>365.94724508024717</v>
      </c>
      <c r="DT6" s="553">
        <f t="shared" si="61"/>
        <v>373.25649650100547</v>
      </c>
      <c r="DU6" s="553">
        <f t="shared" si="61"/>
        <v>380.50308665824105</v>
      </c>
      <c r="DV6" s="553">
        <f t="shared" si="61"/>
        <v>387.68155342943271</v>
      </c>
      <c r="DW6" s="553">
        <f t="shared" si="61"/>
        <v>394.81739090324658</v>
      </c>
      <c r="DX6" s="553">
        <f t="shared" si="61"/>
        <v>401.91848569382671</v>
      </c>
      <c r="DY6" s="553">
        <f t="shared" si="61"/>
        <v>408.99217231334831</v>
      </c>
      <c r="DZ6" s="553">
        <f t="shared" si="61"/>
        <v>415.92218790277752</v>
      </c>
      <c r="EE6" s="554" t="s">
        <v>432</v>
      </c>
      <c r="EF6" s="554" t="s">
        <v>433</v>
      </c>
      <c r="EG6" s="554" t="s">
        <v>410</v>
      </c>
      <c r="EH6" s="554" t="s">
        <v>430</v>
      </c>
      <c r="EK6" s="613">
        <v>0.48</v>
      </c>
      <c r="EL6" s="613">
        <v>0.4660353086988977</v>
      </c>
      <c r="EM6" s="613">
        <v>0.45207061739779542</v>
      </c>
      <c r="EN6" s="613">
        <v>0.43810592609669313</v>
      </c>
      <c r="EO6" s="613">
        <v>0.42414123479559085</v>
      </c>
      <c r="EP6" s="613">
        <v>0.41017654349448857</v>
      </c>
      <c r="EQ6" s="613">
        <v>0.39621185219338628</v>
      </c>
      <c r="ER6" s="613">
        <v>0.382247160892284</v>
      </c>
      <c r="ES6" s="613">
        <v>0.36828246959118172</v>
      </c>
      <c r="ET6" s="613">
        <v>0.35431777829007943</v>
      </c>
      <c r="EU6" s="613">
        <v>0.34035308698897715</v>
      </c>
      <c r="EV6" s="613">
        <v>0.32638839568787487</v>
      </c>
      <c r="EW6" s="613">
        <v>0.31242370438677258</v>
      </c>
      <c r="EX6" s="613">
        <v>0.2984590130856703</v>
      </c>
      <c r="EY6" s="613">
        <v>0.28449432178456802</v>
      </c>
      <c r="EZ6" s="613">
        <v>0.27052963048346573</v>
      </c>
      <c r="FA6" s="613">
        <v>0.25656493918236345</v>
      </c>
      <c r="FB6" s="613">
        <v>0.24260024788126119</v>
      </c>
      <c r="FC6" s="613">
        <v>0.22863555658015894</v>
      </c>
      <c r="FD6" s="613">
        <v>0.21467086527905668</v>
      </c>
      <c r="FE6" s="613">
        <v>0.20070617397795443</v>
      </c>
      <c r="FF6" s="613">
        <v>0.18674148267685217</v>
      </c>
      <c r="FG6" s="613">
        <v>0.17277679137574992</v>
      </c>
      <c r="FH6" s="613">
        <v>0.15881210007464766</v>
      </c>
      <c r="FI6" s="613">
        <v>0.14484740877354568</v>
      </c>
    </row>
    <row r="7" spans="1:165" s="82" customFormat="1" ht="16" thickBot="1" x14ac:dyDescent="0.25">
      <c r="A7" s="600" t="s">
        <v>434</v>
      </c>
      <c r="C7" s="170" t="s">
        <v>153</v>
      </c>
      <c r="D7" s="604">
        <f>SUM(D13:D16)</f>
        <v>138.22325947734151</v>
      </c>
      <c r="E7" s="604">
        <f t="shared" ref="E7:AH7" si="62">SUM(E13:E16)</f>
        <v>139.39473635638018</v>
      </c>
      <c r="F7" s="604">
        <f t="shared" si="62"/>
        <v>139.90503741585781</v>
      </c>
      <c r="G7" s="604">
        <f t="shared" si="62"/>
        <v>140.03733707201872</v>
      </c>
      <c r="H7" s="604">
        <f t="shared" si="62"/>
        <v>139.75946425090154</v>
      </c>
      <c r="I7" s="604">
        <f t="shared" si="62"/>
        <v>139.07244676200497</v>
      </c>
      <c r="J7" s="604">
        <f t="shared" si="62"/>
        <v>137.62812219279817</v>
      </c>
      <c r="K7" s="604">
        <f t="shared" si="62"/>
        <v>136.07480403356368</v>
      </c>
      <c r="L7" s="604">
        <f t="shared" si="62"/>
        <v>134.41269018254638</v>
      </c>
      <c r="M7" s="604">
        <f t="shared" si="62"/>
        <v>132.64063287016705</v>
      </c>
      <c r="N7" s="604">
        <f t="shared" si="62"/>
        <v>130.75638370304748</v>
      </c>
      <c r="O7" s="604">
        <f t="shared" si="62"/>
        <v>127.14476478148615</v>
      </c>
      <c r="P7" s="604">
        <f t="shared" si="62"/>
        <v>123.42869122952129</v>
      </c>
      <c r="Q7" s="604">
        <f t="shared" si="62"/>
        <v>119.27118081690305</v>
      </c>
      <c r="R7" s="604">
        <f t="shared" si="62"/>
        <v>114.89508331681594</v>
      </c>
      <c r="S7" s="604">
        <f t="shared" si="62"/>
        <v>110.32888920879141</v>
      </c>
      <c r="T7" s="604">
        <f t="shared" si="62"/>
        <v>105.89449889898209</v>
      </c>
      <c r="U7" s="604">
        <f t="shared" si="62"/>
        <v>101.49577189381279</v>
      </c>
      <c r="V7" s="604">
        <f t="shared" si="62"/>
        <v>97.169004246817082</v>
      </c>
      <c r="W7" s="604">
        <f t="shared" si="62"/>
        <v>92.935593174453857</v>
      </c>
      <c r="X7" s="604">
        <f t="shared" si="62"/>
        <v>88.858761217670747</v>
      </c>
      <c r="Y7" s="604">
        <f t="shared" si="62"/>
        <v>83.65835854609557</v>
      </c>
      <c r="Z7" s="604">
        <f t="shared" si="62"/>
        <v>79.098091163899255</v>
      </c>
      <c r="AA7" s="604">
        <f t="shared" si="62"/>
        <v>74.654797879952966</v>
      </c>
      <c r="AB7" s="604">
        <f t="shared" si="62"/>
        <v>70.348391505388904</v>
      </c>
      <c r="AC7" s="604">
        <f t="shared" si="62"/>
        <v>66.183948048664107</v>
      </c>
      <c r="AD7" s="604">
        <f t="shared" si="62"/>
        <v>62.122296239796455</v>
      </c>
      <c r="AE7" s="604">
        <f t="shared" si="62"/>
        <v>58.196167221154177</v>
      </c>
      <c r="AF7" s="604">
        <f t="shared" si="62"/>
        <v>54.398956549390306</v>
      </c>
      <c r="AG7" s="604">
        <f t="shared" si="62"/>
        <v>50.73002626707072</v>
      </c>
      <c r="AH7" s="604">
        <f t="shared" si="62"/>
        <v>47.224770511128895</v>
      </c>
      <c r="AJ7" s="604">
        <f>SUM(AJ13:AJ16)</f>
        <v>138.22328966582484</v>
      </c>
      <c r="AK7" s="604">
        <f t="shared" ref="AK7:BN7" si="63">SUM(AK13:AK16)</f>
        <v>139.57875217343039</v>
      </c>
      <c r="AL7" s="604">
        <f t="shared" si="63"/>
        <v>140.29174529130296</v>
      </c>
      <c r="AM7" s="604">
        <f t="shared" si="63"/>
        <v>140.62463066279878</v>
      </c>
      <c r="AN7" s="604">
        <f t="shared" si="63"/>
        <v>140.55011629337378</v>
      </c>
      <c r="AO7" s="604">
        <f t="shared" si="63"/>
        <v>140.06767914970933</v>
      </c>
      <c r="AP7" s="604">
        <f t="shared" si="63"/>
        <v>139.17753164245255</v>
      </c>
      <c r="AQ7" s="604">
        <f t="shared" si="63"/>
        <v>138.1843285233675</v>
      </c>
      <c r="AR7" s="604">
        <f t="shared" si="63"/>
        <v>137.08794848745237</v>
      </c>
      <c r="AS7" s="604">
        <f t="shared" si="63"/>
        <v>135.88751408803952</v>
      </c>
      <c r="AT7" s="604">
        <f t="shared" si="63"/>
        <v>134.58209159295296</v>
      </c>
      <c r="AU7" s="604">
        <f t="shared" si="63"/>
        <v>131.76313674451961</v>
      </c>
      <c r="AV7" s="604">
        <f t="shared" si="63"/>
        <v>128.8141671215881</v>
      </c>
      <c r="AW7" s="604">
        <f t="shared" si="63"/>
        <v>125.46894315050395</v>
      </c>
      <c r="AX7" s="604">
        <f t="shared" si="63"/>
        <v>121.89720075702141</v>
      </c>
      <c r="AY7" s="604">
        <f t="shared" si="63"/>
        <v>118.11944546792495</v>
      </c>
      <c r="AZ7" s="604">
        <f t="shared" si="63"/>
        <v>114.40832771050182</v>
      </c>
      <c r="BA7" s="604">
        <f t="shared" si="63"/>
        <v>110.73315349306235</v>
      </c>
      <c r="BB7" s="604">
        <f t="shared" si="63"/>
        <v>107.10799206694284</v>
      </c>
      <c r="BC7" s="604">
        <f t="shared" si="63"/>
        <v>103.54518180211956</v>
      </c>
      <c r="BD7" s="604">
        <f t="shared" si="63"/>
        <v>100.10515010667156</v>
      </c>
      <c r="BE7" s="604">
        <f t="shared" si="63"/>
        <v>95.601096555842716</v>
      </c>
      <c r="BF7" s="604">
        <f t="shared" si="63"/>
        <v>91.625996337511822</v>
      </c>
      <c r="BG7" s="604">
        <f t="shared" si="63"/>
        <v>87.760486196481068</v>
      </c>
      <c r="BH7" s="604">
        <f t="shared" si="63"/>
        <v>84.004330559277335</v>
      </c>
      <c r="BI7" s="604">
        <f t="shared" si="63"/>
        <v>80.365632342076594</v>
      </c>
      <c r="BJ7" s="604">
        <f t="shared" si="63"/>
        <v>76.826442872289022</v>
      </c>
      <c r="BK7" s="604">
        <f t="shared" si="63"/>
        <v>73.392566391073515</v>
      </c>
      <c r="BL7" s="604">
        <f t="shared" si="63"/>
        <v>70.057521113794223</v>
      </c>
      <c r="BM7" s="604">
        <f t="shared" si="63"/>
        <v>66.815374525278457</v>
      </c>
      <c r="BN7" s="604">
        <f t="shared" si="63"/>
        <v>63.78378755425134</v>
      </c>
      <c r="BP7" s="604">
        <f>SUM(BP13:BP16)</f>
        <v>138.22332694476194</v>
      </c>
      <c r="BQ7" s="604">
        <f t="shared" ref="BQ7:CT7" si="64">SUM(BQ13:BQ16)</f>
        <v>144.68980120685663</v>
      </c>
      <c r="BR7" s="604">
        <f t="shared" si="64"/>
        <v>151.00066014161177</v>
      </c>
      <c r="BS7" s="604">
        <f t="shared" si="64"/>
        <v>157.11275616920634</v>
      </c>
      <c r="BT7" s="604">
        <f t="shared" si="64"/>
        <v>162.9828462732051</v>
      </c>
      <c r="BU7" s="604">
        <f t="shared" si="64"/>
        <v>168.56806030719375</v>
      </c>
      <c r="BV7" s="604">
        <f t="shared" si="64"/>
        <v>174.23762272277676</v>
      </c>
      <c r="BW7" s="604">
        <f t="shared" si="64"/>
        <v>179.98774408200705</v>
      </c>
      <c r="BX7" s="604">
        <f t="shared" si="64"/>
        <v>185.81437517908466</v>
      </c>
      <c r="BY7" s="604">
        <f t="shared" si="64"/>
        <v>191.71320714251991</v>
      </c>
      <c r="BZ7" s="604">
        <f t="shared" si="64"/>
        <v>197.67967220494899</v>
      </c>
      <c r="CA7" s="604">
        <f t="shared" si="64"/>
        <v>203.39002417882261</v>
      </c>
      <c r="CB7" s="604">
        <f t="shared" si="64"/>
        <v>208.81149638958931</v>
      </c>
      <c r="CC7" s="604">
        <f t="shared" si="64"/>
        <v>213.91204309283179</v>
      </c>
      <c r="CD7" s="604">
        <f t="shared" si="64"/>
        <v>218.66061751730351</v>
      </c>
      <c r="CE7" s="604">
        <f t="shared" si="64"/>
        <v>223.02744780669747</v>
      </c>
      <c r="CF7" s="604">
        <f t="shared" si="64"/>
        <v>227.4326790815806</v>
      </c>
      <c r="CG7" s="604">
        <f t="shared" si="64"/>
        <v>231.87548460868857</v>
      </c>
      <c r="CH7" s="604">
        <f t="shared" si="64"/>
        <v>236.35500285658753</v>
      </c>
      <c r="CI7" s="604">
        <f t="shared" si="64"/>
        <v>240.87033724920158</v>
      </c>
      <c r="CJ7" s="604">
        <f t="shared" si="64"/>
        <v>245.42055593440574</v>
      </c>
      <c r="CK7" s="604">
        <f t="shared" si="64"/>
        <v>250.00771939799102</v>
      </c>
      <c r="CL7" s="604">
        <f t="shared" si="64"/>
        <v>254.63100322220788</v>
      </c>
      <c r="CM7" s="604">
        <f t="shared" si="64"/>
        <v>259.28955064604338</v>
      </c>
      <c r="CN7" s="604">
        <f t="shared" si="64"/>
        <v>263.98247233041997</v>
      </c>
      <c r="CO7" s="604">
        <f t="shared" si="64"/>
        <v>268.70884613499982</v>
      </c>
      <c r="CP7" s="604">
        <f t="shared" si="64"/>
        <v>273.47056952839978</v>
      </c>
      <c r="CQ7" s="604">
        <f t="shared" si="64"/>
        <v>278.2668143630662</v>
      </c>
      <c r="CR7" s="604">
        <f t="shared" si="64"/>
        <v>283.09672210564645</v>
      </c>
      <c r="CS7" s="604">
        <f t="shared" si="64"/>
        <v>287.95940360832179</v>
      </c>
      <c r="CT7" s="604">
        <f t="shared" si="64"/>
        <v>292.85393888900796</v>
      </c>
      <c r="CV7" s="604">
        <f>SUM(CV13:CV16)</f>
        <v>138.22328966582484</v>
      </c>
      <c r="CW7" s="604">
        <f t="shared" ref="CW7:DZ7" si="65">SUM(CW13:CW16)</f>
        <v>140.29018184325813</v>
      </c>
      <c r="CX7" s="604">
        <f t="shared" si="65"/>
        <v>141.79537196299347</v>
      </c>
      <c r="CY7" s="604">
        <f t="shared" si="65"/>
        <v>142.90791249084342</v>
      </c>
      <c r="CZ7" s="604">
        <f t="shared" si="65"/>
        <v>143.62327986768804</v>
      </c>
      <c r="DA7" s="604">
        <f t="shared" si="65"/>
        <v>143.93437210998053</v>
      </c>
      <c r="DB7" s="604">
        <f t="shared" si="65"/>
        <v>144.19198885806085</v>
      </c>
      <c r="DC7" s="604">
        <f t="shared" si="65"/>
        <v>144.35538365364343</v>
      </c>
      <c r="DD7" s="604">
        <f t="shared" si="65"/>
        <v>144.42194523679626</v>
      </c>
      <c r="DE7" s="604">
        <f t="shared" si="65"/>
        <v>144.388220813076</v>
      </c>
      <c r="DF7" s="604">
        <f t="shared" si="65"/>
        <v>144.25062144167759</v>
      </c>
      <c r="DG7" s="604">
        <f t="shared" si="65"/>
        <v>143.20788377724045</v>
      </c>
      <c r="DH7" s="604">
        <f t="shared" si="65"/>
        <v>141.83736065494628</v>
      </c>
      <c r="DI7" s="604">
        <f t="shared" si="65"/>
        <v>140.24086674108355</v>
      </c>
      <c r="DJ7" s="604">
        <f t="shared" si="65"/>
        <v>138.3676206727333</v>
      </c>
      <c r="DK7" s="604">
        <f t="shared" si="65"/>
        <v>136.22659541738159</v>
      </c>
      <c r="DL7" s="604">
        <f t="shared" si="65"/>
        <v>134.05794101717956</v>
      </c>
      <c r="DM7" s="604">
        <f t="shared" si="65"/>
        <v>131.88666033268092</v>
      </c>
      <c r="DN7" s="604">
        <f t="shared" si="65"/>
        <v>129.72466830391227</v>
      </c>
      <c r="DO7" s="604">
        <f t="shared" si="65"/>
        <v>127.58213638292519</v>
      </c>
      <c r="DP7" s="604">
        <f t="shared" si="65"/>
        <v>125.51731390792079</v>
      </c>
      <c r="DQ7" s="604">
        <f t="shared" si="65"/>
        <v>122.91352561057511</v>
      </c>
      <c r="DR7" s="604">
        <f t="shared" si="65"/>
        <v>120.22753848282392</v>
      </c>
      <c r="DS7" s="604">
        <f t="shared" si="65"/>
        <v>117.62466763613308</v>
      </c>
      <c r="DT7" s="604">
        <f t="shared" si="65"/>
        <v>115.07662285005962</v>
      </c>
      <c r="DU7" s="604">
        <f t="shared" si="65"/>
        <v>112.58925711037638</v>
      </c>
      <c r="DV7" s="604">
        <f t="shared" si="65"/>
        <v>110.17174189873141</v>
      </c>
      <c r="DW7" s="604">
        <f t="shared" si="65"/>
        <v>107.79771726929978</v>
      </c>
      <c r="DX7" s="604">
        <f t="shared" si="65"/>
        <v>105.45842150719528</v>
      </c>
      <c r="DY7" s="604">
        <f t="shared" si="65"/>
        <v>103.14563598342018</v>
      </c>
      <c r="DZ7" s="604">
        <f t="shared" si="65"/>
        <v>100.97473065827087</v>
      </c>
      <c r="EE7" s="82" t="s">
        <v>435</v>
      </c>
      <c r="EF7" s="82" t="s">
        <v>436</v>
      </c>
      <c r="EG7" s="82" t="s">
        <v>410</v>
      </c>
      <c r="EH7" s="82" t="s">
        <v>437</v>
      </c>
      <c r="EK7" s="614">
        <v>2.9649999999999999</v>
      </c>
      <c r="EL7" s="614">
        <v>2.955508373881282</v>
      </c>
      <c r="EM7" s="614">
        <v>2.9460167477625641</v>
      </c>
      <c r="EN7" s="614">
        <v>2.9365251216438462</v>
      </c>
      <c r="EO7" s="614">
        <v>2.9270334955251283</v>
      </c>
      <c r="EP7" s="614">
        <v>2.9175418694064104</v>
      </c>
      <c r="EQ7" s="614">
        <v>2.9080502432876925</v>
      </c>
      <c r="ER7" s="614">
        <v>2.8985586171689741</v>
      </c>
      <c r="ES7" s="614">
        <v>2.8890669910502562</v>
      </c>
      <c r="ET7" s="614">
        <v>2.8795753649315383</v>
      </c>
      <c r="EU7" s="614">
        <v>2.8700837388128204</v>
      </c>
      <c r="EV7" s="614">
        <v>2.8605921126941025</v>
      </c>
      <c r="EW7" s="614">
        <v>2.8511004865753846</v>
      </c>
      <c r="EX7" s="614">
        <v>2.8416088604566667</v>
      </c>
      <c r="EY7" s="614">
        <v>2.8321172343379488</v>
      </c>
      <c r="EZ7" s="614">
        <v>2.8226256082192309</v>
      </c>
      <c r="FA7" s="614">
        <v>2.8131339821005126</v>
      </c>
      <c r="FB7" s="614">
        <v>2.8036423559817947</v>
      </c>
      <c r="FC7" s="614">
        <v>2.7941507298630768</v>
      </c>
      <c r="FD7" s="614">
        <v>2.7846591037443589</v>
      </c>
      <c r="FE7" s="614">
        <v>2.775167477625641</v>
      </c>
      <c r="FF7" s="614">
        <v>2.7656758515069231</v>
      </c>
      <c r="FG7" s="614">
        <v>2.7561842253882052</v>
      </c>
      <c r="FH7" s="614">
        <v>2.7466925992694873</v>
      </c>
      <c r="FI7" s="614">
        <v>2.7372009731507694</v>
      </c>
    </row>
    <row r="8" spans="1:165" ht="16" thickBot="1" x14ac:dyDescent="0.25">
      <c r="EE8" t="s">
        <v>438</v>
      </c>
      <c r="EF8" t="s">
        <v>439</v>
      </c>
      <c r="EG8" t="s">
        <v>410</v>
      </c>
      <c r="EH8" t="s">
        <v>440</v>
      </c>
      <c r="EK8" s="43">
        <v>0.3</v>
      </c>
      <c r="EL8" s="43">
        <v>0.29050837388128203</v>
      </c>
      <c r="EM8" s="43">
        <v>0.28101674776256408</v>
      </c>
      <c r="EN8" s="43">
        <v>0.27152512164384612</v>
      </c>
      <c r="EO8" s="43">
        <v>0.26203349552512817</v>
      </c>
      <c r="EP8" s="43">
        <v>0.25254186940641021</v>
      </c>
      <c r="EQ8" s="43">
        <v>0.24305024328769226</v>
      </c>
      <c r="ER8" s="43">
        <v>0.2335586171689743</v>
      </c>
      <c r="ES8" s="43">
        <v>0.22406699105025635</v>
      </c>
      <c r="ET8" s="43">
        <v>0.21457536493153839</v>
      </c>
      <c r="EU8" s="43">
        <v>0.20508373881282044</v>
      </c>
      <c r="EV8" s="43">
        <v>0.19559211269410248</v>
      </c>
      <c r="EW8" s="43">
        <v>0.18610048657538453</v>
      </c>
      <c r="EX8" s="43">
        <v>0.17660886045666657</v>
      </c>
      <c r="EY8" s="43">
        <v>0.16711723433794862</v>
      </c>
      <c r="EZ8" s="43">
        <v>0.15762560821923066</v>
      </c>
      <c r="FA8" s="43">
        <v>0.14813398210051271</v>
      </c>
      <c r="FB8" s="43">
        <v>0.13864235598179475</v>
      </c>
      <c r="FC8" s="43">
        <v>0.1291507298630768</v>
      </c>
      <c r="FD8" s="43">
        <v>0.11965910374435886</v>
      </c>
      <c r="FE8" s="43">
        <v>0.11016747762564091</v>
      </c>
      <c r="FF8" s="43">
        <v>0.10067585150692297</v>
      </c>
      <c r="FG8" s="43">
        <v>9.1184225388205031E-2</v>
      </c>
      <c r="FH8" s="43">
        <v>8.169259926948709E-2</v>
      </c>
      <c r="FI8" s="43">
        <v>7.2200973150769357E-2</v>
      </c>
    </row>
    <row r="9" spans="1:165" s="554" customFormat="1" x14ac:dyDescent="0.2">
      <c r="A9" s="550" t="s">
        <v>193</v>
      </c>
      <c r="C9" s="552" t="s">
        <v>153</v>
      </c>
      <c r="D9" s="602">
        <f>'Ethylene Recycling HC'!C224+'Propylene Recycling HC'!C216+'Methanol Recycling HC'!C249+'BTX Recycling HC'!C277+'Butadiene Recycling HC'!C165</f>
        <v>30.315500465033136</v>
      </c>
      <c r="E9" s="602">
        <f>'Ethylene Recycling HC'!D224+'Propylene Recycling HC'!D216+'Methanol Recycling HC'!D249+'BTX Recycling HC'!D277+'Butadiene Recycling HC'!D165</f>
        <v>32.279589825706054</v>
      </c>
      <c r="F9" s="602">
        <f>'Ethylene Recycling HC'!E224+'Propylene Recycling HC'!E216+'Methanol Recycling HC'!E249+'BTX Recycling HC'!E277+'Butadiene Recycling HC'!E165</f>
        <v>34.660519477716882</v>
      </c>
      <c r="G9" s="602">
        <f>'Ethylene Recycling HC'!F224+'Propylene Recycling HC'!F216+'Methanol Recycling HC'!F249+'BTX Recycling HC'!F277+'Butadiene Recycling HC'!F165</f>
        <v>37.055561310664309</v>
      </c>
      <c r="H9" s="602">
        <f>'Ethylene Recycling HC'!G224+'Propylene Recycling HC'!G216+'Methanol Recycling HC'!G249+'BTX Recycling HC'!G277+'Butadiene Recycling HC'!G165</f>
        <v>39.436409530541461</v>
      </c>
      <c r="I9" s="602">
        <f>'Ethylene Recycling HC'!H224+'Propylene Recycling HC'!H216+'Methanol Recycling HC'!H249+'BTX Recycling HC'!H277+'Butadiene Recycling HC'!H165</f>
        <v>41.786670146054433</v>
      </c>
      <c r="J9" s="602">
        <f>'Ethylene Recycling HC'!I224+'Propylene Recycling HC'!I216+'Methanol Recycling HC'!I249+'BTX Recycling HC'!I277+'Butadiene Recycling HC'!I165</f>
        <v>44.081059144578973</v>
      </c>
      <c r="K9" s="602">
        <f>'Ethylene Recycling HC'!J224+'Propylene Recycling HC'!J216+'Methanol Recycling HC'!J249+'BTX Recycling HC'!J277+'Butadiene Recycling HC'!J165</f>
        <v>46.403657156147275</v>
      </c>
      <c r="L9" s="602">
        <f>'Ethylene Recycling HC'!K224+'Propylene Recycling HC'!K216+'Methanol Recycling HC'!K249+'BTX Recycling HC'!K277+'Butadiene Recycling HC'!K165</f>
        <v>48.751046182982535</v>
      </c>
      <c r="M9" s="602">
        <f>'Ethylene Recycling HC'!L224+'Propylene Recycling HC'!L216+'Methanol Recycling HC'!L249+'BTX Recycling HC'!L277+'Butadiene Recycling HC'!L165</f>
        <v>51.119614788239282</v>
      </c>
      <c r="N9" s="602">
        <f>'Ethylene Recycling HC'!M224+'Propylene Recycling HC'!M216+'Methanol Recycling HC'!M249+'BTX Recycling HC'!M277+'Butadiene Recycling HC'!M165</f>
        <v>53.505560772653432</v>
      </c>
      <c r="O9" s="602">
        <f>'Ethylene Recycling HC'!N224+'Propylene Recycling HC'!N216+'Methanol Recycling HC'!N249+'BTX Recycling HC'!N277+'Butadiene Recycling HC'!N165</f>
        <v>57.319944304595595</v>
      </c>
      <c r="P9" s="602">
        <f>'Ethylene Recycling HC'!O224+'Propylene Recycling HC'!O216+'Methanol Recycling HC'!O249+'BTX Recycling HC'!O277+'Butadiene Recycling HC'!O165</f>
        <v>61.128515470842402</v>
      </c>
      <c r="Q9" s="602">
        <f>'Ethylene Recycling HC'!P224+'Propylene Recycling HC'!P216+'Methanol Recycling HC'!P249+'BTX Recycling HC'!P277+'Butadiene Recycling HC'!P165</f>
        <v>64.641036535553511</v>
      </c>
      <c r="R9" s="602">
        <f>'Ethylene Recycling HC'!Q224+'Propylene Recycling HC'!Q216+'Methanol Recycling HC'!Q249+'BTX Recycling HC'!Q277+'Butadiene Recycling HC'!Q165</f>
        <v>67.969971616162965</v>
      </c>
      <c r="S9" s="602">
        <f>'Ethylene Recycling HC'!R224+'Propylene Recycling HC'!R216+'Methanol Recycling HC'!R249+'BTX Recycling HC'!R277+'Butadiene Recycling HC'!R165</f>
        <v>71.090982498022896</v>
      </c>
      <c r="T9" s="602">
        <f>'Ethylene Recycling HC'!S224+'Propylene Recycling HC'!S216+'Methanol Recycling HC'!S249+'BTX Recycling HC'!S277+'Butadiene Recycling HC'!S165</f>
        <v>74.162981132277153</v>
      </c>
      <c r="U9" s="602">
        <f>'Ethylene Recycling HC'!T224+'Propylene Recycling HC'!T216+'Methanol Recycling HC'!T249+'BTX Recycling HC'!T277+'Butadiene Recycling HC'!T165</f>
        <v>77.140429198634578</v>
      </c>
      <c r="V9" s="602">
        <f>'Ethylene Recycling HC'!U224+'Propylene Recycling HC'!U216+'Methanol Recycling HC'!U249+'BTX Recycling HC'!U277+'Butadiene Recycling HC'!U165</f>
        <v>80.018009536150544</v>
      </c>
      <c r="W9" s="602">
        <f>'Ethylene Recycling HC'!V224+'Propylene Recycling HC'!V216+'Methanol Recycling HC'!V249+'BTX Recycling HC'!V277+'Butadiene Recycling HC'!V165</f>
        <v>82.790317471988104</v>
      </c>
      <c r="X9" s="602">
        <f>'Ethylene Recycling HC'!W224+'Propylene Recycling HC'!W216+'Methanol Recycling HC'!W249+'BTX Recycling HC'!W277+'Butadiene Recycling HC'!W165</f>
        <v>85.451862064571174</v>
      </c>
      <c r="Y9" s="602">
        <f>'Ethylene Recycling HC'!X224+'Propylene Recycling HC'!X216+'Methanol Recycling HC'!X249+'BTX Recycling HC'!X277+'Butadiene Recycling HC'!X165</f>
        <v>89.596474402754652</v>
      </c>
      <c r="Z9" s="602">
        <f>'Ethylene Recycling HC'!Y224+'Propylene Recycling HC'!Y216+'Methanol Recycling HC'!Y249+'BTX Recycling HC'!Y277+'Butadiene Recycling HC'!Y165</f>
        <v>94.215644265987166</v>
      </c>
      <c r="AA9" s="602">
        <f>'Ethylene Recycling HC'!Z224+'Propylene Recycling HC'!Z216+'Methanol Recycling HC'!Z249+'BTX Recycling HC'!Z277+'Butadiene Recycling HC'!Z165</f>
        <v>98.570107231582128</v>
      </c>
      <c r="AB9" s="602">
        <f>'Ethylene Recycling HC'!AA224+'Propylene Recycling HC'!AA216+'Methanol Recycling HC'!AA249+'BTX Recycling HC'!AA277+'Butadiene Recycling HC'!AA165</f>
        <v>102.7150721538132</v>
      </c>
      <c r="AC9" s="602">
        <f>'Ethylene Recycling HC'!AB224+'Propylene Recycling HC'!AB216+'Methanol Recycling HC'!AB249+'BTX Recycling HC'!AB277+'Butadiene Recycling HC'!AB165</f>
        <v>106.64078712980417</v>
      </c>
      <c r="AD9" s="602">
        <f>'Ethylene Recycling HC'!AC224+'Propylene Recycling HC'!AC216+'Methanol Recycling HC'!AC249+'BTX Recycling HC'!AC277+'Butadiene Recycling HC'!AC165</f>
        <v>110.27469679484446</v>
      </c>
      <c r="AE9" s="602">
        <f>'Ethylene Recycling HC'!AD224+'Propylene Recycling HC'!AD216+'Methanol Recycling HC'!AD249+'BTX Recycling HC'!AD277+'Butadiene Recycling HC'!AD165</f>
        <v>113.65981115903084</v>
      </c>
      <c r="AF9" s="602">
        <f>'Ethylene Recycling HC'!AE224+'Propylene Recycling HC'!AE216+'Methanol Recycling HC'!AE249+'BTX Recycling HC'!AE277+'Butadiene Recycling HC'!AE165</f>
        <v>116.78519082295739</v>
      </c>
      <c r="AG9" s="602">
        <f>'Ethylene Recycling HC'!AF224+'Propylene Recycling HC'!AF216+'Methanol Recycling HC'!AF249+'BTX Recycling HC'!AF277+'Butadiene Recycling HC'!AF165</f>
        <v>119.63970920977371</v>
      </c>
      <c r="AH9" s="602">
        <f>'Ethylene Recycling HC'!AG224+'Propylene Recycling HC'!AG216+'Methanol Recycling HC'!AG249+'BTX Recycling HC'!AG277+'Butadiene Recycling HC'!AG165</f>
        <v>122.21205377442766</v>
      </c>
      <c r="AJ9" s="603">
        <f>D9</f>
        <v>30.315500465033136</v>
      </c>
      <c r="AK9" s="603">
        <f t="shared" ref="AK9:BN9" si="66">E9</f>
        <v>32.279589825706054</v>
      </c>
      <c r="AL9" s="603">
        <f t="shared" si="66"/>
        <v>34.660519477716882</v>
      </c>
      <c r="AM9" s="603">
        <f t="shared" si="66"/>
        <v>37.055561310664309</v>
      </c>
      <c r="AN9" s="603">
        <f t="shared" si="66"/>
        <v>39.436409530541461</v>
      </c>
      <c r="AO9" s="603">
        <f t="shared" si="66"/>
        <v>41.786670146054433</v>
      </c>
      <c r="AP9" s="603">
        <f t="shared" si="66"/>
        <v>44.081059144578973</v>
      </c>
      <c r="AQ9" s="603">
        <f t="shared" si="66"/>
        <v>46.403657156147275</v>
      </c>
      <c r="AR9" s="603">
        <f t="shared" si="66"/>
        <v>48.751046182982535</v>
      </c>
      <c r="AS9" s="603">
        <f t="shared" si="66"/>
        <v>51.119614788239282</v>
      </c>
      <c r="AT9" s="603">
        <f t="shared" si="66"/>
        <v>53.505560772653432</v>
      </c>
      <c r="AU9" s="603">
        <f t="shared" si="66"/>
        <v>57.319944304595595</v>
      </c>
      <c r="AV9" s="603">
        <f t="shared" si="66"/>
        <v>61.128515470842402</v>
      </c>
      <c r="AW9" s="603">
        <f t="shared" si="66"/>
        <v>64.641036535553511</v>
      </c>
      <c r="AX9" s="603">
        <f t="shared" si="66"/>
        <v>67.969971616162965</v>
      </c>
      <c r="AY9" s="603">
        <f t="shared" si="66"/>
        <v>71.090982498022896</v>
      </c>
      <c r="AZ9" s="603">
        <f t="shared" si="66"/>
        <v>74.162981132277153</v>
      </c>
      <c r="BA9" s="603">
        <f t="shared" si="66"/>
        <v>77.140429198634578</v>
      </c>
      <c r="BB9" s="603">
        <f t="shared" si="66"/>
        <v>80.018009536150544</v>
      </c>
      <c r="BC9" s="603">
        <f t="shared" si="66"/>
        <v>82.790317471988104</v>
      </c>
      <c r="BD9" s="603">
        <f t="shared" si="66"/>
        <v>85.451862064571174</v>
      </c>
      <c r="BE9" s="603">
        <f t="shared" si="66"/>
        <v>89.596474402754652</v>
      </c>
      <c r="BF9" s="603">
        <f t="shared" si="66"/>
        <v>94.215644265987166</v>
      </c>
      <c r="BG9" s="603">
        <f t="shared" si="66"/>
        <v>98.570107231582128</v>
      </c>
      <c r="BH9" s="603">
        <f t="shared" si="66"/>
        <v>102.7150721538132</v>
      </c>
      <c r="BI9" s="603">
        <f t="shared" si="66"/>
        <v>106.64078712980417</v>
      </c>
      <c r="BJ9" s="603">
        <f t="shared" si="66"/>
        <v>110.27469679484446</v>
      </c>
      <c r="BK9" s="603">
        <f t="shared" si="66"/>
        <v>113.65981115903084</v>
      </c>
      <c r="BL9" s="603">
        <f t="shared" si="66"/>
        <v>116.78519082295739</v>
      </c>
      <c r="BM9" s="603">
        <f t="shared" si="66"/>
        <v>119.63970920977371</v>
      </c>
      <c r="BN9" s="603">
        <f t="shared" si="66"/>
        <v>122.21205377442766</v>
      </c>
      <c r="BO9" s="658">
        <f>BN9/$BN$4</f>
        <v>0.32689708428451097</v>
      </c>
      <c r="BP9" s="553">
        <f>'Ethylene Recycling HC'!C225+'Propylene Recycling HC'!C217+'Methanol Recycling HC'!C250+'BTX Recycling LC'!C278+'Butadiene Recycling LC'!C166</f>
        <v>30.315500465033136</v>
      </c>
      <c r="BQ9" s="553">
        <f>'Ethylene Recycling HC'!D225+'Propylene Recycling HC'!D217+'Methanol Recycling HC'!D250+'BTX Recycling LC'!D278+'Butadiene Recycling LC'!D166</f>
        <v>30.821769322799181</v>
      </c>
      <c r="BR9" s="553">
        <f>'Ethylene Recycling HC'!E225+'Propylene Recycling HC'!E217+'Methanol Recycling HC'!E250+'BTX Recycling LC'!E278+'Butadiene Recycling LC'!E166</f>
        <v>31.336492870489923</v>
      </c>
      <c r="BS9" s="553">
        <f>'Ethylene Recycling HC'!F225+'Propylene Recycling HC'!F217+'Methanol Recycling HC'!F250+'BTX Recycling LC'!F278+'Butadiene Recycling LC'!F166</f>
        <v>31.859812301427105</v>
      </c>
      <c r="BT9" s="553">
        <f>'Ethylene Recycling HC'!G225+'Propylene Recycling HC'!G217+'Methanol Recycling HC'!G250+'BTX Recycling LC'!G278+'Butadiene Recycling LC'!G166</f>
        <v>32.391871166860938</v>
      </c>
      <c r="BU9" s="553">
        <f>'Ethylene Recycling HC'!H225+'Propylene Recycling HC'!H217+'Methanol Recycling HC'!H250+'BTX Recycling LC'!H278+'Butadiene Recycling LC'!H166</f>
        <v>32.932815415347505</v>
      </c>
      <c r="BV9" s="553">
        <f>'Ethylene Recycling HC'!I225+'Propylene Recycling HC'!I217+'Methanol Recycling HC'!I250+'BTX Recycling LC'!I278+'Butadiene Recycling LC'!I166</f>
        <v>33.482793432783815</v>
      </c>
      <c r="BW9" s="553">
        <f>'Ethylene Recycling HC'!J225+'Propylene Recycling HC'!J217+'Methanol Recycling HC'!J250+'BTX Recycling LC'!J278+'Butadiene Recycling LC'!J166</f>
        <v>34.041956083111295</v>
      </c>
      <c r="BX9" s="553">
        <f>'Ethylene Recycling HC'!K225+'Propylene Recycling HC'!K217+'Methanol Recycling HC'!K250+'BTX Recycling LC'!K278+'Butadiene Recycling LC'!K166</f>
        <v>34.610456749699253</v>
      </c>
      <c r="BY9" s="553">
        <f>'Ethylene Recycling HC'!L225+'Propylene Recycling HC'!L217+'Methanol Recycling HC'!L250+'BTX Recycling LC'!L278+'Butadiene Recycling LC'!L166</f>
        <v>35.188451377419227</v>
      </c>
      <c r="BZ9" s="553">
        <f>'Ethylene Recycling HC'!M225+'Propylene Recycling HC'!M217+'Methanol Recycling HC'!M250+'BTX Recycling LC'!M278+'Butadiene Recycling LC'!M166</f>
        <v>35.776098515422127</v>
      </c>
      <c r="CA9" s="553">
        <f>'Ethylene Recycling HC'!N225+'Propylene Recycling HC'!N217+'Methanol Recycling HC'!N250+'BTX Recycling LC'!N278+'Butadiene Recycling LC'!N166</f>
        <v>36.373559360629685</v>
      </c>
      <c r="CB9" s="553">
        <f>'Ethylene Recycling HC'!O225+'Propylene Recycling HC'!O217+'Methanol Recycling HC'!O250+'BTX Recycling LC'!O278+'Butadiene Recycling LC'!O166</f>
        <v>36.980997801952192</v>
      </c>
      <c r="CC9" s="553">
        <f>'Ethylene Recycling HC'!P225+'Propylene Recycling HC'!P217+'Methanol Recycling HC'!P250+'BTX Recycling LC'!P278+'Butadiene Recycling LC'!P166</f>
        <v>37.598580465244787</v>
      </c>
      <c r="CD9" s="553">
        <f>'Ethylene Recycling HC'!Q225+'Propylene Recycling HC'!Q217+'Methanol Recycling HC'!Q250+'BTX Recycling LC'!Q278+'Butadiene Recycling LC'!Q166</f>
        <v>38.226476759014382</v>
      </c>
      <c r="CE9" s="553">
        <f>'Ethylene Recycling HC'!R225+'Propylene Recycling HC'!R217+'Methanol Recycling HC'!R250+'BTX Recycling LC'!R278+'Butadiene Recycling LC'!R166</f>
        <v>38.864858920889915</v>
      </c>
      <c r="CF9" s="553">
        <f>'Ethylene Recycling HC'!S225+'Propylene Recycling HC'!S217+'Methanol Recycling HC'!S250+'BTX Recycling LC'!S278+'Butadiene Recycling LC'!S166</f>
        <v>39.51390206486878</v>
      </c>
      <c r="CG9" s="553">
        <f>'Ethylene Recycling HC'!T225+'Propylene Recycling HC'!T217+'Methanol Recycling HC'!T250+'BTX Recycling LC'!T278+'Butadiene Recycling LC'!T166</f>
        <v>40.17378422935208</v>
      </c>
      <c r="CH9" s="553">
        <f>'Ethylene Recycling HC'!U225+'Propylene Recycling HC'!U217+'Methanol Recycling HC'!U250+'BTX Recycling LC'!U278+'Butadiene Recycling LC'!U166</f>
        <v>40.844686425982253</v>
      </c>
      <c r="CI9" s="553">
        <f>'Ethylene Recycling HC'!V225+'Propylene Recycling HC'!V217+'Methanol Recycling HC'!V250+'BTX Recycling LC'!V278+'Butadiene Recycling LC'!V166</f>
        <v>41.526792689296158</v>
      </c>
      <c r="CJ9" s="553">
        <f>'Ethylene Recycling HC'!W225+'Propylene Recycling HC'!W217+'Methanol Recycling HC'!W250+'BTX Recycling LC'!W278+'Butadiene Recycling LC'!W166</f>
        <v>42.220290127207399</v>
      </c>
      <c r="CK9" s="553">
        <f>'Ethylene Recycling HC'!X225+'Propylene Recycling HC'!X217+'Methanol Recycling HC'!X250+'BTX Recycling LC'!X278+'Butadiene Recycling LC'!X166</f>
        <v>42.925368972331761</v>
      </c>
      <c r="CL9" s="553">
        <f>'Ethylene Recycling HC'!Y225+'Propylene Recycling HC'!Y217+'Methanol Recycling HC'!Y250+'BTX Recycling LC'!Y278+'Butadiene Recycling LC'!Y166</f>
        <v>43.642222634169691</v>
      </c>
      <c r="CM9" s="553">
        <f>'Ethylene Recycling HC'!Z225+'Propylene Recycling HC'!Z217+'Methanol Recycling HC'!Z250+'BTX Recycling LC'!Z278+'Butadiene Recycling LC'!Z166</f>
        <v>44.371047752160322</v>
      </c>
      <c r="CN9" s="553">
        <f>'Ethylene Recycling HC'!AA225+'Propylene Recycling HC'!AA217+'Methanol Recycling HC'!AA250+'BTX Recycling LC'!AA278+'Butadiene Recycling LC'!AA166</f>
        <v>45.112044249621398</v>
      </c>
      <c r="CO9" s="553">
        <f>'Ethylene Recycling HC'!AB225+'Propylene Recycling HC'!AB217+'Methanol Recycling HC'!AB250+'BTX Recycling LC'!AB278+'Butadiene Recycling LC'!AB166</f>
        <v>45.865415388590073</v>
      </c>
      <c r="CP9" s="553">
        <f>'Ethylene Recycling HC'!AC225+'Propylene Recycling HC'!AC217+'Methanol Recycling HC'!AC250+'BTX Recycling LC'!AC278+'Butadiene Recycling LC'!AC166</f>
        <v>46.631367825579531</v>
      </c>
      <c r="CQ9" s="553">
        <f>'Ethylene Recycling HC'!AD225+'Propylene Recycling HC'!AD217+'Methanol Recycling HC'!AD250+'BTX Recycling LC'!AD278+'Butadiene Recycling LC'!AD166</f>
        <v>47.410111668266701</v>
      </c>
      <c r="CR9" s="553">
        <f>'Ethylene Recycling HC'!AE225+'Propylene Recycling HC'!AE217+'Methanol Recycling HC'!AE250+'BTX Recycling LC'!AE278+'Butadiene Recycling LC'!AE166</f>
        <v>48.201860533126748</v>
      </c>
      <c r="CS9" s="553">
        <f>'Ethylene Recycling HC'!AF225+'Propylene Recycling HC'!AF217+'Methanol Recycling HC'!AF250+'BTX Recycling LC'!AF278+'Butadiene Recycling LC'!AF166</f>
        <v>49.006831604029962</v>
      </c>
      <c r="CT9" s="553">
        <f>'Ethylene Recycling HC'!AG225+'Propylene Recycling HC'!AG217+'Methanol Recycling HC'!AG250+'BTX Recycling LC'!AG278+'Butadiene Recycling LC'!AG166</f>
        <v>49.825245691817265</v>
      </c>
      <c r="CV9" s="553">
        <f>AJ9</f>
        <v>30.315500465033136</v>
      </c>
      <c r="CW9" s="553">
        <f t="shared" ref="CW9:DZ10" si="67">AK9</f>
        <v>32.279589825706054</v>
      </c>
      <c r="CX9" s="553">
        <f t="shared" si="67"/>
        <v>34.660519477716882</v>
      </c>
      <c r="CY9" s="553">
        <f t="shared" si="67"/>
        <v>37.055561310664309</v>
      </c>
      <c r="CZ9" s="553">
        <f t="shared" si="67"/>
        <v>39.436409530541461</v>
      </c>
      <c r="DA9" s="553">
        <f t="shared" si="67"/>
        <v>41.786670146054433</v>
      </c>
      <c r="DB9" s="553">
        <f t="shared" si="67"/>
        <v>44.081059144578973</v>
      </c>
      <c r="DC9" s="553">
        <f t="shared" si="67"/>
        <v>46.403657156147275</v>
      </c>
      <c r="DD9" s="553">
        <f t="shared" si="67"/>
        <v>48.751046182982535</v>
      </c>
      <c r="DE9" s="553">
        <f t="shared" si="67"/>
        <v>51.119614788239282</v>
      </c>
      <c r="DF9" s="553">
        <f t="shared" si="67"/>
        <v>53.505560772653432</v>
      </c>
      <c r="DG9" s="553">
        <f t="shared" si="67"/>
        <v>57.319944304595595</v>
      </c>
      <c r="DH9" s="553">
        <f t="shared" si="67"/>
        <v>61.128515470842402</v>
      </c>
      <c r="DI9" s="553">
        <f t="shared" si="67"/>
        <v>64.641036535553511</v>
      </c>
      <c r="DJ9" s="553">
        <f t="shared" si="67"/>
        <v>67.969971616162965</v>
      </c>
      <c r="DK9" s="553">
        <f t="shared" si="67"/>
        <v>71.090982498022896</v>
      </c>
      <c r="DL9" s="553">
        <f t="shared" si="67"/>
        <v>74.162981132277153</v>
      </c>
      <c r="DM9" s="553">
        <f t="shared" si="67"/>
        <v>77.140429198634578</v>
      </c>
      <c r="DN9" s="553">
        <f t="shared" si="67"/>
        <v>80.018009536150544</v>
      </c>
      <c r="DO9" s="553">
        <f t="shared" si="67"/>
        <v>82.790317471988104</v>
      </c>
      <c r="DP9" s="553">
        <f t="shared" si="67"/>
        <v>85.451862064571174</v>
      </c>
      <c r="DQ9" s="553">
        <f t="shared" si="67"/>
        <v>89.596474402754652</v>
      </c>
      <c r="DR9" s="553">
        <f t="shared" si="67"/>
        <v>94.215644265987166</v>
      </c>
      <c r="DS9" s="553">
        <f t="shared" si="67"/>
        <v>98.570107231582128</v>
      </c>
      <c r="DT9" s="553">
        <f t="shared" si="67"/>
        <v>102.7150721538132</v>
      </c>
      <c r="DU9" s="553">
        <f t="shared" si="67"/>
        <v>106.64078712980417</v>
      </c>
      <c r="DV9" s="553">
        <f t="shared" si="67"/>
        <v>110.27469679484446</v>
      </c>
      <c r="DW9" s="553">
        <f t="shared" si="67"/>
        <v>113.65981115903084</v>
      </c>
      <c r="DX9" s="553">
        <f t="shared" si="67"/>
        <v>116.78519082295739</v>
      </c>
      <c r="DY9" s="553">
        <f t="shared" si="67"/>
        <v>119.63970920977371</v>
      </c>
      <c r="DZ9" s="553">
        <f t="shared" si="67"/>
        <v>122.21205377442766</v>
      </c>
      <c r="EA9" s="655">
        <f>(BN9/AJ9)^(1/30)-1</f>
        <v>4.7566600385034796E-2</v>
      </c>
      <c r="EE9" s="554" t="s">
        <v>441</v>
      </c>
      <c r="EF9" s="554" t="s">
        <v>442</v>
      </c>
      <c r="EG9" s="554" t="s">
        <v>410</v>
      </c>
      <c r="EH9" s="554" t="s">
        <v>443</v>
      </c>
      <c r="EK9" s="613">
        <v>1.39</v>
      </c>
      <c r="EL9" s="613">
        <v>1.39</v>
      </c>
      <c r="EM9" s="613">
        <v>1.39</v>
      </c>
      <c r="EN9" s="613">
        <v>1.39</v>
      </c>
      <c r="EO9" s="613">
        <v>1.39</v>
      </c>
      <c r="EP9" s="613">
        <v>1.39</v>
      </c>
      <c r="EQ9" s="613">
        <v>1.39</v>
      </c>
      <c r="ER9" s="613">
        <v>1.39</v>
      </c>
      <c r="ES9" s="613">
        <v>1.39</v>
      </c>
      <c r="ET9" s="613">
        <v>1.39</v>
      </c>
      <c r="EU9" s="613">
        <v>1.39</v>
      </c>
      <c r="EV9" s="613">
        <v>1.39</v>
      </c>
      <c r="EW9" s="613">
        <v>1.39</v>
      </c>
      <c r="EX9" s="613">
        <v>1.39</v>
      </c>
      <c r="EY9" s="613">
        <v>1.39</v>
      </c>
      <c r="EZ9" s="613">
        <v>1.39</v>
      </c>
      <c r="FA9" s="613">
        <v>1.39</v>
      </c>
      <c r="FB9" s="613">
        <v>1.39</v>
      </c>
      <c r="FC9" s="613">
        <v>1.39</v>
      </c>
      <c r="FD9" s="613">
        <v>1.39</v>
      </c>
      <c r="FE9" s="613">
        <v>1.39</v>
      </c>
      <c r="FF9" s="613">
        <v>1.39</v>
      </c>
      <c r="FG9" s="613">
        <v>1.39</v>
      </c>
      <c r="FH9" s="613">
        <v>1.39</v>
      </c>
      <c r="FI9" s="613">
        <v>1.39</v>
      </c>
    </row>
    <row r="10" spans="1:165" x14ac:dyDescent="0.2">
      <c r="A10" s="601" t="s">
        <v>88</v>
      </c>
      <c r="C10" s="54" t="s">
        <v>153</v>
      </c>
      <c r="D10" s="299">
        <f>'Ethylene Recycling HC'!C311+'Ethylene Recycling HC'!C313+'Propylene Recycling HC'!C204+'Propylene Recycling HC'!C206+'Methanol Recycling HC'!C336+'Methanol Recycling HC'!C338+'BTX Recycling HC'!C364+'BTX Recycling HC'!C366+'Butadiene Recycling HC'!C252+'Butadiene Recycling HC'!C254</f>
        <v>1.4354770303603507E-4</v>
      </c>
      <c r="E10" s="299">
        <f>'Ethylene Recycling HC'!D311+'Ethylene Recycling HC'!D313+'Propylene Recycling HC'!D204+'Propylene Recycling HC'!D206+'Methanol Recycling HC'!D336+'Methanol Recycling HC'!D338+'BTX Recycling HC'!D364+'BTX Recycling HC'!D366+'Butadiene Recycling HC'!D252+'Butadiene Recycling HC'!D254</f>
        <v>3.1454028883825863E-4</v>
      </c>
      <c r="F10" s="299">
        <f>'Ethylene Recycling HC'!E311+'Ethylene Recycling HC'!E313+'Propylene Recycling HC'!E204+'Propylene Recycling HC'!E206+'Methanol Recycling HC'!E336+'Methanol Recycling HC'!E338+'BTX Recycling HC'!E364+'BTX Recycling HC'!E366+'Butadiene Recycling HC'!E252+'Butadiene Recycling HC'!E254</f>
        <v>6.6233010264466104E-4</v>
      </c>
      <c r="G10" s="299">
        <f>'Ethylene Recycling HC'!F311+'Ethylene Recycling HC'!F313+'Propylene Recycling HC'!F204+'Propylene Recycling HC'!F206+'Methanol Recycling HC'!F336+'Methanol Recycling HC'!F338+'BTX Recycling HC'!F364+'BTX Recycling HC'!F366+'Butadiene Recycling HC'!F252+'Butadiene Recycling HC'!F254</f>
        <v>1.385524406450346E-3</v>
      </c>
      <c r="H10" s="299">
        <f>'Ethylene Recycling HC'!G311+'Ethylene Recycling HC'!G313+'Propylene Recycling HC'!G204+'Propylene Recycling HC'!G206+'Methanol Recycling HC'!G336+'Methanol Recycling HC'!G338+'BTX Recycling HC'!G364+'BTX Recycling HC'!G366+'Butadiene Recycling HC'!G252+'Butadiene Recycling HC'!G254</f>
        <v>2.8766419411587578E-3</v>
      </c>
      <c r="I10" s="299">
        <f>'Ethylene Recycling HC'!H311+'Ethylene Recycling HC'!H313+'Propylene Recycling HC'!H204+'Propylene Recycling HC'!H206+'Methanol Recycling HC'!H336+'Methanol Recycling HC'!H338+'BTX Recycling HC'!H364+'BTX Recycling HC'!H366+'Butadiene Recycling HC'!H252+'Butadiene Recycling HC'!H254</f>
        <v>5.9199937680074312E-3</v>
      </c>
      <c r="J10" s="299">
        <f>'Ethylene Recycling HC'!I311+'Ethylene Recycling HC'!I313+'Propylene Recycling HC'!I204+'Propylene Recycling HC'!I206+'Methanol Recycling HC'!I336+'Methanol Recycling HC'!I338+'BTX Recycling HC'!I364+'BTX Recycling HC'!I366+'Butadiene Recycling HC'!I252+'Butadiene Recycling HC'!I254</f>
        <v>1.2004732565003295E-2</v>
      </c>
      <c r="K10" s="299">
        <f>'Ethylene Recycling HC'!J311+'Ethylene Recycling HC'!J313+'Propylene Recycling HC'!J204+'Propylene Recycling HC'!J206+'Methanol Recycling HC'!J336+'Methanol Recycling HC'!J338+'BTX Recycling HC'!J364+'BTX Recycling HC'!J366+'Butadiene Recycling HC'!J252+'Butadiene Recycling HC'!J254</f>
        <v>2.4074163411016897E-2</v>
      </c>
      <c r="L10" s="299">
        <f>'Ethylene Recycling HC'!K311+'Ethylene Recycling HC'!K313+'Propylene Recycling HC'!K204+'Propylene Recycling HC'!K206+'Methanol Recycling HC'!K336+'Methanol Recycling HC'!K338+'BTX Recycling HC'!K364+'BTX Recycling HC'!K366+'Butadiene Recycling HC'!K252+'Butadiene Recycling HC'!K254</f>
        <v>4.7583765091499933E-2</v>
      </c>
      <c r="M10" s="299">
        <f>'Ethylene Recycling HC'!L311+'Ethylene Recycling HC'!L313+'Propylene Recycling HC'!L204+'Propylene Recycling HC'!L206+'Methanol Recycling HC'!L336+'Methanol Recycling HC'!L338+'BTX Recycling HC'!L364+'BTX Recycling HC'!L366+'Butadiene Recycling HC'!L252+'Butadiene Recycling HC'!L254</f>
        <v>9.2292542867465688E-2</v>
      </c>
      <c r="N10" s="299">
        <f>'Ethylene Recycling HC'!M311+'Ethylene Recycling HC'!M313+'Propylene Recycling HC'!M204+'Propylene Recycling HC'!M206+'Methanol Recycling HC'!M336+'Methanol Recycling HC'!M338+'BTX Recycling HC'!M364+'BTX Recycling HC'!M366+'Butadiene Recycling HC'!M252+'Butadiene Recycling HC'!M254</f>
        <v>0.17201351468973924</v>
      </c>
      <c r="O10" s="299">
        <f>'Ethylene Recycling HC'!N311+'Ethylene Recycling HC'!N313+'Propylene Recycling HC'!N204+'Propylene Recycling HC'!N206+'Methanol Recycling HC'!N336+'Methanol Recycling HC'!N338+'BTX Recycling HC'!N364+'BTX Recycling HC'!N366+'Butadiene Recycling HC'!N252+'Butadiene Recycling HC'!N254</f>
        <v>0.30707646148423862</v>
      </c>
      <c r="P10" s="299">
        <f>'Ethylene Recycling HC'!O311+'Ethylene Recycling HC'!O313+'Propylene Recycling HC'!O204+'Propylene Recycling HC'!O206+'Methanol Recycling HC'!O336+'Methanol Recycling HC'!O338+'BTX Recycling HC'!O364+'BTX Recycling HC'!O366+'Butadiene Recycling HC'!O252+'Butadiene Recycling HC'!O254</f>
        <v>0.51936820419270968</v>
      </c>
      <c r="Q10" s="299">
        <f>'Ethylene Recycling HC'!P311+'Ethylene Recycling HC'!P313+'Propylene Recycling HC'!P204+'Propylene Recycling HC'!P206+'Methanol Recycling HC'!P336+'Methanol Recycling HC'!P338+'BTX Recycling HC'!P364+'BTX Recycling HC'!P366+'Butadiene Recycling HC'!P252+'Butadiene Recycling HC'!P254</f>
        <v>0.83710234900855807</v>
      </c>
      <c r="R10" s="299">
        <f>'Ethylene Recycling HC'!Q311+'Ethylene Recycling HC'!Q313+'Propylene Recycling HC'!Q204+'Propylene Recycling HC'!Q206+'Methanol Recycling HC'!Q336+'Methanol Recycling HC'!Q338+'BTX Recycling HC'!Q364+'BTX Recycling HC'!Q366+'Butadiene Recycling HC'!Q252+'Butadiene Recycling HC'!Q254</f>
        <v>1.2785950922619631</v>
      </c>
      <c r="S10" s="299">
        <f>'Ethylene Recycling HC'!R311+'Ethylene Recycling HC'!R313+'Propylene Recycling HC'!R204+'Propylene Recycling HC'!R206+'Methanol Recycling HC'!R336+'Methanol Recycling HC'!R338+'BTX Recycling HC'!R364+'BTX Recycling HC'!R366+'Butadiene Recycling HC'!R252+'Butadiene Recycling HC'!R254</f>
        <v>1.8427002367958303</v>
      </c>
      <c r="T10" s="299">
        <f>'Ethylene Recycling HC'!S311+'Ethylene Recycling HC'!S313+'Propylene Recycling HC'!S204+'Propylene Recycling HC'!S206+'Methanol Recycling HC'!S336+'Methanol Recycling HC'!S338+'BTX Recycling HC'!S364+'BTX Recycling HC'!S366+'Butadiene Recycling HC'!S252+'Butadiene Recycling HC'!S254</f>
        <v>2.5151672307499369</v>
      </c>
      <c r="U10" s="299">
        <f>'Ethylene Recycling HC'!T311+'Ethylene Recycling HC'!T313+'Propylene Recycling HC'!T204+'Propylene Recycling HC'!T206+'Methanol Recycling HC'!T336+'Methanol Recycling HC'!T338+'BTX Recycling HC'!T364+'BTX Recycling HC'!T366+'Butadiene Recycling HC'!T252+'Butadiene Recycling HC'!T254</f>
        <v>3.2969082218592485</v>
      </c>
      <c r="V10" s="299">
        <f>'Ethylene Recycling HC'!U311+'Ethylene Recycling HC'!U313+'Propylene Recycling HC'!U204+'Propylene Recycling HC'!U206+'Methanol Recycling HC'!U336+'Methanol Recycling HC'!U338+'BTX Recycling HC'!U364+'BTX Recycling HC'!U366+'Butadiene Recycling HC'!U252+'Butadiene Recycling HC'!U254</f>
        <v>4.0963860739681923</v>
      </c>
      <c r="W10" s="299">
        <f>'Ethylene Recycling HC'!V311+'Ethylene Recycling HC'!V313+'Propylene Recycling HC'!V204+'Propylene Recycling HC'!V206+'Methanol Recycling HC'!V336+'Methanol Recycling HC'!V338+'BTX Recycling HC'!V364+'BTX Recycling HC'!V366+'Butadiene Recycling HC'!V252+'Butadiene Recycling HC'!V254</f>
        <v>4.8584443125867827</v>
      </c>
      <c r="X10" s="299">
        <f>'Ethylene Recycling HC'!W311+'Ethylene Recycling HC'!W313+'Propylene Recycling HC'!W204+'Propylene Recycling HC'!W206+'Methanol Recycling HC'!W336+'Methanol Recycling HC'!W338+'BTX Recycling HC'!W364+'BTX Recycling HC'!W366+'Butadiene Recycling HC'!W252+'Butadiene Recycling HC'!W254</f>
        <v>5.3962591599708585</v>
      </c>
      <c r="Y10" s="299">
        <f>'Ethylene Recycling HC'!X311+'Ethylene Recycling HC'!X313+'Propylene Recycling HC'!X204+'Propylene Recycling HC'!X206+'Methanol Recycling HC'!X336+'Methanol Recycling HC'!X338+'BTX Recycling HC'!X364+'BTX Recycling HC'!X366+'Butadiene Recycling HC'!X252+'Butadiene Recycling HC'!X254</f>
        <v>6.0133032926349133</v>
      </c>
      <c r="Z10" s="299">
        <f>'Ethylene Recycling HC'!Y311+'Ethylene Recycling HC'!Y313+'Propylene Recycling HC'!Y204+'Propylene Recycling HC'!Y206+'Methanol Recycling HC'!Y336+'Methanol Recycling HC'!Y338+'BTX Recycling HC'!Y364+'BTX Recycling HC'!Y366+'Butadiene Recycling HC'!Y252+'Butadiene Recycling HC'!Y254</f>
        <v>6.3999568202651211</v>
      </c>
      <c r="AA10" s="299">
        <f>'Ethylene Recycling HC'!Z311+'Ethylene Recycling HC'!Z313+'Propylene Recycling HC'!Z204+'Propylene Recycling HC'!Z206+'Methanol Recycling HC'!Z336+'Methanol Recycling HC'!Z338+'BTX Recycling HC'!Z364+'BTX Recycling HC'!Z366+'Butadiene Recycling HC'!Z252+'Butadiene Recycling HC'!Z254</f>
        <v>6.6881050521731993</v>
      </c>
      <c r="AB10" s="299">
        <f>'Ethylene Recycling HC'!AA311+'Ethylene Recycling HC'!AA313+'Propylene Recycling HC'!AA204+'Propylene Recycling HC'!AA206+'Methanol Recycling HC'!AA336+'Methanol Recycling HC'!AA338+'BTX Recycling HC'!AA364+'BTX Recycling HC'!AA366+'Butadiene Recycling HC'!AA252+'Butadiene Recycling HC'!AA254</f>
        <v>6.9853583124363068</v>
      </c>
      <c r="AC10" s="299">
        <f>'Ethylene Recycling HC'!AB311+'Ethylene Recycling HC'!AB313+'Propylene Recycling HC'!AB204+'Propylene Recycling HC'!AB206+'Methanol Recycling HC'!AB336+'Methanol Recycling HC'!AB338+'BTX Recycling HC'!AB364+'BTX Recycling HC'!AB366+'Butadiene Recycling HC'!AB252+'Butadiene Recycling HC'!AB254</f>
        <v>7.2801016339071634</v>
      </c>
      <c r="AD10" s="299">
        <f>'Ethylene Recycling HC'!AC311+'Ethylene Recycling HC'!AC313+'Propylene Recycling HC'!AC204+'Propylene Recycling HC'!AC206+'Methanol Recycling HC'!AC336+'Methanol Recycling HC'!AC338+'BTX Recycling HC'!AC364+'BTX Recycling HC'!AC366+'Butadiene Recycling HC'!AC252+'Butadiene Recycling HC'!AC254</f>
        <v>7.5765382130665886</v>
      </c>
      <c r="AE10" s="299">
        <f>'Ethylene Recycling HC'!AD311+'Ethylene Recycling HC'!AD313+'Propylene Recycling HC'!AD204+'Propylene Recycling HC'!AD206+'Methanol Recycling HC'!AD336+'Methanol Recycling HC'!AD338+'BTX Recycling HC'!AD364+'BTX Recycling HC'!AD366+'Butadiene Recycling HC'!AD252+'Butadiene Recycling HC'!AD254</f>
        <v>7.9170163584993229</v>
      </c>
      <c r="AF10" s="299">
        <f>'Ethylene Recycling HC'!AE311+'Ethylene Recycling HC'!AE313+'Propylene Recycling HC'!AE204+'Propylene Recycling HC'!AE206+'Methanol Recycling HC'!AE336+'Methanol Recycling HC'!AE338+'BTX Recycling HC'!AE364+'BTX Recycling HC'!AE366+'Butadiene Recycling HC'!AE252+'Butadiene Recycling HC'!AE254</f>
        <v>8.3320465658718739</v>
      </c>
      <c r="AG10" s="299">
        <f>'Ethylene Recycling HC'!AF311+'Ethylene Recycling HC'!AF313+'Propylene Recycling HC'!AF204+'Propylene Recycling HC'!AF206+'Methanol Recycling HC'!AF336+'Methanol Recycling HC'!AF338+'BTX Recycling HC'!AF364+'BTX Recycling HC'!AF366+'Butadiene Recycling HC'!AF252+'Butadiene Recycling HC'!AF254</f>
        <v>8.8321472330560447</v>
      </c>
      <c r="AH10" s="299">
        <f>'Ethylene Recycling HC'!AG311+'Ethylene Recycling HC'!AG313+'Propylene Recycling HC'!AG204+'Propylene Recycling HC'!AG206+'Methanol Recycling HC'!AG336+'Methanol Recycling HC'!AG338+'BTX Recycling HC'!AG364+'BTX Recycling HC'!AG366+'Butadiene Recycling HC'!AG252+'Butadiene Recycling HC'!AG254</f>
        <v>9.2894839501487585</v>
      </c>
      <c r="AJ10" s="299">
        <f>'Ethylene Recycling LC'!C269+'Ethylene Recycling LC'!C271+'Propylene Recycling LC'!C190+'Propylene Recycling LC'!C192+'Methanol Recycling LC'!C336+'Methanol Recycling LC'!C338+'BTX Recycling LC'!C364+'BTX Recycling LC'!C366+'Butadiene Recycling LC'!C252+'Butadiene Recycling LC'!C254</f>
        <v>7.9316887475859034E-5</v>
      </c>
      <c r="AK10" s="299">
        <f>'Ethylene Recycling LC'!D269+'Ethylene Recycling LC'!D271+'Propylene Recycling LC'!D190+'Propylene Recycling LC'!D192+'Methanol Recycling LC'!D336+'Methanol Recycling LC'!D338+'BTX Recycling LC'!D364+'BTX Recycling LC'!D366+'Butadiene Recycling LC'!D252+'Butadiene Recycling LC'!D254</f>
        <v>1.7515621581097864E-4</v>
      </c>
      <c r="AL10" s="299">
        <f>'Ethylene Recycling LC'!E269+'Ethylene Recycling LC'!E271+'Propylene Recycling LC'!E190+'Propylene Recycling LC'!E192+'Methanol Recycling LC'!E336+'Methanol Recycling LC'!E338+'BTX Recycling LC'!E364+'BTX Recycling LC'!E366+'Butadiene Recycling LC'!E252+'Butadiene Recycling LC'!E254</f>
        <v>3.6976159655348188E-4</v>
      </c>
      <c r="AM10" s="299">
        <f>'Ethylene Recycling LC'!F269+'Ethylene Recycling LC'!F271+'Propylene Recycling LC'!F190+'Propylene Recycling LC'!F192+'Methanol Recycling LC'!F336+'Methanol Recycling LC'!F338+'BTX Recycling LC'!F364+'BTX Recycling LC'!F366+'Butadiene Recycling LC'!F252+'Butadiene Recycling LC'!F254</f>
        <v>7.754805745338357E-4</v>
      </c>
      <c r="AN10" s="299">
        <f>'Ethylene Recycling LC'!G269+'Ethylene Recycling LC'!G271+'Propylene Recycling LC'!G190+'Propylene Recycling LC'!G192+'Methanol Recycling LC'!G336+'Methanol Recycling LC'!G338+'BTX Recycling LC'!G364+'BTX Recycling LC'!G366+'Butadiene Recycling LC'!G252+'Butadiene Recycling LC'!G254</f>
        <v>1.6143290373667426E-3</v>
      </c>
      <c r="AO10" s="299">
        <f>'Ethylene Recycling LC'!H269+'Ethylene Recycling LC'!H271+'Propylene Recycling LC'!H190+'Propylene Recycling LC'!H192+'Methanol Recycling LC'!H336+'Methanol Recycling LC'!H338+'BTX Recycling LC'!H364+'BTX Recycling LC'!H366+'Butadiene Recycling LC'!H252+'Butadiene Recycling LC'!H254</f>
        <v>3.3313050412476885E-3</v>
      </c>
      <c r="AP10" s="299">
        <f>'Ethylene Recycling LC'!I269+'Ethylene Recycling LC'!I271+'Propylene Recycling LC'!I190+'Propylene Recycling LC'!I192+'Methanol Recycling LC'!I336+'Methanol Recycling LC'!I338+'BTX Recycling LC'!I364+'BTX Recycling LC'!I366+'Butadiene Recycling LC'!I252+'Butadiene Recycling LC'!I254</f>
        <v>6.803234951804054E-3</v>
      </c>
      <c r="AQ10" s="299">
        <f>'Ethylene Recycling LC'!J269+'Ethylene Recycling LC'!J271+'Propylene Recycling LC'!J190+'Propylene Recycling LC'!J192+'Methanol Recycling LC'!J336+'Methanol Recycling LC'!J338+'BTX Recycling LC'!J364+'BTX Recycling LC'!J366+'Butadiene Recycling LC'!J252+'Butadiene Recycling LC'!J254</f>
        <v>1.374299278077061E-2</v>
      </c>
      <c r="AR10" s="299">
        <f>'Ethylene Recycling LC'!K269+'Ethylene Recycling LC'!K271+'Propylene Recycling LC'!K190+'Propylene Recycling LC'!K192+'Methanol Recycling LC'!K336+'Methanol Recycling LC'!K338+'BTX Recycling LC'!K364+'BTX Recycling LC'!K366+'Butadiene Recycling LC'!K252+'Butadiene Recycling LC'!K254</f>
        <v>2.7368435548949827E-2</v>
      </c>
      <c r="AS10" s="299">
        <f>'Ethylene Recycling LC'!L269+'Ethylene Recycling LC'!L271+'Propylene Recycling LC'!L190+'Propylene Recycling LC'!L192+'Methanol Recycling LC'!L336+'Methanol Recycling LC'!L338+'BTX Recycling LC'!L364+'BTX Recycling LC'!L366+'Butadiene Recycling LC'!L252+'Butadiene Recycling LC'!L254</f>
        <v>5.3494576262467286E-2</v>
      </c>
      <c r="AT10" s="299">
        <f>'Ethylene Recycling LC'!M269+'Ethylene Recycling LC'!M271+'Propylene Recycling LC'!M190+'Propylene Recycling LC'!M192+'Methanol Recycling LC'!M336+'Methanol Recycling LC'!M338+'BTX Recycling LC'!M364+'BTX Recycling LC'!M366+'Butadiene Recycling LC'!M252+'Butadiene Recycling LC'!M254</f>
        <v>9.9004313971453706E-2</v>
      </c>
      <c r="AU10" s="299">
        <f>'Ethylene Recycling LC'!N269+'Ethylene Recycling LC'!N271+'Propylene Recycling LC'!N190+'Propylene Recycling LC'!N192+'Methanol Recycling LC'!N336+'Methanol Recycling LC'!N338+'BTX Recycling LC'!N364+'BTX Recycling LC'!N366+'Butadiene Recycling LC'!N252+'Butadiene Recycling LC'!N254</f>
        <v>0.18174626447307707</v>
      </c>
      <c r="AV10" s="299">
        <f>'Ethylene Recycling LC'!O269+'Ethylene Recycling LC'!O271+'Propylene Recycling LC'!O190+'Propylene Recycling LC'!O192+'Methanol Recycling LC'!O336+'Methanol Recycling LC'!O338+'BTX Recycling LC'!O364+'BTX Recycling LC'!O366+'Butadiene Recycling LC'!O252+'Butadiene Recycling LC'!O254</f>
        <v>0.31164931590265194</v>
      </c>
      <c r="AW10" s="299">
        <f>'Ethylene Recycling LC'!P269+'Ethylene Recycling LC'!P271+'Propylene Recycling LC'!P190+'Propylene Recycling LC'!P192+'Methanol Recycling LC'!P336+'Methanol Recycling LC'!P338+'BTX Recycling LC'!P364+'BTX Recycling LC'!P366+'Butadiene Recycling LC'!P252+'Butadiene Recycling LC'!P254</f>
        <v>0.51026654738600208</v>
      </c>
      <c r="AX10" s="299">
        <f>'Ethylene Recycling LC'!Q269+'Ethylene Recycling LC'!Q271+'Propylene Recycling LC'!Q190+'Propylene Recycling LC'!Q192+'Methanol Recycling LC'!Q336+'Methanol Recycling LC'!Q338+'BTX Recycling LC'!Q364+'BTX Recycling LC'!Q366+'Butadiene Recycling LC'!Q252+'Butadiene Recycling LC'!Q254</f>
        <v>0.79277546972359558</v>
      </c>
      <c r="AY10" s="299">
        <f>'Ethylene Recycling LC'!R269+'Ethylene Recycling LC'!R271+'Propylene Recycling LC'!R190+'Propylene Recycling LC'!R192+'Methanol Recycling LC'!R336+'Methanol Recycling LC'!R338+'BTX Recycling LC'!R364+'BTX Recycling LC'!R366+'Butadiene Recycling LC'!R252+'Butadiene Recycling LC'!R254</f>
        <v>1.163723517737151</v>
      </c>
      <c r="AZ10" s="299">
        <f>'Ethylene Recycling LC'!S269+'Ethylene Recycling LC'!S271+'Propylene Recycling LC'!S190+'Propylene Recycling LC'!S192+'Methanol Recycling LC'!S336+'Methanol Recycling LC'!S338+'BTX Recycling LC'!S364+'BTX Recycling LC'!S366+'Butadiene Recycling LC'!S252+'Butadiene Recycling LC'!S254</f>
        <v>1.6134021770154718</v>
      </c>
      <c r="BA10" s="299">
        <f>'Ethylene Recycling LC'!T269+'Ethylene Recycling LC'!T271+'Propylene Recycling LC'!T190+'Propylene Recycling LC'!T192+'Methanol Recycling LC'!T336+'Methanol Recycling LC'!T338+'BTX Recycling LC'!T364+'BTX Recycling LC'!T366+'Butadiene Recycling LC'!T252+'Butadiene Recycling LC'!T254</f>
        <v>2.1167073178901674</v>
      </c>
      <c r="BB10" s="299">
        <f>'Ethylene Recycling LC'!U269+'Ethylene Recycling LC'!U271+'Propylene Recycling LC'!U190+'Propylene Recycling LC'!U192+'Methanol Recycling LC'!U336+'Methanol Recycling LC'!U338+'BTX Recycling LC'!U364+'BTX Recycling LC'!U366+'Butadiene Recycling LC'!U252+'Butadiene Recycling LC'!U254</f>
        <v>2.6406835796847021</v>
      </c>
      <c r="BC10" s="299">
        <f>'Ethylene Recycling LC'!V269+'Ethylene Recycling LC'!V271+'Propylene Recycling LC'!V190+'Propylene Recycling LC'!V192+'Methanol Recycling LC'!V336+'Methanol Recycling LC'!V338+'BTX Recycling LC'!V364+'BTX Recycling LC'!V366+'Butadiene Recycling LC'!V252+'Butadiene Recycling LC'!V254</f>
        <v>3.1545335608216885</v>
      </c>
      <c r="BD10" s="299">
        <f>'Ethylene Recycling LC'!W269+'Ethylene Recycling LC'!W271+'Propylene Recycling LC'!W190+'Propylene Recycling LC'!W192+'Methanol Recycling LC'!W336+'Methanol Recycling LC'!W338+'BTX Recycling LC'!W364+'BTX Recycling LC'!W366+'Butadiene Recycling LC'!W252+'Butadiene Recycling LC'!W254</f>
        <v>3.4788639724409958</v>
      </c>
      <c r="BE10" s="299">
        <f>'Ethylene Recycling LC'!X269+'Ethylene Recycling LC'!X271+'Propylene Recycling LC'!X190+'Propylene Recycling LC'!X192+'Methanol Recycling LC'!X336+'Methanol Recycling LC'!X338+'BTX Recycling LC'!X364+'BTX Recycling LC'!X366+'Butadiene Recycling LC'!X252+'Butadiene Recycling LC'!X254</f>
        <v>3.9137870431835919</v>
      </c>
      <c r="BF10" s="299">
        <f>'Ethylene Recycling LC'!Y269+'Ethylene Recycling LC'!Y271+'Propylene Recycling LC'!Y190+'Propylene Recycling LC'!Y192+'Methanol Recycling LC'!Y336+'Methanol Recycling LC'!Y338+'BTX Recycling LC'!Y364+'BTX Recycling LC'!Y366+'Butadiene Recycling LC'!Y252+'Butadiene Recycling LC'!Y254</f>
        <v>4.1271731367011508</v>
      </c>
      <c r="BG10" s="299">
        <f>'Ethylene Recycling LC'!Z269+'Ethylene Recycling LC'!Z271+'Propylene Recycling LC'!Z190+'Propylene Recycling LC'!Z192+'Methanol Recycling LC'!Z336+'Methanol Recycling LC'!Z338+'BTX Recycling LC'!Z364+'BTX Recycling LC'!Z366+'Butadiene Recycling LC'!Z252+'Butadiene Recycling LC'!Z254</f>
        <v>4.3394506753057849</v>
      </c>
      <c r="BH10" s="299">
        <f>'Ethylene Recycling LC'!AA269+'Ethylene Recycling LC'!AA271+'Propylene Recycling LC'!AA190+'Propylene Recycling LC'!AA192+'Methanol Recycling LC'!AA336+'Methanol Recycling LC'!AA338+'BTX Recycling LC'!AA364+'BTX Recycling LC'!AA366+'Butadiene Recycling LC'!AA252+'Butadiene Recycling LC'!AA254</f>
        <v>4.5696271639416519</v>
      </c>
      <c r="BI10" s="299">
        <f>'Ethylene Recycling LC'!AB269+'Ethylene Recycling LC'!AB271+'Propylene Recycling LC'!AB190+'Propylene Recycling LC'!AB192+'Methanol Recycling LC'!AB336+'Methanol Recycling LC'!AB338+'BTX Recycling LC'!AB364+'BTX Recycling LC'!AB366+'Butadiene Recycling LC'!AB252+'Butadiene Recycling LC'!AB254</f>
        <v>4.7930579595710734</v>
      </c>
      <c r="BJ10" s="299">
        <f>'Ethylene Recycling LC'!AC269+'Ethylene Recycling LC'!AC271+'Propylene Recycling LC'!AC190+'Propylene Recycling LC'!AC192+'Methanol Recycling LC'!AC336+'Methanol Recycling LC'!AC338+'BTX Recycling LC'!AC364+'BTX Recycling LC'!AC366+'Butadiene Recycling LC'!AC252+'Butadiene Recycling LC'!AC254</f>
        <v>5.0378280516131531</v>
      </c>
      <c r="BK10" s="299">
        <f>'Ethylene Recycling LC'!AD269+'Ethylene Recycling LC'!AD271+'Propylene Recycling LC'!AD190+'Propylene Recycling LC'!AD192+'Methanol Recycling LC'!AD336+'Methanol Recycling LC'!AD338+'BTX Recycling LC'!AD364+'BTX Recycling LC'!AD366+'Butadiene Recycling LC'!AD252+'Butadiene Recycling LC'!AD254</f>
        <v>5.3335273718790273</v>
      </c>
      <c r="BL10" s="299">
        <f>'Ethylene Recycling LC'!AE269+'Ethylene Recycling LC'!AE271+'Propylene Recycling LC'!AE190+'Propylene Recycling LC'!AE192+'Methanol Recycling LC'!AE336+'Methanol Recycling LC'!AE338+'BTX Recycling LC'!AE364+'BTX Recycling LC'!AE366+'Butadiene Recycling LC'!AE252+'Butadiene Recycling LC'!AE254</f>
        <v>5.7069663518041116</v>
      </c>
      <c r="BM10" s="299">
        <f>'Ethylene Recycling LC'!AF269+'Ethylene Recycling LC'!AF271+'Propylene Recycling LC'!AF190+'Propylene Recycling LC'!AF192+'Methanol Recycling LC'!AF336+'Methanol Recycling LC'!AF338+'BTX Recycling LC'!AF364+'BTX Recycling LC'!AF366+'Butadiene Recycling LC'!AF252+'Butadiene Recycling LC'!AF254</f>
        <v>6.184855703398294</v>
      </c>
      <c r="BN10" s="299">
        <f>'Ethylene Recycling LC'!AG269+'Ethylene Recycling LC'!AG271+'Propylene Recycling LC'!AG190+'Propylene Recycling LC'!AG192+'Methanol Recycling LC'!AG336+'Methanol Recycling LC'!AG338+'BTX Recycling LC'!AG364+'BTX Recycling LC'!AG366+'Butadiene Recycling LC'!AG252+'Butadiene Recycling LC'!AG254</f>
        <v>6.3205161009635695</v>
      </c>
      <c r="BO10" s="2">
        <f t="shared" ref="BO10:BO16" si="68">BN10/$BN$4</f>
        <v>1.6906337965581521E-2</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V10" s="360">
        <f>AJ10</f>
        <v>7.9316887475859034E-5</v>
      </c>
      <c r="CW10" s="360">
        <f t="shared" si="67"/>
        <v>1.7515621581097864E-4</v>
      </c>
      <c r="CX10" s="360">
        <f t="shared" si="67"/>
        <v>3.6976159655348188E-4</v>
      </c>
      <c r="CY10" s="360">
        <f t="shared" si="67"/>
        <v>7.754805745338357E-4</v>
      </c>
      <c r="CZ10" s="360">
        <f t="shared" si="67"/>
        <v>1.6143290373667426E-3</v>
      </c>
      <c r="DA10" s="360">
        <f t="shared" si="67"/>
        <v>3.3313050412476885E-3</v>
      </c>
      <c r="DB10" s="360">
        <f t="shared" si="67"/>
        <v>6.803234951804054E-3</v>
      </c>
      <c r="DC10" s="360">
        <f t="shared" si="67"/>
        <v>1.374299278077061E-2</v>
      </c>
      <c r="DD10" s="360">
        <f t="shared" si="67"/>
        <v>2.7368435548949827E-2</v>
      </c>
      <c r="DE10" s="360">
        <f t="shared" si="67"/>
        <v>5.3494576262467286E-2</v>
      </c>
      <c r="DF10" s="360">
        <f t="shared" si="67"/>
        <v>9.9004313971453706E-2</v>
      </c>
      <c r="DG10" s="360">
        <f t="shared" si="67"/>
        <v>0.18174626447307707</v>
      </c>
      <c r="DH10" s="360">
        <f t="shared" si="67"/>
        <v>0.31164931590265194</v>
      </c>
      <c r="DI10" s="360">
        <f t="shared" si="67"/>
        <v>0.51026654738600208</v>
      </c>
      <c r="DJ10" s="360">
        <f t="shared" si="67"/>
        <v>0.79277546972359558</v>
      </c>
      <c r="DK10" s="360">
        <f t="shared" si="67"/>
        <v>1.163723517737151</v>
      </c>
      <c r="DL10" s="360">
        <f t="shared" si="67"/>
        <v>1.6134021770154718</v>
      </c>
      <c r="DM10" s="360">
        <f t="shared" si="67"/>
        <v>2.1167073178901674</v>
      </c>
      <c r="DN10" s="360">
        <f t="shared" si="67"/>
        <v>2.6406835796847021</v>
      </c>
      <c r="DO10" s="360">
        <f t="shared" si="67"/>
        <v>3.1545335608216885</v>
      </c>
      <c r="DP10" s="360">
        <f t="shared" si="67"/>
        <v>3.4788639724409958</v>
      </c>
      <c r="DQ10" s="360">
        <f t="shared" si="67"/>
        <v>3.9137870431835919</v>
      </c>
      <c r="DR10" s="360">
        <f t="shared" si="67"/>
        <v>4.1271731367011508</v>
      </c>
      <c r="DS10" s="360">
        <f t="shared" si="67"/>
        <v>4.3394506753057849</v>
      </c>
      <c r="DT10" s="360">
        <f t="shared" si="67"/>
        <v>4.5696271639416519</v>
      </c>
      <c r="DU10" s="360">
        <f t="shared" si="67"/>
        <v>4.7930579595710734</v>
      </c>
      <c r="DV10" s="360">
        <f t="shared" si="67"/>
        <v>5.0378280516131531</v>
      </c>
      <c r="DW10" s="360">
        <f t="shared" si="67"/>
        <v>5.3335273718790273</v>
      </c>
      <c r="DX10" s="360">
        <f t="shared" si="67"/>
        <v>5.7069663518041116</v>
      </c>
      <c r="DY10" s="360">
        <f t="shared" si="67"/>
        <v>6.184855703398294</v>
      </c>
      <c r="DZ10" s="360">
        <f t="shared" si="67"/>
        <v>6.3205161009635695</v>
      </c>
      <c r="EE10" t="s">
        <v>444</v>
      </c>
      <c r="EF10" t="s">
        <v>445</v>
      </c>
      <c r="EG10" t="s">
        <v>410</v>
      </c>
      <c r="EH10" t="s">
        <v>446</v>
      </c>
      <c r="EK10" s="43">
        <v>5.0000000000000001E-3</v>
      </c>
      <c r="EL10" s="43">
        <v>5.0000000000000001E-3</v>
      </c>
      <c r="EM10" s="43">
        <v>5.0000000000000001E-3</v>
      </c>
      <c r="EN10" s="43">
        <v>5.0000000000000001E-3</v>
      </c>
      <c r="EO10" s="43">
        <v>5.0000000000000001E-3</v>
      </c>
      <c r="EP10" s="43">
        <v>5.0000000000000001E-3</v>
      </c>
      <c r="EQ10" s="43">
        <v>5.0000000000000001E-3</v>
      </c>
      <c r="ER10" s="43">
        <v>5.0000000000000001E-3</v>
      </c>
      <c r="ES10" s="43">
        <v>5.0000000000000001E-3</v>
      </c>
      <c r="ET10" s="43">
        <v>5.0000000000000001E-3</v>
      </c>
      <c r="EU10" s="43">
        <v>5.0000000000000001E-3</v>
      </c>
      <c r="EV10" s="43">
        <v>5.0000000000000001E-3</v>
      </c>
      <c r="EW10" s="43">
        <v>5.0000000000000001E-3</v>
      </c>
      <c r="EX10" s="43">
        <v>5.0000000000000001E-3</v>
      </c>
      <c r="EY10" s="43">
        <v>5.0000000000000001E-3</v>
      </c>
      <c r="EZ10" s="43">
        <v>5.0000000000000001E-3</v>
      </c>
      <c r="FA10" s="43">
        <v>5.0000000000000001E-3</v>
      </c>
      <c r="FB10" s="43">
        <v>5.0000000000000001E-3</v>
      </c>
      <c r="FC10" s="43">
        <v>5.0000000000000001E-3</v>
      </c>
      <c r="FD10" s="43">
        <v>5.0000000000000001E-3</v>
      </c>
      <c r="FE10" s="43">
        <v>5.0000000000000001E-3</v>
      </c>
      <c r="FF10" s="43">
        <v>5.0000000000000001E-3</v>
      </c>
      <c r="FG10" s="43">
        <v>5.0000000000000001E-3</v>
      </c>
      <c r="FH10" s="43">
        <v>5.0000000000000001E-3</v>
      </c>
      <c r="FI10" s="43">
        <v>5.0000000000000001E-3</v>
      </c>
    </row>
    <row r="11" spans="1:165" x14ac:dyDescent="0.2">
      <c r="A11" s="601" t="s">
        <v>447</v>
      </c>
      <c r="C11" s="54" t="s">
        <v>153</v>
      </c>
      <c r="D11" s="44">
        <f>(D$4-D$9-D$10)*'Ethylene Recycling HC'!C250</f>
        <v>47.054726630584348</v>
      </c>
      <c r="E11" s="44">
        <f>(E$4-E$9-E$10)*'Ethylene Recycling HC'!D250</f>
        <v>49.776666114301349</v>
      </c>
      <c r="F11" s="44">
        <f>(F$4-F$9-F$10)*'Ethylene Recycling HC'!E250</f>
        <v>52.362119266753794</v>
      </c>
      <c r="G11" s="44">
        <f>(G$4-G$9-G$10)*'Ethylene Recycling HC'!F250</f>
        <v>54.892141034911567</v>
      </c>
      <c r="H11" s="44">
        <f>(H$4-H$9-H$10)*'Ethylene Recycling HC'!G250</f>
        <v>57.337216102933951</v>
      </c>
      <c r="I11" s="44">
        <f>(I$4-I$9-I$10)*'Ethylene Recycling HC'!H250</f>
        <v>59.678597844232009</v>
      </c>
      <c r="J11" s="44">
        <f>(J$4-J$9-J$10)*'Ethylene Recycling HC'!I250</f>
        <v>61.739718366862732</v>
      </c>
      <c r="K11" s="44">
        <f>(K$4-K$9-K$10)*'Ethylene Recycling HC'!J250</f>
        <v>63.781697535922163</v>
      </c>
      <c r="L11" s="44">
        <f>(L$4-L$9-L$10)*'Ethylene Recycling HC'!K250</f>
        <v>65.799448978251363</v>
      </c>
      <c r="M11" s="44">
        <f>(M$4-M$9-M$10)*'Ethylene Recycling HC'!L250</f>
        <v>67.786859058955159</v>
      </c>
      <c r="N11" s="44">
        <f>(N$4-N$9-N$10)*'Ethylene Recycling HC'!M250</f>
        <v>69.736737974958658</v>
      </c>
      <c r="O11" s="44">
        <f>(O$4-O$9-O$10)*'Ethylene Recycling HC'!N250</f>
        <v>70.743821625661511</v>
      </c>
      <c r="P11" s="44">
        <f>(P$4-P$9-P$10)*'Ethylene Recycling HC'!O250</f>
        <v>71.627012526976088</v>
      </c>
      <c r="Q11" s="44">
        <f>(Q$4-Q$9-Q$10)*'Ethylene Recycling HC'!P250</f>
        <v>72.171127882171788</v>
      </c>
      <c r="R11" s="44">
        <f>(R$4-R$9-R$10)*'Ethylene Recycling HC'!Q250</f>
        <v>72.478618866521899</v>
      </c>
      <c r="S11" s="44">
        <f>(S$4-S$9-S$10)*'Ethylene Recycling HC'!R250</f>
        <v>72.545023041397101</v>
      </c>
      <c r="T11" s="44">
        <f>(T$4-T$9-T$10)*'Ethylene Recycling HC'!S250</f>
        <v>72.568297197067835</v>
      </c>
      <c r="U11" s="44">
        <f>(U$4-U$9-U$10)*'Ethylene Recycling HC'!T250</f>
        <v>72.483210317328812</v>
      </c>
      <c r="V11" s="44">
        <f>(V$4-V$9-V$10)*'Ethylene Recycling HC'!U250</f>
        <v>72.311817113910408</v>
      </c>
      <c r="W11" s="44">
        <f>(W$4-W$9-W$10)*'Ethylene Recycling HC'!V250</f>
        <v>72.06874881184163</v>
      </c>
      <c r="X11" s="44">
        <f>(X$4-X$9-X$10)*'Ethylene Recycling HC'!W250</f>
        <v>71.805059569835009</v>
      </c>
      <c r="Y11" s="44">
        <f>(Y$4-Y$9-Y$10)*'Ethylene Recycling HC'!X250</f>
        <v>70.449144038817408</v>
      </c>
      <c r="Z11" s="44">
        <f>(Z$4-Z$9-Z$10)*'Ethylene Recycling HC'!Y250</f>
        <v>69.419421780974957</v>
      </c>
      <c r="AA11" s="44">
        <f>(AA$4-AA$9-AA$10)*'Ethylene Recycling HC'!Z250</f>
        <v>68.292630638835178</v>
      </c>
      <c r="AB11" s="44">
        <f>(AB$4-AB$9-AB$10)*'Ethylene Recycling HC'!AA250</f>
        <v>67.087207793218667</v>
      </c>
      <c r="AC11" s="44">
        <f>(AC$4-AC$9-AC$10)*'Ethylene Recycling HC'!AB250</f>
        <v>65.810027438219777</v>
      </c>
      <c r="AD11" s="44">
        <f>(AD$4-AD$9-AD$10)*'Ethylene Recycling HC'!AC250</f>
        <v>64.423122026455687</v>
      </c>
      <c r="AE11" s="44">
        <f>(AE$4-AE$9-AE$10)*'Ethylene Recycling HC'!AD250</f>
        <v>62.959554573775463</v>
      </c>
      <c r="AF11" s="44">
        <f>(AF$4-AF$9-AF$10)*'Ethylene Recycling HC'!AE250</f>
        <v>61.413907150650012</v>
      </c>
      <c r="AG11" s="44">
        <f>(AG$4-AG$9-AG$10)*'Ethylene Recycling HC'!AF250</f>
        <v>59.786697623114691</v>
      </c>
      <c r="AH11" s="44">
        <f>(AH$4-AH$9-AH$10)*'Ethylene Recycling HC'!AG250</f>
        <v>58.122794475235558</v>
      </c>
      <c r="AJ11" s="44">
        <f>(AJ$4-AJ$9-AJ$10)*'Ethylene Recycling LC'!C208</f>
        <v>47.054736907514837</v>
      </c>
      <c r="AK11" s="44">
        <f>(AK$4-AK$9-AK$10)*'Ethylene Recycling LC'!D208</f>
        <v>49.842376586048573</v>
      </c>
      <c r="AL11" s="44">
        <f>(AL$4-AL$9-AL$10)*'Ethylene Recycling LC'!E208</f>
        <v>52.506852038850219</v>
      </c>
      <c r="AM11" s="44">
        <f>(AM$4-AM$9-AM$10)*'Ethylene Recycling LC'!F208</f>
        <v>55.122349658468998</v>
      </c>
      <c r="AN11" s="44">
        <f>(AN$4-AN$9-AN$10)*'Ethylene Recycling LC'!G208</f>
        <v>57.661586171640522</v>
      </c>
      <c r="AO11" s="44">
        <f>(AO$4-AO$9-AO$10)*'Ethylene Recycling LC'!H208</f>
        <v>60.105670746235418</v>
      </c>
      <c r="AP11" s="44">
        <f>(AP$4-AP$9-AP$10)*'Ethylene Recycling LC'!I208</f>
        <v>62.434780549885247</v>
      </c>
      <c r="AQ11" s="44">
        <f>(AQ$4-AQ$9-AQ$10)*'Ethylene Recycling LC'!J208</f>
        <v>64.77048494523639</v>
      </c>
      <c r="AR11" s="44">
        <f>(AR$4-AR$9-AR$10)*'Ethylene Recycling LC'!K208</f>
        <v>67.109076232182801</v>
      </c>
      <c r="AS11" s="44">
        <f>(AS$4-AS$9-AS$10)*'Ethylene Recycling LC'!L208</f>
        <v>69.446198845975971</v>
      </c>
      <c r="AT11" s="44">
        <f>(AT$4-AT$9-AT$10)*'Ethylene Recycling LC'!M208</f>
        <v>71.777115516241579</v>
      </c>
      <c r="AU11" s="44">
        <f>(AU$4-AU$9-AU$10)*'Ethylene Recycling LC'!N208</f>
        <v>73.313501021547822</v>
      </c>
      <c r="AV11" s="44">
        <f>(AV$4-AV$9-AV$10)*'Ethylene Recycling LC'!O208</f>
        <v>74.752262785584819</v>
      </c>
      <c r="AW11" s="44">
        <f>(AW$4-AW$9-AW$10)*'Ethylene Recycling LC'!P208</f>
        <v>75.921400956505465</v>
      </c>
      <c r="AX11" s="44">
        <f>(AX$4-AX$9-AX$10)*'Ethylene Recycling LC'!Q208</f>
        <v>76.895725208730369</v>
      </c>
      <c r="AY11" s="44">
        <f>(AY$4-AY$9-AY$10)*'Ethylene Recycling LC'!R208</f>
        <v>77.66758058164929</v>
      </c>
      <c r="AZ11" s="44">
        <f>(AZ$4-AZ$9-AZ$10)*'Ethylene Recycling LC'!S208</f>
        <v>78.402727369580418</v>
      </c>
      <c r="BA11" s="44">
        <f>(BA$4-BA$9-BA$10)*'Ethylene Recycling LC'!T208</f>
        <v>79.080086825054991</v>
      </c>
      <c r="BB11" s="44">
        <f>(BB$4-BB$9-BB$10)*'Ethylene Recycling LC'!U208</f>
        <v>79.70827316609703</v>
      </c>
      <c r="BC11" s="44">
        <f>(BC$4-BC$9-BC$10)*'Ethylene Recycling LC'!V208</f>
        <v>80.296164720931543</v>
      </c>
      <c r="BD11" s="44">
        <f>(BD$4-BD$9-BD$10)*'Ethylene Recycling LC'!W208</f>
        <v>80.893050591249832</v>
      </c>
      <c r="BE11" s="44">
        <f>(BE$4-BE$9-BE$10)*'Ethylene Recycling LC'!X208</f>
        <v>80.50618657334131</v>
      </c>
      <c r="BF11" s="44">
        <f>(BF$4-BF$9-BF$10)*'Ethylene Recycling LC'!Y208</f>
        <v>80.414376532499915</v>
      </c>
      <c r="BG11" s="44">
        <f>(BG$4-BG$9-BG$10)*'Ethylene Recycling LC'!Z208</f>
        <v>80.281437211020531</v>
      </c>
      <c r="BH11" s="44">
        <f>(BH$4-BH$9-BH$10)*'Ethylene Recycling LC'!AA208</f>
        <v>80.110090069774529</v>
      </c>
      <c r="BI11" s="44">
        <f>(BI$4-BI$9-BI$10)*'Ethylene Recycling LC'!AB208</f>
        <v>79.911589221500023</v>
      </c>
      <c r="BJ11" s="44">
        <f>(BJ$4-BJ$9-BJ$10)*'Ethylene Recycling LC'!AC208</f>
        <v>79.671866682373931</v>
      </c>
      <c r="BK11" s="44">
        <f>(BK$4-BK$9-BK$10)*'Ethylene Recycling LC'!AD208</f>
        <v>79.399787127709587</v>
      </c>
      <c r="BL11" s="44">
        <f>(BL$4-BL$9-BL$10)*'Ethylene Recycling LC'!AE208</f>
        <v>79.091702668614559</v>
      </c>
      <c r="BM11" s="44">
        <f>(BM$4-BM$9-BM$10)*'Ethylene Recycling LC'!AF208</f>
        <v>78.743712299454444</v>
      </c>
      <c r="BN11" s="44">
        <f>(BN$4-BN$9-BN$10)*'Ethylene Recycling LC'!AG208</f>
        <v>78.503123143693955</v>
      </c>
      <c r="BO11" s="2">
        <f t="shared" si="68"/>
        <v>0.2099829048799704</v>
      </c>
      <c r="BP11" s="44">
        <f>(BP$4-BP$9-BP$10)*'Ethylene Recycling HC'!C229</f>
        <v>47.05474959821683</v>
      </c>
      <c r="BQ11" s="44">
        <f>(BQ$4-BQ$9-BQ$10)*'Ethylene Recycling HC'!D229</f>
        <v>49.342906184171767</v>
      </c>
      <c r="BR11" s="44">
        <f>(BR$4-BR$9-BR$10)*'Ethylene Recycling HC'!E229</f>
        <v>51.583686036998493</v>
      </c>
      <c r="BS11" s="44">
        <f>(BS$4-BS$9-BS$10)*'Ethylene Recycling HC'!F229</f>
        <v>53.761869621828474</v>
      </c>
      <c r="BT11" s="44">
        <f>(BT$4-BT$9-BT$10)*'Ethylene Recycling HC'!G229</f>
        <v>55.862127103961114</v>
      </c>
      <c r="BU11" s="44">
        <f>(BU$4-BU$9-BU$10)*'Ethylene Recycling HC'!H229</f>
        <v>57.869182947246216</v>
      </c>
      <c r="BV11" s="44">
        <f>(BV$4-BV$9-BV$10)*'Ethylene Recycling HC'!I229</f>
        <v>59.909386033918459</v>
      </c>
      <c r="BW11" s="44">
        <f>(BW$4-BW$9-BW$10)*'Ethylene Recycling HC'!J229</f>
        <v>61.981436444846686</v>
      </c>
      <c r="BX11" s="44">
        <f>(BX$4-BX$9-BX$10)*'Ethylene Recycling HC'!K229</f>
        <v>64.083936633786934</v>
      </c>
      <c r="BY11" s="44">
        <f>(BY$4-BY$9-BY$10)*'Ethylene Recycling HC'!L229</f>
        <v>66.215391211862396</v>
      </c>
      <c r="BZ11" s="44">
        <f>(BZ$4-BZ$9-BZ$10)*'Ethylene Recycling HC'!M229</f>
        <v>68.374206978355019</v>
      </c>
      <c r="CA11" s="44">
        <f>(CA$4-CA$9-CA$10)*'Ethylene Recycling HC'!N229</f>
        <v>70.44822850497917</v>
      </c>
      <c r="CB11" s="44">
        <f>(CB$4-CB$9-CB$10)*'Ethylene Recycling HC'!O229</f>
        <v>72.425609108100787</v>
      </c>
      <c r="CC11" s="44">
        <f>(CC$4-CC$9-CC$10)*'Ethylene Recycling HC'!P229</f>
        <v>74.294709967066154</v>
      </c>
      <c r="CD11" s="44">
        <f>(CD$4-CD$9-CD$10)*'Ethylene Recycling HC'!Q229</f>
        <v>76.04420052080475</v>
      </c>
      <c r="CE11" s="44">
        <f>(CE$4-CE$9-CE$10)*'Ethylene Recycling HC'!R229</f>
        <v>77.663158671065091</v>
      </c>
      <c r="CF11" s="44">
        <f>(CF$4-CF$9-CF$10)*'Ethylene Recycling HC'!S229</f>
        <v>79.297500435860499</v>
      </c>
      <c r="CG11" s="44">
        <f>(CG$4-CG$9-CG$10)*'Ethylene Recycling HC'!T229</f>
        <v>80.946931057264152</v>
      </c>
      <c r="CH11" s="44">
        <f>(CH$4-CH$9-CH$10)*'Ethylene Recycling HC'!U229</f>
        <v>82.611142437644531</v>
      </c>
      <c r="CI11" s="44">
        <f>(CI$4-CI$9-CI$10)*'Ethylene Recycling HC'!V229</f>
        <v>84.289813034931029</v>
      </c>
      <c r="CJ11" s="44">
        <f>(CJ$4-CJ$9-CJ$10)*'Ethylene Recycling HC'!W229</f>
        <v>85.982607763562072</v>
      </c>
      <c r="CK11" s="44">
        <f>(CK$4-CK$9-CK$10)*'Ethylene Recycling HC'!X229</f>
        <v>87.690239913004589</v>
      </c>
      <c r="CL11" s="44">
        <f>(CL$4-CL$9-CL$10)*'Ethylene Recycling HC'!Y229</f>
        <v>89.412413345202737</v>
      </c>
      <c r="CM11" s="44">
        <f>(CM$4-CM$9-CM$10)*'Ethylene Recycling HC'!Z229</f>
        <v>91.148819508907764</v>
      </c>
      <c r="CN11" s="44">
        <f>(CN$4-CN$9-CN$10)*'Ethylene Recycling HC'!AA229</f>
        <v>92.899137341262588</v>
      </c>
      <c r="CO11" s="44">
        <f>(CO$4-CO$9-CO$10)*'Ethylene Recycling HC'!AB229</f>
        <v>94.663033173772448</v>
      </c>
      <c r="CP11" s="44">
        <f>(CP$4-CP$9-CP$10)*'Ethylene Recycling HC'!AC229</f>
        <v>96.441166638219059</v>
      </c>
      <c r="CQ11" s="44">
        <f>(CQ$4-CQ$9-CQ$10)*'Ethylene Recycling HC'!AD229</f>
        <v>98.233238245623539</v>
      </c>
      <c r="CR11" s="44">
        <f>(CR$4-CR$9-CR$10)*'Ethylene Recycling HC'!AE229</f>
        <v>100.03893683404544</v>
      </c>
      <c r="CS11" s="44">
        <f>(CS$4-CS$9-CS$10)*'Ethylene Recycling HC'!AF229</f>
        <v>101.85793947395628</v>
      </c>
      <c r="CT11" s="44">
        <f>(CT$4-CT$9-CT$10)*'Ethylene Recycling HC'!AG229</f>
        <v>103.68991137696932</v>
      </c>
      <c r="CV11" s="44">
        <f>(CV$4-CV$9-CV$10)*'Ethylene Recycling LC'!C208</f>
        <v>47.054736907514837</v>
      </c>
      <c r="CW11" s="44">
        <f>(CW$4-CW$9-CW$10)*'Ethylene Recycling LC'!D208</f>
        <v>50.096422026102246</v>
      </c>
      <c r="CX11" s="44">
        <f>(CX$4-CX$9-CX$10)*'Ethylene Recycling LC'!E208</f>
        <v>53.069612898430293</v>
      </c>
      <c r="CY11" s="44">
        <f>(CY$4-CY$9-CY$10)*'Ethylene Recycling LC'!F208</f>
        <v>56.017355452980929</v>
      </c>
      <c r="CZ11" s="44">
        <f>(CZ$4-CZ$9-CZ$10)*'Ethylene Recycling LC'!G208</f>
        <v>58.922371227769446</v>
      </c>
      <c r="DA11" s="44">
        <f>(DA$4-DA$9-DA$10)*'Ethylene Recycling LC'!H208</f>
        <v>61.764941288574001</v>
      </c>
      <c r="DB11" s="44">
        <f>(DB$4-DB$9-DB$10)*'Ethylene Recycling LC'!I208</f>
        <v>64.684256683989915</v>
      </c>
      <c r="DC11" s="44">
        <f>(DC$4-DC$9-DC$10)*'Ethylene Recycling LC'!J208</f>
        <v>67.663014349134528</v>
      </c>
      <c r="DD11" s="44">
        <f>(DD$4-DD$9-DD$10)*'Ethylene Recycling LC'!K208</f>
        <v>70.699309745549201</v>
      </c>
      <c r="DE11" s="44">
        <f>(DE$4-DE$9-DE$10)*'Ethylene Recycling LC'!L208</f>
        <v>73.790540366387717</v>
      </c>
      <c r="DF11" s="44">
        <f>(DF$4-DF$9-DF$10)*'Ethylene Recycling LC'!M208</f>
        <v>76.933664768894729</v>
      </c>
      <c r="DG11" s="44">
        <f>(DG$4-DG$9-DG$10)*'Ethylene Recycling LC'!N208</f>
        <v>79.681400982077804</v>
      </c>
      <c r="DH11" s="44">
        <f>(DH$4-DH$9-DH$10)*'Ethylene Recycling LC'!O208</f>
        <v>82.309763696134638</v>
      </c>
      <c r="DI11" s="44">
        <f>(DI$4-DI$9-DI$10)*'Ethylene Recycling LC'!P208</f>
        <v>84.859908810787587</v>
      </c>
      <c r="DJ11" s="44">
        <f>(DJ$4-DJ$9-DJ$10)*'Ethylene Recycling LC'!Q208</f>
        <v>87.285667521150771</v>
      </c>
      <c r="DK11" s="44">
        <f>(DK$4-DK$9-DK$10)*'Ethylene Recycling LC'!R208</f>
        <v>89.573651781292043</v>
      </c>
      <c r="DL11" s="44">
        <f>(DL$4-DL$9-DL$10)*'Ethylene Recycling LC'!S208</f>
        <v>91.868384160748775</v>
      </c>
      <c r="DM11" s="44">
        <f>(DM$4-DM$9-DM$10)*'Ethylene Recycling LC'!T208</f>
        <v>94.186864739008627</v>
      </c>
      <c r="DN11" s="44">
        <f>(DN$4-DN$9-DN$10)*'Ethylene Recycling LC'!U208</f>
        <v>96.539288040120795</v>
      </c>
      <c r="DO11" s="44">
        <f>(DO$4-DO$9-DO$10)*'Ethylene Recycling LC'!V208</f>
        <v>98.936097847886657</v>
      </c>
      <c r="DP11" s="44">
        <f>(DP$4-DP$9-DP$10)*'Ethylene Recycling LC'!W208</f>
        <v>101.42813245084517</v>
      </c>
      <c r="DQ11" s="44">
        <f>(DQ$4-DQ$9-DQ$10)*'Ethylene Recycling LC'!X208</f>
        <v>103.50612682995809</v>
      </c>
      <c r="DR11" s="44">
        <f>(DR$4-DR$9-DR$10)*'Ethylene Recycling LC'!Y208</f>
        <v>105.5161519174152</v>
      </c>
      <c r="DS11" s="44">
        <f>(DS$4-DS$9-DS$10)*'Ethylene Recycling LC'!Z208</f>
        <v>107.60055895948325</v>
      </c>
      <c r="DT11" s="44">
        <f>(DT$4-DT$9-DT$10)*'Ethylene Recycling LC'!AA208</f>
        <v>109.74194496959346</v>
      </c>
      <c r="DU11" s="44">
        <f>(DU$4-DU$9-DU$10)*'Ethylene Recycling LC'!AB208</f>
        <v>111.95315961257782</v>
      </c>
      <c r="DV11" s="44">
        <f>(DV$4-DV$9-DV$10)*'Ethylene Recycling LC'!AC208</f>
        <v>114.25217678386981</v>
      </c>
      <c r="DW11" s="44">
        <f>(DW$4-DW$9-DW$10)*'Ethylene Recycling LC'!AD208</f>
        <v>116.62101797105764</v>
      </c>
      <c r="DX11" s="44">
        <f>(DX$4-DX$9-DX$10)*'Ethylene Recycling LC'!AE208</f>
        <v>119.05768267479007</v>
      </c>
      <c r="DY11" s="44">
        <f>(DY$4-DY$9-DY$10)*'Ethylene Recycling LC'!AF208</f>
        <v>121.55990058470519</v>
      </c>
      <c r="DZ11" s="44">
        <f>(DZ$4-DZ$9-DZ$10)*'Ethylene Recycling LC'!AG208</f>
        <v>124.27659157941031</v>
      </c>
      <c r="EB11" s="2">
        <f>DZ11/SUM($DZ$11:$DZ$16)</f>
        <v>0.32</v>
      </c>
      <c r="EC11" s="2">
        <f>BN11/SUM($BN$11:$BN$16)</f>
        <v>0.32</v>
      </c>
      <c r="EE11" t="s">
        <v>448</v>
      </c>
      <c r="EF11" t="s">
        <v>449</v>
      </c>
      <c r="EG11" t="s">
        <v>410</v>
      </c>
      <c r="EH11" t="s">
        <v>450</v>
      </c>
      <c r="EK11" s="43">
        <v>2.8940000000000001</v>
      </c>
      <c r="EL11" s="43">
        <v>2.8940000000000001</v>
      </c>
      <c r="EM11" s="43">
        <v>2.8940000000000001</v>
      </c>
      <c r="EN11" s="43">
        <v>2.8940000000000001</v>
      </c>
      <c r="EO11" s="43">
        <v>2.8940000000000001</v>
      </c>
      <c r="EP11" s="43">
        <v>2.8940000000000001</v>
      </c>
      <c r="EQ11" s="43">
        <v>2.8940000000000001</v>
      </c>
      <c r="ER11" s="43">
        <v>2.8940000000000001</v>
      </c>
      <c r="ES11" s="43">
        <v>2.8940000000000001</v>
      </c>
      <c r="ET11" s="43">
        <v>2.8940000000000001</v>
      </c>
      <c r="EU11" s="43">
        <v>2.8940000000000001</v>
      </c>
      <c r="EV11" s="43">
        <v>2.8940000000000001</v>
      </c>
      <c r="EW11" s="43">
        <v>2.8940000000000001</v>
      </c>
      <c r="EX11" s="43">
        <v>2.8940000000000001</v>
      </c>
      <c r="EY11" s="43">
        <v>2.8940000000000001</v>
      </c>
      <c r="EZ11" s="43">
        <v>2.8940000000000001</v>
      </c>
      <c r="FA11" s="43">
        <v>2.8940000000000001</v>
      </c>
      <c r="FB11" s="43">
        <v>2.8940000000000001</v>
      </c>
      <c r="FC11" s="43">
        <v>2.8940000000000001</v>
      </c>
      <c r="FD11" s="43">
        <v>2.8940000000000001</v>
      </c>
      <c r="FE11" s="43">
        <v>2.8940000000000001</v>
      </c>
      <c r="FF11" s="43">
        <v>2.8940000000000001</v>
      </c>
      <c r="FG11" s="43">
        <v>2.8940000000000001</v>
      </c>
      <c r="FH11" s="43">
        <v>2.8940000000000001</v>
      </c>
      <c r="FI11" s="43">
        <v>2.8940000000000001</v>
      </c>
    </row>
    <row r="12" spans="1:165" x14ac:dyDescent="0.2">
      <c r="A12" s="601" t="s">
        <v>33</v>
      </c>
      <c r="C12" s="54" t="s">
        <v>153</v>
      </c>
      <c r="D12" s="44">
        <f>(D$4-D$9-D$10)*'Ethylene Recycling HC'!C251</f>
        <v>108.81405533322629</v>
      </c>
      <c r="E12" s="44">
        <f>(E$4-E$9-E$10)*'Ethylene Recycling HC'!D251</f>
        <v>111.89714257549598</v>
      </c>
      <c r="F12" s="44">
        <f>(F$4-F$9-F$10)*'Ethylene Recycling HC'!E251</f>
        <v>114.54213589602391</v>
      </c>
      <c r="G12" s="44">
        <f>(G$4-G$9-G$10)*'Ethylene Recycling HC'!F251</f>
        <v>116.95768686415815</v>
      </c>
      <c r="H12" s="44">
        <f>(H$4-H$9-H$10)*'Ethylene Recycling HC'!G251</f>
        <v>119.10120256675617</v>
      </c>
      <c r="I12" s="44">
        <f>(I$4-I$9-I$10)*'Ethylene Recycling HC'!H251</f>
        <v>120.95572955929164</v>
      </c>
      <c r="J12" s="44">
        <f>(J$4-J$9-J$10)*'Ethylene Recycling HC'!I251</f>
        <v>122.19319260108247</v>
      </c>
      <c r="K12" s="44">
        <f>(K$4-K$9-K$10)*'Ethylene Recycling HC'!J251</f>
        <v>123.36156026795753</v>
      </c>
      <c r="L12" s="44">
        <f>(L$4-L$9-L$10)*'Ethylene Recycling HC'!K251</f>
        <v>124.45619461346884</v>
      </c>
      <c r="M12" s="44">
        <f>(M$4-M$9-M$10)*'Ethylene Recycling HC'!L251</f>
        <v>125.47086893123908</v>
      </c>
      <c r="N12" s="44">
        <f>(N$4-N$9-N$10)*'Ethylene Recycling HC'!M251</f>
        <v>126.39783757961253</v>
      </c>
      <c r="O12" s="44">
        <f>(O$4-O$9-O$10)*'Ethylene Recycling HC'!N251</f>
        <v>125.63498810045066</v>
      </c>
      <c r="P12" s="44">
        <f>(P$4-P$9-P$10)*'Ethylene Recycling HC'!O251</f>
        <v>124.70774502464583</v>
      </c>
      <c r="Q12" s="44">
        <f>(Q$4-Q$9-Q$10)*'Ethylene Recycling HC'!P251</f>
        <v>123.25737683365089</v>
      </c>
      <c r="R12" s="44">
        <f>(R$4-R$9-R$10)*'Ethylene Recycling HC'!Q251</f>
        <v>121.48404866831791</v>
      </c>
      <c r="S12" s="44">
        <f>(S$4-S$9-S$10)*'Ethylene Recycling HC'!R251</f>
        <v>119.39701708896602</v>
      </c>
      <c r="T12" s="44">
        <f>(T$4-T$9-T$10)*'Ethylene Recycling HC'!S251</f>
        <v>117.33189356591124</v>
      </c>
      <c r="U12" s="44">
        <f>(U$4-U$9-U$10)*'Ethylene Recycling HC'!T251</f>
        <v>115.18276107607433</v>
      </c>
      <c r="V12" s="44">
        <f>(V$4-V$9-V$10)*'Ethylene Recycling HC'!U251</f>
        <v>112.98721424048495</v>
      </c>
      <c r="W12" s="44">
        <f>(W$4-W$9-W$10)*'Ethylene Recycling HC'!V251</f>
        <v>110.76893152840447</v>
      </c>
      <c r="X12" s="44">
        <f>(X$4-X$9-X$10)*'Ethylene Recycling HC'!W251</f>
        <v>108.60515259937536</v>
      </c>
      <c r="Y12" s="44">
        <f>(Y$4-Y$9-Y$10)*'Ethylene Recycling HC'!X251</f>
        <v>104.89670344015082</v>
      </c>
      <c r="Z12" s="44">
        <f>(Z$4-Z$9-Z$10)*'Ethylene Recycling HC'!Y251</f>
        <v>101.79290213075645</v>
      </c>
      <c r="AA12" s="44">
        <f>(AA$4-AA$9-AA$10)*'Ethylene Recycling HC'!Z251</f>
        <v>98.653859118600224</v>
      </c>
      <c r="AB12" s="44">
        <f>(AB$4-AB$9-AB$10)*'Ethylene Recycling HC'!AA251</f>
        <v>95.506094427845895</v>
      </c>
      <c r="AC12" s="44">
        <f>(AC$4-AC$9-AC$10)*'Ethylene Recycling HC'!AB251</f>
        <v>92.358390779774226</v>
      </c>
      <c r="AD12" s="44">
        <f>(AD$4-AD$9-AD$10)*'Ethylene Recycling HC'!AC251</f>
        <v>89.156999233041219</v>
      </c>
      <c r="AE12" s="44">
        <f>(AE$4-AE$9-AE$10)*'Ethylene Recycling HC'!AD251</f>
        <v>85.948076145120964</v>
      </c>
      <c r="AF12" s="44">
        <f>(AF$4-AF$9-AF$10)*'Ethylene Recycling HC'!AE251</f>
        <v>82.723474071457304</v>
      </c>
      <c r="AG12" s="44">
        <f>(AG$4-AG$9-AG$10)*'Ethylene Recycling HC'!AF251</f>
        <v>79.483374488356787</v>
      </c>
      <c r="AH12" s="44">
        <f>(AH$4-AH$9-AH$10)*'Ethylene Recycling HC'!AG251</f>
        <v>76.286167748746664</v>
      </c>
      <c r="AJ12" s="44">
        <f>(AJ$4-AJ$9-AJ$10)*'Ethylene Recycling LC'!C209</f>
        <v>108.81407909862806</v>
      </c>
      <c r="AK12" s="44">
        <f>(AK$4-AK$9-AK$10)*'Ethylene Recycling LC'!D209</f>
        <v>112.04485865613742</v>
      </c>
      <c r="AL12" s="44">
        <f>(AL$4-AL$9-AL$10)*'Ethylene Recycling LC'!E209</f>
        <v>114.85873883498485</v>
      </c>
      <c r="AM12" s="44">
        <f>(AM$4-AM$9-AM$10)*'Ethylene Recycling LC'!F209</f>
        <v>117.44818819276064</v>
      </c>
      <c r="AN12" s="44">
        <f>(AN$4-AN$9-AN$10)*'Ethylene Recycling LC'!G209</f>
        <v>119.77498598153269</v>
      </c>
      <c r="AO12" s="44">
        <f>(AO$4-AO$9-AO$10)*'Ethylene Recycling LC'!H209</f>
        <v>121.82131481603069</v>
      </c>
      <c r="AP12" s="44">
        <f>(AP$4-AP$9-AP$10)*'Ethylene Recycling LC'!I209</f>
        <v>123.56883650498119</v>
      </c>
      <c r="AQ12" s="44">
        <f>(AQ$4-AQ$9-AQ$10)*'Ethylene Recycling LC'!J209</f>
        <v>125.27399537549941</v>
      </c>
      <c r="AR12" s="44">
        <f>(AR$4-AR$9-AR$10)*'Ethylene Recycling LC'!K209</f>
        <v>126.93328563652994</v>
      </c>
      <c r="AS12" s="44">
        <f>(AS$4-AS$9-AS$10)*'Ethylene Recycling LC'!L209</f>
        <v>128.54224305625357</v>
      </c>
      <c r="AT12" s="44">
        <f>(AT$4-AT$9-AT$10)*'Ethylene Recycling LC'!M209</f>
        <v>130.09602187318785</v>
      </c>
      <c r="AU12" s="44">
        <f>(AU$4-AU$9-AU$10)*'Ethylene Recycling LC'!N209</f>
        <v>130.19851934466948</v>
      </c>
      <c r="AV12" s="44">
        <f>(AV$4-AV$9-AV$10)*'Ethylene Recycling LC'!O209</f>
        <v>130.14902895704495</v>
      </c>
      <c r="AW12" s="44">
        <f>(AW$4-AW$9-AW$10)*'Ethylene Recycling LC'!P209</f>
        <v>129.66227634286903</v>
      </c>
      <c r="AX12" s="44">
        <f>(AX$4-AX$9-AX$10)*'Ethylene Recycling LC'!Q209</f>
        <v>128.88772123054233</v>
      </c>
      <c r="AY12" s="44">
        <f>(AY$4-AY$9-AY$10)*'Ethylene Recycling LC'!R209</f>
        <v>127.82789304063108</v>
      </c>
      <c r="AZ12" s="44">
        <f>(AZ$4-AZ$9-AZ$10)*'Ethylene Recycling LC'!S209</f>
        <v>126.76527930679437</v>
      </c>
      <c r="BA12" s="44">
        <f>(BA$4-BA$9-BA$10)*'Ethylene Recycling LC'!T209</f>
        <v>125.66582946268707</v>
      </c>
      <c r="BB12" s="44">
        <f>(BB$4-BB$9-BB$10)*'Ethylene Recycling LC'!U209</f>
        <v>124.54417682202654</v>
      </c>
      <c r="BC12" s="44">
        <f>(BC$4-BC$9-BC$10)*'Ethylene Recycling LC'!V209</f>
        <v>123.41438582745208</v>
      </c>
      <c r="BD12" s="44">
        <f>(BD$4-BD$9-BD$10)*'Ethylene Recycling LC'!W209</f>
        <v>122.35073901926526</v>
      </c>
      <c r="BE12" s="44">
        <f>(BE$4-BE$9-BE$10)*'Ethylene Recycling LC'!X209</f>
        <v>119.87134397868823</v>
      </c>
      <c r="BF12" s="44">
        <f>(BF$4-BF$9-BF$10)*'Ethylene Recycling LC'!Y209</f>
        <v>117.91531174236754</v>
      </c>
      <c r="BG12" s="44">
        <f>(BG$4-BG$9-BG$10)*'Ethylene Recycling LC'!Z209</f>
        <v>115.9725950277123</v>
      </c>
      <c r="BH12" s="44">
        <f>(BH$4-BH$9-BH$10)*'Ethylene Recycling LC'!AA209</f>
        <v>114.04561433544275</v>
      </c>
      <c r="BI12" s="44">
        <f>(BI$4-BI$9-BI$10)*'Ethylene Recycling LC'!AB209</f>
        <v>112.14865078244588</v>
      </c>
      <c r="BJ12" s="44">
        <f>(BJ$4-BJ$9-BJ$10)*'Ethylene Recycling LC'!AC209</f>
        <v>110.26017264078519</v>
      </c>
      <c r="BK12" s="44">
        <f>(BK$4-BK$9-BK$10)*'Ethylene Recycling LC'!AD209</f>
        <v>108.39115676973493</v>
      </c>
      <c r="BL12" s="44">
        <f>(BL$4-BL$9-BL$10)*'Ethylene Recycling LC'!AE209</f>
        <v>106.53515984457762</v>
      </c>
      <c r="BM12" s="44">
        <f>(BM$4-BM$9-BM$10)*'Ethylene Recycling LC'!AF209</f>
        <v>104.68576158454994</v>
      </c>
      <c r="BN12" s="44">
        <f>(BN$4-BN$9-BN$10)*'Ethylene Recycling LC'!AG209</f>
        <v>103.03534912609831</v>
      </c>
      <c r="BO12" s="2">
        <f t="shared" si="68"/>
        <v>0.27560256265496114</v>
      </c>
      <c r="BP12" s="44">
        <f>(BP$4-BP$9-BP$10)*'Ethylene Recycling HC'!C230</f>
        <v>108.81410844587641</v>
      </c>
      <c r="BQ12" s="44">
        <f>(BQ$4-BQ$9-BQ$10)*'Ethylene Recycling HC'!D230</f>
        <v>110.42784084532559</v>
      </c>
      <c r="BR12" s="44">
        <f>(BR$4-BR$9-BR$10)*'Ethylene Recycling HC'!E230</f>
        <v>111.6948132669533</v>
      </c>
      <c r="BS12" s="44">
        <f>(BS$4-BS$9-BS$10)*'Ethylene Recycling HC'!F230</f>
        <v>112.60232740889589</v>
      </c>
      <c r="BT12" s="44">
        <f>(BT$4-BT$9-BT$10)*'Ethylene Recycling HC'!G230</f>
        <v>113.14072652751558</v>
      </c>
      <c r="BU12" s="44">
        <f>(BU$4-BU$9-BU$10)*'Ethylene Recycling HC'!H230</f>
        <v>113.30355682724046</v>
      </c>
      <c r="BV12" s="44">
        <f>(BV$4-BV$9-BV$10)*'Ethylene Recycling HC'!I230</f>
        <v>113.35523041916598</v>
      </c>
      <c r="BW12" s="44">
        <f>(BW$4-BW$9-BW$10)*'Ethylene Recycling HC'!J230</f>
        <v>113.29316057849613</v>
      </c>
      <c r="BX12" s="44">
        <f>(BX$4-BX$9-BX$10)*'Ethylene Recycling HC'!K230</f>
        <v>113.11492440571011</v>
      </c>
      <c r="BY12" s="44">
        <f>(BY$4-BY$9-BY$10)*'Ethylene Recycling HC'!L230</f>
        <v>112.81827293264138</v>
      </c>
      <c r="BZ12" s="44">
        <f>(BZ$4-BZ$9-BZ$10)*'Ethylene Recycling HC'!M230</f>
        <v>112.40114099209298</v>
      </c>
      <c r="CA12" s="44">
        <f>(CA$4-CA$9-CA$10)*'Ethylene Recycling HC'!N230</f>
        <v>111.68652935731025</v>
      </c>
      <c r="CB12" s="44">
        <f>(CB$4-CB$9-CB$10)*'Ethylene Recycling HC'!O230</f>
        <v>110.67636370198967</v>
      </c>
      <c r="CC12" s="44">
        <f>(CC$4-CC$9-CC$10)*'Ethylene Recycling HC'!P230</f>
        <v>109.37464169785906</v>
      </c>
      <c r="CD12" s="44">
        <f>(CD$4-CD$9-CD$10)*'Ethylene Recycling HC'!Q230</f>
        <v>107.78742183912253</v>
      </c>
      <c r="CE12" s="44">
        <f>(CE$4-CE$9-CE$10)*'Ethylene Recycling HC'!R230</f>
        <v>105.92278970582458</v>
      </c>
      <c r="CF12" s="44">
        <f>(CF$4-CF$9-CF$10)*'Ethylene Recycling HC'!S230</f>
        <v>103.99582412133935</v>
      </c>
      <c r="CG12" s="44">
        <f>(CG$4-CG$9-CG$10)*'Ethylene Recycling HC'!T230</f>
        <v>102.00640765449931</v>
      </c>
      <c r="CH12" s="44">
        <f>(CH$4-CH$9-CH$10)*'Ethylene Recycling HC'!U230</f>
        <v>99.95445530234295</v>
      </c>
      <c r="CI12" s="44">
        <f>(CI$4-CI$9-CI$10)*'Ethylene Recycling HC'!V230</f>
        <v>97.839915130375999</v>
      </c>
      <c r="CJ12" s="44">
        <f>(CJ$4-CJ$9-CJ$10)*'Ethylene Recycling HC'!W230</f>
        <v>95.662768902506386</v>
      </c>
      <c r="CK12" s="44">
        <f>(CK$4-CK$9-CK$10)*'Ethylene Recycling HC'!X230</f>
        <v>93.424164155103938</v>
      </c>
      <c r="CL12" s="44">
        <f>(CL$4-CL$9-CL$10)*'Ethylene Recycling HC'!Y230</f>
        <v>91.124072134095556</v>
      </c>
      <c r="CM12" s="44">
        <f>(CM$4-CM$9-CM$10)*'Ethylene Recycling HC'!Z230</f>
        <v>88.762494809269072</v>
      </c>
      <c r="CN12" s="44">
        <f>(CN$4-CN$9-CN$10)*'Ethylene Recycling HC'!AA230</f>
        <v>86.339465429761461</v>
      </c>
      <c r="CO12" s="44">
        <f>(CO$4-CO$9-CO$10)*'Ethylene Recycling HC'!AB230</f>
        <v>83.855049071255351</v>
      </c>
      <c r="CP12" s="44">
        <f>(CP$4-CP$9-CP$10)*'Ethylene Recycling HC'!AC230</f>
        <v>81.310191335965968</v>
      </c>
      <c r="CQ12" s="44">
        <f>(CQ$4-CQ$9-CQ$10)*'Ethylene Recycling HC'!AD230</f>
        <v>78.704943895590191</v>
      </c>
      <c r="CR12" s="44">
        <f>(CR$4-CR$9-CR$10)*'Ethylene Recycling HC'!AE230</f>
        <v>76.039387728203693</v>
      </c>
      <c r="CS12" s="44">
        <f>(CS$4-CS$9-CS$10)*'Ethylene Recycling HC'!AF230</f>
        <v>73.313633610460741</v>
      </c>
      <c r="CT12" s="44">
        <f>(CT$4-CT$9-CT$10)*'Ethylene Recycling HC'!AG230</f>
        <v>70.52782260325391</v>
      </c>
      <c r="CV12" s="44">
        <f>(CV$4-CV$9-CV$10)*'Ethylene Recycling LC'!C209</f>
        <v>108.81407909862806</v>
      </c>
      <c r="CW12" s="44">
        <f>(CW$4-CW$9-CW$10)*'Ethylene Recycling LC'!D209</f>
        <v>112.61594870787097</v>
      </c>
      <c r="CX12" s="44">
        <f>(CX$4-CX$9-CX$10)*'Ethylene Recycling LC'!E209</f>
        <v>116.08977821531626</v>
      </c>
      <c r="CY12" s="44">
        <f>(CY$4-CY$9-CY$10)*'Ethylene Recycling LC'!F209</f>
        <v>119.35516076629459</v>
      </c>
      <c r="CZ12" s="44">
        <f>(CZ$4-CZ$9-CZ$10)*'Ethylene Recycling LC'!G209</f>
        <v>122.39389611650637</v>
      </c>
      <c r="DA12" s="44">
        <f>(DA$4-DA$9-DA$10)*'Ethylene Recycling LC'!H209</f>
        <v>125.18430064737764</v>
      </c>
      <c r="DB12" s="44">
        <f>(DB$4-DB$9-DB$10)*'Ethylene Recycling LC'!I209</f>
        <v>128.02092468706334</v>
      </c>
      <c r="DC12" s="44">
        <f>(DC$4-DC$9-DC$10)*'Ethylene Recycling LC'!J209</f>
        <v>130.86849903675508</v>
      </c>
      <c r="DD12" s="44">
        <f>(DD$4-DD$9-DD$10)*'Ethylene Recycling LC'!K209</f>
        <v>133.7240233674039</v>
      </c>
      <c r="DE12" s="44">
        <f>(DE$4-DE$9-DE$10)*'Ethylene Recycling LC'!L209</f>
        <v>136.58345212047723</v>
      </c>
      <c r="DF12" s="44">
        <f>(DF$4-DF$9-DF$10)*'Ethylene Recycling LC'!M209</f>
        <v>139.44226739362165</v>
      </c>
      <c r="DG12" s="44">
        <f>(DG$4-DG$9-DG$10)*'Ethylene Recycling LC'!N209</f>
        <v>141.5073660733546</v>
      </c>
      <c r="DH12" s="44">
        <f>(DH$4-DH$9-DH$10)*'Ethylene Recycling LC'!O209</f>
        <v>143.3071778638058</v>
      </c>
      <c r="DI12" s="44">
        <f>(DI$4-DI$9-DI$10)*'Ethylene Recycling LC'!P209</f>
        <v>144.92789658819095</v>
      </c>
      <c r="DJ12" s="44">
        <f>(DJ$4-DJ$9-DJ$10)*'Ethylene Recycling LC'!Q209</f>
        <v>146.30268135647424</v>
      </c>
      <c r="DK12" s="44">
        <f>(DK$4-DK$9-DK$10)*'Ethylene Recycling LC'!R209</f>
        <v>147.42330189004309</v>
      </c>
      <c r="DL12" s="44">
        <f>(DL$4-DL$9-DL$10)*'Ethylene Recycling LC'!S209</f>
        <v>148.53719721642798</v>
      </c>
      <c r="DM12" s="44">
        <f>(DM$4-DM$9-DM$10)*'Ethylene Recycling LC'!T209</f>
        <v>149.67194596158944</v>
      </c>
      <c r="DN12" s="44">
        <f>(DN$4-DN$9-DN$10)*'Ethylene Recycling LC'!U209</f>
        <v>150.84263756268865</v>
      </c>
      <c r="DO12" s="44">
        <f>(DO$4-DO$9-DO$10)*'Ethylene Recycling LC'!V209</f>
        <v>152.06377284018282</v>
      </c>
      <c r="DP12" s="44">
        <f>(DP$4-DP$9-DP$10)*'Ethylene Recycling LC'!W209</f>
        <v>153.41005033190319</v>
      </c>
      <c r="DQ12" s="44">
        <f>(DQ$4-DQ$9-DQ$10)*'Ethylene Recycling LC'!X209</f>
        <v>154.1175785519595</v>
      </c>
      <c r="DR12" s="44">
        <f>(DR$4-DR$9-DR$10)*'Ethylene Recycling LC'!Y209</f>
        <v>154.72320353274807</v>
      </c>
      <c r="DS12" s="44">
        <f>(DS$4-DS$9-DS$10)*'Ethylene Recycling LC'!Z209</f>
        <v>155.43712821387598</v>
      </c>
      <c r="DT12" s="44">
        <f>(DT$4-DT$9-DT$10)*'Ethylene Recycling LC'!AA209</f>
        <v>156.22985221365715</v>
      </c>
      <c r="DU12" s="44">
        <f>(DU$4-DU$9-DU$10)*'Ethylene Recycling LC'!AB209</f>
        <v>157.11608195628796</v>
      </c>
      <c r="DV12" s="44">
        <f>(DV$4-DV$9-DV$10)*'Ethylene Recycling LC'!AC209</f>
        <v>158.11685179910529</v>
      </c>
      <c r="DW12" s="44">
        <f>(DW$4-DW$9-DW$10)*'Ethylene Recycling LC'!AD209</f>
        <v>159.20303440127907</v>
      </c>
      <c r="DX12" s="44">
        <f>(DX$4-DX$9-DX$10)*'Ethylene Recycling LC'!AE209</f>
        <v>160.36864584427514</v>
      </c>
      <c r="DY12" s="44">
        <f>(DY$4-DY$9-DY$10)*'Ethylene Recycling LC'!AF209</f>
        <v>161.60770681547112</v>
      </c>
      <c r="DZ12" s="44">
        <f>(DZ$4-DZ$9-DZ$10)*'Ethylene Recycling LC'!AG209</f>
        <v>163.11302644797601</v>
      </c>
      <c r="EB12" s="2">
        <f t="shared" ref="EB12:EB16" si="69">DZ12/SUM($DZ$11:$DZ$16)</f>
        <v>0.42</v>
      </c>
      <c r="EC12" s="2">
        <f t="shared" ref="EC12:EC16" si="70">BN12/SUM($BN$11:$BN$16)</f>
        <v>0.42</v>
      </c>
    </row>
    <row r="13" spans="1:165" x14ac:dyDescent="0.2">
      <c r="A13" s="601" t="s">
        <v>451</v>
      </c>
      <c r="C13" s="54" t="s">
        <v>153</v>
      </c>
      <c r="D13" s="44">
        <f>(D$4-D$9-D$10)*'Ethylene Recycling HC'!C252</f>
        <v>23.527363315292174</v>
      </c>
      <c r="E13" s="44">
        <f>(E$4-E$9-E$10)*'Ethylene Recycling HC'!D252</f>
        <v>23.382990331919785</v>
      </c>
      <c r="F13" s="44">
        <f>(F$4-F$9-F$10)*'Ethylene Recycling HC'!E252</f>
        <v>23.112966707590537</v>
      </c>
      <c r="G13" s="44">
        <f>(G$4-G$9-G$10)*'Ethylene Recycling HC'!F252</f>
        <v>22.767763042889452</v>
      </c>
      <c r="H13" s="44">
        <f>(H$4-H$9-H$10)*'Ethylene Recycling HC'!G252</f>
        <v>22.344650393055137</v>
      </c>
      <c r="I13" s="44">
        <f>(I$4-I$9-I$10)*'Ethylene Recycling HC'!H252</f>
        <v>21.846629567977782</v>
      </c>
      <c r="J13" s="44">
        <f>(J$4-J$9-J$10)*'Ethylene Recycling HC'!I252</f>
        <v>21.223028188609053</v>
      </c>
      <c r="K13" s="44">
        <f>(K$4-K$9-K$10)*'Ethylene Recycling HC'!J252</f>
        <v>20.578216603650549</v>
      </c>
      <c r="L13" s="44">
        <f>(L$4-L$9-L$10)*'Ethylene Recycling HC'!K252</f>
        <v>19.912991138155007</v>
      </c>
      <c r="M13" s="44">
        <f>(M$4-M$9-M$10)*'Ethylene Recycling HC'!L252</f>
        <v>19.228003290761308</v>
      </c>
      <c r="N13" s="44">
        <f>(N$4-N$9-N$10)*'Ethylene Recycling HC'!M252</f>
        <v>18.523821024598384</v>
      </c>
      <c r="O13" s="44">
        <f>(O$4-O$9-O$10)*'Ethylene Recycling HC'!N252</f>
        <v>17.578114214912834</v>
      </c>
      <c r="P13" s="44">
        <f>(P$4-P$9-P$10)*'Ethylene Recycling HC'!O252</f>
        <v>16.62769933661944</v>
      </c>
      <c r="Q13" s="44">
        <f>(Q$4-Q$9-Q$10)*'Ethylene Recycling HC'!P252</f>
        <v>15.630084381458705</v>
      </c>
      <c r="R13" s="44">
        <f>(R$4-R$9-R$10)*'Ethylene Recycling HC'!Q252</f>
        <v>14.619266873645033</v>
      </c>
      <c r="S13" s="44">
        <f>(S$4-S$9-S$10)*'Ethylene Recycling HC'!R252</f>
        <v>13.602191820261949</v>
      </c>
      <c r="T13" s="44">
        <f>(T$4-T$9-T$10)*'Ethylene Recycling HC'!S252</f>
        <v>12.620573425577005</v>
      </c>
      <c r="U13" s="44">
        <f>(U$4-U$9-U$10)*'Ethylene Recycling HC'!T252</f>
        <v>11.662856979251037</v>
      </c>
      <c r="V13" s="44">
        <f>(V$4-V$9-V$10)*'Ethylene Recycling HC'!U252</f>
        <v>10.733785352846066</v>
      </c>
      <c r="W13" s="44">
        <f>(W$4-W$9-W$10)*'Ethylene Recycling HC'!V252</f>
        <v>9.8359134220242925</v>
      </c>
      <c r="X13" s="44">
        <f>(X$4-X$9-X$10)*'Ethylene Recycling HC'!W252</f>
        <v>8.9756324462293637</v>
      </c>
      <c r="Y13" s="44">
        <f>(Y$4-Y$9-Y$10)*'Ethylene Recycling HC'!X252</f>
        <v>8.0291303867769717</v>
      </c>
      <c r="Z13" s="44">
        <f>(Z$4-Z$9-Z$10)*'Ethylene Recycling HC'!Y252</f>
        <v>7.175565232168073</v>
      </c>
      <c r="AA13" s="44">
        <f>(AA$4-AA$9-AA$10)*'Ethylene Recycling HC'!Z252</f>
        <v>6.3621672411178878</v>
      </c>
      <c r="AB13" s="44">
        <f>(AB$4-AB$9-AB$10)*'Ethylene Recycling HC'!AA252</f>
        <v>5.5906006494348777</v>
      </c>
      <c r="AC13" s="44">
        <f>(AC$4-AC$9-AC$10)*'Ethylene Recycling HC'!AB252</f>
        <v>4.8609679357775866</v>
      </c>
      <c r="AD13" s="44">
        <f>(AD$4-AD$9-AD$10)*'Ethylene Recycling HC'!AC252</f>
        <v>4.1702467383196655</v>
      </c>
      <c r="AE13" s="44">
        <f>(AE$4-AE$9-AE$10)*'Ethylene Recycling HC'!AD252</f>
        <v>3.5207645649808543</v>
      </c>
      <c r="AF13" s="44">
        <f>(AF$4-AF$9-AF$10)*'Ethylene Recycling HC'!AE252</f>
        <v>2.9118662873152923</v>
      </c>
      <c r="AG13" s="44">
        <f>(AG$4-AG$9-AG$10)*'Ethylene Recycling HC'!AF252</f>
        <v>2.343334546668681</v>
      </c>
      <c r="AH13" s="44">
        <f>(AH$4-AH$9-AH$10)*'Ethylene Recycling HC'!AG252</f>
        <v>1.8163373273511112</v>
      </c>
      <c r="AJ13" s="44">
        <f>(AJ$4-AJ$9-AJ$10)*'Ethylene Recycling LC'!C210</f>
        <v>23.527368453757418</v>
      </c>
      <c r="AK13" s="44">
        <f>(AK$4-AK$9-AK$10)*'Ethylene Recycling LC'!D210</f>
        <v>23.413858355946203</v>
      </c>
      <c r="AL13" s="44">
        <f>(AL$4-AL$9-AL$10)*'Ethylene Recycling LC'!E210</f>
        <v>23.176852657773725</v>
      </c>
      <c r="AM13" s="44">
        <f>(AM$4-AM$9-AM$10)*'Ethylene Recycling LC'!F210</f>
        <v>22.863247301524069</v>
      </c>
      <c r="AN13" s="44">
        <f>(AN$4-AN$9-AN$10)*'Ethylene Recycling LC'!G210</f>
        <v>22.471059316889313</v>
      </c>
      <c r="AO13" s="44">
        <f>(AO$4-AO$9-AO$10)*'Ethylene Recycling LC'!H210</f>
        <v>22.002968755318314</v>
      </c>
      <c r="AP13" s="44">
        <f>(AP$4-AP$9-AP$10)*'Ethylene Recycling LC'!I210</f>
        <v>21.461955814023042</v>
      </c>
      <c r="AQ13" s="44">
        <f>(AQ$4-AQ$9-AQ$10)*'Ethylene Recycling LC'!J210</f>
        <v>20.897234163074565</v>
      </c>
      <c r="AR13" s="44">
        <f>(AR$4-AR$9-AR$10)*'Ethylene Recycling LC'!K210</f>
        <v>20.309325701844784</v>
      </c>
      <c r="AS13" s="44">
        <f>(AS$4-AS$9-AS$10)*'Ethylene Recycling LC'!L210</f>
        <v>19.698681403425866</v>
      </c>
      <c r="AT13" s="44">
        <f>(AT$4-AT$9-AT$10)*'Ethylene Recycling LC'!M210</f>
        <v>19.065796309001659</v>
      </c>
      <c r="AU13" s="44">
        <f>(AU$4-AU$9-AU$10)*'Ethylene Recycling LC'!N210</f>
        <v>18.216616869683364</v>
      </c>
      <c r="AV13" s="44">
        <f>(AV$4-AV$9-AV$10)*'Ethylene Recycling LC'!O210</f>
        <v>17.353203860939324</v>
      </c>
      <c r="AW13" s="44">
        <f>(AW$4-AW$9-AW$10)*'Ethylene Recycling LC'!P210</f>
        <v>16.442280149010621</v>
      </c>
      <c r="AX13" s="44">
        <f>(AX$4-AX$9-AX$10)*'Ethylene Recycling LC'!Q210</f>
        <v>15.510217300624582</v>
      </c>
      <c r="AY13" s="44">
        <f>(AY$4-AY$9-AY$10)*'Ethylene Recycling LC'!R210</f>
        <v>14.562671359059234</v>
      </c>
      <c r="AZ13" s="44">
        <f>(AZ$4-AZ$9-AZ$10)*'Ethylene Recycling LC'!S210</f>
        <v>13.635256933840063</v>
      </c>
      <c r="BA13" s="44">
        <f>(BA$4-BA$9-BA$10)*'Ethylene Recycling LC'!T210</f>
        <v>12.724322481159104</v>
      </c>
      <c r="BB13" s="44">
        <f>(BB$4-BB$9-BB$10)*'Ethylene Recycling LC'!U210</f>
        <v>11.831696798092517</v>
      </c>
      <c r="BC13" s="44">
        <f>(BC$4-BC$9-BC$10)*'Ethylene Recycling LC'!V210</f>
        <v>10.958787787167941</v>
      </c>
      <c r="BD13" s="44">
        <f>(BD$4-BD$9-BD$10)*'Ethylene Recycling LC'!W210</f>
        <v>10.111631323906215</v>
      </c>
      <c r="BE13" s="44">
        <f>(BE$4-BE$9-BE$10)*'Ethylene Recycling LC'!X210</f>
        <v>9.175337440344034</v>
      </c>
      <c r="BF13" s="44">
        <f>(BF$4-BF$9-BF$10)*'Ethylene Recycling LC'!Y210</f>
        <v>8.3120629588881982</v>
      </c>
      <c r="BG13" s="44">
        <f>(BG$4-BG$9-BG$10)*'Ethylene Recycling LC'!Z210</f>
        <v>7.4790489854606257</v>
      </c>
      <c r="BH13" s="44">
        <f>(BH$4-BH$9-BH$10)*'Ethylene Recycling LC'!AA210</f>
        <v>6.6758408391478641</v>
      </c>
      <c r="BI13" s="44">
        <f>(BI$4-BI$9-BI$10)*'Ethylene Recycling LC'!AB210</f>
        <v>5.9025605674971473</v>
      </c>
      <c r="BJ13" s="44">
        <f>(BJ$4-BJ$9-BJ$10)*'Ethylene Recycling LC'!AC210</f>
        <v>5.1573306557786571</v>
      </c>
      <c r="BK13" s="44">
        <f>(BK$4-BK$9-BK$10)*'Ethylene Recycling LC'!AD210</f>
        <v>4.4401196749047989</v>
      </c>
      <c r="BL13" s="44">
        <f>(BL$4-BL$9-BL$10)*'Ethylene Recycling LC'!AE210</f>
        <v>3.7500376265291262</v>
      </c>
      <c r="BM13" s="44">
        <f>(BM$4-BM$9-BM$10)*'Ethylene Recycling LC'!AF210</f>
        <v>3.0863531303811471</v>
      </c>
      <c r="BN13" s="44">
        <f>(BN$4-BN$9-BN$10)*'Ethylene Recycling LC'!AG210</f>
        <v>2.4532225982404361</v>
      </c>
      <c r="BO13" s="2">
        <f t="shared" si="68"/>
        <v>6.561965777499075E-3</v>
      </c>
      <c r="BP13" s="44">
        <f>(BP$4-BP$9-BP$10)*'Ethylene Recycling HC'!C231</f>
        <v>23.527374799108415</v>
      </c>
      <c r="BQ13" s="44">
        <f>(BQ$4-BQ$9-BQ$10)*'Ethylene Recycling HC'!D231</f>
        <v>24.387289913731955</v>
      </c>
      <c r="BR13" s="44">
        <f>(BR$4-BR$9-BR$10)*'Ethylene Recycling HC'!E231</f>
        <v>25.205188587534199</v>
      </c>
      <c r="BS13" s="44">
        <f>(BS$4-BS$9-BS$10)*'Ethylene Recycling HC'!F231</f>
        <v>25.975199341954436</v>
      </c>
      <c r="BT13" s="44">
        <f>(BT$4-BT$9-BT$10)*'Ethylene Recycling HC'!G231</f>
        <v>26.691650272336421</v>
      </c>
      <c r="BU13" s="44">
        <f>(BU$4-BU$9-BU$10)*'Ethylene Recycling HC'!H231</f>
        <v>27.349134406575278</v>
      </c>
      <c r="BV13" s="44">
        <f>(BV$4-BV$9-BV$10)*'Ethylene Recycling HC'!I231</f>
        <v>28.008680477574419</v>
      </c>
      <c r="BW13" s="44">
        <f>(BW$4-BW$9-BW$10)*'Ethylene Recycling HC'!J231</f>
        <v>28.669670927201739</v>
      </c>
      <c r="BX13" s="44">
        <f>(BX$4-BX$9-BX$10)*'Ethylene Recycling HC'!K231</f>
        <v>29.331469486461408</v>
      </c>
      <c r="BY13" s="44">
        <f>(BY$4-BY$9-BY$10)*'Ethylene Recycling HC'!L231</f>
        <v>29.993421887120221</v>
      </c>
      <c r="BZ13" s="44">
        <f>(BZ$4-BZ$9-BZ$10)*'Ethylene Recycling HC'!M231</f>
        <v>30.65485663420716</v>
      </c>
      <c r="CA13" s="44">
        <f>(CA$4-CA$9-CA$10)*'Ethylene Recycling HC'!N231</f>
        <v>31.266059823534192</v>
      </c>
      <c r="CB13" s="44">
        <f>(CB$4-CB$9-CB$10)*'Ethylene Recycling HC'!O231</f>
        <v>31.823373699014006</v>
      </c>
      <c r="CC13" s="44">
        <f>(CC$4-CC$9-CC$10)*'Ethylene Recycling HC'!P231</f>
        <v>32.323367393805654</v>
      </c>
      <c r="CD13" s="44">
        <f>(CD$4-CD$9-CD$10)*'Ethylene Recycling HC'!Q231</f>
        <v>32.762868326006597</v>
      </c>
      <c r="CE13" s="44">
        <f>(CE$4-CE$9-CE$10)*'Ethylene Recycling HC'!R231</f>
        <v>33.138991788962365</v>
      </c>
      <c r="CF13" s="44">
        <f>(CF$4-CF$9-CF$10)*'Ethylene Recycling HC'!S231</f>
        <v>33.515241896924493</v>
      </c>
      <c r="CG13" s="44">
        <f>(CG$4-CG$9-CG$10)*'Ethylene Recycling HC'!T231</f>
        <v>33.891514865280946</v>
      </c>
      <c r="CH13" s="44">
        <f>(CH$4-CH$9-CH$10)*'Ethylene Recycling HC'!U231</f>
        <v>34.267705128799847</v>
      </c>
      <c r="CI13" s="44">
        <f>(CI$4-CI$9-CI$10)*'Ethylene Recycling HC'!V231</f>
        <v>34.643705357448269</v>
      </c>
      <c r="CJ13" s="44">
        <f>(CJ$4-CJ$9-CJ$10)*'Ethylene Recycling HC'!W231</f>
        <v>35.019406473238902</v>
      </c>
      <c r="CK13" s="44">
        <f>(CK$4-CK$9-CK$10)*'Ethylene Recycling HC'!X231</f>
        <v>35.395126336566797</v>
      </c>
      <c r="CL13" s="44">
        <f>(CL$4-CL$9-CL$10)*'Ethylene Recycling HC'!Y231</f>
        <v>35.770767571263832</v>
      </c>
      <c r="CM13" s="44">
        <f>(CM$4-CM$9-CM$10)*'Ethylene Recycling HC'!Z231</f>
        <v>36.146231186555347</v>
      </c>
      <c r="CN13" s="44">
        <f>(CN$4-CN$9-CN$10)*'Ethylene Recycling HC'!AA231</f>
        <v>36.52141658835901</v>
      </c>
      <c r="CO13" s="44">
        <f>(CO$4-CO$9-CO$10)*'Ethylene Recycling HC'!AB231</f>
        <v>36.896221591352308</v>
      </c>
      <c r="CP13" s="44">
        <f>(CP$4-CP$9-CP$10)*'Ethylene Recycling HC'!AC231</f>
        <v>37.270931211713538</v>
      </c>
      <c r="CQ13" s="44">
        <f>(CQ$4-CQ$9-CQ$10)*'Ethylene Recycling HC'!AD231</f>
        <v>37.645453210903987</v>
      </c>
      <c r="CR13" s="44">
        <f>(CR$4-CR$9-CR$10)*'Ethylene Recycling HC'!AE231</f>
        <v>38.019693864101789</v>
      </c>
      <c r="CS13" s="44">
        <f>(CS$4-CS$9-CS$10)*'Ethylene Recycling HC'!AF231</f>
        <v>38.393557967828087</v>
      </c>
      <c r="CT13" s="44">
        <f>(CT$4-CT$9-CT$10)*'Ethylene Recycling HC'!AG231</f>
        <v>38.766948848146193</v>
      </c>
      <c r="CV13" s="44">
        <f>(CV$4-CV$9-CV$10)*'Ethylene Recycling LC'!C210</f>
        <v>23.527368453757418</v>
      </c>
      <c r="CW13" s="44">
        <f>(CW$4-CW$9-CW$10)*'Ethylene Recycling LC'!D210</f>
        <v>23.533198250164965</v>
      </c>
      <c r="CX13" s="44">
        <f>(CX$4-CX$9-CX$10)*'Ethylene Recycling LC'!E210</f>
        <v>23.425258818447741</v>
      </c>
      <c r="CY13" s="44">
        <f>(CY$4-CY$9-CY$10)*'Ethylene Recycling LC'!F210</f>
        <v>23.234471295838677</v>
      </c>
      <c r="CZ13" s="44">
        <f>(CZ$4-CZ$9-CZ$10)*'Ethylene Recycling LC'!G210</f>
        <v>22.962394669645441</v>
      </c>
      <c r="DA13" s="44">
        <f>(DA$4-DA$9-DA$10)*'Ethylene Recycling LC'!H210</f>
        <v>22.610380293138689</v>
      </c>
      <c r="DB13" s="44">
        <f>(DB$4-DB$9-DB$10)*'Ethylene Recycling LC'!I210</f>
        <v>22.235213235121524</v>
      </c>
      <c r="DC13" s="44">
        <f>(DC$4-DC$9-DC$10)*'Ethylene Recycling LC'!J210</f>
        <v>21.830465778183591</v>
      </c>
      <c r="DD13" s="44">
        <f>(DD$4-DD$9-DD$10)*'Ethylene Recycling LC'!K210</f>
        <v>21.395843738784617</v>
      </c>
      <c r="DE13" s="44">
        <f>(DE$4-DE$9-DE$10)*'Ethylene Recycling LC'!L210</f>
        <v>20.930970584696507</v>
      </c>
      <c r="DF13" s="44">
        <f>(DF$4-DF$9-DF$10)*'Ethylene Recycling LC'!M210</f>
        <v>20.435504704237651</v>
      </c>
      <c r="DG13" s="44">
        <f>(DG$4-DG$9-DG$10)*'Ethylene Recycling LC'!N210</f>
        <v>19.798884695241881</v>
      </c>
      <c r="DH13" s="44">
        <f>(DH$4-DH$9-DH$10)*'Ethylene Recycling LC'!O210</f>
        <v>19.1076237151741</v>
      </c>
      <c r="DI13" s="44">
        <f>(DI$4-DI$9-DI$10)*'Ethylene Recycling LC'!P210</f>
        <v>18.378090716289741</v>
      </c>
      <c r="DJ13" s="44">
        <f>(DJ$4-DJ$9-DJ$10)*'Ethylene Recycling LC'!Q210</f>
        <v>17.605915892050284</v>
      </c>
      <c r="DK13" s="44">
        <f>(DK$4-DK$9-DK$10)*'Ethylene Recycling LC'!R210</f>
        <v>16.795059708992245</v>
      </c>
      <c r="DL13" s="44">
        <f>(DL$4-DL$9-DL$10)*'Ethylene Recycling LC'!S210</f>
        <v>15.977110288825862</v>
      </c>
      <c r="DM13" s="44">
        <f>(DM$4-DM$9-DM$10)*'Ethylene Recycling LC'!T210</f>
        <v>15.155067331675578</v>
      </c>
      <c r="DN13" s="44">
        <f>(DN$4-DN$9-DN$10)*'Ethylene Recycling LC'!U210</f>
        <v>14.330050568455416</v>
      </c>
      <c r="DO13" s="44">
        <f>(DO$4-DO$9-DO$10)*'Ethylene Recycling LC'!V210</f>
        <v>13.502758252198802</v>
      </c>
      <c r="DP13" s="44">
        <f>(DP$4-DP$9-DP$10)*'Ethylene Recycling LC'!W210</f>
        <v>12.67851655635563</v>
      </c>
      <c r="DQ13" s="44">
        <f>(DQ$4-DQ$9-DQ$10)*'Ethylene Recycling LC'!X210</f>
        <v>11.796654160767265</v>
      </c>
      <c r="DR13" s="44">
        <f>(DR$4-DR$9-DR$10)*'Ethylene Recycling LC'!Y210</f>
        <v>10.906717626078958</v>
      </c>
      <c r="DS13" s="44">
        <f>(DS$4-DS$9-DS$10)*'Ethylene Recycling LC'!Z210</f>
        <v>10.024108676649956</v>
      </c>
      <c r="DT13" s="44">
        <f>(DT$4-DT$9-DT$10)*'Ethylene Recycling LC'!AA210</f>
        <v>9.1451620807994356</v>
      </c>
      <c r="DU13" s="44">
        <f>(DU$4-DU$9-DU$10)*'Ethylene Recycling LC'!AB210</f>
        <v>8.2692674713835697</v>
      </c>
      <c r="DV13" s="44">
        <f>(DV$4-DV$9-DV$10)*'Ethylene Recycling LC'!AC210</f>
        <v>7.3957882293129824</v>
      </c>
      <c r="DW13" s="44">
        <f>(DW$4-DW$9-DW$10)*'Ethylene Recycling LC'!AD210</f>
        <v>6.5215700839078092</v>
      </c>
      <c r="DX13" s="44">
        <f>(DX$4-DX$9-DX$10)*'Ethylene Recycling LC'!AE210</f>
        <v>5.6449763337184766</v>
      </c>
      <c r="DY13" s="44">
        <f>(DY$4-DY$9-DY$10)*'Ethylene Recycling LC'!AF210</f>
        <v>4.7645300017310106</v>
      </c>
      <c r="DZ13" s="44">
        <f>(DZ$4-DZ$9-DZ$10)*'Ethylene Recycling LC'!AG210</f>
        <v>3.8836434868565721</v>
      </c>
      <c r="EB13" s="2">
        <f t="shared" si="69"/>
        <v>0.01</v>
      </c>
      <c r="EC13" s="2">
        <f t="shared" si="70"/>
        <v>0.01</v>
      </c>
    </row>
    <row r="14" spans="1:165" x14ac:dyDescent="0.2">
      <c r="A14" s="601" t="s">
        <v>452</v>
      </c>
      <c r="C14" s="54" t="s">
        <v>153</v>
      </c>
      <c r="D14" s="44">
        <f>(D$4-D$9-D$10)*'Ethylene Recycling HC'!C253</f>
        <v>79.404851189111085</v>
      </c>
      <c r="E14" s="44">
        <f>(E$4-E$9-E$10)*'Ethylene Recycling HC'!D253</f>
        <v>80.184589163965285</v>
      </c>
      <c r="F14" s="44">
        <f>(F$4-F$9-F$10)*'Ethylene Recycling HC'!E253</f>
        <v>80.588574183988271</v>
      </c>
      <c r="G14" s="44">
        <f>(G$4-G$9-G$10)*'Ethylene Recycling HC'!F253</f>
        <v>80.778775727511928</v>
      </c>
      <c r="H14" s="44">
        <f>(H$4-H$9-H$10)*'Ethylene Recycling HC'!G253</f>
        <v>80.735859439057762</v>
      </c>
      <c r="I14" s="44">
        <f>(I$4-I$9-I$10)*'Ethylene Recycling HC'!H253</f>
        <v>80.459538164991415</v>
      </c>
      <c r="J14" s="44">
        <f>(J$4-J$9-J$10)*'Ethylene Recycling HC'!I253</f>
        <v>79.747136223864388</v>
      </c>
      <c r="K14" s="44">
        <f>(K$4-K$9-K$10)*'Ethylene Recycling HC'!J253</f>
        <v>78.972946442282037</v>
      </c>
      <c r="L14" s="44">
        <f>(L$4-L$9-L$10)*'Ethylene Recycling HC'!K253</f>
        <v>78.136845661673533</v>
      </c>
      <c r="M14" s="44">
        <f>(M$4-M$9-M$10)*'Ethylene Recycling HC'!L253</f>
        <v>77.237911523905666</v>
      </c>
      <c r="N14" s="44">
        <f>(N$4-N$9-N$10)*'Ethylene Recycling HC'!M253</f>
        <v>76.274557160111058</v>
      </c>
      <c r="O14" s="44">
        <f>(O$4-O$9-O$10)*'Ethylene Recycling HC'!N253</f>
        <v>74.302580945245111</v>
      </c>
      <c r="P14" s="44">
        <f>(P$4-P$9-P$10)*'Ethylene Recycling HC'!O253</f>
        <v>72.266539424538394</v>
      </c>
      <c r="Q14" s="44">
        <f>(Q$4-Q$9-Q$10)*'Ethylene Recycling HC'!P253</f>
        <v>69.96823008344272</v>
      </c>
      <c r="R14" s="44">
        <f>(R$4-R$9-R$10)*'Ethylene Recycling HC'!Q253</f>
        <v>67.536894852895415</v>
      </c>
      <c r="S14" s="44">
        <f>(S$4-S$9-S$10)*'Ethylene Recycling HC'!R253</f>
        <v>64.988249807918251</v>
      </c>
      <c r="T14" s="44">
        <f>(T$4-T$9-T$10)*'Ethylene Recycling HC'!S253</f>
        <v>62.511277748561149</v>
      </c>
      <c r="U14" s="44">
        <f>(U$4-U$9-U$10)*'Ethylene Recycling HC'!T253</f>
        <v>60.049255355978524</v>
      </c>
      <c r="V14" s="44">
        <f>(V$4-V$9-V$10)*'Ethylene Recycling HC'!U253</f>
        <v>57.623479262647351</v>
      </c>
      <c r="W14" s="44">
        <f>(W$4-W$9-W$10)*'Ethylene Recycling HC'!V253</f>
        <v>55.246579127444903</v>
      </c>
      <c r="X14" s="44">
        <f>(X$4-X$9-X$10)*'Ethylene Recycling HC'!W253</f>
        <v>52.956231432753292</v>
      </c>
      <c r="Y14" s="44">
        <f>(Y$4-Y$9-Y$10)*'Ethylene Recycling HC'!X253</f>
        <v>49.987811762837318</v>
      </c>
      <c r="Z14" s="44">
        <f>(Z$4-Z$9-Z$10)*'Ethylene Recycling HC'!Y253</f>
        <v>47.392105254319404</v>
      </c>
      <c r="AA14" s="44">
        <f>(AA$4-AA$9-AA$10)*'Ethylene Recycling HC'!Z253</f>
        <v>44.857305738008442</v>
      </c>
      <c r="AB14" s="44">
        <f>(AB$4-AB$9-AB$10)*'Ethylene Recycling HC'!AA253</f>
        <v>42.395388258214524</v>
      </c>
      <c r="AC14" s="44">
        <f>(AC$4-AC$9-AC$10)*'Ethylene Recycling HC'!AB253</f>
        <v>40.009505317554023</v>
      </c>
      <c r="AD14" s="44">
        <f>(AD$4-AD$9-AD$10)*'Ethylene Recycling HC'!AC253</f>
        <v>37.676022256543234</v>
      </c>
      <c r="AE14" s="44">
        <f>(AE$4-AE$9-AE$10)*'Ethylene Recycling HC'!AD253</f>
        <v>35.41474944774864</v>
      </c>
      <c r="AF14" s="44">
        <f>(AF$4-AF$9-AF$10)*'Ethylene Recycling HC'!AE253</f>
        <v>33.22174718709725</v>
      </c>
      <c r="AG14" s="44">
        <f>(AG$4-AG$9-AG$10)*'Ethylene Recycling HC'!AF253</f>
        <v>31.096682767954722</v>
      </c>
      <c r="AH14" s="44">
        <f>(AH$4-AH$9-AH$10)*'Ethylene Recycling HC'!AG253</f>
        <v>29.061397237617779</v>
      </c>
      <c r="AJ14" s="44">
        <f>(AJ$4-AJ$9-AJ$10)*'Ethylene Recycling LC'!C211</f>
        <v>79.404868531431291</v>
      </c>
      <c r="AK14" s="44">
        <f>(AK$4-AK$9-AK$10)*'Ethylene Recycling LC'!D211</f>
        <v>80.290441315025845</v>
      </c>
      <c r="AL14" s="44">
        <f>(AL$4-AL$9-AL$10)*'Ethylene Recycling LC'!E211</f>
        <v>80.811326966042941</v>
      </c>
      <c r="AM14" s="44">
        <f>(AM$4-AM$9-AM$10)*'Ethylene Recycling LC'!F211</f>
        <v>81.117548645133382</v>
      </c>
      <c r="AN14" s="44">
        <f>(AN$4-AN$9-AN$10)*'Ethylene Recycling LC'!G211</f>
        <v>81.192601116685026</v>
      </c>
      <c r="AO14" s="44">
        <f>(AO$4-AO$9-AO$10)*'Ethylene Recycling LC'!H211</f>
        <v>81.035323952513863</v>
      </c>
      <c r="AP14" s="44">
        <f>(AP$4-AP$9-AP$10)*'Ethylene Recycling LC'!I211</f>
        <v>80.64492487693515</v>
      </c>
      <c r="AQ14" s="44">
        <f>(AQ$4-AQ$9-AQ$10)*'Ethylene Recycling LC'!J211</f>
        <v>80.197238960909274</v>
      </c>
      <c r="AR14" s="44">
        <f>(AR$4-AR$9-AR$10)*'Ethylene Recycling LC'!K211</f>
        <v>79.692028025717107</v>
      </c>
      <c r="AS14" s="44">
        <f>(AS$4-AS$9-AS$10)*'Ethylene Recycling LC'!L211</f>
        <v>79.128601569693814</v>
      </c>
      <c r="AT14" s="44">
        <f>(AT$4-AT$9-AT$10)*'Ethylene Recycling LC'!M211</f>
        <v>78.506220095889262</v>
      </c>
      <c r="AU14" s="44">
        <f>(AU$4-AU$9-AU$10)*'Ethylene Recycling LC'!N211</f>
        <v>77.001527749765941</v>
      </c>
      <c r="AV14" s="44">
        <f>(AV$4-AV$9-AV$10)*'Ethylene Recycling LC'!O211</f>
        <v>75.419693703313271</v>
      </c>
      <c r="AW14" s="44">
        <f>(AW$4-AW$9-AW$10)*'Ethylene Recycling LC'!P211</f>
        <v>73.604032613356338</v>
      </c>
      <c r="AX14" s="44">
        <f>(AX$4-AX$9-AX$10)*'Ethylene Recycling LC'!Q211</f>
        <v>71.652834853589681</v>
      </c>
      <c r="AY14" s="44">
        <f>(AY$4-AY$9-AY$10)*'Ethylene Recycling LC'!R211</f>
        <v>69.577207604394175</v>
      </c>
      <c r="AZ14" s="44">
        <f>(AZ$4-AZ$9-AZ$10)*'Ethylene Recycling LC'!S211</f>
        <v>67.53713200042661</v>
      </c>
      <c r="BA14" s="44">
        <f>(BA$4-BA$9-BA$10)*'Ethylene Recycling LC'!T211</f>
        <v>65.5144868244804</v>
      </c>
      <c r="BB14" s="44">
        <f>(BB$4-BB$9-BB$10)*'Ethylene Recycling LC'!U211</f>
        <v>63.51753017923356</v>
      </c>
      <c r="BC14" s="44">
        <f>(BC$4-BC$9-BC$10)*'Ethylene Recycling LC'!V211</f>
        <v>61.553565047550819</v>
      </c>
      <c r="BD14" s="44">
        <f>(BD$4-BD$9-BD$10)*'Ethylene Recycling LC'!W211</f>
        <v>59.658624811046721</v>
      </c>
      <c r="BE14" s="44">
        <f>(BE$4-BE$9-BE$10)*'Ethylene Recycling LC'!X211</f>
        <v>57.123875031819352</v>
      </c>
      <c r="BF14" s="44">
        <f>(BF$4-BF$9-BF$10)*'Ethylene Recycling LC'!Y211</f>
        <v>54.898276286610475</v>
      </c>
      <c r="BG14" s="44">
        <f>(BG$4-BG$9-BG$10)*'Ethylene Recycling LC'!Z211</f>
        <v>52.732028922804709</v>
      </c>
      <c r="BH14" s="44">
        <f>(BH$4-BH$9-BH$10)*'Ethylene Recycling LC'!AA211</f>
        <v>50.625126363538016</v>
      </c>
      <c r="BI14" s="44">
        <f>(BI$4-BI$9-BI$10)*'Ethylene Recycling LC'!AB211</f>
        <v>48.582613901707333</v>
      </c>
      <c r="BJ14" s="44">
        <f>(BJ$4-BJ$9-BJ$10)*'Ethylene Recycling LC'!AC211</f>
        <v>46.593814890138262</v>
      </c>
      <c r="BK14" s="44">
        <f>(BK$4-BK$9-BK$10)*'Ethylene Recycling LC'!AD211</f>
        <v>44.662380259336565</v>
      </c>
      <c r="BL14" s="44">
        <f>(BL$4-BL$9-BL$10)*'Ethylene Recycling LC'!AE211</f>
        <v>42.784520193582374</v>
      </c>
      <c r="BM14" s="44">
        <f>(BM$4-BM$9-BM$10)*'Ethylene Recycling LC'!AF211</f>
        <v>40.956740189652599</v>
      </c>
      <c r="BN14" s="44">
        <f>(BN$4-BN$9-BN$10)*'Ethylene Recycling LC'!AG211</f>
        <v>39.251561571846977</v>
      </c>
      <c r="BO14" s="2">
        <f t="shared" si="68"/>
        <v>0.1049914524399852</v>
      </c>
      <c r="BP14" s="44">
        <f>(BP$4-BP$9-BP$10)*'Ethylene Recycling HC'!C232</f>
        <v>79.404889946990906</v>
      </c>
      <c r="BQ14" s="44">
        <f>(BQ$4-BQ$9-BQ$10)*'Ethylene Recycling HC'!D232</f>
        <v>83.158324408289488</v>
      </c>
      <c r="BR14" s="44">
        <f>(BR$4-BR$9-BR$10)*'Ethylene Recycling HC'!E232</f>
        <v>86.824855782827683</v>
      </c>
      <c r="BS14" s="44">
        <f>(BS$4-BS$9-BS$10)*'Ethylene Recycling HC'!F232</f>
        <v>90.379460724060621</v>
      </c>
      <c r="BT14" s="44">
        <f>(BT$4-BT$9-BT$10)*'Ethylene Recycling HC'!G232</f>
        <v>93.797026413069418</v>
      </c>
      <c r="BU14" s="44">
        <f>(BU$4-BU$9-BU$10)*'Ethylene Recycling HC'!H232</f>
        <v>97.052621890000012</v>
      </c>
      <c r="BV14" s="44">
        <f>(BV$4-BV$9-BV$10)*'Ethylene Recycling HC'!I232</f>
        <v>100.35864667398869</v>
      </c>
      <c r="BW14" s="44">
        <f>(BW$4-BW$9-BW$10)*'Ethylene Recycling HC'!J232</f>
        <v>103.71291944668843</v>
      </c>
      <c r="BX14" s="44">
        <f>(BX$4-BX$9-BX$10)*'Ethylene Recycling HC'!K232</f>
        <v>107.11310556689614</v>
      </c>
      <c r="BY14" s="44">
        <f>(BY$4-BY$9-BY$10)*'Ethylene Recycling HC'!L232</f>
        <v>110.5567170177904</v>
      </c>
      <c r="BZ14" s="44">
        <f>(BZ$4-BZ$9-BZ$10)*'Ethylene Recycling HC'!M232</f>
        <v>114.04111274618623</v>
      </c>
      <c r="CA14" s="44">
        <f>(CA$4-CA$9-CA$10)*'Ethylene Recycling HC'!N232</f>
        <v>117.37944530545052</v>
      </c>
      <c r="CB14" s="44">
        <f>(CB$4-CB$9-CB$10)*'Ethylene Recycling HC'!O232</f>
        <v>120.55258312582143</v>
      </c>
      <c r="CC14" s="44">
        <f>(CC$4-CC$9-CC$10)*'Ethylene Recycling HC'!P232</f>
        <v>123.54179206439362</v>
      </c>
      <c r="CD14" s="44">
        <f>(CD$4-CD$9-CD$10)*'Ethylene Recycling HC'!Q232</f>
        <v>126.32889768946674</v>
      </c>
      <c r="CE14" s="44">
        <f>(CE$4-CE$9-CE$10)*'Ethylene Recycling HC'!R232</f>
        <v>128.89644659019703</v>
      </c>
      <c r="CF14" s="44">
        <f>(CF$4-CF$9-CF$10)*'Ethylene Recycling HC'!S232</f>
        <v>131.48708463156149</v>
      </c>
      <c r="CG14" s="44">
        <f>(CG$4-CG$9-CG$10)*'Ethylene Recycling HC'!T232</f>
        <v>134.10033095205802</v>
      </c>
      <c r="CH14" s="44">
        <f>(CH$4-CH$9-CH$10)*'Ethylene Recycling HC'!U232</f>
        <v>136.73568403472197</v>
      </c>
      <c r="CI14" s="44">
        <f>(CI$4-CI$9-CI$10)*'Ethylene Recycling HC'!V232</f>
        <v>139.39262155626096</v>
      </c>
      <c r="CJ14" s="44">
        <f>(CJ$4-CJ$9-CJ$10)*'Ethylene Recycling HC'!W232</f>
        <v>142.07060024509096</v>
      </c>
      <c r="CK14" s="44">
        <f>(CK$4-CK$9-CK$10)*'Ethylene Recycling HC'!X232</f>
        <v>144.7708090599161</v>
      </c>
      <c r="CL14" s="44">
        <f>(CL$4-CL$9-CL$10)*'Ethylene Recycling HC'!Y232</f>
        <v>147.49276750389703</v>
      </c>
      <c r="CM14" s="44">
        <f>(CM$4-CM$9-CM$10)*'Ethylene Recycling HC'!Z232</f>
        <v>150.23597587542747</v>
      </c>
      <c r="CN14" s="44">
        <f>(CN$4-CN$9-CN$10)*'Ethylene Recycling HC'!AA232</f>
        <v>152.99991512501833</v>
      </c>
      <c r="CO14" s="44">
        <f>(CO$4-CO$9-CO$10)*'Ethylene Recycling HC'!AB232</f>
        <v>155.78404671904281</v>
      </c>
      <c r="CP14" s="44">
        <f>(CP$4-CP$9-CP$10)*'Ethylene Recycling HC'!AC232</f>
        <v>158.58946678624167</v>
      </c>
      <c r="CQ14" s="44">
        <f>(CQ$4-CQ$9-CQ$10)*'Ethylene Recycling HC'!AD232</f>
        <v>161.4156917604175</v>
      </c>
      <c r="CR14" s="44">
        <f>(CR$4-CR$9-CR$10)*'Ethylene Recycling HC'!AE232</f>
        <v>164.26222002799503</v>
      </c>
      <c r="CS14" s="44">
        <f>(CS$4-CS$9-CS$10)*'Ethylene Recycling HC'!AF232</f>
        <v>167.12853178918618</v>
      </c>
      <c r="CT14" s="44">
        <f>(CT$4-CT$9-CT$10)*'Ethylene Recycling HC'!AG232</f>
        <v>170.01408892440014</v>
      </c>
      <c r="CV14" s="44">
        <f>(CV$4-CV$9-CV$10)*'Ethylene Recycling LC'!C211</f>
        <v>79.404868531431291</v>
      </c>
      <c r="CW14" s="44">
        <f>(CW$4-CW$9-CW$10)*'Ethylene Recycling LC'!D211</f>
        <v>80.699679836402623</v>
      </c>
      <c r="CX14" s="44">
        <f>(CX$4-CX$9-CX$10)*'Ethylene Recycling LC'!E211</f>
        <v>81.677451101490391</v>
      </c>
      <c r="CY14" s="44">
        <f>(CY$4-CY$9-CY$10)*'Ethylene Recycling LC'!F211</f>
        <v>82.43463103592083</v>
      </c>
      <c r="CZ14" s="44">
        <f>(CZ$4-CZ$9-CZ$10)*'Ethylene Recycling LC'!G211</f>
        <v>82.967897721454804</v>
      </c>
      <c r="DA14" s="44">
        <f>(DA$4-DA$9-DA$10)*'Ethylene Recycling LC'!H211</f>
        <v>83.272376201559624</v>
      </c>
      <c r="DB14" s="44">
        <f>(DB$4-DB$9-DB$10)*'Ethylene Recycling LC'!I211</f>
        <v>83.550498216820344</v>
      </c>
      <c r="DC14" s="44">
        <f>(DC$4-DC$9-DC$10)*'Ethylene Recycling LC'!J211</f>
        <v>83.778698509992608</v>
      </c>
      <c r="DD14" s="44">
        <f>(DD$4-DD$9-DD$10)*'Ethylene Recycling LC'!K211</f>
        <v>83.955430322839717</v>
      </c>
      <c r="DE14" s="44">
        <f>(DE$4-DE$9-DE$10)*'Ethylene Recycling LC'!L211</f>
        <v>84.078644552086047</v>
      </c>
      <c r="DF14" s="44">
        <f>(DF$4-DF$9-DF$10)*'Ethylene Recycling LC'!M211</f>
        <v>84.146195840978635</v>
      </c>
      <c r="DG14" s="44">
        <f>(DG$4-DG$9-DG$10)*'Ethylene Recycling LC'!N211</f>
        <v>83.689764141237234</v>
      </c>
      <c r="DH14" s="44">
        <f>(DH$4-DH$9-DH$10)*'Ethylene Recycling LC'!O211</f>
        <v>83.044672300564429</v>
      </c>
      <c r="DI14" s="44">
        <f>(DI$4-DI$9-DI$10)*'Ethylene Recycling LC'!P211</f>
        <v>82.269708105807169</v>
      </c>
      <c r="DJ14" s="44">
        <f>(DJ$4-DJ$9-DJ$10)*'Ethylene Recycling LC'!Q211</f>
        <v>81.334372008345042</v>
      </c>
      <c r="DK14" s="44">
        <f>(DK$4-DK$9-DK$10)*'Ethylene Recycling LC'!R211</f>
        <v>80.243063054074128</v>
      </c>
      <c r="DL14" s="44">
        <f>(DL$4-DL$9-DL$10)*'Ethylene Recycling LC'!S211</f>
        <v>79.136624399340661</v>
      </c>
      <c r="DM14" s="44">
        <f>(DM$4-DM$9-DM$10)*'Ethylene Recycling LC'!T211</f>
        <v>78.029809484577626</v>
      </c>
      <c r="DN14" s="44">
        <f>(DN$4-DN$9-DN$10)*'Ethylene Recycling LC'!U211</f>
        <v>76.929745156971251</v>
      </c>
      <c r="DO14" s="44">
        <f>(DO$4-DO$9-DO$10)*'Ethylene Recycling LC'!V211</f>
        <v>75.842595416555952</v>
      </c>
      <c r="DP14" s="44">
        <f>(DP$4-DP$9-DP$10)*'Ethylene Recycling LC'!W211</f>
        <v>74.803247682498281</v>
      </c>
      <c r="DQ14" s="44">
        <f>(DQ$4-DQ$9-DQ$10)*'Ethylene Recycling LC'!X211</f>
        <v>73.443685581551094</v>
      </c>
      <c r="DR14" s="44">
        <f>(DR$4-DR$9-DR$10)*'Ethylene Recycling LC'!Y211</f>
        <v>72.035065251312247</v>
      </c>
      <c r="DS14" s="44">
        <f>(DS$4-DS$9-DS$10)*'Ethylene Recycling LC'!Z211</f>
        <v>70.676310542962398</v>
      </c>
      <c r="DT14" s="44">
        <f>(DT$4-DT$9-DT$10)*'Ethylene Recycling LC'!AA211</f>
        <v>69.350812446062449</v>
      </c>
      <c r="DU14" s="44">
        <f>(DU$4-DU$9-DU$10)*'Ethylene Recycling LC'!AB211</f>
        <v>68.062432264464846</v>
      </c>
      <c r="DV14" s="44">
        <f>(DV$4-DV$9-DV$10)*'Ethylene Recycling LC'!AC211</f>
        <v>66.81712124413805</v>
      </c>
      <c r="DW14" s="44">
        <f>(DW$4-DW$9-DW$10)*'Ethylene Recycling LC'!AD211</f>
        <v>65.599322608719817</v>
      </c>
      <c r="DX14" s="44">
        <f>(DX$4-DX$9-DX$10)*'Ethylene Recycling LC'!AE211</f>
        <v>64.404048171060893</v>
      </c>
      <c r="DY14" s="44">
        <f>(DY$4-DY$9-DY$10)*'Ethylene Recycling LC'!AF211</f>
        <v>63.226600833781916</v>
      </c>
      <c r="DZ14" s="44">
        <f>(DZ$4-DZ$9-DZ$10)*'Ethylene Recycling LC'!AG211</f>
        <v>62.138295789705154</v>
      </c>
      <c r="EB14" s="2">
        <f t="shared" si="69"/>
        <v>0.16</v>
      </c>
      <c r="EC14" s="2">
        <f t="shared" si="70"/>
        <v>0.16</v>
      </c>
    </row>
    <row r="15" spans="1:165" x14ac:dyDescent="0.2">
      <c r="A15" s="601" t="s">
        <v>453</v>
      </c>
      <c r="C15" s="54" t="s">
        <v>153</v>
      </c>
      <c r="D15" s="44">
        <f>(D$4-D$9-D$10)*'Ethylene Recycling HC'!C254</f>
        <v>20.586442900880652</v>
      </c>
      <c r="E15" s="44">
        <f>(E$4-E$9-E$10)*'Ethylene Recycling HC'!D254</f>
        <v>20.974441971550366</v>
      </c>
      <c r="F15" s="44">
        <f>(F$4-F$9-F$10)*'Ethylene Recycling HC'!E254</f>
        <v>21.272110952118727</v>
      </c>
      <c r="G15" s="44">
        <f>(G$4-G$9-G$10)*'Ethylene Recycling HC'!F254</f>
        <v>21.520214383005101</v>
      </c>
      <c r="H15" s="44">
        <f>(H$4-H$9-H$10)*'Ethylene Recycling HC'!G254</f>
        <v>21.712254627213959</v>
      </c>
      <c r="I15" s="44">
        <f>(I$4-I$9-I$10)*'Ethylene Recycling HC'!H254</f>
        <v>21.846629567977786</v>
      </c>
      <c r="J15" s="44">
        <f>(J$4-J$9-J$10)*'Ethylene Recycling HC'!I254</f>
        <v>21.866150254930545</v>
      </c>
      <c r="K15" s="44">
        <f>(K$4-K$9-K$10)*'Ethylene Recycling HC'!J254</f>
        <v>21.87108885100033</v>
      </c>
      <c r="L15" s="44">
        <f>(L$4-L$9-L$10)*'Ethylene Recycling HC'!K254</f>
        <v>21.86100114080061</v>
      </c>
      <c r="M15" s="44">
        <f>(M$4-M$9-M$10)*'Ethylene Recycling HC'!L254</f>
        <v>21.835190177644201</v>
      </c>
      <c r="N15" s="44">
        <f>(N$4-N$9-N$10)*'Ethylene Recycling HC'!M254</f>
        <v>21.79273061717457</v>
      </c>
      <c r="O15" s="44">
        <f>(O$4-O$9-O$10)*'Ethylene Recycling HC'!N254</f>
        <v>21.460397109004013</v>
      </c>
      <c r="P15" s="44">
        <f>(P$4-P$9-P$10)*'Ethylene Recycling HC'!O254</f>
        <v>21.104387619555443</v>
      </c>
      <c r="Q15" s="44">
        <f>(Q$4-Q$9-Q$10)*'Ethylene Recycling HC'!P254</f>
        <v>20.665279349982313</v>
      </c>
      <c r="R15" s="44">
        <f>(R$4-R$9-R$10)*'Ethylene Recycling HC'!Q254</f>
        <v>20.178706388974835</v>
      </c>
      <c r="S15" s="44">
        <f>(S$4-S$9-S$10)*'Ethylene Recycling HC'!R254</f>
        <v>19.647610407045036</v>
      </c>
      <c r="T15" s="44">
        <f>(T$4-T$9-T$10)*'Ethylene Recycling HC'!S254</f>
        <v>19.128056598140144</v>
      </c>
      <c r="U15" s="44">
        <f>(U$4-U$9-U$10)*'Ethylene Recycling HC'!T254</f>
        <v>18.602738818144214</v>
      </c>
      <c r="V15" s="44">
        <f>(V$4-V$9-V$10)*'Ethylene Recycling HC'!U254</f>
        <v>18.077954278477584</v>
      </c>
      <c r="W15" s="44">
        <f>(W$4-W$9-W$10)*'Ethylene Recycling HC'!V254</f>
        <v>17.557565080435882</v>
      </c>
      <c r="X15" s="44">
        <f>(X$4-X$9-X$10)*'Ethylene Recycling HC'!W254</f>
        <v>17.053701647835791</v>
      </c>
      <c r="Y15" s="44">
        <f>(Y$4-Y$9-Y$10)*'Ethylene Recycling HC'!X254</f>
        <v>16.317264979579004</v>
      </c>
      <c r="Z15" s="44">
        <f>(Z$4-Z$9-Z$10)*'Ethylene Recycling HC'!Y254</f>
        <v>15.686119344739506</v>
      </c>
      <c r="AA15" s="44">
        <f>(AA$4-AA$9-AA$10)*'Ethylene Recycling HC'!Z254</f>
        <v>15.059813596063861</v>
      </c>
      <c r="AB15" s="44">
        <f>(AB$4-AB$9-AB$10)*'Ethylene Recycling HC'!AA254</f>
        <v>14.442385011040102</v>
      </c>
      <c r="AC15" s="44">
        <f>(AC$4-AC$9-AC$10)*'Ethylene Recycling HC'!AB254</f>
        <v>13.835062586443906</v>
      </c>
      <c r="AD15" s="44">
        <f>(AD$4-AD$9-AD$10)*'Ethylene Recycling HC'!AC254</f>
        <v>13.229748273289982</v>
      </c>
      <c r="AE15" s="44">
        <f>(AE$4-AE$9-AE$10)*'Ethylene Recycling HC'!AD254</f>
        <v>12.633331674343077</v>
      </c>
      <c r="AF15" s="44">
        <f>(AF$4-AF$9-AF$10)*'Ethylene Recycling HC'!AE254</f>
        <v>12.044537824804179</v>
      </c>
      <c r="AG15" s="44">
        <f>(AG$4-AG$9-AG$10)*'Ethylene Recycling HC'!AF254</f>
        <v>11.463339268838704</v>
      </c>
      <c r="AH15" s="44">
        <f>(AH$4-AH$9-AH$10)*'Ethylene Recycling HC'!AG254</f>
        <v>10.898023964106667</v>
      </c>
      <c r="AJ15" s="44">
        <f>(AJ$4-AJ$9-AJ$10)*'Ethylene Recycling LC'!C212</f>
        <v>20.586447397037741</v>
      </c>
      <c r="AK15" s="44">
        <f>(AK$4-AK$9-AK$10)*'Ethylene Recycling LC'!D212</f>
        <v>21.002130456621273</v>
      </c>
      <c r="AL15" s="44">
        <f>(AL$4-AL$9-AL$10)*'Ethylene Recycling LC'!E212</f>
        <v>21.330908640782901</v>
      </c>
      <c r="AM15" s="44">
        <f>(AM$4-AM$9-AM$10)*'Ethylene Recycling LC'!F212</f>
        <v>21.610466627467957</v>
      </c>
      <c r="AN15" s="44">
        <f>(AN$4-AN$9-AN$10)*'Ethylene Recycling LC'!G212</f>
        <v>21.835085939996226</v>
      </c>
      <c r="AO15" s="44">
        <f>(AO$4-AO$9-AO$10)*'Ethylene Recycling LC'!H212</f>
        <v>22.002968755318317</v>
      </c>
      <c r="AP15" s="44">
        <f>(AP$4-AP$9-AP$10)*'Ethylene Recycling LC'!I212</f>
        <v>22.112318111417686</v>
      </c>
      <c r="AQ15" s="44">
        <f>(AQ$4-AQ$9-AQ$10)*'Ethylene Recycling LC'!J212</f>
        <v>22.210149398450984</v>
      </c>
      <c r="AR15" s="44">
        <f>(AR$4-AR$9-AR$10)*'Ethylene Recycling LC'!K212</f>
        <v>22.296107563981778</v>
      </c>
      <c r="AS15" s="44">
        <f>(AS$4-AS$9-AS$10)*'Ethylene Recycling LC'!L212</f>
        <v>22.369689051348022</v>
      </c>
      <c r="AT15" s="44">
        <f>(AT$4-AT$9-AT$10)*'Ethylene Recycling LC'!M212</f>
        <v>22.430348598825486</v>
      </c>
      <c r="AU15" s="44">
        <f>(AU$4-AU$9-AU$10)*'Ethylene Recycling LC'!N212</f>
        <v>22.239918755012209</v>
      </c>
      <c r="AV15" s="44">
        <f>(AV$4-AV$9-AV$10)*'Ethylene Recycling LC'!O212</f>
        <v>22.025220285038372</v>
      </c>
      <c r="AW15" s="44">
        <f>(AW$4-AW$9-AW$10)*'Ethylene Recycling LC'!P212</f>
        <v>21.739122076208677</v>
      </c>
      <c r="AX15" s="44">
        <f>(AX$4-AX$9-AX$10)*'Ethylene Recycling LC'!Q212</f>
        <v>21.408468950157872</v>
      </c>
      <c r="AY15" s="44">
        <f>(AY$4-AY$9-AY$10)*'Ethylene Recycling LC'!R212</f>
        <v>21.034969740863335</v>
      </c>
      <c r="AZ15" s="44">
        <f>(AZ$4-AZ$9-AZ$10)*'Ethylene Recycling LC'!S212</f>
        <v>20.665936290351343</v>
      </c>
      <c r="BA15" s="44">
        <f>(BA$4-BA$9-BA$10)*'Ethylene Recycling LC'!T212</f>
        <v>20.295820155898404</v>
      </c>
      <c r="BB15" s="44">
        <f>(BB$4-BB$9-BB$10)*'Ethylene Recycling LC'!U212</f>
        <v>19.927068291524236</v>
      </c>
      <c r="BC15" s="44">
        <f>(BC$4-BC$9-BC$10)*'Ethylene Recycling LC'!V212</f>
        <v>19.56194829298202</v>
      </c>
      <c r="BD15" s="44">
        <f>(BD$4-BD$9-BD$10)*'Ethylene Recycling LC'!W212</f>
        <v>19.212099515421805</v>
      </c>
      <c r="BE15" s="44">
        <f>(BE$4-BE$9-BE$10)*'Ethylene Recycling LC'!X212</f>
        <v>18.646653507795936</v>
      </c>
      <c r="BF15" s="44">
        <f>(BF$4-BF$9-BF$10)*'Ethylene Recycling LC'!Y212</f>
        <v>18.170556235709082</v>
      </c>
      <c r="BG15" s="44">
        <f>(BG$4-BG$9-BG$10)*'Ethylene Recycling LC'!Z212</f>
        <v>17.703571649128317</v>
      </c>
      <c r="BH15" s="44">
        <f>(BH$4-BH$9-BH$10)*'Ethylene Recycling LC'!AA212</f>
        <v>17.24592216779865</v>
      </c>
      <c r="BI15" s="44">
        <f>(BI$4-BI$9-BI$10)*'Ethylene Recycling LC'!AB212</f>
        <v>16.79959546133804</v>
      </c>
      <c r="BJ15" s="44">
        <f>(BJ$4-BJ$9-BJ$10)*'Ethylene Recycling LC'!AC212</f>
        <v>16.361186907987474</v>
      </c>
      <c r="BK15" s="44">
        <f>(BK$4-BK$9-BK$10)*'Ethylene Recycling LC'!AD212</f>
        <v>15.932194127599587</v>
      </c>
      <c r="BL15" s="44">
        <f>(BL$4-BL$9-BL$10)*'Ethylene Recycling LC'!AE212</f>
        <v>15.511519273370496</v>
      </c>
      <c r="BM15" s="44">
        <f>(BM$4-BM$9-BM$10)*'Ethylene Recycling LC'!AF212</f>
        <v>15.09810585402672</v>
      </c>
      <c r="BN15" s="44">
        <f>(BN$4-BN$9-BN$10)*'Ethylene Recycling LC'!AG212</f>
        <v>14.719335589442617</v>
      </c>
      <c r="BO15" s="2">
        <f t="shared" si="68"/>
        <v>3.937179466499445E-2</v>
      </c>
      <c r="BP15" s="44">
        <f>(BP$4-BP$9-BP$10)*'Ethylene Recycling HC'!C233</f>
        <v>20.586452949219865</v>
      </c>
      <c r="BQ15" s="44">
        <f>(BQ$4-BQ$9-BQ$10)*'Ethylene Recycling HC'!D233</f>
        <v>21.697888404310831</v>
      </c>
      <c r="BR15" s="44">
        <f>(BR$4-BR$9-BR$10)*'Ethylene Recycling HC'!E233</f>
        <v>22.795715031784876</v>
      </c>
      <c r="BS15" s="44">
        <f>(BS$4-BS$9-BS$10)*'Ethylene Recycling HC'!F233</f>
        <v>23.872599146154887</v>
      </c>
      <c r="BT15" s="44">
        <f>(BT$4-BT$9-BT$10)*'Ethylene Recycling HC'!G233</f>
        <v>24.921059872844779</v>
      </c>
      <c r="BU15" s="44">
        <f>(BU$4-BU$9-BU$10)*'Ethylene Recycling HC'!H233</f>
        <v>25.933547739568272</v>
      </c>
      <c r="BV15" s="44">
        <f>(BV$4-BV$9-BV$10)*'Ethylene Recycling HC'!I233</f>
        <v>26.966173760046829</v>
      </c>
      <c r="BW15" s="44">
        <f>(BW$4-BW$9-BW$10)*'Ethylene Recycling HC'!J233</f>
        <v>28.018356635175259</v>
      </c>
      <c r="BX15" s="44">
        <f>(BX$4-BX$9-BX$10)*'Ethylene Recycling HC'!K233</f>
        <v>29.089460662315677</v>
      </c>
      <c r="BY15" s="44">
        <f>(BY$4-BY$9-BY$10)*'Ethylene Recycling HC'!L233</f>
        <v>30.178795322763722</v>
      </c>
      <c r="BZ15" s="44">
        <f>(BZ$4-BZ$9-BZ$10)*'Ethylene Recycling HC'!M233</f>
        <v>31.285615001166143</v>
      </c>
      <c r="CA15" s="44">
        <f>(CA$4-CA$9-CA$10)*'Ethylene Recycling HC'!N233</f>
        <v>32.358380039317332</v>
      </c>
      <c r="CB15" s="44">
        <f>(CB$4-CB$9-CB$10)*'Ethylene Recycling HC'!O233</f>
        <v>33.391027575812707</v>
      </c>
      <c r="CC15" s="44">
        <f>(CC$4-CC$9-CC$10)*'Ethylene Recycling HC'!P233</f>
        <v>34.37753793338738</v>
      </c>
      <c r="CD15" s="44">
        <f>(CD$4-CD$9-CD$10)*'Ethylene Recycling HC'!Q233</f>
        <v>35.311985845229039</v>
      </c>
      <c r="CE15" s="44">
        <f>(CE$4-CE$9-CE$10)*'Ethylene Recycling HC'!R233</f>
        <v>36.188592260339242</v>
      </c>
      <c r="CF15" s="44">
        <f>(CF$4-CF$9-CF$10)*'Ethylene Recycling HC'!S233</f>
        <v>37.074867261793905</v>
      </c>
      <c r="CG15" s="44">
        <f>(CG$4-CG$9-CG$10)*'Ethylene Recycling HC'!T233</f>
        <v>37.970664961265364</v>
      </c>
      <c r="CH15" s="44">
        <f>(CH$4-CH$9-CH$10)*'Ethylene Recycling HC'!U233</f>
        <v>38.875831735362148</v>
      </c>
      <c r="CI15" s="44">
        <f>(CI$4-CI$9-CI$10)*'Ethylene Recycling HC'!V233</f>
        <v>39.790206153324768</v>
      </c>
      <c r="CJ15" s="44">
        <f>(CJ$4-CJ$9-CJ$10)*'Ethylene Recycling HC'!W233</f>
        <v>40.713618907911865</v>
      </c>
      <c r="CK15" s="44">
        <f>(CK$4-CK$9-CK$10)*'Ethylene Recycling HC'!X233</f>
        <v>41.646397126825207</v>
      </c>
      <c r="CL15" s="44">
        <f>(CL$4-CL$9-CL$10)*'Ethylene Recycling HC'!Y233</f>
        <v>42.588391560920726</v>
      </c>
      <c r="CM15" s="44">
        <f>(CM$4-CM$9-CM$10)*'Ethylene Recycling HC'!Z233</f>
        <v>43.539445746786356</v>
      </c>
      <c r="CN15" s="44">
        <f>(CN$4-CN$9-CN$10)*'Ethylene Recycling HC'!AA233</f>
        <v>44.499395940184968</v>
      </c>
      <c r="CO15" s="44">
        <f>(CO$4-CO$9-CO$10)*'Ethylene Recycling HC'!AB233</f>
        <v>45.468071051969467</v>
      </c>
      <c r="CP15" s="44">
        <f>(CP$4-CP$9-CP$10)*'Ethylene Recycling HC'!AC233</f>
        <v>46.445777070932721</v>
      </c>
      <c r="CQ15" s="44">
        <f>(CQ$4-CQ$9-CQ$10)*'Ethylene Recycling HC'!AD233</f>
        <v>47.432360635745958</v>
      </c>
      <c r="CR15" s="44">
        <f>(CR$4-CR$9-CR$10)*'Ethylene Recycling HC'!AE233</f>
        <v>48.427661588574047</v>
      </c>
      <c r="CS15" s="44">
        <f>(CS$4-CS$9-CS$10)*'Ethylene Recycling HC'!AF233</f>
        <v>49.431512912338313</v>
      </c>
      <c r="CT15" s="44">
        <f>(CT$4-CT$9-CT$10)*'Ethylene Recycling HC'!AG233</f>
        <v>50.443740669876966</v>
      </c>
      <c r="CV15" s="44">
        <f>(CV$4-CV$9-CV$10)*'Ethylene Recycling LC'!C212</f>
        <v>20.586447397037741</v>
      </c>
      <c r="CW15" s="44">
        <f>(CW$4-CW$9-CW$10)*'Ethylene Recycling LC'!D212</f>
        <v>21.109177829547114</v>
      </c>
      <c r="CX15" s="44">
        <f>(CX$4-CX$9-CX$10)*'Ethylene Recycling LC'!E212</f>
        <v>21.559530239987307</v>
      </c>
      <c r="CY15" s="44">
        <f>(CY$4-CY$9-CY$10)*'Ethylene Recycling LC'!F212</f>
        <v>21.961349580998203</v>
      </c>
      <c r="CZ15" s="44">
        <f>(CZ$4-CZ$9-CZ$10)*'Ethylene Recycling LC'!G212</f>
        <v>22.312515575221514</v>
      </c>
      <c r="DA15" s="44">
        <f>(DA$4-DA$9-DA$10)*'Ethylene Recycling LC'!H212</f>
        <v>22.610380293138693</v>
      </c>
      <c r="DB15" s="44">
        <f>(DB$4-DB$9-DB$10)*'Ethylene Recycling LC'!I212</f>
        <v>22.909007575579757</v>
      </c>
      <c r="DC15" s="44">
        <f>(DC$4-DC$9-DC$10)*'Ethylene Recycling LC'!J212</f>
        <v>23.202013366341731</v>
      </c>
      <c r="DD15" s="44">
        <f>(DD$4-DD$9-DD$10)*'Ethylene Recycling LC'!K212</f>
        <v>23.488915408883116</v>
      </c>
      <c r="DE15" s="44">
        <f>(DE$4-DE$9-DE$10)*'Ethylene Recycling LC'!L212</f>
        <v>23.769068291096037</v>
      </c>
      <c r="DF15" s="44">
        <f>(DF$4-DF$9-DF$10)*'Ethylene Recycling LC'!M212</f>
        <v>24.04177024027959</v>
      </c>
      <c r="DG15" s="44">
        <f>(DG$4-DG$9-DG$10)*'Ethylene Recycling LC'!N212</f>
        <v>24.171644505233957</v>
      </c>
      <c r="DH15" s="44">
        <f>(DH$4-DH$9-DH$10)*'Ethylene Recycling LC'!O212</f>
        <v>24.251983946182513</v>
      </c>
      <c r="DI15" s="44">
        <f>(DI$4-DI$9-DI$10)*'Ethylene Recycling LC'!P212</f>
        <v>24.29854947053073</v>
      </c>
      <c r="DJ15" s="44">
        <f>(DJ$4-DJ$9-DJ$10)*'Ethylene Recycling LC'!Q212</f>
        <v>24.301123343956732</v>
      </c>
      <c r="DK15" s="44">
        <f>(DK$4-DK$9-DK$10)*'Ethylene Recycling LC'!R212</f>
        <v>24.259530690766574</v>
      </c>
      <c r="DL15" s="44">
        <f>(DL$4-DL$9-DL$10)*'Ethylene Recycling LC'!S212</f>
        <v>24.215307781501693</v>
      </c>
      <c r="DM15" s="44">
        <f>(DM$4-DM$9-DM$10)*'Ethylene Recycling LC'!T212</f>
        <v>24.172958636474267</v>
      </c>
      <c r="DN15" s="44">
        <f>(DN$4-DN$9-DN$10)*'Ethylene Recycling LC'!U212</f>
        <v>24.13482201003017</v>
      </c>
      <c r="DO15" s="44">
        <f>(DO$4-DO$9-DO$10)*'Ethylene Recycling LC'!V212</f>
        <v>24.103054450186644</v>
      </c>
      <c r="DP15" s="44">
        <f>(DP$4-DP$9-DP$10)*'Ethylene Recycling LC'!W212</f>
        <v>24.089181457075693</v>
      </c>
      <c r="DQ15" s="44">
        <f>(DQ$4-DQ$9-DQ$10)*'Ethylene Recycling LC'!X212</f>
        <v>23.973845552527017</v>
      </c>
      <c r="DR15" s="44">
        <f>(DR$4-DR$9-DR$10)*'Ethylene Recycling LC'!Y212</f>
        <v>23.842592019800506</v>
      </c>
      <c r="DS15" s="44">
        <f>(DS$4-DS$9-DS$10)*'Ethylene Recycling LC'!Z212</f>
        <v>23.727953449791666</v>
      </c>
      <c r="DT15" s="44">
        <f>(DT$4-DT$9-DT$10)*'Ethylene Recycling LC'!AA212</f>
        <v>23.625002042065212</v>
      </c>
      <c r="DU15" s="44">
        <f>(DU$4-DU$9-DU$10)*'Ethylene Recycling LC'!AB212</f>
        <v>23.535607418553248</v>
      </c>
      <c r="DV15" s="44">
        <f>(DV$4-DV$9-DV$10)*'Ethylene Recycling LC'!AC212</f>
        <v>23.462500589544646</v>
      </c>
      <c r="DW15" s="44">
        <f>(DW$4-DW$9-DW$10)*'Ethylene Recycling LC'!AD212</f>
        <v>23.40092794813981</v>
      </c>
      <c r="DX15" s="44">
        <f>(DX$4-DX$9-DX$10)*'Ethylene Recycling LC'!AE212</f>
        <v>23.349674834926454</v>
      </c>
      <c r="DY15" s="44">
        <f>(DY$4-DY$9-DY$10)*'Ethylene Recycling LC'!AF212</f>
        <v>23.307565684143636</v>
      </c>
      <c r="DZ15" s="44">
        <f>(DZ$4-DZ$9-DZ$10)*'Ethylene Recycling LC'!AG212</f>
        <v>23.301860921139433</v>
      </c>
      <c r="EB15" s="2">
        <f t="shared" si="69"/>
        <v>0.06</v>
      </c>
      <c r="EC15" s="2">
        <f t="shared" si="70"/>
        <v>0.06</v>
      </c>
    </row>
    <row r="16" spans="1:165" s="82" customFormat="1" ht="16" thickBot="1" x14ac:dyDescent="0.25">
      <c r="A16" s="600" t="s">
        <v>454</v>
      </c>
      <c r="C16" s="170" t="s">
        <v>153</v>
      </c>
      <c r="D16" s="604">
        <f>(D$4-D$9-D$10)*'Ethylene Recycling HC'!C255</f>
        <v>14.704602072057609</v>
      </c>
      <c r="E16" s="604">
        <f>(E$4-E$9-E$10)*'Ethylene Recycling HC'!D255</f>
        <v>14.852714888944758</v>
      </c>
      <c r="F16" s="604">
        <f>(F$4-F$9-F$10)*'Ethylene Recycling HC'!E255</f>
        <v>14.931385572160261</v>
      </c>
      <c r="G16" s="604">
        <f>(G$4-G$9-G$10)*'Ethylene Recycling HC'!F255</f>
        <v>14.970583918612244</v>
      </c>
      <c r="H16" s="604">
        <f>(H$4-H$9-H$10)*'Ethylene Recycling HC'!G255</f>
        <v>14.966699791574669</v>
      </c>
      <c r="I16" s="604">
        <f>(I$4-I$9-I$10)*'Ethylene Recycling HC'!H255</f>
        <v>14.919649461058</v>
      </c>
      <c r="J16" s="604">
        <f>(J$4-J$9-J$10)*'Ethylene Recycling HC'!I255</f>
        <v>14.791807525394193</v>
      </c>
      <c r="K16" s="604">
        <f>(K$4-K$9-K$10)*'Ethylene Recycling HC'!J255</f>
        <v>14.652552136630764</v>
      </c>
      <c r="L16" s="604">
        <f>(L$4-L$9-L$10)*'Ethylene Recycling HC'!K255</f>
        <v>14.501852241917238</v>
      </c>
      <c r="M16" s="604">
        <f>(M$4-M$9-M$10)*'Ethylene Recycling HC'!L255</f>
        <v>14.339527877855893</v>
      </c>
      <c r="N16" s="604">
        <f>(N$4-N$9-N$10)*'Ethylene Recycling HC'!M255</f>
        <v>14.165274901163471</v>
      </c>
      <c r="O16" s="604">
        <f>(O$4-O$9-O$10)*'Ethylene Recycling HC'!N255</f>
        <v>13.803672512324191</v>
      </c>
      <c r="P16" s="604">
        <f>(P$4-P$9-P$10)*'Ethylene Recycling HC'!O255</f>
        <v>13.430064848808009</v>
      </c>
      <c r="Q16" s="604">
        <f>(Q$4-Q$9-Q$10)*'Ethylene Recycling HC'!P255</f>
        <v>13.007587002019326</v>
      </c>
      <c r="R16" s="604">
        <f>(R$4-R$9-R$10)*'Ethylene Recycling HC'!Q255</f>
        <v>12.560215201300663</v>
      </c>
      <c r="S16" s="604">
        <f>(S$4-S$9-S$10)*'Ethylene Recycling HC'!R255</f>
        <v>12.090837173566175</v>
      </c>
      <c r="T16" s="604">
        <f>(T$4-T$9-T$10)*'Ethylene Recycling HC'!S255</f>
        <v>11.6345911267038</v>
      </c>
      <c r="U16" s="604">
        <f>(U$4-U$9-U$10)*'Ethylene Recycling HC'!T255</f>
        <v>11.180920740439008</v>
      </c>
      <c r="V16" s="604">
        <f>(V$4-V$9-V$10)*'Ethylene Recycling HC'!U255</f>
        <v>10.733785352846064</v>
      </c>
      <c r="W16" s="604">
        <f>(W$4-W$9-W$10)*'Ethylene Recycling HC'!V255</f>
        <v>10.295535544548789</v>
      </c>
      <c r="X16" s="604">
        <f>(X$4-X$9-X$10)*'Ethylene Recycling HC'!W255</f>
        <v>9.8731956908522989</v>
      </c>
      <c r="Y16" s="604">
        <f>(Y$4-Y$9-Y$10)*'Ethylene Recycling HC'!X255</f>
        <v>9.3241514169022874</v>
      </c>
      <c r="Z16" s="604">
        <f>(Z$4-Z$9-Z$10)*'Ethylene Recycling HC'!Y255</f>
        <v>8.8443013326722735</v>
      </c>
      <c r="AA16" s="604">
        <f>(AA$4-AA$9-AA$10)*'Ethylene Recycling HC'!Z255</f>
        <v>8.3755113047627869</v>
      </c>
      <c r="AB16" s="604">
        <f>(AB$4-AB$9-AB$10)*'Ethylene Recycling HC'!AA255</f>
        <v>7.9200175866994078</v>
      </c>
      <c r="AC16" s="604">
        <f>(AC$4-AC$9-AC$10)*'Ethylene Recycling HC'!AB255</f>
        <v>7.4784122088885931</v>
      </c>
      <c r="AD16" s="604">
        <f>(AD$4-AD$9-AD$10)*'Ethylene Recycling HC'!AC255</f>
        <v>7.0462789716435728</v>
      </c>
      <c r="AE16" s="604">
        <f>(AE$4-AE$9-AE$10)*'Ethylene Recycling HC'!AD255</f>
        <v>6.6273215340816085</v>
      </c>
      <c r="AF16" s="604">
        <f>(AF$4-AF$9-AF$10)*'Ethylene Recycling HC'!AE255</f>
        <v>6.2208052501735809</v>
      </c>
      <c r="AG16" s="604">
        <f>(AG$4-AG$9-AG$10)*'Ethylene Recycling HC'!AF255</f>
        <v>5.8266696836086167</v>
      </c>
      <c r="AH16" s="604">
        <f>(AH$4-AH$9-AH$10)*'Ethylene Recycling HC'!AG255</f>
        <v>5.4490119820533334</v>
      </c>
      <c r="AJ16" s="604">
        <f>(AJ$4-AJ$9-AJ$10)*'Ethylene Recycling LC'!C213</f>
        <v>14.704605283598386</v>
      </c>
      <c r="AK16" s="604">
        <f>(AK$4-AK$9-AK$10)*'Ethylene Recycling LC'!D213</f>
        <v>14.872322045837075</v>
      </c>
      <c r="AL16" s="604">
        <f>(AL$4-AL$9-AL$10)*'Ethylene Recycling LC'!E213</f>
        <v>14.972657026703382</v>
      </c>
      <c r="AM16" s="604">
        <f>(AM$4-AM$9-AM$10)*'Ethylene Recycling LC'!F213</f>
        <v>15.033368088673361</v>
      </c>
      <c r="AN16" s="604">
        <f>(AN$4-AN$9-AN$10)*'Ethylene Recycling LC'!G213</f>
        <v>15.051369919803223</v>
      </c>
      <c r="AO16" s="604">
        <f>(AO$4-AO$9-AO$10)*'Ethylene Recycling LC'!H213</f>
        <v>15.026417686558851</v>
      </c>
      <c r="AP16" s="604">
        <f>(AP$4-AP$9-AP$10)*'Ethylene Recycling LC'!I213</f>
        <v>14.95833284007667</v>
      </c>
      <c r="AQ16" s="604">
        <f>(AQ$4-AQ$9-AQ$10)*'Ethylene Recycling LC'!J213</f>
        <v>14.87970600093268</v>
      </c>
      <c r="AR16" s="604">
        <f>(AR$4-AR$9-AR$10)*'Ethylene Recycling LC'!K213</f>
        <v>14.790487195908705</v>
      </c>
      <c r="AS16" s="604">
        <f>(AS$4-AS$9-AS$10)*'Ethylene Recycling LC'!L213</f>
        <v>14.690542063571836</v>
      </c>
      <c r="AT16" s="604">
        <f>(AT$4-AT$9-AT$10)*'Ethylene Recycling LC'!M213</f>
        <v>14.579726589236566</v>
      </c>
      <c r="AU16" s="604">
        <f>(AU$4-AU$9-AU$10)*'Ethylene Recycling LC'!N213</f>
        <v>14.305073370058103</v>
      </c>
      <c r="AV16" s="604">
        <f>(AV$4-AV$9-AV$10)*'Ethylene Recycling LC'!O213</f>
        <v>14.016049272297145</v>
      </c>
      <c r="AW16" s="604">
        <f>(AW$4-AW$9-AW$10)*'Ethylene Recycling LC'!P213</f>
        <v>13.683508311928303</v>
      </c>
      <c r="AX16" s="604">
        <f>(AX$4-AX$9-AX$10)*'Ethylene Recycling LC'!Q213</f>
        <v>13.325679652649288</v>
      </c>
      <c r="AY16" s="604">
        <f>(AY$4-AY$9-AY$10)*'Ethylene Recycling LC'!R213</f>
        <v>12.944596763608207</v>
      </c>
      <c r="AZ16" s="604">
        <f>(AZ$4-AZ$9-AZ$10)*'Ethylene Recycling LC'!S213</f>
        <v>12.570002485883807</v>
      </c>
      <c r="BA16" s="604">
        <f>(BA$4-BA$9-BA$10)*'Ethylene Recycling LC'!T213</f>
        <v>12.19852403152443</v>
      </c>
      <c r="BB16" s="604">
        <f>(BB$4-BB$9-BB$10)*'Ethylene Recycling LC'!U213</f>
        <v>11.831696798092516</v>
      </c>
      <c r="BC16" s="604">
        <f>(BC$4-BC$9-BC$10)*'Ethylene Recycling LC'!V213</f>
        <v>11.470880674418776</v>
      </c>
      <c r="BD16" s="604">
        <f>(BD$4-BD$9-BD$10)*'Ethylene Recycling LC'!W213</f>
        <v>11.122794456296834</v>
      </c>
      <c r="BE16" s="604">
        <f>(BE$4-BE$9-BE$10)*'Ethylene Recycling LC'!X213</f>
        <v>10.65523057588339</v>
      </c>
      <c r="BF16" s="604">
        <f>(BF$4-BF$9-BF$10)*'Ethylene Recycling LC'!Y213</f>
        <v>10.245100856304056</v>
      </c>
      <c r="BG16" s="604">
        <f>(BG$4-BG$9-BG$10)*'Ethylene Recycling LC'!Z213</f>
        <v>9.8458366390874037</v>
      </c>
      <c r="BH16" s="604">
        <f>(BH$4-BH$9-BH$10)*'Ethylene Recycling LC'!AA213</f>
        <v>9.4574411887928047</v>
      </c>
      <c r="BI16" s="604">
        <f>(BI$4-BI$9-BI$10)*'Ethylene Recycling LC'!AB213</f>
        <v>9.0808624115340706</v>
      </c>
      <c r="BJ16" s="604">
        <f>(BJ$4-BJ$9-BJ$10)*'Ethylene Recycling LC'!AC213</f>
        <v>8.7141104183846263</v>
      </c>
      <c r="BK16" s="604">
        <f>(BK$4-BK$9-BK$10)*'Ethylene Recycling LC'!AD213</f>
        <v>8.3578723292325634</v>
      </c>
      <c r="BL16" s="604">
        <f>(BL$4-BL$9-BL$10)*'Ethylene Recycling LC'!AE213</f>
        <v>8.0114440203122257</v>
      </c>
      <c r="BM16" s="604">
        <f>(BM$4-BM$9-BM$10)*'Ethylene Recycling LC'!AF213</f>
        <v>7.6741753512179924</v>
      </c>
      <c r="BN16" s="604">
        <f>(BN$4-BN$9-BN$10)*'Ethylene Recycling LC'!AG213</f>
        <v>7.3596677947213083</v>
      </c>
      <c r="BO16" s="659">
        <f t="shared" si="68"/>
        <v>1.9685897332497225E-2</v>
      </c>
      <c r="BP16" s="604">
        <f>(BP$4-BP$9-BP$10)*'Ethylene Recycling HC'!C234</f>
        <v>14.704609249442761</v>
      </c>
      <c r="BQ16" s="604">
        <f>(BQ$4-BQ$9-BQ$10)*'Ethylene Recycling HC'!D234</f>
        <v>15.44629848052436</v>
      </c>
      <c r="BR16" s="604">
        <f>(BR$4-BR$9-BR$10)*'Ethylene Recycling HC'!E234</f>
        <v>16.174900739465006</v>
      </c>
      <c r="BS16" s="604">
        <f>(BS$4-BS$9-BS$10)*'Ethylene Recycling HC'!F234</f>
        <v>16.885496957036384</v>
      </c>
      <c r="BT16" s="604">
        <f>(BT$4-BT$9-BT$10)*'Ethylene Recycling HC'!G234</f>
        <v>17.573109714954494</v>
      </c>
      <c r="BU16" s="604">
        <f>(BU$4-BU$9-BU$10)*'Ethylene Recycling HC'!H234</f>
        <v>18.232756271050185</v>
      </c>
      <c r="BV16" s="604">
        <f>(BV$4-BV$9-BV$10)*'Ethylene Recycling HC'!I234</f>
        <v>18.904121811166853</v>
      </c>
      <c r="BW16" s="604">
        <f>(BW$4-BW$9-BW$10)*'Ethylene Recycling HC'!J234</f>
        <v>19.586797072941629</v>
      </c>
      <c r="BX16" s="604">
        <f>(BX$4-BX$9-BX$10)*'Ethylene Recycling HC'!K234</f>
        <v>20.280339463411437</v>
      </c>
      <c r="BY16" s="604">
        <f>(BY$4-BY$9-BY$10)*'Ethylene Recycling HC'!L234</f>
        <v>20.984272914845548</v>
      </c>
      <c r="BZ16" s="604">
        <f>(BZ$4-BZ$9-BZ$10)*'Ethylene Recycling HC'!M234</f>
        <v>21.698087823389432</v>
      </c>
      <c r="CA16" s="604">
        <f>(CA$4-CA$9-CA$10)*'Ethylene Recycling HC'!N234</f>
        <v>22.38613901052058</v>
      </c>
      <c r="CB16" s="604">
        <f>(CB$4-CB$9-CB$10)*'Ethylene Recycling HC'!O234</f>
        <v>23.044511988941178</v>
      </c>
      <c r="CC16" s="604">
        <f>(CC$4-CC$9-CC$10)*'Ethylene Recycling HC'!P234</f>
        <v>23.669345701245142</v>
      </c>
      <c r="CD16" s="604">
        <f>(CD$4-CD$9-CD$10)*'Ethylene Recycling HC'!Q234</f>
        <v>24.256865656601118</v>
      </c>
      <c r="CE16" s="604">
        <f>(CE$4-CE$9-CE$10)*'Ethylene Recycling HC'!R234</f>
        <v>24.803417167198827</v>
      </c>
      <c r="CF16" s="604">
        <f>(CF$4-CF$9-CF$10)*'Ethylene Recycling HC'!S234</f>
        <v>25.355485291300724</v>
      </c>
      <c r="CG16" s="604">
        <f>(CG$4-CG$9-CG$10)*'Ethylene Recycling HC'!T234</f>
        <v>25.912973830084251</v>
      </c>
      <c r="CH16" s="604">
        <f>(CH$4-CH$9-CH$10)*'Ethylene Recycling HC'!U234</f>
        <v>26.475781957703553</v>
      </c>
      <c r="CI16" s="604">
        <f>(CI$4-CI$9-CI$10)*'Ethylene Recycling HC'!V234</f>
        <v>27.043804182167598</v>
      </c>
      <c r="CJ16" s="604">
        <f>(CJ$4-CJ$9-CJ$10)*'Ethylene Recycling HC'!W234</f>
        <v>27.616930308164015</v>
      </c>
      <c r="CK16" s="604">
        <f>(CK$4-CK$9-CK$10)*'Ethylene Recycling HC'!X234</f>
        <v>28.195386874682931</v>
      </c>
      <c r="CL16" s="604">
        <f>(CL$4-CL$9-CL$10)*'Ethylene Recycling HC'!Y234</f>
        <v>28.779076586126294</v>
      </c>
      <c r="CM16" s="604">
        <f>(CM$4-CM$9-CM$10)*'Ethylene Recycling HC'!Z234</f>
        <v>29.367897837274214</v>
      </c>
      <c r="CN16" s="604">
        <f>(CN$4-CN$9-CN$10)*'Ethylene Recycling HC'!AA234</f>
        <v>29.961744676857638</v>
      </c>
      <c r="CO16" s="604">
        <f>(CO$4-CO$9-CO$10)*'Ethylene Recycling HC'!AB234</f>
        <v>30.560506772635247</v>
      </c>
      <c r="CP16" s="604">
        <f>(CP$4-CP$9-CP$10)*'Ethylene Recycling HC'!AC234</f>
        <v>31.164394459511886</v>
      </c>
      <c r="CQ16" s="604">
        <f>(CQ$4-CQ$9-CQ$10)*'Ethylene Recycling HC'!AD234</f>
        <v>31.773308755998769</v>
      </c>
      <c r="CR16" s="604">
        <f>(CR$4-CR$9-CR$10)*'Ethylene Recycling HC'!AE234</f>
        <v>32.3871466249756</v>
      </c>
      <c r="CS16" s="604">
        <f>(CS$4-CS$9-CS$10)*'Ethylene Recycling HC'!AF234</f>
        <v>33.005800938969216</v>
      </c>
      <c r="CT16" s="604">
        <f>(CT$4-CT$9-CT$10)*'Ethylene Recycling HC'!AG234</f>
        <v>33.629160446584642</v>
      </c>
      <c r="CV16" s="604">
        <f>(CV$4-CV$9-CV$10)*'Ethylene Recycling LC'!C213</f>
        <v>14.704605283598386</v>
      </c>
      <c r="CW16" s="604">
        <f>(CW$4-CW$9-CW$10)*'Ethylene Recycling LC'!D213</f>
        <v>14.948125927143412</v>
      </c>
      <c r="CX16" s="604">
        <f>(CX$4-CX$9-CX$10)*'Ethylene Recycling LC'!E213</f>
        <v>15.133131803068013</v>
      </c>
      <c r="CY16" s="604">
        <f>(CY$4-CY$9-CY$10)*'Ethylene Recycling LC'!F213</f>
        <v>15.277460578085707</v>
      </c>
      <c r="CZ16" s="604">
        <f>(CZ$4-CZ$9-CZ$10)*'Ethylene Recycling LC'!G213</f>
        <v>15.380471901366288</v>
      </c>
      <c r="DA16" s="604">
        <f>(DA$4-DA$9-DA$10)*'Ethylene Recycling LC'!H213</f>
        <v>15.441235322143498</v>
      </c>
      <c r="DB16" s="604">
        <f>(DB$4-DB$9-DB$10)*'Ethylene Recycling LC'!I213</f>
        <v>15.497269830539247</v>
      </c>
      <c r="DC16" s="604">
        <f>(DC$4-DC$9-DC$10)*'Ethylene Recycling LC'!J213</f>
        <v>15.544205999125495</v>
      </c>
      <c r="DD16" s="604">
        <f>(DD$4-DD$9-DD$10)*'Ethylene Recycling LC'!K213</f>
        <v>15.581755766288801</v>
      </c>
      <c r="DE16" s="604">
        <f>(DE$4-DE$9-DE$10)*'Ethylene Recycling LC'!L213</f>
        <v>15.609537385197397</v>
      </c>
      <c r="DF16" s="604">
        <f>(DF$4-DF$9-DF$10)*'Ethylene Recycling LC'!M213</f>
        <v>15.627150656181735</v>
      </c>
      <c r="DG16" s="604">
        <f>(DG$4-DG$9-DG$10)*'Ethylene Recycling LC'!N213</f>
        <v>15.547590435527368</v>
      </c>
      <c r="DH16" s="604">
        <f>(DH$4-DH$9-DH$10)*'Ethylene Recycling LC'!O213</f>
        <v>15.433080693025236</v>
      </c>
      <c r="DI16" s="604">
        <f>(DI$4-DI$9-DI$10)*'Ethylene Recycling LC'!P213</f>
        <v>15.294518448455891</v>
      </c>
      <c r="DJ16" s="604">
        <f>(DJ$4-DJ$9-DJ$10)*'Ethylene Recycling LC'!Q213</f>
        <v>15.12620942838123</v>
      </c>
      <c r="DK16" s="604">
        <f>(DK$4-DK$9-DK$10)*'Ethylene Recycling LC'!R213</f>
        <v>14.928941963548663</v>
      </c>
      <c r="DL16" s="604">
        <f>(DL$4-DL$9-DL$10)*'Ethylene Recycling LC'!S213</f>
        <v>14.72889854751134</v>
      </c>
      <c r="DM16" s="604">
        <f>(DM$4-DM$9-DM$10)*'Ethylene Recycling LC'!T213</f>
        <v>14.528824879953445</v>
      </c>
      <c r="DN16" s="604">
        <f>(DN$4-DN$9-DN$10)*'Ethylene Recycling LC'!U213</f>
        <v>14.330050568455414</v>
      </c>
      <c r="DO16" s="604">
        <f>(DO$4-DO$9-DO$10)*'Ethylene Recycling LC'!V213</f>
        <v>14.133728263983789</v>
      </c>
      <c r="DP16" s="604">
        <f>(DP$4-DP$9-DP$10)*'Ethylene Recycling LC'!W213</f>
        <v>13.94636821199119</v>
      </c>
      <c r="DQ16" s="604">
        <f>(DQ$4-DQ$9-DQ$10)*'Ethylene Recycling LC'!X213</f>
        <v>13.699340315729724</v>
      </c>
      <c r="DR16" s="604">
        <f>(DR$4-DR$9-DR$10)*'Ethylene Recycling LC'!Y213</f>
        <v>13.443163585632199</v>
      </c>
      <c r="DS16" s="604">
        <f>(DS$4-DS$9-DS$10)*'Ethylene Recycling LC'!Z213</f>
        <v>13.196294966729051</v>
      </c>
      <c r="DT16" s="604">
        <f>(DT$4-DT$9-DT$10)*'Ethylene Recycling LC'!AA213</f>
        <v>12.95564628113253</v>
      </c>
      <c r="DU16" s="604">
        <f>(DU$4-DU$9-DU$10)*'Ethylene Recycling LC'!AB213</f>
        <v>12.72194995597472</v>
      </c>
      <c r="DV16" s="604">
        <f>(DV$4-DV$9-DV$10)*'Ethylene Recycling LC'!AC213</f>
        <v>12.496331835735727</v>
      </c>
      <c r="DW16" s="604">
        <f>(DW$4-DW$9-DW$10)*'Ethylene Recycling LC'!AD213</f>
        <v>12.275896628532347</v>
      </c>
      <c r="DX16" s="604">
        <f>(DX$4-DX$9-DX$10)*'Ethylene Recycling LC'!AE213</f>
        <v>12.059722167489475</v>
      </c>
      <c r="DY16" s="604">
        <f>(DY$4-DY$9-DY$10)*'Ethylene Recycling LC'!AF213</f>
        <v>11.846939463763603</v>
      </c>
      <c r="DZ16" s="604">
        <f>(DZ$4-DZ$9-DZ$10)*'Ethylene Recycling LC'!AG213</f>
        <v>11.650930460569716</v>
      </c>
      <c r="EB16" s="2">
        <f t="shared" si="69"/>
        <v>0.03</v>
      </c>
      <c r="EC16" s="2">
        <f t="shared" si="70"/>
        <v>0.03</v>
      </c>
      <c r="EK16" s="614"/>
      <c r="EL16" s="614"/>
      <c r="EM16" s="614"/>
      <c r="EN16" s="614"/>
      <c r="EO16" s="614"/>
      <c r="EP16" s="614"/>
      <c r="EQ16" s="614"/>
      <c r="ER16" s="614"/>
      <c r="ES16" s="614"/>
      <c r="ET16" s="614"/>
      <c r="EU16" s="614"/>
      <c r="EV16" s="614"/>
      <c r="EW16" s="614"/>
      <c r="EX16" s="614"/>
      <c r="EY16" s="614"/>
      <c r="EZ16" s="614"/>
      <c r="FA16" s="614"/>
      <c r="FB16" s="614"/>
      <c r="FC16" s="614"/>
      <c r="FD16" s="614"/>
      <c r="FE16" s="614"/>
      <c r="FF16" s="614"/>
      <c r="FG16" s="614"/>
      <c r="FH16" s="614"/>
      <c r="FI16" s="614"/>
    </row>
    <row r="17" spans="1:165" ht="16" thickBot="1" x14ac:dyDescent="0.25"/>
    <row r="18" spans="1:165" s="188" customFormat="1" ht="16" thickBot="1" x14ac:dyDescent="0.25">
      <c r="A18" s="185" t="s">
        <v>455</v>
      </c>
      <c r="C18" s="608"/>
      <c r="EK18" s="615"/>
      <c r="EL18" s="615"/>
      <c r="EM18" s="615"/>
      <c r="EN18" s="615"/>
      <c r="EO18" s="615"/>
      <c r="EP18" s="615"/>
      <c r="EQ18" s="615"/>
      <c r="ER18" s="615"/>
      <c r="ES18" s="615"/>
      <c r="ET18" s="615"/>
      <c r="EU18" s="615"/>
      <c r="EV18" s="615"/>
      <c r="EW18" s="615"/>
      <c r="EX18" s="615"/>
      <c r="EY18" s="615"/>
      <c r="EZ18" s="615"/>
      <c r="FA18" s="615"/>
      <c r="FB18" s="615"/>
      <c r="FC18" s="615"/>
      <c r="FD18" s="615"/>
      <c r="FE18" s="615"/>
      <c r="FF18" s="615"/>
      <c r="FG18" s="615"/>
      <c r="FH18" s="615"/>
      <c r="FI18" s="615"/>
    </row>
    <row r="19" spans="1:165" x14ac:dyDescent="0.2">
      <c r="A19" s="606" t="s">
        <v>456</v>
      </c>
      <c r="C19" s="54" t="s">
        <v>153</v>
      </c>
      <c r="D19" s="44">
        <f t="shared" ref="D19:AH19" si="71">D11*(1-D205)</f>
        <v>47.052557942569585</v>
      </c>
      <c r="E19" s="44">
        <f t="shared" si="71"/>
        <v>49.772223666583237</v>
      </c>
      <c r="F19" s="44">
        <f t="shared" si="71"/>
        <v>52.353085527745691</v>
      </c>
      <c r="G19" s="44">
        <f t="shared" si="71"/>
        <v>54.873878615161395</v>
      </c>
      <c r="H19" s="44">
        <f t="shared" si="71"/>
        <v>57.300555676770607</v>
      </c>
      <c r="I19" s="44">
        <f t="shared" si="71"/>
        <v>59.605616566026605</v>
      </c>
      <c r="J19" s="44">
        <f t="shared" si="71"/>
        <v>61.596272189112426</v>
      </c>
      <c r="K19" s="44">
        <f t="shared" si="71"/>
        <v>63.502740106977278</v>
      </c>
      <c r="L19" s="44">
        <f t="shared" si="71"/>
        <v>65.264537725501242</v>
      </c>
      <c r="M19" s="44">
        <f t="shared" si="71"/>
        <v>66.779954065735183</v>
      </c>
      <c r="N19" s="44">
        <f t="shared" si="71"/>
        <v>67.88652384145621</v>
      </c>
      <c r="O19" s="44">
        <f t="shared" si="71"/>
        <v>67.488561699111102</v>
      </c>
      <c r="P19" s="44">
        <f t="shared" si="71"/>
        <v>66.118133486849672</v>
      </c>
      <c r="Q19" s="44">
        <f t="shared" si="71"/>
        <v>63.298361910166641</v>
      </c>
      <c r="R19" s="44">
        <f t="shared" si="71"/>
        <v>58.949213243938672</v>
      </c>
      <c r="S19" s="44">
        <f t="shared" si="71"/>
        <v>53.10706540768377</v>
      </c>
      <c r="T19" s="44">
        <f t="shared" si="71"/>
        <v>46.22794536812156</v>
      </c>
      <c r="U19" s="44">
        <f t="shared" si="71"/>
        <v>38.789827573453607</v>
      </c>
      <c r="V19" s="44">
        <f t="shared" si="71"/>
        <v>31.422188568522269</v>
      </c>
      <c r="W19" s="44">
        <f t="shared" si="71"/>
        <v>24.659021309906731</v>
      </c>
      <c r="X19" s="44">
        <f t="shared" si="71"/>
        <v>18.845475640137128</v>
      </c>
      <c r="Y19" s="44">
        <f t="shared" si="71"/>
        <v>13.883376167091258</v>
      </c>
      <c r="Z19" s="44">
        <f t="shared" si="71"/>
        <v>10.102134352460567</v>
      </c>
      <c r="AA19" s="44">
        <f t="shared" si="71"/>
        <v>7.2459093442630751</v>
      </c>
      <c r="AB19" s="44">
        <f t="shared" si="71"/>
        <v>5.1407429145179639</v>
      </c>
      <c r="AC19" s="44">
        <f t="shared" si="71"/>
        <v>3.6167804406096389</v>
      </c>
      <c r="AD19" s="44">
        <f t="shared" si="71"/>
        <v>2.5265198598331211</v>
      </c>
      <c r="AE19" s="44">
        <f t="shared" si="71"/>
        <v>1.7555607799541746</v>
      </c>
      <c r="AF19" s="44">
        <f t="shared" si="71"/>
        <v>1.2144121815396449</v>
      </c>
      <c r="AG19" s="44">
        <f t="shared" si="71"/>
        <v>0.83684661483507372</v>
      </c>
      <c r="AH19" s="44">
        <f t="shared" si="71"/>
        <v>0.57512134623167288</v>
      </c>
      <c r="AI19" s="44"/>
      <c r="AJ19" s="44">
        <f>AJ11*(1-D205)</f>
        <v>47.052568219026426</v>
      </c>
      <c r="AK19" s="44">
        <f t="shared" ref="AK19:BN19" si="72">AK11*(1-E205)</f>
        <v>49.837928273828922</v>
      </c>
      <c r="AL19" s="44">
        <f t="shared" si="72"/>
        <v>52.497793329919062</v>
      </c>
      <c r="AM19" s="44">
        <f t="shared" si="72"/>
        <v>55.104010649129968</v>
      </c>
      <c r="AN19" s="44">
        <f t="shared" si="72"/>
        <v>57.624718348854856</v>
      </c>
      <c r="AO19" s="44">
        <f t="shared" si="72"/>
        <v>60.032167198281712</v>
      </c>
      <c r="AP19" s="44">
        <f t="shared" si="72"/>
        <v>62.289719463351894</v>
      </c>
      <c r="AQ19" s="44">
        <f t="shared" si="72"/>
        <v>64.48720292782599</v>
      </c>
      <c r="AR19" s="44">
        <f t="shared" si="72"/>
        <v>66.563518471507251</v>
      </c>
      <c r="AS19" s="44">
        <f t="shared" si="72"/>
        <v>68.414646044313542</v>
      </c>
      <c r="AT19" s="44">
        <f t="shared" si="72"/>
        <v>69.872767285358236</v>
      </c>
      <c r="AU19" s="44">
        <f t="shared" si="72"/>
        <v>69.939997916027323</v>
      </c>
      <c r="AV19" s="44">
        <f t="shared" si="72"/>
        <v>69.003018762508503</v>
      </c>
      <c r="AW19" s="44">
        <f t="shared" si="72"/>
        <v>66.587573943941265</v>
      </c>
      <c r="AX19" s="44">
        <f t="shared" si="72"/>
        <v>62.541789203029879</v>
      </c>
      <c r="AY19" s="44">
        <f t="shared" si="72"/>
        <v>56.857067639946585</v>
      </c>
      <c r="AZ19" s="44">
        <f t="shared" si="72"/>
        <v>49.944633366691953</v>
      </c>
      <c r="BA19" s="44">
        <f t="shared" si="72"/>
        <v>42.320185861087133</v>
      </c>
      <c r="BB19" s="44">
        <f t="shared" si="72"/>
        <v>34.636225306729024</v>
      </c>
      <c r="BC19" s="44">
        <f t="shared" si="72"/>
        <v>27.474111450536153</v>
      </c>
      <c r="BD19" s="44">
        <f t="shared" si="72"/>
        <v>21.230648975245771</v>
      </c>
      <c r="BE19" s="44">
        <f t="shared" si="72"/>
        <v>15.865312307554493</v>
      </c>
      <c r="BF19" s="44">
        <f t="shared" si="72"/>
        <v>11.702155027504137</v>
      </c>
      <c r="BG19" s="44">
        <f t="shared" si="72"/>
        <v>8.5179324711414406</v>
      </c>
      <c r="BH19" s="44">
        <f t="shared" si="72"/>
        <v>6.1386573007621514</v>
      </c>
      <c r="BI19" s="44">
        <f t="shared" si="72"/>
        <v>4.3917725630137143</v>
      </c>
      <c r="BJ19" s="44">
        <f t="shared" si="72"/>
        <v>3.1245389405426933</v>
      </c>
      <c r="BK19" s="44">
        <f t="shared" si="72"/>
        <v>2.2139793262796976</v>
      </c>
      <c r="BL19" s="44">
        <f t="shared" si="72"/>
        <v>1.5639768195152286</v>
      </c>
      <c r="BM19" s="44">
        <f t="shared" si="72"/>
        <v>1.1021918202063159</v>
      </c>
      <c r="BN19" s="44">
        <f t="shared" si="72"/>
        <v>0.77678339923983986</v>
      </c>
      <c r="BP19" s="44">
        <f>BP11</f>
        <v>47.05474959821683</v>
      </c>
      <c r="BQ19" s="44">
        <f t="shared" ref="BQ19:CT19" si="73">BQ11</f>
        <v>49.342906184171767</v>
      </c>
      <c r="BR19" s="44">
        <f t="shared" si="73"/>
        <v>51.583686036998493</v>
      </c>
      <c r="BS19" s="44">
        <f t="shared" si="73"/>
        <v>53.761869621828474</v>
      </c>
      <c r="BT19" s="44">
        <f t="shared" si="73"/>
        <v>55.862127103961114</v>
      </c>
      <c r="BU19" s="44">
        <f t="shared" si="73"/>
        <v>57.869182947246216</v>
      </c>
      <c r="BV19" s="44">
        <f t="shared" si="73"/>
        <v>59.909386033918459</v>
      </c>
      <c r="BW19" s="44">
        <f t="shared" si="73"/>
        <v>61.981436444846686</v>
      </c>
      <c r="BX19" s="44">
        <f t="shared" si="73"/>
        <v>64.083936633786934</v>
      </c>
      <c r="BY19" s="44">
        <f t="shared" si="73"/>
        <v>66.215391211862396</v>
      </c>
      <c r="BZ19" s="44">
        <f t="shared" si="73"/>
        <v>68.374206978355019</v>
      </c>
      <c r="CA19" s="44">
        <f t="shared" si="73"/>
        <v>70.44822850497917</v>
      </c>
      <c r="CB19" s="44">
        <f t="shared" si="73"/>
        <v>72.425609108100787</v>
      </c>
      <c r="CC19" s="44">
        <f t="shared" si="73"/>
        <v>74.294709967066154</v>
      </c>
      <c r="CD19" s="44">
        <f t="shared" si="73"/>
        <v>76.04420052080475</v>
      </c>
      <c r="CE19" s="44">
        <f t="shared" si="73"/>
        <v>77.663158671065091</v>
      </c>
      <c r="CF19" s="44">
        <f t="shared" si="73"/>
        <v>79.297500435860499</v>
      </c>
      <c r="CG19" s="44">
        <f t="shared" si="73"/>
        <v>80.946931057264152</v>
      </c>
      <c r="CH19" s="44">
        <f t="shared" si="73"/>
        <v>82.611142437644531</v>
      </c>
      <c r="CI19" s="44">
        <f t="shared" si="73"/>
        <v>84.289813034931029</v>
      </c>
      <c r="CJ19" s="44">
        <f t="shared" si="73"/>
        <v>85.982607763562072</v>
      </c>
      <c r="CK19" s="44">
        <f t="shared" si="73"/>
        <v>87.690239913004589</v>
      </c>
      <c r="CL19" s="44">
        <f t="shared" si="73"/>
        <v>89.412413345202737</v>
      </c>
      <c r="CM19" s="44">
        <f t="shared" si="73"/>
        <v>91.148819508907764</v>
      </c>
      <c r="CN19" s="44">
        <f t="shared" si="73"/>
        <v>92.899137341262588</v>
      </c>
      <c r="CO19" s="44">
        <f t="shared" si="73"/>
        <v>94.663033173772448</v>
      </c>
      <c r="CP19" s="44">
        <f t="shared" si="73"/>
        <v>96.441166638219059</v>
      </c>
      <c r="CQ19" s="44">
        <f t="shared" si="73"/>
        <v>98.233238245623539</v>
      </c>
      <c r="CR19" s="44">
        <f t="shared" si="73"/>
        <v>100.03893683404544</v>
      </c>
      <c r="CS19" s="44">
        <f t="shared" si="73"/>
        <v>101.85793947395628</v>
      </c>
      <c r="CT19" s="44">
        <f t="shared" si="73"/>
        <v>103.68991137696932</v>
      </c>
      <c r="CV19" s="44">
        <f>CV11*(1-D205)</f>
        <v>47.052568219026426</v>
      </c>
      <c r="CW19" s="44">
        <f t="shared" ref="CW19:DZ19" si="74">CW11*(1-E205)</f>
        <v>50.091951040938149</v>
      </c>
      <c r="CX19" s="44">
        <f t="shared" si="74"/>
        <v>53.060457099564644</v>
      </c>
      <c r="CY19" s="44">
        <f t="shared" si="74"/>
        <v>55.998718678402831</v>
      </c>
      <c r="CZ19" s="44">
        <f t="shared" si="74"/>
        <v>58.884697280783833</v>
      </c>
      <c r="DA19" s="44">
        <f t="shared" si="74"/>
        <v>61.689408609751901</v>
      </c>
      <c r="DB19" s="44">
        <f t="shared" si="74"/>
        <v>64.533969160376614</v>
      </c>
      <c r="DC19" s="44">
        <f t="shared" si="74"/>
        <v>67.367081483646515</v>
      </c>
      <c r="DD19" s="44">
        <f t="shared" si="74"/>
        <v>70.124565474407049</v>
      </c>
      <c r="DE19" s="44">
        <f t="shared" si="74"/>
        <v>72.694456780589817</v>
      </c>
      <c r="DF19" s="44">
        <f t="shared" si="74"/>
        <v>74.892506004791628</v>
      </c>
      <c r="DG19" s="44">
        <f t="shared" si="74"/>
        <v>76.014880492403492</v>
      </c>
      <c r="DH19" s="44">
        <f t="shared" si="74"/>
        <v>75.979267476532826</v>
      </c>
      <c r="DI19" s="44">
        <f t="shared" si="74"/>
        <v>74.427175758408438</v>
      </c>
      <c r="DJ19" s="44">
        <f t="shared" si="74"/>
        <v>70.992266523728347</v>
      </c>
      <c r="DK19" s="44">
        <f t="shared" si="74"/>
        <v>65.572986050878143</v>
      </c>
      <c r="DL19" s="44">
        <f t="shared" si="74"/>
        <v>58.522616735897401</v>
      </c>
      <c r="DM19" s="44">
        <f t="shared" si="74"/>
        <v>50.404669259480762</v>
      </c>
      <c r="DN19" s="44">
        <f t="shared" si="74"/>
        <v>41.949930649495762</v>
      </c>
      <c r="DO19" s="44">
        <f t="shared" si="74"/>
        <v>33.851945335135227</v>
      </c>
      <c r="DP19" s="44">
        <f t="shared" si="74"/>
        <v>26.620149203664212</v>
      </c>
      <c r="DQ19" s="44">
        <f t="shared" si="74"/>
        <v>20.397898569032602</v>
      </c>
      <c r="DR19" s="44">
        <f t="shared" si="74"/>
        <v>15.355044966918731</v>
      </c>
      <c r="DS19" s="44">
        <f t="shared" si="74"/>
        <v>11.416515783901978</v>
      </c>
      <c r="DT19" s="44">
        <f t="shared" si="74"/>
        <v>8.4092801680871858</v>
      </c>
      <c r="DU19" s="44">
        <f t="shared" si="74"/>
        <v>6.1527097573593359</v>
      </c>
      <c r="DV19" s="44">
        <f t="shared" si="74"/>
        <v>4.4806955110786451</v>
      </c>
      <c r="DW19" s="44">
        <f t="shared" si="74"/>
        <v>3.2518540935421121</v>
      </c>
      <c r="DX19" s="44">
        <f t="shared" si="74"/>
        <v>2.3542729465408438</v>
      </c>
      <c r="DY19" s="44">
        <f t="shared" si="74"/>
        <v>1.7014987505292316</v>
      </c>
      <c r="DZ19" s="44">
        <f t="shared" si="74"/>
        <v>1.2297089515316972</v>
      </c>
    </row>
    <row r="20" spans="1:165" s="82" customFormat="1" ht="16" thickBot="1" x14ac:dyDescent="0.25">
      <c r="A20" s="607" t="s">
        <v>457</v>
      </c>
      <c r="C20" s="170" t="s">
        <v>153</v>
      </c>
      <c r="D20" s="604">
        <f>D11*D205</f>
        <v>2.1686880147632421E-3</v>
      </c>
      <c r="E20" s="604">
        <f t="shared" ref="E20:AH20" si="75">E11*E205</f>
        <v>4.44244771811183E-3</v>
      </c>
      <c r="F20" s="604">
        <f t="shared" si="75"/>
        <v>9.0337390081025957E-3</v>
      </c>
      <c r="G20" s="604">
        <f t="shared" si="75"/>
        <v>1.8262419750168971E-2</v>
      </c>
      <c r="H20" s="604">
        <f t="shared" si="75"/>
        <v>3.6660426163342565E-2</v>
      </c>
      <c r="I20" s="604">
        <f t="shared" si="75"/>
        <v>7.2981278205406036E-2</v>
      </c>
      <c r="J20" s="604">
        <f t="shared" si="75"/>
        <v>0.14344617775031032</v>
      </c>
      <c r="K20" s="604">
        <f t="shared" si="75"/>
        <v>0.27895742894488612</v>
      </c>
      <c r="L20" s="604">
        <f t="shared" si="75"/>
        <v>0.53491125275011742</v>
      </c>
      <c r="M20" s="604">
        <f t="shared" si="75"/>
        <v>1.0069049932199809</v>
      </c>
      <c r="N20" s="604">
        <f t="shared" si="75"/>
        <v>1.8502141335024469</v>
      </c>
      <c r="O20" s="604">
        <f t="shared" si="75"/>
        <v>3.2552599265504121</v>
      </c>
      <c r="P20" s="604">
        <f t="shared" si="75"/>
        <v>5.5088790401264145</v>
      </c>
      <c r="Q20" s="604">
        <f t="shared" si="75"/>
        <v>8.8727659720051477</v>
      </c>
      <c r="R20" s="604">
        <f t="shared" si="75"/>
        <v>13.52940562258323</v>
      </c>
      <c r="S20" s="604">
        <f t="shared" si="75"/>
        <v>19.437957633713335</v>
      </c>
      <c r="T20" s="604">
        <f t="shared" si="75"/>
        <v>26.340351828946272</v>
      </c>
      <c r="U20" s="604">
        <f t="shared" si="75"/>
        <v>33.693382743875205</v>
      </c>
      <c r="V20" s="604">
        <f t="shared" si="75"/>
        <v>40.889628545388142</v>
      </c>
      <c r="W20" s="604">
        <f t="shared" si="75"/>
        <v>47.409727501934896</v>
      </c>
      <c r="X20" s="604">
        <f t="shared" si="75"/>
        <v>52.959583929697878</v>
      </c>
      <c r="Y20" s="604">
        <f t="shared" si="75"/>
        <v>56.565767871726152</v>
      </c>
      <c r="Z20" s="604">
        <f t="shared" si="75"/>
        <v>59.317287428514391</v>
      </c>
      <c r="AA20" s="604">
        <f t="shared" si="75"/>
        <v>61.046721294572102</v>
      </c>
      <c r="AB20" s="604">
        <f t="shared" si="75"/>
        <v>61.946464878700702</v>
      </c>
      <c r="AC20" s="604">
        <f t="shared" si="75"/>
        <v>62.193246997610139</v>
      </c>
      <c r="AD20" s="604">
        <f t="shared" si="75"/>
        <v>61.896602166622564</v>
      </c>
      <c r="AE20" s="604">
        <f t="shared" si="75"/>
        <v>61.20399379382129</v>
      </c>
      <c r="AF20" s="604">
        <f t="shared" si="75"/>
        <v>60.199494969110368</v>
      </c>
      <c r="AG20" s="604">
        <f t="shared" si="75"/>
        <v>58.949851008279616</v>
      </c>
      <c r="AH20" s="604">
        <f t="shared" si="75"/>
        <v>57.547673129003883</v>
      </c>
      <c r="AI20" s="604"/>
      <c r="AJ20" s="604">
        <f t="shared" ref="AJ20:BN20" si="76">AJ11*D205</f>
        <v>2.1686884884129171E-3</v>
      </c>
      <c r="AK20" s="604">
        <f t="shared" si="76"/>
        <v>4.4483122196555692E-3</v>
      </c>
      <c r="AL20" s="604">
        <f t="shared" si="76"/>
        <v>9.0587089311566556E-3</v>
      </c>
      <c r="AM20" s="604">
        <f t="shared" si="76"/>
        <v>1.8339009339029069E-2</v>
      </c>
      <c r="AN20" s="604">
        <f t="shared" si="76"/>
        <v>3.6867822785670155E-2</v>
      </c>
      <c r="AO20" s="604">
        <f t="shared" si="76"/>
        <v>7.3503547953707657E-2</v>
      </c>
      <c r="AP20" s="604">
        <f t="shared" si="76"/>
        <v>0.14506108653335525</v>
      </c>
      <c r="AQ20" s="604">
        <f t="shared" si="76"/>
        <v>0.28328201741040981</v>
      </c>
      <c r="AR20" s="604">
        <f t="shared" si="76"/>
        <v>0.54555776067555162</v>
      </c>
      <c r="AS20" s="604">
        <f t="shared" si="76"/>
        <v>1.0315528016624214</v>
      </c>
      <c r="AT20" s="604">
        <f t="shared" si="76"/>
        <v>1.9043482308833457</v>
      </c>
      <c r="AU20" s="604">
        <f t="shared" si="76"/>
        <v>3.3735031055204989</v>
      </c>
      <c r="AV20" s="604">
        <f t="shared" si="76"/>
        <v>5.7492440230763204</v>
      </c>
      <c r="AW20" s="604">
        <f t="shared" si="76"/>
        <v>9.3338270125642069</v>
      </c>
      <c r="AX20" s="604">
        <f t="shared" si="76"/>
        <v>14.353936005700492</v>
      </c>
      <c r="AY20" s="604">
        <f t="shared" si="76"/>
        <v>20.810512941702704</v>
      </c>
      <c r="AZ20" s="604">
        <f t="shared" si="76"/>
        <v>28.458094002888458</v>
      </c>
      <c r="BA20" s="604">
        <f t="shared" si="76"/>
        <v>36.759900963967858</v>
      </c>
      <c r="BB20" s="604">
        <f t="shared" si="76"/>
        <v>45.072047859368006</v>
      </c>
      <c r="BC20" s="604">
        <f t="shared" si="76"/>
        <v>52.822053270395386</v>
      </c>
      <c r="BD20" s="604">
        <f t="shared" si="76"/>
        <v>59.662401616004061</v>
      </c>
      <c r="BE20" s="604">
        <f t="shared" si="76"/>
        <v>64.64087426578682</v>
      </c>
      <c r="BF20" s="604">
        <f t="shared" si="76"/>
        <v>68.712221504995782</v>
      </c>
      <c r="BG20" s="604">
        <f t="shared" si="76"/>
        <v>71.763504739879096</v>
      </c>
      <c r="BH20" s="604">
        <f t="shared" si="76"/>
        <v>73.971432769012381</v>
      </c>
      <c r="BI20" s="604">
        <f t="shared" si="76"/>
        <v>75.519816658486306</v>
      </c>
      <c r="BJ20" s="604">
        <f t="shared" si="76"/>
        <v>76.547327741831239</v>
      </c>
      <c r="BK20" s="604">
        <f t="shared" si="76"/>
        <v>77.185807801429888</v>
      </c>
      <c r="BL20" s="604">
        <f t="shared" si="76"/>
        <v>77.527725849099326</v>
      </c>
      <c r="BM20" s="604">
        <f t="shared" si="76"/>
        <v>77.641520479248129</v>
      </c>
      <c r="BN20" s="604">
        <f t="shared" si="76"/>
        <v>77.726339744454108</v>
      </c>
      <c r="BP20" s="82">
        <v>0</v>
      </c>
      <c r="BQ20" s="82">
        <v>0</v>
      </c>
      <c r="BR20" s="82">
        <v>0</v>
      </c>
      <c r="BS20" s="82">
        <v>0</v>
      </c>
      <c r="BT20" s="82">
        <v>0</v>
      </c>
      <c r="BU20" s="82">
        <v>0</v>
      </c>
      <c r="BV20" s="82">
        <v>0</v>
      </c>
      <c r="BW20" s="82">
        <v>0</v>
      </c>
      <c r="BX20" s="82">
        <v>0</v>
      </c>
      <c r="BY20" s="82">
        <v>0</v>
      </c>
      <c r="BZ20" s="82">
        <v>0</v>
      </c>
      <c r="CA20" s="82">
        <v>0</v>
      </c>
      <c r="CB20" s="82">
        <v>0</v>
      </c>
      <c r="CC20" s="82">
        <v>0</v>
      </c>
      <c r="CD20" s="82">
        <v>0</v>
      </c>
      <c r="CE20" s="82">
        <v>0</v>
      </c>
      <c r="CF20" s="82">
        <v>0</v>
      </c>
      <c r="CG20" s="82">
        <v>0</v>
      </c>
      <c r="CH20" s="82">
        <v>0</v>
      </c>
      <c r="CI20" s="82">
        <v>0</v>
      </c>
      <c r="CJ20" s="82">
        <v>0</v>
      </c>
      <c r="CK20" s="82">
        <v>0</v>
      </c>
      <c r="CL20" s="82">
        <v>0</v>
      </c>
      <c r="CM20" s="82">
        <v>0</v>
      </c>
      <c r="CN20" s="82">
        <v>0</v>
      </c>
      <c r="CO20" s="82">
        <v>0</v>
      </c>
      <c r="CP20" s="82">
        <v>0</v>
      </c>
      <c r="CQ20" s="82">
        <v>0</v>
      </c>
      <c r="CR20" s="82">
        <v>0</v>
      </c>
      <c r="CS20" s="82">
        <v>0</v>
      </c>
      <c r="CT20" s="82">
        <v>0</v>
      </c>
      <c r="CV20" s="604">
        <f>CV11*D205</f>
        <v>2.1686884884129171E-3</v>
      </c>
      <c r="CW20" s="604">
        <f t="shared" ref="CW20:DZ20" si="77">CW11*E205</f>
        <v>4.4709851641004947E-3</v>
      </c>
      <c r="CX20" s="604">
        <f t="shared" si="77"/>
        <v>9.1557988656477077E-3</v>
      </c>
      <c r="CY20" s="604">
        <f t="shared" si="77"/>
        <v>1.8636774578096985E-2</v>
      </c>
      <c r="CZ20" s="604">
        <f t="shared" si="77"/>
        <v>3.7673946985615311E-2</v>
      </c>
      <c r="DA20" s="604">
        <f t="shared" si="77"/>
        <v>7.553267882210575E-2</v>
      </c>
      <c r="DB20" s="604">
        <f t="shared" si="77"/>
        <v>0.15028752361329906</v>
      </c>
      <c r="DC20" s="604">
        <f t="shared" si="77"/>
        <v>0.295932865488018</v>
      </c>
      <c r="DD20" s="604">
        <f t="shared" si="77"/>
        <v>0.5747442711421521</v>
      </c>
      <c r="DE20" s="604">
        <f t="shared" si="77"/>
        <v>1.0960835857978988</v>
      </c>
      <c r="DF20" s="604">
        <f t="shared" si="77"/>
        <v>2.0411587641030993</v>
      </c>
      <c r="DG20" s="604">
        <f t="shared" si="77"/>
        <v>3.6665204896743107</v>
      </c>
      <c r="DH20" s="604">
        <f t="shared" si="77"/>
        <v>6.3304962196018177</v>
      </c>
      <c r="DI20" s="604">
        <f t="shared" si="77"/>
        <v>10.432733052379149</v>
      </c>
      <c r="DJ20" s="604">
        <f t="shared" si="77"/>
        <v>16.293400997422424</v>
      </c>
      <c r="DK20" s="604">
        <f t="shared" si="77"/>
        <v>24.000665730413893</v>
      </c>
      <c r="DL20" s="604">
        <f t="shared" si="77"/>
        <v>33.345767424851374</v>
      </c>
      <c r="DM20" s="604">
        <f t="shared" si="77"/>
        <v>43.782195479527864</v>
      </c>
      <c r="DN20" s="604">
        <f t="shared" si="77"/>
        <v>54.589357390625032</v>
      </c>
      <c r="DO20" s="604">
        <f t="shared" si="77"/>
        <v>65.08415251275143</v>
      </c>
      <c r="DP20" s="604">
        <f t="shared" si="77"/>
        <v>74.807983247180957</v>
      </c>
      <c r="DQ20" s="604">
        <f t="shared" si="77"/>
        <v>83.108228260925486</v>
      </c>
      <c r="DR20" s="604">
        <f t="shared" si="77"/>
        <v>90.161106950496475</v>
      </c>
      <c r="DS20" s="604">
        <f t="shared" si="77"/>
        <v>96.18404317558128</v>
      </c>
      <c r="DT20" s="604">
        <f t="shared" si="77"/>
        <v>101.33266480150627</v>
      </c>
      <c r="DU20" s="604">
        <f t="shared" si="77"/>
        <v>105.80044985521849</v>
      </c>
      <c r="DV20" s="604">
        <f t="shared" si="77"/>
        <v>109.77148127279116</v>
      </c>
      <c r="DW20" s="604">
        <f t="shared" si="77"/>
        <v>113.36916387751553</v>
      </c>
      <c r="DX20" s="604">
        <f t="shared" si="77"/>
        <v>116.70340972824923</v>
      </c>
      <c r="DY20" s="604">
        <f t="shared" si="77"/>
        <v>119.85840183417596</v>
      </c>
      <c r="DZ20" s="604">
        <f t="shared" si="77"/>
        <v>123.04688262787862</v>
      </c>
      <c r="EK20" s="614"/>
      <c r="EL20" s="614"/>
      <c r="EM20" s="614"/>
      <c r="EN20" s="614"/>
      <c r="EO20" s="614"/>
      <c r="EP20" s="614"/>
      <c r="EQ20" s="614"/>
      <c r="ER20" s="614"/>
      <c r="ES20" s="614"/>
      <c r="ET20" s="614"/>
      <c r="EU20" s="614"/>
      <c r="EV20" s="614"/>
      <c r="EW20" s="614"/>
      <c r="EX20" s="614"/>
      <c r="EY20" s="614"/>
      <c r="EZ20" s="614"/>
      <c r="FA20" s="614"/>
      <c r="FB20" s="614"/>
      <c r="FC20" s="614"/>
      <c r="FD20" s="614"/>
      <c r="FE20" s="614"/>
      <c r="FF20" s="614"/>
      <c r="FG20" s="614"/>
      <c r="FH20" s="614"/>
      <c r="FI20" s="614"/>
    </row>
    <row r="21" spans="1:165" x14ac:dyDescent="0.2">
      <c r="A21" s="112"/>
      <c r="C21" s="54"/>
      <c r="D21" s="44"/>
      <c r="E21" s="44"/>
      <c r="F21" s="44"/>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4"/>
      <c r="AM21" s="44"/>
      <c r="AN21" s="44"/>
      <c r="AO21" s="44"/>
      <c r="AP21" s="44"/>
      <c r="AQ21" s="44"/>
      <c r="AR21" s="44"/>
      <c r="AS21" s="44"/>
      <c r="AT21" s="44"/>
      <c r="AU21" s="44"/>
      <c r="AV21" s="44"/>
      <c r="AW21" s="44"/>
      <c r="AX21" s="44"/>
      <c r="AY21" s="44"/>
      <c r="AZ21" s="44"/>
      <c r="BA21" s="44"/>
      <c r="BB21" s="44"/>
      <c r="BC21" s="44"/>
      <c r="BD21" s="44"/>
      <c r="BE21" s="44"/>
      <c r="BF21" s="44"/>
      <c r="BG21" s="44"/>
      <c r="BH21" s="44"/>
      <c r="BI21" s="44"/>
      <c r="BJ21" s="44"/>
      <c r="BK21" s="44"/>
      <c r="BL21" s="44"/>
      <c r="BM21" s="44"/>
      <c r="BN21" s="44"/>
    </row>
    <row r="22" spans="1:165" s="69" customFormat="1" ht="16" thickBot="1" x14ac:dyDescent="0.25">
      <c r="A22" s="621" t="s">
        <v>4</v>
      </c>
      <c r="C22" s="70"/>
      <c r="D22" s="71"/>
      <c r="E22" s="71"/>
      <c r="F22" s="71"/>
      <c r="G22" s="71"/>
      <c r="H22" s="71"/>
      <c r="I22" s="71"/>
      <c r="J22" s="71"/>
      <c r="K22" s="71"/>
      <c r="L22" s="71"/>
      <c r="M22" s="71"/>
      <c r="N22" s="71"/>
      <c r="O22" s="71"/>
      <c r="P22" s="71"/>
      <c r="Q22" s="71"/>
      <c r="R22" s="71"/>
      <c r="S22" s="71"/>
      <c r="T22" s="71"/>
      <c r="U22" s="71"/>
      <c r="V22" s="71"/>
      <c r="W22" s="71"/>
      <c r="X22" s="71"/>
      <c r="Y22" s="71"/>
      <c r="Z22" s="71"/>
      <c r="AA22" s="71"/>
      <c r="AB22" s="71"/>
      <c r="AC22" s="71"/>
      <c r="AD22" s="71"/>
      <c r="AE22" s="71"/>
      <c r="AF22" s="71"/>
      <c r="AG22" s="71"/>
      <c r="AH22" s="71"/>
      <c r="AI22" s="71"/>
      <c r="AJ22" s="71"/>
      <c r="AK22" s="71"/>
      <c r="AL22" s="71"/>
      <c r="AM22" s="71"/>
      <c r="AN22" s="71"/>
      <c r="AO22" s="71"/>
      <c r="AP22" s="71"/>
      <c r="AQ22" s="71"/>
      <c r="AR22" s="71"/>
      <c r="AS22" s="71"/>
      <c r="AT22" s="71"/>
      <c r="AU22" s="71"/>
      <c r="AV22" s="71"/>
      <c r="AW22" s="71"/>
      <c r="AX22" s="71"/>
      <c r="AY22" s="71"/>
      <c r="AZ22" s="71"/>
      <c r="BA22" s="71"/>
      <c r="BB22" s="71"/>
      <c r="BC22" s="71"/>
      <c r="BD22" s="71"/>
      <c r="BE22" s="71"/>
      <c r="BF22" s="71"/>
      <c r="BG22" s="71"/>
      <c r="BH22" s="71"/>
      <c r="BI22" s="71"/>
      <c r="BJ22" s="71"/>
      <c r="BK22" s="71"/>
      <c r="BL22" s="71"/>
      <c r="BM22" s="71"/>
      <c r="BN22" s="71"/>
      <c r="BP22" s="71"/>
      <c r="BQ22" s="71"/>
      <c r="BR22" s="71"/>
      <c r="BS22" s="71"/>
      <c r="BT22" s="71"/>
      <c r="BU22" s="71"/>
      <c r="BV22" s="71"/>
      <c r="BW22" s="71"/>
      <c r="BX22" s="71"/>
      <c r="BY22" s="71"/>
      <c r="BZ22" s="71"/>
      <c r="CA22" s="71"/>
      <c r="CB22" s="71"/>
      <c r="CC22" s="71"/>
      <c r="CD22" s="71"/>
      <c r="CE22" s="71"/>
      <c r="CF22" s="71"/>
      <c r="CG22" s="71"/>
      <c r="CH22" s="71"/>
      <c r="CI22" s="71"/>
      <c r="CJ22" s="71"/>
      <c r="CK22" s="71"/>
      <c r="CL22" s="71"/>
      <c r="CM22" s="71"/>
      <c r="CN22" s="71"/>
      <c r="CO22" s="71"/>
      <c r="CP22" s="71"/>
      <c r="CQ22" s="71"/>
      <c r="CR22" s="71"/>
      <c r="CS22" s="71"/>
      <c r="CT22" s="71"/>
      <c r="CV22" s="71"/>
      <c r="CW22" s="71"/>
      <c r="CX22" s="71"/>
      <c r="CY22" s="71"/>
      <c r="CZ22" s="71"/>
      <c r="DA22" s="71"/>
      <c r="DB22" s="71"/>
      <c r="DC22" s="71"/>
      <c r="DD22" s="71"/>
      <c r="DE22" s="71"/>
      <c r="DF22" s="71"/>
      <c r="DG22" s="71"/>
      <c r="DH22" s="71"/>
      <c r="DI22" s="71"/>
      <c r="DJ22" s="71"/>
      <c r="DK22" s="71"/>
      <c r="DL22" s="71"/>
      <c r="DM22" s="71"/>
      <c r="DN22" s="71"/>
      <c r="DO22" s="71"/>
      <c r="DP22" s="71"/>
      <c r="DQ22" s="71"/>
      <c r="DR22" s="71"/>
      <c r="DS22" s="71"/>
      <c r="DT22" s="71"/>
      <c r="DU22" s="71"/>
      <c r="DV22" s="71"/>
      <c r="DW22" s="71"/>
      <c r="DX22" s="71"/>
      <c r="DY22" s="71"/>
      <c r="DZ22" s="71"/>
      <c r="EK22" s="622"/>
      <c r="EL22" s="622"/>
      <c r="EM22" s="622"/>
      <c r="EN22" s="622"/>
      <c r="EO22" s="622"/>
      <c r="EP22" s="622"/>
      <c r="EQ22" s="622"/>
      <c r="ER22" s="622"/>
      <c r="ES22" s="622"/>
      <c r="ET22" s="622"/>
      <c r="EU22" s="622"/>
      <c r="EV22" s="622"/>
      <c r="EW22" s="622"/>
      <c r="EX22" s="622"/>
      <c r="EY22" s="622"/>
      <c r="EZ22" s="622"/>
      <c r="FA22" s="622"/>
      <c r="FB22" s="622"/>
      <c r="FC22" s="622"/>
      <c r="FD22" s="622"/>
      <c r="FE22" s="622"/>
      <c r="FF22" s="622"/>
      <c r="FG22" s="622"/>
      <c r="FH22" s="622"/>
      <c r="FI22" s="622"/>
    </row>
    <row r="23" spans="1:165" s="624" customFormat="1" ht="16" thickBot="1" x14ac:dyDescent="0.25">
      <c r="A23" s="623" t="s">
        <v>108</v>
      </c>
      <c r="C23" s="625"/>
      <c r="D23" s="628">
        <v>2020</v>
      </c>
      <c r="E23" s="628">
        <v>2021</v>
      </c>
      <c r="F23" s="628">
        <v>2022</v>
      </c>
      <c r="G23" s="628">
        <v>2023</v>
      </c>
      <c r="H23" s="628">
        <v>2024</v>
      </c>
      <c r="I23" s="628">
        <v>2025</v>
      </c>
      <c r="J23" s="628">
        <v>2026</v>
      </c>
      <c r="K23" s="628">
        <v>2027</v>
      </c>
      <c r="L23" s="628">
        <v>2028</v>
      </c>
      <c r="M23" s="628">
        <v>2029</v>
      </c>
      <c r="N23" s="628">
        <v>2030</v>
      </c>
      <c r="O23" s="628">
        <v>2031</v>
      </c>
      <c r="P23" s="628">
        <v>2032</v>
      </c>
      <c r="Q23" s="628">
        <v>2033</v>
      </c>
      <c r="R23" s="628">
        <v>2034</v>
      </c>
      <c r="S23" s="628">
        <v>2035</v>
      </c>
      <c r="T23" s="628">
        <v>2036</v>
      </c>
      <c r="U23" s="628">
        <v>2037</v>
      </c>
      <c r="V23" s="628">
        <v>2038</v>
      </c>
      <c r="W23" s="628">
        <v>2039</v>
      </c>
      <c r="X23" s="628">
        <v>2040</v>
      </c>
      <c r="Y23" s="628">
        <v>2041</v>
      </c>
      <c r="Z23" s="628">
        <v>2042</v>
      </c>
      <c r="AA23" s="628">
        <v>2043</v>
      </c>
      <c r="AB23" s="628">
        <v>2044</v>
      </c>
      <c r="AC23" s="628">
        <v>2045</v>
      </c>
      <c r="AD23" s="628">
        <v>2046</v>
      </c>
      <c r="AE23" s="628">
        <v>2047</v>
      </c>
      <c r="AF23" s="628">
        <v>2048</v>
      </c>
      <c r="AG23" s="628">
        <v>2049</v>
      </c>
      <c r="AH23" s="628">
        <v>2050</v>
      </c>
      <c r="AI23" s="626"/>
      <c r="AJ23" s="628">
        <v>2020</v>
      </c>
      <c r="AK23" s="628">
        <v>2021</v>
      </c>
      <c r="AL23" s="628">
        <v>2022</v>
      </c>
      <c r="AM23" s="628">
        <v>2023</v>
      </c>
      <c r="AN23" s="628">
        <v>2024</v>
      </c>
      <c r="AO23" s="628">
        <v>2025</v>
      </c>
      <c r="AP23" s="628">
        <v>2026</v>
      </c>
      <c r="AQ23" s="628">
        <v>2027</v>
      </c>
      <c r="AR23" s="628">
        <v>2028</v>
      </c>
      <c r="AS23" s="628">
        <v>2029</v>
      </c>
      <c r="AT23" s="628">
        <v>2030</v>
      </c>
      <c r="AU23" s="628">
        <v>2031</v>
      </c>
      <c r="AV23" s="628">
        <v>2032</v>
      </c>
      <c r="AW23" s="628">
        <v>2033</v>
      </c>
      <c r="AX23" s="628">
        <v>2034</v>
      </c>
      <c r="AY23" s="628">
        <v>2035</v>
      </c>
      <c r="AZ23" s="628">
        <v>2036</v>
      </c>
      <c r="BA23" s="628">
        <v>2037</v>
      </c>
      <c r="BB23" s="628">
        <v>2038</v>
      </c>
      <c r="BC23" s="628">
        <v>2039</v>
      </c>
      <c r="BD23" s="628">
        <v>2040</v>
      </c>
      <c r="BE23" s="628">
        <v>2041</v>
      </c>
      <c r="BF23" s="628">
        <v>2042</v>
      </c>
      <c r="BG23" s="628">
        <v>2043</v>
      </c>
      <c r="BH23" s="628">
        <v>2044</v>
      </c>
      <c r="BI23" s="628">
        <v>2045</v>
      </c>
      <c r="BJ23" s="628">
        <v>2046</v>
      </c>
      <c r="BK23" s="628">
        <v>2047</v>
      </c>
      <c r="BL23" s="628">
        <v>2048</v>
      </c>
      <c r="BM23" s="628">
        <v>2049</v>
      </c>
      <c r="BN23" s="628">
        <v>2050</v>
      </c>
      <c r="BP23" s="628">
        <v>2020</v>
      </c>
      <c r="BQ23" s="628">
        <v>2021</v>
      </c>
      <c r="BR23" s="628">
        <v>2022</v>
      </c>
      <c r="BS23" s="628">
        <v>2023</v>
      </c>
      <c r="BT23" s="628">
        <v>2024</v>
      </c>
      <c r="BU23" s="628">
        <v>2025</v>
      </c>
      <c r="BV23" s="628">
        <v>2026</v>
      </c>
      <c r="BW23" s="628">
        <v>2027</v>
      </c>
      <c r="BX23" s="628">
        <v>2028</v>
      </c>
      <c r="BY23" s="628">
        <v>2029</v>
      </c>
      <c r="BZ23" s="628">
        <v>2030</v>
      </c>
      <c r="CA23" s="628">
        <v>2031</v>
      </c>
      <c r="CB23" s="628">
        <v>2032</v>
      </c>
      <c r="CC23" s="628">
        <v>2033</v>
      </c>
      <c r="CD23" s="628">
        <v>2034</v>
      </c>
      <c r="CE23" s="628">
        <v>2035</v>
      </c>
      <c r="CF23" s="628">
        <v>2036</v>
      </c>
      <c r="CG23" s="628">
        <v>2037</v>
      </c>
      <c r="CH23" s="628">
        <v>2038</v>
      </c>
      <c r="CI23" s="628">
        <v>2039</v>
      </c>
      <c r="CJ23" s="628">
        <v>2040</v>
      </c>
      <c r="CK23" s="628">
        <v>2041</v>
      </c>
      <c r="CL23" s="628">
        <v>2042</v>
      </c>
      <c r="CM23" s="628">
        <v>2043</v>
      </c>
      <c r="CN23" s="628">
        <v>2044</v>
      </c>
      <c r="CO23" s="628">
        <v>2045</v>
      </c>
      <c r="CP23" s="628">
        <v>2046</v>
      </c>
      <c r="CQ23" s="628">
        <v>2047</v>
      </c>
      <c r="CR23" s="628">
        <v>2048</v>
      </c>
      <c r="CS23" s="628">
        <v>2049</v>
      </c>
      <c r="CT23" s="628">
        <v>2050</v>
      </c>
      <c r="CV23" s="628">
        <v>2020</v>
      </c>
      <c r="CW23" s="628">
        <v>2021</v>
      </c>
      <c r="CX23" s="628">
        <v>2022</v>
      </c>
      <c r="CY23" s="628">
        <v>2023</v>
      </c>
      <c r="CZ23" s="628">
        <v>2024</v>
      </c>
      <c r="DA23" s="628">
        <v>2025</v>
      </c>
      <c r="DB23" s="628">
        <v>2026</v>
      </c>
      <c r="DC23" s="628">
        <v>2027</v>
      </c>
      <c r="DD23" s="628">
        <v>2028</v>
      </c>
      <c r="DE23" s="628">
        <v>2029</v>
      </c>
      <c r="DF23" s="628">
        <v>2030</v>
      </c>
      <c r="DG23" s="628">
        <v>2031</v>
      </c>
      <c r="DH23" s="628">
        <v>2032</v>
      </c>
      <c r="DI23" s="628">
        <v>2033</v>
      </c>
      <c r="DJ23" s="628">
        <v>2034</v>
      </c>
      <c r="DK23" s="628">
        <v>2035</v>
      </c>
      <c r="DL23" s="628">
        <v>2036</v>
      </c>
      <c r="DM23" s="628">
        <v>2037</v>
      </c>
      <c r="DN23" s="628">
        <v>2038</v>
      </c>
      <c r="DO23" s="628">
        <v>2039</v>
      </c>
      <c r="DP23" s="628">
        <v>2040</v>
      </c>
      <c r="DQ23" s="628">
        <v>2041</v>
      </c>
      <c r="DR23" s="628">
        <v>2042</v>
      </c>
      <c r="DS23" s="628">
        <v>2043</v>
      </c>
      <c r="DT23" s="628">
        <v>2044</v>
      </c>
      <c r="DU23" s="628">
        <v>2045</v>
      </c>
      <c r="DV23" s="628">
        <v>2046</v>
      </c>
      <c r="DW23" s="628">
        <v>2047</v>
      </c>
      <c r="DX23" s="628">
        <v>2048</v>
      </c>
      <c r="DY23" s="628">
        <v>2049</v>
      </c>
      <c r="DZ23" s="628">
        <v>2050</v>
      </c>
      <c r="EK23" s="627"/>
      <c r="EL23" s="627"/>
      <c r="EM23" s="627"/>
      <c r="EN23" s="627"/>
      <c r="EO23" s="627"/>
      <c r="EP23" s="627"/>
      <c r="EQ23" s="627"/>
      <c r="ER23" s="627"/>
      <c r="ES23" s="627"/>
      <c r="ET23" s="627"/>
      <c r="EU23" s="627"/>
      <c r="EV23" s="627"/>
      <c r="EW23" s="627"/>
      <c r="EX23" s="627"/>
      <c r="EY23" s="627"/>
      <c r="EZ23" s="627"/>
      <c r="FA23" s="627"/>
      <c r="FB23" s="627"/>
      <c r="FC23" s="627"/>
      <c r="FD23" s="627"/>
      <c r="FE23" s="627"/>
      <c r="FF23" s="627"/>
      <c r="FG23" s="627"/>
      <c r="FH23" s="627"/>
      <c r="FI23" s="627"/>
    </row>
    <row r="24" spans="1:165" x14ac:dyDescent="0.2">
      <c r="A24" s="606" t="s">
        <v>193</v>
      </c>
      <c r="C24" s="54" t="s">
        <v>458</v>
      </c>
      <c r="D24" s="43">
        <f>$B$186</f>
        <v>0.48</v>
      </c>
      <c r="E24" s="43">
        <f>D24-($D24-$AH24)/30</f>
        <v>0.46399999999999997</v>
      </c>
      <c r="F24" s="43">
        <f t="shared" ref="F24:AG24" si="78">E24-($D24-$AH24)/30</f>
        <v>0.44799999999999995</v>
      </c>
      <c r="G24" s="43">
        <f t="shared" si="78"/>
        <v>0.43199999999999994</v>
      </c>
      <c r="H24" s="43">
        <f t="shared" si="78"/>
        <v>0.41599999999999993</v>
      </c>
      <c r="I24" s="43">
        <f t="shared" si="78"/>
        <v>0.39999999999999991</v>
      </c>
      <c r="J24" s="43">
        <f t="shared" si="78"/>
        <v>0.3839999999999999</v>
      </c>
      <c r="K24" s="43">
        <f t="shared" si="78"/>
        <v>0.36799999999999988</v>
      </c>
      <c r="L24" s="43">
        <f t="shared" si="78"/>
        <v>0.35199999999999987</v>
      </c>
      <c r="M24" s="43">
        <f t="shared" si="78"/>
        <v>0.33599999999999985</v>
      </c>
      <c r="N24" s="43">
        <f t="shared" si="78"/>
        <v>0.31999999999999984</v>
      </c>
      <c r="O24" s="43">
        <f t="shared" si="78"/>
        <v>0.30399999999999983</v>
      </c>
      <c r="P24" s="43">
        <f t="shared" si="78"/>
        <v>0.28799999999999981</v>
      </c>
      <c r="Q24" s="43">
        <f t="shared" si="78"/>
        <v>0.2719999999999998</v>
      </c>
      <c r="R24" s="43">
        <f t="shared" si="78"/>
        <v>0.25599999999999978</v>
      </c>
      <c r="S24" s="43">
        <f t="shared" si="78"/>
        <v>0.23999999999999977</v>
      </c>
      <c r="T24" s="43">
        <f t="shared" si="78"/>
        <v>0.22399999999999975</v>
      </c>
      <c r="U24" s="43">
        <f t="shared" si="78"/>
        <v>0.20799999999999974</v>
      </c>
      <c r="V24" s="43">
        <f t="shared" si="78"/>
        <v>0.19199999999999973</v>
      </c>
      <c r="W24" s="43">
        <f t="shared" si="78"/>
        <v>0.17599999999999971</v>
      </c>
      <c r="X24" s="43">
        <f t="shared" si="78"/>
        <v>0.1599999999999997</v>
      </c>
      <c r="Y24" s="43">
        <f t="shared" si="78"/>
        <v>0.14399999999999968</v>
      </c>
      <c r="Z24" s="43">
        <f t="shared" si="78"/>
        <v>0.12799999999999967</v>
      </c>
      <c r="AA24" s="43">
        <f t="shared" si="78"/>
        <v>0.11199999999999967</v>
      </c>
      <c r="AB24" s="43">
        <f t="shared" si="78"/>
        <v>9.5999999999999669E-2</v>
      </c>
      <c r="AC24" s="43">
        <f t="shared" si="78"/>
        <v>7.9999999999999669E-2</v>
      </c>
      <c r="AD24" s="43">
        <f t="shared" si="78"/>
        <v>6.3999999999999668E-2</v>
      </c>
      <c r="AE24" s="43">
        <f t="shared" si="78"/>
        <v>4.7999999999999668E-2</v>
      </c>
      <c r="AF24" s="43">
        <f t="shared" si="78"/>
        <v>3.1999999999999668E-2</v>
      </c>
      <c r="AG24" s="43">
        <f t="shared" si="78"/>
        <v>1.5999999999999667E-2</v>
      </c>
      <c r="AH24" s="43">
        <f>$C$186</f>
        <v>0</v>
      </c>
      <c r="AI24" s="44"/>
      <c r="AJ24" s="43">
        <f>D24</f>
        <v>0.48</v>
      </c>
      <c r="AK24" s="43">
        <f t="shared" ref="AK24:BN24" si="79">E24</f>
        <v>0.46399999999999997</v>
      </c>
      <c r="AL24" s="43">
        <f t="shared" si="79"/>
        <v>0.44799999999999995</v>
      </c>
      <c r="AM24" s="43">
        <f t="shared" si="79"/>
        <v>0.43199999999999994</v>
      </c>
      <c r="AN24" s="43">
        <f t="shared" si="79"/>
        <v>0.41599999999999993</v>
      </c>
      <c r="AO24" s="43">
        <f t="shared" si="79"/>
        <v>0.39999999999999991</v>
      </c>
      <c r="AP24" s="43">
        <f t="shared" si="79"/>
        <v>0.3839999999999999</v>
      </c>
      <c r="AQ24" s="43">
        <f t="shared" si="79"/>
        <v>0.36799999999999988</v>
      </c>
      <c r="AR24" s="43">
        <f t="shared" si="79"/>
        <v>0.35199999999999987</v>
      </c>
      <c r="AS24" s="43">
        <f t="shared" si="79"/>
        <v>0.33599999999999985</v>
      </c>
      <c r="AT24" s="43">
        <f t="shared" si="79"/>
        <v>0.31999999999999984</v>
      </c>
      <c r="AU24" s="43">
        <f t="shared" si="79"/>
        <v>0.30399999999999983</v>
      </c>
      <c r="AV24" s="43">
        <f t="shared" si="79"/>
        <v>0.28799999999999981</v>
      </c>
      <c r="AW24" s="43">
        <f t="shared" si="79"/>
        <v>0.2719999999999998</v>
      </c>
      <c r="AX24" s="43">
        <f t="shared" si="79"/>
        <v>0.25599999999999978</v>
      </c>
      <c r="AY24" s="43">
        <f t="shared" si="79"/>
        <v>0.23999999999999977</v>
      </c>
      <c r="AZ24" s="43">
        <f t="shared" si="79"/>
        <v>0.22399999999999975</v>
      </c>
      <c r="BA24" s="43">
        <f t="shared" si="79"/>
        <v>0.20799999999999974</v>
      </c>
      <c r="BB24" s="43">
        <f t="shared" si="79"/>
        <v>0.19199999999999973</v>
      </c>
      <c r="BC24" s="43">
        <f t="shared" si="79"/>
        <v>0.17599999999999971</v>
      </c>
      <c r="BD24" s="43">
        <f t="shared" si="79"/>
        <v>0.1599999999999997</v>
      </c>
      <c r="BE24" s="43">
        <f t="shared" si="79"/>
        <v>0.14399999999999968</v>
      </c>
      <c r="BF24" s="43">
        <f t="shared" si="79"/>
        <v>0.12799999999999967</v>
      </c>
      <c r="BG24" s="43">
        <f t="shared" si="79"/>
        <v>0.11199999999999967</v>
      </c>
      <c r="BH24" s="43">
        <f t="shared" si="79"/>
        <v>9.5999999999999669E-2</v>
      </c>
      <c r="BI24" s="43">
        <f t="shared" si="79"/>
        <v>7.9999999999999669E-2</v>
      </c>
      <c r="BJ24" s="43">
        <f t="shared" si="79"/>
        <v>6.3999999999999668E-2</v>
      </c>
      <c r="BK24" s="43">
        <f t="shared" si="79"/>
        <v>4.7999999999999668E-2</v>
      </c>
      <c r="BL24" s="43">
        <f t="shared" si="79"/>
        <v>3.1999999999999668E-2</v>
      </c>
      <c r="BM24" s="43">
        <f t="shared" si="79"/>
        <v>1.5999999999999667E-2</v>
      </c>
      <c r="BN24" s="43">
        <f t="shared" si="79"/>
        <v>0</v>
      </c>
      <c r="BP24" s="43">
        <f>D24</f>
        <v>0.48</v>
      </c>
      <c r="BQ24" s="43">
        <f>BP24-($BP24-$CT24)/30</f>
        <v>0.48</v>
      </c>
      <c r="BR24" s="43">
        <f t="shared" ref="BR24:CS24" si="80">BQ24-($BP24-$CT24)/30</f>
        <v>0.48</v>
      </c>
      <c r="BS24" s="43">
        <f t="shared" si="80"/>
        <v>0.48</v>
      </c>
      <c r="BT24" s="43">
        <f t="shared" si="80"/>
        <v>0.48</v>
      </c>
      <c r="BU24" s="43">
        <f t="shared" si="80"/>
        <v>0.48</v>
      </c>
      <c r="BV24" s="43">
        <f t="shared" si="80"/>
        <v>0.48</v>
      </c>
      <c r="BW24" s="43">
        <f t="shared" si="80"/>
        <v>0.48</v>
      </c>
      <c r="BX24" s="43">
        <f t="shared" si="80"/>
        <v>0.48</v>
      </c>
      <c r="BY24" s="43">
        <f t="shared" si="80"/>
        <v>0.48</v>
      </c>
      <c r="BZ24" s="43">
        <f t="shared" si="80"/>
        <v>0.48</v>
      </c>
      <c r="CA24" s="43">
        <f t="shared" si="80"/>
        <v>0.48</v>
      </c>
      <c r="CB24" s="43">
        <f t="shared" si="80"/>
        <v>0.48</v>
      </c>
      <c r="CC24" s="43">
        <f t="shared" si="80"/>
        <v>0.48</v>
      </c>
      <c r="CD24" s="43">
        <f t="shared" si="80"/>
        <v>0.48</v>
      </c>
      <c r="CE24" s="43">
        <f t="shared" si="80"/>
        <v>0.48</v>
      </c>
      <c r="CF24" s="43">
        <f t="shared" si="80"/>
        <v>0.48</v>
      </c>
      <c r="CG24" s="43">
        <f t="shared" si="80"/>
        <v>0.48</v>
      </c>
      <c r="CH24" s="43">
        <f t="shared" si="80"/>
        <v>0.48</v>
      </c>
      <c r="CI24" s="43">
        <f t="shared" si="80"/>
        <v>0.48</v>
      </c>
      <c r="CJ24" s="43">
        <f t="shared" si="80"/>
        <v>0.48</v>
      </c>
      <c r="CK24" s="43">
        <f t="shared" si="80"/>
        <v>0.48</v>
      </c>
      <c r="CL24" s="43">
        <f t="shared" si="80"/>
        <v>0.48</v>
      </c>
      <c r="CM24" s="43">
        <f t="shared" si="80"/>
        <v>0.48</v>
      </c>
      <c r="CN24" s="43">
        <f t="shared" si="80"/>
        <v>0.48</v>
      </c>
      <c r="CO24" s="43">
        <f t="shared" si="80"/>
        <v>0.48</v>
      </c>
      <c r="CP24" s="43">
        <f t="shared" si="80"/>
        <v>0.48</v>
      </c>
      <c r="CQ24" s="43">
        <f t="shared" si="80"/>
        <v>0.48</v>
      </c>
      <c r="CR24" s="43">
        <f t="shared" si="80"/>
        <v>0.48</v>
      </c>
      <c r="CS24" s="43">
        <f t="shared" si="80"/>
        <v>0.48</v>
      </c>
      <c r="CT24" s="43">
        <f>BP24</f>
        <v>0.48</v>
      </c>
      <c r="CV24" s="43">
        <f>AJ24</f>
        <v>0.48</v>
      </c>
      <c r="CW24" s="43">
        <f t="shared" ref="CW24:DZ25" si="81">AK24</f>
        <v>0.46399999999999997</v>
      </c>
      <c r="CX24" s="43">
        <f t="shared" si="81"/>
        <v>0.44799999999999995</v>
      </c>
      <c r="CY24" s="43">
        <f t="shared" si="81"/>
        <v>0.43199999999999994</v>
      </c>
      <c r="CZ24" s="43">
        <f t="shared" si="81"/>
        <v>0.41599999999999993</v>
      </c>
      <c r="DA24" s="43">
        <f t="shared" si="81"/>
        <v>0.39999999999999991</v>
      </c>
      <c r="DB24" s="43">
        <f t="shared" si="81"/>
        <v>0.3839999999999999</v>
      </c>
      <c r="DC24" s="43">
        <f t="shared" si="81"/>
        <v>0.36799999999999988</v>
      </c>
      <c r="DD24" s="43">
        <f t="shared" si="81"/>
        <v>0.35199999999999987</v>
      </c>
      <c r="DE24" s="43">
        <f t="shared" si="81"/>
        <v>0.33599999999999985</v>
      </c>
      <c r="DF24" s="43">
        <f t="shared" si="81"/>
        <v>0.31999999999999984</v>
      </c>
      <c r="DG24" s="43">
        <f t="shared" si="81"/>
        <v>0.30399999999999983</v>
      </c>
      <c r="DH24" s="43">
        <f t="shared" si="81"/>
        <v>0.28799999999999981</v>
      </c>
      <c r="DI24" s="43">
        <f t="shared" si="81"/>
        <v>0.2719999999999998</v>
      </c>
      <c r="DJ24" s="43">
        <f t="shared" si="81"/>
        <v>0.25599999999999978</v>
      </c>
      <c r="DK24" s="43">
        <f t="shared" si="81"/>
        <v>0.23999999999999977</v>
      </c>
      <c r="DL24" s="43">
        <f t="shared" si="81"/>
        <v>0.22399999999999975</v>
      </c>
      <c r="DM24" s="43">
        <f t="shared" si="81"/>
        <v>0.20799999999999974</v>
      </c>
      <c r="DN24" s="43">
        <f t="shared" si="81"/>
        <v>0.19199999999999973</v>
      </c>
      <c r="DO24" s="43">
        <f t="shared" si="81"/>
        <v>0.17599999999999971</v>
      </c>
      <c r="DP24" s="43">
        <f t="shared" si="81"/>
        <v>0.1599999999999997</v>
      </c>
      <c r="DQ24" s="43">
        <f t="shared" si="81"/>
        <v>0.14399999999999968</v>
      </c>
      <c r="DR24" s="43">
        <f t="shared" si="81"/>
        <v>0.12799999999999967</v>
      </c>
      <c r="DS24" s="43">
        <f t="shared" si="81"/>
        <v>0.11199999999999967</v>
      </c>
      <c r="DT24" s="43">
        <f t="shared" si="81"/>
        <v>9.5999999999999669E-2</v>
      </c>
      <c r="DU24" s="43">
        <f t="shared" si="81"/>
        <v>7.9999999999999669E-2</v>
      </c>
      <c r="DV24" s="43">
        <f t="shared" si="81"/>
        <v>6.3999999999999668E-2</v>
      </c>
      <c r="DW24" s="43">
        <f t="shared" si="81"/>
        <v>4.7999999999999668E-2</v>
      </c>
      <c r="DX24" s="43">
        <f t="shared" si="81"/>
        <v>3.1999999999999668E-2</v>
      </c>
      <c r="DY24" s="43">
        <f t="shared" si="81"/>
        <v>1.5999999999999667E-2</v>
      </c>
      <c r="DZ24" s="43">
        <f t="shared" si="81"/>
        <v>0</v>
      </c>
    </row>
    <row r="25" spans="1:165" x14ac:dyDescent="0.2">
      <c r="A25" s="606" t="s">
        <v>88</v>
      </c>
      <c r="C25" s="54" t="s">
        <v>458</v>
      </c>
      <c r="D25" s="43">
        <f>$B$187</f>
        <v>3</v>
      </c>
      <c r="E25" s="43">
        <f t="shared" ref="E25:AG25" si="82">D25-($D25-$AH25)/30</f>
        <v>2.9</v>
      </c>
      <c r="F25" s="43">
        <f t="shared" si="82"/>
        <v>2.8</v>
      </c>
      <c r="G25" s="43">
        <f t="shared" si="82"/>
        <v>2.6999999999999997</v>
      </c>
      <c r="H25" s="43">
        <f t="shared" si="82"/>
        <v>2.5999999999999996</v>
      </c>
      <c r="I25" s="43">
        <f t="shared" si="82"/>
        <v>2.4999999999999996</v>
      </c>
      <c r="J25" s="43">
        <f t="shared" si="82"/>
        <v>2.3999999999999995</v>
      </c>
      <c r="K25" s="43">
        <f t="shared" si="82"/>
        <v>2.2999999999999994</v>
      </c>
      <c r="L25" s="43">
        <f t="shared" si="82"/>
        <v>2.1999999999999993</v>
      </c>
      <c r="M25" s="43">
        <f t="shared" si="82"/>
        <v>2.0999999999999992</v>
      </c>
      <c r="N25" s="43">
        <f t="shared" si="82"/>
        <v>1.9999999999999991</v>
      </c>
      <c r="O25" s="43">
        <f t="shared" si="82"/>
        <v>1.899999999999999</v>
      </c>
      <c r="P25" s="43">
        <f t="shared" si="82"/>
        <v>1.7999999999999989</v>
      </c>
      <c r="Q25" s="43">
        <f t="shared" si="82"/>
        <v>1.6999999999999988</v>
      </c>
      <c r="R25" s="43">
        <f t="shared" si="82"/>
        <v>1.5999999999999988</v>
      </c>
      <c r="S25" s="43">
        <f t="shared" si="82"/>
        <v>1.4999999999999987</v>
      </c>
      <c r="T25" s="43">
        <f t="shared" si="82"/>
        <v>1.3999999999999986</v>
      </c>
      <c r="U25" s="43">
        <f t="shared" si="82"/>
        <v>1.2999999999999985</v>
      </c>
      <c r="V25" s="43">
        <f t="shared" si="82"/>
        <v>1.1999999999999984</v>
      </c>
      <c r="W25" s="43">
        <f t="shared" si="82"/>
        <v>1.0999999999999983</v>
      </c>
      <c r="X25" s="43">
        <f t="shared" si="82"/>
        <v>0.99999999999999833</v>
      </c>
      <c r="Y25" s="43">
        <f t="shared" si="82"/>
        <v>0.89999999999999836</v>
      </c>
      <c r="Z25" s="43">
        <f t="shared" si="82"/>
        <v>0.79999999999999838</v>
      </c>
      <c r="AA25" s="43">
        <f t="shared" si="82"/>
        <v>0.6999999999999984</v>
      </c>
      <c r="AB25" s="43">
        <f t="shared" si="82"/>
        <v>0.59999999999999842</v>
      </c>
      <c r="AC25" s="43">
        <f t="shared" si="82"/>
        <v>0.49999999999999845</v>
      </c>
      <c r="AD25" s="43">
        <f t="shared" si="82"/>
        <v>0.39999999999999847</v>
      </c>
      <c r="AE25" s="43">
        <f t="shared" si="82"/>
        <v>0.29999999999999849</v>
      </c>
      <c r="AF25" s="43">
        <f t="shared" si="82"/>
        <v>0.19999999999999848</v>
      </c>
      <c r="AG25" s="43">
        <f t="shared" si="82"/>
        <v>9.9999999999998479E-2</v>
      </c>
      <c r="AH25" s="43">
        <f>$C$187</f>
        <v>0</v>
      </c>
      <c r="AI25" s="44"/>
      <c r="AJ25" s="43">
        <f t="shared" ref="AJ25:AJ32" si="83">D25</f>
        <v>3</v>
      </c>
      <c r="AK25" s="43">
        <f t="shared" ref="AK25:AK32" si="84">E25</f>
        <v>2.9</v>
      </c>
      <c r="AL25" s="43">
        <f t="shared" ref="AL25:AL32" si="85">F25</f>
        <v>2.8</v>
      </c>
      <c r="AM25" s="43">
        <f t="shared" ref="AM25:AM32" si="86">G25</f>
        <v>2.6999999999999997</v>
      </c>
      <c r="AN25" s="43">
        <f t="shared" ref="AN25:AN32" si="87">H25</f>
        <v>2.5999999999999996</v>
      </c>
      <c r="AO25" s="43">
        <f t="shared" ref="AO25:AO32" si="88">I25</f>
        <v>2.4999999999999996</v>
      </c>
      <c r="AP25" s="43">
        <f t="shared" ref="AP25:AP32" si="89">J25</f>
        <v>2.3999999999999995</v>
      </c>
      <c r="AQ25" s="43">
        <f t="shared" ref="AQ25:AQ32" si="90">K25</f>
        <v>2.2999999999999994</v>
      </c>
      <c r="AR25" s="43">
        <f t="shared" ref="AR25:AR32" si="91">L25</f>
        <v>2.1999999999999993</v>
      </c>
      <c r="AS25" s="43">
        <f t="shared" ref="AS25:AS32" si="92">M25</f>
        <v>2.0999999999999992</v>
      </c>
      <c r="AT25" s="43">
        <f t="shared" ref="AT25:AT32" si="93">N25</f>
        <v>1.9999999999999991</v>
      </c>
      <c r="AU25" s="43">
        <f t="shared" ref="AU25:AU32" si="94">O25</f>
        <v>1.899999999999999</v>
      </c>
      <c r="AV25" s="43">
        <f t="shared" ref="AV25:AV32" si="95">P25</f>
        <v>1.7999999999999989</v>
      </c>
      <c r="AW25" s="43">
        <f t="shared" ref="AW25:AW32" si="96">Q25</f>
        <v>1.6999999999999988</v>
      </c>
      <c r="AX25" s="43">
        <f t="shared" ref="AX25:AX32" si="97">R25</f>
        <v>1.5999999999999988</v>
      </c>
      <c r="AY25" s="43">
        <f t="shared" ref="AY25:AY32" si="98">S25</f>
        <v>1.4999999999999987</v>
      </c>
      <c r="AZ25" s="43">
        <f t="shared" ref="AZ25:AZ32" si="99">T25</f>
        <v>1.3999999999999986</v>
      </c>
      <c r="BA25" s="43">
        <f t="shared" ref="BA25:BA32" si="100">U25</f>
        <v>1.2999999999999985</v>
      </c>
      <c r="BB25" s="43">
        <f t="shared" ref="BB25:BB32" si="101">V25</f>
        <v>1.1999999999999984</v>
      </c>
      <c r="BC25" s="43">
        <f t="shared" ref="BC25:BC32" si="102">W25</f>
        <v>1.0999999999999983</v>
      </c>
      <c r="BD25" s="43">
        <f t="shared" ref="BD25:BD32" si="103">X25</f>
        <v>0.99999999999999833</v>
      </c>
      <c r="BE25" s="43">
        <f t="shared" ref="BE25:BE32" si="104">Y25</f>
        <v>0.89999999999999836</v>
      </c>
      <c r="BF25" s="43">
        <f t="shared" ref="BF25:BF32" si="105">Z25</f>
        <v>0.79999999999999838</v>
      </c>
      <c r="BG25" s="43">
        <f t="shared" ref="BG25:BG32" si="106">AA25</f>
        <v>0.6999999999999984</v>
      </c>
      <c r="BH25" s="43">
        <f t="shared" ref="BH25:BH32" si="107">AB25</f>
        <v>0.59999999999999842</v>
      </c>
      <c r="BI25" s="43">
        <f t="shared" ref="BI25:BI32" si="108">AC25</f>
        <v>0.49999999999999845</v>
      </c>
      <c r="BJ25" s="43">
        <f t="shared" ref="BJ25:BJ32" si="109">AD25</f>
        <v>0.39999999999999847</v>
      </c>
      <c r="BK25" s="43">
        <f t="shared" ref="BK25:BK32" si="110">AE25</f>
        <v>0.29999999999999849</v>
      </c>
      <c r="BL25" s="43">
        <f t="shared" ref="BL25:BL32" si="111">AF25</f>
        <v>0.19999999999999848</v>
      </c>
      <c r="BM25" s="43">
        <f t="shared" ref="BM25:BM32" si="112">AG25</f>
        <v>9.9999999999998479E-2</v>
      </c>
      <c r="BN25" s="43">
        <f t="shared" ref="BN25:BN32" si="113">AH25</f>
        <v>0</v>
      </c>
      <c r="BP25" s="43">
        <f t="shared" ref="BP25:BP32" si="114">D25</f>
        <v>3</v>
      </c>
      <c r="BQ25" s="43">
        <f t="shared" ref="BQ25:CS25" si="115">BP25-($BP25-$CT25)/30</f>
        <v>3</v>
      </c>
      <c r="BR25" s="43">
        <f t="shared" si="115"/>
        <v>3</v>
      </c>
      <c r="BS25" s="43">
        <f t="shared" si="115"/>
        <v>3</v>
      </c>
      <c r="BT25" s="43">
        <f t="shared" si="115"/>
        <v>3</v>
      </c>
      <c r="BU25" s="43">
        <f t="shared" si="115"/>
        <v>3</v>
      </c>
      <c r="BV25" s="43">
        <f t="shared" si="115"/>
        <v>3</v>
      </c>
      <c r="BW25" s="43">
        <f t="shared" si="115"/>
        <v>3</v>
      </c>
      <c r="BX25" s="43">
        <f t="shared" si="115"/>
        <v>3</v>
      </c>
      <c r="BY25" s="43">
        <f t="shared" si="115"/>
        <v>3</v>
      </c>
      <c r="BZ25" s="43">
        <f t="shared" si="115"/>
        <v>3</v>
      </c>
      <c r="CA25" s="43">
        <f t="shared" si="115"/>
        <v>3</v>
      </c>
      <c r="CB25" s="43">
        <f t="shared" si="115"/>
        <v>3</v>
      </c>
      <c r="CC25" s="43">
        <f t="shared" si="115"/>
        <v>3</v>
      </c>
      <c r="CD25" s="43">
        <f t="shared" si="115"/>
        <v>3</v>
      </c>
      <c r="CE25" s="43">
        <f t="shared" si="115"/>
        <v>3</v>
      </c>
      <c r="CF25" s="43">
        <f t="shared" si="115"/>
        <v>3</v>
      </c>
      <c r="CG25" s="43">
        <f t="shared" si="115"/>
        <v>3</v>
      </c>
      <c r="CH25" s="43">
        <f t="shared" si="115"/>
        <v>3</v>
      </c>
      <c r="CI25" s="43">
        <f t="shared" si="115"/>
        <v>3</v>
      </c>
      <c r="CJ25" s="43">
        <f t="shared" si="115"/>
        <v>3</v>
      </c>
      <c r="CK25" s="43">
        <f t="shared" si="115"/>
        <v>3</v>
      </c>
      <c r="CL25" s="43">
        <f t="shared" si="115"/>
        <v>3</v>
      </c>
      <c r="CM25" s="43">
        <f t="shared" si="115"/>
        <v>3</v>
      </c>
      <c r="CN25" s="43">
        <f t="shared" si="115"/>
        <v>3</v>
      </c>
      <c r="CO25" s="43">
        <f t="shared" si="115"/>
        <v>3</v>
      </c>
      <c r="CP25" s="43">
        <f t="shared" si="115"/>
        <v>3</v>
      </c>
      <c r="CQ25" s="43">
        <f t="shared" si="115"/>
        <v>3</v>
      </c>
      <c r="CR25" s="43">
        <f t="shared" si="115"/>
        <v>3</v>
      </c>
      <c r="CS25" s="43">
        <f t="shared" si="115"/>
        <v>3</v>
      </c>
      <c r="CT25" s="43">
        <f t="shared" ref="CT25:CT32" si="116">BP25</f>
        <v>3</v>
      </c>
      <c r="CV25" s="43">
        <f>AJ25</f>
        <v>3</v>
      </c>
      <c r="CW25" s="43">
        <f t="shared" si="81"/>
        <v>2.9</v>
      </c>
      <c r="CX25" s="43">
        <f t="shared" si="81"/>
        <v>2.8</v>
      </c>
      <c r="CY25" s="43">
        <f t="shared" si="81"/>
        <v>2.6999999999999997</v>
      </c>
      <c r="CZ25" s="43">
        <f t="shared" si="81"/>
        <v>2.5999999999999996</v>
      </c>
      <c r="DA25" s="43">
        <f t="shared" si="81"/>
        <v>2.4999999999999996</v>
      </c>
      <c r="DB25" s="43">
        <f t="shared" si="81"/>
        <v>2.3999999999999995</v>
      </c>
      <c r="DC25" s="43">
        <f t="shared" si="81"/>
        <v>2.2999999999999994</v>
      </c>
      <c r="DD25" s="43">
        <f t="shared" si="81"/>
        <v>2.1999999999999993</v>
      </c>
      <c r="DE25" s="43">
        <f t="shared" si="81"/>
        <v>2.0999999999999992</v>
      </c>
      <c r="DF25" s="43">
        <f t="shared" si="81"/>
        <v>1.9999999999999991</v>
      </c>
      <c r="DG25" s="43">
        <f t="shared" si="81"/>
        <v>1.899999999999999</v>
      </c>
      <c r="DH25" s="43">
        <f t="shared" si="81"/>
        <v>1.7999999999999989</v>
      </c>
      <c r="DI25" s="43">
        <f t="shared" si="81"/>
        <v>1.6999999999999988</v>
      </c>
      <c r="DJ25" s="43">
        <f t="shared" si="81"/>
        <v>1.5999999999999988</v>
      </c>
      <c r="DK25" s="43">
        <f t="shared" si="81"/>
        <v>1.4999999999999987</v>
      </c>
      <c r="DL25" s="43">
        <f t="shared" si="81"/>
        <v>1.3999999999999986</v>
      </c>
      <c r="DM25" s="43">
        <f t="shared" si="81"/>
        <v>1.2999999999999985</v>
      </c>
      <c r="DN25" s="43">
        <f t="shared" si="81"/>
        <v>1.1999999999999984</v>
      </c>
      <c r="DO25" s="43">
        <f t="shared" si="81"/>
        <v>1.0999999999999983</v>
      </c>
      <c r="DP25" s="43">
        <f t="shared" si="81"/>
        <v>0.99999999999999833</v>
      </c>
      <c r="DQ25" s="43">
        <f t="shared" si="81"/>
        <v>0.89999999999999836</v>
      </c>
      <c r="DR25" s="43">
        <f t="shared" si="81"/>
        <v>0.79999999999999838</v>
      </c>
      <c r="DS25" s="43">
        <f t="shared" si="81"/>
        <v>0.6999999999999984</v>
      </c>
      <c r="DT25" s="43">
        <f t="shared" si="81"/>
        <v>0.59999999999999842</v>
      </c>
      <c r="DU25" s="43">
        <f t="shared" si="81"/>
        <v>0.49999999999999845</v>
      </c>
      <c r="DV25" s="43">
        <f t="shared" si="81"/>
        <v>0.39999999999999847</v>
      </c>
      <c r="DW25" s="43">
        <f t="shared" si="81"/>
        <v>0.29999999999999849</v>
      </c>
      <c r="DX25" s="43">
        <f t="shared" si="81"/>
        <v>0.19999999999999848</v>
      </c>
      <c r="DY25" s="43">
        <f t="shared" si="81"/>
        <v>9.9999999999998479E-2</v>
      </c>
      <c r="DZ25" s="43">
        <f t="shared" si="81"/>
        <v>0</v>
      </c>
    </row>
    <row r="26" spans="1:165" x14ac:dyDescent="0.2">
      <c r="A26" s="606" t="s">
        <v>459</v>
      </c>
      <c r="C26" s="54" t="s">
        <v>458</v>
      </c>
      <c r="D26" s="43">
        <f>$BP$186</f>
        <v>1.3521142181450381</v>
      </c>
      <c r="E26" s="43">
        <f t="shared" ref="E26:AG26" si="117">D26-($D26-$AH26)/30</f>
        <v>1.4003770775402034</v>
      </c>
      <c r="F26" s="43">
        <f t="shared" si="117"/>
        <v>1.4486399369353689</v>
      </c>
      <c r="G26" s="43">
        <f t="shared" si="117"/>
        <v>1.4969027963305344</v>
      </c>
      <c r="H26" s="43">
        <f t="shared" si="117"/>
        <v>1.5451656557256999</v>
      </c>
      <c r="I26" s="43">
        <f t="shared" si="117"/>
        <v>1.5934285151208654</v>
      </c>
      <c r="J26" s="43">
        <f t="shared" si="117"/>
        <v>1.6416913745160309</v>
      </c>
      <c r="K26" s="43">
        <f t="shared" si="117"/>
        <v>1.6899542339111964</v>
      </c>
      <c r="L26" s="43">
        <f t="shared" si="117"/>
        <v>1.7382170933063619</v>
      </c>
      <c r="M26" s="43">
        <f t="shared" si="117"/>
        <v>1.7864799527015274</v>
      </c>
      <c r="N26" s="43">
        <f t="shared" si="117"/>
        <v>1.8347428120966929</v>
      </c>
      <c r="O26" s="43">
        <f t="shared" si="117"/>
        <v>1.8830056714918584</v>
      </c>
      <c r="P26" s="43">
        <f t="shared" si="117"/>
        <v>1.9312685308870239</v>
      </c>
      <c r="Q26" s="43">
        <f t="shared" si="117"/>
        <v>1.9795313902821894</v>
      </c>
      <c r="R26" s="43">
        <f t="shared" si="117"/>
        <v>2.0277942496773549</v>
      </c>
      <c r="S26" s="43">
        <f t="shared" si="117"/>
        <v>2.0760571090725204</v>
      </c>
      <c r="T26" s="43">
        <f t="shared" si="117"/>
        <v>2.1243199684676859</v>
      </c>
      <c r="U26" s="43">
        <f t="shared" si="117"/>
        <v>2.1725828278628514</v>
      </c>
      <c r="V26" s="43">
        <f t="shared" si="117"/>
        <v>2.2208456872580169</v>
      </c>
      <c r="W26" s="43">
        <f t="shared" si="117"/>
        <v>2.2691085466531824</v>
      </c>
      <c r="X26" s="43">
        <f t="shared" si="117"/>
        <v>2.3173714060483479</v>
      </c>
      <c r="Y26" s="43">
        <f t="shared" si="117"/>
        <v>2.3656342654435134</v>
      </c>
      <c r="Z26" s="43">
        <f t="shared" si="117"/>
        <v>2.4138971248386789</v>
      </c>
      <c r="AA26" s="43">
        <f t="shared" si="117"/>
        <v>2.4621599842338444</v>
      </c>
      <c r="AB26" s="43">
        <f t="shared" si="117"/>
        <v>2.5104228436290099</v>
      </c>
      <c r="AC26" s="43">
        <f t="shared" si="117"/>
        <v>2.5586857030241754</v>
      </c>
      <c r="AD26" s="43">
        <f t="shared" si="117"/>
        <v>2.6069485624193409</v>
      </c>
      <c r="AE26" s="43">
        <f t="shared" si="117"/>
        <v>2.6552114218145064</v>
      </c>
      <c r="AF26" s="43">
        <f t="shared" si="117"/>
        <v>2.7034742812096719</v>
      </c>
      <c r="AG26" s="43">
        <f t="shared" si="117"/>
        <v>2.7517371406048374</v>
      </c>
      <c r="AH26" s="43">
        <f>EB186</f>
        <v>2.8</v>
      </c>
      <c r="AI26" s="44"/>
      <c r="AJ26" s="43">
        <f t="shared" si="83"/>
        <v>1.3521142181450381</v>
      </c>
      <c r="AK26" s="43">
        <f t="shared" si="84"/>
        <v>1.4003770775402034</v>
      </c>
      <c r="AL26" s="43">
        <f t="shared" si="85"/>
        <v>1.4486399369353689</v>
      </c>
      <c r="AM26" s="43">
        <f t="shared" si="86"/>
        <v>1.4969027963305344</v>
      </c>
      <c r="AN26" s="43">
        <f t="shared" si="87"/>
        <v>1.5451656557256999</v>
      </c>
      <c r="AO26" s="43">
        <f t="shared" si="88"/>
        <v>1.5934285151208654</v>
      </c>
      <c r="AP26" s="43">
        <f t="shared" si="89"/>
        <v>1.6416913745160309</v>
      </c>
      <c r="AQ26" s="43">
        <f t="shared" si="90"/>
        <v>1.6899542339111964</v>
      </c>
      <c r="AR26" s="43">
        <f t="shared" si="91"/>
        <v>1.7382170933063619</v>
      </c>
      <c r="AS26" s="43">
        <f t="shared" si="92"/>
        <v>1.7864799527015274</v>
      </c>
      <c r="AT26" s="43">
        <f t="shared" si="93"/>
        <v>1.8347428120966929</v>
      </c>
      <c r="AU26" s="43">
        <f t="shared" si="94"/>
        <v>1.8830056714918584</v>
      </c>
      <c r="AV26" s="43">
        <f t="shared" si="95"/>
        <v>1.9312685308870239</v>
      </c>
      <c r="AW26" s="43">
        <f t="shared" si="96"/>
        <v>1.9795313902821894</v>
      </c>
      <c r="AX26" s="43">
        <f t="shared" si="97"/>
        <v>2.0277942496773549</v>
      </c>
      <c r="AY26" s="43">
        <f t="shared" si="98"/>
        <v>2.0760571090725204</v>
      </c>
      <c r="AZ26" s="43">
        <f t="shared" si="99"/>
        <v>2.1243199684676859</v>
      </c>
      <c r="BA26" s="43">
        <f t="shared" si="100"/>
        <v>2.1725828278628514</v>
      </c>
      <c r="BB26" s="43">
        <f t="shared" si="101"/>
        <v>2.2208456872580169</v>
      </c>
      <c r="BC26" s="43">
        <f t="shared" si="102"/>
        <v>2.2691085466531824</v>
      </c>
      <c r="BD26" s="43">
        <f t="shared" si="103"/>
        <v>2.3173714060483479</v>
      </c>
      <c r="BE26" s="43">
        <f t="shared" si="104"/>
        <v>2.3656342654435134</v>
      </c>
      <c r="BF26" s="43">
        <f t="shared" si="105"/>
        <v>2.4138971248386789</v>
      </c>
      <c r="BG26" s="43">
        <f t="shared" si="106"/>
        <v>2.4621599842338444</v>
      </c>
      <c r="BH26" s="43">
        <f t="shared" si="107"/>
        <v>2.5104228436290099</v>
      </c>
      <c r="BI26" s="43">
        <f t="shared" si="108"/>
        <v>2.5586857030241754</v>
      </c>
      <c r="BJ26" s="43">
        <f t="shared" si="109"/>
        <v>2.6069485624193409</v>
      </c>
      <c r="BK26" s="43">
        <f t="shared" si="110"/>
        <v>2.6552114218145064</v>
      </c>
      <c r="BL26" s="43">
        <f t="shared" si="111"/>
        <v>2.7034742812096719</v>
      </c>
      <c r="BM26" s="43">
        <f t="shared" si="112"/>
        <v>2.7517371406048374</v>
      </c>
      <c r="BN26" s="43">
        <f t="shared" si="113"/>
        <v>2.8</v>
      </c>
      <c r="BP26" s="43">
        <f t="shared" si="114"/>
        <v>1.3521142181450381</v>
      </c>
      <c r="BQ26" s="43">
        <f t="shared" ref="BQ26:CS26" si="118">BP26-($BP26-$CT26)/30</f>
        <v>1.3521142181450381</v>
      </c>
      <c r="BR26" s="43">
        <f t="shared" si="118"/>
        <v>1.3521142181450381</v>
      </c>
      <c r="BS26" s="43">
        <f t="shared" si="118"/>
        <v>1.3521142181450381</v>
      </c>
      <c r="BT26" s="43">
        <f t="shared" si="118"/>
        <v>1.3521142181450381</v>
      </c>
      <c r="BU26" s="43">
        <f t="shared" si="118"/>
        <v>1.3521142181450381</v>
      </c>
      <c r="BV26" s="43">
        <f t="shared" si="118"/>
        <v>1.3521142181450381</v>
      </c>
      <c r="BW26" s="43">
        <f t="shared" si="118"/>
        <v>1.3521142181450381</v>
      </c>
      <c r="BX26" s="43">
        <f t="shared" si="118"/>
        <v>1.3521142181450381</v>
      </c>
      <c r="BY26" s="43">
        <f t="shared" si="118"/>
        <v>1.3521142181450381</v>
      </c>
      <c r="BZ26" s="43">
        <f t="shared" si="118"/>
        <v>1.3521142181450381</v>
      </c>
      <c r="CA26" s="43">
        <f t="shared" si="118"/>
        <v>1.3521142181450381</v>
      </c>
      <c r="CB26" s="43">
        <f t="shared" si="118"/>
        <v>1.3521142181450381</v>
      </c>
      <c r="CC26" s="43">
        <f t="shared" si="118"/>
        <v>1.3521142181450381</v>
      </c>
      <c r="CD26" s="43">
        <f t="shared" si="118"/>
        <v>1.3521142181450381</v>
      </c>
      <c r="CE26" s="43">
        <f t="shared" si="118"/>
        <v>1.3521142181450381</v>
      </c>
      <c r="CF26" s="43">
        <f t="shared" si="118"/>
        <v>1.3521142181450381</v>
      </c>
      <c r="CG26" s="43">
        <f t="shared" si="118"/>
        <v>1.3521142181450381</v>
      </c>
      <c r="CH26" s="43">
        <f t="shared" si="118"/>
        <v>1.3521142181450381</v>
      </c>
      <c r="CI26" s="43">
        <f t="shared" si="118"/>
        <v>1.3521142181450381</v>
      </c>
      <c r="CJ26" s="43">
        <f t="shared" si="118"/>
        <v>1.3521142181450381</v>
      </c>
      <c r="CK26" s="43">
        <f t="shared" si="118"/>
        <v>1.3521142181450381</v>
      </c>
      <c r="CL26" s="43">
        <f t="shared" si="118"/>
        <v>1.3521142181450381</v>
      </c>
      <c r="CM26" s="43">
        <f t="shared" si="118"/>
        <v>1.3521142181450381</v>
      </c>
      <c r="CN26" s="43">
        <f t="shared" si="118"/>
        <v>1.3521142181450381</v>
      </c>
      <c r="CO26" s="43">
        <f t="shared" si="118"/>
        <v>1.3521142181450381</v>
      </c>
      <c r="CP26" s="43">
        <f t="shared" si="118"/>
        <v>1.3521142181450381</v>
      </c>
      <c r="CQ26" s="43">
        <f t="shared" si="118"/>
        <v>1.3521142181450381</v>
      </c>
      <c r="CR26" s="43">
        <f t="shared" si="118"/>
        <v>1.3521142181450381</v>
      </c>
      <c r="CS26" s="43">
        <f t="shared" si="118"/>
        <v>1.3521142181450381</v>
      </c>
      <c r="CT26" s="43">
        <f t="shared" si="116"/>
        <v>1.3521142181450381</v>
      </c>
      <c r="CV26" s="43">
        <f>AJ26</f>
        <v>1.3521142181450381</v>
      </c>
      <c r="CW26" s="43">
        <f t="shared" ref="CW26:DZ26" si="119">AK26</f>
        <v>1.4003770775402034</v>
      </c>
      <c r="CX26" s="43">
        <f t="shared" si="119"/>
        <v>1.4486399369353689</v>
      </c>
      <c r="CY26" s="43">
        <f t="shared" si="119"/>
        <v>1.4969027963305344</v>
      </c>
      <c r="CZ26" s="43">
        <f t="shared" si="119"/>
        <v>1.5451656557256999</v>
      </c>
      <c r="DA26" s="43">
        <f t="shared" si="119"/>
        <v>1.5934285151208654</v>
      </c>
      <c r="DB26" s="43">
        <f t="shared" si="119"/>
        <v>1.6416913745160309</v>
      </c>
      <c r="DC26" s="43">
        <f t="shared" si="119"/>
        <v>1.6899542339111964</v>
      </c>
      <c r="DD26" s="43">
        <f t="shared" si="119"/>
        <v>1.7382170933063619</v>
      </c>
      <c r="DE26" s="43">
        <f t="shared" si="119"/>
        <v>1.7864799527015274</v>
      </c>
      <c r="DF26" s="43">
        <f t="shared" si="119"/>
        <v>1.8347428120966929</v>
      </c>
      <c r="DG26" s="43">
        <f t="shared" si="119"/>
        <v>1.8830056714918584</v>
      </c>
      <c r="DH26" s="43">
        <f t="shared" si="119"/>
        <v>1.9312685308870239</v>
      </c>
      <c r="DI26" s="43">
        <f t="shared" si="119"/>
        <v>1.9795313902821894</v>
      </c>
      <c r="DJ26" s="43">
        <f t="shared" si="119"/>
        <v>2.0277942496773549</v>
      </c>
      <c r="DK26" s="43">
        <f t="shared" si="119"/>
        <v>2.0760571090725204</v>
      </c>
      <c r="DL26" s="43">
        <f t="shared" si="119"/>
        <v>2.1243199684676859</v>
      </c>
      <c r="DM26" s="43">
        <f t="shared" si="119"/>
        <v>2.1725828278628514</v>
      </c>
      <c r="DN26" s="43">
        <f t="shared" si="119"/>
        <v>2.2208456872580169</v>
      </c>
      <c r="DO26" s="43">
        <f t="shared" si="119"/>
        <v>2.2691085466531824</v>
      </c>
      <c r="DP26" s="43">
        <f t="shared" si="119"/>
        <v>2.3173714060483479</v>
      </c>
      <c r="DQ26" s="43">
        <f t="shared" si="119"/>
        <v>2.3656342654435134</v>
      </c>
      <c r="DR26" s="43">
        <f t="shared" si="119"/>
        <v>2.4138971248386789</v>
      </c>
      <c r="DS26" s="43">
        <f t="shared" si="119"/>
        <v>2.4621599842338444</v>
      </c>
      <c r="DT26" s="43">
        <f t="shared" si="119"/>
        <v>2.5104228436290099</v>
      </c>
      <c r="DU26" s="43">
        <f t="shared" si="119"/>
        <v>2.5586857030241754</v>
      </c>
      <c r="DV26" s="43">
        <f t="shared" si="119"/>
        <v>2.6069485624193409</v>
      </c>
      <c r="DW26" s="43">
        <f t="shared" si="119"/>
        <v>2.6552114218145064</v>
      </c>
      <c r="DX26" s="43">
        <f t="shared" si="119"/>
        <v>2.7034742812096719</v>
      </c>
      <c r="DY26" s="43">
        <f t="shared" si="119"/>
        <v>2.7517371406048374</v>
      </c>
      <c r="DZ26" s="43">
        <f t="shared" si="119"/>
        <v>2.8</v>
      </c>
    </row>
    <row r="27" spans="1:165" x14ac:dyDescent="0.2">
      <c r="A27" s="606" t="s">
        <v>460</v>
      </c>
      <c r="C27" s="54" t="s">
        <v>458</v>
      </c>
      <c r="D27" s="43">
        <f>$BZ$186</f>
        <v>6.7605710907251967E-2</v>
      </c>
      <c r="E27" s="43">
        <f t="shared" ref="E27:AG27" si="120">D27-($D27-$AH27)/30</f>
        <v>6.7605710907251967E-2</v>
      </c>
      <c r="F27" s="43">
        <f t="shared" si="120"/>
        <v>6.7605710907251967E-2</v>
      </c>
      <c r="G27" s="43">
        <f t="shared" si="120"/>
        <v>6.7605710907251967E-2</v>
      </c>
      <c r="H27" s="43">
        <f t="shared" si="120"/>
        <v>6.7605710907251967E-2</v>
      </c>
      <c r="I27" s="43">
        <f t="shared" si="120"/>
        <v>6.7605710907251967E-2</v>
      </c>
      <c r="J27" s="43">
        <f t="shared" si="120"/>
        <v>6.7605710907251967E-2</v>
      </c>
      <c r="K27" s="43">
        <f t="shared" si="120"/>
        <v>6.7605710907251967E-2</v>
      </c>
      <c r="L27" s="43">
        <f t="shared" si="120"/>
        <v>6.7605710907251967E-2</v>
      </c>
      <c r="M27" s="43">
        <f t="shared" si="120"/>
        <v>6.7605710907251967E-2</v>
      </c>
      <c r="N27" s="43">
        <f t="shared" si="120"/>
        <v>6.7605710907251967E-2</v>
      </c>
      <c r="O27" s="43">
        <f t="shared" si="120"/>
        <v>6.7605710907251967E-2</v>
      </c>
      <c r="P27" s="43">
        <f t="shared" si="120"/>
        <v>6.7605710907251967E-2</v>
      </c>
      <c r="Q27" s="43">
        <f t="shared" si="120"/>
        <v>6.7605710907251967E-2</v>
      </c>
      <c r="R27" s="43">
        <f t="shared" si="120"/>
        <v>6.7605710907251967E-2</v>
      </c>
      <c r="S27" s="43">
        <f t="shared" si="120"/>
        <v>6.7605710907251967E-2</v>
      </c>
      <c r="T27" s="43">
        <f t="shared" si="120"/>
        <v>6.7605710907251967E-2</v>
      </c>
      <c r="U27" s="43">
        <f t="shared" si="120"/>
        <v>6.7605710907251967E-2</v>
      </c>
      <c r="V27" s="43">
        <f t="shared" si="120"/>
        <v>6.7605710907251967E-2</v>
      </c>
      <c r="W27" s="43">
        <f t="shared" si="120"/>
        <v>6.7605710907251967E-2</v>
      </c>
      <c r="X27" s="43">
        <f t="shared" si="120"/>
        <v>6.7605710907251967E-2</v>
      </c>
      <c r="Y27" s="43">
        <f t="shared" si="120"/>
        <v>6.7605710907251967E-2</v>
      </c>
      <c r="Z27" s="43">
        <f t="shared" si="120"/>
        <v>6.7605710907251967E-2</v>
      </c>
      <c r="AA27" s="43">
        <f t="shared" si="120"/>
        <v>6.7605710907251967E-2</v>
      </c>
      <c r="AB27" s="43">
        <f t="shared" si="120"/>
        <v>6.7605710907251967E-2</v>
      </c>
      <c r="AC27" s="43">
        <f t="shared" si="120"/>
        <v>6.7605710907251967E-2</v>
      </c>
      <c r="AD27" s="43">
        <f t="shared" si="120"/>
        <v>6.7605710907251967E-2</v>
      </c>
      <c r="AE27" s="43">
        <f t="shared" si="120"/>
        <v>6.7605710907251967E-2</v>
      </c>
      <c r="AF27" s="43">
        <f t="shared" si="120"/>
        <v>6.7605710907251967E-2</v>
      </c>
      <c r="AG27" s="43">
        <f t="shared" si="120"/>
        <v>6.7605710907251967E-2</v>
      </c>
      <c r="AH27" s="43">
        <f>$BZ$186</f>
        <v>6.7605710907251967E-2</v>
      </c>
      <c r="AI27" s="44"/>
      <c r="AJ27" s="43">
        <f t="shared" si="83"/>
        <v>6.7605710907251967E-2</v>
      </c>
      <c r="AK27" s="43">
        <f t="shared" si="84"/>
        <v>6.7605710907251967E-2</v>
      </c>
      <c r="AL27" s="43">
        <f t="shared" si="85"/>
        <v>6.7605710907251967E-2</v>
      </c>
      <c r="AM27" s="43">
        <f t="shared" si="86"/>
        <v>6.7605710907251967E-2</v>
      </c>
      <c r="AN27" s="43">
        <f t="shared" si="87"/>
        <v>6.7605710907251967E-2</v>
      </c>
      <c r="AO27" s="43">
        <f t="shared" si="88"/>
        <v>6.7605710907251967E-2</v>
      </c>
      <c r="AP27" s="43">
        <f t="shared" si="89"/>
        <v>6.7605710907251967E-2</v>
      </c>
      <c r="AQ27" s="43">
        <f t="shared" si="90"/>
        <v>6.7605710907251967E-2</v>
      </c>
      <c r="AR27" s="43">
        <f t="shared" si="91"/>
        <v>6.7605710907251967E-2</v>
      </c>
      <c r="AS27" s="43">
        <f t="shared" si="92"/>
        <v>6.7605710907251967E-2</v>
      </c>
      <c r="AT27" s="43">
        <f t="shared" si="93"/>
        <v>6.7605710907251967E-2</v>
      </c>
      <c r="AU27" s="43">
        <f t="shared" si="94"/>
        <v>6.7605710907251967E-2</v>
      </c>
      <c r="AV27" s="43">
        <f t="shared" si="95"/>
        <v>6.7605710907251967E-2</v>
      </c>
      <c r="AW27" s="43">
        <f t="shared" si="96"/>
        <v>6.7605710907251967E-2</v>
      </c>
      <c r="AX27" s="43">
        <f t="shared" si="97"/>
        <v>6.7605710907251967E-2</v>
      </c>
      <c r="AY27" s="43">
        <f t="shared" si="98"/>
        <v>6.7605710907251967E-2</v>
      </c>
      <c r="AZ27" s="43">
        <f t="shared" si="99"/>
        <v>6.7605710907251967E-2</v>
      </c>
      <c r="BA27" s="43">
        <f t="shared" si="100"/>
        <v>6.7605710907251967E-2</v>
      </c>
      <c r="BB27" s="43">
        <f t="shared" si="101"/>
        <v>6.7605710907251967E-2</v>
      </c>
      <c r="BC27" s="43">
        <f t="shared" si="102"/>
        <v>6.7605710907251967E-2</v>
      </c>
      <c r="BD27" s="43">
        <f t="shared" si="103"/>
        <v>6.7605710907251967E-2</v>
      </c>
      <c r="BE27" s="43">
        <f t="shared" si="104"/>
        <v>6.7605710907251967E-2</v>
      </c>
      <c r="BF27" s="43">
        <f t="shared" si="105"/>
        <v>6.7605710907251967E-2</v>
      </c>
      <c r="BG27" s="43">
        <f t="shared" si="106"/>
        <v>6.7605710907251967E-2</v>
      </c>
      <c r="BH27" s="43">
        <f t="shared" si="107"/>
        <v>6.7605710907251967E-2</v>
      </c>
      <c r="BI27" s="43">
        <f t="shared" si="108"/>
        <v>6.7605710907251967E-2</v>
      </c>
      <c r="BJ27" s="43">
        <f t="shared" si="109"/>
        <v>6.7605710907251967E-2</v>
      </c>
      <c r="BK27" s="43">
        <f t="shared" si="110"/>
        <v>6.7605710907251967E-2</v>
      </c>
      <c r="BL27" s="43">
        <f t="shared" si="111"/>
        <v>6.7605710907251967E-2</v>
      </c>
      <c r="BM27" s="43">
        <f t="shared" si="112"/>
        <v>6.7605710907251967E-2</v>
      </c>
      <c r="BN27" s="43">
        <f t="shared" si="113"/>
        <v>6.7605710907251967E-2</v>
      </c>
      <c r="BP27" s="43">
        <f>D27</f>
        <v>6.7605710907251967E-2</v>
      </c>
      <c r="BQ27" s="43">
        <f t="shared" ref="BQ27:CT27" si="121">E27</f>
        <v>6.7605710907251967E-2</v>
      </c>
      <c r="BR27" s="43">
        <f t="shared" si="121"/>
        <v>6.7605710907251967E-2</v>
      </c>
      <c r="BS27" s="43">
        <f t="shared" si="121"/>
        <v>6.7605710907251967E-2</v>
      </c>
      <c r="BT27" s="43">
        <f t="shared" si="121"/>
        <v>6.7605710907251967E-2</v>
      </c>
      <c r="BU27" s="43">
        <f t="shared" si="121"/>
        <v>6.7605710907251967E-2</v>
      </c>
      <c r="BV27" s="43">
        <f t="shared" si="121"/>
        <v>6.7605710907251967E-2</v>
      </c>
      <c r="BW27" s="43">
        <f t="shared" si="121"/>
        <v>6.7605710907251967E-2</v>
      </c>
      <c r="BX27" s="43">
        <f t="shared" si="121"/>
        <v>6.7605710907251967E-2</v>
      </c>
      <c r="BY27" s="43">
        <f t="shared" si="121"/>
        <v>6.7605710907251967E-2</v>
      </c>
      <c r="BZ27" s="43">
        <f t="shared" si="121"/>
        <v>6.7605710907251967E-2</v>
      </c>
      <c r="CA27" s="43">
        <f t="shared" si="121"/>
        <v>6.7605710907251967E-2</v>
      </c>
      <c r="CB27" s="43">
        <f t="shared" si="121"/>
        <v>6.7605710907251967E-2</v>
      </c>
      <c r="CC27" s="43">
        <f t="shared" si="121"/>
        <v>6.7605710907251967E-2</v>
      </c>
      <c r="CD27" s="43">
        <f t="shared" si="121"/>
        <v>6.7605710907251967E-2</v>
      </c>
      <c r="CE27" s="43">
        <f t="shared" si="121"/>
        <v>6.7605710907251967E-2</v>
      </c>
      <c r="CF27" s="43">
        <f t="shared" si="121"/>
        <v>6.7605710907251967E-2</v>
      </c>
      <c r="CG27" s="43">
        <f t="shared" si="121"/>
        <v>6.7605710907251967E-2</v>
      </c>
      <c r="CH27" s="43">
        <f t="shared" si="121"/>
        <v>6.7605710907251967E-2</v>
      </c>
      <c r="CI27" s="43">
        <f t="shared" si="121"/>
        <v>6.7605710907251967E-2</v>
      </c>
      <c r="CJ27" s="43">
        <f t="shared" si="121"/>
        <v>6.7605710907251967E-2</v>
      </c>
      <c r="CK27" s="43">
        <f t="shared" si="121"/>
        <v>6.7605710907251967E-2</v>
      </c>
      <c r="CL27" s="43">
        <f t="shared" si="121"/>
        <v>6.7605710907251967E-2</v>
      </c>
      <c r="CM27" s="43">
        <f t="shared" si="121"/>
        <v>6.7605710907251967E-2</v>
      </c>
      <c r="CN27" s="43">
        <f t="shared" si="121"/>
        <v>6.7605710907251967E-2</v>
      </c>
      <c r="CO27" s="43">
        <f t="shared" si="121"/>
        <v>6.7605710907251967E-2</v>
      </c>
      <c r="CP27" s="43">
        <f t="shared" si="121"/>
        <v>6.7605710907251967E-2</v>
      </c>
      <c r="CQ27" s="43">
        <f t="shared" si="121"/>
        <v>6.7605710907251967E-2</v>
      </c>
      <c r="CR27" s="43">
        <f t="shared" si="121"/>
        <v>6.7605710907251967E-2</v>
      </c>
      <c r="CS27" s="43">
        <f t="shared" si="121"/>
        <v>6.7605710907251967E-2</v>
      </c>
      <c r="CT27" s="43">
        <f t="shared" si="121"/>
        <v>6.7605710907251967E-2</v>
      </c>
      <c r="CV27" s="43">
        <f>AJ27</f>
        <v>6.7605710907251967E-2</v>
      </c>
      <c r="CW27" s="43">
        <f t="shared" ref="CW27:CW28" si="122">AK27</f>
        <v>6.7605710907251967E-2</v>
      </c>
      <c r="CX27" s="43">
        <f t="shared" ref="CX27:CX28" si="123">AL27</f>
        <v>6.7605710907251967E-2</v>
      </c>
      <c r="CY27" s="43">
        <f t="shared" ref="CY27:CY28" si="124">AM27</f>
        <v>6.7605710907251967E-2</v>
      </c>
      <c r="CZ27" s="43">
        <f t="shared" ref="CZ27:CZ28" si="125">AN27</f>
        <v>6.7605710907251967E-2</v>
      </c>
      <c r="DA27" s="43">
        <f t="shared" ref="DA27:DA28" si="126">AO27</f>
        <v>6.7605710907251967E-2</v>
      </c>
      <c r="DB27" s="43">
        <f t="shared" ref="DB27:DB28" si="127">AP27</f>
        <v>6.7605710907251967E-2</v>
      </c>
      <c r="DC27" s="43">
        <f t="shared" ref="DC27:DC28" si="128">AQ27</f>
        <v>6.7605710907251967E-2</v>
      </c>
      <c r="DD27" s="43">
        <f t="shared" ref="DD27:DD28" si="129">AR27</f>
        <v>6.7605710907251967E-2</v>
      </c>
      <c r="DE27" s="43">
        <f t="shared" ref="DE27:DE28" si="130">AS27</f>
        <v>6.7605710907251967E-2</v>
      </c>
      <c r="DF27" s="43">
        <f t="shared" ref="DF27:DF28" si="131">AT27</f>
        <v>6.7605710907251967E-2</v>
      </c>
      <c r="DG27" s="43">
        <f t="shared" ref="DG27:DG28" si="132">AU27</f>
        <v>6.7605710907251967E-2</v>
      </c>
      <c r="DH27" s="43">
        <f t="shared" ref="DH27:DH28" si="133">AV27</f>
        <v>6.7605710907251967E-2</v>
      </c>
      <c r="DI27" s="43">
        <f t="shared" ref="DI27:DI28" si="134">AW27</f>
        <v>6.7605710907251967E-2</v>
      </c>
      <c r="DJ27" s="43">
        <f t="shared" ref="DJ27:DJ28" si="135">AX27</f>
        <v>6.7605710907251967E-2</v>
      </c>
      <c r="DK27" s="43">
        <f t="shared" ref="DK27:DK28" si="136">AY27</f>
        <v>6.7605710907251967E-2</v>
      </c>
      <c r="DL27" s="43">
        <f t="shared" ref="DL27:DL28" si="137">AZ27</f>
        <v>6.7605710907251967E-2</v>
      </c>
      <c r="DM27" s="43">
        <f t="shared" ref="DM27:DM28" si="138">BA27</f>
        <v>6.7605710907251967E-2</v>
      </c>
      <c r="DN27" s="43">
        <f t="shared" ref="DN27:DN28" si="139">BB27</f>
        <v>6.7605710907251967E-2</v>
      </c>
      <c r="DO27" s="43">
        <f t="shared" ref="DO27:DO28" si="140">BC27</f>
        <v>6.7605710907251967E-2</v>
      </c>
      <c r="DP27" s="43">
        <f t="shared" ref="DP27:DP28" si="141">BD27</f>
        <v>6.7605710907251967E-2</v>
      </c>
      <c r="DQ27" s="43">
        <f t="shared" ref="DQ27:DQ28" si="142">BE27</f>
        <v>6.7605710907251967E-2</v>
      </c>
      <c r="DR27" s="43">
        <f t="shared" ref="DR27:DR28" si="143">BF27</f>
        <v>6.7605710907251967E-2</v>
      </c>
      <c r="DS27" s="43">
        <f t="shared" ref="DS27:DS28" si="144">BG27</f>
        <v>6.7605710907251967E-2</v>
      </c>
      <c r="DT27" s="43">
        <f t="shared" ref="DT27:DT28" si="145">BH27</f>
        <v>6.7605710907251967E-2</v>
      </c>
      <c r="DU27" s="43">
        <f t="shared" ref="DU27:DU28" si="146">BI27</f>
        <v>6.7605710907251967E-2</v>
      </c>
      <c r="DV27" s="43">
        <f t="shared" ref="DV27:DV28" si="147">BJ27</f>
        <v>6.7605710907251967E-2</v>
      </c>
      <c r="DW27" s="43">
        <f t="shared" ref="DW27:DW28" si="148">BK27</f>
        <v>6.7605710907251967E-2</v>
      </c>
      <c r="DX27" s="43">
        <f t="shared" ref="DX27:DX28" si="149">BL27</f>
        <v>6.7605710907251967E-2</v>
      </c>
      <c r="DY27" s="43">
        <f t="shared" ref="DY27:DY28" si="150">BM27</f>
        <v>6.7605710907251967E-2</v>
      </c>
      <c r="DZ27" s="43">
        <f t="shared" ref="DZ27:DZ28" si="151">BN27</f>
        <v>6.7605710907251967E-2</v>
      </c>
    </row>
    <row r="28" spans="1:165" x14ac:dyDescent="0.2">
      <c r="A28" s="606" t="s">
        <v>33</v>
      </c>
      <c r="C28" s="54" t="s">
        <v>458</v>
      </c>
      <c r="D28" s="43">
        <f>$B$190</f>
        <v>5.0000000000000001E-3</v>
      </c>
      <c r="E28" s="43">
        <f t="shared" ref="E28:AG28" si="152">D28-($D28-$AH28)/30</f>
        <v>4.8333333333333336E-3</v>
      </c>
      <c r="F28" s="43">
        <f t="shared" si="152"/>
        <v>4.6666666666666671E-3</v>
      </c>
      <c r="G28" s="43">
        <f t="shared" si="152"/>
        <v>4.5000000000000005E-3</v>
      </c>
      <c r="H28" s="43">
        <f t="shared" si="152"/>
        <v>4.333333333333334E-3</v>
      </c>
      <c r="I28" s="43">
        <f t="shared" si="152"/>
        <v>4.1666666666666675E-3</v>
      </c>
      <c r="J28" s="43">
        <f t="shared" si="152"/>
        <v>4.000000000000001E-3</v>
      </c>
      <c r="K28" s="43">
        <f t="shared" si="152"/>
        <v>3.8333333333333344E-3</v>
      </c>
      <c r="L28" s="43">
        <f t="shared" si="152"/>
        <v>3.6666666666666679E-3</v>
      </c>
      <c r="M28" s="43">
        <f t="shared" si="152"/>
        <v>3.5000000000000014E-3</v>
      </c>
      <c r="N28" s="43">
        <f t="shared" si="152"/>
        <v>3.3333333333333348E-3</v>
      </c>
      <c r="O28" s="43">
        <f t="shared" si="152"/>
        <v>3.1666666666666683E-3</v>
      </c>
      <c r="P28" s="43">
        <f t="shared" si="152"/>
        <v>3.0000000000000018E-3</v>
      </c>
      <c r="Q28" s="43">
        <f t="shared" si="152"/>
        <v>2.8333333333333353E-3</v>
      </c>
      <c r="R28" s="43">
        <f t="shared" si="152"/>
        <v>2.6666666666666687E-3</v>
      </c>
      <c r="S28" s="43">
        <f t="shared" si="152"/>
        <v>2.5000000000000022E-3</v>
      </c>
      <c r="T28" s="43">
        <f t="shared" si="152"/>
        <v>2.3333333333333357E-3</v>
      </c>
      <c r="U28" s="43">
        <f t="shared" si="152"/>
        <v>2.1666666666666692E-3</v>
      </c>
      <c r="V28" s="43">
        <f t="shared" si="152"/>
        <v>2.0000000000000026E-3</v>
      </c>
      <c r="W28" s="43">
        <f t="shared" si="152"/>
        <v>1.8333333333333359E-3</v>
      </c>
      <c r="X28" s="43">
        <f t="shared" si="152"/>
        <v>1.6666666666666692E-3</v>
      </c>
      <c r="Y28" s="43">
        <f t="shared" si="152"/>
        <v>1.5000000000000024E-3</v>
      </c>
      <c r="Z28" s="43">
        <f t="shared" si="152"/>
        <v>1.3333333333333357E-3</v>
      </c>
      <c r="AA28" s="43">
        <f t="shared" si="152"/>
        <v>1.1666666666666689E-3</v>
      </c>
      <c r="AB28" s="43">
        <f t="shared" si="152"/>
        <v>1.0000000000000022E-3</v>
      </c>
      <c r="AC28" s="43">
        <f t="shared" si="152"/>
        <v>8.3333333333333556E-4</v>
      </c>
      <c r="AD28" s="43">
        <f t="shared" si="152"/>
        <v>6.6666666666666892E-4</v>
      </c>
      <c r="AE28" s="43">
        <f t="shared" si="152"/>
        <v>5.0000000000000229E-4</v>
      </c>
      <c r="AF28" s="43">
        <f t="shared" si="152"/>
        <v>3.3333333333333565E-4</v>
      </c>
      <c r="AG28" s="43">
        <f t="shared" si="152"/>
        <v>1.6666666666666899E-4</v>
      </c>
      <c r="AH28" s="43">
        <f>$C$190</f>
        <v>0</v>
      </c>
      <c r="AI28" s="44"/>
      <c r="AJ28" s="43">
        <f t="shared" si="83"/>
        <v>5.0000000000000001E-3</v>
      </c>
      <c r="AK28" s="43">
        <f t="shared" si="84"/>
        <v>4.8333333333333336E-3</v>
      </c>
      <c r="AL28" s="43">
        <f t="shared" si="85"/>
        <v>4.6666666666666671E-3</v>
      </c>
      <c r="AM28" s="43">
        <f t="shared" si="86"/>
        <v>4.5000000000000005E-3</v>
      </c>
      <c r="AN28" s="43">
        <f t="shared" si="87"/>
        <v>4.333333333333334E-3</v>
      </c>
      <c r="AO28" s="43">
        <f t="shared" si="88"/>
        <v>4.1666666666666675E-3</v>
      </c>
      <c r="AP28" s="43">
        <f t="shared" si="89"/>
        <v>4.000000000000001E-3</v>
      </c>
      <c r="AQ28" s="43">
        <f t="shared" si="90"/>
        <v>3.8333333333333344E-3</v>
      </c>
      <c r="AR28" s="43">
        <f t="shared" si="91"/>
        <v>3.6666666666666679E-3</v>
      </c>
      <c r="AS28" s="43">
        <f t="shared" si="92"/>
        <v>3.5000000000000014E-3</v>
      </c>
      <c r="AT28" s="43">
        <f t="shared" si="93"/>
        <v>3.3333333333333348E-3</v>
      </c>
      <c r="AU28" s="43">
        <f t="shared" si="94"/>
        <v>3.1666666666666683E-3</v>
      </c>
      <c r="AV28" s="43">
        <f t="shared" si="95"/>
        <v>3.0000000000000018E-3</v>
      </c>
      <c r="AW28" s="43">
        <f t="shared" si="96"/>
        <v>2.8333333333333353E-3</v>
      </c>
      <c r="AX28" s="43">
        <f t="shared" si="97"/>
        <v>2.6666666666666687E-3</v>
      </c>
      <c r="AY28" s="43">
        <f t="shared" si="98"/>
        <v>2.5000000000000022E-3</v>
      </c>
      <c r="AZ28" s="43">
        <f t="shared" si="99"/>
        <v>2.3333333333333357E-3</v>
      </c>
      <c r="BA28" s="43">
        <f t="shared" si="100"/>
        <v>2.1666666666666692E-3</v>
      </c>
      <c r="BB28" s="43">
        <f t="shared" si="101"/>
        <v>2.0000000000000026E-3</v>
      </c>
      <c r="BC28" s="43">
        <f t="shared" si="102"/>
        <v>1.8333333333333359E-3</v>
      </c>
      <c r="BD28" s="43">
        <f t="shared" si="103"/>
        <v>1.6666666666666692E-3</v>
      </c>
      <c r="BE28" s="43">
        <f t="shared" si="104"/>
        <v>1.5000000000000024E-3</v>
      </c>
      <c r="BF28" s="43">
        <f t="shared" si="105"/>
        <v>1.3333333333333357E-3</v>
      </c>
      <c r="BG28" s="43">
        <f t="shared" si="106"/>
        <v>1.1666666666666689E-3</v>
      </c>
      <c r="BH28" s="43">
        <f t="shared" si="107"/>
        <v>1.0000000000000022E-3</v>
      </c>
      <c r="BI28" s="43">
        <f t="shared" si="108"/>
        <v>8.3333333333333556E-4</v>
      </c>
      <c r="BJ28" s="43">
        <f t="shared" si="109"/>
        <v>6.6666666666666892E-4</v>
      </c>
      <c r="BK28" s="43">
        <f t="shared" si="110"/>
        <v>5.0000000000000229E-4</v>
      </c>
      <c r="BL28" s="43">
        <f t="shared" si="111"/>
        <v>3.3333333333333565E-4</v>
      </c>
      <c r="BM28" s="43">
        <f t="shared" si="112"/>
        <v>1.6666666666666899E-4</v>
      </c>
      <c r="BN28" s="43">
        <f t="shared" si="113"/>
        <v>0</v>
      </c>
      <c r="BP28" s="43">
        <f t="shared" si="114"/>
        <v>5.0000000000000001E-3</v>
      </c>
      <c r="BQ28" s="43">
        <f t="shared" ref="BQ28:CS28" si="153">BP28-($BP28-$CT28)/30</f>
        <v>5.0000000000000001E-3</v>
      </c>
      <c r="BR28" s="43">
        <f t="shared" si="153"/>
        <v>5.0000000000000001E-3</v>
      </c>
      <c r="BS28" s="43">
        <f t="shared" si="153"/>
        <v>5.0000000000000001E-3</v>
      </c>
      <c r="BT28" s="43">
        <f t="shared" si="153"/>
        <v>5.0000000000000001E-3</v>
      </c>
      <c r="BU28" s="43">
        <f t="shared" si="153"/>
        <v>5.0000000000000001E-3</v>
      </c>
      <c r="BV28" s="43">
        <f t="shared" si="153"/>
        <v>5.0000000000000001E-3</v>
      </c>
      <c r="BW28" s="43">
        <f t="shared" si="153"/>
        <v>5.0000000000000001E-3</v>
      </c>
      <c r="BX28" s="43">
        <f t="shared" si="153"/>
        <v>5.0000000000000001E-3</v>
      </c>
      <c r="BY28" s="43">
        <f t="shared" si="153"/>
        <v>5.0000000000000001E-3</v>
      </c>
      <c r="BZ28" s="43">
        <f t="shared" si="153"/>
        <v>5.0000000000000001E-3</v>
      </c>
      <c r="CA28" s="43">
        <f t="shared" si="153"/>
        <v>5.0000000000000001E-3</v>
      </c>
      <c r="CB28" s="43">
        <f t="shared" si="153"/>
        <v>5.0000000000000001E-3</v>
      </c>
      <c r="CC28" s="43">
        <f t="shared" si="153"/>
        <v>5.0000000000000001E-3</v>
      </c>
      <c r="CD28" s="43">
        <f t="shared" si="153"/>
        <v>5.0000000000000001E-3</v>
      </c>
      <c r="CE28" s="43">
        <f t="shared" si="153"/>
        <v>5.0000000000000001E-3</v>
      </c>
      <c r="CF28" s="43">
        <f t="shared" si="153"/>
        <v>5.0000000000000001E-3</v>
      </c>
      <c r="CG28" s="43">
        <f t="shared" si="153"/>
        <v>5.0000000000000001E-3</v>
      </c>
      <c r="CH28" s="43">
        <f t="shared" si="153"/>
        <v>5.0000000000000001E-3</v>
      </c>
      <c r="CI28" s="43">
        <f t="shared" si="153"/>
        <v>5.0000000000000001E-3</v>
      </c>
      <c r="CJ28" s="43">
        <f t="shared" si="153"/>
        <v>5.0000000000000001E-3</v>
      </c>
      <c r="CK28" s="43">
        <f t="shared" si="153"/>
        <v>5.0000000000000001E-3</v>
      </c>
      <c r="CL28" s="43">
        <f t="shared" si="153"/>
        <v>5.0000000000000001E-3</v>
      </c>
      <c r="CM28" s="43">
        <f t="shared" si="153"/>
        <v>5.0000000000000001E-3</v>
      </c>
      <c r="CN28" s="43">
        <f t="shared" si="153"/>
        <v>5.0000000000000001E-3</v>
      </c>
      <c r="CO28" s="43">
        <f t="shared" si="153"/>
        <v>5.0000000000000001E-3</v>
      </c>
      <c r="CP28" s="43">
        <f t="shared" si="153"/>
        <v>5.0000000000000001E-3</v>
      </c>
      <c r="CQ28" s="43">
        <f t="shared" si="153"/>
        <v>5.0000000000000001E-3</v>
      </c>
      <c r="CR28" s="43">
        <f t="shared" si="153"/>
        <v>5.0000000000000001E-3</v>
      </c>
      <c r="CS28" s="43">
        <f t="shared" si="153"/>
        <v>5.0000000000000001E-3</v>
      </c>
      <c r="CT28" s="43">
        <f t="shared" si="116"/>
        <v>5.0000000000000001E-3</v>
      </c>
      <c r="CV28" s="43">
        <f>AJ28</f>
        <v>5.0000000000000001E-3</v>
      </c>
      <c r="CW28" s="43">
        <f t="shared" si="122"/>
        <v>4.8333333333333336E-3</v>
      </c>
      <c r="CX28" s="43">
        <f t="shared" si="123"/>
        <v>4.6666666666666671E-3</v>
      </c>
      <c r="CY28" s="43">
        <f t="shared" si="124"/>
        <v>4.5000000000000005E-3</v>
      </c>
      <c r="CZ28" s="43">
        <f t="shared" si="125"/>
        <v>4.333333333333334E-3</v>
      </c>
      <c r="DA28" s="43">
        <f t="shared" si="126"/>
        <v>4.1666666666666675E-3</v>
      </c>
      <c r="DB28" s="43">
        <f t="shared" si="127"/>
        <v>4.000000000000001E-3</v>
      </c>
      <c r="DC28" s="43">
        <f t="shared" si="128"/>
        <v>3.8333333333333344E-3</v>
      </c>
      <c r="DD28" s="43">
        <f t="shared" si="129"/>
        <v>3.6666666666666679E-3</v>
      </c>
      <c r="DE28" s="43">
        <f t="shared" si="130"/>
        <v>3.5000000000000014E-3</v>
      </c>
      <c r="DF28" s="43">
        <f t="shared" si="131"/>
        <v>3.3333333333333348E-3</v>
      </c>
      <c r="DG28" s="43">
        <f t="shared" si="132"/>
        <v>3.1666666666666683E-3</v>
      </c>
      <c r="DH28" s="43">
        <f t="shared" si="133"/>
        <v>3.0000000000000018E-3</v>
      </c>
      <c r="DI28" s="43">
        <f t="shared" si="134"/>
        <v>2.8333333333333353E-3</v>
      </c>
      <c r="DJ28" s="43">
        <f t="shared" si="135"/>
        <v>2.6666666666666687E-3</v>
      </c>
      <c r="DK28" s="43">
        <f t="shared" si="136"/>
        <v>2.5000000000000022E-3</v>
      </c>
      <c r="DL28" s="43">
        <f t="shared" si="137"/>
        <v>2.3333333333333357E-3</v>
      </c>
      <c r="DM28" s="43">
        <f t="shared" si="138"/>
        <v>2.1666666666666692E-3</v>
      </c>
      <c r="DN28" s="43">
        <f t="shared" si="139"/>
        <v>2.0000000000000026E-3</v>
      </c>
      <c r="DO28" s="43">
        <f t="shared" si="140"/>
        <v>1.8333333333333359E-3</v>
      </c>
      <c r="DP28" s="43">
        <f t="shared" si="141"/>
        <v>1.6666666666666692E-3</v>
      </c>
      <c r="DQ28" s="43">
        <f t="shared" si="142"/>
        <v>1.5000000000000024E-3</v>
      </c>
      <c r="DR28" s="43">
        <f t="shared" si="143"/>
        <v>1.3333333333333357E-3</v>
      </c>
      <c r="DS28" s="43">
        <f t="shared" si="144"/>
        <v>1.1666666666666689E-3</v>
      </c>
      <c r="DT28" s="43">
        <f t="shared" si="145"/>
        <v>1.0000000000000022E-3</v>
      </c>
      <c r="DU28" s="43">
        <f t="shared" si="146"/>
        <v>8.3333333333333556E-4</v>
      </c>
      <c r="DV28" s="43">
        <f t="shared" si="147"/>
        <v>6.6666666666666892E-4</v>
      </c>
      <c r="DW28" s="43">
        <f t="shared" si="148"/>
        <v>5.0000000000000229E-4</v>
      </c>
      <c r="DX28" s="43">
        <f t="shared" si="149"/>
        <v>3.3333333333333565E-4</v>
      </c>
      <c r="DY28" s="43">
        <f t="shared" si="150"/>
        <v>1.6666666666666899E-4</v>
      </c>
      <c r="DZ28" s="43">
        <f t="shared" si="151"/>
        <v>0</v>
      </c>
    </row>
    <row r="29" spans="1:165" x14ac:dyDescent="0.2">
      <c r="A29" s="606" t="s">
        <v>451</v>
      </c>
      <c r="C29" s="54" t="s">
        <v>458</v>
      </c>
      <c r="D29" s="43">
        <f>$B$191</f>
        <v>0</v>
      </c>
      <c r="E29" s="43">
        <f t="shared" ref="E29:AG29" si="154">D29-($D29-$AH29)/30</f>
        <v>0</v>
      </c>
      <c r="F29" s="43">
        <f t="shared" si="154"/>
        <v>0</v>
      </c>
      <c r="G29" s="43">
        <f t="shared" si="154"/>
        <v>0</v>
      </c>
      <c r="H29" s="43">
        <f t="shared" si="154"/>
        <v>0</v>
      </c>
      <c r="I29" s="43">
        <f t="shared" si="154"/>
        <v>0</v>
      </c>
      <c r="J29" s="43">
        <f t="shared" si="154"/>
        <v>0</v>
      </c>
      <c r="K29" s="43">
        <f t="shared" si="154"/>
        <v>0</v>
      </c>
      <c r="L29" s="43">
        <f t="shared" si="154"/>
        <v>0</v>
      </c>
      <c r="M29" s="43">
        <f t="shared" si="154"/>
        <v>0</v>
      </c>
      <c r="N29" s="43">
        <f t="shared" si="154"/>
        <v>0</v>
      </c>
      <c r="O29" s="43">
        <f t="shared" si="154"/>
        <v>0</v>
      </c>
      <c r="P29" s="43">
        <f t="shared" si="154"/>
        <v>0</v>
      </c>
      <c r="Q29" s="43">
        <f t="shared" si="154"/>
        <v>0</v>
      </c>
      <c r="R29" s="43">
        <f t="shared" si="154"/>
        <v>0</v>
      </c>
      <c r="S29" s="43">
        <f t="shared" si="154"/>
        <v>0</v>
      </c>
      <c r="T29" s="43">
        <f t="shared" si="154"/>
        <v>0</v>
      </c>
      <c r="U29" s="43">
        <f t="shared" si="154"/>
        <v>0</v>
      </c>
      <c r="V29" s="43">
        <f t="shared" si="154"/>
        <v>0</v>
      </c>
      <c r="W29" s="43">
        <f t="shared" si="154"/>
        <v>0</v>
      </c>
      <c r="X29" s="43">
        <f t="shared" si="154"/>
        <v>0</v>
      </c>
      <c r="Y29" s="43">
        <f t="shared" si="154"/>
        <v>0</v>
      </c>
      <c r="Z29" s="43">
        <f t="shared" si="154"/>
        <v>0</v>
      </c>
      <c r="AA29" s="43">
        <f t="shared" si="154"/>
        <v>0</v>
      </c>
      <c r="AB29" s="43">
        <f t="shared" si="154"/>
        <v>0</v>
      </c>
      <c r="AC29" s="43">
        <f t="shared" si="154"/>
        <v>0</v>
      </c>
      <c r="AD29" s="43">
        <f t="shared" si="154"/>
        <v>0</v>
      </c>
      <c r="AE29" s="43">
        <f t="shared" si="154"/>
        <v>0</v>
      </c>
      <c r="AF29" s="43">
        <f t="shared" si="154"/>
        <v>0</v>
      </c>
      <c r="AG29" s="43">
        <f t="shared" si="154"/>
        <v>0</v>
      </c>
      <c r="AH29" s="43">
        <f>$C$191</f>
        <v>0</v>
      </c>
      <c r="AI29" s="44"/>
      <c r="AJ29" s="43">
        <f t="shared" si="83"/>
        <v>0</v>
      </c>
      <c r="AK29" s="43">
        <f t="shared" si="84"/>
        <v>0</v>
      </c>
      <c r="AL29" s="43">
        <f t="shared" si="85"/>
        <v>0</v>
      </c>
      <c r="AM29" s="43">
        <f t="shared" si="86"/>
        <v>0</v>
      </c>
      <c r="AN29" s="43">
        <f t="shared" si="87"/>
        <v>0</v>
      </c>
      <c r="AO29" s="43">
        <f t="shared" si="88"/>
        <v>0</v>
      </c>
      <c r="AP29" s="43">
        <f t="shared" si="89"/>
        <v>0</v>
      </c>
      <c r="AQ29" s="43">
        <f t="shared" si="90"/>
        <v>0</v>
      </c>
      <c r="AR29" s="43">
        <f t="shared" si="91"/>
        <v>0</v>
      </c>
      <c r="AS29" s="43">
        <f t="shared" si="92"/>
        <v>0</v>
      </c>
      <c r="AT29" s="43">
        <f t="shared" si="93"/>
        <v>0</v>
      </c>
      <c r="AU29" s="43">
        <f t="shared" si="94"/>
        <v>0</v>
      </c>
      <c r="AV29" s="43">
        <f t="shared" si="95"/>
        <v>0</v>
      </c>
      <c r="AW29" s="43">
        <f t="shared" si="96"/>
        <v>0</v>
      </c>
      <c r="AX29" s="43">
        <f t="shared" si="97"/>
        <v>0</v>
      </c>
      <c r="AY29" s="43">
        <f t="shared" si="98"/>
        <v>0</v>
      </c>
      <c r="AZ29" s="43">
        <f t="shared" si="99"/>
        <v>0</v>
      </c>
      <c r="BA29" s="43">
        <f t="shared" si="100"/>
        <v>0</v>
      </c>
      <c r="BB29" s="43">
        <f t="shared" si="101"/>
        <v>0</v>
      </c>
      <c r="BC29" s="43">
        <f t="shared" si="102"/>
        <v>0</v>
      </c>
      <c r="BD29" s="43">
        <f t="shared" si="103"/>
        <v>0</v>
      </c>
      <c r="BE29" s="43">
        <f t="shared" si="104"/>
        <v>0</v>
      </c>
      <c r="BF29" s="43">
        <f t="shared" si="105"/>
        <v>0</v>
      </c>
      <c r="BG29" s="43">
        <f t="shared" si="106"/>
        <v>0</v>
      </c>
      <c r="BH29" s="43">
        <f t="shared" si="107"/>
        <v>0</v>
      </c>
      <c r="BI29" s="43">
        <f t="shared" si="108"/>
        <v>0</v>
      </c>
      <c r="BJ29" s="43">
        <f t="shared" si="109"/>
        <v>0</v>
      </c>
      <c r="BK29" s="43">
        <f t="shared" si="110"/>
        <v>0</v>
      </c>
      <c r="BL29" s="43">
        <f t="shared" si="111"/>
        <v>0</v>
      </c>
      <c r="BM29" s="43">
        <f t="shared" si="112"/>
        <v>0</v>
      </c>
      <c r="BN29" s="43">
        <f t="shared" si="113"/>
        <v>0</v>
      </c>
      <c r="BP29" s="43">
        <f t="shared" si="114"/>
        <v>0</v>
      </c>
      <c r="BQ29" s="43">
        <f t="shared" ref="BQ29:CS29" si="155">BP29-($BP29-$CT29)/30</f>
        <v>0</v>
      </c>
      <c r="BR29" s="43">
        <f t="shared" si="155"/>
        <v>0</v>
      </c>
      <c r="BS29" s="43">
        <f t="shared" si="155"/>
        <v>0</v>
      </c>
      <c r="BT29" s="43">
        <f t="shared" si="155"/>
        <v>0</v>
      </c>
      <c r="BU29" s="43">
        <f t="shared" si="155"/>
        <v>0</v>
      </c>
      <c r="BV29" s="43">
        <f t="shared" si="155"/>
        <v>0</v>
      </c>
      <c r="BW29" s="43">
        <f t="shared" si="155"/>
        <v>0</v>
      </c>
      <c r="BX29" s="43">
        <f t="shared" si="155"/>
        <v>0</v>
      </c>
      <c r="BY29" s="43">
        <f t="shared" si="155"/>
        <v>0</v>
      </c>
      <c r="BZ29" s="43">
        <f t="shared" si="155"/>
        <v>0</v>
      </c>
      <c r="CA29" s="43">
        <f t="shared" si="155"/>
        <v>0</v>
      </c>
      <c r="CB29" s="43">
        <f t="shared" si="155"/>
        <v>0</v>
      </c>
      <c r="CC29" s="43">
        <f t="shared" si="155"/>
        <v>0</v>
      </c>
      <c r="CD29" s="43">
        <f t="shared" si="155"/>
        <v>0</v>
      </c>
      <c r="CE29" s="43">
        <f t="shared" si="155"/>
        <v>0</v>
      </c>
      <c r="CF29" s="43">
        <f t="shared" si="155"/>
        <v>0</v>
      </c>
      <c r="CG29" s="43">
        <f t="shared" si="155"/>
        <v>0</v>
      </c>
      <c r="CH29" s="43">
        <f t="shared" si="155"/>
        <v>0</v>
      </c>
      <c r="CI29" s="43">
        <f t="shared" si="155"/>
        <v>0</v>
      </c>
      <c r="CJ29" s="43">
        <f t="shared" si="155"/>
        <v>0</v>
      </c>
      <c r="CK29" s="43">
        <f t="shared" si="155"/>
        <v>0</v>
      </c>
      <c r="CL29" s="43">
        <f t="shared" si="155"/>
        <v>0</v>
      </c>
      <c r="CM29" s="43">
        <f t="shared" si="155"/>
        <v>0</v>
      </c>
      <c r="CN29" s="43">
        <f t="shared" si="155"/>
        <v>0</v>
      </c>
      <c r="CO29" s="43">
        <f t="shared" si="155"/>
        <v>0</v>
      </c>
      <c r="CP29" s="43">
        <f t="shared" si="155"/>
        <v>0</v>
      </c>
      <c r="CQ29" s="43">
        <f t="shared" si="155"/>
        <v>0</v>
      </c>
      <c r="CR29" s="43">
        <f t="shared" si="155"/>
        <v>0</v>
      </c>
      <c r="CS29" s="43">
        <f t="shared" si="155"/>
        <v>0</v>
      </c>
      <c r="CT29" s="43">
        <f t="shared" si="116"/>
        <v>0</v>
      </c>
      <c r="CV29" s="43">
        <f t="shared" ref="CV29:CV32" si="156">AJ29</f>
        <v>0</v>
      </c>
      <c r="CW29" s="43">
        <f t="shared" ref="CW29:CW32" si="157">CV29-($BP29-$CT29)/30</f>
        <v>0</v>
      </c>
      <c r="CX29" s="43">
        <f t="shared" ref="CX29:CX32" si="158">CW29-($BP29-$CT29)/30</f>
        <v>0</v>
      </c>
      <c r="CY29" s="43">
        <f t="shared" ref="CY29:CY32" si="159">CX29-($BP29-$CT29)/30</f>
        <v>0</v>
      </c>
      <c r="CZ29" s="43">
        <f t="shared" ref="CZ29:CZ32" si="160">CY29-($BP29-$CT29)/30</f>
        <v>0</v>
      </c>
      <c r="DA29" s="43">
        <f t="shared" ref="DA29:DA32" si="161">CZ29-($BP29-$CT29)/30</f>
        <v>0</v>
      </c>
      <c r="DB29" s="43">
        <f t="shared" ref="DB29:DB32" si="162">DA29-($BP29-$CT29)/30</f>
        <v>0</v>
      </c>
      <c r="DC29" s="43">
        <f t="shared" ref="DC29:DC32" si="163">DB29-($BP29-$CT29)/30</f>
        <v>0</v>
      </c>
      <c r="DD29" s="43">
        <f t="shared" ref="DD29:DD32" si="164">DC29-($BP29-$CT29)/30</f>
        <v>0</v>
      </c>
      <c r="DE29" s="43">
        <f t="shared" ref="DE29:DE32" si="165">DD29-($BP29-$CT29)/30</f>
        <v>0</v>
      </c>
      <c r="DF29" s="43">
        <f t="shared" ref="DF29:DF32" si="166">DE29-($BP29-$CT29)/30</f>
        <v>0</v>
      </c>
      <c r="DG29" s="43">
        <f t="shared" ref="DG29:DG32" si="167">DF29-($BP29-$CT29)/30</f>
        <v>0</v>
      </c>
      <c r="DH29" s="43">
        <f t="shared" ref="DH29:DH32" si="168">DG29-($BP29-$CT29)/30</f>
        <v>0</v>
      </c>
      <c r="DI29" s="43">
        <f t="shared" ref="DI29:DI32" si="169">DH29-($BP29-$CT29)/30</f>
        <v>0</v>
      </c>
      <c r="DJ29" s="43">
        <f t="shared" ref="DJ29:DJ32" si="170">DI29-($BP29-$CT29)/30</f>
        <v>0</v>
      </c>
      <c r="DK29" s="43">
        <f t="shared" ref="DK29:DK32" si="171">DJ29-($BP29-$CT29)/30</f>
        <v>0</v>
      </c>
      <c r="DL29" s="43">
        <f t="shared" ref="DL29:DL32" si="172">DK29-($BP29-$CT29)/30</f>
        <v>0</v>
      </c>
      <c r="DM29" s="43">
        <f t="shared" ref="DM29:DM32" si="173">DL29-($BP29-$CT29)/30</f>
        <v>0</v>
      </c>
      <c r="DN29" s="43">
        <f t="shared" ref="DN29:DN32" si="174">DM29-($BP29-$CT29)/30</f>
        <v>0</v>
      </c>
      <c r="DO29" s="43">
        <f t="shared" ref="DO29:DO32" si="175">DN29-($BP29-$CT29)/30</f>
        <v>0</v>
      </c>
      <c r="DP29" s="43">
        <f t="shared" ref="DP29:DP32" si="176">DO29-($BP29-$CT29)/30</f>
        <v>0</v>
      </c>
      <c r="DQ29" s="43">
        <f t="shared" ref="DQ29:DQ32" si="177">DP29-($BP29-$CT29)/30</f>
        <v>0</v>
      </c>
      <c r="DR29" s="43">
        <f t="shared" ref="DR29:DR32" si="178">DQ29-($BP29-$CT29)/30</f>
        <v>0</v>
      </c>
      <c r="DS29" s="43">
        <f t="shared" ref="DS29:DS32" si="179">DR29-($BP29-$CT29)/30</f>
        <v>0</v>
      </c>
      <c r="DT29" s="43">
        <f t="shared" ref="DT29:DT32" si="180">DS29-($BP29-$CT29)/30</f>
        <v>0</v>
      </c>
      <c r="DU29" s="43">
        <f t="shared" ref="DU29:DU32" si="181">DT29-($BP29-$CT29)/30</f>
        <v>0</v>
      </c>
      <c r="DV29" s="43">
        <f t="shared" ref="DV29:DV32" si="182">DU29-($BP29-$CT29)/30</f>
        <v>0</v>
      </c>
      <c r="DW29" s="43">
        <f t="shared" ref="DW29:DW32" si="183">DV29-($BP29-$CT29)/30</f>
        <v>0</v>
      </c>
      <c r="DX29" s="43">
        <f t="shared" ref="DX29:DX32" si="184">DW29-($BP29-$CT29)/30</f>
        <v>0</v>
      </c>
      <c r="DY29" s="43">
        <f t="shared" ref="DY29:DY32" si="185">DX29-($BP29-$CT29)/30</f>
        <v>0</v>
      </c>
      <c r="DZ29" s="43">
        <v>0</v>
      </c>
    </row>
    <row r="30" spans="1:165" x14ac:dyDescent="0.2">
      <c r="A30" s="606" t="s">
        <v>452</v>
      </c>
      <c r="C30" s="54" t="s">
        <v>458</v>
      </c>
      <c r="D30" s="43">
        <f>$B$192</f>
        <v>2.8940000000000001</v>
      </c>
      <c r="E30" s="43">
        <f t="shared" ref="E30:AG30" si="186">D30-($D30-$AH30)/30</f>
        <v>2.8940000000000001</v>
      </c>
      <c r="F30" s="43">
        <f t="shared" si="186"/>
        <v>2.8940000000000001</v>
      </c>
      <c r="G30" s="43">
        <f t="shared" si="186"/>
        <v>2.8940000000000001</v>
      </c>
      <c r="H30" s="43">
        <f t="shared" si="186"/>
        <v>2.8940000000000001</v>
      </c>
      <c r="I30" s="43">
        <f t="shared" si="186"/>
        <v>2.8940000000000001</v>
      </c>
      <c r="J30" s="43">
        <f t="shared" si="186"/>
        <v>2.8940000000000001</v>
      </c>
      <c r="K30" s="43">
        <f t="shared" si="186"/>
        <v>2.8940000000000001</v>
      </c>
      <c r="L30" s="43">
        <f t="shared" si="186"/>
        <v>2.8940000000000001</v>
      </c>
      <c r="M30" s="43">
        <f t="shared" si="186"/>
        <v>2.8940000000000001</v>
      </c>
      <c r="N30" s="43">
        <f t="shared" si="186"/>
        <v>2.8940000000000001</v>
      </c>
      <c r="O30" s="43">
        <f t="shared" si="186"/>
        <v>2.8940000000000001</v>
      </c>
      <c r="P30" s="43">
        <f t="shared" si="186"/>
        <v>2.8940000000000001</v>
      </c>
      <c r="Q30" s="43">
        <f t="shared" si="186"/>
        <v>2.8940000000000001</v>
      </c>
      <c r="R30" s="43">
        <f t="shared" si="186"/>
        <v>2.8940000000000001</v>
      </c>
      <c r="S30" s="43">
        <f t="shared" si="186"/>
        <v>2.8940000000000001</v>
      </c>
      <c r="T30" s="43">
        <f t="shared" si="186"/>
        <v>2.8940000000000001</v>
      </c>
      <c r="U30" s="43">
        <f t="shared" si="186"/>
        <v>2.8940000000000001</v>
      </c>
      <c r="V30" s="43">
        <f t="shared" si="186"/>
        <v>2.8940000000000001</v>
      </c>
      <c r="W30" s="43">
        <f t="shared" si="186"/>
        <v>2.8940000000000001</v>
      </c>
      <c r="X30" s="43">
        <f t="shared" si="186"/>
        <v>2.8940000000000001</v>
      </c>
      <c r="Y30" s="43">
        <f t="shared" si="186"/>
        <v>2.8940000000000001</v>
      </c>
      <c r="Z30" s="43">
        <f t="shared" si="186"/>
        <v>2.8940000000000001</v>
      </c>
      <c r="AA30" s="43">
        <f t="shared" si="186"/>
        <v>2.8940000000000001</v>
      </c>
      <c r="AB30" s="43">
        <f t="shared" si="186"/>
        <v>2.8940000000000001</v>
      </c>
      <c r="AC30" s="43">
        <f t="shared" si="186"/>
        <v>2.8940000000000001</v>
      </c>
      <c r="AD30" s="43">
        <f t="shared" si="186"/>
        <v>2.8940000000000001</v>
      </c>
      <c r="AE30" s="43">
        <f t="shared" si="186"/>
        <v>2.8940000000000001</v>
      </c>
      <c r="AF30" s="43">
        <f t="shared" si="186"/>
        <v>2.8940000000000001</v>
      </c>
      <c r="AG30" s="43">
        <f t="shared" si="186"/>
        <v>2.8940000000000001</v>
      </c>
      <c r="AH30" s="43">
        <f>$C$192</f>
        <v>2.8940000000000001</v>
      </c>
      <c r="AI30" s="44"/>
      <c r="AJ30" s="43">
        <f t="shared" si="83"/>
        <v>2.8940000000000001</v>
      </c>
      <c r="AK30" s="43">
        <f t="shared" si="84"/>
        <v>2.8940000000000001</v>
      </c>
      <c r="AL30" s="43">
        <f t="shared" si="85"/>
        <v>2.8940000000000001</v>
      </c>
      <c r="AM30" s="43">
        <f t="shared" si="86"/>
        <v>2.8940000000000001</v>
      </c>
      <c r="AN30" s="43">
        <f t="shared" si="87"/>
        <v>2.8940000000000001</v>
      </c>
      <c r="AO30" s="43">
        <f t="shared" si="88"/>
        <v>2.8940000000000001</v>
      </c>
      <c r="AP30" s="43">
        <f t="shared" si="89"/>
        <v>2.8940000000000001</v>
      </c>
      <c r="AQ30" s="43">
        <f t="shared" si="90"/>
        <v>2.8940000000000001</v>
      </c>
      <c r="AR30" s="43">
        <f t="shared" si="91"/>
        <v>2.8940000000000001</v>
      </c>
      <c r="AS30" s="43">
        <f t="shared" si="92"/>
        <v>2.8940000000000001</v>
      </c>
      <c r="AT30" s="43">
        <f t="shared" si="93"/>
        <v>2.8940000000000001</v>
      </c>
      <c r="AU30" s="43">
        <f t="shared" si="94"/>
        <v>2.8940000000000001</v>
      </c>
      <c r="AV30" s="43">
        <f t="shared" si="95"/>
        <v>2.8940000000000001</v>
      </c>
      <c r="AW30" s="43">
        <f t="shared" si="96"/>
        <v>2.8940000000000001</v>
      </c>
      <c r="AX30" s="43">
        <f t="shared" si="97"/>
        <v>2.8940000000000001</v>
      </c>
      <c r="AY30" s="43">
        <f t="shared" si="98"/>
        <v>2.8940000000000001</v>
      </c>
      <c r="AZ30" s="43">
        <f t="shared" si="99"/>
        <v>2.8940000000000001</v>
      </c>
      <c r="BA30" s="43">
        <f t="shared" si="100"/>
        <v>2.8940000000000001</v>
      </c>
      <c r="BB30" s="43">
        <f t="shared" si="101"/>
        <v>2.8940000000000001</v>
      </c>
      <c r="BC30" s="43">
        <f t="shared" si="102"/>
        <v>2.8940000000000001</v>
      </c>
      <c r="BD30" s="43">
        <f t="shared" si="103"/>
        <v>2.8940000000000001</v>
      </c>
      <c r="BE30" s="43">
        <f t="shared" si="104"/>
        <v>2.8940000000000001</v>
      </c>
      <c r="BF30" s="43">
        <f t="shared" si="105"/>
        <v>2.8940000000000001</v>
      </c>
      <c r="BG30" s="43">
        <f t="shared" si="106"/>
        <v>2.8940000000000001</v>
      </c>
      <c r="BH30" s="43">
        <f t="shared" si="107"/>
        <v>2.8940000000000001</v>
      </c>
      <c r="BI30" s="43">
        <f t="shared" si="108"/>
        <v>2.8940000000000001</v>
      </c>
      <c r="BJ30" s="43">
        <f t="shared" si="109"/>
        <v>2.8940000000000001</v>
      </c>
      <c r="BK30" s="43">
        <f t="shared" si="110"/>
        <v>2.8940000000000001</v>
      </c>
      <c r="BL30" s="43">
        <f t="shared" si="111"/>
        <v>2.8940000000000001</v>
      </c>
      <c r="BM30" s="43">
        <f t="shared" si="112"/>
        <v>2.8940000000000001</v>
      </c>
      <c r="BN30" s="43">
        <f t="shared" si="113"/>
        <v>2.8940000000000001</v>
      </c>
      <c r="BP30" s="43">
        <f t="shared" si="114"/>
        <v>2.8940000000000001</v>
      </c>
      <c r="BQ30" s="43">
        <f t="shared" ref="BQ30:CS30" si="187">BP30-($BP30-$CT30)/30</f>
        <v>2.8940000000000001</v>
      </c>
      <c r="BR30" s="43">
        <f t="shared" si="187"/>
        <v>2.8940000000000001</v>
      </c>
      <c r="BS30" s="43">
        <f t="shared" si="187"/>
        <v>2.8940000000000001</v>
      </c>
      <c r="BT30" s="43">
        <f t="shared" si="187"/>
        <v>2.8940000000000001</v>
      </c>
      <c r="BU30" s="43">
        <f t="shared" si="187"/>
        <v>2.8940000000000001</v>
      </c>
      <c r="BV30" s="43">
        <f t="shared" si="187"/>
        <v>2.8940000000000001</v>
      </c>
      <c r="BW30" s="43">
        <f t="shared" si="187"/>
        <v>2.8940000000000001</v>
      </c>
      <c r="BX30" s="43">
        <f t="shared" si="187"/>
        <v>2.8940000000000001</v>
      </c>
      <c r="BY30" s="43">
        <f t="shared" si="187"/>
        <v>2.8940000000000001</v>
      </c>
      <c r="BZ30" s="43">
        <f t="shared" si="187"/>
        <v>2.8940000000000001</v>
      </c>
      <c r="CA30" s="43">
        <f t="shared" si="187"/>
        <v>2.8940000000000001</v>
      </c>
      <c r="CB30" s="43">
        <f t="shared" si="187"/>
        <v>2.8940000000000001</v>
      </c>
      <c r="CC30" s="43">
        <f t="shared" si="187"/>
        <v>2.8940000000000001</v>
      </c>
      <c r="CD30" s="43">
        <f t="shared" si="187"/>
        <v>2.8940000000000001</v>
      </c>
      <c r="CE30" s="43">
        <f t="shared" si="187"/>
        <v>2.8940000000000001</v>
      </c>
      <c r="CF30" s="43">
        <f t="shared" si="187"/>
        <v>2.8940000000000001</v>
      </c>
      <c r="CG30" s="43">
        <f t="shared" si="187"/>
        <v>2.8940000000000001</v>
      </c>
      <c r="CH30" s="43">
        <f t="shared" si="187"/>
        <v>2.8940000000000001</v>
      </c>
      <c r="CI30" s="43">
        <f t="shared" si="187"/>
        <v>2.8940000000000001</v>
      </c>
      <c r="CJ30" s="43">
        <f t="shared" si="187"/>
        <v>2.8940000000000001</v>
      </c>
      <c r="CK30" s="43">
        <f t="shared" si="187"/>
        <v>2.8940000000000001</v>
      </c>
      <c r="CL30" s="43">
        <f t="shared" si="187"/>
        <v>2.8940000000000001</v>
      </c>
      <c r="CM30" s="43">
        <f t="shared" si="187"/>
        <v>2.8940000000000001</v>
      </c>
      <c r="CN30" s="43">
        <f t="shared" si="187"/>
        <v>2.8940000000000001</v>
      </c>
      <c r="CO30" s="43">
        <f t="shared" si="187"/>
        <v>2.8940000000000001</v>
      </c>
      <c r="CP30" s="43">
        <f t="shared" si="187"/>
        <v>2.8940000000000001</v>
      </c>
      <c r="CQ30" s="43">
        <f t="shared" si="187"/>
        <v>2.8940000000000001</v>
      </c>
      <c r="CR30" s="43">
        <f t="shared" si="187"/>
        <v>2.8940000000000001</v>
      </c>
      <c r="CS30" s="43">
        <f t="shared" si="187"/>
        <v>2.8940000000000001</v>
      </c>
      <c r="CT30" s="43">
        <f t="shared" si="116"/>
        <v>2.8940000000000001</v>
      </c>
      <c r="CV30" s="43">
        <f t="shared" si="156"/>
        <v>2.8940000000000001</v>
      </c>
      <c r="CW30" s="43">
        <f t="shared" si="157"/>
        <v>2.8940000000000001</v>
      </c>
      <c r="CX30" s="43">
        <f t="shared" si="158"/>
        <v>2.8940000000000001</v>
      </c>
      <c r="CY30" s="43">
        <f t="shared" si="159"/>
        <v>2.8940000000000001</v>
      </c>
      <c r="CZ30" s="43">
        <f t="shared" si="160"/>
        <v>2.8940000000000001</v>
      </c>
      <c r="DA30" s="43">
        <f t="shared" si="161"/>
        <v>2.8940000000000001</v>
      </c>
      <c r="DB30" s="43">
        <f t="shared" si="162"/>
        <v>2.8940000000000001</v>
      </c>
      <c r="DC30" s="43">
        <f t="shared" si="163"/>
        <v>2.8940000000000001</v>
      </c>
      <c r="DD30" s="43">
        <f t="shared" si="164"/>
        <v>2.8940000000000001</v>
      </c>
      <c r="DE30" s="43">
        <f t="shared" si="165"/>
        <v>2.8940000000000001</v>
      </c>
      <c r="DF30" s="43">
        <f t="shared" si="166"/>
        <v>2.8940000000000001</v>
      </c>
      <c r="DG30" s="43">
        <f t="shared" si="167"/>
        <v>2.8940000000000001</v>
      </c>
      <c r="DH30" s="43">
        <f t="shared" si="168"/>
        <v>2.8940000000000001</v>
      </c>
      <c r="DI30" s="43">
        <f t="shared" si="169"/>
        <v>2.8940000000000001</v>
      </c>
      <c r="DJ30" s="43">
        <f t="shared" si="170"/>
        <v>2.8940000000000001</v>
      </c>
      <c r="DK30" s="43">
        <f t="shared" si="171"/>
        <v>2.8940000000000001</v>
      </c>
      <c r="DL30" s="43">
        <f t="shared" si="172"/>
        <v>2.8940000000000001</v>
      </c>
      <c r="DM30" s="43">
        <f t="shared" si="173"/>
        <v>2.8940000000000001</v>
      </c>
      <c r="DN30" s="43">
        <f t="shared" si="174"/>
        <v>2.8940000000000001</v>
      </c>
      <c r="DO30" s="43">
        <f t="shared" si="175"/>
        <v>2.8940000000000001</v>
      </c>
      <c r="DP30" s="43">
        <f t="shared" si="176"/>
        <v>2.8940000000000001</v>
      </c>
      <c r="DQ30" s="43">
        <f t="shared" si="177"/>
        <v>2.8940000000000001</v>
      </c>
      <c r="DR30" s="43">
        <f t="shared" si="178"/>
        <v>2.8940000000000001</v>
      </c>
      <c r="DS30" s="43">
        <f t="shared" si="179"/>
        <v>2.8940000000000001</v>
      </c>
      <c r="DT30" s="43">
        <f t="shared" si="180"/>
        <v>2.8940000000000001</v>
      </c>
      <c r="DU30" s="43">
        <f t="shared" si="181"/>
        <v>2.8940000000000001</v>
      </c>
      <c r="DV30" s="43">
        <f t="shared" si="182"/>
        <v>2.8940000000000001</v>
      </c>
      <c r="DW30" s="43">
        <f t="shared" si="183"/>
        <v>2.8940000000000001</v>
      </c>
      <c r="DX30" s="43">
        <f t="shared" si="184"/>
        <v>2.8940000000000001</v>
      </c>
      <c r="DY30" s="43">
        <f t="shared" si="185"/>
        <v>2.8940000000000001</v>
      </c>
      <c r="DZ30" s="43">
        <f t="shared" ref="DZ30:DZ32" si="188">CV30</f>
        <v>2.8940000000000001</v>
      </c>
    </row>
    <row r="31" spans="1:165" x14ac:dyDescent="0.2">
      <c r="A31" s="606" t="s">
        <v>453</v>
      </c>
      <c r="C31" s="54" t="s">
        <v>458</v>
      </c>
      <c r="D31" s="43">
        <f>$B$193</f>
        <v>0</v>
      </c>
      <c r="E31" s="43">
        <f t="shared" ref="E31:AG31" si="189">D31-($D31-$AH31)/30</f>
        <v>0</v>
      </c>
      <c r="F31" s="43">
        <f t="shared" si="189"/>
        <v>0</v>
      </c>
      <c r="G31" s="43">
        <f t="shared" si="189"/>
        <v>0</v>
      </c>
      <c r="H31" s="43">
        <f t="shared" si="189"/>
        <v>0</v>
      </c>
      <c r="I31" s="43">
        <f t="shared" si="189"/>
        <v>0</v>
      </c>
      <c r="J31" s="43">
        <f t="shared" si="189"/>
        <v>0</v>
      </c>
      <c r="K31" s="43">
        <f t="shared" si="189"/>
        <v>0</v>
      </c>
      <c r="L31" s="43">
        <f t="shared" si="189"/>
        <v>0</v>
      </c>
      <c r="M31" s="43">
        <f t="shared" si="189"/>
        <v>0</v>
      </c>
      <c r="N31" s="43">
        <f t="shared" si="189"/>
        <v>0</v>
      </c>
      <c r="O31" s="43">
        <f t="shared" si="189"/>
        <v>0</v>
      </c>
      <c r="P31" s="43">
        <f t="shared" si="189"/>
        <v>0</v>
      </c>
      <c r="Q31" s="43">
        <f t="shared" si="189"/>
        <v>0</v>
      </c>
      <c r="R31" s="43">
        <f t="shared" si="189"/>
        <v>0</v>
      </c>
      <c r="S31" s="43">
        <f t="shared" si="189"/>
        <v>0</v>
      </c>
      <c r="T31" s="43">
        <f t="shared" si="189"/>
        <v>0</v>
      </c>
      <c r="U31" s="43">
        <f t="shared" si="189"/>
        <v>0</v>
      </c>
      <c r="V31" s="43">
        <f t="shared" si="189"/>
        <v>0</v>
      </c>
      <c r="W31" s="43">
        <f t="shared" si="189"/>
        <v>0</v>
      </c>
      <c r="X31" s="43">
        <f t="shared" si="189"/>
        <v>0</v>
      </c>
      <c r="Y31" s="43">
        <f t="shared" si="189"/>
        <v>0</v>
      </c>
      <c r="Z31" s="43">
        <f t="shared" si="189"/>
        <v>0</v>
      </c>
      <c r="AA31" s="43">
        <f t="shared" si="189"/>
        <v>0</v>
      </c>
      <c r="AB31" s="43">
        <f t="shared" si="189"/>
        <v>0</v>
      </c>
      <c r="AC31" s="43">
        <f t="shared" si="189"/>
        <v>0</v>
      </c>
      <c r="AD31" s="43">
        <f t="shared" si="189"/>
        <v>0</v>
      </c>
      <c r="AE31" s="43">
        <f t="shared" si="189"/>
        <v>0</v>
      </c>
      <c r="AF31" s="43">
        <f t="shared" si="189"/>
        <v>0</v>
      </c>
      <c r="AG31" s="43">
        <f t="shared" si="189"/>
        <v>0</v>
      </c>
      <c r="AH31" s="43">
        <f>$C$193</f>
        <v>0</v>
      </c>
      <c r="AI31" s="44"/>
      <c r="AJ31" s="43">
        <f t="shared" si="83"/>
        <v>0</v>
      </c>
      <c r="AK31" s="43">
        <f t="shared" si="84"/>
        <v>0</v>
      </c>
      <c r="AL31" s="43">
        <f t="shared" si="85"/>
        <v>0</v>
      </c>
      <c r="AM31" s="43">
        <f t="shared" si="86"/>
        <v>0</v>
      </c>
      <c r="AN31" s="43">
        <f t="shared" si="87"/>
        <v>0</v>
      </c>
      <c r="AO31" s="43">
        <f t="shared" si="88"/>
        <v>0</v>
      </c>
      <c r="AP31" s="43">
        <f t="shared" si="89"/>
        <v>0</v>
      </c>
      <c r="AQ31" s="43">
        <f t="shared" si="90"/>
        <v>0</v>
      </c>
      <c r="AR31" s="43">
        <f t="shared" si="91"/>
        <v>0</v>
      </c>
      <c r="AS31" s="43">
        <f t="shared" si="92"/>
        <v>0</v>
      </c>
      <c r="AT31" s="43">
        <f t="shared" si="93"/>
        <v>0</v>
      </c>
      <c r="AU31" s="43">
        <f t="shared" si="94"/>
        <v>0</v>
      </c>
      <c r="AV31" s="43">
        <f t="shared" si="95"/>
        <v>0</v>
      </c>
      <c r="AW31" s="43">
        <f t="shared" si="96"/>
        <v>0</v>
      </c>
      <c r="AX31" s="43">
        <f t="shared" si="97"/>
        <v>0</v>
      </c>
      <c r="AY31" s="43">
        <f t="shared" si="98"/>
        <v>0</v>
      </c>
      <c r="AZ31" s="43">
        <f t="shared" si="99"/>
        <v>0</v>
      </c>
      <c r="BA31" s="43">
        <f t="shared" si="100"/>
        <v>0</v>
      </c>
      <c r="BB31" s="43">
        <f t="shared" si="101"/>
        <v>0</v>
      </c>
      <c r="BC31" s="43">
        <f t="shared" si="102"/>
        <v>0</v>
      </c>
      <c r="BD31" s="43">
        <f t="shared" si="103"/>
        <v>0</v>
      </c>
      <c r="BE31" s="43">
        <f t="shared" si="104"/>
        <v>0</v>
      </c>
      <c r="BF31" s="43">
        <f t="shared" si="105"/>
        <v>0</v>
      </c>
      <c r="BG31" s="43">
        <f t="shared" si="106"/>
        <v>0</v>
      </c>
      <c r="BH31" s="43">
        <f t="shared" si="107"/>
        <v>0</v>
      </c>
      <c r="BI31" s="43">
        <f t="shared" si="108"/>
        <v>0</v>
      </c>
      <c r="BJ31" s="43">
        <f t="shared" si="109"/>
        <v>0</v>
      </c>
      <c r="BK31" s="43">
        <f t="shared" si="110"/>
        <v>0</v>
      </c>
      <c r="BL31" s="43">
        <f t="shared" si="111"/>
        <v>0</v>
      </c>
      <c r="BM31" s="43">
        <f t="shared" si="112"/>
        <v>0</v>
      </c>
      <c r="BN31" s="43">
        <f t="shared" si="113"/>
        <v>0</v>
      </c>
      <c r="BP31" s="43">
        <f t="shared" si="114"/>
        <v>0</v>
      </c>
      <c r="BQ31" s="43">
        <f t="shared" ref="BQ31:CS31" si="190">BP31-($BP31-$CT31)/30</f>
        <v>0</v>
      </c>
      <c r="BR31" s="43">
        <f t="shared" si="190"/>
        <v>0</v>
      </c>
      <c r="BS31" s="43">
        <f t="shared" si="190"/>
        <v>0</v>
      </c>
      <c r="BT31" s="43">
        <f t="shared" si="190"/>
        <v>0</v>
      </c>
      <c r="BU31" s="43">
        <f t="shared" si="190"/>
        <v>0</v>
      </c>
      <c r="BV31" s="43">
        <f t="shared" si="190"/>
        <v>0</v>
      </c>
      <c r="BW31" s="43">
        <f t="shared" si="190"/>
        <v>0</v>
      </c>
      <c r="BX31" s="43">
        <f t="shared" si="190"/>
        <v>0</v>
      </c>
      <c r="BY31" s="43">
        <f t="shared" si="190"/>
        <v>0</v>
      </c>
      <c r="BZ31" s="43">
        <f t="shared" si="190"/>
        <v>0</v>
      </c>
      <c r="CA31" s="43">
        <f t="shared" si="190"/>
        <v>0</v>
      </c>
      <c r="CB31" s="43">
        <f t="shared" si="190"/>
        <v>0</v>
      </c>
      <c r="CC31" s="43">
        <f t="shared" si="190"/>
        <v>0</v>
      </c>
      <c r="CD31" s="43">
        <f t="shared" si="190"/>
        <v>0</v>
      </c>
      <c r="CE31" s="43">
        <f t="shared" si="190"/>
        <v>0</v>
      </c>
      <c r="CF31" s="43">
        <f t="shared" si="190"/>
        <v>0</v>
      </c>
      <c r="CG31" s="43">
        <f t="shared" si="190"/>
        <v>0</v>
      </c>
      <c r="CH31" s="43">
        <f t="shared" si="190"/>
        <v>0</v>
      </c>
      <c r="CI31" s="43">
        <f t="shared" si="190"/>
        <v>0</v>
      </c>
      <c r="CJ31" s="43">
        <f t="shared" si="190"/>
        <v>0</v>
      </c>
      <c r="CK31" s="43">
        <f t="shared" si="190"/>
        <v>0</v>
      </c>
      <c r="CL31" s="43">
        <f t="shared" si="190"/>
        <v>0</v>
      </c>
      <c r="CM31" s="43">
        <f t="shared" si="190"/>
        <v>0</v>
      </c>
      <c r="CN31" s="43">
        <f t="shared" si="190"/>
        <v>0</v>
      </c>
      <c r="CO31" s="43">
        <f t="shared" si="190"/>
        <v>0</v>
      </c>
      <c r="CP31" s="43">
        <f t="shared" si="190"/>
        <v>0</v>
      </c>
      <c r="CQ31" s="43">
        <f t="shared" si="190"/>
        <v>0</v>
      </c>
      <c r="CR31" s="43">
        <f t="shared" si="190"/>
        <v>0</v>
      </c>
      <c r="CS31" s="43">
        <f t="shared" si="190"/>
        <v>0</v>
      </c>
      <c r="CT31" s="43">
        <f t="shared" si="116"/>
        <v>0</v>
      </c>
      <c r="CV31" s="43">
        <f t="shared" si="156"/>
        <v>0</v>
      </c>
      <c r="CW31" s="43">
        <f t="shared" si="157"/>
        <v>0</v>
      </c>
      <c r="CX31" s="43">
        <f t="shared" si="158"/>
        <v>0</v>
      </c>
      <c r="CY31" s="43">
        <f t="shared" si="159"/>
        <v>0</v>
      </c>
      <c r="CZ31" s="43">
        <f t="shared" si="160"/>
        <v>0</v>
      </c>
      <c r="DA31" s="43">
        <f t="shared" si="161"/>
        <v>0</v>
      </c>
      <c r="DB31" s="43">
        <f t="shared" si="162"/>
        <v>0</v>
      </c>
      <c r="DC31" s="43">
        <f t="shared" si="163"/>
        <v>0</v>
      </c>
      <c r="DD31" s="43">
        <f t="shared" si="164"/>
        <v>0</v>
      </c>
      <c r="DE31" s="43">
        <f t="shared" si="165"/>
        <v>0</v>
      </c>
      <c r="DF31" s="43">
        <f t="shared" si="166"/>
        <v>0</v>
      </c>
      <c r="DG31" s="43">
        <f t="shared" si="167"/>
        <v>0</v>
      </c>
      <c r="DH31" s="43">
        <f t="shared" si="168"/>
        <v>0</v>
      </c>
      <c r="DI31" s="43">
        <f t="shared" si="169"/>
        <v>0</v>
      </c>
      <c r="DJ31" s="43">
        <f t="shared" si="170"/>
        <v>0</v>
      </c>
      <c r="DK31" s="43">
        <f t="shared" si="171"/>
        <v>0</v>
      </c>
      <c r="DL31" s="43">
        <f t="shared" si="172"/>
        <v>0</v>
      </c>
      <c r="DM31" s="43">
        <f t="shared" si="173"/>
        <v>0</v>
      </c>
      <c r="DN31" s="43">
        <f t="shared" si="174"/>
        <v>0</v>
      </c>
      <c r="DO31" s="43">
        <f t="shared" si="175"/>
        <v>0</v>
      </c>
      <c r="DP31" s="43">
        <f t="shared" si="176"/>
        <v>0</v>
      </c>
      <c r="DQ31" s="43">
        <f t="shared" si="177"/>
        <v>0</v>
      </c>
      <c r="DR31" s="43">
        <f t="shared" si="178"/>
        <v>0</v>
      </c>
      <c r="DS31" s="43">
        <f t="shared" si="179"/>
        <v>0</v>
      </c>
      <c r="DT31" s="43">
        <f t="shared" si="180"/>
        <v>0</v>
      </c>
      <c r="DU31" s="43">
        <f t="shared" si="181"/>
        <v>0</v>
      </c>
      <c r="DV31" s="43">
        <f t="shared" si="182"/>
        <v>0</v>
      </c>
      <c r="DW31" s="43">
        <f t="shared" si="183"/>
        <v>0</v>
      </c>
      <c r="DX31" s="43">
        <f t="shared" si="184"/>
        <v>0</v>
      </c>
      <c r="DY31" s="43">
        <f t="shared" si="185"/>
        <v>0</v>
      </c>
      <c r="DZ31" s="43">
        <f t="shared" si="188"/>
        <v>0</v>
      </c>
    </row>
    <row r="32" spans="1:165" ht="16" thickBot="1" x14ac:dyDescent="0.25">
      <c r="A32" s="606" t="s">
        <v>454</v>
      </c>
      <c r="C32" s="54" t="s">
        <v>458</v>
      </c>
      <c r="D32" s="43">
        <f>$B$194</f>
        <v>0</v>
      </c>
      <c r="E32" s="43">
        <f t="shared" ref="E32:AG32" si="191">D32-($D32-$AH32)/30</f>
        <v>0</v>
      </c>
      <c r="F32" s="43">
        <f t="shared" si="191"/>
        <v>0</v>
      </c>
      <c r="G32" s="43">
        <f t="shared" si="191"/>
        <v>0</v>
      </c>
      <c r="H32" s="43">
        <f t="shared" si="191"/>
        <v>0</v>
      </c>
      <c r="I32" s="43">
        <f t="shared" si="191"/>
        <v>0</v>
      </c>
      <c r="J32" s="43">
        <f t="shared" si="191"/>
        <v>0</v>
      </c>
      <c r="K32" s="43">
        <f t="shared" si="191"/>
        <v>0</v>
      </c>
      <c r="L32" s="43">
        <f t="shared" si="191"/>
        <v>0</v>
      </c>
      <c r="M32" s="43">
        <f t="shared" si="191"/>
        <v>0</v>
      </c>
      <c r="N32" s="43">
        <f t="shared" si="191"/>
        <v>0</v>
      </c>
      <c r="O32" s="43">
        <f t="shared" si="191"/>
        <v>0</v>
      </c>
      <c r="P32" s="43">
        <f t="shared" si="191"/>
        <v>0</v>
      </c>
      <c r="Q32" s="43">
        <f t="shared" si="191"/>
        <v>0</v>
      </c>
      <c r="R32" s="43">
        <f t="shared" si="191"/>
        <v>0</v>
      </c>
      <c r="S32" s="43">
        <f t="shared" si="191"/>
        <v>0</v>
      </c>
      <c r="T32" s="43">
        <f t="shared" si="191"/>
        <v>0</v>
      </c>
      <c r="U32" s="43">
        <f t="shared" si="191"/>
        <v>0</v>
      </c>
      <c r="V32" s="43">
        <f t="shared" si="191"/>
        <v>0</v>
      </c>
      <c r="W32" s="43">
        <f t="shared" si="191"/>
        <v>0</v>
      </c>
      <c r="X32" s="43">
        <f t="shared" si="191"/>
        <v>0</v>
      </c>
      <c r="Y32" s="43">
        <f t="shared" si="191"/>
        <v>0</v>
      </c>
      <c r="Z32" s="43">
        <f t="shared" si="191"/>
        <v>0</v>
      </c>
      <c r="AA32" s="43">
        <f t="shared" si="191"/>
        <v>0</v>
      </c>
      <c r="AB32" s="43">
        <f t="shared" si="191"/>
        <v>0</v>
      </c>
      <c r="AC32" s="43">
        <f t="shared" si="191"/>
        <v>0</v>
      </c>
      <c r="AD32" s="43">
        <f t="shared" si="191"/>
        <v>0</v>
      </c>
      <c r="AE32" s="43">
        <f t="shared" si="191"/>
        <v>0</v>
      </c>
      <c r="AF32" s="43">
        <f t="shared" si="191"/>
        <v>0</v>
      </c>
      <c r="AG32" s="43">
        <f t="shared" si="191"/>
        <v>0</v>
      </c>
      <c r="AH32" s="43">
        <f>$C$194</f>
        <v>0</v>
      </c>
      <c r="AI32" s="44"/>
      <c r="AJ32" s="43">
        <f t="shared" si="83"/>
        <v>0</v>
      </c>
      <c r="AK32" s="43">
        <f t="shared" si="84"/>
        <v>0</v>
      </c>
      <c r="AL32" s="43">
        <f t="shared" si="85"/>
        <v>0</v>
      </c>
      <c r="AM32" s="43">
        <f t="shared" si="86"/>
        <v>0</v>
      </c>
      <c r="AN32" s="43">
        <f t="shared" si="87"/>
        <v>0</v>
      </c>
      <c r="AO32" s="43">
        <f t="shared" si="88"/>
        <v>0</v>
      </c>
      <c r="AP32" s="43">
        <f t="shared" si="89"/>
        <v>0</v>
      </c>
      <c r="AQ32" s="43">
        <f t="shared" si="90"/>
        <v>0</v>
      </c>
      <c r="AR32" s="43">
        <f t="shared" si="91"/>
        <v>0</v>
      </c>
      <c r="AS32" s="43">
        <f t="shared" si="92"/>
        <v>0</v>
      </c>
      <c r="AT32" s="43">
        <f t="shared" si="93"/>
        <v>0</v>
      </c>
      <c r="AU32" s="43">
        <f t="shared" si="94"/>
        <v>0</v>
      </c>
      <c r="AV32" s="43">
        <f t="shared" si="95"/>
        <v>0</v>
      </c>
      <c r="AW32" s="43">
        <f t="shared" si="96"/>
        <v>0</v>
      </c>
      <c r="AX32" s="43">
        <f t="shared" si="97"/>
        <v>0</v>
      </c>
      <c r="AY32" s="43">
        <f t="shared" si="98"/>
        <v>0</v>
      </c>
      <c r="AZ32" s="43">
        <f t="shared" si="99"/>
        <v>0</v>
      </c>
      <c r="BA32" s="43">
        <f t="shared" si="100"/>
        <v>0</v>
      </c>
      <c r="BB32" s="43">
        <f t="shared" si="101"/>
        <v>0</v>
      </c>
      <c r="BC32" s="43">
        <f t="shared" si="102"/>
        <v>0</v>
      </c>
      <c r="BD32" s="43">
        <f t="shared" si="103"/>
        <v>0</v>
      </c>
      <c r="BE32" s="43">
        <f t="shared" si="104"/>
        <v>0</v>
      </c>
      <c r="BF32" s="43">
        <f t="shared" si="105"/>
        <v>0</v>
      </c>
      <c r="BG32" s="43">
        <f t="shared" si="106"/>
        <v>0</v>
      </c>
      <c r="BH32" s="43">
        <f t="shared" si="107"/>
        <v>0</v>
      </c>
      <c r="BI32" s="43">
        <f t="shared" si="108"/>
        <v>0</v>
      </c>
      <c r="BJ32" s="43">
        <f t="shared" si="109"/>
        <v>0</v>
      </c>
      <c r="BK32" s="43">
        <f t="shared" si="110"/>
        <v>0</v>
      </c>
      <c r="BL32" s="43">
        <f t="shared" si="111"/>
        <v>0</v>
      </c>
      <c r="BM32" s="43">
        <f t="shared" si="112"/>
        <v>0</v>
      </c>
      <c r="BN32" s="43">
        <f t="shared" si="113"/>
        <v>0</v>
      </c>
      <c r="BP32" s="43">
        <f t="shared" si="114"/>
        <v>0</v>
      </c>
      <c r="BQ32" s="43">
        <f t="shared" ref="BQ32:CS32" si="192">BP32-($BP32-$CT32)/30</f>
        <v>0</v>
      </c>
      <c r="BR32" s="43">
        <f t="shared" si="192"/>
        <v>0</v>
      </c>
      <c r="BS32" s="43">
        <f t="shared" si="192"/>
        <v>0</v>
      </c>
      <c r="BT32" s="43">
        <f t="shared" si="192"/>
        <v>0</v>
      </c>
      <c r="BU32" s="43">
        <f t="shared" si="192"/>
        <v>0</v>
      </c>
      <c r="BV32" s="43">
        <f t="shared" si="192"/>
        <v>0</v>
      </c>
      <c r="BW32" s="43">
        <f t="shared" si="192"/>
        <v>0</v>
      </c>
      <c r="BX32" s="43">
        <f t="shared" si="192"/>
        <v>0</v>
      </c>
      <c r="BY32" s="43">
        <f t="shared" si="192"/>
        <v>0</v>
      </c>
      <c r="BZ32" s="43">
        <f t="shared" si="192"/>
        <v>0</v>
      </c>
      <c r="CA32" s="43">
        <f t="shared" si="192"/>
        <v>0</v>
      </c>
      <c r="CB32" s="43">
        <f t="shared" si="192"/>
        <v>0</v>
      </c>
      <c r="CC32" s="43">
        <f t="shared" si="192"/>
        <v>0</v>
      </c>
      <c r="CD32" s="43">
        <f t="shared" si="192"/>
        <v>0</v>
      </c>
      <c r="CE32" s="43">
        <f t="shared" si="192"/>
        <v>0</v>
      </c>
      <c r="CF32" s="43">
        <f t="shared" si="192"/>
        <v>0</v>
      </c>
      <c r="CG32" s="43">
        <f t="shared" si="192"/>
        <v>0</v>
      </c>
      <c r="CH32" s="43">
        <f t="shared" si="192"/>
        <v>0</v>
      </c>
      <c r="CI32" s="43">
        <f t="shared" si="192"/>
        <v>0</v>
      </c>
      <c r="CJ32" s="43">
        <f t="shared" si="192"/>
        <v>0</v>
      </c>
      <c r="CK32" s="43">
        <f t="shared" si="192"/>
        <v>0</v>
      </c>
      <c r="CL32" s="43">
        <f t="shared" si="192"/>
        <v>0</v>
      </c>
      <c r="CM32" s="43">
        <f t="shared" si="192"/>
        <v>0</v>
      </c>
      <c r="CN32" s="43">
        <f t="shared" si="192"/>
        <v>0</v>
      </c>
      <c r="CO32" s="43">
        <f t="shared" si="192"/>
        <v>0</v>
      </c>
      <c r="CP32" s="43">
        <f t="shared" si="192"/>
        <v>0</v>
      </c>
      <c r="CQ32" s="43">
        <f t="shared" si="192"/>
        <v>0</v>
      </c>
      <c r="CR32" s="43">
        <f t="shared" si="192"/>
        <v>0</v>
      </c>
      <c r="CS32" s="43">
        <f t="shared" si="192"/>
        <v>0</v>
      </c>
      <c r="CT32" s="43">
        <f t="shared" si="116"/>
        <v>0</v>
      </c>
      <c r="CV32" s="43">
        <f t="shared" si="156"/>
        <v>0</v>
      </c>
      <c r="CW32" s="43">
        <f t="shared" si="157"/>
        <v>0</v>
      </c>
      <c r="CX32" s="43">
        <f t="shared" si="158"/>
        <v>0</v>
      </c>
      <c r="CY32" s="43">
        <f t="shared" si="159"/>
        <v>0</v>
      </c>
      <c r="CZ32" s="43">
        <f t="shared" si="160"/>
        <v>0</v>
      </c>
      <c r="DA32" s="43">
        <f t="shared" si="161"/>
        <v>0</v>
      </c>
      <c r="DB32" s="43">
        <f t="shared" si="162"/>
        <v>0</v>
      </c>
      <c r="DC32" s="43">
        <f t="shared" si="163"/>
        <v>0</v>
      </c>
      <c r="DD32" s="43">
        <f t="shared" si="164"/>
        <v>0</v>
      </c>
      <c r="DE32" s="43">
        <f t="shared" si="165"/>
        <v>0</v>
      </c>
      <c r="DF32" s="43">
        <f t="shared" si="166"/>
        <v>0</v>
      </c>
      <c r="DG32" s="43">
        <f t="shared" si="167"/>
        <v>0</v>
      </c>
      <c r="DH32" s="43">
        <f t="shared" si="168"/>
        <v>0</v>
      </c>
      <c r="DI32" s="43">
        <f t="shared" si="169"/>
        <v>0</v>
      </c>
      <c r="DJ32" s="43">
        <f t="shared" si="170"/>
        <v>0</v>
      </c>
      <c r="DK32" s="43">
        <f t="shared" si="171"/>
        <v>0</v>
      </c>
      <c r="DL32" s="43">
        <f t="shared" si="172"/>
        <v>0</v>
      </c>
      <c r="DM32" s="43">
        <f t="shared" si="173"/>
        <v>0</v>
      </c>
      <c r="DN32" s="43">
        <f t="shared" si="174"/>
        <v>0</v>
      </c>
      <c r="DO32" s="43">
        <f t="shared" si="175"/>
        <v>0</v>
      </c>
      <c r="DP32" s="43">
        <f t="shared" si="176"/>
        <v>0</v>
      </c>
      <c r="DQ32" s="43">
        <f t="shared" si="177"/>
        <v>0</v>
      </c>
      <c r="DR32" s="43">
        <f t="shared" si="178"/>
        <v>0</v>
      </c>
      <c r="DS32" s="43">
        <f t="shared" si="179"/>
        <v>0</v>
      </c>
      <c r="DT32" s="43">
        <f t="shared" si="180"/>
        <v>0</v>
      </c>
      <c r="DU32" s="43">
        <f t="shared" si="181"/>
        <v>0</v>
      </c>
      <c r="DV32" s="43">
        <f t="shared" si="182"/>
        <v>0</v>
      </c>
      <c r="DW32" s="43">
        <f t="shared" si="183"/>
        <v>0</v>
      </c>
      <c r="DX32" s="43">
        <f t="shared" si="184"/>
        <v>0</v>
      </c>
      <c r="DY32" s="43">
        <f t="shared" si="185"/>
        <v>0</v>
      </c>
      <c r="DZ32" s="43">
        <f t="shared" si="188"/>
        <v>0</v>
      </c>
    </row>
    <row r="33" spans="1:165" s="624" customFormat="1" ht="16" thickBot="1" x14ac:dyDescent="0.25">
      <c r="A33" s="623" t="s">
        <v>461</v>
      </c>
      <c r="C33" s="625"/>
      <c r="D33" s="626"/>
      <c r="E33" s="626"/>
      <c r="F33" s="626"/>
      <c r="G33" s="626"/>
      <c r="H33" s="626"/>
      <c r="I33" s="626"/>
      <c r="J33" s="626"/>
      <c r="K33" s="626"/>
      <c r="L33" s="626"/>
      <c r="M33" s="626"/>
      <c r="N33" s="626"/>
      <c r="O33" s="626"/>
      <c r="P33" s="626"/>
      <c r="Q33" s="626"/>
      <c r="R33" s="626"/>
      <c r="S33" s="626"/>
      <c r="T33" s="626"/>
      <c r="U33" s="626"/>
      <c r="V33" s="626"/>
      <c r="W33" s="626"/>
      <c r="X33" s="626"/>
      <c r="Y33" s="626"/>
      <c r="Z33" s="626"/>
      <c r="AA33" s="626"/>
      <c r="AB33" s="626"/>
      <c r="AC33" s="626"/>
      <c r="AD33" s="626"/>
      <c r="AE33" s="626"/>
      <c r="AF33" s="626"/>
      <c r="AG33" s="626"/>
      <c r="AH33" s="626"/>
      <c r="AI33" s="626"/>
      <c r="AJ33" s="626"/>
      <c r="AK33" s="626"/>
      <c r="AL33" s="626"/>
      <c r="AM33" s="626"/>
      <c r="AN33" s="626"/>
      <c r="AO33" s="626"/>
      <c r="AP33" s="626"/>
      <c r="AQ33" s="626"/>
      <c r="AR33" s="626"/>
      <c r="AS33" s="626"/>
      <c r="AT33" s="626"/>
      <c r="AU33" s="626"/>
      <c r="AV33" s="626"/>
      <c r="AW33" s="626"/>
      <c r="AX33" s="626"/>
      <c r="AY33" s="626"/>
      <c r="AZ33" s="626"/>
      <c r="BA33" s="626"/>
      <c r="BB33" s="626"/>
      <c r="BC33" s="626"/>
      <c r="BD33" s="626"/>
      <c r="BE33" s="626"/>
      <c r="BF33" s="626"/>
      <c r="BG33" s="626"/>
      <c r="BH33" s="626"/>
      <c r="BI33" s="626"/>
      <c r="BJ33" s="626"/>
      <c r="BK33" s="626"/>
      <c r="BL33" s="626"/>
      <c r="BM33" s="626"/>
      <c r="BN33" s="626"/>
      <c r="BP33" s="626"/>
      <c r="BQ33" s="626"/>
      <c r="BR33" s="626"/>
      <c r="BS33" s="626"/>
      <c r="BT33" s="626"/>
      <c r="BU33" s="626"/>
      <c r="BV33" s="626"/>
      <c r="BW33" s="626"/>
      <c r="BX33" s="626"/>
      <c r="BY33" s="626"/>
      <c r="BZ33" s="626"/>
      <c r="CA33" s="626"/>
      <c r="CB33" s="626"/>
      <c r="CC33" s="626"/>
      <c r="CD33" s="626"/>
      <c r="CE33" s="626"/>
      <c r="CF33" s="626"/>
      <c r="CG33" s="626"/>
      <c r="CH33" s="626"/>
      <c r="CI33" s="626"/>
      <c r="CJ33" s="626"/>
      <c r="CK33" s="626"/>
      <c r="CL33" s="626"/>
      <c r="CM33" s="626"/>
      <c r="CN33" s="626"/>
      <c r="CO33" s="626"/>
      <c r="CP33" s="626"/>
      <c r="CQ33" s="626"/>
      <c r="CR33" s="626"/>
      <c r="CS33" s="626"/>
      <c r="CT33" s="626"/>
      <c r="CV33" s="626"/>
      <c r="CW33" s="626"/>
      <c r="CX33" s="626"/>
      <c r="CY33" s="626"/>
      <c r="CZ33" s="626"/>
      <c r="DA33" s="626"/>
      <c r="DB33" s="626"/>
      <c r="DC33" s="626"/>
      <c r="DD33" s="626"/>
      <c r="DE33" s="626"/>
      <c r="DF33" s="626"/>
      <c r="DG33" s="626"/>
      <c r="DH33" s="626"/>
      <c r="DI33" s="626"/>
      <c r="DJ33" s="626"/>
      <c r="DK33" s="626"/>
      <c r="DL33" s="626"/>
      <c r="DM33" s="626"/>
      <c r="DN33" s="626"/>
      <c r="DO33" s="626"/>
      <c r="DP33" s="626"/>
      <c r="DQ33" s="626"/>
      <c r="DR33" s="626"/>
      <c r="DS33" s="626"/>
      <c r="DT33" s="626"/>
      <c r="DU33" s="626"/>
      <c r="DV33" s="626"/>
      <c r="DW33" s="626"/>
      <c r="DX33" s="626"/>
      <c r="DY33" s="626"/>
      <c r="DZ33" s="626"/>
      <c r="EK33" s="627"/>
      <c r="EL33" s="627"/>
      <c r="EM33" s="627"/>
      <c r="EN33" s="627"/>
      <c r="EO33" s="627"/>
      <c r="EP33" s="627"/>
      <c r="EQ33" s="627"/>
      <c r="ER33" s="627"/>
      <c r="ES33" s="627"/>
      <c r="ET33" s="627"/>
      <c r="EU33" s="627"/>
      <c r="EV33" s="627"/>
      <c r="EW33" s="627"/>
      <c r="EX33" s="627"/>
      <c r="EY33" s="627"/>
      <c r="EZ33" s="627"/>
      <c r="FA33" s="627"/>
      <c r="FB33" s="627"/>
      <c r="FC33" s="627"/>
      <c r="FD33" s="627"/>
      <c r="FE33" s="627"/>
      <c r="FF33" s="627"/>
      <c r="FG33" s="627"/>
      <c r="FH33" s="627"/>
      <c r="FI33" s="627"/>
    </row>
    <row r="34" spans="1:165" x14ac:dyDescent="0.2">
      <c r="A34" s="606" t="s">
        <v>193</v>
      </c>
      <c r="C34" s="54" t="s">
        <v>462</v>
      </c>
      <c r="D34" s="168">
        <f>'Ethylene Recycling HC'!C268/'Ethylene Recycling HC'!C266</f>
        <v>0.1244096024777484</v>
      </c>
      <c r="E34" s="168">
        <f>'Ethylene Recycling HC'!D268/'Ethylene Recycling HC'!D266</f>
        <v>0.12996124504156351</v>
      </c>
      <c r="F34" s="168">
        <f>'Ethylene Recycling HC'!E268/'Ethylene Recycling HC'!E266</f>
        <v>0.13546675541360473</v>
      </c>
      <c r="G34" s="168">
        <f>'Ethylene Recycling HC'!F268/'Ethylene Recycling HC'!F266</f>
        <v>0.14092570534409934</v>
      </c>
      <c r="H34" s="168">
        <f>'Ethylene Recycling HC'!G268/'Ethylene Recycling HC'!G266</f>
        <v>0.14633764961780121</v>
      </c>
      <c r="I34" s="168">
        <f>'Ethylene Recycling HC'!H268/'Ethylene Recycling HC'!H266</f>
        <v>0.15170212520545945</v>
      </c>
      <c r="J34" s="168">
        <f>'Ethylene Recycling HC'!I268/'Ethylene Recycling HC'!I266</f>
        <v>0.15714002567826443</v>
      </c>
      <c r="K34" s="168">
        <f>'Ethylene Recycling HC'!J268/'Ethylene Recycling HC'!J266</f>
        <v>0.1625402555031617</v>
      </c>
      <c r="L34" s="168">
        <f>'Ethylene Recycling HC'!K268/'Ethylene Recycling HC'!K266</f>
        <v>0.16790234074706145</v>
      </c>
      <c r="M34" s="168">
        <f>'Ethylene Recycling HC'!L268/'Ethylene Recycling HC'!L266</f>
        <v>0.17322578269672786</v>
      </c>
      <c r="N34" s="168">
        <f>'Ethylene Recycling HC'!M268/'Ethylene Recycling HC'!M266</f>
        <v>0.17851005621775468</v>
      </c>
      <c r="O34" s="168">
        <f>'Ethylene Recycling HC'!N268/'Ethylene Recycling HC'!N266</f>
        <v>0.18992915329993948</v>
      </c>
      <c r="P34" s="168">
        <f>'Ethylene Recycling HC'!O268/'Ethylene Recycling HC'!O266</f>
        <v>0.20134625164265876</v>
      </c>
      <c r="Q34" s="168">
        <f>'Ethylene Recycling HC'!P268/'Ethylene Recycling HC'!P266</f>
        <v>0.21250208611439361</v>
      </c>
      <c r="R34" s="168">
        <f>'Ethylene Recycling HC'!Q268/'Ethylene Recycling HC'!Q266</f>
        <v>0.22351645898806277</v>
      </c>
      <c r="S34" s="168">
        <f>'Ethylene Recycling HC'!R268/'Ethylene Recycling HC'!R266</f>
        <v>0.23438329991183793</v>
      </c>
      <c r="T34" s="168">
        <f>'Ethylene Recycling HC'!S268/'Ethylene Recycling HC'!S266</f>
        <v>0.2451002156367644</v>
      </c>
      <c r="U34" s="168">
        <f>'Ethylene Recycling HC'!T268/'Ethylene Recycling HC'!T266</f>
        <v>0.25565671416650537</v>
      </c>
      <c r="V34" s="168">
        <f>'Ethylene Recycling HC'!U268/'Ethylene Recycling HC'!U266</f>
        <v>0.26604494538479462</v>
      </c>
      <c r="W34" s="168">
        <f>'Ethylene Recycling HC'!V268/'Ethylene Recycling HC'!V266</f>
        <v>0.2762562216022002</v>
      </c>
      <c r="X34" s="168">
        <f>'Ethylene Recycling HC'!W268/'Ethylene Recycling HC'!W266</f>
        <v>0.28628090277956608</v>
      </c>
      <c r="Y34" s="168">
        <f>'Ethylene Recycling HC'!X268/'Ethylene Recycling HC'!X266</f>
        <v>0.30317476790320225</v>
      </c>
      <c r="Z34" s="168">
        <f>'Ethylene Recycling HC'!Y268/'Ethylene Recycling HC'!Y266</f>
        <v>0.3205086579732932</v>
      </c>
      <c r="AA34" s="168">
        <f>'Ethylene Recycling HC'!Z268/'Ethylene Recycling HC'!Z266</f>
        <v>0.33750782782737243</v>
      </c>
      <c r="AB34" s="168">
        <f>'Ethylene Recycling HC'!AA268/'Ethylene Recycling HC'!AA266</f>
        <v>0.35414410465742069</v>
      </c>
      <c r="AC34" s="168">
        <f>'Ethylene Recycling HC'!AB268/'Ethylene Recycling HC'!AB266</f>
        <v>0.37039141290650351</v>
      </c>
      <c r="AD34" s="168">
        <f>'Ethylene Recycling HC'!AC268/'Ethylene Recycling HC'!AC266</f>
        <v>0.3862259360745306</v>
      </c>
      <c r="AE34" s="168">
        <f>'Ethylene Recycling HC'!AD268/'Ethylene Recycling HC'!AD266</f>
        <v>0.40160717350167935</v>
      </c>
      <c r="AF34" s="168">
        <f>'Ethylene Recycling HC'!AE268/'Ethylene Recycling HC'!AE266</f>
        <v>0.41649568884686572</v>
      </c>
      <c r="AG34" s="168">
        <f>'Ethylene Recycling HC'!AF268/'Ethylene Recycling HC'!AF266</f>
        <v>0.43084595819376253</v>
      </c>
      <c r="AH34" s="168">
        <f>'Ethylene Recycling HC'!AG268/'Ethylene Recycling HC'!AG266</f>
        <v>0.44460514805399176</v>
      </c>
      <c r="AI34" s="44"/>
      <c r="AJ34" s="168">
        <f>'Ethylene Recycling LC'!C226/'Ethylene Recycling LC'!C224</f>
        <v>0.1244096024777484</v>
      </c>
      <c r="AK34" s="168">
        <f>'Ethylene Recycling LC'!D226/'Ethylene Recycling LC'!D224</f>
        <v>0.1297155429760713</v>
      </c>
      <c r="AL34" s="168">
        <f>'Ethylene Recycling LC'!E226/'Ethylene Recycling LC'!E224</f>
        <v>0.1349505544616843</v>
      </c>
      <c r="AM34" s="168">
        <f>'Ethylene Recycling LC'!F226/'Ethylene Recycling LC'!F224</f>
        <v>0.14011389441025962</v>
      </c>
      <c r="AN34" s="168">
        <f>'Ethylene Recycling LC'!G226/'Ethylene Recycling LC'!G224</f>
        <v>0.14520479685761337</v>
      </c>
      <c r="AO34" s="168">
        <f>'Ethylene Recycling LC'!H226/'Ethylene Recycling LC'!H224</f>
        <v>0.15022247146741732</v>
      </c>
      <c r="AP34" s="168">
        <f>'Ethylene Recycling LC'!I226/'Ethylene Recycling LC'!I224</f>
        <v>0.1550938583079183</v>
      </c>
      <c r="AQ34" s="168">
        <f>'Ethylene Recycling LC'!J226/'Ethylene Recycling LC'!J224</f>
        <v>0.15988274675178926</v>
      </c>
      <c r="AR34" s="168">
        <f>'Ethylene Recycling LC'!K226/'Ethylene Recycling LC'!K224</f>
        <v>0.16458777247991024</v>
      </c>
      <c r="AS34" s="168">
        <f>'Ethylene Recycling LC'!L226/'Ethylene Recycling LC'!L224</f>
        <v>0.16920751932773845</v>
      </c>
      <c r="AT34" s="168">
        <f>'Ethylene Recycling LC'!M226/'Ethylene Recycling LC'!M224</f>
        <v>0.17374051679896885</v>
      </c>
      <c r="AU34" s="168">
        <f>'Ethylene Recycling LC'!N226/'Ethylene Recycling LC'!N224</f>
        <v>0.18373306777183515</v>
      </c>
      <c r="AV34" s="168">
        <f>'Ethylene Recycling LC'!O226/'Ethylene Recycling LC'!O224</f>
        <v>0.19364359162379802</v>
      </c>
      <c r="AW34" s="168">
        <f>'Ethylene Recycling LC'!P226/'Ethylene Recycling LC'!P224</f>
        <v>0.20302307874884298</v>
      </c>
      <c r="AX34" s="168">
        <f>'Ethylene Recycling LC'!Q226/'Ethylene Recycling LC'!Q224</f>
        <v>0.2120787424290565</v>
      </c>
      <c r="AY34" s="168">
        <f>'Ethylene Recycling LC'!R226/'Ethylene Recycling LC'!R224</f>
        <v>0.22079799160491831</v>
      </c>
      <c r="AZ34" s="168">
        <f>'Ethylene Recycling LC'!S226/'Ethylene Recycling LC'!S224</f>
        <v>0.22921805844239188</v>
      </c>
      <c r="BA34" s="168">
        <f>'Ethylene Recycling LC'!T226/'Ethylene Recycling LC'!T224</f>
        <v>0.23728124108037757</v>
      </c>
      <c r="BB34" s="168">
        <f>'Ethylene Recycling LC'!U226/'Ethylene Recycling LC'!U224</f>
        <v>0.2449726804019238</v>
      </c>
      <c r="BC34" s="168">
        <f>'Ethylene Recycling LC'!V226/'Ethylene Recycling LC'!V224</f>
        <v>0.2522764354918442</v>
      </c>
      <c r="BD34" s="168">
        <f>'Ethylene Recycling LC'!W226/'Ethylene Recycling LC'!W224</f>
        <v>0.25917538334725554</v>
      </c>
      <c r="BE34" s="168">
        <f>'Ethylene Recycling LC'!X226/'Ethylene Recycling LC'!X224</f>
        <v>0.27123629628506363</v>
      </c>
      <c r="BF34" s="168">
        <f>'Ethylene Recycling LC'!Y226/'Ethylene Recycling LC'!Y224</f>
        <v>0.28392308303743147</v>
      </c>
      <c r="BG34" s="168">
        <f>'Ethylene Recycling LC'!Z226/'Ethylene Recycling LC'!Z224</f>
        <v>0.29585044950067257</v>
      </c>
      <c r="BH34" s="168">
        <f>'Ethylene Recycling LC'!AA226/'Ethylene Recycling LC'!AA224</f>
        <v>0.30701174013328242</v>
      </c>
      <c r="BI34" s="168">
        <f>'Ethylene Recycling LC'!AB226/'Ethylene Recycling LC'!AB224</f>
        <v>0.31736697712002249</v>
      </c>
      <c r="BJ34" s="168">
        <f>'Ethylene Recycling LC'!AC226/'Ethylene Recycling LC'!AC224</f>
        <v>0.32681661138300439</v>
      </c>
      <c r="BK34" s="168">
        <f>'Ethylene Recycling LC'!AD226/'Ethylene Recycling LC'!AD224</f>
        <v>0.33535978329273214</v>
      </c>
      <c r="BL34" s="168">
        <f>'Ethylene Recycling LC'!AE226/'Ethylene Recycling LC'!AE224</f>
        <v>0.34294390454647561</v>
      </c>
      <c r="BM34" s="168">
        <f>'Ethylene Recycling LC'!AF226/'Ethylene Recycling LC'!AF224</f>
        <v>0.34951150069263398</v>
      </c>
      <c r="BN34" s="168">
        <f>'Ethylene Recycling LC'!AG226/'Ethylene Recycling LC'!AG224</f>
        <v>0.35499962970360244</v>
      </c>
      <c r="BP34" s="168">
        <f>'Ethylene Recycling HC'!C258/'Ethylene Recycling HC'!C256</f>
        <v>0.1244096024777484</v>
      </c>
      <c r="BQ34" s="168">
        <f>'Ethylene Recycling HC'!D258/'Ethylene Recycling HC'!D256</f>
        <v>0.12238472338060473</v>
      </c>
      <c r="BR34" s="168">
        <f>'Ethylene Recycling HC'!E258/'Ethylene Recycling HC'!E256</f>
        <v>0.12070834104856779</v>
      </c>
      <c r="BS34" s="168">
        <f>'Ethylene Recycling HC'!F258/'Ethylene Recycling HC'!F256</f>
        <v>0.11936674812855302</v>
      </c>
      <c r="BT34" s="168">
        <f>'Ethylene Recycling HC'!G258/'Ethylene Recycling HC'!G256</f>
        <v>0.1183490277531237</v>
      </c>
      <c r="BU34" s="168">
        <f>'Ethylene Recycling HC'!H258/'Ethylene Recycling HC'!H256</f>
        <v>0.11764690538963903</v>
      </c>
      <c r="BV34" s="168">
        <f>'Ethylene Recycling HC'!I258/'Ethylene Recycling HC'!I256</f>
        <v>0.1170022096879301</v>
      </c>
      <c r="BW34" s="168">
        <f>'Ethylene Recycling HC'!J258/'Ethylene Recycling HC'!J256</f>
        <v>0.11641410514804341</v>
      </c>
      <c r="BX34" s="168">
        <f>'Ethylene Recycling HC'!K258/'Ethylene Recycling HC'!K256</f>
        <v>0.11588183687869243</v>
      </c>
      <c r="BY34" s="168">
        <f>'Ethylene Recycling HC'!L258/'Ethylene Recycling HC'!L256</f>
        <v>0.1154047290040101</v>
      </c>
      <c r="BZ34" s="168">
        <f>'Ethylene Recycling HC'!M258/'Ethylene Recycling HC'!M256</f>
        <v>0.11498218325411065</v>
      </c>
      <c r="CA34" s="168">
        <f>'Ethylene Recycling HC'!N258/'Ethylene Recycling HC'!N256</f>
        <v>0.11477790088303043</v>
      </c>
      <c r="CB34" s="168">
        <f>'Ethylene Recycling HC'!O258/'Ethylene Recycling HC'!O256</f>
        <v>0.11479116827202895</v>
      </c>
      <c r="CC34" s="168">
        <f>'Ethylene Recycling HC'!P258/'Ethylene Recycling HC'!P256</f>
        <v>0.11502250986077536</v>
      </c>
      <c r="CD34" s="168">
        <f>'Ethylene Recycling HC'!Q258/'Ethylene Recycling HC'!Q256</f>
        <v>0.11547369740200648</v>
      </c>
      <c r="CE34" s="168">
        <f>'Ethylene Recycling HC'!R258/'Ethylene Recycling HC'!R256</f>
        <v>0.11614777116677601</v>
      </c>
      <c r="CF34" s="168">
        <f>'Ethylene Recycling HC'!S258/'Ethylene Recycling HC'!S256</f>
        <v>0.11683856891556076</v>
      </c>
      <c r="CG34" s="168">
        <f>'Ethylene Recycling HC'!T258/'Ethylene Recycling HC'!T256</f>
        <v>0.11754635097476956</v>
      </c>
      <c r="CH34" s="168">
        <f>'Ethylene Recycling HC'!U258/'Ethylene Recycling HC'!U256</f>
        <v>0.11827138499340757</v>
      </c>
      <c r="CI34" s="168">
        <f>'Ethylene Recycling HC'!V258/'Ethylene Recycling HC'!V256</f>
        <v>0.11901394611303961</v>
      </c>
      <c r="CJ34" s="168">
        <f>'Ethylene Recycling HC'!W258/'Ethylene Recycling HC'!W256</f>
        <v>0.11977431714311855</v>
      </c>
      <c r="CK34" s="168">
        <f>'Ethylene Recycling HC'!X258/'Ethylene Recycling HC'!X256</f>
        <v>0.12055146093840829</v>
      </c>
      <c r="CL34" s="168">
        <f>'Ethylene Recycling HC'!Y258/'Ethylene Recycling HC'!Y256</f>
        <v>0.12134564788229356</v>
      </c>
      <c r="CM34" s="168">
        <f>'Ethylene Recycling HC'!Z258/'Ethylene Recycling HC'!Z256</f>
        <v>0.12215715534206703</v>
      </c>
      <c r="CN34" s="168">
        <f>'Ethylene Recycling HC'!AA258/'Ethylene Recycling HC'!AA256</f>
        <v>0.12298626783131163</v>
      </c>
      <c r="CO34" s="168">
        <f>'Ethylene Recycling HC'!AB258/'Ethylene Recycling HC'!AB256</f>
        <v>0.12383327717707693</v>
      </c>
      <c r="CP34" s="168">
        <f>'Ethylene Recycling HC'!AC258/'Ethylene Recycling HC'!AC256</f>
        <v>0.12469730377412702</v>
      </c>
      <c r="CQ34" s="168">
        <f>'Ethylene Recycling HC'!AD258/'Ethylene Recycling HC'!AD256</f>
        <v>0.12557862799655367</v>
      </c>
      <c r="CR34" s="168">
        <f>'Ethylene Recycling HC'!AE258/'Ethylene Recycling HC'!AE256</f>
        <v>0.12647753698676634</v>
      </c>
      <c r="CS34" s="168">
        <f>'Ethylene Recycling HC'!AF258/'Ethylene Recycling HC'!AF256</f>
        <v>0.12739432481183355</v>
      </c>
      <c r="CT34" s="168">
        <f>'Ethylene Recycling HC'!AG258/'Ethylene Recycling HC'!AG256</f>
        <v>0.12832929262419485</v>
      </c>
      <c r="CV34" s="168">
        <f>'Ethylene Recycling LC'!C226/'Ethylene Recycling HC'!C256</f>
        <v>0.1244096024777484</v>
      </c>
      <c r="CW34" s="168">
        <f>'Ethylene Recycling LC'!D226/'Ethylene Recycling HC'!D256</f>
        <v>0.12872316182951973</v>
      </c>
      <c r="CX34" s="168">
        <f>'Ethylene Recycling LC'!E226/'Ethylene Recycling HC'!E256</f>
        <v>0.13288569187248539</v>
      </c>
      <c r="CY34" s="168">
        <f>'Ethylene Recycling LC'!F226/'Ethylene Recycling HC'!F256</f>
        <v>0.13689809503897743</v>
      </c>
      <c r="CZ34" s="168">
        <f>'Ethylene Recycling LC'!G226/'Ethylene Recycling HC'!G256</f>
        <v>0.14076127376132791</v>
      </c>
      <c r="DA34" s="168">
        <f>'Ethylene Recycling LC'!H226/'Ethylene Recycling HC'!H256</f>
        <v>0.14447613047186886</v>
      </c>
      <c r="DB34" s="168">
        <f>'Ethylene Recycling LC'!I226/'Ethylene Recycling HC'!I256</f>
        <v>0.14779598786968234</v>
      </c>
      <c r="DC34" s="168">
        <f>'Ethylene Recycling LC'!J226/'Ethylene Recycling HC'!J256</f>
        <v>0.1509521958127473</v>
      </c>
      <c r="DD34" s="168">
        <f>'Ethylene Recycling LC'!K226/'Ethylene Recycling HC'!K256</f>
        <v>0.15394565673339591</v>
      </c>
      <c r="DE34" s="168">
        <f>'Ethylene Recycling LC'!L226/'Ethylene Recycling HC'!L256</f>
        <v>0.15677727306396011</v>
      </c>
      <c r="DF34" s="168">
        <f>'Ethylene Recycling LC'!M226/'Ethylene Recycling HC'!M256</f>
        <v>0.159447947236772</v>
      </c>
      <c r="DG34" s="168">
        <f>'Ethylene Recycling LC'!N226/'Ethylene Recycling HC'!N256</f>
        <v>0.16599459452270926</v>
      </c>
      <c r="DH34" s="168">
        <f>'Ethylene Recycling LC'!O226/'Ethylene Recycling HC'!O256</f>
        <v>0.17260633796206742</v>
      </c>
      <c r="DI34" s="168">
        <f>'Ethylene Recycling LC'!P226/'Ethylene Recycling HC'!P256</f>
        <v>0.1780163070269449</v>
      </c>
      <c r="DJ34" s="168">
        <f>'Ethylene Recycling LC'!Q226/'Ethylene Recycling HC'!Q256</f>
        <v>0.18287441391751677</v>
      </c>
      <c r="DK34" s="168">
        <f>'Ethylene Recycling LC'!R226/'Ethylene Recycling HC'!R256</f>
        <v>0.18718410208519842</v>
      </c>
      <c r="DL34" s="168">
        <f>'Ethylene Recycling LC'!S226/'Ethylene Recycling HC'!S256</f>
        <v>0.1910252324278654</v>
      </c>
      <c r="DM34" s="168">
        <f>'Ethylene Recycling LC'!T226/'Ethylene Recycling HC'!T256</f>
        <v>0.19433184093324829</v>
      </c>
      <c r="DN34" s="168">
        <f>'Ethylene Recycling LC'!U226/'Ethylene Recycling HC'!U256</f>
        <v>0.19710737149031318</v>
      </c>
      <c r="DO34" s="168">
        <f>'Ethylene Recycling LC'!V226/'Ethylene Recycling HC'!V256</f>
        <v>0.19935526813122989</v>
      </c>
      <c r="DP34" s="168">
        <f>'Ethylene Recycling LC'!W226/'Ethylene Recycling HC'!W256</f>
        <v>0.20107897503004843</v>
      </c>
      <c r="DQ34" s="168">
        <f>'Ethylene Recycling LC'!X226/'Ethylene Recycling HC'!X256</f>
        <v>0.20458397482051829</v>
      </c>
      <c r="DR34" s="168">
        <f>'Ethylene Recycling LC'!Y226/'Ethylene Recycling HC'!Y256</f>
        <v>0.20999365984025292</v>
      </c>
      <c r="DS34" s="168">
        <f>'Ethylene Recycling LC'!Z226/'Ethylene Recycling HC'!Z256</f>
        <v>0.21446988936198488</v>
      </c>
      <c r="DT34" s="168">
        <f>'Ethylene Recycling LC'!AA226/'Ethylene Recycling HC'!AA256</f>
        <v>0.21805149591659961</v>
      </c>
      <c r="DU34" s="168">
        <f>'Ethylene Recycling LC'!AB226/'Ethylene Recycling HC'!AB256</f>
        <v>0.22074441568809178</v>
      </c>
      <c r="DV34" s="168">
        <f>'Ethylene Recycling LC'!AC226/'Ethylene Recycling HC'!AC256</f>
        <v>0.2224858892294759</v>
      </c>
      <c r="DW34" s="168">
        <f>'Ethylene Recycling LC'!AD226/'Ethylene Recycling HC'!AD256</f>
        <v>0.2233441339155694</v>
      </c>
      <c r="DX34" s="168">
        <f>'Ethylene Recycling LC'!AE226/'Ethylene Recycling HC'!AE256</f>
        <v>0.22332509512537152</v>
      </c>
      <c r="DY34" s="168">
        <f>'Ethylene Recycling LC'!AF226/'Ethylene Recycling HC'!AF256</f>
        <v>0.22243472120324248</v>
      </c>
      <c r="DZ34" s="168">
        <f>'Ethylene Recycling LC'!AG226/'Ethylene Recycling HC'!AG256</f>
        <v>0.22067896340908313</v>
      </c>
    </row>
    <row r="35" spans="1:165" x14ac:dyDescent="0.2">
      <c r="A35" s="606" t="s">
        <v>88</v>
      </c>
      <c r="C35" s="54" t="s">
        <v>462</v>
      </c>
      <c r="D35" s="168">
        <f>('Ethylene Recycling HC'!C311+'Ethylene Recycling HC'!C313)/'Ethylene Recycling HC'!C266</f>
        <v>5.1618069506838636E-7</v>
      </c>
      <c r="E35" s="168">
        <f>('Ethylene Recycling HC'!D311+'Ethylene Recycling HC'!D313)/'Ethylene Recycling HC'!D266</f>
        <v>1.0420491452876143E-6</v>
      </c>
      <c r="F35" s="168">
        <f>('Ethylene Recycling HC'!E311+'Ethylene Recycling HC'!E313)/'Ethylene Recycling HC'!E266</f>
        <v>2.0994829036721544E-6</v>
      </c>
      <c r="G35" s="168">
        <f>('Ethylene Recycling HC'!F311+'Ethylene Recycling HC'!F313)/'Ethylene Recycling HC'!F266</f>
        <v>4.218699218710334E-6</v>
      </c>
      <c r="H35" s="168">
        <f>('Ethylene Recycling HC'!G311+'Ethylene Recycling HC'!G313)/'Ethylene Recycling HC'!G266</f>
        <v>8.4463167220999984E-6</v>
      </c>
      <c r="I35" s="168">
        <f>('Ethylene Recycling HC'!H311+'Ethylene Recycling HC'!H313)/'Ethylene Recycling HC'!H266</f>
        <v>1.6826390307588795E-5</v>
      </c>
      <c r="J35" s="168">
        <f>('Ethylene Recycling HC'!I311+'Ethylene Recycling HC'!I313)/'Ethylene Recycling HC'!I266</f>
        <v>3.3257376921894429E-5</v>
      </c>
      <c r="K35" s="168">
        <f>('Ethylene Recycling HC'!J311+'Ethylene Recycling HC'!J313)/'Ethylene Recycling HC'!J266</f>
        <v>6.5113667995105775E-5</v>
      </c>
      <c r="L35" s="168">
        <f>('Ethylene Recycling HC'!K311+'Ethylene Recycling HC'!K313)/'Ethylene Recycling HC'!K266</f>
        <v>1.2585300585948875E-4</v>
      </c>
      <c r="M35" s="168">
        <f>('Ethylene Recycling HC'!L311+'Ethylene Recycling HC'!L313)/'Ethylene Recycling HC'!L266</f>
        <v>2.3907447856782337E-4</v>
      </c>
      <c r="N35" s="168">
        <f>('Ethylene Recycling HC'!M311+'Ethylene Recycling HC'!M313)/'Ethylene Recycling HC'!M266</f>
        <v>4.4578618770434078E-4</v>
      </c>
      <c r="O35" s="168">
        <f>('Ethylene Recycling HC'!N311+'Ethylene Recycling HC'!N313)/'Ethylene Recycling HC'!N266</f>
        <v>7.6100740716821555E-4</v>
      </c>
      <c r="P35" s="168">
        <f>('Ethylene Recycling HC'!O311+'Ethylene Recycling HC'!O313)/'Ethylene Recycling HC'!O266</f>
        <v>1.2555991132092023E-3</v>
      </c>
      <c r="Q35" s="168">
        <f>('Ethylene Recycling HC'!P311+'Ethylene Recycling HC'!P313)/'Ethylene Recycling HC'!P266</f>
        <v>1.9828747037241527E-3</v>
      </c>
      <c r="R35" s="168">
        <f>('Ethylene Recycling HC'!Q311+'Ethylene Recycling HC'!Q313)/'Ethylene Recycling HC'!Q266</f>
        <v>2.9742357316918551E-3</v>
      </c>
      <c r="S35" s="168">
        <f>('Ethylene Recycling HC'!R311+'Ethylene Recycling HC'!R313)/'Ethylene Recycling HC'!R266</f>
        <v>4.2194498910317338E-3</v>
      </c>
      <c r="T35" s="168">
        <f>('Ethylene Recycling HC'!S311+'Ethylene Recycling HC'!S313)/'Ethylene Recycling HC'!S266</f>
        <v>5.6979391992399682E-3</v>
      </c>
      <c r="U35" s="168">
        <f>('Ethylene Recycling HC'!T311+'Ethylene Recycling HC'!T313)/'Ethylene Recycling HC'!T266</f>
        <v>7.6230611564028113E-3</v>
      </c>
      <c r="V35" s="168">
        <f>('Ethylene Recycling HC'!U311+'Ethylene Recycling HC'!U313)/'Ethylene Recycling HC'!U266</f>
        <v>9.6539235510280496E-3</v>
      </c>
      <c r="W35" s="168">
        <f>('Ethylene Recycling HC'!V311+'Ethylene Recycling HC'!V313)/'Ethylene Recycling HC'!V266</f>
        <v>1.1656430408860118E-2</v>
      </c>
      <c r="X35" s="168">
        <f>('Ethylene Recycling HC'!W311+'Ethylene Recycling HC'!W313)/'Ethylene Recycling HC'!W266</f>
        <v>1.3528208285968655E-2</v>
      </c>
      <c r="Y35" s="168">
        <f>('Ethylene Recycling HC'!X311+'Ethylene Recycling HC'!X313)/'Ethylene Recycling HC'!X266</f>
        <v>1.5610351978403676E-2</v>
      </c>
      <c r="Z35" s="168">
        <f>('Ethylene Recycling HC'!Y311+'Ethylene Recycling HC'!Y313)/'Ethylene Recycling HC'!Y266</f>
        <v>1.7580344867695639E-2</v>
      </c>
      <c r="AA35" s="168">
        <f>('Ethylene Recycling HC'!Z311+'Ethylene Recycling HC'!Z313)/'Ethylene Recycling HC'!Z266</f>
        <v>1.9409317348811794E-2</v>
      </c>
      <c r="AB35" s="168">
        <f>('Ethylene Recycling HC'!AA311+'Ethylene Recycling HC'!AA313)/'Ethylene Recycling HC'!AA266</f>
        <v>2.1147600995063409E-2</v>
      </c>
      <c r="AC35" s="168">
        <f>('Ethylene Recycling HC'!AB311+'Ethylene Recycling HC'!AB313)/'Ethylene Recycling HC'!AB266</f>
        <v>2.2883721524900775E-2</v>
      </c>
      <c r="AD35" s="168">
        <f>('Ethylene Recycling HC'!AC311+'Ethylene Recycling HC'!AC313)/'Ethylene Recycling HC'!AC266</f>
        <v>2.4741923342699416E-2</v>
      </c>
      <c r="AE35" s="168">
        <f>('Ethylene Recycling HC'!AD311+'Ethylene Recycling HC'!AD313)/'Ethylene Recycling HC'!AD266</f>
        <v>2.6870277570886791E-2</v>
      </c>
      <c r="AF35" s="168">
        <f>('Ethylene Recycling HC'!AE311+'Ethylene Recycling HC'!AE313)/'Ethylene Recycling HC'!AE266</f>
        <v>2.9412519020072608E-2</v>
      </c>
      <c r="AG35" s="168">
        <f>('Ethylene Recycling HC'!AF311+'Ethylene Recycling HC'!AF313)/'Ethylene Recycling HC'!AF266</f>
        <v>3.2455823479970905E-2</v>
      </c>
      <c r="AH35" s="168">
        <f>('Ethylene Recycling HC'!AG311+'Ethylene Recycling HC'!AG313)/'Ethylene Recycling HC'!AG266</f>
        <v>3.5972035018804298E-2</v>
      </c>
      <c r="AI35" s="44"/>
      <c r="AJ35" s="168">
        <f>('Ethylene Recycling LC'!C269+'Ethylene Recycling LC'!C271)/'Ethylene Recycling LC'!C224</f>
        <v>2.9576745522143303E-7</v>
      </c>
      <c r="AK35" s="168">
        <f>('Ethylene Recycling LC'!D269+'Ethylene Recycling LC'!D271)/'Ethylene Recycling LC'!D224</f>
        <v>5.9841985564438348E-7</v>
      </c>
      <c r="AL35" s="168">
        <f>('Ethylene Recycling LC'!E269+'Ethylene Recycling LC'!E271)/'Ethylene Recycling LC'!E224</f>
        <v>1.208563942125259E-6</v>
      </c>
      <c r="AM35" s="168">
        <f>('Ethylene Recycling LC'!F269+'Ethylene Recycling LC'!F271)/'Ethylene Recycling LC'!F224</f>
        <v>2.4346775859620592E-6</v>
      </c>
      <c r="AN35" s="168">
        <f>('Ethylene Recycling LC'!G269+'Ethylene Recycling LC'!G271)/'Ethylene Recycling LC'!G224</f>
        <v>4.88762255212056E-6</v>
      </c>
      <c r="AO35" s="168">
        <f>('Ethylene Recycling LC'!H269+'Ethylene Recycling LC'!H271)/'Ethylene Recycling LC'!H224</f>
        <v>9.764412022331011E-6</v>
      </c>
      <c r="AP35" s="168">
        <f>('Ethylene Recycling LC'!I269+'Ethylene Recycling LC'!I271)/'Ethylene Recycling LC'!I224</f>
        <v>1.9387941456418543E-5</v>
      </c>
      <c r="AQ35" s="168">
        <f>('Ethylene Recycling LC'!J269+'Ethylene Recycling LC'!J271)/'Ethylene Recycling LC'!J224</f>
        <v>3.8141434094316895E-5</v>
      </c>
      <c r="AR35" s="168">
        <f>('Ethylene Recycling LC'!K269+'Ethylene Recycling LC'!K271)/'Ethylene Recycling LC'!K224</f>
        <v>7.4089390290546655E-5</v>
      </c>
      <c r="AS35" s="168">
        <f>('Ethylene Recycling LC'!L269+'Ethylene Recycling LC'!L271)/'Ethylene Recycling LC'!L224</f>
        <v>1.4147298822604675E-4</v>
      </c>
      <c r="AT35" s="168">
        <f>('Ethylene Recycling LC'!M269+'Ethylene Recycling LC'!M271)/'Ethylene Recycling LC'!M224</f>
        <v>2.6520950736135185E-4</v>
      </c>
      <c r="AU35" s="168">
        <f>('Ethylene Recycling LC'!N269+'Ethylene Recycling LC'!N271)/'Ethylene Recycling LC'!N224</f>
        <v>4.5849617651073628E-4</v>
      </c>
      <c r="AV35" s="168">
        <f>('Ethylene Recycling LC'!O269+'Ethylene Recycling LC'!O271)/'Ethylene Recycling LC'!O224</f>
        <v>7.6714536222663985E-4</v>
      </c>
      <c r="AW35" s="168">
        <f>('Ethylene Recycling LC'!P269+'Ethylene Recycling LC'!P271)/'Ethylene Recycling LC'!P224</f>
        <v>1.2320823549448301E-3</v>
      </c>
      <c r="AX35" s="168">
        <f>('Ethylene Recycling LC'!Q269+'Ethylene Recycling LC'!Q271)/'Ethylene Recycling LC'!Q224</f>
        <v>1.8837519844435446E-3</v>
      </c>
      <c r="AY35" s="168">
        <f>('Ethylene Recycling LC'!R269+'Ethylene Recycling LC'!R271)/'Ethylene Recycling LC'!R224</f>
        <v>2.73043734732071E-3</v>
      </c>
      <c r="AZ35" s="168">
        <f>('Ethylene Recycling LC'!S269+'Ethylene Recycling LC'!S271)/'Ethylene Recycling LC'!S224</f>
        <v>3.7426641094201797E-3</v>
      </c>
      <c r="BA35" s="168">
        <f>('Ethylene Recycling LC'!T269+'Ethylene Recycling LC'!T271)/'Ethylene Recycling LC'!T224</f>
        <v>4.8641244370423971E-3</v>
      </c>
      <c r="BB35" s="168">
        <f>('Ethylene Recycling LC'!U269+'Ethylene Recycling LC'!U271)/'Ethylene Recycling LC'!U224</f>
        <v>6.0239783354554318E-3</v>
      </c>
      <c r="BC35" s="168">
        <f>('Ethylene Recycling LC'!V269+'Ethylene Recycling LC'!V271)/'Ethylene Recycling LC'!V224</f>
        <v>7.1598253517340723E-3</v>
      </c>
      <c r="BD35" s="168">
        <f>('Ethylene Recycling LC'!W269+'Ethylene Recycling LC'!W271)/'Ethylene Recycling LC'!W224</f>
        <v>8.2329120489631948E-3</v>
      </c>
      <c r="BE35" s="168">
        <f>('Ethylene Recycling LC'!X269+'Ethylene Recycling LC'!X271)/'Ethylene Recycling LC'!X224</f>
        <v>8.7970376073194315E-3</v>
      </c>
      <c r="BF35" s="168">
        <f>('Ethylene Recycling LC'!Y269+'Ethylene Recycling LC'!Y271)/'Ethylene Recycling LC'!Y224</f>
        <v>9.134631462146884E-3</v>
      </c>
      <c r="BG35" s="168">
        <f>('Ethylene Recycling LC'!Z269+'Ethylene Recycling LC'!Z271)/'Ethylene Recycling LC'!Z224</f>
        <v>9.6528360028412842E-3</v>
      </c>
      <c r="BH35" s="168">
        <f>('Ethylene Recycling LC'!AA269+'Ethylene Recycling LC'!AA271)/'Ethylene Recycling LC'!AA224</f>
        <v>1.0405955457125181E-2</v>
      </c>
      <c r="BI35" s="168">
        <f>('Ethylene Recycling LC'!AB269+'Ethylene Recycling LC'!AB271)/'Ethylene Recycling LC'!AB224</f>
        <v>1.1135378201790133E-2</v>
      </c>
      <c r="BJ35" s="168">
        <f>('Ethylene Recycling LC'!AC269+'Ethylene Recycling LC'!AC271)/'Ethylene Recycling LC'!AC224</f>
        <v>1.1897376983440587E-2</v>
      </c>
      <c r="BK35" s="168">
        <f>('Ethylene Recycling LC'!AD269+'Ethylene Recycling LC'!AD271)/'Ethylene Recycling LC'!AD224</f>
        <v>1.2760726633944468E-2</v>
      </c>
      <c r="BL35" s="168">
        <f>('Ethylene Recycling LC'!AE269+'Ethylene Recycling LC'!AE271)/'Ethylene Recycling LC'!AE224</f>
        <v>1.3786371721564734E-2</v>
      </c>
      <c r="BM35" s="168">
        <f>('Ethylene Recycling LC'!AF269+'Ethylene Recycling LC'!AF271)/'Ethylene Recycling LC'!AF224</f>
        <v>1.5004985680906744E-2</v>
      </c>
      <c r="BN35" s="168">
        <f>('Ethylene Recycling LC'!AG269+'Ethylene Recycling LC'!AG271)/'Ethylene Recycling LC'!AG224</f>
        <v>1.6391704931670536E-2</v>
      </c>
      <c r="BP35" s="168">
        <f>0</f>
        <v>0</v>
      </c>
      <c r="BQ35" s="168">
        <f>0</f>
        <v>0</v>
      </c>
      <c r="BR35" s="168">
        <f>0</f>
        <v>0</v>
      </c>
      <c r="BS35" s="168">
        <f>0</f>
        <v>0</v>
      </c>
      <c r="BT35" s="168">
        <f>0</f>
        <v>0</v>
      </c>
      <c r="BU35" s="168">
        <f>0</f>
        <v>0</v>
      </c>
      <c r="BV35" s="168">
        <f>0</f>
        <v>0</v>
      </c>
      <c r="BW35" s="168">
        <f>0</f>
        <v>0</v>
      </c>
      <c r="BX35" s="168">
        <f>0</f>
        <v>0</v>
      </c>
      <c r="BY35" s="168">
        <f>0</f>
        <v>0</v>
      </c>
      <c r="BZ35" s="168">
        <f>0</f>
        <v>0</v>
      </c>
      <c r="CA35" s="168">
        <f>0</f>
        <v>0</v>
      </c>
      <c r="CB35" s="168">
        <f>0</f>
        <v>0</v>
      </c>
      <c r="CC35" s="168">
        <f>0</f>
        <v>0</v>
      </c>
      <c r="CD35" s="168">
        <f>0</f>
        <v>0</v>
      </c>
      <c r="CE35" s="168">
        <f>0</f>
        <v>0</v>
      </c>
      <c r="CF35" s="168">
        <f>0</f>
        <v>0</v>
      </c>
      <c r="CG35" s="168">
        <f>0</f>
        <v>0</v>
      </c>
      <c r="CH35" s="168">
        <f>0</f>
        <v>0</v>
      </c>
      <c r="CI35" s="168">
        <f>0</f>
        <v>0</v>
      </c>
      <c r="CJ35" s="168">
        <f>0</f>
        <v>0</v>
      </c>
      <c r="CK35" s="168">
        <f>0</f>
        <v>0</v>
      </c>
      <c r="CL35" s="168">
        <f>0</f>
        <v>0</v>
      </c>
      <c r="CM35" s="168">
        <f>0</f>
        <v>0</v>
      </c>
      <c r="CN35" s="168">
        <f>0</f>
        <v>0</v>
      </c>
      <c r="CO35" s="168">
        <f>0</f>
        <v>0</v>
      </c>
      <c r="CP35" s="168">
        <f>0</f>
        <v>0</v>
      </c>
      <c r="CQ35" s="168">
        <f>0</f>
        <v>0</v>
      </c>
      <c r="CR35" s="168">
        <f>0</f>
        <v>0</v>
      </c>
      <c r="CS35" s="168">
        <f>0</f>
        <v>0</v>
      </c>
      <c r="CT35" s="168">
        <f>0</f>
        <v>0</v>
      </c>
      <c r="CV35" s="168">
        <f>('Ethylene Recycling LC'!C269+'Ethylene Recycling LC'!C271)/'Ethylene Recycling HC'!C256</f>
        <v>2.9576745522143303E-7</v>
      </c>
      <c r="CW35" s="168">
        <f>('Ethylene Recycling LC'!D269+'Ethylene Recycling LC'!D271)/'Ethylene Recycling HC'!D256</f>
        <v>5.9384167966917935E-7</v>
      </c>
      <c r="CX35" s="168">
        <f>('Ethylene Recycling LC'!E269+'Ethylene Recycling LC'!E271)/'Ethylene Recycling HC'!E256</f>
        <v>1.190071847144962E-6</v>
      </c>
      <c r="CY35" s="168">
        <f>('Ethylene Recycling LC'!F269+'Ethylene Recycling LC'!F271)/'Ethylene Recycling HC'!F256</f>
        <v>2.3787985121331164E-6</v>
      </c>
      <c r="CZ35" s="168">
        <f>('Ethylene Recycling LC'!G269+'Ethylene Recycling LC'!G271)/'Ethylene Recycling HC'!G256</f>
        <v>4.7380526744975078E-6</v>
      </c>
      <c r="DA35" s="168">
        <f>('Ethylene Recycling LC'!H269+'Ethylene Recycling LC'!H271)/'Ethylene Recycling HC'!H256</f>
        <v>9.3909017175593513E-6</v>
      </c>
      <c r="DB35" s="168">
        <f>('Ethylene Recycling LC'!I269+'Ethylene Recycling LC'!I271)/'Ethylene Recycling HC'!I256</f>
        <v>1.8475650754796206E-5</v>
      </c>
      <c r="DC35" s="168">
        <f>('Ethylene Recycling LC'!J269+'Ethylene Recycling LC'!J271)/'Ethylene Recycling HC'!J256</f>
        <v>3.6010972696901624E-5</v>
      </c>
      <c r="DD35" s="168">
        <f>('Ethylene Recycling LC'!K269+'Ethylene Recycling LC'!K271)/'Ethylene Recycling HC'!K256</f>
        <v>6.9298828663880786E-5</v>
      </c>
      <c r="DE35" s="168">
        <f>('Ethylene Recycling LC'!L269+'Ethylene Recycling LC'!L271)/'Ethylene Recycling HC'!L256</f>
        <v>1.3108016354361496E-4</v>
      </c>
      <c r="DF35" s="168">
        <f>('Ethylene Recycling LC'!M269+'Ethylene Recycling LC'!M271)/'Ethylene Recycling HC'!M256</f>
        <v>2.4339234345303906E-4</v>
      </c>
      <c r="DG35" s="168">
        <f>('Ethylene Recycling LC'!N269+'Ethylene Recycling LC'!N271)/'Ethylene Recycling HC'!N256</f>
        <v>4.1423075243387922E-4</v>
      </c>
      <c r="DH35" s="168">
        <f>('Ethylene Recycling LC'!O269+'Ethylene Recycling LC'!O271)/'Ethylene Recycling HC'!O256</f>
        <v>6.8380342746261519E-4</v>
      </c>
      <c r="DI35" s="168">
        <f>('Ethylene Recycling LC'!P269+'Ethylene Recycling LC'!P271)/'Ethylene Recycling HC'!P256</f>
        <v>1.0803242278266856E-3</v>
      </c>
      <c r="DJ35" s="168">
        <f>('Ethylene Recycling LC'!Q269+'Ethylene Recycling LC'!Q271)/'Ethylene Recycling HC'!Q256</f>
        <v>1.6243496928331205E-3</v>
      </c>
      <c r="DK35" s="168">
        <f>('Ethylene Recycling LC'!R269+'Ethylene Recycling LC'!R271)/'Ethylene Recycling HC'!R256</f>
        <v>2.3147604715202195E-3</v>
      </c>
      <c r="DL35" s="168">
        <f>('Ethylene Recycling LC'!S269+'Ethylene Recycling LC'!S271)/'Ethylene Recycling HC'!S256</f>
        <v>3.1190530373552683E-3</v>
      </c>
      <c r="DM35" s="168">
        <f>('Ethylene Recycling LC'!T269+'Ethylene Recycling LC'!T271)/'Ethylene Recycling HC'!T256</f>
        <v>3.9836872568390263E-3</v>
      </c>
      <c r="DN35" s="168">
        <f>('Ethylene Recycling LC'!U269+'Ethylene Recycling LC'!U271)/'Ethylene Recycling HC'!U256</f>
        <v>4.8469508259782581E-3</v>
      </c>
      <c r="DO35" s="168">
        <f>('Ethylene Recycling LC'!V269+'Ethylene Recycling LC'!V271)/'Ethylene Recycling HC'!V256</f>
        <v>5.6578764480516366E-3</v>
      </c>
      <c r="DP35" s="168">
        <f>('Ethylene Recycling LC'!W269+'Ethylene Recycling LC'!W271)/'Ethylene Recycling HC'!W256</f>
        <v>6.3874334627682739E-3</v>
      </c>
      <c r="DQ35" s="168">
        <f>('Ethylene Recycling LC'!X269+'Ethylene Recycling LC'!X271)/'Ethylene Recycling HC'!X256</f>
        <v>6.6352952941796176E-3</v>
      </c>
      <c r="DR35" s="168">
        <f>('Ethylene Recycling LC'!Y269+'Ethylene Recycling LC'!Y271)/'Ethylene Recycling HC'!Y256</f>
        <v>6.7561068705895037E-3</v>
      </c>
      <c r="DS35" s="168">
        <f>('Ethylene Recycling LC'!Z269+'Ethylene Recycling LC'!Z271)/'Ethylene Recycling HC'!Z256</f>
        <v>6.9975985267314864E-3</v>
      </c>
      <c r="DT35" s="168">
        <f>('Ethylene Recycling LC'!AA269+'Ethylene Recycling LC'!AA271)/'Ethylene Recycling HC'!AA256</f>
        <v>7.3907080976206236E-3</v>
      </c>
      <c r="DU35" s="168">
        <f>('Ethylene Recycling LC'!AB269+'Ethylene Recycling LC'!AB271)/'Ethylene Recycling HC'!AB256</f>
        <v>7.7452058085125796E-3</v>
      </c>
      <c r="DV35" s="168">
        <f>('Ethylene Recycling LC'!AC269+'Ethylene Recycling LC'!AC271)/'Ethylene Recycling HC'!AC256</f>
        <v>8.0993389119899915E-3</v>
      </c>
      <c r="DW35" s="168">
        <f>('Ethylene Recycling LC'!AD269+'Ethylene Recycling LC'!AD271)/'Ethylene Recycling HC'!AD256</f>
        <v>8.4984353526490111E-3</v>
      </c>
      <c r="DX35" s="168">
        <f>('Ethylene Recycling LC'!AE269+'Ethylene Recycling LC'!AE271)/'Ethylene Recycling HC'!AE256</f>
        <v>8.9776862493700718E-3</v>
      </c>
      <c r="DY35" s="168">
        <f>('Ethylene Recycling LC'!AF269+'Ethylene Recycling LC'!AF271)/'Ethylene Recycling HC'!AF256</f>
        <v>9.5494133954873838E-3</v>
      </c>
      <c r="DZ35" s="168">
        <f>('Ethylene Recycling LC'!AG269+'Ethylene Recycling LC'!AG271)/'Ethylene Recycling HC'!AG256</f>
        <v>1.0189600636622586E-2</v>
      </c>
      <c r="EA35" s="168"/>
    </row>
    <row r="36" spans="1:165" x14ac:dyDescent="0.2">
      <c r="A36" s="606" t="s">
        <v>459</v>
      </c>
      <c r="C36" s="54" t="s">
        <v>462</v>
      </c>
      <c r="D36" s="168">
        <f>('Ethylene Recycling HC'!C284-('Ethylene Recycling HC'!C311+'Ethylene Recycling HC'!C313)*'Ethylene Recycling HC'!C250/SUM('Ethylene Recycling HC'!C250:C251))/('Ethylene Recycling HC'!C$266)*D$19/SUM(D$19:D$20)</f>
        <v>0.1400878510203247</v>
      </c>
      <c r="E36" s="168">
        <f>('Ethylene Recycling HC'!D284-('Ethylene Recycling HC'!D311+'Ethylene Recycling HC'!D313)*'Ethylene Recycling HC'!D250/SUM('Ethylene Recycling HC'!D250:D251))/('Ethylene Recycling HC'!D$266)*E$19/SUM(E$19:E$20)</f>
        <v>0.14383324873970213</v>
      </c>
      <c r="F36" s="168">
        <f>('Ethylene Recycling HC'!E284-('Ethylene Recycling HC'!E311+'Ethylene Recycling HC'!E313)*'Ethylene Recycling HC'!E250/SUM('Ethylene Recycling HC'!E250:E251))/('Ethylene Recycling HC'!E$266)*F$19/SUM(F$19:F$20)</f>
        <v>0.1475208930813805</v>
      </c>
      <c r="G36" s="168">
        <f>('Ethylene Recycling HC'!F284-('Ethylene Recycling HC'!F311+'Ethylene Recycling HC'!F313)*'Ethylene Recycling HC'!F250/SUM('Ethylene Recycling HC'!F250:F251))/('Ethylene Recycling HC'!F$266)*G$19/SUM(G$19:G$20)</f>
        <v>0.15114542604562264</v>
      </c>
      <c r="H36" s="168">
        <f>('Ethylene Recycling HC'!G284-('Ethylene Recycling HC'!G311+'Ethylene Recycling HC'!G313)*'Ethylene Recycling HC'!G250/SUM('Ethylene Recycling HC'!G250:G251))/('Ethylene Recycling HC'!G$266)*H$19/SUM(H$19:H$20)</f>
        <v>0.15469572167972526</v>
      </c>
      <c r="I36" s="168">
        <f>('Ethylene Recycling HC'!H284-('Ethylene Recycling HC'!H311+'Ethylene Recycling HC'!H313)*'Ethylene Recycling HC'!H250/SUM('Ethylene Recycling HC'!H250:H251))/('Ethylene Recycling HC'!H$266)*I$19/SUM(I$19:I$20)</f>
        <v>0.15814973849917183</v>
      </c>
      <c r="J36" s="168">
        <f>('Ethylene Recycling HC'!I284-('Ethylene Recycling HC'!I311+'Ethylene Recycling HC'!I313)*'Ethylene Recycling HC'!I250/SUM('Ethylene Recycling HC'!I250:I251))/('Ethylene Recycling HC'!I$266)*J$19/SUM(J$19:J$20)</f>
        <v>0.16144198362105042</v>
      </c>
      <c r="K36" s="168">
        <f>('Ethylene Recycling HC'!J284-('Ethylene Recycling HC'!J311+'Ethylene Recycling HC'!J313)*'Ethylene Recycling HC'!J250/SUM('Ethylene Recycling HC'!J250:J251))/('Ethylene Recycling HC'!J$266)*K$19/SUM(K$19:K$20)</f>
        <v>0.16451384788988646</v>
      </c>
      <c r="L36" s="168">
        <f>('Ethylene Recycling HC'!K284-('Ethylene Recycling HC'!K311+'Ethylene Recycling HC'!K313)*'Ethylene Recycling HC'!K250/SUM('Ethylene Recycling HC'!K250:K251))/('Ethylene Recycling HC'!K$266)*L$19/SUM(L$19:L$20)</f>
        <v>0.16722435423342152</v>
      </c>
      <c r="M36" s="168">
        <f>('Ethylene Recycling HC'!L284-('Ethylene Recycling HC'!L311+'Ethylene Recycling HC'!L313)*'Ethylene Recycling HC'!L250/SUM('Ethylene Recycling HC'!L250:L251))/('Ethylene Recycling HC'!L$266)*M$19/SUM(M$19:M$20)</f>
        <v>0.16933199981390468</v>
      </c>
      <c r="N36" s="168">
        <f>('Ethylene Recycling HC'!M284-('Ethylene Recycling HC'!M311+'Ethylene Recycling HC'!M313)*'Ethylene Recycling HC'!M250/SUM('Ethylene Recycling HC'!M250:M251))/('Ethylene Recycling HC'!M$266)*N$19/SUM(N$19:N$20)</f>
        <v>0.17044723003717746</v>
      </c>
      <c r="O36" s="168">
        <f>('Ethylene Recycling HC'!N284-('Ethylene Recycling HC'!N311+'Ethylene Recycling HC'!N313)*'Ethylene Recycling HC'!N250/SUM('Ethylene Recycling HC'!N250:N251))/('Ethylene Recycling HC'!N$266)*O$19/SUM(O$19:O$20)</f>
        <v>0.16872311302826992</v>
      </c>
      <c r="P36" s="168">
        <f>('Ethylene Recycling HC'!O284-('Ethylene Recycling HC'!O311+'Ethylene Recycling HC'!O313)*'Ethylene Recycling HC'!O250/SUM('Ethylene Recycling HC'!O250:O251))/('Ethylene Recycling HC'!O$266)*P$19/SUM(P$19:P$20)</f>
        <v>0.16471640860601713</v>
      </c>
      <c r="Q36" s="168">
        <f>('Ethylene Recycling HC'!P284-('Ethylene Recycling HC'!P311+'Ethylene Recycling HC'!P313)*'Ethylene Recycling HC'!P250/SUM('Ethylene Recycling HC'!P250:P251))/('Ethylene Recycling HC'!P$266)*Q$19/SUM(Q$19:Q$20)</f>
        <v>0.15775425383968431</v>
      </c>
      <c r="R36" s="168">
        <f>('Ethylene Recycling HC'!Q284-('Ethylene Recycling HC'!Q311+'Ethylene Recycling HC'!Q313)*'Ethylene Recycling HC'!Q250/SUM('Ethylene Recycling HC'!Q250:Q251))/('Ethylene Recycling HC'!Q$266)*R$19/SUM(R$19:R$20)</f>
        <v>0.14729728373993567</v>
      </c>
      <c r="S36" s="168">
        <f>('Ethylene Recycling HC'!R284-('Ethylene Recycling HC'!R311+'Ethylene Recycling HC'!R313)*'Ethylene Recycling HC'!R250/SUM('Ethylene Recycling HC'!R250:R251))/('Ethylene Recycling HC'!R$266)*S$19/SUM(S$19:S$20)</f>
        <v>0.13334649901842854</v>
      </c>
      <c r="T36" s="168">
        <f>('Ethylene Recycling HC'!S284-('Ethylene Recycling HC'!S311+'Ethylene Recycling HC'!S313)*'Ethylene Recycling HC'!S250/SUM('Ethylene Recycling HC'!S250:S251))/('Ethylene Recycling HC'!S$266)*T$19/SUM(T$19:T$20)</f>
        <v>0.11659161085925106</v>
      </c>
      <c r="U36" s="168">
        <f>('Ethylene Recycling HC'!T284-('Ethylene Recycling HC'!T311+'Ethylene Recycling HC'!T313)*'Ethylene Recycling HC'!T250/SUM('Ethylene Recycling HC'!T250:T251))/('Ethylene Recycling HC'!T$266)*U$19/SUM(U$19:U$20)</f>
        <v>9.8274853458633196E-2</v>
      </c>
      <c r="V36" s="168">
        <f>('Ethylene Recycling HC'!U284-('Ethylene Recycling HC'!U311+'Ethylene Recycling HC'!U313)*'Ethylene Recycling HC'!U250/SUM('Ethylene Recycling HC'!U250:U251))/('Ethylene Recycling HC'!U$266)*V$19/SUM(V$19:V$20)</f>
        <v>8.0009245124819883E-2</v>
      </c>
      <c r="W36" s="168">
        <f>('Ethylene Recycling HC'!V284-('Ethylene Recycling HC'!V311+'Ethylene Recycling HC'!V313)*'Ethylene Recycling HC'!V250/SUM('Ethylene Recycling HC'!V250:V251))/('Ethylene Recycling HC'!V$266)*W$19/SUM(W$19:W$20)</f>
        <v>6.3143445051091818E-2</v>
      </c>
      <c r="X36" s="168">
        <f>('Ethylene Recycling HC'!W284-('Ethylene Recycling HC'!W311+'Ethylene Recycling HC'!W313)*'Ethylene Recycling HC'!W250/SUM('Ethylene Recycling HC'!W250:W251))/('Ethylene Recycling HC'!W$266)*X$19/SUM(X$19:X$20)</f>
        <v>4.853830723650876E-2</v>
      </c>
      <c r="Y36" s="168">
        <f>('Ethylene Recycling HC'!X284-('Ethylene Recycling HC'!X311+'Ethylene Recycling HC'!X313)*'Ethylene Recycling HC'!X250/SUM('Ethylene Recycling HC'!X250:X251))/('Ethylene Recycling HC'!X$266)*Y$19/SUM(Y$19:Y$20)</f>
        <v>3.6115869748377653E-2</v>
      </c>
      <c r="Z36" s="168">
        <f>('Ethylene Recycling HC'!Y284-('Ethylene Recycling HC'!Y311+'Ethylene Recycling HC'!Y313)*'Ethylene Recycling HC'!Y250/SUM('Ethylene Recycling HC'!Y250:Y251))/('Ethylene Recycling HC'!Y$266)*Z$19/SUM(Z$19:Z$20)</f>
        <v>2.6385898314180117E-2</v>
      </c>
      <c r="AA36" s="168">
        <f>('Ethylene Recycling HC'!Z284-('Ethylene Recycling HC'!Z311+'Ethylene Recycling HC'!Z313)*'Ethylene Recycling HC'!Z250/SUM('Ethylene Recycling HC'!Z250:Z251))/('Ethylene Recycling HC'!Z$266)*AA$19/SUM(AA$19:AA$20)</f>
        <v>1.902651191574475E-2</v>
      </c>
      <c r="AB36" s="168">
        <f>('Ethylene Recycling HC'!AA284-('Ethylene Recycling HC'!AA311+'Ethylene Recycling HC'!AA313)*'Ethylene Recycling HC'!AA250/SUM('Ethylene Recycling HC'!AA250:AA251))/('Ethylene Recycling HC'!AA$266)*AB$19/SUM(AB$19:AB$20)</f>
        <v>1.358463487772911E-2</v>
      </c>
      <c r="AC36" s="168">
        <f>('Ethylene Recycling HC'!AB284-('Ethylene Recycling HC'!AB311+'Ethylene Recycling HC'!AB313)*'Ethylene Recycling HC'!AB250/SUM('Ethylene Recycling HC'!AB250:AB251))/('Ethylene Recycling HC'!AB$266)*AC$19/SUM(AC$19:AC$20)</f>
        <v>9.6266348047103177E-3</v>
      </c>
      <c r="AD36" s="168">
        <f>('Ethylene Recycling HC'!AC284-('Ethylene Recycling HC'!AC311+'Ethylene Recycling HC'!AC313)*'Ethylene Recycling HC'!AC250/SUM('Ethylene Recycling HC'!AC250:AC251))/('Ethylene Recycling HC'!AC$266)*AD$19/SUM(AD$19:AD$20)</f>
        <v>6.7821032596952543E-3</v>
      </c>
      <c r="AE36" s="168">
        <f>('Ethylene Recycling HC'!AD284-('Ethylene Recycling HC'!AD311+'Ethylene Recycling HC'!AD313)*'Ethylene Recycling HC'!AD250/SUM('Ethylene Recycling HC'!AD250:AD251))/('Ethylene Recycling HC'!AD$266)*AE$19/SUM(AE$19:AE$20)</f>
        <v>4.755618363831691E-3</v>
      </c>
      <c r="AF36" s="168">
        <f>('Ethylene Recycling HC'!AE284-('Ethylene Recycling HC'!AE311+'Ethylene Recycling HC'!AE313)*'Ethylene Recycling HC'!AE250/SUM('Ethylene Recycling HC'!AE250:AE251))/('Ethylene Recycling HC'!AE$266)*AF$19/SUM(AF$19:AF$20)</f>
        <v>3.3213825469453795E-3</v>
      </c>
      <c r="AG36" s="168">
        <f>('Ethylene Recycling HC'!AF284-('Ethylene Recycling HC'!AF311+'Ethylene Recycling HC'!AF313)*'Ethylene Recycling HC'!AF250/SUM('Ethylene Recycling HC'!AF250:AF251))/('Ethylene Recycling HC'!AF$266)*AG$19/SUM(AG$19:AG$20)</f>
        <v>2.3117918677521103E-3</v>
      </c>
      <c r="AH36" s="168">
        <f>('Ethylene Recycling HC'!AG284-('Ethylene Recycling HC'!AG311+'Ethylene Recycling HC'!AG313)*'Ethylene Recycling HC'!AG250/SUM('Ethylene Recycling HC'!AG250:AG251))/('Ethylene Recycling HC'!AG$266)*AH$19/SUM(AH$19:AH$20)</f>
        <v>1.6046705002487711E-3</v>
      </c>
      <c r="AI36" s="44"/>
      <c r="AJ36" s="168">
        <f>('Ethylene Recycling LC'!C242-('Ethylene Recycling LC'!C269+'Ethylene Recycling LC'!C271)*'Ethylene Recycling LC'!C208/SUM('Ethylene Recycling LC'!C208:C209))/('Ethylene Recycling LC'!C$224)*AJ19/SUM(AJ19:AJ20)</f>
        <v>0.14008791755710392</v>
      </c>
      <c r="AK36" s="168">
        <f>('Ethylene Recycling LC'!D242-('Ethylene Recycling LC'!D269+'Ethylene Recycling LC'!D271)*'Ethylene Recycling LC'!D208/SUM('Ethylene Recycling LC'!D208:D209))/('Ethylene Recycling LC'!D$224)*AK19/SUM(AK19:AK20)</f>
        <v>0.1438740044295756</v>
      </c>
      <c r="AL36" s="168">
        <f>('Ethylene Recycling LC'!E242-('Ethylene Recycling LC'!E269+'Ethylene Recycling LC'!E271)*'Ethylene Recycling LC'!E208/SUM('Ethylene Recycling LC'!E208:E209))/('Ethylene Recycling LC'!E$224)*AL19/SUM(AL19:AL20)</f>
        <v>0.14760925563384306</v>
      </c>
      <c r="AM36" s="168">
        <f>('Ethylene Recycling LC'!F242-('Ethylene Recycling LC'!F269+'Ethylene Recycling LC'!F271)*'Ethylene Recycling LC'!F208/SUM('Ethylene Recycling LC'!F208:F209))/('Ethylene Recycling LC'!F$224)*AM19/SUM(AM19:AM20)</f>
        <v>0.15128882689597858</v>
      </c>
      <c r="AN36" s="168">
        <f>('Ethylene Recycling LC'!G242-('Ethylene Recycling LC'!G269+'Ethylene Recycling LC'!G271)*'Ethylene Recycling LC'!G208/SUM('Ethylene Recycling LC'!G208:G209))/('Ethylene Recycling LC'!G$224)*AN19/SUM(AN19:AN20)</f>
        <v>0.15490217003225321</v>
      </c>
      <c r="AO36" s="168">
        <f>('Ethylene Recycling LC'!H242-('Ethylene Recycling LC'!H269+'Ethylene Recycling LC'!H271)*'Ethylene Recycling LC'!H208/SUM('Ethylene Recycling LC'!H208:H209))/('Ethylene Recycling LC'!H$224)*AO19/SUM(AO19:AO20)</f>
        <v>0.15842793306905631</v>
      </c>
      <c r="AP36" s="168">
        <f>('Ethylene Recycling LC'!I242-('Ethylene Recycling LC'!I269+'Ethylene Recycling LC'!I271)*'Ethylene Recycling LC'!I208/SUM('Ethylene Recycling LC'!I208:I209))/('Ethylene Recycling LC'!I$224)*AP19/SUM(AP19:AP20)</f>
        <v>0.16183857963318921</v>
      </c>
      <c r="AQ36" s="168">
        <f>('Ethylene Recycling LC'!J242-('Ethylene Recycling LC'!J269+'Ethylene Recycling LC'!J271)*'Ethylene Recycling LC'!J208/SUM('Ethylene Recycling LC'!J208:J209))/('Ethylene Recycling LC'!J$224)*AQ19/SUM(AQ19:AQ20)</f>
        <v>0.16504512175798899</v>
      </c>
      <c r="AR36" s="168">
        <f>('Ethylene Recycling LC'!K242-('Ethylene Recycling LC'!K269+'Ethylene Recycling LC'!K271)*'Ethylene Recycling LC'!K208/SUM('Ethylene Recycling LC'!K208:K209))/('Ethylene Recycling LC'!K$224)*AR19/SUM(AR19:AR20)</f>
        <v>0.16790840256278158</v>
      </c>
      <c r="AS36" s="168">
        <f>('Ethylene Recycling LC'!L242-('Ethylene Recycling LC'!L269+'Ethylene Recycling LC'!L271)*'Ethylene Recycling LC'!L208/SUM('Ethylene Recycling LC'!L208:L209))/('Ethylene Recycling LC'!L$224)*AS19/SUM(AS19:AS20)</f>
        <v>0.17018910971882303</v>
      </c>
      <c r="AT36" s="168">
        <f>('Ethylene Recycling LC'!M242-('Ethylene Recycling LC'!M269+'Ethylene Recycling LC'!M271)*'Ethylene Recycling LC'!M208/SUM('Ethylene Recycling LC'!M208:M209))/('Ethylene Recycling LC'!M$224)*AT19/SUM(AT19:AT20)</f>
        <v>0.17150023761328206</v>
      </c>
      <c r="AU36" s="168">
        <f>('Ethylene Recycling LC'!N242-('Ethylene Recycling LC'!N269+'Ethylene Recycling LC'!N271)*'Ethylene Recycling LC'!N208/SUM('Ethylene Recycling LC'!N208:N209))/('Ethylene Recycling LC'!N$224)*AU19/SUM(AU19:AU20)</f>
        <v>0.17011960862173256</v>
      </c>
      <c r="AV36" s="168">
        <f>('Ethylene Recycling LC'!O242-('Ethylene Recycling LC'!O269+'Ethylene Recycling LC'!O271)*'Ethylene Recycling LC'!O208/SUM('Ethylene Recycling LC'!O208:O209))/('Ethylene Recycling LC'!O$224)*AV19/SUM(AV19:AV20)</f>
        <v>0.1664735959408376</v>
      </c>
      <c r="AW36" s="168">
        <f>('Ethylene Recycling LC'!P242-('Ethylene Recycling LC'!P269+'Ethylene Recycling LC'!P271)*'Ethylene Recycling LC'!P208/SUM('Ethylene Recycling LC'!P208:P209))/('Ethylene Recycling LC'!P$224)*AW19/SUM(AW19:AW20)</f>
        <v>0.15990402942181772</v>
      </c>
      <c r="AX36" s="168">
        <f>('Ethylene Recycling LC'!Q242-('Ethylene Recycling LC'!Q269+'Ethylene Recycling LC'!Q271)*'Ethylene Recycling LC'!Q208/SUM('Ethylene Recycling LC'!Q208:Q209))/('Ethylene Recycling LC'!Q$224)*AX19/SUM(AX19:AX20)</f>
        <v>0.1498117296568709</v>
      </c>
      <c r="AY36" s="168">
        <f>('Ethylene Recycling LC'!R242-('Ethylene Recycling LC'!R269+'Ethylene Recycling LC'!R271)*'Ethylene Recycling LC'!R208/SUM('Ethylene Recycling LC'!R208:R209))/('Ethylene Recycling LC'!R$224)*AY19/SUM(AY19:AY20)</f>
        <v>0.13614533482990424</v>
      </c>
      <c r="AZ36" s="168">
        <f>('Ethylene Recycling LC'!S242-('Ethylene Recycling LC'!S269+'Ethylene Recycling LC'!S271)*'Ethylene Recycling LC'!S208/SUM('Ethylene Recycling LC'!S208:S209))/('Ethylene Recycling LC'!S$224)*AZ19/SUM(AZ19:AZ20)</f>
        <v>0.1195497143958251</v>
      </c>
      <c r="BA36" s="168">
        <f>('Ethylene Recycling LC'!T242-('Ethylene Recycling LC'!T269+'Ethylene Recycling LC'!T271)*'Ethylene Recycling LC'!T208/SUM('Ethylene Recycling LC'!T208:T209))/('Ethylene Recycling LC'!T$224)*BA19/SUM(BA19:BA20)</f>
        <v>0.10131010713383405</v>
      </c>
      <c r="BB36" s="168">
        <f>('Ethylene Recycling LC'!U242-('Ethylene Recycling LC'!U269+'Ethylene Recycling LC'!U271)*'Ethylene Recycling LC'!U208/SUM('Ethylene Recycling LC'!U208:U209))/('Ethylene Recycling LC'!U$224)*BB19/SUM(BB19:BB20)</f>
        <v>8.2968907048895729E-2</v>
      </c>
      <c r="BC36" s="168">
        <f>('Ethylene Recycling LC'!V242-('Ethylene Recycling LC'!V269+'Ethylene Recycling LC'!V271)*'Ethylene Recycling LC'!V208/SUM('Ethylene Recycling LC'!V208:V209))/('Ethylene Recycling LC'!V$224)*BC19/SUM(BC19:BC20)</f>
        <v>6.5894113023818271E-2</v>
      </c>
      <c r="BD36" s="168">
        <f>('Ethylene Recycling LC'!W242-('Ethylene Recycling LC'!W269+'Ethylene Recycling LC'!W271)*'Ethylene Recycling LC'!W208/SUM('Ethylene Recycling LC'!W208:W209))/('Ethylene Recycling LC'!W$224)*BD19/SUM(BD19:BD20)</f>
        <v>5.0988497627972661E-2</v>
      </c>
      <c r="BE36" s="168">
        <f>('Ethylene Recycling LC'!X242-('Ethylene Recycling LC'!X269+'Ethylene Recycling LC'!X271)*'Ethylene Recycling LC'!X208/SUM('Ethylene Recycling LC'!X208:X209))/('Ethylene Recycling LC'!X$224)*BE19/SUM(BE19:BE20)</f>
        <v>3.8367322892249867E-2</v>
      </c>
      <c r="BF36" s="168">
        <f>('Ethylene Recycling LC'!Y242-('Ethylene Recycling LC'!Y269+'Ethylene Recycling LC'!Y271)*'Ethylene Recycling LC'!Y208/SUM('Ethylene Recycling LC'!Y208:Y209))/('Ethylene Recycling LC'!Y$224)*BF19/SUM(BF19:BF20)</f>
        <v>2.8360761576713647E-2</v>
      </c>
      <c r="BG36" s="168">
        <f>('Ethylene Recycling LC'!Z242-('Ethylene Recycling LC'!Z269+'Ethylene Recycling LC'!Z271)*'Ethylene Recycling LC'!Z208/SUM('Ethylene Recycling LC'!Z208:Z209))/('Ethylene Recycling LC'!Z$224)*BG19/SUM(BG19:BG20)</f>
        <v>2.0699322648622339E-2</v>
      </c>
      <c r="BH36" s="168">
        <f>('Ethylene Recycling LC'!AA242-('Ethylene Recycling LC'!AA269+'Ethylene Recycling LC'!AA271)*'Ethylene Recycling LC'!AA208/SUM('Ethylene Recycling LC'!AA208:AA209))/('Ethylene Recycling LC'!AA$224)*BH19/SUM(BH19:BH20)</f>
        <v>1.4964410075521791E-2</v>
      </c>
      <c r="BI36" s="168">
        <f>('Ethylene Recycling LC'!AB242-('Ethylene Recycling LC'!AB269+'Ethylene Recycling LC'!AB271)*'Ethylene Recycling LC'!AB208/SUM('Ethylene Recycling LC'!AB208:AB209))/('Ethylene Recycling LC'!AB$224)*BI19/SUM(BI19:BI20)</f>
        <v>1.0750085924804701E-2</v>
      </c>
      <c r="BJ36" s="168">
        <f>('Ethylene Recycling LC'!AC242-('Ethylene Recycling LC'!AC269+'Ethylene Recycling LC'!AC271)*'Ethylene Recycling LC'!AC208/SUM('Ethylene Recycling LC'!AC208:AC209))/('Ethylene Recycling LC'!AC$224)*BJ19/SUM(BJ19:BJ20)</f>
        <v>7.6892673736029902E-3</v>
      </c>
      <c r="BK36" s="168">
        <f>('Ethylene Recycling LC'!AD242-('Ethylene Recycling LC'!AD269+'Ethylene Recycling LC'!AD271)*'Ethylene Recycling LC'!AD208/SUM('Ethylene Recycling LC'!AD208:AD209))/('Ethylene Recycling LC'!AD$224)*BK19/SUM(BK19:BK20)</f>
        <v>5.4835248036995037E-3</v>
      </c>
      <c r="BL36" s="168">
        <f>('Ethylene Recycling LC'!AE242-('Ethylene Recycling LC'!AE269+'Ethylene Recycling LC'!AE271)*'Ethylene Recycling LC'!AE208/SUM('Ethylene Recycling LC'!AE208:AE209))/('Ethylene Recycling LC'!AE$224)*BL19/SUM(BL19:BL20)</f>
        <v>3.9029422204492912E-3</v>
      </c>
      <c r="BM36" s="168">
        <f>('Ethylene Recycling LC'!AF242-('Ethylene Recycling LC'!AF269+'Ethylene Recycling LC'!AF271)*'Ethylene Recycling LC'!AF208/SUM('Ethylene Recycling LC'!AF208:AF209))/('Ethylene Recycling LC'!AF$224)*BM19/SUM(BM19:BM20)</f>
        <v>2.7748843808816609E-3</v>
      </c>
      <c r="BN36" s="168">
        <f>('Ethylene Recycling LC'!AG242-('Ethylene Recycling LC'!AG269+'Ethylene Recycling LC'!AG271)*'Ethylene Recycling LC'!AG208/SUM('Ethylene Recycling LC'!AG208:AG209))/('Ethylene Recycling LC'!AG$224)*BN19/SUM(BN19:BN20)</f>
        <v>1.9721776908125993E-3</v>
      </c>
      <c r="BP36" s="168">
        <f>('Ethylene Recycling HC'!C260)/('Ethylene Recycling HC'!C$256)*BP19/SUM(BP19:BP20)</f>
        <v>0.14009446360356026</v>
      </c>
      <c r="BQ36" s="168">
        <f>('Ethylene Recycling HC'!D260)/('Ethylene Recycling HC'!D$256)*BQ19/SUM(BQ19:BQ20)</f>
        <v>0.14223218249745001</v>
      </c>
      <c r="BR36" s="168">
        <f>('Ethylene Recycling HC'!E260)/('Ethylene Recycling HC'!E$256)*BR19/SUM(BR19:BR20)</f>
        <v>0.14432107095589505</v>
      </c>
      <c r="BS36" s="168">
        <f>('Ethylene Recycling HC'!F260)/('Ethylene Recycling HC'!F$256)*BS19/SUM(BS19:BS20)</f>
        <v>0.14636124646103446</v>
      </c>
      <c r="BT36" s="168">
        <f>('Ethylene Recycling HC'!G260)/('Ethylene Recycling HC'!G$256)*BT19/SUM(BT19:BT20)</f>
        <v>0.1483524702634077</v>
      </c>
      <c r="BU36" s="168">
        <f>('Ethylene Recycling HC'!H260)/('Ethylene Recycling HC'!H$256)*BU19/SUM(BU19:BU20)</f>
        <v>0.15029414378196482</v>
      </c>
      <c r="BV36" s="168">
        <f>('Ethylene Recycling HC'!I260)/('Ethylene Recycling HC'!I$256)*BV19/SUM(BV19:BV20)</f>
        <v>0.15222881904980085</v>
      </c>
      <c r="BW36" s="168">
        <f>('Ethylene Recycling HC'!J260)/('Ethylene Recycling HC'!J$256)*BW19/SUM(BW19:BW20)</f>
        <v>0.15415628578850465</v>
      </c>
      <c r="BX36" s="168">
        <f>('Ethylene Recycling HC'!K260)/('Ethylene Recycling HC'!K$256)*BX19/SUM(BX19:BX20)</f>
        <v>0.15607632639634811</v>
      </c>
      <c r="BY36" s="168">
        <f>('Ethylene Recycling HC'!L260)/('Ethylene Recycling HC'!L$256)*BY19/SUM(BY19:BY20)</f>
        <v>0.15798871539988377</v>
      </c>
      <c r="BZ36" s="168">
        <f>('Ethylene Recycling HC'!M260)/('Ethylene Recycling HC'!M$256)*BZ19/SUM(BZ19:BZ20)</f>
        <v>0.15989321889209063</v>
      </c>
      <c r="CA36" s="168">
        <f>('Ethylene Recycling HC'!N260)/('Ethylene Recycling HC'!N$256)*CA19/SUM(CA19:CA20)</f>
        <v>0.16175958491197417</v>
      </c>
      <c r="CB36" s="168">
        <f>('Ethylene Recycling HC'!O260)/('Ethylene Recycling HC'!O$256)*CB19/SUM(CB19:CB20)</f>
        <v>0.16358659210332899</v>
      </c>
      <c r="CC36" s="168">
        <f>('Ethylene Recycling HC'!P260)/('Ethylene Recycling HC'!P$256)*CC19/SUM(CC19:CC20)</f>
        <v>0.16537279365734969</v>
      </c>
      <c r="CD36" s="168">
        <f>('Ethylene Recycling HC'!Q260)/('Ethylene Recycling HC'!Q$256)*CD19/SUM(CD19:CD20)</f>
        <v>0.16711650277084752</v>
      </c>
      <c r="CE36" s="168">
        <f>('Ethylene Recycling HC'!R260)/('Ethylene Recycling HC'!R$256)*CE19/SUM(CE19:CE20)</f>
        <v>0.1688157757071457</v>
      </c>
      <c r="CF36" s="168">
        <f>('Ethylene Recycling HC'!S260)/('Ethylene Recycling HC'!S$256)*CF19/SUM(CF19:CF20)</f>
        <v>0.17050903362803568</v>
      </c>
      <c r="CG36" s="168">
        <f>('Ethylene Recycling HC'!T260)/('Ethylene Recycling HC'!T$256)*CG19/SUM(CG19:CG20)</f>
        <v>0.17219612204645654</v>
      </c>
      <c r="CH36" s="168">
        <f>('Ethylene Recycling HC'!U260)/('Ethylene Recycling HC'!U$256)*CH19/SUM(CH19:CH20)</f>
        <v>0.17387688287929992</v>
      </c>
      <c r="CI36" s="168">
        <f>('Ethylene Recycling HC'!V260)/('Ethylene Recycling HC'!V$256)*CI19/SUM(CI19:CI20)</f>
        <v>0.17555115433787488</v>
      </c>
      <c r="CJ36" s="168">
        <f>('Ethylene Recycling HC'!W260)/('Ethylene Recycling HC'!W$256)*CJ19/SUM(CJ19:CJ20)</f>
        <v>0.17721877081518539</v>
      </c>
      <c r="CK36" s="168">
        <f>('Ethylene Recycling HC'!X260)/('Ethylene Recycling HC'!X$256)*CK19/SUM(CK19:CK20)</f>
        <v>0.17887983284512765</v>
      </c>
      <c r="CL36" s="168">
        <f>('Ethylene Recycling HC'!Y260)/('Ethylene Recycling HC'!Y$256)*CL19/SUM(CL19:CL20)</f>
        <v>0.18053418088178463</v>
      </c>
      <c r="CM36" s="168">
        <f>('Ethylene Recycling HC'!Z260)/('Ethylene Recycling HC'!Z$256)*CM19/SUM(CM19:CM20)</f>
        <v>0.18218165169467621</v>
      </c>
      <c r="CN36" s="168">
        <f>('Ethylene Recycling HC'!AA260)/('Ethylene Recycling HC'!AA$256)*CN19/SUM(CN19:CN20)</f>
        <v>0.18382207826255698</v>
      </c>
      <c r="CO36" s="168">
        <f>('Ethylene Recycling HC'!AB260)/('Ethylene Recycling HC'!AB$256)*CO19/SUM(CO19:CO20)</f>
        <v>0.18545528966418529</v>
      </c>
      <c r="CP36" s="168">
        <f>('Ethylene Recycling HC'!AC260)/('Ethylene Recycling HC'!AC$256)*CP19/SUM(CP19:CP20)</f>
        <v>0.18708136294000979</v>
      </c>
      <c r="CQ36" s="168">
        <f>('Ethylene Recycling HC'!AD260)/('Ethylene Recycling HC'!AD$256)*CQ19/SUM(CQ19:CQ20)</f>
        <v>0.18870013207834357</v>
      </c>
      <c r="CR36" s="168">
        <f>('Ethylene Recycling HC'!AE260)/('Ethylene Recycling HC'!AE$256)*CR19/SUM(CR19:CR20)</f>
        <v>0.19031142727514974</v>
      </c>
      <c r="CS36" s="168">
        <f>('Ethylene Recycling HC'!AF260)/('Ethylene Recycling HC'!AF$256)*CS19/SUM(CS19:CS20)</f>
        <v>0.19191507482971729</v>
      </c>
      <c r="CT36" s="168">
        <f>('Ethylene Recycling HC'!AG260)/('Ethylene Recycling HC'!AG$256)*CT19/SUM(CT19:CT20)</f>
        <v>0.19351089703742877</v>
      </c>
      <c r="CV36" s="168">
        <f>AJ36*(1-SUM(CV$34:CV$35))/(1-SUM(AJ$34:AJ$35))</f>
        <v>0.14008791755710392</v>
      </c>
      <c r="CW36" s="168">
        <f t="shared" ref="CW36:DZ42" si="193">AK36*(1-SUM(CW$34:CW$35))/(1-SUM(AK$34:AK$35))</f>
        <v>0.1440380641288837</v>
      </c>
      <c r="CX36" s="168">
        <f t="shared" si="193"/>
        <v>0.14796160079374795</v>
      </c>
      <c r="CY36" s="168">
        <f t="shared" si="193"/>
        <v>0.1518546278115577</v>
      </c>
      <c r="CZ36" s="168">
        <f t="shared" si="193"/>
        <v>0.15570743715613616</v>
      </c>
      <c r="DA36" s="168">
        <f t="shared" si="193"/>
        <v>0.15949933179649867</v>
      </c>
      <c r="DB36" s="168">
        <f t="shared" si="193"/>
        <v>0.16323666597394293</v>
      </c>
      <c r="DC36" s="168">
        <f t="shared" si="193"/>
        <v>0.16680007015347662</v>
      </c>
      <c r="DD36" s="168">
        <f t="shared" si="193"/>
        <v>0.17004850002611296</v>
      </c>
      <c r="DE36" s="168">
        <f t="shared" si="193"/>
        <v>0.17273802770148045</v>
      </c>
      <c r="DF36" s="168">
        <f t="shared" si="193"/>
        <v>0.17447231720632519</v>
      </c>
      <c r="DG36" s="168">
        <f t="shared" si="193"/>
        <v>0.17382782296424307</v>
      </c>
      <c r="DH36" s="168">
        <f t="shared" si="193"/>
        <v>0.17083812965396838</v>
      </c>
      <c r="DI36" s="168">
        <f t="shared" si="193"/>
        <v>0.16495960766819009</v>
      </c>
      <c r="DJ36" s="168">
        <f t="shared" si="193"/>
        <v>0.15542725365209151</v>
      </c>
      <c r="DK36" s="168">
        <f t="shared" si="193"/>
        <v>0.14211202682969362</v>
      </c>
      <c r="DL36" s="168">
        <f t="shared" si="193"/>
        <v>0.12559959228865433</v>
      </c>
      <c r="DM36" s="168">
        <f t="shared" si="193"/>
        <v>0.10716928554780816</v>
      </c>
      <c r="DN36" s="168">
        <f t="shared" si="193"/>
        <v>8.8401444966714204E-2</v>
      </c>
      <c r="DO36" s="168">
        <f t="shared" si="193"/>
        <v>7.0736590159294788E-2</v>
      </c>
      <c r="DP36" s="168">
        <f t="shared" si="193"/>
        <v>5.5160462364924369E-2</v>
      </c>
      <c r="DQ36" s="168">
        <f t="shared" si="193"/>
        <v>4.2034452953645898E-2</v>
      </c>
      <c r="DR36" s="168">
        <f t="shared" si="193"/>
        <v>3.1422046151185969E-2</v>
      </c>
      <c r="DS36" s="168">
        <f t="shared" si="193"/>
        <v>2.3203991213000149E-2</v>
      </c>
      <c r="DT36" s="168">
        <f t="shared" si="193"/>
        <v>1.6980810096372412E-2</v>
      </c>
      <c r="DU36" s="168">
        <f t="shared" si="193"/>
        <v>1.2351201715331219E-2</v>
      </c>
      <c r="DV36" s="168">
        <f t="shared" si="193"/>
        <v>8.9465613939198781E-3</v>
      </c>
      <c r="DW36" s="168">
        <f t="shared" si="193"/>
        <v>6.4616395955179049E-3</v>
      </c>
      <c r="DX36" s="168">
        <f t="shared" si="193"/>
        <v>4.6578873162426539E-3</v>
      </c>
      <c r="DY36" s="168">
        <f t="shared" si="193"/>
        <v>3.3535964088346145E-3</v>
      </c>
      <c r="DZ36" s="168">
        <f t="shared" si="193"/>
        <v>2.4130495535113474E-3</v>
      </c>
    </row>
    <row r="37" spans="1:165" x14ac:dyDescent="0.2">
      <c r="A37" s="606" t="s">
        <v>460</v>
      </c>
      <c r="C37" s="54" t="s">
        <v>462</v>
      </c>
      <c r="D37" s="168">
        <f>('Ethylene Recycling HC'!C284-('Ethylene Recycling HC'!C311+'Ethylene Recycling HC'!C313)*'Ethylene Recycling HC'!C250/SUM('Ethylene Recycling HC'!C250:C251))/('Ethylene Recycling HC'!C$266)*D$20/SUM(D$19:D$20)</f>
        <v>6.4567551012323473E-6</v>
      </c>
      <c r="E37" s="168">
        <f>('Ethylene Recycling HC'!D284-('Ethylene Recycling HC'!D311+'Ethylene Recycling HC'!D313)*'Ethylene Recycling HC'!D250/SUM('Ethylene Recycling HC'!D250:D251))/('Ethylene Recycling HC'!D$266)*E$20/SUM(E$19:E$20)</f>
        <v>1.2837917227341052E-5</v>
      </c>
      <c r="F37" s="168">
        <f>('Ethylene Recycling HC'!E284-('Ethylene Recycling HC'!E311+'Ethylene Recycling HC'!E313)*'Ethylene Recycling HC'!E250/SUM('Ethylene Recycling HC'!E250:E251))/('Ethylene Recycling HC'!E$266)*F$20/SUM(F$19:F$20)</f>
        <v>2.5455333394497325E-5</v>
      </c>
      <c r="G37" s="168">
        <f>('Ethylene Recycling HC'!F284-('Ethylene Recycling HC'!F311+'Ethylene Recycling HC'!F313)*'Ethylene Recycling HC'!F250/SUM('Ethylene Recycling HC'!F250:F251))/('Ethylene Recycling HC'!F$266)*G$20/SUM(G$19:G$20)</f>
        <v>5.0302280127153787E-5</v>
      </c>
      <c r="H37" s="168">
        <f>('Ethylene Recycling HC'!G284-('Ethylene Recycling HC'!G311+'Ethylene Recycling HC'!G313)*'Ethylene Recycling HC'!G250/SUM('Ethylene Recycling HC'!G250:G251))/('Ethylene Recycling HC'!G$266)*H$20/SUM(H$19:H$20)</f>
        <v>9.8973055591564598E-5</v>
      </c>
      <c r="I37" s="168">
        <f>('Ethylene Recycling HC'!H284-('Ethylene Recycling HC'!H311+'Ethylene Recycling HC'!H313)*'Ethylene Recycling HC'!H250/SUM('Ethylene Recycling HC'!H250:H251))/('Ethylene Recycling HC'!H$266)*I$20/SUM(I$19:I$20)</f>
        <v>1.9363896774282922E-4</v>
      </c>
      <c r="J37" s="168">
        <f>('Ethylene Recycling HC'!I284-('Ethylene Recycling HC'!I311+'Ethylene Recycling HC'!I313)*'Ethylene Recycling HC'!I250/SUM('Ethylene Recycling HC'!I250:I251))/('Ethylene Recycling HC'!I$266)*J$20/SUM(J$19:J$20)</f>
        <v>3.7596813339235268E-4</v>
      </c>
      <c r="K37" s="168">
        <f>('Ethylene Recycling HC'!J284-('Ethylene Recycling HC'!J311+'Ethylene Recycling HC'!J313)*'Ethylene Recycling HC'!J250/SUM('Ethylene Recycling HC'!J250:J251))/('Ethylene Recycling HC'!J$266)*K$20/SUM(K$19:K$20)</f>
        <v>7.2268314652064046E-4</v>
      </c>
      <c r="L37" s="168">
        <f>('Ethylene Recycling HC'!K284-('Ethylene Recycling HC'!K311+'Ethylene Recycling HC'!K313)*'Ethylene Recycling HC'!K250/SUM('Ethylene Recycling HC'!K250:K251))/('Ethylene Recycling HC'!K$266)*L$20/SUM(L$19:L$20)</f>
        <v>1.3705787542624001E-3</v>
      </c>
      <c r="M37" s="168">
        <f>('Ethylene Recycling HC'!L284-('Ethylene Recycling HC'!L311+'Ethylene Recycling HC'!L313)*'Ethylene Recycling HC'!L250/SUM('Ethylene Recycling HC'!L250:L251))/('Ethylene Recycling HC'!L$266)*M$20/SUM(M$19:M$20)</f>
        <v>2.5531798952229253E-3</v>
      </c>
      <c r="N37" s="168">
        <f>('Ethylene Recycling HC'!M284-('Ethylene Recycling HC'!M311+'Ethylene Recycling HC'!M313)*'Ethylene Recycling HC'!M250/SUM('Ethylene Recycling HC'!M250:M251))/('Ethylene Recycling HC'!M$266)*N$20/SUM(N$19:N$20)</f>
        <v>4.6454562140733078E-3</v>
      </c>
      <c r="O37" s="168">
        <f>('Ethylene Recycling HC'!N284-('Ethylene Recycling HC'!N311+'Ethylene Recycling HC'!N313)*'Ethylene Recycling HC'!N250/SUM('Ethylene Recycling HC'!N250:N251))/('Ethylene Recycling HC'!N$266)*O$20/SUM(O$19:O$20)</f>
        <v>8.1382322381156457E-3</v>
      </c>
      <c r="P37" s="168">
        <f>('Ethylene Recycling HC'!O284-('Ethylene Recycling HC'!O311+'Ethylene Recycling HC'!O313)*'Ethylene Recycling HC'!O250/SUM('Ethylene Recycling HC'!O250:O251))/('Ethylene Recycling HC'!O$266)*P$20/SUM(P$19:P$20)</f>
        <v>1.3723962294172453E-2</v>
      </c>
      <c r="Q37" s="168">
        <f>('Ethylene Recycling HC'!P284-('Ethylene Recycling HC'!P311+'Ethylene Recycling HC'!P313)*'Ethylene Recycling HC'!P250/SUM('Ethylene Recycling HC'!P250:P251))/('Ethylene Recycling HC'!P$266)*Q$20/SUM(Q$19:Q$20)</f>
        <v>2.2112998396298128E-2</v>
      </c>
      <c r="R37" s="168">
        <f>('Ethylene Recycling HC'!Q284-('Ethylene Recycling HC'!Q311+'Ethylene Recycling HC'!Q313)*'Ethylene Recycling HC'!Q250/SUM('Ethylene Recycling HC'!Q250:Q251))/('Ethylene Recycling HC'!Q$266)*R$20/SUM(R$19:R$20)</f>
        <v>3.3806128854946729E-2</v>
      </c>
      <c r="S37" s="168">
        <f>('Ethylene Recycling HC'!R284-('Ethylene Recycling HC'!R311+'Ethylene Recycling HC'!R313)*'Ethylene Recycling HC'!R250/SUM('Ethylene Recycling HC'!R250:R251))/('Ethylene Recycling HC'!R$266)*S$20/SUM(S$19:S$20)</f>
        <v>4.8806756288009671E-2</v>
      </c>
      <c r="T37" s="168">
        <f>('Ethylene Recycling HC'!S284-('Ethylene Recycling HC'!S311+'Ethylene Recycling HC'!S313)*'Ethylene Recycling HC'!S250/SUM('Ethylene Recycling HC'!S250:S251))/('Ethylene Recycling HC'!S$266)*T$20/SUM(T$19:T$20)</f>
        <v>6.6433063937426207E-2</v>
      </c>
      <c r="U37" s="168">
        <f>('Ethylene Recycling HC'!T284-('Ethylene Recycling HC'!T311+'Ethylene Recycling HC'!T313)*'Ethylene Recycling HC'!T250/SUM('Ethylene Recycling HC'!T250:T251))/('Ethylene Recycling HC'!T$266)*U$20/SUM(U$19:U$20)</f>
        <v>8.536290204976453E-2</v>
      </c>
      <c r="V37" s="168">
        <f>('Ethylene Recycling HC'!U284-('Ethylene Recycling HC'!U311+'Ethylene Recycling HC'!U313)*'Ethylene Recycling HC'!U250/SUM('Ethylene Recycling HC'!U250:U251))/('Ethylene Recycling HC'!U$266)*V$20/SUM(V$19:V$20)</f>
        <v>0.10411586405627148</v>
      </c>
      <c r="W37" s="168">
        <f>('Ethylene Recycling HC'!V284-('Ethylene Recycling HC'!V311+'Ethylene Recycling HC'!V313)*'Ethylene Recycling HC'!V250/SUM('Ethylene Recycling HC'!V250:V251))/('Ethylene Recycling HC'!V$266)*W$20/SUM(W$19:W$20)</f>
        <v>0.12140033806625496</v>
      </c>
      <c r="X37" s="168">
        <f>('Ethylene Recycling HC'!W284-('Ethylene Recycling HC'!W311+'Ethylene Recycling HC'!W313)*'Ethylene Recycling HC'!W250/SUM('Ethylene Recycling HC'!W250:W251))/('Ethylene Recycling HC'!W$266)*X$20/SUM(X$19:X$20)</f>
        <v>0.13640242384875373</v>
      </c>
      <c r="Y37" s="168">
        <f>('Ethylene Recycling HC'!X284-('Ethylene Recycling HC'!X311+'Ethylene Recycling HC'!X313)*'Ethylene Recycling HC'!X250/SUM('Ethylene Recycling HC'!X250:X251))/('Ethylene Recycling HC'!X$266)*Y$20/SUM(Y$19:Y$20)</f>
        <v>0.14714878283819091</v>
      </c>
      <c r="Z37" s="168">
        <f>('Ethylene Recycling HC'!Y284-('Ethylene Recycling HC'!Y311+'Ethylene Recycling HC'!Y313)*'Ethylene Recycling HC'!Y250/SUM('Ethylene Recycling HC'!Y250:Y251))/('Ethylene Recycling HC'!Y$266)*Z$20/SUM(Z$19:Z$20)</f>
        <v>0.15493160749545523</v>
      </c>
      <c r="AA37" s="168">
        <f>('Ethylene Recycling HC'!Z284-('Ethylene Recycling HC'!Z311+'Ethylene Recycling HC'!Z313)*'Ethylene Recycling HC'!Z250/SUM('Ethylene Recycling HC'!Z250:Z251))/('Ethylene Recycling HC'!Z$266)*AA$20/SUM(AA$19:AA$20)</f>
        <v>0.16029819239291801</v>
      </c>
      <c r="AB37" s="168">
        <f>('Ethylene Recycling HC'!AA284-('Ethylene Recycling HC'!AA311+'Ethylene Recycling HC'!AA313)*'Ethylene Recycling HC'!AA250/SUM('Ethylene Recycling HC'!AA250:AA251))/('Ethylene Recycling HC'!AA$266)*AB$20/SUM(AB$19:AB$20)</f>
        <v>0.16369620526377293</v>
      </c>
      <c r="AC37" s="168">
        <f>('Ethylene Recycling HC'!AB284-('Ethylene Recycling HC'!AB311+'Ethylene Recycling HC'!AB313)*'Ethylene Recycling HC'!AB250/SUM('Ethylene Recycling HC'!AB250:AB251))/('Ethylene Recycling HC'!AB$266)*AC$20/SUM(AC$19:AC$20)</f>
        <v>0.16553719143211837</v>
      </c>
      <c r="AD37" s="168">
        <f>('Ethylene Recycling HC'!AC284-('Ethylene Recycling HC'!AC311+'Ethylene Recycling HC'!AC313)*'Ethylene Recycling HC'!AC250/SUM('Ethylene Recycling HC'!AC250:AC251))/('Ethylene Recycling HC'!AC$266)*AD$20/SUM(AD$19:AD$20)</f>
        <v>0.16615311598858307</v>
      </c>
      <c r="AE37" s="168">
        <f>('Ethylene Recycling HC'!AD284-('Ethylene Recycling HC'!AD311+'Ethylene Recycling HC'!AD313)*'Ethylene Recycling HC'!AD250/SUM('Ethylene Recycling HC'!AD250:AD251))/('Ethylene Recycling HC'!AD$266)*AE$20/SUM(AE$19:AE$20)</f>
        <v>0.16579479340688788</v>
      </c>
      <c r="AF37" s="168">
        <f>('Ethylene Recycling HC'!AE284-('Ethylene Recycling HC'!AE311+'Ethylene Recycling HC'!AE313)*'Ethylene Recycling HC'!AE250/SUM('Ethylene Recycling HC'!AE250:AE251))/('Ethylene Recycling HC'!AE$266)*AF$20/SUM(AF$19:AF$20)</f>
        <v>0.1646438951821417</v>
      </c>
      <c r="AG37" s="168">
        <f>('Ethylene Recycling HC'!AF284-('Ethylene Recycling HC'!AF311+'Ethylene Recycling HC'!AF313)*'Ethylene Recycling HC'!AF250/SUM('Ethylene Recycling HC'!AF250:AF251))/('Ethylene Recycling HC'!AF$266)*AG$20/SUM(AG$19:AG$20)</f>
        <v>0.16284918137955001</v>
      </c>
      <c r="AH37" s="168">
        <f>('Ethylene Recycling HC'!AG284-('Ethylene Recycling HC'!AG311+'Ethylene Recycling HC'!AG313)*'Ethylene Recycling HC'!AG250/SUM('Ethylene Recycling HC'!AG250:AG251))/('Ethylene Recycling HC'!AG$266)*AH$20/SUM(AH$19:AH$20)</f>
        <v>0.16056620751974765</v>
      </c>
      <c r="AI37" s="44"/>
      <c r="AJ37" s="168">
        <f>('Ethylene Recycling LC'!C242-('Ethylene Recycling LC'!C269+'Ethylene Recycling LC'!C271)*'Ethylene Recycling LC'!C208/SUM('Ethylene Recycling LC'!C208:C209))/('Ethylene Recycling LC'!C$224)*AJ20/SUM(AJ19:AJ20)</f>
        <v>6.4567581679628716E-6</v>
      </c>
      <c r="AK37" s="168">
        <f>('Ethylene Recycling LC'!D242-('Ethylene Recycling LC'!D269+'Ethylene Recycling LC'!D271)*'Ethylene Recycling LC'!D208/SUM('Ethylene Recycling LC'!D208:D209))/('Ethylene Recycling LC'!D$224)*AK20/SUM(AK19:AK20)</f>
        <v>1.2841554899282158E-5</v>
      </c>
      <c r="AL37" s="168">
        <f>('Ethylene Recycling LC'!E242-('Ethylene Recycling LC'!E269+'Ethylene Recycling LC'!E271)*'Ethylene Recycling LC'!E208/SUM('Ethylene Recycling LC'!E208:E209))/('Ethylene Recycling LC'!E$224)*AL20/SUM(AL19:AL20)</f>
        <v>2.5470580714287358E-5</v>
      </c>
      <c r="AM37" s="168">
        <f>('Ethylene Recycling LC'!F242-('Ethylene Recycling LC'!F269+'Ethylene Recycling LC'!F271)*'Ethylene Recycling LC'!F208/SUM('Ethylene Recycling LC'!F208:F209))/('Ethylene Recycling LC'!F$224)*AM20/SUM(AM19:AM20)</f>
        <v>5.0350004957033188E-5</v>
      </c>
      <c r="AN37" s="168">
        <f>('Ethylene Recycling LC'!G242-('Ethylene Recycling LC'!G269+'Ethylene Recycling LC'!G271)*'Ethylene Recycling LC'!G208/SUM('Ethylene Recycling LC'!G208:G209))/('Ethylene Recycling LC'!G$224)*AN20/SUM(AN19:AN20)</f>
        <v>9.910513955645818E-5</v>
      </c>
      <c r="AO37" s="168">
        <f>('Ethylene Recycling LC'!H242-('Ethylene Recycling LC'!H269+'Ethylene Recycling LC'!H271)*'Ethylene Recycling LC'!H208/SUM('Ethylene Recycling LC'!H208:H209))/('Ethylene Recycling LC'!H$224)*AO20/SUM(AO19:AO20)</f>
        <v>1.9397958992693973E-4</v>
      </c>
      <c r="AP37" s="168">
        <f>('Ethylene Recycling LC'!I242-('Ethylene Recycling LC'!I269+'Ethylene Recycling LC'!I271)*'Ethylene Recycling LC'!I208/SUM('Ethylene Recycling LC'!I208:I209))/('Ethylene Recycling LC'!I$224)*AP20/SUM(AP19:AP20)</f>
        <v>3.7689173120161073E-4</v>
      </c>
      <c r="AQ37" s="168">
        <f>('Ethylene Recycling LC'!J242-('Ethylene Recycling LC'!J269+'Ethylene Recycling LC'!J271)*'Ethylene Recycling LC'!J208/SUM('Ethylene Recycling LC'!J208:J209))/('Ethylene Recycling LC'!J$224)*AQ20/SUM(AQ19:AQ20)</f>
        <v>7.2501694805521689E-4</v>
      </c>
      <c r="AR37" s="168">
        <f>('Ethylene Recycling LC'!K242-('Ethylene Recycling LC'!K269+'Ethylene Recycling LC'!K271)*'Ethylene Recycling LC'!K208/SUM('Ethylene Recycling LC'!K208:K209))/('Ethylene Recycling LC'!K$224)*AR20/SUM(AR19:AR20)</f>
        <v>1.3761852468777095E-3</v>
      </c>
      <c r="AS37" s="168">
        <f>('Ethylene Recycling LC'!L242-('Ethylene Recycling LC'!L269+'Ethylene Recycling LC'!L271)*'Ethylene Recycling LC'!L208/SUM('Ethylene Recycling LC'!L208:L209))/('Ethylene Recycling LC'!L$224)*AS20/SUM(AS19:AS20)</f>
        <v>2.5661033578858539E-3</v>
      </c>
      <c r="AT37" s="168">
        <f>('Ethylene Recycling LC'!M242-('Ethylene Recycling LC'!M269+'Ethylene Recycling LC'!M271)*'Ethylene Recycling LC'!M208/SUM('Ethylene Recycling LC'!M208:M209))/('Ethylene Recycling LC'!M$224)*AT20/SUM(AT19:AT20)</f>
        <v>4.6741554225427813E-3</v>
      </c>
      <c r="AU37" s="168">
        <f>('Ethylene Recycling LC'!N242-('Ethylene Recycling LC'!N269+'Ethylene Recycling LC'!N271)*'Ethylene Recycling LC'!N208/SUM('Ethylene Recycling LC'!N208:N209))/('Ethylene Recycling LC'!N$224)*AU20/SUM(AU19:AU20)</f>
        <v>8.2055911509232825E-3</v>
      </c>
      <c r="AV37" s="168">
        <f>('Ethylene Recycling LC'!O242-('Ethylene Recycling LC'!O269+'Ethylene Recycling LC'!O271)*'Ethylene Recycling LC'!O208/SUM('Ethylene Recycling LC'!O208:O209))/('Ethylene Recycling LC'!O$224)*AV20/SUM(AV19:AV20)</f>
        <v>1.3870368914684409E-2</v>
      </c>
      <c r="AW37" s="168">
        <f>('Ethylene Recycling LC'!P242-('Ethylene Recycling LC'!P269+'Ethylene Recycling LC'!P271)*'Ethylene Recycling LC'!P208/SUM('Ethylene Recycling LC'!P208:P209))/('Ethylene Recycling LC'!P$224)*AW20/SUM(AW19:AW20)</f>
        <v>2.2414340406691248E-2</v>
      </c>
      <c r="AX37" s="168">
        <f>('Ethylene Recycling LC'!Q242-('Ethylene Recycling LC'!Q269+'Ethylene Recycling LC'!Q271)*'Ethylene Recycling LC'!Q208/SUM('Ethylene Recycling LC'!Q208:Q209))/('Ethylene Recycling LC'!Q$224)*AX20/SUM(AX19:AX20)</f>
        <v>3.4383218129836461E-2</v>
      </c>
      <c r="AY37" s="168">
        <f>('Ethylene Recycling LC'!R242-('Ethylene Recycling LC'!R269+'Ethylene Recycling LC'!R271)*'Ethylene Recycling LC'!R208/SUM('Ethylene Recycling LC'!R208:R209))/('Ethylene Recycling LC'!R$224)*AY20/SUM(AY19:AY20)</f>
        <v>4.9831170864668102E-2</v>
      </c>
      <c r="AZ37" s="168">
        <f>('Ethylene Recycling LC'!S242-('Ethylene Recycling LC'!S269+'Ethylene Recycling LC'!S271)*'Ethylene Recycling LC'!S208/SUM('Ethylene Recycling LC'!S208:S209))/('Ethylene Recycling LC'!S$224)*AZ20/SUM(AZ19:AZ20)</f>
        <v>6.8118570123767389E-2</v>
      </c>
      <c r="BA37" s="168">
        <f>('Ethylene Recycling LC'!T242-('Ethylene Recycling LC'!T269+'Ethylene Recycling LC'!T271)*'Ethylene Recycling LC'!T208/SUM('Ethylene Recycling LC'!T208:T209))/('Ethylene Recycling LC'!T$224)*BA20/SUM(BA19:BA20)</f>
        <v>8.7999365530032347E-2</v>
      </c>
      <c r="BB37" s="168">
        <f>('Ethylene Recycling LC'!U242-('Ethylene Recycling LC'!U269+'Ethylene Recycling LC'!U271)*'Ethylene Recycling LC'!U208/SUM('Ethylene Recycling LC'!U208:U209))/('Ethylene Recycling LC'!U$224)*BB20/SUM(BB19:BB20)</f>
        <v>0.1079672659543755</v>
      </c>
      <c r="BC37" s="168">
        <f>('Ethylene Recycling LC'!V242-('Ethylene Recycling LC'!V269+'Ethylene Recycling LC'!V271)*'Ethylene Recycling LC'!V208/SUM('Ethylene Recycling LC'!V208:V209))/('Ethylene Recycling LC'!V$224)*BC20/SUM(BC19:BC20)</f>
        <v>0.12668880500889351</v>
      </c>
      <c r="BD37" s="168">
        <f>('Ethylene Recycling LC'!W242-('Ethylene Recycling LC'!W269+'Ethylene Recycling LC'!W271)*'Ethylene Recycling LC'!W208/SUM('Ethylene Recycling LC'!W208:W209))/('Ethylene Recycling LC'!W$224)*BD20/SUM(BD19:BD20)</f>
        <v>0.14328795256441562</v>
      </c>
      <c r="BE37" s="168">
        <f>('Ethylene Recycling LC'!X242-('Ethylene Recycling LC'!X269+'Ethylene Recycling LC'!X271)*'Ethylene Recycling LC'!X208/SUM('Ethylene Recycling LC'!X208:X209))/('Ethylene Recycling LC'!X$224)*BE20/SUM(BE19:BE20)</f>
        <v>0.15632199649872852</v>
      </c>
      <c r="BF37" s="168">
        <f>('Ethylene Recycling LC'!Y242-('Ethylene Recycling LC'!Y269+'Ethylene Recycling LC'!Y271)*'Ethylene Recycling LC'!Y208/SUM('Ethylene Recycling LC'!Y208:Y209))/('Ethylene Recycling LC'!Y$224)*BF20/SUM(BF19:BF20)</f>
        <v>0.16652752650510316</v>
      </c>
      <c r="BG37" s="168">
        <f>('Ethylene Recycling LC'!Z242-('Ethylene Recycling LC'!Z269+'Ethylene Recycling LC'!Z271)*'Ethylene Recycling LC'!Z208/SUM('Ethylene Recycling LC'!Z208:Z209))/('Ethylene Recycling LC'!Z$224)*BG20/SUM(BG19:BG20)</f>
        <v>0.1743916078272969</v>
      </c>
      <c r="BH37" s="168">
        <f>('Ethylene Recycling LC'!AA242-('Ethylene Recycling LC'!AA269+'Ethylene Recycling LC'!AA271)*'Ethylene Recycling LC'!AA208/SUM('Ethylene Recycling LC'!AA208:AA209))/('Ethylene Recycling LC'!AA$224)*BH20/SUM(BH19:BH20)</f>
        <v>0.18032263402160573</v>
      </c>
      <c r="BI37" s="168">
        <f>('Ethylene Recycling LC'!AB242-('Ethylene Recycling LC'!AB269+'Ethylene Recycling LC'!AB271)*'Ethylene Recycling LC'!AB208/SUM('Ethylene Recycling LC'!AB208:AB209))/('Ethylene Recycling LC'!AB$224)*BI20/SUM(BI19:BI20)</f>
        <v>0.18485577439536682</v>
      </c>
      <c r="BJ37" s="168">
        <f>('Ethylene Recycling LC'!AC242-('Ethylene Recycling LC'!AC269+'Ethylene Recycling LC'!AC271)*'Ethylene Recycling LC'!AC208/SUM('Ethylene Recycling LC'!AC208:AC209))/('Ethylene Recycling LC'!AC$224)*BJ20/SUM(BJ19:BJ20)</f>
        <v>0.18837751135197145</v>
      </c>
      <c r="BK37" s="168">
        <f>('Ethylene Recycling LC'!AD242-('Ethylene Recycling LC'!AD269+'Ethylene Recycling LC'!AD271)*'Ethylene Recycling LC'!AD208/SUM('Ethylene Recycling LC'!AD208:AD209))/('Ethylene Recycling LC'!AD$224)*BK20/SUM(BK19:BK20)</f>
        <v>0.19117174516888563</v>
      </c>
      <c r="BL37" s="168">
        <f>('Ethylene Recycling LC'!AE242-('Ethylene Recycling LC'!AE269+'Ethylene Recycling LC'!AE271)*'Ethylene Recycling LC'!AE208/SUM('Ethylene Recycling LC'!AE208:AE209))/('Ethylene Recycling LC'!AE$224)*BL20/SUM(BL19:BL20)</f>
        <v>0.19347232688887131</v>
      </c>
      <c r="BM37" s="168">
        <f>('Ethylene Recycling LC'!AF242-('Ethylene Recycling LC'!AF269+'Ethylene Recycling LC'!AF271)*'Ethylene Recycling LC'!AF208/SUM('Ethylene Recycling LC'!AF208:AF209))/('Ethylene Recycling LC'!AF$224)*BM20/SUM(BM19:BM20)</f>
        <v>0.19547073253133063</v>
      </c>
      <c r="BN37" s="168">
        <f>('Ethylene Recycling LC'!AG242-('Ethylene Recycling LC'!AG269+'Ethylene Recycling LC'!AG271)*'Ethylene Recycling LC'!AG208/SUM('Ethylene Recycling LC'!AG208:AG209))/('Ethylene Recycling LC'!AG$224)*BN20/SUM(BN19:BN20)</f>
        <v>0.19733963596871765</v>
      </c>
      <c r="BP37" s="168">
        <f>('Ethylene Recycling HC'!C260)/('Ethylene Recycling HC'!C$256)*BP20/SUM(BP19:BP20)</f>
        <v>0</v>
      </c>
      <c r="BQ37" s="168">
        <f>('Ethylene Recycling HC'!D260)/('Ethylene Recycling HC'!D$256)*BQ20/SUM(BQ19:BQ20)</f>
        <v>0</v>
      </c>
      <c r="BR37" s="168">
        <f>('Ethylene Recycling HC'!E260)/('Ethylene Recycling HC'!E$256)*BR20/SUM(BR19:BR20)</f>
        <v>0</v>
      </c>
      <c r="BS37" s="168">
        <f>('Ethylene Recycling HC'!F260)/('Ethylene Recycling HC'!F$256)*BS20/SUM(BS19:BS20)</f>
        <v>0</v>
      </c>
      <c r="BT37" s="168">
        <f>('Ethylene Recycling HC'!G260)/('Ethylene Recycling HC'!G$256)*BT20/SUM(BT19:BT20)</f>
        <v>0</v>
      </c>
      <c r="BU37" s="168">
        <f>('Ethylene Recycling HC'!H260)/('Ethylene Recycling HC'!H$256)*BU20/SUM(BU19:BU20)</f>
        <v>0</v>
      </c>
      <c r="BV37" s="168">
        <f>('Ethylene Recycling HC'!I260)/('Ethylene Recycling HC'!I$256)*BV20/SUM(BV19:BV20)</f>
        <v>0</v>
      </c>
      <c r="BW37" s="168">
        <f>('Ethylene Recycling HC'!J260)/('Ethylene Recycling HC'!J$256)*BW20/SUM(BW19:BW20)</f>
        <v>0</v>
      </c>
      <c r="BX37" s="168">
        <f>('Ethylene Recycling HC'!K260)/('Ethylene Recycling HC'!K$256)*BX20/SUM(BX19:BX20)</f>
        <v>0</v>
      </c>
      <c r="BY37" s="168">
        <f>('Ethylene Recycling HC'!L260)/('Ethylene Recycling HC'!L$256)*BY20/SUM(BY19:BY20)</f>
        <v>0</v>
      </c>
      <c r="BZ37" s="168">
        <f>('Ethylene Recycling HC'!M260)/('Ethylene Recycling HC'!M$256)*BZ20/SUM(BZ19:BZ20)</f>
        <v>0</v>
      </c>
      <c r="CA37" s="168">
        <f>('Ethylene Recycling HC'!N260)/('Ethylene Recycling HC'!N$256)*CA20/SUM(CA19:CA20)</f>
        <v>0</v>
      </c>
      <c r="CB37" s="168">
        <f>('Ethylene Recycling HC'!O260)/('Ethylene Recycling HC'!O$256)*CB20/SUM(CB19:CB20)</f>
        <v>0</v>
      </c>
      <c r="CC37" s="168">
        <f>('Ethylene Recycling HC'!P260)/('Ethylene Recycling HC'!P$256)*CC20/SUM(CC19:CC20)</f>
        <v>0</v>
      </c>
      <c r="CD37" s="168">
        <f>('Ethylene Recycling HC'!Q260)/('Ethylene Recycling HC'!Q$256)*CD20/SUM(CD19:CD20)</f>
        <v>0</v>
      </c>
      <c r="CE37" s="168">
        <f>('Ethylene Recycling HC'!R260)/('Ethylene Recycling HC'!R$256)*CE20/SUM(CE19:CE20)</f>
        <v>0</v>
      </c>
      <c r="CF37" s="168">
        <f>('Ethylene Recycling HC'!S260)/('Ethylene Recycling HC'!S$256)*CF20/SUM(CF19:CF20)</f>
        <v>0</v>
      </c>
      <c r="CG37" s="168">
        <f>('Ethylene Recycling HC'!T260)/('Ethylene Recycling HC'!T$256)*CG20/SUM(CG19:CG20)</f>
        <v>0</v>
      </c>
      <c r="CH37" s="168">
        <f>('Ethylene Recycling HC'!U260)/('Ethylene Recycling HC'!U$256)*CH20/SUM(CH19:CH20)</f>
        <v>0</v>
      </c>
      <c r="CI37" s="168">
        <f>('Ethylene Recycling HC'!V260)/('Ethylene Recycling HC'!V$256)*CI20/SUM(CI19:CI20)</f>
        <v>0</v>
      </c>
      <c r="CJ37" s="168">
        <f>('Ethylene Recycling HC'!W260)/('Ethylene Recycling HC'!W$256)*CJ20/SUM(CJ19:CJ20)</f>
        <v>0</v>
      </c>
      <c r="CK37" s="168">
        <f>('Ethylene Recycling HC'!X260)/('Ethylene Recycling HC'!X$256)*CK20/SUM(CK19:CK20)</f>
        <v>0</v>
      </c>
      <c r="CL37" s="168">
        <f>('Ethylene Recycling HC'!Y260)/('Ethylene Recycling HC'!Y$256)*CL20/SUM(CL19:CL20)</f>
        <v>0</v>
      </c>
      <c r="CM37" s="168">
        <f>('Ethylene Recycling HC'!Z260)/('Ethylene Recycling HC'!Z$256)*CM20/SUM(CM19:CM20)</f>
        <v>0</v>
      </c>
      <c r="CN37" s="168">
        <f>('Ethylene Recycling HC'!AA260)/('Ethylene Recycling HC'!AA$256)*CN20/SUM(CN19:CN20)</f>
        <v>0</v>
      </c>
      <c r="CO37" s="168">
        <f>('Ethylene Recycling HC'!AB260)/('Ethylene Recycling HC'!AB$256)*CO20/SUM(CO19:CO20)</f>
        <v>0</v>
      </c>
      <c r="CP37" s="168">
        <f>('Ethylene Recycling HC'!AC260)/('Ethylene Recycling HC'!AC$256)*CP20/SUM(CP19:CP20)</f>
        <v>0</v>
      </c>
      <c r="CQ37" s="168">
        <f>('Ethylene Recycling HC'!AD260)/('Ethylene Recycling HC'!AD$256)*CQ20/SUM(CQ19:CQ20)</f>
        <v>0</v>
      </c>
      <c r="CR37" s="168">
        <f>('Ethylene Recycling HC'!AE260)/('Ethylene Recycling HC'!AE$256)*CR20/SUM(CR19:CR20)</f>
        <v>0</v>
      </c>
      <c r="CS37" s="168">
        <f>('Ethylene Recycling HC'!AF260)/('Ethylene Recycling HC'!AF$256)*CS20/SUM(CS19:CS20)</f>
        <v>0</v>
      </c>
      <c r="CT37" s="168">
        <f>('Ethylene Recycling HC'!AG260)/('Ethylene Recycling HC'!AG$256)*CT20/SUM(CT19:CT20)</f>
        <v>0</v>
      </c>
      <c r="CV37" s="168">
        <f t="shared" ref="CV37:CV42" si="194">AJ37*(1-SUM(CV$34:CV$35))/(1-SUM(AJ$34:AJ$35))</f>
        <v>6.4567581679628716E-6</v>
      </c>
      <c r="CW37" s="168">
        <f t="shared" si="193"/>
        <v>1.285619813969086E-5</v>
      </c>
      <c r="CX37" s="168">
        <f t="shared" si="193"/>
        <v>2.5531379312560277E-5</v>
      </c>
      <c r="CY37" s="168">
        <f t="shared" si="193"/>
        <v>5.0538307553388759E-5</v>
      </c>
      <c r="CZ37" s="168">
        <f t="shared" si="193"/>
        <v>9.9620342866237719E-5</v>
      </c>
      <c r="DA37" s="168">
        <f t="shared" si="193"/>
        <v>1.9529141342783033E-4</v>
      </c>
      <c r="DB37" s="168">
        <f t="shared" si="193"/>
        <v>3.801476123551051E-4</v>
      </c>
      <c r="DC37" s="168">
        <f t="shared" si="193"/>
        <v>7.3272615700449161E-4</v>
      </c>
      <c r="DD37" s="168">
        <f t="shared" si="193"/>
        <v>1.3937255873905428E-3</v>
      </c>
      <c r="DE37" s="168">
        <f t="shared" si="193"/>
        <v>2.6045358228366324E-3</v>
      </c>
      <c r="DF37" s="168">
        <f t="shared" si="193"/>
        <v>4.7551580038766705E-3</v>
      </c>
      <c r="DG37" s="168">
        <f t="shared" si="193"/>
        <v>8.3844540759038418E-3</v>
      </c>
      <c r="DH37" s="168">
        <f t="shared" si="193"/>
        <v>1.4234016329156165E-2</v>
      </c>
      <c r="DI37" s="168">
        <f t="shared" si="193"/>
        <v>2.312299954540456E-2</v>
      </c>
      <c r="DJ37" s="168">
        <f t="shared" si="193"/>
        <v>3.5672034345250514E-2</v>
      </c>
      <c r="DK37" s="168">
        <f t="shared" si="193"/>
        <v>5.2015066838113133E-2</v>
      </c>
      <c r="DL37" s="168">
        <f t="shared" si="193"/>
        <v>7.1565747171120589E-2</v>
      </c>
      <c r="DM37" s="168">
        <f t="shared" si="193"/>
        <v>9.3088729242537888E-2</v>
      </c>
      <c r="DN37" s="168">
        <f t="shared" si="193"/>
        <v>0.11503661623320556</v>
      </c>
      <c r="DO37" s="168">
        <f t="shared" si="193"/>
        <v>0.13599900911399554</v>
      </c>
      <c r="DP37" s="168">
        <f t="shared" si="193"/>
        <v>0.15501201413003424</v>
      </c>
      <c r="DQ37" s="168">
        <f t="shared" si="193"/>
        <v>0.17126317689403123</v>
      </c>
      <c r="DR37" s="168">
        <f t="shared" si="193"/>
        <v>0.18450264846140771</v>
      </c>
      <c r="DS37" s="168">
        <f t="shared" si="193"/>
        <v>0.19549341803775827</v>
      </c>
      <c r="DT37" s="168">
        <f t="shared" si="193"/>
        <v>0.20462045539685472</v>
      </c>
      <c r="DU37" s="168">
        <f t="shared" si="193"/>
        <v>0.21238815891998691</v>
      </c>
      <c r="DV37" s="168">
        <f t="shared" si="193"/>
        <v>0.21917965505139525</v>
      </c>
      <c r="DW37" s="168">
        <f t="shared" si="193"/>
        <v>0.22527169336302386</v>
      </c>
      <c r="DX37" s="168">
        <f t="shared" si="193"/>
        <v>0.23089562862037116</v>
      </c>
      <c r="DY37" s="168">
        <f t="shared" si="193"/>
        <v>0.23623685050296078</v>
      </c>
      <c r="DZ37" s="168">
        <f t="shared" si="193"/>
        <v>0.2414540650585093</v>
      </c>
    </row>
    <row r="38" spans="1:165" x14ac:dyDescent="0.2">
      <c r="A38" s="606" t="s">
        <v>33</v>
      </c>
      <c r="C38" s="54" t="s">
        <v>462</v>
      </c>
      <c r="D38" s="168">
        <f>('Ethylene Recycling HC'!C285-('Ethylene Recycling HC'!C311+'Ethylene Recycling HC'!C313)*'Ethylene Recycling HC'!C251/SUM('Ethylene Recycling HC'!C250:C251))/('Ethylene Recycling HC'!C$266)</f>
        <v>0.3239680867306724</v>
      </c>
      <c r="E38" s="168">
        <f>('Ethylene Recycling HC'!D285-('Ethylene Recycling HC'!D311+'Ethylene Recycling HC'!D313)*'Ethylene Recycling HC'!D251/SUM('Ethylene Recycling HC'!D250:D251))/('Ethylene Recycling HC'!D$266)</f>
        <v>0.32336368270660559</v>
      </c>
      <c r="F38" s="168">
        <f>('Ethylene Recycling HC'!E285-('Ethylene Recycling HC'!E311+'Ethylene Recycling HC'!E313)*'Ethylene Recycling HC'!E251/SUM('Ethylene Recycling HC'!E250:E251))/('Ethylene Recycling HC'!E$266)</f>
        <v>0.32275763715732025</v>
      </c>
      <c r="G38" s="168">
        <f>('Ethylene Recycling HC'!F285-('Ethylene Recycling HC'!F311+'Ethylene Recycling HC'!F313)*'Ethylene Recycling HC'!F251/SUM('Ethylene Recycling HC'!F250:F251))/('Ethylene Recycling HC'!F$266)</f>
        <v>0.32214998933043276</v>
      </c>
      <c r="H38" s="168">
        <f>('Ethylene Recycling HC'!G285-('Ethylene Recycling HC'!G311+'Ethylene Recycling HC'!G313)*'Ethylene Recycling HC'!G251/SUM('Ethylene Recycling HC'!G250:G251))/('Ethylene Recycling HC'!G$266)</f>
        <v>0.32154045046122792</v>
      </c>
      <c r="I38" s="168">
        <f>('Ethylene Recycling HC'!H285-('Ethylene Recycling HC'!H311+'Ethylene Recycling HC'!H313)*'Ethylene Recycling HC'!H251/SUM('Ethylene Recycling HC'!H250:H251))/('Ethylene Recycling HC'!H$266)</f>
        <v>0.32092809540169304</v>
      </c>
      <c r="J38" s="168">
        <f>('Ethylene Recycling HC'!I285-('Ethylene Recycling HC'!I311+'Ethylene Recycling HC'!I313)*'Ethylene Recycling HC'!I251/SUM('Ethylene Recycling HC'!I250:I251))/('Ethylene Recycling HC'!I$266)</f>
        <v>0.32026469618066794</v>
      </c>
      <c r="K38" s="168">
        <f>('Ethylene Recycling HC'!J285-('Ethylene Recycling HC'!J311+'Ethylene Recycling HC'!J313)*'Ethylene Recycling HC'!J251/SUM('Ethylene Recycling HC'!J250:J251))/('Ethylene Recycling HC'!J$266)</f>
        <v>0.31958754735926703</v>
      </c>
      <c r="L38" s="168">
        <f>('Ethylene Recycling HC'!K285-('Ethylene Recycling HC'!K311+'Ethylene Recycling HC'!K313)*'Ethylene Recycling HC'!K251/SUM('Ethylene Recycling HC'!K250:K251))/('Ethylene Recycling HC'!K$266)</f>
        <v>0.31888844232867841</v>
      </c>
      <c r="M38" s="168">
        <f>('Ethylene Recycling HC'!L285-('Ethylene Recycling HC'!L311+'Ethylene Recycling HC'!L313)*'Ethylene Recycling HC'!L251/SUM('Ethylene Recycling HC'!L250:L251))/('Ethylene Recycling HC'!L$266)</f>
        <v>0.31815285667314475</v>
      </c>
      <c r="N38" s="168">
        <f>('Ethylene Recycling HC'!M285-('Ethylene Recycling HC'!M311+'Ethylene Recycling HC'!M313)*'Ethylene Recycling HC'!M251/SUM('Ethylene Recycling HC'!M250:M251))/('Ethylene Recycling HC'!M$266)</f>
        <v>0.31735549383039191</v>
      </c>
      <c r="O38" s="168">
        <f>('Ethylene Recycling HC'!N285-('Ethylene Recycling HC'!N311+'Ethylene Recycling HC'!N313)*'Ethylene Recycling HC'!N251/SUM('Ethylene Recycling HC'!N250:N251))/('Ethylene Recycling HC'!N$266)</f>
        <v>0.31409065127338281</v>
      </c>
      <c r="P38" s="168">
        <f>('Ethylene Recycling HC'!O285-('Ethylene Recycling HC'!O311+'Ethylene Recycling HC'!O313)*'Ethylene Recycling HC'!O251/SUM('Ethylene Recycling HC'!O250:O251))/('Ethylene Recycling HC'!O$266)</f>
        <v>0.31067743147800853</v>
      </c>
      <c r="Q38" s="168">
        <f>('Ethylene Recycling HC'!P285-('Ethylene Recycling HC'!P311+'Ethylene Recycling HC'!P313)*'Ethylene Recycling HC'!P251/SUM('Ethylene Recycling HC'!P250:P251))/('Ethylene Recycling HC'!P$266)</f>
        <v>0.30718607758325478</v>
      </c>
      <c r="R38" s="168">
        <f>('Ethylene Recycling HC'!Q285-('Ethylene Recycling HC'!Q311+'Ethylene Recycling HC'!Q313)*'Ethylene Recycling HC'!Q251/SUM('Ethylene Recycling HC'!Q250:Q251))/('Ethylene Recycling HC'!Q$266)</f>
        <v>0.30355401542892207</v>
      </c>
      <c r="S38" s="168">
        <f>('Ethylene Recycling HC'!R285-('Ethylene Recycling HC'!R311+'Ethylene Recycling HC'!R313)*'Ethylene Recycling HC'!R251/SUM('Ethylene Recycling HC'!R250:R251))/('Ethylene Recycling HC'!R$266)</f>
        <v>0.29979389935851275</v>
      </c>
      <c r="T38" s="168">
        <f>('Ethylene Recycling HC'!S285-('Ethylene Recycling HC'!S311+'Ethylene Recycling HC'!S313)*'Ethylene Recycling HC'!S251/SUM('Ethylene Recycling HC'!S250:S251))/('Ethylene Recycling HC'!S$266)</f>
        <v>0.29592304756527971</v>
      </c>
      <c r="U38" s="168">
        <f>('Ethylene Recycling HC'!T285-('Ethylene Recycling HC'!T311+'Ethylene Recycling HC'!T313)*'Ethylene Recycling HC'!T251/SUM('Ethylene Recycling HC'!T250:T251))/('Ethylene Recycling HC'!T$266)</f>
        <v>0.29181797584113728</v>
      </c>
      <c r="V38" s="168">
        <f>('Ethylene Recycling HC'!U285-('Ethylene Recycling HC'!U311+'Ethylene Recycling HC'!U313)*'Ethylene Recycling HC'!U251/SUM('Ethylene Recycling HC'!U250:U251))/('Ethylene Recycling HC'!U$266)</f>
        <v>0.28769548309545506</v>
      </c>
      <c r="W38" s="168">
        <f>('Ethylene Recycling HC'!V285-('Ethylene Recycling HC'!V311+'Ethylene Recycling HC'!V313)*'Ethylene Recycling HC'!V251/SUM('Ethylene Recycling HC'!V250:V251))/('Ethylene Recycling HC'!V$266)</f>
        <v>0.28364191155153406</v>
      </c>
      <c r="X38" s="168">
        <f>('Ethylene Recycling HC'!W285-('Ethylene Recycling HC'!W311+'Ethylene Recycling HC'!W313)*'Ethylene Recycling HC'!W251/SUM('Ethylene Recycling HC'!W250:W251))/('Ethylene Recycling HC'!W$266)</f>
        <v>0.27972285576645933</v>
      </c>
      <c r="Y38" s="168">
        <f>('Ethylene Recycling HC'!X285-('Ethylene Recycling HC'!X311+'Ethylene Recycling HC'!X313)*'Ethylene Recycling HC'!X251/SUM('Ethylene Recycling HC'!X250:X251))/('Ethylene Recycling HC'!X$266)</f>
        <v>0.2728756775645596</v>
      </c>
      <c r="Z38" s="168">
        <f>('Ethylene Recycling HC'!Y285-('Ethylene Recycling HC'!Y311+'Ethylene Recycling HC'!Y313)*'Ethylene Recycling HC'!Y251/SUM('Ethylene Recycling HC'!Y250:Y251))/('Ethylene Recycling HC'!Y$266)</f>
        <v>0.26587422726893617</v>
      </c>
      <c r="AA38" s="168">
        <f>('Ethylene Recycling HC'!Z285-('Ethylene Recycling HC'!Z311+'Ethylene Recycling HC'!Z313)*'Ethylene Recycling HC'!Z251/SUM('Ethylene Recycling HC'!Z250:Z251))/('Ethylene Recycling HC'!Z$266)</f>
        <v>0.25904806931381086</v>
      </c>
      <c r="AB38" s="168">
        <f>('Ethylene Recycling HC'!AA285-('Ethylene Recycling HC'!AA311+'Ethylene Recycling HC'!AA313)*'Ethylene Recycling HC'!AA251/SUM('Ethylene Recycling HC'!AA250:AA251))/('Ethylene Recycling HC'!AA$266)</f>
        <v>0.2523789738125547</v>
      </c>
      <c r="AC38" s="168">
        <f>('Ethylene Recycling HC'!AB285-('Ethylene Recycling HC'!AB311+'Ethylene Recycling HC'!AB313)*'Ethylene Recycling HC'!AB251/SUM('Ethylene Recycling HC'!AB250:AB251))/('Ethylene Recycling HC'!AB$266)</f>
        <v>0.24582650613918533</v>
      </c>
      <c r="AD38" s="168">
        <f>('Ethylene Recycling HC'!AC285-('Ethylene Recycling HC'!AC311+'Ethylene Recycling HC'!AC313)*'Ethylene Recycling HC'!AC251/SUM('Ethylene Recycling HC'!AC250:AC251))/('Ethylene Recycling HC'!AC$266)</f>
        <v>0.23932999092395627</v>
      </c>
      <c r="AE38" s="168">
        <f>('Ethylene Recycling HC'!AD285-('Ethylene Recycling HC'!AD311+'Ethylene Recycling HC'!AD313)*'Ethylene Recycling HC'!AD251/SUM('Ethylene Recycling HC'!AD250:AD251))/('Ethylene Recycling HC'!AD$266)</f>
        <v>0.23282375291068594</v>
      </c>
      <c r="AF38" s="168">
        <f>('Ethylene Recycling HC'!AE285-('Ethylene Recycling HC'!AE311+'Ethylene Recycling HC'!AE313)*'Ethylene Recycling HC'!AE251/SUM('Ethylene Recycling HC'!AE250:AE251))/('Ethylene Recycling HC'!AE$266)</f>
        <v>0.22624633314801565</v>
      </c>
      <c r="AG38" s="168">
        <f>('Ethylene Recycling HC'!AF285-('Ethylene Recycling HC'!AF311+'Ethylene Recycling HC'!AF313)*'Ethylene Recycling HC'!AF251/SUM('Ethylene Recycling HC'!AF250:AF251))/('Ethylene Recycling HC'!AF$266)</f>
        <v>0.21957311591669892</v>
      </c>
      <c r="AH38" s="168">
        <f>('Ethylene Recycling HC'!AG285-('Ethylene Recycling HC'!AG311+'Ethylene Recycling HC'!AG313)*'Ethylene Recycling HC'!AG251/SUM('Ethylene Recycling HC'!AG250:AG251))/('Ethylene Recycling HC'!AG$266)</f>
        <v>0.21284927740124535</v>
      </c>
      <c r="AI38" s="44"/>
      <c r="AJ38" s="168">
        <f>('Ethylene Recycling LC'!C243-('Ethylene Recycling LC'!C269+'Ethylene Recycling LC'!C271)*'Ethylene Recycling LC'!C209/SUM('Ethylene Recycling LC'!C208:C209))/('Ethylene Recycling LC'!C$224)</f>
        <v>0.32396824060406626</v>
      </c>
      <c r="AK38" s="168">
        <f>('Ethylene Recycling LC'!D243-('Ethylene Recycling LC'!D269+'Ethylene Recycling LC'!D271)*'Ethylene Recycling LC'!D209/SUM('Ethylene Recycling LC'!D208:D209))/('Ethylene Recycling LC'!D$224)</f>
        <v>0.32345530901751912</v>
      </c>
      <c r="AL38" s="168">
        <f>('Ethylene Recycling LC'!E243-('Ethylene Recycling LC'!E269+'Ethylene Recycling LC'!E271)*'Ethylene Recycling LC'!E209/SUM('Ethylene Recycling LC'!E208:E209))/('Ethylene Recycling LC'!E$224)</f>
        <v>0.32295096359434416</v>
      </c>
      <c r="AM38" s="168">
        <f>('Ethylene Recycling LC'!F243-('Ethylene Recycling LC'!F269+'Ethylene Recycling LC'!F271)*'Ethylene Recycling LC'!F209/SUM('Ethylene Recycling LC'!F208:F209))/('Ethylene Recycling LC'!F$224)</f>
        <v>0.32245563260142529</v>
      </c>
      <c r="AN38" s="168">
        <f>('Ethylene Recycling LC'!G243-('Ethylene Recycling LC'!G269+'Ethylene Recycling LC'!G271)*'Ethylene Recycling LC'!G209/SUM('Ethylene Recycling LC'!G208:G209))/('Ethylene Recycling LC'!G$224)</f>
        <v>0.32196956055908987</v>
      </c>
      <c r="AO38" s="168">
        <f>('Ethylene Recycling LC'!H243-('Ethylene Recycling LC'!H269+'Ethylene Recycling LC'!H271)*'Ethylene Recycling LC'!H209/SUM('Ethylene Recycling LC'!H208:H209))/('Ethylene Recycling LC'!H$224)</f>
        <v>0.32149262654990352</v>
      </c>
      <c r="AP38" s="168">
        <f>('Ethylene Recycling LC'!I243-('Ethylene Recycling LC'!I269+'Ethylene Recycling LC'!I271)*'Ethylene Recycling LC'!I209/SUM('Ethylene Recycling LC'!I208:I209))/('Ethylene Recycling LC'!I$224)</f>
        <v>0.32105145374202343</v>
      </c>
      <c r="AQ38" s="168">
        <f>('Ethylene Recycling LC'!J243-('Ethylene Recycling LC'!J269+'Ethylene Recycling LC'!J271)*'Ethylene Recycling LC'!J209/SUM('Ethylene Recycling LC'!J208:J209))/('Ethylene Recycling LC'!J$224)</f>
        <v>0.32061960949057533</v>
      </c>
      <c r="AR38" s="168">
        <f>('Ethylene Recycling LC'!K243-('Ethylene Recycling LC'!K269+'Ethylene Recycling LC'!K271)*'Ethylene Recycling LC'!K209/SUM('Ethylene Recycling LC'!K208:K209))/('Ethylene Recycling LC'!K$224)</f>
        <v>0.32019288812682262</v>
      </c>
      <c r="AS38" s="168">
        <f>('Ethylene Recycling LC'!L243-('Ethylene Recycling LC'!L269+'Ethylene Recycling LC'!L271)*'Ethylene Recycling LC'!L209/SUM('Ethylene Recycling LC'!L208:L209))/('Ethylene Recycling LC'!L$224)</f>
        <v>0.31976325497371594</v>
      </c>
      <c r="AT38" s="168">
        <f>('Ethylene Recycling LC'!M243-('Ethylene Recycling LC'!M269+'Ethylene Recycling LC'!M271)*'Ethylene Recycling LC'!M209/SUM('Ethylene Recycling LC'!M208:M209))/('Ethylene Recycling LC'!M$224)</f>
        <v>0.31931608737743239</v>
      </c>
      <c r="AU38" s="168">
        <f>('Ethylene Recycling LC'!N243-('Ethylene Recycling LC'!N269+'Ethylene Recycling LC'!N271)*'Ethylene Recycling LC'!N209/SUM('Ethylene Recycling LC'!N208:N209))/('Ethylene Recycling LC'!N$224)</f>
        <v>0.31669033191332929</v>
      </c>
      <c r="AV38" s="168">
        <f>('Ethylene Recycling LC'!O243-('Ethylene Recycling LC'!O269+'Ethylene Recycling LC'!O271)*'Ethylene Recycling LC'!O209/SUM('Ethylene Recycling LC'!O208:O209))/('Ethylene Recycling LC'!O$224)</f>
        <v>0.31399172452523916</v>
      </c>
      <c r="AW38" s="168">
        <f>('Ethylene Recycling LC'!P243-('Ethylene Recycling LC'!P269+'Ethylene Recycling LC'!P271)*'Ethylene Recycling LC'!P209/SUM('Ethylene Recycling LC'!P208:P209))/('Ethylene Recycling LC'!P$224)</f>
        <v>0.31137221591351449</v>
      </c>
      <c r="AX38" s="168">
        <f>('Ethylene Recycling LC'!Q243-('Ethylene Recycling LC'!Q269+'Ethylene Recycling LC'!Q271)*'Ethylene Recycling LC'!Q209/SUM('Ethylene Recycling LC'!Q208:Q209))/('Ethylene Recycling LC'!Q$224)</f>
        <v>0.30873584998340137</v>
      </c>
      <c r="AY38" s="168">
        <f>('Ethylene Recycling LC'!R243-('Ethylene Recycling LC'!R269+'Ethylene Recycling LC'!R271)*'Ethylene Recycling LC'!R209/SUM('Ethylene Recycling LC'!R208:R209))/('Ethylene Recycling LC'!R$224)</f>
        <v>0.30608633228898352</v>
      </c>
      <c r="AZ38" s="168">
        <f>('Ethylene Recycling LC'!S243-('Ethylene Recycling LC'!S269+'Ethylene Recycling LC'!S271)*'Ethylene Recycling LC'!S209/SUM('Ethylene Recycling LC'!S208:S209))/('Ethylene Recycling LC'!S$224)</f>
        <v>0.30343105785097141</v>
      </c>
      <c r="BA38" s="168">
        <f>('Ethylene Recycling LC'!T243-('Ethylene Recycling LC'!T269+'Ethylene Recycling LC'!T271)*'Ethylene Recycling LC'!T209/SUM('Ethylene Recycling LC'!T208:T209))/('Ethylene Recycling LC'!T$224)</f>
        <v>0.30083087743792586</v>
      </c>
      <c r="BB38" s="168">
        <f>('Ethylene Recycling LC'!U243-('Ethylene Recycling LC'!U269+'Ethylene Recycling LC'!U271)*'Ethylene Recycling LC'!U209/SUM('Ethylene Recycling LC'!U208:U209))/('Ethylene Recycling LC'!U$224)</f>
        <v>0.29833777031761105</v>
      </c>
      <c r="BC38" s="168">
        <f>('Ethylene Recycling LC'!V243-('Ethylene Recycling LC'!V269+'Ethylene Recycling LC'!V271)*'Ethylene Recycling LC'!V209/SUM('Ethylene Recycling LC'!V208:V209))/('Ethylene Recycling LC'!V$224)</f>
        <v>0.29599797988446114</v>
      </c>
      <c r="BD38" s="168">
        <f>('Ethylene Recycling LC'!W243-('Ethylene Recycling LC'!W269+'Ethylene Recycling LC'!W271)*'Ethylene Recycling LC'!W209/SUM('Ethylene Recycling LC'!W208:W209))/('Ethylene Recycling LC'!W$224)</f>
        <v>0.29384313091598707</v>
      </c>
      <c r="BE38" s="168">
        <f>('Ethylene Recycling LC'!X243-('Ethylene Recycling LC'!X269+'Ethylene Recycling LC'!X271)*'Ethylene Recycling LC'!X209/SUM('Ethylene Recycling LC'!X208:X209))/('Ethylene Recycling LC'!X$224)</f>
        <v>0.2898866704167139</v>
      </c>
      <c r="BF38" s="168">
        <f>('Ethylene Recycling LC'!Y243-('Ethylene Recycling LC'!Y269+'Ethylene Recycling LC'!Y271)*'Ethylene Recycling LC'!Y209/SUM('Ethylene Recycling LC'!Y208:Y209))/('Ethylene Recycling LC'!Y$224)</f>
        <v>0.28577369165843292</v>
      </c>
      <c r="BG38" s="168">
        <f>('Ethylene Recycling LC'!Z243-('Ethylene Recycling LC'!Z269+'Ethylene Recycling LC'!Z271)*'Ethylene Recycling LC'!Z209/SUM('Ethylene Recycling LC'!Z208:Z209))/('Ethylene Recycling LC'!Z$224)</f>
        <v>0.28182357291627452</v>
      </c>
      <c r="BH38" s="168">
        <f>('Ethylene Recycling LC'!AA243-('Ethylene Recycling LC'!AA269+'Ethylene Recycling LC'!AA271)*'Ethylene Recycling LC'!AA209/SUM('Ethylene Recycling LC'!AA208:AA209))/('Ethylene Recycling LC'!AA$224)</f>
        <v>0.27801280583271593</v>
      </c>
      <c r="BI38" s="168">
        <f>('Ethylene Recycling LC'!AB243-('Ethylene Recycling LC'!AB269+'Ethylene Recycling LC'!AB271)*'Ethylene Recycling LC'!AB209/SUM('Ethylene Recycling LC'!AB208:AB209))/('Ethylene Recycling LC'!AB$224)</f>
        <v>0.27451504260842219</v>
      </c>
      <c r="BJ38" s="168">
        <f>('Ethylene Recycling LC'!AC243-('Ethylene Recycling LC'!AC269+'Ethylene Recycling LC'!AC271)*'Ethylene Recycling LC'!AC209/SUM('Ethylene Recycling LC'!AC208:AC209))/('Ethylene Recycling LC'!AC$224)</f>
        <v>0.27134241698628564</v>
      </c>
      <c r="BK38" s="168">
        <f>('Ethylene Recycling LC'!AD243-('Ethylene Recycling LC'!AD269+'Ethylene Recycling LC'!AD271)*'Ethylene Recycling LC'!AD209/SUM('Ethylene Recycling LC'!AD208:AD209))/('Ethylene Recycling LC'!AD$224)</f>
        <v>0.26846031920599578</v>
      </c>
      <c r="BL38" s="168">
        <f>('Ethylene Recycling LC'!AE243-('Ethylene Recycling LC'!AE269+'Ethylene Recycling LC'!AE271)*'Ethylene Recycling LC'!AE209/SUM('Ethylene Recycling LC'!AE208:AE209))/('Ethylene Recycling LC'!AE$224)</f>
        <v>0.2658610844683732</v>
      </c>
      <c r="BM38" s="168">
        <f>('Ethylene Recycling LC'!AF243-('Ethylene Recycling LC'!AF269+'Ethylene Recycling LC'!AF271)*'Ethylene Recycling LC'!AF209/SUM('Ethylene Recycling LC'!AF208:AF209))/('Ethylene Recycling LC'!AF$224)</f>
        <v>0.26355746739918007</v>
      </c>
      <c r="BN38" s="168">
        <f>('Ethylene Recycling LC'!AG243-('Ethylene Recycling LC'!AG269+'Ethylene Recycling LC'!AG271)*'Ethylene Recycling LC'!AG209/SUM('Ethylene Recycling LC'!AG208:AG209))/('Ethylene Recycling LC'!AG$224)</f>
        <v>0.26159675542813343</v>
      </c>
      <c r="BP38" s="168">
        <f>('Ethylene Recycling HC'!C261)/('Ethylene Recycling HC'!C$256)</f>
        <v>0.32396844708323314</v>
      </c>
      <c r="BQ38" s="168">
        <f>('Ethylene Recycling HC'!D261)/('Ethylene Recycling HC'!D$256)</f>
        <v>0.31831106082985466</v>
      </c>
      <c r="BR38" s="168">
        <f>('Ethylene Recycling HC'!E261)/('Ethylene Recycling HC'!E$256)</f>
        <v>0.31250025559133904</v>
      </c>
      <c r="BS38" s="168">
        <f>('Ethylene Recycling HC'!F261)/('Ethylene Recycling HC'!F$256)</f>
        <v>0.30654843497645073</v>
      </c>
      <c r="BT38" s="168">
        <f>('Ethylene Recycling HC'!G261)/('Ethylene Recycling HC'!G$256)</f>
        <v>0.30046665134173556</v>
      </c>
      <c r="BU38" s="168">
        <f>('Ethylene Recycling HC'!H261)/('Ethylene Recycling HC'!H$256)</f>
        <v>0.2942647570525555</v>
      </c>
      <c r="BV38" s="168">
        <f>('Ethylene Recycling HC'!I261)/('Ethylene Recycling HC'!I$256)</f>
        <v>0.28803387919979734</v>
      </c>
      <c r="BW38" s="168">
        <f>('Ethylene Recycling HC'!J261)/('Ethylene Recycling HC'!J$256)</f>
        <v>0.28177554186828907</v>
      </c>
      <c r="BX38" s="168">
        <f>('Ethylene Recycling HC'!K261)/('Ethylene Recycling HC'!K$256)</f>
        <v>0.27549121962859963</v>
      </c>
      <c r="BY38" s="168">
        <f>('Ethylene Recycling HC'!L261)/('Ethylene Recycling HC'!L$256)</f>
        <v>0.26918234096407995</v>
      </c>
      <c r="BZ38" s="168">
        <f>('Ethylene Recycling HC'!M261)/('Ethylene Recycling HC'!M$256)</f>
        <v>0.26285029157352935</v>
      </c>
      <c r="CA38" s="168">
        <f>('Ethylene Recycling HC'!N261)/('Ethylene Recycling HC'!N$256)</f>
        <v>0.25644884211418634</v>
      </c>
      <c r="CB38" s="168">
        <f>('Ethylene Recycling HC'!O261)/('Ethylene Recycling HC'!O$256)</f>
        <v>0.2499829740799793</v>
      </c>
      <c r="CC38" s="168">
        <f>('Ethylene Recycling HC'!P261)/('Ethylene Recycling HC'!P$256)</f>
        <v>0.24345730753730099</v>
      </c>
      <c r="CD38" s="168">
        <f>('Ethylene Recycling HC'!Q261)/('Ethylene Recycling HC'!Q$256)</f>
        <v>0.23687614383574299</v>
      </c>
      <c r="CE38" s="168">
        <f>('Ethylene Recycling HC'!R261)/('Ethylene Recycling HC'!R$256)</f>
        <v>0.23024350561105519</v>
      </c>
      <c r="CF38" s="168">
        <f>('Ethylene Recycling HC'!S261)/('Ethylene Recycling HC'!S$256)</f>
        <v>0.22361647435058044</v>
      </c>
      <c r="CG38" s="168">
        <f>('Ethylene Recycling HC'!T261)/('Ethylene Recycling HC'!T$256)</f>
        <v>0.21699535229530451</v>
      </c>
      <c r="CH38" s="168">
        <f>('Ethylene Recycling HC'!U261)/('Ethylene Recycling HC'!U$256)</f>
        <v>0.21038044754057331</v>
      </c>
      <c r="CI38" s="168">
        <f>('Ethylene Recycling HC'!V261)/('Ethylene Recycling HC'!V$256)</f>
        <v>0.20377207426405433</v>
      </c>
      <c r="CJ38" s="168">
        <f>('Ethylene Recycling HC'!W261)/('Ethylene Recycling HC'!W$256)</f>
        <v>0.19717055295994182</v>
      </c>
      <c r="CK38" s="168">
        <f>('Ethylene Recycling HC'!X261)/('Ethylene Recycling HC'!X$256)</f>
        <v>0.19057649841464727</v>
      </c>
      <c r="CL38" s="168">
        <f>('Ethylene Recycling HC'!Y261)/('Ethylene Recycling HC'!Y$256)</f>
        <v>0.18399022133344811</v>
      </c>
      <c r="CM38" s="168">
        <f>('Ethylene Recycling HC'!Z261)/('Ethylene Recycling HC'!Z$256)</f>
        <v>0.17741203890536864</v>
      </c>
      <c r="CN38" s="168">
        <f>('Ethylene Recycling HC'!AA261)/('Ethylene Recycling HC'!AA$256)</f>
        <v>0.17084227502646085</v>
      </c>
      <c r="CO38" s="168">
        <f>('Ethylene Recycling HC'!AB261)/('Ethylene Recycling HC'!AB$256)</f>
        <v>0.16428126052929845</v>
      </c>
      <c r="CP38" s="168">
        <f>('Ethylene Recycling HC'!AC261)/('Ethylene Recycling HC'!AC$256)</f>
        <v>0.15772954585990268</v>
      </c>
      <c r="CQ38" s="168">
        <f>('Ethylene Recycling HC'!AD261)/('Ethylene Recycling HC'!AD$256)</f>
        <v>0.15118745521939622</v>
      </c>
      <c r="CR38" s="168">
        <f>('Ethylene Recycling HC'!AE261)/('Ethylene Recycling HC'!AE$256)</f>
        <v>0.14465531987499186</v>
      </c>
      <c r="CS38" s="168">
        <f>('Ethylene Recycling HC'!AF261)/('Ethylene Recycling HC'!AF$256)</f>
        <v>0.13813347838228709</v>
      </c>
      <c r="CT38" s="168">
        <f>('Ethylene Recycling HC'!AG261)/('Ethylene Recycling HC'!AG$256)</f>
        <v>0.13162227681374658</v>
      </c>
      <c r="CV38" s="168">
        <f t="shared" si="194"/>
        <v>0.32396824060406626</v>
      </c>
      <c r="CW38" s="168">
        <f t="shared" si="193"/>
        <v>0.32382414549320782</v>
      </c>
      <c r="CX38" s="168">
        <f t="shared" si="193"/>
        <v>0.32372185162856987</v>
      </c>
      <c r="CY38" s="168">
        <f t="shared" si="193"/>
        <v>0.32366157553787867</v>
      </c>
      <c r="CZ38" s="168">
        <f t="shared" si="193"/>
        <v>0.32364333634903064</v>
      </c>
      <c r="DA38" s="168">
        <f t="shared" si="193"/>
        <v>0.32366678097011881</v>
      </c>
      <c r="DB38" s="168">
        <f t="shared" si="193"/>
        <v>0.32382494355621483</v>
      </c>
      <c r="DC38" s="168">
        <f t="shared" si="193"/>
        <v>0.32402880367483244</v>
      </c>
      <c r="DD38" s="168">
        <f t="shared" si="193"/>
        <v>0.32427394647290952</v>
      </c>
      <c r="DE38" s="168">
        <f t="shared" si="193"/>
        <v>0.32455234113875997</v>
      </c>
      <c r="DF38" s="168">
        <f t="shared" si="193"/>
        <v>0.32484979881849074</v>
      </c>
      <c r="DG38" s="168">
        <f t="shared" si="193"/>
        <v>0.32359344931672424</v>
      </c>
      <c r="DH38" s="168">
        <f t="shared" si="193"/>
        <v>0.32222382559561857</v>
      </c>
      <c r="DI38" s="168">
        <f t="shared" si="193"/>
        <v>0.32121666202903143</v>
      </c>
      <c r="DJ38" s="168">
        <f t="shared" si="193"/>
        <v>0.32030846567736282</v>
      </c>
      <c r="DK38" s="168">
        <f t="shared" si="193"/>
        <v>0.31950084166159853</v>
      </c>
      <c r="DL38" s="168">
        <f t="shared" si="193"/>
        <v>0.31878635048523374</v>
      </c>
      <c r="DM38" s="168">
        <f t="shared" si="193"/>
        <v>0.31822915914157374</v>
      </c>
      <c r="DN38" s="168">
        <f t="shared" si="193"/>
        <v>0.31787197062487438</v>
      </c>
      <c r="DO38" s="168">
        <f t="shared" si="193"/>
        <v>0.3177505065361157</v>
      </c>
      <c r="DP38" s="168">
        <f t="shared" si="193"/>
        <v>0.31788587069862467</v>
      </c>
      <c r="DQ38" s="168">
        <f t="shared" si="193"/>
        <v>0.31759389738348959</v>
      </c>
      <c r="DR38" s="168">
        <f t="shared" si="193"/>
        <v>0.31662034546558165</v>
      </c>
      <c r="DS38" s="168">
        <f t="shared" si="193"/>
        <v>0.31592491312756932</v>
      </c>
      <c r="DT38" s="168">
        <f t="shared" si="193"/>
        <v>0.31547402379244099</v>
      </c>
      <c r="DU38" s="168">
        <f t="shared" si="193"/>
        <v>0.31540126180070177</v>
      </c>
      <c r="DV38" s="168">
        <f t="shared" si="193"/>
        <v>0.31571038883056957</v>
      </c>
      <c r="DW38" s="168">
        <f t="shared" si="193"/>
        <v>0.31634649071642995</v>
      </c>
      <c r="DX38" s="168">
        <f t="shared" si="193"/>
        <v>0.31728652469910207</v>
      </c>
      <c r="DY38" s="168">
        <f t="shared" si="193"/>
        <v>0.31852331660413419</v>
      </c>
      <c r="DZ38" s="168">
        <f t="shared" si="193"/>
        <v>0.32007558792827706</v>
      </c>
    </row>
    <row r="39" spans="1:165" x14ac:dyDescent="0.2">
      <c r="A39" s="606" t="s">
        <v>451</v>
      </c>
      <c r="C39" s="54" t="s">
        <v>462</v>
      </c>
      <c r="D39" s="168">
        <f>'Ethylene Recycling HC'!C286/('Ethylene Recycling HC'!C$266)</f>
        <v>7.004723180178013E-2</v>
      </c>
      <c r="E39" s="168">
        <f>'Ethylene Recycling HC'!D286/('Ethylene Recycling HC'!D$266)</f>
        <v>6.7573009968438569E-2</v>
      </c>
      <c r="F39" s="168">
        <f>'Ethylene Recycling HC'!E286/('Ethylene Recycling HC'!E$266)</f>
        <v>6.5128171092175099E-2</v>
      </c>
      <c r="G39" s="168">
        <f>'Ethylene Recycling HC'!F286/('Ethylene Recycling HC'!F$266)</f>
        <v>6.2712423509880738E-2</v>
      </c>
      <c r="H39" s="168">
        <f>'Ethylene Recycling HC'!G286/('Ethylene Recycling HC'!G$266)</f>
        <v>6.032547276034203E-2</v>
      </c>
      <c r="I39" s="168">
        <f>'Ethylene Recycling HC'!H286/('Ethylene Recycling HC'!H$266)</f>
        <v>5.7967021444293568E-2</v>
      </c>
      <c r="J39" s="168">
        <f>'Ethylene Recycling HC'!I286/('Ethylene Recycling HC'!I$266)</f>
        <v>5.5628758305234519E-2</v>
      </c>
      <c r="K39" s="168">
        <f>'Ethylene Recycling HC'!J286/('Ethylene Recycling HC'!J$266)</f>
        <v>5.3318270399632009E-2</v>
      </c>
      <c r="L39" s="168">
        <f>'Ethylene Recycling HC'!K286/('Ethylene Recycling HC'!K$266)</f>
        <v>5.1035323100846859E-2</v>
      </c>
      <c r="M39" s="168">
        <f>'Ethylene Recycling HC'!L286/('Ethylene Recycling HC'!L$266)</f>
        <v>4.8779678820893013E-2</v>
      </c>
      <c r="N39" s="168">
        <f>'Ethylene Recycling HC'!M286/('Ethylene Recycling HC'!M$266)</f>
        <v>4.6551096814327196E-2</v>
      </c>
      <c r="O39" s="168">
        <f>'Ethylene Recycling HC'!N286/('Ethylene Recycling HC'!N$266)</f>
        <v>4.4013849337369924E-2</v>
      </c>
      <c r="P39" s="168">
        <f>'Ethylene Recycling HC'!O286/('Ethylene Recycling HC'!O$266)</f>
        <v>4.152999491458171E-2</v>
      </c>
      <c r="Q39" s="168">
        <f>'Ethylene Recycling HC'!P286/('Ethylene Recycling HC'!P$266)</f>
        <v>3.9112396389651749E-2</v>
      </c>
      <c r="R39" s="168">
        <f>'Ethylene Recycling HC'!Q286/('Ethylene Recycling HC'!Q$266)</f>
        <v>3.675355427456499E-2</v>
      </c>
      <c r="S39" s="168">
        <f>'Ethylene Recycling HC'!R286/('Ethylene Recycling HC'!R$266)</f>
        <v>3.445275150396726E-2</v>
      </c>
      <c r="T39" s="168">
        <f>'Ethylene Recycling HC'!S286/('Ethylene Recycling HC'!S$266)</f>
        <v>3.2209057466164689E-2</v>
      </c>
      <c r="U39" s="168">
        <f>'Ethylene Recycling HC'!T286/('Ethylene Recycling HC'!T$266)</f>
        <v>3.0021845861950922E-2</v>
      </c>
      <c r="V39" s="168">
        <f>'Ethylene Recycling HC'!U286/('Ethylene Recycling HC'!U$266)</f>
        <v>2.7890292075377774E-2</v>
      </c>
      <c r="W39" s="168">
        <f>'Ethylene Recycling HC'!V286/('Ethylene Recycling HC'!V$266)</f>
        <v>2.581352809618816E-2</v>
      </c>
      <c r="X39" s="168">
        <f>'Ethylene Recycling HC'!W286/('Ethylene Recycling HC'!W$266)</f>
        <v>2.3790636574014434E-2</v>
      </c>
      <c r="Y39" s="168">
        <f>'Ethylene Recycling HC'!X286/('Ethylene Recycling HC'!X$266)</f>
        <v>2.1601582195000701E-2</v>
      </c>
      <c r="Z39" s="168">
        <f>'Ethylene Recycling HC'!Y286/('Ethylene Recycling HC'!Y$266)</f>
        <v>1.9478751804765566E-2</v>
      </c>
      <c r="AA39" s="168">
        <f>'Ethylene Recycling HC'!Z286/('Ethylene Recycling HC'!Z$266)</f>
        <v>1.7445627200545832E-2</v>
      </c>
      <c r="AB39" s="168">
        <f>'Ethylene Recycling HC'!AA286/('Ethylene Recycling HC'!AA$266)</f>
        <v>1.5500541488221876E-2</v>
      </c>
      <c r="AC39" s="168">
        <f>'Ethylene Recycling HC'!AB286/('Ethylene Recycling HC'!AB$266)</f>
        <v>1.364151938702573E-2</v>
      </c>
      <c r="AD39" s="168">
        <f>'Ethylene Recycling HC'!AC286/('Ethylene Recycling HC'!AC$266)</f>
        <v>1.1866298569225716E-2</v>
      </c>
      <c r="AE39" s="168">
        <f>'Ethylene Recycling HC'!AD286/('Ethylene Recycling HC'!AD$266)</f>
        <v>1.0172678050471425E-2</v>
      </c>
      <c r="AF39" s="168">
        <f>'Ethylene Recycling HC'!AE286/('Ethylene Recycling HC'!AE$266)</f>
        <v>8.5580632302459467E-3</v>
      </c>
      <c r="AG39" s="168">
        <f>'Ethylene Recycling HC'!AF286/('Ethylene Recycling HC'!AF$266)</f>
        <v>7.0195665156102391E-3</v>
      </c>
      <c r="AH39" s="168">
        <f>'Ethylene Recycling HC'!AG286/('Ethylene Recycling HC'!AG$266)</f>
        <v>5.5539485194600821E-3</v>
      </c>
      <c r="AI39" s="44"/>
      <c r="AJ39" s="168">
        <f>'Ethylene Recycling LC'!C244/('Ethylene Recycling LC'!C$224)</f>
        <v>7.004723180178013E-2</v>
      </c>
      <c r="AK39" s="168">
        <f>'Ethylene Recycling LC'!D244/('Ethylene Recycling LC'!D$224)</f>
        <v>6.7592092828858447E-2</v>
      </c>
      <c r="AL39" s="168">
        <f>'Ethylene Recycling LC'!E244/('Ethylene Recycling LC'!E$224)</f>
        <v>6.5167058230553104E-2</v>
      </c>
      <c r="AM39" s="168">
        <f>'Ethylene Recycling LC'!F244/('Ethylene Recycling LC'!F$224)</f>
        <v>6.2771685708051028E-2</v>
      </c>
      <c r="AN39" s="168">
        <f>'Ethylene Recycling LC'!G244/('Ethylene Recycling LC'!G$224)</f>
        <v>6.040552768872863E-2</v>
      </c>
      <c r="AO39" s="168">
        <f>'Ethylene Recycling LC'!H244/('Ethylene Recycling LC'!H$224)</f>
        <v>5.8068131116393119E-2</v>
      </c>
      <c r="AP39" s="168">
        <f>'Ethylene Recycling LC'!I244/('Ethylene Recycling LC'!I$224)</f>
        <v>5.5763805351677354E-2</v>
      </c>
      <c r="AQ39" s="168">
        <f>'Ethylene Recycling LC'!J244/('Ethylene Recycling LC'!J$224)</f>
        <v>5.3487465123469378E-2</v>
      </c>
      <c r="AR39" s="168">
        <f>'Ethylene Recycling LC'!K244/('Ethylene Recycling LC'!K$224)</f>
        <v>5.1238616621232136E-2</v>
      </c>
      <c r="AS39" s="168">
        <f>'Ethylene Recycling LC'!L244/('Ethylene Recycling LC'!L$224)</f>
        <v>4.9016756359663391E-2</v>
      </c>
      <c r="AT39" s="168">
        <f>'Ethylene Recycling LC'!M244/('Ethylene Recycling LC'!M$224)</f>
        <v>4.6821370714725065E-2</v>
      </c>
      <c r="AU39" s="168">
        <f>'Ethylene Recycling LC'!N244/('Ethylene Recycling LC'!N$224)</f>
        <v>4.4350503317730251E-2</v>
      </c>
      <c r="AV39" s="168">
        <f>'Ethylene Recycling LC'!O244/('Ethylene Recycling LC'!O$224)</f>
        <v>4.1930533235562464E-2</v>
      </c>
      <c r="AW39" s="168">
        <f>'Ethylene Recycling LC'!P244/('Ethylene Recycling LC'!P$224)</f>
        <v>3.9583187088807432E-2</v>
      </c>
      <c r="AX39" s="168">
        <f>'Ethylene Recycling LC'!Q244/('Ethylene Recycling LC'!Q$224)</f>
        <v>3.729493952502462E-2</v>
      </c>
      <c r="AY39" s="168">
        <f>'Ethylene Recycling LC'!R244/('Ethylene Recycling LC'!R$224)</f>
        <v>3.5064090377778641E-2</v>
      </c>
      <c r="AZ39" s="168">
        <f>'Ethylene Recycling LC'!S244/('Ethylene Recycling LC'!S$224)</f>
        <v>3.2886696173124577E-2</v>
      </c>
      <c r="BA39" s="168">
        <f>'Ethylene Recycling LC'!T244/('Ethylene Recycling LC'!T$224)</f>
        <v>3.0762989943091408E-2</v>
      </c>
      <c r="BB39" s="168">
        <f>'Ethylene Recycling LC'!U244/('Ethylene Recycling LC'!U$224)</f>
        <v>2.8691038144726864E-2</v>
      </c>
      <c r="BC39" s="168">
        <f>'Ethylene Recycling LC'!V244/('Ethylene Recycling LC'!V$224)</f>
        <v>2.666880713412419E-2</v>
      </c>
      <c r="BD39" s="168">
        <f>'Ethylene Recycling LC'!W244/('Ethylene Recycling LC'!W$224)</f>
        <v>2.4694153888424785E-2</v>
      </c>
      <c r="BE39" s="168">
        <f>'Ethylene Recycling LC'!X244/('Ethylene Recycling LC'!X$224)</f>
        <v>2.2591674815162999E-2</v>
      </c>
      <c r="BF39" s="168">
        <f>'Ethylene Recycling LC'!Y244/('Ethylene Recycling LC'!Y$224)</f>
        <v>2.0527538286260267E-2</v>
      </c>
      <c r="BG39" s="168">
        <f>'Ethylene Recycling LC'!Z244/('Ethylene Recycling LC'!Z$224)</f>
        <v>1.8542604829815592E-2</v>
      </c>
      <c r="BH39" s="168">
        <f>'Ethylene Recycling LC'!AA244/('Ethylene Recycling LC'!AA$224)</f>
        <v>1.6631718236801193E-2</v>
      </c>
      <c r="BI39" s="168">
        <f>'Ethylene Recycling LC'!AB244/('Ethylene Recycling LC'!AB$224)</f>
        <v>1.4790382162399484E-2</v>
      </c>
      <c r="BJ39" s="168">
        <f>'Ethylene Recycling LC'!AC244/('Ethylene Recycling LC'!AC$224)</f>
        <v>1.301487884659522E-2</v>
      </c>
      <c r="BK39" s="168">
        <f>'Ethylene Recycling LC'!AD244/('Ethylene Recycling LC'!AD$224)</f>
        <v>1.1298883684023526E-2</v>
      </c>
      <c r="BL39" s="168">
        <f>'Ethylene Recycling LC'!AE244/('Ethylene Recycling LC'!AE$224)</f>
        <v>9.6368227333183329E-3</v>
      </c>
      <c r="BM39" s="168">
        <f>'Ethylene Recycling LC'!AF244/('Ethylene Recycling LC'!AF$224)</f>
        <v>8.0226914914574878E-3</v>
      </c>
      <c r="BN39" s="168">
        <f>'Ethylene Recycling LC'!AG244/('Ethylene Recycling LC'!AG$224)</f>
        <v>6.4500037029639754E-3</v>
      </c>
      <c r="BP39" s="168">
        <f>'Ethylene Recycling HC'!C262/('Ethylene Recycling HC'!C$256)</f>
        <v>7.004723180178013E-2</v>
      </c>
      <c r="BQ39" s="168">
        <f>'Ethylene Recycling HC'!D262/('Ethylene Recycling HC'!D$256)</f>
        <v>7.0296983657213569E-2</v>
      </c>
      <c r="BR39" s="168">
        <f>'Ethylene Recycling HC'!E262/('Ethylene Recycling HC'!E$256)</f>
        <v>7.0519191047904856E-2</v>
      </c>
      <c r="BS39" s="168">
        <f>'Ethylene Recycling HC'!F262/('Ethylene Recycling HC'!F$256)</f>
        <v>7.0714850125277187E-2</v>
      </c>
      <c r="BT39" s="168">
        <f>'Ethylene Recycling HC'!G262/('Ethylene Recycling HC'!G$256)</f>
        <v>7.0884738168648861E-2</v>
      </c>
      <c r="BU39" s="168">
        <f>'Ethylene Recycling HC'!H262/('Ethylene Recycling HC'!H$256)</f>
        <v>7.1029424116134082E-2</v>
      </c>
      <c r="BV39" s="168">
        <f>'Ethylene Recycling HC'!I262/('Ethylene Recycling HC'!I$256)</f>
        <v>7.1169621899152852E-2</v>
      </c>
      <c r="BW39" s="168">
        <f>'Ethylene Recycling HC'!J262/('Ethylene Recycling HC'!J$256)</f>
        <v>7.1305381714552904E-2</v>
      </c>
      <c r="BX39" s="168">
        <f>'Ethylene Recycling HC'!K262/('Ethylene Recycling HC'!K$256)</f>
        <v>7.1436747580201659E-2</v>
      </c>
      <c r="BY39" s="168">
        <f>'Ethylene Recycling HC'!L262/('Ethylene Recycling HC'!L$256)</f>
        <v>7.1563757423575611E-2</v>
      </c>
      <c r="BZ39" s="168">
        <f>'Ethylene Recycling HC'!M262/('Ethylene Recycling HC'!M$256)</f>
        <v>7.1686443156417062E-2</v>
      </c>
      <c r="CA39" s="168">
        <f>'Ethylene Recycling HC'!N262/('Ethylene Recycling HC'!N$256)</f>
        <v>7.1791512238386257E-2</v>
      </c>
      <c r="CB39" s="168">
        <f>'Ethylene Recycling HC'!O262/('Ethylene Recycling HC'!O$256)</f>
        <v>7.1878957136311275E-2</v>
      </c>
      <c r="CC39" s="168">
        <f>'Ethylene Recycling HC'!P262/('Ethylene Recycling HC'!P$256)</f>
        <v>7.1948669948319E-2</v>
      </c>
      <c r="CD39" s="168">
        <f>'Ethylene Recycling HC'!Q262/('Ethylene Recycling HC'!Q$256)</f>
        <v>7.2000441031476708E-2</v>
      </c>
      <c r="CE39" s="168">
        <f>'Ethylene Recycling HC'!R262/('Ethylene Recycling HC'!R$256)</f>
        <v>7.203395664990779E-2</v>
      </c>
      <c r="CF39" s="168">
        <f>'Ethylene Recycling HC'!S262/('Ethylene Recycling HC'!S$256)</f>
        <v>7.2065972776490281E-2</v>
      </c>
      <c r="CG39" s="168">
        <f>'Ethylene Recycling HC'!T262/('Ethylene Recycling HC'!T$256)</f>
        <v>7.209646312536136E-2</v>
      </c>
      <c r="CH39" s="168">
        <f>'Ethylene Recycling HC'!U262/('Ethylene Recycling HC'!U$256)</f>
        <v>7.2125400707539311E-2</v>
      </c>
      <c r="CI39" s="168">
        <f>'Ethylene Recycling HC'!V262/('Ethylene Recycling HC'!V$256)</f>
        <v>7.2152757813342114E-2</v>
      </c>
      <c r="CJ39" s="168">
        <f>'Ethylene Recycling HC'!W262/('Ethylene Recycling HC'!W$256)</f>
        <v>7.2178505994264328E-2</v>
      </c>
      <c r="CK39" s="168">
        <f>'Ethylene Recycling HC'!X262/('Ethylene Recycling HC'!X$256)</f>
        <v>7.2202725056956726E-2</v>
      </c>
      <c r="CL39" s="168">
        <f>'Ethylene Recycling HC'!Y262/('Ethylene Recycling HC'!Y$256)</f>
        <v>7.2225387744075525E-2</v>
      </c>
      <c r="CM39" s="168">
        <f>'Ethylene Recycling HC'!Z262/('Ethylene Recycling HC'!Z$256)</f>
        <v>7.2246466115347949E-2</v>
      </c>
      <c r="CN39" s="168">
        <f>'Ethylene Recycling HC'!AA262/('Ethylene Recycling HC'!AA$256)</f>
        <v>7.2265931530699976E-2</v>
      </c>
      <c r="CO39" s="168">
        <f>'Ethylene Recycling HC'!AB262/('Ethylene Recycling HC'!AB$256)</f>
        <v>7.2283754632891217E-2</v>
      </c>
      <c r="CP39" s="168">
        <f>'Ethylene Recycling HC'!AC262/('Ethylene Recycling HC'!AC$256)</f>
        <v>7.2300002708257177E-2</v>
      </c>
      <c r="CQ39" s="168">
        <f>'Ethylene Recycling HC'!AD262/('Ethylene Recycling HC'!AD$256)</f>
        <v>7.2314647464685078E-2</v>
      </c>
      <c r="CR39" s="168">
        <f>'Ethylene Recycling HC'!AE262/('Ethylene Recycling HC'!AE$256)</f>
        <v>7.232765993749582E-2</v>
      </c>
      <c r="CS39" s="168">
        <f>'Ethylene Recycling HC'!AF262/('Ethylene Recycling HC'!AF$256)</f>
        <v>7.2339010473099069E-2</v>
      </c>
      <c r="CT39" s="168">
        <f>'Ethylene Recycling HC'!AG262/('Ethylene Recycling HC'!AG$256)</f>
        <v>7.2348668712191838E-2</v>
      </c>
      <c r="CV39" s="168">
        <f t="shared" si="194"/>
        <v>7.004723180178013E-2</v>
      </c>
      <c r="CW39" s="168">
        <f t="shared" si="193"/>
        <v>6.7669168173143709E-2</v>
      </c>
      <c r="CX39" s="168">
        <f t="shared" si="193"/>
        <v>6.5322612822669837E-2</v>
      </c>
      <c r="CY39" s="168">
        <f t="shared" si="193"/>
        <v>6.300644380602001E-2</v>
      </c>
      <c r="CZ39" s="168">
        <f t="shared" si="193"/>
        <v>6.0719549019342699E-2</v>
      </c>
      <c r="DA39" s="168">
        <f t="shared" si="193"/>
        <v>5.8460827786594206E-2</v>
      </c>
      <c r="DB39" s="168">
        <f t="shared" si="193"/>
        <v>5.624553606599364E-2</v>
      </c>
      <c r="DC39" s="168">
        <f t="shared" si="193"/>
        <v>5.4056204993495789E-2</v>
      </c>
      <c r="DD39" s="168">
        <f t="shared" si="193"/>
        <v>5.1891684792818769E-2</v>
      </c>
      <c r="DE39" s="168">
        <f t="shared" si="193"/>
        <v>4.9750879077286751E-2</v>
      </c>
      <c r="DF39" s="168">
        <f t="shared" si="193"/>
        <v>4.7632779738736614E-2</v>
      </c>
      <c r="DG39" s="168">
        <f t="shared" si="193"/>
        <v>4.5317241801511109E-2</v>
      </c>
      <c r="DH39" s="168">
        <f t="shared" si="193"/>
        <v>4.302985006645018E-2</v>
      </c>
      <c r="DI39" s="168">
        <f t="shared" si="193"/>
        <v>4.0834662115996199E-2</v>
      </c>
      <c r="DJ39" s="168">
        <f t="shared" si="193"/>
        <v>3.8692898338281483E-2</v>
      </c>
      <c r="DK39" s="168">
        <f t="shared" si="193"/>
        <v>3.6600805740066834E-2</v>
      </c>
      <c r="DL39" s="168">
        <f t="shared" si="193"/>
        <v>3.4550945202505165E-2</v>
      </c>
      <c r="DM39" s="168">
        <f t="shared" si="193"/>
        <v>3.2542139642200436E-2</v>
      </c>
      <c r="DN39" s="168">
        <f t="shared" si="193"/>
        <v>3.0569635298368404E-2</v>
      </c>
      <c r="DO39" s="168">
        <f t="shared" si="193"/>
        <v>2.862866489457009E-2</v>
      </c>
      <c r="DP39" s="168">
        <f t="shared" si="193"/>
        <v>2.6714671142787815E-2</v>
      </c>
      <c r="DQ39" s="168">
        <f t="shared" si="193"/>
        <v>2.4750976106124395E-2</v>
      </c>
      <c r="DR39" s="168">
        <f t="shared" si="193"/>
        <v>2.2743298118295792E-2</v>
      </c>
      <c r="DS39" s="168">
        <f t="shared" si="193"/>
        <v>2.0786305273898013E-2</v>
      </c>
      <c r="DT39" s="168">
        <f t="shared" si="193"/>
        <v>1.8872781989412786E-2</v>
      </c>
      <c r="DU39" s="168">
        <f t="shared" si="193"/>
        <v>1.6993258920202679E-2</v>
      </c>
      <c r="DV39" s="168">
        <f t="shared" si="193"/>
        <v>1.5142978775224102E-2</v>
      </c>
      <c r="DW39" s="168">
        <f t="shared" si="193"/>
        <v>1.331430362977137E-2</v>
      </c>
      <c r="DX39" s="168">
        <f t="shared" si="193"/>
        <v>1.150087084128934E-2</v>
      </c>
      <c r="DY39" s="168">
        <f t="shared" si="193"/>
        <v>9.6958523967010813E-3</v>
      </c>
      <c r="DZ39" s="168">
        <f t="shared" si="193"/>
        <v>7.8918743620767905E-3</v>
      </c>
    </row>
    <row r="40" spans="1:165" x14ac:dyDescent="0.2">
      <c r="A40" s="606" t="s">
        <v>452</v>
      </c>
      <c r="C40" s="54" t="s">
        <v>462</v>
      </c>
      <c r="D40" s="168">
        <f>'Ethylene Recycling HC'!C287/('Ethylene Recycling HC'!C$266)</f>
        <v>0.23640940733100796</v>
      </c>
      <c r="E40" s="168">
        <f>'Ethylene Recycling HC'!D287/('Ethylene Recycling HC'!D$266)</f>
        <v>0.23172032173726359</v>
      </c>
      <c r="F40" s="168">
        <f>'Ethylene Recycling HC'!E287/('Ethylene Recycling HC'!E$266)</f>
        <v>0.22708406557802654</v>
      </c>
      <c r="G40" s="168">
        <f>'Ethylene Recycling HC'!F287/('Ethylene Recycling HC'!F$266)</f>
        <v>0.22250024231587834</v>
      </c>
      <c r="H40" s="168">
        <f>'Ethylene Recycling HC'!G287/('Ethylene Recycling HC'!G$266)</f>
        <v>0.21796845346425481</v>
      </c>
      <c r="I40" s="168">
        <f>'Ethylene Recycling HC'!H287/('Ethylene Recycling HC'!H$266)</f>
        <v>0.21348829848995943</v>
      </c>
      <c r="J40" s="168">
        <f>'Ethylene Recycling HC'!I287/('Ethylene Recycling HC'!I$266)</f>
        <v>0.2090292736317905</v>
      </c>
      <c r="K40" s="168">
        <f>'Ethylene Recycling HC'!J287/('Ethylene Recycling HC'!J$266)</f>
        <v>0.20461933090539422</v>
      </c>
      <c r="L40" s="168">
        <f>'Ethylene Recycling HC'!K287/('Ethylene Recycling HC'!K$266)</f>
        <v>0.2002581699935406</v>
      </c>
      <c r="M40" s="168">
        <f>'Ethylene Recycling HC'!L287/('Ethylene Recycling HC'!L$266)</f>
        <v>0.19594548950087551</v>
      </c>
      <c r="N40" s="168">
        <f>'Ethylene Recycling HC'!M287/('Ethylene Recycling HC'!M$266)</f>
        <v>0.19168098688252391</v>
      </c>
      <c r="O40" s="168">
        <f>'Ethylene Recycling HC'!N287/('Ethylene Recycling HC'!N$266)</f>
        <v>0.18604627112544725</v>
      </c>
      <c r="P40" s="168">
        <f>'Ethylene Recycling HC'!O287/('Ethylene Recycling HC'!O$266)</f>
        <v>0.18049574712875913</v>
      </c>
      <c r="Q40" s="168">
        <f>'Ethylene Recycling HC'!P287/('Ethylene Recycling HC'!P$266)</f>
        <v>0.17508703618723315</v>
      </c>
      <c r="R40" s="168">
        <f>'Ethylene Recycling HC'!Q287/('Ethylene Recycling HC'!Q$266)</f>
        <v>0.16979106763461024</v>
      </c>
      <c r="S40" s="168">
        <f>'Ethylene Recycling HC'!R287/('Ethylene Recycling HC'!R$266)</f>
        <v>0.16460759051895482</v>
      </c>
      <c r="T40" s="168">
        <f>'Ethylene Recycling HC'!S287/('Ethylene Recycling HC'!S$266)</f>
        <v>0.15953548776209708</v>
      </c>
      <c r="U40" s="168">
        <f>'Ethylene Recycling HC'!T287/('Ethylene Recycling HC'!T$266)</f>
        <v>0.15457528902475567</v>
      </c>
      <c r="V40" s="168">
        <f>'Ethylene Recycling HC'!U287/('Ethylene Recycling HC'!U$266)</f>
        <v>0.14972683114150187</v>
      </c>
      <c r="W40" s="168">
        <f>'Ethylene Recycling HC'!V287/('Ethylene Recycling HC'!V$266)</f>
        <v>0.1449900036056925</v>
      </c>
      <c r="X40" s="168">
        <f>'Ethylene Recycling HC'!W287/('Ethylene Recycling HC'!W$266)</f>
        <v>0.14036475578668528</v>
      </c>
      <c r="Y40" s="168">
        <f>'Ethylene Recycling HC'!X287/('Ethylene Recycling HC'!X$266)</f>
        <v>0.1344872697946819</v>
      </c>
      <c r="Z40" s="168">
        <f>'Ethylene Recycling HC'!Y287/('Ethylene Recycling HC'!Y$266)</f>
        <v>0.12865036075705641</v>
      </c>
      <c r="AA40" s="168">
        <f>'Ethylene Recycling HC'!Z287/('Ethylene Recycling HC'!Z$266)</f>
        <v>0.12300271330005111</v>
      </c>
      <c r="AB40" s="168">
        <f>'Ethylene Recycling HC'!AA287/('Ethylene Recycling HC'!AA$266)</f>
        <v>0.11754577295234934</v>
      </c>
      <c r="AC40" s="168">
        <f>'Ethylene Recycling HC'!AB287/('Ethylene Recycling HC'!AB$266)</f>
        <v>0.11228019803167344</v>
      </c>
      <c r="AD40" s="168">
        <f>'Ethylene Recycling HC'!AC287/('Ethylene Recycling HC'!AC$266)</f>
        <v>0.10720586983231521</v>
      </c>
      <c r="AE40" s="168">
        <f>'Ethylene Recycling HC'!AD287/('Ethylene Recycling HC'!AD$266)</f>
        <v>0.10232517333121272</v>
      </c>
      <c r="AF40" s="168">
        <f>'Ethylene Recycling HC'!AE287/('Ethylene Recycling HC'!AE$266)</f>
        <v>9.7639721399624374E-2</v>
      </c>
      <c r="AG40" s="168">
        <f>'Ethylene Recycling HC'!AF287/('Ethylene Recycling HC'!AF$266)</f>
        <v>9.3151544842287409E-2</v>
      </c>
      <c r="AH40" s="168">
        <f>'Ethylene Recycling HC'!AG287/('Ethylene Recycling HC'!AG$266)</f>
        <v>8.8863176311361314E-2</v>
      </c>
      <c r="AI40" s="44"/>
      <c r="AJ40" s="168">
        <f>'Ethylene Recycling LC'!C245/('Ethylene Recycling LC'!C$224)</f>
        <v>0.23640940733100796</v>
      </c>
      <c r="AK40" s="168">
        <f>'Ethylene Recycling LC'!D245/('Ethylene Recycling LC'!D$224)</f>
        <v>0.23178576038737303</v>
      </c>
      <c r="AL40" s="168">
        <f>'Ethylene Recycling LC'!E245/('Ethylene Recycling LC'!E$224)</f>
        <v>0.2272196543613976</v>
      </c>
      <c r="AM40" s="168">
        <f>'Ethylene Recycling LC'!F245/('Ethylene Recycling LC'!F$224)</f>
        <v>0.22271050134774284</v>
      </c>
      <c r="AN40" s="168">
        <f>'Ethylene Recycling LC'!G245/('Ethylene Recycling LC'!G$224)</f>
        <v>0.21825770853568943</v>
      </c>
      <c r="AO40" s="168">
        <f>'Ethylene Recycling LC'!H245/('Ethylene Recycling LC'!H$224)</f>
        <v>0.21386067801403338</v>
      </c>
      <c r="AP40" s="168">
        <f>'Ethylene Recycling LC'!I245/('Ethylene Recycling LC'!I$224)</f>
        <v>0.20953672313963634</v>
      </c>
      <c r="AQ40" s="168">
        <f>'Ethylene Recycling LC'!J245/('Ethylene Recycling LC'!J$224)</f>
        <v>0.20526864887697954</v>
      </c>
      <c r="AR40" s="168">
        <f>'Ethylene Recycling LC'!K245/('Ethylene Recycling LC'!K$224)</f>
        <v>0.201055876089835</v>
      </c>
      <c r="AS40" s="168">
        <f>'Ethylene Recycling LC'!L245/('Ethylene Recycling LC'!L$224)</f>
        <v>0.19689781791932601</v>
      </c>
      <c r="AT40" s="168">
        <f>'Ethylene Recycling LC'!M245/('Ethylene Recycling LC'!M$224)</f>
        <v>0.19279387941357398</v>
      </c>
      <c r="AU40" s="168">
        <f>'Ethylene Recycling LC'!N245/('Ethylene Recycling LC'!N$224)</f>
        <v>0.18746930543506854</v>
      </c>
      <c r="AV40" s="168">
        <f>'Ethylene Recycling LC'!O245/('Ethylene Recycling LC'!O$224)</f>
        <v>0.18223654829302166</v>
      </c>
      <c r="AW40" s="168">
        <f>'Ethylene Recycling LC'!P245/('Ethylene Recycling LC'!P$224)</f>
        <v>0.17719453549150724</v>
      </c>
      <c r="AX40" s="168">
        <f>'Ethylene Recycling LC'!Q245/('Ethylene Recycling LC'!Q$224)</f>
        <v>0.17229211498884628</v>
      </c>
      <c r="AY40" s="168">
        <f>'Ethylene Recycling LC'!R245/('Ethylene Recycling LC'!R$224)</f>
        <v>0.16752843180494253</v>
      </c>
      <c r="AZ40" s="168">
        <f>'Ethylene Recycling LC'!S245/('Ethylene Recycling LC'!S$224)</f>
        <v>0.1628919169825078</v>
      </c>
      <c r="BA40" s="168">
        <f>'Ethylene Recycling LC'!T245/('Ethylene Recycling LC'!T$224)</f>
        <v>0.15839126226897488</v>
      </c>
      <c r="BB40" s="168">
        <f>'Ethylene Recycling LC'!U245/('Ethylene Recycling LC'!U$224)</f>
        <v>0.1540255731980075</v>
      </c>
      <c r="BC40" s="168">
        <f>'Ethylene Recycling LC'!V245/('Ethylene Recycling LC'!V$224)</f>
        <v>0.14979395408980048</v>
      </c>
      <c r="BD40" s="168">
        <f>'Ethylene Recycling LC'!W245/('Ethylene Recycling LC'!W$224)</f>
        <v>0.14569550794170635</v>
      </c>
      <c r="BE40" s="168">
        <f>'Ethylene Recycling LC'!X245/('Ethylene Recycling LC'!X$224)</f>
        <v>0.14065139481698263</v>
      </c>
      <c r="BF40" s="168">
        <f>'Ethylene Recycling LC'!Y245/('Ethylene Recycling LC'!Y$224)</f>
        <v>0.13557722961157956</v>
      </c>
      <c r="BG40" s="168">
        <f>'Ethylene Recycling LC'!Z245/('Ethylene Recycling LC'!Z$224)</f>
        <v>0.13073709987604171</v>
      </c>
      <c r="BH40" s="168">
        <f>'Ethylene Recycling LC'!AA245/('Ethylene Recycling LC'!AA$224)</f>
        <v>0.12612386329574252</v>
      </c>
      <c r="BI40" s="168">
        <f>'Ethylene Recycling LC'!AB245/('Ethylene Recycling LC'!AB$224)</f>
        <v>0.12173622241359588</v>
      </c>
      <c r="BJ40" s="168">
        <f>'Ethylene Recycling LC'!AC245/('Ethylene Recycling LC'!AC$224)</f>
        <v>0.11758269854510178</v>
      </c>
      <c r="BK40" s="168">
        <f>'Ethylene Recycling LC'!AD245/('Ethylene Recycling LC'!AD$224)</f>
        <v>0.11365347705694268</v>
      </c>
      <c r="BL40" s="168">
        <f>'Ethylene Recycling LC'!AE245/('Ethylene Recycling LC'!AE$224)</f>
        <v>0.10994738663922297</v>
      </c>
      <c r="BM40" s="168">
        <f>'Ethylene Recycling LC'!AF245/('Ethylene Recycling LC'!AF$224)</f>
        <v>0.10646328438663877</v>
      </c>
      <c r="BN40" s="168">
        <f>'Ethylene Recycling LC'!AG245/('Ethylene Recycling LC'!AG$224)</f>
        <v>0.10320005924742361</v>
      </c>
      <c r="BP40" s="168">
        <f>'Ethylene Recycling HC'!C263/('Ethylene Recycling HC'!C$256)</f>
        <v>0.23640940733100796</v>
      </c>
      <c r="BQ40" s="168">
        <f>'Ethylene Recycling HC'!D263/('Ethylene Recycling HC'!D$256)</f>
        <v>0.23970598588731082</v>
      </c>
      <c r="BR40" s="168">
        <f>'Ethylene Recycling HC'!E263/('Ethylene Recycling HC'!E$256)</f>
        <v>0.24291897564631565</v>
      </c>
      <c r="BS40" s="168">
        <f>'Ethylene Recycling HC'!F263/('Ethylene Recycling HC'!F$256)</f>
        <v>0.24604893057288227</v>
      </c>
      <c r="BT40" s="168">
        <f>'Ethylene Recycling HC'!G263/('Ethylene Recycling HC'!G$256)</f>
        <v>0.24909578802548413</v>
      </c>
      <c r="BU40" s="168">
        <f>'Ethylene Recycling HC'!H263/('Ethylene Recycling HC'!H$256)</f>
        <v>0.25205886736035976</v>
      </c>
      <c r="BV40" s="168">
        <f>'Ethylene Recycling HC'!I263/('Ethylene Recycling HC'!I$256)</f>
        <v>0.25500976184212576</v>
      </c>
      <c r="BW40" s="168">
        <f>'Ethylene Recycling HC'!J263/('Ethylene Recycling HC'!J$256)</f>
        <v>0.2579481755704478</v>
      </c>
      <c r="BX40" s="168">
        <f>'Ethylene Recycling HC'!K263/('Ethylene Recycling HC'!K$256)</f>
        <v>0.26087379933166038</v>
      </c>
      <c r="BY40" s="168">
        <f>'Ethylene Recycling HC'!L263/('Ethylene Recycling HC'!L$256)</f>
        <v>0.26378630981100409</v>
      </c>
      <c r="BZ40" s="168">
        <f>'Ethylene Recycling HC'!M263/('Ethylene Recycling HC'!M$256)</f>
        <v>0.26668536877942789</v>
      </c>
      <c r="CA40" s="168">
        <f>'Ethylene Recycling HC'!N263/('Ethylene Recycling HC'!N$256)</f>
        <v>0.26952062177781322</v>
      </c>
      <c r="CB40" s="168">
        <f>'Ethylene Recycling HC'!O263/('Ethylene Recycling HC'!O$256)</f>
        <v>0.27229023663952379</v>
      </c>
      <c r="CC40" s="168">
        <f>'Ethylene Recycling HC'!P263/('Ethylene Recycling HC'!P$256)</f>
        <v>0.27499200543592828</v>
      </c>
      <c r="CD40" s="168">
        <f>'Ethylene Recycling HC'!Q263/('Ethylene Recycling HC'!Q$256)</f>
        <v>0.2776233221754234</v>
      </c>
      <c r="CE40" s="168">
        <f>'Ethylene Recycling HC'!R263/('Ethylene Recycling HC'!R$256)</f>
        <v>0.28018115654013187</v>
      </c>
      <c r="CF40" s="168">
        <f>'Ethylene Recycling HC'!S263/('Ethylene Recycling HC'!S$256)</f>
        <v>0.28272941280449831</v>
      </c>
      <c r="CG40" s="168">
        <f>'Ethylene Recycling HC'!T263/('Ethylene Recycling HC'!T$256)</f>
        <v>0.2852678496082226</v>
      </c>
      <c r="CH40" s="168">
        <f>'Ethylene Recycling HC'!U263/('Ethylene Recycling HC'!U$256)</f>
        <v>0.28779621993815158</v>
      </c>
      <c r="CI40" s="168">
        <f>'Ethylene Recycling HC'!V263/('Ethylene Recycling HC'!V$256)</f>
        <v>0.29031427095754947</v>
      </c>
      <c r="CJ40" s="168">
        <f>'Ethylene Recycling HC'!W263/('Ethylene Recycling HC'!W$256)</f>
        <v>0.29282174383038906</v>
      </c>
      <c r="CK40" s="168">
        <f>'Ethylene Recycling HC'!X263/('Ethylene Recycling HC'!X$256)</f>
        <v>0.29531881941688226</v>
      </c>
      <c r="CL40" s="168">
        <f>'Ethylene Recycling HC'!Y263/('Ethylene Recycling HC'!Y$256)</f>
        <v>0.29780524841109446</v>
      </c>
      <c r="CM40" s="168">
        <f>'Ethylene Recycling HC'!Z263/('Ethylene Recycling HC'!Z$256)</f>
        <v>0.30028077572932338</v>
      </c>
      <c r="CN40" s="168">
        <f>'Ethylene Recycling HC'!AA263/('Ethylene Recycling HC'!AA$256)</f>
        <v>0.30274514034463096</v>
      </c>
      <c r="CO40" s="168">
        <f>'Ethylene Recycling HC'!AB263/('Ethylene Recycling HC'!AB$256)</f>
        <v>0.30519807511665131</v>
      </c>
      <c r="CP40" s="168">
        <f>'Ethylene Recycling HC'!AC263/('Ethylene Recycling HC'!AC$256)</f>
        <v>0.30763972096685327</v>
      </c>
      <c r="CQ40" s="168">
        <f>'Ethylene Recycling HC'!AD263/('Ethylene Recycling HC'!AD$256)</f>
        <v>0.31006981851242177</v>
      </c>
      <c r="CR40" s="168">
        <f>'Ethylene Recycling HC'!AE263/('Ethylene Recycling HC'!AE$256)</f>
        <v>0.31248810243526715</v>
      </c>
      <c r="CS40" s="168">
        <f>'Ethylene Recycling HC'!AF263/('Ethylene Recycling HC'!AF$256)</f>
        <v>0.31489430131956936</v>
      </c>
      <c r="CT40" s="168">
        <f>'Ethylene Recycling HC'!AG263/('Ethylene Recycling HC'!AG$256)</f>
        <v>0.31728813748479306</v>
      </c>
      <c r="CV40" s="168">
        <f t="shared" si="194"/>
        <v>0.23640940733100796</v>
      </c>
      <c r="CW40" s="168">
        <f t="shared" si="193"/>
        <v>0.23205006596713237</v>
      </c>
      <c r="CX40" s="168">
        <f t="shared" si="193"/>
        <v>0.22776203054983998</v>
      </c>
      <c r="CY40" s="168">
        <f t="shared" si="193"/>
        <v>0.2235434102158794</v>
      </c>
      <c r="CZ40" s="168">
        <f t="shared" si="193"/>
        <v>0.2193923327774365</v>
      </c>
      <c r="DA40" s="168">
        <f t="shared" si="193"/>
        <v>0.21530695111648129</v>
      </c>
      <c r="DB40" s="168">
        <f t="shared" si="193"/>
        <v>0.2113468627934309</v>
      </c>
      <c r="DC40" s="168">
        <f t="shared" si="193"/>
        <v>0.20745129979179297</v>
      </c>
      <c r="DD40" s="168">
        <f t="shared" si="193"/>
        <v>0.20361845880660431</v>
      </c>
      <c r="DE40" s="168">
        <f t="shared" si="193"/>
        <v>0.19984675154774528</v>
      </c>
      <c r="DF40" s="168">
        <f t="shared" si="193"/>
        <v>0.19613497539479799</v>
      </c>
      <c r="DG40" s="168">
        <f t="shared" si="193"/>
        <v>0.19155570307509928</v>
      </c>
      <c r="DH40" s="168">
        <f t="shared" si="193"/>
        <v>0.18701434836572595</v>
      </c>
      <c r="DI40" s="168">
        <f t="shared" si="193"/>
        <v>0.18279677604945962</v>
      </c>
      <c r="DJ40" s="168">
        <f t="shared" si="193"/>
        <v>0.17875029091487799</v>
      </c>
      <c r="DK40" s="168">
        <f t="shared" si="193"/>
        <v>0.1748705163136528</v>
      </c>
      <c r="DL40" s="168">
        <f t="shared" si="193"/>
        <v>0.17113515045615851</v>
      </c>
      <c r="DM40" s="168">
        <f t="shared" si="193"/>
        <v>0.16755167766190812</v>
      </c>
      <c r="DN40" s="168">
        <f t="shared" si="193"/>
        <v>0.1641106737070305</v>
      </c>
      <c r="DO40" s="168">
        <f t="shared" si="193"/>
        <v>0.16080212711809941</v>
      </c>
      <c r="DP40" s="168">
        <f t="shared" si="193"/>
        <v>0.15761655974244823</v>
      </c>
      <c r="DQ40" s="168">
        <f t="shared" si="193"/>
        <v>0.15409478672522617</v>
      </c>
      <c r="DR40" s="168">
        <f t="shared" si="193"/>
        <v>0.15021155036269793</v>
      </c>
      <c r="DS40" s="168">
        <f t="shared" si="193"/>
        <v>0.146556608070395</v>
      </c>
      <c r="DT40" s="168">
        <f t="shared" si="193"/>
        <v>0.14311859675304711</v>
      </c>
      <c r="DU40" s="168">
        <f t="shared" si="193"/>
        <v>0.13986759265089913</v>
      </c>
      <c r="DV40" s="168">
        <f t="shared" si="193"/>
        <v>0.13680898065892136</v>
      </c>
      <c r="DW40" s="168">
        <f t="shared" si="193"/>
        <v>0.1339262306288769</v>
      </c>
      <c r="DX40" s="168">
        <f t="shared" si="193"/>
        <v>0.13121448096198313</v>
      </c>
      <c r="DY40" s="168">
        <f t="shared" si="193"/>
        <v>0.12866658180487134</v>
      </c>
      <c r="DZ40" s="168">
        <f t="shared" si="193"/>
        <v>0.12626998979322865</v>
      </c>
    </row>
    <row r="41" spans="1:165" x14ac:dyDescent="0.2">
      <c r="A41" s="606" t="s">
        <v>453</v>
      </c>
      <c r="C41" s="54" t="s">
        <v>462</v>
      </c>
      <c r="D41" s="168">
        <f>'Ethylene Recycling HC'!C288/('Ethylene Recycling HC'!C$266)</f>
        <v>6.1291327826557621E-2</v>
      </c>
      <c r="E41" s="168">
        <f>'Ethylene Recycling HC'!D288/('Ethylene Recycling HC'!D$266)</f>
        <v>6.0612699928771073E-2</v>
      </c>
      <c r="F41" s="168">
        <f>'Ethylene Recycling HC'!E288/('Ethylene Recycling HC'!E$266)</f>
        <v>5.9940971624656739E-2</v>
      </c>
      <c r="G41" s="168">
        <f>'Ethylene Recycling HC'!F288/('Ethylene Recycling HC'!F$266)</f>
        <v>5.9276126331257145E-2</v>
      </c>
      <c r="H41" s="168">
        <f>'Ethylene Recycling HC'!G288/('Ethylene Recycling HC'!G$266)</f>
        <v>5.8618148059577643E-2</v>
      </c>
      <c r="I41" s="168">
        <f>'Ethylene Recycling HC'!H288/('Ethylene Recycling HC'!H$266)</f>
        <v>5.7967021444293582E-2</v>
      </c>
      <c r="J41" s="168">
        <f>'Ethylene Recycling HC'!I288/('Ethylene Recycling HC'!I$266)</f>
        <v>5.731447825387799E-2</v>
      </c>
      <c r="K41" s="168">
        <f>'Ethylene Recycling HC'!J288/('Ethylene Recycling HC'!J$266)</f>
        <v>5.6668109377619368E-2</v>
      </c>
      <c r="L41" s="168">
        <f>'Ethylene Recycling HC'!K288/('Ethylene Recycling HC'!K$266)</f>
        <v>5.6027909056364504E-2</v>
      </c>
      <c r="M41" s="168">
        <f>'Ethylene Recycling HC'!L288/('Ethylene Recycling HC'!L$266)</f>
        <v>5.5393872559319199E-2</v>
      </c>
      <c r="N41" s="168">
        <f>'Ethylene Recycling HC'!M288/('Ethylene Recycling HC'!M$266)</f>
        <v>5.4765996252149646E-2</v>
      </c>
      <c r="O41" s="168">
        <f>'Ethylene Recycling HC'!N288/('Ethylene Recycling HC'!N$266)</f>
        <v>5.3734699497770648E-2</v>
      </c>
      <c r="P41" s="168">
        <f>'Ethylene Recycling HC'!O288/('Ethylene Recycling HC'!O$266)</f>
        <v>5.271114739158448E-2</v>
      </c>
      <c r="Q41" s="168">
        <f>'Ethylene Recycling HC'!P288/('Ethylene Recycling HC'!P$266)</f>
        <v>5.1712363011821444E-2</v>
      </c>
      <c r="R41" s="168">
        <f>'Ethylene Recycling HC'!Q288/('Ethylene Recycling HC'!Q$266)</f>
        <v>5.0730258012779847E-2</v>
      </c>
      <c r="S41" s="168">
        <f>'Ethylene Recycling HC'!R288/('Ethylene Recycling HC'!R$266)</f>
        <v>4.9765085505730486E-2</v>
      </c>
      <c r="T41" s="168">
        <f>'Ethylene Recycling HC'!S288/('Ethylene Recycling HC'!S$266)</f>
        <v>4.8816852722155843E-2</v>
      </c>
      <c r="U41" s="168">
        <f>'Ethylene Recycling HC'!T288/('Ethylene Recycling HC'!T$266)</f>
        <v>4.7886084721954762E-2</v>
      </c>
      <c r="V41" s="168">
        <f>'Ethylene Recycling HC'!U288/('Ethylene Recycling HC'!U$266)</f>
        <v>4.6973123495373088E-2</v>
      </c>
      <c r="W41" s="168">
        <f>'Ethylene Recycling HC'!V288/('Ethylene Recycling HC'!V$266)</f>
        <v>4.6078353891326522E-2</v>
      </c>
      <c r="X41" s="168">
        <f>'Ethylene Recycling HC'!W288/('Ethylene Recycling HC'!W$266)</f>
        <v>4.5202209490627421E-2</v>
      </c>
      <c r="Y41" s="168">
        <f>'Ethylene Recycling HC'!X288/('Ethylene Recycling HC'!X$266)</f>
        <v>4.3899989622098193E-2</v>
      </c>
      <c r="Z41" s="168">
        <f>'Ethylene Recycling HC'!Y288/('Ethylene Recycling HC'!Y$266)</f>
        <v>4.2581457433673559E-2</v>
      </c>
      <c r="AA41" s="168">
        <f>'Ethylene Recycling HC'!Z288/('Ethylene Recycling HC'!Z$266)</f>
        <v>4.1295345398760383E-2</v>
      </c>
      <c r="AB41" s="168">
        <f>'Ethylene Recycling HC'!AA288/('Ethylene Recycling HC'!AA$266)</f>
        <v>4.0043065511239852E-2</v>
      </c>
      <c r="AC41" s="168">
        <f>'Ethylene Recycling HC'!AB288/('Ethylene Recycling HC'!AB$266)</f>
        <v>3.8825862870765553E-2</v>
      </c>
      <c r="AD41" s="168">
        <f>'Ethylene Recycling HC'!AC288/('Ethylene Recycling HC'!AC$266)</f>
        <v>3.7644809254095399E-2</v>
      </c>
      <c r="AE41" s="168">
        <f>'Ethylene Recycling HC'!AD288/('Ethylene Recycling HC'!AD$266)</f>
        <v>3.6501962416397506E-2</v>
      </c>
      <c r="AF41" s="168">
        <f>'Ethylene Recycling HC'!AE288/('Ethylene Recycling HC'!AE$266)</f>
        <v>3.5399261543290095E-2</v>
      </c>
      <c r="AG41" s="168">
        <f>'Ethylene Recycling HC'!AF288/('Ethylene Recycling HC'!AF$266)</f>
        <v>3.4338960522309607E-2</v>
      </c>
      <c r="AH41" s="168">
        <f>'Ethylene Recycling HC'!AG288/('Ethylene Recycling HC'!AG$266)</f>
        <v>3.33236911167605E-2</v>
      </c>
      <c r="AI41" s="44"/>
      <c r="AJ41" s="168">
        <f>'Ethylene Recycling LC'!C246/('Ethylene Recycling LC'!C$224)</f>
        <v>6.1291327826557621E-2</v>
      </c>
      <c r="AK41" s="168">
        <f>'Ethylene Recycling LC'!D246/('Ethylene Recycling LC'!D$224)</f>
        <v>6.0629817172667029E-2</v>
      </c>
      <c r="AL41" s="168">
        <f>'Ethylene Recycling LC'!E246/('Ethylene Recycling LC'!E$224)</f>
        <v>5.9976761557323212E-2</v>
      </c>
      <c r="AM41" s="168">
        <f>'Ethylene Recycling LC'!F246/('Ethylene Recycling LC'!F$224)</f>
        <v>5.9332141285692079E-2</v>
      </c>
      <c r="AN41" s="168">
        <f>'Ethylene Recycling LC'!G246/('Ethylene Recycling LC'!G$224)</f>
        <v>5.869593728244387E-2</v>
      </c>
      <c r="AO41" s="168">
        <f>'Ethylene Recycling LC'!H246/('Ethylene Recycling LC'!H$224)</f>
        <v>5.8068131116393133E-2</v>
      </c>
      <c r="AP41" s="168">
        <f>'Ethylene Recycling LC'!I246/('Ethylene Recycling LC'!I$224)</f>
        <v>5.7453617635061544E-2</v>
      </c>
      <c r="AQ41" s="168">
        <f>'Ethylene Recycling LC'!J246/('Ethylene Recycling LC'!J$224)</f>
        <v>5.6847934136462233E-2</v>
      </c>
      <c r="AR41" s="168">
        <f>'Ethylene Recycling LC'!K246/('Ethylene Recycling LC'!K$224)</f>
        <v>5.6251089986352684E-2</v>
      </c>
      <c r="AS41" s="168">
        <f>'Ethylene Recycling LC'!L246/('Ethylene Recycling LC'!L$224)</f>
        <v>5.5663096205041486E-2</v>
      </c>
      <c r="AT41" s="168">
        <f>'Ethylene Recycling LC'!M246/('Ethylene Recycling LC'!M$224)</f>
        <v>5.5083965546735378E-2</v>
      </c>
      <c r="AU41" s="168">
        <f>'Ethylene Recycling LC'!N246/('Ethylene Recycling LC'!N$224)</f>
        <v>5.4145706504468233E-2</v>
      </c>
      <c r="AV41" s="168">
        <f>'Ethylene Recycling LC'!O246/('Ethylene Recycling LC'!O$224)</f>
        <v>5.3219522952829293E-2</v>
      </c>
      <c r="AW41" s="168">
        <f>'Ethylene Recycling LC'!P246/('Ethylene Recycling LC'!P$224)</f>
        <v>5.2334817828825937E-2</v>
      </c>
      <c r="AX41" s="168">
        <f>'Ethylene Recycling LC'!Q246/('Ethylene Recycling LC'!Q$224)</f>
        <v>5.1477522161301588E-2</v>
      </c>
      <c r="AY41" s="168">
        <f>'Ethylene Recycling LC'!R246/('Ethylene Recycling LC'!R$224)</f>
        <v>5.0648130545680257E-2</v>
      </c>
      <c r="AZ41" s="168">
        <f>'Ethylene Recycling LC'!S246/('Ethylene Recycling LC'!S$224)</f>
        <v>4.9843898887391935E-2</v>
      </c>
      <c r="BA41" s="168">
        <f>'Ethylene Recycling LC'!T246/('Ethylene Recycling LC'!T$224)</f>
        <v>4.9068240157162317E-2</v>
      </c>
      <c r="BB41" s="168">
        <f>'Ethylene Recycling LC'!U246/('Ethylene Recycling LC'!U$224)</f>
        <v>4.8321748454276815E-2</v>
      </c>
      <c r="BC41" s="168">
        <f>'Ethylene Recycling LC'!V246/('Ethylene Recycling LC'!V$224)</f>
        <v>4.760506694035252E-2</v>
      </c>
      <c r="BD41" s="168">
        <f>'Ethylene Recycling LC'!W246/('Ethylene Recycling LC'!W$224)</f>
        <v>4.6918892388007089E-2</v>
      </c>
      <c r="BE41" s="168">
        <f>'Ethylene Recycling LC'!X246/('Ethylene Recycling LC'!X$224)</f>
        <v>4.5912113334040924E-2</v>
      </c>
      <c r="BF41" s="168">
        <f>'Ethylene Recycling LC'!Y246/('Ethylene Recycling LC'!Y$224)</f>
        <v>4.4874153462987551E-2</v>
      </c>
      <c r="BG41" s="168">
        <f>'Ethylene Recycling LC'!Z246/('Ethylene Recycling LC'!Z$224)</f>
        <v>4.3891988647791341E-2</v>
      </c>
      <c r="BH41" s="168">
        <f>'Ethylene Recycling LC'!AA246/('Ethylene Recycling LC'!AA$224)</f>
        <v>4.2965272111736418E-2</v>
      </c>
      <c r="BI41" s="168">
        <f>'Ethylene Recycling LC'!AB246/('Ethylene Recycling LC'!AB$224)</f>
        <v>4.2095703077598551E-2</v>
      </c>
      <c r="BJ41" s="168">
        <f>'Ethylene Recycling LC'!AC246/('Ethylene Recycling LC'!AC$224)</f>
        <v>4.1288581168508996E-2</v>
      </c>
      <c r="BK41" s="168">
        <f>'Ethylene Recycling LC'!AD246/('Ethylene Recycling LC'!AD$224)</f>
        <v>4.0543053219143275E-2</v>
      </c>
      <c r="BL41" s="168">
        <f>'Ethylene Recycling LC'!AE246/('Ethylene Recycling LC'!AE$224)</f>
        <v>3.9861403124180426E-2</v>
      </c>
      <c r="BM41" s="168">
        <f>'Ethylene Recycling LC'!AF246/('Ethylene Recycling LC'!AF$224)</f>
        <v>3.9246139458211024E-2</v>
      </c>
      <c r="BN41" s="168">
        <f>'Ethylene Recycling LC'!AG246/('Ethylene Recycling LC'!AG$224)</f>
        <v>3.8700022217783847E-2</v>
      </c>
      <c r="BP41" s="168">
        <f>'Ethylene Recycling HC'!C264/('Ethylene Recycling HC'!C$256)</f>
        <v>6.1291327826557621E-2</v>
      </c>
      <c r="BQ41" s="168">
        <f>'Ethylene Recycling HC'!D264/('Ethylene Recycling HC'!D$256)</f>
        <v>6.2544715380408913E-2</v>
      </c>
      <c r="BR41" s="168">
        <f>'Ethylene Recycling HC'!E264/('Ethylene Recycling HC'!E$256)</f>
        <v>6.3777954995943881E-2</v>
      </c>
      <c r="BS41" s="168">
        <f>'Ethylene Recycling HC'!F264/('Ethylene Recycling HC'!F$256)</f>
        <v>6.4990733988112795E-2</v>
      </c>
      <c r="BT41" s="168">
        <f>'Ethylene Recycling HC'!G264/('Ethylene Recycling HC'!G$256)</f>
        <v>6.6182599649998855E-2</v>
      </c>
      <c r="BU41" s="168">
        <f>'Ethylene Recycling HC'!H264/('Ethylene Recycling HC'!H$256)</f>
        <v>6.7352952888590889E-2</v>
      </c>
      <c r="BV41" s="168">
        <f>'Ethylene Recycling HC'!I264/('Ethylene Recycling HC'!I$256)</f>
        <v>6.8520628528216637E-2</v>
      </c>
      <c r="BW41" s="168">
        <f>'Ethylene Recycling HC'!J264/('Ethylene Recycling HC'!J$256)</f>
        <v>6.9685474240657644E-2</v>
      </c>
      <c r="BX41" s="168">
        <f>'Ethylene Recycling HC'!K264/('Ethylene Recycling HC'!K$256)</f>
        <v>7.0847335471454109E-2</v>
      </c>
      <c r="BY41" s="168">
        <f>'Ethylene Recycling HC'!L264/('Ethylene Recycling HC'!L$256)</f>
        <v>7.2006055059073579E-2</v>
      </c>
      <c r="BZ41" s="168">
        <f>'Ethylene Recycling HC'!M264/('Ethylene Recycling HC'!M$256)</f>
        <v>7.3161472850993517E-2</v>
      </c>
      <c r="CA41" s="168">
        <f>'Ethylene Recycling HC'!N264/('Ethylene Recycling HC'!N$256)</f>
        <v>7.4299641519217641E-2</v>
      </c>
      <c r="CB41" s="168">
        <f>'Ethylene Recycling HC'!O264/('Ethylene Recycling HC'!O$256)</f>
        <v>7.5419792463223126E-2</v>
      </c>
      <c r="CC41" s="168">
        <f>'Ethylene Recycling HC'!P264/('Ethylene Recycling HC'!P$256)</f>
        <v>7.652105364737162E-2</v>
      </c>
      <c r="CD41" s="168">
        <f>'Ethylene Recycling HC'!Q264/('Ethylene Recycling HC'!Q$256)</f>
        <v>7.7602440947930632E-2</v>
      </c>
      <c r="CE41" s="168">
        <f>'Ethylene Recycling HC'!R264/('Ethylene Recycling HC'!R$256)</f>
        <v>7.8662848366156932E-2</v>
      </c>
      <c r="CF41" s="168">
        <f>'Ethylene Recycling HC'!S264/('Ethylene Recycling HC'!S$256)</f>
        <v>7.972003851255538E-2</v>
      </c>
      <c r="CG41" s="168">
        <f>'Ethylene Recycling HC'!T264/('Ethylene Recycling HC'!T$256)</f>
        <v>8.0773924007442738E-2</v>
      </c>
      <c r="CH41" s="168">
        <f>'Ethylene Recycling HC'!U264/('Ethylene Recycling HC'!U$256)</f>
        <v>8.1824415472611781E-2</v>
      </c>
      <c r="CI41" s="168">
        <f>'Ethylene Recycling HC'!V264/('Ethylene Recycling HC'!V$256)</f>
        <v>8.2871421468966741E-2</v>
      </c>
      <c r="CJ41" s="168">
        <f>'Ethylene Recycling HC'!W264/('Ethylene Recycling HC'!W$256)</f>
        <v>8.391484843235604E-2</v>
      </c>
      <c r="CK41" s="168">
        <f>'Ethylene Recycling HC'!X264/('Ethylene Recycling HC'!X$256)</f>
        <v>8.4954728873349747E-2</v>
      </c>
      <c r="CL41" s="168">
        <f>'Ethylene Recycling HC'!Y264/('Ethylene Recycling HC'!Y$256)</f>
        <v>8.5990972593919537E-2</v>
      </c>
      <c r="CM41" s="168">
        <f>'Ethylene Recycling HC'!Z264/('Ethylene Recycling HC'!Z$256)</f>
        <v>8.7023487333756408E-2</v>
      </c>
      <c r="CN41" s="168">
        <f>'Ethylene Recycling HC'!AA264/('Ethylene Recycling HC'!AA$256)</f>
        <v>8.8052178709736292E-2</v>
      </c>
      <c r="CO41" s="168">
        <f>'Ethylene Recycling HC'!AB264/('Ethylene Recycling HC'!AB$256)</f>
        <v>8.9076950153663834E-2</v>
      </c>
      <c r="CP41" s="168">
        <f>'Ethylene Recycling HC'!AC264/('Ethylene Recycling HC'!AC$256)</f>
        <v>9.0097824198183185E-2</v>
      </c>
      <c r="CQ41" s="168">
        <f>'Ethylene Recycling HC'!AD264/('Ethylene Recycling HC'!AD$256)</f>
        <v>9.1114706962759084E-2</v>
      </c>
      <c r="CR41" s="168">
        <f>'Ethylene Recycling HC'!AE264/('Ethylene Recycling HC'!AE$256)</f>
        <v>9.2127502432462358E-2</v>
      </c>
      <c r="CS41" s="168">
        <f>'Ethylene Recycling HC'!AF264/('Ethylene Recycling HC'!AF$256)</f>
        <v>9.3136112398416959E-2</v>
      </c>
      <c r="CT41" s="168">
        <f>'Ethylene Recycling HC'!AG264/('Ethylene Recycling HC'!AG$256)</f>
        <v>9.4140436396586952E-2</v>
      </c>
      <c r="CV41" s="168">
        <f t="shared" si="194"/>
        <v>6.1291327826557621E-2</v>
      </c>
      <c r="CW41" s="168">
        <f t="shared" si="193"/>
        <v>6.0698953425695444E-2</v>
      </c>
      <c r="CX41" s="168">
        <f t="shared" si="193"/>
        <v>6.0119926845643032E-2</v>
      </c>
      <c r="CY41" s="168">
        <f t="shared" si="193"/>
        <v>5.9554035926238112E-2</v>
      </c>
      <c r="CZ41" s="168">
        <f t="shared" si="193"/>
        <v>5.9001071216908486E-2</v>
      </c>
      <c r="DA41" s="168">
        <f t="shared" si="193"/>
        <v>5.8460827786594227E-2</v>
      </c>
      <c r="DB41" s="168">
        <f t="shared" si="193"/>
        <v>5.7949946249811667E-2</v>
      </c>
      <c r="DC41" s="168">
        <f t="shared" si="193"/>
        <v>5.7452406354343712E-2</v>
      </c>
      <c r="DD41" s="168">
        <f t="shared" si="193"/>
        <v>5.6968045261681491E-2</v>
      </c>
      <c r="DE41" s="168">
        <f t="shared" si="193"/>
        <v>5.6496760986071412E-2</v>
      </c>
      <c r="DF41" s="168">
        <f t="shared" si="193"/>
        <v>5.6038564398513666E-2</v>
      </c>
      <c r="DG41" s="168">
        <f t="shared" si="193"/>
        <v>5.5325957782212963E-2</v>
      </c>
      <c r="DH41" s="168">
        <f t="shared" si="193"/>
        <v>5.4614809699725236E-2</v>
      </c>
      <c r="DI41" s="168">
        <f t="shared" si="193"/>
        <v>5.3989452596317121E-2</v>
      </c>
      <c r="DJ41" s="168">
        <f t="shared" si="193"/>
        <v>5.3407099114811063E-2</v>
      </c>
      <c r="DK41" s="168">
        <f t="shared" si="193"/>
        <v>5.2867830513429873E-2</v>
      </c>
      <c r="DL41" s="168">
        <f t="shared" si="193"/>
        <v>5.2366276322546888E-2</v>
      </c>
      <c r="DM41" s="168">
        <f t="shared" si="193"/>
        <v>5.1906057445823821E-2</v>
      </c>
      <c r="DN41" s="168">
        <f t="shared" si="193"/>
        <v>5.1485701555146778E-2</v>
      </c>
      <c r="DO41" s="168">
        <f t="shared" si="193"/>
        <v>5.1103504624886796E-2</v>
      </c>
      <c r="DP41" s="168">
        <f t="shared" si="193"/>
        <v>5.0757875171296846E-2</v>
      </c>
      <c r="DQ41" s="168">
        <f t="shared" si="193"/>
        <v>5.0300370796317308E-2</v>
      </c>
      <c r="DR41" s="168">
        <f t="shared" si="193"/>
        <v>4.9717907514414045E-2</v>
      </c>
      <c r="DS41" s="168">
        <f t="shared" si="193"/>
        <v>4.9203026407834534E-2</v>
      </c>
      <c r="DT41" s="168">
        <f t="shared" si="193"/>
        <v>4.8754686805983036E-2</v>
      </c>
      <c r="DU41" s="168">
        <f t="shared" si="193"/>
        <v>4.8365429234423031E-2</v>
      </c>
      <c r="DV41" s="168">
        <f t="shared" si="193"/>
        <v>4.8039794735193729E-2</v>
      </c>
      <c r="DW41" s="168">
        <f t="shared" si="193"/>
        <v>4.7774854200944371E-2</v>
      </c>
      <c r="DX41" s="168">
        <f t="shared" si="193"/>
        <v>4.7571783934424149E-2</v>
      </c>
      <c r="DY41" s="168">
        <f t="shared" si="193"/>
        <v>4.7431061724402666E-2</v>
      </c>
      <c r="DZ41" s="168">
        <f t="shared" si="193"/>
        <v>4.7351246172460733E-2</v>
      </c>
    </row>
    <row r="42" spans="1:165" ht="16" thickBot="1" x14ac:dyDescent="0.25">
      <c r="A42" s="606" t="s">
        <v>454</v>
      </c>
      <c r="C42" s="54" t="s">
        <v>462</v>
      </c>
      <c r="D42" s="168">
        <f>'Ethylene Recycling HC'!C289/('Ethylene Recycling HC'!C$266)</f>
        <v>4.3779519876112581E-2</v>
      </c>
      <c r="E42" s="168">
        <f>'Ethylene Recycling HC'!D289/('Ethylene Recycling HC'!D$266)</f>
        <v>4.2921911911282869E-2</v>
      </c>
      <c r="F42" s="168">
        <f>'Ethylene Recycling HC'!E289/('Ethylene Recycling HC'!E$266)</f>
        <v>4.2073951236537899E-2</v>
      </c>
      <c r="G42" s="168">
        <f>'Ethylene Recycling HC'!F289/('Ethylene Recycling HC'!F$266)</f>
        <v>4.1235566143483227E-2</v>
      </c>
      <c r="H42" s="168">
        <f>'Ethylene Recycling HC'!G289/('Ethylene Recycling HC'!G$266)</f>
        <v>4.04066845847574E-2</v>
      </c>
      <c r="I42" s="168">
        <f>'Ethylene Recycling HC'!H289/('Ethylene Recycling HC'!H$266)</f>
        <v>3.9587234157078544E-2</v>
      </c>
      <c r="J42" s="168">
        <f>'Ethylene Recycling HC'!I289/('Ethylene Recycling HC'!I$266)</f>
        <v>3.8771558818799824E-2</v>
      </c>
      <c r="K42" s="168">
        <f>'Ethylene Recycling HC'!J289/('Ethylene Recycling HC'!J$266)</f>
        <v>3.7964841750523323E-2</v>
      </c>
      <c r="L42" s="168">
        <f>'Ethylene Recycling HC'!K289/('Ethylene Recycling HC'!K$266)</f>
        <v>3.716702877996457E-2</v>
      </c>
      <c r="M42" s="168">
        <f>'Ethylene Recycling HC'!L289/('Ethylene Recycling HC'!L$266)</f>
        <v>3.6378065561343952E-2</v>
      </c>
      <c r="N42" s="168">
        <f>'Ethylene Recycling HC'!M289/('Ethylene Recycling HC'!M$266)</f>
        <v>3.5597897563897272E-2</v>
      </c>
      <c r="O42" s="168">
        <f>'Ethylene Recycling HC'!N289/('Ethylene Recycling HC'!N$266)</f>
        <v>3.456302279253589E-2</v>
      </c>
      <c r="P42" s="168">
        <f>'Ethylene Recycling HC'!O289/('Ethylene Recycling HC'!O$266)</f>
        <v>3.3543457431008304E-2</v>
      </c>
      <c r="Q42" s="168">
        <f>'Ethylene Recycling HC'!P289/('Ethylene Recycling HC'!P$266)</f>
        <v>3.2549913773938371E-2</v>
      </c>
      <c r="R42" s="168">
        <f>'Ethylene Recycling HC'!Q289/('Ethylene Recycling HC'!Q$266)</f>
        <v>3.1576997334485414E-2</v>
      </c>
      <c r="S42" s="168">
        <f>'Ethylene Recycling HC'!R289/('Ethylene Recycling HC'!R$266)</f>
        <v>3.0624668003526454E-2</v>
      </c>
      <c r="T42" s="168">
        <f>'Ethylene Recycling HC'!S289/('Ethylene Recycling HC'!S$266)</f>
        <v>2.9692724851620562E-2</v>
      </c>
      <c r="U42" s="168">
        <f>'Ethylene Recycling HC'!T289/('Ethylene Recycling HC'!T$266)</f>
        <v>2.8781273718895092E-2</v>
      </c>
      <c r="V42" s="168">
        <f>'Ethylene Recycling HC'!U289/('Ethylene Recycling HC'!U$266)</f>
        <v>2.7890292075377771E-2</v>
      </c>
      <c r="W42" s="168">
        <f>'Ethylene Recycling HC'!V289/('Ethylene Recycling HC'!V$266)</f>
        <v>2.7019767726851152E-2</v>
      </c>
      <c r="X42" s="168">
        <f>'Ethylene Recycling HC'!W289/('Ethylene Recycling HC'!W$266)</f>
        <v>2.6169700231415873E-2</v>
      </c>
      <c r="Y42" s="168">
        <f>'Ethylene Recycling HC'!X289/('Ethylene Recycling HC'!X$266)</f>
        <v>2.5085708355484678E-2</v>
      </c>
      <c r="Z42" s="168">
        <f>'Ethylene Recycling HC'!Y289/('Ethylene Recycling HC'!Y$266)</f>
        <v>2.4008694084943598E-2</v>
      </c>
      <c r="AA42" s="168">
        <f>'Ethylene Recycling HC'!Z289/('Ethylene Recycling HC'!Z$266)</f>
        <v>2.2966395301984379E-2</v>
      </c>
      <c r="AB42" s="168">
        <f>'Ethylene Recycling HC'!AA289/('Ethylene Recycling HC'!AA$266)</f>
        <v>2.1959100441647655E-2</v>
      </c>
      <c r="AC42" s="168">
        <f>'Ethylene Recycling HC'!AB289/('Ethylene Recycling HC'!AB$266)</f>
        <v>2.0986952903116508E-2</v>
      </c>
      <c r="AD42" s="168">
        <f>'Ethylene Recycling HC'!AC289/('Ethylene Recycling HC'!AC$266)</f>
        <v>2.0049952754898622E-2</v>
      </c>
      <c r="AE42" s="168">
        <f>'Ethylene Recycling HC'!AD289/('Ethylene Recycling HC'!AD$266)</f>
        <v>1.9148570447946212E-2</v>
      </c>
      <c r="AF42" s="168">
        <f>'Ethylene Recycling HC'!AE289/('Ethylene Recycling HC'!AE$266)</f>
        <v>1.8283135082798167E-2</v>
      </c>
      <c r="AG42" s="168">
        <f>'Ethylene Recycling HC'!AF289/('Ethylene Recycling HC'!AF$266)</f>
        <v>1.7454057282057907E-2</v>
      </c>
      <c r="AH42" s="168">
        <f>'Ethylene Recycling HC'!AG289/('Ethylene Recycling HC'!AG$266)</f>
        <v>1.666184555838025E-2</v>
      </c>
      <c r="AI42" s="44"/>
      <c r="AJ42" s="168">
        <f>'Ethylene Recycling LC'!C247/('Ethylene Recycling LC'!C$224)</f>
        <v>4.3779519876112581E-2</v>
      </c>
      <c r="AK42" s="168">
        <f>'Ethylene Recycling LC'!D247/('Ethylene Recycling LC'!D$224)</f>
        <v>4.2934033213180484E-2</v>
      </c>
      <c r="AL42" s="168">
        <f>'Ethylene Recycling LC'!E247/('Ethylene Recycling LC'!E$224)</f>
        <v>4.2099073016198023E-2</v>
      </c>
      <c r="AM42" s="168">
        <f>'Ethylene Recycling LC'!F247/('Ethylene Recycling LC'!F$224)</f>
        <v>4.1274533068307535E-2</v>
      </c>
      <c r="AN42" s="168">
        <f>'Ethylene Recycling LC'!G247/('Ethylene Recycling LC'!G$224)</f>
        <v>4.0460306282072964E-2</v>
      </c>
      <c r="AO42" s="168">
        <f>'Ethylene Recycling LC'!H247/('Ethylene Recycling LC'!H$224)</f>
        <v>3.9656284664853846E-2</v>
      </c>
      <c r="AP42" s="168">
        <f>'Ethylene Recycling LC'!I247/('Ethylene Recycling LC'!I$224)</f>
        <v>3.8865682517835745E-2</v>
      </c>
      <c r="AQ42" s="168">
        <f>'Ethylene Recycling LC'!J247/('Ethylene Recycling LC'!J$224)</f>
        <v>3.8085315480585538E-2</v>
      </c>
      <c r="AR42" s="168">
        <f>'Ethylene Recycling LC'!K247/('Ethylene Recycling LC'!K$224)</f>
        <v>3.7315079495897331E-2</v>
      </c>
      <c r="AS42" s="168">
        <f>'Ethylene Recycling LC'!L247/('Ethylene Recycling LC'!L$224)</f>
        <v>3.6554869149579484E-2</v>
      </c>
      <c r="AT42" s="168">
        <f>'Ethylene Recycling LC'!M247/('Ethylene Recycling LC'!M$224)</f>
        <v>3.5804577605378002E-2</v>
      </c>
      <c r="AU42" s="168">
        <f>'Ethylene Recycling LC'!N247/('Ethylene Recycling LC'!N$224)</f>
        <v>3.4827389108401677E-2</v>
      </c>
      <c r="AV42" s="168">
        <f>'Ethylene Recycling LC'!O247/('Ethylene Recycling LC'!O$224)</f>
        <v>3.3866969151800458E-2</v>
      </c>
      <c r="AW42" s="168">
        <f>'Ethylene Recycling LC'!P247/('Ethylene Recycling LC'!P$224)</f>
        <v>3.2941712745047799E-2</v>
      </c>
      <c r="AX42" s="168">
        <f>'Ethylene Recycling LC'!Q247/('Ethylene Recycling LC'!Q$224)</f>
        <v>3.2042131141218337E-2</v>
      </c>
      <c r="AY42" s="168">
        <f>'Ethylene Recycling LC'!R247/('Ethylene Recycling LC'!R$224)</f>
        <v>3.1168080335803233E-2</v>
      </c>
      <c r="AZ42" s="168">
        <f>'Ethylene Recycling LC'!S247/('Ethylene Recycling LC'!S$224)</f>
        <v>3.0317423034599219E-2</v>
      </c>
      <c r="BA42" s="168">
        <f>'Ethylene Recycling LC'!T247/('Ethylene Recycling LC'!T$224)</f>
        <v>2.9491792011558698E-2</v>
      </c>
      <c r="BB42" s="168">
        <f>'Ethylene Recycling LC'!U247/('Ethylene Recycling LC'!U$224)</f>
        <v>2.8691038144726861E-2</v>
      </c>
      <c r="BC42" s="168">
        <f>'Ethylene Recycling LC'!V247/('Ethylene Recycling LC'!V$224)</f>
        <v>2.7915013074971108E-2</v>
      </c>
      <c r="BD42" s="168">
        <f>'Ethylene Recycling LC'!W247/('Ethylene Recycling LC'!W$224)</f>
        <v>2.7163569277267256E-2</v>
      </c>
      <c r="BE42" s="168">
        <f>'Ethylene Recycling LC'!X247/('Ethylene Recycling LC'!X$224)</f>
        <v>2.6235493333737668E-2</v>
      </c>
      <c r="BF42" s="168">
        <f>'Ethylene Recycling LC'!Y247/('Ethylene Recycling LC'!Y$224)</f>
        <v>2.5301384399344044E-2</v>
      </c>
      <c r="BG42" s="168">
        <f>'Ethylene Recycling LC'!Z247/('Ethylene Recycling LC'!Z$224)</f>
        <v>2.4410517750643308E-2</v>
      </c>
      <c r="BH42" s="168">
        <f>'Ethylene Recycling LC'!AA247/('Ethylene Recycling LC'!AA$224)</f>
        <v>2.3561600835468349E-2</v>
      </c>
      <c r="BI42" s="168">
        <f>'Ethylene Recycling LC'!AB247/('Ethylene Recycling LC'!AB$224)</f>
        <v>2.2754434095999202E-2</v>
      </c>
      <c r="BJ42" s="168">
        <f>'Ethylene Recycling LC'!AC247/('Ethylene Recycling LC'!AC$224)</f>
        <v>2.1990657361488475E-2</v>
      </c>
      <c r="BK42" s="168">
        <f>'Ethylene Recycling LC'!AD247/('Ethylene Recycling LC'!AD$224)</f>
        <v>2.126848693463252E-2</v>
      </c>
      <c r="BL42" s="168">
        <f>'Ethylene Recycling LC'!AE247/('Ethylene Recycling LC'!AE$224)</f>
        <v>2.0587757657543712E-2</v>
      </c>
      <c r="BM42" s="168">
        <f>'Ethylene Recycling LC'!AF247/('Ethylene Recycling LC'!AF$224)</f>
        <v>1.9948313978759173E-2</v>
      </c>
      <c r="BN42" s="168">
        <f>'Ethylene Recycling LC'!AG247/('Ethylene Recycling LC'!AG$224)</f>
        <v>1.9350011108891924E-2</v>
      </c>
      <c r="BP42" s="168">
        <f>'Ethylene Recycling HC'!C265/('Ethylene Recycling HC'!C$256)</f>
        <v>4.3779519876112581E-2</v>
      </c>
      <c r="BQ42" s="168">
        <f>'Ethylene Recycling HC'!D265/('Ethylene Recycling HC'!D$256)</f>
        <v>4.4524348367157331E-2</v>
      </c>
      <c r="BR42" s="168">
        <f>'Ethylene Recycling HC'!E265/('Ethylene Recycling HC'!E$256)</f>
        <v>4.5254210714033717E-2</v>
      </c>
      <c r="BS42" s="168">
        <f>'Ethylene Recycling HC'!F265/('Ethylene Recycling HC'!F$256)</f>
        <v>4.5969055747689537E-2</v>
      </c>
      <c r="BT42" s="168">
        <f>'Ethylene Recycling HC'!G265/('Ethylene Recycling HC'!G$256)</f>
        <v>4.6668724797601334E-2</v>
      </c>
      <c r="BU42" s="168">
        <f>'Ethylene Recycling HC'!H265/('Ethylene Recycling HC'!H$256)</f>
        <v>4.7352949410756059E-2</v>
      </c>
      <c r="BV42" s="168">
        <f>'Ethylene Recycling HC'!I265/('Ethylene Recycling HC'!I$256)</f>
        <v>4.8035079792976616E-2</v>
      </c>
      <c r="BW42" s="168">
        <f>'Ethylene Recycling HC'!J265/('Ethylene Recycling HC'!J$256)</f>
        <v>4.871503566950456E-2</v>
      </c>
      <c r="BX42" s="168">
        <f>'Ethylene Recycling HC'!K265/('Ethylene Recycling HC'!K$256)</f>
        <v>4.9392734713043736E-2</v>
      </c>
      <c r="BY42" s="168">
        <f>'Ethylene Recycling HC'!L265/('Ethylene Recycling HC'!L$256)</f>
        <v>5.0068092338373053E-2</v>
      </c>
      <c r="BZ42" s="168">
        <f>'Ethylene Recycling HC'!M265/('Ethylene Recycling HC'!M$256)</f>
        <v>5.0741021493431009E-2</v>
      </c>
      <c r="CA42" s="168">
        <f>'Ethylene Recycling HC'!N265/('Ethylene Recycling HC'!N$256)</f>
        <v>5.1401896555392061E-2</v>
      </c>
      <c r="CB42" s="168">
        <f>'Ethylene Recycling HC'!O265/('Ethylene Recycling HC'!O$256)</f>
        <v>5.2050279305604727E-2</v>
      </c>
      <c r="CC42" s="168">
        <f>'Ethylene Recycling HC'!P265/('Ethylene Recycling HC'!P$256)</f>
        <v>5.2685659912955207E-2</v>
      </c>
      <c r="CD42" s="168">
        <f>'Ethylene Recycling HC'!Q265/('Ethylene Recycling HC'!Q$256)</f>
        <v>5.3307451836572442E-2</v>
      </c>
      <c r="CE42" s="168">
        <f>'Ethylene Recycling HC'!R265/('Ethylene Recycling HC'!R$256)</f>
        <v>5.3914985958826697E-2</v>
      </c>
      <c r="CF42" s="168">
        <f>'Ethylene Recycling HC'!S265/('Ethylene Recycling HC'!S$256)</f>
        <v>5.4520499012279421E-2</v>
      </c>
      <c r="CG42" s="168">
        <f>'Ethylene Recycling HC'!T265/('Ethylene Recycling HC'!T$256)</f>
        <v>5.5123937942442761E-2</v>
      </c>
      <c r="CH42" s="168">
        <f>'Ethylene Recycling HC'!U265/('Ethylene Recycling HC'!U$256)</f>
        <v>5.5725248468416685E-2</v>
      </c>
      <c r="CI42" s="168">
        <f>'Ethylene Recycling HC'!V265/('Ethylene Recycling HC'!V$256)</f>
        <v>5.6324375045173042E-2</v>
      </c>
      <c r="CJ42" s="168">
        <f>'Ethylene Recycling HC'!W265/('Ethylene Recycling HC'!W$256)</f>
        <v>5.6921260824745051E-2</v>
      </c>
      <c r="CK42" s="168">
        <f>'Ethylene Recycling HC'!X265/('Ethylene Recycling HC'!X$256)</f>
        <v>5.7515934454628138E-2</v>
      </c>
      <c r="CL42" s="168">
        <f>'Ethylene Recycling HC'!Y265/('Ethylene Recycling HC'!Y$256)</f>
        <v>5.8108341153384375E-2</v>
      </c>
      <c r="CM42" s="168">
        <f>'Ethylene Recycling HC'!Z265/('Ethylene Recycling HC'!Z$256)</f>
        <v>5.869842487946051E-2</v>
      </c>
      <c r="CN42" s="168">
        <f>'Ethylene Recycling HC'!AA265/('Ethylene Recycling HC'!AA$256)</f>
        <v>5.9286128294603391E-2</v>
      </c>
      <c r="CO42" s="168">
        <f>'Ethylene Recycling HC'!AB265/('Ethylene Recycling HC'!AB$256)</f>
        <v>5.9871392726233139E-2</v>
      </c>
      <c r="CP42" s="168">
        <f>'Ethylene Recycling HC'!AC265/('Ethylene Recycling HC'!AC$256)</f>
        <v>6.0454239552667023E-2</v>
      </c>
      <c r="CQ42" s="168">
        <f>'Ethylene Recycling HC'!AD265/('Ethylene Recycling HC'!AD$256)</f>
        <v>6.1034611765840616E-2</v>
      </c>
      <c r="CR42" s="168">
        <f>'Ethylene Recycling HC'!AE265/('Ethylene Recycling HC'!AE$256)</f>
        <v>6.1612451057866807E-2</v>
      </c>
      <c r="CS42" s="168">
        <f>'Ethylene Recycling HC'!AF265/('Ethylene Recycling HC'!AF$256)</f>
        <v>6.2187697785076726E-2</v>
      </c>
      <c r="CT42" s="168">
        <f>'Ethylene Recycling HC'!AG265/('Ethylene Recycling HC'!AG$256)</f>
        <v>6.2760290931057963E-2</v>
      </c>
      <c r="CV42" s="168">
        <f t="shared" si="194"/>
        <v>4.3779519876112581E-2</v>
      </c>
      <c r="CW42" s="168">
        <f t="shared" si="193"/>
        <v>4.2982990942597728E-2</v>
      </c>
      <c r="CX42" s="168">
        <f t="shared" si="193"/>
        <v>4.2199564035884055E-2</v>
      </c>
      <c r="CY42" s="168">
        <f t="shared" si="193"/>
        <v>4.1428894557383036E-2</v>
      </c>
      <c r="CZ42" s="168">
        <f t="shared" si="193"/>
        <v>4.0670641324276731E-2</v>
      </c>
      <c r="DA42" s="168">
        <f t="shared" si="193"/>
        <v>3.9924467756698487E-2</v>
      </c>
      <c r="DB42" s="168">
        <f t="shared" si="193"/>
        <v>3.9201434227813768E-2</v>
      </c>
      <c r="DC42" s="168">
        <f t="shared" si="193"/>
        <v>3.8490282089609577E-2</v>
      </c>
      <c r="DD42" s="168">
        <f t="shared" si="193"/>
        <v>3.7790683490422389E-2</v>
      </c>
      <c r="DE42" s="168">
        <f t="shared" si="193"/>
        <v>3.7102350498315555E-2</v>
      </c>
      <c r="DF42" s="168">
        <f t="shared" si="193"/>
        <v>3.6425066859033892E-2</v>
      </c>
      <c r="DG42" s="168">
        <f t="shared" si="193"/>
        <v>3.5586545709162108E-2</v>
      </c>
      <c r="DH42" s="168">
        <f t="shared" si="193"/>
        <v>3.4754878899825148E-2</v>
      </c>
      <c r="DI42" s="168">
        <f t="shared" si="193"/>
        <v>3.3983208740829052E-2</v>
      </c>
      <c r="DJ42" s="168">
        <f t="shared" si="193"/>
        <v>3.3243194346974238E-2</v>
      </c>
      <c r="DK42" s="168">
        <f t="shared" si="193"/>
        <v>3.2534049546726077E-2</v>
      </c>
      <c r="DL42" s="168">
        <f t="shared" si="193"/>
        <v>3.1851652608559447E-2</v>
      </c>
      <c r="DM42" s="168">
        <f t="shared" si="193"/>
        <v>3.1197423128059915E-2</v>
      </c>
      <c r="DN42" s="168">
        <f t="shared" si="193"/>
        <v>3.0569635298368397E-2</v>
      </c>
      <c r="DO42" s="168">
        <f t="shared" si="193"/>
        <v>2.9966452973755605E-2</v>
      </c>
      <c r="DP42" s="168">
        <f t="shared" si="193"/>
        <v>2.9386138257066586E-2</v>
      </c>
      <c r="DQ42" s="168">
        <f t="shared" si="193"/>
        <v>2.8743069026467033E-2</v>
      </c>
      <c r="DR42" s="168">
        <f t="shared" si="193"/>
        <v>2.8032437215573875E-2</v>
      </c>
      <c r="DS42" s="168">
        <f t="shared" si="193"/>
        <v>2.736424998082776E-2</v>
      </c>
      <c r="DT42" s="168">
        <f t="shared" si="193"/>
        <v>2.6736441151668101E-2</v>
      </c>
      <c r="DU42" s="168">
        <f t="shared" si="193"/>
        <v>2.6143475261850273E-2</v>
      </c>
      <c r="DV42" s="168">
        <f t="shared" si="193"/>
        <v>2.5586412413309691E-2</v>
      </c>
      <c r="DW42" s="168">
        <f t="shared" si="193"/>
        <v>2.5062218597216693E-2</v>
      </c>
      <c r="DX42" s="168">
        <f t="shared" si="193"/>
        <v>2.4570042251845413E-2</v>
      </c>
      <c r="DY42" s="168">
        <f t="shared" si="193"/>
        <v>2.4108605959364867E-2</v>
      </c>
      <c r="DZ42" s="168">
        <f t="shared" si="193"/>
        <v>2.3675623086230366E-2</v>
      </c>
    </row>
    <row r="43" spans="1:165" s="624" customFormat="1" ht="16" thickBot="1" x14ac:dyDescent="0.25">
      <c r="A43" s="623" t="s">
        <v>463</v>
      </c>
      <c r="C43" s="625" t="s">
        <v>413</v>
      </c>
      <c r="D43" s="627">
        <f>SUMPRODUCT(D24:D32,D34:D42)</f>
        <v>0.93492203464847856</v>
      </c>
      <c r="E43" s="627">
        <f t="shared" ref="E43:AH43" si="195">SUMPRODUCT(E24:E32,E34:E42)</f>
        <v>0.93388822765560087</v>
      </c>
      <c r="F43" s="627">
        <f t="shared" si="195"/>
        <v>0.93308885124293905</v>
      </c>
      <c r="G43" s="627">
        <f t="shared" si="195"/>
        <v>0.93251008303235106</v>
      </c>
      <c r="H43" s="627">
        <f t="shared" si="195"/>
        <v>0.93212967631303179</v>
      </c>
      <c r="I43" s="627">
        <f t="shared" si="195"/>
        <v>0.93190864636896453</v>
      </c>
      <c r="J43" s="627">
        <f t="shared" si="195"/>
        <v>0.93169669382856379</v>
      </c>
      <c r="K43" s="627">
        <f t="shared" si="195"/>
        <v>0.93142773598639106</v>
      </c>
      <c r="L43" s="627">
        <f t="shared" si="195"/>
        <v>0.93085979203572244</v>
      </c>
      <c r="M43" s="627">
        <f t="shared" si="195"/>
        <v>0.92956653356527275</v>
      </c>
      <c r="N43" s="627">
        <f t="shared" si="195"/>
        <v>0.92683830757155949</v>
      </c>
      <c r="O43" s="627">
        <f t="shared" si="195"/>
        <v>0.91685367542952489</v>
      </c>
      <c r="P43" s="627">
        <f t="shared" si="195"/>
        <v>0.90257395805081653</v>
      </c>
      <c r="Q43" s="627">
        <f t="shared" si="195"/>
        <v>0.88251816010152373</v>
      </c>
      <c r="R43" s="627">
        <f t="shared" si="195"/>
        <v>0.85513789011588626</v>
      </c>
      <c r="S43" s="627">
        <f t="shared" si="195"/>
        <v>0.81983958123870848</v>
      </c>
      <c r="T43" s="627">
        <f t="shared" si="195"/>
        <v>0.77743489349542327</v>
      </c>
      <c r="U43" s="627">
        <f t="shared" si="195"/>
        <v>0.73034101348173386</v>
      </c>
      <c r="V43" s="627">
        <f t="shared" si="195"/>
        <v>0.68127719204728432</v>
      </c>
      <c r="W43" s="627">
        <f t="shared" si="195"/>
        <v>0.63305093604769314</v>
      </c>
      <c r="X43" s="627">
        <f t="shared" si="195"/>
        <v>0.58771782885861934</v>
      </c>
      <c r="Y43" s="627">
        <f t="shared" si="195"/>
        <v>0.54270699273675027</v>
      </c>
      <c r="Z43" s="627">
        <f t="shared" si="195"/>
        <v>0.50192513265896976</v>
      </c>
      <c r="AA43" s="627">
        <f t="shared" si="195"/>
        <v>0.46534286343108033</v>
      </c>
      <c r="AB43" s="627">
        <f t="shared" si="195"/>
        <v>0.43228621659114919</v>
      </c>
      <c r="AC43" s="627">
        <f t="shared" si="195"/>
        <v>0.40203971467182159</v>
      </c>
      <c r="AD43" s="627">
        <f t="shared" si="195"/>
        <v>0.37394206373675776</v>
      </c>
      <c r="AE43" s="627">
        <f t="shared" si="195"/>
        <v>0.34741953816676174</v>
      </c>
      <c r="AF43" s="627">
        <f t="shared" si="195"/>
        <v>0.32196527489606297</v>
      </c>
      <c r="AG43" s="627">
        <f t="shared" si="195"/>
        <v>0.29712726219366653</v>
      </c>
      <c r="AH43" s="627">
        <f t="shared" si="195"/>
        <v>0.27251830225283014</v>
      </c>
      <c r="AI43" s="626"/>
      <c r="AJ43" s="627">
        <f>SUMPRODUCT(AJ24:AJ32,AJ34:AJ42)</f>
        <v>0.93492146414365851</v>
      </c>
      <c r="AK43" s="627">
        <f t="shared" ref="AK43" si="196">SUMPRODUCT(AK24:AK32,AK34:AK42)</f>
        <v>0.93401983126599752</v>
      </c>
      <c r="AL43" s="627">
        <f t="shared" ref="AL43" si="197">SUMPRODUCT(AL24:AL32,AL34:AL42)</f>
        <v>0.93337640132573418</v>
      </c>
      <c r="AM43" s="627">
        <f t="shared" ref="AM43" si="198">SUMPRODUCT(AM24:AM32,AM34:AM42)</f>
        <v>0.93297908924382422</v>
      </c>
      <c r="AN43" s="627">
        <f t="shared" ref="AN43" si="199">SUMPRODUCT(AN24:AN32,AN34:AN42)</f>
        <v>0.93280712644741204</v>
      </c>
      <c r="AO43" s="627">
        <f t="shared" ref="AO43" si="200">SUMPRODUCT(AO24:AO32,AO34:AO42)</f>
        <v>0.93282245467223279</v>
      </c>
      <c r="AP43" s="627">
        <f t="shared" ref="AP43" si="201">SUMPRODUCT(AP24:AP32,AP34:AP42)</f>
        <v>0.93300053551196716</v>
      </c>
      <c r="AQ43" s="627">
        <f t="shared" ref="AQ43" si="202">SUMPRODUCT(AQ24:AQ32,AQ34:AQ42)</f>
        <v>0.93316880537693014</v>
      </c>
      <c r="AR43" s="627">
        <f t="shared" ref="AR43" si="203">SUMPRODUCT(AR24:AR32,AR34:AR42)</f>
        <v>0.93308193199169631</v>
      </c>
      <c r="AS43" s="627">
        <f t="shared" ref="AS43" si="204">SUMPRODUCT(AS24:AS32,AS34:AS42)</f>
        <v>0.93230519214290175</v>
      </c>
      <c r="AT43" s="627">
        <f t="shared" ref="AT43" si="205">SUMPRODUCT(AT24:AT32,AT34:AT42)</f>
        <v>0.93011208620527674</v>
      </c>
      <c r="AU43" s="627">
        <f t="shared" ref="AU43" si="206">SUMPRODUCT(AU24:AU32,AU34:AU42)</f>
        <v>0.92115595067469225</v>
      </c>
      <c r="AV43" s="627">
        <f t="shared" ref="AV43" si="207">SUMPRODUCT(AV24:AV32,AV34:AV42)</f>
        <v>0.90792769518840677</v>
      </c>
      <c r="AW43" s="627">
        <f t="shared" ref="AW43" si="208">SUMPRODUCT(AW24:AW32,AW34:AW42)</f>
        <v>0.8890504075047414</v>
      </c>
      <c r="AX43" s="627">
        <f t="shared" ref="AX43" si="209">SUMPRODUCT(AX24:AX32,AX34:AX42)</f>
        <v>0.86285470345199289</v>
      </c>
      <c r="AY43" s="627">
        <f t="shared" ref="AY43" si="210">SUMPRODUCT(AY24:AY32,AY34:AY42)</f>
        <v>0.82869403345271553</v>
      </c>
      <c r="AZ43" s="627">
        <f t="shared" ref="AZ43" si="211">SUMPRODUCT(AZ24:AZ32,AZ34:AZ42)</f>
        <v>0.78726883826817673</v>
      </c>
      <c r="BA43" s="627">
        <f t="shared" ref="BA43" si="212">SUMPRODUCT(BA24:BA32,BA34:BA42)</f>
        <v>0.74076783186769435</v>
      </c>
      <c r="BB43" s="627">
        <f t="shared" ref="BB43" si="213">SUMPRODUCT(BB24:BB32,BB34:BB42)</f>
        <v>0.69217055618099399</v>
      </c>
      <c r="BC43" s="627">
        <f t="shared" ref="BC43" si="214">SUMPRODUCT(BC24:BC32,BC34:BC42)</f>
        <v>0.64440860839556935</v>
      </c>
      <c r="BD43" s="627">
        <f t="shared" ref="BD43" si="215">SUMPRODUCT(BD24:BD32,BD34:BD42)</f>
        <v>0.59967988225733859</v>
      </c>
      <c r="BE43" s="627">
        <f t="shared" ref="BE43" si="216">SUMPRODUCT(BE24:BE32,BE34:BE42)</f>
        <v>0.5557866405285885</v>
      </c>
      <c r="BF43" s="627">
        <f t="shared" ref="BF43" si="217">SUMPRODUCT(BF24:BF32,BF34:BF42)</f>
        <v>0.51610956652656592</v>
      </c>
      <c r="BG43" s="627">
        <f t="shared" ref="BG43" si="218">SUMPRODUCT(BG24:BG32,BG34:BG42)</f>
        <v>0.48132910930533745</v>
      </c>
      <c r="BH43" s="627">
        <f t="shared" ref="BH43" si="219">SUMPRODUCT(BH24:BH32,BH34:BH42)</f>
        <v>0.45075501027150261</v>
      </c>
      <c r="BI43" s="627">
        <f t="shared" ref="BI43" si="220">SUMPRODUCT(BI24:BI32,BI34:BI42)</f>
        <v>0.42349383467633883</v>
      </c>
      <c r="BJ43" s="627">
        <f t="shared" ref="BJ43" si="221">SUMPRODUCT(BJ24:BJ32,BJ34:BJ42)</f>
        <v>0.39892135855563171</v>
      </c>
      <c r="BK43" s="627">
        <f t="shared" ref="BK43" si="222">SUMPRODUCT(BK24:BK32,BK34:BK42)</f>
        <v>0.37645709977873809</v>
      </c>
      <c r="BL43" s="627">
        <f t="shared" ref="BL43" si="223">SUMPRODUCT(BL24:BL32,BL34:BL42)</f>
        <v>0.35563917469943518</v>
      </c>
      <c r="BM43" s="627">
        <f t="shared" ref="BM43" si="224">SUMPRODUCT(BM24:BM32,BM34:BM42)</f>
        <v>0.33609204408477006</v>
      </c>
      <c r="BN43" s="627">
        <f t="shared" ref="BN43" si="225">SUMPRODUCT(BN24:BN32,BN34:BN42)</f>
        <v>0.31752435537616269</v>
      </c>
      <c r="BP43" s="627">
        <f>SUMPRODUCT(BP24:BP32,BP34:BP42)</f>
        <v>0.93492899236244886</v>
      </c>
      <c r="BQ43" s="627">
        <f t="shared" ref="BQ43" si="226">SUMPRODUCT(BQ24:BQ32,BQ34:BQ42)</f>
        <v>0.9463595019173191</v>
      </c>
      <c r="BR43" s="627">
        <f t="shared" ref="BR43" si="227">SUMPRODUCT(BR24:BR32,BR34:BR42)</f>
        <v>0.9576485925190914</v>
      </c>
      <c r="BS43" s="627">
        <f t="shared" ref="BS43" si="228">SUMPRODUCT(BS24:BS32,BS34:BS42)</f>
        <v>0.96879150867990382</v>
      </c>
      <c r="BT43" s="627">
        <f t="shared" ref="BT43" si="229">SUMPRODUCT(BT24:BT32,BT34:BT42)</f>
        <v>0.97978256146405163</v>
      </c>
      <c r="BU43" s="627">
        <f t="shared" ref="BU43" si="230">SUMPRODUCT(BU24:BU32,BU34:BU42)</f>
        <v>0.99061504922470001</v>
      </c>
      <c r="BV43" s="627">
        <f t="shared" ref="BV43" si="231">SUMPRODUCT(BV24:BV32,BV34:BV42)</f>
        <v>1.0014302314659815</v>
      </c>
      <c r="BW43" s="627">
        <f t="shared" ref="BW43" si="232">SUMPRODUCT(BW24:BW32,BW34:BW42)</f>
        <v>1.0122265741123453</v>
      </c>
      <c r="BX43" s="627">
        <f t="shared" ref="BX43" si="233">SUMPRODUCT(BX24:BX32,BX34:BX42)</f>
        <v>1.0230025331020887</v>
      </c>
      <c r="BY43" s="627">
        <f t="shared" ref="BY43" si="234">SUMPRODUCT(BY24:BY32,BY34:BY42)</f>
        <v>1.0337565506184438</v>
      </c>
      <c r="BZ43" s="627">
        <f t="shared" ref="BZ43" si="235">SUMPRODUCT(BZ24:BZ32,BZ34:BZ42)</f>
        <v>1.0444870513164777</v>
      </c>
      <c r="CA43" s="627">
        <f t="shared" ref="CA43" si="236">SUMPRODUCT(CA24:CA32,CA34:CA42)</f>
        <v>1.0550857507401368</v>
      </c>
      <c r="CB43" s="627">
        <f t="shared" ref="CB43" si="237">SUMPRODUCT(CB24:CB32,CB34:CB42)</f>
        <v>1.0655453775565595</v>
      </c>
      <c r="CC43" s="627">
        <f t="shared" ref="CC43" si="238">SUMPRODUCT(CC24:CC32,CC34:CC42)</f>
        <v>1.0758578606009033</v>
      </c>
      <c r="CD43" s="627">
        <f t="shared" ref="CD43" si="239">SUMPRODUCT(CD24:CD32,CD34:CD42)</f>
        <v>1.0860142493309548</v>
      </c>
      <c r="CE43" s="627">
        <f t="shared" ref="CE43" si="240">SUMPRODUCT(CE24:CE32,CE34:CE42)</f>
        <v>1.0960046252960649</v>
      </c>
      <c r="CF43" s="627">
        <f t="shared" ref="CF43" si="241">SUMPRODUCT(CF24:CF32,CF34:CF42)</f>
        <v>1.1059672047980778</v>
      </c>
      <c r="CG43" s="627">
        <f t="shared" ref="CG43" si="242">SUMPRODUCT(CG24:CG32,CG34:CG42)</f>
        <v>1.1159012069240144</v>
      </c>
      <c r="CH43" s="627">
        <f t="shared" ref="CH43" si="243">SUMPRODUCT(CH24:CH32,CH34:CH42)</f>
        <v>1.12580583308339</v>
      </c>
      <c r="CI43" s="627">
        <f t="shared" ref="CI43" si="244">SUMPRODUCT(CI24:CI32,CI34:CI42)</f>
        <v>1.135680266448742</v>
      </c>
      <c r="CJ43" s="627">
        <f t="shared" ref="CJ43" si="245">SUMPRODUCT(CJ24:CJ32,CJ34:CJ42)</f>
        <v>1.1455236713800416</v>
      </c>
      <c r="CK43" s="627">
        <f t="shared" ref="CK43" si="246">SUMPRODUCT(CK24:CK32,CK34:CK42)</f>
        <v>1.1553362124642714</v>
      </c>
      <c r="CL43" s="627">
        <f t="shared" ref="CL43" si="247">SUMPRODUCT(CL24:CL32,CL34:CL42)</f>
        <v>1.1651170838233047</v>
      </c>
      <c r="CM43" s="627">
        <f t="shared" ref="CM43" si="248">SUMPRODUCT(CM24:CM32,CM34:CM42)</f>
        <v>1.1748654612608997</v>
      </c>
      <c r="CN43" s="627">
        <f t="shared" ref="CN43" si="249">SUMPRODUCT(CN24:CN32,CN34:CN42)</f>
        <v>1.1845805017192972</v>
      </c>
      <c r="CO43" s="627">
        <f t="shared" ref="CO43" si="250">SUMPRODUCT(CO24:CO32,CO34:CO42)</f>
        <v>1.1942613427203839</v>
      </c>
      <c r="CP43" s="627">
        <f t="shared" ref="CP43" si="251">SUMPRODUCT(CP24:CP32,CP34:CP42)</f>
        <v>1.2039080768000934</v>
      </c>
      <c r="CQ43" s="627">
        <f t="shared" ref="CQ43" si="252">SUMPRODUCT(CQ24:CQ32,CQ34:CQ42)</f>
        <v>1.2135198650383663</v>
      </c>
      <c r="CR43" s="627">
        <f t="shared" ref="CR43" si="253">SUMPRODUCT(CR24:CR32,CR34:CR42)</f>
        <v>1.2230958494948914</v>
      </c>
      <c r="CS43" s="627">
        <f t="shared" ref="CS43" si="254">SUMPRODUCT(CS24:CS32,CS34:CS42)</f>
        <v>1.2326351526740549</v>
      </c>
      <c r="CT43" s="627">
        <f t="shared" ref="CT43" si="255">SUMPRODUCT(CT24:CT32,CT34:CT42)</f>
        <v>1.2421368769749814</v>
      </c>
      <c r="CV43" s="627">
        <f>SUMPRODUCT(CV24:CV32,CV34:CV42)</f>
        <v>0.93492146414365851</v>
      </c>
      <c r="CW43" s="627">
        <f t="shared" ref="CW43:DZ43" si="256">SUMPRODUCT(CW24:CW32,CW34:CW42)</f>
        <v>0.93455578262696926</v>
      </c>
      <c r="CX43" s="627">
        <f t="shared" si="256"/>
        <v>0.93453495065530912</v>
      </c>
      <c r="CY43" s="627">
        <f t="shared" si="256"/>
        <v>0.93485253975255989</v>
      </c>
      <c r="CZ43" s="627">
        <f t="shared" si="256"/>
        <v>0.93549339347590943</v>
      </c>
      <c r="DA43" s="627">
        <f t="shared" si="256"/>
        <v>0.93642484380361779</v>
      </c>
      <c r="DB43" s="627">
        <f t="shared" si="256"/>
        <v>0.93774104828594296</v>
      </c>
      <c r="DC43" s="627">
        <f t="shared" si="256"/>
        <v>0.93917342655312663</v>
      </c>
      <c r="DD43" s="627">
        <f t="shared" si="256"/>
        <v>0.94047758609557142</v>
      </c>
      <c r="DE43" s="627">
        <f t="shared" si="256"/>
        <v>0.94121396931987489</v>
      </c>
      <c r="DF43" s="627">
        <f t="shared" si="256"/>
        <v>0.94064088499943455</v>
      </c>
      <c r="DG43" s="627">
        <f t="shared" si="256"/>
        <v>0.93452192593649142</v>
      </c>
      <c r="DH43" s="627">
        <f t="shared" si="256"/>
        <v>0.92402427161901035</v>
      </c>
      <c r="DI43" s="627">
        <f t="shared" si="256"/>
        <v>0.90828693879191136</v>
      </c>
      <c r="DJ43" s="627">
        <f t="shared" si="256"/>
        <v>0.88515843172782049</v>
      </c>
      <c r="DK43" s="627">
        <f t="shared" si="256"/>
        <v>0.85381955067956228</v>
      </c>
      <c r="DL43" s="627">
        <f t="shared" si="256"/>
        <v>0.81481726169836144</v>
      </c>
      <c r="DM43" s="627">
        <f t="shared" si="256"/>
        <v>0.77031134718643479</v>
      </c>
      <c r="DN43" s="627">
        <f t="shared" si="256"/>
        <v>0.72333608998922472</v>
      </c>
      <c r="DO43" s="627">
        <f t="shared" si="256"/>
        <v>0.67695740074444188</v>
      </c>
      <c r="DP43" s="627">
        <f t="shared" si="256"/>
        <v>0.63353917879002664</v>
      </c>
      <c r="DQ43" s="627">
        <f t="shared" si="256"/>
        <v>0.59287507283026941</v>
      </c>
      <c r="DR43" s="627">
        <f t="shared" si="256"/>
        <v>0.55574148074069285</v>
      </c>
      <c r="DS43" s="627">
        <f t="shared" si="256"/>
        <v>0.52377075954158681</v>
      </c>
      <c r="DT43" s="627">
        <f t="shared" si="256"/>
        <v>0.49633058641620609</v>
      </c>
      <c r="DU43" s="627">
        <f t="shared" si="256"/>
        <v>0.47253329939209338</v>
      </c>
      <c r="DV43" s="627">
        <f t="shared" si="256"/>
        <v>0.45175551785558615</v>
      </c>
      <c r="DW43" s="627">
        <f t="shared" si="256"/>
        <v>0.43339740595382559</v>
      </c>
      <c r="DX43" s="627">
        <f t="shared" si="256"/>
        <v>0.41698475205525648</v>
      </c>
      <c r="DY43" s="627">
        <f t="shared" si="256"/>
        <v>0.40212724785506432</v>
      </c>
      <c r="DZ43" s="627">
        <f t="shared" si="256"/>
        <v>0.3885055629311619</v>
      </c>
      <c r="EK43" s="627"/>
      <c r="EL43" s="627"/>
      <c r="EM43" s="627"/>
      <c r="EN43" s="627"/>
      <c r="EO43" s="627"/>
      <c r="EP43" s="627"/>
      <c r="EQ43" s="627"/>
      <c r="ER43" s="627"/>
      <c r="ES43" s="627"/>
      <c r="ET43" s="627"/>
      <c r="EU43" s="627"/>
      <c r="EV43" s="627"/>
      <c r="EW43" s="627"/>
      <c r="EX43" s="627"/>
      <c r="EY43" s="627"/>
      <c r="EZ43" s="627"/>
      <c r="FA43" s="627"/>
      <c r="FB43" s="627"/>
      <c r="FC43" s="627"/>
      <c r="FD43" s="627"/>
      <c r="FE43" s="627"/>
      <c r="FF43" s="627"/>
      <c r="FG43" s="627"/>
      <c r="FH43" s="627"/>
      <c r="FI43" s="627"/>
    </row>
    <row r="44" spans="1:165" x14ac:dyDescent="0.2">
      <c r="A44" s="112"/>
      <c r="C44" s="54"/>
      <c r="D44" s="44"/>
      <c r="E44" s="44"/>
      <c r="F44" s="44"/>
      <c r="G44" s="44"/>
      <c r="H44" s="44"/>
      <c r="I44" s="44"/>
      <c r="J44" s="44"/>
      <c r="K44" s="44"/>
      <c r="L44" s="44"/>
      <c r="M44" s="44"/>
      <c r="N44" s="44"/>
      <c r="O44" s="44"/>
      <c r="P44" s="44"/>
      <c r="Q44" s="44"/>
      <c r="R44" s="44"/>
      <c r="S44" s="44"/>
      <c r="T44" s="44"/>
      <c r="U44" s="44"/>
      <c r="V44" s="44"/>
      <c r="W44" s="44"/>
      <c r="X44" s="44"/>
      <c r="Y44" s="44"/>
      <c r="Z44" s="44"/>
      <c r="AA44" s="44"/>
      <c r="AB44" s="44"/>
      <c r="AC44" s="44"/>
      <c r="AD44" s="44"/>
      <c r="AE44" s="44"/>
      <c r="AF44" s="44"/>
      <c r="AG44" s="44"/>
      <c r="AH44" s="44"/>
      <c r="AI44" s="44"/>
      <c r="AJ44" s="44"/>
      <c r="AK44" s="44"/>
      <c r="AL44" s="44"/>
      <c r="AM44" s="44"/>
      <c r="AN44" s="44"/>
      <c r="AO44" s="44"/>
      <c r="AP44" s="44"/>
      <c r="AQ44" s="44"/>
      <c r="AR44" s="44"/>
      <c r="AS44" s="44"/>
      <c r="AT44" s="44"/>
      <c r="AU44" s="44"/>
      <c r="AV44" s="44"/>
      <c r="AW44" s="44"/>
      <c r="AX44" s="44"/>
      <c r="AY44" s="44"/>
      <c r="AZ44" s="44"/>
      <c r="BA44" s="44"/>
      <c r="BB44" s="44"/>
      <c r="BC44" s="44"/>
      <c r="BD44" s="44"/>
      <c r="BE44" s="44"/>
      <c r="BF44" s="44"/>
      <c r="BG44" s="44"/>
      <c r="BH44" s="44"/>
      <c r="BI44" s="44"/>
      <c r="BJ44" s="44"/>
      <c r="BK44" s="44"/>
      <c r="BL44" s="44"/>
      <c r="BM44" s="44"/>
      <c r="BN44" s="44"/>
    </row>
    <row r="45" spans="1:165" s="69" customFormat="1" ht="16" thickBot="1" x14ac:dyDescent="0.25">
      <c r="A45" s="621" t="s">
        <v>5</v>
      </c>
      <c r="C45" s="70"/>
      <c r="D45" s="71"/>
      <c r="E45" s="71"/>
      <c r="F45" s="71"/>
      <c r="G45" s="71"/>
      <c r="H45" s="71"/>
      <c r="I45" s="71"/>
      <c r="J45" s="71"/>
      <c r="K45" s="71"/>
      <c r="L45" s="71"/>
      <c r="M45" s="71"/>
      <c r="N45" s="71"/>
      <c r="O45" s="71"/>
      <c r="P45" s="71"/>
      <c r="Q45" s="71"/>
      <c r="R45" s="71"/>
      <c r="S45" s="71"/>
      <c r="T45" s="71"/>
      <c r="U45" s="71"/>
      <c r="V45" s="71"/>
      <c r="W45" s="71"/>
      <c r="X45" s="71"/>
      <c r="Y45" s="71"/>
      <c r="Z45" s="71"/>
      <c r="AA45" s="71"/>
      <c r="AB45" s="71"/>
      <c r="AC45" s="71"/>
      <c r="AD45" s="71"/>
      <c r="AE45" s="71"/>
      <c r="AF45" s="71"/>
      <c r="AG45" s="71"/>
      <c r="AH45" s="71"/>
      <c r="AI45" s="71"/>
      <c r="AJ45" s="71"/>
      <c r="AK45" s="71"/>
      <c r="AL45" s="71"/>
      <c r="AM45" s="71"/>
      <c r="AN45" s="71"/>
      <c r="AO45" s="71"/>
      <c r="AP45" s="71"/>
      <c r="AQ45" s="71"/>
      <c r="AR45" s="71"/>
      <c r="AS45" s="71"/>
      <c r="AT45" s="71"/>
      <c r="AU45" s="71"/>
      <c r="AV45" s="71"/>
      <c r="AW45" s="71"/>
      <c r="AX45" s="71"/>
      <c r="AY45" s="71"/>
      <c r="AZ45" s="71"/>
      <c r="BA45" s="71"/>
      <c r="BB45" s="71"/>
      <c r="BC45" s="71"/>
      <c r="BD45" s="71"/>
      <c r="BE45" s="71"/>
      <c r="BF45" s="71"/>
      <c r="BG45" s="71"/>
      <c r="BH45" s="71"/>
      <c r="BI45" s="71"/>
      <c r="BJ45" s="71"/>
      <c r="BK45" s="71"/>
      <c r="BL45" s="71"/>
      <c r="BM45" s="71"/>
      <c r="BN45" s="71"/>
      <c r="BP45" s="71"/>
      <c r="BQ45" s="71"/>
      <c r="BR45" s="71"/>
      <c r="BS45" s="71"/>
      <c r="BT45" s="71"/>
      <c r="BU45" s="71"/>
      <c r="BV45" s="71"/>
      <c r="BW45" s="71"/>
      <c r="BX45" s="71"/>
      <c r="BY45" s="71"/>
      <c r="BZ45" s="71"/>
      <c r="CA45" s="71"/>
      <c r="CB45" s="71"/>
      <c r="CC45" s="71"/>
      <c r="CD45" s="71"/>
      <c r="CE45" s="71"/>
      <c r="CF45" s="71"/>
      <c r="CG45" s="71"/>
      <c r="CH45" s="71"/>
      <c r="CI45" s="71"/>
      <c r="CJ45" s="71"/>
      <c r="CK45" s="71"/>
      <c r="CL45" s="71"/>
      <c r="CM45" s="71"/>
      <c r="CN45" s="71"/>
      <c r="CO45" s="71"/>
      <c r="CP45" s="71"/>
      <c r="CQ45" s="71"/>
      <c r="CR45" s="71"/>
      <c r="CS45" s="71"/>
      <c r="CT45" s="71"/>
      <c r="CV45" s="71"/>
      <c r="CW45" s="71"/>
      <c r="CX45" s="71"/>
      <c r="CY45" s="71"/>
      <c r="CZ45" s="71"/>
      <c r="DA45" s="71"/>
      <c r="DB45" s="71"/>
      <c r="DC45" s="71"/>
      <c r="DD45" s="71"/>
      <c r="DE45" s="71"/>
      <c r="DF45" s="71"/>
      <c r="DG45" s="71"/>
      <c r="DH45" s="71"/>
      <c r="DI45" s="71"/>
      <c r="DJ45" s="71"/>
      <c r="DK45" s="71"/>
      <c r="DL45" s="71"/>
      <c r="DM45" s="71"/>
      <c r="DN45" s="71"/>
      <c r="DO45" s="71"/>
      <c r="DP45" s="71"/>
      <c r="DQ45" s="71"/>
      <c r="DR45" s="71"/>
      <c r="DS45" s="71"/>
      <c r="DT45" s="71"/>
      <c r="DU45" s="71"/>
      <c r="DV45" s="71"/>
      <c r="DW45" s="71"/>
      <c r="DX45" s="71"/>
      <c r="DY45" s="71"/>
      <c r="DZ45" s="71"/>
      <c r="EK45" s="622"/>
      <c r="EL45" s="622"/>
      <c r="EM45" s="622"/>
      <c r="EN45" s="622"/>
      <c r="EO45" s="622"/>
      <c r="EP45" s="622"/>
      <c r="EQ45" s="622"/>
      <c r="ER45" s="622"/>
      <c r="ES45" s="622"/>
      <c r="ET45" s="622"/>
      <c r="EU45" s="622"/>
      <c r="EV45" s="622"/>
      <c r="EW45" s="622"/>
      <c r="EX45" s="622"/>
      <c r="EY45" s="622"/>
      <c r="EZ45" s="622"/>
      <c r="FA45" s="622"/>
      <c r="FB45" s="622"/>
      <c r="FC45" s="622"/>
      <c r="FD45" s="622"/>
      <c r="FE45" s="622"/>
      <c r="FF45" s="622"/>
      <c r="FG45" s="622"/>
      <c r="FH45" s="622"/>
      <c r="FI45" s="622"/>
    </row>
    <row r="46" spans="1:165" s="624" customFormat="1" ht="16" thickBot="1" x14ac:dyDescent="0.25">
      <c r="A46" s="623" t="s">
        <v>108</v>
      </c>
      <c r="C46" s="625"/>
      <c r="D46" s="628">
        <v>2020</v>
      </c>
      <c r="E46" s="628">
        <v>2021</v>
      </c>
      <c r="F46" s="628">
        <v>2022</v>
      </c>
      <c r="G46" s="628">
        <v>2023</v>
      </c>
      <c r="H46" s="628">
        <v>2024</v>
      </c>
      <c r="I46" s="628">
        <v>2025</v>
      </c>
      <c r="J46" s="628">
        <v>2026</v>
      </c>
      <c r="K46" s="628">
        <v>2027</v>
      </c>
      <c r="L46" s="628">
        <v>2028</v>
      </c>
      <c r="M46" s="628">
        <v>2029</v>
      </c>
      <c r="N46" s="628">
        <v>2030</v>
      </c>
      <c r="O46" s="628">
        <v>2031</v>
      </c>
      <c r="P46" s="628">
        <v>2032</v>
      </c>
      <c r="Q46" s="628">
        <v>2033</v>
      </c>
      <c r="R46" s="628">
        <v>2034</v>
      </c>
      <c r="S46" s="628">
        <v>2035</v>
      </c>
      <c r="T46" s="628">
        <v>2036</v>
      </c>
      <c r="U46" s="628">
        <v>2037</v>
      </c>
      <c r="V46" s="628">
        <v>2038</v>
      </c>
      <c r="W46" s="628">
        <v>2039</v>
      </c>
      <c r="X46" s="628">
        <v>2040</v>
      </c>
      <c r="Y46" s="628">
        <v>2041</v>
      </c>
      <c r="Z46" s="628">
        <v>2042</v>
      </c>
      <c r="AA46" s="628">
        <v>2043</v>
      </c>
      <c r="AB46" s="628">
        <v>2044</v>
      </c>
      <c r="AC46" s="628">
        <v>2045</v>
      </c>
      <c r="AD46" s="628">
        <v>2046</v>
      </c>
      <c r="AE46" s="628">
        <v>2047</v>
      </c>
      <c r="AF46" s="628">
        <v>2048</v>
      </c>
      <c r="AG46" s="628">
        <v>2049</v>
      </c>
      <c r="AH46" s="628">
        <v>2050</v>
      </c>
      <c r="AI46" s="626"/>
      <c r="AJ46" s="628">
        <v>2020</v>
      </c>
      <c r="AK46" s="628">
        <v>2021</v>
      </c>
      <c r="AL46" s="628">
        <v>2022</v>
      </c>
      <c r="AM46" s="628">
        <v>2023</v>
      </c>
      <c r="AN46" s="628">
        <v>2024</v>
      </c>
      <c r="AO46" s="628">
        <v>2025</v>
      </c>
      <c r="AP46" s="628">
        <v>2026</v>
      </c>
      <c r="AQ46" s="628">
        <v>2027</v>
      </c>
      <c r="AR46" s="628">
        <v>2028</v>
      </c>
      <c r="AS46" s="628">
        <v>2029</v>
      </c>
      <c r="AT46" s="628">
        <v>2030</v>
      </c>
      <c r="AU46" s="628">
        <v>2031</v>
      </c>
      <c r="AV46" s="628">
        <v>2032</v>
      </c>
      <c r="AW46" s="628">
        <v>2033</v>
      </c>
      <c r="AX46" s="628">
        <v>2034</v>
      </c>
      <c r="AY46" s="628">
        <v>2035</v>
      </c>
      <c r="AZ46" s="628">
        <v>2036</v>
      </c>
      <c r="BA46" s="628">
        <v>2037</v>
      </c>
      <c r="BB46" s="628">
        <v>2038</v>
      </c>
      <c r="BC46" s="628">
        <v>2039</v>
      </c>
      <c r="BD46" s="628">
        <v>2040</v>
      </c>
      <c r="BE46" s="628">
        <v>2041</v>
      </c>
      <c r="BF46" s="628">
        <v>2042</v>
      </c>
      <c r="BG46" s="628">
        <v>2043</v>
      </c>
      <c r="BH46" s="628">
        <v>2044</v>
      </c>
      <c r="BI46" s="628">
        <v>2045</v>
      </c>
      <c r="BJ46" s="628">
        <v>2046</v>
      </c>
      <c r="BK46" s="628">
        <v>2047</v>
      </c>
      <c r="BL46" s="628">
        <v>2048</v>
      </c>
      <c r="BM46" s="628">
        <v>2049</v>
      </c>
      <c r="BN46" s="628">
        <v>2050</v>
      </c>
      <c r="BP46" s="628">
        <v>2020</v>
      </c>
      <c r="BQ46" s="628">
        <v>2021</v>
      </c>
      <c r="BR46" s="628">
        <v>2022</v>
      </c>
      <c r="BS46" s="628">
        <v>2023</v>
      </c>
      <c r="BT46" s="628">
        <v>2024</v>
      </c>
      <c r="BU46" s="628">
        <v>2025</v>
      </c>
      <c r="BV46" s="628">
        <v>2026</v>
      </c>
      <c r="BW46" s="628">
        <v>2027</v>
      </c>
      <c r="BX46" s="628">
        <v>2028</v>
      </c>
      <c r="BY46" s="628">
        <v>2029</v>
      </c>
      <c r="BZ46" s="628">
        <v>2030</v>
      </c>
      <c r="CA46" s="628">
        <v>2031</v>
      </c>
      <c r="CB46" s="628">
        <v>2032</v>
      </c>
      <c r="CC46" s="628">
        <v>2033</v>
      </c>
      <c r="CD46" s="628">
        <v>2034</v>
      </c>
      <c r="CE46" s="628">
        <v>2035</v>
      </c>
      <c r="CF46" s="628">
        <v>2036</v>
      </c>
      <c r="CG46" s="628">
        <v>2037</v>
      </c>
      <c r="CH46" s="628">
        <v>2038</v>
      </c>
      <c r="CI46" s="628">
        <v>2039</v>
      </c>
      <c r="CJ46" s="628">
        <v>2040</v>
      </c>
      <c r="CK46" s="628">
        <v>2041</v>
      </c>
      <c r="CL46" s="628">
        <v>2042</v>
      </c>
      <c r="CM46" s="628">
        <v>2043</v>
      </c>
      <c r="CN46" s="628">
        <v>2044</v>
      </c>
      <c r="CO46" s="628">
        <v>2045</v>
      </c>
      <c r="CP46" s="628">
        <v>2046</v>
      </c>
      <c r="CQ46" s="628">
        <v>2047</v>
      </c>
      <c r="CR46" s="628">
        <v>2048</v>
      </c>
      <c r="CS46" s="628">
        <v>2049</v>
      </c>
      <c r="CT46" s="628">
        <v>2050</v>
      </c>
      <c r="CV46" s="628">
        <v>2020</v>
      </c>
      <c r="CW46" s="628">
        <v>2021</v>
      </c>
      <c r="CX46" s="628">
        <v>2022</v>
      </c>
      <c r="CY46" s="628">
        <v>2023</v>
      </c>
      <c r="CZ46" s="628">
        <v>2024</v>
      </c>
      <c r="DA46" s="628">
        <v>2025</v>
      </c>
      <c r="DB46" s="628">
        <v>2026</v>
      </c>
      <c r="DC46" s="628">
        <v>2027</v>
      </c>
      <c r="DD46" s="628">
        <v>2028</v>
      </c>
      <c r="DE46" s="628">
        <v>2029</v>
      </c>
      <c r="DF46" s="628">
        <v>2030</v>
      </c>
      <c r="DG46" s="628">
        <v>2031</v>
      </c>
      <c r="DH46" s="628">
        <v>2032</v>
      </c>
      <c r="DI46" s="628">
        <v>2033</v>
      </c>
      <c r="DJ46" s="628">
        <v>2034</v>
      </c>
      <c r="DK46" s="628">
        <v>2035</v>
      </c>
      <c r="DL46" s="628">
        <v>2036</v>
      </c>
      <c r="DM46" s="628">
        <v>2037</v>
      </c>
      <c r="DN46" s="628">
        <v>2038</v>
      </c>
      <c r="DO46" s="628">
        <v>2039</v>
      </c>
      <c r="DP46" s="628">
        <v>2040</v>
      </c>
      <c r="DQ46" s="628">
        <v>2041</v>
      </c>
      <c r="DR46" s="628">
        <v>2042</v>
      </c>
      <c r="DS46" s="628">
        <v>2043</v>
      </c>
      <c r="DT46" s="628">
        <v>2044</v>
      </c>
      <c r="DU46" s="628">
        <v>2045</v>
      </c>
      <c r="DV46" s="628">
        <v>2046</v>
      </c>
      <c r="DW46" s="628">
        <v>2047</v>
      </c>
      <c r="DX46" s="628">
        <v>2048</v>
      </c>
      <c r="DY46" s="628">
        <v>2049</v>
      </c>
      <c r="DZ46" s="628">
        <v>2050</v>
      </c>
      <c r="EK46" s="627"/>
      <c r="EL46" s="627"/>
      <c r="EM46" s="627"/>
      <c r="EN46" s="627"/>
      <c r="EO46" s="627"/>
      <c r="EP46" s="627"/>
      <c r="EQ46" s="627"/>
      <c r="ER46" s="627"/>
      <c r="ES46" s="627"/>
      <c r="ET46" s="627"/>
      <c r="EU46" s="627"/>
      <c r="EV46" s="627"/>
      <c r="EW46" s="627"/>
      <c r="EX46" s="627"/>
      <c r="EY46" s="627"/>
      <c r="EZ46" s="627"/>
      <c r="FA46" s="627"/>
      <c r="FB46" s="627"/>
      <c r="FC46" s="627"/>
      <c r="FD46" s="627"/>
      <c r="FE46" s="627"/>
      <c r="FF46" s="627"/>
      <c r="FG46" s="627"/>
      <c r="FH46" s="627"/>
      <c r="FI46" s="627"/>
    </row>
    <row r="47" spans="1:165" x14ac:dyDescent="0.2">
      <c r="A47" s="606" t="s">
        <v>193</v>
      </c>
      <c r="C47" s="54" t="s">
        <v>458</v>
      </c>
      <c r="D47" s="43">
        <f>$B$186</f>
        <v>0.48</v>
      </c>
      <c r="E47" s="43">
        <f>D47-($D47-$AH47)/30</f>
        <v>0.46399999999999997</v>
      </c>
      <c r="F47" s="43">
        <f t="shared" ref="F47:AG47" si="257">E47-($D47-$AH47)/30</f>
        <v>0.44799999999999995</v>
      </c>
      <c r="G47" s="43">
        <f t="shared" si="257"/>
        <v>0.43199999999999994</v>
      </c>
      <c r="H47" s="43">
        <f t="shared" si="257"/>
        <v>0.41599999999999993</v>
      </c>
      <c r="I47" s="43">
        <f t="shared" si="257"/>
        <v>0.39999999999999991</v>
      </c>
      <c r="J47" s="43">
        <f t="shared" si="257"/>
        <v>0.3839999999999999</v>
      </c>
      <c r="K47" s="43">
        <f t="shared" si="257"/>
        <v>0.36799999999999988</v>
      </c>
      <c r="L47" s="43">
        <f t="shared" si="257"/>
        <v>0.35199999999999987</v>
      </c>
      <c r="M47" s="43">
        <f t="shared" si="257"/>
        <v>0.33599999999999985</v>
      </c>
      <c r="N47" s="43">
        <f t="shared" si="257"/>
        <v>0.31999999999999984</v>
      </c>
      <c r="O47" s="43">
        <f t="shared" si="257"/>
        <v>0.30399999999999983</v>
      </c>
      <c r="P47" s="43">
        <f t="shared" si="257"/>
        <v>0.28799999999999981</v>
      </c>
      <c r="Q47" s="43">
        <f t="shared" si="257"/>
        <v>0.2719999999999998</v>
      </c>
      <c r="R47" s="43">
        <f t="shared" si="257"/>
        <v>0.25599999999999978</v>
      </c>
      <c r="S47" s="43">
        <f t="shared" si="257"/>
        <v>0.23999999999999977</v>
      </c>
      <c r="T47" s="43">
        <f t="shared" si="257"/>
        <v>0.22399999999999975</v>
      </c>
      <c r="U47" s="43">
        <f t="shared" si="257"/>
        <v>0.20799999999999974</v>
      </c>
      <c r="V47" s="43">
        <f t="shared" si="257"/>
        <v>0.19199999999999973</v>
      </c>
      <c r="W47" s="43">
        <f t="shared" si="257"/>
        <v>0.17599999999999971</v>
      </c>
      <c r="X47" s="43">
        <f t="shared" si="257"/>
        <v>0.1599999999999997</v>
      </c>
      <c r="Y47" s="43">
        <f t="shared" si="257"/>
        <v>0.14399999999999968</v>
      </c>
      <c r="Z47" s="43">
        <f t="shared" si="257"/>
        <v>0.12799999999999967</v>
      </c>
      <c r="AA47" s="43">
        <f t="shared" si="257"/>
        <v>0.11199999999999967</v>
      </c>
      <c r="AB47" s="43">
        <f t="shared" si="257"/>
        <v>9.5999999999999669E-2</v>
      </c>
      <c r="AC47" s="43">
        <f t="shared" si="257"/>
        <v>7.9999999999999669E-2</v>
      </c>
      <c r="AD47" s="43">
        <f t="shared" si="257"/>
        <v>6.3999999999999668E-2</v>
      </c>
      <c r="AE47" s="43">
        <f t="shared" si="257"/>
        <v>4.7999999999999668E-2</v>
      </c>
      <c r="AF47" s="43">
        <f t="shared" si="257"/>
        <v>3.1999999999999668E-2</v>
      </c>
      <c r="AG47" s="43">
        <f t="shared" si="257"/>
        <v>1.5999999999999667E-2</v>
      </c>
      <c r="AH47" s="43">
        <f>$C$186</f>
        <v>0</v>
      </c>
      <c r="AI47" s="44"/>
      <c r="AJ47" s="43">
        <f>D47</f>
        <v>0.48</v>
      </c>
      <c r="AK47" s="43">
        <f t="shared" ref="AK47:AK55" si="258">E47</f>
        <v>0.46399999999999997</v>
      </c>
      <c r="AL47" s="43">
        <f t="shared" ref="AL47:AL55" si="259">F47</f>
        <v>0.44799999999999995</v>
      </c>
      <c r="AM47" s="43">
        <f t="shared" ref="AM47:AM55" si="260">G47</f>
        <v>0.43199999999999994</v>
      </c>
      <c r="AN47" s="43">
        <f t="shared" ref="AN47:AN55" si="261">H47</f>
        <v>0.41599999999999993</v>
      </c>
      <c r="AO47" s="43">
        <f t="shared" ref="AO47:AO55" si="262">I47</f>
        <v>0.39999999999999991</v>
      </c>
      <c r="AP47" s="43">
        <f t="shared" ref="AP47:AP55" si="263">J47</f>
        <v>0.3839999999999999</v>
      </c>
      <c r="AQ47" s="43">
        <f t="shared" ref="AQ47:AQ55" si="264">K47</f>
        <v>0.36799999999999988</v>
      </c>
      <c r="AR47" s="43">
        <f t="shared" ref="AR47:AR55" si="265">L47</f>
        <v>0.35199999999999987</v>
      </c>
      <c r="AS47" s="43">
        <f t="shared" ref="AS47:AS55" si="266">M47</f>
        <v>0.33599999999999985</v>
      </c>
      <c r="AT47" s="43">
        <f t="shared" ref="AT47:AT55" si="267">N47</f>
        <v>0.31999999999999984</v>
      </c>
      <c r="AU47" s="43">
        <f t="shared" ref="AU47:AU55" si="268">O47</f>
        <v>0.30399999999999983</v>
      </c>
      <c r="AV47" s="43">
        <f t="shared" ref="AV47:AV55" si="269">P47</f>
        <v>0.28799999999999981</v>
      </c>
      <c r="AW47" s="43">
        <f t="shared" ref="AW47:AW55" si="270">Q47</f>
        <v>0.2719999999999998</v>
      </c>
      <c r="AX47" s="43">
        <f t="shared" ref="AX47:AX55" si="271">R47</f>
        <v>0.25599999999999978</v>
      </c>
      <c r="AY47" s="43">
        <f t="shared" ref="AY47:AY55" si="272">S47</f>
        <v>0.23999999999999977</v>
      </c>
      <c r="AZ47" s="43">
        <f t="shared" ref="AZ47:AZ55" si="273">T47</f>
        <v>0.22399999999999975</v>
      </c>
      <c r="BA47" s="43">
        <f t="shared" ref="BA47:BA55" si="274">U47</f>
        <v>0.20799999999999974</v>
      </c>
      <c r="BB47" s="43">
        <f t="shared" ref="BB47:BB55" si="275">V47</f>
        <v>0.19199999999999973</v>
      </c>
      <c r="BC47" s="43">
        <f t="shared" ref="BC47:BC55" si="276">W47</f>
        <v>0.17599999999999971</v>
      </c>
      <c r="BD47" s="43">
        <f t="shared" ref="BD47:BD55" si="277">X47</f>
        <v>0.1599999999999997</v>
      </c>
      <c r="BE47" s="43">
        <f t="shared" ref="BE47:BE55" si="278">Y47</f>
        <v>0.14399999999999968</v>
      </c>
      <c r="BF47" s="43">
        <f t="shared" ref="BF47:BF55" si="279">Z47</f>
        <v>0.12799999999999967</v>
      </c>
      <c r="BG47" s="43">
        <f t="shared" ref="BG47:BG55" si="280">AA47</f>
        <v>0.11199999999999967</v>
      </c>
      <c r="BH47" s="43">
        <f t="shared" ref="BH47:BH55" si="281">AB47</f>
        <v>9.5999999999999669E-2</v>
      </c>
      <c r="BI47" s="43">
        <f t="shared" ref="BI47:BI55" si="282">AC47</f>
        <v>7.9999999999999669E-2</v>
      </c>
      <c r="BJ47" s="43">
        <f t="shared" ref="BJ47:BJ55" si="283">AD47</f>
        <v>6.3999999999999668E-2</v>
      </c>
      <c r="BK47" s="43">
        <f t="shared" ref="BK47:BK55" si="284">AE47</f>
        <v>4.7999999999999668E-2</v>
      </c>
      <c r="BL47" s="43">
        <f t="shared" ref="BL47:BL55" si="285">AF47</f>
        <v>3.1999999999999668E-2</v>
      </c>
      <c r="BM47" s="43">
        <f t="shared" ref="BM47:BM55" si="286">AG47</f>
        <v>1.5999999999999667E-2</v>
      </c>
      <c r="BN47" s="43">
        <f t="shared" ref="BN47:BN55" si="287">AH47</f>
        <v>0</v>
      </c>
      <c r="BP47" s="43">
        <f>D47</f>
        <v>0.48</v>
      </c>
      <c r="BQ47" s="43">
        <f>BP47-($BP47-$CT47)/30</f>
        <v>0.48</v>
      </c>
      <c r="BR47" s="43">
        <f t="shared" ref="BR47:CS47" si="288">BQ47-($BP47-$CT47)/30</f>
        <v>0.48</v>
      </c>
      <c r="BS47" s="43">
        <f t="shared" si="288"/>
        <v>0.48</v>
      </c>
      <c r="BT47" s="43">
        <f t="shared" si="288"/>
        <v>0.48</v>
      </c>
      <c r="BU47" s="43">
        <f t="shared" si="288"/>
        <v>0.48</v>
      </c>
      <c r="BV47" s="43">
        <f t="shared" si="288"/>
        <v>0.48</v>
      </c>
      <c r="BW47" s="43">
        <f t="shared" si="288"/>
        <v>0.48</v>
      </c>
      <c r="BX47" s="43">
        <f t="shared" si="288"/>
        <v>0.48</v>
      </c>
      <c r="BY47" s="43">
        <f t="shared" si="288"/>
        <v>0.48</v>
      </c>
      <c r="BZ47" s="43">
        <f t="shared" si="288"/>
        <v>0.48</v>
      </c>
      <c r="CA47" s="43">
        <f t="shared" si="288"/>
        <v>0.48</v>
      </c>
      <c r="CB47" s="43">
        <f t="shared" si="288"/>
        <v>0.48</v>
      </c>
      <c r="CC47" s="43">
        <f t="shared" si="288"/>
        <v>0.48</v>
      </c>
      <c r="CD47" s="43">
        <f t="shared" si="288"/>
        <v>0.48</v>
      </c>
      <c r="CE47" s="43">
        <f t="shared" si="288"/>
        <v>0.48</v>
      </c>
      <c r="CF47" s="43">
        <f t="shared" si="288"/>
        <v>0.48</v>
      </c>
      <c r="CG47" s="43">
        <f t="shared" si="288"/>
        <v>0.48</v>
      </c>
      <c r="CH47" s="43">
        <f t="shared" si="288"/>
        <v>0.48</v>
      </c>
      <c r="CI47" s="43">
        <f t="shared" si="288"/>
        <v>0.48</v>
      </c>
      <c r="CJ47" s="43">
        <f t="shared" si="288"/>
        <v>0.48</v>
      </c>
      <c r="CK47" s="43">
        <f t="shared" si="288"/>
        <v>0.48</v>
      </c>
      <c r="CL47" s="43">
        <f t="shared" si="288"/>
        <v>0.48</v>
      </c>
      <c r="CM47" s="43">
        <f t="shared" si="288"/>
        <v>0.48</v>
      </c>
      <c r="CN47" s="43">
        <f t="shared" si="288"/>
        <v>0.48</v>
      </c>
      <c r="CO47" s="43">
        <f t="shared" si="288"/>
        <v>0.48</v>
      </c>
      <c r="CP47" s="43">
        <f t="shared" si="288"/>
        <v>0.48</v>
      </c>
      <c r="CQ47" s="43">
        <f t="shared" si="288"/>
        <v>0.48</v>
      </c>
      <c r="CR47" s="43">
        <f t="shared" si="288"/>
        <v>0.48</v>
      </c>
      <c r="CS47" s="43">
        <f t="shared" si="288"/>
        <v>0.48</v>
      </c>
      <c r="CT47" s="43">
        <f>BP47</f>
        <v>0.48</v>
      </c>
      <c r="CV47" s="43">
        <f>AJ47</f>
        <v>0.48</v>
      </c>
      <c r="CW47" s="43">
        <f t="shared" ref="CW47:CW51" si="289">AK47</f>
        <v>0.46399999999999997</v>
      </c>
      <c r="CX47" s="43">
        <f t="shared" ref="CX47:CX51" si="290">AL47</f>
        <v>0.44799999999999995</v>
      </c>
      <c r="CY47" s="43">
        <f t="shared" ref="CY47:CY51" si="291">AM47</f>
        <v>0.43199999999999994</v>
      </c>
      <c r="CZ47" s="43">
        <f t="shared" ref="CZ47:CZ51" si="292">AN47</f>
        <v>0.41599999999999993</v>
      </c>
      <c r="DA47" s="43">
        <f t="shared" ref="DA47:DA51" si="293">AO47</f>
        <v>0.39999999999999991</v>
      </c>
      <c r="DB47" s="43">
        <f t="shared" ref="DB47:DB51" si="294">AP47</f>
        <v>0.3839999999999999</v>
      </c>
      <c r="DC47" s="43">
        <f t="shared" ref="DC47:DC51" si="295">AQ47</f>
        <v>0.36799999999999988</v>
      </c>
      <c r="DD47" s="43">
        <f t="shared" ref="DD47:DD51" si="296">AR47</f>
        <v>0.35199999999999987</v>
      </c>
      <c r="DE47" s="43">
        <f t="shared" ref="DE47:DE51" si="297">AS47</f>
        <v>0.33599999999999985</v>
      </c>
      <c r="DF47" s="43">
        <f t="shared" ref="DF47:DF51" si="298">AT47</f>
        <v>0.31999999999999984</v>
      </c>
      <c r="DG47" s="43">
        <f t="shared" ref="DG47:DG51" si="299">AU47</f>
        <v>0.30399999999999983</v>
      </c>
      <c r="DH47" s="43">
        <f t="shared" ref="DH47:DH51" si="300">AV47</f>
        <v>0.28799999999999981</v>
      </c>
      <c r="DI47" s="43">
        <f t="shared" ref="DI47:DI51" si="301">AW47</f>
        <v>0.2719999999999998</v>
      </c>
      <c r="DJ47" s="43">
        <f t="shared" ref="DJ47:DJ51" si="302">AX47</f>
        <v>0.25599999999999978</v>
      </c>
      <c r="DK47" s="43">
        <f t="shared" ref="DK47:DK51" si="303">AY47</f>
        <v>0.23999999999999977</v>
      </c>
      <c r="DL47" s="43">
        <f t="shared" ref="DL47:DL51" si="304">AZ47</f>
        <v>0.22399999999999975</v>
      </c>
      <c r="DM47" s="43">
        <f t="shared" ref="DM47:DM51" si="305">BA47</f>
        <v>0.20799999999999974</v>
      </c>
      <c r="DN47" s="43">
        <f t="shared" ref="DN47:DN51" si="306">BB47</f>
        <v>0.19199999999999973</v>
      </c>
      <c r="DO47" s="43">
        <f t="shared" ref="DO47:DO51" si="307">BC47</f>
        <v>0.17599999999999971</v>
      </c>
      <c r="DP47" s="43">
        <f t="shared" ref="DP47:DP51" si="308">BD47</f>
        <v>0.1599999999999997</v>
      </c>
      <c r="DQ47" s="43">
        <f t="shared" ref="DQ47:DQ51" si="309">BE47</f>
        <v>0.14399999999999968</v>
      </c>
      <c r="DR47" s="43">
        <f t="shared" ref="DR47:DR51" si="310">BF47</f>
        <v>0.12799999999999967</v>
      </c>
      <c r="DS47" s="43">
        <f t="shared" ref="DS47:DS51" si="311">BG47</f>
        <v>0.11199999999999967</v>
      </c>
      <c r="DT47" s="43">
        <f t="shared" ref="DT47:DT51" si="312">BH47</f>
        <v>9.5999999999999669E-2</v>
      </c>
      <c r="DU47" s="43">
        <f t="shared" ref="DU47:DU51" si="313">BI47</f>
        <v>7.9999999999999669E-2</v>
      </c>
      <c r="DV47" s="43">
        <f t="shared" ref="DV47:DV51" si="314">BJ47</f>
        <v>6.3999999999999668E-2</v>
      </c>
      <c r="DW47" s="43">
        <f t="shared" ref="DW47:DW51" si="315">BK47</f>
        <v>4.7999999999999668E-2</v>
      </c>
      <c r="DX47" s="43">
        <f t="shared" ref="DX47:DX51" si="316">BL47</f>
        <v>3.1999999999999668E-2</v>
      </c>
      <c r="DY47" s="43">
        <f t="shared" ref="DY47:DY51" si="317">BM47</f>
        <v>1.5999999999999667E-2</v>
      </c>
      <c r="DZ47" s="43">
        <f t="shared" ref="DZ47:DZ51" si="318">BN47</f>
        <v>0</v>
      </c>
    </row>
    <row r="48" spans="1:165" x14ac:dyDescent="0.2">
      <c r="A48" s="606" t="s">
        <v>88</v>
      </c>
      <c r="C48" s="54" t="s">
        <v>458</v>
      </c>
      <c r="D48" s="43">
        <f>$B$187</f>
        <v>3</v>
      </c>
      <c r="E48" s="43">
        <f t="shared" ref="E48:AG48" si="319">D48-($D48-$AH48)/30</f>
        <v>2.9</v>
      </c>
      <c r="F48" s="43">
        <f t="shared" si="319"/>
        <v>2.8</v>
      </c>
      <c r="G48" s="43">
        <f t="shared" si="319"/>
        <v>2.6999999999999997</v>
      </c>
      <c r="H48" s="43">
        <f t="shared" si="319"/>
        <v>2.5999999999999996</v>
      </c>
      <c r="I48" s="43">
        <f t="shared" si="319"/>
        <v>2.4999999999999996</v>
      </c>
      <c r="J48" s="43">
        <f t="shared" si="319"/>
        <v>2.3999999999999995</v>
      </c>
      <c r="K48" s="43">
        <f t="shared" si="319"/>
        <v>2.2999999999999994</v>
      </c>
      <c r="L48" s="43">
        <f t="shared" si="319"/>
        <v>2.1999999999999993</v>
      </c>
      <c r="M48" s="43">
        <f t="shared" si="319"/>
        <v>2.0999999999999992</v>
      </c>
      <c r="N48" s="43">
        <f t="shared" si="319"/>
        <v>1.9999999999999991</v>
      </c>
      <c r="O48" s="43">
        <f t="shared" si="319"/>
        <v>1.899999999999999</v>
      </c>
      <c r="P48" s="43">
        <f t="shared" si="319"/>
        <v>1.7999999999999989</v>
      </c>
      <c r="Q48" s="43">
        <f t="shared" si="319"/>
        <v>1.6999999999999988</v>
      </c>
      <c r="R48" s="43">
        <f t="shared" si="319"/>
        <v>1.5999999999999988</v>
      </c>
      <c r="S48" s="43">
        <f t="shared" si="319"/>
        <v>1.4999999999999987</v>
      </c>
      <c r="T48" s="43">
        <f t="shared" si="319"/>
        <v>1.3999999999999986</v>
      </c>
      <c r="U48" s="43">
        <f t="shared" si="319"/>
        <v>1.2999999999999985</v>
      </c>
      <c r="V48" s="43">
        <f t="shared" si="319"/>
        <v>1.1999999999999984</v>
      </c>
      <c r="W48" s="43">
        <f t="shared" si="319"/>
        <v>1.0999999999999983</v>
      </c>
      <c r="X48" s="43">
        <f t="shared" si="319"/>
        <v>0.99999999999999833</v>
      </c>
      <c r="Y48" s="43">
        <f t="shared" si="319"/>
        <v>0.89999999999999836</v>
      </c>
      <c r="Z48" s="43">
        <f t="shared" si="319"/>
        <v>0.79999999999999838</v>
      </c>
      <c r="AA48" s="43">
        <f t="shared" si="319"/>
        <v>0.6999999999999984</v>
      </c>
      <c r="AB48" s="43">
        <f t="shared" si="319"/>
        <v>0.59999999999999842</v>
      </c>
      <c r="AC48" s="43">
        <f t="shared" si="319"/>
        <v>0.49999999999999845</v>
      </c>
      <c r="AD48" s="43">
        <f t="shared" si="319"/>
        <v>0.39999999999999847</v>
      </c>
      <c r="AE48" s="43">
        <f t="shared" si="319"/>
        <v>0.29999999999999849</v>
      </c>
      <c r="AF48" s="43">
        <f t="shared" si="319"/>
        <v>0.19999999999999848</v>
      </c>
      <c r="AG48" s="43">
        <f t="shared" si="319"/>
        <v>9.9999999999998479E-2</v>
      </c>
      <c r="AH48" s="43">
        <f>$C$187</f>
        <v>0</v>
      </c>
      <c r="AI48" s="44"/>
      <c r="AJ48" s="43">
        <f t="shared" ref="AJ48:AJ55" si="320">D48</f>
        <v>3</v>
      </c>
      <c r="AK48" s="43">
        <f t="shared" si="258"/>
        <v>2.9</v>
      </c>
      <c r="AL48" s="43">
        <f t="shared" si="259"/>
        <v>2.8</v>
      </c>
      <c r="AM48" s="43">
        <f t="shared" si="260"/>
        <v>2.6999999999999997</v>
      </c>
      <c r="AN48" s="43">
        <f t="shared" si="261"/>
        <v>2.5999999999999996</v>
      </c>
      <c r="AO48" s="43">
        <f t="shared" si="262"/>
        <v>2.4999999999999996</v>
      </c>
      <c r="AP48" s="43">
        <f t="shared" si="263"/>
        <v>2.3999999999999995</v>
      </c>
      <c r="AQ48" s="43">
        <f t="shared" si="264"/>
        <v>2.2999999999999994</v>
      </c>
      <c r="AR48" s="43">
        <f t="shared" si="265"/>
        <v>2.1999999999999993</v>
      </c>
      <c r="AS48" s="43">
        <f t="shared" si="266"/>
        <v>2.0999999999999992</v>
      </c>
      <c r="AT48" s="43">
        <f t="shared" si="267"/>
        <v>1.9999999999999991</v>
      </c>
      <c r="AU48" s="43">
        <f t="shared" si="268"/>
        <v>1.899999999999999</v>
      </c>
      <c r="AV48" s="43">
        <f t="shared" si="269"/>
        <v>1.7999999999999989</v>
      </c>
      <c r="AW48" s="43">
        <f t="shared" si="270"/>
        <v>1.6999999999999988</v>
      </c>
      <c r="AX48" s="43">
        <f t="shared" si="271"/>
        <v>1.5999999999999988</v>
      </c>
      <c r="AY48" s="43">
        <f t="shared" si="272"/>
        <v>1.4999999999999987</v>
      </c>
      <c r="AZ48" s="43">
        <f t="shared" si="273"/>
        <v>1.3999999999999986</v>
      </c>
      <c r="BA48" s="43">
        <f t="shared" si="274"/>
        <v>1.2999999999999985</v>
      </c>
      <c r="BB48" s="43">
        <f t="shared" si="275"/>
        <v>1.1999999999999984</v>
      </c>
      <c r="BC48" s="43">
        <f t="shared" si="276"/>
        <v>1.0999999999999983</v>
      </c>
      <c r="BD48" s="43">
        <f t="shared" si="277"/>
        <v>0.99999999999999833</v>
      </c>
      <c r="BE48" s="43">
        <f t="shared" si="278"/>
        <v>0.89999999999999836</v>
      </c>
      <c r="BF48" s="43">
        <f t="shared" si="279"/>
        <v>0.79999999999999838</v>
      </c>
      <c r="BG48" s="43">
        <f t="shared" si="280"/>
        <v>0.6999999999999984</v>
      </c>
      <c r="BH48" s="43">
        <f t="shared" si="281"/>
        <v>0.59999999999999842</v>
      </c>
      <c r="BI48" s="43">
        <f t="shared" si="282"/>
        <v>0.49999999999999845</v>
      </c>
      <c r="BJ48" s="43">
        <f t="shared" si="283"/>
        <v>0.39999999999999847</v>
      </c>
      <c r="BK48" s="43">
        <f t="shared" si="284"/>
        <v>0.29999999999999849</v>
      </c>
      <c r="BL48" s="43">
        <f t="shared" si="285"/>
        <v>0.19999999999999848</v>
      </c>
      <c r="BM48" s="43">
        <f t="shared" si="286"/>
        <v>9.9999999999998479E-2</v>
      </c>
      <c r="BN48" s="43">
        <f t="shared" si="287"/>
        <v>0</v>
      </c>
      <c r="BP48" s="43">
        <f t="shared" ref="BP48:BP55" si="321">D48</f>
        <v>3</v>
      </c>
      <c r="BQ48" s="43">
        <f t="shared" ref="BQ48:CS48" si="322">BP48-($BP48-$CT48)/30</f>
        <v>3</v>
      </c>
      <c r="BR48" s="43">
        <f t="shared" si="322"/>
        <v>3</v>
      </c>
      <c r="BS48" s="43">
        <f t="shared" si="322"/>
        <v>3</v>
      </c>
      <c r="BT48" s="43">
        <f t="shared" si="322"/>
        <v>3</v>
      </c>
      <c r="BU48" s="43">
        <f t="shared" si="322"/>
        <v>3</v>
      </c>
      <c r="BV48" s="43">
        <f t="shared" si="322"/>
        <v>3</v>
      </c>
      <c r="BW48" s="43">
        <f t="shared" si="322"/>
        <v>3</v>
      </c>
      <c r="BX48" s="43">
        <f t="shared" si="322"/>
        <v>3</v>
      </c>
      <c r="BY48" s="43">
        <f t="shared" si="322"/>
        <v>3</v>
      </c>
      <c r="BZ48" s="43">
        <f t="shared" si="322"/>
        <v>3</v>
      </c>
      <c r="CA48" s="43">
        <f t="shared" si="322"/>
        <v>3</v>
      </c>
      <c r="CB48" s="43">
        <f t="shared" si="322"/>
        <v>3</v>
      </c>
      <c r="CC48" s="43">
        <f t="shared" si="322"/>
        <v>3</v>
      </c>
      <c r="CD48" s="43">
        <f t="shared" si="322"/>
        <v>3</v>
      </c>
      <c r="CE48" s="43">
        <f t="shared" si="322"/>
        <v>3</v>
      </c>
      <c r="CF48" s="43">
        <f t="shared" si="322"/>
        <v>3</v>
      </c>
      <c r="CG48" s="43">
        <f t="shared" si="322"/>
        <v>3</v>
      </c>
      <c r="CH48" s="43">
        <f t="shared" si="322"/>
        <v>3</v>
      </c>
      <c r="CI48" s="43">
        <f t="shared" si="322"/>
        <v>3</v>
      </c>
      <c r="CJ48" s="43">
        <f t="shared" si="322"/>
        <v>3</v>
      </c>
      <c r="CK48" s="43">
        <f t="shared" si="322"/>
        <v>3</v>
      </c>
      <c r="CL48" s="43">
        <f t="shared" si="322"/>
        <v>3</v>
      </c>
      <c r="CM48" s="43">
        <f t="shared" si="322"/>
        <v>3</v>
      </c>
      <c r="CN48" s="43">
        <f t="shared" si="322"/>
        <v>3</v>
      </c>
      <c r="CO48" s="43">
        <f t="shared" si="322"/>
        <v>3</v>
      </c>
      <c r="CP48" s="43">
        <f t="shared" si="322"/>
        <v>3</v>
      </c>
      <c r="CQ48" s="43">
        <f t="shared" si="322"/>
        <v>3</v>
      </c>
      <c r="CR48" s="43">
        <f t="shared" si="322"/>
        <v>3</v>
      </c>
      <c r="CS48" s="43">
        <f t="shared" si="322"/>
        <v>3</v>
      </c>
      <c r="CT48" s="43">
        <f t="shared" ref="CT48:CT49" si="323">BP48</f>
        <v>3</v>
      </c>
      <c r="CV48" s="43">
        <f>AJ48</f>
        <v>3</v>
      </c>
      <c r="CW48" s="43">
        <f t="shared" si="289"/>
        <v>2.9</v>
      </c>
      <c r="CX48" s="43">
        <f t="shared" si="290"/>
        <v>2.8</v>
      </c>
      <c r="CY48" s="43">
        <f t="shared" si="291"/>
        <v>2.6999999999999997</v>
      </c>
      <c r="CZ48" s="43">
        <f t="shared" si="292"/>
        <v>2.5999999999999996</v>
      </c>
      <c r="DA48" s="43">
        <f t="shared" si="293"/>
        <v>2.4999999999999996</v>
      </c>
      <c r="DB48" s="43">
        <f t="shared" si="294"/>
        <v>2.3999999999999995</v>
      </c>
      <c r="DC48" s="43">
        <f t="shared" si="295"/>
        <v>2.2999999999999994</v>
      </c>
      <c r="DD48" s="43">
        <f t="shared" si="296"/>
        <v>2.1999999999999993</v>
      </c>
      <c r="DE48" s="43">
        <f t="shared" si="297"/>
        <v>2.0999999999999992</v>
      </c>
      <c r="DF48" s="43">
        <f t="shared" si="298"/>
        <v>1.9999999999999991</v>
      </c>
      <c r="DG48" s="43">
        <f t="shared" si="299"/>
        <v>1.899999999999999</v>
      </c>
      <c r="DH48" s="43">
        <f t="shared" si="300"/>
        <v>1.7999999999999989</v>
      </c>
      <c r="DI48" s="43">
        <f t="shared" si="301"/>
        <v>1.6999999999999988</v>
      </c>
      <c r="DJ48" s="43">
        <f t="shared" si="302"/>
        <v>1.5999999999999988</v>
      </c>
      <c r="DK48" s="43">
        <f t="shared" si="303"/>
        <v>1.4999999999999987</v>
      </c>
      <c r="DL48" s="43">
        <f t="shared" si="304"/>
        <v>1.3999999999999986</v>
      </c>
      <c r="DM48" s="43">
        <f t="shared" si="305"/>
        <v>1.2999999999999985</v>
      </c>
      <c r="DN48" s="43">
        <f t="shared" si="306"/>
        <v>1.1999999999999984</v>
      </c>
      <c r="DO48" s="43">
        <f t="shared" si="307"/>
        <v>1.0999999999999983</v>
      </c>
      <c r="DP48" s="43">
        <f t="shared" si="308"/>
        <v>0.99999999999999833</v>
      </c>
      <c r="DQ48" s="43">
        <f t="shared" si="309"/>
        <v>0.89999999999999836</v>
      </c>
      <c r="DR48" s="43">
        <f t="shared" si="310"/>
        <v>0.79999999999999838</v>
      </c>
      <c r="DS48" s="43">
        <f t="shared" si="311"/>
        <v>0.6999999999999984</v>
      </c>
      <c r="DT48" s="43">
        <f t="shared" si="312"/>
        <v>0.59999999999999842</v>
      </c>
      <c r="DU48" s="43">
        <f t="shared" si="313"/>
        <v>0.49999999999999845</v>
      </c>
      <c r="DV48" s="43">
        <f t="shared" si="314"/>
        <v>0.39999999999999847</v>
      </c>
      <c r="DW48" s="43">
        <f t="shared" si="315"/>
        <v>0.29999999999999849</v>
      </c>
      <c r="DX48" s="43">
        <f t="shared" si="316"/>
        <v>0.19999999999999848</v>
      </c>
      <c r="DY48" s="43">
        <f t="shared" si="317"/>
        <v>9.9999999999998479E-2</v>
      </c>
      <c r="DZ48" s="43">
        <f t="shared" si="318"/>
        <v>0</v>
      </c>
    </row>
    <row r="49" spans="1:165" x14ac:dyDescent="0.2">
      <c r="A49" s="606" t="s">
        <v>459</v>
      </c>
      <c r="C49" s="54" t="s">
        <v>458</v>
      </c>
      <c r="D49" s="43">
        <f>$BP$187</f>
        <v>1.4219670000000002</v>
      </c>
      <c r="E49" s="43">
        <f t="shared" ref="E49:AG49" si="324">D49-($D49-$AH49)/30</f>
        <v>1.4679014333333336</v>
      </c>
      <c r="F49" s="43">
        <f t="shared" si="324"/>
        <v>1.5138358666666669</v>
      </c>
      <c r="G49" s="43">
        <f t="shared" si="324"/>
        <v>1.5597703000000003</v>
      </c>
      <c r="H49" s="43">
        <f t="shared" si="324"/>
        <v>1.6057047333333336</v>
      </c>
      <c r="I49" s="43">
        <f t="shared" si="324"/>
        <v>1.651639166666667</v>
      </c>
      <c r="J49" s="43">
        <f t="shared" si="324"/>
        <v>1.6975736000000003</v>
      </c>
      <c r="K49" s="43">
        <f t="shared" si="324"/>
        <v>1.7435080333333337</v>
      </c>
      <c r="L49" s="43">
        <f t="shared" si="324"/>
        <v>1.7894424666666671</v>
      </c>
      <c r="M49" s="43">
        <f t="shared" si="324"/>
        <v>1.8353769000000004</v>
      </c>
      <c r="N49" s="43">
        <f t="shared" si="324"/>
        <v>1.8813113333333338</v>
      </c>
      <c r="O49" s="43">
        <f t="shared" si="324"/>
        <v>1.9272457666666671</v>
      </c>
      <c r="P49" s="43">
        <f t="shared" si="324"/>
        <v>1.9731802000000005</v>
      </c>
      <c r="Q49" s="43">
        <f t="shared" si="324"/>
        <v>2.0191146333333339</v>
      </c>
      <c r="R49" s="43">
        <f t="shared" si="324"/>
        <v>2.065049066666667</v>
      </c>
      <c r="S49" s="43">
        <f t="shared" si="324"/>
        <v>2.1109835000000001</v>
      </c>
      <c r="T49" s="43">
        <f t="shared" si="324"/>
        <v>2.1569179333333333</v>
      </c>
      <c r="U49" s="43">
        <f t="shared" si="324"/>
        <v>2.2028523666666664</v>
      </c>
      <c r="V49" s="43">
        <f t="shared" si="324"/>
        <v>2.2487867999999995</v>
      </c>
      <c r="W49" s="43">
        <f t="shared" si="324"/>
        <v>2.2947212333333327</v>
      </c>
      <c r="X49" s="43">
        <f t="shared" si="324"/>
        <v>2.3406556666666658</v>
      </c>
      <c r="Y49" s="43">
        <f t="shared" si="324"/>
        <v>2.3865900999999989</v>
      </c>
      <c r="Z49" s="43">
        <f t="shared" si="324"/>
        <v>2.4325245333333321</v>
      </c>
      <c r="AA49" s="43">
        <f t="shared" si="324"/>
        <v>2.4784589666666652</v>
      </c>
      <c r="AB49" s="43">
        <f t="shared" si="324"/>
        <v>2.5243933999999983</v>
      </c>
      <c r="AC49" s="43">
        <f t="shared" si="324"/>
        <v>2.5703278333333315</v>
      </c>
      <c r="AD49" s="43">
        <f t="shared" si="324"/>
        <v>2.6162622666666646</v>
      </c>
      <c r="AE49" s="43">
        <f t="shared" si="324"/>
        <v>2.6621966999999978</v>
      </c>
      <c r="AF49" s="43">
        <f t="shared" si="324"/>
        <v>2.7081311333333309</v>
      </c>
      <c r="AG49" s="43">
        <f t="shared" si="324"/>
        <v>2.754065566666664</v>
      </c>
      <c r="AH49" s="43">
        <f>EB187</f>
        <v>2.8</v>
      </c>
      <c r="AI49" s="44"/>
      <c r="AJ49" s="43">
        <f t="shared" si="320"/>
        <v>1.4219670000000002</v>
      </c>
      <c r="AK49" s="43">
        <f t="shared" si="258"/>
        <v>1.4679014333333336</v>
      </c>
      <c r="AL49" s="43">
        <f t="shared" si="259"/>
        <v>1.5138358666666669</v>
      </c>
      <c r="AM49" s="43">
        <f t="shared" si="260"/>
        <v>1.5597703000000003</v>
      </c>
      <c r="AN49" s="43">
        <f t="shared" si="261"/>
        <v>1.6057047333333336</v>
      </c>
      <c r="AO49" s="43">
        <f t="shared" si="262"/>
        <v>1.651639166666667</v>
      </c>
      <c r="AP49" s="43">
        <f t="shared" si="263"/>
        <v>1.6975736000000003</v>
      </c>
      <c r="AQ49" s="43">
        <f t="shared" si="264"/>
        <v>1.7435080333333337</v>
      </c>
      <c r="AR49" s="43">
        <f t="shared" si="265"/>
        <v>1.7894424666666671</v>
      </c>
      <c r="AS49" s="43">
        <f t="shared" si="266"/>
        <v>1.8353769000000004</v>
      </c>
      <c r="AT49" s="43">
        <f t="shared" si="267"/>
        <v>1.8813113333333338</v>
      </c>
      <c r="AU49" s="43">
        <f t="shared" si="268"/>
        <v>1.9272457666666671</v>
      </c>
      <c r="AV49" s="43">
        <f t="shared" si="269"/>
        <v>1.9731802000000005</v>
      </c>
      <c r="AW49" s="43">
        <f t="shared" si="270"/>
        <v>2.0191146333333339</v>
      </c>
      <c r="AX49" s="43">
        <f t="shared" si="271"/>
        <v>2.065049066666667</v>
      </c>
      <c r="AY49" s="43">
        <f t="shared" si="272"/>
        <v>2.1109835000000001</v>
      </c>
      <c r="AZ49" s="43">
        <f t="shared" si="273"/>
        <v>2.1569179333333333</v>
      </c>
      <c r="BA49" s="43">
        <f t="shared" si="274"/>
        <v>2.2028523666666664</v>
      </c>
      <c r="BB49" s="43">
        <f t="shared" si="275"/>
        <v>2.2487867999999995</v>
      </c>
      <c r="BC49" s="43">
        <f t="shared" si="276"/>
        <v>2.2947212333333327</v>
      </c>
      <c r="BD49" s="43">
        <f t="shared" si="277"/>
        <v>2.3406556666666658</v>
      </c>
      <c r="BE49" s="43">
        <f t="shared" si="278"/>
        <v>2.3865900999999989</v>
      </c>
      <c r="BF49" s="43">
        <f t="shared" si="279"/>
        <v>2.4325245333333321</v>
      </c>
      <c r="BG49" s="43">
        <f t="shared" si="280"/>
        <v>2.4784589666666652</v>
      </c>
      <c r="BH49" s="43">
        <f t="shared" si="281"/>
        <v>2.5243933999999983</v>
      </c>
      <c r="BI49" s="43">
        <f t="shared" si="282"/>
        <v>2.5703278333333315</v>
      </c>
      <c r="BJ49" s="43">
        <f t="shared" si="283"/>
        <v>2.6162622666666646</v>
      </c>
      <c r="BK49" s="43">
        <f t="shared" si="284"/>
        <v>2.6621966999999978</v>
      </c>
      <c r="BL49" s="43">
        <f t="shared" si="285"/>
        <v>2.7081311333333309</v>
      </c>
      <c r="BM49" s="43">
        <f t="shared" si="286"/>
        <v>2.754065566666664</v>
      </c>
      <c r="BN49" s="43">
        <f t="shared" si="287"/>
        <v>2.8</v>
      </c>
      <c r="BP49" s="43">
        <f t="shared" si="321"/>
        <v>1.4219670000000002</v>
      </c>
      <c r="BQ49" s="43">
        <f t="shared" ref="BQ49:CS49" si="325">BP49-($BP49-$CT49)/30</f>
        <v>1.4219670000000002</v>
      </c>
      <c r="BR49" s="43">
        <f t="shared" si="325"/>
        <v>1.4219670000000002</v>
      </c>
      <c r="BS49" s="43">
        <f t="shared" si="325"/>
        <v>1.4219670000000002</v>
      </c>
      <c r="BT49" s="43">
        <f t="shared" si="325"/>
        <v>1.4219670000000002</v>
      </c>
      <c r="BU49" s="43">
        <f t="shared" si="325"/>
        <v>1.4219670000000002</v>
      </c>
      <c r="BV49" s="43">
        <f t="shared" si="325"/>
        <v>1.4219670000000002</v>
      </c>
      <c r="BW49" s="43">
        <f t="shared" si="325"/>
        <v>1.4219670000000002</v>
      </c>
      <c r="BX49" s="43">
        <f t="shared" si="325"/>
        <v>1.4219670000000002</v>
      </c>
      <c r="BY49" s="43">
        <f t="shared" si="325"/>
        <v>1.4219670000000002</v>
      </c>
      <c r="BZ49" s="43">
        <f t="shared" si="325"/>
        <v>1.4219670000000002</v>
      </c>
      <c r="CA49" s="43">
        <f t="shared" si="325"/>
        <v>1.4219670000000002</v>
      </c>
      <c r="CB49" s="43">
        <f t="shared" si="325"/>
        <v>1.4219670000000002</v>
      </c>
      <c r="CC49" s="43">
        <f t="shared" si="325"/>
        <v>1.4219670000000002</v>
      </c>
      <c r="CD49" s="43">
        <f t="shared" si="325"/>
        <v>1.4219670000000002</v>
      </c>
      <c r="CE49" s="43">
        <f t="shared" si="325"/>
        <v>1.4219670000000002</v>
      </c>
      <c r="CF49" s="43">
        <f t="shared" si="325"/>
        <v>1.4219670000000002</v>
      </c>
      <c r="CG49" s="43">
        <f t="shared" si="325"/>
        <v>1.4219670000000002</v>
      </c>
      <c r="CH49" s="43">
        <f t="shared" si="325"/>
        <v>1.4219670000000002</v>
      </c>
      <c r="CI49" s="43">
        <f t="shared" si="325"/>
        <v>1.4219670000000002</v>
      </c>
      <c r="CJ49" s="43">
        <f t="shared" si="325"/>
        <v>1.4219670000000002</v>
      </c>
      <c r="CK49" s="43">
        <f t="shared" si="325"/>
        <v>1.4219670000000002</v>
      </c>
      <c r="CL49" s="43">
        <f t="shared" si="325"/>
        <v>1.4219670000000002</v>
      </c>
      <c r="CM49" s="43">
        <f t="shared" si="325"/>
        <v>1.4219670000000002</v>
      </c>
      <c r="CN49" s="43">
        <f t="shared" si="325"/>
        <v>1.4219670000000002</v>
      </c>
      <c r="CO49" s="43">
        <f t="shared" si="325"/>
        <v>1.4219670000000002</v>
      </c>
      <c r="CP49" s="43">
        <f t="shared" si="325"/>
        <v>1.4219670000000002</v>
      </c>
      <c r="CQ49" s="43">
        <f t="shared" si="325"/>
        <v>1.4219670000000002</v>
      </c>
      <c r="CR49" s="43">
        <f t="shared" si="325"/>
        <v>1.4219670000000002</v>
      </c>
      <c r="CS49" s="43">
        <f t="shared" si="325"/>
        <v>1.4219670000000002</v>
      </c>
      <c r="CT49" s="43">
        <f t="shared" si="323"/>
        <v>1.4219670000000002</v>
      </c>
      <c r="CV49" s="43">
        <f>AJ49</f>
        <v>1.4219670000000002</v>
      </c>
      <c r="CW49" s="43">
        <f t="shared" si="289"/>
        <v>1.4679014333333336</v>
      </c>
      <c r="CX49" s="43">
        <f t="shared" si="290"/>
        <v>1.5138358666666669</v>
      </c>
      <c r="CY49" s="43">
        <f t="shared" si="291"/>
        <v>1.5597703000000003</v>
      </c>
      <c r="CZ49" s="43">
        <f t="shared" si="292"/>
        <v>1.6057047333333336</v>
      </c>
      <c r="DA49" s="43">
        <f t="shared" si="293"/>
        <v>1.651639166666667</v>
      </c>
      <c r="DB49" s="43">
        <f t="shared" si="294"/>
        <v>1.6975736000000003</v>
      </c>
      <c r="DC49" s="43">
        <f t="shared" si="295"/>
        <v>1.7435080333333337</v>
      </c>
      <c r="DD49" s="43">
        <f t="shared" si="296"/>
        <v>1.7894424666666671</v>
      </c>
      <c r="DE49" s="43">
        <f t="shared" si="297"/>
        <v>1.8353769000000004</v>
      </c>
      <c r="DF49" s="43">
        <f t="shared" si="298"/>
        <v>1.8813113333333338</v>
      </c>
      <c r="DG49" s="43">
        <f t="shared" si="299"/>
        <v>1.9272457666666671</v>
      </c>
      <c r="DH49" s="43">
        <f t="shared" si="300"/>
        <v>1.9731802000000005</v>
      </c>
      <c r="DI49" s="43">
        <f t="shared" si="301"/>
        <v>2.0191146333333339</v>
      </c>
      <c r="DJ49" s="43">
        <f t="shared" si="302"/>
        <v>2.065049066666667</v>
      </c>
      <c r="DK49" s="43">
        <f t="shared" si="303"/>
        <v>2.1109835000000001</v>
      </c>
      <c r="DL49" s="43">
        <f t="shared" si="304"/>
        <v>2.1569179333333333</v>
      </c>
      <c r="DM49" s="43">
        <f t="shared" si="305"/>
        <v>2.2028523666666664</v>
      </c>
      <c r="DN49" s="43">
        <f t="shared" si="306"/>
        <v>2.2487867999999995</v>
      </c>
      <c r="DO49" s="43">
        <f t="shared" si="307"/>
        <v>2.2947212333333327</v>
      </c>
      <c r="DP49" s="43">
        <f t="shared" si="308"/>
        <v>2.3406556666666658</v>
      </c>
      <c r="DQ49" s="43">
        <f t="shared" si="309"/>
        <v>2.3865900999999989</v>
      </c>
      <c r="DR49" s="43">
        <f t="shared" si="310"/>
        <v>2.4325245333333321</v>
      </c>
      <c r="DS49" s="43">
        <f t="shared" si="311"/>
        <v>2.4784589666666652</v>
      </c>
      <c r="DT49" s="43">
        <f t="shared" si="312"/>
        <v>2.5243933999999983</v>
      </c>
      <c r="DU49" s="43">
        <f t="shared" si="313"/>
        <v>2.5703278333333315</v>
      </c>
      <c r="DV49" s="43">
        <f t="shared" si="314"/>
        <v>2.6162622666666646</v>
      </c>
      <c r="DW49" s="43">
        <f t="shared" si="315"/>
        <v>2.6621966999999978</v>
      </c>
      <c r="DX49" s="43">
        <f t="shared" si="316"/>
        <v>2.7081311333333309</v>
      </c>
      <c r="DY49" s="43">
        <f t="shared" si="317"/>
        <v>2.754065566666664</v>
      </c>
      <c r="DZ49" s="43">
        <f t="shared" si="318"/>
        <v>2.8</v>
      </c>
    </row>
    <row r="50" spans="1:165" x14ac:dyDescent="0.2">
      <c r="A50" s="606" t="s">
        <v>460</v>
      </c>
      <c r="C50" s="54" t="s">
        <v>458</v>
      </c>
      <c r="D50" s="43">
        <f>$BZ$187</f>
        <v>7.1098350000000074E-2</v>
      </c>
      <c r="E50" s="43">
        <f t="shared" ref="E50:AG50" si="326">D50-($D50-$AH50)/30</f>
        <v>7.1098350000000074E-2</v>
      </c>
      <c r="F50" s="43">
        <f t="shared" si="326"/>
        <v>7.1098350000000074E-2</v>
      </c>
      <c r="G50" s="43">
        <f t="shared" si="326"/>
        <v>7.1098350000000074E-2</v>
      </c>
      <c r="H50" s="43">
        <f t="shared" si="326"/>
        <v>7.1098350000000074E-2</v>
      </c>
      <c r="I50" s="43">
        <f t="shared" si="326"/>
        <v>7.1098350000000074E-2</v>
      </c>
      <c r="J50" s="43">
        <f t="shared" si="326"/>
        <v>7.1098350000000074E-2</v>
      </c>
      <c r="K50" s="43">
        <f t="shared" si="326"/>
        <v>7.1098350000000074E-2</v>
      </c>
      <c r="L50" s="43">
        <f t="shared" si="326"/>
        <v>7.1098350000000074E-2</v>
      </c>
      <c r="M50" s="43">
        <f t="shared" si="326"/>
        <v>7.1098350000000074E-2</v>
      </c>
      <c r="N50" s="43">
        <f t="shared" si="326"/>
        <v>7.1098350000000074E-2</v>
      </c>
      <c r="O50" s="43">
        <f t="shared" si="326"/>
        <v>7.1098350000000074E-2</v>
      </c>
      <c r="P50" s="43">
        <f t="shared" si="326"/>
        <v>7.1098350000000074E-2</v>
      </c>
      <c r="Q50" s="43">
        <f t="shared" si="326"/>
        <v>7.1098350000000074E-2</v>
      </c>
      <c r="R50" s="43">
        <f t="shared" si="326"/>
        <v>7.1098350000000074E-2</v>
      </c>
      <c r="S50" s="43">
        <f t="shared" si="326"/>
        <v>7.1098350000000074E-2</v>
      </c>
      <c r="T50" s="43">
        <f t="shared" si="326"/>
        <v>7.1098350000000074E-2</v>
      </c>
      <c r="U50" s="43">
        <f t="shared" si="326"/>
        <v>7.1098350000000074E-2</v>
      </c>
      <c r="V50" s="43">
        <f t="shared" si="326"/>
        <v>7.1098350000000074E-2</v>
      </c>
      <c r="W50" s="43">
        <f t="shared" si="326"/>
        <v>7.1098350000000074E-2</v>
      </c>
      <c r="X50" s="43">
        <f t="shared" si="326"/>
        <v>7.1098350000000074E-2</v>
      </c>
      <c r="Y50" s="43">
        <f t="shared" si="326"/>
        <v>7.1098350000000074E-2</v>
      </c>
      <c r="Z50" s="43">
        <f t="shared" si="326"/>
        <v>7.1098350000000074E-2</v>
      </c>
      <c r="AA50" s="43">
        <f t="shared" si="326"/>
        <v>7.1098350000000074E-2</v>
      </c>
      <c r="AB50" s="43">
        <f t="shared" si="326"/>
        <v>7.1098350000000074E-2</v>
      </c>
      <c r="AC50" s="43">
        <f t="shared" si="326"/>
        <v>7.1098350000000074E-2</v>
      </c>
      <c r="AD50" s="43">
        <f t="shared" si="326"/>
        <v>7.1098350000000074E-2</v>
      </c>
      <c r="AE50" s="43">
        <f t="shared" si="326"/>
        <v>7.1098350000000074E-2</v>
      </c>
      <c r="AF50" s="43">
        <f t="shared" si="326"/>
        <v>7.1098350000000074E-2</v>
      </c>
      <c r="AG50" s="43">
        <f t="shared" si="326"/>
        <v>7.1098350000000074E-2</v>
      </c>
      <c r="AH50" s="43">
        <f>$BZ$187</f>
        <v>7.1098350000000074E-2</v>
      </c>
      <c r="AI50" s="44"/>
      <c r="AJ50" s="43">
        <f t="shared" si="320"/>
        <v>7.1098350000000074E-2</v>
      </c>
      <c r="AK50" s="43">
        <f t="shared" si="258"/>
        <v>7.1098350000000074E-2</v>
      </c>
      <c r="AL50" s="43">
        <f t="shared" si="259"/>
        <v>7.1098350000000074E-2</v>
      </c>
      <c r="AM50" s="43">
        <f t="shared" si="260"/>
        <v>7.1098350000000074E-2</v>
      </c>
      <c r="AN50" s="43">
        <f t="shared" si="261"/>
        <v>7.1098350000000074E-2</v>
      </c>
      <c r="AO50" s="43">
        <f t="shared" si="262"/>
        <v>7.1098350000000074E-2</v>
      </c>
      <c r="AP50" s="43">
        <f t="shared" si="263"/>
        <v>7.1098350000000074E-2</v>
      </c>
      <c r="AQ50" s="43">
        <f t="shared" si="264"/>
        <v>7.1098350000000074E-2</v>
      </c>
      <c r="AR50" s="43">
        <f t="shared" si="265"/>
        <v>7.1098350000000074E-2</v>
      </c>
      <c r="AS50" s="43">
        <f t="shared" si="266"/>
        <v>7.1098350000000074E-2</v>
      </c>
      <c r="AT50" s="43">
        <f t="shared" si="267"/>
        <v>7.1098350000000074E-2</v>
      </c>
      <c r="AU50" s="43">
        <f t="shared" si="268"/>
        <v>7.1098350000000074E-2</v>
      </c>
      <c r="AV50" s="43">
        <f t="shared" si="269"/>
        <v>7.1098350000000074E-2</v>
      </c>
      <c r="AW50" s="43">
        <f t="shared" si="270"/>
        <v>7.1098350000000074E-2</v>
      </c>
      <c r="AX50" s="43">
        <f t="shared" si="271"/>
        <v>7.1098350000000074E-2</v>
      </c>
      <c r="AY50" s="43">
        <f t="shared" si="272"/>
        <v>7.1098350000000074E-2</v>
      </c>
      <c r="AZ50" s="43">
        <f t="shared" si="273"/>
        <v>7.1098350000000074E-2</v>
      </c>
      <c r="BA50" s="43">
        <f t="shared" si="274"/>
        <v>7.1098350000000074E-2</v>
      </c>
      <c r="BB50" s="43">
        <f t="shared" si="275"/>
        <v>7.1098350000000074E-2</v>
      </c>
      <c r="BC50" s="43">
        <f t="shared" si="276"/>
        <v>7.1098350000000074E-2</v>
      </c>
      <c r="BD50" s="43">
        <f t="shared" si="277"/>
        <v>7.1098350000000074E-2</v>
      </c>
      <c r="BE50" s="43">
        <f t="shared" si="278"/>
        <v>7.1098350000000074E-2</v>
      </c>
      <c r="BF50" s="43">
        <f t="shared" si="279"/>
        <v>7.1098350000000074E-2</v>
      </c>
      <c r="BG50" s="43">
        <f t="shared" si="280"/>
        <v>7.1098350000000074E-2</v>
      </c>
      <c r="BH50" s="43">
        <f t="shared" si="281"/>
        <v>7.1098350000000074E-2</v>
      </c>
      <c r="BI50" s="43">
        <f t="shared" si="282"/>
        <v>7.1098350000000074E-2</v>
      </c>
      <c r="BJ50" s="43">
        <f t="shared" si="283"/>
        <v>7.1098350000000074E-2</v>
      </c>
      <c r="BK50" s="43">
        <f t="shared" si="284"/>
        <v>7.1098350000000074E-2</v>
      </c>
      <c r="BL50" s="43">
        <f t="shared" si="285"/>
        <v>7.1098350000000074E-2</v>
      </c>
      <c r="BM50" s="43">
        <f t="shared" si="286"/>
        <v>7.1098350000000074E-2</v>
      </c>
      <c r="BN50" s="43">
        <f t="shared" si="287"/>
        <v>7.1098350000000074E-2</v>
      </c>
      <c r="BP50" s="43">
        <f t="shared" si="321"/>
        <v>7.1098350000000074E-2</v>
      </c>
      <c r="BQ50" s="43">
        <f t="shared" ref="BQ50:CS50" si="327">BP50-($BP50-$CT50)/30</f>
        <v>7.1098350000000074E-2</v>
      </c>
      <c r="BR50" s="43">
        <f t="shared" si="327"/>
        <v>7.1098350000000074E-2</v>
      </c>
      <c r="BS50" s="43">
        <f t="shared" si="327"/>
        <v>7.1098350000000074E-2</v>
      </c>
      <c r="BT50" s="43">
        <f t="shared" si="327"/>
        <v>7.1098350000000074E-2</v>
      </c>
      <c r="BU50" s="43">
        <f t="shared" si="327"/>
        <v>7.1098350000000074E-2</v>
      </c>
      <c r="BV50" s="43">
        <f t="shared" si="327"/>
        <v>7.1098350000000074E-2</v>
      </c>
      <c r="BW50" s="43">
        <f t="shared" si="327"/>
        <v>7.1098350000000074E-2</v>
      </c>
      <c r="BX50" s="43">
        <f t="shared" si="327"/>
        <v>7.1098350000000074E-2</v>
      </c>
      <c r="BY50" s="43">
        <f t="shared" si="327"/>
        <v>7.1098350000000074E-2</v>
      </c>
      <c r="BZ50" s="43">
        <f t="shared" si="327"/>
        <v>7.1098350000000074E-2</v>
      </c>
      <c r="CA50" s="43">
        <f t="shared" si="327"/>
        <v>7.1098350000000074E-2</v>
      </c>
      <c r="CB50" s="43">
        <f t="shared" si="327"/>
        <v>7.1098350000000074E-2</v>
      </c>
      <c r="CC50" s="43">
        <f t="shared" si="327"/>
        <v>7.1098350000000074E-2</v>
      </c>
      <c r="CD50" s="43">
        <f t="shared" si="327"/>
        <v>7.1098350000000074E-2</v>
      </c>
      <c r="CE50" s="43">
        <f t="shared" si="327"/>
        <v>7.1098350000000074E-2</v>
      </c>
      <c r="CF50" s="43">
        <f t="shared" si="327"/>
        <v>7.1098350000000074E-2</v>
      </c>
      <c r="CG50" s="43">
        <f t="shared" si="327"/>
        <v>7.1098350000000074E-2</v>
      </c>
      <c r="CH50" s="43">
        <f t="shared" si="327"/>
        <v>7.1098350000000074E-2</v>
      </c>
      <c r="CI50" s="43">
        <f t="shared" si="327"/>
        <v>7.1098350000000074E-2</v>
      </c>
      <c r="CJ50" s="43">
        <f t="shared" si="327"/>
        <v>7.1098350000000074E-2</v>
      </c>
      <c r="CK50" s="43">
        <f t="shared" si="327"/>
        <v>7.1098350000000074E-2</v>
      </c>
      <c r="CL50" s="43">
        <f t="shared" si="327"/>
        <v>7.1098350000000074E-2</v>
      </c>
      <c r="CM50" s="43">
        <f t="shared" si="327"/>
        <v>7.1098350000000074E-2</v>
      </c>
      <c r="CN50" s="43">
        <f t="shared" si="327"/>
        <v>7.1098350000000074E-2</v>
      </c>
      <c r="CO50" s="43">
        <f t="shared" si="327"/>
        <v>7.1098350000000074E-2</v>
      </c>
      <c r="CP50" s="43">
        <f t="shared" si="327"/>
        <v>7.1098350000000074E-2</v>
      </c>
      <c r="CQ50" s="43">
        <f t="shared" si="327"/>
        <v>7.1098350000000074E-2</v>
      </c>
      <c r="CR50" s="43">
        <f t="shared" si="327"/>
        <v>7.1098350000000074E-2</v>
      </c>
      <c r="CS50" s="43">
        <f t="shared" si="327"/>
        <v>7.1098350000000074E-2</v>
      </c>
      <c r="CT50" s="43">
        <f>BN50</f>
        <v>7.1098350000000074E-2</v>
      </c>
      <c r="CV50" s="43">
        <f>AJ50</f>
        <v>7.1098350000000074E-2</v>
      </c>
      <c r="CW50" s="43">
        <f t="shared" si="289"/>
        <v>7.1098350000000074E-2</v>
      </c>
      <c r="CX50" s="43">
        <f t="shared" si="290"/>
        <v>7.1098350000000074E-2</v>
      </c>
      <c r="CY50" s="43">
        <f t="shared" si="291"/>
        <v>7.1098350000000074E-2</v>
      </c>
      <c r="CZ50" s="43">
        <f t="shared" si="292"/>
        <v>7.1098350000000074E-2</v>
      </c>
      <c r="DA50" s="43">
        <f t="shared" si="293"/>
        <v>7.1098350000000074E-2</v>
      </c>
      <c r="DB50" s="43">
        <f t="shared" si="294"/>
        <v>7.1098350000000074E-2</v>
      </c>
      <c r="DC50" s="43">
        <f t="shared" si="295"/>
        <v>7.1098350000000074E-2</v>
      </c>
      <c r="DD50" s="43">
        <f t="shared" si="296"/>
        <v>7.1098350000000074E-2</v>
      </c>
      <c r="DE50" s="43">
        <f t="shared" si="297"/>
        <v>7.1098350000000074E-2</v>
      </c>
      <c r="DF50" s="43">
        <f t="shared" si="298"/>
        <v>7.1098350000000074E-2</v>
      </c>
      <c r="DG50" s="43">
        <f t="shared" si="299"/>
        <v>7.1098350000000074E-2</v>
      </c>
      <c r="DH50" s="43">
        <f t="shared" si="300"/>
        <v>7.1098350000000074E-2</v>
      </c>
      <c r="DI50" s="43">
        <f t="shared" si="301"/>
        <v>7.1098350000000074E-2</v>
      </c>
      <c r="DJ50" s="43">
        <f t="shared" si="302"/>
        <v>7.1098350000000074E-2</v>
      </c>
      <c r="DK50" s="43">
        <f t="shared" si="303"/>
        <v>7.1098350000000074E-2</v>
      </c>
      <c r="DL50" s="43">
        <f t="shared" si="304"/>
        <v>7.1098350000000074E-2</v>
      </c>
      <c r="DM50" s="43">
        <f t="shared" si="305"/>
        <v>7.1098350000000074E-2</v>
      </c>
      <c r="DN50" s="43">
        <f t="shared" si="306"/>
        <v>7.1098350000000074E-2</v>
      </c>
      <c r="DO50" s="43">
        <f t="shared" si="307"/>
        <v>7.1098350000000074E-2</v>
      </c>
      <c r="DP50" s="43">
        <f t="shared" si="308"/>
        <v>7.1098350000000074E-2</v>
      </c>
      <c r="DQ50" s="43">
        <f t="shared" si="309"/>
        <v>7.1098350000000074E-2</v>
      </c>
      <c r="DR50" s="43">
        <f t="shared" si="310"/>
        <v>7.1098350000000074E-2</v>
      </c>
      <c r="DS50" s="43">
        <f t="shared" si="311"/>
        <v>7.1098350000000074E-2</v>
      </c>
      <c r="DT50" s="43">
        <f t="shared" si="312"/>
        <v>7.1098350000000074E-2</v>
      </c>
      <c r="DU50" s="43">
        <f t="shared" si="313"/>
        <v>7.1098350000000074E-2</v>
      </c>
      <c r="DV50" s="43">
        <f t="shared" si="314"/>
        <v>7.1098350000000074E-2</v>
      </c>
      <c r="DW50" s="43">
        <f t="shared" si="315"/>
        <v>7.1098350000000074E-2</v>
      </c>
      <c r="DX50" s="43">
        <f t="shared" si="316"/>
        <v>7.1098350000000074E-2</v>
      </c>
      <c r="DY50" s="43">
        <f t="shared" si="317"/>
        <v>7.1098350000000074E-2</v>
      </c>
      <c r="DZ50" s="43">
        <f t="shared" si="318"/>
        <v>7.1098350000000074E-2</v>
      </c>
    </row>
    <row r="51" spans="1:165" x14ac:dyDescent="0.2">
      <c r="A51" s="606" t="s">
        <v>33</v>
      </c>
      <c r="C51" s="54" t="s">
        <v>458</v>
      </c>
      <c r="D51" s="43">
        <f>$B$190</f>
        <v>5.0000000000000001E-3</v>
      </c>
      <c r="E51" s="43">
        <f t="shared" ref="E51:AG51" si="328">D51-($D51-$AH51)/30</f>
        <v>4.8333333333333336E-3</v>
      </c>
      <c r="F51" s="43">
        <f t="shared" si="328"/>
        <v>4.6666666666666671E-3</v>
      </c>
      <c r="G51" s="43">
        <f t="shared" si="328"/>
        <v>4.5000000000000005E-3</v>
      </c>
      <c r="H51" s="43">
        <f t="shared" si="328"/>
        <v>4.333333333333334E-3</v>
      </c>
      <c r="I51" s="43">
        <f t="shared" si="328"/>
        <v>4.1666666666666675E-3</v>
      </c>
      <c r="J51" s="43">
        <f t="shared" si="328"/>
        <v>4.000000000000001E-3</v>
      </c>
      <c r="K51" s="43">
        <f t="shared" si="328"/>
        <v>3.8333333333333344E-3</v>
      </c>
      <c r="L51" s="43">
        <f t="shared" si="328"/>
        <v>3.6666666666666679E-3</v>
      </c>
      <c r="M51" s="43">
        <f t="shared" si="328"/>
        <v>3.5000000000000014E-3</v>
      </c>
      <c r="N51" s="43">
        <f t="shared" si="328"/>
        <v>3.3333333333333348E-3</v>
      </c>
      <c r="O51" s="43">
        <f t="shared" si="328"/>
        <v>3.1666666666666683E-3</v>
      </c>
      <c r="P51" s="43">
        <f t="shared" si="328"/>
        <v>3.0000000000000018E-3</v>
      </c>
      <c r="Q51" s="43">
        <f t="shared" si="328"/>
        <v>2.8333333333333353E-3</v>
      </c>
      <c r="R51" s="43">
        <f t="shared" si="328"/>
        <v>2.6666666666666687E-3</v>
      </c>
      <c r="S51" s="43">
        <f t="shared" si="328"/>
        <v>2.5000000000000022E-3</v>
      </c>
      <c r="T51" s="43">
        <f t="shared" si="328"/>
        <v>2.3333333333333357E-3</v>
      </c>
      <c r="U51" s="43">
        <f t="shared" si="328"/>
        <v>2.1666666666666692E-3</v>
      </c>
      <c r="V51" s="43">
        <f t="shared" si="328"/>
        <v>2.0000000000000026E-3</v>
      </c>
      <c r="W51" s="43">
        <f t="shared" si="328"/>
        <v>1.8333333333333359E-3</v>
      </c>
      <c r="X51" s="43">
        <f t="shared" si="328"/>
        <v>1.6666666666666692E-3</v>
      </c>
      <c r="Y51" s="43">
        <f t="shared" si="328"/>
        <v>1.5000000000000024E-3</v>
      </c>
      <c r="Z51" s="43">
        <f t="shared" si="328"/>
        <v>1.3333333333333357E-3</v>
      </c>
      <c r="AA51" s="43">
        <f t="shared" si="328"/>
        <v>1.1666666666666689E-3</v>
      </c>
      <c r="AB51" s="43">
        <f t="shared" si="328"/>
        <v>1.0000000000000022E-3</v>
      </c>
      <c r="AC51" s="43">
        <f t="shared" si="328"/>
        <v>8.3333333333333556E-4</v>
      </c>
      <c r="AD51" s="43">
        <f t="shared" si="328"/>
        <v>6.6666666666666892E-4</v>
      </c>
      <c r="AE51" s="43">
        <f t="shared" si="328"/>
        <v>5.0000000000000229E-4</v>
      </c>
      <c r="AF51" s="43">
        <f t="shared" si="328"/>
        <v>3.3333333333333565E-4</v>
      </c>
      <c r="AG51" s="43">
        <f t="shared" si="328"/>
        <v>1.6666666666666899E-4</v>
      </c>
      <c r="AH51" s="43">
        <f>$C$190</f>
        <v>0</v>
      </c>
      <c r="AI51" s="44"/>
      <c r="AJ51" s="43">
        <f t="shared" si="320"/>
        <v>5.0000000000000001E-3</v>
      </c>
      <c r="AK51" s="43">
        <f t="shared" si="258"/>
        <v>4.8333333333333336E-3</v>
      </c>
      <c r="AL51" s="43">
        <f t="shared" si="259"/>
        <v>4.6666666666666671E-3</v>
      </c>
      <c r="AM51" s="43">
        <f t="shared" si="260"/>
        <v>4.5000000000000005E-3</v>
      </c>
      <c r="AN51" s="43">
        <f t="shared" si="261"/>
        <v>4.333333333333334E-3</v>
      </c>
      <c r="AO51" s="43">
        <f t="shared" si="262"/>
        <v>4.1666666666666675E-3</v>
      </c>
      <c r="AP51" s="43">
        <f t="shared" si="263"/>
        <v>4.000000000000001E-3</v>
      </c>
      <c r="AQ51" s="43">
        <f t="shared" si="264"/>
        <v>3.8333333333333344E-3</v>
      </c>
      <c r="AR51" s="43">
        <f t="shared" si="265"/>
        <v>3.6666666666666679E-3</v>
      </c>
      <c r="AS51" s="43">
        <f t="shared" si="266"/>
        <v>3.5000000000000014E-3</v>
      </c>
      <c r="AT51" s="43">
        <f t="shared" si="267"/>
        <v>3.3333333333333348E-3</v>
      </c>
      <c r="AU51" s="43">
        <f t="shared" si="268"/>
        <v>3.1666666666666683E-3</v>
      </c>
      <c r="AV51" s="43">
        <f t="shared" si="269"/>
        <v>3.0000000000000018E-3</v>
      </c>
      <c r="AW51" s="43">
        <f t="shared" si="270"/>
        <v>2.8333333333333353E-3</v>
      </c>
      <c r="AX51" s="43">
        <f t="shared" si="271"/>
        <v>2.6666666666666687E-3</v>
      </c>
      <c r="AY51" s="43">
        <f t="shared" si="272"/>
        <v>2.5000000000000022E-3</v>
      </c>
      <c r="AZ51" s="43">
        <f t="shared" si="273"/>
        <v>2.3333333333333357E-3</v>
      </c>
      <c r="BA51" s="43">
        <f t="shared" si="274"/>
        <v>2.1666666666666692E-3</v>
      </c>
      <c r="BB51" s="43">
        <f t="shared" si="275"/>
        <v>2.0000000000000026E-3</v>
      </c>
      <c r="BC51" s="43">
        <f t="shared" si="276"/>
        <v>1.8333333333333359E-3</v>
      </c>
      <c r="BD51" s="43">
        <f t="shared" si="277"/>
        <v>1.6666666666666692E-3</v>
      </c>
      <c r="BE51" s="43">
        <f t="shared" si="278"/>
        <v>1.5000000000000024E-3</v>
      </c>
      <c r="BF51" s="43">
        <f t="shared" si="279"/>
        <v>1.3333333333333357E-3</v>
      </c>
      <c r="BG51" s="43">
        <f t="shared" si="280"/>
        <v>1.1666666666666689E-3</v>
      </c>
      <c r="BH51" s="43">
        <f t="shared" si="281"/>
        <v>1.0000000000000022E-3</v>
      </c>
      <c r="BI51" s="43">
        <f t="shared" si="282"/>
        <v>8.3333333333333556E-4</v>
      </c>
      <c r="BJ51" s="43">
        <f t="shared" si="283"/>
        <v>6.6666666666666892E-4</v>
      </c>
      <c r="BK51" s="43">
        <f t="shared" si="284"/>
        <v>5.0000000000000229E-4</v>
      </c>
      <c r="BL51" s="43">
        <f t="shared" si="285"/>
        <v>3.3333333333333565E-4</v>
      </c>
      <c r="BM51" s="43">
        <f t="shared" si="286"/>
        <v>1.6666666666666899E-4</v>
      </c>
      <c r="BN51" s="43">
        <f t="shared" si="287"/>
        <v>0</v>
      </c>
      <c r="BP51" s="43">
        <f t="shared" si="321"/>
        <v>5.0000000000000001E-3</v>
      </c>
      <c r="BQ51" s="43">
        <f t="shared" ref="BQ51:CS51" si="329">BP51-($BP51-$CT51)/30</f>
        <v>5.0000000000000001E-3</v>
      </c>
      <c r="BR51" s="43">
        <f t="shared" si="329"/>
        <v>5.0000000000000001E-3</v>
      </c>
      <c r="BS51" s="43">
        <f t="shared" si="329"/>
        <v>5.0000000000000001E-3</v>
      </c>
      <c r="BT51" s="43">
        <f t="shared" si="329"/>
        <v>5.0000000000000001E-3</v>
      </c>
      <c r="BU51" s="43">
        <f t="shared" si="329"/>
        <v>5.0000000000000001E-3</v>
      </c>
      <c r="BV51" s="43">
        <f t="shared" si="329"/>
        <v>5.0000000000000001E-3</v>
      </c>
      <c r="BW51" s="43">
        <f t="shared" si="329"/>
        <v>5.0000000000000001E-3</v>
      </c>
      <c r="BX51" s="43">
        <f t="shared" si="329"/>
        <v>5.0000000000000001E-3</v>
      </c>
      <c r="BY51" s="43">
        <f t="shared" si="329"/>
        <v>5.0000000000000001E-3</v>
      </c>
      <c r="BZ51" s="43">
        <f t="shared" si="329"/>
        <v>5.0000000000000001E-3</v>
      </c>
      <c r="CA51" s="43">
        <f t="shared" si="329"/>
        <v>5.0000000000000001E-3</v>
      </c>
      <c r="CB51" s="43">
        <f t="shared" si="329"/>
        <v>5.0000000000000001E-3</v>
      </c>
      <c r="CC51" s="43">
        <f t="shared" si="329"/>
        <v>5.0000000000000001E-3</v>
      </c>
      <c r="CD51" s="43">
        <f t="shared" si="329"/>
        <v>5.0000000000000001E-3</v>
      </c>
      <c r="CE51" s="43">
        <f t="shared" si="329"/>
        <v>5.0000000000000001E-3</v>
      </c>
      <c r="CF51" s="43">
        <f t="shared" si="329"/>
        <v>5.0000000000000001E-3</v>
      </c>
      <c r="CG51" s="43">
        <f t="shared" si="329"/>
        <v>5.0000000000000001E-3</v>
      </c>
      <c r="CH51" s="43">
        <f t="shared" si="329"/>
        <v>5.0000000000000001E-3</v>
      </c>
      <c r="CI51" s="43">
        <f t="shared" si="329"/>
        <v>5.0000000000000001E-3</v>
      </c>
      <c r="CJ51" s="43">
        <f t="shared" si="329"/>
        <v>5.0000000000000001E-3</v>
      </c>
      <c r="CK51" s="43">
        <f t="shared" si="329"/>
        <v>5.0000000000000001E-3</v>
      </c>
      <c r="CL51" s="43">
        <f t="shared" si="329"/>
        <v>5.0000000000000001E-3</v>
      </c>
      <c r="CM51" s="43">
        <f t="shared" si="329"/>
        <v>5.0000000000000001E-3</v>
      </c>
      <c r="CN51" s="43">
        <f t="shared" si="329"/>
        <v>5.0000000000000001E-3</v>
      </c>
      <c r="CO51" s="43">
        <f t="shared" si="329"/>
        <v>5.0000000000000001E-3</v>
      </c>
      <c r="CP51" s="43">
        <f t="shared" si="329"/>
        <v>5.0000000000000001E-3</v>
      </c>
      <c r="CQ51" s="43">
        <f t="shared" si="329"/>
        <v>5.0000000000000001E-3</v>
      </c>
      <c r="CR51" s="43">
        <f t="shared" si="329"/>
        <v>5.0000000000000001E-3</v>
      </c>
      <c r="CS51" s="43">
        <f t="shared" si="329"/>
        <v>5.0000000000000001E-3</v>
      </c>
      <c r="CT51" s="43">
        <f t="shared" ref="CT51:CT55" si="330">BP51</f>
        <v>5.0000000000000001E-3</v>
      </c>
      <c r="CV51" s="43">
        <f>AJ51</f>
        <v>5.0000000000000001E-3</v>
      </c>
      <c r="CW51" s="43">
        <f t="shared" si="289"/>
        <v>4.8333333333333336E-3</v>
      </c>
      <c r="CX51" s="43">
        <f t="shared" si="290"/>
        <v>4.6666666666666671E-3</v>
      </c>
      <c r="CY51" s="43">
        <f t="shared" si="291"/>
        <v>4.5000000000000005E-3</v>
      </c>
      <c r="CZ51" s="43">
        <f t="shared" si="292"/>
        <v>4.333333333333334E-3</v>
      </c>
      <c r="DA51" s="43">
        <f t="shared" si="293"/>
        <v>4.1666666666666675E-3</v>
      </c>
      <c r="DB51" s="43">
        <f t="shared" si="294"/>
        <v>4.000000000000001E-3</v>
      </c>
      <c r="DC51" s="43">
        <f t="shared" si="295"/>
        <v>3.8333333333333344E-3</v>
      </c>
      <c r="DD51" s="43">
        <f t="shared" si="296"/>
        <v>3.6666666666666679E-3</v>
      </c>
      <c r="DE51" s="43">
        <f t="shared" si="297"/>
        <v>3.5000000000000014E-3</v>
      </c>
      <c r="DF51" s="43">
        <f t="shared" si="298"/>
        <v>3.3333333333333348E-3</v>
      </c>
      <c r="DG51" s="43">
        <f t="shared" si="299"/>
        <v>3.1666666666666683E-3</v>
      </c>
      <c r="DH51" s="43">
        <f t="shared" si="300"/>
        <v>3.0000000000000018E-3</v>
      </c>
      <c r="DI51" s="43">
        <f t="shared" si="301"/>
        <v>2.8333333333333353E-3</v>
      </c>
      <c r="DJ51" s="43">
        <f t="shared" si="302"/>
        <v>2.6666666666666687E-3</v>
      </c>
      <c r="DK51" s="43">
        <f t="shared" si="303"/>
        <v>2.5000000000000022E-3</v>
      </c>
      <c r="DL51" s="43">
        <f t="shared" si="304"/>
        <v>2.3333333333333357E-3</v>
      </c>
      <c r="DM51" s="43">
        <f t="shared" si="305"/>
        <v>2.1666666666666692E-3</v>
      </c>
      <c r="DN51" s="43">
        <f t="shared" si="306"/>
        <v>2.0000000000000026E-3</v>
      </c>
      <c r="DO51" s="43">
        <f t="shared" si="307"/>
        <v>1.8333333333333359E-3</v>
      </c>
      <c r="DP51" s="43">
        <f t="shared" si="308"/>
        <v>1.6666666666666692E-3</v>
      </c>
      <c r="DQ51" s="43">
        <f t="shared" si="309"/>
        <v>1.5000000000000024E-3</v>
      </c>
      <c r="DR51" s="43">
        <f t="shared" si="310"/>
        <v>1.3333333333333357E-3</v>
      </c>
      <c r="DS51" s="43">
        <f t="shared" si="311"/>
        <v>1.1666666666666689E-3</v>
      </c>
      <c r="DT51" s="43">
        <f t="shared" si="312"/>
        <v>1.0000000000000022E-3</v>
      </c>
      <c r="DU51" s="43">
        <f t="shared" si="313"/>
        <v>8.3333333333333556E-4</v>
      </c>
      <c r="DV51" s="43">
        <f t="shared" si="314"/>
        <v>6.6666666666666892E-4</v>
      </c>
      <c r="DW51" s="43">
        <f t="shared" si="315"/>
        <v>5.0000000000000229E-4</v>
      </c>
      <c r="DX51" s="43">
        <f t="shared" si="316"/>
        <v>3.3333333333333565E-4</v>
      </c>
      <c r="DY51" s="43">
        <f t="shared" si="317"/>
        <v>1.6666666666666899E-4</v>
      </c>
      <c r="DZ51" s="43">
        <f t="shared" si="318"/>
        <v>0</v>
      </c>
    </row>
    <row r="52" spans="1:165" x14ac:dyDescent="0.2">
      <c r="A52" s="606" t="s">
        <v>451</v>
      </c>
      <c r="C52" s="54" t="s">
        <v>458</v>
      </c>
      <c r="D52" s="43">
        <f>$B$191</f>
        <v>0</v>
      </c>
      <c r="E52" s="43">
        <f t="shared" ref="E52:AG52" si="331">D52-($D52-$AH52)/30</f>
        <v>0</v>
      </c>
      <c r="F52" s="43">
        <f t="shared" si="331"/>
        <v>0</v>
      </c>
      <c r="G52" s="43">
        <f t="shared" si="331"/>
        <v>0</v>
      </c>
      <c r="H52" s="43">
        <f t="shared" si="331"/>
        <v>0</v>
      </c>
      <c r="I52" s="43">
        <f t="shared" si="331"/>
        <v>0</v>
      </c>
      <c r="J52" s="43">
        <f t="shared" si="331"/>
        <v>0</v>
      </c>
      <c r="K52" s="43">
        <f t="shared" si="331"/>
        <v>0</v>
      </c>
      <c r="L52" s="43">
        <f t="shared" si="331"/>
        <v>0</v>
      </c>
      <c r="M52" s="43">
        <f t="shared" si="331"/>
        <v>0</v>
      </c>
      <c r="N52" s="43">
        <f t="shared" si="331"/>
        <v>0</v>
      </c>
      <c r="O52" s="43">
        <f t="shared" si="331"/>
        <v>0</v>
      </c>
      <c r="P52" s="43">
        <f t="shared" si="331"/>
        <v>0</v>
      </c>
      <c r="Q52" s="43">
        <f t="shared" si="331"/>
        <v>0</v>
      </c>
      <c r="R52" s="43">
        <f t="shared" si="331"/>
        <v>0</v>
      </c>
      <c r="S52" s="43">
        <f t="shared" si="331"/>
        <v>0</v>
      </c>
      <c r="T52" s="43">
        <f t="shared" si="331"/>
        <v>0</v>
      </c>
      <c r="U52" s="43">
        <f t="shared" si="331"/>
        <v>0</v>
      </c>
      <c r="V52" s="43">
        <f t="shared" si="331"/>
        <v>0</v>
      </c>
      <c r="W52" s="43">
        <f t="shared" si="331"/>
        <v>0</v>
      </c>
      <c r="X52" s="43">
        <f t="shared" si="331"/>
        <v>0</v>
      </c>
      <c r="Y52" s="43">
        <f t="shared" si="331"/>
        <v>0</v>
      </c>
      <c r="Z52" s="43">
        <f t="shared" si="331"/>
        <v>0</v>
      </c>
      <c r="AA52" s="43">
        <f t="shared" si="331"/>
        <v>0</v>
      </c>
      <c r="AB52" s="43">
        <f t="shared" si="331"/>
        <v>0</v>
      </c>
      <c r="AC52" s="43">
        <f t="shared" si="331"/>
        <v>0</v>
      </c>
      <c r="AD52" s="43">
        <f t="shared" si="331"/>
        <v>0</v>
      </c>
      <c r="AE52" s="43">
        <f t="shared" si="331"/>
        <v>0</v>
      </c>
      <c r="AF52" s="43">
        <f t="shared" si="331"/>
        <v>0</v>
      </c>
      <c r="AG52" s="43">
        <f t="shared" si="331"/>
        <v>0</v>
      </c>
      <c r="AH52" s="43">
        <f>$C$191</f>
        <v>0</v>
      </c>
      <c r="AI52" s="44"/>
      <c r="AJ52" s="43">
        <f t="shared" si="320"/>
        <v>0</v>
      </c>
      <c r="AK52" s="43">
        <f t="shared" si="258"/>
        <v>0</v>
      </c>
      <c r="AL52" s="43">
        <f t="shared" si="259"/>
        <v>0</v>
      </c>
      <c r="AM52" s="43">
        <f t="shared" si="260"/>
        <v>0</v>
      </c>
      <c r="AN52" s="43">
        <f t="shared" si="261"/>
        <v>0</v>
      </c>
      <c r="AO52" s="43">
        <f t="shared" si="262"/>
        <v>0</v>
      </c>
      <c r="AP52" s="43">
        <f t="shared" si="263"/>
        <v>0</v>
      </c>
      <c r="AQ52" s="43">
        <f t="shared" si="264"/>
        <v>0</v>
      </c>
      <c r="AR52" s="43">
        <f t="shared" si="265"/>
        <v>0</v>
      </c>
      <c r="AS52" s="43">
        <f t="shared" si="266"/>
        <v>0</v>
      </c>
      <c r="AT52" s="43">
        <f t="shared" si="267"/>
        <v>0</v>
      </c>
      <c r="AU52" s="43">
        <f t="shared" si="268"/>
        <v>0</v>
      </c>
      <c r="AV52" s="43">
        <f t="shared" si="269"/>
        <v>0</v>
      </c>
      <c r="AW52" s="43">
        <f t="shared" si="270"/>
        <v>0</v>
      </c>
      <c r="AX52" s="43">
        <f t="shared" si="271"/>
        <v>0</v>
      </c>
      <c r="AY52" s="43">
        <f t="shared" si="272"/>
        <v>0</v>
      </c>
      <c r="AZ52" s="43">
        <f t="shared" si="273"/>
        <v>0</v>
      </c>
      <c r="BA52" s="43">
        <f t="shared" si="274"/>
        <v>0</v>
      </c>
      <c r="BB52" s="43">
        <f t="shared" si="275"/>
        <v>0</v>
      </c>
      <c r="BC52" s="43">
        <f t="shared" si="276"/>
        <v>0</v>
      </c>
      <c r="BD52" s="43">
        <f t="shared" si="277"/>
        <v>0</v>
      </c>
      <c r="BE52" s="43">
        <f t="shared" si="278"/>
        <v>0</v>
      </c>
      <c r="BF52" s="43">
        <f t="shared" si="279"/>
        <v>0</v>
      </c>
      <c r="BG52" s="43">
        <f t="shared" si="280"/>
        <v>0</v>
      </c>
      <c r="BH52" s="43">
        <f t="shared" si="281"/>
        <v>0</v>
      </c>
      <c r="BI52" s="43">
        <f t="shared" si="282"/>
        <v>0</v>
      </c>
      <c r="BJ52" s="43">
        <f t="shared" si="283"/>
        <v>0</v>
      </c>
      <c r="BK52" s="43">
        <f t="shared" si="284"/>
        <v>0</v>
      </c>
      <c r="BL52" s="43">
        <f t="shared" si="285"/>
        <v>0</v>
      </c>
      <c r="BM52" s="43">
        <f t="shared" si="286"/>
        <v>0</v>
      </c>
      <c r="BN52" s="43">
        <f t="shared" si="287"/>
        <v>0</v>
      </c>
      <c r="BP52" s="43">
        <f t="shared" si="321"/>
        <v>0</v>
      </c>
      <c r="BQ52" s="43">
        <f t="shared" ref="BQ52:CS52" si="332">BP52-($BP52-$CT52)/30</f>
        <v>0</v>
      </c>
      <c r="BR52" s="43">
        <f t="shared" si="332"/>
        <v>0</v>
      </c>
      <c r="BS52" s="43">
        <f t="shared" si="332"/>
        <v>0</v>
      </c>
      <c r="BT52" s="43">
        <f t="shared" si="332"/>
        <v>0</v>
      </c>
      <c r="BU52" s="43">
        <f t="shared" si="332"/>
        <v>0</v>
      </c>
      <c r="BV52" s="43">
        <f t="shared" si="332"/>
        <v>0</v>
      </c>
      <c r="BW52" s="43">
        <f t="shared" si="332"/>
        <v>0</v>
      </c>
      <c r="BX52" s="43">
        <f t="shared" si="332"/>
        <v>0</v>
      </c>
      <c r="BY52" s="43">
        <f t="shared" si="332"/>
        <v>0</v>
      </c>
      <c r="BZ52" s="43">
        <f t="shared" si="332"/>
        <v>0</v>
      </c>
      <c r="CA52" s="43">
        <f t="shared" si="332"/>
        <v>0</v>
      </c>
      <c r="CB52" s="43">
        <f t="shared" si="332"/>
        <v>0</v>
      </c>
      <c r="CC52" s="43">
        <f t="shared" si="332"/>
        <v>0</v>
      </c>
      <c r="CD52" s="43">
        <f t="shared" si="332"/>
        <v>0</v>
      </c>
      <c r="CE52" s="43">
        <f t="shared" si="332"/>
        <v>0</v>
      </c>
      <c r="CF52" s="43">
        <f t="shared" si="332"/>
        <v>0</v>
      </c>
      <c r="CG52" s="43">
        <f t="shared" si="332"/>
        <v>0</v>
      </c>
      <c r="CH52" s="43">
        <f t="shared" si="332"/>
        <v>0</v>
      </c>
      <c r="CI52" s="43">
        <f t="shared" si="332"/>
        <v>0</v>
      </c>
      <c r="CJ52" s="43">
        <f t="shared" si="332"/>
        <v>0</v>
      </c>
      <c r="CK52" s="43">
        <f t="shared" si="332"/>
        <v>0</v>
      </c>
      <c r="CL52" s="43">
        <f t="shared" si="332"/>
        <v>0</v>
      </c>
      <c r="CM52" s="43">
        <f t="shared" si="332"/>
        <v>0</v>
      </c>
      <c r="CN52" s="43">
        <f t="shared" si="332"/>
        <v>0</v>
      </c>
      <c r="CO52" s="43">
        <f t="shared" si="332"/>
        <v>0</v>
      </c>
      <c r="CP52" s="43">
        <f t="shared" si="332"/>
        <v>0</v>
      </c>
      <c r="CQ52" s="43">
        <f t="shared" si="332"/>
        <v>0</v>
      </c>
      <c r="CR52" s="43">
        <f t="shared" si="332"/>
        <v>0</v>
      </c>
      <c r="CS52" s="43">
        <f t="shared" si="332"/>
        <v>0</v>
      </c>
      <c r="CT52" s="43">
        <f t="shared" si="330"/>
        <v>0</v>
      </c>
      <c r="CV52" s="43">
        <f t="shared" ref="CV52:CV55" si="333">AJ52</f>
        <v>0</v>
      </c>
      <c r="CW52" s="43">
        <f t="shared" ref="CW52:CW55" si="334">CV52-($BP52-$CT52)/30</f>
        <v>0</v>
      </c>
      <c r="CX52" s="43">
        <f t="shared" ref="CX52:CX55" si="335">CW52-($BP52-$CT52)/30</f>
        <v>0</v>
      </c>
      <c r="CY52" s="43">
        <f t="shared" ref="CY52:CY55" si="336">CX52-($BP52-$CT52)/30</f>
        <v>0</v>
      </c>
      <c r="CZ52" s="43">
        <f t="shared" ref="CZ52:CZ55" si="337">CY52-($BP52-$CT52)/30</f>
        <v>0</v>
      </c>
      <c r="DA52" s="43">
        <f t="shared" ref="DA52:DA55" si="338">CZ52-($BP52-$CT52)/30</f>
        <v>0</v>
      </c>
      <c r="DB52" s="43">
        <f t="shared" ref="DB52:DB55" si="339">DA52-($BP52-$CT52)/30</f>
        <v>0</v>
      </c>
      <c r="DC52" s="43">
        <f t="shared" ref="DC52:DC55" si="340">DB52-($BP52-$CT52)/30</f>
        <v>0</v>
      </c>
      <c r="DD52" s="43">
        <f t="shared" ref="DD52:DD55" si="341">DC52-($BP52-$CT52)/30</f>
        <v>0</v>
      </c>
      <c r="DE52" s="43">
        <f t="shared" ref="DE52:DE55" si="342">DD52-($BP52-$CT52)/30</f>
        <v>0</v>
      </c>
      <c r="DF52" s="43">
        <f t="shared" ref="DF52:DF55" si="343">DE52-($BP52-$CT52)/30</f>
        <v>0</v>
      </c>
      <c r="DG52" s="43">
        <f t="shared" ref="DG52:DG55" si="344">DF52-($BP52-$CT52)/30</f>
        <v>0</v>
      </c>
      <c r="DH52" s="43">
        <f t="shared" ref="DH52:DH55" si="345">DG52-($BP52-$CT52)/30</f>
        <v>0</v>
      </c>
      <c r="DI52" s="43">
        <f t="shared" ref="DI52:DI55" si="346">DH52-($BP52-$CT52)/30</f>
        <v>0</v>
      </c>
      <c r="DJ52" s="43">
        <f t="shared" ref="DJ52:DJ55" si="347">DI52-($BP52-$CT52)/30</f>
        <v>0</v>
      </c>
      <c r="DK52" s="43">
        <f t="shared" ref="DK52:DK55" si="348">DJ52-($BP52-$CT52)/30</f>
        <v>0</v>
      </c>
      <c r="DL52" s="43">
        <f t="shared" ref="DL52:DL55" si="349">DK52-($BP52-$CT52)/30</f>
        <v>0</v>
      </c>
      <c r="DM52" s="43">
        <f t="shared" ref="DM52:DM55" si="350">DL52-($BP52-$CT52)/30</f>
        <v>0</v>
      </c>
      <c r="DN52" s="43">
        <f t="shared" ref="DN52:DN55" si="351">DM52-($BP52-$CT52)/30</f>
        <v>0</v>
      </c>
      <c r="DO52" s="43">
        <f t="shared" ref="DO52:DO55" si="352">DN52-($BP52-$CT52)/30</f>
        <v>0</v>
      </c>
      <c r="DP52" s="43">
        <f t="shared" ref="DP52:DP55" si="353">DO52-($BP52-$CT52)/30</f>
        <v>0</v>
      </c>
      <c r="DQ52" s="43">
        <f t="shared" ref="DQ52:DQ55" si="354">DP52-($BP52-$CT52)/30</f>
        <v>0</v>
      </c>
      <c r="DR52" s="43">
        <f t="shared" ref="DR52:DR55" si="355">DQ52-($BP52-$CT52)/30</f>
        <v>0</v>
      </c>
      <c r="DS52" s="43">
        <f t="shared" ref="DS52:DS55" si="356">DR52-($BP52-$CT52)/30</f>
        <v>0</v>
      </c>
      <c r="DT52" s="43">
        <f t="shared" ref="DT52:DT55" si="357">DS52-($BP52-$CT52)/30</f>
        <v>0</v>
      </c>
      <c r="DU52" s="43">
        <f t="shared" ref="DU52:DU55" si="358">DT52-($BP52-$CT52)/30</f>
        <v>0</v>
      </c>
      <c r="DV52" s="43">
        <f t="shared" ref="DV52:DV55" si="359">DU52-($BP52-$CT52)/30</f>
        <v>0</v>
      </c>
      <c r="DW52" s="43">
        <f t="shared" ref="DW52:DW55" si="360">DV52-($BP52-$CT52)/30</f>
        <v>0</v>
      </c>
      <c r="DX52" s="43">
        <f t="shared" ref="DX52:DX55" si="361">DW52-($BP52-$CT52)/30</f>
        <v>0</v>
      </c>
      <c r="DY52" s="43">
        <f t="shared" ref="DY52:DY55" si="362">DX52-($BP52-$CT52)/30</f>
        <v>0</v>
      </c>
      <c r="DZ52" s="43">
        <v>0</v>
      </c>
    </row>
    <row r="53" spans="1:165" x14ac:dyDescent="0.2">
      <c r="A53" s="606" t="s">
        <v>452</v>
      </c>
      <c r="C53" s="54" t="s">
        <v>458</v>
      </c>
      <c r="D53" s="43">
        <f>$B$192</f>
        <v>2.8940000000000001</v>
      </c>
      <c r="E53" s="43">
        <f t="shared" ref="E53:AG53" si="363">D53-($D53-$AH53)/30</f>
        <v>2.8940000000000001</v>
      </c>
      <c r="F53" s="43">
        <f t="shared" si="363"/>
        <v>2.8940000000000001</v>
      </c>
      <c r="G53" s="43">
        <f t="shared" si="363"/>
        <v>2.8940000000000001</v>
      </c>
      <c r="H53" s="43">
        <f t="shared" si="363"/>
        <v>2.8940000000000001</v>
      </c>
      <c r="I53" s="43">
        <f t="shared" si="363"/>
        <v>2.8940000000000001</v>
      </c>
      <c r="J53" s="43">
        <f t="shared" si="363"/>
        <v>2.8940000000000001</v>
      </c>
      <c r="K53" s="43">
        <f t="shared" si="363"/>
        <v>2.8940000000000001</v>
      </c>
      <c r="L53" s="43">
        <f t="shared" si="363"/>
        <v>2.8940000000000001</v>
      </c>
      <c r="M53" s="43">
        <f t="shared" si="363"/>
        <v>2.8940000000000001</v>
      </c>
      <c r="N53" s="43">
        <f t="shared" si="363"/>
        <v>2.8940000000000001</v>
      </c>
      <c r="O53" s="43">
        <f t="shared" si="363"/>
        <v>2.8940000000000001</v>
      </c>
      <c r="P53" s="43">
        <f t="shared" si="363"/>
        <v>2.8940000000000001</v>
      </c>
      <c r="Q53" s="43">
        <f t="shared" si="363"/>
        <v>2.8940000000000001</v>
      </c>
      <c r="R53" s="43">
        <f t="shared" si="363"/>
        <v>2.8940000000000001</v>
      </c>
      <c r="S53" s="43">
        <f t="shared" si="363"/>
        <v>2.8940000000000001</v>
      </c>
      <c r="T53" s="43">
        <f t="shared" si="363"/>
        <v>2.8940000000000001</v>
      </c>
      <c r="U53" s="43">
        <f t="shared" si="363"/>
        <v>2.8940000000000001</v>
      </c>
      <c r="V53" s="43">
        <f t="shared" si="363"/>
        <v>2.8940000000000001</v>
      </c>
      <c r="W53" s="43">
        <f t="shared" si="363"/>
        <v>2.8940000000000001</v>
      </c>
      <c r="X53" s="43">
        <f t="shared" si="363"/>
        <v>2.8940000000000001</v>
      </c>
      <c r="Y53" s="43">
        <f t="shared" si="363"/>
        <v>2.8940000000000001</v>
      </c>
      <c r="Z53" s="43">
        <f t="shared" si="363"/>
        <v>2.8940000000000001</v>
      </c>
      <c r="AA53" s="43">
        <f t="shared" si="363"/>
        <v>2.8940000000000001</v>
      </c>
      <c r="AB53" s="43">
        <f t="shared" si="363"/>
        <v>2.8940000000000001</v>
      </c>
      <c r="AC53" s="43">
        <f t="shared" si="363"/>
        <v>2.8940000000000001</v>
      </c>
      <c r="AD53" s="43">
        <f t="shared" si="363"/>
        <v>2.8940000000000001</v>
      </c>
      <c r="AE53" s="43">
        <f t="shared" si="363"/>
        <v>2.8940000000000001</v>
      </c>
      <c r="AF53" s="43">
        <f t="shared" si="363"/>
        <v>2.8940000000000001</v>
      </c>
      <c r="AG53" s="43">
        <f t="shared" si="363"/>
        <v>2.8940000000000001</v>
      </c>
      <c r="AH53" s="43">
        <f>$C$192</f>
        <v>2.8940000000000001</v>
      </c>
      <c r="AI53" s="44"/>
      <c r="AJ53" s="43">
        <f t="shared" si="320"/>
        <v>2.8940000000000001</v>
      </c>
      <c r="AK53" s="43">
        <f t="shared" si="258"/>
        <v>2.8940000000000001</v>
      </c>
      <c r="AL53" s="43">
        <f t="shared" si="259"/>
        <v>2.8940000000000001</v>
      </c>
      <c r="AM53" s="43">
        <f t="shared" si="260"/>
        <v>2.8940000000000001</v>
      </c>
      <c r="AN53" s="43">
        <f t="shared" si="261"/>
        <v>2.8940000000000001</v>
      </c>
      <c r="AO53" s="43">
        <f t="shared" si="262"/>
        <v>2.8940000000000001</v>
      </c>
      <c r="AP53" s="43">
        <f t="shared" si="263"/>
        <v>2.8940000000000001</v>
      </c>
      <c r="AQ53" s="43">
        <f t="shared" si="264"/>
        <v>2.8940000000000001</v>
      </c>
      <c r="AR53" s="43">
        <f t="shared" si="265"/>
        <v>2.8940000000000001</v>
      </c>
      <c r="AS53" s="43">
        <f t="shared" si="266"/>
        <v>2.8940000000000001</v>
      </c>
      <c r="AT53" s="43">
        <f t="shared" si="267"/>
        <v>2.8940000000000001</v>
      </c>
      <c r="AU53" s="43">
        <f t="shared" si="268"/>
        <v>2.8940000000000001</v>
      </c>
      <c r="AV53" s="43">
        <f t="shared" si="269"/>
        <v>2.8940000000000001</v>
      </c>
      <c r="AW53" s="43">
        <f t="shared" si="270"/>
        <v>2.8940000000000001</v>
      </c>
      <c r="AX53" s="43">
        <f t="shared" si="271"/>
        <v>2.8940000000000001</v>
      </c>
      <c r="AY53" s="43">
        <f t="shared" si="272"/>
        <v>2.8940000000000001</v>
      </c>
      <c r="AZ53" s="43">
        <f t="shared" si="273"/>
        <v>2.8940000000000001</v>
      </c>
      <c r="BA53" s="43">
        <f t="shared" si="274"/>
        <v>2.8940000000000001</v>
      </c>
      <c r="BB53" s="43">
        <f t="shared" si="275"/>
        <v>2.8940000000000001</v>
      </c>
      <c r="BC53" s="43">
        <f t="shared" si="276"/>
        <v>2.8940000000000001</v>
      </c>
      <c r="BD53" s="43">
        <f t="shared" si="277"/>
        <v>2.8940000000000001</v>
      </c>
      <c r="BE53" s="43">
        <f t="shared" si="278"/>
        <v>2.8940000000000001</v>
      </c>
      <c r="BF53" s="43">
        <f t="shared" si="279"/>
        <v>2.8940000000000001</v>
      </c>
      <c r="BG53" s="43">
        <f t="shared" si="280"/>
        <v>2.8940000000000001</v>
      </c>
      <c r="BH53" s="43">
        <f t="shared" si="281"/>
        <v>2.8940000000000001</v>
      </c>
      <c r="BI53" s="43">
        <f t="shared" si="282"/>
        <v>2.8940000000000001</v>
      </c>
      <c r="BJ53" s="43">
        <f t="shared" si="283"/>
        <v>2.8940000000000001</v>
      </c>
      <c r="BK53" s="43">
        <f t="shared" si="284"/>
        <v>2.8940000000000001</v>
      </c>
      <c r="BL53" s="43">
        <f t="shared" si="285"/>
        <v>2.8940000000000001</v>
      </c>
      <c r="BM53" s="43">
        <f t="shared" si="286"/>
        <v>2.8940000000000001</v>
      </c>
      <c r="BN53" s="43">
        <f t="shared" si="287"/>
        <v>2.8940000000000001</v>
      </c>
      <c r="BP53" s="43">
        <f t="shared" si="321"/>
        <v>2.8940000000000001</v>
      </c>
      <c r="BQ53" s="43">
        <f t="shared" ref="BQ53:CS53" si="364">BP53-($BP53-$CT53)/30</f>
        <v>2.8940000000000001</v>
      </c>
      <c r="BR53" s="43">
        <f t="shared" si="364"/>
        <v>2.8940000000000001</v>
      </c>
      <c r="BS53" s="43">
        <f t="shared" si="364"/>
        <v>2.8940000000000001</v>
      </c>
      <c r="BT53" s="43">
        <f t="shared" si="364"/>
        <v>2.8940000000000001</v>
      </c>
      <c r="BU53" s="43">
        <f t="shared" si="364"/>
        <v>2.8940000000000001</v>
      </c>
      <c r="BV53" s="43">
        <f t="shared" si="364"/>
        <v>2.8940000000000001</v>
      </c>
      <c r="BW53" s="43">
        <f t="shared" si="364"/>
        <v>2.8940000000000001</v>
      </c>
      <c r="BX53" s="43">
        <f t="shared" si="364"/>
        <v>2.8940000000000001</v>
      </c>
      <c r="BY53" s="43">
        <f t="shared" si="364"/>
        <v>2.8940000000000001</v>
      </c>
      <c r="BZ53" s="43">
        <f t="shared" si="364"/>
        <v>2.8940000000000001</v>
      </c>
      <c r="CA53" s="43">
        <f t="shared" si="364"/>
        <v>2.8940000000000001</v>
      </c>
      <c r="CB53" s="43">
        <f t="shared" si="364"/>
        <v>2.8940000000000001</v>
      </c>
      <c r="CC53" s="43">
        <f t="shared" si="364"/>
        <v>2.8940000000000001</v>
      </c>
      <c r="CD53" s="43">
        <f t="shared" si="364"/>
        <v>2.8940000000000001</v>
      </c>
      <c r="CE53" s="43">
        <f t="shared" si="364"/>
        <v>2.8940000000000001</v>
      </c>
      <c r="CF53" s="43">
        <f t="shared" si="364"/>
        <v>2.8940000000000001</v>
      </c>
      <c r="CG53" s="43">
        <f t="shared" si="364"/>
        <v>2.8940000000000001</v>
      </c>
      <c r="CH53" s="43">
        <f t="shared" si="364"/>
        <v>2.8940000000000001</v>
      </c>
      <c r="CI53" s="43">
        <f t="shared" si="364"/>
        <v>2.8940000000000001</v>
      </c>
      <c r="CJ53" s="43">
        <f t="shared" si="364"/>
        <v>2.8940000000000001</v>
      </c>
      <c r="CK53" s="43">
        <f t="shared" si="364"/>
        <v>2.8940000000000001</v>
      </c>
      <c r="CL53" s="43">
        <f t="shared" si="364"/>
        <v>2.8940000000000001</v>
      </c>
      <c r="CM53" s="43">
        <f t="shared" si="364"/>
        <v>2.8940000000000001</v>
      </c>
      <c r="CN53" s="43">
        <f t="shared" si="364"/>
        <v>2.8940000000000001</v>
      </c>
      <c r="CO53" s="43">
        <f t="shared" si="364"/>
        <v>2.8940000000000001</v>
      </c>
      <c r="CP53" s="43">
        <f t="shared" si="364"/>
        <v>2.8940000000000001</v>
      </c>
      <c r="CQ53" s="43">
        <f t="shared" si="364"/>
        <v>2.8940000000000001</v>
      </c>
      <c r="CR53" s="43">
        <f t="shared" si="364"/>
        <v>2.8940000000000001</v>
      </c>
      <c r="CS53" s="43">
        <f t="shared" si="364"/>
        <v>2.8940000000000001</v>
      </c>
      <c r="CT53" s="43">
        <f t="shared" si="330"/>
        <v>2.8940000000000001</v>
      </c>
      <c r="CV53" s="43">
        <f t="shared" si="333"/>
        <v>2.8940000000000001</v>
      </c>
      <c r="CW53" s="43">
        <f t="shared" si="334"/>
        <v>2.8940000000000001</v>
      </c>
      <c r="CX53" s="43">
        <f t="shared" si="335"/>
        <v>2.8940000000000001</v>
      </c>
      <c r="CY53" s="43">
        <f t="shared" si="336"/>
        <v>2.8940000000000001</v>
      </c>
      <c r="CZ53" s="43">
        <f t="shared" si="337"/>
        <v>2.8940000000000001</v>
      </c>
      <c r="DA53" s="43">
        <f t="shared" si="338"/>
        <v>2.8940000000000001</v>
      </c>
      <c r="DB53" s="43">
        <f t="shared" si="339"/>
        <v>2.8940000000000001</v>
      </c>
      <c r="DC53" s="43">
        <f t="shared" si="340"/>
        <v>2.8940000000000001</v>
      </c>
      <c r="DD53" s="43">
        <f t="shared" si="341"/>
        <v>2.8940000000000001</v>
      </c>
      <c r="DE53" s="43">
        <f t="shared" si="342"/>
        <v>2.8940000000000001</v>
      </c>
      <c r="DF53" s="43">
        <f t="shared" si="343"/>
        <v>2.8940000000000001</v>
      </c>
      <c r="DG53" s="43">
        <f t="shared" si="344"/>
        <v>2.8940000000000001</v>
      </c>
      <c r="DH53" s="43">
        <f t="shared" si="345"/>
        <v>2.8940000000000001</v>
      </c>
      <c r="DI53" s="43">
        <f t="shared" si="346"/>
        <v>2.8940000000000001</v>
      </c>
      <c r="DJ53" s="43">
        <f t="shared" si="347"/>
        <v>2.8940000000000001</v>
      </c>
      <c r="DK53" s="43">
        <f t="shared" si="348"/>
        <v>2.8940000000000001</v>
      </c>
      <c r="DL53" s="43">
        <f t="shared" si="349"/>
        <v>2.8940000000000001</v>
      </c>
      <c r="DM53" s="43">
        <f t="shared" si="350"/>
        <v>2.8940000000000001</v>
      </c>
      <c r="DN53" s="43">
        <f t="shared" si="351"/>
        <v>2.8940000000000001</v>
      </c>
      <c r="DO53" s="43">
        <f t="shared" si="352"/>
        <v>2.8940000000000001</v>
      </c>
      <c r="DP53" s="43">
        <f t="shared" si="353"/>
        <v>2.8940000000000001</v>
      </c>
      <c r="DQ53" s="43">
        <f t="shared" si="354"/>
        <v>2.8940000000000001</v>
      </c>
      <c r="DR53" s="43">
        <f t="shared" si="355"/>
        <v>2.8940000000000001</v>
      </c>
      <c r="DS53" s="43">
        <f t="shared" si="356"/>
        <v>2.8940000000000001</v>
      </c>
      <c r="DT53" s="43">
        <f t="shared" si="357"/>
        <v>2.8940000000000001</v>
      </c>
      <c r="DU53" s="43">
        <f t="shared" si="358"/>
        <v>2.8940000000000001</v>
      </c>
      <c r="DV53" s="43">
        <f t="shared" si="359"/>
        <v>2.8940000000000001</v>
      </c>
      <c r="DW53" s="43">
        <f t="shared" si="360"/>
        <v>2.8940000000000001</v>
      </c>
      <c r="DX53" s="43">
        <f t="shared" si="361"/>
        <v>2.8940000000000001</v>
      </c>
      <c r="DY53" s="43">
        <f t="shared" si="362"/>
        <v>2.8940000000000001</v>
      </c>
      <c r="DZ53" s="43">
        <f t="shared" ref="DZ53:DZ55" si="365">CV53</f>
        <v>2.8940000000000001</v>
      </c>
    </row>
    <row r="54" spans="1:165" x14ac:dyDescent="0.2">
      <c r="A54" s="606" t="s">
        <v>453</v>
      </c>
      <c r="C54" s="54" t="s">
        <v>458</v>
      </c>
      <c r="D54" s="43">
        <f>$B$193</f>
        <v>0</v>
      </c>
      <c r="E54" s="43">
        <f t="shared" ref="E54:AG54" si="366">D54-($D54-$AH54)/30</f>
        <v>0</v>
      </c>
      <c r="F54" s="43">
        <f t="shared" si="366"/>
        <v>0</v>
      </c>
      <c r="G54" s="43">
        <f t="shared" si="366"/>
        <v>0</v>
      </c>
      <c r="H54" s="43">
        <f t="shared" si="366"/>
        <v>0</v>
      </c>
      <c r="I54" s="43">
        <f t="shared" si="366"/>
        <v>0</v>
      </c>
      <c r="J54" s="43">
        <f t="shared" si="366"/>
        <v>0</v>
      </c>
      <c r="K54" s="43">
        <f t="shared" si="366"/>
        <v>0</v>
      </c>
      <c r="L54" s="43">
        <f t="shared" si="366"/>
        <v>0</v>
      </c>
      <c r="M54" s="43">
        <f t="shared" si="366"/>
        <v>0</v>
      </c>
      <c r="N54" s="43">
        <f t="shared" si="366"/>
        <v>0</v>
      </c>
      <c r="O54" s="43">
        <f t="shared" si="366"/>
        <v>0</v>
      </c>
      <c r="P54" s="43">
        <f t="shared" si="366"/>
        <v>0</v>
      </c>
      <c r="Q54" s="43">
        <f t="shared" si="366"/>
        <v>0</v>
      </c>
      <c r="R54" s="43">
        <f t="shared" si="366"/>
        <v>0</v>
      </c>
      <c r="S54" s="43">
        <f t="shared" si="366"/>
        <v>0</v>
      </c>
      <c r="T54" s="43">
        <f t="shared" si="366"/>
        <v>0</v>
      </c>
      <c r="U54" s="43">
        <f t="shared" si="366"/>
        <v>0</v>
      </c>
      <c r="V54" s="43">
        <f t="shared" si="366"/>
        <v>0</v>
      </c>
      <c r="W54" s="43">
        <f t="shared" si="366"/>
        <v>0</v>
      </c>
      <c r="X54" s="43">
        <f t="shared" si="366"/>
        <v>0</v>
      </c>
      <c r="Y54" s="43">
        <f t="shared" si="366"/>
        <v>0</v>
      </c>
      <c r="Z54" s="43">
        <f t="shared" si="366"/>
        <v>0</v>
      </c>
      <c r="AA54" s="43">
        <f t="shared" si="366"/>
        <v>0</v>
      </c>
      <c r="AB54" s="43">
        <f t="shared" si="366"/>
        <v>0</v>
      </c>
      <c r="AC54" s="43">
        <f t="shared" si="366"/>
        <v>0</v>
      </c>
      <c r="AD54" s="43">
        <f t="shared" si="366"/>
        <v>0</v>
      </c>
      <c r="AE54" s="43">
        <f t="shared" si="366"/>
        <v>0</v>
      </c>
      <c r="AF54" s="43">
        <f t="shared" si="366"/>
        <v>0</v>
      </c>
      <c r="AG54" s="43">
        <f t="shared" si="366"/>
        <v>0</v>
      </c>
      <c r="AH54" s="43">
        <f>$C$193</f>
        <v>0</v>
      </c>
      <c r="AI54" s="44"/>
      <c r="AJ54" s="43">
        <f t="shared" si="320"/>
        <v>0</v>
      </c>
      <c r="AK54" s="43">
        <f t="shared" si="258"/>
        <v>0</v>
      </c>
      <c r="AL54" s="43">
        <f t="shared" si="259"/>
        <v>0</v>
      </c>
      <c r="AM54" s="43">
        <f t="shared" si="260"/>
        <v>0</v>
      </c>
      <c r="AN54" s="43">
        <f t="shared" si="261"/>
        <v>0</v>
      </c>
      <c r="AO54" s="43">
        <f t="shared" si="262"/>
        <v>0</v>
      </c>
      <c r="AP54" s="43">
        <f t="shared" si="263"/>
        <v>0</v>
      </c>
      <c r="AQ54" s="43">
        <f t="shared" si="264"/>
        <v>0</v>
      </c>
      <c r="AR54" s="43">
        <f t="shared" si="265"/>
        <v>0</v>
      </c>
      <c r="AS54" s="43">
        <f t="shared" si="266"/>
        <v>0</v>
      </c>
      <c r="AT54" s="43">
        <f t="shared" si="267"/>
        <v>0</v>
      </c>
      <c r="AU54" s="43">
        <f t="shared" si="268"/>
        <v>0</v>
      </c>
      <c r="AV54" s="43">
        <f t="shared" si="269"/>
        <v>0</v>
      </c>
      <c r="AW54" s="43">
        <f t="shared" si="270"/>
        <v>0</v>
      </c>
      <c r="AX54" s="43">
        <f t="shared" si="271"/>
        <v>0</v>
      </c>
      <c r="AY54" s="43">
        <f t="shared" si="272"/>
        <v>0</v>
      </c>
      <c r="AZ54" s="43">
        <f t="shared" si="273"/>
        <v>0</v>
      </c>
      <c r="BA54" s="43">
        <f t="shared" si="274"/>
        <v>0</v>
      </c>
      <c r="BB54" s="43">
        <f t="shared" si="275"/>
        <v>0</v>
      </c>
      <c r="BC54" s="43">
        <f t="shared" si="276"/>
        <v>0</v>
      </c>
      <c r="BD54" s="43">
        <f t="shared" si="277"/>
        <v>0</v>
      </c>
      <c r="BE54" s="43">
        <f t="shared" si="278"/>
        <v>0</v>
      </c>
      <c r="BF54" s="43">
        <f t="shared" si="279"/>
        <v>0</v>
      </c>
      <c r="BG54" s="43">
        <f t="shared" si="280"/>
        <v>0</v>
      </c>
      <c r="BH54" s="43">
        <f t="shared" si="281"/>
        <v>0</v>
      </c>
      <c r="BI54" s="43">
        <f t="shared" si="282"/>
        <v>0</v>
      </c>
      <c r="BJ54" s="43">
        <f t="shared" si="283"/>
        <v>0</v>
      </c>
      <c r="BK54" s="43">
        <f t="shared" si="284"/>
        <v>0</v>
      </c>
      <c r="BL54" s="43">
        <f t="shared" si="285"/>
        <v>0</v>
      </c>
      <c r="BM54" s="43">
        <f t="shared" si="286"/>
        <v>0</v>
      </c>
      <c r="BN54" s="43">
        <f t="shared" si="287"/>
        <v>0</v>
      </c>
      <c r="BP54" s="43">
        <f t="shared" si="321"/>
        <v>0</v>
      </c>
      <c r="BQ54" s="43">
        <f t="shared" ref="BQ54:CS54" si="367">BP54-($BP54-$CT54)/30</f>
        <v>0</v>
      </c>
      <c r="BR54" s="43">
        <f t="shared" si="367"/>
        <v>0</v>
      </c>
      <c r="BS54" s="43">
        <f t="shared" si="367"/>
        <v>0</v>
      </c>
      <c r="BT54" s="43">
        <f t="shared" si="367"/>
        <v>0</v>
      </c>
      <c r="BU54" s="43">
        <f t="shared" si="367"/>
        <v>0</v>
      </c>
      <c r="BV54" s="43">
        <f t="shared" si="367"/>
        <v>0</v>
      </c>
      <c r="BW54" s="43">
        <f t="shared" si="367"/>
        <v>0</v>
      </c>
      <c r="BX54" s="43">
        <f t="shared" si="367"/>
        <v>0</v>
      </c>
      <c r="BY54" s="43">
        <f t="shared" si="367"/>
        <v>0</v>
      </c>
      <c r="BZ54" s="43">
        <f t="shared" si="367"/>
        <v>0</v>
      </c>
      <c r="CA54" s="43">
        <f t="shared" si="367"/>
        <v>0</v>
      </c>
      <c r="CB54" s="43">
        <f t="shared" si="367"/>
        <v>0</v>
      </c>
      <c r="CC54" s="43">
        <f t="shared" si="367"/>
        <v>0</v>
      </c>
      <c r="CD54" s="43">
        <f t="shared" si="367"/>
        <v>0</v>
      </c>
      <c r="CE54" s="43">
        <f t="shared" si="367"/>
        <v>0</v>
      </c>
      <c r="CF54" s="43">
        <f t="shared" si="367"/>
        <v>0</v>
      </c>
      <c r="CG54" s="43">
        <f t="shared" si="367"/>
        <v>0</v>
      </c>
      <c r="CH54" s="43">
        <f t="shared" si="367"/>
        <v>0</v>
      </c>
      <c r="CI54" s="43">
        <f t="shared" si="367"/>
        <v>0</v>
      </c>
      <c r="CJ54" s="43">
        <f t="shared" si="367"/>
        <v>0</v>
      </c>
      <c r="CK54" s="43">
        <f t="shared" si="367"/>
        <v>0</v>
      </c>
      <c r="CL54" s="43">
        <f t="shared" si="367"/>
        <v>0</v>
      </c>
      <c r="CM54" s="43">
        <f t="shared" si="367"/>
        <v>0</v>
      </c>
      <c r="CN54" s="43">
        <f t="shared" si="367"/>
        <v>0</v>
      </c>
      <c r="CO54" s="43">
        <f t="shared" si="367"/>
        <v>0</v>
      </c>
      <c r="CP54" s="43">
        <f t="shared" si="367"/>
        <v>0</v>
      </c>
      <c r="CQ54" s="43">
        <f t="shared" si="367"/>
        <v>0</v>
      </c>
      <c r="CR54" s="43">
        <f t="shared" si="367"/>
        <v>0</v>
      </c>
      <c r="CS54" s="43">
        <f t="shared" si="367"/>
        <v>0</v>
      </c>
      <c r="CT54" s="43">
        <f t="shared" si="330"/>
        <v>0</v>
      </c>
      <c r="CV54" s="43">
        <f t="shared" si="333"/>
        <v>0</v>
      </c>
      <c r="CW54" s="43">
        <f t="shared" si="334"/>
        <v>0</v>
      </c>
      <c r="CX54" s="43">
        <f t="shared" si="335"/>
        <v>0</v>
      </c>
      <c r="CY54" s="43">
        <f t="shared" si="336"/>
        <v>0</v>
      </c>
      <c r="CZ54" s="43">
        <f t="shared" si="337"/>
        <v>0</v>
      </c>
      <c r="DA54" s="43">
        <f t="shared" si="338"/>
        <v>0</v>
      </c>
      <c r="DB54" s="43">
        <f t="shared" si="339"/>
        <v>0</v>
      </c>
      <c r="DC54" s="43">
        <f t="shared" si="340"/>
        <v>0</v>
      </c>
      <c r="DD54" s="43">
        <f t="shared" si="341"/>
        <v>0</v>
      </c>
      <c r="DE54" s="43">
        <f t="shared" si="342"/>
        <v>0</v>
      </c>
      <c r="DF54" s="43">
        <f t="shared" si="343"/>
        <v>0</v>
      </c>
      <c r="DG54" s="43">
        <f t="shared" si="344"/>
        <v>0</v>
      </c>
      <c r="DH54" s="43">
        <f t="shared" si="345"/>
        <v>0</v>
      </c>
      <c r="DI54" s="43">
        <f t="shared" si="346"/>
        <v>0</v>
      </c>
      <c r="DJ54" s="43">
        <f t="shared" si="347"/>
        <v>0</v>
      </c>
      <c r="DK54" s="43">
        <f t="shared" si="348"/>
        <v>0</v>
      </c>
      <c r="DL54" s="43">
        <f t="shared" si="349"/>
        <v>0</v>
      </c>
      <c r="DM54" s="43">
        <f t="shared" si="350"/>
        <v>0</v>
      </c>
      <c r="DN54" s="43">
        <f t="shared" si="351"/>
        <v>0</v>
      </c>
      <c r="DO54" s="43">
        <f t="shared" si="352"/>
        <v>0</v>
      </c>
      <c r="DP54" s="43">
        <f t="shared" si="353"/>
        <v>0</v>
      </c>
      <c r="DQ54" s="43">
        <f t="shared" si="354"/>
        <v>0</v>
      </c>
      <c r="DR54" s="43">
        <f t="shared" si="355"/>
        <v>0</v>
      </c>
      <c r="DS54" s="43">
        <f t="shared" si="356"/>
        <v>0</v>
      </c>
      <c r="DT54" s="43">
        <f t="shared" si="357"/>
        <v>0</v>
      </c>
      <c r="DU54" s="43">
        <f t="shared" si="358"/>
        <v>0</v>
      </c>
      <c r="DV54" s="43">
        <f t="shared" si="359"/>
        <v>0</v>
      </c>
      <c r="DW54" s="43">
        <f t="shared" si="360"/>
        <v>0</v>
      </c>
      <c r="DX54" s="43">
        <f t="shared" si="361"/>
        <v>0</v>
      </c>
      <c r="DY54" s="43">
        <f t="shared" si="362"/>
        <v>0</v>
      </c>
      <c r="DZ54" s="43">
        <f t="shared" si="365"/>
        <v>0</v>
      </c>
    </row>
    <row r="55" spans="1:165" ht="16" thickBot="1" x14ac:dyDescent="0.25">
      <c r="A55" s="606" t="s">
        <v>454</v>
      </c>
      <c r="C55" s="54" t="s">
        <v>458</v>
      </c>
      <c r="D55" s="43">
        <f>$B$194</f>
        <v>0</v>
      </c>
      <c r="E55" s="43">
        <f t="shared" ref="E55:AG55" si="368">D55-($D55-$AH55)/30</f>
        <v>0</v>
      </c>
      <c r="F55" s="43">
        <f t="shared" si="368"/>
        <v>0</v>
      </c>
      <c r="G55" s="43">
        <f t="shared" si="368"/>
        <v>0</v>
      </c>
      <c r="H55" s="43">
        <f t="shared" si="368"/>
        <v>0</v>
      </c>
      <c r="I55" s="43">
        <f t="shared" si="368"/>
        <v>0</v>
      </c>
      <c r="J55" s="43">
        <f t="shared" si="368"/>
        <v>0</v>
      </c>
      <c r="K55" s="43">
        <f t="shared" si="368"/>
        <v>0</v>
      </c>
      <c r="L55" s="43">
        <f t="shared" si="368"/>
        <v>0</v>
      </c>
      <c r="M55" s="43">
        <f t="shared" si="368"/>
        <v>0</v>
      </c>
      <c r="N55" s="43">
        <f t="shared" si="368"/>
        <v>0</v>
      </c>
      <c r="O55" s="43">
        <f t="shared" si="368"/>
        <v>0</v>
      </c>
      <c r="P55" s="43">
        <f t="shared" si="368"/>
        <v>0</v>
      </c>
      <c r="Q55" s="43">
        <f t="shared" si="368"/>
        <v>0</v>
      </c>
      <c r="R55" s="43">
        <f t="shared" si="368"/>
        <v>0</v>
      </c>
      <c r="S55" s="43">
        <f t="shared" si="368"/>
        <v>0</v>
      </c>
      <c r="T55" s="43">
        <f t="shared" si="368"/>
        <v>0</v>
      </c>
      <c r="U55" s="43">
        <f t="shared" si="368"/>
        <v>0</v>
      </c>
      <c r="V55" s="43">
        <f t="shared" si="368"/>
        <v>0</v>
      </c>
      <c r="W55" s="43">
        <f t="shared" si="368"/>
        <v>0</v>
      </c>
      <c r="X55" s="43">
        <f t="shared" si="368"/>
        <v>0</v>
      </c>
      <c r="Y55" s="43">
        <f t="shared" si="368"/>
        <v>0</v>
      </c>
      <c r="Z55" s="43">
        <f t="shared" si="368"/>
        <v>0</v>
      </c>
      <c r="AA55" s="43">
        <f t="shared" si="368"/>
        <v>0</v>
      </c>
      <c r="AB55" s="43">
        <f t="shared" si="368"/>
        <v>0</v>
      </c>
      <c r="AC55" s="43">
        <f t="shared" si="368"/>
        <v>0</v>
      </c>
      <c r="AD55" s="43">
        <f t="shared" si="368"/>
        <v>0</v>
      </c>
      <c r="AE55" s="43">
        <f t="shared" si="368"/>
        <v>0</v>
      </c>
      <c r="AF55" s="43">
        <f t="shared" si="368"/>
        <v>0</v>
      </c>
      <c r="AG55" s="43">
        <f t="shared" si="368"/>
        <v>0</v>
      </c>
      <c r="AH55" s="43">
        <f>$C$194</f>
        <v>0</v>
      </c>
      <c r="AI55" s="44"/>
      <c r="AJ55" s="43">
        <f t="shared" si="320"/>
        <v>0</v>
      </c>
      <c r="AK55" s="43">
        <f t="shared" si="258"/>
        <v>0</v>
      </c>
      <c r="AL55" s="43">
        <f t="shared" si="259"/>
        <v>0</v>
      </c>
      <c r="AM55" s="43">
        <f t="shared" si="260"/>
        <v>0</v>
      </c>
      <c r="AN55" s="43">
        <f t="shared" si="261"/>
        <v>0</v>
      </c>
      <c r="AO55" s="43">
        <f t="shared" si="262"/>
        <v>0</v>
      </c>
      <c r="AP55" s="43">
        <f t="shared" si="263"/>
        <v>0</v>
      </c>
      <c r="AQ55" s="43">
        <f t="shared" si="264"/>
        <v>0</v>
      </c>
      <c r="AR55" s="43">
        <f t="shared" si="265"/>
        <v>0</v>
      </c>
      <c r="AS55" s="43">
        <f t="shared" si="266"/>
        <v>0</v>
      </c>
      <c r="AT55" s="43">
        <f t="shared" si="267"/>
        <v>0</v>
      </c>
      <c r="AU55" s="43">
        <f t="shared" si="268"/>
        <v>0</v>
      </c>
      <c r="AV55" s="43">
        <f t="shared" si="269"/>
        <v>0</v>
      </c>
      <c r="AW55" s="43">
        <f t="shared" si="270"/>
        <v>0</v>
      </c>
      <c r="AX55" s="43">
        <f t="shared" si="271"/>
        <v>0</v>
      </c>
      <c r="AY55" s="43">
        <f t="shared" si="272"/>
        <v>0</v>
      </c>
      <c r="AZ55" s="43">
        <f t="shared" si="273"/>
        <v>0</v>
      </c>
      <c r="BA55" s="43">
        <f t="shared" si="274"/>
        <v>0</v>
      </c>
      <c r="BB55" s="43">
        <f t="shared" si="275"/>
        <v>0</v>
      </c>
      <c r="BC55" s="43">
        <f t="shared" si="276"/>
        <v>0</v>
      </c>
      <c r="BD55" s="43">
        <f t="shared" si="277"/>
        <v>0</v>
      </c>
      <c r="BE55" s="43">
        <f t="shared" si="278"/>
        <v>0</v>
      </c>
      <c r="BF55" s="43">
        <f t="shared" si="279"/>
        <v>0</v>
      </c>
      <c r="BG55" s="43">
        <f t="shared" si="280"/>
        <v>0</v>
      </c>
      <c r="BH55" s="43">
        <f t="shared" si="281"/>
        <v>0</v>
      </c>
      <c r="BI55" s="43">
        <f t="shared" si="282"/>
        <v>0</v>
      </c>
      <c r="BJ55" s="43">
        <f t="shared" si="283"/>
        <v>0</v>
      </c>
      <c r="BK55" s="43">
        <f t="shared" si="284"/>
        <v>0</v>
      </c>
      <c r="BL55" s="43">
        <f t="shared" si="285"/>
        <v>0</v>
      </c>
      <c r="BM55" s="43">
        <f t="shared" si="286"/>
        <v>0</v>
      </c>
      <c r="BN55" s="43">
        <f t="shared" si="287"/>
        <v>0</v>
      </c>
      <c r="BP55" s="43">
        <f t="shared" si="321"/>
        <v>0</v>
      </c>
      <c r="BQ55" s="43">
        <f t="shared" ref="BQ55:CS55" si="369">BP55-($BP55-$CT55)/30</f>
        <v>0</v>
      </c>
      <c r="BR55" s="43">
        <f t="shared" si="369"/>
        <v>0</v>
      </c>
      <c r="BS55" s="43">
        <f t="shared" si="369"/>
        <v>0</v>
      </c>
      <c r="BT55" s="43">
        <f t="shared" si="369"/>
        <v>0</v>
      </c>
      <c r="BU55" s="43">
        <f t="shared" si="369"/>
        <v>0</v>
      </c>
      <c r="BV55" s="43">
        <f t="shared" si="369"/>
        <v>0</v>
      </c>
      <c r="BW55" s="43">
        <f t="shared" si="369"/>
        <v>0</v>
      </c>
      <c r="BX55" s="43">
        <f t="shared" si="369"/>
        <v>0</v>
      </c>
      <c r="BY55" s="43">
        <f t="shared" si="369"/>
        <v>0</v>
      </c>
      <c r="BZ55" s="43">
        <f t="shared" si="369"/>
        <v>0</v>
      </c>
      <c r="CA55" s="43">
        <f t="shared" si="369"/>
        <v>0</v>
      </c>
      <c r="CB55" s="43">
        <f t="shared" si="369"/>
        <v>0</v>
      </c>
      <c r="CC55" s="43">
        <f t="shared" si="369"/>
        <v>0</v>
      </c>
      <c r="CD55" s="43">
        <f t="shared" si="369"/>
        <v>0</v>
      </c>
      <c r="CE55" s="43">
        <f t="shared" si="369"/>
        <v>0</v>
      </c>
      <c r="CF55" s="43">
        <f t="shared" si="369"/>
        <v>0</v>
      </c>
      <c r="CG55" s="43">
        <f t="shared" si="369"/>
        <v>0</v>
      </c>
      <c r="CH55" s="43">
        <f t="shared" si="369"/>
        <v>0</v>
      </c>
      <c r="CI55" s="43">
        <f t="shared" si="369"/>
        <v>0</v>
      </c>
      <c r="CJ55" s="43">
        <f t="shared" si="369"/>
        <v>0</v>
      </c>
      <c r="CK55" s="43">
        <f t="shared" si="369"/>
        <v>0</v>
      </c>
      <c r="CL55" s="43">
        <f t="shared" si="369"/>
        <v>0</v>
      </c>
      <c r="CM55" s="43">
        <f t="shared" si="369"/>
        <v>0</v>
      </c>
      <c r="CN55" s="43">
        <f t="shared" si="369"/>
        <v>0</v>
      </c>
      <c r="CO55" s="43">
        <f t="shared" si="369"/>
        <v>0</v>
      </c>
      <c r="CP55" s="43">
        <f t="shared" si="369"/>
        <v>0</v>
      </c>
      <c r="CQ55" s="43">
        <f t="shared" si="369"/>
        <v>0</v>
      </c>
      <c r="CR55" s="43">
        <f t="shared" si="369"/>
        <v>0</v>
      </c>
      <c r="CS55" s="43">
        <f t="shared" si="369"/>
        <v>0</v>
      </c>
      <c r="CT55" s="43">
        <f t="shared" si="330"/>
        <v>0</v>
      </c>
      <c r="CV55" s="43">
        <f t="shared" si="333"/>
        <v>0</v>
      </c>
      <c r="CW55" s="43">
        <f t="shared" si="334"/>
        <v>0</v>
      </c>
      <c r="CX55" s="43">
        <f t="shared" si="335"/>
        <v>0</v>
      </c>
      <c r="CY55" s="43">
        <f t="shared" si="336"/>
        <v>0</v>
      </c>
      <c r="CZ55" s="43">
        <f t="shared" si="337"/>
        <v>0</v>
      </c>
      <c r="DA55" s="43">
        <f t="shared" si="338"/>
        <v>0</v>
      </c>
      <c r="DB55" s="43">
        <f t="shared" si="339"/>
        <v>0</v>
      </c>
      <c r="DC55" s="43">
        <f t="shared" si="340"/>
        <v>0</v>
      </c>
      <c r="DD55" s="43">
        <f t="shared" si="341"/>
        <v>0</v>
      </c>
      <c r="DE55" s="43">
        <f t="shared" si="342"/>
        <v>0</v>
      </c>
      <c r="DF55" s="43">
        <f t="shared" si="343"/>
        <v>0</v>
      </c>
      <c r="DG55" s="43">
        <f t="shared" si="344"/>
        <v>0</v>
      </c>
      <c r="DH55" s="43">
        <f t="shared" si="345"/>
        <v>0</v>
      </c>
      <c r="DI55" s="43">
        <f t="shared" si="346"/>
        <v>0</v>
      </c>
      <c r="DJ55" s="43">
        <f t="shared" si="347"/>
        <v>0</v>
      </c>
      <c r="DK55" s="43">
        <f t="shared" si="348"/>
        <v>0</v>
      </c>
      <c r="DL55" s="43">
        <f t="shared" si="349"/>
        <v>0</v>
      </c>
      <c r="DM55" s="43">
        <f t="shared" si="350"/>
        <v>0</v>
      </c>
      <c r="DN55" s="43">
        <f t="shared" si="351"/>
        <v>0</v>
      </c>
      <c r="DO55" s="43">
        <f t="shared" si="352"/>
        <v>0</v>
      </c>
      <c r="DP55" s="43">
        <f t="shared" si="353"/>
        <v>0</v>
      </c>
      <c r="DQ55" s="43">
        <f t="shared" si="354"/>
        <v>0</v>
      </c>
      <c r="DR55" s="43">
        <f t="shared" si="355"/>
        <v>0</v>
      </c>
      <c r="DS55" s="43">
        <f t="shared" si="356"/>
        <v>0</v>
      </c>
      <c r="DT55" s="43">
        <f t="shared" si="357"/>
        <v>0</v>
      </c>
      <c r="DU55" s="43">
        <f t="shared" si="358"/>
        <v>0</v>
      </c>
      <c r="DV55" s="43">
        <f t="shared" si="359"/>
        <v>0</v>
      </c>
      <c r="DW55" s="43">
        <f t="shared" si="360"/>
        <v>0</v>
      </c>
      <c r="DX55" s="43">
        <f t="shared" si="361"/>
        <v>0</v>
      </c>
      <c r="DY55" s="43">
        <f t="shared" si="362"/>
        <v>0</v>
      </c>
      <c r="DZ55" s="43">
        <f t="shared" si="365"/>
        <v>0</v>
      </c>
    </row>
    <row r="56" spans="1:165" s="624" customFormat="1" ht="16" thickBot="1" x14ac:dyDescent="0.25">
      <c r="A56" s="623" t="s">
        <v>461</v>
      </c>
      <c r="C56" s="625"/>
      <c r="D56" s="626"/>
      <c r="E56" s="626"/>
      <c r="F56" s="626"/>
      <c r="G56" s="626"/>
      <c r="H56" s="626"/>
      <c r="I56" s="626"/>
      <c r="J56" s="626"/>
      <c r="K56" s="626"/>
      <c r="L56" s="626"/>
      <c r="M56" s="626"/>
      <c r="N56" s="626"/>
      <c r="O56" s="626"/>
      <c r="P56" s="626"/>
      <c r="Q56" s="626"/>
      <c r="R56" s="626"/>
      <c r="S56" s="626"/>
      <c r="T56" s="626"/>
      <c r="U56" s="626"/>
      <c r="V56" s="626"/>
      <c r="W56" s="626"/>
      <c r="X56" s="626"/>
      <c r="Y56" s="626"/>
      <c r="Z56" s="626"/>
      <c r="AA56" s="626"/>
      <c r="AB56" s="626"/>
      <c r="AC56" s="626"/>
      <c r="AD56" s="626"/>
      <c r="AE56" s="626"/>
      <c r="AF56" s="626"/>
      <c r="AG56" s="626"/>
      <c r="AH56" s="626"/>
      <c r="AI56" s="626"/>
      <c r="AJ56" s="626"/>
      <c r="AK56" s="626"/>
      <c r="AL56" s="626"/>
      <c r="AM56" s="626"/>
      <c r="AN56" s="626"/>
      <c r="AO56" s="626"/>
      <c r="AP56" s="626"/>
      <c r="AQ56" s="626"/>
      <c r="AR56" s="626"/>
      <c r="AS56" s="626"/>
      <c r="AT56" s="626"/>
      <c r="AU56" s="626"/>
      <c r="AV56" s="626"/>
      <c r="AW56" s="626"/>
      <c r="AX56" s="626"/>
      <c r="AY56" s="626"/>
      <c r="AZ56" s="626"/>
      <c r="BA56" s="626"/>
      <c r="BB56" s="626"/>
      <c r="BC56" s="626"/>
      <c r="BD56" s="626"/>
      <c r="BE56" s="626"/>
      <c r="BF56" s="626"/>
      <c r="BG56" s="626"/>
      <c r="BH56" s="626"/>
      <c r="BI56" s="626"/>
      <c r="BJ56" s="626"/>
      <c r="BK56" s="626"/>
      <c r="BL56" s="626"/>
      <c r="BM56" s="626"/>
      <c r="BN56" s="626"/>
      <c r="BP56" s="626"/>
      <c r="BQ56" s="626"/>
      <c r="BR56" s="626"/>
      <c r="BS56" s="626"/>
      <c r="BT56" s="626"/>
      <c r="BU56" s="626"/>
      <c r="BV56" s="626"/>
      <c r="BW56" s="626"/>
      <c r="BX56" s="626"/>
      <c r="BY56" s="626"/>
      <c r="BZ56" s="626"/>
      <c r="CA56" s="626"/>
      <c r="CB56" s="626"/>
      <c r="CC56" s="626"/>
      <c r="CD56" s="626"/>
      <c r="CE56" s="626"/>
      <c r="CF56" s="626"/>
      <c r="CG56" s="626"/>
      <c r="CH56" s="626"/>
      <c r="CI56" s="626"/>
      <c r="CJ56" s="626"/>
      <c r="CK56" s="626"/>
      <c r="CL56" s="626"/>
      <c r="CM56" s="626"/>
      <c r="CN56" s="626"/>
      <c r="CO56" s="626"/>
      <c r="CP56" s="626"/>
      <c r="CQ56" s="626"/>
      <c r="CR56" s="626"/>
      <c r="CS56" s="626"/>
      <c r="CT56" s="626"/>
      <c r="CV56" s="626"/>
      <c r="CW56" s="626"/>
      <c r="CX56" s="626"/>
      <c r="CY56" s="626"/>
      <c r="CZ56" s="626"/>
      <c r="DA56" s="626"/>
      <c r="DB56" s="626"/>
      <c r="DC56" s="626"/>
      <c r="DD56" s="626"/>
      <c r="DE56" s="626"/>
      <c r="DF56" s="626"/>
      <c r="DG56" s="626"/>
      <c r="DH56" s="626"/>
      <c r="DI56" s="626"/>
      <c r="DJ56" s="626"/>
      <c r="DK56" s="626"/>
      <c r="DL56" s="626"/>
      <c r="DM56" s="626"/>
      <c r="DN56" s="626"/>
      <c r="DO56" s="626"/>
      <c r="DP56" s="626"/>
      <c r="DQ56" s="626"/>
      <c r="DR56" s="626"/>
      <c r="DS56" s="626"/>
      <c r="DT56" s="626"/>
      <c r="DU56" s="626"/>
      <c r="DV56" s="626"/>
      <c r="DW56" s="626"/>
      <c r="DX56" s="626"/>
      <c r="DY56" s="626"/>
      <c r="DZ56" s="626"/>
      <c r="EK56" s="627"/>
      <c r="EL56" s="627"/>
      <c r="EM56" s="627"/>
      <c r="EN56" s="627"/>
      <c r="EO56" s="627"/>
      <c r="EP56" s="627"/>
      <c r="EQ56" s="627"/>
      <c r="ER56" s="627"/>
      <c r="ES56" s="627"/>
      <c r="ET56" s="627"/>
      <c r="EU56" s="627"/>
      <c r="EV56" s="627"/>
      <c r="EW56" s="627"/>
      <c r="EX56" s="627"/>
      <c r="EY56" s="627"/>
      <c r="EZ56" s="627"/>
      <c r="FA56" s="627"/>
      <c r="FB56" s="627"/>
      <c r="FC56" s="627"/>
      <c r="FD56" s="627"/>
      <c r="FE56" s="627"/>
      <c r="FF56" s="627"/>
      <c r="FG56" s="627"/>
      <c r="FH56" s="627"/>
      <c r="FI56" s="627"/>
    </row>
    <row r="57" spans="1:165" x14ac:dyDescent="0.2">
      <c r="A57" s="606" t="s">
        <v>193</v>
      </c>
      <c r="C57" s="54" t="s">
        <v>462</v>
      </c>
      <c r="D57" s="168">
        <f>'Propylene Recycling HC'!C161/'Propylene Recycling HC'!C159</f>
        <v>5.2918767120919918E-2</v>
      </c>
      <c r="E57" s="168">
        <f>'Propylene Recycling HC'!D161/'Propylene Recycling HC'!D159</f>
        <v>5.6853809369985873E-2</v>
      </c>
      <c r="F57" s="168">
        <f>'Propylene Recycling HC'!E161/'Propylene Recycling HC'!E159</f>
        <v>6.0858837647671027E-2</v>
      </c>
      <c r="G57" s="168">
        <f>'Propylene Recycling HC'!F161/'Propylene Recycling HC'!F159</f>
        <v>6.4933273793873481E-2</v>
      </c>
      <c r="H57" s="168">
        <f>'Propylene Recycling HC'!G161/'Propylene Recycling HC'!G159</f>
        <v>6.9076534153433108E-2</v>
      </c>
      <c r="I57" s="168">
        <f>'Propylene Recycling HC'!H161/'Propylene Recycling HC'!H159</f>
        <v>7.3288029510692285E-2</v>
      </c>
      <c r="J57" s="168">
        <f>'Propylene Recycling HC'!I161/'Propylene Recycling HC'!I159</f>
        <v>7.7603897521768148E-2</v>
      </c>
      <c r="K57" s="168">
        <f>'Propylene Recycling HC'!J161/'Propylene Recycling HC'!J159</f>
        <v>8.1998171820320792E-2</v>
      </c>
      <c r="L57" s="168">
        <f>'Propylene Recycling HC'!K161/'Propylene Recycling HC'!K159</f>
        <v>8.6470947097171333E-2</v>
      </c>
      <c r="M57" s="168">
        <f>'Propylene Recycling HC'!L161/'Propylene Recycling HC'!L159</f>
        <v>9.1022319972524399E-2</v>
      </c>
      <c r="N57" s="168">
        <f>'Propylene Recycling HC'!M161/'Propylene Recycling HC'!M159</f>
        <v>9.5652389045359887E-2</v>
      </c>
      <c r="O57" s="168">
        <f>'Propylene Recycling HC'!N161/'Propylene Recycling HC'!N159</f>
        <v>0.10428357106581597</v>
      </c>
      <c r="P57" s="168">
        <f>'Propylene Recycling HC'!O161/'Propylene Recycling HC'!O159</f>
        <v>0.11308190927035019</v>
      </c>
      <c r="Q57" s="168">
        <f>'Propylene Recycling HC'!P161/'Propylene Recycling HC'!P159</f>
        <v>0.12202092079918624</v>
      </c>
      <c r="R57" s="168">
        <f>'Propylene Recycling HC'!Q161/'Propylene Recycling HC'!Q159</f>
        <v>0.13111354502972361</v>
      </c>
      <c r="S57" s="168">
        <f>'Propylene Recycling HC'!R161/'Propylene Recycling HC'!R159</f>
        <v>0.14035918405195189</v>
      </c>
      <c r="T57" s="168">
        <f>'Propylene Recycling HC'!S161/'Propylene Recycling HC'!S159</f>
        <v>0.14975722334662592</v>
      </c>
      <c r="U57" s="168">
        <f>'Propylene Recycling HC'!T161/'Propylene Recycling HC'!T159</f>
        <v>0.15930703112871061</v>
      </c>
      <c r="V57" s="168">
        <f>'Propylene Recycling HC'!U161/'Propylene Recycling HC'!U159</f>
        <v>0.16900795766062132</v>
      </c>
      <c r="W57" s="168">
        <f>'Propylene Recycling HC'!V161/'Propylene Recycling HC'!V159</f>
        <v>0.17885933453362754</v>
      </c>
      <c r="X57" s="168">
        <f>'Propylene Recycling HC'!W161/'Propylene Recycling HC'!W159</f>
        <v>0.18886047391568156</v>
      </c>
      <c r="Y57" s="168">
        <f>'Propylene Recycling HC'!X161/'Propylene Recycling HC'!X159</f>
        <v>0.20448660245584904</v>
      </c>
      <c r="Z57" s="168">
        <f>'Propylene Recycling HC'!Y161/'Propylene Recycling HC'!Y159</f>
        <v>0.22048426251798287</v>
      </c>
      <c r="AA57" s="168">
        <f>'Propylene Recycling HC'!Z161/'Propylene Recycling HC'!Z159</f>
        <v>0.23664982116423761</v>
      </c>
      <c r="AB57" s="168">
        <f>'Propylene Recycling HC'!AA161/'Propylene Recycling HC'!AA159</f>
        <v>0.25304869520815704</v>
      </c>
      <c r="AC57" s="168">
        <f>'Propylene Recycling HC'!AB161/'Propylene Recycling HC'!AB159</f>
        <v>0.26968029162025564</v>
      </c>
      <c r="AD57" s="168">
        <f>'Propylene Recycling HC'!AC161/'Propylene Recycling HC'!AC159</f>
        <v>0.2865549266724452</v>
      </c>
      <c r="AE57" s="168">
        <f>'Propylene Recycling HC'!AD161/'Propylene Recycling HC'!AD159</f>
        <v>0.30366297632690936</v>
      </c>
      <c r="AF57" s="168">
        <f>'Propylene Recycling HC'!AE161/'Propylene Recycling HC'!AE159</f>
        <v>0.32100394081838979</v>
      </c>
      <c r="AG57" s="168">
        <f>'Propylene Recycling HC'!AF161/'Propylene Recycling HC'!AF159</f>
        <v>0.33857731356749554</v>
      </c>
      <c r="AH57" s="168">
        <f>'Propylene Recycling HC'!AG161/'Propylene Recycling HC'!AG159</f>
        <v>0.35638257999625655</v>
      </c>
      <c r="AI57" s="44"/>
      <c r="AJ57" s="168">
        <f>'Propylene Recycling LC'!C147/'Propylene Recycling LC'!C145</f>
        <v>5.2918767120919918E-2</v>
      </c>
      <c r="AK57" s="168">
        <f>'Propylene Recycling LC'!D147/'Propylene Recycling LC'!D145</f>
        <v>5.6827141277428488E-2</v>
      </c>
      <c r="AL57" s="168">
        <f>'Propylene Recycling LC'!E147/'Propylene Recycling LC'!E145</f>
        <v>6.0801636171153306E-2</v>
      </c>
      <c r="AM57" s="168">
        <f>'Propylene Recycling LC'!F147/'Propylene Recycling LC'!F145</f>
        <v>6.484155361236936E-2</v>
      </c>
      <c r="AN57" s="168">
        <f>'Propylene Recycling LC'!G147/'Propylene Recycling LC'!G145</f>
        <v>6.89461901054568E-2</v>
      </c>
      <c r="AO57" s="168">
        <f>'Propylene Recycling LC'!H147/'Propylene Recycling LC'!H145</f>
        <v>7.3114836798402361E-2</v>
      </c>
      <c r="AP57" s="168">
        <f>'Propylene Recycling LC'!I147/'Propylene Recycling LC'!I145</f>
        <v>7.7281744247570741E-2</v>
      </c>
      <c r="AQ57" s="168">
        <f>'Propylene Recycling LC'!J147/'Propylene Recycling LC'!J145</f>
        <v>8.1510212060688342E-2</v>
      </c>
      <c r="AR57" s="168">
        <f>'Propylene Recycling LC'!K147/'Propylene Recycling LC'!K145</f>
        <v>8.5799749103639647E-2</v>
      </c>
      <c r="AS57" s="168">
        <f>'Propylene Recycling LC'!L147/'Propylene Recycling LC'!L145</f>
        <v>9.0149857862949684E-2</v>
      </c>
      <c r="AT57" s="168">
        <f>'Propylene Recycling LC'!M147/'Propylene Recycling LC'!M145</f>
        <v>9.456003434186902E-2</v>
      </c>
      <c r="AU57" s="168">
        <f>'Propylene Recycling LC'!N147/'Propylene Recycling LC'!N145</f>
        <v>0.10286114259044941</v>
      </c>
      <c r="AV57" s="168">
        <f>'Propylene Recycling LC'!O147/'Propylene Recycling LC'!O145</f>
        <v>0.11129088647208686</v>
      </c>
      <c r="AW57" s="168">
        <f>'Propylene Recycling LC'!P147/'Propylene Recycling LC'!P145</f>
        <v>0.11978541029632722</v>
      </c>
      <c r="AX57" s="168">
        <f>'Propylene Recycling LC'!Q147/'Propylene Recycling LC'!Q145</f>
        <v>0.12838273154387736</v>
      </c>
      <c r="AY57" s="168">
        <f>'Propylene Recycling LC'!R147/'Propylene Recycling LC'!R145</f>
        <v>0.1370803875179665</v>
      </c>
      <c r="AZ57" s="168">
        <f>'Propylene Recycling LC'!S147/'Propylene Recycling LC'!S145</f>
        <v>0.1458758683735219</v>
      </c>
      <c r="BA57" s="168">
        <f>'Propylene Recycling LC'!T147/'Propylene Recycling LC'!T145</f>
        <v>0.15476661594736296</v>
      </c>
      <c r="BB57" s="168">
        <f>'Propylene Recycling LC'!U147/'Propylene Recycling LC'!U145</f>
        <v>0.1637500225536625</v>
      </c>
      <c r="BC57" s="168">
        <f>'Propylene Recycling LC'!V147/'Propylene Recycling LC'!V145</f>
        <v>0.1728234297434684</v>
      </c>
      <c r="BD57" s="168">
        <f>'Propylene Recycling LC'!W147/'Propylene Recycling LC'!W145</f>
        <v>0.18198412702702688</v>
      </c>
      <c r="BE57" s="168">
        <f>'Propylene Recycling LC'!X147/'Propylene Recycling LC'!X145</f>
        <v>0.19640604238385045</v>
      </c>
      <c r="BF57" s="168">
        <f>'Propylene Recycling LC'!Y147/'Propylene Recycling LC'!Y145</f>
        <v>0.21117387649021779</v>
      </c>
      <c r="BG57" s="168">
        <f>'Propylene Recycling LC'!Z147/'Propylene Recycling LC'!Z145</f>
        <v>0.22584640764531871</v>
      </c>
      <c r="BH57" s="168">
        <f>'Propylene Recycling LC'!AA147/'Propylene Recycling LC'!AA145</f>
        <v>0.24062088139724444</v>
      </c>
      <c r="BI57" s="168">
        <f>'Propylene Recycling LC'!AB147/'Propylene Recycling LC'!AB145</f>
        <v>0.25549240562216857</v>
      </c>
      <c r="BJ57" s="168">
        <f>'Propylene Recycling LC'!AC147/'Propylene Recycling LC'!AC145</f>
        <v>0.2704531461579871</v>
      </c>
      <c r="BK57" s="168">
        <f>'Propylene Recycling LC'!AD147/'Propylene Recycling LC'!AD145</f>
        <v>0.2855007947301999</v>
      </c>
      <c r="BL57" s="168">
        <f>'Propylene Recycling LC'!AE147/'Propylene Recycling LC'!AE145</f>
        <v>0.30063021433085113</v>
      </c>
      <c r="BM57" s="168">
        <f>'Propylene Recycling LC'!AF147/'Propylene Recycling LC'!AF145</f>
        <v>0.31583617699553151</v>
      </c>
      <c r="BN57" s="168">
        <f>'Propylene Recycling LC'!AG147/'Propylene Recycling LC'!AG145</f>
        <v>0.3311133607978522</v>
      </c>
      <c r="BP57" s="168">
        <f>'Propylene Recycling HC'!C151/'Propylene Recycling HC'!C149</f>
        <v>5.2918767120919918E-2</v>
      </c>
      <c r="BQ57" s="168">
        <f>'Propylene Recycling HC'!D151/'Propylene Recycling HC'!D149</f>
        <v>5.205746619835705E-2</v>
      </c>
      <c r="BR57" s="168">
        <f>'Propylene Recycling HC'!E151/'Propylene Recycling HC'!E149</f>
        <v>5.1344401575788588E-2</v>
      </c>
      <c r="BS57" s="168">
        <f>'Propylene Recycling HC'!F151/'Propylene Recycling HC'!F149</f>
        <v>5.0773742704677459E-2</v>
      </c>
      <c r="BT57" s="168">
        <f>'Propylene Recycling HC'!G151/'Propylene Recycling HC'!G149</f>
        <v>5.034084599518758E-2</v>
      </c>
      <c r="BU57" s="168">
        <f>'Propylene Recycling HC'!H151/'Propylene Recycling HC'!H149</f>
        <v>5.0042191798858326E-2</v>
      </c>
      <c r="BV57" s="168">
        <f>'Propylene Recycling HC'!I151/'Propylene Recycling HC'!I149</f>
        <v>4.9767964560581489E-2</v>
      </c>
      <c r="BW57" s="168">
        <f>'Propylene Recycling HC'!J151/'Propylene Recycling HC'!J149</f>
        <v>4.9517808892777744E-2</v>
      </c>
      <c r="BX57" s="168">
        <f>'Propylene Recycling HC'!K151/'Propylene Recycling HC'!K149</f>
        <v>4.9291403695504672E-2</v>
      </c>
      <c r="BY57" s="168">
        <f>'Propylene Recycling HC'!L151/'Propylene Recycling HC'!L149</f>
        <v>4.9088461478754265E-2</v>
      </c>
      <c r="BZ57" s="168">
        <f>'Propylene Recycling HC'!M151/'Propylene Recycling HC'!M149</f>
        <v>4.8908727762935492E-2</v>
      </c>
      <c r="CA57" s="168">
        <f>'Propylene Recycling HC'!N151/'Propylene Recycling HC'!N149</f>
        <v>4.8821834380055031E-2</v>
      </c>
      <c r="CB57" s="168">
        <f>'Propylene Recycling HC'!O151/'Propylene Recycling HC'!O149</f>
        <v>4.8827477785827036E-2</v>
      </c>
      <c r="CC57" s="168">
        <f>'Propylene Recycling HC'!P151/'Propylene Recycling HC'!P149</f>
        <v>4.8925881055481762E-2</v>
      </c>
      <c r="CD57" s="168">
        <f>'Propylene Recycling HC'!Q151/'Propylene Recycling HC'!Q149</f>
        <v>4.9117797820319428E-2</v>
      </c>
      <c r="CE57" s="168">
        <f>'Propylene Recycling HC'!R151/'Propylene Recycling HC'!R149</f>
        <v>4.9404521287557734E-2</v>
      </c>
      <c r="CF57" s="168">
        <f>'Propylene Recycling HC'!S151/'Propylene Recycling HC'!S149</f>
        <v>4.969835845500737E-2</v>
      </c>
      <c r="CG57" s="168">
        <f>'Propylene Recycling HC'!T151/'Propylene Recycling HC'!T149</f>
        <v>4.9999420054897423E-2</v>
      </c>
      <c r="CH57" s="168">
        <f>'Propylene Recycling HC'!U151/'Propylene Recycling HC'!U149</f>
        <v>5.030781993419059E-2</v>
      </c>
      <c r="CI57" s="168">
        <f>'Propylene Recycling HC'!V151/'Propylene Recycling HC'!V149</f>
        <v>5.0623675126878681E-2</v>
      </c>
      <c r="CJ57" s="168">
        <f>'Propylene Recycling HC'!W151/'Propylene Recycling HC'!W149</f>
        <v>5.0947105928560089E-2</v>
      </c>
      <c r="CK57" s="168">
        <f>'Propylene Recycling HC'!X151/'Propylene Recycling HC'!X149</f>
        <v>5.1277671179982373E-2</v>
      </c>
      <c r="CL57" s="168">
        <f>'Propylene Recycling HC'!Y151/'Propylene Recycling HC'!Y149</f>
        <v>5.1615485891201782E-2</v>
      </c>
      <c r="CM57" s="168">
        <f>'Propylene Recycling HC'!Z151/'Propylene Recycling HC'!Z149</f>
        <v>5.1960668042943824E-2</v>
      </c>
      <c r="CN57" s="168">
        <f>'Propylene Recycling HC'!AA151/'Propylene Recycling HC'!AA149</f>
        <v>5.2313338655674287E-2</v>
      </c>
      <c r="CO57" s="168">
        <f>'Propylene Recycling HC'!AB151/'Propylene Recycling HC'!AB149</f>
        <v>5.2673621860709154E-2</v>
      </c>
      <c r="CP57" s="168">
        <f>'Propylene Recycling HC'!AC151/'Propylene Recycling HC'!AC149</f>
        <v>5.3041143509882115E-2</v>
      </c>
      <c r="CQ57" s="168">
        <f>'Propylene Recycling HC'!AD151/'Propylene Recycling HC'!AD149</f>
        <v>5.3416022862888352E-2</v>
      </c>
      <c r="CR57" s="168">
        <f>'Propylene Recycling HC'!AE151/'Propylene Recycling HC'!AE149</f>
        <v>5.3798382058389153E-2</v>
      </c>
      <c r="CS57" s="168">
        <f>'Propylene Recycling HC'!AF151/'Propylene Recycling HC'!AF149</f>
        <v>5.418834618051311E-2</v>
      </c>
      <c r="CT57" s="168">
        <f>'Propylene Recycling HC'!AG151/'Propylene Recycling HC'!AG149</f>
        <v>5.4586043327216491E-2</v>
      </c>
      <c r="CV57" s="168">
        <f>'Propylene Recycling LC'!C147/'Propylene Recycling HC'!C149</f>
        <v>5.2918767120919918E-2</v>
      </c>
      <c r="CW57" s="168">
        <f>'Propylene Recycling LC'!D147/'Propylene Recycling HC'!D149</f>
        <v>5.6719991060891033E-2</v>
      </c>
      <c r="CX57" s="168">
        <f>'Propylene Recycling LC'!E147/'Propylene Recycling HC'!E149</f>
        <v>6.0572347548318493E-2</v>
      </c>
      <c r="CY57" s="168">
        <f>'Propylene Recycling LC'!F147/'Propylene Recycling HC'!F149</f>
        <v>6.4474768321713741E-2</v>
      </c>
      <c r="CZ57" s="168">
        <f>'Propylene Recycling LC'!G147/'Propylene Recycling HC'!G149</f>
        <v>6.8426185119588132E-2</v>
      </c>
      <c r="DA57" s="168">
        <f>'Propylene Recycling LC'!H147/'Propylene Recycling HC'!H149</f>
        <v>7.2425529680453044E-2</v>
      </c>
      <c r="DB57" s="168">
        <f>'Propylene Recycling LC'!I147/'Propylene Recycling HC'!I149</f>
        <v>7.6307752208634921E-2</v>
      </c>
      <c r="DC57" s="168">
        <f>'Propylene Recycling LC'!J147/'Propylene Recycling HC'!J149</f>
        <v>8.0224100574728993E-2</v>
      </c>
      <c r="DD57" s="168">
        <f>'Propylene Recycling LC'!K147/'Propylene Recycling HC'!K149</f>
        <v>8.417350651724663E-2</v>
      </c>
      <c r="DE57" s="168">
        <f>'Propylene Recycling LC'!L147/'Propylene Recycling HC'!L149</f>
        <v>8.8154901774699285E-2</v>
      </c>
      <c r="DF57" s="168">
        <f>'Propylene Recycling LC'!M147/'Propylene Recycling HC'!M149</f>
        <v>9.2167218085598315E-2</v>
      </c>
      <c r="DG57" s="168">
        <f>'Propylene Recycling LC'!N147/'Propylene Recycling HC'!N149</f>
        <v>9.98122845984038E-2</v>
      </c>
      <c r="DH57" s="168">
        <f>'Propylene Recycling LC'!O147/'Propylene Recycling HC'!O149</f>
        <v>0.10753467796042196</v>
      </c>
      <c r="DI57" s="168">
        <f>'Propylene Recycling LC'!P147/'Propylene Recycling HC'!P149</f>
        <v>0.11518794846674156</v>
      </c>
      <c r="DJ57" s="168">
        <f>'Propylene Recycling LC'!Q147/'Propylene Recycling HC'!Q149</f>
        <v>0.12286091546012119</v>
      </c>
      <c r="DK57" s="168">
        <f>'Propylene Recycling LC'!R147/'Propylene Recycling HC'!R149</f>
        <v>0.1305498003278141</v>
      </c>
      <c r="DL57" s="168">
        <f>'Propylene Recycling LC'!S147/'Propylene Recycling HC'!S149</f>
        <v>0.13825082529143592</v>
      </c>
      <c r="DM57" s="168">
        <f>'Propylene Recycling LC'!T147/'Propylene Recycling HC'!T149</f>
        <v>0.14596021340178866</v>
      </c>
      <c r="DN57" s="168">
        <f>'Propylene Recycling LC'!U147/'Propylene Recycling HC'!U149</f>
        <v>0.153674188533683</v>
      </c>
      <c r="DO57" s="168">
        <f>'Propylene Recycling LC'!V147/'Propylene Recycling HC'!V149</f>
        <v>0.16138897538076213</v>
      </c>
      <c r="DP57" s="168">
        <f>'Propylene Recycling LC'!W147/'Propylene Recycling HC'!W149</f>
        <v>0.16910079945032469</v>
      </c>
      <c r="DQ57" s="168">
        <f>'Propylene Recycling LC'!X147/'Propylene Recycling HC'!X149</f>
        <v>0.18121648050875697</v>
      </c>
      <c r="DR57" s="168">
        <f>'Propylene Recycling LC'!Y147/'Propylene Recycling HC'!Y149</f>
        <v>0.1938764424130637</v>
      </c>
      <c r="DS57" s="168">
        <f>'Propylene Recycling LC'!Z147/'Propylene Recycling HC'!Z149</f>
        <v>0.20625084471831912</v>
      </c>
      <c r="DT57" s="168">
        <f>'Propylene Recycling LC'!AA147/'Propylene Recycling HC'!AA149</f>
        <v>0.21857453081040817</v>
      </c>
      <c r="DU57" s="168">
        <f>'Propylene Recycling LC'!AB147/'Propylene Recycling HC'!AB149</f>
        <v>0.23084144476370022</v>
      </c>
      <c r="DV57" s="168">
        <f>'Propylene Recycling LC'!AC147/'Propylene Recycling HC'!AC149</f>
        <v>0.24303241124453942</v>
      </c>
      <c r="DW57" s="168">
        <f>'Propylene Recycling LC'!AD147/'Propylene Recycling HC'!AD149</f>
        <v>0.25515331267756863</v>
      </c>
      <c r="DX57" s="168">
        <f>'Propylene Recycling LC'!AE147/'Propylene Recycling HC'!AE149</f>
        <v>0.26719815831739141</v>
      </c>
      <c r="DY57" s="168">
        <f>'Propylene Recycling LC'!AF147/'Propylene Recycling HC'!AF149</f>
        <v>0.27916097875557383</v>
      </c>
      <c r="DZ57" s="168">
        <f>'Propylene Recycling LC'!AG147/'Propylene Recycling HC'!AG149</f>
        <v>0.29103582572575348</v>
      </c>
    </row>
    <row r="58" spans="1:165" x14ac:dyDescent="0.2">
      <c r="A58" s="606" t="s">
        <v>88</v>
      </c>
      <c r="C58" s="54" t="s">
        <v>462</v>
      </c>
      <c r="D58" s="168">
        <f>('Propylene Recycling HC'!C204+'Propylene Recycling HC'!C206)/'Propylene Recycling HC'!C159</f>
        <v>4.4119488970523497E-7</v>
      </c>
      <c r="E58" s="168">
        <f>('Propylene Recycling HC'!D204+'Propylene Recycling HC'!D206)/'Propylene Recycling HC'!D159</f>
        <v>9.2452274417545993E-7</v>
      </c>
      <c r="F58" s="168">
        <f>('Propylene Recycling HC'!E204+'Propylene Recycling HC'!E206)/'Propylene Recycling HC'!E159</f>
        <v>1.9272165212439684E-6</v>
      </c>
      <c r="G58" s="168">
        <f>('Propylene Recycling HC'!F204+'Propylene Recycling HC'!F206)/'Propylene Recycling HC'!F159</f>
        <v>3.994768827862742E-6</v>
      </c>
      <c r="H58" s="168">
        <f>('Propylene Recycling HC'!G204+'Propylene Recycling HC'!G206)/'Propylene Recycling HC'!G159</f>
        <v>8.2278235311142869E-6</v>
      </c>
      <c r="I58" s="168">
        <f>('Propylene Recycling HC'!H204+'Propylene Recycling HC'!H206)/'Propylene Recycling HC'!H159</f>
        <v>1.6819535794057324E-5</v>
      </c>
      <c r="J58" s="168">
        <f>('Propylene Recycling HC'!I204+'Propylene Recycling HC'!I206)/'Propylene Recycling HC'!I159</f>
        <v>3.4059139467194853E-5</v>
      </c>
      <c r="K58" s="168">
        <f>('Propylene Recycling HC'!J204+'Propylene Recycling HC'!J206)/'Propylene Recycling HC'!J159</f>
        <v>6.8170400159164071E-5</v>
      </c>
      <c r="L58" s="168">
        <f>('Propylene Recycling HC'!K204+'Propylene Recycling HC'!K206)/'Propylene Recycling HC'!K159</f>
        <v>1.3442643099625604E-4</v>
      </c>
      <c r="M58" s="168">
        <f>('Propylene Recycling HC'!L204+'Propylene Recycling HC'!L206)/'Propylene Recycling HC'!L159</f>
        <v>2.6003314514732022E-4</v>
      </c>
      <c r="N58" s="168">
        <f>('Propylene Recycling HC'!M204+'Propylene Recycling HC'!M206)/'Propylene Recycling HC'!M159</f>
        <v>4.9286237328072572E-4</v>
      </c>
      <c r="O58" s="168">
        <f>('Propylene Recycling HC'!N204+'Propylene Recycling HC'!N206)/'Propylene Recycling HC'!N159</f>
        <v>8.7644266701532444E-4</v>
      </c>
      <c r="P58" s="168">
        <f>('Propylene Recycling HC'!O204+'Propylene Recycling HC'!O206)/'Propylene Recycling HC'!O159</f>
        <v>1.5063139657715649E-3</v>
      </c>
      <c r="Q58" s="168">
        <f>('Propylene Recycling HC'!P204+'Propylene Recycling HC'!P206)/'Propylene Recycling HC'!P159</f>
        <v>2.472750480656124E-3</v>
      </c>
      <c r="R58" s="168">
        <f>('Propylene Recycling HC'!Q204+'Propylene Recycling HC'!Q206)/'Propylene Recycling HC'!Q159</f>
        <v>3.8507006920959932E-3</v>
      </c>
      <c r="S58" s="168">
        <f>('Propylene Recycling HC'!R204+'Propylene Recycling HC'!R206)/'Propylene Recycling HC'!R159</f>
        <v>5.6637193043605379E-3</v>
      </c>
      <c r="T58" s="168">
        <f>('Propylene Recycling HC'!S204+'Propylene Recycling HC'!S206)/'Propylene Recycling HC'!S159</f>
        <v>7.8501415920454211E-3</v>
      </c>
      <c r="U58" s="168">
        <f>('Propylene Recycling HC'!T204+'Propylene Recycling HC'!T206)/'Propylene Recycling HC'!T159</f>
        <v>1.0274445004468096E-2</v>
      </c>
      <c r="V58" s="168">
        <f>('Propylene Recycling HC'!U204+'Propylene Recycling HC'!U206)/'Propylene Recycling HC'!U159</f>
        <v>1.2759870575631034E-2</v>
      </c>
      <c r="W58" s="168">
        <f>('Propylene Recycling HC'!V204+'Propylene Recycling HC'!V206)/'Propylene Recycling HC'!V159</f>
        <v>1.5141129620415963E-2</v>
      </c>
      <c r="X58" s="168">
        <f>('Propylene Recycling HC'!W204+'Propylene Recycling HC'!W206)/'Propylene Recycling HC'!W159</f>
        <v>1.7303313921777887E-2</v>
      </c>
      <c r="Y58" s="168">
        <f>('Propylene Recycling HC'!X204+'Propylene Recycling HC'!X206)/'Propylene Recycling HC'!X159</f>
        <v>1.8559139375241819E-2</v>
      </c>
      <c r="Z58" s="168">
        <f>('Propylene Recycling HC'!Y204+'Propylene Recycling HC'!Y206)/'Propylene Recycling HC'!Y159</f>
        <v>1.9411857446311194E-2</v>
      </c>
      <c r="AA58" s="168">
        <f>('Propylene Recycling HC'!Z204+'Propylene Recycling HC'!Z206)/'Propylene Recycling HC'!Z159</f>
        <v>1.9952769295544515E-2</v>
      </c>
      <c r="AB58" s="168">
        <f>('Propylene Recycling HC'!AA204+'Propylene Recycling HC'!AA206)/'Propylene Recycling HC'!AA159</f>
        <v>2.0264341874151902E-2</v>
      </c>
      <c r="AC58" s="168">
        <f>('Propylene Recycling HC'!AB204+'Propylene Recycling HC'!AB206)/'Propylene Recycling HC'!AB159</f>
        <v>2.0448173889208863E-2</v>
      </c>
      <c r="AD58" s="168">
        <f>('Propylene Recycling HC'!AC204+'Propylene Recycling HC'!AC206)/'Propylene Recycling HC'!AC159</f>
        <v>2.0606451978013189E-2</v>
      </c>
      <c r="AE58" s="168">
        <f>('Propylene Recycling HC'!AD204+'Propylene Recycling HC'!AD206)/'Propylene Recycling HC'!AD159</f>
        <v>2.0832334928466301E-2</v>
      </c>
      <c r="AF58" s="168">
        <f>('Propylene Recycling HC'!AE204+'Propylene Recycling HC'!AE206)/'Propylene Recycling HC'!AE159</f>
        <v>2.1180910805726354E-2</v>
      </c>
      <c r="AG58" s="168">
        <f>('Propylene Recycling HC'!AF204+'Propylene Recycling HC'!AF206)/'Propylene Recycling HC'!AF159</f>
        <v>2.1655242946351478E-2</v>
      </c>
      <c r="AH58" s="168">
        <f>('Propylene Recycling HC'!AG204+'Propylene Recycling HC'!AG206)/'Propylene Recycling HC'!AG159</f>
        <v>2.4528083131570039E-2</v>
      </c>
      <c r="AI58" s="44"/>
      <c r="AJ58" s="168">
        <f>('Propylene Recycling LC'!C190+'Propylene Recycling LC'!C192)/'Propylene Recycling LC'!C145</f>
        <v>2.2059744485261748E-7</v>
      </c>
      <c r="AK58" s="168">
        <f>('Propylene Recycling LC'!D190+'Propylene Recycling LC'!D192)/'Propylene Recycling LC'!D145</f>
        <v>4.6236926828220509E-7</v>
      </c>
      <c r="AL58" s="168">
        <f>('Propylene Recycling LC'!E190+'Propylene Recycling LC'!E192)/'Propylene Recycling LC'!E145</f>
        <v>9.6406879742719472E-7</v>
      </c>
      <c r="AM58" s="168">
        <f>('Propylene Recycling LC'!F190+'Propylene Recycling LC'!F192)/'Propylene Recycling LC'!F145</f>
        <v>1.9988491328562531E-6</v>
      </c>
      <c r="AN58" s="168">
        <f>('Propylene Recycling LC'!G190+'Propylene Recycling LC'!G192)/'Propylene Recycling LC'!G145</f>
        <v>4.1180231924416596E-6</v>
      </c>
      <c r="AO58" s="168">
        <f>('Propylene Recycling LC'!H190+'Propylene Recycling LC'!H192)/'Propylene Recycling LC'!H145</f>
        <v>8.4204990108520191E-6</v>
      </c>
      <c r="AP58" s="168">
        <f>('Propylene Recycling LC'!I190+'Propylene Recycling LC'!I192)/'Propylene Recycling LC'!I145</f>
        <v>1.7068491292796257E-5</v>
      </c>
      <c r="AQ58" s="168">
        <f>('Propylene Recycling LC'!J190+'Propylene Recycling LC'!J192)/'Propylene Recycling LC'!J145</f>
        <v>3.4199021655559137E-5</v>
      </c>
      <c r="AR58" s="168">
        <f>('Propylene Recycling LC'!K190+'Propylene Recycling LC'!K192)/'Propylene Recycling LC'!K145</f>
        <v>6.7511501395060397E-5</v>
      </c>
      <c r="AS58" s="168">
        <f>('Propylene Recycling LC'!L190+'Propylene Recycling LC'!L192)/'Propylene Recycling LC'!L145</f>
        <v>1.3074230676663506E-4</v>
      </c>
      <c r="AT58" s="168">
        <f>('Propylene Recycling LC'!M190+'Propylene Recycling LC'!M192)/'Propylene Recycling LC'!M145</f>
        <v>2.4809998741312452E-4</v>
      </c>
      <c r="AU58" s="168">
        <f>('Propylene Recycling LC'!N190+'Propylene Recycling LC'!N192)/'Propylene Recycling LC'!N145</f>
        <v>4.4206122547363178E-4</v>
      </c>
      <c r="AV58" s="168">
        <f>('Propylene Recycling LC'!O190+'Propylene Recycling LC'!O192)/'Propylene Recycling LC'!O145</f>
        <v>7.6142190496390945E-4</v>
      </c>
      <c r="AW58" s="168">
        <f>('Propylene Recycling LC'!P190+'Propylene Recycling LC'!P192)/'Propylene Recycling LC'!P145</f>
        <v>1.2532317951431989E-3</v>
      </c>
      <c r="AX58" s="168">
        <f>('Propylene Recycling LC'!Q190+'Propylene Recycling LC'!Q192)/'Propylene Recycling LC'!Q145</f>
        <v>1.9572949451338913E-3</v>
      </c>
      <c r="AY58" s="168">
        <f>('Propylene Recycling LC'!R190+'Propylene Recycling LC'!R192)/'Propylene Recycling LC'!R145</f>
        <v>2.8881062376810802E-3</v>
      </c>
      <c r="AZ58" s="168">
        <f>('Propylene Recycling LC'!S190+'Propylene Recycling LC'!S192)/'Propylene Recycling LC'!S145</f>
        <v>4.0171608800111018E-3</v>
      </c>
      <c r="BA58" s="168">
        <f>('Propylene Recycling LC'!T190+'Propylene Recycling LC'!T192)/'Propylene Recycling LC'!T145</f>
        <v>5.2780325856479401E-3</v>
      </c>
      <c r="BB58" s="168">
        <f>('Propylene Recycling LC'!U190+'Propylene Recycling LC'!U192)/'Propylene Recycling LC'!U145</f>
        <v>6.5823414616697834E-3</v>
      </c>
      <c r="BC58" s="168">
        <f>('Propylene Recycling LC'!V190+'Propylene Recycling LC'!V192)/'Propylene Recycling LC'!V145</f>
        <v>7.8463682785649969E-3</v>
      </c>
      <c r="BD58" s="168">
        <f>('Propylene Recycling LC'!W190+'Propylene Recycling LC'!W192)/'Propylene Recycling LC'!W145</f>
        <v>9.0111395067465749E-3</v>
      </c>
      <c r="BE58" s="168">
        <f>('Propylene Recycling LC'!X190+'Propylene Recycling LC'!X192)/'Propylene Recycling LC'!X145</f>
        <v>9.7491180471052218E-3</v>
      </c>
      <c r="BF58" s="168">
        <f>('Propylene Recycling LC'!Y190+'Propylene Recycling LC'!Y192)/'Propylene Recycling LC'!Y145</f>
        <v>1.0294490614108297E-2</v>
      </c>
      <c r="BG58" s="168">
        <f>('Propylene Recycling LC'!Z190+'Propylene Recycling LC'!Z192)/'Propylene Recycling LC'!Z145</f>
        <v>1.0708460176993336E-2</v>
      </c>
      <c r="BH58" s="168">
        <f>('Propylene Recycling LC'!AA190+'Propylene Recycling LC'!AA192)/'Propylene Recycling LC'!AA145</f>
        <v>1.1027199517247588E-2</v>
      </c>
      <c r="BI58" s="168">
        <f>('Propylene Recycling LC'!AB190+'Propylene Recycling LC'!AB192)/'Propylene Recycling LC'!AB145</f>
        <v>1.130715861018384E-2</v>
      </c>
      <c r="BJ58" s="168">
        <f>('Propylene Recycling LC'!AC190+'Propylene Recycling LC'!AC192)/'Propylene Recycling LC'!AC145</f>
        <v>1.1610121745381754E-2</v>
      </c>
      <c r="BK58" s="168">
        <f>('Propylene Recycling LC'!AD190+'Propylene Recycling LC'!AD192)/'Propylene Recycling LC'!AD145</f>
        <v>1.1996251120687798E-2</v>
      </c>
      <c r="BL58" s="168">
        <f>('Propylene Recycling LC'!AE190+'Propylene Recycling LC'!AE192)/'Propylene Recycling LC'!AE145</f>
        <v>1.251198280100238E-2</v>
      </c>
      <c r="BM58" s="168">
        <f>('Propylene Recycling LC'!AF190+'Propylene Recycling LC'!AF192)/'Propylene Recycling LC'!AF145</f>
        <v>1.3171263802518068E-2</v>
      </c>
      <c r="BN58" s="168">
        <f>('Propylene Recycling LC'!AG190+'Propylene Recycling LC'!AG192)/'Propylene Recycling LC'!AG145</f>
        <v>1.3939289734266802E-2</v>
      </c>
      <c r="BP58" s="168">
        <f>0</f>
        <v>0</v>
      </c>
      <c r="BQ58" s="168">
        <f>0</f>
        <v>0</v>
      </c>
      <c r="BR58" s="168">
        <f>0</f>
        <v>0</v>
      </c>
      <c r="BS58" s="168">
        <f>0</f>
        <v>0</v>
      </c>
      <c r="BT58" s="168">
        <f>0</f>
        <v>0</v>
      </c>
      <c r="BU58" s="168">
        <f>0</f>
        <v>0</v>
      </c>
      <c r="BV58" s="168">
        <f>0</f>
        <v>0</v>
      </c>
      <c r="BW58" s="168">
        <f>0</f>
        <v>0</v>
      </c>
      <c r="BX58" s="168">
        <f>0</f>
        <v>0</v>
      </c>
      <c r="BY58" s="168">
        <f>0</f>
        <v>0</v>
      </c>
      <c r="BZ58" s="168">
        <f>0</f>
        <v>0</v>
      </c>
      <c r="CA58" s="168">
        <f>0</f>
        <v>0</v>
      </c>
      <c r="CB58" s="168">
        <f>0</f>
        <v>0</v>
      </c>
      <c r="CC58" s="168">
        <f>0</f>
        <v>0</v>
      </c>
      <c r="CD58" s="168">
        <f>0</f>
        <v>0</v>
      </c>
      <c r="CE58" s="168">
        <f>0</f>
        <v>0</v>
      </c>
      <c r="CF58" s="168">
        <f>0</f>
        <v>0</v>
      </c>
      <c r="CG58" s="168">
        <f>0</f>
        <v>0</v>
      </c>
      <c r="CH58" s="168">
        <f>0</f>
        <v>0</v>
      </c>
      <c r="CI58" s="168">
        <f>0</f>
        <v>0</v>
      </c>
      <c r="CJ58" s="168">
        <f>0</f>
        <v>0</v>
      </c>
      <c r="CK58" s="168">
        <f>0</f>
        <v>0</v>
      </c>
      <c r="CL58" s="168">
        <f>0</f>
        <v>0</v>
      </c>
      <c r="CM58" s="168">
        <f>0</f>
        <v>0</v>
      </c>
      <c r="CN58" s="168">
        <f>0</f>
        <v>0</v>
      </c>
      <c r="CO58" s="168">
        <f>0</f>
        <v>0</v>
      </c>
      <c r="CP58" s="168">
        <f>0</f>
        <v>0</v>
      </c>
      <c r="CQ58" s="168">
        <f>0</f>
        <v>0</v>
      </c>
      <c r="CR58" s="168">
        <f>0</f>
        <v>0</v>
      </c>
      <c r="CS58" s="168">
        <f>0</f>
        <v>0</v>
      </c>
      <c r="CT58" s="168">
        <f>0</f>
        <v>0</v>
      </c>
      <c r="CV58" s="168">
        <f>('Propylene Recycling LC'!C190+'Propylene Recycling LC'!C192)/'Propylene Recycling HC'!C149</f>
        <v>2.2059744485261748E-7</v>
      </c>
      <c r="CW58" s="168">
        <f>('Propylene Recycling LC'!D190+'Propylene Recycling LC'!D192)/'Propylene Recycling HC'!D149</f>
        <v>4.6149744953322324E-7</v>
      </c>
      <c r="CX58" s="168">
        <f>('Propylene Recycling LC'!E190+'Propylene Recycling LC'!E192)/'Propylene Recycling HC'!E149</f>
        <v>9.6043320436095134E-7</v>
      </c>
      <c r="CY58" s="168">
        <f>('Propylene Recycling LC'!F190+'Propylene Recycling LC'!F192)/'Propylene Recycling HC'!F149</f>
        <v>1.987542363981555E-6</v>
      </c>
      <c r="CZ58" s="168">
        <f>('Propylene Recycling LC'!G190+'Propylene Recycling LC'!G192)/'Propylene Recycling HC'!G149</f>
        <v>4.0869642958047725E-6</v>
      </c>
      <c r="DA58" s="168">
        <f>('Propylene Recycling LC'!H190+'Propylene Recycling LC'!H192)/'Propylene Recycling HC'!H149</f>
        <v>8.3411127992562842E-6</v>
      </c>
      <c r="DB58" s="168">
        <f>('Propylene Recycling LC'!I190+'Propylene Recycling LC'!I192)/'Propylene Recycling HC'!I149</f>
        <v>1.6853374840680833E-5</v>
      </c>
      <c r="DC58" s="168">
        <f>('Propylene Recycling LC'!J190+'Propylene Recycling LC'!J192)/'Propylene Recycling HC'!J149</f>
        <v>3.3659411299410888E-5</v>
      </c>
      <c r="DD58" s="168">
        <f>('Propylene Recycling LC'!K190+'Propylene Recycling LC'!K192)/'Propylene Recycling HC'!K149</f>
        <v>6.6231893007075943E-5</v>
      </c>
      <c r="DE58" s="168">
        <f>('Propylene Recycling LC'!L190+'Propylene Recycling LC'!L192)/'Propylene Recycling HC'!L149</f>
        <v>1.2784906692068303E-4</v>
      </c>
      <c r="DF58" s="168">
        <f>('Propylene Recycling LC'!M190+'Propylene Recycling LC'!M192)/'Propylene Recycling HC'!M149</f>
        <v>2.418218839078276E-4</v>
      </c>
      <c r="DG58" s="168">
        <f>('Propylene Recycling LC'!N190+'Propylene Recycling LC'!N192)/'Propylene Recycling HC'!N149</f>
        <v>4.2895829985647164E-4</v>
      </c>
      <c r="DH58" s="168">
        <f>('Propylene Recycling LC'!O190+'Propylene Recycling LC'!O192)/'Propylene Recycling HC'!O149</f>
        <v>7.3572295034994952E-4</v>
      </c>
      <c r="DI58" s="168">
        <f>('Propylene Recycling LC'!P190+'Propylene Recycling LC'!P192)/'Propylene Recycling HC'!P149</f>
        <v>1.2051317358159352E-3</v>
      </c>
      <c r="DJ58" s="168">
        <f>('Propylene Recycling LC'!Q190+'Propylene Recycling LC'!Q192)/'Propylene Recycling HC'!Q149</f>
        <v>1.8731105491584779E-3</v>
      </c>
      <c r="DK58" s="168">
        <f>('Propylene Recycling LC'!R190+'Propylene Recycling LC'!R192)/'Propylene Recycling HC'!R149</f>
        <v>2.7505152230866163E-3</v>
      </c>
      <c r="DL58" s="168">
        <f>('Propylene Recycling LC'!S190+'Propylene Recycling LC'!S192)/'Propylene Recycling HC'!S149</f>
        <v>3.8071808118937157E-3</v>
      </c>
      <c r="DM58" s="168">
        <f>('Propylene Recycling LC'!T190+'Propylene Recycling LC'!T192)/'Propylene Recycling HC'!T149</f>
        <v>4.9777063213993084E-3</v>
      </c>
      <c r="DN58" s="168">
        <f>('Propylene Recycling LC'!U190+'Propylene Recycling LC'!U192)/'Propylene Recycling HC'!U149</f>
        <v>6.1773181279546428E-3</v>
      </c>
      <c r="DO58" s="168">
        <f>('Propylene Recycling LC'!V190+'Propylene Recycling LC'!V192)/'Propylene Recycling HC'!V149</f>
        <v>7.3272318389780017E-3</v>
      </c>
      <c r="DP58" s="168">
        <f>('Propylene Recycling LC'!W190+'Propylene Recycling LC'!W192)/'Propylene Recycling HC'!W149</f>
        <v>8.3732077046639822E-3</v>
      </c>
      <c r="DQ58" s="168">
        <f>('Propylene Recycling LC'!X190+'Propylene Recycling LC'!X192)/'Propylene Recycling HC'!X149</f>
        <v>8.9951451549948949E-3</v>
      </c>
      <c r="DR58" s="168">
        <f>('Propylene Recycling LC'!Y190+'Propylene Recycling LC'!Y192)/'Propylene Recycling HC'!Y149</f>
        <v>9.4512600227350859E-3</v>
      </c>
      <c r="DS58" s="168">
        <f>('Propylene Recycling LC'!Z190+'Propylene Recycling LC'!Z192)/'Propylene Recycling HC'!Z149</f>
        <v>9.7793406597190841E-3</v>
      </c>
      <c r="DT58" s="168">
        <f>('Propylene Recycling LC'!AA190+'Propylene Recycling LC'!AA192)/'Propylene Recycling HC'!AA149</f>
        <v>1.0016857001932472E-2</v>
      </c>
      <c r="DU58" s="168">
        <f>('Propylene Recycling LC'!AB190+'Propylene Recycling LC'!AB192)/'Propylene Recycling HC'!AB149</f>
        <v>1.0216197320585532E-2</v>
      </c>
      <c r="DV58" s="168">
        <f>('Propylene Recycling LC'!AC190+'Propylene Recycling LC'!AC192)/'Propylene Recycling HC'!AC149</f>
        <v>1.0432993376880554E-2</v>
      </c>
      <c r="DW58" s="168">
        <f>('Propylene Recycling LC'!AD190+'Propylene Recycling LC'!AD192)/'Propylene Recycling HC'!AD149</f>
        <v>1.0721102251389673E-2</v>
      </c>
      <c r="DX58" s="168">
        <f>('Propylene Recycling LC'!AE190+'Propylene Recycling LC'!AE192)/'Propylene Recycling HC'!AE149</f>
        <v>1.1120568066546564E-2</v>
      </c>
      <c r="DY58" s="168">
        <f>('Propylene Recycling LC'!AF190+'Propylene Recycling LC'!AF192)/'Propylene Recycling HC'!AF149</f>
        <v>1.1641804081901696E-2</v>
      </c>
      <c r="DZ58" s="168">
        <f>('Propylene Recycling LC'!AG190+'Propylene Recycling LC'!AG192)/'Propylene Recycling HC'!AG149</f>
        <v>1.2252096043685752E-2</v>
      </c>
    </row>
    <row r="59" spans="1:165" x14ac:dyDescent="0.2">
      <c r="A59" s="606" t="s">
        <v>459</v>
      </c>
      <c r="C59" s="54" t="s">
        <v>462</v>
      </c>
      <c r="D59" s="168">
        <f>('Propylene Recycling HC'!C177-('Propylene Recycling HC'!C204+'Propylene Recycling HC'!C206)*'Propylene Recycling HC'!C143/SUM('Propylene Recycling HC'!C143:C144))/('Propylene Recycling HC'!C$159)*D$19/SUM(D$19:D$20)</f>
        <v>0.15152588012722124</v>
      </c>
      <c r="E59" s="168">
        <f>('Propylene Recycling HC'!D177-('Propylene Recycling HC'!D204+'Propylene Recycling HC'!D206)*'Propylene Recycling HC'!D143/SUM('Propylene Recycling HC'!D143:D144))/('Propylene Recycling HC'!D$159)*E$19/SUM(E$19:E$20)</f>
        <v>0.15591930220767689</v>
      </c>
      <c r="F59" s="168">
        <f>('Propylene Recycling HC'!E177-('Propylene Recycling HC'!E204+'Propylene Recycling HC'!E206)*'Propylene Recycling HC'!E143/SUM('Propylene Recycling HC'!E143:E144))/('Propylene Recycling HC'!E$159)*F$19/SUM(F$19:F$20)</f>
        <v>0.16025183498169981</v>
      </c>
      <c r="G59" s="168">
        <f>('Propylene Recycling HC'!F177-('Propylene Recycling HC'!F204+'Propylene Recycling HC'!F206)*'Propylene Recycling HC'!F143/SUM('Propylene Recycling HC'!F143:F144))/('Propylene Recycling HC'!F$159)*G$19/SUM(G$19:G$20)</f>
        <v>0.16451571579796403</v>
      </c>
      <c r="H59" s="168">
        <f>('Propylene Recycling HC'!G177-('Propylene Recycling HC'!G204+'Propylene Recycling HC'!G206)*'Propylene Recycling HC'!G143/SUM('Propylene Recycling HC'!G143:G144))/('Propylene Recycling HC'!G$159)*H$19/SUM(H$19:H$20)</f>
        <v>0.1686968504801708</v>
      </c>
      <c r="I59" s="168">
        <f>('Propylene Recycling HC'!H177-('Propylene Recycling HC'!H204+'Propylene Recycling HC'!H206)*'Propylene Recycling HC'!H143/SUM('Propylene Recycling HC'!H143:H144))/('Propylene Recycling HC'!H$159)*I$19/SUM(I$19:I$20)</f>
        <v>0.17276913859377979</v>
      </c>
      <c r="J59" s="168">
        <f>('Propylene Recycling HC'!I177-('Propylene Recycling HC'!I204+'Propylene Recycling HC'!I206)*'Propylene Recycling HC'!I143/SUM('Propylene Recycling HC'!I143:I144))/('Propylene Recycling HC'!I$159)*J$19/SUM(J$19:J$20)</f>
        <v>0.1766771712064604</v>
      </c>
      <c r="K59" s="168">
        <f>('Propylene Recycling HC'!J177-('Propylene Recycling HC'!J204+'Propylene Recycling HC'!J206)*'Propylene Recycling HC'!J143/SUM('Propylene Recycling HC'!J143:J144))/('Propylene Recycling HC'!J$159)*K$19/SUM(K$19:K$20)</f>
        <v>0.1803369356430293</v>
      </c>
      <c r="L59" s="168">
        <f>('Propylene Recycling HC'!K177-('Propylene Recycling HC'!K204+'Propylene Recycling HC'!K206)*'Propylene Recycling HC'!K143/SUM('Propylene Recycling HC'!K143:K144))/('Propylene Recycling HC'!K$159)*L$19/SUM(L$19:L$20)</f>
        <v>0.18359067907220084</v>
      </c>
      <c r="M59" s="168">
        <f>('Propylene Recycling HC'!L177-('Propylene Recycling HC'!L204+'Propylene Recycling HC'!L206)*'Propylene Recycling HC'!L143/SUM('Propylene Recycling HC'!L143:L144))/('Propylene Recycling HC'!L$159)*M$19/SUM(M$19:M$20)</f>
        <v>0.18616909962695999</v>
      </c>
      <c r="N59" s="168">
        <f>('Propylene Recycling HC'!M177-('Propylene Recycling HC'!M204+'Propylene Recycling HC'!M206)*'Propylene Recycling HC'!M143/SUM('Propylene Recycling HC'!M143:M144))/('Propylene Recycling HC'!M$159)*N$19/SUM(N$19:N$20)</f>
        <v>0.18763826099456773</v>
      </c>
      <c r="O59" s="168">
        <f>('Propylene Recycling HC'!N177-('Propylene Recycling HC'!N204+'Propylene Recycling HC'!N206)*'Propylene Recycling HC'!N143/SUM('Propylene Recycling HC'!N143:N144))/('Propylene Recycling HC'!N$159)*O$19/SUM(O$19:O$20)</f>
        <v>0.18654951915564386</v>
      </c>
      <c r="P59" s="168">
        <f>('Propylene Recycling HC'!O177-('Propylene Recycling HC'!O204+'Propylene Recycling HC'!O206)*'Propylene Recycling HC'!O143/SUM('Propylene Recycling HC'!O143:O144))/('Propylene Recycling HC'!O$159)*P$19/SUM(P$19:P$20)</f>
        <v>0.18288257347180545</v>
      </c>
      <c r="Q59" s="168">
        <f>('Propylene Recycling HC'!P177-('Propylene Recycling HC'!P204+'Propylene Recycling HC'!P206)*'Propylene Recycling HC'!P143/SUM('Propylene Recycling HC'!P143:P144))/('Propylene Recycling HC'!P$159)*Q$19/SUM(Q$19:Q$20)</f>
        <v>0.17579487130398166</v>
      </c>
      <c r="R59" s="168">
        <f>('Propylene Recycling HC'!Q177-('Propylene Recycling HC'!Q204+'Propylene Recycling HC'!Q206)*'Propylene Recycling HC'!Q143/SUM('Propylene Recycling HC'!Q143:Q144))/('Propylene Recycling HC'!Q$159)*R$19/SUM(R$19:R$20)</f>
        <v>0.1646671146706129</v>
      </c>
      <c r="S59" s="168">
        <f>('Propylene Recycling HC'!R177-('Propylene Recycling HC'!R204+'Propylene Recycling HC'!R206)*'Propylene Recycling HC'!R143/SUM('Propylene Recycling HC'!R143:R144))/('Propylene Recycling HC'!R$159)*S$19/SUM(S$19:S$20)</f>
        <v>0.14946632915413741</v>
      </c>
      <c r="T59" s="168">
        <f>('Propylene Recycling HC'!S177-('Propylene Recycling HC'!S204+'Propylene Recycling HC'!S206)*'Propylene Recycling HC'!S143/SUM('Propylene Recycling HC'!S143:S144))/('Propylene Recycling HC'!S$159)*T$19/SUM(T$19:T$20)</f>
        <v>0.1309682680101403</v>
      </c>
      <c r="U59" s="168">
        <f>('Propylene Recycling HC'!T177-('Propylene Recycling HC'!T204+'Propylene Recycling HC'!T206)*'Propylene Recycling HC'!T143/SUM('Propylene Recycling HC'!T143:T144))/('Propylene Recycling HC'!T$159)*U$19/SUM(U$19:U$20)</f>
        <v>0.1106517260878593</v>
      </c>
      <c r="V59" s="168">
        <f>('Propylene Recycling HC'!U177-('Propylene Recycling HC'!U204+'Propylene Recycling HC'!U206)*'Propylene Recycling HC'!U143/SUM('Propylene Recycling HC'!U143:U144))/('Propylene Recycling HC'!U$159)*V$19/SUM(V$19:V$20)</f>
        <v>9.0277099534605096E-2</v>
      </c>
      <c r="W59" s="168">
        <f>('Propylene Recycling HC'!V177-('Propylene Recycling HC'!V204+'Propylene Recycling HC'!V206)*'Propylene Recycling HC'!V143/SUM('Propylene Recycling HC'!V143:V144))/('Propylene Recycling HC'!V$159)*W$19/SUM(W$19:W$20)</f>
        <v>7.1382478295725069E-2</v>
      </c>
      <c r="X59" s="168">
        <f>('Propylene Recycling HC'!W177-('Propylene Recycling HC'!W204+'Propylene Recycling HC'!W206)*'Propylene Recycling HC'!W143/SUM('Propylene Recycling HC'!W143:W144))/('Propylene Recycling HC'!W$159)*X$19/SUM(X$19:X$20)</f>
        <v>5.4962180466858274E-2</v>
      </c>
      <c r="Y59" s="168">
        <f>('Propylene Recycling HC'!X177-('Propylene Recycling HC'!X204+'Propylene Recycling HC'!X206)*'Propylene Recycling HC'!X143/SUM('Propylene Recycling HC'!X143:X144))/('Propylene Recycling HC'!X$159)*Y$19/SUM(Y$19:Y$20)</f>
        <v>4.1172365021731258E-2</v>
      </c>
      <c r="Z59" s="168">
        <f>('Propylene Recycling HC'!Y177-('Propylene Recycling HC'!Y204+'Propylene Recycling HC'!Y206)*'Propylene Recycling HC'!Y143/SUM('Propylene Recycling HC'!Y143:Y144))/('Propylene Recycling HC'!Y$159)*Z$19/SUM(Z$19:Z$20)</f>
        <v>3.0314659733807911E-2</v>
      </c>
      <c r="AA59" s="168">
        <f>('Propylene Recycling HC'!Z177-('Propylene Recycling HC'!Z204+'Propylene Recycling HC'!Z206)*'Propylene Recycling HC'!Z143/SUM('Propylene Recycling HC'!Z143:Z144))/('Propylene Recycling HC'!Z$159)*AA$19/SUM(AA$19:AA$20)</f>
        <v>2.2027776012280134E-2</v>
      </c>
      <c r="AB59" s="168">
        <f>('Propylene Recycling HC'!AA177-('Propylene Recycling HC'!AA204+'Propylene Recycling HC'!AA206)*'Propylene Recycling HC'!AA143/SUM('Propylene Recycling HC'!AA143:AA144))/('Propylene Recycling HC'!AA$159)*AB$19/SUM(AB$19:AB$20)</f>
        <v>1.5843615099559599E-2</v>
      </c>
      <c r="AC59" s="168">
        <f>('Propylene Recycling HC'!AB177-('Propylene Recycling HC'!AB204+'Propylene Recycling HC'!AB206)*'Propylene Recycling HC'!AB143/SUM('Propylene Recycling HC'!AB143:AB144))/('Propylene Recycling HC'!AB$159)*AC$19/SUM(AC$19:AC$20)</f>
        <v>1.1305889763730976E-2</v>
      </c>
      <c r="AD59" s="168">
        <f>('Propylene Recycling HC'!AC177-('Propylene Recycling HC'!AC204+'Propylene Recycling HC'!AC206)*'Propylene Recycling HC'!AC143/SUM('Propylene Recycling HC'!AC143:AC144))/('Propylene Recycling HC'!AC$159)*AD$19/SUM(AD$19:AD$20)</f>
        <v>8.0175805316612253E-3</v>
      </c>
      <c r="AE59" s="168">
        <f>('Propylene Recycling HC'!AD177-('Propylene Recycling HC'!AD204+'Propylene Recycling HC'!AD206)*'Propylene Recycling HC'!AD143/SUM('Propylene Recycling HC'!AD143:AD144))/('Propylene Recycling HC'!AD$159)*AE$19/SUM(AE$19:AE$20)</f>
        <v>5.6570487425704899E-3</v>
      </c>
      <c r="AF59" s="168">
        <f>('Propylene Recycling HC'!AE177-('Propylene Recycling HC'!AE204+'Propylene Recycling HC'!AE206)*'Propylene Recycling HC'!AE143/SUM('Propylene Recycling HC'!AE143:AE144))/('Propylene Recycling HC'!AE$159)*AF$19/SUM(AF$19:AF$20)</f>
        <v>3.9748433550526952E-3</v>
      </c>
      <c r="AG59" s="168">
        <f>('Propylene Recycling HC'!AF177-('Propylene Recycling HC'!AF204+'Propylene Recycling HC'!AF206)*'Propylene Recycling HC'!AF143/SUM('Propylene Recycling HC'!AF143:AF144))/('Propylene Recycling HC'!AF$159)*AG$19/SUM(AG$19:AG$20)</f>
        <v>2.7830834058147585E-3</v>
      </c>
      <c r="AH59" s="168">
        <f>('Propylene Recycling HC'!AG177-('Propylene Recycling HC'!AG204+'Propylene Recycling HC'!AG206)*'Propylene Recycling HC'!AG143/SUM('Propylene Recycling HC'!AG143:AG144))/('Propylene Recycling HC'!AG$159)*AH$19/SUM(AH$19:AH$20)</f>
        <v>1.9329840668917569E-3</v>
      </c>
      <c r="AI59" s="44"/>
      <c r="AJ59" s="168">
        <f>('Propylene Recycling LC'!C163-('Propylene Recycling LC'!C190+'Propylene Recycling LC'!C192)*'Propylene Recycling LC'!C129/SUM('Propylene Recycling LC'!C129:C130))/('Propylene Recycling LC'!C$145)*AJ$19/SUM(AJ$19:AJ$20)</f>
        <v>0.15152594671960704</v>
      </c>
      <c r="AK59" s="168">
        <f>('Propylene Recycling LC'!D163-('Propylene Recycling LC'!D190+'Propylene Recycling LC'!D192)*'Propylene Recycling LC'!D129/SUM('Propylene Recycling LC'!D129:D130))/('Propylene Recycling LC'!D$145)*AK$19/SUM(AK$19:AK$20)</f>
        <v>0.15592385321544863</v>
      </c>
      <c r="AL59" s="168">
        <f>('Propylene Recycling LC'!E163-('Propylene Recycling LC'!E190+'Propylene Recycling LC'!E192)*'Propylene Recycling LC'!E129/SUM('Propylene Recycling LC'!E129:E130))/('Propylene Recycling LC'!E$145)*AL$19/SUM(AL$19:AL$20)</f>
        <v>0.16026189779463776</v>
      </c>
      <c r="AM59" s="168">
        <f>('Propylene Recycling LC'!F163-('Propylene Recycling LC'!F190+'Propylene Recycling LC'!F192)*'Propylene Recycling LC'!F129/SUM('Propylene Recycling LC'!F129:F130))/('Propylene Recycling LC'!F$145)*AM$19/SUM(AM$19:AM$20)</f>
        <v>0.16453249050231467</v>
      </c>
      <c r="AN59" s="168">
        <f>('Propylene Recycling LC'!G163-('Propylene Recycling LC'!G190+'Propylene Recycling LC'!G192)*'Propylene Recycling LC'!G129/SUM('Propylene Recycling LC'!G129:G130))/('Propylene Recycling LC'!G$145)*AN$19/SUM(AN$19:AN$20)</f>
        <v>0.16872180579701934</v>
      </c>
      <c r="AO59" s="168">
        <f>('Propylene Recycling LC'!H163-('Propylene Recycling LC'!H190+'Propylene Recycling LC'!H192)*'Propylene Recycling LC'!H129/SUM('Propylene Recycling LC'!H129:H130))/('Propylene Recycling LC'!H$145)*AO$19/SUM(AO$19:AO$20)</f>
        <v>0.17280419987395562</v>
      </c>
      <c r="AP59" s="168">
        <f>('Propylene Recycling LC'!I163-('Propylene Recycling LC'!I190+'Propylene Recycling LC'!I192)*'Propylene Recycling LC'!I129/SUM('Propylene Recycling LC'!I129:I130))/('Propylene Recycling LC'!I$145)*AP$19/SUM(AP$19:AP$20)</f>
        <v>0.17674457082864561</v>
      </c>
      <c r="AQ59" s="168">
        <f>('Propylene Recycling LC'!J163-('Propylene Recycling LC'!J190+'Propylene Recycling LC'!J192)*'Propylene Recycling LC'!J129/SUM('Propylene Recycling LC'!J129:J130))/('Propylene Recycling LC'!J$145)*AQ$19/SUM(AQ$19:AQ$20)</f>
        <v>0.18044433263139764</v>
      </c>
      <c r="AR59" s="168">
        <f>('Propylene Recycling LC'!K163-('Propylene Recycling LC'!K190+'Propylene Recycling LC'!K192)*'Propylene Recycling LC'!K129/SUM('Propylene Recycling LC'!K129:K130))/('Propylene Recycling LC'!K$145)*AR$19/SUM(AR$19:AR$20)</f>
        <v>0.18374855692258993</v>
      </c>
      <c r="AS59" s="168">
        <f>('Propylene Recycling LC'!L163-('Propylene Recycling LC'!L190+'Propylene Recycling LC'!L192)*'Propylene Recycling LC'!L129/SUM('Propylene Recycling LC'!L129:L130))/('Propylene Recycling LC'!L$145)*AS$19/SUM(AS$19:AS$20)</f>
        <v>0.1863925524409869</v>
      </c>
      <c r="AT59" s="168">
        <f>('Propylene Recycling LC'!M163-('Propylene Recycling LC'!M190+'Propylene Recycling LC'!M192)*'Propylene Recycling LC'!M129/SUM('Propylene Recycling LC'!M129:M130))/('Propylene Recycling LC'!M$145)*AT$19/SUM(AT$19:AT$20)</f>
        <v>0.18794983158605588</v>
      </c>
      <c r="AU59" s="168">
        <f>('Propylene Recycling LC'!N163-('Propylene Recycling LC'!N190+'Propylene Recycling LC'!N192)*'Propylene Recycling LC'!N129/SUM('Propylene Recycling LC'!N129:N130))/('Propylene Recycling LC'!N$145)*AU$19/SUM(AU$19:AU$20)</f>
        <v>0.18699552630660607</v>
      </c>
      <c r="AV59" s="168">
        <f>('Propylene Recycling LC'!O163-('Propylene Recycling LC'!O190+'Propylene Recycling LC'!O192)*'Propylene Recycling LC'!O129/SUM('Propylene Recycling LC'!O129:O130))/('Propylene Recycling LC'!O$145)*AV$19/SUM(AV$19:AV$20)</f>
        <v>0.18350375839130298</v>
      </c>
      <c r="AW59" s="168">
        <f>('Propylene Recycling LC'!P163-('Propylene Recycling LC'!P190+'Propylene Recycling LC'!P192)*'Propylene Recycling LC'!P129/SUM('Propylene Recycling LC'!P129:P130))/('Propylene Recycling LC'!P$145)*AW$19/SUM(AW$19:AW$20)</f>
        <v>0.17663951581620549</v>
      </c>
      <c r="AX59" s="168">
        <f>('Propylene Recycling LC'!Q163-('Propylene Recycling LC'!Q190+'Propylene Recycling LC'!Q192)*'Propylene Recycling LC'!Q129/SUM('Propylene Recycling LC'!Q129:Q130))/('Propylene Recycling LC'!Q$145)*AX$19/SUM(AX$19:AX$20)</f>
        <v>0.16576376788911376</v>
      </c>
      <c r="AY59" s="168">
        <f>('Propylene Recycling LC'!R163-('Propylene Recycling LC'!R190+'Propylene Recycling LC'!R192)*'Propylene Recycling LC'!R129/SUM('Propylene Recycling LC'!R129:R130))/('Propylene Recycling LC'!R$145)*AY$19/SUM(AY$19:AY$20)</f>
        <v>0.15081035715272631</v>
      </c>
      <c r="AZ59" s="168">
        <f>('Propylene Recycling LC'!S163-('Propylene Recycling LC'!S190+'Propylene Recycling LC'!S192)*'Propylene Recycling LC'!S129/SUM('Propylene Recycling LC'!S129:S130))/('Propylene Recycling LC'!S$145)*AZ$19/SUM(AZ$19:AZ$20)</f>
        <v>0.1325079347051876</v>
      </c>
      <c r="BA59" s="168">
        <f>('Propylene Recycling LC'!T163-('Propylene Recycling LC'!T190+'Propylene Recycling LC'!T192)*'Propylene Recycling LC'!T129/SUM('Propylene Recycling LC'!T129:T130))/('Propylene Recycling LC'!T$145)*BA$19/SUM(BA$19:BA$20)</f>
        <v>0.11229354266920233</v>
      </c>
      <c r="BB59" s="168">
        <f>('Propylene Recycling LC'!U163-('Propylene Recycling LC'!U190+'Propylene Recycling LC'!U192)*'Propylene Recycling LC'!U129/SUM('Propylene Recycling LC'!U129:U130))/('Propylene Recycling LC'!U$145)*BB$19/SUM(BB$19:BB$20)</f>
        <v>9.1909558516897916E-2</v>
      </c>
      <c r="BC59" s="168">
        <f>('Propylene Recycling LC'!V163-('Propylene Recycling LC'!V190+'Propylene Recycling LC'!V192)*'Propylene Recycling LC'!V129/SUM('Propylene Recycling LC'!V129:V130))/('Propylene Recycling LC'!V$145)*BC$19/SUM(BC$19:BC$20)</f>
        <v>7.290602785385393E-2</v>
      </c>
      <c r="BD59" s="168">
        <f>('Propylene Recycling LC'!W163-('Propylene Recycling LC'!W190+'Propylene Recycling LC'!W192)*'Propylene Recycling LC'!W129/SUM('Propylene Recycling LC'!W129:W130))/('Propylene Recycling LC'!W$145)*BD$19/SUM(BD$19:BD$20)</f>
        <v>5.6309631626269549E-2</v>
      </c>
      <c r="BE59" s="168">
        <f>('Propylene Recycling LC'!X163-('Propylene Recycling LC'!X190+'Propylene Recycling LC'!X192)*'Propylene Recycling LC'!X129/SUM('Propylene Recycling LC'!X129:X130))/('Propylene Recycling LC'!X$145)*BE$19/SUM(BE$19:BE$20)</f>
        <v>4.2303058426254946E-2</v>
      </c>
      <c r="BF59" s="168">
        <f>('Propylene Recycling LC'!Y163-('Propylene Recycling LC'!Y190+'Propylene Recycling LC'!Y192)*'Propylene Recycling LC'!Y129/SUM('Propylene Recycling LC'!Y129:Y130))/('Propylene Recycling LC'!Y$145)*BF$19/SUM(BF$19:BF$20)</f>
        <v>3.12283692387373E-2</v>
      </c>
      <c r="BG59" s="168">
        <f>('Propylene Recycling LC'!Z163-('Propylene Recycling LC'!Z190+'Propylene Recycling LC'!Z192)*'Propylene Recycling LC'!Z129/SUM('Propylene Recycling LC'!Z129:Z130))/('Propylene Recycling LC'!Z$145)*BG$19/SUM(BG$19:BG$20)</f>
        <v>2.27530101246071E-2</v>
      </c>
      <c r="BH59" s="168">
        <f>('Propylene Recycling LC'!AA163-('Propylene Recycling LC'!AA190+'Propylene Recycling LC'!AA192)*'Propylene Recycling LC'!AA129/SUM('Propylene Recycling LC'!AA129:AA130))/('Propylene Recycling LC'!AA$145)*BH$19/SUM(BH$19:BH$20)</f>
        <v>1.6409934459128615E-2</v>
      </c>
      <c r="BI59" s="168">
        <f>('Propylene Recycling LC'!AB163-('Propylene Recycling LC'!AB190+'Propylene Recycling LC'!AB192)*'Propylene Recycling LC'!AB129/SUM('Propylene Recycling LC'!AB129:AB130))/('Propylene Recycling LC'!AB$145)*BI$19/SUM(BI$19:BI$20)</f>
        <v>1.1743636732382828E-2</v>
      </c>
      <c r="BJ59" s="168">
        <f>('Propylene Recycling LC'!AC163-('Propylene Recycling LC'!AC190+'Propylene Recycling LC'!AC192)*'Propylene Recycling LC'!AC129/SUM('Propylene Recycling LC'!AC129:AC130))/('Propylene Recycling LC'!AC$145)*BJ$19/SUM(BJ$19:BJ$20)</f>
        <v>8.35417755976171E-3</v>
      </c>
      <c r="BK59" s="168">
        <f>('Propylene Recycling LC'!AD163-('Propylene Recycling LC'!AD190+'Propylene Recycling LC'!AD192)*'Propylene Recycling LC'!AD129/SUM('Propylene Recycling LC'!AD129:AD130))/('Propylene Recycling LC'!AD$145)*BK$19/SUM(BK$19:BK$20)</f>
        <v>5.915178316176422E-3</v>
      </c>
      <c r="BL59" s="168">
        <f>('Propylene Recycling LC'!AE163-('Propylene Recycling LC'!AE190+'Propylene Recycling LC'!AE192)*'Propylene Recycling LC'!AE129/SUM('Propylene Recycling LC'!AE129:AE130))/('Propylene Recycling LC'!AE$145)*BL$19/SUM(BL$19:BL$20)</f>
        <v>4.1725049006664386E-3</v>
      </c>
      <c r="BM59" s="168">
        <f>('Propylene Recycling LC'!AF163-('Propylene Recycling LC'!AF190+'Propylene Recycling LC'!AF192)*'Propylene Recycling LC'!AF129/SUM('Propylene Recycling LC'!AF129:AF130))/('Propylene Recycling LC'!AF$145)*BM$19/SUM(BM$19:BM$20)</f>
        <v>2.9342242571286817E-3</v>
      </c>
      <c r="BN59" s="168">
        <f>('Propylene Recycling LC'!AG163-('Propylene Recycling LC'!AG190+'Propylene Recycling LC'!AG192)*'Propylene Recycling LC'!AG129/SUM('Propylene Recycling LC'!AG129:AG130))/('Propylene Recycling LC'!AG$145)*BN$19/SUM(BN$19:BN$20)</f>
        <v>2.0583043036080228E-3</v>
      </c>
      <c r="BP59" s="168">
        <f>('Propylene Recycling HC'!C153)/('Propylene Recycling HC'!C$149)*BP$19/SUM(BP$19:BP$20)</f>
        <v>0.15153299726065281</v>
      </c>
      <c r="BQ59" s="168">
        <f>('Propylene Recycling HC'!D153)/('Propylene Recycling HC'!D$149)*BQ$19/SUM(BQ$19:BQ$20)</f>
        <v>0.15362988664478627</v>
      </c>
      <c r="BR59" s="168">
        <f>('Propylene Recycling HC'!E153)/('Propylene Recycling HC'!E$149)*BR$19/SUM(BR$19:BR$20)</f>
        <v>0.15570600555469388</v>
      </c>
      <c r="BS59" s="168">
        <f>('Propylene Recycling HC'!F153)/('Propylene Recycling HC'!F$149)*BS$19/SUM(BS$19:BS$20)</f>
        <v>0.15776140396248262</v>
      </c>
      <c r="BT59" s="168">
        <f>('Propylene Recycling HC'!G153)/('Propylene Recycling HC'!G$149)*BT$19/SUM(BT$19:BT$20)</f>
        <v>0.1597959803138764</v>
      </c>
      <c r="BU59" s="168">
        <f>('Propylene Recycling HC'!H153)/('Propylene Recycling HC'!H$149)*BU$19/SUM(BU$19:BU$20)</f>
        <v>0.16180947999692774</v>
      </c>
      <c r="BV59" s="168">
        <f>('Propylene Recycling HC'!I153)/('Propylene Recycling HC'!I$149)*BV$19/SUM(BV$19:BV$20)</f>
        <v>0.16382000290975574</v>
      </c>
      <c r="BW59" s="168">
        <f>('Propylene Recycling HC'!J153)/('Propylene Recycling HC'!J$149)*BW$19/SUM(BW$19:BW$20)</f>
        <v>0.1658274596085067</v>
      </c>
      <c r="BX59" s="168">
        <f>('Propylene Recycling HC'!K153)/('Propylene Recycling HC'!K$149)*BX$19/SUM(BX$19:BX$20)</f>
        <v>0.16783175753428686</v>
      </c>
      <c r="BY59" s="168">
        <f>('Propylene Recycling HC'!L153)/('Propylene Recycling HC'!L$149)*BY$19/SUM(BY$19:BY$20)</f>
        <v>0.16983280077989443</v>
      </c>
      <c r="BZ59" s="168">
        <f>('Propylene Recycling HC'!M153)/('Propylene Recycling HC'!M$149)*BZ$19/SUM(BZ$19:BZ$20)</f>
        <v>0.1718304898508296</v>
      </c>
      <c r="CA59" s="168">
        <f>('Propylene Recycling HC'!N153)/('Propylene Recycling HC'!N$149)*CA$19/SUM(CA$19:CA$20)</f>
        <v>0.17381195679761791</v>
      </c>
      <c r="CB59" s="168">
        <f>('Propylene Recycling HC'!O153)/('Propylene Recycling HC'!O$149)*CB$19/SUM(CB$19:CB$20)</f>
        <v>0.17577668210517911</v>
      </c>
      <c r="CC59" s="168">
        <f>('Propylene Recycling HC'!P153)/('Propylene Recycling HC'!P$149)*CC$19/SUM(CC$19:CC$20)</f>
        <v>0.17772405036009892</v>
      </c>
      <c r="CD59" s="168">
        <f>('Propylene Recycling HC'!Q153)/('Propylene Recycling HC'!Q$149)*CD$19/SUM(CD$19:CD$20)</f>
        <v>0.17965334406514757</v>
      </c>
      <c r="CE59" s="168">
        <f>('Propylene Recycling HC'!R153)/('Propylene Recycling HC'!R$149)*CE$19/SUM(CE$19:CE$20)</f>
        <v>0.18156373643407639</v>
      </c>
      <c r="CF59" s="168">
        <f>('Propylene Recycling HC'!S153)/('Propylene Recycling HC'!S$149)*CF$19/SUM(CF$19:CF$20)</f>
        <v>0.18347157026095315</v>
      </c>
      <c r="CG59" s="168">
        <f>('Propylene Recycling HC'!T153)/('Propylene Recycling HC'!T$149)*CG$19/SUM(CG$19:CG$20)</f>
        <v>0.18537677983328757</v>
      </c>
      <c r="CH59" s="168">
        <f>('Propylene Recycling HC'!U153)/('Propylene Recycling HC'!U$149)*CH$19/SUM(CH$19:CH$20)</f>
        <v>0.18727929790897754</v>
      </c>
      <c r="CI59" s="168">
        <f>('Propylene Recycling HC'!V153)/('Propylene Recycling HC'!V$149)*CI$19/SUM(CI$19:CI$20)</f>
        <v>0.18917905566971721</v>
      </c>
      <c r="CJ59" s="168">
        <f>('Propylene Recycling HC'!W153)/('Propylene Recycling HC'!W$149)*CJ$19/SUM(CJ$19:CJ$20)</f>
        <v>0.19107598267304979</v>
      </c>
      <c r="CK59" s="168">
        <f>('Propylene Recycling HC'!X153)/('Propylene Recycling HC'!X$149)*CK$19/SUM(CK$19:CK$20)</f>
        <v>0.19297012168199151</v>
      </c>
      <c r="CL59" s="168">
        <f>('Propylene Recycling HC'!Y153)/('Propylene Recycling HC'!Y$149)*CL$19/SUM(CL$19:CL$20)</f>
        <v>0.19486140483222097</v>
      </c>
      <c r="CM59" s="168">
        <f>('Propylene Recycling HC'!Z153)/('Propylene Recycling HC'!Z$149)*CM$19/SUM(CM$19:CM$20)</f>
        <v>0.19674976269215427</v>
      </c>
      <c r="CN59" s="168">
        <f>('Propylene Recycling HC'!AA153)/('Propylene Recycling HC'!AA$149)*CN$19/SUM(CN$19:CN$20)</f>
        <v>0.19863512421777052</v>
      </c>
      <c r="CO59" s="168">
        <f>('Propylene Recycling HC'!AB153)/('Propylene Recycling HC'!AB$149)*CO$19/SUM(CO$19:CO$20)</f>
        <v>0.20051741670614975</v>
      </c>
      <c r="CP59" s="168">
        <f>('Propylene Recycling HC'!AC153)/('Propylene Recycling HC'!AC$149)*CP$19/SUM(CP$19:CP$20)</f>
        <v>0.20239667292715441</v>
      </c>
      <c r="CQ59" s="168">
        <f>('Propylene Recycling HC'!AD153)/('Propylene Recycling HC'!AD$149)*CQ$19/SUM(CQ$19:CQ$20)</f>
        <v>0.20427282226618854</v>
      </c>
      <c r="CR59" s="168">
        <f>('Propylene Recycling HC'!AE153)/('Propylene Recycling HC'!AE$149)*CR$19/SUM(CR$19:CR$20)</f>
        <v>0.20614579249554549</v>
      </c>
      <c r="CS59" s="168">
        <f>('Propylene Recycling HC'!AF153)/('Propylene Recycling HC'!AF$149)*CS$19/SUM(CS$19:CS$20)</f>
        <v>0.20801550973003233</v>
      </c>
      <c r="CT59" s="168">
        <f>('Propylene Recycling HC'!AG153)/('Propylene Recycling HC'!AG$149)*CT$19/SUM(CT$19:CT$20)</f>
        <v>0.20988189838135796</v>
      </c>
      <c r="CV59" s="168">
        <f>AJ59*(1-SUM(CV$34:CV$35))/(1-SUM(AJ$34:AJ$35))</f>
        <v>0.15152594671960704</v>
      </c>
      <c r="CW59" s="168">
        <f t="shared" ref="CW59:DZ65" si="370">AK59*(1-SUM(CW$34:CW$35))/(1-SUM(AK$34:AK$35))</f>
        <v>0.15610165337173754</v>
      </c>
      <c r="CX59" s="168">
        <f t="shared" si="370"/>
        <v>0.16064444497138927</v>
      </c>
      <c r="CY59" s="168">
        <f t="shared" si="370"/>
        <v>0.16514782103054149</v>
      </c>
      <c r="CZ59" s="168">
        <f t="shared" si="370"/>
        <v>0.16959891502836333</v>
      </c>
      <c r="DA59" s="168">
        <f t="shared" si="370"/>
        <v>0.17397282081254317</v>
      </c>
      <c r="DB59" s="168">
        <f t="shared" si="370"/>
        <v>0.17827142660579082</v>
      </c>
      <c r="DC59" s="168">
        <f t="shared" si="370"/>
        <v>0.18236302303953128</v>
      </c>
      <c r="DD59" s="168">
        <f t="shared" si="370"/>
        <v>0.18609054704672209</v>
      </c>
      <c r="DE59" s="168">
        <f t="shared" si="370"/>
        <v>0.18918414897460281</v>
      </c>
      <c r="DF59" s="168">
        <f t="shared" si="370"/>
        <v>0.19120698076990952</v>
      </c>
      <c r="DG59" s="168">
        <f t="shared" si="370"/>
        <v>0.19107159665648149</v>
      </c>
      <c r="DH59" s="168">
        <f t="shared" si="370"/>
        <v>0.18831478163771426</v>
      </c>
      <c r="DI59" s="168">
        <f t="shared" si="370"/>
        <v>0.18222420869004441</v>
      </c>
      <c r="DJ59" s="168">
        <f t="shared" si="370"/>
        <v>0.17197723607515983</v>
      </c>
      <c r="DK59" s="168">
        <f t="shared" si="370"/>
        <v>0.15741975697265245</v>
      </c>
      <c r="DL59" s="168">
        <f t="shared" si="370"/>
        <v>0.13921357033843651</v>
      </c>
      <c r="DM59" s="168">
        <f t="shared" si="370"/>
        <v>0.11878793814315936</v>
      </c>
      <c r="DN59" s="168">
        <f t="shared" si="370"/>
        <v>9.7927501616458704E-2</v>
      </c>
      <c r="DO59" s="168">
        <f t="shared" si="370"/>
        <v>7.8263801966286239E-2</v>
      </c>
      <c r="DP59" s="168">
        <f t="shared" si="370"/>
        <v>6.091698050737597E-2</v>
      </c>
      <c r="DQ59" s="168">
        <f t="shared" si="370"/>
        <v>4.6346364175774639E-2</v>
      </c>
      <c r="DR59" s="168">
        <f t="shared" si="370"/>
        <v>3.4599185807886366E-2</v>
      </c>
      <c r="DS59" s="168">
        <f t="shared" si="370"/>
        <v>2.5506179886317461E-2</v>
      </c>
      <c r="DT59" s="168">
        <f t="shared" si="370"/>
        <v>1.8621113651529256E-2</v>
      </c>
      <c r="DU59" s="168">
        <f t="shared" si="370"/>
        <v>1.3492731794687362E-2</v>
      </c>
      <c r="DV59" s="168">
        <f t="shared" si="370"/>
        <v>9.720192939407974E-3</v>
      </c>
      <c r="DW59" s="168">
        <f t="shared" si="370"/>
        <v>6.970288599144823E-3</v>
      </c>
      <c r="DX59" s="168">
        <f t="shared" si="370"/>
        <v>4.97959143539082E-3</v>
      </c>
      <c r="DY59" s="168">
        <f t="shared" si="370"/>
        <v>3.5461671841965693E-3</v>
      </c>
      <c r="DZ59" s="168">
        <f t="shared" si="370"/>
        <v>2.5184294011384696E-3</v>
      </c>
    </row>
    <row r="60" spans="1:165" x14ac:dyDescent="0.2">
      <c r="A60" s="606" t="s">
        <v>460</v>
      </c>
      <c r="C60" s="54" t="s">
        <v>462</v>
      </c>
      <c r="D60" s="168">
        <f>('Propylene Recycling HC'!C177-('Propylene Recycling HC'!C204+'Propylene Recycling HC'!C206)*'Propylene Recycling HC'!C143/SUM('Propylene Recycling HC'!C143:C144))/('Propylene Recycling HC'!C$159)*D$20/SUM(D$19:D$20)</f>
        <v>6.9839425214554155E-6</v>
      </c>
      <c r="E60" s="168">
        <f>('Propylene Recycling HC'!D177-('Propylene Recycling HC'!D204+'Propylene Recycling HC'!D206)*'Propylene Recycling HC'!D143/SUM('Propylene Recycling HC'!D143:D144))/('Propylene Recycling HC'!D$159)*E$20/SUM(E$19:E$20)</f>
        <v>1.3916664703231512E-5</v>
      </c>
      <c r="F60" s="168">
        <f>('Propylene Recycling HC'!E177-('Propylene Recycling HC'!E204+'Propylene Recycling HC'!E206)*'Propylene Recycling HC'!E143/SUM('Propylene Recycling HC'!E143:E144))/('Propylene Recycling HC'!E$159)*F$20/SUM(F$19:F$20)</f>
        <v>2.7652109483155007E-5</v>
      </c>
      <c r="G60" s="168">
        <f>('Propylene Recycling HC'!F177-('Propylene Recycling HC'!F204+'Propylene Recycling HC'!F206)*'Propylene Recycling HC'!F143/SUM('Propylene Recycling HC'!F143:F144))/('Propylene Recycling HC'!F$159)*G$20/SUM(G$19:G$20)</f>
        <v>5.4752008300208008E-5</v>
      </c>
      <c r="H60" s="168">
        <f>('Propylene Recycling HC'!G177-('Propylene Recycling HC'!G204+'Propylene Recycling HC'!G206)*'Propylene Recycling HC'!G143/SUM('Propylene Recycling HC'!G143:G144))/('Propylene Recycling HC'!G$159)*H$20/SUM(H$19:H$20)</f>
        <v>1.0793086311244815E-4</v>
      </c>
      <c r="I60" s="168">
        <f>('Propylene Recycling HC'!H177-('Propylene Recycling HC'!H204+'Propylene Recycling HC'!H206)*'Propylene Recycling HC'!H143/SUM('Propylene Recycling HC'!H143:H144))/('Propylene Recycling HC'!H$159)*I$20/SUM(I$19:I$20)</f>
        <v>2.1153900077610632E-4</v>
      </c>
      <c r="J60" s="168">
        <f>('Propylene Recycling HC'!I177-('Propylene Recycling HC'!I204+'Propylene Recycling HC'!I206)*'Propylene Recycling HC'!I143/SUM('Propylene Recycling HC'!I143:I144))/('Propylene Recycling HC'!I$159)*J$20/SUM(J$19:J$20)</f>
        <v>4.1144803093755397E-4</v>
      </c>
      <c r="K60" s="168">
        <f>('Propylene Recycling HC'!J177-('Propylene Recycling HC'!J204+'Propylene Recycling HC'!J206)*'Propylene Recycling HC'!J143/SUM('Propylene Recycling HC'!J143:J144))/('Propylene Recycling HC'!J$159)*K$20/SUM(K$19:K$20)</f>
        <v>7.9219145230634703E-4</v>
      </c>
      <c r="L60" s="168">
        <f>('Propylene Recycling HC'!K177-('Propylene Recycling HC'!K204+'Propylene Recycling HC'!K206)*'Propylene Recycling HC'!K143/SUM('Propylene Recycling HC'!K143:K144))/('Propylene Recycling HC'!K$159)*L$20/SUM(L$19:L$20)</f>
        <v>1.5047179304142001E-3</v>
      </c>
      <c r="M60" s="168">
        <f>('Propylene Recycling HC'!L177-('Propylene Recycling HC'!L204+'Propylene Recycling HC'!L206)*'Propylene Recycling HC'!L143/SUM('Propylene Recycling HC'!L143:L144))/('Propylene Recycling HC'!L$159)*M$20/SUM(M$19:M$20)</f>
        <v>2.8070488909461093E-3</v>
      </c>
      <c r="N60" s="168">
        <f>('Propylene Recycling HC'!M177-('Propylene Recycling HC'!M204+'Propylene Recycling HC'!M206)*'Propylene Recycling HC'!M143/SUM('Propylene Recycling HC'!M143:M144))/('Propylene Recycling HC'!M$159)*N$20/SUM(N$19:N$20)</f>
        <v>5.1139893874778651E-3</v>
      </c>
      <c r="O60" s="168">
        <f>('Propylene Recycling HC'!N177-('Propylene Recycling HC'!N204+'Propylene Recycling HC'!N206)*'Propylene Recycling HC'!N143/SUM('Propylene Recycling HC'!N143:N144))/('Propylene Recycling HC'!N$159)*O$20/SUM(O$19:O$20)</f>
        <v>8.9980755069583047E-3</v>
      </c>
      <c r="P60" s="168">
        <f>('Propylene Recycling HC'!O177-('Propylene Recycling HC'!O204+'Propylene Recycling HC'!O206)*'Propylene Recycling HC'!O143/SUM('Propylene Recycling HC'!O143:O144))/('Propylene Recycling HC'!O$159)*P$20/SUM(P$19:P$20)</f>
        <v>1.5237544114937648E-2</v>
      </c>
      <c r="Q60" s="168">
        <f>('Propylene Recycling HC'!P177-('Propylene Recycling HC'!P204+'Propylene Recycling HC'!P206)*'Propylene Recycling HC'!P143/SUM('Propylene Recycling HC'!P143:P144))/('Propylene Recycling HC'!P$159)*Q$20/SUM(Q$19:Q$20)</f>
        <v>2.4641818604605441E-2</v>
      </c>
      <c r="R60" s="168">
        <f>('Propylene Recycling HC'!Q177-('Propylene Recycling HC'!Q204+'Propylene Recycling HC'!Q206)*'Propylene Recycling HC'!Q143/SUM('Propylene Recycling HC'!Q143:Q144))/('Propylene Recycling HC'!Q$159)*R$20/SUM(R$19:R$20)</f>
        <v>3.7792670410376025E-2</v>
      </c>
      <c r="S60" s="168">
        <f>('Propylene Recycling HC'!R177-('Propylene Recycling HC'!R204+'Propylene Recycling HC'!R206)*'Propylene Recycling HC'!R143/SUM('Propylene Recycling HC'!R143:R144))/('Propylene Recycling HC'!R$159)*S$20/SUM(S$19:S$20)</f>
        <v>5.4706848353635824E-2</v>
      </c>
      <c r="T60" s="168">
        <f>('Propylene Recycling HC'!S177-('Propylene Recycling HC'!S204+'Propylene Recycling HC'!S206)*'Propylene Recycling HC'!S143/SUM('Propylene Recycling HC'!S143:S144))/('Propylene Recycling HC'!S$159)*T$20/SUM(T$19:T$20)</f>
        <v>7.4624780105276886E-2</v>
      </c>
      <c r="U60" s="168">
        <f>('Propylene Recycling HC'!T177-('Propylene Recycling HC'!T204+'Propylene Recycling HC'!T206)*'Propylene Recycling HC'!T143/SUM('Propylene Recycling HC'!T143:T144))/('Propylene Recycling HC'!T$159)*U$20/SUM(U$19:U$20)</f>
        <v>9.6113625441845332E-2</v>
      </c>
      <c r="V60" s="168">
        <f>('Propylene Recycling HC'!U177-('Propylene Recycling HC'!U204+'Propylene Recycling HC'!U206)*'Propylene Recycling HC'!U143/SUM('Propylene Recycling HC'!U143:U144))/('Propylene Recycling HC'!U$159)*V$20/SUM(V$19:V$20)</f>
        <v>0.11747740161622468</v>
      </c>
      <c r="W60" s="168">
        <f>('Propylene Recycling HC'!V177-('Propylene Recycling HC'!V204+'Propylene Recycling HC'!V206)*'Propylene Recycling HC'!V143/SUM('Propylene Recycling HC'!V143:V144))/('Propylene Recycling HC'!V$159)*W$20/SUM(W$19:W$20)</f>
        <v>0.1372408013230233</v>
      </c>
      <c r="X60" s="168">
        <f>('Propylene Recycling HC'!W177-('Propylene Recycling HC'!W204+'Propylene Recycling HC'!W206)*'Propylene Recycling HC'!W143/SUM('Propylene Recycling HC'!W143:W144))/('Propylene Recycling HC'!W$159)*X$20/SUM(X$19:X$20)</f>
        <v>0.15445480204248122</v>
      </c>
      <c r="Y60" s="168">
        <f>('Propylene Recycling HC'!X177-('Propylene Recycling HC'!X204+'Propylene Recycling HC'!X206)*'Propylene Recycling HC'!X143/SUM('Propylene Recycling HC'!X143:X144))/('Propylene Recycling HC'!X$159)*Y$20/SUM(Y$19:Y$20)</f>
        <v>0.16775072680589706</v>
      </c>
      <c r="Z60" s="168">
        <f>('Propylene Recycling HC'!Y177-('Propylene Recycling HC'!Y204+'Propylene Recycling HC'!Y206)*'Propylene Recycling HC'!Y143/SUM('Propylene Recycling HC'!Y143:Y144))/('Propylene Recycling HC'!Y$159)*Z$20/SUM(Z$19:Z$20)</f>
        <v>0.17800034349077071</v>
      </c>
      <c r="AA60" s="168">
        <f>('Propylene Recycling HC'!Z177-('Propylene Recycling HC'!Z204+'Propylene Recycling HC'!Z206)*'Propylene Recycling HC'!Z143/SUM('Propylene Recycling HC'!Z143:Z144))/('Propylene Recycling HC'!Z$159)*AA$20/SUM(AA$19:AA$20)</f>
        <v>0.18558381551179723</v>
      </c>
      <c r="AB60" s="168">
        <f>('Propylene Recycling HC'!AA177-('Propylene Recycling HC'!AA204+'Propylene Recycling HC'!AA206)*'Propylene Recycling HC'!AA143/SUM('Propylene Recycling HC'!AA143:AA144))/('Propylene Recycling HC'!AA$159)*AB$20/SUM(AB$19:AB$20)</f>
        <v>0.19091714225677239</v>
      </c>
      <c r="AC60" s="168">
        <f>('Propylene Recycling HC'!AB177-('Propylene Recycling HC'!AB204+'Propylene Recycling HC'!AB206)*'Propylene Recycling HC'!AB143/SUM('Propylene Recycling HC'!AB143:AB144))/('Propylene Recycling HC'!AB$159)*AC$20/SUM(AC$19:AC$20)</f>
        <v>0.19441323744964481</v>
      </c>
      <c r="AD60" s="168">
        <f>('Propylene Recycling HC'!AC177-('Propylene Recycling HC'!AC204+'Propylene Recycling HC'!AC206)*'Propylene Recycling HC'!AC143/SUM('Propylene Recycling HC'!AC143:AC144))/('Propylene Recycling HC'!AC$159)*AD$20/SUM(AD$19:AD$20)</f>
        <v>0.19642077641925665</v>
      </c>
      <c r="AE60" s="168">
        <f>('Propylene Recycling HC'!AD177-('Propylene Recycling HC'!AD204+'Propylene Recycling HC'!AD206)*'Propylene Recycling HC'!AD143/SUM('Propylene Recycling HC'!AD143:AD144))/('Propylene Recycling HC'!AD$159)*AE$20/SUM(AE$19:AE$20)</f>
        <v>0.19722129822282003</v>
      </c>
      <c r="AF60" s="168">
        <f>('Propylene Recycling HC'!AE177-('Propylene Recycling HC'!AE204+'Propylene Recycling HC'!AE206)*'Propylene Recycling HC'!AE143/SUM('Propylene Recycling HC'!AE143:AE144))/('Propylene Recycling HC'!AE$159)*AF$20/SUM(AF$19:AF$20)</f>
        <v>0.19703653025954515</v>
      </c>
      <c r="AG60" s="168">
        <f>('Propylene Recycling HC'!AF177-('Propylene Recycling HC'!AF204+'Propylene Recycling HC'!AF206)*'Propylene Recycling HC'!AF143/SUM('Propylene Recycling HC'!AF143:AF144))/('Propylene Recycling HC'!AF$159)*AG$20/SUM(AG$19:AG$20)</f>
        <v>0.19604829512123784</v>
      </c>
      <c r="AH60" s="168">
        <f>('Propylene Recycling HC'!AG177-('Propylene Recycling HC'!AG204+'Propylene Recycling HC'!AG206)*'Propylene Recycling HC'!AG143/SUM('Propylene Recycling HC'!AG143:AG144))/('Propylene Recycling HC'!AG$159)*AH$20/SUM(AH$19:AH$20)</f>
        <v>0.19341785168281639</v>
      </c>
      <c r="AI60" s="44"/>
      <c r="AJ60" s="168">
        <f>('Propylene Recycling LC'!C163-('Propylene Recycling LC'!C190+'Propylene Recycling LC'!C192)*'Propylene Recycling LC'!C129/SUM('Propylene Recycling LC'!C129:C130))/('Propylene Recycling LC'!C$145)*AJ$20/SUM(AJ$19:AJ$20)</f>
        <v>6.9839455907488861E-6</v>
      </c>
      <c r="AK60" s="168">
        <f>('Propylene Recycling LC'!D163-('Propylene Recycling LC'!D190+'Propylene Recycling LC'!D192)*'Propylene Recycling LC'!D129/SUM('Propylene Recycling LC'!D129:D130))/('Propylene Recycling LC'!D$145)*AK$20/SUM(AK$19:AK$20)</f>
        <v>1.3917070905980779E-5</v>
      </c>
      <c r="AL60" s="168">
        <f>('Propylene Recycling LC'!E163-('Propylene Recycling LC'!E190+'Propylene Recycling LC'!E192)*'Propylene Recycling LC'!E129/SUM('Propylene Recycling LC'!E129:E130))/('Propylene Recycling LC'!E$145)*AL$20/SUM(AL$19:AL$20)</f>
        <v>2.7653845862679776E-5</v>
      </c>
      <c r="AM60" s="168">
        <f>('Propylene Recycling LC'!F163-('Propylene Recycling LC'!F190+'Propylene Recycling LC'!F192)*'Propylene Recycling LC'!F129/SUM('Propylene Recycling LC'!F129:F130))/('Propylene Recycling LC'!F$145)*AM$20/SUM(AM$19:AM$20)</f>
        <v>5.4757591041938086E-5</v>
      </c>
      <c r="AN60" s="168">
        <f>('Propylene Recycling LC'!G163-('Propylene Recycling LC'!G190+'Propylene Recycling LC'!G192)*'Propylene Recycling LC'!G129/SUM('Propylene Recycling LC'!G129:G130))/('Propylene Recycling LC'!G$145)*AN$20/SUM(AN$19:AN$20)</f>
        <v>1.0794682931975455E-4</v>
      </c>
      <c r="AO60" s="168">
        <f>('Propylene Recycling LC'!H163-('Propylene Recycling LC'!H190+'Propylene Recycling LC'!H192)*'Propylene Recycling LC'!H129/SUM('Propylene Recycling LC'!H129:H130))/('Propylene Recycling LC'!H$145)*AO$20/SUM(AO$19:AO$20)</f>
        <v>2.1158192990242301E-4</v>
      </c>
      <c r="AP60" s="168">
        <f>('Propylene Recycling LC'!I163-('Propylene Recycling LC'!I190+'Propylene Recycling LC'!I192)*'Propylene Recycling LC'!I129/SUM('Propylene Recycling LC'!I129:I130))/('Propylene Recycling LC'!I$145)*AP$20/SUM(AP$19:AP$20)</f>
        <v>4.1160499203017663E-4</v>
      </c>
      <c r="AQ60" s="168">
        <f>('Propylene Recycling LC'!J163-('Propylene Recycling LC'!J190+'Propylene Recycling LC'!J192)*'Propylene Recycling LC'!J129/SUM('Propylene Recycling LC'!J129:J130))/('Propylene Recycling LC'!J$145)*AQ$20/SUM(AQ$19:AQ$20)</f>
        <v>7.9266323018083217E-4</v>
      </c>
      <c r="AR60" s="168">
        <f>('Propylene Recycling LC'!K163-('Propylene Recycling LC'!K190+'Propylene Recycling LC'!K192)*'Propylene Recycling LC'!K129/SUM('Propylene Recycling LC'!K129:K130))/('Propylene Recycling LC'!K$145)*AR$20/SUM(AR$19:AR$20)</f>
        <v>1.5060119047787823E-3</v>
      </c>
      <c r="AS60" s="168">
        <f>('Propylene Recycling LC'!L163-('Propylene Recycling LC'!L190+'Propylene Recycling LC'!L192)*'Propylene Recycling LC'!L129/SUM('Propylene Recycling LC'!L129:L130))/('Propylene Recycling LC'!L$145)*AS$20/SUM(AS$19:AS$20)</f>
        <v>2.8104181019217764E-3</v>
      </c>
      <c r="AT60" s="168">
        <f>('Propylene Recycling LC'!M163-('Propylene Recycling LC'!M190+'Propylene Recycling LC'!M192)*'Propylene Recycling LC'!M129/SUM('Propylene Recycling LC'!M129:M130))/('Propylene Recycling LC'!M$145)*AT$20/SUM(AT$19:AT$20)</f>
        <v>5.1224810921540595E-3</v>
      </c>
      <c r="AU60" s="168">
        <f>('Propylene Recycling LC'!N163-('Propylene Recycling LC'!N190+'Propylene Recycling LC'!N192)*'Propylene Recycling LC'!N129/SUM('Propylene Recycling LC'!N129:N130))/('Propylene Recycling LC'!N$145)*AU$20/SUM(AU$19:AU$20)</f>
        <v>9.0195883258557541E-3</v>
      </c>
      <c r="AV60" s="168">
        <f>('Propylene Recycling LC'!O163-('Propylene Recycling LC'!O190+'Propylene Recycling LC'!O192)*'Propylene Recycling LC'!O129/SUM('Propylene Recycling LC'!O129:O130))/('Propylene Recycling LC'!O$145)*AV$20/SUM(AV$19:AV$20)</f>
        <v>1.52893004547282E-2</v>
      </c>
      <c r="AW60" s="168">
        <f>('Propylene Recycling LC'!P163-('Propylene Recycling LC'!P190+'Propylene Recycling LC'!P192)*'Propylene Recycling LC'!P129/SUM('Propylene Recycling LC'!P129:P130))/('Propylene Recycling LC'!P$145)*AW$20/SUM(AW$19:AW$20)</f>
        <v>2.4760215556127448E-2</v>
      </c>
      <c r="AX60" s="168">
        <f>('Propylene Recycling LC'!Q163-('Propylene Recycling LC'!Q190+'Propylene Recycling LC'!Q192)*'Propylene Recycling LC'!Q129/SUM('Propylene Recycling LC'!Q129:Q130))/('Propylene Recycling LC'!Q$145)*AX$20/SUM(AX$19:AX$20)</f>
        <v>3.8044362763911127E-2</v>
      </c>
      <c r="AY60" s="168">
        <f>('Propylene Recycling LC'!R163-('Propylene Recycling LC'!R190+'Propylene Recycling LC'!R192)*'Propylene Recycling LC'!R129/SUM('Propylene Recycling LC'!R129:R130))/('Propylene Recycling LC'!R$145)*AY$20/SUM(AY$19:AY$20)</f>
        <v>5.5198782131082237E-2</v>
      </c>
      <c r="AZ60" s="168">
        <f>('Propylene Recycling LC'!S163-('Propylene Recycling LC'!S190+'Propylene Recycling LC'!S192)*'Propylene Recycling LC'!S129/SUM('Propylene Recycling LC'!S129:S130))/('Propylene Recycling LC'!S$145)*AZ$20/SUM(AZ$19:AZ$20)</f>
        <v>7.5502071149122926E-2</v>
      </c>
      <c r="BA60" s="168">
        <f>('Propylene Recycling LC'!T163-('Propylene Recycling LC'!T190+'Propylene Recycling LC'!T192)*'Propylene Recycling LC'!T129/SUM('Propylene Recycling LC'!T129:T130))/('Propylene Recycling LC'!T$145)*BA$20/SUM(BA$19:BA$20)</f>
        <v>9.7539730117502318E-2</v>
      </c>
      <c r="BB60" s="168">
        <f>('Propylene Recycling LC'!U163-('Propylene Recycling LC'!U190+'Propylene Recycling LC'!U192)*'Propylene Recycling LC'!U129/SUM('Propylene Recycling LC'!U129:U130))/('Propylene Recycling LC'!U$145)*BB$20/SUM(BB$19:BB$20)</f>
        <v>0.11960171709017622</v>
      </c>
      <c r="BC60" s="168">
        <f>('Propylene Recycling LC'!V163-('Propylene Recycling LC'!V190+'Propylene Recycling LC'!V192)*'Propylene Recycling LC'!V129/SUM('Propylene Recycling LC'!V129:V130))/('Propylene Recycling LC'!V$145)*BC$20/SUM(BC$19:BC$20)</f>
        <v>0.14016999581451611</v>
      </c>
      <c r="BD60" s="168">
        <f>('Propylene Recycling LC'!W163-('Propylene Recycling LC'!W190+'Propylene Recycling LC'!W192)*'Propylene Recycling LC'!W129/SUM('Propylene Recycling LC'!W129:W130))/('Propylene Recycling LC'!W$145)*BD$20/SUM(BD$19:BD$20)</f>
        <v>0.15824141131309183</v>
      </c>
      <c r="BE60" s="168">
        <f>('Propylene Recycling LC'!X163-('Propylene Recycling LC'!X190+'Propylene Recycling LC'!X192)*'Propylene Recycling LC'!X129/SUM('Propylene Recycling LC'!X129:X130))/('Propylene Recycling LC'!X$145)*BE$20/SUM(BE$19:BE$20)</f>
        <v>0.17235757026274895</v>
      </c>
      <c r="BF60" s="168">
        <f>('Propylene Recycling LC'!Y163-('Propylene Recycling LC'!Y190+'Propylene Recycling LC'!Y192)*'Propylene Recycling LC'!Y129/SUM('Propylene Recycling LC'!Y129:Y130))/('Propylene Recycling LC'!Y$145)*BF$20/SUM(BF$19:BF$20)</f>
        <v>0.18336542451613452</v>
      </c>
      <c r="BG60" s="168">
        <f>('Propylene Recycling LC'!Z163-('Propylene Recycling LC'!Z190+'Propylene Recycling LC'!Z192)*'Propylene Recycling LC'!Z129/SUM('Propylene Recycling LC'!Z129:Z130))/('Propylene Recycling LC'!Z$145)*BG$20/SUM(BG$19:BG$20)</f>
        <v>0.19169390640930395</v>
      </c>
      <c r="BH60" s="168">
        <f>('Propylene Recycling LC'!AA163-('Propylene Recycling LC'!AA190+'Propylene Recycling LC'!AA192)*'Propylene Recycling LC'!AA129/SUM('Propylene Recycling LC'!AA129:AA130))/('Propylene Recycling LC'!AA$145)*BH$20/SUM(BH$19:BH$20)</f>
        <v>0.19774134702659213</v>
      </c>
      <c r="BI60" s="168">
        <f>('Propylene Recycling LC'!AB163-('Propylene Recycling LC'!AB190+'Propylene Recycling LC'!AB192)*'Propylene Recycling LC'!AB129/SUM('Propylene Recycling LC'!AB129:AB130))/('Propylene Recycling LC'!AB$145)*BI$20/SUM(BI$19:BI$20)</f>
        <v>0.20194062424872591</v>
      </c>
      <c r="BJ60" s="168">
        <f>('Propylene Recycling LC'!AC163-('Propylene Recycling LC'!AC190+'Propylene Recycling LC'!AC192)*'Propylene Recycling LC'!AC129/SUM('Propylene Recycling LC'!AC129:AC130))/('Propylene Recycling LC'!AC$145)*BJ$20/SUM(BJ$19:BJ$20)</f>
        <v>0.20466698602561187</v>
      </c>
      <c r="BK60" s="168">
        <f>('Propylene Recycling LC'!AD163-('Propylene Recycling LC'!AD190+'Propylene Recycling LC'!AD192)*'Propylene Recycling LC'!AD129/SUM('Propylene Recycling LC'!AD129:AD130))/('Propylene Recycling LC'!AD$145)*BK$20/SUM(BK$19:BK$20)</f>
        <v>0.20622045165651179</v>
      </c>
      <c r="BL60" s="168">
        <f>('Propylene Recycling LC'!AE163-('Propylene Recycling LC'!AE190+'Propylene Recycling LC'!AE192)*'Propylene Recycling LC'!AE129/SUM('Propylene Recycling LC'!AE129:AE130))/('Propylene Recycling LC'!AE$145)*BL$20/SUM(BL$19:BL$20)</f>
        <v>0.20683478936929428</v>
      </c>
      <c r="BM60" s="168">
        <f>('Propylene Recycling LC'!AF163-('Propylene Recycling LC'!AF190+'Propylene Recycling LC'!AF192)*'Propylene Recycling LC'!AF129/SUM('Propylene Recycling LC'!AF129:AF130))/('Propylene Recycling LC'!AF$145)*BM$20/SUM(BM$19:BM$20)</f>
        <v>0.20669508571377232</v>
      </c>
      <c r="BN60" s="168">
        <f>('Propylene Recycling LC'!AG163-('Propylene Recycling LC'!AG190+'Propylene Recycling LC'!AG192)*'Propylene Recycling LC'!AG129/SUM('Propylene Recycling LC'!AG129:AG130))/('Propylene Recycling LC'!AG$145)*BN$20/SUM(BN$19:BN$20)</f>
        <v>0.20595761927490983</v>
      </c>
      <c r="BP60" s="168">
        <f>('Propylene Recycling HC'!C153)/('Propylene Recycling HC'!C$149)*BP$20/SUM(BP$19:BP$20)</f>
        <v>0</v>
      </c>
      <c r="BQ60" s="168">
        <f>('Propylene Recycling HC'!D153)/('Propylene Recycling HC'!D$149)*BQ$20/SUM(BQ$19:BQ$20)</f>
        <v>0</v>
      </c>
      <c r="BR60" s="168">
        <f>('Propylene Recycling HC'!E153)/('Propylene Recycling HC'!E$149)*BR$20/SUM(BR$19:BR$20)</f>
        <v>0</v>
      </c>
      <c r="BS60" s="168">
        <f>('Propylene Recycling HC'!F153)/('Propylene Recycling HC'!F$149)*BS$20/SUM(BS$19:BS$20)</f>
        <v>0</v>
      </c>
      <c r="BT60" s="168">
        <f>('Propylene Recycling HC'!G153)/('Propylene Recycling HC'!G$149)*BT$20/SUM(BT$19:BT$20)</f>
        <v>0</v>
      </c>
      <c r="BU60" s="168">
        <f>('Propylene Recycling HC'!H153)/('Propylene Recycling HC'!H$149)*BU$20/SUM(BU$19:BU$20)</f>
        <v>0</v>
      </c>
      <c r="BV60" s="168">
        <f>('Propylene Recycling HC'!I153)/('Propylene Recycling HC'!I$149)*BV$20/SUM(BV$19:BV$20)</f>
        <v>0</v>
      </c>
      <c r="BW60" s="168">
        <f>('Propylene Recycling HC'!J153)/('Propylene Recycling HC'!J$149)*BW$20/SUM(BW$19:BW$20)</f>
        <v>0</v>
      </c>
      <c r="BX60" s="168">
        <f>('Propylene Recycling HC'!K153)/('Propylene Recycling HC'!K$149)*BX$20/SUM(BX$19:BX$20)</f>
        <v>0</v>
      </c>
      <c r="BY60" s="168">
        <f>('Propylene Recycling HC'!L153)/('Propylene Recycling HC'!L$149)*BY$20/SUM(BY$19:BY$20)</f>
        <v>0</v>
      </c>
      <c r="BZ60" s="168">
        <f>('Propylene Recycling HC'!M153)/('Propylene Recycling HC'!M$149)*BZ$20/SUM(BZ$19:BZ$20)</f>
        <v>0</v>
      </c>
      <c r="CA60" s="168">
        <f>('Propylene Recycling HC'!N153)/('Propylene Recycling HC'!N$149)*CA$20/SUM(CA$19:CA$20)</f>
        <v>0</v>
      </c>
      <c r="CB60" s="168">
        <f>('Propylene Recycling HC'!O153)/('Propylene Recycling HC'!O$149)*CB$20/SUM(CB$19:CB$20)</f>
        <v>0</v>
      </c>
      <c r="CC60" s="168">
        <f>('Propylene Recycling HC'!P153)/('Propylene Recycling HC'!P$149)*CC$20/SUM(CC$19:CC$20)</f>
        <v>0</v>
      </c>
      <c r="CD60" s="168">
        <f>('Propylene Recycling HC'!Q153)/('Propylene Recycling HC'!Q$149)*CD$20/SUM(CD$19:CD$20)</f>
        <v>0</v>
      </c>
      <c r="CE60" s="168">
        <f>('Propylene Recycling HC'!R153)/('Propylene Recycling HC'!R$149)*CE$20/SUM(CE$19:CE$20)</f>
        <v>0</v>
      </c>
      <c r="CF60" s="168">
        <f>('Propylene Recycling HC'!S153)/('Propylene Recycling HC'!S$149)*CF$20/SUM(CF$19:CF$20)</f>
        <v>0</v>
      </c>
      <c r="CG60" s="168">
        <f>('Propylene Recycling HC'!T153)/('Propylene Recycling HC'!T$149)*CG$20/SUM(CG$19:CG$20)</f>
        <v>0</v>
      </c>
      <c r="CH60" s="168">
        <f>('Propylene Recycling HC'!U153)/('Propylene Recycling HC'!U$149)*CH$20/SUM(CH$19:CH$20)</f>
        <v>0</v>
      </c>
      <c r="CI60" s="168">
        <f>('Propylene Recycling HC'!V153)/('Propylene Recycling HC'!V$149)*CI$20/SUM(CI$19:CI$20)</f>
        <v>0</v>
      </c>
      <c r="CJ60" s="168">
        <f>('Propylene Recycling HC'!W153)/('Propylene Recycling HC'!W$149)*CJ$20/SUM(CJ$19:CJ$20)</f>
        <v>0</v>
      </c>
      <c r="CK60" s="168">
        <f>('Propylene Recycling HC'!X153)/('Propylene Recycling HC'!X$149)*CK$20/SUM(CK$19:CK$20)</f>
        <v>0</v>
      </c>
      <c r="CL60" s="168">
        <f>('Propylene Recycling HC'!Y153)/('Propylene Recycling HC'!Y$149)*CL$20/SUM(CL$19:CL$20)</f>
        <v>0</v>
      </c>
      <c r="CM60" s="168">
        <f>('Propylene Recycling HC'!Z153)/('Propylene Recycling HC'!Z$149)*CM$20/SUM(CM$19:CM$20)</f>
        <v>0</v>
      </c>
      <c r="CN60" s="168">
        <f>('Propylene Recycling HC'!AA153)/('Propylene Recycling HC'!AA$149)*CN$20/SUM(CN$19:CN$20)</f>
        <v>0</v>
      </c>
      <c r="CO60" s="168">
        <f>('Propylene Recycling HC'!AB153)/('Propylene Recycling HC'!AB$149)*CO$20/SUM(CO$19:CO$20)</f>
        <v>0</v>
      </c>
      <c r="CP60" s="168">
        <f>('Propylene Recycling HC'!AC153)/('Propylene Recycling HC'!AC$149)*CP$20/SUM(CP$19:CP$20)</f>
        <v>0</v>
      </c>
      <c r="CQ60" s="168">
        <f>('Propylene Recycling HC'!AD153)/('Propylene Recycling HC'!AD$149)*CQ$20/SUM(CQ$19:CQ$20)</f>
        <v>0</v>
      </c>
      <c r="CR60" s="168">
        <f>('Propylene Recycling HC'!AE153)/('Propylene Recycling HC'!AE$149)*CR$20/SUM(CR$19:CR$20)</f>
        <v>0</v>
      </c>
      <c r="CS60" s="168">
        <f>('Propylene Recycling HC'!AF153)/('Propylene Recycling HC'!AF$149)*CS$20/SUM(CS$19:CS$20)</f>
        <v>0</v>
      </c>
      <c r="CT60" s="168">
        <f>('Propylene Recycling HC'!AG153)/('Propylene Recycling HC'!AG$149)*CT$20/SUM(CT$19:CT$20)</f>
        <v>0</v>
      </c>
      <c r="CV60" s="168">
        <f t="shared" ref="CV60:CV65" si="371">AJ60*(1-SUM(CV$34:CV$35))/(1-SUM(AJ$34:AJ$35))</f>
        <v>6.9839455907488861E-6</v>
      </c>
      <c r="CW60" s="168">
        <f t="shared" si="370"/>
        <v>1.3932940558578114E-5</v>
      </c>
      <c r="CX60" s="168">
        <f t="shared" si="370"/>
        <v>2.7719855942472072E-5</v>
      </c>
      <c r="CY60" s="168">
        <f t="shared" si="370"/>
        <v>5.4962377448060044E-5</v>
      </c>
      <c r="CZ60" s="168">
        <f t="shared" si="370"/>
        <v>1.0850799662141666E-4</v>
      </c>
      <c r="DA60" s="168">
        <f t="shared" si="370"/>
        <v>2.1301279254170544E-4</v>
      </c>
      <c r="DB60" s="168">
        <f t="shared" si="370"/>
        <v>4.1516075307582927E-4</v>
      </c>
      <c r="DC60" s="168">
        <f t="shared" si="370"/>
        <v>8.0109173172726177E-4</v>
      </c>
      <c r="DD60" s="168">
        <f t="shared" si="370"/>
        <v>1.5252069671340381E-3</v>
      </c>
      <c r="DE60" s="168">
        <f t="shared" si="370"/>
        <v>2.8525096626015965E-3</v>
      </c>
      <c r="DF60" s="168">
        <f t="shared" si="370"/>
        <v>5.2112531063017598E-3</v>
      </c>
      <c r="DG60" s="168">
        <f t="shared" si="370"/>
        <v>9.2161945082027182E-3</v>
      </c>
      <c r="DH60" s="168">
        <f t="shared" si="370"/>
        <v>1.5690148810935764E-2</v>
      </c>
      <c r="DI60" s="168">
        <f t="shared" si="370"/>
        <v>2.554304265306594E-2</v>
      </c>
      <c r="DJ60" s="168">
        <f t="shared" si="370"/>
        <v>3.9470412863412276E-2</v>
      </c>
      <c r="DK60" s="168">
        <f t="shared" si="370"/>
        <v>5.7617918505833025E-2</v>
      </c>
      <c r="DL60" s="168">
        <f t="shared" si="370"/>
        <v>7.9322894255362403E-2</v>
      </c>
      <c r="DM60" s="168">
        <f t="shared" si="370"/>
        <v>0.10318085218693569</v>
      </c>
      <c r="DN60" s="168">
        <f t="shared" si="370"/>
        <v>0.12743285391286174</v>
      </c>
      <c r="DO60" s="168">
        <f t="shared" si="370"/>
        <v>0.15047091601305168</v>
      </c>
      <c r="DP60" s="168">
        <f t="shared" si="370"/>
        <v>0.17118899005409616</v>
      </c>
      <c r="DQ60" s="168">
        <f t="shared" si="370"/>
        <v>0.18883142299922384</v>
      </c>
      <c r="DR60" s="168">
        <f t="shared" si="370"/>
        <v>0.20315804341476487</v>
      </c>
      <c r="DS60" s="168">
        <f t="shared" si="370"/>
        <v>0.21488933698046425</v>
      </c>
      <c r="DT60" s="168">
        <f t="shared" si="370"/>
        <v>0.22438627684709139</v>
      </c>
      <c r="DU60" s="168">
        <f t="shared" si="370"/>
        <v>0.23201762312064808</v>
      </c>
      <c r="DV60" s="168">
        <f t="shared" si="370"/>
        <v>0.23813266814894074</v>
      </c>
      <c r="DW60" s="168">
        <f t="shared" si="370"/>
        <v>0.24300468832206357</v>
      </c>
      <c r="DX60" s="168">
        <f t="shared" si="370"/>
        <v>0.24684278873338084</v>
      </c>
      <c r="DY60" s="168">
        <f t="shared" si="370"/>
        <v>0.24980208254775246</v>
      </c>
      <c r="DZ60" s="168">
        <f t="shared" si="370"/>
        <v>0.25199856156409894</v>
      </c>
    </row>
    <row r="61" spans="1:165" x14ac:dyDescent="0.2">
      <c r="A61" s="606" t="s">
        <v>33</v>
      </c>
      <c r="C61" s="54" t="s">
        <v>462</v>
      </c>
      <c r="D61" s="168">
        <f>('Propylene Recycling HC'!C178-('Propylene Recycling HC'!C204+'Propylene Recycling HC'!C206)*'Propylene Recycling HC'!C144/SUM('Propylene Recycling HC'!C143:C144))/('Propylene Recycling HC'!C$159)</f>
        <v>0.35041974816127996</v>
      </c>
      <c r="E61" s="168">
        <f>('Propylene Recycling HC'!D178-('Propylene Recycling HC'!D204+'Propylene Recycling HC'!D206)*'Propylene Recycling HC'!D144/SUM('Propylene Recycling HC'!D143:D144))/('Propylene Recycling HC'!D$159)</f>
        <v>0.35053536097319327</v>
      </c>
      <c r="F61" s="168">
        <f>('Propylene Recycling HC'!E178-('Propylene Recycling HC'!E204+'Propylene Recycling HC'!E206)*'Propylene Recycling HC'!E144/SUM('Propylene Recycling HC'!E143:E144))/('Propylene Recycling HC'!E$159)</f>
        <v>0.35061137801196268</v>
      </c>
      <c r="G61" s="168">
        <f>('Propylene Recycling HC'!F178-('Propylene Recycling HC'!F204+'Propylene Recycling HC'!F206)*'Propylene Recycling HC'!F144/SUM('Propylene Recycling HC'!F143:F144))/('Propylene Recycling HC'!F$159)</f>
        <v>0.35064730356448354</v>
      </c>
      <c r="H61" s="168">
        <f>('Propylene Recycling HC'!G178-('Propylene Recycling HC'!G204+'Propylene Recycling HC'!G206)*'Propylene Recycling HC'!G144/SUM('Propylene Recycling HC'!G143:G144))/('Propylene Recycling HC'!G$159)</f>
        <v>0.35064228477556997</v>
      </c>
      <c r="I61" s="168">
        <f>('Propylene Recycling HC'!H178-('Propylene Recycling HC'!H204+'Propylene Recycling HC'!H206)*'Propylene Recycling HC'!H144/SUM('Propylene Recycling HC'!H143:H144))/('Propylene Recycling HC'!H$159)</f>
        <v>0.35059476619610874</v>
      </c>
      <c r="J61" s="168">
        <f>('Propylene Recycling HC'!I178-('Propylene Recycling HC'!I204+'Propylene Recycling HC'!I206)*'Propylene Recycling HC'!I144/SUM('Propylene Recycling HC'!I143:I144))/('Propylene Recycling HC'!I$159)</f>
        <v>0.35048789224068333</v>
      </c>
      <c r="K61" s="168">
        <f>('Propylene Recycling HC'!J178-('Propylene Recycling HC'!J204+'Propylene Recycling HC'!J206)*'Propylene Recycling HC'!J144/SUM('Propylene Recycling HC'!J143:J144))/('Propylene Recycling HC'!J$159)</f>
        <v>0.35032576102053925</v>
      </c>
      <c r="L61" s="168">
        <f>('Propylene Recycling HC'!K178-('Propylene Recycling HC'!K204+'Propylene Recycling HC'!K206)*'Propylene Recycling HC'!K144/SUM('Propylene Recycling HC'!K143:K144))/('Propylene Recycling HC'!K$159)</f>
        <v>0.35009820156744614</v>
      </c>
      <c r="M61" s="168">
        <f>('Propylene Recycling HC'!L178-('Propylene Recycling HC'!L204+'Propylene Recycling HC'!L206)*'Propylene Recycling HC'!L144/SUM('Propylene Recycling HC'!L143:L144))/('Propylene Recycling HC'!L$159)</f>
        <v>0.34978758259323944</v>
      </c>
      <c r="N61" s="168">
        <f>('Propylene Recycling HC'!M178-('Propylene Recycling HC'!M204+'Propylene Recycling HC'!M206)*'Propylene Recycling HC'!M144/SUM('Propylene Recycling HC'!M143:M144))/('Propylene Recycling HC'!M$159)</f>
        <v>0.34936345381745759</v>
      </c>
      <c r="O61" s="168">
        <f>('Propylene Recycling HC'!N178-('Propylene Recycling HC'!N204+'Propylene Recycling HC'!N206)*'Propylene Recycling HC'!N144/SUM('Propylene Recycling HC'!N143:N144))/('Propylene Recycling HC'!N$159)</f>
        <v>0.34727583503343207</v>
      </c>
      <c r="P61" s="168">
        <f>('Propylene Recycling HC'!O178-('Propylene Recycling HC'!O204+'Propylene Recycling HC'!O206)*'Propylene Recycling HC'!O144/SUM('Propylene Recycling HC'!O143:O144))/('Propylene Recycling HC'!O$159)</f>
        <v>0.34494127615549008</v>
      </c>
      <c r="Q61" s="168">
        <f>('Propylene Recycling HC'!P178-('Propylene Recycling HC'!P204+'Propylene Recycling HC'!P206)*'Propylene Recycling HC'!P144/SUM('Propylene Recycling HC'!P143:P144))/('Propylene Recycling HC'!P$159)</f>
        <v>0.34231556779446187</v>
      </c>
      <c r="R61" s="168">
        <f>('Propylene Recycling HC'!Q178-('Propylene Recycling HC'!Q204+'Propylene Recycling HC'!Q206)*'Propylene Recycling HC'!Q144/SUM('Propylene Recycling HC'!Q143:Q144))/('Propylene Recycling HC'!Q$159)</f>
        <v>0.33935020794824838</v>
      </c>
      <c r="S61" s="168">
        <f>('Propylene Recycling HC'!R178-('Propylene Recycling HC'!R204+'Propylene Recycling HC'!R206)*'Propylene Recycling HC'!R144/SUM('Propylene Recycling HC'!R143:R144))/('Propylene Recycling HC'!R$159)</f>
        <v>0.33603502131487656</v>
      </c>
      <c r="T61" s="168">
        <f>('Propylene Recycling HC'!S178-('Propylene Recycling HC'!S204+'Propylene Recycling HC'!S206)*'Propylene Recycling HC'!S144/SUM('Propylene Recycling HC'!S143:S144))/('Propylene Recycling HC'!S$159)</f>
        <v>0.33241267290400317</v>
      </c>
      <c r="U61" s="168">
        <f>('Propylene Recycling HC'!T178-('Propylene Recycling HC'!T204+'Propylene Recycling HC'!T206)*'Propylene Recycling HC'!T144/SUM('Propylene Recycling HC'!T143:T144))/('Propylene Recycling HC'!T$159)</f>
        <v>0.32856994026329378</v>
      </c>
      <c r="V61" s="168">
        <f>('Propylene Recycling HC'!U178-('Propylene Recycling HC'!U204+'Propylene Recycling HC'!U206)*'Propylene Recycling HC'!U144/SUM('Propylene Recycling HC'!U143:U144))/('Propylene Recycling HC'!U$159)</f>
        <v>0.32461640804817132</v>
      </c>
      <c r="W61" s="168">
        <f>('Propylene Recycling HC'!V178-('Propylene Recycling HC'!V204+'Propylene Recycling HC'!V206)*'Propylene Recycling HC'!V144/SUM('Propylene Recycling HC'!V143:V144))/('Propylene Recycling HC'!V$159)</f>
        <v>0.32065185196504026</v>
      </c>
      <c r="X61" s="168">
        <f>('Propylene Recycling HC'!W178-('Propylene Recycling HC'!W204+'Propylene Recycling HC'!W206)*'Propylene Recycling HC'!W144/SUM('Propylene Recycling HC'!W143:W144))/('Propylene Recycling HC'!W$159)</f>
        <v>0.31674318604537566</v>
      </c>
      <c r="Y61" s="168">
        <f>('Propylene Recycling HC'!X178-('Propylene Recycling HC'!X204+'Propylene Recycling HC'!X206)*'Propylene Recycling HC'!X144/SUM('Propylene Recycling HC'!X143:X144))/('Propylene Recycling HC'!X$159)</f>
        <v>0.31108033893451981</v>
      </c>
      <c r="Z61" s="168">
        <f>('Propylene Recycling HC'!Y178-('Propylene Recycling HC'!Y204+'Propylene Recycling HC'!Y206)*'Propylene Recycling HC'!Y144/SUM('Propylene Recycling HC'!Y143:Y144))/('Propylene Recycling HC'!Y$159)</f>
        <v>0.30546190376680965</v>
      </c>
      <c r="AA61" s="168">
        <f>('Propylene Recycling HC'!Z178-('Propylene Recycling HC'!Z204+'Propylene Recycling HC'!Z206)*'Propylene Recycling HC'!Z144/SUM('Propylene Recycling HC'!Z143:Z144))/('Propylene Recycling HC'!Z$159)</f>
        <v>0.29991061275588965</v>
      </c>
      <c r="AB61" s="168">
        <f>('Propylene Recycling HC'!AA178-('Propylene Recycling HC'!AA204+'Propylene Recycling HC'!AA206)*'Propylene Recycling HC'!AA144/SUM('Propylene Recycling HC'!AA143:AA144))/('Propylene Recycling HC'!AA$159)</f>
        <v>0.29434691151422226</v>
      </c>
      <c r="AC61" s="168">
        <f>('Propylene Recycling HC'!AB178-('Propylene Recycling HC'!AB204+'Propylene Recycling HC'!AB206)*'Propylene Recycling HC'!AB144/SUM('Propylene Recycling HC'!AB143:AB144))/('Propylene Recycling HC'!AB$159)</f>
        <v>0.28870809330513492</v>
      </c>
      <c r="AD61" s="168">
        <f>('Propylene Recycling HC'!AC178-('Propylene Recycling HC'!AC204+'Propylene Recycling HC'!AC206)*'Propylene Recycling HC'!AC144/SUM('Propylene Recycling HC'!AC143:AC144))/('Propylene Recycling HC'!AC$159)</f>
        <v>0.28292808328028768</v>
      </c>
      <c r="AE61" s="168">
        <f>('Propylene Recycling HC'!AD178-('Propylene Recycling HC'!AD204+'Propylene Recycling HC'!AD206)*'Propylene Recycling HC'!AD144/SUM('Propylene Recycling HC'!AD143:AD144))/('Propylene Recycling HC'!AD$159)</f>
        <v>0.27695563812709512</v>
      </c>
      <c r="AF61" s="168">
        <f>('Propylene Recycling HC'!AE178-('Propylene Recycling HC'!AE204+'Propylene Recycling HC'!AE206)*'Propylene Recycling HC'!AE144/SUM('Propylene Recycling HC'!AE143:AE144))/('Propylene Recycling HC'!AE$159)</f>
        <v>0.27075885454552456</v>
      </c>
      <c r="AG61" s="168">
        <f>('Propylene Recycling HC'!AF178-('Propylene Recycling HC'!AF204+'Propylene Recycling HC'!AF206)*'Propylene Recycling HC'!AF144/SUM('Propylene Recycling HC'!AF143:AF144))/('Propylene Recycling HC'!AF$159)</f>
        <v>0.26433620768162147</v>
      </c>
      <c r="AH61" s="168">
        <f>('Propylene Recycling HC'!AG178-('Propylene Recycling HC'!AG204+'Propylene Recycling HC'!AG206)*'Propylene Recycling HC'!AG144/SUM('Propylene Recycling HC'!AG143:AG144))/('Propylene Recycling HC'!AG$159)</f>
        <v>0.25639797192149189</v>
      </c>
      <c r="AI61" s="44"/>
      <c r="AJ61" s="168">
        <f>('Propylene Recycling LC'!C164-('Propylene Recycling LC'!C190+'Propylene Recycling LC'!C192)*'Propylene Recycling LC'!C130/SUM('Propylene Recycling LC'!C129:C130))/('Propylene Recycling LC'!C$145)</f>
        <v>0.35041990216326979</v>
      </c>
      <c r="AK61" s="168">
        <f>('Propylene Recycling LC'!D164-('Propylene Recycling LC'!D190+'Propylene Recycling LC'!D192)*'Propylene Recycling LC'!D130/SUM('Propylene Recycling LC'!D129:D130))/('Propylene Recycling LC'!D$145)</f>
        <v>0.35054559247839789</v>
      </c>
      <c r="AL61" s="168">
        <f>('Propylene Recycling LC'!E164-('Propylene Recycling LC'!E190+'Propylene Recycling LC'!E192)*'Propylene Recycling LC'!E130/SUM('Propylene Recycling LC'!E129:E130))/('Propylene Recycling LC'!E$145)</f>
        <v>0.35063339421359474</v>
      </c>
      <c r="AM61" s="168">
        <f>('Propylene Recycling LC'!F164-('Propylene Recycling LC'!F190+'Propylene Recycling LC'!F192)*'Propylene Recycling LC'!F130/SUM('Propylene Recycling LC'!F129:F130))/('Propylene Recycling LC'!F$145)</f>
        <v>0.35068305701709496</v>
      </c>
      <c r="AN61" s="168">
        <f>('Propylene Recycling LC'!G164-('Propylene Recycling LC'!G190+'Propylene Recycling LC'!G192)*'Propylene Recycling LC'!G130/SUM('Propylene Recycling LC'!G129:G130))/('Propylene Recycling LC'!G$145)</f>
        <v>0.35069415527162345</v>
      </c>
      <c r="AO61" s="168">
        <f>('Propylene Recycling LC'!H164-('Propylene Recycling LC'!H190+'Propylene Recycling LC'!H192)*'Propylene Recycling LC'!H130/SUM('Propylene Recycling LC'!H129:H130))/('Propylene Recycling LC'!H$145)</f>
        <v>0.35066591490603366</v>
      </c>
      <c r="AP61" s="168">
        <f>('Propylene Recycling LC'!I164-('Propylene Recycling LC'!I190+'Propylene Recycling LC'!I192)*'Propylene Recycling LC'!I130/SUM('Propylene Recycling LC'!I129:I130))/('Propylene Recycling LC'!I$145)</f>
        <v>0.3506215979784208</v>
      </c>
      <c r="AQ61" s="168">
        <f>('Propylene Recycling LC'!J164-('Propylene Recycling LC'!J190+'Propylene Recycling LC'!J192)*'Propylene Recycling LC'!J130/SUM('Propylene Recycling LC'!J129:J130))/('Propylene Recycling LC'!J$145)</f>
        <v>0.35053439233362726</v>
      </c>
      <c r="AR61" s="168">
        <f>('Propylene Recycling LC'!K164-('Propylene Recycling LC'!K190+'Propylene Recycling LC'!K192)*'Propylene Recycling LC'!K130/SUM('Propylene Recycling LC'!K129:K130))/('Propylene Recycling LC'!K$145)</f>
        <v>0.35039926669650323</v>
      </c>
      <c r="AS61" s="168">
        <f>('Propylene Recycling LC'!L164-('Propylene Recycling LC'!L190+'Propylene Recycling LC'!L192)*'Propylene Recycling LC'!L130/SUM('Propylene Recycling LC'!L129:L130))/('Propylene Recycling LC'!L$145)</f>
        <v>0.35020742143759537</v>
      </c>
      <c r="AT61" s="168">
        <f>('Propylene Recycling LC'!M164-('Propylene Recycling LC'!M190+'Propylene Recycling LC'!M192)*'Propylene Recycling LC'!M130/SUM('Propylene Recycling LC'!M129:M130))/('Propylene Recycling LC'!M$145)</f>
        <v>0.34994356672925536</v>
      </c>
      <c r="AU61" s="168">
        <f>('Propylene Recycling LC'!N164-('Propylene Recycling LC'!N190+'Propylene Recycling LC'!N192)*'Propylene Recycling LC'!N130/SUM('Propylene Recycling LC'!N129:N130))/('Propylene Recycling LC'!N$145)</f>
        <v>0.34810611058966157</v>
      </c>
      <c r="AV61" s="168">
        <f>('Propylene Recycling LC'!O164-('Propylene Recycling LC'!O190+'Propylene Recycling LC'!O192)*'Propylene Recycling LC'!O130/SUM('Propylene Recycling LC'!O129:O130))/('Propylene Recycling LC'!O$145)</f>
        <v>0.3461129149551434</v>
      </c>
      <c r="AW61" s="168">
        <f>('Propylene Recycling LC'!P164-('Propylene Recycling LC'!P190+'Propylene Recycling LC'!P192)*'Propylene Recycling LC'!P130/SUM('Propylene Recycling LC'!P129:P130))/('Propylene Recycling LC'!P$145)</f>
        <v>0.3439602970385045</v>
      </c>
      <c r="AX61" s="168">
        <f>('Propylene Recycling LC'!Q164-('Propylene Recycling LC'!Q190+'Propylene Recycling LC'!Q192)*'Propylene Recycling LC'!Q130/SUM('Propylene Recycling LC'!Q129:Q130))/('Propylene Recycling LC'!Q$145)</f>
        <v>0.34161021899228594</v>
      </c>
      <c r="AY61" s="168">
        <f>('Propylene Recycling LC'!R164-('Propylene Recycling LC'!R190+'Propylene Recycling LC'!R192)*'Propylene Recycling LC'!R130/SUM('Propylene Recycling LC'!R129:R130))/('Propylene Recycling LC'!R$145)</f>
        <v>0.33905670840460139</v>
      </c>
      <c r="AZ61" s="168">
        <f>('Propylene Recycling LC'!S164-('Propylene Recycling LC'!S190+'Propylene Recycling LC'!S192)*'Propylene Recycling LC'!S130/SUM('Propylene Recycling LC'!S129:S130))/('Propylene Recycling LC'!S$145)</f>
        <v>0.33632052576987698</v>
      </c>
      <c r="BA61" s="168">
        <f>('Propylene Recycling LC'!T164-('Propylene Recycling LC'!T190+'Propylene Recycling LC'!T192)*'Propylene Recycling LC'!T130/SUM('Propylene Recycling LC'!T129:T130))/('Propylene Recycling LC'!T$145)</f>
        <v>0.33344516087780846</v>
      </c>
      <c r="BB61" s="168">
        <f>('Propylene Recycling LC'!U164-('Propylene Recycling LC'!U190+'Propylene Recycling LC'!U192)*'Propylene Recycling LC'!U130/SUM('Propylene Recycling LC'!U129:U130))/('Propylene Recycling LC'!U$145)</f>
        <v>0.3304863681360532</v>
      </c>
      <c r="BC61" s="168">
        <f>('Propylene Recycling LC'!V164-('Propylene Recycling LC'!V190+'Propylene Recycling LC'!V192)*'Propylene Recycling LC'!V130/SUM('Propylene Recycling LC'!V129:V130))/('Propylene Recycling LC'!V$145)</f>
        <v>0.32749567413314512</v>
      </c>
      <c r="BD61" s="168">
        <f>('Propylene Recycling LC'!W164-('Propylene Recycling LC'!W190+'Propylene Recycling LC'!W192)*'Propylene Recycling LC'!W130/SUM('Propylene Recycling LC'!W129:W130))/('Propylene Recycling LC'!W$145)</f>
        <v>0.32450845244578375</v>
      </c>
      <c r="BE61" s="168">
        <f>('Propylene Recycling LC'!X164-('Propylene Recycling LC'!X190+'Propylene Recycling LC'!X192)*'Propylene Recycling LC'!X130/SUM('Propylene Recycling LC'!X129:X130))/('Propylene Recycling LC'!X$145)</f>
        <v>0.31962336257002388</v>
      </c>
      <c r="BF61" s="168">
        <f>('Propylene Recycling LC'!Y164-('Propylene Recycling LC'!Y190+'Propylene Recycling LC'!Y192)*'Propylene Recycling LC'!Y130/SUM('Propylene Recycling LC'!Y129:Y130))/('Propylene Recycling LC'!Y$145)</f>
        <v>0.31466878411171079</v>
      </c>
      <c r="BG61" s="168">
        <f>('Propylene Recycling LC'!Z164-('Propylene Recycling LC'!Z190+'Propylene Recycling LC'!Z192)*'Propylene Recycling LC'!Z130/SUM('Propylene Recycling LC'!Z129:Z130))/('Propylene Recycling LC'!Z$145)</f>
        <v>0.30978475560618013</v>
      </c>
      <c r="BH61" s="168">
        <f>('Propylene Recycling LC'!AA164-('Propylene Recycling LC'!AA190+'Propylene Recycling LC'!AA192)*'Propylene Recycling LC'!AA130/SUM('Propylene Recycling LC'!AA129:AA130))/('Propylene Recycling LC'!AA$145)</f>
        <v>0.30486814378175481</v>
      </c>
      <c r="BI61" s="168">
        <f>('Propylene Recycling LC'!AB164-('Propylene Recycling LC'!AB190+'Propylene Recycling LC'!AB192)*'Propylene Recycling LC'!AB130/SUM('Propylene Recycling LC'!AB129:AB130))/('Propylene Recycling LC'!AB$145)</f>
        <v>0.29988643444507829</v>
      </c>
      <c r="BJ61" s="168">
        <f>('Propylene Recycling LC'!AC164-('Propylene Recycling LC'!AC190+'Propylene Recycling LC'!AC192)*'Propylene Recycling LC'!AC130/SUM('Propylene Recycling LC'!AC129:AC130))/('Propylene Recycling LC'!AC$145)</f>
        <v>0.29480607460475761</v>
      </c>
      <c r="BK61" s="168">
        <f>('Propylene Recycling LC'!AD164-('Propylene Recycling LC'!AD190+'Propylene Recycling LC'!AD192)*'Propylene Recycling LC'!AD130/SUM('Propylene Recycling LC'!AD129:AD130))/('Propylene Recycling LC'!AD$145)</f>
        <v>0.28959304749561005</v>
      </c>
      <c r="BL61" s="168">
        <f>('Propylene Recycling LC'!AE164-('Propylene Recycling LC'!AE190+'Propylene Recycling LC'!AE192)*'Propylene Recycling LC'!AE130/SUM('Propylene Recycling LC'!AE129:AE130))/('Propylene Recycling LC'!AE$145)</f>
        <v>0.28422318732483881</v>
      </c>
      <c r="BM61" s="168">
        <f>('Propylene Recycling LC'!AF164-('Propylene Recycling LC'!AF190+'Propylene Recycling LC'!AF192)*'Propylene Recycling LC'!AF130/SUM('Propylene Recycling LC'!AF129:AF130))/('Propylene Recycling LC'!AF$145)</f>
        <v>0.27869150848885615</v>
      </c>
      <c r="BN61" s="168">
        <f>('Propylene Recycling LC'!AG164-('Propylene Recycling LC'!AG190+'Propylene Recycling LC'!AG192)*'Propylene Recycling LC'!AG130/SUM('Propylene Recycling LC'!AG129:AG130))/('Propylene Recycling LC'!AG$145)</f>
        <v>0.27302089969680465</v>
      </c>
      <c r="BP61" s="168">
        <f>('Propylene Recycling HC'!C154)/('Propylene Recycling HC'!C$149)</f>
        <v>0.35042005616525956</v>
      </c>
      <c r="BQ61" s="168">
        <f>('Propylene Recycling HC'!D154)/('Propylene Recycling HC'!D$149)</f>
        <v>0.34381875700985592</v>
      </c>
      <c r="BR61" s="168">
        <f>('Propylene Recycling HC'!E154)/('Propylene Recycling HC'!E$149)</f>
        <v>0.33715219967996479</v>
      </c>
      <c r="BS61" s="168">
        <f>('Propylene Recycling HC'!F154)/('Propylene Recycling HC'!F$149)</f>
        <v>0.33042566016450187</v>
      </c>
      <c r="BT61" s="168">
        <f>('Propylene Recycling HC'!G154)/('Propylene Recycling HC'!G$149)</f>
        <v>0.32364383968484017</v>
      </c>
      <c r="BU61" s="168">
        <f>('Propylene Recycling HC'!H154)/('Propylene Recycling HC'!H$149)</f>
        <v>0.3168109290350809</v>
      </c>
      <c r="BV61" s="168">
        <f>('Propylene Recycling HC'!I154)/('Propylene Recycling HC'!I$149)</f>
        <v>0.30996568996033846</v>
      </c>
      <c r="BW61" s="168">
        <f>('Propylene Recycling HC'!J154)/('Propylene Recycling HC'!J$149)</f>
        <v>0.30310877074409337</v>
      </c>
      <c r="BX61" s="168">
        <f>('Propylene Recycling HC'!K154)/('Propylene Recycling HC'!K$149)</f>
        <v>0.29624079860848096</v>
      </c>
      <c r="BY61" s="168">
        <f>('Propylene Recycling HC'!L154)/('Propylene Recycling HC'!L$149)</f>
        <v>0.28936238117201529</v>
      </c>
      <c r="BZ61" s="168">
        <f>('Propylene Recycling HC'!M154)/('Propylene Recycling HC'!M$149)</f>
        <v>0.28247410785440841</v>
      </c>
      <c r="CA61" s="168">
        <f>('Propylene Recycling HC'!N154)/('Propylene Recycling HC'!N$149)</f>
        <v>0.27555631458009833</v>
      </c>
      <c r="CB61" s="168">
        <f>('Propylene Recycling HC'!O154)/('Propylene Recycling HC'!O$149)</f>
        <v>0.26861112027328277</v>
      </c>
      <c r="CC61" s="168">
        <f>('Propylene Recycling HC'!P154)/('Propylene Recycling HC'!P$149)</f>
        <v>0.26164049012163731</v>
      </c>
      <c r="CD61" s="168">
        <f>('Propylene Recycling HC'!Q154)/('Propylene Recycling HC'!Q$149)</f>
        <v>0.2546462537437188</v>
      </c>
      <c r="CE61" s="168">
        <f>('Propylene Recycling HC'!R154)/('Propylene Recycling HC'!R$149)</f>
        <v>0.2476301222045916</v>
      </c>
      <c r="CF61" s="168">
        <f>('Propylene Recycling HC'!S154)/('Propylene Recycling HC'!S$149)</f>
        <v>0.24061637563919253</v>
      </c>
      <c r="CG61" s="168">
        <f>('Propylene Recycling HC'!T154)/('Propylene Recycling HC'!T$149)</f>
        <v>0.23360514260850113</v>
      </c>
      <c r="CH61" s="168">
        <f>('Propylene Recycling HC'!U154)/('Propylene Recycling HC'!U$149)</f>
        <v>0.22659655416370253</v>
      </c>
      <c r="CI61" s="168">
        <f>('Propylene Recycling HC'!V154)/('Propylene Recycling HC'!V$149)</f>
        <v>0.21959074394315334</v>
      </c>
      <c r="CJ61" s="168">
        <f>('Propylene Recycling HC'!W154)/('Propylene Recycling HC'!W$149)</f>
        <v>0.21258784827200294</v>
      </c>
      <c r="CK61" s="168">
        <f>('Propylene Recycling HC'!X154)/('Propylene Recycling HC'!X$149)</f>
        <v>0.20558812865529824</v>
      </c>
      <c r="CL61" s="168">
        <f>('Propylene Recycling HC'!Y154)/('Propylene Recycling HC'!Y$149)</f>
        <v>0.19859171725438274</v>
      </c>
      <c r="CM61" s="168">
        <f>('Propylene Recycling HC'!Z154)/('Propylene Recycling HC'!Z$149)</f>
        <v>0.19159874898852144</v>
      </c>
      <c r="CN61" s="168">
        <f>('Propylene Recycling HC'!AA154)/('Propylene Recycling HC'!AA$149)</f>
        <v>0.18460936162987507</v>
      </c>
      <c r="CO61" s="168">
        <f>('Propylene Recycling HC'!AB154)/('Propylene Recycling HC'!AB$149)</f>
        <v>0.17762369590111743</v>
      </c>
      <c r="CP61" s="168">
        <f>('Propylene Recycling HC'!AC154)/('Propylene Recycling HC'!AC$149)</f>
        <v>0.17064198593951965</v>
      </c>
      <c r="CQ61" s="168">
        <f>('Propylene Recycling HC'!AD154)/('Propylene Recycling HC'!AD$149)</f>
        <v>0.16366436964700701</v>
      </c>
      <c r="CR61" s="168">
        <f>('Propylene Recycling HC'!AE154)/('Propylene Recycling HC'!AE$149)</f>
        <v>0.15669098793113118</v>
      </c>
      <c r="CS61" s="168">
        <f>('Propylene Recycling HC'!AF154)/('Propylene Recycling HC'!AF$149)</f>
        <v>0.14972198479962517</v>
      </c>
      <c r="CT61" s="168">
        <f>('Propylene Recycling HC'!AG154)/('Propylene Recycling HC'!AG$149)</f>
        <v>0.1427575074575903</v>
      </c>
      <c r="CV61" s="168">
        <f t="shared" si="371"/>
        <v>0.35041990216326979</v>
      </c>
      <c r="CW61" s="168">
        <f t="shared" si="370"/>
        <v>0.35094532003671397</v>
      </c>
      <c r="CX61" s="168">
        <f t="shared" si="370"/>
        <v>0.3514703605597882</v>
      </c>
      <c r="CY61" s="168">
        <f t="shared" si="370"/>
        <v>0.35199456692043218</v>
      </c>
      <c r="CZ61" s="168">
        <f t="shared" si="370"/>
        <v>0.35251725738645723</v>
      </c>
      <c r="DA61" s="168">
        <f t="shared" si="370"/>
        <v>0.35303735918173451</v>
      </c>
      <c r="DB61" s="168">
        <f t="shared" si="370"/>
        <v>0.35365053748109015</v>
      </c>
      <c r="DC61" s="168">
        <f t="shared" si="370"/>
        <v>0.35426167468427538</v>
      </c>
      <c r="DD61" s="168">
        <f t="shared" si="370"/>
        <v>0.35486532420383959</v>
      </c>
      <c r="DE61" s="168">
        <f t="shared" si="370"/>
        <v>0.35545246911213318</v>
      </c>
      <c r="DF61" s="168">
        <f t="shared" si="370"/>
        <v>0.35600804890063281</v>
      </c>
      <c r="DG61" s="168">
        <f t="shared" si="370"/>
        <v>0.35569401937020895</v>
      </c>
      <c r="DH61" s="168">
        <f t="shared" si="370"/>
        <v>0.35518715569184584</v>
      </c>
      <c r="DI61" s="168">
        <f t="shared" si="370"/>
        <v>0.35483505861650372</v>
      </c>
      <c r="DJ61" s="168">
        <f t="shared" si="370"/>
        <v>0.35441509339135652</v>
      </c>
      <c r="DK61" s="168">
        <f t="shared" si="370"/>
        <v>0.35391617422500715</v>
      </c>
      <c r="DL61" s="168">
        <f t="shared" si="370"/>
        <v>0.35334020769921287</v>
      </c>
      <c r="DM61" s="168">
        <f t="shared" si="370"/>
        <v>0.35272966016551</v>
      </c>
      <c r="DN61" s="168">
        <f t="shared" si="370"/>
        <v>0.35212555551456309</v>
      </c>
      <c r="DO61" s="168">
        <f t="shared" si="370"/>
        <v>0.35156292750650769</v>
      </c>
      <c r="DP61" s="168">
        <f t="shared" si="370"/>
        <v>0.35106028047422627</v>
      </c>
      <c r="DQ61" s="168">
        <f t="shared" si="370"/>
        <v>0.35017280810983192</v>
      </c>
      <c r="DR61" s="168">
        <f t="shared" si="370"/>
        <v>0.34863439861975265</v>
      </c>
      <c r="DS61" s="168">
        <f t="shared" si="370"/>
        <v>0.34726946717194251</v>
      </c>
      <c r="DT61" s="168">
        <f t="shared" si="370"/>
        <v>0.34594802119595253</v>
      </c>
      <c r="DU61" s="168">
        <f t="shared" si="370"/>
        <v>0.34455146400049863</v>
      </c>
      <c r="DV61" s="168">
        <f t="shared" si="370"/>
        <v>0.34301065597048208</v>
      </c>
      <c r="DW61" s="168">
        <f t="shared" si="370"/>
        <v>0.34124873494178054</v>
      </c>
      <c r="DX61" s="168">
        <f t="shared" si="370"/>
        <v>0.33920040432215948</v>
      </c>
      <c r="DY61" s="168">
        <f t="shared" si="370"/>
        <v>0.33681361590423237</v>
      </c>
      <c r="DZ61" s="168">
        <f t="shared" si="370"/>
        <v>0.33405355064187403</v>
      </c>
    </row>
    <row r="62" spans="1:165" x14ac:dyDescent="0.2">
      <c r="A62" s="606" t="s">
        <v>451</v>
      </c>
      <c r="C62" s="54" t="s">
        <v>462</v>
      </c>
      <c r="D62" s="168">
        <f>'Propylene Recycling HC'!C179/('Propylene Recycling HC'!C$159)</f>
        <v>7.5766498630326404E-2</v>
      </c>
      <c r="E62" s="168">
        <f>'Propylene Recycling HC'!D179/('Propylene Recycling HC'!D$159)</f>
        <v>7.3251020805597755E-2</v>
      </c>
      <c r="F62" s="168">
        <f>'Propylene Recycling HC'!E179/('Propylene Recycling HC'!E$159)</f>
        <v>7.0748634230542104E-2</v>
      </c>
      <c r="G62" s="168">
        <f>'Propylene Recycling HC'!F179/('Propylene Recycling HC'!F$159)</f>
        <v>6.8259871013047216E-2</v>
      </c>
      <c r="H62" s="168">
        <f>'Propylene Recycling HC'!G179/('Propylene Recycling HC'!G$159)</f>
        <v>6.5785258253157383E-2</v>
      </c>
      <c r="I62" s="168">
        <f>'Propylene Recycling HC'!H179/('Propylene Recycling HC'!H$159)</f>
        <v>6.3325317983435991E-2</v>
      </c>
      <c r="J62" s="168">
        <f>'Propylene Recycling HC'!I179/('Propylene Recycling HC'!I$159)</f>
        <v>6.0878142763563264E-2</v>
      </c>
      <c r="K62" s="168">
        <f>'Propylene Recycling HC'!J179/('Propylene Recycling HC'!J$159)</f>
        <v>5.8446116394106198E-2</v>
      </c>
      <c r="L62" s="168">
        <f>'Propylene Recycling HC'!K179/('Propylene Recycling HC'!K$159)</f>
        <v>5.602978191137345E-2</v>
      </c>
      <c r="M62" s="168">
        <f>'Propylene Recycling HC'!L179/('Propylene Recycling HC'!L$159)</f>
        <v>5.3629683121621023E-2</v>
      </c>
      <c r="N62" s="168">
        <f>'Propylene Recycling HC'!M179/('Propylene Recycling HC'!M$159)</f>
        <v>5.1246364620762902E-2</v>
      </c>
      <c r="O62" s="168">
        <f>'Propylene Recycling HC'!N179/('Propylene Recycling HC'!N$159)</f>
        <v>4.8667259305423961E-2</v>
      </c>
      <c r="P62" s="168">
        <f>'Propylene Recycling HC'!O179/('Propylene Recycling HC'!O$159)</f>
        <v>4.6119740717941754E-2</v>
      </c>
      <c r="Q62" s="168">
        <f>'Propylene Recycling HC'!P179/('Propylene Recycling HC'!P$159)</f>
        <v>4.3606294266973718E-2</v>
      </c>
      <c r="R62" s="168">
        <f>'Propylene Recycling HC'!Q179/('Propylene Recycling HC'!Q$159)</f>
        <v>4.1127292201926381E-2</v>
      </c>
      <c r="S62" s="168">
        <f>'Propylene Recycling HC'!R179/('Propylene Recycling HC'!R$159)</f>
        <v>3.868383671766213E-2</v>
      </c>
      <c r="T62" s="168">
        <f>'Propylene Recycling HC'!S179/('Propylene Recycling HC'!S$159)</f>
        <v>3.6277025137210588E-2</v>
      </c>
      <c r="U62" s="168">
        <f>'Propylene Recycling HC'!T179/('Propylene Recycling HC'!T$159)</f>
        <v>3.3907949744475301E-2</v>
      </c>
      <c r="V62" s="168">
        <f>'Propylene Recycling HC'!U179/('Propylene Recycling HC'!U$159)</f>
        <v>3.1577697608896352E-2</v>
      </c>
      <c r="W62" s="168">
        <f>'Propylene Recycling HC'!V179/('Propylene Recycling HC'!V$159)</f>
        <v>2.9287350401633917E-2</v>
      </c>
      <c r="X62" s="168">
        <f>'Propylene Recycling HC'!W179/('Propylene Recycling HC'!W$159)</f>
        <v>2.7037984202810582E-2</v>
      </c>
      <c r="Y62" s="168">
        <f>'Propylene Recycling HC'!X179/('Propylene Recycling HC'!X$159)</f>
        <v>2.4660915323868646E-2</v>
      </c>
      <c r="Z62" s="168">
        <f>'Propylene Recycling HC'!Y179/('Propylene Recycling HC'!Y$159)</f>
        <v>2.2346117807817791E-2</v>
      </c>
      <c r="AA62" s="168">
        <f>'Propylene Recycling HC'!Z179/('Propylene Recycling HC'!Z$159)</f>
        <v>2.0101554709341711E-2</v>
      </c>
      <c r="AB62" s="168">
        <f>'Propylene Recycling HC'!AA179/('Propylene Recycling HC'!AA$159)</f>
        <v>1.7926831315004201E-2</v>
      </c>
      <c r="AC62" s="168">
        <f>'Propylene Recycling HC'!AB179/('Propylene Recycling HC'!AB$159)</f>
        <v>1.5823593681561096E-2</v>
      </c>
      <c r="AD62" s="168">
        <f>'Propylene Recycling HC'!AC179/('Propylene Recycling HC'!AC$159)</f>
        <v>1.3793271417666031E-2</v>
      </c>
      <c r="AE62" s="168">
        <f>'Propylene Recycling HC'!AD179/('Propylene Recycling HC'!AD$159)</f>
        <v>1.1837729402442513E-2</v>
      </c>
      <c r="AF62" s="168">
        <f>'Propylene Recycling HC'!AE179/('Propylene Recycling HC'!AE$159)</f>
        <v>9.9586088679969216E-3</v>
      </c>
      <c r="AG62" s="168">
        <f>'Propylene Recycling HC'!AF179/('Propylene Recycling HC'!AF$159)</f>
        <v>8.1575464660008611E-3</v>
      </c>
      <c r="AH62" s="168">
        <f>'Propylene Recycling HC'!AG179/('Propylene Recycling HC'!AG$159)</f>
        <v>6.4361742000374348E-3</v>
      </c>
      <c r="AI62" s="44"/>
      <c r="AJ62" s="168">
        <f>'Propylene Recycling LC'!C165/('Propylene Recycling LC'!C$145)</f>
        <v>7.5766498630326404E-2</v>
      </c>
      <c r="AK62" s="168">
        <f>'Propylene Recycling LC'!D165/('Propylene Recycling LC'!D$145)</f>
        <v>7.3253092027453046E-2</v>
      </c>
      <c r="AL62" s="168">
        <f>'Propylene Recycling LC'!E165/('Propylene Recycling LC'!E$145)</f>
        <v>7.0752943408439767E-2</v>
      </c>
      <c r="AM62" s="168">
        <f>'Propylene Recycling LC'!F165/('Propylene Recycling LC'!F$145)</f>
        <v>6.8266566586297026E-2</v>
      </c>
      <c r="AN62" s="168">
        <f>'Propylene Recycling LC'!G165/('Propylene Recycling LC'!G$145)</f>
        <v>6.5794469232547698E-2</v>
      </c>
      <c r="AO62" s="168">
        <f>'Propylene Recycling LC'!H165/('Propylene Recycling LC'!H$145)</f>
        <v>6.3337152818775805E-2</v>
      </c>
      <c r="AP62" s="168">
        <f>'Propylene Recycling LC'!I165/('Propylene Recycling LC'!I$145)</f>
        <v>6.0899404879660293E-2</v>
      </c>
      <c r="AQ62" s="168">
        <f>'Propylene Recycling LC'!J165/('Propylene Recycling LC'!J$145)</f>
        <v>5.8477183165469473E-2</v>
      </c>
      <c r="AR62" s="168">
        <f>'Propylene Recycling LC'!K165/('Propylene Recycling LC'!K$145)</f>
        <v>5.6070948721643393E-2</v>
      </c>
      <c r="AS62" s="168">
        <f>'Propylene Recycling LC'!L165/('Propylene Recycling LC'!L$145)</f>
        <v>5.3681158386085927E-2</v>
      </c>
      <c r="AT62" s="168">
        <f>'Propylene Recycling LC'!M165/('Propylene Recycling LC'!M$145)</f>
        <v>5.1308264720627383E-2</v>
      </c>
      <c r="AU62" s="168">
        <f>'Propylene Recycling LC'!N165/('Propylene Recycling LC'!N$145)</f>
        <v>4.8744544585918877E-2</v>
      </c>
      <c r="AV62" s="168">
        <f>'Propylene Recycling LC'!O165/('Propylene Recycling LC'!O$145)</f>
        <v>4.6212873903451447E-2</v>
      </c>
      <c r="AW62" s="168">
        <f>'Propylene Recycling LC'!P165/('Propylene Recycling LC'!P$145)</f>
        <v>4.3717324621949043E-2</v>
      </c>
      <c r="AX62" s="168">
        <f>'Propylene Recycling LC'!Q165/('Propylene Recycling LC'!Q$145)</f>
        <v>4.1256550706923099E-2</v>
      </c>
      <c r="AY62" s="168">
        <f>'Propylene Recycling LC'!R165/('Propylene Recycling LC'!R$145)</f>
        <v>3.8831382561691469E-2</v>
      </c>
      <c r="AZ62" s="168">
        <f>'Propylene Recycling LC'!S165/('Propylene Recycling LC'!S$145)</f>
        <v>3.6442629616063031E-2</v>
      </c>
      <c r="BA62" s="168">
        <f>'Propylene Recycling LC'!T165/('Propylene Recycling LC'!T$145)</f>
        <v>3.409107982345632E-2</v>
      </c>
      <c r="BB62" s="168">
        <f>'Propylene Recycling LC'!U165/('Propylene Recycling LC'!U$145)</f>
        <v>3.177749914296079E-2</v>
      </c>
      <c r="BC62" s="168">
        <f>'Propylene Recycling LC'!V165/('Propylene Recycling LC'!V$145)</f>
        <v>2.9502631005816259E-2</v>
      </c>
      <c r="BD62" s="168">
        <f>'Propylene Recycling LC'!W165/('Propylene Recycling LC'!W$145)</f>
        <v>2.7267195765765733E-2</v>
      </c>
      <c r="BE62" s="168">
        <f>'Propylene Recycling LC'!X165/('Propylene Recycling LC'!X$145)</f>
        <v>2.4911412686100601E-2</v>
      </c>
      <c r="BF62" s="168">
        <f>'Propylene Recycling LC'!Y165/('Propylene Recycling LC'!Y$145)</f>
        <v>2.2613015540613724E-2</v>
      </c>
      <c r="BG62" s="168">
        <f>'Propylene Recycling LC'!Z165/('Propylene Recycling LC'!Z$145)</f>
        <v>2.0386044598673242E-2</v>
      </c>
      <c r="BH62" s="168">
        <f>'Propylene Recycling LC'!AA165/('Propylene Recycling LC'!AA$145)</f>
        <v>1.8225098846466101E-2</v>
      </c>
      <c r="BI62" s="168">
        <f>'Propylene Recycling LC'!AB165/('Propylene Recycling LC'!AB$145)</f>
        <v>1.613099787818632E-2</v>
      </c>
      <c r="BJ62" s="168">
        <f>'Propylene Recycling LC'!AC165/('Propylene Recycling LC'!AC$145)</f>
        <v>1.4104572507612221E-2</v>
      </c>
      <c r="BK62" s="168">
        <f>'Propylene Recycling LC'!AD165/('Propylene Recycling LC'!AD$145)</f>
        <v>1.2146486489586574E-2</v>
      </c>
      <c r="BL62" s="168">
        <f>'Propylene Recycling LC'!AE165/('Propylene Recycling LC'!AE$145)</f>
        <v>1.0257423523147489E-2</v>
      </c>
      <c r="BM62" s="168">
        <f>'Propylene Recycling LC'!AF165/('Propylene Recycling LC'!AF$145)</f>
        <v>8.4380204837217511E-3</v>
      </c>
      <c r="BN62" s="168">
        <f>'Propylene Recycling LC'!AG165/('Propylene Recycling LC'!AG$145)</f>
        <v>6.6888663920214777E-3</v>
      </c>
      <c r="BP62" s="168">
        <f>'Propylene Recycling HC'!C155/('Propylene Recycling HC'!C$149)</f>
        <v>7.5766498630326404E-2</v>
      </c>
      <c r="BQ62" s="168">
        <f>'Propylene Recycling HC'!D155/('Propylene Recycling HC'!D$149)</f>
        <v>7.5930196957511617E-2</v>
      </c>
      <c r="BR62" s="168">
        <f>'Propylene Recycling HC'!E155/('Propylene Recycling HC'!E$149)</f>
        <v>7.6082178993621769E-2</v>
      </c>
      <c r="BS62" s="168">
        <f>'Propylene Recycling HC'!F155/('Propylene Recycling HC'!F$149)</f>
        <v>7.62228684608144E-2</v>
      </c>
      <c r="BT62" s="168">
        <f>'Propylene Recycling HC'!G155/('Propylene Recycling HC'!G$149)</f>
        <v>7.6352595981986932E-2</v>
      </c>
      <c r="BU62" s="168">
        <f>'Propylene Recycling HC'!H155/('Propylene Recycling HC'!H$149)</f>
        <v>7.647160356019192E-2</v>
      </c>
      <c r="BV62" s="168">
        <f>'Propylene Recycling HC'!I155/('Propylene Recycling HC'!I$149)</f>
        <v>7.6588702056417143E-2</v>
      </c>
      <c r="BW62" s="168">
        <f>'Propylene Recycling HC'!J155/('Propylene Recycling HC'!J$149)</f>
        <v>7.6703912822352865E-2</v>
      </c>
      <c r="BX62" s="168">
        <f>'Propylene Recycling HC'!K155/('Propylene Recycling HC'!K$149)</f>
        <v>7.6817254581403246E-2</v>
      </c>
      <c r="BY62" s="168">
        <f>'Propylene Recycling HC'!L155/('Propylene Recycling HC'!L$149)</f>
        <v>7.6928743466368812E-2</v>
      </c>
      <c r="BZ62" s="168">
        <f>'Propylene Recycling HC'!M155/('Propylene Recycling HC'!M$149)</f>
        <v>7.7038393051202247E-2</v>
      </c>
      <c r="CA62" s="168">
        <f>'Propylene Recycling HC'!N155/('Propylene Recycling HC'!N$149)</f>
        <v>7.7140549231777572E-2</v>
      </c>
      <c r="CB62" s="168">
        <f>'Propylene Recycling HC'!O155/('Propylene Recycling HC'!O$149)</f>
        <v>7.7235208803790881E-2</v>
      </c>
      <c r="CC62" s="168">
        <f>'Propylene Recycling HC'!P155/('Propylene Recycling HC'!P$149)</f>
        <v>7.7322325870189362E-2</v>
      </c>
      <c r="CD62" s="168">
        <f>'Propylene Recycling HC'!Q155/('Propylene Recycling HC'!Q$149)</f>
        <v>7.740181125742604E-2</v>
      </c>
      <c r="CE62" s="168">
        <f>'Propylene Recycling HC'!R155/('Propylene Recycling HC'!R$149)</f>
        <v>7.7473531515064087E-2</v>
      </c>
      <c r="CF62" s="168">
        <f>'Propylene Recycling HC'!S155/('Propylene Recycling HC'!S$149)</f>
        <v>7.7544613950071437E-2</v>
      </c>
      <c r="CG62" s="168">
        <f>'Propylene Recycling HC'!T155/('Propylene Recycling HC'!T$149)</f>
        <v>7.7615047381514923E-2</v>
      </c>
      <c r="CH62" s="168">
        <f>'Propylene Recycling HC'!U155/('Propylene Recycling HC'!U$149)</f>
        <v>7.7684820329383258E-2</v>
      </c>
      <c r="CI62" s="168">
        <f>'Propylene Recycling HC'!V155/('Propylene Recycling HC'!V$149)</f>
        <v>7.7753921007108678E-2</v>
      </c>
      <c r="CJ62" s="168">
        <f>'Propylene Recycling HC'!W155/('Propylene Recycling HC'!W$149)</f>
        <v>7.7822337313858125E-2</v>
      </c>
      <c r="CK62" s="168">
        <f>'Propylene Recycling HC'!X155/('Propylene Recycling HC'!X$149)</f>
        <v>7.7890103196123509E-2</v>
      </c>
      <c r="CL62" s="168">
        <f>'Propylene Recycling HC'!Y155/('Propylene Recycling HC'!Y$149)</f>
        <v>7.795720705974328E-2</v>
      </c>
      <c r="CM62" s="168">
        <f>'Propylene Recycling HC'!Z155/('Propylene Recycling HC'!Z$149)</f>
        <v>7.8023637020065789E-2</v>
      </c>
      <c r="CN62" s="168">
        <f>'Propylene Recycling HC'!AA155/('Propylene Recycling HC'!AA$149)</f>
        <v>7.8089380894772506E-2</v>
      </c>
      <c r="CO62" s="168">
        <f>'Propylene Recycling HC'!AB155/('Propylene Recycling HC'!AB$149)</f>
        <v>7.8154426196491558E-2</v>
      </c>
      <c r="CP62" s="168">
        <f>'Propylene Recycling HC'!AC155/('Propylene Recycling HC'!AC$149)</f>
        <v>7.8218801546083808E-2</v>
      </c>
      <c r="CQ62" s="168">
        <f>'Propylene Recycling HC'!AD155/('Propylene Recycling HC'!AD$149)</f>
        <v>7.8282494909239206E-2</v>
      </c>
      <c r="CR62" s="168">
        <f>'Propylene Recycling HC'!AE155/('Propylene Recycling HC'!AE$149)</f>
        <v>7.8345493965565463E-2</v>
      </c>
      <c r="CS62" s="168">
        <f>'Propylene Recycling HC'!AF155/('Propylene Recycling HC'!AF$149)</f>
        <v>7.840778610163554E-2</v>
      </c>
      <c r="CT62" s="168">
        <f>'Propylene Recycling HC'!AG155/('Propylene Recycling HC'!AG$149)</f>
        <v>7.8469358403841033E-2</v>
      </c>
      <c r="CV62" s="168">
        <f t="shared" si="371"/>
        <v>7.5766498630326404E-2</v>
      </c>
      <c r="CW62" s="168">
        <f t="shared" si="370"/>
        <v>7.3336622615894381E-2</v>
      </c>
      <c r="CX62" s="168">
        <f t="shared" si="370"/>
        <v>7.0921831579116731E-2</v>
      </c>
      <c r="CY62" s="168">
        <f t="shared" si="370"/>
        <v>6.8521874837874169E-2</v>
      </c>
      <c r="CZ62" s="168">
        <f t="shared" si="370"/>
        <v>6.6136505260805195E-2</v>
      </c>
      <c r="DA62" s="168">
        <f t="shared" si="370"/>
        <v>6.376548224033228E-2</v>
      </c>
      <c r="DB62" s="168">
        <f t="shared" si="370"/>
        <v>6.142550085946475E-2</v>
      </c>
      <c r="DC62" s="168">
        <f t="shared" si="370"/>
        <v>5.9098979421400973E-2</v>
      </c>
      <c r="DD62" s="168">
        <f t="shared" si="370"/>
        <v>5.6785607984040379E-2</v>
      </c>
      <c r="DE62" s="168">
        <f t="shared" si="370"/>
        <v>5.448513973463541E-2</v>
      </c>
      <c r="DF62" s="168">
        <f t="shared" si="370"/>
        <v>5.2197431106941597E-2</v>
      </c>
      <c r="DG62" s="168">
        <f t="shared" si="370"/>
        <v>4.9807063015258571E-2</v>
      </c>
      <c r="DH62" s="168">
        <f t="shared" si="370"/>
        <v>4.7424463314927584E-2</v>
      </c>
      <c r="DI62" s="168">
        <f t="shared" si="370"/>
        <v>4.5099505897477105E-2</v>
      </c>
      <c r="DJ62" s="168">
        <f t="shared" si="370"/>
        <v>4.2803006054480966E-2</v>
      </c>
      <c r="DK62" s="168">
        <f t="shared" si="370"/>
        <v>4.0533202899208566E-2</v>
      </c>
      <c r="DL62" s="168">
        <f t="shared" si="370"/>
        <v>3.82868285786871E-2</v>
      </c>
      <c r="DM62" s="168">
        <f t="shared" si="370"/>
        <v>3.6062706590633591E-2</v>
      </c>
      <c r="DN62" s="168">
        <f t="shared" si="370"/>
        <v>3.3858187863204402E-2</v>
      </c>
      <c r="DO62" s="168">
        <f t="shared" si="370"/>
        <v>3.1670742989210361E-2</v>
      </c>
      <c r="DP62" s="168">
        <f t="shared" si="370"/>
        <v>2.9498243639353702E-2</v>
      </c>
      <c r="DQ62" s="168">
        <f t="shared" si="370"/>
        <v>2.7292433394519516E-2</v>
      </c>
      <c r="DR62" s="168">
        <f t="shared" si="370"/>
        <v>2.5053883550082926E-2</v>
      </c>
      <c r="DS62" s="168">
        <f t="shared" si="370"/>
        <v>2.2852805754343192E-2</v>
      </c>
      <c r="DT62" s="168">
        <f t="shared" si="370"/>
        <v>2.0680864861200732E-2</v>
      </c>
      <c r="DU62" s="168">
        <f t="shared" si="370"/>
        <v>1.8533545690396766E-2</v>
      </c>
      <c r="DV62" s="168">
        <f t="shared" si="370"/>
        <v>1.6410851352047475E-2</v>
      </c>
      <c r="DW62" s="168">
        <f t="shared" si="370"/>
        <v>1.4313096203118211E-2</v>
      </c>
      <c r="DX62" s="168">
        <f t="shared" si="370"/>
        <v>1.2241514280039154E-2</v>
      </c>
      <c r="DY62" s="168">
        <f t="shared" si="370"/>
        <v>1.01977997306292E-2</v>
      </c>
      <c r="DZ62" s="168">
        <f t="shared" si="370"/>
        <v>8.1841337806199711E-3</v>
      </c>
    </row>
    <row r="63" spans="1:165" x14ac:dyDescent="0.2">
      <c r="A63" s="606" t="s">
        <v>452</v>
      </c>
      <c r="C63" s="54" t="s">
        <v>462</v>
      </c>
      <c r="D63" s="168">
        <f>'Propylene Recycling HC'!C180/('Propylene Recycling HC'!C$159)</f>
        <v>0.25571193287735161</v>
      </c>
      <c r="E63" s="168">
        <f>'Propylene Recycling HC'!D180/('Propylene Recycling HC'!D$159)</f>
        <v>0.25119126877112713</v>
      </c>
      <c r="F63" s="168">
        <f>'Propylene Recycling HC'!E180/('Propylene Recycling HC'!E$159)</f>
        <v>0.24668107864454514</v>
      </c>
      <c r="G63" s="168">
        <f>'Propylene Recycling HC'!F180/('Propylene Recycling HC'!F$159)</f>
        <v>0.24218228208738685</v>
      </c>
      <c r="H63" s="168">
        <f>'Propylene Recycling HC'!G180/('Propylene Recycling HC'!G$159)</f>
        <v>0.2376957916128235</v>
      </c>
      <c r="I63" s="168">
        <f>'Propylene Recycling HC'!H180/('Propylene Recycling HC'!H$159)</f>
        <v>0.23322251257314253</v>
      </c>
      <c r="J63" s="168">
        <f>'Propylene Recycling HC'!I180/('Propylene Recycling HC'!I$159)</f>
        <v>0.22875423341460155</v>
      </c>
      <c r="K63" s="168">
        <f>'Propylene Recycling HC'!J180/('Propylene Recycling HC'!J$159)</f>
        <v>0.22429844668523499</v>
      </c>
      <c r="L63" s="168">
        <f>'Propylene Recycling HC'!K180/('Propylene Recycling HC'!K$159)</f>
        <v>0.21985599206528081</v>
      </c>
      <c r="M63" s="168">
        <f>'Propylene Recycling HC'!L180/('Propylene Recycling HC'!L$159)</f>
        <v>0.21542771016651177</v>
      </c>
      <c r="N63" s="168">
        <f>'Propylene Recycling HC'!M180/('Propylene Recycling HC'!M$159)</f>
        <v>0.21101444255608273</v>
      </c>
      <c r="O63" s="168">
        <f>'Propylene Recycling HC'!N180/('Propylene Recycling HC'!N$159)</f>
        <v>0.20571620651188427</v>
      </c>
      <c r="P63" s="168">
        <f>'Propylene Recycling HC'!O180/('Propylene Recycling HC'!O$159)</f>
        <v>0.20044348850490087</v>
      </c>
      <c r="Q63" s="168">
        <f>'Propylene Recycling HC'!P180/('Propylene Recycling HC'!P$159)</f>
        <v>0.1952040152756476</v>
      </c>
      <c r="R63" s="168">
        <f>'Propylene Recycling HC'!Q180/('Propylene Recycling HC'!Q$159)</f>
        <v>0.18999650482016708</v>
      </c>
      <c r="S63" s="168">
        <f>'Propylene Recycling HC'!R180/('Propylene Recycling HC'!R$159)</f>
        <v>0.1848227754288303</v>
      </c>
      <c r="T63" s="168">
        <f>'Propylene Recycling HC'!S180/('Propylene Recycling HC'!S$159)</f>
        <v>0.17968464013274635</v>
      </c>
      <c r="U63" s="168">
        <f>'Propylene Recycling HC'!T180/('Propylene Recycling HC'!T$159)</f>
        <v>0.17458390653560438</v>
      </c>
      <c r="V63" s="168">
        <f>'Propylene Recycling HC'!U180/('Propylene Recycling HC'!U$159)</f>
        <v>0.16952237663723319</v>
      </c>
      <c r="W63" s="168">
        <f>'Propylene Recycling HC'!V180/('Propylene Recycling HC'!V$159)</f>
        <v>0.16450184664842987</v>
      </c>
      <c r="X63" s="168">
        <f>'Propylene Recycling HC'!W180/('Propylene Recycling HC'!W$159)</f>
        <v>0.15952410679658258</v>
      </c>
      <c r="Y63" s="168">
        <f>'Propylene Recycling HC'!X180/('Propylene Recycling HC'!X$159)</f>
        <v>0.15353408572602106</v>
      </c>
      <c r="Z63" s="168">
        <f>'Propylene Recycling HC'!Y180/('Propylene Recycling HC'!Y$159)</f>
        <v>0.1475883129632618</v>
      </c>
      <c r="AA63" s="168">
        <f>'Propylene Recycling HC'!Z180/('Propylene Recycling HC'!Z$159)</f>
        <v>0.14172868320383977</v>
      </c>
      <c r="AB63" s="168">
        <f>'Propylene Recycling HC'!AA180/('Propylene Recycling HC'!AA$159)</f>
        <v>0.13594513747211531</v>
      </c>
      <c r="AC63" s="168">
        <f>'Propylene Recycling HC'!AB180/('Propylene Recycling HC'!AB$159)</f>
        <v>0.13024034799438763</v>
      </c>
      <c r="AD63" s="168">
        <f>'Propylene Recycling HC'!AC180/('Propylene Recycling HC'!AC$159)</f>
        <v>0.12461507280787945</v>
      </c>
      <c r="AE63" s="168">
        <f>'Propylene Recycling HC'!AD180/('Propylene Recycling HC'!AD$159)</f>
        <v>0.11907363104809837</v>
      </c>
      <c r="AF63" s="168">
        <f>'Propylene Recycling HC'!AE180/('Propylene Recycling HC'!AE$159)</f>
        <v>0.11361867390305598</v>
      </c>
      <c r="AG63" s="168">
        <f>'Propylene Recycling HC'!AF180/('Propylene Recycling HC'!AF$159)</f>
        <v>0.10825284634611976</v>
      </c>
      <c r="AH63" s="168">
        <f>'Propylene Recycling HC'!AG180/('Propylene Recycling HC'!AG$159)</f>
        <v>0.10297878720059896</v>
      </c>
      <c r="AI63" s="44"/>
      <c r="AJ63" s="168">
        <f>'Propylene Recycling LC'!C166/('Propylene Recycling LC'!C$145)</f>
        <v>0.25571193287735161</v>
      </c>
      <c r="AK63" s="168">
        <f>'Propylene Recycling LC'!D166/('Propylene Recycling LC'!D$145)</f>
        <v>0.25119837137311157</v>
      </c>
      <c r="AL63" s="168">
        <f>'Propylene Recycling LC'!E166/('Propylene Recycling LC'!E$145)</f>
        <v>0.24669610356571042</v>
      </c>
      <c r="AM63" s="168">
        <f>'Propylene Recycling LC'!F166/('Propylene Recycling LC'!F$145)</f>
        <v>0.24220603761439638</v>
      </c>
      <c r="AN63" s="168">
        <f>'Propylene Recycling LC'!G166/('Propylene Recycling LC'!G$145)</f>
        <v>0.23772907279307345</v>
      </c>
      <c r="AO63" s="168">
        <f>'Propylene Recycling LC'!H166/('Propylene Recycling LC'!H$145)</f>
        <v>0.23326609940573548</v>
      </c>
      <c r="AP63" s="168">
        <f>'Propylene Recycling LC'!I166/('Propylene Recycling LC'!I$145)</f>
        <v>0.22883412742660253</v>
      </c>
      <c r="AQ63" s="168">
        <f>'Propylene Recycling LC'!J166/('Propylene Recycling LC'!J$145)</f>
        <v>0.22441767151983857</v>
      </c>
      <c r="AR63" s="168">
        <f>'Propylene Recycling LC'!K166/('Propylene Recycling LC'!K$145)</f>
        <v>0.22001752704905744</v>
      </c>
      <c r="AS63" s="168">
        <f>'Propylene Recycling LC'!L166/('Propylene Recycling LC'!L$145)</f>
        <v>0.21563448368648097</v>
      </c>
      <c r="AT63" s="168">
        <f>'Propylene Recycling LC'!M166/('Propylene Recycling LC'!M$145)</f>
        <v>0.2112693253202306</v>
      </c>
      <c r="AU63" s="168">
        <f>'Propylene Recycling LC'!N166/('Propylene Recycling LC'!N$145)</f>
        <v>0.20604289091839345</v>
      </c>
      <c r="AV63" s="168">
        <f>'Propylene Recycling LC'!O166/('Propylene Recycling LC'!O$145)</f>
        <v>0.20084825965730838</v>
      </c>
      <c r="AW63" s="168">
        <f>'Propylene Recycling LC'!P166/('Propylene Recycling LC'!P$145)</f>
        <v>0.19570104377744993</v>
      </c>
      <c r="AX63" s="168">
        <f>'Propylene Recycling LC'!Q166/('Propylene Recycling LC'!Q$145)</f>
        <v>0.19059364270240547</v>
      </c>
      <c r="AY63" s="168">
        <f>'Propylene Recycling LC'!R166/('Propylene Recycling LC'!R$145)</f>
        <v>0.18552771668363718</v>
      </c>
      <c r="AZ63" s="168">
        <f>'Propylene Recycling LC'!S166/('Propylene Recycling LC'!S$145)</f>
        <v>0.18050489981706236</v>
      </c>
      <c r="BA63" s="168">
        <f>'Propylene Recycling LC'!T166/('Propylene Recycling LC'!T$145)</f>
        <v>0.17552679942159757</v>
      </c>
      <c r="BB63" s="168">
        <f>'Propylene Recycling LC'!U166/('Propylene Recycling LC'!U$145)</f>
        <v>0.17059499539905279</v>
      </c>
      <c r="BC63" s="168">
        <f>'Propylene Recycling LC'!V166/('Propylene Recycling LC'!V$145)</f>
        <v>0.16571103957472508</v>
      </c>
      <c r="BD63" s="168">
        <f>'Propylene Recycling LC'!W166/('Propylene Recycling LC'!W$145)</f>
        <v>0.16087645501801798</v>
      </c>
      <c r="BE63" s="168">
        <f>'Propylene Recycling LC'!X166/('Propylene Recycling LC'!X$145)</f>
        <v>0.15509363381991678</v>
      </c>
      <c r="BF63" s="168">
        <f>'Propylene Recycling LC'!Y166/('Propylene Recycling LC'!Y$145)</f>
        <v>0.14935107938451866</v>
      </c>
      <c r="BG63" s="168">
        <f>'Propylene Recycling LC'!Z166/('Propylene Recycling LC'!Z$145)</f>
        <v>0.14373451698051903</v>
      </c>
      <c r="BH63" s="168">
        <f>'Propylene Recycling LC'!AA166/('Propylene Recycling LC'!AA$145)</f>
        <v>0.1382069995857014</v>
      </c>
      <c r="BI63" s="168">
        <f>'Propylene Recycling LC'!AB166/('Propylene Recycling LC'!AB$145)</f>
        <v>0.13277052099737982</v>
      </c>
      <c r="BJ63" s="168">
        <f>'Propylene Recycling LC'!AC166/('Propylene Recycling LC'!AC$145)</f>
        <v>0.12742751713773814</v>
      </c>
      <c r="BK63" s="168">
        <f>'Propylene Recycling LC'!AD166/('Propylene Recycling LC'!AD$145)</f>
        <v>0.12217936410113568</v>
      </c>
      <c r="BL63" s="168">
        <f>'Propylene Recycling LC'!AE166/('Propylene Recycling LC'!AE$145)</f>
        <v>0.11702787746863745</v>
      </c>
      <c r="BM63" s="168">
        <f>'Propylene Recycling LC'!AF166/('Propylene Recycling LC'!AF$145)</f>
        <v>0.11197481236506454</v>
      </c>
      <c r="BN63" s="168">
        <f>'Propylene Recycling LC'!AG166/('Propylene Recycling LC'!AG$145)</f>
        <v>0.10702186227234364</v>
      </c>
      <c r="BP63" s="168">
        <f>'Propylene Recycling HC'!C156/('Propylene Recycling HC'!C$149)</f>
        <v>0.25571193287735161</v>
      </c>
      <c r="BQ63" s="168">
        <f>'Propylene Recycling HC'!D156/('Propylene Recycling HC'!D$149)</f>
        <v>0.25891470406568878</v>
      </c>
      <c r="BR63" s="168">
        <f>'Propylene Recycling HC'!E156/('Propylene Recycling HC'!E$149)</f>
        <v>0.26208191999132879</v>
      </c>
      <c r="BS63" s="168">
        <f>'Propylene Recycling HC'!F156/('Propylene Recycling HC'!F$149)</f>
        <v>0.26521381628831309</v>
      </c>
      <c r="BT63" s="168">
        <f>'Propylene Recycling HC'!G156/('Propylene Recycling HC'!G$149)</f>
        <v>0.26831036631149296</v>
      </c>
      <c r="BU63" s="168">
        <f>'Propylene Recycling HC'!H156/('Propylene Recycling HC'!H$149)</f>
        <v>0.2713712805427928</v>
      </c>
      <c r="BV63" s="168">
        <f>'Propylene Recycling HC'!I156/('Propylene Recycling HC'!I$149)</f>
        <v>0.27442701183490403</v>
      </c>
      <c r="BW63" s="168">
        <f>'Propylene Recycling HC'!J156/('Propylene Recycling HC'!J$149)</f>
        <v>0.27747743432390171</v>
      </c>
      <c r="BX63" s="168">
        <f>'Propylene Recycling HC'!K156/('Propylene Recycling HC'!K$149)</f>
        <v>0.28052241648291298</v>
      </c>
      <c r="BY63" s="168">
        <f>'Propylene Recycling HC'!L156/('Propylene Recycling HC'!L$149)</f>
        <v>0.2835618207870354</v>
      </c>
      <c r="BZ63" s="168">
        <f>'Propylene Recycling HC'!M156/('Propylene Recycling HC'!M$149)</f>
        <v>0.28659550336743533</v>
      </c>
      <c r="CA63" s="168">
        <f>'Propylene Recycling HC'!N156/('Propylene Recycling HC'!N$149)</f>
        <v>0.28960204549241919</v>
      </c>
      <c r="CB63" s="168">
        <f>'Propylene Recycling HC'!O156/('Propylene Recycling HC'!O$149)</f>
        <v>0.29258066783307951</v>
      </c>
      <c r="CC63" s="168">
        <f>'Propylene Recycling HC'!P156/('Propylene Recycling HC'!P$149)</f>
        <v>0.29553043122669315</v>
      </c>
      <c r="CD63" s="168">
        <f>'Propylene Recycling HC'!Q156/('Propylene Recycling HC'!Q$149)</f>
        <v>0.29845022719079561</v>
      </c>
      <c r="CE63" s="168">
        <f>'Propylene Recycling HC'!R156/('Propylene Recycling HC'!R$149)</f>
        <v>0.30133876675184407</v>
      </c>
      <c r="CF63" s="168">
        <f>'Propylene Recycling HC'!S156/('Propylene Recycling HC'!S$149)</f>
        <v>0.3042232321799368</v>
      </c>
      <c r="CG63" s="168">
        <f>'Propylene Recycling HC'!T156/('Propylene Recycling HC'!T$149)</f>
        <v>0.30710352081025327</v>
      </c>
      <c r="CH63" s="168">
        <f>'Propylene Recycling HC'!U156/('Propylene Recycling HC'!U$149)</f>
        <v>0.30997952757348002</v>
      </c>
      <c r="CI63" s="168">
        <f>'Propylene Recycling HC'!V156/('Propylene Recycling HC'!V$149)</f>
        <v>0.31285114492318905</v>
      </c>
      <c r="CJ63" s="168">
        <f>'Propylene Recycling HC'!W156/('Propylene Recycling HC'!W$149)</f>
        <v>0.31571826276109882</v>
      </c>
      <c r="CK63" s="168">
        <f>'Propylene Recycling HC'!X156/('Propylene Recycling HC'!X$149)</f>
        <v>0.31858095801776171</v>
      </c>
      <c r="CL63" s="168">
        <f>'Propylene Recycling HC'!Y156/('Propylene Recycling HC'!Y$149)</f>
        <v>0.32143912464860847</v>
      </c>
      <c r="CM63" s="168">
        <f>'Propylene Recycling HC'!Z156/('Propylene Recycling HC'!Z$149)</f>
        <v>0.32429265415144343</v>
      </c>
      <c r="CN63" s="168">
        <f>'Propylene Recycling HC'!AA156/('Propylene Recycling HC'!AA$149)</f>
        <v>0.32714143549606095</v>
      </c>
      <c r="CO63" s="168">
        <f>'Propylene Recycling HC'!AB156/('Propylene Recycling HC'!AB$149)</f>
        <v>0.32998535505185267</v>
      </c>
      <c r="CP63" s="168">
        <f>'Propylene Recycling HC'!AC156/('Propylene Recycling HC'!AC$149)</f>
        <v>0.33282447276105981</v>
      </c>
      <c r="CQ63" s="168">
        <f>'Propylene Recycling HC'!AD156/('Propylene Recycling HC'!AD$149)</f>
        <v>0.33565867829281948</v>
      </c>
      <c r="CR63" s="168">
        <f>'Propylene Recycling HC'!AE156/('Propylene Recycling HC'!AE$149)</f>
        <v>0.33848785879164528</v>
      </c>
      <c r="CS63" s="168">
        <f>'Propylene Recycling HC'!AF156/('Propylene Recycling HC'!AF$149)</f>
        <v>0.34131189880832519</v>
      </c>
      <c r="CT63" s="168">
        <f>'Propylene Recycling HC'!AG156/('Propylene Recycling HC'!AG$149)</f>
        <v>0.3441306802288932</v>
      </c>
      <c r="CV63" s="168">
        <f t="shared" si="371"/>
        <v>0.25571193287735161</v>
      </c>
      <c r="CW63" s="168">
        <f t="shared" si="370"/>
        <v>0.25148481317639321</v>
      </c>
      <c r="CX63" s="168">
        <f t="shared" si="370"/>
        <v>0.247284970284708</v>
      </c>
      <c r="CY63" s="168">
        <f t="shared" si="370"/>
        <v>0.24311185730149884</v>
      </c>
      <c r="CZ63" s="168">
        <f t="shared" si="370"/>
        <v>0.23896491995177743</v>
      </c>
      <c r="DA63" s="168">
        <f t="shared" si="370"/>
        <v>0.23484360532415083</v>
      </c>
      <c r="DB63" s="168">
        <f t="shared" si="370"/>
        <v>0.23081097292647382</v>
      </c>
      <c r="DC63" s="168">
        <f t="shared" si="370"/>
        <v>0.22680393673239244</v>
      </c>
      <c r="DD63" s="168">
        <f t="shared" si="370"/>
        <v>0.22282178785041953</v>
      </c>
      <c r="DE63" s="168">
        <f t="shared" si="370"/>
        <v>0.21886403588319669</v>
      </c>
      <c r="DF63" s="168">
        <f t="shared" si="370"/>
        <v>0.21493059867564207</v>
      </c>
      <c r="DG63" s="168">
        <f t="shared" si="370"/>
        <v>0.21053414980069438</v>
      </c>
      <c r="DH63" s="168">
        <f t="shared" si="370"/>
        <v>0.20611401363795465</v>
      </c>
      <c r="DI63" s="168">
        <f t="shared" si="370"/>
        <v>0.20188839217192789</v>
      </c>
      <c r="DJ63" s="168">
        <f t="shared" si="370"/>
        <v>0.19773783078689819</v>
      </c>
      <c r="DK63" s="168">
        <f t="shared" si="370"/>
        <v>0.19365863607399667</v>
      </c>
      <c r="DL63" s="168">
        <f t="shared" si="370"/>
        <v>0.1896394478038097</v>
      </c>
      <c r="DM63" s="168">
        <f t="shared" si="370"/>
        <v>0.18567823310714665</v>
      </c>
      <c r="DN63" s="168">
        <f t="shared" si="370"/>
        <v>0.18176500852878172</v>
      </c>
      <c r="DO63" s="168">
        <f t="shared" si="370"/>
        <v>0.17788893959360227</v>
      </c>
      <c r="DP63" s="168">
        <f t="shared" si="370"/>
        <v>0.17403963747218701</v>
      </c>
      <c r="DQ63" s="168">
        <f t="shared" si="370"/>
        <v>0.1699174079078152</v>
      </c>
      <c r="DR63" s="168">
        <f t="shared" si="370"/>
        <v>0.16547216112147806</v>
      </c>
      <c r="DS63" s="168">
        <f t="shared" si="370"/>
        <v>0.16112674436922997</v>
      </c>
      <c r="DT63" s="168">
        <f t="shared" si="370"/>
        <v>0.15682989186410567</v>
      </c>
      <c r="DU63" s="168">
        <f t="shared" si="370"/>
        <v>0.15254533760557354</v>
      </c>
      <c r="DV63" s="168">
        <f t="shared" si="370"/>
        <v>0.14826355359436011</v>
      </c>
      <c r="DW63" s="168">
        <f t="shared" si="370"/>
        <v>0.14397290886665981</v>
      </c>
      <c r="DX63" s="168">
        <f t="shared" si="370"/>
        <v>0.1396645492859015</v>
      </c>
      <c r="DY63" s="168">
        <f t="shared" si="370"/>
        <v>0.13532755858753912</v>
      </c>
      <c r="DZ63" s="168">
        <f t="shared" si="370"/>
        <v>0.13094614048991954</v>
      </c>
    </row>
    <row r="64" spans="1:165" x14ac:dyDescent="0.2">
      <c r="A64" s="606" t="s">
        <v>453</v>
      </c>
      <c r="C64" s="54" t="s">
        <v>462</v>
      </c>
      <c r="D64" s="168">
        <f>'Propylene Recycling HC'!C181/('Propylene Recycling HC'!C$159)</f>
        <v>6.6295686301535608E-2</v>
      </c>
      <c r="E64" s="168">
        <f>'Propylene Recycling HC'!D181/('Propylene Recycling HC'!D$159)</f>
        <v>6.5705851280557656E-2</v>
      </c>
      <c r="F64" s="168">
        <f>'Propylene Recycling HC'!E181/('Propylene Recycling HC'!E$159)</f>
        <v>6.5113787256428135E-2</v>
      </c>
      <c r="G64" s="168">
        <f>'Propylene Recycling HC'!F181/('Propylene Recycling HC'!F$159)</f>
        <v>6.4519604108222717E-2</v>
      </c>
      <c r="H64" s="168">
        <f>'Propylene Recycling HC'!G181/('Propylene Recycling HC'!G$159)</f>
        <v>6.3923411321464257E-2</v>
      </c>
      <c r="I64" s="168">
        <f>'Propylene Recycling HC'!H181/('Propylene Recycling HC'!H$159)</f>
        <v>6.3325317983436005E-2</v>
      </c>
      <c r="J64" s="168">
        <f>'Propylene Recycling HC'!I181/('Propylene Recycling HC'!I$159)</f>
        <v>6.2722934968519745E-2</v>
      </c>
      <c r="K64" s="168">
        <f>'Propylene Recycling HC'!J181/('Propylene Recycling HC'!J$159)</f>
        <v>6.2118123706824929E-2</v>
      </c>
      <c r="L64" s="168">
        <f>'Propylene Recycling HC'!K181/('Propylene Recycling HC'!K$159)</f>
        <v>6.151095622879043E-2</v>
      </c>
      <c r="M64" s="168">
        <f>'Propylene Recycling HC'!L181/('Propylene Recycling HC'!L$159)</f>
        <v>6.0901504561840833E-2</v>
      </c>
      <c r="N64" s="168">
        <f>'Propylene Recycling HC'!M181/('Propylene Recycling HC'!M$159)</f>
        <v>6.0289840730309303E-2</v>
      </c>
      <c r="O64" s="168">
        <f>'Propylene Recycling HC'!N181/('Propylene Recycling HC'!N$159)</f>
        <v>5.9415856452634169E-2</v>
      </c>
      <c r="P64" s="168">
        <f>'Propylene Recycling HC'!O181/('Propylene Recycling HC'!O$159)</f>
        <v>5.8536593988156846E-2</v>
      </c>
      <c r="Q64" s="168">
        <f>'Propylene Recycling HC'!P181/('Propylene Recycling HC'!P$159)</f>
        <v>5.7653959534186727E-2</v>
      </c>
      <c r="R64" s="168">
        <f>'Propylene Recycling HC'!Q181/('Propylene Recycling HC'!Q$159)</f>
        <v>5.6767248391391335E-2</v>
      </c>
      <c r="S64" s="168">
        <f>'Propylene Recycling HC'!R181/('Propylene Recycling HC'!R$159)</f>
        <v>5.5876653036623071E-2</v>
      </c>
      <c r="T64" s="168">
        <f>'Propylene Recycling HC'!S181/('Propylene Recycling HC'!S$159)</f>
        <v>5.4982366223584794E-2</v>
      </c>
      <c r="U64" s="168">
        <f>'Propylene Recycling HC'!T181/('Propylene Recycling HC'!T$159)</f>
        <v>5.4084580997386215E-2</v>
      </c>
      <c r="V64" s="168">
        <f>'Propylene Recycling HC'!U181/('Propylene Recycling HC'!U$159)</f>
        <v>5.3183490709720171E-2</v>
      </c>
      <c r="W64" s="168">
        <f>'Propylene Recycling HC'!V181/('Propylene Recycling HC'!V$159)</f>
        <v>5.2279289034692311E-2</v>
      </c>
      <c r="X64" s="168">
        <f>'Propylene Recycling HC'!W181/('Propylene Recycling HC'!W$159)</f>
        <v>5.1372169985340096E-2</v>
      </c>
      <c r="Y64" s="168">
        <f>'Propylene Recycling HC'!X181/('Propylene Recycling HC'!X$159)</f>
        <v>5.0117344045281433E-2</v>
      </c>
      <c r="Z64" s="168">
        <f>'Propylene Recycling HC'!Y181/('Propylene Recycling HC'!Y$159)</f>
        <v>4.8849652882206329E-2</v>
      </c>
      <c r="AA64" s="168">
        <f>'Propylene Recycling HC'!Z181/('Propylene Recycling HC'!Z$159)</f>
        <v>4.7582161147429115E-2</v>
      </c>
      <c r="AB64" s="168">
        <f>'Propylene Recycling HC'!AA181/('Propylene Recycling HC'!AA$159)</f>
        <v>4.6310980897094199E-2</v>
      </c>
      <c r="AC64" s="168">
        <f>'Propylene Recycling HC'!AB181/('Propylene Recycling HC'!AB$159)</f>
        <v>4.503638201675083E-2</v>
      </c>
      <c r="AD64" s="168">
        <f>'Propylene Recycling HC'!AC181/('Propylene Recycling HC'!AC$159)</f>
        <v>4.3757964497423293E-2</v>
      </c>
      <c r="AE64" s="168">
        <f>'Propylene Recycling HC'!AD181/('Propylene Recycling HC'!AD$159)</f>
        <v>4.2476558444058468E-2</v>
      </c>
      <c r="AF64" s="168">
        <f>'Propylene Recycling HC'!AE181/('Propylene Recycling HC'!AE$159)</f>
        <v>4.1192427590350959E-2</v>
      </c>
      <c r="AG64" s="168">
        <f>'Propylene Recycling HC'!AF181/('Propylene Recycling HC'!AF$159)</f>
        <v>3.9905835414761046E-2</v>
      </c>
      <c r="AH64" s="168">
        <f>'Propylene Recycling HC'!AG181/('Propylene Recycling HC'!AG$159)</f>
        <v>3.8617045200224603E-2</v>
      </c>
      <c r="AI64" s="44"/>
      <c r="AJ64" s="168">
        <f>'Propylene Recycling LC'!C167/('Propylene Recycling LC'!C$145)</f>
        <v>6.6295686301535608E-2</v>
      </c>
      <c r="AK64" s="168">
        <f>'Propylene Recycling LC'!D167/('Propylene Recycling LC'!D$145)</f>
        <v>6.5707709157672475E-2</v>
      </c>
      <c r="AL64" s="168">
        <f>'Propylene Recycling LC'!E167/('Propylene Recycling LC'!E$145)</f>
        <v>6.5117753225466701E-2</v>
      </c>
      <c r="AM64" s="168">
        <f>'Propylene Recycling LC'!F167/('Propylene Recycling LC'!F$145)</f>
        <v>6.4525932800746505E-2</v>
      </c>
      <c r="AN64" s="168">
        <f>'Propylene Recycling LC'!G167/('Propylene Recycling LC'!G$145)</f>
        <v>6.3932361612758629E-2</v>
      </c>
      <c r="AO64" s="168">
        <f>'Propylene Recycling LC'!H167/('Propylene Recycling LC'!H$145)</f>
        <v>6.3337152818775819E-2</v>
      </c>
      <c r="AP64" s="168">
        <f>'Propylene Recycling LC'!I167/('Propylene Recycling LC'!I$145)</f>
        <v>6.2744841391165165E-2</v>
      </c>
      <c r="AQ64" s="168">
        <f>'Propylene Recycling LC'!J167/('Propylene Recycling LC'!J$145)</f>
        <v>6.2151142317226737E-2</v>
      </c>
      <c r="AR64" s="168">
        <f>'Propylene Recycling LC'!K167/('Propylene Recycling LC'!K$145)</f>
        <v>6.1556150227021572E-2</v>
      </c>
      <c r="AS64" s="168">
        <f>'Propylene Recycling LC'!L167/('Propylene Recycling LC'!L$145)</f>
        <v>6.0959959523182339E-2</v>
      </c>
      <c r="AT64" s="168">
        <f>'Propylene Recycling LC'!M167/('Propylene Recycling LC'!M$145)</f>
        <v>6.0362664377208698E-2</v>
      </c>
      <c r="AU64" s="168">
        <f>'Propylene Recycling LC'!N167/('Propylene Recycling LC'!N$145)</f>
        <v>5.9510210874833484E-2</v>
      </c>
      <c r="AV64" s="168">
        <f>'Propylene Recycling LC'!O167/('Propylene Recycling LC'!O$145)</f>
        <v>5.8654801492842225E-2</v>
      </c>
      <c r="AW64" s="168">
        <f>'Propylene Recycling LC'!P167/('Propylene Recycling LC'!P$145)</f>
        <v>5.7800758057207802E-2</v>
      </c>
      <c r="AX64" s="168">
        <f>'Propylene Recycling LC'!Q167/('Propylene Recycling LC'!Q$145)</f>
        <v>5.6945661539133295E-2</v>
      </c>
      <c r="AY64" s="168">
        <f>'Propylene Recycling LC'!R167/('Propylene Recycling LC'!R$145)</f>
        <v>5.6089774811332122E-2</v>
      </c>
      <c r="AZ64" s="168">
        <f>'Propylene Recycling LC'!S167/('Propylene Recycling LC'!S$145)</f>
        <v>5.523336051184552E-2</v>
      </c>
      <c r="BA64" s="168">
        <f>'Propylene Recycling LC'!T167/('Propylene Recycling LC'!T$145)</f>
        <v>5.4376681040719584E-2</v>
      </c>
      <c r="BB64" s="168">
        <f>'Propylene Recycling LC'!U167/('Propylene Recycling LC'!U$145)</f>
        <v>5.3519998556565529E-2</v>
      </c>
      <c r="BC64" s="168">
        <f>'Propylene Recycling LC'!V167/('Propylene Recycling LC'!V$145)</f>
        <v>5.266357497299911E-2</v>
      </c>
      <c r="BD64" s="168">
        <f>'Propylene Recycling LC'!W167/('Propylene Recycling LC'!W$145)</f>
        <v>5.1807671954954886E-2</v>
      </c>
      <c r="BE64" s="168">
        <f>'Propylene Recycling LC'!X167/('Propylene Recycling LC'!X$145)</f>
        <v>5.0626419329817346E-2</v>
      </c>
      <c r="BF64" s="168">
        <f>'Propylene Recycling LC'!Y167/('Propylene Recycling LC'!Y$145)</f>
        <v>4.9433103739946277E-2</v>
      </c>
      <c r="BG64" s="168">
        <f>'Propylene Recycling LC'!Z167/('Propylene Recycling LC'!Z$145)</f>
        <v>4.8255573923441722E-2</v>
      </c>
      <c r="BH64" s="168">
        <f>'Propylene Recycling LC'!AA167/('Propylene Recycling LC'!AA$145)</f>
        <v>4.7081505353370766E-2</v>
      </c>
      <c r="BI64" s="168">
        <f>'Propylene Recycling LC'!AB167/('Propylene Recycling LC'!AB$145)</f>
        <v>4.5911301653299541E-2</v>
      </c>
      <c r="BJ64" s="168">
        <f>'Propylene Recycling LC'!AC167/('Propylene Recycling LC'!AC$145)</f>
        <v>4.4745540368976724E-2</v>
      </c>
      <c r="BK64" s="168">
        <f>'Propylene Recycling LC'!AD167/('Propylene Recycling LC'!AD$145)</f>
        <v>4.3584451521457741E-2</v>
      </c>
      <c r="BL64" s="168">
        <f>'Propylene Recycling LC'!AE167/('Propylene Recycling LC'!AE$145)</f>
        <v>4.2428433663928303E-2</v>
      </c>
      <c r="BM64" s="168">
        <f>'Propylene Recycling LC'!AF167/('Propylene Recycling LC'!AF$145)</f>
        <v>4.1277883987936206E-2</v>
      </c>
      <c r="BN64" s="168">
        <f>'Propylene Recycling LC'!AG167/('Propylene Recycling LC'!AG$145)</f>
        <v>4.0133198352128863E-2</v>
      </c>
      <c r="BP64" s="168">
        <f>'Propylene Recycling HC'!C157/('Propylene Recycling HC'!C$149)</f>
        <v>6.6295686301535608E-2</v>
      </c>
      <c r="BQ64" s="168">
        <f>'Propylene Recycling HC'!D157/('Propylene Recycling HC'!D$149)</f>
        <v>6.7556704575597093E-2</v>
      </c>
      <c r="BR64" s="168">
        <f>'Propylene Recycling HC'!E157/('Propylene Recycling HC'!E$149)</f>
        <v>6.8809152739036136E-2</v>
      </c>
      <c r="BS64" s="168">
        <f>'Propylene Recycling HC'!F157/('Propylene Recycling HC'!F$149)</f>
        <v>7.0052897788394811E-2</v>
      </c>
      <c r="BT64" s="168">
        <f>'Propylene Recycling HC'!G157/('Propylene Recycling HC'!G$149)</f>
        <v>7.1287747160627926E-2</v>
      </c>
      <c r="BU64" s="168">
        <f>'Propylene Recycling HC'!H157/('Propylene Recycling HC'!H$149)</f>
        <v>7.2513446026020487E-2</v>
      </c>
      <c r="BV64" s="168">
        <f>'Propylene Recycling HC'!I157/('Propylene Recycling HC'!I$149)</f>
        <v>7.3738005950098884E-2</v>
      </c>
      <c r="BW64" s="168">
        <f>'Propylene Recycling HC'!J157/('Propylene Recycling HC'!J$149)</f>
        <v>7.4961362138656257E-2</v>
      </c>
      <c r="BX64" s="168">
        <f>'Propylene Recycling HC'!K157/('Propylene Recycling HC'!K$149)</f>
        <v>7.6183448850533561E-2</v>
      </c>
      <c r="BY64" s="168">
        <f>'Propylene Recycling HC'!L157/('Propylene Recycling HC'!L$149)</f>
        <v>7.7404199235629398E-2</v>
      </c>
      <c r="BZ64" s="168">
        <f>'Propylene Recycling HC'!M157/('Propylene Recycling HC'!M$149)</f>
        <v>7.8623545171597337E-2</v>
      </c>
      <c r="CA64" s="168">
        <f>'Propylene Recycling HC'!N157/('Propylene Recycling HC'!N$149)</f>
        <v>7.9835554034367387E-2</v>
      </c>
      <c r="CB64" s="168">
        <f>'Propylene Recycling HC'!O157/('Propylene Recycling HC'!O$149)</f>
        <v>8.1039898892647538E-2</v>
      </c>
      <c r="CC64" s="168">
        <f>'Propylene Recycling HC'!P157/('Propylene Recycling HC'!P$149)</f>
        <v>8.223620881806934E-2</v>
      </c>
      <c r="CD64" s="168">
        <f>'Propylene Recycling HC'!Q157/('Propylene Recycling HC'!Q$149)</f>
        <v>8.3424065204563969E-2</v>
      </c>
      <c r="CE64" s="168">
        <f>'Propylene Recycling HC'!R157/('Propylene Recycling HC'!R$149)</f>
        <v>8.4602997605407362E-2</v>
      </c>
      <c r="CF64" s="168">
        <f>'Propylene Recycling HC'!S157/('Propylene Recycling HC'!S$149)</f>
        <v>8.5780561510128001E-2</v>
      </c>
      <c r="CG64" s="168">
        <f>'Propylene Recycling HC'!T157/('Propylene Recycling HC'!T$149)</f>
        <v>8.6956719750975048E-2</v>
      </c>
      <c r="CH64" s="168">
        <f>'Propylene Recycling HC'!U157/('Propylene Recycling HC'!U$149)</f>
        <v>8.8131434310107101E-2</v>
      </c>
      <c r="CI64" s="168">
        <f>'Propylene Recycling HC'!V157/('Propylene Recycling HC'!V$149)</f>
        <v>8.9304666293064938E-2</v>
      </c>
      <c r="CJ64" s="168">
        <f>'Propylene Recycling HC'!W157/('Propylene Recycling HC'!W$149)</f>
        <v>9.0476375901477266E-2</v>
      </c>
      <c r="CK64" s="168">
        <f>'Propylene Recycling HC'!X157/('Propylene Recycling HC'!X$149)</f>
        <v>9.164657696401371E-2</v>
      </c>
      <c r="CL64" s="168">
        <f>'Propylene Recycling HC'!Y157/('Propylene Recycling HC'!Y$149)</f>
        <v>9.2815231114114369E-2</v>
      </c>
      <c r="CM64" s="168">
        <f>'Propylene Recycling HC'!Z157/('Propylene Recycling HC'!Z$149)</f>
        <v>9.3982299108009482E-2</v>
      </c>
      <c r="CN64" s="168">
        <f>'Propylene Recycling HC'!AA157/('Propylene Recycling HC'!AA$149)</f>
        <v>9.5147740798970287E-2</v>
      </c>
      <c r="CO64" s="168">
        <f>'Propylene Recycling HC'!AB157/('Propylene Recycling HC'!AB$149)</f>
        <v>9.6311515110827875E-2</v>
      </c>
      <c r="CP64" s="168">
        <f>'Propylene Recycling HC'!AC157/('Propylene Recycling HC'!AC$149)</f>
        <v>9.7473631628049451E-2</v>
      </c>
      <c r="CQ64" s="168">
        <f>'Propylene Recycling HC'!AD157/('Propylene Recycling HC'!AD$149)</f>
        <v>9.8634050417687025E-2</v>
      </c>
      <c r="CR64" s="168">
        <f>'Propylene Recycling HC'!AE157/('Propylene Recycling HC'!AE$149)</f>
        <v>9.9792730638908547E-2</v>
      </c>
      <c r="CS64" s="168">
        <f>'Propylene Recycling HC'!AF157/('Propylene Recycling HC'!AF$149)</f>
        <v>0.10094963051766656</v>
      </c>
      <c r="CT64" s="168">
        <f>'Propylene Recycling HC'!AG157/('Propylene Recycling HC'!AG$149)</f>
        <v>0.10210470732066063</v>
      </c>
      <c r="CV64" s="168">
        <f t="shared" si="371"/>
        <v>6.6295686301535608E-2</v>
      </c>
      <c r="CW64" s="168">
        <f t="shared" si="370"/>
        <v>6.5782635737003978E-2</v>
      </c>
      <c r="CX64" s="168">
        <f t="shared" si="370"/>
        <v>6.5273190125912761E-2</v>
      </c>
      <c r="CY64" s="168">
        <f t="shared" si="370"/>
        <v>6.4767251559086539E-2</v>
      </c>
      <c r="CZ64" s="168">
        <f t="shared" si="370"/>
        <v>6.4264717376065442E-2</v>
      </c>
      <c r="DA64" s="168">
        <f t="shared" si="370"/>
        <v>6.3765482240332308E-2</v>
      </c>
      <c r="DB64" s="168">
        <f t="shared" si="370"/>
        <v>6.3286879673387933E-2</v>
      </c>
      <c r="DC64" s="168">
        <f t="shared" si="370"/>
        <v>6.2812004306515179E-2</v>
      </c>
      <c r="DD64" s="168">
        <f t="shared" si="370"/>
        <v>6.2340721808566091E-2</v>
      </c>
      <c r="DE64" s="168">
        <f t="shared" si="370"/>
        <v>6.1872955291874122E-2</v>
      </c>
      <c r="DF64" s="168">
        <f t="shared" si="370"/>
        <v>6.140874247875483E-2</v>
      </c>
      <c r="DG64" s="168">
        <f t="shared" si="370"/>
        <v>6.0807395951143914E-2</v>
      </c>
      <c r="DH64" s="168">
        <f t="shared" si="370"/>
        <v>6.0192588053561931E-2</v>
      </c>
      <c r="DI64" s="168">
        <f t="shared" si="370"/>
        <v>5.9628205783912688E-2</v>
      </c>
      <c r="DJ64" s="168">
        <f t="shared" si="370"/>
        <v>5.9080205539987829E-2</v>
      </c>
      <c r="DK64" s="168">
        <f t="shared" si="370"/>
        <v>5.8547959743301257E-2</v>
      </c>
      <c r="DL64" s="168">
        <f t="shared" si="370"/>
        <v>5.8028474564572621E-2</v>
      </c>
      <c r="DM64" s="168">
        <f t="shared" si="370"/>
        <v>5.7521507206547792E-2</v>
      </c>
      <c r="DN64" s="168">
        <f t="shared" si="370"/>
        <v>5.7024316401186353E-2</v>
      </c>
      <c r="DO64" s="168">
        <f t="shared" si="370"/>
        <v>5.6533756177001668E-2</v>
      </c>
      <c r="DP64" s="168">
        <f t="shared" si="370"/>
        <v>5.6046662914772019E-2</v>
      </c>
      <c r="DQ64" s="168">
        <f t="shared" si="370"/>
        <v>5.5465267866281594E-2</v>
      </c>
      <c r="DR64" s="168">
        <f t="shared" si="370"/>
        <v>5.4768954737390581E-2</v>
      </c>
      <c r="DS64" s="168">
        <f t="shared" si="370"/>
        <v>5.4094616152685786E-2</v>
      </c>
      <c r="DT64" s="168">
        <f t="shared" si="370"/>
        <v>5.3425567558101891E-2</v>
      </c>
      <c r="DU64" s="168">
        <f t="shared" si="370"/>
        <v>5.2749322349590816E-2</v>
      </c>
      <c r="DV64" s="168">
        <f t="shared" si="370"/>
        <v>5.206201118580582E-2</v>
      </c>
      <c r="DW64" s="168">
        <f t="shared" si="370"/>
        <v>5.1358756964130087E-2</v>
      </c>
      <c r="DX64" s="168">
        <f t="shared" si="370"/>
        <v>5.0635354521980203E-2</v>
      </c>
      <c r="DY64" s="168">
        <f t="shared" si="370"/>
        <v>4.9886533817402393E-2</v>
      </c>
      <c r="DZ64" s="168">
        <f t="shared" si="370"/>
        <v>4.9104802683719827E-2</v>
      </c>
    </row>
    <row r="65" spans="1:165" ht="16" thickBot="1" x14ac:dyDescent="0.25">
      <c r="A65" s="606" t="s">
        <v>454</v>
      </c>
      <c r="C65" s="54" t="s">
        <v>462</v>
      </c>
      <c r="D65" s="168">
        <f>'Propylene Recycling HC'!C182/('Propylene Recycling HC'!C$159)</f>
        <v>4.7354061643954004E-2</v>
      </c>
      <c r="E65" s="168">
        <f>'Propylene Recycling HC'!D182/('Propylene Recycling HC'!D$159)</f>
        <v>4.6528545404414028E-2</v>
      </c>
      <c r="F65" s="168">
        <f>'Propylene Recycling HC'!E182/('Propylene Recycling HC'!E$159)</f>
        <v>4.5704869901146673E-2</v>
      </c>
      <c r="G65" s="168">
        <f>'Propylene Recycling HC'!F182/('Propylene Recycling HC'!F$159)</f>
        <v>4.4883202857894065E-2</v>
      </c>
      <c r="H65" s="168">
        <f>'Propylene Recycling HC'!G182/('Propylene Recycling HC'!G$159)</f>
        <v>4.4063710716737495E-2</v>
      </c>
      <c r="I65" s="168">
        <f>'Propylene Recycling HC'!H182/('Propylene Recycling HC'!H$159)</f>
        <v>4.3246558622834351E-2</v>
      </c>
      <c r="J65" s="168">
        <f>'Propylene Recycling HC'!I182/('Propylene Recycling HC'!I$159)</f>
        <v>4.243022071399865E-2</v>
      </c>
      <c r="K65" s="168">
        <f>'Propylene Recycling HC'!J182/('Propylene Recycling HC'!J$159)</f>
        <v>4.1616082877478769E-2</v>
      </c>
      <c r="L65" s="168">
        <f>'Propylene Recycling HC'!K182/('Propylene Recycling HC'!K$159)</f>
        <v>4.0804297696326333E-2</v>
      </c>
      <c r="M65" s="168">
        <f>'Propylene Recycling HC'!L182/('Propylene Recycling HC'!L$159)</f>
        <v>3.9995017921208909E-2</v>
      </c>
      <c r="N65" s="168">
        <f>'Propylene Recycling HC'!M182/('Propylene Recycling HC'!M$159)</f>
        <v>3.918839647470105E-2</v>
      </c>
      <c r="O65" s="168">
        <f>'Propylene Recycling HC'!N182/('Propylene Recycling HC'!N$159)</f>
        <v>3.8217234301191824E-2</v>
      </c>
      <c r="P65" s="168">
        <f>'Propylene Recycling HC'!O182/('Propylene Recycling HC'!O$159)</f>
        <v>3.7250559810645269E-2</v>
      </c>
      <c r="Q65" s="168">
        <f>'Propylene Recycling HC'!P182/('Propylene Recycling HC'!P$159)</f>
        <v>3.6289801940300272E-2</v>
      </c>
      <c r="R65" s="168">
        <f>'Propylene Recycling HC'!Q182/('Propylene Recycling HC'!Q$159)</f>
        <v>3.5334715835457872E-2</v>
      </c>
      <c r="S65" s="168">
        <f>'Propylene Recycling HC'!R182/('Propylene Recycling HC'!R$159)</f>
        <v>3.4385632637921895E-2</v>
      </c>
      <c r="T65" s="168">
        <f>'Propylene Recycling HC'!S182/('Propylene Recycling HC'!S$159)</f>
        <v>3.3442882548366012E-2</v>
      </c>
      <c r="U65" s="168">
        <f>'Propylene Recycling HC'!T182/('Propylene Recycling HC'!T$159)</f>
        <v>3.2506794796356486E-2</v>
      </c>
      <c r="V65" s="168">
        <f>'Propylene Recycling HC'!U182/('Propylene Recycling HC'!U$159)</f>
        <v>3.1577697608896352E-2</v>
      </c>
      <c r="W65" s="168">
        <f>'Propylene Recycling HC'!V182/('Propylene Recycling HC'!V$159)</f>
        <v>3.0655918177411194E-2</v>
      </c>
      <c r="X65" s="168">
        <f>'Propylene Recycling HC'!W182/('Propylene Recycling HC'!W$159)</f>
        <v>2.9741782623091632E-2</v>
      </c>
      <c r="Y65" s="168">
        <f>'Propylene Recycling HC'!X182/('Propylene Recycling HC'!X$159)</f>
        <v>2.863848231158939E-2</v>
      </c>
      <c r="Z65" s="168">
        <f>'Propylene Recycling HC'!Y182/('Propylene Recycling HC'!Y$159)</f>
        <v>2.7542889391031226E-2</v>
      </c>
      <c r="AA65" s="168">
        <f>'Propylene Recycling HC'!Z182/('Propylene Recycling HC'!Z$159)</f>
        <v>2.6462806199639713E-2</v>
      </c>
      <c r="AB65" s="168">
        <f>'Propylene Recycling HC'!AA182/('Propylene Recycling HC'!AA$159)</f>
        <v>2.5396344362922613E-2</v>
      </c>
      <c r="AC65" s="168">
        <f>'Propylene Recycling HC'!AB182/('Propylene Recycling HC'!AB$159)</f>
        <v>2.4343990279324761E-2</v>
      </c>
      <c r="AD65" s="168">
        <f>'Propylene Recycling HC'!AC182/('Propylene Recycling HC'!AC$159)</f>
        <v>2.3305872395366738E-2</v>
      </c>
      <c r="AE65" s="168">
        <f>'Propylene Recycling HC'!AD182/('Propylene Recycling HC'!AD$159)</f>
        <v>2.2282784757538848E-2</v>
      </c>
      <c r="AF65" s="168">
        <f>'Propylene Recycling HC'!AE182/('Propylene Recycling HC'!AE$159)</f>
        <v>2.1275209854357068E-2</v>
      </c>
      <c r="AG65" s="168">
        <f>'Propylene Recycling HC'!AF182/('Propylene Recycling HC'!AF$159)</f>
        <v>2.0283629050596753E-2</v>
      </c>
      <c r="AH65" s="168">
        <f>'Propylene Recycling HC'!AG182/('Propylene Recycling HC'!AG$159)</f>
        <v>1.9308522600112302E-2</v>
      </c>
      <c r="AI65" s="44"/>
      <c r="AJ65" s="168">
        <f>'Propylene Recycling LC'!C168/('Propylene Recycling LC'!C$145)</f>
        <v>4.7354061643954004E-2</v>
      </c>
      <c r="AK65" s="168">
        <f>'Propylene Recycling LC'!D168/('Propylene Recycling LC'!D$145)</f>
        <v>4.6529861030313521E-2</v>
      </c>
      <c r="AL65" s="168">
        <f>'Propylene Recycling LC'!E168/('Propylene Recycling LC'!E$145)</f>
        <v>4.5707653706337198E-2</v>
      </c>
      <c r="AM65" s="168">
        <f>'Propylene Recycling LC'!F168/('Propylene Recycling LC'!F$145)</f>
        <v>4.4887605426606261E-2</v>
      </c>
      <c r="AN65" s="168">
        <f>'Propylene Recycling LC'!G168/('Propylene Recycling LC'!G$145)</f>
        <v>4.4069880335008367E-2</v>
      </c>
      <c r="AO65" s="168">
        <f>'Propylene Recycling LC'!H168/('Propylene Recycling LC'!H$145)</f>
        <v>4.3254640949407883E-2</v>
      </c>
      <c r="AP65" s="168">
        <f>'Propylene Recycling LC'!I168/('Propylene Recycling LC'!I$145)</f>
        <v>4.2445039764611725E-2</v>
      </c>
      <c r="AQ65" s="168">
        <f>'Propylene Recycling LC'!J168/('Propylene Recycling LC'!J$145)</f>
        <v>4.1638203719915452E-2</v>
      </c>
      <c r="AR65" s="168">
        <f>'Propylene Recycling LC'!K168/('Propylene Recycling LC'!K$145)</f>
        <v>4.0834277873370746E-2</v>
      </c>
      <c r="AS65" s="168">
        <f>'Propylene Recycling LC'!L168/('Propylene Recycling LC'!L$145)</f>
        <v>4.00334062540302E-2</v>
      </c>
      <c r="AT65" s="168">
        <f>'Propylene Recycling LC'!M168/('Propylene Recycling LC'!M$145)</f>
        <v>3.9235731845185653E-2</v>
      </c>
      <c r="AU65" s="168">
        <f>'Propylene Recycling LC'!N168/('Propylene Recycling LC'!N$145)</f>
        <v>3.8277924582807467E-2</v>
      </c>
      <c r="AV65" s="168">
        <f>'Propylene Recycling LC'!O168/('Propylene Recycling LC'!O$145)</f>
        <v>3.7325782768172326E-2</v>
      </c>
      <c r="AW65" s="168">
        <f>'Propylene Recycling LC'!P168/('Propylene Recycling LC'!P$145)</f>
        <v>3.6382203041085109E-2</v>
      </c>
      <c r="AX65" s="168">
        <f>'Propylene Recycling LC'!Q168/('Propylene Recycling LC'!Q$145)</f>
        <v>3.5445768917215618E-2</v>
      </c>
      <c r="AY65" s="168">
        <f>'Propylene Recycling LC'!R168/('Propylene Recycling LC'!R$145)</f>
        <v>3.4516784499281306E-2</v>
      </c>
      <c r="AZ65" s="168">
        <f>'Propylene Recycling LC'!S168/('Propylene Recycling LC'!S$145)</f>
        <v>3.3595549177308101E-2</v>
      </c>
      <c r="BA65" s="168">
        <f>'Propylene Recycling LC'!T168/('Propylene Recycling LC'!T$145)</f>
        <v>3.2682357516701926E-2</v>
      </c>
      <c r="BB65" s="168">
        <f>'Propylene Recycling LC'!U168/('Propylene Recycling LC'!U$145)</f>
        <v>3.1777499142960783E-2</v>
      </c>
      <c r="BC65" s="168">
        <f>'Propylene Recycling LC'!V168/('Propylene Recycling LC'!V$145)</f>
        <v>3.0881258622910468E-2</v>
      </c>
      <c r="BD65" s="168">
        <f>'Propylene Recycling LC'!W168/('Propylene Recycling LC'!W$145)</f>
        <v>2.99939153423423E-2</v>
      </c>
      <c r="BE65" s="168">
        <f>'Propylene Recycling LC'!X168/('Propylene Recycling LC'!X$145)</f>
        <v>2.8929382474181333E-2</v>
      </c>
      <c r="BF65" s="168">
        <f>'Propylene Recycling LC'!Y168/('Propylene Recycling LC'!Y$145)</f>
        <v>2.7871856364012258E-2</v>
      </c>
      <c r="BG65" s="168">
        <f>'Propylene Recycling LC'!Z168/('Propylene Recycling LC'!Z$145)</f>
        <v>2.6837324534962233E-2</v>
      </c>
      <c r="BH65" s="168">
        <f>'Propylene Recycling LC'!AA168/('Propylene Recycling LC'!AA$145)</f>
        <v>2.5818890032493637E-2</v>
      </c>
      <c r="BI65" s="168">
        <f>'Propylene Recycling LC'!AB168/('Propylene Recycling LC'!AB$145)</f>
        <v>2.4816919812594332E-2</v>
      </c>
      <c r="BJ65" s="168">
        <f>'Propylene Recycling LC'!AC168/('Propylene Recycling LC'!AC$145)</f>
        <v>2.3831863892172369E-2</v>
      </c>
      <c r="BK65" s="168">
        <f>'Propylene Recycling LC'!AD168/('Propylene Recycling LC'!AD$145)</f>
        <v>2.2863974568633549E-2</v>
      </c>
      <c r="BL65" s="168">
        <f>'Propylene Recycling LC'!AE168/('Propylene Recycling LC'!AE$145)</f>
        <v>2.1913586617633277E-2</v>
      </c>
      <c r="BM65" s="168">
        <f>'Propylene Recycling LC'!AF168/('Propylene Recycling LC'!AF$145)</f>
        <v>2.0981023905470315E-2</v>
      </c>
      <c r="BN65" s="168">
        <f>'Propylene Recycling LC'!AG168/('Propylene Recycling LC'!AG$145)</f>
        <v>2.0066599176064431E-2</v>
      </c>
      <c r="BP65" s="168">
        <f>'Propylene Recycling HC'!C158/('Propylene Recycling HC'!C$149)</f>
        <v>4.7354061643954004E-2</v>
      </c>
      <c r="BQ65" s="168">
        <f>'Propylene Recycling HC'!D158/('Propylene Recycling HC'!D$149)</f>
        <v>4.8092284548203364E-2</v>
      </c>
      <c r="BR65" s="168">
        <f>'Propylene Recycling HC'!E158/('Propylene Recycling HC'!E$149)</f>
        <v>4.8824141465566087E-2</v>
      </c>
      <c r="BS65" s="168">
        <f>'Propylene Recycling HC'!F158/('Propylene Recycling HC'!F$149)</f>
        <v>4.9549610630815852E-2</v>
      </c>
      <c r="BT65" s="168">
        <f>'Propylene Recycling HC'!G158/('Propylene Recycling HC'!G$149)</f>
        <v>5.0268624551988085E-2</v>
      </c>
      <c r="BU65" s="168">
        <f>'Propylene Recycling HC'!H158/('Propylene Recycling HC'!H$149)</f>
        <v>5.098106904012796E-2</v>
      </c>
      <c r="BV65" s="168">
        <f>'Propylene Recycling HC'!I158/('Propylene Recycling HC'!I$149)</f>
        <v>5.1692622727904383E-2</v>
      </c>
      <c r="BW65" s="168">
        <f>'Propylene Recycling HC'!J158/('Propylene Recycling HC'!J$149)</f>
        <v>5.2403251469711545E-2</v>
      </c>
      <c r="BX65" s="168">
        <f>'Propylene Recycling HC'!K158/('Propylene Recycling HC'!K$149)</f>
        <v>5.3112920246877825E-2</v>
      </c>
      <c r="BY65" s="168">
        <f>'Propylene Recycling HC'!L158/('Propylene Recycling HC'!L$149)</f>
        <v>5.3821593080302536E-2</v>
      </c>
      <c r="BZ65" s="168">
        <f>'Propylene Recycling HC'!M158/('Propylene Recycling HC'!M$149)</f>
        <v>5.4529232941591725E-2</v>
      </c>
      <c r="CA65" s="168">
        <f>'Propylene Recycling HC'!N158/('Propylene Recycling HC'!N$149)</f>
        <v>5.5231745483664836E-2</v>
      </c>
      <c r="CB65" s="168">
        <f>'Propylene Recycling HC'!O158/('Propylene Recycling HC'!O$149)</f>
        <v>5.5928944306193398E-2</v>
      </c>
      <c r="CC65" s="168">
        <f>'Propylene Recycling HC'!P158/('Propylene Recycling HC'!P$149)</f>
        <v>5.6620612547830358E-2</v>
      </c>
      <c r="CD65" s="168">
        <f>'Propylene Recycling HC'!Q158/('Propylene Recycling HC'!Q$149)</f>
        <v>5.7306500718028786E-2</v>
      </c>
      <c r="CE65" s="168">
        <f>'Propylene Recycling HC'!R158/('Propylene Recycling HC'!R$149)</f>
        <v>5.7986324201459015E-2</v>
      </c>
      <c r="CF65" s="168">
        <f>'Propylene Recycling HC'!S158/('Propylene Recycling HC'!S$149)</f>
        <v>5.8665288004710915E-2</v>
      </c>
      <c r="CG65" s="168">
        <f>'Propylene Recycling HC'!T158/('Propylene Recycling HC'!T$149)</f>
        <v>5.9343369560570784E-2</v>
      </c>
      <c r="CH65" s="168">
        <f>'Propylene Recycling HC'!U158/('Propylene Recycling HC'!U$149)</f>
        <v>6.0020545780159203E-2</v>
      </c>
      <c r="CI65" s="168">
        <f>'Propylene Recycling HC'!V158/('Propylene Recycling HC'!V$149)</f>
        <v>6.0696793036888269E-2</v>
      </c>
      <c r="CJ65" s="168">
        <f>'Propylene Recycling HC'!W158/('Propylene Recycling HC'!W$149)</f>
        <v>6.137208714995316E-2</v>
      </c>
      <c r="CK65" s="168">
        <f>'Propylene Recycling HC'!X158/('Propylene Recycling HC'!X$149)</f>
        <v>6.2046440304829205E-2</v>
      </c>
      <c r="CL65" s="168">
        <f>'Propylene Recycling HC'!Y158/('Propylene Recycling HC'!Y$149)</f>
        <v>6.2719829199728586E-2</v>
      </c>
      <c r="CM65" s="168">
        <f>'Propylene Recycling HC'!Z158/('Propylene Recycling HC'!Z$149)</f>
        <v>6.3392229996861879E-2</v>
      </c>
      <c r="CN65" s="168">
        <f>'Propylene Recycling HC'!AA158/('Propylene Recycling HC'!AA$149)</f>
        <v>6.4063618306876485E-2</v>
      </c>
      <c r="CO65" s="168">
        <f>'Propylene Recycling HC'!AB158/('Propylene Recycling HC'!AB$149)</f>
        <v>6.4733969172851596E-2</v>
      </c>
      <c r="CP65" s="168">
        <f>'Propylene Recycling HC'!AC158/('Propylene Recycling HC'!AC$149)</f>
        <v>6.5403291688250875E-2</v>
      </c>
      <c r="CQ65" s="168">
        <f>'Propylene Recycling HC'!AD158/('Propylene Recycling HC'!AD$149)</f>
        <v>6.6071561604170451E-2</v>
      </c>
      <c r="CR65" s="168">
        <f>'Propylene Recycling HC'!AE158/('Propylene Recycling HC'!AE$149)</f>
        <v>6.6738754118815038E-2</v>
      </c>
      <c r="CS65" s="168">
        <f>'Propylene Recycling HC'!AF158/('Propylene Recycling HC'!AF$149)</f>
        <v>6.7404843862202177E-2</v>
      </c>
      <c r="CT65" s="168">
        <f>'Propylene Recycling HC'!AG158/('Propylene Recycling HC'!AG$149)</f>
        <v>6.8069804880440413E-2</v>
      </c>
      <c r="CV65" s="168">
        <f t="shared" si="371"/>
        <v>4.7354061643954004E-2</v>
      </c>
      <c r="CW65" s="168">
        <f t="shared" si="370"/>
        <v>4.6582919086490857E-2</v>
      </c>
      <c r="CX65" s="168">
        <f t="shared" si="370"/>
        <v>4.5816758453765684E-2</v>
      </c>
      <c r="CY65" s="168">
        <f t="shared" si="370"/>
        <v>4.5055479345451503E-2</v>
      </c>
      <c r="CZ65" s="168">
        <f t="shared" si="370"/>
        <v>4.4298979938841222E-2</v>
      </c>
      <c r="DA65" s="168">
        <f t="shared" si="370"/>
        <v>4.3547158603153772E-2</v>
      </c>
      <c r="DB65" s="168">
        <f t="shared" si="370"/>
        <v>4.2811712720233014E-2</v>
      </c>
      <c r="DC65" s="168">
        <f t="shared" si="370"/>
        <v>4.2080948697960911E-2</v>
      </c>
      <c r="DD65" s="168">
        <f t="shared" si="370"/>
        <v>4.1354736249246814E-2</v>
      </c>
      <c r="DE65" s="168">
        <f t="shared" si="370"/>
        <v>4.0632985564812867E-2</v>
      </c>
      <c r="DF65" s="168">
        <f t="shared" si="370"/>
        <v>3.9915682611190641E-2</v>
      </c>
      <c r="DG65" s="168">
        <f t="shared" si="370"/>
        <v>3.9112294883147845E-2</v>
      </c>
      <c r="DH65" s="168">
        <f t="shared" si="370"/>
        <v>3.8304374215903055E-2</v>
      </c>
      <c r="DI65" s="168">
        <f t="shared" si="370"/>
        <v>3.7532474706625241E-2</v>
      </c>
      <c r="DJ65" s="168">
        <f t="shared" si="370"/>
        <v>3.6774413652441398E-2</v>
      </c>
      <c r="DK65" s="168">
        <f t="shared" si="370"/>
        <v>3.602951368818539E-2</v>
      </c>
      <c r="DL65" s="168">
        <f t="shared" si="370"/>
        <v>3.5295670095977158E-2</v>
      </c>
      <c r="DM65" s="168">
        <f t="shared" si="370"/>
        <v>3.4572512103417323E-2</v>
      </c>
      <c r="DN65" s="168">
        <f t="shared" si="370"/>
        <v>3.3858187863204402E-2</v>
      </c>
      <c r="DO65" s="168">
        <f t="shared" si="370"/>
        <v>3.3150684250388411E-2</v>
      </c>
      <c r="DP65" s="168">
        <f t="shared" si="370"/>
        <v>3.244806800328906E-2</v>
      </c>
      <c r="DQ65" s="168">
        <f t="shared" si="370"/>
        <v>3.1694438780732331E-2</v>
      </c>
      <c r="DR65" s="168">
        <f t="shared" si="370"/>
        <v>3.0880368096613837E-2</v>
      </c>
      <c r="DS65" s="168">
        <f t="shared" si="370"/>
        <v>3.0084706309515079E-2</v>
      </c>
      <c r="DT65" s="168">
        <f t="shared" si="370"/>
        <v>2.9297891886701028E-2</v>
      </c>
      <c r="DU65" s="168">
        <f t="shared" si="370"/>
        <v>2.8513147215995016E-2</v>
      </c>
      <c r="DV65" s="168">
        <f t="shared" si="370"/>
        <v>2.7728679870700899E-2</v>
      </c>
      <c r="DW65" s="168">
        <f t="shared" si="370"/>
        <v>2.6942298735281332E-2</v>
      </c>
      <c r="DX65" s="168">
        <f t="shared" si="370"/>
        <v>2.6152325961901833E-2</v>
      </c>
      <c r="DY65" s="168">
        <f t="shared" si="370"/>
        <v>2.5356691222105057E-2</v>
      </c>
      <c r="DZ65" s="168">
        <f t="shared" si="370"/>
        <v>2.4552401341859913E-2</v>
      </c>
    </row>
    <row r="66" spans="1:165" s="624" customFormat="1" ht="16" thickBot="1" x14ac:dyDescent="0.25">
      <c r="A66" s="623" t="s">
        <v>463</v>
      </c>
      <c r="C66" s="625" t="s">
        <v>413</v>
      </c>
      <c r="D66" s="627">
        <f>SUMPRODUCT(D47:D55,D57:D65)</f>
        <v>0.98265006202422689</v>
      </c>
      <c r="E66" s="627">
        <f t="shared" ref="E66" si="372">SUMPRODUCT(E47:E55,E57:E65)</f>
        <v>0.98389979137885719</v>
      </c>
      <c r="F66" s="627">
        <f t="shared" ref="F66" si="373">SUMPRODUCT(F47:F55,F57:F65)</f>
        <v>0.98539832501425573</v>
      </c>
      <c r="G66" s="627">
        <f t="shared" ref="G66" si="374">SUMPRODUCT(G47:G55,G57:G65)</f>
        <v>0.9871260175440808</v>
      </c>
      <c r="H66" s="627">
        <f t="shared" ref="H66" si="375">SUMPRODUCT(H47:H55,H57:H65)</f>
        <v>0.98905330639793165</v>
      </c>
      <c r="I66" s="627">
        <f t="shared" ref="I66" si="376">SUMPRODUCT(I47:I55,I57:I65)</f>
        <v>0.99113133972291778</v>
      </c>
      <c r="J66" s="627">
        <f t="shared" ref="J66" si="377">SUMPRODUCT(J47:J55,J57:J65)</f>
        <v>0.99325009649277773</v>
      </c>
      <c r="K66" s="627">
        <f t="shared" ref="K66" si="378">SUMPRODUCT(K47:K55,K57:K65)</f>
        <v>0.99526995878004076</v>
      </c>
      <c r="L66" s="627">
        <f t="shared" ref="L66" si="379">SUMPRODUCT(L47:L55,L57:L65)</f>
        <v>0.99691238654710146</v>
      </c>
      <c r="M66" s="627">
        <f t="shared" ref="M66" si="380">SUMPRODUCT(M47:M55,M57:M65)</f>
        <v>0.99769166037017554</v>
      </c>
      <c r="N66" s="627">
        <f t="shared" ref="N66" si="381">SUMPRODUCT(N47:N55,N57:N65)</f>
        <v>0.99680441402784381</v>
      </c>
      <c r="O66" s="627">
        <f t="shared" ref="O66" si="382">SUMPRODUCT(O47:O55,O57:O65)</f>
        <v>0.98997637451580656</v>
      </c>
      <c r="P66" s="627">
        <f t="shared" ref="P66" si="383">SUMPRODUCT(P47:P55,P57:P65)</f>
        <v>0.97834087171413553</v>
      </c>
      <c r="Q66" s="627">
        <f t="shared" ref="Q66" si="384">SUMPRODUCT(Q47:Q55,Q57:Q65)</f>
        <v>0.95998567034957549</v>
      </c>
      <c r="R66" s="627">
        <f t="shared" ref="R66" si="385">SUMPRODUCT(R47:R55,R57:R65)</f>
        <v>0.93321367544190215</v>
      </c>
      <c r="S66" s="627">
        <f t="shared" ref="S66" si="386">SUMPRODUCT(S47:S55,S57:S65)</f>
        <v>0.89730950407492815</v>
      </c>
      <c r="T66" s="627">
        <f t="shared" ref="T66" si="387">SUMPRODUCT(T47:T55,T57:T65)</f>
        <v>0.85311229907606112</v>
      </c>
      <c r="U66" s="627">
        <f t="shared" ref="U66" si="388">SUMPRODUCT(U47:U55,U57:U65)</f>
        <v>0.80303330490168223</v>
      </c>
      <c r="V66" s="627">
        <f t="shared" ref="V66" si="389">SUMPRODUCT(V47:V55,V57:V65)</f>
        <v>0.75037476255875268</v>
      </c>
      <c r="W66" s="627">
        <f t="shared" ref="W66" si="390">SUMPRODUCT(W47:W55,W57:W65)</f>
        <v>0.69835117454943541</v>
      </c>
      <c r="X66" s="627">
        <f t="shared" ref="X66" si="391">SUMPRODUCT(X47:X55,X57:X65)</f>
        <v>0.64934068086457719</v>
      </c>
      <c r="Y66" s="627">
        <f t="shared" ref="Y66" si="392">SUMPRODUCT(Y47:Y55,Y57:Y65)</f>
        <v>0.60113191943251665</v>
      </c>
      <c r="Z66" s="627">
        <f t="shared" ref="Z66" si="393">SUMPRODUCT(Z47:Z55,Z57:Z65)</f>
        <v>0.557676016057153</v>
      </c>
      <c r="AA66" s="627">
        <f t="shared" ref="AA66" si="394">SUMPRODUCT(AA47:AA55,AA57:AA65)</f>
        <v>0.51877406542702365</v>
      </c>
      <c r="AB66" s="627">
        <f t="shared" ref="AB66" si="395">SUMPRODUCT(AB47:AB55,AB57:AB65)</f>
        <v>0.48374026581093044</v>
      </c>
      <c r="AC66" s="627">
        <f t="shared" ref="AC66" si="396">SUMPRODUCT(AC47:AC55,AC57:AC65)</f>
        <v>0.45183697098888098</v>
      </c>
      <c r="AD66" s="627">
        <f t="shared" ref="AD66" si="397">SUMPRODUCT(AD47:AD55,AD57:AD65)</f>
        <v>0.42234802205050626</v>
      </c>
      <c r="AE66" s="627">
        <f t="shared" ref="AE66" si="398">SUMPRODUCT(AE47:AE55,AE57:AE65)</f>
        <v>0.39464537479720241</v>
      </c>
      <c r="AF66" s="627">
        <f t="shared" ref="AF66" si="399">SUMPRODUCT(AF47:AF55,AF57:AF65)</f>
        <v>0.36818437272541288</v>
      </c>
      <c r="AG66" s="627">
        <f t="shared" ref="AG66" si="400">SUMPRODUCT(AG47:AG55,AG57:AG65)</f>
        <v>0.34251405915254801</v>
      </c>
      <c r="AH66" s="627">
        <f t="shared" ref="AH66" si="401">SUMPRODUCT(AH47:AH55,AH57:AH65)</f>
        <v>0.31718465566102327</v>
      </c>
      <c r="AI66" s="626"/>
      <c r="AJ66" s="627">
        <f>SUMPRODUCT(AJ47:AJ55,AJ57:AJ65)</f>
        <v>0.9826494956942956</v>
      </c>
      <c r="AK66" s="627">
        <f t="shared" ref="AK66" si="402">SUMPRODUCT(AK47:AK55,AK57:AK65)</f>
        <v>0.98391336198096024</v>
      </c>
      <c r="AL66" s="627">
        <f t="shared" ref="AL66" si="403">SUMPRODUCT(AL47:AL55,AL57:AL65)</f>
        <v>0.98542882037387458</v>
      </c>
      <c r="AM66" s="627">
        <f t="shared" ref="AM66" si="404">SUMPRODUCT(AM47:AM55,AM57:AM65)</f>
        <v>0.98717607991075795</v>
      </c>
      <c r="AN66" s="627">
        <f t="shared" ref="AN66" si="405">SUMPRODUCT(AN47:AN55,AN57:AN65)</f>
        <v>0.98912501030644251</v>
      </c>
      <c r="AO66" s="627">
        <f t="shared" ref="AO66" si="406">SUMPRODUCT(AO47:AO55,AO57:AO65)</f>
        <v>0.99122541342828785</v>
      </c>
      <c r="AP66" s="627">
        <f t="shared" ref="AP66" si="407">SUMPRODUCT(AP47:AP55,AP57:AP65)</f>
        <v>0.99343178715249536</v>
      </c>
      <c r="AQ66" s="627">
        <f t="shared" ref="AQ66" si="408">SUMPRODUCT(AQ47:AQ55,AQ57:AQ65)</f>
        <v>0.99554537289725165</v>
      </c>
      <c r="AR66" s="627">
        <f t="shared" ref="AR66" si="409">SUMPRODUCT(AR47:AR55,AR57:AR65)</f>
        <v>0.99728010348625307</v>
      </c>
      <c r="AS66" s="627">
        <f t="shared" ref="AS66" si="410">SUMPRODUCT(AS47:AS55,AS57:AS65)</f>
        <v>0.99813723402195131</v>
      </c>
      <c r="AT66" s="627">
        <f t="shared" ref="AT66" si="411">SUMPRODUCT(AT47:AT55,AT57:AT65)</f>
        <v>0.99729166521123258</v>
      </c>
      <c r="AU66" s="627">
        <f t="shared" ref="AU66" si="412">SUMPRODUCT(AU47:AU55,AU57:AU65)</f>
        <v>0.99052778031825395</v>
      </c>
      <c r="AV66" s="627">
        <f t="shared" ref="AV66" si="413">SUMPRODUCT(AV47:AV55,AV57:AV65)</f>
        <v>0.97888856364430032</v>
      </c>
      <c r="AW66" s="627">
        <f t="shared" ref="AW66" si="414">SUMPRODUCT(AW47:AW55,AW57:AW65)</f>
        <v>0.96046134220032742</v>
      </c>
      <c r="AX66" s="627">
        <f t="shared" ref="AX66" si="415">SUMPRODUCT(AX47:AX55,AX57:AX65)</f>
        <v>0.93350181933806753</v>
      </c>
      <c r="AY66" s="627">
        <f t="shared" ref="AY66" si="416">SUMPRODUCT(AY47:AY55,AY57:AY65)</f>
        <v>0.89727902412433269</v>
      </c>
      <c r="AZ66" s="627">
        <f t="shared" ref="AZ66" si="417">SUMPRODUCT(AZ47:AZ55,AZ57:AZ65)</f>
        <v>0.85264296106659276</v>
      </c>
      <c r="BA66" s="627">
        <f t="shared" ref="BA66" si="418">SUMPRODUCT(BA47:BA55,BA57:BA65)</f>
        <v>0.80205093062076882</v>
      </c>
      <c r="BB66" s="627">
        <f t="shared" ref="BB66" si="419">SUMPRODUCT(BB47:BB55,BB57:BB65)</f>
        <v>0.74889019023434367</v>
      </c>
      <c r="BC66" s="627">
        <f t="shared" ref="BC66" si="420">SUMPRODUCT(BC47:BC55,BC57:BC65)</f>
        <v>0.69648095158258605</v>
      </c>
      <c r="BD66" s="627">
        <f t="shared" ref="BD66" si="421">SUMPRODUCT(BD47:BD55,BD57:BD65)</f>
        <v>0.64729806967393033</v>
      </c>
      <c r="BE66" s="627">
        <f t="shared" ref="BE66" si="422">SUMPRODUCT(BE47:BE55,BE57:BE65)</f>
        <v>0.59959148695987541</v>
      </c>
      <c r="BF66" s="627">
        <f t="shared" ref="BF66" si="423">SUMPRODUCT(BF47:BF55,BF57:BF65)</f>
        <v>0.55690818423901423</v>
      </c>
      <c r="BG66" s="627">
        <f t="shared" ref="BG66" si="424">SUMPRODUCT(BG47:BG55,BG57:BG65)</f>
        <v>0.51914134988274607</v>
      </c>
      <c r="BH66" s="627">
        <f t="shared" ref="BH66" si="425">SUMPRODUCT(BH47:BH55,BH57:BH65)</f>
        <v>0.48547606301271046</v>
      </c>
      <c r="BI66" s="627">
        <f t="shared" ref="BI66" si="426">SUMPRODUCT(BI47:BI55,BI57:BI65)</f>
        <v>0.45512340642317378</v>
      </c>
      <c r="BJ66" s="627">
        <f t="shared" ref="BJ66" si="427">SUMPRODUCT(BJ47:BJ55,BJ57:BJ65)</f>
        <v>0.42733302655647987</v>
      </c>
      <c r="BK66" s="627">
        <f t="shared" ref="BK66" si="428">SUMPRODUCT(BK47:BK55,BK57:BK65)</f>
        <v>0.40144409175795948</v>
      </c>
      <c r="BL66" s="627">
        <f t="shared" ref="BL66" si="429">SUMPRODUCT(BL47:BL55,BL57:BL65)</f>
        <v>0.37690128454770105</v>
      </c>
      <c r="BM66" s="627">
        <f t="shared" ref="BM66" si="430">SUMPRODUCT(BM47:BM55,BM57:BM65)</f>
        <v>0.35324878632021911</v>
      </c>
      <c r="BN66" s="627">
        <f t="shared" ref="BN66" si="431">SUMPRODUCT(BN47:BN55,BN57:BN65)</f>
        <v>0.33012776836663926</v>
      </c>
      <c r="BP66" s="627">
        <f>SUMPRODUCT(BP47:BP55,BP57:BP65)</f>
        <v>0.98265836376166216</v>
      </c>
      <c r="BQ66" s="627">
        <f t="shared" ref="BQ66" si="432">SUMPRODUCT(BQ47:BQ55,BQ57:BQ65)</f>
        <v>0.99446246014899087</v>
      </c>
      <c r="BR66" s="627">
        <f t="shared" ref="BR66" si="433">SUMPRODUCT(BR47:BR55,BR57:BR65)</f>
        <v>1.0062049518102754</v>
      </c>
      <c r="BS66" s="627">
        <f t="shared" ref="BS66" si="434">SUMPRODUCT(BS47:BS55,BS57:BS65)</f>
        <v>1.0178838194457653</v>
      </c>
      <c r="BT66" s="627">
        <f t="shared" ref="BT66" si="435">SUMPRODUCT(BT47:BT55,BT57:BT65)</f>
        <v>1.0294966361205569</v>
      </c>
      <c r="BU66" s="627">
        <f t="shared" ref="BU66" si="436">SUMPRODUCT(BU47:BU55,BU57:BU65)</f>
        <v>1.0410405334422612</v>
      </c>
      <c r="BV66" s="627">
        <f t="shared" ref="BV66" si="437">SUMPRODUCT(BV47:BV55,BV57:BV65)</f>
        <v>1.0525768617666698</v>
      </c>
      <c r="BW66" s="627">
        <f t="shared" ref="BW66" si="438">SUMPRODUCT(BW47:BW55,BW57:BW65)</f>
        <v>1.0641049623127548</v>
      </c>
      <c r="BX66" s="627">
        <f t="shared" ref="BX66" si="439">SUMPRODUCT(BX47:BX55,BX57:BX65)</f>
        <v>1.0756241718341921</v>
      </c>
      <c r="BY66" s="627">
        <f t="shared" ref="BY66" si="440">SUMPRODUCT(BY47:BY55,BY57:BY65)</f>
        <v>1.0871338209999268</v>
      </c>
      <c r="BZ66" s="627">
        <f t="shared" ref="BZ66" si="441">SUMPRODUCT(BZ47:BZ55,BZ57:BZ65)</f>
        <v>1.0986332327725536</v>
      </c>
      <c r="CA66" s="627">
        <f t="shared" ref="CA66" si="442">SUMPRODUCT(CA47:CA55,CA57:CA65)</f>
        <v>1.1100754485020263</v>
      </c>
      <c r="CB66" s="627">
        <f t="shared" ref="CB66" si="443">SUMPRODUCT(CB47:CB55,CB57:CB65)</f>
        <v>1.1214573389705509</v>
      </c>
      <c r="CC66" s="627">
        <f t="shared" ref="CC66" si="444">SUMPRODUCT(CC47:CC55,CC57:CC65)</f>
        <v>1.1327754280456883</v>
      </c>
      <c r="CD66" s="627">
        <f t="shared" ref="CD66" si="445">SUMPRODUCT(CD47:CD55,CD57:CD65)</f>
        <v>1.1440258584129204</v>
      </c>
      <c r="CE66" s="627">
        <f t="shared" ref="CE66" si="446">SUMPRODUCT(CE47:CE55,CE57:CE65)</f>
        <v>1.1552043534148417</v>
      </c>
      <c r="CF66" s="627">
        <f t="shared" ref="CF66" si="447">SUMPRODUCT(CF47:CF55,CF57:CF65)</f>
        <v>1.1663708462145934</v>
      </c>
      <c r="CG66" s="627">
        <f t="shared" ref="CG66" si="448">SUMPRODUCT(CG47:CG55,CG57:CG65)</f>
        <v>1.1775250000534667</v>
      </c>
      <c r="CH66" s="627">
        <f t="shared" ref="CH66" si="449">SUMPRODUCT(CH47:CH55,CH57:CH65)</f>
        <v>1.1886664705466163</v>
      </c>
      <c r="CI66" s="627">
        <f t="shared" ref="CI66" si="450">SUMPRODUCT(CI47:CI55,CI57:CI65)</f>
        <v>1.1997949054418275</v>
      </c>
      <c r="CJ66" s="627">
        <f t="shared" ref="CJ66" si="451">SUMPRODUCT(CJ47:CJ55,CJ57:CJ65)</f>
        <v>1.2109099443713376</v>
      </c>
      <c r="CK66" s="627">
        <f t="shared" ref="CK66" si="452">SUMPRODUCT(CK47:CK55,CK57:CK65)</f>
        <v>1.2220116603308468</v>
      </c>
      <c r="CL66" s="627">
        <f t="shared" ref="CL66" si="453">SUMPRODUCT(CL47:CL55,CL57:CL65)</f>
        <v>1.2330997057921804</v>
      </c>
      <c r="CM66" s="627">
        <f t="shared" ref="CM66" si="454">SUMPRODUCT(CM47:CM55,CM57:CM65)</f>
        <v>1.2441737253259075</v>
      </c>
      <c r="CN66" s="627">
        <f t="shared" ref="CN66" si="455">SUMPRODUCT(CN47:CN55,CN57:CN65)</f>
        <v>1.2552333553670438</v>
      </c>
      <c r="CO66" s="627">
        <f t="shared" ref="CO66" si="456">SUMPRODUCT(CO47:CO55,CO57:CO65)</f>
        <v>1.2662782239741013</v>
      </c>
      <c r="CP66" s="627">
        <f t="shared" ref="CP66" si="457">SUMPRODUCT(CP47:CP55,CP57:CP65)</f>
        <v>1.277308372797155</v>
      </c>
      <c r="CQ66" s="627">
        <f t="shared" ref="CQ66" si="458">SUMPRODUCT(CQ47:CQ55,CQ57:CQ65)</f>
        <v>1.2883234400612265</v>
      </c>
      <c r="CR66" s="627">
        <f t="shared" ref="CR66" si="459">SUMPRODUCT(CR47:CR55,CR57:CR65)</f>
        <v>1.2993230557882174</v>
      </c>
      <c r="CS66" s="627">
        <f t="shared" ref="CS66" si="460">SUMPRODUCT(CS47:CS55,CS57:CS65)</f>
        <v>1.3103068415662225</v>
      </c>
      <c r="CT66" s="627">
        <f t="shared" ref="CT66" si="461">SUMPRODUCT(CT47:CT55,CT57:CT65)</f>
        <v>1.3212744103124132</v>
      </c>
      <c r="CV66" s="627">
        <f>SUMPRODUCT(CV47:CV55,CV57:CV65)</f>
        <v>0.9826494956942956</v>
      </c>
      <c r="CW66" s="627">
        <f t="shared" ref="CW66:DZ66" si="462">SUMPRODUCT(CW47:CW55,CW57:CW65)</f>
        <v>0.98495553058001106</v>
      </c>
      <c r="CX66" s="627">
        <f t="shared" si="462"/>
        <v>0.98761329334897818</v>
      </c>
      <c r="CY66" s="627">
        <f t="shared" si="462"/>
        <v>0.99060473094854529</v>
      </c>
      <c r="CZ66" s="627">
        <f t="shared" si="462"/>
        <v>0.99390146760813214</v>
      </c>
      <c r="DA66" s="627">
        <f t="shared" si="462"/>
        <v>0.9974549171064192</v>
      </c>
      <c r="DB66" s="627">
        <f t="shared" si="462"/>
        <v>1.0013825674317296</v>
      </c>
      <c r="DC66" s="627">
        <f t="shared" si="462"/>
        <v>1.0053368336000215</v>
      </c>
      <c r="DD66" s="627">
        <f t="shared" si="462"/>
        <v>1.0090289785826221</v>
      </c>
      <c r="DE66" s="627">
        <f t="shared" si="462"/>
        <v>1.0119521591292109</v>
      </c>
      <c r="DF66" s="627">
        <f t="shared" si="462"/>
        <v>1.0132633710510208</v>
      </c>
      <c r="DG66" s="627">
        <f t="shared" si="462"/>
        <v>1.0104673312147812</v>
      </c>
      <c r="DH66" s="627">
        <f t="shared" si="462"/>
        <v>1.0025483476851211</v>
      </c>
      <c r="DI66" s="627">
        <f t="shared" si="462"/>
        <v>0.98839785337908204</v>
      </c>
      <c r="DJ66" s="627">
        <f t="shared" si="462"/>
        <v>0.96559547252276734</v>
      </c>
      <c r="DK66" s="627">
        <f t="shared" si="462"/>
        <v>0.93319765662649257</v>
      </c>
      <c r="DL66" s="627">
        <f t="shared" si="462"/>
        <v>0.89185123375590547</v>
      </c>
      <c r="DM66" s="627">
        <f t="shared" si="462"/>
        <v>0.84395607582669596</v>
      </c>
      <c r="DN66" s="627">
        <f t="shared" si="462"/>
        <v>0.79292875038640265</v>
      </c>
      <c r="DO66" s="627">
        <f t="shared" si="462"/>
        <v>0.74221137993248543</v>
      </c>
      <c r="DP66" s="627">
        <f t="shared" si="462"/>
        <v>0.69444207728050722</v>
      </c>
      <c r="DQ66" s="627">
        <f t="shared" si="462"/>
        <v>0.65049241804643354</v>
      </c>
      <c r="DR66" s="627">
        <f t="shared" si="462"/>
        <v>0.6103260427845042</v>
      </c>
      <c r="DS66" s="627">
        <f t="shared" si="462"/>
        <v>0.57514587652306859</v>
      </c>
      <c r="DT66" s="627">
        <f t="shared" si="462"/>
        <v>0.54416543468391809</v>
      </c>
      <c r="DU66" s="627">
        <f t="shared" si="462"/>
        <v>0.51650556174630546</v>
      </c>
      <c r="DV66" s="627">
        <f t="shared" si="462"/>
        <v>0.49139208334170792</v>
      </c>
      <c r="DW66" s="627">
        <f t="shared" si="462"/>
        <v>0.46812542400017843</v>
      </c>
      <c r="DX66" s="627">
        <f t="shared" si="462"/>
        <v>0.44611222870010925</v>
      </c>
      <c r="DY66" s="627">
        <f t="shared" si="462"/>
        <v>0.42485173905461626</v>
      </c>
      <c r="DZ66" s="627">
        <f t="shared" si="462"/>
        <v>0.40392641483059577</v>
      </c>
      <c r="EK66" s="627"/>
      <c r="EL66" s="627"/>
      <c r="EM66" s="627"/>
      <c r="EN66" s="627"/>
      <c r="EO66" s="627"/>
      <c r="EP66" s="627"/>
      <c r="EQ66" s="627"/>
      <c r="ER66" s="627"/>
      <c r="ES66" s="627"/>
      <c r="ET66" s="627"/>
      <c r="EU66" s="627"/>
      <c r="EV66" s="627"/>
      <c r="EW66" s="627"/>
      <c r="EX66" s="627"/>
      <c r="EY66" s="627"/>
      <c r="EZ66" s="627"/>
      <c r="FA66" s="627"/>
      <c r="FB66" s="627"/>
      <c r="FC66" s="627"/>
      <c r="FD66" s="627"/>
      <c r="FE66" s="627"/>
      <c r="FF66" s="627"/>
      <c r="FG66" s="627"/>
      <c r="FH66" s="627"/>
      <c r="FI66" s="627"/>
    </row>
    <row r="67" spans="1:165" x14ac:dyDescent="0.2">
      <c r="A67" s="112"/>
      <c r="C67" s="54"/>
      <c r="D67" s="44"/>
      <c r="E67" s="44"/>
      <c r="F67" s="44"/>
      <c r="G67" s="44"/>
      <c r="H67" s="44"/>
      <c r="I67" s="44"/>
      <c r="J67" s="44"/>
      <c r="K67" s="44"/>
      <c r="L67" s="44"/>
      <c r="M67" s="44"/>
      <c r="N67" s="44"/>
      <c r="O67" s="44"/>
      <c r="P67" s="44"/>
      <c r="Q67" s="44"/>
      <c r="R67" s="44"/>
      <c r="S67" s="44"/>
      <c r="T67" s="44"/>
      <c r="U67" s="44"/>
      <c r="V67" s="44"/>
      <c r="W67" s="44"/>
      <c r="X67" s="44"/>
      <c r="Y67" s="44"/>
      <c r="Z67" s="44"/>
      <c r="AA67" s="44"/>
      <c r="AB67" s="44"/>
      <c r="AC67" s="44"/>
      <c r="AD67" s="44"/>
      <c r="AE67" s="44"/>
      <c r="AF67" s="44"/>
      <c r="AG67" s="44"/>
      <c r="AH67" s="44"/>
      <c r="AI67" s="44"/>
      <c r="AJ67" s="44"/>
      <c r="AK67" s="44"/>
      <c r="AL67" s="44"/>
      <c r="AM67" s="44"/>
      <c r="AN67" s="44"/>
      <c r="AO67" s="44"/>
      <c r="AP67" s="44"/>
      <c r="AQ67" s="44"/>
      <c r="AR67" s="44"/>
      <c r="AS67" s="44"/>
      <c r="AT67" s="44"/>
      <c r="AU67" s="44"/>
      <c r="AV67" s="44"/>
      <c r="AW67" s="44"/>
      <c r="AX67" s="44"/>
      <c r="AY67" s="44"/>
      <c r="AZ67" s="44"/>
      <c r="BA67" s="44"/>
      <c r="BB67" s="44"/>
      <c r="BC67" s="44"/>
      <c r="BD67" s="44"/>
      <c r="BE67" s="44"/>
      <c r="BF67" s="44"/>
      <c r="BG67" s="44"/>
      <c r="BH67" s="44"/>
      <c r="BI67" s="44"/>
      <c r="BJ67" s="44"/>
      <c r="BK67" s="44"/>
      <c r="BL67" s="44"/>
      <c r="BM67" s="44"/>
      <c r="BN67" s="44"/>
    </row>
    <row r="68" spans="1:165" s="69" customFormat="1" ht="16" thickBot="1" x14ac:dyDescent="0.25">
      <c r="A68" s="621" t="s">
        <v>6</v>
      </c>
      <c r="C68" s="70"/>
      <c r="D68" s="71"/>
      <c r="E68" s="71"/>
      <c r="F68" s="71"/>
      <c r="G68" s="71"/>
      <c r="H68" s="71"/>
      <c r="I68" s="71"/>
      <c r="J68" s="71"/>
      <c r="K68" s="71"/>
      <c r="L68" s="71"/>
      <c r="M68" s="71"/>
      <c r="N68" s="71"/>
      <c r="O68" s="71"/>
      <c r="P68" s="71"/>
      <c r="Q68" s="71"/>
      <c r="R68" s="71"/>
      <c r="S68" s="71"/>
      <c r="T68" s="71"/>
      <c r="U68" s="71"/>
      <c r="V68" s="71"/>
      <c r="W68" s="71"/>
      <c r="X68" s="71"/>
      <c r="Y68" s="71"/>
      <c r="Z68" s="71"/>
      <c r="AA68" s="71"/>
      <c r="AB68" s="71"/>
      <c r="AC68" s="71"/>
      <c r="AD68" s="71"/>
      <c r="AE68" s="71"/>
      <c r="AF68" s="71"/>
      <c r="AG68" s="71"/>
      <c r="AH68" s="71"/>
      <c r="AI68" s="71"/>
      <c r="AJ68" s="71"/>
      <c r="AK68" s="71"/>
      <c r="AL68" s="71"/>
      <c r="AM68" s="71"/>
      <c r="AN68" s="71"/>
      <c r="AO68" s="71"/>
      <c r="AP68" s="71"/>
      <c r="AQ68" s="71"/>
      <c r="AR68" s="71"/>
      <c r="AS68" s="71"/>
      <c r="AT68" s="71"/>
      <c r="AU68" s="71"/>
      <c r="AV68" s="71"/>
      <c r="AW68" s="71"/>
      <c r="AX68" s="71"/>
      <c r="AY68" s="71"/>
      <c r="AZ68" s="71"/>
      <c r="BA68" s="71"/>
      <c r="BB68" s="71"/>
      <c r="BC68" s="71"/>
      <c r="BD68" s="71"/>
      <c r="BE68" s="71"/>
      <c r="BF68" s="71"/>
      <c r="BG68" s="71"/>
      <c r="BH68" s="71"/>
      <c r="BI68" s="71"/>
      <c r="BJ68" s="71"/>
      <c r="BK68" s="71"/>
      <c r="BL68" s="71"/>
      <c r="BM68" s="71"/>
      <c r="BN68" s="71"/>
      <c r="BP68" s="71"/>
      <c r="BQ68" s="71"/>
      <c r="BR68" s="71"/>
      <c r="BS68" s="71"/>
      <c r="BT68" s="71"/>
      <c r="BU68" s="71"/>
      <c r="BV68" s="71"/>
      <c r="BW68" s="71"/>
      <c r="BX68" s="71"/>
      <c r="BY68" s="71"/>
      <c r="BZ68" s="71"/>
      <c r="CA68" s="71"/>
      <c r="CB68" s="71"/>
      <c r="CC68" s="71"/>
      <c r="CD68" s="71"/>
      <c r="CE68" s="71"/>
      <c r="CF68" s="71"/>
      <c r="CG68" s="71"/>
      <c r="CH68" s="71"/>
      <c r="CI68" s="71"/>
      <c r="CJ68" s="71"/>
      <c r="CK68" s="71"/>
      <c r="CL68" s="71"/>
      <c r="CM68" s="71"/>
      <c r="CN68" s="71"/>
      <c r="CO68" s="71"/>
      <c r="CP68" s="71"/>
      <c r="CQ68" s="71"/>
      <c r="CR68" s="71"/>
      <c r="CS68" s="71"/>
      <c r="CT68" s="71"/>
      <c r="CV68" s="71"/>
      <c r="CW68" s="71"/>
      <c r="CX68" s="71"/>
      <c r="CY68" s="71"/>
      <c r="CZ68" s="71"/>
      <c r="DA68" s="71"/>
      <c r="DB68" s="71"/>
      <c r="DC68" s="71"/>
      <c r="DD68" s="71"/>
      <c r="DE68" s="71"/>
      <c r="DF68" s="71"/>
      <c r="DG68" s="71"/>
      <c r="DH68" s="71"/>
      <c r="DI68" s="71"/>
      <c r="DJ68" s="71"/>
      <c r="DK68" s="71"/>
      <c r="DL68" s="71"/>
      <c r="DM68" s="71"/>
      <c r="DN68" s="71"/>
      <c r="DO68" s="71"/>
      <c r="DP68" s="71"/>
      <c r="DQ68" s="71"/>
      <c r="DR68" s="71"/>
      <c r="DS68" s="71"/>
      <c r="DT68" s="71"/>
      <c r="DU68" s="71"/>
      <c r="DV68" s="71"/>
      <c r="DW68" s="71"/>
      <c r="DX68" s="71"/>
      <c r="DY68" s="71"/>
      <c r="DZ68" s="71"/>
      <c r="EK68" s="622"/>
      <c r="EL68" s="622"/>
      <c r="EM68" s="622"/>
      <c r="EN68" s="622"/>
      <c r="EO68" s="622"/>
      <c r="EP68" s="622"/>
      <c r="EQ68" s="622"/>
      <c r="ER68" s="622"/>
      <c r="ES68" s="622"/>
      <c r="ET68" s="622"/>
      <c r="EU68" s="622"/>
      <c r="EV68" s="622"/>
      <c r="EW68" s="622"/>
      <c r="EX68" s="622"/>
      <c r="EY68" s="622"/>
      <c r="EZ68" s="622"/>
      <c r="FA68" s="622"/>
      <c r="FB68" s="622"/>
      <c r="FC68" s="622"/>
      <c r="FD68" s="622"/>
      <c r="FE68" s="622"/>
      <c r="FF68" s="622"/>
      <c r="FG68" s="622"/>
      <c r="FH68" s="622"/>
      <c r="FI68" s="622"/>
    </row>
    <row r="69" spans="1:165" s="624" customFormat="1" ht="16" thickBot="1" x14ac:dyDescent="0.25">
      <c r="A69" s="623" t="s">
        <v>108</v>
      </c>
      <c r="C69" s="625"/>
      <c r="D69" s="628">
        <v>2020</v>
      </c>
      <c r="E69" s="628">
        <v>2021</v>
      </c>
      <c r="F69" s="628">
        <v>2022</v>
      </c>
      <c r="G69" s="628">
        <v>2023</v>
      </c>
      <c r="H69" s="628">
        <v>2024</v>
      </c>
      <c r="I69" s="628">
        <v>2025</v>
      </c>
      <c r="J69" s="628">
        <v>2026</v>
      </c>
      <c r="K69" s="628">
        <v>2027</v>
      </c>
      <c r="L69" s="628">
        <v>2028</v>
      </c>
      <c r="M69" s="628">
        <v>2029</v>
      </c>
      <c r="N69" s="628">
        <v>2030</v>
      </c>
      <c r="O69" s="628">
        <v>2031</v>
      </c>
      <c r="P69" s="628">
        <v>2032</v>
      </c>
      <c r="Q69" s="628">
        <v>2033</v>
      </c>
      <c r="R69" s="628">
        <v>2034</v>
      </c>
      <c r="S69" s="628">
        <v>2035</v>
      </c>
      <c r="T69" s="628">
        <v>2036</v>
      </c>
      <c r="U69" s="628">
        <v>2037</v>
      </c>
      <c r="V69" s="628">
        <v>2038</v>
      </c>
      <c r="W69" s="628">
        <v>2039</v>
      </c>
      <c r="X69" s="628">
        <v>2040</v>
      </c>
      <c r="Y69" s="628">
        <v>2041</v>
      </c>
      <c r="Z69" s="628">
        <v>2042</v>
      </c>
      <c r="AA69" s="628">
        <v>2043</v>
      </c>
      <c r="AB69" s="628">
        <v>2044</v>
      </c>
      <c r="AC69" s="628">
        <v>2045</v>
      </c>
      <c r="AD69" s="628">
        <v>2046</v>
      </c>
      <c r="AE69" s="628">
        <v>2047</v>
      </c>
      <c r="AF69" s="628">
        <v>2048</v>
      </c>
      <c r="AG69" s="628">
        <v>2049</v>
      </c>
      <c r="AH69" s="628">
        <v>2050</v>
      </c>
      <c r="AI69" s="626"/>
      <c r="AJ69" s="628">
        <v>2020</v>
      </c>
      <c r="AK69" s="628">
        <v>2021</v>
      </c>
      <c r="AL69" s="628">
        <v>2022</v>
      </c>
      <c r="AM69" s="628">
        <v>2023</v>
      </c>
      <c r="AN69" s="628">
        <v>2024</v>
      </c>
      <c r="AO69" s="628">
        <v>2025</v>
      </c>
      <c r="AP69" s="628">
        <v>2026</v>
      </c>
      <c r="AQ69" s="628">
        <v>2027</v>
      </c>
      <c r="AR69" s="628">
        <v>2028</v>
      </c>
      <c r="AS69" s="628">
        <v>2029</v>
      </c>
      <c r="AT69" s="628">
        <v>2030</v>
      </c>
      <c r="AU69" s="628">
        <v>2031</v>
      </c>
      <c r="AV69" s="628">
        <v>2032</v>
      </c>
      <c r="AW69" s="628">
        <v>2033</v>
      </c>
      <c r="AX69" s="628">
        <v>2034</v>
      </c>
      <c r="AY69" s="628">
        <v>2035</v>
      </c>
      <c r="AZ69" s="628">
        <v>2036</v>
      </c>
      <c r="BA69" s="628">
        <v>2037</v>
      </c>
      <c r="BB69" s="628">
        <v>2038</v>
      </c>
      <c r="BC69" s="628">
        <v>2039</v>
      </c>
      <c r="BD69" s="628">
        <v>2040</v>
      </c>
      <c r="BE69" s="628">
        <v>2041</v>
      </c>
      <c r="BF69" s="628">
        <v>2042</v>
      </c>
      <c r="BG69" s="628">
        <v>2043</v>
      </c>
      <c r="BH69" s="628">
        <v>2044</v>
      </c>
      <c r="BI69" s="628">
        <v>2045</v>
      </c>
      <c r="BJ69" s="628">
        <v>2046</v>
      </c>
      <c r="BK69" s="628">
        <v>2047</v>
      </c>
      <c r="BL69" s="628">
        <v>2048</v>
      </c>
      <c r="BM69" s="628">
        <v>2049</v>
      </c>
      <c r="BN69" s="628">
        <v>2050</v>
      </c>
      <c r="BP69" s="628">
        <v>2020</v>
      </c>
      <c r="BQ69" s="628">
        <v>2021</v>
      </c>
      <c r="BR69" s="628">
        <v>2022</v>
      </c>
      <c r="BS69" s="628">
        <v>2023</v>
      </c>
      <c r="BT69" s="628">
        <v>2024</v>
      </c>
      <c r="BU69" s="628">
        <v>2025</v>
      </c>
      <c r="BV69" s="628">
        <v>2026</v>
      </c>
      <c r="BW69" s="628">
        <v>2027</v>
      </c>
      <c r="BX69" s="628">
        <v>2028</v>
      </c>
      <c r="BY69" s="628">
        <v>2029</v>
      </c>
      <c r="BZ69" s="628">
        <v>2030</v>
      </c>
      <c r="CA69" s="628">
        <v>2031</v>
      </c>
      <c r="CB69" s="628">
        <v>2032</v>
      </c>
      <c r="CC69" s="628">
        <v>2033</v>
      </c>
      <c r="CD69" s="628">
        <v>2034</v>
      </c>
      <c r="CE69" s="628">
        <v>2035</v>
      </c>
      <c r="CF69" s="628">
        <v>2036</v>
      </c>
      <c r="CG69" s="628">
        <v>2037</v>
      </c>
      <c r="CH69" s="628">
        <v>2038</v>
      </c>
      <c r="CI69" s="628">
        <v>2039</v>
      </c>
      <c r="CJ69" s="628">
        <v>2040</v>
      </c>
      <c r="CK69" s="628">
        <v>2041</v>
      </c>
      <c r="CL69" s="628">
        <v>2042</v>
      </c>
      <c r="CM69" s="628">
        <v>2043</v>
      </c>
      <c r="CN69" s="628">
        <v>2044</v>
      </c>
      <c r="CO69" s="628">
        <v>2045</v>
      </c>
      <c r="CP69" s="628">
        <v>2046</v>
      </c>
      <c r="CQ69" s="628">
        <v>2047</v>
      </c>
      <c r="CR69" s="628">
        <v>2048</v>
      </c>
      <c r="CS69" s="628">
        <v>2049</v>
      </c>
      <c r="CT69" s="628">
        <v>2050</v>
      </c>
      <c r="CV69" s="628">
        <v>2020</v>
      </c>
      <c r="CW69" s="628">
        <v>2021</v>
      </c>
      <c r="CX69" s="628">
        <v>2022</v>
      </c>
      <c r="CY69" s="628">
        <v>2023</v>
      </c>
      <c r="CZ69" s="628">
        <v>2024</v>
      </c>
      <c r="DA69" s="628">
        <v>2025</v>
      </c>
      <c r="DB69" s="628">
        <v>2026</v>
      </c>
      <c r="DC69" s="628">
        <v>2027</v>
      </c>
      <c r="DD69" s="628">
        <v>2028</v>
      </c>
      <c r="DE69" s="628">
        <v>2029</v>
      </c>
      <c r="DF69" s="628">
        <v>2030</v>
      </c>
      <c r="DG69" s="628">
        <v>2031</v>
      </c>
      <c r="DH69" s="628">
        <v>2032</v>
      </c>
      <c r="DI69" s="628">
        <v>2033</v>
      </c>
      <c r="DJ69" s="628">
        <v>2034</v>
      </c>
      <c r="DK69" s="628">
        <v>2035</v>
      </c>
      <c r="DL69" s="628">
        <v>2036</v>
      </c>
      <c r="DM69" s="628">
        <v>2037</v>
      </c>
      <c r="DN69" s="628">
        <v>2038</v>
      </c>
      <c r="DO69" s="628">
        <v>2039</v>
      </c>
      <c r="DP69" s="628">
        <v>2040</v>
      </c>
      <c r="DQ69" s="628">
        <v>2041</v>
      </c>
      <c r="DR69" s="628">
        <v>2042</v>
      </c>
      <c r="DS69" s="628">
        <v>2043</v>
      </c>
      <c r="DT69" s="628">
        <v>2044</v>
      </c>
      <c r="DU69" s="628">
        <v>2045</v>
      </c>
      <c r="DV69" s="628">
        <v>2046</v>
      </c>
      <c r="DW69" s="628">
        <v>2047</v>
      </c>
      <c r="DX69" s="628">
        <v>2048</v>
      </c>
      <c r="DY69" s="628">
        <v>2049</v>
      </c>
      <c r="DZ69" s="628">
        <v>2050</v>
      </c>
      <c r="EK69" s="627"/>
      <c r="EL69" s="627"/>
      <c r="EM69" s="627"/>
      <c r="EN69" s="627"/>
      <c r="EO69" s="627"/>
      <c r="EP69" s="627"/>
      <c r="EQ69" s="627"/>
      <c r="ER69" s="627"/>
      <c r="ES69" s="627"/>
      <c r="ET69" s="627"/>
      <c r="EU69" s="627"/>
      <c r="EV69" s="627"/>
      <c r="EW69" s="627"/>
      <c r="EX69" s="627"/>
      <c r="EY69" s="627"/>
      <c r="EZ69" s="627"/>
      <c r="FA69" s="627"/>
      <c r="FB69" s="627"/>
      <c r="FC69" s="627"/>
      <c r="FD69" s="627"/>
      <c r="FE69" s="627"/>
      <c r="FF69" s="627"/>
      <c r="FG69" s="627"/>
      <c r="FH69" s="627"/>
      <c r="FI69" s="627"/>
    </row>
    <row r="70" spans="1:165" x14ac:dyDescent="0.2">
      <c r="A70" s="606" t="s">
        <v>193</v>
      </c>
      <c r="C70" s="54" t="s">
        <v>458</v>
      </c>
      <c r="D70" s="43">
        <f>$B$186</f>
        <v>0.48</v>
      </c>
      <c r="E70" s="43">
        <f>D70-($D70-$AH70)/30</f>
        <v>0.46399999999999997</v>
      </c>
      <c r="F70" s="43">
        <f t="shared" ref="F70:AG70" si="463">E70-($D70-$AH70)/30</f>
        <v>0.44799999999999995</v>
      </c>
      <c r="G70" s="43">
        <f t="shared" si="463"/>
        <v>0.43199999999999994</v>
      </c>
      <c r="H70" s="43">
        <f t="shared" si="463"/>
        <v>0.41599999999999993</v>
      </c>
      <c r="I70" s="43">
        <f t="shared" si="463"/>
        <v>0.39999999999999991</v>
      </c>
      <c r="J70" s="43">
        <f t="shared" si="463"/>
        <v>0.3839999999999999</v>
      </c>
      <c r="K70" s="43">
        <f t="shared" si="463"/>
        <v>0.36799999999999988</v>
      </c>
      <c r="L70" s="43">
        <f t="shared" si="463"/>
        <v>0.35199999999999987</v>
      </c>
      <c r="M70" s="43">
        <f t="shared" si="463"/>
        <v>0.33599999999999985</v>
      </c>
      <c r="N70" s="43">
        <f t="shared" si="463"/>
        <v>0.31999999999999984</v>
      </c>
      <c r="O70" s="43">
        <f t="shared" si="463"/>
        <v>0.30399999999999983</v>
      </c>
      <c r="P70" s="43">
        <f t="shared" si="463"/>
        <v>0.28799999999999981</v>
      </c>
      <c r="Q70" s="43">
        <f t="shared" si="463"/>
        <v>0.2719999999999998</v>
      </c>
      <c r="R70" s="43">
        <f t="shared" si="463"/>
        <v>0.25599999999999978</v>
      </c>
      <c r="S70" s="43">
        <f t="shared" si="463"/>
        <v>0.23999999999999977</v>
      </c>
      <c r="T70" s="43">
        <f t="shared" si="463"/>
        <v>0.22399999999999975</v>
      </c>
      <c r="U70" s="43">
        <f t="shared" si="463"/>
        <v>0.20799999999999974</v>
      </c>
      <c r="V70" s="43">
        <f t="shared" si="463"/>
        <v>0.19199999999999973</v>
      </c>
      <c r="W70" s="43">
        <f t="shared" si="463"/>
        <v>0.17599999999999971</v>
      </c>
      <c r="X70" s="43">
        <f t="shared" si="463"/>
        <v>0.1599999999999997</v>
      </c>
      <c r="Y70" s="43">
        <f t="shared" si="463"/>
        <v>0.14399999999999968</v>
      </c>
      <c r="Z70" s="43">
        <f t="shared" si="463"/>
        <v>0.12799999999999967</v>
      </c>
      <c r="AA70" s="43">
        <f t="shared" si="463"/>
        <v>0.11199999999999967</v>
      </c>
      <c r="AB70" s="43">
        <f t="shared" si="463"/>
        <v>9.5999999999999669E-2</v>
      </c>
      <c r="AC70" s="43">
        <f t="shared" si="463"/>
        <v>7.9999999999999669E-2</v>
      </c>
      <c r="AD70" s="43">
        <f t="shared" si="463"/>
        <v>6.3999999999999668E-2</v>
      </c>
      <c r="AE70" s="43">
        <f t="shared" si="463"/>
        <v>4.7999999999999668E-2</v>
      </c>
      <c r="AF70" s="43">
        <f t="shared" si="463"/>
        <v>3.1999999999999668E-2</v>
      </c>
      <c r="AG70" s="43">
        <f t="shared" si="463"/>
        <v>1.5999999999999667E-2</v>
      </c>
      <c r="AH70" s="43">
        <f>$C$186</f>
        <v>0</v>
      </c>
      <c r="AI70" s="44"/>
      <c r="AJ70" s="43">
        <f>D70</f>
        <v>0.48</v>
      </c>
      <c r="AK70" s="43">
        <f t="shared" ref="AK70:AK78" si="464">E70</f>
        <v>0.46399999999999997</v>
      </c>
      <c r="AL70" s="43">
        <f t="shared" ref="AL70:AL78" si="465">F70</f>
        <v>0.44799999999999995</v>
      </c>
      <c r="AM70" s="43">
        <f t="shared" ref="AM70:AM78" si="466">G70</f>
        <v>0.43199999999999994</v>
      </c>
      <c r="AN70" s="43">
        <f t="shared" ref="AN70:AN78" si="467">H70</f>
        <v>0.41599999999999993</v>
      </c>
      <c r="AO70" s="43">
        <f t="shared" ref="AO70:AO78" si="468">I70</f>
        <v>0.39999999999999991</v>
      </c>
      <c r="AP70" s="43">
        <f t="shared" ref="AP70:AP78" si="469">J70</f>
        <v>0.3839999999999999</v>
      </c>
      <c r="AQ70" s="43">
        <f t="shared" ref="AQ70:AQ78" si="470">K70</f>
        <v>0.36799999999999988</v>
      </c>
      <c r="AR70" s="43">
        <f t="shared" ref="AR70:AR78" si="471">L70</f>
        <v>0.35199999999999987</v>
      </c>
      <c r="AS70" s="43">
        <f t="shared" ref="AS70:AS78" si="472">M70</f>
        <v>0.33599999999999985</v>
      </c>
      <c r="AT70" s="43">
        <f t="shared" ref="AT70:AT78" si="473">N70</f>
        <v>0.31999999999999984</v>
      </c>
      <c r="AU70" s="43">
        <f t="shared" ref="AU70:AU78" si="474">O70</f>
        <v>0.30399999999999983</v>
      </c>
      <c r="AV70" s="43">
        <f t="shared" ref="AV70:AV78" si="475">P70</f>
        <v>0.28799999999999981</v>
      </c>
      <c r="AW70" s="43">
        <f t="shared" ref="AW70:AW78" si="476">Q70</f>
        <v>0.2719999999999998</v>
      </c>
      <c r="AX70" s="43">
        <f t="shared" ref="AX70:AX78" si="477">R70</f>
        <v>0.25599999999999978</v>
      </c>
      <c r="AY70" s="43">
        <f t="shared" ref="AY70:AY78" si="478">S70</f>
        <v>0.23999999999999977</v>
      </c>
      <c r="AZ70" s="43">
        <f t="shared" ref="AZ70:AZ78" si="479">T70</f>
        <v>0.22399999999999975</v>
      </c>
      <c r="BA70" s="43">
        <f t="shared" ref="BA70:BA78" si="480">U70</f>
        <v>0.20799999999999974</v>
      </c>
      <c r="BB70" s="43">
        <f t="shared" ref="BB70:BB78" si="481">V70</f>
        <v>0.19199999999999973</v>
      </c>
      <c r="BC70" s="43">
        <f t="shared" ref="BC70:BC78" si="482">W70</f>
        <v>0.17599999999999971</v>
      </c>
      <c r="BD70" s="43">
        <f t="shared" ref="BD70:BD78" si="483">X70</f>
        <v>0.1599999999999997</v>
      </c>
      <c r="BE70" s="43">
        <f t="shared" ref="BE70:BE78" si="484">Y70</f>
        <v>0.14399999999999968</v>
      </c>
      <c r="BF70" s="43">
        <f t="shared" ref="BF70:BF78" si="485">Z70</f>
        <v>0.12799999999999967</v>
      </c>
      <c r="BG70" s="43">
        <f t="shared" ref="BG70:BG78" si="486">AA70</f>
        <v>0.11199999999999967</v>
      </c>
      <c r="BH70" s="43">
        <f t="shared" ref="BH70:BH78" si="487">AB70</f>
        <v>9.5999999999999669E-2</v>
      </c>
      <c r="BI70" s="43">
        <f t="shared" ref="BI70:BI78" si="488">AC70</f>
        <v>7.9999999999999669E-2</v>
      </c>
      <c r="BJ70" s="43">
        <f t="shared" ref="BJ70:BJ78" si="489">AD70</f>
        <v>6.3999999999999668E-2</v>
      </c>
      <c r="BK70" s="43">
        <f t="shared" ref="BK70:BK78" si="490">AE70</f>
        <v>4.7999999999999668E-2</v>
      </c>
      <c r="BL70" s="43">
        <f t="shared" ref="BL70:BL78" si="491">AF70</f>
        <v>3.1999999999999668E-2</v>
      </c>
      <c r="BM70" s="43">
        <f t="shared" ref="BM70:BM78" si="492">AG70</f>
        <v>1.5999999999999667E-2</v>
      </c>
      <c r="BN70" s="43">
        <f t="shared" ref="BN70:BN78" si="493">AH70</f>
        <v>0</v>
      </c>
      <c r="BP70" s="43">
        <f>D70</f>
        <v>0.48</v>
      </c>
      <c r="BQ70" s="43">
        <f>BP70-($BP70-$CT70)/30</f>
        <v>0.48</v>
      </c>
      <c r="BR70" s="43">
        <f t="shared" ref="BR70:CS70" si="494">BQ70-($BP70-$CT70)/30</f>
        <v>0.48</v>
      </c>
      <c r="BS70" s="43">
        <f t="shared" si="494"/>
        <v>0.48</v>
      </c>
      <c r="BT70" s="43">
        <f t="shared" si="494"/>
        <v>0.48</v>
      </c>
      <c r="BU70" s="43">
        <f t="shared" si="494"/>
        <v>0.48</v>
      </c>
      <c r="BV70" s="43">
        <f t="shared" si="494"/>
        <v>0.48</v>
      </c>
      <c r="BW70" s="43">
        <f t="shared" si="494"/>
        <v>0.48</v>
      </c>
      <c r="BX70" s="43">
        <f t="shared" si="494"/>
        <v>0.48</v>
      </c>
      <c r="BY70" s="43">
        <f t="shared" si="494"/>
        <v>0.48</v>
      </c>
      <c r="BZ70" s="43">
        <f t="shared" si="494"/>
        <v>0.48</v>
      </c>
      <c r="CA70" s="43">
        <f t="shared" si="494"/>
        <v>0.48</v>
      </c>
      <c r="CB70" s="43">
        <f t="shared" si="494"/>
        <v>0.48</v>
      </c>
      <c r="CC70" s="43">
        <f t="shared" si="494"/>
        <v>0.48</v>
      </c>
      <c r="CD70" s="43">
        <f t="shared" si="494"/>
        <v>0.48</v>
      </c>
      <c r="CE70" s="43">
        <f t="shared" si="494"/>
        <v>0.48</v>
      </c>
      <c r="CF70" s="43">
        <f t="shared" si="494"/>
        <v>0.48</v>
      </c>
      <c r="CG70" s="43">
        <f t="shared" si="494"/>
        <v>0.48</v>
      </c>
      <c r="CH70" s="43">
        <f t="shared" si="494"/>
        <v>0.48</v>
      </c>
      <c r="CI70" s="43">
        <f t="shared" si="494"/>
        <v>0.48</v>
      </c>
      <c r="CJ70" s="43">
        <f t="shared" si="494"/>
        <v>0.48</v>
      </c>
      <c r="CK70" s="43">
        <f t="shared" si="494"/>
        <v>0.48</v>
      </c>
      <c r="CL70" s="43">
        <f t="shared" si="494"/>
        <v>0.48</v>
      </c>
      <c r="CM70" s="43">
        <f t="shared" si="494"/>
        <v>0.48</v>
      </c>
      <c r="CN70" s="43">
        <f t="shared" si="494"/>
        <v>0.48</v>
      </c>
      <c r="CO70" s="43">
        <f t="shared" si="494"/>
        <v>0.48</v>
      </c>
      <c r="CP70" s="43">
        <f t="shared" si="494"/>
        <v>0.48</v>
      </c>
      <c r="CQ70" s="43">
        <f t="shared" si="494"/>
        <v>0.48</v>
      </c>
      <c r="CR70" s="43">
        <f t="shared" si="494"/>
        <v>0.48</v>
      </c>
      <c r="CS70" s="43">
        <f t="shared" si="494"/>
        <v>0.48</v>
      </c>
      <c r="CT70" s="43">
        <f>BP70</f>
        <v>0.48</v>
      </c>
      <c r="CV70" s="43">
        <f>AJ70</f>
        <v>0.48</v>
      </c>
      <c r="CW70" s="43">
        <f t="shared" ref="CW70:CW74" si="495">AK70</f>
        <v>0.46399999999999997</v>
      </c>
      <c r="CX70" s="43">
        <f t="shared" ref="CX70:CX74" si="496">AL70</f>
        <v>0.44799999999999995</v>
      </c>
      <c r="CY70" s="43">
        <f t="shared" ref="CY70:CY74" si="497">AM70</f>
        <v>0.43199999999999994</v>
      </c>
      <c r="CZ70" s="43">
        <f t="shared" ref="CZ70:CZ74" si="498">AN70</f>
        <v>0.41599999999999993</v>
      </c>
      <c r="DA70" s="43">
        <f t="shared" ref="DA70:DA74" si="499">AO70</f>
        <v>0.39999999999999991</v>
      </c>
      <c r="DB70" s="43">
        <f t="shared" ref="DB70:DB74" si="500">AP70</f>
        <v>0.3839999999999999</v>
      </c>
      <c r="DC70" s="43">
        <f t="shared" ref="DC70:DC74" si="501">AQ70</f>
        <v>0.36799999999999988</v>
      </c>
      <c r="DD70" s="43">
        <f t="shared" ref="DD70:DD74" si="502">AR70</f>
        <v>0.35199999999999987</v>
      </c>
      <c r="DE70" s="43">
        <f t="shared" ref="DE70:DE74" si="503">AS70</f>
        <v>0.33599999999999985</v>
      </c>
      <c r="DF70" s="43">
        <f t="shared" ref="DF70:DF74" si="504">AT70</f>
        <v>0.31999999999999984</v>
      </c>
      <c r="DG70" s="43">
        <f t="shared" ref="DG70:DG74" si="505">AU70</f>
        <v>0.30399999999999983</v>
      </c>
      <c r="DH70" s="43">
        <f t="shared" ref="DH70:DH74" si="506">AV70</f>
        <v>0.28799999999999981</v>
      </c>
      <c r="DI70" s="43">
        <f t="shared" ref="DI70:DI74" si="507">AW70</f>
        <v>0.2719999999999998</v>
      </c>
      <c r="DJ70" s="43">
        <f t="shared" ref="DJ70:DJ74" si="508">AX70</f>
        <v>0.25599999999999978</v>
      </c>
      <c r="DK70" s="43">
        <f t="shared" ref="DK70:DK74" si="509">AY70</f>
        <v>0.23999999999999977</v>
      </c>
      <c r="DL70" s="43">
        <f t="shared" ref="DL70:DL74" si="510">AZ70</f>
        <v>0.22399999999999975</v>
      </c>
      <c r="DM70" s="43">
        <f t="shared" ref="DM70:DM74" si="511">BA70</f>
        <v>0.20799999999999974</v>
      </c>
      <c r="DN70" s="43">
        <f t="shared" ref="DN70:DN74" si="512">BB70</f>
        <v>0.19199999999999973</v>
      </c>
      <c r="DO70" s="43">
        <f t="shared" ref="DO70:DO74" si="513">BC70</f>
        <v>0.17599999999999971</v>
      </c>
      <c r="DP70" s="43">
        <f t="shared" ref="DP70:DP74" si="514">BD70</f>
        <v>0.1599999999999997</v>
      </c>
      <c r="DQ70" s="43">
        <f t="shared" ref="DQ70:DQ74" si="515">BE70</f>
        <v>0.14399999999999968</v>
      </c>
      <c r="DR70" s="43">
        <f t="shared" ref="DR70:DR74" si="516">BF70</f>
        <v>0.12799999999999967</v>
      </c>
      <c r="DS70" s="43">
        <f t="shared" ref="DS70:DS74" si="517">BG70</f>
        <v>0.11199999999999967</v>
      </c>
      <c r="DT70" s="43">
        <f t="shared" ref="DT70:DT74" si="518">BH70</f>
        <v>9.5999999999999669E-2</v>
      </c>
      <c r="DU70" s="43">
        <f t="shared" ref="DU70:DU74" si="519">BI70</f>
        <v>7.9999999999999669E-2</v>
      </c>
      <c r="DV70" s="43">
        <f t="shared" ref="DV70:DV74" si="520">BJ70</f>
        <v>6.3999999999999668E-2</v>
      </c>
      <c r="DW70" s="43">
        <f t="shared" ref="DW70:DW74" si="521">BK70</f>
        <v>4.7999999999999668E-2</v>
      </c>
      <c r="DX70" s="43">
        <f t="shared" ref="DX70:DX74" si="522">BL70</f>
        <v>3.1999999999999668E-2</v>
      </c>
      <c r="DY70" s="43">
        <f t="shared" ref="DY70:DY74" si="523">BM70</f>
        <v>1.5999999999999667E-2</v>
      </c>
      <c r="DZ70" s="43">
        <f t="shared" ref="DZ70:DZ74" si="524">BN70</f>
        <v>0</v>
      </c>
    </row>
    <row r="71" spans="1:165" x14ac:dyDescent="0.2">
      <c r="A71" s="606" t="s">
        <v>88</v>
      </c>
      <c r="C71" s="54" t="s">
        <v>458</v>
      </c>
      <c r="D71" s="43">
        <f>$B$187</f>
        <v>3</v>
      </c>
      <c r="E71" s="43">
        <f t="shared" ref="E71:AG71" si="525">D71-($D71-$AH71)/30</f>
        <v>2.9</v>
      </c>
      <c r="F71" s="43">
        <f t="shared" si="525"/>
        <v>2.8</v>
      </c>
      <c r="G71" s="43">
        <f t="shared" si="525"/>
        <v>2.6999999999999997</v>
      </c>
      <c r="H71" s="43">
        <f t="shared" si="525"/>
        <v>2.5999999999999996</v>
      </c>
      <c r="I71" s="43">
        <f t="shared" si="525"/>
        <v>2.4999999999999996</v>
      </c>
      <c r="J71" s="43">
        <f t="shared" si="525"/>
        <v>2.3999999999999995</v>
      </c>
      <c r="K71" s="43">
        <f t="shared" si="525"/>
        <v>2.2999999999999994</v>
      </c>
      <c r="L71" s="43">
        <f t="shared" si="525"/>
        <v>2.1999999999999993</v>
      </c>
      <c r="M71" s="43">
        <f t="shared" si="525"/>
        <v>2.0999999999999992</v>
      </c>
      <c r="N71" s="43">
        <f t="shared" si="525"/>
        <v>1.9999999999999991</v>
      </c>
      <c r="O71" s="43">
        <f t="shared" si="525"/>
        <v>1.899999999999999</v>
      </c>
      <c r="P71" s="43">
        <f t="shared" si="525"/>
        <v>1.7999999999999989</v>
      </c>
      <c r="Q71" s="43">
        <f t="shared" si="525"/>
        <v>1.6999999999999988</v>
      </c>
      <c r="R71" s="43">
        <f t="shared" si="525"/>
        <v>1.5999999999999988</v>
      </c>
      <c r="S71" s="43">
        <f t="shared" si="525"/>
        <v>1.4999999999999987</v>
      </c>
      <c r="T71" s="43">
        <f t="shared" si="525"/>
        <v>1.3999999999999986</v>
      </c>
      <c r="U71" s="43">
        <f t="shared" si="525"/>
        <v>1.2999999999999985</v>
      </c>
      <c r="V71" s="43">
        <f t="shared" si="525"/>
        <v>1.1999999999999984</v>
      </c>
      <c r="W71" s="43">
        <f t="shared" si="525"/>
        <v>1.0999999999999983</v>
      </c>
      <c r="X71" s="43">
        <f t="shared" si="525"/>
        <v>0.99999999999999833</v>
      </c>
      <c r="Y71" s="43">
        <f t="shared" si="525"/>
        <v>0.89999999999999836</v>
      </c>
      <c r="Z71" s="43">
        <f t="shared" si="525"/>
        <v>0.79999999999999838</v>
      </c>
      <c r="AA71" s="43">
        <f t="shared" si="525"/>
        <v>0.6999999999999984</v>
      </c>
      <c r="AB71" s="43">
        <f t="shared" si="525"/>
        <v>0.59999999999999842</v>
      </c>
      <c r="AC71" s="43">
        <f t="shared" si="525"/>
        <v>0.49999999999999845</v>
      </c>
      <c r="AD71" s="43">
        <f t="shared" si="525"/>
        <v>0.39999999999999847</v>
      </c>
      <c r="AE71" s="43">
        <f t="shared" si="525"/>
        <v>0.29999999999999849</v>
      </c>
      <c r="AF71" s="43">
        <f t="shared" si="525"/>
        <v>0.19999999999999848</v>
      </c>
      <c r="AG71" s="43">
        <f t="shared" si="525"/>
        <v>9.9999999999998479E-2</v>
      </c>
      <c r="AH71" s="43">
        <f>$C$187</f>
        <v>0</v>
      </c>
      <c r="AI71" s="44"/>
      <c r="AJ71" s="43">
        <f t="shared" ref="AJ71:AJ78" si="526">D71</f>
        <v>3</v>
      </c>
      <c r="AK71" s="43">
        <f t="shared" si="464"/>
        <v>2.9</v>
      </c>
      <c r="AL71" s="43">
        <f t="shared" si="465"/>
        <v>2.8</v>
      </c>
      <c r="AM71" s="43">
        <f t="shared" si="466"/>
        <v>2.6999999999999997</v>
      </c>
      <c r="AN71" s="43">
        <f t="shared" si="467"/>
        <v>2.5999999999999996</v>
      </c>
      <c r="AO71" s="43">
        <f t="shared" si="468"/>
        <v>2.4999999999999996</v>
      </c>
      <c r="AP71" s="43">
        <f t="shared" si="469"/>
        <v>2.3999999999999995</v>
      </c>
      <c r="AQ71" s="43">
        <f t="shared" si="470"/>
        <v>2.2999999999999994</v>
      </c>
      <c r="AR71" s="43">
        <f t="shared" si="471"/>
        <v>2.1999999999999993</v>
      </c>
      <c r="AS71" s="43">
        <f t="shared" si="472"/>
        <v>2.0999999999999992</v>
      </c>
      <c r="AT71" s="43">
        <f t="shared" si="473"/>
        <v>1.9999999999999991</v>
      </c>
      <c r="AU71" s="43">
        <f t="shared" si="474"/>
        <v>1.899999999999999</v>
      </c>
      <c r="AV71" s="43">
        <f t="shared" si="475"/>
        <v>1.7999999999999989</v>
      </c>
      <c r="AW71" s="43">
        <f t="shared" si="476"/>
        <v>1.6999999999999988</v>
      </c>
      <c r="AX71" s="43">
        <f t="shared" si="477"/>
        <v>1.5999999999999988</v>
      </c>
      <c r="AY71" s="43">
        <f t="shared" si="478"/>
        <v>1.4999999999999987</v>
      </c>
      <c r="AZ71" s="43">
        <f t="shared" si="479"/>
        <v>1.3999999999999986</v>
      </c>
      <c r="BA71" s="43">
        <f t="shared" si="480"/>
        <v>1.2999999999999985</v>
      </c>
      <c r="BB71" s="43">
        <f t="shared" si="481"/>
        <v>1.1999999999999984</v>
      </c>
      <c r="BC71" s="43">
        <f t="shared" si="482"/>
        <v>1.0999999999999983</v>
      </c>
      <c r="BD71" s="43">
        <f t="shared" si="483"/>
        <v>0.99999999999999833</v>
      </c>
      <c r="BE71" s="43">
        <f t="shared" si="484"/>
        <v>0.89999999999999836</v>
      </c>
      <c r="BF71" s="43">
        <f t="shared" si="485"/>
        <v>0.79999999999999838</v>
      </c>
      <c r="BG71" s="43">
        <f t="shared" si="486"/>
        <v>0.6999999999999984</v>
      </c>
      <c r="BH71" s="43">
        <f t="shared" si="487"/>
        <v>0.59999999999999842</v>
      </c>
      <c r="BI71" s="43">
        <f t="shared" si="488"/>
        <v>0.49999999999999845</v>
      </c>
      <c r="BJ71" s="43">
        <f t="shared" si="489"/>
        <v>0.39999999999999847</v>
      </c>
      <c r="BK71" s="43">
        <f t="shared" si="490"/>
        <v>0.29999999999999849</v>
      </c>
      <c r="BL71" s="43">
        <f t="shared" si="491"/>
        <v>0.19999999999999848</v>
      </c>
      <c r="BM71" s="43">
        <f t="shared" si="492"/>
        <v>9.9999999999998479E-2</v>
      </c>
      <c r="BN71" s="43">
        <f t="shared" si="493"/>
        <v>0</v>
      </c>
      <c r="BP71" s="43">
        <f t="shared" ref="BP71:BP78" si="527">D71</f>
        <v>3</v>
      </c>
      <c r="BQ71" s="43">
        <f t="shared" ref="BQ71:CS71" si="528">BP71-($BP71-$CT71)/30</f>
        <v>3</v>
      </c>
      <c r="BR71" s="43">
        <f t="shared" si="528"/>
        <v>3</v>
      </c>
      <c r="BS71" s="43">
        <f t="shared" si="528"/>
        <v>3</v>
      </c>
      <c r="BT71" s="43">
        <f t="shared" si="528"/>
        <v>3</v>
      </c>
      <c r="BU71" s="43">
        <f t="shared" si="528"/>
        <v>3</v>
      </c>
      <c r="BV71" s="43">
        <f t="shared" si="528"/>
        <v>3</v>
      </c>
      <c r="BW71" s="43">
        <f t="shared" si="528"/>
        <v>3</v>
      </c>
      <c r="BX71" s="43">
        <f t="shared" si="528"/>
        <v>3</v>
      </c>
      <c r="BY71" s="43">
        <f t="shared" si="528"/>
        <v>3</v>
      </c>
      <c r="BZ71" s="43">
        <f t="shared" si="528"/>
        <v>3</v>
      </c>
      <c r="CA71" s="43">
        <f t="shared" si="528"/>
        <v>3</v>
      </c>
      <c r="CB71" s="43">
        <f t="shared" si="528"/>
        <v>3</v>
      </c>
      <c r="CC71" s="43">
        <f t="shared" si="528"/>
        <v>3</v>
      </c>
      <c r="CD71" s="43">
        <f t="shared" si="528"/>
        <v>3</v>
      </c>
      <c r="CE71" s="43">
        <f t="shared" si="528"/>
        <v>3</v>
      </c>
      <c r="CF71" s="43">
        <f t="shared" si="528"/>
        <v>3</v>
      </c>
      <c r="CG71" s="43">
        <f t="shared" si="528"/>
        <v>3</v>
      </c>
      <c r="CH71" s="43">
        <f t="shared" si="528"/>
        <v>3</v>
      </c>
      <c r="CI71" s="43">
        <f t="shared" si="528"/>
        <v>3</v>
      </c>
      <c r="CJ71" s="43">
        <f t="shared" si="528"/>
        <v>3</v>
      </c>
      <c r="CK71" s="43">
        <f t="shared" si="528"/>
        <v>3</v>
      </c>
      <c r="CL71" s="43">
        <f t="shared" si="528"/>
        <v>3</v>
      </c>
      <c r="CM71" s="43">
        <f t="shared" si="528"/>
        <v>3</v>
      </c>
      <c r="CN71" s="43">
        <f t="shared" si="528"/>
        <v>3</v>
      </c>
      <c r="CO71" s="43">
        <f t="shared" si="528"/>
        <v>3</v>
      </c>
      <c r="CP71" s="43">
        <f t="shared" si="528"/>
        <v>3</v>
      </c>
      <c r="CQ71" s="43">
        <f t="shared" si="528"/>
        <v>3</v>
      </c>
      <c r="CR71" s="43">
        <f t="shared" si="528"/>
        <v>3</v>
      </c>
      <c r="CS71" s="43">
        <f t="shared" si="528"/>
        <v>3</v>
      </c>
      <c r="CT71" s="43">
        <f t="shared" ref="CT71:CT72" si="529">BP71</f>
        <v>3</v>
      </c>
      <c r="CV71" s="43">
        <f>AJ71</f>
        <v>3</v>
      </c>
      <c r="CW71" s="43">
        <f t="shared" si="495"/>
        <v>2.9</v>
      </c>
      <c r="CX71" s="43">
        <f t="shared" si="496"/>
        <v>2.8</v>
      </c>
      <c r="CY71" s="43">
        <f t="shared" si="497"/>
        <v>2.6999999999999997</v>
      </c>
      <c r="CZ71" s="43">
        <f t="shared" si="498"/>
        <v>2.5999999999999996</v>
      </c>
      <c r="DA71" s="43">
        <f t="shared" si="499"/>
        <v>2.4999999999999996</v>
      </c>
      <c r="DB71" s="43">
        <f t="shared" si="500"/>
        <v>2.3999999999999995</v>
      </c>
      <c r="DC71" s="43">
        <f t="shared" si="501"/>
        <v>2.2999999999999994</v>
      </c>
      <c r="DD71" s="43">
        <f t="shared" si="502"/>
        <v>2.1999999999999993</v>
      </c>
      <c r="DE71" s="43">
        <f t="shared" si="503"/>
        <v>2.0999999999999992</v>
      </c>
      <c r="DF71" s="43">
        <f t="shared" si="504"/>
        <v>1.9999999999999991</v>
      </c>
      <c r="DG71" s="43">
        <f t="shared" si="505"/>
        <v>1.899999999999999</v>
      </c>
      <c r="DH71" s="43">
        <f t="shared" si="506"/>
        <v>1.7999999999999989</v>
      </c>
      <c r="DI71" s="43">
        <f t="shared" si="507"/>
        <v>1.6999999999999988</v>
      </c>
      <c r="DJ71" s="43">
        <f t="shared" si="508"/>
        <v>1.5999999999999988</v>
      </c>
      <c r="DK71" s="43">
        <f t="shared" si="509"/>
        <v>1.4999999999999987</v>
      </c>
      <c r="DL71" s="43">
        <f t="shared" si="510"/>
        <v>1.3999999999999986</v>
      </c>
      <c r="DM71" s="43">
        <f t="shared" si="511"/>
        <v>1.2999999999999985</v>
      </c>
      <c r="DN71" s="43">
        <f t="shared" si="512"/>
        <v>1.1999999999999984</v>
      </c>
      <c r="DO71" s="43">
        <f t="shared" si="513"/>
        <v>1.0999999999999983</v>
      </c>
      <c r="DP71" s="43">
        <f t="shared" si="514"/>
        <v>0.99999999999999833</v>
      </c>
      <c r="DQ71" s="43">
        <f t="shared" si="515"/>
        <v>0.89999999999999836</v>
      </c>
      <c r="DR71" s="43">
        <f t="shared" si="516"/>
        <v>0.79999999999999838</v>
      </c>
      <c r="DS71" s="43">
        <f t="shared" si="517"/>
        <v>0.6999999999999984</v>
      </c>
      <c r="DT71" s="43">
        <f t="shared" si="518"/>
        <v>0.59999999999999842</v>
      </c>
      <c r="DU71" s="43">
        <f t="shared" si="519"/>
        <v>0.49999999999999845</v>
      </c>
      <c r="DV71" s="43">
        <f t="shared" si="520"/>
        <v>0.39999999999999847</v>
      </c>
      <c r="DW71" s="43">
        <f t="shared" si="521"/>
        <v>0.29999999999999849</v>
      </c>
      <c r="DX71" s="43">
        <f t="shared" si="522"/>
        <v>0.19999999999999848</v>
      </c>
      <c r="DY71" s="43">
        <f t="shared" si="523"/>
        <v>9.9999999999998479E-2</v>
      </c>
      <c r="DZ71" s="43">
        <f t="shared" si="524"/>
        <v>0</v>
      </c>
    </row>
    <row r="72" spans="1:165" x14ac:dyDescent="0.2">
      <c r="A72" s="606" t="s">
        <v>459</v>
      </c>
      <c r="C72" s="54" t="s">
        <v>458</v>
      </c>
      <c r="D72" s="43">
        <f>$BP$188</f>
        <v>1.3812336962269454</v>
      </c>
      <c r="E72" s="43">
        <f t="shared" ref="E72:AG72" si="530">D72-($D72-$AH72)/30</f>
        <v>1.4035259063527139</v>
      </c>
      <c r="F72" s="43">
        <f t="shared" si="530"/>
        <v>1.4258181164784824</v>
      </c>
      <c r="G72" s="43">
        <f t="shared" si="530"/>
        <v>1.448110326604251</v>
      </c>
      <c r="H72" s="43">
        <f t="shared" si="530"/>
        <v>1.4704025367300195</v>
      </c>
      <c r="I72" s="43">
        <f t="shared" si="530"/>
        <v>1.4926947468557881</v>
      </c>
      <c r="J72" s="43">
        <f t="shared" si="530"/>
        <v>1.5149869569815566</v>
      </c>
      <c r="K72" s="43">
        <f t="shared" si="530"/>
        <v>1.5372791671073252</v>
      </c>
      <c r="L72" s="43">
        <f t="shared" si="530"/>
        <v>1.5595713772330937</v>
      </c>
      <c r="M72" s="43">
        <f t="shared" si="530"/>
        <v>1.5818635873588622</v>
      </c>
      <c r="N72" s="43">
        <f t="shared" si="530"/>
        <v>1.6041557974846308</v>
      </c>
      <c r="O72" s="43">
        <f t="shared" si="530"/>
        <v>1.6264480076103993</v>
      </c>
      <c r="P72" s="43">
        <f t="shared" si="530"/>
        <v>1.6487402177361679</v>
      </c>
      <c r="Q72" s="43">
        <f t="shared" si="530"/>
        <v>1.6710324278619364</v>
      </c>
      <c r="R72" s="43">
        <f t="shared" si="530"/>
        <v>1.6933246379877049</v>
      </c>
      <c r="S72" s="43">
        <f t="shared" si="530"/>
        <v>1.7156168481134735</v>
      </c>
      <c r="T72" s="43">
        <f t="shared" si="530"/>
        <v>1.737909058239242</v>
      </c>
      <c r="U72" s="43">
        <f t="shared" si="530"/>
        <v>1.7602012683650106</v>
      </c>
      <c r="V72" s="43">
        <f t="shared" si="530"/>
        <v>1.7824934784907791</v>
      </c>
      <c r="W72" s="43">
        <f t="shared" si="530"/>
        <v>1.8047856886165476</v>
      </c>
      <c r="X72" s="43">
        <f t="shared" si="530"/>
        <v>1.8270778987423162</v>
      </c>
      <c r="Y72" s="43">
        <f t="shared" si="530"/>
        <v>1.8493701088680847</v>
      </c>
      <c r="Z72" s="43">
        <f t="shared" si="530"/>
        <v>1.8716623189938533</v>
      </c>
      <c r="AA72" s="43">
        <f t="shared" si="530"/>
        <v>1.8939545291196218</v>
      </c>
      <c r="AB72" s="43">
        <f t="shared" si="530"/>
        <v>1.9162467392453904</v>
      </c>
      <c r="AC72" s="43">
        <f t="shared" si="530"/>
        <v>1.9385389493711589</v>
      </c>
      <c r="AD72" s="43">
        <f t="shared" si="530"/>
        <v>1.9608311594969274</v>
      </c>
      <c r="AE72" s="43">
        <f t="shared" si="530"/>
        <v>1.983123369622696</v>
      </c>
      <c r="AF72" s="43">
        <f t="shared" si="530"/>
        <v>2.0054155797484645</v>
      </c>
      <c r="AG72" s="43">
        <f t="shared" si="530"/>
        <v>2.0277077898742331</v>
      </c>
      <c r="AH72" s="43">
        <f>EB188</f>
        <v>2.0499999999999998</v>
      </c>
      <c r="AI72" s="44"/>
      <c r="AJ72" s="43">
        <f t="shared" si="526"/>
        <v>1.3812336962269454</v>
      </c>
      <c r="AK72" s="43">
        <f t="shared" si="464"/>
        <v>1.4035259063527139</v>
      </c>
      <c r="AL72" s="43">
        <f t="shared" si="465"/>
        <v>1.4258181164784824</v>
      </c>
      <c r="AM72" s="43">
        <f t="shared" si="466"/>
        <v>1.448110326604251</v>
      </c>
      <c r="AN72" s="43">
        <f t="shared" si="467"/>
        <v>1.4704025367300195</v>
      </c>
      <c r="AO72" s="43">
        <f t="shared" si="468"/>
        <v>1.4926947468557881</v>
      </c>
      <c r="AP72" s="43">
        <f t="shared" si="469"/>
        <v>1.5149869569815566</v>
      </c>
      <c r="AQ72" s="43">
        <f t="shared" si="470"/>
        <v>1.5372791671073252</v>
      </c>
      <c r="AR72" s="43">
        <f t="shared" si="471"/>
        <v>1.5595713772330937</v>
      </c>
      <c r="AS72" s="43">
        <f t="shared" si="472"/>
        <v>1.5818635873588622</v>
      </c>
      <c r="AT72" s="43">
        <f t="shared" si="473"/>
        <v>1.6041557974846308</v>
      </c>
      <c r="AU72" s="43">
        <f t="shared" si="474"/>
        <v>1.6264480076103993</v>
      </c>
      <c r="AV72" s="43">
        <f t="shared" si="475"/>
        <v>1.6487402177361679</v>
      </c>
      <c r="AW72" s="43">
        <f t="shared" si="476"/>
        <v>1.6710324278619364</v>
      </c>
      <c r="AX72" s="43">
        <f t="shared" si="477"/>
        <v>1.6933246379877049</v>
      </c>
      <c r="AY72" s="43">
        <f t="shared" si="478"/>
        <v>1.7156168481134735</v>
      </c>
      <c r="AZ72" s="43">
        <f t="shared" si="479"/>
        <v>1.737909058239242</v>
      </c>
      <c r="BA72" s="43">
        <f t="shared" si="480"/>
        <v>1.7602012683650106</v>
      </c>
      <c r="BB72" s="43">
        <f t="shared" si="481"/>
        <v>1.7824934784907791</v>
      </c>
      <c r="BC72" s="43">
        <f t="shared" si="482"/>
        <v>1.8047856886165476</v>
      </c>
      <c r="BD72" s="43">
        <f t="shared" si="483"/>
        <v>1.8270778987423162</v>
      </c>
      <c r="BE72" s="43">
        <f t="shared" si="484"/>
        <v>1.8493701088680847</v>
      </c>
      <c r="BF72" s="43">
        <f t="shared" si="485"/>
        <v>1.8716623189938533</v>
      </c>
      <c r="BG72" s="43">
        <f t="shared" si="486"/>
        <v>1.8939545291196218</v>
      </c>
      <c r="BH72" s="43">
        <f t="shared" si="487"/>
        <v>1.9162467392453904</v>
      </c>
      <c r="BI72" s="43">
        <f t="shared" si="488"/>
        <v>1.9385389493711589</v>
      </c>
      <c r="BJ72" s="43">
        <f t="shared" si="489"/>
        <v>1.9608311594969274</v>
      </c>
      <c r="BK72" s="43">
        <f t="shared" si="490"/>
        <v>1.983123369622696</v>
      </c>
      <c r="BL72" s="43">
        <f t="shared" si="491"/>
        <v>2.0054155797484645</v>
      </c>
      <c r="BM72" s="43">
        <f t="shared" si="492"/>
        <v>2.0277077898742331</v>
      </c>
      <c r="BN72" s="43">
        <f t="shared" si="493"/>
        <v>2.0499999999999998</v>
      </c>
      <c r="BP72" s="43">
        <f t="shared" si="527"/>
        <v>1.3812336962269454</v>
      </c>
      <c r="BQ72" s="43">
        <f t="shared" ref="BQ72:CS72" si="531">BP72-($BP72-$CT72)/30</f>
        <v>1.3812336962269454</v>
      </c>
      <c r="BR72" s="43">
        <f t="shared" si="531"/>
        <v>1.3812336962269454</v>
      </c>
      <c r="BS72" s="43">
        <f t="shared" si="531"/>
        <v>1.3812336962269454</v>
      </c>
      <c r="BT72" s="43">
        <f t="shared" si="531"/>
        <v>1.3812336962269454</v>
      </c>
      <c r="BU72" s="43">
        <f t="shared" si="531"/>
        <v>1.3812336962269454</v>
      </c>
      <c r="BV72" s="43">
        <f t="shared" si="531"/>
        <v>1.3812336962269454</v>
      </c>
      <c r="BW72" s="43">
        <f t="shared" si="531"/>
        <v>1.3812336962269454</v>
      </c>
      <c r="BX72" s="43">
        <f t="shared" si="531"/>
        <v>1.3812336962269454</v>
      </c>
      <c r="BY72" s="43">
        <f t="shared" si="531"/>
        <v>1.3812336962269454</v>
      </c>
      <c r="BZ72" s="43">
        <f t="shared" si="531"/>
        <v>1.3812336962269454</v>
      </c>
      <c r="CA72" s="43">
        <f t="shared" si="531"/>
        <v>1.3812336962269454</v>
      </c>
      <c r="CB72" s="43">
        <f t="shared" si="531"/>
        <v>1.3812336962269454</v>
      </c>
      <c r="CC72" s="43">
        <f t="shared" si="531"/>
        <v>1.3812336962269454</v>
      </c>
      <c r="CD72" s="43">
        <f t="shared" si="531"/>
        <v>1.3812336962269454</v>
      </c>
      <c r="CE72" s="43">
        <f t="shared" si="531"/>
        <v>1.3812336962269454</v>
      </c>
      <c r="CF72" s="43">
        <f t="shared" si="531"/>
        <v>1.3812336962269454</v>
      </c>
      <c r="CG72" s="43">
        <f t="shared" si="531"/>
        <v>1.3812336962269454</v>
      </c>
      <c r="CH72" s="43">
        <f t="shared" si="531"/>
        <v>1.3812336962269454</v>
      </c>
      <c r="CI72" s="43">
        <f t="shared" si="531"/>
        <v>1.3812336962269454</v>
      </c>
      <c r="CJ72" s="43">
        <f t="shared" si="531"/>
        <v>1.3812336962269454</v>
      </c>
      <c r="CK72" s="43">
        <f t="shared" si="531"/>
        <v>1.3812336962269454</v>
      </c>
      <c r="CL72" s="43">
        <f t="shared" si="531"/>
        <v>1.3812336962269454</v>
      </c>
      <c r="CM72" s="43">
        <f t="shared" si="531"/>
        <v>1.3812336962269454</v>
      </c>
      <c r="CN72" s="43">
        <f t="shared" si="531"/>
        <v>1.3812336962269454</v>
      </c>
      <c r="CO72" s="43">
        <f t="shared" si="531"/>
        <v>1.3812336962269454</v>
      </c>
      <c r="CP72" s="43">
        <f t="shared" si="531"/>
        <v>1.3812336962269454</v>
      </c>
      <c r="CQ72" s="43">
        <f t="shared" si="531"/>
        <v>1.3812336962269454</v>
      </c>
      <c r="CR72" s="43">
        <f t="shared" si="531"/>
        <v>1.3812336962269454</v>
      </c>
      <c r="CS72" s="43">
        <f t="shared" si="531"/>
        <v>1.3812336962269454</v>
      </c>
      <c r="CT72" s="43">
        <f t="shared" si="529"/>
        <v>1.3812336962269454</v>
      </c>
      <c r="CV72" s="43">
        <f>AJ72</f>
        <v>1.3812336962269454</v>
      </c>
      <c r="CW72" s="43">
        <f t="shared" si="495"/>
        <v>1.4035259063527139</v>
      </c>
      <c r="CX72" s="43">
        <f t="shared" si="496"/>
        <v>1.4258181164784824</v>
      </c>
      <c r="CY72" s="43">
        <f t="shared" si="497"/>
        <v>1.448110326604251</v>
      </c>
      <c r="CZ72" s="43">
        <f t="shared" si="498"/>
        <v>1.4704025367300195</v>
      </c>
      <c r="DA72" s="43">
        <f t="shared" si="499"/>
        <v>1.4926947468557881</v>
      </c>
      <c r="DB72" s="43">
        <f t="shared" si="500"/>
        <v>1.5149869569815566</v>
      </c>
      <c r="DC72" s="43">
        <f t="shared" si="501"/>
        <v>1.5372791671073252</v>
      </c>
      <c r="DD72" s="43">
        <f t="shared" si="502"/>
        <v>1.5595713772330937</v>
      </c>
      <c r="DE72" s="43">
        <f t="shared" si="503"/>
        <v>1.5818635873588622</v>
      </c>
      <c r="DF72" s="43">
        <f t="shared" si="504"/>
        <v>1.6041557974846308</v>
      </c>
      <c r="DG72" s="43">
        <f t="shared" si="505"/>
        <v>1.6264480076103993</v>
      </c>
      <c r="DH72" s="43">
        <f t="shared" si="506"/>
        <v>1.6487402177361679</v>
      </c>
      <c r="DI72" s="43">
        <f t="shared" si="507"/>
        <v>1.6710324278619364</v>
      </c>
      <c r="DJ72" s="43">
        <f t="shared" si="508"/>
        <v>1.6933246379877049</v>
      </c>
      <c r="DK72" s="43">
        <f t="shared" si="509"/>
        <v>1.7156168481134735</v>
      </c>
      <c r="DL72" s="43">
        <f t="shared" si="510"/>
        <v>1.737909058239242</v>
      </c>
      <c r="DM72" s="43">
        <f t="shared" si="511"/>
        <v>1.7602012683650106</v>
      </c>
      <c r="DN72" s="43">
        <f t="shared" si="512"/>
        <v>1.7824934784907791</v>
      </c>
      <c r="DO72" s="43">
        <f t="shared" si="513"/>
        <v>1.8047856886165476</v>
      </c>
      <c r="DP72" s="43">
        <f t="shared" si="514"/>
        <v>1.8270778987423162</v>
      </c>
      <c r="DQ72" s="43">
        <f t="shared" si="515"/>
        <v>1.8493701088680847</v>
      </c>
      <c r="DR72" s="43">
        <f t="shared" si="516"/>
        <v>1.8716623189938533</v>
      </c>
      <c r="DS72" s="43">
        <f t="shared" si="517"/>
        <v>1.8939545291196218</v>
      </c>
      <c r="DT72" s="43">
        <f t="shared" si="518"/>
        <v>1.9162467392453904</v>
      </c>
      <c r="DU72" s="43">
        <f t="shared" si="519"/>
        <v>1.9385389493711589</v>
      </c>
      <c r="DV72" s="43">
        <f t="shared" si="520"/>
        <v>1.9608311594969274</v>
      </c>
      <c r="DW72" s="43">
        <f t="shared" si="521"/>
        <v>1.983123369622696</v>
      </c>
      <c r="DX72" s="43">
        <f t="shared" si="522"/>
        <v>2.0054155797484645</v>
      </c>
      <c r="DY72" s="43">
        <f t="shared" si="523"/>
        <v>2.0277077898742331</v>
      </c>
      <c r="DZ72" s="43">
        <f t="shared" si="524"/>
        <v>2.0499999999999998</v>
      </c>
    </row>
    <row r="73" spans="1:165" x14ac:dyDescent="0.2">
      <c r="A73" s="606" t="s">
        <v>460</v>
      </c>
      <c r="C73" s="54" t="s">
        <v>458</v>
      </c>
      <c r="D73" s="43">
        <f>$BZ$188</f>
        <v>6.9061684811347335E-2</v>
      </c>
      <c r="E73" s="43">
        <f t="shared" ref="E73:AG73" si="532">D73-($D73-$AH73)/30</f>
        <v>6.9061684811347335E-2</v>
      </c>
      <c r="F73" s="43">
        <f t="shared" si="532"/>
        <v>6.9061684811347335E-2</v>
      </c>
      <c r="G73" s="43">
        <f t="shared" si="532"/>
        <v>6.9061684811347335E-2</v>
      </c>
      <c r="H73" s="43">
        <f t="shared" si="532"/>
        <v>6.9061684811347335E-2</v>
      </c>
      <c r="I73" s="43">
        <f t="shared" si="532"/>
        <v>6.9061684811347335E-2</v>
      </c>
      <c r="J73" s="43">
        <f t="shared" si="532"/>
        <v>6.9061684811347335E-2</v>
      </c>
      <c r="K73" s="43">
        <f t="shared" si="532"/>
        <v>6.9061684811347335E-2</v>
      </c>
      <c r="L73" s="43">
        <f t="shared" si="532"/>
        <v>6.9061684811347335E-2</v>
      </c>
      <c r="M73" s="43">
        <f t="shared" si="532"/>
        <v>6.9061684811347335E-2</v>
      </c>
      <c r="N73" s="43">
        <f t="shared" si="532"/>
        <v>6.9061684811347335E-2</v>
      </c>
      <c r="O73" s="43">
        <f t="shared" si="532"/>
        <v>6.9061684811347335E-2</v>
      </c>
      <c r="P73" s="43">
        <f t="shared" si="532"/>
        <v>6.9061684811347335E-2</v>
      </c>
      <c r="Q73" s="43">
        <f t="shared" si="532"/>
        <v>6.9061684811347335E-2</v>
      </c>
      <c r="R73" s="43">
        <f t="shared" si="532"/>
        <v>6.9061684811347335E-2</v>
      </c>
      <c r="S73" s="43">
        <f t="shared" si="532"/>
        <v>6.9061684811347335E-2</v>
      </c>
      <c r="T73" s="43">
        <f t="shared" si="532"/>
        <v>6.9061684811347335E-2</v>
      </c>
      <c r="U73" s="43">
        <f t="shared" si="532"/>
        <v>6.9061684811347335E-2</v>
      </c>
      <c r="V73" s="43">
        <f t="shared" si="532"/>
        <v>6.9061684811347335E-2</v>
      </c>
      <c r="W73" s="43">
        <f t="shared" si="532"/>
        <v>6.9061684811347335E-2</v>
      </c>
      <c r="X73" s="43">
        <f t="shared" si="532"/>
        <v>6.9061684811347335E-2</v>
      </c>
      <c r="Y73" s="43">
        <f t="shared" si="532"/>
        <v>6.9061684811347335E-2</v>
      </c>
      <c r="Z73" s="43">
        <f t="shared" si="532"/>
        <v>6.9061684811347335E-2</v>
      </c>
      <c r="AA73" s="43">
        <f t="shared" si="532"/>
        <v>6.9061684811347335E-2</v>
      </c>
      <c r="AB73" s="43">
        <f t="shared" si="532"/>
        <v>6.9061684811347335E-2</v>
      </c>
      <c r="AC73" s="43">
        <f t="shared" si="532"/>
        <v>6.9061684811347335E-2</v>
      </c>
      <c r="AD73" s="43">
        <f t="shared" si="532"/>
        <v>6.9061684811347335E-2</v>
      </c>
      <c r="AE73" s="43">
        <f t="shared" si="532"/>
        <v>6.9061684811347335E-2</v>
      </c>
      <c r="AF73" s="43">
        <f t="shared" si="532"/>
        <v>6.9061684811347335E-2</v>
      </c>
      <c r="AG73" s="43">
        <f t="shared" si="532"/>
        <v>6.9061684811347335E-2</v>
      </c>
      <c r="AH73" s="43">
        <f>$BZ$188</f>
        <v>6.9061684811347335E-2</v>
      </c>
      <c r="AI73" s="44"/>
      <c r="AJ73" s="43">
        <f t="shared" si="526"/>
        <v>6.9061684811347335E-2</v>
      </c>
      <c r="AK73" s="43">
        <f t="shared" si="464"/>
        <v>6.9061684811347335E-2</v>
      </c>
      <c r="AL73" s="43">
        <f t="shared" si="465"/>
        <v>6.9061684811347335E-2</v>
      </c>
      <c r="AM73" s="43">
        <f t="shared" si="466"/>
        <v>6.9061684811347335E-2</v>
      </c>
      <c r="AN73" s="43">
        <f t="shared" si="467"/>
        <v>6.9061684811347335E-2</v>
      </c>
      <c r="AO73" s="43">
        <f t="shared" si="468"/>
        <v>6.9061684811347335E-2</v>
      </c>
      <c r="AP73" s="43">
        <f t="shared" si="469"/>
        <v>6.9061684811347335E-2</v>
      </c>
      <c r="AQ73" s="43">
        <f t="shared" si="470"/>
        <v>6.9061684811347335E-2</v>
      </c>
      <c r="AR73" s="43">
        <f t="shared" si="471"/>
        <v>6.9061684811347335E-2</v>
      </c>
      <c r="AS73" s="43">
        <f t="shared" si="472"/>
        <v>6.9061684811347335E-2</v>
      </c>
      <c r="AT73" s="43">
        <f t="shared" si="473"/>
        <v>6.9061684811347335E-2</v>
      </c>
      <c r="AU73" s="43">
        <f t="shared" si="474"/>
        <v>6.9061684811347335E-2</v>
      </c>
      <c r="AV73" s="43">
        <f t="shared" si="475"/>
        <v>6.9061684811347335E-2</v>
      </c>
      <c r="AW73" s="43">
        <f t="shared" si="476"/>
        <v>6.9061684811347335E-2</v>
      </c>
      <c r="AX73" s="43">
        <f t="shared" si="477"/>
        <v>6.9061684811347335E-2</v>
      </c>
      <c r="AY73" s="43">
        <f t="shared" si="478"/>
        <v>6.9061684811347335E-2</v>
      </c>
      <c r="AZ73" s="43">
        <f t="shared" si="479"/>
        <v>6.9061684811347335E-2</v>
      </c>
      <c r="BA73" s="43">
        <f t="shared" si="480"/>
        <v>6.9061684811347335E-2</v>
      </c>
      <c r="BB73" s="43">
        <f t="shared" si="481"/>
        <v>6.9061684811347335E-2</v>
      </c>
      <c r="BC73" s="43">
        <f t="shared" si="482"/>
        <v>6.9061684811347335E-2</v>
      </c>
      <c r="BD73" s="43">
        <f t="shared" si="483"/>
        <v>6.9061684811347335E-2</v>
      </c>
      <c r="BE73" s="43">
        <f t="shared" si="484"/>
        <v>6.9061684811347335E-2</v>
      </c>
      <c r="BF73" s="43">
        <f t="shared" si="485"/>
        <v>6.9061684811347335E-2</v>
      </c>
      <c r="BG73" s="43">
        <f t="shared" si="486"/>
        <v>6.9061684811347335E-2</v>
      </c>
      <c r="BH73" s="43">
        <f t="shared" si="487"/>
        <v>6.9061684811347335E-2</v>
      </c>
      <c r="BI73" s="43">
        <f t="shared" si="488"/>
        <v>6.9061684811347335E-2</v>
      </c>
      <c r="BJ73" s="43">
        <f t="shared" si="489"/>
        <v>6.9061684811347335E-2</v>
      </c>
      <c r="BK73" s="43">
        <f t="shared" si="490"/>
        <v>6.9061684811347335E-2</v>
      </c>
      <c r="BL73" s="43">
        <f t="shared" si="491"/>
        <v>6.9061684811347335E-2</v>
      </c>
      <c r="BM73" s="43">
        <f t="shared" si="492"/>
        <v>6.9061684811347335E-2</v>
      </c>
      <c r="BN73" s="43">
        <f t="shared" si="493"/>
        <v>6.9061684811347335E-2</v>
      </c>
      <c r="BP73" s="43">
        <f t="shared" si="527"/>
        <v>6.9061684811347335E-2</v>
      </c>
      <c r="BQ73" s="43">
        <f t="shared" ref="BQ73:CS73" si="533">BP73-($BP73-$CT73)/30</f>
        <v>6.9061684811347335E-2</v>
      </c>
      <c r="BR73" s="43">
        <f t="shared" si="533"/>
        <v>6.9061684811347335E-2</v>
      </c>
      <c r="BS73" s="43">
        <f t="shared" si="533"/>
        <v>6.9061684811347335E-2</v>
      </c>
      <c r="BT73" s="43">
        <f t="shared" si="533"/>
        <v>6.9061684811347335E-2</v>
      </c>
      <c r="BU73" s="43">
        <f t="shared" si="533"/>
        <v>6.9061684811347335E-2</v>
      </c>
      <c r="BV73" s="43">
        <f t="shared" si="533"/>
        <v>6.9061684811347335E-2</v>
      </c>
      <c r="BW73" s="43">
        <f t="shared" si="533"/>
        <v>6.9061684811347335E-2</v>
      </c>
      <c r="BX73" s="43">
        <f t="shared" si="533"/>
        <v>6.9061684811347335E-2</v>
      </c>
      <c r="BY73" s="43">
        <f t="shared" si="533"/>
        <v>6.9061684811347335E-2</v>
      </c>
      <c r="BZ73" s="43">
        <f t="shared" si="533"/>
        <v>6.9061684811347335E-2</v>
      </c>
      <c r="CA73" s="43">
        <f t="shared" si="533"/>
        <v>6.9061684811347335E-2</v>
      </c>
      <c r="CB73" s="43">
        <f t="shared" si="533"/>
        <v>6.9061684811347335E-2</v>
      </c>
      <c r="CC73" s="43">
        <f t="shared" si="533"/>
        <v>6.9061684811347335E-2</v>
      </c>
      <c r="CD73" s="43">
        <f t="shared" si="533"/>
        <v>6.9061684811347335E-2</v>
      </c>
      <c r="CE73" s="43">
        <f t="shared" si="533"/>
        <v>6.9061684811347335E-2</v>
      </c>
      <c r="CF73" s="43">
        <f t="shared" si="533"/>
        <v>6.9061684811347335E-2</v>
      </c>
      <c r="CG73" s="43">
        <f t="shared" si="533"/>
        <v>6.9061684811347335E-2</v>
      </c>
      <c r="CH73" s="43">
        <f t="shared" si="533"/>
        <v>6.9061684811347335E-2</v>
      </c>
      <c r="CI73" s="43">
        <f t="shared" si="533"/>
        <v>6.9061684811347335E-2</v>
      </c>
      <c r="CJ73" s="43">
        <f t="shared" si="533"/>
        <v>6.9061684811347335E-2</v>
      </c>
      <c r="CK73" s="43">
        <f t="shared" si="533"/>
        <v>6.9061684811347335E-2</v>
      </c>
      <c r="CL73" s="43">
        <f t="shared" si="533"/>
        <v>6.9061684811347335E-2</v>
      </c>
      <c r="CM73" s="43">
        <f t="shared" si="533"/>
        <v>6.9061684811347335E-2</v>
      </c>
      <c r="CN73" s="43">
        <f t="shared" si="533"/>
        <v>6.9061684811347335E-2</v>
      </c>
      <c r="CO73" s="43">
        <f t="shared" si="533"/>
        <v>6.9061684811347335E-2</v>
      </c>
      <c r="CP73" s="43">
        <f t="shared" si="533"/>
        <v>6.9061684811347335E-2</v>
      </c>
      <c r="CQ73" s="43">
        <f t="shared" si="533"/>
        <v>6.9061684811347335E-2</v>
      </c>
      <c r="CR73" s="43">
        <f t="shared" si="533"/>
        <v>6.9061684811347335E-2</v>
      </c>
      <c r="CS73" s="43">
        <f t="shared" si="533"/>
        <v>6.9061684811347335E-2</v>
      </c>
      <c r="CT73" s="43">
        <f>BN73</f>
        <v>6.9061684811347335E-2</v>
      </c>
      <c r="CV73" s="43">
        <f>AJ73</f>
        <v>6.9061684811347335E-2</v>
      </c>
      <c r="CW73" s="43">
        <f t="shared" si="495"/>
        <v>6.9061684811347335E-2</v>
      </c>
      <c r="CX73" s="43">
        <f t="shared" si="496"/>
        <v>6.9061684811347335E-2</v>
      </c>
      <c r="CY73" s="43">
        <f t="shared" si="497"/>
        <v>6.9061684811347335E-2</v>
      </c>
      <c r="CZ73" s="43">
        <f t="shared" si="498"/>
        <v>6.9061684811347335E-2</v>
      </c>
      <c r="DA73" s="43">
        <f t="shared" si="499"/>
        <v>6.9061684811347335E-2</v>
      </c>
      <c r="DB73" s="43">
        <f t="shared" si="500"/>
        <v>6.9061684811347335E-2</v>
      </c>
      <c r="DC73" s="43">
        <f t="shared" si="501"/>
        <v>6.9061684811347335E-2</v>
      </c>
      <c r="DD73" s="43">
        <f t="shared" si="502"/>
        <v>6.9061684811347335E-2</v>
      </c>
      <c r="DE73" s="43">
        <f t="shared" si="503"/>
        <v>6.9061684811347335E-2</v>
      </c>
      <c r="DF73" s="43">
        <f t="shared" si="504"/>
        <v>6.9061684811347335E-2</v>
      </c>
      <c r="DG73" s="43">
        <f t="shared" si="505"/>
        <v>6.9061684811347335E-2</v>
      </c>
      <c r="DH73" s="43">
        <f t="shared" si="506"/>
        <v>6.9061684811347335E-2</v>
      </c>
      <c r="DI73" s="43">
        <f t="shared" si="507"/>
        <v>6.9061684811347335E-2</v>
      </c>
      <c r="DJ73" s="43">
        <f t="shared" si="508"/>
        <v>6.9061684811347335E-2</v>
      </c>
      <c r="DK73" s="43">
        <f t="shared" si="509"/>
        <v>6.9061684811347335E-2</v>
      </c>
      <c r="DL73" s="43">
        <f t="shared" si="510"/>
        <v>6.9061684811347335E-2</v>
      </c>
      <c r="DM73" s="43">
        <f t="shared" si="511"/>
        <v>6.9061684811347335E-2</v>
      </c>
      <c r="DN73" s="43">
        <f t="shared" si="512"/>
        <v>6.9061684811347335E-2</v>
      </c>
      <c r="DO73" s="43">
        <f t="shared" si="513"/>
        <v>6.9061684811347335E-2</v>
      </c>
      <c r="DP73" s="43">
        <f t="shared" si="514"/>
        <v>6.9061684811347335E-2</v>
      </c>
      <c r="DQ73" s="43">
        <f t="shared" si="515"/>
        <v>6.9061684811347335E-2</v>
      </c>
      <c r="DR73" s="43">
        <f t="shared" si="516"/>
        <v>6.9061684811347335E-2</v>
      </c>
      <c r="DS73" s="43">
        <f t="shared" si="517"/>
        <v>6.9061684811347335E-2</v>
      </c>
      <c r="DT73" s="43">
        <f t="shared" si="518"/>
        <v>6.9061684811347335E-2</v>
      </c>
      <c r="DU73" s="43">
        <f t="shared" si="519"/>
        <v>6.9061684811347335E-2</v>
      </c>
      <c r="DV73" s="43">
        <f t="shared" si="520"/>
        <v>6.9061684811347335E-2</v>
      </c>
      <c r="DW73" s="43">
        <f t="shared" si="521"/>
        <v>6.9061684811347335E-2</v>
      </c>
      <c r="DX73" s="43">
        <f t="shared" si="522"/>
        <v>6.9061684811347335E-2</v>
      </c>
      <c r="DY73" s="43">
        <f t="shared" si="523"/>
        <v>6.9061684811347335E-2</v>
      </c>
      <c r="DZ73" s="43">
        <f t="shared" si="524"/>
        <v>6.9061684811347335E-2</v>
      </c>
    </row>
    <row r="74" spans="1:165" x14ac:dyDescent="0.2">
      <c r="A74" s="606" t="s">
        <v>33</v>
      </c>
      <c r="C74" s="54" t="s">
        <v>458</v>
      </c>
      <c r="D74" s="43">
        <f>$B$190</f>
        <v>5.0000000000000001E-3</v>
      </c>
      <c r="E74" s="43">
        <f t="shared" ref="E74:AG74" si="534">D74-($D74-$AH74)/30</f>
        <v>4.8333333333333336E-3</v>
      </c>
      <c r="F74" s="43">
        <f t="shared" si="534"/>
        <v>4.6666666666666671E-3</v>
      </c>
      <c r="G74" s="43">
        <f t="shared" si="534"/>
        <v>4.5000000000000005E-3</v>
      </c>
      <c r="H74" s="43">
        <f t="shared" si="534"/>
        <v>4.333333333333334E-3</v>
      </c>
      <c r="I74" s="43">
        <f t="shared" si="534"/>
        <v>4.1666666666666675E-3</v>
      </c>
      <c r="J74" s="43">
        <f t="shared" si="534"/>
        <v>4.000000000000001E-3</v>
      </c>
      <c r="K74" s="43">
        <f t="shared" si="534"/>
        <v>3.8333333333333344E-3</v>
      </c>
      <c r="L74" s="43">
        <f t="shared" si="534"/>
        <v>3.6666666666666679E-3</v>
      </c>
      <c r="M74" s="43">
        <f t="shared" si="534"/>
        <v>3.5000000000000014E-3</v>
      </c>
      <c r="N74" s="43">
        <f t="shared" si="534"/>
        <v>3.3333333333333348E-3</v>
      </c>
      <c r="O74" s="43">
        <f t="shared" si="534"/>
        <v>3.1666666666666683E-3</v>
      </c>
      <c r="P74" s="43">
        <f t="shared" si="534"/>
        <v>3.0000000000000018E-3</v>
      </c>
      <c r="Q74" s="43">
        <f t="shared" si="534"/>
        <v>2.8333333333333353E-3</v>
      </c>
      <c r="R74" s="43">
        <f t="shared" si="534"/>
        <v>2.6666666666666687E-3</v>
      </c>
      <c r="S74" s="43">
        <f t="shared" si="534"/>
        <v>2.5000000000000022E-3</v>
      </c>
      <c r="T74" s="43">
        <f t="shared" si="534"/>
        <v>2.3333333333333357E-3</v>
      </c>
      <c r="U74" s="43">
        <f t="shared" si="534"/>
        <v>2.1666666666666692E-3</v>
      </c>
      <c r="V74" s="43">
        <f t="shared" si="534"/>
        <v>2.0000000000000026E-3</v>
      </c>
      <c r="W74" s="43">
        <f t="shared" si="534"/>
        <v>1.8333333333333359E-3</v>
      </c>
      <c r="X74" s="43">
        <f t="shared" si="534"/>
        <v>1.6666666666666692E-3</v>
      </c>
      <c r="Y74" s="43">
        <f t="shared" si="534"/>
        <v>1.5000000000000024E-3</v>
      </c>
      <c r="Z74" s="43">
        <f t="shared" si="534"/>
        <v>1.3333333333333357E-3</v>
      </c>
      <c r="AA74" s="43">
        <f t="shared" si="534"/>
        <v>1.1666666666666689E-3</v>
      </c>
      <c r="AB74" s="43">
        <f t="shared" si="534"/>
        <v>1.0000000000000022E-3</v>
      </c>
      <c r="AC74" s="43">
        <f t="shared" si="534"/>
        <v>8.3333333333333556E-4</v>
      </c>
      <c r="AD74" s="43">
        <f t="shared" si="534"/>
        <v>6.6666666666666892E-4</v>
      </c>
      <c r="AE74" s="43">
        <f t="shared" si="534"/>
        <v>5.0000000000000229E-4</v>
      </c>
      <c r="AF74" s="43">
        <f t="shared" si="534"/>
        <v>3.3333333333333565E-4</v>
      </c>
      <c r="AG74" s="43">
        <f t="shared" si="534"/>
        <v>1.6666666666666899E-4</v>
      </c>
      <c r="AH74" s="43">
        <f>$C$190</f>
        <v>0</v>
      </c>
      <c r="AI74" s="44"/>
      <c r="AJ74" s="43">
        <f t="shared" si="526"/>
        <v>5.0000000000000001E-3</v>
      </c>
      <c r="AK74" s="43">
        <f t="shared" si="464"/>
        <v>4.8333333333333336E-3</v>
      </c>
      <c r="AL74" s="43">
        <f t="shared" si="465"/>
        <v>4.6666666666666671E-3</v>
      </c>
      <c r="AM74" s="43">
        <f t="shared" si="466"/>
        <v>4.5000000000000005E-3</v>
      </c>
      <c r="AN74" s="43">
        <f t="shared" si="467"/>
        <v>4.333333333333334E-3</v>
      </c>
      <c r="AO74" s="43">
        <f t="shared" si="468"/>
        <v>4.1666666666666675E-3</v>
      </c>
      <c r="AP74" s="43">
        <f t="shared" si="469"/>
        <v>4.000000000000001E-3</v>
      </c>
      <c r="AQ74" s="43">
        <f t="shared" si="470"/>
        <v>3.8333333333333344E-3</v>
      </c>
      <c r="AR74" s="43">
        <f t="shared" si="471"/>
        <v>3.6666666666666679E-3</v>
      </c>
      <c r="AS74" s="43">
        <f t="shared" si="472"/>
        <v>3.5000000000000014E-3</v>
      </c>
      <c r="AT74" s="43">
        <f t="shared" si="473"/>
        <v>3.3333333333333348E-3</v>
      </c>
      <c r="AU74" s="43">
        <f t="shared" si="474"/>
        <v>3.1666666666666683E-3</v>
      </c>
      <c r="AV74" s="43">
        <f t="shared" si="475"/>
        <v>3.0000000000000018E-3</v>
      </c>
      <c r="AW74" s="43">
        <f t="shared" si="476"/>
        <v>2.8333333333333353E-3</v>
      </c>
      <c r="AX74" s="43">
        <f t="shared" si="477"/>
        <v>2.6666666666666687E-3</v>
      </c>
      <c r="AY74" s="43">
        <f t="shared" si="478"/>
        <v>2.5000000000000022E-3</v>
      </c>
      <c r="AZ74" s="43">
        <f t="shared" si="479"/>
        <v>2.3333333333333357E-3</v>
      </c>
      <c r="BA74" s="43">
        <f t="shared" si="480"/>
        <v>2.1666666666666692E-3</v>
      </c>
      <c r="BB74" s="43">
        <f t="shared" si="481"/>
        <v>2.0000000000000026E-3</v>
      </c>
      <c r="BC74" s="43">
        <f t="shared" si="482"/>
        <v>1.8333333333333359E-3</v>
      </c>
      <c r="BD74" s="43">
        <f t="shared" si="483"/>
        <v>1.6666666666666692E-3</v>
      </c>
      <c r="BE74" s="43">
        <f t="shared" si="484"/>
        <v>1.5000000000000024E-3</v>
      </c>
      <c r="BF74" s="43">
        <f t="shared" si="485"/>
        <v>1.3333333333333357E-3</v>
      </c>
      <c r="BG74" s="43">
        <f t="shared" si="486"/>
        <v>1.1666666666666689E-3</v>
      </c>
      <c r="BH74" s="43">
        <f t="shared" si="487"/>
        <v>1.0000000000000022E-3</v>
      </c>
      <c r="BI74" s="43">
        <f t="shared" si="488"/>
        <v>8.3333333333333556E-4</v>
      </c>
      <c r="BJ74" s="43">
        <f t="shared" si="489"/>
        <v>6.6666666666666892E-4</v>
      </c>
      <c r="BK74" s="43">
        <f t="shared" si="490"/>
        <v>5.0000000000000229E-4</v>
      </c>
      <c r="BL74" s="43">
        <f t="shared" si="491"/>
        <v>3.3333333333333565E-4</v>
      </c>
      <c r="BM74" s="43">
        <f t="shared" si="492"/>
        <v>1.6666666666666899E-4</v>
      </c>
      <c r="BN74" s="43">
        <f t="shared" si="493"/>
        <v>0</v>
      </c>
      <c r="BP74" s="43">
        <f t="shared" si="527"/>
        <v>5.0000000000000001E-3</v>
      </c>
      <c r="BQ74" s="43">
        <f t="shared" ref="BQ74:CS74" si="535">BP74-($BP74-$CT74)/30</f>
        <v>5.0000000000000001E-3</v>
      </c>
      <c r="BR74" s="43">
        <f t="shared" si="535"/>
        <v>5.0000000000000001E-3</v>
      </c>
      <c r="BS74" s="43">
        <f t="shared" si="535"/>
        <v>5.0000000000000001E-3</v>
      </c>
      <c r="BT74" s="43">
        <f t="shared" si="535"/>
        <v>5.0000000000000001E-3</v>
      </c>
      <c r="BU74" s="43">
        <f t="shared" si="535"/>
        <v>5.0000000000000001E-3</v>
      </c>
      <c r="BV74" s="43">
        <f t="shared" si="535"/>
        <v>5.0000000000000001E-3</v>
      </c>
      <c r="BW74" s="43">
        <f t="shared" si="535"/>
        <v>5.0000000000000001E-3</v>
      </c>
      <c r="BX74" s="43">
        <f t="shared" si="535"/>
        <v>5.0000000000000001E-3</v>
      </c>
      <c r="BY74" s="43">
        <f t="shared" si="535"/>
        <v>5.0000000000000001E-3</v>
      </c>
      <c r="BZ74" s="43">
        <f t="shared" si="535"/>
        <v>5.0000000000000001E-3</v>
      </c>
      <c r="CA74" s="43">
        <f t="shared" si="535"/>
        <v>5.0000000000000001E-3</v>
      </c>
      <c r="CB74" s="43">
        <f t="shared" si="535"/>
        <v>5.0000000000000001E-3</v>
      </c>
      <c r="CC74" s="43">
        <f t="shared" si="535"/>
        <v>5.0000000000000001E-3</v>
      </c>
      <c r="CD74" s="43">
        <f t="shared" si="535"/>
        <v>5.0000000000000001E-3</v>
      </c>
      <c r="CE74" s="43">
        <f t="shared" si="535"/>
        <v>5.0000000000000001E-3</v>
      </c>
      <c r="CF74" s="43">
        <f t="shared" si="535"/>
        <v>5.0000000000000001E-3</v>
      </c>
      <c r="CG74" s="43">
        <f t="shared" si="535"/>
        <v>5.0000000000000001E-3</v>
      </c>
      <c r="CH74" s="43">
        <f t="shared" si="535"/>
        <v>5.0000000000000001E-3</v>
      </c>
      <c r="CI74" s="43">
        <f t="shared" si="535"/>
        <v>5.0000000000000001E-3</v>
      </c>
      <c r="CJ74" s="43">
        <f t="shared" si="535"/>
        <v>5.0000000000000001E-3</v>
      </c>
      <c r="CK74" s="43">
        <f t="shared" si="535"/>
        <v>5.0000000000000001E-3</v>
      </c>
      <c r="CL74" s="43">
        <f t="shared" si="535"/>
        <v>5.0000000000000001E-3</v>
      </c>
      <c r="CM74" s="43">
        <f t="shared" si="535"/>
        <v>5.0000000000000001E-3</v>
      </c>
      <c r="CN74" s="43">
        <f t="shared" si="535"/>
        <v>5.0000000000000001E-3</v>
      </c>
      <c r="CO74" s="43">
        <f t="shared" si="535"/>
        <v>5.0000000000000001E-3</v>
      </c>
      <c r="CP74" s="43">
        <f t="shared" si="535"/>
        <v>5.0000000000000001E-3</v>
      </c>
      <c r="CQ74" s="43">
        <f t="shared" si="535"/>
        <v>5.0000000000000001E-3</v>
      </c>
      <c r="CR74" s="43">
        <f t="shared" si="535"/>
        <v>5.0000000000000001E-3</v>
      </c>
      <c r="CS74" s="43">
        <f t="shared" si="535"/>
        <v>5.0000000000000001E-3</v>
      </c>
      <c r="CT74" s="43">
        <f t="shared" ref="CT74:CT78" si="536">BP74</f>
        <v>5.0000000000000001E-3</v>
      </c>
      <c r="CV74" s="43">
        <f>AJ74</f>
        <v>5.0000000000000001E-3</v>
      </c>
      <c r="CW74" s="43">
        <f t="shared" si="495"/>
        <v>4.8333333333333336E-3</v>
      </c>
      <c r="CX74" s="43">
        <f t="shared" si="496"/>
        <v>4.6666666666666671E-3</v>
      </c>
      <c r="CY74" s="43">
        <f t="shared" si="497"/>
        <v>4.5000000000000005E-3</v>
      </c>
      <c r="CZ74" s="43">
        <f t="shared" si="498"/>
        <v>4.333333333333334E-3</v>
      </c>
      <c r="DA74" s="43">
        <f t="shared" si="499"/>
        <v>4.1666666666666675E-3</v>
      </c>
      <c r="DB74" s="43">
        <f t="shared" si="500"/>
        <v>4.000000000000001E-3</v>
      </c>
      <c r="DC74" s="43">
        <f t="shared" si="501"/>
        <v>3.8333333333333344E-3</v>
      </c>
      <c r="DD74" s="43">
        <f t="shared" si="502"/>
        <v>3.6666666666666679E-3</v>
      </c>
      <c r="DE74" s="43">
        <f t="shared" si="503"/>
        <v>3.5000000000000014E-3</v>
      </c>
      <c r="DF74" s="43">
        <f t="shared" si="504"/>
        <v>3.3333333333333348E-3</v>
      </c>
      <c r="DG74" s="43">
        <f t="shared" si="505"/>
        <v>3.1666666666666683E-3</v>
      </c>
      <c r="DH74" s="43">
        <f t="shared" si="506"/>
        <v>3.0000000000000018E-3</v>
      </c>
      <c r="DI74" s="43">
        <f t="shared" si="507"/>
        <v>2.8333333333333353E-3</v>
      </c>
      <c r="DJ74" s="43">
        <f t="shared" si="508"/>
        <v>2.6666666666666687E-3</v>
      </c>
      <c r="DK74" s="43">
        <f t="shared" si="509"/>
        <v>2.5000000000000022E-3</v>
      </c>
      <c r="DL74" s="43">
        <f t="shared" si="510"/>
        <v>2.3333333333333357E-3</v>
      </c>
      <c r="DM74" s="43">
        <f t="shared" si="511"/>
        <v>2.1666666666666692E-3</v>
      </c>
      <c r="DN74" s="43">
        <f t="shared" si="512"/>
        <v>2.0000000000000026E-3</v>
      </c>
      <c r="DO74" s="43">
        <f t="shared" si="513"/>
        <v>1.8333333333333359E-3</v>
      </c>
      <c r="DP74" s="43">
        <f t="shared" si="514"/>
        <v>1.6666666666666692E-3</v>
      </c>
      <c r="DQ74" s="43">
        <f t="shared" si="515"/>
        <v>1.5000000000000024E-3</v>
      </c>
      <c r="DR74" s="43">
        <f t="shared" si="516"/>
        <v>1.3333333333333357E-3</v>
      </c>
      <c r="DS74" s="43">
        <f t="shared" si="517"/>
        <v>1.1666666666666689E-3</v>
      </c>
      <c r="DT74" s="43">
        <f t="shared" si="518"/>
        <v>1.0000000000000022E-3</v>
      </c>
      <c r="DU74" s="43">
        <f t="shared" si="519"/>
        <v>8.3333333333333556E-4</v>
      </c>
      <c r="DV74" s="43">
        <f t="shared" si="520"/>
        <v>6.6666666666666892E-4</v>
      </c>
      <c r="DW74" s="43">
        <f t="shared" si="521"/>
        <v>5.0000000000000229E-4</v>
      </c>
      <c r="DX74" s="43">
        <f t="shared" si="522"/>
        <v>3.3333333333333565E-4</v>
      </c>
      <c r="DY74" s="43">
        <f t="shared" si="523"/>
        <v>1.6666666666666899E-4</v>
      </c>
      <c r="DZ74" s="43">
        <f t="shared" si="524"/>
        <v>0</v>
      </c>
    </row>
    <row r="75" spans="1:165" x14ac:dyDescent="0.2">
      <c r="A75" s="606" t="s">
        <v>451</v>
      </c>
      <c r="C75" s="54" t="s">
        <v>458</v>
      </c>
      <c r="D75" s="43">
        <f>$B$191</f>
        <v>0</v>
      </c>
      <c r="E75" s="43">
        <f t="shared" ref="E75:AG75" si="537">D75-($D75-$AH75)/30</f>
        <v>0</v>
      </c>
      <c r="F75" s="43">
        <f t="shared" si="537"/>
        <v>0</v>
      </c>
      <c r="G75" s="43">
        <f t="shared" si="537"/>
        <v>0</v>
      </c>
      <c r="H75" s="43">
        <f t="shared" si="537"/>
        <v>0</v>
      </c>
      <c r="I75" s="43">
        <f t="shared" si="537"/>
        <v>0</v>
      </c>
      <c r="J75" s="43">
        <f t="shared" si="537"/>
        <v>0</v>
      </c>
      <c r="K75" s="43">
        <f t="shared" si="537"/>
        <v>0</v>
      </c>
      <c r="L75" s="43">
        <f t="shared" si="537"/>
        <v>0</v>
      </c>
      <c r="M75" s="43">
        <f t="shared" si="537"/>
        <v>0</v>
      </c>
      <c r="N75" s="43">
        <f t="shared" si="537"/>
        <v>0</v>
      </c>
      <c r="O75" s="43">
        <f t="shared" si="537"/>
        <v>0</v>
      </c>
      <c r="P75" s="43">
        <f t="shared" si="537"/>
        <v>0</v>
      </c>
      <c r="Q75" s="43">
        <f t="shared" si="537"/>
        <v>0</v>
      </c>
      <c r="R75" s="43">
        <f t="shared" si="537"/>
        <v>0</v>
      </c>
      <c r="S75" s="43">
        <f t="shared" si="537"/>
        <v>0</v>
      </c>
      <c r="T75" s="43">
        <f t="shared" si="537"/>
        <v>0</v>
      </c>
      <c r="U75" s="43">
        <f t="shared" si="537"/>
        <v>0</v>
      </c>
      <c r="V75" s="43">
        <f t="shared" si="537"/>
        <v>0</v>
      </c>
      <c r="W75" s="43">
        <f t="shared" si="537"/>
        <v>0</v>
      </c>
      <c r="X75" s="43">
        <f t="shared" si="537"/>
        <v>0</v>
      </c>
      <c r="Y75" s="43">
        <f t="shared" si="537"/>
        <v>0</v>
      </c>
      <c r="Z75" s="43">
        <f t="shared" si="537"/>
        <v>0</v>
      </c>
      <c r="AA75" s="43">
        <f t="shared" si="537"/>
        <v>0</v>
      </c>
      <c r="AB75" s="43">
        <f t="shared" si="537"/>
        <v>0</v>
      </c>
      <c r="AC75" s="43">
        <f t="shared" si="537"/>
        <v>0</v>
      </c>
      <c r="AD75" s="43">
        <f t="shared" si="537"/>
        <v>0</v>
      </c>
      <c r="AE75" s="43">
        <f t="shared" si="537"/>
        <v>0</v>
      </c>
      <c r="AF75" s="43">
        <f t="shared" si="537"/>
        <v>0</v>
      </c>
      <c r="AG75" s="43">
        <f t="shared" si="537"/>
        <v>0</v>
      </c>
      <c r="AH75" s="43">
        <f>$C$191</f>
        <v>0</v>
      </c>
      <c r="AI75" s="44"/>
      <c r="AJ75" s="43">
        <f t="shared" si="526"/>
        <v>0</v>
      </c>
      <c r="AK75" s="43">
        <f t="shared" si="464"/>
        <v>0</v>
      </c>
      <c r="AL75" s="43">
        <f t="shared" si="465"/>
        <v>0</v>
      </c>
      <c r="AM75" s="43">
        <f t="shared" si="466"/>
        <v>0</v>
      </c>
      <c r="AN75" s="43">
        <f t="shared" si="467"/>
        <v>0</v>
      </c>
      <c r="AO75" s="43">
        <f t="shared" si="468"/>
        <v>0</v>
      </c>
      <c r="AP75" s="43">
        <f t="shared" si="469"/>
        <v>0</v>
      </c>
      <c r="AQ75" s="43">
        <f t="shared" si="470"/>
        <v>0</v>
      </c>
      <c r="AR75" s="43">
        <f t="shared" si="471"/>
        <v>0</v>
      </c>
      <c r="AS75" s="43">
        <f t="shared" si="472"/>
        <v>0</v>
      </c>
      <c r="AT75" s="43">
        <f t="shared" si="473"/>
        <v>0</v>
      </c>
      <c r="AU75" s="43">
        <f t="shared" si="474"/>
        <v>0</v>
      </c>
      <c r="AV75" s="43">
        <f t="shared" si="475"/>
        <v>0</v>
      </c>
      <c r="AW75" s="43">
        <f t="shared" si="476"/>
        <v>0</v>
      </c>
      <c r="AX75" s="43">
        <f t="shared" si="477"/>
        <v>0</v>
      </c>
      <c r="AY75" s="43">
        <f t="shared" si="478"/>
        <v>0</v>
      </c>
      <c r="AZ75" s="43">
        <f t="shared" si="479"/>
        <v>0</v>
      </c>
      <c r="BA75" s="43">
        <f t="shared" si="480"/>
        <v>0</v>
      </c>
      <c r="BB75" s="43">
        <f t="shared" si="481"/>
        <v>0</v>
      </c>
      <c r="BC75" s="43">
        <f t="shared" si="482"/>
        <v>0</v>
      </c>
      <c r="BD75" s="43">
        <f t="shared" si="483"/>
        <v>0</v>
      </c>
      <c r="BE75" s="43">
        <f t="shared" si="484"/>
        <v>0</v>
      </c>
      <c r="BF75" s="43">
        <f t="shared" si="485"/>
        <v>0</v>
      </c>
      <c r="BG75" s="43">
        <f t="shared" si="486"/>
        <v>0</v>
      </c>
      <c r="BH75" s="43">
        <f t="shared" si="487"/>
        <v>0</v>
      </c>
      <c r="BI75" s="43">
        <f t="shared" si="488"/>
        <v>0</v>
      </c>
      <c r="BJ75" s="43">
        <f t="shared" si="489"/>
        <v>0</v>
      </c>
      <c r="BK75" s="43">
        <f t="shared" si="490"/>
        <v>0</v>
      </c>
      <c r="BL75" s="43">
        <f t="shared" si="491"/>
        <v>0</v>
      </c>
      <c r="BM75" s="43">
        <f t="shared" si="492"/>
        <v>0</v>
      </c>
      <c r="BN75" s="43">
        <f t="shared" si="493"/>
        <v>0</v>
      </c>
      <c r="BP75" s="43">
        <f t="shared" si="527"/>
        <v>0</v>
      </c>
      <c r="BQ75" s="43">
        <f t="shared" ref="BQ75:CS75" si="538">BP75-($BP75-$CT75)/30</f>
        <v>0</v>
      </c>
      <c r="BR75" s="43">
        <f t="shared" si="538"/>
        <v>0</v>
      </c>
      <c r="BS75" s="43">
        <f t="shared" si="538"/>
        <v>0</v>
      </c>
      <c r="BT75" s="43">
        <f t="shared" si="538"/>
        <v>0</v>
      </c>
      <c r="BU75" s="43">
        <f t="shared" si="538"/>
        <v>0</v>
      </c>
      <c r="BV75" s="43">
        <f t="shared" si="538"/>
        <v>0</v>
      </c>
      <c r="BW75" s="43">
        <f t="shared" si="538"/>
        <v>0</v>
      </c>
      <c r="BX75" s="43">
        <f t="shared" si="538"/>
        <v>0</v>
      </c>
      <c r="BY75" s="43">
        <f t="shared" si="538"/>
        <v>0</v>
      </c>
      <c r="BZ75" s="43">
        <f t="shared" si="538"/>
        <v>0</v>
      </c>
      <c r="CA75" s="43">
        <f t="shared" si="538"/>
        <v>0</v>
      </c>
      <c r="CB75" s="43">
        <f t="shared" si="538"/>
        <v>0</v>
      </c>
      <c r="CC75" s="43">
        <f t="shared" si="538"/>
        <v>0</v>
      </c>
      <c r="CD75" s="43">
        <f t="shared" si="538"/>
        <v>0</v>
      </c>
      <c r="CE75" s="43">
        <f t="shared" si="538"/>
        <v>0</v>
      </c>
      <c r="CF75" s="43">
        <f t="shared" si="538"/>
        <v>0</v>
      </c>
      <c r="CG75" s="43">
        <f t="shared" si="538"/>
        <v>0</v>
      </c>
      <c r="CH75" s="43">
        <f t="shared" si="538"/>
        <v>0</v>
      </c>
      <c r="CI75" s="43">
        <f t="shared" si="538"/>
        <v>0</v>
      </c>
      <c r="CJ75" s="43">
        <f t="shared" si="538"/>
        <v>0</v>
      </c>
      <c r="CK75" s="43">
        <f t="shared" si="538"/>
        <v>0</v>
      </c>
      <c r="CL75" s="43">
        <f t="shared" si="538"/>
        <v>0</v>
      </c>
      <c r="CM75" s="43">
        <f t="shared" si="538"/>
        <v>0</v>
      </c>
      <c r="CN75" s="43">
        <f t="shared" si="538"/>
        <v>0</v>
      </c>
      <c r="CO75" s="43">
        <f t="shared" si="538"/>
        <v>0</v>
      </c>
      <c r="CP75" s="43">
        <f t="shared" si="538"/>
        <v>0</v>
      </c>
      <c r="CQ75" s="43">
        <f t="shared" si="538"/>
        <v>0</v>
      </c>
      <c r="CR75" s="43">
        <f t="shared" si="538"/>
        <v>0</v>
      </c>
      <c r="CS75" s="43">
        <f t="shared" si="538"/>
        <v>0</v>
      </c>
      <c r="CT75" s="43">
        <f t="shared" si="536"/>
        <v>0</v>
      </c>
      <c r="CV75" s="43">
        <f t="shared" ref="CV75:CV78" si="539">AJ75</f>
        <v>0</v>
      </c>
      <c r="CW75" s="43">
        <f t="shared" ref="CW75:CW78" si="540">CV75-($BP75-$CT75)/30</f>
        <v>0</v>
      </c>
      <c r="CX75" s="43">
        <f t="shared" ref="CX75:CX78" si="541">CW75-($BP75-$CT75)/30</f>
        <v>0</v>
      </c>
      <c r="CY75" s="43">
        <f t="shared" ref="CY75:CY78" si="542">CX75-($BP75-$CT75)/30</f>
        <v>0</v>
      </c>
      <c r="CZ75" s="43">
        <f t="shared" ref="CZ75:CZ78" si="543">CY75-($BP75-$CT75)/30</f>
        <v>0</v>
      </c>
      <c r="DA75" s="43">
        <f t="shared" ref="DA75:DA78" si="544">CZ75-($BP75-$CT75)/30</f>
        <v>0</v>
      </c>
      <c r="DB75" s="43">
        <f t="shared" ref="DB75:DB78" si="545">DA75-($BP75-$CT75)/30</f>
        <v>0</v>
      </c>
      <c r="DC75" s="43">
        <f t="shared" ref="DC75:DC78" si="546">DB75-($BP75-$CT75)/30</f>
        <v>0</v>
      </c>
      <c r="DD75" s="43">
        <f t="shared" ref="DD75:DD78" si="547">DC75-($BP75-$CT75)/30</f>
        <v>0</v>
      </c>
      <c r="DE75" s="43">
        <f t="shared" ref="DE75:DE78" si="548">DD75-($BP75-$CT75)/30</f>
        <v>0</v>
      </c>
      <c r="DF75" s="43">
        <f t="shared" ref="DF75:DF78" si="549">DE75-($BP75-$CT75)/30</f>
        <v>0</v>
      </c>
      <c r="DG75" s="43">
        <f t="shared" ref="DG75:DG78" si="550">DF75-($BP75-$CT75)/30</f>
        <v>0</v>
      </c>
      <c r="DH75" s="43">
        <f t="shared" ref="DH75:DH78" si="551">DG75-($BP75-$CT75)/30</f>
        <v>0</v>
      </c>
      <c r="DI75" s="43">
        <f t="shared" ref="DI75:DI78" si="552">DH75-($BP75-$CT75)/30</f>
        <v>0</v>
      </c>
      <c r="DJ75" s="43">
        <f t="shared" ref="DJ75:DJ78" si="553">DI75-($BP75-$CT75)/30</f>
        <v>0</v>
      </c>
      <c r="DK75" s="43">
        <f t="shared" ref="DK75:DK78" si="554">DJ75-($BP75-$CT75)/30</f>
        <v>0</v>
      </c>
      <c r="DL75" s="43">
        <f t="shared" ref="DL75:DL78" si="555">DK75-($BP75-$CT75)/30</f>
        <v>0</v>
      </c>
      <c r="DM75" s="43">
        <f t="shared" ref="DM75:DM78" si="556">DL75-($BP75-$CT75)/30</f>
        <v>0</v>
      </c>
      <c r="DN75" s="43">
        <f t="shared" ref="DN75:DN78" si="557">DM75-($BP75-$CT75)/30</f>
        <v>0</v>
      </c>
      <c r="DO75" s="43">
        <f t="shared" ref="DO75:DO78" si="558">DN75-($BP75-$CT75)/30</f>
        <v>0</v>
      </c>
      <c r="DP75" s="43">
        <f t="shared" ref="DP75:DP78" si="559">DO75-($BP75-$CT75)/30</f>
        <v>0</v>
      </c>
      <c r="DQ75" s="43">
        <f t="shared" ref="DQ75:DQ78" si="560">DP75-($BP75-$CT75)/30</f>
        <v>0</v>
      </c>
      <c r="DR75" s="43">
        <f t="shared" ref="DR75:DR78" si="561">DQ75-($BP75-$CT75)/30</f>
        <v>0</v>
      </c>
      <c r="DS75" s="43">
        <f t="shared" ref="DS75:DS78" si="562">DR75-($BP75-$CT75)/30</f>
        <v>0</v>
      </c>
      <c r="DT75" s="43">
        <f t="shared" ref="DT75:DT78" si="563">DS75-($BP75-$CT75)/30</f>
        <v>0</v>
      </c>
      <c r="DU75" s="43">
        <f t="shared" ref="DU75:DU78" si="564">DT75-($BP75-$CT75)/30</f>
        <v>0</v>
      </c>
      <c r="DV75" s="43">
        <f t="shared" ref="DV75:DV78" si="565">DU75-($BP75-$CT75)/30</f>
        <v>0</v>
      </c>
      <c r="DW75" s="43">
        <f t="shared" ref="DW75:DW78" si="566">DV75-($BP75-$CT75)/30</f>
        <v>0</v>
      </c>
      <c r="DX75" s="43">
        <f t="shared" ref="DX75:DX78" si="567">DW75-($BP75-$CT75)/30</f>
        <v>0</v>
      </c>
      <c r="DY75" s="43">
        <f t="shared" ref="DY75:DY78" si="568">DX75-($BP75-$CT75)/30</f>
        <v>0</v>
      </c>
      <c r="DZ75" s="43">
        <v>0</v>
      </c>
    </row>
    <row r="76" spans="1:165" x14ac:dyDescent="0.2">
      <c r="A76" s="606" t="s">
        <v>452</v>
      </c>
      <c r="C76" s="54" t="s">
        <v>458</v>
      </c>
      <c r="D76" s="43">
        <f>$B$192</f>
        <v>2.8940000000000001</v>
      </c>
      <c r="E76" s="43">
        <f t="shared" ref="E76:AG76" si="569">D76-($D76-$AH76)/30</f>
        <v>2.8940000000000001</v>
      </c>
      <c r="F76" s="43">
        <f t="shared" si="569"/>
        <v>2.8940000000000001</v>
      </c>
      <c r="G76" s="43">
        <f t="shared" si="569"/>
        <v>2.8940000000000001</v>
      </c>
      <c r="H76" s="43">
        <f t="shared" si="569"/>
        <v>2.8940000000000001</v>
      </c>
      <c r="I76" s="43">
        <f t="shared" si="569"/>
        <v>2.8940000000000001</v>
      </c>
      <c r="J76" s="43">
        <f t="shared" si="569"/>
        <v>2.8940000000000001</v>
      </c>
      <c r="K76" s="43">
        <f t="shared" si="569"/>
        <v>2.8940000000000001</v>
      </c>
      <c r="L76" s="43">
        <f t="shared" si="569"/>
        <v>2.8940000000000001</v>
      </c>
      <c r="M76" s="43">
        <f t="shared" si="569"/>
        <v>2.8940000000000001</v>
      </c>
      <c r="N76" s="43">
        <f t="shared" si="569"/>
        <v>2.8940000000000001</v>
      </c>
      <c r="O76" s="43">
        <f t="shared" si="569"/>
        <v>2.8940000000000001</v>
      </c>
      <c r="P76" s="43">
        <f t="shared" si="569"/>
        <v>2.8940000000000001</v>
      </c>
      <c r="Q76" s="43">
        <f t="shared" si="569"/>
        <v>2.8940000000000001</v>
      </c>
      <c r="R76" s="43">
        <f t="shared" si="569"/>
        <v>2.8940000000000001</v>
      </c>
      <c r="S76" s="43">
        <f t="shared" si="569"/>
        <v>2.8940000000000001</v>
      </c>
      <c r="T76" s="43">
        <f t="shared" si="569"/>
        <v>2.8940000000000001</v>
      </c>
      <c r="U76" s="43">
        <f t="shared" si="569"/>
        <v>2.8940000000000001</v>
      </c>
      <c r="V76" s="43">
        <f t="shared" si="569"/>
        <v>2.8940000000000001</v>
      </c>
      <c r="W76" s="43">
        <f t="shared" si="569"/>
        <v>2.8940000000000001</v>
      </c>
      <c r="X76" s="43">
        <f t="shared" si="569"/>
        <v>2.8940000000000001</v>
      </c>
      <c r="Y76" s="43">
        <f t="shared" si="569"/>
        <v>2.8940000000000001</v>
      </c>
      <c r="Z76" s="43">
        <f t="shared" si="569"/>
        <v>2.8940000000000001</v>
      </c>
      <c r="AA76" s="43">
        <f t="shared" si="569"/>
        <v>2.8940000000000001</v>
      </c>
      <c r="AB76" s="43">
        <f t="shared" si="569"/>
        <v>2.8940000000000001</v>
      </c>
      <c r="AC76" s="43">
        <f t="shared" si="569"/>
        <v>2.8940000000000001</v>
      </c>
      <c r="AD76" s="43">
        <f t="shared" si="569"/>
        <v>2.8940000000000001</v>
      </c>
      <c r="AE76" s="43">
        <f t="shared" si="569"/>
        <v>2.8940000000000001</v>
      </c>
      <c r="AF76" s="43">
        <f t="shared" si="569"/>
        <v>2.8940000000000001</v>
      </c>
      <c r="AG76" s="43">
        <f t="shared" si="569"/>
        <v>2.8940000000000001</v>
      </c>
      <c r="AH76" s="43">
        <f>$C$192</f>
        <v>2.8940000000000001</v>
      </c>
      <c r="AI76" s="44"/>
      <c r="AJ76" s="43">
        <f t="shared" si="526"/>
        <v>2.8940000000000001</v>
      </c>
      <c r="AK76" s="43">
        <f t="shared" si="464"/>
        <v>2.8940000000000001</v>
      </c>
      <c r="AL76" s="43">
        <f t="shared" si="465"/>
        <v>2.8940000000000001</v>
      </c>
      <c r="AM76" s="43">
        <f t="shared" si="466"/>
        <v>2.8940000000000001</v>
      </c>
      <c r="AN76" s="43">
        <f t="shared" si="467"/>
        <v>2.8940000000000001</v>
      </c>
      <c r="AO76" s="43">
        <f t="shared" si="468"/>
        <v>2.8940000000000001</v>
      </c>
      <c r="AP76" s="43">
        <f t="shared" si="469"/>
        <v>2.8940000000000001</v>
      </c>
      <c r="AQ76" s="43">
        <f t="shared" si="470"/>
        <v>2.8940000000000001</v>
      </c>
      <c r="AR76" s="43">
        <f t="shared" si="471"/>
        <v>2.8940000000000001</v>
      </c>
      <c r="AS76" s="43">
        <f t="shared" si="472"/>
        <v>2.8940000000000001</v>
      </c>
      <c r="AT76" s="43">
        <f t="shared" si="473"/>
        <v>2.8940000000000001</v>
      </c>
      <c r="AU76" s="43">
        <f t="shared" si="474"/>
        <v>2.8940000000000001</v>
      </c>
      <c r="AV76" s="43">
        <f t="shared" si="475"/>
        <v>2.8940000000000001</v>
      </c>
      <c r="AW76" s="43">
        <f t="shared" si="476"/>
        <v>2.8940000000000001</v>
      </c>
      <c r="AX76" s="43">
        <f t="shared" si="477"/>
        <v>2.8940000000000001</v>
      </c>
      <c r="AY76" s="43">
        <f t="shared" si="478"/>
        <v>2.8940000000000001</v>
      </c>
      <c r="AZ76" s="43">
        <f t="shared" si="479"/>
        <v>2.8940000000000001</v>
      </c>
      <c r="BA76" s="43">
        <f t="shared" si="480"/>
        <v>2.8940000000000001</v>
      </c>
      <c r="BB76" s="43">
        <f t="shared" si="481"/>
        <v>2.8940000000000001</v>
      </c>
      <c r="BC76" s="43">
        <f t="shared" si="482"/>
        <v>2.8940000000000001</v>
      </c>
      <c r="BD76" s="43">
        <f t="shared" si="483"/>
        <v>2.8940000000000001</v>
      </c>
      <c r="BE76" s="43">
        <f t="shared" si="484"/>
        <v>2.8940000000000001</v>
      </c>
      <c r="BF76" s="43">
        <f t="shared" si="485"/>
        <v>2.8940000000000001</v>
      </c>
      <c r="BG76" s="43">
        <f t="shared" si="486"/>
        <v>2.8940000000000001</v>
      </c>
      <c r="BH76" s="43">
        <f t="shared" si="487"/>
        <v>2.8940000000000001</v>
      </c>
      <c r="BI76" s="43">
        <f t="shared" si="488"/>
        <v>2.8940000000000001</v>
      </c>
      <c r="BJ76" s="43">
        <f t="shared" si="489"/>
        <v>2.8940000000000001</v>
      </c>
      <c r="BK76" s="43">
        <f t="shared" si="490"/>
        <v>2.8940000000000001</v>
      </c>
      <c r="BL76" s="43">
        <f t="shared" si="491"/>
        <v>2.8940000000000001</v>
      </c>
      <c r="BM76" s="43">
        <f t="shared" si="492"/>
        <v>2.8940000000000001</v>
      </c>
      <c r="BN76" s="43">
        <f t="shared" si="493"/>
        <v>2.8940000000000001</v>
      </c>
      <c r="BP76" s="43">
        <f t="shared" si="527"/>
        <v>2.8940000000000001</v>
      </c>
      <c r="BQ76" s="43">
        <f t="shared" ref="BQ76:CS76" si="570">BP76-($BP76-$CT76)/30</f>
        <v>2.8940000000000001</v>
      </c>
      <c r="BR76" s="43">
        <f t="shared" si="570"/>
        <v>2.8940000000000001</v>
      </c>
      <c r="BS76" s="43">
        <f t="shared" si="570"/>
        <v>2.8940000000000001</v>
      </c>
      <c r="BT76" s="43">
        <f t="shared" si="570"/>
        <v>2.8940000000000001</v>
      </c>
      <c r="BU76" s="43">
        <f t="shared" si="570"/>
        <v>2.8940000000000001</v>
      </c>
      <c r="BV76" s="43">
        <f t="shared" si="570"/>
        <v>2.8940000000000001</v>
      </c>
      <c r="BW76" s="43">
        <f t="shared" si="570"/>
        <v>2.8940000000000001</v>
      </c>
      <c r="BX76" s="43">
        <f t="shared" si="570"/>
        <v>2.8940000000000001</v>
      </c>
      <c r="BY76" s="43">
        <f t="shared" si="570"/>
        <v>2.8940000000000001</v>
      </c>
      <c r="BZ76" s="43">
        <f t="shared" si="570"/>
        <v>2.8940000000000001</v>
      </c>
      <c r="CA76" s="43">
        <f t="shared" si="570"/>
        <v>2.8940000000000001</v>
      </c>
      <c r="CB76" s="43">
        <f t="shared" si="570"/>
        <v>2.8940000000000001</v>
      </c>
      <c r="CC76" s="43">
        <f t="shared" si="570"/>
        <v>2.8940000000000001</v>
      </c>
      <c r="CD76" s="43">
        <f t="shared" si="570"/>
        <v>2.8940000000000001</v>
      </c>
      <c r="CE76" s="43">
        <f t="shared" si="570"/>
        <v>2.8940000000000001</v>
      </c>
      <c r="CF76" s="43">
        <f t="shared" si="570"/>
        <v>2.8940000000000001</v>
      </c>
      <c r="CG76" s="43">
        <f t="shared" si="570"/>
        <v>2.8940000000000001</v>
      </c>
      <c r="CH76" s="43">
        <f t="shared" si="570"/>
        <v>2.8940000000000001</v>
      </c>
      <c r="CI76" s="43">
        <f t="shared" si="570"/>
        <v>2.8940000000000001</v>
      </c>
      <c r="CJ76" s="43">
        <f t="shared" si="570"/>
        <v>2.8940000000000001</v>
      </c>
      <c r="CK76" s="43">
        <f t="shared" si="570"/>
        <v>2.8940000000000001</v>
      </c>
      <c r="CL76" s="43">
        <f t="shared" si="570"/>
        <v>2.8940000000000001</v>
      </c>
      <c r="CM76" s="43">
        <f t="shared" si="570"/>
        <v>2.8940000000000001</v>
      </c>
      <c r="CN76" s="43">
        <f t="shared" si="570"/>
        <v>2.8940000000000001</v>
      </c>
      <c r="CO76" s="43">
        <f t="shared" si="570"/>
        <v>2.8940000000000001</v>
      </c>
      <c r="CP76" s="43">
        <f t="shared" si="570"/>
        <v>2.8940000000000001</v>
      </c>
      <c r="CQ76" s="43">
        <f t="shared" si="570"/>
        <v>2.8940000000000001</v>
      </c>
      <c r="CR76" s="43">
        <f t="shared" si="570"/>
        <v>2.8940000000000001</v>
      </c>
      <c r="CS76" s="43">
        <f t="shared" si="570"/>
        <v>2.8940000000000001</v>
      </c>
      <c r="CT76" s="43">
        <f t="shared" si="536"/>
        <v>2.8940000000000001</v>
      </c>
      <c r="CV76" s="43">
        <f t="shared" si="539"/>
        <v>2.8940000000000001</v>
      </c>
      <c r="CW76" s="43">
        <f t="shared" si="540"/>
        <v>2.8940000000000001</v>
      </c>
      <c r="CX76" s="43">
        <f t="shared" si="541"/>
        <v>2.8940000000000001</v>
      </c>
      <c r="CY76" s="43">
        <f t="shared" si="542"/>
        <v>2.8940000000000001</v>
      </c>
      <c r="CZ76" s="43">
        <f t="shared" si="543"/>
        <v>2.8940000000000001</v>
      </c>
      <c r="DA76" s="43">
        <f t="shared" si="544"/>
        <v>2.8940000000000001</v>
      </c>
      <c r="DB76" s="43">
        <f t="shared" si="545"/>
        <v>2.8940000000000001</v>
      </c>
      <c r="DC76" s="43">
        <f t="shared" si="546"/>
        <v>2.8940000000000001</v>
      </c>
      <c r="DD76" s="43">
        <f t="shared" si="547"/>
        <v>2.8940000000000001</v>
      </c>
      <c r="DE76" s="43">
        <f t="shared" si="548"/>
        <v>2.8940000000000001</v>
      </c>
      <c r="DF76" s="43">
        <f t="shared" si="549"/>
        <v>2.8940000000000001</v>
      </c>
      <c r="DG76" s="43">
        <f t="shared" si="550"/>
        <v>2.8940000000000001</v>
      </c>
      <c r="DH76" s="43">
        <f t="shared" si="551"/>
        <v>2.8940000000000001</v>
      </c>
      <c r="DI76" s="43">
        <f t="shared" si="552"/>
        <v>2.8940000000000001</v>
      </c>
      <c r="DJ76" s="43">
        <f t="shared" si="553"/>
        <v>2.8940000000000001</v>
      </c>
      <c r="DK76" s="43">
        <f t="shared" si="554"/>
        <v>2.8940000000000001</v>
      </c>
      <c r="DL76" s="43">
        <f t="shared" si="555"/>
        <v>2.8940000000000001</v>
      </c>
      <c r="DM76" s="43">
        <f t="shared" si="556"/>
        <v>2.8940000000000001</v>
      </c>
      <c r="DN76" s="43">
        <f t="shared" si="557"/>
        <v>2.8940000000000001</v>
      </c>
      <c r="DO76" s="43">
        <f t="shared" si="558"/>
        <v>2.8940000000000001</v>
      </c>
      <c r="DP76" s="43">
        <f t="shared" si="559"/>
        <v>2.8940000000000001</v>
      </c>
      <c r="DQ76" s="43">
        <f t="shared" si="560"/>
        <v>2.8940000000000001</v>
      </c>
      <c r="DR76" s="43">
        <f t="shared" si="561"/>
        <v>2.8940000000000001</v>
      </c>
      <c r="DS76" s="43">
        <f t="shared" si="562"/>
        <v>2.8940000000000001</v>
      </c>
      <c r="DT76" s="43">
        <f t="shared" si="563"/>
        <v>2.8940000000000001</v>
      </c>
      <c r="DU76" s="43">
        <f t="shared" si="564"/>
        <v>2.8940000000000001</v>
      </c>
      <c r="DV76" s="43">
        <f t="shared" si="565"/>
        <v>2.8940000000000001</v>
      </c>
      <c r="DW76" s="43">
        <f t="shared" si="566"/>
        <v>2.8940000000000001</v>
      </c>
      <c r="DX76" s="43">
        <f t="shared" si="567"/>
        <v>2.8940000000000001</v>
      </c>
      <c r="DY76" s="43">
        <f t="shared" si="568"/>
        <v>2.8940000000000001</v>
      </c>
      <c r="DZ76" s="43">
        <f t="shared" ref="DZ76:DZ78" si="571">CV76</f>
        <v>2.8940000000000001</v>
      </c>
    </row>
    <row r="77" spans="1:165" x14ac:dyDescent="0.2">
      <c r="A77" s="606" t="s">
        <v>453</v>
      </c>
      <c r="C77" s="54" t="s">
        <v>458</v>
      </c>
      <c r="D77" s="43">
        <f>$B$193</f>
        <v>0</v>
      </c>
      <c r="E77" s="43">
        <f t="shared" ref="E77:AG77" si="572">D77-($D77-$AH77)/30</f>
        <v>0</v>
      </c>
      <c r="F77" s="43">
        <f t="shared" si="572"/>
        <v>0</v>
      </c>
      <c r="G77" s="43">
        <f t="shared" si="572"/>
        <v>0</v>
      </c>
      <c r="H77" s="43">
        <f t="shared" si="572"/>
        <v>0</v>
      </c>
      <c r="I77" s="43">
        <f t="shared" si="572"/>
        <v>0</v>
      </c>
      <c r="J77" s="43">
        <f t="shared" si="572"/>
        <v>0</v>
      </c>
      <c r="K77" s="43">
        <f t="shared" si="572"/>
        <v>0</v>
      </c>
      <c r="L77" s="43">
        <f t="shared" si="572"/>
        <v>0</v>
      </c>
      <c r="M77" s="43">
        <f t="shared" si="572"/>
        <v>0</v>
      </c>
      <c r="N77" s="43">
        <f t="shared" si="572"/>
        <v>0</v>
      </c>
      <c r="O77" s="43">
        <f t="shared" si="572"/>
        <v>0</v>
      </c>
      <c r="P77" s="43">
        <f t="shared" si="572"/>
        <v>0</v>
      </c>
      <c r="Q77" s="43">
        <f t="shared" si="572"/>
        <v>0</v>
      </c>
      <c r="R77" s="43">
        <f t="shared" si="572"/>
        <v>0</v>
      </c>
      <c r="S77" s="43">
        <f t="shared" si="572"/>
        <v>0</v>
      </c>
      <c r="T77" s="43">
        <f t="shared" si="572"/>
        <v>0</v>
      </c>
      <c r="U77" s="43">
        <f t="shared" si="572"/>
        <v>0</v>
      </c>
      <c r="V77" s="43">
        <f t="shared" si="572"/>
        <v>0</v>
      </c>
      <c r="W77" s="43">
        <f t="shared" si="572"/>
        <v>0</v>
      </c>
      <c r="X77" s="43">
        <f t="shared" si="572"/>
        <v>0</v>
      </c>
      <c r="Y77" s="43">
        <f t="shared" si="572"/>
        <v>0</v>
      </c>
      <c r="Z77" s="43">
        <f t="shared" si="572"/>
        <v>0</v>
      </c>
      <c r="AA77" s="43">
        <f t="shared" si="572"/>
        <v>0</v>
      </c>
      <c r="AB77" s="43">
        <f t="shared" si="572"/>
        <v>0</v>
      </c>
      <c r="AC77" s="43">
        <f t="shared" si="572"/>
        <v>0</v>
      </c>
      <c r="AD77" s="43">
        <f t="shared" si="572"/>
        <v>0</v>
      </c>
      <c r="AE77" s="43">
        <f t="shared" si="572"/>
        <v>0</v>
      </c>
      <c r="AF77" s="43">
        <f t="shared" si="572"/>
        <v>0</v>
      </c>
      <c r="AG77" s="43">
        <f t="shared" si="572"/>
        <v>0</v>
      </c>
      <c r="AH77" s="43">
        <f>$C$193</f>
        <v>0</v>
      </c>
      <c r="AI77" s="44"/>
      <c r="AJ77" s="43">
        <f t="shared" si="526"/>
        <v>0</v>
      </c>
      <c r="AK77" s="43">
        <f t="shared" si="464"/>
        <v>0</v>
      </c>
      <c r="AL77" s="43">
        <f t="shared" si="465"/>
        <v>0</v>
      </c>
      <c r="AM77" s="43">
        <f t="shared" si="466"/>
        <v>0</v>
      </c>
      <c r="AN77" s="43">
        <f t="shared" si="467"/>
        <v>0</v>
      </c>
      <c r="AO77" s="43">
        <f t="shared" si="468"/>
        <v>0</v>
      </c>
      <c r="AP77" s="43">
        <f t="shared" si="469"/>
        <v>0</v>
      </c>
      <c r="AQ77" s="43">
        <f t="shared" si="470"/>
        <v>0</v>
      </c>
      <c r="AR77" s="43">
        <f t="shared" si="471"/>
        <v>0</v>
      </c>
      <c r="AS77" s="43">
        <f t="shared" si="472"/>
        <v>0</v>
      </c>
      <c r="AT77" s="43">
        <f t="shared" si="473"/>
        <v>0</v>
      </c>
      <c r="AU77" s="43">
        <f t="shared" si="474"/>
        <v>0</v>
      </c>
      <c r="AV77" s="43">
        <f t="shared" si="475"/>
        <v>0</v>
      </c>
      <c r="AW77" s="43">
        <f t="shared" si="476"/>
        <v>0</v>
      </c>
      <c r="AX77" s="43">
        <f t="shared" si="477"/>
        <v>0</v>
      </c>
      <c r="AY77" s="43">
        <f t="shared" si="478"/>
        <v>0</v>
      </c>
      <c r="AZ77" s="43">
        <f t="shared" si="479"/>
        <v>0</v>
      </c>
      <c r="BA77" s="43">
        <f t="shared" si="480"/>
        <v>0</v>
      </c>
      <c r="BB77" s="43">
        <f t="shared" si="481"/>
        <v>0</v>
      </c>
      <c r="BC77" s="43">
        <f t="shared" si="482"/>
        <v>0</v>
      </c>
      <c r="BD77" s="43">
        <f t="shared" si="483"/>
        <v>0</v>
      </c>
      <c r="BE77" s="43">
        <f t="shared" si="484"/>
        <v>0</v>
      </c>
      <c r="BF77" s="43">
        <f t="shared" si="485"/>
        <v>0</v>
      </c>
      <c r="BG77" s="43">
        <f t="shared" si="486"/>
        <v>0</v>
      </c>
      <c r="BH77" s="43">
        <f t="shared" si="487"/>
        <v>0</v>
      </c>
      <c r="BI77" s="43">
        <f t="shared" si="488"/>
        <v>0</v>
      </c>
      <c r="BJ77" s="43">
        <f t="shared" si="489"/>
        <v>0</v>
      </c>
      <c r="BK77" s="43">
        <f t="shared" si="490"/>
        <v>0</v>
      </c>
      <c r="BL77" s="43">
        <f t="shared" si="491"/>
        <v>0</v>
      </c>
      <c r="BM77" s="43">
        <f t="shared" si="492"/>
        <v>0</v>
      </c>
      <c r="BN77" s="43">
        <f t="shared" si="493"/>
        <v>0</v>
      </c>
      <c r="BP77" s="43">
        <f t="shared" si="527"/>
        <v>0</v>
      </c>
      <c r="BQ77" s="43">
        <f t="shared" ref="BQ77:CS77" si="573">BP77-($BP77-$CT77)/30</f>
        <v>0</v>
      </c>
      <c r="BR77" s="43">
        <f t="shared" si="573"/>
        <v>0</v>
      </c>
      <c r="BS77" s="43">
        <f t="shared" si="573"/>
        <v>0</v>
      </c>
      <c r="BT77" s="43">
        <f t="shared" si="573"/>
        <v>0</v>
      </c>
      <c r="BU77" s="43">
        <f t="shared" si="573"/>
        <v>0</v>
      </c>
      <c r="BV77" s="43">
        <f t="shared" si="573"/>
        <v>0</v>
      </c>
      <c r="BW77" s="43">
        <f t="shared" si="573"/>
        <v>0</v>
      </c>
      <c r="BX77" s="43">
        <f t="shared" si="573"/>
        <v>0</v>
      </c>
      <c r="BY77" s="43">
        <f t="shared" si="573"/>
        <v>0</v>
      </c>
      <c r="BZ77" s="43">
        <f t="shared" si="573"/>
        <v>0</v>
      </c>
      <c r="CA77" s="43">
        <f t="shared" si="573"/>
        <v>0</v>
      </c>
      <c r="CB77" s="43">
        <f t="shared" si="573"/>
        <v>0</v>
      </c>
      <c r="CC77" s="43">
        <f t="shared" si="573"/>
        <v>0</v>
      </c>
      <c r="CD77" s="43">
        <f t="shared" si="573"/>
        <v>0</v>
      </c>
      <c r="CE77" s="43">
        <f t="shared" si="573"/>
        <v>0</v>
      </c>
      <c r="CF77" s="43">
        <f t="shared" si="573"/>
        <v>0</v>
      </c>
      <c r="CG77" s="43">
        <f t="shared" si="573"/>
        <v>0</v>
      </c>
      <c r="CH77" s="43">
        <f t="shared" si="573"/>
        <v>0</v>
      </c>
      <c r="CI77" s="43">
        <f t="shared" si="573"/>
        <v>0</v>
      </c>
      <c r="CJ77" s="43">
        <f t="shared" si="573"/>
        <v>0</v>
      </c>
      <c r="CK77" s="43">
        <f t="shared" si="573"/>
        <v>0</v>
      </c>
      <c r="CL77" s="43">
        <f t="shared" si="573"/>
        <v>0</v>
      </c>
      <c r="CM77" s="43">
        <f t="shared" si="573"/>
        <v>0</v>
      </c>
      <c r="CN77" s="43">
        <f t="shared" si="573"/>
        <v>0</v>
      </c>
      <c r="CO77" s="43">
        <f t="shared" si="573"/>
        <v>0</v>
      </c>
      <c r="CP77" s="43">
        <f t="shared" si="573"/>
        <v>0</v>
      </c>
      <c r="CQ77" s="43">
        <f t="shared" si="573"/>
        <v>0</v>
      </c>
      <c r="CR77" s="43">
        <f t="shared" si="573"/>
        <v>0</v>
      </c>
      <c r="CS77" s="43">
        <f t="shared" si="573"/>
        <v>0</v>
      </c>
      <c r="CT77" s="43">
        <f t="shared" si="536"/>
        <v>0</v>
      </c>
      <c r="CV77" s="43">
        <f t="shared" si="539"/>
        <v>0</v>
      </c>
      <c r="CW77" s="43">
        <f t="shared" si="540"/>
        <v>0</v>
      </c>
      <c r="CX77" s="43">
        <f t="shared" si="541"/>
        <v>0</v>
      </c>
      <c r="CY77" s="43">
        <f t="shared" si="542"/>
        <v>0</v>
      </c>
      <c r="CZ77" s="43">
        <f t="shared" si="543"/>
        <v>0</v>
      </c>
      <c r="DA77" s="43">
        <f t="shared" si="544"/>
        <v>0</v>
      </c>
      <c r="DB77" s="43">
        <f t="shared" si="545"/>
        <v>0</v>
      </c>
      <c r="DC77" s="43">
        <f t="shared" si="546"/>
        <v>0</v>
      </c>
      <c r="DD77" s="43">
        <f t="shared" si="547"/>
        <v>0</v>
      </c>
      <c r="DE77" s="43">
        <f t="shared" si="548"/>
        <v>0</v>
      </c>
      <c r="DF77" s="43">
        <f t="shared" si="549"/>
        <v>0</v>
      </c>
      <c r="DG77" s="43">
        <f t="shared" si="550"/>
        <v>0</v>
      </c>
      <c r="DH77" s="43">
        <f t="shared" si="551"/>
        <v>0</v>
      </c>
      <c r="DI77" s="43">
        <f t="shared" si="552"/>
        <v>0</v>
      </c>
      <c r="DJ77" s="43">
        <f t="shared" si="553"/>
        <v>0</v>
      </c>
      <c r="DK77" s="43">
        <f t="shared" si="554"/>
        <v>0</v>
      </c>
      <c r="DL77" s="43">
        <f t="shared" si="555"/>
        <v>0</v>
      </c>
      <c r="DM77" s="43">
        <f t="shared" si="556"/>
        <v>0</v>
      </c>
      <c r="DN77" s="43">
        <f t="shared" si="557"/>
        <v>0</v>
      </c>
      <c r="DO77" s="43">
        <f t="shared" si="558"/>
        <v>0</v>
      </c>
      <c r="DP77" s="43">
        <f t="shared" si="559"/>
        <v>0</v>
      </c>
      <c r="DQ77" s="43">
        <f t="shared" si="560"/>
        <v>0</v>
      </c>
      <c r="DR77" s="43">
        <f t="shared" si="561"/>
        <v>0</v>
      </c>
      <c r="DS77" s="43">
        <f t="shared" si="562"/>
        <v>0</v>
      </c>
      <c r="DT77" s="43">
        <f t="shared" si="563"/>
        <v>0</v>
      </c>
      <c r="DU77" s="43">
        <f t="shared" si="564"/>
        <v>0</v>
      </c>
      <c r="DV77" s="43">
        <f t="shared" si="565"/>
        <v>0</v>
      </c>
      <c r="DW77" s="43">
        <f t="shared" si="566"/>
        <v>0</v>
      </c>
      <c r="DX77" s="43">
        <f t="shared" si="567"/>
        <v>0</v>
      </c>
      <c r="DY77" s="43">
        <f t="shared" si="568"/>
        <v>0</v>
      </c>
      <c r="DZ77" s="43">
        <f t="shared" si="571"/>
        <v>0</v>
      </c>
    </row>
    <row r="78" spans="1:165" ht="16" thickBot="1" x14ac:dyDescent="0.25">
      <c r="A78" s="606" t="s">
        <v>454</v>
      </c>
      <c r="C78" s="54" t="s">
        <v>458</v>
      </c>
      <c r="D78" s="43">
        <f>$B$194</f>
        <v>0</v>
      </c>
      <c r="E78" s="43">
        <f t="shared" ref="E78:AG78" si="574">D78-($D78-$AH78)/30</f>
        <v>0</v>
      </c>
      <c r="F78" s="43">
        <f t="shared" si="574"/>
        <v>0</v>
      </c>
      <c r="G78" s="43">
        <f t="shared" si="574"/>
        <v>0</v>
      </c>
      <c r="H78" s="43">
        <f t="shared" si="574"/>
        <v>0</v>
      </c>
      <c r="I78" s="43">
        <f t="shared" si="574"/>
        <v>0</v>
      </c>
      <c r="J78" s="43">
        <f t="shared" si="574"/>
        <v>0</v>
      </c>
      <c r="K78" s="43">
        <f t="shared" si="574"/>
        <v>0</v>
      </c>
      <c r="L78" s="43">
        <f t="shared" si="574"/>
        <v>0</v>
      </c>
      <c r="M78" s="43">
        <f t="shared" si="574"/>
        <v>0</v>
      </c>
      <c r="N78" s="43">
        <f t="shared" si="574"/>
        <v>0</v>
      </c>
      <c r="O78" s="43">
        <f t="shared" si="574"/>
        <v>0</v>
      </c>
      <c r="P78" s="43">
        <f t="shared" si="574"/>
        <v>0</v>
      </c>
      <c r="Q78" s="43">
        <f t="shared" si="574"/>
        <v>0</v>
      </c>
      <c r="R78" s="43">
        <f t="shared" si="574"/>
        <v>0</v>
      </c>
      <c r="S78" s="43">
        <f t="shared" si="574"/>
        <v>0</v>
      </c>
      <c r="T78" s="43">
        <f t="shared" si="574"/>
        <v>0</v>
      </c>
      <c r="U78" s="43">
        <f t="shared" si="574"/>
        <v>0</v>
      </c>
      <c r="V78" s="43">
        <f t="shared" si="574"/>
        <v>0</v>
      </c>
      <c r="W78" s="43">
        <f t="shared" si="574"/>
        <v>0</v>
      </c>
      <c r="X78" s="43">
        <f t="shared" si="574"/>
        <v>0</v>
      </c>
      <c r="Y78" s="43">
        <f t="shared" si="574"/>
        <v>0</v>
      </c>
      <c r="Z78" s="43">
        <f t="shared" si="574"/>
        <v>0</v>
      </c>
      <c r="AA78" s="43">
        <f t="shared" si="574"/>
        <v>0</v>
      </c>
      <c r="AB78" s="43">
        <f t="shared" si="574"/>
        <v>0</v>
      </c>
      <c r="AC78" s="43">
        <f t="shared" si="574"/>
        <v>0</v>
      </c>
      <c r="AD78" s="43">
        <f t="shared" si="574"/>
        <v>0</v>
      </c>
      <c r="AE78" s="43">
        <f t="shared" si="574"/>
        <v>0</v>
      </c>
      <c r="AF78" s="43">
        <f t="shared" si="574"/>
        <v>0</v>
      </c>
      <c r="AG78" s="43">
        <f t="shared" si="574"/>
        <v>0</v>
      </c>
      <c r="AH78" s="43">
        <f>$C$194</f>
        <v>0</v>
      </c>
      <c r="AI78" s="44"/>
      <c r="AJ78" s="43">
        <f t="shared" si="526"/>
        <v>0</v>
      </c>
      <c r="AK78" s="43">
        <f t="shared" si="464"/>
        <v>0</v>
      </c>
      <c r="AL78" s="43">
        <f t="shared" si="465"/>
        <v>0</v>
      </c>
      <c r="AM78" s="43">
        <f t="shared" si="466"/>
        <v>0</v>
      </c>
      <c r="AN78" s="43">
        <f t="shared" si="467"/>
        <v>0</v>
      </c>
      <c r="AO78" s="43">
        <f t="shared" si="468"/>
        <v>0</v>
      </c>
      <c r="AP78" s="43">
        <f t="shared" si="469"/>
        <v>0</v>
      </c>
      <c r="AQ78" s="43">
        <f t="shared" si="470"/>
        <v>0</v>
      </c>
      <c r="AR78" s="43">
        <f t="shared" si="471"/>
        <v>0</v>
      </c>
      <c r="AS78" s="43">
        <f t="shared" si="472"/>
        <v>0</v>
      </c>
      <c r="AT78" s="43">
        <f t="shared" si="473"/>
        <v>0</v>
      </c>
      <c r="AU78" s="43">
        <f t="shared" si="474"/>
        <v>0</v>
      </c>
      <c r="AV78" s="43">
        <f t="shared" si="475"/>
        <v>0</v>
      </c>
      <c r="AW78" s="43">
        <f t="shared" si="476"/>
        <v>0</v>
      </c>
      <c r="AX78" s="43">
        <f t="shared" si="477"/>
        <v>0</v>
      </c>
      <c r="AY78" s="43">
        <f t="shared" si="478"/>
        <v>0</v>
      </c>
      <c r="AZ78" s="43">
        <f t="shared" si="479"/>
        <v>0</v>
      </c>
      <c r="BA78" s="43">
        <f t="shared" si="480"/>
        <v>0</v>
      </c>
      <c r="BB78" s="43">
        <f t="shared" si="481"/>
        <v>0</v>
      </c>
      <c r="BC78" s="43">
        <f t="shared" si="482"/>
        <v>0</v>
      </c>
      <c r="BD78" s="43">
        <f t="shared" si="483"/>
        <v>0</v>
      </c>
      <c r="BE78" s="43">
        <f t="shared" si="484"/>
        <v>0</v>
      </c>
      <c r="BF78" s="43">
        <f t="shared" si="485"/>
        <v>0</v>
      </c>
      <c r="BG78" s="43">
        <f t="shared" si="486"/>
        <v>0</v>
      </c>
      <c r="BH78" s="43">
        <f t="shared" si="487"/>
        <v>0</v>
      </c>
      <c r="BI78" s="43">
        <f t="shared" si="488"/>
        <v>0</v>
      </c>
      <c r="BJ78" s="43">
        <f t="shared" si="489"/>
        <v>0</v>
      </c>
      <c r="BK78" s="43">
        <f t="shared" si="490"/>
        <v>0</v>
      </c>
      <c r="BL78" s="43">
        <f t="shared" si="491"/>
        <v>0</v>
      </c>
      <c r="BM78" s="43">
        <f t="shared" si="492"/>
        <v>0</v>
      </c>
      <c r="BN78" s="43">
        <f t="shared" si="493"/>
        <v>0</v>
      </c>
      <c r="BP78" s="43">
        <f t="shared" si="527"/>
        <v>0</v>
      </c>
      <c r="BQ78" s="43">
        <f t="shared" ref="BQ78:CS78" si="575">BP78-($BP78-$CT78)/30</f>
        <v>0</v>
      </c>
      <c r="BR78" s="43">
        <f t="shared" si="575"/>
        <v>0</v>
      </c>
      <c r="BS78" s="43">
        <f t="shared" si="575"/>
        <v>0</v>
      </c>
      <c r="BT78" s="43">
        <f t="shared" si="575"/>
        <v>0</v>
      </c>
      <c r="BU78" s="43">
        <f t="shared" si="575"/>
        <v>0</v>
      </c>
      <c r="BV78" s="43">
        <f t="shared" si="575"/>
        <v>0</v>
      </c>
      <c r="BW78" s="43">
        <f t="shared" si="575"/>
        <v>0</v>
      </c>
      <c r="BX78" s="43">
        <f t="shared" si="575"/>
        <v>0</v>
      </c>
      <c r="BY78" s="43">
        <f t="shared" si="575"/>
        <v>0</v>
      </c>
      <c r="BZ78" s="43">
        <f t="shared" si="575"/>
        <v>0</v>
      </c>
      <c r="CA78" s="43">
        <f t="shared" si="575"/>
        <v>0</v>
      </c>
      <c r="CB78" s="43">
        <f t="shared" si="575"/>
        <v>0</v>
      </c>
      <c r="CC78" s="43">
        <f t="shared" si="575"/>
        <v>0</v>
      </c>
      <c r="CD78" s="43">
        <f t="shared" si="575"/>
        <v>0</v>
      </c>
      <c r="CE78" s="43">
        <f t="shared" si="575"/>
        <v>0</v>
      </c>
      <c r="CF78" s="43">
        <f t="shared" si="575"/>
        <v>0</v>
      </c>
      <c r="CG78" s="43">
        <f t="shared" si="575"/>
        <v>0</v>
      </c>
      <c r="CH78" s="43">
        <f t="shared" si="575"/>
        <v>0</v>
      </c>
      <c r="CI78" s="43">
        <f t="shared" si="575"/>
        <v>0</v>
      </c>
      <c r="CJ78" s="43">
        <f t="shared" si="575"/>
        <v>0</v>
      </c>
      <c r="CK78" s="43">
        <f t="shared" si="575"/>
        <v>0</v>
      </c>
      <c r="CL78" s="43">
        <f t="shared" si="575"/>
        <v>0</v>
      </c>
      <c r="CM78" s="43">
        <f t="shared" si="575"/>
        <v>0</v>
      </c>
      <c r="CN78" s="43">
        <f t="shared" si="575"/>
        <v>0</v>
      </c>
      <c r="CO78" s="43">
        <f t="shared" si="575"/>
        <v>0</v>
      </c>
      <c r="CP78" s="43">
        <f t="shared" si="575"/>
        <v>0</v>
      </c>
      <c r="CQ78" s="43">
        <f t="shared" si="575"/>
        <v>0</v>
      </c>
      <c r="CR78" s="43">
        <f t="shared" si="575"/>
        <v>0</v>
      </c>
      <c r="CS78" s="43">
        <f t="shared" si="575"/>
        <v>0</v>
      </c>
      <c r="CT78" s="43">
        <f t="shared" si="536"/>
        <v>0</v>
      </c>
      <c r="CV78" s="43">
        <f t="shared" si="539"/>
        <v>0</v>
      </c>
      <c r="CW78" s="43">
        <f t="shared" si="540"/>
        <v>0</v>
      </c>
      <c r="CX78" s="43">
        <f t="shared" si="541"/>
        <v>0</v>
      </c>
      <c r="CY78" s="43">
        <f t="shared" si="542"/>
        <v>0</v>
      </c>
      <c r="CZ78" s="43">
        <f t="shared" si="543"/>
        <v>0</v>
      </c>
      <c r="DA78" s="43">
        <f t="shared" si="544"/>
        <v>0</v>
      </c>
      <c r="DB78" s="43">
        <f t="shared" si="545"/>
        <v>0</v>
      </c>
      <c r="DC78" s="43">
        <f t="shared" si="546"/>
        <v>0</v>
      </c>
      <c r="DD78" s="43">
        <f t="shared" si="547"/>
        <v>0</v>
      </c>
      <c r="DE78" s="43">
        <f t="shared" si="548"/>
        <v>0</v>
      </c>
      <c r="DF78" s="43">
        <f t="shared" si="549"/>
        <v>0</v>
      </c>
      <c r="DG78" s="43">
        <f t="shared" si="550"/>
        <v>0</v>
      </c>
      <c r="DH78" s="43">
        <f t="shared" si="551"/>
        <v>0</v>
      </c>
      <c r="DI78" s="43">
        <f t="shared" si="552"/>
        <v>0</v>
      </c>
      <c r="DJ78" s="43">
        <f t="shared" si="553"/>
        <v>0</v>
      </c>
      <c r="DK78" s="43">
        <f t="shared" si="554"/>
        <v>0</v>
      </c>
      <c r="DL78" s="43">
        <f t="shared" si="555"/>
        <v>0</v>
      </c>
      <c r="DM78" s="43">
        <f t="shared" si="556"/>
        <v>0</v>
      </c>
      <c r="DN78" s="43">
        <f t="shared" si="557"/>
        <v>0</v>
      </c>
      <c r="DO78" s="43">
        <f t="shared" si="558"/>
        <v>0</v>
      </c>
      <c r="DP78" s="43">
        <f t="shared" si="559"/>
        <v>0</v>
      </c>
      <c r="DQ78" s="43">
        <f t="shared" si="560"/>
        <v>0</v>
      </c>
      <c r="DR78" s="43">
        <f t="shared" si="561"/>
        <v>0</v>
      </c>
      <c r="DS78" s="43">
        <f t="shared" si="562"/>
        <v>0</v>
      </c>
      <c r="DT78" s="43">
        <f t="shared" si="563"/>
        <v>0</v>
      </c>
      <c r="DU78" s="43">
        <f t="shared" si="564"/>
        <v>0</v>
      </c>
      <c r="DV78" s="43">
        <f t="shared" si="565"/>
        <v>0</v>
      </c>
      <c r="DW78" s="43">
        <f t="shared" si="566"/>
        <v>0</v>
      </c>
      <c r="DX78" s="43">
        <f t="shared" si="567"/>
        <v>0</v>
      </c>
      <c r="DY78" s="43">
        <f t="shared" si="568"/>
        <v>0</v>
      </c>
      <c r="DZ78" s="43">
        <f t="shared" si="571"/>
        <v>0</v>
      </c>
    </row>
    <row r="79" spans="1:165" s="624" customFormat="1" ht="16" thickBot="1" x14ac:dyDescent="0.25">
      <c r="A79" s="623" t="s">
        <v>461</v>
      </c>
      <c r="C79" s="625"/>
      <c r="D79" s="626"/>
      <c r="E79" s="626"/>
      <c r="F79" s="626"/>
      <c r="G79" s="626"/>
      <c r="H79" s="626"/>
      <c r="I79" s="626"/>
      <c r="J79" s="626"/>
      <c r="K79" s="626"/>
      <c r="L79" s="626"/>
      <c r="M79" s="626"/>
      <c r="N79" s="626"/>
      <c r="O79" s="626"/>
      <c r="P79" s="626"/>
      <c r="Q79" s="626"/>
      <c r="R79" s="626"/>
      <c r="S79" s="626"/>
      <c r="T79" s="626"/>
      <c r="U79" s="626"/>
      <c r="V79" s="626"/>
      <c r="W79" s="626"/>
      <c r="X79" s="626"/>
      <c r="Y79" s="626"/>
      <c r="Z79" s="626"/>
      <c r="AA79" s="626"/>
      <c r="AB79" s="626"/>
      <c r="AC79" s="626"/>
      <c r="AD79" s="626"/>
      <c r="AE79" s="626"/>
      <c r="AF79" s="626"/>
      <c r="AG79" s="626"/>
      <c r="AH79" s="626"/>
      <c r="AI79" s="626"/>
      <c r="AJ79" s="626"/>
      <c r="AK79" s="626"/>
      <c r="AL79" s="626"/>
      <c r="AM79" s="626"/>
      <c r="AN79" s="626"/>
      <c r="AO79" s="626"/>
      <c r="AP79" s="626"/>
      <c r="AQ79" s="626"/>
      <c r="AR79" s="626"/>
      <c r="AS79" s="626"/>
      <c r="AT79" s="626"/>
      <c r="AU79" s="626"/>
      <c r="AV79" s="626"/>
      <c r="AW79" s="626"/>
      <c r="AX79" s="626"/>
      <c r="AY79" s="626"/>
      <c r="AZ79" s="626"/>
      <c r="BA79" s="626"/>
      <c r="BB79" s="626"/>
      <c r="BC79" s="626"/>
      <c r="BD79" s="626"/>
      <c r="BE79" s="626"/>
      <c r="BF79" s="626"/>
      <c r="BG79" s="626"/>
      <c r="BH79" s="626"/>
      <c r="BI79" s="626"/>
      <c r="BJ79" s="626"/>
      <c r="BK79" s="626"/>
      <c r="BL79" s="626"/>
      <c r="BM79" s="626"/>
      <c r="BN79" s="626"/>
      <c r="BP79" s="626"/>
      <c r="BQ79" s="626"/>
      <c r="BR79" s="626"/>
      <c r="BS79" s="626"/>
      <c r="BT79" s="626"/>
      <c r="BU79" s="626"/>
      <c r="BV79" s="626"/>
      <c r="BW79" s="626"/>
      <c r="BX79" s="626"/>
      <c r="BY79" s="626"/>
      <c r="BZ79" s="626"/>
      <c r="CA79" s="626"/>
      <c r="CB79" s="626"/>
      <c r="CC79" s="626"/>
      <c r="CD79" s="626"/>
      <c r="CE79" s="626"/>
      <c r="CF79" s="626"/>
      <c r="CG79" s="626"/>
      <c r="CH79" s="626"/>
      <c r="CI79" s="626"/>
      <c r="CJ79" s="626"/>
      <c r="CK79" s="626"/>
      <c r="CL79" s="626"/>
      <c r="CM79" s="626"/>
      <c r="CN79" s="626"/>
      <c r="CO79" s="626"/>
      <c r="CP79" s="626"/>
      <c r="CQ79" s="626"/>
      <c r="CR79" s="626"/>
      <c r="CS79" s="626"/>
      <c r="CT79" s="626"/>
      <c r="CV79" s="626"/>
      <c r="CW79" s="626"/>
      <c r="CX79" s="626"/>
      <c r="CY79" s="626"/>
      <c r="CZ79" s="626"/>
      <c r="DA79" s="626"/>
      <c r="DB79" s="626"/>
      <c r="DC79" s="626"/>
      <c r="DD79" s="626"/>
      <c r="DE79" s="626"/>
      <c r="DF79" s="626"/>
      <c r="DG79" s="626"/>
      <c r="DH79" s="626"/>
      <c r="DI79" s="626"/>
      <c r="DJ79" s="626"/>
      <c r="DK79" s="626"/>
      <c r="DL79" s="626"/>
      <c r="DM79" s="626"/>
      <c r="DN79" s="626"/>
      <c r="DO79" s="626"/>
      <c r="DP79" s="626"/>
      <c r="DQ79" s="626"/>
      <c r="DR79" s="626"/>
      <c r="DS79" s="626"/>
      <c r="DT79" s="626"/>
      <c r="DU79" s="626"/>
      <c r="DV79" s="626"/>
      <c r="DW79" s="626"/>
      <c r="DX79" s="626"/>
      <c r="DY79" s="626"/>
      <c r="DZ79" s="626"/>
      <c r="EK79" s="627"/>
      <c r="EL79" s="627"/>
      <c r="EM79" s="627"/>
      <c r="EN79" s="627"/>
      <c r="EO79" s="627"/>
      <c r="EP79" s="627"/>
      <c r="EQ79" s="627"/>
      <c r="ER79" s="627"/>
      <c r="ES79" s="627"/>
      <c r="ET79" s="627"/>
      <c r="EU79" s="627"/>
      <c r="EV79" s="627"/>
      <c r="EW79" s="627"/>
      <c r="EX79" s="627"/>
      <c r="EY79" s="627"/>
      <c r="EZ79" s="627"/>
      <c r="FA79" s="627"/>
      <c r="FB79" s="627"/>
      <c r="FC79" s="627"/>
      <c r="FD79" s="627"/>
      <c r="FE79" s="627"/>
      <c r="FF79" s="627"/>
      <c r="FG79" s="627"/>
      <c r="FH79" s="627"/>
      <c r="FI79" s="627"/>
    </row>
    <row r="80" spans="1:165" x14ac:dyDescent="0.2">
      <c r="A80" s="606" t="s">
        <v>193</v>
      </c>
      <c r="C80" s="54" t="s">
        <v>462</v>
      </c>
      <c r="D80" s="168">
        <f>'Methanol Recycling HC'!C293/'Methanol Recycling HC'!C291</f>
        <v>9.388625214515435E-2</v>
      </c>
      <c r="E80" s="168">
        <f>'Methanol Recycling HC'!D293/'Methanol Recycling HC'!D291</f>
        <v>7.2283588869466633E-2</v>
      </c>
      <c r="F80" s="168">
        <f>'Methanol Recycling HC'!E293/'Methanol Recycling HC'!E291</f>
        <v>7.6618079273782697E-2</v>
      </c>
      <c r="G80" s="168">
        <f>'Methanol Recycling HC'!F293/'Methanol Recycling HC'!F291</f>
        <v>8.1011729795105403E-2</v>
      </c>
      <c r="H80" s="168">
        <f>'Methanol Recycling HC'!G293/'Methanol Recycling HC'!G291</f>
        <v>8.5465527205409356E-2</v>
      </c>
      <c r="I80" s="168">
        <f>'Methanol Recycling HC'!H293/'Methanol Recycling HC'!H291</f>
        <v>8.9980459484331171E-2</v>
      </c>
      <c r="J80" s="168">
        <f>'Methanol Recycling HC'!I293/'Methanol Recycling HC'!I291</f>
        <v>9.4830197218122275E-2</v>
      </c>
      <c r="K80" s="168">
        <f>'Methanol Recycling HC'!J293/'Methanol Recycling HC'!J291</f>
        <v>9.9710126411406808E-2</v>
      </c>
      <c r="L80" s="168">
        <f>'Methanol Recycling HC'!K293/'Methanol Recycling HC'!K291</f>
        <v>0.10461501140645696</v>
      </c>
      <c r="M80" s="168">
        <f>'Methanol Recycling HC'!L293/'Methanol Recycling HC'!L291</f>
        <v>0.10953925216090915</v>
      </c>
      <c r="N80" s="168">
        <f>'Methanol Recycling HC'!M293/'Methanol Recycling HC'!M291</f>
        <v>0.11447686140316987</v>
      </c>
      <c r="O80" s="168">
        <f>'Methanol Recycling HC'!N293/'Methanol Recycling HC'!N291</f>
        <v>0.12277639799280672</v>
      </c>
      <c r="P80" s="168">
        <f>'Methanol Recycling HC'!O293/'Methanol Recycling HC'!O291</f>
        <v>0.13112923862869202</v>
      </c>
      <c r="Q80" s="168">
        <f>'Methanol Recycling HC'!P293/'Methanol Recycling HC'!P291</f>
        <v>0.13953753526312704</v>
      </c>
      <c r="R80" s="168">
        <f>'Methanol Recycling HC'!Q293/'Methanol Recycling HC'!Q291</f>
        <v>0.14798519634464571</v>
      </c>
      <c r="S80" s="168">
        <f>'Methanol Recycling HC'!R293/'Methanol Recycling HC'!R291</f>
        <v>0.15646446114771792</v>
      </c>
      <c r="T80" s="168">
        <f>'Methanol Recycling HC'!S293/'Methanol Recycling HC'!S291</f>
        <v>0.16498638571837901</v>
      </c>
      <c r="U80" s="168">
        <f>'Methanol Recycling HC'!T293/'Methanol Recycling HC'!T291</f>
        <v>0.1735431999175126</v>
      </c>
      <c r="V80" s="168">
        <f>'Methanol Recycling HC'!U293/'Methanol Recycling HC'!U291</f>
        <v>0.18212928502479891</v>
      </c>
      <c r="W80" s="168">
        <f>'Methanol Recycling HC'!V293/'Methanol Recycling HC'!V291</f>
        <v>0.1907385769352524</v>
      </c>
      <c r="X80" s="168">
        <f>'Methanol Recycling HC'!W293/'Methanol Recycling HC'!W291</f>
        <v>0.19936453938199625</v>
      </c>
      <c r="Y80" s="168">
        <f>'Methanol Recycling HC'!X293/'Methanol Recycling HC'!X291</f>
        <v>0.21269392900698184</v>
      </c>
      <c r="Z80" s="168">
        <f>'Methanol Recycling HC'!Y293/'Methanol Recycling HC'!Y291</f>
        <v>0.22608087165927185</v>
      </c>
      <c r="AA80" s="168">
        <f>'Methanol Recycling HC'!Z293/'Methanol Recycling HC'!Z291</f>
        <v>0.23951934703341271</v>
      </c>
      <c r="AB80" s="168">
        <f>'Methanol Recycling HC'!AA293/'Methanol Recycling HC'!AA291</f>
        <v>0.25299064196291471</v>
      </c>
      <c r="AC80" s="168">
        <f>'Methanol Recycling HC'!AB293/'Methanol Recycling HC'!AB291</f>
        <v>0.26648395213465303</v>
      </c>
      <c r="AD80" s="168">
        <f>'Methanol Recycling HC'!AC293/'Methanol Recycling HC'!AC291</f>
        <v>0.27993280748675053</v>
      </c>
      <c r="AE80" s="168">
        <f>'Methanol Recycling HC'!AD293/'Methanol Recycling HC'!AD291</f>
        <v>0.29336125187093981</v>
      </c>
      <c r="AF80" s="168">
        <f>'Methanol Recycling HC'!AE293/'Methanol Recycling HC'!AE291</f>
        <v>0.30675134554109623</v>
      </c>
      <c r="AG80" s="168">
        <f>'Methanol Recycling HC'!AF293/'Methanol Recycling HC'!AF291</f>
        <v>0.32008356297551094</v>
      </c>
      <c r="AH80" s="168">
        <f>'Methanol Recycling HC'!AG293/'Methanol Recycling HC'!AG291</f>
        <v>0.33333666241501492</v>
      </c>
      <c r="AI80" s="44"/>
      <c r="AJ80" s="168">
        <f>'Methanol Recycling LC'!C293/'Methanol Recycling LC'!C291</f>
        <v>9.388625214515435E-2</v>
      </c>
      <c r="AK80" s="168">
        <f>'Methanol Recycling LC'!D293/'Methanol Recycling LC'!D291</f>
        <v>9.7988061930271264E-2</v>
      </c>
      <c r="AL80" s="168">
        <f>'Methanol Recycling LC'!E293/'Methanol Recycling LC'!E291</f>
        <v>0.10207725463047126</v>
      </c>
      <c r="AM80" s="168">
        <f>'Methanol Recycling LC'!F293/'Methanol Recycling LC'!F291</f>
        <v>0.10615391687421975</v>
      </c>
      <c r="AN80" s="168">
        <f>'Methanol Recycling LC'!G293/'Methanol Recycling LC'!G291</f>
        <v>0.11021813537241631</v>
      </c>
      <c r="AO80" s="168">
        <f>'Methanol Recycling LC'!H293/'Methanol Recycling LC'!H291</f>
        <v>0.1142699969184925</v>
      </c>
      <c r="AP80" s="168">
        <f>'Methanol Recycling LC'!I293/'Methanol Recycling LC'!I291</f>
        <v>0.11821420727509176</v>
      </c>
      <c r="AQ80" s="168">
        <f>'Methanol Recycling LC'!J293/'Methanol Recycling LC'!J291</f>
        <v>0.12213811761028548</v>
      </c>
      <c r="AR80" s="168">
        <f>'Methanol Recycling LC'!K293/'Methanol Recycling LC'!K291</f>
        <v>0.12604145435474109</v>
      </c>
      <c r="AS80" s="168">
        <f>'Methanol Recycling LC'!L293/'Methanol Recycling LC'!L291</f>
        <v>0.1299239372320895</v>
      </c>
      <c r="AT80" s="168">
        <f>'Methanol Recycling LC'!M293/'Methanol Recycling LC'!M291</f>
        <v>0.1337852790521134</v>
      </c>
      <c r="AU80" s="168">
        <f>'Methanol Recycling LC'!N293/'Methanol Recycling LC'!N291</f>
        <v>0.14231987208130317</v>
      </c>
      <c r="AV80" s="168">
        <f>'Methanol Recycling LC'!O293/'Methanol Recycling LC'!O291</f>
        <v>0.15080869778175299</v>
      </c>
      <c r="AW80" s="168">
        <f>'Methanol Recycling LC'!P293/'Methanol Recycling LC'!P291</f>
        <v>0.15925368241843849</v>
      </c>
      <c r="AX80" s="168">
        <f>'Methanol Recycling LC'!Q293/'Methanol Recycling LC'!Q291</f>
        <v>0.16765192308603882</v>
      </c>
      <c r="AY80" s="168">
        <f>'Methanol Recycling LC'!R293/'Methanol Recycling LC'!R291</f>
        <v>0.17600292719858882</v>
      </c>
      <c r="AZ80" s="168">
        <f>'Methanol Recycling LC'!S293/'Methanol Recycling LC'!S291</f>
        <v>0.18439924717989456</v>
      </c>
      <c r="BA80" s="168">
        <f>'Methanol Recycling LC'!T293/'Methanol Recycling LC'!T291</f>
        <v>0.19275742385566755</v>
      </c>
      <c r="BB80" s="168">
        <f>'Methanol Recycling LC'!U293/'Methanol Recycling LC'!U291</f>
        <v>0.20107727944787263</v>
      </c>
      <c r="BC80" s="168">
        <f>'Methanol Recycling LC'!V293/'Methanol Recycling LC'!V291</f>
        <v>0.20935863115083891</v>
      </c>
      <c r="BD80" s="168">
        <f>'Methanol Recycling LC'!W293/'Methanol Recycling LC'!W291</f>
        <v>0.21760129098953329</v>
      </c>
      <c r="BE80" s="168">
        <f>'Methanol Recycling LC'!X293/'Methanol Recycling LC'!X291</f>
        <v>0.23174505863720088</v>
      </c>
      <c r="BF80" s="168">
        <f>'Methanol Recycling LC'!Y293/'Methanol Recycling LC'!Y291</f>
        <v>0.24582544896796002</v>
      </c>
      <c r="BG80" s="168">
        <f>'Methanol Recycling LC'!Z293/'Methanol Recycling LC'!Z291</f>
        <v>0.25984550278076546</v>
      </c>
      <c r="BH80" s="168">
        <f>'Methanol Recycling LC'!AA293/'Methanol Recycling LC'!AA291</f>
        <v>0.27379959634910561</v>
      </c>
      <c r="BI80" s="168">
        <f>'Methanol Recycling LC'!AB293/'Methanol Recycling LC'!AB291</f>
        <v>0.28768705725510102</v>
      </c>
      <c r="BJ80" s="168">
        <f>'Methanol Recycling LC'!AC293/'Methanol Recycling LC'!AC291</f>
        <v>0.3014336081737497</v>
      </c>
      <c r="BK80" s="168">
        <f>'Methanol Recycling LC'!AD293/'Methanol Recycling LC'!AD291</f>
        <v>0.31510369302280283</v>
      </c>
      <c r="BL80" s="168">
        <f>'Methanol Recycling LC'!AE293/'Methanol Recycling LC'!AE291</f>
        <v>0.32869622103063878</v>
      </c>
      <c r="BM80" s="168">
        <f>'Methanol Recycling LC'!AF293/'Methanol Recycling LC'!AF291</f>
        <v>0.3422100570088068</v>
      </c>
      <c r="BN80" s="168">
        <f>'Methanol Recycling LC'!AG293/'Methanol Recycling LC'!AG291</f>
        <v>0.35564401977455179</v>
      </c>
      <c r="BP80" s="168">
        <f>'Methanol Recycling HC'!C283/'Methanol Recycling HC'!C281</f>
        <v>9.388625214515435E-2</v>
      </c>
      <c r="BQ80" s="168">
        <f>'Methanol Recycling HC'!D283/'Methanol Recycling HC'!D281</f>
        <v>9.2358168253785233E-2</v>
      </c>
      <c r="BR80" s="168">
        <f>'Methanol Recycling HC'!E283/'Methanol Recycling HC'!E281</f>
        <v>9.109307897464014E-2</v>
      </c>
      <c r="BS80" s="168">
        <f>'Methanol Recycling HC'!F283/'Methanol Recycling HC'!F281</f>
        <v>9.008063999359614E-2</v>
      </c>
      <c r="BT80" s="168">
        <f>'Methanol Recycling HC'!G283/'Methanol Recycling HC'!G281</f>
        <v>8.9312612848762921E-2</v>
      </c>
      <c r="BU80" s="168">
        <f>'Methanol Recycling HC'!H283/'Methanol Recycling HC'!H281</f>
        <v>8.8782753127792741E-2</v>
      </c>
      <c r="BV80" s="168">
        <f>'Methanol Recycling HC'!I283/'Methanol Recycling HC'!I281</f>
        <v>8.8296230688993324E-2</v>
      </c>
      <c r="BW80" s="168">
        <f>'Methanol Recycling HC'!J283/'Methanol Recycling HC'!J281</f>
        <v>8.785241501866041E-2</v>
      </c>
      <c r="BX80" s="168">
        <f>'Methanol Recycling HC'!K283/'Methanol Recycling HC'!K281</f>
        <v>8.7450736434773871E-2</v>
      </c>
      <c r="BY80" s="168">
        <f>'Methanol Recycling HC'!L283/'Methanol Recycling HC'!L281</f>
        <v>8.709068488464633E-2</v>
      </c>
      <c r="BZ80" s="168">
        <f>'Methanol Recycling HC'!M283/'Methanol Recycling HC'!M281</f>
        <v>8.6771808881284648E-2</v>
      </c>
      <c r="CA80" s="168">
        <f>'Methanol Recycling HC'!N283/'Methanol Recycling HC'!N281</f>
        <v>8.6617646294007811E-2</v>
      </c>
      <c r="CB80" s="168">
        <f>'Methanol Recycling HC'!O283/'Methanol Recycling HC'!O281</f>
        <v>8.6627658587303646E-2</v>
      </c>
      <c r="CC80" s="168">
        <f>'Methanol Recycling HC'!P283/'Methanol Recycling HC'!P281</f>
        <v>8.6802241531868468E-2</v>
      </c>
      <c r="CD80" s="168">
        <f>'Methanol Recycling HC'!Q283/'Methanol Recycling HC'!Q281</f>
        <v>8.7142732188675728E-2</v>
      </c>
      <c r="CE80" s="168">
        <f>'Methanol Recycling HC'!R283/'Methanol Recycling HC'!R281</f>
        <v>8.7651424911610057E-2</v>
      </c>
      <c r="CF80" s="168">
        <f>'Methanol Recycling HC'!S283/'Methanol Recycling HC'!S281</f>
        <v>8.8172738462429512E-2</v>
      </c>
      <c r="CG80" s="168">
        <f>'Methanol Recycling HC'!T283/'Methanol Recycling HC'!T281</f>
        <v>8.8706869297600202E-2</v>
      </c>
      <c r="CH80" s="168">
        <f>'Methanol Recycling HC'!U283/'Methanol Recycling HC'!U281</f>
        <v>8.9254019399617746E-2</v>
      </c>
      <c r="CI80" s="168">
        <f>'Methanol Recycling HC'!V283/'Methanol Recycling HC'!V281</f>
        <v>8.9814396405270794E-2</v>
      </c>
      <c r="CJ80" s="168">
        <f>'Methanol Recycling HC'!W283/'Methanol Recycling HC'!W281</f>
        <v>9.0388213737953194E-2</v>
      </c>
      <c r="CK80" s="168">
        <f>'Methanol Recycling HC'!X283/'Methanol Recycling HC'!X281</f>
        <v>9.09746887114639E-2</v>
      </c>
      <c r="CL80" s="168">
        <f>'Methanol Recycling HC'!Y283/'Methanol Recycling HC'!Y281</f>
        <v>9.1574025371810017E-2</v>
      </c>
      <c r="CM80" s="168">
        <f>'Methanol Recycling HC'!Z283/'Methanol Recycling HC'!Z281</f>
        <v>9.2186433035435458E-2</v>
      </c>
      <c r="CN80" s="168">
        <f>'Methanol Recycling HC'!AA283/'Methanol Recycling HC'!AA281</f>
        <v>9.2812126411763368E-2</v>
      </c>
      <c r="CO80" s="168">
        <f>'Methanol Recycling HC'!AB283/'Methanol Recycling HC'!AB281</f>
        <v>9.3451325729356619E-2</v>
      </c>
      <c r="CP80" s="168">
        <f>'Methanol Recycling HC'!AC283/'Methanol Recycling HC'!AC281</f>
        <v>9.410336719026613E-2</v>
      </c>
      <c r="CQ80" s="168">
        <f>'Methanol Recycling HC'!AD283/'Methanol Recycling HC'!AD281</f>
        <v>9.476846238002995E-2</v>
      </c>
      <c r="CR80" s="168">
        <f>'Methanol Recycling HC'!AE283/'Methanol Recycling HC'!AE281</f>
        <v>9.5446827991926747E-2</v>
      </c>
      <c r="CS80" s="168">
        <f>'Methanol Recycling HC'!AF283/'Methanol Recycling HC'!AF281</f>
        <v>9.6138685944959432E-2</v>
      </c>
      <c r="CT80" s="168">
        <f>'Methanol Recycling HC'!AG283/'Methanol Recycling HC'!AG281</f>
        <v>9.6844263505137348E-2</v>
      </c>
      <c r="CV80" s="168">
        <f>'Methanol Recycling LC'!C293/'Methanol Recycling HC'!C281</f>
        <v>9.388625214515435E-2</v>
      </c>
      <c r="CW80" s="168">
        <f>'Methanol Recycling LC'!D293/'Methanol Recycling HC'!D281</f>
        <v>9.7964773200957242E-2</v>
      </c>
      <c r="CX80" s="168">
        <f>'Methanol Recycling LC'!E293/'Methanol Recycling HC'!E281</f>
        <v>0.10202873342277757</v>
      </c>
      <c r="CY80" s="168">
        <f>'Methanol Recycling LC'!F293/'Methanol Recycling HC'!F281</f>
        <v>0.10607822837338578</v>
      </c>
      <c r="CZ80" s="168">
        <f>'Methanol Recycling LC'!G293/'Methanol Recycling HC'!G281</f>
        <v>0.11011335361555234</v>
      </c>
      <c r="DA80" s="168">
        <f>'Methanol Recycling LC'!H293/'Methanol Recycling HC'!H281</f>
        <v>0.11413420471204773</v>
      </c>
      <c r="DB80" s="168">
        <f>'Methanol Recycling LC'!I293/'Methanol Recycling HC'!I281</f>
        <v>0.11736734945901105</v>
      </c>
      <c r="DC80" s="168">
        <f>'Methanol Recycling LC'!J293/'Methanol Recycling HC'!J281</f>
        <v>0.12053332435062103</v>
      </c>
      <c r="DD80" s="168">
        <f>'Methanol Recycling LC'!K293/'Methanol Recycling HC'!K281</f>
        <v>0.1236322249496481</v>
      </c>
      <c r="DE80" s="168">
        <f>'Methanol Recycling LC'!L293/'Methanol Recycling HC'!L281</f>
        <v>0.12666414681886279</v>
      </c>
      <c r="DF80" s="168">
        <f>'Methanol Recycling LC'!M293/'Methanol Recycling HC'!M281</f>
        <v>0.1296291855210355</v>
      </c>
      <c r="DG80" s="168">
        <f>'Methanol Recycling LC'!N293/'Methanol Recycling HC'!N281</f>
        <v>0.13700558318889508</v>
      </c>
      <c r="DH80" s="168">
        <f>'Methanol Recycling LC'!O293/'Methanol Recycling HC'!O281</f>
        <v>0.14423109963968267</v>
      </c>
      <c r="DI80" s="168">
        <f>'Methanol Recycling LC'!P293/'Methanol Recycling HC'!P281</f>
        <v>0.1513032280769539</v>
      </c>
      <c r="DJ80" s="168">
        <f>'Methanol Recycling LC'!Q293/'Methanol Recycling HC'!Q281</f>
        <v>0.15822462041142171</v>
      </c>
      <c r="DK80" s="168">
        <f>'Methanol Recycling LC'!R293/'Methanol Recycling HC'!R281</f>
        <v>0.1649956868820428</v>
      </c>
      <c r="DL80" s="168">
        <f>'Methanol Recycling LC'!S293/'Methanol Recycling HC'!S281</f>
        <v>0.17192572010357657</v>
      </c>
      <c r="DM80" s="168">
        <f>'Methanol Recycling LC'!T293/'Methanol Recycling HC'!T281</f>
        <v>0.17873457832798606</v>
      </c>
      <c r="DN80" s="168">
        <f>'Methanol Recycling LC'!U293/'Methanol Recycling HC'!U281</f>
        <v>0.18542266919754691</v>
      </c>
      <c r="DO80" s="168">
        <f>'Methanol Recycling LC'!V293/'Methanol Recycling HC'!V281</f>
        <v>0.19199039948897431</v>
      </c>
      <c r="DP80" s="168">
        <f>'Methanol Recycling LC'!W293/'Methanol Recycling HC'!W281</f>
        <v>0.1984381751134231</v>
      </c>
      <c r="DQ80" s="168">
        <f>'Methanol Recycling LC'!X293/'Methanol Recycling HC'!X281</f>
        <v>0.21015316377798154</v>
      </c>
      <c r="DR80" s="168">
        <f>'Methanol Recycling LC'!Y293/'Methanol Recycling HC'!Y281</f>
        <v>0.22166645510728022</v>
      </c>
      <c r="DS80" s="168">
        <f>'Methanol Recycling LC'!Z293/'Methanol Recycling HC'!Z281</f>
        <v>0.23295017145410279</v>
      </c>
      <c r="DT80" s="168">
        <f>'Methanol Recycling LC'!AA293/'Methanol Recycling HC'!AA281</f>
        <v>0.24402747791372359</v>
      </c>
      <c r="DU80" s="168">
        <f>'Methanol Recycling LC'!AB293/'Methanol Recycling HC'!AB281</f>
        <v>0.25489865706491277</v>
      </c>
      <c r="DV80" s="168">
        <f>'Methanol Recycling LC'!AC293/'Methanol Recycling HC'!AC281</f>
        <v>0.26530450416495438</v>
      </c>
      <c r="DW80" s="168">
        <f>'Methanol Recycling LC'!AD293/'Methanol Recycling HC'!AD281</f>
        <v>0.27548051867440865</v>
      </c>
      <c r="DX80" s="168">
        <f>'Methanol Recycling LC'!AE293/'Methanol Recycling HC'!AE281</f>
        <v>0.28542695058659745</v>
      </c>
      <c r="DY80" s="168">
        <f>'Methanol Recycling LC'!AF293/'Methanol Recycling HC'!AF281</f>
        <v>0.29514403903302666</v>
      </c>
      <c r="DZ80" s="168">
        <f>'Methanol Recycling LC'!AG293/'Methanol Recycling HC'!AG281</f>
        <v>0.30463201228338588</v>
      </c>
    </row>
    <row r="81" spans="1:165" x14ac:dyDescent="0.2">
      <c r="A81" s="606" t="s">
        <v>88</v>
      </c>
      <c r="C81" s="54" t="s">
        <v>462</v>
      </c>
      <c r="D81" s="168">
        <f>('Methanol Recycling HC'!C336+'Methanol Recycling HC'!C338)/'Methanol Recycling HC'!C291</f>
        <v>3.2205372600408732E-7</v>
      </c>
      <c r="E81" s="168">
        <f>('Methanol Recycling HC'!D336+'Methanol Recycling HC'!D338)/'Methanol Recycling HC'!D291</f>
        <v>9.3636243565625873E-7</v>
      </c>
      <c r="F81" s="168">
        <f>('Methanol Recycling HC'!E336+'Methanol Recycling HC'!E338)/'Methanol Recycling HC'!E291</f>
        <v>1.9595151756625811E-6</v>
      </c>
      <c r="G81" s="168">
        <f>('Methanol Recycling HC'!F336+'Methanol Recycling HC'!F338)/'Methanol Recycling HC'!F291</f>
        <v>4.0763194577697869E-6</v>
      </c>
      <c r="H81" s="168">
        <f>('Methanol Recycling HC'!G336+'Methanol Recycling HC'!G338)/'Methanol Recycling HC'!G291</f>
        <v>8.4236277862846716E-6</v>
      </c>
      <c r="I81" s="168">
        <f>('Methanol Recycling HC'!H336+'Methanol Recycling HC'!H338)/'Methanol Recycling HC'!H291</f>
        <v>1.7272504236953105E-5</v>
      </c>
      <c r="J81" s="168">
        <f>('Methanol Recycling HC'!I336+'Methanol Recycling HC'!I338)/'Methanol Recycling HC'!I291</f>
        <v>3.5007177360527549E-5</v>
      </c>
      <c r="K81" s="168">
        <f>('Methanol Recycling HC'!J336+'Methanol Recycling HC'!J338)/'Methanol Recycling HC'!J291</f>
        <v>7.0147896207463985E-5</v>
      </c>
      <c r="L81" s="168">
        <f>('Methanol Recycling HC'!K336+'Methanol Recycling HC'!K338)/'Methanol Recycling HC'!K291</f>
        <v>1.3852165968405834E-4</v>
      </c>
      <c r="M81" s="168">
        <f>('Methanol Recycling HC'!L336+'Methanol Recycling HC'!L338)/'Methanol Recycling HC'!L291</f>
        <v>2.6841132617226306E-4</v>
      </c>
      <c r="N81" s="168">
        <f>('Methanol Recycling HC'!M336+'Methanol Recycling HC'!M338)/'Methanol Recycling HC'!M291</f>
        <v>5.0976306116824678E-4</v>
      </c>
      <c r="O81" s="168">
        <f>('Methanol Recycling HC'!N336+'Methanol Recycling HC'!N338)/'Methanol Recycling HC'!N291</f>
        <v>9.0934930270549321E-4</v>
      </c>
      <c r="P81" s="168">
        <f>('Methanol Recycling HC'!O336+'Methanol Recycling HC'!O338)/'Methanol Recycling HC'!O291</f>
        <v>1.5687650579518648E-3</v>
      </c>
      <c r="Q81" s="168">
        <f>('Methanol Recycling HC'!P336+'Methanol Recycling HC'!P338)/'Methanol Recycling HC'!P291</f>
        <v>2.5861199020657047E-3</v>
      </c>
      <c r="R81" s="168">
        <f>('Methanol Recycling HC'!Q336+'Methanol Recycling HC'!Q338)/'Methanol Recycling HC'!Q291</f>
        <v>4.0467367275965989E-3</v>
      </c>
      <c r="S81" s="168">
        <f>('Methanol Recycling HC'!R336+'Methanol Recycling HC'!R338)/'Methanol Recycling HC'!R291</f>
        <v>5.9848525174360121E-3</v>
      </c>
      <c r="T81" s="168">
        <f>('Methanol Recycling HC'!S336+'Methanol Recycling HC'!S338)/'Methanol Recycling HC'!S291</f>
        <v>8.3458396486690237E-3</v>
      </c>
      <c r="U81" s="168">
        <f>('Methanol Recycling HC'!T336+'Methanol Recycling HC'!T338)/'Methanol Recycling HC'!T291</f>
        <v>1.0996803037062856E-2</v>
      </c>
      <c r="V81" s="168">
        <f>('Methanol Recycling HC'!U336+'Methanol Recycling HC'!U338)/'Methanol Recycling HC'!U291</f>
        <v>1.3758117251816271E-2</v>
      </c>
      <c r="W81" s="168">
        <f>('Methanol Recycling HC'!V336+'Methanol Recycling HC'!V338)/'Methanol Recycling HC'!V291</f>
        <v>1.6458142424018055E-2</v>
      </c>
      <c r="X81" s="168">
        <f>('Methanol Recycling HC'!W336+'Methanol Recycling HC'!W338)/'Methanol Recycling HC'!W291</f>
        <v>1.8975114711443964E-2</v>
      </c>
      <c r="Y81" s="168">
        <f>('Methanol Recycling HC'!X336+'Methanol Recycling HC'!X338)/'Methanol Recycling HC'!X291</f>
        <v>2.0614735519130872E-2</v>
      </c>
      <c r="Z81" s="168">
        <f>('Methanol Recycling HC'!Y336+'Methanol Recycling HC'!Y338)/'Methanol Recycling HC'!Y291</f>
        <v>2.1901551107483597E-2</v>
      </c>
      <c r="AA81" s="168">
        <f>('Methanol Recycling HC'!Z336+'Methanol Recycling HC'!Z338)/'Methanol Recycling HC'!Z291</f>
        <v>2.2908090740342342E-2</v>
      </c>
      <c r="AB81" s="168">
        <f>('Methanol Recycling HC'!AA336+'Methanol Recycling HC'!AA338)/'Methanol Recycling HC'!AA291</f>
        <v>2.3738089122161923E-2</v>
      </c>
      <c r="AC81" s="168">
        <f>('Methanol Recycling HC'!AB336+'Methanol Recycling HC'!AB338)/'Methanol Recycling HC'!AB291</f>
        <v>2.4514975354416099E-2</v>
      </c>
      <c r="AD81" s="168">
        <f>('Methanol Recycling HC'!AC336+'Methanol Recycling HC'!AC338)/'Methanol Recycling HC'!AC291</f>
        <v>2.5387604943220007E-2</v>
      </c>
      <c r="AE81" s="168">
        <f>('Methanol Recycling HC'!AD336+'Methanol Recycling HC'!AD338)/'Methanol Recycling HC'!AD291</f>
        <v>2.6492255519221204E-2</v>
      </c>
      <c r="AF81" s="168">
        <f>('Methanol Recycling HC'!AE336+'Methanol Recycling HC'!AE338)/'Methanol Recycling HC'!AE291</f>
        <v>2.7949539626215367E-2</v>
      </c>
      <c r="AG81" s="168">
        <f>('Methanol Recycling HC'!AF336+'Methanol Recycling HC'!AF338)/'Methanol Recycling HC'!AF291</f>
        <v>2.9816856530345017E-2</v>
      </c>
      <c r="AH81" s="168">
        <f>('Methanol Recycling HC'!AG336+'Methanol Recycling HC'!AG338)/'Methanol Recycling HC'!AG291</f>
        <v>3.2049235228256645E-2</v>
      </c>
      <c r="AI81" s="44"/>
      <c r="AJ81" s="168">
        <f>('Methanol Recycling LC'!C336+'Methanol Recycling LC'!C338)/'Methanol Recycling LC'!C291</f>
        <v>1.8453423751577913E-7</v>
      </c>
      <c r="AK81" s="168">
        <f>('Methanol Recycling LC'!D336+'Methanol Recycling LC'!D338)/'Methanol Recycling LC'!D291</f>
        <v>3.969764230584278E-7</v>
      </c>
      <c r="AL81" s="168">
        <f>('Methanol Recycling LC'!E336+'Methanol Recycling LC'!E338)/'Methanol Recycling LC'!E291</f>
        <v>8.4773511600191012E-7</v>
      </c>
      <c r="AM81" s="168">
        <f>('Methanol Recycling LC'!F336+'Methanol Recycling LC'!F338)/'Methanol Recycling LC'!F291</f>
        <v>1.796926643773464E-6</v>
      </c>
      <c r="AN81" s="168">
        <f>('Methanol Recycling LC'!G336+'Methanol Recycling LC'!G338)/'Methanol Recycling LC'!G291</f>
        <v>3.7789766815290582E-6</v>
      </c>
      <c r="AO81" s="168">
        <f>('Methanol Recycling LC'!H336+'Methanol Recycling LC'!H338)/'Methanol Recycling LC'!H291</f>
        <v>7.8774930432955872E-6</v>
      </c>
      <c r="AP81" s="168">
        <f>('Methanol Recycling LC'!I336+'Methanol Recycling LC'!I338)/'Methanol Recycling LC'!I291</f>
        <v>1.6267786909633326E-5</v>
      </c>
      <c r="AQ81" s="168">
        <f>('Methanol Recycling LC'!J336+'Methanol Recycling LC'!J338)/'Methanol Recycling LC'!J291</f>
        <v>3.3174083657122561E-5</v>
      </c>
      <c r="AR81" s="168">
        <f>('Methanol Recycling LC'!K336+'Methanol Recycling LC'!K338)/'Methanol Recycling LC'!K291</f>
        <v>6.6594345688658017E-5</v>
      </c>
      <c r="AS81" s="168">
        <f>('Methanol Recycling LC'!L336+'Methanol Recycling LC'!L338)/'Methanol Recycling LC'!L291</f>
        <v>1.3104409225923186E-4</v>
      </c>
      <c r="AT81" s="168">
        <f>('Methanol Recycling LC'!M336+'Methanol Recycling LC'!M338)/'Methanol Recycling LC'!M291</f>
        <v>2.5250797706890475E-4</v>
      </c>
      <c r="AU81" s="168">
        <f>('Methanol Recycling LC'!N336+'Methanol Recycling LC'!N338)/'Methanol Recycling LC'!N291</f>
        <v>4.5025488310654425E-4</v>
      </c>
      <c r="AV81" s="168">
        <f>('Methanol Recycling LC'!O336+'Methanol Recycling LC'!O338)/'Methanol Recycling LC'!O291</f>
        <v>7.770293123465419E-4</v>
      </c>
      <c r="AW81" s="168">
        <f>('Methanol Recycling LC'!P336+'Methanol Recycling LC'!P338)/'Methanol Recycling LC'!P291</f>
        <v>1.2823336155089577E-3</v>
      </c>
      <c r="AX81" s="168">
        <f>('Methanol Recycling LC'!Q336+'Methanol Recycling LC'!Q338)/'Methanol Recycling LC'!Q291</f>
        <v>2.0100384935150162E-3</v>
      </c>
      <c r="AY81" s="168">
        <f>('Methanol Recycling LC'!R336+'Methanol Recycling LC'!R338)/'Methanol Recycling LC'!R291</f>
        <v>2.9795089689561819E-3</v>
      </c>
      <c r="AZ81" s="168">
        <f>('Methanol Recycling LC'!S336+'Methanol Recycling LC'!S338)/'Methanol Recycling LC'!S291</f>
        <v>4.1640384942691283E-3</v>
      </c>
      <c r="BA81" s="168">
        <f>('Methanol Recycling LC'!T336+'Methanol Recycling LC'!T338)/'Methanol Recycling LC'!T291</f>
        <v>5.5014793910692075E-3</v>
      </c>
      <c r="BB81" s="168">
        <f>('Methanol Recycling LC'!U336+'Methanol Recycling LC'!U338)/'Methanol Recycling LC'!U291</f>
        <v>6.9045137054429603E-3</v>
      </c>
      <c r="BC81" s="168">
        <f>('Methanol Recycling LC'!V336+'Methanol Recycling LC'!V338)/'Methanol Recycling LC'!V291</f>
        <v>8.2886880802588402E-3</v>
      </c>
      <c r="BD81" s="168">
        <f>('Methanol Recycling LC'!W336+'Methanol Recycling LC'!W338)/'Methanol Recycling LC'!W291</f>
        <v>9.5932675962192553E-3</v>
      </c>
      <c r="BE81" s="168">
        <f>('Methanol Recycling LC'!X336+'Methanol Recycling LC'!X338)/'Methanol Recycling LC'!X291</f>
        <v>1.0326581595843227E-2</v>
      </c>
      <c r="BF81" s="168">
        <f>('Methanol Recycling LC'!Y336+'Methanol Recycling LC'!Y338)/'Methanol Recycling LC'!Y291</f>
        <v>1.0874530523872473E-2</v>
      </c>
      <c r="BG81" s="168">
        <f>('Methanol Recycling LC'!Z336+'Methanol Recycling LC'!Z338)/'Methanol Recycling LC'!Z291</f>
        <v>1.1277895719891741E-2</v>
      </c>
      <c r="BH81" s="168">
        <f>('Methanol Recycling LC'!AA336+'Methanol Recycling LC'!AA338)/'Methanol Recycling LC'!AA291</f>
        <v>1.1590769434367883E-2</v>
      </c>
      <c r="BI81" s="168">
        <f>('Methanol Recycling LC'!AB336+'Methanol Recycling LC'!AB338)/'Methanol Recycling LC'!AB291</f>
        <v>1.1874927690559261E-2</v>
      </c>
      <c r="BJ81" s="168">
        <f>('Methanol Recycling LC'!AC336+'Methanol Recycling LC'!AC338)/'Methanol Recycling LC'!AC291</f>
        <v>1.2205179941403299E-2</v>
      </c>
      <c r="BK81" s="168">
        <f>('Methanol Recycling LC'!AD336+'Methanol Recycling LC'!AD338)/'Methanol Recycling LC'!AD291</f>
        <v>1.2641610557972091E-2</v>
      </c>
      <c r="BL81" s="168">
        <f>('Methanol Recycling LC'!AE336+'Methanol Recycling LC'!AE338)/'Methanol Recycling LC'!AE291</f>
        <v>1.3237570601915792E-2</v>
      </c>
      <c r="BM81" s="168">
        <f>('Methanol Recycling LC'!AF336+'Methanol Recycling LC'!AF338)/'Methanol Recycling LC'!AF291</f>
        <v>1.4689767674190427E-2</v>
      </c>
      <c r="BN81" s="168">
        <f>('Methanol Recycling LC'!AG336+'Methanol Recycling LC'!AG338)/'Methanol Recycling LC'!AG291</f>
        <v>1.6422052587805654E-2</v>
      </c>
      <c r="BP81" s="168">
        <f>0</f>
        <v>0</v>
      </c>
      <c r="BQ81" s="168">
        <f>0</f>
        <v>0</v>
      </c>
      <c r="BR81" s="168">
        <f>0</f>
        <v>0</v>
      </c>
      <c r="BS81" s="168">
        <f>0</f>
        <v>0</v>
      </c>
      <c r="BT81" s="168">
        <f>0</f>
        <v>0</v>
      </c>
      <c r="BU81" s="168">
        <f>0</f>
        <v>0</v>
      </c>
      <c r="BV81" s="168">
        <f>0</f>
        <v>0</v>
      </c>
      <c r="BW81" s="168">
        <f>0</f>
        <v>0</v>
      </c>
      <c r="BX81" s="168">
        <f>0</f>
        <v>0</v>
      </c>
      <c r="BY81" s="168">
        <f>0</f>
        <v>0</v>
      </c>
      <c r="BZ81" s="168">
        <f>0</f>
        <v>0</v>
      </c>
      <c r="CA81" s="168">
        <f>0</f>
        <v>0</v>
      </c>
      <c r="CB81" s="168">
        <f>0</f>
        <v>0</v>
      </c>
      <c r="CC81" s="168">
        <f>0</f>
        <v>0</v>
      </c>
      <c r="CD81" s="168">
        <f>0</f>
        <v>0</v>
      </c>
      <c r="CE81" s="168">
        <f>0</f>
        <v>0</v>
      </c>
      <c r="CF81" s="168">
        <f>0</f>
        <v>0</v>
      </c>
      <c r="CG81" s="168">
        <f>0</f>
        <v>0</v>
      </c>
      <c r="CH81" s="168">
        <f>0</f>
        <v>0</v>
      </c>
      <c r="CI81" s="168">
        <f>0</f>
        <v>0</v>
      </c>
      <c r="CJ81" s="168">
        <f>0</f>
        <v>0</v>
      </c>
      <c r="CK81" s="168">
        <f>0</f>
        <v>0</v>
      </c>
      <c r="CL81" s="168">
        <f>0</f>
        <v>0</v>
      </c>
      <c r="CM81" s="168">
        <f>0</f>
        <v>0</v>
      </c>
      <c r="CN81" s="168">
        <f>0</f>
        <v>0</v>
      </c>
      <c r="CO81" s="168">
        <f>0</f>
        <v>0</v>
      </c>
      <c r="CP81" s="168">
        <f>0</f>
        <v>0</v>
      </c>
      <c r="CQ81" s="168">
        <f>0</f>
        <v>0</v>
      </c>
      <c r="CR81" s="168">
        <f>0</f>
        <v>0</v>
      </c>
      <c r="CS81" s="168">
        <f>0</f>
        <v>0</v>
      </c>
      <c r="CT81" s="168">
        <f>0</f>
        <v>0</v>
      </c>
      <c r="CV81" s="168">
        <f>('Methanol Recycling LC'!C336+'Methanol Recycling LC'!C338)/'Methanol Recycling HC'!C281</f>
        <v>1.8453423751577913E-7</v>
      </c>
      <c r="CW81" s="168">
        <f>('Methanol Recycling LC'!D336+'Methanol Recycling LC'!D338)/'Methanol Recycling HC'!D281</f>
        <v>3.9688207405020639E-7</v>
      </c>
      <c r="CX81" s="168">
        <f>('Methanol Recycling LC'!E336+'Methanol Recycling LC'!E338)/'Methanol Recycling HC'!E281</f>
        <v>8.4733215520734666E-7</v>
      </c>
      <c r="CY81" s="168">
        <f>('Methanol Recycling LC'!F336+'Methanol Recycling LC'!F338)/'Methanol Recycling HC'!F281</f>
        <v>1.7956454222436266E-6</v>
      </c>
      <c r="CZ81" s="168">
        <f>('Methanol Recycling LC'!G336+'Methanol Recycling LC'!G338)/'Methanol Recycling HC'!G281</f>
        <v>3.7753840983801899E-6</v>
      </c>
      <c r="DA81" s="168">
        <f>('Methanol Recycling LC'!H336+'Methanol Recycling LC'!H338)/'Methanol Recycling HC'!H281</f>
        <v>7.8681318619667259E-6</v>
      </c>
      <c r="DB81" s="168">
        <f>('Methanol Recycling LC'!I336+'Methanol Recycling LC'!I338)/'Methanol Recycling HC'!I281</f>
        <v>1.6151248442622335E-5</v>
      </c>
      <c r="DC81" s="168">
        <f>('Methanol Recycling LC'!J336+'Methanol Recycling LC'!J338)/'Methanol Recycling HC'!J281</f>
        <v>3.2738203795125968E-5</v>
      </c>
      <c r="DD81" s="168">
        <f>('Methanol Recycling LC'!K336+'Methanol Recycling LC'!K338)/'Methanol Recycling HC'!K281</f>
        <v>6.532142277081794E-5</v>
      </c>
      <c r="DE81" s="168">
        <f>('Methanol Recycling LC'!L336+'Methanol Recycling LC'!L338)/'Methanol Recycling HC'!L281</f>
        <v>1.2775619716647805E-4</v>
      </c>
      <c r="DF81" s="168">
        <f>('Methanol Recycling LC'!M336+'Methanol Recycling LC'!M338)/'Methanol Recycling HC'!M281</f>
        <v>2.446637151480334E-4</v>
      </c>
      <c r="DG81" s="168">
        <f>('Methanol Recycling LC'!N336+'Methanol Recycling LC'!N338)/'Methanol Recycling HC'!N281</f>
        <v>4.3344216054676932E-4</v>
      </c>
      <c r="DH81" s="168">
        <f>('Methanol Recycling LC'!O336+'Methanol Recycling LC'!O338)/'Methanol Recycling HC'!O281</f>
        <v>7.4313878324309924E-4</v>
      </c>
      <c r="DI81" s="168">
        <f>('Methanol Recycling LC'!P336+'Methanol Recycling LC'!P338)/'Methanol Recycling HC'!P281</f>
        <v>1.2183154106810961E-3</v>
      </c>
      <c r="DJ81" s="168">
        <f>('Methanol Recycling LC'!Q336+'Methanol Recycling LC'!Q338)/'Methanol Recycling HC'!Q281</f>
        <v>1.8970112110526923E-3</v>
      </c>
      <c r="DK81" s="168">
        <f>('Methanol Recycling LC'!R336+'Methanol Recycling LC'!R338)/'Methanol Recycling HC'!R281</f>
        <v>2.793170186024463E-3</v>
      </c>
      <c r="DL81" s="168">
        <f>('Methanol Recycling LC'!S336+'Methanol Recycling LC'!S338)/'Methanol Recycling HC'!S281</f>
        <v>3.882365723368795E-3</v>
      </c>
      <c r="DM81" s="168">
        <f>('Methanol Recycling LC'!T336+'Methanol Recycling LC'!T338)/'Methanol Recycling HC'!T281</f>
        <v>5.1012541020424556E-3</v>
      </c>
      <c r="DN81" s="168">
        <f>('Methanol Recycling LC'!U336+'Methanol Recycling LC'!U338)/'Methanol Recycling HC'!U281</f>
        <v>6.3669717647347251E-3</v>
      </c>
      <c r="DO81" s="168">
        <f>('Methanol Recycling LC'!V336+'Methanol Recycling LC'!V338)/'Methanol Recycling HC'!V281</f>
        <v>7.6010648666395703E-3</v>
      </c>
      <c r="DP81" s="168">
        <f>('Methanol Recycling LC'!W336+'Methanol Recycling LC'!W338)/'Methanol Recycling HC'!W281</f>
        <v>8.7484339201831813E-3</v>
      </c>
      <c r="DQ81" s="168">
        <f>('Methanol Recycling LC'!X336+'Methanol Recycling LC'!X338)/'Methanol Recycling HC'!X281</f>
        <v>9.3644447313776125E-3</v>
      </c>
      <c r="DR81" s="168">
        <f>('Methanol Recycling LC'!Y336+'Methanol Recycling LC'!Y338)/'Methanol Recycling HC'!Y281</f>
        <v>9.8058140127587224E-3</v>
      </c>
      <c r="DS81" s="168">
        <f>('Methanol Recycling LC'!Z336+'Methanol Recycling LC'!Z338)/'Methanol Recycling HC'!Z281</f>
        <v>1.0110576144190036E-2</v>
      </c>
      <c r="DT81" s="168">
        <f>('Methanol Recycling LC'!AA336+'Methanol Recycling LC'!AA338)/'Methanol Recycling HC'!AA281</f>
        <v>1.0330425135257911E-2</v>
      </c>
      <c r="DU81" s="168">
        <f>('Methanol Recycling LC'!AB336+'Methanol Recycling LC'!AB338)/'Methanol Recycling HC'!AB281</f>
        <v>1.0521513028590831E-2</v>
      </c>
      <c r="DV81" s="168">
        <f>('Methanol Recycling LC'!AC336+'Methanol Recycling LC'!AC338)/'Methanol Recycling HC'!AC281</f>
        <v>1.0742296561475581E-2</v>
      </c>
      <c r="DW81" s="168">
        <f>('Methanol Recycling LC'!AD336+'Methanol Recycling LC'!AD338)/'Methanol Recycling HC'!AD281</f>
        <v>1.1051972764844797E-2</v>
      </c>
      <c r="DX81" s="168">
        <f>('Methanol Recycling LC'!AE336+'Methanol Recycling LC'!AE338)/'Methanol Recycling HC'!AE281</f>
        <v>1.1494988893490874E-2</v>
      </c>
      <c r="DY81" s="168">
        <f>('Methanol Recycling LC'!AF336+'Methanol Recycling LC'!AF338)/'Methanol Recycling HC'!AF281</f>
        <v>1.266940370401147E-2</v>
      </c>
      <c r="DZ81" s="168">
        <f>('Methanol Recycling LC'!AG336+'Methanol Recycling LC'!AG338)/'Methanol Recycling HC'!AG281</f>
        <v>1.4066545892766869E-2</v>
      </c>
    </row>
    <row r="82" spans="1:165" x14ac:dyDescent="0.2">
      <c r="A82" s="606" t="s">
        <v>459</v>
      </c>
      <c r="C82" s="54" t="s">
        <v>462</v>
      </c>
      <c r="D82" s="168">
        <f>('Methanol Recycling HC'!C309-('Methanol Recycling HC'!C336+'Methanol Recycling HC'!C338)*'Methanol Recycling HC'!C275/SUM('Methanol Recycling HC'!C275:C276))/('Methanol Recycling HC'!C$291)*D$19/SUM(D$19:D$20)</f>
        <v>0.14497142059048934</v>
      </c>
      <c r="E82" s="168">
        <f>('Methanol Recycling HC'!D309-('Methanol Recycling HC'!D336+'Methanol Recycling HC'!D338)*'Methanol Recycling HC'!D275/SUM('Methanol Recycling HC'!D275:D276))/('Methanol Recycling HC'!D$291)*E$19/SUM(E$19:E$20)</f>
        <v>0.15336846936120144</v>
      </c>
      <c r="F82" s="168">
        <f>('Methanol Recycling HC'!E309-('Methanol Recycling HC'!E336+'Methanol Recycling HC'!E338)*'Methanol Recycling HC'!E275/SUM('Methanol Recycling HC'!E275:E276))/('Methanol Recycling HC'!E$291)*F$19/SUM(F$19:F$20)</f>
        <v>0.15756271163049712</v>
      </c>
      <c r="G82" s="168">
        <f>('Methanol Recycling HC'!F309-('Methanol Recycling HC'!F336+'Methanol Recycling HC'!F338)*'Methanol Recycling HC'!F275/SUM('Methanol Recycling HC'!F275:F276))/('Methanol Recycling HC'!F$291)*G$19/SUM(G$19:G$20)</f>
        <v>0.16168682296869824</v>
      </c>
      <c r="H82" s="168">
        <f>('Methanol Recycling HC'!G309-('Methanol Recycling HC'!G336+'Methanol Recycling HC'!G338)*'Methanol Recycling HC'!G275/SUM('Methanol Recycling HC'!G275:G276))/('Methanol Recycling HC'!G$291)*H$19/SUM(H$19:H$20)</f>
        <v>0.16572681631307659</v>
      </c>
      <c r="I82" s="168">
        <f>('Methanol Recycling HC'!H309-('Methanol Recycling HC'!H336+'Methanol Recycling HC'!H338)*'Methanol Recycling HC'!H275/SUM('Methanol Recycling HC'!H275:H276))/('Methanol Recycling HC'!H$291)*I$19/SUM(I$19:I$20)</f>
        <v>0.16965687933739773</v>
      </c>
      <c r="J82" s="168">
        <f>('Methanol Recycling HC'!I309-('Methanol Recycling HC'!I336+'Methanol Recycling HC'!I338)*'Methanol Recycling HC'!I275/SUM('Methanol Recycling HC'!I275:I276))/('Methanol Recycling HC'!I$291)*J$19/SUM(J$19:J$20)</f>
        <v>0.17337708871609409</v>
      </c>
      <c r="K82" s="168">
        <f>('Methanol Recycling HC'!J309-('Methanol Recycling HC'!J336+'Methanol Recycling HC'!J338)*'Methanol Recycling HC'!J275/SUM('Methanol Recycling HC'!J275:J276))/('Methanol Recycling HC'!J$291)*K$19/SUM(K$19:K$20)</f>
        <v>0.17685639211215873</v>
      </c>
      <c r="L82" s="168">
        <f>('Methanol Recycling HC'!K309-('Methanol Recycling HC'!K336+'Methanol Recycling HC'!K338)*'Methanol Recycling HC'!K275/SUM('Methanol Recycling HC'!K275:K276))/('Methanol Recycling HC'!K$291)*L$19/SUM(L$19:L$20)</f>
        <v>0.17994197070123258</v>
      </c>
      <c r="M82" s="168">
        <f>('Methanol Recycling HC'!L309-('Methanol Recycling HC'!L336+'Methanol Recycling HC'!L338)*'Methanol Recycling HC'!L275/SUM('Methanol Recycling HC'!L275:L276))/('Methanol Recycling HC'!L$291)*M$19/SUM(M$19:M$20)</f>
        <v>0.18237189311110158</v>
      </c>
      <c r="N82" s="168">
        <f>('Methanol Recycling HC'!M309-('Methanol Recycling HC'!M336+'Methanol Recycling HC'!M338)*'Methanol Recycling HC'!M275/SUM('Methanol Recycling HC'!M275:M276))/('Methanol Recycling HC'!M$291)*N$19/SUM(N$19:N$20)</f>
        <v>0.18372307102006813</v>
      </c>
      <c r="O82" s="168">
        <f>('Methanol Recycling HC'!N309-('Methanol Recycling HC'!N336+'Methanol Recycling HC'!N338)*'Methanol Recycling HC'!N275/SUM('Methanol Recycling HC'!N275:N276))/('Methanol Recycling HC'!N$291)*O$19/SUM(O$19:O$20)</f>
        <v>0.18268051833400706</v>
      </c>
      <c r="P82" s="168">
        <f>('Methanol Recycling HC'!O309-('Methanol Recycling HC'!O336+'Methanol Recycling HC'!O338)*'Methanol Recycling HC'!O275/SUM('Methanol Recycling HC'!O275:O276))/('Methanol Recycling HC'!O$291)*P$19/SUM(P$19:P$20)</f>
        <v>0.1791298595965998</v>
      </c>
      <c r="Q82" s="168">
        <f>('Methanol Recycling HC'!P309-('Methanol Recycling HC'!P336+'Methanol Recycling HC'!P338)*'Methanol Recycling HC'!P275/SUM('Methanol Recycling HC'!P275:P276))/('Methanol Recycling HC'!P$291)*Q$19/SUM(Q$19:Q$20)</f>
        <v>0.17223487818126607</v>
      </c>
      <c r="R82" s="168">
        <f>('Methanol Recycling HC'!Q309-('Methanol Recycling HC'!Q336+'Methanol Recycling HC'!Q338)*'Methanol Recycling HC'!Q275/SUM('Methanol Recycling HC'!Q275:Q276))/('Methanol Recycling HC'!Q$291)*R$19/SUM(R$19:R$20)</f>
        <v>0.16138737792115657</v>
      </c>
      <c r="S82" s="168">
        <f>('Methanol Recycling HC'!R309-('Methanol Recycling HC'!R336+'Methanol Recycling HC'!R338)*'Methanol Recycling HC'!R275/SUM('Methanol Recycling HC'!R275:R276))/('Methanol Recycling HC'!R$291)*S$19/SUM(S$19:S$20)</f>
        <v>0.1465478831232635</v>
      </c>
      <c r="T82" s="168">
        <f>('Methanol Recycling HC'!S309-('Methanol Recycling HC'!S336+'Methanol Recycling HC'!S338)*'Methanol Recycling HC'!S275/SUM('Methanol Recycling HC'!S275:S276))/('Methanol Recycling HC'!S$291)*T$19/SUM(T$19:T$20)</f>
        <v>0.12846752604846007</v>
      </c>
      <c r="U82" s="168">
        <f>('Methanol Recycling HC'!T309-('Methanol Recycling HC'!T336+'Methanol Recycling HC'!T338)*'Methanol Recycling HC'!T275/SUM('Methanol Recycling HC'!T275:T276))/('Methanol Recycling HC'!T$291)*U$19/SUM(U$19:U$20)</f>
        <v>0.10859269552235666</v>
      </c>
      <c r="V82" s="168">
        <f>('Methanol Recycling HC'!U309-('Methanol Recycling HC'!U336+'Methanol Recycling HC'!U338)*'Methanol Recycling HC'!U275/SUM('Methanol Recycling HC'!U275:U276))/('Methanol Recycling HC'!U$291)*V$19/SUM(V$19:V$20)</f>
        <v>8.8648184192812618E-2</v>
      </c>
      <c r="W82" s="168">
        <f>('Methanol Recycling HC'!V309-('Methanol Recycling HC'!V336+'Methanol Recycling HC'!V338)*'Methanol Recycling HC'!V275/SUM('Methanol Recycling HC'!V275:V276))/('Methanol Recycling HC'!V$291)*W$19/SUM(W$19:W$20)</f>
        <v>7.0142639974378293E-2</v>
      </c>
      <c r="X82" s="168">
        <f>('Methanol Recycling HC'!W309-('Methanol Recycling HC'!W336+'Methanol Recycling HC'!W338)*'Methanol Recycling HC'!W275/SUM('Methanol Recycling HC'!W275:W276))/('Methanol Recycling HC'!W$291)*X$19/SUM(X$19:X$20)</f>
        <v>5.4052391975981037E-2</v>
      </c>
      <c r="Y82" s="168">
        <f>('Methanol Recycling HC'!X309-('Methanol Recycling HC'!X336+'Methanol Recycling HC'!X338)*'Methanol Recycling HC'!X275/SUM('Methanol Recycling HC'!X275:X276))/('Methanol Recycling HC'!X$291)*Y$19/SUM(Y$19:Y$20)</f>
        <v>4.0569672382725006E-2</v>
      </c>
      <c r="Z82" s="168">
        <f>('Methanol Recycling HC'!Y309-('Methanol Recycling HC'!Y336+'Methanol Recycling HC'!Y338)*'Methanol Recycling HC'!Y275/SUM('Methanol Recycling HC'!Y275:Y276))/('Methanol Recycling HC'!Y$291)*Z$19/SUM(Z$19:Z$20)</f>
        <v>2.9941888641935008E-2</v>
      </c>
      <c r="AA82" s="168">
        <f>('Methanol Recycling HC'!Z309-('Methanol Recycling HC'!Z336+'Methanol Recycling HC'!Z338)*'Methanol Recycling HC'!Z275/SUM('Methanol Recycling HC'!Z275:Z276))/('Methanol Recycling HC'!Z$291)*AA$19/SUM(AA$19:AA$20)</f>
        <v>2.1813446933413534E-2</v>
      </c>
      <c r="AB82" s="168">
        <f>('Methanol Recycling HC'!AA309-('Methanol Recycling HC'!AA336+'Methanol Recycling HC'!AA338)*'Methanol Recycling HC'!AA275/SUM('Methanol Recycling HC'!AA275:AA276))/('Methanol Recycling HC'!AA$291)*AB$19/SUM(AB$19:AB$20)</f>
        <v>1.5735066146938818E-2</v>
      </c>
      <c r="AC82" s="168">
        <f>('Methanol Recycling HC'!AB309-('Methanol Recycling HC'!AB336+'Methanol Recycling HC'!AB338)*'Methanol Recycling HC'!AB275/SUM('Methanol Recycling HC'!AB275:AB276))/('Methanol Recycling HC'!AB$291)*AC$19/SUM(AC$19:AC$20)</f>
        <v>1.1264423805575241E-2</v>
      </c>
      <c r="AD82" s="168">
        <f>('Methanol Recycling HC'!AC309-('Methanol Recycling HC'!AC336+'Methanol Recycling HC'!AC338)*'Methanol Recycling HC'!AC275/SUM('Methanol Recycling HC'!AC275:AC276))/('Methanol Recycling HC'!AC$291)*AD$19/SUM(AD$19:AD$20)</f>
        <v>8.016491419446093E-3</v>
      </c>
      <c r="AE82" s="168">
        <f>('Methanol Recycling HC'!AD309-('Methanol Recycling HC'!AD336+'Methanol Recycling HC'!AD338)*'Methanol Recycling HC'!AD275/SUM('Methanol Recycling HC'!AD275:AD276))/('Methanol Recycling HC'!AD$291)*AE$19/SUM(AE$19:AE$20)</f>
        <v>5.6776453939171006E-3</v>
      </c>
      <c r="AF82" s="168">
        <f>('Methanol Recycling HC'!AE309-('Methanol Recycling HC'!AE336+'Methanol Recycling HC'!AE338)*'Methanol Recycling HC'!AE275/SUM('Methanol Recycling HC'!AE275:AE276))/('Methanol Recycling HC'!AE$291)*AF$19/SUM(AF$19:AF$20)</f>
        <v>4.0049957281286033E-3</v>
      </c>
      <c r="AG82" s="168">
        <f>('Methanol Recycling HC'!AF309-('Methanol Recycling HC'!AF336+'Methanol Recycling HC'!AF338)*'Methanol Recycling HC'!AF275/SUM('Methanol Recycling HC'!AF275:AF276))/('Methanol Recycling HC'!AF$291)*AG$19/SUM(AG$19:AG$20)</f>
        <v>2.8154967327574999E-3</v>
      </c>
      <c r="AH82" s="168">
        <f>('Methanol Recycling HC'!AG309-('Methanol Recycling HC'!AG336+'Methanol Recycling HC'!AG338)*'Methanol Recycling HC'!AG275/SUM('Methanol Recycling HC'!AG275:AG276))/('Methanol Recycling HC'!AG$291)*AH$19/SUM(AH$19:AH$20)</f>
        <v>1.9737739975416967E-3</v>
      </c>
      <c r="AI82" s="44"/>
      <c r="AJ82" s="168">
        <f>('Methanol Recycling LC'!C309-('Methanol Recycling LC'!C336+'Methanol Recycling LC'!C338)*'Methanol Recycling LC'!C275/SUM('Methanol Recycling LC'!C275:C276))/('Methanol Recycling LC'!C$291)*AJ$19/SUM(AJ$19:AJ$20)</f>
        <v>0.14497146210389325</v>
      </c>
      <c r="AK82" s="168">
        <f>('Methanol Recycling LC'!D309-('Methanol Recycling LC'!D336+'Methanol Recycling LC'!D338)*'Methanol Recycling LC'!D275/SUM('Methanol Recycling LC'!D275:D276))/('Methanol Recycling LC'!D$291)*AK$19/SUM(AK$19:AK$20)</f>
        <v>0.14911920848658936</v>
      </c>
      <c r="AL82" s="168">
        <f>('Methanol Recycling LC'!E309-('Methanol Recycling LC'!E336+'Methanol Recycling LC'!E338)*'Methanol Recycling LC'!E275/SUM('Methanol Recycling LC'!E275:E276))/('Methanol Recycling LC'!E$291)*AL$19/SUM(AL$19:AL$20)</f>
        <v>0.15321877739365042</v>
      </c>
      <c r="AM82" s="168">
        <f>('Methanol Recycling LC'!F309-('Methanol Recycling LC'!F336+'Methanol Recycling LC'!F338)*'Methanol Recycling LC'!F275/SUM('Methanol Recycling LC'!F275:F276))/('Methanol Recycling LC'!F$291)*AM$19/SUM(AM$19:AM$20)</f>
        <v>0.15726399807248623</v>
      </c>
      <c r="AN82" s="168">
        <f>('Methanol Recycling LC'!G309-('Methanol Recycling LC'!G336+'Methanol Recycling LC'!G338)*'Methanol Recycling LC'!G275/SUM('Methanol Recycling LC'!G275:G276))/('Methanol Recycling LC'!G$291)*AN$19/SUM(AN$19:AN$20)</f>
        <v>0.16124272162539044</v>
      </c>
      <c r="AO82" s="168">
        <f>('Methanol Recycling LC'!H309-('Methanol Recycling LC'!H336+'Methanol Recycling LC'!H338)*'Methanol Recycling LC'!H275/SUM('Methanol Recycling LC'!H275:H276))/('Methanol Recycling LC'!H$291)*AO$19/SUM(AO$19:AO$20)</f>
        <v>0.16513147722078469</v>
      </c>
      <c r="AP82" s="168">
        <f>('Methanol Recycling LC'!I309-('Methanol Recycling LC'!I336+'Methanol Recycling LC'!I338)*'Methanol Recycling LC'!I275/SUM('Methanol Recycling LC'!I275:I276))/('Methanol Recycling LC'!I$291)*AP$19/SUM(AP$19:AP$20)</f>
        <v>0.1689040657626317</v>
      </c>
      <c r="AQ82" s="168">
        <f>('Methanol Recycling LC'!J309-('Methanol Recycling LC'!J336+'Methanol Recycling LC'!J338)*'Methanol Recycling LC'!J275/SUM('Methanol Recycling LC'!J275:J276))/('Methanol Recycling LC'!J$291)*AQ$19/SUM(AQ$19:AQ$20)</f>
        <v>0.17246250481878767</v>
      </c>
      <c r="AR82" s="168">
        <f>('Methanol Recycling LC'!K309-('Methanol Recycling LC'!K336+'Methanol Recycling LC'!K338)*'Methanol Recycling LC'!K275/SUM('Methanol Recycling LC'!K275:K276))/('Methanol Recycling LC'!K$291)*AR$19/SUM(AR$19:AR$20)</f>
        <v>0.17565951998557372</v>
      </c>
      <c r="AS82" s="168">
        <f>('Methanol Recycling LC'!L309-('Methanol Recycling LC'!L336+'Methanol Recycling LC'!L338)*'Methanol Recycling LC'!L275/SUM('Methanol Recycling LC'!L275:L276))/('Methanol Recycling LC'!L$291)*AS$19/SUM(AS$19:AS$20)</f>
        <v>0.17824232679559829</v>
      </c>
      <c r="AT82" s="168">
        <f>('Methanol Recycling LC'!M309-('Methanol Recycling LC'!M336+'Methanol Recycling LC'!M338)*'Methanol Recycling LC'!M275/SUM('Methanol Recycling LC'!M275:M276))/('Methanol Recycling LC'!M$291)*AT$19/SUM(AT$19:AT$20)</f>
        <v>0.17980226991977732</v>
      </c>
      <c r="AU82" s="168">
        <f>('Methanol Recycling LC'!N309-('Methanol Recycling LC'!N336+'Methanol Recycling LC'!N338)*'Methanol Recycling LC'!N275/SUM('Methanol Recycling LC'!N275:N276))/('Methanol Recycling LC'!N$291)*AU$19/SUM(AU$19:AU$20)</f>
        <v>0.17876143113814155</v>
      </c>
      <c r="AV82" s="168">
        <f>('Methanol Recycling LC'!O309-('Methanol Recycling LC'!O336+'Methanol Recycling LC'!O338)*'Methanol Recycling LC'!O275/SUM('Methanol Recycling LC'!O275:O276))/('Methanol Recycling LC'!O$291)*AV$19/SUM(AV$19:AV$20)</f>
        <v>0.17532732482672159</v>
      </c>
      <c r="AW82" s="168">
        <f>('Methanol Recycling LC'!P309-('Methanol Recycling LC'!P336+'Methanol Recycling LC'!P338)*'Methanol Recycling LC'!P275/SUM('Methanol Recycling LC'!P275:P276))/('Methanol Recycling LC'!P$291)*AW$19/SUM(AW$19:AW$20)</f>
        <v>0.16869148336363746</v>
      </c>
      <c r="AX82" s="168">
        <f>('Methanol Recycling LC'!Q309-('Methanol Recycling LC'!Q336+'Methanol Recycling LC'!Q338)*'Methanol Recycling LC'!Q275/SUM('Methanol Recycling LC'!Q275:Q276))/('Methanol Recycling LC'!Q$291)*AX$19/SUM(AX$19:AX$20)</f>
        <v>0.15825274095094047</v>
      </c>
      <c r="AY82" s="168">
        <f>('Methanol Recycling LC'!R309-('Methanol Recycling LC'!R336+'Methanol Recycling LC'!R338)*'Methanol Recycling LC'!R275/SUM('Methanol Recycling LC'!R275:R276))/('Methanol Recycling LC'!R$291)*AY$19/SUM(AY$19:AY$20)</f>
        <v>0.14394662677116166</v>
      </c>
      <c r="AZ82" s="168">
        <f>('Methanol Recycling LC'!S309-('Methanol Recycling LC'!S336+'Methanol Recycling LC'!S338)*'Methanol Recycling LC'!S275/SUM('Methanol Recycling LC'!S275:S276))/('Methanol Recycling LC'!S$291)*AZ$19/SUM(AZ$19:AZ$20)</f>
        <v>0.12645159629100963</v>
      </c>
      <c r="BA82" s="168">
        <f>('Methanol Recycling LC'!T309-('Methanol Recycling LC'!T336+'Methanol Recycling LC'!T338)*'Methanol Recycling LC'!T275/SUM('Methanol Recycling LC'!T275:T276))/('Methanol Recycling LC'!T$291)*BA$19/SUM(BA$19:BA$20)</f>
        <v>0.10715105052589587</v>
      </c>
      <c r="BB82" s="168">
        <f>('Methanol Recycling LC'!U309-('Methanol Recycling LC'!U336+'Methanol Recycling LC'!U338)*'Methanol Recycling LC'!U275/SUM('Methanol Recycling LC'!U275:U276))/('Methanol Recycling LC'!U$291)*BB$19/SUM(BB$19:BB$20)</f>
        <v>8.7702583207335677E-2</v>
      </c>
      <c r="BC82" s="168">
        <f>('Methanol Recycling LC'!V309-('Methanol Recycling LC'!V336+'Methanol Recycling LC'!V338)*'Methanol Recycling LC'!V275/SUM('Methanol Recycling LC'!V275:V276))/('Methanol Recycling LC'!V$291)*BC$19/SUM(BC$19:BC$20)</f>
        <v>6.957947796622832E-2</v>
      </c>
      <c r="BD82" s="168">
        <f>('Methanol Recycling LC'!W309-('Methanol Recycling LC'!W336+'Methanol Recycling LC'!W338)*'Methanol Recycling LC'!W275/SUM('Methanol Recycling LC'!W275:W276))/('Methanol Recycling LC'!W$291)*BD$19/SUM(BD$19:BD$20)</f>
        <v>5.3756065060419869E-2</v>
      </c>
      <c r="BE82" s="168">
        <f>('Methanol Recycling LC'!X309-('Methanol Recycling LC'!X336+'Methanol Recycling LC'!X338)*'Methanol Recycling LC'!X275/SUM('Methanol Recycling LC'!X275:X276))/('Methanol Recycling LC'!X$291)*BE$19/SUM(BE$19:BE$20)</f>
        <v>4.0363062834192803E-2</v>
      </c>
      <c r="BF82" s="168">
        <f>('Methanol Recycling LC'!Y309-('Methanol Recycling LC'!Y336+'Methanol Recycling LC'!Y338)*'Methanol Recycling LC'!Y275/SUM('Methanol Recycling LC'!Y275:Y276))/('Methanol Recycling LC'!Y$291)*BF$19/SUM(BF$19:BF$20)</f>
        <v>2.9795661904775131E-2</v>
      </c>
      <c r="BG82" s="168">
        <f>('Methanol Recycling LC'!Z309-('Methanol Recycling LC'!Z336+'Methanol Recycling LC'!Z338)*'Methanol Recycling LC'!Z275/SUM('Methanol Recycling LC'!Z275:Z276))/('Methanol Recycling LC'!Z$291)*BG$19/SUM(BG$19:BG$20)</f>
        <v>2.1708621936983481E-2</v>
      </c>
      <c r="BH82" s="168">
        <f>('Methanol Recycling LC'!AA309-('Methanol Recycling LC'!AA336+'Methanol Recycling LC'!AA338)*'Methanol Recycling LC'!AA275/SUM('Methanol Recycling LC'!AA275:AA276))/('Methanol Recycling LC'!AA$291)*BH$19/SUM(BH$19:BH$20)</f>
        <v>1.5659901643717951E-2</v>
      </c>
      <c r="BI82" s="168">
        <f>('Methanol Recycling LC'!AB309-('Methanol Recycling LC'!AB336+'Methanol Recycling LC'!AB338)*'Methanol Recycling LC'!AB275/SUM('Methanol Recycling LC'!AB275:AB276))/('Methanol Recycling LC'!AB$291)*BI$19/SUM(BI$19:BI$20)</f>
        <v>1.1211644363697273E-2</v>
      </c>
      <c r="BJ82" s="168">
        <f>('Methanol Recycling LC'!AC309-('Methanol Recycling LC'!AC336+'Methanol Recycling LC'!AC338)*'Methanol Recycling LC'!AC275/SUM('Methanol Recycling LC'!AC275:AC276))/('Methanol Recycling LC'!AC$291)*BJ$19/SUM(BJ$19:BJ$20)</f>
        <v>7.9815145764538884E-3</v>
      </c>
      <c r="BK82" s="168">
        <f>('Methanol Recycling LC'!AD309-('Methanol Recycling LC'!AD336+'Methanol Recycling LC'!AD338)*'Methanol Recycling LC'!AD275/SUM('Methanol Recycling LC'!AD275:AD276))/('Methanol Recycling LC'!AD$291)*BK$19/SUM(BK$19:BK$20)</f>
        <v>5.6566343272678376E-3</v>
      </c>
      <c r="BL82" s="168">
        <f>('Methanol Recycling LC'!AE309-('Methanol Recycling LC'!AE336+'Methanol Recycling LC'!AE338)*'Methanol Recycling LC'!AE275/SUM('Methanol Recycling LC'!AE275:AE276))/('Methanol Recycling LC'!AE$291)*BL$19/SUM(BL$19:BL$20)</f>
        <v>3.9947166756111848E-3</v>
      </c>
      <c r="BM82" s="168">
        <f>('Methanol Recycling LC'!AF309-('Methanol Recycling LC'!AF336+'Methanol Recycling LC'!AF338)*'Methanol Recycling LC'!AF275/SUM('Methanol Recycling LC'!AF275:AF276))/('Methanol Recycling LC'!AF$291)*BM$19/SUM(BM$19:BM$20)</f>
        <v>2.8089373340345158E-3</v>
      </c>
      <c r="BN82" s="168">
        <f>('Methanol Recycling LC'!AG309-('Methanol Recycling LC'!AG336+'Methanol Recycling LC'!AG338)*'Methanol Recycling LC'!AG275/SUM('Methanol Recycling LC'!AG275:AG276))/('Methanol Recycling LC'!AG$291)*BN$19/SUM(BN$19:BN$20)</f>
        <v>1.9700074529132743E-3</v>
      </c>
      <c r="BP82" s="168">
        <f>('Methanol Recycling HC'!C285)/('Methanol Recycling HC'!C$281)*BP$19/SUM(BP$19:BP$20)</f>
        <v>0.1449781996567753</v>
      </c>
      <c r="BQ82" s="168">
        <f>('Methanol Recycling HC'!D285)/('Methanol Recycling HC'!D$281)*BQ$19/SUM(BQ$19:BQ$20)</f>
        <v>0.14709848619833654</v>
      </c>
      <c r="BR82" s="168">
        <f>('Methanol Recycling HC'!E285)/('Methanol Recycling HC'!E$281)*BR$19/SUM(BR$19:BR$20)</f>
        <v>0.14918192263762906</v>
      </c>
      <c r="BS82" s="168">
        <f>('Methanol Recycling HC'!F285)/('Methanol Recycling HC'!F$281)*BS$19/SUM(BS$19:BS$20)</f>
        <v>0.15122859763306432</v>
      </c>
      <c r="BT82" s="168">
        <f>('Methanol Recycling HC'!G285)/('Methanol Recycling HC'!G$281)*BT$19/SUM(BT$19:BT$20)</f>
        <v>0.15323833101131482</v>
      </c>
      <c r="BU82" s="168">
        <f>('Methanol Recycling HC'!H285)/('Methanol Recycling HC'!H$281)*BU$19/SUM(BU$19:BU$20)</f>
        <v>0.15521067105056596</v>
      </c>
      <c r="BV82" s="168">
        <f>('Methanol Recycling HC'!I285)/('Methanol Recycling HC'!I$281)*BV$19/SUM(BV$19:BV$20)</f>
        <v>0.15717772982921752</v>
      </c>
      <c r="BW82" s="168">
        <f>('Methanol Recycling HC'!J285)/('Methanol Recycling HC'!J$281)*BW$19/SUM(BW$19:BW$20)</f>
        <v>0.15913934865974436</v>
      </c>
      <c r="BX82" s="168">
        <f>('Methanol Recycling HC'!K285)/('Methanol Recycling HC'!K$281)*BX$19/SUM(BX$19:BX$20)</f>
        <v>0.16109536332804789</v>
      </c>
      <c r="BY82" s="168">
        <f>('Methanol Recycling HC'!L285)/('Methanol Recycling HC'!L$281)*BY$19/SUM(BY$19:BY$20)</f>
        <v>0.16304560367960214</v>
      </c>
      <c r="BZ82" s="168">
        <f>('Methanol Recycling HC'!M285)/('Methanol Recycling HC'!M$281)*BZ$19/SUM(BZ$19:BZ$20)</f>
        <v>0.16498989319544785</v>
      </c>
      <c r="CA82" s="168">
        <f>('Methanol Recycling HC'!N285)/('Methanol Recycling HC'!N$281)*CA$19/SUM(CA$19:CA$20)</f>
        <v>0.16690540210054158</v>
      </c>
      <c r="CB82" s="168">
        <f>('Methanol Recycling HC'!O285)/('Methanol Recycling HC'!O$281)*CB$19/SUM(CB$19:CB$20)</f>
        <v>0.16879120869306621</v>
      </c>
      <c r="CC82" s="168">
        <f>('Methanol Recycling HC'!P285)/('Methanol Recycling HC'!P$281)*CC$19/SUM(CC$19:CC$20)</f>
        <v>0.17064622113241146</v>
      </c>
      <c r="CD82" s="168">
        <f>('Methanol Recycling HC'!Q285)/('Methanol Recycling HC'!Q$281)*CD$19/SUM(CD$19:CD$20)</f>
        <v>0.17246916646515278</v>
      </c>
      <c r="CE82" s="168">
        <f>('Methanol Recycling HC'!R285)/('Methanol Recycling HC'!R$281)*CE$19/SUM(CE$19:CE$20)</f>
        <v>0.17425857784188242</v>
      </c>
      <c r="CF82" s="168">
        <f>('Methanol Recycling HC'!S285)/('Methanol Recycling HC'!S$281)*CF$19/SUM(CF$19:CF$20)</f>
        <v>0.17604344996085355</v>
      </c>
      <c r="CG82" s="168">
        <f>('Methanol Recycling HC'!T285)/('Methanol Recycling HC'!T$281)*CG$19/SUM(CG$19:CG$20)</f>
        <v>0.17782366623772822</v>
      </c>
      <c r="CH82" s="168">
        <f>('Methanol Recycling HC'!U285)/('Methanol Recycling HC'!U$281)*CH$19/SUM(CH$19:CH$20)</f>
        <v>0.1795991073743953</v>
      </c>
      <c r="CI82" s="168">
        <f>('Methanol Recycling HC'!V285)/('Methanol Recycling HC'!V$281)*CI$19/SUM(CI$19:CI$20)</f>
        <v>0.18136965127630963</v>
      </c>
      <c r="CJ82" s="168">
        <f>('Methanol Recycling HC'!W285)/('Methanol Recycling HC'!W$281)*CJ$19/SUM(CJ$19:CJ$20)</f>
        <v>0.18313517296742532</v>
      </c>
      <c r="CK82" s="168">
        <f>('Methanol Recycling HC'!X285)/('Methanol Recycling HC'!X$281)*CK$19/SUM(CK$19:CK$20)</f>
        <v>0.18489574831608813</v>
      </c>
      <c r="CL82" s="168">
        <f>('Methanol Recycling HC'!Y285)/('Methanol Recycling HC'!Y$281)*CL$19/SUM(CL$19:CL$20)</f>
        <v>0.18665125692027199</v>
      </c>
      <c r="CM82" s="168">
        <f>('Methanol Recycling HC'!Z285)/('Methanol Recycling HC'!Z$281)*CM$19/SUM(CM$19:CM$20)</f>
        <v>0.18840157559737916</v>
      </c>
      <c r="CN82" s="168">
        <f>('Methanol Recycling HC'!AA285)/('Methanol Recycling HC'!AA$281)*CN$19/SUM(CN$19:CN$20)</f>
        <v>0.19014657830409429</v>
      </c>
      <c r="CO82" s="168">
        <f>('Methanol Recycling HC'!AB285)/('Methanol Recycling HC'!AB$281)*CO$19/SUM(CO$19:CO$20)</f>
        <v>0.19188613605395272</v>
      </c>
      <c r="CP82" s="168">
        <f>('Methanol Recycling HC'!AC285)/('Methanol Recycling HC'!AC$281)*CP$19/SUM(CP$19:CP$20)</f>
        <v>0.19362030698586696</v>
      </c>
      <c r="CQ82" s="168">
        <f>('Methanol Recycling HC'!AD285)/('Methanol Recycling HC'!AD$281)*CQ$19/SUM(CQ$19:CQ$20)</f>
        <v>0.19534896581838943</v>
      </c>
      <c r="CR82" s="168">
        <f>('Methanol Recycling HC'!AE285)/('Methanol Recycling HC'!AE$281)*CR$19/SUM(CR$19:CR$20)</f>
        <v>0.19707198440815873</v>
      </c>
      <c r="CS82" s="168">
        <f>('Methanol Recycling HC'!AF285)/('Methanol Recycling HC'!AF$281)*CS$19/SUM(CS$19:CS$20)</f>
        <v>0.19878923167117177</v>
      </c>
      <c r="CT82" s="168">
        <f>('Methanol Recycling HC'!AG285)/('Methanol Recycling HC'!AG$281)*CT$19/SUM(CT$19:CT$20)</f>
        <v>0.20050057350185951</v>
      </c>
      <c r="CV82" s="168">
        <f>AJ82*(1-SUM(CV$34:CV$35))/(1-SUM(AJ$34:AJ$35))</f>
        <v>0.14497146210389325</v>
      </c>
      <c r="CW82" s="168">
        <f t="shared" ref="CW82:CW88" si="576">AK82*(1-SUM(CW$34:CW$35))/(1-SUM(AK$34:AK$35))</f>
        <v>0.14928924929835635</v>
      </c>
      <c r="CX82" s="168">
        <f t="shared" ref="CX82:CX88" si="577">AL82*(1-SUM(CX$34:CX$35))/(1-SUM(AL$34:AL$35))</f>
        <v>0.15358451255293554</v>
      </c>
      <c r="CY82" s="168">
        <f t="shared" ref="CY82:CY88" si="578">AM82*(1-SUM(CY$34:CY$35))/(1-SUM(AM$34:AM$35))</f>
        <v>0.15785214536612757</v>
      </c>
      <c r="CZ82" s="168">
        <f t="shared" ref="CZ82:CZ88" si="579">AN82*(1-SUM(CZ$34:CZ$35))/(1-SUM(AN$34:AN$35))</f>
        <v>0.16208095044209009</v>
      </c>
      <c r="DA82" s="168">
        <f t="shared" ref="DA82:DA88" si="580">AO82*(1-SUM(DA$34:DA$35))/(1-SUM(AO$34:AO$35))</f>
        <v>0.16624820992774936</v>
      </c>
      <c r="DB82" s="168">
        <f t="shared" ref="DB82:DB88" si="581">AP82*(1-SUM(DB$34:DB$35))/(1-SUM(AP$34:AP$35))</f>
        <v>0.17036318921623422</v>
      </c>
      <c r="DC82" s="168">
        <f t="shared" ref="DC82:DC88" si="582">AQ82*(1-SUM(DC$34:DC$35))/(1-SUM(AQ$34:AQ$35))</f>
        <v>0.17429632330969291</v>
      </c>
      <c r="DD82" s="168">
        <f t="shared" ref="DD82:DD88" si="583">AR82*(1-SUM(DD$34:DD$35))/(1-SUM(AR$34:AR$35))</f>
        <v>0.17789841028167178</v>
      </c>
      <c r="DE82" s="168">
        <f t="shared" ref="DE82:DE88" si="584">AS82*(1-SUM(DE$34:DE$35))/(1-SUM(AS$34:AS$35))</f>
        <v>0.1809118576062983</v>
      </c>
      <c r="DF82" s="168">
        <f t="shared" ref="DF82:DF88" si="585">AT82*(1-SUM(DF$34:DF$35))/(1-SUM(AT$34:AT$35))</f>
        <v>0.18291822278753017</v>
      </c>
      <c r="DG82" s="168">
        <f t="shared" ref="DG82:DG88" si="586">AU82*(1-SUM(DG$34:DG$35))/(1-SUM(AU$34:AU$35))</f>
        <v>0.18265801724132327</v>
      </c>
      <c r="DH82" s="168">
        <f t="shared" ref="DH82:DH88" si="587">AV82*(1-SUM(DH$34:DH$35))/(1-SUM(AV$34:AV$35))</f>
        <v>0.17992398182637698</v>
      </c>
      <c r="DI82" s="168">
        <f t="shared" ref="DI82:DI88" si="588">AW82*(1-SUM(DI$34:DI$35))/(1-SUM(AW$34:AW$35))</f>
        <v>0.1740248886363199</v>
      </c>
      <c r="DJ82" s="168">
        <f t="shared" ref="DJ82:DJ88" si="589">AX82*(1-SUM(DJ$34:DJ$35))/(1-SUM(AX$34:AX$35))</f>
        <v>0.16418466674977381</v>
      </c>
      <c r="DK82" s="168">
        <f t="shared" ref="DK82:DK88" si="590">AY82*(1-SUM(DK$34:DK$35))/(1-SUM(AY$34:AY$35))</f>
        <v>0.15025521742118447</v>
      </c>
      <c r="DL82" s="168">
        <f t="shared" ref="DL82:DL88" si="591">AZ82*(1-SUM(DL$34:DL$35))/(1-SUM(AZ$34:AZ$35))</f>
        <v>0.13285074764641147</v>
      </c>
      <c r="DM82" s="168">
        <f t="shared" ref="DM82:DM88" si="592">BA82*(1-SUM(DM$34:DM$35))/(1-SUM(BA$34:BA$35))</f>
        <v>0.11334803461798267</v>
      </c>
      <c r="DN82" s="168">
        <f t="shared" ref="DN82:DN88" si="593">BB82*(1-SUM(DN$34:DN$35))/(1-SUM(BB$34:BB$35))</f>
        <v>9.3445067057143394E-2</v>
      </c>
      <c r="DO82" s="168">
        <f t="shared" ref="DO82:DO88" si="594">BC82*(1-SUM(DO$34:DO$35))/(1-SUM(BC$34:BC$35))</f>
        <v>7.4692788028207044E-2</v>
      </c>
      <c r="DP82" s="168">
        <f t="shared" ref="DP82:DP88" si="595">BD82*(1-SUM(DP$34:DP$35))/(1-SUM(BD$34:BD$35))</f>
        <v>5.8154476825082617E-2</v>
      </c>
      <c r="DQ82" s="168">
        <f t="shared" ref="DQ82:DQ88" si="596">BE82*(1-SUM(DQ$34:DQ$35))/(1-SUM(BE$34:BE$35))</f>
        <v>4.4220944748575332E-2</v>
      </c>
      <c r="DR82" s="168">
        <f t="shared" ref="DR82:DR88" si="597">BF82*(1-SUM(DR$34:DR$35))/(1-SUM(BF$34:BF$35))</f>
        <v>3.3011830833404102E-2</v>
      </c>
      <c r="DS82" s="168">
        <f t="shared" ref="DS82:DS88" si="598">BG82*(1-SUM(DS$34:DS$35))/(1-SUM(BG$34:BG$35))</f>
        <v>2.4335418178798859E-2</v>
      </c>
      <c r="DT82" s="168">
        <f t="shared" ref="DT82:DT88" si="599">BH82*(1-SUM(DT$34:DT$35))/(1-SUM(BH$34:BH$35))</f>
        <v>1.7770016632651819E-2</v>
      </c>
      <c r="DU82" s="168">
        <f t="shared" ref="DU82:DU88" si="600">BI82*(1-SUM(DU$34:DU$35))/(1-SUM(BI$34:BI$35))</f>
        <v>1.2881504581936362E-2</v>
      </c>
      <c r="DV82" s="168">
        <f t="shared" ref="DV82:DV88" si="601">BJ82*(1-SUM(DV$34:DV$35))/(1-SUM(BJ$34:BJ$35))</f>
        <v>9.2865947697240263E-3</v>
      </c>
      <c r="DW82" s="168">
        <f t="shared" ref="DW82:DW88" si="602">BK82*(1-SUM(DW$34:DW$35))/(1-SUM(BK$34:BK$35))</f>
        <v>6.6656272479665157E-3</v>
      </c>
      <c r="DX82" s="168">
        <f t="shared" ref="DX82:DX88" si="603">BL82*(1-SUM(DX$34:DX$35))/(1-SUM(BL$34:BL$35))</f>
        <v>4.7674136803312452E-3</v>
      </c>
      <c r="DY82" s="168">
        <f t="shared" ref="DY82:DY88" si="604">BM82*(1-SUM(DY$34:DY$35))/(1-SUM(BM$34:BM$35))</f>
        <v>3.3947512267399798E-3</v>
      </c>
      <c r="DZ82" s="168">
        <f t="shared" ref="DZ82:DZ88" si="605">BN82*(1-SUM(DZ$34:DZ$35))/(1-SUM(BN$34:BN$35))</f>
        <v>2.4103941682393328E-3</v>
      </c>
    </row>
    <row r="83" spans="1:165" x14ac:dyDescent="0.2">
      <c r="A83" s="606" t="s">
        <v>460</v>
      </c>
      <c r="C83" s="54" t="s">
        <v>462</v>
      </c>
      <c r="D83" s="168">
        <f>('Methanol Recycling HC'!C309-('Methanol Recycling HC'!C336+'Methanol Recycling HC'!C338)*'Methanol Recycling HC'!C275/SUM('Methanol Recycling HC'!C275:C276))/('Methanol Recycling HC'!C$291)*D$20/SUM(D$19:D$20)</f>
        <v>6.6818425196253152E-6</v>
      </c>
      <c r="E83" s="168">
        <f>('Methanol Recycling HC'!D309-('Methanol Recycling HC'!D336+'Methanol Recycling HC'!D338)*'Methanol Recycling HC'!D275/SUM('Methanol Recycling HC'!D275:D276))/('Methanol Recycling HC'!D$291)*E$20/SUM(E$19:E$20)</f>
        <v>1.3688988687909781E-5</v>
      </c>
      <c r="F83" s="168">
        <f>('Methanol Recycling HC'!E309-('Methanol Recycling HC'!E336+'Methanol Recycling HC'!E338)*'Methanol Recycling HC'!E275/SUM('Methanol Recycling HC'!E275:E276))/('Methanol Recycling HC'!E$291)*F$20/SUM(F$19:F$20)</f>
        <v>2.7188090251614495E-5</v>
      </c>
      <c r="G83" s="168">
        <f>('Methanol Recycling HC'!F309-('Methanol Recycling HC'!F336+'Methanol Recycling HC'!F338)*'Methanol Recycling HC'!F275/SUM('Methanol Recycling HC'!F275:F276))/('Methanol Recycling HC'!F$291)*G$20/SUM(G$19:G$20)</f>
        <v>5.3810532509174331E-5</v>
      </c>
      <c r="H83" s="168">
        <f>('Methanol Recycling HC'!G309-('Methanol Recycling HC'!G336+'Methanol Recycling HC'!G338)*'Methanol Recycling HC'!G275/SUM('Methanol Recycling HC'!G275:G276))/('Methanol Recycling HC'!G$291)*H$20/SUM(H$19:H$20)</f>
        <v>1.0603065958039929E-4</v>
      </c>
      <c r="I83" s="168">
        <f>('Methanol Recycling HC'!H309-('Methanol Recycling HC'!H336+'Methanol Recycling HC'!H338)*'Methanol Recycling HC'!H275/SUM('Methanol Recycling HC'!H275:H276))/('Methanol Recycling HC'!H$291)*I$20/SUM(I$19:I$20)</f>
        <v>2.077283421213843E-4</v>
      </c>
      <c r="J83" s="168">
        <f>('Methanol Recycling HC'!I309-('Methanol Recycling HC'!I336+'Methanol Recycling HC'!I338)*'Methanol Recycling HC'!I275/SUM('Methanol Recycling HC'!I275:I276))/('Methanol Recycling HC'!I$291)*J$20/SUM(J$19:J$20)</f>
        <v>4.0376275709418905E-4</v>
      </c>
      <c r="K83" s="168">
        <f>('Methanol Recycling HC'!J309-('Methanol Recycling HC'!J336+'Methanol Recycling HC'!J338)*'Methanol Recycling HC'!J275/SUM('Methanol Recycling HC'!J275:J276))/('Methanol Recycling HC'!J$291)*K$20/SUM(K$19:K$20)</f>
        <v>7.7690197860699522E-4</v>
      </c>
      <c r="L83" s="168">
        <f>('Methanol Recycling HC'!K309-('Methanol Recycling HC'!K336+'Methanol Recycling HC'!K338)*'Methanol Recycling HC'!K275/SUM('Methanol Recycling HC'!K275:K276))/('Methanol Recycling HC'!K$291)*L$20/SUM(L$19:L$20)</f>
        <v>1.474812943208999E-3</v>
      </c>
      <c r="M83" s="168">
        <f>('Methanol Recycling HC'!L309-('Methanol Recycling HC'!L336+'Methanol Recycling HC'!L338)*'Methanol Recycling HC'!L275/SUM('Methanol Recycling HC'!L275:L276))/('Methanol Recycling HC'!L$291)*M$20/SUM(M$19:M$20)</f>
        <v>2.7497947904514966E-3</v>
      </c>
      <c r="N83" s="168">
        <f>('Methanol Recycling HC'!M309-('Methanol Recycling HC'!M336+'Methanol Recycling HC'!M338)*'Methanol Recycling HC'!M275/SUM('Methanol Recycling HC'!M275:M276))/('Methanol Recycling HC'!M$291)*N$20/SUM(N$19:N$20)</f>
        <v>5.0072827921735603E-3</v>
      </c>
      <c r="O83" s="168">
        <f>('Methanol Recycling HC'!N309-('Methanol Recycling HC'!N336+'Methanol Recycling HC'!N338)*'Methanol Recycling HC'!N275/SUM('Methanol Recycling HC'!N275:N276))/('Methanol Recycling HC'!N$291)*O$20/SUM(O$19:O$20)</f>
        <v>8.8114571672962983E-3</v>
      </c>
      <c r="P83" s="168">
        <f>('Methanol Recycling HC'!O309-('Methanol Recycling HC'!O336+'Methanol Recycling HC'!O338)*'Methanol Recycling HC'!O275/SUM('Methanol Recycling HC'!O275:O276))/('Methanol Recycling HC'!O$291)*P$20/SUM(P$19:P$20)</f>
        <v>1.4924872753535354E-2</v>
      </c>
      <c r="Q83" s="168">
        <f>('Methanol Recycling HC'!P309-('Methanol Recycling HC'!P336+'Methanol Recycling HC'!P338)*'Methanol Recycling HC'!P275/SUM('Methanol Recycling HC'!P275:P276))/('Methanol Recycling HC'!P$291)*Q$20/SUM(Q$19:Q$20)</f>
        <v>2.4142801175297685E-2</v>
      </c>
      <c r="R83" s="168">
        <f>('Methanol Recycling HC'!Q309-('Methanol Recycling HC'!Q336+'Methanol Recycling HC'!Q338)*'Methanol Recycling HC'!Q275/SUM('Methanol Recycling HC'!Q275:Q276))/('Methanol Recycling HC'!Q$291)*R$20/SUM(R$19:R$20)</f>
        <v>3.7039939604028078E-2</v>
      </c>
      <c r="S83" s="168">
        <f>('Methanol Recycling HC'!R309-('Methanol Recycling HC'!R336+'Methanol Recycling HC'!R338)*'Methanol Recycling HC'!R275/SUM('Methanol Recycling HC'!R275:R276))/('Methanol Recycling HC'!R$291)*S$20/SUM(S$19:S$20)</f>
        <v>5.3638654698631161E-2</v>
      </c>
      <c r="T83" s="168">
        <f>('Methanol Recycling HC'!S309-('Methanol Recycling HC'!S336+'Methanol Recycling HC'!S338)*'Methanol Recycling HC'!S275/SUM('Methanol Recycling HC'!S275:S276))/('Methanol Recycling HC'!S$291)*T$20/SUM(T$19:T$20)</f>
        <v>7.3199875265151954E-2</v>
      </c>
      <c r="U83" s="168">
        <f>('Methanol Recycling HC'!T309-('Methanol Recycling HC'!T336+'Methanol Recycling HC'!T338)*'Methanol Recycling HC'!T275/SUM('Methanol Recycling HC'!T275:T276))/('Methanol Recycling HC'!T$291)*U$20/SUM(U$19:U$20)</f>
        <v>9.4325122907425812E-2</v>
      </c>
      <c r="V83" s="168">
        <f>('Methanol Recycling HC'!U309-('Methanol Recycling HC'!U336+'Methanol Recycling HC'!U338)*'Methanol Recycling HC'!U275/SUM('Methanol Recycling HC'!U275:U276))/('Methanol Recycling HC'!U$291)*V$20/SUM(V$19:V$20)</f>
        <v>0.11535769747427636</v>
      </c>
      <c r="W83" s="168">
        <f>('Methanol Recycling HC'!V309-('Methanol Recycling HC'!V336+'Methanol Recycling HC'!V338)*'Methanol Recycling HC'!V275/SUM('Methanol Recycling HC'!V275:V276))/('Methanol Recycling HC'!V$291)*W$20/SUM(W$19:W$20)</f>
        <v>0.13485707342795505</v>
      </c>
      <c r="X83" s="168">
        <f>('Methanol Recycling HC'!W309-('Methanol Recycling HC'!W336+'Methanol Recycling HC'!W338)*'Methanol Recycling HC'!W275/SUM('Methanol Recycling HC'!W275:W276))/('Methanol Recycling HC'!W$291)*X$20/SUM(X$19:X$20)</f>
        <v>0.15189811305988701</v>
      </c>
      <c r="Y83" s="168">
        <f>('Methanol Recycling HC'!X309-('Methanol Recycling HC'!X336+'Methanol Recycling HC'!X338)*'Methanol Recycling HC'!X275/SUM('Methanol Recycling HC'!X275:X276))/('Methanol Recycling HC'!X$291)*Y$20/SUM(Y$19:Y$20)</f>
        <v>0.16529514456813876</v>
      </c>
      <c r="Z83" s="168">
        <f>('Methanol Recycling HC'!Y309-('Methanol Recycling HC'!Y336+'Methanol Recycling HC'!Y338)*'Methanol Recycling HC'!Y275/SUM('Methanol Recycling HC'!Y275:Y276))/('Methanol Recycling HC'!Y$291)*Z$20/SUM(Z$19:Z$20)</f>
        <v>0.17581152187840712</v>
      </c>
      <c r="AA83" s="168">
        <f>('Methanol Recycling HC'!Z309-('Methanol Recycling HC'!Z336+'Methanol Recycling HC'!Z338)*'Methanol Recycling HC'!Z275/SUM('Methanol Recycling HC'!Z275:Z276))/('Methanol Recycling HC'!Z$291)*AA$20/SUM(AA$19:AA$20)</f>
        <v>0.18377809494295641</v>
      </c>
      <c r="AB83" s="168">
        <f>('Methanol Recycling HC'!AA309-('Methanol Recycling HC'!AA336+'Methanol Recycling HC'!AA338)*'Methanol Recycling HC'!AA275/SUM('Methanol Recycling HC'!AA275:AA276))/('Methanol Recycling HC'!AA$291)*AB$20/SUM(AB$19:AB$20)</f>
        <v>0.18960911655057475</v>
      </c>
      <c r="AC83" s="168">
        <f>('Methanol Recycling HC'!AB309-('Methanol Recycling HC'!AB336+'Methanol Recycling HC'!AB338)*'Methanol Recycling HC'!AB275/SUM('Methanol Recycling HC'!AB275:AB276))/('Methanol Recycling HC'!AB$291)*AC$20/SUM(AC$19:AC$20)</f>
        <v>0.19370019926003951</v>
      </c>
      <c r="AD83" s="168">
        <f>('Methanol Recycling HC'!AC309-('Methanol Recycling HC'!AC336+'Methanol Recycling HC'!AC338)*'Methanol Recycling HC'!AC275/SUM('Methanol Recycling HC'!AC275:AC276))/('Methanol Recycling HC'!AC$291)*AD$20/SUM(AD$19:AD$20)</f>
        <v>0.19639409452113799</v>
      </c>
      <c r="AE83" s="168">
        <f>('Methanol Recycling HC'!AD309-('Methanol Recycling HC'!AD336+'Methanol Recycling HC'!AD338)*'Methanol Recycling HC'!AD275/SUM('Methanol Recycling HC'!AD275:AD276))/('Methanol Recycling HC'!AD$291)*AE$20/SUM(AE$19:AE$20)</f>
        <v>0.19793935785116532</v>
      </c>
      <c r="AF83" s="168">
        <f>('Methanol Recycling HC'!AE309-('Methanol Recycling HC'!AE336+'Methanol Recycling HC'!AE338)*'Methanol Recycling HC'!AE275/SUM('Methanol Recycling HC'!AE275:AE276))/('Methanol Recycling HC'!AE$291)*AF$20/SUM(AF$19:AF$20)</f>
        <v>0.19853121028571932</v>
      </c>
      <c r="AG83" s="168">
        <f>('Methanol Recycling HC'!AF309-('Methanol Recycling HC'!AF336+'Methanol Recycling HC'!AF338)*'Methanol Recycling HC'!AF275/SUM('Methanol Recycling HC'!AF275:AF276))/('Methanol Recycling HC'!AF$291)*AG$20/SUM(AG$19:AG$20)</f>
        <v>0.19833158187903141</v>
      </c>
      <c r="AH83" s="168">
        <f>('Methanol Recycling HC'!AG309-('Methanol Recycling HC'!AG336+'Methanol Recycling HC'!AG338)*'Methanol Recycling HC'!AG275/SUM('Methanol Recycling HC'!AG275:AG276))/('Methanol Recycling HC'!AG$291)*AH$20/SUM(AH$19:AH$20)</f>
        <v>0.19749936528229931</v>
      </c>
      <c r="AI83" s="44"/>
      <c r="AJ83" s="168">
        <f>('Methanol Recycling LC'!C309-('Methanol Recycling LC'!C336+'Methanol Recycling LC'!C338)*'Methanol Recycling LC'!C275/SUM('Methanol Recycling LC'!C275:C276))/('Methanol Recycling LC'!C$291)*AJ$20/SUM(AJ$19:AJ$20)</f>
        <v>6.6818444330095281E-6</v>
      </c>
      <c r="AK83" s="168">
        <f>('Methanol Recycling LC'!D309-('Methanol Recycling LC'!D336+'Methanol Recycling LC'!D338)*'Methanol Recycling LC'!D275/SUM('Methanol Recycling LC'!D275:D276))/('Methanol Recycling LC'!D$291)*AK$20/SUM(AK$19:AK$20)</f>
        <v>1.330971852705586E-5</v>
      </c>
      <c r="AL83" s="168">
        <f>('Methanol Recycling LC'!E309-('Methanol Recycling LC'!E336+'Methanol Recycling LC'!E338)*'Methanol Recycling LC'!E275/SUM('Methanol Recycling LC'!E275:E276))/('Methanol Recycling LC'!E$291)*AL$20/SUM(AL$19:AL$20)</f>
        <v>2.6438526634332812E-5</v>
      </c>
      <c r="AM83" s="168">
        <f>('Methanol Recycling LC'!F309-('Methanol Recycling LC'!F336+'Methanol Recycling LC'!F338)*'Methanol Recycling LC'!F275/SUM('Methanol Recycling LC'!F275:F276))/('Methanol Recycling LC'!F$291)*AM$20/SUM(AM$19:AM$20)</f>
        <v>5.2338584712252892E-5</v>
      </c>
      <c r="AN83" s="168">
        <f>('Methanol Recycling LC'!G309-('Methanol Recycling LC'!G336+'Methanol Recycling LC'!G338)*'Methanol Recycling LC'!G275/SUM('Methanol Recycling LC'!G275:G276))/('Methanol Recycling LC'!G$291)*AN$20/SUM(AN$19:AN$20)</f>
        <v>1.0316177252920446E-4</v>
      </c>
      <c r="AO83" s="168">
        <f>('Methanol Recycling LC'!H309-('Methanol Recycling LC'!H336+'Methanol Recycling LC'!H338)*'Methanol Recycling LC'!H275/SUM('Methanol Recycling LC'!H275:H276))/('Methanol Recycling LC'!H$291)*AO$20/SUM(AO$19:AO$20)</f>
        <v>2.021874275248878E-4</v>
      </c>
      <c r="AP83" s="168">
        <f>('Methanol Recycling LC'!I309-('Methanol Recycling LC'!I336+'Methanol Recycling LC'!I338)*'Methanol Recycling LC'!I275/SUM('Methanol Recycling LC'!I275:I276))/('Methanol Recycling LC'!I$291)*AP$20/SUM(AP$19:AP$20)</f>
        <v>3.9334592466488835E-4</v>
      </c>
      <c r="AQ83" s="168">
        <f>('Methanol Recycling LC'!J309-('Methanol Recycling LC'!J336+'Methanol Recycling LC'!J338)*'Methanol Recycling LC'!J275/SUM('Methanol Recycling LC'!J275:J276))/('Methanol Recycling LC'!J$291)*AQ$20/SUM(AQ$19:AQ$20)</f>
        <v>7.5760033114473499E-4</v>
      </c>
      <c r="AR83" s="168">
        <f>('Methanol Recycling LC'!K309-('Methanol Recycling LC'!K336+'Methanol Recycling LC'!K338)*'Methanol Recycling LC'!K275/SUM('Methanol Recycling LC'!K275:K276))/('Methanol Recycling LC'!K$291)*AR$20/SUM(AR$19:AR$20)</f>
        <v>1.439713773629519E-3</v>
      </c>
      <c r="AS83" s="168">
        <f>('Methanol Recycling LC'!L309-('Methanol Recycling LC'!L336+'Methanol Recycling LC'!L338)*'Methanol Recycling LC'!L275/SUM('Methanol Recycling LC'!L275:L276))/('Methanol Recycling LC'!L$291)*AS$20/SUM(AS$19:AS$20)</f>
        <v>2.6875293845960166E-3</v>
      </c>
      <c r="AT83" s="168">
        <f>('Methanol Recycling LC'!M309-('Methanol Recycling LC'!M336+'Methanol Recycling LC'!M338)*'Methanol Recycling LC'!M275/SUM('Methanol Recycling LC'!M275:M276))/('Methanol Recycling LC'!M$291)*AT$20/SUM(AT$19:AT$20)</f>
        <v>4.900423268369516E-3</v>
      </c>
      <c r="AU83" s="168">
        <f>('Methanol Recycling LC'!N309-('Methanol Recycling LC'!N336+'Methanol Recycling LC'!N338)*'Methanol Recycling LC'!N275/SUM('Methanol Recycling LC'!N275:N276))/('Methanol Recycling LC'!N$291)*AU$20/SUM(AU$19:AU$20)</f>
        <v>8.6224229491092819E-3</v>
      </c>
      <c r="AV83" s="168">
        <f>('Methanol Recycling LC'!O309-('Methanol Recycling LC'!O336+'Methanol Recycling LC'!O338)*'Methanol Recycling LC'!O275/SUM('Methanol Recycling LC'!O275:O276))/('Methanol Recycling LC'!O$291)*AV$20/SUM(AV$19:AV$20)</f>
        <v>1.4608050378365E-2</v>
      </c>
      <c r="AW83" s="168">
        <f>('Methanol Recycling LC'!P309-('Methanol Recycling LC'!P336+'Methanol Recycling LC'!P338)*'Methanol Recycling LC'!P275/SUM('Methanol Recycling LC'!P275:P276))/('Methanol Recycling LC'!P$291)*AW$20/SUM(AW$19:AW$20)</f>
        <v>2.3646110391927117E-2</v>
      </c>
      <c r="AX83" s="168">
        <f>('Methanol Recycling LC'!Q309-('Methanol Recycling LC'!Q336+'Methanol Recycling LC'!Q338)*'Methanol Recycling LC'!Q275/SUM('Methanol Recycling LC'!Q275:Q276))/('Methanol Recycling LC'!Q$291)*AX$20/SUM(AX$19:AX$20)</f>
        <v>3.6320510578332639E-2</v>
      </c>
      <c r="AY83" s="168">
        <f>('Methanol Recycling LC'!R309-('Methanol Recycling LC'!R336+'Methanol Recycling LC'!R338)*'Methanol Recycling LC'!R275/SUM('Methanol Recycling LC'!R275:R276))/('Methanol Recycling LC'!R$291)*AY$20/SUM(AY$19:AY$20)</f>
        <v>5.2686557075114798E-2</v>
      </c>
      <c r="AZ83" s="168">
        <f>('Methanol Recycling LC'!S309-('Methanol Recycling LC'!S336+'Methanol Recycling LC'!S338)*'Methanol Recycling LC'!S275/SUM('Methanol Recycling LC'!S275:S276))/('Methanol Recycling LC'!S$291)*AZ$20/SUM(AZ$19:AZ$20)</f>
        <v>7.2051212943025397E-2</v>
      </c>
      <c r="BA83" s="168">
        <f>('Methanol Recycling LC'!T309-('Methanol Recycling LC'!T336+'Methanol Recycling LC'!T338)*'Methanol Recycling LC'!T275/SUM('Methanol Recycling LC'!T275:T276))/('Methanol Recycling LC'!T$291)*BA$20/SUM(BA$19:BA$20)</f>
        <v>9.3072890049350682E-2</v>
      </c>
      <c r="BB83" s="168">
        <f>('Methanol Recycling LC'!U309-('Methanol Recycling LC'!U336+'Methanol Recycling LC'!U338)*'Methanol Recycling LC'!U275/SUM('Methanol Recycling LC'!U275:U276))/('Methanol Recycling LC'!U$291)*BB$20/SUM(BB$19:BB$20)</f>
        <v>0.1141271888811531</v>
      </c>
      <c r="BC83" s="168">
        <f>('Methanol Recycling LC'!V309-('Methanol Recycling LC'!V336+'Methanol Recycling LC'!V338)*'Methanol Recycling LC'!V275/SUM('Methanol Recycling LC'!V275:V276))/('Methanol Recycling LC'!V$291)*BC$20/SUM(BC$19:BC$20)</f>
        <v>0.13377433145655709</v>
      </c>
      <c r="BD83" s="168">
        <f>('Methanol Recycling LC'!W309-('Methanol Recycling LC'!W336+'Methanol Recycling LC'!W338)*'Methanol Recycling LC'!W275/SUM('Methanol Recycling LC'!W275:W276))/('Methanol Recycling LC'!W$291)*BD$20/SUM(BD$19:BD$20)</f>
        <v>0.15106537471701031</v>
      </c>
      <c r="BE83" s="168">
        <f>('Methanol Recycling LC'!X309-('Methanol Recycling LC'!X336+'Methanol Recycling LC'!X338)*'Methanol Recycling LC'!X275/SUM('Methanol Recycling LC'!X275:X276))/('Methanol Recycling LC'!X$291)*BE$20/SUM(BE$19:BE$20)</f>
        <v>0.16445334444533741</v>
      </c>
      <c r="BF83" s="168">
        <f>('Methanol Recycling LC'!Y309-('Methanol Recycling LC'!Y336+'Methanol Recycling LC'!Y338)*'Methanol Recycling LC'!Y275/SUM('Methanol Recycling LC'!Y275:Y276))/('Methanol Recycling LC'!Y$291)*BF$20/SUM(BF$19:BF$20)</f>
        <v>0.17495291387585829</v>
      </c>
      <c r="BG83" s="168">
        <f>('Methanol Recycling LC'!Z309-('Methanol Recycling LC'!Z336+'Methanol Recycling LC'!Z338)*'Methanol Recycling LC'!Z275/SUM('Methanol Recycling LC'!Z275:Z276))/('Methanol Recycling LC'!Z$291)*BG$20/SUM(BG$19:BG$20)</f>
        <v>0.18289494528737368</v>
      </c>
      <c r="BH83" s="168">
        <f>('Methanol Recycling LC'!AA309-('Methanol Recycling LC'!AA336+'Methanol Recycling LC'!AA338)*'Methanol Recycling LC'!AA275/SUM('Methanol Recycling LC'!AA275:AA276))/('Methanol Recycling LC'!AA$291)*BH$20/SUM(BH$19:BH$20)</f>
        <v>0.18870337678954782</v>
      </c>
      <c r="BI83" s="168">
        <f>('Methanol Recycling LC'!AB309-('Methanol Recycling LC'!AB336+'Methanol Recycling LC'!AB338)*'Methanol Recycling LC'!AB275/SUM('Methanol Recycling LC'!AB275:AB276))/('Methanol Recycling LC'!AB$291)*BI$20/SUM(BI$19:BI$20)</f>
        <v>0.19279261724918367</v>
      </c>
      <c r="BJ83" s="168">
        <f>('Methanol Recycling LC'!AC309-('Methanol Recycling LC'!AC336+'Methanol Recycling LC'!AC338)*'Methanol Recycling LC'!AC275/SUM('Methanol Recycling LC'!AC275:AC276))/('Methanol Recycling LC'!AC$291)*BJ$20/SUM(BJ$19:BJ$20)</f>
        <v>0.19553720526008306</v>
      </c>
      <c r="BK83" s="168">
        <f>('Methanol Recycling LC'!AD309-('Methanol Recycling LC'!AD336+'Methanol Recycling LC'!AD338)*'Methanol Recycling LC'!AD275/SUM('Methanol Recycling LC'!AD275:AD276))/('Methanol Recycling LC'!AD$291)*BK$20/SUM(BK$19:BK$20)</f>
        <v>0.19720685049084677</v>
      </c>
      <c r="BL83" s="168">
        <f>('Methanol Recycling LC'!AE309-('Methanol Recycling LC'!AE336+'Methanol Recycling LC'!AE338)*'Methanol Recycling LC'!AE275/SUM('Methanol Recycling LC'!AE275:AE276))/('Methanol Recycling LC'!AE$291)*BL$20/SUM(BL$19:BL$20)</f>
        <v>0.19802166848457806</v>
      </c>
      <c r="BM83" s="168">
        <f>('Methanol Recycling LC'!AF309-('Methanol Recycling LC'!AF336+'Methanol Recycling LC'!AF338)*'Methanol Recycling LC'!AF275/SUM('Methanol Recycling LC'!AF275:AF276))/('Methanol Recycling LC'!AF$291)*BM$20/SUM(BM$19:BM$20)</f>
        <v>0.19786951921358104</v>
      </c>
      <c r="BN83" s="168">
        <f>('Methanol Recycling LC'!AG309-('Methanol Recycling LC'!AG336+'Methanol Recycling LC'!AG338)*'Methanol Recycling LC'!AG275/SUM('Methanol Recycling LC'!AG275:AG276))/('Methanol Recycling LC'!AG$291)*BN$20/SUM(BN$19:BN$20)</f>
        <v>0.19712247807315203</v>
      </c>
      <c r="BP83" s="168">
        <f>('Methanol Recycling HC'!C285)/('Methanol Recycling HC'!C$281)*BP$20/SUM(BP$19:BP$20)</f>
        <v>0</v>
      </c>
      <c r="BQ83" s="168">
        <f>('Methanol Recycling HC'!D285)/('Methanol Recycling HC'!D$281)*BQ$20/SUM(BQ$19:BQ$20)</f>
        <v>0</v>
      </c>
      <c r="BR83" s="168">
        <f>('Methanol Recycling HC'!E285)/('Methanol Recycling HC'!E$281)*BR$20/SUM(BR$19:BR$20)</f>
        <v>0</v>
      </c>
      <c r="BS83" s="168">
        <f>('Methanol Recycling HC'!F285)/('Methanol Recycling HC'!F$281)*BS$20/SUM(BS$19:BS$20)</f>
        <v>0</v>
      </c>
      <c r="BT83" s="168">
        <f>('Methanol Recycling HC'!G285)/('Methanol Recycling HC'!G$281)*BT$20/SUM(BT$19:BT$20)</f>
        <v>0</v>
      </c>
      <c r="BU83" s="168">
        <f>('Methanol Recycling HC'!H285)/('Methanol Recycling HC'!H$281)*BU$20/SUM(BU$19:BU$20)</f>
        <v>0</v>
      </c>
      <c r="BV83" s="168">
        <f>('Methanol Recycling HC'!I285)/('Methanol Recycling HC'!I$281)*BV$20/SUM(BV$19:BV$20)</f>
        <v>0</v>
      </c>
      <c r="BW83" s="168">
        <f>('Methanol Recycling HC'!J285)/('Methanol Recycling HC'!J$281)*BW$20/SUM(BW$19:BW$20)</f>
        <v>0</v>
      </c>
      <c r="BX83" s="168">
        <f>('Methanol Recycling HC'!K285)/('Methanol Recycling HC'!K$281)*BX$20/SUM(BX$19:BX$20)</f>
        <v>0</v>
      </c>
      <c r="BY83" s="168">
        <f>('Methanol Recycling HC'!L285)/('Methanol Recycling HC'!L$281)*BY$20/SUM(BY$19:BY$20)</f>
        <v>0</v>
      </c>
      <c r="BZ83" s="168">
        <f>('Methanol Recycling HC'!M285)/('Methanol Recycling HC'!M$281)*BZ$20/SUM(BZ$19:BZ$20)</f>
        <v>0</v>
      </c>
      <c r="CA83" s="168">
        <f>('Methanol Recycling HC'!N285)/('Methanol Recycling HC'!N$281)*CA$20/SUM(CA$19:CA$20)</f>
        <v>0</v>
      </c>
      <c r="CB83" s="168">
        <f>('Methanol Recycling HC'!O285)/('Methanol Recycling HC'!O$281)*CB$20/SUM(CB$19:CB$20)</f>
        <v>0</v>
      </c>
      <c r="CC83" s="168">
        <f>('Methanol Recycling HC'!P285)/('Methanol Recycling HC'!P$281)*CC$20/SUM(CC$19:CC$20)</f>
        <v>0</v>
      </c>
      <c r="CD83" s="168">
        <f>('Methanol Recycling HC'!Q285)/('Methanol Recycling HC'!Q$281)*CD$20/SUM(CD$19:CD$20)</f>
        <v>0</v>
      </c>
      <c r="CE83" s="168">
        <f>('Methanol Recycling HC'!R285)/('Methanol Recycling HC'!R$281)*CE$20/SUM(CE$19:CE$20)</f>
        <v>0</v>
      </c>
      <c r="CF83" s="168">
        <f>('Methanol Recycling HC'!S285)/('Methanol Recycling HC'!S$281)*CF$20/SUM(CF$19:CF$20)</f>
        <v>0</v>
      </c>
      <c r="CG83" s="168">
        <f>('Methanol Recycling HC'!T285)/('Methanol Recycling HC'!T$281)*CG$20/SUM(CG$19:CG$20)</f>
        <v>0</v>
      </c>
      <c r="CH83" s="168">
        <f>('Methanol Recycling HC'!U285)/('Methanol Recycling HC'!U$281)*CH$20/SUM(CH$19:CH$20)</f>
        <v>0</v>
      </c>
      <c r="CI83" s="168">
        <f>('Methanol Recycling HC'!V285)/('Methanol Recycling HC'!V$281)*CI$20/SUM(CI$19:CI$20)</f>
        <v>0</v>
      </c>
      <c r="CJ83" s="168">
        <f>('Methanol Recycling HC'!W285)/('Methanol Recycling HC'!W$281)*CJ$20/SUM(CJ$19:CJ$20)</f>
        <v>0</v>
      </c>
      <c r="CK83" s="168">
        <f>('Methanol Recycling HC'!X285)/('Methanol Recycling HC'!X$281)*CK$20/SUM(CK$19:CK$20)</f>
        <v>0</v>
      </c>
      <c r="CL83" s="168">
        <f>('Methanol Recycling HC'!Y285)/('Methanol Recycling HC'!Y$281)*CL$20/SUM(CL$19:CL$20)</f>
        <v>0</v>
      </c>
      <c r="CM83" s="168">
        <f>('Methanol Recycling HC'!Z285)/('Methanol Recycling HC'!Z$281)*CM$20/SUM(CM$19:CM$20)</f>
        <v>0</v>
      </c>
      <c r="CN83" s="168">
        <f>('Methanol Recycling HC'!AA285)/('Methanol Recycling HC'!AA$281)*CN$20/SUM(CN$19:CN$20)</f>
        <v>0</v>
      </c>
      <c r="CO83" s="168">
        <f>('Methanol Recycling HC'!AB285)/('Methanol Recycling HC'!AB$281)*CO$20/SUM(CO$19:CO$20)</f>
        <v>0</v>
      </c>
      <c r="CP83" s="168">
        <f>('Methanol Recycling HC'!AC285)/('Methanol Recycling HC'!AC$281)*CP$20/SUM(CP$19:CP$20)</f>
        <v>0</v>
      </c>
      <c r="CQ83" s="168">
        <f>('Methanol Recycling HC'!AD285)/('Methanol Recycling HC'!AD$281)*CQ$20/SUM(CQ$19:CQ$20)</f>
        <v>0</v>
      </c>
      <c r="CR83" s="168">
        <f>('Methanol Recycling HC'!AE285)/('Methanol Recycling HC'!AE$281)*CR$20/SUM(CR$19:CR$20)</f>
        <v>0</v>
      </c>
      <c r="CS83" s="168">
        <f>('Methanol Recycling HC'!AF285)/('Methanol Recycling HC'!AF$281)*CS$20/SUM(CS$19:CS$20)</f>
        <v>0</v>
      </c>
      <c r="CT83" s="168">
        <f>('Methanol Recycling HC'!AG285)/('Methanol Recycling HC'!AG$281)*CT$20/SUM(CT$19:CT$20)</f>
        <v>0</v>
      </c>
      <c r="CV83" s="168">
        <f t="shared" ref="CV83:CV88" si="606">AJ83*(1-SUM(CV$34:CV$35))/(1-SUM(AJ$34:AJ$35))</f>
        <v>6.6818444330095281E-6</v>
      </c>
      <c r="CW83" s="168">
        <f t="shared" si="576"/>
        <v>1.3324895615009181E-5</v>
      </c>
      <c r="CX83" s="168">
        <f t="shared" si="577"/>
        <v>2.6501635731757787E-5</v>
      </c>
      <c r="CY83" s="168">
        <f t="shared" si="578"/>
        <v>5.2534324343248042E-5</v>
      </c>
      <c r="CZ83" s="168">
        <f t="shared" si="579"/>
        <v>1.0369806446005323E-4</v>
      </c>
      <c r="DA83" s="168">
        <f t="shared" si="580"/>
        <v>2.0355475807297104E-4</v>
      </c>
      <c r="DB83" s="168">
        <f t="shared" si="581"/>
        <v>3.9674394981878902E-4</v>
      </c>
      <c r="DC83" s="168">
        <f t="shared" si="582"/>
        <v>7.6565600386866372E-4</v>
      </c>
      <c r="DD83" s="168">
        <f t="shared" si="583"/>
        <v>1.4580638248946174E-3</v>
      </c>
      <c r="DE83" s="168">
        <f t="shared" si="584"/>
        <v>2.7277804440711774E-3</v>
      </c>
      <c r="DF83" s="168">
        <f t="shared" si="585"/>
        <v>4.9853470457116578E-3</v>
      </c>
      <c r="DG83" s="168">
        <f t="shared" si="586"/>
        <v>8.8103718440433968E-3</v>
      </c>
      <c r="DH83" s="168">
        <f t="shared" si="587"/>
        <v>1.4991038010722898E-2</v>
      </c>
      <c r="DI83" s="168">
        <f t="shared" si="588"/>
        <v>2.4393713574542321E-2</v>
      </c>
      <c r="DJ83" s="168">
        <f t="shared" si="589"/>
        <v>3.7681944019748996E-2</v>
      </c>
      <c r="DK83" s="168">
        <f t="shared" si="590"/>
        <v>5.499559292264708E-2</v>
      </c>
      <c r="DL83" s="168">
        <f t="shared" si="591"/>
        <v>7.5697403505156621E-2</v>
      </c>
      <c r="DM83" s="168">
        <f t="shared" si="592"/>
        <v>9.8455676463572353E-2</v>
      </c>
      <c r="DN83" s="168">
        <f t="shared" si="593"/>
        <v>0.12159987115579741</v>
      </c>
      <c r="DO83" s="168">
        <f t="shared" si="594"/>
        <v>0.14360524216565004</v>
      </c>
      <c r="DP83" s="168">
        <f t="shared" si="595"/>
        <v>0.16342579805978419</v>
      </c>
      <c r="DQ83" s="168">
        <f t="shared" si="596"/>
        <v>0.18017171512254807</v>
      </c>
      <c r="DR83" s="168">
        <f t="shared" si="597"/>
        <v>0.19383747926591122</v>
      </c>
      <c r="DS83" s="168">
        <f t="shared" si="598"/>
        <v>0.20502568008585623</v>
      </c>
      <c r="DT83" s="168">
        <f t="shared" si="599"/>
        <v>0.21413047287771483</v>
      </c>
      <c r="DU83" s="168">
        <f t="shared" si="600"/>
        <v>0.22150711366658893</v>
      </c>
      <c r="DV83" s="168">
        <f t="shared" si="601"/>
        <v>0.22751005091335894</v>
      </c>
      <c r="DW83" s="168">
        <f t="shared" si="602"/>
        <v>0.23238330075197841</v>
      </c>
      <c r="DX83" s="168">
        <f t="shared" si="603"/>
        <v>0.23632494817444288</v>
      </c>
      <c r="DY83" s="168">
        <f t="shared" si="604"/>
        <v>0.23913591269761669</v>
      </c>
      <c r="DZ83" s="168">
        <f t="shared" si="605"/>
        <v>0.2411883624469357</v>
      </c>
    </row>
    <row r="84" spans="1:165" x14ac:dyDescent="0.2">
      <c r="A84" s="606" t="s">
        <v>33</v>
      </c>
      <c r="C84" s="54" t="s">
        <v>462</v>
      </c>
      <c r="D84" s="168">
        <f>('Methanol Recycling HC'!C310-('Methanol Recycling HC'!C336+'Methanol Recycling HC'!C338)*'Methanol Recycling HC'!C276/SUM('Methanol Recycling HC'!C275:C276))/('Methanol Recycling HC'!C$291)</f>
        <v>0.33526186187633322</v>
      </c>
      <c r="E84" s="168">
        <f>('Methanol Recycling HC'!D310-('Methanol Recycling HC'!D336+'Methanol Recycling HC'!D338)*'Methanol Recycling HC'!D276/SUM('Methanol Recycling HC'!D275:D276))/('Methanol Recycling HC'!D$291)</f>
        <v>0.34480061806477141</v>
      </c>
      <c r="F84" s="168">
        <f>('Methanol Recycling HC'!E310-('Methanol Recycling HC'!E336+'Methanol Recycling HC'!E338)*'Methanol Recycling HC'!E276/SUM('Methanol Recycling HC'!E275:E276))/('Methanol Recycling HC'!E$291)</f>
        <v>0.34472790563913785</v>
      </c>
      <c r="G84" s="168">
        <f>('Methanol Recycling HC'!F310-('Methanol Recycling HC'!F336+'Methanol Recycling HC'!F338)*'Methanol Recycling HC'!F276/SUM('Methanol Recycling HC'!F275:F276))/('Methanol Recycling HC'!F$291)</f>
        <v>0.34461782706223165</v>
      </c>
      <c r="H84" s="168">
        <f>('Methanol Recycling HC'!G310-('Methanol Recycling HC'!G336+'Methanol Recycling HC'!G338)*'Methanol Recycling HC'!G276/SUM('Methanol Recycling HC'!G275:G276))/('Methanol Recycling HC'!G$291)</f>
        <v>0.34446896521893827</v>
      </c>
      <c r="I84" s="168">
        <f>('Methanol Recycling HC'!H310-('Methanol Recycling HC'!H336+'Methanol Recycling HC'!H338)*'Methanol Recycling HC'!H276/SUM('Methanol Recycling HC'!H275:H276))/('Methanol Recycling HC'!H$291)</f>
        <v>0.34427916020759675</v>
      </c>
      <c r="J84" s="168">
        <f>('Methanol Recycling HC'!I310-('Methanol Recycling HC'!I336+'Methanol Recycling HC'!I338)*'Methanol Recycling HC'!I276/SUM('Methanol Recycling HC'!I275:I276))/('Methanol Recycling HC'!I$291)</f>
        <v>0.34394126854068513</v>
      </c>
      <c r="K84" s="168">
        <f>('Methanol Recycling HC'!J310-('Methanol Recycling HC'!J336+'Methanol Recycling HC'!J338)*'Methanol Recycling HC'!J276/SUM('Methanol Recycling HC'!J275:J276))/('Methanol Recycling HC'!J$291)</f>
        <v>0.34356439482082213</v>
      </c>
      <c r="L84" s="168">
        <f>('Methanol Recycling HC'!K310-('Methanol Recycling HC'!K336+'Methanol Recycling HC'!K338)*'Methanol Recycling HC'!K276/SUM('Methanol Recycling HC'!K275:K276))/('Methanol Recycling HC'!K$291)</f>
        <v>0.34314029801169044</v>
      </c>
      <c r="M84" s="168">
        <f>('Methanol Recycling HC'!L310-('Methanol Recycling HC'!L336+'Methanol Recycling HC'!L338)*'Methanol Recycling HC'!L276/SUM('Methanol Recycling HC'!L275:L276))/('Methanol Recycling HC'!L$291)</f>
        <v>0.34265312424085531</v>
      </c>
      <c r="N84" s="168">
        <f>('Methanol Recycling HC'!M310-('Methanol Recycling HC'!M336+'Methanol Recycling HC'!M338)*'Methanol Recycling HC'!M276/SUM('Methanol Recycling HC'!M275:M276))/('Methanol Recycling HC'!M$291)</f>
        <v>0.34207376628468794</v>
      </c>
      <c r="O84" s="168">
        <f>('Methanol Recycling HC'!N310-('Methanol Recycling HC'!N336+'Methanol Recycling HC'!N338)*'Methanol Recycling HC'!N276/SUM('Methanol Recycling HC'!N275:N276))/('Methanol Recycling HC'!N$291)</f>
        <v>0.34007340161435723</v>
      </c>
      <c r="P84" s="168">
        <f>('Methanol Recycling HC'!O310-('Methanol Recycling HC'!O336+'Methanol Recycling HC'!O338)*'Methanol Recycling HC'!O276/SUM('Methanol Recycling HC'!O275:O276))/('Methanol Recycling HC'!O$291)</f>
        <v>0.33786315007389589</v>
      </c>
      <c r="Q84" s="168">
        <f>('Methanol Recycling HC'!P310-('Methanol Recycling HC'!P336+'Methanol Recycling HC'!P338)*'Methanol Recycling HC'!P276/SUM('Methanol Recycling HC'!P275:P276))/('Methanol Recycling HC'!P$291)</f>
        <v>0.33538339134296846</v>
      </c>
      <c r="R84" s="168">
        <f>('Methanol Recycling HC'!Q310-('Methanol Recycling HC'!Q336+'Methanol Recycling HC'!Q338)*'Methanol Recycling HC'!Q276/SUM('Methanol Recycling HC'!Q275:Q276))/('Methanol Recycling HC'!Q$291)</f>
        <v>0.33259124244278099</v>
      </c>
      <c r="S84" s="168">
        <f>('Methanol Recycling HC'!R310-('Methanol Recycling HC'!R336+'Methanol Recycling HC'!R338)*'Methanol Recycling HC'!R276/SUM('Methanol Recycling HC'!R275:R276))/('Methanol Recycling HC'!R$291)</f>
        <v>0.32947367683186818</v>
      </c>
      <c r="T84" s="168">
        <f>('Methanol Recycling HC'!S310-('Methanol Recycling HC'!S336+'Methanol Recycling HC'!S338)*'Methanol Recycling HC'!S276/SUM('Methanol Recycling HC'!S275:S276))/('Methanol Recycling HC'!S$291)</f>
        <v>0.32606549940651935</v>
      </c>
      <c r="U84" s="168">
        <f>('Methanol Recycling HC'!T310-('Methanol Recycling HC'!T336+'Methanol Recycling HC'!T338)*'Methanol Recycling HC'!T276/SUM('Methanol Recycling HC'!T275:T276))/('Methanol Recycling HC'!T$291)</f>
        <v>0.32245584178668868</v>
      </c>
      <c r="V84" s="168">
        <f>('Methanol Recycling HC'!U310-('Methanol Recycling HC'!U336+'Methanol Recycling HC'!U338)*'Methanol Recycling HC'!U276/SUM('Methanol Recycling HC'!U275:U276))/('Methanol Recycling HC'!U$291)</f>
        <v>0.31875919010482634</v>
      </c>
      <c r="W84" s="168">
        <f>('Methanol Recycling HC'!V310-('Methanol Recycling HC'!V336+'Methanol Recycling HC'!V338)*'Methanol Recycling HC'!V276/SUM('Methanol Recycling HC'!V275:V276))/('Methanol Recycling HC'!V$291)</f>
        <v>0.31508246766557596</v>
      </c>
      <c r="X84" s="168">
        <f>('Methanol Recycling HC'!W310-('Methanol Recycling HC'!W336+'Methanol Recycling HC'!W338)*'Methanol Recycling HC'!W276/SUM('Methanol Recycling HC'!W275:W276))/('Methanol Recycling HC'!W$291)</f>
        <v>0.31150013886675021</v>
      </c>
      <c r="Y84" s="168">
        <f>('Methanol Recycling HC'!X310-('Methanol Recycling HC'!X336+'Methanol Recycling HC'!X338)*'Methanol Recycling HC'!X276/SUM('Methanol Recycling HC'!X275:X276))/('Methanol Recycling HC'!X$291)</f>
        <v>0.30652665759227843</v>
      </c>
      <c r="Z84" s="168">
        <f>('Methanol Recycling HC'!Y310-('Methanol Recycling HC'!Y336+'Methanol Recycling HC'!Y338)*'Methanol Recycling HC'!Y276/SUM('Methanol Recycling HC'!Y275:Y276))/('Methanol Recycling HC'!Y$291)</f>
        <v>0.30170572215723213</v>
      </c>
      <c r="AA84" s="168">
        <f>('Methanol Recycling HC'!Z310-('Methanol Recycling HC'!Z336+'Methanol Recycling HC'!Z338)*'Methanol Recycling HC'!Z276/SUM('Methanol Recycling HC'!Z275:Z276))/('Methanol Recycling HC'!Z$291)</f>
        <v>0.2969924985831992</v>
      </c>
      <c r="AB84" s="168">
        <f>('Methanol Recycling HC'!AA310-('Methanol Recycling HC'!AA336+'Methanol Recycling HC'!AA338)*'Methanol Recycling HC'!AA276/SUM('Methanol Recycling HC'!AA275:AA276))/('Methanol Recycling HC'!AA$291)</f>
        <v>0.29233026009020985</v>
      </c>
      <c r="AC84" s="168">
        <f>('Methanol Recycling HC'!AB310-('Methanol Recycling HC'!AB336+'Methanol Recycling HC'!AB338)*'Methanol Recycling HC'!AB276/SUM('Methanol Recycling HC'!AB275:AB276))/('Methanol Recycling HC'!AB$291)</f>
        <v>0.28764921532503851</v>
      </c>
      <c r="AD84" s="168">
        <f>('Methanol Recycling HC'!AC310-('Methanol Recycling HC'!AC336+'Methanol Recycling HC'!AC338)*'Methanol Recycling HC'!AC276/SUM('Methanol Recycling HC'!AC275:AC276))/('Methanol Recycling HC'!AC$291)</f>
        <v>0.28288965018562928</v>
      </c>
      <c r="AE84" s="168">
        <f>('Methanol Recycling HC'!AD310-('Methanol Recycling HC'!AD336+'Methanol Recycling HC'!AD338)*'Methanol Recycling HC'!AD276/SUM('Methanol Recycling HC'!AD275:AD276))/('Methanol Recycling HC'!AD$291)</f>
        <v>0.27796400114049036</v>
      </c>
      <c r="AF84" s="168">
        <f>('Methanol Recycling HC'!AE310-('Methanol Recycling HC'!AE336+'Methanol Recycling HC'!AE338)*'Methanol Recycling HC'!AE276/SUM('Methanol Recycling HC'!AE275:AE276))/('Methanol Recycling HC'!AE$291)</f>
        <v>0.27281277749710064</v>
      </c>
      <c r="AG84" s="168">
        <f>('Methanol Recycling HC'!AF310-('Methanol Recycling HC'!AF336+'Methanol Recycling HC'!AF338)*'Methanol Recycling HC'!AF276/SUM('Methanol Recycling HC'!AF275:AF276))/('Methanol Recycling HC'!AF$291)</f>
        <v>0.26741481319681637</v>
      </c>
      <c r="AH84" s="168">
        <f>('Methanol Recycling HC'!AG310-('Methanol Recycling HC'!AG336+'Methanol Recycling HC'!AG338)*'Methanol Recycling HC'!AG276/SUM('Methanol Recycling HC'!AG275:AG276))/('Methanol Recycling HC'!AG$291)</f>
        <v>0.26180849530479133</v>
      </c>
      <c r="AI84" s="44"/>
      <c r="AJ84" s="168">
        <f>('Methanol Recycling LC'!C310-('Methanol Recycling LC'!C336+'Methanol Recycling LC'!C338)*'Methanol Recycling LC'!C276/SUM('Methanol Recycling LC'!C275:C276))/('Methanol Recycling LC'!C$291)</f>
        <v>0.33526195788050445</v>
      </c>
      <c r="AK84" s="168">
        <f>('Methanol Recycling LC'!D310-('Methanol Recycling LC'!D336+'Methanol Recycling LC'!D338)*'Methanol Recycling LC'!D276/SUM('Methanol Recycling LC'!D275:D276))/('Methanol Recycling LC'!D$291)</f>
        <v>0.33524749556190481</v>
      </c>
      <c r="AL84" s="168">
        <f>('Methanol Recycling LC'!E310-('Methanol Recycling LC'!E336+'Methanol Recycling LC'!E338)*'Methanol Recycling LC'!E276/SUM('Methanol Recycling LC'!E275:E276))/('Methanol Recycling LC'!E$291)</f>
        <v>0.33522390982562283</v>
      </c>
      <c r="AM84" s="168">
        <f>('Methanol Recycling LC'!F310-('Methanol Recycling LC'!F336+'Methanol Recycling LC'!F338)*'Methanol Recycling LC'!F276/SUM('Methanol Recycling LC'!F275:F276))/('Methanol Recycling LC'!F$291)</f>
        <v>0.33519105821846262</v>
      </c>
      <c r="AN84" s="168">
        <f>('Methanol Recycling LC'!G310-('Methanol Recycling LC'!G336+'Methanol Recycling LC'!G338)*'Methanol Recycling LC'!G276/SUM('Methanol Recycling LC'!G275:G276))/('Methanol Recycling LC'!G$291)</f>
        <v>0.33514861808759044</v>
      </c>
      <c r="AO84" s="168">
        <f>('Methanol Recycling LC'!H310-('Methanol Recycling LC'!H336+'Methanol Recycling LC'!H338)*'Methanol Recycling LC'!H276/SUM('Methanol Recycling LC'!H275:H276))/('Methanol Recycling LC'!H$291)</f>
        <v>0.33509590959969876</v>
      </c>
      <c r="AP84" s="168">
        <f>('Methanol Recycling LC'!I310-('Methanol Recycling LC'!I336+'Methanol Recycling LC'!I338)*'Methanol Recycling LC'!I276/SUM('Methanol Recycling LC'!I275:I276))/('Methanol Recycling LC'!I$291)</f>
        <v>0.33506779396444114</v>
      </c>
      <c r="AQ84" s="168">
        <f>('Methanol Recycling LC'!J310-('Methanol Recycling LC'!J336+'Methanol Recycling LC'!J338)*'Methanol Recycling LC'!J276/SUM('Methanol Recycling LC'!J275:J276))/('Methanol Recycling LC'!J$291)</f>
        <v>0.33502875067005505</v>
      </c>
      <c r="AR84" s="168">
        <f>('Methanol Recycling LC'!K310-('Methanol Recycling LC'!K336+'Methanol Recycling LC'!K338)*'Methanol Recycling LC'!K276/SUM('Methanol Recycling LC'!K275:K276))/('Methanol Recycling LC'!K$291)</f>
        <v>0.33497387964322967</v>
      </c>
      <c r="AS84" s="168">
        <f>('Methanol Recycling LC'!L310-('Methanol Recycling LC'!L336+'Methanol Recycling LC'!L338)*'Methanol Recycling LC'!L276/SUM('Methanol Recycling LC'!L275:L276))/('Methanol Recycling LC'!L$291)</f>
        <v>0.3348942049489172</v>
      </c>
      <c r="AT84" s="168">
        <f>('Methanol Recycling LC'!M310-('Methanol Recycling LC'!M336+'Methanol Recycling LC'!M338)*'Methanol Recycling LC'!M276/SUM('Methanol Recycling LC'!M275:M276))/('Methanol Recycling LC'!M$291)</f>
        <v>0.33477363140351607</v>
      </c>
      <c r="AU84" s="168">
        <f>('Methanol Recycling LC'!N310-('Methanol Recycling LC'!N336+'Methanol Recycling LC'!N338)*'Methanol Recycling LC'!N276/SUM('Methanol Recycling LC'!N275:N276))/('Methanol Recycling LC'!N$291)</f>
        <v>0.33277772867629141</v>
      </c>
      <c r="AV84" s="168">
        <f>('Methanol Recycling LC'!O310-('Methanol Recycling LC'!O336+'Methanol Recycling LC'!O338)*'Methanol Recycling LC'!O276/SUM('Methanol Recycling LC'!O275:O276))/('Methanol Recycling LC'!O$291)</f>
        <v>0.33069105504457025</v>
      </c>
      <c r="AW84" s="168">
        <f>('Methanol Recycling LC'!P310-('Methanol Recycling LC'!P336+'Methanol Recycling LC'!P338)*'Methanol Recycling LC'!P276/SUM('Methanol Recycling LC'!P275:P276))/('Methanol Recycling LC'!P$291)</f>
        <v>0.32848353584707601</v>
      </c>
      <c r="AX84" s="168">
        <f>('Methanol Recycling LC'!Q310-('Methanol Recycling LC'!Q336+'Methanol Recycling LC'!Q338)*'Methanol Recycling LC'!Q276/SUM('Methanol Recycling LC'!Q275:Q276))/('Methanol Recycling LC'!Q$291)</f>
        <v>0.32613130227917919</v>
      </c>
      <c r="AY84" s="168">
        <f>('Methanol Recycling LC'!R310-('Methanol Recycling LC'!R336+'Methanol Recycling LC'!R338)*'Methanol Recycling LC'!R276/SUM('Methanol Recycling LC'!R275:R276))/('Methanol Recycling LC'!R$291)</f>
        <v>0.32362544841366325</v>
      </c>
      <c r="AZ84" s="168">
        <f>('Methanol Recycling LC'!S310-('Methanol Recycling LC'!S336+'Methanol Recycling LC'!S338)*'Methanol Recycling LC'!S276/SUM('Methanol Recycling LC'!S275:S276))/('Methanol Recycling LC'!S$291)</f>
        <v>0.32094883558220327</v>
      </c>
      <c r="BA84" s="168">
        <f>('Methanol Recycling LC'!T310-('Methanol Recycling LC'!T336+'Methanol Recycling LC'!T338)*'Methanol Recycling LC'!T276/SUM('Methanol Recycling LC'!T275:T276))/('Methanol Recycling LC'!T$291)</f>
        <v>0.31817501195135572</v>
      </c>
      <c r="BB84" s="168">
        <f>('Methanol Recycling LC'!U310-('Methanol Recycling LC'!U336+'Methanol Recycling LC'!U338)*'Methanol Recycling LC'!U276/SUM('Methanol Recycling LC'!U275:U276))/('Methanol Recycling LC'!U$291)</f>
        <v>0.31535901888826356</v>
      </c>
      <c r="BC84" s="168">
        <f>('Methanol Recycling LC'!V310-('Methanol Recycling LC'!V336+'Methanol Recycling LC'!V338)*'Methanol Recycling LC'!V276/SUM('Methanol Recycling LC'!V275:V276))/('Methanol Recycling LC'!V$291)</f>
        <v>0.31255273004394923</v>
      </c>
      <c r="BD84" s="168">
        <f>('Methanol Recycling LC'!W310-('Methanol Recycling LC'!W336+'Methanol Recycling LC'!W338)*'Methanol Recycling LC'!W276/SUM('Methanol Recycling LC'!W275:W276))/('Methanol Recycling LC'!W$291)</f>
        <v>0.30979242766336296</v>
      </c>
      <c r="BE84" s="168">
        <f>('Methanol Recycling LC'!X310-('Methanol Recycling LC'!X336+'Methanol Recycling LC'!X338)*'Methanol Recycling LC'!X276/SUM('Methanol Recycling LC'!X275:X276))/('Methanol Recycling LC'!X$291)</f>
        <v>0.30496560642724135</v>
      </c>
      <c r="BF84" s="168">
        <f>('Methanol Recycling LC'!Y310-('Methanol Recycling LC'!Y336+'Methanol Recycling LC'!Y338)*'Methanol Recycling LC'!Y276/SUM('Methanol Recycling LC'!Y275:Y276))/('Methanol Recycling LC'!Y$291)</f>
        <v>0.30023228660140927</v>
      </c>
      <c r="BG84" s="168">
        <f>('Methanol Recycling LC'!Z310-('Methanol Recycling LC'!Z336+'Methanol Recycling LC'!Z338)*'Methanol Recycling LC'!Z276/SUM('Methanol Recycling LC'!Z275:Z276))/('Methanol Recycling LC'!Z$291)</f>
        <v>0.29556529463424197</v>
      </c>
      <c r="BH84" s="168">
        <f>('Methanol Recycling LC'!AA310-('Methanol Recycling LC'!AA336+'Methanol Recycling LC'!AA338)*'Methanol Recycling LC'!AA276/SUM('Methanol Recycling LC'!AA275:AA276))/('Methanol Recycling LC'!AA$291)</f>
        <v>0.29093383388069044</v>
      </c>
      <c r="BI84" s="168">
        <f>('Methanol Recycling LC'!AB310-('Methanol Recycling LC'!AB336+'Methanol Recycling LC'!AB338)*'Methanol Recycling LC'!AB276/SUM('Methanol Recycling LC'!AB275:AB276))/('Methanol Recycling LC'!AB$291)</f>
        <v>0.28630143533171326</v>
      </c>
      <c r="BJ84" s="168">
        <f>('Methanol Recycling LC'!AC310-('Methanol Recycling LC'!AC336+'Methanol Recycling LC'!AC338)*'Methanol Recycling LC'!AC276/SUM('Methanol Recycling LC'!AC275:AC276))/('Methanol Recycling LC'!AC$291)</f>
        <v>0.28165537120234979</v>
      </c>
      <c r="BK84" s="168">
        <f>('Methanol Recycling LC'!AD310-('Methanol Recycling LC'!AD336+'Methanol Recycling LC'!AD338)*'Methanol Recycling LC'!AD276/SUM('Methanol Recycling LC'!AD275:AD276))/('Methanol Recycling LC'!AD$291)</f>
        <v>0.27693534934051789</v>
      </c>
      <c r="BL84" s="168">
        <f>('Methanol Recycling LC'!AE310-('Methanol Recycling LC'!AE336+'Methanol Recycling LC'!AE338)*'Methanol Recycling LC'!AE276/SUM('Methanol Recycling LC'!AE275:AE276))/('Methanol Recycling LC'!AE$291)</f>
        <v>0.27211258776965103</v>
      </c>
      <c r="BM84" s="168">
        <f>('Methanol Recycling LC'!AF310-('Methanol Recycling LC'!AF336+'Methanol Recycling LC'!AF338)*'Methanol Recycling LC'!AF276/SUM('Methanol Recycling LC'!AF275:AF276))/('Methanol Recycling LC'!AF$291)</f>
        <v>0.26679180399073849</v>
      </c>
      <c r="BN84" s="168">
        <f>('Methanol Recycling LC'!AG310-('Methanol Recycling LC'!AG336+'Methanol Recycling LC'!AG338)*'Methanol Recycling LC'!AG276/SUM('Methanol Recycling LC'!AG275:AG276))/('Methanol Recycling LC'!AG$291)</f>
        <v>0.2613088872529607</v>
      </c>
      <c r="BP84" s="168">
        <f>('Methanol Recycling HC'!C286)/('Methanol Recycling HC'!C$281)</f>
        <v>0.33526208670629287</v>
      </c>
      <c r="BQ84" s="168">
        <f>('Methanol Recycling HC'!D286)/('Methanol Recycling HC'!D$281)</f>
        <v>0.32920169237435215</v>
      </c>
      <c r="BR84" s="168">
        <f>('Methanol Recycling HC'!E286)/('Methanol Recycling HC'!E$281)</f>
        <v>0.32302551973241289</v>
      </c>
      <c r="BS84" s="168">
        <f>('Methanol Recycling HC'!F286)/('Methanol Recycling HC'!F$281)</f>
        <v>0.31674292921822922</v>
      </c>
      <c r="BT84" s="168">
        <f>('Methanol Recycling HC'!G286)/('Methanol Recycling HC'!G$281)</f>
        <v>0.31036226154114166</v>
      </c>
      <c r="BU84" s="168">
        <f>('Methanol Recycling HC'!H286)/('Methanol Recycling HC'!H$281)</f>
        <v>0.30389095183188125</v>
      </c>
      <c r="BV84" s="168">
        <f>('Methanol Recycling HC'!I286)/('Methanol Recycling HC'!I$281)</f>
        <v>0.29739776954925057</v>
      </c>
      <c r="BW84" s="168">
        <f>('Methanol Recycling HC'!J286)/('Methanol Recycling HC'!J$281)</f>
        <v>0.29088386485054935</v>
      </c>
      <c r="BX84" s="168">
        <f>('Methanol Recycling HC'!K286)/('Methanol Recycling HC'!K$281)</f>
        <v>0.2843503505269247</v>
      </c>
      <c r="BY84" s="168">
        <f>('Methanol Recycling HC'!L286)/('Methanol Recycling HC'!L$281)</f>
        <v>0.27779830458960231</v>
      </c>
      <c r="BZ84" s="168">
        <f>('Methanol Recycling HC'!M286)/('Methanol Recycling HC'!M$281)</f>
        <v>0.27122877276225871</v>
      </c>
      <c r="CA84" s="168">
        <f>('Methanol Recycling HC'!N286)/('Methanol Recycling HC'!N$281)</f>
        <v>0.26460686786862619</v>
      </c>
      <c r="CB84" s="168">
        <f>('Methanol Recycling HC'!O286)/('Methanol Recycling HC'!O$281)</f>
        <v>0.25793634921494568</v>
      </c>
      <c r="CC84" s="168">
        <f>('Methanol Recycling HC'!P286)/('Methanol Recycling HC'!P$281)</f>
        <v>0.2512207033545833</v>
      </c>
      <c r="CD84" s="168">
        <f>('Methanol Recycling HC'!Q286)/('Methanol Recycling HC'!Q$281)</f>
        <v>0.24446317631987294</v>
      </c>
      <c r="CE84" s="168">
        <f>('Methanol Recycling HC'!R286)/('Methanol Recycling HC'!R$281)</f>
        <v>0.23766680381052596</v>
      </c>
      <c r="CF84" s="168">
        <f>('Methanol Recycling HC'!S286)/('Methanol Recycling HC'!S$281)</f>
        <v>0.23087466262131323</v>
      </c>
      <c r="CG84" s="168">
        <f>('Methanol Recycling HC'!T286)/('Methanol Recycling HC'!T$281)</f>
        <v>0.22408698083972053</v>
      </c>
      <c r="CH84" s="168">
        <f>('Methanol Recycling HC'!U286)/('Methanol Recycling HC'!U$281)</f>
        <v>0.21730399097125161</v>
      </c>
      <c r="CI84" s="168">
        <f>('Methanol Recycling HC'!V286)/('Methanol Recycling HC'!V$281)</f>
        <v>0.21052593011146126</v>
      </c>
      <c r="CJ84" s="168">
        <f>('Methanol Recycling HC'!W286)/('Methanol Recycling HC'!W$281)</f>
        <v>0.20375304012269885</v>
      </c>
      <c r="CK84" s="168">
        <f>('Methanol Recycling HC'!X286)/('Methanol Recycling HC'!X$281)</f>
        <v>0.19698578495622618</v>
      </c>
      <c r="CL84" s="168">
        <f>('Methanol Recycling HC'!Y286)/('Methanol Recycling HC'!Y$281)</f>
        <v>0.19022439908714336</v>
      </c>
      <c r="CM84" s="168">
        <f>('Methanol Recycling HC'!Z286)/('Methanol Recycling HC'!Z$281)</f>
        <v>0.18346912188353887</v>
      </c>
      <c r="CN84" s="168">
        <f>('Methanol Recycling HC'!AA286)/('Methanol Recycling HC'!AA$281)</f>
        <v>0.17672019777498887</v>
      </c>
      <c r="CO84" s="168">
        <f>('Methanol Recycling HC'!AB286)/('Methanol Recycling HC'!AB$281)</f>
        <v>0.16997787642574599</v>
      </c>
      <c r="CP84" s="168">
        <f>('Methanol Recycling HC'!AC286)/('Methanol Recycling HC'!AC$281)</f>
        <v>0.16324257323231442</v>
      </c>
      <c r="CQ84" s="168">
        <f>('Methanol Recycling HC'!AD286)/('Methanol Recycling HC'!AD$281)</f>
        <v>0.15651453285449321</v>
      </c>
      <c r="CR84" s="168">
        <f>('Methanol Recycling HC'!AE286)/('Methanol Recycling HC'!AE$281)</f>
        <v>0.14979400528453729</v>
      </c>
      <c r="CS84" s="168">
        <f>('Methanol Recycling HC'!AF286)/('Methanol Recycling HC'!AF$281)</f>
        <v>0.14308124601491332</v>
      </c>
      <c r="CT84" s="168">
        <f>('Methanol Recycling HC'!AG286)/('Methanol Recycling HC'!AG$281)</f>
        <v>0.13637651621072425</v>
      </c>
      <c r="CV84" s="168">
        <f t="shared" si="606"/>
        <v>0.33526195788050445</v>
      </c>
      <c r="CW84" s="168">
        <f t="shared" si="576"/>
        <v>0.33562977868201221</v>
      </c>
      <c r="CX84" s="168">
        <f t="shared" si="577"/>
        <v>0.33602409353770962</v>
      </c>
      <c r="CY84" s="168">
        <f t="shared" si="578"/>
        <v>0.33644463002230995</v>
      </c>
      <c r="CZ84" s="168">
        <f t="shared" si="579"/>
        <v>0.33689090590515003</v>
      </c>
      <c r="DA84" s="168">
        <f t="shared" si="580"/>
        <v>0.33736205878287195</v>
      </c>
      <c r="DB84" s="168">
        <f t="shared" si="581"/>
        <v>0.33796236772447991</v>
      </c>
      <c r="DC84" s="168">
        <f t="shared" si="582"/>
        <v>0.33859115931423645</v>
      </c>
      <c r="DD84" s="168">
        <f t="shared" si="583"/>
        <v>0.33924333095814352</v>
      </c>
      <c r="DE84" s="168">
        <f t="shared" si="584"/>
        <v>0.33990990696823181</v>
      </c>
      <c r="DF84" s="168">
        <f t="shared" si="585"/>
        <v>0.34057522032275073</v>
      </c>
      <c r="DG84" s="168">
        <f t="shared" si="586"/>
        <v>0.34003151415312827</v>
      </c>
      <c r="DH84" s="168">
        <f t="shared" si="587"/>
        <v>0.33936097203780768</v>
      </c>
      <c r="DI84" s="168">
        <f t="shared" si="588"/>
        <v>0.33886897906651603</v>
      </c>
      <c r="DJ84" s="168">
        <f t="shared" si="589"/>
        <v>0.338355966914825</v>
      </c>
      <c r="DK84" s="168">
        <f t="shared" si="590"/>
        <v>0.33780862535755607</v>
      </c>
      <c r="DL84" s="168">
        <f t="shared" si="591"/>
        <v>0.33719062482386675</v>
      </c>
      <c r="DM84" s="168">
        <f t="shared" si="592"/>
        <v>0.33657637598731133</v>
      </c>
      <c r="DN84" s="168">
        <f t="shared" si="593"/>
        <v>0.33600771595771983</v>
      </c>
      <c r="DO84" s="168">
        <f t="shared" si="594"/>
        <v>0.33552184487703768</v>
      </c>
      <c r="DP84" s="168">
        <f t="shared" si="595"/>
        <v>0.33514016576336081</v>
      </c>
      <c r="DQ84" s="168">
        <f t="shared" si="596"/>
        <v>0.33411407076398852</v>
      </c>
      <c r="DR84" s="168">
        <f t="shared" si="597"/>
        <v>0.33263961336678416</v>
      </c>
      <c r="DS84" s="168">
        <f t="shared" si="598"/>
        <v>0.33132941671486099</v>
      </c>
      <c r="DT84" s="168">
        <f t="shared" si="599"/>
        <v>0.33013611353906314</v>
      </c>
      <c r="DU84" s="168">
        <f t="shared" si="600"/>
        <v>0.32894311765560041</v>
      </c>
      <c r="DV84" s="168">
        <f t="shared" si="601"/>
        <v>0.32770964357926607</v>
      </c>
      <c r="DW84" s="168">
        <f t="shared" si="602"/>
        <v>0.32633324052624013</v>
      </c>
      <c r="DX84" s="168">
        <f t="shared" si="603"/>
        <v>0.32474725465352067</v>
      </c>
      <c r="DY84" s="168">
        <f t="shared" si="604"/>
        <v>0.32243218561977455</v>
      </c>
      <c r="DZ84" s="168">
        <f t="shared" si="605"/>
        <v>0.31972336805741725</v>
      </c>
    </row>
    <row r="85" spans="1:165" x14ac:dyDescent="0.2">
      <c r="A85" s="606" t="s">
        <v>451</v>
      </c>
      <c r="C85" s="54" t="s">
        <v>462</v>
      </c>
      <c r="D85" s="168">
        <f>'Methanol Recycling HC'!C311/('Methanol Recycling HC'!C$291)</f>
        <v>7.2489099828387651E-2</v>
      </c>
      <c r="E85" s="168">
        <f>'Methanol Recycling HC'!D311/('Methanol Recycling HC'!D$291)</f>
        <v>7.2052641264471418E-2</v>
      </c>
      <c r="F85" s="168">
        <f>'Methanol Recycling HC'!E311/('Methanol Recycling HC'!E$291)</f>
        <v>6.9561438028041697E-2</v>
      </c>
      <c r="G85" s="168">
        <f>'Methanol Recycling HC'!F311/('Methanol Recycling HC'!F$291)</f>
        <v>6.708614372495729E-2</v>
      </c>
      <c r="H85" s="168">
        <f>'Methanol Recycling HC'!G311/('Methanol Recycling HC'!G$291)</f>
        <v>6.4627102744151052E-2</v>
      </c>
      <c r="I85" s="168">
        <f>'Methanol Recycling HC'!H311/('Methanol Recycling HC'!H$291)</f>
        <v>6.2184668601904011E-2</v>
      </c>
      <c r="J85" s="168">
        <f>'Methanol Recycling HC'!I311/('Methanol Recycling HC'!I$291)</f>
        <v>5.9741206983603891E-2</v>
      </c>
      <c r="K85" s="168">
        <f>'Methanol Recycling HC'!J311/('Methanol Recycling HC'!J$291)</f>
        <v>5.7318455285140388E-2</v>
      </c>
      <c r="L85" s="168">
        <f>'Methanol Recycling HC'!K311/('Methanol Recycling HC'!K$291)</f>
        <v>5.4916945967070599E-2</v>
      </c>
      <c r="M85" s="168">
        <f>'Methanol Recycling HC'!L311/('Methanol Recycling HC'!L$291)</f>
        <v>5.2537184122506318E-2</v>
      </c>
      <c r="N85" s="168">
        <f>'Methanol Recycling HC'!M311/('Methanol Recycling HC'!M$291)</f>
        <v>5.0179644520487003E-2</v>
      </c>
      <c r="O85" s="168">
        <f>'Methanol Recycling HC'!N311/('Methanol Recycling HC'!N$291)</f>
        <v>4.7662482375724124E-2</v>
      </c>
      <c r="P85" s="168">
        <f>'Methanol Recycling HC'!O311/('Methanol Recycling HC'!O$291)</f>
        <v>4.518127959130798E-2</v>
      </c>
      <c r="Q85" s="168">
        <f>'Methanol Recycling HC'!P311/('Methanol Recycling HC'!P$291)</f>
        <v>4.273630241526466E-2</v>
      </c>
      <c r="R85" s="168">
        <f>'Methanol Recycling HC'!Q311/('Methanol Recycling HC'!Q$291)</f>
        <v>4.0328700706353401E-2</v>
      </c>
      <c r="S85" s="168">
        <f>'Methanol Recycling HC'!R311/('Methanol Recycling HC'!R$291)</f>
        <v>3.7959099248352654E-2</v>
      </c>
      <c r="T85" s="168">
        <f>'Methanol Recycling HC'!S311/('Methanol Recycling HC'!S$291)</f>
        <v>3.5627247542682455E-2</v>
      </c>
      <c r="U85" s="168">
        <f>'Methanol Recycling HC'!T311/('Methanol Recycling HC'!T$291)</f>
        <v>3.3333757603326956E-2</v>
      </c>
      <c r="V85" s="168">
        <f>'Methanol Recycling HC'!U311/('Methanol Recycling HC'!U$291)</f>
        <v>3.1079087169057603E-2</v>
      </c>
      <c r="W85" s="168">
        <f>'Methanol Recycling HC'!V311/('Methanol Recycling HC'!V$291)</f>
        <v>2.8863657422642627E-2</v>
      </c>
      <c r="X85" s="168">
        <f>'Methanol Recycling HC'!W311/('Methanol Recycling HC'!W$291)</f>
        <v>2.6687848687266758E-2</v>
      </c>
      <c r="Y85" s="168">
        <f>'Methanol Recycling HC'!X311/('Methanol Recycling HC'!X$291)</f>
        <v>2.4406488200783533E-2</v>
      </c>
      <c r="Z85" s="168">
        <f>'Methanol Recycling HC'!Y311/('Methanol Recycling HC'!Y$291)</f>
        <v>2.2185681679100844E-2</v>
      </c>
      <c r="AA85" s="168">
        <f>'Methanol Recycling HC'!Z311/('Methanol Recycling HC'!Z$291)</f>
        <v>2.00259905281201E-2</v>
      </c>
      <c r="AB85" s="168">
        <f>'Methanol Recycling HC'!AA311/('Methanol Recycling HC'!AA$291)</f>
        <v>1.7928224592890018E-2</v>
      </c>
      <c r="AC85" s="168">
        <f>'Methanol Recycling HC'!AB311/('Methanol Recycling HC'!AB$291)</f>
        <v>1.5892847703749154E-2</v>
      </c>
      <c r="AD85" s="168">
        <f>'Methanol Recycling HC'!AC311/('Methanol Recycling HC'!AC$291)</f>
        <v>1.3921299055256126E-2</v>
      </c>
      <c r="AE85" s="168">
        <f>'Methanol Recycling HC'!AD311/('Methanol Recycling HC'!AD$291)</f>
        <v>1.2012858718193993E-2</v>
      </c>
      <c r="AF85" s="168">
        <f>'Methanol Recycling HC'!AE311/('Methanol Recycling HC'!AE$291)</f>
        <v>1.0167646932063894E-2</v>
      </c>
      <c r="AG85" s="168">
        <f>'Methanol Recycling HC'!AF311/('Methanol Recycling HC'!AF$291)</f>
        <v>8.3856360566353372E-3</v>
      </c>
      <c r="AH85" s="168">
        <f>'Methanol Recycling HC'!AG311/('Methanol Recycling HC'!AG$291)</f>
        <v>6.6666333758498503E-3</v>
      </c>
      <c r="AI85" s="44"/>
      <c r="AJ85" s="168">
        <f>'Methanol Recycling LC'!C311/('Methanol Recycling LC'!C$291)</f>
        <v>7.2489099828387651E-2</v>
      </c>
      <c r="AK85" s="168">
        <f>'Methanol Recycling LC'!D311/('Methanol Recycling LC'!D$291)</f>
        <v>7.0056260523415598E-2</v>
      </c>
      <c r="AL85" s="168">
        <f>'Methanol Recycling LC'!E311/('Methanol Recycling LC'!E$291)</f>
        <v>6.7643513484504481E-2</v>
      </c>
      <c r="AM85" s="168">
        <f>'Methanol Recycling LC'!F311/('Methanol Recycling LC'!F$291)</f>
        <v>6.5250764068181935E-2</v>
      </c>
      <c r="AN85" s="168">
        <f>'Methanol Recycling LC'!G311/('Methanol Recycling LC'!G$291)</f>
        <v>6.2877918433682567E-2</v>
      </c>
      <c r="AO85" s="168">
        <f>'Methanol Recycling LC'!H311/('Methanol Recycling LC'!H$291)</f>
        <v>6.0524883543902987E-2</v>
      </c>
      <c r="AP85" s="168">
        <f>'Methanol Recycling LC'!I311/('Methanol Recycling LC'!I$291)</f>
        <v>5.8197862319843904E-2</v>
      </c>
      <c r="AQ85" s="168">
        <f>'Methanol Recycling LC'!J311/('Methanol Recycling LC'!J$291)</f>
        <v>5.5890539845478454E-2</v>
      </c>
      <c r="AR85" s="168">
        <f>'Methanol Recycling LC'!K311/('Methanol Recycling LC'!K$291)</f>
        <v>5.360279079957584E-2</v>
      </c>
      <c r="AS85" s="168">
        <f>'Methanol Recycling LC'!L311/('Methanol Recycling LC'!L$291)</f>
        <v>5.1334487703306682E-2</v>
      </c>
      <c r="AT85" s="168">
        <f>'Methanol Recycling LC'!M311/('Methanol Recycling LC'!M$291)</f>
        <v>4.9085500853713541E-2</v>
      </c>
      <c r="AU85" s="168">
        <f>'Methanol Recycling LC'!N311/('Methanol Recycling LC'!N$291)</f>
        <v>4.6600620283582493E-2</v>
      </c>
      <c r="AV85" s="168">
        <f>'Methanol Recycling LC'!O311/('Methanol Recycling LC'!O$291)</f>
        <v>4.4157947715348811E-2</v>
      </c>
      <c r="AW85" s="168">
        <f>'Methanol Recycling LC'!P311/('Methanol Recycling LC'!P$291)</f>
        <v>4.1757067106550853E-2</v>
      </c>
      <c r="AX85" s="168">
        <f>'Methanol Recycling LC'!Q311/('Methanol Recycling LC'!Q$291)</f>
        <v>3.9397808973927452E-2</v>
      </c>
      <c r="AY85" s="168">
        <f>'Methanol Recycling LC'!R311/('Methanol Recycling LC'!R$291)</f>
        <v>3.7079868276063466E-2</v>
      </c>
      <c r="AZ85" s="168">
        <f>'Methanol Recycling LC'!S311/('Methanol Recycling LC'!S$291)</f>
        <v>3.47989654536578E-2</v>
      </c>
      <c r="BA85" s="168">
        <f>'Methanol Recycling LC'!T311/('Methanol Recycling LC'!T$291)</f>
        <v>3.2558783904488041E-2</v>
      </c>
      <c r="BB85" s="168">
        <f>'Methanol Recycling LC'!U311/('Methanol Recycling LC'!U$291)</f>
        <v>3.0359063380980805E-2</v>
      </c>
      <c r="BC85" s="168">
        <f>'Methanol Recycling LC'!V311/('Methanol Recycling LC'!V$291)</f>
        <v>2.8199542155620042E-2</v>
      </c>
      <c r="BD85" s="168">
        <f>'Methanol Recycling LC'!W311/('Methanol Recycling LC'!W$291)</f>
        <v>2.6079956967015521E-2</v>
      </c>
      <c r="BE85" s="168">
        <f>'Methanol Recycling LC'!X311/('Methanol Recycling LC'!X$291)</f>
        <v>2.3815903182246741E-2</v>
      </c>
      <c r="BF85" s="168">
        <f>'Methanol Recycling LC'!Y311/('Methanol Recycling LC'!Y$291)</f>
        <v>2.1619670462918451E-2</v>
      </c>
      <c r="BG85" s="168">
        <f>'Methanol Recycling LC'!Z311/('Methanol Recycling LC'!Z$291)</f>
        <v>1.9490735093439814E-2</v>
      </c>
      <c r="BH85" s="168">
        <f>'Methanol Recycling LC'!AA311/('Methanol Recycling LC'!AA$291)</f>
        <v>1.7428809687621439E-2</v>
      </c>
      <c r="BI85" s="168">
        <f>'Methanol Recycling LC'!AB311/('Methanol Recycling LC'!AB$291)</f>
        <v>1.5433447092806115E-2</v>
      </c>
      <c r="BJ85" s="168">
        <f>'Methanol Recycling LC'!AC311/('Methanol Recycling LC'!AC$291)</f>
        <v>1.350561690864081E-2</v>
      </c>
      <c r="BK85" s="168">
        <f>'Methanol Recycling LC'!AD311/('Methanol Recycling LC'!AD$291)</f>
        <v>1.1643237218612325E-2</v>
      </c>
      <c r="BL85" s="168">
        <f>'Methanol Recycling LC'!AE311/('Methanol Recycling LC'!AE$291)</f>
        <v>9.8457887582172714E-3</v>
      </c>
      <c r="BM85" s="168">
        <f>'Methanol Recycling LC'!AF311/('Methanol Recycling LC'!AF$291)</f>
        <v>8.1127426302246893E-3</v>
      </c>
      <c r="BN85" s="168">
        <f>'Methanol Recycling LC'!AG311/('Methanol Recycling LC'!AG$291)</f>
        <v>6.4435598022544822E-3</v>
      </c>
      <c r="BP85" s="168">
        <f>'Methanol Recycling HC'!C287/('Methanol Recycling HC'!C$281)</f>
        <v>7.2489099828387651E-2</v>
      </c>
      <c r="BQ85" s="168">
        <f>'Methanol Recycling HC'!D287/('Methanol Recycling HC'!D$281)</f>
        <v>7.2702110722871818E-2</v>
      </c>
      <c r="BR85" s="168">
        <f>'Methanol Recycling HC'!E287/('Methanol Recycling HC'!E$281)</f>
        <v>7.289433506623387E-2</v>
      </c>
      <c r="BS85" s="168">
        <f>'Methanol Recycling HC'!F287/('Methanol Recycling HC'!F$281)</f>
        <v>7.3066524608514247E-2</v>
      </c>
      <c r="BT85" s="168">
        <f>'Methanol Recycling HC'!G287/('Methanol Recycling HC'!G$281)</f>
        <v>7.3219265926959459E-2</v>
      </c>
      <c r="BU85" s="168">
        <f>'Methanol Recycling HC'!H287/('Methanol Recycling HC'!H$281)</f>
        <v>7.3352988373212691E-2</v>
      </c>
      <c r="BV85" s="168">
        <f>'Methanol Recycling HC'!I287/('Methanol Recycling HC'!I$281)</f>
        <v>7.348332380646716E-2</v>
      </c>
      <c r="BW85" s="168">
        <f>'Methanol Recycling HC'!J287/('Methanol Recycling HC'!J$281)</f>
        <v>7.3610310107994126E-2</v>
      </c>
      <c r="BX85" s="168">
        <f>'Methanol Recycling HC'!K287/('Methanol Recycling HC'!K$281)</f>
        <v>7.37339804960703E-2</v>
      </c>
      <c r="BY85" s="168">
        <f>'Methanol Recycling HC'!L287/('Methanol Recycling HC'!L$281)</f>
        <v>7.3854363592832137E-2</v>
      </c>
      <c r="BZ85" s="168">
        <f>'Methanol Recycling HC'!M287/('Methanol Recycling HC'!M$281)</f>
        <v>7.3971483480615968E-2</v>
      </c>
      <c r="CA85" s="168">
        <f>'Methanol Recycling HC'!N287/('Methanol Recycling HC'!N$281)</f>
        <v>7.4075308885555996E-2</v>
      </c>
      <c r="CB85" s="168">
        <f>'Methanol Recycling HC'!O287/('Methanol Recycling HC'!O$281)</f>
        <v>7.4165834122710966E-2</v>
      </c>
      <c r="CC85" s="168">
        <f>'Methanol Recycling HC'!P287/('Methanol Recycling HC'!P$281)</f>
        <v>7.4242977763459131E-2</v>
      </c>
      <c r="CD85" s="168">
        <f>'Methanol Recycling HC'!Q287/('Methanol Recycling HC'!Q$281)</f>
        <v>7.4306581599841826E-2</v>
      </c>
      <c r="CE85" s="168">
        <f>'Methanol Recycling HC'!R287/('Methanol Recycling HC'!R$281)</f>
        <v>7.4356408869703836E-2</v>
      </c>
      <c r="CF85" s="168">
        <f>'Methanol Recycling HC'!S287/('Methanol Recycling HC'!S$281)</f>
        <v>7.4405104541465802E-2</v>
      </c>
      <c r="CG85" s="168">
        <f>'Methanol Recycling HC'!T287/('Methanol Recycling HC'!T$281)</f>
        <v>7.4452648778386116E-2</v>
      </c>
      <c r="CH85" s="168">
        <f>'Methanol Recycling HC'!U287/('Methanol Recycling HC'!U$281)</f>
        <v>7.4499021213111319E-2</v>
      </c>
      <c r="CI85" s="168">
        <f>'Methanol Recycling HC'!V287/('Methanol Recycling HC'!V$281)</f>
        <v>7.4544200934408375E-2</v>
      </c>
      <c r="CJ85" s="168">
        <f>'Methanol Recycling HC'!W287/('Methanol Recycling HC'!W$281)</f>
        <v>7.4588166473487885E-2</v>
      </c>
      <c r="CK85" s="168">
        <f>'Methanol Recycling HC'!X287/('Methanol Recycling HC'!X$281)</f>
        <v>7.4630978056788866E-2</v>
      </c>
      <c r="CL85" s="168">
        <f>'Methanol Recycling HC'!Y287/('Methanol Recycling HC'!Y$281)</f>
        <v>7.4672615114437291E-2</v>
      </c>
      <c r="CM85" s="168">
        <f>'Methanol Recycling HC'!Z287/('Methanol Recycling HC'!Z$281)</f>
        <v>7.4713056561183711E-2</v>
      </c>
      <c r="CN85" s="168">
        <f>'Methanol Recycling HC'!AA287/('Methanol Recycling HC'!AA$281)</f>
        <v>7.4752280783670758E-2</v>
      </c>
      <c r="CO85" s="168">
        <f>'Methanol Recycling HC'!AB287/('Methanol Recycling HC'!AB$281)</f>
        <v>7.4790265627328142E-2</v>
      </c>
      <c r="CP85" s="168">
        <f>'Methanol Recycling HC'!AC287/('Methanol Recycling HC'!AC$281)</f>
        <v>7.4827061870084088E-2</v>
      </c>
      <c r="CQ85" s="168">
        <f>'Methanol Recycling HC'!AD287/('Methanol Recycling HC'!AD$281)</f>
        <v>7.4862648161171608E-2</v>
      </c>
      <c r="CR85" s="168">
        <f>'Methanol Recycling HC'!AE287/('Methanol Recycling HC'!AE$281)</f>
        <v>7.4897002642268534E-2</v>
      </c>
      <c r="CS85" s="168">
        <f>'Methanol Recycling HC'!AF287/('Methanol Recycling HC'!AF$281)</f>
        <v>7.4930102935162946E-2</v>
      </c>
      <c r="CT85" s="168">
        <f>'Methanol Recycling HC'!AG287/('Methanol Recycling HC'!AG$281)</f>
        <v>7.4961926129073597E-2</v>
      </c>
      <c r="CV85" s="168">
        <f t="shared" si="606"/>
        <v>7.2489099828387651E-2</v>
      </c>
      <c r="CW85" s="168">
        <f t="shared" si="576"/>
        <v>7.0136145761069829E-2</v>
      </c>
      <c r="CX85" s="168">
        <f t="shared" si="577"/>
        <v>6.7804979406630328E-2</v>
      </c>
      <c r="CY85" s="168">
        <f t="shared" si="578"/>
        <v>6.5494793603009374E-2</v>
      </c>
      <c r="CZ85" s="168">
        <f t="shared" si="579"/>
        <v>6.3204792618352129E-2</v>
      </c>
      <c r="DA85" s="168">
        <f t="shared" si="580"/>
        <v>6.0934194464971864E-2</v>
      </c>
      <c r="DB85" s="168">
        <f t="shared" si="581"/>
        <v>5.8700620293590688E-2</v>
      </c>
      <c r="DC85" s="168">
        <f t="shared" si="582"/>
        <v>5.6484831952873078E-2</v>
      </c>
      <c r="DD85" s="168">
        <f t="shared" si="583"/>
        <v>5.4285991847687558E-2</v>
      </c>
      <c r="DE85" s="168">
        <f t="shared" si="584"/>
        <v>5.2103323024518727E-2</v>
      </c>
      <c r="DF85" s="168">
        <f t="shared" si="585"/>
        <v>4.9936146995269229E-2</v>
      </c>
      <c r="DG85" s="168">
        <f t="shared" si="586"/>
        <v>4.7616406117476015E-2</v>
      </c>
      <c r="DH85" s="168">
        <f t="shared" si="587"/>
        <v>4.5315661948750724E-2</v>
      </c>
      <c r="DI85" s="168">
        <f t="shared" si="588"/>
        <v>4.3077272237462869E-2</v>
      </c>
      <c r="DJ85" s="168">
        <f t="shared" si="589"/>
        <v>4.0874591480603892E-2</v>
      </c>
      <c r="DK85" s="168">
        <f t="shared" si="590"/>
        <v>3.8704926921462136E-2</v>
      </c>
      <c r="DL85" s="168">
        <f t="shared" si="591"/>
        <v>3.6559985903228731E-2</v>
      </c>
      <c r="DM85" s="168">
        <f t="shared" si="592"/>
        <v>3.444179172310987E-2</v>
      </c>
      <c r="DN85" s="168">
        <f t="shared" si="593"/>
        <v>3.2346877477042561E-2</v>
      </c>
      <c r="DO85" s="168">
        <f t="shared" si="594"/>
        <v>3.0271891745789599E-2</v>
      </c>
      <c r="DP85" s="168">
        <f t="shared" si="595"/>
        <v>2.821386296286341E-2</v>
      </c>
      <c r="DQ85" s="168">
        <f t="shared" si="596"/>
        <v>2.6092215625108273E-2</v>
      </c>
      <c r="DR85" s="168">
        <f t="shared" si="597"/>
        <v>2.3953315965148169E-2</v>
      </c>
      <c r="DS85" s="168">
        <f t="shared" si="598"/>
        <v>2.1849161613662356E-2</v>
      </c>
      <c r="DT85" s="168">
        <f t="shared" si="599"/>
        <v>1.9777278624262498E-2</v>
      </c>
      <c r="DU85" s="168">
        <f t="shared" si="600"/>
        <v>1.7732101821279492E-2</v>
      </c>
      <c r="DV85" s="168">
        <f t="shared" si="601"/>
        <v>1.5713958816248076E-2</v>
      </c>
      <c r="DW85" s="168">
        <f t="shared" si="602"/>
        <v>1.3720080664363126E-2</v>
      </c>
      <c r="DX85" s="168">
        <f t="shared" si="603"/>
        <v>1.1750257109885026E-2</v>
      </c>
      <c r="DY85" s="168">
        <f t="shared" si="604"/>
        <v>9.8046840214209546E-3</v>
      </c>
      <c r="DZ85" s="168">
        <f t="shared" si="605"/>
        <v>7.8839899550061932E-3</v>
      </c>
    </row>
    <row r="86" spans="1:165" x14ac:dyDescent="0.2">
      <c r="A86" s="606" t="s">
        <v>452</v>
      </c>
      <c r="C86" s="54" t="s">
        <v>462</v>
      </c>
      <c r="D86" s="168">
        <f>'Methanol Recycling HC'!C312/('Methanol Recycling HC'!C$291)</f>
        <v>0.24465071192080831</v>
      </c>
      <c r="E86" s="168">
        <f>'Methanol Recycling HC'!D312/('Methanol Recycling HC'!D$291)</f>
        <v>0.2470818041644321</v>
      </c>
      <c r="F86" s="168">
        <f>'Methanol Recycling HC'!E312/('Methanol Recycling HC'!E$291)</f>
        <v>0.2425416511774198</v>
      </c>
      <c r="G86" s="168">
        <f>'Methanol Recycling HC'!F312/('Methanol Recycling HC'!F$291)</f>
        <v>0.23801796198306774</v>
      </c>
      <c r="H86" s="168">
        <f>'Methanol Recycling HC'!G312/('Methanol Recycling HC'!G$291)</f>
        <v>0.23351113538688556</v>
      </c>
      <c r="I86" s="168">
        <f>'Methanol Recycling HC'!H312/('Methanol Recycling HC'!H$291)</f>
        <v>0.2290215843631101</v>
      </c>
      <c r="J86" s="168">
        <f>'Methanol Recycling HC'!I312/('Methanol Recycling HC'!I$291)</f>
        <v>0.22448211108990573</v>
      </c>
      <c r="K86" s="168">
        <f>'Methanol Recycling HC'!J312/('Methanol Recycling HC'!J$291)</f>
        <v>0.21997082578014635</v>
      </c>
      <c r="L86" s="168">
        <f>'Methanol Recycling HC'!K312/('Methanol Recycling HC'!K$291)</f>
        <v>0.21548932058817941</v>
      </c>
      <c r="M86" s="168">
        <f>'Methanol Recycling HC'!L312/('Methanol Recycling HC'!L$291)</f>
        <v>0.21103919723786457</v>
      </c>
      <c r="N86" s="168">
        <f>'Methanol Recycling HC'!M312/('Methanol Recycling HC'!M$291)</f>
        <v>0.20662206567259375</v>
      </c>
      <c r="O86" s="168">
        <f>'Methanol Recycling HC'!N312/('Methanol Recycling HC'!N$291)</f>
        <v>0.20146902059431873</v>
      </c>
      <c r="P86" s="168">
        <f>'Methanol Recycling HC'!O312/('Methanol Recycling HC'!O$291)</f>
        <v>0.19636479206991561</v>
      </c>
      <c r="Q86" s="168">
        <f>'Methanol Recycling HC'!P312/('Methanol Recycling HC'!P$291)</f>
        <v>0.19130948799316475</v>
      </c>
      <c r="R86" s="168">
        <f>'Methanol Recycling HC'!Q312/('Methanol Recycling HC'!Q$291)</f>
        <v>0.1863072370659708</v>
      </c>
      <c r="S86" s="168">
        <f>'Methanol Recycling HC'!R312/('Methanol Recycling HC'!R$291)</f>
        <v>0.18136014085324059</v>
      </c>
      <c r="T86" s="168">
        <f>'Methanol Recycling HC'!S312/('Methanol Recycling HC'!S$291)</f>
        <v>0.1764662104848492</v>
      </c>
      <c r="U86" s="168">
        <f>'Methanol Recycling HC'!T312/('Methanol Recycling HC'!T$291)</f>
        <v>0.17162752881712984</v>
      </c>
      <c r="V86" s="168">
        <f>'Methanol Recycling HC'!U312/('Methanol Recycling HC'!U$291)</f>
        <v>0.16684562585494095</v>
      </c>
      <c r="W86" s="168">
        <f>'Methanol Recycling HC'!V312/('Methanol Recycling HC'!V$291)</f>
        <v>0.16212203842063772</v>
      </c>
      <c r="X86" s="168">
        <f>'Methanol Recycling HC'!W312/('Methanol Recycling HC'!W$291)</f>
        <v>0.157458307254874</v>
      </c>
      <c r="Y86" s="168">
        <f>'Methanol Recycling HC'!X312/('Methanol Recycling HC'!X$291)</f>
        <v>0.15195007170165245</v>
      </c>
      <c r="Z86" s="168">
        <f>'Methanol Recycling HC'!Y312/('Methanol Recycling HC'!Y$291)</f>
        <v>0.14652868829917778</v>
      </c>
      <c r="AA86" s="168">
        <f>'Methanol Recycling HC'!Z312/('Methanol Recycling HC'!Z$291)</f>
        <v>0.14119590790079628</v>
      </c>
      <c r="AB86" s="168">
        <f>'Methanol Recycling HC'!AA312/('Methanol Recycling HC'!AA$291)</f>
        <v>0.13595570316274944</v>
      </c>
      <c r="AC86" s="168">
        <f>'Methanol Recycling HC'!AB312/('Methanol Recycling HC'!AB$291)</f>
        <v>0.1308103618693201</v>
      </c>
      <c r="AD86" s="168">
        <f>'Methanol Recycling HC'!AC312/('Methanol Recycling HC'!AC$291)</f>
        <v>0.12577173629231411</v>
      </c>
      <c r="AE86" s="168">
        <f>'Methanol Recycling HC'!AD312/('Methanol Recycling HC'!AD$291)</f>
        <v>0.12083522593006915</v>
      </c>
      <c r="AF86" s="168">
        <f>'Methanol Recycling HC'!AE312/('Methanol Recycling HC'!AE$291)</f>
        <v>0.11600360817945642</v>
      </c>
      <c r="AG86" s="168">
        <f>'Methanol Recycling HC'!AF312/('Methanol Recycling HC'!AF$291)</f>
        <v>0.11127965685967456</v>
      </c>
      <c r="AH86" s="168">
        <f>'Methanol Recycling HC'!AG312/('Methanol Recycling HC'!AG$291)</f>
        <v>0.1066661340135976</v>
      </c>
      <c r="AI86" s="44"/>
      <c r="AJ86" s="168">
        <f>'Methanol Recycling LC'!C312/('Methanol Recycling LC'!C$291)</f>
        <v>0.24465071192080831</v>
      </c>
      <c r="AK86" s="168">
        <f>'Methanol Recycling LC'!D312/('Methanol Recycling LC'!D$291)</f>
        <v>0.2402358461725711</v>
      </c>
      <c r="AL86" s="168">
        <f>'Methanol Recycling LC'!E312/('Methanol Recycling LC'!E$291)</f>
        <v>0.23585437445039623</v>
      </c>
      <c r="AM86" s="168">
        <f>'Methanol Recycling LC'!F312/('Methanol Recycling LC'!F$291)</f>
        <v>0.23150613552957716</v>
      </c>
      <c r="AN86" s="168">
        <f>'Methanol Recycling LC'!G312/('Methanol Recycling LC'!G$291)</f>
        <v>0.22719096943490977</v>
      </c>
      <c r="AO86" s="168">
        <f>'Methanol Recycling LC'!H312/('Methanol Recycling LC'!H$291)</f>
        <v>0.22290871744217947</v>
      </c>
      <c r="AP86" s="168">
        <f>'Methanol Recycling LC'!I312/('Methanol Recycling LC'!I$291)</f>
        <v>0.21868287659577731</v>
      </c>
      <c r="AQ86" s="168">
        <f>'Methanol Recycling LC'!J312/('Methanol Recycling LC'!J$291)</f>
        <v>0.21449091993055366</v>
      </c>
      <c r="AR86" s="168">
        <f>'Methanol Recycling LC'!K312/('Methanol Recycling LC'!K$291)</f>
        <v>0.21033268998529236</v>
      </c>
      <c r="AS86" s="168">
        <f>'Methanol Recycling LC'!L312/('Methanol Recycling LC'!L$291)</f>
        <v>0.20620802687599485</v>
      </c>
      <c r="AT86" s="168">
        <f>'Methanol Recycling LC'!M312/('Methanol Recycling LC'!M$291)</f>
        <v>0.20211676822117358</v>
      </c>
      <c r="AU86" s="168">
        <f>'Methanol Recycling LC'!N312/('Methanol Recycling LC'!N$291)</f>
        <v>0.19698053604532739</v>
      </c>
      <c r="AV86" s="168">
        <f>'Methanol Recycling LC'!O312/('Methanol Recycling LC'!O$291)</f>
        <v>0.19191723430132385</v>
      </c>
      <c r="AW86" s="168">
        <f>'Methanol Recycling LC'!P312/('Methanol Recycling LC'!P$291)</f>
        <v>0.18692593127563384</v>
      </c>
      <c r="AX86" s="168">
        <f>'Methanol Recycling LC'!Q312/('Methanol Recycling LC'!Q$291)</f>
        <v>0.18200677948518615</v>
      </c>
      <c r="AY86" s="168">
        <f>'Methanol Recycling LC'!R312/('Methanol Recycling LC'!R$291)</f>
        <v>0.17715937065230339</v>
      </c>
      <c r="AZ86" s="168">
        <f>'Methanol Recycling LC'!S312/('Methanol Recycling LC'!S$291)</f>
        <v>0.17236362576264891</v>
      </c>
      <c r="BA86" s="168">
        <f>'Methanol Recycling LC'!T312/('Methanol Recycling LC'!T$291)</f>
        <v>0.16763737497930634</v>
      </c>
      <c r="BB86" s="168">
        <f>'Methanol Recycling LC'!U312/('Methanol Recycling LC'!U$291)</f>
        <v>0.16298023499263395</v>
      </c>
      <c r="BC86" s="168">
        <f>'Methanol Recycling LC'!V312/('Methanol Recycling LC'!V$291)</f>
        <v>0.15839182089278189</v>
      </c>
      <c r="BD86" s="168">
        <f>'Methanol Recycling LC'!W312/('Methanol Recycling LC'!W$291)</f>
        <v>0.15387174610539173</v>
      </c>
      <c r="BE86" s="168">
        <f>'Methanol Recycling LC'!X312/('Methanol Recycling LC'!X$291)</f>
        <v>0.14827320368302016</v>
      </c>
      <c r="BF86" s="168">
        <f>'Methanol Recycling LC'!Y312/('Methanol Recycling LC'!Y$291)</f>
        <v>0.14279038166206615</v>
      </c>
      <c r="BG86" s="168">
        <f>'Methanol Recycling LC'!Z312/('Methanol Recycling LC'!Z$291)</f>
        <v>0.13742201831703779</v>
      </c>
      <c r="BH86" s="168">
        <f>'Methanol Recycling LC'!AA312/('Methanol Recycling LC'!AA$291)</f>
        <v>0.13216847346446267</v>
      </c>
      <c r="BI86" s="168">
        <f>'Methanol Recycling LC'!AB312/('Methanol Recycling LC'!AB$291)</f>
        <v>0.12702914145617353</v>
      </c>
      <c r="BJ86" s="168">
        <f>'Methanol Recycling LC'!AC312/('Methanol Recycling LC'!AC$291)</f>
        <v>0.12201626310565161</v>
      </c>
      <c r="BK86" s="168">
        <f>'Methanol Recycling LC'!AD312/('Methanol Recycling LC'!AD$291)</f>
        <v>0.1171172684931006</v>
      </c>
      <c r="BL86" s="168">
        <f>'Methanol Recycling LC'!AE312/('Methanol Recycling LC'!AE$291)</f>
        <v>0.11233149901420632</v>
      </c>
      <c r="BM86" s="168">
        <f>'Methanol Recycling LC'!AF312/('Methanol Recycling LC'!AF$291)</f>
        <v>0.10765828733622515</v>
      </c>
      <c r="BN86" s="168">
        <f>'Methanol Recycling LC'!AG312/('Methanol Recycling LC'!AG$291)</f>
        <v>0.10309695683607172</v>
      </c>
      <c r="BP86" s="168">
        <f>'Methanol Recycling HC'!C288/('Methanol Recycling HC'!C$281)</f>
        <v>0.24465071192080831</v>
      </c>
      <c r="BQ86" s="168">
        <f>'Methanol Recycling HC'!D288/('Methanol Recycling HC'!D$281)</f>
        <v>0.24790723897761616</v>
      </c>
      <c r="BR86" s="168">
        <f>'Methanol Recycling HC'!E288/('Methanol Recycling HC'!E$281)</f>
        <v>0.25110068538193941</v>
      </c>
      <c r="BS86" s="168">
        <f>'Methanol Recycling HC'!F288/('Methanol Recycling HC'!F$281)</f>
        <v>0.25423146918578921</v>
      </c>
      <c r="BT86" s="168">
        <f>'Methanol Recycling HC'!G288/('Methanol Recycling HC'!G$281)</f>
        <v>0.2572995431164628</v>
      </c>
      <c r="BU86" s="168">
        <f>'Methanol Recycling HC'!H288/('Methanol Recycling HC'!H$281)</f>
        <v>0.26030439352316048</v>
      </c>
      <c r="BV86" s="168">
        <f>'Methanol Recycling HC'!I288/('Methanol Recycling HC'!I$281)</f>
        <v>0.26330004857701866</v>
      </c>
      <c r="BW86" s="168">
        <f>'Methanol Recycling HC'!J288/('Methanol Recycling HC'!J$281)</f>
        <v>0.26628628497555235</v>
      </c>
      <c r="BX86" s="168">
        <f>'Methanol Recycling HC'!K288/('Methanol Recycling HC'!K$281)</f>
        <v>0.26926286936931265</v>
      </c>
      <c r="BY86" s="168">
        <f>'Methanol Recycling HC'!L288/('Methanol Recycling HC'!L$281)</f>
        <v>0.27222955776739838</v>
      </c>
      <c r="BZ86" s="168">
        <f>'Methanol Recycling HC'!M288/('Methanol Recycling HC'!M$281)</f>
        <v>0.27518609492377277</v>
      </c>
      <c r="CA86" s="168">
        <f>'Methanol Recycling HC'!N288/('Methanol Recycling HC'!N$281)</f>
        <v>0.27809448062501763</v>
      </c>
      <c r="CB86" s="168">
        <f>'Methanol Recycling HC'!O288/('Methanol Recycling HC'!O$281)</f>
        <v>0.28095333221854524</v>
      </c>
      <c r="CC86" s="168">
        <f>'Methanol Recycling HC'!P288/('Methanol Recycling HC'!P$281)</f>
        <v>0.28376098348133061</v>
      </c>
      <c r="CD86" s="168">
        <f>'Methanol Recycling HC'!Q288/('Methanol Recycling HC'!Q$281)</f>
        <v>0.28651546779038078</v>
      </c>
      <c r="CE86" s="168">
        <f>'Methanol Recycling HC'!R288/('Methanol Recycling HC'!R$281)</f>
        <v>0.28921449830301948</v>
      </c>
      <c r="CF86" s="168">
        <f>'Methanol Recycling HC'!S288/('Methanol Recycling HC'!S$281)</f>
        <v>0.29190630066022744</v>
      </c>
      <c r="CG86" s="168">
        <f>'Methanol Recycling HC'!T288/('Methanol Recycling HC'!T$281)</f>
        <v>0.29459069271839561</v>
      </c>
      <c r="CH86" s="168">
        <f>'Methanol Recycling HC'!U288/('Methanol Recycling HC'!U$281)</f>
        <v>0.2972674880679646</v>
      </c>
      <c r="CI86" s="168">
        <f>'Methanol Recycling HC'!V288/('Methanol Recycling HC'!V$281)</f>
        <v>0.29993649590458293</v>
      </c>
      <c r="CJ86" s="168">
        <f>'Methanol Recycling HC'!W288/('Methanol Recycling HC'!W$281)</f>
        <v>0.30259752089650738</v>
      </c>
      <c r="CK86" s="168">
        <f>'Methanol Recycling HC'!X288/('Methanol Recycling HC'!X$281)</f>
        <v>0.30525069953069023</v>
      </c>
      <c r="CL86" s="168">
        <f>'Methanol Recycling HC'!Y288/('Methanol Recycling HC'!Y$281)</f>
        <v>0.30789584366731432</v>
      </c>
      <c r="CM86" s="168">
        <f>'Methanol Recycling HC'!Z288/('Methanol Recycling HC'!Z$281)</f>
        <v>0.31053276080634512</v>
      </c>
      <c r="CN86" s="168">
        <f>'Methanol Recycling HC'!AA288/('Methanol Recycling HC'!AA$281)</f>
        <v>0.31316125396265904</v>
      </c>
      <c r="CO86" s="168">
        <f>'Methanol Recycling HC'!AB288/('Methanol Recycling HC'!AB$281)</f>
        <v>0.31578112153760718</v>
      </c>
      <c r="CP86" s="168">
        <f>'Methanol Recycling HC'!AC288/('Methanol Recycling HC'!AC$281)</f>
        <v>0.3183924698781942</v>
      </c>
      <c r="CQ86" s="168">
        <f>'Methanol Recycling HC'!AD288/('Methanol Recycling HC'!AD$281)</f>
        <v>0.32099510324004116</v>
      </c>
      <c r="CR86" s="168">
        <f>'Methanol Recycling HC'!AE288/('Methanol Recycling HC'!AE$281)</f>
        <v>0.32358882139968781</v>
      </c>
      <c r="CS86" s="168">
        <f>'Methanol Recycling HC'!AF288/('Methanol Recycling HC'!AF$281)</f>
        <v>0.32617341953199536</v>
      </c>
      <c r="CT86" s="168">
        <f>'Methanol Recycling HC'!AG288/('Methanol Recycling HC'!AG$281)</f>
        <v>0.32874868808412999</v>
      </c>
      <c r="CV86" s="168">
        <f t="shared" si="606"/>
        <v>0.24465071192080831</v>
      </c>
      <c r="CW86" s="168">
        <f t="shared" si="576"/>
        <v>0.24050978739525664</v>
      </c>
      <c r="CX86" s="168">
        <f t="shared" si="577"/>
        <v>0.23641736182488809</v>
      </c>
      <c r="CY86" s="168">
        <f t="shared" si="578"/>
        <v>0.23237193894766356</v>
      </c>
      <c r="CZ86" s="168">
        <f t="shared" si="579"/>
        <v>0.22837203370593284</v>
      </c>
      <c r="DA86" s="168">
        <f t="shared" si="580"/>
        <v>0.22441617961489654</v>
      </c>
      <c r="DB86" s="168">
        <f t="shared" si="581"/>
        <v>0.22057202776985613</v>
      </c>
      <c r="DC86" s="168">
        <f t="shared" si="582"/>
        <v>0.21677163257306811</v>
      </c>
      <c r="DD86" s="168">
        <f t="shared" si="583"/>
        <v>0.21301351148929593</v>
      </c>
      <c r="DE86" s="168">
        <f t="shared" si="584"/>
        <v>0.20929639926798224</v>
      </c>
      <c r="DF86" s="168">
        <f t="shared" si="585"/>
        <v>0.20561942880404999</v>
      </c>
      <c r="DG86" s="168">
        <f t="shared" si="586"/>
        <v>0.20127425653338041</v>
      </c>
      <c r="DH86" s="168">
        <f t="shared" si="587"/>
        <v>0.19694883846957062</v>
      </c>
      <c r="DI86" s="168">
        <f t="shared" si="588"/>
        <v>0.19283584283481717</v>
      </c>
      <c r="DJ86" s="168">
        <f t="shared" si="589"/>
        <v>0.18882909867095904</v>
      </c>
      <c r="DK86" s="168">
        <f t="shared" si="590"/>
        <v>0.1849235397358748</v>
      </c>
      <c r="DL86" s="168">
        <f t="shared" si="591"/>
        <v>0.18108618017692996</v>
      </c>
      <c r="DM86" s="168">
        <f t="shared" si="592"/>
        <v>0.17733253093799559</v>
      </c>
      <c r="DN86" s="168">
        <f t="shared" si="593"/>
        <v>0.17365165803464971</v>
      </c>
      <c r="DO86" s="168">
        <f t="shared" si="594"/>
        <v>0.17003184055345391</v>
      </c>
      <c r="DP86" s="168">
        <f t="shared" si="595"/>
        <v>0.16646179148089427</v>
      </c>
      <c r="DQ86" s="168">
        <f t="shared" si="596"/>
        <v>0.16244508437567423</v>
      </c>
      <c r="DR86" s="168">
        <f t="shared" si="597"/>
        <v>0.15820329614190892</v>
      </c>
      <c r="DS86" s="168">
        <f t="shared" si="598"/>
        <v>0.15405041795961955</v>
      </c>
      <c r="DT86" s="168">
        <f t="shared" si="599"/>
        <v>0.14997769623399071</v>
      </c>
      <c r="DU86" s="168">
        <f t="shared" si="600"/>
        <v>0.14594883806745443</v>
      </c>
      <c r="DV86" s="168">
        <f t="shared" si="601"/>
        <v>0.141967489995069</v>
      </c>
      <c r="DW86" s="168">
        <f t="shared" si="602"/>
        <v>0.13800787021212338</v>
      </c>
      <c r="DX86" s="168">
        <f t="shared" si="603"/>
        <v>0.13405975157187028</v>
      </c>
      <c r="DY86" s="168">
        <f t="shared" si="604"/>
        <v>0.13011080687885673</v>
      </c>
      <c r="DZ86" s="168">
        <f t="shared" si="605"/>
        <v>0.12614383928009909</v>
      </c>
    </row>
    <row r="87" spans="1:165" x14ac:dyDescent="0.2">
      <c r="A87" s="606" t="s">
        <v>453</v>
      </c>
      <c r="C87" s="54" t="s">
        <v>462</v>
      </c>
      <c r="D87" s="168">
        <f>'Methanol Recycling HC'!C313/('Methanol Recycling HC'!C$291)</f>
        <v>6.342796234983919E-2</v>
      </c>
      <c r="E87" s="168">
        <f>'Methanol Recycling HC'!D313/('Methanol Recycling HC'!D$291)</f>
        <v>6.463090997542717E-2</v>
      </c>
      <c r="F87" s="168">
        <f>'Methanol Recycling HC'!E313/('Methanol Recycling HC'!E$291)</f>
        <v>6.4021146503684401E-2</v>
      </c>
      <c r="G87" s="168">
        <f>'Methanol Recycling HC'!F313/('Methanol Recycling HC'!F$291)</f>
        <v>6.3410190644137721E-2</v>
      </c>
      <c r="H87" s="168">
        <f>'Methanol Recycling HC'!G313/('Methanol Recycling HC'!G$291)</f>
        <v>6.2798033798561873E-2</v>
      </c>
      <c r="I87" s="168">
        <f>'Methanol Recycling HC'!H313/('Methanol Recycling HC'!H$291)</f>
        <v>6.2184668601904018E-2</v>
      </c>
      <c r="J87" s="168">
        <f>'Methanol Recycling HC'!I313/('Methanol Recycling HC'!I$291)</f>
        <v>6.1551546589167658E-2</v>
      </c>
      <c r="K87" s="168">
        <f>'Methanol Recycling HC'!J313/('Methanol Recycling HC'!J$291)</f>
        <v>6.0919614779494785E-2</v>
      </c>
      <c r="L87" s="168">
        <f>'Methanol Recycling HC'!K313/('Methanol Recycling HC'!K$291)</f>
        <v>6.028925589863187E-2</v>
      </c>
      <c r="M87" s="168">
        <f>'Methanol Recycling HC'!L313/('Methanol Recycling HC'!L$291)</f>
        <v>5.9660870105219047E-2</v>
      </c>
      <c r="N87" s="168">
        <f>'Methanol Recycling HC'!M313/('Methanol Recycling HC'!M$291)</f>
        <v>5.9034875906455307E-2</v>
      </c>
      <c r="O87" s="168">
        <f>'Methanol Recycling HC'!N313/('Methanol Recycling HC'!N$291)</f>
        <v>5.8189165599810438E-2</v>
      </c>
      <c r="P87" s="168">
        <f>'Methanol Recycling HC'!O313/('Methanol Recycling HC'!O$291)</f>
        <v>5.7345470250506285E-2</v>
      </c>
      <c r="Q87" s="168">
        <f>'Methanol Recycling HC'!P313/('Methanol Recycling HC'!P$291)</f>
        <v>5.6503701851054612E-2</v>
      </c>
      <c r="R87" s="168">
        <f>'Methanol Recycling HC'!Q313/('Methanol Recycling HC'!Q$291)</f>
        <v>5.5664967172149762E-2</v>
      </c>
      <c r="S87" s="168">
        <f>'Methanol Recycling HC'!R313/('Methanol Recycling HC'!R$291)</f>
        <v>5.4829810025398273E-2</v>
      </c>
      <c r="T87" s="168">
        <f>'Methanol Recycling HC'!S313/('Methanol Recycling HC'!S$291)</f>
        <v>5.3997547056878092E-2</v>
      </c>
      <c r="U87" s="168">
        <f>'Methanol Recycling HC'!T313/('Methanol Recycling HC'!T$291)</f>
        <v>5.316872080530663E-2</v>
      </c>
      <c r="V87" s="168">
        <f>'Methanol Recycling HC'!U313/('Methanol Recycling HC'!U$291)</f>
        <v>5.2343725758412799E-2</v>
      </c>
      <c r="W87" s="168">
        <f>'Methanol Recycling HC'!V313/('Methanol Recycling HC'!V$291)</f>
        <v>5.1522977268455526E-2</v>
      </c>
      <c r="X87" s="168">
        <f>'Methanol Recycling HC'!W313/('Methanol Recycling HC'!W$291)</f>
        <v>5.0706912505806827E-2</v>
      </c>
      <c r="Y87" s="168">
        <f>'Methanol Recycling HC'!X313/('Methanol Recycling HC'!X$291)</f>
        <v>4.9600282472560077E-2</v>
      </c>
      <c r="Z87" s="168">
        <f>'Methanol Recycling HC'!Y313/('Methanol Recycling HC'!Y$291)</f>
        <v>4.8498932042685558E-2</v>
      </c>
      <c r="AA87" s="168">
        <f>'Methanol Recycling HC'!Z313/('Methanol Recycling HC'!Z$291)</f>
        <v>4.7403294034917193E-2</v>
      </c>
      <c r="AB87" s="168">
        <f>'Methanol Recycling HC'!AA313/('Methanol Recycling HC'!AA$291)</f>
        <v>4.6314580198299218E-2</v>
      </c>
      <c r="AC87" s="168">
        <f>'Methanol Recycling HC'!AB313/('Methanol Recycling HC'!AB$291)</f>
        <v>4.5233489618362988E-2</v>
      </c>
      <c r="AD87" s="168">
        <f>'Methanol Recycling HC'!AC313/('Methanol Recycling HC'!AC$291)</f>
        <v>4.4164121140812564E-2</v>
      </c>
      <c r="AE87" s="168">
        <f>'Methanol Recycling HC'!AD313/('Methanol Recycling HC'!AD$291)</f>
        <v>4.3104963635872608E-2</v>
      </c>
      <c r="AF87" s="168">
        <f>'Methanol Recycling HC'!AE313/('Methanol Recycling HC'!AE$291)</f>
        <v>4.2057085037173432E-2</v>
      </c>
      <c r="AG87" s="168">
        <f>'Methanol Recycling HC'!AF313/('Methanol Recycling HC'!AF$291)</f>
        <v>4.102162503381078E-2</v>
      </c>
      <c r="AH87" s="168">
        <f>'Methanol Recycling HC'!AG313/('Methanol Recycling HC'!AG$291)</f>
        <v>3.9999800255099104E-2</v>
      </c>
      <c r="AI87" s="44"/>
      <c r="AJ87" s="168">
        <f>'Methanol Recycling LC'!C313/('Methanol Recycling LC'!C$291)</f>
        <v>6.342796234983919E-2</v>
      </c>
      <c r="AK87" s="168">
        <f>'Methanol Recycling LC'!D313/('Methanol Recycling LC'!D$291)</f>
        <v>6.2840165018857766E-2</v>
      </c>
      <c r="AL87" s="168">
        <f>'Methanol Recycling LC'!E313/('Methanol Recycling LC'!E$291)</f>
        <v>6.2255977012287314E-2</v>
      </c>
      <c r="AM87" s="168">
        <f>'Methanol Recycling LC'!F313/('Methanol Recycling LC'!F$291)</f>
        <v>6.1675379735678826E-2</v>
      </c>
      <c r="AN87" s="168">
        <f>'Methanol Recycling LC'!G313/('Methanol Recycling LC'!G$291)</f>
        <v>6.1098354704427406E-2</v>
      </c>
      <c r="AO87" s="168">
        <f>'Methanol Recycling LC'!H313/('Methanol Recycling LC'!H$291)</f>
        <v>6.0524883543902994E-2</v>
      </c>
      <c r="AP87" s="168">
        <f>'Methanol Recycling LC'!I313/('Methanol Recycling LC'!I$291)</f>
        <v>5.9961433905293737E-2</v>
      </c>
      <c r="AQ87" s="168">
        <f>'Methanol Recycling LC'!J313/('Methanol Recycling LC'!J$291)</f>
        <v>5.9401987375037324E-2</v>
      </c>
      <c r="AR87" s="168">
        <f>'Methanol Recycling LC'!K313/('Methanol Recycling LC'!K$291)</f>
        <v>5.8846542073447403E-2</v>
      </c>
      <c r="AS87" s="168">
        <f>'Methanol Recycling LC'!L313/('Methanol Recycling LC'!L$291)</f>
        <v>5.8295096205449974E-2</v>
      </c>
      <c r="AT87" s="168">
        <f>'Methanol Recycling LC'!M313/('Methanol Recycling LC'!M$291)</f>
        <v>5.7747648063192408E-2</v>
      </c>
      <c r="AU87" s="168">
        <f>'Methanol Recycling LC'!N313/('Methanol Recycling LC'!N$291)</f>
        <v>5.6892781818606852E-2</v>
      </c>
      <c r="AV87" s="168">
        <f>'Methanol Recycling LC'!O313/('Methanol Recycling LC'!O$291)</f>
        <v>5.6046625946404263E-2</v>
      </c>
      <c r="AW87" s="168">
        <f>'Methanol Recycling LC'!P313/('Methanol Recycling LC'!P$291)</f>
        <v>5.5209008187855825E-2</v>
      </c>
      <c r="AX87" s="168">
        <f>'Methanol Recycling LC'!Q313/('Methanol Recycling LC'!Q$291)</f>
        <v>5.4380074358378744E-2</v>
      </c>
      <c r="AY87" s="168">
        <f>'Methanol Recycling LC'!R313/('Methanol Recycling LC'!R$291)</f>
        <v>5.3559809732091679E-2</v>
      </c>
      <c r="AZ87" s="168">
        <f>'Methanol Recycling LC'!S313/('Methanol Recycling LC'!S$291)</f>
        <v>5.2742182015700093E-2</v>
      </c>
      <c r="BA87" s="168">
        <f>'Methanol Recycling LC'!T313/('Methanol Recycling LC'!T$291)</f>
        <v>5.1932605731951992E-2</v>
      </c>
      <c r="BB87" s="168">
        <f>'Methanol Recycling LC'!U313/('Methanol Recycling LC'!U$291)</f>
        <v>5.113105411533609E-2</v>
      </c>
      <c r="BC87" s="168">
        <f>'Methanol Recycling LC'!V313/('Methanol Recycling LC'!V$291)</f>
        <v>5.0337500483396518E-2</v>
      </c>
      <c r="BD87" s="168">
        <f>'Methanol Recycling LC'!W313/('Methanol Recycling LC'!W$291)</f>
        <v>4.9551918237329483E-2</v>
      </c>
      <c r="BE87" s="168">
        <f>'Methanol Recycling LC'!X313/('Methanol Recycling LC'!X$291)</f>
        <v>4.8400061305856272E-2</v>
      </c>
      <c r="BF87" s="168">
        <f>'Methanol Recycling LC'!Y313/('Methanol Recycling LC'!Y$291)</f>
        <v>4.7261605198007761E-2</v>
      </c>
      <c r="BG87" s="168">
        <f>'Methanol Recycling LC'!Z313/('Methanol Recycling LC'!Z$291)</f>
        <v>4.6136296993332208E-2</v>
      </c>
      <c r="BH87" s="168">
        <f>'Methanol Recycling LC'!AA313/('Methanol Recycling LC'!AA$291)</f>
        <v>4.5024425026355383E-2</v>
      </c>
      <c r="BI87" s="168">
        <f>'Methanol Recycling LC'!AB313/('Methanol Recycling LC'!AB$291)</f>
        <v>4.3925964802602031E-2</v>
      </c>
      <c r="BJ87" s="168">
        <f>'Methanol Recycling LC'!AC313/('Methanol Recycling LC'!AC$291)</f>
        <v>4.2845405365343286E-2</v>
      </c>
      <c r="BK87" s="168">
        <f>'Methanol Recycling LC'!AD313/('Methanol Recycling LC'!AD$291)</f>
        <v>4.177867472560897E-2</v>
      </c>
      <c r="BL87" s="168">
        <f>'Methanol Recycling LC'!AE313/('Methanol Recycling LC'!AE$291)</f>
        <v>4.072576259080786E-2</v>
      </c>
      <c r="BM87" s="168">
        <f>'Methanol Recycling LC'!AF313/('Methanol Recycling LC'!AF$291)</f>
        <v>3.9686659893801934E-2</v>
      </c>
      <c r="BN87" s="168">
        <f>'Methanol Recycling LC'!AG313/('Methanol Recycling LC'!AG$291)</f>
        <v>3.8661358813526885E-2</v>
      </c>
      <c r="BP87" s="168">
        <f>'Methanol Recycling HC'!C289/('Methanol Recycling HC'!C$281)</f>
        <v>6.342796234983919E-2</v>
      </c>
      <c r="BQ87" s="168">
        <f>'Methanol Recycling HC'!D289/('Methanol Recycling HC'!D$281)</f>
        <v>6.4684607875780245E-2</v>
      </c>
      <c r="BR87" s="168">
        <f>'Methanol Recycling HC'!E289/('Methanol Recycling HC'!E$281)</f>
        <v>6.5926048671706108E-2</v>
      </c>
      <c r="BS87" s="168">
        <f>'Methanol Recycling HC'!F289/('Methanol Recycling HC'!F$281)</f>
        <v>6.7152048768472611E-2</v>
      </c>
      <c r="BT87" s="168">
        <f>'Methanol Recycling HC'!G289/('Methanol Recycling HC'!G$281)</f>
        <v>6.8362266528819535E-2</v>
      </c>
      <c r="BU87" s="168">
        <f>'Methanol Recycling HC'!H289/('Methanol Recycling HC'!H$281)</f>
        <v>6.9556249844578491E-2</v>
      </c>
      <c r="BV87" s="168">
        <f>'Methanol Recycling HC'!I289/('Methanol Recycling HC'!I$281)</f>
        <v>7.0748212498534122E-2</v>
      </c>
      <c r="BW87" s="168">
        <f>'Methanol Recycling HC'!J289/('Methanol Recycling HC'!J$281)</f>
        <v>7.1938039535528311E-2</v>
      </c>
      <c r="BX87" s="168">
        <f>'Methanol Recycling HC'!K289/('Methanol Recycling HC'!K$281)</f>
        <v>7.3125614320360119E-2</v>
      </c>
      <c r="BY87" s="168">
        <f>'Methanol Recycling HC'!L289/('Methanol Recycling HC'!L$281)</f>
        <v>7.4310818250389793E-2</v>
      </c>
      <c r="BZ87" s="168">
        <f>'Methanol Recycling HC'!M289/('Methanol Recycling HC'!M$281)</f>
        <v>7.5493530465813807E-2</v>
      </c>
      <c r="CA87" s="168">
        <f>'Methanol Recycling HC'!N289/('Methanol Recycling HC'!N$281)</f>
        <v>7.6663225554389619E-2</v>
      </c>
      <c r="CB87" s="168">
        <f>'Methanol Recycling HC'!O289/('Methanol Recycling HC'!O$281)</f>
        <v>7.7819323488361722E-2</v>
      </c>
      <c r="CC87" s="168">
        <f>'Methanol Recycling HC'!P289/('Methanol Recycling HC'!P$281)</f>
        <v>7.8961166182211107E-2</v>
      </c>
      <c r="CD87" s="168">
        <f>'Methanol Recycling HC'!Q289/('Methanol Recycling HC'!Q$281)</f>
        <v>8.0088010962646838E-2</v>
      </c>
      <c r="CE87" s="168">
        <f>'Methanol Recycling HC'!R289/('Methanol Recycling HC'!R$281)</f>
        <v>8.1199023182866703E-2</v>
      </c>
      <c r="CF87" s="168">
        <f>'Methanol Recycling HC'!S289/('Methanol Recycling HC'!S$281)</f>
        <v>8.2307607474791378E-2</v>
      </c>
      <c r="CG87" s="168">
        <f>'Methanol Recycling HC'!T289/('Methanol Recycling HC'!T$281)</f>
        <v>8.3413697896959668E-2</v>
      </c>
      <c r="CH87" s="168">
        <f>'Methanol Recycling HC'!U289/('Methanol Recycling HC'!U$281)</f>
        <v>8.4517226999715464E-2</v>
      </c>
      <c r="CI87" s="168">
        <f>'Methanol Recycling HC'!V289/('Methanol Recycling HC'!V$281)</f>
        <v>8.5618125778144191E-2</v>
      </c>
      <c r="CJ87" s="168">
        <f>'Methanol Recycling HC'!W289/('Methanol Recycling HC'!W$281)</f>
        <v>8.671632362364845E-2</v>
      </c>
      <c r="CK87" s="168">
        <f>'Methanol Recycling HC'!X289/('Methanol Recycling HC'!X$281)</f>
        <v>8.7811845070472586E-2</v>
      </c>
      <c r="CL87" s="168">
        <f>'Methanol Recycling HC'!Y289/('Methanol Recycling HC'!Y$281)</f>
        <v>8.8904622050278867E-2</v>
      </c>
      <c r="CM87" s="168">
        <f>'Methanol Recycling HC'!Z289/('Methanol Recycling HC'!Z$281)</f>
        <v>8.9994584938420497E-2</v>
      </c>
      <c r="CN87" s="168">
        <f>'Methanol Recycling HC'!AA289/('Methanol Recycling HC'!AA$281)</f>
        <v>9.1081662508258943E-2</v>
      </c>
      <c r="CO87" s="168">
        <f>'Methanol Recycling HC'!AB289/('Methanol Recycling HC'!AB$281)</f>
        <v>9.2165781884182063E-2</v>
      </c>
      <c r="CP87" s="168">
        <f>'Methanol Recycling HC'!AC289/('Methanol Recycling HC'!AC$281)</f>
        <v>9.3246960070548598E-2</v>
      </c>
      <c r="CQ87" s="168">
        <f>'Methanol Recycling HC'!AD289/('Methanol Recycling HC'!AD$281)</f>
        <v>9.4325126220000874E-2</v>
      </c>
      <c r="CR87" s="168">
        <f>'Methanol Recycling HC'!AE289/('Methanol Recycling HC'!AE$281)</f>
        <v>9.5400207874451443E-2</v>
      </c>
      <c r="CS87" s="168">
        <f>'Methanol Recycling HC'!AF289/('Methanol Recycling HC'!AF$281)</f>
        <v>9.6472130920141327E-2</v>
      </c>
      <c r="CT87" s="168">
        <f>'Methanol Recycling HC'!AG289/('Methanol Recycling HC'!AG$281)</f>
        <v>9.7540819541445167E-2</v>
      </c>
      <c r="CV87" s="168">
        <f t="shared" si="606"/>
        <v>6.342796234983919E-2</v>
      </c>
      <c r="CW87" s="168">
        <f t="shared" si="576"/>
        <v>6.2911821734178516E-2</v>
      </c>
      <c r="CX87" s="168">
        <f t="shared" si="577"/>
        <v>6.2404582816721718E-2</v>
      </c>
      <c r="CY87" s="168">
        <f t="shared" si="578"/>
        <v>6.1906037789145857E-2</v>
      </c>
      <c r="CZ87" s="168">
        <f t="shared" si="579"/>
        <v>6.1415977732927077E-2</v>
      </c>
      <c r="DA87" s="168">
        <f t="shared" si="580"/>
        <v>6.0934194464971878E-2</v>
      </c>
      <c r="DB87" s="168">
        <f t="shared" si="581"/>
        <v>6.0479426969154058E-2</v>
      </c>
      <c r="DC87" s="168">
        <f t="shared" si="582"/>
        <v>6.0033617206456752E-2</v>
      </c>
      <c r="DD87" s="168">
        <f t="shared" si="583"/>
        <v>5.9596578006700485E-2</v>
      </c>
      <c r="DE87" s="168">
        <f t="shared" si="584"/>
        <v>5.9168180383775519E-2</v>
      </c>
      <c r="DF87" s="168">
        <f t="shared" si="585"/>
        <v>5.8748408229728516E-2</v>
      </c>
      <c r="DG87" s="168">
        <f t="shared" si="586"/>
        <v>5.8132912990047414E-2</v>
      </c>
      <c r="DH87" s="168">
        <f t="shared" si="587"/>
        <v>5.7516032473414386E-2</v>
      </c>
      <c r="DI87" s="168">
        <f t="shared" si="588"/>
        <v>5.6954514300538148E-2</v>
      </c>
      <c r="DJ87" s="168">
        <f t="shared" si="589"/>
        <v>5.6418450212664541E-2</v>
      </c>
      <c r="DK87" s="168">
        <f t="shared" si="590"/>
        <v>5.5907116664334205E-2</v>
      </c>
      <c r="DL87" s="168">
        <f t="shared" si="591"/>
        <v>5.5411228634581033E-2</v>
      </c>
      <c r="DM87" s="168">
        <f t="shared" si="592"/>
        <v>5.4936081012894239E-2</v>
      </c>
      <c r="DN87" s="168">
        <f t="shared" si="593"/>
        <v>5.4478951540282206E-2</v>
      </c>
      <c r="DO87" s="168">
        <f t="shared" si="594"/>
        <v>5.4036741340615077E-2</v>
      </c>
      <c r="DP87" s="168">
        <f t="shared" si="595"/>
        <v>5.3606339629440475E-2</v>
      </c>
      <c r="DQ87" s="168">
        <f t="shared" si="596"/>
        <v>5.3026115625220027E-2</v>
      </c>
      <c r="DR87" s="168">
        <f t="shared" si="597"/>
        <v>5.2363062807533181E-2</v>
      </c>
      <c r="DS87" s="168">
        <f t="shared" si="598"/>
        <v>5.1718901541200762E-2</v>
      </c>
      <c r="DT87" s="168">
        <f t="shared" si="599"/>
        <v>5.1091303112678114E-2</v>
      </c>
      <c r="DU87" s="168">
        <f t="shared" si="600"/>
        <v>5.0468289799026268E-2</v>
      </c>
      <c r="DV87" s="168">
        <f t="shared" si="601"/>
        <v>4.9851179692924963E-2</v>
      </c>
      <c r="DW87" s="168">
        <f t="shared" si="602"/>
        <v>4.9230877678008912E-2</v>
      </c>
      <c r="DX87" s="168">
        <f t="shared" si="603"/>
        <v>4.8603336227251763E-2</v>
      </c>
      <c r="DY87" s="168">
        <f t="shared" si="604"/>
        <v>4.7963454266951248E-2</v>
      </c>
      <c r="DZ87" s="168">
        <f t="shared" si="605"/>
        <v>4.7303939730037152E-2</v>
      </c>
    </row>
    <row r="88" spans="1:165" ht="16" thickBot="1" x14ac:dyDescent="0.25">
      <c r="A88" s="606" t="s">
        <v>454</v>
      </c>
      <c r="C88" s="54" t="s">
        <v>462</v>
      </c>
      <c r="D88" s="168">
        <f>'Methanol Recycling HC'!C314/('Methanol Recycling HC'!C$291)</f>
        <v>4.530568739274228E-2</v>
      </c>
      <c r="E88" s="168">
        <f>'Methanol Recycling HC'!D314/('Methanol Recycling HC'!D$291)</f>
        <v>4.5767342949106317E-2</v>
      </c>
      <c r="F88" s="168">
        <f>'Methanol Recycling HC'!E314/('Methanol Recycling HC'!E$291)</f>
        <v>4.4937920142009244E-2</v>
      </c>
      <c r="G88" s="168">
        <f>'Methanol Recycling HC'!F314/('Methanol Recycling HC'!F$291)</f>
        <v>4.4111436969834938E-2</v>
      </c>
      <c r="H88" s="168">
        <f>'Methanol Recycling HC'!G314/('Methanol Recycling HC'!G$291)</f>
        <v>4.3287965045610617E-2</v>
      </c>
      <c r="I88" s="168">
        <f>'Methanol Recycling HC'!H314/('Methanol Recycling HC'!H$291)</f>
        <v>4.2467578557397863E-2</v>
      </c>
      <c r="J88" s="168">
        <f>'Methanol Recycling HC'!I314/('Methanol Recycling HC'!I$291)</f>
        <v>4.1637810927966361E-2</v>
      </c>
      <c r="K88" s="168">
        <f>'Methanol Recycling HC'!J314/('Methanol Recycling HC'!J$291)</f>
        <v>4.0813140936016207E-2</v>
      </c>
      <c r="L88" s="168">
        <f>'Methanol Recycling HC'!K314/('Methanol Recycling HC'!K$291)</f>
        <v>3.99938628238449E-2</v>
      </c>
      <c r="M88" s="168">
        <f>'Methanol Recycling HC'!L314/('Methanol Recycling HC'!L$291)</f>
        <v>3.9180272904919974E-2</v>
      </c>
      <c r="N88" s="168">
        <f>'Methanol Recycling HC'!M314/('Methanol Recycling HC'!M$291)</f>
        <v>3.8372669339195947E-2</v>
      </c>
      <c r="O88" s="168">
        <f>'Methanol Recycling HC'!N314/('Methanol Recycling HC'!N$291)</f>
        <v>3.742820701897355E-2</v>
      </c>
      <c r="P88" s="168">
        <f>'Methanol Recycling HC'!O314/('Methanol Recycling HC'!O$291)</f>
        <v>3.6492571977594909E-2</v>
      </c>
      <c r="Q88" s="168">
        <f>'Methanol Recycling HC'!P314/('Methanol Recycling HC'!P$291)</f>
        <v>3.5565781875790722E-2</v>
      </c>
      <c r="R88" s="168">
        <f>'Methanol Recycling HC'!Q314/('Methanol Recycling HC'!Q$291)</f>
        <v>3.4648602015317706E-2</v>
      </c>
      <c r="S88" s="168">
        <f>'Methanol Recycling HC'!R314/('Methanol Recycling HC'!R$291)</f>
        <v>3.3741421554091246E-2</v>
      </c>
      <c r="T88" s="168">
        <f>'Methanol Recycling HC'!S314/('Methanol Recycling HC'!S$291)</f>
        <v>3.2843868828410387E-2</v>
      </c>
      <c r="U88" s="168">
        <f>'Methanol Recycling HC'!T314/('Methanol Recycling HC'!T$291)</f>
        <v>3.1956329603189476E-2</v>
      </c>
      <c r="V88" s="168">
        <f>'Methanol Recycling HC'!U314/('Methanol Recycling HC'!U$291)</f>
        <v>3.10790871690576E-2</v>
      </c>
      <c r="W88" s="168">
        <f>'Methanol Recycling HC'!V314/('Methanol Recycling HC'!V$291)</f>
        <v>3.0212426461083866E-2</v>
      </c>
      <c r="X88" s="168">
        <f>'Methanol Recycling HC'!W314/('Methanol Recycling HC'!W$291)</f>
        <v>2.9356633555993425E-2</v>
      </c>
      <c r="Y88" s="168">
        <f>'Methanol Recycling HC'!X314/('Methanol Recycling HC'!X$291)</f>
        <v>2.8343018555748608E-2</v>
      </c>
      <c r="Z88" s="168">
        <f>'Methanol Recycling HC'!Y314/('Methanol Recycling HC'!Y$291)</f>
        <v>2.7345142534705682E-2</v>
      </c>
      <c r="AA88" s="168">
        <f>'Methanol Recycling HC'!Z314/('Methanol Recycling HC'!Z$291)</f>
        <v>2.6363329302841642E-2</v>
      </c>
      <c r="AB88" s="168">
        <f>'Methanol Recycling HC'!AA314/('Methanol Recycling HC'!AA$291)</f>
        <v>2.5398318173260853E-2</v>
      </c>
      <c r="AC88" s="168">
        <f>'Methanol Recycling HC'!AB314/('Methanol Recycling HC'!AB$291)</f>
        <v>2.4450534928844848E-2</v>
      </c>
      <c r="AD88" s="168">
        <f>'Methanol Recycling HC'!AC314/('Methanol Recycling HC'!AC$291)</f>
        <v>2.352219495543276E-2</v>
      </c>
      <c r="AE88" s="168">
        <f>'Methanol Recycling HC'!AD314/('Methanol Recycling HC'!AD$291)</f>
        <v>2.2612439940129868E-2</v>
      </c>
      <c r="AF88" s="168">
        <f>'Methanol Recycling HC'!AE314/('Methanol Recycling HC'!AE$291)</f>
        <v>2.1721791173045596E-2</v>
      </c>
      <c r="AG88" s="168">
        <f>'Methanol Recycling HC'!AF314/('Methanol Recycling HC'!AF$291)</f>
        <v>2.085077073541761E-2</v>
      </c>
      <c r="AH88" s="168">
        <f>'Methanol Recycling HC'!AG314/('Methanol Recycling HC'!AG$291)</f>
        <v>1.9999900127549552E-2</v>
      </c>
      <c r="AI88" s="44"/>
      <c r="AJ88" s="168">
        <f>'Methanol Recycling LC'!C314/('Methanol Recycling LC'!C$291)</f>
        <v>4.530568739274228E-2</v>
      </c>
      <c r="AK88" s="168">
        <f>'Methanol Recycling LC'!D314/('Methanol Recycling LC'!D$291)</f>
        <v>4.4499255611439949E-2</v>
      </c>
      <c r="AL88" s="168">
        <f>'Methanol Recycling LC'!E314/('Methanol Recycling LC'!E$291)</f>
        <v>4.3698906941317055E-2</v>
      </c>
      <c r="AM88" s="168">
        <f>'Methanol Recycling LC'!F314/('Methanol Recycling LC'!F$291)</f>
        <v>4.2904611990037443E-2</v>
      </c>
      <c r="AN88" s="168">
        <f>'Methanol Recycling LC'!G314/('Methanol Recycling LC'!G$291)</f>
        <v>4.2116341592372285E-2</v>
      </c>
      <c r="AO88" s="168">
        <f>'Methanol Recycling LC'!H314/('Methanol Recycling LC'!H$291)</f>
        <v>4.1334066810470339E-2</v>
      </c>
      <c r="AP88" s="168">
        <f>'Methanol Recycling LC'!I314/('Methanol Recycling LC'!I$291)</f>
        <v>4.0562146465345769E-2</v>
      </c>
      <c r="AQ88" s="168">
        <f>'Methanol Recycling LC'!J314/('Methanol Recycling LC'!J$291)</f>
        <v>3.9796405335000382E-2</v>
      </c>
      <c r="AR88" s="168">
        <f>'Methanol Recycling LC'!K314/('Methanol Recycling LC'!K$291)</f>
        <v>3.9036815038821546E-2</v>
      </c>
      <c r="AS88" s="168">
        <f>'Methanol Recycling LC'!L314/('Methanol Recycling LC'!L$291)</f>
        <v>3.8283346761788045E-2</v>
      </c>
      <c r="AT88" s="168">
        <f>'Methanol Recycling LC'!M314/('Methanol Recycling LC'!M$291)</f>
        <v>3.7535971241075064E-2</v>
      </c>
      <c r="AU88" s="168">
        <f>'Methanol Recycling LC'!N314/('Methanol Recycling LC'!N$291)</f>
        <v>3.6594352124531042E-2</v>
      </c>
      <c r="AV88" s="168">
        <f>'Methanol Recycling LC'!O314/('Methanol Recycling LC'!O$291)</f>
        <v>3.566603469316635E-2</v>
      </c>
      <c r="AW88" s="168">
        <f>'Methanol Recycling LC'!P314/('Methanol Recycling LC'!P$291)</f>
        <v>3.4750847793371183E-2</v>
      </c>
      <c r="AX88" s="168">
        <f>'Methanol Recycling LC'!Q314/('Methanol Recycling LC'!Q$291)</f>
        <v>3.3848821794501049E-2</v>
      </c>
      <c r="AY88" s="168">
        <f>'Methanol Recycling LC'!R314/('Methanol Recycling LC'!R$291)</f>
        <v>3.2959882912056419E-2</v>
      </c>
      <c r="AZ88" s="168">
        <f>'Methanol Recycling LC'!S314/('Methanol Recycling LC'!S$291)</f>
        <v>3.2080296277590778E-2</v>
      </c>
      <c r="BA88" s="168">
        <f>'Methanol Recycling LC'!T314/('Methanol Recycling LC'!T$291)</f>
        <v>3.1213379610914149E-2</v>
      </c>
      <c r="BB88" s="168">
        <f>'Methanol Recycling LC'!U314/('Methanol Recycling LC'!U$291)</f>
        <v>3.0359063380980801E-2</v>
      </c>
      <c r="BC88" s="168">
        <f>'Methanol Recycling LC'!V314/('Methanol Recycling LC'!V$291)</f>
        <v>2.9517277770368638E-2</v>
      </c>
      <c r="BD88" s="168">
        <f>'Methanol Recycling LC'!W314/('Methanol Recycling LC'!W$291)</f>
        <v>2.868795266371707E-2</v>
      </c>
      <c r="BE88" s="168">
        <f>'Methanol Recycling LC'!X314/('Methanol Recycling LC'!X$291)</f>
        <v>2.7657177889060726E-2</v>
      </c>
      <c r="BF88" s="168">
        <f>'Methanol Recycling LC'!Y314/('Methanol Recycling LC'!Y$291)</f>
        <v>2.6647500803132034E-2</v>
      </c>
      <c r="BG88" s="168">
        <f>'Methanol Recycling LC'!Z314/('Methanol Recycling LC'!Z$291)</f>
        <v>2.5658689236933416E-2</v>
      </c>
      <c r="BH88" s="168">
        <f>'Methanol Recycling LC'!AA314/('Methanol Recycling LC'!AA$291)</f>
        <v>2.4690813724130362E-2</v>
      </c>
      <c r="BI88" s="168">
        <f>'Methanol Recycling LC'!AB314/('Methanol Recycling LC'!AB$291)</f>
        <v>2.3743764758163248E-2</v>
      </c>
      <c r="BJ88" s="168">
        <f>'Methanol Recycling LC'!AC314/('Methanol Recycling LC'!AC$291)</f>
        <v>2.2819835466324129E-2</v>
      </c>
      <c r="BK88" s="168">
        <f>'Methanol Recycling LC'!AD314/('Methanol Recycling LC'!AD$291)</f>
        <v>2.1916681823270261E-2</v>
      </c>
      <c r="BL88" s="168">
        <f>'Methanol Recycling LC'!AE314/('Methanol Recycling LC'!AE$291)</f>
        <v>2.1034185074373268E-2</v>
      </c>
      <c r="BM88" s="168">
        <f>'Methanol Recycling LC'!AF314/('Methanol Recycling LC'!AF$291)</f>
        <v>2.0172224918396542E-2</v>
      </c>
      <c r="BN88" s="168">
        <f>'Methanol Recycling LC'!AG314/('Methanol Recycling LC'!AG$291)</f>
        <v>1.9330679406763442E-2</v>
      </c>
      <c r="BP88" s="168">
        <f>'Methanol Recycling HC'!C290/('Methanol Recycling HC'!C$281)</f>
        <v>4.530568739274228E-2</v>
      </c>
      <c r="BQ88" s="168">
        <f>'Methanol Recycling HC'!D290/('Methanol Recycling HC'!D$281)</f>
        <v>4.6047695597257972E-2</v>
      </c>
      <c r="BR88" s="168">
        <f>'Methanol Recycling HC'!E290/('Methanol Recycling HC'!E$281)</f>
        <v>4.6778409535438527E-2</v>
      </c>
      <c r="BS88" s="168">
        <f>'Methanol Recycling HC'!F290/('Methanol Recycling HC'!F$281)</f>
        <v>4.7497790592334291E-2</v>
      </c>
      <c r="BT88" s="168">
        <f>'Methanol Recycling HC'!G290/('Methanol Recycling HC'!G$281)</f>
        <v>4.8205719026538828E-2</v>
      </c>
      <c r="BU88" s="168">
        <f>'Methanol Recycling HC'!H290/('Methanol Recycling HC'!H$281)</f>
        <v>4.8901992248808465E-2</v>
      </c>
      <c r="BV88" s="168">
        <f>'Methanol Recycling HC'!I290/('Methanol Recycling HC'!I$281)</f>
        <v>4.9596685050518785E-2</v>
      </c>
      <c r="BW88" s="168">
        <f>'Methanol Recycling HC'!J290/('Methanol Recycling HC'!J$281)</f>
        <v>5.0289736851971203E-2</v>
      </c>
      <c r="BX88" s="168">
        <f>'Methanol Recycling HC'!K290/('Methanol Recycling HC'!K$281)</f>
        <v>5.0981085524510653E-2</v>
      </c>
      <c r="BY88" s="168">
        <f>'Methanol Recycling HC'!L290/('Methanol Recycling HC'!L$281)</f>
        <v>5.1670667235529044E-2</v>
      </c>
      <c r="BZ88" s="168">
        <f>'Methanol Recycling HC'!M290/('Methanol Recycling HC'!M$281)</f>
        <v>5.235841629080637E-2</v>
      </c>
      <c r="CA88" s="168">
        <f>'Methanol Recycling HC'!N290/('Methanol Recycling HC'!N$281)</f>
        <v>5.3037068671861309E-2</v>
      </c>
      <c r="CB88" s="168">
        <f>'Methanol Recycling HC'!O290/('Methanol Recycling HC'!O$281)</f>
        <v>5.3706293675066567E-2</v>
      </c>
      <c r="CC88" s="168">
        <f>'Methanol Recycling HC'!P290/('Methanol Recycling HC'!P$281)</f>
        <v>5.4365706554136126E-2</v>
      </c>
      <c r="CD88" s="168">
        <f>'Methanol Recycling HC'!Q290/('Methanol Recycling HC'!Q$281)</f>
        <v>5.5014864673429177E-2</v>
      </c>
      <c r="CE88" s="168">
        <f>'Methanol Recycling HC'!R290/('Methanol Recycling HC'!R$281)</f>
        <v>5.5653263080391827E-2</v>
      </c>
      <c r="CF88" s="168">
        <f>'Methanol Recycling HC'!S290/('Methanol Recycling HC'!S$281)</f>
        <v>5.6290136278919399E-2</v>
      </c>
      <c r="CG88" s="168">
        <f>'Methanol Recycling HC'!T290/('Methanol Recycling HC'!T$281)</f>
        <v>5.6925444231209953E-2</v>
      </c>
      <c r="CH88" s="168">
        <f>'Methanol Recycling HC'!U290/('Methanol Recycling HC'!U$281)</f>
        <v>5.7559145973944202E-2</v>
      </c>
      <c r="CI88" s="168">
        <f>'Methanol Recycling HC'!V290/('Methanol Recycling HC'!V$281)</f>
        <v>5.8191199589823071E-2</v>
      </c>
      <c r="CJ88" s="168">
        <f>'Methanol Recycling HC'!W290/('Methanol Recycling HC'!W$281)</f>
        <v>5.8821562178279073E-2</v>
      </c>
      <c r="CK88" s="168">
        <f>'Methanol Recycling HC'!X290/('Methanol Recycling HC'!X$281)</f>
        <v>5.9450255358270317E-2</v>
      </c>
      <c r="CL88" s="168">
        <f>'Methanol Recycling HC'!Y290/('Methanol Recycling HC'!Y$281)</f>
        <v>6.0077237788744346E-2</v>
      </c>
      <c r="CM88" s="168">
        <f>'Methanol Recycling HC'!Z290/('Methanol Recycling HC'!Z$281)</f>
        <v>6.0702467177697263E-2</v>
      </c>
      <c r="CN88" s="168">
        <f>'Methanol Recycling HC'!AA290/('Methanol Recycling HC'!AA$281)</f>
        <v>6.1325900254564851E-2</v>
      </c>
      <c r="CO88" s="168">
        <f>'Methanol Recycling HC'!AB290/('Methanol Recycling HC'!AB$281)</f>
        <v>6.1947492741827349E-2</v>
      </c>
      <c r="CP88" s="168">
        <f>'Methanol Recycling HC'!AC290/('Methanol Recycling HC'!AC$281)</f>
        <v>6.2567260772725675E-2</v>
      </c>
      <c r="CQ88" s="168">
        <f>'Methanol Recycling HC'!AD290/('Methanol Recycling HC'!AD$281)</f>
        <v>6.3185161325873984E-2</v>
      </c>
      <c r="CR88" s="168">
        <f>'Methanol Recycling HC'!AE290/('Methanol Recycling HC'!AE$281)</f>
        <v>6.3801150398969497E-2</v>
      </c>
      <c r="CS88" s="168">
        <f>'Methanol Recycling HC'!AF290/('Methanol Recycling HC'!AF$281)</f>
        <v>6.4415182981655952E-2</v>
      </c>
      <c r="CT88" s="168">
        <f>'Methanol Recycling HC'!AG290/('Methanol Recycling HC'!AG$281)</f>
        <v>6.5027213027630107E-2</v>
      </c>
      <c r="CV88" s="168">
        <f t="shared" si="606"/>
        <v>4.530568739274228E-2</v>
      </c>
      <c r="CW88" s="168">
        <f t="shared" si="576"/>
        <v>4.454999816582976E-2</v>
      </c>
      <c r="CX88" s="168">
        <f t="shared" si="577"/>
        <v>4.3803216784814282E-2</v>
      </c>
      <c r="CY88" s="168">
        <f t="shared" si="578"/>
        <v>4.3065069766362332E-2</v>
      </c>
      <c r="CZ88" s="168">
        <f t="shared" si="579"/>
        <v>4.2335285621726428E-2</v>
      </c>
      <c r="DA88" s="168">
        <f t="shared" si="580"/>
        <v>4.1613596219980793E-2</v>
      </c>
      <c r="DB88" s="168">
        <f t="shared" si="581"/>
        <v>4.0912553537957169E-2</v>
      </c>
      <c r="DC88" s="168">
        <f t="shared" si="582"/>
        <v>4.0219566207281371E-2</v>
      </c>
      <c r="DD88" s="168">
        <f t="shared" si="583"/>
        <v>3.9534363628207253E-2</v>
      </c>
      <c r="DE88" s="168">
        <f t="shared" si="584"/>
        <v>3.8856715475912289E-2</v>
      </c>
      <c r="DF88" s="168">
        <f t="shared" si="585"/>
        <v>3.8186465349323538E-2</v>
      </c>
      <c r="DG88" s="168">
        <f t="shared" si="586"/>
        <v>3.7392024435809391E-2</v>
      </c>
      <c r="DH88" s="168">
        <f t="shared" si="587"/>
        <v>3.6601111573990971E-2</v>
      </c>
      <c r="DI88" s="168">
        <f t="shared" si="588"/>
        <v>3.5849541996277823E-2</v>
      </c>
      <c r="DJ88" s="168">
        <f t="shared" si="589"/>
        <v>3.5117606765025886E-2</v>
      </c>
      <c r="DK88" s="168">
        <f t="shared" si="590"/>
        <v>3.4404379485744124E-2</v>
      </c>
      <c r="DL88" s="168">
        <f t="shared" si="591"/>
        <v>3.3703737004538985E-2</v>
      </c>
      <c r="DM88" s="168">
        <f t="shared" si="592"/>
        <v>3.3018577189097058E-2</v>
      </c>
      <c r="DN88" s="168">
        <f t="shared" si="593"/>
        <v>3.2346877477042554E-2</v>
      </c>
      <c r="DO88" s="168">
        <f t="shared" si="594"/>
        <v>3.1686466126433971E-2</v>
      </c>
      <c r="DP88" s="168">
        <f t="shared" si="595"/>
        <v>3.1035249259149748E-2</v>
      </c>
      <c r="DQ88" s="168">
        <f t="shared" si="596"/>
        <v>3.0300637500125731E-2</v>
      </c>
      <c r="DR88" s="168">
        <f t="shared" si="597"/>
        <v>2.9523854561694245E-2</v>
      </c>
      <c r="DS88" s="168">
        <f t="shared" si="598"/>
        <v>2.8763453263555498E-2</v>
      </c>
      <c r="DT88" s="168">
        <f t="shared" si="599"/>
        <v>2.8017811384371857E-2</v>
      </c>
      <c r="DU88" s="168">
        <f t="shared" si="600"/>
        <v>2.7280156648122292E-2</v>
      </c>
      <c r="DV88" s="168">
        <f t="shared" si="601"/>
        <v>2.6551171792970885E-2</v>
      </c>
      <c r="DW88" s="168">
        <f t="shared" si="602"/>
        <v>2.5826034191742359E-2</v>
      </c>
      <c r="DX88" s="168">
        <f t="shared" si="603"/>
        <v>2.5102822007481658E-2</v>
      </c>
      <c r="DY88" s="168">
        <f t="shared" si="604"/>
        <v>2.4379214323533207E-2</v>
      </c>
      <c r="DZ88" s="168">
        <f t="shared" si="605"/>
        <v>2.3651969865018576E-2</v>
      </c>
    </row>
    <row r="89" spans="1:165" s="624" customFormat="1" ht="16" thickBot="1" x14ac:dyDescent="0.25">
      <c r="A89" s="623" t="s">
        <v>463</v>
      </c>
      <c r="C89" s="625" t="s">
        <v>413</v>
      </c>
      <c r="D89" s="627">
        <f>SUMPRODUCT(D70:D78,D80:D88)</f>
        <v>0.9550017093678278</v>
      </c>
      <c r="E89" s="627">
        <f t="shared" ref="E89" si="607">SUMPRODUCT(E70:E78,E80:E88)</f>
        <v>0.96552114360973973</v>
      </c>
      <c r="F89" s="627">
        <f t="shared" ref="F89" si="608">SUMPRODUCT(F70:F78,F80:F88)</f>
        <v>0.9625123012704726</v>
      </c>
      <c r="G89" s="627">
        <f t="shared" ref="G89" si="609">SUMPRODUCT(G70:G78,G80:G88)</f>
        <v>0.95952690979764066</v>
      </c>
      <c r="H89" s="627">
        <f t="shared" ref="H89" si="610">SUMPRODUCT(H70:H78,H80:H88)</f>
        <v>0.95654193917555363</v>
      </c>
      <c r="I89" s="627">
        <f t="shared" ref="I89" si="611">SUMPRODUCT(I70:I78,I80:I88)</f>
        <v>0.95351860532620036</v>
      </c>
      <c r="J89" s="627">
        <f t="shared" ref="J89" si="612">SUMPRODUCT(J70:J78,J80:J88)</f>
        <v>0.95021772010635996</v>
      </c>
      <c r="K89" s="627">
        <f t="shared" ref="K89" si="613">SUMPRODUCT(K70:K78,K80:K88)</f>
        <v>0.94669853465859333</v>
      </c>
      <c r="L89" s="627">
        <f t="shared" ref="L89" si="614">SUMPRODUCT(L70:L78,L80:L88)</f>
        <v>0.94274770667647645</v>
      </c>
      <c r="M89" s="627">
        <f t="shared" ref="M89" si="615">SUMPRODUCT(M70:M78,M80:M88)</f>
        <v>0.93799293778351844</v>
      </c>
      <c r="N89" s="627">
        <f t="shared" ref="N89" si="616">SUMPRODUCT(N70:N78,N80:N88)</f>
        <v>0.93182286660992997</v>
      </c>
      <c r="O89" s="627">
        <f t="shared" ref="O89" si="617">SUMPRODUCT(O70:O78,O80:O88)</f>
        <v>0.92090893252122152</v>
      </c>
      <c r="P89" s="627">
        <f t="shared" ref="P89" si="618">SUMPRODUCT(P70:P78,P80:P88)</f>
        <v>0.90625163610223536</v>
      </c>
      <c r="Q89" s="627">
        <f t="shared" ref="Q89" si="619">SUMPRODUCT(Q70:Q78,Q80:Q88)</f>
        <v>0.88642793379441676</v>
      </c>
      <c r="R89" s="627">
        <f t="shared" ref="R89" si="620">SUMPRODUCT(R70:R78,R80:R88)</f>
        <v>0.86025830700564276</v>
      </c>
      <c r="S89" s="627">
        <f t="shared" ref="S89" si="621">SUMPRODUCT(S70:S78,S80:S88)</f>
        <v>0.82733307447910076</v>
      </c>
      <c r="T89" s="627">
        <f t="shared" ref="T89" si="622">SUMPRODUCT(T70:T78,T80:T88)</f>
        <v>0.78841534247381873</v>
      </c>
      <c r="U89" s="627">
        <f t="shared" ref="U89" si="623">SUMPRODUCT(U70:U78,U80:U88)</f>
        <v>0.74544080455332107</v>
      </c>
      <c r="V89" s="627">
        <f t="shared" ref="V89" si="624">SUMPRODUCT(V70:V78,V80:V88)</f>
        <v>0.7009489301786187</v>
      </c>
      <c r="W89" s="627">
        <f t="shared" ref="W89" si="625">SUMPRODUCT(W70:W78,W80:W88)</f>
        <v>0.65733866607427305</v>
      </c>
      <c r="X89" s="627">
        <f t="shared" ref="X89" si="626">SUMPRODUCT(X70:X78,X80:X88)</f>
        <v>0.61632521946733165</v>
      </c>
      <c r="Y89" s="627">
        <f t="shared" ref="Y89" si="627">SUMPRODUCT(Y70:Y78,Y80:Y88)</f>
        <v>0.57582838584138729</v>
      </c>
      <c r="Z89" s="627">
        <f t="shared" ref="Z89" si="628">SUMPRODUCT(Z70:Z78,Z80:Z88)</f>
        <v>0.53909883533319336</v>
      </c>
      <c r="AA89" s="627">
        <f t="shared" ref="AA89" si="629">SUMPRODUCT(AA70:AA78,AA80:AA88)</f>
        <v>0.50583498058266263</v>
      </c>
      <c r="AB89" s="627">
        <f t="shared" ref="AB89" si="630">SUMPRODUCT(AB70:AB78,AB80:AB88)</f>
        <v>0.47552508455527975</v>
      </c>
      <c r="AC89" s="627">
        <f t="shared" ref="AC89" si="631">SUMPRODUCT(AC70:AC78,AC80:AC88)</f>
        <v>0.44759488517575341</v>
      </c>
      <c r="AD89" s="627">
        <f t="shared" ref="AD89" si="632">SUMPRODUCT(AD70:AD78,AD80:AD88)</f>
        <v>0.42152503280623915</v>
      </c>
      <c r="AE89" s="627">
        <f t="shared" ref="AE89" si="633">SUMPRODUCT(AE70:AE78,AE80:AE88)</f>
        <v>0.39679463939654708</v>
      </c>
      <c r="AF89" s="627">
        <f t="shared" ref="AF89" si="634">SUMPRODUCT(AF70:AF78,AF80:AF88)</f>
        <v>0.37295391134638672</v>
      </c>
      <c r="AG89" s="627">
        <f t="shared" ref="AG89" si="635">SUMPRODUCT(AG70:AG78,AG80:AG88)</f>
        <v>0.34959703660131697</v>
      </c>
      <c r="AH89" s="627">
        <f t="shared" ref="AH89" si="636">SUMPRODUCT(AH70:AH78,AH80:AH88)</f>
        <v>0.32637766744587926</v>
      </c>
      <c r="AI89" s="626"/>
      <c r="AJ89" s="627">
        <f>SUMPRODUCT(AJ70:AJ78,AJ80:AJ88)</f>
        <v>0.95500135462922764</v>
      </c>
      <c r="AK89" s="627">
        <f t="shared" ref="AK89" si="637">SUMPRODUCT(AK70:AK78,AK80:AK88)</f>
        <v>0.95162410512323492</v>
      </c>
      <c r="AL89" s="627">
        <f t="shared" ref="AL89" si="638">SUMPRODUCT(AL70:AL78,AL80:AL88)</f>
        <v>0.94832385611981929</v>
      </c>
      <c r="AM89" s="627">
        <f t="shared" ref="AM89" si="639">SUMPRODUCT(AM70:AM78,AM80:AM88)</f>
        <v>0.94508969397885967</v>
      </c>
      <c r="AN89" s="627">
        <f t="shared" ref="AN89" si="640">SUMPRODUCT(AN70:AN78,AN80:AN88)</f>
        <v>0.94190237731035098</v>
      </c>
      <c r="AO89" s="627">
        <f t="shared" ref="AO89" si="641">SUMPRODUCT(AO70:AO78,AO80:AO88)</f>
        <v>0.93872660572673206</v>
      </c>
      <c r="AP89" s="627">
        <f t="shared" ref="AP89" si="642">SUMPRODUCT(AP70:AP78,AP80:AP88)</f>
        <v>0.93555643607006878</v>
      </c>
      <c r="AQ89" s="627">
        <f t="shared" ref="AQ89" si="643">SUMPRODUCT(AQ70:AQ78,AQ80:AQ88)</f>
        <v>0.9322194637499388</v>
      </c>
      <c r="AR89" s="627">
        <f t="shared" ref="AR89" si="644">SUMPRODUCT(AR70:AR78,AR80:AR88)</f>
        <v>0.92849713043637017</v>
      </c>
      <c r="AS89" s="627">
        <f t="shared" ref="AS89" si="645">SUMPRODUCT(AS70:AS78,AS80:AS88)</f>
        <v>0.9240084467915326</v>
      </c>
      <c r="AT89" s="627">
        <f t="shared" ref="AT89" si="646">SUMPRODUCT(AT70:AT78,AT80:AT88)</f>
        <v>0.91812742976747841</v>
      </c>
      <c r="AU89" s="627">
        <f t="shared" ref="AU89" si="647">SUMPRODUCT(AU70:AU78,AU80:AU88)</f>
        <v>0.90657784541483977</v>
      </c>
      <c r="AV89" s="627">
        <f t="shared" ref="AV89" si="648">SUMPRODUCT(AV70:AV78,AV80:AV88)</f>
        <v>0.89131017523738132</v>
      </c>
      <c r="AW89" s="627">
        <f t="shared" ref="AW89" si="649">SUMPRODUCT(AW70:AW78,AW80:AW88)</f>
        <v>0.87091329645510374</v>
      </c>
      <c r="AX89" s="627">
        <f t="shared" ref="AX89" si="650">SUMPRODUCT(AX70:AX78,AX80:AX88)</f>
        <v>0.84421387813758453</v>
      </c>
      <c r="AY89" s="627">
        <f t="shared" ref="AY89" si="651">SUMPRODUCT(AY70:AY78,AY80:AY88)</f>
        <v>0.81081412878611925</v>
      </c>
      <c r="AZ89" s="627">
        <f t="shared" ref="AZ89" si="652">SUMPRODUCT(AZ70:AZ78,AZ80:AZ88)</f>
        <v>0.77144165161524147</v>
      </c>
      <c r="BA89" s="627">
        <f t="shared" ref="BA89" si="653">SUMPRODUCT(BA70:BA78,BA80:BA88)</f>
        <v>0.72811259539243722</v>
      </c>
      <c r="BB89" s="627">
        <f t="shared" ref="BB89" si="654">SUMPRODUCT(BB70:BB78,BB80:BB88)</f>
        <v>0.68339887076776829</v>
      </c>
      <c r="BC89" s="627">
        <f t="shared" ref="BC89" si="655">SUMPRODUCT(BC70:BC78,BC80:BC88)</f>
        <v>0.63973834574271782</v>
      </c>
      <c r="BD89" s="627">
        <f t="shared" ref="BD89" si="656">SUMPRODUCT(BD70:BD78,BD80:BD88)</f>
        <v>0.59887997578618191</v>
      </c>
      <c r="BE89" s="627">
        <f t="shared" ref="BE89" si="657">SUMPRODUCT(BE70:BE78,BE80:BE88)</f>
        <v>0.55822897869649335</v>
      </c>
      <c r="BF89" s="627">
        <f t="shared" ref="BF89" si="658">SUMPRODUCT(BF70:BF78,BF80:BF88)</f>
        <v>0.52165091678405429</v>
      </c>
      <c r="BG89" s="627">
        <f t="shared" ref="BG89" si="659">SUMPRODUCT(BG70:BG78,BG80:BG88)</f>
        <v>0.48878754640547117</v>
      </c>
      <c r="BH89" s="627">
        <f t="shared" ref="BH89" si="660">SUMPRODUCT(BH70:BH78,BH80:BH88)</f>
        <v>0.45906612754252518</v>
      </c>
      <c r="BI89" s="627">
        <f t="shared" ref="BI89" si="661">SUMPRODUCT(BI70:BI78,BI80:BI88)</f>
        <v>0.43186214058123956</v>
      </c>
      <c r="BJ89" s="627">
        <f t="shared" ref="BJ89" si="662">SUMPRODUCT(BJ70:BJ78,BJ80:BJ88)</f>
        <v>0.4066311898949585</v>
      </c>
      <c r="BK89" s="627">
        <f t="shared" ref="BK89" si="663">SUMPRODUCT(BK70:BK78,BK80:BK88)</f>
        <v>0.3828305442052416</v>
      </c>
      <c r="BL89" s="627">
        <f t="shared" ref="BL89" si="664">SUMPRODUCT(BL70:BL78,BL80:BL88)</f>
        <v>0.3600306326490505</v>
      </c>
      <c r="BM89" s="627">
        <f t="shared" ref="BM89" si="665">SUMPRODUCT(BM70:BM78,BM80:BM88)</f>
        <v>0.3379127930144521</v>
      </c>
      <c r="BN89" s="627">
        <f t="shared" ref="BN89" si="666">SUMPRODUCT(BN70:BN78,BN80:BN88)</f>
        <v>0.31601471881198351</v>
      </c>
      <c r="BP89" s="627">
        <f>SUMPRODUCT(BP70:BP78,BP80:BP88)</f>
        <v>0.95500964634628061</v>
      </c>
      <c r="BQ89" s="627">
        <f t="shared" ref="BQ89" si="667">SUMPRODUCT(BQ70:BQ78,BQ80:BQ88)</f>
        <v>0.96659886462602651</v>
      </c>
      <c r="BR89" s="627">
        <f t="shared" ref="BR89" si="668">SUMPRODUCT(BR70:BR78,BR80:BR88)</f>
        <v>0.97808028741683661</v>
      </c>
      <c r="BS89" s="627">
        <f t="shared" ref="BS89" si="669">SUMPRODUCT(BS70:BS78,BS80:BS88)</f>
        <v>0.9894503285506262</v>
      </c>
      <c r="BT89" s="627">
        <f t="shared" ref="BT89" si="670">SUMPRODUCT(BT70:BT78,BT80:BT88)</f>
        <v>1.0007046896005618</v>
      </c>
      <c r="BU89" s="627">
        <f t="shared" ref="BU89" si="671">SUMPRODUCT(BU70:BU78,BU80:BU88)</f>
        <v>1.0118382999855642</v>
      </c>
      <c r="BV89" s="627">
        <f t="shared" ref="BV89" si="672">SUMPRODUCT(BV70:BV78,BV80:BV88)</f>
        <v>1.0229586968969255</v>
      </c>
      <c r="BW89" s="627">
        <f t="shared" ref="BW89" si="673">SUMPRODUCT(BW70:BW78,BW80:BW88)</f>
        <v>1.0340647180169054</v>
      </c>
      <c r="BX89" s="627">
        <f t="shared" ref="BX89" si="674">SUMPRODUCT(BX70:BX78,BX80:BX88)</f>
        <v>1.0451551933307393</v>
      </c>
      <c r="BY89" s="627">
        <f t="shared" ref="BY89" si="675">SUMPRODUCT(BY70:BY78,BY80:BY88)</f>
        <v>1.0562289422703597</v>
      </c>
      <c r="BZ89" s="627">
        <f t="shared" ref="BZ89" si="676">SUMPRODUCT(BZ70:BZ78,BZ80:BZ88)</f>
        <v>1.0672847708546638</v>
      </c>
      <c r="CA89" s="627">
        <f t="shared" ref="CA89" si="677">SUMPRODUCT(CA70:CA78,CA80:CA88)</f>
        <v>1.0782402969528435</v>
      </c>
      <c r="CB89" s="627">
        <f t="shared" ref="CB89" si="678">SUMPRODUCT(CB70:CB78,CB80:CB88)</f>
        <v>1.089090006382188</v>
      </c>
      <c r="CC89" s="627">
        <f t="shared" ref="CC89" si="679">SUMPRODUCT(CC70:CC78,CC80:CC88)</f>
        <v>1.0998277764089219</v>
      </c>
      <c r="CD89" s="627">
        <f t="shared" ref="CD89" si="680">SUMPRODUCT(CD70:CD78,CD80:CD88)</f>
        <v>1.110446815399369</v>
      </c>
      <c r="CE89" s="627">
        <f t="shared" ref="CE89" si="681">SUMPRODUCT(CE70:CE78,CE80:CE88)</f>
        <v>1.120939595637358</v>
      </c>
      <c r="CF89" s="627">
        <f t="shared" ref="CF89" si="682">SUMPRODUCT(CF70:CF78,CF80:CF88)</f>
        <v>1.131411266971744</v>
      </c>
      <c r="CG89" s="627">
        <f t="shared" ref="CG89" si="683">SUMPRODUCT(CG70:CG78,CG80:CG88)</f>
        <v>1.1418612366882477</v>
      </c>
      <c r="CH89" s="627">
        <f t="shared" ref="CH89" si="684">SUMPRODUCT(CH70:CH78,CH80:CH88)</f>
        <v>1.1522888986531585</v>
      </c>
      <c r="CI89" s="627">
        <f t="shared" ref="CI89" si="685">SUMPRODUCT(CI70:CI78,CI80:CI88)</f>
        <v>1.1626936328887196</v>
      </c>
      <c r="CJ89" s="627">
        <f t="shared" ref="CJ89" si="686">SUMPRODUCT(CJ70:CJ78,CJ80:CJ88)</f>
        <v>1.1730748051362814</v>
      </c>
      <c r="CK89" s="627">
        <f t="shared" ref="CK89" si="687">SUMPRODUCT(CK70:CK78,CK80:CK88)</f>
        <v>1.1834325418113787</v>
      </c>
      <c r="CL89" s="627">
        <f t="shared" ref="CL89" si="688">SUMPRODUCT(CL70:CL78,CL80:CL88)</f>
        <v>1.1937662312485047</v>
      </c>
      <c r="CM89" s="627">
        <f t="shared" ref="CM89" si="689">SUMPRODUCT(CM70:CM78,CM80:CM88)</f>
        <v>1.2040752478773378</v>
      </c>
      <c r="CN89" s="627">
        <f t="shared" ref="CN89" si="690">SUMPRODUCT(CN70:CN78,CN80:CN88)</f>
        <v>1.214358951810327</v>
      </c>
      <c r="CO89" s="627">
        <f t="shared" ref="CO89" si="691">SUMPRODUCT(CO70:CO78,CO80:CO88)</f>
        <v>1.2246166884185627</v>
      </c>
      <c r="CP89" s="627">
        <f t="shared" ref="CP89" si="692">SUMPRODUCT(CP70:CP78,CP80:CP88)</f>
        <v>1.2348485292276683</v>
      </c>
      <c r="CQ89" s="627">
        <f t="shared" ref="CQ89" si="693">SUMPRODUCT(CQ70:CQ78,CQ80:CQ88)</f>
        <v>1.2450538374948112</v>
      </c>
      <c r="CR89" s="627">
        <f t="shared" ref="CR89" si="694">SUMPRODUCT(CR70:CR78,CR80:CR88)</f>
        <v>1.2552319620401042</v>
      </c>
      <c r="CS89" s="627">
        <f t="shared" ref="CS89" si="695">SUMPRODUCT(CS70:CS78,CS80:CS88)</f>
        <v>1.2653822368405367</v>
      </c>
      <c r="CT89" s="627">
        <f t="shared" ref="CT89" si="696">SUMPRODUCT(CT70:CT78,CT80:CT88)</f>
        <v>1.2755039806125876</v>
      </c>
      <c r="CV89" s="627">
        <f>SUMPRODUCT(CV70:CV78,CV80:CV88)</f>
        <v>0.95500135462922764</v>
      </c>
      <c r="CW89" s="627">
        <f t="shared" ref="CW89:DZ89" si="697">SUMPRODUCT(CW70:CW78,CW80:CW88)</f>
        <v>0.95264659021202758</v>
      </c>
      <c r="CX89" s="627">
        <f t="shared" si="697"/>
        <v>0.95045661331728071</v>
      </c>
      <c r="CY89" s="627">
        <f t="shared" si="697"/>
        <v>0.9484199849398558</v>
      </c>
      <c r="CZ89" s="627">
        <f t="shared" si="697"/>
        <v>0.94651689948865603</v>
      </c>
      <c r="DA89" s="627">
        <f t="shared" si="697"/>
        <v>0.9447113387327869</v>
      </c>
      <c r="DB89" s="627">
        <f t="shared" si="697"/>
        <v>0.94292053244337315</v>
      </c>
      <c r="DC89" s="627">
        <f t="shared" si="697"/>
        <v>0.94106158289459463</v>
      </c>
      <c r="DD89" s="627">
        <f t="shared" si="697"/>
        <v>0.93891320985078208</v>
      </c>
      <c r="DE89" s="627">
        <f t="shared" si="697"/>
        <v>0.93608717068323455</v>
      </c>
      <c r="DF89" s="627">
        <f t="shared" si="697"/>
        <v>0.93194216850690514</v>
      </c>
      <c r="DG89" s="627">
        <f t="shared" si="697"/>
        <v>0.92372992960313116</v>
      </c>
      <c r="DH89" s="627">
        <f t="shared" si="697"/>
        <v>0.91154743926758752</v>
      </c>
      <c r="DI89" s="627">
        <f t="shared" si="697"/>
        <v>0.89473857529768808</v>
      </c>
      <c r="DJ89" s="627">
        <f t="shared" si="697"/>
        <v>0.87153473482336663</v>
      </c>
      <c r="DK89" s="627">
        <f t="shared" si="697"/>
        <v>0.84138043651891659</v>
      </c>
      <c r="DL89" s="627">
        <f t="shared" si="697"/>
        <v>0.80490716482300639</v>
      </c>
      <c r="DM89" s="627">
        <f t="shared" si="697"/>
        <v>0.76405288517114411</v>
      </c>
      <c r="DN89" s="627">
        <f t="shared" si="697"/>
        <v>0.72142454698915615</v>
      </c>
      <c r="DO89" s="627">
        <f t="shared" si="697"/>
        <v>0.67956084645521186</v>
      </c>
      <c r="DP89" s="627">
        <f t="shared" si="697"/>
        <v>0.64033675370265619</v>
      </c>
      <c r="DQ89" s="627">
        <f t="shared" si="697"/>
        <v>0.60353115673725188</v>
      </c>
      <c r="DR89" s="627">
        <f t="shared" si="697"/>
        <v>0.56967555873268261</v>
      </c>
      <c r="DS89" s="627">
        <f t="shared" si="697"/>
        <v>0.53962587743917645</v>
      </c>
      <c r="DT89" s="627">
        <f t="shared" si="697"/>
        <v>0.5128304296306212</v>
      </c>
      <c r="DU89" s="627">
        <f t="shared" si="697"/>
        <v>0.48857165853751439</v>
      </c>
      <c r="DV89" s="627">
        <f t="shared" si="697"/>
        <v>0.46627046785028448</v>
      </c>
      <c r="DW89" s="627">
        <f t="shared" si="697"/>
        <v>0.44536414318056305</v>
      </c>
      <c r="DX89" s="627">
        <f t="shared" si="697"/>
        <v>0.42539147508486991</v>
      </c>
      <c r="DY89" s="627">
        <f t="shared" si="697"/>
        <v>0.40598235133688659</v>
      </c>
      <c r="DZ89" s="627">
        <f t="shared" si="697"/>
        <v>0.38665845358897272</v>
      </c>
      <c r="EK89" s="627"/>
      <c r="EL89" s="627"/>
      <c r="EM89" s="627"/>
      <c r="EN89" s="627"/>
      <c r="EO89" s="627"/>
      <c r="EP89" s="627"/>
      <c r="EQ89" s="627"/>
      <c r="ER89" s="627"/>
      <c r="ES89" s="627"/>
      <c r="ET89" s="627"/>
      <c r="EU89" s="627"/>
      <c r="EV89" s="627"/>
      <c r="EW89" s="627"/>
      <c r="EX89" s="627"/>
      <c r="EY89" s="627"/>
      <c r="EZ89" s="627"/>
      <c r="FA89" s="627"/>
      <c r="FB89" s="627"/>
      <c r="FC89" s="627"/>
      <c r="FD89" s="627"/>
      <c r="FE89" s="627"/>
      <c r="FF89" s="627"/>
      <c r="FG89" s="627"/>
      <c r="FH89" s="627"/>
      <c r="FI89" s="627"/>
    </row>
    <row r="90" spans="1:165" x14ac:dyDescent="0.2">
      <c r="A90" s="112"/>
      <c r="C90" s="54"/>
      <c r="D90" s="44"/>
      <c r="E90" s="44"/>
      <c r="F90" s="44"/>
      <c r="G90" s="44"/>
      <c r="H90" s="44"/>
      <c r="I90" s="44"/>
      <c r="J90" s="44"/>
      <c r="K90" s="44"/>
      <c r="L90" s="44"/>
      <c r="M90" s="44"/>
      <c r="N90" s="44"/>
      <c r="O90" s="44"/>
      <c r="P90" s="44"/>
      <c r="Q90" s="44"/>
      <c r="R90" s="44"/>
      <c r="S90" s="44"/>
      <c r="T90" s="44"/>
      <c r="U90" s="44"/>
      <c r="V90" s="44"/>
      <c r="W90" s="44"/>
      <c r="X90" s="44"/>
      <c r="Y90" s="44"/>
      <c r="Z90" s="44"/>
      <c r="AA90" s="44"/>
      <c r="AB90" s="44"/>
      <c r="AC90" s="44"/>
      <c r="AD90" s="44"/>
      <c r="AE90" s="44"/>
      <c r="AF90" s="44"/>
      <c r="AG90" s="44"/>
      <c r="AH90" s="44"/>
      <c r="AI90" s="44"/>
      <c r="AJ90" s="44"/>
      <c r="AK90" s="44"/>
      <c r="AL90" s="44"/>
      <c r="AM90" s="44"/>
      <c r="AN90" s="44"/>
      <c r="AO90" s="44"/>
      <c r="AP90" s="44"/>
      <c r="AQ90" s="44"/>
      <c r="AR90" s="44"/>
      <c r="AS90" s="44"/>
      <c r="AT90" s="44"/>
      <c r="AU90" s="44"/>
      <c r="AV90" s="44"/>
      <c r="AW90" s="44"/>
      <c r="AX90" s="44"/>
      <c r="AY90" s="44"/>
      <c r="AZ90" s="44"/>
      <c r="BA90" s="44"/>
      <c r="BB90" s="44"/>
      <c r="BC90" s="44"/>
      <c r="BD90" s="44"/>
      <c r="BE90" s="44"/>
      <c r="BF90" s="44"/>
      <c r="BG90" s="44"/>
      <c r="BH90" s="44"/>
      <c r="BI90" s="44"/>
      <c r="BJ90" s="44"/>
      <c r="BK90" s="44"/>
      <c r="BL90" s="44"/>
      <c r="BM90" s="44"/>
      <c r="BN90" s="44"/>
    </row>
    <row r="91" spans="1:165" s="69" customFormat="1" ht="16" thickBot="1" x14ac:dyDescent="0.25">
      <c r="A91" s="621" t="s">
        <v>7</v>
      </c>
      <c r="C91" s="70"/>
      <c r="D91" s="71"/>
      <c r="E91" s="71"/>
      <c r="F91" s="71"/>
      <c r="G91" s="71"/>
      <c r="H91" s="71"/>
      <c r="I91" s="71"/>
      <c r="J91" s="71"/>
      <c r="K91" s="71"/>
      <c r="L91" s="71"/>
      <c r="M91" s="71"/>
      <c r="N91" s="71"/>
      <c r="O91" s="71"/>
      <c r="P91" s="71"/>
      <c r="Q91" s="71"/>
      <c r="R91" s="71"/>
      <c r="S91" s="71"/>
      <c r="T91" s="71"/>
      <c r="U91" s="71"/>
      <c r="V91" s="71"/>
      <c r="W91" s="71"/>
      <c r="X91" s="71"/>
      <c r="Y91" s="71"/>
      <c r="Z91" s="71"/>
      <c r="AA91" s="71"/>
      <c r="AB91" s="71"/>
      <c r="AC91" s="71"/>
      <c r="AD91" s="71"/>
      <c r="AE91" s="71"/>
      <c r="AF91" s="71"/>
      <c r="AG91" s="71"/>
      <c r="AH91" s="71"/>
      <c r="AI91" s="71"/>
      <c r="AJ91" s="71"/>
      <c r="AK91" s="71"/>
      <c r="AL91" s="71"/>
      <c r="AM91" s="71"/>
      <c r="AN91" s="71"/>
      <c r="AO91" s="71"/>
      <c r="AP91" s="71"/>
      <c r="AQ91" s="71"/>
      <c r="AR91" s="71"/>
      <c r="AS91" s="71"/>
      <c r="AT91" s="71"/>
      <c r="AU91" s="71"/>
      <c r="AV91" s="71"/>
      <c r="AW91" s="71"/>
      <c r="AX91" s="71"/>
      <c r="AY91" s="71"/>
      <c r="AZ91" s="71"/>
      <c r="BA91" s="71"/>
      <c r="BB91" s="71"/>
      <c r="BC91" s="71"/>
      <c r="BD91" s="71"/>
      <c r="BE91" s="71"/>
      <c r="BF91" s="71"/>
      <c r="BG91" s="71"/>
      <c r="BH91" s="71"/>
      <c r="BI91" s="71"/>
      <c r="BJ91" s="71"/>
      <c r="BK91" s="71"/>
      <c r="BL91" s="71"/>
      <c r="BM91" s="71"/>
      <c r="BN91" s="71"/>
      <c r="BP91" s="71"/>
      <c r="BQ91" s="71"/>
      <c r="BR91" s="71"/>
      <c r="BS91" s="71"/>
      <c r="BT91" s="71"/>
      <c r="BU91" s="71"/>
      <c r="BV91" s="71"/>
      <c r="BW91" s="71"/>
      <c r="BX91" s="71"/>
      <c r="BY91" s="71"/>
      <c r="BZ91" s="71"/>
      <c r="CA91" s="71"/>
      <c r="CB91" s="71"/>
      <c r="CC91" s="71"/>
      <c r="CD91" s="71"/>
      <c r="CE91" s="71"/>
      <c r="CF91" s="71"/>
      <c r="CG91" s="71"/>
      <c r="CH91" s="71"/>
      <c r="CI91" s="71"/>
      <c r="CJ91" s="71"/>
      <c r="CK91" s="71"/>
      <c r="CL91" s="71"/>
      <c r="CM91" s="71"/>
      <c r="CN91" s="71"/>
      <c r="CO91" s="71"/>
      <c r="CP91" s="71"/>
      <c r="CQ91" s="71"/>
      <c r="CR91" s="71"/>
      <c r="CS91" s="71"/>
      <c r="CT91" s="71"/>
      <c r="CV91" s="71"/>
      <c r="CW91" s="71"/>
      <c r="CX91" s="71"/>
      <c r="CY91" s="71"/>
      <c r="CZ91" s="71"/>
      <c r="DA91" s="71"/>
      <c r="DB91" s="71"/>
      <c r="DC91" s="71"/>
      <c r="DD91" s="71"/>
      <c r="DE91" s="71"/>
      <c r="DF91" s="71"/>
      <c r="DG91" s="71"/>
      <c r="DH91" s="71"/>
      <c r="DI91" s="71"/>
      <c r="DJ91" s="71"/>
      <c r="DK91" s="71"/>
      <c r="DL91" s="71"/>
      <c r="DM91" s="71"/>
      <c r="DN91" s="71"/>
      <c r="DO91" s="71"/>
      <c r="DP91" s="71"/>
      <c r="DQ91" s="71"/>
      <c r="DR91" s="71"/>
      <c r="DS91" s="71"/>
      <c r="DT91" s="71"/>
      <c r="DU91" s="71"/>
      <c r="DV91" s="71"/>
      <c r="DW91" s="71"/>
      <c r="DX91" s="71"/>
      <c r="DY91" s="71"/>
      <c r="DZ91" s="71"/>
      <c r="EK91" s="622"/>
      <c r="EL91" s="622"/>
      <c r="EM91" s="622"/>
      <c r="EN91" s="622"/>
      <c r="EO91" s="622"/>
      <c r="EP91" s="622"/>
      <c r="EQ91" s="622"/>
      <c r="ER91" s="622"/>
      <c r="ES91" s="622"/>
      <c r="ET91" s="622"/>
      <c r="EU91" s="622"/>
      <c r="EV91" s="622"/>
      <c r="EW91" s="622"/>
      <c r="EX91" s="622"/>
      <c r="EY91" s="622"/>
      <c r="EZ91" s="622"/>
      <c r="FA91" s="622"/>
      <c r="FB91" s="622"/>
      <c r="FC91" s="622"/>
      <c r="FD91" s="622"/>
      <c r="FE91" s="622"/>
      <c r="FF91" s="622"/>
      <c r="FG91" s="622"/>
      <c r="FH91" s="622"/>
      <c r="FI91" s="622"/>
    </row>
    <row r="92" spans="1:165" s="624" customFormat="1" ht="16" thickBot="1" x14ac:dyDescent="0.25">
      <c r="A92" s="623" t="s">
        <v>108</v>
      </c>
      <c r="C92" s="625"/>
      <c r="D92" s="628">
        <v>2020</v>
      </c>
      <c r="E92" s="628">
        <v>2021</v>
      </c>
      <c r="F92" s="628">
        <v>2022</v>
      </c>
      <c r="G92" s="628">
        <v>2023</v>
      </c>
      <c r="H92" s="628">
        <v>2024</v>
      </c>
      <c r="I92" s="628">
        <v>2025</v>
      </c>
      <c r="J92" s="628">
        <v>2026</v>
      </c>
      <c r="K92" s="628">
        <v>2027</v>
      </c>
      <c r="L92" s="628">
        <v>2028</v>
      </c>
      <c r="M92" s="628">
        <v>2029</v>
      </c>
      <c r="N92" s="628">
        <v>2030</v>
      </c>
      <c r="O92" s="628">
        <v>2031</v>
      </c>
      <c r="P92" s="628">
        <v>2032</v>
      </c>
      <c r="Q92" s="628">
        <v>2033</v>
      </c>
      <c r="R92" s="628">
        <v>2034</v>
      </c>
      <c r="S92" s="628">
        <v>2035</v>
      </c>
      <c r="T92" s="628">
        <v>2036</v>
      </c>
      <c r="U92" s="628">
        <v>2037</v>
      </c>
      <c r="V92" s="628">
        <v>2038</v>
      </c>
      <c r="W92" s="628">
        <v>2039</v>
      </c>
      <c r="X92" s="628">
        <v>2040</v>
      </c>
      <c r="Y92" s="628">
        <v>2041</v>
      </c>
      <c r="Z92" s="628">
        <v>2042</v>
      </c>
      <c r="AA92" s="628">
        <v>2043</v>
      </c>
      <c r="AB92" s="628">
        <v>2044</v>
      </c>
      <c r="AC92" s="628">
        <v>2045</v>
      </c>
      <c r="AD92" s="628">
        <v>2046</v>
      </c>
      <c r="AE92" s="628">
        <v>2047</v>
      </c>
      <c r="AF92" s="628">
        <v>2048</v>
      </c>
      <c r="AG92" s="628">
        <v>2049</v>
      </c>
      <c r="AH92" s="628">
        <v>2050</v>
      </c>
      <c r="AI92" s="626"/>
      <c r="AJ92" s="628">
        <v>2020</v>
      </c>
      <c r="AK92" s="628">
        <v>2021</v>
      </c>
      <c r="AL92" s="628">
        <v>2022</v>
      </c>
      <c r="AM92" s="628">
        <v>2023</v>
      </c>
      <c r="AN92" s="628">
        <v>2024</v>
      </c>
      <c r="AO92" s="628">
        <v>2025</v>
      </c>
      <c r="AP92" s="628">
        <v>2026</v>
      </c>
      <c r="AQ92" s="628">
        <v>2027</v>
      </c>
      <c r="AR92" s="628">
        <v>2028</v>
      </c>
      <c r="AS92" s="628">
        <v>2029</v>
      </c>
      <c r="AT92" s="628">
        <v>2030</v>
      </c>
      <c r="AU92" s="628">
        <v>2031</v>
      </c>
      <c r="AV92" s="628">
        <v>2032</v>
      </c>
      <c r="AW92" s="628">
        <v>2033</v>
      </c>
      <c r="AX92" s="628">
        <v>2034</v>
      </c>
      <c r="AY92" s="628">
        <v>2035</v>
      </c>
      <c r="AZ92" s="628">
        <v>2036</v>
      </c>
      <c r="BA92" s="628">
        <v>2037</v>
      </c>
      <c r="BB92" s="628">
        <v>2038</v>
      </c>
      <c r="BC92" s="628">
        <v>2039</v>
      </c>
      <c r="BD92" s="628">
        <v>2040</v>
      </c>
      <c r="BE92" s="628">
        <v>2041</v>
      </c>
      <c r="BF92" s="628">
        <v>2042</v>
      </c>
      <c r="BG92" s="628">
        <v>2043</v>
      </c>
      <c r="BH92" s="628">
        <v>2044</v>
      </c>
      <c r="BI92" s="628">
        <v>2045</v>
      </c>
      <c r="BJ92" s="628">
        <v>2046</v>
      </c>
      <c r="BK92" s="628">
        <v>2047</v>
      </c>
      <c r="BL92" s="628">
        <v>2048</v>
      </c>
      <c r="BM92" s="628">
        <v>2049</v>
      </c>
      <c r="BN92" s="628">
        <v>2050</v>
      </c>
      <c r="BP92" s="628">
        <v>2020</v>
      </c>
      <c r="BQ92" s="628">
        <v>2021</v>
      </c>
      <c r="BR92" s="628">
        <v>2022</v>
      </c>
      <c r="BS92" s="628">
        <v>2023</v>
      </c>
      <c r="BT92" s="628">
        <v>2024</v>
      </c>
      <c r="BU92" s="628">
        <v>2025</v>
      </c>
      <c r="BV92" s="628">
        <v>2026</v>
      </c>
      <c r="BW92" s="628">
        <v>2027</v>
      </c>
      <c r="BX92" s="628">
        <v>2028</v>
      </c>
      <c r="BY92" s="628">
        <v>2029</v>
      </c>
      <c r="BZ92" s="628">
        <v>2030</v>
      </c>
      <c r="CA92" s="628">
        <v>2031</v>
      </c>
      <c r="CB92" s="628">
        <v>2032</v>
      </c>
      <c r="CC92" s="628">
        <v>2033</v>
      </c>
      <c r="CD92" s="628">
        <v>2034</v>
      </c>
      <c r="CE92" s="628">
        <v>2035</v>
      </c>
      <c r="CF92" s="628">
        <v>2036</v>
      </c>
      <c r="CG92" s="628">
        <v>2037</v>
      </c>
      <c r="CH92" s="628">
        <v>2038</v>
      </c>
      <c r="CI92" s="628">
        <v>2039</v>
      </c>
      <c r="CJ92" s="628">
        <v>2040</v>
      </c>
      <c r="CK92" s="628">
        <v>2041</v>
      </c>
      <c r="CL92" s="628">
        <v>2042</v>
      </c>
      <c r="CM92" s="628">
        <v>2043</v>
      </c>
      <c r="CN92" s="628">
        <v>2044</v>
      </c>
      <c r="CO92" s="628">
        <v>2045</v>
      </c>
      <c r="CP92" s="628">
        <v>2046</v>
      </c>
      <c r="CQ92" s="628">
        <v>2047</v>
      </c>
      <c r="CR92" s="628">
        <v>2048</v>
      </c>
      <c r="CS92" s="628">
        <v>2049</v>
      </c>
      <c r="CT92" s="628">
        <v>2050</v>
      </c>
      <c r="CV92" s="628">
        <v>2020</v>
      </c>
      <c r="CW92" s="628">
        <v>2021</v>
      </c>
      <c r="CX92" s="628">
        <v>2022</v>
      </c>
      <c r="CY92" s="628">
        <v>2023</v>
      </c>
      <c r="CZ92" s="628">
        <v>2024</v>
      </c>
      <c r="DA92" s="628">
        <v>2025</v>
      </c>
      <c r="DB92" s="628">
        <v>2026</v>
      </c>
      <c r="DC92" s="628">
        <v>2027</v>
      </c>
      <c r="DD92" s="628">
        <v>2028</v>
      </c>
      <c r="DE92" s="628">
        <v>2029</v>
      </c>
      <c r="DF92" s="628">
        <v>2030</v>
      </c>
      <c r="DG92" s="628">
        <v>2031</v>
      </c>
      <c r="DH92" s="628">
        <v>2032</v>
      </c>
      <c r="DI92" s="628">
        <v>2033</v>
      </c>
      <c r="DJ92" s="628">
        <v>2034</v>
      </c>
      <c r="DK92" s="628">
        <v>2035</v>
      </c>
      <c r="DL92" s="628">
        <v>2036</v>
      </c>
      <c r="DM92" s="628">
        <v>2037</v>
      </c>
      <c r="DN92" s="628">
        <v>2038</v>
      </c>
      <c r="DO92" s="628">
        <v>2039</v>
      </c>
      <c r="DP92" s="628">
        <v>2040</v>
      </c>
      <c r="DQ92" s="628">
        <v>2041</v>
      </c>
      <c r="DR92" s="628">
        <v>2042</v>
      </c>
      <c r="DS92" s="628">
        <v>2043</v>
      </c>
      <c r="DT92" s="628">
        <v>2044</v>
      </c>
      <c r="DU92" s="628">
        <v>2045</v>
      </c>
      <c r="DV92" s="628">
        <v>2046</v>
      </c>
      <c r="DW92" s="628">
        <v>2047</v>
      </c>
      <c r="DX92" s="628">
        <v>2048</v>
      </c>
      <c r="DY92" s="628">
        <v>2049</v>
      </c>
      <c r="DZ92" s="628">
        <v>2050</v>
      </c>
      <c r="EK92" s="627"/>
      <c r="EL92" s="627"/>
      <c r="EM92" s="627"/>
      <c r="EN92" s="627"/>
      <c r="EO92" s="627"/>
      <c r="EP92" s="627"/>
      <c r="EQ92" s="627"/>
      <c r="ER92" s="627"/>
      <c r="ES92" s="627"/>
      <c r="ET92" s="627"/>
      <c r="EU92" s="627"/>
      <c r="EV92" s="627"/>
      <c r="EW92" s="627"/>
      <c r="EX92" s="627"/>
      <c r="EY92" s="627"/>
      <c r="EZ92" s="627"/>
      <c r="FA92" s="627"/>
      <c r="FB92" s="627"/>
      <c r="FC92" s="627"/>
      <c r="FD92" s="627"/>
      <c r="FE92" s="627"/>
      <c r="FF92" s="627"/>
      <c r="FG92" s="627"/>
      <c r="FH92" s="627"/>
      <c r="FI92" s="627"/>
    </row>
    <row r="93" spans="1:165" x14ac:dyDescent="0.2">
      <c r="A93" s="606" t="s">
        <v>193</v>
      </c>
      <c r="C93" s="54" t="s">
        <v>458</v>
      </c>
      <c r="D93" s="43">
        <f>$B$186</f>
        <v>0.48</v>
      </c>
      <c r="E93" s="43">
        <f>D93-($D93-$AH93)/30</f>
        <v>0.46399999999999997</v>
      </c>
      <c r="F93" s="43">
        <f t="shared" ref="F93:AG93" si="698">E93-($D93-$AH93)/30</f>
        <v>0.44799999999999995</v>
      </c>
      <c r="G93" s="43">
        <f t="shared" si="698"/>
        <v>0.43199999999999994</v>
      </c>
      <c r="H93" s="43">
        <f t="shared" si="698"/>
        <v>0.41599999999999993</v>
      </c>
      <c r="I93" s="43">
        <f t="shared" si="698"/>
        <v>0.39999999999999991</v>
      </c>
      <c r="J93" s="43">
        <f t="shared" si="698"/>
        <v>0.3839999999999999</v>
      </c>
      <c r="K93" s="43">
        <f t="shared" si="698"/>
        <v>0.36799999999999988</v>
      </c>
      <c r="L93" s="43">
        <f t="shared" si="698"/>
        <v>0.35199999999999987</v>
      </c>
      <c r="M93" s="43">
        <f t="shared" si="698"/>
        <v>0.33599999999999985</v>
      </c>
      <c r="N93" s="43">
        <f t="shared" si="698"/>
        <v>0.31999999999999984</v>
      </c>
      <c r="O93" s="43">
        <f t="shared" si="698"/>
        <v>0.30399999999999983</v>
      </c>
      <c r="P93" s="43">
        <f t="shared" si="698"/>
        <v>0.28799999999999981</v>
      </c>
      <c r="Q93" s="43">
        <f t="shared" si="698"/>
        <v>0.2719999999999998</v>
      </c>
      <c r="R93" s="43">
        <f t="shared" si="698"/>
        <v>0.25599999999999978</v>
      </c>
      <c r="S93" s="43">
        <f t="shared" si="698"/>
        <v>0.23999999999999977</v>
      </c>
      <c r="T93" s="43">
        <f t="shared" si="698"/>
        <v>0.22399999999999975</v>
      </c>
      <c r="U93" s="43">
        <f t="shared" si="698"/>
        <v>0.20799999999999974</v>
      </c>
      <c r="V93" s="43">
        <f t="shared" si="698"/>
        <v>0.19199999999999973</v>
      </c>
      <c r="W93" s="43">
        <f t="shared" si="698"/>
        <v>0.17599999999999971</v>
      </c>
      <c r="X93" s="43">
        <f t="shared" si="698"/>
        <v>0.1599999999999997</v>
      </c>
      <c r="Y93" s="43">
        <f t="shared" si="698"/>
        <v>0.14399999999999968</v>
      </c>
      <c r="Z93" s="43">
        <f t="shared" si="698"/>
        <v>0.12799999999999967</v>
      </c>
      <c r="AA93" s="43">
        <f t="shared" si="698"/>
        <v>0.11199999999999967</v>
      </c>
      <c r="AB93" s="43">
        <f t="shared" si="698"/>
        <v>9.5999999999999669E-2</v>
      </c>
      <c r="AC93" s="43">
        <f t="shared" si="698"/>
        <v>7.9999999999999669E-2</v>
      </c>
      <c r="AD93" s="43">
        <f t="shared" si="698"/>
        <v>6.3999999999999668E-2</v>
      </c>
      <c r="AE93" s="43">
        <f t="shared" si="698"/>
        <v>4.7999999999999668E-2</v>
      </c>
      <c r="AF93" s="43">
        <f t="shared" si="698"/>
        <v>3.1999999999999668E-2</v>
      </c>
      <c r="AG93" s="43">
        <f t="shared" si="698"/>
        <v>1.5999999999999667E-2</v>
      </c>
      <c r="AH93" s="43">
        <f>$C$186</f>
        <v>0</v>
      </c>
      <c r="AI93" s="44"/>
      <c r="AJ93" s="43">
        <f>D93</f>
        <v>0.48</v>
      </c>
      <c r="AK93" s="43">
        <f t="shared" ref="AK93:AK101" si="699">E93</f>
        <v>0.46399999999999997</v>
      </c>
      <c r="AL93" s="43">
        <f t="shared" ref="AL93:AL101" si="700">F93</f>
        <v>0.44799999999999995</v>
      </c>
      <c r="AM93" s="43">
        <f t="shared" ref="AM93:AM101" si="701">G93</f>
        <v>0.43199999999999994</v>
      </c>
      <c r="AN93" s="43">
        <f t="shared" ref="AN93:AN101" si="702">H93</f>
        <v>0.41599999999999993</v>
      </c>
      <c r="AO93" s="43">
        <f t="shared" ref="AO93:AO101" si="703">I93</f>
        <v>0.39999999999999991</v>
      </c>
      <c r="AP93" s="43">
        <f t="shared" ref="AP93:AP101" si="704">J93</f>
        <v>0.3839999999999999</v>
      </c>
      <c r="AQ93" s="43">
        <f t="shared" ref="AQ93:AQ101" si="705">K93</f>
        <v>0.36799999999999988</v>
      </c>
      <c r="AR93" s="43">
        <f t="shared" ref="AR93:AR101" si="706">L93</f>
        <v>0.35199999999999987</v>
      </c>
      <c r="AS93" s="43">
        <f t="shared" ref="AS93:AS101" si="707">M93</f>
        <v>0.33599999999999985</v>
      </c>
      <c r="AT93" s="43">
        <f t="shared" ref="AT93:AT101" si="708">N93</f>
        <v>0.31999999999999984</v>
      </c>
      <c r="AU93" s="43">
        <f t="shared" ref="AU93:AU101" si="709">O93</f>
        <v>0.30399999999999983</v>
      </c>
      <c r="AV93" s="43">
        <f t="shared" ref="AV93:AV101" si="710">P93</f>
        <v>0.28799999999999981</v>
      </c>
      <c r="AW93" s="43">
        <f t="shared" ref="AW93:AW101" si="711">Q93</f>
        <v>0.2719999999999998</v>
      </c>
      <c r="AX93" s="43">
        <f t="shared" ref="AX93:AX101" si="712">R93</f>
        <v>0.25599999999999978</v>
      </c>
      <c r="AY93" s="43">
        <f t="shared" ref="AY93:AY101" si="713">S93</f>
        <v>0.23999999999999977</v>
      </c>
      <c r="AZ93" s="43">
        <f t="shared" ref="AZ93:AZ101" si="714">T93</f>
        <v>0.22399999999999975</v>
      </c>
      <c r="BA93" s="43">
        <f t="shared" ref="BA93:BA101" si="715">U93</f>
        <v>0.20799999999999974</v>
      </c>
      <c r="BB93" s="43">
        <f t="shared" ref="BB93:BB101" si="716">V93</f>
        <v>0.19199999999999973</v>
      </c>
      <c r="BC93" s="43">
        <f t="shared" ref="BC93:BC101" si="717">W93</f>
        <v>0.17599999999999971</v>
      </c>
      <c r="BD93" s="43">
        <f t="shared" ref="BD93:BD101" si="718">X93</f>
        <v>0.1599999999999997</v>
      </c>
      <c r="BE93" s="43">
        <f t="shared" ref="BE93:BE101" si="719">Y93</f>
        <v>0.14399999999999968</v>
      </c>
      <c r="BF93" s="43">
        <f t="shared" ref="BF93:BF101" si="720">Z93</f>
        <v>0.12799999999999967</v>
      </c>
      <c r="BG93" s="43">
        <f t="shared" ref="BG93:BG101" si="721">AA93</f>
        <v>0.11199999999999967</v>
      </c>
      <c r="BH93" s="43">
        <f t="shared" ref="BH93:BH101" si="722">AB93</f>
        <v>9.5999999999999669E-2</v>
      </c>
      <c r="BI93" s="43">
        <f t="shared" ref="BI93:BI101" si="723">AC93</f>
        <v>7.9999999999999669E-2</v>
      </c>
      <c r="BJ93" s="43">
        <f t="shared" ref="BJ93:BJ101" si="724">AD93</f>
        <v>6.3999999999999668E-2</v>
      </c>
      <c r="BK93" s="43">
        <f t="shared" ref="BK93:BK101" si="725">AE93</f>
        <v>4.7999999999999668E-2</v>
      </c>
      <c r="BL93" s="43">
        <f t="shared" ref="BL93:BL101" si="726">AF93</f>
        <v>3.1999999999999668E-2</v>
      </c>
      <c r="BM93" s="43">
        <f t="shared" ref="BM93:BM101" si="727">AG93</f>
        <v>1.5999999999999667E-2</v>
      </c>
      <c r="BN93" s="43">
        <f t="shared" ref="BN93:BN101" si="728">AH93</f>
        <v>0</v>
      </c>
      <c r="BP93" s="43">
        <f>D93</f>
        <v>0.48</v>
      </c>
      <c r="BQ93" s="43">
        <f>BP93-($BP93-$CT93)/30</f>
        <v>0.48</v>
      </c>
      <c r="BR93" s="43">
        <f t="shared" ref="BR93:CS93" si="729">BQ93-($BP93-$CT93)/30</f>
        <v>0.48</v>
      </c>
      <c r="BS93" s="43">
        <f t="shared" si="729"/>
        <v>0.48</v>
      </c>
      <c r="BT93" s="43">
        <f t="shared" si="729"/>
        <v>0.48</v>
      </c>
      <c r="BU93" s="43">
        <f t="shared" si="729"/>
        <v>0.48</v>
      </c>
      <c r="BV93" s="43">
        <f t="shared" si="729"/>
        <v>0.48</v>
      </c>
      <c r="BW93" s="43">
        <f t="shared" si="729"/>
        <v>0.48</v>
      </c>
      <c r="BX93" s="43">
        <f t="shared" si="729"/>
        <v>0.48</v>
      </c>
      <c r="BY93" s="43">
        <f t="shared" si="729"/>
        <v>0.48</v>
      </c>
      <c r="BZ93" s="43">
        <f t="shared" si="729"/>
        <v>0.48</v>
      </c>
      <c r="CA93" s="43">
        <f t="shared" si="729"/>
        <v>0.48</v>
      </c>
      <c r="CB93" s="43">
        <f t="shared" si="729"/>
        <v>0.48</v>
      </c>
      <c r="CC93" s="43">
        <f t="shared" si="729"/>
        <v>0.48</v>
      </c>
      <c r="CD93" s="43">
        <f t="shared" si="729"/>
        <v>0.48</v>
      </c>
      <c r="CE93" s="43">
        <f t="shared" si="729"/>
        <v>0.48</v>
      </c>
      <c r="CF93" s="43">
        <f t="shared" si="729"/>
        <v>0.48</v>
      </c>
      <c r="CG93" s="43">
        <f t="shared" si="729"/>
        <v>0.48</v>
      </c>
      <c r="CH93" s="43">
        <f t="shared" si="729"/>
        <v>0.48</v>
      </c>
      <c r="CI93" s="43">
        <f t="shared" si="729"/>
        <v>0.48</v>
      </c>
      <c r="CJ93" s="43">
        <f t="shared" si="729"/>
        <v>0.48</v>
      </c>
      <c r="CK93" s="43">
        <f t="shared" si="729"/>
        <v>0.48</v>
      </c>
      <c r="CL93" s="43">
        <f t="shared" si="729"/>
        <v>0.48</v>
      </c>
      <c r="CM93" s="43">
        <f t="shared" si="729"/>
        <v>0.48</v>
      </c>
      <c r="CN93" s="43">
        <f t="shared" si="729"/>
        <v>0.48</v>
      </c>
      <c r="CO93" s="43">
        <f t="shared" si="729"/>
        <v>0.48</v>
      </c>
      <c r="CP93" s="43">
        <f t="shared" si="729"/>
        <v>0.48</v>
      </c>
      <c r="CQ93" s="43">
        <f t="shared" si="729"/>
        <v>0.48</v>
      </c>
      <c r="CR93" s="43">
        <f t="shared" si="729"/>
        <v>0.48</v>
      </c>
      <c r="CS93" s="43">
        <f t="shared" si="729"/>
        <v>0.48</v>
      </c>
      <c r="CT93" s="43">
        <f>BP93</f>
        <v>0.48</v>
      </c>
      <c r="CV93" s="43">
        <f>AJ93</f>
        <v>0.48</v>
      </c>
      <c r="CW93" s="43">
        <f t="shared" ref="CW93:CW97" si="730">AK93</f>
        <v>0.46399999999999997</v>
      </c>
      <c r="CX93" s="43">
        <f t="shared" ref="CX93:CX97" si="731">AL93</f>
        <v>0.44799999999999995</v>
      </c>
      <c r="CY93" s="43">
        <f t="shared" ref="CY93:CY97" si="732">AM93</f>
        <v>0.43199999999999994</v>
      </c>
      <c r="CZ93" s="43">
        <f t="shared" ref="CZ93:CZ97" si="733">AN93</f>
        <v>0.41599999999999993</v>
      </c>
      <c r="DA93" s="43">
        <f t="shared" ref="DA93:DA97" si="734">AO93</f>
        <v>0.39999999999999991</v>
      </c>
      <c r="DB93" s="43">
        <f t="shared" ref="DB93:DB97" si="735">AP93</f>
        <v>0.3839999999999999</v>
      </c>
      <c r="DC93" s="43">
        <f t="shared" ref="DC93:DC97" si="736">AQ93</f>
        <v>0.36799999999999988</v>
      </c>
      <c r="DD93" s="43">
        <f t="shared" ref="DD93:DD97" si="737">AR93</f>
        <v>0.35199999999999987</v>
      </c>
      <c r="DE93" s="43">
        <f t="shared" ref="DE93:DE97" si="738">AS93</f>
        <v>0.33599999999999985</v>
      </c>
      <c r="DF93" s="43">
        <f t="shared" ref="DF93:DF97" si="739">AT93</f>
        <v>0.31999999999999984</v>
      </c>
      <c r="DG93" s="43">
        <f t="shared" ref="DG93:DG97" si="740">AU93</f>
        <v>0.30399999999999983</v>
      </c>
      <c r="DH93" s="43">
        <f t="shared" ref="DH93:DH97" si="741">AV93</f>
        <v>0.28799999999999981</v>
      </c>
      <c r="DI93" s="43">
        <f t="shared" ref="DI93:DI97" si="742">AW93</f>
        <v>0.2719999999999998</v>
      </c>
      <c r="DJ93" s="43">
        <f t="shared" ref="DJ93:DJ97" si="743">AX93</f>
        <v>0.25599999999999978</v>
      </c>
      <c r="DK93" s="43">
        <f t="shared" ref="DK93:DK97" si="744">AY93</f>
        <v>0.23999999999999977</v>
      </c>
      <c r="DL93" s="43">
        <f t="shared" ref="DL93:DL97" si="745">AZ93</f>
        <v>0.22399999999999975</v>
      </c>
      <c r="DM93" s="43">
        <f t="shared" ref="DM93:DM97" si="746">BA93</f>
        <v>0.20799999999999974</v>
      </c>
      <c r="DN93" s="43">
        <f t="shared" ref="DN93:DN97" si="747">BB93</f>
        <v>0.19199999999999973</v>
      </c>
      <c r="DO93" s="43">
        <f t="shared" ref="DO93:DO97" si="748">BC93</f>
        <v>0.17599999999999971</v>
      </c>
      <c r="DP93" s="43">
        <f t="shared" ref="DP93:DP97" si="749">BD93</f>
        <v>0.1599999999999997</v>
      </c>
      <c r="DQ93" s="43">
        <f t="shared" ref="DQ93:DQ97" si="750">BE93</f>
        <v>0.14399999999999968</v>
      </c>
      <c r="DR93" s="43">
        <f t="shared" ref="DR93:DR97" si="751">BF93</f>
        <v>0.12799999999999967</v>
      </c>
      <c r="DS93" s="43">
        <f t="shared" ref="DS93:DS97" si="752">BG93</f>
        <v>0.11199999999999967</v>
      </c>
      <c r="DT93" s="43">
        <f t="shared" ref="DT93:DT97" si="753">BH93</f>
        <v>9.5999999999999669E-2</v>
      </c>
      <c r="DU93" s="43">
        <f t="shared" ref="DU93:DU97" si="754">BI93</f>
        <v>7.9999999999999669E-2</v>
      </c>
      <c r="DV93" s="43">
        <f t="shared" ref="DV93:DV97" si="755">BJ93</f>
        <v>6.3999999999999668E-2</v>
      </c>
      <c r="DW93" s="43">
        <f t="shared" ref="DW93:DW97" si="756">BK93</f>
        <v>4.7999999999999668E-2</v>
      </c>
      <c r="DX93" s="43">
        <f t="shared" ref="DX93:DX97" si="757">BL93</f>
        <v>3.1999999999999668E-2</v>
      </c>
      <c r="DY93" s="43">
        <f t="shared" ref="DY93:DY97" si="758">BM93</f>
        <v>1.5999999999999667E-2</v>
      </c>
      <c r="DZ93" s="43">
        <f t="shared" ref="DZ93:DZ97" si="759">BN93</f>
        <v>0</v>
      </c>
    </row>
    <row r="94" spans="1:165" x14ac:dyDescent="0.2">
      <c r="A94" s="606" t="s">
        <v>88</v>
      </c>
      <c r="C94" s="54" t="s">
        <v>458</v>
      </c>
      <c r="D94" s="43">
        <f>$B$187</f>
        <v>3</v>
      </c>
      <c r="E94" s="43">
        <f t="shared" ref="E94:AG94" si="760">D94-($D94-$AH94)/30</f>
        <v>2.9</v>
      </c>
      <c r="F94" s="43">
        <f t="shared" si="760"/>
        <v>2.8</v>
      </c>
      <c r="G94" s="43">
        <f t="shared" si="760"/>
        <v>2.6999999999999997</v>
      </c>
      <c r="H94" s="43">
        <f t="shared" si="760"/>
        <v>2.5999999999999996</v>
      </c>
      <c r="I94" s="43">
        <f t="shared" si="760"/>
        <v>2.4999999999999996</v>
      </c>
      <c r="J94" s="43">
        <f t="shared" si="760"/>
        <v>2.3999999999999995</v>
      </c>
      <c r="K94" s="43">
        <f t="shared" si="760"/>
        <v>2.2999999999999994</v>
      </c>
      <c r="L94" s="43">
        <f t="shared" si="760"/>
        <v>2.1999999999999993</v>
      </c>
      <c r="M94" s="43">
        <f t="shared" si="760"/>
        <v>2.0999999999999992</v>
      </c>
      <c r="N94" s="43">
        <f t="shared" si="760"/>
        <v>1.9999999999999991</v>
      </c>
      <c r="O94" s="43">
        <f t="shared" si="760"/>
        <v>1.899999999999999</v>
      </c>
      <c r="P94" s="43">
        <f t="shared" si="760"/>
        <v>1.7999999999999989</v>
      </c>
      <c r="Q94" s="43">
        <f t="shared" si="760"/>
        <v>1.6999999999999988</v>
      </c>
      <c r="R94" s="43">
        <f t="shared" si="760"/>
        <v>1.5999999999999988</v>
      </c>
      <c r="S94" s="43">
        <f t="shared" si="760"/>
        <v>1.4999999999999987</v>
      </c>
      <c r="T94" s="43">
        <f t="shared" si="760"/>
        <v>1.3999999999999986</v>
      </c>
      <c r="U94" s="43">
        <f t="shared" si="760"/>
        <v>1.2999999999999985</v>
      </c>
      <c r="V94" s="43">
        <f t="shared" si="760"/>
        <v>1.1999999999999984</v>
      </c>
      <c r="W94" s="43">
        <f t="shared" si="760"/>
        <v>1.0999999999999983</v>
      </c>
      <c r="X94" s="43">
        <f t="shared" si="760"/>
        <v>0.99999999999999833</v>
      </c>
      <c r="Y94" s="43">
        <f t="shared" si="760"/>
        <v>0.89999999999999836</v>
      </c>
      <c r="Z94" s="43">
        <f t="shared" si="760"/>
        <v>0.79999999999999838</v>
      </c>
      <c r="AA94" s="43">
        <f t="shared" si="760"/>
        <v>0.6999999999999984</v>
      </c>
      <c r="AB94" s="43">
        <f t="shared" si="760"/>
        <v>0.59999999999999842</v>
      </c>
      <c r="AC94" s="43">
        <f t="shared" si="760"/>
        <v>0.49999999999999845</v>
      </c>
      <c r="AD94" s="43">
        <f t="shared" si="760"/>
        <v>0.39999999999999847</v>
      </c>
      <c r="AE94" s="43">
        <f t="shared" si="760"/>
        <v>0.29999999999999849</v>
      </c>
      <c r="AF94" s="43">
        <f t="shared" si="760"/>
        <v>0.19999999999999848</v>
      </c>
      <c r="AG94" s="43">
        <f t="shared" si="760"/>
        <v>9.9999999999998479E-2</v>
      </c>
      <c r="AH94" s="43">
        <f>$C$187</f>
        <v>0</v>
      </c>
      <c r="AI94" s="44"/>
      <c r="AJ94" s="43">
        <f t="shared" ref="AJ94:AJ101" si="761">D94</f>
        <v>3</v>
      </c>
      <c r="AK94" s="43">
        <f t="shared" si="699"/>
        <v>2.9</v>
      </c>
      <c r="AL94" s="43">
        <f t="shared" si="700"/>
        <v>2.8</v>
      </c>
      <c r="AM94" s="43">
        <f t="shared" si="701"/>
        <v>2.6999999999999997</v>
      </c>
      <c r="AN94" s="43">
        <f t="shared" si="702"/>
        <v>2.5999999999999996</v>
      </c>
      <c r="AO94" s="43">
        <f t="shared" si="703"/>
        <v>2.4999999999999996</v>
      </c>
      <c r="AP94" s="43">
        <f t="shared" si="704"/>
        <v>2.3999999999999995</v>
      </c>
      <c r="AQ94" s="43">
        <f t="shared" si="705"/>
        <v>2.2999999999999994</v>
      </c>
      <c r="AR94" s="43">
        <f t="shared" si="706"/>
        <v>2.1999999999999993</v>
      </c>
      <c r="AS94" s="43">
        <f t="shared" si="707"/>
        <v>2.0999999999999992</v>
      </c>
      <c r="AT94" s="43">
        <f t="shared" si="708"/>
        <v>1.9999999999999991</v>
      </c>
      <c r="AU94" s="43">
        <f t="shared" si="709"/>
        <v>1.899999999999999</v>
      </c>
      <c r="AV94" s="43">
        <f t="shared" si="710"/>
        <v>1.7999999999999989</v>
      </c>
      <c r="AW94" s="43">
        <f t="shared" si="711"/>
        <v>1.6999999999999988</v>
      </c>
      <c r="AX94" s="43">
        <f t="shared" si="712"/>
        <v>1.5999999999999988</v>
      </c>
      <c r="AY94" s="43">
        <f t="shared" si="713"/>
        <v>1.4999999999999987</v>
      </c>
      <c r="AZ94" s="43">
        <f t="shared" si="714"/>
        <v>1.3999999999999986</v>
      </c>
      <c r="BA94" s="43">
        <f t="shared" si="715"/>
        <v>1.2999999999999985</v>
      </c>
      <c r="BB94" s="43">
        <f t="shared" si="716"/>
        <v>1.1999999999999984</v>
      </c>
      <c r="BC94" s="43">
        <f t="shared" si="717"/>
        <v>1.0999999999999983</v>
      </c>
      <c r="BD94" s="43">
        <f t="shared" si="718"/>
        <v>0.99999999999999833</v>
      </c>
      <c r="BE94" s="43">
        <f t="shared" si="719"/>
        <v>0.89999999999999836</v>
      </c>
      <c r="BF94" s="43">
        <f t="shared" si="720"/>
        <v>0.79999999999999838</v>
      </c>
      <c r="BG94" s="43">
        <f t="shared" si="721"/>
        <v>0.6999999999999984</v>
      </c>
      <c r="BH94" s="43">
        <f t="shared" si="722"/>
        <v>0.59999999999999842</v>
      </c>
      <c r="BI94" s="43">
        <f t="shared" si="723"/>
        <v>0.49999999999999845</v>
      </c>
      <c r="BJ94" s="43">
        <f t="shared" si="724"/>
        <v>0.39999999999999847</v>
      </c>
      <c r="BK94" s="43">
        <f t="shared" si="725"/>
        <v>0.29999999999999849</v>
      </c>
      <c r="BL94" s="43">
        <f t="shared" si="726"/>
        <v>0.19999999999999848</v>
      </c>
      <c r="BM94" s="43">
        <f t="shared" si="727"/>
        <v>9.9999999999998479E-2</v>
      </c>
      <c r="BN94" s="43">
        <f t="shared" si="728"/>
        <v>0</v>
      </c>
      <c r="BP94" s="43">
        <f t="shared" ref="BP94:BP101" si="762">D94</f>
        <v>3</v>
      </c>
      <c r="BQ94" s="43">
        <f t="shared" ref="BQ94:CS94" si="763">BP94-($BP94-$CT94)/30</f>
        <v>3</v>
      </c>
      <c r="BR94" s="43">
        <f t="shared" si="763"/>
        <v>3</v>
      </c>
      <c r="BS94" s="43">
        <f t="shared" si="763"/>
        <v>3</v>
      </c>
      <c r="BT94" s="43">
        <f t="shared" si="763"/>
        <v>3</v>
      </c>
      <c r="BU94" s="43">
        <f t="shared" si="763"/>
        <v>3</v>
      </c>
      <c r="BV94" s="43">
        <f t="shared" si="763"/>
        <v>3</v>
      </c>
      <c r="BW94" s="43">
        <f t="shared" si="763"/>
        <v>3</v>
      </c>
      <c r="BX94" s="43">
        <f t="shared" si="763"/>
        <v>3</v>
      </c>
      <c r="BY94" s="43">
        <f t="shared" si="763"/>
        <v>3</v>
      </c>
      <c r="BZ94" s="43">
        <f t="shared" si="763"/>
        <v>3</v>
      </c>
      <c r="CA94" s="43">
        <f t="shared" si="763"/>
        <v>3</v>
      </c>
      <c r="CB94" s="43">
        <f t="shared" si="763"/>
        <v>3</v>
      </c>
      <c r="CC94" s="43">
        <f t="shared" si="763"/>
        <v>3</v>
      </c>
      <c r="CD94" s="43">
        <f t="shared" si="763"/>
        <v>3</v>
      </c>
      <c r="CE94" s="43">
        <f t="shared" si="763"/>
        <v>3</v>
      </c>
      <c r="CF94" s="43">
        <f t="shared" si="763"/>
        <v>3</v>
      </c>
      <c r="CG94" s="43">
        <f t="shared" si="763"/>
        <v>3</v>
      </c>
      <c r="CH94" s="43">
        <f t="shared" si="763"/>
        <v>3</v>
      </c>
      <c r="CI94" s="43">
        <f t="shared" si="763"/>
        <v>3</v>
      </c>
      <c r="CJ94" s="43">
        <f t="shared" si="763"/>
        <v>3</v>
      </c>
      <c r="CK94" s="43">
        <f t="shared" si="763"/>
        <v>3</v>
      </c>
      <c r="CL94" s="43">
        <f t="shared" si="763"/>
        <v>3</v>
      </c>
      <c r="CM94" s="43">
        <f t="shared" si="763"/>
        <v>3</v>
      </c>
      <c r="CN94" s="43">
        <f t="shared" si="763"/>
        <v>3</v>
      </c>
      <c r="CO94" s="43">
        <f t="shared" si="763"/>
        <v>3</v>
      </c>
      <c r="CP94" s="43">
        <f t="shared" si="763"/>
        <v>3</v>
      </c>
      <c r="CQ94" s="43">
        <f t="shared" si="763"/>
        <v>3</v>
      </c>
      <c r="CR94" s="43">
        <f t="shared" si="763"/>
        <v>3</v>
      </c>
      <c r="CS94" s="43">
        <f t="shared" si="763"/>
        <v>3</v>
      </c>
      <c r="CT94" s="43">
        <f t="shared" ref="CT94:CT95" si="764">BP94</f>
        <v>3</v>
      </c>
      <c r="CV94" s="43">
        <f>AJ94</f>
        <v>3</v>
      </c>
      <c r="CW94" s="43">
        <f t="shared" si="730"/>
        <v>2.9</v>
      </c>
      <c r="CX94" s="43">
        <f t="shared" si="731"/>
        <v>2.8</v>
      </c>
      <c r="CY94" s="43">
        <f t="shared" si="732"/>
        <v>2.6999999999999997</v>
      </c>
      <c r="CZ94" s="43">
        <f t="shared" si="733"/>
        <v>2.5999999999999996</v>
      </c>
      <c r="DA94" s="43">
        <f t="shared" si="734"/>
        <v>2.4999999999999996</v>
      </c>
      <c r="DB94" s="43">
        <f t="shared" si="735"/>
        <v>2.3999999999999995</v>
      </c>
      <c r="DC94" s="43">
        <f t="shared" si="736"/>
        <v>2.2999999999999994</v>
      </c>
      <c r="DD94" s="43">
        <f t="shared" si="737"/>
        <v>2.1999999999999993</v>
      </c>
      <c r="DE94" s="43">
        <f t="shared" si="738"/>
        <v>2.0999999999999992</v>
      </c>
      <c r="DF94" s="43">
        <f t="shared" si="739"/>
        <v>1.9999999999999991</v>
      </c>
      <c r="DG94" s="43">
        <f t="shared" si="740"/>
        <v>1.899999999999999</v>
      </c>
      <c r="DH94" s="43">
        <f t="shared" si="741"/>
        <v>1.7999999999999989</v>
      </c>
      <c r="DI94" s="43">
        <f t="shared" si="742"/>
        <v>1.6999999999999988</v>
      </c>
      <c r="DJ94" s="43">
        <f t="shared" si="743"/>
        <v>1.5999999999999988</v>
      </c>
      <c r="DK94" s="43">
        <f t="shared" si="744"/>
        <v>1.4999999999999987</v>
      </c>
      <c r="DL94" s="43">
        <f t="shared" si="745"/>
        <v>1.3999999999999986</v>
      </c>
      <c r="DM94" s="43">
        <f t="shared" si="746"/>
        <v>1.2999999999999985</v>
      </c>
      <c r="DN94" s="43">
        <f t="shared" si="747"/>
        <v>1.1999999999999984</v>
      </c>
      <c r="DO94" s="43">
        <f t="shared" si="748"/>
        <v>1.0999999999999983</v>
      </c>
      <c r="DP94" s="43">
        <f t="shared" si="749"/>
        <v>0.99999999999999833</v>
      </c>
      <c r="DQ94" s="43">
        <f t="shared" si="750"/>
        <v>0.89999999999999836</v>
      </c>
      <c r="DR94" s="43">
        <f t="shared" si="751"/>
        <v>0.79999999999999838</v>
      </c>
      <c r="DS94" s="43">
        <f t="shared" si="752"/>
        <v>0.6999999999999984</v>
      </c>
      <c r="DT94" s="43">
        <f t="shared" si="753"/>
        <v>0.59999999999999842</v>
      </c>
      <c r="DU94" s="43">
        <f t="shared" si="754"/>
        <v>0.49999999999999845</v>
      </c>
      <c r="DV94" s="43">
        <f t="shared" si="755"/>
        <v>0.39999999999999847</v>
      </c>
      <c r="DW94" s="43">
        <f t="shared" si="756"/>
        <v>0.29999999999999849</v>
      </c>
      <c r="DX94" s="43">
        <f t="shared" si="757"/>
        <v>0.19999999999999848</v>
      </c>
      <c r="DY94" s="43">
        <f t="shared" si="758"/>
        <v>9.9999999999998479E-2</v>
      </c>
      <c r="DZ94" s="43">
        <f t="shared" si="759"/>
        <v>0</v>
      </c>
    </row>
    <row r="95" spans="1:165" x14ac:dyDescent="0.2">
      <c r="A95" s="606" t="s">
        <v>459</v>
      </c>
      <c r="C95" s="54" t="s">
        <v>458</v>
      </c>
      <c r="D95" s="43">
        <f>$BP$189</f>
        <v>1.8298179999999999</v>
      </c>
      <c r="E95" s="43">
        <f t="shared" ref="E95:AG95" si="765">D95-($D95-$AH95)/30</f>
        <v>1.8533240666666666</v>
      </c>
      <c r="F95" s="43">
        <f t="shared" si="765"/>
        <v>1.8768301333333333</v>
      </c>
      <c r="G95" s="43">
        <f t="shared" si="765"/>
        <v>1.9003361999999999</v>
      </c>
      <c r="H95" s="43">
        <f t="shared" si="765"/>
        <v>1.9238422666666666</v>
      </c>
      <c r="I95" s="43">
        <f t="shared" si="765"/>
        <v>1.9473483333333332</v>
      </c>
      <c r="J95" s="43">
        <f t="shared" si="765"/>
        <v>1.9708543999999999</v>
      </c>
      <c r="K95" s="43">
        <f t="shared" si="765"/>
        <v>1.9943604666666666</v>
      </c>
      <c r="L95" s="43">
        <f t="shared" si="765"/>
        <v>2.0178665333333332</v>
      </c>
      <c r="M95" s="43">
        <f t="shared" si="765"/>
        <v>2.0413725999999999</v>
      </c>
      <c r="N95" s="43">
        <f t="shared" si="765"/>
        <v>2.0648786666666665</v>
      </c>
      <c r="O95" s="43">
        <f t="shared" si="765"/>
        <v>2.0883847333333332</v>
      </c>
      <c r="P95" s="43">
        <f t="shared" si="765"/>
        <v>2.1118907999999998</v>
      </c>
      <c r="Q95" s="43">
        <f t="shared" si="765"/>
        <v>2.1353968666666665</v>
      </c>
      <c r="R95" s="43">
        <f t="shared" si="765"/>
        <v>2.1589029333333332</v>
      </c>
      <c r="S95" s="43">
        <f t="shared" si="765"/>
        <v>2.1824089999999998</v>
      </c>
      <c r="T95" s="43">
        <f t="shared" si="765"/>
        <v>2.2059150666666665</v>
      </c>
      <c r="U95" s="43">
        <f t="shared" si="765"/>
        <v>2.2294211333333331</v>
      </c>
      <c r="V95" s="43">
        <f t="shared" si="765"/>
        <v>2.2529271999999998</v>
      </c>
      <c r="W95" s="43">
        <f t="shared" si="765"/>
        <v>2.2764332666666665</v>
      </c>
      <c r="X95" s="43">
        <f t="shared" si="765"/>
        <v>2.2999393333333331</v>
      </c>
      <c r="Y95" s="43">
        <f t="shared" si="765"/>
        <v>2.3234453999999998</v>
      </c>
      <c r="Z95" s="43">
        <f t="shared" si="765"/>
        <v>2.3469514666666664</v>
      </c>
      <c r="AA95" s="43">
        <f t="shared" si="765"/>
        <v>2.3704575333333331</v>
      </c>
      <c r="AB95" s="43">
        <f t="shared" si="765"/>
        <v>2.3939635999999997</v>
      </c>
      <c r="AC95" s="43">
        <f t="shared" si="765"/>
        <v>2.4174696666666664</v>
      </c>
      <c r="AD95" s="43">
        <f t="shared" si="765"/>
        <v>2.4409757333333331</v>
      </c>
      <c r="AE95" s="43">
        <f t="shared" si="765"/>
        <v>2.4644817999999997</v>
      </c>
      <c r="AF95" s="43">
        <f t="shared" si="765"/>
        <v>2.4879878666666664</v>
      </c>
      <c r="AG95" s="43">
        <f t="shared" si="765"/>
        <v>2.511493933333333</v>
      </c>
      <c r="AH95" s="43">
        <f>EB189</f>
        <v>2.5350000000000001</v>
      </c>
      <c r="AI95" s="44"/>
      <c r="AJ95" s="43">
        <f t="shared" si="761"/>
        <v>1.8298179999999999</v>
      </c>
      <c r="AK95" s="43">
        <f t="shared" si="699"/>
        <v>1.8533240666666666</v>
      </c>
      <c r="AL95" s="43">
        <f t="shared" si="700"/>
        <v>1.8768301333333333</v>
      </c>
      <c r="AM95" s="43">
        <f t="shared" si="701"/>
        <v>1.9003361999999999</v>
      </c>
      <c r="AN95" s="43">
        <f t="shared" si="702"/>
        <v>1.9238422666666666</v>
      </c>
      <c r="AO95" s="43">
        <f t="shared" si="703"/>
        <v>1.9473483333333332</v>
      </c>
      <c r="AP95" s="43">
        <f t="shared" si="704"/>
        <v>1.9708543999999999</v>
      </c>
      <c r="AQ95" s="43">
        <f t="shared" si="705"/>
        <v>1.9943604666666666</v>
      </c>
      <c r="AR95" s="43">
        <f t="shared" si="706"/>
        <v>2.0178665333333332</v>
      </c>
      <c r="AS95" s="43">
        <f t="shared" si="707"/>
        <v>2.0413725999999999</v>
      </c>
      <c r="AT95" s="43">
        <f t="shared" si="708"/>
        <v>2.0648786666666665</v>
      </c>
      <c r="AU95" s="43">
        <f t="shared" si="709"/>
        <v>2.0883847333333332</v>
      </c>
      <c r="AV95" s="43">
        <f t="shared" si="710"/>
        <v>2.1118907999999998</v>
      </c>
      <c r="AW95" s="43">
        <f t="shared" si="711"/>
        <v>2.1353968666666665</v>
      </c>
      <c r="AX95" s="43">
        <f t="shared" si="712"/>
        <v>2.1589029333333332</v>
      </c>
      <c r="AY95" s="43">
        <f t="shared" si="713"/>
        <v>2.1824089999999998</v>
      </c>
      <c r="AZ95" s="43">
        <f t="shared" si="714"/>
        <v>2.2059150666666665</v>
      </c>
      <c r="BA95" s="43">
        <f t="shared" si="715"/>
        <v>2.2294211333333331</v>
      </c>
      <c r="BB95" s="43">
        <f t="shared" si="716"/>
        <v>2.2529271999999998</v>
      </c>
      <c r="BC95" s="43">
        <f t="shared" si="717"/>
        <v>2.2764332666666665</v>
      </c>
      <c r="BD95" s="43">
        <f t="shared" si="718"/>
        <v>2.2999393333333331</v>
      </c>
      <c r="BE95" s="43">
        <f t="shared" si="719"/>
        <v>2.3234453999999998</v>
      </c>
      <c r="BF95" s="43">
        <f t="shared" si="720"/>
        <v>2.3469514666666664</v>
      </c>
      <c r="BG95" s="43">
        <f t="shared" si="721"/>
        <v>2.3704575333333331</v>
      </c>
      <c r="BH95" s="43">
        <f t="shared" si="722"/>
        <v>2.3939635999999997</v>
      </c>
      <c r="BI95" s="43">
        <f t="shared" si="723"/>
        <v>2.4174696666666664</v>
      </c>
      <c r="BJ95" s="43">
        <f t="shared" si="724"/>
        <v>2.4409757333333331</v>
      </c>
      <c r="BK95" s="43">
        <f t="shared" si="725"/>
        <v>2.4644817999999997</v>
      </c>
      <c r="BL95" s="43">
        <f t="shared" si="726"/>
        <v>2.4879878666666664</v>
      </c>
      <c r="BM95" s="43">
        <f t="shared" si="727"/>
        <v>2.511493933333333</v>
      </c>
      <c r="BN95" s="43">
        <f t="shared" si="728"/>
        <v>2.5350000000000001</v>
      </c>
      <c r="BP95" s="43">
        <f t="shared" si="762"/>
        <v>1.8298179999999999</v>
      </c>
      <c r="BQ95" s="43">
        <f t="shared" ref="BQ95:CS95" si="766">BP95-($BP95-$CT95)/30</f>
        <v>1.8298179999999999</v>
      </c>
      <c r="BR95" s="43">
        <f t="shared" si="766"/>
        <v>1.8298179999999999</v>
      </c>
      <c r="BS95" s="43">
        <f t="shared" si="766"/>
        <v>1.8298179999999999</v>
      </c>
      <c r="BT95" s="43">
        <f t="shared" si="766"/>
        <v>1.8298179999999999</v>
      </c>
      <c r="BU95" s="43">
        <f t="shared" si="766"/>
        <v>1.8298179999999999</v>
      </c>
      <c r="BV95" s="43">
        <f t="shared" si="766"/>
        <v>1.8298179999999999</v>
      </c>
      <c r="BW95" s="43">
        <f t="shared" si="766"/>
        <v>1.8298179999999999</v>
      </c>
      <c r="BX95" s="43">
        <f t="shared" si="766"/>
        <v>1.8298179999999999</v>
      </c>
      <c r="BY95" s="43">
        <f t="shared" si="766"/>
        <v>1.8298179999999999</v>
      </c>
      <c r="BZ95" s="43">
        <f t="shared" si="766"/>
        <v>1.8298179999999999</v>
      </c>
      <c r="CA95" s="43">
        <f t="shared" si="766"/>
        <v>1.8298179999999999</v>
      </c>
      <c r="CB95" s="43">
        <f t="shared" si="766"/>
        <v>1.8298179999999999</v>
      </c>
      <c r="CC95" s="43">
        <f t="shared" si="766"/>
        <v>1.8298179999999999</v>
      </c>
      <c r="CD95" s="43">
        <f t="shared" si="766"/>
        <v>1.8298179999999999</v>
      </c>
      <c r="CE95" s="43">
        <f t="shared" si="766"/>
        <v>1.8298179999999999</v>
      </c>
      <c r="CF95" s="43">
        <f t="shared" si="766"/>
        <v>1.8298179999999999</v>
      </c>
      <c r="CG95" s="43">
        <f t="shared" si="766"/>
        <v>1.8298179999999999</v>
      </c>
      <c r="CH95" s="43">
        <f t="shared" si="766"/>
        <v>1.8298179999999999</v>
      </c>
      <c r="CI95" s="43">
        <f t="shared" si="766"/>
        <v>1.8298179999999999</v>
      </c>
      <c r="CJ95" s="43">
        <f t="shared" si="766"/>
        <v>1.8298179999999999</v>
      </c>
      <c r="CK95" s="43">
        <f t="shared" si="766"/>
        <v>1.8298179999999999</v>
      </c>
      <c r="CL95" s="43">
        <f t="shared" si="766"/>
        <v>1.8298179999999999</v>
      </c>
      <c r="CM95" s="43">
        <f t="shared" si="766"/>
        <v>1.8298179999999999</v>
      </c>
      <c r="CN95" s="43">
        <f t="shared" si="766"/>
        <v>1.8298179999999999</v>
      </c>
      <c r="CO95" s="43">
        <f t="shared" si="766"/>
        <v>1.8298179999999999</v>
      </c>
      <c r="CP95" s="43">
        <f t="shared" si="766"/>
        <v>1.8298179999999999</v>
      </c>
      <c r="CQ95" s="43">
        <f t="shared" si="766"/>
        <v>1.8298179999999999</v>
      </c>
      <c r="CR95" s="43">
        <f t="shared" si="766"/>
        <v>1.8298179999999999</v>
      </c>
      <c r="CS95" s="43">
        <f t="shared" si="766"/>
        <v>1.8298179999999999</v>
      </c>
      <c r="CT95" s="43">
        <f t="shared" si="764"/>
        <v>1.8298179999999999</v>
      </c>
      <c r="CV95" s="43">
        <f>AJ95</f>
        <v>1.8298179999999999</v>
      </c>
      <c r="CW95" s="43">
        <f t="shared" si="730"/>
        <v>1.8533240666666666</v>
      </c>
      <c r="CX95" s="43">
        <f t="shared" si="731"/>
        <v>1.8768301333333333</v>
      </c>
      <c r="CY95" s="43">
        <f t="shared" si="732"/>
        <v>1.9003361999999999</v>
      </c>
      <c r="CZ95" s="43">
        <f t="shared" si="733"/>
        <v>1.9238422666666666</v>
      </c>
      <c r="DA95" s="43">
        <f t="shared" si="734"/>
        <v>1.9473483333333332</v>
      </c>
      <c r="DB95" s="43">
        <f t="shared" si="735"/>
        <v>1.9708543999999999</v>
      </c>
      <c r="DC95" s="43">
        <f t="shared" si="736"/>
        <v>1.9943604666666666</v>
      </c>
      <c r="DD95" s="43">
        <f t="shared" si="737"/>
        <v>2.0178665333333332</v>
      </c>
      <c r="DE95" s="43">
        <f t="shared" si="738"/>
        <v>2.0413725999999999</v>
      </c>
      <c r="DF95" s="43">
        <f t="shared" si="739"/>
        <v>2.0648786666666665</v>
      </c>
      <c r="DG95" s="43">
        <f t="shared" si="740"/>
        <v>2.0883847333333332</v>
      </c>
      <c r="DH95" s="43">
        <f t="shared" si="741"/>
        <v>2.1118907999999998</v>
      </c>
      <c r="DI95" s="43">
        <f t="shared" si="742"/>
        <v>2.1353968666666665</v>
      </c>
      <c r="DJ95" s="43">
        <f t="shared" si="743"/>
        <v>2.1589029333333332</v>
      </c>
      <c r="DK95" s="43">
        <f t="shared" si="744"/>
        <v>2.1824089999999998</v>
      </c>
      <c r="DL95" s="43">
        <f t="shared" si="745"/>
        <v>2.2059150666666665</v>
      </c>
      <c r="DM95" s="43">
        <f t="shared" si="746"/>
        <v>2.2294211333333331</v>
      </c>
      <c r="DN95" s="43">
        <f t="shared" si="747"/>
        <v>2.2529271999999998</v>
      </c>
      <c r="DO95" s="43">
        <f t="shared" si="748"/>
        <v>2.2764332666666665</v>
      </c>
      <c r="DP95" s="43">
        <f t="shared" si="749"/>
        <v>2.2999393333333331</v>
      </c>
      <c r="DQ95" s="43">
        <f t="shared" si="750"/>
        <v>2.3234453999999998</v>
      </c>
      <c r="DR95" s="43">
        <f t="shared" si="751"/>
        <v>2.3469514666666664</v>
      </c>
      <c r="DS95" s="43">
        <f t="shared" si="752"/>
        <v>2.3704575333333331</v>
      </c>
      <c r="DT95" s="43">
        <f t="shared" si="753"/>
        <v>2.3939635999999997</v>
      </c>
      <c r="DU95" s="43">
        <f t="shared" si="754"/>
        <v>2.4174696666666664</v>
      </c>
      <c r="DV95" s="43">
        <f t="shared" si="755"/>
        <v>2.4409757333333331</v>
      </c>
      <c r="DW95" s="43">
        <f t="shared" si="756"/>
        <v>2.4644817999999997</v>
      </c>
      <c r="DX95" s="43">
        <f t="shared" si="757"/>
        <v>2.4879878666666664</v>
      </c>
      <c r="DY95" s="43">
        <f t="shared" si="758"/>
        <v>2.511493933333333</v>
      </c>
      <c r="DZ95" s="43">
        <f t="shared" si="759"/>
        <v>2.5350000000000001</v>
      </c>
    </row>
    <row r="96" spans="1:165" x14ac:dyDescent="0.2">
      <c r="A96" s="606" t="s">
        <v>460</v>
      </c>
      <c r="C96" s="54" t="s">
        <v>458</v>
      </c>
      <c r="D96" s="43">
        <f>$BP$189</f>
        <v>1.8298179999999999</v>
      </c>
      <c r="E96" s="43">
        <f t="shared" ref="E96:AG96" si="767">D96-($D96-$AH96)/30</f>
        <v>1.7718737633333332</v>
      </c>
      <c r="F96" s="43">
        <f t="shared" si="767"/>
        <v>1.7139295266666665</v>
      </c>
      <c r="G96" s="43">
        <f t="shared" si="767"/>
        <v>1.6559852899999998</v>
      </c>
      <c r="H96" s="43">
        <f t="shared" si="767"/>
        <v>1.5980410533333331</v>
      </c>
      <c r="I96" s="43">
        <f t="shared" si="767"/>
        <v>1.5400968166666664</v>
      </c>
      <c r="J96" s="43">
        <f t="shared" si="767"/>
        <v>1.4821525799999997</v>
      </c>
      <c r="K96" s="43">
        <f t="shared" si="767"/>
        <v>1.424208343333333</v>
      </c>
      <c r="L96" s="43">
        <f t="shared" si="767"/>
        <v>1.3662641066666663</v>
      </c>
      <c r="M96" s="43">
        <f t="shared" si="767"/>
        <v>1.3083198699999996</v>
      </c>
      <c r="N96" s="43">
        <f t="shared" si="767"/>
        <v>1.2503756333333329</v>
      </c>
      <c r="O96" s="43">
        <f t="shared" si="767"/>
        <v>1.1924313966666662</v>
      </c>
      <c r="P96" s="43">
        <f t="shared" si="767"/>
        <v>1.1344871599999995</v>
      </c>
      <c r="Q96" s="43">
        <f t="shared" si="767"/>
        <v>1.0765429233333328</v>
      </c>
      <c r="R96" s="43">
        <f t="shared" si="767"/>
        <v>1.0185986866666661</v>
      </c>
      <c r="S96" s="43">
        <f t="shared" si="767"/>
        <v>0.96065444999999938</v>
      </c>
      <c r="T96" s="43">
        <f t="shared" si="767"/>
        <v>0.90271021333333268</v>
      </c>
      <c r="U96" s="43">
        <f t="shared" si="767"/>
        <v>0.84476597666666597</v>
      </c>
      <c r="V96" s="43">
        <f t="shared" si="767"/>
        <v>0.78682173999999927</v>
      </c>
      <c r="W96" s="43">
        <f t="shared" si="767"/>
        <v>0.72887750333333257</v>
      </c>
      <c r="X96" s="43">
        <f t="shared" si="767"/>
        <v>0.67093326666666586</v>
      </c>
      <c r="Y96" s="43">
        <f t="shared" si="767"/>
        <v>0.61298902999999916</v>
      </c>
      <c r="Z96" s="43">
        <f t="shared" si="767"/>
        <v>0.55504479333333245</v>
      </c>
      <c r="AA96" s="43">
        <f t="shared" si="767"/>
        <v>0.4971005566666658</v>
      </c>
      <c r="AB96" s="43">
        <f t="shared" si="767"/>
        <v>0.43915631999999916</v>
      </c>
      <c r="AC96" s="43">
        <f t="shared" si="767"/>
        <v>0.38121208333333251</v>
      </c>
      <c r="AD96" s="43">
        <f t="shared" si="767"/>
        <v>0.32326784666666586</v>
      </c>
      <c r="AE96" s="43">
        <f t="shared" si="767"/>
        <v>0.26532360999999921</v>
      </c>
      <c r="AF96" s="43">
        <f t="shared" si="767"/>
        <v>0.20737937333333256</v>
      </c>
      <c r="AG96" s="43">
        <f t="shared" si="767"/>
        <v>0.14943513666666591</v>
      </c>
      <c r="AH96" s="43">
        <f>$BZ$189</f>
        <v>9.1490900000000083E-2</v>
      </c>
      <c r="AI96" s="44"/>
      <c r="AJ96" s="43">
        <f t="shared" si="761"/>
        <v>1.8298179999999999</v>
      </c>
      <c r="AK96" s="43">
        <f t="shared" si="699"/>
        <v>1.7718737633333332</v>
      </c>
      <c r="AL96" s="43">
        <f t="shared" si="700"/>
        <v>1.7139295266666665</v>
      </c>
      <c r="AM96" s="43">
        <f t="shared" si="701"/>
        <v>1.6559852899999998</v>
      </c>
      <c r="AN96" s="43">
        <f t="shared" si="702"/>
        <v>1.5980410533333331</v>
      </c>
      <c r="AO96" s="43">
        <f t="shared" si="703"/>
        <v>1.5400968166666664</v>
      </c>
      <c r="AP96" s="43">
        <f t="shared" si="704"/>
        <v>1.4821525799999997</v>
      </c>
      <c r="AQ96" s="43">
        <f t="shared" si="705"/>
        <v>1.424208343333333</v>
      </c>
      <c r="AR96" s="43">
        <f t="shared" si="706"/>
        <v>1.3662641066666663</v>
      </c>
      <c r="AS96" s="43">
        <f t="shared" si="707"/>
        <v>1.3083198699999996</v>
      </c>
      <c r="AT96" s="43">
        <f t="shared" si="708"/>
        <v>1.2503756333333329</v>
      </c>
      <c r="AU96" s="43">
        <f t="shared" si="709"/>
        <v>1.1924313966666662</v>
      </c>
      <c r="AV96" s="43">
        <f t="shared" si="710"/>
        <v>1.1344871599999995</v>
      </c>
      <c r="AW96" s="43">
        <f t="shared" si="711"/>
        <v>1.0765429233333328</v>
      </c>
      <c r="AX96" s="43">
        <f t="shared" si="712"/>
        <v>1.0185986866666661</v>
      </c>
      <c r="AY96" s="43">
        <f t="shared" si="713"/>
        <v>0.96065444999999938</v>
      </c>
      <c r="AZ96" s="43">
        <f t="shared" si="714"/>
        <v>0.90271021333333268</v>
      </c>
      <c r="BA96" s="43">
        <f t="shared" si="715"/>
        <v>0.84476597666666597</v>
      </c>
      <c r="BB96" s="43">
        <f t="shared" si="716"/>
        <v>0.78682173999999927</v>
      </c>
      <c r="BC96" s="43">
        <f t="shared" si="717"/>
        <v>0.72887750333333257</v>
      </c>
      <c r="BD96" s="43">
        <f t="shared" si="718"/>
        <v>0.67093326666666586</v>
      </c>
      <c r="BE96" s="43">
        <f t="shared" si="719"/>
        <v>0.61298902999999916</v>
      </c>
      <c r="BF96" s="43">
        <f t="shared" si="720"/>
        <v>0.55504479333333245</v>
      </c>
      <c r="BG96" s="43">
        <f t="shared" si="721"/>
        <v>0.4971005566666658</v>
      </c>
      <c r="BH96" s="43">
        <f t="shared" si="722"/>
        <v>0.43915631999999916</v>
      </c>
      <c r="BI96" s="43">
        <f t="shared" si="723"/>
        <v>0.38121208333333251</v>
      </c>
      <c r="BJ96" s="43">
        <f t="shared" si="724"/>
        <v>0.32326784666666586</v>
      </c>
      <c r="BK96" s="43">
        <f t="shared" si="725"/>
        <v>0.26532360999999921</v>
      </c>
      <c r="BL96" s="43">
        <f t="shared" si="726"/>
        <v>0.20737937333333256</v>
      </c>
      <c r="BM96" s="43">
        <f t="shared" si="727"/>
        <v>0.14943513666666591</v>
      </c>
      <c r="BN96" s="43">
        <f t="shared" si="728"/>
        <v>9.1490900000000083E-2</v>
      </c>
      <c r="BP96" s="43">
        <f t="shared" si="762"/>
        <v>1.8298179999999999</v>
      </c>
      <c r="BQ96" s="43">
        <f t="shared" ref="BQ96:CS96" si="768">BP96-($BP96-$CT96)/30</f>
        <v>1.7718737633333332</v>
      </c>
      <c r="BR96" s="43">
        <f t="shared" si="768"/>
        <v>1.7139295266666665</v>
      </c>
      <c r="BS96" s="43">
        <f t="shared" si="768"/>
        <v>1.6559852899999998</v>
      </c>
      <c r="BT96" s="43">
        <f t="shared" si="768"/>
        <v>1.5980410533333331</v>
      </c>
      <c r="BU96" s="43">
        <f t="shared" si="768"/>
        <v>1.5400968166666664</v>
      </c>
      <c r="BV96" s="43">
        <f t="shared" si="768"/>
        <v>1.4821525799999997</v>
      </c>
      <c r="BW96" s="43">
        <f t="shared" si="768"/>
        <v>1.424208343333333</v>
      </c>
      <c r="BX96" s="43">
        <f t="shared" si="768"/>
        <v>1.3662641066666663</v>
      </c>
      <c r="BY96" s="43">
        <f t="shared" si="768"/>
        <v>1.3083198699999996</v>
      </c>
      <c r="BZ96" s="43">
        <f t="shared" si="768"/>
        <v>1.2503756333333329</v>
      </c>
      <c r="CA96" s="43">
        <f t="shared" si="768"/>
        <v>1.1924313966666662</v>
      </c>
      <c r="CB96" s="43">
        <f t="shared" si="768"/>
        <v>1.1344871599999995</v>
      </c>
      <c r="CC96" s="43">
        <f t="shared" si="768"/>
        <v>1.0765429233333328</v>
      </c>
      <c r="CD96" s="43">
        <f t="shared" si="768"/>
        <v>1.0185986866666661</v>
      </c>
      <c r="CE96" s="43">
        <f t="shared" si="768"/>
        <v>0.96065444999999938</v>
      </c>
      <c r="CF96" s="43">
        <f t="shared" si="768"/>
        <v>0.90271021333333268</v>
      </c>
      <c r="CG96" s="43">
        <f t="shared" si="768"/>
        <v>0.84476597666666597</v>
      </c>
      <c r="CH96" s="43">
        <f t="shared" si="768"/>
        <v>0.78682173999999927</v>
      </c>
      <c r="CI96" s="43">
        <f t="shared" si="768"/>
        <v>0.72887750333333257</v>
      </c>
      <c r="CJ96" s="43">
        <f t="shared" si="768"/>
        <v>0.67093326666666586</v>
      </c>
      <c r="CK96" s="43">
        <f t="shared" si="768"/>
        <v>0.61298902999999916</v>
      </c>
      <c r="CL96" s="43">
        <f t="shared" si="768"/>
        <v>0.55504479333333245</v>
      </c>
      <c r="CM96" s="43">
        <f t="shared" si="768"/>
        <v>0.4971005566666658</v>
      </c>
      <c r="CN96" s="43">
        <f t="shared" si="768"/>
        <v>0.43915631999999916</v>
      </c>
      <c r="CO96" s="43">
        <f t="shared" si="768"/>
        <v>0.38121208333333251</v>
      </c>
      <c r="CP96" s="43">
        <f t="shared" si="768"/>
        <v>0.32326784666666586</v>
      </c>
      <c r="CQ96" s="43">
        <f t="shared" si="768"/>
        <v>0.26532360999999921</v>
      </c>
      <c r="CR96" s="43">
        <f t="shared" si="768"/>
        <v>0.20737937333333256</v>
      </c>
      <c r="CS96" s="43">
        <f t="shared" si="768"/>
        <v>0.14943513666666591</v>
      </c>
      <c r="CT96" s="43">
        <f>BN96</f>
        <v>9.1490900000000083E-2</v>
      </c>
      <c r="CV96" s="43">
        <f>AJ96</f>
        <v>1.8298179999999999</v>
      </c>
      <c r="CW96" s="43">
        <f t="shared" si="730"/>
        <v>1.7718737633333332</v>
      </c>
      <c r="CX96" s="43">
        <f t="shared" si="731"/>
        <v>1.7139295266666665</v>
      </c>
      <c r="CY96" s="43">
        <f t="shared" si="732"/>
        <v>1.6559852899999998</v>
      </c>
      <c r="CZ96" s="43">
        <f t="shared" si="733"/>
        <v>1.5980410533333331</v>
      </c>
      <c r="DA96" s="43">
        <f t="shared" si="734"/>
        <v>1.5400968166666664</v>
      </c>
      <c r="DB96" s="43">
        <f t="shared" si="735"/>
        <v>1.4821525799999997</v>
      </c>
      <c r="DC96" s="43">
        <f t="shared" si="736"/>
        <v>1.424208343333333</v>
      </c>
      <c r="DD96" s="43">
        <f t="shared" si="737"/>
        <v>1.3662641066666663</v>
      </c>
      <c r="DE96" s="43">
        <f t="shared" si="738"/>
        <v>1.3083198699999996</v>
      </c>
      <c r="DF96" s="43">
        <f t="shared" si="739"/>
        <v>1.2503756333333329</v>
      </c>
      <c r="DG96" s="43">
        <f t="shared" si="740"/>
        <v>1.1924313966666662</v>
      </c>
      <c r="DH96" s="43">
        <f t="shared" si="741"/>
        <v>1.1344871599999995</v>
      </c>
      <c r="DI96" s="43">
        <f t="shared" si="742"/>
        <v>1.0765429233333328</v>
      </c>
      <c r="DJ96" s="43">
        <f t="shared" si="743"/>
        <v>1.0185986866666661</v>
      </c>
      <c r="DK96" s="43">
        <f t="shared" si="744"/>
        <v>0.96065444999999938</v>
      </c>
      <c r="DL96" s="43">
        <f t="shared" si="745"/>
        <v>0.90271021333333268</v>
      </c>
      <c r="DM96" s="43">
        <f t="shared" si="746"/>
        <v>0.84476597666666597</v>
      </c>
      <c r="DN96" s="43">
        <f t="shared" si="747"/>
        <v>0.78682173999999927</v>
      </c>
      <c r="DO96" s="43">
        <f t="shared" si="748"/>
        <v>0.72887750333333257</v>
      </c>
      <c r="DP96" s="43">
        <f t="shared" si="749"/>
        <v>0.67093326666666586</v>
      </c>
      <c r="DQ96" s="43">
        <f t="shared" si="750"/>
        <v>0.61298902999999916</v>
      </c>
      <c r="DR96" s="43">
        <f t="shared" si="751"/>
        <v>0.55504479333333245</v>
      </c>
      <c r="DS96" s="43">
        <f t="shared" si="752"/>
        <v>0.4971005566666658</v>
      </c>
      <c r="DT96" s="43">
        <f t="shared" si="753"/>
        <v>0.43915631999999916</v>
      </c>
      <c r="DU96" s="43">
        <f t="shared" si="754"/>
        <v>0.38121208333333251</v>
      </c>
      <c r="DV96" s="43">
        <f t="shared" si="755"/>
        <v>0.32326784666666586</v>
      </c>
      <c r="DW96" s="43">
        <f t="shared" si="756"/>
        <v>0.26532360999999921</v>
      </c>
      <c r="DX96" s="43">
        <f t="shared" si="757"/>
        <v>0.20737937333333256</v>
      </c>
      <c r="DY96" s="43">
        <f t="shared" si="758"/>
        <v>0.14943513666666591</v>
      </c>
      <c r="DZ96" s="43">
        <f t="shared" si="759"/>
        <v>9.1490900000000083E-2</v>
      </c>
    </row>
    <row r="97" spans="1:165" x14ac:dyDescent="0.2">
      <c r="A97" s="606" t="s">
        <v>33</v>
      </c>
      <c r="C97" s="54" t="s">
        <v>458</v>
      </c>
      <c r="D97" s="43">
        <f>$B$190</f>
        <v>5.0000000000000001E-3</v>
      </c>
      <c r="E97" s="43">
        <f t="shared" ref="E97:AG97" si="769">D97-($D97-$AH97)/30</f>
        <v>4.8333333333333336E-3</v>
      </c>
      <c r="F97" s="43">
        <f t="shared" si="769"/>
        <v>4.6666666666666671E-3</v>
      </c>
      <c r="G97" s="43">
        <f t="shared" si="769"/>
        <v>4.5000000000000005E-3</v>
      </c>
      <c r="H97" s="43">
        <f t="shared" si="769"/>
        <v>4.333333333333334E-3</v>
      </c>
      <c r="I97" s="43">
        <f t="shared" si="769"/>
        <v>4.1666666666666675E-3</v>
      </c>
      <c r="J97" s="43">
        <f t="shared" si="769"/>
        <v>4.000000000000001E-3</v>
      </c>
      <c r="K97" s="43">
        <f t="shared" si="769"/>
        <v>3.8333333333333344E-3</v>
      </c>
      <c r="L97" s="43">
        <f t="shared" si="769"/>
        <v>3.6666666666666679E-3</v>
      </c>
      <c r="M97" s="43">
        <f t="shared" si="769"/>
        <v>3.5000000000000014E-3</v>
      </c>
      <c r="N97" s="43">
        <f t="shared" si="769"/>
        <v>3.3333333333333348E-3</v>
      </c>
      <c r="O97" s="43">
        <f t="shared" si="769"/>
        <v>3.1666666666666683E-3</v>
      </c>
      <c r="P97" s="43">
        <f t="shared" si="769"/>
        <v>3.0000000000000018E-3</v>
      </c>
      <c r="Q97" s="43">
        <f t="shared" si="769"/>
        <v>2.8333333333333353E-3</v>
      </c>
      <c r="R97" s="43">
        <f t="shared" si="769"/>
        <v>2.6666666666666687E-3</v>
      </c>
      <c r="S97" s="43">
        <f t="shared" si="769"/>
        <v>2.5000000000000022E-3</v>
      </c>
      <c r="T97" s="43">
        <f t="shared" si="769"/>
        <v>2.3333333333333357E-3</v>
      </c>
      <c r="U97" s="43">
        <f t="shared" si="769"/>
        <v>2.1666666666666692E-3</v>
      </c>
      <c r="V97" s="43">
        <f t="shared" si="769"/>
        <v>2.0000000000000026E-3</v>
      </c>
      <c r="W97" s="43">
        <f t="shared" si="769"/>
        <v>1.8333333333333359E-3</v>
      </c>
      <c r="X97" s="43">
        <f t="shared" si="769"/>
        <v>1.6666666666666692E-3</v>
      </c>
      <c r="Y97" s="43">
        <f t="shared" si="769"/>
        <v>1.5000000000000024E-3</v>
      </c>
      <c r="Z97" s="43">
        <f t="shared" si="769"/>
        <v>1.3333333333333357E-3</v>
      </c>
      <c r="AA97" s="43">
        <f t="shared" si="769"/>
        <v>1.1666666666666689E-3</v>
      </c>
      <c r="AB97" s="43">
        <f t="shared" si="769"/>
        <v>1.0000000000000022E-3</v>
      </c>
      <c r="AC97" s="43">
        <f t="shared" si="769"/>
        <v>8.3333333333333556E-4</v>
      </c>
      <c r="AD97" s="43">
        <f t="shared" si="769"/>
        <v>6.6666666666666892E-4</v>
      </c>
      <c r="AE97" s="43">
        <f t="shared" si="769"/>
        <v>5.0000000000000229E-4</v>
      </c>
      <c r="AF97" s="43">
        <f t="shared" si="769"/>
        <v>3.3333333333333565E-4</v>
      </c>
      <c r="AG97" s="43">
        <f t="shared" si="769"/>
        <v>1.6666666666666899E-4</v>
      </c>
      <c r="AH97" s="43">
        <f>$C$190</f>
        <v>0</v>
      </c>
      <c r="AI97" s="44"/>
      <c r="AJ97" s="43">
        <f t="shared" si="761"/>
        <v>5.0000000000000001E-3</v>
      </c>
      <c r="AK97" s="43">
        <f t="shared" si="699"/>
        <v>4.8333333333333336E-3</v>
      </c>
      <c r="AL97" s="43">
        <f t="shared" si="700"/>
        <v>4.6666666666666671E-3</v>
      </c>
      <c r="AM97" s="43">
        <f t="shared" si="701"/>
        <v>4.5000000000000005E-3</v>
      </c>
      <c r="AN97" s="43">
        <f t="shared" si="702"/>
        <v>4.333333333333334E-3</v>
      </c>
      <c r="AO97" s="43">
        <f t="shared" si="703"/>
        <v>4.1666666666666675E-3</v>
      </c>
      <c r="AP97" s="43">
        <f t="shared" si="704"/>
        <v>4.000000000000001E-3</v>
      </c>
      <c r="AQ97" s="43">
        <f t="shared" si="705"/>
        <v>3.8333333333333344E-3</v>
      </c>
      <c r="AR97" s="43">
        <f t="shared" si="706"/>
        <v>3.6666666666666679E-3</v>
      </c>
      <c r="AS97" s="43">
        <f t="shared" si="707"/>
        <v>3.5000000000000014E-3</v>
      </c>
      <c r="AT97" s="43">
        <f t="shared" si="708"/>
        <v>3.3333333333333348E-3</v>
      </c>
      <c r="AU97" s="43">
        <f t="shared" si="709"/>
        <v>3.1666666666666683E-3</v>
      </c>
      <c r="AV97" s="43">
        <f t="shared" si="710"/>
        <v>3.0000000000000018E-3</v>
      </c>
      <c r="AW97" s="43">
        <f t="shared" si="711"/>
        <v>2.8333333333333353E-3</v>
      </c>
      <c r="AX97" s="43">
        <f t="shared" si="712"/>
        <v>2.6666666666666687E-3</v>
      </c>
      <c r="AY97" s="43">
        <f t="shared" si="713"/>
        <v>2.5000000000000022E-3</v>
      </c>
      <c r="AZ97" s="43">
        <f t="shared" si="714"/>
        <v>2.3333333333333357E-3</v>
      </c>
      <c r="BA97" s="43">
        <f t="shared" si="715"/>
        <v>2.1666666666666692E-3</v>
      </c>
      <c r="BB97" s="43">
        <f t="shared" si="716"/>
        <v>2.0000000000000026E-3</v>
      </c>
      <c r="BC97" s="43">
        <f t="shared" si="717"/>
        <v>1.8333333333333359E-3</v>
      </c>
      <c r="BD97" s="43">
        <f t="shared" si="718"/>
        <v>1.6666666666666692E-3</v>
      </c>
      <c r="BE97" s="43">
        <f t="shared" si="719"/>
        <v>1.5000000000000024E-3</v>
      </c>
      <c r="BF97" s="43">
        <f t="shared" si="720"/>
        <v>1.3333333333333357E-3</v>
      </c>
      <c r="BG97" s="43">
        <f t="shared" si="721"/>
        <v>1.1666666666666689E-3</v>
      </c>
      <c r="BH97" s="43">
        <f t="shared" si="722"/>
        <v>1.0000000000000022E-3</v>
      </c>
      <c r="BI97" s="43">
        <f t="shared" si="723"/>
        <v>8.3333333333333556E-4</v>
      </c>
      <c r="BJ97" s="43">
        <f t="shared" si="724"/>
        <v>6.6666666666666892E-4</v>
      </c>
      <c r="BK97" s="43">
        <f t="shared" si="725"/>
        <v>5.0000000000000229E-4</v>
      </c>
      <c r="BL97" s="43">
        <f t="shared" si="726"/>
        <v>3.3333333333333565E-4</v>
      </c>
      <c r="BM97" s="43">
        <f t="shared" si="727"/>
        <v>1.6666666666666899E-4</v>
      </c>
      <c r="BN97" s="43">
        <f t="shared" si="728"/>
        <v>0</v>
      </c>
      <c r="BP97" s="43">
        <f t="shared" si="762"/>
        <v>5.0000000000000001E-3</v>
      </c>
      <c r="BQ97" s="43">
        <f t="shared" ref="BQ97:CS97" si="770">BP97-($BP97-$CT97)/30</f>
        <v>5.0000000000000001E-3</v>
      </c>
      <c r="BR97" s="43">
        <f t="shared" si="770"/>
        <v>5.0000000000000001E-3</v>
      </c>
      <c r="BS97" s="43">
        <f t="shared" si="770"/>
        <v>5.0000000000000001E-3</v>
      </c>
      <c r="BT97" s="43">
        <f t="shared" si="770"/>
        <v>5.0000000000000001E-3</v>
      </c>
      <c r="BU97" s="43">
        <f t="shared" si="770"/>
        <v>5.0000000000000001E-3</v>
      </c>
      <c r="BV97" s="43">
        <f t="shared" si="770"/>
        <v>5.0000000000000001E-3</v>
      </c>
      <c r="BW97" s="43">
        <f t="shared" si="770"/>
        <v>5.0000000000000001E-3</v>
      </c>
      <c r="BX97" s="43">
        <f t="shared" si="770"/>
        <v>5.0000000000000001E-3</v>
      </c>
      <c r="BY97" s="43">
        <f t="shared" si="770"/>
        <v>5.0000000000000001E-3</v>
      </c>
      <c r="BZ97" s="43">
        <f t="shared" si="770"/>
        <v>5.0000000000000001E-3</v>
      </c>
      <c r="CA97" s="43">
        <f t="shared" si="770"/>
        <v>5.0000000000000001E-3</v>
      </c>
      <c r="CB97" s="43">
        <f t="shared" si="770"/>
        <v>5.0000000000000001E-3</v>
      </c>
      <c r="CC97" s="43">
        <f t="shared" si="770"/>
        <v>5.0000000000000001E-3</v>
      </c>
      <c r="CD97" s="43">
        <f t="shared" si="770"/>
        <v>5.0000000000000001E-3</v>
      </c>
      <c r="CE97" s="43">
        <f t="shared" si="770"/>
        <v>5.0000000000000001E-3</v>
      </c>
      <c r="CF97" s="43">
        <f t="shared" si="770"/>
        <v>5.0000000000000001E-3</v>
      </c>
      <c r="CG97" s="43">
        <f t="shared" si="770"/>
        <v>5.0000000000000001E-3</v>
      </c>
      <c r="CH97" s="43">
        <f t="shared" si="770"/>
        <v>5.0000000000000001E-3</v>
      </c>
      <c r="CI97" s="43">
        <f t="shared" si="770"/>
        <v>5.0000000000000001E-3</v>
      </c>
      <c r="CJ97" s="43">
        <f t="shared" si="770"/>
        <v>5.0000000000000001E-3</v>
      </c>
      <c r="CK97" s="43">
        <f t="shared" si="770"/>
        <v>5.0000000000000001E-3</v>
      </c>
      <c r="CL97" s="43">
        <f t="shared" si="770"/>
        <v>5.0000000000000001E-3</v>
      </c>
      <c r="CM97" s="43">
        <f t="shared" si="770"/>
        <v>5.0000000000000001E-3</v>
      </c>
      <c r="CN97" s="43">
        <f t="shared" si="770"/>
        <v>5.0000000000000001E-3</v>
      </c>
      <c r="CO97" s="43">
        <f t="shared" si="770"/>
        <v>5.0000000000000001E-3</v>
      </c>
      <c r="CP97" s="43">
        <f t="shared" si="770"/>
        <v>5.0000000000000001E-3</v>
      </c>
      <c r="CQ97" s="43">
        <f t="shared" si="770"/>
        <v>5.0000000000000001E-3</v>
      </c>
      <c r="CR97" s="43">
        <f t="shared" si="770"/>
        <v>5.0000000000000001E-3</v>
      </c>
      <c r="CS97" s="43">
        <f t="shared" si="770"/>
        <v>5.0000000000000001E-3</v>
      </c>
      <c r="CT97" s="43">
        <f t="shared" ref="CT97:CT101" si="771">BP97</f>
        <v>5.0000000000000001E-3</v>
      </c>
      <c r="CV97" s="43">
        <f>AJ97</f>
        <v>5.0000000000000001E-3</v>
      </c>
      <c r="CW97" s="43">
        <f t="shared" si="730"/>
        <v>4.8333333333333336E-3</v>
      </c>
      <c r="CX97" s="43">
        <f t="shared" si="731"/>
        <v>4.6666666666666671E-3</v>
      </c>
      <c r="CY97" s="43">
        <f t="shared" si="732"/>
        <v>4.5000000000000005E-3</v>
      </c>
      <c r="CZ97" s="43">
        <f t="shared" si="733"/>
        <v>4.333333333333334E-3</v>
      </c>
      <c r="DA97" s="43">
        <f t="shared" si="734"/>
        <v>4.1666666666666675E-3</v>
      </c>
      <c r="DB97" s="43">
        <f t="shared" si="735"/>
        <v>4.000000000000001E-3</v>
      </c>
      <c r="DC97" s="43">
        <f t="shared" si="736"/>
        <v>3.8333333333333344E-3</v>
      </c>
      <c r="DD97" s="43">
        <f t="shared" si="737"/>
        <v>3.6666666666666679E-3</v>
      </c>
      <c r="DE97" s="43">
        <f t="shared" si="738"/>
        <v>3.5000000000000014E-3</v>
      </c>
      <c r="DF97" s="43">
        <f t="shared" si="739"/>
        <v>3.3333333333333348E-3</v>
      </c>
      <c r="DG97" s="43">
        <f t="shared" si="740"/>
        <v>3.1666666666666683E-3</v>
      </c>
      <c r="DH97" s="43">
        <f t="shared" si="741"/>
        <v>3.0000000000000018E-3</v>
      </c>
      <c r="DI97" s="43">
        <f t="shared" si="742"/>
        <v>2.8333333333333353E-3</v>
      </c>
      <c r="DJ97" s="43">
        <f t="shared" si="743"/>
        <v>2.6666666666666687E-3</v>
      </c>
      <c r="DK97" s="43">
        <f t="shared" si="744"/>
        <v>2.5000000000000022E-3</v>
      </c>
      <c r="DL97" s="43">
        <f t="shared" si="745"/>
        <v>2.3333333333333357E-3</v>
      </c>
      <c r="DM97" s="43">
        <f t="shared" si="746"/>
        <v>2.1666666666666692E-3</v>
      </c>
      <c r="DN97" s="43">
        <f t="shared" si="747"/>
        <v>2.0000000000000026E-3</v>
      </c>
      <c r="DO97" s="43">
        <f t="shared" si="748"/>
        <v>1.8333333333333359E-3</v>
      </c>
      <c r="DP97" s="43">
        <f t="shared" si="749"/>
        <v>1.6666666666666692E-3</v>
      </c>
      <c r="DQ97" s="43">
        <f t="shared" si="750"/>
        <v>1.5000000000000024E-3</v>
      </c>
      <c r="DR97" s="43">
        <f t="shared" si="751"/>
        <v>1.3333333333333357E-3</v>
      </c>
      <c r="DS97" s="43">
        <f t="shared" si="752"/>
        <v>1.1666666666666689E-3</v>
      </c>
      <c r="DT97" s="43">
        <f t="shared" si="753"/>
        <v>1.0000000000000022E-3</v>
      </c>
      <c r="DU97" s="43">
        <f t="shared" si="754"/>
        <v>8.3333333333333556E-4</v>
      </c>
      <c r="DV97" s="43">
        <f t="shared" si="755"/>
        <v>6.6666666666666892E-4</v>
      </c>
      <c r="DW97" s="43">
        <f t="shared" si="756"/>
        <v>5.0000000000000229E-4</v>
      </c>
      <c r="DX97" s="43">
        <f t="shared" si="757"/>
        <v>3.3333333333333565E-4</v>
      </c>
      <c r="DY97" s="43">
        <f t="shared" si="758"/>
        <v>1.6666666666666899E-4</v>
      </c>
      <c r="DZ97" s="43">
        <f t="shared" si="759"/>
        <v>0</v>
      </c>
    </row>
    <row r="98" spans="1:165" x14ac:dyDescent="0.2">
      <c r="A98" s="606" t="s">
        <v>451</v>
      </c>
      <c r="C98" s="54" t="s">
        <v>458</v>
      </c>
      <c r="D98" s="43">
        <f>$B$191</f>
        <v>0</v>
      </c>
      <c r="E98" s="43">
        <f t="shared" ref="E98:AG98" si="772">D98-($D98-$AH98)/30</f>
        <v>0</v>
      </c>
      <c r="F98" s="43">
        <f t="shared" si="772"/>
        <v>0</v>
      </c>
      <c r="G98" s="43">
        <f t="shared" si="772"/>
        <v>0</v>
      </c>
      <c r="H98" s="43">
        <f t="shared" si="772"/>
        <v>0</v>
      </c>
      <c r="I98" s="43">
        <f t="shared" si="772"/>
        <v>0</v>
      </c>
      <c r="J98" s="43">
        <f t="shared" si="772"/>
        <v>0</v>
      </c>
      <c r="K98" s="43">
        <f t="shared" si="772"/>
        <v>0</v>
      </c>
      <c r="L98" s="43">
        <f t="shared" si="772"/>
        <v>0</v>
      </c>
      <c r="M98" s="43">
        <f t="shared" si="772"/>
        <v>0</v>
      </c>
      <c r="N98" s="43">
        <f t="shared" si="772"/>
        <v>0</v>
      </c>
      <c r="O98" s="43">
        <f t="shared" si="772"/>
        <v>0</v>
      </c>
      <c r="P98" s="43">
        <f t="shared" si="772"/>
        <v>0</v>
      </c>
      <c r="Q98" s="43">
        <f t="shared" si="772"/>
        <v>0</v>
      </c>
      <c r="R98" s="43">
        <f t="shared" si="772"/>
        <v>0</v>
      </c>
      <c r="S98" s="43">
        <f t="shared" si="772"/>
        <v>0</v>
      </c>
      <c r="T98" s="43">
        <f t="shared" si="772"/>
        <v>0</v>
      </c>
      <c r="U98" s="43">
        <f t="shared" si="772"/>
        <v>0</v>
      </c>
      <c r="V98" s="43">
        <f t="shared" si="772"/>
        <v>0</v>
      </c>
      <c r="W98" s="43">
        <f t="shared" si="772"/>
        <v>0</v>
      </c>
      <c r="X98" s="43">
        <f t="shared" si="772"/>
        <v>0</v>
      </c>
      <c r="Y98" s="43">
        <f t="shared" si="772"/>
        <v>0</v>
      </c>
      <c r="Z98" s="43">
        <f t="shared" si="772"/>
        <v>0</v>
      </c>
      <c r="AA98" s="43">
        <f t="shared" si="772"/>
        <v>0</v>
      </c>
      <c r="AB98" s="43">
        <f t="shared" si="772"/>
        <v>0</v>
      </c>
      <c r="AC98" s="43">
        <f t="shared" si="772"/>
        <v>0</v>
      </c>
      <c r="AD98" s="43">
        <f t="shared" si="772"/>
        <v>0</v>
      </c>
      <c r="AE98" s="43">
        <f t="shared" si="772"/>
        <v>0</v>
      </c>
      <c r="AF98" s="43">
        <f t="shared" si="772"/>
        <v>0</v>
      </c>
      <c r="AG98" s="43">
        <f t="shared" si="772"/>
        <v>0</v>
      </c>
      <c r="AH98" s="43">
        <f>$C$191</f>
        <v>0</v>
      </c>
      <c r="AI98" s="44"/>
      <c r="AJ98" s="43">
        <f t="shared" si="761"/>
        <v>0</v>
      </c>
      <c r="AK98" s="43">
        <f t="shared" si="699"/>
        <v>0</v>
      </c>
      <c r="AL98" s="43">
        <f t="shared" si="700"/>
        <v>0</v>
      </c>
      <c r="AM98" s="43">
        <f t="shared" si="701"/>
        <v>0</v>
      </c>
      <c r="AN98" s="43">
        <f t="shared" si="702"/>
        <v>0</v>
      </c>
      <c r="AO98" s="43">
        <f t="shared" si="703"/>
        <v>0</v>
      </c>
      <c r="AP98" s="43">
        <f t="shared" si="704"/>
        <v>0</v>
      </c>
      <c r="AQ98" s="43">
        <f t="shared" si="705"/>
        <v>0</v>
      </c>
      <c r="AR98" s="43">
        <f t="shared" si="706"/>
        <v>0</v>
      </c>
      <c r="AS98" s="43">
        <f t="shared" si="707"/>
        <v>0</v>
      </c>
      <c r="AT98" s="43">
        <f t="shared" si="708"/>
        <v>0</v>
      </c>
      <c r="AU98" s="43">
        <f t="shared" si="709"/>
        <v>0</v>
      </c>
      <c r="AV98" s="43">
        <f t="shared" si="710"/>
        <v>0</v>
      </c>
      <c r="AW98" s="43">
        <f t="shared" si="711"/>
        <v>0</v>
      </c>
      <c r="AX98" s="43">
        <f t="shared" si="712"/>
        <v>0</v>
      </c>
      <c r="AY98" s="43">
        <f t="shared" si="713"/>
        <v>0</v>
      </c>
      <c r="AZ98" s="43">
        <f t="shared" si="714"/>
        <v>0</v>
      </c>
      <c r="BA98" s="43">
        <f t="shared" si="715"/>
        <v>0</v>
      </c>
      <c r="BB98" s="43">
        <f t="shared" si="716"/>
        <v>0</v>
      </c>
      <c r="BC98" s="43">
        <f t="shared" si="717"/>
        <v>0</v>
      </c>
      <c r="BD98" s="43">
        <f t="shared" si="718"/>
        <v>0</v>
      </c>
      <c r="BE98" s="43">
        <f t="shared" si="719"/>
        <v>0</v>
      </c>
      <c r="BF98" s="43">
        <f t="shared" si="720"/>
        <v>0</v>
      </c>
      <c r="BG98" s="43">
        <f t="shared" si="721"/>
        <v>0</v>
      </c>
      <c r="BH98" s="43">
        <f t="shared" si="722"/>
        <v>0</v>
      </c>
      <c r="BI98" s="43">
        <f t="shared" si="723"/>
        <v>0</v>
      </c>
      <c r="BJ98" s="43">
        <f t="shared" si="724"/>
        <v>0</v>
      </c>
      <c r="BK98" s="43">
        <f t="shared" si="725"/>
        <v>0</v>
      </c>
      <c r="BL98" s="43">
        <f t="shared" si="726"/>
        <v>0</v>
      </c>
      <c r="BM98" s="43">
        <f t="shared" si="727"/>
        <v>0</v>
      </c>
      <c r="BN98" s="43">
        <f t="shared" si="728"/>
        <v>0</v>
      </c>
      <c r="BP98" s="43">
        <f t="shared" si="762"/>
        <v>0</v>
      </c>
      <c r="BQ98" s="43">
        <f t="shared" ref="BQ98:CS98" si="773">BP98-($BP98-$CT98)/30</f>
        <v>0</v>
      </c>
      <c r="BR98" s="43">
        <f t="shared" si="773"/>
        <v>0</v>
      </c>
      <c r="BS98" s="43">
        <f t="shared" si="773"/>
        <v>0</v>
      </c>
      <c r="BT98" s="43">
        <f t="shared" si="773"/>
        <v>0</v>
      </c>
      <c r="BU98" s="43">
        <f t="shared" si="773"/>
        <v>0</v>
      </c>
      <c r="BV98" s="43">
        <f t="shared" si="773"/>
        <v>0</v>
      </c>
      <c r="BW98" s="43">
        <f t="shared" si="773"/>
        <v>0</v>
      </c>
      <c r="BX98" s="43">
        <f t="shared" si="773"/>
        <v>0</v>
      </c>
      <c r="BY98" s="43">
        <f t="shared" si="773"/>
        <v>0</v>
      </c>
      <c r="BZ98" s="43">
        <f t="shared" si="773"/>
        <v>0</v>
      </c>
      <c r="CA98" s="43">
        <f t="shared" si="773"/>
        <v>0</v>
      </c>
      <c r="CB98" s="43">
        <f t="shared" si="773"/>
        <v>0</v>
      </c>
      <c r="CC98" s="43">
        <f t="shared" si="773"/>
        <v>0</v>
      </c>
      <c r="CD98" s="43">
        <f t="shared" si="773"/>
        <v>0</v>
      </c>
      <c r="CE98" s="43">
        <f t="shared" si="773"/>
        <v>0</v>
      </c>
      <c r="CF98" s="43">
        <f t="shared" si="773"/>
        <v>0</v>
      </c>
      <c r="CG98" s="43">
        <f t="shared" si="773"/>
        <v>0</v>
      </c>
      <c r="CH98" s="43">
        <f t="shared" si="773"/>
        <v>0</v>
      </c>
      <c r="CI98" s="43">
        <f t="shared" si="773"/>
        <v>0</v>
      </c>
      <c r="CJ98" s="43">
        <f t="shared" si="773"/>
        <v>0</v>
      </c>
      <c r="CK98" s="43">
        <f t="shared" si="773"/>
        <v>0</v>
      </c>
      <c r="CL98" s="43">
        <f t="shared" si="773"/>
        <v>0</v>
      </c>
      <c r="CM98" s="43">
        <f t="shared" si="773"/>
        <v>0</v>
      </c>
      <c r="CN98" s="43">
        <f t="shared" si="773"/>
        <v>0</v>
      </c>
      <c r="CO98" s="43">
        <f t="shared" si="773"/>
        <v>0</v>
      </c>
      <c r="CP98" s="43">
        <f t="shared" si="773"/>
        <v>0</v>
      </c>
      <c r="CQ98" s="43">
        <f t="shared" si="773"/>
        <v>0</v>
      </c>
      <c r="CR98" s="43">
        <f t="shared" si="773"/>
        <v>0</v>
      </c>
      <c r="CS98" s="43">
        <f t="shared" si="773"/>
        <v>0</v>
      </c>
      <c r="CT98" s="43">
        <f t="shared" si="771"/>
        <v>0</v>
      </c>
      <c r="CV98" s="43">
        <f t="shared" ref="CV98:CV101" si="774">AJ98</f>
        <v>0</v>
      </c>
      <c r="CW98" s="43">
        <f t="shared" ref="CW98:CW101" si="775">CV98-($BP98-$CT98)/30</f>
        <v>0</v>
      </c>
      <c r="CX98" s="43">
        <f t="shared" ref="CX98:CX101" si="776">CW98-($BP98-$CT98)/30</f>
        <v>0</v>
      </c>
      <c r="CY98" s="43">
        <f t="shared" ref="CY98:CY101" si="777">CX98-($BP98-$CT98)/30</f>
        <v>0</v>
      </c>
      <c r="CZ98" s="43">
        <f t="shared" ref="CZ98:CZ101" si="778">CY98-($BP98-$CT98)/30</f>
        <v>0</v>
      </c>
      <c r="DA98" s="43">
        <f t="shared" ref="DA98:DA101" si="779">CZ98-($BP98-$CT98)/30</f>
        <v>0</v>
      </c>
      <c r="DB98" s="43">
        <f t="shared" ref="DB98:DB101" si="780">DA98-($BP98-$CT98)/30</f>
        <v>0</v>
      </c>
      <c r="DC98" s="43">
        <f t="shared" ref="DC98:DC101" si="781">DB98-($BP98-$CT98)/30</f>
        <v>0</v>
      </c>
      <c r="DD98" s="43">
        <f t="shared" ref="DD98:DD101" si="782">DC98-($BP98-$CT98)/30</f>
        <v>0</v>
      </c>
      <c r="DE98" s="43">
        <f t="shared" ref="DE98:DE101" si="783">DD98-($BP98-$CT98)/30</f>
        <v>0</v>
      </c>
      <c r="DF98" s="43">
        <f t="shared" ref="DF98:DF101" si="784">DE98-($BP98-$CT98)/30</f>
        <v>0</v>
      </c>
      <c r="DG98" s="43">
        <f t="shared" ref="DG98:DG101" si="785">DF98-($BP98-$CT98)/30</f>
        <v>0</v>
      </c>
      <c r="DH98" s="43">
        <f t="shared" ref="DH98:DH101" si="786">DG98-($BP98-$CT98)/30</f>
        <v>0</v>
      </c>
      <c r="DI98" s="43">
        <f t="shared" ref="DI98:DI101" si="787">DH98-($BP98-$CT98)/30</f>
        <v>0</v>
      </c>
      <c r="DJ98" s="43">
        <f t="shared" ref="DJ98:DJ101" si="788">DI98-($BP98-$CT98)/30</f>
        <v>0</v>
      </c>
      <c r="DK98" s="43">
        <f t="shared" ref="DK98:DK101" si="789">DJ98-($BP98-$CT98)/30</f>
        <v>0</v>
      </c>
      <c r="DL98" s="43">
        <f t="shared" ref="DL98:DL101" si="790">DK98-($BP98-$CT98)/30</f>
        <v>0</v>
      </c>
      <c r="DM98" s="43">
        <f t="shared" ref="DM98:DM101" si="791">DL98-($BP98-$CT98)/30</f>
        <v>0</v>
      </c>
      <c r="DN98" s="43">
        <f t="shared" ref="DN98:DN101" si="792">DM98-($BP98-$CT98)/30</f>
        <v>0</v>
      </c>
      <c r="DO98" s="43">
        <f t="shared" ref="DO98:DO101" si="793">DN98-($BP98-$CT98)/30</f>
        <v>0</v>
      </c>
      <c r="DP98" s="43">
        <f t="shared" ref="DP98:DP101" si="794">DO98-($BP98-$CT98)/30</f>
        <v>0</v>
      </c>
      <c r="DQ98" s="43">
        <f t="shared" ref="DQ98:DQ101" si="795">DP98-($BP98-$CT98)/30</f>
        <v>0</v>
      </c>
      <c r="DR98" s="43">
        <f t="shared" ref="DR98:DR101" si="796">DQ98-($BP98-$CT98)/30</f>
        <v>0</v>
      </c>
      <c r="DS98" s="43">
        <f t="shared" ref="DS98:DS101" si="797">DR98-($BP98-$CT98)/30</f>
        <v>0</v>
      </c>
      <c r="DT98" s="43">
        <f t="shared" ref="DT98:DT101" si="798">DS98-($BP98-$CT98)/30</f>
        <v>0</v>
      </c>
      <c r="DU98" s="43">
        <f t="shared" ref="DU98:DU101" si="799">DT98-($BP98-$CT98)/30</f>
        <v>0</v>
      </c>
      <c r="DV98" s="43">
        <f t="shared" ref="DV98:DV101" si="800">DU98-($BP98-$CT98)/30</f>
        <v>0</v>
      </c>
      <c r="DW98" s="43">
        <f t="shared" ref="DW98:DW101" si="801">DV98-($BP98-$CT98)/30</f>
        <v>0</v>
      </c>
      <c r="DX98" s="43">
        <f t="shared" ref="DX98:DX101" si="802">DW98-($BP98-$CT98)/30</f>
        <v>0</v>
      </c>
      <c r="DY98" s="43">
        <f t="shared" ref="DY98:DY101" si="803">DX98-($BP98-$CT98)/30</f>
        <v>0</v>
      </c>
      <c r="DZ98" s="43">
        <v>0</v>
      </c>
    </row>
    <row r="99" spans="1:165" x14ac:dyDescent="0.2">
      <c r="A99" s="606" t="s">
        <v>452</v>
      </c>
      <c r="C99" s="54" t="s">
        <v>458</v>
      </c>
      <c r="D99" s="43">
        <f>$B$192</f>
        <v>2.8940000000000001</v>
      </c>
      <c r="E99" s="43">
        <f t="shared" ref="E99:AG99" si="804">D99-($D99-$AH99)/30</f>
        <v>2.8940000000000001</v>
      </c>
      <c r="F99" s="43">
        <f t="shared" si="804"/>
        <v>2.8940000000000001</v>
      </c>
      <c r="G99" s="43">
        <f t="shared" si="804"/>
        <v>2.8940000000000001</v>
      </c>
      <c r="H99" s="43">
        <f t="shared" si="804"/>
        <v>2.8940000000000001</v>
      </c>
      <c r="I99" s="43">
        <f t="shared" si="804"/>
        <v>2.8940000000000001</v>
      </c>
      <c r="J99" s="43">
        <f t="shared" si="804"/>
        <v>2.8940000000000001</v>
      </c>
      <c r="K99" s="43">
        <f t="shared" si="804"/>
        <v>2.8940000000000001</v>
      </c>
      <c r="L99" s="43">
        <f t="shared" si="804"/>
        <v>2.8940000000000001</v>
      </c>
      <c r="M99" s="43">
        <f t="shared" si="804"/>
        <v>2.8940000000000001</v>
      </c>
      <c r="N99" s="43">
        <f t="shared" si="804"/>
        <v>2.8940000000000001</v>
      </c>
      <c r="O99" s="43">
        <f t="shared" si="804"/>
        <v>2.8940000000000001</v>
      </c>
      <c r="P99" s="43">
        <f t="shared" si="804"/>
        <v>2.8940000000000001</v>
      </c>
      <c r="Q99" s="43">
        <f t="shared" si="804"/>
        <v>2.8940000000000001</v>
      </c>
      <c r="R99" s="43">
        <f t="shared" si="804"/>
        <v>2.8940000000000001</v>
      </c>
      <c r="S99" s="43">
        <f t="shared" si="804"/>
        <v>2.8940000000000001</v>
      </c>
      <c r="T99" s="43">
        <f t="shared" si="804"/>
        <v>2.8940000000000001</v>
      </c>
      <c r="U99" s="43">
        <f t="shared" si="804"/>
        <v>2.8940000000000001</v>
      </c>
      <c r="V99" s="43">
        <f t="shared" si="804"/>
        <v>2.8940000000000001</v>
      </c>
      <c r="W99" s="43">
        <f t="shared" si="804"/>
        <v>2.8940000000000001</v>
      </c>
      <c r="X99" s="43">
        <f t="shared" si="804"/>
        <v>2.8940000000000001</v>
      </c>
      <c r="Y99" s="43">
        <f t="shared" si="804"/>
        <v>2.8940000000000001</v>
      </c>
      <c r="Z99" s="43">
        <f t="shared" si="804"/>
        <v>2.8940000000000001</v>
      </c>
      <c r="AA99" s="43">
        <f t="shared" si="804"/>
        <v>2.8940000000000001</v>
      </c>
      <c r="AB99" s="43">
        <f t="shared" si="804"/>
        <v>2.8940000000000001</v>
      </c>
      <c r="AC99" s="43">
        <f t="shared" si="804"/>
        <v>2.8940000000000001</v>
      </c>
      <c r="AD99" s="43">
        <f t="shared" si="804"/>
        <v>2.8940000000000001</v>
      </c>
      <c r="AE99" s="43">
        <f t="shared" si="804"/>
        <v>2.8940000000000001</v>
      </c>
      <c r="AF99" s="43">
        <f t="shared" si="804"/>
        <v>2.8940000000000001</v>
      </c>
      <c r="AG99" s="43">
        <f t="shared" si="804"/>
        <v>2.8940000000000001</v>
      </c>
      <c r="AH99" s="43">
        <f>$C$192</f>
        <v>2.8940000000000001</v>
      </c>
      <c r="AI99" s="44"/>
      <c r="AJ99" s="43">
        <f t="shared" si="761"/>
        <v>2.8940000000000001</v>
      </c>
      <c r="AK99" s="43">
        <f t="shared" si="699"/>
        <v>2.8940000000000001</v>
      </c>
      <c r="AL99" s="43">
        <f t="shared" si="700"/>
        <v>2.8940000000000001</v>
      </c>
      <c r="AM99" s="43">
        <f t="shared" si="701"/>
        <v>2.8940000000000001</v>
      </c>
      <c r="AN99" s="43">
        <f t="shared" si="702"/>
        <v>2.8940000000000001</v>
      </c>
      <c r="AO99" s="43">
        <f t="shared" si="703"/>
        <v>2.8940000000000001</v>
      </c>
      <c r="AP99" s="43">
        <f t="shared" si="704"/>
        <v>2.8940000000000001</v>
      </c>
      <c r="AQ99" s="43">
        <f t="shared" si="705"/>
        <v>2.8940000000000001</v>
      </c>
      <c r="AR99" s="43">
        <f t="shared" si="706"/>
        <v>2.8940000000000001</v>
      </c>
      <c r="AS99" s="43">
        <f t="shared" si="707"/>
        <v>2.8940000000000001</v>
      </c>
      <c r="AT99" s="43">
        <f t="shared" si="708"/>
        <v>2.8940000000000001</v>
      </c>
      <c r="AU99" s="43">
        <f t="shared" si="709"/>
        <v>2.8940000000000001</v>
      </c>
      <c r="AV99" s="43">
        <f t="shared" si="710"/>
        <v>2.8940000000000001</v>
      </c>
      <c r="AW99" s="43">
        <f t="shared" si="711"/>
        <v>2.8940000000000001</v>
      </c>
      <c r="AX99" s="43">
        <f t="shared" si="712"/>
        <v>2.8940000000000001</v>
      </c>
      <c r="AY99" s="43">
        <f t="shared" si="713"/>
        <v>2.8940000000000001</v>
      </c>
      <c r="AZ99" s="43">
        <f t="shared" si="714"/>
        <v>2.8940000000000001</v>
      </c>
      <c r="BA99" s="43">
        <f t="shared" si="715"/>
        <v>2.8940000000000001</v>
      </c>
      <c r="BB99" s="43">
        <f t="shared" si="716"/>
        <v>2.8940000000000001</v>
      </c>
      <c r="BC99" s="43">
        <f t="shared" si="717"/>
        <v>2.8940000000000001</v>
      </c>
      <c r="BD99" s="43">
        <f t="shared" si="718"/>
        <v>2.8940000000000001</v>
      </c>
      <c r="BE99" s="43">
        <f t="shared" si="719"/>
        <v>2.8940000000000001</v>
      </c>
      <c r="BF99" s="43">
        <f t="shared" si="720"/>
        <v>2.8940000000000001</v>
      </c>
      <c r="BG99" s="43">
        <f t="shared" si="721"/>
        <v>2.8940000000000001</v>
      </c>
      <c r="BH99" s="43">
        <f t="shared" si="722"/>
        <v>2.8940000000000001</v>
      </c>
      <c r="BI99" s="43">
        <f t="shared" si="723"/>
        <v>2.8940000000000001</v>
      </c>
      <c r="BJ99" s="43">
        <f t="shared" si="724"/>
        <v>2.8940000000000001</v>
      </c>
      <c r="BK99" s="43">
        <f t="shared" si="725"/>
        <v>2.8940000000000001</v>
      </c>
      <c r="BL99" s="43">
        <f t="shared" si="726"/>
        <v>2.8940000000000001</v>
      </c>
      <c r="BM99" s="43">
        <f t="shared" si="727"/>
        <v>2.8940000000000001</v>
      </c>
      <c r="BN99" s="43">
        <f t="shared" si="728"/>
        <v>2.8940000000000001</v>
      </c>
      <c r="BP99" s="43">
        <f t="shared" si="762"/>
        <v>2.8940000000000001</v>
      </c>
      <c r="BQ99" s="43">
        <f t="shared" ref="BQ99:CS99" si="805">BP99-($BP99-$CT99)/30</f>
        <v>2.8940000000000001</v>
      </c>
      <c r="BR99" s="43">
        <f t="shared" si="805"/>
        <v>2.8940000000000001</v>
      </c>
      <c r="BS99" s="43">
        <f t="shared" si="805"/>
        <v>2.8940000000000001</v>
      </c>
      <c r="BT99" s="43">
        <f t="shared" si="805"/>
        <v>2.8940000000000001</v>
      </c>
      <c r="BU99" s="43">
        <f t="shared" si="805"/>
        <v>2.8940000000000001</v>
      </c>
      <c r="BV99" s="43">
        <f t="shared" si="805"/>
        <v>2.8940000000000001</v>
      </c>
      <c r="BW99" s="43">
        <f t="shared" si="805"/>
        <v>2.8940000000000001</v>
      </c>
      <c r="BX99" s="43">
        <f t="shared" si="805"/>
        <v>2.8940000000000001</v>
      </c>
      <c r="BY99" s="43">
        <f t="shared" si="805"/>
        <v>2.8940000000000001</v>
      </c>
      <c r="BZ99" s="43">
        <f t="shared" si="805"/>
        <v>2.8940000000000001</v>
      </c>
      <c r="CA99" s="43">
        <f t="shared" si="805"/>
        <v>2.8940000000000001</v>
      </c>
      <c r="CB99" s="43">
        <f t="shared" si="805"/>
        <v>2.8940000000000001</v>
      </c>
      <c r="CC99" s="43">
        <f t="shared" si="805"/>
        <v>2.8940000000000001</v>
      </c>
      <c r="CD99" s="43">
        <f t="shared" si="805"/>
        <v>2.8940000000000001</v>
      </c>
      <c r="CE99" s="43">
        <f t="shared" si="805"/>
        <v>2.8940000000000001</v>
      </c>
      <c r="CF99" s="43">
        <f t="shared" si="805"/>
        <v>2.8940000000000001</v>
      </c>
      <c r="CG99" s="43">
        <f t="shared" si="805"/>
        <v>2.8940000000000001</v>
      </c>
      <c r="CH99" s="43">
        <f t="shared" si="805"/>
        <v>2.8940000000000001</v>
      </c>
      <c r="CI99" s="43">
        <f t="shared" si="805"/>
        <v>2.8940000000000001</v>
      </c>
      <c r="CJ99" s="43">
        <f t="shared" si="805"/>
        <v>2.8940000000000001</v>
      </c>
      <c r="CK99" s="43">
        <f t="shared" si="805"/>
        <v>2.8940000000000001</v>
      </c>
      <c r="CL99" s="43">
        <f t="shared" si="805"/>
        <v>2.8940000000000001</v>
      </c>
      <c r="CM99" s="43">
        <f t="shared" si="805"/>
        <v>2.8940000000000001</v>
      </c>
      <c r="CN99" s="43">
        <f t="shared" si="805"/>
        <v>2.8940000000000001</v>
      </c>
      <c r="CO99" s="43">
        <f t="shared" si="805"/>
        <v>2.8940000000000001</v>
      </c>
      <c r="CP99" s="43">
        <f t="shared" si="805"/>
        <v>2.8940000000000001</v>
      </c>
      <c r="CQ99" s="43">
        <f t="shared" si="805"/>
        <v>2.8940000000000001</v>
      </c>
      <c r="CR99" s="43">
        <f t="shared" si="805"/>
        <v>2.8940000000000001</v>
      </c>
      <c r="CS99" s="43">
        <f t="shared" si="805"/>
        <v>2.8940000000000001</v>
      </c>
      <c r="CT99" s="43">
        <f t="shared" si="771"/>
        <v>2.8940000000000001</v>
      </c>
      <c r="CV99" s="43">
        <f t="shared" si="774"/>
        <v>2.8940000000000001</v>
      </c>
      <c r="CW99" s="43">
        <f t="shared" si="775"/>
        <v>2.8940000000000001</v>
      </c>
      <c r="CX99" s="43">
        <f t="shared" si="776"/>
        <v>2.8940000000000001</v>
      </c>
      <c r="CY99" s="43">
        <f t="shared" si="777"/>
        <v>2.8940000000000001</v>
      </c>
      <c r="CZ99" s="43">
        <f t="shared" si="778"/>
        <v>2.8940000000000001</v>
      </c>
      <c r="DA99" s="43">
        <f t="shared" si="779"/>
        <v>2.8940000000000001</v>
      </c>
      <c r="DB99" s="43">
        <f t="shared" si="780"/>
        <v>2.8940000000000001</v>
      </c>
      <c r="DC99" s="43">
        <f t="shared" si="781"/>
        <v>2.8940000000000001</v>
      </c>
      <c r="DD99" s="43">
        <f t="shared" si="782"/>
        <v>2.8940000000000001</v>
      </c>
      <c r="DE99" s="43">
        <f t="shared" si="783"/>
        <v>2.8940000000000001</v>
      </c>
      <c r="DF99" s="43">
        <f t="shared" si="784"/>
        <v>2.8940000000000001</v>
      </c>
      <c r="DG99" s="43">
        <f t="shared" si="785"/>
        <v>2.8940000000000001</v>
      </c>
      <c r="DH99" s="43">
        <f t="shared" si="786"/>
        <v>2.8940000000000001</v>
      </c>
      <c r="DI99" s="43">
        <f t="shared" si="787"/>
        <v>2.8940000000000001</v>
      </c>
      <c r="DJ99" s="43">
        <f t="shared" si="788"/>
        <v>2.8940000000000001</v>
      </c>
      <c r="DK99" s="43">
        <f t="shared" si="789"/>
        <v>2.8940000000000001</v>
      </c>
      <c r="DL99" s="43">
        <f t="shared" si="790"/>
        <v>2.8940000000000001</v>
      </c>
      <c r="DM99" s="43">
        <f t="shared" si="791"/>
        <v>2.8940000000000001</v>
      </c>
      <c r="DN99" s="43">
        <f t="shared" si="792"/>
        <v>2.8940000000000001</v>
      </c>
      <c r="DO99" s="43">
        <f t="shared" si="793"/>
        <v>2.8940000000000001</v>
      </c>
      <c r="DP99" s="43">
        <f t="shared" si="794"/>
        <v>2.8940000000000001</v>
      </c>
      <c r="DQ99" s="43">
        <f t="shared" si="795"/>
        <v>2.8940000000000001</v>
      </c>
      <c r="DR99" s="43">
        <f t="shared" si="796"/>
        <v>2.8940000000000001</v>
      </c>
      <c r="DS99" s="43">
        <f t="shared" si="797"/>
        <v>2.8940000000000001</v>
      </c>
      <c r="DT99" s="43">
        <f t="shared" si="798"/>
        <v>2.8940000000000001</v>
      </c>
      <c r="DU99" s="43">
        <f t="shared" si="799"/>
        <v>2.8940000000000001</v>
      </c>
      <c r="DV99" s="43">
        <f t="shared" si="800"/>
        <v>2.8940000000000001</v>
      </c>
      <c r="DW99" s="43">
        <f t="shared" si="801"/>
        <v>2.8940000000000001</v>
      </c>
      <c r="DX99" s="43">
        <f t="shared" si="802"/>
        <v>2.8940000000000001</v>
      </c>
      <c r="DY99" s="43">
        <f t="shared" si="803"/>
        <v>2.8940000000000001</v>
      </c>
      <c r="DZ99" s="43">
        <f t="shared" ref="DZ99:DZ101" si="806">CV99</f>
        <v>2.8940000000000001</v>
      </c>
    </row>
    <row r="100" spans="1:165" x14ac:dyDescent="0.2">
      <c r="A100" s="606" t="s">
        <v>453</v>
      </c>
      <c r="C100" s="54" t="s">
        <v>458</v>
      </c>
      <c r="D100" s="43">
        <f>$B$193</f>
        <v>0</v>
      </c>
      <c r="E100" s="43">
        <f t="shared" ref="E100:AG100" si="807">D100-($D100-$AH100)/30</f>
        <v>0</v>
      </c>
      <c r="F100" s="43">
        <f t="shared" si="807"/>
        <v>0</v>
      </c>
      <c r="G100" s="43">
        <f t="shared" si="807"/>
        <v>0</v>
      </c>
      <c r="H100" s="43">
        <f t="shared" si="807"/>
        <v>0</v>
      </c>
      <c r="I100" s="43">
        <f t="shared" si="807"/>
        <v>0</v>
      </c>
      <c r="J100" s="43">
        <f t="shared" si="807"/>
        <v>0</v>
      </c>
      <c r="K100" s="43">
        <f t="shared" si="807"/>
        <v>0</v>
      </c>
      <c r="L100" s="43">
        <f t="shared" si="807"/>
        <v>0</v>
      </c>
      <c r="M100" s="43">
        <f t="shared" si="807"/>
        <v>0</v>
      </c>
      <c r="N100" s="43">
        <f t="shared" si="807"/>
        <v>0</v>
      </c>
      <c r="O100" s="43">
        <f t="shared" si="807"/>
        <v>0</v>
      </c>
      <c r="P100" s="43">
        <f t="shared" si="807"/>
        <v>0</v>
      </c>
      <c r="Q100" s="43">
        <f t="shared" si="807"/>
        <v>0</v>
      </c>
      <c r="R100" s="43">
        <f t="shared" si="807"/>
        <v>0</v>
      </c>
      <c r="S100" s="43">
        <f t="shared" si="807"/>
        <v>0</v>
      </c>
      <c r="T100" s="43">
        <f t="shared" si="807"/>
        <v>0</v>
      </c>
      <c r="U100" s="43">
        <f t="shared" si="807"/>
        <v>0</v>
      </c>
      <c r="V100" s="43">
        <f t="shared" si="807"/>
        <v>0</v>
      </c>
      <c r="W100" s="43">
        <f t="shared" si="807"/>
        <v>0</v>
      </c>
      <c r="X100" s="43">
        <f t="shared" si="807"/>
        <v>0</v>
      </c>
      <c r="Y100" s="43">
        <f t="shared" si="807"/>
        <v>0</v>
      </c>
      <c r="Z100" s="43">
        <f t="shared" si="807"/>
        <v>0</v>
      </c>
      <c r="AA100" s="43">
        <f t="shared" si="807"/>
        <v>0</v>
      </c>
      <c r="AB100" s="43">
        <f t="shared" si="807"/>
        <v>0</v>
      </c>
      <c r="AC100" s="43">
        <f t="shared" si="807"/>
        <v>0</v>
      </c>
      <c r="AD100" s="43">
        <f t="shared" si="807"/>
        <v>0</v>
      </c>
      <c r="AE100" s="43">
        <f t="shared" si="807"/>
        <v>0</v>
      </c>
      <c r="AF100" s="43">
        <f t="shared" si="807"/>
        <v>0</v>
      </c>
      <c r="AG100" s="43">
        <f t="shared" si="807"/>
        <v>0</v>
      </c>
      <c r="AH100" s="43">
        <f>$C$193</f>
        <v>0</v>
      </c>
      <c r="AI100" s="44"/>
      <c r="AJ100" s="43">
        <f t="shared" si="761"/>
        <v>0</v>
      </c>
      <c r="AK100" s="43">
        <f t="shared" si="699"/>
        <v>0</v>
      </c>
      <c r="AL100" s="43">
        <f t="shared" si="700"/>
        <v>0</v>
      </c>
      <c r="AM100" s="43">
        <f t="shared" si="701"/>
        <v>0</v>
      </c>
      <c r="AN100" s="43">
        <f t="shared" si="702"/>
        <v>0</v>
      </c>
      <c r="AO100" s="43">
        <f t="shared" si="703"/>
        <v>0</v>
      </c>
      <c r="AP100" s="43">
        <f t="shared" si="704"/>
        <v>0</v>
      </c>
      <c r="AQ100" s="43">
        <f t="shared" si="705"/>
        <v>0</v>
      </c>
      <c r="AR100" s="43">
        <f t="shared" si="706"/>
        <v>0</v>
      </c>
      <c r="AS100" s="43">
        <f t="shared" si="707"/>
        <v>0</v>
      </c>
      <c r="AT100" s="43">
        <f t="shared" si="708"/>
        <v>0</v>
      </c>
      <c r="AU100" s="43">
        <f t="shared" si="709"/>
        <v>0</v>
      </c>
      <c r="AV100" s="43">
        <f t="shared" si="710"/>
        <v>0</v>
      </c>
      <c r="AW100" s="43">
        <f t="shared" si="711"/>
        <v>0</v>
      </c>
      <c r="AX100" s="43">
        <f t="shared" si="712"/>
        <v>0</v>
      </c>
      <c r="AY100" s="43">
        <f t="shared" si="713"/>
        <v>0</v>
      </c>
      <c r="AZ100" s="43">
        <f t="shared" si="714"/>
        <v>0</v>
      </c>
      <c r="BA100" s="43">
        <f t="shared" si="715"/>
        <v>0</v>
      </c>
      <c r="BB100" s="43">
        <f t="shared" si="716"/>
        <v>0</v>
      </c>
      <c r="BC100" s="43">
        <f t="shared" si="717"/>
        <v>0</v>
      </c>
      <c r="BD100" s="43">
        <f t="shared" si="718"/>
        <v>0</v>
      </c>
      <c r="BE100" s="43">
        <f t="shared" si="719"/>
        <v>0</v>
      </c>
      <c r="BF100" s="43">
        <f t="shared" si="720"/>
        <v>0</v>
      </c>
      <c r="BG100" s="43">
        <f t="shared" si="721"/>
        <v>0</v>
      </c>
      <c r="BH100" s="43">
        <f t="shared" si="722"/>
        <v>0</v>
      </c>
      <c r="BI100" s="43">
        <f t="shared" si="723"/>
        <v>0</v>
      </c>
      <c r="BJ100" s="43">
        <f t="shared" si="724"/>
        <v>0</v>
      </c>
      <c r="BK100" s="43">
        <f t="shared" si="725"/>
        <v>0</v>
      </c>
      <c r="BL100" s="43">
        <f t="shared" si="726"/>
        <v>0</v>
      </c>
      <c r="BM100" s="43">
        <f t="shared" si="727"/>
        <v>0</v>
      </c>
      <c r="BN100" s="43">
        <f t="shared" si="728"/>
        <v>0</v>
      </c>
      <c r="BP100" s="43">
        <f t="shared" si="762"/>
        <v>0</v>
      </c>
      <c r="BQ100" s="43">
        <f t="shared" ref="BQ100:CS100" si="808">BP100-($BP100-$CT100)/30</f>
        <v>0</v>
      </c>
      <c r="BR100" s="43">
        <f t="shared" si="808"/>
        <v>0</v>
      </c>
      <c r="BS100" s="43">
        <f t="shared" si="808"/>
        <v>0</v>
      </c>
      <c r="BT100" s="43">
        <f t="shared" si="808"/>
        <v>0</v>
      </c>
      <c r="BU100" s="43">
        <f t="shared" si="808"/>
        <v>0</v>
      </c>
      <c r="BV100" s="43">
        <f t="shared" si="808"/>
        <v>0</v>
      </c>
      <c r="BW100" s="43">
        <f t="shared" si="808"/>
        <v>0</v>
      </c>
      <c r="BX100" s="43">
        <f t="shared" si="808"/>
        <v>0</v>
      </c>
      <c r="BY100" s="43">
        <f t="shared" si="808"/>
        <v>0</v>
      </c>
      <c r="BZ100" s="43">
        <f t="shared" si="808"/>
        <v>0</v>
      </c>
      <c r="CA100" s="43">
        <f t="shared" si="808"/>
        <v>0</v>
      </c>
      <c r="CB100" s="43">
        <f t="shared" si="808"/>
        <v>0</v>
      </c>
      <c r="CC100" s="43">
        <f t="shared" si="808"/>
        <v>0</v>
      </c>
      <c r="CD100" s="43">
        <f t="shared" si="808"/>
        <v>0</v>
      </c>
      <c r="CE100" s="43">
        <f t="shared" si="808"/>
        <v>0</v>
      </c>
      <c r="CF100" s="43">
        <f t="shared" si="808"/>
        <v>0</v>
      </c>
      <c r="CG100" s="43">
        <f t="shared" si="808"/>
        <v>0</v>
      </c>
      <c r="CH100" s="43">
        <f t="shared" si="808"/>
        <v>0</v>
      </c>
      <c r="CI100" s="43">
        <f t="shared" si="808"/>
        <v>0</v>
      </c>
      <c r="CJ100" s="43">
        <f t="shared" si="808"/>
        <v>0</v>
      </c>
      <c r="CK100" s="43">
        <f t="shared" si="808"/>
        <v>0</v>
      </c>
      <c r="CL100" s="43">
        <f t="shared" si="808"/>
        <v>0</v>
      </c>
      <c r="CM100" s="43">
        <f t="shared" si="808"/>
        <v>0</v>
      </c>
      <c r="CN100" s="43">
        <f t="shared" si="808"/>
        <v>0</v>
      </c>
      <c r="CO100" s="43">
        <f t="shared" si="808"/>
        <v>0</v>
      </c>
      <c r="CP100" s="43">
        <f t="shared" si="808"/>
        <v>0</v>
      </c>
      <c r="CQ100" s="43">
        <f t="shared" si="808"/>
        <v>0</v>
      </c>
      <c r="CR100" s="43">
        <f t="shared" si="808"/>
        <v>0</v>
      </c>
      <c r="CS100" s="43">
        <f t="shared" si="808"/>
        <v>0</v>
      </c>
      <c r="CT100" s="43">
        <f t="shared" si="771"/>
        <v>0</v>
      </c>
      <c r="CV100" s="43">
        <f t="shared" si="774"/>
        <v>0</v>
      </c>
      <c r="CW100" s="43">
        <f t="shared" si="775"/>
        <v>0</v>
      </c>
      <c r="CX100" s="43">
        <f t="shared" si="776"/>
        <v>0</v>
      </c>
      <c r="CY100" s="43">
        <f t="shared" si="777"/>
        <v>0</v>
      </c>
      <c r="CZ100" s="43">
        <f t="shared" si="778"/>
        <v>0</v>
      </c>
      <c r="DA100" s="43">
        <f t="shared" si="779"/>
        <v>0</v>
      </c>
      <c r="DB100" s="43">
        <f t="shared" si="780"/>
        <v>0</v>
      </c>
      <c r="DC100" s="43">
        <f t="shared" si="781"/>
        <v>0</v>
      </c>
      <c r="DD100" s="43">
        <f t="shared" si="782"/>
        <v>0</v>
      </c>
      <c r="DE100" s="43">
        <f t="shared" si="783"/>
        <v>0</v>
      </c>
      <c r="DF100" s="43">
        <f t="shared" si="784"/>
        <v>0</v>
      </c>
      <c r="DG100" s="43">
        <f t="shared" si="785"/>
        <v>0</v>
      </c>
      <c r="DH100" s="43">
        <f t="shared" si="786"/>
        <v>0</v>
      </c>
      <c r="DI100" s="43">
        <f t="shared" si="787"/>
        <v>0</v>
      </c>
      <c r="DJ100" s="43">
        <f t="shared" si="788"/>
        <v>0</v>
      </c>
      <c r="DK100" s="43">
        <f t="shared" si="789"/>
        <v>0</v>
      </c>
      <c r="DL100" s="43">
        <f t="shared" si="790"/>
        <v>0</v>
      </c>
      <c r="DM100" s="43">
        <f t="shared" si="791"/>
        <v>0</v>
      </c>
      <c r="DN100" s="43">
        <f t="shared" si="792"/>
        <v>0</v>
      </c>
      <c r="DO100" s="43">
        <f t="shared" si="793"/>
        <v>0</v>
      </c>
      <c r="DP100" s="43">
        <f t="shared" si="794"/>
        <v>0</v>
      </c>
      <c r="DQ100" s="43">
        <f t="shared" si="795"/>
        <v>0</v>
      </c>
      <c r="DR100" s="43">
        <f t="shared" si="796"/>
        <v>0</v>
      </c>
      <c r="DS100" s="43">
        <f t="shared" si="797"/>
        <v>0</v>
      </c>
      <c r="DT100" s="43">
        <f t="shared" si="798"/>
        <v>0</v>
      </c>
      <c r="DU100" s="43">
        <f t="shared" si="799"/>
        <v>0</v>
      </c>
      <c r="DV100" s="43">
        <f t="shared" si="800"/>
        <v>0</v>
      </c>
      <c r="DW100" s="43">
        <f t="shared" si="801"/>
        <v>0</v>
      </c>
      <c r="DX100" s="43">
        <f t="shared" si="802"/>
        <v>0</v>
      </c>
      <c r="DY100" s="43">
        <f t="shared" si="803"/>
        <v>0</v>
      </c>
      <c r="DZ100" s="43">
        <f t="shared" si="806"/>
        <v>0</v>
      </c>
    </row>
    <row r="101" spans="1:165" ht="16" thickBot="1" x14ac:dyDescent="0.25">
      <c r="A101" s="606" t="s">
        <v>454</v>
      </c>
      <c r="C101" s="54" t="s">
        <v>458</v>
      </c>
      <c r="D101" s="43">
        <f>$B$194</f>
        <v>0</v>
      </c>
      <c r="E101" s="43">
        <f t="shared" ref="E101:AG101" si="809">D101-($D101-$AH101)/30</f>
        <v>0</v>
      </c>
      <c r="F101" s="43">
        <f t="shared" si="809"/>
        <v>0</v>
      </c>
      <c r="G101" s="43">
        <f t="shared" si="809"/>
        <v>0</v>
      </c>
      <c r="H101" s="43">
        <f t="shared" si="809"/>
        <v>0</v>
      </c>
      <c r="I101" s="43">
        <f t="shared" si="809"/>
        <v>0</v>
      </c>
      <c r="J101" s="43">
        <f t="shared" si="809"/>
        <v>0</v>
      </c>
      <c r="K101" s="43">
        <f t="shared" si="809"/>
        <v>0</v>
      </c>
      <c r="L101" s="43">
        <f t="shared" si="809"/>
        <v>0</v>
      </c>
      <c r="M101" s="43">
        <f t="shared" si="809"/>
        <v>0</v>
      </c>
      <c r="N101" s="43">
        <f t="shared" si="809"/>
        <v>0</v>
      </c>
      <c r="O101" s="43">
        <f t="shared" si="809"/>
        <v>0</v>
      </c>
      <c r="P101" s="43">
        <f t="shared" si="809"/>
        <v>0</v>
      </c>
      <c r="Q101" s="43">
        <f t="shared" si="809"/>
        <v>0</v>
      </c>
      <c r="R101" s="43">
        <f t="shared" si="809"/>
        <v>0</v>
      </c>
      <c r="S101" s="43">
        <f t="shared" si="809"/>
        <v>0</v>
      </c>
      <c r="T101" s="43">
        <f t="shared" si="809"/>
        <v>0</v>
      </c>
      <c r="U101" s="43">
        <f t="shared" si="809"/>
        <v>0</v>
      </c>
      <c r="V101" s="43">
        <f t="shared" si="809"/>
        <v>0</v>
      </c>
      <c r="W101" s="43">
        <f t="shared" si="809"/>
        <v>0</v>
      </c>
      <c r="X101" s="43">
        <f t="shared" si="809"/>
        <v>0</v>
      </c>
      <c r="Y101" s="43">
        <f t="shared" si="809"/>
        <v>0</v>
      </c>
      <c r="Z101" s="43">
        <f t="shared" si="809"/>
        <v>0</v>
      </c>
      <c r="AA101" s="43">
        <f t="shared" si="809"/>
        <v>0</v>
      </c>
      <c r="AB101" s="43">
        <f t="shared" si="809"/>
        <v>0</v>
      </c>
      <c r="AC101" s="43">
        <f t="shared" si="809"/>
        <v>0</v>
      </c>
      <c r="AD101" s="43">
        <f t="shared" si="809"/>
        <v>0</v>
      </c>
      <c r="AE101" s="43">
        <f t="shared" si="809"/>
        <v>0</v>
      </c>
      <c r="AF101" s="43">
        <f t="shared" si="809"/>
        <v>0</v>
      </c>
      <c r="AG101" s="43">
        <f t="shared" si="809"/>
        <v>0</v>
      </c>
      <c r="AH101" s="43">
        <f>$C$194</f>
        <v>0</v>
      </c>
      <c r="AI101" s="44"/>
      <c r="AJ101" s="43">
        <f t="shared" si="761"/>
        <v>0</v>
      </c>
      <c r="AK101" s="43">
        <f t="shared" si="699"/>
        <v>0</v>
      </c>
      <c r="AL101" s="43">
        <f t="shared" si="700"/>
        <v>0</v>
      </c>
      <c r="AM101" s="43">
        <f t="shared" si="701"/>
        <v>0</v>
      </c>
      <c r="AN101" s="43">
        <f t="shared" si="702"/>
        <v>0</v>
      </c>
      <c r="AO101" s="43">
        <f t="shared" si="703"/>
        <v>0</v>
      </c>
      <c r="AP101" s="43">
        <f t="shared" si="704"/>
        <v>0</v>
      </c>
      <c r="AQ101" s="43">
        <f t="shared" si="705"/>
        <v>0</v>
      </c>
      <c r="AR101" s="43">
        <f t="shared" si="706"/>
        <v>0</v>
      </c>
      <c r="AS101" s="43">
        <f t="shared" si="707"/>
        <v>0</v>
      </c>
      <c r="AT101" s="43">
        <f t="shared" si="708"/>
        <v>0</v>
      </c>
      <c r="AU101" s="43">
        <f t="shared" si="709"/>
        <v>0</v>
      </c>
      <c r="AV101" s="43">
        <f t="shared" si="710"/>
        <v>0</v>
      </c>
      <c r="AW101" s="43">
        <f t="shared" si="711"/>
        <v>0</v>
      </c>
      <c r="AX101" s="43">
        <f t="shared" si="712"/>
        <v>0</v>
      </c>
      <c r="AY101" s="43">
        <f t="shared" si="713"/>
        <v>0</v>
      </c>
      <c r="AZ101" s="43">
        <f t="shared" si="714"/>
        <v>0</v>
      </c>
      <c r="BA101" s="43">
        <f t="shared" si="715"/>
        <v>0</v>
      </c>
      <c r="BB101" s="43">
        <f t="shared" si="716"/>
        <v>0</v>
      </c>
      <c r="BC101" s="43">
        <f t="shared" si="717"/>
        <v>0</v>
      </c>
      <c r="BD101" s="43">
        <f t="shared" si="718"/>
        <v>0</v>
      </c>
      <c r="BE101" s="43">
        <f t="shared" si="719"/>
        <v>0</v>
      </c>
      <c r="BF101" s="43">
        <f t="shared" si="720"/>
        <v>0</v>
      </c>
      <c r="BG101" s="43">
        <f t="shared" si="721"/>
        <v>0</v>
      </c>
      <c r="BH101" s="43">
        <f t="shared" si="722"/>
        <v>0</v>
      </c>
      <c r="BI101" s="43">
        <f t="shared" si="723"/>
        <v>0</v>
      </c>
      <c r="BJ101" s="43">
        <f t="shared" si="724"/>
        <v>0</v>
      </c>
      <c r="BK101" s="43">
        <f t="shared" si="725"/>
        <v>0</v>
      </c>
      <c r="BL101" s="43">
        <f t="shared" si="726"/>
        <v>0</v>
      </c>
      <c r="BM101" s="43">
        <f t="shared" si="727"/>
        <v>0</v>
      </c>
      <c r="BN101" s="43">
        <f t="shared" si="728"/>
        <v>0</v>
      </c>
      <c r="BP101" s="43">
        <f t="shared" si="762"/>
        <v>0</v>
      </c>
      <c r="BQ101" s="43">
        <f t="shared" ref="BQ101:CS101" si="810">BP101-($BP101-$CT101)/30</f>
        <v>0</v>
      </c>
      <c r="BR101" s="43">
        <f t="shared" si="810"/>
        <v>0</v>
      </c>
      <c r="BS101" s="43">
        <f t="shared" si="810"/>
        <v>0</v>
      </c>
      <c r="BT101" s="43">
        <f t="shared" si="810"/>
        <v>0</v>
      </c>
      <c r="BU101" s="43">
        <f t="shared" si="810"/>
        <v>0</v>
      </c>
      <c r="BV101" s="43">
        <f t="shared" si="810"/>
        <v>0</v>
      </c>
      <c r="BW101" s="43">
        <f t="shared" si="810"/>
        <v>0</v>
      </c>
      <c r="BX101" s="43">
        <f t="shared" si="810"/>
        <v>0</v>
      </c>
      <c r="BY101" s="43">
        <f t="shared" si="810"/>
        <v>0</v>
      </c>
      <c r="BZ101" s="43">
        <f t="shared" si="810"/>
        <v>0</v>
      </c>
      <c r="CA101" s="43">
        <f t="shared" si="810"/>
        <v>0</v>
      </c>
      <c r="CB101" s="43">
        <f t="shared" si="810"/>
        <v>0</v>
      </c>
      <c r="CC101" s="43">
        <f t="shared" si="810"/>
        <v>0</v>
      </c>
      <c r="CD101" s="43">
        <f t="shared" si="810"/>
        <v>0</v>
      </c>
      <c r="CE101" s="43">
        <f t="shared" si="810"/>
        <v>0</v>
      </c>
      <c r="CF101" s="43">
        <f t="shared" si="810"/>
        <v>0</v>
      </c>
      <c r="CG101" s="43">
        <f t="shared" si="810"/>
        <v>0</v>
      </c>
      <c r="CH101" s="43">
        <f t="shared" si="810"/>
        <v>0</v>
      </c>
      <c r="CI101" s="43">
        <f t="shared" si="810"/>
        <v>0</v>
      </c>
      <c r="CJ101" s="43">
        <f t="shared" si="810"/>
        <v>0</v>
      </c>
      <c r="CK101" s="43">
        <f t="shared" si="810"/>
        <v>0</v>
      </c>
      <c r="CL101" s="43">
        <f t="shared" si="810"/>
        <v>0</v>
      </c>
      <c r="CM101" s="43">
        <f t="shared" si="810"/>
        <v>0</v>
      </c>
      <c r="CN101" s="43">
        <f t="shared" si="810"/>
        <v>0</v>
      </c>
      <c r="CO101" s="43">
        <f t="shared" si="810"/>
        <v>0</v>
      </c>
      <c r="CP101" s="43">
        <f t="shared" si="810"/>
        <v>0</v>
      </c>
      <c r="CQ101" s="43">
        <f t="shared" si="810"/>
        <v>0</v>
      </c>
      <c r="CR101" s="43">
        <f t="shared" si="810"/>
        <v>0</v>
      </c>
      <c r="CS101" s="43">
        <f t="shared" si="810"/>
        <v>0</v>
      </c>
      <c r="CT101" s="43">
        <f t="shared" si="771"/>
        <v>0</v>
      </c>
      <c r="CV101" s="43">
        <f t="shared" si="774"/>
        <v>0</v>
      </c>
      <c r="CW101" s="43">
        <f t="shared" si="775"/>
        <v>0</v>
      </c>
      <c r="CX101" s="43">
        <f t="shared" si="776"/>
        <v>0</v>
      </c>
      <c r="CY101" s="43">
        <f t="shared" si="777"/>
        <v>0</v>
      </c>
      <c r="CZ101" s="43">
        <f t="shared" si="778"/>
        <v>0</v>
      </c>
      <c r="DA101" s="43">
        <f t="shared" si="779"/>
        <v>0</v>
      </c>
      <c r="DB101" s="43">
        <f t="shared" si="780"/>
        <v>0</v>
      </c>
      <c r="DC101" s="43">
        <f t="shared" si="781"/>
        <v>0</v>
      </c>
      <c r="DD101" s="43">
        <f t="shared" si="782"/>
        <v>0</v>
      </c>
      <c r="DE101" s="43">
        <f t="shared" si="783"/>
        <v>0</v>
      </c>
      <c r="DF101" s="43">
        <f t="shared" si="784"/>
        <v>0</v>
      </c>
      <c r="DG101" s="43">
        <f t="shared" si="785"/>
        <v>0</v>
      </c>
      <c r="DH101" s="43">
        <f t="shared" si="786"/>
        <v>0</v>
      </c>
      <c r="DI101" s="43">
        <f t="shared" si="787"/>
        <v>0</v>
      </c>
      <c r="DJ101" s="43">
        <f t="shared" si="788"/>
        <v>0</v>
      </c>
      <c r="DK101" s="43">
        <f t="shared" si="789"/>
        <v>0</v>
      </c>
      <c r="DL101" s="43">
        <f t="shared" si="790"/>
        <v>0</v>
      </c>
      <c r="DM101" s="43">
        <f t="shared" si="791"/>
        <v>0</v>
      </c>
      <c r="DN101" s="43">
        <f t="shared" si="792"/>
        <v>0</v>
      </c>
      <c r="DO101" s="43">
        <f t="shared" si="793"/>
        <v>0</v>
      </c>
      <c r="DP101" s="43">
        <f t="shared" si="794"/>
        <v>0</v>
      </c>
      <c r="DQ101" s="43">
        <f t="shared" si="795"/>
        <v>0</v>
      </c>
      <c r="DR101" s="43">
        <f t="shared" si="796"/>
        <v>0</v>
      </c>
      <c r="DS101" s="43">
        <f t="shared" si="797"/>
        <v>0</v>
      </c>
      <c r="DT101" s="43">
        <f t="shared" si="798"/>
        <v>0</v>
      </c>
      <c r="DU101" s="43">
        <f t="shared" si="799"/>
        <v>0</v>
      </c>
      <c r="DV101" s="43">
        <f t="shared" si="800"/>
        <v>0</v>
      </c>
      <c r="DW101" s="43">
        <f t="shared" si="801"/>
        <v>0</v>
      </c>
      <c r="DX101" s="43">
        <f t="shared" si="802"/>
        <v>0</v>
      </c>
      <c r="DY101" s="43">
        <f t="shared" si="803"/>
        <v>0</v>
      </c>
      <c r="DZ101" s="43">
        <f t="shared" si="806"/>
        <v>0</v>
      </c>
    </row>
    <row r="102" spans="1:165" s="624" customFormat="1" ht="16" thickBot="1" x14ac:dyDescent="0.25">
      <c r="A102" s="623" t="s">
        <v>461</v>
      </c>
      <c r="C102" s="625"/>
      <c r="D102" s="626"/>
      <c r="E102" s="626"/>
      <c r="F102" s="626"/>
      <c r="G102" s="626"/>
      <c r="H102" s="626"/>
      <c r="I102" s="626"/>
      <c r="J102" s="626"/>
      <c r="K102" s="626"/>
      <c r="L102" s="626"/>
      <c r="M102" s="626"/>
      <c r="N102" s="626"/>
      <c r="O102" s="626"/>
      <c r="P102" s="626"/>
      <c r="Q102" s="626"/>
      <c r="R102" s="626"/>
      <c r="S102" s="626"/>
      <c r="T102" s="626"/>
      <c r="U102" s="626"/>
      <c r="V102" s="626"/>
      <c r="W102" s="626"/>
      <c r="X102" s="626"/>
      <c r="Y102" s="626"/>
      <c r="Z102" s="626"/>
      <c r="AA102" s="626"/>
      <c r="AB102" s="626"/>
      <c r="AC102" s="626"/>
      <c r="AD102" s="626"/>
      <c r="AE102" s="626"/>
      <c r="AF102" s="626"/>
      <c r="AG102" s="626"/>
      <c r="AH102" s="626"/>
      <c r="AI102" s="626"/>
      <c r="AJ102" s="626"/>
      <c r="AK102" s="626"/>
      <c r="AL102" s="626"/>
      <c r="AM102" s="626"/>
      <c r="AN102" s="626"/>
      <c r="AO102" s="626"/>
      <c r="AP102" s="626"/>
      <c r="AQ102" s="626"/>
      <c r="AR102" s="626"/>
      <c r="AS102" s="626"/>
      <c r="AT102" s="626"/>
      <c r="AU102" s="626"/>
      <c r="AV102" s="626"/>
      <c r="AW102" s="626"/>
      <c r="AX102" s="626"/>
      <c r="AY102" s="626"/>
      <c r="AZ102" s="626"/>
      <c r="BA102" s="626"/>
      <c r="BB102" s="626"/>
      <c r="BC102" s="626"/>
      <c r="BD102" s="626"/>
      <c r="BE102" s="626"/>
      <c r="BF102" s="626"/>
      <c r="BG102" s="626"/>
      <c r="BH102" s="626"/>
      <c r="BI102" s="626"/>
      <c r="BJ102" s="626"/>
      <c r="BK102" s="626"/>
      <c r="BL102" s="626"/>
      <c r="BM102" s="626"/>
      <c r="BN102" s="626"/>
      <c r="BP102" s="626"/>
      <c r="BQ102" s="626"/>
      <c r="BR102" s="626"/>
      <c r="BS102" s="626"/>
      <c r="BT102" s="626"/>
      <c r="BU102" s="626"/>
      <c r="BV102" s="626"/>
      <c r="BW102" s="626"/>
      <c r="BX102" s="626"/>
      <c r="BY102" s="626"/>
      <c r="BZ102" s="626"/>
      <c r="CA102" s="626"/>
      <c r="CB102" s="626"/>
      <c r="CC102" s="626"/>
      <c r="CD102" s="626"/>
      <c r="CE102" s="626"/>
      <c r="CF102" s="626"/>
      <c r="CG102" s="626"/>
      <c r="CH102" s="626"/>
      <c r="CI102" s="626"/>
      <c r="CJ102" s="626"/>
      <c r="CK102" s="626"/>
      <c r="CL102" s="626"/>
      <c r="CM102" s="626"/>
      <c r="CN102" s="626"/>
      <c r="CO102" s="626"/>
      <c r="CP102" s="626"/>
      <c r="CQ102" s="626"/>
      <c r="CR102" s="626"/>
      <c r="CS102" s="626"/>
      <c r="CT102" s="626"/>
      <c r="CV102" s="626"/>
      <c r="CW102" s="626"/>
      <c r="CX102" s="626"/>
      <c r="CY102" s="626"/>
      <c r="CZ102" s="626"/>
      <c r="DA102" s="626"/>
      <c r="DB102" s="626"/>
      <c r="DC102" s="626"/>
      <c r="DD102" s="626"/>
      <c r="DE102" s="626"/>
      <c r="DF102" s="626"/>
      <c r="DG102" s="626"/>
      <c r="DH102" s="626"/>
      <c r="DI102" s="626"/>
      <c r="DJ102" s="626"/>
      <c r="DK102" s="626"/>
      <c r="DL102" s="626"/>
      <c r="DM102" s="626"/>
      <c r="DN102" s="626"/>
      <c r="DO102" s="626"/>
      <c r="DP102" s="626"/>
      <c r="DQ102" s="626"/>
      <c r="DR102" s="626"/>
      <c r="DS102" s="626"/>
      <c r="DT102" s="626"/>
      <c r="DU102" s="626"/>
      <c r="DV102" s="626"/>
      <c r="DW102" s="626"/>
      <c r="DX102" s="626"/>
      <c r="DY102" s="626"/>
      <c r="DZ102" s="626"/>
      <c r="EK102" s="627"/>
      <c r="EL102" s="627"/>
      <c r="EM102" s="627"/>
      <c r="EN102" s="627"/>
      <c r="EO102" s="627"/>
      <c r="EP102" s="627"/>
      <c r="EQ102" s="627"/>
      <c r="ER102" s="627"/>
      <c r="ES102" s="627"/>
      <c r="ET102" s="627"/>
      <c r="EU102" s="627"/>
      <c r="EV102" s="627"/>
      <c r="EW102" s="627"/>
      <c r="EX102" s="627"/>
      <c r="EY102" s="627"/>
      <c r="EZ102" s="627"/>
      <c r="FA102" s="627"/>
      <c r="FB102" s="627"/>
      <c r="FC102" s="627"/>
      <c r="FD102" s="627"/>
      <c r="FE102" s="627"/>
      <c r="FF102" s="627"/>
      <c r="FG102" s="627"/>
      <c r="FH102" s="627"/>
      <c r="FI102" s="627"/>
    </row>
    <row r="103" spans="1:165" x14ac:dyDescent="0.2">
      <c r="A103" s="606" t="s">
        <v>193</v>
      </c>
      <c r="C103" s="54" t="s">
        <v>462</v>
      </c>
      <c r="D103" s="168">
        <f>'BTX Recycling HC'!C321/'BTX Recycling HC'!C319</f>
        <v>8.6865876044151913E-2</v>
      </c>
      <c r="E103" s="168">
        <f>'BTX Recycling HC'!D321/'BTX Recycling HC'!D319</f>
        <v>8.9846994739147035E-2</v>
      </c>
      <c r="F103" s="168">
        <f>'BTX Recycling HC'!E321/'BTX Recycling HC'!E319</f>
        <v>9.408011746418854E-2</v>
      </c>
      <c r="G103" s="168">
        <f>'BTX Recycling HC'!F321/'BTX Recycling HC'!F319</f>
        <v>9.8429932790844679E-2</v>
      </c>
      <c r="H103" s="168">
        <f>'BTX Recycling HC'!G321/'BTX Recycling HC'!G319</f>
        <v>0.10282447203686899</v>
      </c>
      <c r="I103" s="168">
        <f>'BTX Recycling HC'!H321/'BTX Recycling HC'!H319</f>
        <v>0.10726688001080302</v>
      </c>
      <c r="J103" s="168">
        <f>'BTX Recycling HC'!I321/'BTX Recycling HC'!I319</f>
        <v>0.11241910537201075</v>
      </c>
      <c r="K103" s="168">
        <f>'BTX Recycling HC'!J321/'BTX Recycling HC'!J319</f>
        <v>0.11764585935593752</v>
      </c>
      <c r="L103" s="168">
        <f>'BTX Recycling HC'!K321/'BTX Recycling HC'!K319</f>
        <v>0.12294514840910481</v>
      </c>
      <c r="M103" s="168">
        <f>'BTX Recycling HC'!L321/'BTX Recycling HC'!L319</f>
        <v>0.12831459337264581</v>
      </c>
      <c r="N103" s="168">
        <f>'BTX Recycling HC'!M321/'BTX Recycling HC'!M319</f>
        <v>0.13375139923034488</v>
      </c>
      <c r="O103" s="168">
        <f>'BTX Recycling HC'!N321/'BTX Recycling HC'!N319</f>
        <v>0.14346502812515644</v>
      </c>
      <c r="P103" s="168">
        <f>'BTX Recycling HC'!O321/'BTX Recycling HC'!O319</f>
        <v>0.15324102736242448</v>
      </c>
      <c r="Q103" s="168">
        <f>'BTX Recycling HC'!P321/'BTX Recycling HC'!P319</f>
        <v>0.16308082597174189</v>
      </c>
      <c r="R103" s="168">
        <f>'BTX Recycling HC'!Q321/'BTX Recycling HC'!Q319</f>
        <v>0.17296714789751699</v>
      </c>
      <c r="S103" s="168">
        <f>'BTX Recycling HC'!R321/'BTX Recycling HC'!R319</f>
        <v>0.18288993304646453</v>
      </c>
      <c r="T103" s="168">
        <f>'BTX Recycling HC'!S321/'BTX Recycling HC'!S319</f>
        <v>0.19263968315907168</v>
      </c>
      <c r="U103" s="168">
        <f>'BTX Recycling HC'!T321/'BTX Recycling HC'!T319</f>
        <v>0.20240752345537288</v>
      </c>
      <c r="V103" s="168">
        <f>'BTX Recycling HC'!U321/'BTX Recycling HC'!U319</f>
        <v>0.21218489167856633</v>
      </c>
      <c r="W103" s="168">
        <f>'BTX Recycling HC'!V321/'BTX Recycling HC'!V319</f>
        <v>0.2219618741145569</v>
      </c>
      <c r="X103" s="168">
        <f>'BTX Recycling HC'!W321/'BTX Recycling HC'!W319</f>
        <v>0.23172703176664533</v>
      </c>
      <c r="Y103" s="168">
        <f>'BTX Recycling HC'!X321/'BTX Recycling HC'!X319</f>
        <v>0.24788451849737841</v>
      </c>
      <c r="Z103" s="168">
        <f>'BTX Recycling HC'!Y321/'BTX Recycling HC'!Y319</f>
        <v>0.26401970119100554</v>
      </c>
      <c r="AA103" s="168">
        <f>'BTX Recycling HC'!Z321/'BTX Recycling HC'!Z319</f>
        <v>0.2801162152467494</v>
      </c>
      <c r="AB103" s="168">
        <f>'BTX Recycling HC'!AA321/'BTX Recycling HC'!AA319</f>
        <v>0.29613426182510311</v>
      </c>
      <c r="AC103" s="168">
        <f>'BTX Recycling HC'!AB321/'BTX Recycling HC'!AB319</f>
        <v>0.31204164221197295</v>
      </c>
      <c r="AD103" s="168">
        <f>'BTX Recycling HC'!AC321/'BTX Recycling HC'!AC319</f>
        <v>0.32782214569261459</v>
      </c>
      <c r="AE103" s="168">
        <f>'BTX Recycling HC'!AD321/'BTX Recycling HC'!AD319</f>
        <v>0.34336341221521316</v>
      </c>
      <c r="AF103" s="168">
        <f>'BTX Recycling HC'!AE321/'BTX Recycling HC'!AE319</f>
        <v>0.35860028284732898</v>
      </c>
      <c r="AG103" s="168">
        <f>'BTX Recycling HC'!AF321/'BTX Recycling HC'!AF319</f>
        <v>0.3734566090130767</v>
      </c>
      <c r="AH103" s="168">
        <f>'BTX Recycling HC'!AG321/'BTX Recycling HC'!AG319</f>
        <v>0.38784314247740453</v>
      </c>
      <c r="AI103" s="44"/>
      <c r="AJ103" s="168">
        <f>'BTX Recycling LC'!C321/'BTX Recycling LC'!C319</f>
        <v>8.6865876044151913E-2</v>
      </c>
      <c r="AK103" s="168">
        <f>'BTX Recycling LC'!D321/'BTX Recycling LC'!D319</f>
        <v>8.9756572785935032E-2</v>
      </c>
      <c r="AL103" s="168">
        <f>'BTX Recycling LC'!E321/'BTX Recycling LC'!E319</f>
        <v>9.3853818851594148E-2</v>
      </c>
      <c r="AM103" s="168">
        <f>'BTX Recycling LC'!F321/'BTX Recycling LC'!F319</f>
        <v>9.8073408637237763E-2</v>
      </c>
      <c r="AN103" s="168">
        <f>'BTX Recycling LC'!G321/'BTX Recycling LC'!G319</f>
        <v>0.10232594348331912</v>
      </c>
      <c r="AO103" s="168">
        <f>'BTX Recycling LC'!H321/'BTX Recycling LC'!H319</f>
        <v>0.10661424723385156</v>
      </c>
      <c r="AP103" s="168">
        <f>'BTX Recycling LC'!I321/'BTX Recycling LC'!I319</f>
        <v>0.11106280032615533</v>
      </c>
      <c r="AQ103" s="168">
        <f>'BTX Recycling LC'!J321/'BTX Recycling LC'!J319</f>
        <v>0.11551062472667942</v>
      </c>
      <c r="AR103" s="168">
        <f>'BTX Recycling LC'!K321/'BTX Recycling LC'!K319</f>
        <v>0.11995243802614325</v>
      </c>
      <c r="AS103" s="168">
        <f>'BTX Recycling LC'!L321/'BTX Recycling LC'!L319</f>
        <v>0.1243825156510623</v>
      </c>
      <c r="AT103" s="168">
        <f>'BTX Recycling LC'!M321/'BTX Recycling LC'!M319</f>
        <v>0.12879467103629777</v>
      </c>
      <c r="AU103" s="168">
        <f>'BTX Recycling LC'!N321/'BTX Recycling LC'!N319</f>
        <v>0.13694359088313865</v>
      </c>
      <c r="AV103" s="168">
        <f>'BTX Recycling LC'!O321/'BTX Recycling LC'!O319</f>
        <v>0.14495165121747269</v>
      </c>
      <c r="AW103" s="168">
        <f>'BTX Recycling LC'!P321/'BTX Recycling LC'!P319</f>
        <v>0.15279136923764361</v>
      </c>
      <c r="AX103" s="168">
        <f>'BTX Recycling LC'!Q321/'BTX Recycling LC'!Q319</f>
        <v>0.16045120662758114</v>
      </c>
      <c r="AY103" s="168">
        <f>'BTX Recycling LC'!R321/'BTX Recycling LC'!R319</f>
        <v>0.1679105801346758</v>
      </c>
      <c r="AZ103" s="168">
        <f>'BTX Recycling LC'!S321/'BTX Recycling LC'!S319</f>
        <v>0.17523350218645523</v>
      </c>
      <c r="BA103" s="168">
        <f>'BTX Recycling LC'!T321/'BTX Recycling LC'!T319</f>
        <v>0.18235961789854885</v>
      </c>
      <c r="BB103" s="168">
        <f>'BTX Recycling LC'!U321/'BTX Recycling LC'!U319</f>
        <v>0.18927165492062764</v>
      </c>
      <c r="BC103" s="168">
        <f>'BTX Recycling LC'!V321/'BTX Recycling LC'!V319</f>
        <v>0.19595090372347496</v>
      </c>
      <c r="BD103" s="168">
        <f>'BTX Recycling LC'!W321/'BTX Recycling LC'!W319</f>
        <v>0.20237711183767243</v>
      </c>
      <c r="BE103" s="168">
        <f>'BTX Recycling LC'!X321/'BTX Recycling LC'!X319</f>
        <v>0.21405186985366526</v>
      </c>
      <c r="BF103" s="168">
        <f>'BTX Recycling LC'!Y321/'BTX Recycling LC'!Y319</f>
        <v>0.22531091843108947</v>
      </c>
      <c r="BG103" s="168">
        <f>'BTX Recycling LC'!Z321/'BTX Recycling LC'!Z319</f>
        <v>0.23604214848430199</v>
      </c>
      <c r="BH103" s="168">
        <f>'BTX Recycling LC'!AA321/'BTX Recycling LC'!AA319</f>
        <v>0.24626085078204779</v>
      </c>
      <c r="BI103" s="168">
        <f>'BTX Recycling LC'!AB321/'BTX Recycling LC'!AB319</f>
        <v>0.25592147870659893</v>
      </c>
      <c r="BJ103" s="168">
        <f>'BTX Recycling LC'!AC321/'BTX Recycling LC'!AC319</f>
        <v>0.26469352028404047</v>
      </c>
      <c r="BK103" s="168">
        <f>'BTX Recycling LC'!AD321/'BTX Recycling LC'!AD319</f>
        <v>0.2727200586102802</v>
      </c>
      <c r="BL103" s="168">
        <f>'BTX Recycling LC'!AE321/'BTX Recycling LC'!AE319</f>
        <v>0.27993017696370781</v>
      </c>
      <c r="BM103" s="168">
        <f>'BTX Recycling LC'!AF321/'BTX Recycling LC'!AF319</f>
        <v>0.28624676510526431</v>
      </c>
      <c r="BN103" s="168">
        <f>'BTX Recycling LC'!AG321/'BTX Recycling LC'!AG319</f>
        <v>0.29158594646239305</v>
      </c>
      <c r="BP103" s="168">
        <f>'BTX Recycling HC'!C311/'BTX Recycling HC'!C309</f>
        <v>8.6865876044151913E-2</v>
      </c>
      <c r="BQ103" s="168">
        <f>'BTX Recycling HC'!D311/'BTX Recycling HC'!D309</f>
        <v>8.5452055140027294E-2</v>
      </c>
      <c r="BR103" s="168">
        <f>'BTX Recycling HC'!E311/'BTX Recycling HC'!E309</f>
        <v>8.4281563337488388E-2</v>
      </c>
      <c r="BS103" s="168">
        <f>'BTX Recycling HC'!F311/'BTX Recycling HC'!F309</f>
        <v>8.3344829821982158E-2</v>
      </c>
      <c r="BT103" s="168">
        <f>'BTX Recycling HC'!G311/'BTX Recycling HC'!G309</f>
        <v>8.263423216537874E-2</v>
      </c>
      <c r="BU103" s="168">
        <f>'BTX Recycling HC'!H311/'BTX Recycling HC'!H309</f>
        <v>8.2143992883365158E-2</v>
      </c>
      <c r="BV103" s="168">
        <f>'BTX Recycling HC'!I311/'BTX Recycling HC'!I309</f>
        <v>8.1693850323663122E-2</v>
      </c>
      <c r="BW103" s="168">
        <f>'BTX Recycling HC'!J311/'BTX Recycling HC'!J309</f>
        <v>8.1283221119442847E-2</v>
      </c>
      <c r="BX103" s="168">
        <f>'BTX Recycling HC'!K311/'BTX Recycling HC'!K309</f>
        <v>8.0911578186848909E-2</v>
      </c>
      <c r="BY103" s="168">
        <f>'BTX Recycling HC'!L311/'BTX Recycling HC'!L309</f>
        <v>8.0578449612555322E-2</v>
      </c>
      <c r="BZ103" s="168">
        <f>'BTX Recycling HC'!M311/'BTX Recycling HC'!M309</f>
        <v>8.0283417669660781E-2</v>
      </c>
      <c r="CA103" s="168">
        <f>'BTX Recycling HC'!N311/'BTX Recycling HC'!N309</f>
        <v>8.0140782641730052E-2</v>
      </c>
      <c r="CB103" s="168">
        <f>'BTX Recycling HC'!O311/'BTX Recycling HC'!O309</f>
        <v>8.0150046262425126E-2</v>
      </c>
      <c r="CC103" s="168">
        <f>'BTX Recycling HC'!P311/'BTX Recycling HC'!P309</f>
        <v>8.0311574708555281E-2</v>
      </c>
      <c r="CD103" s="168">
        <f>'BTX Recycling HC'!Q311/'BTX Recycling HC'!Q309</f>
        <v>8.0626605061909704E-2</v>
      </c>
      <c r="CE103" s="168">
        <f>'BTX Recycling HC'!R311/'BTX Recycling HC'!R309</f>
        <v>8.1097260115289158E-2</v>
      </c>
      <c r="CF103" s="168">
        <f>'BTX Recycling HC'!S311/'BTX Recycling HC'!S309</f>
        <v>8.1579592269901191E-2</v>
      </c>
      <c r="CG103" s="168">
        <f>'BTX Recycling HC'!T311/'BTX Recycling HC'!T309</f>
        <v>8.2073783292113497E-2</v>
      </c>
      <c r="CH103" s="168">
        <f>'BTX Recycling HC'!U311/'BTX Recycling HC'!U309</f>
        <v>8.2580020061112619E-2</v>
      </c>
      <c r="CI103" s="168">
        <f>'BTX Recycling HC'!V311/'BTX Recycling HC'!V309</f>
        <v>8.3098494687576463E-2</v>
      </c>
      <c r="CJ103" s="168">
        <f>'BTX Recycling HC'!W311/'BTX Recycling HC'!W309</f>
        <v>8.3629404636092836E-2</v>
      </c>
      <c r="CK103" s="168">
        <f>'BTX Recycling HC'!X311/'BTX Recycling HC'!X309</f>
        <v>8.4172025746084664E-2</v>
      </c>
      <c r="CL103" s="168">
        <f>'BTX Recycling HC'!Y311/'BTX Recycling HC'!Y309</f>
        <v>8.4726546805950292E-2</v>
      </c>
      <c r="CM103" s="168">
        <f>'BTX Recycling HC'!Z311/'BTX Recycling HC'!Z309</f>
        <v>8.5293161480426052E-2</v>
      </c>
      <c r="CN103" s="168">
        <f>'BTX Recycling HC'!AA311/'BTX Recycling HC'!AA309</f>
        <v>8.5872068423965733E-2</v>
      </c>
      <c r="CO103" s="168">
        <f>'BTX Recycling HC'!AB311/'BTX Recycling HC'!AB309</f>
        <v>8.6463471397467295E-2</v>
      </c>
      <c r="CP103" s="168">
        <f>'BTX Recycling HC'!AC311/'BTX Recycling HC'!AC309</f>
        <v>8.7066756238696683E-2</v>
      </c>
      <c r="CQ103" s="168">
        <f>'BTX Recycling HC'!AD311/'BTX Recycling HC'!AD309</f>
        <v>8.7682118711812154E-2</v>
      </c>
      <c r="CR103" s="168">
        <f>'BTX Recycling HC'!AE311/'BTX Recycling HC'!AE309</f>
        <v>8.8309759306779548E-2</v>
      </c>
      <c r="CS103" s="168">
        <f>'BTX Recycling HC'!AF311/'BTX Recycling HC'!AF309</f>
        <v>8.8949883348533626E-2</v>
      </c>
      <c r="CT103" s="168">
        <f>'BTX Recycling HC'!AG311/'BTX Recycling HC'!AG309</f>
        <v>8.9602701109191413E-2</v>
      </c>
      <c r="CV103" s="168">
        <f>'BTX Recycling LC'!C321/'BTX Recycling HC'!C309</f>
        <v>8.6865876044151913E-2</v>
      </c>
      <c r="CW103" s="168">
        <f>'BTX Recycling LC'!D321/'BTX Recycling HC'!D309</f>
        <v>8.9488516021888356E-2</v>
      </c>
      <c r="CX103" s="168">
        <f>'BTX Recycling LC'!E321/'BTX Recycling HC'!E309</f>
        <v>9.3131914350023118E-2</v>
      </c>
      <c r="CY103" s="168">
        <f>'BTX Recycling LC'!F321/'BTX Recycling HC'!F309</f>
        <v>9.6941867544196231E-2</v>
      </c>
      <c r="CZ103" s="168">
        <f>'BTX Recycling LC'!G321/'BTX Recycling HC'!G309</f>
        <v>0.10075180275826419</v>
      </c>
      <c r="DA103" s="168">
        <f>'BTX Recycling LC'!H321/'BTX Recycling HC'!H309</f>
        <v>0.10456410942508998</v>
      </c>
      <c r="DB103" s="168">
        <f>'BTX Recycling LC'!I321/'BTX Recycling HC'!I309</f>
        <v>0.10799236598008223</v>
      </c>
      <c r="DC103" s="168">
        <f>'BTX Recycling LC'!J321/'BTX Recycling HC'!J309</f>
        <v>0.11134503818319744</v>
      </c>
      <c r="DD103" s="168">
        <f>'BTX Recycling LC'!K321/'BTX Recycling HC'!K309</f>
        <v>0.11461709697937156</v>
      </c>
      <c r="DE103" s="168">
        <f>'BTX Recycling LC'!L321/'BTX Recycling HC'!L309</f>
        <v>0.11780327237399016</v>
      </c>
      <c r="DF103" s="168">
        <f>'BTX Recycling LC'!M321/'BTX Recycling HC'!M309</f>
        <v>0.12089805342832947</v>
      </c>
      <c r="DG103" s="168">
        <f>'BTX Recycling LC'!N321/'BTX Recycling HC'!N309</f>
        <v>0.12676354044773047</v>
      </c>
      <c r="DH103" s="168">
        <f>'BTX Recycling LC'!O321/'BTX Recycling HC'!O309</f>
        <v>0.13228818044624616</v>
      </c>
      <c r="DI103" s="168">
        <f>'BTX Recycling LC'!P321/'BTX Recycling HC'!P309</f>
        <v>0.13744875909811377</v>
      </c>
      <c r="DJ103" s="168">
        <f>'BTX Recycling LC'!Q321/'BTX Recycling HC'!Q309</f>
        <v>0.14224515528816276</v>
      </c>
      <c r="DK103" s="168">
        <f>'BTX Recycling LC'!R321/'BTX Recycling HC'!R309</f>
        <v>0.1466664243999618</v>
      </c>
      <c r="DL103" s="168">
        <f>'BTX Recycling LC'!S321/'BTX Recycling HC'!S309</f>
        <v>0.15096644855044067</v>
      </c>
      <c r="DM103" s="168">
        <f>'BTX Recycling LC'!T321/'BTX Recycling HC'!T309</f>
        <v>0.15492398758413478</v>
      </c>
      <c r="DN103" s="168">
        <f>'BTX Recycling LC'!U321/'BTX Recycling HC'!U309</f>
        <v>0.1585316295171264</v>
      </c>
      <c r="DO103" s="168">
        <f>'BTX Recycling LC'!V321/'BTX Recycling HC'!V309</f>
        <v>0.16178160290053281</v>
      </c>
      <c r="DP103" s="168">
        <f>'BTX Recycling LC'!W321/'BTX Recycling HC'!W309</f>
        <v>0.16466577681568673</v>
      </c>
      <c r="DQ103" s="168">
        <f>'BTX Recycling LC'!X321/'BTX Recycling HC'!X309</f>
        <v>0.17159478549200238</v>
      </c>
      <c r="DR103" s="168">
        <f>'BTX Recycling LC'!Y321/'BTX Recycling HC'!Y309</f>
        <v>0.17791506994365675</v>
      </c>
      <c r="DS103" s="168">
        <f>'BTX Recycling LC'!Z321/'BTX Recycling HC'!Z309</f>
        <v>0.18353145363581844</v>
      </c>
      <c r="DT103" s="168">
        <f>'BTX Recycling LC'!AA321/'BTX Recycling HC'!AA309</f>
        <v>0.18849497555141331</v>
      </c>
      <c r="DU103" s="168">
        <f>'BTX Recycling LC'!AB321/'BTX Recycling HC'!AB309</f>
        <v>0.19278985074625768</v>
      </c>
      <c r="DV103" s="168">
        <f>'BTX Recycling LC'!AC321/'BTX Recycling HC'!AC309</f>
        <v>0.19604167260625821</v>
      </c>
      <c r="DW103" s="168">
        <f>'BTX Recycling LC'!AD321/'BTX Recycling HC'!AD309</f>
        <v>0.19852752359025971</v>
      </c>
      <c r="DX103" s="168">
        <f>'BTX Recycling LC'!AE321/'BTX Recycling HC'!AE309</f>
        <v>0.20022497252316643</v>
      </c>
      <c r="DY103" s="168">
        <f>'BTX Recycling LC'!AF321/'BTX Recycling HC'!AF309</f>
        <v>0.201110849664136</v>
      </c>
      <c r="DZ103" s="168">
        <f>'BTX Recycling LC'!AG321/'BTX Recycling HC'!AG309</f>
        <v>0.20116124669703228</v>
      </c>
    </row>
    <row r="104" spans="1:165" x14ac:dyDescent="0.2">
      <c r="A104" s="606" t="s">
        <v>88</v>
      </c>
      <c r="C104" s="54" t="s">
        <v>462</v>
      </c>
      <c r="D104" s="168">
        <f>('BTX Recycling HC'!C364+'BTX Recycling HC'!C366)/'BTX Recycling HC'!C319</f>
        <v>3.5539413783499495E-7</v>
      </c>
      <c r="E104" s="168">
        <f>('BTX Recycling HC'!D364+'BTX Recycling HC'!D366)/'BTX Recycling HC'!D319</f>
        <v>7.6994953493636775E-7</v>
      </c>
      <c r="F104" s="168">
        <f>('BTX Recycling HC'!E364+'BTX Recycling HC'!E366)/'BTX Recycling HC'!E319</f>
        <v>1.6302725031969353E-6</v>
      </c>
      <c r="G104" s="168">
        <f>('BTX Recycling HC'!F364+'BTX Recycling HC'!F366)/'BTX Recycling HC'!F319</f>
        <v>3.4249058676089055E-6</v>
      </c>
      <c r="H104" s="168">
        <f>('BTX Recycling HC'!G364+'BTX Recycling HC'!G366)/'BTX Recycling HC'!G319</f>
        <v>7.1413303624467628E-6</v>
      </c>
      <c r="I104" s="168">
        <f>('BTX Recycling HC'!H364+'BTX Recycling HC'!H366)/'BTX Recycling HC'!H319</f>
        <v>1.4764176148161701E-5</v>
      </c>
      <c r="J104" s="168">
        <f>('BTX Recycling HC'!I364+'BTX Recycling HC'!I366)/'BTX Recycling HC'!I319</f>
        <v>3.0030601357725137E-5</v>
      </c>
      <c r="K104" s="168">
        <f>('BTX Recycling HC'!J364+'BTX Recycling HC'!J366)/'BTX Recycling HC'!J319</f>
        <v>6.035020394494349E-5</v>
      </c>
      <c r="L104" s="168">
        <f>('BTX Recycling HC'!K364+'BTX Recycling HC'!K366)/'BTX Recycling HC'!K319</f>
        <v>1.1944458141779007E-4</v>
      </c>
      <c r="M104" s="168">
        <f>('BTX Recycling HC'!L364+'BTX Recycling HC'!L366)/'BTX Recycling HC'!L319</f>
        <v>2.3183644460019609E-4</v>
      </c>
      <c r="N104" s="168">
        <f>('BTX Recycling HC'!M364+'BTX Recycling HC'!M366)/'BTX Recycling HC'!M319</f>
        <v>4.4080439348205861E-4</v>
      </c>
      <c r="O104" s="168">
        <f>('BTX Recycling HC'!N364+'BTX Recycling HC'!N366)/'BTX Recycling HC'!N319</f>
        <v>7.7855633825504888E-4</v>
      </c>
      <c r="P104" s="168">
        <f>('BTX Recycling HC'!O364+'BTX Recycling HC'!O366)/'BTX Recycling HC'!O319</f>
        <v>1.3298048401981137E-3</v>
      </c>
      <c r="Q104" s="168">
        <f>('BTX Recycling HC'!P364+'BTX Recycling HC'!P366)/'BTX Recycling HC'!P319</f>
        <v>2.1703784317944597E-3</v>
      </c>
      <c r="R104" s="168">
        <f>('BTX Recycling HC'!Q364+'BTX Recycling HC'!Q366)/'BTX Recycling HC'!Q319</f>
        <v>3.3623590358289501E-3</v>
      </c>
      <c r="S104" s="168">
        <f>('BTX Recycling HC'!R364+'BTX Recycling HC'!R366)/'BTX Recycling HC'!R319</f>
        <v>4.9232338968044735E-3</v>
      </c>
      <c r="T104" s="168">
        <f>('BTX Recycling HC'!S364+'BTX Recycling HC'!S366)/'BTX Recycling HC'!S319</f>
        <v>6.8093115366191772E-3</v>
      </c>
      <c r="U104" s="168">
        <f>('BTX Recycling HC'!T364+'BTX Recycling HC'!T366)/'BTX Recycling HC'!T319</f>
        <v>8.9004537152682275E-3</v>
      </c>
      <c r="V104" s="168">
        <f>('BTX Recycling HC'!U364+'BTX Recycling HC'!U366)/'BTX Recycling HC'!U319</f>
        <v>1.1048561373663326E-2</v>
      </c>
      <c r="W104" s="168">
        <f>('BTX Recycling HC'!V364+'BTX Recycling HC'!V366)/'BTX Recycling HC'!V319</f>
        <v>1.3116960023448729E-2</v>
      </c>
      <c r="X104" s="168">
        <f>('BTX Recycling HC'!W364+'BTX Recycling HC'!W366)/'BTX Recycling HC'!W319</f>
        <v>1.501300887339378E-2</v>
      </c>
      <c r="Y104" s="168">
        <f>('BTX Recycling HC'!X364+'BTX Recycling HC'!X366)/'BTX Recycling HC'!X319</f>
        <v>1.5825904792868734E-2</v>
      </c>
      <c r="Z104" s="168">
        <f>('BTX Recycling HC'!Y364+'BTX Recycling HC'!Y366)/'BTX Recycling HC'!Y319</f>
        <v>1.6284964524273041E-2</v>
      </c>
      <c r="AA104" s="168">
        <f>('BTX Recycling HC'!Z364+'BTX Recycling HC'!Z366)/'BTX Recycling HC'!Z319</f>
        <v>1.646563413412783E-2</v>
      </c>
      <c r="AB104" s="168">
        <f>('BTX Recycling HC'!AA364+'BTX Recycling HC'!AA366)/'BTX Recycling HC'!AA319</f>
        <v>1.7607741260876955E-2</v>
      </c>
      <c r="AC104" s="168">
        <f>('BTX Recycling HC'!AB364+'BTX Recycling HC'!AB366)/'BTX Recycling HC'!AB319</f>
        <v>1.919294044445518E-2</v>
      </c>
      <c r="AD104" s="168">
        <f>('BTX Recycling HC'!AC364+'BTX Recycling HC'!AC366)/'BTX Recycling HC'!AC319</f>
        <v>2.0908282237462349E-2</v>
      </c>
      <c r="AE104" s="168">
        <f>('BTX Recycling HC'!AD364+'BTX Recycling HC'!AD366)/'BTX Recycling HC'!AD319</f>
        <v>2.2878159078385776E-2</v>
      </c>
      <c r="AF104" s="168">
        <f>('BTX Recycling HC'!AE364+'BTX Recycling HC'!AE366)/'BTX Recycling HC'!AE319</f>
        <v>2.5229935310012774E-2</v>
      </c>
      <c r="AG104" s="168">
        <f>('BTX Recycling HC'!AF364+'BTX Recycling HC'!AF366)/'BTX Recycling HC'!AF319</f>
        <v>2.8045235205180503E-2</v>
      </c>
      <c r="AH104" s="168">
        <f>('BTX Recycling HC'!AG364+'BTX Recycling HC'!AG366)/'BTX Recycling HC'!AG319</f>
        <v>3.1306672242522697E-2</v>
      </c>
      <c r="AI104" s="44"/>
      <c r="AJ104" s="168">
        <f>('BTX Recycling LC'!C364+'BTX Recycling LC'!C366)/'BTX Recycling LC'!C319</f>
        <v>2.0363802976813303E-7</v>
      </c>
      <c r="AK104" s="168">
        <f>('BTX Recycling LC'!D364+'BTX Recycling LC'!D366)/'BTX Recycling LC'!D319</f>
        <v>4.4166590186274447E-7</v>
      </c>
      <c r="AL104" s="168">
        <f>('BTX Recycling LC'!E364+'BTX Recycling LC'!E366)/'BTX Recycling LC'!E319</f>
        <v>9.3657809576912975E-7</v>
      </c>
      <c r="AM104" s="168">
        <f>('BTX Recycling LC'!F364+'BTX Recycling LC'!F366)/'BTX Recycling LC'!F319</f>
        <v>1.9700839301252892E-6</v>
      </c>
      <c r="AN104" s="168">
        <f>('BTX Recycling LC'!G364+'BTX Recycling LC'!G366)/'BTX Recycling LC'!G319</f>
        <v>4.1130268610540028E-6</v>
      </c>
      <c r="AO104" s="168">
        <f>('BTX Recycling LC'!H364+'BTX Recycling LC'!H366)/'BTX Recycling LC'!H319</f>
        <v>8.5140182687198991E-6</v>
      </c>
      <c r="AP104" s="168">
        <f>('BTX Recycling LC'!I364+'BTX Recycling LC'!I366)/'BTX Recycling LC'!I319</f>
        <v>1.7427183125901427E-5</v>
      </c>
      <c r="AQ104" s="168">
        <f>('BTX Recycling LC'!J364+'BTX Recycling LC'!J366)/'BTX Recycling LC'!J319</f>
        <v>3.5248531702279704E-5</v>
      </c>
      <c r="AR104" s="168">
        <f>('BTX Recycling LC'!K364+'BTX Recycling LC'!K366)/'BTX Recycling LC'!K319</f>
        <v>7.0225476676703615E-5</v>
      </c>
      <c r="AS104" s="168">
        <f>('BTX Recycling LC'!L364+'BTX Recycling LC'!L366)/'BTX Recycling LC'!L319</f>
        <v>1.3722945122043525E-4</v>
      </c>
      <c r="AT104" s="168">
        <f>('BTX Recycling LC'!M364+'BTX Recycling LC'!M366)/'BTX Recycling LC'!M319</f>
        <v>2.6273871536260562E-4</v>
      </c>
      <c r="AU104" s="168">
        <f>('BTX Recycling LC'!N364+'BTX Recycling LC'!N366)/'BTX Recycling LC'!N319</f>
        <v>4.6973014247163932E-4</v>
      </c>
      <c r="AV104" s="168">
        <f>('BTX Recycling LC'!O364+'BTX Recycling LC'!O366)/'BTX Recycling LC'!O319</f>
        <v>8.1329776542250548E-4</v>
      </c>
      <c r="AW104" s="168">
        <f>('BTX Recycling LC'!P364+'BTX Recycling LC'!P366)/'BTX Recycling LC'!P319</f>
        <v>1.3477208260075243E-3</v>
      </c>
      <c r="AX104" s="168">
        <f>('BTX Recycling LC'!Q364+'BTX Recycling LC'!Q366)/'BTX Recycling LC'!Q319</f>
        <v>2.1230685174532297E-3</v>
      </c>
      <c r="AY104" s="168">
        <f>('BTX Recycling LC'!R364+'BTX Recycling LC'!R366)/'BTX Recycling LC'!R319</f>
        <v>3.1657901157547933E-3</v>
      </c>
      <c r="AZ104" s="168">
        <f>('BTX Recycling LC'!S364+'BTX Recycling LC'!S366)/'BTX Recycling LC'!S319</f>
        <v>4.4558550870247198E-3</v>
      </c>
      <c r="BA104" s="168">
        <f>('BTX Recycling LC'!T364+'BTX Recycling LC'!T366)/'BTX Recycling LC'!T319</f>
        <v>5.9341850784019627E-3</v>
      </c>
      <c r="BB104" s="168">
        <f>('BTX Recycling LC'!U364+'BTX Recycling LC'!U366)/'BTX Recycling LC'!U319</f>
        <v>7.5143457011827867E-3</v>
      </c>
      <c r="BC104" s="168">
        <f>('BTX Recycling LC'!V364+'BTX Recycling LC'!V366)/'BTX Recycling LC'!V319</f>
        <v>9.1107891654233497E-3</v>
      </c>
      <c r="BD104" s="168">
        <f>('BTX Recycling LC'!W364+'BTX Recycling LC'!W366)/'BTX Recycling LC'!W319</f>
        <v>1.0661256212940666E-2</v>
      </c>
      <c r="BE104" s="168">
        <f>('BTX Recycling LC'!X364+'BTX Recycling LC'!X366)/'BTX Recycling LC'!X319</f>
        <v>1.1706195879423769E-2</v>
      </c>
      <c r="BF104" s="168">
        <f>('BTX Recycling LC'!Y364+'BTX Recycling LC'!Y366)/'BTX Recycling LC'!Y319</f>
        <v>1.2614728821600916E-2</v>
      </c>
      <c r="BG104" s="168">
        <f>('BTX Recycling LC'!Z364+'BTX Recycling LC'!Z366)/'BTX Recycling LC'!Z319</f>
        <v>1.3442336747809105E-2</v>
      </c>
      <c r="BH104" s="168">
        <f>('BTX Recycling LC'!AA364+'BTX Recycling LC'!AA366)/'BTX Recycling LC'!AA319</f>
        <v>1.4252101246221973E-2</v>
      </c>
      <c r="BI104" s="168">
        <f>('BTX Recycling LC'!AB364+'BTX Recycling LC'!AB366)/'BTX Recycling LC'!AB319</f>
        <v>1.5128863490850537E-2</v>
      </c>
      <c r="BJ104" s="168">
        <f>('BTX Recycling LC'!AC364+'BTX Recycling LC'!AC366)/'BTX Recycling LC'!AC319</f>
        <v>1.6206653418695427E-2</v>
      </c>
      <c r="BK104" s="168">
        <f>('BTX Recycling LC'!AD364+'BTX Recycling LC'!AD366)/'BTX Recycling LC'!AD319</f>
        <v>1.7589533969059698E-2</v>
      </c>
      <c r="BL104" s="168">
        <f>('BTX Recycling LC'!AE364+'BTX Recycling LC'!AE366)/'BTX Recycling LC'!AE319</f>
        <v>1.9409292423475093E-2</v>
      </c>
      <c r="BM104" s="168">
        <f>('BTX Recycling LC'!AF364+'BTX Recycling LC'!AF366)/'BTX Recycling LC'!AF319</f>
        <v>2.1780221214840724E-2</v>
      </c>
      <c r="BN104" s="168">
        <f>('BTX Recycling LC'!AG364+'BTX Recycling LC'!AG366)/'BTX Recycling LC'!AG319</f>
        <v>2.4764751747142613E-2</v>
      </c>
      <c r="BP104" s="168">
        <f>0</f>
        <v>0</v>
      </c>
      <c r="BQ104" s="168">
        <f>0</f>
        <v>0</v>
      </c>
      <c r="BR104" s="168">
        <f>0</f>
        <v>0</v>
      </c>
      <c r="BS104" s="168">
        <f>0</f>
        <v>0</v>
      </c>
      <c r="BT104" s="168">
        <f>0</f>
        <v>0</v>
      </c>
      <c r="BU104" s="168">
        <f>0</f>
        <v>0</v>
      </c>
      <c r="BV104" s="168">
        <f>0</f>
        <v>0</v>
      </c>
      <c r="BW104" s="168">
        <f>0</f>
        <v>0</v>
      </c>
      <c r="BX104" s="168">
        <f>0</f>
        <v>0</v>
      </c>
      <c r="BY104" s="168">
        <f>0</f>
        <v>0</v>
      </c>
      <c r="BZ104" s="168">
        <f>0</f>
        <v>0</v>
      </c>
      <c r="CA104" s="168">
        <f>0</f>
        <v>0</v>
      </c>
      <c r="CB104" s="168">
        <f>0</f>
        <v>0</v>
      </c>
      <c r="CC104" s="168">
        <f>0</f>
        <v>0</v>
      </c>
      <c r="CD104" s="168">
        <f>0</f>
        <v>0</v>
      </c>
      <c r="CE104" s="168">
        <f>0</f>
        <v>0</v>
      </c>
      <c r="CF104" s="168">
        <f>0</f>
        <v>0</v>
      </c>
      <c r="CG104" s="168">
        <f>0</f>
        <v>0</v>
      </c>
      <c r="CH104" s="168">
        <f>0</f>
        <v>0</v>
      </c>
      <c r="CI104" s="168">
        <f>0</f>
        <v>0</v>
      </c>
      <c r="CJ104" s="168">
        <f>0</f>
        <v>0</v>
      </c>
      <c r="CK104" s="168">
        <f>0</f>
        <v>0</v>
      </c>
      <c r="CL104" s="168">
        <f>0</f>
        <v>0</v>
      </c>
      <c r="CM104" s="168">
        <f>0</f>
        <v>0</v>
      </c>
      <c r="CN104" s="168">
        <f>0</f>
        <v>0</v>
      </c>
      <c r="CO104" s="168">
        <f>0</f>
        <v>0</v>
      </c>
      <c r="CP104" s="168">
        <f>0</f>
        <v>0</v>
      </c>
      <c r="CQ104" s="168">
        <f>0</f>
        <v>0</v>
      </c>
      <c r="CR104" s="168">
        <f>0</f>
        <v>0</v>
      </c>
      <c r="CS104" s="168">
        <f>0</f>
        <v>0</v>
      </c>
      <c r="CT104" s="168">
        <f>0</f>
        <v>0</v>
      </c>
      <c r="CV104" s="168">
        <f>('BTX Recycling LC'!C364+'BTX Recycling LC'!C366)/'BTX Recycling HC'!C309</f>
        <v>2.0363802976813303E-7</v>
      </c>
      <c r="CW104" s="168">
        <f>('BTX Recycling LC'!D364+'BTX Recycling LC'!D366)/'BTX Recycling HC'!D309</f>
        <v>4.4034687275135627E-7</v>
      </c>
      <c r="CX104" s="168">
        <f>('BTX Recycling LC'!E364+'BTX Recycling LC'!E366)/'BTX Recycling HC'!E309</f>
        <v>9.2937412738849643E-7</v>
      </c>
      <c r="CY104" s="168">
        <f>('BTX Recycling LC'!F364+'BTX Recycling LC'!F366)/'BTX Recycling HC'!F309</f>
        <v>1.9473537022821515E-6</v>
      </c>
      <c r="CZ104" s="168">
        <f>('BTX Recycling LC'!G364+'BTX Recycling LC'!G366)/'BTX Recycling HC'!G309</f>
        <v>4.0497537275276508E-6</v>
      </c>
      <c r="DA104" s="168">
        <f>('BTX Recycling LC'!H364+'BTX Recycling LC'!H366)/'BTX Recycling HC'!H309</f>
        <v>8.3502980229735375E-6</v>
      </c>
      <c r="DB104" s="168">
        <f>('BTX Recycling LC'!I364+'BTX Recycling LC'!I366)/'BTX Recycling HC'!I309</f>
        <v>1.6945392450104177E-5</v>
      </c>
      <c r="DC104" s="168">
        <f>('BTX Recycling LC'!J364+'BTX Recycling LC'!J366)/'BTX Recycling HC'!J309</f>
        <v>3.3977386215152914E-5</v>
      </c>
      <c r="DD104" s="168">
        <f>('BTX Recycling LC'!K364+'BTX Recycling LC'!K366)/'BTX Recycling HC'!K309</f>
        <v>6.7101931424870846E-5</v>
      </c>
      <c r="DE104" s="168">
        <f>('BTX Recycling LC'!L364+'BTX Recycling LC'!L366)/'BTX Recycling HC'!L309</f>
        <v>1.2997066617631209E-4</v>
      </c>
      <c r="DF104" s="168">
        <f>('BTX Recycling LC'!M364+'BTX Recycling LC'!M366)/'BTX Recycling HC'!M309</f>
        <v>2.4662976342124305E-4</v>
      </c>
      <c r="DG104" s="168">
        <f>('BTX Recycling LC'!N364+'BTX Recycling LC'!N366)/'BTX Recycling HC'!N309</f>
        <v>4.3481155657393642E-4</v>
      </c>
      <c r="DH104" s="168">
        <f>('BTX Recycling LC'!O364+'BTX Recycling LC'!O366)/'BTX Recycling HC'!O309</f>
        <v>7.4224529796713457E-4</v>
      </c>
      <c r="DI104" s="168">
        <f>('BTX Recycling LC'!P364+'BTX Recycling LC'!P366)/'BTX Recycling HC'!P309</f>
        <v>1.212388867706936E-3</v>
      </c>
      <c r="DJ104" s="168">
        <f>('BTX Recycling LC'!Q364+'BTX Recycling LC'!Q366)/'BTX Recycling HC'!Q309</f>
        <v>1.8821685252482971E-3</v>
      </c>
      <c r="DK104" s="168">
        <f>('BTX Recycling LC'!R364+'BTX Recycling LC'!R366)/'BTX Recycling HC'!R309</f>
        <v>2.7652522926553181E-3</v>
      </c>
      <c r="DL104" s="168">
        <f>('BTX Recycling LC'!S364+'BTX Recycling LC'!S366)/'BTX Recycling HC'!S309</f>
        <v>3.8387900107581842E-3</v>
      </c>
      <c r="DM104" s="168">
        <f>('BTX Recycling LC'!T364+'BTX Recycling LC'!T366)/'BTX Recycling HC'!T309</f>
        <v>5.041399110189841E-3</v>
      </c>
      <c r="DN104" s="168">
        <f>('BTX Recycling LC'!U364+'BTX Recycling LC'!U366)/'BTX Recycling HC'!U309</f>
        <v>6.2939243029448057E-3</v>
      </c>
      <c r="DO104" s="168">
        <f>('BTX Recycling LC'!V364+'BTX Recycling LC'!V366)/'BTX Recycling HC'!V309</f>
        <v>7.522078474060217E-3</v>
      </c>
      <c r="DP104" s="168">
        <f>('BTX Recycling LC'!W364+'BTX Recycling LC'!W366)/'BTX Recycling HC'!W309</f>
        <v>8.6746175009309884E-3</v>
      </c>
      <c r="DQ104" s="168">
        <f>('BTX Recycling LC'!X364+'BTX Recycling LC'!X366)/'BTX Recycling HC'!X309</f>
        <v>9.3842776156561006E-3</v>
      </c>
      <c r="DR104" s="168">
        <f>('BTX Recycling LC'!Y364+'BTX Recycling LC'!Y366)/'BTX Recycling HC'!Y309</f>
        <v>9.9611256136342818E-3</v>
      </c>
      <c r="DS104" s="168">
        <f>('BTX Recycling LC'!Z364+'BTX Recycling LC'!Z366)/'BTX Recycling HC'!Z309</f>
        <v>1.0451911319353456E-2</v>
      </c>
      <c r="DT104" s="168">
        <f>('BTX Recycling LC'!AA364+'BTX Recycling LC'!AA366)/'BTX Recycling HC'!AA309</f>
        <v>1.0908958802958533E-2</v>
      </c>
      <c r="DU104" s="168">
        <f>('BTX Recycling LC'!AB364+'BTX Recycling LC'!AB366)/'BTX Recycling HC'!AB309</f>
        <v>1.1396821201183438E-2</v>
      </c>
      <c r="DV104" s="168">
        <f>('BTX Recycling LC'!AC364+'BTX Recycling LC'!AC366)/'BTX Recycling HC'!AC309</f>
        <v>1.2003238462889379E-2</v>
      </c>
      <c r="DW104" s="168">
        <f>('BTX Recycling LC'!AD364+'BTX Recycling LC'!AD366)/'BTX Recycling HC'!AD309</f>
        <v>1.2804362971241099E-2</v>
      </c>
      <c r="DX104" s="168">
        <f>('BTX Recycling LC'!AE364+'BTX Recycling LC'!AE366)/'BTX Recycling HC'!AE309</f>
        <v>1.3882837085793156E-2</v>
      </c>
      <c r="DY104" s="168">
        <f>('BTX Recycling LC'!AF364+'BTX Recycling LC'!AF366)/'BTX Recycling HC'!AF309</f>
        <v>1.5302317190479588E-2</v>
      </c>
      <c r="DZ104" s="168">
        <f>('BTX Recycling LC'!AG364+'BTX Recycling LC'!AG366)/'BTX Recycling HC'!AG309</f>
        <v>1.708487118819434E-2</v>
      </c>
    </row>
    <row r="105" spans="1:165" x14ac:dyDescent="0.2">
      <c r="A105" s="606" t="s">
        <v>459</v>
      </c>
      <c r="C105" s="54" t="s">
        <v>462</v>
      </c>
      <c r="D105" s="168">
        <f>('BTX Recycling HC'!C337-('BTX Recycling HC'!C364+'BTX Recycling HC'!C366)*'BTX Recycling HC'!C303/SUM('BTX Recycling HC'!C303:C304))/('BTX Recycling HC'!C$319)*D$19/SUM(D$19:D$20)</f>
        <v>0.14609461893255787</v>
      </c>
      <c r="E105" s="168">
        <f>('BTX Recycling HC'!D337-('BTX Recycling HC'!D364+'BTX Recycling HC'!D366)*'BTX Recycling HC'!D303/SUM('BTX Recycling HC'!D303:D304))/('BTX Recycling HC'!D$319)*E$19/SUM(E$19:E$20)</f>
        <v>0.15046496331389386</v>
      </c>
      <c r="F105" s="168">
        <f>('BTX Recycling HC'!E337-('BTX Recycling HC'!E364+'BTX Recycling HC'!E366)*'BTX Recycling HC'!E303/SUM('BTX Recycling HC'!E303:E304))/('BTX Recycling HC'!E$319)*F$19/SUM(F$19:F$20)</f>
        <v>0.15458314120821479</v>
      </c>
      <c r="G105" s="168">
        <f>('BTX Recycling HC'!F337-('BTX Recycling HC'!F364+'BTX Recycling HC'!F366)*'BTX Recycling HC'!F303/SUM('BTX Recycling HC'!F303:F304))/('BTX Recycling HC'!F$319)*G$19/SUM(G$19:G$20)</f>
        <v>0.15862244716169285</v>
      </c>
      <c r="H105" s="168">
        <f>('BTX Recycling HC'!G337-('BTX Recycling HC'!G364+'BTX Recycling HC'!G366)*'BTX Recycling HC'!G303/SUM('BTX Recycling HC'!G303:G304))/('BTX Recycling HC'!G$319)*H$19/SUM(H$19:H$20)</f>
        <v>0.16258149004598269</v>
      </c>
      <c r="I105" s="168">
        <f>('BTX Recycling HC'!H337-('BTX Recycling HC'!H364+'BTX Recycling HC'!H366)*'BTX Recycling HC'!H303/SUM('BTX Recycling HC'!H303:H304))/('BTX Recycling HC'!H$319)*I$19/SUM(I$19:I$20)</f>
        <v>0.16643485460508847</v>
      </c>
      <c r="J105" s="168">
        <f>('BTX Recycling HC'!I337-('BTX Recycling HC'!I364+'BTX Recycling HC'!I366)*'BTX Recycling HC'!I303/SUM('BTX Recycling HC'!I303:I304))/('BTX Recycling HC'!I$319)*J$19/SUM(J$19:J$20)</f>
        <v>0.17000953122011522</v>
      </c>
      <c r="K105" s="168">
        <f>('BTX Recycling HC'!J337-('BTX Recycling HC'!J364+'BTX Recycling HC'!J366)*'BTX Recycling HC'!J303/SUM('BTX Recycling HC'!J303:J304))/('BTX Recycling HC'!J$319)*K$19/SUM(K$19:K$20)</f>
        <v>0.17333587842566534</v>
      </c>
      <c r="L105" s="168">
        <f>('BTX Recycling HC'!K337-('BTX Recycling HC'!K364+'BTX Recycling HC'!K366)*'BTX Recycling HC'!K303/SUM('BTX Recycling HC'!K303:K304))/('BTX Recycling HC'!K$319)*L$19/SUM(L$19:L$20)</f>
        <v>0.17626380709989234</v>
      </c>
      <c r="M105" s="168">
        <f>('BTX Recycling HC'!L337-('BTX Recycling HC'!L364+'BTX Recycling HC'!L366)*'BTX Recycling HC'!L303/SUM('BTX Recycling HC'!L303:L304))/('BTX Recycling HC'!L$319)*M$19/SUM(M$19:M$20)</f>
        <v>0.17853726937810702</v>
      </c>
      <c r="N105" s="168">
        <f>('BTX Recycling HC'!M337-('BTX Recycling HC'!M364+'BTX Recycling HC'!M366)*'BTX Recycling HC'!M303/SUM('BTX Recycling HC'!M303:M304))/('BTX Recycling HC'!M$319)*N$19/SUM(N$19:N$20)</f>
        <v>0.17974413229089212</v>
      </c>
      <c r="O105" s="168">
        <f>('BTX Recycling HC'!N337-('BTX Recycling HC'!N364+'BTX Recycling HC'!N366)*'BTX Recycling HC'!N303/SUM('BTX Recycling HC'!N303:N304))/('BTX Recycling HC'!N$319)*O$19/SUM(O$19:O$20)</f>
        <v>0.17840972033879055</v>
      </c>
      <c r="P105" s="168">
        <f>('BTX Recycling HC'!O337-('BTX Recycling HC'!O364+'BTX Recycling HC'!O366)*'BTX Recycling HC'!O303/SUM('BTX Recycling HC'!O303:O304))/('BTX Recycling HC'!O$319)*P$19/SUM(P$19:P$20)</f>
        <v>0.1746382332045768</v>
      </c>
      <c r="Q105" s="168">
        <f>('BTX Recycling HC'!P337-('BTX Recycling HC'!P364+'BTX Recycling HC'!P366)*'BTX Recycling HC'!P303/SUM('BTX Recycling HC'!P303:P304))/('BTX Recycling HC'!P$319)*Q$19/SUM(Q$19:Q$20)</f>
        <v>0.16763406227054878</v>
      </c>
      <c r="R105" s="168">
        <f>('BTX Recycling HC'!Q337-('BTX Recycling HC'!Q364+'BTX Recycling HC'!Q366)*'BTX Recycling HC'!Q303/SUM('BTX Recycling HC'!Q303:Q304))/('BTX Recycling HC'!Q$319)*R$19/SUM(R$19:R$20)</f>
        <v>0.15682726861117707</v>
      </c>
      <c r="S105" s="168">
        <f>('BTX Recycling HC'!R337-('BTX Recycling HC'!R364+'BTX Recycling HC'!R366)*'BTX Recycling HC'!R303/SUM('BTX Recycling HC'!R303:R304))/('BTX Recycling HC'!R$319)*S$19/SUM(S$19:S$20)</f>
        <v>0.14219882867483738</v>
      </c>
      <c r="T105" s="168">
        <f>('BTX Recycling HC'!S337-('BTX Recycling HC'!S364+'BTX Recycling HC'!S366)*'BTX Recycling HC'!S303/SUM('BTX Recycling HC'!S303:S304))/('BTX Recycling HC'!S$319)*T$19/SUM(T$19:T$20)</f>
        <v>0.12451980251774773</v>
      </c>
      <c r="U105" s="168">
        <f>('BTX Recycling HC'!T337-('BTX Recycling HC'!T364+'BTX Recycling HC'!T366)*'BTX Recycling HC'!T303/SUM('BTX Recycling HC'!T303:T304))/('BTX Recycling HC'!T$319)*U$19/SUM(U$19:U$20)</f>
        <v>0.1051539755944072</v>
      </c>
      <c r="V105" s="168">
        <f>('BTX Recycling HC'!U337-('BTX Recycling HC'!U364+'BTX Recycling HC'!U366)*'BTX Recycling HC'!U303/SUM('BTX Recycling HC'!U303:U304))/('BTX Recycling HC'!U$319)*V$19/SUM(V$19:V$20)</f>
        <v>8.576422571298134E-2</v>
      </c>
      <c r="W105" s="168">
        <f>('BTX Recycling HC'!V337-('BTX Recycling HC'!V364+'BTX Recycling HC'!V366)*'BTX Recycling HC'!V303/SUM('BTX Recycling HC'!V303:V304))/('BTX Recycling HC'!V$319)*W$19/SUM(W$19:W$20)</f>
        <v>6.7801343331500286E-2</v>
      </c>
      <c r="X105" s="168">
        <f>('BTX Recycling HC'!W337-('BTX Recycling HC'!W364+'BTX Recycling HC'!W366)*'BTX Recycling HC'!W303/SUM('BTX Recycling HC'!W303:W304))/('BTX Recycling HC'!W$319)*X$19/SUM(X$19:X$20)</f>
        <v>5.2201298163742721E-2</v>
      </c>
      <c r="Y105" s="168">
        <f>('BTX Recycling HC'!X337-('BTX Recycling HC'!X364+'BTX Recycling HC'!X366)*'BTX Recycling HC'!X303/SUM('BTX Recycling HC'!X303:X304))/('BTX Recycling HC'!X$319)*Y$19/SUM(Y$19:Y$20)</f>
        <v>3.9062520528095349E-2</v>
      </c>
      <c r="Z105" s="168">
        <f>('BTX Recycling HC'!Y337-('BTX Recycling HC'!Y364+'BTX Recycling HC'!Y366)*'BTX Recycling HC'!Y303/SUM('BTX Recycling HC'!Y303:Y304))/('BTX Recycling HC'!Y$319)*Z$19/SUM(Z$19:Z$20)</f>
        <v>2.8742135728332386E-2</v>
      </c>
      <c r="AA105" s="168">
        <f>('BTX Recycling HC'!Z337-('BTX Recycling HC'!Z364+'BTX Recycling HC'!Z366)*'BTX Recycling HC'!Z303/SUM('BTX Recycling HC'!Z303:Z304))/('BTX Recycling HC'!Z$319)*AA$19/SUM(AA$19:AA$20)</f>
        <v>2.0875517951628425E-2</v>
      </c>
      <c r="AB105" s="168">
        <f>('BTX Recycling HC'!AA337-('BTX Recycling HC'!AA364+'BTX Recycling HC'!AA366)*'BTX Recycling HC'!AA303/SUM('BTX Recycling HC'!AA303:AA304))/('BTX Recycling HC'!AA$319)*AB$19/SUM(AB$19:AB$20)</f>
        <v>1.497676272270582E-2</v>
      </c>
      <c r="AC105" s="168">
        <f>('BTX Recycling HC'!AB337-('BTX Recycling HC'!AB364+'BTX Recycling HC'!AB366)*'BTX Recycling HC'!AB303/SUM('BTX Recycling HC'!AB303:AB304))/('BTX Recycling HC'!AB$319)*AC$19/SUM(AC$19:AC$20)</f>
        <v>1.0651686169257112E-2</v>
      </c>
      <c r="AD105" s="168">
        <f>('BTX Recycling HC'!AC337-('BTX Recycling HC'!AC364+'BTX Recycling HC'!AC366)*'BTX Recycling HC'!AC303/SUM('BTX Recycling HC'!AC303:AC304))/('BTX Recycling HC'!AC$319)*AD$19/SUM(AD$19:AD$20)</f>
        <v>7.5292527272494136E-3</v>
      </c>
      <c r="AE105" s="168">
        <f>('BTX Recycling HC'!AD337-('BTX Recycling HC'!AD364+'BTX Recycling HC'!AD366)*'BTX Recycling HC'!AD303/SUM('BTX Recycling HC'!AD303:AD304))/('BTX Recycling HC'!AD$319)*AE$19/SUM(AE$19:AE$20)</f>
        <v>5.2963998480075611E-3</v>
      </c>
      <c r="AF105" s="168">
        <f>('BTX Recycling HC'!AE337-('BTX Recycling HC'!AE364+'BTX Recycling HC'!AE366)*'BTX Recycling HC'!AE303/SUM('BTX Recycling HC'!AE303:AE304))/('BTX Recycling HC'!AE$319)*AF$19/SUM(AF$19:AF$20)</f>
        <v>3.710758513030567E-3</v>
      </c>
      <c r="AG105" s="168">
        <f>('BTX Recycling HC'!AF337-('BTX Recycling HC'!AF364+'BTX Recycling HC'!AF366)*'BTX Recycling HC'!AF303/SUM('BTX Recycling HC'!AF303:AF304))/('BTX Recycling HC'!AF$319)*AG$19/SUM(AG$19:AG$20)</f>
        <v>2.5910629546093207E-3</v>
      </c>
      <c r="AH105" s="168">
        <f>('BTX Recycling HC'!AG337-('BTX Recycling HC'!AG364+'BTX Recycling HC'!AG366)*'BTX Recycling HC'!AG303/SUM('BTX Recycling HC'!AG303:AG304))/('BTX Recycling HC'!AG$319)*AH$19/SUM(AH$19:AH$20)</f>
        <v>1.8043631372748566E-3</v>
      </c>
      <c r="AI105" s="44"/>
      <c r="AJ105" s="168">
        <f>('BTX Recycling LC'!C337-('BTX Recycling LC'!C364+'BTX Recycling LC'!C366)*'BTX Recycling LC'!C303/SUM('BTX Recycling LC'!C303:C304))/('BTX Recycling LC'!C$319)*AJ$19/SUM(AJ$19:AJ$20)</f>
        <v>0.14609466474361113</v>
      </c>
      <c r="AK105" s="168">
        <f>('BTX Recycling LC'!D337-('BTX Recycling LC'!D364+'BTX Recycling LC'!D366)*'BTX Recycling LC'!D303/SUM('BTX Recycling LC'!D303:D304))/('BTX Recycling LC'!D$319)*AK$19/SUM(AK$19:AK$20)</f>
        <v>0.15048001280662307</v>
      </c>
      <c r="AL105" s="168">
        <f>('BTX Recycling LC'!E337-('BTX Recycling LC'!E364+'BTX Recycling LC'!E366)*'BTX Recycling LC'!E303/SUM('BTX Recycling LC'!E303:E304))/('BTX Recycling LC'!E$319)*AL$19/SUM(AL$19:AL$20)</f>
        <v>0.15462197376699871</v>
      </c>
      <c r="AM105" s="168">
        <f>('BTX Recycling LC'!F337-('BTX Recycling LC'!F364+'BTX Recycling LC'!F366)*'BTX Recycling LC'!F303/SUM('BTX Recycling LC'!F303:F304))/('BTX Recycling LC'!F$319)*AM$19/SUM(AM$19:AM$20)</f>
        <v>0.15868563908011901</v>
      </c>
      <c r="AN105" s="168">
        <f>('BTX Recycling LC'!G337-('BTX Recycling LC'!G364+'BTX Recycling LC'!G366)*'BTX Recycling LC'!G303/SUM('BTX Recycling LC'!G303:G304))/('BTX Recycling LC'!G$319)*AN$19/SUM(AN$19:AN$20)</f>
        <v>0.16267281556922489</v>
      </c>
      <c r="AO105" s="168">
        <f>('BTX Recycling LC'!H337-('BTX Recycling LC'!H364+'BTX Recycling LC'!H366)*'BTX Recycling LC'!H303/SUM('BTX Recycling LC'!H303:H304))/('BTX Recycling LC'!H$319)*AO$19/SUM(AO$19:AO$20)</f>
        <v>0.16655859283361346</v>
      </c>
      <c r="AP105" s="168">
        <f>('BTX Recycling LC'!I337-('BTX Recycling LC'!I364+'BTX Recycling LC'!I366)*'BTX Recycling LC'!I303/SUM('BTX Recycling LC'!I303:I304))/('BTX Recycling LC'!I$319)*AP$19/SUM(AP$19:AP$20)</f>
        <v>0.17027355743932868</v>
      </c>
      <c r="AQ105" s="168">
        <f>('BTX Recycling LC'!J337-('BTX Recycling LC'!J364+'BTX Recycling LC'!J366)*'BTX Recycling LC'!J303/SUM('BTX Recycling LC'!J303:J304))/('BTX Recycling LC'!J$319)*AQ$19/SUM(AQ$19:AQ$20)</f>
        <v>0.17376390622373769</v>
      </c>
      <c r="AR105" s="168">
        <f>('BTX Recycling LC'!K337-('BTX Recycling LC'!K364+'BTX Recycling LC'!K366)*'BTX Recycling LC'!K303/SUM('BTX Recycling LC'!K303:K304))/('BTX Recycling LC'!K$319)*AR$19/SUM(AR$19:AR$20)</f>
        <v>0.17688228298673231</v>
      </c>
      <c r="AS105" s="168">
        <f>('BTX Recycling LC'!L337-('BTX Recycling LC'!L364+'BTX Recycling LC'!L366)*'BTX Recycling LC'!L303/SUM('BTX Recycling LC'!L303:L304))/('BTX Recycling LC'!L$319)*AS$19/SUM(AS$19:AS$20)</f>
        <v>0.1793756842055397</v>
      </c>
      <c r="AT105" s="168">
        <f>('BTX Recycling LC'!M337-('BTX Recycling LC'!M364+'BTX Recycling LC'!M366)*'BTX Recycling LC'!M303/SUM('BTX Recycling LC'!M303:M304))/('BTX Recycling LC'!M$319)*AT$19/SUM(AT$19:AT$20)</f>
        <v>0.18083514486391977</v>
      </c>
      <c r="AU105" s="168">
        <f>('BTX Recycling LC'!N337-('BTX Recycling LC'!N364+'BTX Recycling LC'!N366)*'BTX Recycling LC'!N303/SUM('BTX Recycling LC'!N303:N304))/('BTX Recycling LC'!N$319)*AU$19/SUM(AU$19:AU$20)</f>
        <v>0.17987625608627117</v>
      </c>
      <c r="AV105" s="168">
        <f>('BTX Recycling LC'!O337-('BTX Recycling LC'!O364+'BTX Recycling LC'!O366)*'BTX Recycling LC'!O303/SUM('BTX Recycling LC'!O303:O304))/('BTX Recycling LC'!O$319)*AV$19/SUM(AV$19:AV$20)</f>
        <v>0.17652618431686462</v>
      </c>
      <c r="AW105" s="168">
        <f>('BTX Recycling LC'!P337-('BTX Recycling LC'!P364+'BTX Recycling LC'!P366)*'BTX Recycling LC'!P303/SUM('BTX Recycling LC'!P303:P304))/('BTX Recycling LC'!P$319)*AW$19/SUM(AW$19:AW$20)</f>
        <v>0.16997012759598312</v>
      </c>
      <c r="AX105" s="168">
        <f>('BTX Recycling LC'!Q337-('BTX Recycling LC'!Q364+'BTX Recycling LC'!Q366)*'BTX Recycling LC'!Q303/SUM('BTX Recycling LC'!Q303:Q304))/('BTX Recycling LC'!Q$319)*AX$19/SUM(AX$19:AX$20)</f>
        <v>0.15959273208578606</v>
      </c>
      <c r="AY105" s="168">
        <f>('BTX Recycling LC'!R337-('BTX Recycling LC'!R364+'BTX Recycling LC'!R366)*'BTX Recycling LC'!R303/SUM('BTX Recycling LC'!R303:R304))/('BTX Recycling LC'!R$319)*AY$19/SUM(AY$19:AY$20)</f>
        <v>0.14531685950307352</v>
      </c>
      <c r="AZ105" s="168">
        <f>('BTX Recycling LC'!S337-('BTX Recycling LC'!S364+'BTX Recycling LC'!S366)*'BTX Recycling LC'!S303/SUM('BTX Recycling LC'!S303:S304))/('BTX Recycling LC'!S$319)*AZ$19/SUM(AZ$19:AZ$20)</f>
        <v>0.127813016846792</v>
      </c>
      <c r="BA105" s="168">
        <f>('BTX Recycling LC'!T337-('BTX Recycling LC'!T364+'BTX Recycling LC'!T366)*'BTX Recycling LC'!T303/SUM('BTX Recycling LC'!T303:T304))/('BTX Recycling LC'!T$319)*BA$19/SUM(BA$19:BA$20)</f>
        <v>0.10845643373000809</v>
      </c>
      <c r="BB105" s="168">
        <f>('BTX Recycling LC'!U337-('BTX Recycling LC'!U364+'BTX Recycling LC'!U366)*'BTX Recycling LC'!U303/SUM('BTX Recycling LC'!U303:U304))/('BTX Recycling LC'!U$319)*BB$19/SUM(BB$19:BB$20)</f>
        <v>8.8912446841259027E-2</v>
      </c>
      <c r="BC105" s="168">
        <f>('BTX Recycling LC'!V337-('BTX Recycling LC'!V364+'BTX Recycling LC'!V366)*'BTX Recycling LC'!V303/SUM('BTX Recycling LC'!V303:V304))/('BTX Recycling LC'!V$319)*BC$19/SUM(BC$19:BC$20)</f>
        <v>7.0667491135893809E-2</v>
      </c>
      <c r="BD105" s="168">
        <f>('BTX Recycling LC'!W337-('BTX Recycling LC'!W364+'BTX Recycling LC'!W366)*'BTX Recycling LC'!W303/SUM('BTX Recycling LC'!W303:W304))/('BTX Recycling LC'!W$319)*BD$19/SUM(BD$19:BD$20)</f>
        <v>5.4710007000253226E-2</v>
      </c>
      <c r="BE105" s="168">
        <f>('BTX Recycling LC'!X337-('BTX Recycling LC'!X364+'BTX Recycling LC'!X366)*'BTX Recycling LC'!X303/SUM('BTX Recycling LC'!X303:X304))/('BTX Recycling LC'!X$319)*BE$19/SUM(BE$19:BE$20)</f>
        <v>4.1202235174965005E-2</v>
      </c>
      <c r="BF105" s="168">
        <f>('BTX Recycling LC'!Y337-('BTX Recycling LC'!Y364+'BTX Recycling LC'!Y366)*'BTX Recycling LC'!Y303/SUM('BTX Recycling LC'!Y303:Y304))/('BTX Recycling LC'!Y$319)*BF$19/SUM(BF$19:BF$20)</f>
        <v>3.0520918194881029E-2</v>
      </c>
      <c r="BG105" s="168">
        <f>('BTX Recycling LC'!Z337-('BTX Recycling LC'!Z364+'BTX Recycling LC'!Z366)*'BTX Recycling LC'!Z303/SUM('BTX Recycling LC'!Z303:Z304))/('BTX Recycling LC'!Z$319)*BG$19/SUM(BG$19:BG$20)</f>
        <v>2.232857044431823E-2</v>
      </c>
      <c r="BH105" s="168">
        <f>('BTX Recycling LC'!AA337-('BTX Recycling LC'!AA364+'BTX Recycling LC'!AA366)*'BTX Recycling LC'!AA303/SUM('BTX Recycling LC'!AA303:AA304))/('BTX Recycling LC'!AA$319)*BH$19/SUM(BH$19:BH$20)</f>
        <v>1.6183504798114669E-2</v>
      </c>
      <c r="BI105" s="168">
        <f>('BTX Recycling LC'!AB337-('BTX Recycling LC'!AB364+'BTX Recycling LC'!AB366)*'BTX Recycling LC'!AB303/SUM('BTX Recycling LC'!AB303:AB304))/('BTX Recycling LC'!AB$319)*BI$19/SUM(BI$19:BI$20)</f>
        <v>1.1649330099342672E-2</v>
      </c>
      <c r="BJ105" s="168">
        <f>('BTX Recycling LC'!AC337-('BTX Recycling LC'!AC364+'BTX Recycling LC'!AC366)*'BTX Recycling LC'!AC303/SUM('BTX Recycling LC'!AC303:AC304))/('BTX Recycling LC'!AC$319)*BJ$19/SUM(BJ$19:BJ$20)</f>
        <v>8.3460232463660345E-3</v>
      </c>
      <c r="BK105" s="168">
        <f>('BTX Recycling LC'!AD337-('BTX Recycling LC'!AD364+'BTX Recycling LC'!AD366)*'BTX Recycling LC'!AD303/SUM('BTX Recycling LC'!AD303:AD304))/('BTX Recycling LC'!AD$319)*BK$19/SUM(BK$19:BK$20)</f>
        <v>5.9575744858141495E-3</v>
      </c>
      <c r="BL105" s="168">
        <f>('BTX Recycling LC'!AE337-('BTX Recycling LC'!AE364+'BTX Recycling LC'!AE366)*'BTX Recycling LC'!AE303/SUM('BTX Recycling LC'!AE303:AE304))/('BTX Recycling LC'!AE$319)*BL$19/SUM(BL$19:BL$20)</f>
        <v>4.2410109688546319E-3</v>
      </c>
      <c r="BM105" s="168">
        <f>('BTX Recycling LC'!AF337-('BTX Recycling LC'!AF364+'BTX Recycling LC'!AF366)*'BTX Recycling LC'!AF303/SUM('BTX Recycling LC'!AF303:AF304))/('BTX Recycling LC'!AF$319)*BM$19/SUM(BM$19:BM$20)</f>
        <v>3.0128199077361912E-3</v>
      </c>
      <c r="BN105" s="168">
        <f>('BTX Recycling LC'!AG337-('BTX Recycling LC'!AG364+'BTX Recycling LC'!AG366)*'BTX Recycling LC'!AG303/SUM('BTX Recycling LC'!AG303:AG304))/('BTX Recycling LC'!AG$319)*BN$19/SUM(BN$19:BN$20)</f>
        <v>2.1371421262504587E-3</v>
      </c>
      <c r="BP105" s="168">
        <f>('BTX Recycling HC'!C313)/('BTX Recycling HC'!C$309)*BP$19/SUM(BP$19:BP$20)</f>
        <v>0.14610145983293571</v>
      </c>
      <c r="BQ105" s="168">
        <f>('BTX Recycling HC'!D313)/('BTX Recycling HC'!D$309)*BQ$19/SUM(BQ$19:BQ$20)</f>
        <v>0.14821773693030627</v>
      </c>
      <c r="BR105" s="168">
        <f>('BTX Recycling HC'!E313)/('BTX Recycling HC'!E$309)*BR$19/SUM(BR$19:BR$20)</f>
        <v>0.15029991940420692</v>
      </c>
      <c r="BS105" s="168">
        <f>('BTX Recycling HC'!F313)/('BTX Recycling HC'!F$309)*BS$19/SUM(BS$19:BS$20)</f>
        <v>0.15234808928358654</v>
      </c>
      <c r="BT105" s="168">
        <f>('BTX Recycling HC'!G313)/('BTX Recycling HC'!G$309)*BT$19/SUM(BT$19:BT$20)</f>
        <v>0.15436207986763892</v>
      </c>
      <c r="BU105" s="168">
        <f>('BTX Recycling HC'!H313)/('BTX Recycling HC'!H$309)*BU$19/SUM(BU$19:BU$20)</f>
        <v>0.1563414732122001</v>
      </c>
      <c r="BV105" s="168">
        <f>('BTX Recycling HC'!I313)/('BTX Recycling HC'!I$309)*BV$19/SUM(BV$19:BV$20)</f>
        <v>0.15831598020420046</v>
      </c>
      <c r="BW105" s="168">
        <f>('BTX Recycling HC'!J313)/('BTX Recycling HC'!J$309)*BW$19/SUM(BW$19:BW$20)</f>
        <v>0.16028545402202785</v>
      </c>
      <c r="BX105" s="168">
        <f>('BTX Recycling HC'!K313)/('BTX Recycling HC'!K$309)*BX$19/SUM(BX$19:BX$20)</f>
        <v>0.16224974273074824</v>
      </c>
      <c r="BY105" s="168">
        <f>('BTX Recycling HC'!L313)/('BTX Recycling HC'!L$309)*BY$19/SUM(BY$19:BY$20)</f>
        <v>0.16420868889919757</v>
      </c>
      <c r="BZ105" s="168">
        <f>('BTX Recycling HC'!M313)/('BTX Recycling HC'!M$309)*BZ$19/SUM(BZ$19:BZ$20)</f>
        <v>0.16616212920768123</v>
      </c>
      <c r="CA105" s="168">
        <f>('BTX Recycling HC'!N313)/('BTX Recycling HC'!N$309)*CA$19/SUM(CA$19:CA$20)</f>
        <v>0.1680889409852678</v>
      </c>
      <c r="CB105" s="168">
        <f>('BTX Recycling HC'!O313)/('BTX Recycling HC'!O$309)*CB$19/SUM(CB$19:CB$20)</f>
        <v>0.16998827145070378</v>
      </c>
      <c r="CC105" s="168">
        <f>('BTX Recycling HC'!P313)/('BTX Recycling HC'!P$309)*CC$19/SUM(CC$19:CC$20)</f>
        <v>0.17185911040612792</v>
      </c>
      <c r="CD105" s="168">
        <f>('BTX Recycling HC'!Q313)/('BTX Recycling HC'!Q$309)*CD$19/SUM(CD$19:CD$20)</f>
        <v>0.17370028008363644</v>
      </c>
      <c r="CE105" s="168">
        <f>('BTX Recycling HC'!R313)/('BTX Recycling HC'!R$309)*CE$19/SUM(CE$19:CE$20)</f>
        <v>0.1755104233179797</v>
      </c>
      <c r="CF105" s="168">
        <f>('BTX Recycling HC'!S313)/('BTX Recycling HC'!S$309)*CF$19/SUM(CF$19:CF$20)</f>
        <v>0.17731636671909101</v>
      </c>
      <c r="CG105" s="168">
        <f>('BTX Recycling HC'!T313)/('BTX Recycling HC'!T$309)*CG$19/SUM(CG$19:CG$20)</f>
        <v>0.17911800242026549</v>
      </c>
      <c r="CH105" s="168">
        <f>('BTX Recycling HC'!U313)/('BTX Recycling HC'!U$309)*CH$19/SUM(CH$19:CH$20)</f>
        <v>0.18091522004394853</v>
      </c>
      <c r="CI105" s="168">
        <f>('BTX Recycling HC'!V313)/('BTX Recycling HC'!V$309)*CI$19/SUM(CI$19:CI$20)</f>
        <v>0.18270790662525552</v>
      </c>
      <c r="CJ105" s="168">
        <f>('BTX Recycling HC'!W313)/('BTX Recycling HC'!W$309)*CJ$19/SUM(CJ$19:CJ$20)</f>
        <v>0.18449594653326651</v>
      </c>
      <c r="CK105" s="168">
        <f>('BTX Recycling HC'!X313)/('BTX Recycling HC'!X$309)*CK$19/SUM(CK$19:CK$20)</f>
        <v>0.18627940996324627</v>
      </c>
      <c r="CL105" s="168">
        <f>('BTX Recycling HC'!Y313)/('BTX Recycling HC'!Y$309)*CL$19/SUM(CL$19:CL$20)</f>
        <v>0.18805818551627063</v>
      </c>
      <c r="CM105" s="168">
        <f>('BTX Recycling HC'!Z313)/('BTX Recycling HC'!Z$309)*CM$19/SUM(CM$19:CM$20)</f>
        <v>0.18983215922076213</v>
      </c>
      <c r="CN105" s="168">
        <f>('BTX Recycling HC'!AA313)/('BTX Recycling HC'!AA$309)*CN$19/SUM(CN$19:CN$20)</f>
        <v>0.19160121445833664</v>
      </c>
      <c r="CO105" s="168">
        <f>('BTX Recycling HC'!AB313)/('BTX Recycling HC'!AB$309)*CO$19/SUM(CO$19:CO$20)</f>
        <v>0.19336523188753596</v>
      </c>
      <c r="CP105" s="168">
        <f>('BTX Recycling HC'!AC313)/('BTX Recycling HC'!AC$309)*CP$19/SUM(CP$19:CP$20)</f>
        <v>0.19512426529991575</v>
      </c>
      <c r="CQ105" s="168">
        <f>('BTX Recycling HC'!AD313)/('BTX Recycling HC'!AD$309)*CQ$19/SUM(CQ$19:CQ$20)</f>
        <v>0.19687819878199081</v>
      </c>
      <c r="CR105" s="168">
        <f>('BTX Recycling HC'!AE313)/('BTX Recycling HC'!AE$309)*CR$19/SUM(CR$19:CR$20)</f>
        <v>0.19862691377236283</v>
      </c>
      <c r="CS105" s="168">
        <f>('BTX Recycling HC'!AF313)/('BTX Recycling HC'!AF$309)*CS$19/SUM(CS$19:CS$20)</f>
        <v>0.20037028898887899</v>
      </c>
      <c r="CT105" s="168">
        <f>('BTX Recycling HC'!AG313)/('BTX Recycling HC'!AG$309)*CT$19/SUM(CT$19:CT$20)</f>
        <v>0.20210820035375948</v>
      </c>
      <c r="CV105" s="168">
        <f>AJ105*(1-SUM(CV$34:CV$35))/(1-SUM(AJ$34:AJ$35))</f>
        <v>0.14609466474361113</v>
      </c>
      <c r="CW105" s="168">
        <f t="shared" ref="CW105:CW111" si="811">AK105*(1-SUM(CW$34:CW$35))/(1-SUM(AK$34:AK$35))</f>
        <v>0.15065160534518357</v>
      </c>
      <c r="CX105" s="168">
        <f t="shared" ref="CX105:CX111" si="812">AL105*(1-SUM(CX$34:CX$35))/(1-SUM(AL$34:AL$35))</f>
        <v>0.15499105837377219</v>
      </c>
      <c r="CY105" s="168">
        <f t="shared" ref="CY105:CY111" si="813">AM105*(1-SUM(CY$34:CY$35))/(1-SUM(AM$34:AM$35))</f>
        <v>0.15927910312979746</v>
      </c>
      <c r="CZ105" s="168">
        <f t="shared" ref="CZ105:CZ111" si="814">AN105*(1-SUM(CZ$34:CZ$35))/(1-SUM(AN$34:AN$35))</f>
        <v>0.16351847880493101</v>
      </c>
      <c r="DA105" s="168">
        <f t="shared" ref="DA105:DA111" si="815">AO105*(1-SUM(DA$34:DA$35))/(1-SUM(AO$34:AO$35))</f>
        <v>0.16768497667861848</v>
      </c>
      <c r="DB105" s="168">
        <f t="shared" ref="DB105:DB111" si="816">AP105*(1-SUM(DB$34:DB$35))/(1-SUM(AP$34:AP$35))</f>
        <v>0.17174451161717078</v>
      </c>
      <c r="DC105" s="168">
        <f t="shared" ref="DC105:DC111" si="817">AQ105*(1-SUM(DC$34:DC$35))/(1-SUM(AQ$34:AQ$35))</f>
        <v>0.17561156270199557</v>
      </c>
      <c r="DD105" s="168">
        <f t="shared" ref="DD105:DD111" si="818">AR105*(1-SUM(DD$34:DD$35))/(1-SUM(AR$34:AR$35))</f>
        <v>0.17913675816099664</v>
      </c>
      <c r="DE105" s="168">
        <f t="shared" ref="DE105:DE111" si="819">AS105*(1-SUM(DE$34:DE$35))/(1-SUM(AS$34:AS$35))</f>
        <v>0.18206218928144241</v>
      </c>
      <c r="DF105" s="168">
        <f t="shared" ref="DF105:DF111" si="820">AT105*(1-SUM(DF$34:DF$35))/(1-SUM(AT$34:AT$35))</f>
        <v>0.18396899733686486</v>
      </c>
      <c r="DG105" s="168">
        <f t="shared" ref="DG105:DG111" si="821">AU105*(1-SUM(DG$34:DG$35))/(1-SUM(AU$34:AU$35))</f>
        <v>0.18379714279709911</v>
      </c>
      <c r="DH105" s="168">
        <f t="shared" ref="DH105:DH111" si="822">AV105*(1-SUM(DH$34:DH$35))/(1-SUM(AV$34:AV$35))</f>
        <v>0.18115427250314434</v>
      </c>
      <c r="DI105" s="168">
        <f t="shared" ref="DI105:DI111" si="823">AW105*(1-SUM(DI$34:DI$35))/(1-SUM(AW$34:AW$35))</f>
        <v>0.17534395890413992</v>
      </c>
      <c r="DJ105" s="168">
        <f t="shared" ref="DJ105:DJ111" si="824">AX105*(1-SUM(DJ$34:DJ$35))/(1-SUM(AX$34:AX$35))</f>
        <v>0.1655748859434526</v>
      </c>
      <c r="DK105" s="168">
        <f t="shared" ref="DK105:DK111" si="825">AY105*(1-SUM(DK$34:DK$35))/(1-SUM(AY$34:AY$35))</f>
        <v>0.15168550183749346</v>
      </c>
      <c r="DL105" s="168">
        <f t="shared" ref="DL105:DL111" si="826">AZ105*(1-SUM(DL$34:DL$35))/(1-SUM(AZ$34:AZ$35))</f>
        <v>0.13428106362503023</v>
      </c>
      <c r="DM105" s="168">
        <f t="shared" ref="DM105:DM111" si="827">BA105*(1-SUM(DM$34:DM$35))/(1-SUM(BA$34:BA$35))</f>
        <v>0.11472891347902273</v>
      </c>
      <c r="DN105" s="168">
        <f t="shared" ref="DN105:DN111" si="828">BB105*(1-SUM(DN$34:DN$35))/(1-SUM(BB$34:BB$35))</f>
        <v>9.4734148681280883E-2</v>
      </c>
      <c r="DO105" s="168">
        <f t="shared" ref="DO105:DO111" si="829">BC105*(1-SUM(DO$34:DO$35))/(1-SUM(BC$34:BC$35))</f>
        <v>7.5860757944468366E-2</v>
      </c>
      <c r="DP105" s="168">
        <f t="shared" ref="DP105:DP111" si="830">BD105*(1-SUM(DP$34:DP$35))/(1-SUM(BD$34:BD$35))</f>
        <v>5.9186471900804033E-2</v>
      </c>
      <c r="DQ105" s="168">
        <f t="shared" ref="DQ105:DQ111" si="831">BE105*(1-SUM(DQ$34:DQ$35))/(1-SUM(BE$34:BE$35))</f>
        <v>4.5140324773531804E-2</v>
      </c>
      <c r="DR105" s="168">
        <f t="shared" ref="DR105:DR111" si="832">BF105*(1-SUM(DR$34:DR$35))/(1-SUM(BF$34:BF$35))</f>
        <v>3.3815371900434439E-2</v>
      </c>
      <c r="DS105" s="168">
        <f t="shared" ref="DS105:DS111" si="833">BG105*(1-SUM(DS$34:DS$35))/(1-SUM(BG$34:BG$35))</f>
        <v>2.5030381968721011E-2</v>
      </c>
      <c r="DT105" s="168">
        <f t="shared" ref="DT105:DT111" si="834">BH105*(1-SUM(DT$34:DT$35))/(1-SUM(BH$34:BH$35))</f>
        <v>1.836417341436259E-2</v>
      </c>
      <c r="DU105" s="168">
        <f t="shared" ref="DU105:DU111" si="835">BI105*(1-SUM(DU$34:DU$35))/(1-SUM(BI$34:BI$35))</f>
        <v>1.3384379149329894E-2</v>
      </c>
      <c r="DV105" s="168">
        <f t="shared" ref="DV105:DV111" si="836">BJ105*(1-SUM(DV$34:DV$35))/(1-SUM(BJ$34:BJ$35))</f>
        <v>9.7107052909916735E-3</v>
      </c>
      <c r="DW105" s="168">
        <f t="shared" ref="DW105:DW111" si="837">BK105*(1-SUM(DW$34:DW$35))/(1-SUM(BK$34:BK$35))</f>
        <v>7.0202471163826052E-3</v>
      </c>
      <c r="DX105" s="168">
        <f t="shared" ref="DX105:DX111" si="838">BL105*(1-SUM(DX$34:DX$35))/(1-SUM(BL$34:BL$35))</f>
        <v>5.0613486144819066E-3</v>
      </c>
      <c r="DY105" s="168">
        <f t="shared" ref="DY105:DY111" si="839">BM105*(1-SUM(DY$34:DY$35))/(1-SUM(BM$34:BM$35))</f>
        <v>3.6411542378710789E-3</v>
      </c>
      <c r="DZ105" s="168">
        <f t="shared" ref="DZ105:DZ111" si="840">BN105*(1-SUM(DZ$34:DZ$35))/(1-SUM(BN$34:BN$35))</f>
        <v>2.6148910808407441E-3</v>
      </c>
    </row>
    <row r="106" spans="1:165" x14ac:dyDescent="0.2">
      <c r="A106" s="606" t="s">
        <v>460</v>
      </c>
      <c r="C106" s="54" t="s">
        <v>462</v>
      </c>
      <c r="D106" s="168">
        <f>('BTX Recycling HC'!C337-('BTX Recycling HC'!C364+'BTX Recycling HC'!C366)*'BTX Recycling HC'!C303/SUM('BTX Recycling HC'!C303:C304))/('BTX Recycling HC'!C$319)*D$20/SUM(D$19:D$20)</f>
        <v>6.7336115814820403E-6</v>
      </c>
      <c r="E106" s="168">
        <f>('BTX Recycling HC'!D337-('BTX Recycling HC'!D364+'BTX Recycling HC'!D366)*'BTX Recycling HC'!D303/SUM('BTX Recycling HC'!D303:D304))/('BTX Recycling HC'!D$319)*E$20/SUM(E$19:E$20)</f>
        <v>1.3429834628392737E-5</v>
      </c>
      <c r="F106" s="168">
        <f>('BTX Recycling HC'!E337-('BTX Recycling HC'!E364+'BTX Recycling HC'!E366)*'BTX Recycling HC'!E303/SUM('BTX Recycling HC'!E303:E304))/('BTX Recycling HC'!E$319)*F$20/SUM(F$19:F$20)</f>
        <v>2.6673953190162865E-5</v>
      </c>
      <c r="G106" s="168">
        <f>('BTX Recycling HC'!F337-('BTX Recycling HC'!F364+'BTX Recycling HC'!F366)*'BTX Recycling HC'!F303/SUM('BTX Recycling HC'!F303:F304))/('BTX Recycling HC'!F$319)*G$20/SUM(G$19:G$20)</f>
        <v>5.2790686296875918E-5</v>
      </c>
      <c r="H106" s="168">
        <f>('BTX Recycling HC'!G337-('BTX Recycling HC'!G364+'BTX Recycling HC'!G366)*'BTX Recycling HC'!G303/SUM('BTX Recycling HC'!G303:G304))/('BTX Recycling HC'!G$319)*H$20/SUM(H$19:H$20)</f>
        <v>1.0401830559861822E-4</v>
      </c>
      <c r="I106" s="168">
        <f>('BTX Recycling HC'!H337-('BTX Recycling HC'!H364+'BTX Recycling HC'!H366)*'BTX Recycling HC'!H303/SUM('BTX Recycling HC'!H303:H304))/('BTX Recycling HC'!H$319)*I$20/SUM(I$19:I$20)</f>
        <v>2.0378328632093164E-4</v>
      </c>
      <c r="J106" s="168">
        <f>('BTX Recycling HC'!I337-('BTX Recycling HC'!I364+'BTX Recycling HC'!I366)*'BTX Recycling HC'!I303/SUM('BTX Recycling HC'!I303:I304))/('BTX Recycling HC'!I$319)*J$20/SUM(J$19:J$20)</f>
        <v>3.9592034660432252E-4</v>
      </c>
      <c r="K106" s="168">
        <f>('BTX Recycling HC'!J337-('BTX Recycling HC'!J364+'BTX Recycling HC'!J366)*'BTX Recycling HC'!J303/SUM('BTX Recycling HC'!J303:J304))/('BTX Recycling HC'!J$319)*K$20/SUM(K$19:K$20)</f>
        <v>7.6143692237642827E-4</v>
      </c>
      <c r="L106" s="168">
        <f>('BTX Recycling HC'!K337-('BTX Recycling HC'!K364+'BTX Recycling HC'!K366)*'BTX Recycling HC'!K303/SUM('BTX Recycling HC'!K303:K304))/('BTX Recycling HC'!K$319)*L$20/SUM(L$19:L$20)</f>
        <v>1.444666539535875E-3</v>
      </c>
      <c r="M106" s="168">
        <f>('BTX Recycling HC'!L337-('BTX Recycling HC'!L364+'BTX Recycling HC'!L366)*'BTX Recycling HC'!L303/SUM('BTX Recycling HC'!L303:L304))/('BTX Recycling HC'!L$319)*M$20/SUM(M$19:M$20)</f>
        <v>2.6919765149242122E-3</v>
      </c>
      <c r="N106" s="168">
        <f>('BTX Recycling HC'!M337-('BTX Recycling HC'!M364+'BTX Recycling HC'!M366)*'BTX Recycling HC'!M303/SUM('BTX Recycling HC'!M303:M304))/('BTX Recycling HC'!M$319)*N$20/SUM(N$19:N$20)</f>
        <v>4.8988387556184584E-3</v>
      </c>
      <c r="O106" s="168">
        <f>('BTX Recycling HC'!N337-('BTX Recycling HC'!N364+'BTX Recycling HC'!N366)*'BTX Recycling HC'!N303/SUM('BTX Recycling HC'!N303:N304))/('BTX Recycling HC'!N$319)*O$20/SUM(O$19:O$20)</f>
        <v>8.6054584436873593E-3</v>
      </c>
      <c r="P106" s="168">
        <f>('BTX Recycling HC'!O337-('BTX Recycling HC'!O364+'BTX Recycling HC'!O366)*'BTX Recycling HC'!O303/SUM('BTX Recycling HC'!O303:O304))/('BTX Recycling HC'!O$319)*P$20/SUM(P$19:P$20)</f>
        <v>1.4550636138219898E-2</v>
      </c>
      <c r="Q106" s="168">
        <f>('BTX Recycling HC'!P337-('BTX Recycling HC'!P364+'BTX Recycling HC'!P366)*'BTX Recycling HC'!P303/SUM('BTX Recycling HC'!P303:P304))/('BTX Recycling HC'!P$319)*Q$20/SUM(Q$19:Q$20)</f>
        <v>2.3497887758517532E-2</v>
      </c>
      <c r="R106" s="168">
        <f>('BTX Recycling HC'!Q337-('BTX Recycling HC'!Q364+'BTX Recycling HC'!Q366)*'BTX Recycling HC'!Q303/SUM('BTX Recycling HC'!Q303:Q304))/('BTX Recycling HC'!Q$319)*R$20/SUM(R$19:R$20)</f>
        <v>3.5993351106184561E-2</v>
      </c>
      <c r="S106" s="168">
        <f>('BTX Recycling HC'!R337-('BTX Recycling HC'!R364+'BTX Recycling HC'!R366)*'BTX Recycling HC'!R303/SUM('BTX Recycling HC'!R303:R304))/('BTX Recycling HC'!R$319)*S$20/SUM(S$19:S$20)</f>
        <v>5.2046837574746395E-2</v>
      </c>
      <c r="T106" s="168">
        <f>('BTX Recycling HC'!S337-('BTX Recycling HC'!S364+'BTX Recycling HC'!S366)*'BTX Recycling HC'!S303/SUM('BTX Recycling HC'!S303:S304))/('BTX Recycling HC'!S$319)*T$20/SUM(T$19:T$20)</f>
        <v>7.0950490701457314E-2</v>
      </c>
      <c r="U106" s="168">
        <f>('BTX Recycling HC'!T337-('BTX Recycling HC'!T364+'BTX Recycling HC'!T366)*'BTX Recycling HC'!T303/SUM('BTX Recycling HC'!T303:T304))/('BTX Recycling HC'!T$319)*U$20/SUM(U$19:U$20)</f>
        <v>9.1338203038756838E-2</v>
      </c>
      <c r="V106" s="168">
        <f>('BTX Recycling HC'!U337-('BTX Recycling HC'!U364+'BTX Recycling HC'!U366)*'BTX Recycling HC'!U303/SUM('BTX Recycling HC'!U303:U304))/('BTX Recycling HC'!U$319)*V$20/SUM(V$19:V$20)</f>
        <v>0.11160480831051021</v>
      </c>
      <c r="W106" s="168">
        <f>('BTX Recycling HC'!V337-('BTX Recycling HC'!V364+'BTX Recycling HC'!V366)*'BTX Recycling HC'!V303/SUM('BTX Recycling HC'!V303:V304))/('BTX Recycling HC'!V$319)*W$20/SUM(W$19:W$20)</f>
        <v>0.13035566867044157</v>
      </c>
      <c r="X106" s="168">
        <f>('BTX Recycling HC'!W337-('BTX Recycling HC'!W364+'BTX Recycling HC'!W366)*'BTX Recycling HC'!W303/SUM('BTX Recycling HC'!W303:W304))/('BTX Recycling HC'!W$319)*X$20/SUM(X$19:X$20)</f>
        <v>0.14669616645036826</v>
      </c>
      <c r="Y106" s="168">
        <f>('BTX Recycling HC'!X337-('BTX Recycling HC'!X364+'BTX Recycling HC'!X366)*'BTX Recycling HC'!X303/SUM('BTX Recycling HC'!X303:X304))/('BTX Recycling HC'!X$319)*Y$20/SUM(Y$19:Y$20)</f>
        <v>0.15915447669813576</v>
      </c>
      <c r="Z106" s="168">
        <f>('BTX Recycling HC'!Y337-('BTX Recycling HC'!Y364+'BTX Recycling HC'!Y366)*'BTX Recycling HC'!Y303/SUM('BTX Recycling HC'!Y303:Y304))/('BTX Recycling HC'!Y$319)*Z$20/SUM(Z$19:Z$20)</f>
        <v>0.16876686320169584</v>
      </c>
      <c r="AA106" s="168">
        <f>('BTX Recycling HC'!Z337-('BTX Recycling HC'!Z364+'BTX Recycling HC'!Z366)*'BTX Recycling HC'!Z303/SUM('BTX Recycling HC'!Z303:Z304))/('BTX Recycling HC'!Z$319)*AA$20/SUM(AA$19:AA$20)</f>
        <v>0.17587605167623094</v>
      </c>
      <c r="AB106" s="168">
        <f>('BTX Recycling HC'!AA337-('BTX Recycling HC'!AA364+'BTX Recycling HC'!AA366)*'BTX Recycling HC'!AA303/SUM('BTX Recycling HC'!AA303:AA304))/('BTX Recycling HC'!AA$319)*AB$20/SUM(AB$19:AB$20)</f>
        <v>0.18047148465227691</v>
      </c>
      <c r="AC106" s="168">
        <f>('BTX Recycling HC'!AB337-('BTX Recycling HC'!AB364+'BTX Recycling HC'!AB366)*'BTX Recycling HC'!AB303/SUM('BTX Recycling HC'!AB303:AB304))/('BTX Recycling HC'!AB$319)*AC$20/SUM(AC$19:AC$20)</f>
        <v>0.18316371694212424</v>
      </c>
      <c r="AD106" s="168">
        <f>('BTX Recycling HC'!AC337-('BTX Recycling HC'!AC364+'BTX Recycling HC'!AC366)*'BTX Recycling HC'!AC303/SUM('BTX Recycling HC'!AC303:AC304))/('BTX Recycling HC'!AC$319)*AD$20/SUM(AD$19:AD$20)</f>
        <v>0.18445735103039995</v>
      </c>
      <c r="AE106" s="168">
        <f>('BTX Recycling HC'!AD337-('BTX Recycling HC'!AD364+'BTX Recycling HC'!AD366)*'BTX Recycling HC'!AD303/SUM('BTX Recycling HC'!AD303:AD304))/('BTX Recycling HC'!AD$319)*AE$20/SUM(AE$19:AE$20)</f>
        <v>0.18464802080820714</v>
      </c>
      <c r="AF106" s="168">
        <f>('BTX Recycling HC'!AE337-('BTX Recycling HC'!AE364+'BTX Recycling HC'!AE366)*'BTX Recycling HC'!AE303/SUM('BTX Recycling HC'!AE303:AE304))/('BTX Recycling HC'!AE$319)*AF$20/SUM(AF$19:AF$20)</f>
        <v>0.183945609104115</v>
      </c>
      <c r="AG106" s="168">
        <f>('BTX Recycling HC'!AF337-('BTX Recycling HC'!AF364+'BTX Recycling HC'!AF366)*'BTX Recycling HC'!AF303/SUM('BTX Recycling HC'!AF303:AF304))/('BTX Recycling HC'!AF$319)*AG$20/SUM(AG$19:AG$20)</f>
        <v>0.18252182947217258</v>
      </c>
      <c r="AH106" s="168">
        <f>('BTX Recycling HC'!AG337-('BTX Recycling HC'!AG364+'BTX Recycling HC'!AG366)*'BTX Recycling HC'!AG303/SUM('BTX Recycling HC'!AG303:AG304))/('BTX Recycling HC'!AG$319)*AH$20/SUM(AH$19:AH$20)</f>
        <v>0.18054781084075669</v>
      </c>
      <c r="AI106" s="44"/>
      <c r="AJ106" s="168">
        <f>('BTX Recycling LC'!C337-('BTX Recycling LC'!C364+'BTX Recycling LC'!C366)*'BTX Recycling LC'!C303/SUM('BTX Recycling LC'!C303:C304))/('BTX Recycling LC'!C$319)*AJ$20/SUM(AJ$19:AJ$20)</f>
        <v>6.7336136929481631E-6</v>
      </c>
      <c r="AK106" s="168">
        <f>('BTX Recycling LC'!D337-('BTX Recycling LC'!D364+'BTX Recycling LC'!D366)*'BTX Recycling LC'!D303/SUM('BTX Recycling LC'!D303:D304))/('BTX Recycling LC'!D$319)*AK$20/SUM(AK$19:AK$20)</f>
        <v>1.3431177879300738E-5</v>
      </c>
      <c r="AL106" s="168">
        <f>('BTX Recycling LC'!E337-('BTX Recycling LC'!E364+'BTX Recycling LC'!E366)*'BTX Recycling LC'!E303/SUM('BTX Recycling LC'!E303:E304))/('BTX Recycling LC'!E$319)*AL$20/SUM(AL$19:AL$20)</f>
        <v>2.6680653906988533E-5</v>
      </c>
      <c r="AM106" s="168">
        <f>('BTX Recycling LC'!F337-('BTX Recycling LC'!F364+'BTX Recycling LC'!F366)*'BTX Recycling LC'!F303/SUM('BTX Recycling LC'!F303:F304))/('BTX Recycling LC'!F$319)*AM$20/SUM(AM$19:AM$20)</f>
        <v>5.2811717019839945E-5</v>
      </c>
      <c r="AN106" s="168">
        <f>('BTX Recycling LC'!G337-('BTX Recycling LC'!G364+'BTX Recycling LC'!G366)*'BTX Recycling LC'!G303/SUM('BTX Recycling LC'!G303:G304))/('BTX Recycling LC'!G$319)*AN$20/SUM(AN$19:AN$20)</f>
        <v>1.0407673492032558E-4</v>
      </c>
      <c r="AO106" s="168">
        <f>('BTX Recycling LC'!H337-('BTX Recycling LC'!H364+'BTX Recycling LC'!H366)*'BTX Recycling LC'!H303/SUM('BTX Recycling LC'!H303:H304))/('BTX Recycling LC'!H$319)*AO$20/SUM(AO$19:AO$20)</f>
        <v>2.039347917427508E-4</v>
      </c>
      <c r="AP106" s="168">
        <f>('BTX Recycling LC'!I337-('BTX Recycling LC'!I364+'BTX Recycling LC'!I366)*'BTX Recycling LC'!I303/SUM('BTX Recycling LC'!I303:I304))/('BTX Recycling LC'!I$319)*AP$20/SUM(AP$19:AP$20)</f>
        <v>3.9653521420305893E-4</v>
      </c>
      <c r="AQ106" s="168">
        <f>('BTX Recycling LC'!J337-('BTX Recycling LC'!J364+'BTX Recycling LC'!J366)*'BTX Recycling LC'!J303/SUM('BTX Recycling LC'!J303:J304))/('BTX Recycling LC'!J$319)*AQ$20/SUM(AQ$19:AQ$20)</f>
        <v>7.6331718036003725E-4</v>
      </c>
      <c r="AR106" s="168">
        <f>('BTX Recycling LC'!K337-('BTX Recycling LC'!K364+'BTX Recycling LC'!K366)*'BTX Recycling LC'!K303/SUM('BTX Recycling LC'!K303:K304))/('BTX Recycling LC'!K$319)*AR$20/SUM(AR$19:AR$20)</f>
        <v>1.4497355972961053E-3</v>
      </c>
      <c r="AS106" s="168">
        <f>('BTX Recycling LC'!L337-('BTX Recycling LC'!L364+'BTX Recycling LC'!L366)*'BTX Recycling LC'!L303/SUM('BTX Recycling LC'!L303:L304))/('BTX Recycling LC'!L$319)*AS$20/SUM(AS$19:AS$20)</f>
        <v>2.7046180940918266E-3</v>
      </c>
      <c r="AT106" s="168">
        <f>('BTX Recycling LC'!M337-('BTX Recycling LC'!M364+'BTX Recycling LC'!M366)*'BTX Recycling LC'!M303/SUM('BTX Recycling LC'!M303:M304))/('BTX Recycling LC'!M$319)*AT$20/SUM(AT$19:AT$20)</f>
        <v>4.9285737717633255E-3</v>
      </c>
      <c r="AU106" s="168">
        <f>('BTX Recycling LC'!N337-('BTX Recycling LC'!N364+'BTX Recycling LC'!N366)*'BTX Recycling LC'!N303/SUM('BTX Recycling LC'!N303:N304))/('BTX Recycling LC'!N$319)*AU$20/SUM(AU$19:AU$20)</f>
        <v>8.6761956905546337E-3</v>
      </c>
      <c r="AV106" s="168">
        <f>('BTX Recycling LC'!O337-('BTX Recycling LC'!O364+'BTX Recycling LC'!O366)*'BTX Recycling LC'!O303/SUM('BTX Recycling LC'!O303:O304))/('BTX Recycling LC'!O$319)*AV$20/SUM(AV$19:AV$20)</f>
        <v>1.4707937830853649E-2</v>
      </c>
      <c r="AW106" s="168">
        <f>('BTX Recycling LC'!P337-('BTX Recycling LC'!P364+'BTX Recycling LC'!P366)*'BTX Recycling LC'!P303/SUM('BTX Recycling LC'!P303:P304))/('BTX Recycling LC'!P$319)*AW$20/SUM(AW$19:AW$20)</f>
        <v>2.3825342692616956E-2</v>
      </c>
      <c r="AX106" s="168">
        <f>('BTX Recycling LC'!Q337-('BTX Recycling LC'!Q364+'BTX Recycling LC'!Q366)*'BTX Recycling LC'!Q303/SUM('BTX Recycling LC'!Q303:Q304))/('BTX Recycling LC'!Q$319)*AX$20/SUM(AX$19:AX$20)</f>
        <v>3.6628051300190465E-2</v>
      </c>
      <c r="AY106" s="168">
        <f>('BTX Recycling LC'!R337-('BTX Recycling LC'!R364+'BTX Recycling LC'!R366)*'BTX Recycling LC'!R303/SUM('BTX Recycling LC'!R303:R304))/('BTX Recycling LC'!R$319)*AY$20/SUM(AY$19:AY$20)</f>
        <v>5.318808216573629E-2</v>
      </c>
      <c r="AZ106" s="168">
        <f>('BTX Recycling LC'!S337-('BTX Recycling LC'!S364+'BTX Recycling LC'!S366)*'BTX Recycling LC'!S303/SUM('BTX Recycling LC'!S303:S304))/('BTX Recycling LC'!S$319)*AZ$20/SUM(AZ$19:AZ$20)</f>
        <v>7.2826940614694677E-2</v>
      </c>
      <c r="BA106" s="168">
        <f>('BTX Recycling LC'!T337-('BTX Recycling LC'!T364+'BTX Recycling LC'!T366)*'BTX Recycling LC'!T303/SUM('BTX Recycling LC'!T303:T304))/('BTX Recycling LC'!T$319)*BA$20/SUM(BA$19:BA$20)</f>
        <v>9.4206764022889022E-2</v>
      </c>
      <c r="BB106" s="168">
        <f>('BTX Recycling LC'!U337-('BTX Recycling LC'!U364+'BTX Recycling LC'!U366)*'BTX Recycling LC'!U303/SUM('BTX Recycling LC'!U303:U304))/('BTX Recycling LC'!U$319)*BB$20/SUM(BB$19:BB$20)</f>
        <v>0.11570158190835483</v>
      </c>
      <c r="BC106" s="168">
        <f>('BTX Recycling LC'!V337-('BTX Recycling LC'!V364+'BTX Recycling LC'!V366)*'BTX Recycling LC'!V303/SUM('BTX Recycling LC'!V303:V304))/('BTX Recycling LC'!V$319)*BC$20/SUM(BC$19:BC$20)</f>
        <v>0.13586615851019748</v>
      </c>
      <c r="BD106" s="168">
        <f>('BTX Recycling LC'!W337-('BTX Recycling LC'!W364+'BTX Recycling LC'!W366)*'BTX Recycling LC'!W303/SUM('BTX Recycling LC'!W303:W304))/('BTX Recycling LC'!W$319)*BD$20/SUM(BD$19:BD$20)</f>
        <v>0.15374614378813239</v>
      </c>
      <c r="BE106" s="168">
        <f>('BTX Recycling LC'!X337-('BTX Recycling LC'!X364+'BTX Recycling LC'!X366)*'BTX Recycling LC'!X303/SUM('BTX Recycling LC'!X303:X304))/('BTX Recycling LC'!X$319)*BE$20/SUM(BE$19:BE$20)</f>
        <v>0.16787242833827487</v>
      </c>
      <c r="BF106" s="168">
        <f>('BTX Recycling LC'!Y337-('BTX Recycling LC'!Y364+'BTX Recycling LC'!Y366)*'BTX Recycling LC'!Y303/SUM('BTX Recycling LC'!Y303:Y304))/('BTX Recycling LC'!Y$319)*BF$20/SUM(BF$19:BF$20)</f>
        <v>0.17921144324386962</v>
      </c>
      <c r="BG106" s="168">
        <f>('BTX Recycling LC'!Z337-('BTX Recycling LC'!Z364+'BTX Recycling LC'!Z366)*'BTX Recycling LC'!Z303/SUM('BTX Recycling LC'!Z303:Z304))/('BTX Recycling LC'!Z$319)*BG$20/SUM(BG$19:BG$20)</f>
        <v>0.18811800590628891</v>
      </c>
      <c r="BH106" s="168">
        <f>('BTX Recycling LC'!AA337-('BTX Recycling LC'!AA364+'BTX Recycling LC'!AA366)*'BTX Recycling LC'!AA303/SUM('BTX Recycling LC'!AA303:AA304))/('BTX Recycling LC'!AA$319)*BH$20/SUM(BH$19:BH$20)</f>
        <v>0.19501284702635202</v>
      </c>
      <c r="BI106" s="168">
        <f>('BTX Recycling LC'!AB337-('BTX Recycling LC'!AB364+'BTX Recycling LC'!AB366)*'BTX Recycling LC'!AB303/SUM('BTX Recycling LC'!AB303:AB304))/('BTX Recycling LC'!AB$319)*BI$20/SUM(BI$19:BI$20)</f>
        <v>0.20031895110088319</v>
      </c>
      <c r="BJ106" s="168">
        <f>('BTX Recycling LC'!AC337-('BTX Recycling LC'!AC364+'BTX Recycling LC'!AC366)*'BTX Recycling LC'!AC303/SUM('BTX Recycling LC'!AC303:AC304))/('BTX Recycling LC'!AC$319)*BJ$20/SUM(BJ$19:BJ$20)</f>
        <v>0.20446721546365498</v>
      </c>
      <c r="BK106" s="168">
        <f>('BTX Recycling LC'!AD337-('BTX Recycling LC'!AD364+'BTX Recycling LC'!AD366)*'BTX Recycling LC'!AD303/SUM('BTX Recycling LC'!AD303:AD304))/('BTX Recycling LC'!AD$319)*BK$20/SUM(BK$19:BK$20)</f>
        <v>0.20769850638011814</v>
      </c>
      <c r="BL106" s="168">
        <f>('BTX Recycling LC'!AE337-('BTX Recycling LC'!AE364+'BTX Recycling LC'!AE366)*'BTX Recycling LC'!AE303/SUM('BTX Recycling LC'!AE303:AE304))/('BTX Recycling LC'!AE$319)*BL$20/SUM(BL$19:BL$20)</f>
        <v>0.21023069626971766</v>
      </c>
      <c r="BM106" s="168">
        <f>('BTX Recycling LC'!AF337-('BTX Recycling LC'!AF364+'BTX Recycling LC'!AF366)*'BTX Recycling LC'!AF303/SUM('BTX Recycling LC'!AF303:AF304))/('BTX Recycling LC'!AF$319)*BM$20/SUM(BM$19:BM$20)</f>
        <v>0.21223158644291082</v>
      </c>
      <c r="BN106" s="168">
        <f>('BTX Recycling LC'!AG337-('BTX Recycling LC'!AG364+'BTX Recycling LC'!AG366)*'BTX Recycling LC'!AG303/SUM('BTX Recycling LC'!AG303:AG304))/('BTX Recycling LC'!AG$319)*BN$20/SUM(BN$19:BN$20)</f>
        <v>0.21384627316918153</v>
      </c>
      <c r="BP106" s="168">
        <f>('BTX Recycling HC'!C313)/('BTX Recycling HC'!C$309)*BP$20/SUM(BP$19:BP$20)</f>
        <v>0</v>
      </c>
      <c r="BQ106" s="168">
        <f>('BTX Recycling HC'!D313)/('BTX Recycling HC'!D$309)*BQ$20/SUM(BQ$19:BQ$20)</f>
        <v>0</v>
      </c>
      <c r="BR106" s="168">
        <f>('BTX Recycling HC'!E313)/('BTX Recycling HC'!E$309)*BR$20/SUM(BR$19:BR$20)</f>
        <v>0</v>
      </c>
      <c r="BS106" s="168">
        <f>('BTX Recycling HC'!F313)/('BTX Recycling HC'!F$309)*BS$20/SUM(BS$19:BS$20)</f>
        <v>0</v>
      </c>
      <c r="BT106" s="168">
        <f>('BTX Recycling HC'!G313)/('BTX Recycling HC'!G$309)*BT$20/SUM(BT$19:BT$20)</f>
        <v>0</v>
      </c>
      <c r="BU106" s="168">
        <f>('BTX Recycling HC'!H313)/('BTX Recycling HC'!H$309)*BU$20/SUM(BU$19:BU$20)</f>
        <v>0</v>
      </c>
      <c r="BV106" s="168">
        <f>('BTX Recycling HC'!I313)/('BTX Recycling HC'!I$309)*BV$20/SUM(BV$19:BV$20)</f>
        <v>0</v>
      </c>
      <c r="BW106" s="168">
        <f>('BTX Recycling HC'!J313)/('BTX Recycling HC'!J$309)*BW$20/SUM(BW$19:BW$20)</f>
        <v>0</v>
      </c>
      <c r="BX106" s="168">
        <f>('BTX Recycling HC'!K313)/('BTX Recycling HC'!K$309)*BX$20/SUM(BX$19:BX$20)</f>
        <v>0</v>
      </c>
      <c r="BY106" s="168">
        <f>('BTX Recycling HC'!L313)/('BTX Recycling HC'!L$309)*BY$20/SUM(BY$19:BY$20)</f>
        <v>0</v>
      </c>
      <c r="BZ106" s="168">
        <f>('BTX Recycling HC'!M313)/('BTX Recycling HC'!M$309)*BZ$20/SUM(BZ$19:BZ$20)</f>
        <v>0</v>
      </c>
      <c r="CA106" s="168">
        <f>('BTX Recycling HC'!N313)/('BTX Recycling HC'!N$309)*CA$20/SUM(CA$19:CA$20)</f>
        <v>0</v>
      </c>
      <c r="CB106" s="168">
        <f>('BTX Recycling HC'!O313)/('BTX Recycling HC'!O$309)*CB$20/SUM(CB$19:CB$20)</f>
        <v>0</v>
      </c>
      <c r="CC106" s="168">
        <f>('BTX Recycling HC'!P313)/('BTX Recycling HC'!P$309)*CC$20/SUM(CC$19:CC$20)</f>
        <v>0</v>
      </c>
      <c r="CD106" s="168">
        <f>('BTX Recycling HC'!Q313)/('BTX Recycling HC'!Q$309)*CD$20/SUM(CD$19:CD$20)</f>
        <v>0</v>
      </c>
      <c r="CE106" s="168">
        <f>('BTX Recycling HC'!R313)/('BTX Recycling HC'!R$309)*CE$20/SUM(CE$19:CE$20)</f>
        <v>0</v>
      </c>
      <c r="CF106" s="168">
        <f>('BTX Recycling HC'!S313)/('BTX Recycling HC'!S$309)*CF$20/SUM(CF$19:CF$20)</f>
        <v>0</v>
      </c>
      <c r="CG106" s="168">
        <f>('BTX Recycling HC'!T313)/('BTX Recycling HC'!T$309)*CG$20/SUM(CG$19:CG$20)</f>
        <v>0</v>
      </c>
      <c r="CH106" s="168">
        <f>('BTX Recycling HC'!U313)/('BTX Recycling HC'!U$309)*CH$20/SUM(CH$19:CH$20)</f>
        <v>0</v>
      </c>
      <c r="CI106" s="168">
        <f>('BTX Recycling HC'!V313)/('BTX Recycling HC'!V$309)*CI$20/SUM(CI$19:CI$20)</f>
        <v>0</v>
      </c>
      <c r="CJ106" s="168">
        <f>('BTX Recycling HC'!W313)/('BTX Recycling HC'!W$309)*CJ$20/SUM(CJ$19:CJ$20)</f>
        <v>0</v>
      </c>
      <c r="CK106" s="168">
        <f>('BTX Recycling HC'!X313)/('BTX Recycling HC'!X$309)*CK$20/SUM(CK$19:CK$20)</f>
        <v>0</v>
      </c>
      <c r="CL106" s="168">
        <f>('BTX Recycling HC'!Y313)/('BTX Recycling HC'!Y$309)*CL$20/SUM(CL$19:CL$20)</f>
        <v>0</v>
      </c>
      <c r="CM106" s="168">
        <f>('BTX Recycling HC'!Z313)/('BTX Recycling HC'!Z$309)*CM$20/SUM(CM$19:CM$20)</f>
        <v>0</v>
      </c>
      <c r="CN106" s="168">
        <f>('BTX Recycling HC'!AA313)/('BTX Recycling HC'!AA$309)*CN$20/SUM(CN$19:CN$20)</f>
        <v>0</v>
      </c>
      <c r="CO106" s="168">
        <f>('BTX Recycling HC'!AB313)/('BTX Recycling HC'!AB$309)*CO$20/SUM(CO$19:CO$20)</f>
        <v>0</v>
      </c>
      <c r="CP106" s="168">
        <f>('BTX Recycling HC'!AC313)/('BTX Recycling HC'!AC$309)*CP$20/SUM(CP$19:CP$20)</f>
        <v>0</v>
      </c>
      <c r="CQ106" s="168">
        <f>('BTX Recycling HC'!AD313)/('BTX Recycling HC'!AD$309)*CQ$20/SUM(CQ$19:CQ$20)</f>
        <v>0</v>
      </c>
      <c r="CR106" s="168">
        <f>('BTX Recycling HC'!AE313)/('BTX Recycling HC'!AE$309)*CR$20/SUM(CR$19:CR$20)</f>
        <v>0</v>
      </c>
      <c r="CS106" s="168">
        <f>('BTX Recycling HC'!AF313)/('BTX Recycling HC'!AF$309)*CS$20/SUM(CS$19:CS$20)</f>
        <v>0</v>
      </c>
      <c r="CT106" s="168">
        <f>('BTX Recycling HC'!AG313)/('BTX Recycling HC'!AG$309)*CT$20/SUM(CT$19:CT$20)</f>
        <v>0</v>
      </c>
      <c r="CV106" s="168">
        <f t="shared" ref="CV106:CV111" si="841">AJ106*(1-SUM(CV$34:CV$35))/(1-SUM(AJ$34:AJ$35))</f>
        <v>6.7336136929481631E-6</v>
      </c>
      <c r="CW106" s="168">
        <f t="shared" si="811"/>
        <v>1.3446493467498678E-5</v>
      </c>
      <c r="CX106" s="168">
        <f t="shared" si="812"/>
        <v>2.6744340965275345E-5</v>
      </c>
      <c r="CY106" s="168">
        <f t="shared" si="813"/>
        <v>5.300922610531706E-5</v>
      </c>
      <c r="CZ106" s="168">
        <f t="shared" si="814"/>
        <v>1.046177833315581E-4</v>
      </c>
      <c r="DA106" s="168">
        <f t="shared" si="815"/>
        <v>2.0531393917036489E-4</v>
      </c>
      <c r="DB106" s="168">
        <f t="shared" si="816"/>
        <v>3.9996079089720497E-4</v>
      </c>
      <c r="DC106" s="168">
        <f t="shared" si="817"/>
        <v>7.714336411596799E-4</v>
      </c>
      <c r="DD106" s="168">
        <f t="shared" si="818"/>
        <v>1.4682133829632912E-3</v>
      </c>
      <c r="DE106" s="168">
        <f t="shared" si="819"/>
        <v>2.7451250907359766E-3</v>
      </c>
      <c r="DF106" s="168">
        <f t="shared" si="820"/>
        <v>5.0139853941244305E-3</v>
      </c>
      <c r="DG106" s="168">
        <f t="shared" si="821"/>
        <v>8.8653167069900809E-3</v>
      </c>
      <c r="DH106" s="168">
        <f t="shared" si="822"/>
        <v>1.509354426982434E-2</v>
      </c>
      <c r="DI106" s="168">
        <f t="shared" si="823"/>
        <v>2.4578612542443059E-2</v>
      </c>
      <c r="DJ106" s="168">
        <f t="shared" si="824"/>
        <v>3.8001012559268736E-2</v>
      </c>
      <c r="DK106" s="168">
        <f t="shared" si="825"/>
        <v>5.551909780236413E-2</v>
      </c>
      <c r="DL106" s="168">
        <f t="shared" si="826"/>
        <v>7.6512387294796619E-2</v>
      </c>
      <c r="DM106" s="168">
        <f t="shared" si="827"/>
        <v>9.9655127012813496E-2</v>
      </c>
      <c r="DN106" s="168">
        <f t="shared" si="828"/>
        <v>0.12327735038868802</v>
      </c>
      <c r="DO106" s="168">
        <f t="shared" si="829"/>
        <v>0.14585079501077292</v>
      </c>
      <c r="DP106" s="168">
        <f t="shared" si="830"/>
        <v>0.16632591217053136</v>
      </c>
      <c r="DQ106" s="168">
        <f t="shared" si="831"/>
        <v>0.18391759339103886</v>
      </c>
      <c r="DR106" s="168">
        <f t="shared" si="832"/>
        <v>0.19855567789311954</v>
      </c>
      <c r="DS106" s="168">
        <f t="shared" si="833"/>
        <v>0.21088074378835578</v>
      </c>
      <c r="DT106" s="168">
        <f t="shared" si="834"/>
        <v>0.22129012136096118</v>
      </c>
      <c r="DU106" s="168">
        <f t="shared" si="835"/>
        <v>0.230154418276943</v>
      </c>
      <c r="DV106" s="168">
        <f t="shared" si="836"/>
        <v>0.23790023253311335</v>
      </c>
      <c r="DW106" s="168">
        <f t="shared" si="837"/>
        <v>0.24474638864590517</v>
      </c>
      <c r="DX106" s="168">
        <f t="shared" si="838"/>
        <v>0.25089556501988247</v>
      </c>
      <c r="DY106" s="168">
        <f t="shared" si="839"/>
        <v>0.25649324023730269</v>
      </c>
      <c r="DZ106" s="168">
        <f t="shared" si="840"/>
        <v>0.2616506901963494</v>
      </c>
    </row>
    <row r="107" spans="1:165" x14ac:dyDescent="0.2">
      <c r="A107" s="606" t="s">
        <v>33</v>
      </c>
      <c r="C107" s="54" t="s">
        <v>462</v>
      </c>
      <c r="D107" s="168">
        <f>('BTX Recycling HC'!C338-('BTX Recycling HC'!C364+'BTX Recycling HC'!C366)*'BTX Recycling HC'!C304/SUM('BTX Recycling HC'!C303:C304))/('BTX Recycling HC'!C$319)</f>
        <v>0.33785937775832225</v>
      </c>
      <c r="E107" s="168">
        <f>('BTX Recycling HC'!D338-('BTX Recycling HC'!D364+'BTX Recycling HC'!D366)*'BTX Recycling HC'!D304/SUM('BTX Recycling HC'!D303:D304))/('BTX Recycling HC'!D$319)</f>
        <v>0.33827300072702082</v>
      </c>
      <c r="F107" s="168">
        <f>('BTX Recycling HC'!E338-('BTX Recycling HC'!E364+'BTX Recycling HC'!E366)*'BTX Recycling HC'!E304/SUM('BTX Recycling HC'!E303:E304))/('BTX Recycling HC'!E$319)</f>
        <v>0.33820897066557332</v>
      </c>
      <c r="G107" s="168">
        <f>('BTX Recycling HC'!F338-('BTX Recycling HC'!F364+'BTX Recycling HC'!F366)*'BTX Recycling HC'!F304/SUM('BTX Recycling HC'!F303:F304))/('BTX Recycling HC'!F$319)</f>
        <v>0.33808644427838719</v>
      </c>
      <c r="H107" s="168">
        <f>('BTX Recycling HC'!G338-('BTX Recycling HC'!G364+'BTX Recycling HC'!G366)*'BTX Recycling HC'!G304/SUM('BTX Recycling HC'!G303:G304))/('BTX Recycling HC'!G$319)</f>
        <v>0.33793129492148327</v>
      </c>
      <c r="I107" s="168">
        <f>('BTX Recycling HC'!H338-('BTX Recycling HC'!H364+'BTX Recycling HC'!H366)*'BTX Recycling HC'!H304/SUM('BTX Recycling HC'!H303:H304))/('BTX Recycling HC'!H$319)</f>
        <v>0.33774081072633866</v>
      </c>
      <c r="J107" s="168">
        <f>('BTX Recycling HC'!I338-('BTX Recycling HC'!I364+'BTX Recycling HC'!I366)*'BTX Recycling HC'!I304/SUM('BTX Recycling HC'!I303:I304))/('BTX Recycling HC'!I$319)</f>
        <v>0.33726078955913241</v>
      </c>
      <c r="K107" s="168">
        <f>('BTX Recycling HC'!J338-('BTX Recycling HC'!J364+'BTX Recycling HC'!J366)*'BTX Recycling HC'!J304/SUM('BTX Recycling HC'!J303:J304))/('BTX Recycling HC'!J$319)</f>
        <v>0.33672538188092532</v>
      </c>
      <c r="L107" s="168">
        <f>('BTX Recycling HC'!K338-('BTX Recycling HC'!K364+'BTX Recycling HC'!K366)*'BTX Recycling HC'!K304/SUM('BTX Recycling HC'!K303:K304))/('BTX Recycling HC'!K$319)</f>
        <v>0.33612622481141841</v>
      </c>
      <c r="M107" s="168">
        <f>('BTX Recycling HC'!L338-('BTX Recycling HC'!L364+'BTX Recycling HC'!L366)*'BTX Recycling HC'!L304/SUM('BTX Recycling HC'!L303:L304))/('BTX Recycling HC'!L$319)</f>
        <v>0.33544836379238946</v>
      </c>
      <c r="N107" s="168">
        <f>('BTX Recycling HC'!M338-('BTX Recycling HC'!M364+'BTX Recycling HC'!M366)*'BTX Recycling HC'!M304/SUM('BTX Recycling HC'!M303:M304))/('BTX Recycling HC'!M$319)</f>
        <v>0.33466538502180032</v>
      </c>
      <c r="O107" s="168">
        <f>('BTX Recycling HC'!N338-('BTX Recycling HC'!N364+'BTX Recycling HC'!N366)*'BTX Recycling HC'!N304/SUM('BTX Recycling HC'!N303:N304))/('BTX Recycling HC'!N$319)</f>
        <v>0.33212299280729685</v>
      </c>
      <c r="P107" s="168">
        <f>('BTX Recycling HC'!O338-('BTX Recycling HC'!O364+'BTX Recycling HC'!O366)*'BTX Recycling HC'!O304/SUM('BTX Recycling HC'!O303:O304))/('BTX Recycling HC'!O$319)</f>
        <v>0.32939133501647627</v>
      </c>
      <c r="Q107" s="168">
        <f>('BTX Recycling HC'!P338-('BTX Recycling HC'!P364+'BTX Recycling HC'!P366)*'BTX Recycling HC'!P304/SUM('BTX Recycling HC'!P303:P304))/('BTX Recycling HC'!P$319)</f>
        <v>0.32642447861068724</v>
      </c>
      <c r="R107" s="168">
        <f>('BTX Recycling HC'!Q338-('BTX Recycling HC'!Q364+'BTX Recycling HC'!Q366)*'BTX Recycling HC'!Q304/SUM('BTX Recycling HC'!Q303:Q304))/('BTX Recycling HC'!Q$319)</f>
        <v>0.32319365236716852</v>
      </c>
      <c r="S107" s="168">
        <f>('BTX Recycling HC'!R338-('BTX Recycling HC'!R364+'BTX Recycling HC'!R366)*'BTX Recycling HC'!R304/SUM('BTX Recycling HC'!R303:R304))/('BTX Recycling HC'!R$319)</f>
        <v>0.31969599236910651</v>
      </c>
      <c r="T107" s="168">
        <f>('BTX Recycling HC'!S338-('BTX Recycling HC'!S364+'BTX Recycling HC'!S366)*'BTX Recycling HC'!S304/SUM('BTX Recycling HC'!S303:S304))/('BTX Recycling HC'!S$319)</f>
        <v>0.31604571865605152</v>
      </c>
      <c r="U107" s="168">
        <f>('BTX Recycling HC'!T338-('BTX Recycling HC'!T364+'BTX Recycling HC'!T366)*'BTX Recycling HC'!T304/SUM('BTX Recycling HC'!T303:T304))/('BTX Recycling HC'!T$319)</f>
        <v>0.31224488492903052</v>
      </c>
      <c r="V107" s="168">
        <f>('BTX Recycling HC'!U338-('BTX Recycling HC'!U364+'BTX Recycling HC'!U366)*'BTX Recycling HC'!U304/SUM('BTX Recycling HC'!U303:U304))/('BTX Recycling HC'!U$319)</f>
        <v>0.30838911566170535</v>
      </c>
      <c r="W107" s="168">
        <f>('BTX Recycling HC'!V338-('BTX Recycling HC'!V364+'BTX Recycling HC'!V366)*'BTX Recycling HC'!V304/SUM('BTX Recycling HC'!V303:V304))/('BTX Recycling HC'!V$319)</f>
        <v>0.30456530543665788</v>
      </c>
      <c r="X107" s="168">
        <f>('BTX Recycling HC'!W338-('BTX Recycling HC'!W364+'BTX Recycling HC'!W366)*'BTX Recycling HC'!W304/SUM('BTX Recycling HC'!W303:W304))/('BTX Recycling HC'!W$319)</f>
        <v>0.30083241522884263</v>
      </c>
      <c r="Y107" s="168">
        <f>('BTX Recycling HC'!X338-('BTX Recycling HC'!X364+'BTX Recycling HC'!X366)*'BTX Recycling HC'!X304/SUM('BTX Recycling HC'!X303:X304))/('BTX Recycling HC'!X$319)</f>
        <v>0.29513927895817471</v>
      </c>
      <c r="Z107" s="168">
        <f>('BTX Recycling HC'!Y338-('BTX Recycling HC'!Y364+'BTX Recycling HC'!Y366)*'BTX Recycling HC'!Y304/SUM('BTX Recycling HC'!Y303:Y304))/('BTX Recycling HC'!Y$319)</f>
        <v>0.28961656093105076</v>
      </c>
      <c r="AA107" s="168">
        <f>('BTX Recycling HC'!Z338-('BTX Recycling HC'!Z364+'BTX Recycling HC'!Z366)*'BTX Recycling HC'!Z304/SUM('BTX Recycling HC'!Z303:Z304))/('BTX Recycling HC'!Z$319)</f>
        <v>0.28422249150250878</v>
      </c>
      <c r="AB107" s="168">
        <f>('BTX Recycling HC'!AA338-('BTX Recycling HC'!AA364+'BTX Recycling HC'!AA366)*'BTX Recycling HC'!AA304/SUM('BTX Recycling HC'!AA303:AA304))/('BTX Recycling HC'!AA$319)</f>
        <v>0.27824229661021815</v>
      </c>
      <c r="AC107" s="168">
        <f>('BTX Recycling HC'!AB338-('BTX Recycling HC'!AB364+'BTX Recycling HC'!AB366)*'BTX Recycling HC'!AB304/SUM('BTX Recycling HC'!AB303:AB304))/('BTX Recycling HC'!AB$319)</f>
        <v>0.27200229868472225</v>
      </c>
      <c r="AD107" s="168">
        <f>('BTX Recycling HC'!AC338-('BTX Recycling HC'!AC364+'BTX Recycling HC'!AC366)*'BTX Recycling HC'!AC304/SUM('BTX Recycling HC'!AC303:AC304))/('BTX Recycling HC'!AC$319)</f>
        <v>0.26569574627174647</v>
      </c>
      <c r="AE107" s="168">
        <f>('BTX Recycling HC'!AD338-('BTX Recycling HC'!AD364+'BTX Recycling HC'!AD366)*'BTX Recycling HC'!AD304/SUM('BTX Recycling HC'!AD303:AD304))/('BTX Recycling HC'!AD$319)</f>
        <v>0.25929912688266105</v>
      </c>
      <c r="AF107" s="168">
        <f>('BTX Recycling HC'!AE338-('BTX Recycling HC'!AE364+'BTX Recycling HC'!AE366)*'BTX Recycling HC'!AE304/SUM('BTX Recycling HC'!AE303:AE304))/('BTX Recycling HC'!AE$319)</f>
        <v>0.2527698917256806</v>
      </c>
      <c r="AG107" s="168">
        <f>('BTX Recycling HC'!AF338-('BTX Recycling HC'!AF364+'BTX Recycling HC'!AF366)*'BTX Recycling HC'!AF304/SUM('BTX Recycling HC'!AF303:AF304))/('BTX Recycling HC'!AF$319)</f>
        <v>0.24609817796145214</v>
      </c>
      <c r="AH107" s="168">
        <f>('BTX Recycling HC'!AG338-('BTX Recycling HC'!AG364+'BTX Recycling HC'!AG366)*'BTX Recycling HC'!AG304/SUM('BTX Recycling HC'!AG303:AG304))/('BTX Recycling HC'!AG$319)</f>
        <v>0.23933722834616641</v>
      </c>
      <c r="AI107" s="44"/>
      <c r="AJ107" s="168">
        <f>('BTX Recycling LC'!C338-('BTX Recycling LC'!C364+'BTX Recycling LC'!C366)*'BTX Recycling LC'!C304/SUM('BTX Recycling LC'!C303:C304))/('BTX Recycling LC'!C$319)</f>
        <v>0.33785948370126562</v>
      </c>
      <c r="AK107" s="168">
        <f>('BTX Recycling LC'!D338-('BTX Recycling LC'!D364+'BTX Recycling LC'!D366)*'BTX Recycling LC'!D304/SUM('BTX Recycling LC'!D303:D304))/('BTX Recycling LC'!D$319)</f>
        <v>0.33830683476354861</v>
      </c>
      <c r="AL107" s="168">
        <f>('BTX Recycling LC'!E338-('BTX Recycling LC'!E364+'BTX Recycling LC'!E366)*'BTX Recycling LC'!E304/SUM('BTX Recycling LC'!E303:E304))/('BTX Recycling LC'!E$319)</f>
        <v>0.33829393154573129</v>
      </c>
      <c r="AM107" s="168">
        <f>('BTX Recycling LC'!F338-('BTX Recycling LC'!F364+'BTX Recycling LC'!F366)*'BTX Recycling LC'!F304/SUM('BTX Recycling LC'!F303:F304))/('BTX Recycling LC'!F$319)</f>
        <v>0.33822113095981293</v>
      </c>
      <c r="AN107" s="168">
        <f>('BTX Recycling LC'!G338-('BTX Recycling LC'!G364+'BTX Recycling LC'!G366)*'BTX Recycling LC'!G304/SUM('BTX Recycling LC'!G303:G304))/('BTX Recycling LC'!G$319)</f>
        <v>0.33812111820530155</v>
      </c>
      <c r="AO107" s="168">
        <f>('BTX Recycling LC'!H338-('BTX Recycling LC'!H364+'BTX Recycling LC'!H366)*'BTX Recycling LC'!H304/SUM('BTX Recycling LC'!H303:H304))/('BTX Recycling LC'!H$319)</f>
        <v>0.33799190866924883</v>
      </c>
      <c r="AP107" s="168">
        <f>('BTX Recycling LC'!I338-('BTX Recycling LC'!I364+'BTX Recycling LC'!I366)*'BTX Recycling LC'!I304/SUM('BTX Recycling LC'!I303:I304))/('BTX Recycling LC'!I$319)</f>
        <v>0.33778455837678145</v>
      </c>
      <c r="AQ107" s="168">
        <f>('BTX Recycling LC'!J338-('BTX Recycling LC'!J364+'BTX Recycling LC'!J366)*'BTX Recycling LC'!J304/SUM('BTX Recycling LC'!J303:J304))/('BTX Recycling LC'!J$319)</f>
        <v>0.33755687634745241</v>
      </c>
      <c r="AR107" s="168">
        <f>('BTX Recycling LC'!K338-('BTX Recycling LC'!K364+'BTX Recycling LC'!K366)*'BTX Recycling LC'!K304/SUM('BTX Recycling LC'!K303:K304))/('BTX Recycling LC'!K$319)</f>
        <v>0.33730562725597479</v>
      </c>
      <c r="AS107" s="168">
        <f>('BTX Recycling LC'!L338-('BTX Recycling LC'!L364+'BTX Recycling LC'!L366)*'BTX Recycling LC'!L304/SUM('BTX Recycling LC'!L303:L304))/('BTX Recycling LC'!L$319)</f>
        <v>0.33702363646806793</v>
      </c>
      <c r="AT107" s="168">
        <f>('BTX Recycling LC'!M338-('BTX Recycling LC'!M364+'BTX Recycling LC'!M366)*'BTX Recycling LC'!M304/SUM('BTX Recycling LC'!M303:M304))/('BTX Recycling LC'!M$319)</f>
        <v>0.33669674002717548</v>
      </c>
      <c r="AU107" s="168">
        <f>('BTX Recycling LC'!N338-('BTX Recycling LC'!N364+'BTX Recycling LC'!N366)*'BTX Recycling LC'!N304/SUM('BTX Recycling LC'!N303:N304))/('BTX Recycling LC'!N$319)</f>
        <v>0.33485305841463719</v>
      </c>
      <c r="AV107" s="168">
        <f>('BTX Recycling LC'!O338-('BTX Recycling LC'!O364+'BTX Recycling LC'!O366)*'BTX Recycling LC'!O304/SUM('BTX Recycling LC'!O303:O304))/('BTX Recycling LC'!O$319)</f>
        <v>0.33295226623933083</v>
      </c>
      <c r="AW107" s="168">
        <f>('BTX Recycling LC'!P338-('BTX Recycling LC'!P364+'BTX Recycling LC'!P366)*'BTX Recycling LC'!P304/SUM('BTX Recycling LC'!P303:P304))/('BTX Recycling LC'!P$319)</f>
        <v>0.33097336858881543</v>
      </c>
      <c r="AX107" s="168">
        <f>('BTX Recycling LC'!Q338-('BTX Recycling LC'!Q364+'BTX Recycling LC'!Q366)*'BTX Recycling LC'!Q304/SUM('BTX Recycling LC'!Q303:Q304))/('BTX Recycling LC'!Q$319)</f>
        <v>0.32889279033444913</v>
      </c>
      <c r="AY107" s="168">
        <f>('BTX Recycling LC'!R338-('BTX Recycling LC'!R364+'BTX Recycling LC'!R366)*'BTX Recycling LC'!R304/SUM('BTX Recycling LC'!R303:R304))/('BTX Recycling LC'!R$319)</f>
        <v>0.32670604982991602</v>
      </c>
      <c r="AZ107" s="168">
        <f>('BTX Recycling LC'!S338-('BTX Recycling LC'!S364+'BTX Recycling LC'!S366)*'BTX Recycling LC'!S304/SUM('BTX Recycling LC'!S303:S304))/('BTX Recycling LC'!S$319)</f>
        <v>0.32440427904778407</v>
      </c>
      <c r="BA107" s="168">
        <f>('BTX Recycling LC'!T338-('BTX Recycling LC'!T364+'BTX Recycling LC'!T366)*'BTX Recycling LC'!T304/SUM('BTX Recycling LC'!T303:T304))/('BTX Recycling LC'!T$319)</f>
        <v>0.32205122515254242</v>
      </c>
      <c r="BB107" s="168">
        <f>('BTX Recycling LC'!U338-('BTX Recycling LC'!U364+'BTX Recycling LC'!U366)*'BTX Recycling LC'!U304/SUM('BTX Recycling LC'!U303:U304))/('BTX Recycling LC'!U$319)</f>
        <v>0.31970941992127139</v>
      </c>
      <c r="BC107" s="168">
        <f>('BTX Recycling LC'!V338-('BTX Recycling LC'!V364+'BTX Recycling LC'!V366)*'BTX Recycling LC'!V304/SUM('BTX Recycling LC'!V303:V304))/('BTX Recycling LC'!V$319)</f>
        <v>0.31744011201982114</v>
      </c>
      <c r="BD107" s="168">
        <f>('BTX Recycling LC'!W338-('BTX Recycling LC'!W364+'BTX Recycling LC'!W366)*'BTX Recycling LC'!W304/SUM('BTX Recycling LC'!W303:W304))/('BTX Recycling LC'!W$319)</f>
        <v>0.315289928067433</v>
      </c>
      <c r="BE107" s="168">
        <f>('BTX Recycling LC'!X338-('BTX Recycling LC'!X364+'BTX Recycling LC'!X366)*'BTX Recycling LC'!X304/SUM('BTX Recycling LC'!X303:X304))/('BTX Recycling LC'!X$319)</f>
        <v>0.31130602471640473</v>
      </c>
      <c r="BF107" s="168">
        <f>('BTX Recycling LC'!Y338-('BTX Recycling LC'!Y364+'BTX Recycling LC'!Y366)*'BTX Recycling LC'!Y304/SUM('BTX Recycling LC'!Y303:Y304))/('BTX Recycling LC'!Y$319)</f>
        <v>0.30754024153278303</v>
      </c>
      <c r="BG107" s="168">
        <f>('BTX Recycling LC'!Z338-('BTX Recycling LC'!Z364+'BTX Recycling LC'!Z366)*'BTX Recycling LC'!Z304/SUM('BTX Recycling LC'!Z303:Z304))/('BTX Recycling LC'!Z$319)</f>
        <v>0.30400596229893084</v>
      </c>
      <c r="BH107" s="168">
        <f>('BTX Recycling LC'!AA338-('BTX Recycling LC'!AA364+'BTX Recycling LC'!AA366)*'BTX Recycling LC'!AA304/SUM('BTX Recycling LC'!AA303:AA304))/('BTX Recycling LC'!AA$319)</f>
        <v>0.30066147308344171</v>
      </c>
      <c r="BI107" s="168">
        <f>('BTX Recycling LC'!AB338-('BTX Recycling LC'!AB364+'BTX Recycling LC'!AB366)*'BTX Recycling LC'!AB304/SUM('BTX Recycling LC'!AB303:AB304))/('BTX Recycling LC'!AB$319)</f>
        <v>0.29747821282077108</v>
      </c>
      <c r="BJ107" s="168">
        <f>('BTX Recycling LC'!AC338-('BTX Recycling LC'!AC364+'BTX Recycling LC'!AC366)*'BTX Recycling LC'!AC304/SUM('BTX Recycling LC'!AC303:AC304))/('BTX Recycling LC'!AC$319)</f>
        <v>0.29451832142904649</v>
      </c>
      <c r="BK107" s="168">
        <f>('BTX Recycling LC'!AD338-('BTX Recycling LC'!AD364+'BTX Recycling LC'!AD366)*'BTX Recycling LC'!AD304/SUM('BTX Recycling LC'!AD303:AD304))/('BTX Recycling LC'!AD$319)</f>
        <v>0.29166866302421635</v>
      </c>
      <c r="BL107" s="168">
        <f>('BTX Recycling LC'!AE338-('BTX Recycling LC'!AE364+'BTX Recycling LC'!AE366)*'BTX Recycling LC'!AE304/SUM('BTX Recycling LC'!AE303:AE304))/('BTX Recycling LC'!AE$319)</f>
        <v>0.28888969186230051</v>
      </c>
      <c r="BM107" s="168">
        <f>('BTX Recycling LC'!AF338-('BTX Recycling LC'!AF364+'BTX Recycling LC'!AF366)*'BTX Recycling LC'!AF304/SUM('BTX Recycling LC'!AF303:AF304))/('BTX Recycling LC'!AF$319)</f>
        <v>0.28615649361235335</v>
      </c>
      <c r="BN107" s="168">
        <f>('BTX Recycling LC'!AG338-('BTX Recycling LC'!AG364+'BTX Recycling LC'!AG366)*'BTX Recycling LC'!AG304/SUM('BTX Recycling LC'!AG303:AG304))/('BTX Recycling LC'!AG$319)</f>
        <v>0.28347823257525451</v>
      </c>
      <c r="BP107" s="168">
        <f>('BTX Recycling HC'!C314)/('BTX Recycling HC'!C$309)</f>
        <v>0.3378596258636638</v>
      </c>
      <c r="BQ107" s="168">
        <f>('BTX Recycling HC'!D314)/('BTX Recycling HC'!D$309)</f>
        <v>0.33170653960071217</v>
      </c>
      <c r="BR107" s="168">
        <f>('BTX Recycling HC'!E314)/('BTX Recycling HC'!E$309)</f>
        <v>0.32544633238985671</v>
      </c>
      <c r="BS107" s="168">
        <f>('BTX Recycling HC'!F314)/('BTX Recycling HC'!F$309)</f>
        <v>0.31908766473896805</v>
      </c>
      <c r="BT107" s="168">
        <f>('BTX Recycling HC'!G314)/('BTX Recycling HC'!G$309)</f>
        <v>0.31263825367803899</v>
      </c>
      <c r="BU107" s="168">
        <f>('BTX Recycling HC'!H314)/('BTX Recycling HC'!H$309)</f>
        <v>0.30610497837339778</v>
      </c>
      <c r="BV107" s="168">
        <f>('BTX Recycling HC'!I314)/('BTX Recycling HC'!I$309)</f>
        <v>0.29955146602442123</v>
      </c>
      <c r="BW107" s="168">
        <f>('BTX Recycling HC'!J314)/('BTX Recycling HC'!J$309)</f>
        <v>0.29297878078500988</v>
      </c>
      <c r="BX107" s="168">
        <f>('BTX Recycling HC'!K314)/('BTX Recycling HC'!K$309)</f>
        <v>0.28638795223697805</v>
      </c>
      <c r="BY107" s="168">
        <f>('BTX Recycling HC'!L314)/('BTX Recycling HC'!L$309)</f>
        <v>0.27977997778289965</v>
      </c>
      <c r="BZ107" s="168">
        <f>('BTX Recycling HC'!M314)/('BTX Recycling HC'!M$309)</f>
        <v>0.27315582495211099</v>
      </c>
      <c r="CA107" s="168">
        <f>('BTX Recycling HC'!N314)/('BTX Recycling HC'!N$309)</f>
        <v>0.26648321526869106</v>
      </c>
      <c r="CB107" s="168">
        <f>('BTX Recycling HC'!O314)/('BTX Recycling HC'!O$309)</f>
        <v>0.25976562693549143</v>
      </c>
      <c r="CC107" s="168">
        <f>('BTX Recycling HC'!P314)/('BTX Recycling HC'!P$309)</f>
        <v>0.25300628579767676</v>
      </c>
      <c r="CD107" s="168">
        <f>('BTX Recycling HC'!Q314)/('BTX Recycling HC'!Q$309)</f>
        <v>0.24620819516442094</v>
      </c>
      <c r="CE107" s="168">
        <f>('BTX Recycling HC'!R314)/('BTX Recycling HC'!R$309)</f>
        <v>0.23937416373996753</v>
      </c>
      <c r="CF107" s="168">
        <f>('BTX Recycling HC'!S314)/('BTX Recycling HC'!S$309)</f>
        <v>0.23254404723726144</v>
      </c>
      <c r="CG107" s="168">
        <f>('BTX Recycling HC'!T314)/('BTX Recycling HC'!T$309)</f>
        <v>0.22571805668846967</v>
      </c>
      <c r="CH107" s="168">
        <f>('BTX Recycling HC'!U314)/('BTX Recycling HC'!U$309)</f>
        <v>0.21889640721341891</v>
      </c>
      <c r="CI107" s="168">
        <f>('BTX Recycling HC'!V314)/('BTX Recycling HC'!V$309)</f>
        <v>0.21207931817876394</v>
      </c>
      <c r="CJ107" s="168">
        <f>('BTX Recycling HC'!W314)/('BTX Recycling HC'!W$309)</f>
        <v>0.20526701336151557</v>
      </c>
      <c r="CK107" s="168">
        <f>('BTX Recycling HC'!X314)/('BTX Recycling HC'!X$309)</f>
        <v>0.19845992202082383</v>
      </c>
      <c r="CL107" s="168">
        <f>('BTX Recycling HC'!Y314)/('BTX Recycling HC'!Y$309)</f>
        <v>0.19165826109883438</v>
      </c>
      <c r="CM107" s="168">
        <f>('BTX Recycling HC'!Z314)/('BTX Recycling HC'!Z$309)</f>
        <v>0.18486225206480628</v>
      </c>
      <c r="CN107" s="168">
        <f>('BTX Recycling HC'!AA314)/('BTX Recycling HC'!AA$309)</f>
        <v>0.17807212107101184</v>
      </c>
      <c r="CO107" s="168">
        <f>('BTX Recycling HC'!AB314)/('BTX Recycling HC'!AB$309)</f>
        <v>0.17128809911297527</v>
      </c>
      <c r="CP107" s="168">
        <f>('BTX Recycling HC'!AC314)/('BTX Recycling HC'!AC$309)</f>
        <v>0.16451057052578724</v>
      </c>
      <c r="CQ107" s="168">
        <f>('BTX Recycling HC'!AD314)/('BTX Recycling HC'!AD$309)</f>
        <v>0.15773976167472809</v>
      </c>
      <c r="CR107" s="168">
        <f>('BTX Recycling HC'!AE314)/('BTX Recycling HC'!AE$309)</f>
        <v>0.15097590385879769</v>
      </c>
      <c r="CS107" s="168">
        <f>('BTX Recycling HC'!AF314)/('BTX Recycling HC'!AF$309)</f>
        <v>0.14421923346592749</v>
      </c>
      <c r="CT107" s="168">
        <f>('BTX Recycling HC'!AG314)/('BTX Recycling HC'!AG$309)</f>
        <v>0.1374699921325121</v>
      </c>
      <c r="CV107" s="168">
        <f t="shared" si="841"/>
        <v>0.33785948370126556</v>
      </c>
      <c r="CW107" s="168">
        <f t="shared" si="811"/>
        <v>0.33869260645180627</v>
      </c>
      <c r="CX107" s="168">
        <f t="shared" si="812"/>
        <v>0.3391014434384883</v>
      </c>
      <c r="CY107" s="168">
        <f t="shared" si="813"/>
        <v>0.33948603484922468</v>
      </c>
      <c r="CZ107" s="168">
        <f t="shared" si="814"/>
        <v>0.3398788587219424</v>
      </c>
      <c r="DA107" s="168">
        <f t="shared" si="815"/>
        <v>0.34027764259141141</v>
      </c>
      <c r="DB107" s="168">
        <f t="shared" si="816"/>
        <v>0.34070260164096777</v>
      </c>
      <c r="DC107" s="168">
        <f t="shared" si="817"/>
        <v>0.34114616691370386</v>
      </c>
      <c r="DD107" s="168">
        <f t="shared" si="818"/>
        <v>0.34160479815058209</v>
      </c>
      <c r="DE107" s="168">
        <f t="shared" si="819"/>
        <v>0.34207123092927244</v>
      </c>
      <c r="DF107" s="168">
        <f t="shared" si="820"/>
        <v>0.34253165619991793</v>
      </c>
      <c r="DG107" s="168">
        <f t="shared" si="821"/>
        <v>0.34215208128393876</v>
      </c>
      <c r="DH107" s="168">
        <f t="shared" si="822"/>
        <v>0.34168146670293648</v>
      </c>
      <c r="DI107" s="168">
        <f t="shared" si="823"/>
        <v>0.34143753117694026</v>
      </c>
      <c r="DJ107" s="168">
        <f t="shared" si="824"/>
        <v>0.34122096624035658</v>
      </c>
      <c r="DK107" s="168">
        <f t="shared" si="825"/>
        <v>0.34102423690726552</v>
      </c>
      <c r="DL107" s="168">
        <f t="shared" si="826"/>
        <v>0.34082093287308951</v>
      </c>
      <c r="DM107" s="168">
        <f t="shared" si="827"/>
        <v>0.34067676647306405</v>
      </c>
      <c r="DN107" s="168">
        <f t="shared" si="828"/>
        <v>0.34064296729682608</v>
      </c>
      <c r="DO107" s="168">
        <f t="shared" si="829"/>
        <v>0.34076839452942032</v>
      </c>
      <c r="DP107" s="168">
        <f t="shared" si="830"/>
        <v>0.34108748090789454</v>
      </c>
      <c r="DQ107" s="168">
        <f t="shared" si="831"/>
        <v>0.34106050314945241</v>
      </c>
      <c r="DR107" s="168">
        <f t="shared" si="832"/>
        <v>0.34073639512997056</v>
      </c>
      <c r="DS107" s="168">
        <f t="shared" si="833"/>
        <v>0.34079142576936161</v>
      </c>
      <c r="DT107" s="168">
        <f t="shared" si="834"/>
        <v>0.34117451686764788</v>
      </c>
      <c r="DU107" s="168">
        <f t="shared" si="835"/>
        <v>0.34178456229709842</v>
      </c>
      <c r="DV107" s="168">
        <f t="shared" si="836"/>
        <v>0.34267585145300195</v>
      </c>
      <c r="DW107" s="168">
        <f t="shared" si="837"/>
        <v>0.34369458500443839</v>
      </c>
      <c r="DX107" s="168">
        <f t="shared" si="838"/>
        <v>0.34476954961525313</v>
      </c>
      <c r="DY107" s="168">
        <f t="shared" si="839"/>
        <v>0.34583545028214252</v>
      </c>
      <c r="DZ107" s="168">
        <f t="shared" si="840"/>
        <v>0.34684857542631209</v>
      </c>
    </row>
    <row r="108" spans="1:165" x14ac:dyDescent="0.2">
      <c r="A108" s="606" t="s">
        <v>451</v>
      </c>
      <c r="C108" s="54" t="s">
        <v>462</v>
      </c>
      <c r="D108" s="168">
        <f>'BTX Recycling HC'!C339/('BTX Recycling HC'!C$319)</f>
        <v>7.3050729916467855E-2</v>
      </c>
      <c r="E108" s="168">
        <f>'BTX Recycling HC'!D339/('BTX Recycling HC'!D$319)</f>
        <v>7.0688550075259579E-2</v>
      </c>
      <c r="F108" s="168">
        <f>'BTX Recycling HC'!E339/('BTX Recycling HC'!E$319)</f>
        <v>6.8245964484364444E-2</v>
      </c>
      <c r="G108" s="168">
        <f>'BTX Recycling HC'!F339/('BTX Recycling HC'!F$319)</f>
        <v>6.5814614906268318E-2</v>
      </c>
      <c r="H108" s="168">
        <f>'BTX Recycling HC'!G339/('BTX Recycling HC'!G$319)</f>
        <v>6.340040397606124E-2</v>
      </c>
      <c r="I108" s="168">
        <f>'BTX Recycling HC'!H339/('BTX Recycling HC'!H$319)</f>
        <v>6.1003429865928431E-2</v>
      </c>
      <c r="J108" s="168">
        <f>'BTX Recycling HC'!I339/('BTX Recycling HC'!I$319)</f>
        <v>5.8580339045447252E-2</v>
      </c>
      <c r="K108" s="168">
        <f>'BTX Recycling HC'!J339/('BTX Recycling HC'!J$319)</f>
        <v>5.6176546954338602E-2</v>
      </c>
      <c r="L108" s="168">
        <f>'BTX Recycling HC'!K339/('BTX Recycling HC'!K$319)</f>
        <v>5.3792697564241536E-2</v>
      </c>
      <c r="M108" s="168">
        <f>'BTX Recycling HC'!L339/('BTX Recycling HC'!L$319)</f>
        <v>5.1429438991013855E-2</v>
      </c>
      <c r="N108" s="168">
        <f>'BTX Recycling HC'!M339/('BTX Recycling HC'!M$319)</f>
        <v>4.9087420710280417E-2</v>
      </c>
      <c r="O108" s="168">
        <f>'BTX Recycling HC'!N339/('BTX Recycling HC'!N$319)</f>
        <v>4.653840013853313E-2</v>
      </c>
      <c r="P108" s="168">
        <f>'BTX Recycling HC'!O339/('BTX Recycling HC'!O$319)</f>
        <v>4.4031466577153885E-2</v>
      </c>
      <c r="Q108" s="168">
        <f>'BTX Recycling HC'!P339/('BTX Recycling HC'!P$319)</f>
        <v>4.1566985643403449E-2</v>
      </c>
      <c r="R108" s="168">
        <f>'BTX Recycling HC'!Q339/('BTX Recycling HC'!Q$319)</f>
        <v>3.9146221666184158E-2</v>
      </c>
      <c r="S108" s="168">
        <f>'BTX Recycling HC'!R339/('BTX Recycling HC'!R$319)</f>
        <v>3.6769953012909064E-2</v>
      </c>
      <c r="T108" s="168">
        <f>'BTX Recycling HC'!S339/('BTX Recycling HC'!S$319)</f>
        <v>3.4447373518546244E-2</v>
      </c>
      <c r="U108" s="168">
        <f>'BTX Recycling HC'!T339/('BTX Recycling HC'!T$319)</f>
        <v>3.2169563220633267E-2</v>
      </c>
      <c r="V108" s="168">
        <f>'BTX Recycling HC'!U339/('BTX Recycling HC'!U$319)</f>
        <v>2.9936974116214446E-2</v>
      </c>
      <c r="W108" s="168">
        <f>'BTX Recycling HC'!V339/('BTX Recycling HC'!V$319)</f>
        <v>2.7750026489914099E-2</v>
      </c>
      <c r="X108" s="168">
        <f>'BTX Recycling HC'!W339/('BTX Recycling HC'!W$319)</f>
        <v>2.5609098941111793E-2</v>
      </c>
      <c r="Y108" s="168">
        <f>'BTX Recycling HC'!X339/('BTX Recycling HC'!X$319)</f>
        <v>2.3315579926581238E-2</v>
      </c>
      <c r="Z108" s="168">
        <f>'BTX Recycling HC'!Y339/('BTX Recycling HC'!Y$319)</f>
        <v>2.1098101899191146E-2</v>
      </c>
      <c r="AA108" s="168">
        <f>'BTX Recycling HC'!Z339/('BTX Recycling HC'!Z$319)</f>
        <v>1.8956939665168902E-2</v>
      </c>
      <c r="AB108" s="168">
        <f>'BTX Recycling HC'!AA339/('BTX Recycling HC'!AA$319)</f>
        <v>1.6892777716197495E-2</v>
      </c>
      <c r="AC108" s="168">
        <f>'BTX Recycling HC'!AB339/('BTX Recycling HC'!AB$319)</f>
        <v>1.4905764418740558E-2</v>
      </c>
      <c r="AD108" s="168">
        <f>'BTX Recycling HC'!AC339/('BTX Recycling HC'!AC$319)</f>
        <v>1.2995438516609422E-2</v>
      </c>
      <c r="AE108" s="168">
        <f>'BTX Recycling HC'!AD339/('BTX Recycling HC'!AD$319)</f>
        <v>1.1162821992341351E-2</v>
      </c>
      <c r="AF108" s="168">
        <f>'BTX Recycling HC'!AE339/('BTX Recycling HC'!AE$319)</f>
        <v>9.4071958515724828E-3</v>
      </c>
      <c r="AG108" s="168">
        <f>'BTX Recycling HC'!AF339/('BTX Recycling HC'!AF$319)</f>
        <v>7.7273684888386953E-3</v>
      </c>
      <c r="AH108" s="168">
        <f>'BTX Recycling HC'!AG339/('BTX Recycling HC'!AG$319)</f>
        <v>6.1215685752259545E-3</v>
      </c>
      <c r="AI108" s="44"/>
      <c r="AJ108" s="168">
        <f>'BTX Recycling LC'!C339/('BTX Recycling LC'!C$319)</f>
        <v>7.3050729916467855E-2</v>
      </c>
      <c r="AK108" s="168">
        <f>'BTX Recycling LC'!D339/('BTX Recycling LC'!D$319)</f>
        <v>7.0695572846959043E-2</v>
      </c>
      <c r="AL108" s="168">
        <f>'BTX Recycling LC'!E339/('BTX Recycling LC'!E$319)</f>
        <v>6.8263012313179897E-2</v>
      </c>
      <c r="AM108" s="168">
        <f>'BTX Recycling LC'!F339/('BTX Recycling LC'!F$319)</f>
        <v>6.5840641169481615E-2</v>
      </c>
      <c r="AN108" s="168">
        <f>'BTX Recycling LC'!G339/('BTX Recycling LC'!G$319)</f>
        <v>6.3435633327178761E-2</v>
      </c>
      <c r="AO108" s="168">
        <f>'BTX Recycling LC'!H339/('BTX Recycling LC'!H$319)</f>
        <v>6.104802643902011E-2</v>
      </c>
      <c r="AP108" s="168">
        <f>'BTX Recycling LC'!I339/('BTX Recycling LC'!I$319)</f>
        <v>5.8669855178473715E-2</v>
      </c>
      <c r="AQ108" s="168">
        <f>'BTX Recycling LC'!J339/('BTX Recycling LC'!J$319)</f>
        <v>5.6312490225734702E-2</v>
      </c>
      <c r="AR108" s="168">
        <f>'BTX Recycling LC'!K339/('BTX Recycling LC'!K$319)</f>
        <v>5.3976250467729837E-2</v>
      </c>
      <c r="AS108" s="168">
        <f>'BTX Recycling LC'!L339/('BTX Recycling LC'!L$319)</f>
        <v>5.1661431576587286E-2</v>
      </c>
      <c r="AT108" s="168">
        <f>'BTX Recycling LC'!M339/('BTX Recycling LC'!M$319)</f>
        <v>4.9368301974609764E-2</v>
      </c>
      <c r="AU108" s="168">
        <f>'BTX Recycling LC'!N339/('BTX Recycling LC'!N$319)</f>
        <v>4.6892731562016093E-2</v>
      </c>
      <c r="AV108" s="168">
        <f>'BTX Recycling LC'!O339/('BTX Recycling LC'!O$319)</f>
        <v>4.4462514136691389E-2</v>
      </c>
      <c r="AW108" s="168">
        <f>'BTX Recycling LC'!P339/('BTX Recycling LC'!P$319)</f>
        <v>4.2078028661196996E-2</v>
      </c>
      <c r="AX108" s="168">
        <f>'BTX Recycling LC'!Q339/('BTX Recycling LC'!Q$319)</f>
        <v>3.9738642886294459E-2</v>
      </c>
      <c r="AY108" s="168">
        <f>'BTX Recycling LC'!R339/('BTX Recycling LC'!R$319)</f>
        <v>3.7444023893939554E-2</v>
      </c>
      <c r="AZ108" s="168">
        <f>'BTX Recycling LC'!S339/('BTX Recycling LC'!S$319)</f>
        <v>3.519003724004454E-2</v>
      </c>
      <c r="BA108" s="168">
        <f>'BTX Recycling LC'!T339/('BTX Recycling LC'!T$319)</f>
        <v>3.297816207809183E-2</v>
      </c>
      <c r="BB108" s="168">
        <f>'BTX Recycling LC'!U339/('BTX Recycling LC'!U$319)</f>
        <v>3.0807677113016116E-2</v>
      </c>
      <c r="BC108" s="168">
        <f>'BTX Recycling LC'!V339/('BTX Recycling LC'!V$319)</f>
        <v>2.8677751100529357E-2</v>
      </c>
      <c r="BD108" s="168">
        <f>'BTX Recycling LC'!W339/('BTX Recycling LC'!W$319)</f>
        <v>2.6587429605410887E-2</v>
      </c>
      <c r="BE108" s="168">
        <f>'BTX Recycling LC'!X339/('BTX Recycling LC'!X$319)</f>
        <v>2.4364392034536345E-2</v>
      </c>
      <c r="BF108" s="168">
        <f>'BTX Recycling LC'!Y339/('BTX Recycling LC'!Y$319)</f>
        <v>2.2207753671642069E-2</v>
      </c>
      <c r="BG108" s="168">
        <f>'BTX Recycling LC'!Z339/('BTX Recycling LC'!Z$319)</f>
        <v>2.0117556756580016E-2</v>
      </c>
      <c r="BH108" s="168">
        <f>'BTX Recycling LC'!AA339/('BTX Recycling LC'!AA$319)</f>
        <v>1.8089739581230821E-2</v>
      </c>
      <c r="BI108" s="168">
        <f>'BTX Recycling LC'!AB339/('BTX Recycling LC'!AB$319)</f>
        <v>1.6121701294690326E-2</v>
      </c>
      <c r="BJ108" s="168">
        <f>'BTX Recycling LC'!AC339/('BTX Recycling LC'!AC$319)</f>
        <v>1.4215925274508521E-2</v>
      </c>
      <c r="BK108" s="168">
        <f>'BTX Recycling LC'!AD339/('BTX Recycling LC'!AD$319)</f>
        <v>1.2363759003625208E-2</v>
      </c>
      <c r="BL108" s="168">
        <f>'BTX Recycling LC'!AE339/('BTX Recycling LC'!AE$319)</f>
        <v>1.0561024071198922E-2</v>
      </c>
      <c r="BM108" s="168">
        <f>'BTX Recycling LC'!AF339/('BTX Recycling LC'!AF$319)</f>
        <v>8.802956563701711E-3</v>
      </c>
      <c r="BN108" s="168">
        <f>'BTX Recycling LC'!AG339/('BTX Recycling LC'!AG$319)</f>
        <v>7.0841405353760691E-3</v>
      </c>
      <c r="BP108" s="168">
        <f>'BTX Recycling HC'!C315/('BTX Recycling HC'!C$309)</f>
        <v>7.3050729916467855E-2</v>
      </c>
      <c r="BQ108" s="168">
        <f>'BTX Recycling HC'!D315/('BTX Recycling HC'!D$309)</f>
        <v>7.3255290383283822E-2</v>
      </c>
      <c r="BR108" s="168">
        <f>'BTX Recycling HC'!E315/('BTX Recycling HC'!E$309)</f>
        <v>7.3440618620333437E-2</v>
      </c>
      <c r="BS108" s="168">
        <f>'BTX Recycling HC'!F315/('BTX Recycling HC'!F$309)</f>
        <v>7.3607410165294831E-2</v>
      </c>
      <c r="BT108" s="168">
        <f>'BTX Recycling HC'!G315/('BTX Recycling HC'!G$309)</f>
        <v>7.3756207733903553E-2</v>
      </c>
      <c r="BU108" s="168">
        <f>'BTX Recycling HC'!H315/('BTX Recycling HC'!H$309)</f>
        <v>7.3887408572889113E-2</v>
      </c>
      <c r="BV108" s="168">
        <f>'BTX Recycling HC'!I315/('BTX Recycling HC'!I$309)</f>
        <v>7.4015475663912769E-2</v>
      </c>
      <c r="BW108" s="168">
        <f>'BTX Recycling HC'!J315/('BTX Recycling HC'!J$309)</f>
        <v>7.4140444055660989E-2</v>
      </c>
      <c r="BX108" s="168">
        <f>'BTX Recycling HC'!K315/('BTX Recycling HC'!K$309)</f>
        <v>7.4262344482502629E-2</v>
      </c>
      <c r="BY108" s="168">
        <f>'BTX Recycling HC'!L315/('BTX Recycling HC'!L$309)</f>
        <v>7.43812034263443E-2</v>
      </c>
      <c r="BZ108" s="168">
        <f>'BTX Recycling HC'!M315/('BTX Recycling HC'!M$309)</f>
        <v>7.4497043168757507E-2</v>
      </c>
      <c r="CA108" s="168">
        <f>'BTX Recycling HC'!N315/('BTX Recycling HC'!N$309)</f>
        <v>7.4600582527755727E-2</v>
      </c>
      <c r="CB108" s="168">
        <f>'BTX Recycling HC'!O315/('BTX Recycling HC'!O$309)</f>
        <v>7.469181624349111E-2</v>
      </c>
      <c r="CC108" s="168">
        <f>'BTX Recycling HC'!P315/('BTX Recycling HC'!P$309)</f>
        <v>7.4770668976194499E-2</v>
      </c>
      <c r="CD108" s="168">
        <f>'BTX Recycling HC'!Q315/('BTX Recycling HC'!Q$309)</f>
        <v>7.4836994347960581E-2</v>
      </c>
      <c r="CE108" s="168">
        <f>'BTX Recycling HC'!R315/('BTX Recycling HC'!R$309)</f>
        <v>7.4890573300603974E-2</v>
      </c>
      <c r="CF108" s="168">
        <f>'BTX Recycling HC'!S315/('BTX Recycling HC'!S$309)</f>
        <v>7.4943105270776106E-2</v>
      </c>
      <c r="CG108" s="168">
        <f>'BTX Recycling HC'!T315/('BTX Recycling HC'!T$309)</f>
        <v>7.4994571905034377E-2</v>
      </c>
      <c r="CH108" s="168">
        <f>'BTX Recycling HC'!U315/('BTX Recycling HC'!U$309)</f>
        <v>7.5044954359001034E-2</v>
      </c>
      <c r="CI108" s="168">
        <f>'BTX Recycling HC'!V315/('BTX Recycling HC'!V$309)</f>
        <v>7.5094233285087533E-2</v>
      </c>
      <c r="CJ108" s="168">
        <f>'BTX Recycling HC'!W315/('BTX Recycling HC'!W$309)</f>
        <v>7.5142388819840436E-2</v>
      </c>
      <c r="CK108" s="168">
        <f>'BTX Recycling HC'!X315/('BTX Recycling HC'!X$309)</f>
        <v>7.5189476686246495E-2</v>
      </c>
      <c r="CL108" s="168">
        <f>'BTX Recycling HC'!Y315/('BTX Recycling HC'!Y$309)</f>
        <v>7.5235477852550942E-2</v>
      </c>
      <c r="CM108" s="168">
        <f>'BTX Recycling HC'!Z315/('BTX Recycling HC'!Z$309)</f>
        <v>7.5280372810160992E-2</v>
      </c>
      <c r="CN108" s="168">
        <f>'BTX Recycling HC'!AA315/('BTX Recycling HC'!AA$309)</f>
        <v>7.5324141561865288E-2</v>
      </c>
      <c r="CO108" s="168">
        <f>'BTX Recycling HC'!AB315/('BTX Recycling HC'!AB$309)</f>
        <v>7.5366763609709009E-2</v>
      </c>
      <c r="CP108" s="168">
        <f>'BTX Recycling HC'!AC315/('BTX Recycling HC'!AC$309)</f>
        <v>7.5408285934683725E-2</v>
      </c>
      <c r="CQ108" s="168">
        <f>'BTX Recycling HC'!AD315/('BTX Recycling HC'!AD$309)</f>
        <v>7.5448688782533205E-2</v>
      </c>
      <c r="CR108" s="168">
        <f>'BTX Recycling HC'!AE315/('BTX Recycling HC'!AE$309)</f>
        <v>7.5487951929398736E-2</v>
      </c>
      <c r="CS108" s="168">
        <f>'BTX Recycling HC'!AF315/('BTX Recycling HC'!AF$309)</f>
        <v>7.5526054670406628E-2</v>
      </c>
      <c r="CT108" s="168">
        <f>'BTX Recycling HC'!AG315/('BTX Recycling HC'!AG$309)</f>
        <v>7.5562975807937111E-2</v>
      </c>
      <c r="CV108" s="168">
        <f t="shared" si="841"/>
        <v>7.3050729916467841E-2</v>
      </c>
      <c r="CW108" s="168">
        <f t="shared" si="811"/>
        <v>7.0776187093220352E-2</v>
      </c>
      <c r="CX108" s="168">
        <f t="shared" si="812"/>
        <v>6.8425956986844144E-2</v>
      </c>
      <c r="CY108" s="168">
        <f t="shared" si="813"/>
        <v>6.6086876769428607E-2</v>
      </c>
      <c r="CZ108" s="168">
        <f t="shared" si="814"/>
        <v>6.37654068222204E-2</v>
      </c>
      <c r="DA108" s="168">
        <f t="shared" si="815"/>
        <v>6.1460875212418692E-2</v>
      </c>
      <c r="DB108" s="168">
        <f t="shared" si="816"/>
        <v>5.9176690590184176E-2</v>
      </c>
      <c r="DC108" s="168">
        <f t="shared" si="817"/>
        <v>5.6911268991898273E-2</v>
      </c>
      <c r="DD108" s="168">
        <f t="shared" si="818"/>
        <v>5.4664211492568594E-2</v>
      </c>
      <c r="DE108" s="168">
        <f t="shared" si="819"/>
        <v>5.2435163527902756E-2</v>
      </c>
      <c r="DF108" s="168">
        <f t="shared" si="820"/>
        <v>5.0223849027394518E-2</v>
      </c>
      <c r="DG108" s="168">
        <f t="shared" si="821"/>
        <v>4.7914884746746315E-2</v>
      </c>
      <c r="DH108" s="168">
        <f t="shared" si="822"/>
        <v>4.5628213362586101E-2</v>
      </c>
      <c r="DI108" s="168">
        <f t="shared" si="823"/>
        <v>4.3408381417903416E-2</v>
      </c>
      <c r="DJ108" s="168">
        <f t="shared" si="824"/>
        <v>4.1228201168390266E-2</v>
      </c>
      <c r="DK108" s="168">
        <f t="shared" si="825"/>
        <v>3.9085041987486586E-2</v>
      </c>
      <c r="DL108" s="168">
        <f t="shared" si="826"/>
        <v>3.6970848088671862E-2</v>
      </c>
      <c r="DM108" s="168">
        <f t="shared" si="827"/>
        <v>3.4885424254068403E-2</v>
      </c>
      <c r="DN108" s="168">
        <f t="shared" si="828"/>
        <v>3.2824864997360988E-2</v>
      </c>
      <c r="DO108" s="168">
        <f t="shared" si="829"/>
        <v>3.0785243676550573E-2</v>
      </c>
      <c r="DP108" s="168">
        <f t="shared" si="830"/>
        <v>2.8762857867080389E-2</v>
      </c>
      <c r="DQ108" s="168">
        <f t="shared" si="831"/>
        <v>2.6693128775132191E-2</v>
      </c>
      <c r="DR108" s="168">
        <f t="shared" si="832"/>
        <v>2.4604877372456199E-2</v>
      </c>
      <c r="DS108" s="168">
        <f t="shared" si="833"/>
        <v>2.2551830228018752E-2</v>
      </c>
      <c r="DT108" s="168">
        <f t="shared" si="834"/>
        <v>2.0527266425569471E-2</v>
      </c>
      <c r="DU108" s="168">
        <f t="shared" si="835"/>
        <v>1.8522864475490616E-2</v>
      </c>
      <c r="DV108" s="168">
        <f t="shared" si="836"/>
        <v>1.65404117271803E-2</v>
      </c>
      <c r="DW108" s="168">
        <f t="shared" si="837"/>
        <v>1.4569124347421044E-2</v>
      </c>
      <c r="DX108" s="168">
        <f t="shared" si="838"/>
        <v>1.2603840202919535E-2</v>
      </c>
      <c r="DY108" s="168">
        <f t="shared" si="839"/>
        <v>1.0638844530804306E-2</v>
      </c>
      <c r="DZ108" s="168">
        <f t="shared" si="840"/>
        <v>8.6677697631076227E-3</v>
      </c>
    </row>
    <row r="109" spans="1:165" x14ac:dyDescent="0.2">
      <c r="A109" s="606" t="s">
        <v>452</v>
      </c>
      <c r="C109" s="54" t="s">
        <v>462</v>
      </c>
      <c r="D109" s="168">
        <f>'BTX Recycling HC'!C340/('BTX Recycling HC'!C$319)</f>
        <v>0.24654621346807901</v>
      </c>
      <c r="E109" s="168">
        <f>'BTX Recycling HC'!D340/('BTX Recycling HC'!D$319)</f>
        <v>0.24240408373447389</v>
      </c>
      <c r="F109" s="168">
        <f>'BTX Recycling HC'!E340/('BTX Recycling HC'!E$319)</f>
        <v>0.23795495581273984</v>
      </c>
      <c r="G109" s="168">
        <f>'BTX Recycling HC'!F340/('BTX Recycling HC'!F$319)</f>
        <v>0.23350664740717128</v>
      </c>
      <c r="H109" s="168">
        <f>'BTX Recycling HC'!G340/('BTX Recycling HC'!G$319)</f>
        <v>0.22907881813991954</v>
      </c>
      <c r="I109" s="168">
        <f>'BTX Recycling HC'!H340/('BTX Recycling HC'!H$319)</f>
        <v>0.22467116853061464</v>
      </c>
      <c r="J109" s="168">
        <f>'BTX Recycling HC'!I340/('BTX Recycling HC'!I$319)</f>
        <v>0.22012006186774141</v>
      </c>
      <c r="K109" s="168">
        <f>'BTX Recycling HC'!J340/('BTX Recycling HC'!J$319)</f>
        <v>0.21558852836403261</v>
      </c>
      <c r="L109" s="168">
        <f>'BTX Recycling HC'!K340/('BTX Recycling HC'!K$319)</f>
        <v>0.21107786761620884</v>
      </c>
      <c r="M109" s="168">
        <f>'BTX Recycling HC'!L340/('BTX Recycling HC'!L$319)</f>
        <v>0.206589441370683</v>
      </c>
      <c r="N109" s="168">
        <f>'BTX Recycling HC'!M340/('BTX Recycling HC'!M$319)</f>
        <v>0.20212467351291954</v>
      </c>
      <c r="O109" s="168">
        <f>'BTX Recycling HC'!N340/('BTX Recycling HC'!N$319)</f>
        <v>0.19671753187392244</v>
      </c>
      <c r="P109" s="168">
        <f>'BTX Recycling HC'!O340/('BTX Recycling HC'!O$319)</f>
        <v>0.19136752781609204</v>
      </c>
      <c r="Q109" s="168">
        <f>'BTX Recycling HC'!P340/('BTX Recycling HC'!P$319)</f>
        <v>0.18607502969228271</v>
      </c>
      <c r="R109" s="168">
        <f>'BTX Recycling HC'!Q340/('BTX Recycling HC'!Q$319)</f>
        <v>0.1808445169930763</v>
      </c>
      <c r="S109" s="168">
        <f>'BTX Recycling HC'!R340/('BTX Recycling HC'!R$319)</f>
        <v>0.17567866439501012</v>
      </c>
      <c r="T109" s="168">
        <f>'BTX Recycling HC'!S340/('BTX Recycling HC'!S$319)</f>
        <v>0.17062214695904948</v>
      </c>
      <c r="U109" s="168">
        <f>'BTX Recycling HC'!T340/('BTX Recycling HC'!T$319)</f>
        <v>0.16563337096243422</v>
      </c>
      <c r="V109" s="168">
        <f>'BTX Recycling HC'!U340/('BTX Recycling HC'!U$319)</f>
        <v>0.16071428209757241</v>
      </c>
      <c r="W109" s="168">
        <f>'BTX Recycling HC'!V340/('BTX Recycling HC'!V$319)</f>
        <v>0.15586697121905035</v>
      </c>
      <c r="X109" s="168">
        <f>'BTX Recycling HC'!W340/('BTX Recycling HC'!W$319)</f>
        <v>0.15109368375255969</v>
      </c>
      <c r="Y109" s="168">
        <f>'BTX Recycling HC'!X340/('BTX Recycling HC'!X$319)</f>
        <v>0.14515828793000587</v>
      </c>
      <c r="Z109" s="168">
        <f>'BTX Recycling HC'!Y340/('BTX Recycling HC'!Y$319)</f>
        <v>0.13934560324116954</v>
      </c>
      <c r="AA109" s="168">
        <f>'BTX Recycling HC'!Z340/('BTX Recycling HC'!Z$319)</f>
        <v>0.13365842270252012</v>
      </c>
      <c r="AB109" s="168">
        <f>'BTX Recycling HC'!AA340/('BTX Recycling HC'!AA$319)</f>
        <v>0.12810356434783113</v>
      </c>
      <c r="AC109" s="168">
        <f>'BTX Recycling HC'!AB340/('BTX Recycling HC'!AB$319)</f>
        <v>0.12268590713886472</v>
      </c>
      <c r="AD109" s="168">
        <f>'BTX Recycling HC'!AC340/('BTX Recycling HC'!AC$319)</f>
        <v>0.11740706521902319</v>
      </c>
      <c r="AE109" s="168">
        <f>'BTX Recycling HC'!AD340/('BTX Recycling HC'!AD$319)</f>
        <v>0.11228485651119843</v>
      </c>
      <c r="AF109" s="168">
        <f>'BTX Recycling HC'!AE340/('BTX Recycling HC'!AE$319)</f>
        <v>0.1073275526702135</v>
      </c>
      <c r="AG109" s="168">
        <f>'BTX Recycling HC'!AF340/('BTX Recycling HC'!AF$319)</f>
        <v>0.10254426832485965</v>
      </c>
      <c r="AH109" s="168">
        <f>'BTX Recycling HC'!AG340/('BTX Recycling HC'!AG$319)</f>
        <v>9.7945097203615272E-2</v>
      </c>
      <c r="AI109" s="44"/>
      <c r="AJ109" s="168">
        <f>'BTX Recycling LC'!C340/('BTX Recycling LC'!C$319)</f>
        <v>0.24654621346807901</v>
      </c>
      <c r="AK109" s="168">
        <f>'BTX Recycling LC'!D340/('BTX Recycling LC'!D$319)</f>
        <v>0.24242816611467938</v>
      </c>
      <c r="AL109" s="168">
        <f>'BTX Recycling LC'!E340/('BTX Recycling LC'!E$319)</f>
        <v>0.2380143969149813</v>
      </c>
      <c r="AM109" s="168">
        <f>'BTX Recycling LC'!F340/('BTX Recycling LC'!F$319)</f>
        <v>0.23359898716295543</v>
      </c>
      <c r="AN109" s="168">
        <f>'BTX Recycling LC'!G340/('BTX Recycling LC'!G$319)</f>
        <v>0.22920610909725928</v>
      </c>
      <c r="AO109" s="168">
        <f>'BTX Recycling LC'!H340/('BTX Recycling LC'!H$319)</f>
        <v>0.22483541444614744</v>
      </c>
      <c r="AP109" s="168">
        <f>'BTX Recycling LC'!I340/('BTX Recycling LC'!I$319)</f>
        <v>0.22045642551911357</v>
      </c>
      <c r="AQ109" s="168">
        <f>'BTX Recycling LC'!J340/('BTX Recycling LC'!J$319)</f>
        <v>0.21611023735844806</v>
      </c>
      <c r="AR109" s="168">
        <f>'BTX Recycling LC'!K340/('BTX Recycling LC'!K$319)</f>
        <v>0.21179811324837489</v>
      </c>
      <c r="AS109" s="168">
        <f>'BTX Recycling LC'!L340/('BTX Recycling LC'!L$319)</f>
        <v>0.20752134379069825</v>
      </c>
      <c r="AT109" s="168">
        <f>'BTX Recycling LC'!M340/('BTX Recycling LC'!M$319)</f>
        <v>0.20328124342486387</v>
      </c>
      <c r="AU109" s="168">
        <f>'BTX Recycling LC'!N340/('BTX Recycling LC'!N$319)</f>
        <v>0.1982152886271725</v>
      </c>
      <c r="AV109" s="168">
        <f>'BTX Recycling LC'!O340/('BTX Recycling LC'!O$319)</f>
        <v>0.19324092682485119</v>
      </c>
      <c r="AW109" s="168">
        <f>'BTX Recycling LC'!P340/('BTX Recycling LC'!P$319)</f>
        <v>0.18836271890616391</v>
      </c>
      <c r="AX109" s="168">
        <f>'BTX Recycling LC'!Q340/('BTX Recycling LC'!Q$319)</f>
        <v>0.18358133615076891</v>
      </c>
      <c r="AY109" s="168">
        <f>'BTX Recycling LC'!R340/('BTX Recycling LC'!R$319)</f>
        <v>0.17889922527104468</v>
      </c>
      <c r="AZ109" s="168">
        <f>'BTX Recycling LC'!S340/('BTX Recycling LC'!S$319)</f>
        <v>0.17430065320459576</v>
      </c>
      <c r="BA109" s="168">
        <f>'BTX Recycling LC'!T340/('BTX Recycling LC'!T$319)</f>
        <v>0.16979665268306798</v>
      </c>
      <c r="BB109" s="168">
        <f>'BTX Recycling LC'!U340/('BTX Recycling LC'!U$319)</f>
        <v>0.16538858239619192</v>
      </c>
      <c r="BC109" s="168">
        <f>'BTX Recycling LC'!V340/('BTX Recycling LC'!V$319)</f>
        <v>0.16107783562073044</v>
      </c>
      <c r="BD109" s="168">
        <f>'BTX Recycling LC'!W340/('BTX Recycling LC'!W$319)</f>
        <v>0.15686583467192436</v>
      </c>
      <c r="BE109" s="168">
        <f>'BTX Recycling LC'!X340/('BTX Recycling LC'!X$319)</f>
        <v>0.15168798911824252</v>
      </c>
      <c r="BF109" s="168">
        <f>'BTX Recycling LC'!Y340/('BTX Recycling LC'!Y$319)</f>
        <v>0.14667446611038029</v>
      </c>
      <c r="BG109" s="168">
        <f>'BTX Recycling LC'!Z340/('BTX Recycling LC'!Z$319)</f>
        <v>0.14184150776474783</v>
      </c>
      <c r="BH109" s="168">
        <f>'BTX Recycling LC'!AA340/('BTX Recycling LC'!AA$319)</f>
        <v>0.13718052515766718</v>
      </c>
      <c r="BI109" s="168">
        <f>'BTX Recycling LC'!AB340/('BTX Recycling LC'!AB$319)</f>
        <v>0.13269400296398973</v>
      </c>
      <c r="BJ109" s="168">
        <f>'BTX Recycling LC'!AC340/('BTX Recycling LC'!AC$319)</f>
        <v>0.12843353179038747</v>
      </c>
      <c r="BK109" s="168">
        <f>'BTX Recycling LC'!AD340/('BTX Recycling LC'!AD$319)</f>
        <v>0.12436486997764194</v>
      </c>
      <c r="BL109" s="168">
        <f>'BTX Recycling LC'!AE340/('BTX Recycling LC'!AE$319)</f>
        <v>0.1204916837214061</v>
      </c>
      <c r="BM109" s="168">
        <f>'BTX Recycling LC'!AF340/('BTX Recycling LC'!AF$319)</f>
        <v>0.1168176127777716</v>
      </c>
      <c r="BN109" s="168">
        <f>'BTX Recycling LC'!AG340/('BTX Recycling LC'!AG$319)</f>
        <v>0.1133462485660171</v>
      </c>
      <c r="BP109" s="168">
        <f>'BTX Recycling HC'!C316/('BTX Recycling HC'!C$309)</f>
        <v>0.24654621346807901</v>
      </c>
      <c r="BQ109" s="168">
        <f>'BTX Recycling HC'!D316/('BTX Recycling HC'!D$309)</f>
        <v>0.2497935286727539</v>
      </c>
      <c r="BR109" s="168">
        <f>'BTX Recycling HC'!E316/('BTX Recycling HC'!E$309)</f>
        <v>0.25298248010196323</v>
      </c>
      <c r="BS109" s="168">
        <f>'BTX Recycling HC'!F316/('BTX Recycling HC'!F$309)</f>
        <v>0.25611345454773815</v>
      </c>
      <c r="BT109" s="168">
        <f>'BTX Recycling HC'!G316/('BTX Recycling HC'!G$309)</f>
        <v>0.25918640827220829</v>
      </c>
      <c r="BU109" s="168">
        <f>'BTX Recycling HC'!H316/('BTX Recycling HC'!H$309)</f>
        <v>0.26220086603298531</v>
      </c>
      <c r="BV109" s="168">
        <f>'BTX Recycling HC'!I316/('BTX Recycling HC'!I$309)</f>
        <v>0.26520681602652607</v>
      </c>
      <c r="BW109" s="168">
        <f>'BTX Recycling HC'!J316/('BTX Recycling HC'!J$309)</f>
        <v>0.26820405164786393</v>
      </c>
      <c r="BX109" s="168">
        <f>'BTX Recycling HC'!K316/('BTX Recycling HC'!K$309)</f>
        <v>0.27119235699633371</v>
      </c>
      <c r="BY109" s="168">
        <f>'BTX Recycling HC'!L316/('BTX Recycling HC'!L$309)</f>
        <v>0.27417150632553594</v>
      </c>
      <c r="BZ109" s="168">
        <f>'BTX Recycling HC'!M316/('BTX Recycling HC'!M$309)</f>
        <v>0.27714126347554213</v>
      </c>
      <c r="CA109" s="168">
        <f>'BTX Recycling HC'!N316/('BTX Recycling HC'!N$309)</f>
        <v>0.28006646971168114</v>
      </c>
      <c r="CB109" s="168">
        <f>'BTX Recycling HC'!O316/('BTX Recycling HC'!O$309)</f>
        <v>0.28294584576967791</v>
      </c>
      <c r="CC109" s="168">
        <f>'BTX Recycling HC'!P316/('BTX Recycling HC'!P$309)</f>
        <v>0.28577785001889483</v>
      </c>
      <c r="CD109" s="168">
        <f>'BTX Recycling HC'!Q316/('BTX Recycling HC'!Q$309)</f>
        <v>0.28856066289123516</v>
      </c>
      <c r="CE109" s="168">
        <f>'BTX Recycling HC'!R316/('BTX Recycling HC'!R$309)</f>
        <v>0.29129216854345319</v>
      </c>
      <c r="CF109" s="168">
        <f>'BTX Recycling HC'!S316/('BTX Recycling HC'!S$309)</f>
        <v>0.29401698652799552</v>
      </c>
      <c r="CG109" s="168">
        <f>'BTX Recycling HC'!T316/('BTX Recycling HC'!T$309)</f>
        <v>0.29673494832110259</v>
      </c>
      <c r="CH109" s="168">
        <f>'BTX Recycling HC'!U316/('BTX Recycling HC'!U$309)</f>
        <v>0.29944588145205264</v>
      </c>
      <c r="CI109" s="168">
        <f>'BTX Recycling HC'!V316/('BTX Recycling HC'!V$309)</f>
        <v>0.30214960938395374</v>
      </c>
      <c r="CJ109" s="168">
        <f>'BTX Recycling HC'!W316/('BTX Recycling HC'!W$309)</f>
        <v>0.30484595139105958</v>
      </c>
      <c r="CK109" s="168">
        <f>'BTX Recycling HC'!X316/('BTX Recycling HC'!X$309)</f>
        <v>0.30753503375446456</v>
      </c>
      <c r="CL109" s="168">
        <f>'BTX Recycling HC'!Y316/('BTX Recycling HC'!Y$309)</f>
        <v>0.31021668240256972</v>
      </c>
      <c r="CM109" s="168">
        <f>'BTX Recycling HC'!Z316/('BTX Recycling HC'!Z$309)</f>
        <v>0.31289071922959533</v>
      </c>
      <c r="CN109" s="168">
        <f>'BTX Recycling HC'!AA316/('BTX Recycling HC'!AA$309)</f>
        <v>0.31555696198004674</v>
      </c>
      <c r="CO109" s="168">
        <f>'BTX Recycling HC'!AB316/('BTX Recycling HC'!AB$309)</f>
        <v>0.31821522412988196</v>
      </c>
      <c r="CP109" s="168">
        <f>'BTX Recycling HC'!AC316/('BTX Recycling HC'!AC$309)</f>
        <v>0.32086560407397247</v>
      </c>
      <c r="CQ109" s="168">
        <f>'BTX Recycling HC'!AD316/('BTX Recycling HC'!AD$309)</f>
        <v>0.32350792070479112</v>
      </c>
      <c r="CR109" s="168">
        <f>'BTX Recycling HC'!AE316/('BTX Recycling HC'!AE$309)</f>
        <v>0.32614198877065448</v>
      </c>
      <c r="CS109" s="168">
        <f>'BTX Recycling HC'!AF316/('BTX Recycling HC'!AF$309)</f>
        <v>0.32876761876229216</v>
      </c>
      <c r="CT109" s="168">
        <f>'BTX Recycling HC'!AG316/('BTX Recycling HC'!AG$309)</f>
        <v>0.33138461679625425</v>
      </c>
      <c r="CV109" s="168">
        <f t="shared" si="841"/>
        <v>0.24654621346807901</v>
      </c>
      <c r="CW109" s="168">
        <f t="shared" si="811"/>
        <v>0.24270460724241666</v>
      </c>
      <c r="CX109" s="168">
        <f t="shared" si="812"/>
        <v>0.2385825402904124</v>
      </c>
      <c r="CY109" s="168">
        <f t="shared" si="813"/>
        <v>0.23447261757920573</v>
      </c>
      <c r="CZ109" s="168">
        <f t="shared" si="814"/>
        <v>0.23039764917840033</v>
      </c>
      <c r="DA109" s="168">
        <f t="shared" si="815"/>
        <v>0.22635590627012761</v>
      </c>
      <c r="DB109" s="168">
        <f t="shared" si="816"/>
        <v>0.22236089797523773</v>
      </c>
      <c r="DC109" s="168">
        <f t="shared" si="817"/>
        <v>0.21840816843487681</v>
      </c>
      <c r="DD109" s="168">
        <f t="shared" si="818"/>
        <v>0.21449761248714433</v>
      </c>
      <c r="DE109" s="168">
        <f t="shared" si="819"/>
        <v>0.21062938569682993</v>
      </c>
      <c r="DF109" s="168">
        <f t="shared" si="820"/>
        <v>0.20680408423044813</v>
      </c>
      <c r="DG109" s="168">
        <f t="shared" si="821"/>
        <v>0.20253592386814873</v>
      </c>
      <c r="DH109" s="168">
        <f t="shared" si="822"/>
        <v>0.19830723499893207</v>
      </c>
      <c r="DI109" s="168">
        <f t="shared" si="823"/>
        <v>0.19431805641437319</v>
      </c>
      <c r="DJ109" s="168">
        <f t="shared" si="824"/>
        <v>0.19046267582016924</v>
      </c>
      <c r="DK109" s="168">
        <f t="shared" si="825"/>
        <v>0.18673964505132498</v>
      </c>
      <c r="DL109" s="168">
        <f t="shared" si="826"/>
        <v>0.18312123193920296</v>
      </c>
      <c r="DM109" s="168">
        <f t="shared" si="827"/>
        <v>0.17961668851474902</v>
      </c>
      <c r="DN109" s="168">
        <f t="shared" si="828"/>
        <v>0.17621769630162229</v>
      </c>
      <c r="DO109" s="168">
        <f t="shared" si="829"/>
        <v>0.17291524719258794</v>
      </c>
      <c r="DP109" s="168">
        <f t="shared" si="830"/>
        <v>0.16970086141577442</v>
      </c>
      <c r="DQ109" s="168">
        <f t="shared" si="831"/>
        <v>0.16618625334195214</v>
      </c>
      <c r="DR109" s="168">
        <f t="shared" si="832"/>
        <v>0.16250663194831547</v>
      </c>
      <c r="DS109" s="168">
        <f t="shared" si="833"/>
        <v>0.15900467641780325</v>
      </c>
      <c r="DT109" s="168">
        <f t="shared" si="834"/>
        <v>0.1556651037272353</v>
      </c>
      <c r="DU109" s="168">
        <f t="shared" si="835"/>
        <v>0.15245742299057674</v>
      </c>
      <c r="DV109" s="168">
        <f t="shared" si="836"/>
        <v>0.14943406456969804</v>
      </c>
      <c r="DW109" s="168">
        <f t="shared" si="837"/>
        <v>0.14654825078876479</v>
      </c>
      <c r="DX109" s="168">
        <f t="shared" si="838"/>
        <v>0.14379835867876403</v>
      </c>
      <c r="DY109" s="168">
        <f t="shared" si="839"/>
        <v>0.14118034228716014</v>
      </c>
      <c r="DZ109" s="168">
        <f t="shared" si="840"/>
        <v>0.13868431620972196</v>
      </c>
    </row>
    <row r="110" spans="1:165" x14ac:dyDescent="0.2">
      <c r="A110" s="606" t="s">
        <v>453</v>
      </c>
      <c r="C110" s="54" t="s">
        <v>462</v>
      </c>
      <c r="D110" s="168">
        <f>'BTX Recycling HC'!C341/('BTX Recycling HC'!C$319)</f>
        <v>6.3919388676909383E-2</v>
      </c>
      <c r="E110" s="168">
        <f>'BTX Recycling HC'!D341/('BTX Recycling HC'!D$319)</f>
        <v>6.3407326033172756E-2</v>
      </c>
      <c r="F110" s="168">
        <f>'BTX Recycling HC'!E341/('BTX Recycling HC'!E$319)</f>
        <v>6.2810445189149591E-2</v>
      </c>
      <c r="G110" s="168">
        <f>'BTX Recycling HC'!F341/('BTX Recycling HC'!F$319)</f>
        <v>6.2208334637431709E-2</v>
      </c>
      <c r="H110" s="168">
        <f>'BTX Recycling HC'!G341/('BTX Recycling HC'!G$319)</f>
        <v>6.160605292013499E-2</v>
      </c>
      <c r="I110" s="168">
        <f>'BTX Recycling HC'!H341/('BTX Recycling HC'!H$319)</f>
        <v>6.1003429865928445E-2</v>
      </c>
      <c r="J110" s="168">
        <f>'BTX Recycling HC'!I341/('BTX Recycling HC'!I$319)</f>
        <v>6.035550083470325E-2</v>
      </c>
      <c r="K110" s="168">
        <f>'BTX Recycling HC'!J341/('BTX Recycling HC'!J$319)</f>
        <v>5.9705963516914866E-2</v>
      </c>
      <c r="L110" s="168">
        <f>'BTX Recycling HC'!K341/('BTX Recycling HC'!K$319)</f>
        <v>5.9055026673786919E-2</v>
      </c>
      <c r="M110" s="168">
        <f>'BTX Recycling HC'!L341/('BTX Recycling HC'!L$319)</f>
        <v>5.84029222440327E-2</v>
      </c>
      <c r="N110" s="168">
        <f>'BTX Recycling HC'!M341/('BTX Recycling HC'!M$319)</f>
        <v>5.774990671797698E-2</v>
      </c>
      <c r="O110" s="168">
        <f>'BTX Recycling HC'!N341/('BTX Recycling HC'!N$319)</f>
        <v>5.6816819801031246E-2</v>
      </c>
      <c r="P110" s="168">
        <f>'BTX Recycling HC'!O341/('BTX Recycling HC'!O$319)</f>
        <v>5.5886092194079938E-2</v>
      </c>
      <c r="Q110" s="168">
        <f>'BTX Recycling HC'!P341/('BTX Recycling HC'!P$319)</f>
        <v>5.4957692427855566E-2</v>
      </c>
      <c r="R110" s="168">
        <f>'BTX Recycling HC'!Q341/('BTX Recycling HC'!Q$319)</f>
        <v>5.4032813004028839E-2</v>
      </c>
      <c r="S110" s="168">
        <f>'BTX Recycling HC'!R341/('BTX Recycling HC'!R$319)</f>
        <v>5.311215435197976E-2</v>
      </c>
      <c r="T110" s="168">
        <f>'BTX Recycling HC'!S341/('BTX Recycling HC'!S$319)</f>
        <v>5.2209300489046637E-2</v>
      </c>
      <c r="U110" s="168">
        <f>'BTX Recycling HC'!T341/('BTX Recycling HC'!T$319)</f>
        <v>5.1311782657704287E-2</v>
      </c>
      <c r="V110" s="168">
        <f>'BTX Recycling HC'!U341/('BTX Recycling HC'!U$319)</f>
        <v>5.0420166932571696E-2</v>
      </c>
      <c r="W110" s="168">
        <f>'BTX Recycling HC'!V341/('BTX Recycling HC'!V$319)</f>
        <v>4.9535094014706474E-2</v>
      </c>
      <c r="X110" s="168">
        <f>'BTX Recycling HC'!W341/('BTX Recycling HC'!W$319)</f>
        <v>4.8657287988112391E-2</v>
      </c>
      <c r="Y110" s="168">
        <f>'BTX Recycling HC'!X341/('BTX Recycling HC'!X$319)</f>
        <v>4.7383275334665083E-2</v>
      </c>
      <c r="Z110" s="168">
        <f>'BTX Recycling HC'!Y341/('BTX Recycling HC'!Y$319)</f>
        <v>4.6121432058696912E-2</v>
      </c>
      <c r="AA110" s="168">
        <f>'BTX Recycling HC'!Z341/('BTX Recycling HC'!Z$319)</f>
        <v>4.4872755916285881E-2</v>
      </c>
      <c r="AB110" s="168">
        <f>'BTX Recycling HC'!AA341/('BTX Recycling HC'!AA$319)</f>
        <v>4.3639675766843536E-2</v>
      </c>
      <c r="AC110" s="168">
        <f>'BTX Recycling HC'!AB341/('BTX Recycling HC'!AB$319)</f>
        <v>4.2424098730261602E-2</v>
      </c>
      <c r="AD110" s="168">
        <f>'BTX Recycling HC'!AC341/('BTX Recycling HC'!AC$319)</f>
        <v>4.1226908397519572E-2</v>
      </c>
      <c r="AE110" s="168">
        <f>'BTX Recycling HC'!AD341/('BTX Recycling HC'!AD$319)</f>
        <v>4.0054831854871936E-2</v>
      </c>
      <c r="AF110" s="168">
        <f>'BTX Recycling HC'!AE341/('BTX Recycling HC'!AE$319)</f>
        <v>3.8911582840595316E-2</v>
      </c>
      <c r="AG110" s="168">
        <f>'BTX Recycling HC'!AF341/('BTX Recycling HC'!AF$319)</f>
        <v>3.7801451256210983E-2</v>
      </c>
      <c r="AH110" s="168">
        <f>'BTX Recycling HC'!AG341/('BTX Recycling HC'!AG$319)</f>
        <v>3.6729411451355727E-2</v>
      </c>
      <c r="AI110" s="44"/>
      <c r="AJ110" s="168">
        <f>'BTX Recycling LC'!C341/('BTX Recycling LC'!C$319)</f>
        <v>6.3919388676909383E-2</v>
      </c>
      <c r="AK110" s="168">
        <f>'BTX Recycling LC'!D341/('BTX Recycling LC'!D$319)</f>
        <v>6.3413625429246528E-2</v>
      </c>
      <c r="AL110" s="168">
        <f>'BTX Recycling LC'!E341/('BTX Recycling LC'!E$319)</f>
        <v>6.2826135226289465E-2</v>
      </c>
      <c r="AM110" s="168">
        <f>'BTX Recycling LC'!F341/('BTX Recycling LC'!F$319)</f>
        <v>6.2232934804030575E-2</v>
      </c>
      <c r="AN110" s="168">
        <f>'BTX Recycling LC'!G341/('BTX Recycling LC'!G$319)</f>
        <v>6.1640285214145413E-2</v>
      </c>
      <c r="AO110" s="168">
        <f>'BTX Recycling LC'!H341/('BTX Recycling LC'!H$319)</f>
        <v>6.1048026439020131E-2</v>
      </c>
      <c r="AP110" s="168">
        <f>'BTX Recycling LC'!I341/('BTX Recycling LC'!I$319)</f>
        <v>6.0447729577821421E-2</v>
      </c>
      <c r="AQ110" s="168">
        <f>'BTX Recycling LC'!J341/('BTX Recycling LC'!J$319)</f>
        <v>5.9850447726827995E-2</v>
      </c>
      <c r="AR110" s="168">
        <f>'BTX Recycling LC'!K341/('BTX Recycling LC'!K$319)</f>
        <v>5.9256535839572987E-2</v>
      </c>
      <c r="AS110" s="168">
        <f>'BTX Recycling LC'!L341/('BTX Recycling LC'!L$319)</f>
        <v>5.8666371451378797E-2</v>
      </c>
      <c r="AT110" s="168">
        <f>'BTX Recycling LC'!M341/('BTX Recycling LC'!M$319)</f>
        <v>5.8080355264246784E-2</v>
      </c>
      <c r="AU110" s="168">
        <f>'BTX Recycling LC'!N341/('BTX Recycling LC'!N$319)</f>
        <v>5.7249408471418427E-2</v>
      </c>
      <c r="AV110" s="168">
        <f>'BTX Recycling LC'!O341/('BTX Recycling LC'!O$319)</f>
        <v>5.6433191019646757E-2</v>
      </c>
      <c r="AW110" s="168">
        <f>'BTX Recycling LC'!P341/('BTX Recycling LC'!P$319)</f>
        <v>5.5633366753394677E-2</v>
      </c>
      <c r="AX110" s="168">
        <f>'BTX Recycling LC'!Q341/('BTX Recycling LC'!Q$319)</f>
        <v>5.4850521166997991E-2</v>
      </c>
      <c r="AY110" s="168">
        <f>'BTX Recycling LC'!R341/('BTX Recycling LC'!R$319)</f>
        <v>5.4085812291246017E-2</v>
      </c>
      <c r="AZ110" s="168">
        <f>'BTX Recycling LC'!S341/('BTX Recycling LC'!S$319)</f>
        <v>5.3334900191942501E-2</v>
      </c>
      <c r="BA110" s="168">
        <f>'BTX Recycling LC'!T341/('BTX Recycling LC'!T$319)</f>
        <v>5.2601531248526623E-2</v>
      </c>
      <c r="BB110" s="168">
        <f>'BTX Recycling LC'!U341/('BTX Recycling LC'!U$319)</f>
        <v>5.1886614085079767E-2</v>
      </c>
      <c r="BC110" s="168">
        <f>'BTX Recycling LC'!V341/('BTX Recycling LC'!V$319)</f>
        <v>5.1191125796272025E-2</v>
      </c>
      <c r="BD110" s="168">
        <f>'BTX Recycling LC'!W341/('BTX Recycling LC'!W$319)</f>
        <v>5.0516116250280678E-2</v>
      </c>
      <c r="BE110" s="168">
        <f>'BTX Recycling LC'!X341/('BTX Recycling LC'!X$319)</f>
        <v>4.9514732199219015E-2</v>
      </c>
      <c r="BF110" s="168">
        <f>'BTX Recycling LC'!Y341/('BTX Recycling LC'!Y$319)</f>
        <v>4.8547182444984981E-2</v>
      </c>
      <c r="BG110" s="168">
        <f>'BTX Recycling LC'!Z341/('BTX Recycling LC'!Z$319)</f>
        <v>4.76200394111451E-2</v>
      </c>
      <c r="BH110" s="168">
        <f>'BTX Recycling LC'!AA341/('BTX Recycling LC'!AA$319)</f>
        <v>4.673182725151296E-2</v>
      </c>
      <c r="BI110" s="168">
        <f>'BTX Recycling LC'!AB341/('BTX Recycling LC'!AB$319)</f>
        <v>4.5884842146426331E-2</v>
      </c>
      <c r="BJ110" s="168">
        <f>'BTX Recycling LC'!AC341/('BTX Recycling LC'!AC$319)</f>
        <v>4.509879742257878E-2</v>
      </c>
      <c r="BK110" s="168">
        <f>'BTX Recycling LC'!AD341/('BTX Recycling LC'!AD$319)</f>
        <v>4.4364076424772844E-2</v>
      </c>
      <c r="BL110" s="168">
        <f>'BTX Recycling LC'!AE341/('BTX Recycling LC'!AE$319)</f>
        <v>4.3684235930868329E-2</v>
      </c>
      <c r="BM110" s="168">
        <f>'BTX Recycling LC'!AF341/('BTX Recycling LC'!AF$319)</f>
        <v>4.3063111838648992E-2</v>
      </c>
      <c r="BN110" s="168">
        <f>'BTX Recycling LC'!AG341/('BTX Recycling LC'!AG$319)</f>
        <v>4.2504843212256414E-2</v>
      </c>
      <c r="BP110" s="168">
        <f>'BTX Recycling HC'!C317/('BTX Recycling HC'!C$309)</f>
        <v>6.3919388676909383E-2</v>
      </c>
      <c r="BQ110" s="168">
        <f>'BTX Recycling HC'!D317/('BTX Recycling HC'!D$309)</f>
        <v>6.5176783537020735E-2</v>
      </c>
      <c r="BR110" s="168">
        <f>'BTX Recycling HC'!E317/('BTX Recycling HC'!E$309)</f>
        <v>6.642011060592086E-2</v>
      </c>
      <c r="BS110" s="168">
        <f>'BTX Recycling HC'!F317/('BTX Recycling HC'!F$309)</f>
        <v>6.7649151559137713E-2</v>
      </c>
      <c r="BT110" s="168">
        <f>'BTX Recycling HC'!G317/('BTX Recycling HC'!G$309)</f>
        <v>6.8863590305452235E-2</v>
      </c>
      <c r="BU110" s="168">
        <f>'BTX Recycling HC'!H317/('BTX Recycling HC'!H$309)</f>
        <v>7.0063008543236452E-2</v>
      </c>
      <c r="BV110" s="168">
        <f>'BTX Recycling HC'!I317/('BTX Recycling HC'!I$309)</f>
        <v>7.1260557214883738E-2</v>
      </c>
      <c r="BW110" s="168">
        <f>'BTX Recycling HC'!J317/('BTX Recycling HC'!J$309)</f>
        <v>7.2456129961046625E-2</v>
      </c>
      <c r="BX110" s="168">
        <f>'BTX Recycling HC'!K317/('BTX Recycling HC'!K$309)</f>
        <v>7.3649618867960509E-2</v>
      </c>
      <c r="BY110" s="168">
        <f>'BTX Recycling HC'!L317/('BTX Recycling HC'!L$309)</f>
        <v>7.4840914201538003E-2</v>
      </c>
      <c r="BZ110" s="168">
        <f>'BTX Recycling HC'!M317/('BTX Recycling HC'!M$309)</f>
        <v>7.6029904139308047E-2</v>
      </c>
      <c r="CA110" s="168">
        <f>'BTX Recycling HC'!N317/('BTX Recycling HC'!N$309)</f>
        <v>7.7206850310270789E-2</v>
      </c>
      <c r="CB110" s="168">
        <f>'BTX Recycling HC'!O317/('BTX Recycling HC'!O$309)</f>
        <v>7.8371216058441384E-2</v>
      </c>
      <c r="CC110" s="168">
        <f>'BTX Recycling HC'!P317/('BTX Recycling HC'!P$309)</f>
        <v>7.9522392506866921E-2</v>
      </c>
      <c r="CD110" s="168">
        <f>'BTX Recycling HC'!Q317/('BTX Recycling HC'!Q$309)</f>
        <v>8.0659692515901785E-2</v>
      </c>
      <c r="CE110" s="168">
        <f>'BTX Recycling HC'!R317/('BTX Recycling HC'!R$309)</f>
        <v>8.1782343849739259E-2</v>
      </c>
      <c r="CF110" s="168">
        <f>'BTX Recycling HC'!S317/('BTX Recycling HC'!S$309)</f>
        <v>8.2902748804436918E-2</v>
      </c>
      <c r="CG110" s="168">
        <f>'BTX Recycling HC'!T317/('BTX Recycling HC'!T$309)</f>
        <v>8.4020846369328536E-2</v>
      </c>
      <c r="CH110" s="168">
        <f>'BTX Recycling HC'!U317/('BTX Recycling HC'!U$309)</f>
        <v>8.5136574138328744E-2</v>
      </c>
      <c r="CI110" s="168">
        <f>'BTX Recycling HC'!V317/('BTX Recycling HC'!V$309)</f>
        <v>8.6249868266388641E-2</v>
      </c>
      <c r="CJ110" s="168">
        <f>'BTX Recycling HC'!W317/('BTX Recycling HC'!W$309)</f>
        <v>8.7360663424692467E-2</v>
      </c>
      <c r="CK110" s="168">
        <f>'BTX Recycling HC'!X317/('BTX Recycling HC'!X$309)</f>
        <v>8.8468982312928213E-2</v>
      </c>
      <c r="CL110" s="168">
        <f>'BTX Recycling HC'!Y317/('BTX Recycling HC'!Y$309)</f>
        <v>8.9574761952590981E-2</v>
      </c>
      <c r="CM110" s="168">
        <f>'BTX Recycling HC'!Z317/('BTX Recycling HC'!Z$309)</f>
        <v>9.0677937925240412E-2</v>
      </c>
      <c r="CN110" s="168">
        <f>'BTX Recycling HC'!AA317/('BTX Recycling HC'!AA$309)</f>
        <v>9.1778444330233841E-2</v>
      </c>
      <c r="CO110" s="168">
        <f>'BTX Recycling HC'!AB317/('BTX Recycling HC'!AB$309)</f>
        <v>9.2876213741257471E-2</v>
      </c>
      <c r="CP110" s="168">
        <f>'BTX Recycling HC'!AC317/('BTX Recycling HC'!AC$309)</f>
        <v>9.3971261891163477E-2</v>
      </c>
      <c r="CQ110" s="168">
        <f>'BTX Recycling HC'!AD317/('BTX Recycling HC'!AD$309)</f>
        <v>9.5063523230229166E-2</v>
      </c>
      <c r="CR110" s="168">
        <f>'BTX Recycling HC'!AE317/('BTX Recycling HC'!AE$309)</f>
        <v>9.6152930718444982E-2</v>
      </c>
      <c r="CS110" s="168">
        <f>'BTX Recycling HC'!AF317/('BTX Recycling HC'!AF$309)</f>
        <v>9.7239415783933164E-2</v>
      </c>
      <c r="CT110" s="168">
        <f>'BTX Recycling HC'!AG317/('BTX Recycling HC'!AG$309)</f>
        <v>9.832290828020733E-2</v>
      </c>
      <c r="CV110" s="168">
        <f t="shared" si="841"/>
        <v>6.3919388676909383E-2</v>
      </c>
      <c r="CW110" s="168">
        <f t="shared" si="811"/>
        <v>6.3485936062159035E-2</v>
      </c>
      <c r="CX110" s="168">
        <f t="shared" si="812"/>
        <v>6.2976102005591061E-2</v>
      </c>
      <c r="CY110" s="168">
        <f t="shared" si="813"/>
        <v>6.2465678042336638E-2</v>
      </c>
      <c r="CZ110" s="168">
        <f t="shared" si="814"/>
        <v>6.1960725497063239E-2</v>
      </c>
      <c r="DA110" s="168">
        <f t="shared" si="815"/>
        <v>6.146087521241872E-2</v>
      </c>
      <c r="DB110" s="168">
        <f t="shared" si="816"/>
        <v>6.0969923638371594E-2</v>
      </c>
      <c r="DC110" s="168">
        <f t="shared" si="817"/>
        <v>6.0486846101336915E-2</v>
      </c>
      <c r="DD110" s="168">
        <f t="shared" si="818"/>
        <v>6.0011797399450319E-2</v>
      </c>
      <c r="DE110" s="168">
        <f t="shared" si="819"/>
        <v>5.9545016209652309E-2</v>
      </c>
      <c r="DF110" s="168">
        <f t="shared" si="820"/>
        <v>5.908688120869944E-2</v>
      </c>
      <c r="DG110" s="168">
        <f t="shared" si="821"/>
        <v>5.849731327977005E-2</v>
      </c>
      <c r="DH110" s="168">
        <f t="shared" si="822"/>
        <v>5.7912732344820819E-2</v>
      </c>
      <c r="DI110" s="168">
        <f t="shared" si="823"/>
        <v>5.7392289525684377E-2</v>
      </c>
      <c r="DJ110" s="168">
        <f t="shared" si="824"/>
        <v>5.6906531190172485E-2</v>
      </c>
      <c r="DK110" s="168">
        <f t="shared" si="825"/>
        <v>5.6456171759702842E-2</v>
      </c>
      <c r="DL110" s="168">
        <f t="shared" si="826"/>
        <v>5.6033941634393285E-2</v>
      </c>
      <c r="DM110" s="168">
        <f t="shared" si="827"/>
        <v>5.5643693231695858E-2</v>
      </c>
      <c r="DN110" s="168">
        <f t="shared" si="828"/>
        <v>5.5283983153450081E-2</v>
      </c>
      <c r="DO110" s="168">
        <f t="shared" si="829"/>
        <v>5.4953098525431399E-2</v>
      </c>
      <c r="DP110" s="168">
        <f t="shared" si="830"/>
        <v>5.4649429947452727E-2</v>
      </c>
      <c r="DQ110" s="168">
        <f t="shared" si="831"/>
        <v>5.4247326220429923E-2</v>
      </c>
      <c r="DR110" s="168">
        <f t="shared" si="832"/>
        <v>5.378740634909028E-2</v>
      </c>
      <c r="DS110" s="168">
        <f t="shared" si="833"/>
        <v>5.3382180413158307E-2</v>
      </c>
      <c r="DT110" s="168">
        <f t="shared" si="834"/>
        <v>5.3028771599387813E-2</v>
      </c>
      <c r="DU110" s="168">
        <f t="shared" si="835"/>
        <v>5.2718921968704084E-2</v>
      </c>
      <c r="DV110" s="168">
        <f t="shared" si="836"/>
        <v>5.247303030691685E-2</v>
      </c>
      <c r="DW110" s="168">
        <f t="shared" si="837"/>
        <v>5.2277446187804971E-2</v>
      </c>
      <c r="DX110" s="168">
        <f t="shared" si="838"/>
        <v>5.2134066293894513E-2</v>
      </c>
      <c r="DY110" s="168">
        <f t="shared" si="839"/>
        <v>5.2044077299340089E-2</v>
      </c>
      <c r="DZ110" s="168">
        <f t="shared" si="840"/>
        <v>5.2006618578645733E-2</v>
      </c>
    </row>
    <row r="111" spans="1:165" ht="16" thickBot="1" x14ac:dyDescent="0.25">
      <c r="A111" s="606" t="s">
        <v>454</v>
      </c>
      <c r="C111" s="54" t="s">
        <v>462</v>
      </c>
      <c r="D111" s="168">
        <f>'BTX Recycling HC'!C342/('BTX Recycling HC'!C$319)</f>
        <v>4.5656706197792413E-2</v>
      </c>
      <c r="E111" s="168">
        <f>'BTX Recycling HC'!D342/('BTX Recycling HC'!D$319)</f>
        <v>4.4900881592868751E-2</v>
      </c>
      <c r="F111" s="168">
        <f>'BTX Recycling HC'!E342/('BTX Recycling HC'!E$319)</f>
        <v>4.4088100950076162E-2</v>
      </c>
      <c r="G111" s="168">
        <f>'BTX Recycling HC'!F342/('BTX Recycling HC'!F$319)</f>
        <v>4.3275363226039441E-2</v>
      </c>
      <c r="H111" s="168">
        <f>'BTX Recycling HC'!G342/('BTX Recycling HC'!G$319)</f>
        <v>4.2466308323588192E-2</v>
      </c>
      <c r="I111" s="168">
        <f>'BTX Recycling HC'!H342/('BTX Recycling HC'!H$319)</f>
        <v>4.1660878932829187E-2</v>
      </c>
      <c r="J111" s="168">
        <f>'BTX Recycling HC'!I342/('BTX Recycling HC'!I$319)</f>
        <v>4.0828721152887493E-2</v>
      </c>
      <c r="K111" s="168">
        <f>'BTX Recycling HC'!J342/('BTX Recycling HC'!J$319)</f>
        <v>4.0000054375864146E-2</v>
      </c>
      <c r="L111" s="168">
        <f>'BTX Recycling HC'!K342/('BTX Recycling HC'!K$319)</f>
        <v>3.9175116704393304E-2</v>
      </c>
      <c r="M111" s="168">
        <f>'BTX Recycling HC'!L342/('BTX Recycling HC'!L$319)</f>
        <v>3.8354157891603569E-2</v>
      </c>
      <c r="N111" s="168">
        <f>'BTX Recycling HC'!M342/('BTX Recycling HC'!M$319)</f>
        <v>3.7537439366685035E-2</v>
      </c>
      <c r="O111" s="168">
        <f>'BTX Recycling HC'!N342/('BTX Recycling HC'!N$319)</f>
        <v>3.6545492133326633E-2</v>
      </c>
      <c r="P111" s="168">
        <f>'BTX Recycling HC'!O342/('BTX Recycling HC'!O$319)</f>
        <v>3.5563876850778144E-2</v>
      </c>
      <c r="Q111" s="168">
        <f>'BTX Recycling HC'!P342/('BTX Recycling HC'!P$319)</f>
        <v>3.4592659193167972E-2</v>
      </c>
      <c r="R111" s="168">
        <f>'BTX Recycling HC'!Q342/('BTX Recycling HC'!Q$319)</f>
        <v>3.3632669318834282E-2</v>
      </c>
      <c r="S111" s="168">
        <f>'BTX Recycling HC'!R342/('BTX Recycling HC'!R$319)</f>
        <v>3.2684402678141392E-2</v>
      </c>
      <c r="T111" s="168">
        <f>'BTX Recycling HC'!S342/('BTX Recycling HC'!S$319)</f>
        <v>3.1756172462409811E-2</v>
      </c>
      <c r="U111" s="168">
        <f>'BTX Recycling HC'!T342/('BTX Recycling HC'!T$319)</f>
        <v>3.0840242426392214E-2</v>
      </c>
      <c r="V111" s="168">
        <f>'BTX Recycling HC'!U342/('BTX Recycling HC'!U$319)</f>
        <v>2.9936974116214439E-2</v>
      </c>
      <c r="W111" s="168">
        <f>'BTX Recycling HC'!V342/('BTX Recycling HC'!V$319)</f>
        <v>2.9046756699723165E-2</v>
      </c>
      <c r="X111" s="168">
        <f>'BTX Recycling HC'!W342/('BTX Recycling HC'!W$319)</f>
        <v>2.817000883522296E-2</v>
      </c>
      <c r="Y111" s="168">
        <f>'BTX Recycling HC'!X342/('BTX Recycling HC'!X$319)</f>
        <v>2.7076157334094332E-2</v>
      </c>
      <c r="Z111" s="168">
        <f>'BTX Recycling HC'!Y342/('BTX Recycling HC'!Y$319)</f>
        <v>2.6004637224584428E-2</v>
      </c>
      <c r="AA111" s="168">
        <f>'BTX Recycling HC'!Z342/('BTX Recycling HC'!Z$319)</f>
        <v>2.4955971204779308E-2</v>
      </c>
      <c r="AB111" s="168">
        <f>'BTX Recycling HC'!AA342/('BTX Recycling HC'!AA$319)</f>
        <v>2.3931435097946447E-2</v>
      </c>
      <c r="AC111" s="168">
        <f>'BTX Recycling HC'!AB342/('BTX Recycling HC'!AB$319)</f>
        <v>2.2931945259600857E-2</v>
      </c>
      <c r="AD111" s="168">
        <f>'BTX Recycling HC'!AC342/('BTX Recycling HC'!AC$319)</f>
        <v>2.1957809907374538E-2</v>
      </c>
      <c r="AE111" s="168">
        <f>'BTX Recycling HC'!AD342/('BTX Recycling HC'!AD$319)</f>
        <v>2.101237080911313E-2</v>
      </c>
      <c r="AF111" s="168">
        <f>'BTX Recycling HC'!AE342/('BTX Recycling HC'!AE$319)</f>
        <v>2.0097191137450308E-2</v>
      </c>
      <c r="AG111" s="168">
        <f>'BTX Recycling HC'!AF342/('BTX Recycling HC'!AF$319)</f>
        <v>1.9213997323598929E-2</v>
      </c>
      <c r="AH111" s="168">
        <f>'BTX Recycling HC'!AG342/('BTX Recycling HC'!AG$319)</f>
        <v>1.8364705725677864E-2</v>
      </c>
      <c r="AI111" s="44"/>
      <c r="AJ111" s="168">
        <f>'BTX Recycling LC'!C342/('BTX Recycling LC'!C$319)</f>
        <v>4.5656706197792413E-2</v>
      </c>
      <c r="AK111" s="168">
        <f>'BTX Recycling LC'!D342/('BTX Recycling LC'!D$319)</f>
        <v>4.4905342409227209E-2</v>
      </c>
      <c r="AL111" s="168">
        <f>'BTX Recycling LC'!E342/('BTX Recycling LC'!E$319)</f>
        <v>4.4099114149222421E-2</v>
      </c>
      <c r="AM111" s="168">
        <f>'BTX Recycling LC'!F342/('BTX Recycling LC'!F$319)</f>
        <v>4.3292476385412573E-2</v>
      </c>
      <c r="AN111" s="168">
        <f>'BTX Recycling LC'!G342/('BTX Recycling LC'!G$319)</f>
        <v>4.2489905341789556E-2</v>
      </c>
      <c r="AO111" s="168">
        <f>'BTX Recycling LC'!H342/('BTX Recycling LC'!H$319)</f>
        <v>4.1691335129086918E-2</v>
      </c>
      <c r="AP111" s="168">
        <f>'BTX Recycling LC'!I342/('BTX Recycling LC'!I$319)</f>
        <v>4.0891111184996845E-2</v>
      </c>
      <c r="AQ111" s="168">
        <f>'BTX Recycling LC'!J342/('BTX Recycling LC'!J$319)</f>
        <v>4.0096851679057181E-2</v>
      </c>
      <c r="AR111" s="168">
        <f>'BTX Recycling LC'!K342/('BTX Recycling LC'!K$319)</f>
        <v>3.9308791101498923E-2</v>
      </c>
      <c r="AS111" s="168">
        <f>'BTX Recycling LC'!L342/('BTX Recycling LC'!L$319)</f>
        <v>3.8527169311353235E-2</v>
      </c>
      <c r="AT111" s="168">
        <f>'BTX Recycling LC'!M342/('BTX Recycling LC'!M$319)</f>
        <v>3.7752230921760409E-2</v>
      </c>
      <c r="AU111" s="168">
        <f>'BTX Recycling LC'!N342/('BTX Recycling LC'!N$319)</f>
        <v>3.6823740122319391E-2</v>
      </c>
      <c r="AV111" s="168">
        <f>'BTX Recycling LC'!O342/('BTX Recycling LC'!O$319)</f>
        <v>3.5912030648866125E-2</v>
      </c>
      <c r="AW111" s="168">
        <f>'BTX Recycling LC'!P342/('BTX Recycling LC'!P$319)</f>
        <v>3.5017956738177369E-2</v>
      </c>
      <c r="AX111" s="168">
        <f>'BTX Recycling LC'!Q342/('BTX Recycling LC'!Q$319)</f>
        <v>3.4141650930478336E-2</v>
      </c>
      <c r="AY111" s="168">
        <f>'BTX Recycling LC'!R342/('BTX Recycling LC'!R$319)</f>
        <v>3.3283576794612933E-2</v>
      </c>
      <c r="AZ111" s="168">
        <f>'BTX Recycling LC'!S342/('BTX Recycling LC'!S$319)</f>
        <v>3.2440815580666055E-2</v>
      </c>
      <c r="BA111" s="168">
        <f>'BTX Recycling LC'!T342/('BTX Recycling LC'!T$319)</f>
        <v>3.1615428107922741E-2</v>
      </c>
      <c r="BB111" s="168">
        <f>'BTX Recycling LC'!U342/('BTX Recycling LC'!U$319)</f>
        <v>3.0807677113016109E-2</v>
      </c>
      <c r="BC111" s="168">
        <f>'BTX Recycling LC'!V342/('BTX Recycling LC'!V$319)</f>
        <v>3.001783292765689E-2</v>
      </c>
      <c r="BD111" s="168">
        <f>'BTX Recycling LC'!W342/('BTX Recycling LC'!W$319)</f>
        <v>2.9246172565951967E-2</v>
      </c>
      <c r="BE111" s="168">
        <f>'BTX Recycling LC'!X342/('BTX Recycling LC'!X$319)</f>
        <v>2.8294132685268002E-2</v>
      </c>
      <c r="BF111" s="168">
        <f>'BTX Recycling LC'!Y342/('BTX Recycling LC'!Y$319)</f>
        <v>2.7372347548768126E-2</v>
      </c>
      <c r="BG111" s="168">
        <f>'BTX Recycling LC'!Z342/('BTX Recycling LC'!Z$319)</f>
        <v>2.6483872185877482E-2</v>
      </c>
      <c r="BH111" s="168">
        <f>'BTX Recycling LC'!AA342/('BTX Recycling LC'!AA$319)</f>
        <v>2.562713107341032E-2</v>
      </c>
      <c r="BI111" s="168">
        <f>'BTX Recycling LC'!AB342/('BTX Recycling LC'!AB$319)</f>
        <v>2.4802617376446654E-2</v>
      </c>
      <c r="BJ111" s="168">
        <f>'BTX Recycling LC'!AC342/('BTX Recycling LC'!AC$319)</f>
        <v>2.4020011670721292E-2</v>
      </c>
      <c r="BK111" s="168">
        <f>'BTX Recycling LC'!AD342/('BTX Recycling LC'!AD$319)</f>
        <v>2.3272958124470979E-2</v>
      </c>
      <c r="BL111" s="168">
        <f>'BTX Recycling LC'!AE342/('BTX Recycling LC'!AE$319)</f>
        <v>2.2562187788470432E-2</v>
      </c>
      <c r="BM111" s="168">
        <f>'BTX Recycling LC'!AF342/('BTX Recycling LC'!AF$319)</f>
        <v>2.1888432536771838E-2</v>
      </c>
      <c r="BN111" s="168">
        <f>'BTX Recycling LC'!AG342/('BTX Recycling LC'!AG$319)</f>
        <v>2.1252421606128207E-2</v>
      </c>
      <c r="BP111" s="168">
        <f>'BTX Recycling HC'!C318/('BTX Recycling HC'!C$309)</f>
        <v>4.5656706197792413E-2</v>
      </c>
      <c r="BQ111" s="168">
        <f>'BTX Recycling HC'!D318/('BTX Recycling HC'!D$309)</f>
        <v>4.6398065735895958E-2</v>
      </c>
      <c r="BR111" s="168">
        <f>'BTX Recycling HC'!E318/('BTX Recycling HC'!E$309)</f>
        <v>4.7128975540230607E-2</v>
      </c>
      <c r="BS111" s="168">
        <f>'BTX Recycling HC'!F318/('BTX Recycling HC'!F$309)</f>
        <v>4.7849399883292537E-2</v>
      </c>
      <c r="BT111" s="168">
        <f>'BTX Recycling HC'!G318/('BTX Recycling HC'!G$309)</f>
        <v>4.8559227977379292E-2</v>
      </c>
      <c r="BU111" s="168">
        <f>'BTX Recycling HC'!H318/('BTX Recycling HC'!H$309)</f>
        <v>4.9258272381926087E-2</v>
      </c>
      <c r="BV111" s="168">
        <f>'BTX Recycling HC'!I318/('BTX Recycling HC'!I$309)</f>
        <v>4.995585454239275E-2</v>
      </c>
      <c r="BW111" s="168">
        <f>'BTX Recycling HC'!J318/('BTX Recycling HC'!J$309)</f>
        <v>5.0651918408948081E-2</v>
      </c>
      <c r="BX111" s="168">
        <f>'BTX Recycling HC'!K318/('BTX Recycling HC'!K$309)</f>
        <v>5.134640649862806E-2</v>
      </c>
      <c r="BY111" s="168">
        <f>'BTX Recycling HC'!L318/('BTX Recycling HC'!L$309)</f>
        <v>5.2039259751929391E-2</v>
      </c>
      <c r="BZ111" s="168">
        <f>'BTX Recycling HC'!M318/('BTX Recycling HC'!M$309)</f>
        <v>5.2730417386939475E-2</v>
      </c>
      <c r="CA111" s="168">
        <f>'BTX Recycling HC'!N318/('BTX Recycling HC'!N$309)</f>
        <v>5.3413158554603567E-2</v>
      </c>
      <c r="CB111" s="168">
        <f>'BTX Recycling HC'!O318/('BTX Recycling HC'!O$309)</f>
        <v>5.4087177279769437E-2</v>
      </c>
      <c r="CC111" s="168">
        <f>'BTX Recycling HC'!P318/('BTX Recycling HC'!P$309)</f>
        <v>5.4752117585684046E-2</v>
      </c>
      <c r="CD111" s="168">
        <f>'BTX Recycling HC'!Q318/('BTX Recycling HC'!Q$309)</f>
        <v>5.5407569934935605E-2</v>
      </c>
      <c r="CE111" s="168">
        <f>'BTX Recycling HC'!R318/('BTX Recycling HC'!R$309)</f>
        <v>5.6053067132967399E-2</v>
      </c>
      <c r="CF111" s="168">
        <f>'BTX Recycling HC'!S318/('BTX Recycling HC'!S$309)</f>
        <v>5.6697153170538139E-2</v>
      </c>
      <c r="CG111" s="168">
        <f>'BTX Recycling HC'!T318/('BTX Recycling HC'!T$309)</f>
        <v>5.7339791003686018E-2</v>
      </c>
      <c r="CH111" s="168">
        <f>'BTX Recycling HC'!U318/('BTX Recycling HC'!U$309)</f>
        <v>5.7980942732137726E-2</v>
      </c>
      <c r="CI111" s="168">
        <f>'BTX Recycling HC'!V318/('BTX Recycling HC'!V$309)</f>
        <v>5.8620569572974325E-2</v>
      </c>
      <c r="CJ111" s="168">
        <f>'BTX Recycling HC'!W318/('BTX Recycling HC'!W$309)</f>
        <v>5.9258631833532707E-2</v>
      </c>
      <c r="CK111" s="168">
        <f>'BTX Recycling HC'!X318/('BTX Recycling HC'!X$309)</f>
        <v>5.9895149516206114E-2</v>
      </c>
      <c r="CL111" s="168">
        <f>'BTX Recycling HC'!Y318/('BTX Recycling HC'!Y$309)</f>
        <v>6.0530084371233202E-2</v>
      </c>
      <c r="CM111" s="168">
        <f>'BTX Recycling HC'!Z318/('BTX Recycling HC'!Z$309)</f>
        <v>6.11633972690089E-2</v>
      </c>
      <c r="CN111" s="168">
        <f>'BTX Recycling HC'!AA318/('BTX Recycling HC'!AA$309)</f>
        <v>6.1795048174539971E-2</v>
      </c>
      <c r="CO111" s="168">
        <f>'BTX Recycling HC'!AB318/('BTX Recycling HC'!AB$309)</f>
        <v>6.2424996121173131E-2</v>
      </c>
      <c r="CP111" s="168">
        <f>'BTX Recycling HC'!AC318/('BTX Recycling HC'!AC$309)</f>
        <v>6.3053256035780741E-2</v>
      </c>
      <c r="CQ111" s="168">
        <f>'BTX Recycling HC'!AD318/('BTX Recycling HC'!AD$309)</f>
        <v>6.3679788113915572E-2</v>
      </c>
      <c r="CR111" s="168">
        <f>'BTX Recycling HC'!AE318/('BTX Recycling HC'!AE$309)</f>
        <v>6.4304551643561886E-2</v>
      </c>
      <c r="CS111" s="168">
        <f>'BTX Recycling HC'!AF318/('BTX Recycling HC'!AF$309)</f>
        <v>6.4927504980027903E-2</v>
      </c>
      <c r="CT111" s="168">
        <f>'BTX Recycling HC'!AG318/('BTX Recycling HC'!AG$309)</f>
        <v>6.5548605520138206E-2</v>
      </c>
      <c r="CV111" s="168">
        <f t="shared" si="841"/>
        <v>4.5656706197792413E-2</v>
      </c>
      <c r="CW111" s="168">
        <f t="shared" si="811"/>
        <v>4.4956548024878168E-2</v>
      </c>
      <c r="CX111" s="168">
        <f t="shared" si="812"/>
        <v>4.4204379292386048E-2</v>
      </c>
      <c r="CY111" s="168">
        <f t="shared" si="813"/>
        <v>4.3454384725103747E-2</v>
      </c>
      <c r="CZ111" s="168">
        <f t="shared" si="814"/>
        <v>4.2710791362053295E-2</v>
      </c>
      <c r="DA111" s="168">
        <f t="shared" si="815"/>
        <v>4.197328063287132E-2</v>
      </c>
      <c r="DB111" s="168">
        <f t="shared" si="816"/>
        <v>4.1244360108310195E-2</v>
      </c>
      <c r="DC111" s="168">
        <f t="shared" si="817"/>
        <v>4.0523207240304539E-2</v>
      </c>
      <c r="DD111" s="168">
        <f t="shared" si="818"/>
        <v>3.9809806195674972E-2</v>
      </c>
      <c r="DE111" s="168">
        <f t="shared" si="819"/>
        <v>3.910418974962241E-2</v>
      </c>
      <c r="DF111" s="168">
        <f t="shared" si="820"/>
        <v>3.8406472785654636E-2</v>
      </c>
      <c r="DG111" s="168">
        <f t="shared" si="821"/>
        <v>3.7626412561862138E-2</v>
      </c>
      <c r="DH111" s="168">
        <f t="shared" si="822"/>
        <v>3.6853556946704162E-2</v>
      </c>
      <c r="DI111" s="168">
        <f t="shared" si="823"/>
        <v>3.6125095945100834E-2</v>
      </c>
      <c r="DJ111" s="168">
        <f t="shared" si="824"/>
        <v>3.5421412271433882E-2</v>
      </c>
      <c r="DK111" s="168">
        <f t="shared" si="825"/>
        <v>3.4742259544432517E-2</v>
      </c>
      <c r="DL111" s="168">
        <f t="shared" si="826"/>
        <v>3.4082500581744363E-2</v>
      </c>
      <c r="DM111" s="168">
        <f t="shared" si="827"/>
        <v>3.3443877797288711E-2</v>
      </c>
      <c r="DN111" s="168">
        <f t="shared" si="828"/>
        <v>3.2824864997360981E-2</v>
      </c>
      <c r="DO111" s="168">
        <f t="shared" si="829"/>
        <v>3.2223806465174427E-2</v>
      </c>
      <c r="DP111" s="168">
        <f t="shared" si="830"/>
        <v>3.1639143653788414E-2</v>
      </c>
      <c r="DQ111" s="168">
        <f t="shared" si="831"/>
        <v>3.099847212595995E-2</v>
      </c>
      <c r="DR111" s="168">
        <f t="shared" si="832"/>
        <v>3.0326941877678561E-2</v>
      </c>
      <c r="DS111" s="168">
        <f t="shared" si="833"/>
        <v>2.9688485363467718E-2</v>
      </c>
      <c r="DT111" s="168">
        <f t="shared" si="834"/>
        <v>2.9080294102890075E-2</v>
      </c>
      <c r="DU111" s="168">
        <f t="shared" si="835"/>
        <v>2.849671457767787E-2</v>
      </c>
      <c r="DV111" s="168">
        <f t="shared" si="836"/>
        <v>2.7947592228683954E-2</v>
      </c>
      <c r="DW111" s="168">
        <f t="shared" si="837"/>
        <v>2.7424234065733733E-2</v>
      </c>
      <c r="DX111" s="168">
        <f t="shared" si="838"/>
        <v>2.692638588805538E-2</v>
      </c>
      <c r="DY111" s="168">
        <f t="shared" si="839"/>
        <v>2.6453343157675592E-2</v>
      </c>
      <c r="DZ111" s="168">
        <f t="shared" si="840"/>
        <v>2.6003309289322867E-2</v>
      </c>
    </row>
    <row r="112" spans="1:165" s="624" customFormat="1" ht="16" thickBot="1" x14ac:dyDescent="0.25">
      <c r="A112" s="623" t="s">
        <v>463</v>
      </c>
      <c r="C112" s="625" t="s">
        <v>413</v>
      </c>
      <c r="D112" s="627">
        <f>SUMPRODUCT(D93:D101,D103:D111)</f>
        <v>1.0242296100586308</v>
      </c>
      <c r="E112" s="627">
        <f t="shared" ref="E112" si="842">SUMPRODUCT(E93:E101,E103:E111)</f>
        <v>1.0237277765817441</v>
      </c>
      <c r="F112" s="627">
        <f t="shared" ref="F112" si="843">SUMPRODUCT(F93:F101,F103:F111)</f>
        <v>1.0225444228396721</v>
      </c>
      <c r="G112" s="627">
        <f t="shared" ref="G112" si="844">SUMPRODUCT(G93:G101,G103:G111)</f>
        <v>1.0213440038810027</v>
      </c>
      <c r="H112" s="627">
        <f t="shared" ref="H112" si="845">SUMPRODUCT(H93:H101,H103:H111)</f>
        <v>1.0201593843186192</v>
      </c>
      <c r="I112" s="627">
        <f t="shared" ref="I112" si="846">SUMPRODUCT(I93:I101,I103:I111)</f>
        <v>1.0189697602646643</v>
      </c>
      <c r="J112" s="627">
        <f t="shared" ref="J112" si="847">SUMPRODUCT(J93:J101,J103:J111)</f>
        <v>1.0172683591198863</v>
      </c>
      <c r="K112" s="627">
        <f t="shared" ref="K112" si="848">SUMPRODUCT(K93:K101,K103:K111)</f>
        <v>1.0154151316329694</v>
      </c>
      <c r="L112" s="627">
        <f t="shared" ref="L112" si="849">SUMPRODUCT(L93:L101,L103:L111)</f>
        <v>1.0132819154486064</v>
      </c>
      <c r="M112" s="627">
        <f t="shared" ref="M112" si="850">SUMPRODUCT(M93:M101,M103:M111)</f>
        <v>1.0106275286582349</v>
      </c>
      <c r="N112" s="627">
        <f t="shared" ref="N112" si="851">SUMPRODUCT(N93:N101,N103:N111)</f>
        <v>1.0070216258080982</v>
      </c>
      <c r="O112" s="627">
        <f t="shared" ref="O112" si="852">SUMPRODUCT(O93:O101,O103:O111)</f>
        <v>0.9982944407111829</v>
      </c>
      <c r="P112" s="627">
        <f t="shared" ref="P112" si="853">SUMPRODUCT(P93:P101,P103:P111)</f>
        <v>0.9866572519991974</v>
      </c>
      <c r="Q112" s="627">
        <f t="shared" ref="Q112" si="854">SUMPRODUCT(Q93:Q101,Q103:Q111)</f>
        <v>0.97073536938274185</v>
      </c>
      <c r="R112" s="627">
        <f t="shared" ref="R112" si="855">SUMPRODUCT(R93:R101,R103:R111)</f>
        <v>0.9491228766335158</v>
      </c>
      <c r="S112" s="627">
        <f t="shared" ref="S112" si="856">SUMPRODUCT(S93:S101,S103:S111)</f>
        <v>0.92082675913047074</v>
      </c>
      <c r="T112" s="627">
        <f t="shared" ref="T112" si="857">SUMPRODUCT(T93:T101,T103:T111)</f>
        <v>0.88593009955806035</v>
      </c>
      <c r="U112" s="627">
        <f t="shared" ref="U112" si="858">SUMPRODUCT(U93:U101,U103:U111)</f>
        <v>0.84528276259906643</v>
      </c>
      <c r="V112" s="627">
        <f t="shared" ref="V112" si="859">SUMPRODUCT(V93:V101,V103:V111)</f>
        <v>0.80075532983533559</v>
      </c>
      <c r="W112" s="627">
        <f t="shared" ref="W112" si="860">SUMPRODUCT(W93:W101,W103:W111)</f>
        <v>0.75448987811489521</v>
      </c>
      <c r="X112" s="627">
        <f t="shared" ref="X112" si="861">SUMPRODUCT(X93:X101,X103:X111)</f>
        <v>0.70833899915655496</v>
      </c>
      <c r="Y112" s="627">
        <f t="shared" ref="Y112" si="862">SUMPRODUCT(Y93:Y101,Y103:Y111)</f>
        <v>0.65878906108983493</v>
      </c>
      <c r="Z112" s="627">
        <f t="shared" ref="Z112" si="863">SUMPRODUCT(Z93:Z101,Z103:Z111)</f>
        <v>0.61160439087642859</v>
      </c>
      <c r="AA112" s="627">
        <f t="shared" ref="AA112" si="864">SUMPRODUCT(AA93:AA101,AA103:AA111)</f>
        <v>0.56695064019263397</v>
      </c>
      <c r="AB112" s="627">
        <f t="shared" ref="AB112" si="865">SUMPRODUCT(AB93:AB101,AB103:AB111)</f>
        <v>0.52511250927979436</v>
      </c>
      <c r="AC112" s="627">
        <f t="shared" ref="AC112" si="866">SUMPRODUCT(AC93:AC101,AC103:AC111)</f>
        <v>0.48541383578091302</v>
      </c>
      <c r="AD112" s="627">
        <f t="shared" ref="AD112" si="867">SUMPRODUCT(AD93:AD101,AD103:AD111)</f>
        <v>0.44730496132746411</v>
      </c>
      <c r="AE112" s="627">
        <f t="shared" ref="AE112" si="868">SUMPRODUCT(AE93:AE101,AE103:AE111)</f>
        <v>0.41047127630782132</v>
      </c>
      <c r="AF112" s="627">
        <f t="shared" ref="AF112" si="869">SUMPRODUCT(AF93:AF101,AF103:AF111)</f>
        <v>0.37459023747126968</v>
      </c>
      <c r="AG112" s="627">
        <f t="shared" ref="AG112" si="870">SUMPRODUCT(AG93:AG101,AG103:AG111)</f>
        <v>0.33936657158307454</v>
      </c>
      <c r="AH112" s="627">
        <f t="shared" ref="AH112" si="871">SUMPRODUCT(AH93:AH101,AH103:AH111)</f>
        <v>0.30454565356710495</v>
      </c>
      <c r="AI112" s="626"/>
      <c r="AJ112" s="627">
        <f>SUMPRODUCT(AJ93:AJ101,AJ103:AJ111)</f>
        <v>1.0242292391497747</v>
      </c>
      <c r="AK112" s="627">
        <f t="shared" ref="AK112" si="872">SUMPRODUCT(AK93:AK101,AK103:AK111)</f>
        <v>1.0237826206795462</v>
      </c>
      <c r="AL112" s="627">
        <f t="shared" ref="AL112" si="873">SUMPRODUCT(AL93:AL101,AL103:AL111)</f>
        <v>1.0226864113519196</v>
      </c>
      <c r="AM112" s="627">
        <f t="shared" ref="AM112" si="874">SUMPRODUCT(AM93:AM101,AM103:AM111)</f>
        <v>1.0215740154874196</v>
      </c>
      <c r="AN112" s="627">
        <f t="shared" ref="AN112" si="875">SUMPRODUCT(AN93:AN101,AN103:AN111)</f>
        <v>1.0204891147234365</v>
      </c>
      <c r="AO112" s="627">
        <f t="shared" ref="AO112" si="876">SUMPRODUCT(AO93:AO101,AO103:AO111)</f>
        <v>1.0194106504462714</v>
      </c>
      <c r="AP112" s="627">
        <f t="shared" ref="AP112" si="877">SUMPRODUCT(AP93:AP101,AP103:AP111)</f>
        <v>1.0182140898243131</v>
      </c>
      <c r="AQ112" s="627">
        <f t="shared" ref="AQ112" si="878">SUMPRODUCT(AQ93:AQ101,AQ103:AQ111)</f>
        <v>1.0169409642667553</v>
      </c>
      <c r="AR112" s="627">
        <f t="shared" ref="AR112" si="879">SUMPRODUCT(AR93:AR101,AR103:AR111)</f>
        <v>1.0154638421638924</v>
      </c>
      <c r="AS112" s="627">
        <f t="shared" ref="AS112" si="880">SUMPRODUCT(AS93:AS101,AS103:AS111)</f>
        <v>1.0135381712009424</v>
      </c>
      <c r="AT112" s="627">
        <f t="shared" ref="AT112" si="881">SUMPRODUCT(AT93:AT101,AT103:AT111)</f>
        <v>1.0107232144650364</v>
      </c>
      <c r="AU112" s="627">
        <f t="shared" ref="AU112" si="882">SUMPRODUCT(AU93:AU101,AU103:AU111)</f>
        <v>1.0032153474492875</v>
      </c>
      <c r="AV112" s="627">
        <f t="shared" ref="AV112" si="883">SUMPRODUCT(AV93:AV101,AV103:AV111)</f>
        <v>0.99293810179530229</v>
      </c>
      <c r="AW112" s="627">
        <f t="shared" ref="AW112" si="884">SUMPRODUCT(AW93:AW101,AW103:AW111)</f>
        <v>0.97851252619608275</v>
      </c>
      <c r="AX112" s="627">
        <f t="shared" ref="AX112" si="885">SUMPRODUCT(AX93:AX101,AX103:AX111)</f>
        <v>0.95848835517402042</v>
      </c>
      <c r="AY112" s="627">
        <f t="shared" ref="AY112" si="886">SUMPRODUCT(AY93:AY101,AY103:AY111)</f>
        <v>0.9318345373156558</v>
      </c>
      <c r="AZ112" s="627">
        <f t="shared" ref="AZ112" si="887">SUMPRODUCT(AZ93:AZ101,AZ103:AZ111)</f>
        <v>0.89835981798064268</v>
      </c>
      <c r="BA112" s="627">
        <f t="shared" ref="BA112" si="888">SUMPRODUCT(BA93:BA101,BA103:BA111)</f>
        <v>0.85911226606616475</v>
      </c>
      <c r="BB112" s="627">
        <f t="shared" ref="BB112" si="889">SUMPRODUCT(BB93:BB101,BB103:BB111)</f>
        <v>0.81598113878571255</v>
      </c>
      <c r="BC112" s="627">
        <f t="shared" ref="BC112" si="890">SUMPRODUCT(BC93:BC101,BC103:BC111)</f>
        <v>0.77115007105841804</v>
      </c>
      <c r="BD112" s="627">
        <f t="shared" ref="BD112" si="891">SUMPRODUCT(BD93:BD101,BD103:BD111)</f>
        <v>0.72651990237696196</v>
      </c>
      <c r="BE112" s="627">
        <f t="shared" ref="BE112" si="892">SUMPRODUCT(BE93:BE101,BE103:BE111)</f>
        <v>0.67944614589349173</v>
      </c>
      <c r="BF112" s="627">
        <f t="shared" ref="BF112" si="893">SUMPRODUCT(BF93:BF101,BF103:BF111)</f>
        <v>0.63491903139502892</v>
      </c>
      <c r="BG112" s="627">
        <f t="shared" ref="BG112" si="894">SUMPRODUCT(BG93:BG101,BG103:BG111)</f>
        <v>0.59313284692090795</v>
      </c>
      <c r="BH112" s="627">
        <f t="shared" ref="BH112" si="895">SUMPRODUCT(BH93:BH101,BH103:BH111)</f>
        <v>0.55387724936210936</v>
      </c>
      <c r="BI112" s="627">
        <f t="shared" ref="BI112" si="896">SUMPRODUCT(BI93:BI101,BI103:BI111)</f>
        <v>0.51682839996288688</v>
      </c>
      <c r="BJ112" s="627">
        <f t="shared" ref="BJ112" si="897">SUMPRODUCT(BJ93:BJ101,BJ103:BJ111)</f>
        <v>0.48177614988573764</v>
      </c>
      <c r="BK112" s="627">
        <f t="shared" ref="BK112" si="898">SUMPRODUCT(BK93:BK101,BK103:BK111)</f>
        <v>0.44821484244763327</v>
      </c>
      <c r="BL112" s="627">
        <f t="shared" ref="BL112" si="899">SUMPRODUCT(BL93:BL101,BL103:BL111)</f>
        <v>0.4157879472819917</v>
      </c>
      <c r="BM112" s="627">
        <f t="shared" ref="BM112" si="900">SUMPRODUCT(BM93:BM101,BM103:BM111)</f>
        <v>0.3841573695365596</v>
      </c>
      <c r="BN112" s="627">
        <f t="shared" ref="BN112" si="901">SUMPRODUCT(BN93:BN101,BN103:BN111)</f>
        <v>0.35300668663399271</v>
      </c>
      <c r="BP112" s="627">
        <f>SUMPRODUCT(BP93:BP101,BP103:BP111)</f>
        <v>1.0242287414357147</v>
      </c>
      <c r="BQ112" s="627">
        <f t="shared" ref="BQ112" si="902">SUMPRODUCT(BQ93:BQ101,BQ103:BQ111)</f>
        <v>1.0367894740985055</v>
      </c>
      <c r="BR112" s="627">
        <f t="shared" ref="BR112" si="903">SUMPRODUCT(BR93:BR101,BR103:BR111)</f>
        <v>1.0492351774033923</v>
      </c>
      <c r="BS112" s="627">
        <f t="shared" ref="BS112" si="904">SUMPRODUCT(BS93:BS101,BS103:BS111)</f>
        <v>1.0615625701361142</v>
      </c>
      <c r="BT112" s="627">
        <f t="shared" ref="BT112" si="905">SUMPRODUCT(BT93:BT101,BT103:BT111)</f>
        <v>1.0737676005067862</v>
      </c>
      <c r="BU112" s="627">
        <f t="shared" ref="BU112" si="906">SUMPRODUCT(BU93:BU101,BU103:BU111)</f>
        <v>1.0858453896055433</v>
      </c>
      <c r="BV112" s="627">
        <f t="shared" ref="BV112" si="907">SUMPRODUCT(BV93:BV101,BV103:BV111)</f>
        <v>1.0979087613315364</v>
      </c>
      <c r="BW112" s="627">
        <f t="shared" ref="BW112" si="908">SUMPRODUCT(BW93:BW101,BW103:BW111)</f>
        <v>1.1099565744178548</v>
      </c>
      <c r="BX112" s="627">
        <f t="shared" ref="BX112" si="909">SUMPRODUCT(BX93:BX101,BX103:BX111)</f>
        <v>1.1219876781823543</v>
      </c>
      <c r="BY112" s="627">
        <f t="shared" ref="BY112" si="910">SUMPRODUCT(BY93:BY101,BY103:BY111)</f>
        <v>1.134000909713194</v>
      </c>
      <c r="BZ112" s="627">
        <f t="shared" ref="BZ112" si="911">SUMPRODUCT(BZ93:BZ101,BZ103:BZ111)</f>
        <v>1.1459950910469576</v>
      </c>
      <c r="CA112" s="627">
        <f t="shared" ref="CA112" si="912">SUMPRODUCT(CA93:CA101,CA103:CA111)</f>
        <v>1.1578845249057599</v>
      </c>
      <c r="CB112" s="627">
        <f t="shared" ref="CB112" si="913">SUMPRODUCT(CB93:CB101,CB103:CB111)</f>
        <v>1.1696637268874732</v>
      </c>
      <c r="CC112" s="627">
        <f t="shared" ref="CC112" si="914">SUMPRODUCT(CC93:CC101,CC103:CC111)</f>
        <v>1.1813265789288967</v>
      </c>
      <c r="CD112" s="627">
        <f t="shared" ref="CD112" si="915">SUMPRODUCT(CD93:CD101,CD103:CD111)</f>
        <v>1.1928662689148528</v>
      </c>
      <c r="CE112" s="627">
        <f t="shared" ref="CE112" si="916">SUMPRODUCT(CE93:CE101,CE103:CE111)</f>
        <v>1.2042752232136511</v>
      </c>
      <c r="CF112" s="627">
        <f t="shared" ref="CF112" si="917">SUMPRODUCT(CF93:CF101,CF103:CF111)</f>
        <v>1.2156627630549517</v>
      </c>
      <c r="CG112" s="627">
        <f t="shared" ref="CG112" si="918">SUMPRODUCT(CG93:CG101,CG103:CG111)</f>
        <v>1.227028291657573</v>
      </c>
      <c r="CH112" s="627">
        <f t="shared" ref="CH112" si="919">SUMPRODUCT(CH93:CH101,CH103:CH111)</f>
        <v>1.2383711986980193</v>
      </c>
      <c r="CI112" s="627">
        <f t="shared" ref="CI112" si="920">SUMPRODUCT(CI93:CI101,CI103:CI111)</f>
        <v>1.2496908598833045</v>
      </c>
      <c r="CJ112" s="627">
        <f t="shared" ref="CJ112" si="921">SUMPRODUCT(CJ93:CJ101,CJ103:CJ111)</f>
        <v>1.2609866365114673</v>
      </c>
      <c r="CK112" s="627">
        <f t="shared" ref="CK112" si="922">SUMPRODUCT(CK93:CK101,CK103:CK111)</f>
        <v>1.2722586770337725</v>
      </c>
      <c r="CL112" s="627">
        <f t="shared" ref="CL112" si="923">SUMPRODUCT(CL93:CL101,CL103:CL111)</f>
        <v>1.2835063655503984</v>
      </c>
      <c r="CM112" s="627">
        <f t="shared" ref="CM112" si="924">SUMPRODUCT(CM93:CM101,CM103:CM111)</f>
        <v>1.2947290721423941</v>
      </c>
      <c r="CN112" s="627">
        <f t="shared" ref="CN112" si="925">SUMPRODUCT(CN93:CN101,CN103:CN111)</f>
        <v>1.3059261524568386</v>
      </c>
      <c r="CO112" s="627">
        <f t="shared" ref="CO112" si="926">SUMPRODUCT(CO93:CO101,CO103:CO111)</f>
        <v>1.3170969472802148</v>
      </c>
      <c r="CP112" s="627">
        <f t="shared" ref="CP112" si="927">SUMPRODUCT(CP93:CP101,CP103:CP111)</f>
        <v>1.3282415469198408</v>
      </c>
      <c r="CQ112" s="627">
        <f t="shared" ref="CQ112" si="928">SUMPRODUCT(CQ93:CQ101,CQ103:CQ111)</f>
        <v>1.3393593102485739</v>
      </c>
      <c r="CR112" s="627">
        <f t="shared" ref="CR112" si="929">SUMPRODUCT(CR93:CR101,CR103:CR111)</f>
        <v>1.3504495815939397</v>
      </c>
      <c r="CS112" s="627">
        <f t="shared" ref="CS112" si="930">SUMPRODUCT(CS93:CS101,CS103:CS111)</f>
        <v>1.3615116903297519</v>
      </c>
      <c r="CT112" s="627">
        <f t="shared" ref="CT112" si="931">SUMPRODUCT(CT93:CT101,CT103:CT111)</f>
        <v>1.3725449504563496</v>
      </c>
      <c r="CV112" s="627">
        <f>SUMPRODUCT(CV93:CV101,CV103:CV111)</f>
        <v>1.0242292391497747</v>
      </c>
      <c r="CW112" s="627">
        <f t="shared" ref="CW112:DZ112" si="932">SUMPRODUCT(CW93:CW101,CW103:CW111)</f>
        <v>1.0247781674213394</v>
      </c>
      <c r="CX112" s="627">
        <f t="shared" si="932"/>
        <v>1.0247037715483063</v>
      </c>
      <c r="CY112" s="627">
        <f t="shared" si="932"/>
        <v>1.024747215144884</v>
      </c>
      <c r="CZ112" s="627">
        <f t="shared" si="932"/>
        <v>1.0249178288358514</v>
      </c>
      <c r="DA112" s="627">
        <f t="shared" si="932"/>
        <v>1.0251955989759205</v>
      </c>
      <c r="DB112" s="627">
        <f t="shared" si="932"/>
        <v>1.0254612159398131</v>
      </c>
      <c r="DC112" s="627">
        <f t="shared" si="932"/>
        <v>1.0257655288338963</v>
      </c>
      <c r="DD112" s="627">
        <f t="shared" si="932"/>
        <v>1.0259815202791938</v>
      </c>
      <c r="DE112" s="627">
        <f t="shared" si="932"/>
        <v>1.0258617958285048</v>
      </c>
      <c r="DF112" s="627">
        <f t="shared" si="932"/>
        <v>1.0249564516658094</v>
      </c>
      <c r="DG112" s="627">
        <f t="shared" si="932"/>
        <v>1.0209951325493123</v>
      </c>
      <c r="DH112" s="627">
        <f t="shared" si="932"/>
        <v>1.0140626936449686</v>
      </c>
      <c r="DI112" s="627">
        <f t="shared" si="932"/>
        <v>1.0036598569820674</v>
      </c>
      <c r="DJ112" s="627">
        <f t="shared" si="932"/>
        <v>0.98770302422890421</v>
      </c>
      <c r="DK112" s="627">
        <f t="shared" si="932"/>
        <v>0.96499938640926497</v>
      </c>
      <c r="DL112" s="627">
        <f t="shared" si="932"/>
        <v>0.93522001944179201</v>
      </c>
      <c r="DM112" s="627">
        <f t="shared" si="932"/>
        <v>0.89929116283178023</v>
      </c>
      <c r="DN112" s="627">
        <f t="shared" si="932"/>
        <v>0.85907252073062956</v>
      </c>
      <c r="DO112" s="627">
        <f t="shared" si="932"/>
        <v>0.81678863220991604</v>
      </c>
      <c r="DP112" s="627">
        <f t="shared" si="932"/>
        <v>0.77442279617331333</v>
      </c>
      <c r="DQ112" s="627">
        <f t="shared" si="932"/>
        <v>0.73223065401354814</v>
      </c>
      <c r="DR112" s="627">
        <f t="shared" si="932"/>
        <v>0.69106086937457667</v>
      </c>
      <c r="DS112" s="627">
        <f t="shared" si="932"/>
        <v>0.65259137690805025</v>
      </c>
      <c r="DT112" s="627">
        <f t="shared" si="932"/>
        <v>0.61662099568550199</v>
      </c>
      <c r="DU112" s="627">
        <f t="shared" si="932"/>
        <v>0.58271217714399781</v>
      </c>
      <c r="DV112" s="627">
        <f t="shared" si="932"/>
        <v>0.55064768772563866</v>
      </c>
      <c r="DW112" s="627">
        <f t="shared" si="932"/>
        <v>0.51989138171871407</v>
      </c>
      <c r="DX112" s="627">
        <f t="shared" si="932"/>
        <v>0.49007427872518483</v>
      </c>
      <c r="DY112" s="627">
        <f t="shared" si="932"/>
        <v>0.46085539432211065</v>
      </c>
      <c r="DZ112" s="627">
        <f t="shared" si="932"/>
        <v>0.4319198171325519</v>
      </c>
      <c r="EK112" s="627"/>
      <c r="EL112" s="627"/>
      <c r="EM112" s="627"/>
      <c r="EN112" s="627"/>
      <c r="EO112" s="627"/>
      <c r="EP112" s="627"/>
      <c r="EQ112" s="627"/>
      <c r="ER112" s="627"/>
      <c r="ES112" s="627"/>
      <c r="ET112" s="627"/>
      <c r="EU112" s="627"/>
      <c r="EV112" s="627"/>
      <c r="EW112" s="627"/>
      <c r="EX112" s="627"/>
      <c r="EY112" s="627"/>
      <c r="EZ112" s="627"/>
      <c r="FA112" s="627"/>
      <c r="FB112" s="627"/>
      <c r="FC112" s="627"/>
      <c r="FD112" s="627"/>
      <c r="FE112" s="627"/>
      <c r="FF112" s="627"/>
      <c r="FG112" s="627"/>
      <c r="FH112" s="627"/>
      <c r="FI112" s="627"/>
    </row>
    <row r="113" spans="1:165" x14ac:dyDescent="0.2">
      <c r="A113" s="112"/>
      <c r="C113" s="54"/>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44"/>
      <c r="BB113" s="44"/>
      <c r="BC113" s="44"/>
      <c r="BD113" s="44"/>
      <c r="BE113" s="44"/>
      <c r="BF113" s="44"/>
      <c r="BG113" s="44"/>
      <c r="BH113" s="44"/>
      <c r="BI113" s="44"/>
      <c r="BJ113" s="44"/>
      <c r="BK113" s="44"/>
      <c r="BL113" s="44"/>
      <c r="BM113" s="44"/>
      <c r="BN113" s="44"/>
    </row>
    <row r="114" spans="1:165" s="69" customFormat="1" ht="16" thickBot="1" x14ac:dyDescent="0.25">
      <c r="A114" s="621" t="s">
        <v>8</v>
      </c>
      <c r="C114" s="70"/>
      <c r="D114" s="71"/>
      <c r="E114" s="71"/>
      <c r="F114" s="71"/>
      <c r="G114" s="71"/>
      <c r="H114" s="71"/>
      <c r="I114" s="71"/>
      <c r="J114" s="71"/>
      <c r="K114" s="71"/>
      <c r="L114" s="71"/>
      <c r="M114" s="71"/>
      <c r="N114" s="71"/>
      <c r="O114" s="71"/>
      <c r="P114" s="71"/>
      <c r="Q114" s="71"/>
      <c r="R114" s="71"/>
      <c r="S114" s="71"/>
      <c r="T114" s="71"/>
      <c r="U114" s="71"/>
      <c r="V114" s="71"/>
      <c r="W114" s="71"/>
      <c r="X114" s="71"/>
      <c r="Y114" s="71"/>
      <c r="Z114" s="71"/>
      <c r="AA114" s="71"/>
      <c r="AB114" s="71"/>
      <c r="AC114" s="71"/>
      <c r="AD114" s="71"/>
      <c r="AE114" s="71"/>
      <c r="AF114" s="71"/>
      <c r="AG114" s="71"/>
      <c r="AH114" s="71"/>
      <c r="AI114" s="71"/>
      <c r="AJ114" s="71"/>
      <c r="AK114" s="71"/>
      <c r="AL114" s="71"/>
      <c r="AM114" s="71"/>
      <c r="AN114" s="71"/>
      <c r="AO114" s="71"/>
      <c r="AP114" s="71"/>
      <c r="AQ114" s="71"/>
      <c r="AR114" s="71"/>
      <c r="AS114" s="71"/>
      <c r="AT114" s="71"/>
      <c r="AU114" s="71"/>
      <c r="AV114" s="71"/>
      <c r="AW114" s="71"/>
      <c r="AX114" s="71"/>
      <c r="AY114" s="71"/>
      <c r="AZ114" s="71"/>
      <c r="BA114" s="71"/>
      <c r="BB114" s="71"/>
      <c r="BC114" s="71"/>
      <c r="BD114" s="71"/>
      <c r="BE114" s="71"/>
      <c r="BF114" s="71"/>
      <c r="BG114" s="71"/>
      <c r="BH114" s="71"/>
      <c r="BI114" s="71"/>
      <c r="BJ114" s="71"/>
      <c r="BK114" s="71"/>
      <c r="BL114" s="71"/>
      <c r="BM114" s="71"/>
      <c r="BN114" s="71"/>
      <c r="BP114" s="71"/>
      <c r="BQ114" s="71"/>
      <c r="BR114" s="71"/>
      <c r="BS114" s="71"/>
      <c r="BT114" s="71"/>
      <c r="BU114" s="71"/>
      <c r="BV114" s="71"/>
      <c r="BW114" s="71"/>
      <c r="BX114" s="71"/>
      <c r="BY114" s="71"/>
      <c r="BZ114" s="71"/>
      <c r="CA114" s="71"/>
      <c r="CB114" s="71"/>
      <c r="CC114" s="71"/>
      <c r="CD114" s="71"/>
      <c r="CE114" s="71"/>
      <c r="CF114" s="71"/>
      <c r="CG114" s="71"/>
      <c r="CH114" s="71"/>
      <c r="CI114" s="71"/>
      <c r="CJ114" s="71"/>
      <c r="CK114" s="71"/>
      <c r="CL114" s="71"/>
      <c r="CM114" s="71"/>
      <c r="CN114" s="71"/>
      <c r="CO114" s="71"/>
      <c r="CP114" s="71"/>
      <c r="CQ114" s="71"/>
      <c r="CR114" s="71"/>
      <c r="CS114" s="71"/>
      <c r="CT114" s="71"/>
      <c r="CV114" s="71"/>
      <c r="CW114" s="71"/>
      <c r="CX114" s="71"/>
      <c r="CY114" s="71"/>
      <c r="CZ114" s="71"/>
      <c r="DA114" s="71"/>
      <c r="DB114" s="71"/>
      <c r="DC114" s="71"/>
      <c r="DD114" s="71"/>
      <c r="DE114" s="71"/>
      <c r="DF114" s="71"/>
      <c r="DG114" s="71"/>
      <c r="DH114" s="71"/>
      <c r="DI114" s="71"/>
      <c r="DJ114" s="71"/>
      <c r="DK114" s="71"/>
      <c r="DL114" s="71"/>
      <c r="DM114" s="71"/>
      <c r="DN114" s="71"/>
      <c r="DO114" s="71"/>
      <c r="DP114" s="71"/>
      <c r="DQ114" s="71"/>
      <c r="DR114" s="71"/>
      <c r="DS114" s="71"/>
      <c r="DT114" s="71"/>
      <c r="DU114" s="71"/>
      <c r="DV114" s="71"/>
      <c r="DW114" s="71"/>
      <c r="DX114" s="71"/>
      <c r="DY114" s="71"/>
      <c r="DZ114" s="71"/>
      <c r="EK114" s="622"/>
      <c r="EL114" s="622"/>
      <c r="EM114" s="622"/>
      <c r="EN114" s="622"/>
      <c r="EO114" s="622"/>
      <c r="EP114" s="622"/>
      <c r="EQ114" s="622"/>
      <c r="ER114" s="622"/>
      <c r="ES114" s="622"/>
      <c r="ET114" s="622"/>
      <c r="EU114" s="622"/>
      <c r="EV114" s="622"/>
      <c r="EW114" s="622"/>
      <c r="EX114" s="622"/>
      <c r="EY114" s="622"/>
      <c r="EZ114" s="622"/>
      <c r="FA114" s="622"/>
      <c r="FB114" s="622"/>
      <c r="FC114" s="622"/>
      <c r="FD114" s="622"/>
      <c r="FE114" s="622"/>
      <c r="FF114" s="622"/>
      <c r="FG114" s="622"/>
      <c r="FH114" s="622"/>
      <c r="FI114" s="622"/>
    </row>
    <row r="115" spans="1:165" s="624" customFormat="1" ht="16" thickBot="1" x14ac:dyDescent="0.25">
      <c r="A115" s="623" t="s">
        <v>108</v>
      </c>
      <c r="C115" s="625"/>
      <c r="D115" s="628">
        <v>2020</v>
      </c>
      <c r="E115" s="628">
        <v>2021</v>
      </c>
      <c r="F115" s="628">
        <v>2022</v>
      </c>
      <c r="G115" s="628">
        <v>2023</v>
      </c>
      <c r="H115" s="628">
        <v>2024</v>
      </c>
      <c r="I115" s="628">
        <v>2025</v>
      </c>
      <c r="J115" s="628">
        <v>2026</v>
      </c>
      <c r="K115" s="628">
        <v>2027</v>
      </c>
      <c r="L115" s="628">
        <v>2028</v>
      </c>
      <c r="M115" s="628">
        <v>2029</v>
      </c>
      <c r="N115" s="628">
        <v>2030</v>
      </c>
      <c r="O115" s="628">
        <v>2031</v>
      </c>
      <c r="P115" s="628">
        <v>2032</v>
      </c>
      <c r="Q115" s="628">
        <v>2033</v>
      </c>
      <c r="R115" s="628">
        <v>2034</v>
      </c>
      <c r="S115" s="628">
        <v>2035</v>
      </c>
      <c r="T115" s="628">
        <v>2036</v>
      </c>
      <c r="U115" s="628">
        <v>2037</v>
      </c>
      <c r="V115" s="628">
        <v>2038</v>
      </c>
      <c r="W115" s="628">
        <v>2039</v>
      </c>
      <c r="X115" s="628">
        <v>2040</v>
      </c>
      <c r="Y115" s="628">
        <v>2041</v>
      </c>
      <c r="Z115" s="628">
        <v>2042</v>
      </c>
      <c r="AA115" s="628">
        <v>2043</v>
      </c>
      <c r="AB115" s="628">
        <v>2044</v>
      </c>
      <c r="AC115" s="628">
        <v>2045</v>
      </c>
      <c r="AD115" s="628">
        <v>2046</v>
      </c>
      <c r="AE115" s="628">
        <v>2047</v>
      </c>
      <c r="AF115" s="628">
        <v>2048</v>
      </c>
      <c r="AG115" s="628">
        <v>2049</v>
      </c>
      <c r="AH115" s="628">
        <v>2050</v>
      </c>
      <c r="AI115" s="626"/>
      <c r="AJ115" s="628">
        <v>2020</v>
      </c>
      <c r="AK115" s="628">
        <v>2021</v>
      </c>
      <c r="AL115" s="628">
        <v>2022</v>
      </c>
      <c r="AM115" s="628">
        <v>2023</v>
      </c>
      <c r="AN115" s="628">
        <v>2024</v>
      </c>
      <c r="AO115" s="628">
        <v>2025</v>
      </c>
      <c r="AP115" s="628">
        <v>2026</v>
      </c>
      <c r="AQ115" s="628">
        <v>2027</v>
      </c>
      <c r="AR115" s="628">
        <v>2028</v>
      </c>
      <c r="AS115" s="628">
        <v>2029</v>
      </c>
      <c r="AT115" s="628">
        <v>2030</v>
      </c>
      <c r="AU115" s="628">
        <v>2031</v>
      </c>
      <c r="AV115" s="628">
        <v>2032</v>
      </c>
      <c r="AW115" s="628">
        <v>2033</v>
      </c>
      <c r="AX115" s="628">
        <v>2034</v>
      </c>
      <c r="AY115" s="628">
        <v>2035</v>
      </c>
      <c r="AZ115" s="628">
        <v>2036</v>
      </c>
      <c r="BA115" s="628">
        <v>2037</v>
      </c>
      <c r="BB115" s="628">
        <v>2038</v>
      </c>
      <c r="BC115" s="628">
        <v>2039</v>
      </c>
      <c r="BD115" s="628">
        <v>2040</v>
      </c>
      <c r="BE115" s="628">
        <v>2041</v>
      </c>
      <c r="BF115" s="628">
        <v>2042</v>
      </c>
      <c r="BG115" s="628">
        <v>2043</v>
      </c>
      <c r="BH115" s="628">
        <v>2044</v>
      </c>
      <c r="BI115" s="628">
        <v>2045</v>
      </c>
      <c r="BJ115" s="628">
        <v>2046</v>
      </c>
      <c r="BK115" s="628">
        <v>2047</v>
      </c>
      <c r="BL115" s="628">
        <v>2048</v>
      </c>
      <c r="BM115" s="628">
        <v>2049</v>
      </c>
      <c r="BN115" s="628">
        <v>2050</v>
      </c>
      <c r="BP115" s="628">
        <v>2020</v>
      </c>
      <c r="BQ115" s="628">
        <v>2021</v>
      </c>
      <c r="BR115" s="628">
        <v>2022</v>
      </c>
      <c r="BS115" s="628">
        <v>2023</v>
      </c>
      <c r="BT115" s="628">
        <v>2024</v>
      </c>
      <c r="BU115" s="628">
        <v>2025</v>
      </c>
      <c r="BV115" s="628">
        <v>2026</v>
      </c>
      <c r="BW115" s="628">
        <v>2027</v>
      </c>
      <c r="BX115" s="628">
        <v>2028</v>
      </c>
      <c r="BY115" s="628">
        <v>2029</v>
      </c>
      <c r="BZ115" s="628">
        <v>2030</v>
      </c>
      <c r="CA115" s="628">
        <v>2031</v>
      </c>
      <c r="CB115" s="628">
        <v>2032</v>
      </c>
      <c r="CC115" s="628">
        <v>2033</v>
      </c>
      <c r="CD115" s="628">
        <v>2034</v>
      </c>
      <c r="CE115" s="628">
        <v>2035</v>
      </c>
      <c r="CF115" s="628">
        <v>2036</v>
      </c>
      <c r="CG115" s="628">
        <v>2037</v>
      </c>
      <c r="CH115" s="628">
        <v>2038</v>
      </c>
      <c r="CI115" s="628">
        <v>2039</v>
      </c>
      <c r="CJ115" s="628">
        <v>2040</v>
      </c>
      <c r="CK115" s="628">
        <v>2041</v>
      </c>
      <c r="CL115" s="628">
        <v>2042</v>
      </c>
      <c r="CM115" s="628">
        <v>2043</v>
      </c>
      <c r="CN115" s="628">
        <v>2044</v>
      </c>
      <c r="CO115" s="628">
        <v>2045</v>
      </c>
      <c r="CP115" s="628">
        <v>2046</v>
      </c>
      <c r="CQ115" s="628">
        <v>2047</v>
      </c>
      <c r="CR115" s="628">
        <v>2048</v>
      </c>
      <c r="CS115" s="628">
        <v>2049</v>
      </c>
      <c r="CT115" s="628">
        <v>2050</v>
      </c>
      <c r="CV115" s="628">
        <v>2020</v>
      </c>
      <c r="CW115" s="628">
        <v>2021</v>
      </c>
      <c r="CX115" s="628">
        <v>2022</v>
      </c>
      <c r="CY115" s="628">
        <v>2023</v>
      </c>
      <c r="CZ115" s="628">
        <v>2024</v>
      </c>
      <c r="DA115" s="628">
        <v>2025</v>
      </c>
      <c r="DB115" s="628">
        <v>2026</v>
      </c>
      <c r="DC115" s="628">
        <v>2027</v>
      </c>
      <c r="DD115" s="628">
        <v>2028</v>
      </c>
      <c r="DE115" s="628">
        <v>2029</v>
      </c>
      <c r="DF115" s="628">
        <v>2030</v>
      </c>
      <c r="DG115" s="628">
        <v>2031</v>
      </c>
      <c r="DH115" s="628">
        <v>2032</v>
      </c>
      <c r="DI115" s="628">
        <v>2033</v>
      </c>
      <c r="DJ115" s="628">
        <v>2034</v>
      </c>
      <c r="DK115" s="628">
        <v>2035</v>
      </c>
      <c r="DL115" s="628">
        <v>2036</v>
      </c>
      <c r="DM115" s="628">
        <v>2037</v>
      </c>
      <c r="DN115" s="628">
        <v>2038</v>
      </c>
      <c r="DO115" s="628">
        <v>2039</v>
      </c>
      <c r="DP115" s="628">
        <v>2040</v>
      </c>
      <c r="DQ115" s="628">
        <v>2041</v>
      </c>
      <c r="DR115" s="628">
        <v>2042</v>
      </c>
      <c r="DS115" s="628">
        <v>2043</v>
      </c>
      <c r="DT115" s="628">
        <v>2044</v>
      </c>
      <c r="DU115" s="628">
        <v>2045</v>
      </c>
      <c r="DV115" s="628">
        <v>2046</v>
      </c>
      <c r="DW115" s="628">
        <v>2047</v>
      </c>
      <c r="DX115" s="628">
        <v>2048</v>
      </c>
      <c r="DY115" s="628">
        <v>2049</v>
      </c>
      <c r="DZ115" s="628">
        <v>2050</v>
      </c>
      <c r="EK115" s="627"/>
      <c r="EL115" s="627"/>
      <c r="EM115" s="627"/>
      <c r="EN115" s="627"/>
      <c r="EO115" s="627"/>
      <c r="EP115" s="627"/>
      <c r="EQ115" s="627"/>
      <c r="ER115" s="627"/>
      <c r="ES115" s="627"/>
      <c r="ET115" s="627"/>
      <c r="EU115" s="627"/>
      <c r="EV115" s="627"/>
      <c r="EW115" s="627"/>
      <c r="EX115" s="627"/>
      <c r="EY115" s="627"/>
      <c r="EZ115" s="627"/>
      <c r="FA115" s="627"/>
      <c r="FB115" s="627"/>
      <c r="FC115" s="627"/>
      <c r="FD115" s="627"/>
      <c r="FE115" s="627"/>
      <c r="FF115" s="627"/>
      <c r="FG115" s="627"/>
      <c r="FH115" s="627"/>
      <c r="FI115" s="627"/>
    </row>
    <row r="116" spans="1:165" x14ac:dyDescent="0.2">
      <c r="A116" s="606" t="s">
        <v>193</v>
      </c>
      <c r="C116" s="54" t="s">
        <v>458</v>
      </c>
      <c r="D116" s="43">
        <f>$B$186</f>
        <v>0.48</v>
      </c>
      <c r="E116" s="43">
        <f>D116-($D116-$AH116)/30</f>
        <v>0.46399999999999997</v>
      </c>
      <c r="F116" s="43">
        <f t="shared" ref="F116:AG116" si="933">E116-($D116-$AH116)/30</f>
        <v>0.44799999999999995</v>
      </c>
      <c r="G116" s="43">
        <f t="shared" si="933"/>
        <v>0.43199999999999994</v>
      </c>
      <c r="H116" s="43">
        <f t="shared" si="933"/>
        <v>0.41599999999999993</v>
      </c>
      <c r="I116" s="43">
        <f t="shared" si="933"/>
        <v>0.39999999999999991</v>
      </c>
      <c r="J116" s="43">
        <f t="shared" si="933"/>
        <v>0.3839999999999999</v>
      </c>
      <c r="K116" s="43">
        <f t="shared" si="933"/>
        <v>0.36799999999999988</v>
      </c>
      <c r="L116" s="43">
        <f t="shared" si="933"/>
        <v>0.35199999999999987</v>
      </c>
      <c r="M116" s="43">
        <f t="shared" si="933"/>
        <v>0.33599999999999985</v>
      </c>
      <c r="N116" s="43">
        <f t="shared" si="933"/>
        <v>0.31999999999999984</v>
      </c>
      <c r="O116" s="43">
        <f t="shared" si="933"/>
        <v>0.30399999999999983</v>
      </c>
      <c r="P116" s="43">
        <f t="shared" si="933"/>
        <v>0.28799999999999981</v>
      </c>
      <c r="Q116" s="43">
        <f t="shared" si="933"/>
        <v>0.2719999999999998</v>
      </c>
      <c r="R116" s="43">
        <f t="shared" si="933"/>
        <v>0.25599999999999978</v>
      </c>
      <c r="S116" s="43">
        <f t="shared" si="933"/>
        <v>0.23999999999999977</v>
      </c>
      <c r="T116" s="43">
        <f t="shared" si="933"/>
        <v>0.22399999999999975</v>
      </c>
      <c r="U116" s="43">
        <f t="shared" si="933"/>
        <v>0.20799999999999974</v>
      </c>
      <c r="V116" s="43">
        <f t="shared" si="933"/>
        <v>0.19199999999999973</v>
      </c>
      <c r="W116" s="43">
        <f t="shared" si="933"/>
        <v>0.17599999999999971</v>
      </c>
      <c r="X116" s="43">
        <f t="shared" si="933"/>
        <v>0.1599999999999997</v>
      </c>
      <c r="Y116" s="43">
        <f t="shared" si="933"/>
        <v>0.14399999999999968</v>
      </c>
      <c r="Z116" s="43">
        <f t="shared" si="933"/>
        <v>0.12799999999999967</v>
      </c>
      <c r="AA116" s="43">
        <f t="shared" si="933"/>
        <v>0.11199999999999967</v>
      </c>
      <c r="AB116" s="43">
        <f t="shared" si="933"/>
        <v>9.5999999999999669E-2</v>
      </c>
      <c r="AC116" s="43">
        <f t="shared" si="933"/>
        <v>7.9999999999999669E-2</v>
      </c>
      <c r="AD116" s="43">
        <f t="shared" si="933"/>
        <v>6.3999999999999668E-2</v>
      </c>
      <c r="AE116" s="43">
        <f t="shared" si="933"/>
        <v>4.7999999999999668E-2</v>
      </c>
      <c r="AF116" s="43">
        <f t="shared" si="933"/>
        <v>3.1999999999999668E-2</v>
      </c>
      <c r="AG116" s="43">
        <f t="shared" si="933"/>
        <v>1.5999999999999667E-2</v>
      </c>
      <c r="AH116" s="43">
        <f>$C$186</f>
        <v>0</v>
      </c>
      <c r="AI116" s="44"/>
      <c r="AJ116" s="43">
        <f>D116</f>
        <v>0.48</v>
      </c>
      <c r="AK116" s="43">
        <f t="shared" ref="AK116:AK124" si="934">E116</f>
        <v>0.46399999999999997</v>
      </c>
      <c r="AL116" s="43">
        <f t="shared" ref="AL116:AL124" si="935">F116</f>
        <v>0.44799999999999995</v>
      </c>
      <c r="AM116" s="43">
        <f t="shared" ref="AM116:AM124" si="936">G116</f>
        <v>0.43199999999999994</v>
      </c>
      <c r="AN116" s="43">
        <f t="shared" ref="AN116:AN124" si="937">H116</f>
        <v>0.41599999999999993</v>
      </c>
      <c r="AO116" s="43">
        <f t="shared" ref="AO116:AO124" si="938">I116</f>
        <v>0.39999999999999991</v>
      </c>
      <c r="AP116" s="43">
        <f t="shared" ref="AP116:AP124" si="939">J116</f>
        <v>0.3839999999999999</v>
      </c>
      <c r="AQ116" s="43">
        <f t="shared" ref="AQ116:AQ124" si="940">K116</f>
        <v>0.36799999999999988</v>
      </c>
      <c r="AR116" s="43">
        <f t="shared" ref="AR116:AR124" si="941">L116</f>
        <v>0.35199999999999987</v>
      </c>
      <c r="AS116" s="43">
        <f t="shared" ref="AS116:AS124" si="942">M116</f>
        <v>0.33599999999999985</v>
      </c>
      <c r="AT116" s="43">
        <f t="shared" ref="AT116:AT124" si="943">N116</f>
        <v>0.31999999999999984</v>
      </c>
      <c r="AU116" s="43">
        <f t="shared" ref="AU116:AU124" si="944">O116</f>
        <v>0.30399999999999983</v>
      </c>
      <c r="AV116" s="43">
        <f t="shared" ref="AV116:AV124" si="945">P116</f>
        <v>0.28799999999999981</v>
      </c>
      <c r="AW116" s="43">
        <f t="shared" ref="AW116:AW124" si="946">Q116</f>
        <v>0.2719999999999998</v>
      </c>
      <c r="AX116" s="43">
        <f t="shared" ref="AX116:AX124" si="947">R116</f>
        <v>0.25599999999999978</v>
      </c>
      <c r="AY116" s="43">
        <f t="shared" ref="AY116:AY124" si="948">S116</f>
        <v>0.23999999999999977</v>
      </c>
      <c r="AZ116" s="43">
        <f t="shared" ref="AZ116:AZ124" si="949">T116</f>
        <v>0.22399999999999975</v>
      </c>
      <c r="BA116" s="43">
        <f t="shared" ref="BA116:BA124" si="950">U116</f>
        <v>0.20799999999999974</v>
      </c>
      <c r="BB116" s="43">
        <f t="shared" ref="BB116:BB124" si="951">V116</f>
        <v>0.19199999999999973</v>
      </c>
      <c r="BC116" s="43">
        <f t="shared" ref="BC116:BC124" si="952">W116</f>
        <v>0.17599999999999971</v>
      </c>
      <c r="BD116" s="43">
        <f t="shared" ref="BD116:BD124" si="953">X116</f>
        <v>0.1599999999999997</v>
      </c>
      <c r="BE116" s="43">
        <f t="shared" ref="BE116:BE124" si="954">Y116</f>
        <v>0.14399999999999968</v>
      </c>
      <c r="BF116" s="43">
        <f t="shared" ref="BF116:BF124" si="955">Z116</f>
        <v>0.12799999999999967</v>
      </c>
      <c r="BG116" s="43">
        <f t="shared" ref="BG116:BG124" si="956">AA116</f>
        <v>0.11199999999999967</v>
      </c>
      <c r="BH116" s="43">
        <f t="shared" ref="BH116:BH124" si="957">AB116</f>
        <v>9.5999999999999669E-2</v>
      </c>
      <c r="BI116" s="43">
        <f t="shared" ref="BI116:BI124" si="958">AC116</f>
        <v>7.9999999999999669E-2</v>
      </c>
      <c r="BJ116" s="43">
        <f t="shared" ref="BJ116:BJ124" si="959">AD116</f>
        <v>6.3999999999999668E-2</v>
      </c>
      <c r="BK116" s="43">
        <f t="shared" ref="BK116:BK124" si="960">AE116</f>
        <v>4.7999999999999668E-2</v>
      </c>
      <c r="BL116" s="43">
        <f t="shared" ref="BL116:BL124" si="961">AF116</f>
        <v>3.1999999999999668E-2</v>
      </c>
      <c r="BM116" s="43">
        <f t="shared" ref="BM116:BM124" si="962">AG116</f>
        <v>1.5999999999999667E-2</v>
      </c>
      <c r="BN116" s="43">
        <f t="shared" ref="BN116:BN124" si="963">AH116</f>
        <v>0</v>
      </c>
      <c r="BP116" s="43">
        <f>D116</f>
        <v>0.48</v>
      </c>
      <c r="BQ116" s="43">
        <f>BP116-($BP116-$CT116)/30</f>
        <v>0.48</v>
      </c>
      <c r="BR116" s="43">
        <f t="shared" ref="BR116:CS116" si="964">BQ116-($BP116-$CT116)/30</f>
        <v>0.48</v>
      </c>
      <c r="BS116" s="43">
        <f t="shared" si="964"/>
        <v>0.48</v>
      </c>
      <c r="BT116" s="43">
        <f t="shared" si="964"/>
        <v>0.48</v>
      </c>
      <c r="BU116" s="43">
        <f t="shared" si="964"/>
        <v>0.48</v>
      </c>
      <c r="BV116" s="43">
        <f t="shared" si="964"/>
        <v>0.48</v>
      </c>
      <c r="BW116" s="43">
        <f t="shared" si="964"/>
        <v>0.48</v>
      </c>
      <c r="BX116" s="43">
        <f t="shared" si="964"/>
        <v>0.48</v>
      </c>
      <c r="BY116" s="43">
        <f t="shared" si="964"/>
        <v>0.48</v>
      </c>
      <c r="BZ116" s="43">
        <f t="shared" si="964"/>
        <v>0.48</v>
      </c>
      <c r="CA116" s="43">
        <f t="shared" si="964"/>
        <v>0.48</v>
      </c>
      <c r="CB116" s="43">
        <f t="shared" si="964"/>
        <v>0.48</v>
      </c>
      <c r="CC116" s="43">
        <f t="shared" si="964"/>
        <v>0.48</v>
      </c>
      <c r="CD116" s="43">
        <f t="shared" si="964"/>
        <v>0.48</v>
      </c>
      <c r="CE116" s="43">
        <f t="shared" si="964"/>
        <v>0.48</v>
      </c>
      <c r="CF116" s="43">
        <f t="shared" si="964"/>
        <v>0.48</v>
      </c>
      <c r="CG116" s="43">
        <f t="shared" si="964"/>
        <v>0.48</v>
      </c>
      <c r="CH116" s="43">
        <f t="shared" si="964"/>
        <v>0.48</v>
      </c>
      <c r="CI116" s="43">
        <f t="shared" si="964"/>
        <v>0.48</v>
      </c>
      <c r="CJ116" s="43">
        <f t="shared" si="964"/>
        <v>0.48</v>
      </c>
      <c r="CK116" s="43">
        <f t="shared" si="964"/>
        <v>0.48</v>
      </c>
      <c r="CL116" s="43">
        <f t="shared" si="964"/>
        <v>0.48</v>
      </c>
      <c r="CM116" s="43">
        <f t="shared" si="964"/>
        <v>0.48</v>
      </c>
      <c r="CN116" s="43">
        <f t="shared" si="964"/>
        <v>0.48</v>
      </c>
      <c r="CO116" s="43">
        <f t="shared" si="964"/>
        <v>0.48</v>
      </c>
      <c r="CP116" s="43">
        <f t="shared" si="964"/>
        <v>0.48</v>
      </c>
      <c r="CQ116" s="43">
        <f t="shared" si="964"/>
        <v>0.48</v>
      </c>
      <c r="CR116" s="43">
        <f t="shared" si="964"/>
        <v>0.48</v>
      </c>
      <c r="CS116" s="43">
        <f t="shared" si="964"/>
        <v>0.48</v>
      </c>
      <c r="CT116" s="43">
        <f>BP116</f>
        <v>0.48</v>
      </c>
      <c r="CV116" s="43">
        <f>AJ116</f>
        <v>0.48</v>
      </c>
      <c r="CW116" s="43">
        <f t="shared" ref="CW116:CW120" si="965">AK116</f>
        <v>0.46399999999999997</v>
      </c>
      <c r="CX116" s="43">
        <f t="shared" ref="CX116:CX120" si="966">AL116</f>
        <v>0.44799999999999995</v>
      </c>
      <c r="CY116" s="43">
        <f t="shared" ref="CY116:CY120" si="967">AM116</f>
        <v>0.43199999999999994</v>
      </c>
      <c r="CZ116" s="43">
        <f t="shared" ref="CZ116:CZ120" si="968">AN116</f>
        <v>0.41599999999999993</v>
      </c>
      <c r="DA116" s="43">
        <f t="shared" ref="DA116:DA120" si="969">AO116</f>
        <v>0.39999999999999991</v>
      </c>
      <c r="DB116" s="43">
        <f t="shared" ref="DB116:DB120" si="970">AP116</f>
        <v>0.3839999999999999</v>
      </c>
      <c r="DC116" s="43">
        <f t="shared" ref="DC116:DC120" si="971">AQ116</f>
        <v>0.36799999999999988</v>
      </c>
      <c r="DD116" s="43">
        <f t="shared" ref="DD116:DD120" si="972">AR116</f>
        <v>0.35199999999999987</v>
      </c>
      <c r="DE116" s="43">
        <f t="shared" ref="DE116:DE120" si="973">AS116</f>
        <v>0.33599999999999985</v>
      </c>
      <c r="DF116" s="43">
        <f t="shared" ref="DF116:DF120" si="974">AT116</f>
        <v>0.31999999999999984</v>
      </c>
      <c r="DG116" s="43">
        <f t="shared" ref="DG116:DG120" si="975">AU116</f>
        <v>0.30399999999999983</v>
      </c>
      <c r="DH116" s="43">
        <f t="shared" ref="DH116:DH120" si="976">AV116</f>
        <v>0.28799999999999981</v>
      </c>
      <c r="DI116" s="43">
        <f t="shared" ref="DI116:DI120" si="977">AW116</f>
        <v>0.2719999999999998</v>
      </c>
      <c r="DJ116" s="43">
        <f t="shared" ref="DJ116:DJ120" si="978">AX116</f>
        <v>0.25599999999999978</v>
      </c>
      <c r="DK116" s="43">
        <f t="shared" ref="DK116:DK120" si="979">AY116</f>
        <v>0.23999999999999977</v>
      </c>
      <c r="DL116" s="43">
        <f t="shared" ref="DL116:DL120" si="980">AZ116</f>
        <v>0.22399999999999975</v>
      </c>
      <c r="DM116" s="43">
        <f t="shared" ref="DM116:DM120" si="981">BA116</f>
        <v>0.20799999999999974</v>
      </c>
      <c r="DN116" s="43">
        <f t="shared" ref="DN116:DN120" si="982">BB116</f>
        <v>0.19199999999999973</v>
      </c>
      <c r="DO116" s="43">
        <f t="shared" ref="DO116:DO120" si="983">BC116</f>
        <v>0.17599999999999971</v>
      </c>
      <c r="DP116" s="43">
        <f t="shared" ref="DP116:DP120" si="984">BD116</f>
        <v>0.1599999999999997</v>
      </c>
      <c r="DQ116" s="43">
        <f t="shared" ref="DQ116:DQ120" si="985">BE116</f>
        <v>0.14399999999999968</v>
      </c>
      <c r="DR116" s="43">
        <f t="shared" ref="DR116:DR120" si="986">BF116</f>
        <v>0.12799999999999967</v>
      </c>
      <c r="DS116" s="43">
        <f t="shared" ref="DS116:DS120" si="987">BG116</f>
        <v>0.11199999999999967</v>
      </c>
      <c r="DT116" s="43">
        <f t="shared" ref="DT116:DT120" si="988">BH116</f>
        <v>9.5999999999999669E-2</v>
      </c>
      <c r="DU116" s="43">
        <f t="shared" ref="DU116:DU120" si="989">BI116</f>
        <v>7.9999999999999669E-2</v>
      </c>
      <c r="DV116" s="43">
        <f t="shared" ref="DV116:DV120" si="990">BJ116</f>
        <v>6.3999999999999668E-2</v>
      </c>
      <c r="DW116" s="43">
        <f t="shared" ref="DW116:DW120" si="991">BK116</f>
        <v>4.7999999999999668E-2</v>
      </c>
      <c r="DX116" s="43">
        <f t="shared" ref="DX116:DX120" si="992">BL116</f>
        <v>3.1999999999999668E-2</v>
      </c>
      <c r="DY116" s="43">
        <f t="shared" ref="DY116:DY120" si="993">BM116</f>
        <v>1.5999999999999667E-2</v>
      </c>
      <c r="DZ116" s="43">
        <f t="shared" ref="DZ116:DZ120" si="994">BN116</f>
        <v>0</v>
      </c>
    </row>
    <row r="117" spans="1:165" x14ac:dyDescent="0.2">
      <c r="A117" s="606" t="s">
        <v>88</v>
      </c>
      <c r="C117" s="54" t="s">
        <v>458</v>
      </c>
      <c r="D117" s="43">
        <f>$B$187</f>
        <v>3</v>
      </c>
      <c r="E117" s="43">
        <f t="shared" ref="E117:AG117" si="995">D117-($D117-$AH117)/30</f>
        <v>2.9</v>
      </c>
      <c r="F117" s="43">
        <f t="shared" si="995"/>
        <v>2.8</v>
      </c>
      <c r="G117" s="43">
        <f t="shared" si="995"/>
        <v>2.6999999999999997</v>
      </c>
      <c r="H117" s="43">
        <f t="shared" si="995"/>
        <v>2.5999999999999996</v>
      </c>
      <c r="I117" s="43">
        <f t="shared" si="995"/>
        <v>2.4999999999999996</v>
      </c>
      <c r="J117" s="43">
        <f t="shared" si="995"/>
        <v>2.3999999999999995</v>
      </c>
      <c r="K117" s="43">
        <f t="shared" si="995"/>
        <v>2.2999999999999994</v>
      </c>
      <c r="L117" s="43">
        <f t="shared" si="995"/>
        <v>2.1999999999999993</v>
      </c>
      <c r="M117" s="43">
        <f t="shared" si="995"/>
        <v>2.0999999999999992</v>
      </c>
      <c r="N117" s="43">
        <f t="shared" si="995"/>
        <v>1.9999999999999991</v>
      </c>
      <c r="O117" s="43">
        <f t="shared" si="995"/>
        <v>1.899999999999999</v>
      </c>
      <c r="P117" s="43">
        <f t="shared" si="995"/>
        <v>1.7999999999999989</v>
      </c>
      <c r="Q117" s="43">
        <f t="shared" si="995"/>
        <v>1.6999999999999988</v>
      </c>
      <c r="R117" s="43">
        <f t="shared" si="995"/>
        <v>1.5999999999999988</v>
      </c>
      <c r="S117" s="43">
        <f t="shared" si="995"/>
        <v>1.4999999999999987</v>
      </c>
      <c r="T117" s="43">
        <f t="shared" si="995"/>
        <v>1.3999999999999986</v>
      </c>
      <c r="U117" s="43">
        <f t="shared" si="995"/>
        <v>1.2999999999999985</v>
      </c>
      <c r="V117" s="43">
        <f t="shared" si="995"/>
        <v>1.1999999999999984</v>
      </c>
      <c r="W117" s="43">
        <f t="shared" si="995"/>
        <v>1.0999999999999983</v>
      </c>
      <c r="X117" s="43">
        <f t="shared" si="995"/>
        <v>0.99999999999999833</v>
      </c>
      <c r="Y117" s="43">
        <f t="shared" si="995"/>
        <v>0.89999999999999836</v>
      </c>
      <c r="Z117" s="43">
        <f t="shared" si="995"/>
        <v>0.79999999999999838</v>
      </c>
      <c r="AA117" s="43">
        <f t="shared" si="995"/>
        <v>0.6999999999999984</v>
      </c>
      <c r="AB117" s="43">
        <f t="shared" si="995"/>
        <v>0.59999999999999842</v>
      </c>
      <c r="AC117" s="43">
        <f t="shared" si="995"/>
        <v>0.49999999999999845</v>
      </c>
      <c r="AD117" s="43">
        <f t="shared" si="995"/>
        <v>0.39999999999999847</v>
      </c>
      <c r="AE117" s="43">
        <f t="shared" si="995"/>
        <v>0.29999999999999849</v>
      </c>
      <c r="AF117" s="43">
        <f t="shared" si="995"/>
        <v>0.19999999999999848</v>
      </c>
      <c r="AG117" s="43">
        <f t="shared" si="995"/>
        <v>9.9999999999998479E-2</v>
      </c>
      <c r="AH117" s="43">
        <f>$C$187</f>
        <v>0</v>
      </c>
      <c r="AI117" s="44"/>
      <c r="AJ117" s="43">
        <f t="shared" ref="AJ117:AJ124" si="996">D117</f>
        <v>3</v>
      </c>
      <c r="AK117" s="43">
        <f t="shared" si="934"/>
        <v>2.9</v>
      </c>
      <c r="AL117" s="43">
        <f t="shared" si="935"/>
        <v>2.8</v>
      </c>
      <c r="AM117" s="43">
        <f t="shared" si="936"/>
        <v>2.6999999999999997</v>
      </c>
      <c r="AN117" s="43">
        <f t="shared" si="937"/>
        <v>2.5999999999999996</v>
      </c>
      <c r="AO117" s="43">
        <f t="shared" si="938"/>
        <v>2.4999999999999996</v>
      </c>
      <c r="AP117" s="43">
        <f t="shared" si="939"/>
        <v>2.3999999999999995</v>
      </c>
      <c r="AQ117" s="43">
        <f t="shared" si="940"/>
        <v>2.2999999999999994</v>
      </c>
      <c r="AR117" s="43">
        <f t="shared" si="941"/>
        <v>2.1999999999999993</v>
      </c>
      <c r="AS117" s="43">
        <f t="shared" si="942"/>
        <v>2.0999999999999992</v>
      </c>
      <c r="AT117" s="43">
        <f t="shared" si="943"/>
        <v>1.9999999999999991</v>
      </c>
      <c r="AU117" s="43">
        <f t="shared" si="944"/>
        <v>1.899999999999999</v>
      </c>
      <c r="AV117" s="43">
        <f t="shared" si="945"/>
        <v>1.7999999999999989</v>
      </c>
      <c r="AW117" s="43">
        <f t="shared" si="946"/>
        <v>1.6999999999999988</v>
      </c>
      <c r="AX117" s="43">
        <f t="shared" si="947"/>
        <v>1.5999999999999988</v>
      </c>
      <c r="AY117" s="43">
        <f t="shared" si="948"/>
        <v>1.4999999999999987</v>
      </c>
      <c r="AZ117" s="43">
        <f t="shared" si="949"/>
        <v>1.3999999999999986</v>
      </c>
      <c r="BA117" s="43">
        <f t="shared" si="950"/>
        <v>1.2999999999999985</v>
      </c>
      <c r="BB117" s="43">
        <f t="shared" si="951"/>
        <v>1.1999999999999984</v>
      </c>
      <c r="BC117" s="43">
        <f t="shared" si="952"/>
        <v>1.0999999999999983</v>
      </c>
      <c r="BD117" s="43">
        <f t="shared" si="953"/>
        <v>0.99999999999999833</v>
      </c>
      <c r="BE117" s="43">
        <f t="shared" si="954"/>
        <v>0.89999999999999836</v>
      </c>
      <c r="BF117" s="43">
        <f t="shared" si="955"/>
        <v>0.79999999999999838</v>
      </c>
      <c r="BG117" s="43">
        <f t="shared" si="956"/>
        <v>0.6999999999999984</v>
      </c>
      <c r="BH117" s="43">
        <f t="shared" si="957"/>
        <v>0.59999999999999842</v>
      </c>
      <c r="BI117" s="43">
        <f t="shared" si="958"/>
        <v>0.49999999999999845</v>
      </c>
      <c r="BJ117" s="43">
        <f t="shared" si="959"/>
        <v>0.39999999999999847</v>
      </c>
      <c r="BK117" s="43">
        <f t="shared" si="960"/>
        <v>0.29999999999999849</v>
      </c>
      <c r="BL117" s="43">
        <f t="shared" si="961"/>
        <v>0.19999999999999848</v>
      </c>
      <c r="BM117" s="43">
        <f t="shared" si="962"/>
        <v>9.9999999999998479E-2</v>
      </c>
      <c r="BN117" s="43">
        <f t="shared" si="963"/>
        <v>0</v>
      </c>
      <c r="BP117" s="43">
        <f t="shared" ref="BP117:BP124" si="997">D117</f>
        <v>3</v>
      </c>
      <c r="BQ117" s="43">
        <f t="shared" ref="BQ117:CS117" si="998">BP117-($BP117-$CT117)/30</f>
        <v>3</v>
      </c>
      <c r="BR117" s="43">
        <f t="shared" si="998"/>
        <v>3</v>
      </c>
      <c r="BS117" s="43">
        <f t="shared" si="998"/>
        <v>3</v>
      </c>
      <c r="BT117" s="43">
        <f t="shared" si="998"/>
        <v>3</v>
      </c>
      <c r="BU117" s="43">
        <f t="shared" si="998"/>
        <v>3</v>
      </c>
      <c r="BV117" s="43">
        <f t="shared" si="998"/>
        <v>3</v>
      </c>
      <c r="BW117" s="43">
        <f t="shared" si="998"/>
        <v>3</v>
      </c>
      <c r="BX117" s="43">
        <f t="shared" si="998"/>
        <v>3</v>
      </c>
      <c r="BY117" s="43">
        <f t="shared" si="998"/>
        <v>3</v>
      </c>
      <c r="BZ117" s="43">
        <f t="shared" si="998"/>
        <v>3</v>
      </c>
      <c r="CA117" s="43">
        <f t="shared" si="998"/>
        <v>3</v>
      </c>
      <c r="CB117" s="43">
        <f t="shared" si="998"/>
        <v>3</v>
      </c>
      <c r="CC117" s="43">
        <f t="shared" si="998"/>
        <v>3</v>
      </c>
      <c r="CD117" s="43">
        <f t="shared" si="998"/>
        <v>3</v>
      </c>
      <c r="CE117" s="43">
        <f t="shared" si="998"/>
        <v>3</v>
      </c>
      <c r="CF117" s="43">
        <f t="shared" si="998"/>
        <v>3</v>
      </c>
      <c r="CG117" s="43">
        <f t="shared" si="998"/>
        <v>3</v>
      </c>
      <c r="CH117" s="43">
        <f t="shared" si="998"/>
        <v>3</v>
      </c>
      <c r="CI117" s="43">
        <f t="shared" si="998"/>
        <v>3</v>
      </c>
      <c r="CJ117" s="43">
        <f t="shared" si="998"/>
        <v>3</v>
      </c>
      <c r="CK117" s="43">
        <f t="shared" si="998"/>
        <v>3</v>
      </c>
      <c r="CL117" s="43">
        <f t="shared" si="998"/>
        <v>3</v>
      </c>
      <c r="CM117" s="43">
        <f t="shared" si="998"/>
        <v>3</v>
      </c>
      <c r="CN117" s="43">
        <f t="shared" si="998"/>
        <v>3</v>
      </c>
      <c r="CO117" s="43">
        <f t="shared" si="998"/>
        <v>3</v>
      </c>
      <c r="CP117" s="43">
        <f t="shared" si="998"/>
        <v>3</v>
      </c>
      <c r="CQ117" s="43">
        <f t="shared" si="998"/>
        <v>3</v>
      </c>
      <c r="CR117" s="43">
        <f t="shared" si="998"/>
        <v>3</v>
      </c>
      <c r="CS117" s="43">
        <f t="shared" si="998"/>
        <v>3</v>
      </c>
      <c r="CT117" s="43">
        <f t="shared" ref="CT117:CT118" si="999">BP117</f>
        <v>3</v>
      </c>
      <c r="CV117" s="43">
        <f>AJ117</f>
        <v>3</v>
      </c>
      <c r="CW117" s="43">
        <f t="shared" si="965"/>
        <v>2.9</v>
      </c>
      <c r="CX117" s="43">
        <f t="shared" si="966"/>
        <v>2.8</v>
      </c>
      <c r="CY117" s="43">
        <f t="shared" si="967"/>
        <v>2.6999999999999997</v>
      </c>
      <c r="CZ117" s="43">
        <f t="shared" si="968"/>
        <v>2.5999999999999996</v>
      </c>
      <c r="DA117" s="43">
        <f t="shared" si="969"/>
        <v>2.4999999999999996</v>
      </c>
      <c r="DB117" s="43">
        <f t="shared" si="970"/>
        <v>2.3999999999999995</v>
      </c>
      <c r="DC117" s="43">
        <f t="shared" si="971"/>
        <v>2.2999999999999994</v>
      </c>
      <c r="DD117" s="43">
        <f t="shared" si="972"/>
        <v>2.1999999999999993</v>
      </c>
      <c r="DE117" s="43">
        <f t="shared" si="973"/>
        <v>2.0999999999999992</v>
      </c>
      <c r="DF117" s="43">
        <f t="shared" si="974"/>
        <v>1.9999999999999991</v>
      </c>
      <c r="DG117" s="43">
        <f t="shared" si="975"/>
        <v>1.899999999999999</v>
      </c>
      <c r="DH117" s="43">
        <f t="shared" si="976"/>
        <v>1.7999999999999989</v>
      </c>
      <c r="DI117" s="43">
        <f t="shared" si="977"/>
        <v>1.6999999999999988</v>
      </c>
      <c r="DJ117" s="43">
        <f t="shared" si="978"/>
        <v>1.5999999999999988</v>
      </c>
      <c r="DK117" s="43">
        <f t="shared" si="979"/>
        <v>1.4999999999999987</v>
      </c>
      <c r="DL117" s="43">
        <f t="shared" si="980"/>
        <v>1.3999999999999986</v>
      </c>
      <c r="DM117" s="43">
        <f t="shared" si="981"/>
        <v>1.2999999999999985</v>
      </c>
      <c r="DN117" s="43">
        <f t="shared" si="982"/>
        <v>1.1999999999999984</v>
      </c>
      <c r="DO117" s="43">
        <f t="shared" si="983"/>
        <v>1.0999999999999983</v>
      </c>
      <c r="DP117" s="43">
        <f t="shared" si="984"/>
        <v>0.99999999999999833</v>
      </c>
      <c r="DQ117" s="43">
        <f t="shared" si="985"/>
        <v>0.89999999999999836</v>
      </c>
      <c r="DR117" s="43">
        <f t="shared" si="986"/>
        <v>0.79999999999999838</v>
      </c>
      <c r="DS117" s="43">
        <f t="shared" si="987"/>
        <v>0.6999999999999984</v>
      </c>
      <c r="DT117" s="43">
        <f t="shared" si="988"/>
        <v>0.59999999999999842</v>
      </c>
      <c r="DU117" s="43">
        <f t="shared" si="989"/>
        <v>0.49999999999999845</v>
      </c>
      <c r="DV117" s="43">
        <f t="shared" si="990"/>
        <v>0.39999999999999847</v>
      </c>
      <c r="DW117" s="43">
        <f t="shared" si="991"/>
        <v>0.29999999999999849</v>
      </c>
      <c r="DX117" s="43">
        <f t="shared" si="992"/>
        <v>0.19999999999999848</v>
      </c>
      <c r="DY117" s="43">
        <f t="shared" si="993"/>
        <v>9.9999999999998479E-2</v>
      </c>
      <c r="DZ117" s="43">
        <f t="shared" si="994"/>
        <v>0</v>
      </c>
    </row>
    <row r="118" spans="1:165" x14ac:dyDescent="0.2">
      <c r="A118" s="606" t="s">
        <v>459</v>
      </c>
      <c r="C118" s="54" t="s">
        <v>458</v>
      </c>
      <c r="D118" s="43">
        <f>$BP$190</f>
        <v>1.3888980000000002</v>
      </c>
      <c r="E118" s="43">
        <f t="shared" ref="E118:AG118" si="1000">D118-($D118-$AH118)/30</f>
        <v>1.4271014000000002</v>
      </c>
      <c r="F118" s="43">
        <f t="shared" si="1000"/>
        <v>1.4653048000000002</v>
      </c>
      <c r="G118" s="43">
        <f t="shared" si="1000"/>
        <v>1.5035082000000002</v>
      </c>
      <c r="H118" s="43">
        <f t="shared" si="1000"/>
        <v>1.5417116000000002</v>
      </c>
      <c r="I118" s="43">
        <f t="shared" si="1000"/>
        <v>1.5799150000000002</v>
      </c>
      <c r="J118" s="43">
        <f t="shared" si="1000"/>
        <v>1.6181184000000002</v>
      </c>
      <c r="K118" s="43">
        <f t="shared" si="1000"/>
        <v>1.6563218000000002</v>
      </c>
      <c r="L118" s="43">
        <f t="shared" si="1000"/>
        <v>1.6945252000000002</v>
      </c>
      <c r="M118" s="43">
        <f t="shared" si="1000"/>
        <v>1.7327286000000002</v>
      </c>
      <c r="N118" s="43">
        <f t="shared" si="1000"/>
        <v>1.7709320000000002</v>
      </c>
      <c r="O118" s="43">
        <f t="shared" si="1000"/>
        <v>1.8091354000000002</v>
      </c>
      <c r="P118" s="43">
        <f t="shared" si="1000"/>
        <v>1.8473388000000002</v>
      </c>
      <c r="Q118" s="43">
        <f t="shared" si="1000"/>
        <v>1.8855422000000002</v>
      </c>
      <c r="R118" s="43">
        <f t="shared" si="1000"/>
        <v>1.9237456000000002</v>
      </c>
      <c r="S118" s="43">
        <f t="shared" si="1000"/>
        <v>1.9619490000000002</v>
      </c>
      <c r="T118" s="43">
        <f t="shared" si="1000"/>
        <v>2.0001524000000002</v>
      </c>
      <c r="U118" s="43">
        <f t="shared" si="1000"/>
        <v>2.0383558000000002</v>
      </c>
      <c r="V118" s="43">
        <f t="shared" si="1000"/>
        <v>2.0765592000000002</v>
      </c>
      <c r="W118" s="43">
        <f t="shared" si="1000"/>
        <v>2.1147626000000002</v>
      </c>
      <c r="X118" s="43">
        <f t="shared" si="1000"/>
        <v>2.1529660000000002</v>
      </c>
      <c r="Y118" s="43">
        <f t="shared" si="1000"/>
        <v>2.1911694000000002</v>
      </c>
      <c r="Z118" s="43">
        <f t="shared" si="1000"/>
        <v>2.2293728000000002</v>
      </c>
      <c r="AA118" s="43">
        <f t="shared" si="1000"/>
        <v>2.2675762000000002</v>
      </c>
      <c r="AB118" s="43">
        <f t="shared" si="1000"/>
        <v>2.3057796000000002</v>
      </c>
      <c r="AC118" s="43">
        <f t="shared" si="1000"/>
        <v>2.3439830000000001</v>
      </c>
      <c r="AD118" s="43">
        <f t="shared" si="1000"/>
        <v>2.3821864000000001</v>
      </c>
      <c r="AE118" s="43">
        <f t="shared" si="1000"/>
        <v>2.4203898000000001</v>
      </c>
      <c r="AF118" s="43">
        <f t="shared" si="1000"/>
        <v>2.4585932000000001</v>
      </c>
      <c r="AG118" s="43">
        <f t="shared" si="1000"/>
        <v>2.4967966000000001</v>
      </c>
      <c r="AH118" s="43">
        <f>EB190</f>
        <v>2.5350000000000001</v>
      </c>
      <c r="AI118" s="44"/>
      <c r="AJ118" s="43">
        <f t="shared" si="996"/>
        <v>1.3888980000000002</v>
      </c>
      <c r="AK118" s="43">
        <f t="shared" si="934"/>
        <v>1.4271014000000002</v>
      </c>
      <c r="AL118" s="43">
        <f t="shared" si="935"/>
        <v>1.4653048000000002</v>
      </c>
      <c r="AM118" s="43">
        <f t="shared" si="936"/>
        <v>1.5035082000000002</v>
      </c>
      <c r="AN118" s="43">
        <f t="shared" si="937"/>
        <v>1.5417116000000002</v>
      </c>
      <c r="AO118" s="43">
        <f t="shared" si="938"/>
        <v>1.5799150000000002</v>
      </c>
      <c r="AP118" s="43">
        <f t="shared" si="939"/>
        <v>1.6181184000000002</v>
      </c>
      <c r="AQ118" s="43">
        <f t="shared" si="940"/>
        <v>1.6563218000000002</v>
      </c>
      <c r="AR118" s="43">
        <f t="shared" si="941"/>
        <v>1.6945252000000002</v>
      </c>
      <c r="AS118" s="43">
        <f t="shared" si="942"/>
        <v>1.7327286000000002</v>
      </c>
      <c r="AT118" s="43">
        <f t="shared" si="943"/>
        <v>1.7709320000000002</v>
      </c>
      <c r="AU118" s="43">
        <f t="shared" si="944"/>
        <v>1.8091354000000002</v>
      </c>
      <c r="AV118" s="43">
        <f t="shared" si="945"/>
        <v>1.8473388000000002</v>
      </c>
      <c r="AW118" s="43">
        <f t="shared" si="946"/>
        <v>1.8855422000000002</v>
      </c>
      <c r="AX118" s="43">
        <f t="shared" si="947"/>
        <v>1.9237456000000002</v>
      </c>
      <c r="AY118" s="43">
        <f t="shared" si="948"/>
        <v>1.9619490000000002</v>
      </c>
      <c r="AZ118" s="43">
        <f t="shared" si="949"/>
        <v>2.0001524000000002</v>
      </c>
      <c r="BA118" s="43">
        <f t="shared" si="950"/>
        <v>2.0383558000000002</v>
      </c>
      <c r="BB118" s="43">
        <f t="shared" si="951"/>
        <v>2.0765592000000002</v>
      </c>
      <c r="BC118" s="43">
        <f t="shared" si="952"/>
        <v>2.1147626000000002</v>
      </c>
      <c r="BD118" s="43">
        <f t="shared" si="953"/>
        <v>2.1529660000000002</v>
      </c>
      <c r="BE118" s="43">
        <f t="shared" si="954"/>
        <v>2.1911694000000002</v>
      </c>
      <c r="BF118" s="43">
        <f t="shared" si="955"/>
        <v>2.2293728000000002</v>
      </c>
      <c r="BG118" s="43">
        <f t="shared" si="956"/>
        <v>2.2675762000000002</v>
      </c>
      <c r="BH118" s="43">
        <f t="shared" si="957"/>
        <v>2.3057796000000002</v>
      </c>
      <c r="BI118" s="43">
        <f t="shared" si="958"/>
        <v>2.3439830000000001</v>
      </c>
      <c r="BJ118" s="43">
        <f t="shared" si="959"/>
        <v>2.3821864000000001</v>
      </c>
      <c r="BK118" s="43">
        <f t="shared" si="960"/>
        <v>2.4203898000000001</v>
      </c>
      <c r="BL118" s="43">
        <f t="shared" si="961"/>
        <v>2.4585932000000001</v>
      </c>
      <c r="BM118" s="43">
        <f t="shared" si="962"/>
        <v>2.4967966000000001</v>
      </c>
      <c r="BN118" s="43">
        <f t="shared" si="963"/>
        <v>2.5350000000000001</v>
      </c>
      <c r="BP118" s="43">
        <f t="shared" si="997"/>
        <v>1.3888980000000002</v>
      </c>
      <c r="BQ118" s="43">
        <f t="shared" ref="BQ118:CS118" si="1001">BP118-($BP118-$CT118)/30</f>
        <v>1.3888980000000002</v>
      </c>
      <c r="BR118" s="43">
        <f t="shared" si="1001"/>
        <v>1.3888980000000002</v>
      </c>
      <c r="BS118" s="43">
        <f t="shared" si="1001"/>
        <v>1.3888980000000002</v>
      </c>
      <c r="BT118" s="43">
        <f t="shared" si="1001"/>
        <v>1.3888980000000002</v>
      </c>
      <c r="BU118" s="43">
        <f t="shared" si="1001"/>
        <v>1.3888980000000002</v>
      </c>
      <c r="BV118" s="43">
        <f t="shared" si="1001"/>
        <v>1.3888980000000002</v>
      </c>
      <c r="BW118" s="43">
        <f t="shared" si="1001"/>
        <v>1.3888980000000002</v>
      </c>
      <c r="BX118" s="43">
        <f t="shared" si="1001"/>
        <v>1.3888980000000002</v>
      </c>
      <c r="BY118" s="43">
        <f t="shared" si="1001"/>
        <v>1.3888980000000002</v>
      </c>
      <c r="BZ118" s="43">
        <f t="shared" si="1001"/>
        <v>1.3888980000000002</v>
      </c>
      <c r="CA118" s="43">
        <f t="shared" si="1001"/>
        <v>1.3888980000000002</v>
      </c>
      <c r="CB118" s="43">
        <f t="shared" si="1001"/>
        <v>1.3888980000000002</v>
      </c>
      <c r="CC118" s="43">
        <f t="shared" si="1001"/>
        <v>1.3888980000000002</v>
      </c>
      <c r="CD118" s="43">
        <f t="shared" si="1001"/>
        <v>1.3888980000000002</v>
      </c>
      <c r="CE118" s="43">
        <f t="shared" si="1001"/>
        <v>1.3888980000000002</v>
      </c>
      <c r="CF118" s="43">
        <f t="shared" si="1001"/>
        <v>1.3888980000000002</v>
      </c>
      <c r="CG118" s="43">
        <f t="shared" si="1001"/>
        <v>1.3888980000000002</v>
      </c>
      <c r="CH118" s="43">
        <f t="shared" si="1001"/>
        <v>1.3888980000000002</v>
      </c>
      <c r="CI118" s="43">
        <f t="shared" si="1001"/>
        <v>1.3888980000000002</v>
      </c>
      <c r="CJ118" s="43">
        <f t="shared" si="1001"/>
        <v>1.3888980000000002</v>
      </c>
      <c r="CK118" s="43">
        <f t="shared" si="1001"/>
        <v>1.3888980000000002</v>
      </c>
      <c r="CL118" s="43">
        <f t="shared" si="1001"/>
        <v>1.3888980000000002</v>
      </c>
      <c r="CM118" s="43">
        <f t="shared" si="1001"/>
        <v>1.3888980000000002</v>
      </c>
      <c r="CN118" s="43">
        <f t="shared" si="1001"/>
        <v>1.3888980000000002</v>
      </c>
      <c r="CO118" s="43">
        <f t="shared" si="1001"/>
        <v>1.3888980000000002</v>
      </c>
      <c r="CP118" s="43">
        <f t="shared" si="1001"/>
        <v>1.3888980000000002</v>
      </c>
      <c r="CQ118" s="43">
        <f t="shared" si="1001"/>
        <v>1.3888980000000002</v>
      </c>
      <c r="CR118" s="43">
        <f t="shared" si="1001"/>
        <v>1.3888980000000002</v>
      </c>
      <c r="CS118" s="43">
        <f t="shared" si="1001"/>
        <v>1.3888980000000002</v>
      </c>
      <c r="CT118" s="43">
        <f t="shared" si="999"/>
        <v>1.3888980000000002</v>
      </c>
      <c r="CV118" s="43">
        <f>AJ118</f>
        <v>1.3888980000000002</v>
      </c>
      <c r="CW118" s="43">
        <f t="shared" si="965"/>
        <v>1.4271014000000002</v>
      </c>
      <c r="CX118" s="43">
        <f t="shared" si="966"/>
        <v>1.4653048000000002</v>
      </c>
      <c r="CY118" s="43">
        <f t="shared" si="967"/>
        <v>1.5035082000000002</v>
      </c>
      <c r="CZ118" s="43">
        <f t="shared" si="968"/>
        <v>1.5417116000000002</v>
      </c>
      <c r="DA118" s="43">
        <f t="shared" si="969"/>
        <v>1.5799150000000002</v>
      </c>
      <c r="DB118" s="43">
        <f t="shared" si="970"/>
        <v>1.6181184000000002</v>
      </c>
      <c r="DC118" s="43">
        <f t="shared" si="971"/>
        <v>1.6563218000000002</v>
      </c>
      <c r="DD118" s="43">
        <f t="shared" si="972"/>
        <v>1.6945252000000002</v>
      </c>
      <c r="DE118" s="43">
        <f t="shared" si="973"/>
        <v>1.7327286000000002</v>
      </c>
      <c r="DF118" s="43">
        <f t="shared" si="974"/>
        <v>1.7709320000000002</v>
      </c>
      <c r="DG118" s="43">
        <f t="shared" si="975"/>
        <v>1.8091354000000002</v>
      </c>
      <c r="DH118" s="43">
        <f t="shared" si="976"/>
        <v>1.8473388000000002</v>
      </c>
      <c r="DI118" s="43">
        <f t="shared" si="977"/>
        <v>1.8855422000000002</v>
      </c>
      <c r="DJ118" s="43">
        <f t="shared" si="978"/>
        <v>1.9237456000000002</v>
      </c>
      <c r="DK118" s="43">
        <f t="shared" si="979"/>
        <v>1.9619490000000002</v>
      </c>
      <c r="DL118" s="43">
        <f t="shared" si="980"/>
        <v>2.0001524000000002</v>
      </c>
      <c r="DM118" s="43">
        <f t="shared" si="981"/>
        <v>2.0383558000000002</v>
      </c>
      <c r="DN118" s="43">
        <f t="shared" si="982"/>
        <v>2.0765592000000002</v>
      </c>
      <c r="DO118" s="43">
        <f t="shared" si="983"/>
        <v>2.1147626000000002</v>
      </c>
      <c r="DP118" s="43">
        <f t="shared" si="984"/>
        <v>2.1529660000000002</v>
      </c>
      <c r="DQ118" s="43">
        <f t="shared" si="985"/>
        <v>2.1911694000000002</v>
      </c>
      <c r="DR118" s="43">
        <f t="shared" si="986"/>
        <v>2.2293728000000002</v>
      </c>
      <c r="DS118" s="43">
        <f t="shared" si="987"/>
        <v>2.2675762000000002</v>
      </c>
      <c r="DT118" s="43">
        <f t="shared" si="988"/>
        <v>2.3057796000000002</v>
      </c>
      <c r="DU118" s="43">
        <f t="shared" si="989"/>
        <v>2.3439830000000001</v>
      </c>
      <c r="DV118" s="43">
        <f t="shared" si="990"/>
        <v>2.3821864000000001</v>
      </c>
      <c r="DW118" s="43">
        <f t="shared" si="991"/>
        <v>2.4203898000000001</v>
      </c>
      <c r="DX118" s="43">
        <f t="shared" si="992"/>
        <v>2.4585932000000001</v>
      </c>
      <c r="DY118" s="43">
        <f t="shared" si="993"/>
        <v>2.4967966000000001</v>
      </c>
      <c r="DZ118" s="43">
        <f t="shared" si="994"/>
        <v>2.5350000000000001</v>
      </c>
    </row>
    <row r="119" spans="1:165" x14ac:dyDescent="0.2">
      <c r="A119" s="606" t="s">
        <v>460</v>
      </c>
      <c r="C119" s="54" t="s">
        <v>458</v>
      </c>
      <c r="D119" s="43">
        <f>$BP$190</f>
        <v>1.3888980000000002</v>
      </c>
      <c r="E119" s="43">
        <f t="shared" ref="E119:AG119" si="1002">D119-($D119-$AH119)/30</f>
        <v>1.3449162300000002</v>
      </c>
      <c r="F119" s="43">
        <f t="shared" si="1002"/>
        <v>1.3009344600000001</v>
      </c>
      <c r="G119" s="43">
        <f t="shared" si="1002"/>
        <v>1.2569526900000001</v>
      </c>
      <c r="H119" s="43">
        <f t="shared" si="1002"/>
        <v>1.2129709200000001</v>
      </c>
      <c r="I119" s="43">
        <f t="shared" si="1002"/>
        <v>1.16898915</v>
      </c>
      <c r="J119" s="43">
        <f t="shared" si="1002"/>
        <v>1.12500738</v>
      </c>
      <c r="K119" s="43">
        <f t="shared" si="1002"/>
        <v>1.08102561</v>
      </c>
      <c r="L119" s="43">
        <f t="shared" si="1002"/>
        <v>1.0370438399999999</v>
      </c>
      <c r="M119" s="43">
        <f t="shared" si="1002"/>
        <v>0.99306206999999991</v>
      </c>
      <c r="N119" s="43">
        <f t="shared" si="1002"/>
        <v>0.94908029999999988</v>
      </c>
      <c r="O119" s="43">
        <f t="shared" si="1002"/>
        <v>0.90509852999999985</v>
      </c>
      <c r="P119" s="43">
        <f t="shared" si="1002"/>
        <v>0.86111675999999981</v>
      </c>
      <c r="Q119" s="43">
        <f t="shared" si="1002"/>
        <v>0.81713498999999978</v>
      </c>
      <c r="R119" s="43">
        <f t="shared" si="1002"/>
        <v>0.77315321999999975</v>
      </c>
      <c r="S119" s="43">
        <f t="shared" si="1002"/>
        <v>0.72917144999999972</v>
      </c>
      <c r="T119" s="43">
        <f t="shared" si="1002"/>
        <v>0.68518967999999969</v>
      </c>
      <c r="U119" s="43">
        <f t="shared" si="1002"/>
        <v>0.64120790999999966</v>
      </c>
      <c r="V119" s="43">
        <f t="shared" si="1002"/>
        <v>0.59722613999999963</v>
      </c>
      <c r="W119" s="43">
        <f t="shared" si="1002"/>
        <v>0.5532443699999996</v>
      </c>
      <c r="X119" s="43">
        <f t="shared" si="1002"/>
        <v>0.50926259999999957</v>
      </c>
      <c r="Y119" s="43">
        <f t="shared" si="1002"/>
        <v>0.46528082999999953</v>
      </c>
      <c r="Z119" s="43">
        <f t="shared" si="1002"/>
        <v>0.4212990599999995</v>
      </c>
      <c r="AA119" s="43">
        <f t="shared" si="1002"/>
        <v>0.37731728999999947</v>
      </c>
      <c r="AB119" s="43">
        <f t="shared" si="1002"/>
        <v>0.33333551999999944</v>
      </c>
      <c r="AC119" s="43">
        <f t="shared" si="1002"/>
        <v>0.28935374999999941</v>
      </c>
      <c r="AD119" s="43">
        <f t="shared" si="1002"/>
        <v>0.24537197999999941</v>
      </c>
      <c r="AE119" s="43">
        <f t="shared" si="1002"/>
        <v>0.2013902099999994</v>
      </c>
      <c r="AF119" s="43">
        <f t="shared" si="1002"/>
        <v>0.1574084399999994</v>
      </c>
      <c r="AG119" s="43">
        <f t="shared" si="1002"/>
        <v>0.1134266699999994</v>
      </c>
      <c r="AH119" s="43">
        <f>$BZ$190</f>
        <v>6.9444900000000073E-2</v>
      </c>
      <c r="AI119" s="44"/>
      <c r="AJ119" s="43">
        <f t="shared" si="996"/>
        <v>1.3888980000000002</v>
      </c>
      <c r="AK119" s="43">
        <f t="shared" si="934"/>
        <v>1.3449162300000002</v>
      </c>
      <c r="AL119" s="43">
        <f t="shared" si="935"/>
        <v>1.3009344600000001</v>
      </c>
      <c r="AM119" s="43">
        <f t="shared" si="936"/>
        <v>1.2569526900000001</v>
      </c>
      <c r="AN119" s="43">
        <f t="shared" si="937"/>
        <v>1.2129709200000001</v>
      </c>
      <c r="AO119" s="43">
        <f t="shared" si="938"/>
        <v>1.16898915</v>
      </c>
      <c r="AP119" s="43">
        <f t="shared" si="939"/>
        <v>1.12500738</v>
      </c>
      <c r="AQ119" s="43">
        <f t="shared" si="940"/>
        <v>1.08102561</v>
      </c>
      <c r="AR119" s="43">
        <f t="shared" si="941"/>
        <v>1.0370438399999999</v>
      </c>
      <c r="AS119" s="43">
        <f t="shared" si="942"/>
        <v>0.99306206999999991</v>
      </c>
      <c r="AT119" s="43">
        <f t="shared" si="943"/>
        <v>0.94908029999999988</v>
      </c>
      <c r="AU119" s="43">
        <f t="shared" si="944"/>
        <v>0.90509852999999985</v>
      </c>
      <c r="AV119" s="43">
        <f t="shared" si="945"/>
        <v>0.86111675999999981</v>
      </c>
      <c r="AW119" s="43">
        <f t="shared" si="946"/>
        <v>0.81713498999999978</v>
      </c>
      <c r="AX119" s="43">
        <f t="shared" si="947"/>
        <v>0.77315321999999975</v>
      </c>
      <c r="AY119" s="43">
        <f t="shared" si="948"/>
        <v>0.72917144999999972</v>
      </c>
      <c r="AZ119" s="43">
        <f t="shared" si="949"/>
        <v>0.68518967999999969</v>
      </c>
      <c r="BA119" s="43">
        <f t="shared" si="950"/>
        <v>0.64120790999999966</v>
      </c>
      <c r="BB119" s="43">
        <f t="shared" si="951"/>
        <v>0.59722613999999963</v>
      </c>
      <c r="BC119" s="43">
        <f t="shared" si="952"/>
        <v>0.5532443699999996</v>
      </c>
      <c r="BD119" s="43">
        <f t="shared" si="953"/>
        <v>0.50926259999999957</v>
      </c>
      <c r="BE119" s="43">
        <f t="shared" si="954"/>
        <v>0.46528082999999953</v>
      </c>
      <c r="BF119" s="43">
        <f t="shared" si="955"/>
        <v>0.4212990599999995</v>
      </c>
      <c r="BG119" s="43">
        <f t="shared" si="956"/>
        <v>0.37731728999999947</v>
      </c>
      <c r="BH119" s="43">
        <f t="shared" si="957"/>
        <v>0.33333551999999944</v>
      </c>
      <c r="BI119" s="43">
        <f t="shared" si="958"/>
        <v>0.28935374999999941</v>
      </c>
      <c r="BJ119" s="43">
        <f t="shared" si="959"/>
        <v>0.24537197999999941</v>
      </c>
      <c r="BK119" s="43">
        <f t="shared" si="960"/>
        <v>0.2013902099999994</v>
      </c>
      <c r="BL119" s="43">
        <f t="shared" si="961"/>
        <v>0.1574084399999994</v>
      </c>
      <c r="BM119" s="43">
        <f t="shared" si="962"/>
        <v>0.1134266699999994</v>
      </c>
      <c r="BN119" s="43">
        <f t="shared" si="963"/>
        <v>6.9444900000000073E-2</v>
      </c>
      <c r="BP119" s="43">
        <f t="shared" si="997"/>
        <v>1.3888980000000002</v>
      </c>
      <c r="BQ119" s="43">
        <f t="shared" ref="BQ119:CS119" si="1003">BP119-($BP119-$CT119)/30</f>
        <v>1.3449162300000002</v>
      </c>
      <c r="BR119" s="43">
        <f t="shared" si="1003"/>
        <v>1.3009344600000001</v>
      </c>
      <c r="BS119" s="43">
        <f t="shared" si="1003"/>
        <v>1.2569526900000001</v>
      </c>
      <c r="BT119" s="43">
        <f t="shared" si="1003"/>
        <v>1.2129709200000001</v>
      </c>
      <c r="BU119" s="43">
        <f t="shared" si="1003"/>
        <v>1.16898915</v>
      </c>
      <c r="BV119" s="43">
        <f t="shared" si="1003"/>
        <v>1.12500738</v>
      </c>
      <c r="BW119" s="43">
        <f t="shared" si="1003"/>
        <v>1.08102561</v>
      </c>
      <c r="BX119" s="43">
        <f t="shared" si="1003"/>
        <v>1.0370438399999999</v>
      </c>
      <c r="BY119" s="43">
        <f t="shared" si="1003"/>
        <v>0.99306206999999991</v>
      </c>
      <c r="BZ119" s="43">
        <f t="shared" si="1003"/>
        <v>0.94908029999999988</v>
      </c>
      <c r="CA119" s="43">
        <f t="shared" si="1003"/>
        <v>0.90509852999999985</v>
      </c>
      <c r="CB119" s="43">
        <f t="shared" si="1003"/>
        <v>0.86111675999999981</v>
      </c>
      <c r="CC119" s="43">
        <f t="shared" si="1003"/>
        <v>0.81713498999999978</v>
      </c>
      <c r="CD119" s="43">
        <f t="shared" si="1003"/>
        <v>0.77315321999999975</v>
      </c>
      <c r="CE119" s="43">
        <f t="shared" si="1003"/>
        <v>0.72917144999999972</v>
      </c>
      <c r="CF119" s="43">
        <f t="shared" si="1003"/>
        <v>0.68518967999999969</v>
      </c>
      <c r="CG119" s="43">
        <f t="shared" si="1003"/>
        <v>0.64120790999999966</v>
      </c>
      <c r="CH119" s="43">
        <f t="shared" si="1003"/>
        <v>0.59722613999999963</v>
      </c>
      <c r="CI119" s="43">
        <f t="shared" si="1003"/>
        <v>0.5532443699999996</v>
      </c>
      <c r="CJ119" s="43">
        <f t="shared" si="1003"/>
        <v>0.50926259999999957</v>
      </c>
      <c r="CK119" s="43">
        <f t="shared" si="1003"/>
        <v>0.46528082999999953</v>
      </c>
      <c r="CL119" s="43">
        <f t="shared" si="1003"/>
        <v>0.4212990599999995</v>
      </c>
      <c r="CM119" s="43">
        <f t="shared" si="1003"/>
        <v>0.37731728999999947</v>
      </c>
      <c r="CN119" s="43">
        <f t="shared" si="1003"/>
        <v>0.33333551999999944</v>
      </c>
      <c r="CO119" s="43">
        <f t="shared" si="1003"/>
        <v>0.28935374999999941</v>
      </c>
      <c r="CP119" s="43">
        <f t="shared" si="1003"/>
        <v>0.24537197999999941</v>
      </c>
      <c r="CQ119" s="43">
        <f t="shared" si="1003"/>
        <v>0.2013902099999994</v>
      </c>
      <c r="CR119" s="43">
        <f t="shared" si="1003"/>
        <v>0.1574084399999994</v>
      </c>
      <c r="CS119" s="43">
        <f t="shared" si="1003"/>
        <v>0.1134266699999994</v>
      </c>
      <c r="CT119" s="43">
        <f>BN119</f>
        <v>6.9444900000000073E-2</v>
      </c>
      <c r="CV119" s="43">
        <f>AJ119</f>
        <v>1.3888980000000002</v>
      </c>
      <c r="CW119" s="43">
        <f t="shared" si="965"/>
        <v>1.3449162300000002</v>
      </c>
      <c r="CX119" s="43">
        <f t="shared" si="966"/>
        <v>1.3009344600000001</v>
      </c>
      <c r="CY119" s="43">
        <f t="shared" si="967"/>
        <v>1.2569526900000001</v>
      </c>
      <c r="CZ119" s="43">
        <f t="shared" si="968"/>
        <v>1.2129709200000001</v>
      </c>
      <c r="DA119" s="43">
        <f t="shared" si="969"/>
        <v>1.16898915</v>
      </c>
      <c r="DB119" s="43">
        <f t="shared" si="970"/>
        <v>1.12500738</v>
      </c>
      <c r="DC119" s="43">
        <f t="shared" si="971"/>
        <v>1.08102561</v>
      </c>
      <c r="DD119" s="43">
        <f t="shared" si="972"/>
        <v>1.0370438399999999</v>
      </c>
      <c r="DE119" s="43">
        <f t="shared" si="973"/>
        <v>0.99306206999999991</v>
      </c>
      <c r="DF119" s="43">
        <f t="shared" si="974"/>
        <v>0.94908029999999988</v>
      </c>
      <c r="DG119" s="43">
        <f t="shared" si="975"/>
        <v>0.90509852999999985</v>
      </c>
      <c r="DH119" s="43">
        <f t="shared" si="976"/>
        <v>0.86111675999999981</v>
      </c>
      <c r="DI119" s="43">
        <f t="shared" si="977"/>
        <v>0.81713498999999978</v>
      </c>
      <c r="DJ119" s="43">
        <f t="shared" si="978"/>
        <v>0.77315321999999975</v>
      </c>
      <c r="DK119" s="43">
        <f t="shared" si="979"/>
        <v>0.72917144999999972</v>
      </c>
      <c r="DL119" s="43">
        <f t="shared" si="980"/>
        <v>0.68518967999999969</v>
      </c>
      <c r="DM119" s="43">
        <f t="shared" si="981"/>
        <v>0.64120790999999966</v>
      </c>
      <c r="DN119" s="43">
        <f t="shared" si="982"/>
        <v>0.59722613999999963</v>
      </c>
      <c r="DO119" s="43">
        <f t="shared" si="983"/>
        <v>0.5532443699999996</v>
      </c>
      <c r="DP119" s="43">
        <f t="shared" si="984"/>
        <v>0.50926259999999957</v>
      </c>
      <c r="DQ119" s="43">
        <f t="shared" si="985"/>
        <v>0.46528082999999953</v>
      </c>
      <c r="DR119" s="43">
        <f t="shared" si="986"/>
        <v>0.4212990599999995</v>
      </c>
      <c r="DS119" s="43">
        <f t="shared" si="987"/>
        <v>0.37731728999999947</v>
      </c>
      <c r="DT119" s="43">
        <f t="shared" si="988"/>
        <v>0.33333551999999944</v>
      </c>
      <c r="DU119" s="43">
        <f t="shared" si="989"/>
        <v>0.28935374999999941</v>
      </c>
      <c r="DV119" s="43">
        <f t="shared" si="990"/>
        <v>0.24537197999999941</v>
      </c>
      <c r="DW119" s="43">
        <f t="shared" si="991"/>
        <v>0.2013902099999994</v>
      </c>
      <c r="DX119" s="43">
        <f t="shared" si="992"/>
        <v>0.1574084399999994</v>
      </c>
      <c r="DY119" s="43">
        <f t="shared" si="993"/>
        <v>0.1134266699999994</v>
      </c>
      <c r="DZ119" s="43">
        <f t="shared" si="994"/>
        <v>6.9444900000000073E-2</v>
      </c>
    </row>
    <row r="120" spans="1:165" x14ac:dyDescent="0.2">
      <c r="A120" s="606" t="s">
        <v>33</v>
      </c>
      <c r="C120" s="54" t="s">
        <v>458</v>
      </c>
      <c r="D120" s="43">
        <f>$B$190</f>
        <v>5.0000000000000001E-3</v>
      </c>
      <c r="E120" s="43">
        <f t="shared" ref="E120:AG120" si="1004">D120-($D120-$AH120)/30</f>
        <v>4.8333333333333336E-3</v>
      </c>
      <c r="F120" s="43">
        <f t="shared" si="1004"/>
        <v>4.6666666666666671E-3</v>
      </c>
      <c r="G120" s="43">
        <f t="shared" si="1004"/>
        <v>4.5000000000000005E-3</v>
      </c>
      <c r="H120" s="43">
        <f t="shared" si="1004"/>
        <v>4.333333333333334E-3</v>
      </c>
      <c r="I120" s="43">
        <f t="shared" si="1004"/>
        <v>4.1666666666666675E-3</v>
      </c>
      <c r="J120" s="43">
        <f t="shared" si="1004"/>
        <v>4.000000000000001E-3</v>
      </c>
      <c r="K120" s="43">
        <f t="shared" si="1004"/>
        <v>3.8333333333333344E-3</v>
      </c>
      <c r="L120" s="43">
        <f t="shared" si="1004"/>
        <v>3.6666666666666679E-3</v>
      </c>
      <c r="M120" s="43">
        <f t="shared" si="1004"/>
        <v>3.5000000000000014E-3</v>
      </c>
      <c r="N120" s="43">
        <f t="shared" si="1004"/>
        <v>3.3333333333333348E-3</v>
      </c>
      <c r="O120" s="43">
        <f t="shared" si="1004"/>
        <v>3.1666666666666683E-3</v>
      </c>
      <c r="P120" s="43">
        <f t="shared" si="1004"/>
        <v>3.0000000000000018E-3</v>
      </c>
      <c r="Q120" s="43">
        <f t="shared" si="1004"/>
        <v>2.8333333333333353E-3</v>
      </c>
      <c r="R120" s="43">
        <f t="shared" si="1004"/>
        <v>2.6666666666666687E-3</v>
      </c>
      <c r="S120" s="43">
        <f t="shared" si="1004"/>
        <v>2.5000000000000022E-3</v>
      </c>
      <c r="T120" s="43">
        <f t="shared" si="1004"/>
        <v>2.3333333333333357E-3</v>
      </c>
      <c r="U120" s="43">
        <f t="shared" si="1004"/>
        <v>2.1666666666666692E-3</v>
      </c>
      <c r="V120" s="43">
        <f t="shared" si="1004"/>
        <v>2.0000000000000026E-3</v>
      </c>
      <c r="W120" s="43">
        <f t="shared" si="1004"/>
        <v>1.8333333333333359E-3</v>
      </c>
      <c r="X120" s="43">
        <f t="shared" si="1004"/>
        <v>1.6666666666666692E-3</v>
      </c>
      <c r="Y120" s="43">
        <f t="shared" si="1004"/>
        <v>1.5000000000000024E-3</v>
      </c>
      <c r="Z120" s="43">
        <f t="shared" si="1004"/>
        <v>1.3333333333333357E-3</v>
      </c>
      <c r="AA120" s="43">
        <f t="shared" si="1004"/>
        <v>1.1666666666666689E-3</v>
      </c>
      <c r="AB120" s="43">
        <f t="shared" si="1004"/>
        <v>1.0000000000000022E-3</v>
      </c>
      <c r="AC120" s="43">
        <f t="shared" si="1004"/>
        <v>8.3333333333333556E-4</v>
      </c>
      <c r="AD120" s="43">
        <f t="shared" si="1004"/>
        <v>6.6666666666666892E-4</v>
      </c>
      <c r="AE120" s="43">
        <f t="shared" si="1004"/>
        <v>5.0000000000000229E-4</v>
      </c>
      <c r="AF120" s="43">
        <f t="shared" si="1004"/>
        <v>3.3333333333333565E-4</v>
      </c>
      <c r="AG120" s="43">
        <f t="shared" si="1004"/>
        <v>1.6666666666666899E-4</v>
      </c>
      <c r="AH120" s="43">
        <f>$C$190</f>
        <v>0</v>
      </c>
      <c r="AI120" s="44"/>
      <c r="AJ120" s="43">
        <f t="shared" si="996"/>
        <v>5.0000000000000001E-3</v>
      </c>
      <c r="AK120" s="43">
        <f t="shared" si="934"/>
        <v>4.8333333333333336E-3</v>
      </c>
      <c r="AL120" s="43">
        <f t="shared" si="935"/>
        <v>4.6666666666666671E-3</v>
      </c>
      <c r="AM120" s="43">
        <f t="shared" si="936"/>
        <v>4.5000000000000005E-3</v>
      </c>
      <c r="AN120" s="43">
        <f t="shared" si="937"/>
        <v>4.333333333333334E-3</v>
      </c>
      <c r="AO120" s="43">
        <f t="shared" si="938"/>
        <v>4.1666666666666675E-3</v>
      </c>
      <c r="AP120" s="43">
        <f t="shared" si="939"/>
        <v>4.000000000000001E-3</v>
      </c>
      <c r="AQ120" s="43">
        <f t="shared" si="940"/>
        <v>3.8333333333333344E-3</v>
      </c>
      <c r="AR120" s="43">
        <f t="shared" si="941"/>
        <v>3.6666666666666679E-3</v>
      </c>
      <c r="AS120" s="43">
        <f t="shared" si="942"/>
        <v>3.5000000000000014E-3</v>
      </c>
      <c r="AT120" s="43">
        <f t="shared" si="943"/>
        <v>3.3333333333333348E-3</v>
      </c>
      <c r="AU120" s="43">
        <f t="shared" si="944"/>
        <v>3.1666666666666683E-3</v>
      </c>
      <c r="AV120" s="43">
        <f t="shared" si="945"/>
        <v>3.0000000000000018E-3</v>
      </c>
      <c r="AW120" s="43">
        <f t="shared" si="946"/>
        <v>2.8333333333333353E-3</v>
      </c>
      <c r="AX120" s="43">
        <f t="shared" si="947"/>
        <v>2.6666666666666687E-3</v>
      </c>
      <c r="AY120" s="43">
        <f t="shared" si="948"/>
        <v>2.5000000000000022E-3</v>
      </c>
      <c r="AZ120" s="43">
        <f t="shared" si="949"/>
        <v>2.3333333333333357E-3</v>
      </c>
      <c r="BA120" s="43">
        <f t="shared" si="950"/>
        <v>2.1666666666666692E-3</v>
      </c>
      <c r="BB120" s="43">
        <f t="shared" si="951"/>
        <v>2.0000000000000026E-3</v>
      </c>
      <c r="BC120" s="43">
        <f t="shared" si="952"/>
        <v>1.8333333333333359E-3</v>
      </c>
      <c r="BD120" s="43">
        <f t="shared" si="953"/>
        <v>1.6666666666666692E-3</v>
      </c>
      <c r="BE120" s="43">
        <f t="shared" si="954"/>
        <v>1.5000000000000024E-3</v>
      </c>
      <c r="BF120" s="43">
        <f t="shared" si="955"/>
        <v>1.3333333333333357E-3</v>
      </c>
      <c r="BG120" s="43">
        <f t="shared" si="956"/>
        <v>1.1666666666666689E-3</v>
      </c>
      <c r="BH120" s="43">
        <f t="shared" si="957"/>
        <v>1.0000000000000022E-3</v>
      </c>
      <c r="BI120" s="43">
        <f t="shared" si="958"/>
        <v>8.3333333333333556E-4</v>
      </c>
      <c r="BJ120" s="43">
        <f t="shared" si="959"/>
        <v>6.6666666666666892E-4</v>
      </c>
      <c r="BK120" s="43">
        <f t="shared" si="960"/>
        <v>5.0000000000000229E-4</v>
      </c>
      <c r="BL120" s="43">
        <f t="shared" si="961"/>
        <v>3.3333333333333565E-4</v>
      </c>
      <c r="BM120" s="43">
        <f t="shared" si="962"/>
        <v>1.6666666666666899E-4</v>
      </c>
      <c r="BN120" s="43">
        <f t="shared" si="963"/>
        <v>0</v>
      </c>
      <c r="BP120" s="43">
        <f t="shared" si="997"/>
        <v>5.0000000000000001E-3</v>
      </c>
      <c r="BQ120" s="43">
        <f t="shared" ref="BQ120:CS120" si="1005">BP120-($BP120-$CT120)/30</f>
        <v>5.0000000000000001E-3</v>
      </c>
      <c r="BR120" s="43">
        <f t="shared" si="1005"/>
        <v>5.0000000000000001E-3</v>
      </c>
      <c r="BS120" s="43">
        <f t="shared" si="1005"/>
        <v>5.0000000000000001E-3</v>
      </c>
      <c r="BT120" s="43">
        <f t="shared" si="1005"/>
        <v>5.0000000000000001E-3</v>
      </c>
      <c r="BU120" s="43">
        <f t="shared" si="1005"/>
        <v>5.0000000000000001E-3</v>
      </c>
      <c r="BV120" s="43">
        <f t="shared" si="1005"/>
        <v>5.0000000000000001E-3</v>
      </c>
      <c r="BW120" s="43">
        <f t="shared" si="1005"/>
        <v>5.0000000000000001E-3</v>
      </c>
      <c r="BX120" s="43">
        <f t="shared" si="1005"/>
        <v>5.0000000000000001E-3</v>
      </c>
      <c r="BY120" s="43">
        <f t="shared" si="1005"/>
        <v>5.0000000000000001E-3</v>
      </c>
      <c r="BZ120" s="43">
        <f t="shared" si="1005"/>
        <v>5.0000000000000001E-3</v>
      </c>
      <c r="CA120" s="43">
        <f t="shared" si="1005"/>
        <v>5.0000000000000001E-3</v>
      </c>
      <c r="CB120" s="43">
        <f t="shared" si="1005"/>
        <v>5.0000000000000001E-3</v>
      </c>
      <c r="CC120" s="43">
        <f t="shared" si="1005"/>
        <v>5.0000000000000001E-3</v>
      </c>
      <c r="CD120" s="43">
        <f t="shared" si="1005"/>
        <v>5.0000000000000001E-3</v>
      </c>
      <c r="CE120" s="43">
        <f t="shared" si="1005"/>
        <v>5.0000000000000001E-3</v>
      </c>
      <c r="CF120" s="43">
        <f t="shared" si="1005"/>
        <v>5.0000000000000001E-3</v>
      </c>
      <c r="CG120" s="43">
        <f t="shared" si="1005"/>
        <v>5.0000000000000001E-3</v>
      </c>
      <c r="CH120" s="43">
        <f t="shared" si="1005"/>
        <v>5.0000000000000001E-3</v>
      </c>
      <c r="CI120" s="43">
        <f t="shared" si="1005"/>
        <v>5.0000000000000001E-3</v>
      </c>
      <c r="CJ120" s="43">
        <f t="shared" si="1005"/>
        <v>5.0000000000000001E-3</v>
      </c>
      <c r="CK120" s="43">
        <f t="shared" si="1005"/>
        <v>5.0000000000000001E-3</v>
      </c>
      <c r="CL120" s="43">
        <f t="shared" si="1005"/>
        <v>5.0000000000000001E-3</v>
      </c>
      <c r="CM120" s="43">
        <f t="shared" si="1005"/>
        <v>5.0000000000000001E-3</v>
      </c>
      <c r="CN120" s="43">
        <f t="shared" si="1005"/>
        <v>5.0000000000000001E-3</v>
      </c>
      <c r="CO120" s="43">
        <f t="shared" si="1005"/>
        <v>5.0000000000000001E-3</v>
      </c>
      <c r="CP120" s="43">
        <f t="shared" si="1005"/>
        <v>5.0000000000000001E-3</v>
      </c>
      <c r="CQ120" s="43">
        <f t="shared" si="1005"/>
        <v>5.0000000000000001E-3</v>
      </c>
      <c r="CR120" s="43">
        <f t="shared" si="1005"/>
        <v>5.0000000000000001E-3</v>
      </c>
      <c r="CS120" s="43">
        <f t="shared" si="1005"/>
        <v>5.0000000000000001E-3</v>
      </c>
      <c r="CT120" s="43">
        <f t="shared" ref="CT120:CT124" si="1006">BP120</f>
        <v>5.0000000000000001E-3</v>
      </c>
      <c r="CV120" s="43">
        <f>AJ120</f>
        <v>5.0000000000000001E-3</v>
      </c>
      <c r="CW120" s="43">
        <f t="shared" si="965"/>
        <v>4.8333333333333336E-3</v>
      </c>
      <c r="CX120" s="43">
        <f t="shared" si="966"/>
        <v>4.6666666666666671E-3</v>
      </c>
      <c r="CY120" s="43">
        <f t="shared" si="967"/>
        <v>4.5000000000000005E-3</v>
      </c>
      <c r="CZ120" s="43">
        <f t="shared" si="968"/>
        <v>4.333333333333334E-3</v>
      </c>
      <c r="DA120" s="43">
        <f t="shared" si="969"/>
        <v>4.1666666666666675E-3</v>
      </c>
      <c r="DB120" s="43">
        <f t="shared" si="970"/>
        <v>4.000000000000001E-3</v>
      </c>
      <c r="DC120" s="43">
        <f t="shared" si="971"/>
        <v>3.8333333333333344E-3</v>
      </c>
      <c r="DD120" s="43">
        <f t="shared" si="972"/>
        <v>3.6666666666666679E-3</v>
      </c>
      <c r="DE120" s="43">
        <f t="shared" si="973"/>
        <v>3.5000000000000014E-3</v>
      </c>
      <c r="DF120" s="43">
        <f t="shared" si="974"/>
        <v>3.3333333333333348E-3</v>
      </c>
      <c r="DG120" s="43">
        <f t="shared" si="975"/>
        <v>3.1666666666666683E-3</v>
      </c>
      <c r="DH120" s="43">
        <f t="shared" si="976"/>
        <v>3.0000000000000018E-3</v>
      </c>
      <c r="DI120" s="43">
        <f t="shared" si="977"/>
        <v>2.8333333333333353E-3</v>
      </c>
      <c r="DJ120" s="43">
        <f t="shared" si="978"/>
        <v>2.6666666666666687E-3</v>
      </c>
      <c r="DK120" s="43">
        <f t="shared" si="979"/>
        <v>2.5000000000000022E-3</v>
      </c>
      <c r="DL120" s="43">
        <f t="shared" si="980"/>
        <v>2.3333333333333357E-3</v>
      </c>
      <c r="DM120" s="43">
        <f t="shared" si="981"/>
        <v>2.1666666666666692E-3</v>
      </c>
      <c r="DN120" s="43">
        <f t="shared" si="982"/>
        <v>2.0000000000000026E-3</v>
      </c>
      <c r="DO120" s="43">
        <f t="shared" si="983"/>
        <v>1.8333333333333359E-3</v>
      </c>
      <c r="DP120" s="43">
        <f t="shared" si="984"/>
        <v>1.6666666666666692E-3</v>
      </c>
      <c r="DQ120" s="43">
        <f t="shared" si="985"/>
        <v>1.5000000000000024E-3</v>
      </c>
      <c r="DR120" s="43">
        <f t="shared" si="986"/>
        <v>1.3333333333333357E-3</v>
      </c>
      <c r="DS120" s="43">
        <f t="shared" si="987"/>
        <v>1.1666666666666689E-3</v>
      </c>
      <c r="DT120" s="43">
        <f t="shared" si="988"/>
        <v>1.0000000000000022E-3</v>
      </c>
      <c r="DU120" s="43">
        <f t="shared" si="989"/>
        <v>8.3333333333333556E-4</v>
      </c>
      <c r="DV120" s="43">
        <f t="shared" si="990"/>
        <v>6.6666666666666892E-4</v>
      </c>
      <c r="DW120" s="43">
        <f t="shared" si="991"/>
        <v>5.0000000000000229E-4</v>
      </c>
      <c r="DX120" s="43">
        <f t="shared" si="992"/>
        <v>3.3333333333333565E-4</v>
      </c>
      <c r="DY120" s="43">
        <f t="shared" si="993"/>
        <v>1.6666666666666899E-4</v>
      </c>
      <c r="DZ120" s="43">
        <f t="shared" si="994"/>
        <v>0</v>
      </c>
    </row>
    <row r="121" spans="1:165" x14ac:dyDescent="0.2">
      <c r="A121" s="606" t="s">
        <v>451</v>
      </c>
      <c r="C121" s="54" t="s">
        <v>458</v>
      </c>
      <c r="D121" s="43">
        <f>$B$191</f>
        <v>0</v>
      </c>
      <c r="E121" s="43">
        <f t="shared" ref="E121:AG121" si="1007">D121-($D121-$AH121)/30</f>
        <v>0</v>
      </c>
      <c r="F121" s="43">
        <f t="shared" si="1007"/>
        <v>0</v>
      </c>
      <c r="G121" s="43">
        <f t="shared" si="1007"/>
        <v>0</v>
      </c>
      <c r="H121" s="43">
        <f t="shared" si="1007"/>
        <v>0</v>
      </c>
      <c r="I121" s="43">
        <f t="shared" si="1007"/>
        <v>0</v>
      </c>
      <c r="J121" s="43">
        <f t="shared" si="1007"/>
        <v>0</v>
      </c>
      <c r="K121" s="43">
        <f t="shared" si="1007"/>
        <v>0</v>
      </c>
      <c r="L121" s="43">
        <f t="shared" si="1007"/>
        <v>0</v>
      </c>
      <c r="M121" s="43">
        <f t="shared" si="1007"/>
        <v>0</v>
      </c>
      <c r="N121" s="43">
        <f t="shared" si="1007"/>
        <v>0</v>
      </c>
      <c r="O121" s="43">
        <f t="shared" si="1007"/>
        <v>0</v>
      </c>
      <c r="P121" s="43">
        <f t="shared" si="1007"/>
        <v>0</v>
      </c>
      <c r="Q121" s="43">
        <f t="shared" si="1007"/>
        <v>0</v>
      </c>
      <c r="R121" s="43">
        <f t="shared" si="1007"/>
        <v>0</v>
      </c>
      <c r="S121" s="43">
        <f t="shared" si="1007"/>
        <v>0</v>
      </c>
      <c r="T121" s="43">
        <f t="shared" si="1007"/>
        <v>0</v>
      </c>
      <c r="U121" s="43">
        <f t="shared" si="1007"/>
        <v>0</v>
      </c>
      <c r="V121" s="43">
        <f t="shared" si="1007"/>
        <v>0</v>
      </c>
      <c r="W121" s="43">
        <f t="shared" si="1007"/>
        <v>0</v>
      </c>
      <c r="X121" s="43">
        <f t="shared" si="1007"/>
        <v>0</v>
      </c>
      <c r="Y121" s="43">
        <f t="shared" si="1007"/>
        <v>0</v>
      </c>
      <c r="Z121" s="43">
        <f t="shared" si="1007"/>
        <v>0</v>
      </c>
      <c r="AA121" s="43">
        <f t="shared" si="1007"/>
        <v>0</v>
      </c>
      <c r="AB121" s="43">
        <f t="shared" si="1007"/>
        <v>0</v>
      </c>
      <c r="AC121" s="43">
        <f t="shared" si="1007"/>
        <v>0</v>
      </c>
      <c r="AD121" s="43">
        <f t="shared" si="1007"/>
        <v>0</v>
      </c>
      <c r="AE121" s="43">
        <f t="shared" si="1007"/>
        <v>0</v>
      </c>
      <c r="AF121" s="43">
        <f t="shared" si="1007"/>
        <v>0</v>
      </c>
      <c r="AG121" s="43">
        <f t="shared" si="1007"/>
        <v>0</v>
      </c>
      <c r="AH121" s="43">
        <f>$C$191</f>
        <v>0</v>
      </c>
      <c r="AI121" s="44"/>
      <c r="AJ121" s="43">
        <f t="shared" si="996"/>
        <v>0</v>
      </c>
      <c r="AK121" s="43">
        <f t="shared" si="934"/>
        <v>0</v>
      </c>
      <c r="AL121" s="43">
        <f t="shared" si="935"/>
        <v>0</v>
      </c>
      <c r="AM121" s="43">
        <f t="shared" si="936"/>
        <v>0</v>
      </c>
      <c r="AN121" s="43">
        <f t="shared" si="937"/>
        <v>0</v>
      </c>
      <c r="AO121" s="43">
        <f t="shared" si="938"/>
        <v>0</v>
      </c>
      <c r="AP121" s="43">
        <f t="shared" si="939"/>
        <v>0</v>
      </c>
      <c r="AQ121" s="43">
        <f t="shared" si="940"/>
        <v>0</v>
      </c>
      <c r="AR121" s="43">
        <f t="shared" si="941"/>
        <v>0</v>
      </c>
      <c r="AS121" s="43">
        <f t="shared" si="942"/>
        <v>0</v>
      </c>
      <c r="AT121" s="43">
        <f t="shared" si="943"/>
        <v>0</v>
      </c>
      <c r="AU121" s="43">
        <f t="shared" si="944"/>
        <v>0</v>
      </c>
      <c r="AV121" s="43">
        <f t="shared" si="945"/>
        <v>0</v>
      </c>
      <c r="AW121" s="43">
        <f t="shared" si="946"/>
        <v>0</v>
      </c>
      <c r="AX121" s="43">
        <f t="shared" si="947"/>
        <v>0</v>
      </c>
      <c r="AY121" s="43">
        <f t="shared" si="948"/>
        <v>0</v>
      </c>
      <c r="AZ121" s="43">
        <f t="shared" si="949"/>
        <v>0</v>
      </c>
      <c r="BA121" s="43">
        <f t="shared" si="950"/>
        <v>0</v>
      </c>
      <c r="BB121" s="43">
        <f t="shared" si="951"/>
        <v>0</v>
      </c>
      <c r="BC121" s="43">
        <f t="shared" si="952"/>
        <v>0</v>
      </c>
      <c r="BD121" s="43">
        <f t="shared" si="953"/>
        <v>0</v>
      </c>
      <c r="BE121" s="43">
        <f t="shared" si="954"/>
        <v>0</v>
      </c>
      <c r="BF121" s="43">
        <f t="shared" si="955"/>
        <v>0</v>
      </c>
      <c r="BG121" s="43">
        <f t="shared" si="956"/>
        <v>0</v>
      </c>
      <c r="BH121" s="43">
        <f t="shared" si="957"/>
        <v>0</v>
      </c>
      <c r="BI121" s="43">
        <f t="shared" si="958"/>
        <v>0</v>
      </c>
      <c r="BJ121" s="43">
        <f t="shared" si="959"/>
        <v>0</v>
      </c>
      <c r="BK121" s="43">
        <f t="shared" si="960"/>
        <v>0</v>
      </c>
      <c r="BL121" s="43">
        <f t="shared" si="961"/>
        <v>0</v>
      </c>
      <c r="BM121" s="43">
        <f t="shared" si="962"/>
        <v>0</v>
      </c>
      <c r="BN121" s="43">
        <f t="shared" si="963"/>
        <v>0</v>
      </c>
      <c r="BP121" s="43">
        <f t="shared" si="997"/>
        <v>0</v>
      </c>
      <c r="BQ121" s="43">
        <f t="shared" ref="BQ121:CS121" si="1008">BP121-($BP121-$CT121)/30</f>
        <v>0</v>
      </c>
      <c r="BR121" s="43">
        <f t="shared" si="1008"/>
        <v>0</v>
      </c>
      <c r="BS121" s="43">
        <f t="shared" si="1008"/>
        <v>0</v>
      </c>
      <c r="BT121" s="43">
        <f t="shared" si="1008"/>
        <v>0</v>
      </c>
      <c r="BU121" s="43">
        <f t="shared" si="1008"/>
        <v>0</v>
      </c>
      <c r="BV121" s="43">
        <f t="shared" si="1008"/>
        <v>0</v>
      </c>
      <c r="BW121" s="43">
        <f t="shared" si="1008"/>
        <v>0</v>
      </c>
      <c r="BX121" s="43">
        <f t="shared" si="1008"/>
        <v>0</v>
      </c>
      <c r="BY121" s="43">
        <f t="shared" si="1008"/>
        <v>0</v>
      </c>
      <c r="BZ121" s="43">
        <f t="shared" si="1008"/>
        <v>0</v>
      </c>
      <c r="CA121" s="43">
        <f t="shared" si="1008"/>
        <v>0</v>
      </c>
      <c r="CB121" s="43">
        <f t="shared" si="1008"/>
        <v>0</v>
      </c>
      <c r="CC121" s="43">
        <f t="shared" si="1008"/>
        <v>0</v>
      </c>
      <c r="CD121" s="43">
        <f t="shared" si="1008"/>
        <v>0</v>
      </c>
      <c r="CE121" s="43">
        <f t="shared" si="1008"/>
        <v>0</v>
      </c>
      <c r="CF121" s="43">
        <f t="shared" si="1008"/>
        <v>0</v>
      </c>
      <c r="CG121" s="43">
        <f t="shared" si="1008"/>
        <v>0</v>
      </c>
      <c r="CH121" s="43">
        <f t="shared" si="1008"/>
        <v>0</v>
      </c>
      <c r="CI121" s="43">
        <f t="shared" si="1008"/>
        <v>0</v>
      </c>
      <c r="CJ121" s="43">
        <f t="shared" si="1008"/>
        <v>0</v>
      </c>
      <c r="CK121" s="43">
        <f t="shared" si="1008"/>
        <v>0</v>
      </c>
      <c r="CL121" s="43">
        <f t="shared" si="1008"/>
        <v>0</v>
      </c>
      <c r="CM121" s="43">
        <f t="shared" si="1008"/>
        <v>0</v>
      </c>
      <c r="CN121" s="43">
        <f t="shared" si="1008"/>
        <v>0</v>
      </c>
      <c r="CO121" s="43">
        <f t="shared" si="1008"/>
        <v>0</v>
      </c>
      <c r="CP121" s="43">
        <f t="shared" si="1008"/>
        <v>0</v>
      </c>
      <c r="CQ121" s="43">
        <f t="shared" si="1008"/>
        <v>0</v>
      </c>
      <c r="CR121" s="43">
        <f t="shared" si="1008"/>
        <v>0</v>
      </c>
      <c r="CS121" s="43">
        <f t="shared" si="1008"/>
        <v>0</v>
      </c>
      <c r="CT121" s="43">
        <f t="shared" si="1006"/>
        <v>0</v>
      </c>
      <c r="CV121" s="43">
        <f t="shared" ref="CV121:CV124" si="1009">AJ121</f>
        <v>0</v>
      </c>
      <c r="CW121" s="43">
        <f t="shared" ref="CW121:CW124" si="1010">CV121-($BP121-$CT121)/30</f>
        <v>0</v>
      </c>
      <c r="CX121" s="43">
        <f t="shared" ref="CX121:CX124" si="1011">CW121-($BP121-$CT121)/30</f>
        <v>0</v>
      </c>
      <c r="CY121" s="43">
        <f t="shared" ref="CY121:CY124" si="1012">CX121-($BP121-$CT121)/30</f>
        <v>0</v>
      </c>
      <c r="CZ121" s="43">
        <f t="shared" ref="CZ121:CZ124" si="1013">CY121-($BP121-$CT121)/30</f>
        <v>0</v>
      </c>
      <c r="DA121" s="43">
        <f t="shared" ref="DA121:DA124" si="1014">CZ121-($BP121-$CT121)/30</f>
        <v>0</v>
      </c>
      <c r="DB121" s="43">
        <f t="shared" ref="DB121:DB124" si="1015">DA121-($BP121-$CT121)/30</f>
        <v>0</v>
      </c>
      <c r="DC121" s="43">
        <f t="shared" ref="DC121:DC124" si="1016">DB121-($BP121-$CT121)/30</f>
        <v>0</v>
      </c>
      <c r="DD121" s="43">
        <f t="shared" ref="DD121:DD124" si="1017">DC121-($BP121-$CT121)/30</f>
        <v>0</v>
      </c>
      <c r="DE121" s="43">
        <f t="shared" ref="DE121:DE124" si="1018">DD121-($BP121-$CT121)/30</f>
        <v>0</v>
      </c>
      <c r="DF121" s="43">
        <f t="shared" ref="DF121:DF124" si="1019">DE121-($BP121-$CT121)/30</f>
        <v>0</v>
      </c>
      <c r="DG121" s="43">
        <f t="shared" ref="DG121:DG124" si="1020">DF121-($BP121-$CT121)/30</f>
        <v>0</v>
      </c>
      <c r="DH121" s="43">
        <f t="shared" ref="DH121:DH124" si="1021">DG121-($BP121-$CT121)/30</f>
        <v>0</v>
      </c>
      <c r="DI121" s="43">
        <f t="shared" ref="DI121:DI124" si="1022">DH121-($BP121-$CT121)/30</f>
        <v>0</v>
      </c>
      <c r="DJ121" s="43">
        <f t="shared" ref="DJ121:DJ124" si="1023">DI121-($BP121-$CT121)/30</f>
        <v>0</v>
      </c>
      <c r="DK121" s="43">
        <f t="shared" ref="DK121:DK124" si="1024">DJ121-($BP121-$CT121)/30</f>
        <v>0</v>
      </c>
      <c r="DL121" s="43">
        <f t="shared" ref="DL121:DL124" si="1025">DK121-($BP121-$CT121)/30</f>
        <v>0</v>
      </c>
      <c r="DM121" s="43">
        <f t="shared" ref="DM121:DM124" si="1026">DL121-($BP121-$CT121)/30</f>
        <v>0</v>
      </c>
      <c r="DN121" s="43">
        <f t="shared" ref="DN121:DN124" si="1027">DM121-($BP121-$CT121)/30</f>
        <v>0</v>
      </c>
      <c r="DO121" s="43">
        <f t="shared" ref="DO121:DO124" si="1028">DN121-($BP121-$CT121)/30</f>
        <v>0</v>
      </c>
      <c r="DP121" s="43">
        <f t="shared" ref="DP121:DP124" si="1029">DO121-($BP121-$CT121)/30</f>
        <v>0</v>
      </c>
      <c r="DQ121" s="43">
        <f t="shared" ref="DQ121:DQ124" si="1030">DP121-($BP121-$CT121)/30</f>
        <v>0</v>
      </c>
      <c r="DR121" s="43">
        <f t="shared" ref="DR121:DR124" si="1031">DQ121-($BP121-$CT121)/30</f>
        <v>0</v>
      </c>
      <c r="DS121" s="43">
        <f t="shared" ref="DS121:DS124" si="1032">DR121-($BP121-$CT121)/30</f>
        <v>0</v>
      </c>
      <c r="DT121" s="43">
        <f t="shared" ref="DT121:DT124" si="1033">DS121-($BP121-$CT121)/30</f>
        <v>0</v>
      </c>
      <c r="DU121" s="43">
        <f t="shared" ref="DU121:DU124" si="1034">DT121-($BP121-$CT121)/30</f>
        <v>0</v>
      </c>
      <c r="DV121" s="43">
        <f t="shared" ref="DV121:DV124" si="1035">DU121-($BP121-$CT121)/30</f>
        <v>0</v>
      </c>
      <c r="DW121" s="43">
        <f t="shared" ref="DW121:DW124" si="1036">DV121-($BP121-$CT121)/30</f>
        <v>0</v>
      </c>
      <c r="DX121" s="43">
        <f t="shared" ref="DX121:DX124" si="1037">DW121-($BP121-$CT121)/30</f>
        <v>0</v>
      </c>
      <c r="DY121" s="43">
        <f t="shared" ref="DY121:DY124" si="1038">DX121-($BP121-$CT121)/30</f>
        <v>0</v>
      </c>
      <c r="DZ121" s="43">
        <v>0</v>
      </c>
    </row>
    <row r="122" spans="1:165" x14ac:dyDescent="0.2">
      <c r="A122" s="606" t="s">
        <v>452</v>
      </c>
      <c r="C122" s="54" t="s">
        <v>458</v>
      </c>
      <c r="D122" s="43">
        <f>$B$192</f>
        <v>2.8940000000000001</v>
      </c>
      <c r="E122" s="43">
        <f t="shared" ref="E122:AG122" si="1039">D122-($D122-$AH122)/30</f>
        <v>2.8940000000000001</v>
      </c>
      <c r="F122" s="43">
        <f t="shared" si="1039"/>
        <v>2.8940000000000001</v>
      </c>
      <c r="G122" s="43">
        <f t="shared" si="1039"/>
        <v>2.8940000000000001</v>
      </c>
      <c r="H122" s="43">
        <f t="shared" si="1039"/>
        <v>2.8940000000000001</v>
      </c>
      <c r="I122" s="43">
        <f t="shared" si="1039"/>
        <v>2.8940000000000001</v>
      </c>
      <c r="J122" s="43">
        <f t="shared" si="1039"/>
        <v>2.8940000000000001</v>
      </c>
      <c r="K122" s="43">
        <f t="shared" si="1039"/>
        <v>2.8940000000000001</v>
      </c>
      <c r="L122" s="43">
        <f t="shared" si="1039"/>
        <v>2.8940000000000001</v>
      </c>
      <c r="M122" s="43">
        <f t="shared" si="1039"/>
        <v>2.8940000000000001</v>
      </c>
      <c r="N122" s="43">
        <f t="shared" si="1039"/>
        <v>2.8940000000000001</v>
      </c>
      <c r="O122" s="43">
        <f t="shared" si="1039"/>
        <v>2.8940000000000001</v>
      </c>
      <c r="P122" s="43">
        <f t="shared" si="1039"/>
        <v>2.8940000000000001</v>
      </c>
      <c r="Q122" s="43">
        <f t="shared" si="1039"/>
        <v>2.8940000000000001</v>
      </c>
      <c r="R122" s="43">
        <f t="shared" si="1039"/>
        <v>2.8940000000000001</v>
      </c>
      <c r="S122" s="43">
        <f t="shared" si="1039"/>
        <v>2.8940000000000001</v>
      </c>
      <c r="T122" s="43">
        <f t="shared" si="1039"/>
        <v>2.8940000000000001</v>
      </c>
      <c r="U122" s="43">
        <f t="shared" si="1039"/>
        <v>2.8940000000000001</v>
      </c>
      <c r="V122" s="43">
        <f t="shared" si="1039"/>
        <v>2.8940000000000001</v>
      </c>
      <c r="W122" s="43">
        <f t="shared" si="1039"/>
        <v>2.8940000000000001</v>
      </c>
      <c r="X122" s="43">
        <f t="shared" si="1039"/>
        <v>2.8940000000000001</v>
      </c>
      <c r="Y122" s="43">
        <f t="shared" si="1039"/>
        <v>2.8940000000000001</v>
      </c>
      <c r="Z122" s="43">
        <f t="shared" si="1039"/>
        <v>2.8940000000000001</v>
      </c>
      <c r="AA122" s="43">
        <f t="shared" si="1039"/>
        <v>2.8940000000000001</v>
      </c>
      <c r="AB122" s="43">
        <f t="shared" si="1039"/>
        <v>2.8940000000000001</v>
      </c>
      <c r="AC122" s="43">
        <f t="shared" si="1039"/>
        <v>2.8940000000000001</v>
      </c>
      <c r="AD122" s="43">
        <f t="shared" si="1039"/>
        <v>2.8940000000000001</v>
      </c>
      <c r="AE122" s="43">
        <f t="shared" si="1039"/>
        <v>2.8940000000000001</v>
      </c>
      <c r="AF122" s="43">
        <f t="shared" si="1039"/>
        <v>2.8940000000000001</v>
      </c>
      <c r="AG122" s="43">
        <f t="shared" si="1039"/>
        <v>2.8940000000000001</v>
      </c>
      <c r="AH122" s="43">
        <f>$C$192</f>
        <v>2.8940000000000001</v>
      </c>
      <c r="AI122" s="44"/>
      <c r="AJ122" s="43">
        <f t="shared" si="996"/>
        <v>2.8940000000000001</v>
      </c>
      <c r="AK122" s="43">
        <f t="shared" si="934"/>
        <v>2.8940000000000001</v>
      </c>
      <c r="AL122" s="43">
        <f t="shared" si="935"/>
        <v>2.8940000000000001</v>
      </c>
      <c r="AM122" s="43">
        <f t="shared" si="936"/>
        <v>2.8940000000000001</v>
      </c>
      <c r="AN122" s="43">
        <f t="shared" si="937"/>
        <v>2.8940000000000001</v>
      </c>
      <c r="AO122" s="43">
        <f t="shared" si="938"/>
        <v>2.8940000000000001</v>
      </c>
      <c r="AP122" s="43">
        <f t="shared" si="939"/>
        <v>2.8940000000000001</v>
      </c>
      <c r="AQ122" s="43">
        <f t="shared" si="940"/>
        <v>2.8940000000000001</v>
      </c>
      <c r="AR122" s="43">
        <f t="shared" si="941"/>
        <v>2.8940000000000001</v>
      </c>
      <c r="AS122" s="43">
        <f t="shared" si="942"/>
        <v>2.8940000000000001</v>
      </c>
      <c r="AT122" s="43">
        <f t="shared" si="943"/>
        <v>2.8940000000000001</v>
      </c>
      <c r="AU122" s="43">
        <f t="shared" si="944"/>
        <v>2.8940000000000001</v>
      </c>
      <c r="AV122" s="43">
        <f t="shared" si="945"/>
        <v>2.8940000000000001</v>
      </c>
      <c r="AW122" s="43">
        <f t="shared" si="946"/>
        <v>2.8940000000000001</v>
      </c>
      <c r="AX122" s="43">
        <f t="shared" si="947"/>
        <v>2.8940000000000001</v>
      </c>
      <c r="AY122" s="43">
        <f t="shared" si="948"/>
        <v>2.8940000000000001</v>
      </c>
      <c r="AZ122" s="43">
        <f t="shared" si="949"/>
        <v>2.8940000000000001</v>
      </c>
      <c r="BA122" s="43">
        <f t="shared" si="950"/>
        <v>2.8940000000000001</v>
      </c>
      <c r="BB122" s="43">
        <f t="shared" si="951"/>
        <v>2.8940000000000001</v>
      </c>
      <c r="BC122" s="43">
        <f t="shared" si="952"/>
        <v>2.8940000000000001</v>
      </c>
      <c r="BD122" s="43">
        <f t="shared" si="953"/>
        <v>2.8940000000000001</v>
      </c>
      <c r="BE122" s="43">
        <f t="shared" si="954"/>
        <v>2.8940000000000001</v>
      </c>
      <c r="BF122" s="43">
        <f t="shared" si="955"/>
        <v>2.8940000000000001</v>
      </c>
      <c r="BG122" s="43">
        <f t="shared" si="956"/>
        <v>2.8940000000000001</v>
      </c>
      <c r="BH122" s="43">
        <f t="shared" si="957"/>
        <v>2.8940000000000001</v>
      </c>
      <c r="BI122" s="43">
        <f t="shared" si="958"/>
        <v>2.8940000000000001</v>
      </c>
      <c r="BJ122" s="43">
        <f t="shared" si="959"/>
        <v>2.8940000000000001</v>
      </c>
      <c r="BK122" s="43">
        <f t="shared" si="960"/>
        <v>2.8940000000000001</v>
      </c>
      <c r="BL122" s="43">
        <f t="shared" si="961"/>
        <v>2.8940000000000001</v>
      </c>
      <c r="BM122" s="43">
        <f t="shared" si="962"/>
        <v>2.8940000000000001</v>
      </c>
      <c r="BN122" s="43">
        <f t="shared" si="963"/>
        <v>2.8940000000000001</v>
      </c>
      <c r="BP122" s="43">
        <f t="shared" si="997"/>
        <v>2.8940000000000001</v>
      </c>
      <c r="BQ122" s="43">
        <f t="shared" ref="BQ122:CS122" si="1040">BP122-($BP122-$CT122)/30</f>
        <v>2.8940000000000001</v>
      </c>
      <c r="BR122" s="43">
        <f t="shared" si="1040"/>
        <v>2.8940000000000001</v>
      </c>
      <c r="BS122" s="43">
        <f t="shared" si="1040"/>
        <v>2.8940000000000001</v>
      </c>
      <c r="BT122" s="43">
        <f t="shared" si="1040"/>
        <v>2.8940000000000001</v>
      </c>
      <c r="BU122" s="43">
        <f t="shared" si="1040"/>
        <v>2.8940000000000001</v>
      </c>
      <c r="BV122" s="43">
        <f t="shared" si="1040"/>
        <v>2.8940000000000001</v>
      </c>
      <c r="BW122" s="43">
        <f t="shared" si="1040"/>
        <v>2.8940000000000001</v>
      </c>
      <c r="BX122" s="43">
        <f t="shared" si="1040"/>
        <v>2.8940000000000001</v>
      </c>
      <c r="BY122" s="43">
        <f t="shared" si="1040"/>
        <v>2.8940000000000001</v>
      </c>
      <c r="BZ122" s="43">
        <f t="shared" si="1040"/>
        <v>2.8940000000000001</v>
      </c>
      <c r="CA122" s="43">
        <f t="shared" si="1040"/>
        <v>2.8940000000000001</v>
      </c>
      <c r="CB122" s="43">
        <f t="shared" si="1040"/>
        <v>2.8940000000000001</v>
      </c>
      <c r="CC122" s="43">
        <f t="shared" si="1040"/>
        <v>2.8940000000000001</v>
      </c>
      <c r="CD122" s="43">
        <f t="shared" si="1040"/>
        <v>2.8940000000000001</v>
      </c>
      <c r="CE122" s="43">
        <f t="shared" si="1040"/>
        <v>2.8940000000000001</v>
      </c>
      <c r="CF122" s="43">
        <f t="shared" si="1040"/>
        <v>2.8940000000000001</v>
      </c>
      <c r="CG122" s="43">
        <f t="shared" si="1040"/>
        <v>2.8940000000000001</v>
      </c>
      <c r="CH122" s="43">
        <f t="shared" si="1040"/>
        <v>2.8940000000000001</v>
      </c>
      <c r="CI122" s="43">
        <f t="shared" si="1040"/>
        <v>2.8940000000000001</v>
      </c>
      <c r="CJ122" s="43">
        <f t="shared" si="1040"/>
        <v>2.8940000000000001</v>
      </c>
      <c r="CK122" s="43">
        <f t="shared" si="1040"/>
        <v>2.8940000000000001</v>
      </c>
      <c r="CL122" s="43">
        <f t="shared" si="1040"/>
        <v>2.8940000000000001</v>
      </c>
      <c r="CM122" s="43">
        <f t="shared" si="1040"/>
        <v>2.8940000000000001</v>
      </c>
      <c r="CN122" s="43">
        <f t="shared" si="1040"/>
        <v>2.8940000000000001</v>
      </c>
      <c r="CO122" s="43">
        <f t="shared" si="1040"/>
        <v>2.8940000000000001</v>
      </c>
      <c r="CP122" s="43">
        <f t="shared" si="1040"/>
        <v>2.8940000000000001</v>
      </c>
      <c r="CQ122" s="43">
        <f t="shared" si="1040"/>
        <v>2.8940000000000001</v>
      </c>
      <c r="CR122" s="43">
        <f t="shared" si="1040"/>
        <v>2.8940000000000001</v>
      </c>
      <c r="CS122" s="43">
        <f t="shared" si="1040"/>
        <v>2.8940000000000001</v>
      </c>
      <c r="CT122" s="43">
        <f t="shared" si="1006"/>
        <v>2.8940000000000001</v>
      </c>
      <c r="CV122" s="43">
        <f t="shared" si="1009"/>
        <v>2.8940000000000001</v>
      </c>
      <c r="CW122" s="43">
        <f t="shared" si="1010"/>
        <v>2.8940000000000001</v>
      </c>
      <c r="CX122" s="43">
        <f t="shared" si="1011"/>
        <v>2.8940000000000001</v>
      </c>
      <c r="CY122" s="43">
        <f t="shared" si="1012"/>
        <v>2.8940000000000001</v>
      </c>
      <c r="CZ122" s="43">
        <f t="shared" si="1013"/>
        <v>2.8940000000000001</v>
      </c>
      <c r="DA122" s="43">
        <f t="shared" si="1014"/>
        <v>2.8940000000000001</v>
      </c>
      <c r="DB122" s="43">
        <f t="shared" si="1015"/>
        <v>2.8940000000000001</v>
      </c>
      <c r="DC122" s="43">
        <f t="shared" si="1016"/>
        <v>2.8940000000000001</v>
      </c>
      <c r="DD122" s="43">
        <f t="shared" si="1017"/>
        <v>2.8940000000000001</v>
      </c>
      <c r="DE122" s="43">
        <f t="shared" si="1018"/>
        <v>2.8940000000000001</v>
      </c>
      <c r="DF122" s="43">
        <f t="shared" si="1019"/>
        <v>2.8940000000000001</v>
      </c>
      <c r="DG122" s="43">
        <f t="shared" si="1020"/>
        <v>2.8940000000000001</v>
      </c>
      <c r="DH122" s="43">
        <f t="shared" si="1021"/>
        <v>2.8940000000000001</v>
      </c>
      <c r="DI122" s="43">
        <f t="shared" si="1022"/>
        <v>2.8940000000000001</v>
      </c>
      <c r="DJ122" s="43">
        <f t="shared" si="1023"/>
        <v>2.8940000000000001</v>
      </c>
      <c r="DK122" s="43">
        <f t="shared" si="1024"/>
        <v>2.8940000000000001</v>
      </c>
      <c r="DL122" s="43">
        <f t="shared" si="1025"/>
        <v>2.8940000000000001</v>
      </c>
      <c r="DM122" s="43">
        <f t="shared" si="1026"/>
        <v>2.8940000000000001</v>
      </c>
      <c r="DN122" s="43">
        <f t="shared" si="1027"/>
        <v>2.8940000000000001</v>
      </c>
      <c r="DO122" s="43">
        <f t="shared" si="1028"/>
        <v>2.8940000000000001</v>
      </c>
      <c r="DP122" s="43">
        <f t="shared" si="1029"/>
        <v>2.8940000000000001</v>
      </c>
      <c r="DQ122" s="43">
        <f t="shared" si="1030"/>
        <v>2.8940000000000001</v>
      </c>
      <c r="DR122" s="43">
        <f t="shared" si="1031"/>
        <v>2.8940000000000001</v>
      </c>
      <c r="DS122" s="43">
        <f t="shared" si="1032"/>
        <v>2.8940000000000001</v>
      </c>
      <c r="DT122" s="43">
        <f t="shared" si="1033"/>
        <v>2.8940000000000001</v>
      </c>
      <c r="DU122" s="43">
        <f t="shared" si="1034"/>
        <v>2.8940000000000001</v>
      </c>
      <c r="DV122" s="43">
        <f t="shared" si="1035"/>
        <v>2.8940000000000001</v>
      </c>
      <c r="DW122" s="43">
        <f t="shared" si="1036"/>
        <v>2.8940000000000001</v>
      </c>
      <c r="DX122" s="43">
        <f t="shared" si="1037"/>
        <v>2.8940000000000001</v>
      </c>
      <c r="DY122" s="43">
        <f t="shared" si="1038"/>
        <v>2.8940000000000001</v>
      </c>
      <c r="DZ122" s="43">
        <f t="shared" ref="DZ122:DZ124" si="1041">CV122</f>
        <v>2.8940000000000001</v>
      </c>
    </row>
    <row r="123" spans="1:165" x14ac:dyDescent="0.2">
      <c r="A123" s="606" t="s">
        <v>453</v>
      </c>
      <c r="C123" s="54" t="s">
        <v>458</v>
      </c>
      <c r="D123" s="43">
        <f>$B$193</f>
        <v>0</v>
      </c>
      <c r="E123" s="43">
        <f t="shared" ref="E123:AG123" si="1042">D123-($D123-$AH123)/30</f>
        <v>0</v>
      </c>
      <c r="F123" s="43">
        <f t="shared" si="1042"/>
        <v>0</v>
      </c>
      <c r="G123" s="43">
        <f t="shared" si="1042"/>
        <v>0</v>
      </c>
      <c r="H123" s="43">
        <f t="shared" si="1042"/>
        <v>0</v>
      </c>
      <c r="I123" s="43">
        <f t="shared" si="1042"/>
        <v>0</v>
      </c>
      <c r="J123" s="43">
        <f t="shared" si="1042"/>
        <v>0</v>
      </c>
      <c r="K123" s="43">
        <f t="shared" si="1042"/>
        <v>0</v>
      </c>
      <c r="L123" s="43">
        <f t="shared" si="1042"/>
        <v>0</v>
      </c>
      <c r="M123" s="43">
        <f t="shared" si="1042"/>
        <v>0</v>
      </c>
      <c r="N123" s="43">
        <f t="shared" si="1042"/>
        <v>0</v>
      </c>
      <c r="O123" s="43">
        <f t="shared" si="1042"/>
        <v>0</v>
      </c>
      <c r="P123" s="43">
        <f t="shared" si="1042"/>
        <v>0</v>
      </c>
      <c r="Q123" s="43">
        <f t="shared" si="1042"/>
        <v>0</v>
      </c>
      <c r="R123" s="43">
        <f t="shared" si="1042"/>
        <v>0</v>
      </c>
      <c r="S123" s="43">
        <f t="shared" si="1042"/>
        <v>0</v>
      </c>
      <c r="T123" s="43">
        <f t="shared" si="1042"/>
        <v>0</v>
      </c>
      <c r="U123" s="43">
        <f t="shared" si="1042"/>
        <v>0</v>
      </c>
      <c r="V123" s="43">
        <f t="shared" si="1042"/>
        <v>0</v>
      </c>
      <c r="W123" s="43">
        <f t="shared" si="1042"/>
        <v>0</v>
      </c>
      <c r="X123" s="43">
        <f t="shared" si="1042"/>
        <v>0</v>
      </c>
      <c r="Y123" s="43">
        <f t="shared" si="1042"/>
        <v>0</v>
      </c>
      <c r="Z123" s="43">
        <f t="shared" si="1042"/>
        <v>0</v>
      </c>
      <c r="AA123" s="43">
        <f t="shared" si="1042"/>
        <v>0</v>
      </c>
      <c r="AB123" s="43">
        <f t="shared" si="1042"/>
        <v>0</v>
      </c>
      <c r="AC123" s="43">
        <f t="shared" si="1042"/>
        <v>0</v>
      </c>
      <c r="AD123" s="43">
        <f t="shared" si="1042"/>
        <v>0</v>
      </c>
      <c r="AE123" s="43">
        <f t="shared" si="1042"/>
        <v>0</v>
      </c>
      <c r="AF123" s="43">
        <f t="shared" si="1042"/>
        <v>0</v>
      </c>
      <c r="AG123" s="43">
        <f t="shared" si="1042"/>
        <v>0</v>
      </c>
      <c r="AH123" s="43">
        <f>$C$193</f>
        <v>0</v>
      </c>
      <c r="AI123" s="44"/>
      <c r="AJ123" s="43">
        <f t="shared" si="996"/>
        <v>0</v>
      </c>
      <c r="AK123" s="43">
        <f t="shared" si="934"/>
        <v>0</v>
      </c>
      <c r="AL123" s="43">
        <f t="shared" si="935"/>
        <v>0</v>
      </c>
      <c r="AM123" s="43">
        <f t="shared" si="936"/>
        <v>0</v>
      </c>
      <c r="AN123" s="43">
        <f t="shared" si="937"/>
        <v>0</v>
      </c>
      <c r="AO123" s="43">
        <f t="shared" si="938"/>
        <v>0</v>
      </c>
      <c r="AP123" s="43">
        <f t="shared" si="939"/>
        <v>0</v>
      </c>
      <c r="AQ123" s="43">
        <f t="shared" si="940"/>
        <v>0</v>
      </c>
      <c r="AR123" s="43">
        <f t="shared" si="941"/>
        <v>0</v>
      </c>
      <c r="AS123" s="43">
        <f t="shared" si="942"/>
        <v>0</v>
      </c>
      <c r="AT123" s="43">
        <f t="shared" si="943"/>
        <v>0</v>
      </c>
      <c r="AU123" s="43">
        <f t="shared" si="944"/>
        <v>0</v>
      </c>
      <c r="AV123" s="43">
        <f t="shared" si="945"/>
        <v>0</v>
      </c>
      <c r="AW123" s="43">
        <f t="shared" si="946"/>
        <v>0</v>
      </c>
      <c r="AX123" s="43">
        <f t="shared" si="947"/>
        <v>0</v>
      </c>
      <c r="AY123" s="43">
        <f t="shared" si="948"/>
        <v>0</v>
      </c>
      <c r="AZ123" s="43">
        <f t="shared" si="949"/>
        <v>0</v>
      </c>
      <c r="BA123" s="43">
        <f t="shared" si="950"/>
        <v>0</v>
      </c>
      <c r="BB123" s="43">
        <f t="shared" si="951"/>
        <v>0</v>
      </c>
      <c r="BC123" s="43">
        <f t="shared" si="952"/>
        <v>0</v>
      </c>
      <c r="BD123" s="43">
        <f t="shared" si="953"/>
        <v>0</v>
      </c>
      <c r="BE123" s="43">
        <f t="shared" si="954"/>
        <v>0</v>
      </c>
      <c r="BF123" s="43">
        <f t="shared" si="955"/>
        <v>0</v>
      </c>
      <c r="BG123" s="43">
        <f t="shared" si="956"/>
        <v>0</v>
      </c>
      <c r="BH123" s="43">
        <f t="shared" si="957"/>
        <v>0</v>
      </c>
      <c r="BI123" s="43">
        <f t="shared" si="958"/>
        <v>0</v>
      </c>
      <c r="BJ123" s="43">
        <f t="shared" si="959"/>
        <v>0</v>
      </c>
      <c r="BK123" s="43">
        <f t="shared" si="960"/>
        <v>0</v>
      </c>
      <c r="BL123" s="43">
        <f t="shared" si="961"/>
        <v>0</v>
      </c>
      <c r="BM123" s="43">
        <f t="shared" si="962"/>
        <v>0</v>
      </c>
      <c r="BN123" s="43">
        <f t="shared" si="963"/>
        <v>0</v>
      </c>
      <c r="BP123" s="43">
        <f t="shared" si="997"/>
        <v>0</v>
      </c>
      <c r="BQ123" s="43">
        <f t="shared" ref="BQ123:CS123" si="1043">BP123-($BP123-$CT123)/30</f>
        <v>0</v>
      </c>
      <c r="BR123" s="43">
        <f t="shared" si="1043"/>
        <v>0</v>
      </c>
      <c r="BS123" s="43">
        <f t="shared" si="1043"/>
        <v>0</v>
      </c>
      <c r="BT123" s="43">
        <f t="shared" si="1043"/>
        <v>0</v>
      </c>
      <c r="BU123" s="43">
        <f t="shared" si="1043"/>
        <v>0</v>
      </c>
      <c r="BV123" s="43">
        <f t="shared" si="1043"/>
        <v>0</v>
      </c>
      <c r="BW123" s="43">
        <f t="shared" si="1043"/>
        <v>0</v>
      </c>
      <c r="BX123" s="43">
        <f t="shared" si="1043"/>
        <v>0</v>
      </c>
      <c r="BY123" s="43">
        <f t="shared" si="1043"/>
        <v>0</v>
      </c>
      <c r="BZ123" s="43">
        <f t="shared" si="1043"/>
        <v>0</v>
      </c>
      <c r="CA123" s="43">
        <f t="shared" si="1043"/>
        <v>0</v>
      </c>
      <c r="CB123" s="43">
        <f t="shared" si="1043"/>
        <v>0</v>
      </c>
      <c r="CC123" s="43">
        <f t="shared" si="1043"/>
        <v>0</v>
      </c>
      <c r="CD123" s="43">
        <f t="shared" si="1043"/>
        <v>0</v>
      </c>
      <c r="CE123" s="43">
        <f t="shared" si="1043"/>
        <v>0</v>
      </c>
      <c r="CF123" s="43">
        <f t="shared" si="1043"/>
        <v>0</v>
      </c>
      <c r="CG123" s="43">
        <f t="shared" si="1043"/>
        <v>0</v>
      </c>
      <c r="CH123" s="43">
        <f t="shared" si="1043"/>
        <v>0</v>
      </c>
      <c r="CI123" s="43">
        <f t="shared" si="1043"/>
        <v>0</v>
      </c>
      <c r="CJ123" s="43">
        <f t="shared" si="1043"/>
        <v>0</v>
      </c>
      <c r="CK123" s="43">
        <f t="shared" si="1043"/>
        <v>0</v>
      </c>
      <c r="CL123" s="43">
        <f t="shared" si="1043"/>
        <v>0</v>
      </c>
      <c r="CM123" s="43">
        <f t="shared" si="1043"/>
        <v>0</v>
      </c>
      <c r="CN123" s="43">
        <f t="shared" si="1043"/>
        <v>0</v>
      </c>
      <c r="CO123" s="43">
        <f t="shared" si="1043"/>
        <v>0</v>
      </c>
      <c r="CP123" s="43">
        <f t="shared" si="1043"/>
        <v>0</v>
      </c>
      <c r="CQ123" s="43">
        <f t="shared" si="1043"/>
        <v>0</v>
      </c>
      <c r="CR123" s="43">
        <f t="shared" si="1043"/>
        <v>0</v>
      </c>
      <c r="CS123" s="43">
        <f t="shared" si="1043"/>
        <v>0</v>
      </c>
      <c r="CT123" s="43">
        <f t="shared" si="1006"/>
        <v>0</v>
      </c>
      <c r="CV123" s="43">
        <f t="shared" si="1009"/>
        <v>0</v>
      </c>
      <c r="CW123" s="43">
        <f t="shared" si="1010"/>
        <v>0</v>
      </c>
      <c r="CX123" s="43">
        <f t="shared" si="1011"/>
        <v>0</v>
      </c>
      <c r="CY123" s="43">
        <f t="shared" si="1012"/>
        <v>0</v>
      </c>
      <c r="CZ123" s="43">
        <f t="shared" si="1013"/>
        <v>0</v>
      </c>
      <c r="DA123" s="43">
        <f t="shared" si="1014"/>
        <v>0</v>
      </c>
      <c r="DB123" s="43">
        <f t="shared" si="1015"/>
        <v>0</v>
      </c>
      <c r="DC123" s="43">
        <f t="shared" si="1016"/>
        <v>0</v>
      </c>
      <c r="DD123" s="43">
        <f t="shared" si="1017"/>
        <v>0</v>
      </c>
      <c r="DE123" s="43">
        <f t="shared" si="1018"/>
        <v>0</v>
      </c>
      <c r="DF123" s="43">
        <f t="shared" si="1019"/>
        <v>0</v>
      </c>
      <c r="DG123" s="43">
        <f t="shared" si="1020"/>
        <v>0</v>
      </c>
      <c r="DH123" s="43">
        <f t="shared" si="1021"/>
        <v>0</v>
      </c>
      <c r="DI123" s="43">
        <f t="shared" si="1022"/>
        <v>0</v>
      </c>
      <c r="DJ123" s="43">
        <f t="shared" si="1023"/>
        <v>0</v>
      </c>
      <c r="DK123" s="43">
        <f t="shared" si="1024"/>
        <v>0</v>
      </c>
      <c r="DL123" s="43">
        <f t="shared" si="1025"/>
        <v>0</v>
      </c>
      <c r="DM123" s="43">
        <f t="shared" si="1026"/>
        <v>0</v>
      </c>
      <c r="DN123" s="43">
        <f t="shared" si="1027"/>
        <v>0</v>
      </c>
      <c r="DO123" s="43">
        <f t="shared" si="1028"/>
        <v>0</v>
      </c>
      <c r="DP123" s="43">
        <f t="shared" si="1029"/>
        <v>0</v>
      </c>
      <c r="DQ123" s="43">
        <f t="shared" si="1030"/>
        <v>0</v>
      </c>
      <c r="DR123" s="43">
        <f t="shared" si="1031"/>
        <v>0</v>
      </c>
      <c r="DS123" s="43">
        <f t="shared" si="1032"/>
        <v>0</v>
      </c>
      <c r="DT123" s="43">
        <f t="shared" si="1033"/>
        <v>0</v>
      </c>
      <c r="DU123" s="43">
        <f t="shared" si="1034"/>
        <v>0</v>
      </c>
      <c r="DV123" s="43">
        <f t="shared" si="1035"/>
        <v>0</v>
      </c>
      <c r="DW123" s="43">
        <f t="shared" si="1036"/>
        <v>0</v>
      </c>
      <c r="DX123" s="43">
        <f t="shared" si="1037"/>
        <v>0</v>
      </c>
      <c r="DY123" s="43">
        <f t="shared" si="1038"/>
        <v>0</v>
      </c>
      <c r="DZ123" s="43">
        <f t="shared" si="1041"/>
        <v>0</v>
      </c>
    </row>
    <row r="124" spans="1:165" ht="16" thickBot="1" x14ac:dyDescent="0.25">
      <c r="A124" s="606" t="s">
        <v>454</v>
      </c>
      <c r="C124" s="54" t="s">
        <v>458</v>
      </c>
      <c r="D124" s="43">
        <f>$B$194</f>
        <v>0</v>
      </c>
      <c r="E124" s="43">
        <f t="shared" ref="E124:AG124" si="1044">D124-($D124-$AH124)/30</f>
        <v>0</v>
      </c>
      <c r="F124" s="43">
        <f t="shared" si="1044"/>
        <v>0</v>
      </c>
      <c r="G124" s="43">
        <f t="shared" si="1044"/>
        <v>0</v>
      </c>
      <c r="H124" s="43">
        <f t="shared" si="1044"/>
        <v>0</v>
      </c>
      <c r="I124" s="43">
        <f t="shared" si="1044"/>
        <v>0</v>
      </c>
      <c r="J124" s="43">
        <f t="shared" si="1044"/>
        <v>0</v>
      </c>
      <c r="K124" s="43">
        <f t="shared" si="1044"/>
        <v>0</v>
      </c>
      <c r="L124" s="43">
        <f t="shared" si="1044"/>
        <v>0</v>
      </c>
      <c r="M124" s="43">
        <f t="shared" si="1044"/>
        <v>0</v>
      </c>
      <c r="N124" s="43">
        <f t="shared" si="1044"/>
        <v>0</v>
      </c>
      <c r="O124" s="43">
        <f t="shared" si="1044"/>
        <v>0</v>
      </c>
      <c r="P124" s="43">
        <f t="shared" si="1044"/>
        <v>0</v>
      </c>
      <c r="Q124" s="43">
        <f t="shared" si="1044"/>
        <v>0</v>
      </c>
      <c r="R124" s="43">
        <f t="shared" si="1044"/>
        <v>0</v>
      </c>
      <c r="S124" s="43">
        <f t="shared" si="1044"/>
        <v>0</v>
      </c>
      <c r="T124" s="43">
        <f t="shared" si="1044"/>
        <v>0</v>
      </c>
      <c r="U124" s="43">
        <f t="shared" si="1044"/>
        <v>0</v>
      </c>
      <c r="V124" s="43">
        <f t="shared" si="1044"/>
        <v>0</v>
      </c>
      <c r="W124" s="43">
        <f t="shared" si="1044"/>
        <v>0</v>
      </c>
      <c r="X124" s="43">
        <f t="shared" si="1044"/>
        <v>0</v>
      </c>
      <c r="Y124" s="43">
        <f t="shared" si="1044"/>
        <v>0</v>
      </c>
      <c r="Z124" s="43">
        <f t="shared" si="1044"/>
        <v>0</v>
      </c>
      <c r="AA124" s="43">
        <f t="shared" si="1044"/>
        <v>0</v>
      </c>
      <c r="AB124" s="43">
        <f t="shared" si="1044"/>
        <v>0</v>
      </c>
      <c r="AC124" s="43">
        <f t="shared" si="1044"/>
        <v>0</v>
      </c>
      <c r="AD124" s="43">
        <f t="shared" si="1044"/>
        <v>0</v>
      </c>
      <c r="AE124" s="43">
        <f t="shared" si="1044"/>
        <v>0</v>
      </c>
      <c r="AF124" s="43">
        <f t="shared" si="1044"/>
        <v>0</v>
      </c>
      <c r="AG124" s="43">
        <f t="shared" si="1044"/>
        <v>0</v>
      </c>
      <c r="AH124" s="43">
        <f>$C$194</f>
        <v>0</v>
      </c>
      <c r="AI124" s="44"/>
      <c r="AJ124" s="43">
        <f t="shared" si="996"/>
        <v>0</v>
      </c>
      <c r="AK124" s="43">
        <f t="shared" si="934"/>
        <v>0</v>
      </c>
      <c r="AL124" s="43">
        <f t="shared" si="935"/>
        <v>0</v>
      </c>
      <c r="AM124" s="43">
        <f t="shared" si="936"/>
        <v>0</v>
      </c>
      <c r="AN124" s="43">
        <f t="shared" si="937"/>
        <v>0</v>
      </c>
      <c r="AO124" s="43">
        <f t="shared" si="938"/>
        <v>0</v>
      </c>
      <c r="AP124" s="43">
        <f t="shared" si="939"/>
        <v>0</v>
      </c>
      <c r="AQ124" s="43">
        <f t="shared" si="940"/>
        <v>0</v>
      </c>
      <c r="AR124" s="43">
        <f t="shared" si="941"/>
        <v>0</v>
      </c>
      <c r="AS124" s="43">
        <f t="shared" si="942"/>
        <v>0</v>
      </c>
      <c r="AT124" s="43">
        <f t="shared" si="943"/>
        <v>0</v>
      </c>
      <c r="AU124" s="43">
        <f t="shared" si="944"/>
        <v>0</v>
      </c>
      <c r="AV124" s="43">
        <f t="shared" si="945"/>
        <v>0</v>
      </c>
      <c r="AW124" s="43">
        <f t="shared" si="946"/>
        <v>0</v>
      </c>
      <c r="AX124" s="43">
        <f t="shared" si="947"/>
        <v>0</v>
      </c>
      <c r="AY124" s="43">
        <f t="shared" si="948"/>
        <v>0</v>
      </c>
      <c r="AZ124" s="43">
        <f t="shared" si="949"/>
        <v>0</v>
      </c>
      <c r="BA124" s="43">
        <f t="shared" si="950"/>
        <v>0</v>
      </c>
      <c r="BB124" s="43">
        <f t="shared" si="951"/>
        <v>0</v>
      </c>
      <c r="BC124" s="43">
        <f t="shared" si="952"/>
        <v>0</v>
      </c>
      <c r="BD124" s="43">
        <f t="shared" si="953"/>
        <v>0</v>
      </c>
      <c r="BE124" s="43">
        <f t="shared" si="954"/>
        <v>0</v>
      </c>
      <c r="BF124" s="43">
        <f t="shared" si="955"/>
        <v>0</v>
      </c>
      <c r="BG124" s="43">
        <f t="shared" si="956"/>
        <v>0</v>
      </c>
      <c r="BH124" s="43">
        <f t="shared" si="957"/>
        <v>0</v>
      </c>
      <c r="BI124" s="43">
        <f t="shared" si="958"/>
        <v>0</v>
      </c>
      <c r="BJ124" s="43">
        <f t="shared" si="959"/>
        <v>0</v>
      </c>
      <c r="BK124" s="43">
        <f t="shared" si="960"/>
        <v>0</v>
      </c>
      <c r="BL124" s="43">
        <f t="shared" si="961"/>
        <v>0</v>
      </c>
      <c r="BM124" s="43">
        <f t="shared" si="962"/>
        <v>0</v>
      </c>
      <c r="BN124" s="43">
        <f t="shared" si="963"/>
        <v>0</v>
      </c>
      <c r="BP124" s="43">
        <f t="shared" si="997"/>
        <v>0</v>
      </c>
      <c r="BQ124" s="43">
        <f t="shared" ref="BQ124:CS124" si="1045">BP124-($BP124-$CT124)/30</f>
        <v>0</v>
      </c>
      <c r="BR124" s="43">
        <f t="shared" si="1045"/>
        <v>0</v>
      </c>
      <c r="BS124" s="43">
        <f t="shared" si="1045"/>
        <v>0</v>
      </c>
      <c r="BT124" s="43">
        <f t="shared" si="1045"/>
        <v>0</v>
      </c>
      <c r="BU124" s="43">
        <f t="shared" si="1045"/>
        <v>0</v>
      </c>
      <c r="BV124" s="43">
        <f t="shared" si="1045"/>
        <v>0</v>
      </c>
      <c r="BW124" s="43">
        <f t="shared" si="1045"/>
        <v>0</v>
      </c>
      <c r="BX124" s="43">
        <f t="shared" si="1045"/>
        <v>0</v>
      </c>
      <c r="BY124" s="43">
        <f t="shared" si="1045"/>
        <v>0</v>
      </c>
      <c r="BZ124" s="43">
        <f t="shared" si="1045"/>
        <v>0</v>
      </c>
      <c r="CA124" s="43">
        <f t="shared" si="1045"/>
        <v>0</v>
      </c>
      <c r="CB124" s="43">
        <f t="shared" si="1045"/>
        <v>0</v>
      </c>
      <c r="CC124" s="43">
        <f t="shared" si="1045"/>
        <v>0</v>
      </c>
      <c r="CD124" s="43">
        <f t="shared" si="1045"/>
        <v>0</v>
      </c>
      <c r="CE124" s="43">
        <f t="shared" si="1045"/>
        <v>0</v>
      </c>
      <c r="CF124" s="43">
        <f t="shared" si="1045"/>
        <v>0</v>
      </c>
      <c r="CG124" s="43">
        <f t="shared" si="1045"/>
        <v>0</v>
      </c>
      <c r="CH124" s="43">
        <f t="shared" si="1045"/>
        <v>0</v>
      </c>
      <c r="CI124" s="43">
        <f t="shared" si="1045"/>
        <v>0</v>
      </c>
      <c r="CJ124" s="43">
        <f t="shared" si="1045"/>
        <v>0</v>
      </c>
      <c r="CK124" s="43">
        <f t="shared" si="1045"/>
        <v>0</v>
      </c>
      <c r="CL124" s="43">
        <f t="shared" si="1045"/>
        <v>0</v>
      </c>
      <c r="CM124" s="43">
        <f t="shared" si="1045"/>
        <v>0</v>
      </c>
      <c r="CN124" s="43">
        <f t="shared" si="1045"/>
        <v>0</v>
      </c>
      <c r="CO124" s="43">
        <f t="shared" si="1045"/>
        <v>0</v>
      </c>
      <c r="CP124" s="43">
        <f t="shared" si="1045"/>
        <v>0</v>
      </c>
      <c r="CQ124" s="43">
        <f t="shared" si="1045"/>
        <v>0</v>
      </c>
      <c r="CR124" s="43">
        <f t="shared" si="1045"/>
        <v>0</v>
      </c>
      <c r="CS124" s="43">
        <f t="shared" si="1045"/>
        <v>0</v>
      </c>
      <c r="CT124" s="43">
        <f t="shared" si="1006"/>
        <v>0</v>
      </c>
      <c r="CV124" s="43">
        <f t="shared" si="1009"/>
        <v>0</v>
      </c>
      <c r="CW124" s="43">
        <f t="shared" si="1010"/>
        <v>0</v>
      </c>
      <c r="CX124" s="43">
        <f t="shared" si="1011"/>
        <v>0</v>
      </c>
      <c r="CY124" s="43">
        <f t="shared" si="1012"/>
        <v>0</v>
      </c>
      <c r="CZ124" s="43">
        <f t="shared" si="1013"/>
        <v>0</v>
      </c>
      <c r="DA124" s="43">
        <f t="shared" si="1014"/>
        <v>0</v>
      </c>
      <c r="DB124" s="43">
        <f t="shared" si="1015"/>
        <v>0</v>
      </c>
      <c r="DC124" s="43">
        <f t="shared" si="1016"/>
        <v>0</v>
      </c>
      <c r="DD124" s="43">
        <f t="shared" si="1017"/>
        <v>0</v>
      </c>
      <c r="DE124" s="43">
        <f t="shared" si="1018"/>
        <v>0</v>
      </c>
      <c r="DF124" s="43">
        <f t="shared" si="1019"/>
        <v>0</v>
      </c>
      <c r="DG124" s="43">
        <f t="shared" si="1020"/>
        <v>0</v>
      </c>
      <c r="DH124" s="43">
        <f t="shared" si="1021"/>
        <v>0</v>
      </c>
      <c r="DI124" s="43">
        <f t="shared" si="1022"/>
        <v>0</v>
      </c>
      <c r="DJ124" s="43">
        <f t="shared" si="1023"/>
        <v>0</v>
      </c>
      <c r="DK124" s="43">
        <f t="shared" si="1024"/>
        <v>0</v>
      </c>
      <c r="DL124" s="43">
        <f t="shared" si="1025"/>
        <v>0</v>
      </c>
      <c r="DM124" s="43">
        <f t="shared" si="1026"/>
        <v>0</v>
      </c>
      <c r="DN124" s="43">
        <f t="shared" si="1027"/>
        <v>0</v>
      </c>
      <c r="DO124" s="43">
        <f t="shared" si="1028"/>
        <v>0</v>
      </c>
      <c r="DP124" s="43">
        <f t="shared" si="1029"/>
        <v>0</v>
      </c>
      <c r="DQ124" s="43">
        <f t="shared" si="1030"/>
        <v>0</v>
      </c>
      <c r="DR124" s="43">
        <f t="shared" si="1031"/>
        <v>0</v>
      </c>
      <c r="DS124" s="43">
        <f t="shared" si="1032"/>
        <v>0</v>
      </c>
      <c r="DT124" s="43">
        <f t="shared" si="1033"/>
        <v>0</v>
      </c>
      <c r="DU124" s="43">
        <f t="shared" si="1034"/>
        <v>0</v>
      </c>
      <c r="DV124" s="43">
        <f t="shared" si="1035"/>
        <v>0</v>
      </c>
      <c r="DW124" s="43">
        <f t="shared" si="1036"/>
        <v>0</v>
      </c>
      <c r="DX124" s="43">
        <f t="shared" si="1037"/>
        <v>0</v>
      </c>
      <c r="DY124" s="43">
        <f t="shared" si="1038"/>
        <v>0</v>
      </c>
      <c r="DZ124" s="43">
        <f t="shared" si="1041"/>
        <v>0</v>
      </c>
    </row>
    <row r="125" spans="1:165" s="624" customFormat="1" ht="16" thickBot="1" x14ac:dyDescent="0.25">
      <c r="A125" s="623" t="s">
        <v>461</v>
      </c>
      <c r="C125" s="625"/>
      <c r="D125" s="626"/>
      <c r="E125" s="626"/>
      <c r="F125" s="626"/>
      <c r="G125" s="626"/>
      <c r="H125" s="626"/>
      <c r="I125" s="626"/>
      <c r="J125" s="626"/>
      <c r="K125" s="626"/>
      <c r="L125" s="626"/>
      <c r="M125" s="626"/>
      <c r="N125" s="626"/>
      <c r="O125" s="626"/>
      <c r="P125" s="626"/>
      <c r="Q125" s="626"/>
      <c r="R125" s="626"/>
      <c r="S125" s="626"/>
      <c r="T125" s="626"/>
      <c r="U125" s="626"/>
      <c r="V125" s="626"/>
      <c r="W125" s="626"/>
      <c r="X125" s="626"/>
      <c r="Y125" s="626"/>
      <c r="Z125" s="626"/>
      <c r="AA125" s="626"/>
      <c r="AB125" s="626"/>
      <c r="AC125" s="626"/>
      <c r="AD125" s="626"/>
      <c r="AE125" s="626"/>
      <c r="AF125" s="626"/>
      <c r="AG125" s="626"/>
      <c r="AH125" s="626"/>
      <c r="AI125" s="626"/>
      <c r="AJ125" s="626"/>
      <c r="AK125" s="626"/>
      <c r="AL125" s="626"/>
      <c r="AM125" s="626"/>
      <c r="AN125" s="626"/>
      <c r="AO125" s="626"/>
      <c r="AP125" s="626"/>
      <c r="AQ125" s="626"/>
      <c r="AR125" s="626"/>
      <c r="AS125" s="626"/>
      <c r="AT125" s="626"/>
      <c r="AU125" s="626"/>
      <c r="AV125" s="626"/>
      <c r="AW125" s="626"/>
      <c r="AX125" s="626"/>
      <c r="AY125" s="626"/>
      <c r="AZ125" s="626"/>
      <c r="BA125" s="626"/>
      <c r="BB125" s="626"/>
      <c r="BC125" s="626"/>
      <c r="BD125" s="626"/>
      <c r="BE125" s="626"/>
      <c r="BF125" s="626"/>
      <c r="BG125" s="626"/>
      <c r="BH125" s="626"/>
      <c r="BI125" s="626"/>
      <c r="BJ125" s="626"/>
      <c r="BK125" s="626"/>
      <c r="BL125" s="626"/>
      <c r="BM125" s="626"/>
      <c r="BN125" s="626"/>
      <c r="BP125" s="626"/>
      <c r="BQ125" s="626"/>
      <c r="BR125" s="626"/>
      <c r="BS125" s="626"/>
      <c r="BT125" s="626"/>
      <c r="BU125" s="626"/>
      <c r="BV125" s="626"/>
      <c r="BW125" s="626"/>
      <c r="BX125" s="626"/>
      <c r="BY125" s="626"/>
      <c r="BZ125" s="626"/>
      <c r="CA125" s="626"/>
      <c r="CB125" s="626"/>
      <c r="CC125" s="626"/>
      <c r="CD125" s="626"/>
      <c r="CE125" s="626"/>
      <c r="CF125" s="626"/>
      <c r="CG125" s="626"/>
      <c r="CH125" s="626"/>
      <c r="CI125" s="626"/>
      <c r="CJ125" s="626"/>
      <c r="CK125" s="626"/>
      <c r="CL125" s="626"/>
      <c r="CM125" s="626"/>
      <c r="CN125" s="626"/>
      <c r="CO125" s="626"/>
      <c r="CP125" s="626"/>
      <c r="CQ125" s="626"/>
      <c r="CR125" s="626"/>
      <c r="CS125" s="626"/>
      <c r="CT125" s="626"/>
      <c r="CV125" s="626"/>
      <c r="CW125" s="626"/>
      <c r="CX125" s="626"/>
      <c r="CY125" s="626"/>
      <c r="CZ125" s="626"/>
      <c r="DA125" s="626"/>
      <c r="DB125" s="626"/>
      <c r="DC125" s="626"/>
      <c r="DD125" s="626"/>
      <c r="DE125" s="626"/>
      <c r="DF125" s="626"/>
      <c r="DG125" s="626"/>
      <c r="DH125" s="626"/>
      <c r="DI125" s="626"/>
      <c r="DJ125" s="626"/>
      <c r="DK125" s="626"/>
      <c r="DL125" s="626"/>
      <c r="DM125" s="626"/>
      <c r="DN125" s="626"/>
      <c r="DO125" s="626"/>
      <c r="DP125" s="626"/>
      <c r="DQ125" s="626"/>
      <c r="DR125" s="626"/>
      <c r="DS125" s="626"/>
      <c r="DT125" s="626"/>
      <c r="DU125" s="626"/>
      <c r="DV125" s="626"/>
      <c r="DW125" s="626"/>
      <c r="DX125" s="626"/>
      <c r="DY125" s="626"/>
      <c r="DZ125" s="626"/>
      <c r="EK125" s="627"/>
      <c r="EL125" s="627"/>
      <c r="EM125" s="627"/>
      <c r="EN125" s="627"/>
      <c r="EO125" s="627"/>
      <c r="EP125" s="627"/>
      <c r="EQ125" s="627"/>
      <c r="ER125" s="627"/>
      <c r="ES125" s="627"/>
      <c r="ET125" s="627"/>
      <c r="EU125" s="627"/>
      <c r="EV125" s="627"/>
      <c r="EW125" s="627"/>
      <c r="EX125" s="627"/>
      <c r="EY125" s="627"/>
      <c r="EZ125" s="627"/>
      <c r="FA125" s="627"/>
      <c r="FB125" s="627"/>
      <c r="FC125" s="627"/>
      <c r="FD125" s="627"/>
      <c r="FE125" s="627"/>
      <c r="FF125" s="627"/>
      <c r="FG125" s="627"/>
      <c r="FH125" s="627"/>
      <c r="FI125" s="627"/>
    </row>
    <row r="126" spans="1:165" x14ac:dyDescent="0.2">
      <c r="A126" s="606" t="s">
        <v>193</v>
      </c>
      <c r="C126" s="54" t="s">
        <v>462</v>
      </c>
      <c r="D126" s="168">
        <f>D103</f>
        <v>8.6865876044151913E-2</v>
      </c>
      <c r="E126" s="168">
        <f t="shared" ref="E126:AH126" si="1046">E103</f>
        <v>8.9846994739147035E-2</v>
      </c>
      <c r="F126" s="168">
        <f t="shared" si="1046"/>
        <v>9.408011746418854E-2</v>
      </c>
      <c r="G126" s="168">
        <f t="shared" si="1046"/>
        <v>9.8429932790844679E-2</v>
      </c>
      <c r="H126" s="168">
        <f t="shared" si="1046"/>
        <v>0.10282447203686899</v>
      </c>
      <c r="I126" s="168">
        <f t="shared" si="1046"/>
        <v>0.10726688001080302</v>
      </c>
      <c r="J126" s="168">
        <f t="shared" si="1046"/>
        <v>0.11241910537201075</v>
      </c>
      <c r="K126" s="168">
        <f t="shared" si="1046"/>
        <v>0.11764585935593752</v>
      </c>
      <c r="L126" s="168">
        <f t="shared" si="1046"/>
        <v>0.12294514840910481</v>
      </c>
      <c r="M126" s="168">
        <f t="shared" si="1046"/>
        <v>0.12831459337264581</v>
      </c>
      <c r="N126" s="168">
        <f t="shared" si="1046"/>
        <v>0.13375139923034488</v>
      </c>
      <c r="O126" s="168">
        <f t="shared" si="1046"/>
        <v>0.14346502812515644</v>
      </c>
      <c r="P126" s="168">
        <f t="shared" si="1046"/>
        <v>0.15324102736242448</v>
      </c>
      <c r="Q126" s="168">
        <f t="shared" si="1046"/>
        <v>0.16308082597174189</v>
      </c>
      <c r="R126" s="168">
        <f t="shared" si="1046"/>
        <v>0.17296714789751699</v>
      </c>
      <c r="S126" s="168">
        <f t="shared" si="1046"/>
        <v>0.18288993304646453</v>
      </c>
      <c r="T126" s="168">
        <f t="shared" si="1046"/>
        <v>0.19263968315907168</v>
      </c>
      <c r="U126" s="168">
        <f t="shared" si="1046"/>
        <v>0.20240752345537288</v>
      </c>
      <c r="V126" s="168">
        <f t="shared" si="1046"/>
        <v>0.21218489167856633</v>
      </c>
      <c r="W126" s="168">
        <f t="shared" si="1046"/>
        <v>0.2219618741145569</v>
      </c>
      <c r="X126" s="168">
        <f t="shared" si="1046"/>
        <v>0.23172703176664533</v>
      </c>
      <c r="Y126" s="168">
        <f t="shared" si="1046"/>
        <v>0.24788451849737841</v>
      </c>
      <c r="Z126" s="168">
        <f t="shared" si="1046"/>
        <v>0.26401970119100554</v>
      </c>
      <c r="AA126" s="168">
        <f t="shared" si="1046"/>
        <v>0.2801162152467494</v>
      </c>
      <c r="AB126" s="168">
        <f t="shared" si="1046"/>
        <v>0.29613426182510311</v>
      </c>
      <c r="AC126" s="168">
        <f t="shared" si="1046"/>
        <v>0.31204164221197295</v>
      </c>
      <c r="AD126" s="168">
        <f t="shared" si="1046"/>
        <v>0.32782214569261459</v>
      </c>
      <c r="AE126" s="168">
        <f t="shared" si="1046"/>
        <v>0.34336341221521316</v>
      </c>
      <c r="AF126" s="168">
        <f t="shared" si="1046"/>
        <v>0.35860028284732898</v>
      </c>
      <c r="AG126" s="168">
        <f t="shared" si="1046"/>
        <v>0.3734566090130767</v>
      </c>
      <c r="AH126" s="168">
        <f t="shared" si="1046"/>
        <v>0.38784314247740453</v>
      </c>
      <c r="AI126" s="44"/>
      <c r="AJ126" s="168">
        <f>AJ103</f>
        <v>8.6865876044151913E-2</v>
      </c>
      <c r="AK126" s="168">
        <f t="shared" ref="AK126:BN126" si="1047">AK103</f>
        <v>8.9756572785935032E-2</v>
      </c>
      <c r="AL126" s="168">
        <f t="shared" si="1047"/>
        <v>9.3853818851594148E-2</v>
      </c>
      <c r="AM126" s="168">
        <f t="shared" si="1047"/>
        <v>9.8073408637237763E-2</v>
      </c>
      <c r="AN126" s="168">
        <f t="shared" si="1047"/>
        <v>0.10232594348331912</v>
      </c>
      <c r="AO126" s="168">
        <f t="shared" si="1047"/>
        <v>0.10661424723385156</v>
      </c>
      <c r="AP126" s="168">
        <f t="shared" si="1047"/>
        <v>0.11106280032615533</v>
      </c>
      <c r="AQ126" s="168">
        <f t="shared" si="1047"/>
        <v>0.11551062472667942</v>
      </c>
      <c r="AR126" s="168">
        <f t="shared" si="1047"/>
        <v>0.11995243802614325</v>
      </c>
      <c r="AS126" s="168">
        <f t="shared" si="1047"/>
        <v>0.1243825156510623</v>
      </c>
      <c r="AT126" s="168">
        <f t="shared" si="1047"/>
        <v>0.12879467103629777</v>
      </c>
      <c r="AU126" s="168">
        <f t="shared" si="1047"/>
        <v>0.13694359088313865</v>
      </c>
      <c r="AV126" s="168">
        <f t="shared" si="1047"/>
        <v>0.14495165121747269</v>
      </c>
      <c r="AW126" s="168">
        <f t="shared" si="1047"/>
        <v>0.15279136923764361</v>
      </c>
      <c r="AX126" s="168">
        <f t="shared" si="1047"/>
        <v>0.16045120662758114</v>
      </c>
      <c r="AY126" s="168">
        <f t="shared" si="1047"/>
        <v>0.1679105801346758</v>
      </c>
      <c r="AZ126" s="168">
        <f t="shared" si="1047"/>
        <v>0.17523350218645523</v>
      </c>
      <c r="BA126" s="168">
        <f t="shared" si="1047"/>
        <v>0.18235961789854885</v>
      </c>
      <c r="BB126" s="168">
        <f t="shared" si="1047"/>
        <v>0.18927165492062764</v>
      </c>
      <c r="BC126" s="168">
        <f t="shared" si="1047"/>
        <v>0.19595090372347496</v>
      </c>
      <c r="BD126" s="168">
        <f t="shared" si="1047"/>
        <v>0.20237711183767243</v>
      </c>
      <c r="BE126" s="168">
        <f t="shared" si="1047"/>
        <v>0.21405186985366526</v>
      </c>
      <c r="BF126" s="168">
        <f t="shared" si="1047"/>
        <v>0.22531091843108947</v>
      </c>
      <c r="BG126" s="168">
        <f t="shared" si="1047"/>
        <v>0.23604214848430199</v>
      </c>
      <c r="BH126" s="168">
        <f t="shared" si="1047"/>
        <v>0.24626085078204779</v>
      </c>
      <c r="BI126" s="168">
        <f t="shared" si="1047"/>
        <v>0.25592147870659893</v>
      </c>
      <c r="BJ126" s="168">
        <f t="shared" si="1047"/>
        <v>0.26469352028404047</v>
      </c>
      <c r="BK126" s="168">
        <f t="shared" si="1047"/>
        <v>0.2727200586102802</v>
      </c>
      <c r="BL126" s="168">
        <f t="shared" si="1047"/>
        <v>0.27993017696370781</v>
      </c>
      <c r="BM126" s="168">
        <f t="shared" si="1047"/>
        <v>0.28624676510526431</v>
      </c>
      <c r="BN126" s="168">
        <f t="shared" si="1047"/>
        <v>0.29158594646239305</v>
      </c>
      <c r="BP126" s="168">
        <f>BP103</f>
        <v>8.6865876044151913E-2</v>
      </c>
      <c r="BQ126" s="168">
        <f t="shared" ref="BQ126:CT126" si="1048">BQ103</f>
        <v>8.5452055140027294E-2</v>
      </c>
      <c r="BR126" s="168">
        <f t="shared" si="1048"/>
        <v>8.4281563337488388E-2</v>
      </c>
      <c r="BS126" s="168">
        <f t="shared" si="1048"/>
        <v>8.3344829821982158E-2</v>
      </c>
      <c r="BT126" s="168">
        <f t="shared" si="1048"/>
        <v>8.263423216537874E-2</v>
      </c>
      <c r="BU126" s="168">
        <f t="shared" si="1048"/>
        <v>8.2143992883365158E-2</v>
      </c>
      <c r="BV126" s="168">
        <f t="shared" si="1048"/>
        <v>8.1693850323663122E-2</v>
      </c>
      <c r="BW126" s="168">
        <f t="shared" si="1048"/>
        <v>8.1283221119442847E-2</v>
      </c>
      <c r="BX126" s="168">
        <f t="shared" si="1048"/>
        <v>8.0911578186848909E-2</v>
      </c>
      <c r="BY126" s="168">
        <f t="shared" si="1048"/>
        <v>8.0578449612555322E-2</v>
      </c>
      <c r="BZ126" s="168">
        <f t="shared" si="1048"/>
        <v>8.0283417669660781E-2</v>
      </c>
      <c r="CA126" s="168">
        <f t="shared" si="1048"/>
        <v>8.0140782641730052E-2</v>
      </c>
      <c r="CB126" s="168">
        <f t="shared" si="1048"/>
        <v>8.0150046262425126E-2</v>
      </c>
      <c r="CC126" s="168">
        <f t="shared" si="1048"/>
        <v>8.0311574708555281E-2</v>
      </c>
      <c r="CD126" s="168">
        <f t="shared" si="1048"/>
        <v>8.0626605061909704E-2</v>
      </c>
      <c r="CE126" s="168">
        <f t="shared" si="1048"/>
        <v>8.1097260115289158E-2</v>
      </c>
      <c r="CF126" s="168">
        <f t="shared" si="1048"/>
        <v>8.1579592269901191E-2</v>
      </c>
      <c r="CG126" s="168">
        <f t="shared" si="1048"/>
        <v>8.2073783292113497E-2</v>
      </c>
      <c r="CH126" s="168">
        <f t="shared" si="1048"/>
        <v>8.2580020061112619E-2</v>
      </c>
      <c r="CI126" s="168">
        <f t="shared" si="1048"/>
        <v>8.3098494687576463E-2</v>
      </c>
      <c r="CJ126" s="168">
        <f t="shared" si="1048"/>
        <v>8.3629404636092836E-2</v>
      </c>
      <c r="CK126" s="168">
        <f t="shared" si="1048"/>
        <v>8.4172025746084664E-2</v>
      </c>
      <c r="CL126" s="168">
        <f t="shared" si="1048"/>
        <v>8.4726546805950292E-2</v>
      </c>
      <c r="CM126" s="168">
        <f t="shared" si="1048"/>
        <v>8.5293161480426052E-2</v>
      </c>
      <c r="CN126" s="168">
        <f t="shared" si="1048"/>
        <v>8.5872068423965733E-2</v>
      </c>
      <c r="CO126" s="168">
        <f t="shared" si="1048"/>
        <v>8.6463471397467295E-2</v>
      </c>
      <c r="CP126" s="168">
        <f t="shared" si="1048"/>
        <v>8.7066756238696683E-2</v>
      </c>
      <c r="CQ126" s="168">
        <f t="shared" si="1048"/>
        <v>8.7682118711812154E-2</v>
      </c>
      <c r="CR126" s="168">
        <f t="shared" si="1048"/>
        <v>8.8309759306779548E-2</v>
      </c>
      <c r="CS126" s="168">
        <f t="shared" si="1048"/>
        <v>8.8949883348533626E-2</v>
      </c>
      <c r="CT126" s="168">
        <f t="shared" si="1048"/>
        <v>8.9602701109191413E-2</v>
      </c>
      <c r="CV126" s="168">
        <f>CV103</f>
        <v>8.6865876044151913E-2</v>
      </c>
      <c r="CW126" s="168">
        <f t="shared" ref="CW126:DZ126" si="1049">CW103</f>
        <v>8.9488516021888356E-2</v>
      </c>
      <c r="CX126" s="168">
        <f t="shared" si="1049"/>
        <v>9.3131914350023118E-2</v>
      </c>
      <c r="CY126" s="168">
        <f t="shared" si="1049"/>
        <v>9.6941867544196231E-2</v>
      </c>
      <c r="CZ126" s="168">
        <f t="shared" si="1049"/>
        <v>0.10075180275826419</v>
      </c>
      <c r="DA126" s="168">
        <f t="shared" si="1049"/>
        <v>0.10456410942508998</v>
      </c>
      <c r="DB126" s="168">
        <f t="shared" si="1049"/>
        <v>0.10799236598008223</v>
      </c>
      <c r="DC126" s="168">
        <f t="shared" si="1049"/>
        <v>0.11134503818319744</v>
      </c>
      <c r="DD126" s="168">
        <f t="shared" si="1049"/>
        <v>0.11461709697937156</v>
      </c>
      <c r="DE126" s="168">
        <f t="shared" si="1049"/>
        <v>0.11780327237399016</v>
      </c>
      <c r="DF126" s="168">
        <f t="shared" si="1049"/>
        <v>0.12089805342832947</v>
      </c>
      <c r="DG126" s="168">
        <f t="shared" si="1049"/>
        <v>0.12676354044773047</v>
      </c>
      <c r="DH126" s="168">
        <f t="shared" si="1049"/>
        <v>0.13228818044624616</v>
      </c>
      <c r="DI126" s="168">
        <f t="shared" si="1049"/>
        <v>0.13744875909811377</v>
      </c>
      <c r="DJ126" s="168">
        <f t="shared" si="1049"/>
        <v>0.14224515528816276</v>
      </c>
      <c r="DK126" s="168">
        <f t="shared" si="1049"/>
        <v>0.1466664243999618</v>
      </c>
      <c r="DL126" s="168">
        <f t="shared" si="1049"/>
        <v>0.15096644855044067</v>
      </c>
      <c r="DM126" s="168">
        <f t="shared" si="1049"/>
        <v>0.15492398758413478</v>
      </c>
      <c r="DN126" s="168">
        <f t="shared" si="1049"/>
        <v>0.1585316295171264</v>
      </c>
      <c r="DO126" s="168">
        <f t="shared" si="1049"/>
        <v>0.16178160290053281</v>
      </c>
      <c r="DP126" s="168">
        <f t="shared" si="1049"/>
        <v>0.16466577681568673</v>
      </c>
      <c r="DQ126" s="168">
        <f t="shared" si="1049"/>
        <v>0.17159478549200238</v>
      </c>
      <c r="DR126" s="168">
        <f t="shared" si="1049"/>
        <v>0.17791506994365675</v>
      </c>
      <c r="DS126" s="168">
        <f t="shared" si="1049"/>
        <v>0.18353145363581844</v>
      </c>
      <c r="DT126" s="168">
        <f t="shared" si="1049"/>
        <v>0.18849497555141331</v>
      </c>
      <c r="DU126" s="168">
        <f t="shared" si="1049"/>
        <v>0.19278985074625768</v>
      </c>
      <c r="DV126" s="168">
        <f t="shared" si="1049"/>
        <v>0.19604167260625821</v>
      </c>
      <c r="DW126" s="168">
        <f t="shared" si="1049"/>
        <v>0.19852752359025971</v>
      </c>
      <c r="DX126" s="168">
        <f t="shared" si="1049"/>
        <v>0.20022497252316643</v>
      </c>
      <c r="DY126" s="168">
        <f t="shared" si="1049"/>
        <v>0.201110849664136</v>
      </c>
      <c r="DZ126" s="168">
        <f t="shared" si="1049"/>
        <v>0.20116124669703228</v>
      </c>
    </row>
    <row r="127" spans="1:165" x14ac:dyDescent="0.2">
      <c r="A127" s="606" t="s">
        <v>88</v>
      </c>
      <c r="C127" s="54" t="s">
        <v>462</v>
      </c>
      <c r="D127" s="168">
        <f t="shared" ref="D127:AH127" si="1050">D104</f>
        <v>3.5539413783499495E-7</v>
      </c>
      <c r="E127" s="168">
        <f t="shared" si="1050"/>
        <v>7.6994953493636775E-7</v>
      </c>
      <c r="F127" s="168">
        <f t="shared" si="1050"/>
        <v>1.6302725031969353E-6</v>
      </c>
      <c r="G127" s="168">
        <f t="shared" si="1050"/>
        <v>3.4249058676089055E-6</v>
      </c>
      <c r="H127" s="168">
        <f t="shared" si="1050"/>
        <v>7.1413303624467628E-6</v>
      </c>
      <c r="I127" s="168">
        <f t="shared" si="1050"/>
        <v>1.4764176148161701E-5</v>
      </c>
      <c r="J127" s="168">
        <f t="shared" si="1050"/>
        <v>3.0030601357725137E-5</v>
      </c>
      <c r="K127" s="168">
        <f t="shared" si="1050"/>
        <v>6.035020394494349E-5</v>
      </c>
      <c r="L127" s="168">
        <f t="shared" si="1050"/>
        <v>1.1944458141779007E-4</v>
      </c>
      <c r="M127" s="168">
        <f t="shared" si="1050"/>
        <v>2.3183644460019609E-4</v>
      </c>
      <c r="N127" s="168">
        <f t="shared" si="1050"/>
        <v>4.4080439348205861E-4</v>
      </c>
      <c r="O127" s="168">
        <f t="shared" si="1050"/>
        <v>7.7855633825504888E-4</v>
      </c>
      <c r="P127" s="168">
        <f t="shared" si="1050"/>
        <v>1.3298048401981137E-3</v>
      </c>
      <c r="Q127" s="168">
        <f t="shared" si="1050"/>
        <v>2.1703784317944597E-3</v>
      </c>
      <c r="R127" s="168">
        <f t="shared" si="1050"/>
        <v>3.3623590358289501E-3</v>
      </c>
      <c r="S127" s="168">
        <f t="shared" si="1050"/>
        <v>4.9232338968044735E-3</v>
      </c>
      <c r="T127" s="168">
        <f t="shared" si="1050"/>
        <v>6.8093115366191772E-3</v>
      </c>
      <c r="U127" s="168">
        <f t="shared" si="1050"/>
        <v>8.9004537152682275E-3</v>
      </c>
      <c r="V127" s="168">
        <f t="shared" si="1050"/>
        <v>1.1048561373663326E-2</v>
      </c>
      <c r="W127" s="168">
        <f t="shared" si="1050"/>
        <v>1.3116960023448729E-2</v>
      </c>
      <c r="X127" s="168">
        <f t="shared" si="1050"/>
        <v>1.501300887339378E-2</v>
      </c>
      <c r="Y127" s="168">
        <f t="shared" si="1050"/>
        <v>1.5825904792868734E-2</v>
      </c>
      <c r="Z127" s="168">
        <f t="shared" si="1050"/>
        <v>1.6284964524273041E-2</v>
      </c>
      <c r="AA127" s="168">
        <f t="shared" si="1050"/>
        <v>1.646563413412783E-2</v>
      </c>
      <c r="AB127" s="168">
        <f t="shared" si="1050"/>
        <v>1.7607741260876955E-2</v>
      </c>
      <c r="AC127" s="168">
        <f t="shared" si="1050"/>
        <v>1.919294044445518E-2</v>
      </c>
      <c r="AD127" s="168">
        <f t="shared" si="1050"/>
        <v>2.0908282237462349E-2</v>
      </c>
      <c r="AE127" s="168">
        <f t="shared" si="1050"/>
        <v>2.2878159078385776E-2</v>
      </c>
      <c r="AF127" s="168">
        <f t="shared" si="1050"/>
        <v>2.5229935310012774E-2</v>
      </c>
      <c r="AG127" s="168">
        <f t="shared" si="1050"/>
        <v>2.8045235205180503E-2</v>
      </c>
      <c r="AH127" s="168">
        <f t="shared" si="1050"/>
        <v>3.1306672242522697E-2</v>
      </c>
      <c r="AI127" s="44"/>
      <c r="AJ127" s="168">
        <f t="shared" ref="AJ127:BN127" si="1051">AJ104</f>
        <v>2.0363802976813303E-7</v>
      </c>
      <c r="AK127" s="168">
        <f t="shared" si="1051"/>
        <v>4.4166590186274447E-7</v>
      </c>
      <c r="AL127" s="168">
        <f t="shared" si="1051"/>
        <v>9.3657809576912975E-7</v>
      </c>
      <c r="AM127" s="168">
        <f t="shared" si="1051"/>
        <v>1.9700839301252892E-6</v>
      </c>
      <c r="AN127" s="168">
        <f t="shared" si="1051"/>
        <v>4.1130268610540028E-6</v>
      </c>
      <c r="AO127" s="168">
        <f t="shared" si="1051"/>
        <v>8.5140182687198991E-6</v>
      </c>
      <c r="AP127" s="168">
        <f t="shared" si="1051"/>
        <v>1.7427183125901427E-5</v>
      </c>
      <c r="AQ127" s="168">
        <f t="shared" si="1051"/>
        <v>3.5248531702279704E-5</v>
      </c>
      <c r="AR127" s="168">
        <f t="shared" si="1051"/>
        <v>7.0225476676703615E-5</v>
      </c>
      <c r="AS127" s="168">
        <f t="shared" si="1051"/>
        <v>1.3722945122043525E-4</v>
      </c>
      <c r="AT127" s="168">
        <f t="shared" si="1051"/>
        <v>2.6273871536260562E-4</v>
      </c>
      <c r="AU127" s="168">
        <f t="shared" si="1051"/>
        <v>4.6973014247163932E-4</v>
      </c>
      <c r="AV127" s="168">
        <f t="shared" si="1051"/>
        <v>8.1329776542250548E-4</v>
      </c>
      <c r="AW127" s="168">
        <f t="shared" si="1051"/>
        <v>1.3477208260075243E-3</v>
      </c>
      <c r="AX127" s="168">
        <f t="shared" si="1051"/>
        <v>2.1230685174532297E-3</v>
      </c>
      <c r="AY127" s="168">
        <f t="shared" si="1051"/>
        <v>3.1657901157547933E-3</v>
      </c>
      <c r="AZ127" s="168">
        <f t="shared" si="1051"/>
        <v>4.4558550870247198E-3</v>
      </c>
      <c r="BA127" s="168">
        <f t="shared" si="1051"/>
        <v>5.9341850784019627E-3</v>
      </c>
      <c r="BB127" s="168">
        <f t="shared" si="1051"/>
        <v>7.5143457011827867E-3</v>
      </c>
      <c r="BC127" s="168">
        <f t="shared" si="1051"/>
        <v>9.1107891654233497E-3</v>
      </c>
      <c r="BD127" s="168">
        <f t="shared" si="1051"/>
        <v>1.0661256212940666E-2</v>
      </c>
      <c r="BE127" s="168">
        <f t="shared" si="1051"/>
        <v>1.1706195879423769E-2</v>
      </c>
      <c r="BF127" s="168">
        <f t="shared" si="1051"/>
        <v>1.2614728821600916E-2</v>
      </c>
      <c r="BG127" s="168">
        <f t="shared" si="1051"/>
        <v>1.3442336747809105E-2</v>
      </c>
      <c r="BH127" s="168">
        <f t="shared" si="1051"/>
        <v>1.4252101246221973E-2</v>
      </c>
      <c r="BI127" s="168">
        <f t="shared" si="1051"/>
        <v>1.5128863490850537E-2</v>
      </c>
      <c r="BJ127" s="168">
        <f t="shared" si="1051"/>
        <v>1.6206653418695427E-2</v>
      </c>
      <c r="BK127" s="168">
        <f t="shared" si="1051"/>
        <v>1.7589533969059698E-2</v>
      </c>
      <c r="BL127" s="168">
        <f t="shared" si="1051"/>
        <v>1.9409292423475093E-2</v>
      </c>
      <c r="BM127" s="168">
        <f t="shared" si="1051"/>
        <v>2.1780221214840724E-2</v>
      </c>
      <c r="BN127" s="168">
        <f t="shared" si="1051"/>
        <v>2.4764751747142613E-2</v>
      </c>
      <c r="BP127" s="168">
        <f t="shared" ref="BP127:CT127" si="1052">BP104</f>
        <v>0</v>
      </c>
      <c r="BQ127" s="168">
        <f t="shared" si="1052"/>
        <v>0</v>
      </c>
      <c r="BR127" s="168">
        <f t="shared" si="1052"/>
        <v>0</v>
      </c>
      <c r="BS127" s="168">
        <f t="shared" si="1052"/>
        <v>0</v>
      </c>
      <c r="BT127" s="168">
        <f t="shared" si="1052"/>
        <v>0</v>
      </c>
      <c r="BU127" s="168">
        <f t="shared" si="1052"/>
        <v>0</v>
      </c>
      <c r="BV127" s="168">
        <f t="shared" si="1052"/>
        <v>0</v>
      </c>
      <c r="BW127" s="168">
        <f t="shared" si="1052"/>
        <v>0</v>
      </c>
      <c r="BX127" s="168">
        <f t="shared" si="1052"/>
        <v>0</v>
      </c>
      <c r="BY127" s="168">
        <f t="shared" si="1052"/>
        <v>0</v>
      </c>
      <c r="BZ127" s="168">
        <f t="shared" si="1052"/>
        <v>0</v>
      </c>
      <c r="CA127" s="168">
        <f t="shared" si="1052"/>
        <v>0</v>
      </c>
      <c r="CB127" s="168">
        <f t="shared" si="1052"/>
        <v>0</v>
      </c>
      <c r="CC127" s="168">
        <f t="shared" si="1052"/>
        <v>0</v>
      </c>
      <c r="CD127" s="168">
        <f t="shared" si="1052"/>
        <v>0</v>
      </c>
      <c r="CE127" s="168">
        <f t="shared" si="1052"/>
        <v>0</v>
      </c>
      <c r="CF127" s="168">
        <f t="shared" si="1052"/>
        <v>0</v>
      </c>
      <c r="CG127" s="168">
        <f t="shared" si="1052"/>
        <v>0</v>
      </c>
      <c r="CH127" s="168">
        <f t="shared" si="1052"/>
        <v>0</v>
      </c>
      <c r="CI127" s="168">
        <f t="shared" si="1052"/>
        <v>0</v>
      </c>
      <c r="CJ127" s="168">
        <f t="shared" si="1052"/>
        <v>0</v>
      </c>
      <c r="CK127" s="168">
        <f t="shared" si="1052"/>
        <v>0</v>
      </c>
      <c r="CL127" s="168">
        <f t="shared" si="1052"/>
        <v>0</v>
      </c>
      <c r="CM127" s="168">
        <f t="shared" si="1052"/>
        <v>0</v>
      </c>
      <c r="CN127" s="168">
        <f t="shared" si="1052"/>
        <v>0</v>
      </c>
      <c r="CO127" s="168">
        <f t="shared" si="1052"/>
        <v>0</v>
      </c>
      <c r="CP127" s="168">
        <f t="shared" si="1052"/>
        <v>0</v>
      </c>
      <c r="CQ127" s="168">
        <f t="shared" si="1052"/>
        <v>0</v>
      </c>
      <c r="CR127" s="168">
        <f t="shared" si="1052"/>
        <v>0</v>
      </c>
      <c r="CS127" s="168">
        <f t="shared" si="1052"/>
        <v>0</v>
      </c>
      <c r="CT127" s="168">
        <f t="shared" si="1052"/>
        <v>0</v>
      </c>
      <c r="CV127" s="168">
        <f>CV104</f>
        <v>2.0363802976813303E-7</v>
      </c>
      <c r="CW127" s="168">
        <f t="shared" ref="CW127:DZ127" si="1053">CW104</f>
        <v>4.4034687275135627E-7</v>
      </c>
      <c r="CX127" s="168">
        <f t="shared" si="1053"/>
        <v>9.2937412738849643E-7</v>
      </c>
      <c r="CY127" s="168">
        <f t="shared" si="1053"/>
        <v>1.9473537022821515E-6</v>
      </c>
      <c r="CZ127" s="168">
        <f t="shared" si="1053"/>
        <v>4.0497537275276508E-6</v>
      </c>
      <c r="DA127" s="168">
        <f t="shared" si="1053"/>
        <v>8.3502980229735375E-6</v>
      </c>
      <c r="DB127" s="168">
        <f t="shared" si="1053"/>
        <v>1.6945392450104177E-5</v>
      </c>
      <c r="DC127" s="168">
        <f t="shared" si="1053"/>
        <v>3.3977386215152914E-5</v>
      </c>
      <c r="DD127" s="168">
        <f t="shared" si="1053"/>
        <v>6.7101931424870846E-5</v>
      </c>
      <c r="DE127" s="168">
        <f t="shared" si="1053"/>
        <v>1.2997066617631209E-4</v>
      </c>
      <c r="DF127" s="168">
        <f t="shared" si="1053"/>
        <v>2.4662976342124305E-4</v>
      </c>
      <c r="DG127" s="168">
        <f t="shared" si="1053"/>
        <v>4.3481155657393642E-4</v>
      </c>
      <c r="DH127" s="168">
        <f t="shared" si="1053"/>
        <v>7.4224529796713457E-4</v>
      </c>
      <c r="DI127" s="168">
        <f t="shared" si="1053"/>
        <v>1.212388867706936E-3</v>
      </c>
      <c r="DJ127" s="168">
        <f t="shared" si="1053"/>
        <v>1.8821685252482971E-3</v>
      </c>
      <c r="DK127" s="168">
        <f t="shared" si="1053"/>
        <v>2.7652522926553181E-3</v>
      </c>
      <c r="DL127" s="168">
        <f t="shared" si="1053"/>
        <v>3.8387900107581842E-3</v>
      </c>
      <c r="DM127" s="168">
        <f t="shared" si="1053"/>
        <v>5.041399110189841E-3</v>
      </c>
      <c r="DN127" s="168">
        <f t="shared" si="1053"/>
        <v>6.2939243029448057E-3</v>
      </c>
      <c r="DO127" s="168">
        <f t="shared" si="1053"/>
        <v>7.522078474060217E-3</v>
      </c>
      <c r="DP127" s="168">
        <f t="shared" si="1053"/>
        <v>8.6746175009309884E-3</v>
      </c>
      <c r="DQ127" s="168">
        <f t="shared" si="1053"/>
        <v>9.3842776156561006E-3</v>
      </c>
      <c r="DR127" s="168">
        <f t="shared" si="1053"/>
        <v>9.9611256136342818E-3</v>
      </c>
      <c r="DS127" s="168">
        <f t="shared" si="1053"/>
        <v>1.0451911319353456E-2</v>
      </c>
      <c r="DT127" s="168">
        <f t="shared" si="1053"/>
        <v>1.0908958802958533E-2</v>
      </c>
      <c r="DU127" s="168">
        <f t="shared" si="1053"/>
        <v>1.1396821201183438E-2</v>
      </c>
      <c r="DV127" s="168">
        <f t="shared" si="1053"/>
        <v>1.2003238462889379E-2</v>
      </c>
      <c r="DW127" s="168">
        <f t="shared" si="1053"/>
        <v>1.2804362971241099E-2</v>
      </c>
      <c r="DX127" s="168">
        <f t="shared" si="1053"/>
        <v>1.3882837085793156E-2</v>
      </c>
      <c r="DY127" s="168">
        <f t="shared" si="1053"/>
        <v>1.5302317190479588E-2</v>
      </c>
      <c r="DZ127" s="168">
        <f t="shared" si="1053"/>
        <v>1.708487118819434E-2</v>
      </c>
    </row>
    <row r="128" spans="1:165" x14ac:dyDescent="0.2">
      <c r="A128" s="606" t="s">
        <v>459</v>
      </c>
      <c r="C128" s="54" t="s">
        <v>462</v>
      </c>
      <c r="D128" s="168">
        <f t="shared" ref="D128:AH128" si="1054">D105</f>
        <v>0.14609461893255787</v>
      </c>
      <c r="E128" s="168">
        <f t="shared" si="1054"/>
        <v>0.15046496331389386</v>
      </c>
      <c r="F128" s="168">
        <f t="shared" si="1054"/>
        <v>0.15458314120821479</v>
      </c>
      <c r="G128" s="168">
        <f t="shared" si="1054"/>
        <v>0.15862244716169285</v>
      </c>
      <c r="H128" s="168">
        <f t="shared" si="1054"/>
        <v>0.16258149004598269</v>
      </c>
      <c r="I128" s="168">
        <f t="shared" si="1054"/>
        <v>0.16643485460508847</v>
      </c>
      <c r="J128" s="168">
        <f t="shared" si="1054"/>
        <v>0.17000953122011522</v>
      </c>
      <c r="K128" s="168">
        <f t="shared" si="1054"/>
        <v>0.17333587842566534</v>
      </c>
      <c r="L128" s="168">
        <f t="shared" si="1054"/>
        <v>0.17626380709989234</v>
      </c>
      <c r="M128" s="168">
        <f t="shared" si="1054"/>
        <v>0.17853726937810702</v>
      </c>
      <c r="N128" s="168">
        <f t="shared" si="1054"/>
        <v>0.17974413229089212</v>
      </c>
      <c r="O128" s="168">
        <f t="shared" si="1054"/>
        <v>0.17840972033879055</v>
      </c>
      <c r="P128" s="168">
        <f t="shared" si="1054"/>
        <v>0.1746382332045768</v>
      </c>
      <c r="Q128" s="168">
        <f t="shared" si="1054"/>
        <v>0.16763406227054878</v>
      </c>
      <c r="R128" s="168">
        <f t="shared" si="1054"/>
        <v>0.15682726861117707</v>
      </c>
      <c r="S128" s="168">
        <f t="shared" si="1054"/>
        <v>0.14219882867483738</v>
      </c>
      <c r="T128" s="168">
        <f t="shared" si="1054"/>
        <v>0.12451980251774773</v>
      </c>
      <c r="U128" s="168">
        <f t="shared" si="1054"/>
        <v>0.1051539755944072</v>
      </c>
      <c r="V128" s="168">
        <f t="shared" si="1054"/>
        <v>8.576422571298134E-2</v>
      </c>
      <c r="W128" s="168">
        <f t="shared" si="1054"/>
        <v>6.7801343331500286E-2</v>
      </c>
      <c r="X128" s="168">
        <f t="shared" si="1054"/>
        <v>5.2201298163742721E-2</v>
      </c>
      <c r="Y128" s="168">
        <f t="shared" si="1054"/>
        <v>3.9062520528095349E-2</v>
      </c>
      <c r="Z128" s="168">
        <f t="shared" si="1054"/>
        <v>2.8742135728332386E-2</v>
      </c>
      <c r="AA128" s="168">
        <f t="shared" si="1054"/>
        <v>2.0875517951628425E-2</v>
      </c>
      <c r="AB128" s="168">
        <f t="shared" si="1054"/>
        <v>1.497676272270582E-2</v>
      </c>
      <c r="AC128" s="168">
        <f t="shared" si="1054"/>
        <v>1.0651686169257112E-2</v>
      </c>
      <c r="AD128" s="168">
        <f t="shared" si="1054"/>
        <v>7.5292527272494136E-3</v>
      </c>
      <c r="AE128" s="168">
        <f t="shared" si="1054"/>
        <v>5.2963998480075611E-3</v>
      </c>
      <c r="AF128" s="168">
        <f t="shared" si="1054"/>
        <v>3.710758513030567E-3</v>
      </c>
      <c r="AG128" s="168">
        <f t="shared" si="1054"/>
        <v>2.5910629546093207E-3</v>
      </c>
      <c r="AH128" s="168">
        <f t="shared" si="1054"/>
        <v>1.8043631372748566E-3</v>
      </c>
      <c r="AI128" s="44"/>
      <c r="AJ128" s="168">
        <f t="shared" ref="AJ128:BN128" si="1055">AJ105</f>
        <v>0.14609466474361113</v>
      </c>
      <c r="AK128" s="168">
        <f t="shared" si="1055"/>
        <v>0.15048001280662307</v>
      </c>
      <c r="AL128" s="168">
        <f t="shared" si="1055"/>
        <v>0.15462197376699871</v>
      </c>
      <c r="AM128" s="168">
        <f t="shared" si="1055"/>
        <v>0.15868563908011901</v>
      </c>
      <c r="AN128" s="168">
        <f t="shared" si="1055"/>
        <v>0.16267281556922489</v>
      </c>
      <c r="AO128" s="168">
        <f t="shared" si="1055"/>
        <v>0.16655859283361346</v>
      </c>
      <c r="AP128" s="168">
        <f t="shared" si="1055"/>
        <v>0.17027355743932868</v>
      </c>
      <c r="AQ128" s="168">
        <f t="shared" si="1055"/>
        <v>0.17376390622373769</v>
      </c>
      <c r="AR128" s="168">
        <f t="shared" si="1055"/>
        <v>0.17688228298673231</v>
      </c>
      <c r="AS128" s="168">
        <f t="shared" si="1055"/>
        <v>0.1793756842055397</v>
      </c>
      <c r="AT128" s="168">
        <f t="shared" si="1055"/>
        <v>0.18083514486391977</v>
      </c>
      <c r="AU128" s="168">
        <f t="shared" si="1055"/>
        <v>0.17987625608627117</v>
      </c>
      <c r="AV128" s="168">
        <f t="shared" si="1055"/>
        <v>0.17652618431686462</v>
      </c>
      <c r="AW128" s="168">
        <f t="shared" si="1055"/>
        <v>0.16997012759598312</v>
      </c>
      <c r="AX128" s="168">
        <f t="shared" si="1055"/>
        <v>0.15959273208578606</v>
      </c>
      <c r="AY128" s="168">
        <f t="shared" si="1055"/>
        <v>0.14531685950307352</v>
      </c>
      <c r="AZ128" s="168">
        <f t="shared" si="1055"/>
        <v>0.127813016846792</v>
      </c>
      <c r="BA128" s="168">
        <f t="shared" si="1055"/>
        <v>0.10845643373000809</v>
      </c>
      <c r="BB128" s="168">
        <f t="shared" si="1055"/>
        <v>8.8912446841259027E-2</v>
      </c>
      <c r="BC128" s="168">
        <f t="shared" si="1055"/>
        <v>7.0667491135893809E-2</v>
      </c>
      <c r="BD128" s="168">
        <f t="shared" si="1055"/>
        <v>5.4710007000253226E-2</v>
      </c>
      <c r="BE128" s="168">
        <f t="shared" si="1055"/>
        <v>4.1202235174965005E-2</v>
      </c>
      <c r="BF128" s="168">
        <f t="shared" si="1055"/>
        <v>3.0520918194881029E-2</v>
      </c>
      <c r="BG128" s="168">
        <f t="shared" si="1055"/>
        <v>2.232857044431823E-2</v>
      </c>
      <c r="BH128" s="168">
        <f t="shared" si="1055"/>
        <v>1.6183504798114669E-2</v>
      </c>
      <c r="BI128" s="168">
        <f t="shared" si="1055"/>
        <v>1.1649330099342672E-2</v>
      </c>
      <c r="BJ128" s="168">
        <f t="shared" si="1055"/>
        <v>8.3460232463660345E-3</v>
      </c>
      <c r="BK128" s="168">
        <f t="shared" si="1055"/>
        <v>5.9575744858141495E-3</v>
      </c>
      <c r="BL128" s="168">
        <f t="shared" si="1055"/>
        <v>4.2410109688546319E-3</v>
      </c>
      <c r="BM128" s="168">
        <f t="shared" si="1055"/>
        <v>3.0128199077361912E-3</v>
      </c>
      <c r="BN128" s="168">
        <f t="shared" si="1055"/>
        <v>2.1371421262504587E-3</v>
      </c>
      <c r="BP128" s="168">
        <f t="shared" ref="BP128:CT128" si="1056">BP105</f>
        <v>0.14610145983293571</v>
      </c>
      <c r="BQ128" s="168">
        <f t="shared" si="1056"/>
        <v>0.14821773693030627</v>
      </c>
      <c r="BR128" s="168">
        <f t="shared" si="1056"/>
        <v>0.15029991940420692</v>
      </c>
      <c r="BS128" s="168">
        <f t="shared" si="1056"/>
        <v>0.15234808928358654</v>
      </c>
      <c r="BT128" s="168">
        <f t="shared" si="1056"/>
        <v>0.15436207986763892</v>
      </c>
      <c r="BU128" s="168">
        <f t="shared" si="1056"/>
        <v>0.1563414732122001</v>
      </c>
      <c r="BV128" s="168">
        <f t="shared" si="1056"/>
        <v>0.15831598020420046</v>
      </c>
      <c r="BW128" s="168">
        <f t="shared" si="1056"/>
        <v>0.16028545402202785</v>
      </c>
      <c r="BX128" s="168">
        <f t="shared" si="1056"/>
        <v>0.16224974273074824</v>
      </c>
      <c r="BY128" s="168">
        <f t="shared" si="1056"/>
        <v>0.16420868889919757</v>
      </c>
      <c r="BZ128" s="168">
        <f t="shared" si="1056"/>
        <v>0.16616212920768123</v>
      </c>
      <c r="CA128" s="168">
        <f t="shared" si="1056"/>
        <v>0.1680889409852678</v>
      </c>
      <c r="CB128" s="168">
        <f t="shared" si="1056"/>
        <v>0.16998827145070378</v>
      </c>
      <c r="CC128" s="168">
        <f t="shared" si="1056"/>
        <v>0.17185911040612792</v>
      </c>
      <c r="CD128" s="168">
        <f t="shared" si="1056"/>
        <v>0.17370028008363644</v>
      </c>
      <c r="CE128" s="168">
        <f t="shared" si="1056"/>
        <v>0.1755104233179797</v>
      </c>
      <c r="CF128" s="168">
        <f t="shared" si="1056"/>
        <v>0.17731636671909101</v>
      </c>
      <c r="CG128" s="168">
        <f t="shared" si="1056"/>
        <v>0.17911800242026549</v>
      </c>
      <c r="CH128" s="168">
        <f t="shared" si="1056"/>
        <v>0.18091522004394853</v>
      </c>
      <c r="CI128" s="168">
        <f t="shared" si="1056"/>
        <v>0.18270790662525552</v>
      </c>
      <c r="CJ128" s="168">
        <f t="shared" si="1056"/>
        <v>0.18449594653326651</v>
      </c>
      <c r="CK128" s="168">
        <f t="shared" si="1056"/>
        <v>0.18627940996324627</v>
      </c>
      <c r="CL128" s="168">
        <f t="shared" si="1056"/>
        <v>0.18805818551627063</v>
      </c>
      <c r="CM128" s="168">
        <f t="shared" si="1056"/>
        <v>0.18983215922076213</v>
      </c>
      <c r="CN128" s="168">
        <f t="shared" si="1056"/>
        <v>0.19160121445833664</v>
      </c>
      <c r="CO128" s="168">
        <f t="shared" si="1056"/>
        <v>0.19336523188753596</v>
      </c>
      <c r="CP128" s="168">
        <f t="shared" si="1056"/>
        <v>0.19512426529991575</v>
      </c>
      <c r="CQ128" s="168">
        <f t="shared" si="1056"/>
        <v>0.19687819878199081</v>
      </c>
      <c r="CR128" s="168">
        <f t="shared" si="1056"/>
        <v>0.19862691377236283</v>
      </c>
      <c r="CS128" s="168">
        <f t="shared" si="1056"/>
        <v>0.20037028898887899</v>
      </c>
      <c r="CT128" s="168">
        <f t="shared" si="1056"/>
        <v>0.20210820035375948</v>
      </c>
      <c r="CV128" s="168">
        <f>AJ128*(1-SUM(CV$34:CV$35))/(1-SUM(AJ$34:AJ$35))</f>
        <v>0.14609466474361113</v>
      </c>
      <c r="CW128" s="168">
        <f t="shared" ref="CW128:CW134" si="1057">AK128*(1-SUM(CW$34:CW$35))/(1-SUM(AK$34:AK$35))</f>
        <v>0.15065160534518357</v>
      </c>
      <c r="CX128" s="168">
        <f t="shared" ref="CX128:CX134" si="1058">AL128*(1-SUM(CX$34:CX$35))/(1-SUM(AL$34:AL$35))</f>
        <v>0.15499105837377219</v>
      </c>
      <c r="CY128" s="168">
        <f t="shared" ref="CY128:CY134" si="1059">AM128*(1-SUM(CY$34:CY$35))/(1-SUM(AM$34:AM$35))</f>
        <v>0.15927910312979746</v>
      </c>
      <c r="CZ128" s="168">
        <f t="shared" ref="CZ128:CZ134" si="1060">AN128*(1-SUM(CZ$34:CZ$35))/(1-SUM(AN$34:AN$35))</f>
        <v>0.16351847880493101</v>
      </c>
      <c r="DA128" s="168">
        <f t="shared" ref="DA128:DA134" si="1061">AO128*(1-SUM(DA$34:DA$35))/(1-SUM(AO$34:AO$35))</f>
        <v>0.16768497667861848</v>
      </c>
      <c r="DB128" s="168">
        <f t="shared" ref="DB128:DB134" si="1062">AP128*(1-SUM(DB$34:DB$35))/(1-SUM(AP$34:AP$35))</f>
        <v>0.17174451161717078</v>
      </c>
      <c r="DC128" s="168">
        <f t="shared" ref="DC128:DC134" si="1063">AQ128*(1-SUM(DC$34:DC$35))/(1-SUM(AQ$34:AQ$35))</f>
        <v>0.17561156270199557</v>
      </c>
      <c r="DD128" s="168">
        <f t="shared" ref="DD128:DD134" si="1064">AR128*(1-SUM(DD$34:DD$35))/(1-SUM(AR$34:AR$35))</f>
        <v>0.17913675816099664</v>
      </c>
      <c r="DE128" s="168">
        <f t="shared" ref="DE128:DE134" si="1065">AS128*(1-SUM(DE$34:DE$35))/(1-SUM(AS$34:AS$35))</f>
        <v>0.18206218928144241</v>
      </c>
      <c r="DF128" s="168">
        <f t="shared" ref="DF128:DF134" si="1066">AT128*(1-SUM(DF$34:DF$35))/(1-SUM(AT$34:AT$35))</f>
        <v>0.18396899733686486</v>
      </c>
      <c r="DG128" s="168">
        <f t="shared" ref="DG128:DG134" si="1067">AU128*(1-SUM(DG$34:DG$35))/(1-SUM(AU$34:AU$35))</f>
        <v>0.18379714279709911</v>
      </c>
      <c r="DH128" s="168">
        <f t="shared" ref="DH128:DH134" si="1068">AV128*(1-SUM(DH$34:DH$35))/(1-SUM(AV$34:AV$35))</f>
        <v>0.18115427250314434</v>
      </c>
      <c r="DI128" s="168">
        <f t="shared" ref="DI128:DI134" si="1069">AW128*(1-SUM(DI$34:DI$35))/(1-SUM(AW$34:AW$35))</f>
        <v>0.17534395890413992</v>
      </c>
      <c r="DJ128" s="168">
        <f t="shared" ref="DJ128:DJ134" si="1070">AX128*(1-SUM(DJ$34:DJ$35))/(1-SUM(AX$34:AX$35))</f>
        <v>0.1655748859434526</v>
      </c>
      <c r="DK128" s="168">
        <f t="shared" ref="DK128:DK134" si="1071">AY128*(1-SUM(DK$34:DK$35))/(1-SUM(AY$34:AY$35))</f>
        <v>0.15168550183749346</v>
      </c>
      <c r="DL128" s="168">
        <f t="shared" ref="DL128:DL134" si="1072">AZ128*(1-SUM(DL$34:DL$35))/(1-SUM(AZ$34:AZ$35))</f>
        <v>0.13428106362503023</v>
      </c>
      <c r="DM128" s="168">
        <f t="shared" ref="DM128:DM134" si="1073">BA128*(1-SUM(DM$34:DM$35))/(1-SUM(BA$34:BA$35))</f>
        <v>0.11472891347902273</v>
      </c>
      <c r="DN128" s="168">
        <f t="shared" ref="DN128:DN134" si="1074">BB128*(1-SUM(DN$34:DN$35))/(1-SUM(BB$34:BB$35))</f>
        <v>9.4734148681280883E-2</v>
      </c>
      <c r="DO128" s="168">
        <f t="shared" ref="DO128:DO134" si="1075">BC128*(1-SUM(DO$34:DO$35))/(1-SUM(BC$34:BC$35))</f>
        <v>7.5860757944468366E-2</v>
      </c>
      <c r="DP128" s="168">
        <f t="shared" ref="DP128:DP134" si="1076">BD128*(1-SUM(DP$34:DP$35))/(1-SUM(BD$34:BD$35))</f>
        <v>5.9186471900804033E-2</v>
      </c>
      <c r="DQ128" s="168">
        <f t="shared" ref="DQ128:DQ134" si="1077">BE128*(1-SUM(DQ$34:DQ$35))/(1-SUM(BE$34:BE$35))</f>
        <v>4.5140324773531804E-2</v>
      </c>
      <c r="DR128" s="168">
        <f t="shared" ref="DR128:DR134" si="1078">BF128*(1-SUM(DR$34:DR$35))/(1-SUM(BF$34:BF$35))</f>
        <v>3.3815371900434439E-2</v>
      </c>
      <c r="DS128" s="168">
        <f t="shared" ref="DS128:DS134" si="1079">BG128*(1-SUM(DS$34:DS$35))/(1-SUM(BG$34:BG$35))</f>
        <v>2.5030381968721011E-2</v>
      </c>
      <c r="DT128" s="168">
        <f t="shared" ref="DT128:DT134" si="1080">BH128*(1-SUM(DT$34:DT$35))/(1-SUM(BH$34:BH$35))</f>
        <v>1.836417341436259E-2</v>
      </c>
      <c r="DU128" s="168">
        <f t="shared" ref="DU128:DU134" si="1081">BI128*(1-SUM(DU$34:DU$35))/(1-SUM(BI$34:BI$35))</f>
        <v>1.3384379149329894E-2</v>
      </c>
      <c r="DV128" s="168">
        <f t="shared" ref="DV128:DV134" si="1082">BJ128*(1-SUM(DV$34:DV$35))/(1-SUM(BJ$34:BJ$35))</f>
        <v>9.7107052909916735E-3</v>
      </c>
      <c r="DW128" s="168">
        <f t="shared" ref="DW128:DW134" si="1083">BK128*(1-SUM(DW$34:DW$35))/(1-SUM(BK$34:BK$35))</f>
        <v>7.0202471163826052E-3</v>
      </c>
      <c r="DX128" s="168">
        <f t="shared" ref="DX128:DX134" si="1084">BL128*(1-SUM(DX$34:DX$35))/(1-SUM(BL$34:BL$35))</f>
        <v>5.0613486144819066E-3</v>
      </c>
      <c r="DY128" s="168">
        <f t="shared" ref="DY128:DY134" si="1085">BM128*(1-SUM(DY$34:DY$35))/(1-SUM(BM$34:BM$35))</f>
        <v>3.6411542378710789E-3</v>
      </c>
      <c r="DZ128" s="168">
        <f t="shared" ref="DZ128:DZ134" si="1086">BN128*(1-SUM(DZ$34:DZ$35))/(1-SUM(BN$34:BN$35))</f>
        <v>2.6148910808407441E-3</v>
      </c>
    </row>
    <row r="129" spans="1:165" x14ac:dyDescent="0.2">
      <c r="A129" s="606" t="s">
        <v>460</v>
      </c>
      <c r="C129" s="54" t="s">
        <v>462</v>
      </c>
      <c r="D129" s="168">
        <f t="shared" ref="D129:AH129" si="1087">D106</f>
        <v>6.7336115814820403E-6</v>
      </c>
      <c r="E129" s="168">
        <f t="shared" si="1087"/>
        <v>1.3429834628392737E-5</v>
      </c>
      <c r="F129" s="168">
        <f t="shared" si="1087"/>
        <v>2.6673953190162865E-5</v>
      </c>
      <c r="G129" s="168">
        <f t="shared" si="1087"/>
        <v>5.2790686296875918E-5</v>
      </c>
      <c r="H129" s="168">
        <f t="shared" si="1087"/>
        <v>1.0401830559861822E-4</v>
      </c>
      <c r="I129" s="168">
        <f t="shared" si="1087"/>
        <v>2.0378328632093164E-4</v>
      </c>
      <c r="J129" s="168">
        <f t="shared" si="1087"/>
        <v>3.9592034660432252E-4</v>
      </c>
      <c r="K129" s="168">
        <f t="shared" si="1087"/>
        <v>7.6143692237642827E-4</v>
      </c>
      <c r="L129" s="168">
        <f t="shared" si="1087"/>
        <v>1.444666539535875E-3</v>
      </c>
      <c r="M129" s="168">
        <f t="shared" si="1087"/>
        <v>2.6919765149242122E-3</v>
      </c>
      <c r="N129" s="168">
        <f t="shared" si="1087"/>
        <v>4.8988387556184584E-3</v>
      </c>
      <c r="O129" s="168">
        <f t="shared" si="1087"/>
        <v>8.6054584436873593E-3</v>
      </c>
      <c r="P129" s="168">
        <f t="shared" si="1087"/>
        <v>1.4550636138219898E-2</v>
      </c>
      <c r="Q129" s="168">
        <f t="shared" si="1087"/>
        <v>2.3497887758517532E-2</v>
      </c>
      <c r="R129" s="168">
        <f t="shared" si="1087"/>
        <v>3.5993351106184561E-2</v>
      </c>
      <c r="S129" s="168">
        <f t="shared" si="1087"/>
        <v>5.2046837574746395E-2</v>
      </c>
      <c r="T129" s="168">
        <f t="shared" si="1087"/>
        <v>7.0950490701457314E-2</v>
      </c>
      <c r="U129" s="168">
        <f t="shared" si="1087"/>
        <v>9.1338203038756838E-2</v>
      </c>
      <c r="V129" s="168">
        <f t="shared" si="1087"/>
        <v>0.11160480831051021</v>
      </c>
      <c r="W129" s="168">
        <f t="shared" si="1087"/>
        <v>0.13035566867044157</v>
      </c>
      <c r="X129" s="168">
        <f t="shared" si="1087"/>
        <v>0.14669616645036826</v>
      </c>
      <c r="Y129" s="168">
        <f t="shared" si="1087"/>
        <v>0.15915447669813576</v>
      </c>
      <c r="Z129" s="168">
        <f t="shared" si="1087"/>
        <v>0.16876686320169584</v>
      </c>
      <c r="AA129" s="168">
        <f t="shared" si="1087"/>
        <v>0.17587605167623094</v>
      </c>
      <c r="AB129" s="168">
        <f t="shared" si="1087"/>
        <v>0.18047148465227691</v>
      </c>
      <c r="AC129" s="168">
        <f t="shared" si="1087"/>
        <v>0.18316371694212424</v>
      </c>
      <c r="AD129" s="168">
        <f t="shared" si="1087"/>
        <v>0.18445735103039995</v>
      </c>
      <c r="AE129" s="168">
        <f t="shared" si="1087"/>
        <v>0.18464802080820714</v>
      </c>
      <c r="AF129" s="168">
        <f t="shared" si="1087"/>
        <v>0.183945609104115</v>
      </c>
      <c r="AG129" s="168">
        <f t="shared" si="1087"/>
        <v>0.18252182947217258</v>
      </c>
      <c r="AH129" s="168">
        <f t="shared" si="1087"/>
        <v>0.18054781084075669</v>
      </c>
      <c r="AI129" s="44"/>
      <c r="AJ129" s="168">
        <f t="shared" ref="AJ129:BN129" si="1088">AJ106</f>
        <v>6.7336136929481631E-6</v>
      </c>
      <c r="AK129" s="168">
        <f t="shared" si="1088"/>
        <v>1.3431177879300738E-5</v>
      </c>
      <c r="AL129" s="168">
        <f t="shared" si="1088"/>
        <v>2.6680653906988533E-5</v>
      </c>
      <c r="AM129" s="168">
        <f t="shared" si="1088"/>
        <v>5.2811717019839945E-5</v>
      </c>
      <c r="AN129" s="168">
        <f t="shared" si="1088"/>
        <v>1.0407673492032558E-4</v>
      </c>
      <c r="AO129" s="168">
        <f t="shared" si="1088"/>
        <v>2.039347917427508E-4</v>
      </c>
      <c r="AP129" s="168">
        <f t="shared" si="1088"/>
        <v>3.9653521420305893E-4</v>
      </c>
      <c r="AQ129" s="168">
        <f t="shared" si="1088"/>
        <v>7.6331718036003725E-4</v>
      </c>
      <c r="AR129" s="168">
        <f t="shared" si="1088"/>
        <v>1.4497355972961053E-3</v>
      </c>
      <c r="AS129" s="168">
        <f t="shared" si="1088"/>
        <v>2.7046180940918266E-3</v>
      </c>
      <c r="AT129" s="168">
        <f t="shared" si="1088"/>
        <v>4.9285737717633255E-3</v>
      </c>
      <c r="AU129" s="168">
        <f t="shared" si="1088"/>
        <v>8.6761956905546337E-3</v>
      </c>
      <c r="AV129" s="168">
        <f t="shared" si="1088"/>
        <v>1.4707937830853649E-2</v>
      </c>
      <c r="AW129" s="168">
        <f t="shared" si="1088"/>
        <v>2.3825342692616956E-2</v>
      </c>
      <c r="AX129" s="168">
        <f t="shared" si="1088"/>
        <v>3.6628051300190465E-2</v>
      </c>
      <c r="AY129" s="168">
        <f t="shared" si="1088"/>
        <v>5.318808216573629E-2</v>
      </c>
      <c r="AZ129" s="168">
        <f t="shared" si="1088"/>
        <v>7.2826940614694677E-2</v>
      </c>
      <c r="BA129" s="168">
        <f t="shared" si="1088"/>
        <v>9.4206764022889022E-2</v>
      </c>
      <c r="BB129" s="168">
        <f t="shared" si="1088"/>
        <v>0.11570158190835483</v>
      </c>
      <c r="BC129" s="168">
        <f t="shared" si="1088"/>
        <v>0.13586615851019748</v>
      </c>
      <c r="BD129" s="168">
        <f t="shared" si="1088"/>
        <v>0.15374614378813239</v>
      </c>
      <c r="BE129" s="168">
        <f t="shared" si="1088"/>
        <v>0.16787242833827487</v>
      </c>
      <c r="BF129" s="168">
        <f t="shared" si="1088"/>
        <v>0.17921144324386962</v>
      </c>
      <c r="BG129" s="168">
        <f t="shared" si="1088"/>
        <v>0.18811800590628891</v>
      </c>
      <c r="BH129" s="168">
        <f t="shared" si="1088"/>
        <v>0.19501284702635202</v>
      </c>
      <c r="BI129" s="168">
        <f t="shared" si="1088"/>
        <v>0.20031895110088319</v>
      </c>
      <c r="BJ129" s="168">
        <f t="shared" si="1088"/>
        <v>0.20446721546365498</v>
      </c>
      <c r="BK129" s="168">
        <f t="shared" si="1088"/>
        <v>0.20769850638011814</v>
      </c>
      <c r="BL129" s="168">
        <f t="shared" si="1088"/>
        <v>0.21023069626971766</v>
      </c>
      <c r="BM129" s="168">
        <f t="shared" si="1088"/>
        <v>0.21223158644291082</v>
      </c>
      <c r="BN129" s="168">
        <f t="shared" si="1088"/>
        <v>0.21384627316918153</v>
      </c>
      <c r="BP129" s="168">
        <f t="shared" ref="BP129:CT129" si="1089">BP106</f>
        <v>0</v>
      </c>
      <c r="BQ129" s="168">
        <f t="shared" si="1089"/>
        <v>0</v>
      </c>
      <c r="BR129" s="168">
        <f t="shared" si="1089"/>
        <v>0</v>
      </c>
      <c r="BS129" s="168">
        <f t="shared" si="1089"/>
        <v>0</v>
      </c>
      <c r="BT129" s="168">
        <f t="shared" si="1089"/>
        <v>0</v>
      </c>
      <c r="BU129" s="168">
        <f t="shared" si="1089"/>
        <v>0</v>
      </c>
      <c r="BV129" s="168">
        <f t="shared" si="1089"/>
        <v>0</v>
      </c>
      <c r="BW129" s="168">
        <f t="shared" si="1089"/>
        <v>0</v>
      </c>
      <c r="BX129" s="168">
        <f t="shared" si="1089"/>
        <v>0</v>
      </c>
      <c r="BY129" s="168">
        <f t="shared" si="1089"/>
        <v>0</v>
      </c>
      <c r="BZ129" s="168">
        <f t="shared" si="1089"/>
        <v>0</v>
      </c>
      <c r="CA129" s="168">
        <f t="shared" si="1089"/>
        <v>0</v>
      </c>
      <c r="CB129" s="168">
        <f t="shared" si="1089"/>
        <v>0</v>
      </c>
      <c r="CC129" s="168">
        <f t="shared" si="1089"/>
        <v>0</v>
      </c>
      <c r="CD129" s="168">
        <f t="shared" si="1089"/>
        <v>0</v>
      </c>
      <c r="CE129" s="168">
        <f t="shared" si="1089"/>
        <v>0</v>
      </c>
      <c r="CF129" s="168">
        <f t="shared" si="1089"/>
        <v>0</v>
      </c>
      <c r="CG129" s="168">
        <f t="shared" si="1089"/>
        <v>0</v>
      </c>
      <c r="CH129" s="168">
        <f t="shared" si="1089"/>
        <v>0</v>
      </c>
      <c r="CI129" s="168">
        <f t="shared" si="1089"/>
        <v>0</v>
      </c>
      <c r="CJ129" s="168">
        <f t="shared" si="1089"/>
        <v>0</v>
      </c>
      <c r="CK129" s="168">
        <f t="shared" si="1089"/>
        <v>0</v>
      </c>
      <c r="CL129" s="168">
        <f t="shared" si="1089"/>
        <v>0</v>
      </c>
      <c r="CM129" s="168">
        <f t="shared" si="1089"/>
        <v>0</v>
      </c>
      <c r="CN129" s="168">
        <f t="shared" si="1089"/>
        <v>0</v>
      </c>
      <c r="CO129" s="168">
        <f t="shared" si="1089"/>
        <v>0</v>
      </c>
      <c r="CP129" s="168">
        <f t="shared" si="1089"/>
        <v>0</v>
      </c>
      <c r="CQ129" s="168">
        <f t="shared" si="1089"/>
        <v>0</v>
      </c>
      <c r="CR129" s="168">
        <f t="shared" si="1089"/>
        <v>0</v>
      </c>
      <c r="CS129" s="168">
        <f t="shared" si="1089"/>
        <v>0</v>
      </c>
      <c r="CT129" s="168">
        <f t="shared" si="1089"/>
        <v>0</v>
      </c>
      <c r="CV129" s="168">
        <f t="shared" ref="CV129:CV134" si="1090">AJ129*(1-SUM(CV$34:CV$35))/(1-SUM(AJ$34:AJ$35))</f>
        <v>6.7336136929481631E-6</v>
      </c>
      <c r="CW129" s="168">
        <f t="shared" si="1057"/>
        <v>1.3446493467498678E-5</v>
      </c>
      <c r="CX129" s="168">
        <f t="shared" si="1058"/>
        <v>2.6744340965275345E-5</v>
      </c>
      <c r="CY129" s="168">
        <f t="shared" si="1059"/>
        <v>5.300922610531706E-5</v>
      </c>
      <c r="CZ129" s="168">
        <f t="shared" si="1060"/>
        <v>1.046177833315581E-4</v>
      </c>
      <c r="DA129" s="168">
        <f t="shared" si="1061"/>
        <v>2.0531393917036489E-4</v>
      </c>
      <c r="DB129" s="168">
        <f t="shared" si="1062"/>
        <v>3.9996079089720497E-4</v>
      </c>
      <c r="DC129" s="168">
        <f t="shared" si="1063"/>
        <v>7.714336411596799E-4</v>
      </c>
      <c r="DD129" s="168">
        <f t="shared" si="1064"/>
        <v>1.4682133829632912E-3</v>
      </c>
      <c r="DE129" s="168">
        <f t="shared" si="1065"/>
        <v>2.7451250907359766E-3</v>
      </c>
      <c r="DF129" s="168">
        <f t="shared" si="1066"/>
        <v>5.0139853941244305E-3</v>
      </c>
      <c r="DG129" s="168">
        <f t="shared" si="1067"/>
        <v>8.8653167069900809E-3</v>
      </c>
      <c r="DH129" s="168">
        <f t="shared" si="1068"/>
        <v>1.509354426982434E-2</v>
      </c>
      <c r="DI129" s="168">
        <f t="shared" si="1069"/>
        <v>2.4578612542443059E-2</v>
      </c>
      <c r="DJ129" s="168">
        <f t="shared" si="1070"/>
        <v>3.8001012559268736E-2</v>
      </c>
      <c r="DK129" s="168">
        <f t="shared" si="1071"/>
        <v>5.551909780236413E-2</v>
      </c>
      <c r="DL129" s="168">
        <f t="shared" si="1072"/>
        <v>7.6512387294796619E-2</v>
      </c>
      <c r="DM129" s="168">
        <f t="shared" si="1073"/>
        <v>9.9655127012813496E-2</v>
      </c>
      <c r="DN129" s="168">
        <f t="shared" si="1074"/>
        <v>0.12327735038868802</v>
      </c>
      <c r="DO129" s="168">
        <f t="shared" si="1075"/>
        <v>0.14585079501077292</v>
      </c>
      <c r="DP129" s="168">
        <f t="shared" si="1076"/>
        <v>0.16632591217053136</v>
      </c>
      <c r="DQ129" s="168">
        <f t="shared" si="1077"/>
        <v>0.18391759339103886</v>
      </c>
      <c r="DR129" s="168">
        <f t="shared" si="1078"/>
        <v>0.19855567789311954</v>
      </c>
      <c r="DS129" s="168">
        <f t="shared" si="1079"/>
        <v>0.21088074378835578</v>
      </c>
      <c r="DT129" s="168">
        <f t="shared" si="1080"/>
        <v>0.22129012136096118</v>
      </c>
      <c r="DU129" s="168">
        <f t="shared" si="1081"/>
        <v>0.230154418276943</v>
      </c>
      <c r="DV129" s="168">
        <f t="shared" si="1082"/>
        <v>0.23790023253311335</v>
      </c>
      <c r="DW129" s="168">
        <f t="shared" si="1083"/>
        <v>0.24474638864590517</v>
      </c>
      <c r="DX129" s="168">
        <f t="shared" si="1084"/>
        <v>0.25089556501988247</v>
      </c>
      <c r="DY129" s="168">
        <f t="shared" si="1085"/>
        <v>0.25649324023730269</v>
      </c>
      <c r="DZ129" s="168">
        <f t="shared" si="1086"/>
        <v>0.2616506901963494</v>
      </c>
    </row>
    <row r="130" spans="1:165" x14ac:dyDescent="0.2">
      <c r="A130" s="606" t="s">
        <v>33</v>
      </c>
      <c r="C130" s="54" t="s">
        <v>462</v>
      </c>
      <c r="D130" s="168">
        <f t="shared" ref="D130:AH130" si="1091">D107</f>
        <v>0.33785937775832225</v>
      </c>
      <c r="E130" s="168">
        <f t="shared" si="1091"/>
        <v>0.33827300072702082</v>
      </c>
      <c r="F130" s="168">
        <f t="shared" si="1091"/>
        <v>0.33820897066557332</v>
      </c>
      <c r="G130" s="168">
        <f t="shared" si="1091"/>
        <v>0.33808644427838719</v>
      </c>
      <c r="H130" s="168">
        <f t="shared" si="1091"/>
        <v>0.33793129492148327</v>
      </c>
      <c r="I130" s="168">
        <f t="shared" si="1091"/>
        <v>0.33774081072633866</v>
      </c>
      <c r="J130" s="168">
        <f t="shared" si="1091"/>
        <v>0.33726078955913241</v>
      </c>
      <c r="K130" s="168">
        <f t="shared" si="1091"/>
        <v>0.33672538188092532</v>
      </c>
      <c r="L130" s="168">
        <f t="shared" si="1091"/>
        <v>0.33612622481141841</v>
      </c>
      <c r="M130" s="168">
        <f t="shared" si="1091"/>
        <v>0.33544836379238946</v>
      </c>
      <c r="N130" s="168">
        <f t="shared" si="1091"/>
        <v>0.33466538502180032</v>
      </c>
      <c r="O130" s="168">
        <f t="shared" si="1091"/>
        <v>0.33212299280729685</v>
      </c>
      <c r="P130" s="168">
        <f t="shared" si="1091"/>
        <v>0.32939133501647627</v>
      </c>
      <c r="Q130" s="168">
        <f t="shared" si="1091"/>
        <v>0.32642447861068724</v>
      </c>
      <c r="R130" s="168">
        <f t="shared" si="1091"/>
        <v>0.32319365236716852</v>
      </c>
      <c r="S130" s="168">
        <f t="shared" si="1091"/>
        <v>0.31969599236910651</v>
      </c>
      <c r="T130" s="168">
        <f t="shared" si="1091"/>
        <v>0.31604571865605152</v>
      </c>
      <c r="U130" s="168">
        <f t="shared" si="1091"/>
        <v>0.31224488492903052</v>
      </c>
      <c r="V130" s="168">
        <f t="shared" si="1091"/>
        <v>0.30838911566170535</v>
      </c>
      <c r="W130" s="168">
        <f t="shared" si="1091"/>
        <v>0.30456530543665788</v>
      </c>
      <c r="X130" s="168">
        <f t="shared" si="1091"/>
        <v>0.30083241522884263</v>
      </c>
      <c r="Y130" s="168">
        <f t="shared" si="1091"/>
        <v>0.29513927895817471</v>
      </c>
      <c r="Z130" s="168">
        <f t="shared" si="1091"/>
        <v>0.28961656093105076</v>
      </c>
      <c r="AA130" s="168">
        <f t="shared" si="1091"/>
        <v>0.28422249150250878</v>
      </c>
      <c r="AB130" s="168">
        <f t="shared" si="1091"/>
        <v>0.27824229661021815</v>
      </c>
      <c r="AC130" s="168">
        <f t="shared" si="1091"/>
        <v>0.27200229868472225</v>
      </c>
      <c r="AD130" s="168">
        <f t="shared" si="1091"/>
        <v>0.26569574627174647</v>
      </c>
      <c r="AE130" s="168">
        <f t="shared" si="1091"/>
        <v>0.25929912688266105</v>
      </c>
      <c r="AF130" s="168">
        <f t="shared" si="1091"/>
        <v>0.2527698917256806</v>
      </c>
      <c r="AG130" s="168">
        <f t="shared" si="1091"/>
        <v>0.24609817796145214</v>
      </c>
      <c r="AH130" s="168">
        <f t="shared" si="1091"/>
        <v>0.23933722834616641</v>
      </c>
      <c r="AI130" s="44"/>
      <c r="AJ130" s="168">
        <f t="shared" ref="AJ130:BN130" si="1092">AJ107</f>
        <v>0.33785948370126562</v>
      </c>
      <c r="AK130" s="168">
        <f t="shared" si="1092"/>
        <v>0.33830683476354861</v>
      </c>
      <c r="AL130" s="168">
        <f t="shared" si="1092"/>
        <v>0.33829393154573129</v>
      </c>
      <c r="AM130" s="168">
        <f t="shared" si="1092"/>
        <v>0.33822113095981293</v>
      </c>
      <c r="AN130" s="168">
        <f t="shared" si="1092"/>
        <v>0.33812111820530155</v>
      </c>
      <c r="AO130" s="168">
        <f t="shared" si="1092"/>
        <v>0.33799190866924883</v>
      </c>
      <c r="AP130" s="168">
        <f t="shared" si="1092"/>
        <v>0.33778455837678145</v>
      </c>
      <c r="AQ130" s="168">
        <f t="shared" si="1092"/>
        <v>0.33755687634745241</v>
      </c>
      <c r="AR130" s="168">
        <f t="shared" si="1092"/>
        <v>0.33730562725597479</v>
      </c>
      <c r="AS130" s="168">
        <f t="shared" si="1092"/>
        <v>0.33702363646806793</v>
      </c>
      <c r="AT130" s="168">
        <f t="shared" si="1092"/>
        <v>0.33669674002717548</v>
      </c>
      <c r="AU130" s="168">
        <f t="shared" si="1092"/>
        <v>0.33485305841463719</v>
      </c>
      <c r="AV130" s="168">
        <f t="shared" si="1092"/>
        <v>0.33295226623933083</v>
      </c>
      <c r="AW130" s="168">
        <f t="shared" si="1092"/>
        <v>0.33097336858881543</v>
      </c>
      <c r="AX130" s="168">
        <f t="shared" si="1092"/>
        <v>0.32889279033444913</v>
      </c>
      <c r="AY130" s="168">
        <f t="shared" si="1092"/>
        <v>0.32670604982991602</v>
      </c>
      <c r="AZ130" s="168">
        <f t="shared" si="1092"/>
        <v>0.32440427904778407</v>
      </c>
      <c r="BA130" s="168">
        <f t="shared" si="1092"/>
        <v>0.32205122515254242</v>
      </c>
      <c r="BB130" s="168">
        <f t="shared" si="1092"/>
        <v>0.31970941992127139</v>
      </c>
      <c r="BC130" s="168">
        <f t="shared" si="1092"/>
        <v>0.31744011201982114</v>
      </c>
      <c r="BD130" s="168">
        <f t="shared" si="1092"/>
        <v>0.315289928067433</v>
      </c>
      <c r="BE130" s="168">
        <f t="shared" si="1092"/>
        <v>0.31130602471640473</v>
      </c>
      <c r="BF130" s="168">
        <f t="shared" si="1092"/>
        <v>0.30754024153278303</v>
      </c>
      <c r="BG130" s="168">
        <f t="shared" si="1092"/>
        <v>0.30400596229893084</v>
      </c>
      <c r="BH130" s="168">
        <f t="shared" si="1092"/>
        <v>0.30066147308344171</v>
      </c>
      <c r="BI130" s="168">
        <f t="shared" si="1092"/>
        <v>0.29747821282077108</v>
      </c>
      <c r="BJ130" s="168">
        <f t="shared" si="1092"/>
        <v>0.29451832142904649</v>
      </c>
      <c r="BK130" s="168">
        <f t="shared" si="1092"/>
        <v>0.29166866302421635</v>
      </c>
      <c r="BL130" s="168">
        <f t="shared" si="1092"/>
        <v>0.28888969186230051</v>
      </c>
      <c r="BM130" s="168">
        <f t="shared" si="1092"/>
        <v>0.28615649361235335</v>
      </c>
      <c r="BN130" s="168">
        <f t="shared" si="1092"/>
        <v>0.28347823257525451</v>
      </c>
      <c r="BP130" s="168">
        <f t="shared" ref="BP130:CT130" si="1093">BP107</f>
        <v>0.3378596258636638</v>
      </c>
      <c r="BQ130" s="168">
        <f t="shared" si="1093"/>
        <v>0.33170653960071217</v>
      </c>
      <c r="BR130" s="168">
        <f t="shared" si="1093"/>
        <v>0.32544633238985671</v>
      </c>
      <c r="BS130" s="168">
        <f t="shared" si="1093"/>
        <v>0.31908766473896805</v>
      </c>
      <c r="BT130" s="168">
        <f t="shared" si="1093"/>
        <v>0.31263825367803899</v>
      </c>
      <c r="BU130" s="168">
        <f t="shared" si="1093"/>
        <v>0.30610497837339778</v>
      </c>
      <c r="BV130" s="168">
        <f t="shared" si="1093"/>
        <v>0.29955146602442123</v>
      </c>
      <c r="BW130" s="168">
        <f t="shared" si="1093"/>
        <v>0.29297878078500988</v>
      </c>
      <c r="BX130" s="168">
        <f t="shared" si="1093"/>
        <v>0.28638795223697805</v>
      </c>
      <c r="BY130" s="168">
        <f t="shared" si="1093"/>
        <v>0.27977997778289965</v>
      </c>
      <c r="BZ130" s="168">
        <f t="shared" si="1093"/>
        <v>0.27315582495211099</v>
      </c>
      <c r="CA130" s="168">
        <f t="shared" si="1093"/>
        <v>0.26648321526869106</v>
      </c>
      <c r="CB130" s="168">
        <f t="shared" si="1093"/>
        <v>0.25976562693549143</v>
      </c>
      <c r="CC130" s="168">
        <f t="shared" si="1093"/>
        <v>0.25300628579767676</v>
      </c>
      <c r="CD130" s="168">
        <f t="shared" si="1093"/>
        <v>0.24620819516442094</v>
      </c>
      <c r="CE130" s="168">
        <f t="shared" si="1093"/>
        <v>0.23937416373996753</v>
      </c>
      <c r="CF130" s="168">
        <f t="shared" si="1093"/>
        <v>0.23254404723726144</v>
      </c>
      <c r="CG130" s="168">
        <f t="shared" si="1093"/>
        <v>0.22571805668846967</v>
      </c>
      <c r="CH130" s="168">
        <f t="shared" si="1093"/>
        <v>0.21889640721341891</v>
      </c>
      <c r="CI130" s="168">
        <f t="shared" si="1093"/>
        <v>0.21207931817876394</v>
      </c>
      <c r="CJ130" s="168">
        <f t="shared" si="1093"/>
        <v>0.20526701336151557</v>
      </c>
      <c r="CK130" s="168">
        <f t="shared" si="1093"/>
        <v>0.19845992202082383</v>
      </c>
      <c r="CL130" s="168">
        <f t="shared" si="1093"/>
        <v>0.19165826109883438</v>
      </c>
      <c r="CM130" s="168">
        <f t="shared" si="1093"/>
        <v>0.18486225206480628</v>
      </c>
      <c r="CN130" s="168">
        <f t="shared" si="1093"/>
        <v>0.17807212107101184</v>
      </c>
      <c r="CO130" s="168">
        <f t="shared" si="1093"/>
        <v>0.17128809911297527</v>
      </c>
      <c r="CP130" s="168">
        <f t="shared" si="1093"/>
        <v>0.16451057052578724</v>
      </c>
      <c r="CQ130" s="168">
        <f t="shared" si="1093"/>
        <v>0.15773976167472809</v>
      </c>
      <c r="CR130" s="168">
        <f t="shared" si="1093"/>
        <v>0.15097590385879769</v>
      </c>
      <c r="CS130" s="168">
        <f t="shared" si="1093"/>
        <v>0.14421923346592749</v>
      </c>
      <c r="CT130" s="168">
        <f t="shared" si="1093"/>
        <v>0.1374699921325121</v>
      </c>
      <c r="CV130" s="168">
        <f t="shared" si="1090"/>
        <v>0.33785948370126556</v>
      </c>
      <c r="CW130" s="168">
        <f t="shared" si="1057"/>
        <v>0.33869260645180627</v>
      </c>
      <c r="CX130" s="168">
        <f t="shared" si="1058"/>
        <v>0.3391014434384883</v>
      </c>
      <c r="CY130" s="168">
        <f t="shared" si="1059"/>
        <v>0.33948603484922468</v>
      </c>
      <c r="CZ130" s="168">
        <f t="shared" si="1060"/>
        <v>0.3398788587219424</v>
      </c>
      <c r="DA130" s="168">
        <f t="shared" si="1061"/>
        <v>0.34027764259141141</v>
      </c>
      <c r="DB130" s="168">
        <f t="shared" si="1062"/>
        <v>0.34070260164096777</v>
      </c>
      <c r="DC130" s="168">
        <f t="shared" si="1063"/>
        <v>0.34114616691370386</v>
      </c>
      <c r="DD130" s="168">
        <f t="shared" si="1064"/>
        <v>0.34160479815058209</v>
      </c>
      <c r="DE130" s="168">
        <f t="shared" si="1065"/>
        <v>0.34207123092927244</v>
      </c>
      <c r="DF130" s="168">
        <f t="shared" si="1066"/>
        <v>0.34253165619991793</v>
      </c>
      <c r="DG130" s="168">
        <f t="shared" si="1067"/>
        <v>0.34215208128393876</v>
      </c>
      <c r="DH130" s="168">
        <f t="shared" si="1068"/>
        <v>0.34168146670293648</v>
      </c>
      <c r="DI130" s="168">
        <f t="shared" si="1069"/>
        <v>0.34143753117694026</v>
      </c>
      <c r="DJ130" s="168">
        <f t="shared" si="1070"/>
        <v>0.34122096624035658</v>
      </c>
      <c r="DK130" s="168">
        <f t="shared" si="1071"/>
        <v>0.34102423690726552</v>
      </c>
      <c r="DL130" s="168">
        <f t="shared" si="1072"/>
        <v>0.34082093287308951</v>
      </c>
      <c r="DM130" s="168">
        <f t="shared" si="1073"/>
        <v>0.34067676647306405</v>
      </c>
      <c r="DN130" s="168">
        <f t="shared" si="1074"/>
        <v>0.34064296729682608</v>
      </c>
      <c r="DO130" s="168">
        <f t="shared" si="1075"/>
        <v>0.34076839452942032</v>
      </c>
      <c r="DP130" s="168">
        <f t="shared" si="1076"/>
        <v>0.34108748090789454</v>
      </c>
      <c r="DQ130" s="168">
        <f t="shared" si="1077"/>
        <v>0.34106050314945241</v>
      </c>
      <c r="DR130" s="168">
        <f t="shared" si="1078"/>
        <v>0.34073639512997056</v>
      </c>
      <c r="DS130" s="168">
        <f t="shared" si="1079"/>
        <v>0.34079142576936161</v>
      </c>
      <c r="DT130" s="168">
        <f t="shared" si="1080"/>
        <v>0.34117451686764788</v>
      </c>
      <c r="DU130" s="168">
        <f t="shared" si="1081"/>
        <v>0.34178456229709842</v>
      </c>
      <c r="DV130" s="168">
        <f t="shared" si="1082"/>
        <v>0.34267585145300195</v>
      </c>
      <c r="DW130" s="168">
        <f t="shared" si="1083"/>
        <v>0.34369458500443839</v>
      </c>
      <c r="DX130" s="168">
        <f t="shared" si="1084"/>
        <v>0.34476954961525313</v>
      </c>
      <c r="DY130" s="168">
        <f t="shared" si="1085"/>
        <v>0.34583545028214252</v>
      </c>
      <c r="DZ130" s="168">
        <f t="shared" si="1086"/>
        <v>0.34684857542631209</v>
      </c>
    </row>
    <row r="131" spans="1:165" x14ac:dyDescent="0.2">
      <c r="A131" s="606" t="s">
        <v>451</v>
      </c>
      <c r="C131" s="54" t="s">
        <v>462</v>
      </c>
      <c r="D131" s="168">
        <f t="shared" ref="D131:AH131" si="1094">D108</f>
        <v>7.3050729916467855E-2</v>
      </c>
      <c r="E131" s="168">
        <f t="shared" si="1094"/>
        <v>7.0688550075259579E-2</v>
      </c>
      <c r="F131" s="168">
        <f t="shared" si="1094"/>
        <v>6.8245964484364444E-2</v>
      </c>
      <c r="G131" s="168">
        <f t="shared" si="1094"/>
        <v>6.5814614906268318E-2</v>
      </c>
      <c r="H131" s="168">
        <f t="shared" si="1094"/>
        <v>6.340040397606124E-2</v>
      </c>
      <c r="I131" s="168">
        <f t="shared" si="1094"/>
        <v>6.1003429865928431E-2</v>
      </c>
      <c r="J131" s="168">
        <f t="shared" si="1094"/>
        <v>5.8580339045447252E-2</v>
      </c>
      <c r="K131" s="168">
        <f t="shared" si="1094"/>
        <v>5.6176546954338602E-2</v>
      </c>
      <c r="L131" s="168">
        <f t="shared" si="1094"/>
        <v>5.3792697564241536E-2</v>
      </c>
      <c r="M131" s="168">
        <f t="shared" si="1094"/>
        <v>5.1429438991013855E-2</v>
      </c>
      <c r="N131" s="168">
        <f t="shared" si="1094"/>
        <v>4.9087420710280417E-2</v>
      </c>
      <c r="O131" s="168">
        <f t="shared" si="1094"/>
        <v>4.653840013853313E-2</v>
      </c>
      <c r="P131" s="168">
        <f t="shared" si="1094"/>
        <v>4.4031466577153885E-2</v>
      </c>
      <c r="Q131" s="168">
        <f t="shared" si="1094"/>
        <v>4.1566985643403449E-2</v>
      </c>
      <c r="R131" s="168">
        <f t="shared" si="1094"/>
        <v>3.9146221666184158E-2</v>
      </c>
      <c r="S131" s="168">
        <f t="shared" si="1094"/>
        <v>3.6769953012909064E-2</v>
      </c>
      <c r="T131" s="168">
        <f t="shared" si="1094"/>
        <v>3.4447373518546244E-2</v>
      </c>
      <c r="U131" s="168">
        <f t="shared" si="1094"/>
        <v>3.2169563220633267E-2</v>
      </c>
      <c r="V131" s="168">
        <f t="shared" si="1094"/>
        <v>2.9936974116214446E-2</v>
      </c>
      <c r="W131" s="168">
        <f t="shared" si="1094"/>
        <v>2.7750026489914099E-2</v>
      </c>
      <c r="X131" s="168">
        <f t="shared" si="1094"/>
        <v>2.5609098941111793E-2</v>
      </c>
      <c r="Y131" s="168">
        <f t="shared" si="1094"/>
        <v>2.3315579926581238E-2</v>
      </c>
      <c r="Z131" s="168">
        <f t="shared" si="1094"/>
        <v>2.1098101899191146E-2</v>
      </c>
      <c r="AA131" s="168">
        <f t="shared" si="1094"/>
        <v>1.8956939665168902E-2</v>
      </c>
      <c r="AB131" s="168">
        <f t="shared" si="1094"/>
        <v>1.6892777716197495E-2</v>
      </c>
      <c r="AC131" s="168">
        <f t="shared" si="1094"/>
        <v>1.4905764418740558E-2</v>
      </c>
      <c r="AD131" s="168">
        <f t="shared" si="1094"/>
        <v>1.2995438516609422E-2</v>
      </c>
      <c r="AE131" s="168">
        <f t="shared" si="1094"/>
        <v>1.1162821992341351E-2</v>
      </c>
      <c r="AF131" s="168">
        <f t="shared" si="1094"/>
        <v>9.4071958515724828E-3</v>
      </c>
      <c r="AG131" s="168">
        <f t="shared" si="1094"/>
        <v>7.7273684888386953E-3</v>
      </c>
      <c r="AH131" s="168">
        <f t="shared" si="1094"/>
        <v>6.1215685752259545E-3</v>
      </c>
      <c r="AI131" s="44"/>
      <c r="AJ131" s="168">
        <f t="shared" ref="AJ131:BN131" si="1095">AJ108</f>
        <v>7.3050729916467855E-2</v>
      </c>
      <c r="AK131" s="168">
        <f t="shared" si="1095"/>
        <v>7.0695572846959043E-2</v>
      </c>
      <c r="AL131" s="168">
        <f t="shared" si="1095"/>
        <v>6.8263012313179897E-2</v>
      </c>
      <c r="AM131" s="168">
        <f t="shared" si="1095"/>
        <v>6.5840641169481615E-2</v>
      </c>
      <c r="AN131" s="168">
        <f t="shared" si="1095"/>
        <v>6.3435633327178761E-2</v>
      </c>
      <c r="AO131" s="168">
        <f t="shared" si="1095"/>
        <v>6.104802643902011E-2</v>
      </c>
      <c r="AP131" s="168">
        <f t="shared" si="1095"/>
        <v>5.8669855178473715E-2</v>
      </c>
      <c r="AQ131" s="168">
        <f t="shared" si="1095"/>
        <v>5.6312490225734702E-2</v>
      </c>
      <c r="AR131" s="168">
        <f t="shared" si="1095"/>
        <v>5.3976250467729837E-2</v>
      </c>
      <c r="AS131" s="168">
        <f t="shared" si="1095"/>
        <v>5.1661431576587286E-2</v>
      </c>
      <c r="AT131" s="168">
        <f t="shared" si="1095"/>
        <v>4.9368301974609764E-2</v>
      </c>
      <c r="AU131" s="168">
        <f t="shared" si="1095"/>
        <v>4.6892731562016093E-2</v>
      </c>
      <c r="AV131" s="168">
        <f t="shared" si="1095"/>
        <v>4.4462514136691389E-2</v>
      </c>
      <c r="AW131" s="168">
        <f t="shared" si="1095"/>
        <v>4.2078028661196996E-2</v>
      </c>
      <c r="AX131" s="168">
        <f t="shared" si="1095"/>
        <v>3.9738642886294459E-2</v>
      </c>
      <c r="AY131" s="168">
        <f t="shared" si="1095"/>
        <v>3.7444023893939554E-2</v>
      </c>
      <c r="AZ131" s="168">
        <f t="shared" si="1095"/>
        <v>3.519003724004454E-2</v>
      </c>
      <c r="BA131" s="168">
        <f t="shared" si="1095"/>
        <v>3.297816207809183E-2</v>
      </c>
      <c r="BB131" s="168">
        <f t="shared" si="1095"/>
        <v>3.0807677113016116E-2</v>
      </c>
      <c r="BC131" s="168">
        <f t="shared" si="1095"/>
        <v>2.8677751100529357E-2</v>
      </c>
      <c r="BD131" s="168">
        <f t="shared" si="1095"/>
        <v>2.6587429605410887E-2</v>
      </c>
      <c r="BE131" s="168">
        <f t="shared" si="1095"/>
        <v>2.4364392034536345E-2</v>
      </c>
      <c r="BF131" s="168">
        <f t="shared" si="1095"/>
        <v>2.2207753671642069E-2</v>
      </c>
      <c r="BG131" s="168">
        <f t="shared" si="1095"/>
        <v>2.0117556756580016E-2</v>
      </c>
      <c r="BH131" s="168">
        <f t="shared" si="1095"/>
        <v>1.8089739581230821E-2</v>
      </c>
      <c r="BI131" s="168">
        <f t="shared" si="1095"/>
        <v>1.6121701294690326E-2</v>
      </c>
      <c r="BJ131" s="168">
        <f t="shared" si="1095"/>
        <v>1.4215925274508521E-2</v>
      </c>
      <c r="BK131" s="168">
        <f t="shared" si="1095"/>
        <v>1.2363759003625208E-2</v>
      </c>
      <c r="BL131" s="168">
        <f t="shared" si="1095"/>
        <v>1.0561024071198922E-2</v>
      </c>
      <c r="BM131" s="168">
        <f t="shared" si="1095"/>
        <v>8.802956563701711E-3</v>
      </c>
      <c r="BN131" s="168">
        <f t="shared" si="1095"/>
        <v>7.0841405353760691E-3</v>
      </c>
      <c r="BP131" s="168">
        <f t="shared" ref="BP131:CT131" si="1096">BP108</f>
        <v>7.3050729916467855E-2</v>
      </c>
      <c r="BQ131" s="168">
        <f t="shared" si="1096"/>
        <v>7.3255290383283822E-2</v>
      </c>
      <c r="BR131" s="168">
        <f t="shared" si="1096"/>
        <v>7.3440618620333437E-2</v>
      </c>
      <c r="BS131" s="168">
        <f t="shared" si="1096"/>
        <v>7.3607410165294831E-2</v>
      </c>
      <c r="BT131" s="168">
        <f t="shared" si="1096"/>
        <v>7.3756207733903553E-2</v>
      </c>
      <c r="BU131" s="168">
        <f t="shared" si="1096"/>
        <v>7.3887408572889113E-2</v>
      </c>
      <c r="BV131" s="168">
        <f t="shared" si="1096"/>
        <v>7.4015475663912769E-2</v>
      </c>
      <c r="BW131" s="168">
        <f t="shared" si="1096"/>
        <v>7.4140444055660989E-2</v>
      </c>
      <c r="BX131" s="168">
        <f t="shared" si="1096"/>
        <v>7.4262344482502629E-2</v>
      </c>
      <c r="BY131" s="168">
        <f t="shared" si="1096"/>
        <v>7.43812034263443E-2</v>
      </c>
      <c r="BZ131" s="168">
        <f t="shared" si="1096"/>
        <v>7.4497043168757507E-2</v>
      </c>
      <c r="CA131" s="168">
        <f t="shared" si="1096"/>
        <v>7.4600582527755727E-2</v>
      </c>
      <c r="CB131" s="168">
        <f t="shared" si="1096"/>
        <v>7.469181624349111E-2</v>
      </c>
      <c r="CC131" s="168">
        <f t="shared" si="1096"/>
        <v>7.4770668976194499E-2</v>
      </c>
      <c r="CD131" s="168">
        <f t="shared" si="1096"/>
        <v>7.4836994347960581E-2</v>
      </c>
      <c r="CE131" s="168">
        <f t="shared" si="1096"/>
        <v>7.4890573300603974E-2</v>
      </c>
      <c r="CF131" s="168">
        <f t="shared" si="1096"/>
        <v>7.4943105270776106E-2</v>
      </c>
      <c r="CG131" s="168">
        <f t="shared" si="1096"/>
        <v>7.4994571905034377E-2</v>
      </c>
      <c r="CH131" s="168">
        <f t="shared" si="1096"/>
        <v>7.5044954359001034E-2</v>
      </c>
      <c r="CI131" s="168">
        <f t="shared" si="1096"/>
        <v>7.5094233285087533E-2</v>
      </c>
      <c r="CJ131" s="168">
        <f t="shared" si="1096"/>
        <v>7.5142388819840436E-2</v>
      </c>
      <c r="CK131" s="168">
        <f t="shared" si="1096"/>
        <v>7.5189476686246495E-2</v>
      </c>
      <c r="CL131" s="168">
        <f t="shared" si="1096"/>
        <v>7.5235477852550942E-2</v>
      </c>
      <c r="CM131" s="168">
        <f t="shared" si="1096"/>
        <v>7.5280372810160992E-2</v>
      </c>
      <c r="CN131" s="168">
        <f t="shared" si="1096"/>
        <v>7.5324141561865288E-2</v>
      </c>
      <c r="CO131" s="168">
        <f t="shared" si="1096"/>
        <v>7.5366763609709009E-2</v>
      </c>
      <c r="CP131" s="168">
        <f t="shared" si="1096"/>
        <v>7.5408285934683725E-2</v>
      </c>
      <c r="CQ131" s="168">
        <f t="shared" si="1096"/>
        <v>7.5448688782533205E-2</v>
      </c>
      <c r="CR131" s="168">
        <f t="shared" si="1096"/>
        <v>7.5487951929398736E-2</v>
      </c>
      <c r="CS131" s="168">
        <f t="shared" si="1096"/>
        <v>7.5526054670406628E-2</v>
      </c>
      <c r="CT131" s="168">
        <f t="shared" si="1096"/>
        <v>7.5562975807937111E-2</v>
      </c>
      <c r="CV131" s="168">
        <f t="shared" si="1090"/>
        <v>7.3050729916467841E-2</v>
      </c>
      <c r="CW131" s="168">
        <f t="shared" si="1057"/>
        <v>7.0776187093220352E-2</v>
      </c>
      <c r="CX131" s="168">
        <f t="shared" si="1058"/>
        <v>6.8425956986844144E-2</v>
      </c>
      <c r="CY131" s="168">
        <f t="shared" si="1059"/>
        <v>6.6086876769428607E-2</v>
      </c>
      <c r="CZ131" s="168">
        <f t="shared" si="1060"/>
        <v>6.37654068222204E-2</v>
      </c>
      <c r="DA131" s="168">
        <f t="shared" si="1061"/>
        <v>6.1460875212418692E-2</v>
      </c>
      <c r="DB131" s="168">
        <f t="shared" si="1062"/>
        <v>5.9176690590184176E-2</v>
      </c>
      <c r="DC131" s="168">
        <f t="shared" si="1063"/>
        <v>5.6911268991898273E-2</v>
      </c>
      <c r="DD131" s="168">
        <f t="shared" si="1064"/>
        <v>5.4664211492568594E-2</v>
      </c>
      <c r="DE131" s="168">
        <f t="shared" si="1065"/>
        <v>5.2435163527902756E-2</v>
      </c>
      <c r="DF131" s="168">
        <f t="shared" si="1066"/>
        <v>5.0223849027394518E-2</v>
      </c>
      <c r="DG131" s="168">
        <f t="shared" si="1067"/>
        <v>4.7914884746746315E-2</v>
      </c>
      <c r="DH131" s="168">
        <f t="shared" si="1068"/>
        <v>4.5628213362586101E-2</v>
      </c>
      <c r="DI131" s="168">
        <f t="shared" si="1069"/>
        <v>4.3408381417903416E-2</v>
      </c>
      <c r="DJ131" s="168">
        <f t="shared" si="1070"/>
        <v>4.1228201168390266E-2</v>
      </c>
      <c r="DK131" s="168">
        <f t="shared" si="1071"/>
        <v>3.9085041987486586E-2</v>
      </c>
      <c r="DL131" s="168">
        <f t="shared" si="1072"/>
        <v>3.6970848088671862E-2</v>
      </c>
      <c r="DM131" s="168">
        <f t="shared" si="1073"/>
        <v>3.4885424254068403E-2</v>
      </c>
      <c r="DN131" s="168">
        <f t="shared" si="1074"/>
        <v>3.2824864997360988E-2</v>
      </c>
      <c r="DO131" s="168">
        <f t="shared" si="1075"/>
        <v>3.0785243676550573E-2</v>
      </c>
      <c r="DP131" s="168">
        <f t="shared" si="1076"/>
        <v>2.8762857867080389E-2</v>
      </c>
      <c r="DQ131" s="168">
        <f t="shared" si="1077"/>
        <v>2.6693128775132191E-2</v>
      </c>
      <c r="DR131" s="168">
        <f t="shared" si="1078"/>
        <v>2.4604877372456199E-2</v>
      </c>
      <c r="DS131" s="168">
        <f t="shared" si="1079"/>
        <v>2.2551830228018752E-2</v>
      </c>
      <c r="DT131" s="168">
        <f t="shared" si="1080"/>
        <v>2.0527266425569471E-2</v>
      </c>
      <c r="DU131" s="168">
        <f t="shared" si="1081"/>
        <v>1.8522864475490616E-2</v>
      </c>
      <c r="DV131" s="168">
        <f t="shared" si="1082"/>
        <v>1.65404117271803E-2</v>
      </c>
      <c r="DW131" s="168">
        <f t="shared" si="1083"/>
        <v>1.4569124347421044E-2</v>
      </c>
      <c r="DX131" s="168">
        <f t="shared" si="1084"/>
        <v>1.2603840202919535E-2</v>
      </c>
      <c r="DY131" s="168">
        <f t="shared" si="1085"/>
        <v>1.0638844530804306E-2</v>
      </c>
      <c r="DZ131" s="168">
        <f t="shared" si="1086"/>
        <v>8.6677697631076227E-3</v>
      </c>
    </row>
    <row r="132" spans="1:165" x14ac:dyDescent="0.2">
      <c r="A132" s="606" t="s">
        <v>452</v>
      </c>
      <c r="C132" s="54" t="s">
        <v>462</v>
      </c>
      <c r="D132" s="168">
        <f t="shared" ref="D132:AH132" si="1097">D109</f>
        <v>0.24654621346807901</v>
      </c>
      <c r="E132" s="168">
        <f t="shared" si="1097"/>
        <v>0.24240408373447389</v>
      </c>
      <c r="F132" s="168">
        <f t="shared" si="1097"/>
        <v>0.23795495581273984</v>
      </c>
      <c r="G132" s="168">
        <f t="shared" si="1097"/>
        <v>0.23350664740717128</v>
      </c>
      <c r="H132" s="168">
        <f t="shared" si="1097"/>
        <v>0.22907881813991954</v>
      </c>
      <c r="I132" s="168">
        <f t="shared" si="1097"/>
        <v>0.22467116853061464</v>
      </c>
      <c r="J132" s="168">
        <f t="shared" si="1097"/>
        <v>0.22012006186774141</v>
      </c>
      <c r="K132" s="168">
        <f t="shared" si="1097"/>
        <v>0.21558852836403261</v>
      </c>
      <c r="L132" s="168">
        <f t="shared" si="1097"/>
        <v>0.21107786761620884</v>
      </c>
      <c r="M132" s="168">
        <f t="shared" si="1097"/>
        <v>0.206589441370683</v>
      </c>
      <c r="N132" s="168">
        <f t="shared" si="1097"/>
        <v>0.20212467351291954</v>
      </c>
      <c r="O132" s="168">
        <f t="shared" si="1097"/>
        <v>0.19671753187392244</v>
      </c>
      <c r="P132" s="168">
        <f t="shared" si="1097"/>
        <v>0.19136752781609204</v>
      </c>
      <c r="Q132" s="168">
        <f t="shared" si="1097"/>
        <v>0.18607502969228271</v>
      </c>
      <c r="R132" s="168">
        <f t="shared" si="1097"/>
        <v>0.1808445169930763</v>
      </c>
      <c r="S132" s="168">
        <f t="shared" si="1097"/>
        <v>0.17567866439501012</v>
      </c>
      <c r="T132" s="168">
        <f t="shared" si="1097"/>
        <v>0.17062214695904948</v>
      </c>
      <c r="U132" s="168">
        <f t="shared" si="1097"/>
        <v>0.16563337096243422</v>
      </c>
      <c r="V132" s="168">
        <f t="shared" si="1097"/>
        <v>0.16071428209757241</v>
      </c>
      <c r="W132" s="168">
        <f t="shared" si="1097"/>
        <v>0.15586697121905035</v>
      </c>
      <c r="X132" s="168">
        <f t="shared" si="1097"/>
        <v>0.15109368375255969</v>
      </c>
      <c r="Y132" s="168">
        <f t="shared" si="1097"/>
        <v>0.14515828793000587</v>
      </c>
      <c r="Z132" s="168">
        <f t="shared" si="1097"/>
        <v>0.13934560324116954</v>
      </c>
      <c r="AA132" s="168">
        <f t="shared" si="1097"/>
        <v>0.13365842270252012</v>
      </c>
      <c r="AB132" s="168">
        <f t="shared" si="1097"/>
        <v>0.12810356434783113</v>
      </c>
      <c r="AC132" s="168">
        <f t="shared" si="1097"/>
        <v>0.12268590713886472</v>
      </c>
      <c r="AD132" s="168">
        <f t="shared" si="1097"/>
        <v>0.11740706521902319</v>
      </c>
      <c r="AE132" s="168">
        <f t="shared" si="1097"/>
        <v>0.11228485651119843</v>
      </c>
      <c r="AF132" s="168">
        <f t="shared" si="1097"/>
        <v>0.1073275526702135</v>
      </c>
      <c r="AG132" s="168">
        <f t="shared" si="1097"/>
        <v>0.10254426832485965</v>
      </c>
      <c r="AH132" s="168">
        <f t="shared" si="1097"/>
        <v>9.7945097203615272E-2</v>
      </c>
      <c r="AI132" s="44"/>
      <c r="AJ132" s="168">
        <f t="shared" ref="AJ132:BN132" si="1098">AJ109</f>
        <v>0.24654621346807901</v>
      </c>
      <c r="AK132" s="168">
        <f t="shared" si="1098"/>
        <v>0.24242816611467938</v>
      </c>
      <c r="AL132" s="168">
        <f t="shared" si="1098"/>
        <v>0.2380143969149813</v>
      </c>
      <c r="AM132" s="168">
        <f t="shared" si="1098"/>
        <v>0.23359898716295543</v>
      </c>
      <c r="AN132" s="168">
        <f t="shared" si="1098"/>
        <v>0.22920610909725928</v>
      </c>
      <c r="AO132" s="168">
        <f t="shared" si="1098"/>
        <v>0.22483541444614744</v>
      </c>
      <c r="AP132" s="168">
        <f t="shared" si="1098"/>
        <v>0.22045642551911357</v>
      </c>
      <c r="AQ132" s="168">
        <f t="shared" si="1098"/>
        <v>0.21611023735844806</v>
      </c>
      <c r="AR132" s="168">
        <f t="shared" si="1098"/>
        <v>0.21179811324837489</v>
      </c>
      <c r="AS132" s="168">
        <f t="shared" si="1098"/>
        <v>0.20752134379069825</v>
      </c>
      <c r="AT132" s="168">
        <f t="shared" si="1098"/>
        <v>0.20328124342486387</v>
      </c>
      <c r="AU132" s="168">
        <f t="shared" si="1098"/>
        <v>0.1982152886271725</v>
      </c>
      <c r="AV132" s="168">
        <f t="shared" si="1098"/>
        <v>0.19324092682485119</v>
      </c>
      <c r="AW132" s="168">
        <f t="shared" si="1098"/>
        <v>0.18836271890616391</v>
      </c>
      <c r="AX132" s="168">
        <f t="shared" si="1098"/>
        <v>0.18358133615076891</v>
      </c>
      <c r="AY132" s="168">
        <f t="shared" si="1098"/>
        <v>0.17889922527104468</v>
      </c>
      <c r="AZ132" s="168">
        <f t="shared" si="1098"/>
        <v>0.17430065320459576</v>
      </c>
      <c r="BA132" s="168">
        <f t="shared" si="1098"/>
        <v>0.16979665268306798</v>
      </c>
      <c r="BB132" s="168">
        <f t="shared" si="1098"/>
        <v>0.16538858239619192</v>
      </c>
      <c r="BC132" s="168">
        <f t="shared" si="1098"/>
        <v>0.16107783562073044</v>
      </c>
      <c r="BD132" s="168">
        <f t="shared" si="1098"/>
        <v>0.15686583467192436</v>
      </c>
      <c r="BE132" s="168">
        <f t="shared" si="1098"/>
        <v>0.15168798911824252</v>
      </c>
      <c r="BF132" s="168">
        <f t="shared" si="1098"/>
        <v>0.14667446611038029</v>
      </c>
      <c r="BG132" s="168">
        <f t="shared" si="1098"/>
        <v>0.14184150776474783</v>
      </c>
      <c r="BH132" s="168">
        <f t="shared" si="1098"/>
        <v>0.13718052515766718</v>
      </c>
      <c r="BI132" s="168">
        <f t="shared" si="1098"/>
        <v>0.13269400296398973</v>
      </c>
      <c r="BJ132" s="168">
        <f t="shared" si="1098"/>
        <v>0.12843353179038747</v>
      </c>
      <c r="BK132" s="168">
        <f t="shared" si="1098"/>
        <v>0.12436486997764194</v>
      </c>
      <c r="BL132" s="168">
        <f t="shared" si="1098"/>
        <v>0.1204916837214061</v>
      </c>
      <c r="BM132" s="168">
        <f t="shared" si="1098"/>
        <v>0.1168176127777716</v>
      </c>
      <c r="BN132" s="168">
        <f t="shared" si="1098"/>
        <v>0.1133462485660171</v>
      </c>
      <c r="BP132" s="168">
        <f t="shared" ref="BP132:CT132" si="1099">BP109</f>
        <v>0.24654621346807901</v>
      </c>
      <c r="BQ132" s="168">
        <f t="shared" si="1099"/>
        <v>0.2497935286727539</v>
      </c>
      <c r="BR132" s="168">
        <f t="shared" si="1099"/>
        <v>0.25298248010196323</v>
      </c>
      <c r="BS132" s="168">
        <f t="shared" si="1099"/>
        <v>0.25611345454773815</v>
      </c>
      <c r="BT132" s="168">
        <f t="shared" si="1099"/>
        <v>0.25918640827220829</v>
      </c>
      <c r="BU132" s="168">
        <f t="shared" si="1099"/>
        <v>0.26220086603298531</v>
      </c>
      <c r="BV132" s="168">
        <f t="shared" si="1099"/>
        <v>0.26520681602652607</v>
      </c>
      <c r="BW132" s="168">
        <f t="shared" si="1099"/>
        <v>0.26820405164786393</v>
      </c>
      <c r="BX132" s="168">
        <f t="shared" si="1099"/>
        <v>0.27119235699633371</v>
      </c>
      <c r="BY132" s="168">
        <f t="shared" si="1099"/>
        <v>0.27417150632553594</v>
      </c>
      <c r="BZ132" s="168">
        <f t="shared" si="1099"/>
        <v>0.27714126347554213</v>
      </c>
      <c r="CA132" s="168">
        <f t="shared" si="1099"/>
        <v>0.28006646971168114</v>
      </c>
      <c r="CB132" s="168">
        <f t="shared" si="1099"/>
        <v>0.28294584576967791</v>
      </c>
      <c r="CC132" s="168">
        <f t="shared" si="1099"/>
        <v>0.28577785001889483</v>
      </c>
      <c r="CD132" s="168">
        <f t="shared" si="1099"/>
        <v>0.28856066289123516</v>
      </c>
      <c r="CE132" s="168">
        <f t="shared" si="1099"/>
        <v>0.29129216854345319</v>
      </c>
      <c r="CF132" s="168">
        <f t="shared" si="1099"/>
        <v>0.29401698652799552</v>
      </c>
      <c r="CG132" s="168">
        <f t="shared" si="1099"/>
        <v>0.29673494832110259</v>
      </c>
      <c r="CH132" s="168">
        <f t="shared" si="1099"/>
        <v>0.29944588145205264</v>
      </c>
      <c r="CI132" s="168">
        <f t="shared" si="1099"/>
        <v>0.30214960938395374</v>
      </c>
      <c r="CJ132" s="168">
        <f t="shared" si="1099"/>
        <v>0.30484595139105958</v>
      </c>
      <c r="CK132" s="168">
        <f t="shared" si="1099"/>
        <v>0.30753503375446456</v>
      </c>
      <c r="CL132" s="168">
        <f t="shared" si="1099"/>
        <v>0.31021668240256972</v>
      </c>
      <c r="CM132" s="168">
        <f t="shared" si="1099"/>
        <v>0.31289071922959533</v>
      </c>
      <c r="CN132" s="168">
        <f t="shared" si="1099"/>
        <v>0.31555696198004674</v>
      </c>
      <c r="CO132" s="168">
        <f t="shared" si="1099"/>
        <v>0.31821522412988196</v>
      </c>
      <c r="CP132" s="168">
        <f t="shared" si="1099"/>
        <v>0.32086560407397247</v>
      </c>
      <c r="CQ132" s="168">
        <f t="shared" si="1099"/>
        <v>0.32350792070479112</v>
      </c>
      <c r="CR132" s="168">
        <f t="shared" si="1099"/>
        <v>0.32614198877065448</v>
      </c>
      <c r="CS132" s="168">
        <f t="shared" si="1099"/>
        <v>0.32876761876229216</v>
      </c>
      <c r="CT132" s="168">
        <f t="shared" si="1099"/>
        <v>0.33138461679625425</v>
      </c>
      <c r="CV132" s="168">
        <f t="shared" si="1090"/>
        <v>0.24654621346807901</v>
      </c>
      <c r="CW132" s="168">
        <f t="shared" si="1057"/>
        <v>0.24270460724241666</v>
      </c>
      <c r="CX132" s="168">
        <f t="shared" si="1058"/>
        <v>0.2385825402904124</v>
      </c>
      <c r="CY132" s="168">
        <f t="shared" si="1059"/>
        <v>0.23447261757920573</v>
      </c>
      <c r="CZ132" s="168">
        <f t="shared" si="1060"/>
        <v>0.23039764917840033</v>
      </c>
      <c r="DA132" s="168">
        <f t="shared" si="1061"/>
        <v>0.22635590627012761</v>
      </c>
      <c r="DB132" s="168">
        <f t="shared" si="1062"/>
        <v>0.22236089797523773</v>
      </c>
      <c r="DC132" s="168">
        <f t="shared" si="1063"/>
        <v>0.21840816843487681</v>
      </c>
      <c r="DD132" s="168">
        <f t="shared" si="1064"/>
        <v>0.21449761248714433</v>
      </c>
      <c r="DE132" s="168">
        <f t="shared" si="1065"/>
        <v>0.21062938569682993</v>
      </c>
      <c r="DF132" s="168">
        <f t="shared" si="1066"/>
        <v>0.20680408423044813</v>
      </c>
      <c r="DG132" s="168">
        <f t="shared" si="1067"/>
        <v>0.20253592386814873</v>
      </c>
      <c r="DH132" s="168">
        <f t="shared" si="1068"/>
        <v>0.19830723499893207</v>
      </c>
      <c r="DI132" s="168">
        <f t="shared" si="1069"/>
        <v>0.19431805641437319</v>
      </c>
      <c r="DJ132" s="168">
        <f t="shared" si="1070"/>
        <v>0.19046267582016924</v>
      </c>
      <c r="DK132" s="168">
        <f t="shared" si="1071"/>
        <v>0.18673964505132498</v>
      </c>
      <c r="DL132" s="168">
        <f t="shared" si="1072"/>
        <v>0.18312123193920296</v>
      </c>
      <c r="DM132" s="168">
        <f t="shared" si="1073"/>
        <v>0.17961668851474902</v>
      </c>
      <c r="DN132" s="168">
        <f t="shared" si="1074"/>
        <v>0.17621769630162229</v>
      </c>
      <c r="DO132" s="168">
        <f t="shared" si="1075"/>
        <v>0.17291524719258794</v>
      </c>
      <c r="DP132" s="168">
        <f t="shared" si="1076"/>
        <v>0.16970086141577442</v>
      </c>
      <c r="DQ132" s="168">
        <f t="shared" si="1077"/>
        <v>0.16618625334195214</v>
      </c>
      <c r="DR132" s="168">
        <f t="shared" si="1078"/>
        <v>0.16250663194831547</v>
      </c>
      <c r="DS132" s="168">
        <f t="shared" si="1079"/>
        <v>0.15900467641780325</v>
      </c>
      <c r="DT132" s="168">
        <f t="shared" si="1080"/>
        <v>0.1556651037272353</v>
      </c>
      <c r="DU132" s="168">
        <f t="shared" si="1081"/>
        <v>0.15245742299057674</v>
      </c>
      <c r="DV132" s="168">
        <f t="shared" si="1082"/>
        <v>0.14943406456969804</v>
      </c>
      <c r="DW132" s="168">
        <f t="shared" si="1083"/>
        <v>0.14654825078876479</v>
      </c>
      <c r="DX132" s="168">
        <f t="shared" si="1084"/>
        <v>0.14379835867876403</v>
      </c>
      <c r="DY132" s="168">
        <f t="shared" si="1085"/>
        <v>0.14118034228716014</v>
      </c>
      <c r="DZ132" s="168">
        <f t="shared" si="1086"/>
        <v>0.13868431620972196</v>
      </c>
    </row>
    <row r="133" spans="1:165" x14ac:dyDescent="0.2">
      <c r="A133" s="606" t="s">
        <v>453</v>
      </c>
      <c r="C133" s="54" t="s">
        <v>462</v>
      </c>
      <c r="D133" s="168">
        <f t="shared" ref="D133:AH133" si="1100">D110</f>
        <v>6.3919388676909383E-2</v>
      </c>
      <c r="E133" s="168">
        <f t="shared" si="1100"/>
        <v>6.3407326033172756E-2</v>
      </c>
      <c r="F133" s="168">
        <f t="shared" si="1100"/>
        <v>6.2810445189149591E-2</v>
      </c>
      <c r="G133" s="168">
        <f t="shared" si="1100"/>
        <v>6.2208334637431709E-2</v>
      </c>
      <c r="H133" s="168">
        <f t="shared" si="1100"/>
        <v>6.160605292013499E-2</v>
      </c>
      <c r="I133" s="168">
        <f t="shared" si="1100"/>
        <v>6.1003429865928445E-2</v>
      </c>
      <c r="J133" s="168">
        <f t="shared" si="1100"/>
        <v>6.035550083470325E-2</v>
      </c>
      <c r="K133" s="168">
        <f t="shared" si="1100"/>
        <v>5.9705963516914866E-2</v>
      </c>
      <c r="L133" s="168">
        <f t="shared" si="1100"/>
        <v>5.9055026673786919E-2</v>
      </c>
      <c r="M133" s="168">
        <f t="shared" si="1100"/>
        <v>5.84029222440327E-2</v>
      </c>
      <c r="N133" s="168">
        <f t="shared" si="1100"/>
        <v>5.774990671797698E-2</v>
      </c>
      <c r="O133" s="168">
        <f t="shared" si="1100"/>
        <v>5.6816819801031246E-2</v>
      </c>
      <c r="P133" s="168">
        <f t="shared" si="1100"/>
        <v>5.5886092194079938E-2</v>
      </c>
      <c r="Q133" s="168">
        <f t="shared" si="1100"/>
        <v>5.4957692427855566E-2</v>
      </c>
      <c r="R133" s="168">
        <f t="shared" si="1100"/>
        <v>5.4032813004028839E-2</v>
      </c>
      <c r="S133" s="168">
        <f t="shared" si="1100"/>
        <v>5.311215435197976E-2</v>
      </c>
      <c r="T133" s="168">
        <f t="shared" si="1100"/>
        <v>5.2209300489046637E-2</v>
      </c>
      <c r="U133" s="168">
        <f t="shared" si="1100"/>
        <v>5.1311782657704287E-2</v>
      </c>
      <c r="V133" s="168">
        <f t="shared" si="1100"/>
        <v>5.0420166932571696E-2</v>
      </c>
      <c r="W133" s="168">
        <f t="shared" si="1100"/>
        <v>4.9535094014706474E-2</v>
      </c>
      <c r="X133" s="168">
        <f t="shared" si="1100"/>
        <v>4.8657287988112391E-2</v>
      </c>
      <c r="Y133" s="168">
        <f t="shared" si="1100"/>
        <v>4.7383275334665083E-2</v>
      </c>
      <c r="Z133" s="168">
        <f t="shared" si="1100"/>
        <v>4.6121432058696912E-2</v>
      </c>
      <c r="AA133" s="168">
        <f t="shared" si="1100"/>
        <v>4.4872755916285881E-2</v>
      </c>
      <c r="AB133" s="168">
        <f t="shared" si="1100"/>
        <v>4.3639675766843536E-2</v>
      </c>
      <c r="AC133" s="168">
        <f t="shared" si="1100"/>
        <v>4.2424098730261602E-2</v>
      </c>
      <c r="AD133" s="168">
        <f t="shared" si="1100"/>
        <v>4.1226908397519572E-2</v>
      </c>
      <c r="AE133" s="168">
        <f t="shared" si="1100"/>
        <v>4.0054831854871936E-2</v>
      </c>
      <c r="AF133" s="168">
        <f t="shared" si="1100"/>
        <v>3.8911582840595316E-2</v>
      </c>
      <c r="AG133" s="168">
        <f t="shared" si="1100"/>
        <v>3.7801451256210983E-2</v>
      </c>
      <c r="AH133" s="168">
        <f t="shared" si="1100"/>
        <v>3.6729411451355727E-2</v>
      </c>
      <c r="AI133" s="44"/>
      <c r="AJ133" s="168">
        <f t="shared" ref="AJ133:BN133" si="1101">AJ110</f>
        <v>6.3919388676909383E-2</v>
      </c>
      <c r="AK133" s="168">
        <f t="shared" si="1101"/>
        <v>6.3413625429246528E-2</v>
      </c>
      <c r="AL133" s="168">
        <f t="shared" si="1101"/>
        <v>6.2826135226289465E-2</v>
      </c>
      <c r="AM133" s="168">
        <f t="shared" si="1101"/>
        <v>6.2232934804030575E-2</v>
      </c>
      <c r="AN133" s="168">
        <f t="shared" si="1101"/>
        <v>6.1640285214145413E-2</v>
      </c>
      <c r="AO133" s="168">
        <f t="shared" si="1101"/>
        <v>6.1048026439020131E-2</v>
      </c>
      <c r="AP133" s="168">
        <f t="shared" si="1101"/>
        <v>6.0447729577821421E-2</v>
      </c>
      <c r="AQ133" s="168">
        <f t="shared" si="1101"/>
        <v>5.9850447726827995E-2</v>
      </c>
      <c r="AR133" s="168">
        <f t="shared" si="1101"/>
        <v>5.9256535839572987E-2</v>
      </c>
      <c r="AS133" s="168">
        <f t="shared" si="1101"/>
        <v>5.8666371451378797E-2</v>
      </c>
      <c r="AT133" s="168">
        <f t="shared" si="1101"/>
        <v>5.8080355264246784E-2</v>
      </c>
      <c r="AU133" s="168">
        <f t="shared" si="1101"/>
        <v>5.7249408471418427E-2</v>
      </c>
      <c r="AV133" s="168">
        <f t="shared" si="1101"/>
        <v>5.6433191019646757E-2</v>
      </c>
      <c r="AW133" s="168">
        <f t="shared" si="1101"/>
        <v>5.5633366753394677E-2</v>
      </c>
      <c r="AX133" s="168">
        <f t="shared" si="1101"/>
        <v>5.4850521166997991E-2</v>
      </c>
      <c r="AY133" s="168">
        <f t="shared" si="1101"/>
        <v>5.4085812291246017E-2</v>
      </c>
      <c r="AZ133" s="168">
        <f t="shared" si="1101"/>
        <v>5.3334900191942501E-2</v>
      </c>
      <c r="BA133" s="168">
        <f t="shared" si="1101"/>
        <v>5.2601531248526623E-2</v>
      </c>
      <c r="BB133" s="168">
        <f t="shared" si="1101"/>
        <v>5.1886614085079767E-2</v>
      </c>
      <c r="BC133" s="168">
        <f t="shared" si="1101"/>
        <v>5.1191125796272025E-2</v>
      </c>
      <c r="BD133" s="168">
        <f t="shared" si="1101"/>
        <v>5.0516116250280678E-2</v>
      </c>
      <c r="BE133" s="168">
        <f t="shared" si="1101"/>
        <v>4.9514732199219015E-2</v>
      </c>
      <c r="BF133" s="168">
        <f t="shared" si="1101"/>
        <v>4.8547182444984981E-2</v>
      </c>
      <c r="BG133" s="168">
        <f t="shared" si="1101"/>
        <v>4.76200394111451E-2</v>
      </c>
      <c r="BH133" s="168">
        <f t="shared" si="1101"/>
        <v>4.673182725151296E-2</v>
      </c>
      <c r="BI133" s="168">
        <f t="shared" si="1101"/>
        <v>4.5884842146426331E-2</v>
      </c>
      <c r="BJ133" s="168">
        <f t="shared" si="1101"/>
        <v>4.509879742257878E-2</v>
      </c>
      <c r="BK133" s="168">
        <f t="shared" si="1101"/>
        <v>4.4364076424772844E-2</v>
      </c>
      <c r="BL133" s="168">
        <f t="shared" si="1101"/>
        <v>4.3684235930868329E-2</v>
      </c>
      <c r="BM133" s="168">
        <f t="shared" si="1101"/>
        <v>4.3063111838648992E-2</v>
      </c>
      <c r="BN133" s="168">
        <f t="shared" si="1101"/>
        <v>4.2504843212256414E-2</v>
      </c>
      <c r="BP133" s="168">
        <f t="shared" ref="BP133:CT133" si="1102">BP110</f>
        <v>6.3919388676909383E-2</v>
      </c>
      <c r="BQ133" s="168">
        <f t="shared" si="1102"/>
        <v>6.5176783537020735E-2</v>
      </c>
      <c r="BR133" s="168">
        <f t="shared" si="1102"/>
        <v>6.642011060592086E-2</v>
      </c>
      <c r="BS133" s="168">
        <f t="shared" si="1102"/>
        <v>6.7649151559137713E-2</v>
      </c>
      <c r="BT133" s="168">
        <f t="shared" si="1102"/>
        <v>6.8863590305452235E-2</v>
      </c>
      <c r="BU133" s="168">
        <f t="shared" si="1102"/>
        <v>7.0063008543236452E-2</v>
      </c>
      <c r="BV133" s="168">
        <f t="shared" si="1102"/>
        <v>7.1260557214883738E-2</v>
      </c>
      <c r="BW133" s="168">
        <f t="shared" si="1102"/>
        <v>7.2456129961046625E-2</v>
      </c>
      <c r="BX133" s="168">
        <f t="shared" si="1102"/>
        <v>7.3649618867960509E-2</v>
      </c>
      <c r="BY133" s="168">
        <f t="shared" si="1102"/>
        <v>7.4840914201538003E-2</v>
      </c>
      <c r="BZ133" s="168">
        <f t="shared" si="1102"/>
        <v>7.6029904139308047E-2</v>
      </c>
      <c r="CA133" s="168">
        <f t="shared" si="1102"/>
        <v>7.7206850310270789E-2</v>
      </c>
      <c r="CB133" s="168">
        <f t="shared" si="1102"/>
        <v>7.8371216058441384E-2</v>
      </c>
      <c r="CC133" s="168">
        <f t="shared" si="1102"/>
        <v>7.9522392506866921E-2</v>
      </c>
      <c r="CD133" s="168">
        <f t="shared" si="1102"/>
        <v>8.0659692515901785E-2</v>
      </c>
      <c r="CE133" s="168">
        <f t="shared" si="1102"/>
        <v>8.1782343849739259E-2</v>
      </c>
      <c r="CF133" s="168">
        <f t="shared" si="1102"/>
        <v>8.2902748804436918E-2</v>
      </c>
      <c r="CG133" s="168">
        <f t="shared" si="1102"/>
        <v>8.4020846369328536E-2</v>
      </c>
      <c r="CH133" s="168">
        <f t="shared" si="1102"/>
        <v>8.5136574138328744E-2</v>
      </c>
      <c r="CI133" s="168">
        <f t="shared" si="1102"/>
        <v>8.6249868266388641E-2</v>
      </c>
      <c r="CJ133" s="168">
        <f t="shared" si="1102"/>
        <v>8.7360663424692467E-2</v>
      </c>
      <c r="CK133" s="168">
        <f t="shared" si="1102"/>
        <v>8.8468982312928213E-2</v>
      </c>
      <c r="CL133" s="168">
        <f t="shared" si="1102"/>
        <v>8.9574761952590981E-2</v>
      </c>
      <c r="CM133" s="168">
        <f t="shared" si="1102"/>
        <v>9.0677937925240412E-2</v>
      </c>
      <c r="CN133" s="168">
        <f t="shared" si="1102"/>
        <v>9.1778444330233841E-2</v>
      </c>
      <c r="CO133" s="168">
        <f t="shared" si="1102"/>
        <v>9.2876213741257471E-2</v>
      </c>
      <c r="CP133" s="168">
        <f t="shared" si="1102"/>
        <v>9.3971261891163477E-2</v>
      </c>
      <c r="CQ133" s="168">
        <f t="shared" si="1102"/>
        <v>9.5063523230229166E-2</v>
      </c>
      <c r="CR133" s="168">
        <f t="shared" si="1102"/>
        <v>9.6152930718444982E-2</v>
      </c>
      <c r="CS133" s="168">
        <f t="shared" si="1102"/>
        <v>9.7239415783933164E-2</v>
      </c>
      <c r="CT133" s="168">
        <f t="shared" si="1102"/>
        <v>9.832290828020733E-2</v>
      </c>
      <c r="CV133" s="168">
        <f t="shared" si="1090"/>
        <v>6.3919388676909383E-2</v>
      </c>
      <c r="CW133" s="168">
        <f t="shared" si="1057"/>
        <v>6.3485936062159035E-2</v>
      </c>
      <c r="CX133" s="168">
        <f t="shared" si="1058"/>
        <v>6.2976102005591061E-2</v>
      </c>
      <c r="CY133" s="168">
        <f t="shared" si="1059"/>
        <v>6.2465678042336638E-2</v>
      </c>
      <c r="CZ133" s="168">
        <f t="shared" si="1060"/>
        <v>6.1960725497063239E-2</v>
      </c>
      <c r="DA133" s="168">
        <f t="shared" si="1061"/>
        <v>6.146087521241872E-2</v>
      </c>
      <c r="DB133" s="168">
        <f t="shared" si="1062"/>
        <v>6.0969923638371594E-2</v>
      </c>
      <c r="DC133" s="168">
        <f t="shared" si="1063"/>
        <v>6.0486846101336915E-2</v>
      </c>
      <c r="DD133" s="168">
        <f t="shared" si="1064"/>
        <v>6.0011797399450319E-2</v>
      </c>
      <c r="DE133" s="168">
        <f t="shared" si="1065"/>
        <v>5.9545016209652309E-2</v>
      </c>
      <c r="DF133" s="168">
        <f t="shared" si="1066"/>
        <v>5.908688120869944E-2</v>
      </c>
      <c r="DG133" s="168">
        <f t="shared" si="1067"/>
        <v>5.849731327977005E-2</v>
      </c>
      <c r="DH133" s="168">
        <f t="shared" si="1068"/>
        <v>5.7912732344820819E-2</v>
      </c>
      <c r="DI133" s="168">
        <f t="shared" si="1069"/>
        <v>5.7392289525684377E-2</v>
      </c>
      <c r="DJ133" s="168">
        <f t="shared" si="1070"/>
        <v>5.6906531190172485E-2</v>
      </c>
      <c r="DK133" s="168">
        <f t="shared" si="1071"/>
        <v>5.6456171759702842E-2</v>
      </c>
      <c r="DL133" s="168">
        <f t="shared" si="1072"/>
        <v>5.6033941634393285E-2</v>
      </c>
      <c r="DM133" s="168">
        <f t="shared" si="1073"/>
        <v>5.5643693231695858E-2</v>
      </c>
      <c r="DN133" s="168">
        <f t="shared" si="1074"/>
        <v>5.5283983153450081E-2</v>
      </c>
      <c r="DO133" s="168">
        <f t="shared" si="1075"/>
        <v>5.4953098525431399E-2</v>
      </c>
      <c r="DP133" s="168">
        <f t="shared" si="1076"/>
        <v>5.4649429947452727E-2</v>
      </c>
      <c r="DQ133" s="168">
        <f t="shared" si="1077"/>
        <v>5.4247326220429923E-2</v>
      </c>
      <c r="DR133" s="168">
        <f t="shared" si="1078"/>
        <v>5.378740634909028E-2</v>
      </c>
      <c r="DS133" s="168">
        <f t="shared" si="1079"/>
        <v>5.3382180413158307E-2</v>
      </c>
      <c r="DT133" s="168">
        <f t="shared" si="1080"/>
        <v>5.3028771599387813E-2</v>
      </c>
      <c r="DU133" s="168">
        <f t="shared" si="1081"/>
        <v>5.2718921968704084E-2</v>
      </c>
      <c r="DV133" s="168">
        <f t="shared" si="1082"/>
        <v>5.247303030691685E-2</v>
      </c>
      <c r="DW133" s="168">
        <f t="shared" si="1083"/>
        <v>5.2277446187804971E-2</v>
      </c>
      <c r="DX133" s="168">
        <f t="shared" si="1084"/>
        <v>5.2134066293894513E-2</v>
      </c>
      <c r="DY133" s="168">
        <f t="shared" si="1085"/>
        <v>5.2044077299340089E-2</v>
      </c>
      <c r="DZ133" s="168">
        <f t="shared" si="1086"/>
        <v>5.2006618578645733E-2</v>
      </c>
    </row>
    <row r="134" spans="1:165" ht="16" thickBot="1" x14ac:dyDescent="0.25">
      <c r="A134" s="606" t="s">
        <v>454</v>
      </c>
      <c r="C134" s="54" t="s">
        <v>462</v>
      </c>
      <c r="D134" s="168">
        <f t="shared" ref="D134:AH134" si="1103">D111</f>
        <v>4.5656706197792413E-2</v>
      </c>
      <c r="E134" s="168">
        <f t="shared" si="1103"/>
        <v>4.4900881592868751E-2</v>
      </c>
      <c r="F134" s="168">
        <f t="shared" si="1103"/>
        <v>4.4088100950076162E-2</v>
      </c>
      <c r="G134" s="168">
        <f t="shared" si="1103"/>
        <v>4.3275363226039441E-2</v>
      </c>
      <c r="H134" s="168">
        <f t="shared" si="1103"/>
        <v>4.2466308323588192E-2</v>
      </c>
      <c r="I134" s="168">
        <f t="shared" si="1103"/>
        <v>4.1660878932829187E-2</v>
      </c>
      <c r="J134" s="168">
        <f t="shared" si="1103"/>
        <v>4.0828721152887493E-2</v>
      </c>
      <c r="K134" s="168">
        <f t="shared" si="1103"/>
        <v>4.0000054375864146E-2</v>
      </c>
      <c r="L134" s="168">
        <f t="shared" si="1103"/>
        <v>3.9175116704393304E-2</v>
      </c>
      <c r="M134" s="168">
        <f t="shared" si="1103"/>
        <v>3.8354157891603569E-2</v>
      </c>
      <c r="N134" s="168">
        <f t="shared" si="1103"/>
        <v>3.7537439366685035E-2</v>
      </c>
      <c r="O134" s="168">
        <f t="shared" si="1103"/>
        <v>3.6545492133326633E-2</v>
      </c>
      <c r="P134" s="168">
        <f t="shared" si="1103"/>
        <v>3.5563876850778144E-2</v>
      </c>
      <c r="Q134" s="168">
        <f t="shared" si="1103"/>
        <v>3.4592659193167972E-2</v>
      </c>
      <c r="R134" s="168">
        <f t="shared" si="1103"/>
        <v>3.3632669318834282E-2</v>
      </c>
      <c r="S134" s="168">
        <f t="shared" si="1103"/>
        <v>3.2684402678141392E-2</v>
      </c>
      <c r="T134" s="168">
        <f t="shared" si="1103"/>
        <v>3.1756172462409811E-2</v>
      </c>
      <c r="U134" s="168">
        <f t="shared" si="1103"/>
        <v>3.0840242426392214E-2</v>
      </c>
      <c r="V134" s="168">
        <f t="shared" si="1103"/>
        <v>2.9936974116214439E-2</v>
      </c>
      <c r="W134" s="168">
        <f t="shared" si="1103"/>
        <v>2.9046756699723165E-2</v>
      </c>
      <c r="X134" s="168">
        <f t="shared" si="1103"/>
        <v>2.817000883522296E-2</v>
      </c>
      <c r="Y134" s="168">
        <f t="shared" si="1103"/>
        <v>2.7076157334094332E-2</v>
      </c>
      <c r="Z134" s="168">
        <f t="shared" si="1103"/>
        <v>2.6004637224584428E-2</v>
      </c>
      <c r="AA134" s="168">
        <f t="shared" si="1103"/>
        <v>2.4955971204779308E-2</v>
      </c>
      <c r="AB134" s="168">
        <f t="shared" si="1103"/>
        <v>2.3931435097946447E-2</v>
      </c>
      <c r="AC134" s="168">
        <f t="shared" si="1103"/>
        <v>2.2931945259600857E-2</v>
      </c>
      <c r="AD134" s="168">
        <f t="shared" si="1103"/>
        <v>2.1957809907374538E-2</v>
      </c>
      <c r="AE134" s="168">
        <f t="shared" si="1103"/>
        <v>2.101237080911313E-2</v>
      </c>
      <c r="AF134" s="168">
        <f t="shared" si="1103"/>
        <v>2.0097191137450308E-2</v>
      </c>
      <c r="AG134" s="168">
        <f t="shared" si="1103"/>
        <v>1.9213997323598929E-2</v>
      </c>
      <c r="AH134" s="168">
        <f t="shared" si="1103"/>
        <v>1.8364705725677864E-2</v>
      </c>
      <c r="AI134" s="44"/>
      <c r="AJ134" s="168">
        <f t="shared" ref="AJ134:BN134" si="1104">AJ111</f>
        <v>4.5656706197792413E-2</v>
      </c>
      <c r="AK134" s="168">
        <f t="shared" si="1104"/>
        <v>4.4905342409227209E-2</v>
      </c>
      <c r="AL134" s="168">
        <f t="shared" si="1104"/>
        <v>4.4099114149222421E-2</v>
      </c>
      <c r="AM134" s="168">
        <f t="shared" si="1104"/>
        <v>4.3292476385412573E-2</v>
      </c>
      <c r="AN134" s="168">
        <f t="shared" si="1104"/>
        <v>4.2489905341789556E-2</v>
      </c>
      <c r="AO134" s="168">
        <f t="shared" si="1104"/>
        <v>4.1691335129086918E-2</v>
      </c>
      <c r="AP134" s="168">
        <f t="shared" si="1104"/>
        <v>4.0891111184996845E-2</v>
      </c>
      <c r="AQ134" s="168">
        <f t="shared" si="1104"/>
        <v>4.0096851679057181E-2</v>
      </c>
      <c r="AR134" s="168">
        <f t="shared" si="1104"/>
        <v>3.9308791101498923E-2</v>
      </c>
      <c r="AS134" s="168">
        <f t="shared" si="1104"/>
        <v>3.8527169311353235E-2</v>
      </c>
      <c r="AT134" s="168">
        <f t="shared" si="1104"/>
        <v>3.7752230921760409E-2</v>
      </c>
      <c r="AU134" s="168">
        <f t="shared" si="1104"/>
        <v>3.6823740122319391E-2</v>
      </c>
      <c r="AV134" s="168">
        <f t="shared" si="1104"/>
        <v>3.5912030648866125E-2</v>
      </c>
      <c r="AW134" s="168">
        <f t="shared" si="1104"/>
        <v>3.5017956738177369E-2</v>
      </c>
      <c r="AX134" s="168">
        <f t="shared" si="1104"/>
        <v>3.4141650930478336E-2</v>
      </c>
      <c r="AY134" s="168">
        <f t="shared" si="1104"/>
        <v>3.3283576794612933E-2</v>
      </c>
      <c r="AZ134" s="168">
        <f t="shared" si="1104"/>
        <v>3.2440815580666055E-2</v>
      </c>
      <c r="BA134" s="168">
        <f t="shared" si="1104"/>
        <v>3.1615428107922741E-2</v>
      </c>
      <c r="BB134" s="168">
        <f t="shared" si="1104"/>
        <v>3.0807677113016109E-2</v>
      </c>
      <c r="BC134" s="168">
        <f t="shared" si="1104"/>
        <v>3.001783292765689E-2</v>
      </c>
      <c r="BD134" s="168">
        <f t="shared" si="1104"/>
        <v>2.9246172565951967E-2</v>
      </c>
      <c r="BE134" s="168">
        <f t="shared" si="1104"/>
        <v>2.8294132685268002E-2</v>
      </c>
      <c r="BF134" s="168">
        <f t="shared" si="1104"/>
        <v>2.7372347548768126E-2</v>
      </c>
      <c r="BG134" s="168">
        <f t="shared" si="1104"/>
        <v>2.6483872185877482E-2</v>
      </c>
      <c r="BH134" s="168">
        <f t="shared" si="1104"/>
        <v>2.562713107341032E-2</v>
      </c>
      <c r="BI134" s="168">
        <f t="shared" si="1104"/>
        <v>2.4802617376446654E-2</v>
      </c>
      <c r="BJ134" s="168">
        <f t="shared" si="1104"/>
        <v>2.4020011670721292E-2</v>
      </c>
      <c r="BK134" s="168">
        <f t="shared" si="1104"/>
        <v>2.3272958124470979E-2</v>
      </c>
      <c r="BL134" s="168">
        <f t="shared" si="1104"/>
        <v>2.2562187788470432E-2</v>
      </c>
      <c r="BM134" s="168">
        <f t="shared" si="1104"/>
        <v>2.1888432536771838E-2</v>
      </c>
      <c r="BN134" s="168">
        <f t="shared" si="1104"/>
        <v>2.1252421606128207E-2</v>
      </c>
      <c r="BP134" s="168">
        <f t="shared" ref="BP134:CT134" si="1105">BP111</f>
        <v>4.5656706197792413E-2</v>
      </c>
      <c r="BQ134" s="168">
        <f t="shared" si="1105"/>
        <v>4.6398065735895958E-2</v>
      </c>
      <c r="BR134" s="168">
        <f t="shared" si="1105"/>
        <v>4.7128975540230607E-2</v>
      </c>
      <c r="BS134" s="168">
        <f t="shared" si="1105"/>
        <v>4.7849399883292537E-2</v>
      </c>
      <c r="BT134" s="168">
        <f t="shared" si="1105"/>
        <v>4.8559227977379292E-2</v>
      </c>
      <c r="BU134" s="168">
        <f t="shared" si="1105"/>
        <v>4.9258272381926087E-2</v>
      </c>
      <c r="BV134" s="168">
        <f t="shared" si="1105"/>
        <v>4.995585454239275E-2</v>
      </c>
      <c r="BW134" s="168">
        <f t="shared" si="1105"/>
        <v>5.0651918408948081E-2</v>
      </c>
      <c r="BX134" s="168">
        <f t="shared" si="1105"/>
        <v>5.134640649862806E-2</v>
      </c>
      <c r="BY134" s="168">
        <f t="shared" si="1105"/>
        <v>5.2039259751929391E-2</v>
      </c>
      <c r="BZ134" s="168">
        <f t="shared" si="1105"/>
        <v>5.2730417386939475E-2</v>
      </c>
      <c r="CA134" s="168">
        <f t="shared" si="1105"/>
        <v>5.3413158554603567E-2</v>
      </c>
      <c r="CB134" s="168">
        <f t="shared" si="1105"/>
        <v>5.4087177279769437E-2</v>
      </c>
      <c r="CC134" s="168">
        <f t="shared" si="1105"/>
        <v>5.4752117585684046E-2</v>
      </c>
      <c r="CD134" s="168">
        <f t="shared" si="1105"/>
        <v>5.5407569934935605E-2</v>
      </c>
      <c r="CE134" s="168">
        <f t="shared" si="1105"/>
        <v>5.6053067132967399E-2</v>
      </c>
      <c r="CF134" s="168">
        <f t="shared" si="1105"/>
        <v>5.6697153170538139E-2</v>
      </c>
      <c r="CG134" s="168">
        <f t="shared" si="1105"/>
        <v>5.7339791003686018E-2</v>
      </c>
      <c r="CH134" s="168">
        <f t="shared" si="1105"/>
        <v>5.7980942732137726E-2</v>
      </c>
      <c r="CI134" s="168">
        <f t="shared" si="1105"/>
        <v>5.8620569572974325E-2</v>
      </c>
      <c r="CJ134" s="168">
        <f t="shared" si="1105"/>
        <v>5.9258631833532707E-2</v>
      </c>
      <c r="CK134" s="168">
        <f t="shared" si="1105"/>
        <v>5.9895149516206114E-2</v>
      </c>
      <c r="CL134" s="168">
        <f t="shared" si="1105"/>
        <v>6.0530084371233202E-2</v>
      </c>
      <c r="CM134" s="168">
        <f t="shared" si="1105"/>
        <v>6.11633972690089E-2</v>
      </c>
      <c r="CN134" s="168">
        <f t="shared" si="1105"/>
        <v>6.1795048174539971E-2</v>
      </c>
      <c r="CO134" s="168">
        <f t="shared" si="1105"/>
        <v>6.2424996121173131E-2</v>
      </c>
      <c r="CP134" s="168">
        <f t="shared" si="1105"/>
        <v>6.3053256035780741E-2</v>
      </c>
      <c r="CQ134" s="168">
        <f t="shared" si="1105"/>
        <v>6.3679788113915572E-2</v>
      </c>
      <c r="CR134" s="168">
        <f t="shared" si="1105"/>
        <v>6.4304551643561886E-2</v>
      </c>
      <c r="CS134" s="168">
        <f t="shared" si="1105"/>
        <v>6.4927504980027903E-2</v>
      </c>
      <c r="CT134" s="168">
        <f t="shared" si="1105"/>
        <v>6.5548605520138206E-2</v>
      </c>
      <c r="CV134" s="168">
        <f t="shared" si="1090"/>
        <v>4.5656706197792413E-2</v>
      </c>
      <c r="CW134" s="168">
        <f t="shared" si="1057"/>
        <v>4.4956548024878168E-2</v>
      </c>
      <c r="CX134" s="168">
        <f t="shared" si="1058"/>
        <v>4.4204379292386048E-2</v>
      </c>
      <c r="CY134" s="168">
        <f t="shared" si="1059"/>
        <v>4.3454384725103747E-2</v>
      </c>
      <c r="CZ134" s="168">
        <f t="shared" si="1060"/>
        <v>4.2710791362053295E-2</v>
      </c>
      <c r="DA134" s="168">
        <f t="shared" si="1061"/>
        <v>4.197328063287132E-2</v>
      </c>
      <c r="DB134" s="168">
        <f t="shared" si="1062"/>
        <v>4.1244360108310195E-2</v>
      </c>
      <c r="DC134" s="168">
        <f t="shared" si="1063"/>
        <v>4.0523207240304539E-2</v>
      </c>
      <c r="DD134" s="168">
        <f t="shared" si="1064"/>
        <v>3.9809806195674972E-2</v>
      </c>
      <c r="DE134" s="168">
        <f t="shared" si="1065"/>
        <v>3.910418974962241E-2</v>
      </c>
      <c r="DF134" s="168">
        <f t="shared" si="1066"/>
        <v>3.8406472785654636E-2</v>
      </c>
      <c r="DG134" s="168">
        <f t="shared" si="1067"/>
        <v>3.7626412561862138E-2</v>
      </c>
      <c r="DH134" s="168">
        <f t="shared" si="1068"/>
        <v>3.6853556946704162E-2</v>
      </c>
      <c r="DI134" s="168">
        <f t="shared" si="1069"/>
        <v>3.6125095945100834E-2</v>
      </c>
      <c r="DJ134" s="168">
        <f t="shared" si="1070"/>
        <v>3.5421412271433882E-2</v>
      </c>
      <c r="DK134" s="168">
        <f t="shared" si="1071"/>
        <v>3.4742259544432517E-2</v>
      </c>
      <c r="DL134" s="168">
        <f t="shared" si="1072"/>
        <v>3.4082500581744363E-2</v>
      </c>
      <c r="DM134" s="168">
        <f t="shared" si="1073"/>
        <v>3.3443877797288711E-2</v>
      </c>
      <c r="DN134" s="168">
        <f t="shared" si="1074"/>
        <v>3.2824864997360981E-2</v>
      </c>
      <c r="DO134" s="168">
        <f t="shared" si="1075"/>
        <v>3.2223806465174427E-2</v>
      </c>
      <c r="DP134" s="168">
        <f t="shared" si="1076"/>
        <v>3.1639143653788414E-2</v>
      </c>
      <c r="DQ134" s="168">
        <f t="shared" si="1077"/>
        <v>3.099847212595995E-2</v>
      </c>
      <c r="DR134" s="168">
        <f t="shared" si="1078"/>
        <v>3.0326941877678561E-2</v>
      </c>
      <c r="DS134" s="168">
        <f t="shared" si="1079"/>
        <v>2.9688485363467718E-2</v>
      </c>
      <c r="DT134" s="168">
        <f t="shared" si="1080"/>
        <v>2.9080294102890075E-2</v>
      </c>
      <c r="DU134" s="168">
        <f t="shared" si="1081"/>
        <v>2.849671457767787E-2</v>
      </c>
      <c r="DV134" s="168">
        <f t="shared" si="1082"/>
        <v>2.7947592228683954E-2</v>
      </c>
      <c r="DW134" s="168">
        <f t="shared" si="1083"/>
        <v>2.7424234065733733E-2</v>
      </c>
      <c r="DX134" s="168">
        <f t="shared" si="1084"/>
        <v>2.692638588805538E-2</v>
      </c>
      <c r="DY134" s="168">
        <f t="shared" si="1085"/>
        <v>2.6453343157675592E-2</v>
      </c>
      <c r="DZ134" s="168">
        <f t="shared" si="1086"/>
        <v>2.6003309289322867E-2</v>
      </c>
    </row>
    <row r="135" spans="1:165" s="624" customFormat="1" ht="16" thickBot="1" x14ac:dyDescent="0.25">
      <c r="A135" s="623" t="s">
        <v>463</v>
      </c>
      <c r="C135" s="625" t="s">
        <v>413</v>
      </c>
      <c r="D135" s="627">
        <f>SUMPRODUCT(D116:D124,D126:D134)</f>
        <v>0.95981060169486876</v>
      </c>
      <c r="E135" s="627">
        <f t="shared" ref="E135" si="1106">SUMPRODUCT(E116:E124,E126:E134)</f>
        <v>0.95959046470912801</v>
      </c>
      <c r="F135" s="627">
        <f t="shared" ref="F135" si="1107">SUMPRODUCT(F116:F124,F126:F134)</f>
        <v>0.95891852791517174</v>
      </c>
      <c r="G135" s="627">
        <f t="shared" ref="G135" si="1108">SUMPRODUCT(G116:G124,G126:G134)</f>
        <v>0.9583771102139137</v>
      </c>
      <c r="H135" s="627">
        <f t="shared" ref="H135" si="1109">SUMPRODUCT(H116:H124,H126:H134)</f>
        <v>0.95799195679688176</v>
      </c>
      <c r="I135" s="627">
        <f t="shared" ref="I135" si="1110">SUMPRODUCT(I116:I124,I126:I134)</f>
        <v>0.95774042131437565</v>
      </c>
      <c r="J135" s="627">
        <f t="shared" ref="J135" si="1111">SUMPRODUCT(J116:J124,J126:J134)</f>
        <v>0.95715847606405591</v>
      </c>
      <c r="K135" s="627">
        <f t="shared" ref="K135" si="1112">SUMPRODUCT(K116:K124,K126:K134)</f>
        <v>0.95655959040018002</v>
      </c>
      <c r="L135" s="627">
        <f t="shared" ref="L135" si="1113">SUMPRODUCT(L116:L124,L126:L134)</f>
        <v>0.95581292753912739</v>
      </c>
      <c r="M135" s="627">
        <f t="shared" ref="M135" si="1114">SUMPRODUCT(M116:M124,M126:M134)</f>
        <v>0.9546744050945517</v>
      </c>
      <c r="N135" s="627">
        <f t="shared" ref="N135" si="1115">SUMPRODUCT(N116:N124,N126:N134)</f>
        <v>0.95271044001247773</v>
      </c>
      <c r="O135" s="627">
        <f t="shared" ref="O135" si="1116">SUMPRODUCT(O116:O124,O126:O134)</f>
        <v>0.94600101420278371</v>
      </c>
      <c r="P135" s="627">
        <f t="shared" ref="P135" si="1117">SUMPRODUCT(P116:P124,P126:P134)</f>
        <v>0.93647864490710053</v>
      </c>
      <c r="Q135" s="627">
        <f t="shared" ref="Q135" si="1118">SUMPRODUCT(Q116:Q124,Q126:Q134)</f>
        <v>0.92275567813101889</v>
      </c>
      <c r="R135" s="627">
        <f t="shared" ref="R135" si="1119">SUMPRODUCT(R116:R124,R126:R134)</f>
        <v>0.90340938949380634</v>
      </c>
      <c r="S135" s="627">
        <f t="shared" ref="S135" si="1120">SUMPRODUCT(S116:S124,S126:S134)</f>
        <v>0.87742964725850114</v>
      </c>
      <c r="T135" s="627">
        <f t="shared" ref="T135" si="1121">SUMPRODUCT(T116:T124,T126:T134)</f>
        <v>0.84487538436155918</v>
      </c>
      <c r="U135" s="627">
        <f t="shared" ref="U135" si="1122">SUMPRODUCT(U116:U124,U126:U134)</f>
        <v>0.80659885517741903</v>
      </c>
      <c r="V135" s="627">
        <f t="shared" ref="V135" si="1123">SUMPRODUCT(V116:V124,V126:V134)</f>
        <v>0.76446948428027239</v>
      </c>
      <c r="W135" s="627">
        <f t="shared" ref="W135" si="1124">SUMPRODUCT(W116:W124,W126:W134)</f>
        <v>0.72063361520124447</v>
      </c>
      <c r="X135" s="627">
        <f t="shared" ref="X135" si="1125">SUMPRODUCT(X116:X124,X126:X134)</f>
        <v>0.6769503333336272</v>
      </c>
      <c r="Y135" s="627">
        <f t="shared" ref="Y135" si="1126">SUMPRODUCT(Y116:Y124,Y126:Y134)</f>
        <v>0.6301136058494371</v>
      </c>
      <c r="Z135" s="627">
        <f t="shared" ref="Z135" si="1127">SUMPRODUCT(Z116:Z124,Z126:Z134)</f>
        <v>0.58565308099906177</v>
      </c>
      <c r="AA135" s="627">
        <f t="shared" ref="AA135" si="1128">SUMPRODUCT(AA116:AA124,AA126:AA134)</f>
        <v>0.54373593107353213</v>
      </c>
      <c r="AB135" s="627">
        <f t="shared" ref="AB135" si="1129">SUMPRODUCT(AB116:AB124,AB126:AB134)</f>
        <v>0.5046941615527637</v>
      </c>
      <c r="AC135" s="627">
        <f t="shared" ref="AC135" si="1130">SUMPRODUCT(AC116:AC124,AC126:AC134)</f>
        <v>0.467805965104513</v>
      </c>
      <c r="AD135" s="627">
        <f t="shared" ref="AD135" si="1131">SUMPRODUCT(AD116:AD124,AD126:AD134)</f>
        <v>0.43249385635758042</v>
      </c>
      <c r="AE135" s="627">
        <f t="shared" ref="AE135" si="1132">SUMPRODUCT(AE116:AE124,AE126:AE134)</f>
        <v>0.39843257167218354</v>
      </c>
      <c r="AF135" s="627">
        <f t="shared" ref="AF135" si="1133">SUMPRODUCT(AF116:AF124,AF126:AF134)</f>
        <v>0.36528922719219753</v>
      </c>
      <c r="AG135" s="627">
        <f t="shared" ref="AG135" si="1134">SUMPRODUCT(AG116:AG124,AG126:AG134)</f>
        <v>0.3327561586546553</v>
      </c>
      <c r="AH135" s="627">
        <f t="shared" ref="AH135" si="1135">SUMPRODUCT(AH116:AH124,AH126:AH134)</f>
        <v>0.30056529652930963</v>
      </c>
      <c r="AI135" s="626"/>
      <c r="AJ135" s="627">
        <f>SUMPRODUCT(AJ116:AJ124,AJ126:AJ134)</f>
        <v>0.95981021058607219</v>
      </c>
      <c r="AK135" s="627">
        <f t="shared" ref="AK135" si="1136">SUMPRODUCT(AK116:AK124,AK126:AK134)</f>
        <v>0.95963889379849621</v>
      </c>
      <c r="AL135" s="627">
        <f t="shared" ref="AL135" si="1137">SUMPRODUCT(AL116:AL124,AL126:AL134)</f>
        <v>0.95904453307835857</v>
      </c>
      <c r="AM135" s="627">
        <f t="shared" ref="AM135" si="1138">SUMPRODUCT(AM116:AM124,AM126:AM134)</f>
        <v>0.95858203710578138</v>
      </c>
      <c r="AN135" s="627">
        <f t="shared" ref="AN135" si="1139">SUMPRODUCT(AN116:AN124,AN126:AN134)</f>
        <v>0.95828676641923238</v>
      </c>
      <c r="AO135" s="627">
        <f t="shared" ref="AO135" si="1140">SUMPRODUCT(AO116:AO124,AO126:AO134)</f>
        <v>0.95813578972139157</v>
      </c>
      <c r="AP135" s="627">
        <f t="shared" ref="AP135" si="1141">SUMPRODUCT(AP116:AP124,AP126:AP134)</f>
        <v>0.95801085561901056</v>
      </c>
      <c r="AQ135" s="627">
        <f t="shared" ref="AQ135" si="1142">SUMPRODUCT(AQ116:AQ124,AQ126:AQ134)</f>
        <v>0.95794008781573514</v>
      </c>
      <c r="AR135" s="627">
        <f t="shared" ref="AR135" si="1143">SUMPRODUCT(AR116:AR124,AR126:AR134)</f>
        <v>0.95779320659998057</v>
      </c>
      <c r="AS135" s="627">
        <f t="shared" ref="AS135" si="1144">SUMPRODUCT(AS116:AS124,AS126:AS134)</f>
        <v>0.95732229057482421</v>
      </c>
      <c r="AT135" s="627">
        <f t="shared" ref="AT135" si="1145">SUMPRODUCT(AT116:AT124,AT126:AT134)</f>
        <v>0.95608237013868225</v>
      </c>
      <c r="AU135" s="627">
        <f t="shared" ref="AU135" si="1146">SUMPRODUCT(AU116:AU124,AU126:AU134)</f>
        <v>0.9504920666751725</v>
      </c>
      <c r="AV135" s="627">
        <f t="shared" ref="AV135" si="1147">SUMPRODUCT(AV116:AV124,AV126:AV134)</f>
        <v>0.94221703183391159</v>
      </c>
      <c r="AW135" s="627">
        <f t="shared" ref="AW135" si="1148">SUMPRODUCT(AW116:AW124,AW126:AW134)</f>
        <v>0.92986421371344741</v>
      </c>
      <c r="AX135" s="627">
        <f t="shared" ref="AX135" si="1149">SUMPRODUCT(AX116:AX124,AX126:AX134)</f>
        <v>0.91196876473288013</v>
      </c>
      <c r="AY135" s="627">
        <f t="shared" ref="AY135" si="1150">SUMPRODUCT(AY116:AY124,AY126:AY134)</f>
        <v>0.88748584564563715</v>
      </c>
      <c r="AZ135" s="627">
        <f t="shared" ref="AZ135" si="1151">SUMPRODUCT(AZ116:AZ124,AZ126:AZ134)</f>
        <v>0.85621931583599187</v>
      </c>
      <c r="BA135" s="627">
        <f t="shared" ref="BA135" si="1152">SUMPRODUCT(BA116:BA124,BA126:BA134)</f>
        <v>0.81921345465197404</v>
      </c>
      <c r="BB135" s="627">
        <f t="shared" ref="BB135" si="1153">SUMPRODUCT(BB116:BB124,BB126:BB134)</f>
        <v>0.77836331751834975</v>
      </c>
      <c r="BC135" s="627">
        <f t="shared" ref="BC135" si="1154">SUMPRODUCT(BC116:BC124,BC126:BC134)</f>
        <v>0.73586261152170818</v>
      </c>
      <c r="BD135" s="627">
        <f t="shared" ref="BD135" si="1155">SUMPRODUCT(BD116:BD124,BD126:BD134)</f>
        <v>0.69362274871778828</v>
      </c>
      <c r="BE135" s="627">
        <f t="shared" ref="BE135" si="1156">SUMPRODUCT(BE116:BE124,BE126:BE134)</f>
        <v>0.64919994481401255</v>
      </c>
      <c r="BF135" s="627">
        <f t="shared" ref="BF135" si="1157">SUMPRODUCT(BF116:BF124,BF126:BF134)</f>
        <v>0.60736165662985608</v>
      </c>
      <c r="BG135" s="627">
        <f t="shared" ref="BG135" si="1158">SUMPRODUCT(BG116:BG124,BG126:BG134)</f>
        <v>0.56830226455589472</v>
      </c>
      <c r="BH135" s="627">
        <f t="shared" ref="BH135" si="1159">SUMPRODUCT(BH116:BH124,BH126:BH134)</f>
        <v>0.53181370769238634</v>
      </c>
      <c r="BI135" s="627">
        <f t="shared" ref="BI135" si="1160">SUMPRODUCT(BI116:BI124,BI126:BI134)</f>
        <v>0.49757136454177792</v>
      </c>
      <c r="BJ135" s="627">
        <f t="shared" ref="BJ135" si="1161">SUMPRODUCT(BJ116:BJ124,BJ126:BJ134)</f>
        <v>0.46535834178963786</v>
      </c>
      <c r="BK135" s="627">
        <f t="shared" ref="BK135" si="1162">SUMPRODUCT(BK116:BK124,BK126:BK134)</f>
        <v>0.43467328938560212</v>
      </c>
      <c r="BL135" s="627">
        <f t="shared" ref="BL135" si="1163">SUMPRODUCT(BL116:BL124,BL126:BL134)</f>
        <v>0.40515786007031829</v>
      </c>
      <c r="BM135" s="627">
        <f t="shared" ref="BM135" si="1164">SUMPRODUCT(BM116:BM124,BM126:BM134)</f>
        <v>0.37647095511205902</v>
      </c>
      <c r="BN135" s="627">
        <f t="shared" ref="BN135" si="1165">SUMPRODUCT(BN116:BN124,BN126:BN134)</f>
        <v>0.34829223169570495</v>
      </c>
      <c r="BP135" s="627">
        <f>SUMPRODUCT(BP116:BP124,BP126:BP134)</f>
        <v>0.95980968576617665</v>
      </c>
      <c r="BQ135" s="627">
        <f t="shared" ref="BQ135" si="1166">SUMPRODUCT(BQ116:BQ124,BQ126:BQ134)</f>
        <v>0.971437309531195</v>
      </c>
      <c r="BR135" s="627">
        <f t="shared" ref="BR135" si="1167">SUMPRODUCT(BR116:BR124,BR126:BR134)</f>
        <v>0.98296493693968956</v>
      </c>
      <c r="BS135" s="627">
        <f t="shared" ref="BS135" si="1168">SUMPRODUCT(BS116:BS124,BS126:BS134)</f>
        <v>0.99438925060919536</v>
      </c>
      <c r="BT135" s="627">
        <f t="shared" ref="BT135" si="1169">SUMPRODUCT(BT116:BT124,BT126:BT134)</f>
        <v>1.0057062722515469</v>
      </c>
      <c r="BU135" s="627">
        <f t="shared" ref="BU135" si="1170">SUMPRODUCT(BU116:BU124,BU126:BU134)</f>
        <v>1.0169113072368201</v>
      </c>
      <c r="BV135" s="627">
        <f t="shared" ref="BV135" si="1171">SUMPRODUCT(BV116:BV124,BV126:BV134)</f>
        <v>1.0281040793399003</v>
      </c>
      <c r="BW135" s="627">
        <f t="shared" ref="BW135" si="1172">SUMPRODUCT(BW116:BW124,BW126:BW134)</f>
        <v>1.0392835120304622</v>
      </c>
      <c r="BX135" s="627">
        <f t="shared" ref="BX135" si="1173">SUMPRODUCT(BX116:BX124,BX126:BX134)</f>
        <v>1.050448521617513</v>
      </c>
      <c r="BY135" s="627">
        <f t="shared" ref="BY135" si="1174">SUMPRODUCT(BY116:BY124,BY126:BY134)</f>
        <v>1.0615980146037598</v>
      </c>
      <c r="BZ135" s="627">
        <f t="shared" ref="BZ135" si="1175">SUMPRODUCT(BZ116:BZ124,BZ126:BZ134)</f>
        <v>1.0727308850367068</v>
      </c>
      <c r="CA135" s="627">
        <f t="shared" ref="CA135" si="1176">SUMPRODUCT(CA116:CA124,CA126:CA134)</f>
        <v>1.0837707490465356</v>
      </c>
      <c r="CB135" s="627">
        <f t="shared" ref="CB135" si="1177">SUMPRODUCT(CB116:CB124,CB126:CB134)</f>
        <v>1.094712498239429</v>
      </c>
      <c r="CC135" s="627">
        <f t="shared" ref="CC135" si="1178">SUMPRODUCT(CC116:CC124,CC126:CC134)</f>
        <v>1.105550459968627</v>
      </c>
      <c r="CD135" s="627">
        <f t="shared" ref="CD135" si="1179">SUMPRODUCT(CD116:CD124,CD126:CD134)</f>
        <v>1.1162783414203759</v>
      </c>
      <c r="CE135" s="627">
        <f t="shared" ref="CE135" si="1180">SUMPRODUCT(CE116:CE124,CE126:CE134)</f>
        <v>1.1268891673642876</v>
      </c>
      <c r="CF135" s="627">
        <f t="shared" ref="CF135" si="1181">SUMPRODUCT(CF116:CF124,CF126:CF134)</f>
        <v>1.1374804306411701</v>
      </c>
      <c r="CG135" s="627">
        <f t="shared" ref="CG135" si="1182">SUMPRODUCT(CG116:CG124,CG126:CG134)</f>
        <v>1.1480515820304296</v>
      </c>
      <c r="CH135" s="627">
        <f t="shared" ref="CH135" si="1183">SUMPRODUCT(CH116:CH124,CH126:CH134)</f>
        <v>1.1586020598762414</v>
      </c>
      <c r="CI135" s="627">
        <f t="shared" ref="CI135" si="1184">SUMPRODUCT(CI116:CI124,CI126:CI134)</f>
        <v>1.1691312896940969</v>
      </c>
      <c r="CJ135" s="627">
        <f t="shared" ref="CJ135" si="1185">SUMPRODUCT(CJ116:CJ124,CJ126:CJ134)</f>
        <v>1.1796386837660195</v>
      </c>
      <c r="CK135" s="627">
        <f t="shared" ref="CK135" si="1186">SUMPRODUCT(CK116:CK124,CK126:CK134)</f>
        <v>1.1901243595927782</v>
      </c>
      <c r="CL135" s="627">
        <f t="shared" ref="CL135" si="1187">SUMPRODUCT(CL116:CL124,CL126:CL134)</f>
        <v>1.2005877503925646</v>
      </c>
      <c r="CM135" s="627">
        <f t="shared" ref="CM135" si="1188">SUMPRODUCT(CM116:CM124,CM126:CM134)</f>
        <v>1.2110282764987756</v>
      </c>
      <c r="CN135" s="627">
        <f t="shared" ref="CN135" si="1189">SUMPRODUCT(CN116:CN124,CN126:CN134)</f>
        <v>1.2214453449778688</v>
      </c>
      <c r="CO135" s="627">
        <f t="shared" ref="CO135" si="1190">SUMPRODUCT(CO116:CO124,CO126:CO134)</f>
        <v>1.2318383492363625</v>
      </c>
      <c r="CP135" s="627">
        <f t="shared" ref="CP135" si="1191">SUMPRODUCT(CP116:CP124,CP126:CP134)</f>
        <v>1.242207355863802</v>
      </c>
      <c r="CQ135" s="627">
        <f t="shared" ref="CQ135" si="1192">SUMPRODUCT(CQ116:CQ124,CQ126:CQ134)</f>
        <v>1.2525517748416186</v>
      </c>
      <c r="CR135" s="627">
        <f t="shared" ref="CR135" si="1193">SUMPRODUCT(CR116:CR124,CR126:CR134)</f>
        <v>1.2628710027734296</v>
      </c>
      <c r="CS135" s="627">
        <f t="shared" ref="CS135" si="1194">SUMPRODUCT(CS116:CS124,CS126:CS134)</f>
        <v>1.2731644225087755</v>
      </c>
      <c r="CT135" s="627">
        <f t="shared" ref="CT135" si="1195">SUMPRODUCT(CT116:CT124,CT126:CT134)</f>
        <v>1.2834314027563702</v>
      </c>
      <c r="CV135" s="627">
        <f>SUMPRODUCT(CV116:CV124,CV126:CV134)</f>
        <v>0.95981021058607219</v>
      </c>
      <c r="CW135" s="627">
        <f t="shared" ref="CW135:DZ135" si="1196">SUMPRODUCT(CW116:CW124,CW126:CW134)</f>
        <v>0.96056129737181806</v>
      </c>
      <c r="CX135" s="627">
        <f t="shared" si="1196"/>
        <v>0.96090997930647382</v>
      </c>
      <c r="CY135" s="627">
        <f t="shared" si="1196"/>
        <v>0.96151965479877588</v>
      </c>
      <c r="CZ135" s="627">
        <f t="shared" si="1196"/>
        <v>0.96239211833402738</v>
      </c>
      <c r="DA135" s="627">
        <f t="shared" si="1196"/>
        <v>0.96350635546807384</v>
      </c>
      <c r="DB135" s="627">
        <f t="shared" si="1196"/>
        <v>0.96473789981336155</v>
      </c>
      <c r="DC135" s="627">
        <f t="shared" si="1196"/>
        <v>0.96613728762130557</v>
      </c>
      <c r="DD135" s="627">
        <f t="shared" si="1196"/>
        <v>0.96757583644494338</v>
      </c>
      <c r="DE135" s="627">
        <f t="shared" si="1196"/>
        <v>0.96880397138309315</v>
      </c>
      <c r="DF135" s="627">
        <f t="shared" si="1196"/>
        <v>0.96936868772797791</v>
      </c>
      <c r="DG135" s="627">
        <f t="shared" si="1196"/>
        <v>0.96712260609132361</v>
      </c>
      <c r="DH135" s="627">
        <f t="shared" si="1196"/>
        <v>0.96201184031125742</v>
      </c>
      <c r="DI135" s="627">
        <f t="shared" si="1196"/>
        <v>0.95347346349422402</v>
      </c>
      <c r="DJ135" s="627">
        <f t="shared" si="1196"/>
        <v>0.93943969932205551</v>
      </c>
      <c r="DK135" s="627">
        <f t="shared" si="1196"/>
        <v>0.91870707335758661</v>
      </c>
      <c r="DL135" s="627">
        <f t="shared" si="1196"/>
        <v>0.89094697441649884</v>
      </c>
      <c r="DM135" s="627">
        <f t="shared" si="1196"/>
        <v>0.85708483974679028</v>
      </c>
      <c r="DN135" s="627">
        <f t="shared" si="1196"/>
        <v>0.8189916051826559</v>
      </c>
      <c r="DO135" s="627">
        <f t="shared" si="1196"/>
        <v>0.77890794077229542</v>
      </c>
      <c r="DP135" s="627">
        <f t="shared" si="1196"/>
        <v>0.73883394200526142</v>
      </c>
      <c r="DQ135" s="627">
        <f t="shared" si="1196"/>
        <v>0.69909353574568223</v>
      </c>
      <c r="DR135" s="627">
        <f t="shared" si="1196"/>
        <v>0.66052892828637377</v>
      </c>
      <c r="DS135" s="627">
        <f t="shared" si="1196"/>
        <v>0.62475623346920006</v>
      </c>
      <c r="DT135" s="627">
        <f t="shared" si="1196"/>
        <v>0.59158447174261597</v>
      </c>
      <c r="DU135" s="627">
        <f t="shared" si="1196"/>
        <v>0.56058700246268789</v>
      </c>
      <c r="DV135" s="627">
        <f t="shared" si="1196"/>
        <v>0.53154535704201644</v>
      </c>
      <c r="DW135" s="627">
        <f t="shared" si="1196"/>
        <v>0.50393437621900439</v>
      </c>
      <c r="DX135" s="627">
        <f t="shared" si="1196"/>
        <v>0.47738801651654084</v>
      </c>
      <c r="DY135" s="627">
        <f t="shared" si="1196"/>
        <v>0.4515659507732484</v>
      </c>
      <c r="DZ135" s="627">
        <f t="shared" si="1196"/>
        <v>0.42615146601648318</v>
      </c>
      <c r="EK135" s="627"/>
      <c r="EL135" s="627"/>
      <c r="EM135" s="627"/>
      <c r="EN135" s="627"/>
      <c r="EO135" s="627"/>
      <c r="EP135" s="627"/>
      <c r="EQ135" s="627"/>
      <c r="ER135" s="627"/>
      <c r="ES135" s="627"/>
      <c r="ET135" s="627"/>
      <c r="EU135" s="627"/>
      <c r="EV135" s="627"/>
      <c r="EW135" s="627"/>
      <c r="EX135" s="627"/>
      <c r="EY135" s="627"/>
      <c r="EZ135" s="627"/>
      <c r="FA135" s="627"/>
      <c r="FB135" s="627"/>
      <c r="FC135" s="627"/>
      <c r="FD135" s="627"/>
      <c r="FE135" s="627"/>
      <c r="FF135" s="627"/>
      <c r="FG135" s="627"/>
      <c r="FH135" s="627"/>
      <c r="FI135" s="627"/>
    </row>
    <row r="136" spans="1:165" s="1" customFormat="1" x14ac:dyDescent="0.2">
      <c r="A136" s="162"/>
      <c r="C136" s="65"/>
      <c r="D136" s="443"/>
      <c r="E136" s="443"/>
      <c r="F136" s="443"/>
      <c r="G136" s="443"/>
      <c r="H136" s="443"/>
      <c r="I136" s="443"/>
      <c r="J136" s="443"/>
      <c r="K136" s="443"/>
      <c r="L136" s="443"/>
      <c r="M136" s="443"/>
      <c r="N136" s="443"/>
      <c r="O136" s="443"/>
      <c r="P136" s="443"/>
      <c r="Q136" s="443"/>
      <c r="R136" s="443"/>
      <c r="S136" s="443"/>
      <c r="T136" s="443"/>
      <c r="U136" s="443"/>
      <c r="V136" s="443"/>
      <c r="W136" s="443"/>
      <c r="X136" s="443"/>
      <c r="Y136" s="443"/>
      <c r="Z136" s="443"/>
      <c r="AA136" s="443"/>
      <c r="AB136" s="443"/>
      <c r="AC136" s="443"/>
      <c r="AD136" s="443"/>
      <c r="AE136" s="443"/>
      <c r="AF136" s="443"/>
      <c r="AG136" s="443"/>
      <c r="AH136" s="443"/>
      <c r="AI136" s="66"/>
      <c r="AJ136" s="443"/>
      <c r="AK136" s="443"/>
      <c r="AL136" s="443"/>
      <c r="AM136" s="443"/>
      <c r="AN136" s="443"/>
      <c r="AO136" s="443"/>
      <c r="AP136" s="443"/>
      <c r="AQ136" s="443"/>
      <c r="AR136" s="443"/>
      <c r="AS136" s="443"/>
      <c r="AT136" s="443"/>
      <c r="AU136" s="443"/>
      <c r="AV136" s="443"/>
      <c r="AW136" s="443"/>
      <c r="AX136" s="443"/>
      <c r="AY136" s="443"/>
      <c r="AZ136" s="443"/>
      <c r="BA136" s="443"/>
      <c r="BB136" s="443"/>
      <c r="BC136" s="443"/>
      <c r="BD136" s="443"/>
      <c r="BE136" s="443"/>
      <c r="BF136" s="443"/>
      <c r="BG136" s="443"/>
      <c r="BH136" s="443"/>
      <c r="BI136" s="443"/>
      <c r="BJ136" s="443"/>
      <c r="BK136" s="443"/>
      <c r="BL136" s="443"/>
      <c r="BM136" s="443"/>
      <c r="BN136" s="443"/>
      <c r="BP136" s="443"/>
      <c r="BQ136" s="443"/>
      <c r="BR136" s="443"/>
      <c r="BS136" s="443"/>
      <c r="BT136" s="443"/>
      <c r="BU136" s="443"/>
      <c r="BV136" s="443"/>
      <c r="BW136" s="443"/>
      <c r="BX136" s="443"/>
      <c r="BY136" s="443"/>
      <c r="BZ136" s="443"/>
      <c r="CA136" s="443"/>
      <c r="CB136" s="443"/>
      <c r="CC136" s="443"/>
      <c r="CD136" s="443"/>
      <c r="CE136" s="443"/>
      <c r="CF136" s="443"/>
      <c r="CG136" s="443"/>
      <c r="CH136" s="443"/>
      <c r="CI136" s="443"/>
      <c r="CJ136" s="443"/>
      <c r="CK136" s="443"/>
      <c r="CL136" s="443"/>
      <c r="CM136" s="443"/>
      <c r="CN136" s="443"/>
      <c r="CO136" s="443"/>
      <c r="CP136" s="443"/>
      <c r="CQ136" s="443"/>
      <c r="CR136" s="443"/>
      <c r="CS136" s="443"/>
      <c r="CT136" s="443"/>
      <c r="CV136" s="443"/>
      <c r="CW136" s="443"/>
      <c r="CX136" s="443"/>
      <c r="CY136" s="443"/>
      <c r="CZ136" s="443"/>
      <c r="DA136" s="443"/>
      <c r="DB136" s="443"/>
      <c r="DC136" s="443"/>
      <c r="DD136" s="443"/>
      <c r="DE136" s="443"/>
      <c r="DF136" s="443"/>
      <c r="DG136" s="443"/>
      <c r="DH136" s="443"/>
      <c r="DI136" s="443"/>
      <c r="DJ136" s="443"/>
      <c r="DK136" s="443"/>
      <c r="DL136" s="443"/>
      <c r="DM136" s="443"/>
      <c r="DN136" s="443"/>
      <c r="DO136" s="443"/>
      <c r="DP136" s="443"/>
      <c r="DQ136" s="443"/>
      <c r="DR136" s="443"/>
      <c r="DS136" s="443"/>
      <c r="DT136" s="443"/>
      <c r="DU136" s="443"/>
      <c r="DV136" s="443"/>
      <c r="DW136" s="443"/>
      <c r="DX136" s="443"/>
      <c r="DY136" s="443"/>
      <c r="DZ136" s="443"/>
      <c r="EK136" s="443"/>
      <c r="EL136" s="443"/>
      <c r="EM136" s="443"/>
      <c r="EN136" s="443"/>
      <c r="EO136" s="443"/>
      <c r="EP136" s="443"/>
      <c r="EQ136" s="443"/>
      <c r="ER136" s="443"/>
      <c r="ES136" s="443"/>
      <c r="ET136" s="443"/>
      <c r="EU136" s="443"/>
      <c r="EV136" s="443"/>
      <c r="EW136" s="443"/>
      <c r="EX136" s="443"/>
      <c r="EY136" s="443"/>
      <c r="EZ136" s="443"/>
      <c r="FA136" s="443"/>
      <c r="FB136" s="443"/>
      <c r="FC136" s="443"/>
      <c r="FD136" s="443"/>
      <c r="FE136" s="443"/>
      <c r="FF136" s="443"/>
      <c r="FG136" s="443"/>
      <c r="FH136" s="443"/>
      <c r="FI136" s="443"/>
    </row>
    <row r="137" spans="1:165" s="69" customFormat="1" ht="16" thickBot="1" x14ac:dyDescent="0.25">
      <c r="A137" s="621" t="s">
        <v>9</v>
      </c>
      <c r="C137" s="70"/>
      <c r="D137" s="71"/>
      <c r="E137" s="71"/>
      <c r="F137" s="71"/>
      <c r="G137" s="71"/>
      <c r="H137" s="71"/>
      <c r="I137" s="71"/>
      <c r="J137" s="71"/>
      <c r="K137" s="71"/>
      <c r="L137" s="71"/>
      <c r="M137" s="71"/>
      <c r="N137" s="71"/>
      <c r="O137" s="71"/>
      <c r="P137" s="71"/>
      <c r="Q137" s="71"/>
      <c r="R137" s="71"/>
      <c r="S137" s="71"/>
      <c r="T137" s="71"/>
      <c r="U137" s="71"/>
      <c r="V137" s="71"/>
      <c r="W137" s="71"/>
      <c r="X137" s="71"/>
      <c r="Y137" s="71"/>
      <c r="Z137" s="71"/>
      <c r="AA137" s="71"/>
      <c r="AB137" s="71"/>
      <c r="AC137" s="71"/>
      <c r="AD137" s="71"/>
      <c r="AE137" s="71"/>
      <c r="AF137" s="71"/>
      <c r="AG137" s="71"/>
      <c r="AH137" s="71"/>
      <c r="AI137" s="71"/>
      <c r="AJ137" s="71"/>
      <c r="AK137" s="71"/>
      <c r="AL137" s="71"/>
      <c r="AM137" s="71"/>
      <c r="AN137" s="71"/>
      <c r="AO137" s="71"/>
      <c r="AP137" s="71"/>
      <c r="AQ137" s="71"/>
      <c r="AR137" s="71"/>
      <c r="AS137" s="71"/>
      <c r="AT137" s="71"/>
      <c r="AU137" s="71"/>
      <c r="AV137" s="71"/>
      <c r="AW137" s="71"/>
      <c r="AX137" s="71"/>
      <c r="AY137" s="71"/>
      <c r="AZ137" s="71"/>
      <c r="BA137" s="71"/>
      <c r="BB137" s="71"/>
      <c r="BC137" s="71"/>
      <c r="BD137" s="71"/>
      <c r="BE137" s="71"/>
      <c r="BF137" s="71"/>
      <c r="BG137" s="71"/>
      <c r="BH137" s="71"/>
      <c r="BI137" s="71"/>
      <c r="BJ137" s="71"/>
      <c r="BK137" s="71"/>
      <c r="BL137" s="71"/>
      <c r="BM137" s="71"/>
      <c r="BN137" s="71"/>
      <c r="BP137" s="71"/>
      <c r="BQ137" s="71"/>
      <c r="BR137" s="71"/>
      <c r="BS137" s="71"/>
      <c r="BT137" s="71"/>
      <c r="BU137" s="71"/>
      <c r="BV137" s="71"/>
      <c r="BW137" s="71"/>
      <c r="BX137" s="71"/>
      <c r="BY137" s="71"/>
      <c r="BZ137" s="71"/>
      <c r="CA137" s="71"/>
      <c r="CB137" s="71"/>
      <c r="CC137" s="71"/>
      <c r="CD137" s="71"/>
      <c r="CE137" s="71"/>
      <c r="CF137" s="71"/>
      <c r="CG137" s="71"/>
      <c r="CH137" s="71"/>
      <c r="CI137" s="71"/>
      <c r="CJ137" s="71"/>
      <c r="CK137" s="71"/>
      <c r="CL137" s="71"/>
      <c r="CM137" s="71"/>
      <c r="CN137" s="71"/>
      <c r="CO137" s="71"/>
      <c r="CP137" s="71"/>
      <c r="CQ137" s="71"/>
      <c r="CR137" s="71"/>
      <c r="CS137" s="71"/>
      <c r="CT137" s="71"/>
      <c r="CV137" s="71"/>
      <c r="CW137" s="71"/>
      <c r="CX137" s="71"/>
      <c r="CY137" s="71"/>
      <c r="CZ137" s="71"/>
      <c r="DA137" s="71"/>
      <c r="DB137" s="71"/>
      <c r="DC137" s="71"/>
      <c r="DD137" s="71"/>
      <c r="DE137" s="71"/>
      <c r="DF137" s="71"/>
      <c r="DG137" s="71"/>
      <c r="DH137" s="71"/>
      <c r="DI137" s="71"/>
      <c r="DJ137" s="71"/>
      <c r="DK137" s="71"/>
      <c r="DL137" s="71"/>
      <c r="DM137" s="71"/>
      <c r="DN137" s="71"/>
      <c r="DO137" s="71"/>
      <c r="DP137" s="71"/>
      <c r="DQ137" s="71"/>
      <c r="DR137" s="71"/>
      <c r="DS137" s="71"/>
      <c r="DT137" s="71"/>
      <c r="DU137" s="71"/>
      <c r="DV137" s="71"/>
      <c r="DW137" s="71"/>
      <c r="DX137" s="71"/>
      <c r="DY137" s="71"/>
      <c r="DZ137" s="71"/>
      <c r="EK137" s="622"/>
      <c r="EL137" s="622"/>
      <c r="EM137" s="622"/>
      <c r="EN137" s="622"/>
      <c r="EO137" s="622"/>
      <c r="EP137" s="622"/>
      <c r="EQ137" s="622"/>
      <c r="ER137" s="622"/>
      <c r="ES137" s="622"/>
      <c r="ET137" s="622"/>
      <c r="EU137" s="622"/>
      <c r="EV137" s="622"/>
      <c r="EW137" s="622"/>
      <c r="EX137" s="622"/>
      <c r="EY137" s="622"/>
      <c r="EZ137" s="622"/>
      <c r="FA137" s="622"/>
      <c r="FB137" s="622"/>
      <c r="FC137" s="622"/>
      <c r="FD137" s="622"/>
      <c r="FE137" s="622"/>
      <c r="FF137" s="622"/>
      <c r="FG137" s="622"/>
      <c r="FH137" s="622"/>
      <c r="FI137" s="622"/>
    </row>
    <row r="138" spans="1:165" s="624" customFormat="1" ht="16" thickBot="1" x14ac:dyDescent="0.25">
      <c r="A138" s="623" t="s">
        <v>108</v>
      </c>
      <c r="C138" s="625"/>
      <c r="D138" s="628">
        <v>2020</v>
      </c>
      <c r="E138" s="628">
        <v>2021</v>
      </c>
      <c r="F138" s="628">
        <v>2022</v>
      </c>
      <c r="G138" s="628">
        <v>2023</v>
      </c>
      <c r="H138" s="628">
        <v>2024</v>
      </c>
      <c r="I138" s="628">
        <v>2025</v>
      </c>
      <c r="J138" s="628">
        <v>2026</v>
      </c>
      <c r="K138" s="628">
        <v>2027</v>
      </c>
      <c r="L138" s="628">
        <v>2028</v>
      </c>
      <c r="M138" s="628">
        <v>2029</v>
      </c>
      <c r="N138" s="628">
        <v>2030</v>
      </c>
      <c r="O138" s="628">
        <v>2031</v>
      </c>
      <c r="P138" s="628">
        <v>2032</v>
      </c>
      <c r="Q138" s="628">
        <v>2033</v>
      </c>
      <c r="R138" s="628">
        <v>2034</v>
      </c>
      <c r="S138" s="628">
        <v>2035</v>
      </c>
      <c r="T138" s="628">
        <v>2036</v>
      </c>
      <c r="U138" s="628">
        <v>2037</v>
      </c>
      <c r="V138" s="628">
        <v>2038</v>
      </c>
      <c r="W138" s="628">
        <v>2039</v>
      </c>
      <c r="X138" s="628">
        <v>2040</v>
      </c>
      <c r="Y138" s="628">
        <v>2041</v>
      </c>
      <c r="Z138" s="628">
        <v>2042</v>
      </c>
      <c r="AA138" s="628">
        <v>2043</v>
      </c>
      <c r="AB138" s="628">
        <v>2044</v>
      </c>
      <c r="AC138" s="628">
        <v>2045</v>
      </c>
      <c r="AD138" s="628">
        <v>2046</v>
      </c>
      <c r="AE138" s="628">
        <v>2047</v>
      </c>
      <c r="AF138" s="628">
        <v>2048</v>
      </c>
      <c r="AG138" s="628">
        <v>2049</v>
      </c>
      <c r="AH138" s="628">
        <v>2050</v>
      </c>
      <c r="AI138" s="626"/>
      <c r="AJ138" s="628">
        <v>2020</v>
      </c>
      <c r="AK138" s="628">
        <v>2021</v>
      </c>
      <c r="AL138" s="628">
        <v>2022</v>
      </c>
      <c r="AM138" s="628">
        <v>2023</v>
      </c>
      <c r="AN138" s="628">
        <v>2024</v>
      </c>
      <c r="AO138" s="628">
        <v>2025</v>
      </c>
      <c r="AP138" s="628">
        <v>2026</v>
      </c>
      <c r="AQ138" s="628">
        <v>2027</v>
      </c>
      <c r="AR138" s="628">
        <v>2028</v>
      </c>
      <c r="AS138" s="628">
        <v>2029</v>
      </c>
      <c r="AT138" s="628">
        <v>2030</v>
      </c>
      <c r="AU138" s="628">
        <v>2031</v>
      </c>
      <c r="AV138" s="628">
        <v>2032</v>
      </c>
      <c r="AW138" s="628">
        <v>2033</v>
      </c>
      <c r="AX138" s="628">
        <v>2034</v>
      </c>
      <c r="AY138" s="628">
        <v>2035</v>
      </c>
      <c r="AZ138" s="628">
        <v>2036</v>
      </c>
      <c r="BA138" s="628">
        <v>2037</v>
      </c>
      <c r="BB138" s="628">
        <v>2038</v>
      </c>
      <c r="BC138" s="628">
        <v>2039</v>
      </c>
      <c r="BD138" s="628">
        <v>2040</v>
      </c>
      <c r="BE138" s="628">
        <v>2041</v>
      </c>
      <c r="BF138" s="628">
        <v>2042</v>
      </c>
      <c r="BG138" s="628">
        <v>2043</v>
      </c>
      <c r="BH138" s="628">
        <v>2044</v>
      </c>
      <c r="BI138" s="628">
        <v>2045</v>
      </c>
      <c r="BJ138" s="628">
        <v>2046</v>
      </c>
      <c r="BK138" s="628">
        <v>2047</v>
      </c>
      <c r="BL138" s="628">
        <v>2048</v>
      </c>
      <c r="BM138" s="628">
        <v>2049</v>
      </c>
      <c r="BN138" s="628">
        <v>2050</v>
      </c>
      <c r="BP138" s="628">
        <v>2020</v>
      </c>
      <c r="BQ138" s="628">
        <v>2021</v>
      </c>
      <c r="BR138" s="628">
        <v>2022</v>
      </c>
      <c r="BS138" s="628">
        <v>2023</v>
      </c>
      <c r="BT138" s="628">
        <v>2024</v>
      </c>
      <c r="BU138" s="628">
        <v>2025</v>
      </c>
      <c r="BV138" s="628">
        <v>2026</v>
      </c>
      <c r="BW138" s="628">
        <v>2027</v>
      </c>
      <c r="BX138" s="628">
        <v>2028</v>
      </c>
      <c r="BY138" s="628">
        <v>2029</v>
      </c>
      <c r="BZ138" s="628">
        <v>2030</v>
      </c>
      <c r="CA138" s="628">
        <v>2031</v>
      </c>
      <c r="CB138" s="628">
        <v>2032</v>
      </c>
      <c r="CC138" s="628">
        <v>2033</v>
      </c>
      <c r="CD138" s="628">
        <v>2034</v>
      </c>
      <c r="CE138" s="628">
        <v>2035</v>
      </c>
      <c r="CF138" s="628">
        <v>2036</v>
      </c>
      <c r="CG138" s="628">
        <v>2037</v>
      </c>
      <c r="CH138" s="628">
        <v>2038</v>
      </c>
      <c r="CI138" s="628">
        <v>2039</v>
      </c>
      <c r="CJ138" s="628">
        <v>2040</v>
      </c>
      <c r="CK138" s="628">
        <v>2041</v>
      </c>
      <c r="CL138" s="628">
        <v>2042</v>
      </c>
      <c r="CM138" s="628">
        <v>2043</v>
      </c>
      <c r="CN138" s="628">
        <v>2044</v>
      </c>
      <c r="CO138" s="628">
        <v>2045</v>
      </c>
      <c r="CP138" s="628">
        <v>2046</v>
      </c>
      <c r="CQ138" s="628">
        <v>2047</v>
      </c>
      <c r="CR138" s="628">
        <v>2048</v>
      </c>
      <c r="CS138" s="628">
        <v>2049</v>
      </c>
      <c r="CT138" s="628">
        <v>2050</v>
      </c>
      <c r="CV138" s="628">
        <v>2020</v>
      </c>
      <c r="CW138" s="628">
        <v>2021</v>
      </c>
      <c r="CX138" s="628">
        <v>2022</v>
      </c>
      <c r="CY138" s="628">
        <v>2023</v>
      </c>
      <c r="CZ138" s="628">
        <v>2024</v>
      </c>
      <c r="DA138" s="628">
        <v>2025</v>
      </c>
      <c r="DB138" s="628">
        <v>2026</v>
      </c>
      <c r="DC138" s="628">
        <v>2027</v>
      </c>
      <c r="DD138" s="628">
        <v>2028</v>
      </c>
      <c r="DE138" s="628">
        <v>2029</v>
      </c>
      <c r="DF138" s="628">
        <v>2030</v>
      </c>
      <c r="DG138" s="628">
        <v>2031</v>
      </c>
      <c r="DH138" s="628">
        <v>2032</v>
      </c>
      <c r="DI138" s="628">
        <v>2033</v>
      </c>
      <c r="DJ138" s="628">
        <v>2034</v>
      </c>
      <c r="DK138" s="628">
        <v>2035</v>
      </c>
      <c r="DL138" s="628">
        <v>2036</v>
      </c>
      <c r="DM138" s="628">
        <v>2037</v>
      </c>
      <c r="DN138" s="628">
        <v>2038</v>
      </c>
      <c r="DO138" s="628">
        <v>2039</v>
      </c>
      <c r="DP138" s="628">
        <v>2040</v>
      </c>
      <c r="DQ138" s="628">
        <v>2041</v>
      </c>
      <c r="DR138" s="628">
        <v>2042</v>
      </c>
      <c r="DS138" s="628">
        <v>2043</v>
      </c>
      <c r="DT138" s="628">
        <v>2044</v>
      </c>
      <c r="DU138" s="628">
        <v>2045</v>
      </c>
      <c r="DV138" s="628">
        <v>2046</v>
      </c>
      <c r="DW138" s="628">
        <v>2047</v>
      </c>
      <c r="DX138" s="628">
        <v>2048</v>
      </c>
      <c r="DY138" s="628">
        <v>2049</v>
      </c>
      <c r="DZ138" s="628">
        <v>2050</v>
      </c>
      <c r="EK138" s="627"/>
      <c r="EL138" s="627"/>
      <c r="EM138" s="627"/>
      <c r="EN138" s="627"/>
      <c r="EO138" s="627"/>
      <c r="EP138" s="627"/>
      <c r="EQ138" s="627"/>
      <c r="ER138" s="627"/>
      <c r="ES138" s="627"/>
      <c r="ET138" s="627"/>
      <c r="EU138" s="627"/>
      <c r="EV138" s="627"/>
      <c r="EW138" s="627"/>
      <c r="EX138" s="627"/>
      <c r="EY138" s="627"/>
      <c r="EZ138" s="627"/>
      <c r="FA138" s="627"/>
      <c r="FB138" s="627"/>
      <c r="FC138" s="627"/>
      <c r="FD138" s="627"/>
      <c r="FE138" s="627"/>
      <c r="FF138" s="627"/>
      <c r="FG138" s="627"/>
      <c r="FH138" s="627"/>
      <c r="FI138" s="627"/>
    </row>
    <row r="139" spans="1:165" x14ac:dyDescent="0.2">
      <c r="A139" s="606" t="s">
        <v>193</v>
      </c>
      <c r="C139" s="54" t="s">
        <v>458</v>
      </c>
      <c r="D139" s="43">
        <f>$B$186</f>
        <v>0.48</v>
      </c>
      <c r="E139" s="43">
        <f>D139-($D139-$AH139)/30</f>
        <v>0.46399999999999997</v>
      </c>
      <c r="F139" s="43">
        <f t="shared" ref="F139:AG139" si="1197">E139-($D139-$AH139)/30</f>
        <v>0.44799999999999995</v>
      </c>
      <c r="G139" s="43">
        <f t="shared" si="1197"/>
        <v>0.43199999999999994</v>
      </c>
      <c r="H139" s="43">
        <f t="shared" si="1197"/>
        <v>0.41599999999999993</v>
      </c>
      <c r="I139" s="43">
        <f t="shared" si="1197"/>
        <v>0.39999999999999991</v>
      </c>
      <c r="J139" s="43">
        <f t="shared" si="1197"/>
        <v>0.3839999999999999</v>
      </c>
      <c r="K139" s="43">
        <f t="shared" si="1197"/>
        <v>0.36799999999999988</v>
      </c>
      <c r="L139" s="43">
        <f t="shared" si="1197"/>
        <v>0.35199999999999987</v>
      </c>
      <c r="M139" s="43">
        <f t="shared" si="1197"/>
        <v>0.33599999999999985</v>
      </c>
      <c r="N139" s="43">
        <f t="shared" si="1197"/>
        <v>0.31999999999999984</v>
      </c>
      <c r="O139" s="43">
        <f t="shared" si="1197"/>
        <v>0.30399999999999983</v>
      </c>
      <c r="P139" s="43">
        <f t="shared" si="1197"/>
        <v>0.28799999999999981</v>
      </c>
      <c r="Q139" s="43">
        <f t="shared" si="1197"/>
        <v>0.2719999999999998</v>
      </c>
      <c r="R139" s="43">
        <f t="shared" si="1197"/>
        <v>0.25599999999999978</v>
      </c>
      <c r="S139" s="43">
        <f t="shared" si="1197"/>
        <v>0.23999999999999977</v>
      </c>
      <c r="T139" s="43">
        <f t="shared" si="1197"/>
        <v>0.22399999999999975</v>
      </c>
      <c r="U139" s="43">
        <f t="shared" si="1197"/>
        <v>0.20799999999999974</v>
      </c>
      <c r="V139" s="43">
        <f t="shared" si="1197"/>
        <v>0.19199999999999973</v>
      </c>
      <c r="W139" s="43">
        <f t="shared" si="1197"/>
        <v>0.17599999999999971</v>
      </c>
      <c r="X139" s="43">
        <f t="shared" si="1197"/>
        <v>0.1599999999999997</v>
      </c>
      <c r="Y139" s="43">
        <f t="shared" si="1197"/>
        <v>0.14399999999999968</v>
      </c>
      <c r="Z139" s="43">
        <f t="shared" si="1197"/>
        <v>0.12799999999999967</v>
      </c>
      <c r="AA139" s="43">
        <f t="shared" si="1197"/>
        <v>0.11199999999999967</v>
      </c>
      <c r="AB139" s="43">
        <f t="shared" si="1197"/>
        <v>9.5999999999999669E-2</v>
      </c>
      <c r="AC139" s="43">
        <f t="shared" si="1197"/>
        <v>7.9999999999999669E-2</v>
      </c>
      <c r="AD139" s="43">
        <f t="shared" si="1197"/>
        <v>6.3999999999999668E-2</v>
      </c>
      <c r="AE139" s="43">
        <f t="shared" si="1197"/>
        <v>4.7999999999999668E-2</v>
      </c>
      <c r="AF139" s="43">
        <f t="shared" si="1197"/>
        <v>3.1999999999999668E-2</v>
      </c>
      <c r="AG139" s="43">
        <f t="shared" si="1197"/>
        <v>1.5999999999999667E-2</v>
      </c>
      <c r="AH139" s="43">
        <f>$C$186</f>
        <v>0</v>
      </c>
      <c r="AI139" s="44"/>
      <c r="AJ139" s="43">
        <f>D139</f>
        <v>0.48</v>
      </c>
      <c r="AK139" s="43">
        <f t="shared" ref="AK139:AK147" si="1198">E139</f>
        <v>0.46399999999999997</v>
      </c>
      <c r="AL139" s="43">
        <f t="shared" ref="AL139:AL147" si="1199">F139</f>
        <v>0.44799999999999995</v>
      </c>
      <c r="AM139" s="43">
        <f t="shared" ref="AM139:AM147" si="1200">G139</f>
        <v>0.43199999999999994</v>
      </c>
      <c r="AN139" s="43">
        <f t="shared" ref="AN139:AN147" si="1201">H139</f>
        <v>0.41599999999999993</v>
      </c>
      <c r="AO139" s="43">
        <f t="shared" ref="AO139:AO147" si="1202">I139</f>
        <v>0.39999999999999991</v>
      </c>
      <c r="AP139" s="43">
        <f t="shared" ref="AP139:AP147" si="1203">J139</f>
        <v>0.3839999999999999</v>
      </c>
      <c r="AQ139" s="43">
        <f t="shared" ref="AQ139:AQ147" si="1204">K139</f>
        <v>0.36799999999999988</v>
      </c>
      <c r="AR139" s="43">
        <f t="shared" ref="AR139:AR147" si="1205">L139</f>
        <v>0.35199999999999987</v>
      </c>
      <c r="AS139" s="43">
        <f t="shared" ref="AS139:AS147" si="1206">M139</f>
        <v>0.33599999999999985</v>
      </c>
      <c r="AT139" s="43">
        <f t="shared" ref="AT139:AT147" si="1207">N139</f>
        <v>0.31999999999999984</v>
      </c>
      <c r="AU139" s="43">
        <f t="shared" ref="AU139:AU147" si="1208">O139</f>
        <v>0.30399999999999983</v>
      </c>
      <c r="AV139" s="43">
        <f t="shared" ref="AV139:AV147" si="1209">P139</f>
        <v>0.28799999999999981</v>
      </c>
      <c r="AW139" s="43">
        <f t="shared" ref="AW139:AW147" si="1210">Q139</f>
        <v>0.2719999999999998</v>
      </c>
      <c r="AX139" s="43">
        <f t="shared" ref="AX139:AX147" si="1211">R139</f>
        <v>0.25599999999999978</v>
      </c>
      <c r="AY139" s="43">
        <f t="shared" ref="AY139:AY147" si="1212">S139</f>
        <v>0.23999999999999977</v>
      </c>
      <c r="AZ139" s="43">
        <f t="shared" ref="AZ139:AZ147" si="1213">T139</f>
        <v>0.22399999999999975</v>
      </c>
      <c r="BA139" s="43">
        <f t="shared" ref="BA139:BA147" si="1214">U139</f>
        <v>0.20799999999999974</v>
      </c>
      <c r="BB139" s="43">
        <f t="shared" ref="BB139:BB147" si="1215">V139</f>
        <v>0.19199999999999973</v>
      </c>
      <c r="BC139" s="43">
        <f t="shared" ref="BC139:BC147" si="1216">W139</f>
        <v>0.17599999999999971</v>
      </c>
      <c r="BD139" s="43">
        <f t="shared" ref="BD139:BD147" si="1217">X139</f>
        <v>0.1599999999999997</v>
      </c>
      <c r="BE139" s="43">
        <f t="shared" ref="BE139:BE147" si="1218">Y139</f>
        <v>0.14399999999999968</v>
      </c>
      <c r="BF139" s="43">
        <f t="shared" ref="BF139:BF147" si="1219">Z139</f>
        <v>0.12799999999999967</v>
      </c>
      <c r="BG139" s="43">
        <f t="shared" ref="BG139:BG147" si="1220">AA139</f>
        <v>0.11199999999999967</v>
      </c>
      <c r="BH139" s="43">
        <f t="shared" ref="BH139:BH147" si="1221">AB139</f>
        <v>9.5999999999999669E-2</v>
      </c>
      <c r="BI139" s="43">
        <f t="shared" ref="BI139:BI147" si="1222">AC139</f>
        <v>7.9999999999999669E-2</v>
      </c>
      <c r="BJ139" s="43">
        <f t="shared" ref="BJ139:BJ147" si="1223">AD139</f>
        <v>6.3999999999999668E-2</v>
      </c>
      <c r="BK139" s="43">
        <f t="shared" ref="BK139:BK147" si="1224">AE139</f>
        <v>4.7999999999999668E-2</v>
      </c>
      <c r="BL139" s="43">
        <f t="shared" ref="BL139:BL147" si="1225">AF139</f>
        <v>3.1999999999999668E-2</v>
      </c>
      <c r="BM139" s="43">
        <f t="shared" ref="BM139:BM147" si="1226">AG139</f>
        <v>1.5999999999999667E-2</v>
      </c>
      <c r="BN139" s="43">
        <f t="shared" ref="BN139:BN147" si="1227">AH139</f>
        <v>0</v>
      </c>
      <c r="BP139" s="43">
        <f>D139</f>
        <v>0.48</v>
      </c>
      <c r="BQ139" s="43">
        <f>BP139-($BP139-$CT139)/30</f>
        <v>0.48</v>
      </c>
      <c r="BR139" s="43">
        <f t="shared" ref="BR139:CS139" si="1228">BQ139-($BP139-$CT139)/30</f>
        <v>0.48</v>
      </c>
      <c r="BS139" s="43">
        <f t="shared" si="1228"/>
        <v>0.48</v>
      </c>
      <c r="BT139" s="43">
        <f t="shared" si="1228"/>
        <v>0.48</v>
      </c>
      <c r="BU139" s="43">
        <f t="shared" si="1228"/>
        <v>0.48</v>
      </c>
      <c r="BV139" s="43">
        <f t="shared" si="1228"/>
        <v>0.48</v>
      </c>
      <c r="BW139" s="43">
        <f t="shared" si="1228"/>
        <v>0.48</v>
      </c>
      <c r="BX139" s="43">
        <f t="shared" si="1228"/>
        <v>0.48</v>
      </c>
      <c r="BY139" s="43">
        <f t="shared" si="1228"/>
        <v>0.48</v>
      </c>
      <c r="BZ139" s="43">
        <f t="shared" si="1228"/>
        <v>0.48</v>
      </c>
      <c r="CA139" s="43">
        <f t="shared" si="1228"/>
        <v>0.48</v>
      </c>
      <c r="CB139" s="43">
        <f t="shared" si="1228"/>
        <v>0.48</v>
      </c>
      <c r="CC139" s="43">
        <f t="shared" si="1228"/>
        <v>0.48</v>
      </c>
      <c r="CD139" s="43">
        <f t="shared" si="1228"/>
        <v>0.48</v>
      </c>
      <c r="CE139" s="43">
        <f t="shared" si="1228"/>
        <v>0.48</v>
      </c>
      <c r="CF139" s="43">
        <f t="shared" si="1228"/>
        <v>0.48</v>
      </c>
      <c r="CG139" s="43">
        <f t="shared" si="1228"/>
        <v>0.48</v>
      </c>
      <c r="CH139" s="43">
        <f t="shared" si="1228"/>
        <v>0.48</v>
      </c>
      <c r="CI139" s="43">
        <f t="shared" si="1228"/>
        <v>0.48</v>
      </c>
      <c r="CJ139" s="43">
        <f t="shared" si="1228"/>
        <v>0.48</v>
      </c>
      <c r="CK139" s="43">
        <f t="shared" si="1228"/>
        <v>0.48</v>
      </c>
      <c r="CL139" s="43">
        <f t="shared" si="1228"/>
        <v>0.48</v>
      </c>
      <c r="CM139" s="43">
        <f t="shared" si="1228"/>
        <v>0.48</v>
      </c>
      <c r="CN139" s="43">
        <f t="shared" si="1228"/>
        <v>0.48</v>
      </c>
      <c r="CO139" s="43">
        <f t="shared" si="1228"/>
        <v>0.48</v>
      </c>
      <c r="CP139" s="43">
        <f t="shared" si="1228"/>
        <v>0.48</v>
      </c>
      <c r="CQ139" s="43">
        <f t="shared" si="1228"/>
        <v>0.48</v>
      </c>
      <c r="CR139" s="43">
        <f t="shared" si="1228"/>
        <v>0.48</v>
      </c>
      <c r="CS139" s="43">
        <f t="shared" si="1228"/>
        <v>0.48</v>
      </c>
      <c r="CT139" s="43">
        <f>BP139</f>
        <v>0.48</v>
      </c>
      <c r="CV139" s="43">
        <f>AJ139</f>
        <v>0.48</v>
      </c>
      <c r="CW139" s="43">
        <f t="shared" ref="CW139:CW143" si="1229">AK139</f>
        <v>0.46399999999999997</v>
      </c>
      <c r="CX139" s="43">
        <f t="shared" ref="CX139:CX143" si="1230">AL139</f>
        <v>0.44799999999999995</v>
      </c>
      <c r="CY139" s="43">
        <f t="shared" ref="CY139:CY143" si="1231">AM139</f>
        <v>0.43199999999999994</v>
      </c>
      <c r="CZ139" s="43">
        <f t="shared" ref="CZ139:CZ143" si="1232">AN139</f>
        <v>0.41599999999999993</v>
      </c>
      <c r="DA139" s="43">
        <f t="shared" ref="DA139:DA143" si="1233">AO139</f>
        <v>0.39999999999999991</v>
      </c>
      <c r="DB139" s="43">
        <f t="shared" ref="DB139:DB143" si="1234">AP139</f>
        <v>0.3839999999999999</v>
      </c>
      <c r="DC139" s="43">
        <f t="shared" ref="DC139:DC143" si="1235">AQ139</f>
        <v>0.36799999999999988</v>
      </c>
      <c r="DD139" s="43">
        <f t="shared" ref="DD139:DD143" si="1236">AR139</f>
        <v>0.35199999999999987</v>
      </c>
      <c r="DE139" s="43">
        <f t="shared" ref="DE139:DE143" si="1237">AS139</f>
        <v>0.33599999999999985</v>
      </c>
      <c r="DF139" s="43">
        <f t="shared" ref="DF139:DF143" si="1238">AT139</f>
        <v>0.31999999999999984</v>
      </c>
      <c r="DG139" s="43">
        <f t="shared" ref="DG139:DG143" si="1239">AU139</f>
        <v>0.30399999999999983</v>
      </c>
      <c r="DH139" s="43">
        <f t="shared" ref="DH139:DH143" si="1240">AV139</f>
        <v>0.28799999999999981</v>
      </c>
      <c r="DI139" s="43">
        <f t="shared" ref="DI139:DI143" si="1241">AW139</f>
        <v>0.2719999999999998</v>
      </c>
      <c r="DJ139" s="43">
        <f t="shared" ref="DJ139:DJ143" si="1242">AX139</f>
        <v>0.25599999999999978</v>
      </c>
      <c r="DK139" s="43">
        <f t="shared" ref="DK139:DK143" si="1243">AY139</f>
        <v>0.23999999999999977</v>
      </c>
      <c r="DL139" s="43">
        <f t="shared" ref="DL139:DL143" si="1244">AZ139</f>
        <v>0.22399999999999975</v>
      </c>
      <c r="DM139" s="43">
        <f t="shared" ref="DM139:DM143" si="1245">BA139</f>
        <v>0.20799999999999974</v>
      </c>
      <c r="DN139" s="43">
        <f t="shared" ref="DN139:DN143" si="1246">BB139</f>
        <v>0.19199999999999973</v>
      </c>
      <c r="DO139" s="43">
        <f t="shared" ref="DO139:DO143" si="1247">BC139</f>
        <v>0.17599999999999971</v>
      </c>
      <c r="DP139" s="43">
        <f t="shared" ref="DP139:DP143" si="1248">BD139</f>
        <v>0.1599999999999997</v>
      </c>
      <c r="DQ139" s="43">
        <f t="shared" ref="DQ139:DQ143" si="1249">BE139</f>
        <v>0.14399999999999968</v>
      </c>
      <c r="DR139" s="43">
        <f t="shared" ref="DR139:DR143" si="1250">BF139</f>
        <v>0.12799999999999967</v>
      </c>
      <c r="DS139" s="43">
        <f t="shared" ref="DS139:DS143" si="1251">BG139</f>
        <v>0.11199999999999967</v>
      </c>
      <c r="DT139" s="43">
        <f t="shared" ref="DT139:DT143" si="1252">BH139</f>
        <v>9.5999999999999669E-2</v>
      </c>
      <c r="DU139" s="43">
        <f t="shared" ref="DU139:DU143" si="1253">BI139</f>
        <v>7.9999999999999669E-2</v>
      </c>
      <c r="DV139" s="43">
        <f t="shared" ref="DV139:DV143" si="1254">BJ139</f>
        <v>6.3999999999999668E-2</v>
      </c>
      <c r="DW139" s="43">
        <f t="shared" ref="DW139:DW143" si="1255">BK139</f>
        <v>4.7999999999999668E-2</v>
      </c>
      <c r="DX139" s="43">
        <f t="shared" ref="DX139:DX143" si="1256">BL139</f>
        <v>3.1999999999999668E-2</v>
      </c>
      <c r="DY139" s="43">
        <f t="shared" ref="DY139:DY143" si="1257">BM139</f>
        <v>1.5999999999999667E-2</v>
      </c>
      <c r="DZ139" s="43">
        <f t="shared" ref="DZ139:DZ143" si="1258">BN139</f>
        <v>0</v>
      </c>
    </row>
    <row r="140" spans="1:165" x14ac:dyDescent="0.2">
      <c r="A140" s="606" t="s">
        <v>88</v>
      </c>
      <c r="C140" s="54" t="s">
        <v>458</v>
      </c>
      <c r="D140" s="43">
        <f>$B$187</f>
        <v>3</v>
      </c>
      <c r="E140" s="43">
        <f t="shared" ref="E140:AG140" si="1259">D140-($D140-$AH140)/30</f>
        <v>2.9</v>
      </c>
      <c r="F140" s="43">
        <f t="shared" si="1259"/>
        <v>2.8</v>
      </c>
      <c r="G140" s="43">
        <f t="shared" si="1259"/>
        <v>2.6999999999999997</v>
      </c>
      <c r="H140" s="43">
        <f t="shared" si="1259"/>
        <v>2.5999999999999996</v>
      </c>
      <c r="I140" s="43">
        <f t="shared" si="1259"/>
        <v>2.4999999999999996</v>
      </c>
      <c r="J140" s="43">
        <f t="shared" si="1259"/>
        <v>2.3999999999999995</v>
      </c>
      <c r="K140" s="43">
        <f t="shared" si="1259"/>
        <v>2.2999999999999994</v>
      </c>
      <c r="L140" s="43">
        <f t="shared" si="1259"/>
        <v>2.1999999999999993</v>
      </c>
      <c r="M140" s="43">
        <f t="shared" si="1259"/>
        <v>2.0999999999999992</v>
      </c>
      <c r="N140" s="43">
        <f t="shared" si="1259"/>
        <v>1.9999999999999991</v>
      </c>
      <c r="O140" s="43">
        <f t="shared" si="1259"/>
        <v>1.899999999999999</v>
      </c>
      <c r="P140" s="43">
        <f t="shared" si="1259"/>
        <v>1.7999999999999989</v>
      </c>
      <c r="Q140" s="43">
        <f t="shared" si="1259"/>
        <v>1.6999999999999988</v>
      </c>
      <c r="R140" s="43">
        <f t="shared" si="1259"/>
        <v>1.5999999999999988</v>
      </c>
      <c r="S140" s="43">
        <f t="shared" si="1259"/>
        <v>1.4999999999999987</v>
      </c>
      <c r="T140" s="43">
        <f t="shared" si="1259"/>
        <v>1.3999999999999986</v>
      </c>
      <c r="U140" s="43">
        <f t="shared" si="1259"/>
        <v>1.2999999999999985</v>
      </c>
      <c r="V140" s="43">
        <f t="shared" si="1259"/>
        <v>1.1999999999999984</v>
      </c>
      <c r="W140" s="43">
        <f t="shared" si="1259"/>
        <v>1.0999999999999983</v>
      </c>
      <c r="X140" s="43">
        <f t="shared" si="1259"/>
        <v>0.99999999999999833</v>
      </c>
      <c r="Y140" s="43">
        <f t="shared" si="1259"/>
        <v>0.89999999999999836</v>
      </c>
      <c r="Z140" s="43">
        <f t="shared" si="1259"/>
        <v>0.79999999999999838</v>
      </c>
      <c r="AA140" s="43">
        <f t="shared" si="1259"/>
        <v>0.6999999999999984</v>
      </c>
      <c r="AB140" s="43">
        <f t="shared" si="1259"/>
        <v>0.59999999999999842</v>
      </c>
      <c r="AC140" s="43">
        <f t="shared" si="1259"/>
        <v>0.49999999999999845</v>
      </c>
      <c r="AD140" s="43">
        <f t="shared" si="1259"/>
        <v>0.39999999999999847</v>
      </c>
      <c r="AE140" s="43">
        <f t="shared" si="1259"/>
        <v>0.29999999999999849</v>
      </c>
      <c r="AF140" s="43">
        <f t="shared" si="1259"/>
        <v>0.19999999999999848</v>
      </c>
      <c r="AG140" s="43">
        <f t="shared" si="1259"/>
        <v>9.9999999999998479E-2</v>
      </c>
      <c r="AH140" s="43">
        <f>$C$187</f>
        <v>0</v>
      </c>
      <c r="AI140" s="44"/>
      <c r="AJ140" s="43">
        <f t="shared" ref="AJ140:AJ147" si="1260">D140</f>
        <v>3</v>
      </c>
      <c r="AK140" s="43">
        <f t="shared" si="1198"/>
        <v>2.9</v>
      </c>
      <c r="AL140" s="43">
        <f t="shared" si="1199"/>
        <v>2.8</v>
      </c>
      <c r="AM140" s="43">
        <f t="shared" si="1200"/>
        <v>2.6999999999999997</v>
      </c>
      <c r="AN140" s="43">
        <f t="shared" si="1201"/>
        <v>2.5999999999999996</v>
      </c>
      <c r="AO140" s="43">
        <f t="shared" si="1202"/>
        <v>2.4999999999999996</v>
      </c>
      <c r="AP140" s="43">
        <f t="shared" si="1203"/>
        <v>2.3999999999999995</v>
      </c>
      <c r="AQ140" s="43">
        <f t="shared" si="1204"/>
        <v>2.2999999999999994</v>
      </c>
      <c r="AR140" s="43">
        <f t="shared" si="1205"/>
        <v>2.1999999999999993</v>
      </c>
      <c r="AS140" s="43">
        <f t="shared" si="1206"/>
        <v>2.0999999999999992</v>
      </c>
      <c r="AT140" s="43">
        <f t="shared" si="1207"/>
        <v>1.9999999999999991</v>
      </c>
      <c r="AU140" s="43">
        <f t="shared" si="1208"/>
        <v>1.899999999999999</v>
      </c>
      <c r="AV140" s="43">
        <f t="shared" si="1209"/>
        <v>1.7999999999999989</v>
      </c>
      <c r="AW140" s="43">
        <f t="shared" si="1210"/>
        <v>1.6999999999999988</v>
      </c>
      <c r="AX140" s="43">
        <f t="shared" si="1211"/>
        <v>1.5999999999999988</v>
      </c>
      <c r="AY140" s="43">
        <f t="shared" si="1212"/>
        <v>1.4999999999999987</v>
      </c>
      <c r="AZ140" s="43">
        <f t="shared" si="1213"/>
        <v>1.3999999999999986</v>
      </c>
      <c r="BA140" s="43">
        <f t="shared" si="1214"/>
        <v>1.2999999999999985</v>
      </c>
      <c r="BB140" s="43">
        <f t="shared" si="1215"/>
        <v>1.1999999999999984</v>
      </c>
      <c r="BC140" s="43">
        <f t="shared" si="1216"/>
        <v>1.0999999999999983</v>
      </c>
      <c r="BD140" s="43">
        <f t="shared" si="1217"/>
        <v>0.99999999999999833</v>
      </c>
      <c r="BE140" s="43">
        <f t="shared" si="1218"/>
        <v>0.89999999999999836</v>
      </c>
      <c r="BF140" s="43">
        <f t="shared" si="1219"/>
        <v>0.79999999999999838</v>
      </c>
      <c r="BG140" s="43">
        <f t="shared" si="1220"/>
        <v>0.6999999999999984</v>
      </c>
      <c r="BH140" s="43">
        <f t="shared" si="1221"/>
        <v>0.59999999999999842</v>
      </c>
      <c r="BI140" s="43">
        <f t="shared" si="1222"/>
        <v>0.49999999999999845</v>
      </c>
      <c r="BJ140" s="43">
        <f t="shared" si="1223"/>
        <v>0.39999999999999847</v>
      </c>
      <c r="BK140" s="43">
        <f t="shared" si="1224"/>
        <v>0.29999999999999849</v>
      </c>
      <c r="BL140" s="43">
        <f t="shared" si="1225"/>
        <v>0.19999999999999848</v>
      </c>
      <c r="BM140" s="43">
        <f t="shared" si="1226"/>
        <v>9.9999999999998479E-2</v>
      </c>
      <c r="BN140" s="43">
        <f t="shared" si="1227"/>
        <v>0</v>
      </c>
      <c r="BP140" s="43">
        <f t="shared" ref="BP140:BP147" si="1261">D140</f>
        <v>3</v>
      </c>
      <c r="BQ140" s="43">
        <f t="shared" ref="BQ140:CS140" si="1262">BP140-($BP140-$CT140)/30</f>
        <v>3</v>
      </c>
      <c r="BR140" s="43">
        <f t="shared" si="1262"/>
        <v>3</v>
      </c>
      <c r="BS140" s="43">
        <f t="shared" si="1262"/>
        <v>3</v>
      </c>
      <c r="BT140" s="43">
        <f t="shared" si="1262"/>
        <v>3</v>
      </c>
      <c r="BU140" s="43">
        <f t="shared" si="1262"/>
        <v>3</v>
      </c>
      <c r="BV140" s="43">
        <f t="shared" si="1262"/>
        <v>3</v>
      </c>
      <c r="BW140" s="43">
        <f t="shared" si="1262"/>
        <v>3</v>
      </c>
      <c r="BX140" s="43">
        <f t="shared" si="1262"/>
        <v>3</v>
      </c>
      <c r="BY140" s="43">
        <f t="shared" si="1262"/>
        <v>3</v>
      </c>
      <c r="BZ140" s="43">
        <f t="shared" si="1262"/>
        <v>3</v>
      </c>
      <c r="CA140" s="43">
        <f t="shared" si="1262"/>
        <v>3</v>
      </c>
      <c r="CB140" s="43">
        <f t="shared" si="1262"/>
        <v>3</v>
      </c>
      <c r="CC140" s="43">
        <f t="shared" si="1262"/>
        <v>3</v>
      </c>
      <c r="CD140" s="43">
        <f t="shared" si="1262"/>
        <v>3</v>
      </c>
      <c r="CE140" s="43">
        <f t="shared" si="1262"/>
        <v>3</v>
      </c>
      <c r="CF140" s="43">
        <f t="shared" si="1262"/>
        <v>3</v>
      </c>
      <c r="CG140" s="43">
        <f t="shared" si="1262"/>
        <v>3</v>
      </c>
      <c r="CH140" s="43">
        <f t="shared" si="1262"/>
        <v>3</v>
      </c>
      <c r="CI140" s="43">
        <f t="shared" si="1262"/>
        <v>3</v>
      </c>
      <c r="CJ140" s="43">
        <f t="shared" si="1262"/>
        <v>3</v>
      </c>
      <c r="CK140" s="43">
        <f t="shared" si="1262"/>
        <v>3</v>
      </c>
      <c r="CL140" s="43">
        <f t="shared" si="1262"/>
        <v>3</v>
      </c>
      <c r="CM140" s="43">
        <f t="shared" si="1262"/>
        <v>3</v>
      </c>
      <c r="CN140" s="43">
        <f t="shared" si="1262"/>
        <v>3</v>
      </c>
      <c r="CO140" s="43">
        <f t="shared" si="1262"/>
        <v>3</v>
      </c>
      <c r="CP140" s="43">
        <f t="shared" si="1262"/>
        <v>3</v>
      </c>
      <c r="CQ140" s="43">
        <f t="shared" si="1262"/>
        <v>3</v>
      </c>
      <c r="CR140" s="43">
        <f t="shared" si="1262"/>
        <v>3</v>
      </c>
      <c r="CS140" s="43">
        <f t="shared" si="1262"/>
        <v>3</v>
      </c>
      <c r="CT140" s="43">
        <f t="shared" ref="CT140:CT141" si="1263">BP140</f>
        <v>3</v>
      </c>
      <c r="CV140" s="43">
        <f>AJ140</f>
        <v>3</v>
      </c>
      <c r="CW140" s="43">
        <f t="shared" si="1229"/>
        <v>2.9</v>
      </c>
      <c r="CX140" s="43">
        <f t="shared" si="1230"/>
        <v>2.8</v>
      </c>
      <c r="CY140" s="43">
        <f t="shared" si="1231"/>
        <v>2.6999999999999997</v>
      </c>
      <c r="CZ140" s="43">
        <f t="shared" si="1232"/>
        <v>2.5999999999999996</v>
      </c>
      <c r="DA140" s="43">
        <f t="shared" si="1233"/>
        <v>2.4999999999999996</v>
      </c>
      <c r="DB140" s="43">
        <f t="shared" si="1234"/>
        <v>2.3999999999999995</v>
      </c>
      <c r="DC140" s="43">
        <f t="shared" si="1235"/>
        <v>2.2999999999999994</v>
      </c>
      <c r="DD140" s="43">
        <f t="shared" si="1236"/>
        <v>2.1999999999999993</v>
      </c>
      <c r="DE140" s="43">
        <f t="shared" si="1237"/>
        <v>2.0999999999999992</v>
      </c>
      <c r="DF140" s="43">
        <f t="shared" si="1238"/>
        <v>1.9999999999999991</v>
      </c>
      <c r="DG140" s="43">
        <f t="shared" si="1239"/>
        <v>1.899999999999999</v>
      </c>
      <c r="DH140" s="43">
        <f t="shared" si="1240"/>
        <v>1.7999999999999989</v>
      </c>
      <c r="DI140" s="43">
        <f t="shared" si="1241"/>
        <v>1.6999999999999988</v>
      </c>
      <c r="DJ140" s="43">
        <f t="shared" si="1242"/>
        <v>1.5999999999999988</v>
      </c>
      <c r="DK140" s="43">
        <f t="shared" si="1243"/>
        <v>1.4999999999999987</v>
      </c>
      <c r="DL140" s="43">
        <f t="shared" si="1244"/>
        <v>1.3999999999999986</v>
      </c>
      <c r="DM140" s="43">
        <f t="shared" si="1245"/>
        <v>1.2999999999999985</v>
      </c>
      <c r="DN140" s="43">
        <f t="shared" si="1246"/>
        <v>1.1999999999999984</v>
      </c>
      <c r="DO140" s="43">
        <f t="shared" si="1247"/>
        <v>1.0999999999999983</v>
      </c>
      <c r="DP140" s="43">
        <f t="shared" si="1248"/>
        <v>0.99999999999999833</v>
      </c>
      <c r="DQ140" s="43">
        <f t="shared" si="1249"/>
        <v>0.89999999999999836</v>
      </c>
      <c r="DR140" s="43">
        <f t="shared" si="1250"/>
        <v>0.79999999999999838</v>
      </c>
      <c r="DS140" s="43">
        <f t="shared" si="1251"/>
        <v>0.6999999999999984</v>
      </c>
      <c r="DT140" s="43">
        <f t="shared" si="1252"/>
        <v>0.59999999999999842</v>
      </c>
      <c r="DU140" s="43">
        <f t="shared" si="1253"/>
        <v>0.49999999999999845</v>
      </c>
      <c r="DV140" s="43">
        <f t="shared" si="1254"/>
        <v>0.39999999999999847</v>
      </c>
      <c r="DW140" s="43">
        <f t="shared" si="1255"/>
        <v>0.29999999999999849</v>
      </c>
      <c r="DX140" s="43">
        <f t="shared" si="1256"/>
        <v>0.19999999999999848</v>
      </c>
      <c r="DY140" s="43">
        <f t="shared" si="1257"/>
        <v>9.9999999999998479E-2</v>
      </c>
      <c r="DZ140" s="43">
        <f t="shared" si="1258"/>
        <v>0</v>
      </c>
    </row>
    <row r="141" spans="1:165" x14ac:dyDescent="0.2">
      <c r="A141" s="606" t="s">
        <v>459</v>
      </c>
      <c r="C141" s="54" t="s">
        <v>458</v>
      </c>
      <c r="D141" s="43">
        <f>$BP$191</f>
        <v>1.366852</v>
      </c>
      <c r="E141" s="43">
        <f t="shared" ref="E141:AG141" si="1264">D141-($D141-$AH141)/30</f>
        <v>1.4057902666666666</v>
      </c>
      <c r="F141" s="43">
        <f t="shared" si="1264"/>
        <v>1.4447285333333333</v>
      </c>
      <c r="G141" s="43">
        <f t="shared" si="1264"/>
        <v>1.4836668</v>
      </c>
      <c r="H141" s="43">
        <f t="shared" si="1264"/>
        <v>1.5226050666666666</v>
      </c>
      <c r="I141" s="43">
        <f t="shared" si="1264"/>
        <v>1.5615433333333333</v>
      </c>
      <c r="J141" s="43">
        <f t="shared" si="1264"/>
        <v>1.6004815999999999</v>
      </c>
      <c r="K141" s="43">
        <f t="shared" si="1264"/>
        <v>1.6394198666666666</v>
      </c>
      <c r="L141" s="43">
        <f t="shared" si="1264"/>
        <v>1.6783581333333333</v>
      </c>
      <c r="M141" s="43">
        <f t="shared" si="1264"/>
        <v>1.7172963999999999</v>
      </c>
      <c r="N141" s="43">
        <f t="shared" si="1264"/>
        <v>1.7562346666666666</v>
      </c>
      <c r="O141" s="43">
        <f t="shared" si="1264"/>
        <v>1.7951729333333333</v>
      </c>
      <c r="P141" s="43">
        <f t="shared" si="1264"/>
        <v>1.8341111999999999</v>
      </c>
      <c r="Q141" s="43">
        <f t="shared" si="1264"/>
        <v>1.8730494666666666</v>
      </c>
      <c r="R141" s="43">
        <f t="shared" si="1264"/>
        <v>1.9119877333333333</v>
      </c>
      <c r="S141" s="43">
        <f t="shared" si="1264"/>
        <v>1.9509259999999999</v>
      </c>
      <c r="T141" s="43">
        <f t="shared" si="1264"/>
        <v>1.9898642666666666</v>
      </c>
      <c r="U141" s="43">
        <f t="shared" si="1264"/>
        <v>2.0288025333333333</v>
      </c>
      <c r="V141" s="43">
        <f t="shared" si="1264"/>
        <v>2.0677408000000002</v>
      </c>
      <c r="W141" s="43">
        <f t="shared" si="1264"/>
        <v>2.106679066666667</v>
      </c>
      <c r="X141" s="43">
        <f t="shared" si="1264"/>
        <v>2.1456173333333339</v>
      </c>
      <c r="Y141" s="43">
        <f t="shared" si="1264"/>
        <v>2.1845556000000008</v>
      </c>
      <c r="Z141" s="43">
        <f t="shared" si="1264"/>
        <v>2.2234938666666677</v>
      </c>
      <c r="AA141" s="43">
        <f t="shared" si="1264"/>
        <v>2.2624321333333346</v>
      </c>
      <c r="AB141" s="43">
        <f t="shared" si="1264"/>
        <v>2.3013704000000015</v>
      </c>
      <c r="AC141" s="43">
        <f t="shared" si="1264"/>
        <v>2.3403086666666684</v>
      </c>
      <c r="AD141" s="43">
        <f t="shared" si="1264"/>
        <v>2.3792469333333353</v>
      </c>
      <c r="AE141" s="43">
        <f t="shared" si="1264"/>
        <v>2.4181852000000021</v>
      </c>
      <c r="AF141" s="43">
        <f t="shared" si="1264"/>
        <v>2.457123466666669</v>
      </c>
      <c r="AG141" s="43">
        <f t="shared" si="1264"/>
        <v>2.4960617333333359</v>
      </c>
      <c r="AH141" s="43">
        <f>EB191</f>
        <v>2.5350000000000001</v>
      </c>
      <c r="AI141" s="44"/>
      <c r="AJ141" s="43">
        <f t="shared" si="1260"/>
        <v>1.366852</v>
      </c>
      <c r="AK141" s="43">
        <f t="shared" si="1198"/>
        <v>1.4057902666666666</v>
      </c>
      <c r="AL141" s="43">
        <f t="shared" si="1199"/>
        <v>1.4447285333333333</v>
      </c>
      <c r="AM141" s="43">
        <f t="shared" si="1200"/>
        <v>1.4836668</v>
      </c>
      <c r="AN141" s="43">
        <f t="shared" si="1201"/>
        <v>1.5226050666666666</v>
      </c>
      <c r="AO141" s="43">
        <f t="shared" si="1202"/>
        <v>1.5615433333333333</v>
      </c>
      <c r="AP141" s="43">
        <f t="shared" si="1203"/>
        <v>1.6004815999999999</v>
      </c>
      <c r="AQ141" s="43">
        <f t="shared" si="1204"/>
        <v>1.6394198666666666</v>
      </c>
      <c r="AR141" s="43">
        <f t="shared" si="1205"/>
        <v>1.6783581333333333</v>
      </c>
      <c r="AS141" s="43">
        <f t="shared" si="1206"/>
        <v>1.7172963999999999</v>
      </c>
      <c r="AT141" s="43">
        <f t="shared" si="1207"/>
        <v>1.7562346666666666</v>
      </c>
      <c r="AU141" s="43">
        <f t="shared" si="1208"/>
        <v>1.7951729333333333</v>
      </c>
      <c r="AV141" s="43">
        <f t="shared" si="1209"/>
        <v>1.8341111999999999</v>
      </c>
      <c r="AW141" s="43">
        <f t="shared" si="1210"/>
        <v>1.8730494666666666</v>
      </c>
      <c r="AX141" s="43">
        <f t="shared" si="1211"/>
        <v>1.9119877333333333</v>
      </c>
      <c r="AY141" s="43">
        <f t="shared" si="1212"/>
        <v>1.9509259999999999</v>
      </c>
      <c r="AZ141" s="43">
        <f t="shared" si="1213"/>
        <v>1.9898642666666666</v>
      </c>
      <c r="BA141" s="43">
        <f t="shared" si="1214"/>
        <v>2.0288025333333333</v>
      </c>
      <c r="BB141" s="43">
        <f t="shared" si="1215"/>
        <v>2.0677408000000002</v>
      </c>
      <c r="BC141" s="43">
        <f t="shared" si="1216"/>
        <v>2.106679066666667</v>
      </c>
      <c r="BD141" s="43">
        <f t="shared" si="1217"/>
        <v>2.1456173333333339</v>
      </c>
      <c r="BE141" s="43">
        <f t="shared" si="1218"/>
        <v>2.1845556000000008</v>
      </c>
      <c r="BF141" s="43">
        <f t="shared" si="1219"/>
        <v>2.2234938666666677</v>
      </c>
      <c r="BG141" s="43">
        <f t="shared" si="1220"/>
        <v>2.2624321333333346</v>
      </c>
      <c r="BH141" s="43">
        <f t="shared" si="1221"/>
        <v>2.3013704000000015</v>
      </c>
      <c r="BI141" s="43">
        <f t="shared" si="1222"/>
        <v>2.3403086666666684</v>
      </c>
      <c r="BJ141" s="43">
        <f t="shared" si="1223"/>
        <v>2.3792469333333353</v>
      </c>
      <c r="BK141" s="43">
        <f t="shared" si="1224"/>
        <v>2.4181852000000021</v>
      </c>
      <c r="BL141" s="43">
        <f t="shared" si="1225"/>
        <v>2.457123466666669</v>
      </c>
      <c r="BM141" s="43">
        <f t="shared" si="1226"/>
        <v>2.4960617333333359</v>
      </c>
      <c r="BN141" s="43">
        <f t="shared" si="1227"/>
        <v>2.5350000000000001</v>
      </c>
      <c r="BP141" s="43">
        <f t="shared" si="1261"/>
        <v>1.366852</v>
      </c>
      <c r="BQ141" s="43">
        <f t="shared" ref="BQ141:CS141" si="1265">BP141-($BP141-$CT141)/30</f>
        <v>1.366852</v>
      </c>
      <c r="BR141" s="43">
        <f t="shared" si="1265"/>
        <v>1.366852</v>
      </c>
      <c r="BS141" s="43">
        <f t="shared" si="1265"/>
        <v>1.366852</v>
      </c>
      <c r="BT141" s="43">
        <f t="shared" si="1265"/>
        <v>1.366852</v>
      </c>
      <c r="BU141" s="43">
        <f t="shared" si="1265"/>
        <v>1.366852</v>
      </c>
      <c r="BV141" s="43">
        <f t="shared" si="1265"/>
        <v>1.366852</v>
      </c>
      <c r="BW141" s="43">
        <f t="shared" si="1265"/>
        <v>1.366852</v>
      </c>
      <c r="BX141" s="43">
        <f t="shared" si="1265"/>
        <v>1.366852</v>
      </c>
      <c r="BY141" s="43">
        <f t="shared" si="1265"/>
        <v>1.366852</v>
      </c>
      <c r="BZ141" s="43">
        <f t="shared" si="1265"/>
        <v>1.366852</v>
      </c>
      <c r="CA141" s="43">
        <f t="shared" si="1265"/>
        <v>1.366852</v>
      </c>
      <c r="CB141" s="43">
        <f t="shared" si="1265"/>
        <v>1.366852</v>
      </c>
      <c r="CC141" s="43">
        <f t="shared" si="1265"/>
        <v>1.366852</v>
      </c>
      <c r="CD141" s="43">
        <f t="shared" si="1265"/>
        <v>1.366852</v>
      </c>
      <c r="CE141" s="43">
        <f t="shared" si="1265"/>
        <v>1.366852</v>
      </c>
      <c r="CF141" s="43">
        <f t="shared" si="1265"/>
        <v>1.366852</v>
      </c>
      <c r="CG141" s="43">
        <f t="shared" si="1265"/>
        <v>1.366852</v>
      </c>
      <c r="CH141" s="43">
        <f t="shared" si="1265"/>
        <v>1.366852</v>
      </c>
      <c r="CI141" s="43">
        <f t="shared" si="1265"/>
        <v>1.366852</v>
      </c>
      <c r="CJ141" s="43">
        <f t="shared" si="1265"/>
        <v>1.366852</v>
      </c>
      <c r="CK141" s="43">
        <f t="shared" si="1265"/>
        <v>1.366852</v>
      </c>
      <c r="CL141" s="43">
        <f t="shared" si="1265"/>
        <v>1.366852</v>
      </c>
      <c r="CM141" s="43">
        <f t="shared" si="1265"/>
        <v>1.366852</v>
      </c>
      <c r="CN141" s="43">
        <f t="shared" si="1265"/>
        <v>1.366852</v>
      </c>
      <c r="CO141" s="43">
        <f t="shared" si="1265"/>
        <v>1.366852</v>
      </c>
      <c r="CP141" s="43">
        <f t="shared" si="1265"/>
        <v>1.366852</v>
      </c>
      <c r="CQ141" s="43">
        <f t="shared" si="1265"/>
        <v>1.366852</v>
      </c>
      <c r="CR141" s="43">
        <f t="shared" si="1265"/>
        <v>1.366852</v>
      </c>
      <c r="CS141" s="43">
        <f t="shared" si="1265"/>
        <v>1.366852</v>
      </c>
      <c r="CT141" s="43">
        <f t="shared" si="1263"/>
        <v>1.366852</v>
      </c>
      <c r="CV141" s="43">
        <f>AJ141</f>
        <v>1.366852</v>
      </c>
      <c r="CW141" s="43">
        <f t="shared" si="1229"/>
        <v>1.4057902666666666</v>
      </c>
      <c r="CX141" s="43">
        <f t="shared" si="1230"/>
        <v>1.4447285333333333</v>
      </c>
      <c r="CY141" s="43">
        <f t="shared" si="1231"/>
        <v>1.4836668</v>
      </c>
      <c r="CZ141" s="43">
        <f t="shared" si="1232"/>
        <v>1.5226050666666666</v>
      </c>
      <c r="DA141" s="43">
        <f t="shared" si="1233"/>
        <v>1.5615433333333333</v>
      </c>
      <c r="DB141" s="43">
        <f t="shared" si="1234"/>
        <v>1.6004815999999999</v>
      </c>
      <c r="DC141" s="43">
        <f t="shared" si="1235"/>
        <v>1.6394198666666666</v>
      </c>
      <c r="DD141" s="43">
        <f t="shared" si="1236"/>
        <v>1.6783581333333333</v>
      </c>
      <c r="DE141" s="43">
        <f t="shared" si="1237"/>
        <v>1.7172963999999999</v>
      </c>
      <c r="DF141" s="43">
        <f t="shared" si="1238"/>
        <v>1.7562346666666666</v>
      </c>
      <c r="DG141" s="43">
        <f t="shared" si="1239"/>
        <v>1.7951729333333333</v>
      </c>
      <c r="DH141" s="43">
        <f t="shared" si="1240"/>
        <v>1.8341111999999999</v>
      </c>
      <c r="DI141" s="43">
        <f t="shared" si="1241"/>
        <v>1.8730494666666666</v>
      </c>
      <c r="DJ141" s="43">
        <f t="shared" si="1242"/>
        <v>1.9119877333333333</v>
      </c>
      <c r="DK141" s="43">
        <f t="shared" si="1243"/>
        <v>1.9509259999999999</v>
      </c>
      <c r="DL141" s="43">
        <f t="shared" si="1244"/>
        <v>1.9898642666666666</v>
      </c>
      <c r="DM141" s="43">
        <f t="shared" si="1245"/>
        <v>2.0288025333333333</v>
      </c>
      <c r="DN141" s="43">
        <f t="shared" si="1246"/>
        <v>2.0677408000000002</v>
      </c>
      <c r="DO141" s="43">
        <f t="shared" si="1247"/>
        <v>2.106679066666667</v>
      </c>
      <c r="DP141" s="43">
        <f t="shared" si="1248"/>
        <v>2.1456173333333339</v>
      </c>
      <c r="DQ141" s="43">
        <f t="shared" si="1249"/>
        <v>2.1845556000000008</v>
      </c>
      <c r="DR141" s="43">
        <f t="shared" si="1250"/>
        <v>2.2234938666666677</v>
      </c>
      <c r="DS141" s="43">
        <f t="shared" si="1251"/>
        <v>2.2624321333333346</v>
      </c>
      <c r="DT141" s="43">
        <f t="shared" si="1252"/>
        <v>2.3013704000000015</v>
      </c>
      <c r="DU141" s="43">
        <f t="shared" si="1253"/>
        <v>2.3403086666666684</v>
      </c>
      <c r="DV141" s="43">
        <f t="shared" si="1254"/>
        <v>2.3792469333333353</v>
      </c>
      <c r="DW141" s="43">
        <f t="shared" si="1255"/>
        <v>2.4181852000000021</v>
      </c>
      <c r="DX141" s="43">
        <f t="shared" si="1256"/>
        <v>2.457123466666669</v>
      </c>
      <c r="DY141" s="43">
        <f t="shared" si="1257"/>
        <v>2.4960617333333359</v>
      </c>
      <c r="DZ141" s="43">
        <f t="shared" si="1258"/>
        <v>2.5350000000000001</v>
      </c>
    </row>
    <row r="142" spans="1:165" x14ac:dyDescent="0.2">
      <c r="A142" s="606" t="s">
        <v>460</v>
      </c>
      <c r="C142" s="54" t="s">
        <v>458</v>
      </c>
      <c r="D142" s="43">
        <f>$BP$191</f>
        <v>1.366852</v>
      </c>
      <c r="E142" s="43">
        <f t="shared" ref="E142:AG142" si="1266">D142-($D142-$AH142)/30</f>
        <v>1.3235683533333333</v>
      </c>
      <c r="F142" s="43">
        <f t="shared" si="1266"/>
        <v>1.2802847066666667</v>
      </c>
      <c r="G142" s="43">
        <f t="shared" si="1266"/>
        <v>1.2370010600000001</v>
      </c>
      <c r="H142" s="43">
        <f t="shared" si="1266"/>
        <v>1.1937174133333335</v>
      </c>
      <c r="I142" s="43">
        <f t="shared" si="1266"/>
        <v>1.1504337666666669</v>
      </c>
      <c r="J142" s="43">
        <f t="shared" si="1266"/>
        <v>1.1071501200000002</v>
      </c>
      <c r="K142" s="43">
        <f t="shared" si="1266"/>
        <v>1.0638664733333336</v>
      </c>
      <c r="L142" s="43">
        <f t="shared" si="1266"/>
        <v>1.020582826666667</v>
      </c>
      <c r="M142" s="43">
        <f t="shared" si="1266"/>
        <v>0.97729918000000038</v>
      </c>
      <c r="N142" s="43">
        <f t="shared" si="1266"/>
        <v>0.93401553333333376</v>
      </c>
      <c r="O142" s="43">
        <f t="shared" si="1266"/>
        <v>0.89073188666666714</v>
      </c>
      <c r="P142" s="43">
        <f t="shared" si="1266"/>
        <v>0.84744824000000052</v>
      </c>
      <c r="Q142" s="43">
        <f t="shared" si="1266"/>
        <v>0.8041645933333339</v>
      </c>
      <c r="R142" s="43">
        <f t="shared" si="1266"/>
        <v>0.76088094666666728</v>
      </c>
      <c r="S142" s="43">
        <f t="shared" si="1266"/>
        <v>0.71759730000000066</v>
      </c>
      <c r="T142" s="43">
        <f t="shared" si="1266"/>
        <v>0.67431365333333404</v>
      </c>
      <c r="U142" s="43">
        <f t="shared" si="1266"/>
        <v>0.63103000666666742</v>
      </c>
      <c r="V142" s="43">
        <f t="shared" si="1266"/>
        <v>0.5877463600000008</v>
      </c>
      <c r="W142" s="43">
        <f t="shared" si="1266"/>
        <v>0.54446271333333418</v>
      </c>
      <c r="X142" s="43">
        <f t="shared" si="1266"/>
        <v>0.50117906666666756</v>
      </c>
      <c r="Y142" s="43">
        <f t="shared" si="1266"/>
        <v>0.45789542000000089</v>
      </c>
      <c r="Z142" s="43">
        <f t="shared" si="1266"/>
        <v>0.41461177333333421</v>
      </c>
      <c r="AA142" s="43">
        <f t="shared" si="1266"/>
        <v>0.37132812666666754</v>
      </c>
      <c r="AB142" s="43">
        <f t="shared" si="1266"/>
        <v>0.32804448000000086</v>
      </c>
      <c r="AC142" s="43">
        <f t="shared" si="1266"/>
        <v>0.28476083333333418</v>
      </c>
      <c r="AD142" s="43">
        <f t="shared" si="1266"/>
        <v>0.24147718666666751</v>
      </c>
      <c r="AE142" s="43">
        <f t="shared" si="1266"/>
        <v>0.19819354000000083</v>
      </c>
      <c r="AF142" s="43">
        <f t="shared" si="1266"/>
        <v>0.15490989333333416</v>
      </c>
      <c r="AG142" s="43">
        <f t="shared" si="1266"/>
        <v>0.1116262466666675</v>
      </c>
      <c r="AH142" s="43">
        <f>$BZ$191</f>
        <v>6.8342600000000059E-2</v>
      </c>
      <c r="AI142" s="44"/>
      <c r="AJ142" s="43">
        <f t="shared" si="1260"/>
        <v>1.366852</v>
      </c>
      <c r="AK142" s="43">
        <f t="shared" si="1198"/>
        <v>1.3235683533333333</v>
      </c>
      <c r="AL142" s="43">
        <f t="shared" si="1199"/>
        <v>1.2802847066666667</v>
      </c>
      <c r="AM142" s="43">
        <f t="shared" si="1200"/>
        <v>1.2370010600000001</v>
      </c>
      <c r="AN142" s="43">
        <f t="shared" si="1201"/>
        <v>1.1937174133333335</v>
      </c>
      <c r="AO142" s="43">
        <f t="shared" si="1202"/>
        <v>1.1504337666666669</v>
      </c>
      <c r="AP142" s="43">
        <f t="shared" si="1203"/>
        <v>1.1071501200000002</v>
      </c>
      <c r="AQ142" s="43">
        <f t="shared" si="1204"/>
        <v>1.0638664733333336</v>
      </c>
      <c r="AR142" s="43">
        <f t="shared" si="1205"/>
        <v>1.020582826666667</v>
      </c>
      <c r="AS142" s="43">
        <f t="shared" si="1206"/>
        <v>0.97729918000000038</v>
      </c>
      <c r="AT142" s="43">
        <f t="shared" si="1207"/>
        <v>0.93401553333333376</v>
      </c>
      <c r="AU142" s="43">
        <f t="shared" si="1208"/>
        <v>0.89073188666666714</v>
      </c>
      <c r="AV142" s="43">
        <f t="shared" si="1209"/>
        <v>0.84744824000000052</v>
      </c>
      <c r="AW142" s="43">
        <f t="shared" si="1210"/>
        <v>0.8041645933333339</v>
      </c>
      <c r="AX142" s="43">
        <f t="shared" si="1211"/>
        <v>0.76088094666666728</v>
      </c>
      <c r="AY142" s="43">
        <f t="shared" si="1212"/>
        <v>0.71759730000000066</v>
      </c>
      <c r="AZ142" s="43">
        <f t="shared" si="1213"/>
        <v>0.67431365333333404</v>
      </c>
      <c r="BA142" s="43">
        <f t="shared" si="1214"/>
        <v>0.63103000666666742</v>
      </c>
      <c r="BB142" s="43">
        <f t="shared" si="1215"/>
        <v>0.5877463600000008</v>
      </c>
      <c r="BC142" s="43">
        <f t="shared" si="1216"/>
        <v>0.54446271333333418</v>
      </c>
      <c r="BD142" s="43">
        <f t="shared" si="1217"/>
        <v>0.50117906666666756</v>
      </c>
      <c r="BE142" s="43">
        <f t="shared" si="1218"/>
        <v>0.45789542000000089</v>
      </c>
      <c r="BF142" s="43">
        <f t="shared" si="1219"/>
        <v>0.41461177333333421</v>
      </c>
      <c r="BG142" s="43">
        <f t="shared" si="1220"/>
        <v>0.37132812666666754</v>
      </c>
      <c r="BH142" s="43">
        <f t="shared" si="1221"/>
        <v>0.32804448000000086</v>
      </c>
      <c r="BI142" s="43">
        <f t="shared" si="1222"/>
        <v>0.28476083333333418</v>
      </c>
      <c r="BJ142" s="43">
        <f t="shared" si="1223"/>
        <v>0.24147718666666751</v>
      </c>
      <c r="BK142" s="43">
        <f t="shared" si="1224"/>
        <v>0.19819354000000083</v>
      </c>
      <c r="BL142" s="43">
        <f t="shared" si="1225"/>
        <v>0.15490989333333416</v>
      </c>
      <c r="BM142" s="43">
        <f t="shared" si="1226"/>
        <v>0.1116262466666675</v>
      </c>
      <c r="BN142" s="43">
        <f t="shared" si="1227"/>
        <v>6.8342600000000059E-2</v>
      </c>
      <c r="BP142" s="43">
        <f t="shared" si="1261"/>
        <v>1.366852</v>
      </c>
      <c r="BQ142" s="43">
        <f t="shared" ref="BQ142:CS142" si="1267">BP142-($BP142-$CT142)/30</f>
        <v>1.3235683533333333</v>
      </c>
      <c r="BR142" s="43">
        <f t="shared" si="1267"/>
        <v>1.2802847066666667</v>
      </c>
      <c r="BS142" s="43">
        <f t="shared" si="1267"/>
        <v>1.2370010600000001</v>
      </c>
      <c r="BT142" s="43">
        <f t="shared" si="1267"/>
        <v>1.1937174133333335</v>
      </c>
      <c r="BU142" s="43">
        <f t="shared" si="1267"/>
        <v>1.1504337666666669</v>
      </c>
      <c r="BV142" s="43">
        <f t="shared" si="1267"/>
        <v>1.1071501200000002</v>
      </c>
      <c r="BW142" s="43">
        <f t="shared" si="1267"/>
        <v>1.0638664733333336</v>
      </c>
      <c r="BX142" s="43">
        <f t="shared" si="1267"/>
        <v>1.020582826666667</v>
      </c>
      <c r="BY142" s="43">
        <f t="shared" si="1267"/>
        <v>0.97729918000000038</v>
      </c>
      <c r="BZ142" s="43">
        <f t="shared" si="1267"/>
        <v>0.93401553333333376</v>
      </c>
      <c r="CA142" s="43">
        <f t="shared" si="1267"/>
        <v>0.89073188666666714</v>
      </c>
      <c r="CB142" s="43">
        <f t="shared" si="1267"/>
        <v>0.84744824000000052</v>
      </c>
      <c r="CC142" s="43">
        <f t="shared" si="1267"/>
        <v>0.8041645933333339</v>
      </c>
      <c r="CD142" s="43">
        <f t="shared" si="1267"/>
        <v>0.76088094666666728</v>
      </c>
      <c r="CE142" s="43">
        <f t="shared" si="1267"/>
        <v>0.71759730000000066</v>
      </c>
      <c r="CF142" s="43">
        <f t="shared" si="1267"/>
        <v>0.67431365333333404</v>
      </c>
      <c r="CG142" s="43">
        <f t="shared" si="1267"/>
        <v>0.63103000666666742</v>
      </c>
      <c r="CH142" s="43">
        <f t="shared" si="1267"/>
        <v>0.5877463600000008</v>
      </c>
      <c r="CI142" s="43">
        <f t="shared" si="1267"/>
        <v>0.54446271333333418</v>
      </c>
      <c r="CJ142" s="43">
        <f t="shared" si="1267"/>
        <v>0.50117906666666756</v>
      </c>
      <c r="CK142" s="43">
        <f t="shared" si="1267"/>
        <v>0.45789542000000089</v>
      </c>
      <c r="CL142" s="43">
        <f t="shared" si="1267"/>
        <v>0.41461177333333421</v>
      </c>
      <c r="CM142" s="43">
        <f t="shared" si="1267"/>
        <v>0.37132812666666754</v>
      </c>
      <c r="CN142" s="43">
        <f t="shared" si="1267"/>
        <v>0.32804448000000086</v>
      </c>
      <c r="CO142" s="43">
        <f t="shared" si="1267"/>
        <v>0.28476083333333418</v>
      </c>
      <c r="CP142" s="43">
        <f t="shared" si="1267"/>
        <v>0.24147718666666751</v>
      </c>
      <c r="CQ142" s="43">
        <f t="shared" si="1267"/>
        <v>0.19819354000000083</v>
      </c>
      <c r="CR142" s="43">
        <f t="shared" si="1267"/>
        <v>0.15490989333333416</v>
      </c>
      <c r="CS142" s="43">
        <f t="shared" si="1267"/>
        <v>0.1116262466666675</v>
      </c>
      <c r="CT142" s="43">
        <f>BN142</f>
        <v>6.8342600000000059E-2</v>
      </c>
      <c r="CV142" s="43">
        <f>AJ142</f>
        <v>1.366852</v>
      </c>
      <c r="CW142" s="43">
        <f t="shared" si="1229"/>
        <v>1.3235683533333333</v>
      </c>
      <c r="CX142" s="43">
        <f t="shared" si="1230"/>
        <v>1.2802847066666667</v>
      </c>
      <c r="CY142" s="43">
        <f t="shared" si="1231"/>
        <v>1.2370010600000001</v>
      </c>
      <c r="CZ142" s="43">
        <f t="shared" si="1232"/>
        <v>1.1937174133333335</v>
      </c>
      <c r="DA142" s="43">
        <f t="shared" si="1233"/>
        <v>1.1504337666666669</v>
      </c>
      <c r="DB142" s="43">
        <f t="shared" si="1234"/>
        <v>1.1071501200000002</v>
      </c>
      <c r="DC142" s="43">
        <f t="shared" si="1235"/>
        <v>1.0638664733333336</v>
      </c>
      <c r="DD142" s="43">
        <f t="shared" si="1236"/>
        <v>1.020582826666667</v>
      </c>
      <c r="DE142" s="43">
        <f t="shared" si="1237"/>
        <v>0.97729918000000038</v>
      </c>
      <c r="DF142" s="43">
        <f t="shared" si="1238"/>
        <v>0.93401553333333376</v>
      </c>
      <c r="DG142" s="43">
        <f t="shared" si="1239"/>
        <v>0.89073188666666714</v>
      </c>
      <c r="DH142" s="43">
        <f t="shared" si="1240"/>
        <v>0.84744824000000052</v>
      </c>
      <c r="DI142" s="43">
        <f t="shared" si="1241"/>
        <v>0.8041645933333339</v>
      </c>
      <c r="DJ142" s="43">
        <f t="shared" si="1242"/>
        <v>0.76088094666666728</v>
      </c>
      <c r="DK142" s="43">
        <f t="shared" si="1243"/>
        <v>0.71759730000000066</v>
      </c>
      <c r="DL142" s="43">
        <f t="shared" si="1244"/>
        <v>0.67431365333333404</v>
      </c>
      <c r="DM142" s="43">
        <f t="shared" si="1245"/>
        <v>0.63103000666666742</v>
      </c>
      <c r="DN142" s="43">
        <f t="shared" si="1246"/>
        <v>0.5877463600000008</v>
      </c>
      <c r="DO142" s="43">
        <f t="shared" si="1247"/>
        <v>0.54446271333333418</v>
      </c>
      <c r="DP142" s="43">
        <f t="shared" si="1248"/>
        <v>0.50117906666666756</v>
      </c>
      <c r="DQ142" s="43">
        <f t="shared" si="1249"/>
        <v>0.45789542000000089</v>
      </c>
      <c r="DR142" s="43">
        <f t="shared" si="1250"/>
        <v>0.41461177333333421</v>
      </c>
      <c r="DS142" s="43">
        <f t="shared" si="1251"/>
        <v>0.37132812666666754</v>
      </c>
      <c r="DT142" s="43">
        <f t="shared" si="1252"/>
        <v>0.32804448000000086</v>
      </c>
      <c r="DU142" s="43">
        <f t="shared" si="1253"/>
        <v>0.28476083333333418</v>
      </c>
      <c r="DV142" s="43">
        <f t="shared" si="1254"/>
        <v>0.24147718666666751</v>
      </c>
      <c r="DW142" s="43">
        <f t="shared" si="1255"/>
        <v>0.19819354000000083</v>
      </c>
      <c r="DX142" s="43">
        <f t="shared" si="1256"/>
        <v>0.15490989333333416</v>
      </c>
      <c r="DY142" s="43">
        <f t="shared" si="1257"/>
        <v>0.1116262466666675</v>
      </c>
      <c r="DZ142" s="43">
        <f t="shared" si="1258"/>
        <v>6.8342600000000059E-2</v>
      </c>
    </row>
    <row r="143" spans="1:165" x14ac:dyDescent="0.2">
      <c r="A143" s="606" t="s">
        <v>33</v>
      </c>
      <c r="C143" s="54" t="s">
        <v>458</v>
      </c>
      <c r="D143" s="43">
        <f>$B$190</f>
        <v>5.0000000000000001E-3</v>
      </c>
      <c r="E143" s="43">
        <f t="shared" ref="E143:AG143" si="1268">D143-($D143-$AH143)/30</f>
        <v>4.8333333333333336E-3</v>
      </c>
      <c r="F143" s="43">
        <f t="shared" si="1268"/>
        <v>4.6666666666666671E-3</v>
      </c>
      <c r="G143" s="43">
        <f t="shared" si="1268"/>
        <v>4.5000000000000005E-3</v>
      </c>
      <c r="H143" s="43">
        <f t="shared" si="1268"/>
        <v>4.333333333333334E-3</v>
      </c>
      <c r="I143" s="43">
        <f t="shared" si="1268"/>
        <v>4.1666666666666675E-3</v>
      </c>
      <c r="J143" s="43">
        <f t="shared" si="1268"/>
        <v>4.000000000000001E-3</v>
      </c>
      <c r="K143" s="43">
        <f t="shared" si="1268"/>
        <v>3.8333333333333344E-3</v>
      </c>
      <c r="L143" s="43">
        <f t="shared" si="1268"/>
        <v>3.6666666666666679E-3</v>
      </c>
      <c r="M143" s="43">
        <f t="shared" si="1268"/>
        <v>3.5000000000000014E-3</v>
      </c>
      <c r="N143" s="43">
        <f t="shared" si="1268"/>
        <v>3.3333333333333348E-3</v>
      </c>
      <c r="O143" s="43">
        <f t="shared" si="1268"/>
        <v>3.1666666666666683E-3</v>
      </c>
      <c r="P143" s="43">
        <f t="shared" si="1268"/>
        <v>3.0000000000000018E-3</v>
      </c>
      <c r="Q143" s="43">
        <f t="shared" si="1268"/>
        <v>2.8333333333333353E-3</v>
      </c>
      <c r="R143" s="43">
        <f t="shared" si="1268"/>
        <v>2.6666666666666687E-3</v>
      </c>
      <c r="S143" s="43">
        <f t="shared" si="1268"/>
        <v>2.5000000000000022E-3</v>
      </c>
      <c r="T143" s="43">
        <f t="shared" si="1268"/>
        <v>2.3333333333333357E-3</v>
      </c>
      <c r="U143" s="43">
        <f t="shared" si="1268"/>
        <v>2.1666666666666692E-3</v>
      </c>
      <c r="V143" s="43">
        <f t="shared" si="1268"/>
        <v>2.0000000000000026E-3</v>
      </c>
      <c r="W143" s="43">
        <f t="shared" si="1268"/>
        <v>1.8333333333333359E-3</v>
      </c>
      <c r="X143" s="43">
        <f t="shared" si="1268"/>
        <v>1.6666666666666692E-3</v>
      </c>
      <c r="Y143" s="43">
        <f t="shared" si="1268"/>
        <v>1.5000000000000024E-3</v>
      </c>
      <c r="Z143" s="43">
        <f t="shared" si="1268"/>
        <v>1.3333333333333357E-3</v>
      </c>
      <c r="AA143" s="43">
        <f t="shared" si="1268"/>
        <v>1.1666666666666689E-3</v>
      </c>
      <c r="AB143" s="43">
        <f t="shared" si="1268"/>
        <v>1.0000000000000022E-3</v>
      </c>
      <c r="AC143" s="43">
        <f t="shared" si="1268"/>
        <v>8.3333333333333556E-4</v>
      </c>
      <c r="AD143" s="43">
        <f t="shared" si="1268"/>
        <v>6.6666666666666892E-4</v>
      </c>
      <c r="AE143" s="43">
        <f t="shared" si="1268"/>
        <v>5.0000000000000229E-4</v>
      </c>
      <c r="AF143" s="43">
        <f t="shared" si="1268"/>
        <v>3.3333333333333565E-4</v>
      </c>
      <c r="AG143" s="43">
        <f t="shared" si="1268"/>
        <v>1.6666666666666899E-4</v>
      </c>
      <c r="AH143" s="43">
        <f>$C$190</f>
        <v>0</v>
      </c>
      <c r="AI143" s="44"/>
      <c r="AJ143" s="43">
        <f t="shared" si="1260"/>
        <v>5.0000000000000001E-3</v>
      </c>
      <c r="AK143" s="43">
        <f t="shared" si="1198"/>
        <v>4.8333333333333336E-3</v>
      </c>
      <c r="AL143" s="43">
        <f t="shared" si="1199"/>
        <v>4.6666666666666671E-3</v>
      </c>
      <c r="AM143" s="43">
        <f t="shared" si="1200"/>
        <v>4.5000000000000005E-3</v>
      </c>
      <c r="AN143" s="43">
        <f t="shared" si="1201"/>
        <v>4.333333333333334E-3</v>
      </c>
      <c r="AO143" s="43">
        <f t="shared" si="1202"/>
        <v>4.1666666666666675E-3</v>
      </c>
      <c r="AP143" s="43">
        <f t="shared" si="1203"/>
        <v>4.000000000000001E-3</v>
      </c>
      <c r="AQ143" s="43">
        <f t="shared" si="1204"/>
        <v>3.8333333333333344E-3</v>
      </c>
      <c r="AR143" s="43">
        <f t="shared" si="1205"/>
        <v>3.6666666666666679E-3</v>
      </c>
      <c r="AS143" s="43">
        <f t="shared" si="1206"/>
        <v>3.5000000000000014E-3</v>
      </c>
      <c r="AT143" s="43">
        <f t="shared" si="1207"/>
        <v>3.3333333333333348E-3</v>
      </c>
      <c r="AU143" s="43">
        <f t="shared" si="1208"/>
        <v>3.1666666666666683E-3</v>
      </c>
      <c r="AV143" s="43">
        <f t="shared" si="1209"/>
        <v>3.0000000000000018E-3</v>
      </c>
      <c r="AW143" s="43">
        <f t="shared" si="1210"/>
        <v>2.8333333333333353E-3</v>
      </c>
      <c r="AX143" s="43">
        <f t="shared" si="1211"/>
        <v>2.6666666666666687E-3</v>
      </c>
      <c r="AY143" s="43">
        <f t="shared" si="1212"/>
        <v>2.5000000000000022E-3</v>
      </c>
      <c r="AZ143" s="43">
        <f t="shared" si="1213"/>
        <v>2.3333333333333357E-3</v>
      </c>
      <c r="BA143" s="43">
        <f t="shared" si="1214"/>
        <v>2.1666666666666692E-3</v>
      </c>
      <c r="BB143" s="43">
        <f t="shared" si="1215"/>
        <v>2.0000000000000026E-3</v>
      </c>
      <c r="BC143" s="43">
        <f t="shared" si="1216"/>
        <v>1.8333333333333359E-3</v>
      </c>
      <c r="BD143" s="43">
        <f t="shared" si="1217"/>
        <v>1.6666666666666692E-3</v>
      </c>
      <c r="BE143" s="43">
        <f t="shared" si="1218"/>
        <v>1.5000000000000024E-3</v>
      </c>
      <c r="BF143" s="43">
        <f t="shared" si="1219"/>
        <v>1.3333333333333357E-3</v>
      </c>
      <c r="BG143" s="43">
        <f t="shared" si="1220"/>
        <v>1.1666666666666689E-3</v>
      </c>
      <c r="BH143" s="43">
        <f t="shared" si="1221"/>
        <v>1.0000000000000022E-3</v>
      </c>
      <c r="BI143" s="43">
        <f t="shared" si="1222"/>
        <v>8.3333333333333556E-4</v>
      </c>
      <c r="BJ143" s="43">
        <f t="shared" si="1223"/>
        <v>6.6666666666666892E-4</v>
      </c>
      <c r="BK143" s="43">
        <f t="shared" si="1224"/>
        <v>5.0000000000000229E-4</v>
      </c>
      <c r="BL143" s="43">
        <f t="shared" si="1225"/>
        <v>3.3333333333333565E-4</v>
      </c>
      <c r="BM143" s="43">
        <f t="shared" si="1226"/>
        <v>1.6666666666666899E-4</v>
      </c>
      <c r="BN143" s="43">
        <f t="shared" si="1227"/>
        <v>0</v>
      </c>
      <c r="BP143" s="43">
        <f t="shared" si="1261"/>
        <v>5.0000000000000001E-3</v>
      </c>
      <c r="BQ143" s="43">
        <f t="shared" ref="BQ143:CS143" si="1269">BP143-($BP143-$CT143)/30</f>
        <v>5.0000000000000001E-3</v>
      </c>
      <c r="BR143" s="43">
        <f t="shared" si="1269"/>
        <v>5.0000000000000001E-3</v>
      </c>
      <c r="BS143" s="43">
        <f t="shared" si="1269"/>
        <v>5.0000000000000001E-3</v>
      </c>
      <c r="BT143" s="43">
        <f t="shared" si="1269"/>
        <v>5.0000000000000001E-3</v>
      </c>
      <c r="BU143" s="43">
        <f t="shared" si="1269"/>
        <v>5.0000000000000001E-3</v>
      </c>
      <c r="BV143" s="43">
        <f t="shared" si="1269"/>
        <v>5.0000000000000001E-3</v>
      </c>
      <c r="BW143" s="43">
        <f t="shared" si="1269"/>
        <v>5.0000000000000001E-3</v>
      </c>
      <c r="BX143" s="43">
        <f t="shared" si="1269"/>
        <v>5.0000000000000001E-3</v>
      </c>
      <c r="BY143" s="43">
        <f t="shared" si="1269"/>
        <v>5.0000000000000001E-3</v>
      </c>
      <c r="BZ143" s="43">
        <f t="shared" si="1269"/>
        <v>5.0000000000000001E-3</v>
      </c>
      <c r="CA143" s="43">
        <f t="shared" si="1269"/>
        <v>5.0000000000000001E-3</v>
      </c>
      <c r="CB143" s="43">
        <f t="shared" si="1269"/>
        <v>5.0000000000000001E-3</v>
      </c>
      <c r="CC143" s="43">
        <f t="shared" si="1269"/>
        <v>5.0000000000000001E-3</v>
      </c>
      <c r="CD143" s="43">
        <f t="shared" si="1269"/>
        <v>5.0000000000000001E-3</v>
      </c>
      <c r="CE143" s="43">
        <f t="shared" si="1269"/>
        <v>5.0000000000000001E-3</v>
      </c>
      <c r="CF143" s="43">
        <f t="shared" si="1269"/>
        <v>5.0000000000000001E-3</v>
      </c>
      <c r="CG143" s="43">
        <f t="shared" si="1269"/>
        <v>5.0000000000000001E-3</v>
      </c>
      <c r="CH143" s="43">
        <f t="shared" si="1269"/>
        <v>5.0000000000000001E-3</v>
      </c>
      <c r="CI143" s="43">
        <f t="shared" si="1269"/>
        <v>5.0000000000000001E-3</v>
      </c>
      <c r="CJ143" s="43">
        <f t="shared" si="1269"/>
        <v>5.0000000000000001E-3</v>
      </c>
      <c r="CK143" s="43">
        <f t="shared" si="1269"/>
        <v>5.0000000000000001E-3</v>
      </c>
      <c r="CL143" s="43">
        <f t="shared" si="1269"/>
        <v>5.0000000000000001E-3</v>
      </c>
      <c r="CM143" s="43">
        <f t="shared" si="1269"/>
        <v>5.0000000000000001E-3</v>
      </c>
      <c r="CN143" s="43">
        <f t="shared" si="1269"/>
        <v>5.0000000000000001E-3</v>
      </c>
      <c r="CO143" s="43">
        <f t="shared" si="1269"/>
        <v>5.0000000000000001E-3</v>
      </c>
      <c r="CP143" s="43">
        <f t="shared" si="1269"/>
        <v>5.0000000000000001E-3</v>
      </c>
      <c r="CQ143" s="43">
        <f t="shared" si="1269"/>
        <v>5.0000000000000001E-3</v>
      </c>
      <c r="CR143" s="43">
        <f t="shared" si="1269"/>
        <v>5.0000000000000001E-3</v>
      </c>
      <c r="CS143" s="43">
        <f t="shared" si="1269"/>
        <v>5.0000000000000001E-3</v>
      </c>
      <c r="CT143" s="43">
        <f t="shared" ref="CT143:CT147" si="1270">BP143</f>
        <v>5.0000000000000001E-3</v>
      </c>
      <c r="CV143" s="43">
        <f>AJ143</f>
        <v>5.0000000000000001E-3</v>
      </c>
      <c r="CW143" s="43">
        <f t="shared" si="1229"/>
        <v>4.8333333333333336E-3</v>
      </c>
      <c r="CX143" s="43">
        <f t="shared" si="1230"/>
        <v>4.6666666666666671E-3</v>
      </c>
      <c r="CY143" s="43">
        <f t="shared" si="1231"/>
        <v>4.5000000000000005E-3</v>
      </c>
      <c r="CZ143" s="43">
        <f t="shared" si="1232"/>
        <v>4.333333333333334E-3</v>
      </c>
      <c r="DA143" s="43">
        <f t="shared" si="1233"/>
        <v>4.1666666666666675E-3</v>
      </c>
      <c r="DB143" s="43">
        <f t="shared" si="1234"/>
        <v>4.000000000000001E-3</v>
      </c>
      <c r="DC143" s="43">
        <f t="shared" si="1235"/>
        <v>3.8333333333333344E-3</v>
      </c>
      <c r="DD143" s="43">
        <f t="shared" si="1236"/>
        <v>3.6666666666666679E-3</v>
      </c>
      <c r="DE143" s="43">
        <f t="shared" si="1237"/>
        <v>3.5000000000000014E-3</v>
      </c>
      <c r="DF143" s="43">
        <f t="shared" si="1238"/>
        <v>3.3333333333333348E-3</v>
      </c>
      <c r="DG143" s="43">
        <f t="shared" si="1239"/>
        <v>3.1666666666666683E-3</v>
      </c>
      <c r="DH143" s="43">
        <f t="shared" si="1240"/>
        <v>3.0000000000000018E-3</v>
      </c>
      <c r="DI143" s="43">
        <f t="shared" si="1241"/>
        <v>2.8333333333333353E-3</v>
      </c>
      <c r="DJ143" s="43">
        <f t="shared" si="1242"/>
        <v>2.6666666666666687E-3</v>
      </c>
      <c r="DK143" s="43">
        <f t="shared" si="1243"/>
        <v>2.5000000000000022E-3</v>
      </c>
      <c r="DL143" s="43">
        <f t="shared" si="1244"/>
        <v>2.3333333333333357E-3</v>
      </c>
      <c r="DM143" s="43">
        <f t="shared" si="1245"/>
        <v>2.1666666666666692E-3</v>
      </c>
      <c r="DN143" s="43">
        <f t="shared" si="1246"/>
        <v>2.0000000000000026E-3</v>
      </c>
      <c r="DO143" s="43">
        <f t="shared" si="1247"/>
        <v>1.8333333333333359E-3</v>
      </c>
      <c r="DP143" s="43">
        <f t="shared" si="1248"/>
        <v>1.6666666666666692E-3</v>
      </c>
      <c r="DQ143" s="43">
        <f t="shared" si="1249"/>
        <v>1.5000000000000024E-3</v>
      </c>
      <c r="DR143" s="43">
        <f t="shared" si="1250"/>
        <v>1.3333333333333357E-3</v>
      </c>
      <c r="DS143" s="43">
        <f t="shared" si="1251"/>
        <v>1.1666666666666689E-3</v>
      </c>
      <c r="DT143" s="43">
        <f t="shared" si="1252"/>
        <v>1.0000000000000022E-3</v>
      </c>
      <c r="DU143" s="43">
        <f t="shared" si="1253"/>
        <v>8.3333333333333556E-4</v>
      </c>
      <c r="DV143" s="43">
        <f t="shared" si="1254"/>
        <v>6.6666666666666892E-4</v>
      </c>
      <c r="DW143" s="43">
        <f t="shared" si="1255"/>
        <v>5.0000000000000229E-4</v>
      </c>
      <c r="DX143" s="43">
        <f t="shared" si="1256"/>
        <v>3.3333333333333565E-4</v>
      </c>
      <c r="DY143" s="43">
        <f t="shared" si="1257"/>
        <v>1.6666666666666899E-4</v>
      </c>
      <c r="DZ143" s="43">
        <f t="shared" si="1258"/>
        <v>0</v>
      </c>
    </row>
    <row r="144" spans="1:165" x14ac:dyDescent="0.2">
      <c r="A144" s="606" t="s">
        <v>451</v>
      </c>
      <c r="C144" s="54" t="s">
        <v>458</v>
      </c>
      <c r="D144" s="43">
        <f>$B$191</f>
        <v>0</v>
      </c>
      <c r="E144" s="43">
        <f t="shared" ref="E144:AG144" si="1271">D144-($D144-$AH144)/30</f>
        <v>0</v>
      </c>
      <c r="F144" s="43">
        <f t="shared" si="1271"/>
        <v>0</v>
      </c>
      <c r="G144" s="43">
        <f t="shared" si="1271"/>
        <v>0</v>
      </c>
      <c r="H144" s="43">
        <f t="shared" si="1271"/>
        <v>0</v>
      </c>
      <c r="I144" s="43">
        <f t="shared" si="1271"/>
        <v>0</v>
      </c>
      <c r="J144" s="43">
        <f t="shared" si="1271"/>
        <v>0</v>
      </c>
      <c r="K144" s="43">
        <f t="shared" si="1271"/>
        <v>0</v>
      </c>
      <c r="L144" s="43">
        <f t="shared" si="1271"/>
        <v>0</v>
      </c>
      <c r="M144" s="43">
        <f t="shared" si="1271"/>
        <v>0</v>
      </c>
      <c r="N144" s="43">
        <f t="shared" si="1271"/>
        <v>0</v>
      </c>
      <c r="O144" s="43">
        <f t="shared" si="1271"/>
        <v>0</v>
      </c>
      <c r="P144" s="43">
        <f t="shared" si="1271"/>
        <v>0</v>
      </c>
      <c r="Q144" s="43">
        <f t="shared" si="1271"/>
        <v>0</v>
      </c>
      <c r="R144" s="43">
        <f t="shared" si="1271"/>
        <v>0</v>
      </c>
      <c r="S144" s="43">
        <f t="shared" si="1271"/>
        <v>0</v>
      </c>
      <c r="T144" s="43">
        <f t="shared" si="1271"/>
        <v>0</v>
      </c>
      <c r="U144" s="43">
        <f t="shared" si="1271"/>
        <v>0</v>
      </c>
      <c r="V144" s="43">
        <f t="shared" si="1271"/>
        <v>0</v>
      </c>
      <c r="W144" s="43">
        <f t="shared" si="1271"/>
        <v>0</v>
      </c>
      <c r="X144" s="43">
        <f t="shared" si="1271"/>
        <v>0</v>
      </c>
      <c r="Y144" s="43">
        <f t="shared" si="1271"/>
        <v>0</v>
      </c>
      <c r="Z144" s="43">
        <f t="shared" si="1271"/>
        <v>0</v>
      </c>
      <c r="AA144" s="43">
        <f t="shared" si="1271"/>
        <v>0</v>
      </c>
      <c r="AB144" s="43">
        <f t="shared" si="1271"/>
        <v>0</v>
      </c>
      <c r="AC144" s="43">
        <f t="shared" si="1271"/>
        <v>0</v>
      </c>
      <c r="AD144" s="43">
        <f t="shared" si="1271"/>
        <v>0</v>
      </c>
      <c r="AE144" s="43">
        <f t="shared" si="1271"/>
        <v>0</v>
      </c>
      <c r="AF144" s="43">
        <f t="shared" si="1271"/>
        <v>0</v>
      </c>
      <c r="AG144" s="43">
        <f t="shared" si="1271"/>
        <v>0</v>
      </c>
      <c r="AH144" s="43">
        <f>$C$191</f>
        <v>0</v>
      </c>
      <c r="AI144" s="44"/>
      <c r="AJ144" s="43">
        <f t="shared" si="1260"/>
        <v>0</v>
      </c>
      <c r="AK144" s="43">
        <f t="shared" si="1198"/>
        <v>0</v>
      </c>
      <c r="AL144" s="43">
        <f t="shared" si="1199"/>
        <v>0</v>
      </c>
      <c r="AM144" s="43">
        <f t="shared" si="1200"/>
        <v>0</v>
      </c>
      <c r="AN144" s="43">
        <f t="shared" si="1201"/>
        <v>0</v>
      </c>
      <c r="AO144" s="43">
        <f t="shared" si="1202"/>
        <v>0</v>
      </c>
      <c r="AP144" s="43">
        <f t="shared" si="1203"/>
        <v>0</v>
      </c>
      <c r="AQ144" s="43">
        <f t="shared" si="1204"/>
        <v>0</v>
      </c>
      <c r="AR144" s="43">
        <f t="shared" si="1205"/>
        <v>0</v>
      </c>
      <c r="AS144" s="43">
        <f t="shared" si="1206"/>
        <v>0</v>
      </c>
      <c r="AT144" s="43">
        <f t="shared" si="1207"/>
        <v>0</v>
      </c>
      <c r="AU144" s="43">
        <f t="shared" si="1208"/>
        <v>0</v>
      </c>
      <c r="AV144" s="43">
        <f t="shared" si="1209"/>
        <v>0</v>
      </c>
      <c r="AW144" s="43">
        <f t="shared" si="1210"/>
        <v>0</v>
      </c>
      <c r="AX144" s="43">
        <f t="shared" si="1211"/>
        <v>0</v>
      </c>
      <c r="AY144" s="43">
        <f t="shared" si="1212"/>
        <v>0</v>
      </c>
      <c r="AZ144" s="43">
        <f t="shared" si="1213"/>
        <v>0</v>
      </c>
      <c r="BA144" s="43">
        <f t="shared" si="1214"/>
        <v>0</v>
      </c>
      <c r="BB144" s="43">
        <f t="shared" si="1215"/>
        <v>0</v>
      </c>
      <c r="BC144" s="43">
        <f t="shared" si="1216"/>
        <v>0</v>
      </c>
      <c r="BD144" s="43">
        <f t="shared" si="1217"/>
        <v>0</v>
      </c>
      <c r="BE144" s="43">
        <f t="shared" si="1218"/>
        <v>0</v>
      </c>
      <c r="BF144" s="43">
        <f t="shared" si="1219"/>
        <v>0</v>
      </c>
      <c r="BG144" s="43">
        <f t="shared" si="1220"/>
        <v>0</v>
      </c>
      <c r="BH144" s="43">
        <f t="shared" si="1221"/>
        <v>0</v>
      </c>
      <c r="BI144" s="43">
        <f t="shared" si="1222"/>
        <v>0</v>
      </c>
      <c r="BJ144" s="43">
        <f t="shared" si="1223"/>
        <v>0</v>
      </c>
      <c r="BK144" s="43">
        <f t="shared" si="1224"/>
        <v>0</v>
      </c>
      <c r="BL144" s="43">
        <f t="shared" si="1225"/>
        <v>0</v>
      </c>
      <c r="BM144" s="43">
        <f t="shared" si="1226"/>
        <v>0</v>
      </c>
      <c r="BN144" s="43">
        <f t="shared" si="1227"/>
        <v>0</v>
      </c>
      <c r="BP144" s="43">
        <f t="shared" si="1261"/>
        <v>0</v>
      </c>
      <c r="BQ144" s="43">
        <f t="shared" ref="BQ144:CS144" si="1272">BP144-($BP144-$CT144)/30</f>
        <v>0</v>
      </c>
      <c r="BR144" s="43">
        <f t="shared" si="1272"/>
        <v>0</v>
      </c>
      <c r="BS144" s="43">
        <f t="shared" si="1272"/>
        <v>0</v>
      </c>
      <c r="BT144" s="43">
        <f t="shared" si="1272"/>
        <v>0</v>
      </c>
      <c r="BU144" s="43">
        <f t="shared" si="1272"/>
        <v>0</v>
      </c>
      <c r="BV144" s="43">
        <f t="shared" si="1272"/>
        <v>0</v>
      </c>
      <c r="BW144" s="43">
        <f t="shared" si="1272"/>
        <v>0</v>
      </c>
      <c r="BX144" s="43">
        <f t="shared" si="1272"/>
        <v>0</v>
      </c>
      <c r="BY144" s="43">
        <f t="shared" si="1272"/>
        <v>0</v>
      </c>
      <c r="BZ144" s="43">
        <f t="shared" si="1272"/>
        <v>0</v>
      </c>
      <c r="CA144" s="43">
        <f t="shared" si="1272"/>
        <v>0</v>
      </c>
      <c r="CB144" s="43">
        <f t="shared" si="1272"/>
        <v>0</v>
      </c>
      <c r="CC144" s="43">
        <f t="shared" si="1272"/>
        <v>0</v>
      </c>
      <c r="CD144" s="43">
        <f t="shared" si="1272"/>
        <v>0</v>
      </c>
      <c r="CE144" s="43">
        <f t="shared" si="1272"/>
        <v>0</v>
      </c>
      <c r="CF144" s="43">
        <f t="shared" si="1272"/>
        <v>0</v>
      </c>
      <c r="CG144" s="43">
        <f t="shared" si="1272"/>
        <v>0</v>
      </c>
      <c r="CH144" s="43">
        <f t="shared" si="1272"/>
        <v>0</v>
      </c>
      <c r="CI144" s="43">
        <f t="shared" si="1272"/>
        <v>0</v>
      </c>
      <c r="CJ144" s="43">
        <f t="shared" si="1272"/>
        <v>0</v>
      </c>
      <c r="CK144" s="43">
        <f t="shared" si="1272"/>
        <v>0</v>
      </c>
      <c r="CL144" s="43">
        <f t="shared" si="1272"/>
        <v>0</v>
      </c>
      <c r="CM144" s="43">
        <f t="shared" si="1272"/>
        <v>0</v>
      </c>
      <c r="CN144" s="43">
        <f t="shared" si="1272"/>
        <v>0</v>
      </c>
      <c r="CO144" s="43">
        <f t="shared" si="1272"/>
        <v>0</v>
      </c>
      <c r="CP144" s="43">
        <f t="shared" si="1272"/>
        <v>0</v>
      </c>
      <c r="CQ144" s="43">
        <f t="shared" si="1272"/>
        <v>0</v>
      </c>
      <c r="CR144" s="43">
        <f t="shared" si="1272"/>
        <v>0</v>
      </c>
      <c r="CS144" s="43">
        <f t="shared" si="1272"/>
        <v>0</v>
      </c>
      <c r="CT144" s="43">
        <f t="shared" si="1270"/>
        <v>0</v>
      </c>
      <c r="CV144" s="43">
        <f t="shared" ref="CV144:CV147" si="1273">AJ144</f>
        <v>0</v>
      </c>
      <c r="CW144" s="43">
        <f t="shared" ref="CW144:CW147" si="1274">CV144-($BP144-$CT144)/30</f>
        <v>0</v>
      </c>
      <c r="CX144" s="43">
        <f t="shared" ref="CX144:CX147" si="1275">CW144-($BP144-$CT144)/30</f>
        <v>0</v>
      </c>
      <c r="CY144" s="43">
        <f t="shared" ref="CY144:CY147" si="1276">CX144-($BP144-$CT144)/30</f>
        <v>0</v>
      </c>
      <c r="CZ144" s="43">
        <f t="shared" ref="CZ144:CZ147" si="1277">CY144-($BP144-$CT144)/30</f>
        <v>0</v>
      </c>
      <c r="DA144" s="43">
        <f t="shared" ref="DA144:DA147" si="1278">CZ144-($BP144-$CT144)/30</f>
        <v>0</v>
      </c>
      <c r="DB144" s="43">
        <f t="shared" ref="DB144:DB147" si="1279">DA144-($BP144-$CT144)/30</f>
        <v>0</v>
      </c>
      <c r="DC144" s="43">
        <f t="shared" ref="DC144:DC147" si="1280">DB144-($BP144-$CT144)/30</f>
        <v>0</v>
      </c>
      <c r="DD144" s="43">
        <f t="shared" ref="DD144:DD147" si="1281">DC144-($BP144-$CT144)/30</f>
        <v>0</v>
      </c>
      <c r="DE144" s="43">
        <f t="shared" ref="DE144:DE147" si="1282">DD144-($BP144-$CT144)/30</f>
        <v>0</v>
      </c>
      <c r="DF144" s="43">
        <f t="shared" ref="DF144:DF147" si="1283">DE144-($BP144-$CT144)/30</f>
        <v>0</v>
      </c>
      <c r="DG144" s="43">
        <f t="shared" ref="DG144:DG147" si="1284">DF144-($BP144-$CT144)/30</f>
        <v>0</v>
      </c>
      <c r="DH144" s="43">
        <f t="shared" ref="DH144:DH147" si="1285">DG144-($BP144-$CT144)/30</f>
        <v>0</v>
      </c>
      <c r="DI144" s="43">
        <f t="shared" ref="DI144:DI147" si="1286">DH144-($BP144-$CT144)/30</f>
        <v>0</v>
      </c>
      <c r="DJ144" s="43">
        <f t="shared" ref="DJ144:DJ147" si="1287">DI144-($BP144-$CT144)/30</f>
        <v>0</v>
      </c>
      <c r="DK144" s="43">
        <f t="shared" ref="DK144:DK147" si="1288">DJ144-($BP144-$CT144)/30</f>
        <v>0</v>
      </c>
      <c r="DL144" s="43">
        <f t="shared" ref="DL144:DL147" si="1289">DK144-($BP144-$CT144)/30</f>
        <v>0</v>
      </c>
      <c r="DM144" s="43">
        <f t="shared" ref="DM144:DM147" si="1290">DL144-($BP144-$CT144)/30</f>
        <v>0</v>
      </c>
      <c r="DN144" s="43">
        <f t="shared" ref="DN144:DN147" si="1291">DM144-($BP144-$CT144)/30</f>
        <v>0</v>
      </c>
      <c r="DO144" s="43">
        <f t="shared" ref="DO144:DO147" si="1292">DN144-($BP144-$CT144)/30</f>
        <v>0</v>
      </c>
      <c r="DP144" s="43">
        <f t="shared" ref="DP144:DP147" si="1293">DO144-($BP144-$CT144)/30</f>
        <v>0</v>
      </c>
      <c r="DQ144" s="43">
        <f t="shared" ref="DQ144:DQ147" si="1294">DP144-($BP144-$CT144)/30</f>
        <v>0</v>
      </c>
      <c r="DR144" s="43">
        <f t="shared" ref="DR144:DR147" si="1295">DQ144-($BP144-$CT144)/30</f>
        <v>0</v>
      </c>
      <c r="DS144" s="43">
        <f t="shared" ref="DS144:DS147" si="1296">DR144-($BP144-$CT144)/30</f>
        <v>0</v>
      </c>
      <c r="DT144" s="43">
        <f t="shared" ref="DT144:DT147" si="1297">DS144-($BP144-$CT144)/30</f>
        <v>0</v>
      </c>
      <c r="DU144" s="43">
        <f t="shared" ref="DU144:DU147" si="1298">DT144-($BP144-$CT144)/30</f>
        <v>0</v>
      </c>
      <c r="DV144" s="43">
        <f t="shared" ref="DV144:DV147" si="1299">DU144-($BP144-$CT144)/30</f>
        <v>0</v>
      </c>
      <c r="DW144" s="43">
        <f t="shared" ref="DW144:DW147" si="1300">DV144-($BP144-$CT144)/30</f>
        <v>0</v>
      </c>
      <c r="DX144" s="43">
        <f t="shared" ref="DX144:DX147" si="1301">DW144-($BP144-$CT144)/30</f>
        <v>0</v>
      </c>
      <c r="DY144" s="43">
        <f t="shared" ref="DY144:DY147" si="1302">DX144-($BP144-$CT144)/30</f>
        <v>0</v>
      </c>
      <c r="DZ144" s="43">
        <v>0</v>
      </c>
    </row>
    <row r="145" spans="1:165" x14ac:dyDescent="0.2">
      <c r="A145" s="606" t="s">
        <v>452</v>
      </c>
      <c r="C145" s="54" t="s">
        <v>458</v>
      </c>
      <c r="D145" s="43">
        <f>$B$192</f>
        <v>2.8940000000000001</v>
      </c>
      <c r="E145" s="43">
        <f t="shared" ref="E145:AG145" si="1303">D145-($D145-$AH145)/30</f>
        <v>2.8940000000000001</v>
      </c>
      <c r="F145" s="43">
        <f t="shared" si="1303"/>
        <v>2.8940000000000001</v>
      </c>
      <c r="G145" s="43">
        <f t="shared" si="1303"/>
        <v>2.8940000000000001</v>
      </c>
      <c r="H145" s="43">
        <f t="shared" si="1303"/>
        <v>2.8940000000000001</v>
      </c>
      <c r="I145" s="43">
        <f t="shared" si="1303"/>
        <v>2.8940000000000001</v>
      </c>
      <c r="J145" s="43">
        <f t="shared" si="1303"/>
        <v>2.8940000000000001</v>
      </c>
      <c r="K145" s="43">
        <f t="shared" si="1303"/>
        <v>2.8940000000000001</v>
      </c>
      <c r="L145" s="43">
        <f t="shared" si="1303"/>
        <v>2.8940000000000001</v>
      </c>
      <c r="M145" s="43">
        <f t="shared" si="1303"/>
        <v>2.8940000000000001</v>
      </c>
      <c r="N145" s="43">
        <f t="shared" si="1303"/>
        <v>2.8940000000000001</v>
      </c>
      <c r="O145" s="43">
        <f t="shared" si="1303"/>
        <v>2.8940000000000001</v>
      </c>
      <c r="P145" s="43">
        <f t="shared" si="1303"/>
        <v>2.8940000000000001</v>
      </c>
      <c r="Q145" s="43">
        <f t="shared" si="1303"/>
        <v>2.8940000000000001</v>
      </c>
      <c r="R145" s="43">
        <f t="shared" si="1303"/>
        <v>2.8940000000000001</v>
      </c>
      <c r="S145" s="43">
        <f t="shared" si="1303"/>
        <v>2.8940000000000001</v>
      </c>
      <c r="T145" s="43">
        <f t="shared" si="1303"/>
        <v>2.8940000000000001</v>
      </c>
      <c r="U145" s="43">
        <f t="shared" si="1303"/>
        <v>2.8940000000000001</v>
      </c>
      <c r="V145" s="43">
        <f t="shared" si="1303"/>
        <v>2.8940000000000001</v>
      </c>
      <c r="W145" s="43">
        <f t="shared" si="1303"/>
        <v>2.8940000000000001</v>
      </c>
      <c r="X145" s="43">
        <f t="shared" si="1303"/>
        <v>2.8940000000000001</v>
      </c>
      <c r="Y145" s="43">
        <f t="shared" si="1303"/>
        <v>2.8940000000000001</v>
      </c>
      <c r="Z145" s="43">
        <f t="shared" si="1303"/>
        <v>2.8940000000000001</v>
      </c>
      <c r="AA145" s="43">
        <f t="shared" si="1303"/>
        <v>2.8940000000000001</v>
      </c>
      <c r="AB145" s="43">
        <f t="shared" si="1303"/>
        <v>2.8940000000000001</v>
      </c>
      <c r="AC145" s="43">
        <f t="shared" si="1303"/>
        <v>2.8940000000000001</v>
      </c>
      <c r="AD145" s="43">
        <f t="shared" si="1303"/>
        <v>2.8940000000000001</v>
      </c>
      <c r="AE145" s="43">
        <f t="shared" si="1303"/>
        <v>2.8940000000000001</v>
      </c>
      <c r="AF145" s="43">
        <f t="shared" si="1303"/>
        <v>2.8940000000000001</v>
      </c>
      <c r="AG145" s="43">
        <f t="shared" si="1303"/>
        <v>2.8940000000000001</v>
      </c>
      <c r="AH145" s="43">
        <f>$C$192</f>
        <v>2.8940000000000001</v>
      </c>
      <c r="AI145" s="44"/>
      <c r="AJ145" s="43">
        <f t="shared" si="1260"/>
        <v>2.8940000000000001</v>
      </c>
      <c r="AK145" s="43">
        <f t="shared" si="1198"/>
        <v>2.8940000000000001</v>
      </c>
      <c r="AL145" s="43">
        <f t="shared" si="1199"/>
        <v>2.8940000000000001</v>
      </c>
      <c r="AM145" s="43">
        <f t="shared" si="1200"/>
        <v>2.8940000000000001</v>
      </c>
      <c r="AN145" s="43">
        <f t="shared" si="1201"/>
        <v>2.8940000000000001</v>
      </c>
      <c r="AO145" s="43">
        <f t="shared" si="1202"/>
        <v>2.8940000000000001</v>
      </c>
      <c r="AP145" s="43">
        <f t="shared" si="1203"/>
        <v>2.8940000000000001</v>
      </c>
      <c r="AQ145" s="43">
        <f t="shared" si="1204"/>
        <v>2.8940000000000001</v>
      </c>
      <c r="AR145" s="43">
        <f t="shared" si="1205"/>
        <v>2.8940000000000001</v>
      </c>
      <c r="AS145" s="43">
        <f t="shared" si="1206"/>
        <v>2.8940000000000001</v>
      </c>
      <c r="AT145" s="43">
        <f t="shared" si="1207"/>
        <v>2.8940000000000001</v>
      </c>
      <c r="AU145" s="43">
        <f t="shared" si="1208"/>
        <v>2.8940000000000001</v>
      </c>
      <c r="AV145" s="43">
        <f t="shared" si="1209"/>
        <v>2.8940000000000001</v>
      </c>
      <c r="AW145" s="43">
        <f t="shared" si="1210"/>
        <v>2.8940000000000001</v>
      </c>
      <c r="AX145" s="43">
        <f t="shared" si="1211"/>
        <v>2.8940000000000001</v>
      </c>
      <c r="AY145" s="43">
        <f t="shared" si="1212"/>
        <v>2.8940000000000001</v>
      </c>
      <c r="AZ145" s="43">
        <f t="shared" si="1213"/>
        <v>2.8940000000000001</v>
      </c>
      <c r="BA145" s="43">
        <f t="shared" si="1214"/>
        <v>2.8940000000000001</v>
      </c>
      <c r="BB145" s="43">
        <f t="shared" si="1215"/>
        <v>2.8940000000000001</v>
      </c>
      <c r="BC145" s="43">
        <f t="shared" si="1216"/>
        <v>2.8940000000000001</v>
      </c>
      <c r="BD145" s="43">
        <f t="shared" si="1217"/>
        <v>2.8940000000000001</v>
      </c>
      <c r="BE145" s="43">
        <f t="shared" si="1218"/>
        <v>2.8940000000000001</v>
      </c>
      <c r="BF145" s="43">
        <f t="shared" si="1219"/>
        <v>2.8940000000000001</v>
      </c>
      <c r="BG145" s="43">
        <f t="shared" si="1220"/>
        <v>2.8940000000000001</v>
      </c>
      <c r="BH145" s="43">
        <f t="shared" si="1221"/>
        <v>2.8940000000000001</v>
      </c>
      <c r="BI145" s="43">
        <f t="shared" si="1222"/>
        <v>2.8940000000000001</v>
      </c>
      <c r="BJ145" s="43">
        <f t="shared" si="1223"/>
        <v>2.8940000000000001</v>
      </c>
      <c r="BK145" s="43">
        <f t="shared" si="1224"/>
        <v>2.8940000000000001</v>
      </c>
      <c r="BL145" s="43">
        <f t="shared" si="1225"/>
        <v>2.8940000000000001</v>
      </c>
      <c r="BM145" s="43">
        <f t="shared" si="1226"/>
        <v>2.8940000000000001</v>
      </c>
      <c r="BN145" s="43">
        <f t="shared" si="1227"/>
        <v>2.8940000000000001</v>
      </c>
      <c r="BP145" s="43">
        <f t="shared" si="1261"/>
        <v>2.8940000000000001</v>
      </c>
      <c r="BQ145" s="43">
        <f t="shared" ref="BQ145:CS145" si="1304">BP145-($BP145-$CT145)/30</f>
        <v>2.8940000000000001</v>
      </c>
      <c r="BR145" s="43">
        <f t="shared" si="1304"/>
        <v>2.8940000000000001</v>
      </c>
      <c r="BS145" s="43">
        <f t="shared" si="1304"/>
        <v>2.8940000000000001</v>
      </c>
      <c r="BT145" s="43">
        <f t="shared" si="1304"/>
        <v>2.8940000000000001</v>
      </c>
      <c r="BU145" s="43">
        <f t="shared" si="1304"/>
        <v>2.8940000000000001</v>
      </c>
      <c r="BV145" s="43">
        <f t="shared" si="1304"/>
        <v>2.8940000000000001</v>
      </c>
      <c r="BW145" s="43">
        <f t="shared" si="1304"/>
        <v>2.8940000000000001</v>
      </c>
      <c r="BX145" s="43">
        <f t="shared" si="1304"/>
        <v>2.8940000000000001</v>
      </c>
      <c r="BY145" s="43">
        <f t="shared" si="1304"/>
        <v>2.8940000000000001</v>
      </c>
      <c r="BZ145" s="43">
        <f t="shared" si="1304"/>
        <v>2.8940000000000001</v>
      </c>
      <c r="CA145" s="43">
        <f t="shared" si="1304"/>
        <v>2.8940000000000001</v>
      </c>
      <c r="CB145" s="43">
        <f t="shared" si="1304"/>
        <v>2.8940000000000001</v>
      </c>
      <c r="CC145" s="43">
        <f t="shared" si="1304"/>
        <v>2.8940000000000001</v>
      </c>
      <c r="CD145" s="43">
        <f t="shared" si="1304"/>
        <v>2.8940000000000001</v>
      </c>
      <c r="CE145" s="43">
        <f t="shared" si="1304"/>
        <v>2.8940000000000001</v>
      </c>
      <c r="CF145" s="43">
        <f t="shared" si="1304"/>
        <v>2.8940000000000001</v>
      </c>
      <c r="CG145" s="43">
        <f t="shared" si="1304"/>
        <v>2.8940000000000001</v>
      </c>
      <c r="CH145" s="43">
        <f t="shared" si="1304"/>
        <v>2.8940000000000001</v>
      </c>
      <c r="CI145" s="43">
        <f t="shared" si="1304"/>
        <v>2.8940000000000001</v>
      </c>
      <c r="CJ145" s="43">
        <f t="shared" si="1304"/>
        <v>2.8940000000000001</v>
      </c>
      <c r="CK145" s="43">
        <f t="shared" si="1304"/>
        <v>2.8940000000000001</v>
      </c>
      <c r="CL145" s="43">
        <f t="shared" si="1304"/>
        <v>2.8940000000000001</v>
      </c>
      <c r="CM145" s="43">
        <f t="shared" si="1304"/>
        <v>2.8940000000000001</v>
      </c>
      <c r="CN145" s="43">
        <f t="shared" si="1304"/>
        <v>2.8940000000000001</v>
      </c>
      <c r="CO145" s="43">
        <f t="shared" si="1304"/>
        <v>2.8940000000000001</v>
      </c>
      <c r="CP145" s="43">
        <f t="shared" si="1304"/>
        <v>2.8940000000000001</v>
      </c>
      <c r="CQ145" s="43">
        <f t="shared" si="1304"/>
        <v>2.8940000000000001</v>
      </c>
      <c r="CR145" s="43">
        <f t="shared" si="1304"/>
        <v>2.8940000000000001</v>
      </c>
      <c r="CS145" s="43">
        <f t="shared" si="1304"/>
        <v>2.8940000000000001</v>
      </c>
      <c r="CT145" s="43">
        <f t="shared" si="1270"/>
        <v>2.8940000000000001</v>
      </c>
      <c r="CV145" s="43">
        <f t="shared" si="1273"/>
        <v>2.8940000000000001</v>
      </c>
      <c r="CW145" s="43">
        <f t="shared" si="1274"/>
        <v>2.8940000000000001</v>
      </c>
      <c r="CX145" s="43">
        <f t="shared" si="1275"/>
        <v>2.8940000000000001</v>
      </c>
      <c r="CY145" s="43">
        <f t="shared" si="1276"/>
        <v>2.8940000000000001</v>
      </c>
      <c r="CZ145" s="43">
        <f t="shared" si="1277"/>
        <v>2.8940000000000001</v>
      </c>
      <c r="DA145" s="43">
        <f t="shared" si="1278"/>
        <v>2.8940000000000001</v>
      </c>
      <c r="DB145" s="43">
        <f t="shared" si="1279"/>
        <v>2.8940000000000001</v>
      </c>
      <c r="DC145" s="43">
        <f t="shared" si="1280"/>
        <v>2.8940000000000001</v>
      </c>
      <c r="DD145" s="43">
        <f t="shared" si="1281"/>
        <v>2.8940000000000001</v>
      </c>
      <c r="DE145" s="43">
        <f t="shared" si="1282"/>
        <v>2.8940000000000001</v>
      </c>
      <c r="DF145" s="43">
        <f t="shared" si="1283"/>
        <v>2.8940000000000001</v>
      </c>
      <c r="DG145" s="43">
        <f t="shared" si="1284"/>
        <v>2.8940000000000001</v>
      </c>
      <c r="DH145" s="43">
        <f t="shared" si="1285"/>
        <v>2.8940000000000001</v>
      </c>
      <c r="DI145" s="43">
        <f t="shared" si="1286"/>
        <v>2.8940000000000001</v>
      </c>
      <c r="DJ145" s="43">
        <f t="shared" si="1287"/>
        <v>2.8940000000000001</v>
      </c>
      <c r="DK145" s="43">
        <f t="shared" si="1288"/>
        <v>2.8940000000000001</v>
      </c>
      <c r="DL145" s="43">
        <f t="shared" si="1289"/>
        <v>2.8940000000000001</v>
      </c>
      <c r="DM145" s="43">
        <f t="shared" si="1290"/>
        <v>2.8940000000000001</v>
      </c>
      <c r="DN145" s="43">
        <f t="shared" si="1291"/>
        <v>2.8940000000000001</v>
      </c>
      <c r="DO145" s="43">
        <f t="shared" si="1292"/>
        <v>2.8940000000000001</v>
      </c>
      <c r="DP145" s="43">
        <f t="shared" si="1293"/>
        <v>2.8940000000000001</v>
      </c>
      <c r="DQ145" s="43">
        <f t="shared" si="1294"/>
        <v>2.8940000000000001</v>
      </c>
      <c r="DR145" s="43">
        <f t="shared" si="1295"/>
        <v>2.8940000000000001</v>
      </c>
      <c r="DS145" s="43">
        <f t="shared" si="1296"/>
        <v>2.8940000000000001</v>
      </c>
      <c r="DT145" s="43">
        <f t="shared" si="1297"/>
        <v>2.8940000000000001</v>
      </c>
      <c r="DU145" s="43">
        <f t="shared" si="1298"/>
        <v>2.8940000000000001</v>
      </c>
      <c r="DV145" s="43">
        <f t="shared" si="1299"/>
        <v>2.8940000000000001</v>
      </c>
      <c r="DW145" s="43">
        <f t="shared" si="1300"/>
        <v>2.8940000000000001</v>
      </c>
      <c r="DX145" s="43">
        <f t="shared" si="1301"/>
        <v>2.8940000000000001</v>
      </c>
      <c r="DY145" s="43">
        <f t="shared" si="1302"/>
        <v>2.8940000000000001</v>
      </c>
      <c r="DZ145" s="43">
        <f t="shared" ref="DZ145:DZ147" si="1305">CV145</f>
        <v>2.8940000000000001</v>
      </c>
    </row>
    <row r="146" spans="1:165" x14ac:dyDescent="0.2">
      <c r="A146" s="606" t="s">
        <v>453</v>
      </c>
      <c r="C146" s="54" t="s">
        <v>458</v>
      </c>
      <c r="D146" s="43">
        <f>$B$193</f>
        <v>0</v>
      </c>
      <c r="E146" s="43">
        <f t="shared" ref="E146:AG146" si="1306">D146-($D146-$AH146)/30</f>
        <v>0</v>
      </c>
      <c r="F146" s="43">
        <f t="shared" si="1306"/>
        <v>0</v>
      </c>
      <c r="G146" s="43">
        <f t="shared" si="1306"/>
        <v>0</v>
      </c>
      <c r="H146" s="43">
        <f t="shared" si="1306"/>
        <v>0</v>
      </c>
      <c r="I146" s="43">
        <f t="shared" si="1306"/>
        <v>0</v>
      </c>
      <c r="J146" s="43">
        <f t="shared" si="1306"/>
        <v>0</v>
      </c>
      <c r="K146" s="43">
        <f t="shared" si="1306"/>
        <v>0</v>
      </c>
      <c r="L146" s="43">
        <f t="shared" si="1306"/>
        <v>0</v>
      </c>
      <c r="M146" s="43">
        <f t="shared" si="1306"/>
        <v>0</v>
      </c>
      <c r="N146" s="43">
        <f t="shared" si="1306"/>
        <v>0</v>
      </c>
      <c r="O146" s="43">
        <f t="shared" si="1306"/>
        <v>0</v>
      </c>
      <c r="P146" s="43">
        <f t="shared" si="1306"/>
        <v>0</v>
      </c>
      <c r="Q146" s="43">
        <f t="shared" si="1306"/>
        <v>0</v>
      </c>
      <c r="R146" s="43">
        <f t="shared" si="1306"/>
        <v>0</v>
      </c>
      <c r="S146" s="43">
        <f t="shared" si="1306"/>
        <v>0</v>
      </c>
      <c r="T146" s="43">
        <f t="shared" si="1306"/>
        <v>0</v>
      </c>
      <c r="U146" s="43">
        <f t="shared" si="1306"/>
        <v>0</v>
      </c>
      <c r="V146" s="43">
        <f t="shared" si="1306"/>
        <v>0</v>
      </c>
      <c r="W146" s="43">
        <f t="shared" si="1306"/>
        <v>0</v>
      </c>
      <c r="X146" s="43">
        <f t="shared" si="1306"/>
        <v>0</v>
      </c>
      <c r="Y146" s="43">
        <f t="shared" si="1306"/>
        <v>0</v>
      </c>
      <c r="Z146" s="43">
        <f t="shared" si="1306"/>
        <v>0</v>
      </c>
      <c r="AA146" s="43">
        <f t="shared" si="1306"/>
        <v>0</v>
      </c>
      <c r="AB146" s="43">
        <f t="shared" si="1306"/>
        <v>0</v>
      </c>
      <c r="AC146" s="43">
        <f t="shared" si="1306"/>
        <v>0</v>
      </c>
      <c r="AD146" s="43">
        <f t="shared" si="1306"/>
        <v>0</v>
      </c>
      <c r="AE146" s="43">
        <f t="shared" si="1306"/>
        <v>0</v>
      </c>
      <c r="AF146" s="43">
        <f t="shared" si="1306"/>
        <v>0</v>
      </c>
      <c r="AG146" s="43">
        <f t="shared" si="1306"/>
        <v>0</v>
      </c>
      <c r="AH146" s="43">
        <f>$C$193</f>
        <v>0</v>
      </c>
      <c r="AI146" s="44"/>
      <c r="AJ146" s="43">
        <f t="shared" si="1260"/>
        <v>0</v>
      </c>
      <c r="AK146" s="43">
        <f t="shared" si="1198"/>
        <v>0</v>
      </c>
      <c r="AL146" s="43">
        <f t="shared" si="1199"/>
        <v>0</v>
      </c>
      <c r="AM146" s="43">
        <f t="shared" si="1200"/>
        <v>0</v>
      </c>
      <c r="AN146" s="43">
        <f t="shared" si="1201"/>
        <v>0</v>
      </c>
      <c r="AO146" s="43">
        <f t="shared" si="1202"/>
        <v>0</v>
      </c>
      <c r="AP146" s="43">
        <f t="shared" si="1203"/>
        <v>0</v>
      </c>
      <c r="AQ146" s="43">
        <f t="shared" si="1204"/>
        <v>0</v>
      </c>
      <c r="AR146" s="43">
        <f t="shared" si="1205"/>
        <v>0</v>
      </c>
      <c r="AS146" s="43">
        <f t="shared" si="1206"/>
        <v>0</v>
      </c>
      <c r="AT146" s="43">
        <f t="shared" si="1207"/>
        <v>0</v>
      </c>
      <c r="AU146" s="43">
        <f t="shared" si="1208"/>
        <v>0</v>
      </c>
      <c r="AV146" s="43">
        <f t="shared" si="1209"/>
        <v>0</v>
      </c>
      <c r="AW146" s="43">
        <f t="shared" si="1210"/>
        <v>0</v>
      </c>
      <c r="AX146" s="43">
        <f t="shared" si="1211"/>
        <v>0</v>
      </c>
      <c r="AY146" s="43">
        <f t="shared" si="1212"/>
        <v>0</v>
      </c>
      <c r="AZ146" s="43">
        <f t="shared" si="1213"/>
        <v>0</v>
      </c>
      <c r="BA146" s="43">
        <f t="shared" si="1214"/>
        <v>0</v>
      </c>
      <c r="BB146" s="43">
        <f t="shared" si="1215"/>
        <v>0</v>
      </c>
      <c r="BC146" s="43">
        <f t="shared" si="1216"/>
        <v>0</v>
      </c>
      <c r="BD146" s="43">
        <f t="shared" si="1217"/>
        <v>0</v>
      </c>
      <c r="BE146" s="43">
        <f t="shared" si="1218"/>
        <v>0</v>
      </c>
      <c r="BF146" s="43">
        <f t="shared" si="1219"/>
        <v>0</v>
      </c>
      <c r="BG146" s="43">
        <f t="shared" si="1220"/>
        <v>0</v>
      </c>
      <c r="BH146" s="43">
        <f t="shared" si="1221"/>
        <v>0</v>
      </c>
      <c r="BI146" s="43">
        <f t="shared" si="1222"/>
        <v>0</v>
      </c>
      <c r="BJ146" s="43">
        <f t="shared" si="1223"/>
        <v>0</v>
      </c>
      <c r="BK146" s="43">
        <f t="shared" si="1224"/>
        <v>0</v>
      </c>
      <c r="BL146" s="43">
        <f t="shared" si="1225"/>
        <v>0</v>
      </c>
      <c r="BM146" s="43">
        <f t="shared" si="1226"/>
        <v>0</v>
      </c>
      <c r="BN146" s="43">
        <f t="shared" si="1227"/>
        <v>0</v>
      </c>
      <c r="BP146" s="43">
        <f t="shared" si="1261"/>
        <v>0</v>
      </c>
      <c r="BQ146" s="43">
        <f t="shared" ref="BQ146:CS146" si="1307">BP146-($BP146-$CT146)/30</f>
        <v>0</v>
      </c>
      <c r="BR146" s="43">
        <f t="shared" si="1307"/>
        <v>0</v>
      </c>
      <c r="BS146" s="43">
        <f t="shared" si="1307"/>
        <v>0</v>
      </c>
      <c r="BT146" s="43">
        <f t="shared" si="1307"/>
        <v>0</v>
      </c>
      <c r="BU146" s="43">
        <f t="shared" si="1307"/>
        <v>0</v>
      </c>
      <c r="BV146" s="43">
        <f t="shared" si="1307"/>
        <v>0</v>
      </c>
      <c r="BW146" s="43">
        <f t="shared" si="1307"/>
        <v>0</v>
      </c>
      <c r="BX146" s="43">
        <f t="shared" si="1307"/>
        <v>0</v>
      </c>
      <c r="BY146" s="43">
        <f t="shared" si="1307"/>
        <v>0</v>
      </c>
      <c r="BZ146" s="43">
        <f t="shared" si="1307"/>
        <v>0</v>
      </c>
      <c r="CA146" s="43">
        <f t="shared" si="1307"/>
        <v>0</v>
      </c>
      <c r="CB146" s="43">
        <f t="shared" si="1307"/>
        <v>0</v>
      </c>
      <c r="CC146" s="43">
        <f t="shared" si="1307"/>
        <v>0</v>
      </c>
      <c r="CD146" s="43">
        <f t="shared" si="1307"/>
        <v>0</v>
      </c>
      <c r="CE146" s="43">
        <f t="shared" si="1307"/>
        <v>0</v>
      </c>
      <c r="CF146" s="43">
        <f t="shared" si="1307"/>
        <v>0</v>
      </c>
      <c r="CG146" s="43">
        <f t="shared" si="1307"/>
        <v>0</v>
      </c>
      <c r="CH146" s="43">
        <f t="shared" si="1307"/>
        <v>0</v>
      </c>
      <c r="CI146" s="43">
        <f t="shared" si="1307"/>
        <v>0</v>
      </c>
      <c r="CJ146" s="43">
        <f t="shared" si="1307"/>
        <v>0</v>
      </c>
      <c r="CK146" s="43">
        <f t="shared" si="1307"/>
        <v>0</v>
      </c>
      <c r="CL146" s="43">
        <f t="shared" si="1307"/>
        <v>0</v>
      </c>
      <c r="CM146" s="43">
        <f t="shared" si="1307"/>
        <v>0</v>
      </c>
      <c r="CN146" s="43">
        <f t="shared" si="1307"/>
        <v>0</v>
      </c>
      <c r="CO146" s="43">
        <f t="shared" si="1307"/>
        <v>0</v>
      </c>
      <c r="CP146" s="43">
        <f t="shared" si="1307"/>
        <v>0</v>
      </c>
      <c r="CQ146" s="43">
        <f t="shared" si="1307"/>
        <v>0</v>
      </c>
      <c r="CR146" s="43">
        <f t="shared" si="1307"/>
        <v>0</v>
      </c>
      <c r="CS146" s="43">
        <f t="shared" si="1307"/>
        <v>0</v>
      </c>
      <c r="CT146" s="43">
        <f t="shared" si="1270"/>
        <v>0</v>
      </c>
      <c r="CV146" s="43">
        <f t="shared" si="1273"/>
        <v>0</v>
      </c>
      <c r="CW146" s="43">
        <f t="shared" si="1274"/>
        <v>0</v>
      </c>
      <c r="CX146" s="43">
        <f t="shared" si="1275"/>
        <v>0</v>
      </c>
      <c r="CY146" s="43">
        <f t="shared" si="1276"/>
        <v>0</v>
      </c>
      <c r="CZ146" s="43">
        <f t="shared" si="1277"/>
        <v>0</v>
      </c>
      <c r="DA146" s="43">
        <f t="shared" si="1278"/>
        <v>0</v>
      </c>
      <c r="DB146" s="43">
        <f t="shared" si="1279"/>
        <v>0</v>
      </c>
      <c r="DC146" s="43">
        <f t="shared" si="1280"/>
        <v>0</v>
      </c>
      <c r="DD146" s="43">
        <f t="shared" si="1281"/>
        <v>0</v>
      </c>
      <c r="DE146" s="43">
        <f t="shared" si="1282"/>
        <v>0</v>
      </c>
      <c r="DF146" s="43">
        <f t="shared" si="1283"/>
        <v>0</v>
      </c>
      <c r="DG146" s="43">
        <f t="shared" si="1284"/>
        <v>0</v>
      </c>
      <c r="DH146" s="43">
        <f t="shared" si="1285"/>
        <v>0</v>
      </c>
      <c r="DI146" s="43">
        <f t="shared" si="1286"/>
        <v>0</v>
      </c>
      <c r="DJ146" s="43">
        <f t="shared" si="1287"/>
        <v>0</v>
      </c>
      <c r="DK146" s="43">
        <f t="shared" si="1288"/>
        <v>0</v>
      </c>
      <c r="DL146" s="43">
        <f t="shared" si="1289"/>
        <v>0</v>
      </c>
      <c r="DM146" s="43">
        <f t="shared" si="1290"/>
        <v>0</v>
      </c>
      <c r="DN146" s="43">
        <f t="shared" si="1291"/>
        <v>0</v>
      </c>
      <c r="DO146" s="43">
        <f t="shared" si="1292"/>
        <v>0</v>
      </c>
      <c r="DP146" s="43">
        <f t="shared" si="1293"/>
        <v>0</v>
      </c>
      <c r="DQ146" s="43">
        <f t="shared" si="1294"/>
        <v>0</v>
      </c>
      <c r="DR146" s="43">
        <f t="shared" si="1295"/>
        <v>0</v>
      </c>
      <c r="DS146" s="43">
        <f t="shared" si="1296"/>
        <v>0</v>
      </c>
      <c r="DT146" s="43">
        <f t="shared" si="1297"/>
        <v>0</v>
      </c>
      <c r="DU146" s="43">
        <f t="shared" si="1298"/>
        <v>0</v>
      </c>
      <c r="DV146" s="43">
        <f t="shared" si="1299"/>
        <v>0</v>
      </c>
      <c r="DW146" s="43">
        <f t="shared" si="1300"/>
        <v>0</v>
      </c>
      <c r="DX146" s="43">
        <f t="shared" si="1301"/>
        <v>0</v>
      </c>
      <c r="DY146" s="43">
        <f t="shared" si="1302"/>
        <v>0</v>
      </c>
      <c r="DZ146" s="43">
        <f t="shared" si="1305"/>
        <v>0</v>
      </c>
    </row>
    <row r="147" spans="1:165" ht="16" thickBot="1" x14ac:dyDescent="0.25">
      <c r="A147" s="606" t="s">
        <v>454</v>
      </c>
      <c r="C147" s="54" t="s">
        <v>458</v>
      </c>
      <c r="D147" s="43">
        <f>$B$194</f>
        <v>0</v>
      </c>
      <c r="E147" s="43">
        <f t="shared" ref="E147:AG147" si="1308">D147-($D147-$AH147)/30</f>
        <v>0</v>
      </c>
      <c r="F147" s="43">
        <f t="shared" si="1308"/>
        <v>0</v>
      </c>
      <c r="G147" s="43">
        <f t="shared" si="1308"/>
        <v>0</v>
      </c>
      <c r="H147" s="43">
        <f t="shared" si="1308"/>
        <v>0</v>
      </c>
      <c r="I147" s="43">
        <f t="shared" si="1308"/>
        <v>0</v>
      </c>
      <c r="J147" s="43">
        <f t="shared" si="1308"/>
        <v>0</v>
      </c>
      <c r="K147" s="43">
        <f t="shared" si="1308"/>
        <v>0</v>
      </c>
      <c r="L147" s="43">
        <f t="shared" si="1308"/>
        <v>0</v>
      </c>
      <c r="M147" s="43">
        <f t="shared" si="1308"/>
        <v>0</v>
      </c>
      <c r="N147" s="43">
        <f t="shared" si="1308"/>
        <v>0</v>
      </c>
      <c r="O147" s="43">
        <f t="shared" si="1308"/>
        <v>0</v>
      </c>
      <c r="P147" s="43">
        <f t="shared" si="1308"/>
        <v>0</v>
      </c>
      <c r="Q147" s="43">
        <f t="shared" si="1308"/>
        <v>0</v>
      </c>
      <c r="R147" s="43">
        <f t="shared" si="1308"/>
        <v>0</v>
      </c>
      <c r="S147" s="43">
        <f t="shared" si="1308"/>
        <v>0</v>
      </c>
      <c r="T147" s="43">
        <f t="shared" si="1308"/>
        <v>0</v>
      </c>
      <c r="U147" s="43">
        <f t="shared" si="1308"/>
        <v>0</v>
      </c>
      <c r="V147" s="43">
        <f t="shared" si="1308"/>
        <v>0</v>
      </c>
      <c r="W147" s="43">
        <f t="shared" si="1308"/>
        <v>0</v>
      </c>
      <c r="X147" s="43">
        <f t="shared" si="1308"/>
        <v>0</v>
      </c>
      <c r="Y147" s="43">
        <f t="shared" si="1308"/>
        <v>0</v>
      </c>
      <c r="Z147" s="43">
        <f t="shared" si="1308"/>
        <v>0</v>
      </c>
      <c r="AA147" s="43">
        <f t="shared" si="1308"/>
        <v>0</v>
      </c>
      <c r="AB147" s="43">
        <f t="shared" si="1308"/>
        <v>0</v>
      </c>
      <c r="AC147" s="43">
        <f t="shared" si="1308"/>
        <v>0</v>
      </c>
      <c r="AD147" s="43">
        <f t="shared" si="1308"/>
        <v>0</v>
      </c>
      <c r="AE147" s="43">
        <f t="shared" si="1308"/>
        <v>0</v>
      </c>
      <c r="AF147" s="43">
        <f t="shared" si="1308"/>
        <v>0</v>
      </c>
      <c r="AG147" s="43">
        <f t="shared" si="1308"/>
        <v>0</v>
      </c>
      <c r="AH147" s="43">
        <f>$C$194</f>
        <v>0</v>
      </c>
      <c r="AI147" s="44"/>
      <c r="AJ147" s="43">
        <f t="shared" si="1260"/>
        <v>0</v>
      </c>
      <c r="AK147" s="43">
        <f t="shared" si="1198"/>
        <v>0</v>
      </c>
      <c r="AL147" s="43">
        <f t="shared" si="1199"/>
        <v>0</v>
      </c>
      <c r="AM147" s="43">
        <f t="shared" si="1200"/>
        <v>0</v>
      </c>
      <c r="AN147" s="43">
        <f t="shared" si="1201"/>
        <v>0</v>
      </c>
      <c r="AO147" s="43">
        <f t="shared" si="1202"/>
        <v>0</v>
      </c>
      <c r="AP147" s="43">
        <f t="shared" si="1203"/>
        <v>0</v>
      </c>
      <c r="AQ147" s="43">
        <f t="shared" si="1204"/>
        <v>0</v>
      </c>
      <c r="AR147" s="43">
        <f t="shared" si="1205"/>
        <v>0</v>
      </c>
      <c r="AS147" s="43">
        <f t="shared" si="1206"/>
        <v>0</v>
      </c>
      <c r="AT147" s="43">
        <f t="shared" si="1207"/>
        <v>0</v>
      </c>
      <c r="AU147" s="43">
        <f t="shared" si="1208"/>
        <v>0</v>
      </c>
      <c r="AV147" s="43">
        <f t="shared" si="1209"/>
        <v>0</v>
      </c>
      <c r="AW147" s="43">
        <f t="shared" si="1210"/>
        <v>0</v>
      </c>
      <c r="AX147" s="43">
        <f t="shared" si="1211"/>
        <v>0</v>
      </c>
      <c r="AY147" s="43">
        <f t="shared" si="1212"/>
        <v>0</v>
      </c>
      <c r="AZ147" s="43">
        <f t="shared" si="1213"/>
        <v>0</v>
      </c>
      <c r="BA147" s="43">
        <f t="shared" si="1214"/>
        <v>0</v>
      </c>
      <c r="BB147" s="43">
        <f t="shared" si="1215"/>
        <v>0</v>
      </c>
      <c r="BC147" s="43">
        <f t="shared" si="1216"/>
        <v>0</v>
      </c>
      <c r="BD147" s="43">
        <f t="shared" si="1217"/>
        <v>0</v>
      </c>
      <c r="BE147" s="43">
        <f t="shared" si="1218"/>
        <v>0</v>
      </c>
      <c r="BF147" s="43">
        <f t="shared" si="1219"/>
        <v>0</v>
      </c>
      <c r="BG147" s="43">
        <f t="shared" si="1220"/>
        <v>0</v>
      </c>
      <c r="BH147" s="43">
        <f t="shared" si="1221"/>
        <v>0</v>
      </c>
      <c r="BI147" s="43">
        <f t="shared" si="1222"/>
        <v>0</v>
      </c>
      <c r="BJ147" s="43">
        <f t="shared" si="1223"/>
        <v>0</v>
      </c>
      <c r="BK147" s="43">
        <f t="shared" si="1224"/>
        <v>0</v>
      </c>
      <c r="BL147" s="43">
        <f t="shared" si="1225"/>
        <v>0</v>
      </c>
      <c r="BM147" s="43">
        <f t="shared" si="1226"/>
        <v>0</v>
      </c>
      <c r="BN147" s="43">
        <f t="shared" si="1227"/>
        <v>0</v>
      </c>
      <c r="BP147" s="43">
        <f t="shared" si="1261"/>
        <v>0</v>
      </c>
      <c r="BQ147" s="43">
        <f t="shared" ref="BQ147:CS147" si="1309">BP147-($BP147-$CT147)/30</f>
        <v>0</v>
      </c>
      <c r="BR147" s="43">
        <f t="shared" si="1309"/>
        <v>0</v>
      </c>
      <c r="BS147" s="43">
        <f t="shared" si="1309"/>
        <v>0</v>
      </c>
      <c r="BT147" s="43">
        <f t="shared" si="1309"/>
        <v>0</v>
      </c>
      <c r="BU147" s="43">
        <f t="shared" si="1309"/>
        <v>0</v>
      </c>
      <c r="BV147" s="43">
        <f t="shared" si="1309"/>
        <v>0</v>
      </c>
      <c r="BW147" s="43">
        <f t="shared" si="1309"/>
        <v>0</v>
      </c>
      <c r="BX147" s="43">
        <f t="shared" si="1309"/>
        <v>0</v>
      </c>
      <c r="BY147" s="43">
        <f t="shared" si="1309"/>
        <v>0</v>
      </c>
      <c r="BZ147" s="43">
        <f t="shared" si="1309"/>
        <v>0</v>
      </c>
      <c r="CA147" s="43">
        <f t="shared" si="1309"/>
        <v>0</v>
      </c>
      <c r="CB147" s="43">
        <f t="shared" si="1309"/>
        <v>0</v>
      </c>
      <c r="CC147" s="43">
        <f t="shared" si="1309"/>
        <v>0</v>
      </c>
      <c r="CD147" s="43">
        <f t="shared" si="1309"/>
        <v>0</v>
      </c>
      <c r="CE147" s="43">
        <f t="shared" si="1309"/>
        <v>0</v>
      </c>
      <c r="CF147" s="43">
        <f t="shared" si="1309"/>
        <v>0</v>
      </c>
      <c r="CG147" s="43">
        <f t="shared" si="1309"/>
        <v>0</v>
      </c>
      <c r="CH147" s="43">
        <f t="shared" si="1309"/>
        <v>0</v>
      </c>
      <c r="CI147" s="43">
        <f t="shared" si="1309"/>
        <v>0</v>
      </c>
      <c r="CJ147" s="43">
        <f t="shared" si="1309"/>
        <v>0</v>
      </c>
      <c r="CK147" s="43">
        <f t="shared" si="1309"/>
        <v>0</v>
      </c>
      <c r="CL147" s="43">
        <f t="shared" si="1309"/>
        <v>0</v>
      </c>
      <c r="CM147" s="43">
        <f t="shared" si="1309"/>
        <v>0</v>
      </c>
      <c r="CN147" s="43">
        <f t="shared" si="1309"/>
        <v>0</v>
      </c>
      <c r="CO147" s="43">
        <f t="shared" si="1309"/>
        <v>0</v>
      </c>
      <c r="CP147" s="43">
        <f t="shared" si="1309"/>
        <v>0</v>
      </c>
      <c r="CQ147" s="43">
        <f t="shared" si="1309"/>
        <v>0</v>
      </c>
      <c r="CR147" s="43">
        <f t="shared" si="1309"/>
        <v>0</v>
      </c>
      <c r="CS147" s="43">
        <f t="shared" si="1309"/>
        <v>0</v>
      </c>
      <c r="CT147" s="43">
        <f t="shared" si="1270"/>
        <v>0</v>
      </c>
      <c r="CV147" s="43">
        <f t="shared" si="1273"/>
        <v>0</v>
      </c>
      <c r="CW147" s="43">
        <f t="shared" si="1274"/>
        <v>0</v>
      </c>
      <c r="CX147" s="43">
        <f t="shared" si="1275"/>
        <v>0</v>
      </c>
      <c r="CY147" s="43">
        <f t="shared" si="1276"/>
        <v>0</v>
      </c>
      <c r="CZ147" s="43">
        <f t="shared" si="1277"/>
        <v>0</v>
      </c>
      <c r="DA147" s="43">
        <f t="shared" si="1278"/>
        <v>0</v>
      </c>
      <c r="DB147" s="43">
        <f t="shared" si="1279"/>
        <v>0</v>
      </c>
      <c r="DC147" s="43">
        <f t="shared" si="1280"/>
        <v>0</v>
      </c>
      <c r="DD147" s="43">
        <f t="shared" si="1281"/>
        <v>0</v>
      </c>
      <c r="DE147" s="43">
        <f t="shared" si="1282"/>
        <v>0</v>
      </c>
      <c r="DF147" s="43">
        <f t="shared" si="1283"/>
        <v>0</v>
      </c>
      <c r="DG147" s="43">
        <f t="shared" si="1284"/>
        <v>0</v>
      </c>
      <c r="DH147" s="43">
        <f t="shared" si="1285"/>
        <v>0</v>
      </c>
      <c r="DI147" s="43">
        <f t="shared" si="1286"/>
        <v>0</v>
      </c>
      <c r="DJ147" s="43">
        <f t="shared" si="1287"/>
        <v>0</v>
      </c>
      <c r="DK147" s="43">
        <f t="shared" si="1288"/>
        <v>0</v>
      </c>
      <c r="DL147" s="43">
        <f t="shared" si="1289"/>
        <v>0</v>
      </c>
      <c r="DM147" s="43">
        <f t="shared" si="1290"/>
        <v>0</v>
      </c>
      <c r="DN147" s="43">
        <f t="shared" si="1291"/>
        <v>0</v>
      </c>
      <c r="DO147" s="43">
        <f t="shared" si="1292"/>
        <v>0</v>
      </c>
      <c r="DP147" s="43">
        <f t="shared" si="1293"/>
        <v>0</v>
      </c>
      <c r="DQ147" s="43">
        <f t="shared" si="1294"/>
        <v>0</v>
      </c>
      <c r="DR147" s="43">
        <f t="shared" si="1295"/>
        <v>0</v>
      </c>
      <c r="DS147" s="43">
        <f t="shared" si="1296"/>
        <v>0</v>
      </c>
      <c r="DT147" s="43">
        <f t="shared" si="1297"/>
        <v>0</v>
      </c>
      <c r="DU147" s="43">
        <f t="shared" si="1298"/>
        <v>0</v>
      </c>
      <c r="DV147" s="43">
        <f t="shared" si="1299"/>
        <v>0</v>
      </c>
      <c r="DW147" s="43">
        <f t="shared" si="1300"/>
        <v>0</v>
      </c>
      <c r="DX147" s="43">
        <f t="shared" si="1301"/>
        <v>0</v>
      </c>
      <c r="DY147" s="43">
        <f t="shared" si="1302"/>
        <v>0</v>
      </c>
      <c r="DZ147" s="43">
        <f t="shared" si="1305"/>
        <v>0</v>
      </c>
    </row>
    <row r="148" spans="1:165" s="624" customFormat="1" ht="16" thickBot="1" x14ac:dyDescent="0.25">
      <c r="A148" s="623" t="s">
        <v>461</v>
      </c>
      <c r="C148" s="625"/>
      <c r="D148" s="626"/>
      <c r="E148" s="626"/>
      <c r="F148" s="626"/>
      <c r="G148" s="626"/>
      <c r="H148" s="626"/>
      <c r="I148" s="626"/>
      <c r="J148" s="626"/>
      <c r="K148" s="626"/>
      <c r="L148" s="626"/>
      <c r="M148" s="626"/>
      <c r="N148" s="626"/>
      <c r="O148" s="626"/>
      <c r="P148" s="626"/>
      <c r="Q148" s="626"/>
      <c r="R148" s="626"/>
      <c r="S148" s="626"/>
      <c r="T148" s="626"/>
      <c r="U148" s="626"/>
      <c r="V148" s="626"/>
      <c r="W148" s="626"/>
      <c r="X148" s="626"/>
      <c r="Y148" s="626"/>
      <c r="Z148" s="626"/>
      <c r="AA148" s="626"/>
      <c r="AB148" s="626"/>
      <c r="AC148" s="626"/>
      <c r="AD148" s="626"/>
      <c r="AE148" s="626"/>
      <c r="AF148" s="626"/>
      <c r="AG148" s="626"/>
      <c r="AH148" s="626"/>
      <c r="AI148" s="626"/>
      <c r="AJ148" s="626"/>
      <c r="AK148" s="626"/>
      <c r="AL148" s="626"/>
      <c r="AM148" s="626"/>
      <c r="AN148" s="626"/>
      <c r="AO148" s="626"/>
      <c r="AP148" s="626"/>
      <c r="AQ148" s="626"/>
      <c r="AR148" s="626"/>
      <c r="AS148" s="626"/>
      <c r="AT148" s="626"/>
      <c r="AU148" s="626"/>
      <c r="AV148" s="626"/>
      <c r="AW148" s="626"/>
      <c r="AX148" s="626"/>
      <c r="AY148" s="626"/>
      <c r="AZ148" s="626"/>
      <c r="BA148" s="626"/>
      <c r="BB148" s="626"/>
      <c r="BC148" s="626"/>
      <c r="BD148" s="626"/>
      <c r="BE148" s="626"/>
      <c r="BF148" s="626"/>
      <c r="BG148" s="626"/>
      <c r="BH148" s="626"/>
      <c r="BI148" s="626"/>
      <c r="BJ148" s="626"/>
      <c r="BK148" s="626"/>
      <c r="BL148" s="626"/>
      <c r="BM148" s="626"/>
      <c r="BN148" s="626"/>
      <c r="BP148" s="626"/>
      <c r="BQ148" s="626"/>
      <c r="BR148" s="626"/>
      <c r="BS148" s="626"/>
      <c r="BT148" s="626"/>
      <c r="BU148" s="626"/>
      <c r="BV148" s="626"/>
      <c r="BW148" s="626"/>
      <c r="BX148" s="626"/>
      <c r="BY148" s="626"/>
      <c r="BZ148" s="626"/>
      <c r="CA148" s="626"/>
      <c r="CB148" s="626"/>
      <c r="CC148" s="626"/>
      <c r="CD148" s="626"/>
      <c r="CE148" s="626"/>
      <c r="CF148" s="626"/>
      <c r="CG148" s="626"/>
      <c r="CH148" s="626"/>
      <c r="CI148" s="626"/>
      <c r="CJ148" s="626"/>
      <c r="CK148" s="626"/>
      <c r="CL148" s="626"/>
      <c r="CM148" s="626"/>
      <c r="CN148" s="626"/>
      <c r="CO148" s="626"/>
      <c r="CP148" s="626"/>
      <c r="CQ148" s="626"/>
      <c r="CR148" s="626"/>
      <c r="CS148" s="626"/>
      <c r="CT148" s="626"/>
      <c r="CV148" s="626"/>
      <c r="CW148" s="626"/>
      <c r="CX148" s="626"/>
      <c r="CY148" s="626"/>
      <c r="CZ148" s="626"/>
      <c r="DA148" s="626"/>
      <c r="DB148" s="626"/>
      <c r="DC148" s="626"/>
      <c r="DD148" s="626"/>
      <c r="DE148" s="626"/>
      <c r="DF148" s="626"/>
      <c r="DG148" s="626"/>
      <c r="DH148" s="626"/>
      <c r="DI148" s="626"/>
      <c r="DJ148" s="626"/>
      <c r="DK148" s="626"/>
      <c r="DL148" s="626"/>
      <c r="DM148" s="626"/>
      <c r="DN148" s="626"/>
      <c r="DO148" s="626"/>
      <c r="DP148" s="626"/>
      <c r="DQ148" s="626"/>
      <c r="DR148" s="626"/>
      <c r="DS148" s="626"/>
      <c r="DT148" s="626"/>
      <c r="DU148" s="626"/>
      <c r="DV148" s="626"/>
      <c r="DW148" s="626"/>
      <c r="DX148" s="626"/>
      <c r="DY148" s="626"/>
      <c r="DZ148" s="626"/>
      <c r="EK148" s="627"/>
      <c r="EL148" s="627"/>
      <c r="EM148" s="627"/>
      <c r="EN148" s="627"/>
      <c r="EO148" s="627"/>
      <c r="EP148" s="627"/>
      <c r="EQ148" s="627"/>
      <c r="ER148" s="627"/>
      <c r="ES148" s="627"/>
      <c r="ET148" s="627"/>
      <c r="EU148" s="627"/>
      <c r="EV148" s="627"/>
      <c r="EW148" s="627"/>
      <c r="EX148" s="627"/>
      <c r="EY148" s="627"/>
      <c r="EZ148" s="627"/>
      <c r="FA148" s="627"/>
      <c r="FB148" s="627"/>
      <c r="FC148" s="627"/>
      <c r="FD148" s="627"/>
      <c r="FE148" s="627"/>
      <c r="FF148" s="627"/>
      <c r="FG148" s="627"/>
      <c r="FH148" s="627"/>
      <c r="FI148" s="627"/>
    </row>
    <row r="149" spans="1:165" x14ac:dyDescent="0.2">
      <c r="A149" s="606" t="s">
        <v>193</v>
      </c>
      <c r="C149" s="54" t="s">
        <v>462</v>
      </c>
      <c r="D149" s="168">
        <f>D126</f>
        <v>8.6865876044151913E-2</v>
      </c>
      <c r="E149" s="168">
        <f t="shared" ref="E149:AH149" si="1310">E126</f>
        <v>8.9846994739147035E-2</v>
      </c>
      <c r="F149" s="168">
        <f t="shared" si="1310"/>
        <v>9.408011746418854E-2</v>
      </c>
      <c r="G149" s="168">
        <f t="shared" si="1310"/>
        <v>9.8429932790844679E-2</v>
      </c>
      <c r="H149" s="168">
        <f t="shared" si="1310"/>
        <v>0.10282447203686899</v>
      </c>
      <c r="I149" s="168">
        <f t="shared" si="1310"/>
        <v>0.10726688001080302</v>
      </c>
      <c r="J149" s="168">
        <f t="shared" si="1310"/>
        <v>0.11241910537201075</v>
      </c>
      <c r="K149" s="168">
        <f t="shared" si="1310"/>
        <v>0.11764585935593752</v>
      </c>
      <c r="L149" s="168">
        <f t="shared" si="1310"/>
        <v>0.12294514840910481</v>
      </c>
      <c r="M149" s="168">
        <f t="shared" si="1310"/>
        <v>0.12831459337264581</v>
      </c>
      <c r="N149" s="168">
        <f t="shared" si="1310"/>
        <v>0.13375139923034488</v>
      </c>
      <c r="O149" s="168">
        <f t="shared" si="1310"/>
        <v>0.14346502812515644</v>
      </c>
      <c r="P149" s="168">
        <f t="shared" si="1310"/>
        <v>0.15324102736242448</v>
      </c>
      <c r="Q149" s="168">
        <f t="shared" si="1310"/>
        <v>0.16308082597174189</v>
      </c>
      <c r="R149" s="168">
        <f t="shared" si="1310"/>
        <v>0.17296714789751699</v>
      </c>
      <c r="S149" s="168">
        <f t="shared" si="1310"/>
        <v>0.18288993304646453</v>
      </c>
      <c r="T149" s="168">
        <f t="shared" si="1310"/>
        <v>0.19263968315907168</v>
      </c>
      <c r="U149" s="168">
        <f t="shared" si="1310"/>
        <v>0.20240752345537288</v>
      </c>
      <c r="V149" s="168">
        <f t="shared" si="1310"/>
        <v>0.21218489167856633</v>
      </c>
      <c r="W149" s="168">
        <f t="shared" si="1310"/>
        <v>0.2219618741145569</v>
      </c>
      <c r="X149" s="168">
        <f t="shared" si="1310"/>
        <v>0.23172703176664533</v>
      </c>
      <c r="Y149" s="168">
        <f t="shared" si="1310"/>
        <v>0.24788451849737841</v>
      </c>
      <c r="Z149" s="168">
        <f t="shared" si="1310"/>
        <v>0.26401970119100554</v>
      </c>
      <c r="AA149" s="168">
        <f t="shared" si="1310"/>
        <v>0.2801162152467494</v>
      </c>
      <c r="AB149" s="168">
        <f t="shared" si="1310"/>
        <v>0.29613426182510311</v>
      </c>
      <c r="AC149" s="168">
        <f t="shared" si="1310"/>
        <v>0.31204164221197295</v>
      </c>
      <c r="AD149" s="168">
        <f t="shared" si="1310"/>
        <v>0.32782214569261459</v>
      </c>
      <c r="AE149" s="168">
        <f t="shared" si="1310"/>
        <v>0.34336341221521316</v>
      </c>
      <c r="AF149" s="168">
        <f t="shared" si="1310"/>
        <v>0.35860028284732898</v>
      </c>
      <c r="AG149" s="168">
        <f t="shared" si="1310"/>
        <v>0.3734566090130767</v>
      </c>
      <c r="AH149" s="168">
        <f t="shared" si="1310"/>
        <v>0.38784314247740453</v>
      </c>
      <c r="AI149" s="44"/>
      <c r="AJ149" s="168">
        <f>AJ126</f>
        <v>8.6865876044151913E-2</v>
      </c>
      <c r="AK149" s="168">
        <f t="shared" ref="AK149:BN149" si="1311">AK126</f>
        <v>8.9756572785935032E-2</v>
      </c>
      <c r="AL149" s="168">
        <f t="shared" si="1311"/>
        <v>9.3853818851594148E-2</v>
      </c>
      <c r="AM149" s="168">
        <f t="shared" si="1311"/>
        <v>9.8073408637237763E-2</v>
      </c>
      <c r="AN149" s="168">
        <f t="shared" si="1311"/>
        <v>0.10232594348331912</v>
      </c>
      <c r="AO149" s="168">
        <f t="shared" si="1311"/>
        <v>0.10661424723385156</v>
      </c>
      <c r="AP149" s="168">
        <f t="shared" si="1311"/>
        <v>0.11106280032615533</v>
      </c>
      <c r="AQ149" s="168">
        <f t="shared" si="1311"/>
        <v>0.11551062472667942</v>
      </c>
      <c r="AR149" s="168">
        <f t="shared" si="1311"/>
        <v>0.11995243802614325</v>
      </c>
      <c r="AS149" s="168">
        <f t="shared" si="1311"/>
        <v>0.1243825156510623</v>
      </c>
      <c r="AT149" s="168">
        <f t="shared" si="1311"/>
        <v>0.12879467103629777</v>
      </c>
      <c r="AU149" s="168">
        <f t="shared" si="1311"/>
        <v>0.13694359088313865</v>
      </c>
      <c r="AV149" s="168">
        <f t="shared" si="1311"/>
        <v>0.14495165121747269</v>
      </c>
      <c r="AW149" s="168">
        <f t="shared" si="1311"/>
        <v>0.15279136923764361</v>
      </c>
      <c r="AX149" s="168">
        <f t="shared" si="1311"/>
        <v>0.16045120662758114</v>
      </c>
      <c r="AY149" s="168">
        <f t="shared" si="1311"/>
        <v>0.1679105801346758</v>
      </c>
      <c r="AZ149" s="168">
        <f t="shared" si="1311"/>
        <v>0.17523350218645523</v>
      </c>
      <c r="BA149" s="168">
        <f t="shared" si="1311"/>
        <v>0.18235961789854885</v>
      </c>
      <c r="BB149" s="168">
        <f t="shared" si="1311"/>
        <v>0.18927165492062764</v>
      </c>
      <c r="BC149" s="168">
        <f t="shared" si="1311"/>
        <v>0.19595090372347496</v>
      </c>
      <c r="BD149" s="168">
        <f t="shared" si="1311"/>
        <v>0.20237711183767243</v>
      </c>
      <c r="BE149" s="168">
        <f t="shared" si="1311"/>
        <v>0.21405186985366526</v>
      </c>
      <c r="BF149" s="168">
        <f t="shared" si="1311"/>
        <v>0.22531091843108947</v>
      </c>
      <c r="BG149" s="168">
        <f t="shared" si="1311"/>
        <v>0.23604214848430199</v>
      </c>
      <c r="BH149" s="168">
        <f t="shared" si="1311"/>
        <v>0.24626085078204779</v>
      </c>
      <c r="BI149" s="168">
        <f t="shared" si="1311"/>
        <v>0.25592147870659893</v>
      </c>
      <c r="BJ149" s="168">
        <f t="shared" si="1311"/>
        <v>0.26469352028404047</v>
      </c>
      <c r="BK149" s="168">
        <f t="shared" si="1311"/>
        <v>0.2727200586102802</v>
      </c>
      <c r="BL149" s="168">
        <f t="shared" si="1311"/>
        <v>0.27993017696370781</v>
      </c>
      <c r="BM149" s="168">
        <f t="shared" si="1311"/>
        <v>0.28624676510526431</v>
      </c>
      <c r="BN149" s="168">
        <f t="shared" si="1311"/>
        <v>0.29158594646239305</v>
      </c>
      <c r="BP149" s="168">
        <f>BP126</f>
        <v>8.6865876044151913E-2</v>
      </c>
      <c r="BQ149" s="168">
        <f t="shared" ref="BQ149:CT149" si="1312">BQ126</f>
        <v>8.5452055140027294E-2</v>
      </c>
      <c r="BR149" s="168">
        <f t="shared" si="1312"/>
        <v>8.4281563337488388E-2</v>
      </c>
      <c r="BS149" s="168">
        <f t="shared" si="1312"/>
        <v>8.3344829821982158E-2</v>
      </c>
      <c r="BT149" s="168">
        <f t="shared" si="1312"/>
        <v>8.263423216537874E-2</v>
      </c>
      <c r="BU149" s="168">
        <f t="shared" si="1312"/>
        <v>8.2143992883365158E-2</v>
      </c>
      <c r="BV149" s="168">
        <f t="shared" si="1312"/>
        <v>8.1693850323663122E-2</v>
      </c>
      <c r="BW149" s="168">
        <f t="shared" si="1312"/>
        <v>8.1283221119442847E-2</v>
      </c>
      <c r="BX149" s="168">
        <f t="shared" si="1312"/>
        <v>8.0911578186848909E-2</v>
      </c>
      <c r="BY149" s="168">
        <f t="shared" si="1312"/>
        <v>8.0578449612555322E-2</v>
      </c>
      <c r="BZ149" s="168">
        <f t="shared" si="1312"/>
        <v>8.0283417669660781E-2</v>
      </c>
      <c r="CA149" s="168">
        <f t="shared" si="1312"/>
        <v>8.0140782641730052E-2</v>
      </c>
      <c r="CB149" s="168">
        <f t="shared" si="1312"/>
        <v>8.0150046262425126E-2</v>
      </c>
      <c r="CC149" s="168">
        <f t="shared" si="1312"/>
        <v>8.0311574708555281E-2</v>
      </c>
      <c r="CD149" s="168">
        <f t="shared" si="1312"/>
        <v>8.0626605061909704E-2</v>
      </c>
      <c r="CE149" s="168">
        <f t="shared" si="1312"/>
        <v>8.1097260115289158E-2</v>
      </c>
      <c r="CF149" s="168">
        <f t="shared" si="1312"/>
        <v>8.1579592269901191E-2</v>
      </c>
      <c r="CG149" s="168">
        <f t="shared" si="1312"/>
        <v>8.2073783292113497E-2</v>
      </c>
      <c r="CH149" s="168">
        <f t="shared" si="1312"/>
        <v>8.2580020061112619E-2</v>
      </c>
      <c r="CI149" s="168">
        <f t="shared" si="1312"/>
        <v>8.3098494687576463E-2</v>
      </c>
      <c r="CJ149" s="168">
        <f t="shared" si="1312"/>
        <v>8.3629404636092836E-2</v>
      </c>
      <c r="CK149" s="168">
        <f t="shared" si="1312"/>
        <v>8.4172025746084664E-2</v>
      </c>
      <c r="CL149" s="168">
        <f t="shared" si="1312"/>
        <v>8.4726546805950292E-2</v>
      </c>
      <c r="CM149" s="168">
        <f t="shared" si="1312"/>
        <v>8.5293161480426052E-2</v>
      </c>
      <c r="CN149" s="168">
        <f t="shared" si="1312"/>
        <v>8.5872068423965733E-2</v>
      </c>
      <c r="CO149" s="168">
        <f t="shared" si="1312"/>
        <v>8.6463471397467295E-2</v>
      </c>
      <c r="CP149" s="168">
        <f t="shared" si="1312"/>
        <v>8.7066756238696683E-2</v>
      </c>
      <c r="CQ149" s="168">
        <f t="shared" si="1312"/>
        <v>8.7682118711812154E-2</v>
      </c>
      <c r="CR149" s="168">
        <f t="shared" si="1312"/>
        <v>8.8309759306779548E-2</v>
      </c>
      <c r="CS149" s="168">
        <f t="shared" si="1312"/>
        <v>8.8949883348533626E-2</v>
      </c>
      <c r="CT149" s="168">
        <f t="shared" si="1312"/>
        <v>8.9602701109191413E-2</v>
      </c>
      <c r="CV149" s="168">
        <f>CV126</f>
        <v>8.6865876044151913E-2</v>
      </c>
      <c r="CW149" s="168">
        <f t="shared" ref="CW149:DZ149" si="1313">CW126</f>
        <v>8.9488516021888356E-2</v>
      </c>
      <c r="CX149" s="168">
        <f t="shared" si="1313"/>
        <v>9.3131914350023118E-2</v>
      </c>
      <c r="CY149" s="168">
        <f t="shared" si="1313"/>
        <v>9.6941867544196231E-2</v>
      </c>
      <c r="CZ149" s="168">
        <f t="shared" si="1313"/>
        <v>0.10075180275826419</v>
      </c>
      <c r="DA149" s="168">
        <f t="shared" si="1313"/>
        <v>0.10456410942508998</v>
      </c>
      <c r="DB149" s="168">
        <f t="shared" si="1313"/>
        <v>0.10799236598008223</v>
      </c>
      <c r="DC149" s="168">
        <f t="shared" si="1313"/>
        <v>0.11134503818319744</v>
      </c>
      <c r="DD149" s="168">
        <f t="shared" si="1313"/>
        <v>0.11461709697937156</v>
      </c>
      <c r="DE149" s="168">
        <f t="shared" si="1313"/>
        <v>0.11780327237399016</v>
      </c>
      <c r="DF149" s="168">
        <f t="shared" si="1313"/>
        <v>0.12089805342832947</v>
      </c>
      <c r="DG149" s="168">
        <f t="shared" si="1313"/>
        <v>0.12676354044773047</v>
      </c>
      <c r="DH149" s="168">
        <f t="shared" si="1313"/>
        <v>0.13228818044624616</v>
      </c>
      <c r="DI149" s="168">
        <f t="shared" si="1313"/>
        <v>0.13744875909811377</v>
      </c>
      <c r="DJ149" s="168">
        <f t="shared" si="1313"/>
        <v>0.14224515528816276</v>
      </c>
      <c r="DK149" s="168">
        <f t="shared" si="1313"/>
        <v>0.1466664243999618</v>
      </c>
      <c r="DL149" s="168">
        <f t="shared" si="1313"/>
        <v>0.15096644855044067</v>
      </c>
      <c r="DM149" s="168">
        <f t="shared" si="1313"/>
        <v>0.15492398758413478</v>
      </c>
      <c r="DN149" s="168">
        <f t="shared" si="1313"/>
        <v>0.1585316295171264</v>
      </c>
      <c r="DO149" s="168">
        <f t="shared" si="1313"/>
        <v>0.16178160290053281</v>
      </c>
      <c r="DP149" s="168">
        <f t="shared" si="1313"/>
        <v>0.16466577681568673</v>
      </c>
      <c r="DQ149" s="168">
        <f t="shared" si="1313"/>
        <v>0.17159478549200238</v>
      </c>
      <c r="DR149" s="168">
        <f t="shared" si="1313"/>
        <v>0.17791506994365675</v>
      </c>
      <c r="DS149" s="168">
        <f t="shared" si="1313"/>
        <v>0.18353145363581844</v>
      </c>
      <c r="DT149" s="168">
        <f t="shared" si="1313"/>
        <v>0.18849497555141331</v>
      </c>
      <c r="DU149" s="168">
        <f t="shared" si="1313"/>
        <v>0.19278985074625768</v>
      </c>
      <c r="DV149" s="168">
        <f t="shared" si="1313"/>
        <v>0.19604167260625821</v>
      </c>
      <c r="DW149" s="168">
        <f t="shared" si="1313"/>
        <v>0.19852752359025971</v>
      </c>
      <c r="DX149" s="168">
        <f t="shared" si="1313"/>
        <v>0.20022497252316643</v>
      </c>
      <c r="DY149" s="168">
        <f t="shared" si="1313"/>
        <v>0.201110849664136</v>
      </c>
      <c r="DZ149" s="168">
        <f t="shared" si="1313"/>
        <v>0.20116124669703228</v>
      </c>
    </row>
    <row r="150" spans="1:165" x14ac:dyDescent="0.2">
      <c r="A150" s="606" t="s">
        <v>88</v>
      </c>
      <c r="C150" s="54" t="s">
        <v>462</v>
      </c>
      <c r="D150" s="168">
        <f t="shared" ref="D150:AH150" si="1314">D127</f>
        <v>3.5539413783499495E-7</v>
      </c>
      <c r="E150" s="168">
        <f t="shared" si="1314"/>
        <v>7.6994953493636775E-7</v>
      </c>
      <c r="F150" s="168">
        <f t="shared" si="1314"/>
        <v>1.6302725031969353E-6</v>
      </c>
      <c r="G150" s="168">
        <f t="shared" si="1314"/>
        <v>3.4249058676089055E-6</v>
      </c>
      <c r="H150" s="168">
        <f t="shared" si="1314"/>
        <v>7.1413303624467628E-6</v>
      </c>
      <c r="I150" s="168">
        <f t="shared" si="1314"/>
        <v>1.4764176148161701E-5</v>
      </c>
      <c r="J150" s="168">
        <f t="shared" si="1314"/>
        <v>3.0030601357725137E-5</v>
      </c>
      <c r="K150" s="168">
        <f t="shared" si="1314"/>
        <v>6.035020394494349E-5</v>
      </c>
      <c r="L150" s="168">
        <f t="shared" si="1314"/>
        <v>1.1944458141779007E-4</v>
      </c>
      <c r="M150" s="168">
        <f t="shared" si="1314"/>
        <v>2.3183644460019609E-4</v>
      </c>
      <c r="N150" s="168">
        <f t="shared" si="1314"/>
        <v>4.4080439348205861E-4</v>
      </c>
      <c r="O150" s="168">
        <f t="shared" si="1314"/>
        <v>7.7855633825504888E-4</v>
      </c>
      <c r="P150" s="168">
        <f t="shared" si="1314"/>
        <v>1.3298048401981137E-3</v>
      </c>
      <c r="Q150" s="168">
        <f t="shared" si="1314"/>
        <v>2.1703784317944597E-3</v>
      </c>
      <c r="R150" s="168">
        <f t="shared" si="1314"/>
        <v>3.3623590358289501E-3</v>
      </c>
      <c r="S150" s="168">
        <f t="shared" si="1314"/>
        <v>4.9232338968044735E-3</v>
      </c>
      <c r="T150" s="168">
        <f t="shared" si="1314"/>
        <v>6.8093115366191772E-3</v>
      </c>
      <c r="U150" s="168">
        <f t="shared" si="1314"/>
        <v>8.9004537152682275E-3</v>
      </c>
      <c r="V150" s="168">
        <f t="shared" si="1314"/>
        <v>1.1048561373663326E-2</v>
      </c>
      <c r="W150" s="168">
        <f t="shared" si="1314"/>
        <v>1.3116960023448729E-2</v>
      </c>
      <c r="X150" s="168">
        <f t="shared" si="1314"/>
        <v>1.501300887339378E-2</v>
      </c>
      <c r="Y150" s="168">
        <f t="shared" si="1314"/>
        <v>1.5825904792868734E-2</v>
      </c>
      <c r="Z150" s="168">
        <f t="shared" si="1314"/>
        <v>1.6284964524273041E-2</v>
      </c>
      <c r="AA150" s="168">
        <f t="shared" si="1314"/>
        <v>1.646563413412783E-2</v>
      </c>
      <c r="AB150" s="168">
        <f t="shared" si="1314"/>
        <v>1.7607741260876955E-2</v>
      </c>
      <c r="AC150" s="168">
        <f t="shared" si="1314"/>
        <v>1.919294044445518E-2</v>
      </c>
      <c r="AD150" s="168">
        <f t="shared" si="1314"/>
        <v>2.0908282237462349E-2</v>
      </c>
      <c r="AE150" s="168">
        <f t="shared" si="1314"/>
        <v>2.2878159078385776E-2</v>
      </c>
      <c r="AF150" s="168">
        <f t="shared" si="1314"/>
        <v>2.5229935310012774E-2</v>
      </c>
      <c r="AG150" s="168">
        <f t="shared" si="1314"/>
        <v>2.8045235205180503E-2</v>
      </c>
      <c r="AH150" s="168">
        <f t="shared" si="1314"/>
        <v>3.1306672242522697E-2</v>
      </c>
      <c r="AI150" s="44"/>
      <c r="AJ150" s="168">
        <f t="shared" ref="AJ150:BN150" si="1315">AJ127</f>
        <v>2.0363802976813303E-7</v>
      </c>
      <c r="AK150" s="168">
        <f t="shared" si="1315"/>
        <v>4.4166590186274447E-7</v>
      </c>
      <c r="AL150" s="168">
        <f t="shared" si="1315"/>
        <v>9.3657809576912975E-7</v>
      </c>
      <c r="AM150" s="168">
        <f t="shared" si="1315"/>
        <v>1.9700839301252892E-6</v>
      </c>
      <c r="AN150" s="168">
        <f t="shared" si="1315"/>
        <v>4.1130268610540028E-6</v>
      </c>
      <c r="AO150" s="168">
        <f t="shared" si="1315"/>
        <v>8.5140182687198991E-6</v>
      </c>
      <c r="AP150" s="168">
        <f t="shared" si="1315"/>
        <v>1.7427183125901427E-5</v>
      </c>
      <c r="AQ150" s="168">
        <f t="shared" si="1315"/>
        <v>3.5248531702279704E-5</v>
      </c>
      <c r="AR150" s="168">
        <f t="shared" si="1315"/>
        <v>7.0225476676703615E-5</v>
      </c>
      <c r="AS150" s="168">
        <f t="shared" si="1315"/>
        <v>1.3722945122043525E-4</v>
      </c>
      <c r="AT150" s="168">
        <f t="shared" si="1315"/>
        <v>2.6273871536260562E-4</v>
      </c>
      <c r="AU150" s="168">
        <f t="shared" si="1315"/>
        <v>4.6973014247163932E-4</v>
      </c>
      <c r="AV150" s="168">
        <f t="shared" si="1315"/>
        <v>8.1329776542250548E-4</v>
      </c>
      <c r="AW150" s="168">
        <f t="shared" si="1315"/>
        <v>1.3477208260075243E-3</v>
      </c>
      <c r="AX150" s="168">
        <f t="shared" si="1315"/>
        <v>2.1230685174532297E-3</v>
      </c>
      <c r="AY150" s="168">
        <f t="shared" si="1315"/>
        <v>3.1657901157547933E-3</v>
      </c>
      <c r="AZ150" s="168">
        <f t="shared" si="1315"/>
        <v>4.4558550870247198E-3</v>
      </c>
      <c r="BA150" s="168">
        <f t="shared" si="1315"/>
        <v>5.9341850784019627E-3</v>
      </c>
      <c r="BB150" s="168">
        <f t="shared" si="1315"/>
        <v>7.5143457011827867E-3</v>
      </c>
      <c r="BC150" s="168">
        <f t="shared" si="1315"/>
        <v>9.1107891654233497E-3</v>
      </c>
      <c r="BD150" s="168">
        <f t="shared" si="1315"/>
        <v>1.0661256212940666E-2</v>
      </c>
      <c r="BE150" s="168">
        <f t="shared" si="1315"/>
        <v>1.1706195879423769E-2</v>
      </c>
      <c r="BF150" s="168">
        <f t="shared" si="1315"/>
        <v>1.2614728821600916E-2</v>
      </c>
      <c r="BG150" s="168">
        <f t="shared" si="1315"/>
        <v>1.3442336747809105E-2</v>
      </c>
      <c r="BH150" s="168">
        <f t="shared" si="1315"/>
        <v>1.4252101246221973E-2</v>
      </c>
      <c r="BI150" s="168">
        <f t="shared" si="1315"/>
        <v>1.5128863490850537E-2</v>
      </c>
      <c r="BJ150" s="168">
        <f t="shared" si="1315"/>
        <v>1.6206653418695427E-2</v>
      </c>
      <c r="BK150" s="168">
        <f t="shared" si="1315"/>
        <v>1.7589533969059698E-2</v>
      </c>
      <c r="BL150" s="168">
        <f t="shared" si="1315"/>
        <v>1.9409292423475093E-2</v>
      </c>
      <c r="BM150" s="168">
        <f t="shared" si="1315"/>
        <v>2.1780221214840724E-2</v>
      </c>
      <c r="BN150" s="168">
        <f t="shared" si="1315"/>
        <v>2.4764751747142613E-2</v>
      </c>
      <c r="BP150" s="168">
        <f t="shared" ref="BP150:CT150" si="1316">BP127</f>
        <v>0</v>
      </c>
      <c r="BQ150" s="168">
        <f t="shared" si="1316"/>
        <v>0</v>
      </c>
      <c r="BR150" s="168">
        <f t="shared" si="1316"/>
        <v>0</v>
      </c>
      <c r="BS150" s="168">
        <f t="shared" si="1316"/>
        <v>0</v>
      </c>
      <c r="BT150" s="168">
        <f t="shared" si="1316"/>
        <v>0</v>
      </c>
      <c r="BU150" s="168">
        <f t="shared" si="1316"/>
        <v>0</v>
      </c>
      <c r="BV150" s="168">
        <f t="shared" si="1316"/>
        <v>0</v>
      </c>
      <c r="BW150" s="168">
        <f t="shared" si="1316"/>
        <v>0</v>
      </c>
      <c r="BX150" s="168">
        <f t="shared" si="1316"/>
        <v>0</v>
      </c>
      <c r="BY150" s="168">
        <f t="shared" si="1316"/>
        <v>0</v>
      </c>
      <c r="BZ150" s="168">
        <f t="shared" si="1316"/>
        <v>0</v>
      </c>
      <c r="CA150" s="168">
        <f t="shared" si="1316"/>
        <v>0</v>
      </c>
      <c r="CB150" s="168">
        <f t="shared" si="1316"/>
        <v>0</v>
      </c>
      <c r="CC150" s="168">
        <f t="shared" si="1316"/>
        <v>0</v>
      </c>
      <c r="CD150" s="168">
        <f t="shared" si="1316"/>
        <v>0</v>
      </c>
      <c r="CE150" s="168">
        <f t="shared" si="1316"/>
        <v>0</v>
      </c>
      <c r="CF150" s="168">
        <f t="shared" si="1316"/>
        <v>0</v>
      </c>
      <c r="CG150" s="168">
        <f t="shared" si="1316"/>
        <v>0</v>
      </c>
      <c r="CH150" s="168">
        <f t="shared" si="1316"/>
        <v>0</v>
      </c>
      <c r="CI150" s="168">
        <f t="shared" si="1316"/>
        <v>0</v>
      </c>
      <c r="CJ150" s="168">
        <f t="shared" si="1316"/>
        <v>0</v>
      </c>
      <c r="CK150" s="168">
        <f t="shared" si="1316"/>
        <v>0</v>
      </c>
      <c r="CL150" s="168">
        <f t="shared" si="1316"/>
        <v>0</v>
      </c>
      <c r="CM150" s="168">
        <f t="shared" si="1316"/>
        <v>0</v>
      </c>
      <c r="CN150" s="168">
        <f t="shared" si="1316"/>
        <v>0</v>
      </c>
      <c r="CO150" s="168">
        <f t="shared" si="1316"/>
        <v>0</v>
      </c>
      <c r="CP150" s="168">
        <f t="shared" si="1316"/>
        <v>0</v>
      </c>
      <c r="CQ150" s="168">
        <f t="shared" si="1316"/>
        <v>0</v>
      </c>
      <c r="CR150" s="168">
        <f t="shared" si="1316"/>
        <v>0</v>
      </c>
      <c r="CS150" s="168">
        <f t="shared" si="1316"/>
        <v>0</v>
      </c>
      <c r="CT150" s="168">
        <f t="shared" si="1316"/>
        <v>0</v>
      </c>
      <c r="CV150" s="168">
        <f>CV127</f>
        <v>2.0363802976813303E-7</v>
      </c>
      <c r="CW150" s="168">
        <f t="shared" ref="CW150:DZ150" si="1317">CW127</f>
        <v>4.4034687275135627E-7</v>
      </c>
      <c r="CX150" s="168">
        <f t="shared" si="1317"/>
        <v>9.2937412738849643E-7</v>
      </c>
      <c r="CY150" s="168">
        <f t="shared" si="1317"/>
        <v>1.9473537022821515E-6</v>
      </c>
      <c r="CZ150" s="168">
        <f t="shared" si="1317"/>
        <v>4.0497537275276508E-6</v>
      </c>
      <c r="DA150" s="168">
        <f t="shared" si="1317"/>
        <v>8.3502980229735375E-6</v>
      </c>
      <c r="DB150" s="168">
        <f t="shared" si="1317"/>
        <v>1.6945392450104177E-5</v>
      </c>
      <c r="DC150" s="168">
        <f t="shared" si="1317"/>
        <v>3.3977386215152914E-5</v>
      </c>
      <c r="DD150" s="168">
        <f t="shared" si="1317"/>
        <v>6.7101931424870846E-5</v>
      </c>
      <c r="DE150" s="168">
        <f t="shared" si="1317"/>
        <v>1.2997066617631209E-4</v>
      </c>
      <c r="DF150" s="168">
        <f t="shared" si="1317"/>
        <v>2.4662976342124305E-4</v>
      </c>
      <c r="DG150" s="168">
        <f t="shared" si="1317"/>
        <v>4.3481155657393642E-4</v>
      </c>
      <c r="DH150" s="168">
        <f t="shared" si="1317"/>
        <v>7.4224529796713457E-4</v>
      </c>
      <c r="DI150" s="168">
        <f t="shared" si="1317"/>
        <v>1.212388867706936E-3</v>
      </c>
      <c r="DJ150" s="168">
        <f t="shared" si="1317"/>
        <v>1.8821685252482971E-3</v>
      </c>
      <c r="DK150" s="168">
        <f t="shared" si="1317"/>
        <v>2.7652522926553181E-3</v>
      </c>
      <c r="DL150" s="168">
        <f t="shared" si="1317"/>
        <v>3.8387900107581842E-3</v>
      </c>
      <c r="DM150" s="168">
        <f t="shared" si="1317"/>
        <v>5.041399110189841E-3</v>
      </c>
      <c r="DN150" s="168">
        <f t="shared" si="1317"/>
        <v>6.2939243029448057E-3</v>
      </c>
      <c r="DO150" s="168">
        <f t="shared" si="1317"/>
        <v>7.522078474060217E-3</v>
      </c>
      <c r="DP150" s="168">
        <f t="shared" si="1317"/>
        <v>8.6746175009309884E-3</v>
      </c>
      <c r="DQ150" s="168">
        <f t="shared" si="1317"/>
        <v>9.3842776156561006E-3</v>
      </c>
      <c r="DR150" s="168">
        <f t="shared" si="1317"/>
        <v>9.9611256136342818E-3</v>
      </c>
      <c r="DS150" s="168">
        <f t="shared" si="1317"/>
        <v>1.0451911319353456E-2</v>
      </c>
      <c r="DT150" s="168">
        <f t="shared" si="1317"/>
        <v>1.0908958802958533E-2</v>
      </c>
      <c r="DU150" s="168">
        <f t="shared" si="1317"/>
        <v>1.1396821201183438E-2</v>
      </c>
      <c r="DV150" s="168">
        <f t="shared" si="1317"/>
        <v>1.2003238462889379E-2</v>
      </c>
      <c r="DW150" s="168">
        <f t="shared" si="1317"/>
        <v>1.2804362971241099E-2</v>
      </c>
      <c r="DX150" s="168">
        <f t="shared" si="1317"/>
        <v>1.3882837085793156E-2</v>
      </c>
      <c r="DY150" s="168">
        <f t="shared" si="1317"/>
        <v>1.5302317190479588E-2</v>
      </c>
      <c r="DZ150" s="168">
        <f t="shared" si="1317"/>
        <v>1.708487118819434E-2</v>
      </c>
    </row>
    <row r="151" spans="1:165" x14ac:dyDescent="0.2">
      <c r="A151" s="606" t="s">
        <v>459</v>
      </c>
      <c r="C151" s="54" t="s">
        <v>462</v>
      </c>
      <c r="D151" s="168">
        <f t="shared" ref="D151:AH151" si="1318">D128</f>
        <v>0.14609461893255787</v>
      </c>
      <c r="E151" s="168">
        <f t="shared" si="1318"/>
        <v>0.15046496331389386</v>
      </c>
      <c r="F151" s="168">
        <f t="shared" si="1318"/>
        <v>0.15458314120821479</v>
      </c>
      <c r="G151" s="168">
        <f t="shared" si="1318"/>
        <v>0.15862244716169285</v>
      </c>
      <c r="H151" s="168">
        <f t="shared" si="1318"/>
        <v>0.16258149004598269</v>
      </c>
      <c r="I151" s="168">
        <f t="shared" si="1318"/>
        <v>0.16643485460508847</v>
      </c>
      <c r="J151" s="168">
        <f t="shared" si="1318"/>
        <v>0.17000953122011522</v>
      </c>
      <c r="K151" s="168">
        <f t="shared" si="1318"/>
        <v>0.17333587842566534</v>
      </c>
      <c r="L151" s="168">
        <f t="shared" si="1318"/>
        <v>0.17626380709989234</v>
      </c>
      <c r="M151" s="168">
        <f t="shared" si="1318"/>
        <v>0.17853726937810702</v>
      </c>
      <c r="N151" s="168">
        <f t="shared" si="1318"/>
        <v>0.17974413229089212</v>
      </c>
      <c r="O151" s="168">
        <f t="shared" si="1318"/>
        <v>0.17840972033879055</v>
      </c>
      <c r="P151" s="168">
        <f t="shared" si="1318"/>
        <v>0.1746382332045768</v>
      </c>
      <c r="Q151" s="168">
        <f t="shared" si="1318"/>
        <v>0.16763406227054878</v>
      </c>
      <c r="R151" s="168">
        <f t="shared" si="1318"/>
        <v>0.15682726861117707</v>
      </c>
      <c r="S151" s="168">
        <f t="shared" si="1318"/>
        <v>0.14219882867483738</v>
      </c>
      <c r="T151" s="168">
        <f t="shared" si="1318"/>
        <v>0.12451980251774773</v>
      </c>
      <c r="U151" s="168">
        <f t="shared" si="1318"/>
        <v>0.1051539755944072</v>
      </c>
      <c r="V151" s="168">
        <f t="shared" si="1318"/>
        <v>8.576422571298134E-2</v>
      </c>
      <c r="W151" s="168">
        <f t="shared" si="1318"/>
        <v>6.7801343331500286E-2</v>
      </c>
      <c r="X151" s="168">
        <f t="shared" si="1318"/>
        <v>5.2201298163742721E-2</v>
      </c>
      <c r="Y151" s="168">
        <f t="shared" si="1318"/>
        <v>3.9062520528095349E-2</v>
      </c>
      <c r="Z151" s="168">
        <f t="shared" si="1318"/>
        <v>2.8742135728332386E-2</v>
      </c>
      <c r="AA151" s="168">
        <f t="shared" si="1318"/>
        <v>2.0875517951628425E-2</v>
      </c>
      <c r="AB151" s="168">
        <f t="shared" si="1318"/>
        <v>1.497676272270582E-2</v>
      </c>
      <c r="AC151" s="168">
        <f t="shared" si="1318"/>
        <v>1.0651686169257112E-2</v>
      </c>
      <c r="AD151" s="168">
        <f t="shared" si="1318"/>
        <v>7.5292527272494136E-3</v>
      </c>
      <c r="AE151" s="168">
        <f t="shared" si="1318"/>
        <v>5.2963998480075611E-3</v>
      </c>
      <c r="AF151" s="168">
        <f t="shared" si="1318"/>
        <v>3.710758513030567E-3</v>
      </c>
      <c r="AG151" s="168">
        <f t="shared" si="1318"/>
        <v>2.5910629546093207E-3</v>
      </c>
      <c r="AH151" s="168">
        <f t="shared" si="1318"/>
        <v>1.8043631372748566E-3</v>
      </c>
      <c r="AI151" s="44"/>
      <c r="AJ151" s="168">
        <f t="shared" ref="AJ151:BN151" si="1319">AJ128</f>
        <v>0.14609466474361113</v>
      </c>
      <c r="AK151" s="168">
        <f t="shared" si="1319"/>
        <v>0.15048001280662307</v>
      </c>
      <c r="AL151" s="168">
        <f t="shared" si="1319"/>
        <v>0.15462197376699871</v>
      </c>
      <c r="AM151" s="168">
        <f t="shared" si="1319"/>
        <v>0.15868563908011901</v>
      </c>
      <c r="AN151" s="168">
        <f t="shared" si="1319"/>
        <v>0.16267281556922489</v>
      </c>
      <c r="AO151" s="168">
        <f t="shared" si="1319"/>
        <v>0.16655859283361346</v>
      </c>
      <c r="AP151" s="168">
        <f t="shared" si="1319"/>
        <v>0.17027355743932868</v>
      </c>
      <c r="AQ151" s="168">
        <f t="shared" si="1319"/>
        <v>0.17376390622373769</v>
      </c>
      <c r="AR151" s="168">
        <f t="shared" si="1319"/>
        <v>0.17688228298673231</v>
      </c>
      <c r="AS151" s="168">
        <f t="shared" si="1319"/>
        <v>0.1793756842055397</v>
      </c>
      <c r="AT151" s="168">
        <f t="shared" si="1319"/>
        <v>0.18083514486391977</v>
      </c>
      <c r="AU151" s="168">
        <f t="shared" si="1319"/>
        <v>0.17987625608627117</v>
      </c>
      <c r="AV151" s="168">
        <f t="shared" si="1319"/>
        <v>0.17652618431686462</v>
      </c>
      <c r="AW151" s="168">
        <f t="shared" si="1319"/>
        <v>0.16997012759598312</v>
      </c>
      <c r="AX151" s="168">
        <f t="shared" si="1319"/>
        <v>0.15959273208578606</v>
      </c>
      <c r="AY151" s="168">
        <f t="shared" si="1319"/>
        <v>0.14531685950307352</v>
      </c>
      <c r="AZ151" s="168">
        <f t="shared" si="1319"/>
        <v>0.127813016846792</v>
      </c>
      <c r="BA151" s="168">
        <f t="shared" si="1319"/>
        <v>0.10845643373000809</v>
      </c>
      <c r="BB151" s="168">
        <f t="shared" si="1319"/>
        <v>8.8912446841259027E-2</v>
      </c>
      <c r="BC151" s="168">
        <f t="shared" si="1319"/>
        <v>7.0667491135893809E-2</v>
      </c>
      <c r="BD151" s="168">
        <f t="shared" si="1319"/>
        <v>5.4710007000253226E-2</v>
      </c>
      <c r="BE151" s="168">
        <f t="shared" si="1319"/>
        <v>4.1202235174965005E-2</v>
      </c>
      <c r="BF151" s="168">
        <f t="shared" si="1319"/>
        <v>3.0520918194881029E-2</v>
      </c>
      <c r="BG151" s="168">
        <f t="shared" si="1319"/>
        <v>2.232857044431823E-2</v>
      </c>
      <c r="BH151" s="168">
        <f t="shared" si="1319"/>
        <v>1.6183504798114669E-2</v>
      </c>
      <c r="BI151" s="168">
        <f t="shared" si="1319"/>
        <v>1.1649330099342672E-2</v>
      </c>
      <c r="BJ151" s="168">
        <f t="shared" si="1319"/>
        <v>8.3460232463660345E-3</v>
      </c>
      <c r="BK151" s="168">
        <f t="shared" si="1319"/>
        <v>5.9575744858141495E-3</v>
      </c>
      <c r="BL151" s="168">
        <f t="shared" si="1319"/>
        <v>4.2410109688546319E-3</v>
      </c>
      <c r="BM151" s="168">
        <f t="shared" si="1319"/>
        <v>3.0128199077361912E-3</v>
      </c>
      <c r="BN151" s="168">
        <f t="shared" si="1319"/>
        <v>2.1371421262504587E-3</v>
      </c>
      <c r="BP151" s="168">
        <f t="shared" ref="BP151:CT151" si="1320">BP128</f>
        <v>0.14610145983293571</v>
      </c>
      <c r="BQ151" s="168">
        <f t="shared" si="1320"/>
        <v>0.14821773693030627</v>
      </c>
      <c r="BR151" s="168">
        <f t="shared" si="1320"/>
        <v>0.15029991940420692</v>
      </c>
      <c r="BS151" s="168">
        <f t="shared" si="1320"/>
        <v>0.15234808928358654</v>
      </c>
      <c r="BT151" s="168">
        <f t="shared" si="1320"/>
        <v>0.15436207986763892</v>
      </c>
      <c r="BU151" s="168">
        <f t="shared" si="1320"/>
        <v>0.1563414732122001</v>
      </c>
      <c r="BV151" s="168">
        <f t="shared" si="1320"/>
        <v>0.15831598020420046</v>
      </c>
      <c r="BW151" s="168">
        <f t="shared" si="1320"/>
        <v>0.16028545402202785</v>
      </c>
      <c r="BX151" s="168">
        <f t="shared" si="1320"/>
        <v>0.16224974273074824</v>
      </c>
      <c r="BY151" s="168">
        <f t="shared" si="1320"/>
        <v>0.16420868889919757</v>
      </c>
      <c r="BZ151" s="168">
        <f t="shared" si="1320"/>
        <v>0.16616212920768123</v>
      </c>
      <c r="CA151" s="168">
        <f t="shared" si="1320"/>
        <v>0.1680889409852678</v>
      </c>
      <c r="CB151" s="168">
        <f t="shared" si="1320"/>
        <v>0.16998827145070378</v>
      </c>
      <c r="CC151" s="168">
        <f t="shared" si="1320"/>
        <v>0.17185911040612792</v>
      </c>
      <c r="CD151" s="168">
        <f t="shared" si="1320"/>
        <v>0.17370028008363644</v>
      </c>
      <c r="CE151" s="168">
        <f t="shared" si="1320"/>
        <v>0.1755104233179797</v>
      </c>
      <c r="CF151" s="168">
        <f t="shared" si="1320"/>
        <v>0.17731636671909101</v>
      </c>
      <c r="CG151" s="168">
        <f t="shared" si="1320"/>
        <v>0.17911800242026549</v>
      </c>
      <c r="CH151" s="168">
        <f t="shared" si="1320"/>
        <v>0.18091522004394853</v>
      </c>
      <c r="CI151" s="168">
        <f t="shared" si="1320"/>
        <v>0.18270790662525552</v>
      </c>
      <c r="CJ151" s="168">
        <f t="shared" si="1320"/>
        <v>0.18449594653326651</v>
      </c>
      <c r="CK151" s="168">
        <f t="shared" si="1320"/>
        <v>0.18627940996324627</v>
      </c>
      <c r="CL151" s="168">
        <f t="shared" si="1320"/>
        <v>0.18805818551627063</v>
      </c>
      <c r="CM151" s="168">
        <f t="shared" si="1320"/>
        <v>0.18983215922076213</v>
      </c>
      <c r="CN151" s="168">
        <f t="shared" si="1320"/>
        <v>0.19160121445833664</v>
      </c>
      <c r="CO151" s="168">
        <f t="shared" si="1320"/>
        <v>0.19336523188753596</v>
      </c>
      <c r="CP151" s="168">
        <f t="shared" si="1320"/>
        <v>0.19512426529991575</v>
      </c>
      <c r="CQ151" s="168">
        <f t="shared" si="1320"/>
        <v>0.19687819878199081</v>
      </c>
      <c r="CR151" s="168">
        <f t="shared" si="1320"/>
        <v>0.19862691377236283</v>
      </c>
      <c r="CS151" s="168">
        <f t="shared" si="1320"/>
        <v>0.20037028898887899</v>
      </c>
      <c r="CT151" s="168">
        <f t="shared" si="1320"/>
        <v>0.20210820035375948</v>
      </c>
      <c r="CV151" s="168">
        <f>AJ151*(1-SUM(CV$34:CV$35))/(1-SUM(AJ$34:AJ$35))</f>
        <v>0.14609466474361113</v>
      </c>
      <c r="CW151" s="168">
        <f t="shared" ref="CW151:CW157" si="1321">AK151*(1-SUM(CW$34:CW$35))/(1-SUM(AK$34:AK$35))</f>
        <v>0.15065160534518357</v>
      </c>
      <c r="CX151" s="168">
        <f t="shared" ref="CX151:CX157" si="1322">AL151*(1-SUM(CX$34:CX$35))/(1-SUM(AL$34:AL$35))</f>
        <v>0.15499105837377219</v>
      </c>
      <c r="CY151" s="168">
        <f t="shared" ref="CY151:CY157" si="1323">AM151*(1-SUM(CY$34:CY$35))/(1-SUM(AM$34:AM$35))</f>
        <v>0.15927910312979746</v>
      </c>
      <c r="CZ151" s="168">
        <f t="shared" ref="CZ151:CZ157" si="1324">AN151*(1-SUM(CZ$34:CZ$35))/(1-SUM(AN$34:AN$35))</f>
        <v>0.16351847880493101</v>
      </c>
      <c r="DA151" s="168">
        <f t="shared" ref="DA151:DA157" si="1325">AO151*(1-SUM(DA$34:DA$35))/(1-SUM(AO$34:AO$35))</f>
        <v>0.16768497667861848</v>
      </c>
      <c r="DB151" s="168">
        <f t="shared" ref="DB151:DB157" si="1326">AP151*(1-SUM(DB$34:DB$35))/(1-SUM(AP$34:AP$35))</f>
        <v>0.17174451161717078</v>
      </c>
      <c r="DC151" s="168">
        <f t="shared" ref="DC151:DC157" si="1327">AQ151*(1-SUM(DC$34:DC$35))/(1-SUM(AQ$34:AQ$35))</f>
        <v>0.17561156270199557</v>
      </c>
      <c r="DD151" s="168">
        <f t="shared" ref="DD151:DD157" si="1328">AR151*(1-SUM(DD$34:DD$35))/(1-SUM(AR$34:AR$35))</f>
        <v>0.17913675816099664</v>
      </c>
      <c r="DE151" s="168">
        <f t="shared" ref="DE151:DE157" si="1329">AS151*(1-SUM(DE$34:DE$35))/(1-SUM(AS$34:AS$35))</f>
        <v>0.18206218928144241</v>
      </c>
      <c r="DF151" s="168">
        <f t="shared" ref="DF151:DF157" si="1330">AT151*(1-SUM(DF$34:DF$35))/(1-SUM(AT$34:AT$35))</f>
        <v>0.18396899733686486</v>
      </c>
      <c r="DG151" s="168">
        <f t="shared" ref="DG151:DG157" si="1331">AU151*(1-SUM(DG$34:DG$35))/(1-SUM(AU$34:AU$35))</f>
        <v>0.18379714279709911</v>
      </c>
      <c r="DH151" s="168">
        <f t="shared" ref="DH151:DH157" si="1332">AV151*(1-SUM(DH$34:DH$35))/(1-SUM(AV$34:AV$35))</f>
        <v>0.18115427250314434</v>
      </c>
      <c r="DI151" s="168">
        <f t="shared" ref="DI151:DI157" si="1333">AW151*(1-SUM(DI$34:DI$35))/(1-SUM(AW$34:AW$35))</f>
        <v>0.17534395890413992</v>
      </c>
      <c r="DJ151" s="168">
        <f t="shared" ref="DJ151:DJ157" si="1334">AX151*(1-SUM(DJ$34:DJ$35))/(1-SUM(AX$34:AX$35))</f>
        <v>0.1655748859434526</v>
      </c>
      <c r="DK151" s="168">
        <f t="shared" ref="DK151:DK157" si="1335">AY151*(1-SUM(DK$34:DK$35))/(1-SUM(AY$34:AY$35))</f>
        <v>0.15168550183749346</v>
      </c>
      <c r="DL151" s="168">
        <f t="shared" ref="DL151:DL157" si="1336">AZ151*(1-SUM(DL$34:DL$35))/(1-SUM(AZ$34:AZ$35))</f>
        <v>0.13428106362503023</v>
      </c>
      <c r="DM151" s="168">
        <f t="shared" ref="DM151:DM157" si="1337">BA151*(1-SUM(DM$34:DM$35))/(1-SUM(BA$34:BA$35))</f>
        <v>0.11472891347902273</v>
      </c>
      <c r="DN151" s="168">
        <f t="shared" ref="DN151:DN157" si="1338">BB151*(1-SUM(DN$34:DN$35))/(1-SUM(BB$34:BB$35))</f>
        <v>9.4734148681280883E-2</v>
      </c>
      <c r="DO151" s="168">
        <f t="shared" ref="DO151:DO157" si="1339">BC151*(1-SUM(DO$34:DO$35))/(1-SUM(BC$34:BC$35))</f>
        <v>7.5860757944468366E-2</v>
      </c>
      <c r="DP151" s="168">
        <f t="shared" ref="DP151:DP157" si="1340">BD151*(1-SUM(DP$34:DP$35))/(1-SUM(BD$34:BD$35))</f>
        <v>5.9186471900804033E-2</v>
      </c>
      <c r="DQ151" s="168">
        <f t="shared" ref="DQ151:DQ157" si="1341">BE151*(1-SUM(DQ$34:DQ$35))/(1-SUM(BE$34:BE$35))</f>
        <v>4.5140324773531804E-2</v>
      </c>
      <c r="DR151" s="168">
        <f t="shared" ref="DR151:DR157" si="1342">BF151*(1-SUM(DR$34:DR$35))/(1-SUM(BF$34:BF$35))</f>
        <v>3.3815371900434439E-2</v>
      </c>
      <c r="DS151" s="168">
        <f t="shared" ref="DS151:DS157" si="1343">BG151*(1-SUM(DS$34:DS$35))/(1-SUM(BG$34:BG$35))</f>
        <v>2.5030381968721011E-2</v>
      </c>
      <c r="DT151" s="168">
        <f t="shared" ref="DT151:DT157" si="1344">BH151*(1-SUM(DT$34:DT$35))/(1-SUM(BH$34:BH$35))</f>
        <v>1.836417341436259E-2</v>
      </c>
      <c r="DU151" s="168">
        <f t="shared" ref="DU151:DU157" si="1345">BI151*(1-SUM(DU$34:DU$35))/(1-SUM(BI$34:BI$35))</f>
        <v>1.3384379149329894E-2</v>
      </c>
      <c r="DV151" s="168">
        <f t="shared" ref="DV151:DV157" si="1346">BJ151*(1-SUM(DV$34:DV$35))/(1-SUM(BJ$34:BJ$35))</f>
        <v>9.7107052909916735E-3</v>
      </c>
      <c r="DW151" s="168">
        <f t="shared" ref="DW151:DW157" si="1347">BK151*(1-SUM(DW$34:DW$35))/(1-SUM(BK$34:BK$35))</f>
        <v>7.0202471163826052E-3</v>
      </c>
      <c r="DX151" s="168">
        <f t="shared" ref="DX151:DX157" si="1348">BL151*(1-SUM(DX$34:DX$35))/(1-SUM(BL$34:BL$35))</f>
        <v>5.0613486144819066E-3</v>
      </c>
      <c r="DY151" s="168">
        <f t="shared" ref="DY151:DY157" si="1349">BM151*(1-SUM(DY$34:DY$35))/(1-SUM(BM$34:BM$35))</f>
        <v>3.6411542378710789E-3</v>
      </c>
      <c r="DZ151" s="168">
        <f t="shared" ref="DZ151:DZ157" si="1350">BN151*(1-SUM(DZ$34:DZ$35))/(1-SUM(BN$34:BN$35))</f>
        <v>2.6148910808407441E-3</v>
      </c>
    </row>
    <row r="152" spans="1:165" x14ac:dyDescent="0.2">
      <c r="A152" s="606" t="s">
        <v>460</v>
      </c>
      <c r="C152" s="54" t="s">
        <v>462</v>
      </c>
      <c r="D152" s="168">
        <f t="shared" ref="D152:AH152" si="1351">D129</f>
        <v>6.7336115814820403E-6</v>
      </c>
      <c r="E152" s="168">
        <f t="shared" si="1351"/>
        <v>1.3429834628392737E-5</v>
      </c>
      <c r="F152" s="168">
        <f t="shared" si="1351"/>
        <v>2.6673953190162865E-5</v>
      </c>
      <c r="G152" s="168">
        <f t="shared" si="1351"/>
        <v>5.2790686296875918E-5</v>
      </c>
      <c r="H152" s="168">
        <f t="shared" si="1351"/>
        <v>1.0401830559861822E-4</v>
      </c>
      <c r="I152" s="168">
        <f t="shared" si="1351"/>
        <v>2.0378328632093164E-4</v>
      </c>
      <c r="J152" s="168">
        <f t="shared" si="1351"/>
        <v>3.9592034660432252E-4</v>
      </c>
      <c r="K152" s="168">
        <f t="shared" si="1351"/>
        <v>7.6143692237642827E-4</v>
      </c>
      <c r="L152" s="168">
        <f t="shared" si="1351"/>
        <v>1.444666539535875E-3</v>
      </c>
      <c r="M152" s="168">
        <f t="shared" si="1351"/>
        <v>2.6919765149242122E-3</v>
      </c>
      <c r="N152" s="168">
        <f t="shared" si="1351"/>
        <v>4.8988387556184584E-3</v>
      </c>
      <c r="O152" s="168">
        <f t="shared" si="1351"/>
        <v>8.6054584436873593E-3</v>
      </c>
      <c r="P152" s="168">
        <f t="shared" si="1351"/>
        <v>1.4550636138219898E-2</v>
      </c>
      <c r="Q152" s="168">
        <f t="shared" si="1351"/>
        <v>2.3497887758517532E-2</v>
      </c>
      <c r="R152" s="168">
        <f t="shared" si="1351"/>
        <v>3.5993351106184561E-2</v>
      </c>
      <c r="S152" s="168">
        <f t="shared" si="1351"/>
        <v>5.2046837574746395E-2</v>
      </c>
      <c r="T152" s="168">
        <f t="shared" si="1351"/>
        <v>7.0950490701457314E-2</v>
      </c>
      <c r="U152" s="168">
        <f t="shared" si="1351"/>
        <v>9.1338203038756838E-2</v>
      </c>
      <c r="V152" s="168">
        <f t="shared" si="1351"/>
        <v>0.11160480831051021</v>
      </c>
      <c r="W152" s="168">
        <f t="shared" si="1351"/>
        <v>0.13035566867044157</v>
      </c>
      <c r="X152" s="168">
        <f t="shared" si="1351"/>
        <v>0.14669616645036826</v>
      </c>
      <c r="Y152" s="168">
        <f t="shared" si="1351"/>
        <v>0.15915447669813576</v>
      </c>
      <c r="Z152" s="168">
        <f t="shared" si="1351"/>
        <v>0.16876686320169584</v>
      </c>
      <c r="AA152" s="168">
        <f t="shared" si="1351"/>
        <v>0.17587605167623094</v>
      </c>
      <c r="AB152" s="168">
        <f t="shared" si="1351"/>
        <v>0.18047148465227691</v>
      </c>
      <c r="AC152" s="168">
        <f t="shared" si="1351"/>
        <v>0.18316371694212424</v>
      </c>
      <c r="AD152" s="168">
        <f t="shared" si="1351"/>
        <v>0.18445735103039995</v>
      </c>
      <c r="AE152" s="168">
        <f t="shared" si="1351"/>
        <v>0.18464802080820714</v>
      </c>
      <c r="AF152" s="168">
        <f t="shared" si="1351"/>
        <v>0.183945609104115</v>
      </c>
      <c r="AG152" s="168">
        <f t="shared" si="1351"/>
        <v>0.18252182947217258</v>
      </c>
      <c r="AH152" s="168">
        <f t="shared" si="1351"/>
        <v>0.18054781084075669</v>
      </c>
      <c r="AI152" s="44"/>
      <c r="AJ152" s="168">
        <f t="shared" ref="AJ152:BN152" si="1352">AJ129</f>
        <v>6.7336136929481631E-6</v>
      </c>
      <c r="AK152" s="168">
        <f t="shared" si="1352"/>
        <v>1.3431177879300738E-5</v>
      </c>
      <c r="AL152" s="168">
        <f t="shared" si="1352"/>
        <v>2.6680653906988533E-5</v>
      </c>
      <c r="AM152" s="168">
        <f t="shared" si="1352"/>
        <v>5.2811717019839945E-5</v>
      </c>
      <c r="AN152" s="168">
        <f t="shared" si="1352"/>
        <v>1.0407673492032558E-4</v>
      </c>
      <c r="AO152" s="168">
        <f t="shared" si="1352"/>
        <v>2.039347917427508E-4</v>
      </c>
      <c r="AP152" s="168">
        <f t="shared" si="1352"/>
        <v>3.9653521420305893E-4</v>
      </c>
      <c r="AQ152" s="168">
        <f t="shared" si="1352"/>
        <v>7.6331718036003725E-4</v>
      </c>
      <c r="AR152" s="168">
        <f t="shared" si="1352"/>
        <v>1.4497355972961053E-3</v>
      </c>
      <c r="AS152" s="168">
        <f t="shared" si="1352"/>
        <v>2.7046180940918266E-3</v>
      </c>
      <c r="AT152" s="168">
        <f t="shared" si="1352"/>
        <v>4.9285737717633255E-3</v>
      </c>
      <c r="AU152" s="168">
        <f t="shared" si="1352"/>
        <v>8.6761956905546337E-3</v>
      </c>
      <c r="AV152" s="168">
        <f t="shared" si="1352"/>
        <v>1.4707937830853649E-2</v>
      </c>
      <c r="AW152" s="168">
        <f t="shared" si="1352"/>
        <v>2.3825342692616956E-2</v>
      </c>
      <c r="AX152" s="168">
        <f t="shared" si="1352"/>
        <v>3.6628051300190465E-2</v>
      </c>
      <c r="AY152" s="168">
        <f t="shared" si="1352"/>
        <v>5.318808216573629E-2</v>
      </c>
      <c r="AZ152" s="168">
        <f t="shared" si="1352"/>
        <v>7.2826940614694677E-2</v>
      </c>
      <c r="BA152" s="168">
        <f t="shared" si="1352"/>
        <v>9.4206764022889022E-2</v>
      </c>
      <c r="BB152" s="168">
        <f t="shared" si="1352"/>
        <v>0.11570158190835483</v>
      </c>
      <c r="BC152" s="168">
        <f t="shared" si="1352"/>
        <v>0.13586615851019748</v>
      </c>
      <c r="BD152" s="168">
        <f t="shared" si="1352"/>
        <v>0.15374614378813239</v>
      </c>
      <c r="BE152" s="168">
        <f t="shared" si="1352"/>
        <v>0.16787242833827487</v>
      </c>
      <c r="BF152" s="168">
        <f t="shared" si="1352"/>
        <v>0.17921144324386962</v>
      </c>
      <c r="BG152" s="168">
        <f t="shared" si="1352"/>
        <v>0.18811800590628891</v>
      </c>
      <c r="BH152" s="168">
        <f t="shared" si="1352"/>
        <v>0.19501284702635202</v>
      </c>
      <c r="BI152" s="168">
        <f t="shared" si="1352"/>
        <v>0.20031895110088319</v>
      </c>
      <c r="BJ152" s="168">
        <f t="shared" si="1352"/>
        <v>0.20446721546365498</v>
      </c>
      <c r="BK152" s="168">
        <f t="shared" si="1352"/>
        <v>0.20769850638011814</v>
      </c>
      <c r="BL152" s="168">
        <f t="shared" si="1352"/>
        <v>0.21023069626971766</v>
      </c>
      <c r="BM152" s="168">
        <f t="shared" si="1352"/>
        <v>0.21223158644291082</v>
      </c>
      <c r="BN152" s="168">
        <f t="shared" si="1352"/>
        <v>0.21384627316918153</v>
      </c>
      <c r="BP152" s="168">
        <f t="shared" ref="BP152:CT152" si="1353">BP129</f>
        <v>0</v>
      </c>
      <c r="BQ152" s="168">
        <f t="shared" si="1353"/>
        <v>0</v>
      </c>
      <c r="BR152" s="168">
        <f t="shared" si="1353"/>
        <v>0</v>
      </c>
      <c r="BS152" s="168">
        <f t="shared" si="1353"/>
        <v>0</v>
      </c>
      <c r="BT152" s="168">
        <f t="shared" si="1353"/>
        <v>0</v>
      </c>
      <c r="BU152" s="168">
        <f t="shared" si="1353"/>
        <v>0</v>
      </c>
      <c r="BV152" s="168">
        <f t="shared" si="1353"/>
        <v>0</v>
      </c>
      <c r="BW152" s="168">
        <f t="shared" si="1353"/>
        <v>0</v>
      </c>
      <c r="BX152" s="168">
        <f t="shared" si="1353"/>
        <v>0</v>
      </c>
      <c r="BY152" s="168">
        <f t="shared" si="1353"/>
        <v>0</v>
      </c>
      <c r="BZ152" s="168">
        <f t="shared" si="1353"/>
        <v>0</v>
      </c>
      <c r="CA152" s="168">
        <f t="shared" si="1353"/>
        <v>0</v>
      </c>
      <c r="CB152" s="168">
        <f t="shared" si="1353"/>
        <v>0</v>
      </c>
      <c r="CC152" s="168">
        <f t="shared" si="1353"/>
        <v>0</v>
      </c>
      <c r="CD152" s="168">
        <f t="shared" si="1353"/>
        <v>0</v>
      </c>
      <c r="CE152" s="168">
        <f t="shared" si="1353"/>
        <v>0</v>
      </c>
      <c r="CF152" s="168">
        <f t="shared" si="1353"/>
        <v>0</v>
      </c>
      <c r="CG152" s="168">
        <f t="shared" si="1353"/>
        <v>0</v>
      </c>
      <c r="CH152" s="168">
        <f t="shared" si="1353"/>
        <v>0</v>
      </c>
      <c r="CI152" s="168">
        <f t="shared" si="1353"/>
        <v>0</v>
      </c>
      <c r="CJ152" s="168">
        <f t="shared" si="1353"/>
        <v>0</v>
      </c>
      <c r="CK152" s="168">
        <f t="shared" si="1353"/>
        <v>0</v>
      </c>
      <c r="CL152" s="168">
        <f t="shared" si="1353"/>
        <v>0</v>
      </c>
      <c r="CM152" s="168">
        <f t="shared" si="1353"/>
        <v>0</v>
      </c>
      <c r="CN152" s="168">
        <f t="shared" si="1353"/>
        <v>0</v>
      </c>
      <c r="CO152" s="168">
        <f t="shared" si="1353"/>
        <v>0</v>
      </c>
      <c r="CP152" s="168">
        <f t="shared" si="1353"/>
        <v>0</v>
      </c>
      <c r="CQ152" s="168">
        <f t="shared" si="1353"/>
        <v>0</v>
      </c>
      <c r="CR152" s="168">
        <f t="shared" si="1353"/>
        <v>0</v>
      </c>
      <c r="CS152" s="168">
        <f t="shared" si="1353"/>
        <v>0</v>
      </c>
      <c r="CT152" s="168">
        <f t="shared" si="1353"/>
        <v>0</v>
      </c>
      <c r="CV152" s="168">
        <f t="shared" ref="CV152:CV157" si="1354">AJ152*(1-SUM(CV$34:CV$35))/(1-SUM(AJ$34:AJ$35))</f>
        <v>6.7336136929481631E-6</v>
      </c>
      <c r="CW152" s="168">
        <f t="shared" si="1321"/>
        <v>1.3446493467498678E-5</v>
      </c>
      <c r="CX152" s="168">
        <f t="shared" si="1322"/>
        <v>2.6744340965275345E-5</v>
      </c>
      <c r="CY152" s="168">
        <f t="shared" si="1323"/>
        <v>5.300922610531706E-5</v>
      </c>
      <c r="CZ152" s="168">
        <f t="shared" si="1324"/>
        <v>1.046177833315581E-4</v>
      </c>
      <c r="DA152" s="168">
        <f t="shared" si="1325"/>
        <v>2.0531393917036489E-4</v>
      </c>
      <c r="DB152" s="168">
        <f t="shared" si="1326"/>
        <v>3.9996079089720497E-4</v>
      </c>
      <c r="DC152" s="168">
        <f t="shared" si="1327"/>
        <v>7.714336411596799E-4</v>
      </c>
      <c r="DD152" s="168">
        <f t="shared" si="1328"/>
        <v>1.4682133829632912E-3</v>
      </c>
      <c r="DE152" s="168">
        <f t="shared" si="1329"/>
        <v>2.7451250907359766E-3</v>
      </c>
      <c r="DF152" s="168">
        <f t="shared" si="1330"/>
        <v>5.0139853941244305E-3</v>
      </c>
      <c r="DG152" s="168">
        <f t="shared" si="1331"/>
        <v>8.8653167069900809E-3</v>
      </c>
      <c r="DH152" s="168">
        <f t="shared" si="1332"/>
        <v>1.509354426982434E-2</v>
      </c>
      <c r="DI152" s="168">
        <f t="shared" si="1333"/>
        <v>2.4578612542443059E-2</v>
      </c>
      <c r="DJ152" s="168">
        <f t="shared" si="1334"/>
        <v>3.8001012559268736E-2</v>
      </c>
      <c r="DK152" s="168">
        <f t="shared" si="1335"/>
        <v>5.551909780236413E-2</v>
      </c>
      <c r="DL152" s="168">
        <f t="shared" si="1336"/>
        <v>7.6512387294796619E-2</v>
      </c>
      <c r="DM152" s="168">
        <f t="shared" si="1337"/>
        <v>9.9655127012813496E-2</v>
      </c>
      <c r="DN152" s="168">
        <f t="shared" si="1338"/>
        <v>0.12327735038868802</v>
      </c>
      <c r="DO152" s="168">
        <f t="shared" si="1339"/>
        <v>0.14585079501077292</v>
      </c>
      <c r="DP152" s="168">
        <f t="shared" si="1340"/>
        <v>0.16632591217053136</v>
      </c>
      <c r="DQ152" s="168">
        <f t="shared" si="1341"/>
        <v>0.18391759339103886</v>
      </c>
      <c r="DR152" s="168">
        <f t="shared" si="1342"/>
        <v>0.19855567789311954</v>
      </c>
      <c r="DS152" s="168">
        <f t="shared" si="1343"/>
        <v>0.21088074378835578</v>
      </c>
      <c r="DT152" s="168">
        <f t="shared" si="1344"/>
        <v>0.22129012136096118</v>
      </c>
      <c r="DU152" s="168">
        <f t="shared" si="1345"/>
        <v>0.230154418276943</v>
      </c>
      <c r="DV152" s="168">
        <f t="shared" si="1346"/>
        <v>0.23790023253311335</v>
      </c>
      <c r="DW152" s="168">
        <f t="shared" si="1347"/>
        <v>0.24474638864590517</v>
      </c>
      <c r="DX152" s="168">
        <f t="shared" si="1348"/>
        <v>0.25089556501988247</v>
      </c>
      <c r="DY152" s="168">
        <f t="shared" si="1349"/>
        <v>0.25649324023730269</v>
      </c>
      <c r="DZ152" s="168">
        <f t="shared" si="1350"/>
        <v>0.2616506901963494</v>
      </c>
    </row>
    <row r="153" spans="1:165" x14ac:dyDescent="0.2">
      <c r="A153" s="606" t="s">
        <v>33</v>
      </c>
      <c r="C153" s="54" t="s">
        <v>462</v>
      </c>
      <c r="D153" s="168">
        <f t="shared" ref="D153:AH153" si="1355">D130</f>
        <v>0.33785937775832225</v>
      </c>
      <c r="E153" s="168">
        <f t="shared" si="1355"/>
        <v>0.33827300072702082</v>
      </c>
      <c r="F153" s="168">
        <f t="shared" si="1355"/>
        <v>0.33820897066557332</v>
      </c>
      <c r="G153" s="168">
        <f t="shared" si="1355"/>
        <v>0.33808644427838719</v>
      </c>
      <c r="H153" s="168">
        <f t="shared" si="1355"/>
        <v>0.33793129492148327</v>
      </c>
      <c r="I153" s="168">
        <f t="shared" si="1355"/>
        <v>0.33774081072633866</v>
      </c>
      <c r="J153" s="168">
        <f t="shared" si="1355"/>
        <v>0.33726078955913241</v>
      </c>
      <c r="K153" s="168">
        <f t="shared" si="1355"/>
        <v>0.33672538188092532</v>
      </c>
      <c r="L153" s="168">
        <f t="shared" si="1355"/>
        <v>0.33612622481141841</v>
      </c>
      <c r="M153" s="168">
        <f t="shared" si="1355"/>
        <v>0.33544836379238946</v>
      </c>
      <c r="N153" s="168">
        <f t="shared" si="1355"/>
        <v>0.33466538502180032</v>
      </c>
      <c r="O153" s="168">
        <f t="shared" si="1355"/>
        <v>0.33212299280729685</v>
      </c>
      <c r="P153" s="168">
        <f t="shared" si="1355"/>
        <v>0.32939133501647627</v>
      </c>
      <c r="Q153" s="168">
        <f t="shared" si="1355"/>
        <v>0.32642447861068724</v>
      </c>
      <c r="R153" s="168">
        <f t="shared" si="1355"/>
        <v>0.32319365236716852</v>
      </c>
      <c r="S153" s="168">
        <f t="shared" si="1355"/>
        <v>0.31969599236910651</v>
      </c>
      <c r="T153" s="168">
        <f t="shared" si="1355"/>
        <v>0.31604571865605152</v>
      </c>
      <c r="U153" s="168">
        <f t="shared" si="1355"/>
        <v>0.31224488492903052</v>
      </c>
      <c r="V153" s="168">
        <f t="shared" si="1355"/>
        <v>0.30838911566170535</v>
      </c>
      <c r="W153" s="168">
        <f t="shared" si="1355"/>
        <v>0.30456530543665788</v>
      </c>
      <c r="X153" s="168">
        <f t="shared" si="1355"/>
        <v>0.30083241522884263</v>
      </c>
      <c r="Y153" s="168">
        <f t="shared" si="1355"/>
        <v>0.29513927895817471</v>
      </c>
      <c r="Z153" s="168">
        <f t="shared" si="1355"/>
        <v>0.28961656093105076</v>
      </c>
      <c r="AA153" s="168">
        <f t="shared" si="1355"/>
        <v>0.28422249150250878</v>
      </c>
      <c r="AB153" s="168">
        <f t="shared" si="1355"/>
        <v>0.27824229661021815</v>
      </c>
      <c r="AC153" s="168">
        <f t="shared" si="1355"/>
        <v>0.27200229868472225</v>
      </c>
      <c r="AD153" s="168">
        <f t="shared" si="1355"/>
        <v>0.26569574627174647</v>
      </c>
      <c r="AE153" s="168">
        <f t="shared" si="1355"/>
        <v>0.25929912688266105</v>
      </c>
      <c r="AF153" s="168">
        <f t="shared" si="1355"/>
        <v>0.2527698917256806</v>
      </c>
      <c r="AG153" s="168">
        <f t="shared" si="1355"/>
        <v>0.24609817796145214</v>
      </c>
      <c r="AH153" s="168">
        <f t="shared" si="1355"/>
        <v>0.23933722834616641</v>
      </c>
      <c r="AI153" s="44"/>
      <c r="AJ153" s="168">
        <f t="shared" ref="AJ153:BN153" si="1356">AJ130</f>
        <v>0.33785948370126562</v>
      </c>
      <c r="AK153" s="168">
        <f t="shared" si="1356"/>
        <v>0.33830683476354861</v>
      </c>
      <c r="AL153" s="168">
        <f t="shared" si="1356"/>
        <v>0.33829393154573129</v>
      </c>
      <c r="AM153" s="168">
        <f t="shared" si="1356"/>
        <v>0.33822113095981293</v>
      </c>
      <c r="AN153" s="168">
        <f t="shared" si="1356"/>
        <v>0.33812111820530155</v>
      </c>
      <c r="AO153" s="168">
        <f t="shared" si="1356"/>
        <v>0.33799190866924883</v>
      </c>
      <c r="AP153" s="168">
        <f t="shared" si="1356"/>
        <v>0.33778455837678145</v>
      </c>
      <c r="AQ153" s="168">
        <f t="shared" si="1356"/>
        <v>0.33755687634745241</v>
      </c>
      <c r="AR153" s="168">
        <f t="shared" si="1356"/>
        <v>0.33730562725597479</v>
      </c>
      <c r="AS153" s="168">
        <f t="shared" si="1356"/>
        <v>0.33702363646806793</v>
      </c>
      <c r="AT153" s="168">
        <f t="shared" si="1356"/>
        <v>0.33669674002717548</v>
      </c>
      <c r="AU153" s="168">
        <f t="shared" si="1356"/>
        <v>0.33485305841463719</v>
      </c>
      <c r="AV153" s="168">
        <f t="shared" si="1356"/>
        <v>0.33295226623933083</v>
      </c>
      <c r="AW153" s="168">
        <f t="shared" si="1356"/>
        <v>0.33097336858881543</v>
      </c>
      <c r="AX153" s="168">
        <f t="shared" si="1356"/>
        <v>0.32889279033444913</v>
      </c>
      <c r="AY153" s="168">
        <f t="shared" si="1356"/>
        <v>0.32670604982991602</v>
      </c>
      <c r="AZ153" s="168">
        <f t="shared" si="1356"/>
        <v>0.32440427904778407</v>
      </c>
      <c r="BA153" s="168">
        <f t="shared" si="1356"/>
        <v>0.32205122515254242</v>
      </c>
      <c r="BB153" s="168">
        <f t="shared" si="1356"/>
        <v>0.31970941992127139</v>
      </c>
      <c r="BC153" s="168">
        <f t="shared" si="1356"/>
        <v>0.31744011201982114</v>
      </c>
      <c r="BD153" s="168">
        <f t="shared" si="1356"/>
        <v>0.315289928067433</v>
      </c>
      <c r="BE153" s="168">
        <f t="shared" si="1356"/>
        <v>0.31130602471640473</v>
      </c>
      <c r="BF153" s="168">
        <f t="shared" si="1356"/>
        <v>0.30754024153278303</v>
      </c>
      <c r="BG153" s="168">
        <f t="shared" si="1356"/>
        <v>0.30400596229893084</v>
      </c>
      <c r="BH153" s="168">
        <f t="shared" si="1356"/>
        <v>0.30066147308344171</v>
      </c>
      <c r="BI153" s="168">
        <f t="shared" si="1356"/>
        <v>0.29747821282077108</v>
      </c>
      <c r="BJ153" s="168">
        <f t="shared" si="1356"/>
        <v>0.29451832142904649</v>
      </c>
      <c r="BK153" s="168">
        <f t="shared" si="1356"/>
        <v>0.29166866302421635</v>
      </c>
      <c r="BL153" s="168">
        <f t="shared" si="1356"/>
        <v>0.28888969186230051</v>
      </c>
      <c r="BM153" s="168">
        <f t="shared" si="1356"/>
        <v>0.28615649361235335</v>
      </c>
      <c r="BN153" s="168">
        <f t="shared" si="1356"/>
        <v>0.28347823257525451</v>
      </c>
      <c r="BP153" s="168">
        <f t="shared" ref="BP153:CT153" si="1357">BP130</f>
        <v>0.3378596258636638</v>
      </c>
      <c r="BQ153" s="168">
        <f t="shared" si="1357"/>
        <v>0.33170653960071217</v>
      </c>
      <c r="BR153" s="168">
        <f t="shared" si="1357"/>
        <v>0.32544633238985671</v>
      </c>
      <c r="BS153" s="168">
        <f t="shared" si="1357"/>
        <v>0.31908766473896805</v>
      </c>
      <c r="BT153" s="168">
        <f t="shared" si="1357"/>
        <v>0.31263825367803899</v>
      </c>
      <c r="BU153" s="168">
        <f t="shared" si="1357"/>
        <v>0.30610497837339778</v>
      </c>
      <c r="BV153" s="168">
        <f t="shared" si="1357"/>
        <v>0.29955146602442123</v>
      </c>
      <c r="BW153" s="168">
        <f t="shared" si="1357"/>
        <v>0.29297878078500988</v>
      </c>
      <c r="BX153" s="168">
        <f t="shared" si="1357"/>
        <v>0.28638795223697805</v>
      </c>
      <c r="BY153" s="168">
        <f t="shared" si="1357"/>
        <v>0.27977997778289965</v>
      </c>
      <c r="BZ153" s="168">
        <f t="shared" si="1357"/>
        <v>0.27315582495211099</v>
      </c>
      <c r="CA153" s="168">
        <f t="shared" si="1357"/>
        <v>0.26648321526869106</v>
      </c>
      <c r="CB153" s="168">
        <f t="shared" si="1357"/>
        <v>0.25976562693549143</v>
      </c>
      <c r="CC153" s="168">
        <f t="shared" si="1357"/>
        <v>0.25300628579767676</v>
      </c>
      <c r="CD153" s="168">
        <f t="shared" si="1357"/>
        <v>0.24620819516442094</v>
      </c>
      <c r="CE153" s="168">
        <f t="shared" si="1357"/>
        <v>0.23937416373996753</v>
      </c>
      <c r="CF153" s="168">
        <f t="shared" si="1357"/>
        <v>0.23254404723726144</v>
      </c>
      <c r="CG153" s="168">
        <f t="shared" si="1357"/>
        <v>0.22571805668846967</v>
      </c>
      <c r="CH153" s="168">
        <f t="shared" si="1357"/>
        <v>0.21889640721341891</v>
      </c>
      <c r="CI153" s="168">
        <f t="shared" si="1357"/>
        <v>0.21207931817876394</v>
      </c>
      <c r="CJ153" s="168">
        <f t="shared" si="1357"/>
        <v>0.20526701336151557</v>
      </c>
      <c r="CK153" s="168">
        <f t="shared" si="1357"/>
        <v>0.19845992202082383</v>
      </c>
      <c r="CL153" s="168">
        <f t="shared" si="1357"/>
        <v>0.19165826109883438</v>
      </c>
      <c r="CM153" s="168">
        <f t="shared" si="1357"/>
        <v>0.18486225206480628</v>
      </c>
      <c r="CN153" s="168">
        <f t="shared" si="1357"/>
        <v>0.17807212107101184</v>
      </c>
      <c r="CO153" s="168">
        <f t="shared" si="1357"/>
        <v>0.17128809911297527</v>
      </c>
      <c r="CP153" s="168">
        <f t="shared" si="1357"/>
        <v>0.16451057052578724</v>
      </c>
      <c r="CQ153" s="168">
        <f t="shared" si="1357"/>
        <v>0.15773976167472809</v>
      </c>
      <c r="CR153" s="168">
        <f t="shared" si="1357"/>
        <v>0.15097590385879769</v>
      </c>
      <c r="CS153" s="168">
        <f t="shared" si="1357"/>
        <v>0.14421923346592749</v>
      </c>
      <c r="CT153" s="168">
        <f t="shared" si="1357"/>
        <v>0.1374699921325121</v>
      </c>
      <c r="CV153" s="168">
        <f t="shared" si="1354"/>
        <v>0.33785948370126556</v>
      </c>
      <c r="CW153" s="168">
        <f t="shared" si="1321"/>
        <v>0.33869260645180627</v>
      </c>
      <c r="CX153" s="168">
        <f t="shared" si="1322"/>
        <v>0.3391014434384883</v>
      </c>
      <c r="CY153" s="168">
        <f t="shared" si="1323"/>
        <v>0.33948603484922468</v>
      </c>
      <c r="CZ153" s="168">
        <f t="shared" si="1324"/>
        <v>0.3398788587219424</v>
      </c>
      <c r="DA153" s="168">
        <f t="shared" si="1325"/>
        <v>0.34027764259141141</v>
      </c>
      <c r="DB153" s="168">
        <f t="shared" si="1326"/>
        <v>0.34070260164096777</v>
      </c>
      <c r="DC153" s="168">
        <f t="shared" si="1327"/>
        <v>0.34114616691370386</v>
      </c>
      <c r="DD153" s="168">
        <f t="shared" si="1328"/>
        <v>0.34160479815058209</v>
      </c>
      <c r="DE153" s="168">
        <f t="shared" si="1329"/>
        <v>0.34207123092927244</v>
      </c>
      <c r="DF153" s="168">
        <f t="shared" si="1330"/>
        <v>0.34253165619991793</v>
      </c>
      <c r="DG153" s="168">
        <f t="shared" si="1331"/>
        <v>0.34215208128393876</v>
      </c>
      <c r="DH153" s="168">
        <f t="shared" si="1332"/>
        <v>0.34168146670293648</v>
      </c>
      <c r="DI153" s="168">
        <f t="shared" si="1333"/>
        <v>0.34143753117694026</v>
      </c>
      <c r="DJ153" s="168">
        <f t="shared" si="1334"/>
        <v>0.34122096624035658</v>
      </c>
      <c r="DK153" s="168">
        <f t="shared" si="1335"/>
        <v>0.34102423690726552</v>
      </c>
      <c r="DL153" s="168">
        <f t="shared" si="1336"/>
        <v>0.34082093287308951</v>
      </c>
      <c r="DM153" s="168">
        <f t="shared" si="1337"/>
        <v>0.34067676647306405</v>
      </c>
      <c r="DN153" s="168">
        <f t="shared" si="1338"/>
        <v>0.34064296729682608</v>
      </c>
      <c r="DO153" s="168">
        <f t="shared" si="1339"/>
        <v>0.34076839452942032</v>
      </c>
      <c r="DP153" s="168">
        <f t="shared" si="1340"/>
        <v>0.34108748090789454</v>
      </c>
      <c r="DQ153" s="168">
        <f t="shared" si="1341"/>
        <v>0.34106050314945241</v>
      </c>
      <c r="DR153" s="168">
        <f t="shared" si="1342"/>
        <v>0.34073639512997056</v>
      </c>
      <c r="DS153" s="168">
        <f t="shared" si="1343"/>
        <v>0.34079142576936161</v>
      </c>
      <c r="DT153" s="168">
        <f t="shared" si="1344"/>
        <v>0.34117451686764788</v>
      </c>
      <c r="DU153" s="168">
        <f t="shared" si="1345"/>
        <v>0.34178456229709842</v>
      </c>
      <c r="DV153" s="168">
        <f t="shared" si="1346"/>
        <v>0.34267585145300195</v>
      </c>
      <c r="DW153" s="168">
        <f t="shared" si="1347"/>
        <v>0.34369458500443839</v>
      </c>
      <c r="DX153" s="168">
        <f t="shared" si="1348"/>
        <v>0.34476954961525313</v>
      </c>
      <c r="DY153" s="168">
        <f t="shared" si="1349"/>
        <v>0.34583545028214252</v>
      </c>
      <c r="DZ153" s="168">
        <f t="shared" si="1350"/>
        <v>0.34684857542631209</v>
      </c>
    </row>
    <row r="154" spans="1:165" x14ac:dyDescent="0.2">
      <c r="A154" s="606" t="s">
        <v>451</v>
      </c>
      <c r="C154" s="54" t="s">
        <v>462</v>
      </c>
      <c r="D154" s="168">
        <f t="shared" ref="D154:AH154" si="1358">D131</f>
        <v>7.3050729916467855E-2</v>
      </c>
      <c r="E154" s="168">
        <f t="shared" si="1358"/>
        <v>7.0688550075259579E-2</v>
      </c>
      <c r="F154" s="168">
        <f t="shared" si="1358"/>
        <v>6.8245964484364444E-2</v>
      </c>
      <c r="G154" s="168">
        <f t="shared" si="1358"/>
        <v>6.5814614906268318E-2</v>
      </c>
      <c r="H154" s="168">
        <f t="shared" si="1358"/>
        <v>6.340040397606124E-2</v>
      </c>
      <c r="I154" s="168">
        <f t="shared" si="1358"/>
        <v>6.1003429865928431E-2</v>
      </c>
      <c r="J154" s="168">
        <f t="shared" si="1358"/>
        <v>5.8580339045447252E-2</v>
      </c>
      <c r="K154" s="168">
        <f t="shared" si="1358"/>
        <v>5.6176546954338602E-2</v>
      </c>
      <c r="L154" s="168">
        <f t="shared" si="1358"/>
        <v>5.3792697564241536E-2</v>
      </c>
      <c r="M154" s="168">
        <f t="shared" si="1358"/>
        <v>5.1429438991013855E-2</v>
      </c>
      <c r="N154" s="168">
        <f t="shared" si="1358"/>
        <v>4.9087420710280417E-2</v>
      </c>
      <c r="O154" s="168">
        <f t="shared" si="1358"/>
        <v>4.653840013853313E-2</v>
      </c>
      <c r="P154" s="168">
        <f t="shared" si="1358"/>
        <v>4.4031466577153885E-2</v>
      </c>
      <c r="Q154" s="168">
        <f t="shared" si="1358"/>
        <v>4.1566985643403449E-2</v>
      </c>
      <c r="R154" s="168">
        <f t="shared" si="1358"/>
        <v>3.9146221666184158E-2</v>
      </c>
      <c r="S154" s="168">
        <f t="shared" si="1358"/>
        <v>3.6769953012909064E-2</v>
      </c>
      <c r="T154" s="168">
        <f t="shared" si="1358"/>
        <v>3.4447373518546244E-2</v>
      </c>
      <c r="U154" s="168">
        <f t="shared" si="1358"/>
        <v>3.2169563220633267E-2</v>
      </c>
      <c r="V154" s="168">
        <f t="shared" si="1358"/>
        <v>2.9936974116214446E-2</v>
      </c>
      <c r="W154" s="168">
        <f t="shared" si="1358"/>
        <v>2.7750026489914099E-2</v>
      </c>
      <c r="X154" s="168">
        <f t="shared" si="1358"/>
        <v>2.5609098941111793E-2</v>
      </c>
      <c r="Y154" s="168">
        <f t="shared" si="1358"/>
        <v>2.3315579926581238E-2</v>
      </c>
      <c r="Z154" s="168">
        <f t="shared" si="1358"/>
        <v>2.1098101899191146E-2</v>
      </c>
      <c r="AA154" s="168">
        <f t="shared" si="1358"/>
        <v>1.8956939665168902E-2</v>
      </c>
      <c r="AB154" s="168">
        <f t="shared" si="1358"/>
        <v>1.6892777716197495E-2</v>
      </c>
      <c r="AC154" s="168">
        <f t="shared" si="1358"/>
        <v>1.4905764418740558E-2</v>
      </c>
      <c r="AD154" s="168">
        <f t="shared" si="1358"/>
        <v>1.2995438516609422E-2</v>
      </c>
      <c r="AE154" s="168">
        <f t="shared" si="1358"/>
        <v>1.1162821992341351E-2</v>
      </c>
      <c r="AF154" s="168">
        <f t="shared" si="1358"/>
        <v>9.4071958515724828E-3</v>
      </c>
      <c r="AG154" s="168">
        <f t="shared" si="1358"/>
        <v>7.7273684888386953E-3</v>
      </c>
      <c r="AH154" s="168">
        <f t="shared" si="1358"/>
        <v>6.1215685752259545E-3</v>
      </c>
      <c r="AI154" s="44"/>
      <c r="AJ154" s="168">
        <f t="shared" ref="AJ154:BN154" si="1359">AJ131</f>
        <v>7.3050729916467855E-2</v>
      </c>
      <c r="AK154" s="168">
        <f t="shared" si="1359"/>
        <v>7.0695572846959043E-2</v>
      </c>
      <c r="AL154" s="168">
        <f t="shared" si="1359"/>
        <v>6.8263012313179897E-2</v>
      </c>
      <c r="AM154" s="168">
        <f t="shared" si="1359"/>
        <v>6.5840641169481615E-2</v>
      </c>
      <c r="AN154" s="168">
        <f t="shared" si="1359"/>
        <v>6.3435633327178761E-2</v>
      </c>
      <c r="AO154" s="168">
        <f t="shared" si="1359"/>
        <v>6.104802643902011E-2</v>
      </c>
      <c r="AP154" s="168">
        <f t="shared" si="1359"/>
        <v>5.8669855178473715E-2</v>
      </c>
      <c r="AQ154" s="168">
        <f t="shared" si="1359"/>
        <v>5.6312490225734702E-2</v>
      </c>
      <c r="AR154" s="168">
        <f t="shared" si="1359"/>
        <v>5.3976250467729837E-2</v>
      </c>
      <c r="AS154" s="168">
        <f t="shared" si="1359"/>
        <v>5.1661431576587286E-2</v>
      </c>
      <c r="AT154" s="168">
        <f t="shared" si="1359"/>
        <v>4.9368301974609764E-2</v>
      </c>
      <c r="AU154" s="168">
        <f t="shared" si="1359"/>
        <v>4.6892731562016093E-2</v>
      </c>
      <c r="AV154" s="168">
        <f t="shared" si="1359"/>
        <v>4.4462514136691389E-2</v>
      </c>
      <c r="AW154" s="168">
        <f t="shared" si="1359"/>
        <v>4.2078028661196996E-2</v>
      </c>
      <c r="AX154" s="168">
        <f t="shared" si="1359"/>
        <v>3.9738642886294459E-2</v>
      </c>
      <c r="AY154" s="168">
        <f t="shared" si="1359"/>
        <v>3.7444023893939554E-2</v>
      </c>
      <c r="AZ154" s="168">
        <f t="shared" si="1359"/>
        <v>3.519003724004454E-2</v>
      </c>
      <c r="BA154" s="168">
        <f t="shared" si="1359"/>
        <v>3.297816207809183E-2</v>
      </c>
      <c r="BB154" s="168">
        <f t="shared" si="1359"/>
        <v>3.0807677113016116E-2</v>
      </c>
      <c r="BC154" s="168">
        <f t="shared" si="1359"/>
        <v>2.8677751100529357E-2</v>
      </c>
      <c r="BD154" s="168">
        <f t="shared" si="1359"/>
        <v>2.6587429605410887E-2</v>
      </c>
      <c r="BE154" s="168">
        <f t="shared" si="1359"/>
        <v>2.4364392034536345E-2</v>
      </c>
      <c r="BF154" s="168">
        <f t="shared" si="1359"/>
        <v>2.2207753671642069E-2</v>
      </c>
      <c r="BG154" s="168">
        <f t="shared" si="1359"/>
        <v>2.0117556756580016E-2</v>
      </c>
      <c r="BH154" s="168">
        <f t="shared" si="1359"/>
        <v>1.8089739581230821E-2</v>
      </c>
      <c r="BI154" s="168">
        <f t="shared" si="1359"/>
        <v>1.6121701294690326E-2</v>
      </c>
      <c r="BJ154" s="168">
        <f t="shared" si="1359"/>
        <v>1.4215925274508521E-2</v>
      </c>
      <c r="BK154" s="168">
        <f t="shared" si="1359"/>
        <v>1.2363759003625208E-2</v>
      </c>
      <c r="BL154" s="168">
        <f t="shared" si="1359"/>
        <v>1.0561024071198922E-2</v>
      </c>
      <c r="BM154" s="168">
        <f t="shared" si="1359"/>
        <v>8.802956563701711E-3</v>
      </c>
      <c r="BN154" s="168">
        <f t="shared" si="1359"/>
        <v>7.0841405353760691E-3</v>
      </c>
      <c r="BP154" s="168">
        <f t="shared" ref="BP154:CT154" si="1360">BP131</f>
        <v>7.3050729916467855E-2</v>
      </c>
      <c r="BQ154" s="168">
        <f t="shared" si="1360"/>
        <v>7.3255290383283822E-2</v>
      </c>
      <c r="BR154" s="168">
        <f t="shared" si="1360"/>
        <v>7.3440618620333437E-2</v>
      </c>
      <c r="BS154" s="168">
        <f t="shared" si="1360"/>
        <v>7.3607410165294831E-2</v>
      </c>
      <c r="BT154" s="168">
        <f t="shared" si="1360"/>
        <v>7.3756207733903553E-2</v>
      </c>
      <c r="BU154" s="168">
        <f t="shared" si="1360"/>
        <v>7.3887408572889113E-2</v>
      </c>
      <c r="BV154" s="168">
        <f t="shared" si="1360"/>
        <v>7.4015475663912769E-2</v>
      </c>
      <c r="BW154" s="168">
        <f t="shared" si="1360"/>
        <v>7.4140444055660989E-2</v>
      </c>
      <c r="BX154" s="168">
        <f t="shared" si="1360"/>
        <v>7.4262344482502629E-2</v>
      </c>
      <c r="BY154" s="168">
        <f t="shared" si="1360"/>
        <v>7.43812034263443E-2</v>
      </c>
      <c r="BZ154" s="168">
        <f t="shared" si="1360"/>
        <v>7.4497043168757507E-2</v>
      </c>
      <c r="CA154" s="168">
        <f t="shared" si="1360"/>
        <v>7.4600582527755727E-2</v>
      </c>
      <c r="CB154" s="168">
        <f t="shared" si="1360"/>
        <v>7.469181624349111E-2</v>
      </c>
      <c r="CC154" s="168">
        <f t="shared" si="1360"/>
        <v>7.4770668976194499E-2</v>
      </c>
      <c r="CD154" s="168">
        <f t="shared" si="1360"/>
        <v>7.4836994347960581E-2</v>
      </c>
      <c r="CE154" s="168">
        <f t="shared" si="1360"/>
        <v>7.4890573300603974E-2</v>
      </c>
      <c r="CF154" s="168">
        <f t="shared" si="1360"/>
        <v>7.4943105270776106E-2</v>
      </c>
      <c r="CG154" s="168">
        <f t="shared" si="1360"/>
        <v>7.4994571905034377E-2</v>
      </c>
      <c r="CH154" s="168">
        <f t="shared" si="1360"/>
        <v>7.5044954359001034E-2</v>
      </c>
      <c r="CI154" s="168">
        <f t="shared" si="1360"/>
        <v>7.5094233285087533E-2</v>
      </c>
      <c r="CJ154" s="168">
        <f t="shared" si="1360"/>
        <v>7.5142388819840436E-2</v>
      </c>
      <c r="CK154" s="168">
        <f t="shared" si="1360"/>
        <v>7.5189476686246495E-2</v>
      </c>
      <c r="CL154" s="168">
        <f t="shared" si="1360"/>
        <v>7.5235477852550942E-2</v>
      </c>
      <c r="CM154" s="168">
        <f t="shared" si="1360"/>
        <v>7.5280372810160992E-2</v>
      </c>
      <c r="CN154" s="168">
        <f t="shared" si="1360"/>
        <v>7.5324141561865288E-2</v>
      </c>
      <c r="CO154" s="168">
        <f t="shared" si="1360"/>
        <v>7.5366763609709009E-2</v>
      </c>
      <c r="CP154" s="168">
        <f t="shared" si="1360"/>
        <v>7.5408285934683725E-2</v>
      </c>
      <c r="CQ154" s="168">
        <f t="shared" si="1360"/>
        <v>7.5448688782533205E-2</v>
      </c>
      <c r="CR154" s="168">
        <f t="shared" si="1360"/>
        <v>7.5487951929398736E-2</v>
      </c>
      <c r="CS154" s="168">
        <f t="shared" si="1360"/>
        <v>7.5526054670406628E-2</v>
      </c>
      <c r="CT154" s="168">
        <f t="shared" si="1360"/>
        <v>7.5562975807937111E-2</v>
      </c>
      <c r="CV154" s="168">
        <f t="shared" si="1354"/>
        <v>7.3050729916467841E-2</v>
      </c>
      <c r="CW154" s="168">
        <f t="shared" si="1321"/>
        <v>7.0776187093220352E-2</v>
      </c>
      <c r="CX154" s="168">
        <f t="shared" si="1322"/>
        <v>6.8425956986844144E-2</v>
      </c>
      <c r="CY154" s="168">
        <f t="shared" si="1323"/>
        <v>6.6086876769428607E-2</v>
      </c>
      <c r="CZ154" s="168">
        <f t="shared" si="1324"/>
        <v>6.37654068222204E-2</v>
      </c>
      <c r="DA154" s="168">
        <f t="shared" si="1325"/>
        <v>6.1460875212418692E-2</v>
      </c>
      <c r="DB154" s="168">
        <f t="shared" si="1326"/>
        <v>5.9176690590184176E-2</v>
      </c>
      <c r="DC154" s="168">
        <f t="shared" si="1327"/>
        <v>5.6911268991898273E-2</v>
      </c>
      <c r="DD154" s="168">
        <f t="shared" si="1328"/>
        <v>5.4664211492568594E-2</v>
      </c>
      <c r="DE154" s="168">
        <f t="shared" si="1329"/>
        <v>5.2435163527902756E-2</v>
      </c>
      <c r="DF154" s="168">
        <f t="shared" si="1330"/>
        <v>5.0223849027394518E-2</v>
      </c>
      <c r="DG154" s="168">
        <f t="shared" si="1331"/>
        <v>4.7914884746746315E-2</v>
      </c>
      <c r="DH154" s="168">
        <f t="shared" si="1332"/>
        <v>4.5628213362586101E-2</v>
      </c>
      <c r="DI154" s="168">
        <f t="shared" si="1333"/>
        <v>4.3408381417903416E-2</v>
      </c>
      <c r="DJ154" s="168">
        <f t="shared" si="1334"/>
        <v>4.1228201168390266E-2</v>
      </c>
      <c r="DK154" s="168">
        <f t="shared" si="1335"/>
        <v>3.9085041987486586E-2</v>
      </c>
      <c r="DL154" s="168">
        <f t="shared" si="1336"/>
        <v>3.6970848088671862E-2</v>
      </c>
      <c r="DM154" s="168">
        <f t="shared" si="1337"/>
        <v>3.4885424254068403E-2</v>
      </c>
      <c r="DN154" s="168">
        <f t="shared" si="1338"/>
        <v>3.2824864997360988E-2</v>
      </c>
      <c r="DO154" s="168">
        <f t="shared" si="1339"/>
        <v>3.0785243676550573E-2</v>
      </c>
      <c r="DP154" s="168">
        <f t="shared" si="1340"/>
        <v>2.8762857867080389E-2</v>
      </c>
      <c r="DQ154" s="168">
        <f t="shared" si="1341"/>
        <v>2.6693128775132191E-2</v>
      </c>
      <c r="DR154" s="168">
        <f t="shared" si="1342"/>
        <v>2.4604877372456199E-2</v>
      </c>
      <c r="DS154" s="168">
        <f t="shared" si="1343"/>
        <v>2.2551830228018752E-2</v>
      </c>
      <c r="DT154" s="168">
        <f t="shared" si="1344"/>
        <v>2.0527266425569471E-2</v>
      </c>
      <c r="DU154" s="168">
        <f t="shared" si="1345"/>
        <v>1.8522864475490616E-2</v>
      </c>
      <c r="DV154" s="168">
        <f t="shared" si="1346"/>
        <v>1.65404117271803E-2</v>
      </c>
      <c r="DW154" s="168">
        <f t="shared" si="1347"/>
        <v>1.4569124347421044E-2</v>
      </c>
      <c r="DX154" s="168">
        <f t="shared" si="1348"/>
        <v>1.2603840202919535E-2</v>
      </c>
      <c r="DY154" s="168">
        <f t="shared" si="1349"/>
        <v>1.0638844530804306E-2</v>
      </c>
      <c r="DZ154" s="168">
        <f t="shared" si="1350"/>
        <v>8.6677697631076227E-3</v>
      </c>
    </row>
    <row r="155" spans="1:165" x14ac:dyDescent="0.2">
      <c r="A155" s="606" t="s">
        <v>452</v>
      </c>
      <c r="C155" s="54" t="s">
        <v>462</v>
      </c>
      <c r="D155" s="168">
        <f t="shared" ref="D155:AH155" si="1361">D132</f>
        <v>0.24654621346807901</v>
      </c>
      <c r="E155" s="168">
        <f t="shared" si="1361"/>
        <v>0.24240408373447389</v>
      </c>
      <c r="F155" s="168">
        <f t="shared" si="1361"/>
        <v>0.23795495581273984</v>
      </c>
      <c r="G155" s="168">
        <f t="shared" si="1361"/>
        <v>0.23350664740717128</v>
      </c>
      <c r="H155" s="168">
        <f t="shared" si="1361"/>
        <v>0.22907881813991954</v>
      </c>
      <c r="I155" s="168">
        <f t="shared" si="1361"/>
        <v>0.22467116853061464</v>
      </c>
      <c r="J155" s="168">
        <f t="shared" si="1361"/>
        <v>0.22012006186774141</v>
      </c>
      <c r="K155" s="168">
        <f t="shared" si="1361"/>
        <v>0.21558852836403261</v>
      </c>
      <c r="L155" s="168">
        <f t="shared" si="1361"/>
        <v>0.21107786761620884</v>
      </c>
      <c r="M155" s="168">
        <f t="shared" si="1361"/>
        <v>0.206589441370683</v>
      </c>
      <c r="N155" s="168">
        <f t="shared" si="1361"/>
        <v>0.20212467351291954</v>
      </c>
      <c r="O155" s="168">
        <f t="shared" si="1361"/>
        <v>0.19671753187392244</v>
      </c>
      <c r="P155" s="168">
        <f t="shared" si="1361"/>
        <v>0.19136752781609204</v>
      </c>
      <c r="Q155" s="168">
        <f t="shared" si="1361"/>
        <v>0.18607502969228271</v>
      </c>
      <c r="R155" s="168">
        <f t="shared" si="1361"/>
        <v>0.1808445169930763</v>
      </c>
      <c r="S155" s="168">
        <f t="shared" si="1361"/>
        <v>0.17567866439501012</v>
      </c>
      <c r="T155" s="168">
        <f t="shared" si="1361"/>
        <v>0.17062214695904948</v>
      </c>
      <c r="U155" s="168">
        <f t="shared" si="1361"/>
        <v>0.16563337096243422</v>
      </c>
      <c r="V155" s="168">
        <f t="shared" si="1361"/>
        <v>0.16071428209757241</v>
      </c>
      <c r="W155" s="168">
        <f t="shared" si="1361"/>
        <v>0.15586697121905035</v>
      </c>
      <c r="X155" s="168">
        <f t="shared" si="1361"/>
        <v>0.15109368375255969</v>
      </c>
      <c r="Y155" s="168">
        <f t="shared" si="1361"/>
        <v>0.14515828793000587</v>
      </c>
      <c r="Z155" s="168">
        <f t="shared" si="1361"/>
        <v>0.13934560324116954</v>
      </c>
      <c r="AA155" s="168">
        <f t="shared" si="1361"/>
        <v>0.13365842270252012</v>
      </c>
      <c r="AB155" s="168">
        <f t="shared" si="1361"/>
        <v>0.12810356434783113</v>
      </c>
      <c r="AC155" s="168">
        <f t="shared" si="1361"/>
        <v>0.12268590713886472</v>
      </c>
      <c r="AD155" s="168">
        <f t="shared" si="1361"/>
        <v>0.11740706521902319</v>
      </c>
      <c r="AE155" s="168">
        <f t="shared" si="1361"/>
        <v>0.11228485651119843</v>
      </c>
      <c r="AF155" s="168">
        <f t="shared" si="1361"/>
        <v>0.1073275526702135</v>
      </c>
      <c r="AG155" s="168">
        <f t="shared" si="1361"/>
        <v>0.10254426832485965</v>
      </c>
      <c r="AH155" s="168">
        <f t="shared" si="1361"/>
        <v>9.7945097203615272E-2</v>
      </c>
      <c r="AI155" s="44"/>
      <c r="AJ155" s="168">
        <f t="shared" ref="AJ155:BN155" si="1362">AJ132</f>
        <v>0.24654621346807901</v>
      </c>
      <c r="AK155" s="168">
        <f t="shared" si="1362"/>
        <v>0.24242816611467938</v>
      </c>
      <c r="AL155" s="168">
        <f t="shared" si="1362"/>
        <v>0.2380143969149813</v>
      </c>
      <c r="AM155" s="168">
        <f t="shared" si="1362"/>
        <v>0.23359898716295543</v>
      </c>
      <c r="AN155" s="168">
        <f t="shared" si="1362"/>
        <v>0.22920610909725928</v>
      </c>
      <c r="AO155" s="168">
        <f t="shared" si="1362"/>
        <v>0.22483541444614744</v>
      </c>
      <c r="AP155" s="168">
        <f t="shared" si="1362"/>
        <v>0.22045642551911357</v>
      </c>
      <c r="AQ155" s="168">
        <f t="shared" si="1362"/>
        <v>0.21611023735844806</v>
      </c>
      <c r="AR155" s="168">
        <f t="shared" si="1362"/>
        <v>0.21179811324837489</v>
      </c>
      <c r="AS155" s="168">
        <f t="shared" si="1362"/>
        <v>0.20752134379069825</v>
      </c>
      <c r="AT155" s="168">
        <f t="shared" si="1362"/>
        <v>0.20328124342486387</v>
      </c>
      <c r="AU155" s="168">
        <f t="shared" si="1362"/>
        <v>0.1982152886271725</v>
      </c>
      <c r="AV155" s="168">
        <f t="shared" si="1362"/>
        <v>0.19324092682485119</v>
      </c>
      <c r="AW155" s="168">
        <f t="shared" si="1362"/>
        <v>0.18836271890616391</v>
      </c>
      <c r="AX155" s="168">
        <f t="shared" si="1362"/>
        <v>0.18358133615076891</v>
      </c>
      <c r="AY155" s="168">
        <f t="shared" si="1362"/>
        <v>0.17889922527104468</v>
      </c>
      <c r="AZ155" s="168">
        <f t="shared" si="1362"/>
        <v>0.17430065320459576</v>
      </c>
      <c r="BA155" s="168">
        <f t="shared" si="1362"/>
        <v>0.16979665268306798</v>
      </c>
      <c r="BB155" s="168">
        <f t="shared" si="1362"/>
        <v>0.16538858239619192</v>
      </c>
      <c r="BC155" s="168">
        <f t="shared" si="1362"/>
        <v>0.16107783562073044</v>
      </c>
      <c r="BD155" s="168">
        <f t="shared" si="1362"/>
        <v>0.15686583467192436</v>
      </c>
      <c r="BE155" s="168">
        <f t="shared" si="1362"/>
        <v>0.15168798911824252</v>
      </c>
      <c r="BF155" s="168">
        <f t="shared" si="1362"/>
        <v>0.14667446611038029</v>
      </c>
      <c r="BG155" s="168">
        <f t="shared" si="1362"/>
        <v>0.14184150776474783</v>
      </c>
      <c r="BH155" s="168">
        <f t="shared" si="1362"/>
        <v>0.13718052515766718</v>
      </c>
      <c r="BI155" s="168">
        <f t="shared" si="1362"/>
        <v>0.13269400296398973</v>
      </c>
      <c r="BJ155" s="168">
        <f t="shared" si="1362"/>
        <v>0.12843353179038747</v>
      </c>
      <c r="BK155" s="168">
        <f t="shared" si="1362"/>
        <v>0.12436486997764194</v>
      </c>
      <c r="BL155" s="168">
        <f t="shared" si="1362"/>
        <v>0.1204916837214061</v>
      </c>
      <c r="BM155" s="168">
        <f t="shared" si="1362"/>
        <v>0.1168176127777716</v>
      </c>
      <c r="BN155" s="168">
        <f t="shared" si="1362"/>
        <v>0.1133462485660171</v>
      </c>
      <c r="BP155" s="168">
        <f t="shared" ref="BP155:CT155" si="1363">BP132</f>
        <v>0.24654621346807901</v>
      </c>
      <c r="BQ155" s="168">
        <f t="shared" si="1363"/>
        <v>0.2497935286727539</v>
      </c>
      <c r="BR155" s="168">
        <f t="shared" si="1363"/>
        <v>0.25298248010196323</v>
      </c>
      <c r="BS155" s="168">
        <f t="shared" si="1363"/>
        <v>0.25611345454773815</v>
      </c>
      <c r="BT155" s="168">
        <f t="shared" si="1363"/>
        <v>0.25918640827220829</v>
      </c>
      <c r="BU155" s="168">
        <f t="shared" si="1363"/>
        <v>0.26220086603298531</v>
      </c>
      <c r="BV155" s="168">
        <f t="shared" si="1363"/>
        <v>0.26520681602652607</v>
      </c>
      <c r="BW155" s="168">
        <f t="shared" si="1363"/>
        <v>0.26820405164786393</v>
      </c>
      <c r="BX155" s="168">
        <f t="shared" si="1363"/>
        <v>0.27119235699633371</v>
      </c>
      <c r="BY155" s="168">
        <f t="shared" si="1363"/>
        <v>0.27417150632553594</v>
      </c>
      <c r="BZ155" s="168">
        <f t="shared" si="1363"/>
        <v>0.27714126347554213</v>
      </c>
      <c r="CA155" s="168">
        <f t="shared" si="1363"/>
        <v>0.28006646971168114</v>
      </c>
      <c r="CB155" s="168">
        <f t="shared" si="1363"/>
        <v>0.28294584576967791</v>
      </c>
      <c r="CC155" s="168">
        <f t="shared" si="1363"/>
        <v>0.28577785001889483</v>
      </c>
      <c r="CD155" s="168">
        <f t="shared" si="1363"/>
        <v>0.28856066289123516</v>
      </c>
      <c r="CE155" s="168">
        <f t="shared" si="1363"/>
        <v>0.29129216854345319</v>
      </c>
      <c r="CF155" s="168">
        <f t="shared" si="1363"/>
        <v>0.29401698652799552</v>
      </c>
      <c r="CG155" s="168">
        <f t="shared" si="1363"/>
        <v>0.29673494832110259</v>
      </c>
      <c r="CH155" s="168">
        <f t="shared" si="1363"/>
        <v>0.29944588145205264</v>
      </c>
      <c r="CI155" s="168">
        <f t="shared" si="1363"/>
        <v>0.30214960938395374</v>
      </c>
      <c r="CJ155" s="168">
        <f t="shared" si="1363"/>
        <v>0.30484595139105958</v>
      </c>
      <c r="CK155" s="168">
        <f t="shared" si="1363"/>
        <v>0.30753503375446456</v>
      </c>
      <c r="CL155" s="168">
        <f t="shared" si="1363"/>
        <v>0.31021668240256972</v>
      </c>
      <c r="CM155" s="168">
        <f t="shared" si="1363"/>
        <v>0.31289071922959533</v>
      </c>
      <c r="CN155" s="168">
        <f t="shared" si="1363"/>
        <v>0.31555696198004674</v>
      </c>
      <c r="CO155" s="168">
        <f t="shared" si="1363"/>
        <v>0.31821522412988196</v>
      </c>
      <c r="CP155" s="168">
        <f t="shared" si="1363"/>
        <v>0.32086560407397247</v>
      </c>
      <c r="CQ155" s="168">
        <f t="shared" si="1363"/>
        <v>0.32350792070479112</v>
      </c>
      <c r="CR155" s="168">
        <f t="shared" si="1363"/>
        <v>0.32614198877065448</v>
      </c>
      <c r="CS155" s="168">
        <f t="shared" si="1363"/>
        <v>0.32876761876229216</v>
      </c>
      <c r="CT155" s="168">
        <f t="shared" si="1363"/>
        <v>0.33138461679625425</v>
      </c>
      <c r="CV155" s="168">
        <f t="shared" si="1354"/>
        <v>0.24654621346807901</v>
      </c>
      <c r="CW155" s="168">
        <f t="shared" si="1321"/>
        <v>0.24270460724241666</v>
      </c>
      <c r="CX155" s="168">
        <f t="shared" si="1322"/>
        <v>0.2385825402904124</v>
      </c>
      <c r="CY155" s="168">
        <f t="shared" si="1323"/>
        <v>0.23447261757920573</v>
      </c>
      <c r="CZ155" s="168">
        <f t="shared" si="1324"/>
        <v>0.23039764917840033</v>
      </c>
      <c r="DA155" s="168">
        <f t="shared" si="1325"/>
        <v>0.22635590627012761</v>
      </c>
      <c r="DB155" s="168">
        <f t="shared" si="1326"/>
        <v>0.22236089797523773</v>
      </c>
      <c r="DC155" s="168">
        <f t="shared" si="1327"/>
        <v>0.21840816843487681</v>
      </c>
      <c r="DD155" s="168">
        <f t="shared" si="1328"/>
        <v>0.21449761248714433</v>
      </c>
      <c r="DE155" s="168">
        <f t="shared" si="1329"/>
        <v>0.21062938569682993</v>
      </c>
      <c r="DF155" s="168">
        <f t="shared" si="1330"/>
        <v>0.20680408423044813</v>
      </c>
      <c r="DG155" s="168">
        <f t="shared" si="1331"/>
        <v>0.20253592386814873</v>
      </c>
      <c r="DH155" s="168">
        <f t="shared" si="1332"/>
        <v>0.19830723499893207</v>
      </c>
      <c r="DI155" s="168">
        <f t="shared" si="1333"/>
        <v>0.19431805641437319</v>
      </c>
      <c r="DJ155" s="168">
        <f t="shared" si="1334"/>
        <v>0.19046267582016924</v>
      </c>
      <c r="DK155" s="168">
        <f t="shared" si="1335"/>
        <v>0.18673964505132498</v>
      </c>
      <c r="DL155" s="168">
        <f t="shared" si="1336"/>
        <v>0.18312123193920296</v>
      </c>
      <c r="DM155" s="168">
        <f t="shared" si="1337"/>
        <v>0.17961668851474902</v>
      </c>
      <c r="DN155" s="168">
        <f t="shared" si="1338"/>
        <v>0.17621769630162229</v>
      </c>
      <c r="DO155" s="168">
        <f t="shared" si="1339"/>
        <v>0.17291524719258794</v>
      </c>
      <c r="DP155" s="168">
        <f t="shared" si="1340"/>
        <v>0.16970086141577442</v>
      </c>
      <c r="DQ155" s="168">
        <f t="shared" si="1341"/>
        <v>0.16618625334195214</v>
      </c>
      <c r="DR155" s="168">
        <f t="shared" si="1342"/>
        <v>0.16250663194831547</v>
      </c>
      <c r="DS155" s="168">
        <f t="shared" si="1343"/>
        <v>0.15900467641780325</v>
      </c>
      <c r="DT155" s="168">
        <f t="shared" si="1344"/>
        <v>0.1556651037272353</v>
      </c>
      <c r="DU155" s="168">
        <f t="shared" si="1345"/>
        <v>0.15245742299057674</v>
      </c>
      <c r="DV155" s="168">
        <f t="shared" si="1346"/>
        <v>0.14943406456969804</v>
      </c>
      <c r="DW155" s="168">
        <f t="shared" si="1347"/>
        <v>0.14654825078876479</v>
      </c>
      <c r="DX155" s="168">
        <f t="shared" si="1348"/>
        <v>0.14379835867876403</v>
      </c>
      <c r="DY155" s="168">
        <f t="shared" si="1349"/>
        <v>0.14118034228716014</v>
      </c>
      <c r="DZ155" s="168">
        <f t="shared" si="1350"/>
        <v>0.13868431620972196</v>
      </c>
    </row>
    <row r="156" spans="1:165" x14ac:dyDescent="0.2">
      <c r="A156" s="606" t="s">
        <v>453</v>
      </c>
      <c r="C156" s="54" t="s">
        <v>462</v>
      </c>
      <c r="D156" s="168">
        <f t="shared" ref="D156:AH156" si="1364">D133</f>
        <v>6.3919388676909383E-2</v>
      </c>
      <c r="E156" s="168">
        <f t="shared" si="1364"/>
        <v>6.3407326033172756E-2</v>
      </c>
      <c r="F156" s="168">
        <f t="shared" si="1364"/>
        <v>6.2810445189149591E-2</v>
      </c>
      <c r="G156" s="168">
        <f t="shared" si="1364"/>
        <v>6.2208334637431709E-2</v>
      </c>
      <c r="H156" s="168">
        <f t="shared" si="1364"/>
        <v>6.160605292013499E-2</v>
      </c>
      <c r="I156" s="168">
        <f t="shared" si="1364"/>
        <v>6.1003429865928445E-2</v>
      </c>
      <c r="J156" s="168">
        <f t="shared" si="1364"/>
        <v>6.035550083470325E-2</v>
      </c>
      <c r="K156" s="168">
        <f t="shared" si="1364"/>
        <v>5.9705963516914866E-2</v>
      </c>
      <c r="L156" s="168">
        <f t="shared" si="1364"/>
        <v>5.9055026673786919E-2</v>
      </c>
      <c r="M156" s="168">
        <f t="shared" si="1364"/>
        <v>5.84029222440327E-2</v>
      </c>
      <c r="N156" s="168">
        <f t="shared" si="1364"/>
        <v>5.774990671797698E-2</v>
      </c>
      <c r="O156" s="168">
        <f t="shared" si="1364"/>
        <v>5.6816819801031246E-2</v>
      </c>
      <c r="P156" s="168">
        <f t="shared" si="1364"/>
        <v>5.5886092194079938E-2</v>
      </c>
      <c r="Q156" s="168">
        <f t="shared" si="1364"/>
        <v>5.4957692427855566E-2</v>
      </c>
      <c r="R156" s="168">
        <f t="shared" si="1364"/>
        <v>5.4032813004028839E-2</v>
      </c>
      <c r="S156" s="168">
        <f t="shared" si="1364"/>
        <v>5.311215435197976E-2</v>
      </c>
      <c r="T156" s="168">
        <f t="shared" si="1364"/>
        <v>5.2209300489046637E-2</v>
      </c>
      <c r="U156" s="168">
        <f t="shared" si="1364"/>
        <v>5.1311782657704287E-2</v>
      </c>
      <c r="V156" s="168">
        <f t="shared" si="1364"/>
        <v>5.0420166932571696E-2</v>
      </c>
      <c r="W156" s="168">
        <f t="shared" si="1364"/>
        <v>4.9535094014706474E-2</v>
      </c>
      <c r="X156" s="168">
        <f t="shared" si="1364"/>
        <v>4.8657287988112391E-2</v>
      </c>
      <c r="Y156" s="168">
        <f t="shared" si="1364"/>
        <v>4.7383275334665083E-2</v>
      </c>
      <c r="Z156" s="168">
        <f t="shared" si="1364"/>
        <v>4.6121432058696912E-2</v>
      </c>
      <c r="AA156" s="168">
        <f t="shared" si="1364"/>
        <v>4.4872755916285881E-2</v>
      </c>
      <c r="AB156" s="168">
        <f t="shared" si="1364"/>
        <v>4.3639675766843536E-2</v>
      </c>
      <c r="AC156" s="168">
        <f t="shared" si="1364"/>
        <v>4.2424098730261602E-2</v>
      </c>
      <c r="AD156" s="168">
        <f t="shared" si="1364"/>
        <v>4.1226908397519572E-2</v>
      </c>
      <c r="AE156" s="168">
        <f t="shared" si="1364"/>
        <v>4.0054831854871936E-2</v>
      </c>
      <c r="AF156" s="168">
        <f t="shared" si="1364"/>
        <v>3.8911582840595316E-2</v>
      </c>
      <c r="AG156" s="168">
        <f t="shared" si="1364"/>
        <v>3.7801451256210983E-2</v>
      </c>
      <c r="AH156" s="168">
        <f t="shared" si="1364"/>
        <v>3.6729411451355727E-2</v>
      </c>
      <c r="AI156" s="44"/>
      <c r="AJ156" s="168">
        <f t="shared" ref="AJ156:BN156" si="1365">AJ133</f>
        <v>6.3919388676909383E-2</v>
      </c>
      <c r="AK156" s="168">
        <f t="shared" si="1365"/>
        <v>6.3413625429246528E-2</v>
      </c>
      <c r="AL156" s="168">
        <f t="shared" si="1365"/>
        <v>6.2826135226289465E-2</v>
      </c>
      <c r="AM156" s="168">
        <f t="shared" si="1365"/>
        <v>6.2232934804030575E-2</v>
      </c>
      <c r="AN156" s="168">
        <f t="shared" si="1365"/>
        <v>6.1640285214145413E-2</v>
      </c>
      <c r="AO156" s="168">
        <f t="shared" si="1365"/>
        <v>6.1048026439020131E-2</v>
      </c>
      <c r="AP156" s="168">
        <f t="shared" si="1365"/>
        <v>6.0447729577821421E-2</v>
      </c>
      <c r="AQ156" s="168">
        <f t="shared" si="1365"/>
        <v>5.9850447726827995E-2</v>
      </c>
      <c r="AR156" s="168">
        <f t="shared" si="1365"/>
        <v>5.9256535839572987E-2</v>
      </c>
      <c r="AS156" s="168">
        <f t="shared" si="1365"/>
        <v>5.8666371451378797E-2</v>
      </c>
      <c r="AT156" s="168">
        <f t="shared" si="1365"/>
        <v>5.8080355264246784E-2</v>
      </c>
      <c r="AU156" s="168">
        <f t="shared" si="1365"/>
        <v>5.7249408471418427E-2</v>
      </c>
      <c r="AV156" s="168">
        <f t="shared" si="1365"/>
        <v>5.6433191019646757E-2</v>
      </c>
      <c r="AW156" s="168">
        <f t="shared" si="1365"/>
        <v>5.5633366753394677E-2</v>
      </c>
      <c r="AX156" s="168">
        <f t="shared" si="1365"/>
        <v>5.4850521166997991E-2</v>
      </c>
      <c r="AY156" s="168">
        <f t="shared" si="1365"/>
        <v>5.4085812291246017E-2</v>
      </c>
      <c r="AZ156" s="168">
        <f t="shared" si="1365"/>
        <v>5.3334900191942501E-2</v>
      </c>
      <c r="BA156" s="168">
        <f t="shared" si="1365"/>
        <v>5.2601531248526623E-2</v>
      </c>
      <c r="BB156" s="168">
        <f t="shared" si="1365"/>
        <v>5.1886614085079767E-2</v>
      </c>
      <c r="BC156" s="168">
        <f t="shared" si="1365"/>
        <v>5.1191125796272025E-2</v>
      </c>
      <c r="BD156" s="168">
        <f t="shared" si="1365"/>
        <v>5.0516116250280678E-2</v>
      </c>
      <c r="BE156" s="168">
        <f t="shared" si="1365"/>
        <v>4.9514732199219015E-2</v>
      </c>
      <c r="BF156" s="168">
        <f t="shared" si="1365"/>
        <v>4.8547182444984981E-2</v>
      </c>
      <c r="BG156" s="168">
        <f t="shared" si="1365"/>
        <v>4.76200394111451E-2</v>
      </c>
      <c r="BH156" s="168">
        <f t="shared" si="1365"/>
        <v>4.673182725151296E-2</v>
      </c>
      <c r="BI156" s="168">
        <f t="shared" si="1365"/>
        <v>4.5884842146426331E-2</v>
      </c>
      <c r="BJ156" s="168">
        <f t="shared" si="1365"/>
        <v>4.509879742257878E-2</v>
      </c>
      <c r="BK156" s="168">
        <f t="shared" si="1365"/>
        <v>4.4364076424772844E-2</v>
      </c>
      <c r="BL156" s="168">
        <f t="shared" si="1365"/>
        <v>4.3684235930868329E-2</v>
      </c>
      <c r="BM156" s="168">
        <f t="shared" si="1365"/>
        <v>4.3063111838648992E-2</v>
      </c>
      <c r="BN156" s="168">
        <f t="shared" si="1365"/>
        <v>4.2504843212256414E-2</v>
      </c>
      <c r="BP156" s="168">
        <f t="shared" ref="BP156:CT156" si="1366">BP133</f>
        <v>6.3919388676909383E-2</v>
      </c>
      <c r="BQ156" s="168">
        <f t="shared" si="1366"/>
        <v>6.5176783537020735E-2</v>
      </c>
      <c r="BR156" s="168">
        <f t="shared" si="1366"/>
        <v>6.642011060592086E-2</v>
      </c>
      <c r="BS156" s="168">
        <f t="shared" si="1366"/>
        <v>6.7649151559137713E-2</v>
      </c>
      <c r="BT156" s="168">
        <f t="shared" si="1366"/>
        <v>6.8863590305452235E-2</v>
      </c>
      <c r="BU156" s="168">
        <f t="shared" si="1366"/>
        <v>7.0063008543236452E-2</v>
      </c>
      <c r="BV156" s="168">
        <f t="shared" si="1366"/>
        <v>7.1260557214883738E-2</v>
      </c>
      <c r="BW156" s="168">
        <f t="shared" si="1366"/>
        <v>7.2456129961046625E-2</v>
      </c>
      <c r="BX156" s="168">
        <f t="shared" si="1366"/>
        <v>7.3649618867960509E-2</v>
      </c>
      <c r="BY156" s="168">
        <f t="shared" si="1366"/>
        <v>7.4840914201538003E-2</v>
      </c>
      <c r="BZ156" s="168">
        <f t="shared" si="1366"/>
        <v>7.6029904139308047E-2</v>
      </c>
      <c r="CA156" s="168">
        <f t="shared" si="1366"/>
        <v>7.7206850310270789E-2</v>
      </c>
      <c r="CB156" s="168">
        <f t="shared" si="1366"/>
        <v>7.8371216058441384E-2</v>
      </c>
      <c r="CC156" s="168">
        <f t="shared" si="1366"/>
        <v>7.9522392506866921E-2</v>
      </c>
      <c r="CD156" s="168">
        <f t="shared" si="1366"/>
        <v>8.0659692515901785E-2</v>
      </c>
      <c r="CE156" s="168">
        <f t="shared" si="1366"/>
        <v>8.1782343849739259E-2</v>
      </c>
      <c r="CF156" s="168">
        <f t="shared" si="1366"/>
        <v>8.2902748804436918E-2</v>
      </c>
      <c r="CG156" s="168">
        <f t="shared" si="1366"/>
        <v>8.4020846369328536E-2</v>
      </c>
      <c r="CH156" s="168">
        <f t="shared" si="1366"/>
        <v>8.5136574138328744E-2</v>
      </c>
      <c r="CI156" s="168">
        <f t="shared" si="1366"/>
        <v>8.6249868266388641E-2</v>
      </c>
      <c r="CJ156" s="168">
        <f t="shared" si="1366"/>
        <v>8.7360663424692467E-2</v>
      </c>
      <c r="CK156" s="168">
        <f t="shared" si="1366"/>
        <v>8.8468982312928213E-2</v>
      </c>
      <c r="CL156" s="168">
        <f t="shared" si="1366"/>
        <v>8.9574761952590981E-2</v>
      </c>
      <c r="CM156" s="168">
        <f t="shared" si="1366"/>
        <v>9.0677937925240412E-2</v>
      </c>
      <c r="CN156" s="168">
        <f t="shared" si="1366"/>
        <v>9.1778444330233841E-2</v>
      </c>
      <c r="CO156" s="168">
        <f t="shared" si="1366"/>
        <v>9.2876213741257471E-2</v>
      </c>
      <c r="CP156" s="168">
        <f t="shared" si="1366"/>
        <v>9.3971261891163477E-2</v>
      </c>
      <c r="CQ156" s="168">
        <f t="shared" si="1366"/>
        <v>9.5063523230229166E-2</v>
      </c>
      <c r="CR156" s="168">
        <f t="shared" si="1366"/>
        <v>9.6152930718444982E-2</v>
      </c>
      <c r="CS156" s="168">
        <f t="shared" si="1366"/>
        <v>9.7239415783933164E-2</v>
      </c>
      <c r="CT156" s="168">
        <f t="shared" si="1366"/>
        <v>9.832290828020733E-2</v>
      </c>
      <c r="CV156" s="168">
        <f t="shared" si="1354"/>
        <v>6.3919388676909383E-2</v>
      </c>
      <c r="CW156" s="168">
        <f t="shared" si="1321"/>
        <v>6.3485936062159035E-2</v>
      </c>
      <c r="CX156" s="168">
        <f t="shared" si="1322"/>
        <v>6.2976102005591061E-2</v>
      </c>
      <c r="CY156" s="168">
        <f t="shared" si="1323"/>
        <v>6.2465678042336638E-2</v>
      </c>
      <c r="CZ156" s="168">
        <f t="shared" si="1324"/>
        <v>6.1960725497063239E-2</v>
      </c>
      <c r="DA156" s="168">
        <f t="shared" si="1325"/>
        <v>6.146087521241872E-2</v>
      </c>
      <c r="DB156" s="168">
        <f t="shared" si="1326"/>
        <v>6.0969923638371594E-2</v>
      </c>
      <c r="DC156" s="168">
        <f t="shared" si="1327"/>
        <v>6.0486846101336915E-2</v>
      </c>
      <c r="DD156" s="168">
        <f t="shared" si="1328"/>
        <v>6.0011797399450319E-2</v>
      </c>
      <c r="DE156" s="168">
        <f t="shared" si="1329"/>
        <v>5.9545016209652309E-2</v>
      </c>
      <c r="DF156" s="168">
        <f t="shared" si="1330"/>
        <v>5.908688120869944E-2</v>
      </c>
      <c r="DG156" s="168">
        <f t="shared" si="1331"/>
        <v>5.849731327977005E-2</v>
      </c>
      <c r="DH156" s="168">
        <f t="shared" si="1332"/>
        <v>5.7912732344820819E-2</v>
      </c>
      <c r="DI156" s="168">
        <f t="shared" si="1333"/>
        <v>5.7392289525684377E-2</v>
      </c>
      <c r="DJ156" s="168">
        <f t="shared" si="1334"/>
        <v>5.6906531190172485E-2</v>
      </c>
      <c r="DK156" s="168">
        <f t="shared" si="1335"/>
        <v>5.6456171759702842E-2</v>
      </c>
      <c r="DL156" s="168">
        <f t="shared" si="1336"/>
        <v>5.6033941634393285E-2</v>
      </c>
      <c r="DM156" s="168">
        <f t="shared" si="1337"/>
        <v>5.5643693231695858E-2</v>
      </c>
      <c r="DN156" s="168">
        <f t="shared" si="1338"/>
        <v>5.5283983153450081E-2</v>
      </c>
      <c r="DO156" s="168">
        <f t="shared" si="1339"/>
        <v>5.4953098525431399E-2</v>
      </c>
      <c r="DP156" s="168">
        <f t="shared" si="1340"/>
        <v>5.4649429947452727E-2</v>
      </c>
      <c r="DQ156" s="168">
        <f t="shared" si="1341"/>
        <v>5.4247326220429923E-2</v>
      </c>
      <c r="DR156" s="168">
        <f t="shared" si="1342"/>
        <v>5.378740634909028E-2</v>
      </c>
      <c r="DS156" s="168">
        <f t="shared" si="1343"/>
        <v>5.3382180413158307E-2</v>
      </c>
      <c r="DT156" s="168">
        <f t="shared" si="1344"/>
        <v>5.3028771599387813E-2</v>
      </c>
      <c r="DU156" s="168">
        <f t="shared" si="1345"/>
        <v>5.2718921968704084E-2</v>
      </c>
      <c r="DV156" s="168">
        <f t="shared" si="1346"/>
        <v>5.247303030691685E-2</v>
      </c>
      <c r="DW156" s="168">
        <f t="shared" si="1347"/>
        <v>5.2277446187804971E-2</v>
      </c>
      <c r="DX156" s="168">
        <f t="shared" si="1348"/>
        <v>5.2134066293894513E-2</v>
      </c>
      <c r="DY156" s="168">
        <f t="shared" si="1349"/>
        <v>5.2044077299340089E-2</v>
      </c>
      <c r="DZ156" s="168">
        <f t="shared" si="1350"/>
        <v>5.2006618578645733E-2</v>
      </c>
    </row>
    <row r="157" spans="1:165" ht="16" thickBot="1" x14ac:dyDescent="0.25">
      <c r="A157" s="606" t="s">
        <v>454</v>
      </c>
      <c r="C157" s="54" t="s">
        <v>462</v>
      </c>
      <c r="D157" s="168">
        <f t="shared" ref="D157:AH157" si="1367">D134</f>
        <v>4.5656706197792413E-2</v>
      </c>
      <c r="E157" s="168">
        <f t="shared" si="1367"/>
        <v>4.4900881592868751E-2</v>
      </c>
      <c r="F157" s="168">
        <f t="shared" si="1367"/>
        <v>4.4088100950076162E-2</v>
      </c>
      <c r="G157" s="168">
        <f t="shared" si="1367"/>
        <v>4.3275363226039441E-2</v>
      </c>
      <c r="H157" s="168">
        <f t="shared" si="1367"/>
        <v>4.2466308323588192E-2</v>
      </c>
      <c r="I157" s="168">
        <f t="shared" si="1367"/>
        <v>4.1660878932829187E-2</v>
      </c>
      <c r="J157" s="168">
        <f t="shared" si="1367"/>
        <v>4.0828721152887493E-2</v>
      </c>
      <c r="K157" s="168">
        <f t="shared" si="1367"/>
        <v>4.0000054375864146E-2</v>
      </c>
      <c r="L157" s="168">
        <f t="shared" si="1367"/>
        <v>3.9175116704393304E-2</v>
      </c>
      <c r="M157" s="168">
        <f t="shared" si="1367"/>
        <v>3.8354157891603569E-2</v>
      </c>
      <c r="N157" s="168">
        <f t="shared" si="1367"/>
        <v>3.7537439366685035E-2</v>
      </c>
      <c r="O157" s="168">
        <f t="shared" si="1367"/>
        <v>3.6545492133326633E-2</v>
      </c>
      <c r="P157" s="168">
        <f t="shared" si="1367"/>
        <v>3.5563876850778144E-2</v>
      </c>
      <c r="Q157" s="168">
        <f t="shared" si="1367"/>
        <v>3.4592659193167972E-2</v>
      </c>
      <c r="R157" s="168">
        <f t="shared" si="1367"/>
        <v>3.3632669318834282E-2</v>
      </c>
      <c r="S157" s="168">
        <f t="shared" si="1367"/>
        <v>3.2684402678141392E-2</v>
      </c>
      <c r="T157" s="168">
        <f t="shared" si="1367"/>
        <v>3.1756172462409811E-2</v>
      </c>
      <c r="U157" s="168">
        <f t="shared" si="1367"/>
        <v>3.0840242426392214E-2</v>
      </c>
      <c r="V157" s="168">
        <f t="shared" si="1367"/>
        <v>2.9936974116214439E-2</v>
      </c>
      <c r="W157" s="168">
        <f t="shared" si="1367"/>
        <v>2.9046756699723165E-2</v>
      </c>
      <c r="X157" s="168">
        <f t="shared" si="1367"/>
        <v>2.817000883522296E-2</v>
      </c>
      <c r="Y157" s="168">
        <f t="shared" si="1367"/>
        <v>2.7076157334094332E-2</v>
      </c>
      <c r="Z157" s="168">
        <f t="shared" si="1367"/>
        <v>2.6004637224584428E-2</v>
      </c>
      <c r="AA157" s="168">
        <f t="shared" si="1367"/>
        <v>2.4955971204779308E-2</v>
      </c>
      <c r="AB157" s="168">
        <f t="shared" si="1367"/>
        <v>2.3931435097946447E-2</v>
      </c>
      <c r="AC157" s="168">
        <f t="shared" si="1367"/>
        <v>2.2931945259600857E-2</v>
      </c>
      <c r="AD157" s="168">
        <f t="shared" si="1367"/>
        <v>2.1957809907374538E-2</v>
      </c>
      <c r="AE157" s="168">
        <f t="shared" si="1367"/>
        <v>2.101237080911313E-2</v>
      </c>
      <c r="AF157" s="168">
        <f t="shared" si="1367"/>
        <v>2.0097191137450308E-2</v>
      </c>
      <c r="AG157" s="168">
        <f t="shared" si="1367"/>
        <v>1.9213997323598929E-2</v>
      </c>
      <c r="AH157" s="168">
        <f t="shared" si="1367"/>
        <v>1.8364705725677864E-2</v>
      </c>
      <c r="AI157" s="44"/>
      <c r="AJ157" s="168">
        <f t="shared" ref="AJ157:BN157" si="1368">AJ134</f>
        <v>4.5656706197792413E-2</v>
      </c>
      <c r="AK157" s="168">
        <f t="shared" si="1368"/>
        <v>4.4905342409227209E-2</v>
      </c>
      <c r="AL157" s="168">
        <f t="shared" si="1368"/>
        <v>4.4099114149222421E-2</v>
      </c>
      <c r="AM157" s="168">
        <f t="shared" si="1368"/>
        <v>4.3292476385412573E-2</v>
      </c>
      <c r="AN157" s="168">
        <f t="shared" si="1368"/>
        <v>4.2489905341789556E-2</v>
      </c>
      <c r="AO157" s="168">
        <f t="shared" si="1368"/>
        <v>4.1691335129086918E-2</v>
      </c>
      <c r="AP157" s="168">
        <f t="shared" si="1368"/>
        <v>4.0891111184996845E-2</v>
      </c>
      <c r="AQ157" s="168">
        <f t="shared" si="1368"/>
        <v>4.0096851679057181E-2</v>
      </c>
      <c r="AR157" s="168">
        <f t="shared" si="1368"/>
        <v>3.9308791101498923E-2</v>
      </c>
      <c r="AS157" s="168">
        <f t="shared" si="1368"/>
        <v>3.8527169311353235E-2</v>
      </c>
      <c r="AT157" s="168">
        <f t="shared" si="1368"/>
        <v>3.7752230921760409E-2</v>
      </c>
      <c r="AU157" s="168">
        <f t="shared" si="1368"/>
        <v>3.6823740122319391E-2</v>
      </c>
      <c r="AV157" s="168">
        <f t="shared" si="1368"/>
        <v>3.5912030648866125E-2</v>
      </c>
      <c r="AW157" s="168">
        <f t="shared" si="1368"/>
        <v>3.5017956738177369E-2</v>
      </c>
      <c r="AX157" s="168">
        <f t="shared" si="1368"/>
        <v>3.4141650930478336E-2</v>
      </c>
      <c r="AY157" s="168">
        <f t="shared" si="1368"/>
        <v>3.3283576794612933E-2</v>
      </c>
      <c r="AZ157" s="168">
        <f t="shared" si="1368"/>
        <v>3.2440815580666055E-2</v>
      </c>
      <c r="BA157" s="168">
        <f t="shared" si="1368"/>
        <v>3.1615428107922741E-2</v>
      </c>
      <c r="BB157" s="168">
        <f t="shared" si="1368"/>
        <v>3.0807677113016109E-2</v>
      </c>
      <c r="BC157" s="168">
        <f t="shared" si="1368"/>
        <v>3.001783292765689E-2</v>
      </c>
      <c r="BD157" s="168">
        <f t="shared" si="1368"/>
        <v>2.9246172565951967E-2</v>
      </c>
      <c r="BE157" s="168">
        <f t="shared" si="1368"/>
        <v>2.8294132685268002E-2</v>
      </c>
      <c r="BF157" s="168">
        <f t="shared" si="1368"/>
        <v>2.7372347548768126E-2</v>
      </c>
      <c r="BG157" s="168">
        <f t="shared" si="1368"/>
        <v>2.6483872185877482E-2</v>
      </c>
      <c r="BH157" s="168">
        <f t="shared" si="1368"/>
        <v>2.562713107341032E-2</v>
      </c>
      <c r="BI157" s="168">
        <f t="shared" si="1368"/>
        <v>2.4802617376446654E-2</v>
      </c>
      <c r="BJ157" s="168">
        <f t="shared" si="1368"/>
        <v>2.4020011670721292E-2</v>
      </c>
      <c r="BK157" s="168">
        <f t="shared" si="1368"/>
        <v>2.3272958124470979E-2</v>
      </c>
      <c r="BL157" s="168">
        <f t="shared" si="1368"/>
        <v>2.2562187788470432E-2</v>
      </c>
      <c r="BM157" s="168">
        <f t="shared" si="1368"/>
        <v>2.1888432536771838E-2</v>
      </c>
      <c r="BN157" s="168">
        <f t="shared" si="1368"/>
        <v>2.1252421606128207E-2</v>
      </c>
      <c r="BP157" s="168">
        <f t="shared" ref="BP157:CT157" si="1369">BP134</f>
        <v>4.5656706197792413E-2</v>
      </c>
      <c r="BQ157" s="168">
        <f t="shared" si="1369"/>
        <v>4.6398065735895958E-2</v>
      </c>
      <c r="BR157" s="168">
        <f t="shared" si="1369"/>
        <v>4.7128975540230607E-2</v>
      </c>
      <c r="BS157" s="168">
        <f t="shared" si="1369"/>
        <v>4.7849399883292537E-2</v>
      </c>
      <c r="BT157" s="168">
        <f t="shared" si="1369"/>
        <v>4.8559227977379292E-2</v>
      </c>
      <c r="BU157" s="168">
        <f t="shared" si="1369"/>
        <v>4.9258272381926087E-2</v>
      </c>
      <c r="BV157" s="168">
        <f t="shared" si="1369"/>
        <v>4.995585454239275E-2</v>
      </c>
      <c r="BW157" s="168">
        <f t="shared" si="1369"/>
        <v>5.0651918408948081E-2</v>
      </c>
      <c r="BX157" s="168">
        <f t="shared" si="1369"/>
        <v>5.134640649862806E-2</v>
      </c>
      <c r="BY157" s="168">
        <f t="shared" si="1369"/>
        <v>5.2039259751929391E-2</v>
      </c>
      <c r="BZ157" s="168">
        <f t="shared" si="1369"/>
        <v>5.2730417386939475E-2</v>
      </c>
      <c r="CA157" s="168">
        <f t="shared" si="1369"/>
        <v>5.3413158554603567E-2</v>
      </c>
      <c r="CB157" s="168">
        <f t="shared" si="1369"/>
        <v>5.4087177279769437E-2</v>
      </c>
      <c r="CC157" s="168">
        <f t="shared" si="1369"/>
        <v>5.4752117585684046E-2</v>
      </c>
      <c r="CD157" s="168">
        <f t="shared" si="1369"/>
        <v>5.5407569934935605E-2</v>
      </c>
      <c r="CE157" s="168">
        <f t="shared" si="1369"/>
        <v>5.6053067132967399E-2</v>
      </c>
      <c r="CF157" s="168">
        <f t="shared" si="1369"/>
        <v>5.6697153170538139E-2</v>
      </c>
      <c r="CG157" s="168">
        <f t="shared" si="1369"/>
        <v>5.7339791003686018E-2</v>
      </c>
      <c r="CH157" s="168">
        <f t="shared" si="1369"/>
        <v>5.7980942732137726E-2</v>
      </c>
      <c r="CI157" s="168">
        <f t="shared" si="1369"/>
        <v>5.8620569572974325E-2</v>
      </c>
      <c r="CJ157" s="168">
        <f t="shared" si="1369"/>
        <v>5.9258631833532707E-2</v>
      </c>
      <c r="CK157" s="168">
        <f t="shared" si="1369"/>
        <v>5.9895149516206114E-2</v>
      </c>
      <c r="CL157" s="168">
        <f t="shared" si="1369"/>
        <v>6.0530084371233202E-2</v>
      </c>
      <c r="CM157" s="168">
        <f t="shared" si="1369"/>
        <v>6.11633972690089E-2</v>
      </c>
      <c r="CN157" s="168">
        <f t="shared" si="1369"/>
        <v>6.1795048174539971E-2</v>
      </c>
      <c r="CO157" s="168">
        <f t="shared" si="1369"/>
        <v>6.2424996121173131E-2</v>
      </c>
      <c r="CP157" s="168">
        <f t="shared" si="1369"/>
        <v>6.3053256035780741E-2</v>
      </c>
      <c r="CQ157" s="168">
        <f t="shared" si="1369"/>
        <v>6.3679788113915572E-2</v>
      </c>
      <c r="CR157" s="168">
        <f t="shared" si="1369"/>
        <v>6.4304551643561886E-2</v>
      </c>
      <c r="CS157" s="168">
        <f t="shared" si="1369"/>
        <v>6.4927504980027903E-2</v>
      </c>
      <c r="CT157" s="168">
        <f t="shared" si="1369"/>
        <v>6.5548605520138206E-2</v>
      </c>
      <c r="CV157" s="168">
        <f t="shared" si="1354"/>
        <v>4.5656706197792413E-2</v>
      </c>
      <c r="CW157" s="168">
        <f t="shared" si="1321"/>
        <v>4.4956548024878168E-2</v>
      </c>
      <c r="CX157" s="168">
        <f t="shared" si="1322"/>
        <v>4.4204379292386048E-2</v>
      </c>
      <c r="CY157" s="168">
        <f t="shared" si="1323"/>
        <v>4.3454384725103747E-2</v>
      </c>
      <c r="CZ157" s="168">
        <f t="shared" si="1324"/>
        <v>4.2710791362053295E-2</v>
      </c>
      <c r="DA157" s="168">
        <f t="shared" si="1325"/>
        <v>4.197328063287132E-2</v>
      </c>
      <c r="DB157" s="168">
        <f t="shared" si="1326"/>
        <v>4.1244360108310195E-2</v>
      </c>
      <c r="DC157" s="168">
        <f t="shared" si="1327"/>
        <v>4.0523207240304539E-2</v>
      </c>
      <c r="DD157" s="168">
        <f t="shared" si="1328"/>
        <v>3.9809806195674972E-2</v>
      </c>
      <c r="DE157" s="168">
        <f t="shared" si="1329"/>
        <v>3.910418974962241E-2</v>
      </c>
      <c r="DF157" s="168">
        <f t="shared" si="1330"/>
        <v>3.8406472785654636E-2</v>
      </c>
      <c r="DG157" s="168">
        <f t="shared" si="1331"/>
        <v>3.7626412561862138E-2</v>
      </c>
      <c r="DH157" s="168">
        <f t="shared" si="1332"/>
        <v>3.6853556946704162E-2</v>
      </c>
      <c r="DI157" s="168">
        <f t="shared" si="1333"/>
        <v>3.6125095945100834E-2</v>
      </c>
      <c r="DJ157" s="168">
        <f t="shared" si="1334"/>
        <v>3.5421412271433882E-2</v>
      </c>
      <c r="DK157" s="168">
        <f t="shared" si="1335"/>
        <v>3.4742259544432517E-2</v>
      </c>
      <c r="DL157" s="168">
        <f t="shared" si="1336"/>
        <v>3.4082500581744363E-2</v>
      </c>
      <c r="DM157" s="168">
        <f t="shared" si="1337"/>
        <v>3.3443877797288711E-2</v>
      </c>
      <c r="DN157" s="168">
        <f t="shared" si="1338"/>
        <v>3.2824864997360981E-2</v>
      </c>
      <c r="DO157" s="168">
        <f t="shared" si="1339"/>
        <v>3.2223806465174427E-2</v>
      </c>
      <c r="DP157" s="168">
        <f t="shared" si="1340"/>
        <v>3.1639143653788414E-2</v>
      </c>
      <c r="DQ157" s="168">
        <f t="shared" si="1341"/>
        <v>3.099847212595995E-2</v>
      </c>
      <c r="DR157" s="168">
        <f t="shared" si="1342"/>
        <v>3.0326941877678561E-2</v>
      </c>
      <c r="DS157" s="168">
        <f t="shared" si="1343"/>
        <v>2.9688485363467718E-2</v>
      </c>
      <c r="DT157" s="168">
        <f t="shared" si="1344"/>
        <v>2.9080294102890075E-2</v>
      </c>
      <c r="DU157" s="168">
        <f t="shared" si="1345"/>
        <v>2.849671457767787E-2</v>
      </c>
      <c r="DV157" s="168">
        <f t="shared" si="1346"/>
        <v>2.7947592228683954E-2</v>
      </c>
      <c r="DW157" s="168">
        <f t="shared" si="1347"/>
        <v>2.7424234065733733E-2</v>
      </c>
      <c r="DX157" s="168">
        <f t="shared" si="1348"/>
        <v>2.692638588805538E-2</v>
      </c>
      <c r="DY157" s="168">
        <f t="shared" si="1349"/>
        <v>2.6453343157675592E-2</v>
      </c>
      <c r="DZ157" s="168">
        <f t="shared" si="1350"/>
        <v>2.6003309289322867E-2</v>
      </c>
    </row>
    <row r="158" spans="1:165" s="624" customFormat="1" ht="16" thickBot="1" x14ac:dyDescent="0.25">
      <c r="A158" s="623" t="s">
        <v>463</v>
      </c>
      <c r="C158" s="625" t="s">
        <v>413</v>
      </c>
      <c r="D158" s="627">
        <f>SUMPRODUCT(D139:D147,D149:D157)</f>
        <v>0.95658965127668072</v>
      </c>
      <c r="E158" s="627">
        <f t="shared" ref="E158" si="1370">SUMPRODUCT(E139:E147,E149:E157)</f>
        <v>0.9563835991154972</v>
      </c>
      <c r="F158" s="627">
        <f t="shared" ref="F158" si="1371">SUMPRODUCT(F139:F147,F149:F157)</f>
        <v>0.95573723316894665</v>
      </c>
      <c r="G158" s="627">
        <f t="shared" ref="G158" si="1372">SUMPRODUCT(G139:G147,G149:G157)</f>
        <v>0.95522876553055913</v>
      </c>
      <c r="H158" s="627">
        <f t="shared" ref="H158" si="1373">SUMPRODUCT(H139:H147,H149:H157)</f>
        <v>0.95488358542079488</v>
      </c>
      <c r="I158" s="627">
        <f t="shared" ref="I158" si="1374">SUMPRODUCT(I139:I147,I149:I157)</f>
        <v>0.95467895436686123</v>
      </c>
      <c r="J158" s="627">
        <f t="shared" ref="J158" si="1375">SUMPRODUCT(J139:J147,J149:J157)</f>
        <v>0.95415298191126419</v>
      </c>
      <c r="K158" s="627">
        <f t="shared" ref="K158" si="1376">SUMPRODUCT(K139:K147,K149:K157)</f>
        <v>0.95361681333854054</v>
      </c>
      <c r="L158" s="627">
        <f t="shared" ref="L158" si="1377">SUMPRODUCT(L139:L147,L149:L157)</f>
        <v>0.95293947814365332</v>
      </c>
      <c r="M158" s="627">
        <f t="shared" ref="M158" si="1378">SUMPRODUCT(M139:M147,M149:M157)</f>
        <v>0.95187674891636753</v>
      </c>
      <c r="N158" s="627">
        <f t="shared" ref="N158" si="1379">SUMPRODUCT(N139:N147,N149:N157)</f>
        <v>0.94999488072269678</v>
      </c>
      <c r="O158" s="627">
        <f t="shared" ref="O158" si="1380">SUMPRODUCT(O139:O147,O149:O157)</f>
        <v>0.94338634287736367</v>
      </c>
      <c r="P158" s="627">
        <f t="shared" ref="P158" si="1381">SUMPRODUCT(P139:P147,P149:P157)</f>
        <v>0.93396971455249567</v>
      </c>
      <c r="Q158" s="627">
        <f t="shared" ref="Q158" si="1382">SUMPRODUCT(Q139:Q147,Q149:Q157)</f>
        <v>0.92035669356843286</v>
      </c>
      <c r="R158" s="627">
        <f t="shared" ref="R158" si="1383">SUMPRODUCT(R139:R147,R149:R157)</f>
        <v>0.90112371513682088</v>
      </c>
      <c r="S158" s="627">
        <f t="shared" ref="S158" si="1384">SUMPRODUCT(S139:S147,S149:S157)</f>
        <v>0.87525979166490264</v>
      </c>
      <c r="T158" s="627">
        <f t="shared" ref="T158" si="1385">SUMPRODUCT(T139:T147,T149:T157)</f>
        <v>0.84282264860173406</v>
      </c>
      <c r="U158" s="627">
        <f t="shared" ref="U158" si="1386">SUMPRODUCT(U139:U147,U149:U157)</f>
        <v>0.80466465980633672</v>
      </c>
      <c r="V158" s="627">
        <f t="shared" ref="V158" si="1387">SUMPRODUCT(V139:V147,V149:V157)</f>
        <v>0.76265519200251941</v>
      </c>
      <c r="W158" s="627">
        <f t="shared" ref="W158" si="1388">SUMPRODUCT(W139:W147,W149:W157)</f>
        <v>0.7189408020555621</v>
      </c>
      <c r="X158" s="627">
        <f t="shared" ref="X158" si="1389">SUMPRODUCT(X139:X147,X149:X157)</f>
        <v>0.67538090004248108</v>
      </c>
      <c r="Y158" s="627">
        <f t="shared" ref="Y158" si="1390">SUMPRODUCT(Y139:Y147,Y149:Y157)</f>
        <v>0.62867983308741748</v>
      </c>
      <c r="Z158" s="627">
        <f t="shared" ref="Z158" si="1391">SUMPRODUCT(Z139:Z147,Z149:Z157)</f>
        <v>0.58435551550519371</v>
      </c>
      <c r="AA158" s="627">
        <f t="shared" ref="AA158" si="1392">SUMPRODUCT(AA139:AA147,AA149:AA157)</f>
        <v>0.54257519561757739</v>
      </c>
      <c r="AB158" s="627">
        <f t="shared" ref="AB158" si="1393">SUMPRODUCT(AB139:AB147,AB149:AB157)</f>
        <v>0.50367324416641246</v>
      </c>
      <c r="AC158" s="627">
        <f t="shared" ref="AC158" si="1394">SUMPRODUCT(AC139:AC147,AC149:AC157)</f>
        <v>0.46692557157069325</v>
      </c>
      <c r="AD158" s="627">
        <f t="shared" ref="AD158" si="1395">SUMPRODUCT(AD139:AD147,AD149:AD157)</f>
        <v>0.4317533011090865</v>
      </c>
      <c r="AE158" s="627">
        <f t="shared" ref="AE158" si="1396">SUMPRODUCT(AE139:AE147,AE149:AE157)</f>
        <v>0.39783063644040195</v>
      </c>
      <c r="AF158" s="627">
        <f t="shared" ref="AF158" si="1397">SUMPRODUCT(AF139:AF147,AF149:AF157)</f>
        <v>0.36482417667824418</v>
      </c>
      <c r="AG158" s="627">
        <f t="shared" ref="AG158" si="1398">SUMPRODUCT(AG139:AG147,AG149:AG157)</f>
        <v>0.3324256380082346</v>
      </c>
      <c r="AH158" s="627">
        <f t="shared" ref="AH158" si="1399">SUMPRODUCT(AH139:AH147,AH149:AH157)</f>
        <v>0.30036627867741983</v>
      </c>
      <c r="AI158" s="626"/>
      <c r="AJ158" s="627">
        <f>SUMPRODUCT(AJ139:AJ147,AJ149:AJ157)</f>
        <v>0.95658925915788706</v>
      </c>
      <c r="AK158" s="627">
        <f t="shared" ref="AK158" si="1400">SUMPRODUCT(AK139:AK147,AK149:AK157)</f>
        <v>0.95643170745444361</v>
      </c>
      <c r="AL158" s="627">
        <f t="shared" ref="AL158" si="1401">SUMPRODUCT(AL139:AL147,AL149:AL157)</f>
        <v>0.9558624391646805</v>
      </c>
      <c r="AM158" s="627">
        <f t="shared" ref="AM158" si="1402">SUMPRODUCT(AM139:AM147,AM149:AM157)</f>
        <v>0.95543243818669943</v>
      </c>
      <c r="AN158" s="627">
        <f t="shared" ref="AN158" si="1403">SUMPRODUCT(AN139:AN147,AN149:AN157)</f>
        <v>0.9551766490040221</v>
      </c>
      <c r="AO158" s="627">
        <f t="shared" ref="AO158" si="1404">SUMPRODUCT(AO139:AO147,AO149:AO157)</f>
        <v>0.95507204668514756</v>
      </c>
      <c r="AP158" s="627">
        <f t="shared" ref="AP158" si="1405">SUMPRODUCT(AP139:AP147,AP149:AP157)</f>
        <v>0.95500069390874542</v>
      </c>
      <c r="AQ158" s="627">
        <f t="shared" ref="AQ158" si="1406">SUMPRODUCT(AQ139:AQ147,AQ149:AQ157)</f>
        <v>0.9549900439931841</v>
      </c>
      <c r="AR158" s="627">
        <f t="shared" ref="AR158" si="1407">SUMPRODUCT(AR139:AR147,AR149:AR157)</f>
        <v>0.9549096748217849</v>
      </c>
      <c r="AS158" s="627">
        <f t="shared" ref="AS158" si="1408">SUMPRODUCT(AS139:AS147,AS149:AS157)</f>
        <v>0.95451149654351819</v>
      </c>
      <c r="AT158" s="627">
        <f t="shared" ref="AT158" si="1409">SUMPRODUCT(AT139:AT147,AT149:AT157)</f>
        <v>0.95335032792236452</v>
      </c>
      <c r="AU158" s="627">
        <f t="shared" ref="AU158" si="1410">SUMPRODUCT(AU139:AU147,AU149:AU157)</f>
        <v>0.94785590263646669</v>
      </c>
      <c r="AV158" s="627">
        <f t="shared" ref="AV158" si="1411">SUMPRODUCT(AV139:AV147,AV149:AV157)</f>
        <v>0.93968097833584208</v>
      </c>
      <c r="AW158" s="627">
        <f t="shared" ref="AW158" si="1412">SUMPRODUCT(AW139:AW147,AW149:AW157)</f>
        <v>0.92743179808931564</v>
      </c>
      <c r="AX158" s="627">
        <f t="shared" ref="AX158" si="1413">SUMPRODUCT(AX139:AX147,AX149:AX157)</f>
        <v>0.90964278521082309</v>
      </c>
      <c r="AY158" s="627">
        <f t="shared" ref="AY158" si="1414">SUMPRODUCT(AY139:AY147,AY149:AY157)</f>
        <v>0.88526841106213627</v>
      </c>
      <c r="AZ158" s="627">
        <f t="shared" ref="AZ158" si="1415">SUMPRODUCT(AZ139:AZ147,AZ149:AZ157)</f>
        <v>0.85411229072875938</v>
      </c>
      <c r="BA158" s="627">
        <f t="shared" ref="BA158" si="1416">SUMPRODUCT(BA139:BA147,BA149:BA157)</f>
        <v>0.81721851408126467</v>
      </c>
      <c r="BB158" s="627">
        <f t="shared" ref="BB158" si="1417">SUMPRODUCT(BB139:BB147,BB149:BB157)</f>
        <v>0.77648242645498167</v>
      </c>
      <c r="BC158" s="627">
        <f t="shared" ref="BC158" si="1418">SUMPRODUCT(BC139:BC147,BC149:BC157)</f>
        <v>0.73409823854487288</v>
      </c>
      <c r="BD158" s="627">
        <f t="shared" ref="BD158" si="1419">SUMPRODUCT(BD139:BD147,BD149:BD157)</f>
        <v>0.69197789103482987</v>
      </c>
      <c r="BE158" s="627">
        <f t="shared" ref="BE158" si="1420">SUMPRODUCT(BE139:BE147,BE149:BE157)</f>
        <v>0.64768763476003888</v>
      </c>
      <c r="BF158" s="627">
        <f t="shared" ref="BF158" si="1421">SUMPRODUCT(BF139:BF147,BF149:BF157)</f>
        <v>0.60598378789159768</v>
      </c>
      <c r="BG158" s="627">
        <f t="shared" ref="BG158" si="1422">SUMPRODUCT(BG139:BG147,BG149:BG157)</f>
        <v>0.56706073543764435</v>
      </c>
      <c r="BH158" s="627">
        <f t="shared" ref="BH158" si="1423">SUMPRODUCT(BH139:BH147,BH149:BH157)</f>
        <v>0.53071053060890039</v>
      </c>
      <c r="BI158" s="627">
        <f t="shared" ref="BI158" si="1424">SUMPRODUCT(BI139:BI147,BI149:BI157)</f>
        <v>0.49660851277072277</v>
      </c>
      <c r="BJ158" s="627">
        <f t="shared" ref="BJ158" si="1425">SUMPRODUCT(BJ139:BJ147,BJ149:BJ157)</f>
        <v>0.46453745138483321</v>
      </c>
      <c r="BK158" s="627">
        <f t="shared" ref="BK158" si="1426">SUMPRODUCT(BK139:BK147,BK149:BK157)</f>
        <v>0.43399621173250091</v>
      </c>
      <c r="BL158" s="627">
        <f t="shared" ref="BL158" si="1427">SUMPRODUCT(BL139:BL147,BL149:BL157)</f>
        <v>0.40462635570973493</v>
      </c>
      <c r="BM158" s="627">
        <f t="shared" ref="BM158" si="1428">SUMPRODUCT(BM139:BM147,BM149:BM157)</f>
        <v>0.37608663439083428</v>
      </c>
      <c r="BN158" s="627">
        <f t="shared" ref="BN158" si="1429">SUMPRODUCT(BN139:BN147,BN149:BN157)</f>
        <v>0.34805650894879059</v>
      </c>
      <c r="BP158" s="627">
        <f>SUMPRODUCT(BP139:BP147,BP149:BP157)</f>
        <v>0.95658873298269975</v>
      </c>
      <c r="BQ158" s="627">
        <f t="shared" ref="BQ158" si="1430">SUMPRODUCT(BQ139:BQ147,BQ149:BQ157)</f>
        <v>0.96816970130282953</v>
      </c>
      <c r="BR158" s="627">
        <f t="shared" ref="BR158" si="1431">SUMPRODUCT(BR139:BR147,BR149:BR157)</f>
        <v>0.97965142491650437</v>
      </c>
      <c r="BS158" s="627">
        <f t="shared" ref="BS158" si="1432">SUMPRODUCT(BS139:BS147,BS149:BS157)</f>
        <v>0.99103058463284932</v>
      </c>
      <c r="BT158" s="627">
        <f t="shared" ref="BT158" si="1433">SUMPRODUCT(BT139:BT147,BT149:BT157)</f>
        <v>1.0023032058387848</v>
      </c>
      <c r="BU158" s="627">
        <f t="shared" ref="BU158" si="1434">SUMPRODUCT(BU139:BU147,BU149:BU157)</f>
        <v>1.013464603118384</v>
      </c>
      <c r="BV158" s="627">
        <f t="shared" ref="BV158" si="1435">SUMPRODUCT(BV139:BV147,BV149:BV157)</f>
        <v>1.0246138452403186</v>
      </c>
      <c r="BW158" s="627">
        <f t="shared" ref="BW158" si="1436">SUMPRODUCT(BW139:BW147,BW149:BW157)</f>
        <v>1.0357498589110925</v>
      </c>
      <c r="BX158" s="627">
        <f t="shared" ref="BX158" si="1437">SUMPRODUCT(BX139:BX147,BX149:BX157)</f>
        <v>1.0468715637892707</v>
      </c>
      <c r="BY158" s="627">
        <f t="shared" ref="BY158" si="1438">SUMPRODUCT(BY139:BY147,BY149:BY157)</f>
        <v>1.0579778698482882</v>
      </c>
      <c r="BZ158" s="627">
        <f t="shared" ref="BZ158" si="1439">SUMPRODUCT(BZ139:BZ147,BZ149:BZ157)</f>
        <v>1.0690676747361942</v>
      </c>
      <c r="CA158" s="627">
        <f t="shared" ref="CA158" si="1440">SUMPRODUCT(CA139:CA147,CA149:CA157)</f>
        <v>1.0800650602535744</v>
      </c>
      <c r="CB158" s="627">
        <f t="shared" ref="CB158" si="1441">SUMPRODUCT(CB139:CB147,CB149:CB157)</f>
        <v>1.0909649368070267</v>
      </c>
      <c r="CC158" s="627">
        <f t="shared" ref="CC158" si="1442">SUMPRODUCT(CC139:CC147,CC149:CC157)</f>
        <v>1.1017616540206134</v>
      </c>
      <c r="CD158" s="627">
        <f t="shared" ref="CD158" si="1443">SUMPRODUCT(CD139:CD147,CD149:CD157)</f>
        <v>1.1124489450456521</v>
      </c>
      <c r="CE158" s="627">
        <f t="shared" ref="CE158" si="1444">SUMPRODUCT(CE139:CE147,CE149:CE157)</f>
        <v>1.1230198645718195</v>
      </c>
      <c r="CF158" s="627">
        <f t="shared" ref="CF158" si="1445">SUMPRODUCT(CF139:CF147,CF149:CF157)</f>
        <v>1.1335713140204811</v>
      </c>
      <c r="CG158" s="627">
        <f t="shared" ref="CG158" si="1446">SUMPRODUCT(CG139:CG147,CG149:CG157)</f>
        <v>1.1441027465490725</v>
      </c>
      <c r="CH158" s="627">
        <f t="shared" ref="CH158" si="1447">SUMPRODUCT(CH139:CH147,CH149:CH157)</f>
        <v>1.1546136029351526</v>
      </c>
      <c r="CI158" s="627">
        <f t="shared" ref="CI158" si="1448">SUMPRODUCT(CI139:CI147,CI149:CI157)</f>
        <v>1.1651033111846365</v>
      </c>
      <c r="CJ158" s="627">
        <f t="shared" ref="CJ158" si="1449">SUMPRODUCT(CJ139:CJ147,CJ149:CJ157)</f>
        <v>1.1755712861287471</v>
      </c>
      <c r="CK158" s="627">
        <f t="shared" ref="CK158" si="1450">SUMPRODUCT(CK139:CK147,CK149:CK157)</f>
        <v>1.1860176437207284</v>
      </c>
      <c r="CL158" s="627">
        <f t="shared" ref="CL158" si="1451">SUMPRODUCT(CL139:CL147,CL149:CL157)</f>
        <v>1.1964418196346727</v>
      </c>
      <c r="CM158" s="627">
        <f t="shared" ref="CM158" si="1452">SUMPRODUCT(CM139:CM147,CM149:CM157)</f>
        <v>1.2068432367165947</v>
      </c>
      <c r="CN158" s="627">
        <f t="shared" ref="CN158" si="1453">SUMPRODUCT(CN139:CN147,CN149:CN157)</f>
        <v>1.2172213046039202</v>
      </c>
      <c r="CO158" s="627">
        <f t="shared" ref="CO158" si="1454">SUMPRODUCT(CO139:CO147,CO149:CO157)</f>
        <v>1.2275754193341699</v>
      </c>
      <c r="CP158" s="627">
        <f t="shared" ref="CP158" si="1455">SUMPRODUCT(CP139:CP147,CP149:CP157)</f>
        <v>1.2379056463110001</v>
      </c>
      <c r="CQ158" s="627">
        <f t="shared" ref="CQ158" si="1456">SUMPRODUCT(CQ139:CQ147,CQ149:CQ157)</f>
        <v>1.2482113980712708</v>
      </c>
      <c r="CR158" s="627">
        <f t="shared" ref="CR158" si="1457">SUMPRODUCT(CR139:CR147,CR149:CR157)</f>
        <v>1.2584920738324039</v>
      </c>
      <c r="CS158" s="627">
        <f t="shared" ref="CS158" si="1458">SUMPRODUCT(CS139:CS147,CS149:CS157)</f>
        <v>1.2687470591177266</v>
      </c>
      <c r="CT158" s="627">
        <f t="shared" ref="CT158" si="1459">SUMPRODUCT(CT139:CT147,CT149:CT157)</f>
        <v>1.2789757253713712</v>
      </c>
      <c r="CV158" s="627">
        <f>SUMPRODUCT(CV139:CV147,CV149:CV157)</f>
        <v>0.95658925915788706</v>
      </c>
      <c r="CW158" s="627">
        <f t="shared" ref="CW158:DZ158" si="1460">SUMPRODUCT(CW139:CW147,CW149:CW157)</f>
        <v>0.95735045386934203</v>
      </c>
      <c r="CX158" s="627">
        <f t="shared" si="1460"/>
        <v>0.95772028969438217</v>
      </c>
      <c r="CY158" s="627">
        <f t="shared" si="1460"/>
        <v>0.95835827678147045</v>
      </c>
      <c r="CZ158" s="627">
        <f t="shared" si="1460"/>
        <v>0.95926583280893618</v>
      </c>
      <c r="DA158" s="627">
        <f t="shared" si="1460"/>
        <v>0.96042189329268135</v>
      </c>
      <c r="DB158" s="627">
        <f t="shared" si="1460"/>
        <v>0.96170173400703896</v>
      </c>
      <c r="DC158" s="627">
        <f t="shared" si="1460"/>
        <v>0.96315587556067606</v>
      </c>
      <c r="DD158" s="627">
        <f t="shared" si="1460"/>
        <v>0.96465555225323085</v>
      </c>
      <c r="DE158" s="627">
        <f t="shared" si="1460"/>
        <v>0.96595108016082265</v>
      </c>
      <c r="DF158" s="627">
        <f t="shared" si="1460"/>
        <v>0.9665892995310863</v>
      </c>
      <c r="DG158" s="627">
        <f t="shared" si="1460"/>
        <v>0.96442897976842412</v>
      </c>
      <c r="DH158" s="627">
        <f t="shared" si="1460"/>
        <v>0.95940929764457183</v>
      </c>
      <c r="DI158" s="627">
        <f t="shared" si="1460"/>
        <v>0.95096414381983185</v>
      </c>
      <c r="DJ158" s="627">
        <f t="shared" si="1460"/>
        <v>0.93702653307671313</v>
      </c>
      <c r="DK158" s="627">
        <f t="shared" si="1460"/>
        <v>0.91639245770500266</v>
      </c>
      <c r="DL158" s="627">
        <f t="shared" si="1460"/>
        <v>0.88873332216523415</v>
      </c>
      <c r="DM158" s="627">
        <f t="shared" si="1460"/>
        <v>0.85497452359254078</v>
      </c>
      <c r="DN158" s="627">
        <f t="shared" si="1460"/>
        <v>0.81698755940525736</v>
      </c>
      <c r="DO158" s="627">
        <f t="shared" si="1460"/>
        <v>0.77701390620041466</v>
      </c>
      <c r="DP158" s="627">
        <f t="shared" si="1460"/>
        <v>0.73705449929685907</v>
      </c>
      <c r="DQ158" s="627">
        <f t="shared" si="1460"/>
        <v>0.6974366798322893</v>
      </c>
      <c r="DR158" s="627">
        <f t="shared" si="1460"/>
        <v>0.65900233123196394</v>
      </c>
      <c r="DS158" s="627">
        <f t="shared" si="1460"/>
        <v>0.62336447629725789</v>
      </c>
      <c r="DT158" s="627">
        <f t="shared" si="1460"/>
        <v>0.59033264554547193</v>
      </c>
      <c r="DU158" s="627">
        <f t="shared" si="1460"/>
        <v>0.55948074372862278</v>
      </c>
      <c r="DV158" s="627">
        <f t="shared" si="1460"/>
        <v>0.53059024050783565</v>
      </c>
      <c r="DW158" s="627">
        <f t="shared" si="1460"/>
        <v>0.50313652594401925</v>
      </c>
      <c r="DX158" s="627">
        <f t="shared" si="1460"/>
        <v>0.47675370340610901</v>
      </c>
      <c r="DY158" s="627">
        <f t="shared" si="1460"/>
        <v>0.45110147859580568</v>
      </c>
      <c r="DZ158" s="627">
        <f t="shared" si="1460"/>
        <v>0.42586304846067974</v>
      </c>
      <c r="EK158" s="627"/>
      <c r="EL158" s="627"/>
      <c r="EM158" s="627"/>
      <c r="EN158" s="627"/>
      <c r="EO158" s="627"/>
      <c r="EP158" s="627"/>
      <c r="EQ158" s="627"/>
      <c r="ER158" s="627"/>
      <c r="ES158" s="627"/>
      <c r="ET158" s="627"/>
      <c r="EU158" s="627"/>
      <c r="EV158" s="627"/>
      <c r="EW158" s="627"/>
      <c r="EX158" s="627"/>
      <c r="EY158" s="627"/>
      <c r="EZ158" s="627"/>
      <c r="FA158" s="627"/>
      <c r="FB158" s="627"/>
      <c r="FC158" s="627"/>
      <c r="FD158" s="627"/>
      <c r="FE158" s="627"/>
      <c r="FF158" s="627"/>
      <c r="FG158" s="627"/>
      <c r="FH158" s="627"/>
      <c r="FI158" s="627"/>
    </row>
    <row r="159" spans="1:165" s="1" customFormat="1" x14ac:dyDescent="0.2">
      <c r="A159" s="162"/>
      <c r="C159" s="65"/>
      <c r="D159" s="443"/>
      <c r="E159" s="443"/>
      <c r="F159" s="443"/>
      <c r="G159" s="443"/>
      <c r="H159" s="443"/>
      <c r="I159" s="443"/>
      <c r="J159" s="443"/>
      <c r="K159" s="443"/>
      <c r="L159" s="443"/>
      <c r="M159" s="443"/>
      <c r="N159" s="443"/>
      <c r="O159" s="443"/>
      <c r="P159" s="443"/>
      <c r="Q159" s="443"/>
      <c r="R159" s="443"/>
      <c r="S159" s="443"/>
      <c r="T159" s="443"/>
      <c r="U159" s="443"/>
      <c r="V159" s="443"/>
      <c r="W159" s="443"/>
      <c r="X159" s="443"/>
      <c r="Y159" s="443"/>
      <c r="Z159" s="443"/>
      <c r="AA159" s="443"/>
      <c r="AB159" s="443"/>
      <c r="AC159" s="443"/>
      <c r="AD159" s="443"/>
      <c r="AE159" s="443"/>
      <c r="AF159" s="443"/>
      <c r="AG159" s="443"/>
      <c r="AH159" s="443"/>
      <c r="AI159" s="66"/>
      <c r="AJ159" s="443"/>
      <c r="AK159" s="443"/>
      <c r="AL159" s="443"/>
      <c r="AM159" s="443"/>
      <c r="AN159" s="443"/>
      <c r="AO159" s="443"/>
      <c r="AP159" s="443"/>
      <c r="AQ159" s="443"/>
      <c r="AR159" s="443"/>
      <c r="AS159" s="443"/>
      <c r="AT159" s="443"/>
      <c r="AU159" s="443"/>
      <c r="AV159" s="443"/>
      <c r="AW159" s="443"/>
      <c r="AX159" s="443"/>
      <c r="AY159" s="443"/>
      <c r="AZ159" s="443"/>
      <c r="BA159" s="443"/>
      <c r="BB159" s="443"/>
      <c r="BC159" s="443"/>
      <c r="BD159" s="443"/>
      <c r="BE159" s="443"/>
      <c r="BF159" s="443"/>
      <c r="BG159" s="443"/>
      <c r="BH159" s="443"/>
      <c r="BI159" s="443"/>
      <c r="BJ159" s="443"/>
      <c r="BK159" s="443"/>
      <c r="BL159" s="443"/>
      <c r="BM159" s="443"/>
      <c r="BN159" s="443"/>
      <c r="BP159" s="443"/>
      <c r="BQ159" s="443"/>
      <c r="BR159" s="443"/>
      <c r="BS159" s="443"/>
      <c r="BT159" s="443"/>
      <c r="BU159" s="443"/>
      <c r="BV159" s="443"/>
      <c r="BW159" s="443"/>
      <c r="BX159" s="443"/>
      <c r="BY159" s="443"/>
      <c r="BZ159" s="443"/>
      <c r="CA159" s="443"/>
      <c r="CB159" s="443"/>
      <c r="CC159" s="443"/>
      <c r="CD159" s="443"/>
      <c r="CE159" s="443"/>
      <c r="CF159" s="443"/>
      <c r="CG159" s="443"/>
      <c r="CH159" s="443"/>
      <c r="CI159" s="443"/>
      <c r="CJ159" s="443"/>
      <c r="CK159" s="443"/>
      <c r="CL159" s="443"/>
      <c r="CM159" s="443"/>
      <c r="CN159" s="443"/>
      <c r="CO159" s="443"/>
      <c r="CP159" s="443"/>
      <c r="CQ159" s="443"/>
      <c r="CR159" s="443"/>
      <c r="CS159" s="443"/>
      <c r="CT159" s="443"/>
      <c r="CV159" s="443"/>
      <c r="CW159" s="443"/>
      <c r="CX159" s="443"/>
      <c r="CY159" s="443"/>
      <c r="CZ159" s="443"/>
      <c r="DA159" s="443"/>
      <c r="DB159" s="443"/>
      <c r="DC159" s="443"/>
      <c r="DD159" s="443"/>
      <c r="DE159" s="443"/>
      <c r="DF159" s="443"/>
      <c r="DG159" s="443"/>
      <c r="DH159" s="443"/>
      <c r="DI159" s="443"/>
      <c r="DJ159" s="443"/>
      <c r="DK159" s="443"/>
      <c r="DL159" s="443"/>
      <c r="DM159" s="443"/>
      <c r="DN159" s="443"/>
      <c r="DO159" s="443"/>
      <c r="DP159" s="443"/>
      <c r="DQ159" s="443"/>
      <c r="DR159" s="443"/>
      <c r="DS159" s="443"/>
      <c r="DT159" s="443"/>
      <c r="DU159" s="443"/>
      <c r="DV159" s="443"/>
      <c r="DW159" s="443"/>
      <c r="DX159" s="443"/>
      <c r="DY159" s="443"/>
      <c r="DZ159" s="443"/>
      <c r="EK159" s="443"/>
      <c r="EL159" s="443"/>
      <c r="EM159" s="443"/>
      <c r="EN159" s="443"/>
      <c r="EO159" s="443"/>
      <c r="EP159" s="443"/>
      <c r="EQ159" s="443"/>
      <c r="ER159" s="443"/>
      <c r="ES159" s="443"/>
      <c r="ET159" s="443"/>
      <c r="EU159" s="443"/>
      <c r="EV159" s="443"/>
      <c r="EW159" s="443"/>
      <c r="EX159" s="443"/>
      <c r="EY159" s="443"/>
      <c r="EZ159" s="443"/>
      <c r="FA159" s="443"/>
      <c r="FB159" s="443"/>
      <c r="FC159" s="443"/>
      <c r="FD159" s="443"/>
      <c r="FE159" s="443"/>
      <c r="FF159" s="443"/>
      <c r="FG159" s="443"/>
      <c r="FH159" s="443"/>
      <c r="FI159" s="443"/>
    </row>
    <row r="160" spans="1:165" s="69" customFormat="1" ht="16" thickBot="1" x14ac:dyDescent="0.25">
      <c r="A160" s="621" t="s">
        <v>10</v>
      </c>
      <c r="C160" s="70"/>
      <c r="D160" s="71"/>
      <c r="E160" s="71"/>
      <c r="F160" s="71"/>
      <c r="G160" s="71"/>
      <c r="H160" s="71"/>
      <c r="I160" s="71"/>
      <c r="J160" s="71"/>
      <c r="K160" s="71"/>
      <c r="L160" s="71"/>
      <c r="M160" s="71"/>
      <c r="N160" s="71"/>
      <c r="O160" s="71"/>
      <c r="P160" s="71"/>
      <c r="Q160" s="71"/>
      <c r="R160" s="71"/>
      <c r="S160" s="71"/>
      <c r="T160" s="71"/>
      <c r="U160" s="71"/>
      <c r="V160" s="71"/>
      <c r="W160" s="71"/>
      <c r="X160" s="71"/>
      <c r="Y160" s="71"/>
      <c r="Z160" s="71"/>
      <c r="AA160" s="71"/>
      <c r="AB160" s="71"/>
      <c r="AC160" s="71"/>
      <c r="AD160" s="71"/>
      <c r="AE160" s="71"/>
      <c r="AF160" s="71"/>
      <c r="AG160" s="71"/>
      <c r="AH160" s="71"/>
      <c r="AI160" s="71"/>
      <c r="AJ160" s="71"/>
      <c r="AK160" s="71"/>
      <c r="AL160" s="71"/>
      <c r="AM160" s="71"/>
      <c r="AN160" s="71"/>
      <c r="AO160" s="71"/>
      <c r="AP160" s="71"/>
      <c r="AQ160" s="71"/>
      <c r="AR160" s="71"/>
      <c r="AS160" s="71"/>
      <c r="AT160" s="71"/>
      <c r="AU160" s="71"/>
      <c r="AV160" s="71"/>
      <c r="AW160" s="71"/>
      <c r="AX160" s="71"/>
      <c r="AY160" s="71"/>
      <c r="AZ160" s="71"/>
      <c r="BA160" s="71"/>
      <c r="BB160" s="71"/>
      <c r="BC160" s="71"/>
      <c r="BD160" s="71"/>
      <c r="BE160" s="71"/>
      <c r="BF160" s="71"/>
      <c r="BG160" s="71"/>
      <c r="BH160" s="71"/>
      <c r="BI160" s="71"/>
      <c r="BJ160" s="71"/>
      <c r="BK160" s="71"/>
      <c r="BL160" s="71"/>
      <c r="BM160" s="71"/>
      <c r="BN160" s="71"/>
      <c r="BP160" s="71"/>
      <c r="BQ160" s="71"/>
      <c r="BR160" s="71"/>
      <c r="BS160" s="71"/>
      <c r="BT160" s="71"/>
      <c r="BU160" s="71"/>
      <c r="BV160" s="71"/>
      <c r="BW160" s="71"/>
      <c r="BX160" s="71"/>
      <c r="BY160" s="71"/>
      <c r="BZ160" s="71"/>
      <c r="CA160" s="71"/>
      <c r="CB160" s="71"/>
      <c r="CC160" s="71"/>
      <c r="CD160" s="71"/>
      <c r="CE160" s="71"/>
      <c r="CF160" s="71"/>
      <c r="CG160" s="71"/>
      <c r="CH160" s="71"/>
      <c r="CI160" s="71"/>
      <c r="CJ160" s="71"/>
      <c r="CK160" s="71"/>
      <c r="CL160" s="71"/>
      <c r="CM160" s="71"/>
      <c r="CN160" s="71"/>
      <c r="CO160" s="71"/>
      <c r="CP160" s="71"/>
      <c r="CQ160" s="71"/>
      <c r="CR160" s="71"/>
      <c r="CS160" s="71"/>
      <c r="CT160" s="71"/>
      <c r="CV160" s="71"/>
      <c r="CW160" s="71"/>
      <c r="CX160" s="71"/>
      <c r="CY160" s="71"/>
      <c r="CZ160" s="71"/>
      <c r="DA160" s="71"/>
      <c r="DB160" s="71"/>
      <c r="DC160" s="71"/>
      <c r="DD160" s="71"/>
      <c r="DE160" s="71"/>
      <c r="DF160" s="71"/>
      <c r="DG160" s="71"/>
      <c r="DH160" s="71"/>
      <c r="DI160" s="71"/>
      <c r="DJ160" s="71"/>
      <c r="DK160" s="71"/>
      <c r="DL160" s="71"/>
      <c r="DM160" s="71"/>
      <c r="DN160" s="71"/>
      <c r="DO160" s="71"/>
      <c r="DP160" s="71"/>
      <c r="DQ160" s="71"/>
      <c r="DR160" s="71"/>
      <c r="DS160" s="71"/>
      <c r="DT160" s="71"/>
      <c r="DU160" s="71"/>
      <c r="DV160" s="71"/>
      <c r="DW160" s="71"/>
      <c r="DX160" s="71"/>
      <c r="DY160" s="71"/>
      <c r="DZ160" s="71"/>
      <c r="EK160" s="622"/>
      <c r="EL160" s="622"/>
      <c r="EM160" s="622"/>
      <c r="EN160" s="622"/>
      <c r="EO160" s="622"/>
      <c r="EP160" s="622"/>
      <c r="EQ160" s="622"/>
      <c r="ER160" s="622"/>
      <c r="ES160" s="622"/>
      <c r="ET160" s="622"/>
      <c r="EU160" s="622"/>
      <c r="EV160" s="622"/>
      <c r="EW160" s="622"/>
      <c r="EX160" s="622"/>
      <c r="EY160" s="622"/>
      <c r="EZ160" s="622"/>
      <c r="FA160" s="622"/>
      <c r="FB160" s="622"/>
      <c r="FC160" s="622"/>
      <c r="FD160" s="622"/>
      <c r="FE160" s="622"/>
      <c r="FF160" s="622"/>
      <c r="FG160" s="622"/>
      <c r="FH160" s="622"/>
      <c r="FI160" s="622"/>
    </row>
    <row r="161" spans="1:165" s="624" customFormat="1" ht="16" thickBot="1" x14ac:dyDescent="0.25">
      <c r="A161" s="623" t="s">
        <v>108</v>
      </c>
      <c r="C161" s="625"/>
      <c r="D161" s="628">
        <v>2020</v>
      </c>
      <c r="E161" s="628">
        <v>2021</v>
      </c>
      <c r="F161" s="628">
        <v>2022</v>
      </c>
      <c r="G161" s="628">
        <v>2023</v>
      </c>
      <c r="H161" s="628">
        <v>2024</v>
      </c>
      <c r="I161" s="628">
        <v>2025</v>
      </c>
      <c r="J161" s="628">
        <v>2026</v>
      </c>
      <c r="K161" s="628">
        <v>2027</v>
      </c>
      <c r="L161" s="628">
        <v>2028</v>
      </c>
      <c r="M161" s="628">
        <v>2029</v>
      </c>
      <c r="N161" s="628">
        <v>2030</v>
      </c>
      <c r="O161" s="628">
        <v>2031</v>
      </c>
      <c r="P161" s="628">
        <v>2032</v>
      </c>
      <c r="Q161" s="628">
        <v>2033</v>
      </c>
      <c r="R161" s="628">
        <v>2034</v>
      </c>
      <c r="S161" s="628">
        <v>2035</v>
      </c>
      <c r="T161" s="628">
        <v>2036</v>
      </c>
      <c r="U161" s="628">
        <v>2037</v>
      </c>
      <c r="V161" s="628">
        <v>2038</v>
      </c>
      <c r="W161" s="628">
        <v>2039</v>
      </c>
      <c r="X161" s="628">
        <v>2040</v>
      </c>
      <c r="Y161" s="628">
        <v>2041</v>
      </c>
      <c r="Z161" s="628">
        <v>2042</v>
      </c>
      <c r="AA161" s="628">
        <v>2043</v>
      </c>
      <c r="AB161" s="628">
        <v>2044</v>
      </c>
      <c r="AC161" s="628">
        <v>2045</v>
      </c>
      <c r="AD161" s="628">
        <v>2046</v>
      </c>
      <c r="AE161" s="628">
        <v>2047</v>
      </c>
      <c r="AF161" s="628">
        <v>2048</v>
      </c>
      <c r="AG161" s="628">
        <v>2049</v>
      </c>
      <c r="AH161" s="628">
        <v>2050</v>
      </c>
      <c r="AI161" s="626"/>
      <c r="AJ161" s="628">
        <v>2020</v>
      </c>
      <c r="AK161" s="628">
        <v>2021</v>
      </c>
      <c r="AL161" s="628">
        <v>2022</v>
      </c>
      <c r="AM161" s="628">
        <v>2023</v>
      </c>
      <c r="AN161" s="628">
        <v>2024</v>
      </c>
      <c r="AO161" s="628">
        <v>2025</v>
      </c>
      <c r="AP161" s="628">
        <v>2026</v>
      </c>
      <c r="AQ161" s="628">
        <v>2027</v>
      </c>
      <c r="AR161" s="628">
        <v>2028</v>
      </c>
      <c r="AS161" s="628">
        <v>2029</v>
      </c>
      <c r="AT161" s="628">
        <v>2030</v>
      </c>
      <c r="AU161" s="628">
        <v>2031</v>
      </c>
      <c r="AV161" s="628">
        <v>2032</v>
      </c>
      <c r="AW161" s="628">
        <v>2033</v>
      </c>
      <c r="AX161" s="628">
        <v>2034</v>
      </c>
      <c r="AY161" s="628">
        <v>2035</v>
      </c>
      <c r="AZ161" s="628">
        <v>2036</v>
      </c>
      <c r="BA161" s="628">
        <v>2037</v>
      </c>
      <c r="BB161" s="628">
        <v>2038</v>
      </c>
      <c r="BC161" s="628">
        <v>2039</v>
      </c>
      <c r="BD161" s="628">
        <v>2040</v>
      </c>
      <c r="BE161" s="628">
        <v>2041</v>
      </c>
      <c r="BF161" s="628">
        <v>2042</v>
      </c>
      <c r="BG161" s="628">
        <v>2043</v>
      </c>
      <c r="BH161" s="628">
        <v>2044</v>
      </c>
      <c r="BI161" s="628">
        <v>2045</v>
      </c>
      <c r="BJ161" s="628">
        <v>2046</v>
      </c>
      <c r="BK161" s="628">
        <v>2047</v>
      </c>
      <c r="BL161" s="628">
        <v>2048</v>
      </c>
      <c r="BM161" s="628">
        <v>2049</v>
      </c>
      <c r="BN161" s="628">
        <v>2050</v>
      </c>
      <c r="BP161" s="628">
        <v>2020</v>
      </c>
      <c r="BQ161" s="628">
        <v>2021</v>
      </c>
      <c r="BR161" s="628">
        <v>2022</v>
      </c>
      <c r="BS161" s="628">
        <v>2023</v>
      </c>
      <c r="BT161" s="628">
        <v>2024</v>
      </c>
      <c r="BU161" s="628">
        <v>2025</v>
      </c>
      <c r="BV161" s="628">
        <v>2026</v>
      </c>
      <c r="BW161" s="628">
        <v>2027</v>
      </c>
      <c r="BX161" s="628">
        <v>2028</v>
      </c>
      <c r="BY161" s="628">
        <v>2029</v>
      </c>
      <c r="BZ161" s="628">
        <v>2030</v>
      </c>
      <c r="CA161" s="628">
        <v>2031</v>
      </c>
      <c r="CB161" s="628">
        <v>2032</v>
      </c>
      <c r="CC161" s="628">
        <v>2033</v>
      </c>
      <c r="CD161" s="628">
        <v>2034</v>
      </c>
      <c r="CE161" s="628">
        <v>2035</v>
      </c>
      <c r="CF161" s="628">
        <v>2036</v>
      </c>
      <c r="CG161" s="628">
        <v>2037</v>
      </c>
      <c r="CH161" s="628">
        <v>2038</v>
      </c>
      <c r="CI161" s="628">
        <v>2039</v>
      </c>
      <c r="CJ161" s="628">
        <v>2040</v>
      </c>
      <c r="CK161" s="628">
        <v>2041</v>
      </c>
      <c r="CL161" s="628">
        <v>2042</v>
      </c>
      <c r="CM161" s="628">
        <v>2043</v>
      </c>
      <c r="CN161" s="628">
        <v>2044</v>
      </c>
      <c r="CO161" s="628">
        <v>2045</v>
      </c>
      <c r="CP161" s="628">
        <v>2046</v>
      </c>
      <c r="CQ161" s="628">
        <v>2047</v>
      </c>
      <c r="CR161" s="628">
        <v>2048</v>
      </c>
      <c r="CS161" s="628">
        <v>2049</v>
      </c>
      <c r="CT161" s="628">
        <v>2050</v>
      </c>
      <c r="CV161" s="628">
        <v>2020</v>
      </c>
      <c r="CW161" s="628">
        <v>2021</v>
      </c>
      <c r="CX161" s="628">
        <v>2022</v>
      </c>
      <c r="CY161" s="628">
        <v>2023</v>
      </c>
      <c r="CZ161" s="628">
        <v>2024</v>
      </c>
      <c r="DA161" s="628">
        <v>2025</v>
      </c>
      <c r="DB161" s="628">
        <v>2026</v>
      </c>
      <c r="DC161" s="628">
        <v>2027</v>
      </c>
      <c r="DD161" s="628">
        <v>2028</v>
      </c>
      <c r="DE161" s="628">
        <v>2029</v>
      </c>
      <c r="DF161" s="628">
        <v>2030</v>
      </c>
      <c r="DG161" s="628">
        <v>2031</v>
      </c>
      <c r="DH161" s="628">
        <v>2032</v>
      </c>
      <c r="DI161" s="628">
        <v>2033</v>
      </c>
      <c r="DJ161" s="628">
        <v>2034</v>
      </c>
      <c r="DK161" s="628">
        <v>2035</v>
      </c>
      <c r="DL161" s="628">
        <v>2036</v>
      </c>
      <c r="DM161" s="628">
        <v>2037</v>
      </c>
      <c r="DN161" s="628">
        <v>2038</v>
      </c>
      <c r="DO161" s="628">
        <v>2039</v>
      </c>
      <c r="DP161" s="628">
        <v>2040</v>
      </c>
      <c r="DQ161" s="628">
        <v>2041</v>
      </c>
      <c r="DR161" s="628">
        <v>2042</v>
      </c>
      <c r="DS161" s="628">
        <v>2043</v>
      </c>
      <c r="DT161" s="628">
        <v>2044</v>
      </c>
      <c r="DU161" s="628">
        <v>2045</v>
      </c>
      <c r="DV161" s="628">
        <v>2046</v>
      </c>
      <c r="DW161" s="628">
        <v>2047</v>
      </c>
      <c r="DX161" s="628">
        <v>2048</v>
      </c>
      <c r="DY161" s="628">
        <v>2049</v>
      </c>
      <c r="DZ161" s="628">
        <v>2050</v>
      </c>
      <c r="EK161" s="627"/>
      <c r="EL161" s="627"/>
      <c r="EM161" s="627"/>
      <c r="EN161" s="627"/>
      <c r="EO161" s="627"/>
      <c r="EP161" s="627"/>
      <c r="EQ161" s="627"/>
      <c r="ER161" s="627"/>
      <c r="ES161" s="627"/>
      <c r="ET161" s="627"/>
      <c r="EU161" s="627"/>
      <c r="EV161" s="627"/>
      <c r="EW161" s="627"/>
      <c r="EX161" s="627"/>
      <c r="EY161" s="627"/>
      <c r="EZ161" s="627"/>
      <c r="FA161" s="627"/>
      <c r="FB161" s="627"/>
      <c r="FC161" s="627"/>
      <c r="FD161" s="627"/>
      <c r="FE161" s="627"/>
      <c r="FF161" s="627"/>
      <c r="FG161" s="627"/>
      <c r="FH161" s="627"/>
      <c r="FI161" s="627"/>
    </row>
    <row r="162" spans="1:165" x14ac:dyDescent="0.2">
      <c r="A162" s="606" t="s">
        <v>193</v>
      </c>
      <c r="C162" s="54" t="s">
        <v>458</v>
      </c>
      <c r="D162" s="43">
        <f>$B$186</f>
        <v>0.48</v>
      </c>
      <c r="E162" s="43">
        <f>D162-($D162-$AH162)/30</f>
        <v>0.46399999999999997</v>
      </c>
      <c r="F162" s="43">
        <f t="shared" ref="F162:AG162" si="1461">E162-($D162-$AH162)/30</f>
        <v>0.44799999999999995</v>
      </c>
      <c r="G162" s="43">
        <f t="shared" si="1461"/>
        <v>0.43199999999999994</v>
      </c>
      <c r="H162" s="43">
        <f t="shared" si="1461"/>
        <v>0.41599999999999993</v>
      </c>
      <c r="I162" s="43">
        <f t="shared" si="1461"/>
        <v>0.39999999999999991</v>
      </c>
      <c r="J162" s="43">
        <f t="shared" si="1461"/>
        <v>0.3839999999999999</v>
      </c>
      <c r="K162" s="43">
        <f t="shared" si="1461"/>
        <v>0.36799999999999988</v>
      </c>
      <c r="L162" s="43">
        <f t="shared" si="1461"/>
        <v>0.35199999999999987</v>
      </c>
      <c r="M162" s="43">
        <f t="shared" si="1461"/>
        <v>0.33599999999999985</v>
      </c>
      <c r="N162" s="43">
        <f t="shared" si="1461"/>
        <v>0.31999999999999984</v>
      </c>
      <c r="O162" s="43">
        <f t="shared" si="1461"/>
        <v>0.30399999999999983</v>
      </c>
      <c r="P162" s="43">
        <f t="shared" si="1461"/>
        <v>0.28799999999999981</v>
      </c>
      <c r="Q162" s="43">
        <f t="shared" si="1461"/>
        <v>0.2719999999999998</v>
      </c>
      <c r="R162" s="43">
        <f t="shared" si="1461"/>
        <v>0.25599999999999978</v>
      </c>
      <c r="S162" s="43">
        <f t="shared" si="1461"/>
        <v>0.23999999999999977</v>
      </c>
      <c r="T162" s="43">
        <f t="shared" si="1461"/>
        <v>0.22399999999999975</v>
      </c>
      <c r="U162" s="43">
        <f t="shared" si="1461"/>
        <v>0.20799999999999974</v>
      </c>
      <c r="V162" s="43">
        <f t="shared" si="1461"/>
        <v>0.19199999999999973</v>
      </c>
      <c r="W162" s="43">
        <f t="shared" si="1461"/>
        <v>0.17599999999999971</v>
      </c>
      <c r="X162" s="43">
        <f t="shared" si="1461"/>
        <v>0.1599999999999997</v>
      </c>
      <c r="Y162" s="43">
        <f t="shared" si="1461"/>
        <v>0.14399999999999968</v>
      </c>
      <c r="Z162" s="43">
        <f t="shared" si="1461"/>
        <v>0.12799999999999967</v>
      </c>
      <c r="AA162" s="43">
        <f t="shared" si="1461"/>
        <v>0.11199999999999967</v>
      </c>
      <c r="AB162" s="43">
        <f t="shared" si="1461"/>
        <v>9.5999999999999669E-2</v>
      </c>
      <c r="AC162" s="43">
        <f t="shared" si="1461"/>
        <v>7.9999999999999669E-2</v>
      </c>
      <c r="AD162" s="43">
        <f t="shared" si="1461"/>
        <v>6.3999999999999668E-2</v>
      </c>
      <c r="AE162" s="43">
        <f t="shared" si="1461"/>
        <v>4.7999999999999668E-2</v>
      </c>
      <c r="AF162" s="43">
        <f t="shared" si="1461"/>
        <v>3.1999999999999668E-2</v>
      </c>
      <c r="AG162" s="43">
        <f t="shared" si="1461"/>
        <v>1.5999999999999667E-2</v>
      </c>
      <c r="AH162" s="43">
        <f>$C$186</f>
        <v>0</v>
      </c>
      <c r="AI162" s="44"/>
      <c r="AJ162" s="43">
        <f>D162</f>
        <v>0.48</v>
      </c>
      <c r="AK162" s="43">
        <f t="shared" ref="AK162:AK170" si="1462">E162</f>
        <v>0.46399999999999997</v>
      </c>
      <c r="AL162" s="43">
        <f t="shared" ref="AL162:AL170" si="1463">F162</f>
        <v>0.44799999999999995</v>
      </c>
      <c r="AM162" s="43">
        <f t="shared" ref="AM162:AM170" si="1464">G162</f>
        <v>0.43199999999999994</v>
      </c>
      <c r="AN162" s="43">
        <f t="shared" ref="AN162:AN170" si="1465">H162</f>
        <v>0.41599999999999993</v>
      </c>
      <c r="AO162" s="43">
        <f t="shared" ref="AO162:AO170" si="1466">I162</f>
        <v>0.39999999999999991</v>
      </c>
      <c r="AP162" s="43">
        <f t="shared" ref="AP162:AP170" si="1467">J162</f>
        <v>0.3839999999999999</v>
      </c>
      <c r="AQ162" s="43">
        <f t="shared" ref="AQ162:AQ170" si="1468">K162</f>
        <v>0.36799999999999988</v>
      </c>
      <c r="AR162" s="43">
        <f t="shared" ref="AR162:AR170" si="1469">L162</f>
        <v>0.35199999999999987</v>
      </c>
      <c r="AS162" s="43">
        <f t="shared" ref="AS162:AS170" si="1470">M162</f>
        <v>0.33599999999999985</v>
      </c>
      <c r="AT162" s="43">
        <f t="shared" ref="AT162:AT170" si="1471">N162</f>
        <v>0.31999999999999984</v>
      </c>
      <c r="AU162" s="43">
        <f t="shared" ref="AU162:AU170" si="1472">O162</f>
        <v>0.30399999999999983</v>
      </c>
      <c r="AV162" s="43">
        <f t="shared" ref="AV162:AV170" si="1473">P162</f>
        <v>0.28799999999999981</v>
      </c>
      <c r="AW162" s="43">
        <f t="shared" ref="AW162:AW170" si="1474">Q162</f>
        <v>0.2719999999999998</v>
      </c>
      <c r="AX162" s="43">
        <f t="shared" ref="AX162:AX170" si="1475">R162</f>
        <v>0.25599999999999978</v>
      </c>
      <c r="AY162" s="43">
        <f t="shared" ref="AY162:AY170" si="1476">S162</f>
        <v>0.23999999999999977</v>
      </c>
      <c r="AZ162" s="43">
        <f t="shared" ref="AZ162:AZ170" si="1477">T162</f>
        <v>0.22399999999999975</v>
      </c>
      <c r="BA162" s="43">
        <f t="shared" ref="BA162:BA170" si="1478">U162</f>
        <v>0.20799999999999974</v>
      </c>
      <c r="BB162" s="43">
        <f t="shared" ref="BB162:BB170" si="1479">V162</f>
        <v>0.19199999999999973</v>
      </c>
      <c r="BC162" s="43">
        <f t="shared" ref="BC162:BC170" si="1480">W162</f>
        <v>0.17599999999999971</v>
      </c>
      <c r="BD162" s="43">
        <f t="shared" ref="BD162:BD170" si="1481">X162</f>
        <v>0.1599999999999997</v>
      </c>
      <c r="BE162" s="43">
        <f t="shared" ref="BE162:BE170" si="1482">Y162</f>
        <v>0.14399999999999968</v>
      </c>
      <c r="BF162" s="43">
        <f t="shared" ref="BF162:BF170" si="1483">Z162</f>
        <v>0.12799999999999967</v>
      </c>
      <c r="BG162" s="43">
        <f t="shared" ref="BG162:BG170" si="1484">AA162</f>
        <v>0.11199999999999967</v>
      </c>
      <c r="BH162" s="43">
        <f t="shared" ref="BH162:BH170" si="1485">AB162</f>
        <v>9.5999999999999669E-2</v>
      </c>
      <c r="BI162" s="43">
        <f t="shared" ref="BI162:BI170" si="1486">AC162</f>
        <v>7.9999999999999669E-2</v>
      </c>
      <c r="BJ162" s="43">
        <f t="shared" ref="BJ162:BJ170" si="1487">AD162</f>
        <v>6.3999999999999668E-2</v>
      </c>
      <c r="BK162" s="43">
        <f t="shared" ref="BK162:BK170" si="1488">AE162</f>
        <v>4.7999999999999668E-2</v>
      </c>
      <c r="BL162" s="43">
        <f t="shared" ref="BL162:BL170" si="1489">AF162</f>
        <v>3.1999999999999668E-2</v>
      </c>
      <c r="BM162" s="43">
        <f t="shared" ref="BM162:BM170" si="1490">AG162</f>
        <v>1.5999999999999667E-2</v>
      </c>
      <c r="BN162" s="43">
        <f t="shared" ref="BN162:BN170" si="1491">AH162</f>
        <v>0</v>
      </c>
      <c r="BP162" s="43">
        <f>D162</f>
        <v>0.48</v>
      </c>
      <c r="BQ162" s="43">
        <f>BP162-($BP162-$CT162)/30</f>
        <v>0.48</v>
      </c>
      <c r="BR162" s="43">
        <f t="shared" ref="BR162:CS162" si="1492">BQ162-($BP162-$CT162)/30</f>
        <v>0.48</v>
      </c>
      <c r="BS162" s="43">
        <f t="shared" si="1492"/>
        <v>0.48</v>
      </c>
      <c r="BT162" s="43">
        <f t="shared" si="1492"/>
        <v>0.48</v>
      </c>
      <c r="BU162" s="43">
        <f t="shared" si="1492"/>
        <v>0.48</v>
      </c>
      <c r="BV162" s="43">
        <f t="shared" si="1492"/>
        <v>0.48</v>
      </c>
      <c r="BW162" s="43">
        <f t="shared" si="1492"/>
        <v>0.48</v>
      </c>
      <c r="BX162" s="43">
        <f t="shared" si="1492"/>
        <v>0.48</v>
      </c>
      <c r="BY162" s="43">
        <f t="shared" si="1492"/>
        <v>0.48</v>
      </c>
      <c r="BZ162" s="43">
        <f t="shared" si="1492"/>
        <v>0.48</v>
      </c>
      <c r="CA162" s="43">
        <f t="shared" si="1492"/>
        <v>0.48</v>
      </c>
      <c r="CB162" s="43">
        <f t="shared" si="1492"/>
        <v>0.48</v>
      </c>
      <c r="CC162" s="43">
        <f t="shared" si="1492"/>
        <v>0.48</v>
      </c>
      <c r="CD162" s="43">
        <f t="shared" si="1492"/>
        <v>0.48</v>
      </c>
      <c r="CE162" s="43">
        <f t="shared" si="1492"/>
        <v>0.48</v>
      </c>
      <c r="CF162" s="43">
        <f t="shared" si="1492"/>
        <v>0.48</v>
      </c>
      <c r="CG162" s="43">
        <f t="shared" si="1492"/>
        <v>0.48</v>
      </c>
      <c r="CH162" s="43">
        <f t="shared" si="1492"/>
        <v>0.48</v>
      </c>
      <c r="CI162" s="43">
        <f t="shared" si="1492"/>
        <v>0.48</v>
      </c>
      <c r="CJ162" s="43">
        <f t="shared" si="1492"/>
        <v>0.48</v>
      </c>
      <c r="CK162" s="43">
        <f t="shared" si="1492"/>
        <v>0.48</v>
      </c>
      <c r="CL162" s="43">
        <f t="shared" si="1492"/>
        <v>0.48</v>
      </c>
      <c r="CM162" s="43">
        <f t="shared" si="1492"/>
        <v>0.48</v>
      </c>
      <c r="CN162" s="43">
        <f t="shared" si="1492"/>
        <v>0.48</v>
      </c>
      <c r="CO162" s="43">
        <f t="shared" si="1492"/>
        <v>0.48</v>
      </c>
      <c r="CP162" s="43">
        <f t="shared" si="1492"/>
        <v>0.48</v>
      </c>
      <c r="CQ162" s="43">
        <f t="shared" si="1492"/>
        <v>0.48</v>
      </c>
      <c r="CR162" s="43">
        <f t="shared" si="1492"/>
        <v>0.48</v>
      </c>
      <c r="CS162" s="43">
        <f t="shared" si="1492"/>
        <v>0.48</v>
      </c>
      <c r="CT162" s="43">
        <f>BP162</f>
        <v>0.48</v>
      </c>
      <c r="CV162" s="43">
        <f>AJ162</f>
        <v>0.48</v>
      </c>
      <c r="CW162" s="43">
        <f t="shared" ref="CW162:CW166" si="1493">AK162</f>
        <v>0.46399999999999997</v>
      </c>
      <c r="CX162" s="43">
        <f t="shared" ref="CX162:CX166" si="1494">AL162</f>
        <v>0.44799999999999995</v>
      </c>
      <c r="CY162" s="43">
        <f t="shared" ref="CY162:CY166" si="1495">AM162</f>
        <v>0.43199999999999994</v>
      </c>
      <c r="CZ162" s="43">
        <f t="shared" ref="CZ162:CZ166" si="1496">AN162</f>
        <v>0.41599999999999993</v>
      </c>
      <c r="DA162" s="43">
        <f t="shared" ref="DA162:DA166" si="1497">AO162</f>
        <v>0.39999999999999991</v>
      </c>
      <c r="DB162" s="43">
        <f t="shared" ref="DB162:DB166" si="1498">AP162</f>
        <v>0.3839999999999999</v>
      </c>
      <c r="DC162" s="43">
        <f t="shared" ref="DC162:DC166" si="1499">AQ162</f>
        <v>0.36799999999999988</v>
      </c>
      <c r="DD162" s="43">
        <f t="shared" ref="DD162:DD166" si="1500">AR162</f>
        <v>0.35199999999999987</v>
      </c>
      <c r="DE162" s="43">
        <f t="shared" ref="DE162:DE166" si="1501">AS162</f>
        <v>0.33599999999999985</v>
      </c>
      <c r="DF162" s="43">
        <f t="shared" ref="DF162:DF166" si="1502">AT162</f>
        <v>0.31999999999999984</v>
      </c>
      <c r="DG162" s="43">
        <f t="shared" ref="DG162:DG166" si="1503">AU162</f>
        <v>0.30399999999999983</v>
      </c>
      <c r="DH162" s="43">
        <f t="shared" ref="DH162:DH166" si="1504">AV162</f>
        <v>0.28799999999999981</v>
      </c>
      <c r="DI162" s="43">
        <f t="shared" ref="DI162:DI166" si="1505">AW162</f>
        <v>0.2719999999999998</v>
      </c>
      <c r="DJ162" s="43">
        <f t="shared" ref="DJ162:DJ166" si="1506">AX162</f>
        <v>0.25599999999999978</v>
      </c>
      <c r="DK162" s="43">
        <f t="shared" ref="DK162:DK166" si="1507">AY162</f>
        <v>0.23999999999999977</v>
      </c>
      <c r="DL162" s="43">
        <f t="shared" ref="DL162:DL166" si="1508">AZ162</f>
        <v>0.22399999999999975</v>
      </c>
      <c r="DM162" s="43">
        <f t="shared" ref="DM162:DM166" si="1509">BA162</f>
        <v>0.20799999999999974</v>
      </c>
      <c r="DN162" s="43">
        <f t="shared" ref="DN162:DN166" si="1510">BB162</f>
        <v>0.19199999999999973</v>
      </c>
      <c r="DO162" s="43">
        <f t="shared" ref="DO162:DO166" si="1511">BC162</f>
        <v>0.17599999999999971</v>
      </c>
      <c r="DP162" s="43">
        <f t="shared" ref="DP162:DP166" si="1512">BD162</f>
        <v>0.1599999999999997</v>
      </c>
      <c r="DQ162" s="43">
        <f t="shared" ref="DQ162:DQ166" si="1513">BE162</f>
        <v>0.14399999999999968</v>
      </c>
      <c r="DR162" s="43">
        <f t="shared" ref="DR162:DR166" si="1514">BF162</f>
        <v>0.12799999999999967</v>
      </c>
      <c r="DS162" s="43">
        <f t="shared" ref="DS162:DS166" si="1515">BG162</f>
        <v>0.11199999999999967</v>
      </c>
      <c r="DT162" s="43">
        <f t="shared" ref="DT162:DT166" si="1516">BH162</f>
        <v>9.5999999999999669E-2</v>
      </c>
      <c r="DU162" s="43">
        <f t="shared" ref="DU162:DU166" si="1517">BI162</f>
        <v>7.9999999999999669E-2</v>
      </c>
      <c r="DV162" s="43">
        <f t="shared" ref="DV162:DV166" si="1518">BJ162</f>
        <v>6.3999999999999668E-2</v>
      </c>
      <c r="DW162" s="43">
        <f t="shared" ref="DW162:DW166" si="1519">BK162</f>
        <v>4.7999999999999668E-2</v>
      </c>
      <c r="DX162" s="43">
        <f t="shared" ref="DX162:DX166" si="1520">BL162</f>
        <v>3.1999999999999668E-2</v>
      </c>
      <c r="DY162" s="43">
        <f t="shared" ref="DY162:DY166" si="1521">BM162</f>
        <v>1.5999999999999667E-2</v>
      </c>
      <c r="DZ162" s="43">
        <f t="shared" ref="DZ162:DZ166" si="1522">BN162</f>
        <v>0</v>
      </c>
    </row>
    <row r="163" spans="1:165" x14ac:dyDescent="0.2">
      <c r="A163" s="606" t="s">
        <v>88</v>
      </c>
      <c r="C163" s="54" t="s">
        <v>458</v>
      </c>
      <c r="D163" s="43">
        <f>$B$187</f>
        <v>3</v>
      </c>
      <c r="E163" s="43">
        <f t="shared" ref="E163:AG163" si="1523">D163-($D163-$AH163)/30</f>
        <v>2.9</v>
      </c>
      <c r="F163" s="43">
        <f t="shared" si="1523"/>
        <v>2.8</v>
      </c>
      <c r="G163" s="43">
        <f t="shared" si="1523"/>
        <v>2.6999999999999997</v>
      </c>
      <c r="H163" s="43">
        <f t="shared" si="1523"/>
        <v>2.5999999999999996</v>
      </c>
      <c r="I163" s="43">
        <f t="shared" si="1523"/>
        <v>2.4999999999999996</v>
      </c>
      <c r="J163" s="43">
        <f t="shared" si="1523"/>
        <v>2.3999999999999995</v>
      </c>
      <c r="K163" s="43">
        <f t="shared" si="1523"/>
        <v>2.2999999999999994</v>
      </c>
      <c r="L163" s="43">
        <f t="shared" si="1523"/>
        <v>2.1999999999999993</v>
      </c>
      <c r="M163" s="43">
        <f t="shared" si="1523"/>
        <v>2.0999999999999992</v>
      </c>
      <c r="N163" s="43">
        <f t="shared" si="1523"/>
        <v>1.9999999999999991</v>
      </c>
      <c r="O163" s="43">
        <f t="shared" si="1523"/>
        <v>1.899999999999999</v>
      </c>
      <c r="P163" s="43">
        <f t="shared" si="1523"/>
        <v>1.7999999999999989</v>
      </c>
      <c r="Q163" s="43">
        <f t="shared" si="1523"/>
        <v>1.6999999999999988</v>
      </c>
      <c r="R163" s="43">
        <f t="shared" si="1523"/>
        <v>1.5999999999999988</v>
      </c>
      <c r="S163" s="43">
        <f t="shared" si="1523"/>
        <v>1.4999999999999987</v>
      </c>
      <c r="T163" s="43">
        <f t="shared" si="1523"/>
        <v>1.3999999999999986</v>
      </c>
      <c r="U163" s="43">
        <f t="shared" si="1523"/>
        <v>1.2999999999999985</v>
      </c>
      <c r="V163" s="43">
        <f t="shared" si="1523"/>
        <v>1.1999999999999984</v>
      </c>
      <c r="W163" s="43">
        <f t="shared" si="1523"/>
        <v>1.0999999999999983</v>
      </c>
      <c r="X163" s="43">
        <f t="shared" si="1523"/>
        <v>0.99999999999999833</v>
      </c>
      <c r="Y163" s="43">
        <f t="shared" si="1523"/>
        <v>0.89999999999999836</v>
      </c>
      <c r="Z163" s="43">
        <f t="shared" si="1523"/>
        <v>0.79999999999999838</v>
      </c>
      <c r="AA163" s="43">
        <f t="shared" si="1523"/>
        <v>0.6999999999999984</v>
      </c>
      <c r="AB163" s="43">
        <f t="shared" si="1523"/>
        <v>0.59999999999999842</v>
      </c>
      <c r="AC163" s="43">
        <f t="shared" si="1523"/>
        <v>0.49999999999999845</v>
      </c>
      <c r="AD163" s="43">
        <f t="shared" si="1523"/>
        <v>0.39999999999999847</v>
      </c>
      <c r="AE163" s="43">
        <f t="shared" si="1523"/>
        <v>0.29999999999999849</v>
      </c>
      <c r="AF163" s="43">
        <f t="shared" si="1523"/>
        <v>0.19999999999999848</v>
      </c>
      <c r="AG163" s="43">
        <f t="shared" si="1523"/>
        <v>9.9999999999998479E-2</v>
      </c>
      <c r="AH163" s="43">
        <f>$C$187</f>
        <v>0</v>
      </c>
      <c r="AI163" s="44"/>
      <c r="AJ163" s="43">
        <f t="shared" ref="AJ163:AJ170" si="1524">D163</f>
        <v>3</v>
      </c>
      <c r="AK163" s="43">
        <f t="shared" si="1462"/>
        <v>2.9</v>
      </c>
      <c r="AL163" s="43">
        <f t="shared" si="1463"/>
        <v>2.8</v>
      </c>
      <c r="AM163" s="43">
        <f t="shared" si="1464"/>
        <v>2.6999999999999997</v>
      </c>
      <c r="AN163" s="43">
        <f t="shared" si="1465"/>
        <v>2.5999999999999996</v>
      </c>
      <c r="AO163" s="43">
        <f t="shared" si="1466"/>
        <v>2.4999999999999996</v>
      </c>
      <c r="AP163" s="43">
        <f t="shared" si="1467"/>
        <v>2.3999999999999995</v>
      </c>
      <c r="AQ163" s="43">
        <f t="shared" si="1468"/>
        <v>2.2999999999999994</v>
      </c>
      <c r="AR163" s="43">
        <f t="shared" si="1469"/>
        <v>2.1999999999999993</v>
      </c>
      <c r="AS163" s="43">
        <f t="shared" si="1470"/>
        <v>2.0999999999999992</v>
      </c>
      <c r="AT163" s="43">
        <f t="shared" si="1471"/>
        <v>1.9999999999999991</v>
      </c>
      <c r="AU163" s="43">
        <f t="shared" si="1472"/>
        <v>1.899999999999999</v>
      </c>
      <c r="AV163" s="43">
        <f t="shared" si="1473"/>
        <v>1.7999999999999989</v>
      </c>
      <c r="AW163" s="43">
        <f t="shared" si="1474"/>
        <v>1.6999999999999988</v>
      </c>
      <c r="AX163" s="43">
        <f t="shared" si="1475"/>
        <v>1.5999999999999988</v>
      </c>
      <c r="AY163" s="43">
        <f t="shared" si="1476"/>
        <v>1.4999999999999987</v>
      </c>
      <c r="AZ163" s="43">
        <f t="shared" si="1477"/>
        <v>1.3999999999999986</v>
      </c>
      <c r="BA163" s="43">
        <f t="shared" si="1478"/>
        <v>1.2999999999999985</v>
      </c>
      <c r="BB163" s="43">
        <f t="shared" si="1479"/>
        <v>1.1999999999999984</v>
      </c>
      <c r="BC163" s="43">
        <f t="shared" si="1480"/>
        <v>1.0999999999999983</v>
      </c>
      <c r="BD163" s="43">
        <f t="shared" si="1481"/>
        <v>0.99999999999999833</v>
      </c>
      <c r="BE163" s="43">
        <f t="shared" si="1482"/>
        <v>0.89999999999999836</v>
      </c>
      <c r="BF163" s="43">
        <f t="shared" si="1483"/>
        <v>0.79999999999999838</v>
      </c>
      <c r="BG163" s="43">
        <f t="shared" si="1484"/>
        <v>0.6999999999999984</v>
      </c>
      <c r="BH163" s="43">
        <f t="shared" si="1485"/>
        <v>0.59999999999999842</v>
      </c>
      <c r="BI163" s="43">
        <f t="shared" si="1486"/>
        <v>0.49999999999999845</v>
      </c>
      <c r="BJ163" s="43">
        <f t="shared" si="1487"/>
        <v>0.39999999999999847</v>
      </c>
      <c r="BK163" s="43">
        <f t="shared" si="1488"/>
        <v>0.29999999999999849</v>
      </c>
      <c r="BL163" s="43">
        <f t="shared" si="1489"/>
        <v>0.19999999999999848</v>
      </c>
      <c r="BM163" s="43">
        <f t="shared" si="1490"/>
        <v>9.9999999999998479E-2</v>
      </c>
      <c r="BN163" s="43">
        <f t="shared" si="1491"/>
        <v>0</v>
      </c>
      <c r="BP163" s="43">
        <f t="shared" ref="BP163:BP170" si="1525">D163</f>
        <v>3</v>
      </c>
      <c r="BQ163" s="43">
        <f t="shared" ref="BQ163:CS163" si="1526">BP163-($BP163-$CT163)/30</f>
        <v>3</v>
      </c>
      <c r="BR163" s="43">
        <f t="shared" si="1526"/>
        <v>3</v>
      </c>
      <c r="BS163" s="43">
        <f t="shared" si="1526"/>
        <v>3</v>
      </c>
      <c r="BT163" s="43">
        <f t="shared" si="1526"/>
        <v>3</v>
      </c>
      <c r="BU163" s="43">
        <f t="shared" si="1526"/>
        <v>3</v>
      </c>
      <c r="BV163" s="43">
        <f t="shared" si="1526"/>
        <v>3</v>
      </c>
      <c r="BW163" s="43">
        <f t="shared" si="1526"/>
        <v>3</v>
      </c>
      <c r="BX163" s="43">
        <f t="shared" si="1526"/>
        <v>3</v>
      </c>
      <c r="BY163" s="43">
        <f t="shared" si="1526"/>
        <v>3</v>
      </c>
      <c r="BZ163" s="43">
        <f t="shared" si="1526"/>
        <v>3</v>
      </c>
      <c r="CA163" s="43">
        <f t="shared" si="1526"/>
        <v>3</v>
      </c>
      <c r="CB163" s="43">
        <f t="shared" si="1526"/>
        <v>3</v>
      </c>
      <c r="CC163" s="43">
        <f t="shared" si="1526"/>
        <v>3</v>
      </c>
      <c r="CD163" s="43">
        <f t="shared" si="1526"/>
        <v>3</v>
      </c>
      <c r="CE163" s="43">
        <f t="shared" si="1526"/>
        <v>3</v>
      </c>
      <c r="CF163" s="43">
        <f t="shared" si="1526"/>
        <v>3</v>
      </c>
      <c r="CG163" s="43">
        <f t="shared" si="1526"/>
        <v>3</v>
      </c>
      <c r="CH163" s="43">
        <f t="shared" si="1526"/>
        <v>3</v>
      </c>
      <c r="CI163" s="43">
        <f t="shared" si="1526"/>
        <v>3</v>
      </c>
      <c r="CJ163" s="43">
        <f t="shared" si="1526"/>
        <v>3</v>
      </c>
      <c r="CK163" s="43">
        <f t="shared" si="1526"/>
        <v>3</v>
      </c>
      <c r="CL163" s="43">
        <f t="shared" si="1526"/>
        <v>3</v>
      </c>
      <c r="CM163" s="43">
        <f t="shared" si="1526"/>
        <v>3</v>
      </c>
      <c r="CN163" s="43">
        <f t="shared" si="1526"/>
        <v>3</v>
      </c>
      <c r="CO163" s="43">
        <f t="shared" si="1526"/>
        <v>3</v>
      </c>
      <c r="CP163" s="43">
        <f t="shared" si="1526"/>
        <v>3</v>
      </c>
      <c r="CQ163" s="43">
        <f t="shared" si="1526"/>
        <v>3</v>
      </c>
      <c r="CR163" s="43">
        <f t="shared" si="1526"/>
        <v>3</v>
      </c>
      <c r="CS163" s="43">
        <f t="shared" si="1526"/>
        <v>3</v>
      </c>
      <c r="CT163" s="43">
        <f t="shared" ref="CT163:CT164" si="1527">BP163</f>
        <v>3</v>
      </c>
      <c r="CV163" s="43">
        <f>AJ163</f>
        <v>3</v>
      </c>
      <c r="CW163" s="43">
        <f t="shared" si="1493"/>
        <v>2.9</v>
      </c>
      <c r="CX163" s="43">
        <f t="shared" si="1494"/>
        <v>2.8</v>
      </c>
      <c r="CY163" s="43">
        <f t="shared" si="1495"/>
        <v>2.6999999999999997</v>
      </c>
      <c r="CZ163" s="43">
        <f t="shared" si="1496"/>
        <v>2.5999999999999996</v>
      </c>
      <c r="DA163" s="43">
        <f t="shared" si="1497"/>
        <v>2.4999999999999996</v>
      </c>
      <c r="DB163" s="43">
        <f t="shared" si="1498"/>
        <v>2.3999999999999995</v>
      </c>
      <c r="DC163" s="43">
        <f t="shared" si="1499"/>
        <v>2.2999999999999994</v>
      </c>
      <c r="DD163" s="43">
        <f t="shared" si="1500"/>
        <v>2.1999999999999993</v>
      </c>
      <c r="DE163" s="43">
        <f t="shared" si="1501"/>
        <v>2.0999999999999992</v>
      </c>
      <c r="DF163" s="43">
        <f t="shared" si="1502"/>
        <v>1.9999999999999991</v>
      </c>
      <c r="DG163" s="43">
        <f t="shared" si="1503"/>
        <v>1.899999999999999</v>
      </c>
      <c r="DH163" s="43">
        <f t="shared" si="1504"/>
        <v>1.7999999999999989</v>
      </c>
      <c r="DI163" s="43">
        <f t="shared" si="1505"/>
        <v>1.6999999999999988</v>
      </c>
      <c r="DJ163" s="43">
        <f t="shared" si="1506"/>
        <v>1.5999999999999988</v>
      </c>
      <c r="DK163" s="43">
        <f t="shared" si="1507"/>
        <v>1.4999999999999987</v>
      </c>
      <c r="DL163" s="43">
        <f t="shared" si="1508"/>
        <v>1.3999999999999986</v>
      </c>
      <c r="DM163" s="43">
        <f t="shared" si="1509"/>
        <v>1.2999999999999985</v>
      </c>
      <c r="DN163" s="43">
        <f t="shared" si="1510"/>
        <v>1.1999999999999984</v>
      </c>
      <c r="DO163" s="43">
        <f t="shared" si="1511"/>
        <v>1.0999999999999983</v>
      </c>
      <c r="DP163" s="43">
        <f t="shared" si="1512"/>
        <v>0.99999999999999833</v>
      </c>
      <c r="DQ163" s="43">
        <f t="shared" si="1513"/>
        <v>0.89999999999999836</v>
      </c>
      <c r="DR163" s="43">
        <f t="shared" si="1514"/>
        <v>0.79999999999999838</v>
      </c>
      <c r="DS163" s="43">
        <f t="shared" si="1515"/>
        <v>0.6999999999999984</v>
      </c>
      <c r="DT163" s="43">
        <f t="shared" si="1516"/>
        <v>0.59999999999999842</v>
      </c>
      <c r="DU163" s="43">
        <f t="shared" si="1517"/>
        <v>0.49999999999999845</v>
      </c>
      <c r="DV163" s="43">
        <f t="shared" si="1518"/>
        <v>0.39999999999999847</v>
      </c>
      <c r="DW163" s="43">
        <f t="shared" si="1519"/>
        <v>0.29999999999999849</v>
      </c>
      <c r="DX163" s="43">
        <f t="shared" si="1520"/>
        <v>0.19999999999999848</v>
      </c>
      <c r="DY163" s="43">
        <f t="shared" si="1521"/>
        <v>9.9999999999998479E-2</v>
      </c>
      <c r="DZ163" s="43">
        <f t="shared" si="1522"/>
        <v>0</v>
      </c>
    </row>
    <row r="164" spans="1:165" x14ac:dyDescent="0.2">
      <c r="A164" s="606" t="s">
        <v>459</v>
      </c>
      <c r="C164" s="54" t="s">
        <v>458</v>
      </c>
      <c r="D164" s="43">
        <f>$BP$192</f>
        <v>1.4219670000000002</v>
      </c>
      <c r="E164" s="43">
        <f t="shared" ref="E164:AG164" si="1528">D164-($D164-$AH164)/30</f>
        <v>1.4679014333333336</v>
      </c>
      <c r="F164" s="43">
        <f t="shared" si="1528"/>
        <v>1.5138358666666669</v>
      </c>
      <c r="G164" s="43">
        <f t="shared" si="1528"/>
        <v>1.5597703000000003</v>
      </c>
      <c r="H164" s="43">
        <f t="shared" si="1528"/>
        <v>1.6057047333333336</v>
      </c>
      <c r="I164" s="43">
        <f t="shared" si="1528"/>
        <v>1.651639166666667</v>
      </c>
      <c r="J164" s="43">
        <f t="shared" si="1528"/>
        <v>1.6975736000000003</v>
      </c>
      <c r="K164" s="43">
        <f t="shared" si="1528"/>
        <v>1.7435080333333337</v>
      </c>
      <c r="L164" s="43">
        <f t="shared" si="1528"/>
        <v>1.7894424666666671</v>
      </c>
      <c r="M164" s="43">
        <f t="shared" si="1528"/>
        <v>1.8353769000000004</v>
      </c>
      <c r="N164" s="43">
        <f t="shared" si="1528"/>
        <v>1.8813113333333338</v>
      </c>
      <c r="O164" s="43">
        <f t="shared" si="1528"/>
        <v>1.9272457666666671</v>
      </c>
      <c r="P164" s="43">
        <f t="shared" si="1528"/>
        <v>1.9731802000000005</v>
      </c>
      <c r="Q164" s="43">
        <f t="shared" si="1528"/>
        <v>2.0191146333333339</v>
      </c>
      <c r="R164" s="43">
        <f t="shared" si="1528"/>
        <v>2.065049066666667</v>
      </c>
      <c r="S164" s="43">
        <f t="shared" si="1528"/>
        <v>2.1109835000000001</v>
      </c>
      <c r="T164" s="43">
        <f t="shared" si="1528"/>
        <v>2.1569179333333333</v>
      </c>
      <c r="U164" s="43">
        <f t="shared" si="1528"/>
        <v>2.2028523666666664</v>
      </c>
      <c r="V164" s="43">
        <f t="shared" si="1528"/>
        <v>2.2487867999999995</v>
      </c>
      <c r="W164" s="43">
        <f t="shared" si="1528"/>
        <v>2.2947212333333327</v>
      </c>
      <c r="X164" s="43">
        <f t="shared" si="1528"/>
        <v>2.3406556666666658</v>
      </c>
      <c r="Y164" s="43">
        <f t="shared" si="1528"/>
        <v>2.3865900999999989</v>
      </c>
      <c r="Z164" s="43">
        <f t="shared" si="1528"/>
        <v>2.4325245333333321</v>
      </c>
      <c r="AA164" s="43">
        <f t="shared" si="1528"/>
        <v>2.4784589666666652</v>
      </c>
      <c r="AB164" s="43">
        <f t="shared" si="1528"/>
        <v>2.5243933999999983</v>
      </c>
      <c r="AC164" s="43">
        <f t="shared" si="1528"/>
        <v>2.5703278333333315</v>
      </c>
      <c r="AD164" s="43">
        <f t="shared" si="1528"/>
        <v>2.6162622666666646</v>
      </c>
      <c r="AE164" s="43">
        <f t="shared" si="1528"/>
        <v>2.6621966999999978</v>
      </c>
      <c r="AF164" s="43">
        <f t="shared" si="1528"/>
        <v>2.7081311333333309</v>
      </c>
      <c r="AG164" s="43">
        <f t="shared" si="1528"/>
        <v>2.754065566666664</v>
      </c>
      <c r="AH164" s="43">
        <f>EB192</f>
        <v>2.8</v>
      </c>
      <c r="AI164" s="44"/>
      <c r="AJ164" s="43">
        <f t="shared" si="1524"/>
        <v>1.4219670000000002</v>
      </c>
      <c r="AK164" s="43">
        <f t="shared" si="1462"/>
        <v>1.4679014333333336</v>
      </c>
      <c r="AL164" s="43">
        <f t="shared" si="1463"/>
        <v>1.5138358666666669</v>
      </c>
      <c r="AM164" s="43">
        <f t="shared" si="1464"/>
        <v>1.5597703000000003</v>
      </c>
      <c r="AN164" s="43">
        <f t="shared" si="1465"/>
        <v>1.6057047333333336</v>
      </c>
      <c r="AO164" s="43">
        <f t="shared" si="1466"/>
        <v>1.651639166666667</v>
      </c>
      <c r="AP164" s="43">
        <f t="shared" si="1467"/>
        <v>1.6975736000000003</v>
      </c>
      <c r="AQ164" s="43">
        <f t="shared" si="1468"/>
        <v>1.7435080333333337</v>
      </c>
      <c r="AR164" s="43">
        <f t="shared" si="1469"/>
        <v>1.7894424666666671</v>
      </c>
      <c r="AS164" s="43">
        <f t="shared" si="1470"/>
        <v>1.8353769000000004</v>
      </c>
      <c r="AT164" s="43">
        <f t="shared" si="1471"/>
        <v>1.8813113333333338</v>
      </c>
      <c r="AU164" s="43">
        <f t="shared" si="1472"/>
        <v>1.9272457666666671</v>
      </c>
      <c r="AV164" s="43">
        <f t="shared" si="1473"/>
        <v>1.9731802000000005</v>
      </c>
      <c r="AW164" s="43">
        <f t="shared" si="1474"/>
        <v>2.0191146333333339</v>
      </c>
      <c r="AX164" s="43">
        <f t="shared" si="1475"/>
        <v>2.065049066666667</v>
      </c>
      <c r="AY164" s="43">
        <f t="shared" si="1476"/>
        <v>2.1109835000000001</v>
      </c>
      <c r="AZ164" s="43">
        <f t="shared" si="1477"/>
        <v>2.1569179333333333</v>
      </c>
      <c r="BA164" s="43">
        <f t="shared" si="1478"/>
        <v>2.2028523666666664</v>
      </c>
      <c r="BB164" s="43">
        <f t="shared" si="1479"/>
        <v>2.2487867999999995</v>
      </c>
      <c r="BC164" s="43">
        <f t="shared" si="1480"/>
        <v>2.2947212333333327</v>
      </c>
      <c r="BD164" s="43">
        <f t="shared" si="1481"/>
        <v>2.3406556666666658</v>
      </c>
      <c r="BE164" s="43">
        <f t="shared" si="1482"/>
        <v>2.3865900999999989</v>
      </c>
      <c r="BF164" s="43">
        <f t="shared" si="1483"/>
        <v>2.4325245333333321</v>
      </c>
      <c r="BG164" s="43">
        <f t="shared" si="1484"/>
        <v>2.4784589666666652</v>
      </c>
      <c r="BH164" s="43">
        <f t="shared" si="1485"/>
        <v>2.5243933999999983</v>
      </c>
      <c r="BI164" s="43">
        <f t="shared" si="1486"/>
        <v>2.5703278333333315</v>
      </c>
      <c r="BJ164" s="43">
        <f t="shared" si="1487"/>
        <v>2.6162622666666646</v>
      </c>
      <c r="BK164" s="43">
        <f t="shared" si="1488"/>
        <v>2.6621966999999978</v>
      </c>
      <c r="BL164" s="43">
        <f t="shared" si="1489"/>
        <v>2.7081311333333309</v>
      </c>
      <c r="BM164" s="43">
        <f t="shared" si="1490"/>
        <v>2.754065566666664</v>
      </c>
      <c r="BN164" s="43">
        <f t="shared" si="1491"/>
        <v>2.8</v>
      </c>
      <c r="BP164" s="43">
        <f t="shared" si="1525"/>
        <v>1.4219670000000002</v>
      </c>
      <c r="BQ164" s="43">
        <f t="shared" ref="BQ164:CS164" si="1529">BP164-($BP164-$CT164)/30</f>
        <v>1.4219670000000002</v>
      </c>
      <c r="BR164" s="43">
        <f t="shared" si="1529"/>
        <v>1.4219670000000002</v>
      </c>
      <c r="BS164" s="43">
        <f t="shared" si="1529"/>
        <v>1.4219670000000002</v>
      </c>
      <c r="BT164" s="43">
        <f t="shared" si="1529"/>
        <v>1.4219670000000002</v>
      </c>
      <c r="BU164" s="43">
        <f t="shared" si="1529"/>
        <v>1.4219670000000002</v>
      </c>
      <c r="BV164" s="43">
        <f t="shared" si="1529"/>
        <v>1.4219670000000002</v>
      </c>
      <c r="BW164" s="43">
        <f t="shared" si="1529"/>
        <v>1.4219670000000002</v>
      </c>
      <c r="BX164" s="43">
        <f t="shared" si="1529"/>
        <v>1.4219670000000002</v>
      </c>
      <c r="BY164" s="43">
        <f t="shared" si="1529"/>
        <v>1.4219670000000002</v>
      </c>
      <c r="BZ164" s="43">
        <f t="shared" si="1529"/>
        <v>1.4219670000000002</v>
      </c>
      <c r="CA164" s="43">
        <f t="shared" si="1529"/>
        <v>1.4219670000000002</v>
      </c>
      <c r="CB164" s="43">
        <f t="shared" si="1529"/>
        <v>1.4219670000000002</v>
      </c>
      <c r="CC164" s="43">
        <f t="shared" si="1529"/>
        <v>1.4219670000000002</v>
      </c>
      <c r="CD164" s="43">
        <f t="shared" si="1529"/>
        <v>1.4219670000000002</v>
      </c>
      <c r="CE164" s="43">
        <f t="shared" si="1529"/>
        <v>1.4219670000000002</v>
      </c>
      <c r="CF164" s="43">
        <f t="shared" si="1529"/>
        <v>1.4219670000000002</v>
      </c>
      <c r="CG164" s="43">
        <f t="shared" si="1529"/>
        <v>1.4219670000000002</v>
      </c>
      <c r="CH164" s="43">
        <f t="shared" si="1529"/>
        <v>1.4219670000000002</v>
      </c>
      <c r="CI164" s="43">
        <f t="shared" si="1529"/>
        <v>1.4219670000000002</v>
      </c>
      <c r="CJ164" s="43">
        <f t="shared" si="1529"/>
        <v>1.4219670000000002</v>
      </c>
      <c r="CK164" s="43">
        <f t="shared" si="1529"/>
        <v>1.4219670000000002</v>
      </c>
      <c r="CL164" s="43">
        <f t="shared" si="1529"/>
        <v>1.4219670000000002</v>
      </c>
      <c r="CM164" s="43">
        <f t="shared" si="1529"/>
        <v>1.4219670000000002</v>
      </c>
      <c r="CN164" s="43">
        <f t="shared" si="1529"/>
        <v>1.4219670000000002</v>
      </c>
      <c r="CO164" s="43">
        <f t="shared" si="1529"/>
        <v>1.4219670000000002</v>
      </c>
      <c r="CP164" s="43">
        <f t="shared" si="1529"/>
        <v>1.4219670000000002</v>
      </c>
      <c r="CQ164" s="43">
        <f t="shared" si="1529"/>
        <v>1.4219670000000002</v>
      </c>
      <c r="CR164" s="43">
        <f t="shared" si="1529"/>
        <v>1.4219670000000002</v>
      </c>
      <c r="CS164" s="43">
        <f t="shared" si="1529"/>
        <v>1.4219670000000002</v>
      </c>
      <c r="CT164" s="43">
        <f t="shared" si="1527"/>
        <v>1.4219670000000002</v>
      </c>
      <c r="CV164" s="43">
        <f>AJ164</f>
        <v>1.4219670000000002</v>
      </c>
      <c r="CW164" s="43">
        <f t="shared" si="1493"/>
        <v>1.4679014333333336</v>
      </c>
      <c r="CX164" s="43">
        <f t="shared" si="1494"/>
        <v>1.5138358666666669</v>
      </c>
      <c r="CY164" s="43">
        <f t="shared" si="1495"/>
        <v>1.5597703000000003</v>
      </c>
      <c r="CZ164" s="43">
        <f t="shared" si="1496"/>
        <v>1.6057047333333336</v>
      </c>
      <c r="DA164" s="43">
        <f t="shared" si="1497"/>
        <v>1.651639166666667</v>
      </c>
      <c r="DB164" s="43">
        <f t="shared" si="1498"/>
        <v>1.6975736000000003</v>
      </c>
      <c r="DC164" s="43">
        <f t="shared" si="1499"/>
        <v>1.7435080333333337</v>
      </c>
      <c r="DD164" s="43">
        <f t="shared" si="1500"/>
        <v>1.7894424666666671</v>
      </c>
      <c r="DE164" s="43">
        <f t="shared" si="1501"/>
        <v>1.8353769000000004</v>
      </c>
      <c r="DF164" s="43">
        <f t="shared" si="1502"/>
        <v>1.8813113333333338</v>
      </c>
      <c r="DG164" s="43">
        <f t="shared" si="1503"/>
        <v>1.9272457666666671</v>
      </c>
      <c r="DH164" s="43">
        <f t="shared" si="1504"/>
        <v>1.9731802000000005</v>
      </c>
      <c r="DI164" s="43">
        <f t="shared" si="1505"/>
        <v>2.0191146333333339</v>
      </c>
      <c r="DJ164" s="43">
        <f t="shared" si="1506"/>
        <v>2.065049066666667</v>
      </c>
      <c r="DK164" s="43">
        <f t="shared" si="1507"/>
        <v>2.1109835000000001</v>
      </c>
      <c r="DL164" s="43">
        <f t="shared" si="1508"/>
        <v>2.1569179333333333</v>
      </c>
      <c r="DM164" s="43">
        <f t="shared" si="1509"/>
        <v>2.2028523666666664</v>
      </c>
      <c r="DN164" s="43">
        <f t="shared" si="1510"/>
        <v>2.2487867999999995</v>
      </c>
      <c r="DO164" s="43">
        <f t="shared" si="1511"/>
        <v>2.2947212333333327</v>
      </c>
      <c r="DP164" s="43">
        <f t="shared" si="1512"/>
        <v>2.3406556666666658</v>
      </c>
      <c r="DQ164" s="43">
        <f t="shared" si="1513"/>
        <v>2.3865900999999989</v>
      </c>
      <c r="DR164" s="43">
        <f t="shared" si="1514"/>
        <v>2.4325245333333321</v>
      </c>
      <c r="DS164" s="43">
        <f t="shared" si="1515"/>
        <v>2.4784589666666652</v>
      </c>
      <c r="DT164" s="43">
        <f t="shared" si="1516"/>
        <v>2.5243933999999983</v>
      </c>
      <c r="DU164" s="43">
        <f t="shared" si="1517"/>
        <v>2.5703278333333315</v>
      </c>
      <c r="DV164" s="43">
        <f t="shared" si="1518"/>
        <v>2.6162622666666646</v>
      </c>
      <c r="DW164" s="43">
        <f t="shared" si="1519"/>
        <v>2.6621966999999978</v>
      </c>
      <c r="DX164" s="43">
        <f t="shared" si="1520"/>
        <v>2.7081311333333309</v>
      </c>
      <c r="DY164" s="43">
        <f t="shared" si="1521"/>
        <v>2.754065566666664</v>
      </c>
      <c r="DZ164" s="43">
        <f t="shared" si="1522"/>
        <v>2.8</v>
      </c>
    </row>
    <row r="165" spans="1:165" x14ac:dyDescent="0.2">
      <c r="A165" s="606" t="s">
        <v>460</v>
      </c>
      <c r="C165" s="54" t="s">
        <v>458</v>
      </c>
      <c r="D165" s="43">
        <f>$BP$192</f>
        <v>1.4219670000000002</v>
      </c>
      <c r="E165" s="43">
        <f t="shared" ref="E165:AG165" si="1530">D165-($D165-$AH165)/30</f>
        <v>1.3769380450000002</v>
      </c>
      <c r="F165" s="43">
        <f t="shared" si="1530"/>
        <v>1.3319090900000001</v>
      </c>
      <c r="G165" s="43">
        <f t="shared" si="1530"/>
        <v>1.2868801350000001</v>
      </c>
      <c r="H165" s="43">
        <f t="shared" si="1530"/>
        <v>1.2418511800000001</v>
      </c>
      <c r="I165" s="43">
        <f t="shared" si="1530"/>
        <v>1.196822225</v>
      </c>
      <c r="J165" s="43">
        <f t="shared" si="1530"/>
        <v>1.15179327</v>
      </c>
      <c r="K165" s="43">
        <f t="shared" si="1530"/>
        <v>1.1067643149999999</v>
      </c>
      <c r="L165" s="43">
        <f t="shared" si="1530"/>
        <v>1.0617353599999999</v>
      </c>
      <c r="M165" s="43">
        <f t="shared" si="1530"/>
        <v>1.0167064049999999</v>
      </c>
      <c r="N165" s="43">
        <f t="shared" si="1530"/>
        <v>0.97167744999999983</v>
      </c>
      <c r="O165" s="43">
        <f t="shared" si="1530"/>
        <v>0.92664849499999979</v>
      </c>
      <c r="P165" s="43">
        <f t="shared" si="1530"/>
        <v>0.88161953999999976</v>
      </c>
      <c r="Q165" s="43">
        <f t="shared" si="1530"/>
        <v>0.83659058499999972</v>
      </c>
      <c r="R165" s="43">
        <f t="shared" si="1530"/>
        <v>0.79156162999999968</v>
      </c>
      <c r="S165" s="43">
        <f t="shared" si="1530"/>
        <v>0.74653267499999965</v>
      </c>
      <c r="T165" s="43">
        <f t="shared" si="1530"/>
        <v>0.70150371999999961</v>
      </c>
      <c r="U165" s="43">
        <f t="shared" si="1530"/>
        <v>0.65647476499999957</v>
      </c>
      <c r="V165" s="43">
        <f t="shared" si="1530"/>
        <v>0.61144580999999953</v>
      </c>
      <c r="W165" s="43">
        <f t="shared" si="1530"/>
        <v>0.5664168549999995</v>
      </c>
      <c r="X165" s="43">
        <f t="shared" si="1530"/>
        <v>0.52138789999999946</v>
      </c>
      <c r="Y165" s="43">
        <f t="shared" si="1530"/>
        <v>0.47635894499999942</v>
      </c>
      <c r="Z165" s="43">
        <f t="shared" si="1530"/>
        <v>0.43132998999999939</v>
      </c>
      <c r="AA165" s="43">
        <f t="shared" si="1530"/>
        <v>0.38630103499999935</v>
      </c>
      <c r="AB165" s="43">
        <f t="shared" si="1530"/>
        <v>0.34127207999999931</v>
      </c>
      <c r="AC165" s="43">
        <f t="shared" si="1530"/>
        <v>0.29624312499999927</v>
      </c>
      <c r="AD165" s="43">
        <f t="shared" si="1530"/>
        <v>0.25121416999999924</v>
      </c>
      <c r="AE165" s="43">
        <f t="shared" si="1530"/>
        <v>0.20618521499999923</v>
      </c>
      <c r="AF165" s="43">
        <f t="shared" si="1530"/>
        <v>0.16115625999999922</v>
      </c>
      <c r="AG165" s="43">
        <f t="shared" si="1530"/>
        <v>0.11612730499999921</v>
      </c>
      <c r="AH165" s="43">
        <f>$BZ$192</f>
        <v>7.1098350000000074E-2</v>
      </c>
      <c r="AI165" s="44"/>
      <c r="AJ165" s="43">
        <f t="shared" si="1524"/>
        <v>1.4219670000000002</v>
      </c>
      <c r="AK165" s="43">
        <f t="shared" si="1462"/>
        <v>1.3769380450000002</v>
      </c>
      <c r="AL165" s="43">
        <f t="shared" si="1463"/>
        <v>1.3319090900000001</v>
      </c>
      <c r="AM165" s="43">
        <f t="shared" si="1464"/>
        <v>1.2868801350000001</v>
      </c>
      <c r="AN165" s="43">
        <f t="shared" si="1465"/>
        <v>1.2418511800000001</v>
      </c>
      <c r="AO165" s="43">
        <f t="shared" si="1466"/>
        <v>1.196822225</v>
      </c>
      <c r="AP165" s="43">
        <f t="shared" si="1467"/>
        <v>1.15179327</v>
      </c>
      <c r="AQ165" s="43">
        <f t="shared" si="1468"/>
        <v>1.1067643149999999</v>
      </c>
      <c r="AR165" s="43">
        <f t="shared" si="1469"/>
        <v>1.0617353599999999</v>
      </c>
      <c r="AS165" s="43">
        <f t="shared" si="1470"/>
        <v>1.0167064049999999</v>
      </c>
      <c r="AT165" s="43">
        <f t="shared" si="1471"/>
        <v>0.97167744999999983</v>
      </c>
      <c r="AU165" s="43">
        <f t="shared" si="1472"/>
        <v>0.92664849499999979</v>
      </c>
      <c r="AV165" s="43">
        <f t="shared" si="1473"/>
        <v>0.88161953999999976</v>
      </c>
      <c r="AW165" s="43">
        <f t="shared" si="1474"/>
        <v>0.83659058499999972</v>
      </c>
      <c r="AX165" s="43">
        <f t="shared" si="1475"/>
        <v>0.79156162999999968</v>
      </c>
      <c r="AY165" s="43">
        <f t="shared" si="1476"/>
        <v>0.74653267499999965</v>
      </c>
      <c r="AZ165" s="43">
        <f t="shared" si="1477"/>
        <v>0.70150371999999961</v>
      </c>
      <c r="BA165" s="43">
        <f t="shared" si="1478"/>
        <v>0.65647476499999957</v>
      </c>
      <c r="BB165" s="43">
        <f t="shared" si="1479"/>
        <v>0.61144580999999953</v>
      </c>
      <c r="BC165" s="43">
        <f t="shared" si="1480"/>
        <v>0.5664168549999995</v>
      </c>
      <c r="BD165" s="43">
        <f t="shared" si="1481"/>
        <v>0.52138789999999946</v>
      </c>
      <c r="BE165" s="43">
        <f t="shared" si="1482"/>
        <v>0.47635894499999942</v>
      </c>
      <c r="BF165" s="43">
        <f t="shared" si="1483"/>
        <v>0.43132998999999939</v>
      </c>
      <c r="BG165" s="43">
        <f t="shared" si="1484"/>
        <v>0.38630103499999935</v>
      </c>
      <c r="BH165" s="43">
        <f t="shared" si="1485"/>
        <v>0.34127207999999931</v>
      </c>
      <c r="BI165" s="43">
        <f t="shared" si="1486"/>
        <v>0.29624312499999927</v>
      </c>
      <c r="BJ165" s="43">
        <f t="shared" si="1487"/>
        <v>0.25121416999999924</v>
      </c>
      <c r="BK165" s="43">
        <f t="shared" si="1488"/>
        <v>0.20618521499999923</v>
      </c>
      <c r="BL165" s="43">
        <f t="shared" si="1489"/>
        <v>0.16115625999999922</v>
      </c>
      <c r="BM165" s="43">
        <f t="shared" si="1490"/>
        <v>0.11612730499999921</v>
      </c>
      <c r="BN165" s="43">
        <f t="shared" si="1491"/>
        <v>7.1098350000000074E-2</v>
      </c>
      <c r="BP165" s="43">
        <f t="shared" si="1525"/>
        <v>1.4219670000000002</v>
      </c>
      <c r="BQ165" s="43">
        <f t="shared" ref="BQ165:CS165" si="1531">BP165-($BP165-$CT165)/30</f>
        <v>1.3769380450000002</v>
      </c>
      <c r="BR165" s="43">
        <f t="shared" si="1531"/>
        <v>1.3319090900000001</v>
      </c>
      <c r="BS165" s="43">
        <f t="shared" si="1531"/>
        <v>1.2868801350000001</v>
      </c>
      <c r="BT165" s="43">
        <f t="shared" si="1531"/>
        <v>1.2418511800000001</v>
      </c>
      <c r="BU165" s="43">
        <f t="shared" si="1531"/>
        <v>1.196822225</v>
      </c>
      <c r="BV165" s="43">
        <f t="shared" si="1531"/>
        <v>1.15179327</v>
      </c>
      <c r="BW165" s="43">
        <f t="shared" si="1531"/>
        <v>1.1067643149999999</v>
      </c>
      <c r="BX165" s="43">
        <f t="shared" si="1531"/>
        <v>1.0617353599999999</v>
      </c>
      <c r="BY165" s="43">
        <f t="shared" si="1531"/>
        <v>1.0167064049999999</v>
      </c>
      <c r="BZ165" s="43">
        <f t="shared" si="1531"/>
        <v>0.97167744999999983</v>
      </c>
      <c r="CA165" s="43">
        <f t="shared" si="1531"/>
        <v>0.92664849499999979</v>
      </c>
      <c r="CB165" s="43">
        <f t="shared" si="1531"/>
        <v>0.88161953999999976</v>
      </c>
      <c r="CC165" s="43">
        <f t="shared" si="1531"/>
        <v>0.83659058499999972</v>
      </c>
      <c r="CD165" s="43">
        <f t="shared" si="1531"/>
        <v>0.79156162999999968</v>
      </c>
      <c r="CE165" s="43">
        <f t="shared" si="1531"/>
        <v>0.74653267499999965</v>
      </c>
      <c r="CF165" s="43">
        <f t="shared" si="1531"/>
        <v>0.70150371999999961</v>
      </c>
      <c r="CG165" s="43">
        <f t="shared" si="1531"/>
        <v>0.65647476499999957</v>
      </c>
      <c r="CH165" s="43">
        <f t="shared" si="1531"/>
        <v>0.61144580999999953</v>
      </c>
      <c r="CI165" s="43">
        <f t="shared" si="1531"/>
        <v>0.5664168549999995</v>
      </c>
      <c r="CJ165" s="43">
        <f t="shared" si="1531"/>
        <v>0.52138789999999946</v>
      </c>
      <c r="CK165" s="43">
        <f t="shared" si="1531"/>
        <v>0.47635894499999942</v>
      </c>
      <c r="CL165" s="43">
        <f t="shared" si="1531"/>
        <v>0.43132998999999939</v>
      </c>
      <c r="CM165" s="43">
        <f t="shared" si="1531"/>
        <v>0.38630103499999935</v>
      </c>
      <c r="CN165" s="43">
        <f t="shared" si="1531"/>
        <v>0.34127207999999931</v>
      </c>
      <c r="CO165" s="43">
        <f t="shared" si="1531"/>
        <v>0.29624312499999927</v>
      </c>
      <c r="CP165" s="43">
        <f t="shared" si="1531"/>
        <v>0.25121416999999924</v>
      </c>
      <c r="CQ165" s="43">
        <f t="shared" si="1531"/>
        <v>0.20618521499999923</v>
      </c>
      <c r="CR165" s="43">
        <f t="shared" si="1531"/>
        <v>0.16115625999999922</v>
      </c>
      <c r="CS165" s="43">
        <f t="shared" si="1531"/>
        <v>0.11612730499999921</v>
      </c>
      <c r="CT165" s="43">
        <f>BN165</f>
        <v>7.1098350000000074E-2</v>
      </c>
      <c r="CV165" s="43">
        <f>AJ165</f>
        <v>1.4219670000000002</v>
      </c>
      <c r="CW165" s="43">
        <f t="shared" si="1493"/>
        <v>1.3769380450000002</v>
      </c>
      <c r="CX165" s="43">
        <f t="shared" si="1494"/>
        <v>1.3319090900000001</v>
      </c>
      <c r="CY165" s="43">
        <f t="shared" si="1495"/>
        <v>1.2868801350000001</v>
      </c>
      <c r="CZ165" s="43">
        <f t="shared" si="1496"/>
        <v>1.2418511800000001</v>
      </c>
      <c r="DA165" s="43">
        <f t="shared" si="1497"/>
        <v>1.196822225</v>
      </c>
      <c r="DB165" s="43">
        <f t="shared" si="1498"/>
        <v>1.15179327</v>
      </c>
      <c r="DC165" s="43">
        <f t="shared" si="1499"/>
        <v>1.1067643149999999</v>
      </c>
      <c r="DD165" s="43">
        <f t="shared" si="1500"/>
        <v>1.0617353599999999</v>
      </c>
      <c r="DE165" s="43">
        <f t="shared" si="1501"/>
        <v>1.0167064049999999</v>
      </c>
      <c r="DF165" s="43">
        <f t="shared" si="1502"/>
        <v>0.97167744999999983</v>
      </c>
      <c r="DG165" s="43">
        <f t="shared" si="1503"/>
        <v>0.92664849499999979</v>
      </c>
      <c r="DH165" s="43">
        <f t="shared" si="1504"/>
        <v>0.88161953999999976</v>
      </c>
      <c r="DI165" s="43">
        <f t="shared" si="1505"/>
        <v>0.83659058499999972</v>
      </c>
      <c r="DJ165" s="43">
        <f t="shared" si="1506"/>
        <v>0.79156162999999968</v>
      </c>
      <c r="DK165" s="43">
        <f t="shared" si="1507"/>
        <v>0.74653267499999965</v>
      </c>
      <c r="DL165" s="43">
        <f t="shared" si="1508"/>
        <v>0.70150371999999961</v>
      </c>
      <c r="DM165" s="43">
        <f t="shared" si="1509"/>
        <v>0.65647476499999957</v>
      </c>
      <c r="DN165" s="43">
        <f t="shared" si="1510"/>
        <v>0.61144580999999953</v>
      </c>
      <c r="DO165" s="43">
        <f t="shared" si="1511"/>
        <v>0.5664168549999995</v>
      </c>
      <c r="DP165" s="43">
        <f t="shared" si="1512"/>
        <v>0.52138789999999946</v>
      </c>
      <c r="DQ165" s="43">
        <f t="shared" si="1513"/>
        <v>0.47635894499999942</v>
      </c>
      <c r="DR165" s="43">
        <f t="shared" si="1514"/>
        <v>0.43132998999999939</v>
      </c>
      <c r="DS165" s="43">
        <f t="shared" si="1515"/>
        <v>0.38630103499999935</v>
      </c>
      <c r="DT165" s="43">
        <f t="shared" si="1516"/>
        <v>0.34127207999999931</v>
      </c>
      <c r="DU165" s="43">
        <f t="shared" si="1517"/>
        <v>0.29624312499999927</v>
      </c>
      <c r="DV165" s="43">
        <f t="shared" si="1518"/>
        <v>0.25121416999999924</v>
      </c>
      <c r="DW165" s="43">
        <f t="shared" si="1519"/>
        <v>0.20618521499999923</v>
      </c>
      <c r="DX165" s="43">
        <f t="shared" si="1520"/>
        <v>0.16115625999999922</v>
      </c>
      <c r="DY165" s="43">
        <f t="shared" si="1521"/>
        <v>0.11612730499999921</v>
      </c>
      <c r="DZ165" s="43">
        <f t="shared" si="1522"/>
        <v>7.1098350000000074E-2</v>
      </c>
    </row>
    <row r="166" spans="1:165" x14ac:dyDescent="0.2">
      <c r="A166" s="606" t="s">
        <v>33</v>
      </c>
      <c r="C166" s="54" t="s">
        <v>458</v>
      </c>
      <c r="D166" s="43">
        <f>$B$190</f>
        <v>5.0000000000000001E-3</v>
      </c>
      <c r="E166" s="43">
        <f t="shared" ref="E166:AG166" si="1532">D166-($D166-$AH166)/30</f>
        <v>4.8333333333333336E-3</v>
      </c>
      <c r="F166" s="43">
        <f t="shared" si="1532"/>
        <v>4.6666666666666671E-3</v>
      </c>
      <c r="G166" s="43">
        <f t="shared" si="1532"/>
        <v>4.5000000000000005E-3</v>
      </c>
      <c r="H166" s="43">
        <f t="shared" si="1532"/>
        <v>4.333333333333334E-3</v>
      </c>
      <c r="I166" s="43">
        <f t="shared" si="1532"/>
        <v>4.1666666666666675E-3</v>
      </c>
      <c r="J166" s="43">
        <f t="shared" si="1532"/>
        <v>4.000000000000001E-3</v>
      </c>
      <c r="K166" s="43">
        <f t="shared" si="1532"/>
        <v>3.8333333333333344E-3</v>
      </c>
      <c r="L166" s="43">
        <f t="shared" si="1532"/>
        <v>3.6666666666666679E-3</v>
      </c>
      <c r="M166" s="43">
        <f t="shared" si="1532"/>
        <v>3.5000000000000014E-3</v>
      </c>
      <c r="N166" s="43">
        <f t="shared" si="1532"/>
        <v>3.3333333333333348E-3</v>
      </c>
      <c r="O166" s="43">
        <f t="shared" si="1532"/>
        <v>3.1666666666666683E-3</v>
      </c>
      <c r="P166" s="43">
        <f t="shared" si="1532"/>
        <v>3.0000000000000018E-3</v>
      </c>
      <c r="Q166" s="43">
        <f t="shared" si="1532"/>
        <v>2.8333333333333353E-3</v>
      </c>
      <c r="R166" s="43">
        <f t="shared" si="1532"/>
        <v>2.6666666666666687E-3</v>
      </c>
      <c r="S166" s="43">
        <f t="shared" si="1532"/>
        <v>2.5000000000000022E-3</v>
      </c>
      <c r="T166" s="43">
        <f t="shared" si="1532"/>
        <v>2.3333333333333357E-3</v>
      </c>
      <c r="U166" s="43">
        <f t="shared" si="1532"/>
        <v>2.1666666666666692E-3</v>
      </c>
      <c r="V166" s="43">
        <f t="shared" si="1532"/>
        <v>2.0000000000000026E-3</v>
      </c>
      <c r="W166" s="43">
        <f t="shared" si="1532"/>
        <v>1.8333333333333359E-3</v>
      </c>
      <c r="X166" s="43">
        <f t="shared" si="1532"/>
        <v>1.6666666666666692E-3</v>
      </c>
      <c r="Y166" s="43">
        <f t="shared" si="1532"/>
        <v>1.5000000000000024E-3</v>
      </c>
      <c r="Z166" s="43">
        <f t="shared" si="1532"/>
        <v>1.3333333333333357E-3</v>
      </c>
      <c r="AA166" s="43">
        <f t="shared" si="1532"/>
        <v>1.1666666666666689E-3</v>
      </c>
      <c r="AB166" s="43">
        <f t="shared" si="1532"/>
        <v>1.0000000000000022E-3</v>
      </c>
      <c r="AC166" s="43">
        <f t="shared" si="1532"/>
        <v>8.3333333333333556E-4</v>
      </c>
      <c r="AD166" s="43">
        <f t="shared" si="1532"/>
        <v>6.6666666666666892E-4</v>
      </c>
      <c r="AE166" s="43">
        <f t="shared" si="1532"/>
        <v>5.0000000000000229E-4</v>
      </c>
      <c r="AF166" s="43">
        <f t="shared" si="1532"/>
        <v>3.3333333333333565E-4</v>
      </c>
      <c r="AG166" s="43">
        <f t="shared" si="1532"/>
        <v>1.6666666666666899E-4</v>
      </c>
      <c r="AH166" s="43">
        <f>$C$190</f>
        <v>0</v>
      </c>
      <c r="AI166" s="44"/>
      <c r="AJ166" s="43">
        <f t="shared" si="1524"/>
        <v>5.0000000000000001E-3</v>
      </c>
      <c r="AK166" s="43">
        <f t="shared" si="1462"/>
        <v>4.8333333333333336E-3</v>
      </c>
      <c r="AL166" s="43">
        <f t="shared" si="1463"/>
        <v>4.6666666666666671E-3</v>
      </c>
      <c r="AM166" s="43">
        <f t="shared" si="1464"/>
        <v>4.5000000000000005E-3</v>
      </c>
      <c r="AN166" s="43">
        <f t="shared" si="1465"/>
        <v>4.333333333333334E-3</v>
      </c>
      <c r="AO166" s="43">
        <f t="shared" si="1466"/>
        <v>4.1666666666666675E-3</v>
      </c>
      <c r="AP166" s="43">
        <f t="shared" si="1467"/>
        <v>4.000000000000001E-3</v>
      </c>
      <c r="AQ166" s="43">
        <f t="shared" si="1468"/>
        <v>3.8333333333333344E-3</v>
      </c>
      <c r="AR166" s="43">
        <f t="shared" si="1469"/>
        <v>3.6666666666666679E-3</v>
      </c>
      <c r="AS166" s="43">
        <f t="shared" si="1470"/>
        <v>3.5000000000000014E-3</v>
      </c>
      <c r="AT166" s="43">
        <f t="shared" si="1471"/>
        <v>3.3333333333333348E-3</v>
      </c>
      <c r="AU166" s="43">
        <f t="shared" si="1472"/>
        <v>3.1666666666666683E-3</v>
      </c>
      <c r="AV166" s="43">
        <f t="shared" si="1473"/>
        <v>3.0000000000000018E-3</v>
      </c>
      <c r="AW166" s="43">
        <f t="shared" si="1474"/>
        <v>2.8333333333333353E-3</v>
      </c>
      <c r="AX166" s="43">
        <f t="shared" si="1475"/>
        <v>2.6666666666666687E-3</v>
      </c>
      <c r="AY166" s="43">
        <f t="shared" si="1476"/>
        <v>2.5000000000000022E-3</v>
      </c>
      <c r="AZ166" s="43">
        <f t="shared" si="1477"/>
        <v>2.3333333333333357E-3</v>
      </c>
      <c r="BA166" s="43">
        <f t="shared" si="1478"/>
        <v>2.1666666666666692E-3</v>
      </c>
      <c r="BB166" s="43">
        <f t="shared" si="1479"/>
        <v>2.0000000000000026E-3</v>
      </c>
      <c r="BC166" s="43">
        <f t="shared" si="1480"/>
        <v>1.8333333333333359E-3</v>
      </c>
      <c r="BD166" s="43">
        <f t="shared" si="1481"/>
        <v>1.6666666666666692E-3</v>
      </c>
      <c r="BE166" s="43">
        <f t="shared" si="1482"/>
        <v>1.5000000000000024E-3</v>
      </c>
      <c r="BF166" s="43">
        <f t="shared" si="1483"/>
        <v>1.3333333333333357E-3</v>
      </c>
      <c r="BG166" s="43">
        <f t="shared" si="1484"/>
        <v>1.1666666666666689E-3</v>
      </c>
      <c r="BH166" s="43">
        <f t="shared" si="1485"/>
        <v>1.0000000000000022E-3</v>
      </c>
      <c r="BI166" s="43">
        <f t="shared" si="1486"/>
        <v>8.3333333333333556E-4</v>
      </c>
      <c r="BJ166" s="43">
        <f t="shared" si="1487"/>
        <v>6.6666666666666892E-4</v>
      </c>
      <c r="BK166" s="43">
        <f t="shared" si="1488"/>
        <v>5.0000000000000229E-4</v>
      </c>
      <c r="BL166" s="43">
        <f t="shared" si="1489"/>
        <v>3.3333333333333565E-4</v>
      </c>
      <c r="BM166" s="43">
        <f t="shared" si="1490"/>
        <v>1.6666666666666899E-4</v>
      </c>
      <c r="BN166" s="43">
        <f t="shared" si="1491"/>
        <v>0</v>
      </c>
      <c r="BP166" s="43">
        <f t="shared" si="1525"/>
        <v>5.0000000000000001E-3</v>
      </c>
      <c r="BQ166" s="43">
        <f t="shared" ref="BQ166:CS166" si="1533">BP166-($BP166-$CT166)/30</f>
        <v>5.0000000000000001E-3</v>
      </c>
      <c r="BR166" s="43">
        <f t="shared" si="1533"/>
        <v>5.0000000000000001E-3</v>
      </c>
      <c r="BS166" s="43">
        <f t="shared" si="1533"/>
        <v>5.0000000000000001E-3</v>
      </c>
      <c r="BT166" s="43">
        <f t="shared" si="1533"/>
        <v>5.0000000000000001E-3</v>
      </c>
      <c r="BU166" s="43">
        <f t="shared" si="1533"/>
        <v>5.0000000000000001E-3</v>
      </c>
      <c r="BV166" s="43">
        <f t="shared" si="1533"/>
        <v>5.0000000000000001E-3</v>
      </c>
      <c r="BW166" s="43">
        <f t="shared" si="1533"/>
        <v>5.0000000000000001E-3</v>
      </c>
      <c r="BX166" s="43">
        <f t="shared" si="1533"/>
        <v>5.0000000000000001E-3</v>
      </c>
      <c r="BY166" s="43">
        <f t="shared" si="1533"/>
        <v>5.0000000000000001E-3</v>
      </c>
      <c r="BZ166" s="43">
        <f t="shared" si="1533"/>
        <v>5.0000000000000001E-3</v>
      </c>
      <c r="CA166" s="43">
        <f t="shared" si="1533"/>
        <v>5.0000000000000001E-3</v>
      </c>
      <c r="CB166" s="43">
        <f t="shared" si="1533"/>
        <v>5.0000000000000001E-3</v>
      </c>
      <c r="CC166" s="43">
        <f t="shared" si="1533"/>
        <v>5.0000000000000001E-3</v>
      </c>
      <c r="CD166" s="43">
        <f t="shared" si="1533"/>
        <v>5.0000000000000001E-3</v>
      </c>
      <c r="CE166" s="43">
        <f t="shared" si="1533"/>
        <v>5.0000000000000001E-3</v>
      </c>
      <c r="CF166" s="43">
        <f t="shared" si="1533"/>
        <v>5.0000000000000001E-3</v>
      </c>
      <c r="CG166" s="43">
        <f t="shared" si="1533"/>
        <v>5.0000000000000001E-3</v>
      </c>
      <c r="CH166" s="43">
        <f t="shared" si="1533"/>
        <v>5.0000000000000001E-3</v>
      </c>
      <c r="CI166" s="43">
        <f t="shared" si="1533"/>
        <v>5.0000000000000001E-3</v>
      </c>
      <c r="CJ166" s="43">
        <f t="shared" si="1533"/>
        <v>5.0000000000000001E-3</v>
      </c>
      <c r="CK166" s="43">
        <f t="shared" si="1533"/>
        <v>5.0000000000000001E-3</v>
      </c>
      <c r="CL166" s="43">
        <f t="shared" si="1533"/>
        <v>5.0000000000000001E-3</v>
      </c>
      <c r="CM166" s="43">
        <f t="shared" si="1533"/>
        <v>5.0000000000000001E-3</v>
      </c>
      <c r="CN166" s="43">
        <f t="shared" si="1533"/>
        <v>5.0000000000000001E-3</v>
      </c>
      <c r="CO166" s="43">
        <f t="shared" si="1533"/>
        <v>5.0000000000000001E-3</v>
      </c>
      <c r="CP166" s="43">
        <f t="shared" si="1533"/>
        <v>5.0000000000000001E-3</v>
      </c>
      <c r="CQ166" s="43">
        <f t="shared" si="1533"/>
        <v>5.0000000000000001E-3</v>
      </c>
      <c r="CR166" s="43">
        <f t="shared" si="1533"/>
        <v>5.0000000000000001E-3</v>
      </c>
      <c r="CS166" s="43">
        <f t="shared" si="1533"/>
        <v>5.0000000000000001E-3</v>
      </c>
      <c r="CT166" s="43">
        <f t="shared" ref="CT166:CT170" si="1534">BP166</f>
        <v>5.0000000000000001E-3</v>
      </c>
      <c r="CV166" s="43">
        <f>AJ166</f>
        <v>5.0000000000000001E-3</v>
      </c>
      <c r="CW166" s="43">
        <f t="shared" si="1493"/>
        <v>4.8333333333333336E-3</v>
      </c>
      <c r="CX166" s="43">
        <f t="shared" si="1494"/>
        <v>4.6666666666666671E-3</v>
      </c>
      <c r="CY166" s="43">
        <f t="shared" si="1495"/>
        <v>4.5000000000000005E-3</v>
      </c>
      <c r="CZ166" s="43">
        <f t="shared" si="1496"/>
        <v>4.333333333333334E-3</v>
      </c>
      <c r="DA166" s="43">
        <f t="shared" si="1497"/>
        <v>4.1666666666666675E-3</v>
      </c>
      <c r="DB166" s="43">
        <f t="shared" si="1498"/>
        <v>4.000000000000001E-3</v>
      </c>
      <c r="DC166" s="43">
        <f t="shared" si="1499"/>
        <v>3.8333333333333344E-3</v>
      </c>
      <c r="DD166" s="43">
        <f t="shared" si="1500"/>
        <v>3.6666666666666679E-3</v>
      </c>
      <c r="DE166" s="43">
        <f t="shared" si="1501"/>
        <v>3.5000000000000014E-3</v>
      </c>
      <c r="DF166" s="43">
        <f t="shared" si="1502"/>
        <v>3.3333333333333348E-3</v>
      </c>
      <c r="DG166" s="43">
        <f t="shared" si="1503"/>
        <v>3.1666666666666683E-3</v>
      </c>
      <c r="DH166" s="43">
        <f t="shared" si="1504"/>
        <v>3.0000000000000018E-3</v>
      </c>
      <c r="DI166" s="43">
        <f t="shared" si="1505"/>
        <v>2.8333333333333353E-3</v>
      </c>
      <c r="DJ166" s="43">
        <f t="shared" si="1506"/>
        <v>2.6666666666666687E-3</v>
      </c>
      <c r="DK166" s="43">
        <f t="shared" si="1507"/>
        <v>2.5000000000000022E-3</v>
      </c>
      <c r="DL166" s="43">
        <f t="shared" si="1508"/>
        <v>2.3333333333333357E-3</v>
      </c>
      <c r="DM166" s="43">
        <f t="shared" si="1509"/>
        <v>2.1666666666666692E-3</v>
      </c>
      <c r="DN166" s="43">
        <f t="shared" si="1510"/>
        <v>2.0000000000000026E-3</v>
      </c>
      <c r="DO166" s="43">
        <f t="shared" si="1511"/>
        <v>1.8333333333333359E-3</v>
      </c>
      <c r="DP166" s="43">
        <f t="shared" si="1512"/>
        <v>1.6666666666666692E-3</v>
      </c>
      <c r="DQ166" s="43">
        <f t="shared" si="1513"/>
        <v>1.5000000000000024E-3</v>
      </c>
      <c r="DR166" s="43">
        <f t="shared" si="1514"/>
        <v>1.3333333333333357E-3</v>
      </c>
      <c r="DS166" s="43">
        <f t="shared" si="1515"/>
        <v>1.1666666666666689E-3</v>
      </c>
      <c r="DT166" s="43">
        <f t="shared" si="1516"/>
        <v>1.0000000000000022E-3</v>
      </c>
      <c r="DU166" s="43">
        <f t="shared" si="1517"/>
        <v>8.3333333333333556E-4</v>
      </c>
      <c r="DV166" s="43">
        <f t="shared" si="1518"/>
        <v>6.6666666666666892E-4</v>
      </c>
      <c r="DW166" s="43">
        <f t="shared" si="1519"/>
        <v>5.0000000000000229E-4</v>
      </c>
      <c r="DX166" s="43">
        <f t="shared" si="1520"/>
        <v>3.3333333333333565E-4</v>
      </c>
      <c r="DY166" s="43">
        <f t="shared" si="1521"/>
        <v>1.6666666666666899E-4</v>
      </c>
      <c r="DZ166" s="43">
        <f t="shared" si="1522"/>
        <v>0</v>
      </c>
    </row>
    <row r="167" spans="1:165" x14ac:dyDescent="0.2">
      <c r="A167" s="606" t="s">
        <v>451</v>
      </c>
      <c r="C167" s="54" t="s">
        <v>458</v>
      </c>
      <c r="D167" s="43">
        <f>$B$191</f>
        <v>0</v>
      </c>
      <c r="E167" s="43">
        <f t="shared" ref="E167:AG167" si="1535">D167-($D167-$AH167)/30</f>
        <v>0</v>
      </c>
      <c r="F167" s="43">
        <f t="shared" si="1535"/>
        <v>0</v>
      </c>
      <c r="G167" s="43">
        <f t="shared" si="1535"/>
        <v>0</v>
      </c>
      <c r="H167" s="43">
        <f t="shared" si="1535"/>
        <v>0</v>
      </c>
      <c r="I167" s="43">
        <f t="shared" si="1535"/>
        <v>0</v>
      </c>
      <c r="J167" s="43">
        <f t="shared" si="1535"/>
        <v>0</v>
      </c>
      <c r="K167" s="43">
        <f t="shared" si="1535"/>
        <v>0</v>
      </c>
      <c r="L167" s="43">
        <f t="shared" si="1535"/>
        <v>0</v>
      </c>
      <c r="M167" s="43">
        <f t="shared" si="1535"/>
        <v>0</v>
      </c>
      <c r="N167" s="43">
        <f t="shared" si="1535"/>
        <v>0</v>
      </c>
      <c r="O167" s="43">
        <f t="shared" si="1535"/>
        <v>0</v>
      </c>
      <c r="P167" s="43">
        <f t="shared" si="1535"/>
        <v>0</v>
      </c>
      <c r="Q167" s="43">
        <f t="shared" si="1535"/>
        <v>0</v>
      </c>
      <c r="R167" s="43">
        <f t="shared" si="1535"/>
        <v>0</v>
      </c>
      <c r="S167" s="43">
        <f t="shared" si="1535"/>
        <v>0</v>
      </c>
      <c r="T167" s="43">
        <f t="shared" si="1535"/>
        <v>0</v>
      </c>
      <c r="U167" s="43">
        <f t="shared" si="1535"/>
        <v>0</v>
      </c>
      <c r="V167" s="43">
        <f t="shared" si="1535"/>
        <v>0</v>
      </c>
      <c r="W167" s="43">
        <f t="shared" si="1535"/>
        <v>0</v>
      </c>
      <c r="X167" s="43">
        <f t="shared" si="1535"/>
        <v>0</v>
      </c>
      <c r="Y167" s="43">
        <f t="shared" si="1535"/>
        <v>0</v>
      </c>
      <c r="Z167" s="43">
        <f t="shared" si="1535"/>
        <v>0</v>
      </c>
      <c r="AA167" s="43">
        <f t="shared" si="1535"/>
        <v>0</v>
      </c>
      <c r="AB167" s="43">
        <f t="shared" si="1535"/>
        <v>0</v>
      </c>
      <c r="AC167" s="43">
        <f t="shared" si="1535"/>
        <v>0</v>
      </c>
      <c r="AD167" s="43">
        <f t="shared" si="1535"/>
        <v>0</v>
      </c>
      <c r="AE167" s="43">
        <f t="shared" si="1535"/>
        <v>0</v>
      </c>
      <c r="AF167" s="43">
        <f t="shared" si="1535"/>
        <v>0</v>
      </c>
      <c r="AG167" s="43">
        <f t="shared" si="1535"/>
        <v>0</v>
      </c>
      <c r="AH167" s="43">
        <f>$C$191</f>
        <v>0</v>
      </c>
      <c r="AI167" s="44"/>
      <c r="AJ167" s="43">
        <f t="shared" si="1524"/>
        <v>0</v>
      </c>
      <c r="AK167" s="43">
        <f t="shared" si="1462"/>
        <v>0</v>
      </c>
      <c r="AL167" s="43">
        <f t="shared" si="1463"/>
        <v>0</v>
      </c>
      <c r="AM167" s="43">
        <f t="shared" si="1464"/>
        <v>0</v>
      </c>
      <c r="AN167" s="43">
        <f t="shared" si="1465"/>
        <v>0</v>
      </c>
      <c r="AO167" s="43">
        <f t="shared" si="1466"/>
        <v>0</v>
      </c>
      <c r="AP167" s="43">
        <f t="shared" si="1467"/>
        <v>0</v>
      </c>
      <c r="AQ167" s="43">
        <f t="shared" si="1468"/>
        <v>0</v>
      </c>
      <c r="AR167" s="43">
        <f t="shared" si="1469"/>
        <v>0</v>
      </c>
      <c r="AS167" s="43">
        <f t="shared" si="1470"/>
        <v>0</v>
      </c>
      <c r="AT167" s="43">
        <f t="shared" si="1471"/>
        <v>0</v>
      </c>
      <c r="AU167" s="43">
        <f t="shared" si="1472"/>
        <v>0</v>
      </c>
      <c r="AV167" s="43">
        <f t="shared" si="1473"/>
        <v>0</v>
      </c>
      <c r="AW167" s="43">
        <f t="shared" si="1474"/>
        <v>0</v>
      </c>
      <c r="AX167" s="43">
        <f t="shared" si="1475"/>
        <v>0</v>
      </c>
      <c r="AY167" s="43">
        <f t="shared" si="1476"/>
        <v>0</v>
      </c>
      <c r="AZ167" s="43">
        <f t="shared" si="1477"/>
        <v>0</v>
      </c>
      <c r="BA167" s="43">
        <f t="shared" si="1478"/>
        <v>0</v>
      </c>
      <c r="BB167" s="43">
        <f t="shared" si="1479"/>
        <v>0</v>
      </c>
      <c r="BC167" s="43">
        <f t="shared" si="1480"/>
        <v>0</v>
      </c>
      <c r="BD167" s="43">
        <f t="shared" si="1481"/>
        <v>0</v>
      </c>
      <c r="BE167" s="43">
        <f t="shared" si="1482"/>
        <v>0</v>
      </c>
      <c r="BF167" s="43">
        <f t="shared" si="1483"/>
        <v>0</v>
      </c>
      <c r="BG167" s="43">
        <f t="shared" si="1484"/>
        <v>0</v>
      </c>
      <c r="BH167" s="43">
        <f t="shared" si="1485"/>
        <v>0</v>
      </c>
      <c r="BI167" s="43">
        <f t="shared" si="1486"/>
        <v>0</v>
      </c>
      <c r="BJ167" s="43">
        <f t="shared" si="1487"/>
        <v>0</v>
      </c>
      <c r="BK167" s="43">
        <f t="shared" si="1488"/>
        <v>0</v>
      </c>
      <c r="BL167" s="43">
        <f t="shared" si="1489"/>
        <v>0</v>
      </c>
      <c r="BM167" s="43">
        <f t="shared" si="1490"/>
        <v>0</v>
      </c>
      <c r="BN167" s="43">
        <f t="shared" si="1491"/>
        <v>0</v>
      </c>
      <c r="BP167" s="43">
        <f t="shared" si="1525"/>
        <v>0</v>
      </c>
      <c r="BQ167" s="43">
        <f t="shared" ref="BQ167:CS167" si="1536">BP167-($BP167-$CT167)/30</f>
        <v>0</v>
      </c>
      <c r="BR167" s="43">
        <f t="shared" si="1536"/>
        <v>0</v>
      </c>
      <c r="BS167" s="43">
        <f t="shared" si="1536"/>
        <v>0</v>
      </c>
      <c r="BT167" s="43">
        <f t="shared" si="1536"/>
        <v>0</v>
      </c>
      <c r="BU167" s="43">
        <f t="shared" si="1536"/>
        <v>0</v>
      </c>
      <c r="BV167" s="43">
        <f t="shared" si="1536"/>
        <v>0</v>
      </c>
      <c r="BW167" s="43">
        <f t="shared" si="1536"/>
        <v>0</v>
      </c>
      <c r="BX167" s="43">
        <f t="shared" si="1536"/>
        <v>0</v>
      </c>
      <c r="BY167" s="43">
        <f t="shared" si="1536"/>
        <v>0</v>
      </c>
      <c r="BZ167" s="43">
        <f t="shared" si="1536"/>
        <v>0</v>
      </c>
      <c r="CA167" s="43">
        <f t="shared" si="1536"/>
        <v>0</v>
      </c>
      <c r="CB167" s="43">
        <f t="shared" si="1536"/>
        <v>0</v>
      </c>
      <c r="CC167" s="43">
        <f t="shared" si="1536"/>
        <v>0</v>
      </c>
      <c r="CD167" s="43">
        <f t="shared" si="1536"/>
        <v>0</v>
      </c>
      <c r="CE167" s="43">
        <f t="shared" si="1536"/>
        <v>0</v>
      </c>
      <c r="CF167" s="43">
        <f t="shared" si="1536"/>
        <v>0</v>
      </c>
      <c r="CG167" s="43">
        <f t="shared" si="1536"/>
        <v>0</v>
      </c>
      <c r="CH167" s="43">
        <f t="shared" si="1536"/>
        <v>0</v>
      </c>
      <c r="CI167" s="43">
        <f t="shared" si="1536"/>
        <v>0</v>
      </c>
      <c r="CJ167" s="43">
        <f t="shared" si="1536"/>
        <v>0</v>
      </c>
      <c r="CK167" s="43">
        <f t="shared" si="1536"/>
        <v>0</v>
      </c>
      <c r="CL167" s="43">
        <f t="shared" si="1536"/>
        <v>0</v>
      </c>
      <c r="CM167" s="43">
        <f t="shared" si="1536"/>
        <v>0</v>
      </c>
      <c r="CN167" s="43">
        <f t="shared" si="1536"/>
        <v>0</v>
      </c>
      <c r="CO167" s="43">
        <f t="shared" si="1536"/>
        <v>0</v>
      </c>
      <c r="CP167" s="43">
        <f t="shared" si="1536"/>
        <v>0</v>
      </c>
      <c r="CQ167" s="43">
        <f t="shared" si="1536"/>
        <v>0</v>
      </c>
      <c r="CR167" s="43">
        <f t="shared" si="1536"/>
        <v>0</v>
      </c>
      <c r="CS167" s="43">
        <f t="shared" si="1536"/>
        <v>0</v>
      </c>
      <c r="CT167" s="43">
        <f t="shared" si="1534"/>
        <v>0</v>
      </c>
      <c r="CV167" s="43">
        <f t="shared" ref="CV167:CV170" si="1537">AJ167</f>
        <v>0</v>
      </c>
      <c r="CW167" s="43">
        <f t="shared" ref="CW167:CW170" si="1538">CV167-($BP167-$CT167)/30</f>
        <v>0</v>
      </c>
      <c r="CX167" s="43">
        <f t="shared" ref="CX167:CX170" si="1539">CW167-($BP167-$CT167)/30</f>
        <v>0</v>
      </c>
      <c r="CY167" s="43">
        <f t="shared" ref="CY167:CY170" si="1540">CX167-($BP167-$CT167)/30</f>
        <v>0</v>
      </c>
      <c r="CZ167" s="43">
        <f t="shared" ref="CZ167:CZ170" si="1541">CY167-($BP167-$CT167)/30</f>
        <v>0</v>
      </c>
      <c r="DA167" s="43">
        <f t="shared" ref="DA167:DA170" si="1542">CZ167-($BP167-$CT167)/30</f>
        <v>0</v>
      </c>
      <c r="DB167" s="43">
        <f t="shared" ref="DB167:DB170" si="1543">DA167-($BP167-$CT167)/30</f>
        <v>0</v>
      </c>
      <c r="DC167" s="43">
        <f t="shared" ref="DC167:DC170" si="1544">DB167-($BP167-$CT167)/30</f>
        <v>0</v>
      </c>
      <c r="DD167" s="43">
        <f t="shared" ref="DD167:DD170" si="1545">DC167-($BP167-$CT167)/30</f>
        <v>0</v>
      </c>
      <c r="DE167" s="43">
        <f t="shared" ref="DE167:DE170" si="1546">DD167-($BP167-$CT167)/30</f>
        <v>0</v>
      </c>
      <c r="DF167" s="43">
        <f t="shared" ref="DF167:DF170" si="1547">DE167-($BP167-$CT167)/30</f>
        <v>0</v>
      </c>
      <c r="DG167" s="43">
        <f t="shared" ref="DG167:DG170" si="1548">DF167-($BP167-$CT167)/30</f>
        <v>0</v>
      </c>
      <c r="DH167" s="43">
        <f t="shared" ref="DH167:DH170" si="1549">DG167-($BP167-$CT167)/30</f>
        <v>0</v>
      </c>
      <c r="DI167" s="43">
        <f t="shared" ref="DI167:DI170" si="1550">DH167-($BP167-$CT167)/30</f>
        <v>0</v>
      </c>
      <c r="DJ167" s="43">
        <f t="shared" ref="DJ167:DJ170" si="1551">DI167-($BP167-$CT167)/30</f>
        <v>0</v>
      </c>
      <c r="DK167" s="43">
        <f t="shared" ref="DK167:DK170" si="1552">DJ167-($BP167-$CT167)/30</f>
        <v>0</v>
      </c>
      <c r="DL167" s="43">
        <f t="shared" ref="DL167:DL170" si="1553">DK167-($BP167-$CT167)/30</f>
        <v>0</v>
      </c>
      <c r="DM167" s="43">
        <f t="shared" ref="DM167:DM170" si="1554">DL167-($BP167-$CT167)/30</f>
        <v>0</v>
      </c>
      <c r="DN167" s="43">
        <f t="shared" ref="DN167:DN170" si="1555">DM167-($BP167-$CT167)/30</f>
        <v>0</v>
      </c>
      <c r="DO167" s="43">
        <f t="shared" ref="DO167:DO170" si="1556">DN167-($BP167-$CT167)/30</f>
        <v>0</v>
      </c>
      <c r="DP167" s="43">
        <f t="shared" ref="DP167:DP170" si="1557">DO167-($BP167-$CT167)/30</f>
        <v>0</v>
      </c>
      <c r="DQ167" s="43">
        <f t="shared" ref="DQ167:DQ170" si="1558">DP167-($BP167-$CT167)/30</f>
        <v>0</v>
      </c>
      <c r="DR167" s="43">
        <f t="shared" ref="DR167:DR170" si="1559">DQ167-($BP167-$CT167)/30</f>
        <v>0</v>
      </c>
      <c r="DS167" s="43">
        <f t="shared" ref="DS167:DS170" si="1560">DR167-($BP167-$CT167)/30</f>
        <v>0</v>
      </c>
      <c r="DT167" s="43">
        <f t="shared" ref="DT167:DT170" si="1561">DS167-($BP167-$CT167)/30</f>
        <v>0</v>
      </c>
      <c r="DU167" s="43">
        <f t="shared" ref="DU167:DU170" si="1562">DT167-($BP167-$CT167)/30</f>
        <v>0</v>
      </c>
      <c r="DV167" s="43">
        <f t="shared" ref="DV167:DV170" si="1563">DU167-($BP167-$CT167)/30</f>
        <v>0</v>
      </c>
      <c r="DW167" s="43">
        <f t="shared" ref="DW167:DW170" si="1564">DV167-($BP167-$CT167)/30</f>
        <v>0</v>
      </c>
      <c r="DX167" s="43">
        <f t="shared" ref="DX167:DX170" si="1565">DW167-($BP167-$CT167)/30</f>
        <v>0</v>
      </c>
      <c r="DY167" s="43">
        <f t="shared" ref="DY167:DY170" si="1566">DX167-($BP167-$CT167)/30</f>
        <v>0</v>
      </c>
      <c r="DZ167" s="43">
        <v>0</v>
      </c>
    </row>
    <row r="168" spans="1:165" x14ac:dyDescent="0.2">
      <c r="A168" s="606" t="s">
        <v>452</v>
      </c>
      <c r="C168" s="54" t="s">
        <v>458</v>
      </c>
      <c r="D168" s="43">
        <f>$B$192</f>
        <v>2.8940000000000001</v>
      </c>
      <c r="E168" s="43">
        <f t="shared" ref="E168:AG168" si="1567">D168-($D168-$AH168)/30</f>
        <v>2.8940000000000001</v>
      </c>
      <c r="F168" s="43">
        <f t="shared" si="1567"/>
        <v>2.8940000000000001</v>
      </c>
      <c r="G168" s="43">
        <f t="shared" si="1567"/>
        <v>2.8940000000000001</v>
      </c>
      <c r="H168" s="43">
        <f t="shared" si="1567"/>
        <v>2.8940000000000001</v>
      </c>
      <c r="I168" s="43">
        <f t="shared" si="1567"/>
        <v>2.8940000000000001</v>
      </c>
      <c r="J168" s="43">
        <f t="shared" si="1567"/>
        <v>2.8940000000000001</v>
      </c>
      <c r="K168" s="43">
        <f t="shared" si="1567"/>
        <v>2.8940000000000001</v>
      </c>
      <c r="L168" s="43">
        <f t="shared" si="1567"/>
        <v>2.8940000000000001</v>
      </c>
      <c r="M168" s="43">
        <f t="shared" si="1567"/>
        <v>2.8940000000000001</v>
      </c>
      <c r="N168" s="43">
        <f t="shared" si="1567"/>
        <v>2.8940000000000001</v>
      </c>
      <c r="O168" s="43">
        <f t="shared" si="1567"/>
        <v>2.8940000000000001</v>
      </c>
      <c r="P168" s="43">
        <f t="shared" si="1567"/>
        <v>2.8940000000000001</v>
      </c>
      <c r="Q168" s="43">
        <f t="shared" si="1567"/>
        <v>2.8940000000000001</v>
      </c>
      <c r="R168" s="43">
        <f t="shared" si="1567"/>
        <v>2.8940000000000001</v>
      </c>
      <c r="S168" s="43">
        <f t="shared" si="1567"/>
        <v>2.8940000000000001</v>
      </c>
      <c r="T168" s="43">
        <f t="shared" si="1567"/>
        <v>2.8940000000000001</v>
      </c>
      <c r="U168" s="43">
        <f t="shared" si="1567"/>
        <v>2.8940000000000001</v>
      </c>
      <c r="V168" s="43">
        <f t="shared" si="1567"/>
        <v>2.8940000000000001</v>
      </c>
      <c r="W168" s="43">
        <f t="shared" si="1567"/>
        <v>2.8940000000000001</v>
      </c>
      <c r="X168" s="43">
        <f t="shared" si="1567"/>
        <v>2.8940000000000001</v>
      </c>
      <c r="Y168" s="43">
        <f t="shared" si="1567"/>
        <v>2.8940000000000001</v>
      </c>
      <c r="Z168" s="43">
        <f t="shared" si="1567"/>
        <v>2.8940000000000001</v>
      </c>
      <c r="AA168" s="43">
        <f t="shared" si="1567"/>
        <v>2.8940000000000001</v>
      </c>
      <c r="AB168" s="43">
        <f t="shared" si="1567"/>
        <v>2.8940000000000001</v>
      </c>
      <c r="AC168" s="43">
        <f t="shared" si="1567"/>
        <v>2.8940000000000001</v>
      </c>
      <c r="AD168" s="43">
        <f t="shared" si="1567"/>
        <v>2.8940000000000001</v>
      </c>
      <c r="AE168" s="43">
        <f t="shared" si="1567"/>
        <v>2.8940000000000001</v>
      </c>
      <c r="AF168" s="43">
        <f t="shared" si="1567"/>
        <v>2.8940000000000001</v>
      </c>
      <c r="AG168" s="43">
        <f t="shared" si="1567"/>
        <v>2.8940000000000001</v>
      </c>
      <c r="AH168" s="43">
        <f>$C$192</f>
        <v>2.8940000000000001</v>
      </c>
      <c r="AI168" s="44"/>
      <c r="AJ168" s="43">
        <f t="shared" si="1524"/>
        <v>2.8940000000000001</v>
      </c>
      <c r="AK168" s="43">
        <f t="shared" si="1462"/>
        <v>2.8940000000000001</v>
      </c>
      <c r="AL168" s="43">
        <f t="shared" si="1463"/>
        <v>2.8940000000000001</v>
      </c>
      <c r="AM168" s="43">
        <f t="shared" si="1464"/>
        <v>2.8940000000000001</v>
      </c>
      <c r="AN168" s="43">
        <f t="shared" si="1465"/>
        <v>2.8940000000000001</v>
      </c>
      <c r="AO168" s="43">
        <f t="shared" si="1466"/>
        <v>2.8940000000000001</v>
      </c>
      <c r="AP168" s="43">
        <f t="shared" si="1467"/>
        <v>2.8940000000000001</v>
      </c>
      <c r="AQ168" s="43">
        <f t="shared" si="1468"/>
        <v>2.8940000000000001</v>
      </c>
      <c r="AR168" s="43">
        <f t="shared" si="1469"/>
        <v>2.8940000000000001</v>
      </c>
      <c r="AS168" s="43">
        <f t="shared" si="1470"/>
        <v>2.8940000000000001</v>
      </c>
      <c r="AT168" s="43">
        <f t="shared" si="1471"/>
        <v>2.8940000000000001</v>
      </c>
      <c r="AU168" s="43">
        <f t="shared" si="1472"/>
        <v>2.8940000000000001</v>
      </c>
      <c r="AV168" s="43">
        <f t="shared" si="1473"/>
        <v>2.8940000000000001</v>
      </c>
      <c r="AW168" s="43">
        <f t="shared" si="1474"/>
        <v>2.8940000000000001</v>
      </c>
      <c r="AX168" s="43">
        <f t="shared" si="1475"/>
        <v>2.8940000000000001</v>
      </c>
      <c r="AY168" s="43">
        <f t="shared" si="1476"/>
        <v>2.8940000000000001</v>
      </c>
      <c r="AZ168" s="43">
        <f t="shared" si="1477"/>
        <v>2.8940000000000001</v>
      </c>
      <c r="BA168" s="43">
        <f t="shared" si="1478"/>
        <v>2.8940000000000001</v>
      </c>
      <c r="BB168" s="43">
        <f t="shared" si="1479"/>
        <v>2.8940000000000001</v>
      </c>
      <c r="BC168" s="43">
        <f t="shared" si="1480"/>
        <v>2.8940000000000001</v>
      </c>
      <c r="BD168" s="43">
        <f t="shared" si="1481"/>
        <v>2.8940000000000001</v>
      </c>
      <c r="BE168" s="43">
        <f t="shared" si="1482"/>
        <v>2.8940000000000001</v>
      </c>
      <c r="BF168" s="43">
        <f t="shared" si="1483"/>
        <v>2.8940000000000001</v>
      </c>
      <c r="BG168" s="43">
        <f t="shared" si="1484"/>
        <v>2.8940000000000001</v>
      </c>
      <c r="BH168" s="43">
        <f t="shared" si="1485"/>
        <v>2.8940000000000001</v>
      </c>
      <c r="BI168" s="43">
        <f t="shared" si="1486"/>
        <v>2.8940000000000001</v>
      </c>
      <c r="BJ168" s="43">
        <f t="shared" si="1487"/>
        <v>2.8940000000000001</v>
      </c>
      <c r="BK168" s="43">
        <f t="shared" si="1488"/>
        <v>2.8940000000000001</v>
      </c>
      <c r="BL168" s="43">
        <f t="shared" si="1489"/>
        <v>2.8940000000000001</v>
      </c>
      <c r="BM168" s="43">
        <f t="shared" si="1490"/>
        <v>2.8940000000000001</v>
      </c>
      <c r="BN168" s="43">
        <f t="shared" si="1491"/>
        <v>2.8940000000000001</v>
      </c>
      <c r="BP168" s="43">
        <f t="shared" si="1525"/>
        <v>2.8940000000000001</v>
      </c>
      <c r="BQ168" s="43">
        <f t="shared" ref="BQ168:CS168" si="1568">BP168-($BP168-$CT168)/30</f>
        <v>2.8940000000000001</v>
      </c>
      <c r="BR168" s="43">
        <f t="shared" si="1568"/>
        <v>2.8940000000000001</v>
      </c>
      <c r="BS168" s="43">
        <f t="shared" si="1568"/>
        <v>2.8940000000000001</v>
      </c>
      <c r="BT168" s="43">
        <f t="shared" si="1568"/>
        <v>2.8940000000000001</v>
      </c>
      <c r="BU168" s="43">
        <f t="shared" si="1568"/>
        <v>2.8940000000000001</v>
      </c>
      <c r="BV168" s="43">
        <f t="shared" si="1568"/>
        <v>2.8940000000000001</v>
      </c>
      <c r="BW168" s="43">
        <f t="shared" si="1568"/>
        <v>2.8940000000000001</v>
      </c>
      <c r="BX168" s="43">
        <f t="shared" si="1568"/>
        <v>2.8940000000000001</v>
      </c>
      <c r="BY168" s="43">
        <f t="shared" si="1568"/>
        <v>2.8940000000000001</v>
      </c>
      <c r="BZ168" s="43">
        <f t="shared" si="1568"/>
        <v>2.8940000000000001</v>
      </c>
      <c r="CA168" s="43">
        <f t="shared" si="1568"/>
        <v>2.8940000000000001</v>
      </c>
      <c r="CB168" s="43">
        <f t="shared" si="1568"/>
        <v>2.8940000000000001</v>
      </c>
      <c r="CC168" s="43">
        <f t="shared" si="1568"/>
        <v>2.8940000000000001</v>
      </c>
      <c r="CD168" s="43">
        <f t="shared" si="1568"/>
        <v>2.8940000000000001</v>
      </c>
      <c r="CE168" s="43">
        <f t="shared" si="1568"/>
        <v>2.8940000000000001</v>
      </c>
      <c r="CF168" s="43">
        <f t="shared" si="1568"/>
        <v>2.8940000000000001</v>
      </c>
      <c r="CG168" s="43">
        <f t="shared" si="1568"/>
        <v>2.8940000000000001</v>
      </c>
      <c r="CH168" s="43">
        <f t="shared" si="1568"/>
        <v>2.8940000000000001</v>
      </c>
      <c r="CI168" s="43">
        <f t="shared" si="1568"/>
        <v>2.8940000000000001</v>
      </c>
      <c r="CJ168" s="43">
        <f t="shared" si="1568"/>
        <v>2.8940000000000001</v>
      </c>
      <c r="CK168" s="43">
        <f t="shared" si="1568"/>
        <v>2.8940000000000001</v>
      </c>
      <c r="CL168" s="43">
        <f t="shared" si="1568"/>
        <v>2.8940000000000001</v>
      </c>
      <c r="CM168" s="43">
        <f t="shared" si="1568"/>
        <v>2.8940000000000001</v>
      </c>
      <c r="CN168" s="43">
        <f t="shared" si="1568"/>
        <v>2.8940000000000001</v>
      </c>
      <c r="CO168" s="43">
        <f t="shared" si="1568"/>
        <v>2.8940000000000001</v>
      </c>
      <c r="CP168" s="43">
        <f t="shared" si="1568"/>
        <v>2.8940000000000001</v>
      </c>
      <c r="CQ168" s="43">
        <f t="shared" si="1568"/>
        <v>2.8940000000000001</v>
      </c>
      <c r="CR168" s="43">
        <f t="shared" si="1568"/>
        <v>2.8940000000000001</v>
      </c>
      <c r="CS168" s="43">
        <f t="shared" si="1568"/>
        <v>2.8940000000000001</v>
      </c>
      <c r="CT168" s="43">
        <f t="shared" si="1534"/>
        <v>2.8940000000000001</v>
      </c>
      <c r="CV168" s="43">
        <f t="shared" si="1537"/>
        <v>2.8940000000000001</v>
      </c>
      <c r="CW168" s="43">
        <f t="shared" si="1538"/>
        <v>2.8940000000000001</v>
      </c>
      <c r="CX168" s="43">
        <f t="shared" si="1539"/>
        <v>2.8940000000000001</v>
      </c>
      <c r="CY168" s="43">
        <f t="shared" si="1540"/>
        <v>2.8940000000000001</v>
      </c>
      <c r="CZ168" s="43">
        <f t="shared" si="1541"/>
        <v>2.8940000000000001</v>
      </c>
      <c r="DA168" s="43">
        <f t="shared" si="1542"/>
        <v>2.8940000000000001</v>
      </c>
      <c r="DB168" s="43">
        <f t="shared" si="1543"/>
        <v>2.8940000000000001</v>
      </c>
      <c r="DC168" s="43">
        <f t="shared" si="1544"/>
        <v>2.8940000000000001</v>
      </c>
      <c r="DD168" s="43">
        <f t="shared" si="1545"/>
        <v>2.8940000000000001</v>
      </c>
      <c r="DE168" s="43">
        <f t="shared" si="1546"/>
        <v>2.8940000000000001</v>
      </c>
      <c r="DF168" s="43">
        <f t="shared" si="1547"/>
        <v>2.8940000000000001</v>
      </c>
      <c r="DG168" s="43">
        <f t="shared" si="1548"/>
        <v>2.8940000000000001</v>
      </c>
      <c r="DH168" s="43">
        <f t="shared" si="1549"/>
        <v>2.8940000000000001</v>
      </c>
      <c r="DI168" s="43">
        <f t="shared" si="1550"/>
        <v>2.8940000000000001</v>
      </c>
      <c r="DJ168" s="43">
        <f t="shared" si="1551"/>
        <v>2.8940000000000001</v>
      </c>
      <c r="DK168" s="43">
        <f t="shared" si="1552"/>
        <v>2.8940000000000001</v>
      </c>
      <c r="DL168" s="43">
        <f t="shared" si="1553"/>
        <v>2.8940000000000001</v>
      </c>
      <c r="DM168" s="43">
        <f t="shared" si="1554"/>
        <v>2.8940000000000001</v>
      </c>
      <c r="DN168" s="43">
        <f t="shared" si="1555"/>
        <v>2.8940000000000001</v>
      </c>
      <c r="DO168" s="43">
        <f t="shared" si="1556"/>
        <v>2.8940000000000001</v>
      </c>
      <c r="DP168" s="43">
        <f t="shared" si="1557"/>
        <v>2.8940000000000001</v>
      </c>
      <c r="DQ168" s="43">
        <f t="shared" si="1558"/>
        <v>2.8940000000000001</v>
      </c>
      <c r="DR168" s="43">
        <f t="shared" si="1559"/>
        <v>2.8940000000000001</v>
      </c>
      <c r="DS168" s="43">
        <f t="shared" si="1560"/>
        <v>2.8940000000000001</v>
      </c>
      <c r="DT168" s="43">
        <f t="shared" si="1561"/>
        <v>2.8940000000000001</v>
      </c>
      <c r="DU168" s="43">
        <f t="shared" si="1562"/>
        <v>2.8940000000000001</v>
      </c>
      <c r="DV168" s="43">
        <f t="shared" si="1563"/>
        <v>2.8940000000000001</v>
      </c>
      <c r="DW168" s="43">
        <f t="shared" si="1564"/>
        <v>2.8940000000000001</v>
      </c>
      <c r="DX168" s="43">
        <f t="shared" si="1565"/>
        <v>2.8940000000000001</v>
      </c>
      <c r="DY168" s="43">
        <f t="shared" si="1566"/>
        <v>2.8940000000000001</v>
      </c>
      <c r="DZ168" s="43">
        <f t="shared" ref="DZ168:DZ170" si="1569">CV168</f>
        <v>2.8940000000000001</v>
      </c>
    </row>
    <row r="169" spans="1:165" x14ac:dyDescent="0.2">
      <c r="A169" s="606" t="s">
        <v>453</v>
      </c>
      <c r="C169" s="54" t="s">
        <v>458</v>
      </c>
      <c r="D169" s="43">
        <f>$B$193</f>
        <v>0</v>
      </c>
      <c r="E169" s="43">
        <f t="shared" ref="E169:AG169" si="1570">D169-($D169-$AH169)/30</f>
        <v>0</v>
      </c>
      <c r="F169" s="43">
        <f t="shared" si="1570"/>
        <v>0</v>
      </c>
      <c r="G169" s="43">
        <f t="shared" si="1570"/>
        <v>0</v>
      </c>
      <c r="H169" s="43">
        <f t="shared" si="1570"/>
        <v>0</v>
      </c>
      <c r="I169" s="43">
        <f t="shared" si="1570"/>
        <v>0</v>
      </c>
      <c r="J169" s="43">
        <f t="shared" si="1570"/>
        <v>0</v>
      </c>
      <c r="K169" s="43">
        <f t="shared" si="1570"/>
        <v>0</v>
      </c>
      <c r="L169" s="43">
        <f t="shared" si="1570"/>
        <v>0</v>
      </c>
      <c r="M169" s="43">
        <f t="shared" si="1570"/>
        <v>0</v>
      </c>
      <c r="N169" s="43">
        <f t="shared" si="1570"/>
        <v>0</v>
      </c>
      <c r="O169" s="43">
        <f t="shared" si="1570"/>
        <v>0</v>
      </c>
      <c r="P169" s="43">
        <f t="shared" si="1570"/>
        <v>0</v>
      </c>
      <c r="Q169" s="43">
        <f t="shared" si="1570"/>
        <v>0</v>
      </c>
      <c r="R169" s="43">
        <f t="shared" si="1570"/>
        <v>0</v>
      </c>
      <c r="S169" s="43">
        <f t="shared" si="1570"/>
        <v>0</v>
      </c>
      <c r="T169" s="43">
        <f t="shared" si="1570"/>
        <v>0</v>
      </c>
      <c r="U169" s="43">
        <f t="shared" si="1570"/>
        <v>0</v>
      </c>
      <c r="V169" s="43">
        <f t="shared" si="1570"/>
        <v>0</v>
      </c>
      <c r="W169" s="43">
        <f t="shared" si="1570"/>
        <v>0</v>
      </c>
      <c r="X169" s="43">
        <f t="shared" si="1570"/>
        <v>0</v>
      </c>
      <c r="Y169" s="43">
        <f t="shared" si="1570"/>
        <v>0</v>
      </c>
      <c r="Z169" s="43">
        <f t="shared" si="1570"/>
        <v>0</v>
      </c>
      <c r="AA169" s="43">
        <f t="shared" si="1570"/>
        <v>0</v>
      </c>
      <c r="AB169" s="43">
        <f t="shared" si="1570"/>
        <v>0</v>
      </c>
      <c r="AC169" s="43">
        <f t="shared" si="1570"/>
        <v>0</v>
      </c>
      <c r="AD169" s="43">
        <f t="shared" si="1570"/>
        <v>0</v>
      </c>
      <c r="AE169" s="43">
        <f t="shared" si="1570"/>
        <v>0</v>
      </c>
      <c r="AF169" s="43">
        <f t="shared" si="1570"/>
        <v>0</v>
      </c>
      <c r="AG169" s="43">
        <f t="shared" si="1570"/>
        <v>0</v>
      </c>
      <c r="AH169" s="43">
        <f>$C$193</f>
        <v>0</v>
      </c>
      <c r="AI169" s="44"/>
      <c r="AJ169" s="43">
        <f t="shared" si="1524"/>
        <v>0</v>
      </c>
      <c r="AK169" s="43">
        <f t="shared" si="1462"/>
        <v>0</v>
      </c>
      <c r="AL169" s="43">
        <f t="shared" si="1463"/>
        <v>0</v>
      </c>
      <c r="AM169" s="43">
        <f t="shared" si="1464"/>
        <v>0</v>
      </c>
      <c r="AN169" s="43">
        <f t="shared" si="1465"/>
        <v>0</v>
      </c>
      <c r="AO169" s="43">
        <f t="shared" si="1466"/>
        <v>0</v>
      </c>
      <c r="AP169" s="43">
        <f t="shared" si="1467"/>
        <v>0</v>
      </c>
      <c r="AQ169" s="43">
        <f t="shared" si="1468"/>
        <v>0</v>
      </c>
      <c r="AR169" s="43">
        <f t="shared" si="1469"/>
        <v>0</v>
      </c>
      <c r="AS169" s="43">
        <f t="shared" si="1470"/>
        <v>0</v>
      </c>
      <c r="AT169" s="43">
        <f t="shared" si="1471"/>
        <v>0</v>
      </c>
      <c r="AU169" s="43">
        <f t="shared" si="1472"/>
        <v>0</v>
      </c>
      <c r="AV169" s="43">
        <f t="shared" si="1473"/>
        <v>0</v>
      </c>
      <c r="AW169" s="43">
        <f t="shared" si="1474"/>
        <v>0</v>
      </c>
      <c r="AX169" s="43">
        <f t="shared" si="1475"/>
        <v>0</v>
      </c>
      <c r="AY169" s="43">
        <f t="shared" si="1476"/>
        <v>0</v>
      </c>
      <c r="AZ169" s="43">
        <f t="shared" si="1477"/>
        <v>0</v>
      </c>
      <c r="BA169" s="43">
        <f t="shared" si="1478"/>
        <v>0</v>
      </c>
      <c r="BB169" s="43">
        <f t="shared" si="1479"/>
        <v>0</v>
      </c>
      <c r="BC169" s="43">
        <f t="shared" si="1480"/>
        <v>0</v>
      </c>
      <c r="BD169" s="43">
        <f t="shared" si="1481"/>
        <v>0</v>
      </c>
      <c r="BE169" s="43">
        <f t="shared" si="1482"/>
        <v>0</v>
      </c>
      <c r="BF169" s="43">
        <f t="shared" si="1483"/>
        <v>0</v>
      </c>
      <c r="BG169" s="43">
        <f t="shared" si="1484"/>
        <v>0</v>
      </c>
      <c r="BH169" s="43">
        <f t="shared" si="1485"/>
        <v>0</v>
      </c>
      <c r="BI169" s="43">
        <f t="shared" si="1486"/>
        <v>0</v>
      </c>
      <c r="BJ169" s="43">
        <f t="shared" si="1487"/>
        <v>0</v>
      </c>
      <c r="BK169" s="43">
        <f t="shared" si="1488"/>
        <v>0</v>
      </c>
      <c r="BL169" s="43">
        <f t="shared" si="1489"/>
        <v>0</v>
      </c>
      <c r="BM169" s="43">
        <f t="shared" si="1490"/>
        <v>0</v>
      </c>
      <c r="BN169" s="43">
        <f t="shared" si="1491"/>
        <v>0</v>
      </c>
      <c r="BP169" s="43">
        <f t="shared" si="1525"/>
        <v>0</v>
      </c>
      <c r="BQ169" s="43">
        <f t="shared" ref="BQ169:CS169" si="1571">BP169-($BP169-$CT169)/30</f>
        <v>0</v>
      </c>
      <c r="BR169" s="43">
        <f t="shared" si="1571"/>
        <v>0</v>
      </c>
      <c r="BS169" s="43">
        <f t="shared" si="1571"/>
        <v>0</v>
      </c>
      <c r="BT169" s="43">
        <f t="shared" si="1571"/>
        <v>0</v>
      </c>
      <c r="BU169" s="43">
        <f t="shared" si="1571"/>
        <v>0</v>
      </c>
      <c r="BV169" s="43">
        <f t="shared" si="1571"/>
        <v>0</v>
      </c>
      <c r="BW169" s="43">
        <f t="shared" si="1571"/>
        <v>0</v>
      </c>
      <c r="BX169" s="43">
        <f t="shared" si="1571"/>
        <v>0</v>
      </c>
      <c r="BY169" s="43">
        <f t="shared" si="1571"/>
        <v>0</v>
      </c>
      <c r="BZ169" s="43">
        <f t="shared" si="1571"/>
        <v>0</v>
      </c>
      <c r="CA169" s="43">
        <f t="shared" si="1571"/>
        <v>0</v>
      </c>
      <c r="CB169" s="43">
        <f t="shared" si="1571"/>
        <v>0</v>
      </c>
      <c r="CC169" s="43">
        <f t="shared" si="1571"/>
        <v>0</v>
      </c>
      <c r="CD169" s="43">
        <f t="shared" si="1571"/>
        <v>0</v>
      </c>
      <c r="CE169" s="43">
        <f t="shared" si="1571"/>
        <v>0</v>
      </c>
      <c r="CF169" s="43">
        <f t="shared" si="1571"/>
        <v>0</v>
      </c>
      <c r="CG169" s="43">
        <f t="shared" si="1571"/>
        <v>0</v>
      </c>
      <c r="CH169" s="43">
        <f t="shared" si="1571"/>
        <v>0</v>
      </c>
      <c r="CI169" s="43">
        <f t="shared" si="1571"/>
        <v>0</v>
      </c>
      <c r="CJ169" s="43">
        <f t="shared" si="1571"/>
        <v>0</v>
      </c>
      <c r="CK169" s="43">
        <f t="shared" si="1571"/>
        <v>0</v>
      </c>
      <c r="CL169" s="43">
        <f t="shared" si="1571"/>
        <v>0</v>
      </c>
      <c r="CM169" s="43">
        <f t="shared" si="1571"/>
        <v>0</v>
      </c>
      <c r="CN169" s="43">
        <f t="shared" si="1571"/>
        <v>0</v>
      </c>
      <c r="CO169" s="43">
        <f t="shared" si="1571"/>
        <v>0</v>
      </c>
      <c r="CP169" s="43">
        <f t="shared" si="1571"/>
        <v>0</v>
      </c>
      <c r="CQ169" s="43">
        <f t="shared" si="1571"/>
        <v>0</v>
      </c>
      <c r="CR169" s="43">
        <f t="shared" si="1571"/>
        <v>0</v>
      </c>
      <c r="CS169" s="43">
        <f t="shared" si="1571"/>
        <v>0</v>
      </c>
      <c r="CT169" s="43">
        <f t="shared" si="1534"/>
        <v>0</v>
      </c>
      <c r="CV169" s="43">
        <f t="shared" si="1537"/>
        <v>0</v>
      </c>
      <c r="CW169" s="43">
        <f t="shared" si="1538"/>
        <v>0</v>
      </c>
      <c r="CX169" s="43">
        <f t="shared" si="1539"/>
        <v>0</v>
      </c>
      <c r="CY169" s="43">
        <f t="shared" si="1540"/>
        <v>0</v>
      </c>
      <c r="CZ169" s="43">
        <f t="shared" si="1541"/>
        <v>0</v>
      </c>
      <c r="DA169" s="43">
        <f t="shared" si="1542"/>
        <v>0</v>
      </c>
      <c r="DB169" s="43">
        <f t="shared" si="1543"/>
        <v>0</v>
      </c>
      <c r="DC169" s="43">
        <f t="shared" si="1544"/>
        <v>0</v>
      </c>
      <c r="DD169" s="43">
        <f t="shared" si="1545"/>
        <v>0</v>
      </c>
      <c r="DE169" s="43">
        <f t="shared" si="1546"/>
        <v>0</v>
      </c>
      <c r="DF169" s="43">
        <f t="shared" si="1547"/>
        <v>0</v>
      </c>
      <c r="DG169" s="43">
        <f t="shared" si="1548"/>
        <v>0</v>
      </c>
      <c r="DH169" s="43">
        <f t="shared" si="1549"/>
        <v>0</v>
      </c>
      <c r="DI169" s="43">
        <f t="shared" si="1550"/>
        <v>0</v>
      </c>
      <c r="DJ169" s="43">
        <f t="shared" si="1551"/>
        <v>0</v>
      </c>
      <c r="DK169" s="43">
        <f t="shared" si="1552"/>
        <v>0</v>
      </c>
      <c r="DL169" s="43">
        <f t="shared" si="1553"/>
        <v>0</v>
      </c>
      <c r="DM169" s="43">
        <f t="shared" si="1554"/>
        <v>0</v>
      </c>
      <c r="DN169" s="43">
        <f t="shared" si="1555"/>
        <v>0</v>
      </c>
      <c r="DO169" s="43">
        <f t="shared" si="1556"/>
        <v>0</v>
      </c>
      <c r="DP169" s="43">
        <f t="shared" si="1557"/>
        <v>0</v>
      </c>
      <c r="DQ169" s="43">
        <f t="shared" si="1558"/>
        <v>0</v>
      </c>
      <c r="DR169" s="43">
        <f t="shared" si="1559"/>
        <v>0</v>
      </c>
      <c r="DS169" s="43">
        <f t="shared" si="1560"/>
        <v>0</v>
      </c>
      <c r="DT169" s="43">
        <f t="shared" si="1561"/>
        <v>0</v>
      </c>
      <c r="DU169" s="43">
        <f t="shared" si="1562"/>
        <v>0</v>
      </c>
      <c r="DV169" s="43">
        <f t="shared" si="1563"/>
        <v>0</v>
      </c>
      <c r="DW169" s="43">
        <f t="shared" si="1564"/>
        <v>0</v>
      </c>
      <c r="DX169" s="43">
        <f t="shared" si="1565"/>
        <v>0</v>
      </c>
      <c r="DY169" s="43">
        <f t="shared" si="1566"/>
        <v>0</v>
      </c>
      <c r="DZ169" s="43">
        <f t="shared" si="1569"/>
        <v>0</v>
      </c>
    </row>
    <row r="170" spans="1:165" ht="16" thickBot="1" x14ac:dyDescent="0.25">
      <c r="A170" s="606" t="s">
        <v>454</v>
      </c>
      <c r="C170" s="54" t="s">
        <v>458</v>
      </c>
      <c r="D170" s="43">
        <f>$B$194</f>
        <v>0</v>
      </c>
      <c r="E170" s="43">
        <f t="shared" ref="E170:AG170" si="1572">D170-($D170-$AH170)/30</f>
        <v>0</v>
      </c>
      <c r="F170" s="43">
        <f t="shared" si="1572"/>
        <v>0</v>
      </c>
      <c r="G170" s="43">
        <f t="shared" si="1572"/>
        <v>0</v>
      </c>
      <c r="H170" s="43">
        <f t="shared" si="1572"/>
        <v>0</v>
      </c>
      <c r="I170" s="43">
        <f t="shared" si="1572"/>
        <v>0</v>
      </c>
      <c r="J170" s="43">
        <f t="shared" si="1572"/>
        <v>0</v>
      </c>
      <c r="K170" s="43">
        <f t="shared" si="1572"/>
        <v>0</v>
      </c>
      <c r="L170" s="43">
        <f t="shared" si="1572"/>
        <v>0</v>
      </c>
      <c r="M170" s="43">
        <f t="shared" si="1572"/>
        <v>0</v>
      </c>
      <c r="N170" s="43">
        <f t="shared" si="1572"/>
        <v>0</v>
      </c>
      <c r="O170" s="43">
        <f t="shared" si="1572"/>
        <v>0</v>
      </c>
      <c r="P170" s="43">
        <f t="shared" si="1572"/>
        <v>0</v>
      </c>
      <c r="Q170" s="43">
        <f t="shared" si="1572"/>
        <v>0</v>
      </c>
      <c r="R170" s="43">
        <f t="shared" si="1572"/>
        <v>0</v>
      </c>
      <c r="S170" s="43">
        <f t="shared" si="1572"/>
        <v>0</v>
      </c>
      <c r="T170" s="43">
        <f t="shared" si="1572"/>
        <v>0</v>
      </c>
      <c r="U170" s="43">
        <f t="shared" si="1572"/>
        <v>0</v>
      </c>
      <c r="V170" s="43">
        <f t="shared" si="1572"/>
        <v>0</v>
      </c>
      <c r="W170" s="43">
        <f t="shared" si="1572"/>
        <v>0</v>
      </c>
      <c r="X170" s="43">
        <f t="shared" si="1572"/>
        <v>0</v>
      </c>
      <c r="Y170" s="43">
        <f t="shared" si="1572"/>
        <v>0</v>
      </c>
      <c r="Z170" s="43">
        <f t="shared" si="1572"/>
        <v>0</v>
      </c>
      <c r="AA170" s="43">
        <f t="shared" si="1572"/>
        <v>0</v>
      </c>
      <c r="AB170" s="43">
        <f t="shared" si="1572"/>
        <v>0</v>
      </c>
      <c r="AC170" s="43">
        <f t="shared" si="1572"/>
        <v>0</v>
      </c>
      <c r="AD170" s="43">
        <f t="shared" si="1572"/>
        <v>0</v>
      </c>
      <c r="AE170" s="43">
        <f t="shared" si="1572"/>
        <v>0</v>
      </c>
      <c r="AF170" s="43">
        <f t="shared" si="1572"/>
        <v>0</v>
      </c>
      <c r="AG170" s="43">
        <f t="shared" si="1572"/>
        <v>0</v>
      </c>
      <c r="AH170" s="43">
        <f>$C$194</f>
        <v>0</v>
      </c>
      <c r="AI170" s="44"/>
      <c r="AJ170" s="43">
        <f t="shared" si="1524"/>
        <v>0</v>
      </c>
      <c r="AK170" s="43">
        <f t="shared" si="1462"/>
        <v>0</v>
      </c>
      <c r="AL170" s="43">
        <f t="shared" si="1463"/>
        <v>0</v>
      </c>
      <c r="AM170" s="43">
        <f t="shared" si="1464"/>
        <v>0</v>
      </c>
      <c r="AN170" s="43">
        <f t="shared" si="1465"/>
        <v>0</v>
      </c>
      <c r="AO170" s="43">
        <f t="shared" si="1466"/>
        <v>0</v>
      </c>
      <c r="AP170" s="43">
        <f t="shared" si="1467"/>
        <v>0</v>
      </c>
      <c r="AQ170" s="43">
        <f t="shared" si="1468"/>
        <v>0</v>
      </c>
      <c r="AR170" s="43">
        <f t="shared" si="1469"/>
        <v>0</v>
      </c>
      <c r="AS170" s="43">
        <f t="shared" si="1470"/>
        <v>0</v>
      </c>
      <c r="AT170" s="43">
        <f t="shared" si="1471"/>
        <v>0</v>
      </c>
      <c r="AU170" s="43">
        <f t="shared" si="1472"/>
        <v>0</v>
      </c>
      <c r="AV170" s="43">
        <f t="shared" si="1473"/>
        <v>0</v>
      </c>
      <c r="AW170" s="43">
        <f t="shared" si="1474"/>
        <v>0</v>
      </c>
      <c r="AX170" s="43">
        <f t="shared" si="1475"/>
        <v>0</v>
      </c>
      <c r="AY170" s="43">
        <f t="shared" si="1476"/>
        <v>0</v>
      </c>
      <c r="AZ170" s="43">
        <f t="shared" si="1477"/>
        <v>0</v>
      </c>
      <c r="BA170" s="43">
        <f t="shared" si="1478"/>
        <v>0</v>
      </c>
      <c r="BB170" s="43">
        <f t="shared" si="1479"/>
        <v>0</v>
      </c>
      <c r="BC170" s="43">
        <f t="shared" si="1480"/>
        <v>0</v>
      </c>
      <c r="BD170" s="43">
        <f t="shared" si="1481"/>
        <v>0</v>
      </c>
      <c r="BE170" s="43">
        <f t="shared" si="1482"/>
        <v>0</v>
      </c>
      <c r="BF170" s="43">
        <f t="shared" si="1483"/>
        <v>0</v>
      </c>
      <c r="BG170" s="43">
        <f t="shared" si="1484"/>
        <v>0</v>
      </c>
      <c r="BH170" s="43">
        <f t="shared" si="1485"/>
        <v>0</v>
      </c>
      <c r="BI170" s="43">
        <f t="shared" si="1486"/>
        <v>0</v>
      </c>
      <c r="BJ170" s="43">
        <f t="shared" si="1487"/>
        <v>0</v>
      </c>
      <c r="BK170" s="43">
        <f t="shared" si="1488"/>
        <v>0</v>
      </c>
      <c r="BL170" s="43">
        <f t="shared" si="1489"/>
        <v>0</v>
      </c>
      <c r="BM170" s="43">
        <f t="shared" si="1490"/>
        <v>0</v>
      </c>
      <c r="BN170" s="43">
        <f t="shared" si="1491"/>
        <v>0</v>
      </c>
      <c r="BP170" s="43">
        <f t="shared" si="1525"/>
        <v>0</v>
      </c>
      <c r="BQ170" s="43">
        <f t="shared" ref="BQ170:CS170" si="1573">BP170-($BP170-$CT170)/30</f>
        <v>0</v>
      </c>
      <c r="BR170" s="43">
        <f t="shared" si="1573"/>
        <v>0</v>
      </c>
      <c r="BS170" s="43">
        <f t="shared" si="1573"/>
        <v>0</v>
      </c>
      <c r="BT170" s="43">
        <f t="shared" si="1573"/>
        <v>0</v>
      </c>
      <c r="BU170" s="43">
        <f t="shared" si="1573"/>
        <v>0</v>
      </c>
      <c r="BV170" s="43">
        <f t="shared" si="1573"/>
        <v>0</v>
      </c>
      <c r="BW170" s="43">
        <f t="shared" si="1573"/>
        <v>0</v>
      </c>
      <c r="BX170" s="43">
        <f t="shared" si="1573"/>
        <v>0</v>
      </c>
      <c r="BY170" s="43">
        <f t="shared" si="1573"/>
        <v>0</v>
      </c>
      <c r="BZ170" s="43">
        <f t="shared" si="1573"/>
        <v>0</v>
      </c>
      <c r="CA170" s="43">
        <f t="shared" si="1573"/>
        <v>0</v>
      </c>
      <c r="CB170" s="43">
        <f t="shared" si="1573"/>
        <v>0</v>
      </c>
      <c r="CC170" s="43">
        <f t="shared" si="1573"/>
        <v>0</v>
      </c>
      <c r="CD170" s="43">
        <f t="shared" si="1573"/>
        <v>0</v>
      </c>
      <c r="CE170" s="43">
        <f t="shared" si="1573"/>
        <v>0</v>
      </c>
      <c r="CF170" s="43">
        <f t="shared" si="1573"/>
        <v>0</v>
      </c>
      <c r="CG170" s="43">
        <f t="shared" si="1573"/>
        <v>0</v>
      </c>
      <c r="CH170" s="43">
        <f t="shared" si="1573"/>
        <v>0</v>
      </c>
      <c r="CI170" s="43">
        <f t="shared" si="1573"/>
        <v>0</v>
      </c>
      <c r="CJ170" s="43">
        <f t="shared" si="1573"/>
        <v>0</v>
      </c>
      <c r="CK170" s="43">
        <f t="shared" si="1573"/>
        <v>0</v>
      </c>
      <c r="CL170" s="43">
        <f t="shared" si="1573"/>
        <v>0</v>
      </c>
      <c r="CM170" s="43">
        <f t="shared" si="1573"/>
        <v>0</v>
      </c>
      <c r="CN170" s="43">
        <f t="shared" si="1573"/>
        <v>0</v>
      </c>
      <c r="CO170" s="43">
        <f t="shared" si="1573"/>
        <v>0</v>
      </c>
      <c r="CP170" s="43">
        <f t="shared" si="1573"/>
        <v>0</v>
      </c>
      <c r="CQ170" s="43">
        <f t="shared" si="1573"/>
        <v>0</v>
      </c>
      <c r="CR170" s="43">
        <f t="shared" si="1573"/>
        <v>0</v>
      </c>
      <c r="CS170" s="43">
        <f t="shared" si="1573"/>
        <v>0</v>
      </c>
      <c r="CT170" s="43">
        <f t="shared" si="1534"/>
        <v>0</v>
      </c>
      <c r="CV170" s="43">
        <f t="shared" si="1537"/>
        <v>0</v>
      </c>
      <c r="CW170" s="43">
        <f t="shared" si="1538"/>
        <v>0</v>
      </c>
      <c r="CX170" s="43">
        <f t="shared" si="1539"/>
        <v>0</v>
      </c>
      <c r="CY170" s="43">
        <f t="shared" si="1540"/>
        <v>0</v>
      </c>
      <c r="CZ170" s="43">
        <f t="shared" si="1541"/>
        <v>0</v>
      </c>
      <c r="DA170" s="43">
        <f t="shared" si="1542"/>
        <v>0</v>
      </c>
      <c r="DB170" s="43">
        <f t="shared" si="1543"/>
        <v>0</v>
      </c>
      <c r="DC170" s="43">
        <f t="shared" si="1544"/>
        <v>0</v>
      </c>
      <c r="DD170" s="43">
        <f t="shared" si="1545"/>
        <v>0</v>
      </c>
      <c r="DE170" s="43">
        <f t="shared" si="1546"/>
        <v>0</v>
      </c>
      <c r="DF170" s="43">
        <f t="shared" si="1547"/>
        <v>0</v>
      </c>
      <c r="DG170" s="43">
        <f t="shared" si="1548"/>
        <v>0</v>
      </c>
      <c r="DH170" s="43">
        <f t="shared" si="1549"/>
        <v>0</v>
      </c>
      <c r="DI170" s="43">
        <f t="shared" si="1550"/>
        <v>0</v>
      </c>
      <c r="DJ170" s="43">
        <f t="shared" si="1551"/>
        <v>0</v>
      </c>
      <c r="DK170" s="43">
        <f t="shared" si="1552"/>
        <v>0</v>
      </c>
      <c r="DL170" s="43">
        <f t="shared" si="1553"/>
        <v>0</v>
      </c>
      <c r="DM170" s="43">
        <f t="shared" si="1554"/>
        <v>0</v>
      </c>
      <c r="DN170" s="43">
        <f t="shared" si="1555"/>
        <v>0</v>
      </c>
      <c r="DO170" s="43">
        <f t="shared" si="1556"/>
        <v>0</v>
      </c>
      <c r="DP170" s="43">
        <f t="shared" si="1557"/>
        <v>0</v>
      </c>
      <c r="DQ170" s="43">
        <f t="shared" si="1558"/>
        <v>0</v>
      </c>
      <c r="DR170" s="43">
        <f t="shared" si="1559"/>
        <v>0</v>
      </c>
      <c r="DS170" s="43">
        <f t="shared" si="1560"/>
        <v>0</v>
      </c>
      <c r="DT170" s="43">
        <f t="shared" si="1561"/>
        <v>0</v>
      </c>
      <c r="DU170" s="43">
        <f t="shared" si="1562"/>
        <v>0</v>
      </c>
      <c r="DV170" s="43">
        <f t="shared" si="1563"/>
        <v>0</v>
      </c>
      <c r="DW170" s="43">
        <f t="shared" si="1564"/>
        <v>0</v>
      </c>
      <c r="DX170" s="43">
        <f t="shared" si="1565"/>
        <v>0</v>
      </c>
      <c r="DY170" s="43">
        <f t="shared" si="1566"/>
        <v>0</v>
      </c>
      <c r="DZ170" s="43">
        <f t="shared" si="1569"/>
        <v>0</v>
      </c>
    </row>
    <row r="171" spans="1:165" s="624" customFormat="1" ht="16" thickBot="1" x14ac:dyDescent="0.25">
      <c r="A171" s="623" t="s">
        <v>461</v>
      </c>
      <c r="C171" s="625"/>
      <c r="D171" s="626"/>
      <c r="E171" s="626"/>
      <c r="F171" s="626"/>
      <c r="G171" s="626"/>
      <c r="H171" s="626"/>
      <c r="I171" s="626"/>
      <c r="J171" s="626"/>
      <c r="K171" s="626"/>
      <c r="L171" s="626"/>
      <c r="M171" s="626"/>
      <c r="N171" s="626"/>
      <c r="O171" s="626"/>
      <c r="P171" s="626"/>
      <c r="Q171" s="626"/>
      <c r="R171" s="626"/>
      <c r="S171" s="626"/>
      <c r="T171" s="626"/>
      <c r="U171" s="626"/>
      <c r="V171" s="626"/>
      <c r="W171" s="626"/>
      <c r="X171" s="626"/>
      <c r="Y171" s="626"/>
      <c r="Z171" s="626"/>
      <c r="AA171" s="626"/>
      <c r="AB171" s="626"/>
      <c r="AC171" s="626"/>
      <c r="AD171" s="626"/>
      <c r="AE171" s="626"/>
      <c r="AF171" s="626"/>
      <c r="AG171" s="626"/>
      <c r="AH171" s="626"/>
      <c r="AI171" s="626"/>
      <c r="AJ171" s="626"/>
      <c r="AK171" s="626"/>
      <c r="AL171" s="626"/>
      <c r="AM171" s="626"/>
      <c r="AN171" s="626"/>
      <c r="AO171" s="626"/>
      <c r="AP171" s="626"/>
      <c r="AQ171" s="626"/>
      <c r="AR171" s="626"/>
      <c r="AS171" s="626"/>
      <c r="AT171" s="626"/>
      <c r="AU171" s="626"/>
      <c r="AV171" s="626"/>
      <c r="AW171" s="626"/>
      <c r="AX171" s="626"/>
      <c r="AY171" s="626"/>
      <c r="AZ171" s="626"/>
      <c r="BA171" s="626"/>
      <c r="BB171" s="626"/>
      <c r="BC171" s="626"/>
      <c r="BD171" s="626"/>
      <c r="BE171" s="626"/>
      <c r="BF171" s="626"/>
      <c r="BG171" s="626"/>
      <c r="BH171" s="626"/>
      <c r="BI171" s="626"/>
      <c r="BJ171" s="626"/>
      <c r="BK171" s="626"/>
      <c r="BL171" s="626"/>
      <c r="BM171" s="626"/>
      <c r="BN171" s="626"/>
      <c r="BP171" s="626"/>
      <c r="BQ171" s="626"/>
      <c r="BR171" s="626"/>
      <c r="BS171" s="626"/>
      <c r="BT171" s="626"/>
      <c r="BU171" s="626"/>
      <c r="BV171" s="626"/>
      <c r="BW171" s="626"/>
      <c r="BX171" s="626"/>
      <c r="BY171" s="626"/>
      <c r="BZ171" s="626"/>
      <c r="CA171" s="626"/>
      <c r="CB171" s="626"/>
      <c r="CC171" s="626"/>
      <c r="CD171" s="626"/>
      <c r="CE171" s="626"/>
      <c r="CF171" s="626"/>
      <c r="CG171" s="626"/>
      <c r="CH171" s="626"/>
      <c r="CI171" s="626"/>
      <c r="CJ171" s="626"/>
      <c r="CK171" s="626"/>
      <c r="CL171" s="626"/>
      <c r="CM171" s="626"/>
      <c r="CN171" s="626"/>
      <c r="CO171" s="626"/>
      <c r="CP171" s="626"/>
      <c r="CQ171" s="626"/>
      <c r="CR171" s="626"/>
      <c r="CS171" s="626"/>
      <c r="CT171" s="626"/>
      <c r="CV171" s="626"/>
      <c r="CW171" s="626"/>
      <c r="CX171" s="626"/>
      <c r="CY171" s="626"/>
      <c r="CZ171" s="626"/>
      <c r="DA171" s="626"/>
      <c r="DB171" s="626"/>
      <c r="DC171" s="626"/>
      <c r="DD171" s="626"/>
      <c r="DE171" s="626"/>
      <c r="DF171" s="626"/>
      <c r="DG171" s="626"/>
      <c r="DH171" s="626"/>
      <c r="DI171" s="626"/>
      <c r="DJ171" s="626"/>
      <c r="DK171" s="626"/>
      <c r="DL171" s="626"/>
      <c r="DM171" s="626"/>
      <c r="DN171" s="626"/>
      <c r="DO171" s="626"/>
      <c r="DP171" s="626"/>
      <c r="DQ171" s="626"/>
      <c r="DR171" s="626"/>
      <c r="DS171" s="626"/>
      <c r="DT171" s="626"/>
      <c r="DU171" s="626"/>
      <c r="DV171" s="626"/>
      <c r="DW171" s="626"/>
      <c r="DX171" s="626"/>
      <c r="DY171" s="626"/>
      <c r="DZ171" s="626"/>
      <c r="EK171" s="627"/>
      <c r="EL171" s="627"/>
      <c r="EM171" s="627"/>
      <c r="EN171" s="627"/>
      <c r="EO171" s="627"/>
      <c r="EP171" s="627"/>
      <c r="EQ171" s="627"/>
      <c r="ER171" s="627"/>
      <c r="ES171" s="627"/>
      <c r="ET171" s="627"/>
      <c r="EU171" s="627"/>
      <c r="EV171" s="627"/>
      <c r="EW171" s="627"/>
      <c r="EX171" s="627"/>
      <c r="EY171" s="627"/>
      <c r="EZ171" s="627"/>
      <c r="FA171" s="627"/>
      <c r="FB171" s="627"/>
      <c r="FC171" s="627"/>
      <c r="FD171" s="627"/>
      <c r="FE171" s="627"/>
      <c r="FF171" s="627"/>
      <c r="FG171" s="627"/>
      <c r="FH171" s="627"/>
      <c r="FI171" s="627"/>
    </row>
    <row r="172" spans="1:165" x14ac:dyDescent="0.2">
      <c r="A172" s="606" t="s">
        <v>193</v>
      </c>
      <c r="C172" s="54" t="s">
        <v>462</v>
      </c>
      <c r="D172" s="168">
        <f>'Butadiene Recycling HC'!C209/'Butadiene Recycling HC'!C207</f>
        <v>4.6954450224515588E-2</v>
      </c>
      <c r="E172" s="168">
        <f>'Butadiene Recycling HC'!D209/'Butadiene Recycling HC'!D207</f>
        <v>5.3343752941435077E-2</v>
      </c>
      <c r="F172" s="168">
        <f>'Butadiene Recycling HC'!E209/'Butadiene Recycling HC'!E207</f>
        <v>5.9738518042636579E-2</v>
      </c>
      <c r="G172" s="168">
        <f>'Butadiene Recycling HC'!F209/'Butadiene Recycling HC'!F207</f>
        <v>6.6138752536021403E-2</v>
      </c>
      <c r="H172" s="168">
        <f>'Butadiene Recycling HC'!G209/'Butadiene Recycling HC'!G207</f>
        <v>7.2544463441483617E-2</v>
      </c>
      <c r="I172" s="168">
        <f>'Butadiene Recycling HC'!H209/'Butadiene Recycling HC'!H207</f>
        <v>7.8955657790935746E-2</v>
      </c>
      <c r="J172" s="168">
        <f>'Butadiene Recycling HC'!I209/'Butadiene Recycling HC'!I207</f>
        <v>8.5696530867546389E-2</v>
      </c>
      <c r="K172" s="168">
        <f>'Butadiene Recycling HC'!J209/'Butadiene Recycling HC'!J207</f>
        <v>9.2494635455929355E-2</v>
      </c>
      <c r="L172" s="168">
        <f>'Butadiene Recycling HC'!K209/'Butadiene Recycling HC'!K207</f>
        <v>9.9350703525774561E-2</v>
      </c>
      <c r="M172" s="168">
        <f>'Butadiene Recycling HC'!L209/'Butadiene Recycling HC'!L207</f>
        <v>0.10626547958237285</v>
      </c>
      <c r="N172" s="168">
        <f>'Butadiene Recycling HC'!M209/'Butadiene Recycling HC'!M207</f>
        <v>0.11323972093612361</v>
      </c>
      <c r="O172" s="168">
        <f>'Butadiene Recycling HC'!N209/'Butadiene Recycling HC'!N207</f>
        <v>0.12031525497513103</v>
      </c>
      <c r="P172" s="168">
        <f>'Butadiene Recycling HC'!O209/'Butadiene Recycling HC'!O207</f>
        <v>0.1274422215239992</v>
      </c>
      <c r="Q172" s="168">
        <f>'Butadiene Recycling HC'!P209/'Butadiene Recycling HC'!P207</f>
        <v>0.13428598242901904</v>
      </c>
      <c r="R172" s="168">
        <f>'Butadiene Recycling HC'!Q209/'Butadiene Recycling HC'!Q207</f>
        <v>0.14116044981975567</v>
      </c>
      <c r="S172" s="168">
        <f>'Butadiene Recycling HC'!R209/'Butadiene Recycling HC'!R207</f>
        <v>0.14806631259299852</v>
      </c>
      <c r="T172" s="168">
        <f>'Butadiene Recycling HC'!S209/'Butadiene Recycling HC'!S207</f>
        <v>0.15497005425389609</v>
      </c>
      <c r="U172" s="168">
        <f>'Butadiene Recycling HC'!T209/'Butadiene Recycling HC'!T207</f>
        <v>0.16190302685249408</v>
      </c>
      <c r="V172" s="168">
        <f>'Butadiene Recycling HC'!U209/'Butadiene Recycling HC'!U207</f>
        <v>0.16886588113050402</v>
      </c>
      <c r="W172" s="168">
        <f>'Butadiene Recycling HC'!V209/'Butadiene Recycling HC'!V207</f>
        <v>0.17585928728987196</v>
      </c>
      <c r="X172" s="168">
        <f>'Butadiene Recycling HC'!W209/'Butadiene Recycling HC'!W207</f>
        <v>0.18288393572569808</v>
      </c>
      <c r="Y172" s="168">
        <f>'Butadiene Recycling HC'!X209/'Butadiene Recycling HC'!X207</f>
        <v>0.19001890879291219</v>
      </c>
      <c r="Z172" s="168">
        <f>'Butadiene Recycling HC'!Y209/'Butadiene Recycling HC'!Y207</f>
        <v>0.19711536702943358</v>
      </c>
      <c r="AA172" s="168">
        <f>'Butadiene Recycling HC'!Z209/'Butadiene Recycling HC'!Z207</f>
        <v>0.20308737213732195</v>
      </c>
      <c r="AB172" s="168">
        <f>'Butadiene Recycling HC'!AA209/'Butadiene Recycling HC'!AA207</f>
        <v>0.20899074998234837</v>
      </c>
      <c r="AC172" s="168">
        <f>'Butadiene Recycling HC'!AB209/'Butadiene Recycling HC'!AB207</f>
        <v>0.21482264511015045</v>
      </c>
      <c r="AD172" s="168">
        <f>'Butadiene Recycling HC'!AC209/'Butadiene Recycling HC'!AC207</f>
        <v>0.2206307938923924</v>
      </c>
      <c r="AE172" s="168">
        <f>'Butadiene Recycling HC'!AD209/'Butadiene Recycling HC'!AD207</f>
        <v>0.22636537957119549</v>
      </c>
      <c r="AF172" s="168">
        <f>'Butadiene Recycling HC'!AE209/'Butadiene Recycling HC'!AE207</f>
        <v>0.2320231538947797</v>
      </c>
      <c r="AG172" s="168">
        <f>'Butadiene Recycling HC'!AF209/'Butadiene Recycling HC'!AF207</f>
        <v>0.23760067451481878</v>
      </c>
      <c r="AH172" s="168">
        <f>'Butadiene Recycling HC'!AG209/'Butadiene Recycling HC'!AG207</f>
        <v>0.2430942902689881</v>
      </c>
      <c r="AI172" s="44"/>
      <c r="AJ172" s="168">
        <f>'Butadiene Recycling LC'!C209/'Butadiene Recycling LC'!C207</f>
        <v>4.6954450224515588E-2</v>
      </c>
      <c r="AK172" s="168">
        <f>'Butadiene Recycling LC'!D209/'Butadiene Recycling LC'!D207</f>
        <v>5.3339264620934981E-2</v>
      </c>
      <c r="AL172" s="168">
        <f>'Butadiene Recycling LC'!E209/'Butadiene Recycling LC'!E207</f>
        <v>5.972846184571666E-2</v>
      </c>
      <c r="AM172" s="168">
        <f>'Butadiene Recycling LC'!F209/'Butadiene Recycling LC'!F207</f>
        <v>6.612204641327056E-2</v>
      </c>
      <c r="AN172" s="168">
        <f>'Butadiene Recycling LC'!G209/'Butadiene Recycling LC'!G207</f>
        <v>7.2520022844208651E-2</v>
      </c>
      <c r="AO172" s="168">
        <f>'Butadiene Recycling LC'!H209/'Butadiene Recycling LC'!H207</f>
        <v>7.8922395665355749E-2</v>
      </c>
      <c r="AP172" s="168">
        <f>'Butadiene Recycling LC'!I209/'Butadiene Recycling LC'!I207</f>
        <v>8.5490792602515672E-2</v>
      </c>
      <c r="AQ172" s="168">
        <f>'Butadiene Recycling LC'!J209/'Butadiene Recycling LC'!J207</f>
        <v>9.2088661698431371E-2</v>
      </c>
      <c r="AR172" s="168">
        <f>'Butadiene Recycling LC'!K209/'Butadiene Recycling LC'!K207</f>
        <v>9.8716201759882896E-2</v>
      </c>
      <c r="AS172" s="168">
        <f>'Butadiene Recycling LC'!L209/'Butadiene Recycling LC'!L207</f>
        <v>0.105373613385769</v>
      </c>
      <c r="AT172" s="168">
        <f>'Butadiene Recycling LC'!M209/'Butadiene Recycling LC'!M207</f>
        <v>0.11206109898734655</v>
      </c>
      <c r="AU172" s="168">
        <f>'Butadiene Recycling LC'!N209/'Butadiene Recycling LC'!N207</f>
        <v>0.11880849149332165</v>
      </c>
      <c r="AV172" s="168">
        <f>'Butadiene Recycling LC'!O209/'Butadiene Recycling LC'!O207</f>
        <v>0.12557735857555472</v>
      </c>
      <c r="AW172" s="168">
        <f>'Butadiene Recycling LC'!P209/'Butadiene Recycling LC'!P207</f>
        <v>0.13221108385339705</v>
      </c>
      <c r="AX172" s="168">
        <f>'Butadiene Recycling LC'!Q209/'Butadiene Recycling LC'!Q207</f>
        <v>0.13886121046184441</v>
      </c>
      <c r="AY172" s="168">
        <f>'Butadiene Recycling LC'!R209/'Butadiene Recycling LC'!R207</f>
        <v>0.14552792858184097</v>
      </c>
      <c r="AZ172" s="168">
        <f>'Butadiene Recycling LC'!S209/'Butadiene Recycling LC'!S207</f>
        <v>0.15219510563513028</v>
      </c>
      <c r="BA172" s="168">
        <f>'Butadiene Recycling LC'!T209/'Butadiene Recycling LC'!T207</f>
        <v>0.1588776970436088</v>
      </c>
      <c r="BB172" s="168">
        <f>'Butadiene Recycling LC'!U209/'Butadiene Recycling LC'!U207</f>
        <v>0.16557587858441519</v>
      </c>
      <c r="BC172" s="168">
        <f>'Butadiene Recycling LC'!V209/'Butadiene Recycling LC'!V207</f>
        <v>0.17228982871751189</v>
      </c>
      <c r="BD172" s="168">
        <f>'Butadiene Recycling LC'!W209/'Butadiene Recycling LC'!W207</f>
        <v>0.17901972863706464</v>
      </c>
      <c r="BE172" s="168">
        <f>'Butadiene Recycling LC'!X209/'Butadiene Recycling LC'!X207</f>
        <v>0.18582889505783468</v>
      </c>
      <c r="BF172" s="168">
        <f>'Butadiene Recycling LC'!Y209/'Butadiene Recycling LC'!Y207</f>
        <v>0.19259622956286024</v>
      </c>
      <c r="BG172" s="168">
        <f>'Butadiene Recycling LC'!Z209/'Butadiene Recycling LC'!Z207</f>
        <v>0.19882053313309739</v>
      </c>
      <c r="BH172" s="168">
        <f>'Butadiene Recycling LC'!AA209/'Butadiene Recycling LC'!AA207</f>
        <v>0.20501880695127075</v>
      </c>
      <c r="BI172" s="168">
        <f>'Butadiene Recycling LC'!AB209/'Butadiene Recycling LC'!AB207</f>
        <v>0.21119052875051136</v>
      </c>
      <c r="BJ172" s="168">
        <f>'Butadiene Recycling LC'!AC209/'Butadiene Recycling LC'!AC207</f>
        <v>0.21735826014467075</v>
      </c>
      <c r="BK172" s="168">
        <f>'Butadiene Recycling LC'!AD209/'Butadiene Recycling LC'!AD207</f>
        <v>0.22349997963110838</v>
      </c>
      <c r="BL172" s="168">
        <f>'Butadiene Recycling LC'!AE209/'Butadiene Recycling LC'!AE207</f>
        <v>0.22961514603420682</v>
      </c>
      <c r="BM172" s="168">
        <f>'Butadiene Recycling LC'!AF209/'Butadiene Recycling LC'!AF207</f>
        <v>0.23570320306135992</v>
      </c>
      <c r="BN172" s="168">
        <f>'Butadiene Recycling LC'!AG209/'Butadiene Recycling LC'!AG207</f>
        <v>0.24176357877142066</v>
      </c>
      <c r="BP172" s="168">
        <f>'Butadiene Recycling HC'!C199/'Butadiene Recycling HC'!C197</f>
        <v>4.6954450224515588E-2</v>
      </c>
      <c r="BQ172" s="168">
        <f>'Butadiene Recycling HC'!D199/'Butadiene Recycling HC'!D197</f>
        <v>4.6190223967989281E-2</v>
      </c>
      <c r="BR172" s="168">
        <f>'Butadiene Recycling HC'!E199/'Butadiene Recycling HC'!E197</f>
        <v>4.5557526738842814E-2</v>
      </c>
      <c r="BS172" s="168">
        <f>'Butadiene Recycling HC'!F199/'Butadiene Recycling HC'!F197</f>
        <v>4.5051185132328447E-2</v>
      </c>
      <c r="BT172" s="168">
        <f>'Butadiene Recycling HC'!G199/'Butadiene Recycling HC'!G197</f>
        <v>4.4667078923813559E-2</v>
      </c>
      <c r="BU172" s="168">
        <f>'Butadiene Recycling HC'!H199/'Butadiene Recycling HC'!H197</f>
        <v>4.4402085153950381E-2</v>
      </c>
      <c r="BV172" s="168">
        <f>'Butadiene Recycling HC'!I199/'Butadiene Recycling HC'!I197</f>
        <v>4.4158765252327307E-2</v>
      </c>
      <c r="BW172" s="168">
        <f>'Butadiene Recycling HC'!J199/'Butadiene Recycling HC'!J197</f>
        <v>4.3936803886042416E-2</v>
      </c>
      <c r="BX172" s="168">
        <f>'Butadiene Recycling HC'!K199/'Butadiene Recycling HC'!K197</f>
        <v>4.3735916145373047E-2</v>
      </c>
      <c r="BY172" s="168">
        <f>'Butadiene Recycling HC'!L199/'Butadiene Recycling HC'!L197</f>
        <v>4.3555846942455193E-2</v>
      </c>
      <c r="BZ172" s="168">
        <f>'Butadiene Recycling HC'!M199/'Butadiene Recycling HC'!M197</f>
        <v>4.3396370479335859E-2</v>
      </c>
      <c r="CA172" s="168">
        <f>'Butadiene Recycling HC'!N199/'Butadiene Recycling HC'!N197</f>
        <v>4.3319270591275771E-2</v>
      </c>
      <c r="CB172" s="168">
        <f>'Butadiene Recycling HC'!O199/'Butadiene Recycling HC'!O197</f>
        <v>4.3324277945563025E-2</v>
      </c>
      <c r="CC172" s="168">
        <f>'Butadiene Recycling HC'!P199/'Butadiene Recycling HC'!P197</f>
        <v>4.3411590475281911E-2</v>
      </c>
      <c r="CD172" s="168">
        <f>'Butadiene Recycling HC'!Q199/'Butadiene Recycling HC'!Q197</f>
        <v>4.3581876872189639E-2</v>
      </c>
      <c r="CE172" s="168">
        <f>'Butadiene Recycling HC'!R199/'Butadiene Recycling HC'!R197</f>
        <v>4.3836284589963539E-2</v>
      </c>
      <c r="CF172" s="168">
        <f>'Butadiene Recycling HC'!S199/'Butadiene Recycling HC'!S197</f>
        <v>4.4097004243949439E-2</v>
      </c>
      <c r="CG172" s="168">
        <f>'Butadiene Recycling HC'!T199/'Butadiene Recycling HC'!T197</f>
        <v>4.4364134086076118E-2</v>
      </c>
      <c r="CH172" s="168">
        <f>'Butadiene Recycling HC'!U199/'Butadiene Recycling HC'!U197</f>
        <v>4.4637775131953647E-2</v>
      </c>
      <c r="CI172" s="168">
        <f>'Butadiene Recycling HC'!V199/'Butadiene Recycling HC'!V197</f>
        <v>4.4918031225020583E-2</v>
      </c>
      <c r="CJ172" s="168">
        <f>'Butadiene Recycling HC'!W199/'Butadiene Recycling HC'!W197</f>
        <v>4.520500910271609E-2</v>
      </c>
      <c r="CK172" s="168">
        <f>'Butadiene Recycling HC'!X199/'Butadiene Recycling HC'!X197</f>
        <v>4.5498317327535384E-2</v>
      </c>
      <c r="CL172" s="168">
        <f>'Butadiene Recycling HC'!Y199/'Butadiene Recycling HC'!Y197</f>
        <v>4.5798057947093192E-2</v>
      </c>
      <c r="CM172" s="168">
        <f>'Butadiene Recycling HC'!Z199/'Butadiene Recycling HC'!Z197</f>
        <v>4.6104335644858309E-2</v>
      </c>
      <c r="CN172" s="168">
        <f>'Butadiene Recycling HC'!AA199/'Butadiene Recycling HC'!AA197</f>
        <v>4.6417257801439599E-2</v>
      </c>
      <c r="CO172" s="168">
        <f>'Butadiene Recycling HC'!AB199/'Butadiene Recycling HC'!AB197</f>
        <v>4.6736934557681548E-2</v>
      </c>
      <c r="CP172" s="168">
        <f>'Butadiene Recycling HC'!AC199/'Butadiene Recycling HC'!AC197</f>
        <v>4.7063033934545175E-2</v>
      </c>
      <c r="CQ172" s="168">
        <f>'Butadiene Recycling HC'!AD199/'Butadiene Recycling HC'!AD197</f>
        <v>4.7395661750320041E-2</v>
      </c>
      <c r="CR172" s="168">
        <f>'Butadiene Recycling HC'!AE199/'Butadiene Recycling HC'!AE197</f>
        <v>4.773492637778206E-2</v>
      </c>
      <c r="CS172" s="168">
        <f>'Butadiene Recycling HC'!AF199/'Butadiene Recycling HC'!AF197</f>
        <v>4.8080938803199608E-2</v>
      </c>
      <c r="CT172" s="168">
        <f>'Butadiene Recycling HC'!AG199/'Butadiene Recycling HC'!AG197</f>
        <v>4.8433812686989208E-2</v>
      </c>
      <c r="CV172" s="168">
        <f>'Butadiene Recycling LC'!C209/'Butadiene Recycling HC'!C197</f>
        <v>4.6954450224515588E-2</v>
      </c>
      <c r="CW172" s="168">
        <f>'Butadiene Recycling LC'!D209/'Butadiene Recycling HC'!D197</f>
        <v>5.3320969924936491E-2</v>
      </c>
      <c r="CX172" s="168">
        <f>'Butadiene Recycling LC'!E209/'Butadiene Recycling HC'!E197</f>
        <v>5.9687489625357387E-2</v>
      </c>
      <c r="CY172" s="168">
        <f>'Butadiene Recycling LC'!F209/'Butadiene Recycling HC'!F197</f>
        <v>6.6054009325778276E-2</v>
      </c>
      <c r="CZ172" s="168">
        <f>'Butadiene Recycling LC'!G209/'Butadiene Recycling HC'!G197</f>
        <v>7.2420529026199151E-2</v>
      </c>
      <c r="DA172" s="168">
        <f>'Butadiene Recycling LC'!H209/'Butadiene Recycling HC'!H197</f>
        <v>7.8787048726620096E-2</v>
      </c>
      <c r="DB172" s="168">
        <f>'Butadiene Recycling LC'!I209/'Butadiene Recycling HC'!I197</f>
        <v>8.5153568427040971E-2</v>
      </c>
      <c r="DC172" s="168">
        <f>'Butadiene Recycling LC'!J209/'Butadiene Recycling HC'!J197</f>
        <v>9.1520088127461874E-2</v>
      </c>
      <c r="DD172" s="168">
        <f>'Butadiene Recycling LC'!K209/'Butadiene Recycling HC'!K197</f>
        <v>9.7886607827882777E-2</v>
      </c>
      <c r="DE172" s="168">
        <f>'Butadiene Recycling LC'!L209/'Butadiene Recycling HC'!L197</f>
        <v>0.10425312752830364</v>
      </c>
      <c r="DF172" s="168">
        <f>'Butadiene Recycling LC'!M209/'Butadiene Recycling HC'!M197</f>
        <v>0.11061964722872458</v>
      </c>
      <c r="DG172" s="168">
        <f>'Butadiene Recycling LC'!N209/'Butadiene Recycling HC'!N197</f>
        <v>0.11698616692914544</v>
      </c>
      <c r="DH172" s="168">
        <f>'Butadiene Recycling LC'!O209/'Butadiene Recycling HC'!O197</f>
        <v>0.12335268662956633</v>
      </c>
      <c r="DI172" s="168">
        <f>'Butadiene Recycling LC'!P209/'Butadiene Recycling HC'!P197</f>
        <v>0.1293726824873303</v>
      </c>
      <c r="DJ172" s="168">
        <f>'Butadiene Recycling LC'!Q209/'Butadiene Recycling HC'!Q197</f>
        <v>0.13535887114093267</v>
      </c>
      <c r="DK172" s="168">
        <f>'Butadiene Recycling LC'!R209/'Butadiene Recycling HC'!R197</f>
        <v>0.1413112525903733</v>
      </c>
      <c r="DL172" s="168">
        <f>'Butadiene Recycling LC'!S209/'Butadiene Recycling HC'!S197</f>
        <v>0.14722982683565231</v>
      </c>
      <c r="DM172" s="168">
        <f>'Butadiene Recycling LC'!T209/'Butadiene Recycling HC'!T197</f>
        <v>0.15311459387676973</v>
      </c>
      <c r="DN172" s="168">
        <f>'Butadiene Recycling LC'!U209/'Butadiene Recycling HC'!U197</f>
        <v>0.15896555371372542</v>
      </c>
      <c r="DO172" s="168">
        <f>'Butadiene Recycling LC'!V209/'Butadiene Recycling HC'!V197</f>
        <v>0.16478270634651954</v>
      </c>
      <c r="DP172" s="168">
        <f>'Butadiene Recycling LC'!W209/'Butadiene Recycling HC'!W197</f>
        <v>0.17056605177515191</v>
      </c>
      <c r="DQ172" s="168">
        <f>'Butadiene Recycling LC'!X209/'Butadiene Recycling HC'!X197</f>
        <v>0.17631558999962268</v>
      </c>
      <c r="DR172" s="168">
        <f>'Butadiene Recycling LC'!Y209/'Butadiene Recycling HC'!Y197</f>
        <v>0.1820313210199318</v>
      </c>
      <c r="DS172" s="168">
        <f>'Butadiene Recycling LC'!Z209/'Butadiene Recycling HC'!Z197</f>
        <v>0.18668212510914889</v>
      </c>
      <c r="DT172" s="168">
        <f>'Butadiene Recycling LC'!AA209/'Butadiene Recycling HC'!AA197</f>
        <v>0.19123150758588106</v>
      </c>
      <c r="DU172" s="168">
        <f>'Butadiene Recycling LC'!AB209/'Butadiene Recycling HC'!AB197</f>
        <v>0.19567946845012824</v>
      </c>
      <c r="DV172" s="168">
        <f>'Butadiene Recycling LC'!AC209/'Butadiene Recycling HC'!AC197</f>
        <v>0.20002600770189047</v>
      </c>
      <c r="DW172" s="168">
        <f>'Butadiene Recycling LC'!AD209/'Butadiene Recycling HC'!AD197</f>
        <v>0.20427112534116776</v>
      </c>
      <c r="DX172" s="168">
        <f>'Butadiene Recycling LC'!AE209/'Butadiene Recycling HC'!AE197</f>
        <v>0.20841482136796008</v>
      </c>
      <c r="DY172" s="168">
        <f>'Butadiene Recycling LC'!AF209/'Butadiene Recycling HC'!AF197</f>
        <v>0.21245709578226743</v>
      </c>
      <c r="DZ172" s="168">
        <f>'Butadiene Recycling LC'!AG209/'Butadiene Recycling HC'!AG197</f>
        <v>0.21639794858408989</v>
      </c>
    </row>
    <row r="173" spans="1:165" x14ac:dyDescent="0.2">
      <c r="A173" s="606" t="s">
        <v>88</v>
      </c>
      <c r="C173" s="54" t="s">
        <v>462</v>
      </c>
      <c r="D173" s="168">
        <f>0</f>
        <v>0</v>
      </c>
      <c r="E173" s="168">
        <f>0</f>
        <v>0</v>
      </c>
      <c r="F173" s="168">
        <f>0</f>
        <v>0</v>
      </c>
      <c r="G173" s="168">
        <f>0</f>
        <v>0</v>
      </c>
      <c r="H173" s="168">
        <f>0</f>
        <v>0</v>
      </c>
      <c r="I173" s="168">
        <f>0</f>
        <v>0</v>
      </c>
      <c r="J173" s="168">
        <f>0</f>
        <v>0</v>
      </c>
      <c r="K173" s="168">
        <f>0</f>
        <v>0</v>
      </c>
      <c r="L173" s="168">
        <f>0</f>
        <v>0</v>
      </c>
      <c r="M173" s="168">
        <f>0</f>
        <v>0</v>
      </c>
      <c r="N173" s="168">
        <f>0</f>
        <v>0</v>
      </c>
      <c r="O173" s="168">
        <f>0</f>
        <v>0</v>
      </c>
      <c r="P173" s="168">
        <f>0</f>
        <v>0</v>
      </c>
      <c r="Q173" s="168">
        <f>0</f>
        <v>0</v>
      </c>
      <c r="R173" s="168">
        <f>0</f>
        <v>0</v>
      </c>
      <c r="S173" s="168">
        <f>0</f>
        <v>0</v>
      </c>
      <c r="T173" s="168">
        <f>0</f>
        <v>0</v>
      </c>
      <c r="U173" s="168">
        <f>0</f>
        <v>0</v>
      </c>
      <c r="V173" s="168">
        <f>0</f>
        <v>0</v>
      </c>
      <c r="W173" s="168">
        <f>0</f>
        <v>0</v>
      </c>
      <c r="X173" s="168">
        <f>0</f>
        <v>0</v>
      </c>
      <c r="Y173" s="168">
        <f>0</f>
        <v>0</v>
      </c>
      <c r="Z173" s="168">
        <f>0</f>
        <v>0</v>
      </c>
      <c r="AA173" s="168">
        <f>0</f>
        <v>0</v>
      </c>
      <c r="AB173" s="168">
        <f>0</f>
        <v>0</v>
      </c>
      <c r="AC173" s="168">
        <f>0</f>
        <v>0</v>
      </c>
      <c r="AD173" s="168">
        <f>0</f>
        <v>0</v>
      </c>
      <c r="AE173" s="168">
        <f>0</f>
        <v>0</v>
      </c>
      <c r="AF173" s="168">
        <f>0</f>
        <v>0</v>
      </c>
      <c r="AG173" s="168">
        <f>0</f>
        <v>0</v>
      </c>
      <c r="AH173" s="168">
        <f>0</f>
        <v>0</v>
      </c>
      <c r="AI173" s="44"/>
      <c r="AJ173" s="168">
        <v>0</v>
      </c>
      <c r="AK173" s="168">
        <v>0</v>
      </c>
      <c r="AL173" s="168">
        <v>0</v>
      </c>
      <c r="AM173" s="168">
        <v>0</v>
      </c>
      <c r="AN173" s="168">
        <v>0</v>
      </c>
      <c r="AO173" s="168">
        <v>0</v>
      </c>
      <c r="AP173" s="168">
        <v>0</v>
      </c>
      <c r="AQ173" s="168">
        <v>0</v>
      </c>
      <c r="AR173" s="168">
        <v>0</v>
      </c>
      <c r="AS173" s="168">
        <v>0</v>
      </c>
      <c r="AT173" s="168">
        <v>0</v>
      </c>
      <c r="AU173" s="168">
        <v>0</v>
      </c>
      <c r="AV173" s="168">
        <v>0</v>
      </c>
      <c r="AW173" s="168">
        <v>0</v>
      </c>
      <c r="AX173" s="168">
        <v>0</v>
      </c>
      <c r="AY173" s="168">
        <v>0</v>
      </c>
      <c r="AZ173" s="168">
        <v>0</v>
      </c>
      <c r="BA173" s="168">
        <v>0</v>
      </c>
      <c r="BB173" s="168">
        <v>0</v>
      </c>
      <c r="BC173" s="168">
        <v>0</v>
      </c>
      <c r="BD173" s="168">
        <v>0</v>
      </c>
      <c r="BE173" s="168">
        <v>0</v>
      </c>
      <c r="BF173" s="168">
        <v>0</v>
      </c>
      <c r="BG173" s="168">
        <v>0</v>
      </c>
      <c r="BH173" s="168">
        <v>0</v>
      </c>
      <c r="BI173" s="168">
        <v>0</v>
      </c>
      <c r="BJ173" s="168">
        <v>0</v>
      </c>
      <c r="BK173" s="168">
        <v>0</v>
      </c>
      <c r="BL173" s="168">
        <v>0</v>
      </c>
      <c r="BM173" s="168">
        <v>0</v>
      </c>
      <c r="BN173" s="168">
        <v>0</v>
      </c>
      <c r="BP173" s="168">
        <f>0</f>
        <v>0</v>
      </c>
      <c r="BQ173" s="168">
        <f>0</f>
        <v>0</v>
      </c>
      <c r="BR173" s="168">
        <f>0</f>
        <v>0</v>
      </c>
      <c r="BS173" s="168">
        <f>0</f>
        <v>0</v>
      </c>
      <c r="BT173" s="168">
        <f>0</f>
        <v>0</v>
      </c>
      <c r="BU173" s="168">
        <f>0</f>
        <v>0</v>
      </c>
      <c r="BV173" s="168">
        <f>0</f>
        <v>0</v>
      </c>
      <c r="BW173" s="168">
        <f>0</f>
        <v>0</v>
      </c>
      <c r="BX173" s="168">
        <f>0</f>
        <v>0</v>
      </c>
      <c r="BY173" s="168">
        <f>0</f>
        <v>0</v>
      </c>
      <c r="BZ173" s="168">
        <f>0</f>
        <v>0</v>
      </c>
      <c r="CA173" s="168">
        <f>0</f>
        <v>0</v>
      </c>
      <c r="CB173" s="168">
        <f>0</f>
        <v>0</v>
      </c>
      <c r="CC173" s="168">
        <f>0</f>
        <v>0</v>
      </c>
      <c r="CD173" s="168">
        <f>0</f>
        <v>0</v>
      </c>
      <c r="CE173" s="168">
        <f>0</f>
        <v>0</v>
      </c>
      <c r="CF173" s="168">
        <f>0</f>
        <v>0</v>
      </c>
      <c r="CG173" s="168">
        <f>0</f>
        <v>0</v>
      </c>
      <c r="CH173" s="168">
        <f>0</f>
        <v>0</v>
      </c>
      <c r="CI173" s="168">
        <f>0</f>
        <v>0</v>
      </c>
      <c r="CJ173" s="168">
        <f>0</f>
        <v>0</v>
      </c>
      <c r="CK173" s="168">
        <f>0</f>
        <v>0</v>
      </c>
      <c r="CL173" s="168">
        <f>0</f>
        <v>0</v>
      </c>
      <c r="CM173" s="168">
        <f>0</f>
        <v>0</v>
      </c>
      <c r="CN173" s="168">
        <f>0</f>
        <v>0</v>
      </c>
      <c r="CO173" s="168">
        <f>0</f>
        <v>0</v>
      </c>
      <c r="CP173" s="168">
        <f>0</f>
        <v>0</v>
      </c>
      <c r="CQ173" s="168">
        <f>0</f>
        <v>0</v>
      </c>
      <c r="CR173" s="168">
        <f>0</f>
        <v>0</v>
      </c>
      <c r="CS173" s="168">
        <f>0</f>
        <v>0</v>
      </c>
      <c r="CT173" s="168">
        <f>0</f>
        <v>0</v>
      </c>
      <c r="CV173" s="168">
        <f>BP173</f>
        <v>0</v>
      </c>
      <c r="CW173" s="168">
        <f t="shared" ref="CW173:DZ173" si="1574">BQ173</f>
        <v>0</v>
      </c>
      <c r="CX173" s="168">
        <f t="shared" si="1574"/>
        <v>0</v>
      </c>
      <c r="CY173" s="168">
        <f t="shared" si="1574"/>
        <v>0</v>
      </c>
      <c r="CZ173" s="168">
        <f t="shared" si="1574"/>
        <v>0</v>
      </c>
      <c r="DA173" s="168">
        <f t="shared" si="1574"/>
        <v>0</v>
      </c>
      <c r="DB173" s="168">
        <f t="shared" si="1574"/>
        <v>0</v>
      </c>
      <c r="DC173" s="168">
        <f t="shared" si="1574"/>
        <v>0</v>
      </c>
      <c r="DD173" s="168">
        <f t="shared" si="1574"/>
        <v>0</v>
      </c>
      <c r="DE173" s="168">
        <f t="shared" si="1574"/>
        <v>0</v>
      </c>
      <c r="DF173" s="168">
        <f t="shared" si="1574"/>
        <v>0</v>
      </c>
      <c r="DG173" s="168">
        <f t="shared" si="1574"/>
        <v>0</v>
      </c>
      <c r="DH173" s="168">
        <f t="shared" si="1574"/>
        <v>0</v>
      </c>
      <c r="DI173" s="168">
        <f t="shared" si="1574"/>
        <v>0</v>
      </c>
      <c r="DJ173" s="168">
        <f t="shared" si="1574"/>
        <v>0</v>
      </c>
      <c r="DK173" s="168">
        <f t="shared" si="1574"/>
        <v>0</v>
      </c>
      <c r="DL173" s="168">
        <f t="shared" si="1574"/>
        <v>0</v>
      </c>
      <c r="DM173" s="168">
        <f t="shared" si="1574"/>
        <v>0</v>
      </c>
      <c r="DN173" s="168">
        <f t="shared" si="1574"/>
        <v>0</v>
      </c>
      <c r="DO173" s="168">
        <f t="shared" si="1574"/>
        <v>0</v>
      </c>
      <c r="DP173" s="168">
        <f t="shared" si="1574"/>
        <v>0</v>
      </c>
      <c r="DQ173" s="168">
        <f t="shared" si="1574"/>
        <v>0</v>
      </c>
      <c r="DR173" s="168">
        <f t="shared" si="1574"/>
        <v>0</v>
      </c>
      <c r="DS173" s="168">
        <f t="shared" si="1574"/>
        <v>0</v>
      </c>
      <c r="DT173" s="168">
        <f t="shared" si="1574"/>
        <v>0</v>
      </c>
      <c r="DU173" s="168">
        <f t="shared" si="1574"/>
        <v>0</v>
      </c>
      <c r="DV173" s="168">
        <f t="shared" si="1574"/>
        <v>0</v>
      </c>
      <c r="DW173" s="168">
        <f t="shared" si="1574"/>
        <v>0</v>
      </c>
      <c r="DX173" s="168">
        <f t="shared" si="1574"/>
        <v>0</v>
      </c>
      <c r="DY173" s="168">
        <f t="shared" si="1574"/>
        <v>0</v>
      </c>
      <c r="DZ173" s="168">
        <f t="shared" si="1574"/>
        <v>0</v>
      </c>
    </row>
    <row r="174" spans="1:165" x14ac:dyDescent="0.2">
      <c r="A174" s="606" t="s">
        <v>459</v>
      </c>
      <c r="C174" s="54" t="s">
        <v>462</v>
      </c>
      <c r="D174" s="168">
        <f>('Butadiene Recycling HC'!C225)/('Butadiene Recycling HC'!C$207)*D$19/SUM(D$19:D$20)</f>
        <v>0.15248026003346374</v>
      </c>
      <c r="E174" s="168">
        <f>('Butadiene Recycling HC'!D225)/('Butadiene Recycling HC'!D$207)*E$19/SUM(E$19:E$20)</f>
        <v>0.15649986436391219</v>
      </c>
      <c r="F174" s="168">
        <f>('Butadiene Recycling HC'!E225)/('Butadiene Recycling HC'!E$207)*F$19/SUM(F$19:F$20)</f>
        <v>0.16044360772006996</v>
      </c>
      <c r="G174" s="168">
        <f>('Butadiene Recycling HC'!F225)/('Butadiene Recycling HC'!F$207)*G$19/SUM(G$19:G$20)</f>
        <v>0.16430489770713028</v>
      </c>
      <c r="H174" s="168">
        <f>('Butadiene Recycling HC'!G225)/('Butadiene Recycling HC'!G$207)*H$19/SUM(H$19:H$20)</f>
        <v>0.16807107346650602</v>
      </c>
      <c r="I174" s="168">
        <f>('Butadiene Recycling HC'!H225)/('Butadiene Recycling HC'!H$207)*I$19/SUM(I$19:I$20)</f>
        <v>0.17171802519766885</v>
      </c>
      <c r="J174" s="168">
        <f>('Butadiene Recycling HC'!I225)/('Butadiene Recycling HC'!I$207)*J$19/SUM(J$19:J$20)</f>
        <v>0.17513840154873495</v>
      </c>
      <c r="K174" s="168">
        <f>('Butadiene Recycling HC'!J225)/('Butadiene Recycling HC'!J$207)*K$19/SUM(K$19:K$20)</f>
        <v>0.17829782464110333</v>
      </c>
      <c r="L174" s="168">
        <f>('Butadiene Recycling HC'!K225)/('Butadiene Recycling HC'!K$207)*L$19/SUM(L$19:L$20)</f>
        <v>0.18104771507546141</v>
      </c>
      <c r="M174" s="168">
        <f>('Butadiene Recycling HC'!L225)/('Butadiene Recycling HC'!L$207)*M$19/SUM(M$19:M$20)</f>
        <v>0.18313547224628046</v>
      </c>
      <c r="N174" s="168">
        <f>('Butadiene Recycling HC'!M225)/('Butadiene Recycling HC'!M$207)*N$19/SUM(N$19:N$20)</f>
        <v>0.18415643235603849</v>
      </c>
      <c r="O174" s="168">
        <f>('Butadiene Recycling HC'!N225)/('Butadiene Recycling HC'!N$207)*O$19/SUM(O$19:O$20)</f>
        <v>0.18350643621793722</v>
      </c>
      <c r="P174" s="168">
        <f>('Butadiene Recycling HC'!O225)/('Butadiene Recycling HC'!O$207)*P$19/SUM(P$19:P$20)</f>
        <v>0.18042053240347511</v>
      </c>
      <c r="Q174" s="168">
        <f>('Butadiene Recycling HC'!P225)/('Butadiene Recycling HC'!P$207)*Q$19/SUM(Q$19:Q$20)</f>
        <v>0.17412880188345084</v>
      </c>
      <c r="R174" s="168">
        <f>('Butadiene Recycling HC'!Q225)/('Butadiene Recycling HC'!Q$207)*R$19/SUM(R$19:R$20)</f>
        <v>0.16391984868859624</v>
      </c>
      <c r="S174" s="168">
        <f>('Butadiene Recycling HC'!R225)/('Butadiene Recycling HC'!R$207)*S$19/SUM(S$19:S$20)</f>
        <v>0.14967928989746948</v>
      </c>
      <c r="T174" s="168">
        <f>('Butadiene Recycling HC'!S225)/('Butadiene Recycling HC'!S$207)*T$19/SUM(T$19:T$20)</f>
        <v>0.13206456887721865</v>
      </c>
      <c r="U174" s="168">
        <f>('Butadiene Recycling HC'!T225)/('Butadiene Recycling HC'!T$207)*U$19/SUM(U$19:U$20)</f>
        <v>0.11242717210324132</v>
      </c>
      <c r="V174" s="168">
        <f>('Butadiene Recycling HC'!U225)/('Butadiene Recycling HC'!U$207)*V$19/SUM(V$19:V$20)</f>
        <v>9.2456666657038888E-2</v>
      </c>
      <c r="W174" s="168">
        <f>('Butadiene Recycling HC'!V225)/('Butadiene Recycling HC'!V$207)*W$19/SUM(W$19:W$20)</f>
        <v>7.36927953099758E-2</v>
      </c>
      <c r="X174" s="168">
        <f>('Butadiene Recycling HC'!W225)/('Butadiene Recycling HC'!W$207)*X$19/SUM(X$19:X$20)</f>
        <v>5.7187951106127378E-2</v>
      </c>
      <c r="Y174" s="168">
        <f>('Butadiene Recycling HC'!X225)/('Butadiene Recycling HC'!X$207)*Y$19/SUM(Y$19:Y$20)</f>
        <v>4.3417334220320888E-2</v>
      </c>
      <c r="Z174" s="168">
        <f>('Butadiene Recycling HC'!Y225)/('Butadiene Recycling HC'!Y$207)*Z$19/SUM(Z$19:Z$20)</f>
        <v>3.2403160009718233E-2</v>
      </c>
      <c r="AA174" s="168">
        <f>('Butadiene Recycling HC'!Z225)/('Butadiene Recycling HC'!Z$207)*AA$19/SUM(AA$19:AA$20)</f>
        <v>2.3900355471026976E-2</v>
      </c>
      <c r="AB174" s="168">
        <f>('Butadiene Recycling HC'!AA225)/('Butadiene Recycling HC'!AA$207)*AB$19/SUM(AB$19:AB$20)</f>
        <v>1.7456622437551295E-2</v>
      </c>
      <c r="AC174" s="168">
        <f>('Butadiene Recycling HC'!AB225)/('Butadiene Recycling HC'!AB$207)*AC$19/SUM(AC$19:AC$20)</f>
        <v>1.2657829943277292E-2</v>
      </c>
      <c r="AD174" s="168">
        <f>('Butadiene Recycling HC'!AC225)/('Butadiene Recycling HC'!AC$207)*AD$19/SUM(AD$19:AD$20)</f>
        <v>9.1287422746650169E-3</v>
      </c>
      <c r="AE174" s="168">
        <f>('Butadiene Recycling HC'!AD225)/('Butadiene Recycling HC'!AD$207)*AE$19/SUM(AE$19:AE$20)</f>
        <v>6.5578835885601863E-3</v>
      </c>
      <c r="AF174" s="168">
        <f>('Butadiene Recycling HC'!AE225)/('Butadiene Recycling HC'!AE$207)*AF$19/SUM(AF$19:AF$20)</f>
        <v>4.6975805412709107E-3</v>
      </c>
      <c r="AG174" s="168">
        <f>('Butadiene Recycling HC'!AF225)/('Butadiene Recycling HC'!AF$207)*AG$19/SUM(AG$19:AG$20)</f>
        <v>3.3579524438650042E-3</v>
      </c>
      <c r="AH174" s="168">
        <f>('Butadiene Recycling HC'!AG225)/('Butadiene Recycling HC'!AG$207)*AH$19/SUM(AH$19:AH$20)</f>
        <v>2.3966507993632745E-3</v>
      </c>
      <c r="AI174" s="44"/>
      <c r="AJ174" s="168">
        <f>('Butadiene Recycling LC'!C225)/('Butadiene Recycling LC'!C$207)*AJ$19/SUM(AJ$19:AJ$20)</f>
        <v>0.15248026003346374</v>
      </c>
      <c r="AK174" s="168">
        <f>('Butadiene Recycling LC'!D225)/('Butadiene Recycling LC'!D$207)*AK$19/SUM(AK$19:AK$20)</f>
        <v>0.15650060636667365</v>
      </c>
      <c r="AL174" s="168">
        <f>('Butadiene Recycling LC'!E225)/('Butadiene Recycling LC'!E$207)*AL$19/SUM(AL$19:AL$20)</f>
        <v>0.16044532368158143</v>
      </c>
      <c r="AM174" s="168">
        <f>('Butadiene Recycling LC'!F225)/('Butadiene Recycling LC'!F$207)*AM$19/SUM(AM$19:AM$20)</f>
        <v>0.16430783700651455</v>
      </c>
      <c r="AN174" s="168">
        <f>('Butadiene Recycling LC'!G225)/('Butadiene Recycling LC'!G$207)*AN$19/SUM(AN$19:AN$20)</f>
        <v>0.16807550252780137</v>
      </c>
      <c r="AO174" s="168">
        <f>('Butadiene Recycling LC'!H225)/('Butadiene Recycling LC'!H$207)*AO$19/SUM(AO$19:AO$20)</f>
        <v>0.17172422653484312</v>
      </c>
      <c r="AP174" s="168">
        <f>('Butadiene Recycling LC'!I225)/('Butadiene Recycling LC'!I$207)*AP$19/SUM(AP$19:AP$20)</f>
        <v>0.17517781151718786</v>
      </c>
      <c r="AQ174" s="168">
        <f>('Butadiene Recycling LC'!J225)/('Butadiene Recycling LC'!J$207)*AQ$19/SUM(AQ$19:AQ$20)</f>
        <v>0.17837758641513937</v>
      </c>
      <c r="AR174" s="168">
        <f>('Butadiene Recycling LC'!K225)/('Butadiene Recycling LC'!K$207)*AR$19/SUM(AR$19:AR$20)</f>
        <v>0.18117526205226556</v>
      </c>
      <c r="AS174" s="168">
        <f>('Butadiene Recycling LC'!L225)/('Butadiene Recycling LC'!L$207)*AS$19/SUM(AS$19:AS$20)</f>
        <v>0.18331822487960067</v>
      </c>
      <c r="AT174" s="168">
        <f>('Butadiene Recycling LC'!M225)/('Butadiene Recycling LC'!M$207)*AT$19/SUM(AT$19:AT$20)</f>
        <v>0.18440120066412333</v>
      </c>
      <c r="AU174" s="168">
        <f>('Butadiene Recycling LC'!N225)/('Butadiene Recycling LC'!N$207)*AU$19/SUM(AU$19:AU$20)</f>
        <v>0.18382075427146036</v>
      </c>
      <c r="AV174" s="168">
        <f>('Butadiene Recycling LC'!O225)/('Butadiene Recycling LC'!O$207)*AV$19/SUM(AV$19:AV$20)</f>
        <v>0.18080613387803365</v>
      </c>
      <c r="AW174" s="168">
        <f>('Butadiene Recycling LC'!P225)/('Butadiene Recycling LC'!P$207)*AW$19/SUM(AW$19:AW$20)</f>
        <v>0.17454614478846292</v>
      </c>
      <c r="AX174" s="168">
        <f>('Butadiene Recycling LC'!Q225)/('Butadiene Recycling LC'!Q$207)*AX$19/SUM(AX$19:AX$20)</f>
        <v>0.16435868614964305</v>
      </c>
      <c r="AY174" s="168">
        <f>('Butadiene Recycling LC'!R225)/('Butadiene Recycling LC'!R$207)*AY$19/SUM(AY$19:AY$20)</f>
        <v>0.15012526770289417</v>
      </c>
      <c r="AZ174" s="168">
        <f>('Butadiene Recycling LC'!S225)/('Butadiene Recycling LC'!S$207)*AZ$19/SUM(AZ$19:AZ$20)</f>
        <v>0.13249824864778603</v>
      </c>
      <c r="BA174" s="168">
        <f>('Butadiene Recycling LC'!T225)/('Butadiene Recycling LC'!T$207)*BA$19/SUM(BA$19:BA$20)</f>
        <v>0.11283300732993981</v>
      </c>
      <c r="BB174" s="168">
        <f>('Butadiene Recycling LC'!U225)/('Butadiene Recycling LC'!U$207)*BB$19/SUM(BB$19:BB$20)</f>
        <v>9.2822651715044072E-2</v>
      </c>
      <c r="BC174" s="168">
        <f>('Butadiene Recycling LC'!V225)/('Butadiene Recycling LC'!V$207)*BC$19/SUM(BC$19:BC$20)</f>
        <v>7.4011968208345741E-2</v>
      </c>
      <c r="BD174" s="168">
        <f>('Butadiene Recycling LC'!W225)/('Butadiene Recycling LC'!W$207)*BD$19/SUM(BD$19:BD$20)</f>
        <v>5.7458397491543856E-2</v>
      </c>
      <c r="BE174" s="168">
        <f>('Butadiene Recycling LC'!X225)/('Butadiene Recycling LC'!X$207)*BE$19/SUM(BE$19:BE$20)</f>
        <v>4.3641931101283241E-2</v>
      </c>
      <c r="BF174" s="168">
        <f>('Butadiene Recycling LC'!Y225)/('Butadiene Recycling LC'!Y$207)*BF$19/SUM(BF$19:BF$20)</f>
        <v>3.2585545284540975E-2</v>
      </c>
      <c r="BG174" s="168">
        <f>('Butadiene Recycling LC'!Z225)/('Butadiene Recycling LC'!Z$207)*BG$19/SUM(BG$19:BG$20)</f>
        <v>2.4028323036570664E-2</v>
      </c>
      <c r="BH174" s="168">
        <f>('Butadiene Recycling LC'!AA225)/('Butadiene Recycling LC'!AA$207)*BH$19/SUM(BH$19:BH$20)</f>
        <v>1.7544278441365958E-2</v>
      </c>
      <c r="BI174" s="168">
        <f>('Butadiene Recycling LC'!AB225)/('Butadiene Recycling LC'!AB$207)*BI$19/SUM(BI$19:BI$20)</f>
        <v>1.271638322544748E-2</v>
      </c>
      <c r="BJ174" s="168">
        <f>('Butadiene Recycling LC'!AC225)/('Butadiene Recycling LC'!AC$207)*BJ$19/SUM(BJ$19:BJ$20)</f>
        <v>9.167073423668572E-3</v>
      </c>
      <c r="BK174" s="168">
        <f>('Butadiene Recycling LC'!AD225)/('Butadiene Recycling LC'!AD$207)*BK$19/SUM(BK$19:BK$20)</f>
        <v>6.5821727797953766E-3</v>
      </c>
      <c r="BL174" s="168">
        <f>('Butadiene Recycling LC'!AE225)/('Butadiene Recycling LC'!AE$207)*BL$19/SUM(BL$19:BL$20)</f>
        <v>4.7123099057386304E-3</v>
      </c>
      <c r="BM174" s="168">
        <f>('Butadiene Recycling LC'!AF225)/('Butadiene Recycling LC'!AF$207)*BM$19/SUM(BM$19:BM$20)</f>
        <v>3.366309768814434E-3</v>
      </c>
      <c r="BN174" s="168">
        <f>('Butadiene Recycling LC'!AG225)/('Butadiene Recycling LC'!AG$207)*BN$19/SUM(BN$19:BN$20)</f>
        <v>2.4008643371043231E-3</v>
      </c>
      <c r="BP174" s="168">
        <f>('Butadiene Recycling HC'!C201)/('Butadiene Recycling HC'!C$197)*BP$19/SUM(BP$19:BP$20)</f>
        <v>0.15248728796407754</v>
      </c>
      <c r="BQ174" s="168">
        <f>('Butadiene Recycling HC'!D201)/('Butadiene Recycling HC'!D$197)*BQ$19/SUM(BQ$19:BQ$20)</f>
        <v>0.15458077103558787</v>
      </c>
      <c r="BR174" s="168">
        <f>('Butadiene Recycling HC'!E201)/('Butadiene Recycling HC'!E$197)*BR$19/SUM(BR$19:BR$20)</f>
        <v>0.15665582461126459</v>
      </c>
      <c r="BS174" s="168">
        <f>('Butadiene Recycling HC'!F201)/('Butadiene Recycling HC'!F$197)*BS$19/SUM(BS$19:BS$20)</f>
        <v>0.15871249303100698</v>
      </c>
      <c r="BT174" s="168">
        <f>('Butadiene Recycling HC'!G201)/('Butadiene Recycling HC'!G$197)*BT$19/SUM(BT$19:BT$20)</f>
        <v>0.16075068618641961</v>
      </c>
      <c r="BU174" s="168">
        <f>('Butadiene Recycling HC'!H201)/('Butadiene Recycling HC'!H$197)*BU$19/SUM(BU$19:BU$20)</f>
        <v>0.1627701781621104</v>
      </c>
      <c r="BV174" s="168">
        <f>('Butadiene Recycling HC'!I201)/('Butadiene Recycling HC'!I$197)*BV$19/SUM(BV$19:BV$20)</f>
        <v>0.16478702887049876</v>
      </c>
      <c r="BW174" s="168">
        <f>('Butadiene Recycling HC'!J201)/('Butadiene Recycling HC'!J$197)*BW$19/SUM(BW$19:BW$20)</f>
        <v>0.16680115894868175</v>
      </c>
      <c r="BX174" s="168">
        <f>('Butadiene Recycling HC'!K201)/('Butadiene Recycling HC'!K$197)*BX$19/SUM(BX$19:BX$20)</f>
        <v>0.16881248626980344</v>
      </c>
      <c r="BY174" s="168">
        <f>('Butadiene Recycling HC'!L201)/('Butadiene Recycling HC'!L$197)*BY$19/SUM(BY$19:BY$20)</f>
        <v>0.17082092573607746</v>
      </c>
      <c r="BZ174" s="168">
        <f>('Butadiene Recycling HC'!M201)/('Butadiene Recycling HC'!M$197)*BZ$19/SUM(BZ$19:BZ$20)</f>
        <v>0.17282638906673328</v>
      </c>
      <c r="CA174" s="168">
        <f>('Butadiene Recycling HC'!N201)/('Butadiene Recycling HC'!N$197)*CA$19/SUM(CA$19:CA$20)</f>
        <v>0.17481745862062081</v>
      </c>
      <c r="CB174" s="168">
        <f>('Butadiene Recycling HC'!O201)/('Butadiene Recycling HC'!O$197)*CB$19/SUM(CB$19:CB$20)</f>
        <v>0.17679367343565988</v>
      </c>
      <c r="CC174" s="168">
        <f>('Butadiene Recycling HC'!P201)/('Butadiene Recycling HC'!P$197)*CC$19/SUM(CC$19:CC$20)</f>
        <v>0.17875448745985223</v>
      </c>
      <c r="CD174" s="168">
        <f>('Butadiene Recycling HC'!Q201)/('Butadiene Recycling HC'!Q$197)*CD$19/SUM(CD$19:CD$20)</f>
        <v>0.18069926406294756</v>
      </c>
      <c r="CE174" s="168">
        <f>('Butadiene Recycling HC'!R201)/('Butadiene Recycling HC'!R$197)*CE$19/SUM(CE$19:CE$20)</f>
        <v>0.18262726964331688</v>
      </c>
      <c r="CF174" s="168">
        <f>('Butadiene Recycling HC'!S201)/('Butadiene Recycling HC'!S$197)*CF$19/SUM(CF$19:CF$20)</f>
        <v>0.1845530050473014</v>
      </c>
      <c r="CG174" s="168">
        <f>('Butadiene Recycling HC'!T201)/('Butadiene Recycling HC'!T$197)*CG$19/SUM(CG$19:CG$20)</f>
        <v>0.18647641196867024</v>
      </c>
      <c r="CH174" s="168">
        <f>('Butadiene Recycling HC'!U201)/('Butadiene Recycling HC'!U$197)*CH$19/SUM(CH$19:CH$20)</f>
        <v>0.18839743074397866</v>
      </c>
      <c r="CI174" s="168">
        <f>('Butadiene Recycling HC'!V201)/('Butadiene Recycling HC'!V$197)*CI$19/SUM(CI$19:CI$20)</f>
        <v>0.1903160003112275</v>
      </c>
      <c r="CJ174" s="168">
        <f>('Butadiene Recycling HC'!W201)/('Butadiene Recycling HC'!W$197)*CJ$19/SUM(CJ$19:CJ$20)</f>
        <v>0.19223205816731972</v>
      </c>
      <c r="CK174" s="168">
        <f>('Butadiene Recycling HC'!X201)/('Butadiene Recycling HC'!X$197)*CK$19/SUM(CK$19:CK$20)</f>
        <v>0.19414564225557915</v>
      </c>
      <c r="CL174" s="168">
        <f>('Butadiene Recycling HC'!Y201)/('Butadiene Recycling HC'!Y$197)*CL$19/SUM(CL$19:CL$20)</f>
        <v>0.19605669236047046</v>
      </c>
      <c r="CM174" s="168">
        <f>('Butadiene Recycling HC'!Z201)/('Butadiene Recycling HC'!Z$197)*CM$19/SUM(CM$19:CM$20)</f>
        <v>0.19796514687583699</v>
      </c>
      <c r="CN174" s="168">
        <f>('Butadiene Recycling HC'!AA201)/('Butadiene Recycling HC'!AA$197)*CN$19/SUM(CN$19:CN$20)</f>
        <v>0.19987094276481812</v>
      </c>
      <c r="CO174" s="168">
        <f>('Butadiene Recycling HC'!AB201)/('Butadiene Recycling HC'!AB$197)*CO$19/SUM(CO$19:CO$20)</f>
        <v>0.20177401551862392</v>
      </c>
      <c r="CP174" s="168">
        <f>('Butadiene Recycling HC'!AC201)/('Butadiene Recycling HC'!AC$197)*CP$19/SUM(CP$19:CP$20)</f>
        <v>0.20367439421372305</v>
      </c>
      <c r="CQ174" s="168">
        <f>('Butadiene Recycling HC'!AD201)/('Butadiene Recycling HC'!AD$197)*CQ$19/SUM(CQ$19:CQ$20)</f>
        <v>0.20557201619428081</v>
      </c>
      <c r="CR174" s="168">
        <f>('Butadiene Recycling HC'!AE201)/('Butadiene Recycling HC'!AE$197)*CR$19/SUM(CR$19:CR$20)</f>
        <v>0.20746681737316039</v>
      </c>
      <c r="CS174" s="168">
        <f>('Butadiene Recycling HC'!AF201)/('Butadiene Recycling HC'!AF$197)*CS$19/SUM(CS$19:CS$20)</f>
        <v>0.20935873219254944</v>
      </c>
      <c r="CT174" s="168">
        <f>('Butadiene Recycling HC'!AG201)/('Butadiene Recycling HC'!AG$197)*CT$19/SUM(CT$19:CT$20)</f>
        <v>0.21124769358348838</v>
      </c>
      <c r="CV174" s="168">
        <f>AJ174*(1-SUM(CV$34:CV$35))/(1-SUM(AJ$34:AJ$35))</f>
        <v>0.15248026003346374</v>
      </c>
      <c r="CW174" s="168">
        <f t="shared" ref="CW174:CW180" si="1575">AK174*(1-SUM(CW$34:CW$35))/(1-SUM(AK$34:AK$35))</f>
        <v>0.15667906419527064</v>
      </c>
      <c r="CX174" s="168">
        <f t="shared" ref="CX174:CX180" si="1576">AL174*(1-SUM(CX$34:CX$35))/(1-SUM(AL$34:AL$35))</f>
        <v>0.16082830869824472</v>
      </c>
      <c r="CY174" s="168">
        <f t="shared" ref="CY174:CY180" si="1577">AM174*(1-SUM(CY$34:CY$35))/(1-SUM(AM$34:AM$35))</f>
        <v>0.16492232735932183</v>
      </c>
      <c r="CZ174" s="168">
        <f t="shared" ref="CZ174:CZ180" si="1578">AN174*(1-SUM(CZ$34:CZ$35))/(1-SUM(AN$34:AN$35))</f>
        <v>0.16894925191741655</v>
      </c>
      <c r="DA174" s="168">
        <f t="shared" ref="DA174:DA180" si="1579">AO174*(1-SUM(DA$34:DA$35))/(1-SUM(AO$34:AO$35))</f>
        <v>0.17288554395037903</v>
      </c>
      <c r="DB174" s="168">
        <f t="shared" ref="DB174:DB180" si="1580">AP174*(1-SUM(DB$34:DB$35))/(1-SUM(AP$34:AP$35))</f>
        <v>0.17669113242027795</v>
      </c>
      <c r="DC174" s="168">
        <f t="shared" ref="DC174:DC180" si="1581">AQ174*(1-SUM(DC$34:DC$35))/(1-SUM(AQ$34:AQ$35))</f>
        <v>0.18027430081503074</v>
      </c>
      <c r="DD174" s="168">
        <f t="shared" ref="DD174:DD180" si="1582">AR174*(1-SUM(DD$34:DD$35))/(1-SUM(AR$34:AR$35))</f>
        <v>0.18348445392604018</v>
      </c>
      <c r="DE174" s="168">
        <f t="shared" ref="DE174:DE180" si="1583">AS174*(1-SUM(DE$34:DE$35))/(1-SUM(AS$34:AS$35))</f>
        <v>0.1860637772872514</v>
      </c>
      <c r="DF174" s="168">
        <f t="shared" ref="DF174:DF180" si="1584">AT174*(1-SUM(DF$34:DF$35))/(1-SUM(AT$34:AT$35))</f>
        <v>0.18759685247810104</v>
      </c>
      <c r="DG174" s="168">
        <f t="shared" ref="DG174:DG180" si="1585">AU174*(1-SUM(DG$34:DG$35))/(1-SUM(AU$34:AU$35))</f>
        <v>0.1878276219274764</v>
      </c>
      <c r="DH174" s="168">
        <f t="shared" ref="DH174:DH180" si="1586">AV174*(1-SUM(DH$34:DH$35))/(1-SUM(AV$34:AV$35))</f>
        <v>0.18554643195588597</v>
      </c>
      <c r="DI174" s="168">
        <f t="shared" ref="DI174:DI180" si="1587">AW174*(1-SUM(DI$34:DI$35))/(1-SUM(AW$34:AW$35))</f>
        <v>0.18006465295721524</v>
      </c>
      <c r="DJ174" s="168">
        <f t="shared" ref="DJ174:DJ180" si="1588">AX174*(1-SUM(DJ$34:DJ$35))/(1-SUM(AX$34:AX$35))</f>
        <v>0.17051948642883485</v>
      </c>
      <c r="DK174" s="168">
        <f t="shared" ref="DK174:DK180" si="1589">AY174*(1-SUM(DK$34:DK$35))/(1-SUM(AY$34:AY$35))</f>
        <v>0.15670464286024513</v>
      </c>
      <c r="DL174" s="168">
        <f t="shared" ref="DL174:DL180" si="1590">AZ174*(1-SUM(DL$34:DL$35))/(1-SUM(AZ$34:AZ$35))</f>
        <v>0.1392033941128665</v>
      </c>
      <c r="DM174" s="168">
        <f t="shared" ref="DM174:DM180" si="1591">BA174*(1-SUM(DM$34:DM$35))/(1-SUM(BA$34:BA$35))</f>
        <v>0.11935860225462012</v>
      </c>
      <c r="DN174" s="168">
        <f t="shared" ref="DN174:DN180" si="1592">BB174*(1-SUM(DN$34:DN$35))/(1-SUM(BB$34:BB$35))</f>
        <v>9.8900381228550382E-2</v>
      </c>
      <c r="DO174" s="168">
        <f t="shared" ref="DO174:DO180" si="1593">BC174*(1-SUM(DO$34:DO$35))/(1-SUM(BC$34:BC$35))</f>
        <v>7.9451016514087119E-2</v>
      </c>
      <c r="DP174" s="168">
        <f t="shared" ref="DP174:DP180" si="1594">BD174*(1-SUM(DP$34:DP$35))/(1-SUM(BD$34:BD$35))</f>
        <v>6.2159740330187653E-2</v>
      </c>
      <c r="DQ174" s="168">
        <f t="shared" ref="DQ174:DQ180" si="1595">BE174*(1-SUM(DQ$34:DQ$35))/(1-SUM(BE$34:BE$35))</f>
        <v>4.7813205649897064E-2</v>
      </c>
      <c r="DR174" s="168">
        <f t="shared" ref="DR174:DR180" si="1596">BF174*(1-SUM(DR$34:DR$35))/(1-SUM(BF$34:BF$35))</f>
        <v>3.6102856583128951E-2</v>
      </c>
      <c r="DS174" s="168">
        <f t="shared" ref="DS174:DS180" si="1597">BG174*(1-SUM(DS$34:DS$35))/(1-SUM(BG$34:BG$35))</f>
        <v>2.6935808773473232E-2</v>
      </c>
      <c r="DT174" s="168">
        <f t="shared" ref="DT174:DT180" si="1598">BH174*(1-SUM(DT$34:DT$35))/(1-SUM(BH$34:BH$35))</f>
        <v>1.9908306374070543E-2</v>
      </c>
      <c r="DU174" s="168">
        <f t="shared" ref="DU174:DU180" si="1599">BI174*(1-SUM(DU$34:DU$35))/(1-SUM(BI$34:BI$35))</f>
        <v>1.4610358968810699E-2</v>
      </c>
      <c r="DV174" s="168">
        <f t="shared" ref="DV174:DV180" si="1600">BJ174*(1-SUM(DV$34:DV$35))/(1-SUM(BJ$34:BJ$35))</f>
        <v>1.066600772252671E-2</v>
      </c>
      <c r="DW174" s="168">
        <f t="shared" ref="DW174:DW180" si="1601">BK174*(1-SUM(DW$34:DW$35))/(1-SUM(BK$34:BK$35))</f>
        <v>7.7562571121720224E-3</v>
      </c>
      <c r="DX174" s="168">
        <f t="shared" ref="DX174:DX180" si="1602">BL174*(1-SUM(DX$34:DX$35))/(1-SUM(BL$34:BL$35))</f>
        <v>5.6238107818101018E-3</v>
      </c>
      <c r="DY174" s="168">
        <f t="shared" ref="DY174:DY180" si="1603">BM174*(1-SUM(DY$34:DY$35))/(1-SUM(BM$34:BM$35))</f>
        <v>4.0683656693955832E-3</v>
      </c>
      <c r="DZ174" s="168">
        <f t="shared" ref="DZ174:DZ180" si="1604">BN174*(1-SUM(DZ$34:DZ$35))/(1-SUM(BN$34:BN$35))</f>
        <v>2.9375672606375743E-3</v>
      </c>
    </row>
    <row r="175" spans="1:165" x14ac:dyDescent="0.2">
      <c r="A175" s="606" t="s">
        <v>460</v>
      </c>
      <c r="C175" s="54" t="s">
        <v>462</v>
      </c>
      <c r="D175" s="168">
        <f>('Butadiene Recycling HC'!C225)/('Butadiene Recycling HC'!C$207)*D$20/SUM(D$19:D$20)</f>
        <v>7.027930613807912E-6</v>
      </c>
      <c r="E175" s="168">
        <f>('Butadiene Recycling HC'!D225)/('Butadiene Recycling HC'!D$207)*E$20/SUM(E$19:E$20)</f>
        <v>1.3968483103861285E-5</v>
      </c>
      <c r="F175" s="168">
        <f>('Butadiene Recycling HC'!E225)/('Butadiene Recycling HC'!E$207)*F$20/SUM(F$19:F$20)</f>
        <v>2.7685200653423984E-5</v>
      </c>
      <c r="G175" s="168">
        <f>('Butadiene Recycling HC'!F225)/('Butadiene Recycling HC'!F$207)*G$20/SUM(G$19:G$20)</f>
        <v>5.4681846529928641E-5</v>
      </c>
      <c r="H175" s="168">
        <f>('Butadiene Recycling HC'!G225)/('Butadiene Recycling HC'!G$207)*H$20/SUM(H$19:H$20)</f>
        <v>1.0753049610495201E-4</v>
      </c>
      <c r="I175" s="168">
        <f>('Butadiene Recycling HC'!H225)/('Butadiene Recycling HC'!H$207)*I$20/SUM(I$19:I$20)</f>
        <v>2.102520146897863E-4</v>
      </c>
      <c r="J175" s="168">
        <f>('Butadiene Recycling HC'!I225)/('Butadiene Recycling HC'!I$207)*J$20/SUM(J$19:J$20)</f>
        <v>4.0786452469611812E-4</v>
      </c>
      <c r="K175" s="168">
        <f>('Butadiene Recycling HC'!J225)/('Butadiene Recycling HC'!J$207)*K$20/SUM(K$19:K$20)</f>
        <v>7.8323396225989789E-4</v>
      </c>
      <c r="L175" s="168">
        <f>('Butadiene Recycling HC'!K225)/('Butadiene Recycling HC'!K$207)*L$20/SUM(L$19:L$20)</f>
        <v>1.4838756766482192E-3</v>
      </c>
      <c r="M175" s="168">
        <f>('Butadiene Recycling HC'!L225)/('Butadiene Recycling HC'!L$207)*M$20/SUM(M$19:M$20)</f>
        <v>2.7613080005859836E-3</v>
      </c>
      <c r="N175" s="168">
        <f>('Butadiene Recycling HC'!M225)/('Butadiene Recycling HC'!M$207)*N$20/SUM(N$19:N$20)</f>
        <v>5.0190938442550969E-3</v>
      </c>
      <c r="O175" s="168">
        <f>('Butadiene Recycling HC'!N225)/('Butadiene Recycling HC'!N$207)*O$20/SUM(O$19:O$20)</f>
        <v>8.8512946941673842E-3</v>
      </c>
      <c r="P175" s="168">
        <f>('Butadiene Recycling HC'!O225)/('Butadiene Recycling HC'!O$207)*P$20/SUM(P$19:P$20)</f>
        <v>1.5032409975149007E-2</v>
      </c>
      <c r="Q175" s="168">
        <f>('Butadiene Recycling HC'!P225)/('Butadiene Recycling HC'!P$207)*Q$20/SUM(Q$19:Q$20)</f>
        <v>2.4408279479494057E-2</v>
      </c>
      <c r="R175" s="168">
        <f>('Butadiene Recycling HC'!Q225)/('Butadiene Recycling HC'!Q$207)*R$20/SUM(R$19:R$20)</f>
        <v>3.7621165753701051E-2</v>
      </c>
      <c r="S175" s="168">
        <f>('Butadiene Recycling HC'!R225)/('Butadiene Recycling HC'!R$207)*S$20/SUM(S$19:S$20)</f>
        <v>5.4784795080210828E-2</v>
      </c>
      <c r="T175" s="168">
        <f>('Butadiene Recycling HC'!S225)/('Butadiene Recycling HC'!S$207)*T$20/SUM(T$19:T$20)</f>
        <v>7.5249444479158753E-2</v>
      </c>
      <c r="U175" s="168">
        <f>('Butadiene Recycling HC'!T225)/('Butadiene Recycling HC'!T$207)*U$20/SUM(U$19:U$20)</f>
        <v>9.7655802499066746E-2</v>
      </c>
      <c r="V175" s="168">
        <f>('Butadiene Recycling HC'!U225)/('Butadiene Recycling HC'!U$207)*V$20/SUM(V$19:V$20)</f>
        <v>0.12031366777355204</v>
      </c>
      <c r="W175" s="168">
        <f>('Butadiene Recycling HC'!V225)/('Butadiene Recycling HC'!V$207)*W$20/SUM(W$19:W$20)</f>
        <v>0.14168264427827096</v>
      </c>
      <c r="X175" s="168">
        <f>('Butadiene Recycling HC'!W225)/('Butadiene Recycling HC'!W$207)*X$20/SUM(X$19:X$20)</f>
        <v>0.16070966603368644</v>
      </c>
      <c r="Y175" s="168">
        <f>('Butadiene Recycling HC'!X225)/('Butadiene Recycling HC'!X$207)*Y$20/SUM(Y$19:Y$20)</f>
        <v>0.17689752258800698</v>
      </c>
      <c r="Z175" s="168">
        <f>('Butadiene Recycling HC'!Y225)/('Butadiene Recycling HC'!Y$207)*Z$20/SUM(Z$19:Z$20)</f>
        <v>0.19026351153411891</v>
      </c>
      <c r="AA175" s="168">
        <f>('Butadiene Recycling HC'!Z225)/('Butadiene Recycling HC'!Z$207)*AA$20/SUM(AA$19:AA$20)</f>
        <v>0.20136028067149006</v>
      </c>
      <c r="AB175" s="168">
        <f>('Butadiene Recycling HC'!AA225)/('Butadiene Recycling HC'!AA$207)*AB$20/SUM(AB$19:AB$20)</f>
        <v>0.21035404156753248</v>
      </c>
      <c r="AC175" s="168">
        <f>('Butadiene Recycling HC'!AB225)/('Butadiene Recycling HC'!AB$207)*AC$20/SUM(AC$19:AC$20)</f>
        <v>0.21766086082441199</v>
      </c>
      <c r="AD175" s="168">
        <f>('Butadiene Recycling HC'!AC225)/('Butadiene Recycling HC'!AC$207)*AD$20/SUM(AD$19:AD$20)</f>
        <v>0.22364286061614058</v>
      </c>
      <c r="AE175" s="168">
        <f>('Butadiene Recycling HC'!AD225)/('Butadiene Recycling HC'!AD$207)*AE$20/SUM(AE$19:AE$20)</f>
        <v>0.22862704102179651</v>
      </c>
      <c r="AF175" s="168">
        <f>('Butadiene Recycling HC'!AE225)/('Butadiene Recycling HC'!AE$207)*AF$20/SUM(AF$19:AF$20)</f>
        <v>0.23286325718727741</v>
      </c>
      <c r="AG175" s="168">
        <f>('Butadiene Recycling HC'!AF225)/('Butadiene Recycling HC'!AF$207)*AG$20/SUM(AG$19:AG$20)</f>
        <v>0.23654370197547217</v>
      </c>
      <c r="AH175" s="168">
        <f>('Butadiene Recycling HC'!AG225)/('Butadiene Recycling HC'!AG$207)*AH$20/SUM(AH$19:AH$20)</f>
        <v>0.23981317631456053</v>
      </c>
      <c r="AI175" s="44"/>
      <c r="AJ175" s="168">
        <f>('Butadiene Recycling LC'!C225)/('Butadiene Recycling LC'!C$207)*AJ$20/SUM(AJ$19:AJ$20)</f>
        <v>7.0279306138079111E-6</v>
      </c>
      <c r="AK175" s="168">
        <f>('Butadiene Recycling LC'!D225)/('Butadiene Recycling LC'!D$207)*AK$20/SUM(AK$19:AK$20)</f>
        <v>1.3968549331733611E-5</v>
      </c>
      <c r="AL175" s="168">
        <f>('Butadiene Recycling LC'!E225)/('Butadiene Recycling LC'!E$207)*AL$20/SUM(AL$19:AL$20)</f>
        <v>2.7685496749600293E-5</v>
      </c>
      <c r="AM175" s="168">
        <f>('Butadiene Recycling LC'!F225)/('Butadiene Recycling LC'!F$207)*AM$20/SUM(AM$19:AM$20)</f>
        <v>5.468282474981179E-5</v>
      </c>
      <c r="AN175" s="168">
        <f>('Butadiene Recycling LC'!G225)/('Butadiene Recycling LC'!G$207)*AN$20/SUM(AN$19:AN$20)</f>
        <v>1.0753332978208958E-4</v>
      </c>
      <c r="AO175" s="168">
        <f>('Butadiene Recycling LC'!H225)/('Butadiene Recycling LC'!H$207)*AO$20/SUM(AO$19:AO$20)</f>
        <v>2.1025960762380215E-4</v>
      </c>
      <c r="AP175" s="168">
        <f>('Butadiene Recycling LC'!I225)/('Butadiene Recycling LC'!I$207)*AP$20/SUM(AP$19:AP$20)</f>
        <v>4.0795630312911291E-4</v>
      </c>
      <c r="AQ175" s="168">
        <f>('Butadiene Recycling LC'!J225)/('Butadiene Recycling LC'!J$207)*AQ$20/SUM(AQ$19:AQ$20)</f>
        <v>7.8358434303678543E-4</v>
      </c>
      <c r="AR175" s="168">
        <f>('Butadiene Recycling LC'!K225)/('Butadiene Recycling LC'!K$207)*AR$20/SUM(AR$19:AR$20)</f>
        <v>1.4849210577314918E-3</v>
      </c>
      <c r="AS175" s="168">
        <f>('Butadiene Recycling LC'!L225)/('Butadiene Recycling LC'!L$207)*AS$20/SUM(AS$19:AS$20)</f>
        <v>2.764063536159325E-3</v>
      </c>
      <c r="AT175" s="168">
        <f>('Butadiene Recycling LC'!M225)/('Butadiene Recycling LC'!M$207)*AT$20/SUM(AT$19:AT$20)</f>
        <v>5.0257648852426971E-3</v>
      </c>
      <c r="AU175" s="168">
        <f>('Butadiene Recycling LC'!N225)/('Butadiene Recycling LC'!N$207)*AU$20/SUM(AU$19:AU$20)</f>
        <v>8.866455588666616E-3</v>
      </c>
      <c r="AV175" s="168">
        <f>('Butadiene Recycling LC'!O225)/('Butadiene Recycling LC'!O$207)*AV$20/SUM(AV$19:AV$20)</f>
        <v>1.5064537801042036E-2</v>
      </c>
      <c r="AW175" s="168">
        <f>('Butadiene Recycling LC'!P225)/('Butadiene Recycling LC'!P$207)*AW$20/SUM(AW$19:AW$20)</f>
        <v>2.4466779981157972E-2</v>
      </c>
      <c r="AX175" s="168">
        <f>('Butadiene Recycling LC'!Q225)/('Butadiene Recycling LC'!Q$207)*AX$20/SUM(AX$19:AX$20)</f>
        <v>3.7721883128644093E-2</v>
      </c>
      <c r="AY175" s="168">
        <f>('Butadiene Recycling LC'!R225)/('Butadiene Recycling LC'!R$207)*AY$20/SUM(AY$19:AY$20)</f>
        <v>5.4948029437463922E-2</v>
      </c>
      <c r="AZ175" s="168">
        <f>('Butadiene Recycling LC'!S225)/('Butadiene Recycling LC'!S$207)*AZ$20/SUM(AZ$19:AZ$20)</f>
        <v>7.5496552103061915E-2</v>
      </c>
      <c r="BA175" s="168">
        <f>('Butadiene Recycling LC'!T225)/('Butadiene Recycling LC'!T$207)*BA$20/SUM(BA$19:BA$20)</f>
        <v>9.8008316611128854E-2</v>
      </c>
      <c r="BB175" s="168">
        <f>('Butadiene Recycling LC'!U225)/('Butadiene Recycling LC'!U$207)*BB$20/SUM(BB$19:BB$20)</f>
        <v>0.12078992336734556</v>
      </c>
      <c r="BC175" s="168">
        <f>('Butadiene Recycling LC'!V225)/('Butadiene Recycling LC'!V$207)*BC$20/SUM(BC$19:BC$20)</f>
        <v>0.14229628988681112</v>
      </c>
      <c r="BD175" s="168">
        <f>('Butadiene Recycling LC'!W225)/('Butadiene Recycling LC'!W$207)*BD$20/SUM(BD$19:BD$20)</f>
        <v>0.16146967487190558</v>
      </c>
      <c r="BE175" s="168">
        <f>('Butadiene Recycling LC'!X225)/('Butadiene Recycling LC'!X$207)*BE$20/SUM(BE$19:BE$20)</f>
        <v>0.17781260944298571</v>
      </c>
      <c r="BF175" s="168">
        <f>('Butadiene Recycling LC'!Y225)/('Butadiene Recycling LC'!Y$207)*BF$20/SUM(BF$19:BF$20)</f>
        <v>0.19133443371669251</v>
      </c>
      <c r="BG175" s="168">
        <f>('Butadiene Recycling LC'!Z225)/('Butadiene Recycling LC'!Z$207)*BG$20/SUM(BG$19:BG$20)</f>
        <v>0.20243840626447385</v>
      </c>
      <c r="BH175" s="168">
        <f>('Butadiene Recycling LC'!AA225)/('Butadiene Recycling LC'!AA$207)*BH$20/SUM(BH$19:BH$20)</f>
        <v>0.21141030515666814</v>
      </c>
      <c r="BI175" s="168">
        <f>('Butadiene Recycling LC'!AB225)/('Butadiene Recycling LC'!AB$207)*BI$20/SUM(BI$19:BI$20)</f>
        <v>0.21866772834106926</v>
      </c>
      <c r="BJ175" s="168">
        <f>('Butadiene Recycling LC'!AC225)/('Butadiene Recycling LC'!AC$207)*BJ$20/SUM(BJ$19:BJ$20)</f>
        <v>0.22458192621312317</v>
      </c>
      <c r="BK175" s="168">
        <f>('Butadiene Recycling LC'!AD225)/('Butadiene Recycling LC'!AD$207)*BK$20/SUM(BK$19:BK$20)</f>
        <v>0.22947383341234781</v>
      </c>
      <c r="BL175" s="168">
        <f>('Butadiene Recycling LC'!AE225)/('Butadiene Recycling LC'!AE$207)*BL$20/SUM(BL$19:BL$20)</f>
        <v>0.23359340492101352</v>
      </c>
      <c r="BM175" s="168">
        <f>('Butadiene Recycling LC'!AF225)/('Butadiene Recycling LC'!AF$207)*BM$20/SUM(BM$19:BM$20)</f>
        <v>0.23713241566787782</v>
      </c>
      <c r="BN175" s="168">
        <f>('Butadiene Recycling LC'!AG225)/('Butadiene Recycling LC'!AG$207)*BN$20/SUM(BN$19:BN$20)</f>
        <v>0.2402347904560411</v>
      </c>
      <c r="BP175" s="168">
        <f>('Butadiene Recycling HC'!C201)/('Butadiene Recycling HC'!C$197)*BP$20/SUM(BP$19:BP$20)</f>
        <v>0</v>
      </c>
      <c r="BQ175" s="168">
        <f>('Butadiene Recycling HC'!D201)/('Butadiene Recycling HC'!D$197)*BQ$20/SUM(BQ$19:BQ$20)</f>
        <v>0</v>
      </c>
      <c r="BR175" s="168">
        <f>('Butadiene Recycling HC'!E201)/('Butadiene Recycling HC'!E$197)*BR$20/SUM(BR$19:BR$20)</f>
        <v>0</v>
      </c>
      <c r="BS175" s="168">
        <f>('Butadiene Recycling HC'!F201)/('Butadiene Recycling HC'!F$197)*BS$20/SUM(BS$19:BS$20)</f>
        <v>0</v>
      </c>
      <c r="BT175" s="168">
        <f>('Butadiene Recycling HC'!G201)/('Butadiene Recycling HC'!G$197)*BT$20/SUM(BT$19:BT$20)</f>
        <v>0</v>
      </c>
      <c r="BU175" s="168">
        <f>('Butadiene Recycling HC'!H201)/('Butadiene Recycling HC'!H$197)*BU$20/SUM(BU$19:BU$20)</f>
        <v>0</v>
      </c>
      <c r="BV175" s="168">
        <f>('Butadiene Recycling HC'!I201)/('Butadiene Recycling HC'!I$197)*BV$20/SUM(BV$19:BV$20)</f>
        <v>0</v>
      </c>
      <c r="BW175" s="168">
        <f>('Butadiene Recycling HC'!J201)/('Butadiene Recycling HC'!J$197)*BW$20/SUM(BW$19:BW$20)</f>
        <v>0</v>
      </c>
      <c r="BX175" s="168">
        <f>('Butadiene Recycling HC'!K201)/('Butadiene Recycling HC'!K$197)*BX$20/SUM(BX$19:BX$20)</f>
        <v>0</v>
      </c>
      <c r="BY175" s="168">
        <f>('Butadiene Recycling HC'!L201)/('Butadiene Recycling HC'!L$197)*BY$20/SUM(BY$19:BY$20)</f>
        <v>0</v>
      </c>
      <c r="BZ175" s="168">
        <f>('Butadiene Recycling HC'!M201)/('Butadiene Recycling HC'!M$197)*BZ$20/SUM(BZ$19:BZ$20)</f>
        <v>0</v>
      </c>
      <c r="CA175" s="168">
        <f>('Butadiene Recycling HC'!N201)/('Butadiene Recycling HC'!N$197)*CA$20/SUM(CA$19:CA$20)</f>
        <v>0</v>
      </c>
      <c r="CB175" s="168">
        <f>('Butadiene Recycling HC'!O201)/('Butadiene Recycling HC'!O$197)*CB$20/SUM(CB$19:CB$20)</f>
        <v>0</v>
      </c>
      <c r="CC175" s="168">
        <f>('Butadiene Recycling HC'!P201)/('Butadiene Recycling HC'!P$197)*CC$20/SUM(CC$19:CC$20)</f>
        <v>0</v>
      </c>
      <c r="CD175" s="168">
        <f>('Butadiene Recycling HC'!Q201)/('Butadiene Recycling HC'!Q$197)*CD$20/SUM(CD$19:CD$20)</f>
        <v>0</v>
      </c>
      <c r="CE175" s="168">
        <f>('Butadiene Recycling HC'!R201)/('Butadiene Recycling HC'!R$197)*CE$20/SUM(CE$19:CE$20)</f>
        <v>0</v>
      </c>
      <c r="CF175" s="168">
        <f>('Butadiene Recycling HC'!S201)/('Butadiene Recycling HC'!S$197)*CF$20/SUM(CF$19:CF$20)</f>
        <v>0</v>
      </c>
      <c r="CG175" s="168">
        <f>('Butadiene Recycling HC'!T201)/('Butadiene Recycling HC'!T$197)*CG$20/SUM(CG$19:CG$20)</f>
        <v>0</v>
      </c>
      <c r="CH175" s="168">
        <f>('Butadiene Recycling HC'!U201)/('Butadiene Recycling HC'!U$197)*CH$20/SUM(CH$19:CH$20)</f>
        <v>0</v>
      </c>
      <c r="CI175" s="168">
        <f>('Butadiene Recycling HC'!V201)/('Butadiene Recycling HC'!V$197)*CI$20/SUM(CI$19:CI$20)</f>
        <v>0</v>
      </c>
      <c r="CJ175" s="168">
        <f>('Butadiene Recycling HC'!W201)/('Butadiene Recycling HC'!W$197)*CJ$20/SUM(CJ$19:CJ$20)</f>
        <v>0</v>
      </c>
      <c r="CK175" s="168">
        <f>('Butadiene Recycling HC'!X201)/('Butadiene Recycling HC'!X$197)*CK$20/SUM(CK$19:CK$20)</f>
        <v>0</v>
      </c>
      <c r="CL175" s="168">
        <f>('Butadiene Recycling HC'!Y201)/('Butadiene Recycling HC'!Y$197)*CL$20/SUM(CL$19:CL$20)</f>
        <v>0</v>
      </c>
      <c r="CM175" s="168">
        <f>('Butadiene Recycling HC'!Z201)/('Butadiene Recycling HC'!Z$197)*CM$20/SUM(CM$19:CM$20)</f>
        <v>0</v>
      </c>
      <c r="CN175" s="168">
        <f>('Butadiene Recycling HC'!AA201)/('Butadiene Recycling HC'!AA$197)*CN$20/SUM(CN$19:CN$20)</f>
        <v>0</v>
      </c>
      <c r="CO175" s="168">
        <f>('Butadiene Recycling HC'!AB201)/('Butadiene Recycling HC'!AB$197)*CO$20/SUM(CO$19:CO$20)</f>
        <v>0</v>
      </c>
      <c r="CP175" s="168">
        <f>('Butadiene Recycling HC'!AC201)/('Butadiene Recycling HC'!AC$197)*CP$20/SUM(CP$19:CP$20)</f>
        <v>0</v>
      </c>
      <c r="CQ175" s="168">
        <f>('Butadiene Recycling HC'!AD201)/('Butadiene Recycling HC'!AD$197)*CQ$20/SUM(CQ$19:CQ$20)</f>
        <v>0</v>
      </c>
      <c r="CR175" s="168">
        <f>('Butadiene Recycling HC'!AE201)/('Butadiene Recycling HC'!AE$197)*CR$20/SUM(CR$19:CR$20)</f>
        <v>0</v>
      </c>
      <c r="CS175" s="168">
        <f>('Butadiene Recycling HC'!AF201)/('Butadiene Recycling HC'!AF$197)*CS$20/SUM(CS$19:CS$20)</f>
        <v>0</v>
      </c>
      <c r="CT175" s="168">
        <f>('Butadiene Recycling HC'!AG201)/('Butadiene Recycling HC'!AG$197)*CT$20/SUM(CT$19:CT$20)</f>
        <v>0</v>
      </c>
      <c r="CV175" s="168">
        <f t="shared" ref="CV175:CV180" si="1605">AJ175*(1-SUM(CV$34:CV$35))/(1-SUM(AJ$34:AJ$35))</f>
        <v>7.0279306138079111E-6</v>
      </c>
      <c r="CW175" s="168">
        <f t="shared" si="1575"/>
        <v>1.3984477685241394E-5</v>
      </c>
      <c r="CX175" s="168">
        <f t="shared" si="1576"/>
        <v>2.7751582380459933E-5</v>
      </c>
      <c r="CY175" s="168">
        <f t="shared" si="1577"/>
        <v>5.4887331539537697E-5</v>
      </c>
      <c r="CZ175" s="168">
        <f t="shared" si="1578"/>
        <v>1.0809234748453463E-4</v>
      </c>
      <c r="DA175" s="168">
        <f t="shared" si="1579"/>
        <v>2.1168152780969812E-4</v>
      </c>
      <c r="DB175" s="168">
        <f t="shared" si="1580"/>
        <v>4.1148054398887531E-4</v>
      </c>
      <c r="DC175" s="168">
        <f t="shared" si="1581"/>
        <v>7.9191630747714036E-4</v>
      </c>
      <c r="DD175" s="168">
        <f t="shared" si="1582"/>
        <v>1.5038473040681537E-3</v>
      </c>
      <c r="DE175" s="168">
        <f t="shared" si="1583"/>
        <v>2.8054608456826199E-3</v>
      </c>
      <c r="DF175" s="168">
        <f t="shared" si="1584"/>
        <v>5.1128608185354784E-3</v>
      </c>
      <c r="DG175" s="168">
        <f t="shared" si="1585"/>
        <v>9.0597238312137354E-3</v>
      </c>
      <c r="DH175" s="168">
        <f t="shared" si="1586"/>
        <v>1.545949342588928E-2</v>
      </c>
      <c r="DI175" s="168">
        <f t="shared" si="1587"/>
        <v>2.5240329722704662E-2</v>
      </c>
      <c r="DJ175" s="168">
        <f t="shared" si="1588"/>
        <v>3.9135845442135699E-2</v>
      </c>
      <c r="DK175" s="168">
        <f t="shared" si="1589"/>
        <v>5.7356176349426226E-2</v>
      </c>
      <c r="DL175" s="168">
        <f t="shared" si="1590"/>
        <v>7.9317095914993391E-2</v>
      </c>
      <c r="DM175" s="168">
        <f t="shared" si="1591"/>
        <v>0.10367653895659797</v>
      </c>
      <c r="DN175" s="168">
        <f t="shared" si="1592"/>
        <v>0.12869886012598911</v>
      </c>
      <c r="DO175" s="168">
        <f t="shared" si="1593"/>
        <v>0.15275346881554108</v>
      </c>
      <c r="DP175" s="168">
        <f t="shared" si="1594"/>
        <v>0.17468139557346005</v>
      </c>
      <c r="DQ175" s="168">
        <f t="shared" si="1595"/>
        <v>0.19480785217115013</v>
      </c>
      <c r="DR175" s="168">
        <f t="shared" si="1596"/>
        <v>0.21198723420365959</v>
      </c>
      <c r="DS175" s="168">
        <f t="shared" si="1597"/>
        <v>0.2269339475437977</v>
      </c>
      <c r="DT175" s="168">
        <f t="shared" si="1598"/>
        <v>0.23989707754358952</v>
      </c>
      <c r="DU175" s="168">
        <f t="shared" si="1599"/>
        <v>0.25123605897344131</v>
      </c>
      <c r="DV175" s="168">
        <f t="shared" si="1600"/>
        <v>0.26130395695799752</v>
      </c>
      <c r="DW175" s="168">
        <f t="shared" si="1601"/>
        <v>0.27040585411634116</v>
      </c>
      <c r="DX175" s="168">
        <f t="shared" si="1602"/>
        <v>0.27877731631247948</v>
      </c>
      <c r="DY175" s="168">
        <f t="shared" si="1603"/>
        <v>0.28658722614936455</v>
      </c>
      <c r="DZ175" s="168">
        <f t="shared" si="1604"/>
        <v>0.29393824732343871</v>
      </c>
    </row>
    <row r="176" spans="1:165" x14ac:dyDescent="0.2">
      <c r="A176" s="606" t="s">
        <v>33</v>
      </c>
      <c r="C176" s="54" t="s">
        <v>462</v>
      </c>
      <c r="D176" s="168">
        <f>('Butadiene Recycling HC'!C226)/('Butadiene Recycling HC'!C$207)</f>
        <v>0.35262685341692923</v>
      </c>
      <c r="E176" s="168">
        <f>('Butadiene Recycling HC'!D226)/('Butadiene Recycling HC'!D$207)</f>
        <v>0.35184057182343331</v>
      </c>
      <c r="F176" s="168">
        <f>('Butadiene Recycling HC'!E226)/('Butadiene Recycling HC'!E$207)</f>
        <v>0.35103095326408229</v>
      </c>
      <c r="G176" s="168">
        <f>('Butadiene Recycling HC'!F226)/('Butadiene Recycling HC'!F$207)</f>
        <v>0.35019796779899187</v>
      </c>
      <c r="H176" s="168">
        <f>('Butadiene Recycling HC'!G226)/('Butadiene Recycling HC'!G$207)</f>
        <v>0.34934158543704114</v>
      </c>
      <c r="I176" s="168">
        <f>('Butadiene Recycling HC'!H226)/('Butadiene Recycling HC'!H$207)</f>
        <v>0.34846177613576257</v>
      </c>
      <c r="J176" s="168">
        <f>('Butadiene Recycling HC'!I226)/('Butadiene Recycling HC'!I$207)</f>
        <v>0.34743531827033225</v>
      </c>
      <c r="K176" s="168">
        <f>('Butadiene Recycling HC'!J226)/('Butadiene Recycling HC'!J$207)</f>
        <v>0.34636454746765349</v>
      </c>
      <c r="L176" s="168">
        <f>('Butadiene Recycling HC'!K226)/('Butadiene Recycling HC'!K$207)</f>
        <v>0.34524889698178629</v>
      </c>
      <c r="M176" s="168">
        <f>('Butadiene Recycling HC'!L226)/('Butadiene Recycling HC'!L$207)</f>
        <v>0.34408779036078629</v>
      </c>
      <c r="N176" s="168">
        <f>('Butadiene Recycling HC'!M226)/('Butadiene Recycling HC'!M$207)</f>
        <v>0.34288064123803202</v>
      </c>
      <c r="O176" s="168">
        <f>('Butadiene Recycling HC'!N226)/('Butadiene Recycling HC'!N$207)</f>
        <v>0.34161090931799065</v>
      </c>
      <c r="P176" s="168">
        <f>('Butadiene Recycling HC'!O226)/('Butadiene Recycling HC'!O$207)</f>
        <v>0.34029753360564013</v>
      </c>
      <c r="Q176" s="168">
        <f>('Butadiene Recycling HC'!P226)/('Butadiene Recycling HC'!P$207)</f>
        <v>0.33907132354863401</v>
      </c>
      <c r="R176" s="168">
        <f>('Butadiene Recycling HC'!Q226)/('Butadiene Recycling HC'!Q$207)</f>
        <v>0.33781022307089587</v>
      </c>
      <c r="S176" s="168">
        <f>('Butadiene Recycling HC'!R226)/('Butadiene Recycling HC'!R$207)</f>
        <v>0.33651380652576535</v>
      </c>
      <c r="T176" s="168">
        <f>('Butadiene Recycling HC'!S226)/('Butadiene Recycling HC'!S$207)</f>
        <v>0.33519521181262096</v>
      </c>
      <c r="U176" s="168">
        <f>('Butadiene Recycling HC'!T226)/('Butadiene Recycling HC'!T$207)</f>
        <v>0.33384196097042296</v>
      </c>
      <c r="V176" s="168">
        <f>('Butadiene Recycling HC'!U226)/('Butadiene Recycling HC'!U$207)</f>
        <v>0.33245364754779816</v>
      </c>
      <c r="W176" s="168">
        <f>('Butadiene Recycling HC'!V226)/('Butadiene Recycling HC'!V$207)</f>
        <v>0.33102985293856785</v>
      </c>
      <c r="X176" s="168">
        <f>('Butadiene Recycling HC'!W226)/('Butadiene Recycling HC'!W$207)</f>
        <v>0.32957014592396816</v>
      </c>
      <c r="Y176" s="168">
        <f>('Butadiene Recycling HC'!X226)/('Butadiene Recycling HC'!X$207)</f>
        <v>0.32804234193887027</v>
      </c>
      <c r="Z176" s="168">
        <f>('Butadiene Recycling HC'!Y226)/('Butadiene Recycling HC'!Y$207)</f>
        <v>0.32650641740803005</v>
      </c>
      <c r="AA176" s="168">
        <f>('Butadiene Recycling HC'!Z226)/('Butadiene Recycling HC'!Z$207)</f>
        <v>0.3254059897105932</v>
      </c>
      <c r="AB176" s="168">
        <f>('Butadiene Recycling HC'!AA226)/('Butadiene Recycling HC'!AA$207)</f>
        <v>0.32431379250723685</v>
      </c>
      <c r="AC176" s="168">
        <f>('Butadiene Recycling HC'!AB226)/('Butadiene Recycling HC'!AB$207)</f>
        <v>0.3232313444296544</v>
      </c>
      <c r="AD176" s="168">
        <f>('Butadiene Recycling HC'!AC226)/('Butadiene Recycling HC'!AC$207)</f>
        <v>0.32213927185781077</v>
      </c>
      <c r="AE176" s="168">
        <f>('Butadiene Recycling HC'!AD226)/('Butadiene Recycling HC'!AD$207)</f>
        <v>0.32105836747795347</v>
      </c>
      <c r="AF176" s="168">
        <f>('Butadiene Recycling HC'!AE226)/('Butadiene Recycling HC'!AE$207)</f>
        <v>0.31999035254384145</v>
      </c>
      <c r="AG176" s="168">
        <f>('Butadiene Recycling HC'!AF226)/('Butadiene Recycling HC'!AF$207)</f>
        <v>0.31893705116130039</v>
      </c>
      <c r="AH176" s="168">
        <f>('Butadiene Recycling HC'!AG226)/('Butadiene Recycling HC'!AG$207)</f>
        <v>0.31790039808702503</v>
      </c>
      <c r="AI176" s="44"/>
      <c r="AJ176" s="168">
        <f>('Butadiene Recycling LC'!C226)/('Butadiene Recycling LC'!C$207)</f>
        <v>0.35262685341692923</v>
      </c>
      <c r="AK176" s="168">
        <f>('Butadiene Recycling LC'!D226)/('Butadiene Recycling LC'!D$207)</f>
        <v>0.35184223998255248</v>
      </c>
      <c r="AL176" s="168">
        <f>('Butadiene Recycling LC'!E226)/('Butadiene Recycling LC'!E$207)</f>
        <v>0.35103470757759908</v>
      </c>
      <c r="AM176" s="168">
        <f>('Butadiene Recycling LC'!F226)/('Butadiene Recycling LC'!F$207)</f>
        <v>0.35020423259502348</v>
      </c>
      <c r="AN176" s="168">
        <f>('Butadiene Recycling LC'!G226)/('Butadiene Recycling LC'!G$207)</f>
        <v>0.34935079139534803</v>
      </c>
      <c r="AO176" s="168">
        <f>('Butadiene Recycling LC'!H226)/('Butadiene Recycling LC'!H$207)</f>
        <v>0.348474360306607</v>
      </c>
      <c r="AP176" s="168">
        <f>('Butadiene Recycling LC'!I226)/('Butadiene Recycling LC'!I$207)</f>
        <v>0.34751349881104393</v>
      </c>
      <c r="AQ176" s="168">
        <f>('Butadiene Recycling LC'!J226)/('Butadiene Recycling LC'!J$207)</f>
        <v>0.34651949411843191</v>
      </c>
      <c r="AR176" s="168">
        <f>('Butadiene Recycling LC'!K226)/('Butadiene Recycling LC'!K$207)</f>
        <v>0.34549212265871143</v>
      </c>
      <c r="AS176" s="168">
        <f>('Butadiene Recycling LC'!L226)/('Butadiene Recycling LC'!L$207)</f>
        <v>0.34443115884647879</v>
      </c>
      <c r="AT176" s="168">
        <f>('Butadiene Recycling LC'!M226)/('Butadiene Recycling LC'!M$207)</f>
        <v>0.34333637505822584</v>
      </c>
      <c r="AU176" s="168">
        <f>('Butadiene Recycling LC'!N226)/('Butadiene Recycling LC'!N$207)</f>
        <v>0.34219603580342661</v>
      </c>
      <c r="AV176" s="168">
        <f>('Butadiene Recycling LC'!O226)/('Butadiene Recycling LC'!O$207)</f>
        <v>0.34102483015553348</v>
      </c>
      <c r="AW176" s="168">
        <f>('Butadiene Recycling LC'!P226)/('Butadiene Recycling LC'!P$207)</f>
        <v>0.33988399215741927</v>
      </c>
      <c r="AX176" s="168">
        <f>('Butadiene Recycling LC'!Q226)/('Butadiene Recycling LC'!Q$207)</f>
        <v>0.3387145905516743</v>
      </c>
      <c r="AY176" s="168">
        <f>('Butadiene Recycling LC'!R226)/('Butadiene Recycling LC'!R$207)</f>
        <v>0.33751646821017256</v>
      </c>
      <c r="AZ176" s="168">
        <f>('Butadiene Recycling LC'!S226)/('Butadiene Recycling LC'!S$207)</f>
        <v>0.33629594143139807</v>
      </c>
      <c r="BA176" s="168">
        <f>('Butadiene Recycling LC'!T226)/('Butadiene Recycling LC'!T$207)</f>
        <v>0.33504705067762891</v>
      </c>
      <c r="BB176" s="168">
        <f>('Butadiene Recycling LC'!U226)/('Butadiene Recycling LC'!U$207)</f>
        <v>0.33376964856623365</v>
      </c>
      <c r="BC176" s="168">
        <f>('Butadiene Recycling LC'!V226)/('Butadiene Recycling LC'!V$207)</f>
        <v>0.33246358546513244</v>
      </c>
      <c r="BD176" s="168">
        <f>('Butadiene Recycling LC'!W226)/('Butadiene Recycling LC'!W$207)</f>
        <v>0.33112870944971701</v>
      </c>
      <c r="BE176" s="168">
        <f>('Butadiene Recycling LC'!X226)/('Butadiene Recycling LC'!X$207)</f>
        <v>0.3297392975015766</v>
      </c>
      <c r="BF176" s="168">
        <f>('Butadiene Recycling LC'!Y226)/('Butadiene Recycling LC'!Y$207)</f>
        <v>0.32834419997776987</v>
      </c>
      <c r="BG176" s="168">
        <f>('Butadiene Recycling LC'!Z226)/('Butadiene Recycling LC'!Z$207)</f>
        <v>0.32714828230398491</v>
      </c>
      <c r="BH176" s="168">
        <f>('Butadiene Recycling LC'!AA226)/('Butadiene Recycling LC'!AA$207)</f>
        <v>0.32594228914997864</v>
      </c>
      <c r="BI176" s="168">
        <f>('Butadiene Recycling LC'!AB226)/('Butadiene Recycling LC'!AB$207)</f>
        <v>0.32472656566437247</v>
      </c>
      <c r="BJ176" s="168">
        <f>('Butadiene Recycling LC'!AC226)/('Butadiene Recycling LC'!AC$207)</f>
        <v>0.32349191914020242</v>
      </c>
      <c r="BK176" s="168">
        <f>('Butadiene Recycling LC'!AD226)/('Butadiene Recycling LC'!AD$207)</f>
        <v>0.32224750845308969</v>
      </c>
      <c r="BL176" s="168">
        <f>('Butadiene Recycling LC'!AE226)/('Butadiene Recycling LC'!AE$207)</f>
        <v>0.32099368915241344</v>
      </c>
      <c r="BM176" s="168">
        <f>('Butadiene Recycling LC'!AF226)/('Butadiene Recycling LC'!AF$207)</f>
        <v>0.31973082671933073</v>
      </c>
      <c r="BN176" s="168">
        <f>('Butadiene Recycling LC'!AG226)/('Butadiene Recycling LC'!AG$207)</f>
        <v>0.31845929691600333</v>
      </c>
      <c r="BP176" s="168">
        <f>('Butadiene Recycling HC'!C202)/('Butadiene Recycling HC'!C$197)</f>
        <v>0.35262685341692923</v>
      </c>
      <c r="BQ176" s="168">
        <f>('Butadiene Recycling HC'!D202)/('Butadiene Recycling HC'!D$197)</f>
        <v>0.34594680576681036</v>
      </c>
      <c r="BR176" s="168">
        <f>('Butadiene Recycling HC'!E202)/('Butadiene Recycling HC'!E$197)</f>
        <v>0.33920885499701531</v>
      </c>
      <c r="BS176" s="168">
        <f>('Butadiene Recycling HC'!F202)/('Butadiene Recycling HC'!F$197)</f>
        <v>0.33241768245543651</v>
      </c>
      <c r="BT176" s="168">
        <f>('Butadiene Recycling HC'!G202)/('Butadiene Recycling HC'!G$197)</f>
        <v>0.3255774595027644</v>
      </c>
      <c r="BU176" s="168">
        <f>('Butadiene Recycling HC'!H202)/('Butadiene Recycling HC'!H$197)</f>
        <v>0.31869190460115765</v>
      </c>
      <c r="BV176" s="168">
        <f>('Butadiene Recycling HC'!I202)/('Butadiene Recycling HC'!I$197)</f>
        <v>0.31179541077469097</v>
      </c>
      <c r="BW176" s="168">
        <f>('Butadiene Recycling HC'!J202)/('Butadiene Recycling HC'!J$197)</f>
        <v>0.30488855324074121</v>
      </c>
      <c r="BX176" s="168">
        <f>('Butadiene Recycling HC'!K202)/('Butadiene Recycling HC'!K$197)</f>
        <v>0.29797188852910195</v>
      </c>
      <c r="BY176" s="168">
        <f>('Butadiene Recycling HC'!L202)/('Butadiene Recycling HC'!L$197)</f>
        <v>0.29104595577541109</v>
      </c>
      <c r="BZ176" s="168">
        <f>('Butadiene Recycling HC'!M202)/('Butadiene Recycling HC'!M$197)</f>
        <v>0.28411127796763752</v>
      </c>
      <c r="CA176" s="168">
        <f>('Butadiene Recycling HC'!N202)/('Butadiene Recycling HC'!N$197)</f>
        <v>0.27715040730970769</v>
      </c>
      <c r="CB176" s="168">
        <f>('Butadiene Recycling HC'!O202)/('Butadiene Recycling HC'!O$197)</f>
        <v>0.27016522390817332</v>
      </c>
      <c r="CC176" s="168">
        <f>('Butadiene Recycling HC'!P202)/('Butadiene Recycling HC'!P$197)</f>
        <v>0.26315747146025026</v>
      </c>
      <c r="CD176" s="168">
        <f>('Butadiene Recycling HC'!Q202)/('Butadiene Recycling HC'!Q$197)</f>
        <v>0.25612877337362799</v>
      </c>
      <c r="CE176" s="168">
        <f>('Butadiene Recycling HC'!R202)/('Butadiene Recycling HC'!R$197)</f>
        <v>0.24908064786431489</v>
      </c>
      <c r="CF176" s="168">
        <f>('Butadiene Recycling HC'!S202)/('Butadiene Recycling HC'!S$197)</f>
        <v>0.24203463852543242</v>
      </c>
      <c r="CG176" s="168">
        <f>('Butadiene Recycling HC'!T202)/('Butadiene Recycling HC'!T$197)</f>
        <v>0.23499085942823425</v>
      </c>
      <c r="CH176" s="168">
        <f>('Butadiene Recycling HC'!U202)/('Butadiene Recycling HC'!U$197)</f>
        <v>0.22794942685351627</v>
      </c>
      <c r="CI176" s="168">
        <f>('Butadiene Recycling HC'!V202)/('Butadiene Recycling HC'!V$197)</f>
        <v>0.22091045937765313</v>
      </c>
      <c r="CJ176" s="168">
        <f>('Butadiene Recycling HC'!W202)/('Butadiene Recycling HC'!W$197)</f>
        <v>0.213874077960992</v>
      </c>
      <c r="CK176" s="168">
        <f>('Butadiene Recycling HC'!X202)/('Butadiene Recycling HC'!X$197)</f>
        <v>0.20684051463512348</v>
      </c>
      <c r="CL176" s="168">
        <f>('Butadiene Recycling HC'!Y202)/('Butadiene Recycling HC'!Y$197)</f>
        <v>0.19980988666587909</v>
      </c>
      <c r="CM176" s="168">
        <f>('Butadiene Recycling HC'!Z202)/('Butadiene Recycling HC'!Z$197)</f>
        <v>0.19278231376617455</v>
      </c>
      <c r="CN176" s="168">
        <f>('Butadiene Recycling HC'!AA202)/('Butadiene Recycling HC'!AA$197)</f>
        <v>0.18575791818027995</v>
      </c>
      <c r="CO176" s="168">
        <f>('Butadiene Recycling HC'!AB202)/('Butadiene Recycling HC'!AB$197)</f>
        <v>0.17873682477043509</v>
      </c>
      <c r="CP176" s="168">
        <f>('Butadiene Recycling HC'!AC202)/('Butadiene Recycling HC'!AC$197)</f>
        <v>0.17171924128499536</v>
      </c>
      <c r="CQ176" s="168">
        <f>('Butadiene Recycling HC'!AD202)/('Butadiene Recycling HC'!AD$197)</f>
        <v>0.16470529008337007</v>
      </c>
      <c r="CR176" s="168">
        <f>('Butadiene Recycling HC'!AE202)/('Butadiene Recycling HC'!AE$197)</f>
        <v>0.15769509619183969</v>
      </c>
      <c r="CS176" s="168">
        <f>('Butadiene Recycling HC'!AF202)/('Butadiene Recycling HC'!AF$197)</f>
        <v>0.15068878738745389</v>
      </c>
      <c r="CT176" s="168">
        <f>('Butadiene Recycling HC'!AG202)/('Butadiene Recycling HC'!AG$197)</f>
        <v>0.14368649428426464</v>
      </c>
      <c r="CV176" s="168">
        <f t="shared" si="1605"/>
        <v>0.35262685341692923</v>
      </c>
      <c r="CW176" s="168">
        <f t="shared" si="1575"/>
        <v>0.35224344610956815</v>
      </c>
      <c r="CX176" s="168">
        <f t="shared" si="1576"/>
        <v>0.35187263186386752</v>
      </c>
      <c r="CY176" s="168">
        <f t="shared" si="1577"/>
        <v>0.35151395175609668</v>
      </c>
      <c r="CZ176" s="168">
        <f t="shared" si="1578"/>
        <v>0.35116690996201877</v>
      </c>
      <c r="DA176" s="168">
        <f t="shared" si="1579"/>
        <v>0.35083098378168598</v>
      </c>
      <c r="DB176" s="168">
        <f t="shared" si="1580"/>
        <v>0.35051558815844464</v>
      </c>
      <c r="DC176" s="168">
        <f t="shared" si="1581"/>
        <v>0.35020408548187754</v>
      </c>
      <c r="DD176" s="168">
        <f t="shared" si="1582"/>
        <v>0.34989563555036934</v>
      </c>
      <c r="DE176" s="168">
        <f t="shared" si="1583"/>
        <v>0.34958969558259417</v>
      </c>
      <c r="DF176" s="168">
        <f t="shared" si="1584"/>
        <v>0.34928635535015362</v>
      </c>
      <c r="DG176" s="168">
        <f t="shared" si="1585"/>
        <v>0.34965511861108833</v>
      </c>
      <c r="DH176" s="168">
        <f t="shared" si="1586"/>
        <v>0.34996567365576936</v>
      </c>
      <c r="DI176" s="168">
        <f t="shared" si="1587"/>
        <v>0.35062987594317702</v>
      </c>
      <c r="DJ176" s="168">
        <f t="shared" si="1588"/>
        <v>0.35141092557918341</v>
      </c>
      <c r="DK176" s="168">
        <f t="shared" si="1589"/>
        <v>0.35230843161591729</v>
      </c>
      <c r="DL176" s="168">
        <f t="shared" si="1590"/>
        <v>0.35331437925700165</v>
      </c>
      <c r="DM176" s="168">
        <f t="shared" si="1591"/>
        <v>0.35442419381303925</v>
      </c>
      <c r="DN176" s="168">
        <f t="shared" si="1592"/>
        <v>0.3556238146164678</v>
      </c>
      <c r="DO176" s="168">
        <f t="shared" si="1593"/>
        <v>0.35689592451811453</v>
      </c>
      <c r="DP176" s="168">
        <f t="shared" si="1594"/>
        <v>0.35822221805426685</v>
      </c>
      <c r="DQ176" s="168">
        <f t="shared" si="1595"/>
        <v>0.36125561918207361</v>
      </c>
      <c r="DR176" s="168">
        <f t="shared" si="1596"/>
        <v>0.36378595043255008</v>
      </c>
      <c r="DS176" s="168">
        <f t="shared" si="1597"/>
        <v>0.36673402298190627</v>
      </c>
      <c r="DT176" s="168">
        <f t="shared" si="1598"/>
        <v>0.36986183127166827</v>
      </c>
      <c r="DU176" s="168">
        <f t="shared" si="1599"/>
        <v>0.37309127972577366</v>
      </c>
      <c r="DV176" s="168">
        <f t="shared" si="1600"/>
        <v>0.37638700469179642</v>
      </c>
      <c r="DW176" s="168">
        <f t="shared" si="1601"/>
        <v>0.37972788210471309</v>
      </c>
      <c r="DX176" s="168">
        <f t="shared" si="1602"/>
        <v>0.38308341472829893</v>
      </c>
      <c r="DY176" s="168">
        <f t="shared" si="1603"/>
        <v>0.3864118302251518</v>
      </c>
      <c r="DZ176" s="168">
        <f t="shared" si="1604"/>
        <v>0.38964950664160014</v>
      </c>
    </row>
    <row r="177" spans="1:165" x14ac:dyDescent="0.2">
      <c r="A177" s="606" t="s">
        <v>451</v>
      </c>
      <c r="C177" s="54" t="s">
        <v>462</v>
      </c>
      <c r="D177" s="168">
        <f>'Butadiene Recycling HC'!C227/('Butadiene Recycling HC'!C$207)</f>
        <v>7.624364398203877E-2</v>
      </c>
      <c r="E177" s="168">
        <f>'Butadiene Recycling HC'!D227/('Butadiene Recycling HC'!D$207)</f>
        <v>7.3523635188215197E-2</v>
      </c>
      <c r="F177" s="168">
        <f>'Butadiene Recycling HC'!E227/('Butadiene Recycling HC'!E$207)</f>
        <v>7.0833031640788038E-2</v>
      </c>
      <c r="G177" s="168">
        <f>'Butadiene Recycling HC'!F227/('Butadiene Recycling HC'!F$207)</f>
        <v>6.8171871064870423E-2</v>
      </c>
      <c r="H177" s="168">
        <f>'Butadiene Recycling HC'!G227/('Butadiene Recycling HC'!G$207)</f>
        <v>6.5540191250135132E-2</v>
      </c>
      <c r="I177" s="168">
        <f>'Butadiene Recycling HC'!H227/('Butadiene Recycling HC'!H$207)</f>
        <v>6.2938030050952692E-2</v>
      </c>
      <c r="J177" s="168">
        <f>'Butadiene Recycling HC'!I227/('Butadiene Recycling HC'!I$207)</f>
        <v>6.0344028962741901E-2</v>
      </c>
      <c r="K177" s="168">
        <f>'Butadiene Recycling HC'!J227/('Butadiene Recycling HC'!J$207)</f>
        <v>5.7777841542639118E-2</v>
      </c>
      <c r="L177" s="168">
        <f>'Butadiene Recycling HC'!K227/('Butadiene Recycling HC'!K$207)</f>
        <v>5.5239823517085784E-2</v>
      </c>
      <c r="M177" s="168">
        <f>'Butadiene Recycling HC'!L227/('Butadiene Recycling HC'!L$207)</f>
        <v>5.2730336704639967E-2</v>
      </c>
      <c r="N177" s="168">
        <f>'Butadiene Recycling HC'!M227/('Butadiene Recycling HC'!M$207)</f>
        <v>5.0249749146952953E-2</v>
      </c>
      <c r="O177" s="168">
        <f>'Butadiene Recycling HC'!N227/('Butadiene Recycling HC'!N$207)</f>
        <v>4.7796204479684509E-2</v>
      </c>
      <c r="P177" s="168">
        <f>'Butadiene Recycling HC'!O227/('Butadiene Recycling HC'!O$207)</f>
        <v>4.5373004480751995E-2</v>
      </c>
      <c r="Q177" s="168">
        <f>'Butadiene Recycling HC'!P227/('Butadiene Recycling HC'!P$207)</f>
        <v>4.2997129539358678E-2</v>
      </c>
      <c r="R177" s="168">
        <f>'Butadiene Recycling HC'!Q227/('Butadiene Recycling HC'!Q$207)</f>
        <v>4.0651738708531525E-2</v>
      </c>
      <c r="S177" s="168">
        <f>'Butadiene Recycling HC'!R227/('Butadiene Recycling HC'!R$207)</f>
        <v>3.8337015933315031E-2</v>
      </c>
      <c r="T177" s="168">
        <f>'Butadiene Recycling HC'!S227/('Butadiene Recycling HC'!S$207)</f>
        <v>3.6054611018500396E-2</v>
      </c>
      <c r="U177" s="168">
        <f>'Butadiene Recycling HC'!T227/('Butadiene Recycling HC'!T$207)</f>
        <v>3.3803244583616041E-2</v>
      </c>
      <c r="V177" s="168">
        <f>'Butadiene Recycling HC'!U227/('Butadiene Recycling HC'!U$207)</f>
        <v>3.1583096517040818E-2</v>
      </c>
      <c r="W177" s="168">
        <f>'Butadiene Recycling HC'!V227/('Butadiene Recycling HC'!V$207)</f>
        <v>2.9394352086661198E-2</v>
      </c>
      <c r="X177" s="168">
        <f>'Butadiene Recycling HC'!W227/('Butadiene Recycling HC'!W$207)</f>
        <v>2.7237202142476696E-2</v>
      </c>
      <c r="Y177" s="168">
        <f>'Butadiene Recycling HC'!X227/('Butadiene Recycling HC'!X$207)</f>
        <v>2.5109413827419689E-2</v>
      </c>
      <c r="Z177" s="168">
        <f>'Butadiene Recycling HC'!Y227/('Butadiene Recycling HC'!Y$207)</f>
        <v>2.3016026145156205E-2</v>
      </c>
      <c r="AA177" s="168">
        <f>'Butadiene Recycling HC'!Z227/('Butadiene Recycling HC'!Z$207)</f>
        <v>2.0985365867050489E-2</v>
      </c>
      <c r="AB177" s="168">
        <f>'Butadiene Recycling HC'!AA227/('Butadiene Recycling HC'!AA$207)</f>
        <v>1.8984222000423608E-2</v>
      </c>
      <c r="AC177" s="168">
        <f>'Butadiene Recycling HC'!AB227/('Butadiene Recycling HC'!AB$207)</f>
        <v>1.7012176022613373E-2</v>
      </c>
      <c r="AD177" s="168">
        <f>'Butadiene Recycling HC'!AC227/('Butadiene Recycling HC'!AC$207)</f>
        <v>1.5067804651413714E-2</v>
      </c>
      <c r="AE177" s="168">
        <f>'Butadiene Recycling HC'!AD227/('Butadiene Recycling HC'!AD$207)</f>
        <v>1.3151788547289645E-2</v>
      </c>
      <c r="AF177" s="168">
        <f>'Butadiene Recycling HC'!AE227/('Butadiene Recycling HC'!AE$207)</f>
        <v>1.12636604095432E-2</v>
      </c>
      <c r="AG177" s="168">
        <f>'Butadiene Recycling HC'!AF227/('Butadiene Recycling HC'!AF$207)</f>
        <v>9.4029250143172049E-3</v>
      </c>
      <c r="AH177" s="168">
        <f>'Butadiene Recycling HC'!AG227/('Butadiene Recycling HC'!AG$207)</f>
        <v>7.5690570973101197E-3</v>
      </c>
      <c r="AI177" s="44"/>
      <c r="AJ177" s="168">
        <f>'Butadiene Recycling LC'!C227/('Butadiene Recycling LC'!C$207)</f>
        <v>7.624364398203877E-2</v>
      </c>
      <c r="AK177" s="168">
        <f>'Butadiene Recycling LC'!D227/('Butadiene Recycling LC'!D$207)</f>
        <v>7.3523983781107374E-2</v>
      </c>
      <c r="AL177" s="168">
        <f>'Butadiene Recycling LC'!E227/('Butadiene Recycling LC'!E$207)</f>
        <v>7.0833789207622677E-2</v>
      </c>
      <c r="AM177" s="168">
        <f>'Butadiene Recycling LC'!F227/('Butadiene Recycling LC'!F$207)</f>
        <v>6.817309061183123E-2</v>
      </c>
      <c r="AN177" s="168">
        <f>'Butadiene Recycling LC'!G227/('Butadiene Recycling LC'!G$207)</f>
        <v>6.5541918385675899E-2</v>
      </c>
      <c r="AO177" s="168">
        <f>'Butadiene Recycling LC'!H227/('Butadiene Recycling LC'!H$207)</f>
        <v>6.2940302962867331E-2</v>
      </c>
      <c r="AP177" s="168">
        <f>'Butadiene Recycling LC'!I227/('Butadiene Recycling LC'!I$207)</f>
        <v>6.0357607688233929E-2</v>
      </c>
      <c r="AQ177" s="168">
        <f>'Butadiene Recycling LC'!J227/('Butadiene Recycling LC'!J$207)</f>
        <v>5.7803688538533161E-2</v>
      </c>
      <c r="AR177" s="168">
        <f>'Butadiene Recycling LC'!K227/('Butadiene Recycling LC'!K$207)</f>
        <v>5.5278739625393813E-2</v>
      </c>
      <c r="AS177" s="168">
        <f>'Butadiene Recycling LC'!L227/('Butadiene Recycling LC'!L$207)</f>
        <v>5.278295681023959E-2</v>
      </c>
      <c r="AT177" s="168">
        <f>'Butadiene Recycling LC'!M227/('Butadiene Recycling LC'!M$207)</f>
        <v>5.0316537724050321E-2</v>
      </c>
      <c r="AU177" s="168">
        <f>'Butadiene Recycling LC'!N227/('Butadiene Recycling LC'!N$207)</f>
        <v>4.787807196219615E-2</v>
      </c>
      <c r="AV177" s="168">
        <f>'Butadiene Recycling LC'!O227/('Butadiene Recycling LC'!O$207)</f>
        <v>4.5469977354071114E-2</v>
      </c>
      <c r="AW177" s="168">
        <f>'Butadiene Recycling LC'!P227/('Butadiene Recycling LC'!P$207)</f>
        <v>4.3100182835281241E-2</v>
      </c>
      <c r="AX177" s="168">
        <f>'Butadiene Recycling LC'!Q227/('Butadiene Recycling LC'!Q$207)</f>
        <v>4.0760569371472662E-2</v>
      </c>
      <c r="AY177" s="168">
        <f>'Butadiene Recycling LC'!R227/('Butadiene Recycling LC'!R$207)</f>
        <v>3.845124321381712E-2</v>
      </c>
      <c r="AZ177" s="168">
        <f>'Butadiene Recycling LC'!S227/('Butadiene Recycling LC'!S$207)</f>
        <v>3.6173008826234407E-2</v>
      </c>
      <c r="BA177" s="168">
        <f>'Butadiene Recycling LC'!T227/('Butadiene Recycling LC'!T$207)</f>
        <v>3.3925266219241079E-2</v>
      </c>
      <c r="BB177" s="168">
        <f>'Butadiene Recycling LC'!U227/('Butadiene Recycling LC'!U$207)</f>
        <v>3.1708116613792185E-2</v>
      </c>
      <c r="BC177" s="168">
        <f>'Butadiene Recycling LC'!V227/('Butadiene Recycling LC'!V$207)</f>
        <v>2.9521662775742037E-2</v>
      </c>
      <c r="BD177" s="168">
        <f>'Butadiene Recycling LC'!W227/('Butadiene Recycling LC'!W$207)</f>
        <v>2.7366009045431142E-2</v>
      </c>
      <c r="BE177" s="168">
        <f>'Butadiene Recycling LC'!X227/('Butadiene Recycling LC'!X$207)</f>
        <v>2.5239304253207088E-2</v>
      </c>
      <c r="BF177" s="168">
        <f>'Butadiene Recycling LC'!Y227/('Butadiene Recycling LC'!Y$207)</f>
        <v>2.3145574752531307E-2</v>
      </c>
      <c r="BG177" s="168">
        <f>'Butadiene Recycling LC'!Z227/('Butadiene Recycling LC'!Z$207)</f>
        <v>2.1097725960828401E-2</v>
      </c>
      <c r="BH177" s="168">
        <f>'Butadiene Recycling LC'!AA227/('Butadiene Recycling LC'!AA$207)</f>
        <v>1.907954863316947E-2</v>
      </c>
      <c r="BI177" s="168">
        <f>'Butadiene Recycling LC'!AB227/('Butadiene Recycling LC'!AB$207)</f>
        <v>1.7090871877072221E-2</v>
      </c>
      <c r="BJ177" s="168">
        <f>'Butadiene Recycling LC'!AC227/('Butadiene Recycling LC'!AC$207)</f>
        <v>1.5131073637203001E-2</v>
      </c>
      <c r="BK177" s="168">
        <f>'Butadiene Recycling LC'!AD227/('Butadiene Recycling LC'!AD$207)</f>
        <v>1.3200500346271127E-2</v>
      </c>
      <c r="BL177" s="168">
        <f>'Butadiene Recycling LC'!AE227/('Butadiene Recycling LC'!AE$207)</f>
        <v>1.1298977858164935E-2</v>
      </c>
      <c r="BM177" s="168">
        <f>'Butadiene Recycling LC'!AF227/('Butadiene Recycling LC'!AF$207)</f>
        <v>9.4263271622431963E-3</v>
      </c>
      <c r="BN177" s="168">
        <f>'Butadiene Recycling LC'!AG227/('Butadiene Recycling LC'!AG$207)</f>
        <v>7.5823642122857943E-3</v>
      </c>
      <c r="BP177" s="168">
        <f>'Butadiene Recycling HC'!C203/('Butadiene Recycling HC'!C$197)</f>
        <v>7.624364398203877E-2</v>
      </c>
      <c r="BQ177" s="168">
        <f>'Butadiene Recycling HC'!D203/('Butadiene Recycling HC'!D$197)</f>
        <v>7.6400163060164061E-2</v>
      </c>
      <c r="BR177" s="168">
        <f>'Butadiene Recycling HC'!E203/('Butadiene Recycling HC'!E$197)</f>
        <v>7.6546286355544807E-2</v>
      </c>
      <c r="BS177" s="168">
        <f>'Butadiene Recycling HC'!F203/('Butadiene Recycling HC'!F$197)</f>
        <v>7.6682389833874029E-2</v>
      </c>
      <c r="BT177" s="168">
        <f>'Butadiene Recycling HC'!G203/('Butadiene Recycling HC'!G$197)</f>
        <v>7.6808766854525409E-2</v>
      </c>
      <c r="BU177" s="168">
        <f>'Butadiene Recycling HC'!H203/('Butadiene Recycling HC'!H$197)</f>
        <v>7.6925632145107004E-2</v>
      </c>
      <c r="BV177" s="168">
        <f>'Butadiene Recycling HC'!I203/('Butadiene Recycling HC'!I$197)</f>
        <v>7.7040803520662435E-2</v>
      </c>
      <c r="BW177" s="168">
        <f>'Butadiene Recycling HC'!J203/('Butadiene Recycling HC'!J$197)</f>
        <v>7.71542999263964E-2</v>
      </c>
      <c r="BX177" s="168">
        <f>'Butadiene Recycling HC'!K203/('Butadiene Recycling HC'!K$197)</f>
        <v>7.7266137975453883E-2</v>
      </c>
      <c r="BY177" s="168">
        <f>'Butadiene Recycling HC'!L203/('Butadiene Recycling HC'!L$197)</f>
        <v>7.7376331982355412E-2</v>
      </c>
      <c r="BZ177" s="168">
        <f>'Butadiene Recycling HC'!M203/('Butadiene Recycling HC'!M$197)</f>
        <v>7.7484893991173823E-2</v>
      </c>
      <c r="CA177" s="168">
        <f>'Butadiene Recycling HC'!N203/('Butadiene Recycling HC'!N$197)</f>
        <v>7.7586807155047566E-2</v>
      </c>
      <c r="CB177" s="168">
        <f>'Butadiene Recycling HC'!O203/('Butadiene Recycling HC'!O$197)</f>
        <v>7.7682068630820306E-2</v>
      </c>
      <c r="CC177" s="168">
        <f>'Butadiene Recycling HC'!P203/('Butadiene Recycling HC'!P$197)</f>
        <v>7.7770637694359615E-2</v>
      </c>
      <c r="CD177" s="168">
        <f>'Butadiene Recycling HC'!Q203/('Butadiene Recycling HC'!Q$197)</f>
        <v>7.7852435222603808E-2</v>
      </c>
      <c r="CE177" s="168">
        <f>'Butadiene Recycling HC'!R203/('Butadiene Recycling HC'!R$197)</f>
        <v>7.792734280591801E-2</v>
      </c>
      <c r="CF177" s="168">
        <f>'Butadiene Recycling HC'!S203/('Butadiene Recycling HC'!S$197)</f>
        <v>7.8001684453693779E-2</v>
      </c>
      <c r="CG177" s="168">
        <f>'Butadiene Recycling HC'!T203/('Butadiene Recycling HC'!T$197)</f>
        <v>7.8075450245167627E-2</v>
      </c>
      <c r="CH177" s="168">
        <f>'Butadiene Recycling HC'!U203/('Butadiene Recycling HC'!U$197)</f>
        <v>7.8148629994206242E-2</v>
      </c>
      <c r="CI177" s="168">
        <f>'Butadiene Recycling HC'!V203/('Butadiene Recycling HC'!V$197)</f>
        <v>7.8221213242670867E-2</v>
      </c>
      <c r="CJ177" s="168">
        <f>'Butadiene Recycling HC'!W203/('Butadiene Recycling HC'!W$197)</f>
        <v>7.8293189253577339E-2</v>
      </c>
      <c r="CK177" s="168">
        <f>'Butadiene Recycling HC'!X203/('Butadiene Recycling HC'!X$197)</f>
        <v>7.8364588147409403E-2</v>
      </c>
      <c r="CL177" s="168">
        <f>'Butadiene Recycling HC'!Y203/('Butadiene Recycling HC'!Y$197)</f>
        <v>7.8435399636749004E-2</v>
      </c>
      <c r="CM177" s="168">
        <f>'Butadiene Recycling HC'!Z203/('Butadiene Recycling HC'!Z$197)</f>
        <v>7.8505613176428235E-2</v>
      </c>
      <c r="CN177" s="168">
        <f>'Butadiene Recycling HC'!AA203/('Butadiene Recycling HC'!AA$197)</f>
        <v>7.8575217957161436E-2</v>
      </c>
      <c r="CO177" s="168">
        <f>'Butadiene Recycling HC'!AB203/('Butadiene Recycling HC'!AB$197)</f>
        <v>7.8644202898991336E-2</v>
      </c>
      <c r="CP177" s="168">
        <f>'Butadiene Recycling HC'!AC203/('Butadiene Recycling HC'!AC$197)</f>
        <v>7.8712593397006633E-2</v>
      </c>
      <c r="CQ177" s="168">
        <f>'Butadiene Recycling HC'!AD203/('Butadiene Recycling HC'!AD$197)</f>
        <v>7.8780378773248616E-2</v>
      </c>
      <c r="CR177" s="168">
        <f>'Butadiene Recycling HC'!AE203/('Butadiene Recycling HC'!AE$197)</f>
        <v>7.884754809591972E-2</v>
      </c>
      <c r="CS177" s="168">
        <f>'Butadiene Recycling HC'!AF203/('Butadiene Recycling HC'!AF$197)</f>
        <v>7.8914090173214838E-2</v>
      </c>
      <c r="CT177" s="168">
        <f>'Butadiene Recycling HC'!AG203/('Butadiene Recycling HC'!AG$197)</f>
        <v>7.8979993546979904E-2</v>
      </c>
      <c r="CV177" s="168">
        <f t="shared" si="1605"/>
        <v>7.624364398203877E-2</v>
      </c>
      <c r="CW177" s="168">
        <f t="shared" si="1575"/>
        <v>7.3607823267739361E-2</v>
      </c>
      <c r="CX177" s="168">
        <f t="shared" si="1576"/>
        <v>7.1002870358244707E-2</v>
      </c>
      <c r="CY177" s="168">
        <f t="shared" si="1577"/>
        <v>6.8428049275186809E-2</v>
      </c>
      <c r="CZ177" s="168">
        <f t="shared" si="1578"/>
        <v>6.5882641514998203E-2</v>
      </c>
      <c r="DA177" s="168">
        <f t="shared" si="1579"/>
        <v>6.3365948612551209E-2</v>
      </c>
      <c r="DB177" s="168">
        <f t="shared" si="1580"/>
        <v>6.0879023206466681E-2</v>
      </c>
      <c r="DC177" s="168">
        <f t="shared" si="1581"/>
        <v>5.8418323429728018E-2</v>
      </c>
      <c r="DD177" s="168">
        <f t="shared" si="1582"/>
        <v>5.5983301688059074E-2</v>
      </c>
      <c r="DE177" s="168">
        <f t="shared" si="1583"/>
        <v>5.3573485816553378E-2</v>
      </c>
      <c r="DF177" s="168">
        <f t="shared" si="1584"/>
        <v>5.1188517594419045E-2</v>
      </c>
      <c r="DG177" s="168">
        <f t="shared" si="1585"/>
        <v>4.8921703290650105E-2</v>
      </c>
      <c r="DH177" s="168">
        <f t="shared" si="1586"/>
        <v>4.666208982076922E-2</v>
      </c>
      <c r="DI177" s="168">
        <f t="shared" si="1587"/>
        <v>4.4462852353645416E-2</v>
      </c>
      <c r="DJ177" s="168">
        <f t="shared" si="1588"/>
        <v>4.2288433417155956E-2</v>
      </c>
      <c r="DK177" s="168">
        <f t="shared" si="1589"/>
        <v>4.0136403601813357E-2</v>
      </c>
      <c r="DL177" s="168">
        <f t="shared" si="1590"/>
        <v>3.8003563483106045E-2</v>
      </c>
      <c r="DM177" s="168">
        <f t="shared" si="1591"/>
        <v>3.5887303306592247E-2</v>
      </c>
      <c r="DN177" s="168">
        <f t="shared" si="1592"/>
        <v>3.3784262388564433E-2</v>
      </c>
      <c r="DO177" s="168">
        <f t="shared" si="1593"/>
        <v>3.1691173380446663E-2</v>
      </c>
      <c r="DP177" s="168">
        <f t="shared" si="1594"/>
        <v>2.960514198795592E-2</v>
      </c>
      <c r="DQ177" s="168">
        <f t="shared" si="1595"/>
        <v>2.7651664678134017E-2</v>
      </c>
      <c r="DR177" s="168">
        <f t="shared" si="1596"/>
        <v>2.564392765344204E-2</v>
      </c>
      <c r="DS177" s="168">
        <f t="shared" si="1597"/>
        <v>2.3650602298424958E-2</v>
      </c>
      <c r="DT177" s="168">
        <f t="shared" si="1598"/>
        <v>2.165044865980496E-2</v>
      </c>
      <c r="DU177" s="168">
        <f t="shared" si="1599"/>
        <v>1.9636383143461753E-2</v>
      </c>
      <c r="DV177" s="168">
        <f t="shared" si="1600"/>
        <v>1.7605198606551749E-2</v>
      </c>
      <c r="DW177" s="168">
        <f t="shared" si="1601"/>
        <v>1.5555118062120758E-2</v>
      </c>
      <c r="DX177" s="168">
        <f t="shared" si="1602"/>
        <v>1.3484536198436101E-2</v>
      </c>
      <c r="DY177" s="168">
        <f t="shared" si="1603"/>
        <v>1.1392221289506442E-2</v>
      </c>
      <c r="DZ177" s="168">
        <f t="shared" si="1604"/>
        <v>9.2773692057523845E-3</v>
      </c>
    </row>
    <row r="178" spans="1:165" x14ac:dyDescent="0.2">
      <c r="A178" s="606" t="s">
        <v>452</v>
      </c>
      <c r="C178" s="54" t="s">
        <v>462</v>
      </c>
      <c r="D178" s="168">
        <f>'Butadiene Recycling HC'!C228/('Butadiene Recycling HC'!C$207)</f>
        <v>0.25732229843938081</v>
      </c>
      <c r="E178" s="168">
        <f>'Butadiene Recycling HC'!D228/('Butadiene Recycling HC'!D$207)</f>
        <v>0.25212611379993111</v>
      </c>
      <c r="F178" s="168">
        <f>'Butadiene Recycling HC'!E228/('Butadiene Recycling HC'!E$207)</f>
        <v>0.24697534926080084</v>
      </c>
      <c r="G178" s="168">
        <f>'Butadiene Recycling HC'!F228/('Butadiene Recycling HC'!F$207)</f>
        <v>0.2418700630931705</v>
      </c>
      <c r="H178" s="168">
        <f>'Butadiene Recycling HC'!G228/('Butadiene Recycling HC'!G$207)</f>
        <v>0.23681031366794125</v>
      </c>
      <c r="I178" s="168">
        <f>'Butadiene Recycling HC'!H228/('Butadiene Recycling HC'!H$207)</f>
        <v>0.23179615945594792</v>
      </c>
      <c r="J178" s="168">
        <f>'Butadiene Recycling HC'!I228/('Butadiene Recycling HC'!I$207)</f>
        <v>0.22674726034484857</v>
      </c>
      <c r="K178" s="168">
        <f>'Butadiene Recycling HC'!J228/('Butadiene Recycling HC'!J$207)</f>
        <v>0.22173381073693466</v>
      </c>
      <c r="L178" s="168">
        <f>'Butadiene Recycling HC'!K228/('Butadiene Recycling HC'!K$207)</f>
        <v>0.21675626401813033</v>
      </c>
      <c r="M178" s="168">
        <f>'Butadiene Recycling HC'!L228/('Butadiene Recycling HC'!L$207)</f>
        <v>0.2118150813389777</v>
      </c>
      <c r="N178" s="168">
        <f>'Butadiene Recycling HC'!M228/('Butadiene Recycling HC'!M$207)</f>
        <v>0.20691073178157116</v>
      </c>
      <c r="O178" s="168">
        <f>'Butadiene Recycling HC'!N228/('Butadiene Recycling HC'!N$207)</f>
        <v>0.20203426310737826</v>
      </c>
      <c r="P178" s="168">
        <f>'Butadiene Recycling HC'!O228/('Butadiene Recycling HC'!O$207)</f>
        <v>0.19719805793557615</v>
      </c>
      <c r="Q178" s="168">
        <f>'Butadiene Recycling HC'!P228/('Butadiene Recycling HC'!P$207)</f>
        <v>0.19247708323994808</v>
      </c>
      <c r="R178" s="168">
        <f>'Butadiene Recycling HC'!Q228/('Butadiene Recycling HC'!Q$207)</f>
        <v>0.1877995816394134</v>
      </c>
      <c r="S178" s="168">
        <f>'Butadiene Recycling HC'!R228/('Butadiene Recycling HC'!R$207)</f>
        <v>0.1831657427925053</v>
      </c>
      <c r="T178" s="168">
        <f>'Butadiene Recycling HC'!S228/('Butadiene Recycling HC'!S$207)</f>
        <v>0.1785829952010099</v>
      </c>
      <c r="U178" s="168">
        <f>'Butadiene Recycling HC'!T228/('Butadiene Recycling HC'!T$207)</f>
        <v>0.17404480475696535</v>
      </c>
      <c r="V178" s="168">
        <f>'Butadiene Recycling HC'!U228/('Butadiene Recycling HC'!U$207)</f>
        <v>0.16955136024937714</v>
      </c>
      <c r="W178" s="168">
        <f>'Butadiene Recycling HC'!V228/('Butadiene Recycling HC'!V$207)</f>
        <v>0.16510285611292891</v>
      </c>
      <c r="X178" s="168">
        <f>'Butadiene Recycling HC'!W228/('Butadiene Recycling HC'!W$207)</f>
        <v>0.16069949264061262</v>
      </c>
      <c r="Y178" s="168">
        <f>'Butadiene Recycling HC'!X228/('Butadiene Recycling HC'!X$207)</f>
        <v>0.15632635060296787</v>
      </c>
      <c r="Z178" s="168">
        <f>'Butadiene Recycling HC'!Y228/('Butadiene Recycling HC'!Y$207)</f>
        <v>0.15201282384242715</v>
      </c>
      <c r="AA178" s="168">
        <f>'Butadiene Recycling HC'!Z228/('Butadiene Recycling HC'!Z$207)</f>
        <v>0.14796011123983713</v>
      </c>
      <c r="AB178" s="168">
        <f>'Butadiene Recycling HC'!AA228/('Butadiene Recycling HC'!AA$207)</f>
        <v>0.14396368350321251</v>
      </c>
      <c r="AC178" s="168">
        <f>'Butadiene Recycling HC'!AB228/('Butadiene Recycling HC'!AB$207)</f>
        <v>0.14002329495535637</v>
      </c>
      <c r="AD178" s="168">
        <f>'Butadiene Recycling HC'!AC228/('Butadiene Recycling HC'!AC$207)</f>
        <v>0.13612982133346199</v>
      </c>
      <c r="AE178" s="168">
        <f>'Butadiene Recycling HC'!AD228/('Butadiene Recycling HC'!AD$207)</f>
        <v>0.13229152009332543</v>
      </c>
      <c r="AF178" s="168">
        <f>'Butadiene Recycling HC'!AE228/('Butadiene Recycling HC'!AE$207)</f>
        <v>0.12850812558160674</v>
      </c>
      <c r="AG178" s="168">
        <f>'Butadiene Recycling HC'!AF228/('Butadiene Recycling HC'!AF$207)</f>
        <v>0.12477935627107449</v>
      </c>
      <c r="AH178" s="168">
        <f>'Butadiene Recycling HC'!AG228/('Butadiene Recycling HC'!AG$207)</f>
        <v>0.12110491355696192</v>
      </c>
      <c r="AI178" s="44"/>
      <c r="AJ178" s="168">
        <f>'Butadiene Recycling LC'!C228/('Butadiene Recycling LC'!C$207)</f>
        <v>0.25732229843938081</v>
      </c>
      <c r="AK178" s="168">
        <f>'Butadiene Recycling LC'!D228/('Butadiene Recycling LC'!D$207)</f>
        <v>0.25212730918929099</v>
      </c>
      <c r="AL178" s="168">
        <f>'Butadiene Recycling LC'!E228/('Butadiene Recycling LC'!E$207)</f>
        <v>0.24697799068852513</v>
      </c>
      <c r="AM178" s="168">
        <f>'Butadiene Recycling LC'!F228/('Butadiene Recycling LC'!F$207)</f>
        <v>0.24187438997896299</v>
      </c>
      <c r="AN178" s="168">
        <f>'Butadiene Recycling LC'!G228/('Butadiene Recycling LC'!G$207)</f>
        <v>0.23681655416711211</v>
      </c>
      <c r="AO178" s="168">
        <f>'Butadiene Recycling LC'!H228/('Butadiene Recycling LC'!H$207)</f>
        <v>0.23180453042421889</v>
      </c>
      <c r="AP178" s="168">
        <f>'Butadiene Recycling LC'!I228/('Butadiene Recycling LC'!I$207)</f>
        <v>0.22679828343457617</v>
      </c>
      <c r="AQ178" s="168">
        <f>'Butadiene Recycling LC'!J228/('Butadiene Recycling LC'!J$207)</f>
        <v>0.22183300365834999</v>
      </c>
      <c r="AR178" s="168">
        <f>'Butadiene Recycling LC'!K228/('Butadiene Recycling LC'!K$207)</f>
        <v>0.21690896744312158</v>
      </c>
      <c r="AS178" s="168">
        <f>'Butadiene Recycling LC'!L228/('Butadiene Recycling LC'!L$207)</f>
        <v>0.21202645362757275</v>
      </c>
      <c r="AT178" s="168">
        <f>'Butadiene Recycling LC'!M228/('Butadiene Recycling LC'!M$207)</f>
        <v>0.20718574356961919</v>
      </c>
      <c r="AU178" s="168">
        <f>'Butadiene Recycling LC'!N228/('Butadiene Recycling LC'!N$207)</f>
        <v>0.20238031645370047</v>
      </c>
      <c r="AV178" s="168">
        <f>'Butadiene Recycling LC'!O228/('Butadiene Recycling LC'!O$207)</f>
        <v>0.19761951696192462</v>
      </c>
      <c r="AW178" s="168">
        <f>'Butadiene Recycling LC'!P228/('Butadiene Recycling LC'!P$207)</f>
        <v>0.19293840235659471</v>
      </c>
      <c r="AX178" s="168">
        <f>'Butadiene Recycling LC'!Q228/('Butadiene Recycling LC'!Q$207)</f>
        <v>0.18830234864567666</v>
      </c>
      <c r="AY178" s="168">
        <f>'Butadiene Recycling LC'!R228/('Butadiene Recycling LC'!R$207)</f>
        <v>0.18371149535490416</v>
      </c>
      <c r="AZ178" s="168">
        <f>'Butadiene Recycling LC'!S228/('Butadiene Recycling LC'!S$207)</f>
        <v>0.17916943434244242</v>
      </c>
      <c r="BA178" s="168">
        <f>'Butadiene Recycling LC'!T228/('Butadiene Recycling LC'!T$207)</f>
        <v>0.17467306491394385</v>
      </c>
      <c r="BB178" s="168">
        <f>'Butadiene Recycling LC'!U228/('Butadiene Recycling LC'!U$207)</f>
        <v>0.17022252076877922</v>
      </c>
      <c r="BC178" s="168">
        <f>'Butadiene Recycling LC'!V228/('Butadiene Recycling LC'!V$207)</f>
        <v>0.16581793764692504</v>
      </c>
      <c r="BD178" s="168">
        <f>'Butadiene Recycling LC'!W228/('Butadiene Recycling LC'!W$207)</f>
        <v>0.16145945336804388</v>
      </c>
      <c r="BE178" s="168">
        <f>'Butadiene Recycling LC'!X228/('Butadiene Recycling LC'!X$207)</f>
        <v>0.1571350232538378</v>
      </c>
      <c r="BF178" s="168">
        <f>'Butadiene Recycling LC'!Y228/('Butadiene Recycling LC'!Y$207)</f>
        <v>0.15286844720276505</v>
      </c>
      <c r="BG178" s="168">
        <f>'Butadiene Recycling LC'!Z228/('Butadiene Recycling LC'!Z$207)</f>
        <v>0.14875232101495481</v>
      </c>
      <c r="BH178" s="168">
        <f>'Butadiene Recycling LC'!AA228/('Butadiene Recycling LC'!AA$207)</f>
        <v>0.1446865771348686</v>
      </c>
      <c r="BI178" s="168">
        <f>'Butadiene Recycling LC'!AB228/('Butadiene Recycling LC'!AB$207)</f>
        <v>0.14067102237282536</v>
      </c>
      <c r="BJ178" s="168">
        <f>'Butadiene Recycling LC'!AC228/('Butadiene Recycling LC'!AC$207)</f>
        <v>0.13670142389473069</v>
      </c>
      <c r="BK178" s="168">
        <f>'Butadiene Recycling LC'!AD228/('Butadiene Recycling LC'!AD$207)</f>
        <v>0.13278150348308032</v>
      </c>
      <c r="BL178" s="168">
        <f>'Butadiene Recycling LC'!AE228/('Butadiene Recycling LC'!AE$207)</f>
        <v>0.12891106556360923</v>
      </c>
      <c r="BM178" s="168">
        <f>'Butadiene Recycling LC'!AF228/('Butadiene Recycling LC'!AF$207)</f>
        <v>0.12508990909895726</v>
      </c>
      <c r="BN178" s="168">
        <f>'Butadiene Recycling LC'!AG228/('Butadiene Recycling LC'!AG$207)</f>
        <v>0.12131782739657271</v>
      </c>
      <c r="BP178" s="168">
        <f>'Butadiene Recycling HC'!C204/('Butadiene Recycling HC'!C$197)</f>
        <v>0.25732229843938081</v>
      </c>
      <c r="BQ178" s="168">
        <f>'Butadiene Recycling HC'!D204/('Butadiene Recycling HC'!D$197)</f>
        <v>0.26051724349354322</v>
      </c>
      <c r="BR178" s="168">
        <f>'Butadiene Recycling HC'!E204/('Butadiene Recycling HC'!E$197)</f>
        <v>0.26368064061294899</v>
      </c>
      <c r="BS178" s="168">
        <f>'Butadiene Recycling HC'!F204/('Butadiene Recycling HC'!F$197)</f>
        <v>0.26681269887402742</v>
      </c>
      <c r="BT178" s="168">
        <f>'Butadiene Recycling HC'!G204/('Butadiene Recycling HC'!G$197)</f>
        <v>0.26991339463472519</v>
      </c>
      <c r="BU178" s="168">
        <f>'Butadiene Recycling HC'!H204/('Butadiene Recycling HC'!H$197)</f>
        <v>0.27298247100768813</v>
      </c>
      <c r="BV178" s="168">
        <f>'Butadiene Recycling HC'!I204/('Butadiene Recycling HC'!I$197)</f>
        <v>0.27604694859512785</v>
      </c>
      <c r="BW178" s="168">
        <f>'Butadiene Recycling HC'!J204/('Butadiene Recycling HC'!J$197)</f>
        <v>0.27910671571886797</v>
      </c>
      <c r="BX178" s="168">
        <f>'Butadiene Recycling HC'!K204/('Butadiene Recycling HC'!K$197)</f>
        <v>0.28216165567603851</v>
      </c>
      <c r="BY178" s="168">
        <f>'Butadiene Recycling HC'!L204/('Butadiene Recycling HC'!L$197)</f>
        <v>0.28521164644175978</v>
      </c>
      <c r="BZ178" s="168">
        <f>'Butadiene Recycling HC'!M204/('Butadiene Recycling HC'!M$197)</f>
        <v>0.28825656036222669</v>
      </c>
      <c r="CA178" s="168">
        <f>'Butadiene Recycling HC'!N204/('Butadiene Recycling HC'!N$197)</f>
        <v>0.29127739274730946</v>
      </c>
      <c r="CB178" s="168">
        <f>'Butadiene Recycling HC'!O204/('Butadiene Recycling HC'!O$197)</f>
        <v>0.29427345210394468</v>
      </c>
      <c r="CC178" s="168">
        <f>'Butadiene Recycling HC'!P204/('Butadiene Recycling HC'!P$197)</f>
        <v>0.29724390511964727</v>
      </c>
      <c r="CD178" s="168">
        <f>'Butadiene Recycling HC'!Q204/('Butadiene Recycling HC'!Q$197)</f>
        <v>0.30018776824571525</v>
      </c>
      <c r="CE178" s="168">
        <f>'Butadiene Recycling HC'!R204/('Butadiene Recycling HC'!R$197)</f>
        <v>0.30310389778498142</v>
      </c>
      <c r="CF178" s="168">
        <f>'Butadiene Recycling HC'!S204/('Butadiene Recycling HC'!S$197)</f>
        <v>0.30601641237470351</v>
      </c>
      <c r="CG178" s="168">
        <f>'Butadiene Recycling HC'!T204/('Butadiene Recycling HC'!T$197)</f>
        <v>0.30892522092110758</v>
      </c>
      <c r="CH178" s="168">
        <f>'Butadiene Recycling HC'!U204/('Butadiene Recycling HC'!U$197)</f>
        <v>0.31183023019693012</v>
      </c>
      <c r="CI178" s="168">
        <f>'Butadiene Recycling HC'!V204/('Butadiene Recycling HC'!V$197)</f>
        <v>0.31473134477698134</v>
      </c>
      <c r="CJ178" s="168">
        <f>'Butadiene Recycling HC'!W204/('Butadiene Recycling HC'!W$197)</f>
        <v>0.31762846697182956</v>
      </c>
      <c r="CK178" s="168">
        <f>'Butadiene Recycling HC'!X204/('Butadiene Recycling HC'!X$197)</f>
        <v>0.32052166504141338</v>
      </c>
      <c r="CL178" s="168">
        <f>'Butadiene Recycling HC'!Y204/('Butadiene Recycling HC'!Y$197)</f>
        <v>0.32341084489313165</v>
      </c>
      <c r="CM178" s="168">
        <f>'Butadiene Recycling HC'!Z204/('Butadiene Recycling HC'!Z$197)</f>
        <v>0.32629591025374854</v>
      </c>
      <c r="CN178" s="168">
        <f>'Butadiene Recycling HC'!AA204/('Butadiene Recycling HC'!AA$197)</f>
        <v>0.32917676260694279</v>
      </c>
      <c r="CO178" s="168">
        <f>'Butadiene Recycling HC'!AB204/('Butadiene Recycling HC'!AB$197)</f>
        <v>0.33205330112907394</v>
      </c>
      <c r="CP178" s="168">
        <f>'Butadiene Recycling HC'!AC204/('Butadiene Recycling HC'!AC$197)</f>
        <v>0.33492557900647157</v>
      </c>
      <c r="CQ178" s="168">
        <f>'Butadiene Recycling HC'!AD204/('Butadiene Recycling HC'!AD$197)</f>
        <v>0.33779349834333622</v>
      </c>
      <c r="CR178" s="168">
        <f>'Butadiene Recycling HC'!AE204/('Butadiene Recycling HC'!AE$197)</f>
        <v>0.34065695900378778</v>
      </c>
      <c r="CS178" s="168">
        <f>'Butadiene Recycling HC'!AF204/('Butadiene Recycling HC'!AF$197)</f>
        <v>0.34351585855055172</v>
      </c>
      <c r="CT178" s="168">
        <f>'Butadiene Recycling HC'!AG204/('Butadiene Recycling HC'!AG$197)</f>
        <v>0.34637009218193587</v>
      </c>
      <c r="CV178" s="168">
        <f t="shared" si="1605"/>
        <v>0.25732229843938081</v>
      </c>
      <c r="CW178" s="168">
        <f t="shared" si="1575"/>
        <v>0.25241481026147533</v>
      </c>
      <c r="CX178" s="168">
        <f t="shared" si="1576"/>
        <v>0.24756753027564971</v>
      </c>
      <c r="CY178" s="168">
        <f t="shared" si="1577"/>
        <v>0.24277896934621088</v>
      </c>
      <c r="CZ178" s="168">
        <f t="shared" si="1578"/>
        <v>0.23804765754947477</v>
      </c>
      <c r="DA178" s="168">
        <f t="shared" si="1579"/>
        <v>0.23337215220720098</v>
      </c>
      <c r="DB178" s="168">
        <f t="shared" si="1580"/>
        <v>0.22875754174551138</v>
      </c>
      <c r="DC178" s="168">
        <f t="shared" si="1581"/>
        <v>0.22419178572769988</v>
      </c>
      <c r="DD178" s="168">
        <f t="shared" si="1582"/>
        <v>0.21967360771075373</v>
      </c>
      <c r="DE178" s="168">
        <f t="shared" si="1583"/>
        <v>0.21520196844954509</v>
      </c>
      <c r="DF178" s="168">
        <f t="shared" si="1584"/>
        <v>0.21077624891819627</v>
      </c>
      <c r="DG178" s="168">
        <f t="shared" si="1585"/>
        <v>0.20679173967642914</v>
      </c>
      <c r="DH178" s="168">
        <f t="shared" si="1586"/>
        <v>0.20280062114411257</v>
      </c>
      <c r="DI178" s="168">
        <f t="shared" si="1587"/>
        <v>0.19903840617370144</v>
      </c>
      <c r="DJ178" s="168">
        <f t="shared" si="1588"/>
        <v>0.19536065015249526</v>
      </c>
      <c r="DK178" s="168">
        <f t="shared" si="1589"/>
        <v>0.19176281720866395</v>
      </c>
      <c r="DL178" s="168">
        <f t="shared" si="1590"/>
        <v>0.18823640037725978</v>
      </c>
      <c r="DM178" s="168">
        <f t="shared" si="1591"/>
        <v>0.1847751236364214</v>
      </c>
      <c r="DN178" s="168">
        <f t="shared" si="1592"/>
        <v>0.18136814545439864</v>
      </c>
      <c r="DO178" s="168">
        <f t="shared" si="1593"/>
        <v>0.17800369347335013</v>
      </c>
      <c r="DP178" s="168">
        <f t="shared" si="1594"/>
        <v>0.17467033772894008</v>
      </c>
      <c r="DQ178" s="168">
        <f t="shared" si="1595"/>
        <v>0.1721539123509635</v>
      </c>
      <c r="DR178" s="168">
        <f t="shared" si="1596"/>
        <v>0.16936919659482663</v>
      </c>
      <c r="DS178" s="168">
        <f t="shared" si="1597"/>
        <v>0.16675171493952803</v>
      </c>
      <c r="DT178" s="168">
        <f t="shared" si="1598"/>
        <v>0.1641825690035211</v>
      </c>
      <c r="DU178" s="168">
        <f t="shared" si="1599"/>
        <v>0.16162253818080077</v>
      </c>
      <c r="DV178" s="168">
        <f t="shared" si="1600"/>
        <v>0.15905386327298493</v>
      </c>
      <c r="DW178" s="168">
        <f t="shared" si="1601"/>
        <v>0.15646618756603842</v>
      </c>
      <c r="DX178" s="168">
        <f t="shared" si="1602"/>
        <v>0.15384629935488484</v>
      </c>
      <c r="DY178" s="168">
        <f t="shared" si="1603"/>
        <v>0.15117785549047769</v>
      </c>
      <c r="DZ178" s="168">
        <f t="shared" si="1604"/>
        <v>0.14843790729203815</v>
      </c>
    </row>
    <row r="179" spans="1:165" x14ac:dyDescent="0.2">
      <c r="A179" s="606" t="s">
        <v>453</v>
      </c>
      <c r="C179" s="54" t="s">
        <v>462</v>
      </c>
      <c r="D179" s="168">
        <f>'Butadiene Recycling HC'!C229/('Butadiene Recycling HC'!C$207)</f>
        <v>6.6713188484283911E-2</v>
      </c>
      <c r="E179" s="168">
        <f>'Butadiene Recycling HC'!D229/('Butadiene Recycling HC'!D$207)</f>
        <v>6.595038521174669E-2</v>
      </c>
      <c r="F179" s="168">
        <f>'Butadiene Recycling HC'!E229/('Butadiene Recycling HC'!E$207)</f>
        <v>6.519146274904386E-2</v>
      </c>
      <c r="G179" s="168">
        <f>'Butadiene Recycling HC'!F229/('Butadiene Recycling HC'!F$207)</f>
        <v>6.4436426075014513E-2</v>
      </c>
      <c r="H179" s="168">
        <f>'Butadiene Recycling HC'!G229/('Butadiene Recycling HC'!G$207)</f>
        <v>6.3685280177018119E-2</v>
      </c>
      <c r="I179" s="168">
        <f>'Butadiene Recycling HC'!H229/('Butadiene Recycling HC'!H$207)</f>
        <v>6.2938030050952706E-2</v>
      </c>
      <c r="J179" s="168">
        <f>'Butadiene Recycling HC'!I229/('Butadiene Recycling HC'!I$207)</f>
        <v>6.2172635901006829E-2</v>
      </c>
      <c r="K179" s="168">
        <f>'Butadiene Recycling HC'!J229/('Butadiene Recycling HC'!J$207)</f>
        <v>6.1407863000815424E-2</v>
      </c>
      <c r="L179" s="168">
        <f>'Butadiene Recycling HC'!K229/('Butadiene Recycling HC'!K$207)</f>
        <v>6.0643719295931153E-2</v>
      </c>
      <c r="M179" s="168">
        <f>'Butadiene Recycling HC'!L229/('Butadiene Recycling HC'!L$207)</f>
        <v>5.9880212867980988E-2</v>
      </c>
      <c r="N179" s="168">
        <f>'Butadiene Recycling HC'!M229/('Butadiene Recycling HC'!M$207)</f>
        <v>5.9117351937591718E-2</v>
      </c>
      <c r="O179" s="168">
        <f>'Butadiene Recycling HC'!N229/('Butadiene Recycling HC'!N$207)</f>
        <v>5.8352421419982932E-2</v>
      </c>
      <c r="P179" s="168">
        <f>'Butadiene Recycling HC'!O229/('Butadiene Recycling HC'!O$207)</f>
        <v>5.7588813379416008E-2</v>
      </c>
      <c r="Q179" s="168">
        <f>'Butadiene Recycling HC'!P229/('Butadiene Recycling HC'!P$207)</f>
        <v>5.6848553820494363E-2</v>
      </c>
      <c r="R179" s="168">
        <f>'Butadiene Recycling HC'!Q229/('Butadiene Recycling HC'!Q$207)</f>
        <v>5.6110850611775905E-2</v>
      </c>
      <c r="S179" s="168">
        <f>'Butadiene Recycling HC'!R229/('Butadiene Recycling HC'!R$207)</f>
        <v>5.5375689681455044E-2</v>
      </c>
      <c r="T179" s="168">
        <f>'Butadiene Recycling HC'!S229/('Butadiene Recycling HC'!S$207)</f>
        <v>5.4645269824914661E-2</v>
      </c>
      <c r="U179" s="168">
        <f>'Butadiene Recycling HC'!T229/('Butadiene Recycling HC'!T$207)</f>
        <v>5.3917571939156146E-2</v>
      </c>
      <c r="V179" s="168">
        <f>'Butadiene Recycling HC'!U229/('Butadiene Recycling HC'!U$207)</f>
        <v>5.3192583607647677E-2</v>
      </c>
      <c r="W179" s="168">
        <f>'Butadiene Recycling HC'!V229/('Butadiene Recycling HC'!V$207)</f>
        <v>5.2470292042544747E-2</v>
      </c>
      <c r="X179" s="168">
        <f>'Butadiene Recycling HC'!W229/('Butadiene Recycling HC'!W$207)</f>
        <v>5.1750684070705717E-2</v>
      </c>
      <c r="Y179" s="168">
        <f>'Butadiene Recycling HC'!X229/('Butadiene Recycling HC'!X$207)</f>
        <v>5.1028808746046449E-2</v>
      </c>
      <c r="Z179" s="168">
        <f>'Butadiene Recycling HC'!Y229/('Butadiene Recycling HC'!Y$207)</f>
        <v>5.0314103666155414E-2</v>
      </c>
      <c r="AA179" s="168">
        <f>'Butadiene Recycling HC'!Z229/('Butadiene Recycling HC'!Z$207)</f>
        <v>4.9674220470106847E-2</v>
      </c>
      <c r="AB179" s="168">
        <f>'Butadiene Recycling HC'!AA229/('Butadiene Recycling HC'!AA$207)</f>
        <v>4.9042573501094325E-2</v>
      </c>
      <c r="AC179" s="168">
        <f>'Butadiene Recycling HC'!AB229/('Butadiene Recycling HC'!AB$207)</f>
        <v>4.8419270218207314E-2</v>
      </c>
      <c r="AD179" s="168">
        <f>'Butadiene Recycling HC'!AC229/('Butadiene Recycling HC'!AC$207)</f>
        <v>4.7801311307933192E-2</v>
      </c>
      <c r="AE179" s="168">
        <f>'Butadiene Recycling HC'!AD229/('Butadiene Recycling HC'!AD$207)</f>
        <v>4.7191711846157003E-2</v>
      </c>
      <c r="AF179" s="168">
        <f>'Butadiene Recycling HC'!AE229/('Butadiene Recycling HC'!AE$207)</f>
        <v>4.6590595330383303E-2</v>
      </c>
      <c r="AG179" s="168">
        <f>'Butadiene Recycling HC'!AF229/('Butadiene Recycling HC'!AF$207)</f>
        <v>4.5998092637605861E-2</v>
      </c>
      <c r="AH179" s="168">
        <f>'Butadiene Recycling HC'!AG229/('Butadiene Recycling HC'!AG$207)</f>
        <v>4.5414342583860713E-2</v>
      </c>
      <c r="AI179" s="44"/>
      <c r="AJ179" s="168">
        <f>'Butadiene Recycling LC'!C229/('Butadiene Recycling LC'!C$207)</f>
        <v>6.6713188484283911E-2</v>
      </c>
      <c r="AK179" s="168">
        <f>'Butadiene Recycling LC'!D229/('Butadiene Recycling LC'!D$207)</f>
        <v>6.5950697898074867E-2</v>
      </c>
      <c r="AL179" s="168">
        <f>'Butadiene Recycling LC'!E229/('Butadiene Recycling LC'!E$207)</f>
        <v>6.5192159978696984E-2</v>
      </c>
      <c r="AM179" s="168">
        <f>'Butadiene Recycling LC'!F229/('Butadiene Recycling LC'!F$207)</f>
        <v>6.4437578797484324E-2</v>
      </c>
      <c r="AN179" s="168">
        <f>'Butadiene Recycling LC'!G229/('Butadiene Recycling LC'!G$207)</f>
        <v>6.3686958431364321E-2</v>
      </c>
      <c r="AO179" s="168">
        <f>'Butadiene Recycling LC'!H229/('Butadiene Recycling LC'!H$207)</f>
        <v>6.2940302962867345E-2</v>
      </c>
      <c r="AP179" s="168">
        <f>'Butadiene Recycling LC'!I229/('Butadiene Recycling LC'!I$207)</f>
        <v>6.2186626103028914E-2</v>
      </c>
      <c r="AQ179" s="168">
        <f>'Butadiene Recycling LC'!J229/('Butadiene Recycling LC'!J$207)</f>
        <v>6.1435333891739448E-2</v>
      </c>
      <c r="AR179" s="168">
        <f>'Butadiene Recycling LC'!K229/('Butadiene Recycling LC'!K$207)</f>
        <v>6.0686442414834528E-2</v>
      </c>
      <c r="AS179" s="168">
        <f>'Butadiene Recycling LC'!L229/('Butadiene Recycling LC'!L$207)</f>
        <v>5.9939967903153438E-2</v>
      </c>
      <c r="AT179" s="168">
        <f>'Butadiene Recycling LC'!M229/('Butadiene Recycling LC'!M$207)</f>
        <v>5.9195926734176868E-2</v>
      </c>
      <c r="AU179" s="168">
        <f>'Butadiene Recycling LC'!N229/('Butadiene Recycling LC'!N$207)</f>
        <v>5.8452370064276289E-2</v>
      </c>
      <c r="AV179" s="168">
        <f>'Butadiene Recycling LC'!O229/('Butadiene Recycling LC'!O$207)</f>
        <v>5.7711894334013344E-2</v>
      </c>
      <c r="AW179" s="168">
        <f>'Butadiene Recycling LC'!P229/('Butadiene Recycling LC'!P$207)</f>
        <v>5.6984805493626875E-2</v>
      </c>
      <c r="AX179" s="168">
        <f>'Butadiene Recycling LC'!Q229/('Butadiene Recycling LC'!Q$207)</f>
        <v>5.6261067583159449E-2</v>
      </c>
      <c r="AY179" s="168">
        <f>'Butadiene Recycling LC'!R229/('Butadiene Recycling LC'!R$207)</f>
        <v>5.5540684642180274E-2</v>
      </c>
      <c r="AZ179" s="168">
        <f>'Butadiene Recycling LC'!S229/('Butadiene Recycling LC'!S$207)</f>
        <v>5.482471650226152E-2</v>
      </c>
      <c r="BA179" s="168">
        <f>'Butadiene Recycling LC'!T229/('Butadiene Recycling LC'!T$207)</f>
        <v>5.4112201490194432E-2</v>
      </c>
      <c r="BB179" s="168">
        <f>'Butadiene Recycling LC'!U229/('Butadiene Recycling LC'!U$207)</f>
        <v>5.3403143770597357E-2</v>
      </c>
      <c r="BC179" s="168">
        <f>'Butadiene Recycling LC'!V229/('Butadiene Recycling LC'!V$207)</f>
        <v>5.2697547571651668E-2</v>
      </c>
      <c r="BD179" s="168">
        <f>'Butadiene Recycling LC'!W229/('Butadiene Recycling LC'!W$207)</f>
        <v>5.1995417186319164E-2</v>
      </c>
      <c r="BE179" s="168">
        <f>'Butadiene Recycling LC'!X229/('Butadiene Recycling LC'!X$207)</f>
        <v>5.1292779611356337E-2</v>
      </c>
      <c r="BF179" s="168">
        <f>'Butadiene Recycling LC'!Y229/('Butadiene Recycling LC'!Y$207)</f>
        <v>5.0597302947394007E-2</v>
      </c>
      <c r="BG179" s="168">
        <f>'Butadiene Recycling LC'!Z229/('Butadiene Recycling LC'!Z$207)</f>
        <v>4.9940186768036847E-2</v>
      </c>
      <c r="BH179" s="168">
        <f>'Butadiene Recycling LC'!AA229/('Butadiene Recycling LC'!AA$207)</f>
        <v>4.9288833969021131E-2</v>
      </c>
      <c r="BI179" s="168">
        <f>'Butadiene Recycling LC'!AB229/('Butadiene Recycling LC'!AB$207)</f>
        <v>4.8643250727051723E-2</v>
      </c>
      <c r="BJ179" s="168">
        <f>'Butadiene Recycling LC'!AC229/('Butadiene Recycling LC'!AC$207)</f>
        <v>4.8002026711126786E-2</v>
      </c>
      <c r="BK179" s="168">
        <f>'Butadiene Recycling LC'!AD229/('Butadiene Recycling LC'!AD$207)</f>
        <v>4.7366501242502315E-2</v>
      </c>
      <c r="BL179" s="168">
        <f>'Butadiene Recycling LC'!AE229/('Butadiene Recycling LC'!AE$207)</f>
        <v>4.6736681140591381E-2</v>
      </c>
      <c r="BM179" s="168">
        <f>'Butadiene Recycling LC'!AF229/('Butadiene Recycling LC'!AF$207)</f>
        <v>4.6112573415297883E-2</v>
      </c>
      <c r="BN179" s="168">
        <f>'Butadiene Recycling LC'!AG229/('Butadiene Recycling LC'!AG$207)</f>
        <v>4.5494185273714759E-2</v>
      </c>
      <c r="BP179" s="168">
        <f>'Butadiene Recycling HC'!C205/('Butadiene Recycling HC'!C$197)</f>
        <v>6.6713188484283911E-2</v>
      </c>
      <c r="BQ179" s="168">
        <f>'Butadiene Recycling HC'!D205/('Butadiene Recycling HC'!D$197)</f>
        <v>6.7974843371881297E-2</v>
      </c>
      <c r="BR179" s="168">
        <f>'Butadiene Recycling HC'!E205/('Butadiene Recycling HC'!E$197)</f>
        <v>6.9228894060542612E-2</v>
      </c>
      <c r="BS179" s="168">
        <f>'Butadiene Recycling HC'!F205/('Butadiene Recycling HC'!F$197)</f>
        <v>7.0475222537234164E-2</v>
      </c>
      <c r="BT179" s="168">
        <f>'Butadiene Recycling HC'!G205/('Butadiene Recycling HC'!G$197)</f>
        <v>7.1713657942119063E-2</v>
      </c>
      <c r="BU179" s="168">
        <f>'Butadiene Recycling HC'!H205/('Butadiene Recycling HC'!H$197)</f>
        <v>7.2943974166581785E-2</v>
      </c>
      <c r="BV179" s="168">
        <f>'Butadiene Recycling HC'!I205/('Butadiene Recycling HC'!I$197)</f>
        <v>7.4173279816419413E-2</v>
      </c>
      <c r="BW179" s="168">
        <f>'Butadiene Recycling HC'!J205/('Butadiene Recycling HC'!J$197)</f>
        <v>7.5401517400187454E-2</v>
      </c>
      <c r="BX179" s="168">
        <f>'Butadiene Recycling HC'!K205/('Butadiene Recycling HC'!K$197)</f>
        <v>7.662862858621744E-2</v>
      </c>
      <c r="BY179" s="168">
        <f>'Butadiene Recycling HC'!L205/('Butadiene Recycling HC'!L$197)</f>
        <v>7.7854554058884154E-2</v>
      </c>
      <c r="BZ179" s="168">
        <f>'Butadiene Recycling HC'!M205/('Butadiene Recycling HC'!M$197)</f>
        <v>7.907923337370823E-2</v>
      </c>
      <c r="CA179" s="168">
        <f>'Butadiene Recycling HC'!N205/('Butadiene Recycling HC'!N$197)</f>
        <v>8.0297402555038921E-2</v>
      </c>
      <c r="CB179" s="168">
        <f>'Butadiene Recycling HC'!O205/('Butadiene Recycling HC'!O$197)</f>
        <v>8.1508771519038029E-2</v>
      </c>
      <c r="CC179" s="168">
        <f>'Butadiene Recycling HC'!P205/('Butadiene Recycling HC'!P$197)</f>
        <v>8.2713011143570617E-2</v>
      </c>
      <c r="CD179" s="168">
        <f>'Butadiene Recycling HC'!Q205/('Butadiene Recycling HC'!Q$197)</f>
        <v>8.3909750002413241E-2</v>
      </c>
      <c r="CE179" s="168">
        <f>'Butadiene Recycling HC'!R205/('Butadiene Recycling HC'!R$197)</f>
        <v>8.5098570671493248E-2</v>
      </c>
      <c r="CF179" s="168">
        <f>'Butadiene Recycling HC'!S205/('Butadiene Recycling HC'!S$197)</f>
        <v>8.6286177083579496E-2</v>
      </c>
      <c r="CG179" s="168">
        <f>'Butadiene Recycling HC'!T205/('Butadiene Recycling HC'!T$197)</f>
        <v>8.7472536259987813E-2</v>
      </c>
      <c r="CH179" s="168">
        <f>'Butadiene Recycling HC'!U205/('Butadiene Recycling HC'!U$197)</f>
        <v>8.8657614467754706E-2</v>
      </c>
      <c r="CI179" s="168">
        <f>'Butadiene Recycling HC'!V205/('Butadiene Recycling HC'!V$197)</f>
        <v>8.9841377196099734E-2</v>
      </c>
      <c r="CJ179" s="168">
        <f>'Butadiene Recycling HC'!W205/('Butadiene Recycling HC'!W$197)</f>
        <v>9.1023789132207725E-2</v>
      </c>
      <c r="CK179" s="168">
        <f>'Butadiene Recycling HC'!X205/('Butadiene Recycling HC'!X$197)</f>
        <v>9.2204862546160074E-2</v>
      </c>
      <c r="CL179" s="168">
        <f>'Butadiene Recycling HC'!Y205/('Butadiene Recycling HC'!Y$197)</f>
        <v>9.338456339557781E-2</v>
      </c>
      <c r="CM179" s="168">
        <f>'Butadiene Recycling HC'!Z205/('Butadiene Recycling HC'!Z$197)</f>
        <v>9.4562856859739711E-2</v>
      </c>
      <c r="CN179" s="168">
        <f>'Butadiene Recycling HC'!AA205/('Butadiene Recycling HC'!AA$197)</f>
        <v>9.5739707316735451E-2</v>
      </c>
      <c r="CO179" s="168">
        <f>'Butadiene Recycling HC'!AB205/('Butadiene Recycling HC'!AB$197)</f>
        <v>9.6915078319969025E-2</v>
      </c>
      <c r="CP179" s="168">
        <f>'Butadiene Recycling HC'!AC205/('Butadiene Recycling HC'!AC$197)</f>
        <v>9.8088978373670796E-2</v>
      </c>
      <c r="CQ179" s="168">
        <f>'Butadiene Recycling HC'!AD205/('Butadiene Recycling HC'!AD$197)</f>
        <v>9.926137204561665E-2</v>
      </c>
      <c r="CR179" s="168">
        <f>'Butadiene Recycling HC'!AE205/('Butadiene Recycling HC'!AE$197)</f>
        <v>0.10043222309802323</v>
      </c>
      <c r="CS179" s="168">
        <f>'Butadiene Recycling HC'!AF205/('Butadiene Recycling HC'!AF$197)</f>
        <v>0.10160149446507181</v>
      </c>
      <c r="CT179" s="168">
        <f>'Butadiene Recycling HC'!AG205/('Butadiene Recycling HC'!AG$197)</f>
        <v>0.10276914822980517</v>
      </c>
      <c r="CV179" s="168">
        <f t="shared" si="1605"/>
        <v>6.6713188484283911E-2</v>
      </c>
      <c r="CW179" s="168">
        <f t="shared" si="1575"/>
        <v>6.602590155775763E-2</v>
      </c>
      <c r="CX179" s="168">
        <f t="shared" si="1576"/>
        <v>6.5347774489003987E-2</v>
      </c>
      <c r="CY179" s="168">
        <f t="shared" si="1577"/>
        <v>6.4678567123121783E-2</v>
      </c>
      <c r="CZ179" s="168">
        <f t="shared" si="1578"/>
        <v>6.4018038453252976E-2</v>
      </c>
      <c r="DA179" s="168">
        <f t="shared" si="1579"/>
        <v>6.3365948612551223E-2</v>
      </c>
      <c r="DB179" s="168">
        <f t="shared" si="1580"/>
        <v>6.2723842091511148E-2</v>
      </c>
      <c r="DC179" s="168">
        <f t="shared" si="1581"/>
        <v>6.2088584587616714E-2</v>
      </c>
      <c r="DD179" s="168">
        <f t="shared" si="1582"/>
        <v>6.1459929027108354E-2</v>
      </c>
      <c r="DE179" s="168">
        <f t="shared" si="1583"/>
        <v>6.083768728320469E-2</v>
      </c>
      <c r="DF179" s="168">
        <f t="shared" si="1584"/>
        <v>6.0221785405198895E-2</v>
      </c>
      <c r="DG179" s="168">
        <f t="shared" si="1585"/>
        <v>5.9726496655456277E-2</v>
      </c>
      <c r="DH179" s="168">
        <f t="shared" si="1586"/>
        <v>5.9224960157130177E-2</v>
      </c>
      <c r="DI179" s="168">
        <f t="shared" si="1587"/>
        <v>5.878645579643052E-2</v>
      </c>
      <c r="DJ179" s="168">
        <f t="shared" si="1588"/>
        <v>5.8369950350440625E-2</v>
      </c>
      <c r="DK179" s="168">
        <f t="shared" si="1589"/>
        <v>5.7974805202619287E-2</v>
      </c>
      <c r="DL179" s="168">
        <f t="shared" si="1590"/>
        <v>5.7599150904082602E-2</v>
      </c>
      <c r="DM179" s="168">
        <f t="shared" si="1591"/>
        <v>5.7241731720432253E-2</v>
      </c>
      <c r="DN179" s="168">
        <f t="shared" si="1592"/>
        <v>5.6899810338634824E-2</v>
      </c>
      <c r="DO179" s="168">
        <f t="shared" si="1593"/>
        <v>5.6570225380049653E-2</v>
      </c>
      <c r="DP179" s="168">
        <f t="shared" si="1594"/>
        <v>5.6249769777116244E-2</v>
      </c>
      <c r="DQ179" s="168">
        <f t="shared" si="1595"/>
        <v>5.6195318539433645E-2</v>
      </c>
      <c r="DR179" s="168">
        <f t="shared" si="1596"/>
        <v>5.6058818591245368E-2</v>
      </c>
      <c r="DS179" s="168">
        <f t="shared" si="1597"/>
        <v>5.5983071263360343E-2</v>
      </c>
      <c r="DT179" s="168">
        <f t="shared" si="1598"/>
        <v>5.5930325704496145E-2</v>
      </c>
      <c r="DU179" s="168">
        <f t="shared" si="1599"/>
        <v>5.5888167408314246E-2</v>
      </c>
      <c r="DV179" s="168">
        <f t="shared" si="1600"/>
        <v>5.5850974889750403E-2</v>
      </c>
      <c r="DW179" s="168">
        <f t="shared" si="1601"/>
        <v>5.581542363466864E-2</v>
      </c>
      <c r="DX179" s="168">
        <f t="shared" si="1602"/>
        <v>5.5776945184440305E-2</v>
      </c>
      <c r="DY179" s="168">
        <f t="shared" si="1603"/>
        <v>5.5729514956774862E-2</v>
      </c>
      <c r="DZ179" s="168">
        <f t="shared" si="1604"/>
        <v>5.56642152345143E-2</v>
      </c>
    </row>
    <row r="180" spans="1:165" ht="16" thickBot="1" x14ac:dyDescent="0.25">
      <c r="A180" s="606" t="s">
        <v>454</v>
      </c>
      <c r="C180" s="54" t="s">
        <v>462</v>
      </c>
      <c r="D180" s="168">
        <f>'Butadiene Recycling HC'!C230/('Butadiene Recycling HC'!C$207)</f>
        <v>4.7652277488774229E-2</v>
      </c>
      <c r="E180" s="168">
        <f>'Butadiene Recycling HC'!D230/('Butadiene Recycling HC'!D$207)</f>
        <v>4.6701708188222536E-2</v>
      </c>
      <c r="F180" s="168">
        <f>'Butadiene Recycling HC'!E230/('Butadiene Recycling HC'!E$207)</f>
        <v>4.5759392121925022E-2</v>
      </c>
      <c r="G180" s="168">
        <f>'Butadiene Recycling HC'!F230/('Butadiene Recycling HC'!F$207)</f>
        <v>4.4825339878270969E-2</v>
      </c>
      <c r="H180" s="168">
        <f>'Butadiene Recycling HC'!G230/('Butadiene Recycling HC'!G$207)</f>
        <v>4.389956206376977E-2</v>
      </c>
      <c r="I180" s="168">
        <f>'Butadiene Recycling HC'!H230/('Butadiene Recycling HC'!H$207)</f>
        <v>4.2982069303089655E-2</v>
      </c>
      <c r="J180" s="168">
        <f>'Butadiene Recycling HC'!I230/('Butadiene Recycling HC'!I$207)</f>
        <v>4.2057959580092855E-2</v>
      </c>
      <c r="K180" s="168">
        <f>'Butadiene Recycling HC'!J230/('Butadiene Recycling HC'!J$207)</f>
        <v>4.1140243192664516E-2</v>
      </c>
      <c r="L180" s="168">
        <f>'Butadiene Recycling HC'!K230/('Butadiene Recycling HC'!K$207)</f>
        <v>4.0229001909182049E-2</v>
      </c>
      <c r="M180" s="168">
        <f>'Butadiene Recycling HC'!L230/('Butadiene Recycling HC'!L$207)</f>
        <v>3.9324318898375579E-2</v>
      </c>
      <c r="N180" s="168">
        <f>'Butadiene Recycling HC'!M230/('Butadiene Recycling HC'!M$207)</f>
        <v>3.8426278759434614E-2</v>
      </c>
      <c r="O180" s="168">
        <f>'Butadiene Recycling HC'!N230/('Butadiene Recycling HC'!N$207)</f>
        <v>3.7533215787727718E-2</v>
      </c>
      <c r="P180" s="168">
        <f>'Butadiene Recycling HC'!O230/('Butadiene Recycling HC'!O$207)</f>
        <v>3.6647426695992004E-2</v>
      </c>
      <c r="Q180" s="168">
        <f>'Butadiene Recycling HC'!P230/('Butadiene Recycling HC'!P$207)</f>
        <v>3.5782846059600519E-2</v>
      </c>
      <c r="R180" s="168">
        <f>'Butadiene Recycling HC'!Q230/('Butadiene Recycling HC'!Q$207)</f>
        <v>3.4926141707329904E-2</v>
      </c>
      <c r="S180" s="168">
        <f>'Butadiene Recycling HC'!R230/('Butadiene Recycling HC'!R$207)</f>
        <v>3.4077347496280032E-2</v>
      </c>
      <c r="T180" s="168">
        <f>'Butadiene Recycling HC'!S230/('Butadiene Recycling HC'!S$207)</f>
        <v>3.3237844532680048E-2</v>
      </c>
      <c r="U180" s="168">
        <f>'Butadiene Recycling HC'!T230/('Butadiene Recycling HC'!T$207)</f>
        <v>3.2406416295036856E-2</v>
      </c>
      <c r="V180" s="168">
        <f>'Butadiene Recycling HC'!U230/('Butadiene Recycling HC'!U$207)</f>
        <v>3.1583096517040811E-2</v>
      </c>
      <c r="W180" s="168">
        <f>'Butadiene Recycling HC'!V230/('Butadiene Recycling HC'!V$207)</f>
        <v>3.0767919941178071E-2</v>
      </c>
      <c r="X180" s="168">
        <f>'Butadiene Recycling HC'!W230/('Butadiene Recycling HC'!W$207)</f>
        <v>2.9960922356724356E-2</v>
      </c>
      <c r="Y180" s="168">
        <f>'Butadiene Recycling HC'!X230/('Butadiene Recycling HC'!X$207)</f>
        <v>2.9159319283455117E-2</v>
      </c>
      <c r="Z180" s="168">
        <f>'Butadiene Recycling HC'!Y230/('Butadiene Recycling HC'!Y$207)</f>
        <v>2.8368590364959964E-2</v>
      </c>
      <c r="AA180" s="168">
        <f>'Butadiene Recycling HC'!Z230/('Butadiene Recycling HC'!Z$207)</f>
        <v>2.7626304432572787E-2</v>
      </c>
      <c r="AB180" s="168">
        <f>'Butadiene Recycling HC'!AA230/('Butadiene Recycling HC'!AA$207)</f>
        <v>2.6894314500600102E-2</v>
      </c>
      <c r="AC180" s="168">
        <f>'Butadiene Recycling HC'!AB230/('Butadiene Recycling HC'!AB$207)</f>
        <v>2.6172578496328265E-2</v>
      </c>
      <c r="AD180" s="168">
        <f>'Butadiene Recycling HC'!AC230/('Butadiene Recycling HC'!AC$207)</f>
        <v>2.5459394066181789E-2</v>
      </c>
      <c r="AE180" s="168">
        <f>'Butadiene Recycling HC'!AD230/('Butadiene Recycling HC'!AD$207)</f>
        <v>2.4756307853721685E-2</v>
      </c>
      <c r="AF180" s="168">
        <f>'Butadiene Recycling HC'!AE230/('Butadiene Recycling HC'!AE$207)</f>
        <v>2.4063274511296844E-2</v>
      </c>
      <c r="AG180" s="168">
        <f>'Butadiene Recycling HC'!AF230/('Butadiene Recycling HC'!AF$207)</f>
        <v>2.3380245981545499E-2</v>
      </c>
      <c r="AH180" s="168">
        <f>'Butadiene Recycling HC'!AG230/('Butadiene Recycling HC'!AG$207)</f>
        <v>2.2707171291930357E-2</v>
      </c>
      <c r="AI180" s="44"/>
      <c r="AJ180" s="168">
        <f>'Butadiene Recycling LC'!C230/('Butadiene Recycling LC'!C$207)</f>
        <v>4.7652277488774229E-2</v>
      </c>
      <c r="AK180" s="168">
        <f>'Butadiene Recycling LC'!D230/('Butadiene Recycling LC'!D$207)</f>
        <v>4.6701929612033871E-2</v>
      </c>
      <c r="AL180" s="168">
        <f>'Butadiene Recycling LC'!E230/('Butadiene Recycling LC'!E$207)</f>
        <v>4.5759881523508454E-2</v>
      </c>
      <c r="AM180" s="168">
        <f>'Butadiene Recycling LC'!F230/('Butadiene Recycling LC'!F$207)</f>
        <v>4.4826141772163007E-2</v>
      </c>
      <c r="AN180" s="168">
        <f>'Butadiene Recycling LC'!G230/('Butadiene Recycling LC'!G$207)</f>
        <v>4.3900718918707449E-2</v>
      </c>
      <c r="AO180" s="168">
        <f>'Butadiene Recycling LC'!H230/('Butadiene Recycling LC'!H$207)</f>
        <v>4.2983621535616724E-2</v>
      </c>
      <c r="AP180" s="168">
        <f>'Butadiene Recycling LC'!I230/('Butadiene Recycling LC'!I$207)</f>
        <v>4.2067423540284268E-2</v>
      </c>
      <c r="AQ180" s="168">
        <f>'Butadiene Recycling LC'!J230/('Butadiene Recycling LC'!J$207)</f>
        <v>4.1158647336337763E-2</v>
      </c>
      <c r="AR180" s="168">
        <f>'Butadiene Recycling LC'!K230/('Butadiene Recycling LC'!K$207)</f>
        <v>4.0257342988058546E-2</v>
      </c>
      <c r="AS180" s="168">
        <f>'Butadiene Recycling LC'!L230/('Butadiene Recycling LC'!L$207)</f>
        <v>3.9363561011026144E-2</v>
      </c>
      <c r="AT180" s="168">
        <f>'Butadiene Recycling LC'!M230/('Butadiene Recycling LC'!M$207)</f>
        <v>3.847735237721496E-2</v>
      </c>
      <c r="AU180" s="168">
        <f>'Butadiene Recycling LC'!N230/('Butadiene Recycling LC'!N$207)</f>
        <v>3.7597504362951582E-2</v>
      </c>
      <c r="AV180" s="168">
        <f>'Butadiene Recycling LC'!O230/('Butadiene Recycling LC'!O$207)</f>
        <v>3.6725750939826669E-2</v>
      </c>
      <c r="AW180" s="168">
        <f>'Butadiene Recycling LC'!P230/('Butadiene Recycling LC'!P$207)</f>
        <v>3.5868608534059557E-2</v>
      </c>
      <c r="AX180" s="168">
        <f>'Butadiene Recycling LC'!Q230/('Butadiene Recycling LC'!Q$207)</f>
        <v>3.5019644107884967E-2</v>
      </c>
      <c r="AY180" s="168">
        <f>'Butadiene Recycling LC'!R230/('Butadiene Recycling LC'!R$207)</f>
        <v>3.4178882856726323E-2</v>
      </c>
      <c r="AZ180" s="168">
        <f>'Butadiene Recycling LC'!S230/('Butadiene Recycling LC'!S$207)</f>
        <v>3.3346992511684839E-2</v>
      </c>
      <c r="BA180" s="168">
        <f>'Butadiene Recycling LC'!T230/('Butadiene Recycling LC'!T$207)</f>
        <v>3.2523395714313751E-2</v>
      </c>
      <c r="BB180" s="168">
        <f>'Butadiene Recycling LC'!U230/('Butadiene Recycling LC'!U$207)</f>
        <v>3.1708116613792178E-2</v>
      </c>
      <c r="BC180" s="168">
        <f>'Butadiene Recycling LC'!V230/('Butadiene Recycling LC'!V$207)</f>
        <v>3.0901179727879511E-2</v>
      </c>
      <c r="BD180" s="168">
        <f>'Butadiene Recycling LC'!W230/('Butadiene Recycling LC'!W$207)</f>
        <v>3.0102609949974251E-2</v>
      </c>
      <c r="BE180" s="168">
        <f>'Butadiene Recycling LC'!X230/('Butadiene Recycling LC'!X$207)</f>
        <v>2.9310159777917903E-2</v>
      </c>
      <c r="BF180" s="168">
        <f>'Butadiene Recycling LC'!Y230/('Butadiene Recycling LC'!Y$207)</f>
        <v>2.8528266555445558E-2</v>
      </c>
      <c r="BG180" s="168">
        <f>'Butadiene Recycling LC'!Z230/('Butadiene Recycling LC'!Z$207)</f>
        <v>2.7774221518052571E-2</v>
      </c>
      <c r="BH180" s="168">
        <f>'Butadiene Recycling LC'!AA230/('Butadiene Recycling LC'!AA$207)</f>
        <v>2.7029360563656742E-2</v>
      </c>
      <c r="BI180" s="168">
        <f>'Butadiene Recycling LC'!AB230/('Butadiene Recycling LC'!AB$207)</f>
        <v>2.6293649041649565E-2</v>
      </c>
      <c r="BJ180" s="168">
        <f>'Butadiene Recycling LC'!AC230/('Butadiene Recycling LC'!AC$207)</f>
        <v>2.5566296835274029E-2</v>
      </c>
      <c r="BK180" s="168">
        <f>'Butadiene Recycling LC'!AD230/('Butadiene Recycling LC'!AD$207)</f>
        <v>2.4848000651804474E-2</v>
      </c>
      <c r="BL180" s="168">
        <f>'Butadiene Recycling LC'!AE230/('Butadiene Recycling LC'!AE$207)</f>
        <v>2.4138725424261459E-2</v>
      </c>
      <c r="BM180" s="168">
        <f>'Butadiene Recycling LC'!AF230/('Butadiene Recycling LC'!AF$207)</f>
        <v>2.3438435106118236E-2</v>
      </c>
      <c r="BN180" s="168">
        <f>'Butadiene Recycling LC'!AG230/('Butadiene Recycling LC'!AG$207)</f>
        <v>2.2747092636857379E-2</v>
      </c>
      <c r="BP180" s="168">
        <f>'Butadiene Recycling HC'!C206/('Butadiene Recycling HC'!C$197)</f>
        <v>4.7652277488774229E-2</v>
      </c>
      <c r="BQ180" s="168">
        <f>'Butadiene Recycling HC'!D206/('Butadiene Recycling HC'!D$197)</f>
        <v>4.8389949304024016E-2</v>
      </c>
      <c r="BR180" s="168">
        <f>'Butadiene Recycling HC'!E206/('Butadiene Recycling HC'!E$197)</f>
        <v>4.9121972623840895E-2</v>
      </c>
      <c r="BS180" s="168">
        <f>'Butadiene Recycling HC'!F206/('Butadiene Recycling HC'!F$197)</f>
        <v>4.9848328136092468E-2</v>
      </c>
      <c r="BT180" s="168">
        <f>'Butadiene Recycling HC'!G206/('Butadiene Recycling HC'!G$197)</f>
        <v>5.0568955955632822E-2</v>
      </c>
      <c r="BU180" s="168">
        <f>'Butadiene Recycling HC'!H206/('Butadiene Recycling HC'!H$197)</f>
        <v>5.1283754763404674E-2</v>
      </c>
      <c r="BV180" s="168">
        <f>'Butadiene Recycling HC'!I206/('Butadiene Recycling HC'!I$197)</f>
        <v>5.1997763170273409E-2</v>
      </c>
      <c r="BW180" s="168">
        <f>'Butadiene Recycling HC'!J206/('Butadiene Recycling HC'!J$197)</f>
        <v>5.2710950879082882E-2</v>
      </c>
      <c r="BX180" s="168">
        <f>'Butadiene Recycling HC'!K206/('Butadiene Recycling HC'!K$197)</f>
        <v>5.3423286818011846E-2</v>
      </c>
      <c r="BY180" s="168">
        <f>'Butadiene Recycling HC'!L206/('Butadiene Recycling HC'!L$197)</f>
        <v>5.4134739063057061E-2</v>
      </c>
      <c r="BZ180" s="168">
        <f>'Butadiene Recycling HC'!M206/('Butadiene Recycling HC'!M$197)</f>
        <v>5.484527475918477E-2</v>
      </c>
      <c r="CA180" s="168">
        <f>'Butadiene Recycling HC'!N206/('Butadiene Recycling HC'!N$197)</f>
        <v>5.5551261020999949E-2</v>
      </c>
      <c r="CB180" s="168">
        <f>'Butadiene Recycling HC'!O206/('Butadiene Recycling HC'!O$197)</f>
        <v>5.6252532456800924E-2</v>
      </c>
      <c r="CC180" s="168">
        <f>'Butadiene Recycling HC'!P206/('Butadiene Recycling HC'!P$197)</f>
        <v>5.6948896647038248E-2</v>
      </c>
      <c r="CD180" s="168">
        <f>'Butadiene Recycling HC'!Q206/('Butadiene Recycling HC'!Q$197)</f>
        <v>5.7640132220502745E-2</v>
      </c>
      <c r="CE180" s="168">
        <f>'Butadiene Recycling HC'!R206/('Butadiene Recycling HC'!R$197)</f>
        <v>5.8325986640012262E-2</v>
      </c>
      <c r="CF180" s="168">
        <f>'Butadiene Recycling HC'!S206/('Butadiene Recycling HC'!S$197)</f>
        <v>5.9011078271340237E-2</v>
      </c>
      <c r="CG180" s="168">
        <f>'Butadiene Recycling HC'!T206/('Butadiene Recycling HC'!T$197)</f>
        <v>5.9695387090756488E-2</v>
      </c>
      <c r="CH180" s="168">
        <f>'Butadiene Recycling HC'!U206/('Butadiene Recycling HC'!U$197)</f>
        <v>6.037889261166058E-2</v>
      </c>
      <c r="CI180" s="168">
        <f>'Butadiene Recycling HC'!V206/('Butadiene Recycling HC'!V$197)</f>
        <v>6.1061573870347066E-2</v>
      </c>
      <c r="CJ180" s="168">
        <f>'Butadiene Recycling HC'!W206/('Butadiene Recycling HC'!W$197)</f>
        <v>6.1743409411357739E-2</v>
      </c>
      <c r="CK180" s="168">
        <f>'Butadiene Recycling HC'!X206/('Butadiene Recycling HC'!X$197)</f>
        <v>6.242441004677924E-2</v>
      </c>
      <c r="CL180" s="168">
        <f>'Butadiene Recycling HC'!Y206/('Butadiene Recycling HC'!Y$197)</f>
        <v>6.3104555101098955E-2</v>
      </c>
      <c r="CM180" s="168">
        <f>'Butadiene Recycling HC'!Z206/('Butadiene Recycling HC'!Z$197)</f>
        <v>6.378382342321387E-2</v>
      </c>
      <c r="CN180" s="168">
        <f>'Butadiene Recycling HC'!AA206/('Butadiene Recycling HC'!AA$197)</f>
        <v>6.4462193372622739E-2</v>
      </c>
      <c r="CO180" s="168">
        <f>'Butadiene Recycling HC'!AB206/('Butadiene Recycling HC'!AB$197)</f>
        <v>6.5139642805225162E-2</v>
      </c>
      <c r="CP180" s="168">
        <f>'Butadiene Recycling HC'!AC206/('Butadiene Recycling HC'!AC$197)</f>
        <v>6.5816179789587467E-2</v>
      </c>
      <c r="CQ180" s="168">
        <f>'Butadiene Recycling HC'!AD206/('Butadiene Recycling HC'!AD$197)</f>
        <v>6.6491782809827732E-2</v>
      </c>
      <c r="CR180" s="168">
        <f>'Butadiene Recycling HC'!AE206/('Butadiene Recycling HC'!AE$197)</f>
        <v>6.7166429859487176E-2</v>
      </c>
      <c r="CS180" s="168">
        <f>'Butadiene Recycling HC'!AF206/('Butadiene Recycling HC'!AF$197)</f>
        <v>6.7840098427958712E-2</v>
      </c>
      <c r="CT180" s="168">
        <f>'Butadiene Recycling HC'!AG206/('Butadiene Recycling HC'!AG$197)</f>
        <v>6.8512765486536772E-2</v>
      </c>
      <c r="CV180" s="168">
        <f t="shared" si="1605"/>
        <v>4.7652277488774229E-2</v>
      </c>
      <c r="CW180" s="168">
        <f t="shared" si="1575"/>
        <v>4.6755183878220703E-2</v>
      </c>
      <c r="CX180" s="168">
        <f t="shared" si="1576"/>
        <v>4.5869110939397016E-2</v>
      </c>
      <c r="CY180" s="168">
        <f t="shared" si="1577"/>
        <v>4.4993785824780377E-2</v>
      </c>
      <c r="CZ180" s="168">
        <f t="shared" si="1578"/>
        <v>4.4128939127970508E-2</v>
      </c>
      <c r="DA180" s="168">
        <f t="shared" si="1579"/>
        <v>4.3274306369547176E-2</v>
      </c>
      <c r="DB180" s="168">
        <f t="shared" si="1580"/>
        <v>4.2430834356022247E-2</v>
      </c>
      <c r="DC180" s="168">
        <f t="shared" si="1581"/>
        <v>4.1596293122738291E-2</v>
      </c>
      <c r="DD180" s="168">
        <f t="shared" si="1582"/>
        <v>4.0770447968477813E-2</v>
      </c>
      <c r="DE180" s="168">
        <f t="shared" si="1583"/>
        <v>3.9953108066582192E-2</v>
      </c>
      <c r="DF180" s="168">
        <f t="shared" si="1584"/>
        <v>3.9144160513379281E-2</v>
      </c>
      <c r="DG180" s="168">
        <f t="shared" si="1585"/>
        <v>3.8417043074866347E-2</v>
      </c>
      <c r="DH180" s="168">
        <f t="shared" si="1586"/>
        <v>3.7688611009082836E-2</v>
      </c>
      <c r="DI180" s="168">
        <f t="shared" si="1587"/>
        <v>3.7002642227194842E-2</v>
      </c>
      <c r="DJ180" s="168">
        <f t="shared" si="1588"/>
        <v>3.633231603445794E-2</v>
      </c>
      <c r="DK180" s="168">
        <f t="shared" si="1589"/>
        <v>3.5676803201611859E-2</v>
      </c>
      <c r="DL180" s="168">
        <f t="shared" si="1590"/>
        <v>3.5034535085988382E-2</v>
      </c>
      <c r="DM180" s="168">
        <f t="shared" si="1591"/>
        <v>3.4404356888964455E-2</v>
      </c>
      <c r="DN180" s="168">
        <f t="shared" si="1592"/>
        <v>3.3784262388564419E-2</v>
      </c>
      <c r="DO180" s="168">
        <f t="shared" si="1593"/>
        <v>3.3172069332803984E-2</v>
      </c>
      <c r="DP180" s="168">
        <f t="shared" si="1594"/>
        <v>3.2565656186751508E-2</v>
      </c>
      <c r="DQ180" s="168">
        <f t="shared" si="1595"/>
        <v>3.211161059396208E-2</v>
      </c>
      <c r="DR180" s="168">
        <f t="shared" si="1596"/>
        <v>3.1607631758893667E-2</v>
      </c>
      <c r="DS180" s="168">
        <f t="shared" si="1597"/>
        <v>3.113497011438222E-2</v>
      </c>
      <c r="DT180" s="168">
        <f t="shared" si="1598"/>
        <v>3.0671468934723684E-2</v>
      </c>
      <c r="DU180" s="168">
        <f t="shared" si="1599"/>
        <v>3.0209820220710382E-2</v>
      </c>
      <c r="DV180" s="168">
        <f t="shared" si="1600"/>
        <v>2.9746714886932257E-2</v>
      </c>
      <c r="DW180" s="168">
        <f t="shared" si="1601"/>
        <v>2.9280222234580249E-2</v>
      </c>
      <c r="DX180" s="168">
        <f t="shared" si="1602"/>
        <v>2.880787278756804E-2</v>
      </c>
      <c r="DY180" s="168">
        <f t="shared" si="1603"/>
        <v>2.832660428742145E-2</v>
      </c>
      <c r="DZ180" s="168">
        <f t="shared" si="1604"/>
        <v>2.783210761725715E-2</v>
      </c>
    </row>
    <row r="181" spans="1:165" s="624" customFormat="1" ht="16" thickBot="1" x14ac:dyDescent="0.25">
      <c r="A181" s="623" t="s">
        <v>463</v>
      </c>
      <c r="C181" s="625" t="s">
        <v>413</v>
      </c>
      <c r="D181" s="627">
        <f>SUMPRODUCT(D162:D170,D172:D180)</f>
        <v>0.98582389346283572</v>
      </c>
      <c r="E181" s="627">
        <f t="shared" ref="E181" si="1606">SUMPRODUCT(E162:E170,E172:E180)</f>
        <v>0.98585064641771547</v>
      </c>
      <c r="F181" s="627">
        <f t="shared" ref="F181" si="1607">SUMPRODUCT(F162:F170,F172:F180)</f>
        <v>0.9860698234068721</v>
      </c>
      <c r="G181" s="627">
        <f t="shared" ref="G181" si="1608">SUMPRODUCT(G162:G170,G172:G180)</f>
        <v>0.98646806311245661</v>
      </c>
      <c r="H181" s="627">
        <f t="shared" ref="H181" si="1609">SUMPRODUCT(H162:H170,H172:H180)</f>
        <v>0.98702741315863007</v>
      </c>
      <c r="I181" s="627">
        <f t="shared" ref="I181" si="1610">SUMPRODUCT(I162:I170,I172:I180)</f>
        <v>0.98772012297227518</v>
      </c>
      <c r="J181" s="627">
        <f t="shared" ref="J181" si="1611">SUMPRODUCT(J162:J170,J172:J180)</f>
        <v>0.98828388299415926</v>
      </c>
      <c r="K181" s="627">
        <f t="shared" ref="K181" si="1612">SUMPRODUCT(K162:K170,K172:K180)</f>
        <v>0.98879394987311064</v>
      </c>
      <c r="L181" s="627">
        <f t="shared" ref="L181" si="1613">SUMPRODUCT(L162:L170,L172:L180)</f>
        <v>0.98907994145654732</v>
      </c>
      <c r="M181" s="627">
        <f t="shared" ref="M181" si="1614">SUMPRODUCT(M162:M170,M172:M180)</f>
        <v>0.98883240866272937</v>
      </c>
      <c r="N181" s="627">
        <f t="shared" ref="N181" si="1615">SUMPRODUCT(N162:N170,N172:N180)</f>
        <v>0.98751182755176503</v>
      </c>
      <c r="O181" s="627">
        <f t="shared" ref="O181" si="1616">SUMPRODUCT(O162:O170,O172:O180)</f>
        <v>0.98420880408895739</v>
      </c>
      <c r="P181" s="627">
        <f t="shared" ref="P181" si="1617">SUMPRODUCT(P162:P170,P172:P180)</f>
        <v>0.97767052064466387</v>
      </c>
      <c r="Q181" s="627">
        <f t="shared" ref="Q181" si="1618">SUMPRODUCT(Q162:Q170,Q172:Q180)</f>
        <v>0.96652091697676068</v>
      </c>
      <c r="R181" s="627">
        <f t="shared" ref="R181" si="1619">SUMPRODUCT(R162:R170,R172:R180)</f>
        <v>0.94881189350886896</v>
      </c>
      <c r="S181" s="627">
        <f t="shared" ref="S181" si="1620">SUMPRODUCT(S162:S170,S172:S180)</f>
        <v>0.92332801006597576</v>
      </c>
      <c r="T181" s="627">
        <f t="shared" ref="T181" si="1621">SUMPRODUCT(T162:T170,T172:T180)</f>
        <v>0.88995480462476284</v>
      </c>
      <c r="U181" s="627">
        <f t="shared" ref="U181" si="1622">SUMPRODUCT(U162:U170,U172:U180)</f>
        <v>0.84985385094247268</v>
      </c>
      <c r="V181" s="627">
        <f t="shared" ref="V181" si="1623">SUMPRODUCT(V162:V170,V172:V180)</f>
        <v>0.80524941263006933</v>
      </c>
      <c r="W181" s="627">
        <f t="shared" ref="W181" si="1624">SUMPRODUCT(W162:W170,W172:W180)</f>
        <v>0.75872164813922482</v>
      </c>
      <c r="X181" s="627">
        <f t="shared" ref="X181" si="1625">SUMPRODUCT(X162:X170,X172:X180)</f>
        <v>0.71252442209920286</v>
      </c>
      <c r="Y181" s="627">
        <f t="shared" ref="Y181" si="1626">SUMPRODUCT(Y162:Y170,Y172:Y180)</f>
        <v>0.66814934227582223</v>
      </c>
      <c r="Z181" s="627">
        <f t="shared" ref="Z181" si="1627">SUMPRODUCT(Z162:Z170,Z172:Z180)</f>
        <v>0.62647906127817043</v>
      </c>
      <c r="AA181" s="627">
        <f t="shared" ref="AA181" si="1628">SUMPRODUCT(AA162:AA170,AA172:AA180)</f>
        <v>0.58834372308377225</v>
      </c>
      <c r="AB181" s="627">
        <f t="shared" ref="AB181" si="1629">SUMPRODUCT(AB162:AB170,AB172:AB180)</f>
        <v>0.55287366961891415</v>
      </c>
      <c r="AC181" s="627">
        <f t="shared" ref="AC181" si="1630">SUMPRODUCT(AC162:AC170,AC172:AC180)</f>
        <v>0.51969789287692403</v>
      </c>
      <c r="AD181" s="627">
        <f t="shared" ref="AD181" si="1631">SUMPRODUCT(AD162:AD170,AD172:AD180)</f>
        <v>0.48836027282416411</v>
      </c>
      <c r="AE181" s="627">
        <f t="shared" ref="AE181" si="1632">SUMPRODUCT(AE162:AE170,AE172:AE180)</f>
        <v>0.45847561820958188</v>
      </c>
      <c r="AF181" s="627">
        <f t="shared" ref="AF181" si="1633">SUMPRODUCT(AF162:AF170,AF172:AF180)</f>
        <v>0.42968295554352692</v>
      </c>
      <c r="AG181" s="627">
        <f t="shared" ref="AG181" si="1634">SUMPRODUCT(AG162:AG170,AG172:AG180)</f>
        <v>0.40168342784120747</v>
      </c>
      <c r="AH181" s="627">
        <f t="shared" ref="AH181" si="1635">SUMPRODUCT(AH162:AH170,AH172:AH180)</f>
        <v>0.37423856321628929</v>
      </c>
      <c r="AI181" s="626"/>
      <c r="AJ181" s="627">
        <f>SUMPRODUCT(AJ162:AJ170,AJ172:AJ180)</f>
        <v>0.98582389346283572</v>
      </c>
      <c r="AK181" s="627">
        <f t="shared" ref="AK181" si="1636">SUMPRODUCT(AK162:AK170,AK172:AK180)</f>
        <v>0.98585312063468877</v>
      </c>
      <c r="AL181" s="627">
        <f t="shared" ref="AL181" si="1637">SUMPRODUCT(AL162:AL170,AL172:AL180)</f>
        <v>0.98607557812107105</v>
      </c>
      <c r="AM181" s="627">
        <f t="shared" ref="AM181" si="1638">SUMPRODUCT(AM162:AM170,AM172:AM180)</f>
        <v>0.98647798215722793</v>
      </c>
      <c r="AN181" s="627">
        <f t="shared" ref="AN181" si="1639">SUMPRODUCT(AN162:AN170,AN172:AN180)</f>
        <v>0.98704246105094162</v>
      </c>
      <c r="AO181" s="627">
        <f t="shared" ref="AO181" si="1640">SUMPRODUCT(AO162:AO170,AO172:AO180)</f>
        <v>0.98774134759701959</v>
      </c>
      <c r="AP181" s="627">
        <f t="shared" ref="AP181" si="1641">SUMPRODUCT(AP162:AP170,AP172:AP180)</f>
        <v>0.988419860076026</v>
      </c>
      <c r="AQ181" s="627">
        <f t="shared" ref="AQ181" si="1642">SUMPRODUCT(AQ162:AQ170,AQ172:AQ180)</f>
        <v>0.98907166288981385</v>
      </c>
      <c r="AR181" s="627">
        <f t="shared" ref="AR181" si="1643">SUMPRODUCT(AR162:AR170,AR172:AR180)</f>
        <v>0.98952876026920911</v>
      </c>
      <c r="AS181" s="627">
        <f t="shared" ref="AS181" si="1644">SUMPRODUCT(AS162:AS170,AS172:AS180)</f>
        <v>0.98948387634584112</v>
      </c>
      <c r="AT181" s="627">
        <f t="shared" ref="AT181" si="1645">SUMPRODUCT(AT162:AT170,AT172:AT180)</f>
        <v>0.98839903924763783</v>
      </c>
      <c r="AU181" s="627">
        <f t="shared" ref="AU181" si="1646">SUMPRODUCT(AU162:AU170,AU172:AU180)</f>
        <v>0.985373896233391</v>
      </c>
      <c r="AV181" s="627">
        <f t="shared" ref="AV181" si="1647">SUMPRODUCT(AV162:AV170,AV172:AV180)</f>
        <v>0.97914451014118886</v>
      </c>
      <c r="AW181" s="627">
        <f t="shared" ref="AW181" si="1648">SUMPRODUCT(AW162:AW170,AW172:AW180)</f>
        <v>0.96818550878436271</v>
      </c>
      <c r="AX181" s="627">
        <f t="shared" ref="AX181" si="1649">SUMPRODUCT(AX162:AX170,AX172:AX180)</f>
        <v>0.9506666524948173</v>
      </c>
      <c r="AY181" s="627">
        <f t="shared" ref="AY181" si="1650">SUMPRODUCT(AY162:AY170,AY172:AY180)</f>
        <v>0.92536402404308093</v>
      </c>
      <c r="AZ181" s="627">
        <f t="shared" ref="AZ181" si="1651">SUMPRODUCT(AZ162:AZ170,AZ172:AZ180)</f>
        <v>0.89214169797044462</v>
      </c>
      <c r="BA181" s="627">
        <f t="shared" ref="BA181" si="1652">SUMPRODUCT(BA162:BA170,BA172:BA180)</f>
        <v>0.8521707899727039</v>
      </c>
      <c r="BB181" s="627">
        <f t="shared" ref="BB181" si="1653">SUMPRODUCT(BB162:BB170,BB172:BB180)</f>
        <v>0.8076769295411601</v>
      </c>
      <c r="BC181" s="627">
        <f t="shared" ref="BC181" si="1654">SUMPRODUCT(BC162:BC170,BC172:BC180)</f>
        <v>0.76124548994217411</v>
      </c>
      <c r="BD181" s="627">
        <f t="shared" ref="BD181" si="1655">SUMPRODUCT(BD162:BD170,BD172:BD180)</f>
        <v>0.71513735419277891</v>
      </c>
      <c r="BE181" s="627">
        <f t="shared" ref="BE181" si="1656">SUMPRODUCT(BE162:BE170,BE172:BE180)</f>
        <v>0.67086075488434926</v>
      </c>
      <c r="BF181" s="627">
        <f t="shared" ref="BF181" si="1657">SUMPRODUCT(BF162:BF170,BF172:BF180)</f>
        <v>0.6292848135738518</v>
      </c>
      <c r="BG181" s="627">
        <f t="shared" ref="BG181" si="1658">SUMPRODUCT(BG162:BG170,BG172:BG180)</f>
        <v>0.5908941682718758</v>
      </c>
      <c r="BH181" s="627">
        <f t="shared" ref="BH181" si="1659">SUMPRODUCT(BH162:BH170,BH172:BH180)</f>
        <v>0.55516779726417886</v>
      </c>
      <c r="BI181" s="627">
        <f t="shared" ref="BI181" si="1660">SUMPRODUCT(BI162:BI170,BI172:BI180)</f>
        <v>0.52173187144249444</v>
      </c>
      <c r="BJ181" s="627">
        <f t="shared" ref="BJ181" si="1661">SUMPRODUCT(BJ162:BJ170,BJ172:BJ180)</f>
        <v>0.490142141164774</v>
      </c>
      <c r="BK181" s="627">
        <f t="shared" ref="BK181" si="1662">SUMPRODUCT(BK162:BK170,BK172:BK180)</f>
        <v>0.45999594418875411</v>
      </c>
      <c r="BL181" s="627">
        <f t="shared" ref="BL181" si="1663">SUMPRODUCT(BL162:BL170,BL172:BL180)</f>
        <v>0.43092989897394562</v>
      </c>
      <c r="BM181" s="627">
        <f t="shared" ref="BM181" si="1664">SUMPRODUCT(BM162:BM170,BM172:BM180)</f>
        <v>0.40264332283315962</v>
      </c>
      <c r="BN181" s="627">
        <f t="shared" ref="BN181" si="1665">SUMPRODUCT(BN162:BN170,BN172:BN180)</f>
        <v>0.37489650984359385</v>
      </c>
      <c r="BP181" s="627">
        <f>SUMPRODUCT(BP162:BP170,BP172:BP180)</f>
        <v>0.98582389346283572</v>
      </c>
      <c r="BQ181" s="627">
        <f t="shared" ref="BQ181" si="1666">SUMPRODUCT(BQ162:BQ170,BQ172:BQ180)</f>
        <v>0.99764669945094486</v>
      </c>
      <c r="BR181" s="627">
        <f t="shared" ref="BR181" si="1667">SUMPRODUCT(BR162:BR170,BR172:BR180)</f>
        <v>1.0094148439985102</v>
      </c>
      <c r="BS181" s="627">
        <f t="shared" ref="BS181" si="1668">SUMPRODUCT(BS162:BS170,BS172:BS180)</f>
        <v>1.021126535395052</v>
      </c>
      <c r="BT181" s="627">
        <f t="shared" ref="BT181" si="1669">SUMPRODUCT(BT162:BT170,BT172:BT180)</f>
        <v>1.0327796202382835</v>
      </c>
      <c r="BU181" s="627">
        <f t="shared" ref="BU181" si="1670">SUMPRODUCT(BU162:BU170,BU172:BU180)</f>
        <v>1.0443715534237932</v>
      </c>
      <c r="BV181" s="627">
        <f t="shared" ref="BV181" si="1671">SUMPRODUCT(BV162:BV170,BV172:BV180)</f>
        <v>1.055956770691187</v>
      </c>
      <c r="BW181" s="627">
        <f t="shared" ref="BW181" si="1672">SUMPRODUCT(BW162:BW170,BW172:BW180)</f>
        <v>1.0675346875086882</v>
      </c>
      <c r="BX181" s="627">
        <f t="shared" ref="BX181" si="1673">SUMPRODUCT(BX162:BX170,BX172:BX180)</f>
        <v>1.0791047153824938</v>
      </c>
      <c r="BY181" s="627">
        <f t="shared" ref="BY181" si="1674">SUMPRODUCT(BY162:BY170,BY172:BY180)</f>
        <v>1.0906662604198614</v>
      </c>
      <c r="BZ181" s="627">
        <f t="shared" ref="BZ181" si="1675">SUMPRODUCT(BZ162:BZ170,BZ172:BZ180)</f>
        <v>1.102218721890259</v>
      </c>
      <c r="CA181" s="627">
        <f t="shared" ref="CA181" si="1676">SUMPRODUCT(CA162:CA170,CA172:CA180)</f>
        <v>1.1137204337134627</v>
      </c>
      <c r="CB181" s="627">
        <f t="shared" ref="CB181" si="1677">SUMPRODUCT(CB162:CB170,CB172:CB180)</f>
        <v>1.125168619356512</v>
      </c>
      <c r="CC181" s="627">
        <f t="shared" ref="CC181" si="1678">SUMPRODUCT(CC162:CC170,CC172:CC180)</f>
        <v>1.1365601944715196</v>
      </c>
      <c r="CD181" s="627">
        <f t="shared" ref="CD181" si="1679">SUMPRODUCT(CD162:CD170,CD172:CD180)</f>
        <v>1.1478917364904166</v>
      </c>
      <c r="CE181" s="627">
        <f t="shared" ref="CE181" si="1680">SUMPRODUCT(CE162:CE170,CE172:CE180)</f>
        <v>1.1591594507651388</v>
      </c>
      <c r="CF181" s="627">
        <f t="shared" ref="CF181" si="1681">SUMPRODUCT(CF162:CF170,CF172:CF180)</f>
        <v>1.1704165155702109</v>
      </c>
      <c r="CG181" s="627">
        <f t="shared" ref="CG181" si="1682">SUMPRODUCT(CG162:CG170,CG172:CG180)</f>
        <v>1.1816626321019972</v>
      </c>
      <c r="CH181" s="627">
        <f t="shared" ref="CH181" si="1683">SUMPRODUCT(CH162:CH170,CH172:CH180)</f>
        <v>1.1928974947902442</v>
      </c>
      <c r="CI181" s="627">
        <f t="shared" ref="CI181" si="1684">SUMPRODUCT(CI162:CI170,CI172:CI180)</f>
        <v>1.2041207910840375</v>
      </c>
      <c r="CJ181" s="627">
        <f t="shared" ref="CJ181" si="1685">SUMPRODUCT(CJ162:CJ170,CJ172:CJ180)</f>
        <v>1.2153322012315928</v>
      </c>
      <c r="CK181" s="627">
        <f t="shared" ref="CK181" si="1686">SUMPRODUCT(CK162:CK170,CK172:CK180)</f>
        <v>1.226531790001482</v>
      </c>
      <c r="CL181" s="627">
        <f t="shared" ref="CL181" si="1687">SUMPRODUCT(CL162:CL170,CL172:CL180)</f>
        <v>1.2377192490343982</v>
      </c>
      <c r="CM181" s="627">
        <f t="shared" ref="CM181" si="1688">SUMPRODUCT(CM162:CM170,CM172:CM180)</f>
        <v>1.2488942629603046</v>
      </c>
      <c r="CN181" s="627">
        <f t="shared" ref="CN181" si="1689">SUMPRODUCT(CN162:CN170,CN172:CN180)</f>
        <v>1.2600565091905449</v>
      </c>
      <c r="CO181" s="627">
        <f t="shared" ref="CO181" si="1690">SUMPRODUCT(CO162:CO170,CO172:CO180)</f>
        <v>1.2712056577040505</v>
      </c>
      <c r="CP181" s="627">
        <f t="shared" ref="CP181" si="1691">SUMPRODUCT(CP162:CP170,CP172:CP180)</f>
        <v>1.2823417454566406</v>
      </c>
      <c r="CQ181" s="627">
        <f t="shared" ref="CQ181" si="1692">SUMPRODUCT(CQ162:CQ170,CQ172:CQ180)</f>
        <v>1.2934644514479183</v>
      </c>
      <c r="CR181" s="627">
        <f t="shared" ref="CR181" si="1693">SUMPRODUCT(CR162:CR170,CR172:CR180)</f>
        <v>1.3045734473989172</v>
      </c>
      <c r="CS181" s="627">
        <f t="shared" ref="CS181" si="1694">SUMPRODUCT(CS162:CS170,CS172:CS180)</f>
        <v>1.3156683975474128</v>
      </c>
      <c r="CT181" s="627">
        <f t="shared" ref="CT181" si="1695">SUMPRODUCT(CT162:CT170,CT172:CT180)</f>
        <v>1.3267489584375309</v>
      </c>
      <c r="CV181" s="627">
        <f>SUMPRODUCT(CV162:CV170,CV172:CV180)</f>
        <v>0.98582389346283572</v>
      </c>
      <c r="CW181" s="627">
        <f t="shared" ref="CW181:DZ181" si="1696">SUMPRODUCT(CW162:CW170,CW172:CW180)</f>
        <v>0.98694057959633719</v>
      </c>
      <c r="CX181" s="627">
        <f t="shared" si="1696"/>
        <v>0.98834712491949772</v>
      </c>
      <c r="CY181" s="627">
        <f t="shared" si="1696"/>
        <v>0.99003106353814196</v>
      </c>
      <c r="CZ181" s="627">
        <f t="shared" si="1696"/>
        <v>0.99197543240577524</v>
      </c>
      <c r="DA181" s="627">
        <f t="shared" si="1696"/>
        <v>0.9941535046400668</v>
      </c>
      <c r="DB181" s="627">
        <f t="shared" si="1696"/>
        <v>0.99654550071219783</v>
      </c>
      <c r="DC181" s="627">
        <f t="shared" si="1696"/>
        <v>0.99901902570535484</v>
      </c>
      <c r="DD181" s="627">
        <f t="shared" si="1696"/>
        <v>1.0014060190211902</v>
      </c>
      <c r="DE181" s="627">
        <f t="shared" si="1696"/>
        <v>1.0033966002475809</v>
      </c>
      <c r="DF181" s="627">
        <f t="shared" si="1696"/>
        <v>1.0044451755606916</v>
      </c>
      <c r="DG181" s="627">
        <f t="shared" si="1696"/>
        <v>1.0055114992550873</v>
      </c>
      <c r="DH181" s="627">
        <f t="shared" si="1696"/>
        <v>1.0032264055601114</v>
      </c>
      <c r="DI181" s="627">
        <f t="shared" si="1696"/>
        <v>0.99688696635873009</v>
      </c>
      <c r="DJ181" s="627">
        <f t="shared" si="1696"/>
        <v>0.98407222826289431</v>
      </c>
      <c r="DK181" s="627">
        <f t="shared" si="1696"/>
        <v>0.96337623991188204</v>
      </c>
      <c r="DL181" s="627">
        <f t="shared" si="1696"/>
        <v>0.93445155910811639</v>
      </c>
      <c r="DM181" s="627">
        <f t="shared" si="1696"/>
        <v>0.89834537342292764</v>
      </c>
      <c r="DN181" s="627">
        <f t="shared" si="1696"/>
        <v>0.85721029748484168</v>
      </c>
      <c r="DO181" s="627">
        <f t="shared" si="1696"/>
        <v>0.81363882842544477</v>
      </c>
      <c r="DP181" s="627">
        <f t="shared" si="1696"/>
        <v>0.76995487715116506</v>
      </c>
      <c r="DQ181" s="627">
        <f t="shared" si="1696"/>
        <v>0.73105373692368036</v>
      </c>
      <c r="DR181" s="627">
        <f t="shared" si="1696"/>
        <v>0.6931970479409576</v>
      </c>
      <c r="DS181" s="627">
        <f t="shared" si="1696"/>
        <v>0.65833983299920229</v>
      </c>
      <c r="DT181" s="627">
        <f t="shared" si="1696"/>
        <v>0.62599901311080974</v>
      </c>
      <c r="DU181" s="627">
        <f t="shared" si="1696"/>
        <v>0.59568125990652088</v>
      </c>
      <c r="DV181" s="627">
        <f t="shared" si="1696"/>
        <v>0.56690279968007462</v>
      </c>
      <c r="DW181" s="627">
        <f t="shared" si="1696"/>
        <v>0.53921039603015564</v>
      </c>
      <c r="DX181" s="627">
        <f t="shared" si="1696"/>
        <v>0.51218488582433896</v>
      </c>
      <c r="DY181" s="627">
        <f t="shared" si="1696"/>
        <v>0.48545757731650502</v>
      </c>
      <c r="DZ181" s="627">
        <f t="shared" si="1696"/>
        <v>0.45870301641953209</v>
      </c>
      <c r="EK181" s="627"/>
      <c r="EL181" s="627"/>
      <c r="EM181" s="627"/>
      <c r="EN181" s="627"/>
      <c r="EO181" s="627"/>
      <c r="EP181" s="627"/>
      <c r="EQ181" s="627"/>
      <c r="ER181" s="627"/>
      <c r="ES181" s="627"/>
      <c r="ET181" s="627"/>
      <c r="EU181" s="627"/>
      <c r="EV181" s="627"/>
      <c r="EW181" s="627"/>
      <c r="EX181" s="627"/>
      <c r="EY181" s="627"/>
      <c r="EZ181" s="627"/>
      <c r="FA181" s="627"/>
      <c r="FB181" s="627"/>
      <c r="FC181" s="627"/>
      <c r="FD181" s="627"/>
      <c r="FE181" s="627"/>
      <c r="FF181" s="627"/>
      <c r="FG181" s="627"/>
      <c r="FH181" s="627"/>
      <c r="FI181" s="627"/>
    </row>
    <row r="182" spans="1:165" s="1" customFormat="1" x14ac:dyDescent="0.2">
      <c r="A182" s="162"/>
      <c r="C182" s="65"/>
      <c r="D182" s="443"/>
      <c r="E182" s="443"/>
      <c r="F182" s="443"/>
      <c r="G182" s="443"/>
      <c r="H182" s="443"/>
      <c r="I182" s="443"/>
      <c r="J182" s="443"/>
      <c r="K182" s="443"/>
      <c r="L182" s="443"/>
      <c r="M182" s="443"/>
      <c r="N182" s="443"/>
      <c r="O182" s="443"/>
      <c r="P182" s="443"/>
      <c r="Q182" s="443"/>
      <c r="R182" s="443"/>
      <c r="S182" s="443"/>
      <c r="T182" s="443"/>
      <c r="U182" s="443"/>
      <c r="V182" s="443"/>
      <c r="W182" s="443"/>
      <c r="X182" s="443"/>
      <c r="Y182" s="443"/>
      <c r="Z182" s="443"/>
      <c r="AA182" s="443"/>
      <c r="AB182" s="443"/>
      <c r="AC182" s="443"/>
      <c r="AD182" s="443"/>
      <c r="AE182" s="443"/>
      <c r="AF182" s="443"/>
      <c r="AG182" s="443"/>
      <c r="AH182" s="443"/>
      <c r="AI182" s="66"/>
      <c r="AJ182" s="443"/>
      <c r="AK182" s="443"/>
      <c r="AL182" s="443"/>
      <c r="AM182" s="443"/>
      <c r="AN182" s="443"/>
      <c r="AO182" s="443"/>
      <c r="AP182" s="443"/>
      <c r="AQ182" s="443"/>
      <c r="AR182" s="443"/>
      <c r="AS182" s="443"/>
      <c r="AT182" s="443"/>
      <c r="AU182" s="443"/>
      <c r="AV182" s="443"/>
      <c r="AW182" s="443"/>
      <c r="AX182" s="443"/>
      <c r="AY182" s="443"/>
      <c r="AZ182" s="443"/>
      <c r="BA182" s="443"/>
      <c r="BB182" s="443"/>
      <c r="BC182" s="443"/>
      <c r="BD182" s="443"/>
      <c r="BE182" s="443"/>
      <c r="BF182" s="443"/>
      <c r="BG182" s="443"/>
      <c r="BH182" s="443"/>
      <c r="BI182" s="443"/>
      <c r="BJ182" s="443"/>
      <c r="BK182" s="443"/>
      <c r="BL182" s="443"/>
      <c r="BM182" s="443"/>
      <c r="BN182" s="443"/>
      <c r="BP182" s="443"/>
      <c r="BQ182" s="443"/>
      <c r="BR182" s="443"/>
      <c r="BS182" s="443"/>
      <c r="BT182" s="443"/>
      <c r="BU182" s="443"/>
      <c r="BV182" s="443"/>
      <c r="BW182" s="443"/>
      <c r="BX182" s="443"/>
      <c r="BY182" s="443"/>
      <c r="BZ182" s="443"/>
      <c r="CA182" s="443"/>
      <c r="CB182" s="443"/>
      <c r="CC182" s="443"/>
      <c r="CD182" s="443"/>
      <c r="CE182" s="443"/>
      <c r="CF182" s="443"/>
      <c r="CG182" s="443"/>
      <c r="CH182" s="443"/>
      <c r="CI182" s="443"/>
      <c r="CJ182" s="443"/>
      <c r="CK182" s="443"/>
      <c r="CL182" s="443"/>
      <c r="CM182" s="443"/>
      <c r="CN182" s="443"/>
      <c r="CO182" s="443"/>
      <c r="CP182" s="443"/>
      <c r="CQ182" s="443"/>
      <c r="CR182" s="443"/>
      <c r="CS182" s="443"/>
      <c r="CT182" s="443"/>
      <c r="CV182" s="443"/>
      <c r="CW182" s="443"/>
      <c r="CX182" s="443"/>
      <c r="CY182" s="443"/>
      <c r="CZ182" s="443"/>
      <c r="DA182" s="443"/>
      <c r="DB182" s="443"/>
      <c r="DC182" s="443"/>
      <c r="DD182" s="443"/>
      <c r="DE182" s="443"/>
      <c r="DF182" s="443"/>
      <c r="DG182" s="443"/>
      <c r="DH182" s="443"/>
      <c r="DI182" s="443"/>
      <c r="DJ182" s="443"/>
      <c r="DK182" s="443"/>
      <c r="DL182" s="443"/>
      <c r="DM182" s="443"/>
      <c r="DN182" s="443"/>
      <c r="DO182" s="443"/>
      <c r="DP182" s="443"/>
      <c r="DQ182" s="443"/>
      <c r="DR182" s="443"/>
      <c r="DS182" s="443"/>
      <c r="DT182" s="443"/>
      <c r="DU182" s="443"/>
      <c r="DV182" s="443"/>
      <c r="DW182" s="443"/>
      <c r="DX182" s="443"/>
      <c r="DY182" s="443"/>
      <c r="DZ182" s="443"/>
      <c r="EK182" s="443"/>
      <c r="EL182" s="443"/>
      <c r="EM182" s="443"/>
      <c r="EN182" s="443"/>
      <c r="EO182" s="443"/>
      <c r="EP182" s="443"/>
      <c r="EQ182" s="443"/>
      <c r="ER182" s="443"/>
      <c r="ES182" s="443"/>
      <c r="ET182" s="443"/>
      <c r="EU182" s="443"/>
      <c r="EV182" s="443"/>
      <c r="EW182" s="443"/>
      <c r="EX182" s="443"/>
      <c r="EY182" s="443"/>
      <c r="EZ182" s="443"/>
      <c r="FA182" s="443"/>
      <c r="FB182" s="443"/>
      <c r="FC182" s="443"/>
      <c r="FD182" s="443"/>
      <c r="FE182" s="443"/>
      <c r="FF182" s="443"/>
      <c r="FG182" s="443"/>
      <c r="FH182" s="443"/>
      <c r="FI182" s="443"/>
    </row>
    <row r="183" spans="1:165" s="1" customFormat="1" x14ac:dyDescent="0.2">
      <c r="A183" s="162"/>
      <c r="C183" s="65"/>
      <c r="D183" s="443"/>
      <c r="E183" s="443"/>
      <c r="F183" s="443"/>
      <c r="G183" s="443"/>
      <c r="H183" s="443"/>
      <c r="I183" s="443"/>
      <c r="J183" s="443"/>
      <c r="K183" s="443"/>
      <c r="L183" s="443"/>
      <c r="M183" s="443"/>
      <c r="N183" s="443"/>
      <c r="O183" s="443"/>
      <c r="P183" s="443"/>
      <c r="Q183" s="443"/>
      <c r="R183" s="443"/>
      <c r="S183" s="443"/>
      <c r="T183" s="443"/>
      <c r="U183" s="443"/>
      <c r="V183" s="443"/>
      <c r="W183" s="443"/>
      <c r="X183" s="443"/>
      <c r="Y183" s="443"/>
      <c r="Z183" s="443"/>
      <c r="AA183" s="443"/>
      <c r="AB183" s="443"/>
      <c r="AC183" s="443"/>
      <c r="AD183" s="443"/>
      <c r="AE183" s="443"/>
      <c r="AF183" s="443"/>
      <c r="AG183" s="443"/>
      <c r="AH183" s="443"/>
      <c r="AI183" s="66"/>
      <c r="AJ183" s="443"/>
      <c r="AK183" s="443"/>
      <c r="AL183" s="443"/>
      <c r="AM183" s="443"/>
      <c r="AN183" s="443"/>
      <c r="AO183" s="443"/>
      <c r="AP183" s="443"/>
      <c r="AQ183" s="443"/>
      <c r="AR183" s="443"/>
      <c r="AS183" s="443"/>
      <c r="AT183" s="443"/>
      <c r="AU183" s="443"/>
      <c r="AV183" s="443"/>
      <c r="AW183" s="443"/>
      <c r="AX183" s="443"/>
      <c r="AY183" s="443"/>
      <c r="AZ183" s="443"/>
      <c r="BA183" s="443"/>
      <c r="BB183" s="443"/>
      <c r="BC183" s="443"/>
      <c r="BD183" s="443"/>
      <c r="BE183" s="443"/>
      <c r="BF183" s="443"/>
      <c r="BG183" s="443"/>
      <c r="BH183" s="443"/>
      <c r="BI183" s="443"/>
      <c r="BJ183" s="443"/>
      <c r="BK183" s="443"/>
      <c r="BL183" s="443"/>
      <c r="BM183" s="443"/>
      <c r="BN183" s="443"/>
      <c r="BO183" s="684" t="s">
        <v>457</v>
      </c>
      <c r="BP183" s="684"/>
      <c r="BQ183" s="684"/>
      <c r="BR183" s="684"/>
      <c r="BS183" s="684"/>
      <c r="BT183" s="684"/>
      <c r="BU183" s="684"/>
      <c r="BV183" s="684"/>
      <c r="BW183" s="684"/>
      <c r="BX183" s="684"/>
      <c r="BY183" s="684"/>
      <c r="BZ183" s="684"/>
      <c r="CA183" s="443"/>
      <c r="CB183" s="443"/>
      <c r="CC183" s="443"/>
      <c r="CD183" s="443"/>
      <c r="CE183" s="443"/>
      <c r="CF183" s="443"/>
      <c r="CG183" s="443"/>
      <c r="CH183" s="443"/>
      <c r="CI183" s="443"/>
      <c r="CJ183" s="443"/>
      <c r="CK183" s="443"/>
      <c r="CL183" s="443"/>
      <c r="CM183" s="443"/>
      <c r="CN183" s="443"/>
      <c r="CO183" s="443"/>
      <c r="CP183" s="443"/>
      <c r="CQ183" s="443"/>
      <c r="CR183" s="443"/>
      <c r="CS183" s="443"/>
      <c r="CT183" s="443"/>
      <c r="CU183" s="684" t="s">
        <v>456</v>
      </c>
      <c r="CV183" s="684"/>
      <c r="CW183" s="684"/>
      <c r="CX183" s="684"/>
      <c r="CY183" s="684"/>
      <c r="CZ183" s="684"/>
      <c r="DA183" s="684"/>
      <c r="DB183" s="684"/>
      <c r="DC183" s="684"/>
      <c r="DD183" s="684"/>
      <c r="DE183" s="684"/>
      <c r="DF183" s="684"/>
      <c r="DG183" s="684"/>
      <c r="DH183" s="684"/>
      <c r="DI183" s="684"/>
      <c r="DJ183" s="684"/>
      <c r="DK183" s="684"/>
      <c r="DL183" s="684"/>
      <c r="DM183" s="684"/>
      <c r="DN183" s="684"/>
      <c r="DO183" s="684"/>
      <c r="DP183" s="684"/>
      <c r="DQ183" s="684"/>
      <c r="DR183" s="684"/>
      <c r="DS183" s="684"/>
      <c r="DT183" s="684"/>
      <c r="DU183" s="684"/>
      <c r="DV183" s="684"/>
      <c r="DW183" s="684"/>
      <c r="DX183" s="684"/>
      <c r="DY183" s="684"/>
      <c r="DZ183" s="684"/>
      <c r="EA183" s="684"/>
      <c r="EB183" s="684"/>
      <c r="ED183" s="684" t="s">
        <v>464</v>
      </c>
      <c r="EE183" s="684"/>
      <c r="EP183" s="443"/>
      <c r="EQ183" s="443"/>
      <c r="ER183" s="443"/>
      <c r="ES183" s="443"/>
      <c r="ET183" s="443"/>
      <c r="EU183" s="443"/>
      <c r="EV183" s="443"/>
      <c r="EW183" s="443"/>
      <c r="EX183" s="443"/>
      <c r="EY183" s="443"/>
      <c r="EZ183" s="443"/>
      <c r="FA183" s="443"/>
      <c r="FB183" s="443"/>
      <c r="FC183" s="443"/>
      <c r="FD183" s="443"/>
      <c r="FE183" s="443"/>
      <c r="FF183" s="443"/>
      <c r="FG183" s="443"/>
      <c r="FH183" s="443"/>
      <c r="FI183" s="443"/>
    </row>
    <row r="184" spans="1:165" x14ac:dyDescent="0.2">
      <c r="A184" s="619" t="s">
        <v>465</v>
      </c>
      <c r="B184">
        <v>2020</v>
      </c>
      <c r="C184" s="26">
        <v>2050</v>
      </c>
      <c r="E184" s="44"/>
      <c r="F184" s="44"/>
      <c r="G184" s="44"/>
      <c r="H184" s="44"/>
      <c r="I184" s="44"/>
      <c r="J184" s="44"/>
      <c r="K184" s="44"/>
      <c r="L184" s="44"/>
      <c r="M184" s="44"/>
      <c r="N184" s="44"/>
      <c r="O184" s="44"/>
      <c r="P184" s="44"/>
      <c r="Q184" s="44"/>
      <c r="R184" s="44"/>
      <c r="S184" s="44"/>
      <c r="T184" s="44"/>
      <c r="U184" s="44"/>
      <c r="V184" s="44"/>
      <c r="W184" s="44"/>
      <c r="X184" s="44"/>
      <c r="Y184" s="44"/>
      <c r="Z184" s="44"/>
      <c r="AA184" s="44"/>
      <c r="AB184" s="44"/>
      <c r="AC184" s="44"/>
      <c r="AD184" s="44"/>
      <c r="AE184" s="44"/>
      <c r="AF184" s="44"/>
      <c r="AG184" s="44"/>
      <c r="AH184" s="44"/>
      <c r="BP184">
        <v>2020</v>
      </c>
      <c r="BZ184">
        <v>2050</v>
      </c>
      <c r="EA184">
        <v>2020</v>
      </c>
      <c r="EB184">
        <v>2050</v>
      </c>
      <c r="EE184">
        <v>2020</v>
      </c>
      <c r="EK184"/>
      <c r="EL184"/>
      <c r="EM184"/>
      <c r="EN184"/>
      <c r="EO184"/>
      <c r="EP184"/>
      <c r="EQ184"/>
      <c r="ER184"/>
      <c r="ES184"/>
      <c r="ET184"/>
      <c r="EU184"/>
    </row>
    <row r="185" spans="1:165" ht="16" thickBot="1" x14ac:dyDescent="0.25">
      <c r="A185" s="619"/>
      <c r="B185" t="s">
        <v>466</v>
      </c>
      <c r="C185" t="s">
        <v>466</v>
      </c>
      <c r="D185" s="44"/>
      <c r="E185" s="44"/>
      <c r="F185" s="44"/>
      <c r="G185" s="44"/>
      <c r="H185" s="44"/>
      <c r="I185" s="44"/>
      <c r="J185" s="44"/>
      <c r="K185" s="44"/>
      <c r="L185" s="44"/>
      <c r="M185" s="44"/>
      <c r="N185" s="44"/>
      <c r="O185" s="44"/>
      <c r="P185" s="44"/>
      <c r="Q185" s="44"/>
      <c r="R185" s="44"/>
      <c r="S185" s="44"/>
      <c r="T185" s="44"/>
      <c r="U185" s="44"/>
      <c r="V185" s="44"/>
      <c r="W185" s="44"/>
      <c r="X185" s="44"/>
      <c r="Y185" s="44"/>
      <c r="Z185" s="44"/>
      <c r="AA185" s="44"/>
      <c r="AB185" s="44"/>
      <c r="AC185" s="44"/>
      <c r="AD185" s="44"/>
      <c r="AE185" s="44"/>
      <c r="AF185" s="44"/>
      <c r="AG185" s="44"/>
      <c r="AH185" s="44"/>
      <c r="AI185" s="44" t="s">
        <v>467</v>
      </c>
      <c r="AJ185" s="44" t="s">
        <v>468</v>
      </c>
      <c r="AK185" s="44"/>
      <c r="AL185" s="44"/>
      <c r="AM185" s="44"/>
      <c r="AN185" s="44"/>
      <c r="AO185" s="44"/>
      <c r="AP185" s="44"/>
      <c r="AQ185" s="44"/>
      <c r="AR185" s="44"/>
      <c r="AS185" s="44"/>
      <c r="AT185" s="44" t="s">
        <v>469</v>
      </c>
      <c r="AU185" s="44"/>
      <c r="AV185" s="44"/>
      <c r="AW185" s="44"/>
      <c r="AX185" s="44"/>
      <c r="AY185" s="44"/>
      <c r="AZ185" s="44"/>
      <c r="BA185" s="44"/>
      <c r="BB185" s="44"/>
      <c r="BC185" s="44"/>
      <c r="BD185" s="44" t="s">
        <v>470</v>
      </c>
      <c r="BE185" s="44"/>
      <c r="BF185" s="44"/>
      <c r="BG185" s="44"/>
      <c r="BH185" s="44"/>
      <c r="BI185" s="44"/>
      <c r="BJ185" s="44"/>
      <c r="BK185" s="44"/>
      <c r="BL185" s="44"/>
      <c r="BM185" s="44"/>
      <c r="BN185" s="44"/>
      <c r="BP185" t="s">
        <v>471</v>
      </c>
      <c r="BQ185" t="s">
        <v>471</v>
      </c>
      <c r="BR185" t="s">
        <v>471</v>
      </c>
      <c r="BS185" t="s">
        <v>471</v>
      </c>
      <c r="BT185" t="s">
        <v>471</v>
      </c>
      <c r="BU185" t="s">
        <v>471</v>
      </c>
      <c r="BV185" t="s">
        <v>471</v>
      </c>
      <c r="BW185" t="s">
        <v>471</v>
      </c>
      <c r="BX185" t="s">
        <v>471</v>
      </c>
      <c r="BY185" t="s">
        <v>471</v>
      </c>
      <c r="BZ185" t="s">
        <v>471</v>
      </c>
      <c r="EA185" t="s">
        <v>471</v>
      </c>
      <c r="EB185" t="s">
        <v>471</v>
      </c>
      <c r="EC185" s="44"/>
      <c r="EE185" t="s">
        <v>471</v>
      </c>
      <c r="EK185"/>
      <c r="EL185"/>
      <c r="EM185"/>
      <c r="EN185"/>
      <c r="EO185"/>
      <c r="EP185"/>
      <c r="EQ185"/>
      <c r="ER185"/>
      <c r="ES185"/>
      <c r="ET185"/>
      <c r="EU185"/>
    </row>
    <row r="186" spans="1:165" x14ac:dyDescent="0.2">
      <c r="A186" s="616" t="s">
        <v>193</v>
      </c>
      <c r="B186" s="613">
        <f>EK5</f>
        <v>0.48</v>
      </c>
      <c r="C186" s="629">
        <f>0</f>
        <v>0</v>
      </c>
      <c r="D186" s="44"/>
      <c r="E186" s="44"/>
      <c r="F186" s="44"/>
      <c r="G186" s="44"/>
      <c r="H186" s="44"/>
      <c r="I186" s="44"/>
      <c r="J186" s="44"/>
      <c r="K186" s="44"/>
      <c r="L186" s="44"/>
      <c r="M186" s="44"/>
      <c r="N186" s="44"/>
      <c r="O186" s="44"/>
      <c r="P186" s="44"/>
      <c r="Q186" s="44"/>
      <c r="R186" s="44"/>
      <c r="S186" s="44"/>
      <c r="T186" s="44"/>
      <c r="U186" s="44"/>
      <c r="V186" s="44"/>
      <c r="W186" s="44"/>
      <c r="X186" s="44"/>
      <c r="Y186" s="44"/>
      <c r="Z186" s="44"/>
      <c r="AA186" s="44"/>
      <c r="AB186" s="44"/>
      <c r="AC186" s="44"/>
      <c r="AD186" s="44"/>
      <c r="AE186" s="44"/>
      <c r="AF186" s="44"/>
      <c r="AG186" s="44"/>
      <c r="AH186" s="44"/>
      <c r="AI186" t="s">
        <v>472</v>
      </c>
      <c r="AJ186" s="43">
        <v>1.29</v>
      </c>
      <c r="AK186" s="44"/>
      <c r="AL186" s="44"/>
      <c r="AM186" s="44"/>
      <c r="AN186" s="44"/>
      <c r="AO186" s="44"/>
      <c r="AP186" s="44"/>
      <c r="AQ186" s="44"/>
      <c r="AR186" s="44"/>
      <c r="AS186" s="44"/>
      <c r="AT186" s="43">
        <f>AJ186*1.1023</f>
        <v>1.4219670000000002</v>
      </c>
      <c r="AU186" s="44"/>
      <c r="AV186" s="44"/>
      <c r="AW186" s="44"/>
      <c r="AX186" s="44"/>
      <c r="AY186" s="44"/>
      <c r="AZ186" s="44"/>
      <c r="BA186" s="44"/>
      <c r="BB186" s="44"/>
      <c r="BC186" s="44"/>
      <c r="BD186" s="44">
        <v>3.2</v>
      </c>
      <c r="BE186" s="44"/>
      <c r="BF186" s="44"/>
      <c r="BG186" s="44"/>
      <c r="BH186" s="44"/>
      <c r="BI186" s="44"/>
      <c r="BJ186" s="44"/>
      <c r="BK186" s="44"/>
      <c r="BL186" s="44"/>
      <c r="BM186" s="44"/>
      <c r="BN186" s="44"/>
      <c r="BO186" s="44" t="s">
        <v>4</v>
      </c>
      <c r="BP186" s="43">
        <f>('Demand Breakdown - Ethylene'!C34*'Scope 3 Yearly'!AT186+'Demand Breakdown - Ethylene'!C35*'Scope 3 Yearly'!AT187+('Demand Breakdown - Ethylene'!C36+'Demand Breakdown - Ethylene'!C37)*'Scope 3 Yearly'!AT188+'Demand Breakdown - Ethylene'!C38*'Scope 3 Yearly'!AT192+'Demand Breakdown - Ethylene'!C39*'Scope 3 Yearly'!AT191)/SUM('Demand Breakdown - Ethylene'!C34+'Demand Breakdown - Ethylene'!C35+('Demand Breakdown - Ethylene'!C36+'Demand Breakdown - Ethylene'!C37)+'Demand Breakdown - Ethylene'!C38+'Demand Breakdown - Ethylene'!C39)</f>
        <v>1.3521142181450381</v>
      </c>
      <c r="BQ186" s="44"/>
      <c r="BR186" s="44"/>
      <c r="BS186" s="44"/>
      <c r="BT186" s="44"/>
      <c r="BU186" s="44"/>
      <c r="BV186" s="44"/>
      <c r="BW186" s="44"/>
      <c r="BX186" s="44"/>
      <c r="BY186" s="44"/>
      <c r="BZ186" s="43">
        <f>BP186*(1-$B$197)</f>
        <v>6.7605710907251967E-2</v>
      </c>
      <c r="CU186" s="44"/>
      <c r="CV186" s="43"/>
      <c r="CW186" s="44"/>
      <c r="CX186" s="44"/>
      <c r="CY186" s="44"/>
      <c r="CZ186" s="44"/>
      <c r="DA186" s="44"/>
      <c r="DB186" s="44"/>
      <c r="DC186" s="44"/>
      <c r="DD186" s="44"/>
      <c r="DE186" s="44"/>
      <c r="DF186" s="43"/>
      <c r="EA186" s="43">
        <f>BP186</f>
        <v>1.3521142181450381</v>
      </c>
      <c r="EB186" s="585">
        <v>2.8</v>
      </c>
      <c r="EC186" s="44"/>
      <c r="ED186" s="44" t="s">
        <v>4</v>
      </c>
      <c r="EE186" s="43">
        <f>('Demand Breakdown - Ethylene'!C34*'Scope 3 Yearly'!BD186+'Demand Breakdown - Ethylene'!C35*'Scope 3 Yearly'!BD187+('Demand Breakdown - Ethylene'!C36+'Demand Breakdown - Ethylene'!C37)*'Scope 3 Yearly'!BD188+'Demand Breakdown - Ethylene'!C38*'Scope 3 Yearly'!BD192+'Demand Breakdown - Ethylene'!C39*'Scope 3 Yearly'!BD191)/SUM('Demand Breakdown - Ethylene'!C34+'Demand Breakdown - Ethylene'!C35+('Demand Breakdown - Ethylene'!C36+'Demand Breakdown - Ethylene'!C37)+'Demand Breakdown - Ethylene'!C38+'Demand Breakdown - Ethylene'!C39)</f>
        <v>2.8215373757979978</v>
      </c>
      <c r="EF186" s="44"/>
      <c r="EG186" s="44"/>
      <c r="EH186" s="44"/>
      <c r="EI186" s="44"/>
      <c r="EJ186" s="44"/>
      <c r="EK186" s="44"/>
      <c r="EL186" s="44"/>
      <c r="EM186" s="44"/>
      <c r="EN186" s="44"/>
      <c r="EP186"/>
      <c r="EQ186"/>
      <c r="ER186"/>
      <c r="ES186"/>
      <c r="ET186"/>
      <c r="EU186"/>
    </row>
    <row r="187" spans="1:165" x14ac:dyDescent="0.2">
      <c r="A187" s="617" t="s">
        <v>88</v>
      </c>
      <c r="B187" s="43">
        <f>AVERAGE(2.4,3.6)</f>
        <v>3</v>
      </c>
      <c r="C187" s="630">
        <f>0</f>
        <v>0</v>
      </c>
      <c r="D187" s="44"/>
      <c r="E187" s="44"/>
      <c r="F187" s="44"/>
      <c r="G187" s="44"/>
      <c r="H187" s="44"/>
      <c r="I187" s="44"/>
      <c r="J187" s="44"/>
      <c r="K187" s="44"/>
      <c r="L187" s="44"/>
      <c r="M187" s="44"/>
      <c r="N187" s="44"/>
      <c r="O187" s="44"/>
      <c r="P187" s="44"/>
      <c r="Q187" s="44"/>
      <c r="R187" s="44"/>
      <c r="S187" s="44"/>
      <c r="T187" s="44"/>
      <c r="U187" s="44"/>
      <c r="V187" s="44"/>
      <c r="W187" s="44"/>
      <c r="X187" s="44"/>
      <c r="Y187" s="44"/>
      <c r="Z187" s="44"/>
      <c r="AA187" s="44"/>
      <c r="AB187" s="44"/>
      <c r="AC187" s="44"/>
      <c r="AD187" s="44"/>
      <c r="AE187" s="44"/>
      <c r="AF187" s="44"/>
      <c r="AG187" s="44"/>
      <c r="AH187" s="44"/>
      <c r="AI187" t="s">
        <v>473</v>
      </c>
      <c r="AJ187" s="43">
        <v>1.29</v>
      </c>
      <c r="AK187" s="44"/>
      <c r="AL187" s="44"/>
      <c r="AM187" s="44"/>
      <c r="AN187" s="44"/>
      <c r="AO187" s="44"/>
      <c r="AP187" s="44"/>
      <c r="AQ187" s="44"/>
      <c r="AR187" s="44"/>
      <c r="AS187" s="44"/>
      <c r="AT187" s="43">
        <f t="shared" ref="AT187:AT193" si="1697">AJ187*1.1023</f>
        <v>1.4219670000000002</v>
      </c>
      <c r="AU187" s="44"/>
      <c r="AV187" s="44"/>
      <c r="AW187" s="44"/>
      <c r="AX187" s="44"/>
      <c r="AY187" s="44"/>
      <c r="AZ187" s="44"/>
      <c r="BA187" s="44"/>
      <c r="BB187" s="44"/>
      <c r="BC187" s="44"/>
      <c r="BD187" s="44">
        <v>3</v>
      </c>
      <c r="BE187" s="44"/>
      <c r="BF187" s="44"/>
      <c r="BG187" s="44"/>
      <c r="BH187" s="44"/>
      <c r="BI187" s="44"/>
      <c r="BJ187" s="44"/>
      <c r="BK187" s="44"/>
      <c r="BL187" s="44"/>
      <c r="BM187" s="44"/>
      <c r="BN187" s="44"/>
      <c r="BO187" s="44" t="s">
        <v>5</v>
      </c>
      <c r="BP187" s="43">
        <f>AT190</f>
        <v>1.4219670000000002</v>
      </c>
      <c r="BQ187" s="44"/>
      <c r="BR187" s="44"/>
      <c r="BS187" s="44"/>
      <c r="BT187" s="44"/>
      <c r="BU187" s="44"/>
      <c r="BV187" s="44"/>
      <c r="BW187" s="44"/>
      <c r="BX187" s="44"/>
      <c r="BY187" s="44"/>
      <c r="BZ187" s="43">
        <f t="shared" ref="BZ187:BZ192" si="1698">BP187*(1-$B$197)</f>
        <v>7.1098350000000074E-2</v>
      </c>
      <c r="CU187" s="44"/>
      <c r="CV187" s="43"/>
      <c r="CW187" s="44"/>
      <c r="CX187" s="44"/>
      <c r="CY187" s="44"/>
      <c r="CZ187" s="44"/>
      <c r="DA187" s="44"/>
      <c r="DB187" s="44"/>
      <c r="DC187" s="44"/>
      <c r="DD187" s="44"/>
      <c r="DE187" s="44"/>
      <c r="DF187" s="43"/>
      <c r="EA187" s="43">
        <f t="shared" ref="EA187:EA192" si="1699">BP187</f>
        <v>1.4219670000000002</v>
      </c>
      <c r="EB187" s="585">
        <v>2.8</v>
      </c>
      <c r="EC187" s="44"/>
      <c r="ED187" s="44" t="s">
        <v>5</v>
      </c>
      <c r="EE187" s="43">
        <f>BD190</f>
        <v>3.2</v>
      </c>
      <c r="EF187" s="44"/>
      <c r="EG187" s="44"/>
      <c r="EH187" s="44"/>
      <c r="EI187" s="44"/>
      <c r="EJ187" s="44"/>
      <c r="EK187" s="44"/>
      <c r="EL187" s="44"/>
      <c r="EM187" s="44"/>
      <c r="EN187" s="44"/>
      <c r="EP187"/>
      <c r="EQ187"/>
      <c r="ER187"/>
      <c r="ES187"/>
      <c r="ET187"/>
      <c r="EU187"/>
    </row>
    <row r="188" spans="1:165" x14ac:dyDescent="0.2">
      <c r="A188" s="617" t="s">
        <v>459</v>
      </c>
      <c r="B188" s="43">
        <f>EK9</f>
        <v>1.39</v>
      </c>
      <c r="C188" s="631">
        <v>2.9</v>
      </c>
      <c r="D188" s="44"/>
      <c r="E188" s="44"/>
      <c r="F188" s="44"/>
      <c r="G188" s="44"/>
      <c r="H188" s="44"/>
      <c r="I188" s="44"/>
      <c r="J188" s="44"/>
      <c r="K188" s="44"/>
      <c r="L188" s="44"/>
      <c r="M188" s="44"/>
      <c r="N188" s="44"/>
      <c r="O188" s="44"/>
      <c r="P188" s="44"/>
      <c r="Q188" s="44"/>
      <c r="R188" s="44"/>
      <c r="S188" s="44"/>
      <c r="T188" s="44"/>
      <c r="U188" s="44"/>
      <c r="V188" s="44"/>
      <c r="W188" s="44"/>
      <c r="X188" s="44"/>
      <c r="Y188" s="44"/>
      <c r="Z188" s="44"/>
      <c r="AA188" s="44"/>
      <c r="AB188" s="44"/>
      <c r="AC188" s="44"/>
      <c r="AD188" s="44"/>
      <c r="AE188" s="44"/>
      <c r="AF188" s="44"/>
      <c r="AG188" s="44"/>
      <c r="AH188" s="44"/>
      <c r="AI188" s="44" t="s">
        <v>474</v>
      </c>
      <c r="AJ188" s="43">
        <v>1.24</v>
      </c>
      <c r="AK188" s="44"/>
      <c r="AL188" s="44"/>
      <c r="AM188" s="44"/>
      <c r="AN188" s="44"/>
      <c r="AO188" s="44"/>
      <c r="AP188" s="44"/>
      <c r="AQ188" s="44"/>
      <c r="AR188" s="44"/>
      <c r="AS188" s="44"/>
      <c r="AT188" s="43">
        <f t="shared" si="1697"/>
        <v>1.366852</v>
      </c>
      <c r="AU188" s="44"/>
      <c r="AV188" s="44"/>
      <c r="AW188" s="44"/>
      <c r="AX188" s="44"/>
      <c r="AY188" s="44"/>
      <c r="AZ188" s="44"/>
      <c r="BA188" s="44"/>
      <c r="BB188" s="44"/>
      <c r="BC188" s="44"/>
      <c r="BD188" s="44">
        <v>2.2999999999999998</v>
      </c>
      <c r="BE188" s="44"/>
      <c r="BF188" s="44"/>
      <c r="BG188" s="44"/>
      <c r="BH188" s="44"/>
      <c r="BI188" s="44"/>
      <c r="BJ188" s="44"/>
      <c r="BK188" s="44"/>
      <c r="BL188" s="44"/>
      <c r="BM188" s="44"/>
      <c r="BN188" s="44"/>
      <c r="BO188" s="44" t="s">
        <v>6</v>
      </c>
      <c r="BP188" s="43">
        <f>('Demand Breakdown - Methanol'!C3*'Scope 3 Yearly'!AT187+'Demand Breakdown - Methanol'!C4*'Scope 3 Yearly'!AT186+'Demand Breakdown - Methanol'!C5*'Scope 3 Yearly'!AT190+'Demand Breakdown - Methanol'!C6*'Scope 3 Yearly'!AT192+('Demand Breakdown - Methanol'!C7+'Demand Breakdown - Methanol'!C8)*'Scope 3 Yearly'!AT188+'Demand Breakdown - Methanol'!C9*'Scope 3 Yearly'!AT191)/SUM('Demand Breakdown - Methanol'!C3:C9)</f>
        <v>1.3812336962269454</v>
      </c>
      <c r="BQ188" s="44"/>
      <c r="BR188" s="44"/>
      <c r="BS188" s="44"/>
      <c r="BT188" s="44"/>
      <c r="BU188" s="44"/>
      <c r="BV188" s="44"/>
      <c r="BW188" s="44"/>
      <c r="BX188" s="44"/>
      <c r="BY188" s="44"/>
      <c r="BZ188" s="43">
        <f t="shared" si="1698"/>
        <v>6.9061684811347335E-2</v>
      </c>
      <c r="CU188" s="44"/>
      <c r="CV188" s="43"/>
      <c r="CW188" s="44"/>
      <c r="CX188" s="44"/>
      <c r="CY188" s="44"/>
      <c r="CZ188" s="44"/>
      <c r="DA188" s="44"/>
      <c r="DB188" s="44"/>
      <c r="DC188" s="44"/>
      <c r="DD188" s="44"/>
      <c r="DE188" s="44"/>
      <c r="DF188" s="43"/>
      <c r="EA188" s="43">
        <f t="shared" si="1699"/>
        <v>1.3812336962269454</v>
      </c>
      <c r="EB188" s="585">
        <v>2.0499999999999998</v>
      </c>
      <c r="EC188" s="44"/>
      <c r="ED188" s="44" t="s">
        <v>6</v>
      </c>
      <c r="EE188" s="43">
        <f>('Demand Breakdown - Methanol'!C3*'Scope 3 Yearly'!BD187+'Demand Breakdown - Methanol'!C4*'Scope 3 Yearly'!BD186+'Demand Breakdown - Methanol'!C5*'Scope 3 Yearly'!BD190+'Demand Breakdown - Methanol'!C6*'Scope 3 Yearly'!BD192+('Demand Breakdown - Methanol'!C7+'Demand Breakdown - Methanol'!C8)*'Scope 3 Yearly'!BD188+'Demand Breakdown - Methanol'!C9*'Scope 3 Yearly'!BD191)/SUM('Demand Breakdown - Methanol'!C3:C9)</f>
        <v>2.9677733260019514</v>
      </c>
      <c r="EF188" s="44"/>
      <c r="EG188" s="44"/>
      <c r="EH188" s="44"/>
      <c r="EI188" s="44"/>
      <c r="EJ188" s="44"/>
      <c r="EK188" s="44"/>
      <c r="EL188" s="44"/>
      <c r="EM188" s="44"/>
      <c r="EN188" s="44"/>
      <c r="EP188"/>
      <c r="EQ188"/>
      <c r="ER188"/>
      <c r="ES188"/>
      <c r="ET188"/>
      <c r="EU188"/>
    </row>
    <row r="189" spans="1:165" x14ac:dyDescent="0.2">
      <c r="A189" s="617" t="s">
        <v>460</v>
      </c>
      <c r="B189" s="43">
        <f>B188</f>
        <v>1.39</v>
      </c>
      <c r="C189" s="630">
        <f>(1-B197)*B189</f>
        <v>6.9500000000000062E-2</v>
      </c>
      <c r="D189" s="44"/>
      <c r="E189" s="44"/>
      <c r="F189" s="44"/>
      <c r="G189" s="44"/>
      <c r="H189" s="44"/>
      <c r="I189" s="44"/>
      <c r="J189" s="44"/>
      <c r="K189" s="44"/>
      <c r="L189" s="44"/>
      <c r="M189" s="44"/>
      <c r="N189" s="44"/>
      <c r="O189" s="44"/>
      <c r="P189" s="44"/>
      <c r="Q189" s="44"/>
      <c r="R189" s="44"/>
      <c r="S189" s="44"/>
      <c r="T189" s="44"/>
      <c r="U189" s="44"/>
      <c r="V189" s="44"/>
      <c r="W189" s="44"/>
      <c r="X189" s="44"/>
      <c r="Y189" s="44"/>
      <c r="Z189" s="44"/>
      <c r="AA189" s="44"/>
      <c r="AB189" s="44"/>
      <c r="AC189" s="44"/>
      <c r="AD189" s="44"/>
      <c r="AE189" s="44"/>
      <c r="AF189" s="44"/>
      <c r="AG189" s="44"/>
      <c r="AH189" s="44"/>
      <c r="AI189" s="44" t="s">
        <v>475</v>
      </c>
      <c r="AJ189" s="43">
        <v>1.29</v>
      </c>
      <c r="AK189" s="44"/>
      <c r="AL189" s="44"/>
      <c r="AM189" s="44"/>
      <c r="AN189" s="44"/>
      <c r="AO189" s="44"/>
      <c r="AP189" s="44"/>
      <c r="AQ189" s="44"/>
      <c r="AR189" s="44"/>
      <c r="AS189" s="44"/>
      <c r="AT189" s="43">
        <f t="shared" si="1697"/>
        <v>1.4219670000000002</v>
      </c>
      <c r="AU189" s="44"/>
      <c r="AV189" s="44"/>
      <c r="AW189" s="44"/>
      <c r="AX189" s="44"/>
      <c r="AY189" s="44"/>
      <c r="AZ189" s="44"/>
      <c r="BA189" s="44"/>
      <c r="BB189" s="44"/>
      <c r="BC189" s="44"/>
      <c r="BD189" s="44">
        <v>3.2</v>
      </c>
      <c r="BE189" s="44"/>
      <c r="BF189" s="44"/>
      <c r="BG189" s="44"/>
      <c r="BH189" s="44"/>
      <c r="BI189" s="44"/>
      <c r="BJ189" s="44"/>
      <c r="BK189" s="44"/>
      <c r="BL189" s="44"/>
      <c r="BM189" s="44"/>
      <c r="BN189" s="44"/>
      <c r="BO189" s="44" t="s">
        <v>7</v>
      </c>
      <c r="BP189" s="43">
        <f>('Demand Breakdown - BTX'!C56*'Scope 3 Yearly'!AT188+'Demand Breakdown - BTX'!C58*'Scope 3 Yearly'!AT191)/('Demand Breakdown - BTX'!C56+'Demand Breakdown - BTX'!C58)</f>
        <v>1.8298179999999999</v>
      </c>
      <c r="BQ189" s="44"/>
      <c r="BR189" s="44"/>
      <c r="BS189" s="44"/>
      <c r="BT189" s="44"/>
      <c r="BU189" s="44"/>
      <c r="BV189" s="44"/>
      <c r="BW189" s="44"/>
      <c r="BX189" s="44"/>
      <c r="BY189" s="44"/>
      <c r="BZ189" s="43">
        <f t="shared" si="1698"/>
        <v>9.1490900000000083E-2</v>
      </c>
      <c r="CU189" s="44"/>
      <c r="CV189" s="43"/>
      <c r="CW189" s="44"/>
      <c r="CX189" s="44"/>
      <c r="CY189" s="44"/>
      <c r="CZ189" s="44"/>
      <c r="DA189" s="44"/>
      <c r="DB189" s="44"/>
      <c r="DC189" s="44"/>
      <c r="DD189" s="44"/>
      <c r="DE189" s="44"/>
      <c r="DF189" s="43"/>
      <c r="EA189" s="43">
        <f t="shared" si="1699"/>
        <v>1.8298179999999999</v>
      </c>
      <c r="EB189" s="585">
        <f>AVERAGE(2.05,3.02)</f>
        <v>2.5350000000000001</v>
      </c>
      <c r="ED189" s="44" t="s">
        <v>7</v>
      </c>
      <c r="EE189" s="43">
        <f>('Demand Breakdown - BTX'!C56*'Scope 3 Yearly'!BD188+'Demand Breakdown - BTX'!C58*'Scope 3 Yearly'!BD191)/('Demand Breakdown - BTX'!C56+'Demand Breakdown - BTX'!C58)</f>
        <v>3.4000000000000004</v>
      </c>
      <c r="EF189" s="44"/>
      <c r="EG189" s="44"/>
      <c r="EH189" s="44"/>
      <c r="EI189" s="44"/>
      <c r="EJ189" s="44"/>
      <c r="EK189" s="44"/>
      <c r="EL189" s="44"/>
      <c r="EM189" s="44"/>
      <c r="EN189" s="44"/>
      <c r="EP189"/>
      <c r="EQ189"/>
      <c r="ER189"/>
      <c r="ES189"/>
      <c r="ET189"/>
      <c r="EU189" t="s">
        <v>476</v>
      </c>
    </row>
    <row r="190" spans="1:165" x14ac:dyDescent="0.2">
      <c r="A190" s="617" t="s">
        <v>33</v>
      </c>
      <c r="B190" s="43">
        <f>EK10</f>
        <v>5.0000000000000001E-3</v>
      </c>
      <c r="C190" s="630">
        <v>0</v>
      </c>
      <c r="D190" s="44"/>
      <c r="E190" s="44"/>
      <c r="F190" s="44"/>
      <c r="G190" s="44"/>
      <c r="H190" s="44"/>
      <c r="I190" s="44"/>
      <c r="J190" s="44"/>
      <c r="K190" s="44"/>
      <c r="L190" s="44"/>
      <c r="M190" s="44"/>
      <c r="N190" s="44"/>
      <c r="O190" s="44"/>
      <c r="P190" s="44"/>
      <c r="Q190" s="44"/>
      <c r="R190" s="44"/>
      <c r="S190" s="44"/>
      <c r="T190" s="44"/>
      <c r="U190" s="44"/>
      <c r="V190" s="44"/>
      <c r="W190" s="44"/>
      <c r="X190" s="44"/>
      <c r="Y190" s="44"/>
      <c r="Z190" s="44"/>
      <c r="AA190" s="44"/>
      <c r="AB190" s="44"/>
      <c r="AC190" s="44"/>
      <c r="AD190" s="44"/>
      <c r="AE190" s="44"/>
      <c r="AF190" s="44"/>
      <c r="AG190" s="44"/>
      <c r="AH190" s="44"/>
      <c r="AI190" s="44" t="s">
        <v>477</v>
      </c>
      <c r="AJ190" s="43">
        <v>1.29</v>
      </c>
      <c r="AK190" s="44"/>
      <c r="AL190" s="44"/>
      <c r="AM190" s="44"/>
      <c r="AN190" s="44"/>
      <c r="AO190" s="44"/>
      <c r="AP190" s="44"/>
      <c r="AQ190" s="44"/>
      <c r="AR190" s="44"/>
      <c r="AS190" s="44"/>
      <c r="AT190" s="43">
        <f t="shared" si="1697"/>
        <v>1.4219670000000002</v>
      </c>
      <c r="AU190" s="44"/>
      <c r="AV190" s="44"/>
      <c r="AW190" s="44"/>
      <c r="AX190" s="44"/>
      <c r="AY190" s="44"/>
      <c r="AZ190" s="44"/>
      <c r="BA190" s="44"/>
      <c r="BB190" s="44"/>
      <c r="BC190" s="44"/>
      <c r="BD190" s="44">
        <v>3.2</v>
      </c>
      <c r="BE190" s="44"/>
      <c r="BF190" s="44"/>
      <c r="BG190" s="44"/>
      <c r="BH190" s="44"/>
      <c r="BI190" s="44"/>
      <c r="BJ190" s="44"/>
      <c r="BK190" s="44"/>
      <c r="BL190" s="44"/>
      <c r="BM190" s="44"/>
      <c r="BN190" s="44"/>
      <c r="BO190" s="44" t="s">
        <v>8</v>
      </c>
      <c r="BP190" s="43">
        <f>AT193</f>
        <v>1.3888980000000002</v>
      </c>
      <c r="BZ190" s="43">
        <f t="shared" si="1698"/>
        <v>6.9444900000000073E-2</v>
      </c>
      <c r="CJ190" t="s">
        <v>476</v>
      </c>
      <c r="CU190" s="44"/>
      <c r="CV190" s="43"/>
      <c r="DF190" s="43"/>
      <c r="EA190" s="43">
        <f t="shared" si="1699"/>
        <v>1.3888980000000002</v>
      </c>
      <c r="EB190" s="585">
        <f>EB189</f>
        <v>2.5350000000000001</v>
      </c>
      <c r="EC190" s="44"/>
      <c r="ED190" s="44" t="s">
        <v>8</v>
      </c>
      <c r="EE190" s="43">
        <f>BD193</f>
        <v>2.8</v>
      </c>
      <c r="EK190"/>
      <c r="EL190"/>
      <c r="EM190"/>
      <c r="EN190"/>
      <c r="EP190"/>
      <c r="EQ190"/>
      <c r="ER190"/>
      <c r="ES190"/>
      <c r="ET190"/>
      <c r="EU190" s="44"/>
    </row>
    <row r="191" spans="1:165" x14ac:dyDescent="0.2">
      <c r="A191" s="617" t="s">
        <v>451</v>
      </c>
      <c r="B191" s="43">
        <f>0</f>
        <v>0</v>
      </c>
      <c r="C191" s="630">
        <v>0</v>
      </c>
      <c r="D191" s="44"/>
      <c r="E191" s="44"/>
      <c r="F191" s="44"/>
      <c r="G191" s="44"/>
      <c r="H191" s="44"/>
      <c r="I191" s="44"/>
      <c r="J191" s="44"/>
      <c r="K191" s="44"/>
      <c r="L191" s="44"/>
      <c r="M191" s="44"/>
      <c r="N191" s="44"/>
      <c r="O191" s="44"/>
      <c r="P191" s="44"/>
      <c r="Q191" s="44"/>
      <c r="R191" s="44"/>
      <c r="S191" s="44"/>
      <c r="T191" s="44"/>
      <c r="U191" s="44"/>
      <c r="V191" s="44"/>
      <c r="W191" s="44"/>
      <c r="X191" s="44"/>
      <c r="Y191" s="44"/>
      <c r="Z191" s="44"/>
      <c r="AA191" s="44"/>
      <c r="AB191" s="44"/>
      <c r="AC191" s="44"/>
      <c r="AD191" s="44"/>
      <c r="AE191" s="44"/>
      <c r="AF191" s="44"/>
      <c r="AG191" s="44"/>
      <c r="AH191" s="44"/>
      <c r="AI191" s="44" t="s">
        <v>478</v>
      </c>
      <c r="AJ191" s="43">
        <v>1.66</v>
      </c>
      <c r="AK191" s="44"/>
      <c r="AL191" s="44"/>
      <c r="AM191" s="44"/>
      <c r="AN191" s="44"/>
      <c r="AO191" s="44"/>
      <c r="AP191" s="44"/>
      <c r="AQ191" s="44"/>
      <c r="AR191" s="44"/>
      <c r="AS191" s="44"/>
      <c r="AT191" s="43">
        <f t="shared" si="1697"/>
        <v>1.8298179999999999</v>
      </c>
      <c r="AU191" s="44"/>
      <c r="AV191" s="44"/>
      <c r="AW191" s="44"/>
      <c r="AX191" s="44"/>
      <c r="AY191" s="44"/>
      <c r="AZ191" s="44"/>
      <c r="BA191" s="44"/>
      <c r="BB191" s="44"/>
      <c r="BC191" s="44"/>
      <c r="BD191" s="44">
        <v>3.4</v>
      </c>
      <c r="BE191" s="44"/>
      <c r="BF191" s="44"/>
      <c r="BG191" s="44"/>
      <c r="BH191" s="44"/>
      <c r="BI191" s="44"/>
      <c r="BJ191" s="44"/>
      <c r="BK191" s="44"/>
      <c r="BL191" s="44"/>
      <c r="BM191" s="44"/>
      <c r="BN191" s="44"/>
      <c r="BO191" s="44" t="s">
        <v>9</v>
      </c>
      <c r="BP191" s="43">
        <f>('Demand Breakdown - BTX'!H56*'Scope 3 Yearly'!AT188+'Demand Breakdown - BTX'!H58*'Scope 3 Yearly'!AT191)/('Demand Breakdown - BTX'!H56+'Demand Breakdown - BTX'!H58)</f>
        <v>1.366852</v>
      </c>
      <c r="BQ191" s="44"/>
      <c r="BR191" s="44"/>
      <c r="BS191" s="44"/>
      <c r="BT191" s="44"/>
      <c r="BU191" s="44"/>
      <c r="BV191" s="44"/>
      <c r="BW191" s="44"/>
      <c r="BX191" s="44"/>
      <c r="BY191" s="44"/>
      <c r="BZ191" s="43">
        <f t="shared" si="1698"/>
        <v>6.8342600000000059E-2</v>
      </c>
      <c r="CJ191" s="44"/>
      <c r="CU191" s="44"/>
      <c r="CV191" s="43"/>
      <c r="CW191" s="44"/>
      <c r="CX191" s="44"/>
      <c r="CY191" s="44"/>
      <c r="CZ191" s="44"/>
      <c r="DA191" s="44"/>
      <c r="DB191" s="44"/>
      <c r="DC191" s="44"/>
      <c r="DD191" s="44"/>
      <c r="DE191" s="44"/>
      <c r="DF191" s="43"/>
      <c r="DP191" s="44"/>
      <c r="EA191" s="43">
        <f t="shared" si="1699"/>
        <v>1.366852</v>
      </c>
      <c r="EB191" s="585">
        <f>EB190</f>
        <v>2.5350000000000001</v>
      </c>
      <c r="EC191" s="44"/>
      <c r="ED191" s="44" t="s">
        <v>9</v>
      </c>
      <c r="EE191" s="43">
        <f>('Demand Breakdown - BTX'!H56*'Scope 3 Yearly'!BD188+'Demand Breakdown - BTX'!H58*'Scope 3 Yearly'!BD191)/('Demand Breakdown - BTX'!H56+'Demand Breakdown - BTX'!H58)</f>
        <v>2.2999999999999998</v>
      </c>
      <c r="EF191" s="44"/>
      <c r="EG191" s="44"/>
      <c r="EH191" s="44"/>
      <c r="EI191" s="44"/>
      <c r="EJ191" s="44"/>
      <c r="EK191" s="44"/>
      <c r="EL191" s="44"/>
      <c r="EM191" s="44"/>
      <c r="EN191" s="44"/>
      <c r="EP191"/>
      <c r="EQ191"/>
      <c r="ER191"/>
      <c r="ES191"/>
      <c r="ET191"/>
      <c r="EU191" t="s">
        <v>479</v>
      </c>
    </row>
    <row r="192" spans="1:165" x14ac:dyDescent="0.2">
      <c r="A192" s="617" t="s">
        <v>452</v>
      </c>
      <c r="B192" s="43">
        <f>EK11</f>
        <v>2.8940000000000001</v>
      </c>
      <c r="C192" s="631">
        <f>B192</f>
        <v>2.8940000000000001</v>
      </c>
      <c r="D192" s="44"/>
      <c r="E192" s="44"/>
      <c r="F192" s="44"/>
      <c r="G192" s="44"/>
      <c r="H192" s="44"/>
      <c r="I192" s="44"/>
      <c r="J192" s="44"/>
      <c r="K192" s="44"/>
      <c r="L192" s="44"/>
      <c r="M192" s="44"/>
      <c r="N192" s="44"/>
      <c r="O192" s="44"/>
      <c r="P192" s="44"/>
      <c r="Q192" s="44"/>
      <c r="R192" s="44"/>
      <c r="S192" s="44"/>
      <c r="T192" s="44"/>
      <c r="U192" s="44"/>
      <c r="V192" s="44"/>
      <c r="W192" s="44"/>
      <c r="X192" s="44"/>
      <c r="Y192" s="44"/>
      <c r="Z192" s="44"/>
      <c r="AA192" s="44"/>
      <c r="AB192" s="44"/>
      <c r="AC192" s="44"/>
      <c r="AD192" s="44"/>
      <c r="AE192" s="44"/>
      <c r="AF192" s="44"/>
      <c r="AG192" s="44"/>
      <c r="AH192" s="44"/>
      <c r="AI192" s="44" t="s">
        <v>480</v>
      </c>
      <c r="AJ192" s="43">
        <v>0.66</v>
      </c>
      <c r="AK192" s="44"/>
      <c r="AL192" s="44"/>
      <c r="AM192" s="44"/>
      <c r="AN192" s="44"/>
      <c r="AO192" s="44"/>
      <c r="AP192" s="44"/>
      <c r="AQ192" s="44"/>
      <c r="AR192" s="44"/>
      <c r="AS192" s="44"/>
      <c r="AT192" s="43">
        <f t="shared" si="1697"/>
        <v>0.72751800000000011</v>
      </c>
      <c r="AU192" s="44"/>
      <c r="AV192" s="44"/>
      <c r="AW192" s="44"/>
      <c r="AX192" s="44"/>
      <c r="AY192" s="44"/>
      <c r="AZ192" s="44"/>
      <c r="BA192" s="44"/>
      <c r="BB192" s="44"/>
      <c r="BC192" s="44"/>
      <c r="BD192" s="44">
        <v>1.4</v>
      </c>
      <c r="BE192" s="44"/>
      <c r="BF192" s="44"/>
      <c r="BG192" s="44"/>
      <c r="BH192" s="44"/>
      <c r="BI192" s="44"/>
      <c r="BJ192" s="44"/>
      <c r="BK192" s="44"/>
      <c r="BL192" s="44"/>
      <c r="BM192" s="44"/>
      <c r="BN192" s="44"/>
      <c r="BO192" s="44" t="s">
        <v>10</v>
      </c>
      <c r="BP192" s="43">
        <f>AT186</f>
        <v>1.4219670000000002</v>
      </c>
      <c r="BQ192" s="44"/>
      <c r="BR192" s="44"/>
      <c r="BS192" s="44"/>
      <c r="BT192" s="44"/>
      <c r="BU192" s="44"/>
      <c r="BV192" s="44"/>
      <c r="BW192" s="44"/>
      <c r="BX192" s="44"/>
      <c r="BY192" s="44"/>
      <c r="BZ192" s="43">
        <f t="shared" si="1698"/>
        <v>7.1098350000000074E-2</v>
      </c>
      <c r="CJ192" t="s">
        <v>479</v>
      </c>
      <c r="CU192" s="44"/>
      <c r="CV192" s="43"/>
      <c r="CW192" s="44"/>
      <c r="CX192" s="44"/>
      <c r="CY192" s="44"/>
      <c r="CZ192" s="44"/>
      <c r="DA192" s="44"/>
      <c r="DB192" s="44"/>
      <c r="DC192" s="44"/>
      <c r="DD192" s="44"/>
      <c r="DE192" s="44"/>
      <c r="DF192" s="43"/>
      <c r="EA192" s="43">
        <f t="shared" si="1699"/>
        <v>1.4219670000000002</v>
      </c>
      <c r="EB192" s="585">
        <v>2.8</v>
      </c>
      <c r="ED192" s="44" t="s">
        <v>10</v>
      </c>
      <c r="EE192" s="43">
        <f>BD186</f>
        <v>3.2</v>
      </c>
      <c r="EF192" s="44"/>
      <c r="EG192" s="44"/>
      <c r="EH192" s="44"/>
      <c r="EI192" s="44"/>
      <c r="EJ192" s="44"/>
      <c r="EK192" s="44"/>
      <c r="EL192" s="44"/>
      <c r="EM192" s="44"/>
      <c r="EN192" s="44"/>
    </row>
    <row r="193" spans="1:135" x14ac:dyDescent="0.2">
      <c r="A193" s="617" t="s">
        <v>453</v>
      </c>
      <c r="B193">
        <v>0</v>
      </c>
      <c r="C193" s="630">
        <v>0</v>
      </c>
      <c r="D193" s="44"/>
      <c r="E193" s="44"/>
      <c r="F193" s="44"/>
      <c r="G193" s="44"/>
      <c r="H193" s="44"/>
      <c r="I193" s="44"/>
      <c r="J193" s="44"/>
      <c r="K193" s="44"/>
      <c r="L193" s="44"/>
      <c r="M193" s="44"/>
      <c r="N193" s="44"/>
      <c r="O193" s="44"/>
      <c r="P193" s="44"/>
      <c r="Q193" s="44"/>
      <c r="R193" s="44"/>
      <c r="S193" s="44"/>
      <c r="T193" s="44"/>
      <c r="U193" s="44"/>
      <c r="V193" s="44"/>
      <c r="W193" s="44"/>
      <c r="X193" s="44"/>
      <c r="Y193" s="44"/>
      <c r="Z193" s="44"/>
      <c r="AA193" s="44"/>
      <c r="AB193" s="44"/>
      <c r="AC193" s="44"/>
      <c r="AD193" s="44"/>
      <c r="AE193" s="44"/>
      <c r="AF193" s="44"/>
      <c r="AG193" s="44"/>
      <c r="AH193" s="44"/>
      <c r="AI193" s="44" t="s">
        <v>481</v>
      </c>
      <c r="AJ193" s="43">
        <v>1.26</v>
      </c>
      <c r="AK193" s="44"/>
      <c r="AL193" s="44"/>
      <c r="AM193" s="44"/>
      <c r="AN193" s="44"/>
      <c r="AO193" s="44"/>
      <c r="AP193" s="44"/>
      <c r="AQ193" s="44"/>
      <c r="AR193" s="44"/>
      <c r="AS193" s="44"/>
      <c r="AT193" s="43">
        <f t="shared" si="1697"/>
        <v>1.3888980000000002</v>
      </c>
      <c r="AU193" s="44"/>
      <c r="AV193" s="44"/>
      <c r="AW193" s="44"/>
      <c r="AX193" s="44"/>
      <c r="AY193" s="44"/>
      <c r="AZ193" s="44"/>
      <c r="BA193" s="44"/>
      <c r="BB193" s="44"/>
      <c r="BC193" s="44"/>
      <c r="BD193" s="44">
        <v>2.8</v>
      </c>
      <c r="BE193" s="44"/>
      <c r="BF193" s="44"/>
      <c r="BG193" s="44"/>
      <c r="BH193" s="44"/>
      <c r="BI193" s="44"/>
      <c r="BJ193" s="44"/>
      <c r="BK193" s="44"/>
      <c r="BL193" s="44"/>
      <c r="BM193" s="44"/>
      <c r="BN193" s="44"/>
      <c r="EB193" t="s">
        <v>482</v>
      </c>
      <c r="EE193" t="s">
        <v>483</v>
      </c>
    </row>
    <row r="194" spans="1:135" ht="16" thickBot="1" x14ac:dyDescent="0.25">
      <c r="A194" s="618" t="s">
        <v>454</v>
      </c>
      <c r="B194" s="82">
        <v>0</v>
      </c>
      <c r="C194" s="632">
        <v>0</v>
      </c>
      <c r="D194" s="44"/>
      <c r="E194" s="44"/>
      <c r="F194" s="44"/>
      <c r="G194" s="44"/>
      <c r="H194" s="44"/>
      <c r="I194" s="44"/>
      <c r="J194" s="44"/>
      <c r="K194" s="44"/>
      <c r="L194" s="44"/>
      <c r="M194" s="44"/>
      <c r="N194" s="44"/>
      <c r="O194" s="44"/>
      <c r="P194" s="44"/>
      <c r="Q194" s="44"/>
      <c r="R194" s="44"/>
      <c r="S194" s="44"/>
      <c r="T194" s="44"/>
      <c r="U194" s="44"/>
      <c r="V194" s="44"/>
      <c r="W194" s="44"/>
      <c r="X194" s="44"/>
      <c r="Y194" s="44"/>
      <c r="Z194" s="44"/>
      <c r="AA194" s="44"/>
      <c r="AB194" s="44"/>
      <c r="AC194" s="44"/>
      <c r="AD194" s="44"/>
      <c r="AE194" s="44"/>
      <c r="AF194" s="44"/>
      <c r="AG194" s="44"/>
      <c r="AH194" s="44"/>
      <c r="AI194" s="44" t="s">
        <v>96</v>
      </c>
      <c r="AJ194" s="620" t="s">
        <v>484</v>
      </c>
      <c r="AK194" s="44"/>
      <c r="AL194" s="44"/>
      <c r="AM194" s="44"/>
      <c r="AN194" s="44"/>
      <c r="AO194" s="44"/>
      <c r="AP194" s="44"/>
      <c r="AQ194" s="44"/>
      <c r="AR194" s="44"/>
      <c r="AS194" s="44"/>
      <c r="AT194" s="44"/>
      <c r="AU194" s="44"/>
      <c r="AV194" s="44"/>
      <c r="AW194" s="44"/>
      <c r="AX194" s="44"/>
      <c r="AY194" s="44"/>
      <c r="AZ194" s="44"/>
      <c r="BA194" s="44"/>
      <c r="BB194" s="44"/>
      <c r="BC194" s="44"/>
      <c r="BD194" s="44" t="s">
        <v>485</v>
      </c>
      <c r="BE194" s="44"/>
      <c r="BF194" s="44"/>
      <c r="BG194" s="44"/>
      <c r="BH194" s="44"/>
      <c r="BI194" s="44"/>
      <c r="BJ194" s="44"/>
      <c r="BK194" s="44"/>
      <c r="BL194" s="44"/>
      <c r="BM194" s="44"/>
      <c r="BN194" s="44"/>
    </row>
    <row r="195" spans="1:135" x14ac:dyDescent="0.2">
      <c r="A195" s="112"/>
      <c r="B195" s="54" t="s">
        <v>486</v>
      </c>
      <c r="C195" s="54"/>
      <c r="D195" s="44"/>
      <c r="E195" s="44"/>
      <c r="F195" s="44"/>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c r="AE195" s="44"/>
      <c r="AF195" s="44"/>
      <c r="AG195" s="44"/>
      <c r="AH195" s="44"/>
      <c r="AJ195" t="s">
        <v>487</v>
      </c>
      <c r="AU195" s="44"/>
      <c r="AV195" s="44"/>
      <c r="AW195" s="44"/>
      <c r="AX195" s="44"/>
      <c r="AY195" s="44"/>
      <c r="AZ195" s="44"/>
      <c r="BA195" s="44"/>
      <c r="BB195" s="44"/>
      <c r="BC195" s="44"/>
      <c r="BD195" s="44" t="s">
        <v>488</v>
      </c>
      <c r="BE195" s="44"/>
      <c r="BF195" s="44"/>
      <c r="BG195" s="44"/>
      <c r="BH195" s="44"/>
      <c r="BI195" s="44"/>
      <c r="BJ195" s="44"/>
      <c r="BK195" s="44"/>
      <c r="BL195" s="44"/>
      <c r="BM195" s="44"/>
      <c r="BN195" s="44"/>
    </row>
    <row r="196" spans="1:135" x14ac:dyDescent="0.2">
      <c r="A196" s="112"/>
      <c r="C196" s="54"/>
      <c r="D196" s="44"/>
      <c r="E196" s="44"/>
      <c r="F196" s="44"/>
      <c r="G196" s="44"/>
      <c r="H196" s="44"/>
      <c r="I196" s="44"/>
      <c r="J196" s="44"/>
      <c r="K196" s="44"/>
      <c r="L196" s="44"/>
      <c r="M196" s="44"/>
      <c r="N196" s="44"/>
      <c r="O196" s="44"/>
      <c r="P196" s="44"/>
      <c r="Q196" s="44"/>
      <c r="R196" s="44"/>
      <c r="S196" s="44"/>
      <c r="T196" s="44"/>
      <c r="U196" s="44"/>
      <c r="V196" s="44"/>
      <c r="W196" s="44"/>
      <c r="X196" s="44"/>
      <c r="Y196" s="44"/>
      <c r="Z196" s="44"/>
      <c r="AA196" s="44"/>
      <c r="AB196" s="44"/>
      <c r="AC196" s="44"/>
      <c r="AD196" s="44"/>
      <c r="AE196" s="44"/>
      <c r="AF196" s="44"/>
      <c r="AG196" s="44"/>
      <c r="AH196" s="44"/>
      <c r="AU196" s="44"/>
      <c r="AV196" s="44"/>
      <c r="AW196" s="44"/>
      <c r="AX196" s="44"/>
      <c r="AY196" s="44"/>
      <c r="AZ196" s="44"/>
      <c r="BA196" s="44"/>
      <c r="BB196" s="44"/>
      <c r="BC196" s="44"/>
      <c r="BD196" s="44"/>
      <c r="BE196" s="44"/>
      <c r="BF196" s="44"/>
      <c r="BG196" s="44"/>
      <c r="BH196" s="44"/>
      <c r="BI196" s="44"/>
      <c r="BJ196" s="44"/>
      <c r="BK196" s="44"/>
      <c r="BL196" s="44"/>
      <c r="BM196" s="44"/>
      <c r="BN196" s="44"/>
    </row>
    <row r="197" spans="1:135" x14ac:dyDescent="0.2">
      <c r="A197" s="112" t="s">
        <v>489</v>
      </c>
      <c r="B197" s="55">
        <v>0.95</v>
      </c>
      <c r="C197" s="54" t="s">
        <v>490</v>
      </c>
      <c r="D197" s="44"/>
      <c r="E197" s="44"/>
      <c r="F197" s="44"/>
      <c r="G197" s="44"/>
      <c r="H197" s="44"/>
      <c r="I197" s="44"/>
      <c r="J197" s="44"/>
      <c r="K197" s="44"/>
      <c r="L197" s="44"/>
      <c r="M197" s="44"/>
      <c r="N197" s="44"/>
      <c r="O197" s="44"/>
      <c r="P197" s="44"/>
      <c r="Q197" s="44"/>
      <c r="R197" s="44"/>
      <c r="S197" s="44"/>
      <c r="T197" s="44"/>
      <c r="U197" s="44"/>
      <c r="V197" s="44"/>
      <c r="W197" s="44"/>
      <c r="X197" s="44"/>
      <c r="Y197" s="44"/>
      <c r="Z197" s="44"/>
      <c r="AA197" s="44"/>
      <c r="AB197" s="44"/>
      <c r="AC197" s="44"/>
      <c r="AD197" s="44"/>
      <c r="AE197" s="44"/>
      <c r="AF197" s="44"/>
      <c r="AG197" s="44"/>
      <c r="AH197" s="44"/>
      <c r="AU197" s="44"/>
      <c r="AV197" s="44"/>
      <c r="AW197" s="44"/>
      <c r="AX197" s="44"/>
      <c r="AY197" s="44"/>
      <c r="AZ197" s="44"/>
      <c r="BA197" s="44"/>
      <c r="BB197" s="44"/>
      <c r="BC197" s="44"/>
      <c r="BD197" s="44"/>
      <c r="BE197" s="44"/>
      <c r="BF197" s="44"/>
      <c r="BG197" s="44"/>
      <c r="BH197" s="44"/>
      <c r="BI197" s="44"/>
      <c r="BJ197" s="44"/>
      <c r="BK197" s="44"/>
      <c r="BL197" s="44"/>
      <c r="BM197" s="44"/>
      <c r="BN197" s="44"/>
    </row>
    <row r="198" spans="1:135" x14ac:dyDescent="0.2">
      <c r="A198" s="112"/>
      <c r="C198" s="54"/>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U198" s="44"/>
      <c r="AV198" s="44"/>
      <c r="AW198" s="44"/>
      <c r="AX198" s="44"/>
      <c r="AY198" s="44"/>
      <c r="AZ198" s="44"/>
      <c r="BA198" s="44"/>
      <c r="BB198" s="44"/>
      <c r="BC198" s="44"/>
      <c r="BD198" s="44"/>
      <c r="BE198" s="44"/>
      <c r="BF198" s="44"/>
      <c r="BG198" s="44"/>
      <c r="BH198" s="44"/>
      <c r="BI198" s="44"/>
      <c r="BJ198" s="44"/>
      <c r="BK198" s="44"/>
      <c r="BL198" s="44"/>
      <c r="BM198" s="44"/>
      <c r="BN198" s="44"/>
    </row>
    <row r="199" spans="1:135" x14ac:dyDescent="0.2">
      <c r="A199" s="112"/>
      <c r="C199" s="54"/>
      <c r="D199" s="44"/>
      <c r="E199" s="44"/>
      <c r="F199" s="44"/>
      <c r="G199" s="44"/>
      <c r="H199" s="44"/>
      <c r="I199" s="44"/>
      <c r="J199" s="44"/>
      <c r="K199" s="44"/>
      <c r="L199" s="44"/>
      <c r="M199" s="44"/>
      <c r="N199" s="44"/>
      <c r="O199" s="44"/>
      <c r="P199" s="44"/>
      <c r="Q199" s="44"/>
      <c r="R199" s="44"/>
      <c r="S199" s="44"/>
      <c r="T199" s="44"/>
      <c r="U199" s="44"/>
      <c r="V199" s="44"/>
      <c r="W199" s="44"/>
      <c r="X199" s="44"/>
      <c r="Y199" s="44"/>
      <c r="Z199" s="44"/>
      <c r="AA199" s="44"/>
      <c r="AB199" s="44"/>
      <c r="AC199" s="44"/>
      <c r="AD199" s="44"/>
      <c r="AE199" s="44"/>
      <c r="AF199" s="44"/>
      <c r="AG199" s="44"/>
      <c r="AH199" s="44"/>
      <c r="AU199" s="44"/>
      <c r="AV199" s="44"/>
      <c r="AW199" s="44"/>
      <c r="AX199" s="44"/>
      <c r="AY199" s="44"/>
      <c r="AZ199" s="44"/>
      <c r="BA199" s="44"/>
      <c r="BB199" s="44"/>
      <c r="BC199" s="44"/>
      <c r="BD199" s="44"/>
      <c r="BE199" s="44"/>
      <c r="BF199" s="44"/>
      <c r="BG199" s="44"/>
      <c r="BH199" s="44"/>
      <c r="BI199" s="44"/>
      <c r="BJ199" s="44"/>
      <c r="BK199" s="44"/>
      <c r="BL199" s="44"/>
      <c r="BM199" s="44"/>
      <c r="BN199" s="44"/>
    </row>
    <row r="200" spans="1:135" x14ac:dyDescent="0.2">
      <c r="A200" s="112"/>
      <c r="C200" s="54"/>
      <c r="D200" s="44"/>
      <c r="E200" s="44"/>
      <c r="F200" s="44"/>
      <c r="G200" s="44"/>
      <c r="H200" s="44"/>
      <c r="I200" s="44"/>
      <c r="J200" s="44"/>
      <c r="K200" s="44"/>
      <c r="L200" s="44"/>
      <c r="M200" s="44"/>
      <c r="N200" s="44"/>
      <c r="O200" s="44"/>
      <c r="P200" s="44"/>
      <c r="Q200" s="44"/>
      <c r="R200" s="44"/>
      <c r="S200" s="44"/>
      <c r="T200" s="44"/>
      <c r="U200" s="44"/>
      <c r="V200" s="44"/>
      <c r="W200" s="44"/>
      <c r="X200" s="44"/>
      <c r="Y200" s="44"/>
      <c r="Z200" s="44"/>
      <c r="AA200" s="44"/>
      <c r="AB200" s="44"/>
      <c r="AC200" s="44"/>
      <c r="AD200" s="44"/>
      <c r="AE200" s="44"/>
      <c r="AF200" s="44"/>
      <c r="AG200" s="44"/>
      <c r="AH200" s="44"/>
      <c r="AU200" s="44"/>
      <c r="AV200" s="44"/>
      <c r="AW200" s="44"/>
      <c r="AX200" s="44"/>
      <c r="AY200" s="44"/>
      <c r="AZ200" s="44"/>
      <c r="BA200" s="44"/>
      <c r="BB200" s="44"/>
      <c r="BC200" s="44"/>
      <c r="BD200" s="44"/>
      <c r="BE200" s="44"/>
      <c r="BF200" s="44"/>
      <c r="BG200" s="44"/>
      <c r="BH200" s="44"/>
      <c r="BI200" s="44"/>
      <c r="BJ200" s="44"/>
      <c r="BK200" s="44"/>
      <c r="BL200" s="44"/>
      <c r="BM200" s="44"/>
      <c r="BN200" s="44"/>
    </row>
    <row r="201" spans="1:135" x14ac:dyDescent="0.2">
      <c r="A201" s="605"/>
      <c r="C201" s="54"/>
    </row>
    <row r="202" spans="1:135" x14ac:dyDescent="0.2">
      <c r="A202" s="605"/>
      <c r="C202" s="54"/>
    </row>
    <row r="203" spans="1:135" x14ac:dyDescent="0.2">
      <c r="B203" s="181" t="s">
        <v>491</v>
      </c>
    </row>
    <row r="204" spans="1:135" x14ac:dyDescent="0.2">
      <c r="A204" s="181"/>
      <c r="B204" s="210" t="s">
        <v>492</v>
      </c>
      <c r="D204" s="331">
        <v>0</v>
      </c>
      <c r="E204" s="331">
        <f t="shared" ref="E204:Y204" si="1700">D204+1</f>
        <v>1</v>
      </c>
      <c r="F204" s="331">
        <f t="shared" si="1700"/>
        <v>2</v>
      </c>
      <c r="G204" s="331">
        <f t="shared" si="1700"/>
        <v>3</v>
      </c>
      <c r="H204" s="331">
        <f t="shared" si="1700"/>
        <v>4</v>
      </c>
      <c r="I204" s="331">
        <f t="shared" si="1700"/>
        <v>5</v>
      </c>
      <c r="J204" s="331">
        <f t="shared" si="1700"/>
        <v>6</v>
      </c>
      <c r="K204" s="331">
        <f t="shared" si="1700"/>
        <v>7</v>
      </c>
      <c r="L204" s="331">
        <f t="shared" si="1700"/>
        <v>8</v>
      </c>
      <c r="M204" s="331">
        <f t="shared" si="1700"/>
        <v>9</v>
      </c>
      <c r="N204" s="331">
        <f t="shared" si="1700"/>
        <v>10</v>
      </c>
      <c r="O204" s="331">
        <f t="shared" si="1700"/>
        <v>11</v>
      </c>
      <c r="P204" s="331">
        <f t="shared" si="1700"/>
        <v>12</v>
      </c>
      <c r="Q204" s="331">
        <f t="shared" si="1700"/>
        <v>13</v>
      </c>
      <c r="R204" s="331">
        <f t="shared" si="1700"/>
        <v>14</v>
      </c>
      <c r="S204" s="331">
        <f t="shared" si="1700"/>
        <v>15</v>
      </c>
      <c r="T204" s="331">
        <f t="shared" si="1700"/>
        <v>16</v>
      </c>
      <c r="U204" s="331">
        <f t="shared" si="1700"/>
        <v>17</v>
      </c>
      <c r="V204" s="331">
        <f t="shared" si="1700"/>
        <v>18</v>
      </c>
      <c r="W204" s="331">
        <f t="shared" si="1700"/>
        <v>19</v>
      </c>
      <c r="X204" s="331">
        <f t="shared" si="1700"/>
        <v>20</v>
      </c>
      <c r="Y204" s="331">
        <f t="shared" si="1700"/>
        <v>21</v>
      </c>
      <c r="Z204" s="331">
        <f t="shared" ref="Z204:AH204" si="1701">Y204+1</f>
        <v>22</v>
      </c>
      <c r="AA204" s="331">
        <f t="shared" si="1701"/>
        <v>23</v>
      </c>
      <c r="AB204" s="331">
        <f t="shared" si="1701"/>
        <v>24</v>
      </c>
      <c r="AC204" s="331">
        <f t="shared" si="1701"/>
        <v>25</v>
      </c>
      <c r="AD204" s="331">
        <f t="shared" si="1701"/>
        <v>26</v>
      </c>
      <c r="AE204" s="331">
        <f t="shared" si="1701"/>
        <v>27</v>
      </c>
      <c r="AF204" s="331">
        <f t="shared" si="1701"/>
        <v>28</v>
      </c>
      <c r="AG204" s="331">
        <f t="shared" si="1701"/>
        <v>29</v>
      </c>
      <c r="AH204" s="331">
        <f t="shared" si="1701"/>
        <v>30</v>
      </c>
    </row>
    <row r="205" spans="1:135" x14ac:dyDescent="0.2">
      <c r="B205" s="176"/>
      <c r="D205" s="333">
        <f>$D$210/((1+EXP(-$D$209*(D204-$D$211)))^$D$208)</f>
        <v>4.6088632748610021E-5</v>
      </c>
      <c r="E205" s="333">
        <f t="shared" ref="E205:AH205" si="1702">$D$210/((1+EXP(-$D$209*(E204-$D$211)))^$D$208)</f>
        <v>8.924759460408035E-5</v>
      </c>
      <c r="F205" s="333">
        <f t="shared" si="1702"/>
        <v>1.7252431976790472E-4</v>
      </c>
      <c r="G205" s="333">
        <f t="shared" si="1702"/>
        <v>3.3269643715580369E-4</v>
      </c>
      <c r="H205" s="333">
        <f t="shared" si="1702"/>
        <v>6.393827369910735E-4</v>
      </c>
      <c r="I205" s="333">
        <f t="shared" si="1702"/>
        <v>1.2229053771654547E-3</v>
      </c>
      <c r="J205" s="333">
        <f t="shared" si="1702"/>
        <v>2.3234018804222717E-3</v>
      </c>
      <c r="K205" s="333">
        <f t="shared" si="1702"/>
        <v>4.3736281679830789E-3</v>
      </c>
      <c r="L205" s="333">
        <f t="shared" si="1702"/>
        <v>8.1294184230466908E-3</v>
      </c>
      <c r="M205" s="333">
        <f t="shared" si="1702"/>
        <v>1.4853985082038716E-2</v>
      </c>
      <c r="N205" s="333">
        <f t="shared" si="1702"/>
        <v>2.6531412096832362E-2</v>
      </c>
      <c r="O205" s="333">
        <f t="shared" si="1702"/>
        <v>4.6014759335105015E-2</v>
      </c>
      <c r="P205" s="333">
        <f t="shared" si="1702"/>
        <v>7.6910635328419796E-2</v>
      </c>
      <c r="Q205" s="333">
        <f t="shared" si="1702"/>
        <v>0.12294065829885638</v>
      </c>
      <c r="R205" s="333">
        <f t="shared" si="1702"/>
        <v>0.18666754187878853</v>
      </c>
      <c r="S205" s="333">
        <f t="shared" si="1702"/>
        <v>0.26794336563407328</v>
      </c>
      <c r="T205" s="333">
        <f t="shared" si="1702"/>
        <v>0.36297326582455031</v>
      </c>
      <c r="U205" s="333">
        <f t="shared" si="1702"/>
        <v>0.46484396312424381</v>
      </c>
      <c r="V205" s="333">
        <f t="shared" si="1702"/>
        <v>0.56546260593861253</v>
      </c>
      <c r="W205" s="333">
        <f t="shared" si="1702"/>
        <v>0.6578403022607352</v>
      </c>
      <c r="X205" s="333">
        <f t="shared" si="1702"/>
        <v>0.73754668886795227</v>
      </c>
      <c r="Y205" s="333">
        <f t="shared" si="1702"/>
        <v>0.80293052021410605</v>
      </c>
      <c r="Z205" s="333">
        <f t="shared" si="1702"/>
        <v>0.85447682949112158</v>
      </c>
      <c r="AA205" s="333">
        <f t="shared" si="1702"/>
        <v>0.89389910336617451</v>
      </c>
      <c r="AB205" s="333">
        <f t="shared" si="1702"/>
        <v>0.92337223319290385</v>
      </c>
      <c r="AC205" s="333">
        <f t="shared" si="1702"/>
        <v>0.94504210708611314</v>
      </c>
      <c r="AD205" s="333">
        <f t="shared" si="1702"/>
        <v>0.96078240575184182</v>
      </c>
      <c r="AE205" s="333">
        <f t="shared" si="1702"/>
        <v>0.97211605463477313</v>
      </c>
      <c r="AF205" s="333">
        <f t="shared" si="1702"/>
        <v>0.98022577885232642</v>
      </c>
      <c r="AG205" s="333">
        <f t="shared" si="1702"/>
        <v>0.98600279580400285</v>
      </c>
      <c r="AH205" s="333">
        <f t="shared" si="1702"/>
        <v>0.9901050637460882</v>
      </c>
    </row>
    <row r="206" spans="1:135" x14ac:dyDescent="0.2">
      <c r="A206" s="181"/>
      <c r="B206" s="176"/>
      <c r="D206" s="329"/>
      <c r="E206" s="329"/>
      <c r="F206" s="329"/>
      <c r="G206" s="329"/>
      <c r="H206" s="329"/>
      <c r="I206" s="329"/>
      <c r="J206" s="329"/>
      <c r="K206" s="329"/>
      <c r="L206" s="329"/>
      <c r="M206" s="329"/>
      <c r="N206" s="329"/>
      <c r="O206" s="329"/>
      <c r="P206" s="329"/>
      <c r="Q206" s="329"/>
      <c r="R206" s="329"/>
      <c r="S206" s="329"/>
      <c r="T206" s="329"/>
      <c r="U206" s="329"/>
      <c r="V206" s="329"/>
      <c r="W206" s="329"/>
      <c r="X206" s="329"/>
      <c r="Y206" s="329"/>
      <c r="Z206" s="329"/>
      <c r="AA206" s="329"/>
      <c r="AB206" s="329"/>
      <c r="AC206" s="329"/>
      <c r="AD206" s="329"/>
      <c r="AE206" s="329"/>
      <c r="AF206" s="329"/>
      <c r="AG206" s="329"/>
      <c r="AH206" s="329"/>
    </row>
    <row r="207" spans="1:135" x14ac:dyDescent="0.2">
      <c r="A207" s="181"/>
      <c r="B207" s="176"/>
      <c r="C207" s="327"/>
      <c r="D207" s="327"/>
      <c r="E207" s="327"/>
      <c r="F207" s="327"/>
      <c r="G207" s="327"/>
      <c r="H207" s="327"/>
      <c r="I207" s="327"/>
      <c r="J207" s="327"/>
      <c r="K207" s="327"/>
      <c r="L207" s="327"/>
      <c r="M207" s="327"/>
      <c r="N207" s="327"/>
      <c r="O207" s="327"/>
      <c r="P207" s="327"/>
      <c r="Q207" s="327"/>
      <c r="R207" s="327"/>
      <c r="S207" s="327"/>
      <c r="T207" s="327"/>
      <c r="U207" s="327"/>
      <c r="V207" s="327"/>
      <c r="W207" s="327"/>
      <c r="X207" s="327"/>
      <c r="Y207" s="327"/>
      <c r="Z207" s="327"/>
      <c r="AA207" s="327"/>
      <c r="AB207" s="327"/>
      <c r="AC207" s="327"/>
      <c r="AD207" s="327"/>
      <c r="AE207" s="327"/>
      <c r="AF207" s="327"/>
      <c r="AG207" s="327"/>
      <c r="AH207" s="181"/>
    </row>
    <row r="208" spans="1:135" x14ac:dyDescent="0.2">
      <c r="B208" s="181"/>
      <c r="C208" s="323" t="s">
        <v>493</v>
      </c>
      <c r="D208" s="51">
        <v>1.9</v>
      </c>
    </row>
    <row r="209" spans="2:4" x14ac:dyDescent="0.2">
      <c r="B209" s="176" t="s">
        <v>494</v>
      </c>
      <c r="C209" s="323" t="s">
        <v>495</v>
      </c>
      <c r="D209" s="51">
        <v>0.35</v>
      </c>
    </row>
    <row r="210" spans="2:4" x14ac:dyDescent="0.2">
      <c r="B210" s="176" t="s">
        <v>496</v>
      </c>
      <c r="C210" s="323" t="s">
        <v>497</v>
      </c>
      <c r="D210" s="51">
        <v>1</v>
      </c>
    </row>
    <row r="211" spans="2:4" x14ac:dyDescent="0.2">
      <c r="B211" s="181"/>
      <c r="C211" s="323" t="s">
        <v>498</v>
      </c>
      <c r="D211" s="51">
        <v>15</v>
      </c>
    </row>
  </sheetData>
  <mergeCells count="7">
    <mergeCell ref="ED183:EE183"/>
    <mergeCell ref="D1:AH1"/>
    <mergeCell ref="AJ1:BN1"/>
    <mergeCell ref="BP1:CT1"/>
    <mergeCell ref="BO183:BZ183"/>
    <mergeCell ref="CU183:EB183"/>
    <mergeCell ref="CV1:DZ1"/>
  </mergeCells>
  <hyperlinks>
    <hyperlink ref="AJ194" r:id="rId1" xr:uid="{33938FCC-802A-4F7F-898A-BBFFDB479B2A}"/>
  </hyperlinks>
  <pageMargins left="0.7" right="0.7" top="0.75" bottom="0.75" header="0.3" footer="0.3"/>
  <pageSetup orientation="portrait"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C46893-A0B3-4DE2-8604-69F12272A8FF}">
  <sheetPr>
    <tabColor rgb="FF7030A0"/>
  </sheetPr>
  <dimension ref="B1:AJ36"/>
  <sheetViews>
    <sheetView zoomScale="60" zoomScaleNormal="60" workbookViewId="0">
      <selection activeCell="AG38" sqref="AG38"/>
    </sheetView>
  </sheetViews>
  <sheetFormatPr baseColWidth="10" defaultColWidth="8.83203125" defaultRowHeight="15" outlineLevelCol="1" x14ac:dyDescent="0.2"/>
  <cols>
    <col min="2" max="2" width="24.1640625" customWidth="1"/>
    <col min="3" max="3" width="15.33203125" customWidth="1"/>
    <col min="4" max="12" width="0" hidden="1" customWidth="1" outlineLevel="1"/>
    <col min="13" max="13" width="8.6640625" collapsed="1"/>
    <col min="14" max="22" width="0" hidden="1" customWidth="1" outlineLevel="1"/>
    <col min="23" max="23" width="14.5" customWidth="1" collapsed="1"/>
    <col min="24" max="32" width="0" hidden="1" customWidth="1" outlineLevel="1"/>
    <col min="33" max="33" width="8.6640625" collapsed="1"/>
  </cols>
  <sheetData>
    <row r="1" spans="2:35" x14ac:dyDescent="0.2">
      <c r="C1">
        <f>'Yearly HC Ethylene'!D3</f>
        <v>2020</v>
      </c>
      <c r="D1">
        <f>'Yearly HC Ethylene'!E3</f>
        <v>2021</v>
      </c>
      <c r="E1">
        <f>'Yearly HC Ethylene'!F3</f>
        <v>2022</v>
      </c>
      <c r="F1">
        <f>'Yearly HC Ethylene'!G3</f>
        <v>2023</v>
      </c>
      <c r="G1">
        <f>'Yearly HC Ethylene'!H3</f>
        <v>2024</v>
      </c>
      <c r="H1">
        <f>'Yearly HC Ethylene'!I3</f>
        <v>2025</v>
      </c>
      <c r="I1">
        <f>'Yearly HC Ethylene'!J3</f>
        <v>2026</v>
      </c>
      <c r="J1">
        <f>'Yearly HC Ethylene'!K3</f>
        <v>2027</v>
      </c>
      <c r="K1">
        <f>'Yearly HC Ethylene'!L3</f>
        <v>2028</v>
      </c>
      <c r="L1">
        <f>'Yearly HC Ethylene'!M3</f>
        <v>2029</v>
      </c>
      <c r="M1">
        <f>'Yearly HC Ethylene'!N3</f>
        <v>2030</v>
      </c>
      <c r="N1">
        <f>'Yearly HC Ethylene'!O3</f>
        <v>2031</v>
      </c>
      <c r="O1">
        <f>'Yearly HC Ethylene'!P3</f>
        <v>2032</v>
      </c>
      <c r="P1">
        <f>'Yearly HC Ethylene'!Q3</f>
        <v>2033</v>
      </c>
      <c r="Q1">
        <f>'Yearly HC Ethylene'!R3</f>
        <v>2034</v>
      </c>
      <c r="R1">
        <f>'Yearly HC Ethylene'!S3</f>
        <v>2035</v>
      </c>
      <c r="S1">
        <f>'Yearly HC Ethylene'!T3</f>
        <v>2036</v>
      </c>
      <c r="T1">
        <f>'Yearly HC Ethylene'!U3</f>
        <v>2037</v>
      </c>
      <c r="U1">
        <f>'Yearly HC Ethylene'!V3</f>
        <v>2038</v>
      </c>
      <c r="V1">
        <f>'Yearly HC Ethylene'!W3</f>
        <v>2039</v>
      </c>
      <c r="W1">
        <f>'Yearly HC Ethylene'!X3</f>
        <v>2040</v>
      </c>
      <c r="X1">
        <f>'Yearly HC Ethylene'!Y3</f>
        <v>2041</v>
      </c>
      <c r="Y1">
        <f>'Yearly HC Ethylene'!Z3</f>
        <v>2042</v>
      </c>
      <c r="Z1">
        <f>'Yearly HC Ethylene'!AA3</f>
        <v>2043</v>
      </c>
      <c r="AA1">
        <f>'Yearly HC Ethylene'!AB3</f>
        <v>2044</v>
      </c>
      <c r="AB1">
        <f>'Yearly HC Ethylene'!AC3</f>
        <v>2045</v>
      </c>
      <c r="AC1">
        <f>'Yearly HC Ethylene'!AD3</f>
        <v>2046</v>
      </c>
      <c r="AD1">
        <f>'Yearly HC Ethylene'!AE3</f>
        <v>2047</v>
      </c>
      <c r="AE1">
        <f>'Yearly HC Ethylene'!AF3</f>
        <v>2048</v>
      </c>
      <c r="AF1">
        <f>'Yearly HC Ethylene'!AG3</f>
        <v>2049</v>
      </c>
      <c r="AG1">
        <f>'Yearly HC Ethylene'!AH3</f>
        <v>2050</v>
      </c>
    </row>
    <row r="2" spans="2:35" x14ac:dyDescent="0.2">
      <c r="B2" t="s">
        <v>499</v>
      </c>
    </row>
    <row r="3" spans="2:35" x14ac:dyDescent="0.2">
      <c r="B3" t="s">
        <v>500</v>
      </c>
      <c r="C3" s="26">
        <f>'Yearly HC Ethylene'!D4</f>
        <v>162.69230769230768</v>
      </c>
      <c r="D3" s="26">
        <f>'Yearly HC Ethylene'!E4</f>
        <v>166.71878063819926</v>
      </c>
      <c r="E3" s="26">
        <f>'Yearly HC Ethylene'!F4</f>
        <v>170.84490478834238</v>
      </c>
      <c r="F3" s="26">
        <f>'Yearly HC Ethylene'!G4</f>
        <v>175.07314641101752</v>
      </c>
      <c r="G3" s="26">
        <f>'Yearly HC Ethylene'!H4</f>
        <v>179.40603281219435</v>
      </c>
      <c r="H3" s="26">
        <f>'Yearly HC Ethylene'!I4</f>
        <v>183.84615384615384</v>
      </c>
      <c r="I3" s="26">
        <f>'Yearly HC Ethylene'!J4</f>
        <v>187.89464856761026</v>
      </c>
      <c r="J3" s="26">
        <f>'Yearly HC Ethylene'!K4</f>
        <v>192.03229560020711</v>
      </c>
      <c r="K3" s="26">
        <f>'Yearly HC Ethylene'!L4</f>
        <v>196.26105817599196</v>
      </c>
      <c r="L3" s="26">
        <f>'Yearly HC Ethylene'!M4</f>
        <v>200.58294275954361</v>
      </c>
      <c r="M3" s="26">
        <f>'Yearly HC Ethylene'!N4</f>
        <v>205</v>
      </c>
      <c r="N3" s="26">
        <f>'Yearly HC Ethylene'!O4</f>
        <v>207.44116419514421</v>
      </c>
      <c r="O3" s="26">
        <f>'Yearly HC Ethylene'!P4</f>
        <v>209.91139806164284</v>
      </c>
      <c r="P3" s="26">
        <f>'Yearly HC Ethylene'!Q4</f>
        <v>212.41104776457331</v>
      </c>
      <c r="Q3" s="26">
        <f>'Yearly HC Ethylene'!R4</f>
        <v>214.94046359118767</v>
      </c>
      <c r="R3" s="26">
        <f>'Yearly HC Ethylene'!S4</f>
        <v>217.5</v>
      </c>
      <c r="S3" s="26">
        <f>'Yearly HC Ethylene'!T4</f>
        <v>219.94443410654205</v>
      </c>
      <c r="T3" s="26">
        <f>'Yearly HC Ethylene'!U4</f>
        <v>222.41634066412422</v>
      </c>
      <c r="U3" s="26">
        <f>'Yearly HC Ethylene'!V4</f>
        <v>224.91602842951116</v>
      </c>
      <c r="V3" s="26">
        <f>'Yearly HC Ethylene'!W4</f>
        <v>227.4438096295161</v>
      </c>
      <c r="W3" s="26">
        <f>'Yearly HC Ethylene'!X4</f>
        <v>230</v>
      </c>
      <c r="X3" s="26">
        <f>'Yearly HC Ethylene'!Y4</f>
        <v>232.44735963345383</v>
      </c>
      <c r="Y3" s="26">
        <f>'Yearly HC Ethylene'!Z4</f>
        <v>234.92076087201835</v>
      </c>
      <c r="Z3" s="26">
        <f>'Yearly HC Ethylene'!AA4</f>
        <v>237.42048081644634</v>
      </c>
      <c r="AA3" s="26">
        <f>'Yearly HC Ethylene'!AB4</f>
        <v>239.9467995160349</v>
      </c>
      <c r="AB3" s="26">
        <f>'Yearly HC Ethylene'!AC4</f>
        <v>242.5</v>
      </c>
      <c r="AC3" s="26">
        <f>'Yearly HC Ethylene'!AD4</f>
        <v>244.9499924675749</v>
      </c>
      <c r="AD3" s="26">
        <f>'Yearly HC Ethylene'!AE4</f>
        <v>247.42473736026807</v>
      </c>
      <c r="AE3" s="26">
        <f>'Yearly HC Ethylene'!AF4</f>
        <v>249.9244847533582</v>
      </c>
      <c r="AF3" s="26">
        <f>'Yearly HC Ethylene'!AG4</f>
        <v>252.44948724865003</v>
      </c>
      <c r="AG3" s="26">
        <f>'Yearly HC Ethylene'!AH4</f>
        <v>255</v>
      </c>
    </row>
    <row r="4" spans="2:35" x14ac:dyDescent="0.2">
      <c r="B4" t="s">
        <v>5</v>
      </c>
      <c r="C4" s="26">
        <f>'Yearly HC Propylene'!D4</f>
        <v>111.92307692307692</v>
      </c>
      <c r="D4" s="26">
        <f>'Yearly HC Propylene'!E4</f>
        <v>114.14109897114302</v>
      </c>
      <c r="E4" s="26">
        <f>'Yearly HC Propylene'!F4</f>
        <v>116.40307640304019</v>
      </c>
      <c r="F4" s="26">
        <f>'Yearly HC Propylene'!G4</f>
        <v>118.70988029927432</v>
      </c>
      <c r="G4" s="26">
        <f>'Yearly HC Propylene'!H4</f>
        <v>121.06239900288395</v>
      </c>
      <c r="H4" s="26">
        <f>'Yearly HC Propylene'!I4</f>
        <v>123.46153846153845</v>
      </c>
      <c r="I4" s="26">
        <f>'Yearly HC Propylene'!J4</f>
        <v>125.68750385067274</v>
      </c>
      <c r="J4" s="26">
        <f>'Yearly HC Propylene'!K4</f>
        <v>127.95360256371801</v>
      </c>
      <c r="K4" s="26">
        <f>'Yearly HC Propylene'!L4</f>
        <v>130.26055818950272</v>
      </c>
      <c r="L4" s="26">
        <f>'Yearly HC Propylene'!M4</f>
        <v>132.60910736289145</v>
      </c>
      <c r="M4" s="26">
        <f>'Yearly HC Propylene'!N4</f>
        <v>135</v>
      </c>
      <c r="N4" s="26">
        <f>'Yearly HC Propylene'!O4</f>
        <v>136.22747472491002</v>
      </c>
      <c r="O4" s="26">
        <f>'Yearly HC Propylene'!P4</f>
        <v>137.46611014760001</v>
      </c>
      <c r="P4" s="26">
        <f>'Yearly HC Propylene'!Q4</f>
        <v>138.71600774565835</v>
      </c>
      <c r="Q4" s="26">
        <f>'Yearly HC Propylene'!R4</f>
        <v>139.97726991934886</v>
      </c>
      <c r="R4" s="26">
        <f>'Yearly HC Propylene'!S4</f>
        <v>141.25</v>
      </c>
      <c r="S4" s="26">
        <f>'Yearly HC Propylene'!T4</f>
        <v>142.47844586453499</v>
      </c>
      <c r="T4" s="26">
        <f>'Yearly HC Propylene'!U4</f>
        <v>143.71757547591665</v>
      </c>
      <c r="U4" s="26">
        <f>'Yearly HC Propylene'!V4</f>
        <v>144.96748175028398</v>
      </c>
      <c r="V4" s="26">
        <f>'Yearly HC Propylene'!W4</f>
        <v>146.22825841186406</v>
      </c>
      <c r="W4" s="26">
        <f>'Yearly HC Propylene'!X4</f>
        <v>147.5</v>
      </c>
      <c r="X4" s="26">
        <f>'Yearly HC Propylene'!Y4</f>
        <v>148.72933671873375</v>
      </c>
      <c r="Y4" s="26">
        <f>'Yearly HC Propylene'!Z4</f>
        <v>149.96891932742022</v>
      </c>
      <c r="Z4" s="26">
        <f>'Yearly HC Propylene'!AA4</f>
        <v>151.21883322028813</v>
      </c>
      <c r="AA4" s="26">
        <f>'Yearly HC Propylene'!AB4</f>
        <v>152.47916450328322</v>
      </c>
      <c r="AB4" s="26">
        <f>'Yearly HC Propylene'!AC4</f>
        <v>153.75</v>
      </c>
      <c r="AC4" s="26">
        <f>'Yearly HC Propylene'!AD4</f>
        <v>154.98015684917894</v>
      </c>
      <c r="AD4" s="26">
        <f>'Yearly HC Propylene'!AE4</f>
        <v>156.22015620810475</v>
      </c>
      <c r="AE4" s="26">
        <f>'Yearly HC Propylene'!AF4</f>
        <v>157.4700768268963</v>
      </c>
      <c r="AF4" s="26">
        <f>'Yearly HC Propylene'!AG4</f>
        <v>158.72999808575381</v>
      </c>
      <c r="AG4" s="26">
        <f>'Yearly HC Propylene'!AH4</f>
        <v>160</v>
      </c>
    </row>
    <row r="5" spans="2:35" x14ac:dyDescent="0.2">
      <c r="B5" t="s">
        <v>151</v>
      </c>
      <c r="C5" s="26">
        <f>'Yearly BTX'!D4</f>
        <v>116.10918671199683</v>
      </c>
      <c r="D5" s="26">
        <f>'Yearly BTX'!E4</f>
        <v>118.94536560959409</v>
      </c>
      <c r="E5" s="26">
        <f>'Yearly BTX'!F4</f>
        <v>121.85082335554922</v>
      </c>
      <c r="F5" s="26">
        <f>'Yearly BTX'!G4</f>
        <v>124.82725221223463</v>
      </c>
      <c r="G5" s="26">
        <f>'Yearly BTX'!H4</f>
        <v>127.87638577862117</v>
      </c>
      <c r="H5" s="26">
        <f>'Yearly BTX'!I4</f>
        <v>131</v>
      </c>
      <c r="I5" s="26">
        <f>'Yearly BTX'!J4</f>
        <v>133.12962399313108</v>
      </c>
      <c r="J5" s="26">
        <f>'Yearly BTX'!K4</f>
        <v>135.29386858436993</v>
      </c>
      <c r="K5" s="26">
        <f>'Yearly BTX'!L4</f>
        <v>137.49329658941417</v>
      </c>
      <c r="L5" s="26">
        <f>'Yearly BTX'!M4</f>
        <v>139.72847997347145</v>
      </c>
      <c r="M5" s="26">
        <f>'Yearly BTX'!N4</f>
        <v>142</v>
      </c>
      <c r="N5" s="26">
        <f>'Yearly BTX'!O4</f>
        <v>143.37318371127816</v>
      </c>
      <c r="O5" s="26">
        <f>'Yearly BTX'!P4</f>
        <v>144.75964653174591</v>
      </c>
      <c r="P5" s="26">
        <f>'Yearly BTX'!Q4</f>
        <v>146.15951687447676</v>
      </c>
      <c r="Q5" s="26">
        <f>'Yearly BTX'!R4</f>
        <v>147.57292439433817</v>
      </c>
      <c r="R5" s="26">
        <f>'Yearly BTX'!S4</f>
        <v>149</v>
      </c>
      <c r="S5" s="26">
        <f>'Yearly BTX'!T4</f>
        <v>150.37440931484167</v>
      </c>
      <c r="T5" s="26">
        <f>'Yearly BTX'!U4</f>
        <v>151.76149648850699</v>
      </c>
      <c r="U5" s="26">
        <f>'Yearly BTX'!V4</f>
        <v>153.1613784644004</v>
      </c>
      <c r="V5" s="26">
        <f>'Yearly BTX'!W4</f>
        <v>154.5741732646384</v>
      </c>
      <c r="W5" s="26">
        <f>'Yearly BTX'!X4</f>
        <v>156</v>
      </c>
      <c r="X5" s="26">
        <f>'Yearly BTX'!Y4</f>
        <v>156.5954371632547</v>
      </c>
      <c r="Y5" s="26">
        <f>'Yearly BTX'!Z4</f>
        <v>157.19314705353111</v>
      </c>
      <c r="Z5" s="26">
        <f>'Yearly BTX'!AA4</f>
        <v>157.79313834561211</v>
      </c>
      <c r="AA5" s="26">
        <f>'Yearly BTX'!AB4</f>
        <v>158.3954197473914</v>
      </c>
      <c r="AB5" s="26">
        <f>'Yearly BTX'!AC4</f>
        <v>159</v>
      </c>
      <c r="AC5" s="26">
        <f>'Yearly BTX'!AD4</f>
        <v>159.39800247817999</v>
      </c>
      <c r="AD5" s="26">
        <f>'Yearly BTX'!AE4</f>
        <v>159.79700122033884</v>
      </c>
      <c r="AE5" s="26">
        <f>'Yearly BTX'!AF4</f>
        <v>160.19699872028491</v>
      </c>
      <c r="AF5" s="26">
        <f>'Yearly BTX'!AG4</f>
        <v>160.597997478069</v>
      </c>
      <c r="AG5" s="26">
        <f>'Yearly BTX'!AH4</f>
        <v>161</v>
      </c>
    </row>
    <row r="6" spans="2:35" x14ac:dyDescent="0.2">
      <c r="B6" t="s">
        <v>10</v>
      </c>
      <c r="C6" s="26">
        <f>'Yearly Demand - C4'!O3</f>
        <v>63.671456045561811</v>
      </c>
      <c r="D6" s="26">
        <f>'Yearly Demand - C4'!P3</f>
        <v>65.267852425999862</v>
      </c>
      <c r="E6" s="26">
        <f>'Yearly Demand - C4'!Q3</f>
        <v>66.904274299205852</v>
      </c>
      <c r="F6" s="26">
        <f>'Yearly Demand - C4'!R3</f>
        <v>68.581725200448929</v>
      </c>
      <c r="G6" s="26">
        <f>'Yearly Demand - C4'!S3</f>
        <v>70.301233826038541</v>
      </c>
      <c r="H6" s="26">
        <f>'Yearly Demand - C4'!T3</f>
        <v>72.063854664172169</v>
      </c>
      <c r="I6" s="26">
        <f>'Yearly Demand - C4'!U3</f>
        <v>73.534362798700201</v>
      </c>
      <c r="J6" s="26">
        <f>'Yearly Demand - C4'!V3</f>
        <v>75.034877573641651</v>
      </c>
      <c r="K6" s="26">
        <f>'Yearly Demand - C4'!W3</f>
        <v>76.566011293306701</v>
      </c>
      <c r="L6" s="26">
        <f>'Yearly Demand - C4'!X3</f>
        <v>78.128388756458833</v>
      </c>
      <c r="M6" s="26">
        <f>'Yearly Demand - C4'!Y3</f>
        <v>79.722647511272015</v>
      </c>
      <c r="N6" s="26">
        <f>'Yearly Demand - C4'!Z3</f>
        <v>80.979714921489062</v>
      </c>
      <c r="O6" s="26">
        <f>'Yearly Demand - C4'!AA3</f>
        <v>82.25660378173518</v>
      </c>
      <c r="P6" s="26">
        <f>'Yearly Demand - C4'!AB3</f>
        <v>83.553626636809526</v>
      </c>
      <c r="Q6" s="26">
        <f>'Yearly Demand - C4'!AC3</f>
        <v>84.871100959720422</v>
      </c>
      <c r="R6" s="26">
        <f>'Yearly Demand - C4'!AD3</f>
        <v>86.209349229393368</v>
      </c>
      <c r="S6" s="26">
        <f>'Yearly Demand - C4'!AE3</f>
        <v>87.118801609768127</v>
      </c>
      <c r="T6" s="26">
        <f>'Yearly Demand - C4'!AF3</f>
        <v>88.037848119312898</v>
      </c>
      <c r="U6" s="26">
        <f>'Yearly Demand - C4'!AG3</f>
        <v>88.966589969829982</v>
      </c>
      <c r="V6" s="26">
        <f>'Yearly Demand - C4'!AH3</f>
        <v>89.90512944084017</v>
      </c>
      <c r="W6" s="26">
        <f>'Yearly Demand - C4'!AI3</f>
        <v>90.85356989084643</v>
      </c>
      <c r="X6" s="26">
        <f>'Yearly Demand - C4'!AJ3</f>
        <v>91.535574254248786</v>
      </c>
      <c r="Y6" s="26">
        <f>'Yearly Demand - C4'!AK3</f>
        <v>92.222698173792509</v>
      </c>
      <c r="Z6" s="26">
        <f>'Yearly Demand - C4'!AL3</f>
        <v>92.914980080104272</v>
      </c>
      <c r="AA6" s="26">
        <f>'Yearly Demand - C4'!AM3</f>
        <v>93.612458692295363</v>
      </c>
      <c r="AB6" s="26">
        <f>'Yearly Demand - C4'!AN3</f>
        <v>94.31517302012719</v>
      </c>
      <c r="AC6" s="26">
        <f>'Yearly Demand - C4'!AO3</f>
        <v>94.935340978609858</v>
      </c>
      <c r="AD6" s="26">
        <f>'Yearly Demand - C4'!AP3</f>
        <v>95.55958684189207</v>
      </c>
      <c r="AE6" s="26">
        <f>'Yearly Demand - C4'!AQ3</f>
        <v>96.187937424173626</v>
      </c>
      <c r="AF6" s="26">
        <f>'Yearly Demand - C4'!AR3</f>
        <v>96.820419715970701</v>
      </c>
      <c r="AG6" s="26">
        <f>'Yearly Demand - C4'!AS3</f>
        <v>97.457060885275183</v>
      </c>
    </row>
    <row r="7" spans="2:35" x14ac:dyDescent="0.2">
      <c r="B7" t="s">
        <v>6</v>
      </c>
      <c r="C7" s="26">
        <f>'Yearly Methanol'!D4</f>
        <v>102.16223893794903</v>
      </c>
      <c r="D7" s="26">
        <f>'Yearly Methanol'!E4</f>
        <v>106.84601504415413</v>
      </c>
      <c r="E7" s="26">
        <f>'Yearly Methanol'!F4</f>
        <v>111.52979115035922</v>
      </c>
      <c r="F7" s="26">
        <f>'Yearly Methanol'!G4</f>
        <v>116.21356725656432</v>
      </c>
      <c r="G7" s="26">
        <f>'Yearly Methanol'!H4</f>
        <v>120.89734336276942</v>
      </c>
      <c r="H7" s="26">
        <f>'Yearly Methanol'!I4</f>
        <v>125.58111946897452</v>
      </c>
      <c r="I7" s="26">
        <f>'Yearly Methanol'!J4</f>
        <v>130.26489557517959</v>
      </c>
      <c r="J7" s="26">
        <f>'Yearly Methanol'!K4</f>
        <v>134.94867168138472</v>
      </c>
      <c r="K7" s="26">
        <f>'Yearly Methanol'!L4</f>
        <v>139.6324477875898</v>
      </c>
      <c r="L7" s="26">
        <f>'Yearly Methanol'!M4</f>
        <v>144.3162238937949</v>
      </c>
      <c r="M7" s="26">
        <f>'Yearly Methanol'!N4</f>
        <v>149</v>
      </c>
      <c r="N7" s="26">
        <f>'Yearly Methanol'!O4</f>
        <v>151</v>
      </c>
      <c r="O7" s="26">
        <f>'Yearly Methanol'!P4</f>
        <v>153</v>
      </c>
      <c r="P7" s="26">
        <f>'Yearly Methanol'!Q4</f>
        <v>155</v>
      </c>
      <c r="Q7" s="26">
        <f>'Yearly Methanol'!R4</f>
        <v>157</v>
      </c>
      <c r="R7" s="26">
        <f>'Yearly Methanol'!S4</f>
        <v>159</v>
      </c>
      <c r="S7" s="26">
        <f>'Yearly Methanol'!T4</f>
        <v>160.80000000000001</v>
      </c>
      <c r="T7" s="26">
        <f>'Yearly Methanol'!U4</f>
        <v>162.6</v>
      </c>
      <c r="U7" s="26">
        <f>'Yearly Methanol'!V4</f>
        <v>164.4</v>
      </c>
      <c r="V7" s="26">
        <f>'Yearly Methanol'!W4</f>
        <v>166.2</v>
      </c>
      <c r="W7" s="26">
        <f>'Yearly Methanol'!X4</f>
        <v>168</v>
      </c>
      <c r="X7" s="26">
        <f>'Yearly Methanol'!Y4</f>
        <v>169.4</v>
      </c>
      <c r="Y7" s="26">
        <f>'Yearly Methanol'!Z4</f>
        <v>170.8</v>
      </c>
      <c r="Z7" s="26">
        <f>'Yearly Methanol'!AA4</f>
        <v>172.2</v>
      </c>
      <c r="AA7" s="26">
        <f>'Yearly Methanol'!AB4</f>
        <v>173.6</v>
      </c>
      <c r="AB7" s="26">
        <f>'Yearly Methanol'!AC4</f>
        <v>175</v>
      </c>
      <c r="AC7" s="26">
        <f>'Yearly Methanol'!AD4</f>
        <v>176.4</v>
      </c>
      <c r="AD7" s="26">
        <f>'Yearly Methanol'!AE4</f>
        <v>177.8</v>
      </c>
      <c r="AE7" s="26">
        <f>'Yearly Methanol'!AF4</f>
        <v>179.2</v>
      </c>
      <c r="AF7" s="26">
        <f>'Yearly Methanol'!AG4</f>
        <v>180.6</v>
      </c>
      <c r="AG7" s="26">
        <f>'Yearly Methanol'!AH4</f>
        <v>182</v>
      </c>
    </row>
    <row r="8" spans="2:35" x14ac:dyDescent="0.2">
      <c r="B8" t="s">
        <v>67</v>
      </c>
      <c r="C8" s="26">
        <f>SUM(C3:C7)</f>
        <v>556.55826631089224</v>
      </c>
      <c r="D8" s="26">
        <f t="shared" ref="D8:AF8" si="0">SUM(D3:D7)</f>
        <v>571.91911268909041</v>
      </c>
      <c r="E8" s="26">
        <f t="shared" si="0"/>
        <v>587.53286999649686</v>
      </c>
      <c r="F8" s="26">
        <f t="shared" si="0"/>
        <v>603.40557137953965</v>
      </c>
      <c r="G8" s="26">
        <f t="shared" si="0"/>
        <v>619.54339478250745</v>
      </c>
      <c r="H8" s="26">
        <f t="shared" si="0"/>
        <v>635.95266644083893</v>
      </c>
      <c r="I8" s="26">
        <f t="shared" si="0"/>
        <v>650.51103478529387</v>
      </c>
      <c r="J8" s="26">
        <f t="shared" si="0"/>
        <v>665.26331600332151</v>
      </c>
      <c r="K8" s="26">
        <f t="shared" si="0"/>
        <v>680.21337203580538</v>
      </c>
      <c r="L8" s="26">
        <f t="shared" si="0"/>
        <v>695.36514274616025</v>
      </c>
      <c r="M8" s="26">
        <f t="shared" si="0"/>
        <v>710.72264751127204</v>
      </c>
      <c r="N8" s="26">
        <f t="shared" si="0"/>
        <v>719.02153755282143</v>
      </c>
      <c r="O8" s="26">
        <f t="shared" si="0"/>
        <v>727.39375852272394</v>
      </c>
      <c r="P8" s="26">
        <f t="shared" si="0"/>
        <v>735.84019902151795</v>
      </c>
      <c r="Q8" s="26">
        <f t="shared" si="0"/>
        <v>744.36175886459523</v>
      </c>
      <c r="R8" s="26">
        <f t="shared" si="0"/>
        <v>752.95934922939341</v>
      </c>
      <c r="S8" s="26">
        <f t="shared" si="0"/>
        <v>760.71609089568665</v>
      </c>
      <c r="T8" s="26">
        <f t="shared" si="0"/>
        <v>768.53326074786082</v>
      </c>
      <c r="U8" s="26">
        <f t="shared" si="0"/>
        <v>776.41147861402555</v>
      </c>
      <c r="V8" s="26">
        <f t="shared" si="0"/>
        <v>784.35137074685872</v>
      </c>
      <c r="W8" s="26">
        <f t="shared" si="0"/>
        <v>792.35356989084642</v>
      </c>
      <c r="X8" s="26">
        <f t="shared" si="0"/>
        <v>798.70770776969107</v>
      </c>
      <c r="Y8" s="26">
        <f t="shared" si="0"/>
        <v>805.10552542676214</v>
      </c>
      <c r="Z8" s="26">
        <f t="shared" si="0"/>
        <v>811.54743246245084</v>
      </c>
      <c r="AA8" s="26">
        <f t="shared" si="0"/>
        <v>818.03384245900497</v>
      </c>
      <c r="AB8" s="26">
        <f t="shared" si="0"/>
        <v>824.56517302012719</v>
      </c>
      <c r="AC8" s="26">
        <f t="shared" si="0"/>
        <v>830.66349277354357</v>
      </c>
      <c r="AD8" s="26">
        <f t="shared" si="0"/>
        <v>836.8014816306038</v>
      </c>
      <c r="AE8" s="26">
        <f t="shared" si="0"/>
        <v>842.97949772471293</v>
      </c>
      <c r="AF8" s="26">
        <f t="shared" si="0"/>
        <v>849.19790252844359</v>
      </c>
      <c r="AG8" s="26">
        <f>SUM(AG3:AG7)</f>
        <v>855.45706088527515</v>
      </c>
      <c r="AI8" s="23">
        <f>(AG8/C8)^(1/30)-1</f>
        <v>1.4431950471977428E-2</v>
      </c>
    </row>
    <row r="10" spans="2:35" x14ac:dyDescent="0.2">
      <c r="B10" t="s">
        <v>501</v>
      </c>
    </row>
    <row r="11" spans="2:35" x14ac:dyDescent="0.2">
      <c r="B11" t="s">
        <v>500</v>
      </c>
      <c r="C11" s="6">
        <f>SUM('Demand Breakdown - Ethylene'!$C$34:$C$40)</f>
        <v>0.88161400000000001</v>
      </c>
      <c r="D11" s="6">
        <f>SUM('Demand Breakdown - Ethylene'!$C$34:$C$40)</f>
        <v>0.88161400000000001</v>
      </c>
      <c r="E11" s="6">
        <f>SUM('Demand Breakdown - Ethylene'!$C$34:$C$40)</f>
        <v>0.88161400000000001</v>
      </c>
      <c r="F11" s="6">
        <f>SUM('Demand Breakdown - Ethylene'!$C$34:$C$40)</f>
        <v>0.88161400000000001</v>
      </c>
      <c r="G11" s="6">
        <f>SUM('Demand Breakdown - Ethylene'!$C$34:$C$40)</f>
        <v>0.88161400000000001</v>
      </c>
      <c r="H11" s="6">
        <f>SUM('Demand Breakdown - Ethylene'!$C$34:$C$40)</f>
        <v>0.88161400000000001</v>
      </c>
      <c r="I11" s="6">
        <f>SUM('Demand Breakdown - Ethylene'!$C$34:$C$40)</f>
        <v>0.88161400000000001</v>
      </c>
      <c r="J11" s="6">
        <f>SUM('Demand Breakdown - Ethylene'!$C$34:$C$40)</f>
        <v>0.88161400000000001</v>
      </c>
      <c r="K11" s="6">
        <f>SUM('Demand Breakdown - Ethylene'!$C$34:$C$40)</f>
        <v>0.88161400000000001</v>
      </c>
      <c r="L11" s="6">
        <f>SUM('Demand Breakdown - Ethylene'!$C$34:$C$40)</f>
        <v>0.88161400000000001</v>
      </c>
      <c r="M11" s="6">
        <f>SUM('Demand Breakdown - Ethylene'!$C$34:$C$40)</f>
        <v>0.88161400000000001</v>
      </c>
      <c r="N11" s="6">
        <f>SUM('Demand Breakdown - Ethylene'!$C$34:$C$40)</f>
        <v>0.88161400000000001</v>
      </c>
      <c r="O11" s="6">
        <f>SUM('Demand Breakdown - Ethylene'!$C$34:$C$40)</f>
        <v>0.88161400000000001</v>
      </c>
      <c r="P11" s="6">
        <f>SUM('Demand Breakdown - Ethylene'!$C$34:$C$40)</f>
        <v>0.88161400000000001</v>
      </c>
      <c r="Q11" s="6">
        <f>SUM('Demand Breakdown - Ethylene'!$C$34:$C$40)</f>
        <v>0.88161400000000001</v>
      </c>
      <c r="R11" s="6">
        <f>SUM('Demand Breakdown - Ethylene'!$C$34:$C$40)</f>
        <v>0.88161400000000001</v>
      </c>
      <c r="S11" s="6">
        <f>SUM('Demand Breakdown - Ethylene'!$C$34:$C$40)</f>
        <v>0.88161400000000001</v>
      </c>
      <c r="T11" s="6">
        <f>SUM('Demand Breakdown - Ethylene'!$C$34:$C$40)</f>
        <v>0.88161400000000001</v>
      </c>
      <c r="U11" s="6">
        <f>SUM('Demand Breakdown - Ethylene'!$C$34:$C$40)</f>
        <v>0.88161400000000001</v>
      </c>
      <c r="V11" s="6">
        <f>SUM('Demand Breakdown - Ethylene'!$C$34:$C$40)</f>
        <v>0.88161400000000001</v>
      </c>
      <c r="W11" s="6">
        <f>SUM('Demand Breakdown - Ethylene'!$C$34:$C$40)</f>
        <v>0.88161400000000001</v>
      </c>
      <c r="X11" s="6">
        <f>SUM('Demand Breakdown - Ethylene'!$C$34:$C$40)</f>
        <v>0.88161400000000001</v>
      </c>
      <c r="Y11" s="6">
        <f>SUM('Demand Breakdown - Ethylene'!$C$34:$C$40)</f>
        <v>0.88161400000000001</v>
      </c>
      <c r="Z11" s="6">
        <f>SUM('Demand Breakdown - Ethylene'!$C$34:$C$40)</f>
        <v>0.88161400000000001</v>
      </c>
      <c r="AA11" s="6">
        <f>SUM('Demand Breakdown - Ethylene'!$C$34:$C$40)</f>
        <v>0.88161400000000001</v>
      </c>
      <c r="AB11" s="6">
        <f>SUM('Demand Breakdown - Ethylene'!$C$34:$C$40)</f>
        <v>0.88161400000000001</v>
      </c>
      <c r="AC11" s="6">
        <f>SUM('Demand Breakdown - Ethylene'!$C$34:$C$40)</f>
        <v>0.88161400000000001</v>
      </c>
      <c r="AD11" s="6">
        <f>SUM('Demand Breakdown - Ethylene'!$C$34:$C$40)</f>
        <v>0.88161400000000001</v>
      </c>
      <c r="AE11" s="6">
        <f>SUM('Demand Breakdown - Ethylene'!$C$34:$C$40)</f>
        <v>0.88161400000000001</v>
      </c>
      <c r="AF11" s="6">
        <f>SUM('Demand Breakdown - Ethylene'!$C$34:$C$40)</f>
        <v>0.88161400000000001</v>
      </c>
      <c r="AG11" s="6">
        <f>SUM('Demand Breakdown - Ethylene'!$C$34:$C$40)</f>
        <v>0.88161400000000001</v>
      </c>
    </row>
    <row r="12" spans="2:35" x14ac:dyDescent="0.2">
      <c r="B12" t="s">
        <v>5</v>
      </c>
      <c r="C12" s="6">
        <f>SUM('Demand Breakdown - Propylene'!$C$25:$C$27)</f>
        <v>0.77200000000000013</v>
      </c>
      <c r="D12" s="6">
        <f>SUM('Demand Breakdown - Propylene'!$C$25:$C$27)</f>
        <v>0.77200000000000013</v>
      </c>
      <c r="E12" s="6">
        <f>SUM('Demand Breakdown - Propylene'!$C$25:$C$27)</f>
        <v>0.77200000000000013</v>
      </c>
      <c r="F12" s="6">
        <f>SUM('Demand Breakdown - Propylene'!$C$25:$C$27)</f>
        <v>0.77200000000000013</v>
      </c>
      <c r="G12" s="6">
        <f>SUM('Demand Breakdown - Propylene'!$C$25:$C$27)</f>
        <v>0.77200000000000013</v>
      </c>
      <c r="H12" s="6">
        <f>SUM('Demand Breakdown - Propylene'!$C$25:$C$27)</f>
        <v>0.77200000000000013</v>
      </c>
      <c r="I12" s="6">
        <f>SUM('Demand Breakdown - Propylene'!$C$25:$C$27)</f>
        <v>0.77200000000000013</v>
      </c>
      <c r="J12" s="6">
        <f>SUM('Demand Breakdown - Propylene'!$C$25:$C$27)</f>
        <v>0.77200000000000013</v>
      </c>
      <c r="K12" s="6">
        <f>SUM('Demand Breakdown - Propylene'!$C$25:$C$27)</f>
        <v>0.77200000000000013</v>
      </c>
      <c r="L12" s="6">
        <f>SUM('Demand Breakdown - Propylene'!$C$25:$C$27)</f>
        <v>0.77200000000000013</v>
      </c>
      <c r="M12" s="6">
        <f>SUM('Demand Breakdown - Propylene'!$C$25:$C$27)</f>
        <v>0.77200000000000013</v>
      </c>
      <c r="N12" s="6">
        <f>SUM('Demand Breakdown - Propylene'!$C$25:$C$27)</f>
        <v>0.77200000000000013</v>
      </c>
      <c r="O12" s="6">
        <f>SUM('Demand Breakdown - Propylene'!$C$25:$C$27)</f>
        <v>0.77200000000000013</v>
      </c>
      <c r="P12" s="6">
        <f>SUM('Demand Breakdown - Propylene'!$C$25:$C$27)</f>
        <v>0.77200000000000013</v>
      </c>
      <c r="Q12" s="6">
        <f>SUM('Demand Breakdown - Propylene'!$C$25:$C$27)</f>
        <v>0.77200000000000013</v>
      </c>
      <c r="R12" s="6">
        <f>SUM('Demand Breakdown - Propylene'!$C$25:$C$27)</f>
        <v>0.77200000000000013</v>
      </c>
      <c r="S12" s="6">
        <f>SUM('Demand Breakdown - Propylene'!$C$25:$C$27)</f>
        <v>0.77200000000000013</v>
      </c>
      <c r="T12" s="6">
        <f>SUM('Demand Breakdown - Propylene'!$C$25:$C$27)</f>
        <v>0.77200000000000013</v>
      </c>
      <c r="U12" s="6">
        <f>SUM('Demand Breakdown - Propylene'!$C$25:$C$27)</f>
        <v>0.77200000000000013</v>
      </c>
      <c r="V12" s="6">
        <f>SUM('Demand Breakdown - Propylene'!$C$25:$C$27)</f>
        <v>0.77200000000000013</v>
      </c>
      <c r="W12" s="6">
        <f>SUM('Demand Breakdown - Propylene'!$C$25:$C$27)</f>
        <v>0.77200000000000013</v>
      </c>
      <c r="X12" s="6">
        <f>SUM('Demand Breakdown - Propylene'!$C$25:$C$27)</f>
        <v>0.77200000000000013</v>
      </c>
      <c r="Y12" s="6">
        <f>SUM('Demand Breakdown - Propylene'!$C$25:$C$27)</f>
        <v>0.77200000000000013</v>
      </c>
      <c r="Z12" s="6">
        <f>SUM('Demand Breakdown - Propylene'!$C$25:$C$27)</f>
        <v>0.77200000000000013</v>
      </c>
      <c r="AA12" s="6">
        <f>SUM('Demand Breakdown - Propylene'!$C$25:$C$27)</f>
        <v>0.77200000000000013</v>
      </c>
      <c r="AB12" s="6">
        <f>SUM('Demand Breakdown - Propylene'!$C$25:$C$27)</f>
        <v>0.77200000000000013</v>
      </c>
      <c r="AC12" s="6">
        <f>SUM('Demand Breakdown - Propylene'!$C$25:$C$27)</f>
        <v>0.77200000000000013</v>
      </c>
      <c r="AD12" s="6">
        <f>SUM('Demand Breakdown - Propylene'!$C$25:$C$27)</f>
        <v>0.77200000000000013</v>
      </c>
      <c r="AE12" s="6">
        <f>SUM('Demand Breakdown - Propylene'!$C$25:$C$27)</f>
        <v>0.77200000000000013</v>
      </c>
      <c r="AF12" s="6">
        <f>SUM('Demand Breakdown - Propylene'!$C$25:$C$27)</f>
        <v>0.77200000000000013</v>
      </c>
      <c r="AG12" s="6">
        <f>SUM('Demand Breakdown - Propylene'!$C$25:$C$27)</f>
        <v>0.77200000000000013</v>
      </c>
    </row>
    <row r="13" spans="2:35" x14ac:dyDescent="0.2">
      <c r="B13" t="s">
        <v>151</v>
      </c>
      <c r="C13" s="6">
        <f>SUM('Demand Breakdown - BTX'!$C$56:$C$59)</f>
        <v>0.62562881057678366</v>
      </c>
      <c r="D13" s="6">
        <f>SUM('Demand Breakdown - BTX'!$C$56:$C$59)</f>
        <v>0.62562881057678366</v>
      </c>
      <c r="E13" s="6">
        <f>SUM('Demand Breakdown - BTX'!$C$56:$C$59)</f>
        <v>0.62562881057678366</v>
      </c>
      <c r="F13" s="6">
        <f>SUM('Demand Breakdown - BTX'!$C$56:$C$59)</f>
        <v>0.62562881057678366</v>
      </c>
      <c r="G13" s="6">
        <f>SUM('Demand Breakdown - BTX'!$C$56:$C$59)</f>
        <v>0.62562881057678366</v>
      </c>
      <c r="H13" s="6">
        <f>SUM('Demand Breakdown - BTX'!$C$56:$C$59)</f>
        <v>0.62562881057678366</v>
      </c>
      <c r="I13" s="6">
        <f>SUM('Demand Breakdown - BTX'!$C$56:$C$59)</f>
        <v>0.62562881057678366</v>
      </c>
      <c r="J13" s="6">
        <f>SUM('Demand Breakdown - BTX'!$C$56:$C$59)</f>
        <v>0.62562881057678366</v>
      </c>
      <c r="K13" s="6">
        <f>SUM('Demand Breakdown - BTX'!$C$56:$C$59)</f>
        <v>0.62562881057678366</v>
      </c>
      <c r="L13" s="6">
        <f>SUM('Demand Breakdown - BTX'!$C$56:$C$59)</f>
        <v>0.62562881057678366</v>
      </c>
      <c r="M13" s="6">
        <f>SUM('Demand Breakdown - BTX'!$C$56:$C$59)</f>
        <v>0.62562881057678366</v>
      </c>
      <c r="N13" s="6">
        <f>SUM('Demand Breakdown - BTX'!$C$56:$C$59)</f>
        <v>0.62562881057678366</v>
      </c>
      <c r="O13" s="6">
        <f>SUM('Demand Breakdown - BTX'!$C$56:$C$59)</f>
        <v>0.62562881057678366</v>
      </c>
      <c r="P13" s="6">
        <f>SUM('Demand Breakdown - BTX'!$C$56:$C$59)</f>
        <v>0.62562881057678366</v>
      </c>
      <c r="Q13" s="6">
        <f>SUM('Demand Breakdown - BTX'!$C$56:$C$59)</f>
        <v>0.62562881057678366</v>
      </c>
      <c r="R13" s="6">
        <f>SUM('Demand Breakdown - BTX'!$C$56:$C$59)</f>
        <v>0.62562881057678366</v>
      </c>
      <c r="S13" s="6">
        <f>SUM('Demand Breakdown - BTX'!$C$56:$C$59)</f>
        <v>0.62562881057678366</v>
      </c>
      <c r="T13" s="6">
        <f>SUM('Demand Breakdown - BTX'!$C$56:$C$59)</f>
        <v>0.62562881057678366</v>
      </c>
      <c r="U13" s="6">
        <f>SUM('Demand Breakdown - BTX'!$C$56:$C$59)</f>
        <v>0.62562881057678366</v>
      </c>
      <c r="V13" s="6">
        <f>SUM('Demand Breakdown - BTX'!$C$56:$C$59)</f>
        <v>0.62562881057678366</v>
      </c>
      <c r="W13" s="6">
        <f>SUM('Demand Breakdown - BTX'!$C$56:$C$59)</f>
        <v>0.62562881057678366</v>
      </c>
      <c r="X13" s="6">
        <f>SUM('Demand Breakdown - BTX'!$C$56:$C$59)</f>
        <v>0.62562881057678366</v>
      </c>
      <c r="Y13" s="6">
        <f>SUM('Demand Breakdown - BTX'!$C$56:$C$59)</f>
        <v>0.62562881057678366</v>
      </c>
      <c r="Z13" s="6">
        <f>SUM('Demand Breakdown - BTX'!$C$56:$C$59)</f>
        <v>0.62562881057678366</v>
      </c>
      <c r="AA13" s="6">
        <f>SUM('Demand Breakdown - BTX'!$C$56:$C$59)</f>
        <v>0.62562881057678366</v>
      </c>
      <c r="AB13" s="6">
        <f>SUM('Demand Breakdown - BTX'!$C$56:$C$59)</f>
        <v>0.62562881057678366</v>
      </c>
      <c r="AC13" s="6">
        <f>SUM('Demand Breakdown - BTX'!$C$56:$C$59)</f>
        <v>0.62562881057678366</v>
      </c>
      <c r="AD13" s="6">
        <f>SUM('Demand Breakdown - BTX'!$C$56:$C$59)</f>
        <v>0.62562881057678366</v>
      </c>
      <c r="AE13" s="6">
        <f>SUM('Demand Breakdown - BTX'!$C$56:$C$59)</f>
        <v>0.62562881057678366</v>
      </c>
      <c r="AF13" s="6">
        <f>SUM('Demand Breakdown - BTX'!$C$56:$C$59)</f>
        <v>0.62562881057678366</v>
      </c>
      <c r="AG13" s="6">
        <f>SUM('Demand Breakdown - BTX'!$C$56:$C$59)</f>
        <v>0.62562881057678366</v>
      </c>
    </row>
    <row r="14" spans="2:35" x14ac:dyDescent="0.2">
      <c r="B14" t="s">
        <v>10</v>
      </c>
      <c r="C14" s="6">
        <f>SUM('Demand Breakdown - C4'!$D$18:$D$20)</f>
        <v>0.34639120819421498</v>
      </c>
      <c r="D14" s="6">
        <f>SUM('Demand Breakdown - C4'!$D$18:$D$20)</f>
        <v>0.34639120819421498</v>
      </c>
      <c r="E14" s="6">
        <f>SUM('Demand Breakdown - C4'!$D$18:$D$20)</f>
        <v>0.34639120819421498</v>
      </c>
      <c r="F14" s="6">
        <f>SUM('Demand Breakdown - C4'!$D$18:$D$20)</f>
        <v>0.34639120819421498</v>
      </c>
      <c r="G14" s="6">
        <f>SUM('Demand Breakdown - C4'!$D$18:$D$20)</f>
        <v>0.34639120819421498</v>
      </c>
      <c r="H14" s="6">
        <f>SUM('Demand Breakdown - C4'!$D$18:$D$20)</f>
        <v>0.34639120819421498</v>
      </c>
      <c r="I14" s="6">
        <f>SUM('Demand Breakdown - C4'!$D$18:$D$20)</f>
        <v>0.34639120819421498</v>
      </c>
      <c r="J14" s="6">
        <f>SUM('Demand Breakdown - C4'!$D$18:$D$20)</f>
        <v>0.34639120819421498</v>
      </c>
      <c r="K14" s="6">
        <f>SUM('Demand Breakdown - C4'!$D$18:$D$20)</f>
        <v>0.34639120819421498</v>
      </c>
      <c r="L14" s="6">
        <f>SUM('Demand Breakdown - C4'!$D$18:$D$20)</f>
        <v>0.34639120819421498</v>
      </c>
      <c r="M14" s="6">
        <f>SUM('Demand Breakdown - C4'!$D$18:$D$20)</f>
        <v>0.34639120819421498</v>
      </c>
      <c r="N14" s="6">
        <f>SUM('Demand Breakdown - C4'!$D$18:$D$20)</f>
        <v>0.34639120819421498</v>
      </c>
      <c r="O14" s="6">
        <f>SUM('Demand Breakdown - C4'!$D$18:$D$20)</f>
        <v>0.34639120819421498</v>
      </c>
      <c r="P14" s="6">
        <f>SUM('Demand Breakdown - C4'!$D$18:$D$20)</f>
        <v>0.34639120819421498</v>
      </c>
      <c r="Q14" s="6">
        <f>SUM('Demand Breakdown - C4'!$D$18:$D$20)</f>
        <v>0.34639120819421498</v>
      </c>
      <c r="R14" s="6">
        <f>SUM('Demand Breakdown - C4'!$D$18:$D$20)</f>
        <v>0.34639120819421498</v>
      </c>
      <c r="S14" s="6">
        <f>SUM('Demand Breakdown - C4'!$D$18:$D$20)</f>
        <v>0.34639120819421498</v>
      </c>
      <c r="T14" s="6">
        <f>SUM('Demand Breakdown - C4'!$D$18:$D$20)</f>
        <v>0.34639120819421498</v>
      </c>
      <c r="U14" s="6">
        <f>SUM('Demand Breakdown - C4'!$D$18:$D$20)</f>
        <v>0.34639120819421498</v>
      </c>
      <c r="V14" s="6">
        <f>SUM('Demand Breakdown - C4'!$D$18:$D$20)</f>
        <v>0.34639120819421498</v>
      </c>
      <c r="W14" s="6">
        <f>SUM('Demand Breakdown - C4'!$D$18:$D$20)</f>
        <v>0.34639120819421498</v>
      </c>
      <c r="X14" s="6">
        <f>SUM('Demand Breakdown - C4'!$D$18:$D$20)</f>
        <v>0.34639120819421498</v>
      </c>
      <c r="Y14" s="6">
        <f>SUM('Demand Breakdown - C4'!$D$18:$D$20)</f>
        <v>0.34639120819421498</v>
      </c>
      <c r="Z14" s="6">
        <f>SUM('Demand Breakdown - C4'!$D$18:$D$20)</f>
        <v>0.34639120819421498</v>
      </c>
      <c r="AA14" s="6">
        <f>SUM('Demand Breakdown - C4'!$D$18:$D$20)</f>
        <v>0.34639120819421498</v>
      </c>
      <c r="AB14" s="6">
        <f>SUM('Demand Breakdown - C4'!$D$18:$D$20)</f>
        <v>0.34639120819421498</v>
      </c>
      <c r="AC14" s="6">
        <f>SUM('Demand Breakdown - C4'!$D$18:$D$20)</f>
        <v>0.34639120819421498</v>
      </c>
      <c r="AD14" s="6">
        <f>SUM('Demand Breakdown - C4'!$D$18:$D$20)</f>
        <v>0.34639120819421498</v>
      </c>
      <c r="AE14" s="6">
        <f>SUM('Demand Breakdown - C4'!$D$18:$D$20)</f>
        <v>0.34639120819421498</v>
      </c>
      <c r="AF14" s="6">
        <f>SUM('Demand Breakdown - C4'!$D$18:$D$20)</f>
        <v>0.34639120819421498</v>
      </c>
      <c r="AG14" s="6">
        <f>SUM('Demand Breakdown - C4'!$D$18:$D$20)</f>
        <v>0.34639120819421498</v>
      </c>
    </row>
    <row r="15" spans="2:35" x14ac:dyDescent="0.2">
      <c r="B15" t="s">
        <v>6</v>
      </c>
      <c r="C15" s="2">
        <f>SUM('Demand - Industry shares'!$T$86:$T$87,'Demand - Industry shares'!$T$89)/'Demand - Industry shares'!$T$91</f>
        <v>0.55496485314908894</v>
      </c>
      <c r="D15" s="2">
        <f>SUM('Demand - Industry shares'!$T$86:$T$87,'Demand - Industry shares'!$T$89)/'Demand - Industry shares'!$T$91</f>
        <v>0.55496485314908894</v>
      </c>
      <c r="E15" s="2">
        <f>SUM('Demand - Industry shares'!$T$86:$T$87,'Demand - Industry shares'!$T$89)/'Demand - Industry shares'!$T$91</f>
        <v>0.55496485314908894</v>
      </c>
      <c r="F15" s="2">
        <f>SUM('Demand - Industry shares'!$T$86:$T$87,'Demand - Industry shares'!$T$89)/'Demand - Industry shares'!$T$91</f>
        <v>0.55496485314908894</v>
      </c>
      <c r="G15" s="2">
        <f>SUM('Demand - Industry shares'!$T$86:$T$87,'Demand - Industry shares'!$T$89)/'Demand - Industry shares'!$T$91</f>
        <v>0.55496485314908894</v>
      </c>
      <c r="H15" s="2">
        <f>SUM('Demand - Industry shares'!$T$86:$T$87,'Demand - Industry shares'!$T$89)/'Demand - Industry shares'!$T$91</f>
        <v>0.55496485314908894</v>
      </c>
      <c r="I15" s="2">
        <f>SUM('Demand - Industry shares'!$T$86:$T$87,'Demand - Industry shares'!$T$89)/'Demand - Industry shares'!$T$91</f>
        <v>0.55496485314908894</v>
      </c>
      <c r="J15" s="2">
        <f>SUM('Demand - Industry shares'!$T$86:$T$87,'Demand - Industry shares'!$T$89)/'Demand - Industry shares'!$T$91</f>
        <v>0.55496485314908894</v>
      </c>
      <c r="K15" s="2">
        <f>SUM('Demand - Industry shares'!$T$86:$T$87,'Demand - Industry shares'!$T$89)/'Demand - Industry shares'!$T$91</f>
        <v>0.55496485314908894</v>
      </c>
      <c r="L15" s="2">
        <f>SUM('Demand - Industry shares'!$T$86:$T$87,'Demand - Industry shares'!$T$89)/'Demand - Industry shares'!$T$91</f>
        <v>0.55496485314908894</v>
      </c>
      <c r="M15" s="2">
        <f>SUM('Demand - Industry shares'!$T$86:$T$87,'Demand - Industry shares'!$T$89)/'Demand - Industry shares'!$T$91</f>
        <v>0.55496485314908894</v>
      </c>
      <c r="N15" s="2">
        <f>SUM('Demand - Industry shares'!$T$86:$T$87,'Demand - Industry shares'!$T$89)/'Demand - Industry shares'!$T$91</f>
        <v>0.55496485314908894</v>
      </c>
      <c r="O15" s="2">
        <f>SUM('Demand - Industry shares'!$T$86:$T$87,'Demand - Industry shares'!$T$89)/'Demand - Industry shares'!$T$91</f>
        <v>0.55496485314908894</v>
      </c>
      <c r="P15" s="2">
        <f>SUM('Demand - Industry shares'!$T$86:$T$87,'Demand - Industry shares'!$T$89)/'Demand - Industry shares'!$T$91</f>
        <v>0.55496485314908894</v>
      </c>
      <c r="Q15" s="2">
        <f>SUM('Demand - Industry shares'!$T$86:$T$87,'Demand - Industry shares'!$T$89)/'Demand - Industry shares'!$T$91</f>
        <v>0.55496485314908894</v>
      </c>
      <c r="R15" s="2">
        <f>SUM('Demand - Industry shares'!$T$86:$T$87,'Demand - Industry shares'!$T$89)/'Demand - Industry shares'!$T$91</f>
        <v>0.55496485314908894</v>
      </c>
      <c r="S15" s="2">
        <f>SUM('Demand - Industry shares'!$T$86:$T$87,'Demand - Industry shares'!$T$89)/'Demand - Industry shares'!$T$91</f>
        <v>0.55496485314908894</v>
      </c>
      <c r="T15" s="2">
        <f>SUM('Demand - Industry shares'!$T$86:$T$87,'Demand - Industry shares'!$T$89)/'Demand - Industry shares'!$T$91</f>
        <v>0.55496485314908894</v>
      </c>
      <c r="U15" s="2">
        <f>SUM('Demand - Industry shares'!$T$86:$T$87,'Demand - Industry shares'!$T$89)/'Demand - Industry shares'!$T$91</f>
        <v>0.55496485314908894</v>
      </c>
      <c r="V15" s="2">
        <f>SUM('Demand - Industry shares'!$T$86:$T$87,'Demand - Industry shares'!$T$89)/'Demand - Industry shares'!$T$91</f>
        <v>0.55496485314908894</v>
      </c>
      <c r="W15" s="2">
        <f>SUM('Demand - Industry shares'!$T$86:$T$87,'Demand - Industry shares'!$T$89)/'Demand - Industry shares'!$T$91</f>
        <v>0.55496485314908894</v>
      </c>
      <c r="X15" s="2">
        <f>SUM('Demand - Industry shares'!$T$86:$T$87,'Demand - Industry shares'!$T$89)/'Demand - Industry shares'!$T$91</f>
        <v>0.55496485314908894</v>
      </c>
      <c r="Y15" s="2">
        <f>SUM('Demand - Industry shares'!$T$86:$T$87,'Demand - Industry shares'!$T$89)/'Demand - Industry shares'!$T$91</f>
        <v>0.55496485314908894</v>
      </c>
      <c r="Z15" s="2">
        <f>SUM('Demand - Industry shares'!$T$86:$T$87,'Demand - Industry shares'!$T$89)/'Demand - Industry shares'!$T$91</f>
        <v>0.55496485314908894</v>
      </c>
      <c r="AA15" s="2">
        <f>SUM('Demand - Industry shares'!$T$86:$T$87,'Demand - Industry shares'!$T$89)/'Demand - Industry shares'!$T$91</f>
        <v>0.55496485314908894</v>
      </c>
      <c r="AB15" s="2">
        <f>SUM('Demand - Industry shares'!$T$86:$T$87,'Demand - Industry shares'!$T$89)/'Demand - Industry shares'!$T$91</f>
        <v>0.55496485314908894</v>
      </c>
      <c r="AC15" s="2">
        <f>SUM('Demand - Industry shares'!$T$86:$T$87,'Demand - Industry shares'!$T$89)/'Demand - Industry shares'!$T$91</f>
        <v>0.55496485314908894</v>
      </c>
      <c r="AD15" s="2">
        <f>SUM('Demand - Industry shares'!$T$86:$T$87,'Demand - Industry shares'!$T$89)/'Demand - Industry shares'!$T$91</f>
        <v>0.55496485314908894</v>
      </c>
      <c r="AE15" s="2">
        <f>SUM('Demand - Industry shares'!$T$86:$T$87,'Demand - Industry shares'!$T$89)/'Demand - Industry shares'!$T$91</f>
        <v>0.55496485314908894</v>
      </c>
      <c r="AF15" s="2">
        <f>SUM('Demand - Industry shares'!$T$86:$T$87,'Demand - Industry shares'!$T$89)/'Demand - Industry shares'!$T$91</f>
        <v>0.55496485314908894</v>
      </c>
      <c r="AG15" s="2">
        <f>SUM('Demand - Industry shares'!$T$86:$T$87,'Demand - Industry shares'!$T$89)/'Demand - Industry shares'!$T$91</f>
        <v>0.55496485314908894</v>
      </c>
    </row>
    <row r="17" spans="2:36" x14ac:dyDescent="0.2">
      <c r="B17" t="s">
        <v>502</v>
      </c>
      <c r="C17" s="117">
        <f>SUMPRODUCT(C3:C7,C11:C15)</f>
        <v>381.22936843481386</v>
      </c>
      <c r="D17" s="117">
        <f t="shared" ref="D17:AG17" si="1">SUMPRODUCT(D3:D7,D11:D15)</f>
        <v>391.41818039586707</v>
      </c>
      <c r="E17" s="117">
        <f t="shared" si="1"/>
        <v>401.78598713231747</v>
      </c>
      <c r="F17" s="117">
        <f t="shared" si="1"/>
        <v>412.33704175884918</v>
      </c>
      <c r="G17" s="117">
        <f t="shared" si="1"/>
        <v>423.07569910543288</v>
      </c>
      <c r="H17" s="117">
        <f t="shared" si="1"/>
        <v>434.00641816344199</v>
      </c>
      <c r="I17" s="117">
        <f t="shared" si="1"/>
        <v>443.73512940335604</v>
      </c>
      <c r="J17" s="117">
        <f t="shared" si="1"/>
        <v>453.60547517500538</v>
      </c>
      <c r="K17" s="117">
        <f t="shared" si="1"/>
        <v>463.62030911236923</v>
      </c>
      <c r="L17" s="117">
        <f t="shared" si="1"/>
        <v>473.78254308753742</v>
      </c>
      <c r="M17" s="117">
        <f t="shared" si="1"/>
        <v>484.09514841298864</v>
      </c>
      <c r="N17" s="117">
        <f t="shared" si="1"/>
        <v>489.59939352865217</v>
      </c>
      <c r="O17" s="117">
        <f t="shared" si="1"/>
        <v>495.15305670155499</v>
      </c>
      <c r="P17" s="117">
        <f t="shared" si="1"/>
        <v>500.75671005806259</v>
      </c>
      <c r="Q17" s="117">
        <f t="shared" si="1"/>
        <v>506.4109325550038</v>
      </c>
      <c r="R17" s="117">
        <f t="shared" si="1"/>
        <v>512.11631006385255</v>
      </c>
      <c r="S17" s="117">
        <f t="shared" si="1"/>
        <v>517.39355071107002</v>
      </c>
      <c r="T17" s="117">
        <f t="shared" si="1"/>
        <v>522.71451426403576</v>
      </c>
      <c r="U17" s="117">
        <f t="shared" si="1"/>
        <v>528.07965288033665</v>
      </c>
      <c r="V17" s="117">
        <f t="shared" si="1"/>
        <v>533.48942344536908</v>
      </c>
      <c r="W17" s="117">
        <f t="shared" si="1"/>
        <v>538.94428762227301</v>
      </c>
      <c r="X17" s="117">
        <f t="shared" si="1"/>
        <v>543.43667583908484</v>
      </c>
      <c r="Y17" s="117">
        <f t="shared" si="1"/>
        <v>547.96312777932894</v>
      </c>
      <c r="Z17" s="117">
        <f t="shared" si="1"/>
        <v>552.52397240247797</v>
      </c>
      <c r="AA17" s="117">
        <f t="shared" si="1"/>
        <v>557.11954193757219</v>
      </c>
      <c r="AB17" s="117">
        <f t="shared" si="1"/>
        <v>561.7501719162874</v>
      </c>
      <c r="AC17" s="117">
        <f t="shared" si="1"/>
        <v>566.10057400302344</v>
      </c>
      <c r="AD17" s="117">
        <f t="shared" si="1"/>
        <v>570.48243243362072</v>
      </c>
      <c r="AE17" s="117">
        <f t="shared" si="1"/>
        <v>574.89603932143928</v>
      </c>
      <c r="AF17" s="117">
        <f t="shared" si="1"/>
        <v>579.34168955866244</v>
      </c>
      <c r="AG17" s="117">
        <f t="shared" si="1"/>
        <v>583.81968084310392</v>
      </c>
    </row>
    <row r="18" spans="2:36" x14ac:dyDescent="0.2">
      <c r="B18" t="s">
        <v>503</v>
      </c>
      <c r="C18" s="117">
        <f>'Ethylene Recycling LC'!C183+'Propylene Recycling LC'!C104+'Methanol Recycling LC'!C250+'BTX Recycling HC'!C278</f>
        <v>30.021381969043006</v>
      </c>
      <c r="D18" s="117">
        <f>'Ethylene Recycling LC'!D183+'Propylene Recycling LC'!D104+'Methanol Recycling LC'!D250+'BTX Recycling HC'!D278</f>
        <v>30.522739047926017</v>
      </c>
      <c r="E18" s="117">
        <f>'Ethylene Recycling LC'!E183+'Propylene Recycling LC'!E104+'Methanol Recycling LC'!E250+'BTX Recycling HC'!E278</f>
        <v>31.032468790026378</v>
      </c>
      <c r="F18" s="117">
        <f>'Ethylene Recycling LC'!F183+'Propylene Recycling LC'!F104+'Methanol Recycling LC'!F250+'BTX Recycling HC'!F278</f>
        <v>31.550711018819818</v>
      </c>
      <c r="G18" s="117">
        <f>'Ethylene Recycling LC'!G183+'Propylene Recycling LC'!G104+'Methanol Recycling LC'!G250+'BTX Recycling HC'!G278</f>
        <v>32.077607892834109</v>
      </c>
      <c r="H18" s="117">
        <f>'Ethylene Recycling LC'!H183+'Propylene Recycling LC'!H104+'Methanol Recycling LC'!H250+'BTX Recycling HC'!H278</f>
        <v>32.613303944644429</v>
      </c>
      <c r="I18" s="117">
        <f>'Ethylene Recycling LC'!I183+'Propylene Recycling LC'!I104+'Methanol Recycling LC'!I250+'BTX Recycling HC'!I278</f>
        <v>33.157946120519995</v>
      </c>
      <c r="J18" s="117">
        <f>'Ethylene Recycling LC'!J183+'Propylene Recycling LC'!J104+'Methanol Recycling LC'!J250+'BTX Recycling HC'!J278</f>
        <v>33.711683820732674</v>
      </c>
      <c r="K18" s="117">
        <f>'Ethylene Recycling LC'!K183+'Propylene Recycling LC'!K104+'Methanol Recycling LC'!K250+'BTX Recycling HC'!K278</f>
        <v>34.274668940538909</v>
      </c>
      <c r="L18" s="117">
        <f>'Ethylene Recycling LC'!L183+'Propylene Recycling LC'!L104+'Methanol Recycling LC'!L250+'BTX Recycling HC'!L278</f>
        <v>34.847055911845899</v>
      </c>
      <c r="M18" s="117">
        <f>'Ethylene Recycling LC'!M183+'Propylene Recycling LC'!M104+'Methanol Recycling LC'!M250+'BTX Recycling HC'!M278</f>
        <v>35.429001745573728</v>
      </c>
      <c r="N18" s="117">
        <f>'Ethylene Recycling LC'!N183+'Propylene Recycling LC'!N104+'Methanol Recycling LC'!N250+'BTX Recycling HC'!N278</f>
        <v>36.020666074724815</v>
      </c>
      <c r="O18" s="117">
        <f>'Ethylene Recycling LC'!O183+'Propylene Recycling LC'!O104+'Methanol Recycling LC'!O250+'BTX Recycling HC'!O278</f>
        <v>36.622211198172714</v>
      </c>
      <c r="P18" s="117">
        <f>'Ethylene Recycling LC'!P183+'Propylene Recycling LC'!P104+'Methanol Recycling LC'!P250+'BTX Recycling HC'!P278</f>
        <v>37.233802125182194</v>
      </c>
      <c r="Q18" s="117">
        <f>'Ethylene Recycling LC'!Q183+'Propylene Recycling LC'!Q104+'Methanol Recycling LC'!Q250+'BTX Recycling HC'!Q278</f>
        <v>37.855606620672738</v>
      </c>
      <c r="R18" s="117">
        <f>'Ethylene Recycling LC'!R183+'Propylene Recycling LC'!R104+'Methanol Recycling LC'!R250+'BTX Recycling HC'!R278</f>
        <v>38.487795251237969</v>
      </c>
      <c r="S18" s="117">
        <f>'Ethylene Recycling LC'!S183+'Propylene Recycling LC'!S104+'Methanol Recycling LC'!S250+'BTX Recycling HC'!S278</f>
        <v>39.130541431933644</v>
      </c>
      <c r="T18" s="117">
        <f>'Ethylene Recycling LC'!T183+'Propylene Recycling LC'!T104+'Methanol Recycling LC'!T250+'BTX Recycling HC'!T278</f>
        <v>39.784021473846927</v>
      </c>
      <c r="U18" s="117">
        <f>'Ethylene Recycling LC'!U183+'Propylene Recycling LC'!U104+'Methanol Recycling LC'!U250+'BTX Recycling HC'!U278</f>
        <v>40.448414632460164</v>
      </c>
      <c r="V18" s="117">
        <f>'Ethylene Recycling LC'!V183+'Propylene Recycling LC'!V104+'Methanol Recycling LC'!V250+'BTX Recycling HC'!V278</f>
        <v>41.123903156822252</v>
      </c>
      <c r="W18" s="117">
        <f>'Ethylene Recycling LC'!W183+'Propylene Recycling LC'!W104+'Methanol Recycling LC'!W250+'BTX Recycling HC'!W278</f>
        <v>41.810672339541178</v>
      </c>
      <c r="X18" s="117">
        <f>'Ethylene Recycling LC'!X183+'Propylene Recycling LC'!X104+'Methanol Recycling LC'!X250+'BTX Recycling HC'!X278</f>
        <v>42.508910567611515</v>
      </c>
      <c r="Y18" s="117">
        <f>'Ethylene Recycling LC'!Y183+'Propylene Recycling LC'!Y104+'Methanol Recycling LC'!Y250+'BTX Recycling HC'!Y278</f>
        <v>43.218809374090618</v>
      </c>
      <c r="Z18" s="117">
        <f>'Ethylene Recycling LC'!Z183+'Propylene Recycling LC'!Z104+'Methanol Recycling LC'!Z250+'BTX Recycling HC'!Z278</f>
        <v>43.940563490637928</v>
      </c>
      <c r="AA18" s="117">
        <f>'Ethylene Recycling LC'!AA183+'Propylene Recycling LC'!AA104+'Methanol Recycling LC'!AA250+'BTX Recycling HC'!AA278</f>
        <v>44.674370900931578</v>
      </c>
      <c r="AB18" s="117">
        <f>'Ethylene Recycling LC'!AB183+'Propylene Recycling LC'!AB104+'Methanol Recycling LC'!AB250+'BTX Recycling HC'!AB278</f>
        <v>45.420432894977132</v>
      </c>
      <c r="AC18" s="117">
        <f>'Ethylene Recycling LC'!AC183+'Propylene Recycling LC'!AC104+'Methanol Recycling LC'!AC250+'BTX Recycling HC'!AC278</f>
        <v>46.178954124323255</v>
      </c>
      <c r="AD18" s="117">
        <f>'Ethylene Recycling LC'!AD183+'Propylene Recycling LC'!AD104+'Methanol Recycling LC'!AD250+'BTX Recycling HC'!AD278</f>
        <v>46.950142658199447</v>
      </c>
      <c r="AE18" s="117">
        <f>'Ethylene Recycling LC'!AE183+'Propylene Recycling LC'!AE104+'Methanol Recycling LC'!AE250+'BTX Recycling HC'!AE278</f>
        <v>47.734210040591371</v>
      </c>
      <c r="AF18" s="117">
        <f>'Ethylene Recycling LC'!AF183+'Propylene Recycling LC'!AF104+'Methanol Recycling LC'!AF250+'BTX Recycling HC'!AF278</f>
        <v>48.531371348269246</v>
      </c>
      <c r="AG18" s="117">
        <f>'Ethylene Recycling LC'!AG183+'Propylene Recycling LC'!AG104+'Methanol Recycling LC'!AG250+'BTX Recycling HC'!AG278</f>
        <v>49.341845249785344</v>
      </c>
    </row>
    <row r="19" spans="2:36" x14ac:dyDescent="0.2">
      <c r="B19" t="s">
        <v>504</v>
      </c>
      <c r="C19" s="50">
        <v>7794799</v>
      </c>
      <c r="D19" s="50">
        <v>7874966</v>
      </c>
      <c r="E19" s="50">
        <v>7953953</v>
      </c>
      <c r="F19" s="50">
        <v>8031800</v>
      </c>
      <c r="G19" s="50">
        <v>8108605</v>
      </c>
      <c r="H19" s="50">
        <v>8184437</v>
      </c>
      <c r="I19" s="50">
        <v>8259277</v>
      </c>
      <c r="J19" s="50">
        <v>8333078</v>
      </c>
      <c r="K19" s="50">
        <v>8405863</v>
      </c>
      <c r="L19" s="50">
        <v>8477661</v>
      </c>
      <c r="M19" s="50">
        <v>8548487</v>
      </c>
      <c r="N19" s="50">
        <v>8618349</v>
      </c>
      <c r="O19" s="50">
        <v>8687228</v>
      </c>
      <c r="P19" s="50">
        <v>8755084</v>
      </c>
      <c r="Q19" s="50">
        <v>8821863</v>
      </c>
      <c r="R19" s="50">
        <v>8887524</v>
      </c>
      <c r="S19" s="50">
        <v>8952049</v>
      </c>
      <c r="T19" s="50">
        <v>9015438</v>
      </c>
      <c r="U19" s="50">
        <v>9077694</v>
      </c>
      <c r="V19" s="50">
        <v>9138829</v>
      </c>
      <c r="W19" s="50">
        <v>9198847</v>
      </c>
      <c r="X19" s="50">
        <v>9257745</v>
      </c>
      <c r="Y19" s="50">
        <v>9315508</v>
      </c>
      <c r="Z19" s="50">
        <v>9372118</v>
      </c>
      <c r="AA19" s="50">
        <v>9427555</v>
      </c>
      <c r="AB19" s="50">
        <v>9481803</v>
      </c>
      <c r="AC19" s="50">
        <v>9534855</v>
      </c>
      <c r="AD19" s="50">
        <v>9586708</v>
      </c>
      <c r="AE19" s="50">
        <v>9637357</v>
      </c>
      <c r="AF19" s="50">
        <v>9686800</v>
      </c>
      <c r="AG19" s="50">
        <v>9735034</v>
      </c>
    </row>
    <row r="20" spans="2:36" x14ac:dyDescent="0.2">
      <c r="B20" t="s">
        <v>505</v>
      </c>
      <c r="C20" s="591">
        <f>(C17+C18)*1000000000/(C19*1000)</f>
        <v>52.759635034060125</v>
      </c>
      <c r="D20" s="591">
        <f t="shared" ref="D20:AG20" si="2">(D17+D18)*1000000000/(D19*1000)</f>
        <v>53.580030624105945</v>
      </c>
      <c r="E20" s="591">
        <f t="shared" si="2"/>
        <v>54.415515897861589</v>
      </c>
      <c r="F20" s="591">
        <f t="shared" si="2"/>
        <v>55.266285611901317</v>
      </c>
      <c r="G20" s="591">
        <f t="shared" si="2"/>
        <v>56.132134565472981</v>
      </c>
      <c r="H20" s="591">
        <f t="shared" si="2"/>
        <v>57.013050758175112</v>
      </c>
      <c r="I20" s="591">
        <f t="shared" si="2"/>
        <v>57.74029319078123</v>
      </c>
      <c r="J20" s="591">
        <f t="shared" si="2"/>
        <v>58.479850902120205</v>
      </c>
      <c r="K20" s="591">
        <f t="shared" si="2"/>
        <v>59.231869238519373</v>
      </c>
      <c r="L20" s="591">
        <f t="shared" si="2"/>
        <v>59.996454092630429</v>
      </c>
      <c r="M20" s="591">
        <f t="shared" si="2"/>
        <v>60.773812975157171</v>
      </c>
      <c r="N20" s="591">
        <f t="shared" si="2"/>
        <v>60.988486263828136</v>
      </c>
      <c r="O20" s="591">
        <f t="shared" si="2"/>
        <v>61.213458182486718</v>
      </c>
      <c r="P20" s="591">
        <f t="shared" si="2"/>
        <v>61.448926381887929</v>
      </c>
      <c r="Q20" s="591">
        <f t="shared" si="2"/>
        <v>61.695192860700345</v>
      </c>
      <c r="R20" s="591">
        <f t="shared" si="2"/>
        <v>61.952474650430247</v>
      </c>
      <c r="S20" s="591">
        <f t="shared" si="2"/>
        <v>62.167230333860289</v>
      </c>
      <c r="T20" s="591">
        <f t="shared" si="2"/>
        <v>62.392812832597009</v>
      </c>
      <c r="U20" s="591">
        <f t="shared" si="2"/>
        <v>62.629128885903938</v>
      </c>
      <c r="V20" s="591">
        <f t="shared" si="2"/>
        <v>62.876034402459155</v>
      </c>
      <c r="W20" s="591">
        <f t="shared" si="2"/>
        <v>63.133451394703513</v>
      </c>
      <c r="X20" s="591">
        <f t="shared" si="2"/>
        <v>63.292474183151128</v>
      </c>
      <c r="Y20" s="591">
        <f t="shared" si="2"/>
        <v>63.462125431422479</v>
      </c>
      <c r="Z20" s="591">
        <f t="shared" si="2"/>
        <v>63.64244836579266</v>
      </c>
      <c r="AA20" s="591">
        <f t="shared" si="2"/>
        <v>63.833508564893421</v>
      </c>
      <c r="AB20" s="591">
        <f t="shared" si="2"/>
        <v>64.035353277352897</v>
      </c>
      <c r="AC20" s="591">
        <f t="shared" si="2"/>
        <v>64.214875645969101</v>
      </c>
      <c r="AD20" s="591">
        <f t="shared" si="2"/>
        <v>64.405067421665507</v>
      </c>
      <c r="AE20" s="591">
        <f t="shared" si="2"/>
        <v>64.605913152540751</v>
      </c>
      <c r="AF20" s="591">
        <f t="shared" si="2"/>
        <v>64.817386640266307</v>
      </c>
      <c r="AG20" s="591">
        <f t="shared" si="2"/>
        <v>65.039477632321493</v>
      </c>
      <c r="AI20" s="23">
        <f>(AG20/C20)^(1/30)-1</f>
        <v>6.99931561887146E-3</v>
      </c>
    </row>
    <row r="21" spans="2:36" x14ac:dyDescent="0.2">
      <c r="B21" t="s">
        <v>506</v>
      </c>
      <c r="C21" s="634">
        <f>C20*$AI$21</f>
        <v>42.207708027248103</v>
      </c>
      <c r="D21" s="634">
        <f t="shared" ref="D21:AG21" si="3">D20*$AI$21</f>
        <v>42.86402449928476</v>
      </c>
      <c r="E21" s="634">
        <f t="shared" si="3"/>
        <v>43.532412718289272</v>
      </c>
      <c r="F21" s="634">
        <f t="shared" si="3"/>
        <v>44.213028489521058</v>
      </c>
      <c r="G21" s="634">
        <f t="shared" si="3"/>
        <v>44.905707652378389</v>
      </c>
      <c r="H21" s="634">
        <f t="shared" si="3"/>
        <v>45.610440606540095</v>
      </c>
      <c r="I21" s="634">
        <f t="shared" si="3"/>
        <v>46.192234552624988</v>
      </c>
      <c r="J21" s="634">
        <f t="shared" si="3"/>
        <v>46.783880721696164</v>
      </c>
      <c r="K21" s="634">
        <f t="shared" si="3"/>
        <v>47.3854953908155</v>
      </c>
      <c r="L21" s="634">
        <f t="shared" si="3"/>
        <v>47.997163274104345</v>
      </c>
      <c r="M21" s="634">
        <f t="shared" si="3"/>
        <v>48.619050380125742</v>
      </c>
      <c r="N21" s="634">
        <f t="shared" si="3"/>
        <v>48.790789011062515</v>
      </c>
      <c r="O21" s="634">
        <f t="shared" si="3"/>
        <v>48.970766545989378</v>
      </c>
      <c r="P21" s="634">
        <f t="shared" si="3"/>
        <v>49.159141105510344</v>
      </c>
      <c r="Q21" s="634">
        <f t="shared" si="3"/>
        <v>49.356154288560276</v>
      </c>
      <c r="R21" s="634">
        <f t="shared" si="3"/>
        <v>49.561979720344198</v>
      </c>
      <c r="S21" s="634">
        <f t="shared" si="3"/>
        <v>49.733784267088232</v>
      </c>
      <c r="T21" s="634">
        <f t="shared" si="3"/>
        <v>49.914250266077609</v>
      </c>
      <c r="U21" s="634">
        <f t="shared" si="3"/>
        <v>50.103303108723154</v>
      </c>
      <c r="V21" s="634">
        <f t="shared" si="3"/>
        <v>50.300827521967328</v>
      </c>
      <c r="W21" s="634">
        <f t="shared" si="3"/>
        <v>50.506761115762814</v>
      </c>
      <c r="X21" s="634">
        <f t="shared" si="3"/>
        <v>50.633979346520903</v>
      </c>
      <c r="Y21" s="634">
        <f t="shared" si="3"/>
        <v>50.769700345137984</v>
      </c>
      <c r="Z21" s="634">
        <f t="shared" si="3"/>
        <v>50.913958692634132</v>
      </c>
      <c r="AA21" s="634">
        <f t="shared" si="3"/>
        <v>51.066806851914741</v>
      </c>
      <c r="AB21" s="634">
        <f t="shared" si="3"/>
        <v>51.228282621882322</v>
      </c>
      <c r="AC21" s="634">
        <f t="shared" si="3"/>
        <v>51.371900516775284</v>
      </c>
      <c r="AD21" s="634">
        <f t="shared" si="3"/>
        <v>51.524053937332411</v>
      </c>
      <c r="AE21" s="634">
        <f t="shared" si="3"/>
        <v>51.684730522032602</v>
      </c>
      <c r="AF21" s="634">
        <f t="shared" si="3"/>
        <v>51.853909312213048</v>
      </c>
      <c r="AG21" s="634">
        <f t="shared" si="3"/>
        <v>52.031582105857197</v>
      </c>
      <c r="AI21" s="55">
        <v>0.8</v>
      </c>
      <c r="AJ21" t="s">
        <v>507</v>
      </c>
    </row>
    <row r="22" spans="2:36" x14ac:dyDescent="0.2">
      <c r="C22" s="634"/>
      <c r="D22" s="115"/>
      <c r="E22" s="115"/>
      <c r="F22" s="115"/>
      <c r="G22" s="115"/>
      <c r="H22" s="115"/>
      <c r="I22" s="115"/>
      <c r="J22" s="115"/>
      <c r="K22" s="115"/>
      <c r="L22" s="115"/>
      <c r="M22" s="115"/>
      <c r="N22" s="115"/>
      <c r="O22" s="115"/>
      <c r="P22" s="115"/>
      <c r="Q22" s="115"/>
      <c r="R22" s="115"/>
      <c r="S22" s="115"/>
      <c r="T22" s="115"/>
      <c r="U22" s="115"/>
      <c r="V22" s="115"/>
      <c r="W22" s="115"/>
      <c r="X22" s="115"/>
      <c r="Y22" s="115"/>
      <c r="Z22" s="115"/>
      <c r="AA22" s="115"/>
      <c r="AB22" s="115"/>
      <c r="AC22" s="115"/>
      <c r="AD22" s="115"/>
      <c r="AE22" s="115"/>
      <c r="AF22" s="115"/>
      <c r="AG22" s="115"/>
    </row>
    <row r="23" spans="2:36" x14ac:dyDescent="0.2">
      <c r="B23" s="50"/>
      <c r="C23" s="50" t="s">
        <v>504</v>
      </c>
      <c r="W23" t="s">
        <v>508</v>
      </c>
      <c r="AG23" t="s">
        <v>509</v>
      </c>
    </row>
    <row r="24" spans="2:36" x14ac:dyDescent="0.2">
      <c r="B24" s="50" t="s">
        <v>510</v>
      </c>
      <c r="C24" s="592">
        <v>1527293744</v>
      </c>
      <c r="M24" s="2">
        <f>5%+4%</f>
        <v>0.09</v>
      </c>
      <c r="W24" s="245">
        <f>$C$17*M24</f>
        <v>34.310643159133249</v>
      </c>
      <c r="AG24" s="245">
        <f>W24*1000000000/C24</f>
        <v>22.464992928782173</v>
      </c>
    </row>
    <row r="25" spans="2:36" x14ac:dyDescent="0.2">
      <c r="B25" s="50" t="s">
        <v>511</v>
      </c>
      <c r="C25" s="592">
        <f>2328193462+C29</f>
        <v>4142648480</v>
      </c>
      <c r="M25" s="2">
        <v>0.38</v>
      </c>
      <c r="W25" s="245">
        <f>$C$17*M25</f>
        <v>144.86716000522927</v>
      </c>
      <c r="AG25" s="245">
        <f t="shared" ref="AG25:AG28" si="4">W25*1000000000/C25</f>
        <v>34.969696488761528</v>
      </c>
    </row>
    <row r="26" spans="2:36" x14ac:dyDescent="0.2">
      <c r="B26" s="50" t="s">
        <v>512</v>
      </c>
      <c r="C26" s="592">
        <v>918082509</v>
      </c>
      <c r="M26" s="2">
        <v>0.24</v>
      </c>
      <c r="W26" s="245">
        <f>$C$17*M26</f>
        <v>91.495048424355318</v>
      </c>
      <c r="AG26" s="245">
        <f t="shared" si="4"/>
        <v>99.658851494746557</v>
      </c>
    </row>
    <row r="27" spans="2:36" x14ac:dyDescent="0.2">
      <c r="B27" s="50" t="s">
        <v>513</v>
      </c>
      <c r="C27" s="592">
        <v>640483586</v>
      </c>
      <c r="M27" s="2">
        <v>0.08</v>
      </c>
      <c r="W27" s="245">
        <f>$C$17*M27</f>
        <v>30.498349474785108</v>
      </c>
      <c r="AG27" s="245">
        <f t="shared" si="4"/>
        <v>47.617690978243282</v>
      </c>
    </row>
    <row r="28" spans="2:36" x14ac:dyDescent="0.2">
      <c r="B28" s="50" t="s">
        <v>514</v>
      </c>
      <c r="C28" s="592">
        <v>363967296</v>
      </c>
      <c r="M28" s="2">
        <f>21%</f>
        <v>0.21</v>
      </c>
      <c r="W28" s="245">
        <f>$C$17*M28</f>
        <v>80.058167371310915</v>
      </c>
      <c r="AG28" s="245">
        <f t="shared" si="4"/>
        <v>219.9597827913388</v>
      </c>
    </row>
    <row r="29" spans="2:36" x14ac:dyDescent="0.2">
      <c r="B29" s="50" t="s">
        <v>515</v>
      </c>
      <c r="C29" s="592">
        <v>1814455018</v>
      </c>
      <c r="M29" s="2"/>
    </row>
    <row r="30" spans="2:36" x14ac:dyDescent="0.2">
      <c r="B30" s="50" t="s">
        <v>67</v>
      </c>
      <c r="C30" s="592">
        <v>7592475615</v>
      </c>
      <c r="M30" s="2">
        <f>SUM(M24:M29)</f>
        <v>0.99999999999999989</v>
      </c>
    </row>
    <row r="32" spans="2:36" x14ac:dyDescent="0.2">
      <c r="C32" t="s">
        <v>516</v>
      </c>
      <c r="D32" s="44" t="e">
        <f>(D26*#REF!+D28*#REF!)/(#REF!+#REF!)</f>
        <v>#REF!</v>
      </c>
      <c r="M32" s="44">
        <f>(AG26*C26+AG28*C28)/(C26+C28)</f>
        <v>133.81166248503601</v>
      </c>
    </row>
    <row r="34" spans="3:35" x14ac:dyDescent="0.2">
      <c r="C34">
        <v>2020</v>
      </c>
      <c r="M34">
        <v>2030</v>
      </c>
      <c r="W34">
        <v>2040</v>
      </c>
      <c r="AG34">
        <v>2050</v>
      </c>
    </row>
    <row r="35" spans="3:35" x14ac:dyDescent="0.2">
      <c r="C35" s="360">
        <f>C20</f>
        <v>52.759635034060125</v>
      </c>
      <c r="M35" s="609">
        <f>(AG35-C35)/3+C35</f>
        <v>79.776977517718748</v>
      </c>
      <c r="N35" s="609">
        <f t="shared" ref="N35:V35" si="5">(AH35-D35)/3+D35</f>
        <v>0</v>
      </c>
      <c r="O35" s="609">
        <f t="shared" si="5"/>
        <v>1.0503040545763195E-2</v>
      </c>
      <c r="P35" s="609">
        <f t="shared" si="5"/>
        <v>0</v>
      </c>
      <c r="Q35" s="609">
        <f t="shared" si="5"/>
        <v>0</v>
      </c>
      <c r="R35" s="609">
        <f t="shared" si="5"/>
        <v>0</v>
      </c>
      <c r="S35" s="609">
        <f t="shared" si="5"/>
        <v>0</v>
      </c>
      <c r="T35" s="609">
        <f t="shared" si="5"/>
        <v>0</v>
      </c>
      <c r="U35" s="609">
        <f t="shared" si="5"/>
        <v>0</v>
      </c>
      <c r="V35" s="609">
        <f t="shared" si="5"/>
        <v>0</v>
      </c>
      <c r="W35" s="609">
        <f>(AG35-C35)/3+M35</f>
        <v>106.79432000137737</v>
      </c>
      <c r="AG35" s="44">
        <f>M32</f>
        <v>133.81166248503601</v>
      </c>
      <c r="AI35" s="23">
        <f>(AG35/C35)^(1/30)-1</f>
        <v>3.1509121637289583E-2</v>
      </c>
    </row>
    <row r="36" spans="3:35" x14ac:dyDescent="0.2">
      <c r="C36" s="44">
        <f>C35*C8/C20</f>
        <v>556.55826631089224</v>
      </c>
      <c r="D36" s="44">
        <f t="shared" ref="D36:AF36" si="6">D35*D8/D20</f>
        <v>0</v>
      </c>
      <c r="E36" s="44">
        <f t="shared" si="6"/>
        <v>0</v>
      </c>
      <c r="F36" s="44">
        <f t="shared" si="6"/>
        <v>0</v>
      </c>
      <c r="G36" s="44">
        <f t="shared" si="6"/>
        <v>0</v>
      </c>
      <c r="H36" s="44">
        <f t="shared" si="6"/>
        <v>0</v>
      </c>
      <c r="I36" s="44">
        <f t="shared" si="6"/>
        <v>0</v>
      </c>
      <c r="J36" s="44">
        <f t="shared" si="6"/>
        <v>0</v>
      </c>
      <c r="K36" s="44">
        <f t="shared" si="6"/>
        <v>0</v>
      </c>
      <c r="L36" s="44">
        <f t="shared" si="6"/>
        <v>0</v>
      </c>
      <c r="M36" s="44">
        <f t="shared" si="6"/>
        <v>932.95618451680116</v>
      </c>
      <c r="N36" s="44">
        <f t="shared" si="6"/>
        <v>0</v>
      </c>
      <c r="O36" s="44">
        <f t="shared" si="6"/>
        <v>0.12480664163301636</v>
      </c>
      <c r="P36" s="44">
        <f t="shared" si="6"/>
        <v>0</v>
      </c>
      <c r="Q36" s="44">
        <f t="shared" si="6"/>
        <v>0</v>
      </c>
      <c r="R36" s="44">
        <f t="shared" si="6"/>
        <v>0</v>
      </c>
      <c r="S36" s="44">
        <f t="shared" si="6"/>
        <v>0</v>
      </c>
      <c r="T36" s="44">
        <f t="shared" si="6"/>
        <v>0</v>
      </c>
      <c r="U36" s="44">
        <f t="shared" si="6"/>
        <v>0</v>
      </c>
      <c r="V36" s="44">
        <f t="shared" si="6"/>
        <v>0</v>
      </c>
      <c r="W36" s="44">
        <f t="shared" si="6"/>
        <v>1340.3173567706415</v>
      </c>
      <c r="X36" s="44">
        <f t="shared" si="6"/>
        <v>0</v>
      </c>
      <c r="Y36" s="44">
        <f t="shared" si="6"/>
        <v>0</v>
      </c>
      <c r="Z36" s="44">
        <f t="shared" si="6"/>
        <v>0</v>
      </c>
      <c r="AA36" s="44">
        <f t="shared" si="6"/>
        <v>0</v>
      </c>
      <c r="AB36" s="44">
        <f t="shared" si="6"/>
        <v>0</v>
      </c>
      <c r="AC36" s="44">
        <f t="shared" si="6"/>
        <v>0</v>
      </c>
      <c r="AD36" s="44">
        <f t="shared" si="6"/>
        <v>0</v>
      </c>
      <c r="AE36" s="44">
        <f t="shared" si="6"/>
        <v>0</v>
      </c>
      <c r="AF36" s="44">
        <f t="shared" si="6"/>
        <v>0</v>
      </c>
      <c r="AG36" s="44">
        <f>AG35*AG8/AG20</f>
        <v>1760.0100072872538</v>
      </c>
      <c r="AI36" s="23">
        <f>(AG36/C36)^(1/30)-1</f>
        <v>3.9122662709128564E-2</v>
      </c>
    </row>
  </sheetData>
  <pageMargins left="0.7" right="0.7" top="0.75" bottom="0.75" header="0.3" footer="0.3"/>
  <pageSetup paperSize="9" orientation="portrait"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7"/>
  </sheetPr>
  <dimension ref="A1:AR59"/>
  <sheetViews>
    <sheetView topLeftCell="K1" workbookViewId="0">
      <selection activeCell="N3" sqref="N3"/>
    </sheetView>
  </sheetViews>
  <sheetFormatPr baseColWidth="10" defaultColWidth="8.83203125" defaultRowHeight="15" outlineLevelCol="1" x14ac:dyDescent="0.2"/>
  <cols>
    <col min="1" max="1" width="19.1640625" bestFit="1" customWidth="1"/>
    <col min="12" max="12" width="28.5" bestFit="1" customWidth="1"/>
    <col min="13" max="13" width="17.5" customWidth="1"/>
    <col min="14" max="14" width="9.5" bestFit="1" customWidth="1"/>
    <col min="15" max="23" width="8.83203125" customWidth="1" outlineLevel="1"/>
    <col min="24" max="24" width="9.5" bestFit="1" customWidth="1"/>
    <col min="25" max="33" width="8.83203125" hidden="1" customWidth="1" outlineLevel="1"/>
    <col min="34" max="34" width="9.5" bestFit="1" customWidth="1" collapsed="1"/>
    <col min="35" max="43" width="8.83203125" hidden="1" customWidth="1" outlineLevel="1"/>
    <col min="44" max="44" width="9.5" bestFit="1" customWidth="1" collapsed="1"/>
  </cols>
  <sheetData>
    <row r="1" spans="1:44" s="68" customFormat="1" x14ac:dyDescent="0.2">
      <c r="A1" s="62" t="s">
        <v>517</v>
      </c>
      <c r="M1" s="62" t="s">
        <v>518</v>
      </c>
    </row>
    <row r="2" spans="1:44" x14ac:dyDescent="0.2">
      <c r="B2" s="1">
        <v>2015</v>
      </c>
      <c r="C2" s="1">
        <v>2017</v>
      </c>
      <c r="D2" s="1">
        <v>2020</v>
      </c>
      <c r="E2" s="1">
        <v>2025</v>
      </c>
      <c r="F2" s="1">
        <v>2030</v>
      </c>
      <c r="G2" s="1">
        <v>2035</v>
      </c>
      <c r="H2" s="1">
        <v>2040</v>
      </c>
      <c r="I2" s="1">
        <v>2045</v>
      </c>
      <c r="J2" s="1">
        <v>2050</v>
      </c>
      <c r="N2">
        <v>2020</v>
      </c>
      <c r="O2">
        <f>N2+1</f>
        <v>2021</v>
      </c>
      <c r="P2">
        <f t="shared" ref="P2:AR2" si="0">O2+1</f>
        <v>2022</v>
      </c>
      <c r="Q2">
        <f t="shared" si="0"/>
        <v>2023</v>
      </c>
      <c r="R2">
        <f t="shared" si="0"/>
        <v>2024</v>
      </c>
      <c r="S2">
        <f t="shared" si="0"/>
        <v>2025</v>
      </c>
      <c r="T2">
        <f t="shared" si="0"/>
        <v>2026</v>
      </c>
      <c r="U2">
        <f t="shared" si="0"/>
        <v>2027</v>
      </c>
      <c r="V2">
        <f t="shared" si="0"/>
        <v>2028</v>
      </c>
      <c r="W2">
        <f t="shared" si="0"/>
        <v>2029</v>
      </c>
      <c r="X2">
        <f t="shared" si="0"/>
        <v>2030</v>
      </c>
      <c r="Y2">
        <f t="shared" si="0"/>
        <v>2031</v>
      </c>
      <c r="Z2">
        <f t="shared" si="0"/>
        <v>2032</v>
      </c>
      <c r="AA2">
        <f t="shared" si="0"/>
        <v>2033</v>
      </c>
      <c r="AB2">
        <f>AA2+1</f>
        <v>2034</v>
      </c>
      <c r="AC2">
        <f t="shared" si="0"/>
        <v>2035</v>
      </c>
      <c r="AD2">
        <f t="shared" si="0"/>
        <v>2036</v>
      </c>
      <c r="AE2">
        <f t="shared" si="0"/>
        <v>2037</v>
      </c>
      <c r="AF2">
        <f t="shared" si="0"/>
        <v>2038</v>
      </c>
      <c r="AG2">
        <f t="shared" si="0"/>
        <v>2039</v>
      </c>
      <c r="AH2">
        <f t="shared" si="0"/>
        <v>2040</v>
      </c>
      <c r="AI2">
        <f t="shared" si="0"/>
        <v>2041</v>
      </c>
      <c r="AJ2">
        <f t="shared" si="0"/>
        <v>2042</v>
      </c>
      <c r="AK2">
        <f t="shared" si="0"/>
        <v>2043</v>
      </c>
      <c r="AL2">
        <f t="shared" si="0"/>
        <v>2044</v>
      </c>
      <c r="AM2">
        <f>AL2+1</f>
        <v>2045</v>
      </c>
      <c r="AN2">
        <f t="shared" si="0"/>
        <v>2046</v>
      </c>
      <c r="AO2">
        <f t="shared" si="0"/>
        <v>2047</v>
      </c>
      <c r="AP2">
        <f t="shared" si="0"/>
        <v>2048</v>
      </c>
      <c r="AQ2">
        <f>AP2+1</f>
        <v>2049</v>
      </c>
      <c r="AR2">
        <f t="shared" si="0"/>
        <v>2050</v>
      </c>
    </row>
    <row r="3" spans="1:44" x14ac:dyDescent="0.2">
      <c r="A3" s="1" t="s">
        <v>519</v>
      </c>
      <c r="B3" s="157">
        <v>140</v>
      </c>
      <c r="C3" s="157">
        <v>150</v>
      </c>
      <c r="D3" s="157">
        <f>(F3-C3)/($F$2-$C$2)*($D$2-$C$2)+C3</f>
        <v>162.69230769230768</v>
      </c>
      <c r="E3" s="157">
        <f>(F3-C3)/($F$2-$C$2)*($E$2-$C$2)+C3</f>
        <v>183.84615384615384</v>
      </c>
      <c r="F3" s="157">
        <v>205</v>
      </c>
      <c r="G3" s="157">
        <f>(J3-F3)/($J$2-$F$2)*($G$2-$F$2)+F3</f>
        <v>217.5</v>
      </c>
      <c r="H3" s="157">
        <f>(J3-F3)/($J$2-$F$2)*($H$2-$F$2)+F3</f>
        <v>230</v>
      </c>
      <c r="I3" s="157">
        <f>(J3-F3)/($J$2-$F$2)*($I$2-$F$2)+F3</f>
        <v>242.5</v>
      </c>
      <c r="J3" s="157">
        <v>255</v>
      </c>
      <c r="L3" t="s">
        <v>520</v>
      </c>
      <c r="M3" s="52" t="s">
        <v>519</v>
      </c>
      <c r="N3" s="98">
        <f>D3</f>
        <v>162.69230769230768</v>
      </c>
      <c r="O3" s="98">
        <f>N3*($S3/$N3)^(1/5)</f>
        <v>166.71878063819926</v>
      </c>
      <c r="P3" s="98">
        <f t="shared" ref="P3:R3" si="1">O3*($S3/$N3)^(1/5)</f>
        <v>170.84490478834238</v>
      </c>
      <c r="Q3" s="98">
        <f t="shared" si="1"/>
        <v>175.07314641101752</v>
      </c>
      <c r="R3" s="98">
        <f t="shared" si="1"/>
        <v>179.40603281219435</v>
      </c>
      <c r="S3" s="98">
        <f>E3</f>
        <v>183.84615384615384</v>
      </c>
      <c r="T3" s="98">
        <f>S3*($X3/$S3)^(1/5)</f>
        <v>187.89464856761026</v>
      </c>
      <c r="U3" s="98">
        <f t="shared" ref="U3:V3" si="2">T3*($X3/$S3)^(1/5)</f>
        <v>192.03229560020711</v>
      </c>
      <c r="V3" s="98">
        <f t="shared" si="2"/>
        <v>196.26105817599196</v>
      </c>
      <c r="W3" s="98">
        <f>V3*($X3/$S3)^(1/5)</f>
        <v>200.58294275954361</v>
      </c>
      <c r="X3" s="98">
        <f>F3</f>
        <v>205</v>
      </c>
      <c r="Y3" s="98">
        <f>X3*($AC3/$X3)^(1/5)</f>
        <v>207.44116419514421</v>
      </c>
      <c r="Z3" s="98">
        <f t="shared" ref="Z3:AB3" si="3">Y3*($AC3/$X3)^(1/5)</f>
        <v>209.91139806164284</v>
      </c>
      <c r="AA3" s="98">
        <f t="shared" si="3"/>
        <v>212.41104776457331</v>
      </c>
      <c r="AB3" s="98">
        <f t="shared" si="3"/>
        <v>214.94046359118767</v>
      </c>
      <c r="AC3" s="98">
        <f>G3</f>
        <v>217.5</v>
      </c>
      <c r="AD3" s="98">
        <f>AC3*($AH3/$AC3)^(1/5)</f>
        <v>219.94443410654205</v>
      </c>
      <c r="AE3" s="98">
        <f t="shared" ref="AE3:AG3" si="4">AD3*($AH3/$AC3)^(1/5)</f>
        <v>222.41634066412422</v>
      </c>
      <c r="AF3" s="98">
        <f t="shared" si="4"/>
        <v>224.91602842951116</v>
      </c>
      <c r="AG3" s="98">
        <f t="shared" si="4"/>
        <v>227.4438096295161</v>
      </c>
      <c r="AH3" s="98">
        <f>H3</f>
        <v>230</v>
      </c>
      <c r="AI3" s="98">
        <f>AH3*($AM3/$AH3)^(1/5)</f>
        <v>232.44735963345383</v>
      </c>
      <c r="AJ3" s="98">
        <f t="shared" ref="AJ3:AL3" si="5">AI3*($AM3/$AH3)^(1/5)</f>
        <v>234.92076087201835</v>
      </c>
      <c r="AK3" s="98">
        <f t="shared" si="5"/>
        <v>237.42048081644634</v>
      </c>
      <c r="AL3" s="98">
        <f t="shared" si="5"/>
        <v>239.9467995160349</v>
      </c>
      <c r="AM3" s="98">
        <f>I3</f>
        <v>242.5</v>
      </c>
      <c r="AN3" s="98">
        <f>AM3*($AR3/$AM3)^(1/5)</f>
        <v>244.9499924675749</v>
      </c>
      <c r="AO3" s="98">
        <f t="shared" ref="AO3:AQ3" si="6">AN3*($AR3/$AM3)^(1/5)</f>
        <v>247.42473736026807</v>
      </c>
      <c r="AP3" s="98">
        <f t="shared" si="6"/>
        <v>249.9244847533582</v>
      </c>
      <c r="AQ3" s="98">
        <f t="shared" si="6"/>
        <v>252.44948724865003</v>
      </c>
      <c r="AR3" s="98">
        <f>J3</f>
        <v>255</v>
      </c>
    </row>
    <row r="4" spans="1:44" x14ac:dyDescent="0.2">
      <c r="A4" s="1" t="s">
        <v>521</v>
      </c>
      <c r="B4" s="157">
        <v>140</v>
      </c>
      <c r="C4" s="157">
        <v>150</v>
      </c>
      <c r="D4" s="157">
        <f t="shared" ref="D4:D6" si="7">(F4-C4)/($F$2-$C$2)*($D$2-$C$2)+C4</f>
        <v>161.53846153846155</v>
      </c>
      <c r="E4" s="157">
        <f t="shared" ref="E4:E6" si="8">(F4-C4)/($F$2-$C$2)*($E$2-$C$2)+C4</f>
        <v>180.76923076923077</v>
      </c>
      <c r="F4" s="157">
        <v>200</v>
      </c>
      <c r="G4" s="157">
        <f t="shared" ref="G4:G6" si="9">(J4-F4)/($J$2-$F$2)*($G$2-$F$2)+F4</f>
        <v>206.25</v>
      </c>
      <c r="H4" s="157">
        <f t="shared" ref="H4:H6" si="10">(J4-F4)/($J$2-$F$2)*($H$2-$F$2)+F4</f>
        <v>212.5</v>
      </c>
      <c r="I4" s="157">
        <f t="shared" ref="I4:I6" si="11">(J4-F4)/($J$2-$F$2)*($I$2-$F$2)+F4</f>
        <v>218.75</v>
      </c>
      <c r="J4" s="157">
        <v>225</v>
      </c>
      <c r="M4" s="1" t="s">
        <v>521</v>
      </c>
      <c r="N4" s="44">
        <f t="shared" ref="N4:N6" si="12">D4</f>
        <v>161.53846153846155</v>
      </c>
      <c r="O4" s="44">
        <f t="shared" ref="O4:R4" si="13">N4*($S4/$N4)^(1/5)</f>
        <v>165.2135472608046</v>
      </c>
      <c r="P4" s="44">
        <f t="shared" si="13"/>
        <v>168.97224313355974</v>
      </c>
      <c r="Q4" s="44">
        <f t="shared" si="13"/>
        <v>172.81645133201761</v>
      </c>
      <c r="R4" s="44">
        <f t="shared" si="13"/>
        <v>176.74811730696607</v>
      </c>
      <c r="S4" s="44">
        <f t="shared" ref="S4:S6" si="14">E4</f>
        <v>180.76923076923077</v>
      </c>
      <c r="T4" s="44">
        <f t="shared" ref="T4:W4" si="15">S4*($X4/$S4)^(1/5)</f>
        <v>184.46144529465394</v>
      </c>
      <c r="U4" s="44">
        <f t="shared" si="15"/>
        <v>188.22907336276762</v>
      </c>
      <c r="V4" s="44">
        <f t="shared" si="15"/>
        <v>192.07365529642735</v>
      </c>
      <c r="W4" s="44">
        <f t="shared" si="15"/>
        <v>195.9967628796085</v>
      </c>
      <c r="X4" s="44">
        <f t="shared" ref="X4:X6" si="16">F4</f>
        <v>200</v>
      </c>
      <c r="Y4" s="44">
        <f t="shared" ref="Y4:AB4" si="17">X4*($AC4/$X4)^(1/5)</f>
        <v>201.23466170855582</v>
      </c>
      <c r="Z4" s="44">
        <f t="shared" si="17"/>
        <v>202.47694536478451</v>
      </c>
      <c r="AA4" s="44">
        <f t="shared" si="17"/>
        <v>203.72689802132075</v>
      </c>
      <c r="AB4" s="44">
        <f t="shared" si="17"/>
        <v>204.98456702126964</v>
      </c>
      <c r="AC4" s="44">
        <f t="shared" ref="AC4:AC6" si="18">G4</f>
        <v>206.25</v>
      </c>
      <c r="AD4" s="44">
        <f t="shared" ref="AD4:AG4" si="19">AC4*($AH4/$AC4)^(1/5)</f>
        <v>207.48511825477888</v>
      </c>
      <c r="AE4" s="44">
        <f t="shared" si="19"/>
        <v>208.72763295611918</v>
      </c>
      <c r="AF4" s="44">
        <f t="shared" si="19"/>
        <v>209.97758839728712</v>
      </c>
      <c r="AG4" s="44">
        <f t="shared" si="19"/>
        <v>211.23502913679712</v>
      </c>
      <c r="AH4" s="44">
        <f t="shared" ref="AH4:AH6" si="20">H4</f>
        <v>212.5</v>
      </c>
      <c r="AI4" s="44">
        <f t="shared" ref="AI4:AL4" si="21">AH4*($AM4/$AH4)^(1/5)</f>
        <v>213.73554840693805</v>
      </c>
      <c r="AJ4" s="44">
        <f t="shared" si="21"/>
        <v>214.97828071912735</v>
      </c>
      <c r="AK4" s="44">
        <f t="shared" si="21"/>
        <v>216.22823870627465</v>
      </c>
      <c r="AL4" s="44">
        <f t="shared" si="21"/>
        <v>217.48546438095022</v>
      </c>
      <c r="AM4" s="44">
        <f t="shared" ref="AM4:AM6" si="22">I4</f>
        <v>218.75</v>
      </c>
      <c r="AN4" s="44">
        <f t="shared" ref="AN4:AQ4" si="23">AM4*($AR4/$AM4)^(1/5)</f>
        <v>219.98595438969514</v>
      </c>
      <c r="AO4" s="44">
        <f t="shared" si="23"/>
        <v>221.22889201712016</v>
      </c>
      <c r="AP4" s="44">
        <f t="shared" si="23"/>
        <v>222.47885233810737</v>
      </c>
      <c r="AQ4" s="44">
        <f t="shared" si="23"/>
        <v>223.73587503141763</v>
      </c>
      <c r="AR4" s="44">
        <f t="shared" ref="AR4:AR6" si="24">J4</f>
        <v>225</v>
      </c>
    </row>
    <row r="5" spans="1:44" x14ac:dyDescent="0.2">
      <c r="A5" s="1" t="s">
        <v>522</v>
      </c>
      <c r="B5" s="157">
        <v>90</v>
      </c>
      <c r="C5" s="157">
        <v>105</v>
      </c>
      <c r="D5" s="157">
        <f t="shared" si="7"/>
        <v>111.92307692307692</v>
      </c>
      <c r="E5" s="157">
        <f t="shared" si="8"/>
        <v>123.46153846153845</v>
      </c>
      <c r="F5" s="157">
        <v>135</v>
      </c>
      <c r="G5" s="157">
        <f t="shared" si="9"/>
        <v>141.25</v>
      </c>
      <c r="H5" s="157">
        <f t="shared" si="10"/>
        <v>147.5</v>
      </c>
      <c r="I5" s="157">
        <f t="shared" si="11"/>
        <v>153.75</v>
      </c>
      <c r="J5" s="157">
        <v>160</v>
      </c>
      <c r="L5" t="s">
        <v>520</v>
      </c>
      <c r="M5" s="52" t="s">
        <v>522</v>
      </c>
      <c r="N5" s="98">
        <f t="shared" si="12"/>
        <v>111.92307692307692</v>
      </c>
      <c r="O5" s="98">
        <f t="shared" ref="O5:R5" si="25">N5*($S5/$N5)^(1/5)</f>
        <v>114.14109897114302</v>
      </c>
      <c r="P5" s="98">
        <f t="shared" si="25"/>
        <v>116.40307640304019</v>
      </c>
      <c r="Q5" s="98">
        <f t="shared" si="25"/>
        <v>118.70988029927432</v>
      </c>
      <c r="R5" s="98">
        <f t="shared" si="25"/>
        <v>121.06239900288395</v>
      </c>
      <c r="S5" s="98">
        <f t="shared" si="14"/>
        <v>123.46153846153845</v>
      </c>
      <c r="T5" s="98">
        <f t="shared" ref="T5:W5" si="26">S5*($X5/$S5)^(1/5)</f>
        <v>125.68750385067274</v>
      </c>
      <c r="U5" s="98">
        <f t="shared" si="26"/>
        <v>127.95360256371801</v>
      </c>
      <c r="V5" s="98">
        <f t="shared" si="26"/>
        <v>130.26055818950272</v>
      </c>
      <c r="W5" s="98">
        <f t="shared" si="26"/>
        <v>132.60910736289145</v>
      </c>
      <c r="X5" s="98">
        <f t="shared" si="16"/>
        <v>135</v>
      </c>
      <c r="Y5" s="98">
        <f t="shared" ref="Y5:AB5" si="27">X5*($AC5/$X5)^(1/5)</f>
        <v>136.22747472491002</v>
      </c>
      <c r="Z5" s="98">
        <f t="shared" si="27"/>
        <v>137.46611014760001</v>
      </c>
      <c r="AA5" s="98">
        <f t="shared" si="27"/>
        <v>138.71600774565835</v>
      </c>
      <c r="AB5" s="98">
        <f t="shared" si="27"/>
        <v>139.97726991934886</v>
      </c>
      <c r="AC5" s="98">
        <f t="shared" si="18"/>
        <v>141.25</v>
      </c>
      <c r="AD5" s="98">
        <f t="shared" ref="AD5:AG5" si="28">AC5*($AH5/$AC5)^(1/5)</f>
        <v>142.47844586453499</v>
      </c>
      <c r="AE5" s="98">
        <f t="shared" si="28"/>
        <v>143.71757547591665</v>
      </c>
      <c r="AF5" s="98">
        <f t="shared" si="28"/>
        <v>144.96748175028398</v>
      </c>
      <c r="AG5" s="98">
        <f t="shared" si="28"/>
        <v>146.22825841186406</v>
      </c>
      <c r="AH5" s="98">
        <f t="shared" si="20"/>
        <v>147.5</v>
      </c>
      <c r="AI5" s="98">
        <f t="shared" ref="AI5:AL5" si="29">AH5*($AM5/$AH5)^(1/5)</f>
        <v>148.72933671873375</v>
      </c>
      <c r="AJ5" s="98">
        <f t="shared" si="29"/>
        <v>149.96891932742022</v>
      </c>
      <c r="AK5" s="98">
        <f t="shared" si="29"/>
        <v>151.21883322028813</v>
      </c>
      <c r="AL5" s="98">
        <f t="shared" si="29"/>
        <v>152.47916450328322</v>
      </c>
      <c r="AM5" s="98">
        <f t="shared" si="22"/>
        <v>153.75</v>
      </c>
      <c r="AN5" s="98">
        <f t="shared" ref="AN5:AQ5" si="30">AM5*($AR5/$AM5)^(1/5)</f>
        <v>154.98015684917894</v>
      </c>
      <c r="AO5" s="98">
        <f t="shared" si="30"/>
        <v>156.22015620810475</v>
      </c>
      <c r="AP5" s="98">
        <f t="shared" si="30"/>
        <v>157.4700768268963</v>
      </c>
      <c r="AQ5" s="98">
        <f t="shared" si="30"/>
        <v>158.72999808575381</v>
      </c>
      <c r="AR5" s="98">
        <f t="shared" si="24"/>
        <v>160</v>
      </c>
    </row>
    <row r="6" spans="1:44" x14ac:dyDescent="0.2">
      <c r="A6" s="1" t="s">
        <v>523</v>
      </c>
      <c r="B6" s="157">
        <v>90</v>
      </c>
      <c r="C6" s="157">
        <v>105</v>
      </c>
      <c r="D6" s="157">
        <f t="shared" si="7"/>
        <v>110.76923076923077</v>
      </c>
      <c r="E6" s="157">
        <f t="shared" si="8"/>
        <v>120.38461538461539</v>
      </c>
      <c r="F6" s="157">
        <v>130</v>
      </c>
      <c r="G6" s="157">
        <f t="shared" si="9"/>
        <v>135</v>
      </c>
      <c r="H6" s="157">
        <f t="shared" si="10"/>
        <v>140</v>
      </c>
      <c r="I6" s="157">
        <f t="shared" si="11"/>
        <v>145</v>
      </c>
      <c r="J6" s="157">
        <v>150</v>
      </c>
      <c r="M6" s="1" t="s">
        <v>523</v>
      </c>
      <c r="N6" s="44">
        <f t="shared" si="12"/>
        <v>110.76923076923077</v>
      </c>
      <c r="O6" s="44">
        <f t="shared" ref="O6:R6" si="31">N6*($S6/$N6)^(1/5)</f>
        <v>112.62881368907094</v>
      </c>
      <c r="P6" s="44">
        <f t="shared" si="31"/>
        <v>114.51961510353949</v>
      </c>
      <c r="Q6" s="44">
        <f t="shared" si="31"/>
        <v>116.44215910564488</v>
      </c>
      <c r="R6" s="44">
        <f t="shared" si="31"/>
        <v>118.39697858681723</v>
      </c>
      <c r="S6" s="44">
        <f t="shared" si="14"/>
        <v>120.38461538461539</v>
      </c>
      <c r="T6" s="44">
        <f t="shared" ref="T6:W6" si="32">S6*($X6/$S6)^(1/5)</f>
        <v>122.24904133714509</v>
      </c>
      <c r="U6" s="44">
        <f t="shared" si="32"/>
        <v>124.14234210994448</v>
      </c>
      <c r="V6" s="44">
        <f t="shared" si="32"/>
        <v>126.06496489441018</v>
      </c>
      <c r="W6" s="44">
        <f t="shared" si="32"/>
        <v>128.01736380770123</v>
      </c>
      <c r="X6" s="44">
        <f t="shared" si="16"/>
        <v>130</v>
      </c>
      <c r="Y6" s="44">
        <f t="shared" ref="Y6:AB6" si="33">X6*($AC6/$X6)^(1/5)</f>
        <v>130.98496112678265</v>
      </c>
      <c r="Z6" s="44">
        <f t="shared" si="33"/>
        <v>131.97738493372893</v>
      </c>
      <c r="AA6" s="44">
        <f t="shared" si="33"/>
        <v>132.97732796276088</v>
      </c>
      <c r="AB6" s="44">
        <f t="shared" si="33"/>
        <v>133.98484718419738</v>
      </c>
      <c r="AC6" s="44">
        <f t="shared" si="18"/>
        <v>135</v>
      </c>
      <c r="AD6" s="44">
        <f t="shared" ref="AD6:AG6" si="34">AC6*($AH6/$AC6)^(1/5)</f>
        <v>135.98550610135356</v>
      </c>
      <c r="AE6" s="44">
        <f t="shared" si="34"/>
        <v>136.97820644178717</v>
      </c>
      <c r="AF6" s="44">
        <f t="shared" si="34"/>
        <v>137.97815353957125</v>
      </c>
      <c r="AG6" s="44">
        <f t="shared" si="34"/>
        <v>138.98540029636197</v>
      </c>
      <c r="AH6" s="44">
        <f t="shared" si="20"/>
        <v>140</v>
      </c>
      <c r="AI6" s="44">
        <f t="shared" ref="AI6:AL6" si="35">AH6*($AM6/$AH6)^(1/5)</f>
        <v>140.98601295706342</v>
      </c>
      <c r="AJ6" s="44">
        <f t="shared" si="35"/>
        <v>141.9789703537804</v>
      </c>
      <c r="AK6" s="44">
        <f t="shared" si="35"/>
        <v>142.97892109949007</v>
      </c>
      <c r="AL6" s="44">
        <f t="shared" si="35"/>
        <v>143.98591444799754</v>
      </c>
      <c r="AM6" s="44">
        <f t="shared" si="22"/>
        <v>145</v>
      </c>
      <c r="AN6" s="44">
        <f t="shared" ref="AN6:AQ6" si="36">AM6*($AR6/$AM6)^(1/5)</f>
        <v>145.98648555843513</v>
      </c>
      <c r="AO6" s="44">
        <f t="shared" si="36"/>
        <v>146.97968252209097</v>
      </c>
      <c r="AP6" s="44">
        <f t="shared" si="36"/>
        <v>147.97963655099733</v>
      </c>
      <c r="AQ6" s="44">
        <f t="shared" si="36"/>
        <v>148.98639361582519</v>
      </c>
      <c r="AR6" s="44">
        <f t="shared" si="24"/>
        <v>150</v>
      </c>
    </row>
    <row r="7" spans="1:44" x14ac:dyDescent="0.2">
      <c r="A7" s="158" t="s">
        <v>524</v>
      </c>
    </row>
    <row r="11" spans="1:44" x14ac:dyDescent="0.2">
      <c r="K11" s="2"/>
    </row>
    <row r="14" spans="1:44" x14ac:dyDescent="0.2">
      <c r="L14" s="30"/>
    </row>
    <row r="15" spans="1:44" x14ac:dyDescent="0.2">
      <c r="L15" s="30"/>
    </row>
    <row r="40" spans="1:9" x14ac:dyDescent="0.2">
      <c r="D40" s="26"/>
      <c r="E40" s="26"/>
      <c r="F40" s="26"/>
      <c r="G40" s="26"/>
      <c r="H40" s="26"/>
      <c r="I40" s="26"/>
    </row>
    <row r="41" spans="1:9" x14ac:dyDescent="0.2">
      <c r="D41" s="26"/>
      <c r="E41" s="26"/>
      <c r="F41" s="26"/>
      <c r="G41" s="26"/>
      <c r="H41" s="26"/>
      <c r="I41" s="26"/>
    </row>
    <row r="42" spans="1:9" x14ac:dyDescent="0.2">
      <c r="D42" s="26"/>
      <c r="E42" s="26"/>
      <c r="F42" s="26"/>
      <c r="G42" s="26"/>
      <c r="H42" s="26"/>
      <c r="I42" s="26"/>
    </row>
    <row r="43" spans="1:9" x14ac:dyDescent="0.2">
      <c r="I43" s="26"/>
    </row>
    <row r="46" spans="1:9" x14ac:dyDescent="0.2">
      <c r="A46" s="1"/>
    </row>
    <row r="47" spans="1:9" x14ac:dyDescent="0.2">
      <c r="D47" s="6"/>
      <c r="E47" s="6"/>
      <c r="F47" s="6"/>
      <c r="G47" s="6"/>
      <c r="H47" s="6"/>
      <c r="I47" s="6"/>
    </row>
    <row r="48" spans="1:9" x14ac:dyDescent="0.2">
      <c r="D48" s="6"/>
      <c r="E48" s="6"/>
      <c r="F48" s="6"/>
      <c r="G48" s="6"/>
      <c r="H48" s="6"/>
      <c r="I48" s="6"/>
    </row>
    <row r="49" spans="2:9" x14ac:dyDescent="0.2">
      <c r="D49" s="6"/>
      <c r="E49" s="6"/>
      <c r="F49" s="6"/>
      <c r="G49" s="6"/>
      <c r="H49" s="6"/>
      <c r="I49" s="6"/>
    </row>
    <row r="59" spans="2:9" x14ac:dyDescent="0.2">
      <c r="B59" s="5"/>
    </row>
  </sheetData>
  <hyperlinks>
    <hyperlink ref="A7" r:id="rId1" xr:uid="{6E9806D2-9340-4001-BC62-3F5ACCFE57BD}"/>
  </hyperlinks>
  <pageMargins left="0.7" right="0.7" top="0.75" bottom="0.75" header="0.3" footer="0.3"/>
  <pageSetup paperSize="9" orientation="portrait" r:id="rId2"/>
  <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B284EF-2F60-4F94-B5D4-569AAF4CF4F0}">
  <sheetPr>
    <tabColor theme="7"/>
  </sheetPr>
  <dimension ref="A1:Y43"/>
  <sheetViews>
    <sheetView zoomScale="85" zoomScaleNormal="85" workbookViewId="0">
      <selection activeCell="A7" sqref="A7"/>
    </sheetView>
  </sheetViews>
  <sheetFormatPr baseColWidth="10" defaultColWidth="8.83203125" defaultRowHeight="15" x14ac:dyDescent="0.2"/>
  <cols>
    <col min="1" max="1" width="71.6640625" bestFit="1" customWidth="1"/>
    <col min="3" max="8" width="9.5" bestFit="1" customWidth="1"/>
    <col min="22" max="22" width="51" customWidth="1"/>
  </cols>
  <sheetData>
    <row r="1" spans="1:25" x14ac:dyDescent="0.2">
      <c r="A1" s="1" t="s">
        <v>525</v>
      </c>
      <c r="B1" s="1">
        <v>2015</v>
      </c>
      <c r="C1" s="54">
        <v>2016</v>
      </c>
      <c r="D1" s="54">
        <v>2017</v>
      </c>
      <c r="E1" s="54">
        <v>2018</v>
      </c>
      <c r="F1" s="54">
        <v>2019</v>
      </c>
      <c r="G1" s="54">
        <v>2020</v>
      </c>
      <c r="H1" s="54">
        <v>2021</v>
      </c>
      <c r="I1" s="1">
        <v>2025</v>
      </c>
      <c r="J1" s="1">
        <v>2030</v>
      </c>
      <c r="K1" s="1">
        <v>2035</v>
      </c>
      <c r="L1" s="1">
        <v>2040</v>
      </c>
      <c r="M1" s="1">
        <v>2045</v>
      </c>
      <c r="N1" s="1">
        <v>2050</v>
      </c>
      <c r="O1" t="s">
        <v>46</v>
      </c>
      <c r="P1" t="s">
        <v>526</v>
      </c>
      <c r="W1" t="s">
        <v>527</v>
      </c>
      <c r="X1" t="s">
        <v>528</v>
      </c>
      <c r="Y1" t="s">
        <v>529</v>
      </c>
    </row>
    <row r="2" spans="1:25" x14ac:dyDescent="0.2">
      <c r="A2" t="s">
        <v>530</v>
      </c>
      <c r="B2" s="99">
        <f>ROUND(Y2,0)</f>
        <v>83</v>
      </c>
      <c r="D2">
        <f>ROUND(Y3,0)</f>
        <v>97</v>
      </c>
      <c r="I2" s="99">
        <f>ROUND(Y6,0)</f>
        <v>139</v>
      </c>
      <c r="J2" s="99">
        <f>ROUND(Y10,0)</f>
        <v>149</v>
      </c>
      <c r="K2" s="99">
        <f>ROUND(Y14,0)</f>
        <v>159</v>
      </c>
      <c r="L2" s="99">
        <f>ROUND(Y18,0)</f>
        <v>168</v>
      </c>
      <c r="M2" s="99">
        <f>ROUND(Y22,0)</f>
        <v>175</v>
      </c>
      <c r="N2" s="99">
        <f>ROUND(Y26,0)</f>
        <v>182</v>
      </c>
      <c r="P2" t="s">
        <v>531</v>
      </c>
      <c r="W2" t="s">
        <v>532</v>
      </c>
      <c r="X2" s="26">
        <v>2014.73076923076</v>
      </c>
      <c r="Y2">
        <v>83</v>
      </c>
    </row>
    <row r="3" spans="1:25" x14ac:dyDescent="0.2">
      <c r="A3" t="s">
        <v>533</v>
      </c>
      <c r="B3" s="99">
        <f>B2</f>
        <v>83</v>
      </c>
      <c r="C3" s="99">
        <f>AVERAGE(B2,D2)</f>
        <v>90</v>
      </c>
      <c r="D3" s="99">
        <f t="shared" ref="D3:N3" si="0">D2</f>
        <v>97</v>
      </c>
      <c r="E3" s="99">
        <f>$D$3+($I$3-$D$3)/($I$1-$D$1)*(E1-$D$1)</f>
        <v>102.25</v>
      </c>
      <c r="F3" s="99">
        <f t="shared" ref="F3:G3" si="1">$D$3+($I$3-$D$3)/($I$1-$D$1)*(F1-$D$1)</f>
        <v>107.5</v>
      </c>
      <c r="G3" s="480">
        <f t="shared" si="1"/>
        <v>112.75</v>
      </c>
      <c r="H3" s="99">
        <f>$D$3+($I$3-$D$3)/($I$1-$D$1)*(H1-$D$1)</f>
        <v>118</v>
      </c>
      <c r="I3" s="99">
        <f t="shared" si="0"/>
        <v>139</v>
      </c>
      <c r="J3" s="99">
        <f t="shared" si="0"/>
        <v>149</v>
      </c>
      <c r="K3" s="99">
        <f t="shared" si="0"/>
        <v>159</v>
      </c>
      <c r="L3" s="99">
        <f t="shared" si="0"/>
        <v>168</v>
      </c>
      <c r="M3" s="99">
        <f t="shared" si="0"/>
        <v>175</v>
      </c>
      <c r="N3" s="99">
        <f t="shared" si="0"/>
        <v>182</v>
      </c>
      <c r="W3" t="s">
        <v>532</v>
      </c>
      <c r="X3" s="26">
        <v>2017</v>
      </c>
      <c r="Y3">
        <v>97</v>
      </c>
    </row>
    <row r="4" spans="1:25" x14ac:dyDescent="0.2">
      <c r="A4" t="s">
        <v>534</v>
      </c>
      <c r="B4" s="99">
        <f t="shared" ref="B4:N4" si="2">B3-B26</f>
        <v>73.857142857142861</v>
      </c>
      <c r="C4" s="99">
        <f t="shared" si="2"/>
        <v>77.5</v>
      </c>
      <c r="D4" s="99">
        <f t="shared" si="2"/>
        <v>81</v>
      </c>
      <c r="E4" s="99">
        <f t="shared" si="2"/>
        <v>85.019230769230774</v>
      </c>
      <c r="F4" s="99">
        <f t="shared" si="2"/>
        <v>89.038461538461547</v>
      </c>
      <c r="G4" s="480">
        <f t="shared" si="2"/>
        <v>93.057692307692307</v>
      </c>
      <c r="H4" s="99">
        <f t="shared" si="2"/>
        <v>97.07692307692308</v>
      </c>
      <c r="I4" s="99">
        <f t="shared" si="2"/>
        <v>113.15384615384616</v>
      </c>
      <c r="J4" s="99">
        <f t="shared" si="2"/>
        <v>117</v>
      </c>
      <c r="K4" s="99">
        <f t="shared" si="2"/>
        <v>125.28571428571428</v>
      </c>
      <c r="L4" s="99">
        <f t="shared" si="2"/>
        <v>132.57142857142856</v>
      </c>
      <c r="M4" s="99">
        <f t="shared" si="2"/>
        <v>137.85714285714286</v>
      </c>
      <c r="N4" s="99">
        <f t="shared" si="2"/>
        <v>143.14285714285714</v>
      </c>
      <c r="W4" t="s">
        <v>535</v>
      </c>
      <c r="X4" s="26">
        <v>2024.8717948717899</v>
      </c>
      <c r="Y4">
        <v>133.02420929324401</v>
      </c>
    </row>
    <row r="5" spans="1:25" x14ac:dyDescent="0.2">
      <c r="A5" t="s">
        <v>536</v>
      </c>
      <c r="B5" s="99"/>
      <c r="C5" s="481">
        <f>C10</f>
        <v>85.349372504330432</v>
      </c>
      <c r="D5" s="481">
        <f t="shared" ref="D5:H5" si="3">D10</f>
        <v>89.170166986911156</v>
      </c>
      <c r="E5" s="481">
        <f t="shared" si="3"/>
        <v>91.694884520601377</v>
      </c>
      <c r="F5" s="481">
        <f t="shared" si="3"/>
        <v>98.300010854092974</v>
      </c>
      <c r="G5" s="482">
        <f t="shared" si="3"/>
        <v>102.16223893794903</v>
      </c>
      <c r="H5" s="481">
        <f t="shared" si="3"/>
        <v>110.2134580727167</v>
      </c>
      <c r="I5" s="99"/>
      <c r="J5" s="99"/>
      <c r="K5" s="99"/>
      <c r="L5" s="99"/>
      <c r="M5" s="99"/>
      <c r="N5" s="99"/>
      <c r="P5" t="s">
        <v>537</v>
      </c>
      <c r="W5" t="s">
        <v>538</v>
      </c>
      <c r="X5" s="26">
        <v>2024.8717948717899</v>
      </c>
      <c r="Y5">
        <v>139.369386958219</v>
      </c>
    </row>
    <row r="6" spans="1:25" x14ac:dyDescent="0.2">
      <c r="A6" t="s">
        <v>539</v>
      </c>
      <c r="B6" s="99"/>
      <c r="C6" s="481">
        <f t="shared" ref="C6:H6" si="4">C5-C20</f>
        <v>65.806977994972783</v>
      </c>
      <c r="D6" s="481">
        <f t="shared" si="4"/>
        <v>68.474672477550314</v>
      </c>
      <c r="E6" s="481">
        <f t="shared" si="4"/>
        <v>70.826490011303733</v>
      </c>
      <c r="F6" s="481">
        <f t="shared" si="4"/>
        <v>73.728578844735338</v>
      </c>
      <c r="G6" s="482">
        <f t="shared" si="4"/>
        <v>70.960266702016895</v>
      </c>
      <c r="H6" s="481">
        <f t="shared" si="4"/>
        <v>75.147463563359068</v>
      </c>
      <c r="I6" s="99"/>
      <c r="J6" s="99"/>
      <c r="K6" s="99"/>
      <c r="L6" s="99"/>
      <c r="M6" s="99"/>
      <c r="N6" s="99"/>
      <c r="W6" t="s">
        <v>540</v>
      </c>
      <c r="X6" s="26">
        <v>2024.8717948717899</v>
      </c>
      <c r="Y6">
        <v>138.743455497382</v>
      </c>
    </row>
    <row r="7" spans="1:25" x14ac:dyDescent="0.2">
      <c r="A7" s="1" t="s">
        <v>541</v>
      </c>
      <c r="B7" s="99"/>
      <c r="C7" s="481">
        <f t="shared" ref="C7:F7" si="5">C5</f>
        <v>85.349372504330432</v>
      </c>
      <c r="D7" s="481">
        <f t="shared" si="5"/>
        <v>89.170166986911156</v>
      </c>
      <c r="E7" s="481">
        <f t="shared" si="5"/>
        <v>91.694884520601377</v>
      </c>
      <c r="F7" s="481">
        <f t="shared" si="5"/>
        <v>98.300010854092974</v>
      </c>
      <c r="G7" s="481">
        <f>G5</f>
        <v>102.16223893794903</v>
      </c>
      <c r="H7" s="483">
        <f>$G$7+($J$7-$G$7)/($J$1-$G$1)*(H1-$G$1)</f>
        <v>106.84601504415413</v>
      </c>
      <c r="I7" s="483">
        <f>$G$7+($J$7-$G$7)/($J$1-$G$1)*(I1-$G$1)</f>
        <v>125.58111946897452</v>
      </c>
      <c r="J7" s="99">
        <f>J3</f>
        <v>149</v>
      </c>
      <c r="K7" s="99">
        <f t="shared" ref="K7:N7" si="6">K3</f>
        <v>159</v>
      </c>
      <c r="L7" s="99">
        <f t="shared" si="6"/>
        <v>168</v>
      </c>
      <c r="M7" s="99">
        <f t="shared" si="6"/>
        <v>175</v>
      </c>
      <c r="N7" s="99">
        <f t="shared" si="6"/>
        <v>182</v>
      </c>
      <c r="P7" t="s">
        <v>542</v>
      </c>
      <c r="W7" t="s">
        <v>543</v>
      </c>
      <c r="X7" s="26">
        <v>2024.8717948717899</v>
      </c>
      <c r="Y7">
        <v>145.08004685669599</v>
      </c>
    </row>
    <row r="8" spans="1:25" x14ac:dyDescent="0.2">
      <c r="A8" s="1" t="s">
        <v>544</v>
      </c>
      <c r="B8" s="99"/>
      <c r="C8" s="481">
        <f>C20</f>
        <v>19.542394509357642</v>
      </c>
      <c r="D8" s="481">
        <f t="shared" ref="D8:F8" si="7">D20</f>
        <v>20.695494509360842</v>
      </c>
      <c r="E8" s="481">
        <f t="shared" si="7"/>
        <v>20.868394509297641</v>
      </c>
      <c r="F8" s="481">
        <f t="shared" si="7"/>
        <v>24.57143200935764</v>
      </c>
      <c r="G8" s="481">
        <f>G20</f>
        <v>31.201972235932139</v>
      </c>
      <c r="H8" s="483">
        <f>$G$8+($N$8-$G$8)/($N$1-$G$1)*(H1-$G$1)</f>
        <v>31.457144589972497</v>
      </c>
      <c r="I8" s="483">
        <f>$G$8+($N$8-$G$8)/($N$1-$G$1)*(I1-$G$1)</f>
        <v>32.477834006133925</v>
      </c>
      <c r="J8" s="483">
        <f t="shared" ref="J8:M8" si="8">$H$8+($N$8-$H$8)/($N$1-$H$1)*(J1-$H$1)</f>
        <v>33.753695776335711</v>
      </c>
      <c r="K8" s="483">
        <f t="shared" si="8"/>
        <v>35.029557546537497</v>
      </c>
      <c r="L8" s="483">
        <f>$H$8+($N$8-$H$8)/($N$1-$H$1)*(L1-$H$1)</f>
        <v>36.305419316739282</v>
      </c>
      <c r="M8" s="483">
        <f t="shared" si="8"/>
        <v>37.581281086941068</v>
      </c>
      <c r="N8" s="99">
        <f>N26</f>
        <v>38.857142857142854</v>
      </c>
      <c r="P8" t="s">
        <v>545</v>
      </c>
      <c r="W8" t="s">
        <v>535</v>
      </c>
      <c r="X8" s="26">
        <v>2029.9871794871699</v>
      </c>
      <c r="Y8">
        <v>141.814720812182</v>
      </c>
    </row>
    <row r="9" spans="1:25" ht="16" thickBot="1" x14ac:dyDescent="0.25">
      <c r="A9" s="1" t="s">
        <v>546</v>
      </c>
      <c r="B9" s="99"/>
      <c r="C9" s="481">
        <f>C7-C8</f>
        <v>65.806977994972783</v>
      </c>
      <c r="D9" s="481">
        <f t="shared" ref="D9:N9" si="9">D7-D8</f>
        <v>68.474672477550314</v>
      </c>
      <c r="E9" s="481">
        <f t="shared" si="9"/>
        <v>70.826490011303733</v>
      </c>
      <c r="F9" s="481">
        <f t="shared" si="9"/>
        <v>73.728578844735338</v>
      </c>
      <c r="G9" s="481">
        <f t="shared" si="9"/>
        <v>70.960266702016895</v>
      </c>
      <c r="H9" s="481">
        <f t="shared" si="9"/>
        <v>75.388870454181628</v>
      </c>
      <c r="I9" s="481">
        <f t="shared" si="9"/>
        <v>93.103285462840603</v>
      </c>
      <c r="J9" s="481">
        <f t="shared" si="9"/>
        <v>115.24630422366428</v>
      </c>
      <c r="K9" s="481">
        <f t="shared" si="9"/>
        <v>123.97044245346251</v>
      </c>
      <c r="L9" s="481">
        <f t="shared" si="9"/>
        <v>131.69458068326071</v>
      </c>
      <c r="M9" s="481">
        <f t="shared" si="9"/>
        <v>137.41871891305894</v>
      </c>
      <c r="N9" s="481">
        <f t="shared" si="9"/>
        <v>143.14285714285714</v>
      </c>
      <c r="W9" t="s">
        <v>538</v>
      </c>
      <c r="X9" s="26">
        <v>2029.8974358974299</v>
      </c>
      <c r="Y9">
        <v>156.41025641025601</v>
      </c>
    </row>
    <row r="10" spans="1:25" s="488" customFormat="1" ht="16" thickBot="1" x14ac:dyDescent="0.25">
      <c r="A10" s="185" t="s">
        <v>547</v>
      </c>
      <c r="B10" s="484">
        <f>ROUND(Y2,0)</f>
        <v>83</v>
      </c>
      <c r="C10" s="485">
        <v>85.349372504330432</v>
      </c>
      <c r="D10" s="485">
        <v>89.170166986911156</v>
      </c>
      <c r="E10" s="485">
        <v>91.694884520601377</v>
      </c>
      <c r="F10" s="485">
        <v>98.300010854092974</v>
      </c>
      <c r="G10" s="486">
        <v>102.16223893794903</v>
      </c>
      <c r="H10" s="485">
        <v>110.2134580727167</v>
      </c>
      <c r="I10" s="484">
        <f>ROUND(Y6,0)</f>
        <v>139</v>
      </c>
      <c r="J10" s="484">
        <f>ROUND(Y10,0)</f>
        <v>149</v>
      </c>
      <c r="K10" s="484">
        <f>ROUND(Y14,0)</f>
        <v>159</v>
      </c>
      <c r="L10" s="484">
        <f>ROUND(Y18,0)</f>
        <v>168</v>
      </c>
      <c r="M10" s="484">
        <f>ROUND(Y22,0)</f>
        <v>175</v>
      </c>
      <c r="N10" s="484">
        <f>ROUND(Y26,0)</f>
        <v>182</v>
      </c>
      <c r="O10" s="487">
        <f>(N10/F10)^(1/30)-1</f>
        <v>2.0744998778869261E-2</v>
      </c>
      <c r="P10" s="488" t="s">
        <v>548</v>
      </c>
      <c r="R10" s="489" t="s">
        <v>524</v>
      </c>
      <c r="W10" s="488" t="s">
        <v>540</v>
      </c>
      <c r="X10" s="490">
        <v>2029.8974358974299</v>
      </c>
      <c r="Y10" s="488">
        <v>149</v>
      </c>
    </row>
    <row r="11" spans="1:25" x14ac:dyDescent="0.2">
      <c r="A11" t="s">
        <v>46</v>
      </c>
      <c r="C11" s="121">
        <f>(C10/B10)^(1/1)-1</f>
        <v>2.8305692823258122E-2</v>
      </c>
      <c r="D11" s="121">
        <f t="shared" ref="D11:H11" si="10">(D10/C10)^(1/1)-1</f>
        <v>4.4766521070636722E-2</v>
      </c>
      <c r="E11" s="121">
        <f t="shared" si="10"/>
        <v>2.831347769104009E-2</v>
      </c>
      <c r="F11" s="121">
        <f t="shared" si="10"/>
        <v>7.2033749407335756E-2</v>
      </c>
      <c r="G11" s="121">
        <f t="shared" si="10"/>
        <v>3.9290210146454285E-2</v>
      </c>
      <c r="H11" s="121">
        <f t="shared" si="10"/>
        <v>7.8808170400981536E-2</v>
      </c>
      <c r="I11" s="121">
        <f>(I10/H10)^(1/4)-1</f>
        <v>5.9729545643170345E-2</v>
      </c>
      <c r="J11" s="121">
        <f>(J10/I10)^(1/5)-1</f>
        <v>1.3991451401512478E-2</v>
      </c>
      <c r="K11" s="121">
        <f>(K10/J10)^(1/5)-1</f>
        <v>1.307633646634998E-2</v>
      </c>
      <c r="L11" s="121">
        <f>(L10/K10)^(1/5)-1</f>
        <v>1.1072810189348026E-2</v>
      </c>
      <c r="M11" s="121">
        <f>(M10/L10)^(1/5)-1</f>
        <v>8.197818497166498E-3</v>
      </c>
      <c r="N11" s="121">
        <f>(N10/M10)^(1/5)-1</f>
        <v>7.8749885178921453E-3</v>
      </c>
      <c r="W11" t="s">
        <v>543</v>
      </c>
      <c r="X11" s="26">
        <v>2029.8974358974299</v>
      </c>
      <c r="Y11">
        <v>164.65898737472301</v>
      </c>
    </row>
    <row r="12" spans="1:25" x14ac:dyDescent="0.2">
      <c r="C12" s="54"/>
      <c r="W12" t="s">
        <v>535</v>
      </c>
      <c r="X12" s="26">
        <v>2034.9230769230701</v>
      </c>
      <c r="Y12">
        <v>149.33945073538899</v>
      </c>
    </row>
    <row r="13" spans="1:25" x14ac:dyDescent="0.2">
      <c r="A13" t="s">
        <v>549</v>
      </c>
      <c r="C13" s="491">
        <f t="shared" ref="C13:H13" si="11">C4-C6</f>
        <v>11.693022005027217</v>
      </c>
      <c r="D13" s="491">
        <f t="shared" si="11"/>
        <v>12.525327522449686</v>
      </c>
      <c r="E13" s="491">
        <f t="shared" si="11"/>
        <v>14.192740757927041</v>
      </c>
      <c r="F13" s="491">
        <f t="shared" si="11"/>
        <v>15.309882693726209</v>
      </c>
      <c r="G13" s="491">
        <f t="shared" si="11"/>
        <v>22.097425605675411</v>
      </c>
      <c r="H13" s="491">
        <f t="shared" si="11"/>
        <v>21.929459513564012</v>
      </c>
      <c r="W13" t="s">
        <v>538</v>
      </c>
      <c r="X13" s="26">
        <v>2034.8333333333301</v>
      </c>
      <c r="Y13">
        <v>172.81823506442799</v>
      </c>
    </row>
    <row r="14" spans="1:25" x14ac:dyDescent="0.2">
      <c r="A14" t="s">
        <v>550</v>
      </c>
      <c r="C14" s="491">
        <f t="shared" ref="C14:H14" si="12">C3-C5</f>
        <v>4.6506274956695677</v>
      </c>
      <c r="D14" s="491">
        <f t="shared" si="12"/>
        <v>7.8298330130888445</v>
      </c>
      <c r="E14" s="491">
        <f t="shared" si="12"/>
        <v>10.555115479398623</v>
      </c>
      <c r="F14" s="491">
        <f t="shared" si="12"/>
        <v>9.1999891459070255</v>
      </c>
      <c r="G14" s="491">
        <f t="shared" si="12"/>
        <v>10.587761062050973</v>
      </c>
      <c r="H14" s="491">
        <f t="shared" si="12"/>
        <v>7.7865419272832952</v>
      </c>
      <c r="W14" t="s">
        <v>540</v>
      </c>
      <c r="X14" s="26">
        <v>2034.8333333333301</v>
      </c>
      <c r="Y14">
        <v>159.03141361256499</v>
      </c>
    </row>
    <row r="15" spans="1:25" x14ac:dyDescent="0.2">
      <c r="W15" t="s">
        <v>543</v>
      </c>
      <c r="X15" s="26">
        <v>2034.8333333333301</v>
      </c>
      <c r="Y15">
        <v>183.60503709488401</v>
      </c>
    </row>
    <row r="16" spans="1:25" x14ac:dyDescent="0.2">
      <c r="W16" t="s">
        <v>535</v>
      </c>
      <c r="X16" s="26">
        <v>2039.9487179487101</v>
      </c>
      <c r="Y16">
        <v>155.59351815696999</v>
      </c>
    </row>
    <row r="17" spans="1:25" x14ac:dyDescent="0.2">
      <c r="A17" s="492" t="s">
        <v>551</v>
      </c>
      <c r="W17" t="s">
        <v>538</v>
      </c>
      <c r="X17" s="26">
        <v>2039.9487179487101</v>
      </c>
      <c r="Y17">
        <v>186.05037094884801</v>
      </c>
    </row>
    <row r="18" spans="1:25" x14ac:dyDescent="0.2">
      <c r="A18" t="s">
        <v>528</v>
      </c>
      <c r="B18">
        <v>2015</v>
      </c>
      <c r="D18" t="s">
        <v>552</v>
      </c>
      <c r="J18">
        <v>2030</v>
      </c>
      <c r="N18">
        <v>2050</v>
      </c>
      <c r="P18" t="s">
        <v>553</v>
      </c>
      <c r="W18" t="s">
        <v>540</v>
      </c>
      <c r="X18" s="26">
        <v>2039.9487179487101</v>
      </c>
      <c r="Y18">
        <v>168.193717277486</v>
      </c>
    </row>
    <row r="19" spans="1:25" x14ac:dyDescent="0.2">
      <c r="A19" t="s">
        <v>554</v>
      </c>
      <c r="B19">
        <v>4</v>
      </c>
      <c r="D19">
        <v>7</v>
      </c>
      <c r="J19">
        <v>14</v>
      </c>
      <c r="N19">
        <v>17</v>
      </c>
      <c r="W19" t="s">
        <v>543</v>
      </c>
      <c r="X19" s="26">
        <v>2039.9487179487101</v>
      </c>
      <c r="Y19">
        <v>199.37524404529401</v>
      </c>
    </row>
    <row r="20" spans="1:25" x14ac:dyDescent="0.2">
      <c r="A20" t="s">
        <v>555</v>
      </c>
      <c r="C20" s="26">
        <v>19.542394509357642</v>
      </c>
      <c r="D20" s="26">
        <v>20.695494509360842</v>
      </c>
      <c r="E20" s="26">
        <v>20.868394509297641</v>
      </c>
      <c r="F20" s="26">
        <v>24.57143200935764</v>
      </c>
      <c r="G20" s="493">
        <v>31.201972235932139</v>
      </c>
      <c r="H20" s="493">
        <v>35.065994509357637</v>
      </c>
      <c r="W20" t="s">
        <v>535</v>
      </c>
      <c r="X20" s="26">
        <v>2044.97435897435</v>
      </c>
      <c r="Y20">
        <v>160.578550045555</v>
      </c>
    </row>
    <row r="21" spans="1:25" x14ac:dyDescent="0.2">
      <c r="W21" t="s">
        <v>538</v>
      </c>
      <c r="X21" s="26">
        <v>2044.88461538461</v>
      </c>
      <c r="Y21">
        <v>197.38220747104</v>
      </c>
    </row>
    <row r="22" spans="1:25" x14ac:dyDescent="0.2">
      <c r="A22" t="s">
        <v>556</v>
      </c>
      <c r="B22" s="43">
        <f>32/28*2</f>
        <v>2.2857142857142856</v>
      </c>
      <c r="C22" t="s">
        <v>557</v>
      </c>
      <c r="W22" t="s">
        <v>540</v>
      </c>
      <c r="X22" s="26">
        <v>2044.88461538461</v>
      </c>
      <c r="Y22">
        <v>174.73821989528699</v>
      </c>
    </row>
    <row r="23" spans="1:25" x14ac:dyDescent="0.2">
      <c r="D23" s="494" t="s">
        <v>558</v>
      </c>
      <c r="W23" t="s">
        <v>543</v>
      </c>
      <c r="X23" s="26">
        <v>2044.79487179487</v>
      </c>
      <c r="Y23">
        <v>213.881296368606</v>
      </c>
    </row>
    <row r="24" spans="1:25" x14ac:dyDescent="0.2">
      <c r="W24" t="s">
        <v>535</v>
      </c>
      <c r="X24" s="26">
        <v>2050</v>
      </c>
      <c r="Y24">
        <v>164.929064167642</v>
      </c>
    </row>
    <row r="25" spans="1:25" x14ac:dyDescent="0.2">
      <c r="A25" t="s">
        <v>559</v>
      </c>
      <c r="B25" s="26">
        <f>B19*$B$22</f>
        <v>9.1428571428571423</v>
      </c>
      <c r="D25">
        <f>D19*$B$22</f>
        <v>16</v>
      </c>
      <c r="J25">
        <f>J19*$B$22</f>
        <v>32</v>
      </c>
      <c r="N25" s="44">
        <f>N19*$B$22</f>
        <v>38.857142857142854</v>
      </c>
      <c r="W25" t="s">
        <v>538</v>
      </c>
      <c r="X25" s="26">
        <v>2049.91025641025</v>
      </c>
      <c r="Y25">
        <v>207.44338149160399</v>
      </c>
    </row>
    <row r="26" spans="1:25" x14ac:dyDescent="0.2">
      <c r="A26" t="s">
        <v>560</v>
      </c>
      <c r="B26" s="44">
        <v>9.1428571428571423</v>
      </c>
      <c r="C26" s="44">
        <v>12.5</v>
      </c>
      <c r="D26" s="44">
        <v>16</v>
      </c>
      <c r="E26" s="44">
        <f>$D$26+($J$26-$D$26)/($J$1-$D$1)*(E1-$D$1)</f>
        <v>17.23076923076923</v>
      </c>
      <c r="F26" s="44">
        <f>$D$26+($J$26-$D$26)/($J$1-$D$1)*(F1-$D$1)</f>
        <v>18.46153846153846</v>
      </c>
      <c r="G26" s="495">
        <f>$D$26+($J$26-$D$26)/($J$1-$D$1)*(G1-$D$1)</f>
        <v>19.692307692307693</v>
      </c>
      <c r="H26" s="495">
        <f>$D$26+($J$26-$D$26)/($J$1-$D$1)*(H1-$D$1)</f>
        <v>20.923076923076923</v>
      </c>
      <c r="I26" s="44">
        <f>$D$26+($J$26-$D$26)/($J$1-$D$1)*(I1-$D$1)</f>
        <v>25.846153846153847</v>
      </c>
      <c r="J26" s="44">
        <v>32</v>
      </c>
      <c r="K26" s="44">
        <f>$J$26+($N$26-$J$26)/($N$1-$J$1)*(K1-$J$1)</f>
        <v>33.714285714285715</v>
      </c>
      <c r="L26" s="44">
        <f>$J$26+($N$26-$J$26)/($N$1-$J$1)*(L1-$J$1)</f>
        <v>35.428571428571431</v>
      </c>
      <c r="M26" s="44">
        <f>$J$26+($N$26-$J$26)/($N$1-$J$1)*(M1-$J$1)</f>
        <v>37.142857142857139</v>
      </c>
      <c r="N26" s="44">
        <v>38.857142857142854</v>
      </c>
      <c r="W26" t="s">
        <v>540</v>
      </c>
      <c r="X26" s="26">
        <v>2049.91025641025</v>
      </c>
      <c r="Y26">
        <v>182</v>
      </c>
    </row>
    <row r="27" spans="1:25" x14ac:dyDescent="0.2">
      <c r="W27" t="s">
        <v>543</v>
      </c>
      <c r="X27" s="26">
        <v>2049.91025641025</v>
      </c>
      <c r="Y27">
        <v>227.11343225302599</v>
      </c>
    </row>
    <row r="29" spans="1:25" x14ac:dyDescent="0.2">
      <c r="A29" t="s">
        <v>561</v>
      </c>
      <c r="C29">
        <v>28.15392954245571</v>
      </c>
      <c r="D29">
        <v>28.809391392212255</v>
      </c>
      <c r="E29">
        <v>29.10675657666393</v>
      </c>
      <c r="F29">
        <v>30.933930623907173</v>
      </c>
      <c r="G29">
        <v>29.547626031397471</v>
      </c>
      <c r="H29">
        <v>31.231182733455956</v>
      </c>
      <c r="I29" s="496"/>
      <c r="J29" s="496"/>
      <c r="K29" s="496"/>
      <c r="L29" s="496"/>
      <c r="M29" s="496"/>
      <c r="N29" s="496"/>
    </row>
    <row r="30" spans="1:25" x14ac:dyDescent="0.2">
      <c r="B30" s="496"/>
      <c r="C30" s="496"/>
      <c r="D30" s="23"/>
      <c r="E30" s="23"/>
      <c r="F30" s="23"/>
      <c r="G30" s="23"/>
      <c r="H30" s="23"/>
      <c r="I30" s="23"/>
      <c r="J30" s="23"/>
      <c r="K30" s="23"/>
      <c r="L30" s="23"/>
      <c r="M30" s="23"/>
      <c r="N30" s="23"/>
    </row>
    <row r="31" spans="1:25" x14ac:dyDescent="0.2">
      <c r="A31" s="497"/>
      <c r="B31" s="497"/>
      <c r="C31" s="497"/>
      <c r="D31" s="497"/>
      <c r="E31" s="497"/>
      <c r="F31" s="497"/>
    </row>
    <row r="33" spans="2:14" ht="13.5" customHeight="1" x14ac:dyDescent="0.2">
      <c r="C33" s="44"/>
      <c r="D33" s="44"/>
      <c r="E33" s="44"/>
      <c r="F33" s="44"/>
      <c r="G33" s="44"/>
      <c r="H33" s="44"/>
    </row>
    <row r="34" spans="2:14" x14ac:dyDescent="0.2">
      <c r="D34" s="2"/>
      <c r="E34" s="2"/>
      <c r="F34" s="2"/>
      <c r="G34" s="2"/>
      <c r="H34" s="2"/>
    </row>
    <row r="35" spans="2:14" x14ac:dyDescent="0.2">
      <c r="B35" s="23"/>
    </row>
    <row r="39" spans="2:14" x14ac:dyDescent="0.2">
      <c r="B39" s="374"/>
    </row>
    <row r="43" spans="2:14" x14ac:dyDescent="0.2">
      <c r="C43" s="44"/>
      <c r="D43" s="44"/>
      <c r="E43" s="44"/>
      <c r="F43" s="44"/>
      <c r="G43" s="26"/>
      <c r="H43" s="26"/>
      <c r="I43" s="26"/>
      <c r="J43" s="26"/>
      <c r="K43" s="26"/>
      <c r="L43" s="26"/>
      <c r="M43" s="26"/>
      <c r="N43" s="26"/>
    </row>
  </sheetData>
  <conditionalFormatting sqref="C22 D23">
    <cfRule type="containsBlanks" dxfId="0" priority="1">
      <formula>LEN(TRIM(C22))=0</formula>
    </cfRule>
  </conditionalFormatting>
  <hyperlinks>
    <hyperlink ref="R10" r:id="rId1" xr:uid="{BE754843-1989-4B13-8C05-1C415DBC5FCB}"/>
    <hyperlink ref="D23" r:id="rId2" xr:uid="{67559CAC-ABE7-4938-8F86-3AAE85828358}"/>
  </hyperlinks>
  <pageMargins left="0.7" right="0.7" top="0.75" bottom="0.75" header="0.3" footer="0.3"/>
  <pageSetup paperSize="9" orientation="portrait" r:id="rId3"/>
  <drawing r:id="rId4"/>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sheetPr>
  <dimension ref="A3:W63"/>
  <sheetViews>
    <sheetView topLeftCell="A22" workbookViewId="0">
      <selection activeCell="B51" sqref="B51"/>
    </sheetView>
  </sheetViews>
  <sheetFormatPr baseColWidth="10" defaultColWidth="8.83203125" defaultRowHeight="15" x14ac:dyDescent="0.2"/>
  <cols>
    <col min="1" max="1" width="23.5" bestFit="1" customWidth="1"/>
    <col min="2" max="2" width="25.83203125" bestFit="1" customWidth="1"/>
    <col min="3" max="3" width="44.1640625" bestFit="1" customWidth="1"/>
    <col min="4" max="4" width="24.1640625" customWidth="1"/>
    <col min="5" max="5" width="13.83203125" bestFit="1" customWidth="1"/>
    <col min="9" max="9" width="11.5" customWidth="1"/>
    <col min="10" max="10" width="20.83203125" customWidth="1"/>
    <col min="14" max="14" width="23.5" bestFit="1" customWidth="1"/>
    <col min="15" max="21" width="24.5" customWidth="1"/>
    <col min="22" max="22" width="22" customWidth="1"/>
    <col min="23" max="23" width="10.1640625" bestFit="1" customWidth="1"/>
  </cols>
  <sheetData>
    <row r="3" spans="1:23" x14ac:dyDescent="0.2">
      <c r="B3" s="1" t="s">
        <v>562</v>
      </c>
      <c r="C3" t="s">
        <v>563</v>
      </c>
      <c r="D3" s="1" t="s">
        <v>564</v>
      </c>
      <c r="O3" s="10" t="s">
        <v>4</v>
      </c>
      <c r="P3" s="10" t="s">
        <v>4</v>
      </c>
      <c r="Q3" s="9" t="s">
        <v>5</v>
      </c>
      <c r="R3" s="10" t="s">
        <v>4</v>
      </c>
      <c r="S3" s="10" t="s">
        <v>4</v>
      </c>
      <c r="T3" s="10" t="s">
        <v>4</v>
      </c>
      <c r="U3" s="10" t="s">
        <v>4</v>
      </c>
      <c r="V3" s="9" t="s">
        <v>5</v>
      </c>
      <c r="W3" s="9" t="s">
        <v>5</v>
      </c>
    </row>
    <row r="4" spans="1:23" x14ac:dyDescent="0.2">
      <c r="A4" t="s">
        <v>265</v>
      </c>
      <c r="B4" s="2">
        <v>0.67</v>
      </c>
      <c r="D4" t="s">
        <v>565</v>
      </c>
      <c r="O4" t="s">
        <v>566</v>
      </c>
      <c r="P4" t="s">
        <v>472</v>
      </c>
      <c r="Q4" t="s">
        <v>265</v>
      </c>
      <c r="R4" t="s">
        <v>567</v>
      </c>
      <c r="S4" t="s">
        <v>568</v>
      </c>
      <c r="T4" t="s">
        <v>569</v>
      </c>
      <c r="U4" t="s">
        <v>570</v>
      </c>
      <c r="V4" t="s">
        <v>571</v>
      </c>
      <c r="W4" t="s">
        <v>572</v>
      </c>
    </row>
    <row r="5" spans="1:23" x14ac:dyDescent="0.2">
      <c r="A5" t="s">
        <v>573</v>
      </c>
      <c r="B5" s="2">
        <v>0.05</v>
      </c>
      <c r="D5" t="s">
        <v>574</v>
      </c>
      <c r="N5" t="s">
        <v>309</v>
      </c>
      <c r="O5">
        <v>8</v>
      </c>
      <c r="P5">
        <v>6</v>
      </c>
      <c r="Q5">
        <v>7</v>
      </c>
      <c r="R5">
        <v>3.5</v>
      </c>
      <c r="S5">
        <v>2</v>
      </c>
      <c r="T5">
        <v>3</v>
      </c>
      <c r="U5">
        <v>6.5</v>
      </c>
      <c r="V5">
        <v>0.1</v>
      </c>
      <c r="W5" s="2">
        <f>V5/SUM($V$5:$V$11)</f>
        <v>2.9411764705882353E-2</v>
      </c>
    </row>
    <row r="6" spans="1:23" x14ac:dyDescent="0.2">
      <c r="A6" t="s">
        <v>575</v>
      </c>
      <c r="B6" s="2">
        <v>0.06</v>
      </c>
      <c r="N6" t="s">
        <v>310</v>
      </c>
      <c r="O6">
        <v>1.5</v>
      </c>
      <c r="P6">
        <v>3.5</v>
      </c>
      <c r="Q6">
        <v>2.5</v>
      </c>
      <c r="R6">
        <v>1</v>
      </c>
      <c r="S6">
        <v>3.5</v>
      </c>
      <c r="T6">
        <v>6.5</v>
      </c>
      <c r="U6">
        <v>0</v>
      </c>
      <c r="V6">
        <v>0.1</v>
      </c>
      <c r="W6" s="2">
        <f t="shared" ref="W6:W11" si="0">V6/SUM($V$5:$V$11)</f>
        <v>2.9411764705882353E-2</v>
      </c>
    </row>
    <row r="7" spans="1:23" x14ac:dyDescent="0.2">
      <c r="A7" t="s">
        <v>576</v>
      </c>
      <c r="B7" s="2">
        <v>0.04</v>
      </c>
      <c r="C7" t="s">
        <v>577</v>
      </c>
      <c r="N7" t="s">
        <v>370</v>
      </c>
      <c r="O7">
        <v>0.75</v>
      </c>
      <c r="P7">
        <v>1</v>
      </c>
      <c r="Q7">
        <v>3.5</v>
      </c>
      <c r="R7">
        <v>0.5</v>
      </c>
      <c r="S7">
        <v>0</v>
      </c>
      <c r="T7">
        <v>0.75</v>
      </c>
      <c r="U7">
        <v>0</v>
      </c>
      <c r="V7">
        <v>1</v>
      </c>
      <c r="W7" s="2">
        <f t="shared" si="0"/>
        <v>0.29411764705882348</v>
      </c>
    </row>
    <row r="8" spans="1:23" x14ac:dyDescent="0.2">
      <c r="A8" t="s">
        <v>578</v>
      </c>
      <c r="B8" s="2">
        <v>7.0000000000000007E-2</v>
      </c>
      <c r="C8" t="s">
        <v>579</v>
      </c>
      <c r="D8" s="3" t="s">
        <v>580</v>
      </c>
      <c r="E8" t="s">
        <v>581</v>
      </c>
      <c r="N8" t="s">
        <v>582</v>
      </c>
      <c r="O8">
        <v>1</v>
      </c>
      <c r="P8">
        <v>0.5</v>
      </c>
      <c r="Q8">
        <v>1.5</v>
      </c>
      <c r="R8">
        <v>0.5</v>
      </c>
      <c r="S8">
        <v>0</v>
      </c>
      <c r="T8">
        <v>0.25</v>
      </c>
      <c r="U8">
        <v>0</v>
      </c>
      <c r="V8">
        <v>1</v>
      </c>
      <c r="W8" s="2">
        <f t="shared" si="0"/>
        <v>0.29411764705882348</v>
      </c>
    </row>
    <row r="9" spans="1:23" x14ac:dyDescent="0.2">
      <c r="A9" t="s">
        <v>583</v>
      </c>
      <c r="B9" s="2">
        <v>0.03</v>
      </c>
      <c r="C9" t="s">
        <v>584</v>
      </c>
      <c r="N9" t="s">
        <v>585</v>
      </c>
      <c r="O9">
        <v>1.5</v>
      </c>
      <c r="P9">
        <v>0</v>
      </c>
      <c r="Q9">
        <v>1.75</v>
      </c>
      <c r="R9">
        <v>0</v>
      </c>
      <c r="S9">
        <v>0</v>
      </c>
      <c r="T9">
        <v>0.5</v>
      </c>
      <c r="U9">
        <v>0</v>
      </c>
      <c r="V9">
        <v>0</v>
      </c>
      <c r="W9" s="2">
        <f t="shared" si="0"/>
        <v>0</v>
      </c>
    </row>
    <row r="10" spans="1:23" x14ac:dyDescent="0.2">
      <c r="A10" t="s">
        <v>192</v>
      </c>
      <c r="B10" s="2">
        <v>0.08</v>
      </c>
      <c r="N10" t="s">
        <v>313</v>
      </c>
      <c r="O10">
        <v>0.25</v>
      </c>
      <c r="P10">
        <v>1</v>
      </c>
      <c r="Q10">
        <v>2</v>
      </c>
      <c r="R10">
        <v>1</v>
      </c>
      <c r="S10">
        <v>0</v>
      </c>
      <c r="T10">
        <v>1</v>
      </c>
      <c r="U10">
        <v>0</v>
      </c>
      <c r="V10">
        <v>0.2</v>
      </c>
      <c r="W10" s="2">
        <f t="shared" si="0"/>
        <v>5.8823529411764705E-2</v>
      </c>
    </row>
    <row r="11" spans="1:23" x14ac:dyDescent="0.2">
      <c r="N11" t="s">
        <v>248</v>
      </c>
      <c r="O11">
        <v>3.5</v>
      </c>
      <c r="P11">
        <v>2</v>
      </c>
      <c r="Q11">
        <v>3.5</v>
      </c>
      <c r="R11">
        <v>1.5</v>
      </c>
      <c r="S11">
        <v>0</v>
      </c>
      <c r="T11">
        <v>1.5</v>
      </c>
      <c r="U11">
        <v>0</v>
      </c>
      <c r="V11">
        <v>1</v>
      </c>
      <c r="W11" s="2">
        <f t="shared" si="0"/>
        <v>0.29411764705882348</v>
      </c>
    </row>
    <row r="13" spans="1:23" x14ac:dyDescent="0.2">
      <c r="N13" s="1" t="s">
        <v>586</v>
      </c>
      <c r="O13" t="s">
        <v>265</v>
      </c>
      <c r="P13" t="s">
        <v>573</v>
      </c>
      <c r="Q13" t="s">
        <v>575</v>
      </c>
      <c r="R13" t="s">
        <v>7</v>
      </c>
      <c r="S13" t="s">
        <v>578</v>
      </c>
      <c r="T13" t="s">
        <v>583</v>
      </c>
      <c r="U13" t="s">
        <v>192</v>
      </c>
    </row>
    <row r="14" spans="1:23" x14ac:dyDescent="0.2">
      <c r="N14" s="4" t="s">
        <v>309</v>
      </c>
      <c r="O14" s="2">
        <f>Q5/SUM($Q$5:$Q$11)</f>
        <v>0.32183908045977011</v>
      </c>
      <c r="P14" s="6">
        <v>0</v>
      </c>
      <c r="Q14" s="2">
        <f>$B$35*W5</f>
        <v>1.0294117647058823E-2</v>
      </c>
      <c r="R14" s="2">
        <v>0.5</v>
      </c>
      <c r="S14" s="2">
        <v>0</v>
      </c>
      <c r="T14" s="2">
        <v>0</v>
      </c>
      <c r="U14" s="2">
        <v>0</v>
      </c>
    </row>
    <row r="15" spans="1:23" x14ac:dyDescent="0.2">
      <c r="N15" s="4" t="s">
        <v>310</v>
      </c>
      <c r="O15" s="2">
        <f t="shared" ref="O15:O19" si="1">Q6/SUM($Q$5:$Q$11)</f>
        <v>0.11494252873563218</v>
      </c>
      <c r="P15" s="6">
        <v>0</v>
      </c>
      <c r="Q15" s="2">
        <f t="shared" ref="Q15:Q19" si="2">$B$35*W6</f>
        <v>1.0294117647058823E-2</v>
      </c>
      <c r="R15" s="2">
        <v>0</v>
      </c>
      <c r="S15" s="2">
        <v>0</v>
      </c>
      <c r="T15" s="2">
        <v>0</v>
      </c>
      <c r="U15" s="2">
        <v>0</v>
      </c>
    </row>
    <row r="16" spans="1:23" x14ac:dyDescent="0.2">
      <c r="B16" s="1" t="s">
        <v>587</v>
      </c>
      <c r="N16" s="4" t="s">
        <v>370</v>
      </c>
      <c r="O16" s="2">
        <f t="shared" si="1"/>
        <v>0.16091954022988506</v>
      </c>
      <c r="P16" s="6">
        <v>0</v>
      </c>
      <c r="Q16" s="2">
        <f t="shared" si="2"/>
        <v>0.10294117647058822</v>
      </c>
      <c r="R16" s="2">
        <v>0</v>
      </c>
      <c r="S16" s="2">
        <v>0</v>
      </c>
      <c r="T16" s="2">
        <v>0</v>
      </c>
      <c r="U16" s="2">
        <v>0</v>
      </c>
    </row>
    <row r="17" spans="1:22" x14ac:dyDescent="0.2">
      <c r="A17" t="str">
        <f>N5</f>
        <v>Packaging</v>
      </c>
      <c r="B17" s="2">
        <f>Q5/SUM($Q$5:$Q$11)</f>
        <v>0.32183908045977011</v>
      </c>
      <c r="D17" t="s">
        <v>588</v>
      </c>
      <c r="N17" s="4" t="s">
        <v>582</v>
      </c>
      <c r="O17" s="2">
        <f t="shared" si="1"/>
        <v>6.8965517241379309E-2</v>
      </c>
      <c r="P17" s="6">
        <v>0</v>
      </c>
      <c r="Q17" s="2">
        <f t="shared" si="2"/>
        <v>0.10294117647058822</v>
      </c>
      <c r="R17" s="2">
        <v>0</v>
      </c>
      <c r="S17" s="2">
        <v>0</v>
      </c>
      <c r="T17" s="2">
        <v>0</v>
      </c>
      <c r="U17" s="2">
        <v>0</v>
      </c>
    </row>
    <row r="18" spans="1:22" x14ac:dyDescent="0.2">
      <c r="A18" t="str">
        <f t="shared" ref="A18:A23" si="3">N6</f>
        <v>Building &amp; Construction</v>
      </c>
      <c r="B18" s="2">
        <f t="shared" ref="B18:B23" si="4">Q6/SUM($Q$5:$Q$11)</f>
        <v>0.11494252873563218</v>
      </c>
      <c r="N18" s="4" t="s">
        <v>585</v>
      </c>
      <c r="O18" s="2">
        <f>Q9/SUM($Q$5:$Q$11)</f>
        <v>8.0459770114942528E-2</v>
      </c>
      <c r="P18" s="6">
        <v>1</v>
      </c>
      <c r="Q18" s="2">
        <f t="shared" si="2"/>
        <v>0</v>
      </c>
      <c r="R18" s="2">
        <v>0</v>
      </c>
      <c r="S18" s="2">
        <v>0</v>
      </c>
      <c r="T18" s="2">
        <v>0</v>
      </c>
      <c r="U18" s="2">
        <v>0</v>
      </c>
    </row>
    <row r="19" spans="1:22" x14ac:dyDescent="0.2">
      <c r="A19" t="str">
        <f t="shared" si="3"/>
        <v>Automotive</v>
      </c>
      <c r="B19" s="2">
        <f t="shared" si="4"/>
        <v>0.16091954022988506</v>
      </c>
      <c r="N19" s="4" t="s">
        <v>313</v>
      </c>
      <c r="O19" s="2">
        <f t="shared" si="1"/>
        <v>9.1954022988505746E-2</v>
      </c>
      <c r="P19" s="6">
        <v>0</v>
      </c>
      <c r="Q19" s="2">
        <f t="shared" si="2"/>
        <v>2.0588235294117647E-2</v>
      </c>
      <c r="R19" s="2">
        <v>0</v>
      </c>
      <c r="S19" s="2">
        <v>1</v>
      </c>
      <c r="T19" s="2">
        <v>1</v>
      </c>
      <c r="U19" s="2">
        <v>0</v>
      </c>
    </row>
    <row r="20" spans="1:22" x14ac:dyDescent="0.2">
      <c r="A20" t="str">
        <f t="shared" si="3"/>
        <v>Electricl &amp; Electronics</v>
      </c>
      <c r="B20" s="2">
        <f t="shared" si="4"/>
        <v>6.8965517241379309E-2</v>
      </c>
      <c r="N20" s="4" t="s">
        <v>329</v>
      </c>
      <c r="O20" s="6">
        <v>0</v>
      </c>
      <c r="P20" s="6">
        <v>0</v>
      </c>
      <c r="Q20" s="6">
        <f>B34</f>
        <v>0.3</v>
      </c>
      <c r="R20" s="2">
        <v>0</v>
      </c>
      <c r="S20" s="2">
        <v>0</v>
      </c>
      <c r="T20" s="2">
        <v>0</v>
      </c>
      <c r="U20" s="2">
        <v>0</v>
      </c>
    </row>
    <row r="21" spans="1:22" x14ac:dyDescent="0.2">
      <c r="A21" t="str">
        <f t="shared" si="3"/>
        <v>Agriculture</v>
      </c>
      <c r="B21" s="2">
        <f t="shared" si="4"/>
        <v>8.0459770114942528E-2</v>
      </c>
      <c r="N21" s="4" t="s">
        <v>248</v>
      </c>
      <c r="O21" s="2">
        <f>Q11/SUM($Q$5:$Q$11)</f>
        <v>0.16091954022988506</v>
      </c>
      <c r="P21" s="6">
        <v>0</v>
      </c>
      <c r="Q21" s="2">
        <f>($B$35*W11)+B36+B37</f>
        <v>0.45294117647058824</v>
      </c>
      <c r="R21" s="2">
        <v>0.5</v>
      </c>
      <c r="S21" s="2">
        <v>0</v>
      </c>
      <c r="T21" s="2">
        <v>0</v>
      </c>
      <c r="U21" s="2">
        <v>1</v>
      </c>
    </row>
    <row r="22" spans="1:22" x14ac:dyDescent="0.2">
      <c r="A22" t="str">
        <f t="shared" si="3"/>
        <v>Household, leisure &amp; sports</v>
      </c>
      <c r="B22" s="2">
        <f t="shared" si="4"/>
        <v>9.1954022988505746E-2</v>
      </c>
    </row>
    <row r="23" spans="1:22" x14ac:dyDescent="0.2">
      <c r="A23" t="str">
        <f t="shared" si="3"/>
        <v>Others</v>
      </c>
      <c r="B23" s="2">
        <f t="shared" si="4"/>
        <v>0.16091954022988506</v>
      </c>
    </row>
    <row r="24" spans="1:22" x14ac:dyDescent="0.2">
      <c r="B24" s="2"/>
      <c r="N24" s="4" t="s">
        <v>392</v>
      </c>
      <c r="O24" t="str">
        <f>O13</f>
        <v>Polypropylene</v>
      </c>
      <c r="P24" t="str">
        <f t="shared" ref="P24:U24" si="5">P13</f>
        <v>Propenic Acid</v>
      </c>
      <c r="Q24" t="str">
        <f t="shared" si="5"/>
        <v>Propenonitrile</v>
      </c>
      <c r="R24" t="str">
        <f t="shared" si="5"/>
        <v>Benzene</v>
      </c>
      <c r="S24" t="str">
        <f t="shared" si="5"/>
        <v>Epoxypropane</v>
      </c>
      <c r="T24" t="str">
        <f t="shared" si="5"/>
        <v>Butanol</v>
      </c>
      <c r="U24" t="str">
        <f t="shared" si="5"/>
        <v>Other</v>
      </c>
      <c r="V24" s="1" t="s">
        <v>364</v>
      </c>
    </row>
    <row r="25" spans="1:22" x14ac:dyDescent="0.2">
      <c r="N25" t="str">
        <f>N14</f>
        <v>Packaging</v>
      </c>
      <c r="O25" s="2">
        <f>O14*$B$4</f>
        <v>0.21563218390804598</v>
      </c>
      <c r="P25" s="6">
        <f>P14*$B$5</f>
        <v>0</v>
      </c>
      <c r="Q25" s="6">
        <f>Q14*$B$6</f>
        <v>6.1764705882352941E-4</v>
      </c>
      <c r="R25" s="6">
        <f>$B$7*R14</f>
        <v>0.02</v>
      </c>
      <c r="S25" s="6">
        <f>S14*$B$8</f>
        <v>0</v>
      </c>
      <c r="T25" s="6">
        <f>T14*$B$9</f>
        <v>0</v>
      </c>
      <c r="U25" s="6">
        <f>U14*$B$10</f>
        <v>0</v>
      </c>
      <c r="V25" s="6">
        <f>SUM(O25:U25)</f>
        <v>0.2362498309668695</v>
      </c>
    </row>
    <row r="26" spans="1:22" x14ac:dyDescent="0.2">
      <c r="B26" s="1" t="s">
        <v>589</v>
      </c>
      <c r="N26" t="str">
        <f t="shared" ref="N26:N31" si="6">N15</f>
        <v>Building &amp; Construction</v>
      </c>
      <c r="O26" s="2">
        <f t="shared" ref="O26:O32" si="7">O15*$B$4</f>
        <v>7.7011494252873569E-2</v>
      </c>
      <c r="P26" s="6">
        <f t="shared" ref="P26:P32" si="8">P15*$B$5</f>
        <v>0</v>
      </c>
      <c r="Q26" s="6">
        <f t="shared" ref="Q26:Q32" si="9">Q15*$B$6</f>
        <v>6.1764705882352941E-4</v>
      </c>
      <c r="R26" s="6">
        <f t="shared" ref="R26:R32" si="10">$B$7*R15</f>
        <v>0</v>
      </c>
      <c r="S26" s="6">
        <f t="shared" ref="S26:S32" si="11">S15*$B$8</f>
        <v>0</v>
      </c>
      <c r="T26" s="6">
        <f t="shared" ref="T26:T32" si="12">T15*$B$9</f>
        <v>0</v>
      </c>
      <c r="U26" s="6">
        <f t="shared" ref="U26:U32" si="13">U15*$B$10</f>
        <v>0</v>
      </c>
      <c r="V26" s="6">
        <f t="shared" ref="V26:V32" si="14">SUM(O26:U26)</f>
        <v>7.7629141311697097E-2</v>
      </c>
    </row>
    <row r="27" spans="1:22" x14ac:dyDescent="0.2">
      <c r="A27" t="s">
        <v>590</v>
      </c>
      <c r="B27" s="6">
        <v>0.5</v>
      </c>
      <c r="D27" t="s">
        <v>591</v>
      </c>
      <c r="N27" t="str">
        <f t="shared" si="6"/>
        <v>Automotive</v>
      </c>
      <c r="O27" s="2">
        <f t="shared" si="7"/>
        <v>0.10781609195402299</v>
      </c>
      <c r="P27" s="6">
        <f t="shared" si="8"/>
        <v>0</v>
      </c>
      <c r="Q27" s="6">
        <f t="shared" si="9"/>
        <v>6.1764705882352928E-3</v>
      </c>
      <c r="R27" s="6">
        <f t="shared" si="10"/>
        <v>0</v>
      </c>
      <c r="S27" s="6">
        <f t="shared" si="11"/>
        <v>0</v>
      </c>
      <c r="T27" s="6">
        <f t="shared" si="12"/>
        <v>0</v>
      </c>
      <c r="U27" s="6">
        <f t="shared" si="13"/>
        <v>0</v>
      </c>
      <c r="V27" s="6">
        <f t="shared" si="14"/>
        <v>0.11399256254225829</v>
      </c>
    </row>
    <row r="28" spans="1:22" x14ac:dyDescent="0.2">
      <c r="A28" t="s">
        <v>592</v>
      </c>
      <c r="B28" s="6">
        <v>0.35</v>
      </c>
      <c r="N28" t="str">
        <f t="shared" si="6"/>
        <v>Electricl &amp; Electronics</v>
      </c>
      <c r="O28" s="2">
        <f t="shared" si="7"/>
        <v>4.6206896551724143E-2</v>
      </c>
      <c r="P28" s="6">
        <f t="shared" si="8"/>
        <v>0</v>
      </c>
      <c r="Q28" s="6">
        <f t="shared" si="9"/>
        <v>6.1764705882352928E-3</v>
      </c>
      <c r="R28" s="6">
        <f t="shared" si="10"/>
        <v>0</v>
      </c>
      <c r="S28" s="6">
        <f t="shared" si="11"/>
        <v>0</v>
      </c>
      <c r="T28" s="6">
        <f t="shared" si="12"/>
        <v>0</v>
      </c>
      <c r="U28" s="6">
        <f t="shared" si="13"/>
        <v>0</v>
      </c>
      <c r="V28" s="6">
        <f t="shared" si="14"/>
        <v>5.2383367139959433E-2</v>
      </c>
    </row>
    <row r="29" spans="1:22" x14ac:dyDescent="0.2">
      <c r="A29" t="s">
        <v>593</v>
      </c>
      <c r="B29" s="6">
        <v>0.1</v>
      </c>
      <c r="N29" t="str">
        <f t="shared" si="6"/>
        <v>Agriculture</v>
      </c>
      <c r="O29" s="2">
        <f t="shared" si="7"/>
        <v>5.3908045977011494E-2</v>
      </c>
      <c r="P29" s="6">
        <f t="shared" si="8"/>
        <v>0.05</v>
      </c>
      <c r="Q29" s="6">
        <f t="shared" si="9"/>
        <v>0</v>
      </c>
      <c r="R29" s="6">
        <f t="shared" si="10"/>
        <v>0</v>
      </c>
      <c r="S29" s="6">
        <f t="shared" si="11"/>
        <v>0</v>
      </c>
      <c r="T29" s="6">
        <f t="shared" si="12"/>
        <v>0</v>
      </c>
      <c r="U29" s="6">
        <f t="shared" si="13"/>
        <v>0</v>
      </c>
      <c r="V29" s="6">
        <f t="shared" si="14"/>
        <v>0.1039080459770115</v>
      </c>
    </row>
    <row r="30" spans="1:22" x14ac:dyDescent="0.2">
      <c r="A30" t="s">
        <v>192</v>
      </c>
      <c r="B30" s="6">
        <v>0.05</v>
      </c>
      <c r="N30" t="str">
        <f t="shared" si="6"/>
        <v>Household, leisure &amp; sports</v>
      </c>
      <c r="O30" s="2">
        <f t="shared" si="7"/>
        <v>6.1609195402298852E-2</v>
      </c>
      <c r="P30" s="6">
        <f t="shared" si="8"/>
        <v>0</v>
      </c>
      <c r="Q30" s="6">
        <f t="shared" si="9"/>
        <v>1.2352941176470588E-3</v>
      </c>
      <c r="R30" s="6">
        <f t="shared" si="10"/>
        <v>0</v>
      </c>
      <c r="S30" s="6">
        <f t="shared" si="11"/>
        <v>7.0000000000000007E-2</v>
      </c>
      <c r="T30" s="6">
        <f t="shared" si="12"/>
        <v>0.03</v>
      </c>
      <c r="U30" s="6">
        <f t="shared" si="13"/>
        <v>0</v>
      </c>
      <c r="V30" s="6">
        <f t="shared" si="14"/>
        <v>0.16284448951994593</v>
      </c>
    </row>
    <row r="31" spans="1:22" x14ac:dyDescent="0.2">
      <c r="N31" t="str">
        <f t="shared" si="6"/>
        <v>Textiles</v>
      </c>
      <c r="O31" s="2">
        <f t="shared" si="7"/>
        <v>0</v>
      </c>
      <c r="P31" s="6">
        <f t="shared" si="8"/>
        <v>0</v>
      </c>
      <c r="Q31" s="6">
        <f t="shared" si="9"/>
        <v>1.7999999999999999E-2</v>
      </c>
      <c r="R31" s="6">
        <f t="shared" si="10"/>
        <v>0</v>
      </c>
      <c r="S31" s="6">
        <f t="shared" si="11"/>
        <v>0</v>
      </c>
      <c r="T31" s="6">
        <f t="shared" si="12"/>
        <v>0</v>
      </c>
      <c r="U31" s="6">
        <f t="shared" si="13"/>
        <v>0</v>
      </c>
      <c r="V31" s="6">
        <f t="shared" si="14"/>
        <v>1.7999999999999999E-2</v>
      </c>
    </row>
    <row r="32" spans="1:22" x14ac:dyDescent="0.2">
      <c r="N32" t="str">
        <f>N21</f>
        <v>Others</v>
      </c>
      <c r="O32" s="2">
        <f t="shared" si="7"/>
        <v>0.10781609195402299</v>
      </c>
      <c r="P32" s="6">
        <f t="shared" si="8"/>
        <v>0</v>
      </c>
      <c r="Q32" s="6">
        <f t="shared" si="9"/>
        <v>2.7176470588235292E-2</v>
      </c>
      <c r="R32" s="6">
        <f t="shared" si="10"/>
        <v>0.02</v>
      </c>
      <c r="S32" s="6">
        <f t="shared" si="11"/>
        <v>0</v>
      </c>
      <c r="T32" s="6">
        <f t="shared" si="12"/>
        <v>0</v>
      </c>
      <c r="U32" s="6">
        <f t="shared" si="13"/>
        <v>0.08</v>
      </c>
      <c r="V32" s="6">
        <f t="shared" si="14"/>
        <v>0.23499256254225825</v>
      </c>
    </row>
    <row r="33" spans="1:12" x14ac:dyDescent="0.2">
      <c r="B33" s="1" t="s">
        <v>594</v>
      </c>
      <c r="C33" t="s">
        <v>563</v>
      </c>
      <c r="D33" t="s">
        <v>595</v>
      </c>
    </row>
    <row r="34" spans="1:12" x14ac:dyDescent="0.2">
      <c r="A34" t="s">
        <v>596</v>
      </c>
      <c r="B34" s="6">
        <v>0.3</v>
      </c>
      <c r="C34" t="s">
        <v>597</v>
      </c>
    </row>
    <row r="35" spans="1:12" x14ac:dyDescent="0.2">
      <c r="A35" t="s">
        <v>598</v>
      </c>
      <c r="B35" s="6">
        <v>0.35</v>
      </c>
      <c r="C35" t="s">
        <v>599</v>
      </c>
    </row>
    <row r="36" spans="1:12" x14ac:dyDescent="0.2">
      <c r="A36" t="s">
        <v>600</v>
      </c>
      <c r="B36" s="6">
        <v>0.15</v>
      </c>
      <c r="C36" t="s">
        <v>601</v>
      </c>
    </row>
    <row r="37" spans="1:12" x14ac:dyDescent="0.2">
      <c r="A37" t="s">
        <v>192</v>
      </c>
      <c r="B37" s="6">
        <v>0.2</v>
      </c>
    </row>
    <row r="41" spans="1:12" x14ac:dyDescent="0.2">
      <c r="L41" s="4"/>
    </row>
    <row r="43" spans="1:12" x14ac:dyDescent="0.2">
      <c r="A43" s="11"/>
      <c r="B43" s="12" t="s">
        <v>602</v>
      </c>
      <c r="C43" s="37" t="s">
        <v>603</v>
      </c>
      <c r="D43" s="37" t="s">
        <v>46</v>
      </c>
      <c r="E43" s="37" t="s">
        <v>604</v>
      </c>
      <c r="H43" s="37" t="s">
        <v>603</v>
      </c>
      <c r="I43" s="37" t="s">
        <v>46</v>
      </c>
      <c r="J43" s="37" t="s">
        <v>604</v>
      </c>
    </row>
    <row r="44" spans="1:12" x14ac:dyDescent="0.2">
      <c r="A44" s="15" t="str">
        <f>N25</f>
        <v>Packaging</v>
      </c>
      <c r="B44" s="14">
        <f>V25</f>
        <v>0.2362498309668695</v>
      </c>
      <c r="C44" s="38">
        <f>B44*$C$52</f>
        <v>26.441808004368855</v>
      </c>
      <c r="D44" s="40">
        <f>'Demand Breakdown - Ethylene'!L63</f>
        <v>1.4E-2</v>
      </c>
      <c r="E44" s="38">
        <f>C44*(1+D44)^30</f>
        <v>40.126362975944488</v>
      </c>
      <c r="F44" s="2">
        <f>E44/$E$52</f>
        <v>0.25078976859965307</v>
      </c>
      <c r="H44" s="38">
        <f>C44</f>
        <v>26.441808004368855</v>
      </c>
      <c r="I44" s="40">
        <v>2.6700000000000002E-2</v>
      </c>
      <c r="J44" s="38">
        <f>H44*(1+I44)^30</f>
        <v>58.290530539188026</v>
      </c>
    </row>
    <row r="45" spans="1:12" x14ac:dyDescent="0.2">
      <c r="A45" s="15" t="str">
        <f t="shared" ref="A45:A51" si="15">N26</f>
        <v>Building &amp; Construction</v>
      </c>
      <c r="B45" s="14">
        <f t="shared" ref="B45:B51" si="16">V26</f>
        <v>7.7629141311697097E-2</v>
      </c>
      <c r="C45" s="38">
        <f t="shared" ref="C45:C51" si="17">B45*$C$52</f>
        <v>8.6884923545014825</v>
      </c>
      <c r="D45" s="40">
        <f>'Demand Breakdown - Ethylene'!L64</f>
        <v>1.7000000000000001E-2</v>
      </c>
      <c r="E45" s="38">
        <f t="shared" ref="E45:E46" si="18">C45*(1+D45)^30</f>
        <v>14.406981913997184</v>
      </c>
      <c r="F45" s="2">
        <f t="shared" ref="F45:F51" si="19">E45/$E$52</f>
        <v>9.0043636962482396E-2</v>
      </c>
      <c r="H45" s="38">
        <f t="shared" ref="H45:H51" si="20">C45</f>
        <v>8.6884923545014825</v>
      </c>
      <c r="I45" s="40">
        <f>D45</f>
        <v>1.7000000000000001E-2</v>
      </c>
      <c r="J45" s="38">
        <f t="shared" ref="J45:J51" si="21">H45*(1+I45)^30</f>
        <v>14.406981913997184</v>
      </c>
    </row>
    <row r="46" spans="1:12" x14ac:dyDescent="0.2">
      <c r="A46" s="15" t="str">
        <f t="shared" si="15"/>
        <v>Automotive</v>
      </c>
      <c r="B46" s="14">
        <f>V27</f>
        <v>0.11399256254225829</v>
      </c>
      <c r="C46" s="38">
        <f t="shared" si="17"/>
        <v>12.758398346075831</v>
      </c>
      <c r="D46" s="40">
        <f>'Demand Breakdown - Ethylene'!L65</f>
        <v>1.7000000000000001E-2</v>
      </c>
      <c r="E46" s="38">
        <f t="shared" si="18"/>
        <v>21.155570693257808</v>
      </c>
      <c r="F46" s="2">
        <f t="shared" si="19"/>
        <v>0.13222231683286129</v>
      </c>
      <c r="H46" s="38">
        <f t="shared" si="20"/>
        <v>12.758398346075831</v>
      </c>
      <c r="I46" s="40">
        <v>3.5000000000000003E-2</v>
      </c>
      <c r="J46" s="38">
        <f t="shared" si="21"/>
        <v>35.810192159854054</v>
      </c>
    </row>
    <row r="47" spans="1:12" x14ac:dyDescent="0.2">
      <c r="A47" s="15" t="str">
        <f t="shared" si="15"/>
        <v>Electricl &amp; Electronics</v>
      </c>
      <c r="B47" s="14">
        <f t="shared" si="16"/>
        <v>5.2383367139959433E-2</v>
      </c>
      <c r="C47" s="38">
        <f t="shared" si="17"/>
        <v>5.8629076298954592</v>
      </c>
      <c r="D47" s="40">
        <f>(E47/C47)^(1/30)-1</f>
        <v>7.1074306653624575E-3</v>
      </c>
      <c r="E47" s="38">
        <f>($E$52-$E$44-$E$45-$E$46-$E$49)*(C47/SUM($C$47:$C$48,$C$50:$C$51))</f>
        <v>7.2508189480331273</v>
      </c>
      <c r="F47" s="2">
        <f t="shared" si="19"/>
        <v>4.5317618425207047E-2</v>
      </c>
      <c r="H47" s="38">
        <f t="shared" si="20"/>
        <v>5.8629076298954592</v>
      </c>
      <c r="I47" s="40">
        <f>$D$52</f>
        <v>1.1983297655736136E-2</v>
      </c>
      <c r="J47" s="38">
        <f t="shared" si="21"/>
        <v>8.381338742393476</v>
      </c>
    </row>
    <row r="48" spans="1:12" x14ac:dyDescent="0.2">
      <c r="A48" s="15" t="str">
        <f t="shared" si="15"/>
        <v>Agriculture</v>
      </c>
      <c r="B48" s="14">
        <f t="shared" si="16"/>
        <v>0.1039080459770115</v>
      </c>
      <c r="C48" s="38">
        <f t="shared" si="17"/>
        <v>11.629708222811672</v>
      </c>
      <c r="D48" s="40">
        <f>(E48/C48)^(1/30)-1</f>
        <v>7.1074306653624575E-3</v>
      </c>
      <c r="E48" s="38">
        <f>($E$52-$E$44-$E$45-$E$46-$E$49)*(C48/SUM($C$47:$C$48,$C$50:$C$51))</f>
        <v>14.382779682913599</v>
      </c>
      <c r="F48" s="2">
        <f t="shared" si="19"/>
        <v>8.9892373018209987E-2</v>
      </c>
      <c r="H48" s="38">
        <f t="shared" si="20"/>
        <v>11.629708222811672</v>
      </c>
      <c r="I48" s="40">
        <f t="shared" ref="I48:I51" si="22">$D$52</f>
        <v>1.1983297655736136E-2</v>
      </c>
      <c r="J48" s="38">
        <f t="shared" si="21"/>
        <v>16.625287356321778</v>
      </c>
    </row>
    <row r="49" spans="1:16" x14ac:dyDescent="0.2">
      <c r="A49" s="15" t="str">
        <f t="shared" si="15"/>
        <v>Household, leisure &amp; sports</v>
      </c>
      <c r="B49" s="14">
        <f t="shared" si="16"/>
        <v>0.16284448951994593</v>
      </c>
      <c r="C49" s="38">
        <f t="shared" si="17"/>
        <v>18.226056327040101</v>
      </c>
      <c r="D49" s="40">
        <f>D44</f>
        <v>1.4E-2</v>
      </c>
      <c r="E49" s="38">
        <f t="shared" ref="E49" si="23">C49*(1+D49)^30</f>
        <v>27.658674160177853</v>
      </c>
      <c r="F49" s="2">
        <f t="shared" si="19"/>
        <v>0.17286671350111157</v>
      </c>
      <c r="H49" s="38">
        <f t="shared" si="20"/>
        <v>18.226056327040101</v>
      </c>
      <c r="I49" s="40">
        <f t="shared" si="22"/>
        <v>1.1983297655736136E-2</v>
      </c>
      <c r="J49" s="38">
        <f t="shared" si="21"/>
        <v>26.055118323191248</v>
      </c>
    </row>
    <row r="50" spans="1:16" x14ac:dyDescent="0.2">
      <c r="A50" s="15" t="str">
        <f t="shared" si="15"/>
        <v>Textiles</v>
      </c>
      <c r="B50" s="14">
        <f>V31</f>
        <v>1.7999999999999999E-2</v>
      </c>
      <c r="C50" s="38">
        <f t="shared" si="17"/>
        <v>2.0146153846153845</v>
      </c>
      <c r="D50" s="40">
        <f t="shared" ref="D50:D51" si="24">(E50/C50)^(1/30)-1</f>
        <v>7.1074306653624575E-3</v>
      </c>
      <c r="E50" s="38">
        <f>($E$52-$E$44-$E$45-$E$46-$E$49)*(C50/SUM($C$47:$C$48,$C$50:$C$51))</f>
        <v>2.4915301972834838</v>
      </c>
      <c r="F50" s="2">
        <f t="shared" si="19"/>
        <v>1.5572063733021774E-2</v>
      </c>
      <c r="H50" s="38">
        <f t="shared" si="20"/>
        <v>2.0146153846153845</v>
      </c>
      <c r="I50" s="40">
        <f t="shared" si="22"/>
        <v>1.1983297655736136E-2</v>
      </c>
      <c r="J50" s="38">
        <f t="shared" si="21"/>
        <v>2.8799999999999888</v>
      </c>
    </row>
    <row r="51" spans="1:16" x14ac:dyDescent="0.2">
      <c r="A51" s="18" t="str">
        <f t="shared" si="15"/>
        <v>Others</v>
      </c>
      <c r="B51" s="17">
        <f t="shared" si="16"/>
        <v>0.23499256254225825</v>
      </c>
      <c r="C51" s="38">
        <f t="shared" si="17"/>
        <v>26.301090653768135</v>
      </c>
      <c r="D51" s="40">
        <f t="shared" si="24"/>
        <v>7.1074306653624575E-3</v>
      </c>
      <c r="E51" s="38">
        <f>($E$52-$E$44-$E$45-$E$46-$E$49)*(C51/SUM($C$47:$C$48,$C$50:$C$51))</f>
        <v>32.527281428392456</v>
      </c>
      <c r="F51" s="2">
        <f t="shared" si="19"/>
        <v>0.20329550892745285</v>
      </c>
      <c r="H51" s="38">
        <f t="shared" si="20"/>
        <v>26.301090653768135</v>
      </c>
      <c r="I51" s="40">
        <f t="shared" si="22"/>
        <v>1.1983297655736136E-2</v>
      </c>
      <c r="J51" s="38">
        <f t="shared" si="21"/>
        <v>37.598810006761177</v>
      </c>
    </row>
    <row r="52" spans="1:16" x14ac:dyDescent="0.2">
      <c r="C52" s="39">
        <f>'Yearly Demand - Eth&amp;Prop'!D5</f>
        <v>111.92307692307692</v>
      </c>
      <c r="D52" s="42">
        <f>(E52/C52)^(1/30)-1</f>
        <v>1.1983297655736136E-2</v>
      </c>
      <c r="E52" s="39">
        <f>'Yearly Demand - Eth&amp;Prop'!J5</f>
        <v>160</v>
      </c>
      <c r="H52" s="39">
        <f>SUM(H44:H51)</f>
        <v>111.92307692307691</v>
      </c>
      <c r="I52" s="42">
        <f>(J52/H52)^(1/30)-1</f>
        <v>1.954681242088574E-2</v>
      </c>
      <c r="J52" s="39">
        <f>SUM(J44:J51)</f>
        <v>200.04825904170693</v>
      </c>
    </row>
    <row r="54" spans="1:16" s="19" customFormat="1" ht="33.5" customHeight="1" x14ac:dyDescent="0.2">
      <c r="A54" s="19" t="s">
        <v>605</v>
      </c>
    </row>
    <row r="57" spans="1:16" x14ac:dyDescent="0.2">
      <c r="B57" s="1" t="s">
        <v>606</v>
      </c>
      <c r="C57" s="1" t="s">
        <v>607</v>
      </c>
      <c r="D57" s="1" t="s">
        <v>608</v>
      </c>
      <c r="E57" s="1" t="s">
        <v>96</v>
      </c>
      <c r="F57" s="1" t="s">
        <v>609</v>
      </c>
      <c r="G57" s="1"/>
      <c r="H57" s="1"/>
    </row>
    <row r="58" spans="1:16" x14ac:dyDescent="0.2">
      <c r="A58" t="s">
        <v>610</v>
      </c>
      <c r="B58" s="6">
        <f>D58*C58</f>
        <v>-7.0874949290060843E-2</v>
      </c>
      <c r="C58" s="6">
        <f>B44</f>
        <v>0.2362498309668695</v>
      </c>
      <c r="D58" s="6">
        <v>-0.3</v>
      </c>
      <c r="E58" t="s">
        <v>99</v>
      </c>
    </row>
    <row r="59" spans="1:16" x14ac:dyDescent="0.2">
      <c r="A59" t="s">
        <v>611</v>
      </c>
      <c r="B59" s="6">
        <f t="shared" ref="B59:B63" si="25">D59*C59</f>
        <v>-4.0162471264367818E-2</v>
      </c>
      <c r="C59" s="6">
        <f>B44</f>
        <v>0.2362498309668695</v>
      </c>
      <c r="D59" s="6">
        <v>-0.17</v>
      </c>
      <c r="E59" t="s">
        <v>99</v>
      </c>
    </row>
    <row r="60" spans="1:16" x14ac:dyDescent="0.2">
      <c r="A60" t="s">
        <v>612</v>
      </c>
      <c r="B60" s="6">
        <f t="shared" si="25"/>
        <v>0</v>
      </c>
      <c r="C60" s="6">
        <f>B46</f>
        <v>0.11399256254225829</v>
      </c>
      <c r="D60" s="6">
        <v>0</v>
      </c>
      <c r="E60" t="s">
        <v>613</v>
      </c>
      <c r="F60" t="s">
        <v>614</v>
      </c>
      <c r="P60" s="1" t="s">
        <v>615</v>
      </c>
    </row>
    <row r="61" spans="1:16" x14ac:dyDescent="0.2">
      <c r="A61" t="s">
        <v>616</v>
      </c>
      <c r="B61" s="6">
        <f t="shared" si="25"/>
        <v>-6.1456859805391423E-2</v>
      </c>
      <c r="C61" s="6">
        <f>B46</f>
        <v>0.11399256254225829</v>
      </c>
      <c r="D61" s="6">
        <f>-P63</f>
        <v>-0.53913043478260869</v>
      </c>
      <c r="E61" t="s">
        <v>617</v>
      </c>
      <c r="O61" t="s">
        <v>618</v>
      </c>
      <c r="P61" s="20">
        <v>0.33333333333333326</v>
      </c>
    </row>
    <row r="62" spans="1:16" x14ac:dyDescent="0.2">
      <c r="A62" t="s">
        <v>329</v>
      </c>
      <c r="B62" s="6">
        <f t="shared" si="25"/>
        <v>-1.6199999999999999E-2</v>
      </c>
      <c r="C62" s="6">
        <f>B50</f>
        <v>1.7999999999999999E-2</v>
      </c>
      <c r="D62" s="6">
        <v>-0.9</v>
      </c>
      <c r="E62" t="s">
        <v>619</v>
      </c>
      <c r="F62" t="s">
        <v>620</v>
      </c>
      <c r="O62" t="s">
        <v>621</v>
      </c>
      <c r="P62" s="21">
        <f>P63-P61</f>
        <v>0.20579710144927543</v>
      </c>
    </row>
    <row r="63" spans="1:16" x14ac:dyDescent="0.2">
      <c r="A63" t="s">
        <v>622</v>
      </c>
      <c r="B63" s="6" t="e">
        <f t="shared" si="25"/>
        <v>#VALUE!</v>
      </c>
      <c r="C63" s="6">
        <f>B45</f>
        <v>7.7629141311697097E-2</v>
      </c>
      <c r="D63" t="s">
        <v>623</v>
      </c>
      <c r="O63" t="s">
        <v>624</v>
      </c>
      <c r="P63" s="20">
        <v>0.53913043478260869</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V66"/>
  <sheetViews>
    <sheetView workbookViewId="0">
      <selection activeCell="E8" sqref="E8"/>
    </sheetView>
  </sheetViews>
  <sheetFormatPr baseColWidth="10" defaultColWidth="8.83203125" defaultRowHeight="15" x14ac:dyDescent="0.2"/>
  <cols>
    <col min="1" max="1" width="23.5" bestFit="1" customWidth="1"/>
    <col min="2" max="2" width="24.1640625" bestFit="1" customWidth="1"/>
    <col min="3" max="3" width="29.83203125" customWidth="1"/>
    <col min="4" max="4" width="20.1640625" bestFit="1" customWidth="1"/>
    <col min="5" max="5" width="41.1640625" bestFit="1" customWidth="1"/>
    <col min="14" max="14" width="26.5" bestFit="1" customWidth="1"/>
    <col min="15" max="20" width="18" customWidth="1"/>
    <col min="21" max="21" width="23.83203125" bestFit="1" customWidth="1"/>
    <col min="22" max="22" width="20.83203125" customWidth="1"/>
  </cols>
  <sheetData>
    <row r="1" spans="1:22" x14ac:dyDescent="0.2">
      <c r="O1" s="10" t="s">
        <v>4</v>
      </c>
      <c r="P1" s="10" t="s">
        <v>4</v>
      </c>
      <c r="Q1" s="9" t="s">
        <v>5</v>
      </c>
      <c r="R1" s="10" t="s">
        <v>4</v>
      </c>
      <c r="S1" s="10" t="s">
        <v>4</v>
      </c>
      <c r="T1" s="10" t="s">
        <v>4</v>
      </c>
      <c r="U1" s="10" t="s">
        <v>4</v>
      </c>
      <c r="V1" s="9" t="s">
        <v>5</v>
      </c>
    </row>
    <row r="2" spans="1:22" x14ac:dyDescent="0.2">
      <c r="B2" s="1" t="s">
        <v>625</v>
      </c>
      <c r="E2" s="1" t="s">
        <v>564</v>
      </c>
      <c r="N2" s="1" t="s">
        <v>626</v>
      </c>
      <c r="O2" t="s">
        <v>566</v>
      </c>
      <c r="P2" t="s">
        <v>472</v>
      </c>
      <c r="Q2" t="s">
        <v>265</v>
      </c>
      <c r="R2" t="s">
        <v>567</v>
      </c>
      <c r="S2" t="s">
        <v>568</v>
      </c>
      <c r="T2" t="s">
        <v>569</v>
      </c>
      <c r="U2" t="s">
        <v>570</v>
      </c>
      <c r="V2" t="s">
        <v>571</v>
      </c>
    </row>
    <row r="3" spans="1:22" x14ac:dyDescent="0.2">
      <c r="A3" t="s">
        <v>261</v>
      </c>
      <c r="B3" s="2">
        <v>0.6</v>
      </c>
      <c r="N3" t="s">
        <v>309</v>
      </c>
      <c r="O3">
        <v>8</v>
      </c>
      <c r="P3">
        <v>6</v>
      </c>
      <c r="Q3">
        <v>7</v>
      </c>
      <c r="R3">
        <v>3.5</v>
      </c>
      <c r="S3">
        <v>2</v>
      </c>
      <c r="T3">
        <v>3</v>
      </c>
      <c r="U3">
        <v>6.5</v>
      </c>
      <c r="V3">
        <v>0.1</v>
      </c>
    </row>
    <row r="4" spans="1:22" x14ac:dyDescent="0.2">
      <c r="A4" t="s">
        <v>260</v>
      </c>
      <c r="B4" s="2">
        <v>0.17499999999999999</v>
      </c>
      <c r="N4" t="s">
        <v>310</v>
      </c>
      <c r="O4">
        <v>1.5</v>
      </c>
      <c r="P4">
        <v>3.5</v>
      </c>
      <c r="Q4">
        <v>2.5</v>
      </c>
      <c r="R4">
        <v>1</v>
      </c>
      <c r="S4">
        <v>3.5</v>
      </c>
      <c r="T4">
        <v>6.5</v>
      </c>
      <c r="U4">
        <v>0</v>
      </c>
      <c r="V4">
        <v>0.1</v>
      </c>
    </row>
    <row r="5" spans="1:22" x14ac:dyDescent="0.2">
      <c r="A5" t="s">
        <v>627</v>
      </c>
      <c r="B5" s="2">
        <v>0.125</v>
      </c>
      <c r="N5" t="s">
        <v>370</v>
      </c>
      <c r="O5">
        <v>0.75</v>
      </c>
      <c r="P5">
        <v>1</v>
      </c>
      <c r="Q5">
        <v>3.5</v>
      </c>
      <c r="R5">
        <v>0.5</v>
      </c>
      <c r="S5">
        <v>0</v>
      </c>
      <c r="T5">
        <v>0.75</v>
      </c>
      <c r="U5">
        <v>0</v>
      </c>
      <c r="V5">
        <v>1</v>
      </c>
    </row>
    <row r="6" spans="1:22" x14ac:dyDescent="0.2">
      <c r="A6" t="s">
        <v>628</v>
      </c>
      <c r="B6" s="2">
        <v>7.0000000000000007E-2</v>
      </c>
      <c r="N6" t="s">
        <v>312</v>
      </c>
      <c r="O6">
        <v>1</v>
      </c>
      <c r="P6">
        <v>0.5</v>
      </c>
      <c r="Q6">
        <v>1.5</v>
      </c>
      <c r="R6">
        <v>0.5</v>
      </c>
      <c r="S6">
        <v>0</v>
      </c>
      <c r="T6">
        <v>0.25</v>
      </c>
      <c r="U6">
        <v>0</v>
      </c>
      <c r="V6">
        <v>1</v>
      </c>
    </row>
    <row r="7" spans="1:22" x14ac:dyDescent="0.2">
      <c r="A7" t="s">
        <v>192</v>
      </c>
      <c r="B7" s="2">
        <v>0.03</v>
      </c>
      <c r="N7" t="s">
        <v>585</v>
      </c>
      <c r="O7">
        <v>1.5</v>
      </c>
      <c r="P7">
        <v>0</v>
      </c>
      <c r="Q7">
        <v>1.75</v>
      </c>
      <c r="R7">
        <v>0</v>
      </c>
      <c r="S7">
        <v>0</v>
      </c>
      <c r="T7">
        <v>0.5</v>
      </c>
      <c r="U7">
        <v>0</v>
      </c>
      <c r="V7">
        <v>0</v>
      </c>
    </row>
    <row r="8" spans="1:22" x14ac:dyDescent="0.2">
      <c r="A8" s="3"/>
      <c r="B8" s="2"/>
      <c r="E8" t="s">
        <v>629</v>
      </c>
      <c r="N8" t="s">
        <v>313</v>
      </c>
      <c r="O8">
        <v>0.25</v>
      </c>
      <c r="P8">
        <v>1</v>
      </c>
      <c r="Q8">
        <v>2</v>
      </c>
      <c r="R8">
        <v>1</v>
      </c>
      <c r="S8">
        <v>0</v>
      </c>
      <c r="T8">
        <v>1</v>
      </c>
      <c r="U8">
        <v>0</v>
      </c>
      <c r="V8">
        <v>0.2</v>
      </c>
    </row>
    <row r="9" spans="1:22" x14ac:dyDescent="0.2">
      <c r="B9" s="2"/>
      <c r="N9" t="s">
        <v>248</v>
      </c>
      <c r="O9">
        <v>3.5</v>
      </c>
      <c r="P9">
        <v>2</v>
      </c>
      <c r="Q9">
        <v>3.5</v>
      </c>
      <c r="R9">
        <v>1.5</v>
      </c>
      <c r="S9">
        <v>0</v>
      </c>
      <c r="T9">
        <v>1.5</v>
      </c>
      <c r="U9">
        <v>0</v>
      </c>
      <c r="V9">
        <v>1</v>
      </c>
    </row>
    <row r="10" spans="1:22" x14ac:dyDescent="0.2">
      <c r="A10" s="1" t="s">
        <v>630</v>
      </c>
    </row>
    <row r="11" spans="1:22" x14ac:dyDescent="0.2">
      <c r="B11" t="s">
        <v>473</v>
      </c>
      <c r="C11" t="s">
        <v>475</v>
      </c>
      <c r="D11" t="s">
        <v>472</v>
      </c>
    </row>
    <row r="12" spans="1:22" x14ac:dyDescent="0.2">
      <c r="A12" t="s">
        <v>631</v>
      </c>
      <c r="B12">
        <v>18.7</v>
      </c>
      <c r="C12">
        <v>24.1</v>
      </c>
      <c r="D12">
        <v>37.5</v>
      </c>
      <c r="E12" t="s">
        <v>632</v>
      </c>
      <c r="N12" s="1" t="s">
        <v>633</v>
      </c>
      <c r="O12" t="s">
        <v>566</v>
      </c>
      <c r="P12" t="s">
        <v>472</v>
      </c>
      <c r="Q12" t="s">
        <v>634</v>
      </c>
      <c r="R12" t="s">
        <v>480</v>
      </c>
      <c r="S12" t="s">
        <v>474</v>
      </c>
    </row>
    <row r="13" spans="1:22" x14ac:dyDescent="0.2">
      <c r="A13" t="s">
        <v>635</v>
      </c>
      <c r="B13">
        <v>3.2</v>
      </c>
      <c r="C13">
        <v>6.3</v>
      </c>
      <c r="D13">
        <v>7.9</v>
      </c>
      <c r="E13" t="s">
        <v>636</v>
      </c>
      <c r="N13" t="s">
        <v>309</v>
      </c>
      <c r="O13">
        <f>O3</f>
        <v>8</v>
      </c>
      <c r="P13">
        <f>P3</f>
        <v>6</v>
      </c>
      <c r="Q13">
        <f>SUM(R3:S3)</f>
        <v>5.5</v>
      </c>
      <c r="R13">
        <f>T3</f>
        <v>3</v>
      </c>
      <c r="S13">
        <f>U3</f>
        <v>6.5</v>
      </c>
    </row>
    <row r="14" spans="1:22" x14ac:dyDescent="0.2">
      <c r="A14" t="s">
        <v>637</v>
      </c>
      <c r="B14">
        <v>8.27</v>
      </c>
      <c r="D14">
        <v>5.8</v>
      </c>
      <c r="E14" t="s">
        <v>638</v>
      </c>
      <c r="N14" t="s">
        <v>310</v>
      </c>
      <c r="O14">
        <f t="shared" ref="O14:P14" si="0">O4</f>
        <v>1.5</v>
      </c>
      <c r="P14">
        <f t="shared" si="0"/>
        <v>3.5</v>
      </c>
      <c r="Q14">
        <f t="shared" ref="Q14:Q19" si="1">SUM(R4:S4)</f>
        <v>4.5</v>
      </c>
      <c r="R14">
        <f t="shared" ref="R14:S14" si="2">T4</f>
        <v>6.5</v>
      </c>
      <c r="S14">
        <f t="shared" si="2"/>
        <v>0</v>
      </c>
    </row>
    <row r="15" spans="1:22" x14ac:dyDescent="0.2">
      <c r="N15" t="s">
        <v>370</v>
      </c>
      <c r="O15">
        <f t="shared" ref="O15:P15" si="3">O5</f>
        <v>0.75</v>
      </c>
      <c r="P15">
        <f t="shared" si="3"/>
        <v>1</v>
      </c>
      <c r="Q15">
        <f t="shared" si="1"/>
        <v>0.5</v>
      </c>
      <c r="R15">
        <f t="shared" ref="R15:S15" si="4">T5</f>
        <v>0.75</v>
      </c>
      <c r="S15">
        <f t="shared" si="4"/>
        <v>0</v>
      </c>
    </row>
    <row r="16" spans="1:22" x14ac:dyDescent="0.2">
      <c r="B16" s="1" t="s">
        <v>633</v>
      </c>
      <c r="C16" s="1" t="s">
        <v>639</v>
      </c>
      <c r="N16" t="s">
        <v>582</v>
      </c>
      <c r="O16">
        <f t="shared" ref="O16:P16" si="5">O6</f>
        <v>1</v>
      </c>
      <c r="P16">
        <f t="shared" si="5"/>
        <v>0.5</v>
      </c>
      <c r="Q16">
        <f t="shared" si="1"/>
        <v>0.5</v>
      </c>
      <c r="R16">
        <f t="shared" ref="R16:S16" si="6">T6</f>
        <v>0.25</v>
      </c>
      <c r="S16">
        <f t="shared" si="6"/>
        <v>0</v>
      </c>
    </row>
    <row r="17" spans="1:21" x14ac:dyDescent="0.2">
      <c r="A17" t="s">
        <v>640</v>
      </c>
      <c r="B17">
        <f>SUM(B12:C12)</f>
        <v>42.8</v>
      </c>
      <c r="C17" s="2">
        <f>B17/SUM(B17:B18)</f>
        <v>0.53300124533001247</v>
      </c>
      <c r="N17" t="s">
        <v>585</v>
      </c>
      <c r="O17">
        <f t="shared" ref="O17:P17" si="7">O7</f>
        <v>1.5</v>
      </c>
      <c r="P17">
        <f t="shared" si="7"/>
        <v>0</v>
      </c>
      <c r="Q17">
        <f t="shared" si="1"/>
        <v>0</v>
      </c>
      <c r="R17">
        <f t="shared" ref="R17:S17" si="8">T7</f>
        <v>0.5</v>
      </c>
      <c r="S17">
        <f t="shared" si="8"/>
        <v>0</v>
      </c>
    </row>
    <row r="18" spans="1:21" x14ac:dyDescent="0.2">
      <c r="A18" t="s">
        <v>472</v>
      </c>
      <c r="B18">
        <f>D12</f>
        <v>37.5</v>
      </c>
      <c r="C18" s="2">
        <f>1-C17</f>
        <v>0.46699875466998753</v>
      </c>
      <c r="N18" t="s">
        <v>313</v>
      </c>
      <c r="O18">
        <f t="shared" ref="O18:P18" si="9">O8</f>
        <v>0.25</v>
      </c>
      <c r="P18">
        <f t="shared" si="9"/>
        <v>1</v>
      </c>
      <c r="Q18">
        <f t="shared" si="1"/>
        <v>1</v>
      </c>
      <c r="R18">
        <f t="shared" ref="R18:S18" si="10">T8</f>
        <v>1</v>
      </c>
      <c r="S18">
        <f t="shared" si="10"/>
        <v>0</v>
      </c>
    </row>
    <row r="19" spans="1:21" x14ac:dyDescent="0.2">
      <c r="N19" t="s">
        <v>248</v>
      </c>
      <c r="O19">
        <f t="shared" ref="O19:P19" si="11">O9</f>
        <v>3.5</v>
      </c>
      <c r="P19">
        <f t="shared" si="11"/>
        <v>2</v>
      </c>
      <c r="Q19">
        <f t="shared" si="1"/>
        <v>1.5</v>
      </c>
      <c r="R19">
        <f t="shared" ref="R19:S19" si="12">T9</f>
        <v>1.5</v>
      </c>
      <c r="S19">
        <f t="shared" si="12"/>
        <v>0</v>
      </c>
    </row>
    <row r="20" spans="1:21" x14ac:dyDescent="0.2">
      <c r="N20" t="s">
        <v>364</v>
      </c>
      <c r="O20" s="1">
        <f>SUM(O13:O19)</f>
        <v>16.5</v>
      </c>
      <c r="P20" s="1">
        <f t="shared" ref="P20:S20" si="13">SUM(P13:P19)</f>
        <v>14</v>
      </c>
      <c r="Q20" s="1">
        <f t="shared" si="13"/>
        <v>13.5</v>
      </c>
      <c r="R20" s="1">
        <f t="shared" si="13"/>
        <v>13.5</v>
      </c>
      <c r="S20" s="1">
        <f t="shared" si="13"/>
        <v>6.5</v>
      </c>
    </row>
    <row r="22" spans="1:21" x14ac:dyDescent="0.2">
      <c r="B22" s="1" t="s">
        <v>641</v>
      </c>
    </row>
    <row r="23" spans="1:21" x14ac:dyDescent="0.2">
      <c r="A23" t="s">
        <v>642</v>
      </c>
      <c r="B23" s="2">
        <v>0.86</v>
      </c>
      <c r="C23" t="s">
        <v>643</v>
      </c>
      <c r="E23" t="s">
        <v>644</v>
      </c>
      <c r="N23" s="1" t="s">
        <v>586</v>
      </c>
      <c r="O23" t="s">
        <v>566</v>
      </c>
      <c r="P23" t="s">
        <v>472</v>
      </c>
      <c r="Q23" t="s">
        <v>634</v>
      </c>
      <c r="R23" t="s">
        <v>480</v>
      </c>
      <c r="S23" t="s">
        <v>642</v>
      </c>
      <c r="T23" t="s">
        <v>474</v>
      </c>
      <c r="U23" t="s">
        <v>192</v>
      </c>
    </row>
    <row r="24" spans="1:21" x14ac:dyDescent="0.2">
      <c r="A24" t="s">
        <v>645</v>
      </c>
      <c r="B24" s="2">
        <v>0.08</v>
      </c>
      <c r="N24" t="s">
        <v>309</v>
      </c>
      <c r="O24" s="2">
        <f>O13/O$20</f>
        <v>0.48484848484848486</v>
      </c>
      <c r="P24" s="2">
        <f t="shared" ref="P24:R24" si="14">P13/P$20</f>
        <v>0.42857142857142855</v>
      </c>
      <c r="Q24" s="2">
        <f>Q13/Q$20</f>
        <v>0.40740740740740738</v>
      </c>
      <c r="R24" s="2">
        <f t="shared" si="14"/>
        <v>0.22222222222222221</v>
      </c>
      <c r="S24" s="6">
        <v>0</v>
      </c>
      <c r="T24" s="2">
        <f t="shared" ref="T24:T29" si="15">S13/S$20</f>
        <v>1</v>
      </c>
      <c r="U24" s="2">
        <v>0</v>
      </c>
    </row>
    <row r="25" spans="1:21" x14ac:dyDescent="0.2">
      <c r="A25" t="s">
        <v>248</v>
      </c>
      <c r="B25" s="2">
        <v>0.06</v>
      </c>
      <c r="E25" t="s">
        <v>646</v>
      </c>
      <c r="N25" t="s">
        <v>310</v>
      </c>
      <c r="O25" s="2">
        <f t="shared" ref="O25:R29" si="16">O14/O$20</f>
        <v>9.0909090909090912E-2</v>
      </c>
      <c r="P25" s="2">
        <f t="shared" si="16"/>
        <v>0.25</v>
      </c>
      <c r="Q25" s="2">
        <f t="shared" si="16"/>
        <v>0.33333333333333331</v>
      </c>
      <c r="R25" s="2">
        <f t="shared" si="16"/>
        <v>0.48148148148148145</v>
      </c>
      <c r="S25" s="6">
        <v>0</v>
      </c>
      <c r="T25" s="2">
        <f t="shared" si="15"/>
        <v>0</v>
      </c>
      <c r="U25" s="2">
        <v>0</v>
      </c>
    </row>
    <row r="26" spans="1:21" x14ac:dyDescent="0.2">
      <c r="A26" s="4"/>
      <c r="N26" t="s">
        <v>370</v>
      </c>
      <c r="O26" s="2">
        <f t="shared" si="16"/>
        <v>4.5454545454545456E-2</v>
      </c>
      <c r="P26" s="2">
        <f t="shared" si="16"/>
        <v>7.1428571428571425E-2</v>
      </c>
      <c r="Q26" s="2">
        <f t="shared" si="16"/>
        <v>3.7037037037037035E-2</v>
      </c>
      <c r="R26" s="2">
        <f t="shared" si="16"/>
        <v>5.5555555555555552E-2</v>
      </c>
      <c r="S26" s="6">
        <v>0</v>
      </c>
      <c r="T26" s="2">
        <f t="shared" si="15"/>
        <v>0</v>
      </c>
      <c r="U26" s="2">
        <v>0</v>
      </c>
    </row>
    <row r="27" spans="1:21" x14ac:dyDescent="0.2">
      <c r="B27" s="1" t="s">
        <v>647</v>
      </c>
      <c r="N27" t="s">
        <v>312</v>
      </c>
      <c r="O27" s="2">
        <f t="shared" si="16"/>
        <v>6.0606060606060608E-2</v>
      </c>
      <c r="P27" s="2">
        <f t="shared" si="16"/>
        <v>3.5714285714285712E-2</v>
      </c>
      <c r="Q27" s="2">
        <f t="shared" si="16"/>
        <v>3.7037037037037035E-2</v>
      </c>
      <c r="R27" s="2">
        <f t="shared" si="16"/>
        <v>1.8518518518518517E-2</v>
      </c>
      <c r="S27" s="6">
        <v>0</v>
      </c>
      <c r="T27" s="2">
        <f t="shared" si="15"/>
        <v>0</v>
      </c>
      <c r="U27" s="2">
        <v>0</v>
      </c>
    </row>
    <row r="28" spans="1:21" x14ac:dyDescent="0.2">
      <c r="A28" t="s">
        <v>480</v>
      </c>
      <c r="B28" s="2">
        <v>0.96</v>
      </c>
      <c r="N28" t="s">
        <v>585</v>
      </c>
      <c r="O28" s="2">
        <f t="shared" si="16"/>
        <v>9.0909090909090912E-2</v>
      </c>
      <c r="P28" s="2">
        <f t="shared" si="16"/>
        <v>0</v>
      </c>
      <c r="Q28" s="2">
        <f t="shared" si="16"/>
        <v>0</v>
      </c>
      <c r="R28" s="2">
        <f t="shared" si="16"/>
        <v>3.7037037037037035E-2</v>
      </c>
      <c r="S28" s="6">
        <v>0</v>
      </c>
      <c r="T28" s="2">
        <f t="shared" si="15"/>
        <v>0</v>
      </c>
      <c r="U28" s="2">
        <v>0</v>
      </c>
    </row>
    <row r="29" spans="1:21" x14ac:dyDescent="0.2">
      <c r="A29" t="s">
        <v>248</v>
      </c>
      <c r="B29" s="2">
        <v>0.04</v>
      </c>
      <c r="E29" s="5" t="s">
        <v>648</v>
      </c>
      <c r="N29" t="s">
        <v>313</v>
      </c>
      <c r="O29" s="2">
        <f t="shared" si="16"/>
        <v>1.5151515151515152E-2</v>
      </c>
      <c r="P29" s="2">
        <f t="shared" si="16"/>
        <v>7.1428571428571425E-2</v>
      </c>
      <c r="Q29" s="2">
        <f t="shared" si="16"/>
        <v>7.407407407407407E-2</v>
      </c>
      <c r="R29" s="2">
        <f t="shared" si="16"/>
        <v>7.407407407407407E-2</v>
      </c>
      <c r="S29" s="6">
        <v>0</v>
      </c>
      <c r="T29" s="2">
        <f t="shared" si="15"/>
        <v>0</v>
      </c>
      <c r="U29" s="2">
        <v>0</v>
      </c>
    </row>
    <row r="30" spans="1:21" x14ac:dyDescent="0.2">
      <c r="N30" t="s">
        <v>329</v>
      </c>
      <c r="O30" s="2">
        <v>0</v>
      </c>
      <c r="P30" s="2">
        <v>0</v>
      </c>
      <c r="Q30" s="2">
        <v>0</v>
      </c>
      <c r="R30" s="2">
        <v>0</v>
      </c>
      <c r="S30" s="6">
        <v>1</v>
      </c>
      <c r="T30" s="6">
        <v>0</v>
      </c>
      <c r="U30" s="2">
        <v>0</v>
      </c>
    </row>
    <row r="31" spans="1:21" x14ac:dyDescent="0.2">
      <c r="N31" t="s">
        <v>248</v>
      </c>
      <c r="O31" s="2">
        <f>O19/O$20</f>
        <v>0.21212121212121213</v>
      </c>
      <c r="P31" s="2">
        <f>P19/P$20</f>
        <v>0.14285714285714285</v>
      </c>
      <c r="Q31" s="2">
        <f>Q19/Q$20</f>
        <v>0.1111111111111111</v>
      </c>
      <c r="R31" s="2">
        <f>R19/R$20</f>
        <v>0.1111111111111111</v>
      </c>
      <c r="S31" s="6">
        <v>0</v>
      </c>
      <c r="T31" s="2">
        <f>S19/S$20</f>
        <v>0</v>
      </c>
      <c r="U31" s="6">
        <v>1</v>
      </c>
    </row>
    <row r="33" spans="1:22" x14ac:dyDescent="0.2">
      <c r="N33" s="1" t="s">
        <v>281</v>
      </c>
      <c r="O33" t="s">
        <v>566</v>
      </c>
      <c r="P33" t="s">
        <v>472</v>
      </c>
      <c r="Q33" t="s">
        <v>634</v>
      </c>
      <c r="R33" t="s">
        <v>480</v>
      </c>
      <c r="S33" t="s">
        <v>642</v>
      </c>
      <c r="T33" t="s">
        <v>474</v>
      </c>
      <c r="U33" t="s">
        <v>192</v>
      </c>
      <c r="V33" s="1" t="s">
        <v>364</v>
      </c>
    </row>
    <row r="34" spans="1:22" x14ac:dyDescent="0.2">
      <c r="B34" s="1" t="s">
        <v>649</v>
      </c>
      <c r="N34" t="s">
        <v>309</v>
      </c>
      <c r="O34" s="2">
        <f>O24*$B$35</f>
        <v>0.15505490773236727</v>
      </c>
      <c r="P34" s="2">
        <f>$B$36*P24</f>
        <v>0.12008539405799677</v>
      </c>
      <c r="Q34" s="2">
        <f>$B$37*Q24</f>
        <v>2.8518518518518519E-2</v>
      </c>
      <c r="R34" s="2">
        <f>$B$38*R24</f>
        <v>2.6666666666666665E-2</v>
      </c>
      <c r="S34" s="6">
        <f>S24*$B$39</f>
        <v>0</v>
      </c>
      <c r="T34" s="2">
        <f>$B$40*T24</f>
        <v>5.117E-2</v>
      </c>
      <c r="U34" s="6">
        <v>0</v>
      </c>
      <c r="V34" s="8">
        <f>SUM(O34:U34)</f>
        <v>0.38149548697554919</v>
      </c>
    </row>
    <row r="35" spans="1:22" x14ac:dyDescent="0.2">
      <c r="A35" t="s">
        <v>566</v>
      </c>
      <c r="B35" s="2">
        <f>C17*$B$3</f>
        <v>0.3198007471980075</v>
      </c>
      <c r="N35" t="s">
        <v>310</v>
      </c>
      <c r="O35" s="2">
        <f t="shared" ref="O35:O41" si="17">O25*$B$35</f>
        <v>2.9072795199818865E-2</v>
      </c>
      <c r="P35" s="2">
        <f t="shared" ref="P35:P41" si="18">$B$36*P25</f>
        <v>7.0049813200498121E-2</v>
      </c>
      <c r="Q35" s="2">
        <f t="shared" ref="Q35:Q41" si="19">$B$37*Q25</f>
        <v>2.3333333333333334E-2</v>
      </c>
      <c r="R35" s="2">
        <f t="shared" ref="R35:R41" si="20">$B$38*R25</f>
        <v>5.7777777777777775E-2</v>
      </c>
      <c r="S35" s="6">
        <f t="shared" ref="S35:S41" si="21">S25*$B$39</f>
        <v>0</v>
      </c>
      <c r="T35" s="2">
        <f t="shared" ref="T35:T41" si="22">$B$40*T25</f>
        <v>0</v>
      </c>
      <c r="U35" s="6">
        <v>0</v>
      </c>
      <c r="V35" s="8">
        <f t="shared" ref="V35:V41" si="23">SUM(O35:U35)</f>
        <v>0.18023371951142808</v>
      </c>
    </row>
    <row r="36" spans="1:22" x14ac:dyDescent="0.2">
      <c r="A36" t="s">
        <v>472</v>
      </c>
      <c r="B36" s="2">
        <f>C18*$B$3</f>
        <v>0.28019925280199248</v>
      </c>
      <c r="N36" t="s">
        <v>370</v>
      </c>
      <c r="O36" s="2">
        <f t="shared" si="17"/>
        <v>1.4536397599909432E-2</v>
      </c>
      <c r="P36" s="2">
        <f t="shared" si="18"/>
        <v>2.0014232342999462E-2</v>
      </c>
      <c r="Q36" s="2">
        <f t="shared" si="19"/>
        <v>2.5925925925925925E-3</v>
      </c>
      <c r="R36" s="2">
        <f t="shared" si="20"/>
        <v>6.6666666666666662E-3</v>
      </c>
      <c r="S36" s="6">
        <f t="shared" si="21"/>
        <v>0</v>
      </c>
      <c r="T36" s="2">
        <f t="shared" si="22"/>
        <v>0</v>
      </c>
      <c r="U36" s="6">
        <v>0</v>
      </c>
      <c r="V36" s="8">
        <f t="shared" si="23"/>
        <v>4.3809889202168155E-2</v>
      </c>
    </row>
    <row r="37" spans="1:22" x14ac:dyDescent="0.2">
      <c r="A37" t="s">
        <v>634</v>
      </c>
      <c r="B37" s="6">
        <f>B6</f>
        <v>7.0000000000000007E-2</v>
      </c>
      <c r="N37" t="s">
        <v>312</v>
      </c>
      <c r="O37" s="2">
        <f t="shared" si="17"/>
        <v>1.9381863466545909E-2</v>
      </c>
      <c r="P37" s="2">
        <f t="shared" si="18"/>
        <v>1.0007116171499731E-2</v>
      </c>
      <c r="Q37" s="2">
        <f t="shared" si="19"/>
        <v>2.5925925925925925E-3</v>
      </c>
      <c r="R37" s="2">
        <f t="shared" si="20"/>
        <v>2.2222222222222222E-3</v>
      </c>
      <c r="S37" s="6">
        <f t="shared" si="21"/>
        <v>0</v>
      </c>
      <c r="T37" s="2">
        <f t="shared" si="22"/>
        <v>0</v>
      </c>
      <c r="U37" s="6">
        <v>0</v>
      </c>
      <c r="V37" s="8">
        <f t="shared" si="23"/>
        <v>3.4203794452860453E-2</v>
      </c>
    </row>
    <row r="38" spans="1:22" x14ac:dyDescent="0.2">
      <c r="A38" t="s">
        <v>569</v>
      </c>
      <c r="B38" s="6">
        <f>B28*B5</f>
        <v>0.12</v>
      </c>
      <c r="N38" t="s">
        <v>585</v>
      </c>
      <c r="O38" s="2">
        <f t="shared" si="17"/>
        <v>2.9072795199818865E-2</v>
      </c>
      <c r="P38" s="2">
        <f t="shared" si="18"/>
        <v>0</v>
      </c>
      <c r="Q38" s="2">
        <f t="shared" si="19"/>
        <v>0</v>
      </c>
      <c r="R38" s="2">
        <f t="shared" si="20"/>
        <v>4.4444444444444444E-3</v>
      </c>
      <c r="S38" s="6">
        <f t="shared" si="21"/>
        <v>0</v>
      </c>
      <c r="T38" s="2">
        <f t="shared" si="22"/>
        <v>0</v>
      </c>
      <c r="U38" s="6">
        <v>0</v>
      </c>
      <c r="V38" s="8">
        <f t="shared" si="23"/>
        <v>3.3517239644263307E-2</v>
      </c>
    </row>
    <row r="39" spans="1:22" x14ac:dyDescent="0.2">
      <c r="A39" t="s">
        <v>642</v>
      </c>
      <c r="B39" s="6">
        <f>($B$23*$B$4)*0.66</f>
        <v>9.9330000000000002E-2</v>
      </c>
      <c r="N39" t="s">
        <v>313</v>
      </c>
      <c r="O39" s="2">
        <f t="shared" si="17"/>
        <v>4.8454658666364772E-3</v>
      </c>
      <c r="P39" s="2">
        <f t="shared" si="18"/>
        <v>2.0014232342999462E-2</v>
      </c>
      <c r="Q39" s="2">
        <f t="shared" si="19"/>
        <v>5.185185185185185E-3</v>
      </c>
      <c r="R39" s="2">
        <f t="shared" si="20"/>
        <v>8.8888888888888889E-3</v>
      </c>
      <c r="S39" s="6">
        <f t="shared" si="21"/>
        <v>0</v>
      </c>
      <c r="T39" s="2">
        <f t="shared" si="22"/>
        <v>0</v>
      </c>
      <c r="U39" s="6">
        <v>0</v>
      </c>
      <c r="V39" s="8">
        <f t="shared" si="23"/>
        <v>3.8933772283710012E-2</v>
      </c>
    </row>
    <row r="40" spans="1:22" x14ac:dyDescent="0.2">
      <c r="A40" t="s">
        <v>474</v>
      </c>
      <c r="B40" s="6">
        <f>($B$23*$B$4)*0.34</f>
        <v>5.117E-2</v>
      </c>
      <c r="N40" t="s">
        <v>329</v>
      </c>
      <c r="O40" s="2">
        <f t="shared" si="17"/>
        <v>0</v>
      </c>
      <c r="P40" s="2">
        <f t="shared" si="18"/>
        <v>0</v>
      </c>
      <c r="Q40" s="2">
        <f t="shared" si="19"/>
        <v>0</v>
      </c>
      <c r="R40" s="2">
        <f t="shared" si="20"/>
        <v>0</v>
      </c>
      <c r="S40" s="6">
        <f t="shared" si="21"/>
        <v>9.9330000000000002E-2</v>
      </c>
      <c r="T40" s="2">
        <f t="shared" si="22"/>
        <v>0</v>
      </c>
      <c r="U40" s="6">
        <v>0</v>
      </c>
      <c r="V40" s="8">
        <f t="shared" si="23"/>
        <v>9.9330000000000002E-2</v>
      </c>
    </row>
    <row r="41" spans="1:22" x14ac:dyDescent="0.2">
      <c r="A41" t="s">
        <v>192</v>
      </c>
      <c r="B41" s="6">
        <v>0.06</v>
      </c>
      <c r="N41" t="s">
        <v>248</v>
      </c>
      <c r="O41" s="2">
        <f t="shared" si="17"/>
        <v>6.7836522132910679E-2</v>
      </c>
      <c r="P41" s="2">
        <f t="shared" si="18"/>
        <v>4.0028464685998924E-2</v>
      </c>
      <c r="Q41" s="2">
        <f t="shared" si="19"/>
        <v>7.7777777777777784E-3</v>
      </c>
      <c r="R41" s="2">
        <f t="shared" si="20"/>
        <v>1.3333333333333332E-2</v>
      </c>
      <c r="S41" s="6">
        <f t="shared" si="21"/>
        <v>0</v>
      </c>
      <c r="T41" s="2">
        <f t="shared" si="22"/>
        <v>0</v>
      </c>
      <c r="U41" s="6">
        <v>0.06</v>
      </c>
      <c r="V41" s="8">
        <f t="shared" si="23"/>
        <v>0.18897609793002071</v>
      </c>
    </row>
    <row r="42" spans="1:22" x14ac:dyDescent="0.2">
      <c r="O42" s="6"/>
      <c r="P42" s="6"/>
      <c r="Q42" s="6"/>
      <c r="R42" s="6"/>
      <c r="S42" s="6"/>
      <c r="T42" s="6"/>
      <c r="U42" s="6"/>
      <c r="V42" s="6">
        <f>SUM(V34:V41)</f>
        <v>1.0004999999999999</v>
      </c>
    </row>
    <row r="43" spans="1:22" ht="16" thickBot="1" x14ac:dyDescent="0.25"/>
    <row r="44" spans="1:22" x14ac:dyDescent="0.2">
      <c r="A44" s="11"/>
      <c r="B44" s="12" t="s">
        <v>650</v>
      </c>
    </row>
    <row r="45" spans="1:22" x14ac:dyDescent="0.2">
      <c r="A45" s="13" t="str">
        <f>N34</f>
        <v>Packaging</v>
      </c>
      <c r="B45" s="14">
        <f>V34</f>
        <v>0.38149548697554919</v>
      </c>
    </row>
    <row r="46" spans="1:22" x14ac:dyDescent="0.2">
      <c r="A46" s="13" t="str">
        <f t="shared" ref="A46:A51" si="24">N35</f>
        <v>Building &amp; Construction</v>
      </c>
      <c r="B46" s="14">
        <f t="shared" ref="B46:B51" si="25">V35</f>
        <v>0.18023371951142808</v>
      </c>
    </row>
    <row r="47" spans="1:22" x14ac:dyDescent="0.2">
      <c r="A47" s="13" t="str">
        <f t="shared" si="24"/>
        <v>Automotive</v>
      </c>
      <c r="B47" s="14">
        <f t="shared" si="25"/>
        <v>4.3809889202168155E-2</v>
      </c>
    </row>
    <row r="48" spans="1:22" x14ac:dyDescent="0.2">
      <c r="A48" s="13" t="str">
        <f t="shared" si="24"/>
        <v>Electrical &amp; Electronics</v>
      </c>
      <c r="B48" s="14">
        <f t="shared" si="25"/>
        <v>3.4203794452860453E-2</v>
      </c>
    </row>
    <row r="49" spans="1:6" x14ac:dyDescent="0.2">
      <c r="A49" s="13" t="str">
        <f t="shared" si="24"/>
        <v>Agriculture</v>
      </c>
      <c r="B49" s="14">
        <f t="shared" si="25"/>
        <v>3.3517239644263307E-2</v>
      </c>
    </row>
    <row r="50" spans="1:6" x14ac:dyDescent="0.2">
      <c r="A50" s="13" t="str">
        <f t="shared" si="24"/>
        <v>Household, leisure &amp; sports</v>
      </c>
      <c r="B50" s="14">
        <f t="shared" si="25"/>
        <v>3.8933772283710012E-2</v>
      </c>
    </row>
    <row r="51" spans="1:6" x14ac:dyDescent="0.2">
      <c r="A51" s="13" t="str">
        <f t="shared" si="24"/>
        <v>Textiles</v>
      </c>
      <c r="B51" s="14">
        <f t="shared" si="25"/>
        <v>9.9330000000000002E-2</v>
      </c>
    </row>
    <row r="52" spans="1:6" x14ac:dyDescent="0.2">
      <c r="A52" s="15" t="s">
        <v>585</v>
      </c>
      <c r="B52" s="14">
        <v>0</v>
      </c>
    </row>
    <row r="53" spans="1:6" ht="16" thickBot="1" x14ac:dyDescent="0.25">
      <c r="A53" s="16" t="str">
        <f>N41</f>
        <v>Others</v>
      </c>
      <c r="B53" s="17">
        <f>V41</f>
        <v>0.18897609793002071</v>
      </c>
    </row>
    <row r="54" spans="1:6" x14ac:dyDescent="0.2">
      <c r="B54" s="6"/>
    </row>
    <row r="56" spans="1:6" s="19" customFormat="1" ht="33.5" customHeight="1" x14ac:dyDescent="0.2">
      <c r="A56" s="19" t="s">
        <v>605</v>
      </c>
    </row>
    <row r="62" spans="1:6" x14ac:dyDescent="0.2">
      <c r="C62" s="1" t="s">
        <v>607</v>
      </c>
      <c r="D62" s="1" t="s">
        <v>608</v>
      </c>
      <c r="E62" s="1" t="s">
        <v>96</v>
      </c>
      <c r="F62" s="1" t="s">
        <v>609</v>
      </c>
    </row>
    <row r="63" spans="1:6" x14ac:dyDescent="0.2">
      <c r="A63" t="s">
        <v>610</v>
      </c>
      <c r="C63" s="6">
        <f>B45</f>
        <v>0.38149548697554919</v>
      </c>
      <c r="D63" s="6">
        <v>-0.3</v>
      </c>
      <c r="E63" t="s">
        <v>99</v>
      </c>
    </row>
    <row r="64" spans="1:6" x14ac:dyDescent="0.2">
      <c r="A64" t="s">
        <v>611</v>
      </c>
      <c r="C64" s="6">
        <f>B45</f>
        <v>0.38149548697554919</v>
      </c>
      <c r="D64" s="6">
        <v>-0.17</v>
      </c>
      <c r="E64" t="s">
        <v>99</v>
      </c>
    </row>
    <row r="65" spans="1:6" x14ac:dyDescent="0.2">
      <c r="A65" t="str">
        <f>A46</f>
        <v>Building &amp; Construction</v>
      </c>
      <c r="C65" s="6">
        <f>B46</f>
        <v>0.18023371951142808</v>
      </c>
      <c r="D65" t="s">
        <v>623</v>
      </c>
      <c r="E65" t="s">
        <v>623</v>
      </c>
    </row>
    <row r="66" spans="1:6" x14ac:dyDescent="0.2">
      <c r="A66" t="s">
        <v>329</v>
      </c>
      <c r="C66" s="6">
        <f>B51</f>
        <v>9.9330000000000002E-2</v>
      </c>
      <c r="D66" s="6">
        <v>-0.9</v>
      </c>
      <c r="E66" t="s">
        <v>619</v>
      </c>
      <c r="F66" t="s">
        <v>620</v>
      </c>
    </row>
  </sheetData>
  <hyperlinks>
    <hyperlink ref="E29" r:id="rId1" xr:uid="{00000000-0004-0000-0100-000000000000}"/>
  </hyperlinks>
  <pageMargins left="0.7" right="0.7" top="0.75" bottom="0.75" header="0.3" footer="0.3"/>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5E67D9-A440-424C-963C-DD26768A7BCB}">
  <sheetPr>
    <tabColor theme="7"/>
  </sheetPr>
  <dimension ref="A1:AT28"/>
  <sheetViews>
    <sheetView zoomScale="90" zoomScaleNormal="90" workbookViewId="0">
      <selection activeCell="C18" sqref="C18"/>
    </sheetView>
  </sheetViews>
  <sheetFormatPr baseColWidth="10" defaultColWidth="8.83203125" defaultRowHeight="15" x14ac:dyDescent="0.2"/>
  <cols>
    <col min="1" max="1" width="15.5" customWidth="1"/>
    <col min="12" max="12" width="12.1640625" customWidth="1"/>
  </cols>
  <sheetData>
    <row r="1" spans="1:46" s="68" customFormat="1" x14ac:dyDescent="0.2">
      <c r="A1" s="62" t="s">
        <v>517</v>
      </c>
      <c r="M1" s="62" t="s">
        <v>518</v>
      </c>
    </row>
    <row r="2" spans="1:46" x14ac:dyDescent="0.2">
      <c r="B2" s="1">
        <v>2015</v>
      </c>
      <c r="C2" s="1">
        <v>2017</v>
      </c>
      <c r="D2" s="1">
        <v>2020</v>
      </c>
      <c r="E2" s="1">
        <v>2025</v>
      </c>
      <c r="F2" s="1">
        <v>2030</v>
      </c>
      <c r="G2" s="1">
        <v>2035</v>
      </c>
      <c r="H2" s="1">
        <v>2040</v>
      </c>
      <c r="I2" s="1">
        <v>2045</v>
      </c>
      <c r="J2" s="1">
        <v>2050</v>
      </c>
      <c r="N2">
        <v>2020</v>
      </c>
      <c r="O2">
        <f>N2+1</f>
        <v>2021</v>
      </c>
      <c r="P2">
        <f t="shared" ref="P2:AR2" si="0">O2+1</f>
        <v>2022</v>
      </c>
      <c r="Q2">
        <f t="shared" si="0"/>
        <v>2023</v>
      </c>
      <c r="R2">
        <f t="shared" si="0"/>
        <v>2024</v>
      </c>
      <c r="S2">
        <f t="shared" si="0"/>
        <v>2025</v>
      </c>
      <c r="T2">
        <f t="shared" si="0"/>
        <v>2026</v>
      </c>
      <c r="U2">
        <f t="shared" si="0"/>
        <v>2027</v>
      </c>
      <c r="V2">
        <f t="shared" si="0"/>
        <v>2028</v>
      </c>
      <c r="W2">
        <f t="shared" si="0"/>
        <v>2029</v>
      </c>
      <c r="X2">
        <f t="shared" si="0"/>
        <v>2030</v>
      </c>
      <c r="Y2">
        <f t="shared" si="0"/>
        <v>2031</v>
      </c>
      <c r="Z2">
        <f t="shared" si="0"/>
        <v>2032</v>
      </c>
      <c r="AA2">
        <f t="shared" si="0"/>
        <v>2033</v>
      </c>
      <c r="AB2">
        <f>AA2+1</f>
        <v>2034</v>
      </c>
      <c r="AC2">
        <f t="shared" si="0"/>
        <v>2035</v>
      </c>
      <c r="AD2">
        <f t="shared" si="0"/>
        <v>2036</v>
      </c>
      <c r="AE2">
        <f t="shared" si="0"/>
        <v>2037</v>
      </c>
      <c r="AF2">
        <f t="shared" si="0"/>
        <v>2038</v>
      </c>
      <c r="AG2">
        <f t="shared" si="0"/>
        <v>2039</v>
      </c>
      <c r="AH2">
        <f t="shared" si="0"/>
        <v>2040</v>
      </c>
      <c r="AI2">
        <f t="shared" si="0"/>
        <v>2041</v>
      </c>
      <c r="AJ2">
        <f t="shared" si="0"/>
        <v>2042</v>
      </c>
      <c r="AK2">
        <f t="shared" si="0"/>
        <v>2043</v>
      </c>
      <c r="AL2">
        <f t="shared" si="0"/>
        <v>2044</v>
      </c>
      <c r="AM2">
        <f>AL2+1</f>
        <v>2045</v>
      </c>
      <c r="AN2">
        <f t="shared" si="0"/>
        <v>2046</v>
      </c>
      <c r="AO2">
        <f t="shared" si="0"/>
        <v>2047</v>
      </c>
      <c r="AP2">
        <f t="shared" si="0"/>
        <v>2048</v>
      </c>
      <c r="AQ2">
        <f>AP2+1</f>
        <v>2049</v>
      </c>
      <c r="AR2">
        <f t="shared" si="0"/>
        <v>2050</v>
      </c>
      <c r="AT2" t="s">
        <v>46</v>
      </c>
    </row>
    <row r="3" spans="1:46" x14ac:dyDescent="0.2">
      <c r="A3" s="1" t="s">
        <v>821</v>
      </c>
      <c r="B3" s="51">
        <v>101</v>
      </c>
      <c r="C3" s="51">
        <v>108</v>
      </c>
      <c r="D3" s="51"/>
      <c r="E3" s="51">
        <v>131</v>
      </c>
      <c r="F3" s="51">
        <v>142</v>
      </c>
      <c r="G3" s="51">
        <v>149</v>
      </c>
      <c r="H3" s="51">
        <v>156</v>
      </c>
      <c r="I3" s="51">
        <v>159</v>
      </c>
      <c r="J3" s="51">
        <v>161</v>
      </c>
      <c r="L3" t="s">
        <v>520</v>
      </c>
      <c r="M3" s="52" t="s">
        <v>821</v>
      </c>
      <c r="N3" s="98">
        <f>C3*($E3/$C3)^(1/8)*($E3/$C3)^(1/8)*($E3/$C3)^(1/8)</f>
        <v>116.10918671199683</v>
      </c>
      <c r="O3" s="98">
        <f>N3*($E3/$C3)^(1/8)</f>
        <v>118.94536560959409</v>
      </c>
      <c r="P3" s="98">
        <f>O3*($E3/$C3)^(1/8)</f>
        <v>121.85082335554922</v>
      </c>
      <c r="Q3" s="98">
        <f t="shared" ref="Q3:R3" si="1">P3*($E3/$C3)^(1/8)</f>
        <v>124.82725221223463</v>
      </c>
      <c r="R3" s="98">
        <f t="shared" si="1"/>
        <v>127.87638577862117</v>
      </c>
      <c r="S3" s="98">
        <f>E3</f>
        <v>131</v>
      </c>
      <c r="T3" s="98">
        <f>S3*($X3/$S3)^(1/5)</f>
        <v>133.12962399313108</v>
      </c>
      <c r="U3" s="98">
        <f t="shared" ref="U3:V3" si="2">T3*($X3/$S3)^(1/5)</f>
        <v>135.29386858436993</v>
      </c>
      <c r="V3" s="98">
        <f t="shared" si="2"/>
        <v>137.49329658941417</v>
      </c>
      <c r="W3" s="98">
        <f>V3*($X3/$S3)^(1/5)</f>
        <v>139.72847997347145</v>
      </c>
      <c r="X3" s="98">
        <f>F3</f>
        <v>142</v>
      </c>
      <c r="Y3" s="98">
        <f>X3*($AC3/$X3)^(1/5)</f>
        <v>143.37318371127816</v>
      </c>
      <c r="Z3" s="98">
        <f t="shared" ref="Z3:AB3" si="3">Y3*($AC3/$X3)^(1/5)</f>
        <v>144.75964653174591</v>
      </c>
      <c r="AA3" s="98">
        <f t="shared" si="3"/>
        <v>146.15951687447676</v>
      </c>
      <c r="AB3" s="98">
        <f t="shared" si="3"/>
        <v>147.57292439433817</v>
      </c>
      <c r="AC3" s="98">
        <f>G3</f>
        <v>149</v>
      </c>
      <c r="AD3" s="98">
        <f>AC3*($AH3/$AC3)^(1/5)</f>
        <v>150.37440931484167</v>
      </c>
      <c r="AE3" s="98">
        <f t="shared" ref="AE3:AG3" si="4">AD3*($AH3/$AC3)^(1/5)</f>
        <v>151.76149648850699</v>
      </c>
      <c r="AF3" s="98">
        <f t="shared" si="4"/>
        <v>153.1613784644004</v>
      </c>
      <c r="AG3" s="98">
        <f t="shared" si="4"/>
        <v>154.5741732646384</v>
      </c>
      <c r="AH3" s="98">
        <f>H3</f>
        <v>156</v>
      </c>
      <c r="AI3" s="98">
        <f>AH3*($AM3/$AH3)^(1/5)</f>
        <v>156.5954371632547</v>
      </c>
      <c r="AJ3" s="98">
        <f t="shared" ref="AJ3:AL3" si="5">AI3*($AM3/$AH3)^(1/5)</f>
        <v>157.19314705353111</v>
      </c>
      <c r="AK3" s="98">
        <f t="shared" si="5"/>
        <v>157.79313834561211</v>
      </c>
      <c r="AL3" s="98">
        <f t="shared" si="5"/>
        <v>158.3954197473914</v>
      </c>
      <c r="AM3" s="98">
        <f>I3</f>
        <v>159</v>
      </c>
      <c r="AN3" s="98">
        <f>AM3*($AR3/$AM3)^(1/5)</f>
        <v>159.39800247817999</v>
      </c>
      <c r="AO3" s="98">
        <f t="shared" ref="AO3:AQ3" si="6">AN3*($AR3/$AM3)^(1/5)</f>
        <v>159.79700122033884</v>
      </c>
      <c r="AP3" s="98">
        <f t="shared" si="6"/>
        <v>160.19699872028491</v>
      </c>
      <c r="AQ3" s="98">
        <f t="shared" si="6"/>
        <v>160.597997478069</v>
      </c>
      <c r="AR3" s="98">
        <f>J3</f>
        <v>161</v>
      </c>
      <c r="AT3" s="23">
        <f>(AR3/N3)^(1/30)-1</f>
        <v>1.0955353563799175E-2</v>
      </c>
    </row>
    <row r="4" spans="1:46" x14ac:dyDescent="0.2">
      <c r="A4" s="1"/>
      <c r="B4" s="51"/>
      <c r="C4" s="51"/>
      <c r="D4" s="110">
        <f>(C3/B3)^(1/2)-1</f>
        <v>3.4072981318566953E-2</v>
      </c>
      <c r="E4" s="110">
        <f>(E3/C3)^(1/8)-1</f>
        <v>2.4426825972283073E-2</v>
      </c>
      <c r="F4" s="110">
        <f>(F3/E3)^(1/5)-1</f>
        <v>1.6256671703290593E-2</v>
      </c>
      <c r="G4" s="110">
        <f>(G3/F3)^(1/5)-1</f>
        <v>9.6703078259026132E-3</v>
      </c>
      <c r="H4" s="110">
        <f>(H3/G3)^(1/5)-1</f>
        <v>9.2242235895414471E-3</v>
      </c>
      <c r="I4" s="110">
        <f>(I3/H3)^(1/5)-1</f>
        <v>3.8169048926584015E-3</v>
      </c>
      <c r="J4" s="110">
        <f>(J3/I3)^(1/5)-1</f>
        <v>2.5031602401257569E-3</v>
      </c>
      <c r="M4" s="52"/>
      <c r="N4" s="98"/>
      <c r="O4" s="98"/>
      <c r="P4" s="98"/>
      <c r="Q4" s="98"/>
      <c r="R4" s="98"/>
      <c r="S4" s="98"/>
      <c r="T4" s="98"/>
      <c r="U4" s="98"/>
      <c r="V4" s="98"/>
      <c r="W4" s="98"/>
      <c r="X4" s="98"/>
      <c r="Y4" s="98"/>
      <c r="Z4" s="98"/>
      <c r="AA4" s="98"/>
      <c r="AB4" s="98"/>
      <c r="AC4" s="98"/>
      <c r="AD4" s="98"/>
      <c r="AE4" s="98"/>
      <c r="AF4" s="98"/>
      <c r="AG4" s="98"/>
      <c r="AH4" s="98"/>
      <c r="AI4" s="98"/>
      <c r="AJ4" s="98"/>
      <c r="AK4" s="98"/>
      <c r="AL4" s="98"/>
      <c r="AM4" s="98"/>
      <c r="AN4" s="98"/>
      <c r="AO4" s="98"/>
      <c r="AP4" s="98"/>
      <c r="AQ4" s="98"/>
      <c r="AR4" s="98"/>
      <c r="AT4" s="23"/>
    </row>
    <row r="5" spans="1:46" x14ac:dyDescent="0.2">
      <c r="A5" s="158" t="s">
        <v>524</v>
      </c>
    </row>
    <row r="6" spans="1:46" x14ac:dyDescent="0.2">
      <c r="B6" s="1">
        <v>2015</v>
      </c>
      <c r="C6" s="1">
        <v>2017</v>
      </c>
      <c r="D6" s="1">
        <v>2020</v>
      </c>
      <c r="E6" s="1">
        <v>2025</v>
      </c>
      <c r="F6" s="1">
        <v>2030</v>
      </c>
      <c r="G6" s="1">
        <v>2035</v>
      </c>
      <c r="H6" s="1">
        <v>2040</v>
      </c>
      <c r="I6" s="1">
        <v>2045</v>
      </c>
      <c r="J6" s="1">
        <v>2050</v>
      </c>
      <c r="M6" s="1" t="s">
        <v>822</v>
      </c>
    </row>
    <row r="7" spans="1:46" x14ac:dyDescent="0.2">
      <c r="A7" s="1" t="s">
        <v>7</v>
      </c>
      <c r="B7" s="43">
        <f>B$3*$C16</f>
        <v>45.087408949011447</v>
      </c>
      <c r="C7" s="43">
        <f>C$3*$C16</f>
        <v>48.212278876170657</v>
      </c>
      <c r="E7" s="43">
        <f t="shared" ref="E7:J8" si="7">E$3*$C16</f>
        <v>58.479708636836634</v>
      </c>
      <c r="F7" s="43">
        <f t="shared" si="7"/>
        <v>63.390218522372535</v>
      </c>
      <c r="G7" s="43">
        <f t="shared" si="7"/>
        <v>66.515088449531746</v>
      </c>
      <c r="H7" s="43">
        <f t="shared" si="7"/>
        <v>69.639958376690956</v>
      </c>
      <c r="I7" s="43">
        <f t="shared" si="7"/>
        <v>70.979188345473474</v>
      </c>
      <c r="J7" s="43">
        <f t="shared" si="7"/>
        <v>71.87200832466182</v>
      </c>
      <c r="M7" s="1" t="s">
        <v>7</v>
      </c>
      <c r="N7" s="43">
        <f>N$3*$C16</f>
        <v>51.832300831890365</v>
      </c>
      <c r="O7" s="43">
        <f t="shared" ref="O7:AR7" si="8">O$3*$C16</f>
        <v>53.098399424053973</v>
      </c>
      <c r="P7" s="43">
        <f t="shared" si="8"/>
        <v>54.395424786192116</v>
      </c>
      <c r="Q7" s="43">
        <f t="shared" si="8"/>
        <v>55.724132361132838</v>
      </c>
      <c r="R7" s="43">
        <f t="shared" si="8"/>
        <v>57.085296044774701</v>
      </c>
      <c r="S7" s="43">
        <f t="shared" si="8"/>
        <v>58.479708636836634</v>
      </c>
      <c r="T7" s="43">
        <f t="shared" si="8"/>
        <v>59.430394061449775</v>
      </c>
      <c r="U7" s="43">
        <f t="shared" si="8"/>
        <v>60.396534466903958</v>
      </c>
      <c r="V7" s="43">
        <f t="shared" si="8"/>
        <v>61.378381099748893</v>
      </c>
      <c r="W7" s="43">
        <f t="shared" si="8"/>
        <v>62.37618929096697</v>
      </c>
      <c r="X7" s="43">
        <f t="shared" si="8"/>
        <v>63.390218522372535</v>
      </c>
      <c r="Y7" s="43">
        <f t="shared" si="8"/>
        <v>64.003221448635102</v>
      </c>
      <c r="Z7" s="43">
        <f t="shared" si="8"/>
        <v>64.622152301892825</v>
      </c>
      <c r="AA7" s="43">
        <f t="shared" si="8"/>
        <v>65.247068407024486</v>
      </c>
      <c r="AB7" s="43">
        <f t="shared" si="8"/>
        <v>65.87802764325815</v>
      </c>
      <c r="AC7" s="43">
        <f t="shared" si="8"/>
        <v>66.515088449531746</v>
      </c>
      <c r="AD7" s="43">
        <f t="shared" si="8"/>
        <v>67.128638497468344</v>
      </c>
      <c r="AE7" s="43">
        <f t="shared" si="8"/>
        <v>67.747848068230496</v>
      </c>
      <c r="AF7" s="43">
        <f t="shared" si="8"/>
        <v>68.372769366522135</v>
      </c>
      <c r="AG7" s="43">
        <f t="shared" si="8"/>
        <v>69.003455078595096</v>
      </c>
      <c r="AH7" s="43">
        <f t="shared" si="8"/>
        <v>69.639958376690956</v>
      </c>
      <c r="AI7" s="43">
        <f t="shared" si="8"/>
        <v>69.905767474543467</v>
      </c>
      <c r="AJ7" s="43">
        <f t="shared" si="8"/>
        <v>70.172591140442094</v>
      </c>
      <c r="AK7" s="43">
        <f t="shared" si="8"/>
        <v>70.440433246896561</v>
      </c>
      <c r="AL7" s="43">
        <f t="shared" si="8"/>
        <v>70.709297681197626</v>
      </c>
      <c r="AM7" s="43">
        <f t="shared" si="8"/>
        <v>70.979188345473474</v>
      </c>
      <c r="AN7" s="43">
        <f t="shared" si="8"/>
        <v>71.156860627616254</v>
      </c>
      <c r="AO7" s="43">
        <f t="shared" si="8"/>
        <v>71.334977651951476</v>
      </c>
      <c r="AP7" s="43">
        <f t="shared" si="8"/>
        <v>71.513540531740091</v>
      </c>
      <c r="AQ7" s="43">
        <f t="shared" si="8"/>
        <v>71.692550383029769</v>
      </c>
      <c r="AR7" s="43">
        <f t="shared" si="8"/>
        <v>71.87200832466182</v>
      </c>
    </row>
    <row r="8" spans="1:46" x14ac:dyDescent="0.2">
      <c r="A8" s="1" t="s">
        <v>8</v>
      </c>
      <c r="B8" s="43">
        <f>B$3*$C17</f>
        <v>12.191467221644121</v>
      </c>
      <c r="C8" s="43">
        <f>C$3*$C17</f>
        <v>13.036420395421437</v>
      </c>
      <c r="E8" s="43">
        <f t="shared" si="7"/>
        <v>15.812695109261186</v>
      </c>
      <c r="F8" s="43">
        <f t="shared" si="7"/>
        <v>17.140478668054111</v>
      </c>
      <c r="G8" s="43">
        <f t="shared" si="7"/>
        <v>17.985431841831428</v>
      </c>
      <c r="H8" s="43">
        <f t="shared" si="7"/>
        <v>18.830385015608741</v>
      </c>
      <c r="I8" s="43">
        <f t="shared" si="7"/>
        <v>19.192507804370447</v>
      </c>
      <c r="J8" s="43">
        <f t="shared" si="7"/>
        <v>19.433922996878252</v>
      </c>
      <c r="M8" s="1" t="s">
        <v>8</v>
      </c>
      <c r="N8" s="43">
        <f t="shared" ref="N8:AR8" si="9">N$3*$C17</f>
        <v>14.015260831000658</v>
      </c>
      <c r="O8" s="43">
        <f t="shared" si="9"/>
        <v>14.357609168275665</v>
      </c>
      <c r="P8" s="43">
        <f t="shared" si="9"/>
        <v>14.70831998880719</v>
      </c>
      <c r="Q8" s="43">
        <f t="shared" si="9"/>
        <v>15.067597561518436</v>
      </c>
      <c r="R8" s="43">
        <f t="shared" si="9"/>
        <v>15.435651144974043</v>
      </c>
      <c r="S8" s="43">
        <f t="shared" si="9"/>
        <v>15.812695109261186</v>
      </c>
      <c r="T8" s="43">
        <f t="shared" si="9"/>
        <v>16.069756902396676</v>
      </c>
      <c r="U8" s="43">
        <f t="shared" si="9"/>
        <v>16.330997664710626</v>
      </c>
      <c r="V8" s="43">
        <f t="shared" si="9"/>
        <v>16.596485332333032</v>
      </c>
      <c r="W8" s="43">
        <f t="shared" si="9"/>
        <v>16.866288945809249</v>
      </c>
      <c r="X8" s="43">
        <f t="shared" si="9"/>
        <v>17.140478668054111</v>
      </c>
      <c r="Y8" s="43">
        <f t="shared" si="9"/>
        <v>17.306232373057512</v>
      </c>
      <c r="Z8" s="43">
        <f t="shared" si="9"/>
        <v>17.47358896741158</v>
      </c>
      <c r="AA8" s="43">
        <f t="shared" si="9"/>
        <v>17.642563951549747</v>
      </c>
      <c r="AB8" s="43">
        <f t="shared" si="9"/>
        <v>17.813172975799407</v>
      </c>
      <c r="AC8" s="43">
        <f t="shared" si="9"/>
        <v>17.985431841831428</v>
      </c>
      <c r="AD8" s="43">
        <f t="shared" si="9"/>
        <v>18.151333486494938</v>
      </c>
      <c r="AE8" s="43">
        <f t="shared" si="9"/>
        <v>18.318765445022699</v>
      </c>
      <c r="AF8" s="43">
        <f t="shared" si="9"/>
        <v>18.487741833371953</v>
      </c>
      <c r="AG8" s="43">
        <f t="shared" si="9"/>
        <v>18.658276897708696</v>
      </c>
      <c r="AH8" s="43">
        <f t="shared" si="9"/>
        <v>18.830385015608741</v>
      </c>
      <c r="AI8" s="43">
        <f t="shared" si="9"/>
        <v>18.902258804305458</v>
      </c>
      <c r="AJ8" s="43">
        <f t="shared" si="9"/>
        <v>18.974406928417906</v>
      </c>
      <c r="AK8" s="43">
        <f t="shared" si="9"/>
        <v>19.046830435058279</v>
      </c>
      <c r="AL8" s="43">
        <f t="shared" si="9"/>
        <v>19.119530375335486</v>
      </c>
      <c r="AM8" s="43">
        <f t="shared" si="9"/>
        <v>19.192507804370447</v>
      </c>
      <c r="AN8" s="43">
        <f t="shared" si="9"/>
        <v>19.240549726814653</v>
      </c>
      <c r="AO8" s="43">
        <f t="shared" si="9"/>
        <v>19.288711905888977</v>
      </c>
      <c r="AP8" s="43">
        <f t="shared" si="9"/>
        <v>19.336994642615036</v>
      </c>
      <c r="AQ8" s="43">
        <f t="shared" si="9"/>
        <v>19.385398238767955</v>
      </c>
      <c r="AR8" s="43">
        <f t="shared" si="9"/>
        <v>19.433922996878252</v>
      </c>
    </row>
    <row r="9" spans="1:46" x14ac:dyDescent="0.2">
      <c r="A9" s="1" t="s">
        <v>9</v>
      </c>
      <c r="B9" s="43">
        <f>SUM(B10:B12)</f>
        <v>43.721123829344435</v>
      </c>
      <c r="C9" s="43">
        <f t="shared" ref="C9:J9" si="10">SUM(C10:C12)</f>
        <v>46.751300728407905</v>
      </c>
      <c r="D9" s="43">
        <f t="shared" si="10"/>
        <v>0</v>
      </c>
      <c r="E9" s="43">
        <f t="shared" si="10"/>
        <v>56.707596253902189</v>
      </c>
      <c r="F9" s="43">
        <f t="shared" si="10"/>
        <v>61.469302809573364</v>
      </c>
      <c r="G9" s="43">
        <f t="shared" si="10"/>
        <v>64.499479708636841</v>
      </c>
      <c r="H9" s="43">
        <f t="shared" si="10"/>
        <v>67.529656607700318</v>
      </c>
      <c r="I9" s="43">
        <f t="shared" si="10"/>
        <v>68.82830385015609</v>
      </c>
      <c r="J9" s="43">
        <f t="shared" si="10"/>
        <v>69.694068678459942</v>
      </c>
      <c r="M9" s="1" t="s">
        <v>9</v>
      </c>
      <c r="N9" s="43">
        <f>SUM(N10:N12)</f>
        <v>50.26162504910581</v>
      </c>
      <c r="O9" s="43">
        <f t="shared" ref="O9:AR9" si="11">SUM(O10:O12)</f>
        <v>51.48935701726446</v>
      </c>
      <c r="P9" s="43">
        <f t="shared" si="11"/>
        <v>52.747078580549932</v>
      </c>
      <c r="Q9" s="43">
        <f t="shared" si="11"/>
        <v>54.035522289583362</v>
      </c>
      <c r="R9" s="43">
        <f t="shared" si="11"/>
        <v>55.355438588872431</v>
      </c>
      <c r="S9" s="43">
        <f t="shared" si="11"/>
        <v>56.707596253902189</v>
      </c>
      <c r="T9" s="43">
        <f t="shared" si="11"/>
        <v>57.62947302928464</v>
      </c>
      <c r="U9" s="43">
        <f t="shared" si="11"/>
        <v>58.566336452755358</v>
      </c>
      <c r="V9" s="43">
        <f t="shared" si="11"/>
        <v>59.518430157332254</v>
      </c>
      <c r="W9" s="43">
        <f t="shared" si="11"/>
        <v>60.486001736695236</v>
      </c>
      <c r="X9" s="43">
        <f t="shared" si="11"/>
        <v>61.469302809573364</v>
      </c>
      <c r="Y9" s="43">
        <f t="shared" si="11"/>
        <v>62.063729889585559</v>
      </c>
      <c r="Z9" s="43">
        <f t="shared" si="11"/>
        <v>62.663905262441524</v>
      </c>
      <c r="AA9" s="43">
        <f t="shared" si="11"/>
        <v>63.269884515902532</v>
      </c>
      <c r="AB9" s="43">
        <f t="shared" si="11"/>
        <v>63.881723775280626</v>
      </c>
      <c r="AC9" s="43">
        <f t="shared" si="11"/>
        <v>64.499479708636841</v>
      </c>
      <c r="AD9" s="43">
        <f t="shared" si="11"/>
        <v>65.094437330878407</v>
      </c>
      <c r="AE9" s="43">
        <f t="shared" si="11"/>
        <v>65.694882975253819</v>
      </c>
      <c r="AF9" s="43">
        <f t="shared" si="11"/>
        <v>66.300867264506323</v>
      </c>
      <c r="AG9" s="43">
        <f t="shared" si="11"/>
        <v>66.912441288334634</v>
      </c>
      <c r="AH9" s="43">
        <f t="shared" si="11"/>
        <v>67.529656607700318</v>
      </c>
      <c r="AI9" s="43">
        <f t="shared" si="11"/>
        <v>67.787410884405801</v>
      </c>
      <c r="AJ9" s="43">
        <f t="shared" si="11"/>
        <v>68.04614898467112</v>
      </c>
      <c r="AK9" s="43">
        <f t="shared" si="11"/>
        <v>68.305874663657264</v>
      </c>
      <c r="AL9" s="43">
        <f t="shared" si="11"/>
        <v>68.566591690858303</v>
      </c>
      <c r="AM9" s="43">
        <f t="shared" si="11"/>
        <v>68.82830385015609</v>
      </c>
      <c r="AN9" s="43">
        <f t="shared" si="11"/>
        <v>69.000592123749101</v>
      </c>
      <c r="AO9" s="43">
        <f t="shared" si="11"/>
        <v>69.173311662498406</v>
      </c>
      <c r="AP9" s="43">
        <f t="shared" si="11"/>
        <v>69.346463545929794</v>
      </c>
      <c r="AQ9" s="43">
        <f t="shared" si="11"/>
        <v>69.520048856271288</v>
      </c>
      <c r="AR9" s="43">
        <f t="shared" si="11"/>
        <v>69.694068678459942</v>
      </c>
    </row>
    <row r="10" spans="1:46" x14ac:dyDescent="0.2">
      <c r="A10" s="1" t="s">
        <v>823</v>
      </c>
      <c r="B10" s="43">
        <f t="shared" ref="B10:C12" si="12">B$3*$C18</f>
        <v>39.306971904266391</v>
      </c>
      <c r="C10" s="43">
        <f t="shared" si="12"/>
        <v>42.031217481789803</v>
      </c>
      <c r="E10" s="43">
        <f t="shared" ref="E10:J12" si="13">E$3*$C18</f>
        <v>50.982310093652451</v>
      </c>
      <c r="F10" s="43">
        <f t="shared" si="13"/>
        <v>55.263267429760667</v>
      </c>
      <c r="G10" s="43">
        <f t="shared" si="13"/>
        <v>57.987513007284086</v>
      </c>
      <c r="H10" s="43">
        <f t="shared" si="13"/>
        <v>60.711758584807498</v>
      </c>
      <c r="I10" s="43">
        <f t="shared" si="13"/>
        <v>61.879292403746099</v>
      </c>
      <c r="J10" s="43">
        <f t="shared" si="13"/>
        <v>62.657648283038505</v>
      </c>
      <c r="M10" s="1" t="s">
        <v>823</v>
      </c>
      <c r="N10" s="43">
        <f t="shared" ref="N10:AR10" si="14">N$3*$C18</f>
        <v>45.18713405857109</v>
      </c>
      <c r="O10" s="43">
        <f t="shared" si="14"/>
        <v>46.290912318406029</v>
      </c>
      <c r="P10" s="43">
        <f t="shared" si="14"/>
        <v>47.421652377705946</v>
      </c>
      <c r="Q10" s="43">
        <f t="shared" si="14"/>
        <v>48.580012827654272</v>
      </c>
      <c r="R10" s="43">
        <f t="shared" si="14"/>
        <v>49.766668346726661</v>
      </c>
      <c r="S10" s="43">
        <f t="shared" si="14"/>
        <v>50.982310093652451</v>
      </c>
      <c r="T10" s="43">
        <f t="shared" si="14"/>
        <v>51.811112771520321</v>
      </c>
      <c r="U10" s="43">
        <f t="shared" si="14"/>
        <v>52.653389022429096</v>
      </c>
      <c r="V10" s="43">
        <f t="shared" si="14"/>
        <v>53.509357881832365</v>
      </c>
      <c r="W10" s="43">
        <f t="shared" si="14"/>
        <v>54.379241945971202</v>
      </c>
      <c r="X10" s="43">
        <f t="shared" si="14"/>
        <v>55.263267429760667</v>
      </c>
      <c r="Y10" s="43">
        <f t="shared" si="14"/>
        <v>55.797680237271628</v>
      </c>
      <c r="Z10" s="43">
        <f t="shared" si="14"/>
        <v>56.337260981137334</v>
      </c>
      <c r="AA10" s="43">
        <f t="shared" si="14"/>
        <v>56.882059636893146</v>
      </c>
      <c r="AB10" s="43">
        <f t="shared" si="14"/>
        <v>57.432126663353259</v>
      </c>
      <c r="AC10" s="43">
        <f t="shared" si="14"/>
        <v>57.987513007284086</v>
      </c>
      <c r="AD10" s="43">
        <f t="shared" si="14"/>
        <v>58.522402792664714</v>
      </c>
      <c r="AE10" s="43">
        <f t="shared" si="14"/>
        <v>59.062226521021458</v>
      </c>
      <c r="AF10" s="43">
        <f t="shared" si="14"/>
        <v>59.607029704147507</v>
      </c>
      <c r="AG10" s="43">
        <f t="shared" si="14"/>
        <v>60.156858273646996</v>
      </c>
      <c r="AH10" s="43">
        <f t="shared" si="14"/>
        <v>60.711758584807498</v>
      </c>
      <c r="AI10" s="43">
        <f t="shared" si="14"/>
        <v>60.943489593191742</v>
      </c>
      <c r="AJ10" s="43">
        <f t="shared" si="14"/>
        <v>61.176105096795666</v>
      </c>
      <c r="AK10" s="43">
        <f t="shared" si="14"/>
        <v>61.409608471653414</v>
      </c>
      <c r="AL10" s="43">
        <f t="shared" si="14"/>
        <v>61.644003106685105</v>
      </c>
      <c r="AM10" s="43">
        <f t="shared" si="14"/>
        <v>61.879292403746099</v>
      </c>
      <c r="AN10" s="43">
        <f t="shared" si="14"/>
        <v>62.034186188178275</v>
      </c>
      <c r="AO10" s="43">
        <f t="shared" si="14"/>
        <v>62.189467696573082</v>
      </c>
      <c r="AP10" s="43">
        <f t="shared" si="14"/>
        <v>62.345137899465726</v>
      </c>
      <c r="AQ10" s="43">
        <f t="shared" si="14"/>
        <v>62.501197769820827</v>
      </c>
      <c r="AR10" s="43">
        <f t="shared" si="14"/>
        <v>62.657648283038505</v>
      </c>
    </row>
    <row r="11" spans="1:46" x14ac:dyDescent="0.2">
      <c r="A11" s="1" t="s">
        <v>824</v>
      </c>
      <c r="B11" s="43">
        <f t="shared" si="12"/>
        <v>3.7835587929240382</v>
      </c>
      <c r="C11" s="43">
        <f t="shared" si="12"/>
        <v>4.0457856399583774</v>
      </c>
      <c r="E11" s="43">
        <f t="shared" si="13"/>
        <v>4.9073881373569206</v>
      </c>
      <c r="F11" s="43">
        <f t="shared" si="13"/>
        <v>5.3194588969823107</v>
      </c>
      <c r="G11" s="43">
        <f t="shared" si="13"/>
        <v>5.5816857440166503</v>
      </c>
      <c r="H11" s="43">
        <f t="shared" si="13"/>
        <v>5.843912591050989</v>
      </c>
      <c r="I11" s="43">
        <f t="shared" si="13"/>
        <v>5.9562955254942773</v>
      </c>
      <c r="J11" s="43">
        <f t="shared" si="13"/>
        <v>6.0312174817898034</v>
      </c>
      <c r="M11" s="1" t="s">
        <v>824</v>
      </c>
      <c r="N11" s="43">
        <f t="shared" ref="N11:AR11" si="15">N$3*$C19</f>
        <v>4.3495637061726189</v>
      </c>
      <c r="O11" s="43">
        <f t="shared" si="15"/>
        <v>4.4558097418786557</v>
      </c>
      <c r="P11" s="43">
        <f t="shared" si="15"/>
        <v>4.5646510310091291</v>
      </c>
      <c r="Q11" s="43">
        <f t="shared" si="15"/>
        <v>4.676150967367791</v>
      </c>
      <c r="R11" s="43">
        <f t="shared" si="15"/>
        <v>4.790374493267807</v>
      </c>
      <c r="S11" s="43">
        <f t="shared" si="15"/>
        <v>4.9073881373569206</v>
      </c>
      <c r="T11" s="43">
        <f t="shared" si="15"/>
        <v>4.9871659352265549</v>
      </c>
      <c r="U11" s="43">
        <f t="shared" si="15"/>
        <v>5.0682406545653675</v>
      </c>
      <c r="V11" s="43">
        <f t="shared" si="15"/>
        <v>5.150633378999907</v>
      </c>
      <c r="W11" s="43">
        <f t="shared" si="15"/>
        <v>5.2343655349063196</v>
      </c>
      <c r="X11" s="43">
        <f t="shared" si="15"/>
        <v>5.3194588969823107</v>
      </c>
      <c r="Y11" s="43">
        <f t="shared" si="15"/>
        <v>5.3708997019833653</v>
      </c>
      <c r="Z11" s="43">
        <f t="shared" si="15"/>
        <v>5.4228379554035939</v>
      </c>
      <c r="AA11" s="43">
        <f t="shared" si="15"/>
        <v>5.475278467722335</v>
      </c>
      <c r="AB11" s="43">
        <f t="shared" si="15"/>
        <v>5.5282260959377467</v>
      </c>
      <c r="AC11" s="43">
        <f t="shared" si="15"/>
        <v>5.5816857440166503</v>
      </c>
      <c r="AD11" s="43">
        <f t="shared" si="15"/>
        <v>5.6331724613260157</v>
      </c>
      <c r="AE11" s="43">
        <f t="shared" si="15"/>
        <v>5.6851341036277345</v>
      </c>
      <c r="AF11" s="43">
        <f t="shared" si="15"/>
        <v>5.7375750517361244</v>
      </c>
      <c r="AG11" s="43">
        <f t="shared" si="15"/>
        <v>5.7904997268751126</v>
      </c>
      <c r="AH11" s="43">
        <f t="shared" si="15"/>
        <v>5.843912591050989</v>
      </c>
      <c r="AI11" s="43">
        <f t="shared" si="15"/>
        <v>5.8662182496120394</v>
      </c>
      <c r="AJ11" s="43">
        <f t="shared" si="15"/>
        <v>5.8886090467503855</v>
      </c>
      <c r="AK11" s="43">
        <f t="shared" si="15"/>
        <v>5.9110853074318799</v>
      </c>
      <c r="AL11" s="43">
        <f t="shared" si="15"/>
        <v>5.9336473578627382</v>
      </c>
      <c r="AM11" s="43">
        <f t="shared" si="15"/>
        <v>5.9562955254942773</v>
      </c>
      <c r="AN11" s="43">
        <f t="shared" si="15"/>
        <v>5.9712050876321339</v>
      </c>
      <c r="AO11" s="43">
        <f t="shared" si="15"/>
        <v>5.9861519707931317</v>
      </c>
      <c r="AP11" s="43">
        <f t="shared" si="15"/>
        <v>6.0011362683977705</v>
      </c>
      <c r="AQ11" s="43">
        <f t="shared" si="15"/>
        <v>6.0161580741004004</v>
      </c>
      <c r="AR11" s="43">
        <f t="shared" si="15"/>
        <v>6.0312174817898034</v>
      </c>
    </row>
    <row r="12" spans="1:46" x14ac:dyDescent="0.2">
      <c r="A12" s="1" t="s">
        <v>825</v>
      </c>
      <c r="B12" s="43">
        <f t="shared" si="12"/>
        <v>0.63059313215400625</v>
      </c>
      <c r="C12" s="43">
        <f t="shared" si="12"/>
        <v>0.67429760665972938</v>
      </c>
      <c r="E12" s="43">
        <f t="shared" si="13"/>
        <v>0.81789802289281999</v>
      </c>
      <c r="F12" s="43">
        <f t="shared" si="13"/>
        <v>0.88657648283038493</v>
      </c>
      <c r="G12" s="43">
        <f t="shared" si="13"/>
        <v>0.93028095733610816</v>
      </c>
      <c r="H12" s="43">
        <f t="shared" si="13"/>
        <v>0.97398543184183139</v>
      </c>
      <c r="I12" s="43">
        <f t="shared" si="13"/>
        <v>0.9927159209157127</v>
      </c>
      <c r="J12" s="43">
        <f t="shared" si="13"/>
        <v>1.0052029136316336</v>
      </c>
      <c r="M12" s="1" t="s">
        <v>825</v>
      </c>
      <c r="N12" s="43">
        <f t="shared" ref="N12:AR12" si="16">N$3*$C20</f>
        <v>0.72492728436210296</v>
      </c>
      <c r="O12" s="43">
        <f t="shared" si="16"/>
        <v>0.74263495697977577</v>
      </c>
      <c r="P12" s="43">
        <f t="shared" si="16"/>
        <v>0.76077517183485466</v>
      </c>
      <c r="Q12" s="43">
        <f t="shared" si="16"/>
        <v>0.77935849456129835</v>
      </c>
      <c r="R12" s="43">
        <f t="shared" si="16"/>
        <v>0.79839574887796771</v>
      </c>
      <c r="S12" s="43">
        <f t="shared" si="16"/>
        <v>0.81789802289281999</v>
      </c>
      <c r="T12" s="43">
        <f t="shared" si="16"/>
        <v>0.83119432253775904</v>
      </c>
      <c r="U12" s="43">
        <f t="shared" si="16"/>
        <v>0.84470677576089448</v>
      </c>
      <c r="V12" s="43">
        <f t="shared" si="16"/>
        <v>0.85843889649998439</v>
      </c>
      <c r="W12" s="43">
        <f t="shared" si="16"/>
        <v>0.87239425581771979</v>
      </c>
      <c r="X12" s="43">
        <f t="shared" si="16"/>
        <v>0.88657648283038493</v>
      </c>
      <c r="Y12" s="43">
        <f t="shared" si="16"/>
        <v>0.89514995033056077</v>
      </c>
      <c r="Z12" s="43">
        <f t="shared" si="16"/>
        <v>0.90380632590059884</v>
      </c>
      <c r="AA12" s="43">
        <f t="shared" si="16"/>
        <v>0.91254641128705571</v>
      </c>
      <c r="AB12" s="43">
        <f t="shared" si="16"/>
        <v>0.92137101598962434</v>
      </c>
      <c r="AC12" s="43">
        <f t="shared" si="16"/>
        <v>0.93028095733610816</v>
      </c>
      <c r="AD12" s="43">
        <f t="shared" si="16"/>
        <v>0.93886207688766909</v>
      </c>
      <c r="AE12" s="43">
        <f t="shared" si="16"/>
        <v>0.9475223506046222</v>
      </c>
      <c r="AF12" s="43">
        <f t="shared" si="16"/>
        <v>0.95626250862268714</v>
      </c>
      <c r="AG12" s="43">
        <f t="shared" si="16"/>
        <v>0.96508328781251862</v>
      </c>
      <c r="AH12" s="43">
        <f t="shared" si="16"/>
        <v>0.97398543184183139</v>
      </c>
      <c r="AI12" s="43">
        <f t="shared" si="16"/>
        <v>0.97770304160200638</v>
      </c>
      <c r="AJ12" s="43">
        <f t="shared" si="16"/>
        <v>0.98143484112506407</v>
      </c>
      <c r="AK12" s="43">
        <f t="shared" si="16"/>
        <v>0.98518088457197983</v>
      </c>
      <c r="AL12" s="43">
        <f t="shared" si="16"/>
        <v>0.98894122631045611</v>
      </c>
      <c r="AM12" s="43">
        <f t="shared" si="16"/>
        <v>0.9927159209157127</v>
      </c>
      <c r="AN12" s="43">
        <f t="shared" si="16"/>
        <v>0.99520084793868879</v>
      </c>
      <c r="AO12" s="43">
        <f t="shared" si="16"/>
        <v>0.99769199513218831</v>
      </c>
      <c r="AP12" s="43">
        <f t="shared" si="16"/>
        <v>1.0001893780662949</v>
      </c>
      <c r="AQ12" s="43">
        <f t="shared" si="16"/>
        <v>1.0026930123500666</v>
      </c>
      <c r="AR12" s="43">
        <f t="shared" si="16"/>
        <v>1.0052029136316336</v>
      </c>
    </row>
    <row r="13" spans="1:46" x14ac:dyDescent="0.2">
      <c r="M13" s="1" t="s">
        <v>67</v>
      </c>
      <c r="N13" s="44">
        <f>SUM(N7:N9)</f>
        <v>116.10918671199684</v>
      </c>
      <c r="O13" s="44">
        <f t="shared" ref="O13:P13" si="17">SUM(O7:O9)</f>
        <v>118.94536560959409</v>
      </c>
      <c r="P13" s="44">
        <f t="shared" si="17"/>
        <v>121.85082335554924</v>
      </c>
      <c r="Q13" s="44">
        <f t="shared" ref="Q13:AR13" si="18">SUM(Q7:Q9)</f>
        <v>124.82725221223464</v>
      </c>
      <c r="R13" s="44">
        <f t="shared" si="18"/>
        <v>127.87638577862117</v>
      </c>
      <c r="S13" s="44">
        <f t="shared" si="18"/>
        <v>131</v>
      </c>
      <c r="T13" s="44">
        <f t="shared" si="18"/>
        <v>133.12962399313108</v>
      </c>
      <c r="U13" s="44">
        <f t="shared" si="18"/>
        <v>135.29386858436993</v>
      </c>
      <c r="V13" s="44">
        <f t="shared" si="18"/>
        <v>137.49329658941417</v>
      </c>
      <c r="W13" s="44">
        <f t="shared" si="18"/>
        <v>139.72847997347145</v>
      </c>
      <c r="X13" s="44">
        <f t="shared" si="18"/>
        <v>142</v>
      </c>
      <c r="Y13" s="44">
        <f t="shared" si="18"/>
        <v>143.37318371127816</v>
      </c>
      <c r="Z13" s="44">
        <f t="shared" si="18"/>
        <v>144.75964653174591</v>
      </c>
      <c r="AA13" s="44">
        <f t="shared" si="18"/>
        <v>146.15951687447676</v>
      </c>
      <c r="AB13" s="44">
        <f t="shared" si="18"/>
        <v>147.57292439433817</v>
      </c>
      <c r="AC13" s="44">
        <f t="shared" si="18"/>
        <v>149</v>
      </c>
      <c r="AD13" s="44">
        <f t="shared" si="18"/>
        <v>150.37440931484167</v>
      </c>
      <c r="AE13" s="44">
        <f t="shared" si="18"/>
        <v>151.76149648850702</v>
      </c>
      <c r="AF13" s="44">
        <f t="shared" si="18"/>
        <v>153.1613784644004</v>
      </c>
      <c r="AG13" s="44">
        <f t="shared" si="18"/>
        <v>154.57417326463843</v>
      </c>
      <c r="AH13" s="44">
        <f t="shared" si="18"/>
        <v>156</v>
      </c>
      <c r="AI13" s="44">
        <f t="shared" si="18"/>
        <v>156.59543716325473</v>
      </c>
      <c r="AJ13" s="44">
        <f t="shared" si="18"/>
        <v>157.19314705353111</v>
      </c>
      <c r="AK13" s="44">
        <f t="shared" si="18"/>
        <v>157.79313834561211</v>
      </c>
      <c r="AL13" s="44">
        <f t="shared" si="18"/>
        <v>158.39541974739143</v>
      </c>
      <c r="AM13" s="44">
        <f t="shared" si="18"/>
        <v>159</v>
      </c>
      <c r="AN13" s="44">
        <f t="shared" si="18"/>
        <v>159.39800247817999</v>
      </c>
      <c r="AO13" s="44">
        <f t="shared" si="18"/>
        <v>159.79700122033887</v>
      </c>
      <c r="AP13" s="44">
        <f t="shared" si="18"/>
        <v>160.19699872028491</v>
      </c>
      <c r="AQ13" s="44">
        <f t="shared" si="18"/>
        <v>160.59799747806903</v>
      </c>
      <c r="AR13" s="44">
        <f t="shared" si="18"/>
        <v>161</v>
      </c>
    </row>
    <row r="14" spans="1:46" x14ac:dyDescent="0.2">
      <c r="A14" t="s">
        <v>775</v>
      </c>
    </row>
    <row r="15" spans="1:46" x14ac:dyDescent="0.2">
      <c r="A15" s="1" t="s">
        <v>822</v>
      </c>
      <c r="E15" s="1" t="s">
        <v>826</v>
      </c>
      <c r="M15" s="1" t="s">
        <v>826</v>
      </c>
    </row>
    <row r="16" spans="1:46" x14ac:dyDescent="0.2">
      <c r="A16" t="s">
        <v>7</v>
      </c>
      <c r="B16" s="51">
        <v>42.9</v>
      </c>
      <c r="C16" s="2">
        <f>B16/$B$21</f>
        <v>0.44640998959417277</v>
      </c>
      <c r="E16" t="s">
        <v>7</v>
      </c>
      <c r="F16" s="51">
        <f>B16-7.1</f>
        <v>35.799999999999997</v>
      </c>
      <c r="G16" s="2">
        <f>F16/$F$21</f>
        <v>0.36125126135216951</v>
      </c>
      <c r="M16" s="1" t="s">
        <v>7</v>
      </c>
      <c r="N16" s="43">
        <f>N$3*$G16</f>
        <v>41.944590154283411</v>
      </c>
      <c r="O16" s="43">
        <f t="shared" ref="O16:AR17" si="19">O$3*$G16</f>
        <v>42.969163358460833</v>
      </c>
      <c r="P16" s="43">
        <f t="shared" si="19"/>
        <v>44.018763633992556</v>
      </c>
      <c r="Q16" s="43">
        <f t="shared" si="19"/>
        <v>45.094002312795148</v>
      </c>
      <c r="R16" s="43">
        <f t="shared" si="19"/>
        <v>46.195505659683526</v>
      </c>
      <c r="S16" s="43">
        <f t="shared" si="19"/>
        <v>47.323915237134209</v>
      </c>
      <c r="T16" s="43">
        <f t="shared" si="19"/>
        <v>48.093244590858653</v>
      </c>
      <c r="U16" s="43">
        <f t="shared" si="19"/>
        <v>48.875080679318295</v>
      </c>
      <c r="V16" s="43">
        <f t="shared" si="19"/>
        <v>49.669626820393816</v>
      </c>
      <c r="W16" s="43">
        <f t="shared" si="19"/>
        <v>50.477089637237917</v>
      </c>
      <c r="X16" s="43">
        <f t="shared" si="19"/>
        <v>51.297679112008069</v>
      </c>
      <c r="Y16" s="43">
        <f t="shared" si="19"/>
        <v>51.793743459775555</v>
      </c>
      <c r="Z16" s="43">
        <f t="shared" si="19"/>
        <v>52.294604902487421</v>
      </c>
      <c r="AA16" s="43">
        <f t="shared" si="19"/>
        <v>52.800309829528437</v>
      </c>
      <c r="AB16" s="43">
        <f t="shared" si="19"/>
        <v>53.31090507888301</v>
      </c>
      <c r="AC16" s="43">
        <f t="shared" si="19"/>
        <v>53.826437941473259</v>
      </c>
      <c r="AD16" s="43">
        <f t="shared" si="19"/>
        <v>54.322945040073982</v>
      </c>
      <c r="AE16" s="43">
        <f t="shared" si="19"/>
        <v>54.824032031165991</v>
      </c>
      <c r="AF16" s="43">
        <f t="shared" si="19"/>
        <v>55.329741160701658</v>
      </c>
      <c r="AG16" s="43">
        <f t="shared" si="19"/>
        <v>55.84011506431942</v>
      </c>
      <c r="AH16" s="43">
        <f t="shared" si="19"/>
        <v>56.355196770938441</v>
      </c>
      <c r="AI16" s="43">
        <f t="shared" si="19"/>
        <v>56.570299197220159</v>
      </c>
      <c r="AJ16" s="43">
        <f t="shared" si="19"/>
        <v>56.786222649005182</v>
      </c>
      <c r="AK16" s="43">
        <f t="shared" si="19"/>
        <v>57.002970260069759</v>
      </c>
      <c r="AL16" s="43">
        <f t="shared" si="19"/>
        <v>57.220545176151482</v>
      </c>
      <c r="AM16" s="43">
        <f t="shared" si="19"/>
        <v>57.438950554994953</v>
      </c>
      <c r="AN16" s="43">
        <f t="shared" si="19"/>
        <v>57.582729452258761</v>
      </c>
      <c r="AO16" s="43">
        <f t="shared" si="19"/>
        <v>57.726868251141575</v>
      </c>
      <c r="AP16" s="43">
        <f t="shared" si="19"/>
        <v>57.87136785253481</v>
      </c>
      <c r="AQ16" s="43">
        <f t="shared" si="19"/>
        <v>58.016229159584967</v>
      </c>
      <c r="AR16" s="43">
        <f t="shared" si="19"/>
        <v>58.161453077699292</v>
      </c>
    </row>
    <row r="17" spans="1:44" x14ac:dyDescent="0.2">
      <c r="A17" t="s">
        <v>8</v>
      </c>
      <c r="B17" s="51">
        <v>11.6</v>
      </c>
      <c r="C17" s="2">
        <f>B17/$B$21</f>
        <v>0.12070759625390219</v>
      </c>
      <c r="E17" t="s">
        <v>8</v>
      </c>
      <c r="F17" s="51">
        <f>B17+11.6</f>
        <v>23.2</v>
      </c>
      <c r="G17" s="2">
        <f t="shared" ref="G17:G20" si="20">F17/$F$21</f>
        <v>0.23410696266397579</v>
      </c>
      <c r="M17" s="1" t="s">
        <v>8</v>
      </c>
      <c r="N17" s="43">
        <f>N$3*$G17</f>
        <v>27.181969038530035</v>
      </c>
      <c r="O17" s="43">
        <f t="shared" si="19"/>
        <v>27.845938265818194</v>
      </c>
      <c r="P17" s="43">
        <f t="shared" si="19"/>
        <v>28.526126153872273</v>
      </c>
      <c r="Q17" s="43">
        <f t="shared" si="19"/>
        <v>29.222928873096301</v>
      </c>
      <c r="R17" s="43">
        <f t="shared" si="19"/>
        <v>29.936752271079833</v>
      </c>
      <c r="S17" s="43">
        <f t="shared" si="19"/>
        <v>30.668012108980829</v>
      </c>
      <c r="T17" s="43">
        <f t="shared" si="19"/>
        <v>31.166571913629074</v>
      </c>
      <c r="U17" s="43">
        <f t="shared" si="19"/>
        <v>31.673236641345937</v>
      </c>
      <c r="V17" s="43">
        <f t="shared" si="19"/>
        <v>32.18813805120493</v>
      </c>
      <c r="W17" s="43">
        <f t="shared" si="19"/>
        <v>32.711410044243571</v>
      </c>
      <c r="X17" s="43">
        <f t="shared" si="19"/>
        <v>33.243188698284563</v>
      </c>
      <c r="Y17" s="43">
        <f t="shared" si="19"/>
        <v>33.564660566111542</v>
      </c>
      <c r="Z17" s="43">
        <f t="shared" si="19"/>
        <v>33.889241165857776</v>
      </c>
      <c r="AA17" s="43">
        <f t="shared" si="19"/>
        <v>34.216960559917872</v>
      </c>
      <c r="AB17" s="43">
        <f t="shared" si="19"/>
        <v>34.547849101399052</v>
      </c>
      <c r="AC17" s="43">
        <f t="shared" si="19"/>
        <v>34.88193743693239</v>
      </c>
      <c r="AD17" s="43">
        <f t="shared" si="19"/>
        <v>35.20369622708705</v>
      </c>
      <c r="AE17" s="43">
        <f t="shared" si="19"/>
        <v>35.528422992263998</v>
      </c>
      <c r="AF17" s="43">
        <f t="shared" si="19"/>
        <v>35.856145109728452</v>
      </c>
      <c r="AG17" s="43">
        <f t="shared" si="19"/>
        <v>36.186890209279625</v>
      </c>
      <c r="AH17" s="43">
        <f t="shared" si="19"/>
        <v>36.520686175580224</v>
      </c>
      <c r="AI17" s="43">
        <f t="shared" si="19"/>
        <v>36.660082161327033</v>
      </c>
      <c r="AJ17" s="43">
        <f t="shared" si="19"/>
        <v>36.800010208293862</v>
      </c>
      <c r="AK17" s="43">
        <f t="shared" si="19"/>
        <v>36.940472347307782</v>
      </c>
      <c r="AL17" s="43">
        <f t="shared" si="19"/>
        <v>37.081470616947335</v>
      </c>
      <c r="AM17" s="43">
        <f t="shared" si="19"/>
        <v>37.223007063572155</v>
      </c>
      <c r="AN17" s="43">
        <f t="shared" si="19"/>
        <v>37.316182214871603</v>
      </c>
      <c r="AO17" s="43">
        <f t="shared" si="19"/>
        <v>37.409590598505162</v>
      </c>
      <c r="AP17" s="43">
        <f t="shared" si="19"/>
        <v>37.503232798290718</v>
      </c>
      <c r="AQ17" s="43">
        <f t="shared" si="19"/>
        <v>37.59710939950758</v>
      </c>
      <c r="AR17" s="43">
        <f t="shared" si="19"/>
        <v>37.691220988900099</v>
      </c>
    </row>
    <row r="18" spans="1:44" x14ac:dyDescent="0.2">
      <c r="A18" t="s">
        <v>823</v>
      </c>
      <c r="B18" s="51">
        <v>37.4</v>
      </c>
      <c r="C18" s="2">
        <f>B18/$B$21</f>
        <v>0.3891779396462019</v>
      </c>
      <c r="E18" t="s">
        <v>823</v>
      </c>
      <c r="F18" s="51">
        <f>B18-0.9</f>
        <v>36.5</v>
      </c>
      <c r="G18" s="2">
        <f t="shared" si="20"/>
        <v>0.36831483350151362</v>
      </c>
      <c r="M18" s="1" t="s">
        <v>9</v>
      </c>
      <c r="N18" s="43">
        <f>SUM(N19:N21)</f>
        <v>46.982627519183382</v>
      </c>
      <c r="O18" s="43">
        <f t="shared" ref="O18:AR18" si="21">SUM(O19:O21)</f>
        <v>48.130263985315068</v>
      </c>
      <c r="P18" s="43">
        <f t="shared" si="21"/>
        <v>49.305933567684399</v>
      </c>
      <c r="Q18" s="43">
        <f t="shared" si="21"/>
        <v>50.510321026343171</v>
      </c>
      <c r="R18" s="43">
        <f t="shared" si="21"/>
        <v>51.744127847857811</v>
      </c>
      <c r="S18" s="43">
        <f t="shared" si="21"/>
        <v>53.008072653884966</v>
      </c>
      <c r="T18" s="43">
        <f t="shared" si="21"/>
        <v>53.869807488643346</v>
      </c>
      <c r="U18" s="43">
        <f t="shared" si="21"/>
        <v>54.745551263705693</v>
      </c>
      <c r="V18" s="43">
        <f t="shared" si="21"/>
        <v>55.635531717815418</v>
      </c>
      <c r="W18" s="43">
        <f t="shared" si="21"/>
        <v>56.539980291989956</v>
      </c>
      <c r="X18" s="43">
        <f t="shared" si="21"/>
        <v>57.459132189707368</v>
      </c>
      <c r="Y18" s="43">
        <f t="shared" si="21"/>
        <v>58.014779685391062</v>
      </c>
      <c r="Z18" s="43">
        <f t="shared" si="21"/>
        <v>58.575800463400718</v>
      </c>
      <c r="AA18" s="43">
        <f t="shared" si="21"/>
        <v>59.142246485030462</v>
      </c>
      <c r="AB18" s="43">
        <f t="shared" si="21"/>
        <v>59.714170214056111</v>
      </c>
      <c r="AC18" s="43">
        <f t="shared" si="21"/>
        <v>60.291624621594352</v>
      </c>
      <c r="AD18" s="43">
        <f t="shared" si="21"/>
        <v>60.847768047680631</v>
      </c>
      <c r="AE18" s="43">
        <f t="shared" si="21"/>
        <v>61.409041465076996</v>
      </c>
      <c r="AF18" s="43">
        <f t="shared" si="21"/>
        <v>61.97549219397029</v>
      </c>
      <c r="AG18" s="43">
        <f t="shared" si="21"/>
        <v>62.547167991039352</v>
      </c>
      <c r="AH18" s="43">
        <f t="shared" si="21"/>
        <v>63.124117053481328</v>
      </c>
      <c r="AI18" s="43">
        <f t="shared" si="21"/>
        <v>63.365055804707509</v>
      </c>
      <c r="AJ18" s="43">
        <f t="shared" si="21"/>
        <v>63.606914196232061</v>
      </c>
      <c r="AK18" s="43">
        <f t="shared" si="21"/>
        <v>63.849695738234566</v>
      </c>
      <c r="AL18" s="43">
        <f t="shared" si="21"/>
        <v>64.093403954292583</v>
      </c>
      <c r="AM18" s="43">
        <f t="shared" si="21"/>
        <v>64.338042381432885</v>
      </c>
      <c r="AN18" s="43">
        <f t="shared" si="21"/>
        <v>64.499090811049626</v>
      </c>
      <c r="AO18" s="43">
        <f t="shared" si="21"/>
        <v>64.660542370692099</v>
      </c>
      <c r="AP18" s="43">
        <f t="shared" si="21"/>
        <v>64.822398069459382</v>
      </c>
      <c r="AQ18" s="43">
        <f t="shared" si="21"/>
        <v>64.98465891897645</v>
      </c>
      <c r="AR18" s="43">
        <f t="shared" si="21"/>
        <v>65.147325933400609</v>
      </c>
    </row>
    <row r="19" spans="1:44" x14ac:dyDescent="0.2">
      <c r="A19" t="s">
        <v>824</v>
      </c>
      <c r="B19" s="51">
        <v>3.6</v>
      </c>
      <c r="C19" s="2">
        <f>B19/$B$21</f>
        <v>3.7460978147762752E-2</v>
      </c>
      <c r="E19" t="s">
        <v>824</v>
      </c>
      <c r="F19" s="51">
        <f>B19-0.8</f>
        <v>2.8</v>
      </c>
      <c r="G19" s="2">
        <f t="shared" si="20"/>
        <v>2.8254288597376387E-2</v>
      </c>
      <c r="M19" s="1" t="s">
        <v>823</v>
      </c>
      <c r="N19" s="43">
        <f>N$3*$G18</f>
        <v>42.764735771825272</v>
      </c>
      <c r="O19" s="43">
        <f t="shared" ref="O19:AR21" si="22">O$3*$G18</f>
        <v>43.809342530274314</v>
      </c>
      <c r="P19" s="43">
        <f t="shared" si="22"/>
        <v>44.879465716221461</v>
      </c>
      <c r="Q19" s="43">
        <f t="shared" si="22"/>
        <v>45.975728615000641</v>
      </c>
      <c r="R19" s="43">
        <f t="shared" si="22"/>
        <v>47.098769736828181</v>
      </c>
      <c r="S19" s="43">
        <f t="shared" si="22"/>
        <v>48.249243188698287</v>
      </c>
      <c r="T19" s="43">
        <f t="shared" si="22"/>
        <v>49.033615295149183</v>
      </c>
      <c r="U19" s="43">
        <f t="shared" si="22"/>
        <v>49.830738681427874</v>
      </c>
      <c r="V19" s="43">
        <f t="shared" si="22"/>
        <v>50.640820640904309</v>
      </c>
      <c r="W19" s="43">
        <f t="shared" si="22"/>
        <v>51.464071836848717</v>
      </c>
      <c r="X19" s="43">
        <f t="shared" si="22"/>
        <v>52.300706357214935</v>
      </c>
      <c r="Y19" s="43">
        <f t="shared" si="22"/>
        <v>52.806470287201343</v>
      </c>
      <c r="Z19" s="43">
        <f t="shared" si="22"/>
        <v>53.31712511007796</v>
      </c>
      <c r="AA19" s="43">
        <f t="shared" si="22"/>
        <v>53.832718122284582</v>
      </c>
      <c r="AB19" s="43">
        <f t="shared" si="22"/>
        <v>54.353297077632121</v>
      </c>
      <c r="AC19" s="43">
        <f t="shared" si="22"/>
        <v>54.878910191725531</v>
      </c>
      <c r="AD19" s="43">
        <f t="shared" si="22"/>
        <v>55.385125529684366</v>
      </c>
      <c r="AE19" s="43">
        <f t="shared" si="22"/>
        <v>55.896010311104995</v>
      </c>
      <c r="AF19" s="43">
        <f t="shared" si="22"/>
        <v>56.411607607977949</v>
      </c>
      <c r="AG19" s="43">
        <f t="shared" si="22"/>
        <v>56.931960889599409</v>
      </c>
      <c r="AH19" s="43">
        <f t="shared" si="22"/>
        <v>57.457114026236127</v>
      </c>
      <c r="AI19" s="43">
        <f t="shared" si="22"/>
        <v>57.676422365880896</v>
      </c>
      <c r="AJ19" s="43">
        <f t="shared" si="22"/>
        <v>57.896567784600258</v>
      </c>
      <c r="AK19" s="43">
        <f t="shared" si="22"/>
        <v>58.117553477445426</v>
      </c>
      <c r="AL19" s="43">
        <f t="shared" si="22"/>
        <v>58.339382651662824</v>
      </c>
      <c r="AM19" s="43">
        <f t="shared" si="22"/>
        <v>58.562058526740664</v>
      </c>
      <c r="AN19" s="43">
        <f t="shared" si="22"/>
        <v>58.708648743224721</v>
      </c>
      <c r="AO19" s="43">
        <f t="shared" si="22"/>
        <v>58.855605898510269</v>
      </c>
      <c r="AP19" s="43">
        <f t="shared" si="22"/>
        <v>59.002930911103924</v>
      </c>
      <c r="AQ19" s="43">
        <f t="shared" si="22"/>
        <v>59.150624701811488</v>
      </c>
      <c r="AR19" s="43">
        <f t="shared" si="22"/>
        <v>59.298688193743693</v>
      </c>
    </row>
    <row r="20" spans="1:44" x14ac:dyDescent="0.2">
      <c r="A20" t="s">
        <v>825</v>
      </c>
      <c r="B20" s="51">
        <v>0.6</v>
      </c>
      <c r="C20" s="23">
        <f>B20/$B$21</f>
        <v>6.2434963579604576E-3</v>
      </c>
      <c r="E20" t="s">
        <v>825</v>
      </c>
      <c r="F20" s="51">
        <v>0.8</v>
      </c>
      <c r="G20" s="2">
        <f t="shared" si="20"/>
        <v>8.0726538849646822E-3</v>
      </c>
      <c r="M20" s="1" t="s">
        <v>824</v>
      </c>
      <c r="N20" s="43">
        <f>N$3*$G19</f>
        <v>3.2805824701674178</v>
      </c>
      <c r="O20" s="43">
        <f t="shared" si="22"/>
        <v>3.3607166872539196</v>
      </c>
      <c r="P20" s="43">
        <f t="shared" si="22"/>
        <v>3.4428083289156186</v>
      </c>
      <c r="Q20" s="43">
        <f t="shared" si="22"/>
        <v>3.526905208821967</v>
      </c>
      <c r="R20" s="43">
        <f t="shared" si="22"/>
        <v>3.6130563085786003</v>
      </c>
      <c r="S20" s="43">
        <f t="shared" si="22"/>
        <v>3.7013118062563066</v>
      </c>
      <c r="T20" s="43">
        <f t="shared" si="22"/>
        <v>3.7614828171621291</v>
      </c>
      <c r="U20" s="43">
        <f t="shared" si="22"/>
        <v>3.8226320084383025</v>
      </c>
      <c r="V20" s="43">
        <f t="shared" si="22"/>
        <v>3.8847752820419745</v>
      </c>
      <c r="W20" s="43">
        <f t="shared" si="22"/>
        <v>3.9479287984431894</v>
      </c>
      <c r="X20" s="43">
        <f t="shared" si="22"/>
        <v>4.0121089808274473</v>
      </c>
      <c r="Y20" s="43">
        <f t="shared" si="22"/>
        <v>4.0509073097031161</v>
      </c>
      <c r="Z20" s="43">
        <f t="shared" si="22"/>
        <v>4.0900808303621448</v>
      </c>
      <c r="AA20" s="43">
        <f t="shared" si="22"/>
        <v>4.1296331710245706</v>
      </c>
      <c r="AB20" s="43">
        <f t="shared" si="22"/>
        <v>4.169567994996437</v>
      </c>
      <c r="AC20" s="43">
        <f t="shared" si="22"/>
        <v>4.2098890010090813</v>
      </c>
      <c r="AD20" s="43">
        <f t="shared" si="22"/>
        <v>4.248721958441541</v>
      </c>
      <c r="AE20" s="43">
        <f t="shared" si="22"/>
        <v>4.2879131197559994</v>
      </c>
      <c r="AF20" s="43">
        <f t="shared" si="22"/>
        <v>4.3274657891051573</v>
      </c>
      <c r="AG20" s="43">
        <f t="shared" si="22"/>
        <v>4.367383301119955</v>
      </c>
      <c r="AH20" s="43">
        <f t="shared" si="22"/>
        <v>4.4076690211907161</v>
      </c>
      <c r="AI20" s="43">
        <f t="shared" si="22"/>
        <v>4.4244926746429174</v>
      </c>
      <c r="AJ20" s="43">
        <f t="shared" si="22"/>
        <v>4.4413805423802932</v>
      </c>
      <c r="AK20" s="43">
        <f t="shared" si="22"/>
        <v>4.4583328695026632</v>
      </c>
      <c r="AL20" s="43">
        <f t="shared" si="22"/>
        <v>4.4753499020453678</v>
      </c>
      <c r="AM20" s="43">
        <f t="shared" si="22"/>
        <v>4.4924318869828452</v>
      </c>
      <c r="AN20" s="43">
        <f t="shared" si="22"/>
        <v>4.5036771638638138</v>
      </c>
      <c r="AO20" s="43">
        <f t="shared" si="22"/>
        <v>4.5149505894747604</v>
      </c>
      <c r="AP20" s="43">
        <f t="shared" si="22"/>
        <v>4.5262522342764653</v>
      </c>
      <c r="AQ20" s="43">
        <f t="shared" si="22"/>
        <v>4.5375821689060869</v>
      </c>
      <c r="AR20" s="43">
        <f t="shared" si="22"/>
        <v>4.5489404641775986</v>
      </c>
    </row>
    <row r="21" spans="1:44" x14ac:dyDescent="0.2">
      <c r="B21">
        <f>SUM(B16:B20)</f>
        <v>96.1</v>
      </c>
      <c r="C21" s="6">
        <f>SUM(C16:C20)</f>
        <v>1</v>
      </c>
      <c r="F21">
        <f>SUM(F16:F20)</f>
        <v>99.1</v>
      </c>
      <c r="G21" s="6">
        <f>SUM(G16:G20)</f>
        <v>1</v>
      </c>
      <c r="M21" s="1" t="s">
        <v>825</v>
      </c>
      <c r="N21" s="43">
        <f>N$3*$G20</f>
        <v>0.93730927719069079</v>
      </c>
      <c r="O21" s="43">
        <f t="shared" si="22"/>
        <v>0.96020476778683428</v>
      </c>
      <c r="P21" s="43">
        <f t="shared" si="22"/>
        <v>0.9836595225473197</v>
      </c>
      <c r="Q21" s="43">
        <f t="shared" si="22"/>
        <v>1.0076872025205621</v>
      </c>
      <c r="R21" s="43">
        <f t="shared" si="22"/>
        <v>1.0323018024510286</v>
      </c>
      <c r="S21" s="43">
        <f t="shared" si="22"/>
        <v>1.0575176589303734</v>
      </c>
      <c r="T21" s="43">
        <f t="shared" si="22"/>
        <v>1.074709376332037</v>
      </c>
      <c r="U21" s="43">
        <f t="shared" si="22"/>
        <v>1.0921805738395152</v>
      </c>
      <c r="V21" s="43">
        <f t="shared" si="22"/>
        <v>1.1099357948691355</v>
      </c>
      <c r="W21" s="43">
        <f t="shared" si="22"/>
        <v>1.127979656698054</v>
      </c>
      <c r="X21" s="43">
        <f t="shared" si="22"/>
        <v>1.1463168516649849</v>
      </c>
      <c r="Y21" s="43">
        <f t="shared" si="22"/>
        <v>1.1574020884866048</v>
      </c>
      <c r="Z21" s="43">
        <f t="shared" si="22"/>
        <v>1.1685945229606129</v>
      </c>
      <c r="AA21" s="43">
        <f t="shared" si="22"/>
        <v>1.1798951917213059</v>
      </c>
      <c r="AB21" s="43">
        <f t="shared" si="22"/>
        <v>1.1913051414275533</v>
      </c>
      <c r="AC21" s="43">
        <f t="shared" si="22"/>
        <v>1.2028254288597378</v>
      </c>
      <c r="AD21" s="43">
        <f t="shared" si="22"/>
        <v>1.213920559554726</v>
      </c>
      <c r="AE21" s="43">
        <f t="shared" si="22"/>
        <v>1.225118034216</v>
      </c>
      <c r="AF21" s="43">
        <f t="shared" si="22"/>
        <v>1.2364187968871878</v>
      </c>
      <c r="AG21" s="43">
        <f t="shared" si="22"/>
        <v>1.2478238003199871</v>
      </c>
      <c r="AH21" s="43">
        <f t="shared" si="22"/>
        <v>1.2593340060544904</v>
      </c>
      <c r="AI21" s="43">
        <f t="shared" si="22"/>
        <v>1.2641407641836908</v>
      </c>
      <c r="AJ21" s="43">
        <f t="shared" si="22"/>
        <v>1.2689658692515124</v>
      </c>
      <c r="AK21" s="43">
        <f t="shared" si="22"/>
        <v>1.2738093912864752</v>
      </c>
      <c r="AL21" s="43">
        <f t="shared" si="22"/>
        <v>1.2786714005843907</v>
      </c>
      <c r="AM21" s="43">
        <f t="shared" si="22"/>
        <v>1.2835519677093845</v>
      </c>
      <c r="AN21" s="43">
        <f t="shared" si="22"/>
        <v>1.2867649039610898</v>
      </c>
      <c r="AO21" s="43">
        <f t="shared" si="22"/>
        <v>1.2899858827070745</v>
      </c>
      <c r="AP21" s="43">
        <f t="shared" si="22"/>
        <v>1.2932149240789903</v>
      </c>
      <c r="AQ21" s="43">
        <f t="shared" si="22"/>
        <v>1.2964520482588819</v>
      </c>
      <c r="AR21" s="43">
        <f t="shared" si="22"/>
        <v>1.2996972754793139</v>
      </c>
    </row>
    <row r="22" spans="1:44" x14ac:dyDescent="0.2">
      <c r="A22" t="s">
        <v>827</v>
      </c>
      <c r="B22" t="s">
        <v>828</v>
      </c>
      <c r="M22" s="1" t="s">
        <v>67</v>
      </c>
      <c r="N22" s="44">
        <f>SUM(N16:N18)</f>
        <v>116.10918671199683</v>
      </c>
      <c r="O22" s="44">
        <f t="shared" ref="O22:AR22" si="23">SUM(O16:O18)</f>
        <v>118.94536560959409</v>
      </c>
      <c r="P22" s="44">
        <f t="shared" si="23"/>
        <v>121.85082335554924</v>
      </c>
      <c r="Q22" s="44">
        <f t="shared" si="23"/>
        <v>124.82725221223461</v>
      </c>
      <c r="R22" s="44">
        <f t="shared" si="23"/>
        <v>127.87638577862117</v>
      </c>
      <c r="S22" s="44">
        <f t="shared" si="23"/>
        <v>131</v>
      </c>
      <c r="T22" s="44">
        <f t="shared" si="23"/>
        <v>133.12962399313108</v>
      </c>
      <c r="U22" s="44">
        <f t="shared" si="23"/>
        <v>135.29386858436993</v>
      </c>
      <c r="V22" s="44">
        <f t="shared" si="23"/>
        <v>137.49329658941417</v>
      </c>
      <c r="W22" s="44">
        <f t="shared" si="23"/>
        <v>139.72847997347145</v>
      </c>
      <c r="X22" s="44">
        <f t="shared" si="23"/>
        <v>142</v>
      </c>
      <c r="Y22" s="44">
        <f t="shared" si="23"/>
        <v>143.37318371127816</v>
      </c>
      <c r="Z22" s="44">
        <f t="shared" si="23"/>
        <v>144.75964653174591</v>
      </c>
      <c r="AA22" s="44">
        <f t="shared" si="23"/>
        <v>146.15951687447676</v>
      </c>
      <c r="AB22" s="44">
        <f t="shared" si="23"/>
        <v>147.57292439433817</v>
      </c>
      <c r="AC22" s="44">
        <f t="shared" si="23"/>
        <v>149</v>
      </c>
      <c r="AD22" s="44">
        <f t="shared" si="23"/>
        <v>150.37440931484167</v>
      </c>
      <c r="AE22" s="44">
        <f t="shared" si="23"/>
        <v>151.76149648850699</v>
      </c>
      <c r="AF22" s="44">
        <f t="shared" si="23"/>
        <v>153.1613784644004</v>
      </c>
      <c r="AG22" s="44">
        <f t="shared" si="23"/>
        <v>154.5741732646384</v>
      </c>
      <c r="AH22" s="44">
        <f t="shared" si="23"/>
        <v>156</v>
      </c>
      <c r="AI22" s="44">
        <f t="shared" si="23"/>
        <v>156.5954371632547</v>
      </c>
      <c r="AJ22" s="44">
        <f t="shared" si="23"/>
        <v>157.19314705353111</v>
      </c>
      <c r="AK22" s="44">
        <f t="shared" si="23"/>
        <v>157.79313834561211</v>
      </c>
      <c r="AL22" s="44">
        <f t="shared" si="23"/>
        <v>158.3954197473914</v>
      </c>
      <c r="AM22" s="44">
        <f t="shared" si="23"/>
        <v>159</v>
      </c>
      <c r="AN22" s="44">
        <f t="shared" si="23"/>
        <v>159.39800247817999</v>
      </c>
      <c r="AO22" s="44">
        <f t="shared" si="23"/>
        <v>159.79700122033884</v>
      </c>
      <c r="AP22" s="44">
        <f t="shared" si="23"/>
        <v>160.19699872028491</v>
      </c>
      <c r="AQ22" s="44">
        <f t="shared" si="23"/>
        <v>160.59799747806898</v>
      </c>
      <c r="AR22" s="44">
        <f t="shared" si="23"/>
        <v>161</v>
      </c>
    </row>
    <row r="23" spans="1:44" x14ac:dyDescent="0.2">
      <c r="B23" s="51" t="s">
        <v>829</v>
      </c>
    </row>
    <row r="24" spans="1:44" x14ac:dyDescent="0.2">
      <c r="B24" s="51"/>
      <c r="N24" s="2"/>
      <c r="O24" s="2"/>
      <c r="P24" s="2"/>
      <c r="Q24" s="2"/>
      <c r="R24" s="2"/>
      <c r="S24" s="2"/>
      <c r="T24" s="2"/>
      <c r="U24" s="2"/>
      <c r="V24" s="2"/>
      <c r="W24" s="2"/>
      <c r="X24" s="2"/>
      <c r="Y24" s="2"/>
      <c r="Z24" s="2"/>
      <c r="AA24" s="2"/>
      <c r="AB24" s="2"/>
      <c r="AC24" s="2"/>
    </row>
    <row r="25" spans="1:44" x14ac:dyDescent="0.2">
      <c r="A25" t="s">
        <v>830</v>
      </c>
      <c r="B25" s="51"/>
      <c r="N25" s="2"/>
      <c r="O25" s="2"/>
      <c r="P25" s="2"/>
      <c r="Q25" s="2"/>
      <c r="R25" s="2"/>
      <c r="S25" s="2"/>
      <c r="T25" s="2"/>
      <c r="U25" s="2"/>
      <c r="V25" s="2"/>
      <c r="W25" s="2"/>
      <c r="X25" s="2"/>
      <c r="Y25" s="2"/>
      <c r="Z25" s="2"/>
      <c r="AA25" s="2"/>
      <c r="AB25" s="2"/>
      <c r="AC25" s="2"/>
    </row>
    <row r="26" spans="1:44" x14ac:dyDescent="0.2">
      <c r="A26" t="s">
        <v>8</v>
      </c>
      <c r="B26" s="51">
        <f>F17-B17</f>
        <v>11.6</v>
      </c>
      <c r="C26" t="s">
        <v>831</v>
      </c>
      <c r="D26" t="s">
        <v>832</v>
      </c>
      <c r="F26" s="2">
        <f>B26/F17</f>
        <v>0.5</v>
      </c>
      <c r="G26" t="s">
        <v>833</v>
      </c>
      <c r="N26" s="2"/>
      <c r="O26" s="2"/>
      <c r="P26" s="2"/>
      <c r="Q26" s="2"/>
      <c r="R26" s="2"/>
      <c r="S26" s="2"/>
      <c r="T26" s="2"/>
      <c r="U26" s="2"/>
      <c r="V26" s="2"/>
      <c r="W26" s="2"/>
      <c r="X26" s="2"/>
      <c r="Y26" s="2"/>
      <c r="Z26" s="2"/>
      <c r="AA26" s="2"/>
      <c r="AB26" s="2"/>
      <c r="AC26" s="2"/>
    </row>
    <row r="27" spans="1:44" x14ac:dyDescent="0.2">
      <c r="A27" t="s">
        <v>7</v>
      </c>
      <c r="B27" s="51">
        <f>B16-F16</f>
        <v>7.1000000000000014</v>
      </c>
      <c r="C27" t="s">
        <v>831</v>
      </c>
      <c r="D27" t="s">
        <v>834</v>
      </c>
      <c r="F27" s="2">
        <f>B27/B26</f>
        <v>0.61206896551724155</v>
      </c>
      <c r="G27" t="s">
        <v>835</v>
      </c>
    </row>
    <row r="28" spans="1:44" x14ac:dyDescent="0.2">
      <c r="A28" t="s">
        <v>9</v>
      </c>
      <c r="B28">
        <f>-SUM(F18:F20)+SUM(B18:B20)</f>
        <v>1.5000000000000071</v>
      </c>
      <c r="C28" t="s">
        <v>831</v>
      </c>
      <c r="F28" s="2">
        <f>B28/B26</f>
        <v>0.12931034482758683</v>
      </c>
      <c r="G28" t="s">
        <v>836</v>
      </c>
    </row>
  </sheetData>
  <hyperlinks>
    <hyperlink ref="A5" r:id="rId1" xr:uid="{52BF912B-1713-4527-B667-7E6AA3434639}"/>
  </hyperlinks>
  <pageMargins left="0.7" right="0.7" top="0.75" bottom="0.75" header="0.3" footer="0.3"/>
  <pageSetup paperSize="9" orientation="portrait"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8380DA-3A0D-498F-8FDD-E2257FC1F5C2}">
  <sheetPr>
    <tabColor theme="7"/>
  </sheetPr>
  <dimension ref="A1:AU22"/>
  <sheetViews>
    <sheetView workbookViewId="0">
      <selection activeCell="C5" sqref="C5"/>
    </sheetView>
  </sheetViews>
  <sheetFormatPr baseColWidth="10" defaultColWidth="8.83203125" defaultRowHeight="15" x14ac:dyDescent="0.2"/>
  <cols>
    <col min="1" max="1" width="15" customWidth="1"/>
    <col min="3" max="3" width="18.6640625" customWidth="1"/>
    <col min="4" max="4" width="10.5" bestFit="1" customWidth="1"/>
    <col min="5" max="5" width="17.1640625" customWidth="1"/>
    <col min="6" max="6" width="15.83203125" customWidth="1"/>
    <col min="7" max="7" width="17.1640625" customWidth="1"/>
    <col min="8" max="8" width="17.5" customWidth="1"/>
    <col min="9" max="9" width="10.5" bestFit="1" customWidth="1"/>
    <col min="14" max="14" width="12" customWidth="1"/>
    <col min="19" max="19" width="15.5" customWidth="1"/>
  </cols>
  <sheetData>
    <row r="1" spans="1:47" s="81" customFormat="1" ht="16" thickBot="1" x14ac:dyDescent="0.25">
      <c r="B1" s="81">
        <v>2017</v>
      </c>
      <c r="C1" s="81">
        <v>2020</v>
      </c>
      <c r="D1" s="81">
        <v>2025</v>
      </c>
      <c r="E1" s="81">
        <v>2030</v>
      </c>
      <c r="F1" s="81">
        <v>2035</v>
      </c>
      <c r="G1" s="81">
        <v>2040</v>
      </c>
      <c r="H1" s="81">
        <v>2045</v>
      </c>
      <c r="I1" s="81">
        <v>2050</v>
      </c>
      <c r="M1" s="68"/>
      <c r="N1" s="62" t="s">
        <v>518</v>
      </c>
      <c r="O1" s="68"/>
      <c r="P1" s="68"/>
      <c r="Q1" s="68"/>
      <c r="R1" s="68"/>
      <c r="S1" s="68"/>
      <c r="T1" s="68"/>
      <c r="U1" s="68"/>
      <c r="V1" s="68"/>
      <c r="W1" s="68"/>
      <c r="X1" s="68"/>
      <c r="Y1" s="68"/>
      <c r="Z1" s="68"/>
      <c r="AA1" s="68"/>
      <c r="AB1" s="68"/>
      <c r="AC1" s="68"/>
      <c r="AD1" s="68"/>
      <c r="AE1" s="68"/>
      <c r="AF1" s="68"/>
      <c r="AG1" s="68"/>
      <c r="AH1" s="68"/>
      <c r="AI1" s="68"/>
      <c r="AJ1" s="68"/>
      <c r="AK1" s="68"/>
      <c r="AL1" s="68"/>
      <c r="AM1" s="68"/>
      <c r="AN1" s="68"/>
      <c r="AO1" s="68"/>
      <c r="AP1" s="68"/>
      <c r="AQ1" s="68"/>
      <c r="AR1" s="68"/>
      <c r="AS1" s="68"/>
      <c r="AT1" s="68"/>
      <c r="AU1" s="68"/>
    </row>
    <row r="2" spans="1:47" x14ac:dyDescent="0.2">
      <c r="A2" t="s">
        <v>764</v>
      </c>
      <c r="C2" s="23">
        <f>'Demand Breakdown - Ethylene'!D3</f>
        <v>3.0499526932111998E-2</v>
      </c>
      <c r="D2" s="23">
        <f>'Demand Breakdown - Ethylene'!E3</f>
        <v>2.5759177252759002E-2</v>
      </c>
      <c r="E2" s="23">
        <f>'Demand Breakdown - Ethylene'!F3</f>
        <v>2.4749006286804098E-2</v>
      </c>
      <c r="F2" s="23">
        <f>'Demand Breakdown - Ethylene'!G3</f>
        <v>2.2021100995369691E-2</v>
      </c>
      <c r="G2" s="23">
        <f>'Demand Breakdown - Ethylene'!H3</f>
        <v>1.1908118025093728E-2</v>
      </c>
      <c r="H2" s="23">
        <f>'Demand Breakdown - Ethylene'!I3</f>
        <v>1.1238777501342723E-2</v>
      </c>
      <c r="I2" s="23">
        <f>'Demand Breakdown - Ethylene'!J3</f>
        <v>1.0640694058494882E-2</v>
      </c>
      <c r="O2">
        <v>2020</v>
      </c>
      <c r="P2">
        <f t="shared" ref="P2:AS2" si="0">O2+1</f>
        <v>2021</v>
      </c>
      <c r="Q2">
        <f t="shared" si="0"/>
        <v>2022</v>
      </c>
      <c r="R2">
        <f t="shared" si="0"/>
        <v>2023</v>
      </c>
      <c r="S2">
        <f t="shared" si="0"/>
        <v>2024</v>
      </c>
      <c r="T2">
        <f t="shared" si="0"/>
        <v>2025</v>
      </c>
      <c r="U2">
        <f t="shared" si="0"/>
        <v>2026</v>
      </c>
      <c r="V2">
        <f t="shared" si="0"/>
        <v>2027</v>
      </c>
      <c r="W2">
        <f t="shared" si="0"/>
        <v>2028</v>
      </c>
      <c r="X2">
        <f t="shared" si="0"/>
        <v>2029</v>
      </c>
      <c r="Y2">
        <f t="shared" si="0"/>
        <v>2030</v>
      </c>
      <c r="Z2">
        <f t="shared" si="0"/>
        <v>2031</v>
      </c>
      <c r="AA2">
        <f t="shared" si="0"/>
        <v>2032</v>
      </c>
      <c r="AB2">
        <f t="shared" si="0"/>
        <v>2033</v>
      </c>
      <c r="AC2">
        <f t="shared" si="0"/>
        <v>2034</v>
      </c>
      <c r="AD2">
        <f t="shared" si="0"/>
        <v>2035</v>
      </c>
      <c r="AE2">
        <f t="shared" si="0"/>
        <v>2036</v>
      </c>
      <c r="AF2">
        <f t="shared" si="0"/>
        <v>2037</v>
      </c>
      <c r="AG2">
        <f t="shared" si="0"/>
        <v>2038</v>
      </c>
      <c r="AH2">
        <f t="shared" si="0"/>
        <v>2039</v>
      </c>
      <c r="AI2">
        <f t="shared" si="0"/>
        <v>2040</v>
      </c>
      <c r="AJ2">
        <f t="shared" si="0"/>
        <v>2041</v>
      </c>
      <c r="AK2">
        <f t="shared" si="0"/>
        <v>2042</v>
      </c>
      <c r="AL2">
        <f t="shared" si="0"/>
        <v>2043</v>
      </c>
      <c r="AM2">
        <f t="shared" si="0"/>
        <v>2044</v>
      </c>
      <c r="AN2">
        <f t="shared" si="0"/>
        <v>2045</v>
      </c>
      <c r="AO2">
        <f t="shared" si="0"/>
        <v>2046</v>
      </c>
      <c r="AP2">
        <f t="shared" si="0"/>
        <v>2047</v>
      </c>
      <c r="AQ2">
        <f t="shared" si="0"/>
        <v>2048</v>
      </c>
      <c r="AR2">
        <f t="shared" si="0"/>
        <v>2049</v>
      </c>
      <c r="AS2">
        <f t="shared" si="0"/>
        <v>2050</v>
      </c>
      <c r="AU2" t="s">
        <v>46</v>
      </c>
    </row>
    <row r="3" spans="1:47" x14ac:dyDescent="0.2">
      <c r="A3" t="s">
        <v>765</v>
      </c>
      <c r="C3" s="23">
        <f>'Yearly Demand - BTX'!D4</f>
        <v>3.4072981318566953E-2</v>
      </c>
      <c r="D3" s="23">
        <f>'Yearly Demand - BTX'!E4</f>
        <v>2.4426825972283073E-2</v>
      </c>
      <c r="E3" s="23">
        <f>'Yearly Demand - BTX'!F4</f>
        <v>1.6256671703290593E-2</v>
      </c>
      <c r="F3" s="23">
        <f>'Yearly Demand - BTX'!G4</f>
        <v>9.6703078259026132E-3</v>
      </c>
      <c r="G3" s="23">
        <f>'Yearly Demand - BTX'!H4</f>
        <v>9.2242235895414471E-3</v>
      </c>
      <c r="H3" s="23">
        <f>'Yearly Demand - BTX'!I4</f>
        <v>3.8169048926584015E-3</v>
      </c>
      <c r="I3" s="23">
        <f>'Yearly Demand - BTX'!J4</f>
        <v>2.5031602401257569E-3</v>
      </c>
      <c r="N3" s="52" t="s">
        <v>766</v>
      </c>
      <c r="O3" s="98">
        <f>C4</f>
        <v>63.671456045561811</v>
      </c>
      <c r="P3" s="98">
        <f>O3*($D$4/$C$4)^(1/5)</f>
        <v>65.267852425999862</v>
      </c>
      <c r="Q3" s="98">
        <f>P3*($D$4/$C$4)^(1/5)</f>
        <v>66.904274299205852</v>
      </c>
      <c r="R3" s="98">
        <f>Q3*($D$4/$C$4)^(1/5)</f>
        <v>68.581725200448929</v>
      </c>
      <c r="S3" s="98">
        <f>R3*($D$4/$C$4)^(1/5)</f>
        <v>70.301233826038541</v>
      </c>
      <c r="T3" s="98">
        <f>S3*($D$4/$C$4)^(1/5)</f>
        <v>72.063854664172169</v>
      </c>
      <c r="U3" s="98">
        <f>T3*($E$4/$D$4)^(1/5)</f>
        <v>73.534362798700201</v>
      </c>
      <c r="V3" s="98">
        <f>U3*($E$4/$D$4)^(1/5)</f>
        <v>75.034877573641651</v>
      </c>
      <c r="W3" s="98">
        <f>V3*($E$4/$D$4)^(1/5)</f>
        <v>76.566011293306701</v>
      </c>
      <c r="X3" s="98">
        <f>W3*($E$4/$D$4)^(1/5)</f>
        <v>78.128388756458833</v>
      </c>
      <c r="Y3" s="98">
        <f>X3*($E$4/$D$4)^(1/5)</f>
        <v>79.722647511272015</v>
      </c>
      <c r="Z3" s="98">
        <f>Y3*($F$4/$E$4)^(1/5)</f>
        <v>80.979714921489062</v>
      </c>
      <c r="AA3" s="98">
        <f>Z3*($F$4/$E$4)^(1/5)</f>
        <v>82.25660378173518</v>
      </c>
      <c r="AB3" s="98">
        <f>AA3*($F$4/$E$4)^(1/5)</f>
        <v>83.553626636809526</v>
      </c>
      <c r="AC3" s="98">
        <f>AB3*($F$4/$E$4)^(1/5)</f>
        <v>84.871100959720422</v>
      </c>
      <c r="AD3" s="98">
        <f>AC3*($F$4/$E$4)^(1/5)</f>
        <v>86.209349229393368</v>
      </c>
      <c r="AE3" s="98">
        <f>AD3*($G$4/$F$4)^(1/5)</f>
        <v>87.118801609768127</v>
      </c>
      <c r="AF3" s="98">
        <f>AE3*($G$4/$F$4)^(1/5)</f>
        <v>88.037848119312898</v>
      </c>
      <c r="AG3" s="98">
        <f>AF3*($G$4/$F$4)^(1/5)</f>
        <v>88.966589969829982</v>
      </c>
      <c r="AH3" s="98">
        <f>AG3*($G$4/$F$4)^(1/5)</f>
        <v>89.90512944084017</v>
      </c>
      <c r="AI3" s="98">
        <f>AH3*($G$4/$F$4)^(1/5)</f>
        <v>90.85356989084643</v>
      </c>
      <c r="AJ3" s="98">
        <f>AI3*($H$4/$G$4)^(1/5)</f>
        <v>91.535574254248786</v>
      </c>
      <c r="AK3" s="98">
        <f>AJ3*($H$4/$G$4)^(1/5)</f>
        <v>92.222698173792509</v>
      </c>
      <c r="AL3" s="98">
        <f>AK3*($H$4/$G$4)^(1/5)</f>
        <v>92.914980080104272</v>
      </c>
      <c r="AM3" s="98">
        <f>AL3*($H$4/$G$4)^(1/5)</f>
        <v>93.612458692295363</v>
      </c>
      <c r="AN3" s="98">
        <f>AM3*($H$4/$G$4)^(1/5)</f>
        <v>94.31517302012719</v>
      </c>
      <c r="AO3" s="98">
        <f>AN3*($I$4/$H$4)^(1/5)</f>
        <v>94.935340978609858</v>
      </c>
      <c r="AP3" s="98">
        <f>AO3*($I$4/$H$4)^(1/5)</f>
        <v>95.55958684189207</v>
      </c>
      <c r="AQ3" s="98">
        <f>AP3*($I$4/$H$4)^(1/5)</f>
        <v>96.187937424173626</v>
      </c>
      <c r="AR3" s="98">
        <f>AQ3*($I$4/$H$4)^(1/5)</f>
        <v>96.820419715970701</v>
      </c>
      <c r="AS3" s="98">
        <f>AR3*($I$4/$H$4)^(1/5)</f>
        <v>97.457060885275183</v>
      </c>
      <c r="AU3" s="23">
        <f>(AS3/O3)^(1/30)-1</f>
        <v>1.429032820306686E-2</v>
      </c>
    </row>
    <row r="4" spans="1:47" s="58" customFormat="1" x14ac:dyDescent="0.2">
      <c r="A4" s="58" t="s">
        <v>766</v>
      </c>
      <c r="B4" s="101">
        <f t="shared" ref="B4:I4" si="1">SUM(B5:B8)</f>
        <v>56.040403896234558</v>
      </c>
      <c r="C4" s="101">
        <f t="shared" si="1"/>
        <v>63.671456045561811</v>
      </c>
      <c r="D4" s="101">
        <f t="shared" si="1"/>
        <v>72.06385466417214</v>
      </c>
      <c r="E4" s="101">
        <f t="shared" si="1"/>
        <v>79.722647511272001</v>
      </c>
      <c r="F4" s="101">
        <f t="shared" si="1"/>
        <v>86.209349229393382</v>
      </c>
      <c r="G4" s="101">
        <f t="shared" si="1"/>
        <v>90.853569890846416</v>
      </c>
      <c r="H4" s="101">
        <f t="shared" si="1"/>
        <v>94.315173020127162</v>
      </c>
      <c r="I4" s="101">
        <f t="shared" si="1"/>
        <v>97.457060885275126</v>
      </c>
      <c r="K4" s="58" t="s">
        <v>96</v>
      </c>
      <c r="M4"/>
      <c r="N4" s="1"/>
      <c r="O4" s="44"/>
      <c r="P4" s="44"/>
      <c r="Q4" s="44"/>
      <c r="R4" s="44"/>
      <c r="S4" s="44"/>
      <c r="T4" s="44"/>
      <c r="U4" s="44"/>
      <c r="V4" s="44"/>
      <c r="W4" s="44"/>
      <c r="X4" s="44"/>
      <c r="Y4" s="44"/>
      <c r="Z4" s="44"/>
      <c r="AA4" s="44"/>
      <c r="AB4" s="44"/>
      <c r="AC4" s="44"/>
      <c r="AD4" s="44"/>
      <c r="AE4" s="44"/>
      <c r="AF4" s="44"/>
      <c r="AG4" s="44"/>
      <c r="AH4" s="44"/>
      <c r="AI4" s="44"/>
      <c r="AJ4" s="44"/>
      <c r="AK4" s="44"/>
      <c r="AL4" s="44"/>
      <c r="AM4" s="44"/>
      <c r="AN4" s="44"/>
      <c r="AO4" s="44"/>
      <c r="AP4" s="44"/>
      <c r="AQ4" s="44"/>
      <c r="AR4" s="44"/>
      <c r="AS4" s="44"/>
      <c r="AT4"/>
      <c r="AU4" s="205"/>
    </row>
    <row r="5" spans="1:47" x14ac:dyDescent="0.2">
      <c r="A5" t="s">
        <v>10</v>
      </c>
      <c r="B5" s="238">
        <f>C5/(1+C3)^3</f>
        <v>13.517960296234563</v>
      </c>
      <c r="C5" s="585">
        <f>14.2/0.95</f>
        <v>14.947368421052632</v>
      </c>
      <c r="D5" s="44">
        <f>C5*($B11*(1+D$2)^5+$C11*(1+D$3)^5)</f>
        <v>16.968799285871452</v>
      </c>
      <c r="E5" s="44">
        <f t="shared" ref="D5:I8" si="2">D5*($B11*(1+E$2)^5+$C11*(1+E$3)^5)</f>
        <v>19.136070144078506</v>
      </c>
      <c r="F5" s="44">
        <f t="shared" si="2"/>
        <v>21.274993135549639</v>
      </c>
      <c r="G5" s="44">
        <f t="shared" si="2"/>
        <v>22.55736084668693</v>
      </c>
      <c r="H5" s="44">
        <f t="shared" si="2"/>
        <v>23.810630662958978</v>
      </c>
      <c r="I5" s="44">
        <f t="shared" si="2"/>
        <v>25.054959115946332</v>
      </c>
      <c r="J5" s="1"/>
      <c r="K5" s="494" t="s">
        <v>767</v>
      </c>
      <c r="M5" s="1" t="s">
        <v>581</v>
      </c>
      <c r="N5" s="492" t="s">
        <v>10</v>
      </c>
      <c r="O5" s="596">
        <f>$C5/$C$4*O$3</f>
        <v>14.947368421052632</v>
      </c>
      <c r="P5" s="596">
        <f>O5*($D5/$C5)^(1/5)</f>
        <v>15.331407031113367</v>
      </c>
      <c r="Q5" s="596">
        <f t="shared" ref="Q5:T5" si="3">P5*($D5/$C5)^(1/5)</f>
        <v>15.725312639154138</v>
      </c>
      <c r="R5" s="596">
        <f t="shared" si="3"/>
        <v>16.129338755229892</v>
      </c>
      <c r="S5" s="596">
        <f t="shared" si="3"/>
        <v>16.543745402759424</v>
      </c>
      <c r="T5" s="596">
        <f t="shared" si="3"/>
        <v>16.968799285871444</v>
      </c>
      <c r="U5" s="596">
        <f>T5*($E5/$D5)^(1/5)</f>
        <v>17.381667623855559</v>
      </c>
      <c r="V5" s="596">
        <f t="shared" ref="V5:Y5" si="4">U5*($E5/$D5)^(1/5)</f>
        <v>17.804581473112339</v>
      </c>
      <c r="W5" s="596">
        <f t="shared" si="4"/>
        <v>18.237785251262231</v>
      </c>
      <c r="X5" s="596">
        <f t="shared" si="4"/>
        <v>18.681529322857759</v>
      </c>
      <c r="Y5" s="596">
        <f t="shared" si="4"/>
        <v>19.136070144078495</v>
      </c>
      <c r="Z5" s="596">
        <f>Y5*($F5/$E5)^(1/5)</f>
        <v>19.545918749372461</v>
      </c>
      <c r="AA5" s="596">
        <f t="shared" ref="AA5:AD5" si="5">Z5*($F5/$E5)^(1/5)</f>
        <v>19.964545326214225</v>
      </c>
      <c r="AB5" s="596">
        <f t="shared" si="5"/>
        <v>20.392137877645641</v>
      </c>
      <c r="AC5" s="596">
        <f t="shared" si="5"/>
        <v>20.82888843328162</v>
      </c>
      <c r="AD5" s="596">
        <f t="shared" si="5"/>
        <v>21.274993135549639</v>
      </c>
      <c r="AE5" s="596">
        <f>AD5*($G5/$F5)^(1/5)</f>
        <v>21.525497628002075</v>
      </c>
      <c r="AF5" s="596">
        <f t="shared" ref="AF5:AI5" si="6">AE5*($G5/$F5)^(1/5)</f>
        <v>21.778951710160086</v>
      </c>
      <c r="AG5" s="596">
        <f t="shared" si="6"/>
        <v>22.035390112256838</v>
      </c>
      <c r="AH5" s="596">
        <f t="shared" si="6"/>
        <v>22.29484797346003</v>
      </c>
      <c r="AI5" s="596">
        <f t="shared" si="6"/>
        <v>22.557360846686933</v>
      </c>
      <c r="AJ5" s="596">
        <f>AI5*($H5/$G5)^(1/5)</f>
        <v>22.802623116794138</v>
      </c>
      <c r="AK5" s="596">
        <f t="shared" ref="AK5:AN5" si="7">AJ5*($H5/$G5)^(1/5)</f>
        <v>23.050552081003854</v>
      </c>
      <c r="AL5" s="596">
        <f t="shared" si="7"/>
        <v>23.301176733818313</v>
      </c>
      <c r="AM5" s="596">
        <f t="shared" si="7"/>
        <v>23.554526384991924</v>
      </c>
      <c r="AN5" s="596">
        <f t="shared" si="7"/>
        <v>23.810630662958982</v>
      </c>
      <c r="AO5" s="596">
        <f>AN5*($I5/$H5)^(1/5)</f>
        <v>24.054451507660676</v>
      </c>
      <c r="AP5" s="596">
        <f t="shared" ref="AP5:AS5" si="8">AO5*($I5/$H5)^(1/5)</f>
        <v>24.300769077676058</v>
      </c>
      <c r="AQ5" s="596">
        <f t="shared" si="8"/>
        <v>24.549608939470946</v>
      </c>
      <c r="AR5" s="596">
        <f t="shared" si="8"/>
        <v>24.800996921311754</v>
      </c>
      <c r="AS5" s="596">
        <f t="shared" si="8"/>
        <v>25.054959115946328</v>
      </c>
    </row>
    <row r="6" spans="1:47" x14ac:dyDescent="0.2">
      <c r="A6" t="s">
        <v>768</v>
      </c>
      <c r="B6" s="585">
        <f>30*B17</f>
        <v>13.09226932668329</v>
      </c>
      <c r="C6" s="44">
        <f>B6*($B12*(1+C$2)^3+$C12*(1+C$3)^3)</f>
        <v>14.426809843791874</v>
      </c>
      <c r="D6" s="44">
        <f t="shared" si="2"/>
        <v>16.312399185713684</v>
      </c>
      <c r="E6" s="44">
        <f t="shared" si="2"/>
        <v>17.932560657782929</v>
      </c>
      <c r="F6" s="44">
        <f t="shared" si="2"/>
        <v>19.209683620534459</v>
      </c>
      <c r="G6" s="44">
        <f t="shared" si="2"/>
        <v>20.201769916536847</v>
      </c>
      <c r="H6" s="44">
        <f t="shared" si="2"/>
        <v>20.847774053272545</v>
      </c>
      <c r="I6" s="44">
        <f t="shared" si="2"/>
        <v>21.400275220530673</v>
      </c>
      <c r="J6" s="44"/>
      <c r="K6" s="587" t="s">
        <v>769</v>
      </c>
      <c r="M6" t="s">
        <v>581</v>
      </c>
      <c r="N6" t="s">
        <v>768</v>
      </c>
      <c r="O6" s="44">
        <f t="shared" ref="O6:O8" si="9">$C6/$C$4*O$3</f>
        <v>14.426809843791874</v>
      </c>
      <c r="P6" s="44">
        <f t="shared" ref="P6:T6" si="10">O6*($D6/$C6)^(1/5)</f>
        <v>14.785629320796449</v>
      </c>
      <c r="Q6" s="44">
        <f t="shared" si="10"/>
        <v>15.153373252928104</v>
      </c>
      <c r="R6" s="44">
        <f t="shared" si="10"/>
        <v>15.530263606675335</v>
      </c>
      <c r="S6" s="44">
        <f t="shared" si="10"/>
        <v>15.916527869213487</v>
      </c>
      <c r="T6" s="44">
        <f t="shared" si="10"/>
        <v>16.312399185713687</v>
      </c>
      <c r="U6" s="44">
        <f t="shared" ref="U6:Y6" si="11">T6*($E6/$D6)^(1/5)</f>
        <v>16.624275758873527</v>
      </c>
      <c r="V6" s="44">
        <f t="shared" si="11"/>
        <v>16.942115096662807</v>
      </c>
      <c r="W6" s="44">
        <f t="shared" si="11"/>
        <v>17.266031201110174</v>
      </c>
      <c r="X6" s="44">
        <f t="shared" si="11"/>
        <v>17.596140253847746</v>
      </c>
      <c r="Y6" s="44">
        <f t="shared" si="11"/>
        <v>17.93256065778294</v>
      </c>
      <c r="Z6" s="44">
        <f t="shared" ref="Z6:AD6" si="12">Y6*($F6/$E6)^(1/5)</f>
        <v>18.181005126084735</v>
      </c>
      <c r="AA6" s="44">
        <f t="shared" si="12"/>
        <v>18.432891637885373</v>
      </c>
      <c r="AB6" s="44">
        <f t="shared" si="12"/>
        <v>18.688267880555514</v>
      </c>
      <c r="AC6" s="44">
        <f t="shared" si="12"/>
        <v>18.947182202144663</v>
      </c>
      <c r="AD6" s="44">
        <f t="shared" si="12"/>
        <v>19.209683620534459</v>
      </c>
      <c r="AE6" s="44">
        <f t="shared" ref="AE6:AI6" si="13">AD6*($G6/$F6)^(1/5)</f>
        <v>19.404124561609546</v>
      </c>
      <c r="AF6" s="44">
        <f t="shared" si="13"/>
        <v>19.600533639188754</v>
      </c>
      <c r="AG6" s="44">
        <f t="shared" si="13"/>
        <v>19.798930774803406</v>
      </c>
      <c r="AH6" s="44">
        <f t="shared" si="13"/>
        <v>19.999336091631115</v>
      </c>
      <c r="AI6" s="44">
        <f t="shared" si="13"/>
        <v>20.201769916536843</v>
      </c>
      <c r="AJ6" s="44">
        <f t="shared" ref="AJ6:AN6" si="14">AI6*($H6/$G6)^(1/5)</f>
        <v>20.329349145902306</v>
      </c>
      <c r="AK6" s="44">
        <f t="shared" si="14"/>
        <v>20.457734070008016</v>
      </c>
      <c r="AL6" s="44">
        <f t="shared" si="14"/>
        <v>20.586929777017762</v>
      </c>
      <c r="AM6" s="44">
        <f t="shared" si="14"/>
        <v>20.716941387228353</v>
      </c>
      <c r="AN6" s="44">
        <f t="shared" si="14"/>
        <v>20.847774053272552</v>
      </c>
      <c r="AO6" s="44">
        <f t="shared" ref="AO6:AS6" si="15">AN6*($I6/$H6)^(1/5)</f>
        <v>20.957121197075534</v>
      </c>
      <c r="AP6" s="44">
        <f t="shared" si="15"/>
        <v>21.067041869631627</v>
      </c>
      <c r="AQ6" s="44">
        <f t="shared" si="15"/>
        <v>21.177539079114787</v>
      </c>
      <c r="AR6" s="44">
        <f t="shared" si="15"/>
        <v>21.288615849476933</v>
      </c>
      <c r="AS6" s="44">
        <f t="shared" si="15"/>
        <v>21.400275220530688</v>
      </c>
    </row>
    <row r="7" spans="1:47" x14ac:dyDescent="0.2">
      <c r="A7" t="s">
        <v>770</v>
      </c>
      <c r="B7" s="585">
        <f>30*B18</f>
        <v>16.907730673316706</v>
      </c>
      <c r="C7" s="44">
        <f>B7*($B13*(1+C$2)^3+$C13*(1+C$3)^3)</f>
        <v>18.654372471069241</v>
      </c>
      <c r="D7" s="44">
        <f>C7*($B13*(1+D$2)^5+$C13*(1+D$3)^5)</f>
        <v>21.076039194664702</v>
      </c>
      <c r="E7" s="44">
        <f t="shared" si="2"/>
        <v>23.052852724667808</v>
      </c>
      <c r="F7" s="44">
        <f t="shared" si="2"/>
        <v>24.512699178841515</v>
      </c>
      <c r="G7" s="44">
        <f t="shared" si="2"/>
        <v>25.73749150121008</v>
      </c>
      <c r="H7" s="44">
        <f t="shared" si="2"/>
        <v>26.442409003481639</v>
      </c>
      <c r="I7" s="44">
        <f t="shared" si="2"/>
        <v>27.01064000764358</v>
      </c>
      <c r="J7" s="44"/>
      <c r="K7" s="5" t="s">
        <v>769</v>
      </c>
      <c r="M7" t="s">
        <v>581</v>
      </c>
      <c r="N7" t="s">
        <v>770</v>
      </c>
      <c r="O7" s="44">
        <f t="shared" si="9"/>
        <v>18.654372471069241</v>
      </c>
      <c r="P7" s="44">
        <f t="shared" ref="P7:T7" si="16">O7*($D7/$C7)^(1/5)</f>
        <v>19.115352660220736</v>
      </c>
      <c r="Q7" s="44">
        <f t="shared" si="16"/>
        <v>19.587724427144131</v>
      </c>
      <c r="R7" s="44">
        <f t="shared" si="16"/>
        <v>20.071769276440243</v>
      </c>
      <c r="S7" s="44">
        <f t="shared" si="16"/>
        <v>20.567775669151036</v>
      </c>
      <c r="T7" s="44">
        <f t="shared" si="16"/>
        <v>21.076039194664705</v>
      </c>
      <c r="U7" s="44">
        <f t="shared" ref="U7:Y7" si="17">T7*($E7/$D7)^(1/5)</f>
        <v>21.45735236991473</v>
      </c>
      <c r="V7" s="44">
        <f t="shared" si="17"/>
        <v>21.845564362170943</v>
      </c>
      <c r="W7" s="44">
        <f t="shared" si="17"/>
        <v>22.24079998662247</v>
      </c>
      <c r="X7" s="44">
        <f t="shared" si="17"/>
        <v>22.643186316647256</v>
      </c>
      <c r="Y7" s="44">
        <f t="shared" si="17"/>
        <v>23.052852724667808</v>
      </c>
      <c r="Z7" s="44">
        <f t="shared" ref="Z7:AD7" si="18">Y7*($F7/$E7)^(1/5)</f>
        <v>23.337695427763993</v>
      </c>
      <c r="AA7" s="44">
        <f t="shared" si="18"/>
        <v>23.626057667746835</v>
      </c>
      <c r="AB7" s="44">
        <f t="shared" si="18"/>
        <v>23.917982932266753</v>
      </c>
      <c r="AC7" s="44">
        <f t="shared" si="18"/>
        <v>24.213515246310696</v>
      </c>
      <c r="AD7" s="44">
        <f t="shared" si="18"/>
        <v>24.512699178841512</v>
      </c>
      <c r="AE7" s="44">
        <f t="shared" ref="AE7:AI7" si="19">AD7*($G7/$F7)^(1/5)</f>
        <v>24.752903669241125</v>
      </c>
      <c r="AF7" s="44">
        <f t="shared" si="19"/>
        <v>24.995461968039688</v>
      </c>
      <c r="AG7" s="44">
        <f t="shared" si="19"/>
        <v>25.240397140642724</v>
      </c>
      <c r="AH7" s="44">
        <f t="shared" si="19"/>
        <v>25.487732478477945</v>
      </c>
      <c r="AI7" s="44">
        <f t="shared" si="19"/>
        <v>25.737491501210087</v>
      </c>
      <c r="AJ7" s="44">
        <f t="shared" ref="AJ7:AN7" si="20">AI7*($H7/$G7)^(1/5)</f>
        <v>25.876955362565109</v>
      </c>
      <c r="AK7" s="44">
        <f t="shared" si="20"/>
        <v>26.017174937375078</v>
      </c>
      <c r="AL7" s="44">
        <f t="shared" si="20"/>
        <v>26.158154320627904</v>
      </c>
      <c r="AM7" s="44">
        <f t="shared" si="20"/>
        <v>26.299897629501025</v>
      </c>
      <c r="AN7" s="44">
        <f t="shared" si="20"/>
        <v>26.442409003481647</v>
      </c>
      <c r="AO7" s="44">
        <f t="shared" ref="AO7:AS7" si="21">AN7*($I7/$H7)^(1/5)</f>
        <v>26.555090738738656</v>
      </c>
      <c r="AP7" s="44">
        <f t="shared" si="21"/>
        <v>26.668252656170402</v>
      </c>
      <c r="AQ7" s="44">
        <f t="shared" si="21"/>
        <v>26.781896802026175</v>
      </c>
      <c r="AR7" s="44">
        <f t="shared" si="21"/>
        <v>26.896025231275157</v>
      </c>
      <c r="AS7" s="44">
        <f t="shared" si="21"/>
        <v>27.01064000764358</v>
      </c>
    </row>
    <row r="8" spans="1:47" s="68" customFormat="1" x14ac:dyDescent="0.2">
      <c r="A8" s="68" t="s">
        <v>771</v>
      </c>
      <c r="B8" s="586">
        <f>11.6*(1+3.9%)^2</f>
        <v>12.522443599999997</v>
      </c>
      <c r="C8" s="44">
        <f>B8*($B14*(1+C$2)^7+$C14*(1+C$3)^7)</f>
        <v>15.642905309648061</v>
      </c>
      <c r="D8" s="44">
        <f t="shared" si="2"/>
        <v>17.706616997922307</v>
      </c>
      <c r="E8" s="44">
        <f t="shared" si="2"/>
        <v>19.601163984742758</v>
      </c>
      <c r="F8" s="44">
        <f t="shared" si="2"/>
        <v>21.211973294467775</v>
      </c>
      <c r="G8" s="44">
        <f t="shared" si="2"/>
        <v>22.356947626412563</v>
      </c>
      <c r="H8" s="44">
        <f t="shared" si="2"/>
        <v>23.214359300414007</v>
      </c>
      <c r="I8" s="44">
        <f t="shared" si="2"/>
        <v>23.991186541154544</v>
      </c>
      <c r="J8" s="284"/>
      <c r="K8" s="588" t="s">
        <v>772</v>
      </c>
      <c r="M8" s="68" t="s">
        <v>581</v>
      </c>
      <c r="N8" s="68" t="s">
        <v>771</v>
      </c>
      <c r="O8" s="44">
        <f t="shared" si="9"/>
        <v>15.642905309648061</v>
      </c>
      <c r="P8" s="44">
        <f t="shared" ref="P8:T8" si="22">O8*($D8/$C8)^(1/5)</f>
        <v>16.035446302245823</v>
      </c>
      <c r="Q8" s="44">
        <f t="shared" si="22"/>
        <v>16.437837666486157</v>
      </c>
      <c r="R8" s="44">
        <f t="shared" si="22"/>
        <v>16.85032658628954</v>
      </c>
      <c r="S8" s="44">
        <f t="shared" si="22"/>
        <v>17.273166448376983</v>
      </c>
      <c r="T8" s="44">
        <f t="shared" si="22"/>
        <v>17.706616997922296</v>
      </c>
      <c r="U8" s="44">
        <f t="shared" ref="U8:Y8" si="23">T8*($E8/$D8)^(1/5)</f>
        <v>18.070278547816987</v>
      </c>
      <c r="V8" s="44">
        <f t="shared" si="23"/>
        <v>18.441409041264663</v>
      </c>
      <c r="W8" s="44">
        <f t="shared" si="23"/>
        <v>18.820161876714554</v>
      </c>
      <c r="X8" s="44">
        <f t="shared" si="23"/>
        <v>19.206693603139659</v>
      </c>
      <c r="Y8" s="44">
        <f t="shared" si="23"/>
        <v>19.601163984742751</v>
      </c>
      <c r="Z8" s="44">
        <f t="shared" ref="Z8:AD8" si="24">Y8*($F8/$E8)^(1/5)</f>
        <v>19.913229726488041</v>
      </c>
      <c r="AA8" s="44">
        <f t="shared" si="24"/>
        <v>20.230263797014562</v>
      </c>
      <c r="AB8" s="44">
        <f t="shared" si="24"/>
        <v>20.552345295972088</v>
      </c>
      <c r="AC8" s="44">
        <f t="shared" si="24"/>
        <v>20.879554582338205</v>
      </c>
      <c r="AD8" s="44">
        <f t="shared" si="24"/>
        <v>21.211973294467775</v>
      </c>
      <c r="AE8" s="44">
        <f t="shared" ref="AE8:AI8" si="25">AD8*($G8/$F8)^(1/5)</f>
        <v>21.436178226187351</v>
      </c>
      <c r="AF8" s="44">
        <f t="shared" si="25"/>
        <v>21.662752944569846</v>
      </c>
      <c r="AG8" s="44">
        <f t="shared" si="25"/>
        <v>21.891722497631751</v>
      </c>
      <c r="AH8" s="44">
        <f t="shared" si="25"/>
        <v>22.123112198140451</v>
      </c>
      <c r="AI8" s="44">
        <f t="shared" si="25"/>
        <v>22.35694762641257</v>
      </c>
      <c r="AJ8" s="44">
        <f t="shared" ref="AJ8:AN8" si="26">AI8*($H8/$G8)^(1/5)</f>
        <v>22.525858305297678</v>
      </c>
      <c r="AK8" s="44">
        <f t="shared" si="26"/>
        <v>22.696045134125889</v>
      </c>
      <c r="AL8" s="44">
        <f t="shared" si="26"/>
        <v>22.867517754434896</v>
      </c>
      <c r="AM8" s="44">
        <f t="shared" si="26"/>
        <v>23.040285880605911</v>
      </c>
      <c r="AN8" s="44">
        <f t="shared" si="26"/>
        <v>23.214359300414007</v>
      </c>
      <c r="AO8" s="44">
        <f t="shared" ref="AO8:AS8" si="27">AN8*($I8/$H8)^(1/5)</f>
        <v>23.367685937677216</v>
      </c>
      <c r="AP8" s="44">
        <f t="shared" si="27"/>
        <v>23.522025269600238</v>
      </c>
      <c r="AQ8" s="44">
        <f t="shared" si="27"/>
        <v>23.677383984847822</v>
      </c>
      <c r="AR8" s="44">
        <f t="shared" si="27"/>
        <v>23.833768816262133</v>
      </c>
      <c r="AS8" s="44">
        <f t="shared" si="27"/>
        <v>23.991186541154548</v>
      </c>
    </row>
    <row r="9" spans="1:47" x14ac:dyDescent="0.2">
      <c r="D9" s="76"/>
      <c r="E9" s="44"/>
      <c r="I9" s="76"/>
      <c r="J9" s="44"/>
      <c r="M9" s="54"/>
      <c r="T9" s="214"/>
    </row>
    <row r="10" spans="1:47" x14ac:dyDescent="0.2">
      <c r="B10" t="s">
        <v>773</v>
      </c>
      <c r="C10" t="s">
        <v>774</v>
      </c>
      <c r="D10" s="76"/>
      <c r="E10" s="44"/>
      <c r="I10" s="76"/>
      <c r="J10" s="44"/>
      <c r="T10" s="168"/>
    </row>
    <row r="11" spans="1:47" x14ac:dyDescent="0.2">
      <c r="A11" t="s">
        <v>10</v>
      </c>
      <c r="B11" s="55">
        <v>0.95</v>
      </c>
      <c r="C11" s="6">
        <f>1-B11</f>
        <v>5.0000000000000044E-2</v>
      </c>
      <c r="D11" s="76"/>
      <c r="E11" t="s">
        <v>775</v>
      </c>
      <c r="G11" t="s">
        <v>581</v>
      </c>
      <c r="I11" s="583"/>
      <c r="J11" s="44"/>
      <c r="T11" s="384"/>
    </row>
    <row r="12" spans="1:47" x14ac:dyDescent="0.2">
      <c r="A12" t="s">
        <v>768</v>
      </c>
      <c r="B12" s="55">
        <f>4/12</f>
        <v>0.33333333333333331</v>
      </c>
      <c r="C12" s="6">
        <f>1-B12</f>
        <v>0.66666666666666674</v>
      </c>
      <c r="D12" s="76"/>
      <c r="E12" t="s">
        <v>775</v>
      </c>
      <c r="G12" t="s">
        <v>581</v>
      </c>
      <c r="I12" s="384"/>
      <c r="J12" s="44"/>
    </row>
    <row r="13" spans="1:47" x14ac:dyDescent="0.2">
      <c r="A13" t="s">
        <v>770</v>
      </c>
      <c r="B13" s="55">
        <f>3.2/15</f>
        <v>0.21333333333333335</v>
      </c>
      <c r="C13" s="6">
        <f>1-B13</f>
        <v>0.78666666666666663</v>
      </c>
      <c r="D13" s="76"/>
      <c r="E13" t="s">
        <v>775</v>
      </c>
      <c r="G13" t="s">
        <v>581</v>
      </c>
      <c r="I13" s="76"/>
      <c r="J13" s="44"/>
    </row>
    <row r="14" spans="1:47" x14ac:dyDescent="0.2">
      <c r="A14" t="s">
        <v>771</v>
      </c>
      <c r="B14" s="55">
        <f>6/12</f>
        <v>0.5</v>
      </c>
      <c r="C14" s="6">
        <f>1-B14</f>
        <v>0.5</v>
      </c>
      <c r="D14" s="76"/>
      <c r="E14" t="s">
        <v>775</v>
      </c>
      <c r="G14" t="s">
        <v>581</v>
      </c>
      <c r="I14" s="76"/>
      <c r="J14" s="44"/>
    </row>
    <row r="15" spans="1:47" x14ac:dyDescent="0.2">
      <c r="C15" t="s">
        <v>581</v>
      </c>
      <c r="D15" s="583"/>
      <c r="E15" s="44"/>
      <c r="G15" t="s">
        <v>581</v>
      </c>
      <c r="I15" s="76"/>
      <c r="J15" s="44"/>
      <c r="M15" s="6"/>
      <c r="N15" s="168"/>
    </row>
    <row r="16" spans="1:47" x14ac:dyDescent="0.2">
      <c r="D16" s="384"/>
      <c r="E16" s="43"/>
      <c r="I16" s="384"/>
      <c r="J16" s="43"/>
      <c r="M16" s="384"/>
      <c r="N16" s="23"/>
    </row>
    <row r="17" spans="1:14" x14ac:dyDescent="0.2">
      <c r="A17" t="s">
        <v>776</v>
      </c>
      <c r="B17" s="2">
        <f>17.5/(17.5+22.6)</f>
        <v>0.43640897755610969</v>
      </c>
      <c r="M17" s="584"/>
      <c r="N17" s="23"/>
    </row>
    <row r="18" spans="1:14" x14ac:dyDescent="0.2">
      <c r="B18" s="2">
        <f>1-B17</f>
        <v>0.56359102244389025</v>
      </c>
      <c r="M18" s="6"/>
    </row>
    <row r="19" spans="1:14" x14ac:dyDescent="0.2">
      <c r="A19" t="s">
        <v>775</v>
      </c>
      <c r="B19" s="1"/>
      <c r="C19" t="s">
        <v>581</v>
      </c>
      <c r="D19" s="1"/>
      <c r="E19" s="1"/>
      <c r="G19" s="1"/>
      <c r="I19" s="1"/>
      <c r="J19" s="1"/>
    </row>
    <row r="20" spans="1:14" x14ac:dyDescent="0.2">
      <c r="C20" s="6" t="s">
        <v>581</v>
      </c>
      <c r="D20" s="44"/>
      <c r="E20" s="2"/>
      <c r="H20" s="6"/>
      <c r="I20" s="44"/>
      <c r="J20" s="2"/>
    </row>
    <row r="21" spans="1:14" x14ac:dyDescent="0.2">
      <c r="C21" s="6"/>
      <c r="D21" s="44"/>
      <c r="E21" s="2"/>
      <c r="H21" s="6"/>
      <c r="I21" s="44"/>
      <c r="J21" s="2"/>
    </row>
    <row r="22" spans="1:14" x14ac:dyDescent="0.2">
      <c r="C22" s="6"/>
      <c r="D22" s="44"/>
      <c r="H22" s="6"/>
      <c r="I22" s="44"/>
    </row>
  </sheetData>
  <hyperlinks>
    <hyperlink ref="K5" r:id="rId1" display="https://www.mdpi.com/1996-1073/14/13/3772/pdf" xr:uid="{D129D44A-C14C-46A5-90FA-655520409920}"/>
    <hyperlink ref="K6" r:id="rId2" xr:uid="{B44A5414-87B9-472D-8F0F-8A61F014B2F7}"/>
    <hyperlink ref="K7" r:id="rId3" tooltip="https://www.mdpi.com/1996-1073/14/13/3772/pdf" xr:uid="{ECE3F101-8A22-4B8E-ABED-7A2FF962B2B0}"/>
    <hyperlink ref="K8" r:id="rId4" xr:uid="{23F60C48-EBF8-42D0-BC51-FE4CACD8B1CE}"/>
  </hyperlinks>
  <pageMargins left="0.7" right="0.7" top="0.75" bottom="0.75" header="0.3" footer="0.3"/>
  <pageSetup orientation="portrait" r:id="rId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4B7477-C9C1-45A5-AAEF-E4D962423FDD}">
  <sheetPr>
    <tabColor theme="7"/>
  </sheetPr>
  <dimension ref="A1:Y94"/>
  <sheetViews>
    <sheetView topLeftCell="A28" zoomScaleNormal="100" workbookViewId="0">
      <selection activeCell="C34" sqref="C34:C40"/>
    </sheetView>
  </sheetViews>
  <sheetFormatPr baseColWidth="10" defaultColWidth="8.83203125" defaultRowHeight="15" x14ac:dyDescent="0.2"/>
  <cols>
    <col min="2" max="2" width="30.1640625" customWidth="1"/>
    <col min="3" max="3" width="10.33203125" customWidth="1"/>
    <col min="5" max="5" width="7.5" customWidth="1"/>
    <col min="7" max="7" width="14.5" customWidth="1"/>
    <col min="10" max="10" width="21.1640625" customWidth="1"/>
    <col min="11" max="11" width="17.5" bestFit="1" customWidth="1"/>
    <col min="12" max="12" width="15.1640625" customWidth="1"/>
    <col min="13" max="13" width="16.83203125" customWidth="1"/>
  </cols>
  <sheetData>
    <row r="1" spans="2:25" x14ac:dyDescent="0.2">
      <c r="C1" s="1">
        <v>2015</v>
      </c>
      <c r="D1" s="1">
        <v>2017</v>
      </c>
      <c r="E1" s="1">
        <v>2020</v>
      </c>
      <c r="F1" s="1">
        <v>2025</v>
      </c>
      <c r="G1" s="1">
        <v>2030</v>
      </c>
      <c r="H1" s="1">
        <v>2035</v>
      </c>
      <c r="I1" s="1">
        <v>2040</v>
      </c>
      <c r="J1" s="1">
        <v>2045</v>
      </c>
      <c r="K1" s="1">
        <v>2050</v>
      </c>
      <c r="L1" t="s">
        <v>46</v>
      </c>
      <c r="M1" t="s">
        <v>96</v>
      </c>
    </row>
    <row r="2" spans="2:25" x14ac:dyDescent="0.2">
      <c r="B2" t="s">
        <v>4</v>
      </c>
      <c r="C2" s="99">
        <f>'Yearly Demand - Eth&amp;Prop'!B3</f>
        <v>140</v>
      </c>
      <c r="D2" s="99">
        <f>'Yearly Demand - Eth&amp;Prop'!C3</f>
        <v>150</v>
      </c>
      <c r="E2" s="99">
        <f>'Yearly Demand - Eth&amp;Prop'!D3</f>
        <v>162.69230769230768</v>
      </c>
      <c r="F2" s="99">
        <f>'Yearly Demand - Eth&amp;Prop'!E3</f>
        <v>183.84615384615384</v>
      </c>
      <c r="G2" s="99">
        <f>'Yearly Demand - Eth&amp;Prop'!F3</f>
        <v>205</v>
      </c>
      <c r="H2" s="99">
        <f>'Yearly Demand - Eth&amp;Prop'!G3</f>
        <v>217.5</v>
      </c>
      <c r="I2" s="99">
        <f>'Yearly Demand - Eth&amp;Prop'!H3</f>
        <v>230</v>
      </c>
      <c r="J2" s="99">
        <f>'Yearly Demand - Eth&amp;Prop'!I3</f>
        <v>242.5</v>
      </c>
      <c r="K2" s="99">
        <f>'Yearly Demand - Eth&amp;Prop'!J3</f>
        <v>255</v>
      </c>
      <c r="L2" s="384">
        <f>(K2/E2)^(1/30)-1</f>
        <v>1.5092857676367366E-2</v>
      </c>
      <c r="M2" t="s">
        <v>651</v>
      </c>
      <c r="S2" s="5" t="s">
        <v>524</v>
      </c>
    </row>
    <row r="3" spans="2:25" x14ac:dyDescent="0.2">
      <c r="B3" t="s">
        <v>46</v>
      </c>
      <c r="D3" s="23">
        <f>(E2/C2)^(1/5)-1</f>
        <v>3.0499526932111998E-2</v>
      </c>
      <c r="E3" s="23">
        <f>(F2/D2)^(1/8)-1</f>
        <v>2.5759177252759002E-2</v>
      </c>
      <c r="F3" s="23">
        <f>(F2/E2)^(1/5)-1</f>
        <v>2.4749006286804098E-2</v>
      </c>
      <c r="G3" s="23">
        <f t="shared" ref="G3:K3" si="0">(G2/F2)^(1/5)-1</f>
        <v>2.2021100995369691E-2</v>
      </c>
      <c r="H3" s="23">
        <f t="shared" si="0"/>
        <v>1.1908118025093728E-2</v>
      </c>
      <c r="I3" s="23">
        <f t="shared" si="0"/>
        <v>1.1238777501342723E-2</v>
      </c>
      <c r="J3" s="23">
        <f t="shared" si="0"/>
        <v>1.0640694058494882E-2</v>
      </c>
      <c r="K3" s="23">
        <f t="shared" si="0"/>
        <v>1.0103061721958406E-2</v>
      </c>
    </row>
    <row r="5" spans="2:25" x14ac:dyDescent="0.2">
      <c r="B5" s="1" t="s">
        <v>652</v>
      </c>
      <c r="C5" s="1"/>
      <c r="D5" s="1" t="s">
        <v>653</v>
      </c>
      <c r="E5" s="1"/>
      <c r="G5" s="1"/>
      <c r="H5" s="1"/>
      <c r="I5" s="1"/>
      <c r="J5" s="1"/>
      <c r="K5" s="1"/>
    </row>
    <row r="6" spans="2:25" x14ac:dyDescent="0.2">
      <c r="B6" t="s">
        <v>261</v>
      </c>
      <c r="C6" s="56">
        <v>0.61</v>
      </c>
      <c r="D6" s="44">
        <f>C6*$E$2</f>
        <v>99.242307692307676</v>
      </c>
      <c r="F6" t="s">
        <v>654</v>
      </c>
      <c r="I6" t="s">
        <v>655</v>
      </c>
    </row>
    <row r="7" spans="2:25" x14ac:dyDescent="0.2">
      <c r="B7" t="s">
        <v>260</v>
      </c>
      <c r="C7" s="56">
        <v>0.14000000000000001</v>
      </c>
      <c r="D7" s="44">
        <f t="shared" ref="D7:D11" si="1">C7*$E$2</f>
        <v>22.776923076923076</v>
      </c>
      <c r="F7" t="s">
        <v>656</v>
      </c>
    </row>
    <row r="8" spans="2:25" x14ac:dyDescent="0.2">
      <c r="B8" t="s">
        <v>627</v>
      </c>
      <c r="C8" s="56">
        <v>0.12</v>
      </c>
      <c r="D8" s="44">
        <f t="shared" si="1"/>
        <v>19.523076923076921</v>
      </c>
      <c r="F8" t="s">
        <v>657</v>
      </c>
    </row>
    <row r="9" spans="2:25" x14ac:dyDescent="0.2">
      <c r="B9" t="s">
        <v>658</v>
      </c>
      <c r="C9" s="56">
        <v>0.06</v>
      </c>
      <c r="D9" s="44">
        <f t="shared" si="1"/>
        <v>9.7615384615384606</v>
      </c>
      <c r="F9" s="5" t="s">
        <v>659</v>
      </c>
    </row>
    <row r="10" spans="2:25" x14ac:dyDescent="0.2">
      <c r="B10" t="s">
        <v>192</v>
      </c>
      <c r="C10" s="56">
        <f>1-C8-C7-C6-C9</f>
        <v>7.0000000000000007E-2</v>
      </c>
      <c r="D10" s="44">
        <f t="shared" si="1"/>
        <v>11.388461538461538</v>
      </c>
      <c r="F10" t="s">
        <v>660</v>
      </c>
    </row>
    <row r="11" spans="2:25" x14ac:dyDescent="0.2">
      <c r="C11" s="6">
        <f>SUM(C6:C10)</f>
        <v>1</v>
      </c>
      <c r="D11" s="44">
        <f t="shared" si="1"/>
        <v>162.69230769230768</v>
      </c>
      <c r="F11" t="s">
        <v>661</v>
      </c>
    </row>
    <row r="13" spans="2:25" x14ac:dyDescent="0.2">
      <c r="B13" s="1" t="s">
        <v>662</v>
      </c>
      <c r="D13" s="1" t="s">
        <v>653</v>
      </c>
      <c r="E13" s="1" t="s">
        <v>663</v>
      </c>
      <c r="G13" s="1" t="s">
        <v>664</v>
      </c>
      <c r="I13" s="1" t="s">
        <v>653</v>
      </c>
      <c r="J13" s="1" t="s">
        <v>663</v>
      </c>
      <c r="L13" s="1" t="s">
        <v>665</v>
      </c>
      <c r="N13" s="1" t="s">
        <v>653</v>
      </c>
      <c r="O13" s="1" t="s">
        <v>663</v>
      </c>
      <c r="Q13" s="1" t="s">
        <v>666</v>
      </c>
      <c r="S13" s="1" t="s">
        <v>653</v>
      </c>
      <c r="T13" s="1" t="s">
        <v>663</v>
      </c>
      <c r="V13" s="1" t="s">
        <v>192</v>
      </c>
      <c r="X13" s="1" t="s">
        <v>653</v>
      </c>
      <c r="Y13" s="1" t="s">
        <v>663</v>
      </c>
    </row>
    <row r="14" spans="2:25" x14ac:dyDescent="0.2">
      <c r="B14" t="s">
        <v>472</v>
      </c>
      <c r="C14" s="258">
        <f>'Demand - Industry shares'!C13/SUM('Demand - Industry shares'!B13:C13)</f>
        <v>0.44903581267217635</v>
      </c>
      <c r="D14" s="44">
        <f>C14*$D$6</f>
        <v>44.563350286077558</v>
      </c>
      <c r="E14" s="2">
        <f>D14/$D$11</f>
        <v>0.27391184573002758</v>
      </c>
      <c r="G14" t="s">
        <v>667</v>
      </c>
      <c r="H14" s="55">
        <v>0.67</v>
      </c>
      <c r="I14" s="44">
        <f>H14*$D$7</f>
        <v>15.260538461538461</v>
      </c>
      <c r="J14" s="2">
        <f>I14/$D$11</f>
        <v>9.3800000000000008E-2</v>
      </c>
      <c r="K14" s="2">
        <f>(I14-K69)/(I21-K69)</f>
        <v>0.61142184280247269</v>
      </c>
      <c r="L14" t="s">
        <v>480</v>
      </c>
      <c r="M14" s="55">
        <f>Ethylene!B28</f>
        <v>0.96</v>
      </c>
      <c r="N14" s="44">
        <f>M14*$D$8</f>
        <v>18.742153846153844</v>
      </c>
      <c r="O14" s="2">
        <f>N14/$D$11</f>
        <v>0.1152</v>
      </c>
      <c r="Q14" t="s">
        <v>668</v>
      </c>
      <c r="R14" s="55">
        <v>0.99</v>
      </c>
      <c r="S14" s="44">
        <f>R14*$D$9</f>
        <v>9.6639230769230764</v>
      </c>
      <c r="T14" s="2">
        <f>S14/$D$11</f>
        <v>5.9400000000000001E-2</v>
      </c>
      <c r="V14" t="s">
        <v>192</v>
      </c>
      <c r="W14" s="55">
        <v>1</v>
      </c>
      <c r="X14" s="44">
        <f>W14*$D$10</f>
        <v>11.388461538461538</v>
      </c>
      <c r="Y14" s="2">
        <f>X14/$D$11</f>
        <v>7.0000000000000007E-2</v>
      </c>
    </row>
    <row r="15" spans="2:25" x14ac:dyDescent="0.2">
      <c r="B15" t="s">
        <v>473</v>
      </c>
      <c r="C15" s="258">
        <f>1-C14</f>
        <v>0.55096418732782371</v>
      </c>
      <c r="D15" s="44">
        <f t="shared" ref="D15:D16" si="2">C15*$D$6</f>
        <v>54.678957406230126</v>
      </c>
      <c r="E15" s="2">
        <f>D15/$D$11</f>
        <v>0.33608815426997241</v>
      </c>
      <c r="G15" t="s">
        <v>669</v>
      </c>
      <c r="H15" s="55">
        <v>0.13</v>
      </c>
      <c r="I15" s="44">
        <f t="shared" ref="I15:I21" si="3">H15*$D$7</f>
        <v>2.9609999999999999</v>
      </c>
      <c r="J15" s="2">
        <f>I15/$D$11</f>
        <v>1.8200000000000001E-2</v>
      </c>
      <c r="L15" t="s">
        <v>248</v>
      </c>
      <c r="M15" s="55">
        <f>Ethylene!B29</f>
        <v>0.04</v>
      </c>
      <c r="N15" s="44">
        <f t="shared" ref="N15:N16" si="4">M15*$D$8</f>
        <v>0.78092307692307683</v>
      </c>
      <c r="O15" s="2">
        <f>N15/$D$11</f>
        <v>4.7999999999999996E-3</v>
      </c>
      <c r="Q15" t="s">
        <v>192</v>
      </c>
      <c r="R15" s="55">
        <v>0.01</v>
      </c>
      <c r="S15" s="44">
        <f t="shared" ref="S15:S16" si="5">R15*$D$9</f>
        <v>9.7615384615384604E-2</v>
      </c>
      <c r="T15" s="2">
        <f>S15/$D$11</f>
        <v>5.9999999999999995E-4</v>
      </c>
      <c r="W15" s="6">
        <f>SUM(W14)</f>
        <v>1</v>
      </c>
      <c r="X15" s="44">
        <f>W15*$D$10</f>
        <v>11.388461538461538</v>
      </c>
      <c r="Y15" s="2"/>
    </row>
    <row r="16" spans="2:25" x14ac:dyDescent="0.2">
      <c r="C16" s="6">
        <f>SUM(C14:C15)</f>
        <v>1</v>
      </c>
      <c r="D16" s="44">
        <f t="shared" si="2"/>
        <v>99.242307692307676</v>
      </c>
      <c r="G16" t="s">
        <v>670</v>
      </c>
      <c r="H16" s="55">
        <v>0.06</v>
      </c>
      <c r="I16" s="44">
        <f t="shared" si="3"/>
        <v>1.3666153846153846</v>
      </c>
      <c r="J16" s="2">
        <f t="shared" ref="J16:J20" si="6">I16/$D$11</f>
        <v>8.4000000000000012E-3</v>
      </c>
      <c r="M16" s="6">
        <f>SUM(M14:M15)</f>
        <v>1</v>
      </c>
      <c r="N16" s="44">
        <f t="shared" si="4"/>
        <v>19.523076923076921</v>
      </c>
      <c r="O16" s="2"/>
      <c r="R16" s="6">
        <f>SUM(R14:R15)</f>
        <v>1</v>
      </c>
      <c r="S16" s="44">
        <f t="shared" si="5"/>
        <v>9.7615384615384606</v>
      </c>
      <c r="X16" s="44"/>
    </row>
    <row r="17" spans="1:21" x14ac:dyDescent="0.2">
      <c r="C17" s="6"/>
      <c r="D17" s="44"/>
      <c r="G17" t="s">
        <v>671</v>
      </c>
      <c r="H17" s="55">
        <v>0.03</v>
      </c>
      <c r="I17" s="44">
        <f t="shared" si="3"/>
        <v>0.68330769230769228</v>
      </c>
      <c r="J17" s="2">
        <f t="shared" si="6"/>
        <v>4.2000000000000006E-3</v>
      </c>
      <c r="N17" s="44"/>
      <c r="O17" s="2"/>
    </row>
    <row r="18" spans="1:21" x14ac:dyDescent="0.2">
      <c r="C18" s="6"/>
      <c r="D18" s="44"/>
      <c r="G18" t="s">
        <v>672</v>
      </c>
      <c r="H18" s="55">
        <v>0.02</v>
      </c>
      <c r="I18" s="44">
        <f t="shared" si="3"/>
        <v>0.4555384615384615</v>
      </c>
      <c r="J18" s="2">
        <f t="shared" si="6"/>
        <v>2.8E-3</v>
      </c>
      <c r="N18" s="44"/>
      <c r="O18" s="2"/>
      <c r="Q18" s="1" t="s">
        <v>673</v>
      </c>
      <c r="S18" s="1" t="s">
        <v>653</v>
      </c>
      <c r="T18" s="1" t="s">
        <v>663</v>
      </c>
    </row>
    <row r="19" spans="1:21" x14ac:dyDescent="0.2">
      <c r="C19" s="6"/>
      <c r="D19" s="44"/>
      <c r="G19" t="s">
        <v>674</v>
      </c>
      <c r="H19" s="55">
        <v>0.03</v>
      </c>
      <c r="I19" s="44">
        <f t="shared" si="3"/>
        <v>0.68330769230769228</v>
      </c>
      <c r="J19" s="2">
        <f t="shared" si="6"/>
        <v>4.2000000000000006E-3</v>
      </c>
      <c r="N19" s="44"/>
      <c r="O19" s="2"/>
      <c r="Q19" t="s">
        <v>634</v>
      </c>
      <c r="R19" s="55">
        <v>0.59</v>
      </c>
      <c r="S19" s="44">
        <f>R19*$S$14</f>
        <v>5.7017146153846152</v>
      </c>
      <c r="T19" s="2">
        <f>S19/$D$11</f>
        <v>3.5046000000000001E-2</v>
      </c>
      <c r="U19" s="2">
        <f>S19/S16</f>
        <v>0.58410000000000006</v>
      </c>
    </row>
    <row r="20" spans="1:21" x14ac:dyDescent="0.2">
      <c r="C20" s="6"/>
      <c r="D20" s="44"/>
      <c r="G20" t="s">
        <v>248</v>
      </c>
      <c r="H20" s="55">
        <v>0.06</v>
      </c>
      <c r="I20" s="44">
        <f t="shared" si="3"/>
        <v>1.3666153846153846</v>
      </c>
      <c r="J20" s="2">
        <f t="shared" si="6"/>
        <v>8.4000000000000012E-3</v>
      </c>
      <c r="N20" s="44"/>
      <c r="O20" s="2"/>
      <c r="Q20" t="s">
        <v>192</v>
      </c>
      <c r="R20" s="55">
        <f>1-R19</f>
        <v>0.41000000000000003</v>
      </c>
      <c r="S20" s="44">
        <f t="shared" ref="S20:S21" si="7">R20*$S$14</f>
        <v>3.9622084615384616</v>
      </c>
      <c r="T20" s="2">
        <f>S20/$D$11</f>
        <v>2.4354000000000004E-2</v>
      </c>
    </row>
    <row r="21" spans="1:21" x14ac:dyDescent="0.2">
      <c r="C21" s="6"/>
      <c r="D21" s="44"/>
      <c r="H21" s="6">
        <f>SUM(H14:H20)</f>
        <v>1.0000000000000002</v>
      </c>
      <c r="I21" s="44">
        <f t="shared" si="3"/>
        <v>22.776923076923079</v>
      </c>
      <c r="M21" s="44"/>
      <c r="R21" s="6">
        <f>SUM(R19:R20)</f>
        <v>1</v>
      </c>
      <c r="S21" s="44">
        <f t="shared" si="7"/>
        <v>9.6639230769230764</v>
      </c>
    </row>
    <row r="22" spans="1:21" x14ac:dyDescent="0.2">
      <c r="C22" s="6"/>
      <c r="D22" s="44"/>
      <c r="H22" s="6"/>
      <c r="I22" s="44"/>
      <c r="M22" s="44"/>
      <c r="N22" s="2">
        <f>R14*R19</f>
        <v>0.58409999999999995</v>
      </c>
    </row>
    <row r="23" spans="1:21" x14ac:dyDescent="0.2">
      <c r="C23" s="6"/>
      <c r="D23" s="44"/>
      <c r="G23" s="1" t="s">
        <v>675</v>
      </c>
      <c r="I23" s="1" t="s">
        <v>653</v>
      </c>
      <c r="J23" s="1" t="s">
        <v>663</v>
      </c>
      <c r="M23" s="44"/>
    </row>
    <row r="24" spans="1:21" x14ac:dyDescent="0.2">
      <c r="C24" s="6"/>
      <c r="D24" s="44"/>
      <c r="G24" t="s">
        <v>676</v>
      </c>
      <c r="H24" s="55">
        <v>0.45</v>
      </c>
      <c r="I24" s="44">
        <f>H24*$I$14</f>
        <v>6.8672423076923073</v>
      </c>
      <c r="J24" s="2">
        <f>I24/E2</f>
        <v>4.2209999999999998E-2</v>
      </c>
      <c r="K24" s="41">
        <f>H24*H14</f>
        <v>0.30150000000000005</v>
      </c>
      <c r="L24" s="2">
        <f>(I24+I25-K69)/(I27-K69)</f>
        <v>0.61290322580645162</v>
      </c>
      <c r="M24" s="44"/>
    </row>
    <row r="25" spans="1:21" x14ac:dyDescent="0.2">
      <c r="C25" s="6"/>
      <c r="D25" s="44"/>
      <c r="G25" t="s">
        <v>474</v>
      </c>
      <c r="H25" s="55">
        <v>0.25</v>
      </c>
      <c r="I25" s="44">
        <f t="shared" ref="I25:I27" si="8">H25*$I$14</f>
        <v>3.8151346153846153</v>
      </c>
      <c r="J25" s="2">
        <f>I25/E2</f>
        <v>2.3450000000000002E-2</v>
      </c>
      <c r="K25" s="41">
        <f>H25*H14</f>
        <v>0.16750000000000001</v>
      </c>
      <c r="M25" s="44"/>
    </row>
    <row r="26" spans="1:21" x14ac:dyDescent="0.2">
      <c r="C26" s="6"/>
      <c r="D26" s="44"/>
      <c r="G26" t="s">
        <v>192</v>
      </c>
      <c r="H26" s="55">
        <v>0.3</v>
      </c>
      <c r="I26" s="44">
        <f t="shared" si="8"/>
        <v>4.5781615384615382</v>
      </c>
      <c r="J26" s="2">
        <f>I26/E2</f>
        <v>2.8140000000000002E-2</v>
      </c>
      <c r="K26" s="41">
        <f>H26*H14</f>
        <v>0.20100000000000001</v>
      </c>
      <c r="M26" s="44"/>
    </row>
    <row r="27" spans="1:21" x14ac:dyDescent="0.2">
      <c r="C27" s="6"/>
      <c r="D27" s="44"/>
      <c r="H27" s="6">
        <f>SUM(H24:H26)</f>
        <v>1</v>
      </c>
      <c r="I27" s="44">
        <f t="shared" si="8"/>
        <v>15.260538461538461</v>
      </c>
      <c r="M27" s="44"/>
    </row>
    <row r="28" spans="1:21" x14ac:dyDescent="0.2">
      <c r="D28" s="44"/>
      <c r="G28" s="280" t="s">
        <v>677</v>
      </c>
      <c r="H28" s="280"/>
      <c r="I28" s="280"/>
      <c r="J28" s="280"/>
      <c r="K28" s="280"/>
      <c r="L28" s="280"/>
      <c r="M28" s="280"/>
    </row>
    <row r="29" spans="1:21" x14ac:dyDescent="0.2">
      <c r="A29" s="1" t="s">
        <v>96</v>
      </c>
      <c r="B29" t="s">
        <v>678</v>
      </c>
      <c r="G29" t="s">
        <v>679</v>
      </c>
      <c r="L29" s="5" t="s">
        <v>648</v>
      </c>
      <c r="Q29" t="s">
        <v>680</v>
      </c>
    </row>
    <row r="30" spans="1:21" x14ac:dyDescent="0.2">
      <c r="G30" t="s">
        <v>681</v>
      </c>
      <c r="Q30" t="s">
        <v>682</v>
      </c>
    </row>
    <row r="31" spans="1:21" x14ac:dyDescent="0.2">
      <c r="G31" t="s">
        <v>683</v>
      </c>
    </row>
    <row r="33" spans="2:11" x14ac:dyDescent="0.2">
      <c r="B33" s="1" t="s">
        <v>684</v>
      </c>
      <c r="C33" s="1"/>
      <c r="E33" s="1" t="s">
        <v>685</v>
      </c>
      <c r="H33" s="1"/>
    </row>
    <row r="34" spans="2:11" x14ac:dyDescent="0.2">
      <c r="B34" t="s">
        <v>472</v>
      </c>
      <c r="C34" s="2">
        <f>C6*C14</f>
        <v>0.27391184573002758</v>
      </c>
      <c r="E34" s="160">
        <v>1</v>
      </c>
      <c r="F34" s="54" t="s">
        <v>686</v>
      </c>
    </row>
    <row r="35" spans="2:11" x14ac:dyDescent="0.2">
      <c r="B35" t="s">
        <v>473</v>
      </c>
      <c r="C35" s="2">
        <f>C15*C6</f>
        <v>0.33608815426997246</v>
      </c>
      <c r="E35" s="160">
        <v>1</v>
      </c>
      <c r="F35" s="54" t="s">
        <v>686</v>
      </c>
    </row>
    <row r="36" spans="2:11" x14ac:dyDescent="0.2">
      <c r="B36" t="s">
        <v>474</v>
      </c>
      <c r="C36" s="2">
        <f>H25*C7*H14</f>
        <v>2.3450000000000002E-2</v>
      </c>
      <c r="E36" s="160">
        <f>28/192.2</f>
        <v>0.14568158168574402</v>
      </c>
      <c r="F36" s="54" t="s">
        <v>687</v>
      </c>
    </row>
    <row r="37" spans="2:11" x14ac:dyDescent="0.2">
      <c r="B37" t="s">
        <v>676</v>
      </c>
      <c r="C37" s="2">
        <f>H14*C7*H24</f>
        <v>4.2210000000000004E-2</v>
      </c>
      <c r="E37" s="257">
        <f>E36</f>
        <v>0.14568158168574402</v>
      </c>
      <c r="F37" s="54"/>
      <c r="K37" s="54"/>
    </row>
    <row r="38" spans="2:11" x14ac:dyDescent="0.2">
      <c r="B38" t="s">
        <v>480</v>
      </c>
      <c r="C38" s="2">
        <f>M14*C8</f>
        <v>0.1152</v>
      </c>
      <c r="E38" s="160">
        <f>28/62.5</f>
        <v>0.44800000000000001</v>
      </c>
      <c r="F38" s="54" t="s">
        <v>688</v>
      </c>
    </row>
    <row r="39" spans="2:11" x14ac:dyDescent="0.2">
      <c r="B39" t="s">
        <v>478</v>
      </c>
      <c r="C39" s="2">
        <f>R14*C9</f>
        <v>5.9399999999999994E-2</v>
      </c>
      <c r="E39" s="160">
        <f>28/104.2</f>
        <v>0.2687140115163148</v>
      </c>
      <c r="F39" s="54" t="s">
        <v>689</v>
      </c>
    </row>
    <row r="40" spans="2:11" x14ac:dyDescent="0.2">
      <c r="B40" t="s">
        <v>690</v>
      </c>
      <c r="C40" s="2">
        <f>J18+J19+T20</f>
        <v>3.1354000000000007E-2</v>
      </c>
      <c r="E40" s="160"/>
      <c r="F40" s="54"/>
    </row>
    <row r="41" spans="2:11" x14ac:dyDescent="0.2">
      <c r="B41" t="s">
        <v>192</v>
      </c>
      <c r="C41" s="6">
        <f>1-SUM(C34:C40)</f>
        <v>0.11838599999999999</v>
      </c>
      <c r="E41" s="55">
        <v>0.1</v>
      </c>
      <c r="F41" s="54" t="s">
        <v>691</v>
      </c>
    </row>
    <row r="42" spans="2:11" x14ac:dyDescent="0.2">
      <c r="C42" s="6">
        <f>SUM(C34:C41)</f>
        <v>1</v>
      </c>
    </row>
    <row r="43" spans="2:11" x14ac:dyDescent="0.2">
      <c r="B43" s="1"/>
    </row>
    <row r="44" spans="2:11" x14ac:dyDescent="0.2">
      <c r="B44" s="62" t="s">
        <v>692</v>
      </c>
      <c r="C44" s="62" t="s">
        <v>566</v>
      </c>
      <c r="D44" s="62" t="s">
        <v>472</v>
      </c>
      <c r="E44" s="62" t="s">
        <v>634</v>
      </c>
      <c r="F44" s="62" t="s">
        <v>480</v>
      </c>
      <c r="G44" s="62" t="s">
        <v>474</v>
      </c>
      <c r="H44" s="62" t="s">
        <v>248</v>
      </c>
    </row>
    <row r="45" spans="2:11" x14ac:dyDescent="0.2">
      <c r="B45" t="s">
        <v>309</v>
      </c>
      <c r="C45" s="159">
        <f>'Demand - Industry shares'!B18</f>
        <v>0.13500000000000001</v>
      </c>
      <c r="D45" s="159">
        <f>'Demand - Industry shares'!C18</f>
        <v>9.2999999999999999E-2</v>
      </c>
      <c r="E45" s="159">
        <f>'Demand - Industry shares'!E18</f>
        <v>2.3E-2</v>
      </c>
      <c r="F45" s="159">
        <f>'Demand - Industry shares'!F18</f>
        <v>8.9999999999999993E-3</v>
      </c>
      <c r="G45" s="159">
        <f>'Demand - Industry shares'!G18</f>
        <v>0.10100000000000001</v>
      </c>
      <c r="H45" s="23">
        <f>SUM('Demand - Industry shares'!H18:I18)</f>
        <v>3.0000000000000001E-3</v>
      </c>
    </row>
    <row r="46" spans="2:11" x14ac:dyDescent="0.2">
      <c r="B46" t="s">
        <v>310</v>
      </c>
      <c r="C46" s="159">
        <f>'Demand - Industry shares'!B19</f>
        <v>1.0999999999999999E-2</v>
      </c>
      <c r="D46" s="159">
        <f>'Demand - Industry shares'!C19</f>
        <v>3.3000000000000002E-2</v>
      </c>
      <c r="E46" s="159">
        <f>'Demand - Industry shares'!E19</f>
        <v>2.1999999999999999E-2</v>
      </c>
      <c r="F46" s="159">
        <f>'Demand - Industry shares'!F19</f>
        <v>8.1000000000000003E-2</v>
      </c>
      <c r="G46" s="159">
        <f>'Demand - Industry shares'!G19</f>
        <v>0</v>
      </c>
      <c r="H46" s="23">
        <f>SUM('Demand - Industry shares'!H19:I19)</f>
        <v>2.9000000000000001E-2</v>
      </c>
    </row>
    <row r="47" spans="2:11" x14ac:dyDescent="0.2">
      <c r="B47" t="s">
        <v>370</v>
      </c>
      <c r="C47" s="159">
        <f>'Demand - Industry shares'!B20</f>
        <v>1E-3</v>
      </c>
      <c r="D47" s="159">
        <f>'Demand - Industry shares'!C20</f>
        <v>8.0000000000000002E-3</v>
      </c>
      <c r="E47" s="159">
        <f>'Demand - Industry shares'!E20</f>
        <v>0</v>
      </c>
      <c r="F47" s="159">
        <f>'Demand - Industry shares'!F20</f>
        <v>3.0000000000000001E-3</v>
      </c>
      <c r="G47" s="159">
        <f>'Demand - Industry shares'!G20</f>
        <v>0</v>
      </c>
      <c r="H47" s="23">
        <f>SUM('Demand - Industry shares'!H20:I20)</f>
        <v>0.03</v>
      </c>
    </row>
    <row r="48" spans="2:11" x14ac:dyDescent="0.2">
      <c r="B48" t="s">
        <v>582</v>
      </c>
      <c r="C48" s="159">
        <f>'Demand - Industry shares'!B21</f>
        <v>5.0000000000000001E-3</v>
      </c>
      <c r="D48" s="159">
        <f>'Demand - Industry shares'!C21</f>
        <v>2E-3</v>
      </c>
      <c r="E48" s="159">
        <f>'Demand - Industry shares'!E21</f>
        <v>6.0000000000000001E-3</v>
      </c>
      <c r="F48" s="159">
        <f>'Demand - Industry shares'!F21</f>
        <v>4.0000000000000001E-3</v>
      </c>
      <c r="G48" s="159">
        <f>'Demand - Industry shares'!G21</f>
        <v>0</v>
      </c>
      <c r="H48" s="23">
        <f>SUM('Demand - Industry shares'!H21:I21)</f>
        <v>1.4E-2</v>
      </c>
    </row>
    <row r="49" spans="2:21" x14ac:dyDescent="0.2">
      <c r="B49" t="s">
        <v>313</v>
      </c>
      <c r="C49" s="159">
        <f>'Demand - Industry shares'!B22</f>
        <v>2.9000000000000001E-2</v>
      </c>
      <c r="D49" s="159">
        <f>'Demand - Industry shares'!C22</f>
        <v>1.7000000000000001E-2</v>
      </c>
      <c r="E49" s="159">
        <f>'Demand - Industry shares'!E22</f>
        <v>1.7999999999999999E-2</v>
      </c>
      <c r="F49" s="159">
        <f>'Demand - Industry shares'!F22</f>
        <v>6.0000000000000001E-3</v>
      </c>
      <c r="G49" s="159">
        <f>'Demand - Industry shares'!G22</f>
        <v>0</v>
      </c>
      <c r="H49" s="23">
        <f>SUM('Demand - Industry shares'!H22:I22)</f>
        <v>1.2E-2</v>
      </c>
    </row>
    <row r="50" spans="2:21" x14ac:dyDescent="0.2">
      <c r="B50" t="s">
        <v>248</v>
      </c>
      <c r="C50" s="159">
        <f>'Demand - Industry shares'!B23</f>
        <v>1.9000000000000003E-2</v>
      </c>
      <c r="D50" s="159">
        <f>'Demand - Industry shares'!C23</f>
        <v>9.9999999999999985E-3</v>
      </c>
      <c r="E50" s="159">
        <f>'Demand - Industry shares'!E23</f>
        <v>7.0000000000000001E-3</v>
      </c>
      <c r="F50" s="159">
        <f>'Demand - Industry shares'!F23</f>
        <v>1.4E-2</v>
      </c>
      <c r="G50" s="159">
        <f>'Demand - Industry shares'!G23</f>
        <v>0</v>
      </c>
      <c r="H50" s="23">
        <f>SUM('Demand - Industry shares'!H23:I23)</f>
        <v>4.3999999999999997E-2</v>
      </c>
    </row>
    <row r="51" spans="2:21" x14ac:dyDescent="0.2">
      <c r="B51" t="s">
        <v>364</v>
      </c>
      <c r="C51" s="159">
        <f>'Demand - Industry shares'!B24</f>
        <v>0.2</v>
      </c>
      <c r="D51" s="159">
        <f>'Demand - Industry shares'!C24</f>
        <v>0.16300000000000003</v>
      </c>
      <c r="E51" s="159">
        <f>'Demand - Industry shares'!E24</f>
        <v>7.5999999999999998E-2</v>
      </c>
      <c r="F51" s="159">
        <f>'Demand - Industry shares'!F24</f>
        <v>0.11700000000000001</v>
      </c>
      <c r="G51" s="159">
        <f>'Demand - Industry shares'!G24</f>
        <v>0.10100000000000001</v>
      </c>
      <c r="H51" s="23">
        <f>SUM('Demand - Industry shares'!H24:I24)</f>
        <v>0.13200000000000001</v>
      </c>
      <c r="I51" s="41"/>
    </row>
    <row r="53" spans="2:21" x14ac:dyDescent="0.2">
      <c r="B53" s="31" t="s">
        <v>586</v>
      </c>
      <c r="C53" s="31" t="s">
        <v>566</v>
      </c>
      <c r="D53" s="31" t="s">
        <v>472</v>
      </c>
      <c r="E53" s="31" t="s">
        <v>634</v>
      </c>
      <c r="F53" s="31" t="s">
        <v>480</v>
      </c>
      <c r="G53" s="31" t="s">
        <v>474</v>
      </c>
      <c r="H53" s="62" t="s">
        <v>248</v>
      </c>
    </row>
    <row r="54" spans="2:21" x14ac:dyDescent="0.2">
      <c r="B54" t="s">
        <v>309</v>
      </c>
      <c r="C54" s="2">
        <f>C45/C$51</f>
        <v>0.67500000000000004</v>
      </c>
      <c r="D54" s="2">
        <f t="shared" ref="C54:H59" si="9">D45/D$51</f>
        <v>0.57055214723926373</v>
      </c>
      <c r="E54" s="2">
        <f t="shared" si="9"/>
        <v>0.30263157894736842</v>
      </c>
      <c r="F54" s="2">
        <f>F45/F$51</f>
        <v>7.6923076923076913E-2</v>
      </c>
      <c r="G54" s="2">
        <f t="shared" si="9"/>
        <v>1</v>
      </c>
      <c r="H54" s="2">
        <f>H45/H$51</f>
        <v>2.2727272727272728E-2</v>
      </c>
    </row>
    <row r="55" spans="2:21" x14ac:dyDescent="0.2">
      <c r="B55" t="s">
        <v>310</v>
      </c>
      <c r="C55" s="2">
        <f t="shared" si="9"/>
        <v>5.4999999999999993E-2</v>
      </c>
      <c r="D55" s="2">
        <f t="shared" si="9"/>
        <v>0.20245398773006132</v>
      </c>
      <c r="E55" s="2">
        <f t="shared" si="9"/>
        <v>0.28947368421052633</v>
      </c>
      <c r="F55" s="2">
        <f t="shared" si="9"/>
        <v>0.69230769230769229</v>
      </c>
      <c r="G55" s="2">
        <f t="shared" si="9"/>
        <v>0</v>
      </c>
      <c r="H55" s="2">
        <f t="shared" si="9"/>
        <v>0.2196969696969697</v>
      </c>
    </row>
    <row r="56" spans="2:21" x14ac:dyDescent="0.2">
      <c r="B56" t="s">
        <v>370</v>
      </c>
      <c r="C56" s="2">
        <f t="shared" si="9"/>
        <v>5.0000000000000001E-3</v>
      </c>
      <c r="D56" s="2">
        <f t="shared" si="9"/>
        <v>4.9079754601226988E-2</v>
      </c>
      <c r="E56" s="2">
        <f t="shared" si="9"/>
        <v>0</v>
      </c>
      <c r="F56" s="2">
        <f t="shared" si="9"/>
        <v>2.564102564102564E-2</v>
      </c>
      <c r="G56" s="2">
        <f t="shared" si="9"/>
        <v>0</v>
      </c>
      <c r="H56" s="2">
        <f t="shared" si="9"/>
        <v>0.22727272727272727</v>
      </c>
    </row>
    <row r="57" spans="2:21" x14ac:dyDescent="0.2">
      <c r="B57" t="s">
        <v>312</v>
      </c>
      <c r="C57" s="2">
        <f t="shared" si="9"/>
        <v>2.4999999999999998E-2</v>
      </c>
      <c r="D57" s="2">
        <f t="shared" si="9"/>
        <v>1.2269938650306747E-2</v>
      </c>
      <c r="E57" s="2">
        <f t="shared" si="9"/>
        <v>7.8947368421052641E-2</v>
      </c>
      <c r="F57" s="2">
        <f t="shared" si="9"/>
        <v>3.4188034188034185E-2</v>
      </c>
      <c r="G57" s="2">
        <f t="shared" si="9"/>
        <v>0</v>
      </c>
      <c r="H57" s="2">
        <f t="shared" si="9"/>
        <v>0.10606060606060606</v>
      </c>
    </row>
    <row r="58" spans="2:21" x14ac:dyDescent="0.2">
      <c r="B58" t="s">
        <v>313</v>
      </c>
      <c r="C58" s="2">
        <f t="shared" si="9"/>
        <v>0.14499999999999999</v>
      </c>
      <c r="D58" s="2">
        <f t="shared" si="9"/>
        <v>0.10429447852760734</v>
      </c>
      <c r="E58" s="2">
        <f t="shared" si="9"/>
        <v>0.23684210526315788</v>
      </c>
      <c r="F58" s="2">
        <f t="shared" si="9"/>
        <v>5.128205128205128E-2</v>
      </c>
      <c r="G58" s="2">
        <f t="shared" si="9"/>
        <v>0</v>
      </c>
      <c r="H58" s="2">
        <f t="shared" si="9"/>
        <v>9.0909090909090912E-2</v>
      </c>
    </row>
    <row r="59" spans="2:21" x14ac:dyDescent="0.2">
      <c r="B59" t="s">
        <v>248</v>
      </c>
      <c r="C59" s="2">
        <f t="shared" si="9"/>
        <v>9.5000000000000015E-2</v>
      </c>
      <c r="D59" s="2">
        <f t="shared" si="9"/>
        <v>6.1349693251533721E-2</v>
      </c>
      <c r="E59" s="2">
        <f t="shared" si="9"/>
        <v>9.2105263157894746E-2</v>
      </c>
      <c r="F59" s="2">
        <f t="shared" si="9"/>
        <v>0.11965811965811965</v>
      </c>
      <c r="G59" s="2">
        <f t="shared" si="9"/>
        <v>0</v>
      </c>
      <c r="H59" s="2">
        <f t="shared" si="9"/>
        <v>0.33333333333333331</v>
      </c>
    </row>
    <row r="60" spans="2:21" x14ac:dyDescent="0.2">
      <c r="B60" t="s">
        <v>67</v>
      </c>
      <c r="C60" s="2">
        <f t="shared" ref="C60:H60" si="10">SUM(C54:C59)</f>
        <v>1</v>
      </c>
      <c r="D60" s="2">
        <f t="shared" si="10"/>
        <v>0.99999999999999989</v>
      </c>
      <c r="E60" s="2">
        <f t="shared" si="10"/>
        <v>1</v>
      </c>
      <c r="F60" s="2">
        <f t="shared" si="10"/>
        <v>1</v>
      </c>
      <c r="G60" s="2">
        <f t="shared" si="10"/>
        <v>1</v>
      </c>
      <c r="H60" s="2">
        <f t="shared" si="10"/>
        <v>1</v>
      </c>
      <c r="K60" s="6"/>
    </row>
    <row r="61" spans="2:21" ht="16" thickBot="1" x14ac:dyDescent="0.25"/>
    <row r="62" spans="2:21" x14ac:dyDescent="0.2">
      <c r="B62" s="31" t="s">
        <v>281</v>
      </c>
      <c r="C62" s="31" t="s">
        <v>566</v>
      </c>
      <c r="D62" s="31" t="s">
        <v>472</v>
      </c>
      <c r="E62" s="31" t="s">
        <v>634</v>
      </c>
      <c r="F62" s="31" t="s">
        <v>480</v>
      </c>
      <c r="G62" s="31" t="s">
        <v>474</v>
      </c>
      <c r="H62" s="31" t="s">
        <v>676</v>
      </c>
      <c r="I62" s="31" t="s">
        <v>248</v>
      </c>
      <c r="J62" s="34" t="s">
        <v>67</v>
      </c>
      <c r="K62" s="37" t="s">
        <v>603</v>
      </c>
      <c r="L62" s="37" t="s">
        <v>46</v>
      </c>
      <c r="M62" s="92" t="s">
        <v>604</v>
      </c>
      <c r="N62" s="95" t="s">
        <v>67</v>
      </c>
      <c r="P62" s="162" t="s">
        <v>693</v>
      </c>
      <c r="U62" s="1" t="s">
        <v>694</v>
      </c>
    </row>
    <row r="63" spans="2:21" x14ac:dyDescent="0.2">
      <c r="B63" t="s">
        <v>309</v>
      </c>
      <c r="C63" s="2">
        <f>C54*$C$35</f>
        <v>0.22685950413223144</v>
      </c>
      <c r="D63" s="2">
        <f t="shared" ref="D63:D68" si="11">D54*$C$34</f>
        <v>0.15628099173553719</v>
      </c>
      <c r="E63" s="2">
        <f t="shared" ref="E63:E68" si="12">E54*$C$39</f>
        <v>1.7976315789473684E-2</v>
      </c>
      <c r="F63" s="2">
        <f t="shared" ref="F63:F68" si="13">F54*$C$38</f>
        <v>8.8615384615384606E-3</v>
      </c>
      <c r="G63" s="2">
        <f>G54*$C$36</f>
        <v>2.3450000000000002E-2</v>
      </c>
      <c r="H63" s="214">
        <v>0</v>
      </c>
      <c r="I63" s="2">
        <f>H54*SUM($C$40:$C$41)</f>
        <v>3.4031818181818178E-3</v>
      </c>
      <c r="J63" s="35">
        <f>SUM(C63:I63)</f>
        <v>0.43683153193696267</v>
      </c>
      <c r="K63" s="38">
        <f>J63*$E$2</f>
        <v>71.069130003590459</v>
      </c>
      <c r="L63" s="161">
        <v>1.4E-2</v>
      </c>
      <c r="M63" s="93">
        <f>K63*(1+L63)^30</f>
        <v>107.8498757133959</v>
      </c>
      <c r="N63" s="96">
        <f>M63/M$70</f>
        <v>0.42294068907213955</v>
      </c>
      <c r="P63" s="54" t="s">
        <v>695</v>
      </c>
    </row>
    <row r="64" spans="2:21" x14ac:dyDescent="0.2">
      <c r="B64" t="s">
        <v>310</v>
      </c>
      <c r="C64" s="2">
        <f t="shared" ref="C64:C68" si="14">C55*$C$35</f>
        <v>1.8484848484848482E-2</v>
      </c>
      <c r="D64" s="2">
        <f t="shared" si="11"/>
        <v>5.5454545454545451E-2</v>
      </c>
      <c r="E64" s="2">
        <f t="shared" si="12"/>
        <v>1.7194736842105263E-2</v>
      </c>
      <c r="F64" s="2">
        <f t="shared" si="13"/>
        <v>7.9753846153846147E-2</v>
      </c>
      <c r="G64" s="2">
        <f t="shared" ref="G64:G68" si="15">G55*$C$36</f>
        <v>0</v>
      </c>
      <c r="H64" s="286">
        <f>$C$37*0.25</f>
        <v>1.0552500000000001E-2</v>
      </c>
      <c r="I64" s="2">
        <f>H55*SUM($C$40:$C$41)</f>
        <v>3.2897424242424242E-2</v>
      </c>
      <c r="J64" s="35">
        <f>SUM(C64:I64)</f>
        <v>0.21433790117776957</v>
      </c>
      <c r="K64" s="38">
        <f t="shared" ref="K64:K68" si="16">J64*$E$2</f>
        <v>34.871127768537121</v>
      </c>
      <c r="L64" s="161">
        <v>1.7000000000000001E-2</v>
      </c>
      <c r="M64" s="93">
        <f>K64*(1+L64)^30</f>
        <v>57.822195909709663</v>
      </c>
      <c r="N64" s="96">
        <f t="shared" ref="N64:N69" si="17">M64/M$70</f>
        <v>0.22675370944984116</v>
      </c>
      <c r="P64" s="54" t="s">
        <v>696</v>
      </c>
      <c r="U64" s="176" t="s">
        <v>697</v>
      </c>
    </row>
    <row r="65" spans="2:21" x14ac:dyDescent="0.2">
      <c r="B65" t="s">
        <v>370</v>
      </c>
      <c r="C65" s="2">
        <f t="shared" si="14"/>
        <v>1.6804407713498623E-3</v>
      </c>
      <c r="D65" s="2">
        <f t="shared" si="11"/>
        <v>1.3443526170798898E-2</v>
      </c>
      <c r="E65" s="2">
        <f t="shared" si="12"/>
        <v>0</v>
      </c>
      <c r="F65" s="2">
        <f t="shared" si="13"/>
        <v>2.9538461538461537E-3</v>
      </c>
      <c r="G65" s="2">
        <f t="shared" si="15"/>
        <v>0</v>
      </c>
      <c r="H65" s="286">
        <f>0</f>
        <v>0</v>
      </c>
      <c r="I65" s="2">
        <f t="shared" ref="I65:I68" si="18">H56*SUM($C$40:$C$41)</f>
        <v>3.4031818181818177E-2</v>
      </c>
      <c r="J65" s="35">
        <f t="shared" ref="J65:J68" si="19">SUM(C65:I65)</f>
        <v>5.2109631277813095E-2</v>
      </c>
      <c r="K65" s="38">
        <f>J65*$E$2</f>
        <v>8.4778361655826675</v>
      </c>
      <c r="L65" s="161">
        <v>1.7000000000000001E-2</v>
      </c>
      <c r="M65" s="93">
        <f>K65*(1+L65)^30</f>
        <v>14.057678515893535</v>
      </c>
      <c r="N65" s="96">
        <f t="shared" si="17"/>
        <v>5.5128151042719585E-2</v>
      </c>
      <c r="P65" s="54" t="s">
        <v>696</v>
      </c>
    </row>
    <row r="66" spans="2:21" x14ac:dyDescent="0.2">
      <c r="B66" t="s">
        <v>312</v>
      </c>
      <c r="C66" s="2">
        <f t="shared" si="14"/>
        <v>8.4022038567493108E-3</v>
      </c>
      <c r="D66" s="2">
        <f t="shared" si="11"/>
        <v>3.3608815426997246E-3</v>
      </c>
      <c r="E66" s="2">
        <f t="shared" si="12"/>
        <v>4.6894736842105263E-3</v>
      </c>
      <c r="F66" s="2">
        <f t="shared" si="13"/>
        <v>3.9384615384615382E-3</v>
      </c>
      <c r="G66" s="2">
        <f t="shared" si="15"/>
        <v>0</v>
      </c>
      <c r="H66" s="286">
        <v>0</v>
      </c>
      <c r="I66" s="2">
        <f t="shared" si="18"/>
        <v>1.588151515151515E-2</v>
      </c>
      <c r="J66" s="35">
        <f t="shared" si="19"/>
        <v>3.6272535773636247E-2</v>
      </c>
      <c r="K66" s="38">
        <f t="shared" si="16"/>
        <v>5.9012625508646659</v>
      </c>
      <c r="L66" s="40">
        <f>(M66/K66)^(1/30)-1</f>
        <v>1.4673314942567961E-2</v>
      </c>
      <c r="M66" s="93">
        <f>($M$70-$M$63-$M$64-$M$65-$M$69-$M$67)*(J66/SUM($J$66:$J$66,J68))</f>
        <v>9.1354954453703705</v>
      </c>
      <c r="N66" s="96">
        <f t="shared" si="17"/>
        <v>3.5825472334785662E-2</v>
      </c>
      <c r="P66" s="54" t="s">
        <v>698</v>
      </c>
    </row>
    <row r="67" spans="2:21" x14ac:dyDescent="0.2">
      <c r="B67" t="s">
        <v>313</v>
      </c>
      <c r="C67" s="2">
        <f t="shared" si="14"/>
        <v>4.8732782369146001E-2</v>
      </c>
      <c r="D67" s="2">
        <f t="shared" si="11"/>
        <v>2.8567493112947658E-2</v>
      </c>
      <c r="E67" s="2">
        <f t="shared" si="12"/>
        <v>1.4068421052631577E-2</v>
      </c>
      <c r="F67" s="2">
        <f t="shared" si="13"/>
        <v>5.9076923076923074E-3</v>
      </c>
      <c r="G67" s="2">
        <f>G58*$C$36</f>
        <v>0</v>
      </c>
      <c r="H67" s="286">
        <v>0</v>
      </c>
      <c r="I67" s="2">
        <f t="shared" si="18"/>
        <v>1.3612727272727271E-2</v>
      </c>
      <c r="J67" s="35">
        <f>SUM(C67:I67)</f>
        <v>0.11088911611514482</v>
      </c>
      <c r="K67" s="38">
        <f t="shared" si="16"/>
        <v>18.040806198733176</v>
      </c>
      <c r="L67" s="40">
        <f>L63</f>
        <v>1.4E-2</v>
      </c>
      <c r="M67" s="93">
        <f>K67*(1+L67)^30</f>
        <v>27.377550649691887</v>
      </c>
      <c r="N67" s="96">
        <f t="shared" si="17"/>
        <v>0.1073629437242816</v>
      </c>
      <c r="P67" s="54" t="s">
        <v>695</v>
      </c>
      <c r="U67" s="176"/>
    </row>
    <row r="68" spans="2:21" x14ac:dyDescent="0.2">
      <c r="B68" t="s">
        <v>248</v>
      </c>
      <c r="C68" s="2">
        <f t="shared" si="14"/>
        <v>3.1928374655647386E-2</v>
      </c>
      <c r="D68" s="2">
        <f t="shared" si="11"/>
        <v>1.6804407713498618E-2</v>
      </c>
      <c r="E68" s="2">
        <f t="shared" si="12"/>
        <v>5.4710526315789477E-3</v>
      </c>
      <c r="F68" s="2">
        <f t="shared" si="13"/>
        <v>1.3784615384615383E-2</v>
      </c>
      <c r="G68" s="2">
        <f t="shared" si="15"/>
        <v>0</v>
      </c>
      <c r="H68" s="286">
        <f>$C$37*0.25</f>
        <v>1.0552500000000001E-2</v>
      </c>
      <c r="I68" s="2">
        <f t="shared" si="18"/>
        <v>4.9913333333333323E-2</v>
      </c>
      <c r="J68" s="35">
        <f t="shared" si="19"/>
        <v>0.12845428371867368</v>
      </c>
      <c r="K68" s="38">
        <f t="shared" si="16"/>
        <v>20.898523851153445</v>
      </c>
      <c r="L68" s="40">
        <f t="shared" ref="L68" si="20">(M68/K68)^(1/30)-1</f>
        <v>1.4673314942567961E-2</v>
      </c>
      <c r="M68" s="93">
        <f>($M$70-$M$63-$M$64-$M$65-$M$69-$M$67)*(J68/SUM($J$66:$J$66,J68))</f>
        <v>32.352122585903693</v>
      </c>
      <c r="N68" s="96">
        <f t="shared" si="17"/>
        <v>0.12687106896432784</v>
      </c>
      <c r="P68" s="54" t="s">
        <v>698</v>
      </c>
      <c r="U68" s="176" t="s">
        <v>699</v>
      </c>
    </row>
    <row r="69" spans="2:21" x14ac:dyDescent="0.2">
      <c r="B69" t="s">
        <v>320</v>
      </c>
      <c r="C69" s="6">
        <v>0</v>
      </c>
      <c r="D69" s="6">
        <v>0</v>
      </c>
      <c r="E69" s="6">
        <v>0</v>
      </c>
      <c r="F69" s="6">
        <v>0</v>
      </c>
      <c r="G69" s="6">
        <v>0</v>
      </c>
      <c r="H69" s="286">
        <f>$C$37*0.5</f>
        <v>2.1105000000000002E-2</v>
      </c>
      <c r="I69" s="23">
        <v>0</v>
      </c>
      <c r="J69" s="35">
        <f>SUM(C69:I69)</f>
        <v>2.1105000000000002E-2</v>
      </c>
      <c r="K69" s="38">
        <f>J69*$E$2</f>
        <v>3.4336211538461541</v>
      </c>
      <c r="L69" s="161">
        <v>2.1000000000000001E-2</v>
      </c>
      <c r="M69" s="93">
        <f>K69*(1+L69)^30</f>
        <v>6.4050811800356975</v>
      </c>
      <c r="N69" s="96">
        <f t="shared" si="17"/>
        <v>2.5117965411904624E-2</v>
      </c>
      <c r="P69" s="54" t="s">
        <v>700</v>
      </c>
      <c r="U69" s="176" t="s">
        <v>701</v>
      </c>
    </row>
    <row r="70" spans="2:21" ht="16" thickBot="1" x14ac:dyDescent="0.25">
      <c r="B70" s="32" t="s">
        <v>67</v>
      </c>
      <c r="C70" s="33">
        <f t="shared" ref="C70:I70" si="21">SUM(C63:C69)</f>
        <v>0.33608815426997252</v>
      </c>
      <c r="D70" s="33">
        <f t="shared" si="21"/>
        <v>0.27391184573002753</v>
      </c>
      <c r="E70" s="33">
        <f t="shared" si="21"/>
        <v>5.9400000000000001E-2</v>
      </c>
      <c r="F70" s="33">
        <f t="shared" si="21"/>
        <v>0.1152</v>
      </c>
      <c r="G70" s="287">
        <f t="shared" si="21"/>
        <v>2.3450000000000002E-2</v>
      </c>
      <c r="H70" s="287">
        <f t="shared" si="21"/>
        <v>4.2210000000000004E-2</v>
      </c>
      <c r="I70" s="33">
        <f t="shared" si="21"/>
        <v>0.14973999999999998</v>
      </c>
      <c r="J70" s="590">
        <f>SUM(C70:I70)</f>
        <v>1</v>
      </c>
      <c r="K70" s="39">
        <f>SUM(K63:K69)</f>
        <v>162.69230769230771</v>
      </c>
      <c r="L70" s="42">
        <f>L2</f>
        <v>1.5092857676367366E-2</v>
      </c>
      <c r="M70" s="94">
        <f>K70*(1+L70)^30</f>
        <v>255.00000000000074</v>
      </c>
      <c r="N70" s="97">
        <f>SUM(N63:N69)</f>
        <v>1</v>
      </c>
    </row>
    <row r="71" spans="2:21" ht="16" thickTop="1" x14ac:dyDescent="0.2"/>
    <row r="72" spans="2:21" x14ac:dyDescent="0.2">
      <c r="B72" s="31" t="s">
        <v>281</v>
      </c>
      <c r="C72" s="31" t="s">
        <v>258</v>
      </c>
      <c r="D72" s="31" t="s">
        <v>474</v>
      </c>
      <c r="E72" s="31" t="s">
        <v>480</v>
      </c>
      <c r="F72" s="31" t="s">
        <v>248</v>
      </c>
      <c r="G72" s="1" t="s">
        <v>67</v>
      </c>
      <c r="H72" s="1"/>
      <c r="I72" s="1"/>
      <c r="J72" s="1"/>
      <c r="K72" s="162"/>
      <c r="L72" s="162"/>
      <c r="M72" s="162"/>
      <c r="N72" s="1"/>
      <c r="P72" s="162"/>
      <c r="U72" s="1"/>
    </row>
    <row r="73" spans="2:21" x14ac:dyDescent="0.2">
      <c r="B73" t="s">
        <v>702</v>
      </c>
      <c r="C73" s="2">
        <f>(C63+D63+C67+D67)/(SUM($C$63:$I$63,C67:I67))</f>
        <v>0.84064892018834059</v>
      </c>
      <c r="D73" s="2">
        <f>(G63+H63+G67+H67)/(SUM($C$63:$I$63,C67:I67))</f>
        <v>4.2813795834421568E-2</v>
      </c>
      <c r="E73" s="2">
        <f>(F63+F67)/(SUM($C63:$I63,C67:I67))</f>
        <v>2.6964896835194159E-2</v>
      </c>
      <c r="F73" s="2">
        <f>1-C73-D73-E73</f>
        <v>8.9572387142043686E-2</v>
      </c>
      <c r="G73" s="169">
        <f>SUM(C73:F73)</f>
        <v>1</v>
      </c>
      <c r="H73" s="296"/>
      <c r="I73" s="299">
        <f>D73*(K63+K67)</f>
        <v>3.8151346153846153</v>
      </c>
      <c r="J73" s="8"/>
      <c r="K73" s="163"/>
      <c r="L73" s="294"/>
      <c r="M73" s="163"/>
      <c r="N73" s="8"/>
      <c r="P73" s="54"/>
    </row>
    <row r="74" spans="2:21" x14ac:dyDescent="0.2">
      <c r="B74" t="s">
        <v>310</v>
      </c>
      <c r="C74" s="2">
        <f>(C64+D64)/(SUM($C$64:$I$64))</f>
        <v>0.34496649231471843</v>
      </c>
      <c r="D74" s="2">
        <f>(G64+H64)/(SUM($C$64:$I$64))</f>
        <v>4.9233009850403776E-2</v>
      </c>
      <c r="E74" s="2">
        <f t="shared" ref="E74:E75" si="22">(F64)/(SUM($C64:$I64))</f>
        <v>0.37209399604831978</v>
      </c>
      <c r="F74" s="2">
        <f t="shared" ref="F74:F77" si="23">1-C74-D74-E74</f>
        <v>0.233706501786558</v>
      </c>
      <c r="G74" s="169">
        <f t="shared" ref="G74:G77" si="24">SUM(C74:F74)</f>
        <v>1</v>
      </c>
      <c r="H74" s="286"/>
      <c r="I74" s="299">
        <f>D74*(K64)</f>
        <v>1.7168105769230768</v>
      </c>
      <c r="J74" s="8"/>
      <c r="K74" s="163"/>
      <c r="L74" s="294"/>
      <c r="M74" s="163"/>
      <c r="N74" s="8"/>
      <c r="P74" s="54"/>
      <c r="U74" s="176"/>
    </row>
    <row r="75" spans="2:21" x14ac:dyDescent="0.2">
      <c r="B75" t="s">
        <v>370</v>
      </c>
      <c r="C75" s="2">
        <f>(C65+D65)/(SUM($C$65:$I$65))</f>
        <v>0.29023362037466854</v>
      </c>
      <c r="D75" s="2">
        <f>(G65+H65)/(SUM($C$65:$I$65))</f>
        <v>0</v>
      </c>
      <c r="E75" s="2">
        <f t="shared" si="22"/>
        <v>5.6685224619960485E-2</v>
      </c>
      <c r="F75" s="2">
        <f t="shared" si="23"/>
        <v>0.65308115500537101</v>
      </c>
      <c r="G75" s="169">
        <f t="shared" si="24"/>
        <v>1</v>
      </c>
      <c r="H75" s="286"/>
      <c r="I75" s="299">
        <f>D75*K65</f>
        <v>0</v>
      </c>
      <c r="J75" s="8"/>
      <c r="K75" s="163"/>
      <c r="L75" s="294"/>
      <c r="M75" s="163"/>
      <c r="N75" s="8"/>
      <c r="P75" s="54"/>
    </row>
    <row r="76" spans="2:21" x14ac:dyDescent="0.2">
      <c r="B76" t="s">
        <v>248</v>
      </c>
      <c r="C76" s="2">
        <f>(C68+D68+C66+D66)/(SUM($C$68:$I$68,C66:I66))</f>
        <v>0.36724965585472996</v>
      </c>
      <c r="D76" s="2">
        <f>(G68+H68+G66+H66)/(SUM($C$68:$I$68,C66:I66))</f>
        <v>6.4060606721619076E-2</v>
      </c>
      <c r="E76" s="2">
        <f>(F68+F66)/(SUM($C68:$I68,C66:I66))</f>
        <v>0.10759071885015241</v>
      </c>
      <c r="F76" s="2">
        <f t="shared" si="23"/>
        <v>0.4610990185734985</v>
      </c>
      <c r="G76" s="169">
        <f t="shared" si="24"/>
        <v>1</v>
      </c>
      <c r="H76" s="286"/>
      <c r="I76" s="299">
        <f>D76*(K66+K68)</f>
        <v>1.7168105769230768</v>
      </c>
      <c r="J76" s="8"/>
      <c r="K76" s="163"/>
      <c r="L76" s="164"/>
      <c r="M76" s="163"/>
      <c r="N76" s="8"/>
      <c r="P76" s="54"/>
      <c r="U76" s="176"/>
    </row>
    <row r="77" spans="2:21" x14ac:dyDescent="0.2">
      <c r="B77" t="s">
        <v>320</v>
      </c>
      <c r="C77" s="2">
        <f>(C69+D69)/(SUM($C$69:$I$69))</f>
        <v>0</v>
      </c>
      <c r="D77" s="2">
        <f>(G69+H69)/(SUM($C$69:$I$69))</f>
        <v>1</v>
      </c>
      <c r="E77" s="2">
        <f>(F69)/(SUM($C69:$I69))</f>
        <v>0</v>
      </c>
      <c r="F77" s="2">
        <f t="shared" si="23"/>
        <v>0</v>
      </c>
      <c r="G77" s="169">
        <f t="shared" si="24"/>
        <v>1</v>
      </c>
      <c r="H77" s="286"/>
      <c r="I77" s="299">
        <f>K69</f>
        <v>3.4336211538461541</v>
      </c>
      <c r="J77" s="8"/>
      <c r="K77" s="163"/>
      <c r="L77" s="294"/>
      <c r="M77" s="163"/>
      <c r="N77" s="8"/>
      <c r="P77" s="54"/>
      <c r="U77" s="176"/>
    </row>
    <row r="78" spans="2:21" ht="16" thickBot="1" x14ac:dyDescent="0.25">
      <c r="B78" s="32"/>
      <c r="C78" s="33"/>
      <c r="D78" s="33"/>
      <c r="E78" s="33"/>
      <c r="F78" s="33"/>
      <c r="G78" s="275"/>
      <c r="H78" s="297"/>
      <c r="I78" s="275"/>
      <c r="J78" s="295"/>
      <c r="K78" s="165"/>
      <c r="L78" s="166"/>
      <c r="M78" s="165"/>
      <c r="N78" s="8"/>
    </row>
    <row r="79" spans="2:21" ht="16" thickTop="1" x14ac:dyDescent="0.2"/>
    <row r="80" spans="2:21" x14ac:dyDescent="0.2">
      <c r="C80" s="2"/>
      <c r="D80" s="2"/>
      <c r="E80" s="2"/>
      <c r="F80" s="2"/>
      <c r="G80" s="2"/>
      <c r="H80" s="2"/>
      <c r="I80" s="2"/>
      <c r="J80" s="54" t="s">
        <v>53</v>
      </c>
      <c r="K80" s="182">
        <f>'R&amp;S - Buildings'!J4+'R&amp;S - Transportation'!D4+'R&amp;S - Packaging and hh goods'!J4+'R&amp;S - Apparel'!E4+'R&amp;S - Others'!F4</f>
        <v>162.69230769230768</v>
      </c>
      <c r="L80" s="182"/>
      <c r="M80" s="182">
        <f>'R&amp;S - Buildings'!J6+'R&amp;S - Transportation'!D7+'R&amp;S - Packaging and hh goods'!J6+'R&amp;S - Apparel'!E6+'R&amp;S - Others'!F6</f>
        <v>255.00000000000077</v>
      </c>
    </row>
    <row r="81" spans="2:13" x14ac:dyDescent="0.2">
      <c r="K81" s="162"/>
      <c r="L81" s="162"/>
      <c r="M81" s="162"/>
    </row>
    <row r="82" spans="2:13" x14ac:dyDescent="0.2">
      <c r="B82" t="s">
        <v>703</v>
      </c>
      <c r="C82" t="s">
        <v>704</v>
      </c>
      <c r="D82" t="s">
        <v>705</v>
      </c>
      <c r="E82" t="s">
        <v>706</v>
      </c>
      <c r="F82" t="s">
        <v>707</v>
      </c>
      <c r="K82" s="163"/>
      <c r="L82" s="164"/>
      <c r="M82" s="163"/>
    </row>
    <row r="83" spans="2:13" x14ac:dyDescent="0.2">
      <c r="B83" t="s">
        <v>258</v>
      </c>
      <c r="C83" s="256">
        <f>(C34+C35)*E2</f>
        <v>99.242307692307705</v>
      </c>
      <c r="D83">
        <f>'Demand - Industry shares'!L17*('Demand - Industry shares'!B13+'Demand - Industry shares'!C13)</f>
        <v>163.83420772442309</v>
      </c>
      <c r="E83">
        <v>104</v>
      </c>
      <c r="F83" s="2"/>
      <c r="G83" s="2">
        <f>(E83-C83)/C83</f>
        <v>4.7940161996666925E-2</v>
      </c>
      <c r="H83" t="s">
        <v>708</v>
      </c>
      <c r="I83" t="s">
        <v>709</v>
      </c>
      <c r="K83" s="163"/>
      <c r="L83" s="164"/>
      <c r="M83" s="163"/>
    </row>
    <row r="84" spans="2:13" x14ac:dyDescent="0.2">
      <c r="B84" t="s">
        <v>480</v>
      </c>
      <c r="C84" s="256">
        <f>C38/E38*E2</f>
        <v>41.835164835164825</v>
      </c>
      <c r="D84">
        <f>'Demand - Industry shares'!L17*'Demand - Industry shares'!F13</f>
        <v>52.806066952500004</v>
      </c>
      <c r="E84">
        <v>46</v>
      </c>
      <c r="F84" s="2">
        <f>(D84-C84)/C84</f>
        <v>0.26224115909574508</v>
      </c>
      <c r="G84" s="2">
        <f t="shared" ref="G84:G87" si="25">(E84-C84)/C84</f>
        <v>9.9553454163383501E-2</v>
      </c>
      <c r="I84" s="5" t="s">
        <v>710</v>
      </c>
      <c r="K84" s="163"/>
      <c r="L84" s="164"/>
      <c r="M84" s="163"/>
    </row>
    <row r="85" spans="2:13" x14ac:dyDescent="0.2">
      <c r="B85" t="s">
        <v>474</v>
      </c>
      <c r="C85" s="281">
        <f>(C36+C37)/E36*E2</f>
        <v>73.326887307692303</v>
      </c>
      <c r="D85">
        <f>'Demand - Industry shares'!L17*'Demand - Industry shares'!G13</f>
        <v>45.584724463269232</v>
      </c>
      <c r="E85">
        <v>75</v>
      </c>
      <c r="F85" s="2"/>
      <c r="G85" s="2">
        <f t="shared" si="25"/>
        <v>2.2817178714910218E-2</v>
      </c>
      <c r="H85" t="s">
        <v>708</v>
      </c>
      <c r="I85" t="s">
        <v>711</v>
      </c>
      <c r="K85" s="163"/>
      <c r="L85" s="164"/>
      <c r="M85" s="163"/>
    </row>
    <row r="86" spans="2:13" x14ac:dyDescent="0.2">
      <c r="B86" t="s">
        <v>478</v>
      </c>
      <c r="C86" s="256">
        <f>C39/E39*E2</f>
        <v>35.963599450549445</v>
      </c>
      <c r="D86">
        <f>'Demand - Industry shares'!L17*'Demand - Industry shares'!E13</f>
        <v>34.301376823846155</v>
      </c>
      <c r="F86" s="2">
        <f>(D86-C86)/C86</f>
        <v>-4.6219584582707696E-2</v>
      </c>
      <c r="G86" s="2"/>
      <c r="H86" t="s">
        <v>708</v>
      </c>
      <c r="K86" s="163"/>
      <c r="L86" s="164"/>
      <c r="M86" s="163"/>
    </row>
    <row r="87" spans="2:13" x14ac:dyDescent="0.2">
      <c r="B87" t="s">
        <v>477</v>
      </c>
      <c r="C87" s="256">
        <f>('Demand Breakdown - Propylene'!C25+'Demand Breakdown - Propylene'!C26)*'Demand Breakdown - Propylene'!E2</f>
        <v>74.98846153846155</v>
      </c>
      <c r="D87">
        <f>'Demand - Industry shares'!D13*'Demand - Industry shares'!L17</f>
        <v>95.231454076730785</v>
      </c>
      <c r="E87">
        <v>75</v>
      </c>
      <c r="F87" s="2"/>
      <c r="G87" s="2">
        <f t="shared" si="25"/>
        <v>1.5386982612694192E-4</v>
      </c>
      <c r="H87" t="s">
        <v>708</v>
      </c>
      <c r="I87" t="s">
        <v>709</v>
      </c>
      <c r="K87" s="163"/>
      <c r="L87" s="164"/>
      <c r="M87" s="163"/>
    </row>
    <row r="88" spans="2:13" x14ac:dyDescent="0.2">
      <c r="B88" t="s">
        <v>712</v>
      </c>
      <c r="C88">
        <f>'Demand - Industry shares'!L17*0.11</f>
        <v>49.646729613461538</v>
      </c>
      <c r="K88" s="163"/>
      <c r="L88" s="164"/>
      <c r="M88" s="163"/>
    </row>
    <row r="89" spans="2:13" x14ac:dyDescent="0.2">
      <c r="B89" t="s">
        <v>713</v>
      </c>
      <c r="C89">
        <v>1.5</v>
      </c>
      <c r="K89" s="165"/>
      <c r="L89" s="166"/>
      <c r="M89" s="165"/>
    </row>
    <row r="90" spans="2:13" x14ac:dyDescent="0.2">
      <c r="B90" t="s">
        <v>714</v>
      </c>
      <c r="C90" s="245">
        <f>'Demand - Industry shares'!L17-'Demand Breakdown - Ethylene'!C87-'Demand Breakdown - Ethylene'!C86-'Demand Breakdown - Ethylene'!C85-'Demand Breakdown - Ethylene'!C84-'Demand Breakdown - Ethylene'!C83-C88-C89</f>
        <v>74.830755139285742</v>
      </c>
    </row>
    <row r="91" spans="2:13" x14ac:dyDescent="0.2">
      <c r="C91">
        <f>('Demand - Industry shares'!H13+'Demand - Industry shares'!I13)*'Demand - Industry shares'!L17</f>
        <v>59.576075536153851</v>
      </c>
    </row>
    <row r="94" spans="2:13" x14ac:dyDescent="0.2">
      <c r="C94" s="245"/>
      <c r="L94" s="41"/>
    </row>
  </sheetData>
  <phoneticPr fontId="20" type="noConversion"/>
  <hyperlinks>
    <hyperlink ref="S2" r:id="rId1" xr:uid="{F1383701-141F-4E98-BDA6-E9552C42BF66}"/>
    <hyperlink ref="L29" r:id="rId2" xr:uid="{BF601BF2-FE0B-42FA-A783-E750E252EDE0}"/>
    <hyperlink ref="F9" r:id="rId3" display="http://atozplastics.com/upload/literature/16_art_ethylene_scenario.asp" xr:uid="{63C3F61B-139E-41D0-9BC0-308A9B3782D5}"/>
    <hyperlink ref="I84" r:id="rId4" display="https://www.statista.com/statistics/720296/global-polyvinyl-chloride-market-size-in-tons/" xr:uid="{9B94BA9D-17A3-420C-975A-8B05231D9867}"/>
  </hyperlinks>
  <pageMargins left="0.7" right="0.7" top="0.75" bottom="0.75" header="0.3" footer="0.3"/>
  <pageSetup paperSize="9" orientation="portrait" r:id="rId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C70A7B-1512-43DA-907B-B420A4FC34E8}">
  <sheetPr>
    <tabColor theme="7"/>
  </sheetPr>
  <dimension ref="A1:AI73"/>
  <sheetViews>
    <sheetView zoomScale="90" zoomScaleNormal="90" workbookViewId="0">
      <selection activeCell="G36" sqref="G36"/>
    </sheetView>
  </sheetViews>
  <sheetFormatPr baseColWidth="10" defaultColWidth="8.83203125" defaultRowHeight="15" x14ac:dyDescent="0.2"/>
  <cols>
    <col min="2" max="2" width="18" customWidth="1"/>
    <col min="3" max="3" width="10.33203125" customWidth="1"/>
    <col min="5" max="5" width="8.83203125" customWidth="1"/>
    <col min="10" max="10" width="21.1640625" customWidth="1"/>
    <col min="11" max="11" width="17.5" bestFit="1" customWidth="1"/>
    <col min="12" max="12" width="15.1640625" customWidth="1"/>
    <col min="13" max="13" width="16.83203125" customWidth="1"/>
    <col min="22" max="22" width="17.1640625" customWidth="1"/>
  </cols>
  <sheetData>
    <row r="1" spans="2:35" x14ac:dyDescent="0.2">
      <c r="C1" s="1">
        <v>2015</v>
      </c>
      <c r="D1" s="1">
        <v>2017</v>
      </c>
      <c r="E1" s="1">
        <v>2020</v>
      </c>
      <c r="F1" s="1">
        <v>2025</v>
      </c>
      <c r="G1" s="1">
        <v>2030</v>
      </c>
      <c r="H1" s="1">
        <v>2035</v>
      </c>
      <c r="I1" s="1">
        <v>2040</v>
      </c>
      <c r="J1" s="1">
        <v>2045</v>
      </c>
      <c r="K1" s="1">
        <v>2050</v>
      </c>
      <c r="L1" s="1" t="s">
        <v>46</v>
      </c>
      <c r="M1" s="1" t="s">
        <v>96</v>
      </c>
    </row>
    <row r="2" spans="2:35" x14ac:dyDescent="0.2">
      <c r="B2" t="s">
        <v>715</v>
      </c>
      <c r="C2" s="99">
        <f>'Yearly Demand - Eth&amp;Prop'!B5</f>
        <v>90</v>
      </c>
      <c r="D2" s="99">
        <f>'Yearly Demand - Eth&amp;Prop'!C5</f>
        <v>105</v>
      </c>
      <c r="E2" s="99">
        <f>'Yearly Demand - Eth&amp;Prop'!D5</f>
        <v>111.92307692307692</v>
      </c>
      <c r="F2" s="99">
        <f>'Yearly Demand - Eth&amp;Prop'!E5</f>
        <v>123.46153846153845</v>
      </c>
      <c r="G2" s="99">
        <f>'Yearly Demand - Eth&amp;Prop'!F5</f>
        <v>135</v>
      </c>
      <c r="H2" s="99">
        <f>'Yearly Demand - Eth&amp;Prop'!G5</f>
        <v>141.25</v>
      </c>
      <c r="I2" s="99">
        <f>'Yearly Demand - Eth&amp;Prop'!H5</f>
        <v>147.5</v>
      </c>
      <c r="J2" s="99">
        <f>'Yearly Demand - Eth&amp;Prop'!I5</f>
        <v>153.75</v>
      </c>
      <c r="K2" s="99">
        <f>'Yearly Demand - Eth&amp;Prop'!J5</f>
        <v>160</v>
      </c>
      <c r="L2" s="41">
        <f>(K2/E2)^(1/30)-1</f>
        <v>1.1983297655736136E-2</v>
      </c>
      <c r="M2" s="54" t="s">
        <v>651</v>
      </c>
      <c r="S2" s="5" t="s">
        <v>524</v>
      </c>
    </row>
    <row r="3" spans="2:35" x14ac:dyDescent="0.2">
      <c r="B3" t="s">
        <v>46</v>
      </c>
      <c r="D3" s="23">
        <f>(E2/C2)^(1/5)-1</f>
        <v>4.4564895075664079E-2</v>
      </c>
      <c r="E3" s="23">
        <f>(F2/D2)^(1/8)-1</f>
        <v>2.0452509816279996E-2</v>
      </c>
      <c r="F3" s="23">
        <f t="shared" ref="F3:K3" si="0">(F2/E2)^(1/5)-1</f>
        <v>1.9817379123614698E-2</v>
      </c>
      <c r="G3" s="23">
        <f t="shared" si="0"/>
        <v>1.8029626204826066E-2</v>
      </c>
      <c r="H3" s="23">
        <f t="shared" si="0"/>
        <v>9.0924053697039042E-3</v>
      </c>
      <c r="I3" s="23">
        <f t="shared" si="0"/>
        <v>8.6969618728141018E-3</v>
      </c>
      <c r="J3" s="23">
        <f t="shared" si="0"/>
        <v>8.3344862287033639E-3</v>
      </c>
      <c r="K3" s="23">
        <f t="shared" si="0"/>
        <v>8.0010201572613404E-3</v>
      </c>
    </row>
    <row r="5" spans="2:35" x14ac:dyDescent="0.2">
      <c r="B5" s="1" t="s">
        <v>716</v>
      </c>
      <c r="C5" s="1"/>
      <c r="D5" s="1" t="s">
        <v>653</v>
      </c>
      <c r="E5" s="1"/>
      <c r="F5" s="54" t="s">
        <v>565</v>
      </c>
      <c r="G5" s="1"/>
      <c r="H5" s="1"/>
      <c r="I5" s="1"/>
      <c r="J5" s="1"/>
      <c r="K5" s="1"/>
    </row>
    <row r="6" spans="2:35" x14ac:dyDescent="0.2">
      <c r="B6" t="s">
        <v>265</v>
      </c>
      <c r="C6" s="56">
        <v>0.67</v>
      </c>
      <c r="D6" s="44">
        <f>$E$2*C6</f>
        <v>74.988461538461536</v>
      </c>
    </row>
    <row r="7" spans="2:35" x14ac:dyDescent="0.2">
      <c r="B7" t="s">
        <v>573</v>
      </c>
      <c r="C7" s="56">
        <v>0.05</v>
      </c>
      <c r="D7" s="44">
        <f t="shared" ref="D7:D12" si="1">$E$2*C7</f>
        <v>5.5961538461538467</v>
      </c>
    </row>
    <row r="8" spans="2:35" x14ac:dyDescent="0.2">
      <c r="B8" t="s">
        <v>575</v>
      </c>
      <c r="C8" s="56">
        <v>0.06</v>
      </c>
      <c r="D8" s="44">
        <f t="shared" si="1"/>
        <v>6.7153846153846146</v>
      </c>
    </row>
    <row r="9" spans="2:35" x14ac:dyDescent="0.2">
      <c r="B9" t="s">
        <v>576</v>
      </c>
      <c r="C9" s="56">
        <v>0.04</v>
      </c>
      <c r="D9" s="44">
        <f t="shared" si="1"/>
        <v>4.476923076923077</v>
      </c>
    </row>
    <row r="10" spans="2:35" x14ac:dyDescent="0.2">
      <c r="B10" t="s">
        <v>717</v>
      </c>
      <c r="C10" s="56">
        <v>7.0000000000000007E-2</v>
      </c>
      <c r="D10" s="44">
        <f t="shared" si="1"/>
        <v>7.8346153846153852</v>
      </c>
    </row>
    <row r="11" spans="2:35" x14ac:dyDescent="0.2">
      <c r="B11" t="s">
        <v>583</v>
      </c>
      <c r="C11" s="56">
        <v>0.03</v>
      </c>
      <c r="D11" s="44">
        <f t="shared" si="1"/>
        <v>3.3576923076923073</v>
      </c>
    </row>
    <row r="12" spans="2:35" x14ac:dyDescent="0.2">
      <c r="B12" t="s">
        <v>192</v>
      </c>
      <c r="C12" s="56">
        <v>0.08</v>
      </c>
      <c r="D12" s="44">
        <f t="shared" si="1"/>
        <v>8.953846153846154</v>
      </c>
      <c r="E12" t="s">
        <v>718</v>
      </c>
    </row>
    <row r="13" spans="2:35" x14ac:dyDescent="0.2">
      <c r="C13" s="6">
        <f>SUM(C6:C12)</f>
        <v>1.0000000000000002</v>
      </c>
      <c r="D13" s="262">
        <f>SUM(D6:D12)</f>
        <v>111.92307692307691</v>
      </c>
      <c r="E13" t="s">
        <v>719</v>
      </c>
    </row>
    <row r="15" spans="2:35" x14ac:dyDescent="0.2">
      <c r="B15" s="1" t="s">
        <v>720</v>
      </c>
      <c r="D15" s="1" t="s">
        <v>653</v>
      </c>
      <c r="E15" s="1" t="s">
        <v>663</v>
      </c>
      <c r="G15" s="1" t="s">
        <v>721</v>
      </c>
      <c r="I15" s="1" t="s">
        <v>653</v>
      </c>
      <c r="J15" s="1" t="s">
        <v>663</v>
      </c>
      <c r="L15" s="1" t="s">
        <v>575</v>
      </c>
      <c r="N15" s="1" t="s">
        <v>653</v>
      </c>
      <c r="O15" s="1" t="s">
        <v>663</v>
      </c>
      <c r="Q15" s="1" t="s">
        <v>722</v>
      </c>
      <c r="S15" s="1" t="s">
        <v>653</v>
      </c>
      <c r="T15" s="1" t="s">
        <v>663</v>
      </c>
      <c r="V15" s="1" t="s">
        <v>717</v>
      </c>
      <c r="X15" s="1" t="s">
        <v>653</v>
      </c>
      <c r="Y15" s="1" t="s">
        <v>663</v>
      </c>
      <c r="AA15" s="1" t="s">
        <v>583</v>
      </c>
      <c r="AC15" s="1" t="s">
        <v>653</v>
      </c>
      <c r="AD15" s="1" t="s">
        <v>663</v>
      </c>
      <c r="AF15" s="1" t="s">
        <v>192</v>
      </c>
      <c r="AH15" s="1" t="s">
        <v>653</v>
      </c>
      <c r="AI15" s="1" t="s">
        <v>663</v>
      </c>
    </row>
    <row r="16" spans="2:35" x14ac:dyDescent="0.2">
      <c r="B16" t="s">
        <v>723</v>
      </c>
      <c r="C16" s="55">
        <v>0.67</v>
      </c>
      <c r="D16" s="262">
        <f>C16*D6</f>
        <v>50.242269230769232</v>
      </c>
      <c r="E16" s="2">
        <f>D16/$E$2</f>
        <v>0.44890000000000002</v>
      </c>
      <c r="G16" t="s">
        <v>590</v>
      </c>
      <c r="H16" s="55">
        <v>0.5</v>
      </c>
      <c r="I16" s="262">
        <f>H16*$D$7</f>
        <v>2.7980769230769234</v>
      </c>
      <c r="J16" s="2">
        <f>I16/$E$2</f>
        <v>2.5000000000000005E-2</v>
      </c>
      <c r="L16" t="s">
        <v>596</v>
      </c>
      <c r="M16" s="55">
        <v>0.3</v>
      </c>
      <c r="N16" s="262">
        <f>M16*$D$8</f>
        <v>2.0146153846153845</v>
      </c>
      <c r="O16" s="2">
        <f>N16/$E$2</f>
        <v>1.7999999999999999E-2</v>
      </c>
      <c r="Q16" t="s">
        <v>724</v>
      </c>
      <c r="R16" s="55">
        <v>0.98</v>
      </c>
      <c r="S16" s="262">
        <f>R16*$D$9</f>
        <v>4.3873846153846152</v>
      </c>
      <c r="T16" s="2">
        <f>S16/$E$2</f>
        <v>3.9199999999999999E-2</v>
      </c>
      <c r="V16" t="s">
        <v>725</v>
      </c>
      <c r="W16" s="55">
        <v>0.68</v>
      </c>
      <c r="X16" s="262">
        <f>W16*$D$10</f>
        <v>5.3275384615384622</v>
      </c>
      <c r="Y16" s="2">
        <f>X16/$E$2</f>
        <v>4.760000000000001E-2</v>
      </c>
      <c r="AA16" t="s">
        <v>192</v>
      </c>
      <c r="AB16" s="55">
        <v>1</v>
      </c>
      <c r="AC16" s="262">
        <f>D11*AB16</f>
        <v>3.3576923076923073</v>
      </c>
      <c r="AD16" s="2">
        <f>AC16/$E$2</f>
        <v>0.03</v>
      </c>
      <c r="AF16" t="s">
        <v>192</v>
      </c>
      <c r="AG16" s="55">
        <v>1</v>
      </c>
      <c r="AH16" s="262">
        <f>AG16*D12</f>
        <v>8.953846153846154</v>
      </c>
      <c r="AI16" s="2">
        <f>AH16/$E$2</f>
        <v>0.08</v>
      </c>
    </row>
    <row r="17" spans="1:35" x14ac:dyDescent="0.2">
      <c r="B17" t="s">
        <v>726</v>
      </c>
      <c r="C17" s="55">
        <v>0.33</v>
      </c>
      <c r="D17" s="262">
        <f>C17*D6</f>
        <v>24.746192307692308</v>
      </c>
      <c r="E17" s="2">
        <f>D17/$E$2</f>
        <v>0.22110000000000002</v>
      </c>
      <c r="G17" t="s">
        <v>592</v>
      </c>
      <c r="H17" s="55">
        <v>0.35</v>
      </c>
      <c r="I17" s="262">
        <f t="shared" ref="I17:I19" si="2">H17*$D$7</f>
        <v>1.9586538461538463</v>
      </c>
      <c r="J17" s="2">
        <f>I17/$E$2</f>
        <v>1.7500000000000002E-2</v>
      </c>
      <c r="L17" t="s">
        <v>598</v>
      </c>
      <c r="M17" s="55">
        <v>0.35</v>
      </c>
      <c r="N17" s="262">
        <f t="shared" ref="N17:N19" si="3">M17*$D$8</f>
        <v>2.3503846153846149</v>
      </c>
      <c r="O17" s="2">
        <f>N17/$E$2</f>
        <v>2.0999999999999994E-2</v>
      </c>
      <c r="Q17" t="s">
        <v>248</v>
      </c>
      <c r="R17" s="55">
        <v>0.02</v>
      </c>
      <c r="S17" s="262">
        <f>R17*$D$9</f>
        <v>8.9538461538461539E-2</v>
      </c>
      <c r="T17" s="2">
        <f>S17/$E$2</f>
        <v>8.0000000000000004E-4</v>
      </c>
      <c r="V17" t="s">
        <v>727</v>
      </c>
      <c r="W17" s="55">
        <v>0.22</v>
      </c>
      <c r="X17" s="262">
        <f t="shared" ref="X17:X19" si="4">W17*$D$10</f>
        <v>1.7236153846153848</v>
      </c>
      <c r="Y17" s="2">
        <f>X17/$E$2</f>
        <v>1.5400000000000002E-2</v>
      </c>
      <c r="AB17" s="6">
        <f>SUM(AB16)</f>
        <v>1</v>
      </c>
      <c r="AC17" s="262"/>
      <c r="AD17" s="2"/>
      <c r="AG17" s="6">
        <f>SUM(AG16)</f>
        <v>1</v>
      </c>
      <c r="AH17" s="262"/>
      <c r="AI17" s="2"/>
    </row>
    <row r="18" spans="1:35" x14ac:dyDescent="0.2">
      <c r="C18" s="6">
        <f>SUM(C16:C17)</f>
        <v>1</v>
      </c>
      <c r="D18" s="262">
        <f>SUM(D16:D17)</f>
        <v>74.988461538461536</v>
      </c>
      <c r="G18" t="s">
        <v>593</v>
      </c>
      <c r="H18" s="55">
        <v>0.1</v>
      </c>
      <c r="I18" s="262">
        <f t="shared" si="2"/>
        <v>0.55961538461538474</v>
      </c>
      <c r="J18" s="2">
        <f t="shared" ref="J18:J19" si="5">I18/$E$2</f>
        <v>5.000000000000001E-3</v>
      </c>
      <c r="L18" t="s">
        <v>600</v>
      </c>
      <c r="M18" s="55">
        <v>0.15</v>
      </c>
      <c r="N18" s="262">
        <f t="shared" si="3"/>
        <v>1.0073076923076922</v>
      </c>
      <c r="O18" s="2">
        <f t="shared" ref="O18:O19" si="6">N18/$E$2</f>
        <v>8.9999999999999993E-3</v>
      </c>
      <c r="R18" s="6">
        <f>SUM(R16:R17)</f>
        <v>1</v>
      </c>
      <c r="S18" s="262">
        <f>SUM(S16:S17)</f>
        <v>4.476923076923077</v>
      </c>
      <c r="T18" s="2"/>
      <c r="V18" t="s">
        <v>728</v>
      </c>
      <c r="W18" s="55">
        <v>0.04</v>
      </c>
      <c r="X18" s="262">
        <f t="shared" si="4"/>
        <v>0.31338461538461543</v>
      </c>
      <c r="Y18" s="2">
        <f t="shared" ref="Y18:Y19" si="7">X18/$E$2</f>
        <v>2.8000000000000004E-3</v>
      </c>
      <c r="AC18" s="262"/>
      <c r="AD18" s="2"/>
      <c r="AH18" s="262"/>
      <c r="AI18" s="2"/>
    </row>
    <row r="19" spans="1:35" x14ac:dyDescent="0.2">
      <c r="C19" s="6"/>
      <c r="G19" t="s">
        <v>192</v>
      </c>
      <c r="H19" s="55">
        <v>0.05</v>
      </c>
      <c r="I19" s="262">
        <f t="shared" si="2"/>
        <v>0.27980769230769237</v>
      </c>
      <c r="J19" s="2">
        <f t="shared" si="5"/>
        <v>2.5000000000000005E-3</v>
      </c>
      <c r="L19" t="s">
        <v>192</v>
      </c>
      <c r="M19" s="55">
        <v>0.2</v>
      </c>
      <c r="N19" s="262">
        <f t="shared" si="3"/>
        <v>1.3430769230769231</v>
      </c>
      <c r="O19" s="2">
        <f t="shared" si="6"/>
        <v>1.2E-2</v>
      </c>
      <c r="S19" s="262"/>
      <c r="T19" s="2"/>
      <c r="V19" t="s">
        <v>192</v>
      </c>
      <c r="W19" s="55">
        <v>0.06</v>
      </c>
      <c r="X19" s="262">
        <f t="shared" si="4"/>
        <v>0.47007692307692311</v>
      </c>
      <c r="Y19" s="2">
        <f t="shared" si="7"/>
        <v>4.2000000000000006E-3</v>
      </c>
      <c r="AC19" s="262"/>
      <c r="AD19" s="2"/>
      <c r="AH19" s="262"/>
      <c r="AI19" s="2"/>
    </row>
    <row r="20" spans="1:35" x14ac:dyDescent="0.2">
      <c r="C20" s="6"/>
      <c r="H20" s="6">
        <f>SUM(H16:H19)</f>
        <v>1</v>
      </c>
      <c r="I20" s="262">
        <f>SUM(I16:I19)</f>
        <v>5.5961538461538467</v>
      </c>
      <c r="M20" s="6">
        <f>SUM(M16:M19)</f>
        <v>1</v>
      </c>
      <c r="N20" s="262">
        <f>SUM(N16:N19)</f>
        <v>6.7153846153846146</v>
      </c>
      <c r="W20" s="6">
        <f>SUM(W16:W19)</f>
        <v>1</v>
      </c>
      <c r="X20" s="262">
        <f>SUM(X16:X19)</f>
        <v>7.8346153846153852</v>
      </c>
      <c r="AC20" s="262"/>
      <c r="AH20" s="262"/>
    </row>
    <row r="22" spans="1:35" s="54" customFormat="1" x14ac:dyDescent="0.2">
      <c r="A22" s="1" t="s">
        <v>96</v>
      </c>
      <c r="B22" s="158" t="s">
        <v>729</v>
      </c>
      <c r="G22" s="158" t="s">
        <v>591</v>
      </c>
      <c r="L22" s="158" t="s">
        <v>595</v>
      </c>
      <c r="Q22" s="158" t="s">
        <v>730</v>
      </c>
      <c r="R22" s="158"/>
      <c r="V22" s="5" t="s">
        <v>731</v>
      </c>
    </row>
    <row r="24" spans="1:35" x14ac:dyDescent="0.2">
      <c r="B24" s="1" t="s">
        <v>732</v>
      </c>
      <c r="C24" s="1"/>
      <c r="E24" s="1" t="s">
        <v>733</v>
      </c>
      <c r="H24" s="1"/>
    </row>
    <row r="25" spans="1:35" x14ac:dyDescent="0.2">
      <c r="B25" t="s">
        <v>723</v>
      </c>
      <c r="C25" s="2">
        <f>C16*C6</f>
        <v>0.44890000000000008</v>
      </c>
      <c r="E25" s="160">
        <v>1</v>
      </c>
      <c r="F25" s="54" t="s">
        <v>734</v>
      </c>
    </row>
    <row r="26" spans="1:35" x14ac:dyDescent="0.2">
      <c r="B26" t="s">
        <v>726</v>
      </c>
      <c r="C26" s="2">
        <f>C17*C6</f>
        <v>0.22110000000000002</v>
      </c>
      <c r="E26" s="160">
        <v>1</v>
      </c>
      <c r="F26" s="54" t="s">
        <v>734</v>
      </c>
      <c r="K26" s="54" t="s">
        <v>735</v>
      </c>
    </row>
    <row r="27" spans="1:35" x14ac:dyDescent="0.2">
      <c r="B27" t="s">
        <v>690</v>
      </c>
      <c r="C27" s="2">
        <f>O16+O17+Y16+Y17</f>
        <v>0.10200000000000001</v>
      </c>
      <c r="E27" s="160"/>
      <c r="F27" s="54"/>
      <c r="K27" s="54"/>
    </row>
    <row r="28" spans="1:35" x14ac:dyDescent="0.2">
      <c r="B28" t="s">
        <v>192</v>
      </c>
      <c r="C28" s="2">
        <f>1-SUM(C25:C27)</f>
        <v>0.22799999999999987</v>
      </c>
      <c r="E28" s="160">
        <v>0.1</v>
      </c>
      <c r="F28" s="54" t="s">
        <v>691</v>
      </c>
    </row>
    <row r="29" spans="1:35" x14ac:dyDescent="0.2">
      <c r="C29" s="6">
        <f>SUM(C25:C28)</f>
        <v>1</v>
      </c>
      <c r="E29" s="160"/>
      <c r="F29" s="54"/>
    </row>
    <row r="30" spans="1:35" x14ac:dyDescent="0.2">
      <c r="B30" s="1"/>
    </row>
    <row r="31" spans="1:35" x14ac:dyDescent="0.2">
      <c r="B31" s="62" t="s">
        <v>692</v>
      </c>
      <c r="C31" s="62" t="s">
        <v>477</v>
      </c>
      <c r="D31" s="62" t="s">
        <v>248</v>
      </c>
      <c r="E31" s="1"/>
      <c r="F31" s="1"/>
      <c r="G31" s="1"/>
      <c r="H31" s="1"/>
    </row>
    <row r="32" spans="1:35" x14ac:dyDescent="0.2">
      <c r="B32" t="s">
        <v>309</v>
      </c>
      <c r="C32" s="159">
        <f>'Demand - Industry shares'!D18</f>
        <v>8.2000000000000003E-2</v>
      </c>
      <c r="D32" s="159">
        <f>SUM('Demand - Industry shares'!H18:I18)</f>
        <v>3.0000000000000001E-3</v>
      </c>
      <c r="E32" s="167"/>
      <c r="F32" s="167"/>
      <c r="G32" s="167"/>
      <c r="H32" s="168"/>
    </row>
    <row r="33" spans="2:11" x14ac:dyDescent="0.2">
      <c r="B33" t="s">
        <v>310</v>
      </c>
      <c r="C33" s="159">
        <f>'Demand - Industry shares'!D19</f>
        <v>1.2E-2</v>
      </c>
      <c r="D33" s="159">
        <f>SUM('Demand - Industry shares'!H19:I19)</f>
        <v>2.9000000000000001E-2</v>
      </c>
      <c r="E33" s="167"/>
      <c r="F33" s="167"/>
      <c r="G33" s="167"/>
      <c r="H33" s="168"/>
    </row>
    <row r="34" spans="2:11" x14ac:dyDescent="0.2">
      <c r="B34" t="s">
        <v>370</v>
      </c>
      <c r="C34" s="159">
        <f>'Demand - Industry shares'!D20</f>
        <v>2.5999999999999999E-2</v>
      </c>
      <c r="D34" s="159">
        <f>SUM('Demand - Industry shares'!H20:I20)</f>
        <v>0.03</v>
      </c>
      <c r="E34" s="167"/>
      <c r="F34" s="167"/>
      <c r="G34" s="167"/>
      <c r="H34" s="168"/>
    </row>
    <row r="35" spans="2:11" x14ac:dyDescent="0.2">
      <c r="B35" t="s">
        <v>582</v>
      </c>
      <c r="C35" s="159">
        <f>'Demand - Industry shares'!D21</f>
        <v>8.9999999999999993E-3</v>
      </c>
      <c r="D35" s="159">
        <f>SUM('Demand - Industry shares'!H21:I21)</f>
        <v>1.4E-2</v>
      </c>
      <c r="E35" s="167"/>
      <c r="F35" s="167"/>
      <c r="G35" s="167"/>
      <c r="H35" s="168"/>
    </row>
    <row r="36" spans="2:11" x14ac:dyDescent="0.2">
      <c r="B36" t="s">
        <v>313</v>
      </c>
      <c r="C36" s="159">
        <f>'Demand - Industry shares'!D22</f>
        <v>3.7999999999999999E-2</v>
      </c>
      <c r="D36" s="159">
        <f>SUM('Demand - Industry shares'!H22:I22)</f>
        <v>1.2E-2</v>
      </c>
      <c r="E36" s="167"/>
      <c r="F36" s="167"/>
      <c r="G36" s="167"/>
      <c r="H36" s="168"/>
    </row>
    <row r="37" spans="2:11" x14ac:dyDescent="0.2">
      <c r="B37" t="s">
        <v>248</v>
      </c>
      <c r="C37" s="159">
        <f>'Demand - Industry shares'!D23</f>
        <v>4.4000000000000004E-2</v>
      </c>
      <c r="D37" s="159">
        <f>SUM('Demand - Industry shares'!H23:I23)</f>
        <v>4.3999999999999997E-2</v>
      </c>
      <c r="E37" s="167"/>
      <c r="F37" s="167"/>
      <c r="G37" s="167"/>
      <c r="H37" s="168"/>
    </row>
    <row r="38" spans="2:11" x14ac:dyDescent="0.2">
      <c r="B38" t="s">
        <v>364</v>
      </c>
      <c r="C38" s="159">
        <f>'Demand - Industry shares'!D24</f>
        <v>0.21100000000000002</v>
      </c>
      <c r="D38" s="159">
        <f>SUM('Demand - Industry shares'!H24:I24)</f>
        <v>0.13200000000000001</v>
      </c>
      <c r="E38" s="167"/>
      <c r="F38" s="259">
        <f>SUM(C38:D38)</f>
        <v>0.34300000000000003</v>
      </c>
      <c r="G38" t="s">
        <v>736</v>
      </c>
      <c r="H38" s="168"/>
    </row>
    <row r="40" spans="2:11" x14ac:dyDescent="0.2">
      <c r="B40" s="31" t="s">
        <v>586</v>
      </c>
      <c r="C40" s="62" t="s">
        <v>477</v>
      </c>
      <c r="D40" s="62" t="s">
        <v>248</v>
      </c>
      <c r="E40" s="1"/>
      <c r="F40" s="1"/>
      <c r="G40" s="1"/>
      <c r="H40" s="1"/>
    </row>
    <row r="41" spans="2:11" x14ac:dyDescent="0.2">
      <c r="B41" t="s">
        <v>309</v>
      </c>
      <c r="C41" s="2">
        <f>C32/C$38</f>
        <v>0.38862559241706157</v>
      </c>
      <c r="D41" s="2">
        <f t="shared" ref="C41:D46" si="8">D32/D$38</f>
        <v>2.2727272727272728E-2</v>
      </c>
      <c r="E41" s="169"/>
      <c r="F41" s="169"/>
      <c r="G41" s="169"/>
      <c r="H41" s="169"/>
    </row>
    <row r="42" spans="2:11" x14ac:dyDescent="0.2">
      <c r="B42" t="s">
        <v>310</v>
      </c>
      <c r="C42" s="2">
        <f t="shared" si="8"/>
        <v>5.6872037914691941E-2</v>
      </c>
      <c r="D42" s="2">
        <f t="shared" si="8"/>
        <v>0.2196969696969697</v>
      </c>
      <c r="E42" s="169"/>
      <c r="F42" s="169"/>
      <c r="G42" s="169"/>
      <c r="H42" s="169"/>
    </row>
    <row r="43" spans="2:11" x14ac:dyDescent="0.2">
      <c r="B43" t="s">
        <v>370</v>
      </c>
      <c r="C43" s="2">
        <f t="shared" si="8"/>
        <v>0.12322274881516586</v>
      </c>
      <c r="D43" s="2">
        <f t="shared" si="8"/>
        <v>0.22727272727272727</v>
      </c>
      <c r="E43" s="169"/>
      <c r="F43" s="169"/>
      <c r="G43" s="169"/>
      <c r="H43" s="169"/>
    </row>
    <row r="44" spans="2:11" x14ac:dyDescent="0.2">
      <c r="B44" t="s">
        <v>312</v>
      </c>
      <c r="C44" s="2">
        <f t="shared" si="8"/>
        <v>4.2654028436018947E-2</v>
      </c>
      <c r="D44" s="2">
        <f t="shared" si="8"/>
        <v>0.10606060606060606</v>
      </c>
      <c r="E44" s="169"/>
      <c r="F44" s="169"/>
      <c r="G44" s="169"/>
      <c r="H44" s="169"/>
    </row>
    <row r="45" spans="2:11" x14ac:dyDescent="0.2">
      <c r="B45" t="s">
        <v>313</v>
      </c>
      <c r="C45" s="2">
        <f t="shared" si="8"/>
        <v>0.18009478672985779</v>
      </c>
      <c r="D45" s="2">
        <f t="shared" si="8"/>
        <v>9.0909090909090912E-2</v>
      </c>
      <c r="E45" s="169"/>
      <c r="F45" s="169"/>
      <c r="G45" s="169"/>
      <c r="H45" s="169"/>
    </row>
    <row r="46" spans="2:11" x14ac:dyDescent="0.2">
      <c r="B46" t="s">
        <v>248</v>
      </c>
      <c r="C46" s="2">
        <f t="shared" si="8"/>
        <v>0.20853080568720378</v>
      </c>
      <c r="D46" s="2">
        <f t="shared" si="8"/>
        <v>0.33333333333333331</v>
      </c>
      <c r="E46" s="169"/>
      <c r="F46" s="169"/>
      <c r="G46" s="169"/>
      <c r="H46" s="169"/>
    </row>
    <row r="47" spans="2:11" x14ac:dyDescent="0.2">
      <c r="B47" t="s">
        <v>67</v>
      </c>
      <c r="C47" s="2">
        <f>SUM(C41:C46)</f>
        <v>0.99999999999999978</v>
      </c>
      <c r="D47" s="2">
        <f>SUM(D41:D46)</f>
        <v>1</v>
      </c>
      <c r="E47" s="169"/>
      <c r="F47" s="169"/>
      <c r="G47" s="169"/>
      <c r="H47" s="169"/>
      <c r="K47" s="6"/>
    </row>
    <row r="48" spans="2:11" ht="16" thickBot="1" x14ac:dyDescent="0.25"/>
    <row r="49" spans="2:16" x14ac:dyDescent="0.2">
      <c r="B49" s="31" t="s">
        <v>737</v>
      </c>
      <c r="C49" s="62" t="s">
        <v>477</v>
      </c>
      <c r="D49" s="62" t="s">
        <v>248</v>
      </c>
      <c r="E49" s="31"/>
      <c r="F49" s="31"/>
      <c r="G49" s="31"/>
      <c r="H49" s="31"/>
      <c r="I49" s="31"/>
      <c r="J49" s="34" t="s">
        <v>67</v>
      </c>
      <c r="K49" s="37" t="s">
        <v>603</v>
      </c>
      <c r="L49" s="37" t="s">
        <v>46</v>
      </c>
      <c r="M49" s="92" t="s">
        <v>604</v>
      </c>
      <c r="N49" s="95" t="s">
        <v>67</v>
      </c>
      <c r="P49" s="162" t="s">
        <v>693</v>
      </c>
    </row>
    <row r="50" spans="2:16" x14ac:dyDescent="0.2">
      <c r="B50" t="s">
        <v>309</v>
      </c>
      <c r="C50" s="2">
        <f>C41*($C$25+$C$26)</f>
        <v>0.26037914691943131</v>
      </c>
      <c r="D50" s="2">
        <f>D41*SUM($C$27:$C$28)</f>
        <v>7.4999999999999971E-3</v>
      </c>
      <c r="E50" s="2"/>
      <c r="F50" s="2"/>
      <c r="G50" s="2"/>
      <c r="H50" s="2"/>
      <c r="I50" s="2"/>
      <c r="J50" s="35">
        <f>SUM(C50:D50)</f>
        <v>0.26787914691943132</v>
      </c>
      <c r="K50" s="38">
        <f>J50*$E$2</f>
        <v>29.981858366751734</v>
      </c>
      <c r="L50" s="161">
        <v>1.4E-2</v>
      </c>
      <c r="M50" s="93">
        <f>K50*(1+L50)^30</f>
        <v>45.498512481403004</v>
      </c>
      <c r="N50" s="96">
        <f t="shared" ref="N50:N56" si="9">M50/M$57</f>
        <v>0.28436570300876995</v>
      </c>
      <c r="P50" s="54" t="s">
        <v>695</v>
      </c>
    </row>
    <row r="51" spans="2:16" x14ac:dyDescent="0.2">
      <c r="B51" t="s">
        <v>310</v>
      </c>
      <c r="C51" s="2">
        <f t="shared" ref="C51:C54" si="10">C42*($C$25+$C$26)</f>
        <v>3.8104265402843611E-2</v>
      </c>
      <c r="D51" s="2">
        <f t="shared" ref="D51:D55" si="11">D42*SUM($C$27:$C$28)</f>
        <v>7.2499999999999967E-2</v>
      </c>
      <c r="E51" s="2"/>
      <c r="F51" s="2"/>
      <c r="G51" s="2"/>
      <c r="H51" s="2"/>
      <c r="I51" s="2"/>
      <c r="J51" s="35">
        <f t="shared" ref="J51:J56" si="12">SUM(C51:D51)</f>
        <v>0.11060426540284357</v>
      </c>
      <c r="K51" s="38">
        <f t="shared" ref="K51:K56" si="13">J51*$E$2</f>
        <v>12.379169704702877</v>
      </c>
      <c r="L51" s="161">
        <v>1.7000000000000001E-2</v>
      </c>
      <c r="M51" s="93">
        <f>K51*(1+L51)^30</f>
        <v>20.526745811493456</v>
      </c>
      <c r="N51" s="96">
        <f t="shared" si="9"/>
        <v>0.12829216132183463</v>
      </c>
      <c r="P51" s="54" t="s">
        <v>696</v>
      </c>
    </row>
    <row r="52" spans="2:16" x14ac:dyDescent="0.2">
      <c r="B52" t="s">
        <v>370</v>
      </c>
      <c r="C52" s="2">
        <f t="shared" si="10"/>
        <v>8.2559241706161149E-2</v>
      </c>
      <c r="D52" s="2">
        <f t="shared" si="11"/>
        <v>7.4999999999999969E-2</v>
      </c>
      <c r="E52" s="2"/>
      <c r="F52" s="2"/>
      <c r="G52" s="2"/>
      <c r="H52" s="2"/>
      <c r="I52" s="2"/>
      <c r="J52" s="35">
        <f t="shared" si="12"/>
        <v>0.15755924170616112</v>
      </c>
      <c r="K52" s="38">
        <f t="shared" si="13"/>
        <v>17.63451512942034</v>
      </c>
      <c r="L52" s="161">
        <v>1.7000000000000001E-2</v>
      </c>
      <c r="M52" s="93">
        <f>K52*(1+L52)^30</f>
        <v>29.240992587170862</v>
      </c>
      <c r="N52" s="96">
        <f t="shared" si="9"/>
        <v>0.18275620366981862</v>
      </c>
      <c r="P52" s="54" t="s">
        <v>696</v>
      </c>
    </row>
    <row r="53" spans="2:16" x14ac:dyDescent="0.2">
      <c r="B53" t="s">
        <v>312</v>
      </c>
      <c r="C53" s="2">
        <f t="shared" si="10"/>
        <v>2.85781990521327E-2</v>
      </c>
      <c r="D53" s="2">
        <f t="shared" si="11"/>
        <v>3.4999999999999983E-2</v>
      </c>
      <c r="E53" s="2"/>
      <c r="F53" s="2"/>
      <c r="G53" s="2"/>
      <c r="H53" s="2"/>
      <c r="I53" s="2"/>
      <c r="J53" s="35">
        <f t="shared" si="12"/>
        <v>6.3578199052132689E-2</v>
      </c>
      <c r="K53" s="38">
        <f t="shared" si="13"/>
        <v>7.1158676631425433</v>
      </c>
      <c r="L53" s="40">
        <f>(M53/K53)^(1/30)-1</f>
        <v>3.6750221758679036E-3</v>
      </c>
      <c r="M53" s="93">
        <f>($M$57-$M$50-$M$51-$M$52-$M$56-$M$54)*(J53/SUM($J$53:$J$53,J55))</f>
        <v>7.9436728667427623</v>
      </c>
      <c r="N53" s="96">
        <f t="shared" si="9"/>
        <v>4.9647955417142467E-2</v>
      </c>
      <c r="P53" s="54" t="s">
        <v>698</v>
      </c>
    </row>
    <row r="54" spans="2:16" x14ac:dyDescent="0.2">
      <c r="B54" t="s">
        <v>313</v>
      </c>
      <c r="C54" s="2">
        <f t="shared" si="10"/>
        <v>0.12066350710900475</v>
      </c>
      <c r="D54" s="2">
        <f t="shared" si="11"/>
        <v>2.9999999999999988E-2</v>
      </c>
      <c r="E54" s="2"/>
      <c r="F54" s="2"/>
      <c r="G54" s="2"/>
      <c r="H54" s="2"/>
      <c r="I54" s="2"/>
      <c r="J54" s="35">
        <f t="shared" si="12"/>
        <v>0.15066350710900475</v>
      </c>
      <c r="K54" s="38">
        <f t="shared" si="13"/>
        <v>16.862723295661684</v>
      </c>
      <c r="L54" s="40">
        <f>L50</f>
        <v>1.4E-2</v>
      </c>
      <c r="M54" s="93">
        <f>K54*(1+L54)^30</f>
        <v>25.589768884670733</v>
      </c>
      <c r="N54" s="96">
        <f t="shared" si="9"/>
        <v>0.15993605552919274</v>
      </c>
      <c r="P54" s="54" t="s">
        <v>695</v>
      </c>
    </row>
    <row r="55" spans="2:16" x14ac:dyDescent="0.2">
      <c r="B55" t="s">
        <v>248</v>
      </c>
      <c r="C55" s="2">
        <f>C46*($C$25+$C$26)</f>
        <v>0.13971563981042656</v>
      </c>
      <c r="D55" s="2">
        <f t="shared" si="11"/>
        <v>0.10999999999999995</v>
      </c>
      <c r="E55" s="2"/>
      <c r="F55" s="2"/>
      <c r="G55" s="2"/>
      <c r="H55" s="2"/>
      <c r="I55" s="2"/>
      <c r="J55" s="35">
        <f t="shared" si="12"/>
        <v>0.24971563981042649</v>
      </c>
      <c r="K55" s="38">
        <f t="shared" si="13"/>
        <v>27.948942763397735</v>
      </c>
      <c r="L55" s="40">
        <f t="shared" ref="L55" si="14">(M55/K55)^(1/30)-1</f>
        <v>3.6750221758679036E-3</v>
      </c>
      <c r="M55" s="93">
        <f>($M$57-$M$50-$M$51-$M$52-$M$56-$M$54)*(J55/SUM($J$53:$J$53,J55))</f>
        <v>31.200307368518533</v>
      </c>
      <c r="N55" s="96">
        <f t="shared" si="9"/>
        <v>0.19500192105324163</v>
      </c>
      <c r="P55" s="54" t="s">
        <v>698</v>
      </c>
    </row>
    <row r="56" spans="2:16" x14ac:dyDescent="0.2">
      <c r="B56" t="s">
        <v>320</v>
      </c>
      <c r="C56" s="2">
        <v>0</v>
      </c>
      <c r="D56" s="2">
        <v>0</v>
      </c>
      <c r="E56" s="6"/>
      <c r="F56" s="6"/>
      <c r="G56" s="6"/>
      <c r="H56" s="6"/>
      <c r="I56" s="2"/>
      <c r="J56" s="35">
        <f t="shared" si="12"/>
        <v>0</v>
      </c>
      <c r="K56" s="38">
        <f t="shared" si="13"/>
        <v>0</v>
      </c>
      <c r="L56" s="161">
        <v>2.1000000000000001E-2</v>
      </c>
      <c r="M56" s="93">
        <f>K56*(1+L56)^30</f>
        <v>0</v>
      </c>
      <c r="N56" s="96">
        <f t="shared" si="9"/>
        <v>0</v>
      </c>
      <c r="P56" s="54" t="s">
        <v>700</v>
      </c>
    </row>
    <row r="57" spans="2:16" ht="16" thickBot="1" x14ac:dyDescent="0.25">
      <c r="B57" s="32" t="s">
        <v>67</v>
      </c>
      <c r="C57" s="33">
        <f>SUM(C50:C56)</f>
        <v>0.67</v>
      </c>
      <c r="D57" s="33">
        <f>SUM(D50:D56)</f>
        <v>0.32999999999999985</v>
      </c>
      <c r="E57" s="33"/>
      <c r="F57" s="33"/>
      <c r="G57" s="33"/>
      <c r="H57" s="33"/>
      <c r="I57" s="33"/>
      <c r="J57" s="36">
        <f>SUM(C57:I57)</f>
        <v>0.99999999999999989</v>
      </c>
      <c r="K57" s="39">
        <f>SUM(K50:K56)</f>
        <v>111.92307692307691</v>
      </c>
      <c r="L57" s="42">
        <f>L2</f>
        <v>1.1983297655736136E-2</v>
      </c>
      <c r="M57" s="94">
        <f>K57*(1+L57)^30</f>
        <v>159.99999999999935</v>
      </c>
      <c r="N57" s="97">
        <f>SUM(N50:N56)</f>
        <v>1</v>
      </c>
    </row>
    <row r="58" spans="2:16" ht="16" thickTop="1" x14ac:dyDescent="0.2"/>
    <row r="59" spans="2:16" x14ac:dyDescent="0.2">
      <c r="J59" s="54" t="s">
        <v>53</v>
      </c>
      <c r="K59" s="182">
        <f>'R&amp;S - Buildings'!I4+'R&amp;S - Transportation'!C4+'R&amp;S - Packaging and hh goods'!I4+'R&amp;S - Apparel'!D4+'R&amp;S - Others'!E4</f>
        <v>111.92307692307691</v>
      </c>
      <c r="L59" s="182"/>
      <c r="M59" s="182">
        <f>'R&amp;S - Buildings'!I6+'R&amp;S - Transportation'!C7+'R&amp;S - Packaging and hh goods'!I6+'R&amp;S - Apparel'!D6+'R&amp;S - Others'!E6</f>
        <v>159.99999999999929</v>
      </c>
    </row>
    <row r="60" spans="2:16" x14ac:dyDescent="0.2">
      <c r="K60" s="162"/>
      <c r="L60" s="162"/>
      <c r="M60" s="162"/>
    </row>
    <row r="61" spans="2:16" x14ac:dyDescent="0.2">
      <c r="K61" s="163"/>
      <c r="L61" s="164"/>
      <c r="M61" s="163"/>
    </row>
    <row r="62" spans="2:16" x14ac:dyDescent="0.2">
      <c r="K62" s="163"/>
      <c r="L62" s="164"/>
      <c r="M62" s="163"/>
    </row>
    <row r="63" spans="2:16" x14ac:dyDescent="0.2">
      <c r="K63" s="163"/>
      <c r="L63" s="164"/>
      <c r="M63" s="163"/>
    </row>
    <row r="64" spans="2:16" x14ac:dyDescent="0.2">
      <c r="K64" s="163"/>
      <c r="L64" s="164"/>
      <c r="M64" s="163"/>
    </row>
    <row r="65" spans="11:13" x14ac:dyDescent="0.2">
      <c r="K65" s="163"/>
      <c r="L65" s="164"/>
      <c r="M65" s="163"/>
    </row>
    <row r="66" spans="11:13" x14ac:dyDescent="0.2">
      <c r="K66" s="163"/>
      <c r="L66" s="164"/>
      <c r="M66" s="163"/>
    </row>
    <row r="67" spans="11:13" x14ac:dyDescent="0.2">
      <c r="K67" s="163"/>
      <c r="L67" s="164"/>
      <c r="M67" s="163"/>
    </row>
    <row r="68" spans="11:13" x14ac:dyDescent="0.2">
      <c r="K68" s="165"/>
      <c r="L68" s="166"/>
      <c r="M68" s="165"/>
    </row>
    <row r="73" spans="11:13" x14ac:dyDescent="0.2">
      <c r="L73" s="41"/>
    </row>
  </sheetData>
  <hyperlinks>
    <hyperlink ref="S2" r:id="rId1" xr:uid="{FF551743-85CC-4F72-BEDF-61627CE59973}"/>
    <hyperlink ref="G22" r:id="rId2" xr:uid="{8A0E6C9C-BD8B-4E1D-9382-6242FDAAC5C9}"/>
    <hyperlink ref="L22" r:id="rId3" xr:uid="{AFF80CA9-A23A-43E4-8470-AEE9C0296772}"/>
    <hyperlink ref="Q22" r:id="rId4" xr:uid="{882EA3C3-5C7F-4F3E-B9A4-E920EBFF7A20}"/>
    <hyperlink ref="V22" r:id="rId5" xr:uid="{DBC48CA8-D7CA-4C16-8BC5-864DB31995A2}"/>
    <hyperlink ref="B22" r:id="rId6" xr:uid="{FC9DD835-350F-43C7-9C49-B15D9BC7125A}"/>
  </hyperlinks>
  <pageMargins left="0.7" right="0.7" top="0.75" bottom="0.75" header="0.3" footer="0.3"/>
  <pageSetup paperSize="9" orientation="portrait" r:id="rId7"/>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C990FA-51AE-48D3-A3D7-51AC38CDE649}">
  <sheetPr>
    <tabColor theme="7"/>
  </sheetPr>
  <dimension ref="A1:Y79"/>
  <sheetViews>
    <sheetView zoomScale="70" zoomScaleNormal="70" workbookViewId="0">
      <selection activeCell="G34" sqref="G34"/>
    </sheetView>
  </sheetViews>
  <sheetFormatPr baseColWidth="10" defaultColWidth="8.83203125" defaultRowHeight="15" x14ac:dyDescent="0.2"/>
  <cols>
    <col min="1" max="1" width="31.5" customWidth="1"/>
    <col min="2" max="2" width="24.83203125" customWidth="1"/>
    <col min="3" max="3" width="23.5" bestFit="1" customWidth="1"/>
    <col min="4" max="5" width="21.1640625" bestFit="1" customWidth="1"/>
    <col min="6" max="7" width="14.5" customWidth="1"/>
    <col min="11" max="11" width="31.5" customWidth="1"/>
    <col min="12" max="12" width="20.1640625" customWidth="1"/>
    <col min="13" max="13" width="15.1640625" customWidth="1"/>
    <col min="15" max="15" width="13.1640625" customWidth="1"/>
    <col min="16" max="18" width="22.5" customWidth="1"/>
  </cols>
  <sheetData>
    <row r="1" spans="1:14" x14ac:dyDescent="0.2">
      <c r="B1" t="s">
        <v>738</v>
      </c>
      <c r="C1" t="s">
        <v>639</v>
      </c>
    </row>
    <row r="2" spans="1:14" x14ac:dyDescent="0.2">
      <c r="B2" s="44"/>
      <c r="C2" s="2"/>
      <c r="K2" t="str" cm="1">
        <f t="array" ref="K2:N6">'Sankey Methanol_detailed'!P21:S25</f>
        <v>Corrected</v>
      </c>
      <c r="L2" t="str">
        <v>Fuel</v>
      </c>
      <c r="M2">
        <v>28.587862624213781</v>
      </c>
      <c r="N2" s="6">
        <v>0.27471012342412782</v>
      </c>
    </row>
    <row r="3" spans="1:14" x14ac:dyDescent="0.2">
      <c r="A3" t="s">
        <v>473</v>
      </c>
      <c r="B3" s="44">
        <f>'Sankey Methanol_detailed'!H33</f>
        <v>4.1946453033429387</v>
      </c>
      <c r="C3" s="2">
        <f>B3/$B$13</f>
        <v>4.1058666557715798E-2</v>
      </c>
      <c r="K3">
        <v>0</v>
      </c>
      <c r="L3" t="str">
        <v>Major Polymers</v>
      </c>
      <c r="M3" s="44">
        <v>28.851572700948026</v>
      </c>
      <c r="N3" s="6">
        <v>0.27724419981452192</v>
      </c>
    </row>
    <row r="4" spans="1:14" x14ac:dyDescent="0.2">
      <c r="A4" t="s">
        <v>472</v>
      </c>
      <c r="B4" s="44">
        <f>'Sankey Methanol_detailed'!H32</f>
        <v>3.4186359222244951</v>
      </c>
      <c r="C4" s="2">
        <f t="shared" ref="C4:C8" si="0">B4/$B$13</f>
        <v>3.3462813244538377E-2</v>
      </c>
      <c r="K4">
        <v>0</v>
      </c>
      <c r="L4" t="str">
        <v>Minor Polymers</v>
      </c>
      <c r="M4">
        <v>22.580763290736638</v>
      </c>
      <c r="N4" s="6">
        <v>0.21698594092708512</v>
      </c>
    </row>
    <row r="5" spans="1:14" x14ac:dyDescent="0.2">
      <c r="A5" t="s">
        <v>477</v>
      </c>
      <c r="B5" s="44">
        <f>'Sankey Methanol_detailed'!H45</f>
        <v>12.543192838844705</v>
      </c>
      <c r="C5" s="2">
        <f t="shared" si="0"/>
        <v>0.12277719213322204</v>
      </c>
      <c r="K5">
        <v>0</v>
      </c>
      <c r="L5" t="str">
        <v>Other</v>
      </c>
      <c r="M5" s="44">
        <v>24.045360628442481</v>
      </c>
      <c r="N5" s="6">
        <v>0.23105973583426512</v>
      </c>
    </row>
    <row r="6" spans="1:14" x14ac:dyDescent="0.2">
      <c r="A6" t="s">
        <v>480</v>
      </c>
      <c r="B6" s="44">
        <f>'Sankey Methanol_detailed'!H41</f>
        <v>1.4377868806317511</v>
      </c>
      <c r="C6" s="2">
        <f t="shared" si="0"/>
        <v>1.4073564710196195E-2</v>
      </c>
      <c r="K6">
        <v>0</v>
      </c>
      <c r="L6" t="str">
        <v>Total</v>
      </c>
      <c r="M6">
        <v>104.06555924434093</v>
      </c>
      <c r="N6" s="6">
        <v>0</v>
      </c>
    </row>
    <row r="7" spans="1:14" x14ac:dyDescent="0.2">
      <c r="A7" t="s">
        <v>474</v>
      </c>
      <c r="B7" s="44">
        <f>'Sankey Methanol_detailed'!H96</f>
        <v>0.92975435151539232</v>
      </c>
      <c r="C7" s="2">
        <f t="shared" si="0"/>
        <v>9.1007632681200691E-3</v>
      </c>
    </row>
    <row r="8" spans="1:14" x14ac:dyDescent="0.2">
      <c r="A8" t="s">
        <v>676</v>
      </c>
      <c r="B8" s="43">
        <f>'Sankey Methanol_detailed'!H95</f>
        <v>1.6735578327277063</v>
      </c>
      <c r="C8" s="23">
        <f t="shared" si="0"/>
        <v>1.6381373882616124E-2</v>
      </c>
      <c r="L8" t="s">
        <v>187</v>
      </c>
      <c r="M8" s="44">
        <f>SUMIF('Sankey Methanol_detailed'!D:D,'Demand Breakdown - Methanol'!L8,'Sankey Methanol_detailed'!H:H)</f>
        <v>28.587862624213781</v>
      </c>
    </row>
    <row r="9" spans="1:14" x14ac:dyDescent="0.2">
      <c r="A9" t="s">
        <v>478</v>
      </c>
      <c r="B9" s="44">
        <f>'Sankey Methanol_detailed'!H43</f>
        <v>0.34843866435310095</v>
      </c>
      <c r="C9" s="2">
        <f>B9/$B$13</f>
        <v>3.4106404477366094E-3</v>
      </c>
      <c r="L9" t="s">
        <v>179</v>
      </c>
      <c r="M9" s="44">
        <f>SUMIF('Sankey Methanol_detailed'!D:D,'Demand Breakdown - Methanol'!L9,'Sankey Methanol_detailed'!H:H)</f>
        <v>31.201972235932104</v>
      </c>
    </row>
    <row r="10" spans="1:14" x14ac:dyDescent="0.2">
      <c r="A10" t="s">
        <v>739</v>
      </c>
      <c r="B10" s="44">
        <f>SUM('Sankey Methanol_detailed'!H39,'Sankey Methanol_detailed'!H62,'Sankey Methanol_detailed'!H83)</f>
        <v>2.0734404578882701</v>
      </c>
      <c r="C10" s="2">
        <f>B10/$B$13</f>
        <v>2.0295565949250874E-2</v>
      </c>
      <c r="L10" t="s">
        <v>740</v>
      </c>
      <c r="M10" s="44">
        <f>SUMIF('Sankey Methanol_detailed'!D:D,'Demand Breakdown - Methanol'!L10,'Sankey Methanol_detailed'!H:H)</f>
        <v>22.580763290736638</v>
      </c>
    </row>
    <row r="11" spans="1:14" x14ac:dyDescent="0.2">
      <c r="A11" t="s">
        <v>690</v>
      </c>
      <c r="B11" s="44">
        <f>M4</f>
        <v>22.580763290736638</v>
      </c>
      <c r="C11" s="2">
        <f>B11/$B$13</f>
        <v>0.22102846928062794</v>
      </c>
      <c r="L11" t="s">
        <v>192</v>
      </c>
      <c r="M11" s="44">
        <f>M6-SUM(M8:M10)</f>
        <v>21.694961093458403</v>
      </c>
    </row>
    <row r="12" spans="1:14" x14ac:dyDescent="0.2">
      <c r="A12" t="s">
        <v>741</v>
      </c>
      <c r="B12" s="44">
        <f>SUM(B3:B11)</f>
        <v>49.200215542264999</v>
      </c>
      <c r="L12" t="s">
        <v>67</v>
      </c>
      <c r="M12" s="44">
        <f>SUM(M8:M11)</f>
        <v>104.06555924434093</v>
      </c>
    </row>
    <row r="13" spans="1:14" x14ac:dyDescent="0.2">
      <c r="A13" t="s">
        <v>742</v>
      </c>
      <c r="B13" s="511">
        <f>'Yearly Demand - Methanol'!G10</f>
        <v>102.16223893794903</v>
      </c>
    </row>
    <row r="14" spans="1:14" x14ac:dyDescent="0.2">
      <c r="A14" t="s">
        <v>366</v>
      </c>
      <c r="B14" s="511">
        <f>B12+M5+M2</f>
        <v>101.83343879492126</v>
      </c>
    </row>
    <row r="16" spans="1:14" x14ac:dyDescent="0.2">
      <c r="A16" s="1" t="s">
        <v>743</v>
      </c>
      <c r="B16" t="s">
        <v>744</v>
      </c>
      <c r="C16" t="s">
        <v>472</v>
      </c>
      <c r="D16" t="s">
        <v>477</v>
      </c>
      <c r="E16" t="s">
        <v>478</v>
      </c>
      <c r="F16" t="s">
        <v>480</v>
      </c>
      <c r="G16" t="s">
        <v>474</v>
      </c>
      <c r="H16" t="s">
        <v>745</v>
      </c>
      <c r="I16" t="s">
        <v>192</v>
      </c>
      <c r="J16" t="s">
        <v>67</v>
      </c>
    </row>
    <row r="17" spans="1:15" x14ac:dyDescent="0.2">
      <c r="A17" t="s">
        <v>309</v>
      </c>
      <c r="B17" s="41">
        <v>0.13500000000000001</v>
      </c>
      <c r="C17" s="41">
        <v>9.2999999999999999E-2</v>
      </c>
      <c r="D17" s="41">
        <v>8.2000000000000003E-2</v>
      </c>
      <c r="E17" s="41">
        <v>2.3E-2</v>
      </c>
      <c r="F17" s="41">
        <v>8.9999999999999993E-3</v>
      </c>
      <c r="G17" s="41">
        <v>0.10100000000000001</v>
      </c>
      <c r="H17" s="41">
        <v>2E-3</v>
      </c>
      <c r="I17" s="41">
        <v>1E-3</v>
      </c>
      <c r="J17" s="41">
        <f>SUM(B17:I17)</f>
        <v>0.44600000000000006</v>
      </c>
    </row>
    <row r="18" spans="1:15" x14ac:dyDescent="0.2">
      <c r="A18" t="s">
        <v>310</v>
      </c>
      <c r="B18" s="41">
        <v>1.0999999999999999E-2</v>
      </c>
      <c r="C18" s="41">
        <v>3.3000000000000002E-2</v>
      </c>
      <c r="D18" s="41">
        <v>1.2E-2</v>
      </c>
      <c r="E18" s="41">
        <v>2.1999999999999999E-2</v>
      </c>
      <c r="F18" s="41">
        <v>8.1000000000000003E-2</v>
      </c>
      <c r="G18" s="41">
        <v>0</v>
      </c>
      <c r="H18" s="41">
        <v>2.4E-2</v>
      </c>
      <c r="I18" s="41">
        <v>5.0000000000000001E-3</v>
      </c>
      <c r="J18" s="41">
        <f t="shared" ref="J18:J22" si="1">SUM(B18:I18)</f>
        <v>0.18799999999999997</v>
      </c>
    </row>
    <row r="19" spans="1:15" x14ac:dyDescent="0.2">
      <c r="A19" t="s">
        <v>311</v>
      </c>
      <c r="B19" s="41">
        <v>1E-3</v>
      </c>
      <c r="C19" s="41">
        <v>8.0000000000000002E-3</v>
      </c>
      <c r="D19" s="41">
        <v>2.5999999999999999E-2</v>
      </c>
      <c r="E19" s="41">
        <v>0</v>
      </c>
      <c r="F19" s="41">
        <v>3.0000000000000001E-3</v>
      </c>
      <c r="G19" s="41">
        <v>0</v>
      </c>
      <c r="H19" s="41">
        <v>1.6E-2</v>
      </c>
      <c r="I19" s="41">
        <v>1.4E-2</v>
      </c>
      <c r="J19" s="41">
        <f t="shared" si="1"/>
        <v>6.8000000000000005E-2</v>
      </c>
    </row>
    <row r="20" spans="1:15" x14ac:dyDescent="0.2">
      <c r="A20" t="s">
        <v>312</v>
      </c>
      <c r="B20" s="41">
        <v>5.0000000000000001E-3</v>
      </c>
      <c r="C20" s="41">
        <v>2E-3</v>
      </c>
      <c r="D20" s="41">
        <v>8.9999999999999993E-3</v>
      </c>
      <c r="E20" s="41">
        <v>6.0000000000000001E-3</v>
      </c>
      <c r="F20" s="41">
        <v>4.0000000000000001E-3</v>
      </c>
      <c r="G20" s="41">
        <v>0</v>
      </c>
      <c r="H20" s="41">
        <v>4.0000000000000001E-3</v>
      </c>
      <c r="I20" s="41">
        <v>0.01</v>
      </c>
      <c r="J20" s="41">
        <f t="shared" si="1"/>
        <v>0.04</v>
      </c>
    </row>
    <row r="21" spans="1:15" x14ac:dyDescent="0.2">
      <c r="A21" t="s">
        <v>746</v>
      </c>
      <c r="B21" s="41">
        <v>2.9000000000000001E-2</v>
      </c>
      <c r="C21" s="41">
        <v>1.7000000000000001E-2</v>
      </c>
      <c r="D21" s="41">
        <v>3.7999999999999999E-2</v>
      </c>
      <c r="E21" s="41">
        <v>1.7999999999999999E-2</v>
      </c>
      <c r="F21" s="41">
        <v>6.0000000000000001E-3</v>
      </c>
      <c r="G21" s="41">
        <v>0</v>
      </c>
      <c r="H21" s="41">
        <v>0.01</v>
      </c>
      <c r="I21" s="41">
        <v>2E-3</v>
      </c>
      <c r="J21" s="41">
        <f t="shared" si="1"/>
        <v>0.12</v>
      </c>
    </row>
    <row r="22" spans="1:15" x14ac:dyDescent="0.2">
      <c r="A22" t="s">
        <v>248</v>
      </c>
      <c r="B22" s="41">
        <v>1.9000000000000003E-2</v>
      </c>
      <c r="C22" s="41">
        <v>9.9999999999999985E-3</v>
      </c>
      <c r="D22" s="41">
        <v>4.4000000000000004E-2</v>
      </c>
      <c r="E22" s="41">
        <v>7.0000000000000001E-3</v>
      </c>
      <c r="F22" s="41">
        <v>1.4E-2</v>
      </c>
      <c r="G22" s="41">
        <v>0</v>
      </c>
      <c r="H22" s="41">
        <v>2.8000000000000001E-2</v>
      </c>
      <c r="I22" s="41">
        <v>1.6E-2</v>
      </c>
      <c r="J22" s="41">
        <f t="shared" si="1"/>
        <v>0.13800000000000001</v>
      </c>
    </row>
    <row r="23" spans="1:15" x14ac:dyDescent="0.2">
      <c r="A23" t="s">
        <v>364</v>
      </c>
      <c r="B23" s="41">
        <f>SUM(B17:B22)</f>
        <v>0.2</v>
      </c>
      <c r="C23" s="41">
        <f t="shared" ref="C23:I23" si="2">SUM(C17:C22)</f>
        <v>0.16300000000000003</v>
      </c>
      <c r="D23" s="41">
        <f t="shared" si="2"/>
        <v>0.21100000000000002</v>
      </c>
      <c r="E23" s="41">
        <f t="shared" si="2"/>
        <v>7.5999999999999998E-2</v>
      </c>
      <c r="F23" s="41">
        <f t="shared" si="2"/>
        <v>0.11700000000000001</v>
      </c>
      <c r="G23" s="41">
        <f t="shared" si="2"/>
        <v>0.10100000000000001</v>
      </c>
      <c r="H23" s="41">
        <f t="shared" si="2"/>
        <v>8.4000000000000005E-2</v>
      </c>
      <c r="I23" s="41">
        <f t="shared" si="2"/>
        <v>4.8000000000000001E-2</v>
      </c>
      <c r="J23" s="41">
        <f>SUM(B23:I23)</f>
        <v>1</v>
      </c>
    </row>
    <row r="25" spans="1:15" x14ac:dyDescent="0.2">
      <c r="O25" s="6"/>
    </row>
    <row r="26" spans="1:15" x14ac:dyDescent="0.2">
      <c r="A26" s="1" t="s">
        <v>586</v>
      </c>
      <c r="B26" t="s">
        <v>744</v>
      </c>
      <c r="C26" t="s">
        <v>472</v>
      </c>
      <c r="D26" t="s">
        <v>477</v>
      </c>
      <c r="E26" t="s">
        <v>478</v>
      </c>
      <c r="F26" t="s">
        <v>480</v>
      </c>
      <c r="G26" t="s">
        <v>474</v>
      </c>
      <c r="H26" t="s">
        <v>745</v>
      </c>
      <c r="I26" t="s">
        <v>192</v>
      </c>
      <c r="O26" s="6"/>
    </row>
    <row r="27" spans="1:15" x14ac:dyDescent="0.2">
      <c r="A27" t="s">
        <v>309</v>
      </c>
      <c r="B27" s="6">
        <f>B17/B$23</f>
        <v>0.67500000000000004</v>
      </c>
      <c r="C27" s="6">
        <f t="shared" ref="B27:I33" si="3">C17/C$23</f>
        <v>0.57055214723926373</v>
      </c>
      <c r="D27" s="6">
        <f t="shared" si="3"/>
        <v>0.38862559241706157</v>
      </c>
      <c r="E27" s="6">
        <f t="shared" si="3"/>
        <v>0.30263157894736842</v>
      </c>
      <c r="F27" s="6">
        <f t="shared" si="3"/>
        <v>7.6923076923076913E-2</v>
      </c>
      <c r="G27" s="6">
        <f t="shared" si="3"/>
        <v>1</v>
      </c>
      <c r="H27" s="6">
        <f t="shared" si="3"/>
        <v>2.3809523809523808E-2</v>
      </c>
      <c r="I27" s="6">
        <f t="shared" si="3"/>
        <v>2.0833333333333332E-2</v>
      </c>
      <c r="O27" s="6"/>
    </row>
    <row r="28" spans="1:15" x14ac:dyDescent="0.2">
      <c r="A28" t="s">
        <v>310</v>
      </c>
      <c r="B28" s="6">
        <f t="shared" si="3"/>
        <v>5.4999999999999993E-2</v>
      </c>
      <c r="C28" s="6">
        <f>C18/C$23</f>
        <v>0.20245398773006132</v>
      </c>
      <c r="D28" s="6">
        <f t="shared" si="3"/>
        <v>5.6872037914691941E-2</v>
      </c>
      <c r="E28" s="6">
        <f t="shared" si="3"/>
        <v>0.28947368421052633</v>
      </c>
      <c r="F28" s="6">
        <f t="shared" si="3"/>
        <v>0.69230769230769229</v>
      </c>
      <c r="G28" s="6">
        <f t="shared" si="3"/>
        <v>0</v>
      </c>
      <c r="H28" s="6">
        <f t="shared" si="3"/>
        <v>0.2857142857142857</v>
      </c>
      <c r="I28" s="6">
        <f t="shared" si="3"/>
        <v>0.10416666666666667</v>
      </c>
      <c r="O28" s="6"/>
    </row>
    <row r="29" spans="1:15" x14ac:dyDescent="0.2">
      <c r="A29" t="s">
        <v>370</v>
      </c>
      <c r="B29" s="6">
        <f>B19/B$23</f>
        <v>5.0000000000000001E-3</v>
      </c>
      <c r="C29" s="6">
        <f t="shared" si="3"/>
        <v>4.9079754601226988E-2</v>
      </c>
      <c r="D29" s="6">
        <f t="shared" si="3"/>
        <v>0.12322274881516586</v>
      </c>
      <c r="E29" s="6">
        <f t="shared" si="3"/>
        <v>0</v>
      </c>
      <c r="F29" s="6">
        <f t="shared" si="3"/>
        <v>2.564102564102564E-2</v>
      </c>
      <c r="G29" s="6">
        <f t="shared" si="3"/>
        <v>0</v>
      </c>
      <c r="H29" s="6">
        <f t="shared" si="3"/>
        <v>0.19047619047619047</v>
      </c>
      <c r="I29" s="6">
        <f t="shared" si="3"/>
        <v>0.29166666666666669</v>
      </c>
      <c r="O29" s="6"/>
    </row>
    <row r="30" spans="1:15" x14ac:dyDescent="0.2">
      <c r="A30" t="s">
        <v>312</v>
      </c>
      <c r="B30" s="6">
        <f t="shared" si="3"/>
        <v>2.4999999999999998E-2</v>
      </c>
      <c r="C30" s="6">
        <f t="shared" si="3"/>
        <v>1.2269938650306747E-2</v>
      </c>
      <c r="D30" s="6">
        <f t="shared" si="3"/>
        <v>4.2654028436018947E-2</v>
      </c>
      <c r="E30" s="6">
        <f t="shared" si="3"/>
        <v>7.8947368421052641E-2</v>
      </c>
      <c r="F30" s="6">
        <f t="shared" si="3"/>
        <v>3.4188034188034185E-2</v>
      </c>
      <c r="G30" s="6">
        <f t="shared" si="3"/>
        <v>0</v>
      </c>
      <c r="H30" s="6">
        <f t="shared" si="3"/>
        <v>4.7619047619047616E-2</v>
      </c>
      <c r="I30" s="6">
        <f t="shared" si="3"/>
        <v>0.20833333333333334</v>
      </c>
      <c r="O30" s="6"/>
    </row>
    <row r="31" spans="1:15" x14ac:dyDescent="0.2">
      <c r="A31" t="s">
        <v>313</v>
      </c>
      <c r="B31" s="6">
        <f t="shared" si="3"/>
        <v>0.14499999999999999</v>
      </c>
      <c r="C31" s="6">
        <f t="shared" si="3"/>
        <v>0.10429447852760734</v>
      </c>
      <c r="D31" s="6">
        <f t="shared" si="3"/>
        <v>0.18009478672985779</v>
      </c>
      <c r="E31" s="6">
        <f t="shared" si="3"/>
        <v>0.23684210526315788</v>
      </c>
      <c r="F31" s="6">
        <f t="shared" si="3"/>
        <v>5.128205128205128E-2</v>
      </c>
      <c r="G31" s="6">
        <f t="shared" si="3"/>
        <v>0</v>
      </c>
      <c r="H31" s="6">
        <f t="shared" si="3"/>
        <v>0.11904761904761904</v>
      </c>
      <c r="I31" s="6">
        <f t="shared" si="3"/>
        <v>4.1666666666666664E-2</v>
      </c>
      <c r="O31" s="6"/>
    </row>
    <row r="32" spans="1:15" x14ac:dyDescent="0.2">
      <c r="A32" t="s">
        <v>248</v>
      </c>
      <c r="B32" s="6">
        <f t="shared" si="3"/>
        <v>9.5000000000000015E-2</v>
      </c>
      <c r="C32" s="6">
        <f t="shared" si="3"/>
        <v>6.1349693251533721E-2</v>
      </c>
      <c r="D32" s="6">
        <f t="shared" si="3"/>
        <v>0.20853080568720378</v>
      </c>
      <c r="E32" s="6">
        <f t="shared" si="3"/>
        <v>9.2105263157894746E-2</v>
      </c>
      <c r="F32" s="6">
        <f t="shared" si="3"/>
        <v>0.11965811965811965</v>
      </c>
      <c r="G32" s="6">
        <f t="shared" si="3"/>
        <v>0</v>
      </c>
      <c r="H32" s="6">
        <f t="shared" si="3"/>
        <v>0.33333333333333331</v>
      </c>
      <c r="I32" s="6">
        <f t="shared" si="3"/>
        <v>0.33333333333333331</v>
      </c>
    </row>
    <row r="33" spans="1:25" x14ac:dyDescent="0.2">
      <c r="A33" t="s">
        <v>67</v>
      </c>
      <c r="B33" s="6">
        <f t="shared" si="3"/>
        <v>1</v>
      </c>
      <c r="C33" s="6">
        <f t="shared" si="3"/>
        <v>1</v>
      </c>
      <c r="D33" s="6">
        <f t="shared" si="3"/>
        <v>1</v>
      </c>
      <c r="E33" s="6">
        <f t="shared" si="3"/>
        <v>1</v>
      </c>
      <c r="F33" s="6">
        <f t="shared" si="3"/>
        <v>1</v>
      </c>
      <c r="G33" s="6">
        <f t="shared" si="3"/>
        <v>1</v>
      </c>
      <c r="H33" s="6">
        <f t="shared" si="3"/>
        <v>1</v>
      </c>
      <c r="I33" s="6">
        <f t="shared" si="3"/>
        <v>1</v>
      </c>
    </row>
    <row r="35" spans="1:25" ht="16" thickBot="1" x14ac:dyDescent="0.25"/>
    <row r="36" spans="1:25" x14ac:dyDescent="0.2">
      <c r="A36" s="1" t="s">
        <v>747</v>
      </c>
      <c r="B36" t="s">
        <v>744</v>
      </c>
      <c r="C36" t="s">
        <v>472</v>
      </c>
      <c r="D36" t="s">
        <v>477</v>
      </c>
      <c r="E36" t="s">
        <v>478</v>
      </c>
      <c r="F36" t="s">
        <v>480</v>
      </c>
      <c r="G36" t="s">
        <v>474</v>
      </c>
      <c r="H36" t="s">
        <v>676</v>
      </c>
      <c r="I36" t="s">
        <v>745</v>
      </c>
      <c r="J36" t="s">
        <v>248</v>
      </c>
      <c r="K36" s="1" t="s">
        <v>67</v>
      </c>
      <c r="L36" s="34" t="s">
        <v>748</v>
      </c>
      <c r="M36" s="37" t="s">
        <v>603</v>
      </c>
      <c r="N36" s="37" t="s">
        <v>46</v>
      </c>
      <c r="O36" s="92" t="s">
        <v>604</v>
      </c>
      <c r="P36" s="95" t="s">
        <v>67</v>
      </c>
      <c r="Q36" s="92"/>
      <c r="R36" s="95"/>
      <c r="T36" s="162" t="s">
        <v>693</v>
      </c>
      <c r="Y36" s="1" t="s">
        <v>694</v>
      </c>
    </row>
    <row r="37" spans="1:25" x14ac:dyDescent="0.2">
      <c r="A37" t="s">
        <v>309</v>
      </c>
      <c r="B37" s="2">
        <f>C$3*B27</f>
        <v>2.7714599926458167E-2</v>
      </c>
      <c r="C37" s="2">
        <f>C$4*C27</f>
        <v>1.9092279949337845E-2</v>
      </c>
      <c r="D37" s="2">
        <f>C$5*D27</f>
        <v>4.7714359028076803E-2</v>
      </c>
      <c r="E37" s="2">
        <f>C$9*E27</f>
        <v>1.0321675039202897E-3</v>
      </c>
      <c r="F37" s="2">
        <f>C$6*F27</f>
        <v>1.0825819007843226E-3</v>
      </c>
      <c r="G37" s="2">
        <f>C$7*G27</f>
        <v>9.1007632681200691E-3</v>
      </c>
      <c r="H37" s="214">
        <v>0</v>
      </c>
      <c r="I37" s="23">
        <f>C$10*H27</f>
        <v>4.8322776069644933E-4</v>
      </c>
      <c r="J37" s="169">
        <f>C$11*I27</f>
        <v>4.6047597766797482E-3</v>
      </c>
      <c r="K37" s="118">
        <f t="shared" ref="K37:K43" si="4">SUM(B37:J37)</f>
        <v>0.1108247391140737</v>
      </c>
      <c r="L37" s="510">
        <f>SUM(B37:J37)</f>
        <v>0.1108247391140737</v>
      </c>
      <c r="M37" s="505">
        <f t="shared" ref="M37:M44" si="5">L37*$B$13</f>
        <v>11.322103477607863</v>
      </c>
      <c r="N37" s="161">
        <v>1.4E-2</v>
      </c>
      <c r="O37" s="513">
        <f>M37*(1+N37)^30</f>
        <v>17.18168567439232</v>
      </c>
      <c r="P37" s="96">
        <f>O37/$O$46</f>
        <v>9.4404866342814947E-2</v>
      </c>
      <c r="Q37" s="513"/>
      <c r="R37" s="96"/>
      <c r="T37" s="54" t="s">
        <v>695</v>
      </c>
    </row>
    <row r="38" spans="1:25" x14ac:dyDescent="0.2">
      <c r="A38" t="s">
        <v>310</v>
      </c>
      <c r="B38" s="2">
        <f t="shared" ref="B38:B41" si="6">C$3*B28</f>
        <v>2.2582266606743684E-3</v>
      </c>
      <c r="C38" s="2">
        <f t="shared" ref="C38:C41" si="7">C$4*C28</f>
        <v>6.7746799820231057E-3</v>
      </c>
      <c r="D38" s="2">
        <f t="shared" ref="D38:D41" si="8">C$5*D28</f>
        <v>6.9825891260600209E-3</v>
      </c>
      <c r="E38" s="2">
        <f t="shared" ref="E38:E41" si="9">C$9*E28</f>
        <v>9.8729065592375546E-4</v>
      </c>
      <c r="F38" s="2">
        <f t="shared" ref="F38:F41" si="10">C$6*F28</f>
        <v>9.7432371070589035E-3</v>
      </c>
      <c r="G38" s="2">
        <f t="shared" ref="G38:G41" si="11">C$7*G28</f>
        <v>0</v>
      </c>
      <c r="H38" s="286">
        <f>$C$8*0.25</f>
        <v>4.0953434706540309E-3</v>
      </c>
      <c r="I38" s="23">
        <f t="shared" ref="I38:I41" si="12">C$10*H28</f>
        <v>5.7987331283573919E-3</v>
      </c>
      <c r="J38" s="169">
        <f t="shared" ref="J38:J41" si="13">C$11*I28</f>
        <v>2.3023798883398745E-2</v>
      </c>
      <c r="K38" s="118">
        <f t="shared" si="4"/>
        <v>5.9663899014150326E-2</v>
      </c>
      <c r="L38" s="510">
        <f t="shared" ref="L38:L43" si="14">SUM(B38:J38)</f>
        <v>5.9663899014150326E-2</v>
      </c>
      <c r="M38" s="505">
        <f t="shared" si="5"/>
        <v>6.0953975070532866</v>
      </c>
      <c r="N38" s="161">
        <v>1.7000000000000001E-2</v>
      </c>
      <c r="O38" s="93">
        <f>M38*(1+N38)^30</f>
        <v>10.107194442916541</v>
      </c>
      <c r="P38" s="96">
        <f t="shared" ref="P38:P45" si="15">O38/$O$46</f>
        <v>5.5534035400640336E-2</v>
      </c>
      <c r="Q38" s="93"/>
      <c r="R38" s="96"/>
      <c r="T38" s="54" t="s">
        <v>696</v>
      </c>
      <c r="Y38" s="176" t="s">
        <v>697</v>
      </c>
    </row>
    <row r="39" spans="1:25" x14ac:dyDescent="0.2">
      <c r="A39" t="s">
        <v>749</v>
      </c>
      <c r="B39" s="2">
        <f t="shared" si="6"/>
        <v>2.05293332788579E-4</v>
      </c>
      <c r="C39" s="2">
        <f t="shared" si="7"/>
        <v>1.6423466623086318E-3</v>
      </c>
      <c r="D39" s="2">
        <f t="shared" si="8"/>
        <v>1.5128943106463377E-2</v>
      </c>
      <c r="E39" s="2">
        <f t="shared" si="9"/>
        <v>0</v>
      </c>
      <c r="F39" s="2">
        <f t="shared" si="10"/>
        <v>3.6086063359477421E-4</v>
      </c>
      <c r="G39" s="2">
        <f t="shared" si="11"/>
        <v>0</v>
      </c>
      <c r="H39" s="286">
        <f>0</f>
        <v>0</v>
      </c>
      <c r="I39" s="23">
        <f t="shared" si="12"/>
        <v>3.8658220855715946E-3</v>
      </c>
      <c r="J39" s="169">
        <f t="shared" si="13"/>
        <v>6.4466636873516489E-2</v>
      </c>
      <c r="K39" s="118">
        <f t="shared" si="4"/>
        <v>8.5669902694243447E-2</v>
      </c>
      <c r="L39" s="510">
        <f t="shared" si="14"/>
        <v>8.5669902694243447E-2</v>
      </c>
      <c r="M39" s="505">
        <f t="shared" si="5"/>
        <v>8.7522290688401423</v>
      </c>
      <c r="N39" s="161">
        <v>1.7000000000000001E-2</v>
      </c>
      <c r="O39" s="93">
        <f>M39*(1+N39)^30</f>
        <v>14.512668108249164</v>
      </c>
      <c r="P39" s="96">
        <f t="shared" si="15"/>
        <v>7.9739934660709694E-2</v>
      </c>
      <c r="Q39" s="93"/>
      <c r="R39" s="96"/>
      <c r="T39" s="54" t="s">
        <v>696</v>
      </c>
    </row>
    <row r="40" spans="1:25" x14ac:dyDescent="0.2">
      <c r="A40" t="s">
        <v>312</v>
      </c>
      <c r="B40" s="2">
        <f t="shared" si="6"/>
        <v>1.0264666639428948E-3</v>
      </c>
      <c r="C40" s="2">
        <f t="shared" si="7"/>
        <v>4.1058666557715795E-4</v>
      </c>
      <c r="D40" s="2">
        <f t="shared" si="8"/>
        <v>5.2369418445450148E-3</v>
      </c>
      <c r="E40" s="2">
        <f t="shared" si="9"/>
        <v>2.6926108797920603E-4</v>
      </c>
      <c r="F40" s="2">
        <f t="shared" si="10"/>
        <v>4.8114751145969894E-4</v>
      </c>
      <c r="G40" s="2">
        <f t="shared" si="11"/>
        <v>0</v>
      </c>
      <c r="H40" s="286">
        <v>0</v>
      </c>
      <c r="I40" s="23">
        <f t="shared" si="12"/>
        <v>9.6645552139289865E-4</v>
      </c>
      <c r="J40" s="169">
        <f t="shared" si="13"/>
        <v>4.6047597766797489E-2</v>
      </c>
      <c r="K40" s="118">
        <f t="shared" si="4"/>
        <v>5.4438457061694361E-2</v>
      </c>
      <c r="L40" s="510">
        <f t="shared" si="14"/>
        <v>5.4438457061694361E-2</v>
      </c>
      <c r="M40" s="505">
        <f t="shared" si="5"/>
        <v>5.5615546577500981</v>
      </c>
      <c r="N40" s="40">
        <f>(O40/M40)^(1/30)-1</f>
        <v>1.7305491798247807E-2</v>
      </c>
      <c r="O40" s="93">
        <f>($O$46-$O$37-$O$38-$O$39-$O$41-$O$42-$O$44-$O$45)*(L40/SUM(L40,L43))</f>
        <v>9.3054607024316347</v>
      </c>
      <c r="P40" s="96">
        <f t="shared" si="15"/>
        <v>5.1128904958415572E-2</v>
      </c>
      <c r="Q40" s="93"/>
      <c r="R40" s="96"/>
      <c r="T40" s="54" t="s">
        <v>698</v>
      </c>
    </row>
    <row r="41" spans="1:25" x14ac:dyDescent="0.2">
      <c r="A41" t="s">
        <v>313</v>
      </c>
      <c r="B41" s="2">
        <f t="shared" si="6"/>
        <v>5.9535066508687902E-3</v>
      </c>
      <c r="C41" s="2">
        <f t="shared" si="7"/>
        <v>3.4899866574058425E-3</v>
      </c>
      <c r="D41" s="2">
        <f t="shared" si="8"/>
        <v>2.2111532232523396E-2</v>
      </c>
      <c r="E41" s="2">
        <f t="shared" si="9"/>
        <v>8.0778326393761803E-4</v>
      </c>
      <c r="F41" s="2">
        <f t="shared" si="10"/>
        <v>7.2172126718954841E-4</v>
      </c>
      <c r="G41" s="2">
        <f t="shared" si="11"/>
        <v>0</v>
      </c>
      <c r="H41" s="286">
        <v>0</v>
      </c>
      <c r="I41" s="23">
        <f t="shared" si="12"/>
        <v>2.4161388034822468E-3</v>
      </c>
      <c r="J41" s="169">
        <f t="shared" si="13"/>
        <v>9.2095195533594965E-3</v>
      </c>
      <c r="K41" s="118">
        <f t="shared" si="4"/>
        <v>4.4710188428766943E-2</v>
      </c>
      <c r="L41" s="510">
        <f t="shared" si="14"/>
        <v>4.4710188428766943E-2</v>
      </c>
      <c r="M41" s="505">
        <f t="shared" si="5"/>
        <v>4.567692953220412</v>
      </c>
      <c r="N41" s="40">
        <v>1.4E-2</v>
      </c>
      <c r="O41" s="513">
        <f>M41*(1+N41)^30</f>
        <v>6.9316328661528281</v>
      </c>
      <c r="P41" s="96">
        <f t="shared" si="15"/>
        <v>3.8085894868971584E-2</v>
      </c>
      <c r="Q41" s="513"/>
      <c r="R41" s="96"/>
      <c r="T41" s="54" t="s">
        <v>695</v>
      </c>
      <c r="Y41" s="176"/>
    </row>
    <row r="42" spans="1:25" x14ac:dyDescent="0.2">
      <c r="A42" t="s">
        <v>320</v>
      </c>
      <c r="B42" s="56">
        <v>0</v>
      </c>
      <c r="C42" s="56">
        <v>0</v>
      </c>
      <c r="D42" s="56">
        <v>0</v>
      </c>
      <c r="E42" s="56">
        <v>0</v>
      </c>
      <c r="F42" s="56">
        <v>0</v>
      </c>
      <c r="G42" s="56">
        <v>0</v>
      </c>
      <c r="H42" s="286">
        <f>$C$8*0.5</f>
        <v>8.1906869413080619E-3</v>
      </c>
      <c r="I42" s="56">
        <v>0</v>
      </c>
      <c r="J42" s="56">
        <v>0</v>
      </c>
      <c r="K42" s="118">
        <f t="shared" si="4"/>
        <v>8.1906869413080619E-3</v>
      </c>
      <c r="L42" s="510">
        <f t="shared" si="14"/>
        <v>8.1906869413080619E-3</v>
      </c>
      <c r="M42" s="505">
        <f t="shared" si="5"/>
        <v>0.83677891636385304</v>
      </c>
      <c r="N42" s="161">
        <v>2.1000000000000001E-2</v>
      </c>
      <c r="O42" s="93">
        <f>M42*(1+N42)^30</f>
        <v>1.5609284335428819</v>
      </c>
      <c r="P42" s="96">
        <f t="shared" si="15"/>
        <v>8.5765298546312194E-3</v>
      </c>
      <c r="Q42" s="93"/>
      <c r="R42" s="96"/>
      <c r="T42" s="54" t="s">
        <v>698</v>
      </c>
      <c r="Y42" s="176" t="s">
        <v>699</v>
      </c>
    </row>
    <row r="43" spans="1:25" x14ac:dyDescent="0.2">
      <c r="A43" t="s">
        <v>750</v>
      </c>
      <c r="B43" s="2">
        <f>C$3*B32</f>
        <v>3.9005733229830015E-3</v>
      </c>
      <c r="C43" s="2">
        <f>C$4*C32</f>
        <v>2.0529333278857891E-3</v>
      </c>
      <c r="D43" s="2">
        <f>C$5*D32</f>
        <v>2.560282679555341E-2</v>
      </c>
      <c r="E43" s="2">
        <f>C$9*E32</f>
        <v>3.1413793597574036E-4</v>
      </c>
      <c r="F43" s="2">
        <f>C$6*F32</f>
        <v>1.6840162901089464E-3</v>
      </c>
      <c r="G43" s="2">
        <f>C$7*G32</f>
        <v>0</v>
      </c>
      <c r="H43" s="286">
        <f>$C$8*0.25</f>
        <v>4.0953434706540309E-3</v>
      </c>
      <c r="I43" s="23">
        <f>C$10*H32</f>
        <v>6.765188649750291E-3</v>
      </c>
      <c r="J43" s="169">
        <f>C$11*I32</f>
        <v>7.3676156426875972E-2</v>
      </c>
      <c r="K43" s="118">
        <f t="shared" si="4"/>
        <v>0.11809117621978718</v>
      </c>
      <c r="L43" s="510">
        <f t="shared" si="14"/>
        <v>0.11809117621978718</v>
      </c>
      <c r="M43" s="505">
        <f t="shared" si="5"/>
        <v>12.064458961429342</v>
      </c>
      <c r="N43" s="40">
        <f>(O43/M43)^(1/30)-1</f>
        <v>1.7305491798247807E-2</v>
      </c>
      <c r="O43" s="93">
        <f>($O$46-$O$37-$O$38-$O$39-$O$41-$O$42-$O$44-$O$45)*(L43/SUM(L40,L43))</f>
        <v>20.185965196842343</v>
      </c>
      <c r="P43" s="96">
        <f t="shared" si="15"/>
        <v>0.11091189668594693</v>
      </c>
      <c r="Q43" s="93"/>
      <c r="R43" s="96"/>
      <c r="T43" s="54" t="s">
        <v>700</v>
      </c>
      <c r="Y43" s="176" t="s">
        <v>701</v>
      </c>
    </row>
    <row r="44" spans="1:25" x14ac:dyDescent="0.2">
      <c r="A44" t="s">
        <v>751</v>
      </c>
      <c r="B44" s="2"/>
      <c r="C44" s="2"/>
      <c r="D44" s="2"/>
      <c r="E44" s="2"/>
      <c r="F44" s="2"/>
      <c r="G44" s="2"/>
      <c r="I44" s="2"/>
      <c r="J44" s="169"/>
      <c r="K44" s="118"/>
      <c r="L44" s="510">
        <f>N2</f>
        <v>0.27471012342412782</v>
      </c>
      <c r="M44" s="505">
        <f t="shared" si="5"/>
        <v>28.065001267929215</v>
      </c>
      <c r="N44" s="498">
        <v>2.3E-2</v>
      </c>
      <c r="O44" s="513">
        <f t="shared" ref="O44:O45" si="16">M44*(1+N44)^30</f>
        <v>55.518033874995439</v>
      </c>
      <c r="P44" s="96">
        <f t="shared" si="15"/>
        <v>0.30504414217030462</v>
      </c>
      <c r="Q44" s="513"/>
      <c r="R44" s="96"/>
    </row>
    <row r="45" spans="1:25" x14ac:dyDescent="0.2">
      <c r="A45" t="s">
        <v>752</v>
      </c>
      <c r="B45" s="2"/>
      <c r="C45" s="2"/>
      <c r="D45" s="2"/>
      <c r="E45" s="2"/>
      <c r="F45" s="2"/>
      <c r="G45" s="2"/>
      <c r="I45" s="2"/>
      <c r="J45" s="169"/>
      <c r="K45" s="118"/>
      <c r="L45" s="510">
        <f>N5</f>
        <v>0.23105973583426512</v>
      </c>
      <c r="M45" s="505">
        <f>L45*$B$13</f>
        <v>23.605579941239576</v>
      </c>
      <c r="N45" s="498">
        <v>2.3E-2</v>
      </c>
      <c r="O45" s="93">
        <f t="shared" si="16"/>
        <v>46.696430700476853</v>
      </c>
      <c r="P45" s="96">
        <f t="shared" si="15"/>
        <v>0.25657379505756511</v>
      </c>
      <c r="Q45" s="93"/>
      <c r="R45" s="96"/>
    </row>
    <row r="46" spans="1:25" ht="16" thickBot="1" x14ac:dyDescent="0.25">
      <c r="A46" s="32" t="s">
        <v>67</v>
      </c>
      <c r="B46" s="287">
        <f t="shared" ref="B46:G46" si="17">SUM(B37:B43)</f>
        <v>4.1058666557715798E-2</v>
      </c>
      <c r="C46" s="287">
        <f t="shared" si="17"/>
        <v>3.346281324453837E-2</v>
      </c>
      <c r="D46" s="287">
        <f t="shared" si="17"/>
        <v>0.12277719213322201</v>
      </c>
      <c r="E46" s="287">
        <f t="shared" si="17"/>
        <v>3.4106404477366099E-3</v>
      </c>
      <c r="F46" s="287">
        <f t="shared" si="17"/>
        <v>1.4073564710196194E-2</v>
      </c>
      <c r="G46" s="287">
        <f t="shared" si="17"/>
        <v>9.1007632681200691E-3</v>
      </c>
      <c r="H46" s="287">
        <f>SUM(H37:H43)</f>
        <v>1.6381373882616124E-2</v>
      </c>
      <c r="I46" s="287">
        <f>SUM(I37:I43)</f>
        <v>2.0295565949250874E-2</v>
      </c>
      <c r="J46" s="287">
        <f>SUM(J37:J43)</f>
        <v>0.22102846928062794</v>
      </c>
      <c r="L46" s="506">
        <f>SUM(L37:L45)</f>
        <v>0.98735890873241694</v>
      </c>
      <c r="M46" s="507">
        <f>SUM(M37:M45)</f>
        <v>100.8707967514338</v>
      </c>
      <c r="N46" s="42">
        <f>(O46/M46)^(1/30)-1</f>
        <v>1.9866980626634057E-2</v>
      </c>
      <c r="O46" s="508">
        <f>'Yearly Demand - Methanol'!N2</f>
        <v>182</v>
      </c>
      <c r="P46" s="509">
        <f>SUM(P37:P45)</f>
        <v>1</v>
      </c>
      <c r="Q46" s="508"/>
      <c r="R46" s="509"/>
    </row>
    <row r="47" spans="1:25" ht="16" thickTop="1" x14ac:dyDescent="0.2">
      <c r="N47" s="280" t="s">
        <v>753</v>
      </c>
    </row>
    <row r="48" spans="1:25" x14ac:dyDescent="0.2">
      <c r="O48" s="44">
        <f>SUM(O37:O45)</f>
        <v>182</v>
      </c>
    </row>
    <row r="49" spans="1:15" x14ac:dyDescent="0.2">
      <c r="B49" s="499"/>
      <c r="C49" s="499"/>
      <c r="D49" s="499"/>
      <c r="E49" s="499"/>
      <c r="F49" s="499"/>
      <c r="G49" s="499"/>
      <c r="H49" s="499"/>
      <c r="I49" s="499"/>
      <c r="J49" s="8"/>
      <c r="K49" s="8"/>
      <c r="L49" s="163"/>
      <c r="M49" s="294"/>
      <c r="N49" s="163"/>
      <c r="O49" s="8"/>
    </row>
    <row r="50" spans="1:15" x14ac:dyDescent="0.2">
      <c r="B50" s="499"/>
      <c r="C50" s="499"/>
      <c r="D50" s="499"/>
      <c r="E50" s="499"/>
      <c r="F50" s="499"/>
      <c r="G50" s="499"/>
      <c r="H50" s="499"/>
      <c r="I50" s="499"/>
      <c r="J50" s="8"/>
      <c r="K50" s="8"/>
      <c r="L50" s="163"/>
      <c r="M50" s="294"/>
      <c r="N50" s="163"/>
      <c r="O50" s="8"/>
    </row>
    <row r="51" spans="1:15" x14ac:dyDescent="0.2">
      <c r="B51" s="499"/>
      <c r="C51" s="499"/>
      <c r="D51" s="499"/>
      <c r="E51" s="499"/>
      <c r="F51" s="499"/>
      <c r="G51" s="499"/>
      <c r="H51" s="499"/>
      <c r="I51" s="499"/>
      <c r="J51" s="8"/>
      <c r="K51" s="8"/>
      <c r="L51" s="163"/>
      <c r="M51" s="294"/>
      <c r="N51" s="163"/>
      <c r="O51" s="8"/>
    </row>
    <row r="52" spans="1:15" x14ac:dyDescent="0.2">
      <c r="B52" s="499"/>
      <c r="C52" s="499"/>
      <c r="D52" s="499"/>
      <c r="E52" s="499"/>
      <c r="F52" s="499"/>
      <c r="G52" s="499"/>
      <c r="H52" s="499"/>
      <c r="I52" s="499"/>
      <c r="J52" s="8"/>
      <c r="K52" s="8"/>
      <c r="L52" s="163"/>
      <c r="M52" s="164"/>
      <c r="N52" s="163"/>
      <c r="O52" s="8"/>
    </row>
    <row r="53" spans="1:15" x14ac:dyDescent="0.2">
      <c r="B53" s="499"/>
      <c r="C53" s="499"/>
      <c r="D53" s="499"/>
      <c r="E53" s="499"/>
      <c r="F53" s="499"/>
      <c r="G53" s="499"/>
      <c r="H53" s="499"/>
      <c r="I53" s="499"/>
      <c r="J53" s="8"/>
      <c r="K53" s="8"/>
      <c r="L53" s="163"/>
      <c r="M53" s="164"/>
      <c r="N53" s="163"/>
      <c r="O53" s="8"/>
    </row>
    <row r="54" spans="1:15" x14ac:dyDescent="0.2">
      <c r="B54" s="499"/>
      <c r="C54" s="499"/>
      <c r="D54" s="499"/>
      <c r="E54" s="499"/>
      <c r="F54" s="499"/>
      <c r="G54" s="499"/>
      <c r="H54" s="499"/>
      <c r="I54" s="499"/>
      <c r="J54" s="8"/>
      <c r="K54" s="8"/>
      <c r="L54" s="163"/>
      <c r="M54" s="164"/>
      <c r="N54" s="163"/>
      <c r="O54" s="8"/>
    </row>
    <row r="55" spans="1:15" x14ac:dyDescent="0.2">
      <c r="B55" s="499"/>
      <c r="C55" s="499"/>
      <c r="D55" s="499"/>
      <c r="E55" s="499"/>
      <c r="F55" s="499"/>
      <c r="G55" s="499"/>
      <c r="H55" s="499"/>
      <c r="I55" s="499"/>
      <c r="J55" s="8"/>
      <c r="K55" s="8"/>
      <c r="L55" s="163"/>
      <c r="M55" s="164"/>
      <c r="N55" s="163"/>
      <c r="O55" s="8"/>
    </row>
    <row r="56" spans="1:15" x14ac:dyDescent="0.2">
      <c r="B56" s="499"/>
      <c r="C56" s="499"/>
      <c r="D56" s="499"/>
      <c r="E56" s="499"/>
      <c r="F56" s="499"/>
      <c r="G56" s="499"/>
      <c r="H56" s="499"/>
      <c r="I56" s="499"/>
      <c r="J56" s="8"/>
      <c r="K56" s="8"/>
      <c r="L56" s="163"/>
      <c r="M56" s="164"/>
      <c r="N56" s="163"/>
      <c r="O56" s="8"/>
    </row>
    <row r="57" spans="1:15" x14ac:dyDescent="0.2">
      <c r="A57" s="1"/>
      <c r="B57" s="500"/>
      <c r="C57" s="500"/>
      <c r="D57" s="500"/>
      <c r="E57" s="500"/>
      <c r="F57" s="500"/>
      <c r="G57" s="500"/>
      <c r="H57" s="500"/>
      <c r="I57" s="500"/>
      <c r="K57" s="8"/>
      <c r="L57" s="165"/>
      <c r="M57" s="166"/>
      <c r="N57" s="165"/>
      <c r="O57" s="8"/>
    </row>
    <row r="62" spans="1:15" x14ac:dyDescent="0.2">
      <c r="A62" s="30"/>
      <c r="B62" s="501" t="s">
        <v>187</v>
      </c>
      <c r="C62" s="501" t="s">
        <v>754</v>
      </c>
      <c r="D62" s="501" t="s">
        <v>755</v>
      </c>
      <c r="E62" s="501" t="s">
        <v>756</v>
      </c>
      <c r="F62" s="501" t="s">
        <v>757</v>
      </c>
    </row>
    <row r="63" spans="1:15" x14ac:dyDescent="0.2">
      <c r="A63" s="501" t="s">
        <v>758</v>
      </c>
      <c r="B63" s="137"/>
      <c r="C63" s="502">
        <v>0.53</v>
      </c>
      <c r="D63" s="502">
        <v>0.2</v>
      </c>
      <c r="E63" s="502">
        <v>0.14000000000000001</v>
      </c>
      <c r="F63" s="502">
        <v>0.13</v>
      </c>
    </row>
    <row r="64" spans="1:15" x14ac:dyDescent="0.2">
      <c r="B64" s="384">
        <f>($K$39-$J$39)/$K$39</f>
        <v>0.24749959033339375</v>
      </c>
      <c r="C64" s="6">
        <f>C63*$J$39/$K$39</f>
        <v>0.39882521712330132</v>
      </c>
      <c r="D64" s="6">
        <f t="shared" ref="D64:F64" si="18">D63*$J$39/$K$39</f>
        <v>0.15050008193332126</v>
      </c>
      <c r="E64" s="6">
        <f t="shared" si="18"/>
        <v>0.10535005735332489</v>
      </c>
      <c r="F64" s="6">
        <f t="shared" si="18"/>
        <v>9.7825053256658814E-2</v>
      </c>
      <c r="G64" s="384">
        <f>SUM(B64:F64)</f>
        <v>1</v>
      </c>
    </row>
    <row r="67" spans="1:3" x14ac:dyDescent="0.2">
      <c r="A67" t="s">
        <v>759</v>
      </c>
    </row>
    <row r="70" spans="1:3" x14ac:dyDescent="0.2">
      <c r="A70" t="s">
        <v>760</v>
      </c>
    </row>
    <row r="71" spans="1:3" x14ac:dyDescent="0.2">
      <c r="A71" s="685">
        <v>2016</v>
      </c>
      <c r="B71" t="s">
        <v>761</v>
      </c>
      <c r="C71" s="44">
        <v>3.9640449438202201</v>
      </c>
    </row>
    <row r="72" spans="1:3" x14ac:dyDescent="0.2">
      <c r="A72" s="685"/>
      <c r="B72" t="s">
        <v>762</v>
      </c>
      <c r="C72" s="44">
        <v>7.8337078651685301</v>
      </c>
    </row>
    <row r="73" spans="1:3" x14ac:dyDescent="0.2">
      <c r="A73" s="685"/>
      <c r="B73" t="s">
        <v>763</v>
      </c>
      <c r="C73" s="44">
        <v>3.5393258426966199</v>
      </c>
    </row>
    <row r="74" spans="1:3" x14ac:dyDescent="0.2">
      <c r="C74" s="44">
        <f>SUM(C71:C73)</f>
        <v>15.337078651685371</v>
      </c>
    </row>
    <row r="75" spans="1:3" x14ac:dyDescent="0.2">
      <c r="A75" s="685">
        <v>2040</v>
      </c>
      <c r="B75" t="s">
        <v>761</v>
      </c>
      <c r="C75" s="44">
        <v>4.4988764044943803</v>
      </c>
    </row>
    <row r="76" spans="1:3" x14ac:dyDescent="0.2">
      <c r="A76" s="685"/>
      <c r="B76" t="s">
        <v>762</v>
      </c>
      <c r="C76" s="44">
        <v>5.3011235955056097</v>
      </c>
    </row>
    <row r="77" spans="1:3" x14ac:dyDescent="0.2">
      <c r="A77" s="685"/>
      <c r="B77" t="s">
        <v>763</v>
      </c>
      <c r="C77" s="44">
        <v>12.835955056179699</v>
      </c>
    </row>
    <row r="78" spans="1:3" x14ac:dyDescent="0.2">
      <c r="C78" s="44">
        <f>SUM(C75:C77)</f>
        <v>22.635955056179689</v>
      </c>
    </row>
    <row r="79" spans="1:3" x14ac:dyDescent="0.2">
      <c r="A79" t="s">
        <v>46</v>
      </c>
      <c r="B79" s="24">
        <f>(C78/C74)^(1/(A75-A71))-1</f>
        <v>1.6351675426470091E-2</v>
      </c>
    </row>
  </sheetData>
  <mergeCells count="2">
    <mergeCell ref="A71:A73"/>
    <mergeCell ref="A75:A77"/>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E8DEC-4FD9-4EA9-9B2B-C2565C9D4613}">
  <sheetPr>
    <tabColor theme="7"/>
  </sheetPr>
  <dimension ref="B2:AA33"/>
  <sheetViews>
    <sheetView topLeftCell="A4" zoomScale="80" zoomScaleNormal="80" workbookViewId="0">
      <selection activeCell="G18" sqref="G18:G19"/>
    </sheetView>
  </sheetViews>
  <sheetFormatPr baseColWidth="10" defaultColWidth="8.83203125" defaultRowHeight="15" x14ac:dyDescent="0.2"/>
  <cols>
    <col min="2" max="2" width="26.5" customWidth="1"/>
    <col min="3" max="3" width="22.5" customWidth="1"/>
    <col min="5" max="5" width="17.1640625" customWidth="1"/>
    <col min="6" max="6" width="15.83203125" customWidth="1"/>
    <col min="7" max="7" width="8.6640625" customWidth="1"/>
    <col min="8" max="8" width="17.5" customWidth="1"/>
    <col min="14" max="14" width="12" customWidth="1"/>
    <col min="19" max="19" width="15.5" customWidth="1"/>
  </cols>
  <sheetData>
    <row r="2" spans="2:27" x14ac:dyDescent="0.2">
      <c r="B2" s="1" t="s">
        <v>777</v>
      </c>
      <c r="C2" s="1"/>
      <c r="D2" s="1"/>
      <c r="E2" s="1" t="s">
        <v>778</v>
      </c>
      <c r="G2" s="1" t="s">
        <v>779</v>
      </c>
      <c r="H2" s="1"/>
      <c r="I2" s="1"/>
      <c r="J2" s="1" t="s">
        <v>778</v>
      </c>
      <c r="M2" s="1" t="s">
        <v>780</v>
      </c>
      <c r="N2" s="1"/>
      <c r="O2" s="1"/>
      <c r="P2" s="1" t="s">
        <v>778</v>
      </c>
      <c r="S2" s="1" t="s">
        <v>781</v>
      </c>
      <c r="T2" s="1"/>
      <c r="U2" s="1"/>
      <c r="V2" s="1" t="s">
        <v>778</v>
      </c>
      <c r="X2" s="1" t="s">
        <v>782</v>
      </c>
      <c r="Y2" s="1"/>
      <c r="Z2" s="1"/>
      <c r="AA2" s="1" t="s">
        <v>778</v>
      </c>
    </row>
    <row r="3" spans="2:27" x14ac:dyDescent="0.2">
      <c r="C3" t="s">
        <v>783</v>
      </c>
      <c r="D3" s="76">
        <v>0.28599999999999998</v>
      </c>
      <c r="E3" s="44">
        <f t="shared" ref="E3:E12" si="0">D3*$E$13</f>
        <v>4.2749473684210519</v>
      </c>
      <c r="H3" t="s">
        <v>784</v>
      </c>
      <c r="I3" s="55">
        <v>0.73</v>
      </c>
      <c r="J3" s="44">
        <f t="shared" ref="J3:J8" si="1">I3*$J$9</f>
        <v>10.531571185968067</v>
      </c>
      <c r="N3" t="s">
        <v>785</v>
      </c>
      <c r="O3" s="55">
        <v>0.7</v>
      </c>
      <c r="P3">
        <f>O3*$P$5</f>
        <v>13.058060729748467</v>
      </c>
      <c r="S3" t="s">
        <v>786</v>
      </c>
      <c r="T3" s="76">
        <v>0.33800000000000002</v>
      </c>
      <c r="U3">
        <f>T3*$U$8</f>
        <v>5.2873019946610453</v>
      </c>
      <c r="X3" t="s">
        <v>787</v>
      </c>
    </row>
    <row r="4" spans="2:27" x14ac:dyDescent="0.2">
      <c r="C4" t="s">
        <v>788</v>
      </c>
      <c r="D4" s="76">
        <v>0.26500000000000001</v>
      </c>
      <c r="E4" s="44">
        <f t="shared" si="0"/>
        <v>3.9610526315789478</v>
      </c>
      <c r="H4" t="s">
        <v>789</v>
      </c>
      <c r="I4" s="76">
        <f>70.9%*0.27</f>
        <v>0.19143000000000004</v>
      </c>
      <c r="J4" s="44">
        <f t="shared" si="1"/>
        <v>2.7617242083970792</v>
      </c>
      <c r="N4" t="s">
        <v>248</v>
      </c>
      <c r="O4" s="6">
        <f>1-O3</f>
        <v>0.30000000000000004</v>
      </c>
      <c r="P4">
        <f>O4*$P$5</f>
        <v>5.5963117413207728</v>
      </c>
      <c r="S4" t="s">
        <v>790</v>
      </c>
      <c r="T4" s="214">
        <f>66.7%-33.8%</f>
        <v>0.32900000000000007</v>
      </c>
      <c r="U4">
        <f>T4*$U$8</f>
        <v>5.1465158468742134</v>
      </c>
    </row>
    <row r="5" spans="2:27" x14ac:dyDescent="0.2">
      <c r="C5" t="s">
        <v>791</v>
      </c>
      <c r="D5" s="76">
        <v>0.14899999999999999</v>
      </c>
      <c r="E5" s="44">
        <f t="shared" si="0"/>
        <v>2.227157894736842</v>
      </c>
      <c r="H5" t="s">
        <v>792</v>
      </c>
      <c r="I5" s="76">
        <f>(78.3%-70.9%)*0.27</f>
        <v>1.997999999999996E-2</v>
      </c>
      <c r="J5" s="44">
        <f t="shared" si="1"/>
        <v>0.28824766067896107</v>
      </c>
      <c r="N5" t="s">
        <v>67</v>
      </c>
      <c r="O5" s="6">
        <f>SUM(O3:O4)</f>
        <v>1</v>
      </c>
      <c r="P5" s="43">
        <f>'Yearly Demand - C4'!C7</f>
        <v>18.654372471069241</v>
      </c>
      <c r="S5" t="s">
        <v>793</v>
      </c>
      <c r="T5" s="214">
        <f>79.9%-66.7%</f>
        <v>0.13200000000000001</v>
      </c>
      <c r="U5">
        <f>T5*$U$8</f>
        <v>2.0648635008735443</v>
      </c>
    </row>
    <row r="6" spans="2:27" x14ac:dyDescent="0.2">
      <c r="C6" t="s">
        <v>794</v>
      </c>
      <c r="D6" s="76">
        <v>0.107</v>
      </c>
      <c r="E6" s="44">
        <f t="shared" si="0"/>
        <v>1.5993684210526316</v>
      </c>
      <c r="H6" t="s">
        <v>795</v>
      </c>
      <c r="I6" s="76">
        <f>(87.3%-78.3%)*0.27</f>
        <v>2.4300000000000023E-2</v>
      </c>
      <c r="J6" s="44">
        <f t="shared" si="1"/>
        <v>0.35057147920414289</v>
      </c>
      <c r="M6" t="s">
        <v>796</v>
      </c>
      <c r="S6" t="s">
        <v>797</v>
      </c>
      <c r="T6" s="214">
        <f>95.3%-79.9%</f>
        <v>0.15399999999999991</v>
      </c>
      <c r="U6">
        <f>T6*$U$8</f>
        <v>2.4090074176858001</v>
      </c>
    </row>
    <row r="7" spans="2:27" x14ac:dyDescent="0.2">
      <c r="C7" t="s">
        <v>798</v>
      </c>
      <c r="D7" s="76">
        <v>6.2E-2</v>
      </c>
      <c r="E7" s="44">
        <f t="shared" si="0"/>
        <v>0.92673684210526319</v>
      </c>
      <c r="H7" t="s">
        <v>799</v>
      </c>
      <c r="I7" s="76">
        <f>(94.2%-87.3%)*0.27</f>
        <v>1.8630000000000018E-2</v>
      </c>
      <c r="J7" s="44">
        <f t="shared" si="1"/>
        <v>0.26877146738984287</v>
      </c>
      <c r="M7" s="54" t="s">
        <v>800</v>
      </c>
      <c r="S7" t="s">
        <v>248</v>
      </c>
      <c r="T7" s="23">
        <f>1-SUM(T3:T6)</f>
        <v>4.7000000000000042E-2</v>
      </c>
      <c r="U7">
        <f>T7*$U$8</f>
        <v>0.7352165495534595</v>
      </c>
    </row>
    <row r="8" spans="2:27" x14ac:dyDescent="0.2">
      <c r="C8" t="s">
        <v>801</v>
      </c>
      <c r="D8" s="76">
        <v>5.3999999999999999E-2</v>
      </c>
      <c r="E8" s="44">
        <f t="shared" si="0"/>
        <v>0.80715789473684207</v>
      </c>
      <c r="H8" t="s">
        <v>248</v>
      </c>
      <c r="I8" s="583">
        <f>1-SUM(I3:I7)</f>
        <v>1.5660000000000007E-2</v>
      </c>
      <c r="J8" s="44">
        <f t="shared" si="1"/>
        <v>0.22592384215378086</v>
      </c>
      <c r="M8" t="s">
        <v>775</v>
      </c>
      <c r="N8" t="s">
        <v>581</v>
      </c>
      <c r="S8" t="s">
        <v>67</v>
      </c>
      <c r="T8" s="384">
        <f>+SUM(T3:T7)</f>
        <v>1</v>
      </c>
      <c r="U8" s="589">
        <f>'Yearly Demand - C4'!C8</f>
        <v>15.642905309648061</v>
      </c>
    </row>
    <row r="9" spans="2:27" x14ac:dyDescent="0.2">
      <c r="C9" t="s">
        <v>802</v>
      </c>
      <c r="D9" s="76">
        <v>2.1999999999999999E-2</v>
      </c>
      <c r="E9" s="44">
        <f t="shared" si="0"/>
        <v>0.32884210526315788</v>
      </c>
      <c r="H9" t="s">
        <v>67</v>
      </c>
      <c r="I9" s="384">
        <f>+SUM(I3:I8)</f>
        <v>1</v>
      </c>
      <c r="J9" s="44">
        <f>'Yearly Demand - C4'!C6</f>
        <v>14.426809843791874</v>
      </c>
      <c r="S9" t="s">
        <v>803</v>
      </c>
      <c r="U9" t="s">
        <v>581</v>
      </c>
    </row>
    <row r="10" spans="2:27" x14ac:dyDescent="0.2">
      <c r="C10" t="s">
        <v>804</v>
      </c>
      <c r="D10" s="76">
        <v>0.02</v>
      </c>
      <c r="E10" s="44">
        <f t="shared" si="0"/>
        <v>0.29894736842105263</v>
      </c>
      <c r="G10" t="s">
        <v>805</v>
      </c>
      <c r="I10" s="76"/>
      <c r="J10" s="44" t="s">
        <v>581</v>
      </c>
    </row>
    <row r="11" spans="2:27" x14ac:dyDescent="0.2">
      <c r="C11" t="s">
        <v>806</v>
      </c>
      <c r="D11" s="76">
        <v>2.1000000000000001E-2</v>
      </c>
      <c r="E11" s="44">
        <f t="shared" si="0"/>
        <v>0.31389473684210528</v>
      </c>
      <c r="G11" t="s">
        <v>775</v>
      </c>
      <c r="H11" t="s">
        <v>581</v>
      </c>
      <c r="I11" s="76"/>
      <c r="J11" s="44"/>
    </row>
    <row r="12" spans="2:27" x14ac:dyDescent="0.2">
      <c r="C12" t="s">
        <v>248</v>
      </c>
      <c r="D12" s="583">
        <f>1-SUM(D3:D11)</f>
        <v>1.3999999999999901E-2</v>
      </c>
      <c r="E12" s="44">
        <f t="shared" si="0"/>
        <v>0.20926315789473537</v>
      </c>
      <c r="I12" s="76"/>
      <c r="J12" s="44"/>
    </row>
    <row r="13" spans="2:27" x14ac:dyDescent="0.2">
      <c r="C13" t="s">
        <v>67</v>
      </c>
      <c r="D13" s="384">
        <f>SUM(D3:D12)</f>
        <v>1</v>
      </c>
      <c r="E13" s="43">
        <f>'Yearly Demand - C4'!C5</f>
        <v>14.947368421052632</v>
      </c>
      <c r="I13" s="384"/>
      <c r="J13" s="43"/>
    </row>
    <row r="14" spans="2:27" x14ac:dyDescent="0.2">
      <c r="B14" t="s">
        <v>807</v>
      </c>
    </row>
    <row r="15" spans="2:27" x14ac:dyDescent="0.2">
      <c r="E15" t="s">
        <v>808</v>
      </c>
    </row>
    <row r="16" spans="2:27" x14ac:dyDescent="0.2">
      <c r="B16" s="1"/>
      <c r="D16" s="1"/>
      <c r="E16" s="1"/>
      <c r="J16" s="1"/>
    </row>
    <row r="17" spans="2:19" x14ac:dyDescent="0.2">
      <c r="C17" s="8" t="s">
        <v>809</v>
      </c>
      <c r="D17" s="44"/>
      <c r="F17" t="s">
        <v>810</v>
      </c>
      <c r="I17" t="s">
        <v>311</v>
      </c>
      <c r="J17" t="s">
        <v>811</v>
      </c>
      <c r="K17" s="6"/>
    </row>
    <row r="18" spans="2:19" x14ac:dyDescent="0.2">
      <c r="B18" t="s">
        <v>812</v>
      </c>
      <c r="C18" s="262">
        <f>E3+E6+E8+J6+U4+E4</f>
        <v>16.139613641867829</v>
      </c>
      <c r="D18" s="2">
        <f>C18/$C$23</f>
        <v>0.2534827164988766</v>
      </c>
      <c r="F18" s="44">
        <f>E3+E4+E6+E8</f>
        <v>10.642526315789475</v>
      </c>
      <c r="G18" s="2">
        <f>F18/$F$23</f>
        <v>0.71200000000000019</v>
      </c>
      <c r="I18" s="44" t="s">
        <v>813</v>
      </c>
      <c r="K18" s="6"/>
    </row>
    <row r="19" spans="2:19" x14ac:dyDescent="0.2">
      <c r="B19" t="s">
        <v>258</v>
      </c>
      <c r="C19" s="262">
        <f>J4</f>
        <v>2.7617242083970792</v>
      </c>
      <c r="D19" s="2">
        <f t="shared" ref="D19:D22" si="2">C19/$C$23</f>
        <v>4.3374604256275422E-2</v>
      </c>
      <c r="F19">
        <f>0</f>
        <v>0</v>
      </c>
      <c r="G19" s="2">
        <f t="shared" ref="G19:G22" si="3">F19/$F$23</f>
        <v>0</v>
      </c>
      <c r="H19" s="6"/>
      <c r="I19" s="44"/>
    </row>
    <row r="20" spans="2:19" x14ac:dyDescent="0.2">
      <c r="B20" t="s">
        <v>814</v>
      </c>
      <c r="C20" s="262">
        <f>E5+E7</f>
        <v>3.1538947368421053</v>
      </c>
      <c r="D20" s="2">
        <f t="shared" si="2"/>
        <v>4.9533887439062979E-2</v>
      </c>
      <c r="F20" s="44">
        <f>E5+E7</f>
        <v>3.1538947368421053</v>
      </c>
      <c r="G20" s="2">
        <f t="shared" si="3"/>
        <v>0.21100000000000002</v>
      </c>
      <c r="H20" s="6"/>
      <c r="I20" s="44"/>
    </row>
    <row r="21" spans="2:19" x14ac:dyDescent="0.2">
      <c r="B21" t="s">
        <v>784</v>
      </c>
      <c r="C21" s="360">
        <f>J3+P3+U3</f>
        <v>28.876933910377581</v>
      </c>
      <c r="D21" s="2">
        <f t="shared" si="2"/>
        <v>0.4535302897693107</v>
      </c>
      <c r="F21">
        <f>0</f>
        <v>0</v>
      </c>
      <c r="G21" s="2">
        <f t="shared" si="3"/>
        <v>0</v>
      </c>
    </row>
    <row r="22" spans="2:19" x14ac:dyDescent="0.2">
      <c r="B22" t="s">
        <v>248</v>
      </c>
      <c r="C22" s="360">
        <f>'Yearly Demand - C4'!C4-'Demand Breakdown - C4'!C18-'Demand Breakdown - C4'!C19-'Demand Breakdown - C4'!C21-C20</f>
        <v>12.739289548077224</v>
      </c>
      <c r="D22" s="2">
        <f t="shared" si="2"/>
        <v>0.20007850203647429</v>
      </c>
      <c r="F22" s="44">
        <f>SUM(E9:E12)</f>
        <v>1.1509473684210509</v>
      </c>
      <c r="G22" s="2">
        <f t="shared" si="3"/>
        <v>7.6999999999999888E-2</v>
      </c>
    </row>
    <row r="23" spans="2:19" x14ac:dyDescent="0.2">
      <c r="B23" t="s">
        <v>67</v>
      </c>
      <c r="C23" s="360">
        <f>SUM(C18:C22)</f>
        <v>63.671456045561818</v>
      </c>
      <c r="F23" s="44">
        <f>SUM(F18:F22)</f>
        <v>14.94736842105263</v>
      </c>
    </row>
    <row r="24" spans="2:19" x14ac:dyDescent="0.2">
      <c r="I24" s="686" t="s">
        <v>815</v>
      </c>
      <c r="J24" s="686"/>
      <c r="K24" s="686"/>
      <c r="L24" s="686"/>
      <c r="M24" s="686"/>
      <c r="O24" s="686" t="s">
        <v>816</v>
      </c>
      <c r="P24" s="686"/>
      <c r="Q24" s="686"/>
      <c r="R24" s="686"/>
      <c r="S24" s="686"/>
    </row>
    <row r="25" spans="2:19" x14ac:dyDescent="0.2">
      <c r="C25" t="s">
        <v>817</v>
      </c>
      <c r="D25" t="s">
        <v>258</v>
      </c>
      <c r="E25" t="s">
        <v>818</v>
      </c>
      <c r="F25" t="s">
        <v>784</v>
      </c>
      <c r="G25" t="s">
        <v>248</v>
      </c>
      <c r="I25" s="686">
        <v>2020</v>
      </c>
      <c r="J25" s="686"/>
      <c r="K25" t="s">
        <v>46</v>
      </c>
      <c r="L25">
        <v>2050</v>
      </c>
      <c r="O25" s="686">
        <v>2020</v>
      </c>
      <c r="P25" s="686"/>
      <c r="Q25" t="s">
        <v>46</v>
      </c>
      <c r="R25">
        <v>2050</v>
      </c>
    </row>
    <row r="26" spans="2:19" x14ac:dyDescent="0.2">
      <c r="B26" s="2" t="str">
        <f>'Demand - Industry shares'!A46</f>
        <v>Packaging &amp; consumer goods</v>
      </c>
      <c r="C26" s="55">
        <v>0</v>
      </c>
      <c r="D26" s="6">
        <f>'Demand Breakdown - Ethylene'!J63+'Demand Breakdown - Ethylene'!J67</f>
        <v>0.54772064805210752</v>
      </c>
      <c r="E26" s="23">
        <f>'Demand - Industry shares'!I7/'Demand - Industry shares'!I13</f>
        <v>1.7857142857142856E-2</v>
      </c>
      <c r="F26" s="2">
        <v>0</v>
      </c>
      <c r="G26" s="2">
        <v>0</v>
      </c>
      <c r="I26" s="245">
        <f>C26*$C$18+D26*$C$19+E26*$C$20+F26*$C$21+G26*$C$22</f>
        <v>1.5689729220366222</v>
      </c>
      <c r="J26" s="2">
        <f>I26/$I$31</f>
        <v>2.4641700056519857E-2</v>
      </c>
      <c r="K26" s="23">
        <f>'Yearly Demand - C4'!$AU$3</f>
        <v>1.429032820306686E-2</v>
      </c>
      <c r="L26" s="245">
        <f>I26*(1+K26)^30</f>
        <v>2.4015076627249416</v>
      </c>
      <c r="M26" s="2">
        <f>L26/$L$31</f>
        <v>2.4641700056519861E-2</v>
      </c>
      <c r="O26" s="245">
        <f>C26*$F$18+D26*$F$19+E26*$F$20+F26*$F$21+G26*$F$22</f>
        <v>5.631954887218045E-2</v>
      </c>
      <c r="P26" s="2">
        <f>O26/$O$31</f>
        <v>3.7678571428571427E-3</v>
      </c>
      <c r="Q26" s="23">
        <f>'Yearly Demand - C4'!$AU$3</f>
        <v>1.429032820306686E-2</v>
      </c>
      <c r="R26" s="245">
        <f>O26*(1+Q26)^30</f>
        <v>8.6204055072020044E-2</v>
      </c>
      <c r="S26" s="2">
        <f>R26/$R$31</f>
        <v>3.7678571428571431E-3</v>
      </c>
    </row>
    <row r="27" spans="2:19" x14ac:dyDescent="0.2">
      <c r="B27" s="2" t="str">
        <f>'Demand - Industry shares'!A47</f>
        <v>Building &amp; Construction</v>
      </c>
      <c r="C27" s="55">
        <v>0.15</v>
      </c>
      <c r="D27" s="23">
        <f>'Demand Breakdown - Ethylene'!J64</f>
        <v>0.21433790117776957</v>
      </c>
      <c r="E27" s="23">
        <f>'Demand - Industry shares'!I8/'Demand - Industry shares'!I13</f>
        <v>8.9285714285714288E-2</v>
      </c>
      <c r="F27" s="2">
        <v>0</v>
      </c>
      <c r="G27" s="2">
        <v>0</v>
      </c>
      <c r="I27" s="245">
        <f>C27*$C$18+D27*$C$19+E27*$C$20+F27*$C$21+G27*$C$22</f>
        <v>3.2944819611007432</v>
      </c>
      <c r="J27" s="2">
        <f t="shared" ref="J27:J31" si="4">I27/$I$31</f>
        <v>5.1741897636882826E-2</v>
      </c>
      <c r="K27" s="23">
        <f>'Yearly Demand - C4'!$AU$3</f>
        <v>1.429032820306686E-2</v>
      </c>
      <c r="L27" s="245">
        <f t="shared" ref="L27:L30" si="5">I27*(1+K27)^30</f>
        <v>5.0426132683173588</v>
      </c>
      <c r="M27" s="2">
        <f t="shared" ref="M27:M31" si="6">L27/$L$31</f>
        <v>5.1741897636882833E-2</v>
      </c>
      <c r="O27" s="245">
        <f t="shared" ref="O27:O30" si="7">C27*$F$18+D27*$F$19+E27*$F$20+F27*$F$21+G27*$F$22</f>
        <v>1.8779766917293235</v>
      </c>
      <c r="P27" s="2">
        <f t="shared" ref="P27:P30" si="8">O27/$O$31</f>
        <v>0.12563928571428573</v>
      </c>
      <c r="Q27" s="23">
        <f>'Yearly Demand - C4'!$AU$3</f>
        <v>1.429032820306686E-2</v>
      </c>
      <c r="R27" s="245">
        <f t="shared" ref="R27:R30" si="9">O27*(1+Q27)^30</f>
        <v>2.8744762591266291</v>
      </c>
      <c r="S27" s="2">
        <f t="shared" ref="S27:S30" si="10">R27/$R$31</f>
        <v>0.12563928571428576</v>
      </c>
    </row>
    <row r="28" spans="2:19" x14ac:dyDescent="0.2">
      <c r="B28" s="2" t="str">
        <f>'Demand - Industry shares'!A48</f>
        <v>Transportation</v>
      </c>
      <c r="C28" s="55">
        <v>0.65</v>
      </c>
      <c r="D28" s="23">
        <f>'Demand Breakdown - Ethylene'!J65</f>
        <v>5.2109631277813095E-2</v>
      </c>
      <c r="E28" s="23">
        <f>'Demand - Industry shares'!I6/'Demand - Industry shares'!I13</f>
        <v>0.39285714285714285</v>
      </c>
      <c r="F28" s="2">
        <v>1</v>
      </c>
      <c r="G28" s="2">
        <v>0</v>
      </c>
      <c r="I28" s="245">
        <f t="shared" ref="I28:I30" si="11">C28*$C$18+D28*$C$19+E28*$C$20+F28*$C$21+G28*$C$22</f>
        <v>40.750625282970219</v>
      </c>
      <c r="J28" s="2">
        <f t="shared" si="4"/>
        <v>0.64001403162211368</v>
      </c>
      <c r="K28" s="23">
        <f>'Yearly Demand - C4'!$AU$3</f>
        <v>1.429032820306686E-2</v>
      </c>
      <c r="L28" s="245">
        <f t="shared" si="5"/>
        <v>62.373886447226688</v>
      </c>
      <c r="M28" s="2">
        <f t="shared" si="6"/>
        <v>0.64001403162211379</v>
      </c>
      <c r="O28" s="245">
        <f t="shared" si="7"/>
        <v>8.1566721804511282</v>
      </c>
      <c r="P28" s="2">
        <f t="shared" si="8"/>
        <v>0.5456928571428572</v>
      </c>
      <c r="Q28" s="23">
        <f>'Yearly Demand - C4'!$AU$3</f>
        <v>1.429032820306686E-2</v>
      </c>
      <c r="R28" s="245">
        <f t="shared" si="9"/>
        <v>12.484798474572731</v>
      </c>
      <c r="S28" s="2">
        <f t="shared" si="10"/>
        <v>0.5456928571428572</v>
      </c>
    </row>
    <row r="29" spans="2:19" x14ac:dyDescent="0.2">
      <c r="B29" s="2" t="str">
        <f>'Demand - Industry shares'!A49</f>
        <v>Apparel</v>
      </c>
      <c r="C29" s="286">
        <v>1.4999999999999999E-2</v>
      </c>
      <c r="D29" s="23">
        <f>'Demand Breakdown - Ethylene'!J69</f>
        <v>2.1105000000000002E-2</v>
      </c>
      <c r="E29" s="23">
        <v>0</v>
      </c>
      <c r="F29" s="2">
        <v>0</v>
      </c>
      <c r="G29" s="2">
        <v>0</v>
      </c>
      <c r="I29" s="245">
        <f t="shared" si="11"/>
        <v>0.30038039404623779</v>
      </c>
      <c r="J29" s="2">
        <f t="shared" si="4"/>
        <v>4.7176617703118427E-3</v>
      </c>
      <c r="K29" s="23">
        <f>'Yearly Demand - C4'!$AU$3</f>
        <v>1.429032820306686E-2</v>
      </c>
      <c r="L29" s="245">
        <f t="shared" si="5"/>
        <v>0.45976945038541572</v>
      </c>
      <c r="M29" s="2">
        <f t="shared" si="6"/>
        <v>4.7176617703118427E-3</v>
      </c>
      <c r="O29" s="245">
        <f t="shared" si="7"/>
        <v>0.15963789473684212</v>
      </c>
      <c r="P29" s="2">
        <f t="shared" si="8"/>
        <v>1.068E-2</v>
      </c>
      <c r="Q29" s="23">
        <f>'Yearly Demand - C4'!$AU$3</f>
        <v>1.429032820306686E-2</v>
      </c>
      <c r="R29" s="245">
        <f t="shared" si="9"/>
        <v>0.24434559837665287</v>
      </c>
      <c r="S29" s="2">
        <f t="shared" si="10"/>
        <v>1.0680000000000002E-2</v>
      </c>
    </row>
    <row r="30" spans="2:19" x14ac:dyDescent="0.2">
      <c r="B30" s="2" t="str">
        <f>'Demand - Industry shares'!A50</f>
        <v>Others</v>
      </c>
      <c r="C30" s="6">
        <f>1-SUM(C26:C29)</f>
        <v>0.18499999999999994</v>
      </c>
      <c r="D30" s="6">
        <f>1-SUM(D26:D29)</f>
        <v>0.16472681949230983</v>
      </c>
      <c r="E30" s="23">
        <f t="shared" ref="E30:G30" si="12">1-SUM(E26:E29)</f>
        <v>0.5</v>
      </c>
      <c r="F30" s="6">
        <f t="shared" si="12"/>
        <v>0</v>
      </c>
      <c r="G30" s="6">
        <f t="shared" si="12"/>
        <v>1</v>
      </c>
      <c r="I30" s="245">
        <f t="shared" si="11"/>
        <v>17.756995485407991</v>
      </c>
      <c r="J30" s="2">
        <f t="shared" si="4"/>
        <v>0.27888470891417183</v>
      </c>
      <c r="K30" s="23">
        <f>'Yearly Demand - C4'!$AU$3</f>
        <v>1.429032820306686E-2</v>
      </c>
      <c r="L30" s="245">
        <f t="shared" si="5"/>
        <v>27.179284056620652</v>
      </c>
      <c r="M30" s="2">
        <f t="shared" si="6"/>
        <v>0.27888470891417183</v>
      </c>
      <c r="O30" s="245">
        <f t="shared" si="7"/>
        <v>4.6967621052631561</v>
      </c>
      <c r="P30" s="2">
        <f t="shared" si="8"/>
        <v>0.31421999999999989</v>
      </c>
      <c r="Q30" s="23">
        <f>'Yearly Demand - C4'!$AU$3</f>
        <v>1.429032820306686E-2</v>
      </c>
      <c r="R30" s="245">
        <f t="shared" si="9"/>
        <v>7.1889769589805077</v>
      </c>
      <c r="S30" s="2">
        <f t="shared" si="10"/>
        <v>0.31421999999999989</v>
      </c>
    </row>
    <row r="31" spans="2:19" x14ac:dyDescent="0.2">
      <c r="B31" s="2" t="str">
        <f>'Demand - Industry shares'!A51</f>
        <v>Total</v>
      </c>
      <c r="C31" s="6">
        <f>SUM(C26:C30)</f>
        <v>1</v>
      </c>
      <c r="I31" s="245">
        <f>SUM(I26:I30)</f>
        <v>63.671456045561811</v>
      </c>
      <c r="J31" s="2">
        <f t="shared" si="4"/>
        <v>1</v>
      </c>
      <c r="L31" s="245">
        <f>SUM(L26:L30)</f>
        <v>97.457060885275041</v>
      </c>
      <c r="M31" s="2">
        <f t="shared" si="6"/>
        <v>1</v>
      </c>
      <c r="O31" s="245">
        <f>SUM(O26:O30)</f>
        <v>14.947368421052632</v>
      </c>
      <c r="P31" s="2">
        <f>SUM(P26:P30)</f>
        <v>1</v>
      </c>
      <c r="R31" s="245">
        <f>SUM(R26:R30)</f>
        <v>22.87880134612854</v>
      </c>
      <c r="S31" s="2">
        <f t="shared" ref="S31" si="13">R31/$L$31</f>
        <v>0.23475776037470608</v>
      </c>
    </row>
    <row r="32" spans="2:19" x14ac:dyDescent="0.2">
      <c r="C32" t="s">
        <v>819</v>
      </c>
      <c r="D32" t="s">
        <v>581</v>
      </c>
    </row>
    <row r="33" spans="3:3" x14ac:dyDescent="0.2">
      <c r="C33" t="s">
        <v>820</v>
      </c>
    </row>
  </sheetData>
  <mergeCells count="4">
    <mergeCell ref="I25:J25"/>
    <mergeCell ref="O25:P25"/>
    <mergeCell ref="I24:M24"/>
    <mergeCell ref="O24:S24"/>
  </mergeCells>
  <pageMargins left="0.7" right="0.7" top="0.75" bottom="0.75" header="0.3" footer="0.3"/>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B7327-8DBE-430C-B99C-2058948C8F0D}">
  <sheetPr>
    <tabColor theme="7"/>
  </sheetPr>
  <dimension ref="A2:AI98"/>
  <sheetViews>
    <sheetView topLeftCell="A4" workbookViewId="0">
      <selection activeCell="E17" sqref="E17"/>
    </sheetView>
  </sheetViews>
  <sheetFormatPr baseColWidth="10" defaultColWidth="8.83203125" defaultRowHeight="15" x14ac:dyDescent="0.2"/>
  <cols>
    <col min="2" max="2" width="26.83203125" customWidth="1"/>
    <col min="3" max="3" width="16.1640625" customWidth="1"/>
    <col min="4" max="4" width="20.33203125" customWidth="1"/>
    <col min="5" max="5" width="11.6640625" customWidth="1"/>
    <col min="6" max="6" width="11.5" customWidth="1"/>
    <col min="7" max="7" width="11.1640625" customWidth="1"/>
    <col min="10" max="10" width="23.5" customWidth="1"/>
    <col min="11" max="11" width="13.1640625" customWidth="1"/>
    <col min="12" max="12" width="7.33203125" customWidth="1"/>
    <col min="17" max="17" width="18.83203125" customWidth="1"/>
    <col min="18" max="18" width="23.5" customWidth="1"/>
    <col min="20" max="20" width="7.33203125" customWidth="1"/>
    <col min="24" max="24" width="18.83203125" customWidth="1"/>
    <col min="25" max="25" width="23.5" customWidth="1"/>
    <col min="27" max="27" width="7.33203125" customWidth="1"/>
    <col min="30" max="30" width="18.83203125" customWidth="1"/>
    <col min="31" max="31" width="23.5" customWidth="1"/>
    <col min="33" max="33" width="7.33203125" customWidth="1"/>
  </cols>
  <sheetData>
    <row r="2" spans="2:34" x14ac:dyDescent="0.2">
      <c r="B2" s="1" t="s">
        <v>837</v>
      </c>
      <c r="C2" s="1"/>
      <c r="D2" s="1"/>
      <c r="E2" s="1" t="s">
        <v>778</v>
      </c>
      <c r="I2" s="1" t="s">
        <v>838</v>
      </c>
      <c r="M2" s="1" t="s">
        <v>778</v>
      </c>
      <c r="Q2" s="1" t="s">
        <v>839</v>
      </c>
      <c r="T2" s="1" t="s">
        <v>778</v>
      </c>
      <c r="X2" s="1" t="s">
        <v>840</v>
      </c>
      <c r="AA2" s="1" t="s">
        <v>778</v>
      </c>
      <c r="AD2" s="1" t="s">
        <v>841</v>
      </c>
      <c r="AG2" s="1" t="s">
        <v>778</v>
      </c>
    </row>
    <row r="3" spans="2:34" x14ac:dyDescent="0.2">
      <c r="C3" t="s">
        <v>842</v>
      </c>
      <c r="D3" s="384">
        <f>E3/E8</f>
        <v>0.52463148859728892</v>
      </c>
      <c r="E3" s="44">
        <f>'Demand Breakdown - Ethylene'!D9*'Demand Breakdown - BTX'!E33/'Demand Breakdown - BTX'!C33</f>
        <v>27.19285714285714</v>
      </c>
      <c r="G3" t="s">
        <v>843</v>
      </c>
      <c r="H3" t="s">
        <v>581</v>
      </c>
      <c r="J3" t="s">
        <v>844</v>
      </c>
      <c r="K3" s="55">
        <v>0.28000000000000003</v>
      </c>
      <c r="L3" s="6"/>
      <c r="M3" s="44">
        <f>K3*$M$8</f>
        <v>7.61095133078841</v>
      </c>
      <c r="P3" t="s">
        <v>581</v>
      </c>
      <c r="R3" t="s">
        <v>845</v>
      </c>
      <c r="S3" s="55">
        <v>0.98</v>
      </c>
      <c r="T3" s="44">
        <f>S3*$T$5</f>
        <v>44.283391377399667</v>
      </c>
      <c r="Y3" t="s">
        <v>846</v>
      </c>
      <c r="Z3" s="286">
        <v>0.437</v>
      </c>
      <c r="AA3" s="44">
        <f>Z3*$AA$7</f>
        <v>1.9007593395974345</v>
      </c>
      <c r="AE3" t="s">
        <v>847</v>
      </c>
      <c r="AF3" s="384">
        <v>0.245</v>
      </c>
      <c r="AG3" s="44">
        <f>AF3*$AG$7</f>
        <v>0.17760718466871522</v>
      </c>
    </row>
    <row r="4" spans="2:34" x14ac:dyDescent="0.2">
      <c r="C4" t="s">
        <v>576</v>
      </c>
      <c r="D4" s="384">
        <f>E4/E8</f>
        <v>0.15667701611196183</v>
      </c>
      <c r="E4" s="44">
        <f>'Demand Breakdown - Propylene'!D9*'Demand Breakdown - BTX'!E34/'Demand Breakdown - BTX'!C34</f>
        <v>8.1209302325581394</v>
      </c>
      <c r="G4" t="s">
        <v>848</v>
      </c>
      <c r="H4" t="s">
        <v>581</v>
      </c>
      <c r="J4" t="s">
        <v>849</v>
      </c>
      <c r="K4" s="76">
        <v>0.22</v>
      </c>
      <c r="L4" s="6"/>
      <c r="M4" s="44">
        <f t="shared" ref="M4:M7" si="0">K4*$M$8</f>
        <v>5.9800331884766074</v>
      </c>
      <c r="P4" t="s">
        <v>581</v>
      </c>
      <c r="R4" t="s">
        <v>248</v>
      </c>
      <c r="S4" s="76">
        <v>0.02</v>
      </c>
      <c r="T4" s="44">
        <f>S4*$T$5</f>
        <v>0.90374268117142176</v>
      </c>
      <c r="Y4" t="s">
        <v>850</v>
      </c>
      <c r="Z4" s="286">
        <v>0.25</v>
      </c>
      <c r="AA4" s="44">
        <f t="shared" ref="AA4:AA6" si="1">Z4*$AA$7</f>
        <v>1.0873909265431547</v>
      </c>
      <c r="AE4" t="s">
        <v>851</v>
      </c>
      <c r="AF4" s="384">
        <v>0.23300000000000001</v>
      </c>
      <c r="AG4" s="44">
        <f t="shared" ref="AG4:AG6" si="2">AF4*$AG$7</f>
        <v>0.16890805725637001</v>
      </c>
    </row>
    <row r="5" spans="2:34" x14ac:dyDescent="0.2">
      <c r="C5" t="s">
        <v>852</v>
      </c>
      <c r="D5" s="76">
        <v>0.1</v>
      </c>
      <c r="E5" s="44">
        <f t="shared" ref="E5:E7" si="3">D5*E$8</f>
        <v>5.183230083189037</v>
      </c>
      <c r="J5" t="s">
        <v>853</v>
      </c>
      <c r="K5" s="55">
        <f>18%+17.9%</f>
        <v>0.35899999999999999</v>
      </c>
      <c r="L5" s="6"/>
      <c r="M5" s="44">
        <f t="shared" si="0"/>
        <v>9.7583268848322824</v>
      </c>
      <c r="R5" t="s">
        <v>67</v>
      </c>
      <c r="S5" s="55">
        <f>SUM(S3:S4)</f>
        <v>1</v>
      </c>
      <c r="T5" s="230">
        <f>'Yearly Demand - BTX'!N10</f>
        <v>45.18713405857109</v>
      </c>
      <c r="Y5" t="s">
        <v>854</v>
      </c>
      <c r="Z5" s="286">
        <v>0.187</v>
      </c>
      <c r="AA5" s="44">
        <f t="shared" si="1"/>
        <v>0.81336841305427976</v>
      </c>
      <c r="AE5" t="s">
        <v>593</v>
      </c>
      <c r="AF5" s="384">
        <v>0.216</v>
      </c>
      <c r="AG5" s="44">
        <f t="shared" si="2"/>
        <v>0.15658429342221425</v>
      </c>
    </row>
    <row r="6" spans="2:34" x14ac:dyDescent="0.2">
      <c r="C6" t="s">
        <v>855</v>
      </c>
      <c r="D6" s="384">
        <f>E6/E8</f>
        <v>0.13638464295952196</v>
      </c>
      <c r="E6" s="44">
        <f>D24</f>
        <v>7.069129842727901</v>
      </c>
      <c r="G6" t="s">
        <v>856</v>
      </c>
      <c r="H6" t="s">
        <v>857</v>
      </c>
      <c r="J6" t="s">
        <v>858</v>
      </c>
      <c r="K6" s="55">
        <v>0.1</v>
      </c>
      <c r="L6" s="6"/>
      <c r="M6" s="44">
        <f t="shared" si="0"/>
        <v>2.7181969038530038</v>
      </c>
      <c r="O6" s="384">
        <f>(K3+K6)/SUM(K3,K4,K6,K7)</f>
        <v>0.59282371294851799</v>
      </c>
      <c r="Q6" t="s">
        <v>96</v>
      </c>
      <c r="R6" t="s">
        <v>859</v>
      </c>
      <c r="S6" s="55"/>
      <c r="T6" s="6" t="s">
        <v>581</v>
      </c>
      <c r="U6" s="44"/>
      <c r="Y6" t="s">
        <v>248</v>
      </c>
      <c r="Z6" s="286">
        <v>0.126</v>
      </c>
      <c r="AA6" s="44">
        <f t="shared" si="1"/>
        <v>0.54804502697775004</v>
      </c>
      <c r="AB6" s="44"/>
      <c r="AE6" t="s">
        <v>860</v>
      </c>
      <c r="AF6" s="384">
        <v>0.183</v>
      </c>
      <c r="AG6" s="44">
        <f t="shared" si="2"/>
        <v>0.13266169303826483</v>
      </c>
      <c r="AH6" s="44"/>
    </row>
    <row r="7" spans="2:34" x14ac:dyDescent="0.2">
      <c r="C7" t="s">
        <v>248</v>
      </c>
      <c r="D7" s="76">
        <f>1-D3-D4-D5-D6</f>
        <v>8.2306852331227282E-2</v>
      </c>
      <c r="E7" s="44">
        <f t="shared" si="3"/>
        <v>4.2661535305581495</v>
      </c>
      <c r="J7" t="s">
        <v>248</v>
      </c>
      <c r="K7" s="55">
        <f>1-K3-K4-K5-K6</f>
        <v>4.1000000000000009E-2</v>
      </c>
      <c r="L7" s="6"/>
      <c r="M7" s="44">
        <f t="shared" si="0"/>
        <v>1.1144607305797316</v>
      </c>
      <c r="S7" s="55"/>
      <c r="T7" s="6"/>
      <c r="U7" s="44"/>
      <c r="Y7" t="s">
        <v>67</v>
      </c>
      <c r="Z7" s="41">
        <f>SUM(Z3:Z6)</f>
        <v>1</v>
      </c>
      <c r="AA7" s="262">
        <f>'Yearly Demand - BTX'!N11</f>
        <v>4.3495637061726189</v>
      </c>
      <c r="AB7" s="44"/>
      <c r="AE7" t="s">
        <v>248</v>
      </c>
      <c r="AF7" s="384">
        <f>1-AF3-AF4-AF5-AF6</f>
        <v>0.12300000000000005</v>
      </c>
      <c r="AG7" s="262">
        <f>'Yearly Demand - BTX'!N12</f>
        <v>0.72492728436210296</v>
      </c>
      <c r="AH7" s="44"/>
    </row>
    <row r="8" spans="2:34" x14ac:dyDescent="0.2">
      <c r="C8" t="s">
        <v>67</v>
      </c>
      <c r="D8" s="384">
        <f>SUM(D3:D7)</f>
        <v>0.99999999999999989</v>
      </c>
      <c r="E8" s="43">
        <f>'Yearly Demand - BTX'!N7</f>
        <v>51.832300831890365</v>
      </c>
      <c r="J8" t="s">
        <v>67</v>
      </c>
      <c r="K8" s="6">
        <f>SUM(K3:K7)</f>
        <v>1</v>
      </c>
      <c r="L8" s="6">
        <f>SUM(L3:L7)</f>
        <v>0</v>
      </c>
      <c r="M8" s="43">
        <f>'Yearly Demand - BTX'!N17</f>
        <v>27.181969038530035</v>
      </c>
      <c r="Q8" s="1" t="s">
        <v>845</v>
      </c>
      <c r="T8" s="1" t="s">
        <v>653</v>
      </c>
      <c r="U8" s="1" t="s">
        <v>663</v>
      </c>
      <c r="X8" t="s">
        <v>96</v>
      </c>
      <c r="Y8" s="5" t="s">
        <v>861</v>
      </c>
      <c r="AA8" t="s">
        <v>581</v>
      </c>
      <c r="AE8" t="s">
        <v>67</v>
      </c>
      <c r="AF8" s="384">
        <f>SUM(AF3:AF7)</f>
        <v>1</v>
      </c>
      <c r="AG8" s="262">
        <f>SUM(AG3:AG7)</f>
        <v>1.3606885127476671</v>
      </c>
    </row>
    <row r="9" spans="2:34" x14ac:dyDescent="0.2">
      <c r="B9" t="s">
        <v>862</v>
      </c>
      <c r="I9" t="s">
        <v>96</v>
      </c>
      <c r="J9" s="5" t="s">
        <v>863</v>
      </c>
      <c r="N9" t="s">
        <v>581</v>
      </c>
      <c r="Q9" s="134"/>
      <c r="R9" t="s">
        <v>474</v>
      </c>
      <c r="S9" s="23">
        <v>0.8</v>
      </c>
      <c r="T9" s="44">
        <f>S9*T3</f>
        <v>35.426713101919738</v>
      </c>
      <c r="U9" s="2">
        <f t="shared" ref="U9:U12" si="4">T9/$T$5</f>
        <v>0.78400000000000003</v>
      </c>
      <c r="V9" s="208" t="s">
        <v>864</v>
      </c>
      <c r="W9" t="s">
        <v>581</v>
      </c>
      <c r="AD9" t="s">
        <v>96</v>
      </c>
      <c r="AE9" s="5" t="s">
        <v>865</v>
      </c>
    </row>
    <row r="10" spans="2:34" x14ac:dyDescent="0.2">
      <c r="R10" t="s">
        <v>866</v>
      </c>
      <c r="S10" s="2">
        <f>T10/T13</f>
        <v>0.14831085600793664</v>
      </c>
      <c r="T10" s="44">
        <f>('Demand - Industry shares'!Z132/'Demand - Industry shares'!Z145)*R18</f>
        <v>6.5677076821166249</v>
      </c>
      <c r="U10" s="2">
        <f t="shared" si="4"/>
        <v>0.1453446388877779</v>
      </c>
      <c r="X10" s="1" t="s">
        <v>867</v>
      </c>
      <c r="AA10" s="1" t="s">
        <v>653</v>
      </c>
      <c r="AB10" s="1" t="s">
        <v>663</v>
      </c>
    </row>
    <row r="11" spans="2:34" x14ac:dyDescent="0.2">
      <c r="B11" s="1" t="s">
        <v>666</v>
      </c>
      <c r="D11" s="1" t="s">
        <v>653</v>
      </c>
      <c r="E11" s="1" t="s">
        <v>663</v>
      </c>
      <c r="I11" s="1" t="s">
        <v>858</v>
      </c>
      <c r="L11" s="1" t="s">
        <v>653</v>
      </c>
      <c r="M11" s="1" t="s">
        <v>663</v>
      </c>
      <c r="R11" t="s">
        <v>868</v>
      </c>
      <c r="S11" s="6">
        <f>T11/T13</f>
        <v>2.5844571996031612E-2</v>
      </c>
      <c r="T11" s="44">
        <f>(T13-T10-T9)/2</f>
        <v>1.1444852966816512</v>
      </c>
      <c r="U11" s="2">
        <f t="shared" si="4"/>
        <v>2.5327680556110978E-2</v>
      </c>
      <c r="V11" t="s">
        <v>869</v>
      </c>
      <c r="X11" s="134"/>
      <c r="Y11" t="s">
        <v>870</v>
      </c>
      <c r="Z11" s="286">
        <v>0.14599999999999999</v>
      </c>
      <c r="AA11" s="262">
        <f>Z11*$AA$3</f>
        <v>0.2775108635812254</v>
      </c>
      <c r="AB11" s="2">
        <f>AA11/$AA$7</f>
        <v>6.3801999999999998E-2</v>
      </c>
      <c r="AD11" s="1" t="s">
        <v>867</v>
      </c>
      <c r="AG11" s="1" t="s">
        <v>653</v>
      </c>
      <c r="AH11" s="1" t="s">
        <v>663</v>
      </c>
    </row>
    <row r="12" spans="2:34" x14ac:dyDescent="0.2">
      <c r="B12" t="s">
        <v>668</v>
      </c>
      <c r="C12" s="6">
        <f>'Demand Breakdown - Ethylene'!R14</f>
        <v>0.99</v>
      </c>
      <c r="D12" s="44">
        <f>C12*$E$3</f>
        <v>26.920928571428568</v>
      </c>
      <c r="E12" s="2">
        <f>D12/$E$8</f>
        <v>0.51938517371131609</v>
      </c>
      <c r="I12" s="134"/>
      <c r="J12" t="s">
        <v>745</v>
      </c>
      <c r="K12" s="214">
        <v>0.92</v>
      </c>
      <c r="L12" s="44">
        <f>K12*$M$6</f>
        <v>2.5007411515447635</v>
      </c>
      <c r="M12" s="2">
        <f>L12/$M$8</f>
        <v>9.2000000000000012E-2</v>
      </c>
      <c r="R12" t="s">
        <v>871</v>
      </c>
      <c r="S12" s="41">
        <f>1-S10-S9-S11</f>
        <v>2.5844571996031646E-2</v>
      </c>
      <c r="T12" s="262">
        <f>(T13-T10-T9)/2</f>
        <v>1.1444852966816512</v>
      </c>
      <c r="U12" s="2">
        <f t="shared" si="4"/>
        <v>2.5327680556110978E-2</v>
      </c>
      <c r="Y12" t="s">
        <v>872</v>
      </c>
      <c r="Z12" s="286">
        <f>18%+17.9%</f>
        <v>0.35899999999999999</v>
      </c>
      <c r="AA12" s="262">
        <f t="shared" ref="AA12:AA15" si="5">Z12*$AA$3</f>
        <v>0.68237260291547897</v>
      </c>
      <c r="AB12" s="2">
        <f t="shared" ref="AB12:AB15" si="6">AA12/$AA$7</f>
        <v>0.15688299999999999</v>
      </c>
      <c r="AD12" s="134"/>
      <c r="AE12" t="s">
        <v>873</v>
      </c>
      <c r="AF12" s="286">
        <v>0.35199999999999998</v>
      </c>
      <c r="AG12" s="262">
        <f>AF12*$AA$3</f>
        <v>0.66906728753829692</v>
      </c>
      <c r="AH12" s="2">
        <f>AG12/$AA$7</f>
        <v>0.15382399999999999</v>
      </c>
    </row>
    <row r="13" spans="2:34" ht="16" x14ac:dyDescent="0.2">
      <c r="B13" t="s">
        <v>192</v>
      </c>
      <c r="C13" s="6">
        <f>'Demand Breakdown - Ethylene'!R15</f>
        <v>0.01</v>
      </c>
      <c r="D13" s="44">
        <f>C13*$E$3</f>
        <v>0.27192857142857141</v>
      </c>
      <c r="E13" s="2">
        <f>D13/$E$8</f>
        <v>5.2463148859728899E-3</v>
      </c>
      <c r="J13" s="134" t="s">
        <v>248</v>
      </c>
      <c r="K13" s="214">
        <v>0.08</v>
      </c>
      <c r="L13" s="44">
        <f>K13*$M$6</f>
        <v>0.21745575230824032</v>
      </c>
      <c r="M13" s="2">
        <f>L13/$M$8</f>
        <v>8.0000000000000019E-3</v>
      </c>
      <c r="R13" t="s">
        <v>67</v>
      </c>
      <c r="S13" s="110">
        <f>SUM(S9:S12)</f>
        <v>1</v>
      </c>
      <c r="T13" s="44">
        <f>T3</f>
        <v>44.283391377399667</v>
      </c>
      <c r="Y13" t="s">
        <v>874</v>
      </c>
      <c r="Z13" s="286">
        <f>14%</f>
        <v>0.14000000000000001</v>
      </c>
      <c r="AA13" s="262">
        <f t="shared" si="5"/>
        <v>0.26610630754364084</v>
      </c>
      <c r="AB13" s="2">
        <f t="shared" si="6"/>
        <v>6.1180000000000005E-2</v>
      </c>
      <c r="AE13" t="s">
        <v>872</v>
      </c>
      <c r="AF13" s="286">
        <v>0.221</v>
      </c>
      <c r="AG13" s="262">
        <f t="shared" ref="AG13:AG18" si="7">AF13*$AA$3</f>
        <v>0.42006781405103305</v>
      </c>
      <c r="AH13" s="2">
        <f t="shared" ref="AH13:AH17" si="8">AG13/$AA$7</f>
        <v>9.657700000000001E-2</v>
      </c>
    </row>
    <row r="14" spans="2:34" x14ac:dyDescent="0.2">
      <c r="C14" s="6">
        <f>SUM(C12:C13)</f>
        <v>1</v>
      </c>
      <c r="D14" s="44">
        <f>C14*$E$3</f>
        <v>27.19285714285714</v>
      </c>
      <c r="J14" t="s">
        <v>67</v>
      </c>
      <c r="K14" s="110">
        <f>SUM(K12:K13)</f>
        <v>1</v>
      </c>
      <c r="L14" s="44">
        <f>K14*$E$3</f>
        <v>27.19285714285714</v>
      </c>
      <c r="Q14" t="s">
        <v>875</v>
      </c>
      <c r="S14" t="s">
        <v>581</v>
      </c>
      <c r="Y14" t="s">
        <v>876</v>
      </c>
      <c r="Z14" s="286">
        <v>0.106</v>
      </c>
      <c r="AA14" s="262">
        <f t="shared" si="5"/>
        <v>0.20148048999732804</v>
      </c>
      <c r="AB14" s="2">
        <f t="shared" si="6"/>
        <v>4.6321999999999995E-2</v>
      </c>
      <c r="AE14" t="s">
        <v>877</v>
      </c>
      <c r="AF14" s="286">
        <v>0.18</v>
      </c>
      <c r="AG14" s="262">
        <f t="shared" si="7"/>
        <v>0.3421366811275382</v>
      </c>
      <c r="AH14" s="2">
        <f t="shared" si="8"/>
        <v>7.8659999999999994E-2</v>
      </c>
    </row>
    <row r="15" spans="2:34" x14ac:dyDescent="0.2">
      <c r="I15" t="s">
        <v>96</v>
      </c>
      <c r="J15" t="s">
        <v>878</v>
      </c>
      <c r="K15" s="214"/>
      <c r="L15" s="44"/>
      <c r="Q15" t="s">
        <v>879</v>
      </c>
      <c r="T15" s="56"/>
      <c r="Y15" t="s">
        <v>248</v>
      </c>
      <c r="Z15" s="286">
        <f>1-Z11-Z12-Z13-Z14</f>
        <v>0.249</v>
      </c>
      <c r="AA15" s="262">
        <f t="shared" si="5"/>
        <v>0.47328907555976119</v>
      </c>
      <c r="AB15" s="2">
        <f t="shared" si="6"/>
        <v>0.10881300000000001</v>
      </c>
      <c r="AE15" t="s">
        <v>880</v>
      </c>
      <c r="AF15" s="286">
        <v>0.11899999999999999</v>
      </c>
      <c r="AG15" s="262">
        <f t="shared" si="7"/>
        <v>0.2261903614120947</v>
      </c>
      <c r="AH15" s="2">
        <f t="shared" si="8"/>
        <v>5.2003000000000001E-2</v>
      </c>
    </row>
    <row r="16" spans="2:34" x14ac:dyDescent="0.2">
      <c r="B16" s="1" t="s">
        <v>673</v>
      </c>
      <c r="D16" s="1" t="s">
        <v>653</v>
      </c>
      <c r="E16" s="1" t="s">
        <v>663</v>
      </c>
      <c r="K16" s="214"/>
      <c r="L16" s="44"/>
      <c r="Q16" t="s">
        <v>881</v>
      </c>
      <c r="R16" s="56">
        <f>(12*2+4)/R20-R17</f>
        <v>0.10453827988287212</v>
      </c>
      <c r="T16" s="56"/>
      <c r="Y16" s="127" t="s">
        <v>67</v>
      </c>
      <c r="Z16" s="41">
        <f>SUM(Z11:Z15)</f>
        <v>1</v>
      </c>
      <c r="AA16" s="230">
        <f>Z16*$AA$3</f>
        <v>1.9007593395974345</v>
      </c>
      <c r="AB16" s="2"/>
      <c r="AE16" t="s">
        <v>882</v>
      </c>
      <c r="AF16" s="286">
        <v>7.9000000000000001E-2</v>
      </c>
      <c r="AG16" s="262">
        <f t="shared" si="7"/>
        <v>0.15015998782819734</v>
      </c>
      <c r="AH16" s="2">
        <f t="shared" si="8"/>
        <v>3.4523000000000005E-2</v>
      </c>
    </row>
    <row r="17" spans="2:35" x14ac:dyDescent="0.2">
      <c r="B17" t="s">
        <v>478</v>
      </c>
      <c r="C17" s="6">
        <f>'Demand Breakdown - Ethylene'!R19</f>
        <v>0.59</v>
      </c>
      <c r="D17" s="44">
        <f>C17*$D$12</f>
        <v>15.883347857142855</v>
      </c>
      <c r="E17" s="2">
        <f>D17/$E$8</f>
        <v>0.30643725248967646</v>
      </c>
      <c r="K17" s="41"/>
      <c r="L17" s="44"/>
      <c r="M17" s="522"/>
      <c r="N17" s="134"/>
      <c r="O17" s="134"/>
      <c r="Q17" t="s">
        <v>883</v>
      </c>
      <c r="R17" s="56">
        <f>'Demand - Industry shares'!Z147</f>
        <v>4.1295053450461215E-2</v>
      </c>
      <c r="T17" s="44"/>
      <c r="U17" s="522"/>
      <c r="V17" s="134"/>
      <c r="W17" s="134"/>
      <c r="X17" t="s">
        <v>96</v>
      </c>
      <c r="Y17" t="s">
        <v>884</v>
      </c>
      <c r="AC17" t="s">
        <v>581</v>
      </c>
      <c r="AE17" t="s">
        <v>248</v>
      </c>
      <c r="AF17" s="286">
        <f>1-AF12-AF13-AF14-AF15-AF16</f>
        <v>4.9000000000000057E-2</v>
      </c>
      <c r="AG17" s="262">
        <f t="shared" si="7"/>
        <v>9.3137207640274403E-2</v>
      </c>
      <c r="AH17" s="2">
        <f t="shared" si="8"/>
        <v>2.1413000000000026E-2</v>
      </c>
    </row>
    <row r="18" spans="2:35" x14ac:dyDescent="0.2">
      <c r="B18" t="s">
        <v>192</v>
      </c>
      <c r="C18" s="6">
        <f>'Demand Breakdown - Ethylene'!R20</f>
        <v>0.41000000000000003</v>
      </c>
      <c r="D18" s="44">
        <f>C18*$D$12</f>
        <v>11.037580714285713</v>
      </c>
      <c r="E18" s="2">
        <f>D18/$E$8</f>
        <v>0.21294792122163958</v>
      </c>
      <c r="L18" s="6"/>
      <c r="M18" s="208"/>
      <c r="Q18" t="s">
        <v>885</v>
      </c>
      <c r="R18" s="56">
        <f>(12*8+4+6)/192</f>
        <v>0.55208333333333337</v>
      </c>
      <c r="S18" s="41"/>
      <c r="T18" s="6"/>
      <c r="U18" s="208"/>
      <c r="Y18" s="56"/>
      <c r="AA18" s="56"/>
      <c r="AE18" s="127" t="s">
        <v>67</v>
      </c>
      <c r="AF18" s="41">
        <f>SUM(AF12:AF17)</f>
        <v>0.99999999999999989</v>
      </c>
      <c r="AG18" s="230">
        <f t="shared" si="7"/>
        <v>1.9007593395974343</v>
      </c>
    </row>
    <row r="19" spans="2:35" x14ac:dyDescent="0.2">
      <c r="C19" s="6">
        <f>SUM(C17:C18)</f>
        <v>1</v>
      </c>
      <c r="D19" s="44">
        <f>D12</f>
        <v>26.920928571428568</v>
      </c>
      <c r="L19" s="6"/>
      <c r="Q19" t="s">
        <v>886</v>
      </c>
      <c r="R19" s="55">
        <f>64/R20</f>
        <v>0.33333333333333331</v>
      </c>
      <c r="S19" s="208" t="s">
        <v>887</v>
      </c>
      <c r="T19" s="6"/>
      <c r="Y19" s="56"/>
      <c r="Z19" s="41"/>
      <c r="AA19" s="44"/>
      <c r="AB19" s="522"/>
      <c r="AC19" s="134"/>
      <c r="AD19" t="s">
        <v>96</v>
      </c>
      <c r="AE19" s="5" t="s">
        <v>888</v>
      </c>
      <c r="AF19" s="41"/>
      <c r="AG19" s="44"/>
      <c r="AH19" s="522"/>
      <c r="AI19" t="s">
        <v>857</v>
      </c>
    </row>
    <row r="20" spans="2:35" x14ac:dyDescent="0.2">
      <c r="G20" t="s">
        <v>478</v>
      </c>
      <c r="H20" s="44">
        <f>D17+9*0.14</f>
        <v>17.143347857142857</v>
      </c>
      <c r="I20" s="2">
        <f>H20/$H$25</f>
        <v>0.14778748152709359</v>
      </c>
      <c r="L20" s="5"/>
      <c r="Q20" t="s">
        <v>889</v>
      </c>
      <c r="R20">
        <f>12*10+8+16*4</f>
        <v>192</v>
      </c>
      <c r="T20" s="5"/>
      <c r="Y20" s="55"/>
      <c r="Z20" s="208"/>
      <c r="AA20" s="6"/>
      <c r="AB20" s="208"/>
      <c r="AE20" s="55"/>
      <c r="AF20" s="208"/>
      <c r="AG20" s="6"/>
      <c r="AH20" s="208"/>
    </row>
    <row r="21" spans="2:35" x14ac:dyDescent="0.2">
      <c r="B21" s="178" t="s">
        <v>855</v>
      </c>
      <c r="G21" t="s">
        <v>474</v>
      </c>
      <c r="H21" s="245">
        <f>AA11+T9+T10+9*0.36</f>
        <v>45.511931647617594</v>
      </c>
      <c r="I21" s="2">
        <f t="shared" ref="I21:I24" si="9">H21/$H$25</f>
        <v>0.39234423834153098</v>
      </c>
      <c r="R21" s="6">
        <f>SUM(R16:R19)</f>
        <v>1.03125</v>
      </c>
      <c r="AA21" s="6"/>
      <c r="AG21" s="6"/>
    </row>
    <row r="22" spans="2:35" x14ac:dyDescent="0.2">
      <c r="B22" t="s">
        <v>890</v>
      </c>
      <c r="C22" s="55">
        <v>0.82</v>
      </c>
      <c r="D22">
        <f>'Sankey Methanol_detailed'!H24/('Demand - Industry shares'!Z92*'Demand - Industry shares'!Z93)*K35</f>
        <v>5.7966864710368791</v>
      </c>
      <c r="E22" s="2">
        <f>D22/$E$8</f>
        <v>0.11183540722680801</v>
      </c>
      <c r="G22" t="s">
        <v>745</v>
      </c>
      <c r="H22" s="44">
        <f>D28+L12+9*0.07</f>
        <v>8.637593299029799</v>
      </c>
      <c r="I22" s="2">
        <f t="shared" si="9"/>
        <v>7.4462011198532754E-2</v>
      </c>
      <c r="AA22" s="5"/>
      <c r="AG22" s="5"/>
    </row>
    <row r="23" spans="2:35" x14ac:dyDescent="0.2">
      <c r="B23" t="s">
        <v>248</v>
      </c>
      <c r="C23" s="55">
        <v>0.18</v>
      </c>
      <c r="D23">
        <f>D22*C23/C22</f>
        <v>1.2724433716910222</v>
      </c>
      <c r="E23" s="2">
        <f>D23/$E$8</f>
        <v>2.4549235732713955E-2</v>
      </c>
      <c r="F23" s="2"/>
      <c r="G23" t="s">
        <v>187</v>
      </c>
      <c r="H23" s="44">
        <f>M3+9*0.07</f>
        <v>8.2409513307884108</v>
      </c>
      <c r="I23" s="2">
        <f t="shared" si="9"/>
        <v>7.1042683886106989E-2</v>
      </c>
    </row>
    <row r="24" spans="2:35" x14ac:dyDescent="0.2">
      <c r="B24" t="s">
        <v>67</v>
      </c>
      <c r="C24" s="6">
        <f>SUM(C22:C23)</f>
        <v>1</v>
      </c>
      <c r="D24">
        <f>SUM(D22:D23)</f>
        <v>7.069129842727901</v>
      </c>
      <c r="G24" t="s">
        <v>248</v>
      </c>
      <c r="H24" s="245">
        <f>116-H20-H21-H22-H23</f>
        <v>36.466175865421341</v>
      </c>
      <c r="I24" s="2">
        <f t="shared" si="9"/>
        <v>0.31436358504673573</v>
      </c>
      <c r="Q24" t="s">
        <v>1908</v>
      </c>
      <c r="R24" s="609">
        <f>(U9+U10)*T13/(T5+AA7+AG8)</f>
        <v>0.80857850232194783</v>
      </c>
    </row>
    <row r="25" spans="2:35" x14ac:dyDescent="0.2">
      <c r="B25" t="s">
        <v>96</v>
      </c>
      <c r="C25" t="s">
        <v>891</v>
      </c>
      <c r="E25" t="s">
        <v>581</v>
      </c>
      <c r="G25" t="s">
        <v>67</v>
      </c>
      <c r="H25">
        <v>116</v>
      </c>
    </row>
    <row r="27" spans="2:35" s="1" customFormat="1" x14ac:dyDescent="0.2">
      <c r="B27" s="1" t="s">
        <v>890</v>
      </c>
    </row>
    <row r="28" spans="2:35" x14ac:dyDescent="0.2">
      <c r="B28" t="s">
        <v>745</v>
      </c>
      <c r="C28" s="6">
        <f>'Sankey Methanol_detailed'!G83</f>
        <v>0.95</v>
      </c>
      <c r="D28">
        <f>$D$22*C28</f>
        <v>5.5068521474850352</v>
      </c>
      <c r="E28" s="2">
        <f>D28/$E$8</f>
        <v>0.10624363686546762</v>
      </c>
    </row>
    <row r="29" spans="2:35" x14ac:dyDescent="0.2">
      <c r="B29" t="s">
        <v>248</v>
      </c>
      <c r="C29" s="6">
        <f>1-C28</f>
        <v>5.0000000000000044E-2</v>
      </c>
      <c r="D29">
        <f>$D$22*C29</f>
        <v>0.28983432355184419</v>
      </c>
      <c r="E29" s="2">
        <f>D29/$E$8</f>
        <v>5.5917703613404058E-3</v>
      </c>
    </row>
    <row r="30" spans="2:35" x14ac:dyDescent="0.2">
      <c r="B30" t="s">
        <v>67</v>
      </c>
      <c r="C30" s="6">
        <f>SUM(C28:C29)</f>
        <v>1</v>
      </c>
      <c r="D30">
        <f>SUM(D28:D29)</f>
        <v>5.7966864710368791</v>
      </c>
    </row>
    <row r="32" spans="2:35" x14ac:dyDescent="0.2">
      <c r="B32" t="s">
        <v>879</v>
      </c>
      <c r="J32" t="s">
        <v>892</v>
      </c>
      <c r="K32" s="2">
        <f>(6*12+6)/(6*12+5+14+16*2)</f>
        <v>0.63414634146341464</v>
      </c>
    </row>
    <row r="33" spans="1:11" x14ac:dyDescent="0.2">
      <c r="B33" t="s">
        <v>893</v>
      </c>
      <c r="C33" s="56">
        <f>(12*2+4)/(12*8+10)</f>
        <v>0.26415094339622641</v>
      </c>
      <c r="D33" t="s">
        <v>894</v>
      </c>
      <c r="E33" s="56">
        <f>(12*6+6)/(12*8+10)</f>
        <v>0.73584905660377353</v>
      </c>
      <c r="F33" s="6"/>
      <c r="J33" t="s">
        <v>895</v>
      </c>
      <c r="K33" s="2">
        <f>(6*12+5+14+16*2)/(12*6+5+14+2)</f>
        <v>1.3225806451612903</v>
      </c>
    </row>
    <row r="34" spans="1:11" x14ac:dyDescent="0.2">
      <c r="B34" t="s">
        <v>896</v>
      </c>
      <c r="C34" s="56">
        <f>(12*3+7)/(12*9+13)</f>
        <v>0.35537190082644626</v>
      </c>
      <c r="D34" t="s">
        <v>897</v>
      </c>
      <c r="E34" s="56">
        <f>(12*6+6)/(12*9+13)</f>
        <v>0.64462809917355368</v>
      </c>
      <c r="J34" t="s">
        <v>898</v>
      </c>
      <c r="K34" s="2">
        <f>(12*6+5+14+2)*2/(C40)</f>
        <v>0.74399999999999999</v>
      </c>
    </row>
    <row r="35" spans="1:11" x14ac:dyDescent="0.2">
      <c r="K35" s="2">
        <f>K32*K34*K33</f>
        <v>0.62399999999999989</v>
      </c>
    </row>
    <row r="36" spans="1:11" x14ac:dyDescent="0.2">
      <c r="B36" t="s">
        <v>899</v>
      </c>
      <c r="F36" t="s">
        <v>900</v>
      </c>
    </row>
    <row r="37" spans="1:11" x14ac:dyDescent="0.2">
      <c r="B37" t="s">
        <v>901</v>
      </c>
      <c r="C37" s="51">
        <f>(6*12+4)*2</f>
        <v>152</v>
      </c>
      <c r="D37" s="23">
        <f>C37/$C$40</f>
        <v>0.60799999999999998</v>
      </c>
      <c r="F37" t="s">
        <v>902</v>
      </c>
      <c r="G37">
        <f>12*6+12+3+3</f>
        <v>90</v>
      </c>
      <c r="H37" s="2">
        <f>G37/$G$39</f>
        <v>0.51724137931034486</v>
      </c>
    </row>
    <row r="38" spans="1:11" x14ac:dyDescent="0.2">
      <c r="B38" t="s">
        <v>903</v>
      </c>
      <c r="C38" s="51">
        <f>12+2</f>
        <v>14</v>
      </c>
      <c r="D38" s="2">
        <f t="shared" ref="D38:D39" si="10">C38/$C$40</f>
        <v>5.6000000000000001E-2</v>
      </c>
      <c r="F38" t="s">
        <v>904</v>
      </c>
      <c r="G38">
        <f>(14+12+16)*2</f>
        <v>84</v>
      </c>
      <c r="H38" s="2">
        <f>G38/$G$39</f>
        <v>0.48275862068965519</v>
      </c>
    </row>
    <row r="39" spans="1:11" x14ac:dyDescent="0.2">
      <c r="B39" t="s">
        <v>905</v>
      </c>
      <c r="C39" s="51">
        <f>(14+12+16)*2</f>
        <v>84</v>
      </c>
      <c r="D39" s="2">
        <f t="shared" si="10"/>
        <v>0.33600000000000002</v>
      </c>
      <c r="G39">
        <f>SUM(G37:G38)</f>
        <v>174</v>
      </c>
    </row>
    <row r="40" spans="1:11" x14ac:dyDescent="0.2">
      <c r="C40">
        <f>SUM(C37:C39)</f>
        <v>250</v>
      </c>
    </row>
    <row r="43" spans="1:11" s="193" customFormat="1" x14ac:dyDescent="0.2">
      <c r="A43" s="344"/>
      <c r="B43" s="190" t="s">
        <v>906</v>
      </c>
    </row>
    <row r="45" spans="1:11" x14ac:dyDescent="0.2">
      <c r="B45" t="s">
        <v>907</v>
      </c>
    </row>
    <row r="46" spans="1:11" x14ac:dyDescent="0.2">
      <c r="B46" t="s">
        <v>908</v>
      </c>
      <c r="C46">
        <f>'Demand Breakdown - Propylene'!X16</f>
        <v>5.3275384615384622</v>
      </c>
      <c r="F46" t="s">
        <v>909</v>
      </c>
      <c r="G46">
        <f>D22/K35</f>
        <v>9.2895616523026927</v>
      </c>
    </row>
    <row r="47" spans="1:11" x14ac:dyDescent="0.2">
      <c r="B47" t="s">
        <v>910</v>
      </c>
      <c r="C47">
        <f>'Demand Breakdown - Ethylene'!I19</f>
        <v>0.68330769230769228</v>
      </c>
      <c r="F47" t="s">
        <v>911</v>
      </c>
      <c r="G47">
        <f>M6/H37</f>
        <v>5.2551806807824741</v>
      </c>
    </row>
    <row r="48" spans="1:11" x14ac:dyDescent="0.2">
      <c r="C48">
        <f>SUM(C46:C47)/0.9</f>
        <v>6.6787179487179493</v>
      </c>
      <c r="D48" t="s">
        <v>912</v>
      </c>
      <c r="E48" t="s">
        <v>581</v>
      </c>
      <c r="G48">
        <f>SUM(G46:G47)/0.9</f>
        <v>16.160824814539076</v>
      </c>
      <c r="H48" t="s">
        <v>913</v>
      </c>
      <c r="I48" t="s">
        <v>581</v>
      </c>
    </row>
    <row r="50" spans="1:8" x14ac:dyDescent="0.2">
      <c r="B50" t="s">
        <v>914</v>
      </c>
      <c r="D50">
        <v>22.5</v>
      </c>
      <c r="E50" t="s">
        <v>704</v>
      </c>
      <c r="F50" s="524" t="s">
        <v>915</v>
      </c>
      <c r="G50" s="525">
        <f>D28/D51</f>
        <v>0.24111043747969202</v>
      </c>
    </row>
    <row r="51" spans="1:8" x14ac:dyDescent="0.2">
      <c r="B51" t="s">
        <v>916</v>
      </c>
      <c r="D51" s="44">
        <f>C48+G48</f>
        <v>22.839542763257025</v>
      </c>
      <c r="E51" t="s">
        <v>704</v>
      </c>
      <c r="F51" s="524" t="s">
        <v>917</v>
      </c>
      <c r="G51" s="525">
        <f>L12/D51</f>
        <v>0.10949173446535959</v>
      </c>
    </row>
    <row r="53" spans="1:8" s="190" customFormat="1" x14ac:dyDescent="0.2">
      <c r="A53" s="189"/>
      <c r="B53" s="190" t="s">
        <v>918</v>
      </c>
    </row>
    <row r="55" spans="1:8" x14ac:dyDescent="0.2">
      <c r="C55" s="1" t="s">
        <v>7</v>
      </c>
      <c r="D55" s="1" t="s">
        <v>919</v>
      </c>
      <c r="E55" s="1" t="s">
        <v>823</v>
      </c>
      <c r="F55" s="1" t="s">
        <v>824</v>
      </c>
      <c r="G55" s="1" t="s">
        <v>825</v>
      </c>
      <c r="H55" s="1" t="s">
        <v>9</v>
      </c>
    </row>
    <row r="56" spans="1:8" x14ac:dyDescent="0.2">
      <c r="B56" t="s">
        <v>474</v>
      </c>
      <c r="C56" s="2">
        <f>0%</f>
        <v>0</v>
      </c>
      <c r="D56" s="2">
        <f>0</f>
        <v>0</v>
      </c>
      <c r="E56" s="2">
        <f>U9+U10</f>
        <v>0.92934463888777796</v>
      </c>
      <c r="F56" s="2">
        <v>0</v>
      </c>
      <c r="G56" s="2">
        <v>0</v>
      </c>
      <c r="H56" s="2">
        <f>(E56*$T$5+$AA$7*F56+$AG$8*G56)/($T$5+$AA$7+$AG$8)</f>
        <v>0.82508010441015089</v>
      </c>
    </row>
    <row r="57" spans="1:8" x14ac:dyDescent="0.2">
      <c r="B57" t="s">
        <v>745</v>
      </c>
      <c r="C57" s="2">
        <f>E28</f>
        <v>0.10624363686546762</v>
      </c>
      <c r="D57" s="2">
        <f>M12</f>
        <v>9.2000000000000012E-2</v>
      </c>
      <c r="E57" s="2">
        <f>0</f>
        <v>0</v>
      </c>
      <c r="F57" s="2">
        <v>0</v>
      </c>
      <c r="G57" s="2">
        <v>0</v>
      </c>
      <c r="H57" s="2">
        <f t="shared" ref="H57:H62" si="11">(E57*$T$5+$AA$7*F57+$AG$8*G57)/($T$5+$AA$7+$AG$8)</f>
        <v>0</v>
      </c>
    </row>
    <row r="58" spans="1:8" x14ac:dyDescent="0.2">
      <c r="B58" t="s">
        <v>478</v>
      </c>
      <c r="C58" s="2">
        <f>E17</f>
        <v>0.30643725248967646</v>
      </c>
      <c r="D58" s="2">
        <f>0</f>
        <v>0</v>
      </c>
      <c r="E58" s="2">
        <f>0</f>
        <v>0</v>
      </c>
      <c r="F58" s="2">
        <v>0</v>
      </c>
      <c r="G58" s="2">
        <v>0</v>
      </c>
      <c r="H58" s="2">
        <f t="shared" si="11"/>
        <v>0</v>
      </c>
    </row>
    <row r="59" spans="1:8" x14ac:dyDescent="0.2">
      <c r="B59" t="s">
        <v>740</v>
      </c>
      <c r="C59" s="2">
        <f>E18</f>
        <v>0.21294792122163958</v>
      </c>
      <c r="D59" s="2">
        <f>0</f>
        <v>0</v>
      </c>
      <c r="E59" s="2">
        <f>U11</f>
        <v>2.5327680556110978E-2</v>
      </c>
      <c r="F59" s="2">
        <f>AB11+AB12+AB13+AB14</f>
        <v>0.32818699999999995</v>
      </c>
      <c r="G59" s="2">
        <f>AH12+AH13+AH14+AH15</f>
        <v>0.38106400000000001</v>
      </c>
      <c r="H59" s="2">
        <f t="shared" si="11"/>
        <v>6.0719522045628395E-2</v>
      </c>
    </row>
    <row r="60" spans="1:8" x14ac:dyDescent="0.2">
      <c r="B60" t="s">
        <v>187</v>
      </c>
      <c r="C60" s="2">
        <v>0</v>
      </c>
      <c r="D60" s="2">
        <f>L3</f>
        <v>0</v>
      </c>
      <c r="E60" s="2">
        <v>0</v>
      </c>
      <c r="F60" s="2">
        <v>0</v>
      </c>
      <c r="G60" s="2">
        <v>0</v>
      </c>
      <c r="H60" s="2">
        <f t="shared" si="11"/>
        <v>0</v>
      </c>
    </row>
    <row r="61" spans="1:8" x14ac:dyDescent="0.2">
      <c r="B61" t="s">
        <v>920</v>
      </c>
      <c r="C61" s="2">
        <f>0</f>
        <v>0</v>
      </c>
      <c r="D61" s="2">
        <f>K4</f>
        <v>0.22</v>
      </c>
      <c r="E61" s="2">
        <f>0</f>
        <v>0</v>
      </c>
      <c r="F61" s="2">
        <f>Z5</f>
        <v>0.187</v>
      </c>
      <c r="G61" s="2">
        <f>0</f>
        <v>0</v>
      </c>
      <c r="H61" s="2">
        <f t="shared" si="11"/>
        <v>1.5980553669687751E-2</v>
      </c>
    </row>
    <row r="62" spans="1:8" x14ac:dyDescent="0.2">
      <c r="B62" t="s">
        <v>248</v>
      </c>
      <c r="C62" s="2">
        <f>1-C56-C57-C58-C59-C60-C61</f>
        <v>0.3743711894232164</v>
      </c>
      <c r="D62" s="2">
        <f t="shared" ref="D62:G62" si="12">1-D56-D57-D58-D59-D60-D61</f>
        <v>0.68800000000000006</v>
      </c>
      <c r="E62" s="2">
        <f t="shared" si="12"/>
        <v>4.5327680556111055E-2</v>
      </c>
      <c r="F62" s="2">
        <f t="shared" si="12"/>
        <v>0.48481299999999999</v>
      </c>
      <c r="G62" s="2">
        <f t="shared" si="12"/>
        <v>0.61893599999999993</v>
      </c>
      <c r="H62" s="2">
        <f t="shared" si="11"/>
        <v>9.8219819874533043E-2</v>
      </c>
    </row>
    <row r="63" spans="1:8" x14ac:dyDescent="0.2">
      <c r="B63" s="1" t="s">
        <v>67</v>
      </c>
      <c r="C63" s="124">
        <f>SUM(C56:C62)</f>
        <v>1</v>
      </c>
      <c r="D63" s="124">
        <f t="shared" ref="D63:H63" si="13">SUM(D56:D62)</f>
        <v>1</v>
      </c>
      <c r="E63" s="124">
        <f t="shared" si="13"/>
        <v>1</v>
      </c>
      <c r="F63" s="124">
        <f t="shared" si="13"/>
        <v>1</v>
      </c>
      <c r="G63" s="124">
        <f t="shared" si="13"/>
        <v>1</v>
      </c>
      <c r="H63" s="124">
        <f t="shared" si="13"/>
        <v>1</v>
      </c>
    </row>
    <row r="65" spans="2:21" x14ac:dyDescent="0.2">
      <c r="B65" t="s">
        <v>921</v>
      </c>
      <c r="C65" s="2">
        <f>C59*E8/('Demand - Industry shares'!$I$13*'Demand - Industry shares'!$L$14)</f>
        <v>0.46084339778979583</v>
      </c>
      <c r="D65" s="2">
        <f>D59*M8/('Demand - Industry shares'!$I$13*'Demand - Industry shares'!$L$14)</f>
        <v>0</v>
      </c>
      <c r="E65" s="2">
        <f>E59*T5/('Demand - Industry shares'!$I$13*'Demand - Industry shares'!$L$14)</f>
        <v>4.7784791477048484E-2</v>
      </c>
      <c r="F65" s="2">
        <f>F59*AA7/('Demand - Industry shares'!$I$13*'Demand - Industry shares'!$L$14)</f>
        <v>5.9600039515143859E-2</v>
      </c>
      <c r="G65" s="2">
        <f>G59*AG7/('Demand - Industry shares'!$I$13*'Demand - Industry shares'!$L$14)</f>
        <v>1.1533784832935073E-2</v>
      </c>
    </row>
    <row r="66" spans="2:21" x14ac:dyDescent="0.2">
      <c r="E66" s="692">
        <f>(E65*T5+F65*AA7+G65*AG7)/SUM(AG7,AA7,T5)</f>
        <v>4.8284413807593567E-2</v>
      </c>
      <c r="F66" s="692"/>
      <c r="G66" s="692"/>
    </row>
    <row r="68" spans="2:21" ht="16" thickBot="1" x14ac:dyDescent="0.25"/>
    <row r="69" spans="2:21" x14ac:dyDescent="0.2">
      <c r="B69" s="31" t="s">
        <v>922</v>
      </c>
      <c r="C69" s="31" t="s">
        <v>478</v>
      </c>
      <c r="D69" s="31" t="s">
        <v>474</v>
      </c>
      <c r="E69" s="31" t="s">
        <v>676</v>
      </c>
      <c r="F69" s="31" t="s">
        <v>745</v>
      </c>
      <c r="G69" s="31" t="s">
        <v>248</v>
      </c>
      <c r="H69" s="31"/>
      <c r="I69" s="31"/>
      <c r="J69" s="34" t="s">
        <v>67</v>
      </c>
      <c r="K69" s="37" t="s">
        <v>603</v>
      </c>
      <c r="L69" s="37" t="s">
        <v>46</v>
      </c>
      <c r="M69" s="92" t="s">
        <v>604</v>
      </c>
      <c r="N69" s="95" t="s">
        <v>67</v>
      </c>
      <c r="P69" s="162" t="s">
        <v>693</v>
      </c>
      <c r="U69" s="1" t="s">
        <v>694</v>
      </c>
    </row>
    <row r="70" spans="2:21" x14ac:dyDescent="0.2">
      <c r="B70" t="s">
        <v>309</v>
      </c>
      <c r="C70" s="2">
        <f>'Demand - Industry shares'!E97/'Demand - Industry shares'!E$104*('Demand - Industry shares'!$E$104/'Demand - Industry shares'!$K$104)</f>
        <v>0.17654689009954674</v>
      </c>
      <c r="D70" s="2">
        <v>0</v>
      </c>
      <c r="E70" s="2">
        <v>0</v>
      </c>
      <c r="F70" s="2">
        <f>'Demand - Industry shares'!I97/'Demand - Industry shares'!I$104*('Demand - Industry shares'!$I$104/'Demand - Industry shares'!$K$104)</f>
        <v>9.3049569217995929E-3</v>
      </c>
      <c r="G70" s="2">
        <f>'Demand - Industry shares'!J97/'Demand - Industry shares'!J$104*('Demand - Industry shares'!$J$104/'Demand - Industry shares'!$K$104)</f>
        <v>1.1257018655136664E-3</v>
      </c>
      <c r="H70" s="214"/>
      <c r="I70" s="2"/>
      <c r="J70" s="35">
        <f>SUM(C70:I70)</f>
        <v>0.18697754888686</v>
      </c>
      <c r="K70" s="505">
        <f>'Yearly Demand - BTX'!$N$16*'Demand Breakdown - BTX'!J70</f>
        <v>7.8426966561118325</v>
      </c>
      <c r="L70" s="571">
        <f>$L$77</f>
        <v>1.0955353563799175E-2</v>
      </c>
      <c r="M70" s="93">
        <f>K70*(1+L70)^30</f>
        <v>10.874885936166345</v>
      </c>
      <c r="N70" s="96">
        <f>M70/M$77</f>
        <v>0.18697754888686</v>
      </c>
      <c r="P70" s="54" t="s">
        <v>923</v>
      </c>
    </row>
    <row r="71" spans="2:21" x14ac:dyDescent="0.2">
      <c r="B71" t="s">
        <v>310</v>
      </c>
      <c r="C71" s="2">
        <f>'Demand - Industry shares'!E98/'Demand - Industry shares'!E$104*('Demand - Industry shares'!$E$104/'Demand - Industry shares'!$K$104)</f>
        <v>0.16887093835608824</v>
      </c>
      <c r="D71" s="2">
        <v>0</v>
      </c>
      <c r="E71" s="2">
        <v>0</v>
      </c>
      <c r="F71" s="2">
        <f>'Demand - Industry shares'!I98/'Demand - Industry shares'!I$104*('Demand - Industry shares'!$I$104/'Demand - Industry shares'!$K$104)</f>
        <v>0.11165948306159511</v>
      </c>
      <c r="G71" s="2">
        <f>'Demand - Industry shares'!J98/'Demand - Industry shares'!J$104*('Demand - Industry shares'!$J$104/'Demand - Industry shares'!$K$104)</f>
        <v>5.6285093275683313E-3</v>
      </c>
      <c r="H71" s="286"/>
      <c r="I71" s="2"/>
      <c r="J71" s="35">
        <f>SUM(C71:I71)</f>
        <v>0.28615893074525167</v>
      </c>
      <c r="K71" s="505">
        <f>'Yearly Demand - BTX'!$N$16*'Demand Breakdown - BTX'!J71</f>
        <v>12.002819069097551</v>
      </c>
      <c r="L71" s="571">
        <f t="shared" ref="L71:L76" si="14">$L$77</f>
        <v>1.0955353563799175E-2</v>
      </c>
      <c r="M71" s="93">
        <f t="shared" ref="M71:M76" si="15">K71*(1+L71)^30</f>
        <v>16.643419223304573</v>
      </c>
      <c r="N71" s="96">
        <f t="shared" ref="N71:N76" si="16">M71/M$77</f>
        <v>0.28615893074525162</v>
      </c>
      <c r="P71" s="54" t="s">
        <v>924</v>
      </c>
      <c r="U71" s="176" t="s">
        <v>697</v>
      </c>
    </row>
    <row r="72" spans="2:21" x14ac:dyDescent="0.2">
      <c r="B72" t="s">
        <v>370</v>
      </c>
      <c r="C72" s="2">
        <f>'Demand - Industry shares'!E99/'Demand - Industry shares'!E$104*('Demand - Industry shares'!$E$104/'Demand - Industry shares'!$K$104)</f>
        <v>0</v>
      </c>
      <c r="D72" s="2">
        <v>0</v>
      </c>
      <c r="E72" s="2">
        <v>0</v>
      </c>
      <c r="F72" s="2">
        <f>'Demand - Industry shares'!I99/'Demand - Industry shares'!I$104*('Demand - Industry shares'!$I$104/'Demand - Industry shares'!$K$104)</f>
        <v>3.7219827687198372E-2</v>
      </c>
      <c r="G72" s="2">
        <f>'Demand - Industry shares'!J99/'Demand - Industry shares'!J$104*('Demand - Industry shares'!$J$104/'Demand - Industry shares'!$K$104)</f>
        <v>2.476544104130066E-2</v>
      </c>
      <c r="H72" s="286"/>
      <c r="I72" s="2"/>
      <c r="J72" s="35">
        <f t="shared" ref="J72:J76" si="17">SUM(C72:I72)</f>
        <v>6.1985268728499035E-2</v>
      </c>
      <c r="K72" s="505">
        <f>'Yearly Demand - BTX'!$N$16*'Demand Breakdown - BTX'!J72</f>
        <v>2.5999466924200121</v>
      </c>
      <c r="L72" s="571">
        <f t="shared" si="14"/>
        <v>1.0955353563799175E-2</v>
      </c>
      <c r="M72" s="93">
        <f t="shared" si="15"/>
        <v>3.6051532986611821</v>
      </c>
      <c r="N72" s="96">
        <f t="shared" si="16"/>
        <v>6.1985268728499042E-2</v>
      </c>
      <c r="P72" s="54" t="s">
        <v>924</v>
      </c>
    </row>
    <row r="73" spans="2:21" x14ac:dyDescent="0.2">
      <c r="B73" t="s">
        <v>312</v>
      </c>
      <c r="C73" s="2">
        <f>'Demand - Industry shares'!E100/'Demand - Industry shares'!E$104*('Demand - Industry shares'!$E$104/'Demand - Industry shares'!$K$104)</f>
        <v>4.605571046075134E-2</v>
      </c>
      <c r="D73" s="2">
        <v>0</v>
      </c>
      <c r="E73" s="2">
        <v>0</v>
      </c>
      <c r="F73" s="2">
        <f>'Demand - Industry shares'!I100/'Demand - Industry shares'!I$104*('Demand - Industry shares'!$I$104/'Demand - Industry shares'!$K$104)</f>
        <v>1.8609913843599186E-2</v>
      </c>
      <c r="G73" s="2">
        <f>'Demand - Industry shares'!J100/'Demand - Industry shares'!J$104*('Demand - Industry shares'!$J$104/'Demand - Industry shares'!$K$104)</f>
        <v>1.1257018655136663E-2</v>
      </c>
      <c r="H73" s="286"/>
      <c r="I73" s="2"/>
      <c r="J73" s="35">
        <f t="shared" si="17"/>
        <v>7.5922642959487183E-2</v>
      </c>
      <c r="K73" s="505">
        <f>'Yearly Demand - BTX'!$N$16*'Demand Breakdown - BTX'!J73</f>
        <v>3.1845441423656808</v>
      </c>
      <c r="L73" s="571">
        <f t="shared" si="14"/>
        <v>1.0955353563799175E-2</v>
      </c>
      <c r="M73" s="93">
        <f t="shared" si="15"/>
        <v>4.4157712360231356</v>
      </c>
      <c r="N73" s="96">
        <f t="shared" si="16"/>
        <v>7.5922642959487197E-2</v>
      </c>
      <c r="P73" s="54" t="s">
        <v>698</v>
      </c>
    </row>
    <row r="74" spans="2:21" x14ac:dyDescent="0.2">
      <c r="B74" t="s">
        <v>313</v>
      </c>
      <c r="C74" s="2">
        <f>'Demand - Industry shares'!E101/'Demand - Industry shares'!E$104*('Demand - Industry shares'!$E$104/'Demand - Industry shares'!$K$104)</f>
        <v>0.13816713138225398</v>
      </c>
      <c r="D74" s="2">
        <v>0</v>
      </c>
      <c r="E74" s="2">
        <v>0</v>
      </c>
      <c r="F74" s="2">
        <f>'Demand - Industry shares'!I101/'Demand - Industry shares'!I$104*('Demand - Industry shares'!$I$104/'Demand - Industry shares'!$K$104)</f>
        <v>4.6524784608997963E-2</v>
      </c>
      <c r="G74" s="2">
        <f>'Demand - Industry shares'!J101/'Demand - Industry shares'!J$104*('Demand - Industry shares'!$J$104/'Demand - Industry shares'!$K$104)</f>
        <v>2.2514037310273328E-3</v>
      </c>
      <c r="H74" s="286"/>
      <c r="I74" s="2"/>
      <c r="J74" s="35">
        <f>SUM(C74:I74)</f>
        <v>0.18694331972227929</v>
      </c>
      <c r="K74" s="505">
        <f>'Yearly Demand - BTX'!$N$16*'Demand Breakdown - BTX'!J74</f>
        <v>7.8412609278321712</v>
      </c>
      <c r="L74" s="571">
        <f t="shared" si="14"/>
        <v>1.0955353563799175E-2</v>
      </c>
      <c r="M74" s="93">
        <f t="shared" si="15"/>
        <v>10.872895118216695</v>
      </c>
      <c r="N74" s="96">
        <f t="shared" si="16"/>
        <v>0.18694331972227929</v>
      </c>
      <c r="P74" s="54" t="s">
        <v>923</v>
      </c>
      <c r="U74" s="176"/>
    </row>
    <row r="75" spans="2:21" x14ac:dyDescent="0.2">
      <c r="B75" t="s">
        <v>320</v>
      </c>
      <c r="C75" s="2">
        <f>'Demand - Industry shares'!E102/'Demand - Industry shares'!E$104*('Demand - Industry shares'!$E$104/'Demand - Industry shares'!$K$104)</f>
        <v>0</v>
      </c>
      <c r="D75" s="2">
        <v>0</v>
      </c>
      <c r="E75" s="6">
        <f>'Demand - Industry shares'!L102/'Demand - Industry shares'!L104</f>
        <v>0</v>
      </c>
      <c r="F75" s="2">
        <f>'Demand - Industry shares'!I102/'Demand - Industry shares'!I$104*('Demand - Industry shares'!$I$104/'Demand - Industry shares'!$K$104)</f>
        <v>0</v>
      </c>
      <c r="G75" s="2">
        <f>'Demand - Industry shares'!J102/'Demand - Industry shares'!J$104*('Demand - Industry shares'!$J$104/'Demand - Industry shares'!$K$104)</f>
        <v>0</v>
      </c>
      <c r="H75" s="286"/>
      <c r="I75" s="23"/>
      <c r="J75" s="35">
        <f>SUM(C75:I75)</f>
        <v>0</v>
      </c>
      <c r="K75" s="505">
        <f>'Yearly Demand - BTX'!$N$16*'Demand Breakdown - BTX'!J75</f>
        <v>0</v>
      </c>
      <c r="L75" s="571">
        <f t="shared" si="14"/>
        <v>1.0955353563799175E-2</v>
      </c>
      <c r="M75" s="93">
        <f t="shared" si="15"/>
        <v>0</v>
      </c>
      <c r="N75" s="96">
        <f t="shared" si="16"/>
        <v>0</v>
      </c>
      <c r="P75" s="54" t="s">
        <v>925</v>
      </c>
      <c r="U75" s="176" t="s">
        <v>701</v>
      </c>
    </row>
    <row r="76" spans="2:21" x14ac:dyDescent="0.2">
      <c r="B76" t="s">
        <v>248</v>
      </c>
      <c r="C76" s="2">
        <f>'Demand - Industry shares'!E103/'Demand - Industry shares'!E$104*('Demand - Industry shares'!$E$104/'Demand - Industry shares'!$K$104)</f>
        <v>5.3731662204209898E-2</v>
      </c>
      <c r="D76" s="2">
        <v>0</v>
      </c>
      <c r="E76" s="2">
        <v>0</v>
      </c>
      <c r="F76" s="2">
        <f>'Demand - Industry shares'!I103/'Demand - Industry shares'!I$104*('Demand - Industry shares'!$I$104/'Demand - Industry shares'!$K$104)</f>
        <v>0.13026939690519429</v>
      </c>
      <c r="G76" s="2">
        <f>'Demand - Industry shares'!J103/'Demand - Industry shares'!J$104*('Demand - Industry shares'!$J$104/'Demand - Industry shares'!$K$104)</f>
        <v>1.8011229848218662E-2</v>
      </c>
      <c r="H76" s="286"/>
      <c r="I76" s="2"/>
      <c r="J76" s="35">
        <f t="shared" si="17"/>
        <v>0.20201228895762283</v>
      </c>
      <c r="K76" s="505">
        <f>'Yearly Demand - BTX'!$N$16*'Demand Breakdown - BTX'!J76</f>
        <v>8.4733226664561609</v>
      </c>
      <c r="L76" s="571">
        <f t="shared" si="14"/>
        <v>1.0955353563799175E-2</v>
      </c>
      <c r="M76" s="93">
        <f t="shared" si="15"/>
        <v>11.749328265327422</v>
      </c>
      <c r="N76" s="96">
        <f t="shared" si="16"/>
        <v>0.2020122889576228</v>
      </c>
      <c r="P76" s="54" t="s">
        <v>698</v>
      </c>
      <c r="U76" s="176" t="s">
        <v>699</v>
      </c>
    </row>
    <row r="77" spans="2:21" ht="16" thickBot="1" x14ac:dyDescent="0.25">
      <c r="B77" s="32" t="s">
        <v>67</v>
      </c>
      <c r="C77" s="33">
        <f>SUM(C70:C76)</f>
        <v>0.58337233250285014</v>
      </c>
      <c r="D77" s="33">
        <f>SUM(D70:D76)</f>
        <v>0</v>
      </c>
      <c r="E77" s="33">
        <f t="shared" ref="E77:G77" si="18">SUM(E70:E76)</f>
        <v>0</v>
      </c>
      <c r="F77" s="33">
        <f t="shared" si="18"/>
        <v>0.35358836302838453</v>
      </c>
      <c r="G77" s="33">
        <f t="shared" si="18"/>
        <v>6.3039304468765323E-2</v>
      </c>
      <c r="H77" s="287"/>
      <c r="I77" s="33"/>
      <c r="J77" s="285">
        <f>SUM(C77:I77)</f>
        <v>1</v>
      </c>
      <c r="K77" s="39">
        <f>SUM(K70:K76)</f>
        <v>41.944590154283411</v>
      </c>
      <c r="L77" s="42">
        <f>'Yearly Demand - BTX'!AT3</f>
        <v>1.0955353563799175E-2</v>
      </c>
      <c r="M77" s="94">
        <f>K77*(1+L77)^30</f>
        <v>58.161453077699356</v>
      </c>
      <c r="N77" s="97">
        <f>SUM(N70:N76)</f>
        <v>0.99999999999999989</v>
      </c>
    </row>
    <row r="78" spans="2:21" ht="17" thickTop="1" thickBot="1" x14ac:dyDescent="0.25">
      <c r="M78" s="491">
        <f>SUM(M70:M76)</f>
        <v>58.161453077699356</v>
      </c>
    </row>
    <row r="79" spans="2:21" x14ac:dyDescent="0.2">
      <c r="B79" s="31" t="s">
        <v>926</v>
      </c>
      <c r="C79" s="31" t="s">
        <v>478</v>
      </c>
      <c r="D79" s="31" t="s">
        <v>474</v>
      </c>
      <c r="E79" s="31" t="s">
        <v>676</v>
      </c>
      <c r="F79" s="31" t="s">
        <v>745</v>
      </c>
      <c r="G79" s="31" t="s">
        <v>248</v>
      </c>
      <c r="H79" s="31"/>
      <c r="I79" s="31"/>
      <c r="J79" s="34" t="s">
        <v>67</v>
      </c>
      <c r="K79" s="37" t="s">
        <v>603</v>
      </c>
      <c r="L79" s="37" t="s">
        <v>46</v>
      </c>
      <c r="M79" s="92" t="s">
        <v>604</v>
      </c>
      <c r="N79" s="95" t="s">
        <v>67</v>
      </c>
      <c r="P79" s="162" t="s">
        <v>693</v>
      </c>
      <c r="U79" s="1" t="s">
        <v>694</v>
      </c>
    </row>
    <row r="80" spans="2:21" x14ac:dyDescent="0.2">
      <c r="B80" t="s">
        <v>309</v>
      </c>
      <c r="C80" s="2">
        <f>'Demand - Industry shares'!E111/'Demand - Industry shares'!E$118*('Demand - Industry shares'!$E$118/('Demand - Industry shares'!$K$118))</f>
        <v>4.8211315000705787E-2</v>
      </c>
      <c r="D80" s="2">
        <f>'Demand - Industry shares'!G111/'Demand - Industry shares'!G$118*('Demand - Industry shares'!$G$118/('Demand - Industry shares'!$K$118))</f>
        <v>0.24085943138941798</v>
      </c>
      <c r="E80" s="2">
        <v>0</v>
      </c>
      <c r="F80" s="2">
        <f>'Demand - Industry shares'!I111/'Demand - Industry shares'!I$118*('Demand - Industry shares'!I$118/('Demand - Industry shares'!$K$118))</f>
        <v>1.2923144812460485E-2</v>
      </c>
      <c r="G80" s="2">
        <f>'Demand - Industry shares'!J111/'Demand - Industry shares'!J$118*('Demand - Industry shares'!J$118/('Demand - Industry shares'!$K$118))</f>
        <v>1.9420377111019308E-3</v>
      </c>
      <c r="H80" s="214"/>
      <c r="I80" s="2"/>
      <c r="J80" s="35">
        <f>K80/$K$87</f>
        <v>0.18859310311684635</v>
      </c>
      <c r="K80" s="505">
        <f>'Demand - Industry shares'!L111</f>
        <v>3.690958960657742</v>
      </c>
      <c r="L80" s="571">
        <f>$L$77</f>
        <v>1.0955353563799175E-2</v>
      </c>
      <c r="M80" s="575">
        <f>K80*(1+L80)^30</f>
        <v>5.1179791151228313</v>
      </c>
      <c r="N80" s="96">
        <f>M80/M$87</f>
        <v>0.18859310311684632</v>
      </c>
      <c r="P80" s="54" t="s">
        <v>695</v>
      </c>
    </row>
    <row r="81" spans="2:21" x14ac:dyDescent="0.2">
      <c r="B81" t="s">
        <v>310</v>
      </c>
      <c r="C81" s="2">
        <f>'Demand - Industry shares'!E112/'Demand - Industry shares'!E$118*('Demand - Industry shares'!$E$118/('Demand - Industry shares'!$K$118))</f>
        <v>4.6115170870240321E-2</v>
      </c>
      <c r="D81" s="2">
        <f>'Demand - Industry shares'!G112/'Demand - Industry shares'!G$118*('Demand - Industry shares'!$G$118/('Demand - Industry shares'!$K$118))</f>
        <v>0</v>
      </c>
      <c r="E81" s="2">
        <v>0</v>
      </c>
      <c r="F81" s="2">
        <f>'Demand - Industry shares'!I112/'Demand - Industry shares'!I$118*('Demand - Industry shares'!I$118/('Demand - Industry shares'!$K$118))</f>
        <v>0.15507773774952582</v>
      </c>
      <c r="G81" s="2">
        <f>'Demand - Industry shares'!J112/'Demand - Industry shares'!J$118*('Demand - Industry shares'!J$118/('Demand - Industry shares'!$K$118))</f>
        <v>9.710188555509652E-3</v>
      </c>
      <c r="H81" s="286"/>
      <c r="I81" s="2"/>
      <c r="J81" s="35">
        <f t="shared" ref="J81:J86" si="19">K81/$K$87</f>
        <v>0.13086596801964334</v>
      </c>
      <c r="K81" s="505">
        <f>'Demand - Industry shares'!L112</f>
        <v>2.5611801774531888</v>
      </c>
      <c r="L81" s="571">
        <f t="shared" ref="L81:L86" si="20">$L$77</f>
        <v>1.0955353563799175E-2</v>
      </c>
      <c r="M81" s="575">
        <f t="shared" ref="M81:M86" si="21">K81*(1+L81)^30</f>
        <v>3.5513986467993957</v>
      </c>
      <c r="N81" s="96">
        <f t="shared" ref="N81:N86" si="22">M81/M$87</f>
        <v>0.13086596801964334</v>
      </c>
      <c r="P81" s="54" t="s">
        <v>696</v>
      </c>
      <c r="U81" s="176" t="s">
        <v>697</v>
      </c>
    </row>
    <row r="82" spans="2:21" x14ac:dyDescent="0.2">
      <c r="B82" t="s">
        <v>370</v>
      </c>
      <c r="C82" s="2">
        <f>'Demand - Industry shares'!E113/'Demand - Industry shares'!E$118*('Demand - Industry shares'!$E$118/('Demand - Industry shares'!$K$118))</f>
        <v>0</v>
      </c>
      <c r="D82" s="2">
        <f>'Demand - Industry shares'!G113/'Demand - Industry shares'!G$118*('Demand - Industry shares'!$G$118/('Demand - Industry shares'!$K$118))</f>
        <v>0</v>
      </c>
      <c r="E82" s="2">
        <v>0</v>
      </c>
      <c r="F82" s="2">
        <f>'Demand - Industry shares'!I113/'Demand - Industry shares'!I$118*('Demand - Industry shares'!I$118/('Demand - Industry shares'!$K$118))</f>
        <v>5.1692579249841941E-2</v>
      </c>
      <c r="G82" s="2">
        <f>'Demand - Industry shares'!J113/'Demand - Industry shares'!J$118*('Demand - Industry shares'!J$118/('Demand - Industry shares'!$K$118))</f>
        <v>4.2724829644242478E-2</v>
      </c>
      <c r="H82" s="286"/>
      <c r="I82" s="2"/>
      <c r="J82" s="35">
        <f t="shared" si="19"/>
        <v>5.8586269136493924E-2</v>
      </c>
      <c r="K82" s="505">
        <f>'Demand - Industry shares'!L113</f>
        <v>1.1465929107008392</v>
      </c>
      <c r="L82" s="571">
        <f t="shared" si="20"/>
        <v>1.0955353563799175E-2</v>
      </c>
      <c r="M82" s="575">
        <f t="shared" si="21"/>
        <v>1.5898953721959164</v>
      </c>
      <c r="N82" s="96">
        <f t="shared" si="22"/>
        <v>5.8586269136493931E-2</v>
      </c>
      <c r="P82" s="54" t="s">
        <v>696</v>
      </c>
    </row>
    <row r="83" spans="2:21" x14ac:dyDescent="0.2">
      <c r="B83" t="s">
        <v>312</v>
      </c>
      <c r="C83" s="2">
        <f>'Demand - Industry shares'!E114/'Demand - Industry shares'!E$118*('Demand - Industry shares'!$E$118/('Demand - Industry shares'!$K$118))</f>
        <v>1.2576864782792815E-2</v>
      </c>
      <c r="D83" s="2">
        <f>'Demand - Industry shares'!G114/'Demand - Industry shares'!G$118*('Demand - Industry shares'!$G$118/('Demand - Industry shares'!$K$118))</f>
        <v>0</v>
      </c>
      <c r="E83" s="2">
        <v>0</v>
      </c>
      <c r="F83" s="2">
        <f>'Demand - Industry shares'!I114/'Demand - Industry shares'!I$118*('Demand - Industry shares'!I$118/('Demand - Industry shares'!$K$118))</f>
        <v>2.5846289624920971E-2</v>
      </c>
      <c r="G83" s="2">
        <f>'Demand - Industry shares'!J114/'Demand - Industry shares'!J$118*('Demand - Industry shares'!J$118/('Demand - Industry shares'!$K$118))</f>
        <v>1.9420377111019304E-2</v>
      </c>
      <c r="H83" s="286"/>
      <c r="I83" s="2"/>
      <c r="J83" s="35">
        <f t="shared" si="19"/>
        <v>3.5892074830853452E-2</v>
      </c>
      <c r="K83" s="505">
        <f>'Demand - Industry shares'!L114</f>
        <v>0.7024444320822204</v>
      </c>
      <c r="L83" s="571">
        <f t="shared" si="20"/>
        <v>1.0955353563799175E-2</v>
      </c>
      <c r="M83" s="575">
        <f t="shared" si="21"/>
        <v>0.97402760942388356</v>
      </c>
      <c r="N83" s="96">
        <f t="shared" si="22"/>
        <v>3.5892074830853452E-2</v>
      </c>
      <c r="P83" s="54" t="s">
        <v>698</v>
      </c>
    </row>
    <row r="84" spans="2:21" x14ac:dyDescent="0.2">
      <c r="B84" t="s">
        <v>313</v>
      </c>
      <c r="C84" s="2">
        <f>'Demand - Industry shares'!E115/'Demand - Industry shares'!E$118*('Demand - Industry shares'!$E$118/('Demand - Industry shares'!$K$118))</f>
        <v>3.7730594348378436E-2</v>
      </c>
      <c r="D84" s="2">
        <f>'Demand - Industry shares'!G115/'Demand - Industry shares'!G$118*('Demand - Industry shares'!$G$118/('Demand - Industry shares'!$K$118))</f>
        <v>0</v>
      </c>
      <c r="E84" s="2">
        <v>0</v>
      </c>
      <c r="F84" s="2">
        <f>'Demand - Industry shares'!I115/'Demand - Industry shares'!I$118*('Demand - Industry shares'!I$118/('Demand - Industry shares'!$K$118))</f>
        <v>6.4615724062302426E-2</v>
      </c>
      <c r="G84" s="2">
        <f>'Demand - Industry shares'!J115/'Demand - Industry shares'!J$118*('Demand - Industry shares'!J$118/('Demand - Industry shares'!$K$118))</f>
        <v>3.8840754222038616E-3</v>
      </c>
      <c r="H84" s="286"/>
      <c r="I84" s="2"/>
      <c r="J84" s="35">
        <f t="shared" si="19"/>
        <v>6.5916259686290349E-2</v>
      </c>
      <c r="K84" s="505">
        <f>'Demand - Industry shares'!L115</f>
        <v>1.2900482855484838</v>
      </c>
      <c r="L84" s="571">
        <f t="shared" si="20"/>
        <v>1.0955353563799175E-2</v>
      </c>
      <c r="M84" s="575">
        <f t="shared" si="21"/>
        <v>1.7888143036303434</v>
      </c>
      <c r="N84" s="96">
        <f t="shared" si="22"/>
        <v>6.5916259686290349E-2</v>
      </c>
      <c r="P84" s="54" t="s">
        <v>695</v>
      </c>
      <c r="U84" s="176"/>
    </row>
    <row r="85" spans="2:21" x14ac:dyDescent="0.2">
      <c r="B85" t="s">
        <v>320</v>
      </c>
      <c r="C85" s="2">
        <f>'Demand - Industry shares'!E116/'Demand - Industry shares'!E$118*('Demand - Industry shares'!$E$118/('Demand - Industry shares'!$K$118))</f>
        <v>0</v>
      </c>
      <c r="D85" s="2">
        <f>'Demand - Industry shares'!G116/'Demand - Industry shares'!G$118*('Demand - Industry shares'!$G$118/('Demand - Industry shares'!$K$118))</f>
        <v>0</v>
      </c>
      <c r="E85" s="41">
        <f>'Demand - Industry shares'!L116/'Demand - Industry shares'!L118</f>
        <v>0.10647592912458143</v>
      </c>
      <c r="F85" s="2">
        <f>'Demand - Industry shares'!I116/'Demand - Industry shares'!I$118*('Demand - Industry shares'!I$118/('Demand - Industry shares'!$K$118))</f>
        <v>0</v>
      </c>
      <c r="G85" s="2">
        <f>'Demand - Industry shares'!J116/'Demand - Industry shares'!J$118*('Demand - Industry shares'!J$118/('Demand - Industry shares'!$K$118))</f>
        <v>0</v>
      </c>
      <c r="H85" s="286"/>
      <c r="I85" s="23"/>
      <c r="J85" s="35">
        <f t="shared" si="19"/>
        <v>7.3941617447625993E-2</v>
      </c>
      <c r="K85" s="505">
        <f>'Demand - Industry shares'!L116</f>
        <v>1.4471127044065453</v>
      </c>
      <c r="L85" s="571">
        <f t="shared" si="20"/>
        <v>1.0955353563799175E-2</v>
      </c>
      <c r="M85" s="575">
        <f t="shared" si="21"/>
        <v>2.0066038873165337</v>
      </c>
      <c r="N85" s="96">
        <f t="shared" si="22"/>
        <v>7.3941617447625979E-2</v>
      </c>
      <c r="P85" s="54" t="s">
        <v>700</v>
      </c>
      <c r="U85" s="176" t="s">
        <v>701</v>
      </c>
    </row>
    <row r="86" spans="2:21" x14ac:dyDescent="0.2">
      <c r="B86" t="s">
        <v>248</v>
      </c>
      <c r="C86" s="2">
        <f>'Demand - Industry shares'!E117/'Demand - Industry shares'!E$118*('Demand - Industry shares'!$E$118/('Demand - Industry shares'!$K$118))</f>
        <v>1.4673008913258285E-2</v>
      </c>
      <c r="D86" s="2">
        <f>'Demand - Industry shares'!G117/'Demand - Industry shares'!G$118*('Demand - Industry shares'!$G$118/('Demand - Industry shares'!$K$118))</f>
        <v>0</v>
      </c>
      <c r="E86" s="2">
        <v>0</v>
      </c>
      <c r="F86" s="2">
        <f>'Demand - Industry shares'!I117/'Demand - Industry shares'!I$118*('Demand - Industry shares'!I$118/('Demand - Industry shares'!$K$118))</f>
        <v>0.18092402737444679</v>
      </c>
      <c r="G86" s="2">
        <f>'Demand - Industry shares'!J117/'Demand - Industry shares'!J$118*('Demand - Industry shares'!J$118/('Demand - Industry shares'!$K$118))</f>
        <v>3.1072603377630893E-2</v>
      </c>
      <c r="H86" s="286"/>
      <c r="I86" s="2"/>
      <c r="J86" s="35">
        <f t="shared" si="19"/>
        <v>0.44620470776224669</v>
      </c>
      <c r="K86" s="505">
        <f>'Demand - Industry shares'!L117+'Demand Breakdown - BTX'!M4</f>
        <v>8.7326802368926071</v>
      </c>
      <c r="L86" s="571">
        <f t="shared" si="20"/>
        <v>1.0955353563799175E-2</v>
      </c>
      <c r="M86" s="575">
        <f t="shared" si="21"/>
        <v>12.108960177519203</v>
      </c>
      <c r="N86" s="96">
        <f t="shared" si="22"/>
        <v>0.44620470776224669</v>
      </c>
      <c r="P86" s="54" t="s">
        <v>698</v>
      </c>
      <c r="U86" s="176" t="s">
        <v>699</v>
      </c>
    </row>
    <row r="87" spans="2:21" ht="16" thickBot="1" x14ac:dyDescent="0.25">
      <c r="B87" s="32" t="s">
        <v>67</v>
      </c>
      <c r="C87" s="33">
        <f>SUM(C80:C86)</f>
        <v>0.15930695391537564</v>
      </c>
      <c r="D87" s="33">
        <f>SUM(D80:D86)</f>
        <v>0.24085943138941798</v>
      </c>
      <c r="E87" s="287">
        <f t="shared" ref="E87" si="23">SUM(E80:E86)</f>
        <v>0.10647592912458143</v>
      </c>
      <c r="F87" s="33">
        <f t="shared" ref="F87" si="24">SUM(F80:F86)</f>
        <v>0.49107950287349844</v>
      </c>
      <c r="G87" s="33">
        <f t="shared" ref="G87" si="25">SUM(G80:G86)</f>
        <v>0.1087541118217081</v>
      </c>
      <c r="H87" s="287"/>
      <c r="I87" s="33"/>
      <c r="J87" s="285">
        <f>SUM(J80:J86)</f>
        <v>1</v>
      </c>
      <c r="K87" s="570">
        <f>SUM(K80:K86)</f>
        <v>19.571017707741625</v>
      </c>
      <c r="L87" s="42">
        <f>L77</f>
        <v>1.0955353563799175E-2</v>
      </c>
      <c r="M87" s="576">
        <f>K87*(1+L87)^30</f>
        <v>27.137679112008104</v>
      </c>
      <c r="N87" s="97">
        <f>SUM(N80:N86)</f>
        <v>1</v>
      </c>
    </row>
    <row r="88" spans="2:21" ht="17" thickTop="1" thickBot="1" x14ac:dyDescent="0.25">
      <c r="M88" s="491">
        <f>SUM(M80:M86)</f>
        <v>27.137679112008108</v>
      </c>
    </row>
    <row r="89" spans="2:21" x14ac:dyDescent="0.2">
      <c r="B89" s="31" t="s">
        <v>927</v>
      </c>
      <c r="C89" s="31" t="s">
        <v>478</v>
      </c>
      <c r="D89" s="31" t="s">
        <v>474</v>
      </c>
      <c r="E89" s="31" t="s">
        <v>676</v>
      </c>
      <c r="F89" s="31" t="s">
        <v>745</v>
      </c>
      <c r="G89" s="31" t="s">
        <v>248</v>
      </c>
      <c r="H89" s="31"/>
      <c r="I89" s="31"/>
      <c r="J89" s="34" t="s">
        <v>67</v>
      </c>
      <c r="K89" s="37" t="s">
        <v>603</v>
      </c>
      <c r="L89" s="37" t="s">
        <v>46</v>
      </c>
      <c r="M89" s="92" t="s">
        <v>604</v>
      </c>
      <c r="N89" s="95" t="s">
        <v>67</v>
      </c>
      <c r="P89" s="162" t="s">
        <v>693</v>
      </c>
      <c r="U89" s="1" t="s">
        <v>694</v>
      </c>
    </row>
    <row r="90" spans="2:21" x14ac:dyDescent="0.2">
      <c r="B90" t="s">
        <v>309</v>
      </c>
      <c r="C90" s="23">
        <v>0</v>
      </c>
      <c r="D90" s="23">
        <f>'Demand - Industry shares'!G125/'Demand - Industry shares'!G$132*('Demand - Industry shares'!G$132/'Demand - Industry shares'!$K$132)</f>
        <v>0.94652326028357114</v>
      </c>
      <c r="E90" s="23">
        <v>0</v>
      </c>
      <c r="F90" s="23">
        <v>0</v>
      </c>
      <c r="G90" s="23">
        <f>'Demand - Industry shares'!J125/'Demand - Industry shares'!J$132*('Demand - Industry shares'!J$132/'Demand - Industry shares'!$K$132)</f>
        <v>9.5494178065051315E-4</v>
      </c>
      <c r="H90" s="214"/>
      <c r="I90" s="2"/>
      <c r="J90" s="35">
        <f>K90/$K$97</f>
        <v>0.71424913210305108</v>
      </c>
      <c r="K90" s="505">
        <f>'Demand - Industry shares'!L125</f>
        <v>33.557300929497657</v>
      </c>
      <c r="L90" s="571">
        <f>$L$77</f>
        <v>1.0955353563799175E-2</v>
      </c>
      <c r="M90" s="93">
        <f>K90*(1+L90)^30</f>
        <v>46.531421006766038</v>
      </c>
      <c r="N90" s="96">
        <f>M90/M$97</f>
        <v>0.71424913210305108</v>
      </c>
      <c r="P90" s="54" t="s">
        <v>695</v>
      </c>
    </row>
    <row r="91" spans="2:21" x14ac:dyDescent="0.2">
      <c r="B91" t="s">
        <v>310</v>
      </c>
      <c r="C91" s="23">
        <v>0</v>
      </c>
      <c r="D91" s="23">
        <f>'Demand - Industry shares'!G126/'Demand - Industry shares'!G$132*('Demand - Industry shares'!G$132/'Demand - Industry shares'!$K$132)</f>
        <v>0</v>
      </c>
      <c r="E91" s="23">
        <v>0</v>
      </c>
      <c r="F91" s="23">
        <v>0</v>
      </c>
      <c r="G91" s="23">
        <f>'Demand - Industry shares'!J126/'Demand - Industry shares'!J$132*('Demand - Industry shares'!J$132/'Demand - Industry shares'!$K$132)</f>
        <v>4.7747089032525655E-3</v>
      </c>
      <c r="H91" s="286"/>
      <c r="I91" s="2"/>
      <c r="J91" s="35">
        <f t="shared" ref="J91:J96" si="26">K91/$K$97</f>
        <v>3.5993774661653875E-3</v>
      </c>
      <c r="K91" s="505">
        <f>'Demand - Industry shares'!L126</f>
        <v>0.16910821079379051</v>
      </c>
      <c r="L91" s="571">
        <f t="shared" ref="L91:L96" si="27">$L$77</f>
        <v>1.0955353563799175E-2</v>
      </c>
      <c r="M91" s="93">
        <f t="shared" ref="M91:M96" si="28">K91*(1+L91)^30</f>
        <v>0.23448981694561444</v>
      </c>
      <c r="N91" s="96">
        <f t="shared" ref="N91:N96" si="29">M91/M$97</f>
        <v>3.5993774661653875E-3</v>
      </c>
      <c r="P91" s="54" t="s">
        <v>696</v>
      </c>
      <c r="U91" s="176" t="s">
        <v>697</v>
      </c>
    </row>
    <row r="92" spans="2:21" x14ac:dyDescent="0.2">
      <c r="B92" t="s">
        <v>370</v>
      </c>
      <c r="C92" s="23">
        <v>0</v>
      </c>
      <c r="D92" s="23">
        <f>'Demand - Industry shares'!G127/'Demand - Industry shares'!G$132*('Demand - Industry shares'!G$132/'Demand - Industry shares'!$K$132)</f>
        <v>0</v>
      </c>
      <c r="E92" s="23">
        <v>0</v>
      </c>
      <c r="F92" s="23">
        <v>0</v>
      </c>
      <c r="G92" s="23">
        <f>'Demand - Industry shares'!J127/'Demand - Industry shares'!J$132*('Demand - Industry shares'!J$132/'Demand - Industry shares'!$K$132)</f>
        <v>2.100871917431129E-2</v>
      </c>
      <c r="H92" s="286"/>
      <c r="I92" s="2"/>
      <c r="J92" s="35">
        <f t="shared" si="26"/>
        <v>1.5837260851127705E-2</v>
      </c>
      <c r="K92" s="505">
        <f>'Demand - Industry shares'!L127</f>
        <v>0.74407612749267826</v>
      </c>
      <c r="L92" s="571">
        <f t="shared" si="27"/>
        <v>1.0955353563799175E-2</v>
      </c>
      <c r="M92" s="93">
        <f t="shared" si="28"/>
        <v>1.0317551945607035</v>
      </c>
      <c r="N92" s="96">
        <f t="shared" si="29"/>
        <v>1.5837260851127705E-2</v>
      </c>
      <c r="P92" s="54" t="s">
        <v>696</v>
      </c>
    </row>
    <row r="93" spans="2:21" x14ac:dyDescent="0.2">
      <c r="B93" t="s">
        <v>312</v>
      </c>
      <c r="C93" s="23">
        <v>0</v>
      </c>
      <c r="D93" s="23">
        <f>'Demand - Industry shares'!G128/'Demand - Industry shares'!G$132*('Demand - Industry shares'!G$132/'Demand - Industry shares'!$K$132)</f>
        <v>0</v>
      </c>
      <c r="E93" s="23">
        <v>0</v>
      </c>
      <c r="F93" s="23">
        <v>0</v>
      </c>
      <c r="G93" s="23">
        <f>'Demand - Industry shares'!J128/'Demand - Industry shares'!J$132*('Demand - Industry shares'!J$132/'Demand - Industry shares'!$K$132)</f>
        <v>9.5494178065051311E-3</v>
      </c>
      <c r="H93" s="286"/>
      <c r="I93" s="2"/>
      <c r="J93" s="35">
        <f t="shared" si="26"/>
        <v>7.198754932330775E-3</v>
      </c>
      <c r="K93" s="505">
        <f>'Demand - Industry shares'!L128</f>
        <v>0.33821642158758103</v>
      </c>
      <c r="L93" s="571">
        <f t="shared" si="27"/>
        <v>1.0955353563799175E-2</v>
      </c>
      <c r="M93" s="93">
        <f t="shared" si="28"/>
        <v>0.46897963389122888</v>
      </c>
      <c r="N93" s="96">
        <f t="shared" si="29"/>
        <v>7.198754932330775E-3</v>
      </c>
      <c r="P93" s="54" t="s">
        <v>698</v>
      </c>
    </row>
    <row r="94" spans="2:21" x14ac:dyDescent="0.2">
      <c r="B94" t="s">
        <v>313</v>
      </c>
      <c r="C94" s="23">
        <v>0</v>
      </c>
      <c r="D94" s="23">
        <f>'Demand - Industry shares'!G129/'Demand - Industry shares'!G$132*('Demand - Industry shares'!G$132/'Demand - Industry shares'!$K$132)</f>
        <v>0</v>
      </c>
      <c r="E94" s="23">
        <v>0</v>
      </c>
      <c r="F94" s="23">
        <v>0</v>
      </c>
      <c r="G94" s="23">
        <f>'Demand - Industry shares'!J129/'Demand - Industry shares'!J$132*('Demand - Industry shares'!J$132/'Demand - Industry shares'!$K$132)</f>
        <v>1.9098835613010263E-3</v>
      </c>
      <c r="H94" s="286"/>
      <c r="I94" s="2"/>
      <c r="J94" s="35">
        <f t="shared" si="26"/>
        <v>1.4397509864661551E-3</v>
      </c>
      <c r="K94" s="505">
        <f>'Demand - Industry shares'!L129</f>
        <v>6.7643284317516206E-2</v>
      </c>
      <c r="L94" s="571">
        <f t="shared" si="27"/>
        <v>1.0955353563799175E-2</v>
      </c>
      <c r="M94" s="93">
        <f t="shared" si="28"/>
        <v>9.3795926778245775E-2</v>
      </c>
      <c r="N94" s="96">
        <f t="shared" si="29"/>
        <v>1.4397509864661551E-3</v>
      </c>
      <c r="P94" s="54" t="s">
        <v>695</v>
      </c>
      <c r="U94" s="176"/>
    </row>
    <row r="95" spans="2:21" x14ac:dyDescent="0.2">
      <c r="B95" t="s">
        <v>320</v>
      </c>
      <c r="C95" s="23">
        <v>0</v>
      </c>
      <c r="D95" s="23">
        <f>'Demand - Industry shares'!G130/'Demand - Industry shares'!G$132*('Demand - Industry shares'!G$132/'Demand - Industry shares'!$K$132)</f>
        <v>0</v>
      </c>
      <c r="E95" s="41">
        <f>'Demand - Industry shares'!L130/'Demand - Industry shares'!L132</f>
        <v>0.24615771576912965</v>
      </c>
      <c r="F95" s="23">
        <v>0</v>
      </c>
      <c r="G95" s="23">
        <f>'Demand - Industry shares'!J130/'Demand - Industry shares'!J$132*('Demand - Industry shares'!J$132/'Demand - Industry shares'!$K$132)</f>
        <v>0</v>
      </c>
      <c r="H95" s="286"/>
      <c r="I95" s="23"/>
      <c r="J95" s="35">
        <f t="shared" si="26"/>
        <v>0.24615771576912962</v>
      </c>
      <c r="K95" s="505">
        <f>'Demand - Industry shares'!L130</f>
        <v>11.565136270954032</v>
      </c>
      <c r="L95" s="571">
        <f t="shared" si="27"/>
        <v>1.0955353563799175E-2</v>
      </c>
      <c r="M95" s="93">
        <f t="shared" si="28"/>
        <v>16.036516940232897</v>
      </c>
      <c r="N95" s="96">
        <f t="shared" si="29"/>
        <v>0.24615771576912965</v>
      </c>
      <c r="P95" s="54" t="s">
        <v>700</v>
      </c>
      <c r="U95" s="176" t="s">
        <v>701</v>
      </c>
    </row>
    <row r="96" spans="2:21" x14ac:dyDescent="0.2">
      <c r="B96" t="s">
        <v>248</v>
      </c>
      <c r="C96" s="23">
        <v>0</v>
      </c>
      <c r="D96" s="23">
        <f>'Demand - Industry shares'!G131/'Demand - Industry shares'!G$132*('Demand - Industry shares'!G$132/'Demand - Industry shares'!$K$132)</f>
        <v>0</v>
      </c>
      <c r="E96" s="23">
        <v>0</v>
      </c>
      <c r="F96" s="23">
        <v>0</v>
      </c>
      <c r="G96" s="23">
        <f>'Demand - Industry shares'!J131/'Demand - Industry shares'!J$132*('Demand - Industry shares'!J$132/'Demand - Industry shares'!$K$132)</f>
        <v>1.527906849040821E-2</v>
      </c>
      <c r="H96" s="286"/>
      <c r="I96" s="2"/>
      <c r="J96" s="35">
        <f t="shared" si="26"/>
        <v>1.1518007891729241E-2</v>
      </c>
      <c r="K96" s="505">
        <f>'Demand - Industry shares'!L131</f>
        <v>0.54114627454012965</v>
      </c>
      <c r="L96" s="571">
        <f t="shared" si="27"/>
        <v>1.0955353563799175E-2</v>
      </c>
      <c r="M96" s="93">
        <f t="shared" si="28"/>
        <v>0.7503674142259662</v>
      </c>
      <c r="N96" s="96">
        <f t="shared" si="29"/>
        <v>1.1518007891729241E-2</v>
      </c>
      <c r="P96" s="54" t="s">
        <v>698</v>
      </c>
      <c r="U96" s="176" t="s">
        <v>699</v>
      </c>
    </row>
    <row r="97" spans="2:14" ht="16" thickBot="1" x14ac:dyDescent="0.25">
      <c r="B97" s="32" t="s">
        <v>67</v>
      </c>
      <c r="C97" s="33">
        <f>SUM(C90:C96)</f>
        <v>0</v>
      </c>
      <c r="D97" s="33">
        <f>SUM(D90:D96)</f>
        <v>0.94652326028357114</v>
      </c>
      <c r="E97" s="33">
        <f t="shared" ref="E97" si="30">SUM(E90:E96)</f>
        <v>0.24615771576912965</v>
      </c>
      <c r="F97" s="33">
        <f t="shared" ref="F97" si="31">SUM(F90:F96)</f>
        <v>0</v>
      </c>
      <c r="G97" s="33">
        <f t="shared" ref="G97" si="32">SUM(G90:G96)</f>
        <v>5.3476739716428745E-2</v>
      </c>
      <c r="H97" s="287"/>
      <c r="I97" s="33"/>
      <c r="J97" s="285">
        <f>SUM(J90:J96)</f>
        <v>0.99999999999999989</v>
      </c>
      <c r="K97" s="39">
        <f>SUM(K90:K96)</f>
        <v>46.982627519183389</v>
      </c>
      <c r="L97" s="42">
        <f>L87</f>
        <v>1.0955353563799175E-2</v>
      </c>
      <c r="M97" s="94">
        <f>K97*(1+L97)^30</f>
        <v>65.147325933400694</v>
      </c>
      <c r="N97" s="97">
        <f>SUM(N90:N96)</f>
        <v>1</v>
      </c>
    </row>
    <row r="98" spans="2:14" ht="16" thickTop="1" x14ac:dyDescent="0.2">
      <c r="M98" s="491">
        <f>SUM(M90:M96)</f>
        <v>65.147325933400694</v>
      </c>
    </row>
  </sheetData>
  <mergeCells count="1">
    <mergeCell ref="E66:G66"/>
  </mergeCells>
  <hyperlinks>
    <hyperlink ref="J9" r:id="rId1" xr:uid="{CBCDCC69-452C-40CE-BD9B-0DA6301E2176}"/>
    <hyperlink ref="Y8" r:id="rId2" xr:uid="{00EF798B-B99A-4200-8179-98A19038ADD6}"/>
    <hyperlink ref="AE19" r:id="rId3" xr:uid="{1A68FD0F-27DE-481A-82FF-DAF52A5C74FE}"/>
    <hyperlink ref="AE9" r:id="rId4" xr:uid="{5D481BE0-9919-4789-BF7A-F94B4E049D4A}"/>
  </hyperlink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60FCB3-34B6-424D-89E5-5906F124870A}">
  <sheetPr>
    <tabColor theme="7"/>
  </sheetPr>
  <dimension ref="A1:AI48"/>
  <sheetViews>
    <sheetView topLeftCell="P17" zoomScale="70" zoomScaleNormal="70" workbookViewId="0">
      <selection activeCell="AH32" sqref="AH32"/>
    </sheetView>
  </sheetViews>
  <sheetFormatPr baseColWidth="10" defaultColWidth="8.83203125" defaultRowHeight="15" x14ac:dyDescent="0.2"/>
  <cols>
    <col min="2" max="2" width="34.83203125" customWidth="1"/>
    <col min="4" max="4" width="20" bestFit="1" customWidth="1"/>
    <col min="5" max="5" width="14" customWidth="1"/>
    <col min="6" max="6" width="13.5" bestFit="1" customWidth="1"/>
    <col min="7" max="7" width="20" bestFit="1" customWidth="1"/>
    <col min="8" max="22" width="11.5" customWidth="1"/>
    <col min="23" max="25" width="11.1640625" bestFit="1" customWidth="1"/>
    <col min="26" max="30" width="12" bestFit="1" customWidth="1"/>
    <col min="31" max="34" width="12.1640625" bestFit="1" customWidth="1"/>
  </cols>
  <sheetData>
    <row r="1" spans="1:11" x14ac:dyDescent="0.2">
      <c r="A1" s="1" t="s">
        <v>928</v>
      </c>
    </row>
    <row r="3" spans="1:11" x14ac:dyDescent="0.2">
      <c r="A3" t="s">
        <v>929</v>
      </c>
      <c r="B3" s="5" t="s">
        <v>930</v>
      </c>
    </row>
    <row r="4" spans="1:11" ht="16" thickBot="1" x14ac:dyDescent="0.25"/>
    <row r="5" spans="1:11" ht="16" thickBot="1" x14ac:dyDescent="0.25">
      <c r="F5" s="73" t="s">
        <v>931</v>
      </c>
    </row>
    <row r="6" spans="1:11" ht="16" thickBot="1" x14ac:dyDescent="0.25">
      <c r="B6" s="1" t="s">
        <v>932</v>
      </c>
      <c r="C6" s="54" t="s">
        <v>933</v>
      </c>
      <c r="D6" s="51">
        <v>2.1499999999999999E-4</v>
      </c>
      <c r="E6" s="51">
        <v>2.2000000000000001E-4</v>
      </c>
      <c r="F6" s="73">
        <f>AVERAGE(D6:E6)</f>
        <v>2.175E-4</v>
      </c>
    </row>
    <row r="7" spans="1:11" x14ac:dyDescent="0.2">
      <c r="B7" t="s">
        <v>934</v>
      </c>
      <c r="C7" s="54" t="s">
        <v>935</v>
      </c>
      <c r="D7" s="51">
        <f>18/1000</f>
        <v>1.7999999999999999E-2</v>
      </c>
      <c r="E7" s="51">
        <f>22/1000</f>
        <v>2.1999999999999999E-2</v>
      </c>
      <c r="F7" s="74">
        <f>AVERAGE(D7/D6,E7/E6)</f>
        <v>91.860465116279059</v>
      </c>
      <c r="G7" s="75">
        <f>F7</f>
        <v>91.860465116279059</v>
      </c>
      <c r="K7" s="54" t="s">
        <v>96</v>
      </c>
    </row>
    <row r="8" spans="1:11" x14ac:dyDescent="0.2">
      <c r="B8" t="s">
        <v>936</v>
      </c>
      <c r="C8" s="54" t="s">
        <v>462</v>
      </c>
      <c r="D8" s="76">
        <v>5.0999999999999997E-2</v>
      </c>
      <c r="E8" s="56">
        <v>6.5500000000000003E-2</v>
      </c>
      <c r="F8" s="77">
        <f>AVERAGE(D8,E8)</f>
        <v>5.8249999999999996E-2</v>
      </c>
      <c r="G8" s="78">
        <f>F8*$G$7</f>
        <v>5.3508720930232547</v>
      </c>
      <c r="J8" s="6">
        <f>F8/(F9+F8)</f>
        <v>0.66762177650429799</v>
      </c>
      <c r="K8" s="54" t="s">
        <v>937</v>
      </c>
    </row>
    <row r="9" spans="1:11" x14ac:dyDescent="0.2">
      <c r="B9" t="s">
        <v>938</v>
      </c>
      <c r="C9" s="54" t="s">
        <v>462</v>
      </c>
      <c r="D9" s="55">
        <v>1.4999999999999999E-2</v>
      </c>
      <c r="E9" s="55">
        <v>4.2999999999999997E-2</v>
      </c>
      <c r="F9" s="77">
        <f>AVERAGE(D9,E9)</f>
        <v>2.8999999999999998E-2</v>
      </c>
      <c r="G9" s="78">
        <f t="shared" ref="G9:G11" si="0">F9*$G$7</f>
        <v>2.6639534883720923</v>
      </c>
      <c r="J9" s="6">
        <f>F9/(F8+F9)</f>
        <v>0.33237822349570201</v>
      </c>
      <c r="K9" s="158" t="s">
        <v>939</v>
      </c>
    </row>
    <row r="10" spans="1:11" x14ac:dyDescent="0.2">
      <c r="B10" t="s">
        <v>940</v>
      </c>
      <c r="C10" s="54" t="s">
        <v>462</v>
      </c>
      <c r="D10" s="55">
        <v>0.1</v>
      </c>
      <c r="E10" s="55">
        <v>0.2</v>
      </c>
      <c r="F10" s="77">
        <f t="shared" ref="F10:F11" si="1">AVERAGE(D10,E10)</f>
        <v>0.15000000000000002</v>
      </c>
      <c r="G10" s="78">
        <f t="shared" si="0"/>
        <v>13.779069767441861</v>
      </c>
    </row>
    <row r="11" spans="1:11" ht="16" thickBot="1" x14ac:dyDescent="0.25">
      <c r="B11" t="s">
        <v>941</v>
      </c>
      <c r="C11" s="54" t="s">
        <v>462</v>
      </c>
      <c r="D11" s="55">
        <f>1-SUM(D8:D10)</f>
        <v>0.83399999999999996</v>
      </c>
      <c r="E11" s="55">
        <f>1-SUM(E8:E10)</f>
        <v>0.6915</v>
      </c>
      <c r="F11" s="79">
        <f t="shared" si="1"/>
        <v>0.76275000000000004</v>
      </c>
      <c r="G11" s="80">
        <f t="shared" si="0"/>
        <v>70.066569767441862</v>
      </c>
      <c r="J11" t="s">
        <v>53</v>
      </c>
    </row>
    <row r="13" spans="1:11" x14ac:dyDescent="0.2">
      <c r="A13" t="s">
        <v>942</v>
      </c>
    </row>
    <row r="14" spans="1:11" x14ac:dyDescent="0.2">
      <c r="D14" s="1"/>
      <c r="E14" s="1"/>
      <c r="F14" s="1"/>
    </row>
    <row r="15" spans="1:11" ht="16" thickBot="1" x14ac:dyDescent="0.25">
      <c r="B15" s="81"/>
      <c r="C15" s="82"/>
      <c r="D15" s="81">
        <v>2020</v>
      </c>
      <c r="E15" s="81">
        <v>2050</v>
      </c>
      <c r="F15" s="83" t="s">
        <v>943</v>
      </c>
      <c r="G15" s="81" t="s">
        <v>46</v>
      </c>
      <c r="I15" s="54" t="s">
        <v>96</v>
      </c>
    </row>
    <row r="16" spans="1:11" x14ac:dyDescent="0.2">
      <c r="B16" t="s">
        <v>944</v>
      </c>
      <c r="C16" s="54" t="s">
        <v>933</v>
      </c>
      <c r="D16" s="84">
        <v>700000</v>
      </c>
      <c r="E16" s="84">
        <f>AVERAGE(27000000,35000000)</f>
        <v>31000000</v>
      </c>
      <c r="F16" s="85">
        <f>6000000/5</f>
        <v>1200000</v>
      </c>
      <c r="G16" s="23">
        <f>(E16/D16)^(1/30)-1</f>
        <v>0.13468536942304721</v>
      </c>
      <c r="I16" s="54" t="s">
        <v>945</v>
      </c>
    </row>
    <row r="17" spans="2:35" x14ac:dyDescent="0.2">
      <c r="B17" t="s">
        <v>946</v>
      </c>
      <c r="C17" s="54" t="s">
        <v>935</v>
      </c>
      <c r="D17" s="85">
        <f>D16*F7</f>
        <v>64302325.581395343</v>
      </c>
      <c r="E17" s="85">
        <f>E16*F7</f>
        <v>2847674418.604651</v>
      </c>
      <c r="F17" s="85">
        <f>F16*F7</f>
        <v>110232558.13953488</v>
      </c>
    </row>
    <row r="18" spans="2:35" x14ac:dyDescent="0.2">
      <c r="B18" t="s">
        <v>947</v>
      </c>
      <c r="C18" s="54" t="s">
        <v>935</v>
      </c>
      <c r="D18" s="85">
        <f>(D17+F9)*$F$8</f>
        <v>3745610.4668055284</v>
      </c>
      <c r="E18" s="85">
        <f>(E17+F9)*$F$8</f>
        <v>165877034.88541016</v>
      </c>
      <c r="F18" s="85">
        <f>(F17+F9)*$F$8</f>
        <v>6421046.5133171557</v>
      </c>
    </row>
    <row r="19" spans="2:35" ht="16" thickBot="1" x14ac:dyDescent="0.25">
      <c r="B19" s="86" t="s">
        <v>948</v>
      </c>
      <c r="C19" s="87" t="s">
        <v>935</v>
      </c>
      <c r="D19" s="88">
        <f>D17*$F$8*$D$22+D17*$F$9*$D$23</f>
        <v>4091106.8604651159</v>
      </c>
      <c r="E19" s="88">
        <f>E17*$F$8*$D$22+E17*$F$9*$D$23</f>
        <v>181177589.53488371</v>
      </c>
      <c r="F19" s="88">
        <f>F17*$F$8*$D$22+F17*$F$9*$D$23</f>
        <v>7013326.0465116268</v>
      </c>
      <c r="G19" s="85">
        <f>E19-D19</f>
        <v>177086482.6744186</v>
      </c>
    </row>
    <row r="21" spans="2:35" ht="16" thickBot="1" x14ac:dyDescent="0.25">
      <c r="B21" s="81" t="s">
        <v>949</v>
      </c>
      <c r="C21" s="81"/>
      <c r="D21" s="81"/>
      <c r="E21" t="s">
        <v>96</v>
      </c>
      <c r="J21" s="68" t="s">
        <v>258</v>
      </c>
      <c r="K21" s="68" t="s">
        <v>950</v>
      </c>
      <c r="L21" s="68" t="s">
        <v>951</v>
      </c>
      <c r="M21" s="68" t="s">
        <v>248</v>
      </c>
    </row>
    <row r="22" spans="2:35" x14ac:dyDescent="0.2">
      <c r="B22" t="s">
        <v>952</v>
      </c>
      <c r="C22" t="s">
        <v>462</v>
      </c>
      <c r="D22" s="56">
        <v>0.8</v>
      </c>
      <c r="E22" s="158" t="s">
        <v>953</v>
      </c>
      <c r="J22" s="55">
        <v>0.7</v>
      </c>
      <c r="K22" s="55">
        <v>0.3</v>
      </c>
      <c r="L22" s="55">
        <v>0</v>
      </c>
      <c r="M22" s="55">
        <v>0</v>
      </c>
    </row>
    <row r="23" spans="2:35" x14ac:dyDescent="0.2">
      <c r="B23" t="s">
        <v>954</v>
      </c>
      <c r="C23" s="54" t="s">
        <v>462</v>
      </c>
      <c r="D23" s="56">
        <v>0.58699999999999997</v>
      </c>
      <c r="E23" s="54" t="s">
        <v>955</v>
      </c>
      <c r="J23" s="55">
        <v>0</v>
      </c>
      <c r="K23" s="55">
        <v>0</v>
      </c>
      <c r="L23" s="55">
        <v>0</v>
      </c>
      <c r="M23" s="55">
        <v>1</v>
      </c>
    </row>
    <row r="24" spans="2:35" x14ac:dyDescent="0.2">
      <c r="B24" t="s">
        <v>956</v>
      </c>
      <c r="C24" s="54" t="s">
        <v>462</v>
      </c>
      <c r="D24" s="56">
        <f>G42*(1-D22)</f>
        <v>5.6139613120269126E-2</v>
      </c>
      <c r="E24" s="54"/>
      <c r="J24" s="55"/>
      <c r="K24" s="55"/>
      <c r="L24" s="55"/>
      <c r="M24" s="55"/>
    </row>
    <row r="25" spans="2:35" x14ac:dyDescent="0.2">
      <c r="D25" s="2">
        <f>(F8*D22+F9*D23)/(F8+F9)</f>
        <v>0.72920343839541546</v>
      </c>
      <c r="J25" s="2">
        <f>($F$8*J22+$F$9*J23)/($F$8+$F$9)</f>
        <v>0.46733524355300854</v>
      </c>
      <c r="K25" s="2">
        <f>($F$8*K22+$F$9*K23)/($F$8+$F$9)</f>
        <v>0.20028653295128937</v>
      </c>
      <c r="L25" s="2">
        <f>($F$8*L22+$F$9*L23)/($F$8+$F$9)</f>
        <v>0</v>
      </c>
      <c r="M25" s="2">
        <f>($F$8*M22+$F$9*M23)/($F$8+$F$9)</f>
        <v>0.33237822349570201</v>
      </c>
      <c r="N25" s="6">
        <f>SUM(J25:M25)</f>
        <v>0.99999999999999989</v>
      </c>
    </row>
    <row r="26" spans="2:35" x14ac:dyDescent="0.2">
      <c r="D26" s="2"/>
    </row>
    <row r="27" spans="2:35" ht="16" thickBot="1" x14ac:dyDescent="0.25">
      <c r="B27" s="81"/>
      <c r="C27" s="82"/>
      <c r="D27" s="81">
        <v>2020</v>
      </c>
      <c r="E27" s="81">
        <f>D27+1</f>
        <v>2021</v>
      </c>
      <c r="F27" s="81">
        <f t="shared" ref="F27:AH27" si="2">E27+1</f>
        <v>2022</v>
      </c>
      <c r="G27" s="81">
        <f t="shared" si="2"/>
        <v>2023</v>
      </c>
      <c r="H27" s="81">
        <f t="shared" si="2"/>
        <v>2024</v>
      </c>
      <c r="I27" s="81">
        <f t="shared" si="2"/>
        <v>2025</v>
      </c>
      <c r="J27" s="81">
        <f t="shared" si="2"/>
        <v>2026</v>
      </c>
      <c r="K27" s="81">
        <f t="shared" si="2"/>
        <v>2027</v>
      </c>
      <c r="L27" s="81">
        <f t="shared" si="2"/>
        <v>2028</v>
      </c>
      <c r="M27" s="81">
        <f t="shared" si="2"/>
        <v>2029</v>
      </c>
      <c r="N27" s="81">
        <f t="shared" si="2"/>
        <v>2030</v>
      </c>
      <c r="O27" s="81">
        <f t="shared" si="2"/>
        <v>2031</v>
      </c>
      <c r="P27" s="81">
        <f t="shared" si="2"/>
        <v>2032</v>
      </c>
      <c r="Q27" s="81">
        <f t="shared" si="2"/>
        <v>2033</v>
      </c>
      <c r="R27" s="81">
        <f t="shared" si="2"/>
        <v>2034</v>
      </c>
      <c r="S27" s="81">
        <f t="shared" si="2"/>
        <v>2035</v>
      </c>
      <c r="T27" s="81">
        <f t="shared" si="2"/>
        <v>2036</v>
      </c>
      <c r="U27" s="81">
        <f t="shared" si="2"/>
        <v>2037</v>
      </c>
      <c r="V27" s="81">
        <f t="shared" si="2"/>
        <v>2038</v>
      </c>
      <c r="W27" s="81">
        <f t="shared" si="2"/>
        <v>2039</v>
      </c>
      <c r="X27" s="81">
        <f t="shared" si="2"/>
        <v>2040</v>
      </c>
      <c r="Y27" s="81">
        <f t="shared" si="2"/>
        <v>2041</v>
      </c>
      <c r="Z27" s="81">
        <f t="shared" si="2"/>
        <v>2042</v>
      </c>
      <c r="AA27" s="81">
        <f t="shared" si="2"/>
        <v>2043</v>
      </c>
      <c r="AB27" s="81">
        <f t="shared" si="2"/>
        <v>2044</v>
      </c>
      <c r="AC27" s="81">
        <f t="shared" si="2"/>
        <v>2045</v>
      </c>
      <c r="AD27" s="81">
        <f t="shared" si="2"/>
        <v>2046</v>
      </c>
      <c r="AE27" s="81">
        <f t="shared" si="2"/>
        <v>2047</v>
      </c>
      <c r="AF27" s="81">
        <f t="shared" si="2"/>
        <v>2048</v>
      </c>
      <c r="AG27" s="81">
        <f t="shared" si="2"/>
        <v>2049</v>
      </c>
      <c r="AH27" s="81">
        <f t="shared" si="2"/>
        <v>2050</v>
      </c>
    </row>
    <row r="28" spans="2:35" x14ac:dyDescent="0.2">
      <c r="B28" t="s">
        <v>957</v>
      </c>
      <c r="C28" s="54" t="s">
        <v>933</v>
      </c>
      <c r="D28" s="85">
        <f>D16</f>
        <v>700000</v>
      </c>
      <c r="E28" s="85">
        <f t="shared" ref="E28:AH28" si="3">D28*(1+$G$16)</f>
        <v>794279.75859613309</v>
      </c>
      <c r="F28" s="85">
        <f t="shared" si="3"/>
        <v>901257.62130790204</v>
      </c>
      <c r="G28" s="85">
        <f t="shared" si="3"/>
        <v>1022643.8369790936</v>
      </c>
      <c r="H28" s="85">
        <f t="shared" si="3"/>
        <v>1160378.9999508252</v>
      </c>
      <c r="I28" s="85">
        <f t="shared" si="3"/>
        <v>1316665.0742299482</v>
      </c>
      <c r="J28" s="85">
        <f t="shared" si="3"/>
        <v>1494000.5961590328</v>
      </c>
      <c r="K28" s="85">
        <f t="shared" si="3"/>
        <v>1695220.6183709649</v>
      </c>
      <c r="L28" s="85">
        <f t="shared" si="3"/>
        <v>1923542.0336098247</v>
      </c>
      <c r="M28" s="85">
        <f t="shared" si="3"/>
        <v>2182615.0030073235</v>
      </c>
      <c r="N28" s="85">
        <f t="shared" si="3"/>
        <v>2476581.31099565</v>
      </c>
      <c r="O28" s="85">
        <f t="shared" si="3"/>
        <v>2810140.5797733138</v>
      </c>
      <c r="P28" s="85">
        <f t="shared" si="3"/>
        <v>3188625.4018907784</v>
      </c>
      <c r="Q28" s="85">
        <f t="shared" si="3"/>
        <v>3618086.5920961504</v>
      </c>
      <c r="R28" s="85">
        <f t="shared" si="3"/>
        <v>4105389.9213571944</v>
      </c>
      <c r="S28" s="85">
        <f t="shared" si="3"/>
        <v>4658325.879540843</v>
      </c>
      <c r="T28" s="85">
        <f t="shared" si="3"/>
        <v>5285734.2215197431</v>
      </c>
      <c r="U28" s="85">
        <f t="shared" si="3"/>
        <v>5997645.2878171727</v>
      </c>
      <c r="V28" s="85">
        <f t="shared" si="3"/>
        <v>6805440.3590752268</v>
      </c>
      <c r="W28" s="85">
        <f t="shared" si="3"/>
        <v>7722033.6079237889</v>
      </c>
      <c r="X28" s="85">
        <f t="shared" si="3"/>
        <v>8762078.5571041908</v>
      </c>
      <c r="Y28" s="85">
        <f t="shared" si="3"/>
        <v>9942202.3444815297</v>
      </c>
      <c r="Z28" s="85">
        <f t="shared" si="3"/>
        <v>11281271.540126711</v>
      </c>
      <c r="AA28" s="85">
        <f t="shared" si="3"/>
        <v>12800693.765070386</v>
      </c>
      <c r="AB28" s="85">
        <f t="shared" si="3"/>
        <v>14524759.933690188</v>
      </c>
      <c r="AC28" s="85">
        <f t="shared" si="3"/>
        <v>16481032.591140326</v>
      </c>
      <c r="AD28" s="85">
        <f t="shared" si="3"/>
        <v>18700786.554151341</v>
      </c>
      <c r="AE28" s="85">
        <f t="shared" si="3"/>
        <v>21219508.899698768</v>
      </c>
      <c r="AF28" s="85">
        <f t="shared" si="3"/>
        <v>24077466.294830333</v>
      </c>
      <c r="AG28" s="85">
        <f t="shared" si="3"/>
        <v>27320348.737520523</v>
      </c>
      <c r="AH28" s="85">
        <f t="shared" si="3"/>
        <v>30999999.999999955</v>
      </c>
    </row>
    <row r="29" spans="2:35" x14ac:dyDescent="0.2">
      <c r="B29" t="s">
        <v>958</v>
      </c>
      <c r="C29" s="54" t="s">
        <v>933</v>
      </c>
      <c r="D29">
        <f>0</f>
        <v>0</v>
      </c>
      <c r="E29" s="85">
        <f>E28-D28</f>
        <v>94279.758596133091</v>
      </c>
      <c r="F29" s="85">
        <f t="shared" ref="F29:AH29" si="4">F28-E28</f>
        <v>106977.86271176895</v>
      </c>
      <c r="G29" s="85">
        <f t="shared" si="4"/>
        <v>121386.21567119157</v>
      </c>
      <c r="H29" s="85">
        <f t="shared" si="4"/>
        <v>137735.16297173162</v>
      </c>
      <c r="I29" s="85">
        <f t="shared" si="4"/>
        <v>156286.07427912299</v>
      </c>
      <c r="J29" s="85">
        <f t="shared" si="4"/>
        <v>177335.52192908456</v>
      </c>
      <c r="K29" s="85">
        <f t="shared" si="4"/>
        <v>201220.02221193211</v>
      </c>
      <c r="L29" s="85">
        <f t="shared" si="4"/>
        <v>228321.41523885983</v>
      </c>
      <c r="M29" s="85">
        <f t="shared" si="4"/>
        <v>259072.96939749876</v>
      </c>
      <c r="N29" s="85">
        <f t="shared" si="4"/>
        <v>293966.30798832653</v>
      </c>
      <c r="O29" s="85">
        <f t="shared" si="4"/>
        <v>333559.26877766382</v>
      </c>
      <c r="P29" s="85">
        <f t="shared" si="4"/>
        <v>378484.82211746462</v>
      </c>
      <c r="Q29" s="85">
        <f t="shared" si="4"/>
        <v>429461.19020537194</v>
      </c>
      <c r="R29" s="85">
        <f t="shared" si="4"/>
        <v>487303.32926104404</v>
      </c>
      <c r="S29" s="85">
        <f t="shared" si="4"/>
        <v>552935.95818364853</v>
      </c>
      <c r="T29" s="85">
        <f t="shared" si="4"/>
        <v>627408.34197890013</v>
      </c>
      <c r="U29" s="85">
        <f t="shared" si="4"/>
        <v>711911.06629742961</v>
      </c>
      <c r="V29" s="85">
        <f t="shared" si="4"/>
        <v>807795.07125805411</v>
      </c>
      <c r="W29" s="85">
        <f t="shared" si="4"/>
        <v>916593.24884856213</v>
      </c>
      <c r="X29" s="85">
        <f t="shared" si="4"/>
        <v>1040044.9491804019</v>
      </c>
      <c r="Y29" s="85">
        <f t="shared" si="4"/>
        <v>1180123.7873773389</v>
      </c>
      <c r="Z29" s="85">
        <f t="shared" si="4"/>
        <v>1339069.1956451815</v>
      </c>
      <c r="AA29" s="85">
        <f t="shared" si="4"/>
        <v>1519422.2249436751</v>
      </c>
      <c r="AB29" s="85">
        <f t="shared" si="4"/>
        <v>1724066.1686198022</v>
      </c>
      <c r="AC29" s="85">
        <f t="shared" si="4"/>
        <v>1956272.6574501377</v>
      </c>
      <c r="AD29" s="85">
        <f t="shared" si="4"/>
        <v>2219753.9630110152</v>
      </c>
      <c r="AE29" s="85">
        <f t="shared" si="4"/>
        <v>2518722.3455474265</v>
      </c>
      <c r="AF29" s="85">
        <f t="shared" si="4"/>
        <v>2857957.3951315656</v>
      </c>
      <c r="AG29" s="85">
        <f t="shared" si="4"/>
        <v>3242882.4426901899</v>
      </c>
      <c r="AH29" s="85">
        <f t="shared" si="4"/>
        <v>3679651.2624794319</v>
      </c>
    </row>
    <row r="30" spans="2:35" x14ac:dyDescent="0.2">
      <c r="B30" t="s">
        <v>959</v>
      </c>
      <c r="C30" s="54" t="s">
        <v>935</v>
      </c>
      <c r="D30">
        <v>0</v>
      </c>
      <c r="E30" s="85">
        <f>E29*$F$7</f>
        <v>8660582.4756912943</v>
      </c>
      <c r="F30" s="85">
        <f t="shared" ref="F30:AH30" si="5">F29*$F$7</f>
        <v>9827036.2258485425</v>
      </c>
      <c r="G30" s="85">
        <f t="shared" si="5"/>
        <v>11150594.23026062</v>
      </c>
      <c r="H30" s="85">
        <f t="shared" si="5"/>
        <v>12652416.133449765</v>
      </c>
      <c r="I30" s="85">
        <f t="shared" si="5"/>
        <v>14356511.474477574</v>
      </c>
      <c r="J30" s="85">
        <f t="shared" si="5"/>
        <v>16290123.526043812</v>
      </c>
      <c r="K30" s="85">
        <f t="shared" si="5"/>
        <v>18484164.831096087</v>
      </c>
      <c r="L30" s="85">
        <f t="shared" si="5"/>
        <v>20973711.399848748</v>
      </c>
      <c r="M30" s="85">
        <f t="shared" si="5"/>
        <v>23798563.467909768</v>
      </c>
      <c r="N30" s="85">
        <f t="shared" si="5"/>
        <v>27003881.780323014</v>
      </c>
      <c r="O30" s="85">
        <f t="shared" si="5"/>
        <v>30640909.573762137</v>
      </c>
      <c r="P30" s="85">
        <f t="shared" si="5"/>
        <v>34767791.79916244</v>
      </c>
      <c r="Q30" s="85">
        <f t="shared" si="5"/>
        <v>39450504.681656256</v>
      </c>
      <c r="R30" s="85">
        <f t="shared" si="5"/>
        <v>44763910.478630781</v>
      </c>
      <c r="S30" s="85">
        <f t="shared" si="5"/>
        <v>50792954.298265383</v>
      </c>
      <c r="T30" s="85">
        <f t="shared" si="5"/>
        <v>57634022.11201524</v>
      </c>
      <c r="U30" s="85">
        <f t="shared" si="5"/>
        <v>65396481.671508059</v>
      </c>
      <c r="V30" s="85">
        <f t="shared" si="5"/>
        <v>74204430.964402631</v>
      </c>
      <c r="W30" s="85">
        <f t="shared" si="5"/>
        <v>84198682.161670238</v>
      </c>
      <c r="X30" s="85">
        <f t="shared" si="5"/>
        <v>95539012.773548529</v>
      </c>
      <c r="Y30" s="85">
        <f t="shared" si="5"/>
        <v>108406720.00326715</v>
      </c>
      <c r="Z30" s="85">
        <f t="shared" si="5"/>
        <v>123007519.13484804</v>
      </c>
      <c r="AA30" s="85">
        <f t="shared" si="5"/>
        <v>139574832.29133758</v>
      </c>
      <c r="AB30" s="85">
        <f t="shared" si="5"/>
        <v>158373520.14065623</v>
      </c>
      <c r="AC30" s="85">
        <f t="shared" si="5"/>
        <v>179704116.20762891</v>
      </c>
      <c r="AD30" s="85">
        <f t="shared" si="5"/>
        <v>203907631.48589554</v>
      </c>
      <c r="AE30" s="85">
        <f t="shared" si="5"/>
        <v>231371006.16075194</v>
      </c>
      <c r="AF30" s="85">
        <f t="shared" si="5"/>
        <v>262533295.59929496</v>
      </c>
      <c r="AG30" s="85">
        <f t="shared" si="5"/>
        <v>297892689.50293601</v>
      </c>
      <c r="AH30" s="85">
        <f t="shared" si="5"/>
        <v>338014476.43706405</v>
      </c>
    </row>
    <row r="31" spans="2:35" x14ac:dyDescent="0.2">
      <c r="B31" t="s">
        <v>960</v>
      </c>
      <c r="C31" s="54" t="s">
        <v>935</v>
      </c>
      <c r="D31">
        <v>0</v>
      </c>
      <c r="E31" s="85">
        <f>E30*($F$8+$F$9)</f>
        <v>755635.82100406534</v>
      </c>
      <c r="F31" s="85">
        <f t="shared" ref="F31:AH31" si="6">F30*($F$8+$F$9)</f>
        <v>857408.91070528526</v>
      </c>
      <c r="G31" s="85">
        <f t="shared" si="6"/>
        <v>972889.34659023897</v>
      </c>
      <c r="H31" s="85">
        <f t="shared" si="6"/>
        <v>1103923.307643492</v>
      </c>
      <c r="I31" s="85">
        <f t="shared" si="6"/>
        <v>1252605.6261481682</v>
      </c>
      <c r="J31" s="85">
        <f t="shared" si="6"/>
        <v>1421313.2776473225</v>
      </c>
      <c r="K31" s="85">
        <f t="shared" si="6"/>
        <v>1612743.3815131334</v>
      </c>
      <c r="L31" s="85">
        <f t="shared" si="6"/>
        <v>1829956.3196368031</v>
      </c>
      <c r="M31" s="85">
        <f t="shared" si="6"/>
        <v>2076424.6625751271</v>
      </c>
      <c r="N31" s="85">
        <f t="shared" si="6"/>
        <v>2356088.6853331826</v>
      </c>
      <c r="O31" s="85">
        <f t="shared" si="6"/>
        <v>2673419.3603107464</v>
      </c>
      <c r="P31" s="85">
        <f t="shared" si="6"/>
        <v>3033489.8344769226</v>
      </c>
      <c r="Q31" s="85">
        <f t="shared" si="6"/>
        <v>3442056.5334745082</v>
      </c>
      <c r="R31" s="85">
        <f t="shared" si="6"/>
        <v>3905651.1892605354</v>
      </c>
      <c r="S31" s="85">
        <f t="shared" si="6"/>
        <v>4431685.2625236539</v>
      </c>
      <c r="T31" s="85">
        <f t="shared" si="6"/>
        <v>5028568.4292733297</v>
      </c>
      <c r="U31" s="85">
        <f t="shared" si="6"/>
        <v>5705843.0258390773</v>
      </c>
      <c r="V31" s="85">
        <f t="shared" si="6"/>
        <v>6474336.6016441295</v>
      </c>
      <c r="W31" s="85">
        <f t="shared" si="6"/>
        <v>7346335.0186057277</v>
      </c>
      <c r="X31" s="85">
        <f t="shared" si="6"/>
        <v>8335778.8644921081</v>
      </c>
      <c r="Y31" s="85">
        <f t="shared" si="6"/>
        <v>9458486.3202850576</v>
      </c>
      <c r="Z31" s="85">
        <f t="shared" si="6"/>
        <v>10732406.044515491</v>
      </c>
      <c r="AA31" s="85">
        <f t="shared" si="6"/>
        <v>12177904.117419204</v>
      </c>
      <c r="AB31" s="85">
        <f t="shared" si="6"/>
        <v>13818089.632272255</v>
      </c>
      <c r="AC31" s="85">
        <f t="shared" si="6"/>
        <v>15679184.13911562</v>
      </c>
      <c r="AD31" s="85">
        <f t="shared" si="6"/>
        <v>17790940.847144384</v>
      </c>
      <c r="AE31" s="85">
        <f t="shared" si="6"/>
        <v>20187120.287525605</v>
      </c>
      <c r="AF31" s="85">
        <f t="shared" si="6"/>
        <v>22906030.041038483</v>
      </c>
      <c r="AG31" s="85">
        <f t="shared" si="6"/>
        <v>25991137.159131166</v>
      </c>
      <c r="AH31" s="85">
        <f t="shared" si="6"/>
        <v>29491763.069133837</v>
      </c>
    </row>
    <row r="32" spans="2:35" ht="16" thickBot="1" x14ac:dyDescent="0.25">
      <c r="B32" s="89" t="s">
        <v>961</v>
      </c>
      <c r="C32" s="90" t="s">
        <v>935</v>
      </c>
      <c r="D32" s="91">
        <v>0</v>
      </c>
      <c r="E32" s="91">
        <f>E30*$F$8*$D$22+E30*$F$9*$D$23</f>
        <v>551012.23885090719</v>
      </c>
      <c r="F32" s="91">
        <f t="shared" ref="F32:AH32" si="7">F30*$F$8*$D$22+F30*$F$9*$D$23</f>
        <v>625225.52579716174</v>
      </c>
      <c r="G32" s="91">
        <f t="shared" si="7"/>
        <v>709434.25671187148</v>
      </c>
      <c r="H32" s="91">
        <f t="shared" si="7"/>
        <v>804984.67165847449</v>
      </c>
      <c r="I32" s="91">
        <f t="shared" si="7"/>
        <v>913404.32954068657</v>
      </c>
      <c r="J32" s="91">
        <f t="shared" si="7"/>
        <v>1036426.5290974854</v>
      </c>
      <c r="K32" s="91">
        <f t="shared" si="7"/>
        <v>1176018.0190488263</v>
      </c>
      <c r="L32" s="91">
        <f t="shared" si="7"/>
        <v>1334410.4403925769</v>
      </c>
      <c r="M32" s="91">
        <f t="shared" si="7"/>
        <v>1514136.0035188231</v>
      </c>
      <c r="N32" s="91">
        <f t="shared" si="7"/>
        <v>1718067.9705094909</v>
      </c>
      <c r="O32" s="91">
        <f t="shared" si="7"/>
        <v>1949466.5898114683</v>
      </c>
      <c r="P32" s="91">
        <f t="shared" si="7"/>
        <v>2212031.2176381117</v>
      </c>
      <c r="Q32" s="91">
        <f t="shared" si="7"/>
        <v>2509959.4593610158</v>
      </c>
      <c r="R32" s="91">
        <f t="shared" si="7"/>
        <v>2848014.2763819257</v>
      </c>
      <c r="S32" s="91">
        <f t="shared" si="7"/>
        <v>3231600.1313185384</v>
      </c>
      <c r="T32" s="91">
        <f t="shared" si="7"/>
        <v>3666849.3888327456</v>
      </c>
      <c r="U32" s="91">
        <f t="shared" si="7"/>
        <v>4160720.3533863574</v>
      </c>
      <c r="V32" s="91">
        <f t="shared" si="7"/>
        <v>4721108.5112481881</v>
      </c>
      <c r="W32" s="91">
        <f t="shared" si="7"/>
        <v>5356972.7551719453</v>
      </c>
      <c r="X32" s="91">
        <f t="shared" si="7"/>
        <v>6078478.6096914774</v>
      </c>
      <c r="Y32" s="91">
        <f t="shared" si="7"/>
        <v>6897160.7467678655</v>
      </c>
      <c r="Z32" s="91">
        <f t="shared" si="7"/>
        <v>7826107.3899164367</v>
      </c>
      <c r="AA32" s="91">
        <f t="shared" si="7"/>
        <v>8880169.5548717715</v>
      </c>
      <c r="AB32" s="91">
        <f t="shared" si="7"/>
        <v>10076198.471908972</v>
      </c>
      <c r="AC32" s="91">
        <f t="shared" si="7"/>
        <v>11433314.985477973</v>
      </c>
      <c r="AD32" s="91">
        <f t="shared" si="7"/>
        <v>12973215.238027133</v>
      </c>
      <c r="AE32" s="91">
        <f t="shared" si="7"/>
        <v>14720517.524965521</v>
      </c>
      <c r="AF32" s="91">
        <f t="shared" si="7"/>
        <v>16703155.865913942</v>
      </c>
      <c r="AG32" s="91">
        <f t="shared" si="7"/>
        <v>18952826.584245294</v>
      </c>
      <c r="AH32" s="91">
        <f t="shared" si="7"/>
        <v>21505495.034355324</v>
      </c>
      <c r="AI32" s="85"/>
    </row>
    <row r="33" spans="2:35" ht="16" thickBot="1" x14ac:dyDescent="0.25">
      <c r="B33" s="89" t="s">
        <v>962</v>
      </c>
      <c r="C33" s="90" t="s">
        <v>935</v>
      </c>
      <c r="D33" s="91">
        <v>0</v>
      </c>
      <c r="E33" s="91">
        <f>E31*$F$8*$D$24</f>
        <v>2471.0292294198853</v>
      </c>
      <c r="F33" s="91">
        <f t="shared" ref="F33:AH33" si="8">F31*$F$8*$D$24</f>
        <v>2803.8407140394493</v>
      </c>
      <c r="G33" s="91">
        <f t="shared" si="8"/>
        <v>3181.4770364132328</v>
      </c>
      <c r="H33" s="91">
        <f t="shared" si="8"/>
        <v>3609.9754463734898</v>
      </c>
      <c r="I33" s="91">
        <f t="shared" si="8"/>
        <v>4096.186322976434</v>
      </c>
      <c r="J33" s="91">
        <f t="shared" si="8"/>
        <v>4647.8826911121514</v>
      </c>
      <c r="K33" s="91">
        <f t="shared" si="8"/>
        <v>5273.8844883995753</v>
      </c>
      <c r="L33" s="91">
        <f t="shared" si="8"/>
        <v>5984.1995690141466</v>
      </c>
      <c r="M33" s="91">
        <f t="shared" si="8"/>
        <v>6790.1836986680619</v>
      </c>
      <c r="N33" s="91">
        <f t="shared" si="8"/>
        <v>7704.7220985735166</v>
      </c>
      <c r="O33" s="91">
        <f t="shared" si="8"/>
        <v>8742.4354407218143</v>
      </c>
      <c r="P33" s="91">
        <f t="shared" si="8"/>
        <v>9919.9135877125627</v>
      </c>
      <c r="Q33" s="91">
        <f t="shared" si="8"/>
        <v>11255.980813918344</v>
      </c>
      <c r="R33" s="91">
        <f t="shared" si="8"/>
        <v>12771.996748059668</v>
      </c>
      <c r="S33" s="91">
        <f t="shared" si="8"/>
        <v>14492.197848342041</v>
      </c>
      <c r="T33" s="91">
        <f t="shared" si="8"/>
        <v>16444.084869297891</v>
      </c>
      <c r="U33" s="91">
        <f t="shared" si="8"/>
        <v>18658.862514743207</v>
      </c>
      <c r="V33" s="91">
        <f t="shared" si="8"/>
        <v>21171.938305555239</v>
      </c>
      <c r="W33" s="91">
        <f t="shared" si="8"/>
        <v>24023.488637640919</v>
      </c>
      <c r="X33" s="91">
        <f t="shared" si="8"/>
        <v>27259.101079631961</v>
      </c>
      <c r="Y33" s="91">
        <f t="shared" si="8"/>
        <v>30930.503178682378</v>
      </c>
      <c r="Z33" s="91">
        <f t="shared" si="8"/>
        <v>35096.389425743953</v>
      </c>
      <c r="AA33" s="91">
        <f t="shared" si="8"/>
        <v>39823.359600965407</v>
      </c>
      <c r="AB33" s="91">
        <f t="shared" si="8"/>
        <v>45186.983500488284</v>
      </c>
      <c r="AC33" s="91">
        <f t="shared" si="8"/>
        <v>51273.009066364684</v>
      </c>
      <c r="AD33" s="91">
        <f t="shared" si="8"/>
        <v>58178.733233899235</v>
      </c>
      <c r="AE33" s="91">
        <f t="shared" si="8"/>
        <v>66014.557412071867</v>
      </c>
      <c r="AF33" s="91">
        <f t="shared" si="8"/>
        <v>74905.752464415724</v>
      </c>
      <c r="AG33" s="91">
        <f t="shared" si="8"/>
        <v>84994.461406996881</v>
      </c>
      <c r="AH33" s="91">
        <f t="shared" si="8"/>
        <v>96441.971840511178</v>
      </c>
      <c r="AI33" s="85"/>
    </row>
    <row r="38" spans="2:35" x14ac:dyDescent="0.2">
      <c r="B38" t="s">
        <v>4</v>
      </c>
      <c r="C38">
        <v>28.053999999999998</v>
      </c>
      <c r="F38" t="s">
        <v>963</v>
      </c>
      <c r="G38" s="43">
        <f>(1/C41)*C40</f>
        <v>0.53353760074602008</v>
      </c>
    </row>
    <row r="39" spans="2:35" x14ac:dyDescent="0.2">
      <c r="B39" t="s">
        <v>964</v>
      </c>
      <c r="C39">
        <v>86.09</v>
      </c>
      <c r="F39" t="s">
        <v>965</v>
      </c>
      <c r="G39" s="43">
        <f>(1/(2*C39))*2*C41</f>
        <v>0.69754907654779874</v>
      </c>
    </row>
    <row r="40" spans="2:35" x14ac:dyDescent="0.2">
      <c r="B40" t="s">
        <v>6</v>
      </c>
      <c r="C40">
        <v>32.04</v>
      </c>
      <c r="F40" t="s">
        <v>966</v>
      </c>
      <c r="G40" s="43">
        <f>(1/SUM(C38+C39))*C39</f>
        <v>0.75422273619287927</v>
      </c>
      <c r="I40" s="43"/>
    </row>
    <row r="41" spans="2:35" x14ac:dyDescent="0.2">
      <c r="B41" t="s">
        <v>246</v>
      </c>
      <c r="C41">
        <v>60.052</v>
      </c>
      <c r="F41" t="s">
        <v>967</v>
      </c>
      <c r="G41" s="43">
        <f>(1/SUM(C39+C38))*C38</f>
        <v>0.24577726380712084</v>
      </c>
    </row>
    <row r="42" spans="2:35" x14ac:dyDescent="0.2">
      <c r="B42" t="s">
        <v>968</v>
      </c>
      <c r="C42" s="43">
        <v>32</v>
      </c>
      <c r="F42" t="s">
        <v>969</v>
      </c>
      <c r="G42" s="441">
        <f>G38*G39*G40</f>
        <v>0.28069806560134569</v>
      </c>
    </row>
    <row r="43" spans="2:35" x14ac:dyDescent="0.2">
      <c r="F43" t="s">
        <v>970</v>
      </c>
      <c r="G43" s="43">
        <f>(1/(2*C39))*2*C38</f>
        <v>0.32586827738413282</v>
      </c>
    </row>
    <row r="44" spans="2:35" x14ac:dyDescent="0.2">
      <c r="F44" t="s">
        <v>967</v>
      </c>
      <c r="G44" s="441">
        <f>G43*G40+G41</f>
        <v>0.49155452761424168</v>
      </c>
    </row>
    <row r="45" spans="2:35" x14ac:dyDescent="0.2">
      <c r="F45" t="s">
        <v>971</v>
      </c>
      <c r="G45" s="43">
        <f>(1/(2*C39))*2*C42</f>
        <v>0.3717040306655825</v>
      </c>
    </row>
    <row r="46" spans="2:35" x14ac:dyDescent="0.2">
      <c r="F46" t="s">
        <v>972</v>
      </c>
      <c r="G46" s="441">
        <f>G45*G40</f>
        <v>0.28034763106251753</v>
      </c>
    </row>
    <row r="48" spans="2:35" x14ac:dyDescent="0.2">
      <c r="F48" t="s">
        <v>973</v>
      </c>
      <c r="G48" s="43">
        <f>G42+G44+G46</f>
        <v>1.052600224278105</v>
      </c>
    </row>
  </sheetData>
  <hyperlinks>
    <hyperlink ref="B3" r:id="rId1" display="https://eitrawmaterials.eu/wp-content/uploads/2020/04/rms_for_wind_and_solar_published_v2.pdf" xr:uid="{0AB76E17-5D60-4C47-B7AA-50194FFB45D8}"/>
    <hyperlink ref="E22" r:id="rId2" xr:uid="{209C01D1-C69A-4298-8BA8-BB6120DEF96D}"/>
    <hyperlink ref="K9" r:id="rId3" xr:uid="{1C461105-1563-4C6E-A52B-F15D7A1D4237}"/>
  </hyperlinks>
  <pageMargins left="0.7" right="0.7" top="0.75" bottom="0.75" header="0.3" footer="0.3"/>
  <drawing r:id="rId4"/>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8C1F3F-FDAB-4303-8BE3-3F5AFFA86721}">
  <sheetPr>
    <tabColor theme="7"/>
  </sheetPr>
  <dimension ref="A1:AI40"/>
  <sheetViews>
    <sheetView topLeftCell="Q22" zoomScale="70" zoomScaleNormal="70" workbookViewId="0">
      <selection activeCell="AH37" sqref="AH37"/>
    </sheetView>
  </sheetViews>
  <sheetFormatPr baseColWidth="10" defaultColWidth="8.83203125" defaultRowHeight="15" x14ac:dyDescent="0.2"/>
  <cols>
    <col min="2" max="2" width="34.5" customWidth="1"/>
    <col min="3" max="3" width="11.5" customWidth="1"/>
    <col min="4" max="4" width="14.83203125" customWidth="1"/>
    <col min="5" max="5" width="15.1640625" customWidth="1"/>
    <col min="6" max="6" width="13.5" customWidth="1"/>
    <col min="7" max="26" width="11.5" customWidth="1"/>
    <col min="27" max="34" width="12.5" customWidth="1"/>
  </cols>
  <sheetData>
    <row r="1" spans="1:11" x14ac:dyDescent="0.2">
      <c r="A1" s="1" t="s">
        <v>974</v>
      </c>
    </row>
    <row r="3" spans="1:11" x14ac:dyDescent="0.2">
      <c r="A3" t="s">
        <v>929</v>
      </c>
      <c r="B3" s="5" t="s">
        <v>975</v>
      </c>
    </row>
    <row r="4" spans="1:11" ht="16" thickBot="1" x14ac:dyDescent="0.25"/>
    <row r="5" spans="1:11" ht="16" thickBot="1" x14ac:dyDescent="0.25">
      <c r="F5" s="73" t="s">
        <v>931</v>
      </c>
    </row>
    <row r="6" spans="1:11" ht="16" thickBot="1" x14ac:dyDescent="0.25">
      <c r="B6" s="1" t="s">
        <v>976</v>
      </c>
      <c r="C6" s="54" t="s">
        <v>933</v>
      </c>
      <c r="D6" s="51">
        <v>2</v>
      </c>
      <c r="E6" s="51">
        <v>3.45</v>
      </c>
      <c r="F6" s="73">
        <v>1</v>
      </c>
    </row>
    <row r="7" spans="1:11" x14ac:dyDescent="0.2">
      <c r="B7" t="s">
        <v>934</v>
      </c>
      <c r="C7" s="54" t="s">
        <v>935</v>
      </c>
      <c r="D7" s="51">
        <v>236</v>
      </c>
      <c r="E7" s="51">
        <v>601</v>
      </c>
      <c r="F7" s="74">
        <f>AVERAGE(D7/D6,E7/E6)</f>
        <v>146.10144927536231</v>
      </c>
      <c r="G7" s="75">
        <f>F7</f>
        <v>146.10144927536231</v>
      </c>
      <c r="K7" s="54" t="s">
        <v>96</v>
      </c>
    </row>
    <row r="8" spans="1:11" x14ac:dyDescent="0.2">
      <c r="B8" t="s">
        <v>977</v>
      </c>
      <c r="C8" s="54" t="s">
        <v>462</v>
      </c>
      <c r="D8" s="76">
        <v>0.03</v>
      </c>
      <c r="E8" s="56">
        <v>0.04</v>
      </c>
      <c r="F8" s="77">
        <f>AVERAGE(D8,E8)</f>
        <v>3.5000000000000003E-2</v>
      </c>
      <c r="G8" s="78">
        <f>F8*$G$7</f>
        <v>5.1135507246376815</v>
      </c>
      <c r="J8" s="6">
        <f>F8/(F9+F8)</f>
        <v>0.35000000000000003</v>
      </c>
      <c r="K8" s="54" t="s">
        <v>937</v>
      </c>
    </row>
    <row r="9" spans="1:11" x14ac:dyDescent="0.2">
      <c r="B9" t="s">
        <v>978</v>
      </c>
      <c r="C9" s="54" t="s">
        <v>462</v>
      </c>
      <c r="D9" s="55">
        <v>0.09</v>
      </c>
      <c r="E9" s="55">
        <v>0.04</v>
      </c>
      <c r="F9" s="77">
        <f>AVERAGE(D9,E9)</f>
        <v>6.5000000000000002E-2</v>
      </c>
      <c r="G9" s="78">
        <f t="shared" ref="G9:G11" si="0">F9*$G$7</f>
        <v>9.4965942028985513</v>
      </c>
      <c r="J9" s="6">
        <f>F9/(F8+F9)</f>
        <v>0.65</v>
      </c>
      <c r="K9" s="54" t="s">
        <v>939</v>
      </c>
    </row>
    <row r="10" spans="1:11" x14ac:dyDescent="0.2">
      <c r="B10" t="s">
        <v>979</v>
      </c>
      <c r="C10" s="54" t="s">
        <v>462</v>
      </c>
      <c r="D10" s="55">
        <f>0.84+0.01</f>
        <v>0.85</v>
      </c>
      <c r="E10" s="55">
        <f>0.89+0.01</f>
        <v>0.9</v>
      </c>
      <c r="F10" s="77">
        <f t="shared" ref="F10:F11" si="1">AVERAGE(D10,E10)</f>
        <v>0.875</v>
      </c>
      <c r="G10" s="78">
        <f t="shared" si="0"/>
        <v>127.83876811594203</v>
      </c>
    </row>
    <row r="11" spans="1:11" ht="16" thickBot="1" x14ac:dyDescent="0.25">
      <c r="B11" t="s">
        <v>980</v>
      </c>
      <c r="C11" s="54" t="s">
        <v>462</v>
      </c>
      <c r="D11" s="55">
        <f>1-D10-D9-D8</f>
        <v>3.0000000000000027E-2</v>
      </c>
      <c r="E11" s="55">
        <f>1-E10-E9-E8</f>
        <v>1.9999999999999976E-2</v>
      </c>
      <c r="F11" s="79">
        <f t="shared" si="1"/>
        <v>2.5000000000000001E-2</v>
      </c>
      <c r="G11" s="80">
        <f t="shared" si="0"/>
        <v>3.6525362318840582</v>
      </c>
    </row>
    <row r="13" spans="1:11" x14ac:dyDescent="0.2">
      <c r="A13" t="s">
        <v>942</v>
      </c>
    </row>
    <row r="14" spans="1:11" x14ac:dyDescent="0.2">
      <c r="D14" s="1"/>
      <c r="E14" s="1"/>
      <c r="F14" s="1"/>
    </row>
    <row r="15" spans="1:11" ht="16" thickBot="1" x14ac:dyDescent="0.25">
      <c r="B15" s="81"/>
      <c r="C15" s="82"/>
      <c r="D15" s="81">
        <v>2020</v>
      </c>
      <c r="E15" s="81">
        <v>2050</v>
      </c>
      <c r="F15" s="83" t="s">
        <v>981</v>
      </c>
      <c r="G15" s="81" t="s">
        <v>46</v>
      </c>
      <c r="I15" s="170" t="s">
        <v>96</v>
      </c>
    </row>
    <row r="16" spans="1:11" x14ac:dyDescent="0.2">
      <c r="B16" t="s">
        <v>982</v>
      </c>
      <c r="C16" s="54" t="s">
        <v>933</v>
      </c>
      <c r="D16" s="84">
        <v>743000</v>
      </c>
      <c r="E16" s="84">
        <v>15000000</v>
      </c>
      <c r="F16" s="85">
        <f>E16-D16</f>
        <v>14257000</v>
      </c>
      <c r="G16" s="23">
        <f>(E16/D16)^(1/30)-1</f>
        <v>0.10535916075125362</v>
      </c>
      <c r="I16" s="54" t="s">
        <v>983</v>
      </c>
    </row>
    <row r="17" spans="2:34" x14ac:dyDescent="0.2">
      <c r="B17" t="s">
        <v>984</v>
      </c>
      <c r="C17" s="54" t="s">
        <v>935</v>
      </c>
      <c r="D17" s="85">
        <f>D16*F7</f>
        <v>108553376.8115942</v>
      </c>
      <c r="E17" s="85">
        <f>E16*F7</f>
        <v>2191521739.1304345</v>
      </c>
      <c r="F17" s="85">
        <f>F16*F7</f>
        <v>2082968362.3188405</v>
      </c>
    </row>
    <row r="18" spans="2:34" x14ac:dyDescent="0.2">
      <c r="B18" t="s">
        <v>985</v>
      </c>
      <c r="C18" s="54" t="s">
        <v>935</v>
      </c>
      <c r="D18" s="85">
        <f>D17*$F$8</f>
        <v>3799368.1884057974</v>
      </c>
      <c r="E18" s="85">
        <f t="shared" ref="E18:F18" si="2">E17*$F$8</f>
        <v>76703260.869565219</v>
      </c>
      <c r="F18" s="85">
        <f t="shared" si="2"/>
        <v>72903892.681159422</v>
      </c>
    </row>
    <row r="19" spans="2:34" ht="16" thickBot="1" x14ac:dyDescent="0.25">
      <c r="B19" s="86" t="s">
        <v>948</v>
      </c>
      <c r="C19" s="87" t="s">
        <v>935</v>
      </c>
      <c r="D19" s="88">
        <f>D18*$D$22</f>
        <v>1139810.4565217393</v>
      </c>
      <c r="E19" s="88">
        <f>E18*$D$22</f>
        <v>23010978.260869566</v>
      </c>
      <c r="F19" s="88">
        <f>F18*$D$22</f>
        <v>21871167.804347824</v>
      </c>
      <c r="G19" s="85">
        <f>E19-D19</f>
        <v>21871167.804347828</v>
      </c>
    </row>
    <row r="21" spans="2:34" ht="16" thickBot="1" x14ac:dyDescent="0.25">
      <c r="B21" s="81" t="s">
        <v>949</v>
      </c>
      <c r="C21" s="81"/>
      <c r="D21" s="81"/>
      <c r="I21" s="68" t="s">
        <v>258</v>
      </c>
      <c r="J21" s="68" t="s">
        <v>950</v>
      </c>
      <c r="K21" s="68" t="s">
        <v>951</v>
      </c>
      <c r="L21" s="68" t="s">
        <v>248</v>
      </c>
    </row>
    <row r="22" spans="2:34" x14ac:dyDescent="0.2">
      <c r="B22" t="s">
        <v>986</v>
      </c>
      <c r="C22" t="s">
        <v>462</v>
      </c>
      <c r="D22" s="56">
        <v>0.3</v>
      </c>
      <c r="I22" s="55">
        <v>0</v>
      </c>
      <c r="J22" s="55">
        <v>0.5</v>
      </c>
      <c r="K22" s="55">
        <v>0.3</v>
      </c>
      <c r="L22" s="55">
        <v>0.2</v>
      </c>
    </row>
    <row r="23" spans="2:34" x14ac:dyDescent="0.2">
      <c r="B23" t="s">
        <v>987</v>
      </c>
      <c r="C23" t="s">
        <v>462</v>
      </c>
      <c r="D23" s="56">
        <f>0.35*AVERAGE('Demand - Industry shares'!Z114,'Demand - Industry shares'!Z119,'Demand - Industry shares'!Z122)</f>
        <v>0.15312844828414252</v>
      </c>
      <c r="E23" t="s">
        <v>988</v>
      </c>
      <c r="I23" s="55"/>
      <c r="J23" s="55"/>
      <c r="K23" s="55"/>
      <c r="L23" s="55"/>
    </row>
    <row r="24" spans="2:34" x14ac:dyDescent="0.2">
      <c r="B24" t="s">
        <v>989</v>
      </c>
      <c r="C24" t="s">
        <v>462</v>
      </c>
      <c r="D24" s="56">
        <f>0.5*0.25</f>
        <v>0.125</v>
      </c>
      <c r="E24" t="s">
        <v>990</v>
      </c>
      <c r="I24" s="55"/>
      <c r="J24" s="55"/>
      <c r="K24" s="55"/>
      <c r="L24" s="55"/>
    </row>
    <row r="25" spans="2:34" x14ac:dyDescent="0.2">
      <c r="B25" t="s">
        <v>991</v>
      </c>
      <c r="C25" t="s">
        <v>462</v>
      </c>
      <c r="D25" s="56">
        <v>0</v>
      </c>
      <c r="E25" t="s">
        <v>98</v>
      </c>
      <c r="I25" s="55"/>
      <c r="J25" s="55"/>
      <c r="K25" s="55"/>
      <c r="L25" s="55"/>
    </row>
    <row r="26" spans="2:34" x14ac:dyDescent="0.2">
      <c r="B26" t="s">
        <v>992</v>
      </c>
      <c r="C26" t="s">
        <v>462</v>
      </c>
      <c r="D26" s="56">
        <f>0.52*0.25</f>
        <v>0.13</v>
      </c>
      <c r="E26" t="s">
        <v>993</v>
      </c>
      <c r="I26" s="55"/>
      <c r="J26" s="55"/>
      <c r="K26" s="55"/>
      <c r="L26" s="55"/>
    </row>
    <row r="27" spans="2:34" x14ac:dyDescent="0.2">
      <c r="B27" t="s">
        <v>994</v>
      </c>
      <c r="C27" t="s">
        <v>462</v>
      </c>
      <c r="D27" s="56">
        <v>0</v>
      </c>
      <c r="E27" t="s">
        <v>98</v>
      </c>
      <c r="I27" s="55"/>
      <c r="J27" s="55"/>
      <c r="K27" s="55"/>
      <c r="L27" s="55"/>
    </row>
    <row r="28" spans="2:34" x14ac:dyDescent="0.2">
      <c r="B28" t="s">
        <v>995</v>
      </c>
      <c r="C28" s="54"/>
      <c r="D28" s="85"/>
    </row>
    <row r="29" spans="2:34" x14ac:dyDescent="0.2">
      <c r="B29" t="s">
        <v>996</v>
      </c>
    </row>
    <row r="30" spans="2:34" x14ac:dyDescent="0.2">
      <c r="B30" t="s">
        <v>997</v>
      </c>
    </row>
    <row r="32" spans="2:34" ht="16" thickBot="1" x14ac:dyDescent="0.25">
      <c r="B32" s="81"/>
      <c r="C32" s="82"/>
      <c r="D32" s="81">
        <v>2020</v>
      </c>
      <c r="E32" s="81">
        <f>D32+1</f>
        <v>2021</v>
      </c>
      <c r="F32" s="81">
        <f t="shared" ref="F32:AH32" si="3">E32+1</f>
        <v>2022</v>
      </c>
      <c r="G32" s="81">
        <f t="shared" si="3"/>
        <v>2023</v>
      </c>
      <c r="H32" s="81">
        <f t="shared" si="3"/>
        <v>2024</v>
      </c>
      <c r="I32" s="81">
        <f t="shared" si="3"/>
        <v>2025</v>
      </c>
      <c r="J32" s="81">
        <f t="shared" si="3"/>
        <v>2026</v>
      </c>
      <c r="K32" s="81">
        <f t="shared" si="3"/>
        <v>2027</v>
      </c>
      <c r="L32" s="81">
        <f t="shared" si="3"/>
        <v>2028</v>
      </c>
      <c r="M32" s="81">
        <f t="shared" si="3"/>
        <v>2029</v>
      </c>
      <c r="N32" s="81">
        <f t="shared" si="3"/>
        <v>2030</v>
      </c>
      <c r="O32" s="81">
        <f t="shared" si="3"/>
        <v>2031</v>
      </c>
      <c r="P32" s="81">
        <f t="shared" si="3"/>
        <v>2032</v>
      </c>
      <c r="Q32" s="81">
        <f t="shared" si="3"/>
        <v>2033</v>
      </c>
      <c r="R32" s="81">
        <f t="shared" si="3"/>
        <v>2034</v>
      </c>
      <c r="S32" s="81">
        <f t="shared" si="3"/>
        <v>2035</v>
      </c>
      <c r="T32" s="81">
        <f t="shared" si="3"/>
        <v>2036</v>
      </c>
      <c r="U32" s="81">
        <f t="shared" si="3"/>
        <v>2037</v>
      </c>
      <c r="V32" s="81">
        <f t="shared" si="3"/>
        <v>2038</v>
      </c>
      <c r="W32" s="81">
        <f t="shared" si="3"/>
        <v>2039</v>
      </c>
      <c r="X32" s="81">
        <f t="shared" si="3"/>
        <v>2040</v>
      </c>
      <c r="Y32" s="81">
        <f t="shared" si="3"/>
        <v>2041</v>
      </c>
      <c r="Z32" s="81">
        <f t="shared" si="3"/>
        <v>2042</v>
      </c>
      <c r="AA32" s="81">
        <f t="shared" si="3"/>
        <v>2043</v>
      </c>
      <c r="AB32" s="81">
        <f t="shared" si="3"/>
        <v>2044</v>
      </c>
      <c r="AC32" s="81">
        <f t="shared" si="3"/>
        <v>2045</v>
      </c>
      <c r="AD32" s="81">
        <f t="shared" si="3"/>
        <v>2046</v>
      </c>
      <c r="AE32" s="81">
        <f t="shared" si="3"/>
        <v>2047</v>
      </c>
      <c r="AF32" s="81">
        <f t="shared" si="3"/>
        <v>2048</v>
      </c>
      <c r="AG32" s="81">
        <f t="shared" si="3"/>
        <v>2049</v>
      </c>
      <c r="AH32" s="81">
        <f t="shared" si="3"/>
        <v>2050</v>
      </c>
    </row>
    <row r="33" spans="2:35" x14ac:dyDescent="0.2">
      <c r="B33" t="s">
        <v>982</v>
      </c>
      <c r="C33" s="54" t="s">
        <v>933</v>
      </c>
      <c r="D33" s="85">
        <f>D16</f>
        <v>743000</v>
      </c>
      <c r="E33" s="85">
        <f t="shared" ref="E33:AH33" si="4">D33*(1+$G$16)</f>
        <v>821281.85643818148</v>
      </c>
      <c r="F33" s="85">
        <f t="shared" si="4"/>
        <v>907811.42357273982</v>
      </c>
      <c r="G33" s="85">
        <f t="shared" si="4"/>
        <v>1003457.6732807645</v>
      </c>
      <c r="H33" s="85">
        <f t="shared" si="4"/>
        <v>1109181.1315870315</v>
      </c>
      <c r="I33" s="85">
        <f t="shared" si="4"/>
        <v>1226043.5247321669</v>
      </c>
      <c r="J33" s="85">
        <f t="shared" si="4"/>
        <v>1355218.4415424569</v>
      </c>
      <c r="K33" s="85">
        <f t="shared" si="4"/>
        <v>1498003.119177992</v>
      </c>
      <c r="L33" s="85">
        <f t="shared" si="4"/>
        <v>1655831.4706173453</v>
      </c>
      <c r="M33" s="85">
        <f t="shared" si="4"/>
        <v>1830288.4847071029</v>
      </c>
      <c r="N33" s="85">
        <f t="shared" si="4"/>
        <v>2023126.143388527</v>
      </c>
      <c r="O33" s="85">
        <f t="shared" si="4"/>
        <v>2236281.0159498625</v>
      </c>
      <c r="P33" s="85">
        <f t="shared" si="4"/>
        <v>2471893.7069943007</v>
      </c>
      <c r="Q33" s="85">
        <f t="shared" si="4"/>
        <v>2732330.3534295256</v>
      </c>
      <c r="R33" s="85">
        <f t="shared" si="4"/>
        <v>3020206.3863620367</v>
      </c>
      <c r="S33" s="85">
        <f t="shared" si="4"/>
        <v>3338412.7965247175</v>
      </c>
      <c r="T33" s="85">
        <f t="shared" si="4"/>
        <v>3690145.1670078072</v>
      </c>
      <c r="U33" s="85">
        <f t="shared" si="4"/>
        <v>4078935.7648540442</v>
      </c>
      <c r="V33" s="85">
        <f t="shared" si="4"/>
        <v>4508689.0137973391</v>
      </c>
      <c r="W33" s="85">
        <f t="shared" si="4"/>
        <v>4983720.7043794245</v>
      </c>
      <c r="X33" s="85">
        <f t="shared" si="4"/>
        <v>5508801.3352114875</v>
      </c>
      <c r="Y33" s="85">
        <f t="shared" si="4"/>
        <v>6089204.0206347555</v>
      </c>
      <c r="Z33" s="85">
        <f t="shared" si="4"/>
        <v>6730757.4458919922</v>
      </c>
      <c r="AA33" s="85">
        <f t="shared" si="4"/>
        <v>7439904.4016114241</v>
      </c>
      <c r="AB33" s="85">
        <f t="shared" si="4"/>
        <v>8223766.4854347613</v>
      </c>
      <c r="AC33" s="85">
        <f t="shared" si="4"/>
        <v>9090215.6205544546</v>
      </c>
      <c r="AD33" s="85">
        <f t="shared" si="4"/>
        <v>10047953.109384008</v>
      </c>
      <c r="AE33" s="85">
        <f t="shared" si="4"/>
        <v>11106597.016256656</v>
      </c>
      <c r="AF33" s="85">
        <f t="shared" si="4"/>
        <v>12276778.756691836</v>
      </c>
      <c r="AG33" s="85">
        <f t="shared" si="4"/>
        <v>13570249.863225706</v>
      </c>
      <c r="AH33" s="85">
        <f t="shared" si="4"/>
        <v>14999999.999999981</v>
      </c>
    </row>
    <row r="34" spans="2:35" x14ac:dyDescent="0.2">
      <c r="B34" t="s">
        <v>998</v>
      </c>
      <c r="C34" s="54" t="s">
        <v>933</v>
      </c>
      <c r="D34">
        <f>0</f>
        <v>0</v>
      </c>
      <c r="E34" s="85">
        <f>E33-D33</f>
        <v>78281.856438181479</v>
      </c>
      <c r="F34" s="85">
        <f t="shared" ref="F34:AH34" si="5">F33-E33</f>
        <v>86529.56713455834</v>
      </c>
      <c r="G34" s="85">
        <f t="shared" si="5"/>
        <v>95646.249708024669</v>
      </c>
      <c r="H34" s="85">
        <f t="shared" si="5"/>
        <v>105723.45830626704</v>
      </c>
      <c r="I34" s="85">
        <f t="shared" si="5"/>
        <v>116862.39314513537</v>
      </c>
      <c r="J34" s="85">
        <f t="shared" si="5"/>
        <v>129174.91681028996</v>
      </c>
      <c r="K34" s="85">
        <f t="shared" si="5"/>
        <v>142784.67763553513</v>
      </c>
      <c r="L34" s="85">
        <f t="shared" si="5"/>
        <v>157828.35143935331</v>
      </c>
      <c r="M34" s="85">
        <f t="shared" si="5"/>
        <v>174457.01408975758</v>
      </c>
      <c r="N34" s="85">
        <f t="shared" si="5"/>
        <v>192837.6586814241</v>
      </c>
      <c r="O34" s="85">
        <f t="shared" si="5"/>
        <v>213154.87256133556</v>
      </c>
      <c r="P34" s="85">
        <f t="shared" si="5"/>
        <v>235612.69104443816</v>
      </c>
      <c r="Q34" s="85">
        <f t="shared" si="5"/>
        <v>260436.64643522492</v>
      </c>
      <c r="R34" s="85">
        <f t="shared" si="5"/>
        <v>287876.03293251107</v>
      </c>
      <c r="S34" s="85">
        <f t="shared" si="5"/>
        <v>318206.41016268078</v>
      </c>
      <c r="T34" s="85">
        <f t="shared" si="5"/>
        <v>351732.3704830897</v>
      </c>
      <c r="U34" s="85">
        <f t="shared" si="5"/>
        <v>388790.59784623701</v>
      </c>
      <c r="V34" s="85">
        <f t="shared" si="5"/>
        <v>429753.24894329486</v>
      </c>
      <c r="W34" s="85">
        <f t="shared" si="5"/>
        <v>475031.6905820854</v>
      </c>
      <c r="X34" s="85">
        <f t="shared" si="5"/>
        <v>525080.63083206303</v>
      </c>
      <c r="Y34" s="85">
        <f t="shared" si="5"/>
        <v>580402.68542326801</v>
      </c>
      <c r="Z34" s="85">
        <f t="shared" si="5"/>
        <v>641553.4252572367</v>
      </c>
      <c r="AA34" s="85">
        <f t="shared" si="5"/>
        <v>709146.95571943186</v>
      </c>
      <c r="AB34" s="85">
        <f t="shared" si="5"/>
        <v>783862.08382333722</v>
      </c>
      <c r="AC34" s="85">
        <f t="shared" si="5"/>
        <v>866449.13511969335</v>
      </c>
      <c r="AD34" s="85">
        <f t="shared" si="5"/>
        <v>957737.48882955313</v>
      </c>
      <c r="AE34" s="85">
        <f t="shared" si="5"/>
        <v>1058643.9068726487</v>
      </c>
      <c r="AF34" s="85">
        <f t="shared" si="5"/>
        <v>1170181.7404351793</v>
      </c>
      <c r="AG34" s="85">
        <f t="shared" si="5"/>
        <v>1293471.1065338701</v>
      </c>
      <c r="AH34" s="85">
        <f t="shared" si="5"/>
        <v>1429750.1367742755</v>
      </c>
    </row>
    <row r="35" spans="2:35" x14ac:dyDescent="0.2">
      <c r="B35" t="s">
        <v>959</v>
      </c>
      <c r="C35" s="54" t="s">
        <v>935</v>
      </c>
      <c r="D35">
        <v>0</v>
      </c>
      <c r="E35" s="85">
        <f>E34*$F$7</f>
        <v>11437092.677584166</v>
      </c>
      <c r="F35" s="85">
        <f t="shared" ref="F35:AH35" si="6">F34*$F$7</f>
        <v>12642095.163528733</v>
      </c>
      <c r="G35" s="85">
        <f t="shared" si="6"/>
        <v>13974055.700095603</v>
      </c>
      <c r="H35" s="85">
        <f t="shared" si="6"/>
        <v>15446350.480948957</v>
      </c>
      <c r="I35" s="85">
        <f t="shared" si="6"/>
        <v>17073765.004291445</v>
      </c>
      <c r="J35" s="85">
        <f t="shared" si="6"/>
        <v>18872642.556007724</v>
      </c>
      <c r="K35" s="85">
        <f t="shared" si="6"/>
        <v>20861048.336867094</v>
      </c>
      <c r="L35" s="85">
        <f t="shared" si="6"/>
        <v>23058950.882030733</v>
      </c>
      <c r="M35" s="85">
        <f t="shared" si="6"/>
        <v>25488422.594765887</v>
      </c>
      <c r="N35" s="85">
        <f t="shared" si="6"/>
        <v>28173861.408223715</v>
      </c>
      <c r="O35" s="85">
        <f t="shared" si="6"/>
        <v>31142235.801316287</v>
      </c>
      <c r="P35" s="85">
        <f t="shared" si="6"/>
        <v>34423355.629260592</v>
      </c>
      <c r="Q35" s="85">
        <f t="shared" si="6"/>
        <v>38050171.488601483</v>
      </c>
      <c r="R35" s="85">
        <f t="shared" si="6"/>
        <v>42059105.623081796</v>
      </c>
      <c r="S35" s="85">
        <f t="shared" si="6"/>
        <v>46490417.69347804</v>
      </c>
      <c r="T35" s="85">
        <f t="shared" si="6"/>
        <v>51388609.084638074</v>
      </c>
      <c r="U35" s="85">
        <f t="shared" si="6"/>
        <v>56802869.809969783</v>
      </c>
      <c r="V35" s="85">
        <f t="shared" si="6"/>
        <v>62787572.501410946</v>
      </c>
      <c r="W35" s="85">
        <f t="shared" si="6"/>
        <v>69402818.445768163</v>
      </c>
      <c r="X35" s="85">
        <f t="shared" si="6"/>
        <v>76715041.150985897</v>
      </c>
      <c r="Y35" s="85">
        <f t="shared" si="6"/>
        <v>84797673.503651664</v>
      </c>
      <c r="Z35" s="85">
        <f t="shared" si="6"/>
        <v>93731885.217655107</v>
      </c>
      <c r="AA35" s="85">
        <f t="shared" si="6"/>
        <v>103607397.97982018</v>
      </c>
      <c r="AB35" s="85">
        <f t="shared" si="6"/>
        <v>114523386.47859511</v>
      </c>
      <c r="AC35" s="85">
        <f t="shared" si="6"/>
        <v>126589474.36437142</v>
      </c>
      <c r="AD35" s="85">
        <f t="shared" si="6"/>
        <v>139926835.14334384</v>
      </c>
      <c r="AE35" s="85">
        <f t="shared" si="6"/>
        <v>154669409.06062567</v>
      </c>
      <c r="AF35" s="85">
        <f t="shared" si="6"/>
        <v>170965248.19314554</v>
      </c>
      <c r="AG35" s="85">
        <f t="shared" si="6"/>
        <v>188978003.26040497</v>
      </c>
      <c r="AH35" s="85">
        <f t="shared" si="6"/>
        <v>208888567.08436912</v>
      </c>
    </row>
    <row r="36" spans="2:35" x14ac:dyDescent="0.2">
      <c r="B36" t="s">
        <v>960</v>
      </c>
      <c r="C36" s="54" t="s">
        <v>935</v>
      </c>
      <c r="D36">
        <v>0</v>
      </c>
      <c r="E36" s="85">
        <f>E35*$F$8</f>
        <v>400298.24371544586</v>
      </c>
      <c r="F36" s="85">
        <f t="shared" ref="F36:AH36" si="7">F35*$F$8</f>
        <v>442473.3307235057</v>
      </c>
      <c r="G36" s="85">
        <f t="shared" si="7"/>
        <v>489091.94950334617</v>
      </c>
      <c r="H36" s="85">
        <f t="shared" si="7"/>
        <v>540622.26683321351</v>
      </c>
      <c r="I36" s="85">
        <f t="shared" si="7"/>
        <v>597581.77515020058</v>
      </c>
      <c r="J36" s="85">
        <f t="shared" si="7"/>
        <v>660542.48946027039</v>
      </c>
      <c r="K36" s="85">
        <f t="shared" si="7"/>
        <v>730136.69179034838</v>
      </c>
      <c r="L36" s="85">
        <f t="shared" si="7"/>
        <v>807063.28087107569</v>
      </c>
      <c r="M36" s="85">
        <f t="shared" si="7"/>
        <v>892094.79081680614</v>
      </c>
      <c r="N36" s="85">
        <f t="shared" si="7"/>
        <v>986085.14928783011</v>
      </c>
      <c r="O36" s="85">
        <f t="shared" si="7"/>
        <v>1089978.2530460702</v>
      </c>
      <c r="P36" s="85">
        <f t="shared" si="7"/>
        <v>1204817.4470241209</v>
      </c>
      <c r="Q36" s="85">
        <f t="shared" si="7"/>
        <v>1331756.0021010521</v>
      </c>
      <c r="R36" s="85">
        <f t="shared" si="7"/>
        <v>1472068.696807863</v>
      </c>
      <c r="S36" s="85">
        <f t="shared" si="7"/>
        <v>1627164.6192717315</v>
      </c>
      <c r="T36" s="85">
        <f t="shared" si="7"/>
        <v>1798601.3179623329</v>
      </c>
      <c r="U36" s="85">
        <f t="shared" si="7"/>
        <v>1988100.4433489426</v>
      </c>
      <c r="V36" s="85">
        <f t="shared" si="7"/>
        <v>2197565.0375493835</v>
      </c>
      <c r="W36" s="85">
        <f t="shared" si="7"/>
        <v>2429098.6456018859</v>
      </c>
      <c r="X36" s="85">
        <f t="shared" si="7"/>
        <v>2685026.4402845064</v>
      </c>
      <c r="Y36" s="85">
        <f t="shared" si="7"/>
        <v>2967918.5726278084</v>
      </c>
      <c r="Z36" s="85">
        <f t="shared" si="7"/>
        <v>3280615.9826179291</v>
      </c>
      <c r="AA36" s="85">
        <f t="shared" si="7"/>
        <v>3626258.9292937065</v>
      </c>
      <c r="AB36" s="85">
        <f t="shared" si="7"/>
        <v>4008318.5267508291</v>
      </c>
      <c r="AC36" s="85">
        <f t="shared" si="7"/>
        <v>4430631.6027530003</v>
      </c>
      <c r="AD36" s="85">
        <f t="shared" si="7"/>
        <v>4897439.2300170343</v>
      </c>
      <c r="AE36" s="85">
        <f t="shared" si="7"/>
        <v>5413429.3171218988</v>
      </c>
      <c r="AF36" s="85">
        <f t="shared" si="7"/>
        <v>5983783.6867600949</v>
      </c>
      <c r="AG36" s="85">
        <f t="shared" si="7"/>
        <v>6614230.1141141746</v>
      </c>
      <c r="AH36" s="85">
        <f t="shared" si="7"/>
        <v>7311099.84795292</v>
      </c>
    </row>
    <row r="37" spans="2:35" ht="16" thickBot="1" x14ac:dyDescent="0.25">
      <c r="B37" s="89" t="s">
        <v>961</v>
      </c>
      <c r="C37" s="90" t="s">
        <v>935</v>
      </c>
      <c r="D37" s="91">
        <v>0</v>
      </c>
      <c r="E37" s="91">
        <f>E36*$D$22</f>
        <v>120089.47311463376</v>
      </c>
      <c r="F37" s="91">
        <f t="shared" ref="F37:AH37" si="8">F36*$D$22</f>
        <v>132741.99921705169</v>
      </c>
      <c r="G37" s="91">
        <f t="shared" si="8"/>
        <v>146727.58485100383</v>
      </c>
      <c r="H37" s="91">
        <f t="shared" si="8"/>
        <v>162186.68004996405</v>
      </c>
      <c r="I37" s="91">
        <f t="shared" si="8"/>
        <v>179274.53254506018</v>
      </c>
      <c r="J37" s="91">
        <f t="shared" si="8"/>
        <v>198162.7468380811</v>
      </c>
      <c r="K37" s="91">
        <f t="shared" si="8"/>
        <v>219041.00753710451</v>
      </c>
      <c r="L37" s="91">
        <f t="shared" si="8"/>
        <v>242118.98426132271</v>
      </c>
      <c r="M37" s="91">
        <f t="shared" si="8"/>
        <v>267628.43724504183</v>
      </c>
      <c r="N37" s="91">
        <f t="shared" si="8"/>
        <v>295825.544786349</v>
      </c>
      <c r="O37" s="91">
        <f t="shared" si="8"/>
        <v>326993.47591382108</v>
      </c>
      <c r="P37" s="91">
        <f t="shared" si="8"/>
        <v>361445.23410723626</v>
      </c>
      <c r="Q37" s="91">
        <f t="shared" si="8"/>
        <v>399526.80063031561</v>
      </c>
      <c r="R37" s="91">
        <f t="shared" si="8"/>
        <v>441620.60904235888</v>
      </c>
      <c r="S37" s="91">
        <f t="shared" si="8"/>
        <v>488149.38578151941</v>
      </c>
      <c r="T37" s="91">
        <f t="shared" si="8"/>
        <v>539580.39538869984</v>
      </c>
      <c r="U37" s="91">
        <f t="shared" si="8"/>
        <v>596430.13300468272</v>
      </c>
      <c r="V37" s="91">
        <f t="shared" si="8"/>
        <v>659269.511264815</v>
      </c>
      <c r="W37" s="91">
        <f t="shared" si="8"/>
        <v>728729.59368056571</v>
      </c>
      <c r="X37" s="91">
        <f t="shared" si="8"/>
        <v>805507.9320853519</v>
      </c>
      <c r="Y37" s="91">
        <f t="shared" si="8"/>
        <v>890375.57178834255</v>
      </c>
      <c r="Z37" s="91">
        <f t="shared" si="8"/>
        <v>984184.79478537873</v>
      </c>
      <c r="AA37" s="91">
        <f t="shared" si="8"/>
        <v>1087877.678788112</v>
      </c>
      <c r="AB37" s="91">
        <f t="shared" si="8"/>
        <v>1202495.5580252486</v>
      </c>
      <c r="AC37" s="91">
        <f t="shared" si="8"/>
        <v>1329189.4808259001</v>
      </c>
      <c r="AD37" s="91">
        <f t="shared" si="8"/>
        <v>1469231.7690051103</v>
      </c>
      <c r="AE37" s="91">
        <f t="shared" si="8"/>
        <v>1624028.7951365695</v>
      </c>
      <c r="AF37" s="91">
        <f t="shared" si="8"/>
        <v>1795135.1060280285</v>
      </c>
      <c r="AG37" s="91">
        <f t="shared" si="8"/>
        <v>1984269.0342342523</v>
      </c>
      <c r="AH37" s="91">
        <f t="shared" si="8"/>
        <v>2193329.9543858757</v>
      </c>
      <c r="AI37" s="85"/>
    </row>
    <row r="38" spans="2:35" ht="16" thickBot="1" x14ac:dyDescent="0.25">
      <c r="B38" s="89" t="s">
        <v>962</v>
      </c>
      <c r="C38" s="90" t="s">
        <v>935</v>
      </c>
      <c r="D38" s="91">
        <v>0</v>
      </c>
      <c r="E38" s="91">
        <f>E36*$D$23</f>
        <v>61297.048911013728</v>
      </c>
      <c r="F38" s="91">
        <f t="shared" ref="F38:AH38" si="9">F36*$D$23</f>
        <v>67755.254540806636</v>
      </c>
      <c r="G38" s="91">
        <f t="shared" si="9"/>
        <v>74893.891295713591</v>
      </c>
      <c r="H38" s="91">
        <f t="shared" si="9"/>
        <v>82784.648828025631</v>
      </c>
      <c r="I38" s="91">
        <f t="shared" si="9"/>
        <v>91506.769951633571</v>
      </c>
      <c r="J38" s="91">
        <f t="shared" si="9"/>
        <v>101147.84643679576</v>
      </c>
      <c r="K38" s="91">
        <f t="shared" si="9"/>
        <v>111804.69864917327</v>
      </c>
      <c r="L38" s="91">
        <f t="shared" si="9"/>
        <v>123584.3478668969</v>
      </c>
      <c r="M38" s="91">
        <f t="shared" si="9"/>
        <v>136605.09104014424</v>
      </c>
      <c r="N38" s="91">
        <f t="shared" si="9"/>
        <v>150997.68878648244</v>
      </c>
      <c r="O38" s="91">
        <f t="shared" si="9"/>
        <v>166906.67855240518</v>
      </c>
      <c r="P38" s="91">
        <f t="shared" si="9"/>
        <v>184491.82612846571</v>
      </c>
      <c r="Q38" s="91">
        <f t="shared" si="9"/>
        <v>203929.73009482733</v>
      </c>
      <c r="R38" s="91">
        <f t="shared" si="9"/>
        <v>225415.59530984791</v>
      </c>
      <c r="S38" s="91">
        <f t="shared" si="9"/>
        <v>249165.19325193777</v>
      </c>
      <c r="T38" s="91">
        <f t="shared" si="9"/>
        <v>275417.02890138567</v>
      </c>
      <c r="U38" s="91">
        <f t="shared" si="9"/>
        <v>304434.73592303938</v>
      </c>
      <c r="V38" s="91">
        <f t="shared" si="9"/>
        <v>336509.72420342045</v>
      </c>
      <c r="W38" s="91">
        <f t="shared" si="9"/>
        <v>371964.10633012903</v>
      </c>
      <c r="X38" s="91">
        <f t="shared" si="9"/>
        <v>411153.9324026613</v>
      </c>
      <c r="Y38" s="91">
        <f t="shared" si="9"/>
        <v>454472.76566018345</v>
      </c>
      <c r="Z38" s="91">
        <f t="shared" si="9"/>
        <v>502355.63483444095</v>
      </c>
      <c r="AA38" s="91">
        <f t="shared" si="9"/>
        <v>555283.40291926137</v>
      </c>
      <c r="AB38" s="91">
        <f t="shared" si="9"/>
        <v>613787.5962299346</v>
      </c>
      <c r="AC38" s="91">
        <f t="shared" si="9"/>
        <v>678455.74224825029</v>
      </c>
      <c r="AD38" s="91">
        <f t="shared" si="9"/>
        <v>749937.26985839417</v>
      </c>
      <c r="AE38" s="91">
        <f t="shared" si="9"/>
        <v>828950.03122676164</v>
      </c>
      <c r="AF38" s="91">
        <f t="shared" si="9"/>
        <v>916287.51082153886</v>
      </c>
      <c r="AG38" s="91">
        <f t="shared" si="9"/>
        <v>1012826.7939685504</v>
      </c>
      <c r="AH38" s="91">
        <f t="shared" si="9"/>
        <v>1119537.374967461</v>
      </c>
      <c r="AI38" s="85"/>
    </row>
    <row r="39" spans="2:35" ht="16" thickBot="1" x14ac:dyDescent="0.25">
      <c r="B39" s="89" t="s">
        <v>999</v>
      </c>
      <c r="C39" s="90" t="s">
        <v>935</v>
      </c>
      <c r="D39" s="91">
        <v>0</v>
      </c>
      <c r="E39" s="91">
        <f>E36*$D$24</f>
        <v>50037.280464430733</v>
      </c>
      <c r="F39" s="91">
        <f t="shared" ref="F39:AH39" si="10">F36*$D$24</f>
        <v>55309.166340438213</v>
      </c>
      <c r="G39" s="91">
        <f t="shared" si="10"/>
        <v>61136.493687918271</v>
      </c>
      <c r="H39" s="91">
        <f t="shared" si="10"/>
        <v>67577.783354151688</v>
      </c>
      <c r="I39" s="91">
        <f t="shared" si="10"/>
        <v>74697.721893775073</v>
      </c>
      <c r="J39" s="91">
        <f t="shared" si="10"/>
        <v>82567.811182533798</v>
      </c>
      <c r="K39" s="91">
        <f t="shared" si="10"/>
        <v>91267.086473793548</v>
      </c>
      <c r="L39" s="91">
        <f t="shared" si="10"/>
        <v>100882.91010888446</v>
      </c>
      <c r="M39" s="91">
        <f t="shared" si="10"/>
        <v>111511.84885210077</v>
      </c>
      <c r="N39" s="91">
        <f t="shared" si="10"/>
        <v>123260.64366097876</v>
      </c>
      <c r="O39" s="91">
        <f t="shared" si="10"/>
        <v>136247.28163075878</v>
      </c>
      <c r="P39" s="91">
        <f t="shared" si="10"/>
        <v>150602.18087801512</v>
      </c>
      <c r="Q39" s="91">
        <f t="shared" si="10"/>
        <v>166469.50026263151</v>
      </c>
      <c r="R39" s="91">
        <f t="shared" si="10"/>
        <v>184008.58710098287</v>
      </c>
      <c r="S39" s="91">
        <f t="shared" si="10"/>
        <v>203395.57740896643</v>
      </c>
      <c r="T39" s="91">
        <f t="shared" si="10"/>
        <v>224825.16474529161</v>
      </c>
      <c r="U39" s="91">
        <f t="shared" si="10"/>
        <v>248512.55541861782</v>
      </c>
      <c r="V39" s="91">
        <f t="shared" si="10"/>
        <v>274695.62969367293</v>
      </c>
      <c r="W39" s="91">
        <f t="shared" si="10"/>
        <v>303637.33070023573</v>
      </c>
      <c r="X39" s="91">
        <f t="shared" si="10"/>
        <v>335628.3050355633</v>
      </c>
      <c r="Y39" s="91">
        <f t="shared" si="10"/>
        <v>370989.82157847605</v>
      </c>
      <c r="Z39" s="91">
        <f t="shared" si="10"/>
        <v>410076.99782724114</v>
      </c>
      <c r="AA39" s="91">
        <f t="shared" si="10"/>
        <v>453282.36616171332</v>
      </c>
      <c r="AB39" s="91">
        <f t="shared" si="10"/>
        <v>501039.81584385363</v>
      </c>
      <c r="AC39" s="91">
        <f t="shared" si="10"/>
        <v>553828.95034412504</v>
      </c>
      <c r="AD39" s="91">
        <f t="shared" si="10"/>
        <v>612179.90375212929</v>
      </c>
      <c r="AE39" s="91">
        <f t="shared" si="10"/>
        <v>676678.66464023734</v>
      </c>
      <c r="AF39" s="91">
        <f t="shared" si="10"/>
        <v>747972.96084501187</v>
      </c>
      <c r="AG39" s="91">
        <f t="shared" si="10"/>
        <v>826778.76426427183</v>
      </c>
      <c r="AH39" s="91">
        <f t="shared" si="10"/>
        <v>913887.480994115</v>
      </c>
      <c r="AI39" s="85"/>
    </row>
    <row r="40" spans="2:35" ht="16" thickBot="1" x14ac:dyDescent="0.25">
      <c r="B40" s="89" t="s">
        <v>1000</v>
      </c>
      <c r="C40" s="90" t="s">
        <v>935</v>
      </c>
      <c r="D40" s="91">
        <v>0</v>
      </c>
      <c r="E40" s="91">
        <f>E36*$D$26</f>
        <v>52038.771683007966</v>
      </c>
      <c r="F40" s="91">
        <f t="shared" ref="F40:AH40" si="11">F36*$D$26</f>
        <v>57521.532994055742</v>
      </c>
      <c r="G40" s="91">
        <f t="shared" si="11"/>
        <v>63581.953435435003</v>
      </c>
      <c r="H40" s="91">
        <f t="shared" si="11"/>
        <v>70280.894688317756</v>
      </c>
      <c r="I40" s="91">
        <f t="shared" si="11"/>
        <v>77685.630769526077</v>
      </c>
      <c r="J40" s="91">
        <f t="shared" si="11"/>
        <v>85870.523629835152</v>
      </c>
      <c r="K40" s="91">
        <f t="shared" si="11"/>
        <v>94917.769932745286</v>
      </c>
      <c r="L40" s="91">
        <f t="shared" si="11"/>
        <v>104918.22651323985</v>
      </c>
      <c r="M40" s="91">
        <f t="shared" si="11"/>
        <v>115972.32280618481</v>
      </c>
      <c r="N40" s="91">
        <f t="shared" si="11"/>
        <v>128191.06940741792</v>
      </c>
      <c r="O40" s="91">
        <f t="shared" si="11"/>
        <v>141697.17289598915</v>
      </c>
      <c r="P40" s="91">
        <f t="shared" si="11"/>
        <v>156626.26811313574</v>
      </c>
      <c r="Q40" s="91">
        <f t="shared" si="11"/>
        <v>173128.28027313677</v>
      </c>
      <c r="R40" s="91">
        <f t="shared" si="11"/>
        <v>191368.9305850222</v>
      </c>
      <c r="S40" s="91">
        <f t="shared" si="11"/>
        <v>211531.40050532509</v>
      </c>
      <c r="T40" s="91">
        <f t="shared" si="11"/>
        <v>233818.17133510328</v>
      </c>
      <c r="U40" s="91">
        <f t="shared" si="11"/>
        <v>258453.05763536255</v>
      </c>
      <c r="V40" s="91">
        <f t="shared" si="11"/>
        <v>285683.45488141984</v>
      </c>
      <c r="W40" s="91">
        <f t="shared" si="11"/>
        <v>315782.82392824517</v>
      </c>
      <c r="X40" s="91">
        <f t="shared" si="11"/>
        <v>349053.43723698583</v>
      </c>
      <c r="Y40" s="91">
        <f t="shared" si="11"/>
        <v>385829.41444161511</v>
      </c>
      <c r="Z40" s="91">
        <f t="shared" si="11"/>
        <v>426480.07774033077</v>
      </c>
      <c r="AA40" s="91">
        <f t="shared" si="11"/>
        <v>471413.66080818186</v>
      </c>
      <c r="AB40" s="91">
        <f t="shared" si="11"/>
        <v>521081.40847760782</v>
      </c>
      <c r="AC40" s="91">
        <f t="shared" si="11"/>
        <v>575982.10835789004</v>
      </c>
      <c r="AD40" s="91">
        <f t="shared" si="11"/>
        <v>636667.09990221448</v>
      </c>
      <c r="AE40" s="91">
        <f t="shared" si="11"/>
        <v>703745.81122584688</v>
      </c>
      <c r="AF40" s="91">
        <f t="shared" si="11"/>
        <v>777891.87927881232</v>
      </c>
      <c r="AG40" s="91">
        <f t="shared" si="11"/>
        <v>859849.91483484278</v>
      </c>
      <c r="AH40" s="91">
        <f t="shared" si="11"/>
        <v>950442.98023387964</v>
      </c>
      <c r="AI40" s="85"/>
    </row>
  </sheetData>
  <hyperlinks>
    <hyperlink ref="B3" r:id="rId1" xr:uid="{AC02FA5A-22FD-465A-A96E-71D33097C009}"/>
  </hyperlinks>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A3592-90DB-4242-91D5-B47527EABA93}">
  <sheetPr>
    <tabColor rgb="FFFFC000"/>
  </sheetPr>
  <dimension ref="A1:AH148"/>
  <sheetViews>
    <sheetView topLeftCell="A3" zoomScale="80" zoomScaleNormal="80" workbookViewId="0">
      <selection activeCell="B14" sqref="B14"/>
    </sheetView>
  </sheetViews>
  <sheetFormatPr baseColWidth="10" defaultColWidth="8.83203125" defaultRowHeight="15" x14ac:dyDescent="0.2"/>
  <cols>
    <col min="1" max="1" width="44.1640625" customWidth="1"/>
    <col min="2" max="2" width="10.1640625" customWidth="1"/>
    <col min="5" max="5" width="20" bestFit="1" customWidth="1"/>
    <col min="7" max="7" width="18.5" customWidth="1"/>
    <col min="8" max="8" width="11.5" customWidth="1"/>
    <col min="11" max="11" width="20.5" customWidth="1"/>
    <col min="12" max="12" width="17.1640625" customWidth="1"/>
    <col min="13" max="13" width="20" bestFit="1" customWidth="1"/>
    <col min="25" max="25" width="30.5" customWidth="1"/>
    <col min="26" max="26" width="10.5" customWidth="1"/>
    <col min="29" max="29" width="26" customWidth="1"/>
  </cols>
  <sheetData>
    <row r="1" spans="1:15" s="81" customFormat="1" ht="16" thickBot="1" x14ac:dyDescent="0.25">
      <c r="A1" s="81" t="s">
        <v>1001</v>
      </c>
    </row>
    <row r="2" spans="1:15" x14ac:dyDescent="0.2">
      <c r="A2" s="54" t="s">
        <v>1002</v>
      </c>
    </row>
    <row r="3" spans="1:15" x14ac:dyDescent="0.2">
      <c r="A3" s="158" t="s">
        <v>1003</v>
      </c>
    </row>
    <row r="5" spans="1:15" ht="32" x14ac:dyDescent="0.2">
      <c r="A5" s="145" t="s">
        <v>743</v>
      </c>
      <c r="B5" s="146" t="s">
        <v>744</v>
      </c>
      <c r="C5" s="147" t="s">
        <v>472</v>
      </c>
      <c r="D5" s="612" t="s">
        <v>477</v>
      </c>
      <c r="E5" s="147" t="s">
        <v>478</v>
      </c>
      <c r="F5" s="147" t="s">
        <v>480</v>
      </c>
      <c r="G5" s="147" t="s">
        <v>474</v>
      </c>
      <c r="H5" s="149" t="s">
        <v>745</v>
      </c>
      <c r="I5" s="147" t="s">
        <v>192</v>
      </c>
      <c r="J5" s="147" t="s">
        <v>67</v>
      </c>
    </row>
    <row r="6" spans="1:15" ht="16" x14ac:dyDescent="0.2">
      <c r="A6" s="150" t="s">
        <v>311</v>
      </c>
      <c r="B6" s="611">
        <v>1E-3</v>
      </c>
      <c r="C6" s="154">
        <v>8.0000000000000002E-3</v>
      </c>
      <c r="D6" s="155">
        <v>2.5999999999999999E-2</v>
      </c>
      <c r="E6" s="154">
        <v>0</v>
      </c>
      <c r="F6" s="154">
        <v>3.0000000000000001E-3</v>
      </c>
      <c r="G6" s="154">
        <v>0</v>
      </c>
      <c r="H6" s="593">
        <f>1.6%-0.8%</f>
        <v>8.0000000000000002E-3</v>
      </c>
      <c r="I6" s="594">
        <f>1.4%+0.8%</f>
        <v>2.1999999999999999E-2</v>
      </c>
      <c r="J6" s="151">
        <f>SUM(B6:I6)</f>
        <v>6.8000000000000005E-2</v>
      </c>
      <c r="M6" s="270" t="s">
        <v>1004</v>
      </c>
    </row>
    <row r="7" spans="1:15" ht="16" x14ac:dyDescent="0.2">
      <c r="A7" s="150" t="s">
        <v>309</v>
      </c>
      <c r="B7" s="155">
        <v>0.13500000000000001</v>
      </c>
      <c r="C7" s="154">
        <v>9.2999999999999999E-2</v>
      </c>
      <c r="D7" s="155">
        <v>8.2000000000000003E-2</v>
      </c>
      <c r="E7" s="154">
        <v>2.3E-2</v>
      </c>
      <c r="F7" s="154">
        <v>8.9999999999999993E-3</v>
      </c>
      <c r="G7" s="154">
        <v>0.10100000000000001</v>
      </c>
      <c r="H7" s="155">
        <v>2E-3</v>
      </c>
      <c r="I7" s="154">
        <v>1E-3</v>
      </c>
      <c r="J7" s="151">
        <f t="shared" ref="J7:J12" si="0">SUM(B7:I7)</f>
        <v>0.44600000000000006</v>
      </c>
      <c r="M7" s="271"/>
    </row>
    <row r="8" spans="1:15" ht="32" x14ac:dyDescent="0.2">
      <c r="A8" s="153" t="s">
        <v>1005</v>
      </c>
      <c r="B8" s="611">
        <v>1.0999999999999999E-2</v>
      </c>
      <c r="C8" s="154">
        <v>3.3000000000000002E-2</v>
      </c>
      <c r="D8" s="155">
        <v>1.2E-2</v>
      </c>
      <c r="E8" s="154">
        <v>2.1999999999999999E-2</v>
      </c>
      <c r="F8" s="154">
        <v>8.1000000000000003E-2</v>
      </c>
      <c r="G8" s="154">
        <v>0</v>
      </c>
      <c r="H8" s="155">
        <v>2.4E-2</v>
      </c>
      <c r="I8" s="154">
        <v>5.0000000000000001E-3</v>
      </c>
      <c r="J8" s="151">
        <f t="shared" si="0"/>
        <v>0.18799999999999997</v>
      </c>
    </row>
    <row r="9" spans="1:15" ht="32" x14ac:dyDescent="0.2">
      <c r="A9" s="153" t="s">
        <v>1006</v>
      </c>
      <c r="B9" s="611">
        <v>5.0000000000000001E-3</v>
      </c>
      <c r="C9" s="154">
        <v>2E-3</v>
      </c>
      <c r="D9" s="155">
        <v>8.9999999999999993E-3</v>
      </c>
      <c r="E9" s="154">
        <v>6.0000000000000001E-3</v>
      </c>
      <c r="F9" s="154">
        <v>4.0000000000000001E-3</v>
      </c>
      <c r="G9" s="154">
        <v>0</v>
      </c>
      <c r="H9" s="155">
        <v>4.0000000000000001E-3</v>
      </c>
      <c r="I9" s="154">
        <v>0.01</v>
      </c>
      <c r="J9" s="151">
        <f t="shared" si="0"/>
        <v>0.04</v>
      </c>
    </row>
    <row r="10" spans="1:15" ht="32" x14ac:dyDescent="0.2">
      <c r="A10" s="153" t="s">
        <v>1007</v>
      </c>
      <c r="B10" s="611">
        <v>2.9000000000000001E-2</v>
      </c>
      <c r="C10" s="154">
        <v>1.7000000000000001E-2</v>
      </c>
      <c r="D10" s="155">
        <v>3.7999999999999999E-2</v>
      </c>
      <c r="E10" s="154">
        <v>1.7999999999999999E-2</v>
      </c>
      <c r="F10" s="154">
        <v>6.0000000000000001E-3</v>
      </c>
      <c r="G10" s="154">
        <v>0</v>
      </c>
      <c r="H10" s="155">
        <v>0.01</v>
      </c>
      <c r="I10" s="154">
        <v>2E-3</v>
      </c>
      <c r="J10" s="151">
        <f t="shared" si="0"/>
        <v>0.12</v>
      </c>
      <c r="L10" s="1" t="s">
        <v>1008</v>
      </c>
      <c r="O10">
        <f>'Demand Breakdown - C4'!C18/(I13*L14)</f>
        <v>0.67386455259224298</v>
      </c>
    </row>
    <row r="11" spans="1:15" ht="32" x14ac:dyDescent="0.2">
      <c r="A11" s="153" t="s">
        <v>1009</v>
      </c>
      <c r="B11" s="611">
        <v>2E-3</v>
      </c>
      <c r="C11" s="154">
        <v>1E-3</v>
      </c>
      <c r="D11" s="155">
        <v>2E-3</v>
      </c>
      <c r="E11" s="154">
        <v>0</v>
      </c>
      <c r="F11" s="154">
        <v>0</v>
      </c>
      <c r="G11" s="154">
        <v>0</v>
      </c>
      <c r="H11" s="155">
        <v>3.0000000000000001E-3</v>
      </c>
      <c r="I11" s="154">
        <v>0</v>
      </c>
      <c r="J11" s="151">
        <f t="shared" si="0"/>
        <v>8.0000000000000002E-3</v>
      </c>
    </row>
    <row r="12" spans="1:15" ht="16" x14ac:dyDescent="0.2">
      <c r="A12" s="150" t="s">
        <v>192</v>
      </c>
      <c r="B12" s="611">
        <v>1.7000000000000001E-2</v>
      </c>
      <c r="C12" s="154">
        <v>8.9999999999999993E-3</v>
      </c>
      <c r="D12" s="155">
        <v>4.2000000000000003E-2</v>
      </c>
      <c r="E12" s="154">
        <v>7.0000000000000001E-3</v>
      </c>
      <c r="F12" s="154">
        <v>1.4E-2</v>
      </c>
      <c r="G12" s="154">
        <v>0</v>
      </c>
      <c r="H12" s="155">
        <v>2.5000000000000001E-2</v>
      </c>
      <c r="I12" s="154">
        <v>1.6E-2</v>
      </c>
      <c r="J12" s="151">
        <f t="shared" si="0"/>
        <v>0.13</v>
      </c>
    </row>
    <row r="13" spans="1:15" ht="16" x14ac:dyDescent="0.2">
      <c r="A13" s="150" t="s">
        <v>67</v>
      </c>
      <c r="B13" s="152">
        <f>SUM(B6:B12)</f>
        <v>0.2</v>
      </c>
      <c r="C13" s="152">
        <f t="shared" ref="C13:I13" si="1">SUM(C6:C12)</f>
        <v>0.16300000000000003</v>
      </c>
      <c r="D13" s="152">
        <f t="shared" si="1"/>
        <v>0.21100000000000002</v>
      </c>
      <c r="E13" s="152">
        <f t="shared" si="1"/>
        <v>7.5999999999999998E-2</v>
      </c>
      <c r="F13" s="152">
        <f t="shared" si="1"/>
        <v>0.11700000000000001</v>
      </c>
      <c r="G13" s="152">
        <f t="shared" si="1"/>
        <v>0.10100000000000001</v>
      </c>
      <c r="H13" s="152">
        <f t="shared" si="1"/>
        <v>7.6000000000000012E-2</v>
      </c>
      <c r="I13" s="152">
        <f t="shared" si="1"/>
        <v>5.6000000000000001E-2</v>
      </c>
      <c r="J13" s="151">
        <f>SUM(J6:J12)</f>
        <v>1</v>
      </c>
      <c r="K13" s="41">
        <f>SUM(B13:I13)</f>
        <v>1</v>
      </c>
      <c r="L13" s="51">
        <v>380</v>
      </c>
      <c r="M13" t="s">
        <v>1010</v>
      </c>
      <c r="N13" t="s">
        <v>1011</v>
      </c>
    </row>
    <row r="14" spans="1:15" x14ac:dyDescent="0.2">
      <c r="A14" s="144" t="s">
        <v>1012</v>
      </c>
      <c r="B14" s="43"/>
      <c r="C14" s="41"/>
      <c r="D14" s="41"/>
      <c r="E14" s="41"/>
      <c r="F14" s="41"/>
      <c r="G14" s="41"/>
      <c r="H14" s="41"/>
      <c r="I14" s="41"/>
      <c r="L14" s="27">
        <f>L13*1.03^4</f>
        <v>427.69334779999997</v>
      </c>
      <c r="M14" s="1" t="s">
        <v>1013</v>
      </c>
      <c r="N14" s="1" t="s">
        <v>1014</v>
      </c>
    </row>
    <row r="15" spans="1:15" x14ac:dyDescent="0.2">
      <c r="A15" s="156"/>
      <c r="L15">
        <v>368</v>
      </c>
      <c r="N15" t="s">
        <v>1015</v>
      </c>
    </row>
    <row r="16" spans="1:15" x14ac:dyDescent="0.2">
      <c r="A16" s="54" t="s">
        <v>1016</v>
      </c>
      <c r="L16" s="360">
        <f>P22</f>
        <v>83.333905576923073</v>
      </c>
      <c r="M16" s="54"/>
      <c r="N16" t="s">
        <v>1017</v>
      </c>
    </row>
    <row r="17" spans="1:34" ht="32" x14ac:dyDescent="0.2">
      <c r="A17" s="145" t="s">
        <v>743</v>
      </c>
      <c r="B17" s="146" t="s">
        <v>744</v>
      </c>
      <c r="C17" s="147" t="s">
        <v>472</v>
      </c>
      <c r="D17" s="148" t="s">
        <v>477</v>
      </c>
      <c r="E17" s="147" t="s">
        <v>478</v>
      </c>
      <c r="F17" s="147" t="s">
        <v>480</v>
      </c>
      <c r="G17" s="147" t="s">
        <v>474</v>
      </c>
      <c r="H17" s="149" t="s">
        <v>745</v>
      </c>
      <c r="I17" s="147" t="s">
        <v>192</v>
      </c>
      <c r="J17" s="147" t="s">
        <v>67</v>
      </c>
      <c r="L17" s="157">
        <f>L15+L16</f>
        <v>451.33390557692309</v>
      </c>
      <c r="M17" t="s">
        <v>1013</v>
      </c>
      <c r="O17" s="290"/>
      <c r="P17" s="291"/>
      <c r="Q17" s="290"/>
      <c r="R17" s="290"/>
      <c r="S17" s="290"/>
      <c r="T17" s="292"/>
      <c r="U17" s="290"/>
      <c r="V17" s="290"/>
      <c r="X17" s="290"/>
      <c r="Y17" s="290"/>
      <c r="Z17" s="290"/>
      <c r="AA17" s="290"/>
      <c r="AB17" s="290"/>
      <c r="AD17" s="290"/>
      <c r="AE17" s="290"/>
      <c r="AF17" s="290"/>
      <c r="AG17" s="290"/>
      <c r="AH17" s="290"/>
    </row>
    <row r="18" spans="1:34" x14ac:dyDescent="0.2">
      <c r="A18" t="s">
        <v>309</v>
      </c>
      <c r="B18" s="41">
        <f>B7</f>
        <v>0.13500000000000001</v>
      </c>
      <c r="C18" s="41">
        <f t="shared" ref="C18:J18" si="2">C7</f>
        <v>9.2999999999999999E-2</v>
      </c>
      <c r="D18" s="41">
        <f t="shared" si="2"/>
        <v>8.2000000000000003E-2</v>
      </c>
      <c r="E18" s="41">
        <f t="shared" si="2"/>
        <v>2.3E-2</v>
      </c>
      <c r="F18" s="41">
        <f t="shared" si="2"/>
        <v>8.9999999999999993E-3</v>
      </c>
      <c r="G18" s="41">
        <f t="shared" si="2"/>
        <v>0.10100000000000001</v>
      </c>
      <c r="H18" s="41">
        <f t="shared" si="2"/>
        <v>2E-3</v>
      </c>
      <c r="I18" s="41">
        <f t="shared" si="2"/>
        <v>1E-3</v>
      </c>
      <c r="J18" s="41">
        <f t="shared" si="2"/>
        <v>0.44600000000000006</v>
      </c>
      <c r="N18" s="41"/>
      <c r="O18" s="41"/>
      <c r="P18" s="41"/>
      <c r="Q18" s="41"/>
      <c r="R18" s="41"/>
      <c r="S18" s="41"/>
      <c r="T18" s="41"/>
      <c r="U18" s="41"/>
      <c r="V18" s="41"/>
      <c r="X18" s="293"/>
      <c r="Y18" s="293"/>
      <c r="Z18" s="293"/>
      <c r="AA18" s="293"/>
      <c r="AB18" s="293"/>
      <c r="AD18" s="293"/>
      <c r="AE18" s="293"/>
      <c r="AF18" s="293"/>
      <c r="AG18" s="293"/>
      <c r="AH18" s="293"/>
    </row>
    <row r="19" spans="1:34" x14ac:dyDescent="0.2">
      <c r="A19" t="s">
        <v>310</v>
      </c>
      <c r="B19" s="41">
        <f>B8</f>
        <v>1.0999999999999999E-2</v>
      </c>
      <c r="C19" s="41">
        <f t="shared" ref="C19:J19" si="3">C8</f>
        <v>3.3000000000000002E-2</v>
      </c>
      <c r="D19" s="41">
        <f t="shared" si="3"/>
        <v>1.2E-2</v>
      </c>
      <c r="E19" s="41">
        <f t="shared" si="3"/>
        <v>2.1999999999999999E-2</v>
      </c>
      <c r="F19" s="41">
        <f t="shared" si="3"/>
        <v>8.1000000000000003E-2</v>
      </c>
      <c r="G19" s="41">
        <f t="shared" si="3"/>
        <v>0</v>
      </c>
      <c r="H19" s="41">
        <f t="shared" si="3"/>
        <v>2.4E-2</v>
      </c>
      <c r="I19" s="41">
        <f t="shared" si="3"/>
        <v>5.0000000000000001E-3</v>
      </c>
      <c r="J19" s="41">
        <f t="shared" si="3"/>
        <v>0.18799999999999997</v>
      </c>
      <c r="N19" s="41"/>
      <c r="O19" s="41"/>
      <c r="P19" s="41"/>
      <c r="Q19" s="41"/>
      <c r="R19" s="41"/>
      <c r="S19" s="41"/>
      <c r="T19" s="41"/>
      <c r="U19" s="41"/>
      <c r="V19" s="41"/>
      <c r="X19" s="293"/>
      <c r="Y19" s="293"/>
      <c r="Z19" s="293"/>
      <c r="AA19" s="293"/>
      <c r="AB19" s="293"/>
      <c r="AD19" s="293"/>
      <c r="AE19" s="293"/>
      <c r="AF19" s="293"/>
      <c r="AG19" s="293"/>
      <c r="AH19" s="293"/>
    </row>
    <row r="20" spans="1:34" x14ac:dyDescent="0.2">
      <c r="A20" t="s">
        <v>311</v>
      </c>
      <c r="B20" s="41">
        <f>B6</f>
        <v>1E-3</v>
      </c>
      <c r="C20" s="41">
        <f t="shared" ref="C20:J20" si="4">C6</f>
        <v>8.0000000000000002E-3</v>
      </c>
      <c r="D20" s="41">
        <f t="shared" si="4"/>
        <v>2.5999999999999999E-2</v>
      </c>
      <c r="E20" s="41">
        <f t="shared" si="4"/>
        <v>0</v>
      </c>
      <c r="F20" s="41">
        <f t="shared" si="4"/>
        <v>3.0000000000000001E-3</v>
      </c>
      <c r="G20" s="41">
        <f t="shared" si="4"/>
        <v>0</v>
      </c>
      <c r="H20" s="41">
        <f t="shared" si="4"/>
        <v>8.0000000000000002E-3</v>
      </c>
      <c r="I20" s="41">
        <f t="shared" si="4"/>
        <v>2.1999999999999999E-2</v>
      </c>
      <c r="J20" s="41">
        <f t="shared" si="4"/>
        <v>6.8000000000000005E-2</v>
      </c>
      <c r="M20" t="s">
        <v>1018</v>
      </c>
      <c r="N20" s="41"/>
      <c r="O20" s="41"/>
      <c r="P20" s="41"/>
      <c r="Q20" s="41"/>
      <c r="R20" s="41"/>
      <c r="S20" s="41"/>
      <c r="T20" s="41"/>
      <c r="U20" s="41"/>
      <c r="V20" s="41"/>
      <c r="X20" s="293"/>
      <c r="Y20" s="293"/>
      <c r="Z20" s="293"/>
      <c r="AA20" s="293"/>
      <c r="AB20" s="293"/>
      <c r="AD20" s="293"/>
      <c r="AE20" s="293"/>
      <c r="AF20" s="293"/>
      <c r="AG20" s="293"/>
      <c r="AH20" s="293"/>
    </row>
    <row r="21" spans="1:34" x14ac:dyDescent="0.2">
      <c r="A21" t="s">
        <v>312</v>
      </c>
      <c r="B21" s="41">
        <f>B9</f>
        <v>5.0000000000000001E-3</v>
      </c>
      <c r="C21" s="41">
        <f t="shared" ref="C21:J21" si="5">C9</f>
        <v>2E-3</v>
      </c>
      <c r="D21" s="41">
        <f t="shared" si="5"/>
        <v>8.9999999999999993E-3</v>
      </c>
      <c r="E21" s="41">
        <f t="shared" si="5"/>
        <v>6.0000000000000001E-3</v>
      </c>
      <c r="F21" s="41">
        <f t="shared" si="5"/>
        <v>4.0000000000000001E-3</v>
      </c>
      <c r="G21" s="41">
        <f t="shared" si="5"/>
        <v>0</v>
      </c>
      <c r="H21" s="41">
        <f t="shared" si="5"/>
        <v>4.0000000000000001E-3</v>
      </c>
      <c r="I21" s="41">
        <f t="shared" si="5"/>
        <v>0.01</v>
      </c>
      <c r="J21" s="41">
        <f t="shared" si="5"/>
        <v>0.04</v>
      </c>
      <c r="M21" t="s">
        <v>474</v>
      </c>
      <c r="N21" s="41" t="s">
        <v>248</v>
      </c>
      <c r="O21" s="41" t="s">
        <v>477</v>
      </c>
      <c r="P21" s="41"/>
      <c r="Q21" s="41"/>
      <c r="R21" s="41"/>
      <c r="S21" s="41"/>
      <c r="T21" s="41"/>
      <c r="U21" s="41"/>
      <c r="V21" s="41"/>
      <c r="X21" s="293"/>
      <c r="Y21" s="293"/>
      <c r="Z21" s="293"/>
      <c r="AA21" s="293"/>
      <c r="AB21" s="293"/>
      <c r="AD21" s="293"/>
      <c r="AE21" s="293"/>
      <c r="AF21" s="293"/>
      <c r="AG21" s="293"/>
      <c r="AH21" s="293"/>
    </row>
    <row r="22" spans="1:34" x14ac:dyDescent="0.2">
      <c r="A22" t="s">
        <v>746</v>
      </c>
      <c r="B22" s="41">
        <f>B10</f>
        <v>2.9000000000000001E-2</v>
      </c>
      <c r="C22" s="41">
        <f t="shared" ref="C22:J22" si="6">C10</f>
        <v>1.7000000000000001E-2</v>
      </c>
      <c r="D22" s="41">
        <f t="shared" si="6"/>
        <v>3.7999999999999999E-2</v>
      </c>
      <c r="E22" s="41">
        <f t="shared" si="6"/>
        <v>1.7999999999999999E-2</v>
      </c>
      <c r="F22" s="41">
        <f t="shared" si="6"/>
        <v>6.0000000000000001E-3</v>
      </c>
      <c r="G22" s="41">
        <f t="shared" si="6"/>
        <v>0</v>
      </c>
      <c r="H22" s="41">
        <f t="shared" si="6"/>
        <v>0.01</v>
      </c>
      <c r="I22" s="41">
        <f t="shared" si="6"/>
        <v>2E-3</v>
      </c>
      <c r="J22" s="41">
        <f t="shared" si="6"/>
        <v>0.12</v>
      </c>
      <c r="M22" s="43">
        <f>'Demand Breakdown - Ethylene'!I24/'Demand Breakdown - Ethylene'!E36</f>
        <v>47.138713269230763</v>
      </c>
      <c r="N22" s="359">
        <f>10.7%*107</f>
        <v>11.449</v>
      </c>
      <c r="O22" s="43">
        <f>'Demand Breakdown - Propylene'!D17</f>
        <v>24.746192307692308</v>
      </c>
      <c r="P22" s="299">
        <f>SUM(M22:O22)</f>
        <v>83.333905576923073</v>
      </c>
      <c r="Q22" s="41"/>
      <c r="R22" s="41"/>
      <c r="S22" s="41"/>
      <c r="T22" s="41"/>
      <c r="U22" s="41"/>
      <c r="V22" s="41"/>
      <c r="X22" s="293"/>
      <c r="Y22" s="293"/>
      <c r="Z22" s="293"/>
      <c r="AA22" s="293"/>
      <c r="AB22" s="293"/>
      <c r="AD22" s="293"/>
      <c r="AE22" s="293"/>
      <c r="AF22" s="293"/>
      <c r="AG22" s="293"/>
      <c r="AH22" s="293"/>
    </row>
    <row r="23" spans="1:34" x14ac:dyDescent="0.2">
      <c r="A23" t="s">
        <v>248</v>
      </c>
      <c r="B23" s="41">
        <f>B12+B11</f>
        <v>1.9000000000000003E-2</v>
      </c>
      <c r="C23" s="41">
        <f t="shared" ref="C23:J23" si="7">C12+C11</f>
        <v>9.9999999999999985E-3</v>
      </c>
      <c r="D23" s="41">
        <f t="shared" si="7"/>
        <v>4.4000000000000004E-2</v>
      </c>
      <c r="E23" s="41">
        <f t="shared" si="7"/>
        <v>7.0000000000000001E-3</v>
      </c>
      <c r="F23" s="41">
        <f t="shared" si="7"/>
        <v>1.4E-2</v>
      </c>
      <c r="G23" s="41">
        <f t="shared" si="7"/>
        <v>0</v>
      </c>
      <c r="H23" s="41">
        <f t="shared" si="7"/>
        <v>2.8000000000000001E-2</v>
      </c>
      <c r="I23" s="41">
        <f t="shared" si="7"/>
        <v>1.6E-2</v>
      </c>
      <c r="J23" s="41">
        <f t="shared" si="7"/>
        <v>0.13800000000000001</v>
      </c>
      <c r="M23" t="s">
        <v>1019</v>
      </c>
      <c r="N23" s="41" t="s">
        <v>1020</v>
      </c>
      <c r="O23" s="41" t="s">
        <v>1021</v>
      </c>
      <c r="P23" s="41"/>
      <c r="Q23" s="41"/>
      <c r="R23" s="41"/>
      <c r="S23" s="41"/>
      <c r="T23" s="41"/>
      <c r="U23" s="41"/>
      <c r="V23" s="41"/>
      <c r="X23" s="293"/>
      <c r="Y23" s="293"/>
      <c r="Z23" s="293"/>
      <c r="AA23" s="293"/>
      <c r="AB23" s="293"/>
      <c r="AD23" s="293"/>
      <c r="AE23" s="293"/>
      <c r="AF23" s="293"/>
      <c r="AG23" s="293"/>
      <c r="AH23" s="293"/>
    </row>
    <row r="24" spans="1:34" x14ac:dyDescent="0.2">
      <c r="A24" t="s">
        <v>364</v>
      </c>
      <c r="B24" s="41">
        <f t="shared" ref="B24:J24" si="8">SUM(B18:B23)</f>
        <v>0.2</v>
      </c>
      <c r="C24" s="41">
        <f t="shared" si="8"/>
        <v>0.16300000000000003</v>
      </c>
      <c r="D24" s="41">
        <f t="shared" si="8"/>
        <v>0.21100000000000002</v>
      </c>
      <c r="E24" s="41">
        <f t="shared" si="8"/>
        <v>7.5999999999999998E-2</v>
      </c>
      <c r="F24" s="41">
        <f t="shared" si="8"/>
        <v>0.11700000000000001</v>
      </c>
      <c r="G24" s="41">
        <f t="shared" si="8"/>
        <v>0.10100000000000001</v>
      </c>
      <c r="H24" s="41">
        <f t="shared" si="8"/>
        <v>7.6000000000000012E-2</v>
      </c>
      <c r="I24" s="41">
        <f t="shared" si="8"/>
        <v>5.6000000000000001E-2</v>
      </c>
      <c r="J24" s="41">
        <f t="shared" si="8"/>
        <v>1</v>
      </c>
      <c r="M24" s="245">
        <f>M22/$P$22</f>
        <v>0.56566067488242711</v>
      </c>
      <c r="N24" s="245">
        <f t="shared" ref="N24:O24" si="9">N22/$P$22</f>
        <v>0.13738705657365075</v>
      </c>
      <c r="O24" s="245">
        <f t="shared" si="9"/>
        <v>0.29695226854392209</v>
      </c>
      <c r="P24" s="41"/>
      <c r="Q24" s="41"/>
      <c r="R24" s="41"/>
      <c r="S24" s="41"/>
      <c r="T24" s="41"/>
      <c r="U24" s="41"/>
      <c r="V24" s="41"/>
      <c r="X24" s="293"/>
      <c r="Y24" s="293"/>
      <c r="Z24" s="293"/>
      <c r="AA24" s="293"/>
      <c r="AB24" s="293"/>
      <c r="AD24" s="293"/>
      <c r="AE24" s="293"/>
      <c r="AF24" s="293"/>
      <c r="AG24" s="293"/>
      <c r="AH24" s="293"/>
    </row>
    <row r="25" spans="1:34" x14ac:dyDescent="0.2">
      <c r="M25" s="43">
        <f>N22/(M22+N22)</f>
        <v>0.19541639980703623</v>
      </c>
    </row>
    <row r="26" spans="1:34" x14ac:dyDescent="0.2">
      <c r="A26" s="54" t="s">
        <v>1016</v>
      </c>
      <c r="M26" s="54"/>
    </row>
    <row r="27" spans="1:34" ht="16" x14ac:dyDescent="0.2">
      <c r="A27" s="145" t="s">
        <v>743</v>
      </c>
      <c r="B27" s="146" t="s">
        <v>258</v>
      </c>
      <c r="C27" s="147" t="s">
        <v>477</v>
      </c>
      <c r="D27" s="148" t="s">
        <v>478</v>
      </c>
      <c r="E27" s="147" t="s">
        <v>480</v>
      </c>
      <c r="F27" s="147" t="s">
        <v>474</v>
      </c>
      <c r="G27" s="147" t="s">
        <v>745</v>
      </c>
      <c r="H27" s="149" t="s">
        <v>248</v>
      </c>
      <c r="I27" s="147" t="s">
        <v>67</v>
      </c>
      <c r="J27" s="147"/>
      <c r="M27" s="288"/>
      <c r="N27" s="289"/>
      <c r="O27" s="290"/>
      <c r="P27" s="291"/>
      <c r="Q27" s="290"/>
      <c r="R27" s="290"/>
      <c r="S27" s="290"/>
      <c r="T27" s="292"/>
      <c r="U27" s="290"/>
      <c r="V27" s="290"/>
      <c r="X27" s="290"/>
      <c r="Y27" s="290"/>
      <c r="Z27" s="290"/>
      <c r="AA27" s="290"/>
      <c r="AB27" s="290"/>
      <c r="AD27" s="290"/>
      <c r="AE27" s="290"/>
      <c r="AF27" s="290"/>
      <c r="AG27" s="290"/>
      <c r="AH27" s="290"/>
    </row>
    <row r="28" spans="1:34" x14ac:dyDescent="0.2">
      <c r="A28" t="s">
        <v>1022</v>
      </c>
      <c r="B28" s="41">
        <f>B18+C18+B22+C22</f>
        <v>0.27400000000000002</v>
      </c>
      <c r="C28" s="41">
        <f>D18+D22</f>
        <v>0.12</v>
      </c>
      <c r="D28" s="41">
        <f t="shared" ref="D28:H28" si="10">E18+E22</f>
        <v>4.0999999999999995E-2</v>
      </c>
      <c r="E28" s="41">
        <f t="shared" si="10"/>
        <v>1.4999999999999999E-2</v>
      </c>
      <c r="F28" s="41">
        <f t="shared" si="10"/>
        <v>0.10100000000000001</v>
      </c>
      <c r="G28" s="41">
        <f t="shared" si="10"/>
        <v>1.2E-2</v>
      </c>
      <c r="H28" s="41">
        <f t="shared" si="10"/>
        <v>3.0000000000000001E-3</v>
      </c>
      <c r="I28" s="41">
        <f>SUM(B28:H28)</f>
        <v>0.56600000000000006</v>
      </c>
      <c r="J28" s="41"/>
      <c r="M28" s="245">
        <f>M22/$P$22</f>
        <v>0.56566067488242711</v>
      </c>
      <c r="N28" s="245">
        <f t="shared" ref="N28:O28" si="11">N22/$P$22</f>
        <v>0.13738705657365075</v>
      </c>
      <c r="O28" s="245">
        <f t="shared" si="11"/>
        <v>0.29695226854392209</v>
      </c>
      <c r="P28" s="41"/>
      <c r="Q28" s="41"/>
      <c r="R28" s="41"/>
      <c r="S28" s="41"/>
      <c r="T28" s="41"/>
      <c r="U28" s="41"/>
      <c r="V28" s="41"/>
      <c r="X28" s="293"/>
      <c r="Y28" s="293"/>
      <c r="Z28" s="293"/>
      <c r="AA28" s="293"/>
      <c r="AB28" s="293"/>
      <c r="AD28" s="293"/>
      <c r="AE28" s="293"/>
      <c r="AF28" s="293"/>
      <c r="AG28" s="293"/>
      <c r="AH28" s="293"/>
    </row>
    <row r="29" spans="1:34" x14ac:dyDescent="0.2">
      <c r="A29" t="s">
        <v>310</v>
      </c>
      <c r="B29" s="41">
        <f>B19+C19</f>
        <v>4.3999999999999997E-2</v>
      </c>
      <c r="C29" s="41">
        <f>D19</f>
        <v>1.2E-2</v>
      </c>
      <c r="D29" s="41">
        <f t="shared" ref="D29:H29" si="12">E19</f>
        <v>2.1999999999999999E-2</v>
      </c>
      <c r="E29" s="41">
        <f t="shared" si="12"/>
        <v>8.1000000000000003E-2</v>
      </c>
      <c r="F29" s="41">
        <f t="shared" si="12"/>
        <v>0</v>
      </c>
      <c r="G29" s="41">
        <f t="shared" si="12"/>
        <v>2.4E-2</v>
      </c>
      <c r="H29" s="41">
        <f t="shared" si="12"/>
        <v>5.0000000000000001E-3</v>
      </c>
      <c r="I29" s="41">
        <f t="shared" ref="I29:I30" si="13">SUM(B29:H29)</f>
        <v>0.18799999999999997</v>
      </c>
      <c r="J29" s="41"/>
      <c r="N29" s="41"/>
      <c r="O29" s="41"/>
      <c r="P29" s="41"/>
      <c r="Q29" s="41"/>
      <c r="R29" s="41"/>
      <c r="S29" s="41"/>
      <c r="T29" s="41"/>
      <c r="U29" s="41"/>
      <c r="V29" s="41"/>
      <c r="X29" s="293"/>
      <c r="Y29" s="293"/>
      <c r="Z29" s="293"/>
      <c r="AA29" s="293"/>
      <c r="AB29" s="293"/>
      <c r="AD29" s="293"/>
      <c r="AE29" s="293"/>
      <c r="AF29" s="293"/>
      <c r="AG29" s="293"/>
      <c r="AH29" s="293"/>
    </row>
    <row r="30" spans="1:34" x14ac:dyDescent="0.2">
      <c r="A30" t="s">
        <v>311</v>
      </c>
      <c r="B30" s="41">
        <f>B20+C20</f>
        <v>9.0000000000000011E-3</v>
      </c>
      <c r="C30" s="41">
        <f>D20</f>
        <v>2.5999999999999999E-2</v>
      </c>
      <c r="D30" s="41">
        <f t="shared" ref="D30:G30" si="14">E20</f>
        <v>0</v>
      </c>
      <c r="E30" s="41">
        <f t="shared" si="14"/>
        <v>3.0000000000000001E-3</v>
      </c>
      <c r="F30" s="41">
        <f t="shared" si="14"/>
        <v>0</v>
      </c>
      <c r="G30" s="41">
        <f t="shared" si="14"/>
        <v>8.0000000000000002E-3</v>
      </c>
      <c r="H30" s="41">
        <f>I20</f>
        <v>2.1999999999999999E-2</v>
      </c>
      <c r="I30" s="41">
        <f t="shared" si="13"/>
        <v>6.8000000000000005E-2</v>
      </c>
      <c r="J30" s="41"/>
      <c r="N30" s="41"/>
      <c r="O30" s="41"/>
      <c r="P30" s="41"/>
      <c r="Q30" s="41"/>
      <c r="R30" s="41"/>
      <c r="S30" s="41"/>
      <c r="T30" s="41"/>
      <c r="U30" s="41"/>
      <c r="V30" s="41"/>
      <c r="X30" s="293"/>
      <c r="Y30" s="293"/>
      <c r="Z30" s="293"/>
      <c r="AA30" s="293"/>
      <c r="AB30" s="293"/>
      <c r="AD30" s="293"/>
      <c r="AE30" s="293"/>
      <c r="AF30" s="293"/>
      <c r="AG30" s="293"/>
      <c r="AH30" s="293"/>
    </row>
    <row r="31" spans="1:34" x14ac:dyDescent="0.2">
      <c r="A31" t="s">
        <v>248</v>
      </c>
      <c r="B31" s="41">
        <f>B23+B21+C21+C23</f>
        <v>3.6000000000000004E-2</v>
      </c>
      <c r="C31" s="41">
        <f t="shared" ref="C31:H31" si="15">D21+D23</f>
        <v>5.3000000000000005E-2</v>
      </c>
      <c r="D31" s="41">
        <f t="shared" si="15"/>
        <v>1.3000000000000001E-2</v>
      </c>
      <c r="E31" s="41">
        <f t="shared" si="15"/>
        <v>1.8000000000000002E-2</v>
      </c>
      <c r="F31" s="41">
        <f t="shared" si="15"/>
        <v>0</v>
      </c>
      <c r="G31" s="41">
        <f t="shared" si="15"/>
        <v>3.2000000000000001E-2</v>
      </c>
      <c r="H31" s="41">
        <f t="shared" si="15"/>
        <v>2.6000000000000002E-2</v>
      </c>
      <c r="I31" s="41">
        <f>SUM(B31:H31)</f>
        <v>0.17800000000000002</v>
      </c>
      <c r="J31" s="41"/>
      <c r="N31" s="41"/>
      <c r="O31" s="41"/>
      <c r="P31" s="41"/>
      <c r="Q31" s="41"/>
      <c r="R31" s="41"/>
      <c r="S31" s="41"/>
      <c r="T31" s="41"/>
      <c r="U31" s="41"/>
      <c r="V31" s="41"/>
      <c r="X31" s="293"/>
      <c r="Y31" s="293"/>
      <c r="Z31" s="293"/>
      <c r="AA31" s="293"/>
      <c r="AB31" s="293"/>
      <c r="AD31" s="293"/>
      <c r="AE31" s="293"/>
      <c r="AF31" s="293"/>
      <c r="AG31" s="293"/>
      <c r="AH31" s="293"/>
    </row>
    <row r="32" spans="1:34" x14ac:dyDescent="0.2">
      <c r="A32" t="s">
        <v>67</v>
      </c>
      <c r="B32" s="41">
        <f t="shared" ref="B32:H32" si="16">SUM(B28:B31)</f>
        <v>0.36299999999999999</v>
      </c>
      <c r="C32" s="41">
        <f t="shared" si="16"/>
        <v>0.21100000000000002</v>
      </c>
      <c r="D32" s="41">
        <f t="shared" si="16"/>
        <v>7.5999999999999998E-2</v>
      </c>
      <c r="E32" s="41">
        <f t="shared" si="16"/>
        <v>0.11700000000000001</v>
      </c>
      <c r="F32" s="41">
        <f t="shared" si="16"/>
        <v>0.10100000000000001</v>
      </c>
      <c r="G32" s="41">
        <f t="shared" si="16"/>
        <v>7.6000000000000012E-2</v>
      </c>
      <c r="H32" s="41">
        <f t="shared" si="16"/>
        <v>5.6000000000000001E-2</v>
      </c>
      <c r="I32" s="41">
        <f>SUM(B32:H32)</f>
        <v>1</v>
      </c>
      <c r="J32" s="41"/>
      <c r="N32" s="41"/>
      <c r="O32" s="41"/>
      <c r="P32" s="41"/>
      <c r="Q32" s="41"/>
      <c r="R32" s="41"/>
      <c r="S32" s="41"/>
      <c r="T32" s="41"/>
      <c r="U32" s="41"/>
      <c r="V32" s="41"/>
      <c r="X32" s="293"/>
      <c r="Y32" s="293"/>
      <c r="Z32" s="293"/>
      <c r="AA32" s="293"/>
      <c r="AB32" s="293"/>
      <c r="AD32" s="293"/>
      <c r="AE32" s="293"/>
      <c r="AF32" s="293"/>
      <c r="AG32" s="293"/>
      <c r="AH32" s="293"/>
    </row>
    <row r="33" spans="1:34" x14ac:dyDescent="0.2">
      <c r="J33" s="41"/>
      <c r="N33" s="41"/>
      <c r="O33" s="41"/>
      <c r="P33" s="41"/>
      <c r="Q33" s="41"/>
      <c r="R33" s="41"/>
      <c r="S33" s="41"/>
      <c r="T33" s="41"/>
      <c r="U33" s="41"/>
      <c r="V33" s="41"/>
      <c r="X33" s="293"/>
      <c r="Y33" s="293"/>
      <c r="Z33" s="293"/>
      <c r="AA33" s="293"/>
      <c r="AB33" s="293"/>
      <c r="AD33" s="293"/>
      <c r="AE33" s="293"/>
      <c r="AF33" s="293"/>
      <c r="AG33" s="293"/>
      <c r="AH33" s="293"/>
    </row>
    <row r="34" spans="1:34" x14ac:dyDescent="0.2">
      <c r="A34" s="54" t="s">
        <v>1023</v>
      </c>
      <c r="M34" s="54"/>
    </row>
    <row r="35" spans="1:34" ht="16" x14ac:dyDescent="0.2">
      <c r="A35" s="145" t="s">
        <v>743</v>
      </c>
      <c r="B35" s="146" t="s">
        <v>258</v>
      </c>
      <c r="C35" s="147" t="s">
        <v>477</v>
      </c>
      <c r="D35" s="148" t="s">
        <v>478</v>
      </c>
      <c r="E35" s="147" t="s">
        <v>480</v>
      </c>
      <c r="F35" s="147" t="s">
        <v>474</v>
      </c>
      <c r="G35" s="147" t="s">
        <v>745</v>
      </c>
      <c r="H35" s="149" t="s">
        <v>248</v>
      </c>
      <c r="I35" s="147" t="s">
        <v>67</v>
      </c>
      <c r="J35" s="147"/>
      <c r="M35" s="288"/>
      <c r="N35" s="289"/>
      <c r="O35" s="290"/>
      <c r="P35" s="291"/>
      <c r="Q35" s="290"/>
      <c r="R35" s="290"/>
      <c r="S35" s="290"/>
      <c r="T35" s="292"/>
      <c r="U35" s="290"/>
      <c r="V35" s="290"/>
      <c r="X35" s="290"/>
      <c r="Y35" s="290"/>
      <c r="Z35" s="290"/>
      <c r="AA35" s="290"/>
      <c r="AB35" s="290"/>
      <c r="AD35" s="290"/>
      <c r="AE35" s="290"/>
      <c r="AF35" s="290"/>
      <c r="AG35" s="290"/>
      <c r="AH35" s="290"/>
    </row>
    <row r="36" spans="1:34" x14ac:dyDescent="0.2">
      <c r="A36" t="s">
        <v>1022</v>
      </c>
      <c r="B36" s="41">
        <f>B28*$L$15/$L$17</f>
        <v>0.2234088747910713</v>
      </c>
      <c r="C36" s="41">
        <f t="shared" ref="C36:H36" si="17">C28*$L$15/$L$17</f>
        <v>9.7843302828206399E-2</v>
      </c>
      <c r="D36" s="41">
        <f t="shared" si="17"/>
        <v>3.3429795132970515E-2</v>
      </c>
      <c r="E36" s="41">
        <f t="shared" si="17"/>
        <v>1.22304128535258E-2</v>
      </c>
      <c r="F36" s="41">
        <f t="shared" si="17"/>
        <v>8.2351446547073714E-2</v>
      </c>
      <c r="G36" s="41">
        <f t="shared" si="17"/>
        <v>9.784330282820641E-3</v>
      </c>
      <c r="H36" s="41">
        <f t="shared" si="17"/>
        <v>2.4460825707051602E-3</v>
      </c>
      <c r="I36" s="41">
        <f>SUM(B36:H36)</f>
        <v>0.46149424500637354</v>
      </c>
      <c r="J36" s="41"/>
      <c r="N36" s="41"/>
      <c r="O36" s="41"/>
      <c r="P36" s="41"/>
      <c r="Q36" s="41"/>
      <c r="R36" s="41"/>
      <c r="S36" s="41"/>
      <c r="T36" s="41"/>
      <c r="U36" s="41"/>
      <c r="V36" s="41"/>
      <c r="X36" s="293"/>
      <c r="Y36" s="293"/>
      <c r="Z36" s="293"/>
      <c r="AA36" s="293"/>
      <c r="AB36" s="293"/>
      <c r="AD36" s="293"/>
      <c r="AE36" s="293"/>
      <c r="AF36" s="293"/>
      <c r="AG36" s="293"/>
      <c r="AH36" s="293"/>
    </row>
    <row r="37" spans="1:34" x14ac:dyDescent="0.2">
      <c r="A37" t="s">
        <v>310</v>
      </c>
      <c r="B37" s="41">
        <f t="shared" ref="B37:H37" si="18">B29*$L$15/$L$17</f>
        <v>3.5875877703675681E-2</v>
      </c>
      <c r="C37" s="41">
        <f t="shared" si="18"/>
        <v>9.784330282820641E-3</v>
      </c>
      <c r="D37" s="41">
        <f t="shared" si="18"/>
        <v>1.793793885183784E-2</v>
      </c>
      <c r="E37" s="41">
        <f t="shared" si="18"/>
        <v>6.6044229409039326E-2</v>
      </c>
      <c r="F37" s="41">
        <f t="shared" si="18"/>
        <v>0</v>
      </c>
      <c r="G37" s="41">
        <f t="shared" si="18"/>
        <v>1.9568660565641282E-2</v>
      </c>
      <c r="H37" s="41">
        <f t="shared" si="18"/>
        <v>4.0768042845086006E-3</v>
      </c>
      <c r="I37" s="41">
        <f t="shared" ref="I37:I39" si="19">SUM(B37:H37)</f>
        <v>0.15328784109752336</v>
      </c>
      <c r="J37" s="41"/>
      <c r="N37" s="41"/>
      <c r="O37" s="41"/>
      <c r="P37" s="41"/>
      <c r="Q37" s="41"/>
      <c r="R37" s="41"/>
      <c r="S37" s="41"/>
      <c r="T37" s="41"/>
      <c r="U37" s="41"/>
      <c r="V37" s="41"/>
      <c r="X37" s="293"/>
      <c r="Y37" s="293"/>
      <c r="Z37" s="293"/>
      <c r="AA37" s="293"/>
      <c r="AB37" s="293"/>
      <c r="AD37" s="293"/>
      <c r="AE37" s="293"/>
      <c r="AF37" s="293"/>
      <c r="AG37" s="293"/>
      <c r="AH37" s="293"/>
    </row>
    <row r="38" spans="1:34" x14ac:dyDescent="0.2">
      <c r="A38" t="s">
        <v>311</v>
      </c>
      <c r="B38" s="41">
        <f t="shared" ref="B38:G38" si="20">B30*$L$15/$L$17</f>
        <v>7.3382477121154812E-3</v>
      </c>
      <c r="C38" s="41">
        <f t="shared" si="20"/>
        <v>2.119938227944472E-2</v>
      </c>
      <c r="D38" s="41">
        <f t="shared" si="20"/>
        <v>0</v>
      </c>
      <c r="E38" s="41">
        <f t="shared" si="20"/>
        <v>2.4460825707051602E-3</v>
      </c>
      <c r="F38" s="41">
        <f t="shared" si="20"/>
        <v>0</v>
      </c>
      <c r="G38" s="41">
        <f t="shared" si="20"/>
        <v>6.5228868552137604E-3</v>
      </c>
      <c r="H38" s="41">
        <f>H30*$L$15/$L$17</f>
        <v>1.793793885183784E-2</v>
      </c>
      <c r="I38" s="41">
        <f t="shared" si="19"/>
        <v>5.5444538269316959E-2</v>
      </c>
      <c r="J38" s="41"/>
      <c r="N38" s="41"/>
      <c r="O38" s="41"/>
      <c r="P38" s="41"/>
      <c r="Q38" s="41"/>
      <c r="R38" s="41"/>
      <c r="S38" s="41"/>
      <c r="T38" s="41"/>
      <c r="U38" s="41"/>
      <c r="V38" s="41"/>
      <c r="X38" s="293"/>
      <c r="Y38" s="293"/>
      <c r="Z38" s="293"/>
      <c r="AA38" s="293"/>
      <c r="AB38" s="293"/>
      <c r="AD38" s="293"/>
      <c r="AE38" s="293"/>
      <c r="AF38" s="293"/>
      <c r="AG38" s="293"/>
      <c r="AH38" s="293"/>
    </row>
    <row r="39" spans="1:34" x14ac:dyDescent="0.2">
      <c r="A39" t="s">
        <v>1024</v>
      </c>
      <c r="B39" s="41">
        <v>0</v>
      </c>
      <c r="C39" s="41">
        <f>O22/L17</f>
        <v>5.4829012405040088E-2</v>
      </c>
      <c r="D39" s="41">
        <v>0</v>
      </c>
      <c r="E39" s="41">
        <v>0</v>
      </c>
      <c r="F39" s="41">
        <f>M22/L17</f>
        <v>0.10444310229468608</v>
      </c>
      <c r="G39" s="41">
        <v>0</v>
      </c>
      <c r="H39" s="41">
        <f>N22/L17</f>
        <v>2.5367028398553784E-2</v>
      </c>
      <c r="I39" s="41">
        <f t="shared" si="19"/>
        <v>0.18463914309827995</v>
      </c>
      <c r="J39" s="41"/>
      <c r="N39" s="41"/>
      <c r="O39" s="41"/>
      <c r="P39" s="41"/>
      <c r="Q39" s="41"/>
      <c r="R39" s="41"/>
      <c r="S39" s="41"/>
      <c r="T39" s="41"/>
      <c r="U39" s="41"/>
      <c r="V39" s="41"/>
      <c r="X39" s="293"/>
      <c r="Y39" s="293"/>
      <c r="Z39" s="293"/>
      <c r="AA39" s="293"/>
      <c r="AB39" s="293"/>
      <c r="AD39" s="293"/>
      <c r="AE39" s="293"/>
      <c r="AF39" s="293"/>
      <c r="AG39" s="293"/>
      <c r="AH39" s="293"/>
    </row>
    <row r="40" spans="1:34" x14ac:dyDescent="0.2">
      <c r="A40" t="s">
        <v>248</v>
      </c>
      <c r="B40" s="41">
        <f>B31*$L$15/$L$17</f>
        <v>2.9352990848461925E-2</v>
      </c>
      <c r="C40" s="41">
        <f t="shared" ref="C40:H40" si="21">C31*$L$15/$L$17</f>
        <v>4.3214125415791164E-2</v>
      </c>
      <c r="D40" s="41">
        <f t="shared" si="21"/>
        <v>1.0599691139722362E-2</v>
      </c>
      <c r="E40" s="41">
        <f t="shared" si="21"/>
        <v>1.4676495424230962E-2</v>
      </c>
      <c r="F40" s="41">
        <f t="shared" si="21"/>
        <v>0</v>
      </c>
      <c r="G40" s="41">
        <f t="shared" si="21"/>
        <v>2.6091547420855041E-2</v>
      </c>
      <c r="H40" s="41">
        <f t="shared" si="21"/>
        <v>2.1199382279444724E-2</v>
      </c>
      <c r="I40" s="41">
        <f>SUM(B40:H40)</f>
        <v>0.14513423252850619</v>
      </c>
      <c r="J40" s="41"/>
      <c r="N40" s="41"/>
      <c r="O40" s="41"/>
      <c r="P40" s="41"/>
      <c r="Q40" s="41"/>
      <c r="R40" s="41"/>
      <c r="S40" s="41"/>
      <c r="T40" s="41"/>
      <c r="U40" s="41"/>
      <c r="V40" s="41"/>
      <c r="X40" s="293"/>
      <c r="Y40" s="293"/>
      <c r="Z40" s="293"/>
      <c r="AA40" s="293"/>
      <c r="AB40" s="293"/>
      <c r="AD40" s="293"/>
      <c r="AE40" s="293"/>
      <c r="AF40" s="293"/>
      <c r="AG40" s="293"/>
      <c r="AH40" s="293"/>
    </row>
    <row r="41" spans="1:34" x14ac:dyDescent="0.2">
      <c r="A41" t="s">
        <v>67</v>
      </c>
      <c r="B41" s="41">
        <f t="shared" ref="B41:H41" si="22">SUM(B36:B40)</f>
        <v>0.29597599105532441</v>
      </c>
      <c r="C41" s="41">
        <f t="shared" si="22"/>
        <v>0.22687015321130302</v>
      </c>
      <c r="D41" s="41">
        <f t="shared" si="22"/>
        <v>6.1967425124530719E-2</v>
      </c>
      <c r="E41" s="41">
        <f t="shared" si="22"/>
        <v>9.5397220257501261E-2</v>
      </c>
      <c r="F41" s="41">
        <f t="shared" si="22"/>
        <v>0.18679454884175978</v>
      </c>
      <c r="G41" s="41">
        <f t="shared" si="22"/>
        <v>6.1967425124530726E-2</v>
      </c>
      <c r="H41" s="41">
        <f t="shared" si="22"/>
        <v>7.102723638505011E-2</v>
      </c>
      <c r="I41" s="41">
        <f>SUM(B41:H41)</f>
        <v>1</v>
      </c>
      <c r="J41" s="41"/>
      <c r="N41" s="41"/>
      <c r="O41" s="41"/>
      <c r="P41" s="41"/>
      <c r="Q41" s="41"/>
      <c r="R41" s="41"/>
      <c r="S41" s="41"/>
      <c r="T41" s="41"/>
      <c r="U41" s="41"/>
      <c r="V41" s="41"/>
      <c r="X41" s="293"/>
      <c r="Y41" s="293"/>
      <c r="Z41" s="293"/>
      <c r="AA41" s="293"/>
      <c r="AB41" s="293"/>
      <c r="AD41" s="293"/>
      <c r="AE41" s="293"/>
      <c r="AF41" s="293"/>
      <c r="AG41" s="293"/>
      <c r="AH41" s="293"/>
    </row>
    <row r="42" spans="1:34" x14ac:dyDescent="0.2">
      <c r="J42" s="41"/>
      <c r="N42" s="41"/>
      <c r="O42" s="41"/>
      <c r="P42" s="41"/>
      <c r="Q42" s="41"/>
      <c r="R42" s="41"/>
      <c r="S42" s="41"/>
      <c r="T42" s="41"/>
      <c r="U42" s="41"/>
      <c r="V42" s="41"/>
      <c r="X42" s="293"/>
      <c r="Y42" s="293"/>
      <c r="Z42" s="293"/>
      <c r="AA42" s="293"/>
      <c r="AB42" s="293"/>
      <c r="AD42" s="293"/>
      <c r="AE42" s="293"/>
      <c r="AF42" s="293"/>
      <c r="AG42" s="293"/>
      <c r="AH42" s="293"/>
    </row>
    <row r="43" spans="1:34" x14ac:dyDescent="0.2">
      <c r="J43" s="41"/>
      <c r="N43" s="41"/>
      <c r="O43" s="41"/>
      <c r="P43" s="41"/>
      <c r="Q43" s="41"/>
      <c r="R43" s="41"/>
      <c r="S43" s="41"/>
      <c r="T43" s="41"/>
      <c r="U43" s="41"/>
      <c r="V43" s="41"/>
      <c r="X43" s="293"/>
      <c r="Y43" s="293"/>
      <c r="Z43" s="293"/>
      <c r="AA43" s="293"/>
      <c r="AB43" s="293"/>
      <c r="AD43" s="293"/>
      <c r="AE43" s="293"/>
      <c r="AF43" s="293"/>
      <c r="AG43" s="293"/>
      <c r="AH43" s="293"/>
    </row>
    <row r="44" spans="1:34" x14ac:dyDescent="0.2">
      <c r="A44" s="54" t="s">
        <v>1025</v>
      </c>
      <c r="M44" s="54"/>
    </row>
    <row r="45" spans="1:34" ht="16" x14ac:dyDescent="0.2">
      <c r="A45" s="145" t="s">
        <v>743</v>
      </c>
      <c r="B45" s="146" t="s">
        <v>258</v>
      </c>
      <c r="C45" s="147" t="s">
        <v>477</v>
      </c>
      <c r="D45" s="148" t="s">
        <v>478</v>
      </c>
      <c r="E45" s="147" t="s">
        <v>480</v>
      </c>
      <c r="F45" s="147" t="s">
        <v>474</v>
      </c>
      <c r="G45" s="147" t="s">
        <v>745</v>
      </c>
      <c r="H45" s="149" t="s">
        <v>248</v>
      </c>
      <c r="I45" s="147" t="s">
        <v>67</v>
      </c>
      <c r="J45" s="147"/>
      <c r="M45" s="288"/>
      <c r="N45" s="289"/>
      <c r="O45" s="290"/>
      <c r="P45" s="291"/>
      <c r="Q45" s="290"/>
      <c r="R45" s="290"/>
      <c r="S45" s="290"/>
      <c r="T45" s="292"/>
      <c r="U45" s="290"/>
      <c r="V45" s="290"/>
      <c r="X45" s="290"/>
      <c r="Y45" s="290"/>
      <c r="Z45" s="290"/>
      <c r="AA45" s="290"/>
      <c r="AB45" s="290"/>
      <c r="AD45" s="290"/>
      <c r="AE45" s="290"/>
      <c r="AF45" s="290"/>
      <c r="AG45" s="290"/>
      <c r="AH45" s="290"/>
    </row>
    <row r="46" spans="1:34" x14ac:dyDescent="0.2">
      <c r="A46" t="s">
        <v>1022</v>
      </c>
      <c r="B46" s="41">
        <f>B36</f>
        <v>0.2234088747910713</v>
      </c>
      <c r="C46" s="41">
        <f>C36+0.1*C39</f>
        <v>0.1033262040687104</v>
      </c>
      <c r="D46" s="41">
        <f t="shared" ref="D46:H46" si="23">D36</f>
        <v>3.3429795132970515E-2</v>
      </c>
      <c r="E46" s="41">
        <f t="shared" si="23"/>
        <v>1.22304128535258E-2</v>
      </c>
      <c r="F46" s="41">
        <f t="shared" si="23"/>
        <v>8.2351446547073714E-2</v>
      </c>
      <c r="G46" s="41">
        <f t="shared" si="23"/>
        <v>9.784330282820641E-3</v>
      </c>
      <c r="H46" s="41">
        <f t="shared" si="23"/>
        <v>2.4460825707051602E-3</v>
      </c>
      <c r="I46" s="41">
        <f>SUM(B46:H46)</f>
        <v>0.46697714624687753</v>
      </c>
      <c r="J46" s="41"/>
      <c r="N46" s="41"/>
      <c r="O46" s="41"/>
      <c r="P46" s="41"/>
      <c r="Q46" s="41"/>
      <c r="R46" s="41"/>
      <c r="S46" s="41"/>
      <c r="T46" s="41"/>
      <c r="U46" s="41"/>
      <c r="V46" s="41"/>
      <c r="X46" s="293"/>
      <c r="Y46" s="293"/>
      <c r="Z46" s="293"/>
      <c r="AA46" s="293"/>
      <c r="AB46" s="293"/>
      <c r="AD46" s="293"/>
      <c r="AE46" s="293"/>
      <c r="AF46" s="293"/>
      <c r="AG46" s="293"/>
      <c r="AH46" s="293"/>
    </row>
    <row r="47" spans="1:34" x14ac:dyDescent="0.2">
      <c r="A47" t="s">
        <v>310</v>
      </c>
      <c r="B47" s="41">
        <f t="shared" ref="B47:H50" si="24">B37</f>
        <v>3.5875877703675681E-2</v>
      </c>
      <c r="C47" s="41">
        <f>C37+0.4*C39</f>
        <v>3.1715935244836679E-2</v>
      </c>
      <c r="D47" s="41">
        <f t="shared" si="24"/>
        <v>1.793793885183784E-2</v>
      </c>
      <c r="E47" s="41">
        <f t="shared" si="24"/>
        <v>6.6044229409039326E-2</v>
      </c>
      <c r="F47" s="41">
        <f t="shared" si="24"/>
        <v>0</v>
      </c>
      <c r="G47" s="41">
        <f t="shared" si="24"/>
        <v>1.9568660565641282E-2</v>
      </c>
      <c r="H47" s="41">
        <f t="shared" si="24"/>
        <v>4.0768042845086006E-3</v>
      </c>
      <c r="I47" s="41">
        <f t="shared" ref="I47:I49" si="25">SUM(B47:H47)</f>
        <v>0.1752194460595394</v>
      </c>
      <c r="J47" s="41"/>
      <c r="N47" s="41"/>
      <c r="O47" s="41"/>
      <c r="P47" s="41"/>
      <c r="Q47" s="41"/>
      <c r="R47" s="41"/>
      <c r="S47" s="41"/>
      <c r="T47" s="41"/>
      <c r="U47" s="41"/>
      <c r="V47" s="41"/>
      <c r="X47" s="293"/>
      <c r="Y47" s="293"/>
      <c r="Z47" s="293"/>
      <c r="AA47" s="293"/>
      <c r="AB47" s="293"/>
      <c r="AD47" s="293"/>
      <c r="AE47" s="293"/>
      <c r="AF47" s="293"/>
      <c r="AG47" s="293"/>
      <c r="AH47" s="293"/>
    </row>
    <row r="48" spans="1:34" x14ac:dyDescent="0.2">
      <c r="A48" t="s">
        <v>311</v>
      </c>
      <c r="B48" s="41">
        <f t="shared" si="24"/>
        <v>7.3382477121154812E-3</v>
      </c>
      <c r="C48" s="41">
        <f>C38+0.4*C39</f>
        <v>4.3130987241460757E-2</v>
      </c>
      <c r="D48" s="41">
        <f t="shared" si="24"/>
        <v>0</v>
      </c>
      <c r="E48" s="41">
        <f t="shared" si="24"/>
        <v>2.4460825707051602E-3</v>
      </c>
      <c r="F48" s="41">
        <f t="shared" si="24"/>
        <v>0</v>
      </c>
      <c r="G48" s="41">
        <f t="shared" si="24"/>
        <v>6.5228868552137604E-3</v>
      </c>
      <c r="H48" s="41">
        <f>H38</f>
        <v>1.793793885183784E-2</v>
      </c>
      <c r="I48" s="41">
        <f t="shared" si="25"/>
        <v>7.7376143231333003E-2</v>
      </c>
      <c r="J48" s="41"/>
      <c r="N48" s="41"/>
      <c r="O48" s="41"/>
      <c r="P48" s="41"/>
      <c r="Q48" s="41"/>
      <c r="R48" s="41"/>
      <c r="S48" s="41"/>
      <c r="T48" s="41"/>
      <c r="U48" s="41"/>
      <c r="V48" s="41"/>
      <c r="X48" s="293"/>
      <c r="Y48" s="293"/>
      <c r="Z48" s="293"/>
      <c r="AA48" s="293"/>
      <c r="AB48" s="293"/>
      <c r="AD48" s="293"/>
      <c r="AE48" s="293"/>
      <c r="AF48" s="293"/>
      <c r="AG48" s="293"/>
      <c r="AH48" s="293"/>
    </row>
    <row r="49" spans="1:34" x14ac:dyDescent="0.2">
      <c r="A49" t="s">
        <v>320</v>
      </c>
      <c r="B49" s="41">
        <f t="shared" si="24"/>
        <v>0</v>
      </c>
      <c r="C49" s="41">
        <v>0</v>
      </c>
      <c r="D49" s="41">
        <f t="shared" si="24"/>
        <v>0</v>
      </c>
      <c r="E49" s="41">
        <f t="shared" si="24"/>
        <v>0</v>
      </c>
      <c r="F49" s="41">
        <f t="shared" si="24"/>
        <v>0.10444310229468608</v>
      </c>
      <c r="G49" s="41">
        <f t="shared" si="24"/>
        <v>0</v>
      </c>
      <c r="H49" s="41">
        <f t="shared" si="24"/>
        <v>2.5367028398553784E-2</v>
      </c>
      <c r="I49" s="41">
        <f t="shared" si="25"/>
        <v>0.12981013069323985</v>
      </c>
      <c r="J49" s="41"/>
      <c r="N49" s="41"/>
      <c r="O49" s="41"/>
      <c r="P49" s="41"/>
      <c r="Q49" s="41"/>
      <c r="R49" s="41"/>
      <c r="S49" s="41"/>
      <c r="T49" s="41"/>
      <c r="U49" s="41"/>
      <c r="V49" s="41"/>
      <c r="X49" s="293"/>
      <c r="Y49" s="293"/>
      <c r="Z49" s="293"/>
      <c r="AA49" s="293"/>
      <c r="AB49" s="293"/>
      <c r="AD49" s="293"/>
      <c r="AE49" s="293"/>
      <c r="AF49" s="293"/>
      <c r="AG49" s="293"/>
      <c r="AH49" s="293"/>
    </row>
    <row r="50" spans="1:34" x14ac:dyDescent="0.2">
      <c r="A50" t="s">
        <v>248</v>
      </c>
      <c r="B50" s="41">
        <f t="shared" si="24"/>
        <v>2.9352990848461925E-2</v>
      </c>
      <c r="C50" s="41">
        <f>C40+0.1*C39</f>
        <v>4.8697026656295175E-2</v>
      </c>
      <c r="D50" s="41">
        <f t="shared" si="24"/>
        <v>1.0599691139722362E-2</v>
      </c>
      <c r="E50" s="41">
        <f t="shared" si="24"/>
        <v>1.4676495424230962E-2</v>
      </c>
      <c r="F50" s="41">
        <f t="shared" si="24"/>
        <v>0</v>
      </c>
      <c r="G50" s="41">
        <f t="shared" si="24"/>
        <v>2.6091547420855041E-2</v>
      </c>
      <c r="H50" s="41">
        <f t="shared" si="24"/>
        <v>2.1199382279444724E-2</v>
      </c>
      <c r="I50" s="41">
        <f>SUM(B50:H50)</f>
        <v>0.1506171337690102</v>
      </c>
      <c r="J50" s="41"/>
      <c r="M50" t="s">
        <v>1026</v>
      </c>
      <c r="N50" s="41"/>
      <c r="O50" s="41"/>
      <c r="P50" s="41"/>
      <c r="Q50" s="41"/>
      <c r="R50" s="41"/>
      <c r="S50" s="41"/>
      <c r="T50" s="41"/>
      <c r="U50" s="41"/>
      <c r="V50" s="41"/>
      <c r="X50" s="293"/>
      <c r="Y50" s="293"/>
      <c r="Z50" s="293"/>
      <c r="AA50" s="293"/>
      <c r="AB50" s="293"/>
      <c r="AD50" s="293"/>
      <c r="AE50" s="293"/>
      <c r="AF50" s="293"/>
      <c r="AG50" s="293"/>
      <c r="AH50" s="293"/>
    </row>
    <row r="51" spans="1:34" x14ac:dyDescent="0.2">
      <c r="A51" t="s">
        <v>67</v>
      </c>
      <c r="B51" s="41">
        <f t="shared" ref="B51:H51" si="26">SUM(B46:B50)</f>
        <v>0.29597599105532441</v>
      </c>
      <c r="C51" s="41">
        <f t="shared" si="26"/>
        <v>0.22687015321130299</v>
      </c>
      <c r="D51" s="41">
        <f t="shared" si="26"/>
        <v>6.1967425124530719E-2</v>
      </c>
      <c r="E51" s="41">
        <f t="shared" si="26"/>
        <v>9.5397220257501261E-2</v>
      </c>
      <c r="F51" s="41">
        <f t="shared" si="26"/>
        <v>0.18679454884175978</v>
      </c>
      <c r="G51" s="41">
        <f t="shared" si="26"/>
        <v>6.1967425124530726E-2</v>
      </c>
      <c r="H51" s="41">
        <f t="shared" si="26"/>
        <v>7.102723638505011E-2</v>
      </c>
      <c r="I51" s="41">
        <f>SUM(B51:H51)</f>
        <v>1</v>
      </c>
      <c r="J51" s="41"/>
      <c r="N51" s="41"/>
      <c r="O51" s="41"/>
      <c r="P51" s="41"/>
      <c r="Q51" s="41"/>
      <c r="R51" s="41"/>
      <c r="S51" s="41"/>
      <c r="T51" s="41"/>
      <c r="U51" s="41"/>
      <c r="V51" s="41"/>
      <c r="X51" s="293"/>
      <c r="Y51" s="293"/>
      <c r="Z51" s="293"/>
      <c r="AA51" s="293"/>
      <c r="AB51" s="293"/>
      <c r="AD51" s="293"/>
      <c r="AE51" s="293"/>
      <c r="AF51" s="293"/>
      <c r="AG51" s="293"/>
      <c r="AH51" s="293"/>
    </row>
    <row r="52" spans="1:34" x14ac:dyDescent="0.2">
      <c r="B52" s="41"/>
      <c r="C52" s="41"/>
      <c r="D52" s="41"/>
      <c r="E52" s="41"/>
      <c r="F52" s="41"/>
      <c r="G52" s="41"/>
      <c r="H52" s="41"/>
      <c r="I52" s="41"/>
      <c r="J52" s="41"/>
      <c r="N52" s="41"/>
      <c r="O52" s="41"/>
      <c r="P52" s="41"/>
      <c r="Q52" s="41"/>
      <c r="R52" s="41"/>
      <c r="S52" s="41"/>
      <c r="T52" s="41"/>
      <c r="U52" s="41"/>
      <c r="V52" s="41"/>
      <c r="X52" s="293"/>
      <c r="Y52" s="293"/>
      <c r="Z52" s="293"/>
      <c r="AA52" s="293"/>
      <c r="AB52" s="293"/>
      <c r="AD52" s="293"/>
      <c r="AE52" s="293"/>
      <c r="AF52" s="293"/>
      <c r="AG52" s="293"/>
      <c r="AH52" s="293"/>
    </row>
    <row r="53" spans="1:34" x14ac:dyDescent="0.2">
      <c r="B53" s="41"/>
      <c r="C53" s="41"/>
      <c r="D53" s="41"/>
      <c r="E53" s="41"/>
      <c r="F53" s="41"/>
      <c r="G53" s="41"/>
      <c r="H53" s="41"/>
      <c r="I53" s="41"/>
      <c r="J53" s="41"/>
      <c r="N53" s="41"/>
      <c r="O53" s="41"/>
      <c r="P53" s="41"/>
      <c r="Q53" s="41"/>
      <c r="R53" s="41"/>
      <c r="S53" s="41"/>
      <c r="T53" s="41"/>
      <c r="U53" s="41"/>
      <c r="V53" s="41"/>
      <c r="X53" s="293"/>
      <c r="Y53" s="293"/>
      <c r="Z53" s="293"/>
      <c r="AA53" s="293"/>
      <c r="AB53" s="293"/>
      <c r="AD53" s="293"/>
      <c r="AE53" s="293"/>
      <c r="AF53" s="293"/>
      <c r="AG53" s="293"/>
      <c r="AH53" s="293"/>
    </row>
    <row r="54" spans="1:34" ht="16" thickBot="1" x14ac:dyDescent="0.25">
      <c r="A54" s="280"/>
      <c r="B54" s="526" t="s">
        <v>744</v>
      </c>
      <c r="C54" s="526" t="s">
        <v>472</v>
      </c>
      <c r="D54" s="526" t="s">
        <v>477</v>
      </c>
      <c r="E54" s="526" t="s">
        <v>478</v>
      </c>
      <c r="F54" s="526" t="s">
        <v>480</v>
      </c>
      <c r="G54" s="526" t="s">
        <v>474</v>
      </c>
      <c r="H54" s="526" t="s">
        <v>192</v>
      </c>
      <c r="I54" s="526" t="s">
        <v>67</v>
      </c>
      <c r="K54" s="1" t="s">
        <v>1027</v>
      </c>
      <c r="L54" s="1" t="s">
        <v>1027</v>
      </c>
    </row>
    <row r="55" spans="1:34" ht="16" thickTop="1" x14ac:dyDescent="0.2">
      <c r="A55" s="527" t="s">
        <v>1028</v>
      </c>
      <c r="B55" s="445">
        <f>'Demand Breakdown - Ethylene'!E34</f>
        <v>1</v>
      </c>
      <c r="C55" s="445">
        <f>'Demand Breakdown - Ethylene'!E35</f>
        <v>1</v>
      </c>
      <c r="D55" s="528">
        <v>0</v>
      </c>
      <c r="E55" s="445">
        <f>'Demand Breakdown - Ethylene'!E39</f>
        <v>0.2687140115163148</v>
      </c>
      <c r="F55" s="445">
        <f>'Demand Breakdown - Ethylene'!E38</f>
        <v>0.44800000000000001</v>
      </c>
      <c r="G55" s="445">
        <f>'Demand Breakdown - Ethylene'!E36</f>
        <v>0.14568158168574402</v>
      </c>
      <c r="H55" s="445">
        <f>'Demand Breakdown - Ethylene'!E41</f>
        <v>0.1</v>
      </c>
      <c r="I55" s="280"/>
      <c r="K55" t="s">
        <v>1029</v>
      </c>
      <c r="L55" t="s">
        <v>1029</v>
      </c>
    </row>
    <row r="56" spans="1:34" x14ac:dyDescent="0.2">
      <c r="A56" s="280" t="s">
        <v>309</v>
      </c>
      <c r="B56" s="529">
        <f t="shared" ref="B56:G61" si="27">B18*B$55</f>
        <v>0.13500000000000001</v>
      </c>
      <c r="C56" s="529">
        <f t="shared" si="27"/>
        <v>9.2999999999999999E-2</v>
      </c>
      <c r="D56" s="529">
        <f t="shared" si="27"/>
        <v>0</v>
      </c>
      <c r="E56" s="529">
        <f t="shared" si="27"/>
        <v>6.1804222648752403E-3</v>
      </c>
      <c r="F56" s="529">
        <f t="shared" si="27"/>
        <v>4.032E-3</v>
      </c>
      <c r="G56" s="529">
        <f t="shared" si="27"/>
        <v>1.4713839750260147E-2</v>
      </c>
      <c r="H56" s="529">
        <f t="shared" ref="H56:H61" si="28">(H18+I18)*H$55</f>
        <v>3.0000000000000003E-4</v>
      </c>
      <c r="I56" s="529">
        <f>SUM(B56:H56)</f>
        <v>0.25322626201513543</v>
      </c>
      <c r="K56" s="41">
        <f>I56/J18</f>
        <v>0.5677718879263125</v>
      </c>
      <c r="L56" s="23">
        <f t="shared" ref="L56:L61" si="29">I56/$I$62</f>
        <v>0.54603797910443241</v>
      </c>
    </row>
    <row r="57" spans="1:34" x14ac:dyDescent="0.2">
      <c r="A57" s="280" t="s">
        <v>310</v>
      </c>
      <c r="B57" s="530">
        <f t="shared" si="27"/>
        <v>1.0999999999999999E-2</v>
      </c>
      <c r="C57" s="530">
        <f t="shared" si="27"/>
        <v>3.3000000000000002E-2</v>
      </c>
      <c r="D57" s="530">
        <f t="shared" si="27"/>
        <v>0</v>
      </c>
      <c r="E57" s="530">
        <f t="shared" si="27"/>
        <v>5.9117082533589249E-3</v>
      </c>
      <c r="F57" s="530">
        <f t="shared" si="27"/>
        <v>3.6288000000000001E-2</v>
      </c>
      <c r="G57" s="530">
        <f t="shared" si="27"/>
        <v>0</v>
      </c>
      <c r="H57" s="530">
        <f t="shared" si="28"/>
        <v>2.9000000000000002E-3</v>
      </c>
      <c r="I57" s="530">
        <f t="shared" ref="I57:I61" si="30">SUM(B57:H57)</f>
        <v>8.9099708253358931E-2</v>
      </c>
      <c r="K57" s="41">
        <f t="shared" ref="K57:K61" si="31">I57/J19</f>
        <v>0.47393461836893053</v>
      </c>
      <c r="L57" s="23">
        <f t="shared" si="29"/>
        <v>0.19212787902129477</v>
      </c>
    </row>
    <row r="58" spans="1:34" x14ac:dyDescent="0.2">
      <c r="A58" s="280" t="s">
        <v>311</v>
      </c>
      <c r="B58" s="530">
        <f t="shared" si="27"/>
        <v>1E-3</v>
      </c>
      <c r="C58" s="530">
        <f t="shared" si="27"/>
        <v>8.0000000000000002E-3</v>
      </c>
      <c r="D58" s="530">
        <f t="shared" si="27"/>
        <v>0</v>
      </c>
      <c r="E58" s="530">
        <f t="shared" si="27"/>
        <v>0</v>
      </c>
      <c r="F58" s="530">
        <f t="shared" si="27"/>
        <v>1.3440000000000001E-3</v>
      </c>
      <c r="G58" s="530">
        <f t="shared" si="27"/>
        <v>0</v>
      </c>
      <c r="H58" s="530">
        <f t="shared" si="28"/>
        <v>3.0000000000000001E-3</v>
      </c>
      <c r="I58" s="530">
        <f t="shared" si="30"/>
        <v>1.3344000000000002E-2</v>
      </c>
      <c r="K58" s="41">
        <f t="shared" si="31"/>
        <v>0.19623529411764706</v>
      </c>
      <c r="L58" s="23">
        <f t="shared" si="29"/>
        <v>2.8773993404894321E-2</v>
      </c>
    </row>
    <row r="59" spans="1:34" x14ac:dyDescent="0.2">
      <c r="A59" s="280" t="s">
        <v>312</v>
      </c>
      <c r="B59" s="530">
        <f t="shared" si="27"/>
        <v>5.0000000000000001E-3</v>
      </c>
      <c r="C59" s="530">
        <f t="shared" si="27"/>
        <v>2E-3</v>
      </c>
      <c r="D59" s="530">
        <f t="shared" si="27"/>
        <v>0</v>
      </c>
      <c r="E59" s="530">
        <f t="shared" si="27"/>
        <v>1.6122840690978887E-3</v>
      </c>
      <c r="F59" s="530">
        <f t="shared" si="27"/>
        <v>1.792E-3</v>
      </c>
      <c r="G59" s="530">
        <f t="shared" si="27"/>
        <v>0</v>
      </c>
      <c r="H59" s="530">
        <f t="shared" si="28"/>
        <v>1.4000000000000002E-3</v>
      </c>
      <c r="I59" s="530">
        <f t="shared" si="30"/>
        <v>1.1804284069097889E-2</v>
      </c>
      <c r="K59" s="41">
        <f t="shared" si="31"/>
        <v>0.2951071017274472</v>
      </c>
      <c r="L59" s="23">
        <f t="shared" si="29"/>
        <v>2.5453866303486339E-2</v>
      </c>
    </row>
    <row r="60" spans="1:34" x14ac:dyDescent="0.2">
      <c r="A60" s="280" t="s">
        <v>746</v>
      </c>
      <c r="B60" s="530">
        <f>B22*B$55</f>
        <v>2.9000000000000001E-2</v>
      </c>
      <c r="C60" s="530">
        <f t="shared" si="27"/>
        <v>1.7000000000000001E-2</v>
      </c>
      <c r="D60" s="530">
        <f t="shared" si="27"/>
        <v>0</v>
      </c>
      <c r="E60" s="530">
        <f t="shared" si="27"/>
        <v>4.8368522072936657E-3</v>
      </c>
      <c r="F60" s="530">
        <f t="shared" si="27"/>
        <v>2.6880000000000003E-3</v>
      </c>
      <c r="G60" s="530">
        <f t="shared" si="27"/>
        <v>0</v>
      </c>
      <c r="H60" s="530">
        <f t="shared" si="28"/>
        <v>1.2000000000000001E-3</v>
      </c>
      <c r="I60" s="530">
        <f t="shared" si="30"/>
        <v>5.4724852207293666E-2</v>
      </c>
      <c r="K60" s="41">
        <f t="shared" si="31"/>
        <v>0.45604043506078057</v>
      </c>
      <c r="L60" s="23">
        <f t="shared" si="29"/>
        <v>0.11800453660794995</v>
      </c>
    </row>
    <row r="61" spans="1:34" x14ac:dyDescent="0.2">
      <c r="A61" s="280" t="s">
        <v>248</v>
      </c>
      <c r="B61" s="530">
        <f>B23*B$55</f>
        <v>1.9000000000000003E-2</v>
      </c>
      <c r="C61" s="530">
        <f t="shared" si="27"/>
        <v>9.9999999999999985E-3</v>
      </c>
      <c r="D61" s="530">
        <f t="shared" si="27"/>
        <v>0</v>
      </c>
      <c r="E61" s="530">
        <f t="shared" si="27"/>
        <v>1.8809980806142037E-3</v>
      </c>
      <c r="F61" s="530">
        <f t="shared" si="27"/>
        <v>6.2720000000000007E-3</v>
      </c>
      <c r="G61" s="530">
        <f t="shared" si="27"/>
        <v>0</v>
      </c>
      <c r="H61" s="530">
        <f t="shared" si="28"/>
        <v>4.4000000000000003E-3</v>
      </c>
      <c r="I61" s="530">
        <f t="shared" si="30"/>
        <v>4.155299808061421E-2</v>
      </c>
      <c r="K61" s="41">
        <f t="shared" si="31"/>
        <v>0.30110868174358119</v>
      </c>
      <c r="L61" s="23">
        <f t="shared" si="29"/>
        <v>8.9601745557942106E-2</v>
      </c>
    </row>
    <row r="62" spans="1:34" ht="16" thickBot="1" x14ac:dyDescent="0.25">
      <c r="A62" s="526" t="s">
        <v>67</v>
      </c>
      <c r="B62" s="531">
        <f>SUM(B56:B61)</f>
        <v>0.2</v>
      </c>
      <c r="C62" s="531">
        <f t="shared" ref="C62:I62" si="32">SUM(C56:C61)</f>
        <v>0.16300000000000003</v>
      </c>
      <c r="D62" s="531">
        <f t="shared" si="32"/>
        <v>0</v>
      </c>
      <c r="E62" s="531">
        <f t="shared" si="32"/>
        <v>2.0422264875239925E-2</v>
      </c>
      <c r="F62" s="531">
        <f t="shared" si="32"/>
        <v>5.2416000000000004E-2</v>
      </c>
      <c r="G62" s="531">
        <f t="shared" si="32"/>
        <v>1.4713839750260147E-2</v>
      </c>
      <c r="H62" s="531">
        <f t="shared" si="32"/>
        <v>1.32E-2</v>
      </c>
      <c r="I62" s="531">
        <f t="shared" si="32"/>
        <v>0.46375210462550015</v>
      </c>
    </row>
    <row r="63" spans="1:34" ht="16" thickTop="1" x14ac:dyDescent="0.2"/>
    <row r="64" spans="1:34" x14ac:dyDescent="0.2">
      <c r="J64" t="s">
        <v>1030</v>
      </c>
      <c r="K64" s="23">
        <f>(I56+I60)/(J18+J22)</f>
        <v>0.54408324067566971</v>
      </c>
    </row>
    <row r="65" spans="1:31" x14ac:dyDescent="0.2">
      <c r="J65" t="s">
        <v>248</v>
      </c>
      <c r="K65" s="23">
        <f>(I59+I61)/(J23+J21)</f>
        <v>0.29976001207703423</v>
      </c>
    </row>
    <row r="67" spans="1:31" ht="16" thickBot="1" x14ac:dyDescent="0.25">
      <c r="A67" s="280"/>
      <c r="B67" s="526" t="s">
        <v>744</v>
      </c>
      <c r="C67" s="526" t="s">
        <v>472</v>
      </c>
      <c r="D67" s="526" t="s">
        <v>477</v>
      </c>
      <c r="E67" s="526" t="s">
        <v>478</v>
      </c>
      <c r="F67" s="526" t="s">
        <v>480</v>
      </c>
      <c r="G67" s="526" t="s">
        <v>474</v>
      </c>
      <c r="H67" s="526" t="s">
        <v>192</v>
      </c>
      <c r="I67" s="526" t="s">
        <v>67</v>
      </c>
      <c r="K67" s="1" t="s">
        <v>1027</v>
      </c>
    </row>
    <row r="68" spans="1:31" ht="16" thickTop="1" x14ac:dyDescent="0.2">
      <c r="A68" s="527" t="s">
        <v>1031</v>
      </c>
      <c r="B68" s="528">
        <v>0</v>
      </c>
      <c r="C68" s="528">
        <v>0</v>
      </c>
      <c r="D68" s="528">
        <v>1</v>
      </c>
      <c r="E68" s="528">
        <v>0</v>
      </c>
      <c r="F68" s="528">
        <v>0</v>
      </c>
      <c r="G68" s="528">
        <v>0</v>
      </c>
      <c r="H68" s="445">
        <f>'Demand Breakdown - Propylene'!E28</f>
        <v>0.1</v>
      </c>
      <c r="I68" s="280"/>
      <c r="K68" t="s">
        <v>1029</v>
      </c>
    </row>
    <row r="69" spans="1:31" x14ac:dyDescent="0.2">
      <c r="A69" s="280" t="s">
        <v>309</v>
      </c>
      <c r="B69" s="529">
        <f t="shared" ref="B69:B74" si="33">B18*B$68</f>
        <v>0</v>
      </c>
      <c r="C69" s="529">
        <f t="shared" ref="C69:H69" si="34">C18*C$68</f>
        <v>0</v>
      </c>
      <c r="D69" s="529">
        <f t="shared" si="34"/>
        <v>8.2000000000000003E-2</v>
      </c>
      <c r="E69" s="529">
        <f t="shared" si="34"/>
        <v>0</v>
      </c>
      <c r="F69" s="529">
        <f t="shared" si="34"/>
        <v>0</v>
      </c>
      <c r="G69" s="529">
        <f t="shared" si="34"/>
        <v>0</v>
      </c>
      <c r="H69" s="529">
        <f t="shared" si="34"/>
        <v>2.0000000000000001E-4</v>
      </c>
      <c r="I69" s="529">
        <f>SUM(B69:H69)</f>
        <v>8.2200000000000009E-2</v>
      </c>
      <c r="K69" s="41">
        <f t="shared" ref="K69:K74" si="35">I69/J18</f>
        <v>0.184304932735426</v>
      </c>
    </row>
    <row r="70" spans="1:31" x14ac:dyDescent="0.2">
      <c r="A70" s="280" t="s">
        <v>310</v>
      </c>
      <c r="B70" s="530">
        <f t="shared" si="33"/>
        <v>0</v>
      </c>
      <c r="C70" s="530">
        <f t="shared" ref="C70:H74" si="36">C19*C$68</f>
        <v>0</v>
      </c>
      <c r="D70" s="530">
        <f t="shared" si="36"/>
        <v>1.2E-2</v>
      </c>
      <c r="E70" s="530">
        <f t="shared" si="36"/>
        <v>0</v>
      </c>
      <c r="F70" s="530">
        <f t="shared" si="36"/>
        <v>0</v>
      </c>
      <c r="G70" s="530">
        <f t="shared" si="36"/>
        <v>0</v>
      </c>
      <c r="H70" s="530">
        <f t="shared" si="36"/>
        <v>2.4000000000000002E-3</v>
      </c>
      <c r="I70" s="530">
        <f t="shared" ref="I70:I74" si="37">SUM(B70:H70)</f>
        <v>1.44E-2</v>
      </c>
      <c r="K70" s="41">
        <f t="shared" si="35"/>
        <v>7.6595744680851077E-2</v>
      </c>
    </row>
    <row r="71" spans="1:31" x14ac:dyDescent="0.2">
      <c r="A71" s="280" t="s">
        <v>311</v>
      </c>
      <c r="B71" s="530">
        <f>B20*B$68</f>
        <v>0</v>
      </c>
      <c r="C71" s="530">
        <f t="shared" si="36"/>
        <v>0</v>
      </c>
      <c r="D71" s="530">
        <f t="shared" si="36"/>
        <v>2.5999999999999999E-2</v>
      </c>
      <c r="E71" s="530">
        <f t="shared" si="36"/>
        <v>0</v>
      </c>
      <c r="F71" s="530">
        <f t="shared" si="36"/>
        <v>0</v>
      </c>
      <c r="G71" s="530">
        <f t="shared" si="36"/>
        <v>0</v>
      </c>
      <c r="H71" s="530">
        <f t="shared" si="36"/>
        <v>8.0000000000000004E-4</v>
      </c>
      <c r="I71" s="530">
        <f t="shared" si="37"/>
        <v>2.6799999999999997E-2</v>
      </c>
      <c r="K71" s="41">
        <f t="shared" si="35"/>
        <v>0.39411764705882346</v>
      </c>
    </row>
    <row r="72" spans="1:31" x14ac:dyDescent="0.2">
      <c r="A72" s="280" t="s">
        <v>312</v>
      </c>
      <c r="B72" s="530">
        <f t="shared" si="33"/>
        <v>0</v>
      </c>
      <c r="C72" s="530">
        <f t="shared" si="36"/>
        <v>0</v>
      </c>
      <c r="D72" s="530">
        <f t="shared" si="36"/>
        <v>8.9999999999999993E-3</v>
      </c>
      <c r="E72" s="530">
        <f t="shared" si="36"/>
        <v>0</v>
      </c>
      <c r="F72" s="530">
        <f t="shared" si="36"/>
        <v>0</v>
      </c>
      <c r="G72" s="530">
        <f t="shared" si="36"/>
        <v>0</v>
      </c>
      <c r="H72" s="530">
        <f t="shared" si="36"/>
        <v>4.0000000000000002E-4</v>
      </c>
      <c r="I72" s="530">
        <f t="shared" si="37"/>
        <v>9.3999999999999986E-3</v>
      </c>
      <c r="K72" s="41">
        <f t="shared" si="35"/>
        <v>0.23499999999999996</v>
      </c>
      <c r="Y72" s="1" t="s">
        <v>1032</v>
      </c>
      <c r="AC72" s="1" t="s">
        <v>1033</v>
      </c>
    </row>
    <row r="73" spans="1:31" x14ac:dyDescent="0.2">
      <c r="A73" s="280" t="s">
        <v>746</v>
      </c>
      <c r="B73" s="530">
        <f t="shared" si="33"/>
        <v>0</v>
      </c>
      <c r="C73" s="530">
        <f t="shared" si="36"/>
        <v>0</v>
      </c>
      <c r="D73" s="530">
        <f t="shared" si="36"/>
        <v>3.7999999999999999E-2</v>
      </c>
      <c r="E73" s="530">
        <f t="shared" si="36"/>
        <v>0</v>
      </c>
      <c r="F73" s="530">
        <f t="shared" si="36"/>
        <v>0</v>
      </c>
      <c r="G73" s="530">
        <f t="shared" si="36"/>
        <v>0</v>
      </c>
      <c r="H73" s="530">
        <f t="shared" si="36"/>
        <v>1E-3</v>
      </c>
      <c r="I73" s="530">
        <f t="shared" si="37"/>
        <v>3.9E-2</v>
      </c>
      <c r="K73" s="41">
        <f t="shared" si="35"/>
        <v>0.32500000000000001</v>
      </c>
      <c r="Y73" t="s">
        <v>1034</v>
      </c>
      <c r="Z73">
        <v>30.026</v>
      </c>
      <c r="AC73" t="s">
        <v>1035</v>
      </c>
      <c r="AD73">
        <v>25</v>
      </c>
      <c r="AE73" t="s">
        <v>1036</v>
      </c>
    </row>
    <row r="74" spans="1:31" x14ac:dyDescent="0.2">
      <c r="A74" s="280" t="s">
        <v>248</v>
      </c>
      <c r="B74" s="530">
        <f t="shared" si="33"/>
        <v>0</v>
      </c>
      <c r="C74" s="530">
        <f t="shared" si="36"/>
        <v>0</v>
      </c>
      <c r="D74" s="530">
        <f t="shared" si="36"/>
        <v>4.4000000000000004E-2</v>
      </c>
      <c r="E74" s="530">
        <f t="shared" si="36"/>
        <v>0</v>
      </c>
      <c r="F74" s="530">
        <f t="shared" si="36"/>
        <v>0</v>
      </c>
      <c r="G74" s="530">
        <f t="shared" si="36"/>
        <v>0</v>
      </c>
      <c r="H74" s="530">
        <f t="shared" si="36"/>
        <v>2.8000000000000004E-3</v>
      </c>
      <c r="I74" s="530">
        <f t="shared" si="37"/>
        <v>4.6800000000000008E-2</v>
      </c>
      <c r="K74" s="41">
        <f t="shared" si="35"/>
        <v>0.33913043478260874</v>
      </c>
      <c r="Y74" t="s">
        <v>6</v>
      </c>
      <c r="Z74">
        <f>32.04</f>
        <v>32.04</v>
      </c>
      <c r="AC74" t="s">
        <v>1037</v>
      </c>
      <c r="AD74" s="450">
        <f>(1/(Z76+Z77-Z78))*(Z77)*AD73</f>
        <v>5.2723226420222886</v>
      </c>
    </row>
    <row r="75" spans="1:31" ht="16" thickBot="1" x14ac:dyDescent="0.25">
      <c r="A75" s="526" t="s">
        <v>67</v>
      </c>
      <c r="B75" s="531">
        <f>SUM(B69:B74)</f>
        <v>0</v>
      </c>
      <c r="C75" s="531">
        <f t="shared" ref="C75:I75" si="38">SUM(C69:C74)</f>
        <v>0</v>
      </c>
      <c r="D75" s="531">
        <f t="shared" si="38"/>
        <v>0.21100000000000002</v>
      </c>
      <c r="E75" s="531">
        <f t="shared" si="38"/>
        <v>0</v>
      </c>
      <c r="F75" s="531">
        <f t="shared" si="38"/>
        <v>0</v>
      </c>
      <c r="G75" s="531">
        <f t="shared" si="38"/>
        <v>0</v>
      </c>
      <c r="H75" s="531">
        <f t="shared" si="38"/>
        <v>7.6000000000000009E-3</v>
      </c>
      <c r="I75" s="531">
        <f t="shared" si="38"/>
        <v>0.21860000000000002</v>
      </c>
      <c r="Y75" t="s">
        <v>855</v>
      </c>
      <c r="Z75">
        <v>93.129000000000005</v>
      </c>
      <c r="AC75" t="s">
        <v>1038</v>
      </c>
      <c r="AD75" s="450">
        <v>4.5781615384615382</v>
      </c>
      <c r="AE75" t="s">
        <v>1039</v>
      </c>
    </row>
    <row r="76" spans="1:31" ht="16" thickTop="1" x14ac:dyDescent="0.2">
      <c r="Y76" t="s">
        <v>1040</v>
      </c>
      <c r="Z76">
        <v>250.25</v>
      </c>
      <c r="AC76" t="s">
        <v>674</v>
      </c>
      <c r="AD76" s="450">
        <v>0.68330769230769228</v>
      </c>
    </row>
    <row r="77" spans="1:31" x14ac:dyDescent="0.2">
      <c r="J77" t="s">
        <v>1030</v>
      </c>
      <c r="K77" s="23">
        <f>(I69+I73)/(J18+J22)</f>
        <v>0.21413427561837453</v>
      </c>
      <c r="Y77" t="s">
        <v>1041</v>
      </c>
      <c r="Z77">
        <v>62.07</v>
      </c>
    </row>
    <row r="78" spans="1:31" x14ac:dyDescent="0.2">
      <c r="J78" t="s">
        <v>248</v>
      </c>
      <c r="K78" s="23">
        <f>(I72+I74)/(J23+J21)</f>
        <v>0.31573033707865167</v>
      </c>
      <c r="Y78" t="s">
        <v>1042</v>
      </c>
      <c r="Z78">
        <v>18</v>
      </c>
      <c r="AC78" s="280" t="s">
        <v>1043</v>
      </c>
    </row>
    <row r="79" spans="1:31" ht="16" thickBot="1" x14ac:dyDescent="0.25">
      <c r="T79" t="s">
        <v>1044</v>
      </c>
      <c r="Y79" t="s">
        <v>246</v>
      </c>
      <c r="Z79">
        <v>60.052</v>
      </c>
    </row>
    <row r="80" spans="1:31" ht="17" thickBot="1" x14ac:dyDescent="0.25">
      <c r="B80" s="200" t="s">
        <v>744</v>
      </c>
      <c r="C80" s="200" t="s">
        <v>472</v>
      </c>
      <c r="D80" s="200" t="s">
        <v>477</v>
      </c>
      <c r="E80" s="200" t="s">
        <v>478</v>
      </c>
      <c r="F80" s="200" t="s">
        <v>480</v>
      </c>
      <c r="G80" s="200" t="s">
        <v>474</v>
      </c>
      <c r="H80" t="s">
        <v>676</v>
      </c>
      <c r="I80" s="149" t="s">
        <v>745</v>
      </c>
      <c r="J80" s="147" t="s">
        <v>192</v>
      </c>
      <c r="K80" s="147" t="s">
        <v>67</v>
      </c>
      <c r="L80" s="444" t="s">
        <v>1045</v>
      </c>
      <c r="S80" t="s">
        <v>1046</v>
      </c>
      <c r="T80" s="476">
        <f>SUM(Z124,Z121,Z132,Z116,Z90,Z100,Z106,Z111)</f>
        <v>25.494479693648902</v>
      </c>
      <c r="Y80" t="s">
        <v>1047</v>
      </c>
      <c r="Z80" s="4">
        <v>166.13200000000001</v>
      </c>
    </row>
    <row r="81" spans="1:29" ht="16" thickTop="1" x14ac:dyDescent="0.2">
      <c r="A81" s="58" t="s">
        <v>1048</v>
      </c>
      <c r="B81" s="55">
        <v>0</v>
      </c>
      <c r="C81" s="55">
        <v>0</v>
      </c>
      <c r="D81" s="55">
        <v>0</v>
      </c>
      <c r="E81" s="55">
        <v>0</v>
      </c>
      <c r="F81" s="55">
        <v>0</v>
      </c>
      <c r="G81" s="445">
        <f>Z147</f>
        <v>4.1295053450461215E-2</v>
      </c>
      <c r="H81" s="445">
        <f>G81</f>
        <v>4.1295053450461215E-2</v>
      </c>
      <c r="I81" s="445">
        <f>Z96</f>
        <v>0.10886110356075018</v>
      </c>
      <c r="J81" s="446">
        <f>Z129</f>
        <v>0.5009063728840607</v>
      </c>
      <c r="N81" s="1" t="s">
        <v>1049</v>
      </c>
      <c r="S81" t="s">
        <v>1050</v>
      </c>
      <c r="T81">
        <f>'Demand Breakdown - Methanol'!M45</f>
        <v>23.605579941239576</v>
      </c>
      <c r="Y81" t="s">
        <v>1051</v>
      </c>
      <c r="Z81" s="43">
        <v>194.19</v>
      </c>
    </row>
    <row r="82" spans="1:29" x14ac:dyDescent="0.2">
      <c r="A82" t="s">
        <v>309</v>
      </c>
      <c r="B82" s="449">
        <f>B18*B$81</f>
        <v>0</v>
      </c>
      <c r="C82" s="449">
        <f t="shared" ref="C82:G82" si="39">C18*C$81</f>
        <v>0</v>
      </c>
      <c r="D82" s="449">
        <f t="shared" si="39"/>
        <v>0</v>
      </c>
      <c r="E82" s="449">
        <f t="shared" si="39"/>
        <v>0</v>
      </c>
      <c r="F82" s="449">
        <f t="shared" si="39"/>
        <v>0</v>
      </c>
      <c r="G82" s="201">
        <f t="shared" si="39"/>
        <v>4.1708003984965826E-3</v>
      </c>
      <c r="H82" s="445"/>
      <c r="I82" s="201">
        <f>H18*I$81</f>
        <v>2.1772220712150037E-4</v>
      </c>
      <c r="J82" s="201">
        <f>I18*J$81</f>
        <v>5.0090637288406072E-4</v>
      </c>
      <c r="K82" s="41">
        <f>SUM(B82:J82)</f>
        <v>4.8894289785021442E-3</v>
      </c>
      <c r="L82" s="43">
        <f>K82/$K$89*($L$89-$L$87)</f>
        <v>3.076496436796182</v>
      </c>
      <c r="N82" s="41">
        <f>K82/J18</f>
        <v>1.0962845243278349E-2</v>
      </c>
      <c r="S82" t="s">
        <v>187</v>
      </c>
      <c r="T82">
        <f>'Demand Breakdown - Methanol'!M44</f>
        <v>28.065001267929215</v>
      </c>
      <c r="Y82" t="s">
        <v>964</v>
      </c>
      <c r="Z82" s="43">
        <v>86.09</v>
      </c>
    </row>
    <row r="83" spans="1:29" x14ac:dyDescent="0.2">
      <c r="A83" t="s">
        <v>310</v>
      </c>
      <c r="B83" s="169">
        <f t="shared" ref="B83:G83" si="40">B19*B$81</f>
        <v>0</v>
      </c>
      <c r="C83" s="169">
        <f t="shared" si="40"/>
        <v>0</v>
      </c>
      <c r="D83" s="169">
        <f t="shared" si="40"/>
        <v>0</v>
      </c>
      <c r="E83" s="169">
        <f t="shared" si="40"/>
        <v>0</v>
      </c>
      <c r="F83" s="169">
        <f t="shared" si="40"/>
        <v>0</v>
      </c>
      <c r="G83" s="168">
        <f t="shared" si="40"/>
        <v>0</v>
      </c>
      <c r="H83" s="214"/>
      <c r="I83" s="168">
        <f t="shared" ref="I83:J86" si="41">H19*I$81</f>
        <v>2.6126664854580046E-3</v>
      </c>
      <c r="J83" s="168">
        <f t="shared" si="41"/>
        <v>2.5045318644203035E-3</v>
      </c>
      <c r="K83" s="41">
        <f>SUM(B83:J83)</f>
        <v>5.1171983498783085E-3</v>
      </c>
      <c r="L83" s="43">
        <f t="shared" ref="L83:L86" si="42">K83/$K$89*($L$89-$L$87)</f>
        <v>3.219812080101577</v>
      </c>
      <c r="N83" s="41">
        <f t="shared" ref="N83:N86" si="43">K83/J19</f>
        <v>2.7219140158927176E-2</v>
      </c>
      <c r="S83" t="s">
        <v>179</v>
      </c>
      <c r="T83">
        <f>'Demand Breakdown - Methanol'!M9</f>
        <v>31.201972235932104</v>
      </c>
      <c r="Y83" t="s">
        <v>1052</v>
      </c>
      <c r="Z83" s="43">
        <v>100.117</v>
      </c>
    </row>
    <row r="84" spans="1:29" x14ac:dyDescent="0.2">
      <c r="A84" t="s">
        <v>311</v>
      </c>
      <c r="B84" s="169">
        <f t="shared" ref="B84:G84" si="44">B20*B$81</f>
        <v>0</v>
      </c>
      <c r="C84" s="169">
        <f t="shared" si="44"/>
        <v>0</v>
      </c>
      <c r="D84" s="169">
        <f t="shared" si="44"/>
        <v>0</v>
      </c>
      <c r="E84" s="169">
        <f t="shared" si="44"/>
        <v>0</v>
      </c>
      <c r="F84" s="169">
        <f t="shared" si="44"/>
        <v>0</v>
      </c>
      <c r="G84" s="168">
        <f t="shared" si="44"/>
        <v>0</v>
      </c>
      <c r="H84" s="286"/>
      <c r="I84" s="168">
        <f t="shared" si="41"/>
        <v>8.7088882848600148E-4</v>
      </c>
      <c r="J84" s="168">
        <f t="shared" si="41"/>
        <v>1.1019940203449334E-2</v>
      </c>
      <c r="K84" s="41">
        <f>SUM(B84:J84)</f>
        <v>1.1890829031935337E-2</v>
      </c>
      <c r="L84" s="43">
        <f t="shared" si="42"/>
        <v>7.4818743268684171</v>
      </c>
      <c r="N84" s="41">
        <f t="shared" si="43"/>
        <v>0.17486513282257846</v>
      </c>
      <c r="T84" s="43">
        <f>SUM(T80:T83)</f>
        <v>108.3670331387498</v>
      </c>
      <c r="Y84" t="s">
        <v>1053</v>
      </c>
      <c r="Z84" s="43">
        <v>94.11</v>
      </c>
    </row>
    <row r="85" spans="1:29" x14ac:dyDescent="0.2">
      <c r="A85" t="s">
        <v>312</v>
      </c>
      <c r="B85" s="169">
        <f t="shared" ref="B85:G85" si="45">B21*B$81</f>
        <v>0</v>
      </c>
      <c r="C85" s="169">
        <f t="shared" si="45"/>
        <v>0</v>
      </c>
      <c r="D85" s="169">
        <f t="shared" si="45"/>
        <v>0</v>
      </c>
      <c r="E85" s="169">
        <f t="shared" si="45"/>
        <v>0</v>
      </c>
      <c r="F85" s="169">
        <f t="shared" si="45"/>
        <v>0</v>
      </c>
      <c r="G85" s="168">
        <f t="shared" si="45"/>
        <v>0</v>
      </c>
      <c r="H85" s="286"/>
      <c r="I85" s="168">
        <f t="shared" si="41"/>
        <v>4.3544441424300074E-4</v>
      </c>
      <c r="J85" s="168">
        <f t="shared" si="41"/>
        <v>5.009063728840607E-3</v>
      </c>
      <c r="K85" s="41">
        <f>SUM(B85:J85)</f>
        <v>5.4445081430836081E-3</v>
      </c>
      <c r="L85" s="43">
        <f t="shared" si="42"/>
        <v>3.4257599355570991</v>
      </c>
      <c r="N85" s="41">
        <f t="shared" si="43"/>
        <v>0.13611270357709021</v>
      </c>
      <c r="Y85" t="s">
        <v>1054</v>
      </c>
      <c r="Z85" s="43">
        <v>60.055999999999997</v>
      </c>
    </row>
    <row r="86" spans="1:29" x14ac:dyDescent="0.2">
      <c r="A86" t="s">
        <v>746</v>
      </c>
      <c r="B86" s="6">
        <f t="shared" ref="B86:G86" si="46">B22*B$81</f>
        <v>0</v>
      </c>
      <c r="C86" s="6">
        <f t="shared" si="46"/>
        <v>0</v>
      </c>
      <c r="D86" s="6">
        <f t="shared" si="46"/>
        <v>0</v>
      </c>
      <c r="E86" s="6">
        <f t="shared" si="46"/>
        <v>0</v>
      </c>
      <c r="F86" s="6">
        <f t="shared" si="46"/>
        <v>0</v>
      </c>
      <c r="G86" s="41">
        <f t="shared" si="46"/>
        <v>0</v>
      </c>
      <c r="H86" s="286"/>
      <c r="I86" s="168">
        <f t="shared" si="41"/>
        <v>1.0886110356075019E-3</v>
      </c>
      <c r="J86" s="168">
        <f t="shared" si="41"/>
        <v>1.0018127457681214E-3</v>
      </c>
      <c r="K86" s="41">
        <f>SUM(B86:J86)</f>
        <v>2.0904237813756232E-3</v>
      </c>
      <c r="L86" s="43">
        <f t="shared" si="42"/>
        <v>1.3153235977192312</v>
      </c>
      <c r="N86" s="41">
        <f t="shared" si="43"/>
        <v>1.7420198178130192E-2</v>
      </c>
      <c r="S86" t="s">
        <v>1055</v>
      </c>
      <c r="T86">
        <f>SUMIF('Sankey Methanol_detailed'!E:E,S86,'Sankey Methanol_detailed'!H:H)</f>
        <v>2.9137164029122613</v>
      </c>
      <c r="Z86" s="43"/>
    </row>
    <row r="87" spans="1:29" x14ac:dyDescent="0.2">
      <c r="A87" t="s">
        <v>320</v>
      </c>
      <c r="B87" s="6">
        <v>0</v>
      </c>
      <c r="C87" s="6">
        <v>0</v>
      </c>
      <c r="D87" s="6">
        <v>0</v>
      </c>
      <c r="E87" s="6">
        <v>0</v>
      </c>
      <c r="F87" s="6">
        <v>0</v>
      </c>
      <c r="G87" s="41">
        <v>0</v>
      </c>
      <c r="H87" s="286"/>
      <c r="I87" s="41">
        <v>0</v>
      </c>
      <c r="J87" s="41">
        <v>0</v>
      </c>
      <c r="K87" s="41"/>
      <c r="L87" s="43">
        <f>(('Sankey Methanol_detailed'!H79+'Sankey Methanol_detailed'!H81)/SUM('Demand Breakdown - Methanol'!B6:B7))*'Demand Breakdown - Methanol'!B7*0.5*H81</f>
        <v>1.4464073070604898E-2</v>
      </c>
      <c r="M87" t="s">
        <v>1056</v>
      </c>
      <c r="S87" t="s">
        <v>740</v>
      </c>
      <c r="T87">
        <f>SUMIF('Sankey Methanol_detailed'!E:E,S87,'Sankey Methanol_detailed'!H:H)</f>
        <v>22.580763290736638</v>
      </c>
      <c r="Z87" s="43"/>
    </row>
    <row r="88" spans="1:29" x14ac:dyDescent="0.2">
      <c r="A88" t="s">
        <v>248</v>
      </c>
      <c r="B88" s="169">
        <f>B23*B$81</f>
        <v>0</v>
      </c>
      <c r="C88" s="169">
        <f t="shared" ref="C88:G88" si="47">C23*C$81</f>
        <v>0</v>
      </c>
      <c r="D88" s="169">
        <f t="shared" si="47"/>
        <v>0</v>
      </c>
      <c r="E88" s="169">
        <f t="shared" si="47"/>
        <v>0</v>
      </c>
      <c r="F88" s="169">
        <f t="shared" si="47"/>
        <v>0</v>
      </c>
      <c r="G88" s="168">
        <f t="shared" si="47"/>
        <v>0</v>
      </c>
      <c r="H88" s="286"/>
      <c r="I88" s="168">
        <f>H23*I$81</f>
        <v>3.0481108997010052E-3</v>
      </c>
      <c r="J88" s="168">
        <f>I23*J$81</f>
        <v>8.0145019661449716E-3</v>
      </c>
      <c r="K88" s="41">
        <f>SUM(B88:J88)</f>
        <v>1.1062612865845978E-2</v>
      </c>
      <c r="L88" s="43">
        <f>K88/$K$89*($L$89-$L$87)</f>
        <v>6.9607492435357861</v>
      </c>
      <c r="N88" s="41">
        <f>K88/J23</f>
        <v>8.0163861346709983E-2</v>
      </c>
      <c r="S88" t="s">
        <v>187</v>
      </c>
      <c r="T88">
        <f>SUMIF('Sankey Methanol_detailed'!E:E,S88,'Sankey Methanol_detailed'!H:H)</f>
        <v>28.587862624213781</v>
      </c>
      <c r="Z88" s="43"/>
    </row>
    <row r="89" spans="1:29" ht="16" thickBot="1" x14ac:dyDescent="0.25">
      <c r="A89" s="200" t="s">
        <v>67</v>
      </c>
      <c r="B89" s="202">
        <f t="shared" ref="B89:G89" si="48">SUM(B82:B88)</f>
        <v>0</v>
      </c>
      <c r="C89" s="202">
        <f t="shared" si="48"/>
        <v>0</v>
      </c>
      <c r="D89" s="202">
        <f t="shared" si="48"/>
        <v>0</v>
      </c>
      <c r="E89" s="202">
        <f t="shared" si="48"/>
        <v>0</v>
      </c>
      <c r="F89" s="202">
        <f t="shared" si="48"/>
        <v>0</v>
      </c>
      <c r="G89" s="202">
        <f t="shared" si="48"/>
        <v>4.1708003984965826E-3</v>
      </c>
      <c r="I89" s="202">
        <f>SUM(I82:I88)</f>
        <v>8.2734438706170144E-3</v>
      </c>
      <c r="J89" s="202">
        <f>SUM(J82:J88)</f>
        <v>2.8050756881507398E-2</v>
      </c>
      <c r="K89" s="202">
        <f>SUM(K82:K88)</f>
        <v>4.0495001150620998E-2</v>
      </c>
      <c r="L89" s="447">
        <f>T86+T87</f>
        <v>25.494479693648898</v>
      </c>
      <c r="S89" t="s">
        <v>179</v>
      </c>
      <c r="T89">
        <f>SUMIF('Sankey Methanol_detailed'!E:E,S89,'Sankey Methanol_detailed'!H:H)</f>
        <v>31.201972235932111</v>
      </c>
      <c r="Y89" s="280" t="s">
        <v>1057</v>
      </c>
    </row>
    <row r="90" spans="1:29" ht="16" thickTop="1" x14ac:dyDescent="0.2">
      <c r="L90" s="43">
        <f>SUM(L82:L88)</f>
        <v>25.494479693648898</v>
      </c>
      <c r="M90" t="s">
        <v>1030</v>
      </c>
      <c r="N90" s="23">
        <f>(K82+K86)/(J18+J22)</f>
        <v>1.2331895335473086E-2</v>
      </c>
      <c r="S90" t="s">
        <v>248</v>
      </c>
      <c r="T90">
        <f>SUMIF('Sankey Methanol_detailed'!E:E,S90,'Sankey Methanol_detailed'!H:H)</f>
        <v>16.87792438415423</v>
      </c>
      <c r="Y90" t="s">
        <v>1058</v>
      </c>
      <c r="Z90" s="451">
        <v>1.1298928174736835</v>
      </c>
    </row>
    <row r="91" spans="1:29" ht="16" thickBot="1" x14ac:dyDescent="0.25">
      <c r="M91" t="s">
        <v>248</v>
      </c>
      <c r="N91" s="23">
        <f>(K85+K88)/(J23+J21)</f>
        <v>9.2736634881626881E-2</v>
      </c>
      <c r="S91" s="273" t="s">
        <v>67</v>
      </c>
      <c r="T91" s="273">
        <f>SUM(T86:T90)</f>
        <v>102.16223893794901</v>
      </c>
    </row>
    <row r="92" spans="1:29" ht="21" customHeight="1" x14ac:dyDescent="0.2">
      <c r="B92" s="8"/>
      <c r="C92" s="163"/>
      <c r="D92" s="294"/>
      <c r="E92" s="163"/>
      <c r="M92" s="3" t="s">
        <v>1059</v>
      </c>
      <c r="N92" s="448">
        <f>L87/L89</f>
        <v>5.6734137132471627E-4</v>
      </c>
      <c r="S92" t="s">
        <v>1060</v>
      </c>
      <c r="T92">
        <f>SUMIF('Sankey Methanol_detailed'!F:F,S92,'Sankey Methanol_detailed'!H:H)</f>
        <v>102.16223893794904</v>
      </c>
      <c r="Y92" t="s">
        <v>1061</v>
      </c>
      <c r="Z92" s="43">
        <f>(1/(Z73))*(Z74)</f>
        <v>1.0670752014920402</v>
      </c>
      <c r="AC92" s="523" t="s">
        <v>1062</v>
      </c>
    </row>
    <row r="93" spans="1:29" x14ac:dyDescent="0.2">
      <c r="Y93" t="s">
        <v>1063</v>
      </c>
      <c r="Z93" s="43">
        <f>(1/(Z76))*(Z73)</f>
        <v>0.11998401598401598</v>
      </c>
    </row>
    <row r="94" spans="1:29" ht="16" thickBot="1" x14ac:dyDescent="0.25">
      <c r="Y94" t="s">
        <v>1064</v>
      </c>
      <c r="Z94">
        <v>1</v>
      </c>
    </row>
    <row r="95" spans="1:29" ht="17" thickBot="1" x14ac:dyDescent="0.25">
      <c r="B95" s="200" t="s">
        <v>744</v>
      </c>
      <c r="C95" s="200" t="s">
        <v>472</v>
      </c>
      <c r="D95" s="200" t="s">
        <v>477</v>
      </c>
      <c r="E95" s="200" t="s">
        <v>478</v>
      </c>
      <c r="F95" s="200" t="s">
        <v>480</v>
      </c>
      <c r="G95" s="200" t="s">
        <v>474</v>
      </c>
      <c r="H95" s="1" t="s">
        <v>676</v>
      </c>
      <c r="I95" s="149" t="s">
        <v>745</v>
      </c>
      <c r="J95" s="147" t="s">
        <v>192</v>
      </c>
      <c r="K95" s="147" t="s">
        <v>67</v>
      </c>
      <c r="L95" s="444" t="s">
        <v>1065</v>
      </c>
      <c r="Y95" t="s">
        <v>1066</v>
      </c>
      <c r="Z95" s="43">
        <f>(1/(Z76+Z77-Z78))*(Z76*Z94)</f>
        <v>0.85026501766784457</v>
      </c>
    </row>
    <row r="96" spans="1:29" ht="16" thickTop="1" x14ac:dyDescent="0.2">
      <c r="A96" s="58" t="s">
        <v>1067</v>
      </c>
      <c r="B96" s="55">
        <v>0</v>
      </c>
      <c r="C96" s="55">
        <v>0</v>
      </c>
      <c r="D96" s="55">
        <v>0</v>
      </c>
      <c r="E96" s="258">
        <f>'Demand Breakdown - BTX'!E33-E110</f>
        <v>0.6818814091558747</v>
      </c>
      <c r="F96" s="55">
        <v>0</v>
      </c>
      <c r="G96" s="528">
        <v>0</v>
      </c>
      <c r="H96" s="528">
        <v>0</v>
      </c>
      <c r="I96" s="568">
        <f>'Demand Breakdown - BTX'!D37*'Demand Breakdown - BTX'!D28/('Demand Breakdown - BTX'!D28+'Demand Breakdown - BTX'!L12)-'Demand Breakdown - BTX'!K5*2/3*'Demand Breakdown - BTX'!E28*'Demand Breakdown - BTX'!D37*'Demand Breakdown - BTX'!L12/('Demand Breakdown - BTX'!D28+'Demand Breakdown - BTX'!L12)</f>
        <v>0.41329579380032699</v>
      </c>
      <c r="J96" s="567">
        <v>0.1</v>
      </c>
      <c r="N96" s="1"/>
      <c r="Y96" s="452" t="s">
        <v>1068</v>
      </c>
      <c r="Z96" s="453">
        <f>Z92*Z93*Z95</f>
        <v>0.10886110356075018</v>
      </c>
    </row>
    <row r="97" spans="1:29" x14ac:dyDescent="0.2">
      <c r="A97" t="s">
        <v>309</v>
      </c>
      <c r="B97" s="449">
        <f>B46*B$96</f>
        <v>0</v>
      </c>
      <c r="C97" s="449">
        <f t="shared" ref="C97:G97" si="49">C18*C$96</f>
        <v>0</v>
      </c>
      <c r="D97" s="449">
        <f t="shared" si="49"/>
        <v>0</v>
      </c>
      <c r="E97" s="449">
        <f t="shared" si="49"/>
        <v>1.5683272410585116E-2</v>
      </c>
      <c r="F97" s="449">
        <f t="shared" si="49"/>
        <v>0</v>
      </c>
      <c r="G97" s="449">
        <f t="shared" si="49"/>
        <v>0</v>
      </c>
      <c r="H97" s="445"/>
      <c r="I97" s="449">
        <f>H18*I$96</f>
        <v>8.2659158760065401E-4</v>
      </c>
      <c r="J97" s="201">
        <f>I18*J$96</f>
        <v>1E-4</v>
      </c>
      <c r="K97" s="41">
        <f>SUM(B97:J97)</f>
        <v>1.6609863998185769E-2</v>
      </c>
      <c r="L97" s="43">
        <f>K97/$K$104*($L$104-$L$102)</f>
        <v>7.8426966561118343</v>
      </c>
      <c r="N97" s="41"/>
    </row>
    <row r="98" spans="1:29" x14ac:dyDescent="0.2">
      <c r="A98" t="s">
        <v>310</v>
      </c>
      <c r="B98" s="169">
        <f t="shared" ref="B98:G101" si="50">B19*B$96</f>
        <v>0</v>
      </c>
      <c r="C98" s="169">
        <f t="shared" si="50"/>
        <v>0</v>
      </c>
      <c r="D98" s="169">
        <f t="shared" si="50"/>
        <v>0</v>
      </c>
      <c r="E98" s="169">
        <f t="shared" si="50"/>
        <v>1.5001391001429243E-2</v>
      </c>
      <c r="F98" s="169">
        <f t="shared" si="50"/>
        <v>0</v>
      </c>
      <c r="G98" s="169">
        <f t="shared" si="50"/>
        <v>0</v>
      </c>
      <c r="H98" s="214"/>
      <c r="I98" s="169">
        <f t="shared" ref="I98:J101" si="51">H19*I$96</f>
        <v>9.9190990512078477E-3</v>
      </c>
      <c r="J98" s="168">
        <f t="shared" si="51"/>
        <v>5.0000000000000001E-4</v>
      </c>
      <c r="K98" s="41">
        <f>SUM(B98:J98)</f>
        <v>2.5420490052637093E-2</v>
      </c>
      <c r="L98" s="43">
        <f>K98/$K$104*($L$104-$L$102)</f>
        <v>12.002819069097551</v>
      </c>
      <c r="N98" s="41"/>
      <c r="Y98" s="280" t="s">
        <v>818</v>
      </c>
      <c r="Z98" s="43"/>
    </row>
    <row r="99" spans="1:29" x14ac:dyDescent="0.2">
      <c r="A99" t="s">
        <v>311</v>
      </c>
      <c r="B99" s="169">
        <f t="shared" si="50"/>
        <v>0</v>
      </c>
      <c r="C99" s="169">
        <f t="shared" si="50"/>
        <v>0</v>
      </c>
      <c r="D99" s="169">
        <f t="shared" si="50"/>
        <v>0</v>
      </c>
      <c r="E99" s="169">
        <f t="shared" si="50"/>
        <v>0</v>
      </c>
      <c r="F99" s="169">
        <f t="shared" si="50"/>
        <v>0</v>
      </c>
      <c r="G99" s="169">
        <f t="shared" si="50"/>
        <v>0</v>
      </c>
      <c r="H99" s="286"/>
      <c r="I99" s="169">
        <f t="shared" si="51"/>
        <v>3.306366350402616E-3</v>
      </c>
      <c r="J99" s="168">
        <f t="shared" si="51"/>
        <v>2.2000000000000001E-3</v>
      </c>
      <c r="K99" s="41">
        <f>SUM(B99:J99)</f>
        <v>5.5063663504026162E-3</v>
      </c>
      <c r="L99" s="43">
        <f>K99/$K$104*($L$104-$L$102)</f>
        <v>2.5999466924200116</v>
      </c>
      <c r="N99" s="41"/>
      <c r="Z99" s="43"/>
    </row>
    <row r="100" spans="1:29" x14ac:dyDescent="0.2">
      <c r="A100" t="s">
        <v>312</v>
      </c>
      <c r="B100" s="169">
        <f t="shared" si="50"/>
        <v>0</v>
      </c>
      <c r="C100" s="169">
        <f t="shared" si="50"/>
        <v>0</v>
      </c>
      <c r="D100" s="169">
        <f t="shared" si="50"/>
        <v>0</v>
      </c>
      <c r="E100" s="169">
        <f t="shared" si="50"/>
        <v>4.0912884549352485E-3</v>
      </c>
      <c r="F100" s="169">
        <f t="shared" si="50"/>
        <v>0</v>
      </c>
      <c r="G100" s="169">
        <f t="shared" si="50"/>
        <v>0</v>
      </c>
      <c r="H100" s="286"/>
      <c r="I100" s="169">
        <f t="shared" si="51"/>
        <v>1.653183175201308E-3</v>
      </c>
      <c r="J100" s="168">
        <f t="shared" si="51"/>
        <v>1E-3</v>
      </c>
      <c r="K100" s="41">
        <f>SUM(B100:J100)</f>
        <v>6.7444716301365568E-3</v>
      </c>
      <c r="L100" s="43">
        <f t="shared" ref="L100:L101" si="52">K100/$K$104*($L$104-$L$102)</f>
        <v>3.1845441423656808</v>
      </c>
      <c r="N100" s="41"/>
      <c r="Y100" t="s">
        <v>1069</v>
      </c>
      <c r="Z100" s="451">
        <v>1.0645306645833978</v>
      </c>
    </row>
    <row r="101" spans="1:29" x14ac:dyDescent="0.2">
      <c r="A101" t="s">
        <v>746</v>
      </c>
      <c r="B101" s="6">
        <f t="shared" si="50"/>
        <v>0</v>
      </c>
      <c r="C101" s="6">
        <f t="shared" si="50"/>
        <v>0</v>
      </c>
      <c r="D101" s="6">
        <f t="shared" si="50"/>
        <v>0</v>
      </c>
      <c r="E101" s="6">
        <f t="shared" si="50"/>
        <v>1.2273865364805743E-2</v>
      </c>
      <c r="F101" s="6">
        <f t="shared" si="50"/>
        <v>0</v>
      </c>
      <c r="G101" s="6">
        <f t="shared" si="50"/>
        <v>0</v>
      </c>
      <c r="H101" s="286"/>
      <c r="I101" s="6">
        <f t="shared" si="51"/>
        <v>4.1329579380032701E-3</v>
      </c>
      <c r="J101" s="41">
        <f t="shared" si="51"/>
        <v>2.0000000000000001E-4</v>
      </c>
      <c r="K101" s="41">
        <f>SUM(B101:J101)</f>
        <v>1.6606823302809014E-2</v>
      </c>
      <c r="L101" s="43">
        <f t="shared" si="52"/>
        <v>7.8412609278321712</v>
      </c>
      <c r="N101" s="41"/>
      <c r="Y101" t="s">
        <v>963</v>
      </c>
      <c r="Z101" s="43">
        <f>(1/Z79)*Z74</f>
        <v>0.53353760074602008</v>
      </c>
    </row>
    <row r="102" spans="1:29" x14ac:dyDescent="0.2">
      <c r="A102" t="s">
        <v>320</v>
      </c>
      <c r="B102" s="6">
        <v>0</v>
      </c>
      <c r="C102" s="6">
        <v>0</v>
      </c>
      <c r="D102" s="6">
        <v>0</v>
      </c>
      <c r="E102" s="6">
        <v>0</v>
      </c>
      <c r="F102" s="6">
        <v>0</v>
      </c>
      <c r="G102" s="6">
        <v>0</v>
      </c>
      <c r="H102" s="286"/>
      <c r="I102" s="6">
        <v>0</v>
      </c>
      <c r="J102" s="41">
        <v>0</v>
      </c>
      <c r="K102" s="41">
        <f>0</f>
        <v>0</v>
      </c>
      <c r="L102" s="43">
        <v>0</v>
      </c>
      <c r="M102" t="s">
        <v>1070</v>
      </c>
      <c r="Y102" t="s">
        <v>965</v>
      </c>
      <c r="Z102" s="43">
        <f>(1/(2*Z82))*2*Z79</f>
        <v>0.69754907654779874</v>
      </c>
      <c r="AC102" t="s">
        <v>1071</v>
      </c>
    </row>
    <row r="103" spans="1:29" x14ac:dyDescent="0.2">
      <c r="A103" t="s">
        <v>248</v>
      </c>
      <c r="B103" s="6">
        <f t="shared" ref="B103:G103" si="53">B23*B$96</f>
        <v>0</v>
      </c>
      <c r="C103" s="6">
        <f t="shared" si="53"/>
        <v>0</v>
      </c>
      <c r="D103" s="6">
        <f t="shared" si="53"/>
        <v>0</v>
      </c>
      <c r="E103" s="6">
        <f t="shared" si="53"/>
        <v>4.7731698640911232E-3</v>
      </c>
      <c r="F103" s="6">
        <f t="shared" si="53"/>
        <v>0</v>
      </c>
      <c r="G103" s="6">
        <f t="shared" si="53"/>
        <v>0</v>
      </c>
      <c r="H103" s="286"/>
      <c r="I103" s="6">
        <f>H23*I$96</f>
        <v>1.1572282226409157E-2</v>
      </c>
      <c r="J103" s="41">
        <f>I23*J$96</f>
        <v>1.6000000000000001E-3</v>
      </c>
      <c r="K103" s="41">
        <f>SUM(B103:J103)</f>
        <v>1.7945452090500282E-2</v>
      </c>
      <c r="L103" s="43">
        <f>K103/$K$104*($L$104-$L$102)</f>
        <v>8.4733226664561627</v>
      </c>
      <c r="N103" s="41"/>
      <c r="Y103" t="s">
        <v>966</v>
      </c>
      <c r="Z103">
        <v>1</v>
      </c>
      <c r="AC103" t="s">
        <v>1072</v>
      </c>
    </row>
    <row r="104" spans="1:29" ht="16" thickBot="1" x14ac:dyDescent="0.25">
      <c r="A104" s="200" t="s">
        <v>67</v>
      </c>
      <c r="B104" s="202">
        <f t="shared" ref="B104:G104" si="54">SUM(B97:B103)</f>
        <v>0</v>
      </c>
      <c r="C104" s="202">
        <f t="shared" si="54"/>
        <v>0</v>
      </c>
      <c r="D104" s="202">
        <f t="shared" si="54"/>
        <v>0</v>
      </c>
      <c r="E104" s="202">
        <f t="shared" si="54"/>
        <v>5.1822987095846478E-2</v>
      </c>
      <c r="F104" s="202">
        <f t="shared" si="54"/>
        <v>0</v>
      </c>
      <c r="G104" s="202">
        <f t="shared" si="54"/>
        <v>0</v>
      </c>
      <c r="I104" s="202">
        <f>SUM(I97:I103)</f>
        <v>3.1410480328824854E-2</v>
      </c>
      <c r="J104" s="202">
        <f>SUM(J97:J103)</f>
        <v>5.5999999999999999E-3</v>
      </c>
      <c r="K104" s="202">
        <f>SUM(K97:K103)</f>
        <v>8.8833467424671325E-2</v>
      </c>
      <c r="L104" s="447">
        <f>'Yearly Demand - BTX'!N16</f>
        <v>41.944590154283411</v>
      </c>
      <c r="Y104" t="s">
        <v>969</v>
      </c>
      <c r="Z104" s="441">
        <f>Z101*Z102*Z103</f>
        <v>0.37216866070391447</v>
      </c>
    </row>
    <row r="105" spans="1:29" ht="16" thickTop="1" x14ac:dyDescent="0.2">
      <c r="E105" s="271"/>
      <c r="L105" s="43">
        <f>SUM(L97:L103)</f>
        <v>41.944590154283411</v>
      </c>
      <c r="N105" s="23"/>
    </row>
    <row r="106" spans="1:29" x14ac:dyDescent="0.2">
      <c r="N106" s="23"/>
      <c r="Y106" t="s">
        <v>1073</v>
      </c>
      <c r="Z106" s="451">
        <v>1.772842341876246</v>
      </c>
    </row>
    <row r="107" spans="1:29" x14ac:dyDescent="0.2">
      <c r="B107" s="8"/>
      <c r="C107" s="163"/>
      <c r="D107" s="294"/>
      <c r="E107" s="163"/>
      <c r="M107" s="3"/>
      <c r="N107" s="448"/>
      <c r="Y107" t="s">
        <v>1074</v>
      </c>
      <c r="Z107" s="43">
        <f>(1/Z83)*Z74</f>
        <v>0.32002557008300286</v>
      </c>
      <c r="AC107" t="s">
        <v>1075</v>
      </c>
    </row>
    <row r="108" spans="1:29" ht="16" thickBot="1" x14ac:dyDescent="0.25">
      <c r="Y108" t="s">
        <v>1076</v>
      </c>
      <c r="Z108" s="43">
        <v>1</v>
      </c>
      <c r="AC108" t="s">
        <v>1077</v>
      </c>
    </row>
    <row r="109" spans="1:29" ht="17" thickBot="1" x14ac:dyDescent="0.25">
      <c r="B109" s="200" t="s">
        <v>744</v>
      </c>
      <c r="C109" s="200" t="s">
        <v>472</v>
      </c>
      <c r="D109" s="200" t="s">
        <v>477</v>
      </c>
      <c r="E109" s="200" t="s">
        <v>478</v>
      </c>
      <c r="F109" s="200" t="s">
        <v>480</v>
      </c>
      <c r="G109" s="200" t="s">
        <v>474</v>
      </c>
      <c r="H109" s="1" t="s">
        <v>676</v>
      </c>
      <c r="I109" s="149" t="s">
        <v>745</v>
      </c>
      <c r="J109" s="147" t="s">
        <v>192</v>
      </c>
      <c r="K109" s="147" t="s">
        <v>67</v>
      </c>
      <c r="L109" s="444" t="s">
        <v>1078</v>
      </c>
      <c r="Y109" t="s">
        <v>1079</v>
      </c>
      <c r="Z109" s="441">
        <f>Z107*Z108</f>
        <v>0.32002557008300286</v>
      </c>
    </row>
    <row r="110" spans="1:29" ht="16" thickTop="1" x14ac:dyDescent="0.2">
      <c r="A110" s="58" t="s">
        <v>1080</v>
      </c>
      <c r="B110" s="55">
        <v>0</v>
      </c>
      <c r="C110" s="55">
        <v>0</v>
      </c>
      <c r="D110" s="55">
        <v>0</v>
      </c>
      <c r="E110" s="55">
        <f>'Demand Breakdown - BTX'!K5*2/3*'Demand Breakdown - BTX'!E17*'Demand Breakdown - BTX'!E33</f>
        <v>5.3967647447898864E-2</v>
      </c>
      <c r="F110" s="55">
        <v>0</v>
      </c>
      <c r="G110" s="528">
        <f>'Demand Breakdown - BTX'!K5*1/3*SUM('Demand Breakdown - BTX'!U9:U10)*'Demand Breakdown - BTX'!R18</f>
        <v>6.1398057097631083E-2</v>
      </c>
      <c r="H110" s="528">
        <f>'Demand Breakdown - BTX'!K5*1/3*SUM('Demand Breakdown - BTX'!U9:U10)*'Demand Breakdown - BTX'!R18</f>
        <v>6.1398057097631083E-2</v>
      </c>
      <c r="I110" s="568">
        <f>'Demand Breakdown - BTX'!H37*'Demand Breakdown - BTX'!L12/('Demand Breakdown - BTX'!D28+'Demand Breakdown - BTX'!L12)+'Demand Breakdown - BTX'!K5*2/3*'Demand Breakdown - BTX'!E28*'Demand Breakdown - BTX'!D37*'Demand Breakdown - BTX'!L12/('Demand Breakdown - BTX'!D28+'Demand Breakdown - BTX'!L12)</f>
        <v>0.16636063165230416</v>
      </c>
      <c r="J110" s="567">
        <v>0.05</v>
      </c>
      <c r="N110" s="1"/>
      <c r="Z110" s="43"/>
    </row>
    <row r="111" spans="1:29" x14ac:dyDescent="0.2">
      <c r="A111" t="s">
        <v>309</v>
      </c>
      <c r="B111" s="201">
        <f t="shared" ref="B111:G115" si="55">B18*B$110</f>
        <v>0</v>
      </c>
      <c r="C111" s="201">
        <f t="shared" si="55"/>
        <v>0</v>
      </c>
      <c r="D111" s="201">
        <f t="shared" si="55"/>
        <v>0</v>
      </c>
      <c r="E111" s="201">
        <f t="shared" si="55"/>
        <v>1.2412558913016739E-3</v>
      </c>
      <c r="F111" s="201">
        <f t="shared" si="55"/>
        <v>0</v>
      </c>
      <c r="G111" s="201">
        <f t="shared" si="55"/>
        <v>6.2012037668607396E-3</v>
      </c>
      <c r="H111" s="572"/>
      <c r="I111" s="201">
        <f t="shared" ref="I111:J115" si="56">H18*I$110</f>
        <v>3.3272126330460833E-4</v>
      </c>
      <c r="J111" s="201">
        <f t="shared" si="56"/>
        <v>5.0000000000000002E-5</v>
      </c>
      <c r="K111" s="41">
        <f>SUM(B111:J111)</f>
        <v>7.8251809214670218E-3</v>
      </c>
      <c r="L111" s="43">
        <f>K111/$K$118*($L$118-$L$116)</f>
        <v>3.690958960657742</v>
      </c>
      <c r="M111" s="2">
        <f>L111/$L$118</f>
        <v>0.27157406848825871</v>
      </c>
      <c r="N111" s="41"/>
      <c r="Y111" t="s">
        <v>1081</v>
      </c>
      <c r="Z111" s="451">
        <v>3.8059547535955658</v>
      </c>
    </row>
    <row r="112" spans="1:29" x14ac:dyDescent="0.2">
      <c r="A112" t="s">
        <v>310</v>
      </c>
      <c r="B112" s="168">
        <f t="shared" si="55"/>
        <v>0</v>
      </c>
      <c r="C112" s="168">
        <f t="shared" si="55"/>
        <v>0</v>
      </c>
      <c r="D112" s="168">
        <f t="shared" si="55"/>
        <v>0</v>
      </c>
      <c r="E112" s="168">
        <f t="shared" si="55"/>
        <v>1.1872882438537749E-3</v>
      </c>
      <c r="F112" s="168">
        <f t="shared" si="55"/>
        <v>0</v>
      </c>
      <c r="G112" s="168">
        <f t="shared" si="55"/>
        <v>0</v>
      </c>
      <c r="H112" s="214"/>
      <c r="I112" s="168">
        <f t="shared" si="56"/>
        <v>3.9926551596552997E-3</v>
      </c>
      <c r="J112" s="168">
        <f t="shared" si="56"/>
        <v>2.5000000000000001E-4</v>
      </c>
      <c r="K112" s="41">
        <f>SUM(B112:J112)</f>
        <v>5.4299434035090747E-3</v>
      </c>
      <c r="L112" s="43">
        <f>K112/$K$118*($L$118-$L$116)</f>
        <v>2.5611801774531888</v>
      </c>
      <c r="M112" s="2">
        <f t="shared" ref="M112:M117" si="57">L112/$L$118</f>
        <v>0.1884469939482864</v>
      </c>
      <c r="N112" s="41"/>
      <c r="Y112" t="s">
        <v>1061</v>
      </c>
      <c r="Z112" s="43">
        <f>(1/(Z73))*(Z74)</f>
        <v>1.0670752014920402</v>
      </c>
    </row>
    <row r="113" spans="1:29" x14ac:dyDescent="0.2">
      <c r="A113" t="s">
        <v>311</v>
      </c>
      <c r="B113" s="168">
        <f t="shared" si="55"/>
        <v>0</v>
      </c>
      <c r="C113" s="168">
        <f t="shared" si="55"/>
        <v>0</v>
      </c>
      <c r="D113" s="168">
        <f t="shared" si="55"/>
        <v>0</v>
      </c>
      <c r="E113" s="168">
        <f t="shared" si="55"/>
        <v>0</v>
      </c>
      <c r="F113" s="168">
        <f t="shared" si="55"/>
        <v>0</v>
      </c>
      <c r="G113" s="168">
        <f t="shared" si="55"/>
        <v>0</v>
      </c>
      <c r="H113" s="286"/>
      <c r="I113" s="168">
        <f t="shared" si="56"/>
        <v>1.3308850532184333E-3</v>
      </c>
      <c r="J113" s="168">
        <f t="shared" si="56"/>
        <v>1.1000000000000001E-3</v>
      </c>
      <c r="K113" s="41">
        <f>SUM(B113:J113)</f>
        <v>2.4308850532184334E-3</v>
      </c>
      <c r="L113" s="43">
        <f>K113/$K$118*($L$118-$L$116)</f>
        <v>1.1465929107008392</v>
      </c>
      <c r="M113" s="2">
        <f t="shared" si="57"/>
        <v>8.4364227556551249E-2</v>
      </c>
      <c r="N113" s="41"/>
      <c r="Y113" t="s">
        <v>1082</v>
      </c>
      <c r="Z113" s="43">
        <f>(1/(2*Z84+2*Z73-Z78))*2*Z73</f>
        <v>0.26078724291272931</v>
      </c>
    </row>
    <row r="114" spans="1:29" x14ac:dyDescent="0.2">
      <c r="A114" t="s">
        <v>312</v>
      </c>
      <c r="B114" s="168">
        <f t="shared" si="55"/>
        <v>0</v>
      </c>
      <c r="C114" s="168">
        <f t="shared" si="55"/>
        <v>0</v>
      </c>
      <c r="D114" s="168">
        <f t="shared" si="55"/>
        <v>0</v>
      </c>
      <c r="E114" s="168">
        <f t="shared" si="55"/>
        <v>3.238058846873932E-4</v>
      </c>
      <c r="F114" s="168">
        <f t="shared" si="55"/>
        <v>0</v>
      </c>
      <c r="G114" s="168">
        <f t="shared" si="55"/>
        <v>0</v>
      </c>
      <c r="H114" s="286"/>
      <c r="I114" s="168">
        <f t="shared" si="56"/>
        <v>6.6544252660921666E-4</v>
      </c>
      <c r="J114" s="168">
        <f t="shared" si="56"/>
        <v>5.0000000000000001E-4</v>
      </c>
      <c r="K114" s="41">
        <f>SUM(B114:J114)</f>
        <v>1.4892484112966099E-3</v>
      </c>
      <c r="L114" s="43">
        <f>K114/$K$118*($L$118-$L$116)</f>
        <v>0.7024444320822204</v>
      </c>
      <c r="M114" s="2">
        <f t="shared" si="57"/>
        <v>5.1684587756428972E-2</v>
      </c>
      <c r="N114" s="41"/>
      <c r="Y114" t="s">
        <v>1083</v>
      </c>
      <c r="Z114" s="441">
        <f>Z112*Z113</f>
        <v>0.27827959977765426</v>
      </c>
    </row>
    <row r="115" spans="1:29" x14ac:dyDescent="0.2">
      <c r="A115" t="s">
        <v>746</v>
      </c>
      <c r="B115" s="41">
        <f t="shared" si="55"/>
        <v>0</v>
      </c>
      <c r="C115" s="41">
        <f t="shared" si="55"/>
        <v>0</v>
      </c>
      <c r="D115" s="41">
        <f t="shared" si="55"/>
        <v>0</v>
      </c>
      <c r="E115" s="41">
        <f t="shared" si="55"/>
        <v>9.7141765406217944E-4</v>
      </c>
      <c r="F115" s="41">
        <f t="shared" si="55"/>
        <v>0</v>
      </c>
      <c r="G115" s="41">
        <f t="shared" si="55"/>
        <v>0</v>
      </c>
      <c r="H115" s="286"/>
      <c r="I115" s="41">
        <f t="shared" si="56"/>
        <v>1.6636063165230417E-3</v>
      </c>
      <c r="J115" s="41">
        <f t="shared" si="56"/>
        <v>1E-4</v>
      </c>
      <c r="K115" s="41">
        <f>SUM(B115:J115)</f>
        <v>2.7350239705852208E-3</v>
      </c>
      <c r="L115" s="43">
        <f>K115/$K$118*($L$118-$L$116)</f>
        <v>1.2900482855484838</v>
      </c>
      <c r="M115" s="2">
        <f t="shared" si="57"/>
        <v>9.4919413948258105E-2</v>
      </c>
      <c r="N115" s="41"/>
      <c r="Z115" s="43"/>
    </row>
    <row r="116" spans="1:29" x14ac:dyDescent="0.2">
      <c r="A116" t="s">
        <v>320</v>
      </c>
      <c r="B116" s="41">
        <v>0</v>
      </c>
      <c r="C116" s="41">
        <v>0</v>
      </c>
      <c r="D116" s="41">
        <v>0</v>
      </c>
      <c r="E116" s="41">
        <v>0</v>
      </c>
      <c r="F116" s="41">
        <v>0</v>
      </c>
      <c r="G116" s="41">
        <v>0</v>
      </c>
      <c r="H116" s="286"/>
      <c r="I116" s="41">
        <v>0</v>
      </c>
      <c r="J116" s="41">
        <v>0</v>
      </c>
      <c r="K116" s="41"/>
      <c r="L116" s="569">
        <f>M22*H110*0.5</f>
        <v>1.4471127044065453</v>
      </c>
      <c r="M116" s="2">
        <f t="shared" si="57"/>
        <v>0.10647592912458143</v>
      </c>
      <c r="N116" t="s">
        <v>1084</v>
      </c>
      <c r="Y116" t="s">
        <v>1085</v>
      </c>
      <c r="Z116" s="454">
        <v>9.0391425397894682</v>
      </c>
      <c r="AC116" t="s">
        <v>1071</v>
      </c>
    </row>
    <row r="117" spans="1:29" x14ac:dyDescent="0.2">
      <c r="A117" t="s">
        <v>248</v>
      </c>
      <c r="B117" s="168">
        <f t="shared" ref="B117:G117" si="58">B23*B$110</f>
        <v>0</v>
      </c>
      <c r="C117" s="168">
        <f t="shared" si="58"/>
        <v>0</v>
      </c>
      <c r="D117" s="168">
        <f t="shared" si="58"/>
        <v>0</v>
      </c>
      <c r="E117" s="168">
        <f t="shared" si="58"/>
        <v>3.7777353213529208E-4</v>
      </c>
      <c r="F117" s="168">
        <f t="shared" si="58"/>
        <v>0</v>
      </c>
      <c r="G117" s="168">
        <f t="shared" si="58"/>
        <v>0</v>
      </c>
      <c r="H117" s="286"/>
      <c r="I117" s="168">
        <f>H23*I$110</f>
        <v>4.6580976862645165E-3</v>
      </c>
      <c r="J117" s="168">
        <f>I23*J$110</f>
        <v>8.0000000000000004E-4</v>
      </c>
      <c r="K117" s="41">
        <f>SUM(B117:J117)</f>
        <v>5.8358712183998089E-3</v>
      </c>
      <c r="L117" s="43">
        <f>K117/$K$118*($L$118-$L$116)</f>
        <v>2.7526470484159993</v>
      </c>
      <c r="M117" s="2">
        <f t="shared" si="57"/>
        <v>0.20253477917763524</v>
      </c>
      <c r="N117" s="41"/>
      <c r="Y117" t="s">
        <v>1086</v>
      </c>
      <c r="Z117" s="43">
        <f>1/(((Z85+Z73)+(Z85+2*Z73))/2)*1.5*Z73</f>
        <v>0.42855511679908653</v>
      </c>
      <c r="AC117" t="s">
        <v>1072</v>
      </c>
    </row>
    <row r="118" spans="1:29" ht="16" thickBot="1" x14ac:dyDescent="0.25">
      <c r="A118" s="200" t="s">
        <v>67</v>
      </c>
      <c r="B118" s="202">
        <f t="shared" ref="B118:G118" si="59">SUM(B111:B117)</f>
        <v>0</v>
      </c>
      <c r="C118" s="202">
        <f t="shared" si="59"/>
        <v>0</v>
      </c>
      <c r="D118" s="202">
        <f t="shared" si="59"/>
        <v>0</v>
      </c>
      <c r="E118" s="202">
        <f t="shared" si="59"/>
        <v>4.1015412060403135E-3</v>
      </c>
      <c r="F118" s="202">
        <f t="shared" si="59"/>
        <v>0</v>
      </c>
      <c r="G118" s="202">
        <f t="shared" si="59"/>
        <v>6.2012037668607396E-3</v>
      </c>
      <c r="H118" s="41">
        <f>K116</f>
        <v>0</v>
      </c>
      <c r="I118" s="202">
        <f>SUM(I111:I117)</f>
        <v>1.2643408005575115E-2</v>
      </c>
      <c r="J118" s="202">
        <f>SUM(J111:J117)</f>
        <v>2.8E-3</v>
      </c>
      <c r="K118" s="202">
        <f>SUM(K111:K117)</f>
        <v>2.5746152978476166E-2</v>
      </c>
      <c r="L118" s="447">
        <f>'Demand Breakdown - BTX'!M5+'Demand Breakdown - BTX'!M6+'Demand Breakdown - BTX'!M7</f>
        <v>13.590984519265017</v>
      </c>
      <c r="Y118" t="s">
        <v>1087</v>
      </c>
      <c r="Z118" s="43">
        <f>(1/((((Z85+Z73)+(Z85+2*Z73))/2)-Z78))*(((Z85+Z73)+(Z85+2*Z73))/2)</f>
        <v>1.2066708766289684</v>
      </c>
    </row>
    <row r="119" spans="1:29" ht="16" thickTop="1" x14ac:dyDescent="0.2">
      <c r="L119" s="43">
        <f>SUM(L111:L117)</f>
        <v>13.590984519265019</v>
      </c>
      <c r="M119" s="24"/>
      <c r="N119" s="23"/>
      <c r="Y119" t="s">
        <v>1088</v>
      </c>
      <c r="Z119" s="441">
        <f>Z117*Z118</f>
        <v>0.51712497847178374</v>
      </c>
    </row>
    <row r="120" spans="1:29" x14ac:dyDescent="0.2">
      <c r="N120" s="23"/>
    </row>
    <row r="121" spans="1:29" x14ac:dyDescent="0.2">
      <c r="B121" s="8"/>
      <c r="C121" s="163"/>
      <c r="D121" s="294"/>
      <c r="E121" s="163"/>
      <c r="M121" s="3"/>
      <c r="N121" s="448"/>
      <c r="Y121" t="s">
        <v>1089</v>
      </c>
      <c r="Z121" s="454">
        <v>4.9953156140941797</v>
      </c>
      <c r="AC121" t="s">
        <v>1075</v>
      </c>
    </row>
    <row r="122" spans="1:29" ht="16" thickBot="1" x14ac:dyDescent="0.25">
      <c r="Y122" t="s">
        <v>1090</v>
      </c>
      <c r="Z122" s="441">
        <f>Z119</f>
        <v>0.51712497847178374</v>
      </c>
      <c r="AA122" t="s">
        <v>1091</v>
      </c>
    </row>
    <row r="123" spans="1:29" ht="17" thickBot="1" x14ac:dyDescent="0.25">
      <c r="B123" s="200" t="s">
        <v>744</v>
      </c>
      <c r="C123" s="200" t="s">
        <v>472</v>
      </c>
      <c r="D123" s="200" t="s">
        <v>477</v>
      </c>
      <c r="E123" s="200" t="s">
        <v>478</v>
      </c>
      <c r="F123" s="200" t="s">
        <v>480</v>
      </c>
      <c r="G123" s="200" t="s">
        <v>474</v>
      </c>
      <c r="H123" s="1" t="s">
        <v>676</v>
      </c>
      <c r="I123" s="149" t="s">
        <v>745</v>
      </c>
      <c r="J123" s="147" t="s">
        <v>192</v>
      </c>
      <c r="K123" s="147" t="s">
        <v>67</v>
      </c>
      <c r="L123" s="444" t="s">
        <v>1092</v>
      </c>
      <c r="Z123" s="43"/>
    </row>
    <row r="124" spans="1:29" ht="16" thickTop="1" x14ac:dyDescent="0.2">
      <c r="A124" s="58" t="s">
        <v>1093</v>
      </c>
      <c r="B124" s="55">
        <v>0</v>
      </c>
      <c r="C124" s="55">
        <v>0</v>
      </c>
      <c r="D124" s="55">
        <v>0</v>
      </c>
      <c r="E124" s="55">
        <v>0</v>
      </c>
      <c r="F124" s="55">
        <v>0</v>
      </c>
      <c r="G124" s="445">
        <f>'Demand Breakdown - BTX'!R18-G110</f>
        <v>0.49068527623570229</v>
      </c>
      <c r="H124" s="445">
        <f>'Demand Breakdown - BTX'!R18-H110</f>
        <v>0.49068527623570229</v>
      </c>
      <c r="I124" s="528">
        <v>0</v>
      </c>
      <c r="J124" s="567">
        <v>0.05</v>
      </c>
      <c r="N124" s="1"/>
      <c r="Y124" t="s">
        <v>1094</v>
      </c>
      <c r="Z124" s="454">
        <v>1.9029773767977829</v>
      </c>
    </row>
    <row r="125" spans="1:29" x14ac:dyDescent="0.2">
      <c r="A125" t="s">
        <v>309</v>
      </c>
      <c r="B125" s="449">
        <f t="shared" ref="B125:G129" si="60">B18*B$124</f>
        <v>0</v>
      </c>
      <c r="C125" s="449">
        <f t="shared" si="60"/>
        <v>0</v>
      </c>
      <c r="D125" s="449">
        <f t="shared" si="60"/>
        <v>0</v>
      </c>
      <c r="E125" s="449">
        <f t="shared" si="60"/>
        <v>0</v>
      </c>
      <c r="F125" s="449">
        <f t="shared" si="60"/>
        <v>0</v>
      </c>
      <c r="G125" s="573">
        <f t="shared" si="60"/>
        <v>4.9559212899805936E-2</v>
      </c>
      <c r="H125" s="574"/>
      <c r="I125" s="573">
        <f t="shared" ref="I125:J129" si="61">H18*I$124</f>
        <v>0</v>
      </c>
      <c r="J125" s="573">
        <f t="shared" si="61"/>
        <v>5.0000000000000002E-5</v>
      </c>
      <c r="K125" s="41">
        <f>SUM(B125:J125)</f>
        <v>4.9609212899805938E-2</v>
      </c>
      <c r="L125" s="43">
        <f>K125/$K$132*($L$132-$L$130)</f>
        <v>33.557300929497657</v>
      </c>
      <c r="N125" s="41"/>
      <c r="Y125" t="s">
        <v>1061</v>
      </c>
      <c r="Z125" s="43">
        <f>(1/(Z73))*(Z74)</f>
        <v>1.0670752014920402</v>
      </c>
    </row>
    <row r="126" spans="1:29" x14ac:dyDescent="0.2">
      <c r="A126" t="s">
        <v>310</v>
      </c>
      <c r="B126" s="169">
        <f t="shared" si="60"/>
        <v>0</v>
      </c>
      <c r="C126" s="169">
        <f t="shared" si="60"/>
        <v>0</v>
      </c>
      <c r="D126" s="169">
        <f t="shared" si="60"/>
        <v>0</v>
      </c>
      <c r="E126" s="169">
        <f t="shared" si="60"/>
        <v>0</v>
      </c>
      <c r="F126" s="169">
        <f t="shared" si="60"/>
        <v>0</v>
      </c>
      <c r="G126" s="293">
        <f t="shared" si="60"/>
        <v>0</v>
      </c>
      <c r="H126" s="420"/>
      <c r="I126" s="293">
        <f t="shared" si="61"/>
        <v>0</v>
      </c>
      <c r="J126" s="293">
        <f t="shared" si="61"/>
        <v>2.5000000000000001E-4</v>
      </c>
      <c r="K126" s="41">
        <f>SUM(B126:J126)</f>
        <v>2.5000000000000001E-4</v>
      </c>
      <c r="L126" s="43">
        <f t="shared" ref="L126:L129" si="62">K126/$K$132*($L$132-$L$130)</f>
        <v>0.16910821079379051</v>
      </c>
      <c r="N126" s="41"/>
      <c r="Y126" t="s">
        <v>1095</v>
      </c>
      <c r="Z126">
        <v>1</v>
      </c>
    </row>
    <row r="127" spans="1:29" x14ac:dyDescent="0.2">
      <c r="A127" t="s">
        <v>311</v>
      </c>
      <c r="B127" s="169">
        <f t="shared" si="60"/>
        <v>0</v>
      </c>
      <c r="C127" s="169">
        <f t="shared" si="60"/>
        <v>0</v>
      </c>
      <c r="D127" s="169">
        <f t="shared" si="60"/>
        <v>0</v>
      </c>
      <c r="E127" s="169">
        <f t="shared" si="60"/>
        <v>0</v>
      </c>
      <c r="F127" s="169">
        <f t="shared" si="60"/>
        <v>0</v>
      </c>
      <c r="G127" s="293">
        <f t="shared" si="60"/>
        <v>0</v>
      </c>
      <c r="H127" s="76"/>
      <c r="I127" s="293">
        <f t="shared" si="61"/>
        <v>0</v>
      </c>
      <c r="J127" s="293">
        <f t="shared" si="61"/>
        <v>1.1000000000000001E-3</v>
      </c>
      <c r="K127" s="41">
        <f>SUM(B127:J127)</f>
        <v>1.1000000000000001E-3</v>
      </c>
      <c r="L127" s="43">
        <f t="shared" si="62"/>
        <v>0.74407612749267826</v>
      </c>
      <c r="N127" s="41"/>
      <c r="Y127" t="s">
        <v>1088</v>
      </c>
      <c r="Z127" s="441">
        <f>Z125*Z126</f>
        <v>1.0670752014920402</v>
      </c>
    </row>
    <row r="128" spans="1:29" x14ac:dyDescent="0.2">
      <c r="A128" t="s">
        <v>312</v>
      </c>
      <c r="B128" s="169">
        <f t="shared" si="60"/>
        <v>0</v>
      </c>
      <c r="C128" s="169">
        <f t="shared" si="60"/>
        <v>0</v>
      </c>
      <c r="D128" s="169">
        <f t="shared" si="60"/>
        <v>0</v>
      </c>
      <c r="E128" s="169">
        <f t="shared" si="60"/>
        <v>0</v>
      </c>
      <c r="F128" s="169">
        <f t="shared" si="60"/>
        <v>0</v>
      </c>
      <c r="G128" s="293">
        <f t="shared" si="60"/>
        <v>0</v>
      </c>
      <c r="H128" s="76"/>
      <c r="I128" s="293">
        <f t="shared" si="61"/>
        <v>0</v>
      </c>
      <c r="J128" s="293">
        <f t="shared" si="61"/>
        <v>5.0000000000000001E-4</v>
      </c>
      <c r="K128" s="41">
        <f>SUM(B128:J128)</f>
        <v>5.0000000000000001E-4</v>
      </c>
      <c r="L128" s="43">
        <f t="shared" si="62"/>
        <v>0.33821642158758103</v>
      </c>
      <c r="N128" s="41"/>
      <c r="Z128" s="43"/>
    </row>
    <row r="129" spans="1:29" x14ac:dyDescent="0.2">
      <c r="A129" t="s">
        <v>746</v>
      </c>
      <c r="B129" s="6">
        <f t="shared" si="60"/>
        <v>0</v>
      </c>
      <c r="C129" s="6">
        <f t="shared" si="60"/>
        <v>0</v>
      </c>
      <c r="D129" s="6">
        <f t="shared" si="60"/>
        <v>0</v>
      </c>
      <c r="E129" s="6">
        <f t="shared" si="60"/>
        <v>0</v>
      </c>
      <c r="F129" s="6">
        <f t="shared" si="60"/>
        <v>0</v>
      </c>
      <c r="G129" s="384">
        <f t="shared" si="60"/>
        <v>0</v>
      </c>
      <c r="H129" s="76"/>
      <c r="I129" s="384">
        <f t="shared" si="61"/>
        <v>0</v>
      </c>
      <c r="J129" s="384">
        <f t="shared" si="61"/>
        <v>1E-4</v>
      </c>
      <c r="K129" s="41">
        <f>SUM(B129:J129)</f>
        <v>1E-4</v>
      </c>
      <c r="L129" s="43">
        <f t="shared" si="62"/>
        <v>6.7643284317516206E-2</v>
      </c>
      <c r="N129" s="41"/>
      <c r="Y129" s="452" t="s">
        <v>1096</v>
      </c>
      <c r="Z129" s="455">
        <f>(Z100*Z104+Z106*Z109+Z111*Z114+Z116*Z119+Z121*Z122+Z124*Z127)/SUM(Z100,Z106,Z111,Z116,Z121,Z124)</f>
        <v>0.5009063728840607</v>
      </c>
    </row>
    <row r="130" spans="1:29" x14ac:dyDescent="0.2">
      <c r="A130" t="s">
        <v>320</v>
      </c>
      <c r="B130" s="6">
        <v>0</v>
      </c>
      <c r="C130" s="6">
        <v>0</v>
      </c>
      <c r="D130" s="6">
        <v>0</v>
      </c>
      <c r="E130" s="6">
        <v>0</v>
      </c>
      <c r="F130" s="6">
        <v>0</v>
      </c>
      <c r="G130" s="384">
        <v>0</v>
      </c>
      <c r="H130" s="384"/>
      <c r="I130" s="384">
        <v>0</v>
      </c>
      <c r="J130" s="384">
        <v>0</v>
      </c>
      <c r="K130" s="41"/>
      <c r="L130" s="569">
        <f>M22*H124*0.5</f>
        <v>11.565136270954032</v>
      </c>
      <c r="M130" t="s">
        <v>1056</v>
      </c>
      <c r="AC130" t="s">
        <v>1071</v>
      </c>
    </row>
    <row r="131" spans="1:29" x14ac:dyDescent="0.2">
      <c r="A131" t="s">
        <v>248</v>
      </c>
      <c r="B131" s="169">
        <f t="shared" ref="B131:G131" si="63">B23*B$124</f>
        <v>0</v>
      </c>
      <c r="C131" s="169">
        <f t="shared" si="63"/>
        <v>0</v>
      </c>
      <c r="D131" s="169">
        <f t="shared" si="63"/>
        <v>0</v>
      </c>
      <c r="E131" s="169">
        <f t="shared" si="63"/>
        <v>0</v>
      </c>
      <c r="F131" s="169">
        <f t="shared" si="63"/>
        <v>0</v>
      </c>
      <c r="G131" s="293">
        <f t="shared" si="63"/>
        <v>0</v>
      </c>
      <c r="H131" s="76"/>
      <c r="I131" s="293">
        <f>H23*I$124</f>
        <v>0</v>
      </c>
      <c r="J131" s="293">
        <f>I23*J$124</f>
        <v>8.0000000000000004E-4</v>
      </c>
      <c r="K131" s="41">
        <f>SUM(B131:J131)</f>
        <v>8.0000000000000004E-4</v>
      </c>
      <c r="L131" s="43">
        <f>K131/$K$132*($L$132-$L$130)</f>
        <v>0.54114627454012965</v>
      </c>
      <c r="N131" s="41"/>
      <c r="Y131" s="280" t="s">
        <v>474</v>
      </c>
      <c r="AC131" t="s">
        <v>1072</v>
      </c>
    </row>
    <row r="132" spans="1:29" ht="16" thickBot="1" x14ac:dyDescent="0.25">
      <c r="A132" s="200" t="s">
        <v>67</v>
      </c>
      <c r="B132" s="202">
        <f t="shared" ref="B132:G132" si="64">SUM(B125:B131)</f>
        <v>0</v>
      </c>
      <c r="C132" s="202">
        <f t="shared" si="64"/>
        <v>0</v>
      </c>
      <c r="D132" s="202">
        <f t="shared" si="64"/>
        <v>0</v>
      </c>
      <c r="E132" s="202">
        <f t="shared" si="64"/>
        <v>0</v>
      </c>
      <c r="F132" s="202">
        <f t="shared" si="64"/>
        <v>0</v>
      </c>
      <c r="G132" s="202">
        <f t="shared" si="64"/>
        <v>4.9559212899805936E-2</v>
      </c>
      <c r="I132" s="202">
        <f>SUM(I125:I131)</f>
        <v>0</v>
      </c>
      <c r="J132" s="202">
        <f>SUM(J125:J131)</f>
        <v>2.8E-3</v>
      </c>
      <c r="K132" s="202">
        <f>SUM(K125:K131)</f>
        <v>5.235921289980594E-2</v>
      </c>
      <c r="L132" s="447">
        <f>'Yearly Demand - BTX'!N18</f>
        <v>46.982627519183382</v>
      </c>
      <c r="Y132" t="s">
        <v>1097</v>
      </c>
      <c r="Z132" s="451">
        <v>1.7838235854385778</v>
      </c>
    </row>
    <row r="133" spans="1:29" ht="16" thickTop="1" x14ac:dyDescent="0.2">
      <c r="L133" s="43">
        <f>SUM(L125:L131)</f>
        <v>46.982627519183389</v>
      </c>
      <c r="N133" s="23"/>
    </row>
    <row r="134" spans="1:29" x14ac:dyDescent="0.2">
      <c r="N134" s="23"/>
      <c r="Y134" t="s">
        <v>1098</v>
      </c>
    </row>
    <row r="135" spans="1:29" x14ac:dyDescent="0.2">
      <c r="B135" s="8"/>
      <c r="C135" s="163"/>
      <c r="D135" s="294"/>
      <c r="E135" s="163"/>
      <c r="M135" s="3"/>
      <c r="N135" s="448"/>
      <c r="Y135" t="s">
        <v>1099</v>
      </c>
      <c r="Z135" s="440">
        <f>(1/Z79)*Z74</f>
        <v>0.53353760074602008</v>
      </c>
      <c r="AC135" t="s">
        <v>1075</v>
      </c>
    </row>
    <row r="136" spans="1:29" x14ac:dyDescent="0.2">
      <c r="Y136" t="s">
        <v>1100</v>
      </c>
      <c r="Z136">
        <v>0.05</v>
      </c>
      <c r="AB136" t="s">
        <v>1101</v>
      </c>
      <c r="AC136" t="s">
        <v>1102</v>
      </c>
    </row>
    <row r="137" spans="1:29" x14ac:dyDescent="0.2">
      <c r="Y137" t="s">
        <v>1103</v>
      </c>
      <c r="Z137" s="43">
        <f>1/(Z80+Z77-Z78)*Z80</f>
        <v>0.7903445257419055</v>
      </c>
    </row>
    <row r="138" spans="1:29" x14ac:dyDescent="0.2">
      <c r="Y138" s="452" t="s">
        <v>1104</v>
      </c>
      <c r="Z138" s="453">
        <f>Z135*Z136*Z137</f>
        <v>2.1083926101354369E-2</v>
      </c>
    </row>
    <row r="140" spans="1:29" x14ac:dyDescent="0.2">
      <c r="Y140" t="s">
        <v>1105</v>
      </c>
    </row>
    <row r="141" spans="1:29" x14ac:dyDescent="0.2">
      <c r="Y141" t="s">
        <v>1106</v>
      </c>
      <c r="Z141" s="43">
        <f>(1/Z81)*2*Z74</f>
        <v>0.32998609609145679</v>
      </c>
      <c r="AB141" t="s">
        <v>1107</v>
      </c>
    </row>
    <row r="142" spans="1:29" x14ac:dyDescent="0.2">
      <c r="Y142" t="s">
        <v>866</v>
      </c>
      <c r="Z142" s="43">
        <f>1/(Z81+Z77-Z74)*Z81</f>
        <v>0.86606903933636603</v>
      </c>
    </row>
    <row r="143" spans="1:29" x14ac:dyDescent="0.2">
      <c r="Y143" s="452" t="s">
        <v>1104</v>
      </c>
      <c r="Z143" s="43">
        <f>Z141*Z142</f>
        <v>0.28579074123628573</v>
      </c>
    </row>
    <row r="145" spans="25:26" x14ac:dyDescent="0.2">
      <c r="Y145" s="452" t="s">
        <v>1108</v>
      </c>
      <c r="Z145" s="455">
        <v>0.14994870642753136</v>
      </c>
    </row>
    <row r="147" spans="25:26" x14ac:dyDescent="0.2">
      <c r="Y147" s="69" t="s">
        <v>1109</v>
      </c>
      <c r="Z147" s="516">
        <f>Z132/(G13*L14)</f>
        <v>4.1295053450461215E-2</v>
      </c>
    </row>
    <row r="148" spans="25:26" x14ac:dyDescent="0.2">
      <c r="Z148" s="2">
        <f>Z132/Z145/(G13*L14)</f>
        <v>0.27539452946477189</v>
      </c>
    </row>
  </sheetData>
  <hyperlinks>
    <hyperlink ref="A3" r:id="rId1" xr:uid="{2BE56415-4B42-4F40-B9F6-22F9089C1142}"/>
  </hyperlinks>
  <pageMargins left="0.7" right="0.7" top="0.75" bottom="0.75" header="0.3" footer="0.3"/>
  <pageSetup paperSize="9" orientation="portrait" r:id="rId2"/>
  <drawing r:id="rId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DCB81-6641-4927-B20B-B69DEB37C8E8}">
  <sheetPr>
    <tabColor rgb="FFFF0000"/>
  </sheetPr>
  <dimension ref="A1:AM32"/>
  <sheetViews>
    <sheetView workbookViewId="0">
      <selection activeCell="E14" sqref="E14"/>
    </sheetView>
  </sheetViews>
  <sheetFormatPr baseColWidth="10" defaultColWidth="8.83203125" defaultRowHeight="15" x14ac:dyDescent="0.2"/>
  <cols>
    <col min="1" max="1" width="25.1640625" customWidth="1"/>
    <col min="2" max="2" width="12.83203125" bestFit="1" customWidth="1"/>
    <col min="3" max="3" width="14.1640625" bestFit="1" customWidth="1"/>
    <col min="4" max="8" width="14.1640625" customWidth="1"/>
    <col min="9" max="9" width="11.5" customWidth="1"/>
    <col min="10" max="13" width="14.1640625" customWidth="1"/>
    <col min="14" max="15" width="11.5" customWidth="1"/>
    <col min="19" max="19" width="17.5" customWidth="1"/>
    <col min="20" max="20" width="15.6640625" customWidth="1"/>
    <col min="21" max="21" width="17.83203125" customWidth="1"/>
    <col min="22" max="22" width="19.5" customWidth="1"/>
    <col min="25" max="25" width="13.5" customWidth="1"/>
    <col min="26" max="26" width="17.83203125" customWidth="1"/>
  </cols>
  <sheetData>
    <row r="1" spans="1:27" x14ac:dyDescent="0.2">
      <c r="A1" s="46" t="s">
        <v>1110</v>
      </c>
      <c r="B1" s="46"/>
      <c r="C1" s="46"/>
      <c r="D1" s="46"/>
      <c r="E1" s="46"/>
      <c r="F1" s="46"/>
      <c r="G1" s="46"/>
      <c r="H1" s="46"/>
      <c r="I1" s="46"/>
      <c r="J1" s="46"/>
      <c r="K1" s="46"/>
      <c r="L1" s="46"/>
      <c r="M1" s="46"/>
      <c r="N1" s="46"/>
      <c r="O1" s="1"/>
    </row>
    <row r="2" spans="1:27" ht="16" thickBot="1" x14ac:dyDescent="0.25">
      <c r="A2" s="45"/>
      <c r="B2" s="45" t="s">
        <v>1111</v>
      </c>
      <c r="C2" s="45" t="s">
        <v>1112</v>
      </c>
      <c r="D2" s="45" t="s">
        <v>1113</v>
      </c>
      <c r="E2" s="45" t="s">
        <v>1114</v>
      </c>
      <c r="F2" s="45" t="s">
        <v>1115</v>
      </c>
      <c r="G2" s="45" t="s">
        <v>1116</v>
      </c>
      <c r="H2" s="45" t="s">
        <v>1117</v>
      </c>
      <c r="I2" s="45" t="s">
        <v>5</v>
      </c>
      <c r="J2" s="45" t="s">
        <v>4</v>
      </c>
      <c r="K2" s="45" t="s">
        <v>6</v>
      </c>
      <c r="L2" s="45" t="s">
        <v>7</v>
      </c>
      <c r="M2" s="45" t="s">
        <v>8</v>
      </c>
      <c r="N2" s="45" t="s">
        <v>9</v>
      </c>
      <c r="O2" s="45" t="s">
        <v>766</v>
      </c>
      <c r="P2" t="s">
        <v>96</v>
      </c>
      <c r="S2" s="45" t="s">
        <v>1118</v>
      </c>
      <c r="T2" s="45" t="s">
        <v>1119</v>
      </c>
      <c r="U2" s="45" t="s">
        <v>1120</v>
      </c>
      <c r="V2" s="45" t="s">
        <v>1121</v>
      </c>
      <c r="Y2" s="45" t="s">
        <v>1119</v>
      </c>
      <c r="Z2" s="45" t="s">
        <v>1122</v>
      </c>
    </row>
    <row r="3" spans="1:27" x14ac:dyDescent="0.2">
      <c r="B3" t="s">
        <v>462</v>
      </c>
      <c r="C3" t="s">
        <v>462</v>
      </c>
      <c r="I3" t="s">
        <v>704</v>
      </c>
      <c r="J3" t="s">
        <v>704</v>
      </c>
      <c r="K3" t="s">
        <v>704</v>
      </c>
      <c r="L3" t="s">
        <v>704</v>
      </c>
      <c r="M3" t="s">
        <v>704</v>
      </c>
      <c r="N3" t="s">
        <v>704</v>
      </c>
      <c r="O3" t="s">
        <v>704</v>
      </c>
      <c r="S3" t="s">
        <v>462</v>
      </c>
      <c r="T3" t="s">
        <v>462</v>
      </c>
      <c r="U3" t="s">
        <v>462</v>
      </c>
      <c r="V3" t="s">
        <v>462</v>
      </c>
      <c r="Y3" t="s">
        <v>462</v>
      </c>
      <c r="Z3" t="s">
        <v>462</v>
      </c>
    </row>
    <row r="4" spans="1:27" x14ac:dyDescent="0.2">
      <c r="A4" t="s">
        <v>1</v>
      </c>
      <c r="I4" s="44">
        <f>'Demand Breakdown - Propylene'!K50+'Demand Breakdown - Propylene'!K54</f>
        <v>46.844581662413418</v>
      </c>
      <c r="J4" s="44">
        <f>'Demand Breakdown - Ethylene'!K63+'Demand Breakdown - Ethylene'!K67</f>
        <v>89.109936202323638</v>
      </c>
      <c r="K4" s="44">
        <f>'Demand - Industry shares'!L82+'Demand - Industry shares'!L86</f>
        <v>4.3918200345154137</v>
      </c>
      <c r="L4" s="44">
        <f>'Demand Breakdown - BTX'!K70</f>
        <v>7.8426966561118325</v>
      </c>
      <c r="M4" s="44">
        <f>'Demand Breakdown - BTX'!K80</f>
        <v>3.690958960657742</v>
      </c>
      <c r="N4" s="44">
        <f>'Demand Breakdown - BTX'!K90</f>
        <v>33.557300929497657</v>
      </c>
      <c r="O4" s="44">
        <f>'Demand Breakdown - C4'!I26</f>
        <v>1.5689729220366222</v>
      </c>
      <c r="P4" s="7"/>
    </row>
    <row r="5" spans="1:27" x14ac:dyDescent="0.2">
      <c r="A5" t="s">
        <v>1123</v>
      </c>
      <c r="B5" s="47">
        <f>C5</f>
        <v>1.4E-2</v>
      </c>
      <c r="C5" s="47">
        <f>'Demand Breakdown - Ethylene'!L63</f>
        <v>1.4E-2</v>
      </c>
      <c r="D5" s="47">
        <f>'Demand Breakdown - Methanol'!N37</f>
        <v>1.4E-2</v>
      </c>
      <c r="E5" s="47">
        <v>1.0999999999999999E-2</v>
      </c>
      <c r="F5" s="47">
        <v>1.0999999999999999E-2</v>
      </c>
      <c r="G5" s="47">
        <v>1.0999999999999999E-2</v>
      </c>
      <c r="H5" s="47">
        <f>'Demand Breakdown - C4'!K26</f>
        <v>1.429032820306686E-2</v>
      </c>
      <c r="I5" s="44">
        <f>I4*(1+C5)^30-I4</f>
        <v>24.243699703660326</v>
      </c>
      <c r="J5" s="44">
        <f>J4*(1+C5)^30-J4</f>
        <v>46.117490160764163</v>
      </c>
      <c r="K5" s="44">
        <f>K4*(1+D5)^30-K4</f>
        <v>2.2729195627493901</v>
      </c>
      <c r="L5" s="44">
        <f>L4*(1+E5)^30-L4</f>
        <v>3.0466064134331559</v>
      </c>
      <c r="M5" s="44">
        <f>M4*(1+E5)^30-M4</f>
        <v>1.4338051991970486</v>
      </c>
      <c r="N5" s="44">
        <f>N4*(1+E5)^30-N4</f>
        <v>13.03580805329775</v>
      </c>
      <c r="O5" s="44">
        <f>'Demand Breakdown - C4'!L26-'Demand Breakdown - C4'!I26</f>
        <v>0.83253474068831945</v>
      </c>
      <c r="P5" s="7" t="s">
        <v>1124</v>
      </c>
      <c r="S5" s="47"/>
      <c r="T5" s="47"/>
      <c r="U5" s="47"/>
      <c r="V5" s="47"/>
      <c r="Y5" s="47"/>
      <c r="Z5" s="47"/>
    </row>
    <row r="6" spans="1:27" x14ac:dyDescent="0.2">
      <c r="A6" t="s">
        <v>1125</v>
      </c>
      <c r="I6" s="44">
        <f>SUM(I4:I5)</f>
        <v>71.088281366073744</v>
      </c>
      <c r="J6" s="44">
        <f>SUM(J4:J5)</f>
        <v>135.2274263630878</v>
      </c>
      <c r="K6" s="44">
        <f>SUM(K4:K5)</f>
        <v>6.6647395972648038</v>
      </c>
      <c r="L6" s="44">
        <f t="shared" ref="L6:O6" si="0">SUM(L4:L5)</f>
        <v>10.889303069544988</v>
      </c>
      <c r="M6" s="44">
        <f t="shared" si="0"/>
        <v>5.1247641598547906</v>
      </c>
      <c r="N6" s="44">
        <f t="shared" si="0"/>
        <v>46.593108982795407</v>
      </c>
      <c r="O6" s="44">
        <f t="shared" si="0"/>
        <v>2.4015076627249416</v>
      </c>
    </row>
    <row r="7" spans="1:27" ht="16" x14ac:dyDescent="0.2">
      <c r="A7" t="s">
        <v>25</v>
      </c>
      <c r="B7" s="680">
        <v>4.1000000000000002E-2</v>
      </c>
      <c r="C7" s="680">
        <v>0.126</v>
      </c>
      <c r="D7" s="680">
        <v>2.1999999999999999E-2</v>
      </c>
      <c r="E7" s="680">
        <v>0.13100000000000001</v>
      </c>
      <c r="F7" s="680">
        <v>0.112</v>
      </c>
      <c r="G7" s="680">
        <v>8.3000000000000004E-2</v>
      </c>
      <c r="H7" s="680">
        <f>C7</f>
        <v>0.126</v>
      </c>
      <c r="I7" s="49">
        <f>$I$6*B7</f>
        <v>2.9146195360090235</v>
      </c>
      <c r="J7" s="49">
        <f>$J$6*C7</f>
        <v>17.038655721749063</v>
      </c>
      <c r="K7" s="440">
        <f>$K$6*D7</f>
        <v>0.14662427113982568</v>
      </c>
      <c r="L7" s="440">
        <f>$L$6*E7</f>
        <v>1.4264987021103936</v>
      </c>
      <c r="M7" s="440">
        <f>$M$6*F7</f>
        <v>0.57397358590373659</v>
      </c>
      <c r="N7" s="440">
        <f>$N$6*G7</f>
        <v>3.8672280455720189</v>
      </c>
      <c r="O7" s="440">
        <f>$O$6*H7</f>
        <v>0.30258996550334266</v>
      </c>
      <c r="P7" s="7" t="s">
        <v>1124</v>
      </c>
      <c r="S7" s="57">
        <v>0.107</v>
      </c>
      <c r="T7" s="57">
        <v>4.0000000000000001E-3</v>
      </c>
      <c r="U7" s="57">
        <v>4.0000000000000001E-3</v>
      </c>
      <c r="V7" s="57">
        <v>1.0999999999999999E-2</v>
      </c>
      <c r="W7" s="41">
        <f>SUM(S7:V7)</f>
        <v>0.126</v>
      </c>
      <c r="Y7" s="57">
        <v>0.10199999999999999</v>
      </c>
      <c r="Z7" s="57">
        <v>3.5999999999999997E-2</v>
      </c>
      <c r="AA7" s="41">
        <f>SUM(Y7:Z7)</f>
        <v>0.13799999999999998</v>
      </c>
    </row>
    <row r="8" spans="1:27" ht="16" x14ac:dyDescent="0.2">
      <c r="A8" t="s">
        <v>1126</v>
      </c>
      <c r="B8" s="680">
        <v>0.122</v>
      </c>
      <c r="C8" s="680">
        <v>0.29199999999999998</v>
      </c>
      <c r="D8" s="680">
        <v>3.6999999999999998E-2</v>
      </c>
      <c r="E8" s="680">
        <v>0.151</v>
      </c>
      <c r="F8" s="680">
        <v>0.27100000000000002</v>
      </c>
      <c r="G8" s="680">
        <v>0.38800000000000001</v>
      </c>
      <c r="H8" s="680">
        <f t="shared" ref="H8:H10" si="1">C8</f>
        <v>0.29199999999999998</v>
      </c>
      <c r="I8" s="49">
        <f>$I$6*B8</f>
        <v>8.6727703266609968</v>
      </c>
      <c r="J8" s="49">
        <f>$J$6*C8</f>
        <v>39.486408498021639</v>
      </c>
      <c r="K8" s="440">
        <f>$K$6*D8</f>
        <v>0.24659536509879773</v>
      </c>
      <c r="L8" s="440">
        <f t="shared" ref="L8:L10" si="2">$L$6*E8</f>
        <v>1.6442847635012932</v>
      </c>
      <c r="M8" s="440">
        <f t="shared" ref="M8:M10" si="3">$M$6*F8</f>
        <v>1.3888110873206483</v>
      </c>
      <c r="N8" s="440">
        <f t="shared" ref="N8:N10" si="4">$N$6*G8</f>
        <v>18.078126285324618</v>
      </c>
      <c r="O8" s="440">
        <f>$O$6*H8</f>
        <v>0.70124023751568287</v>
      </c>
      <c r="P8" s="7" t="s">
        <v>1124</v>
      </c>
      <c r="S8" s="57">
        <v>0.25600000000000001</v>
      </c>
      <c r="T8" s="57">
        <v>1.4E-2</v>
      </c>
      <c r="U8" s="57">
        <v>7.0000000000000001E-3</v>
      </c>
      <c r="V8" s="57">
        <v>1.6E-2</v>
      </c>
      <c r="W8" s="41">
        <f t="shared" ref="W8:W10" si="5">SUM(S8:V8)</f>
        <v>0.29300000000000004</v>
      </c>
      <c r="Y8" s="57">
        <v>0.20799999999999999</v>
      </c>
      <c r="Z8" s="57">
        <v>2.5000000000000001E-2</v>
      </c>
      <c r="AA8" s="41">
        <f>SUM(Y8:Z8)</f>
        <v>0.23299999999999998</v>
      </c>
    </row>
    <row r="9" spans="1:27" ht="16" x14ac:dyDescent="0.2">
      <c r="A9" t="s">
        <v>1127</v>
      </c>
      <c r="B9" s="680">
        <v>3.2000000000000001E-2</v>
      </c>
      <c r="C9" s="680">
        <v>8.5999999999999993E-2</v>
      </c>
      <c r="D9" s="680">
        <v>1.7999999999999999E-2</v>
      </c>
      <c r="E9" s="680">
        <v>9.9000000000000005E-2</v>
      </c>
      <c r="F9" s="680">
        <v>9.2999999999999999E-2</v>
      </c>
      <c r="G9" s="680">
        <v>7.6999999999999999E-2</v>
      </c>
      <c r="H9" s="680">
        <f t="shared" si="1"/>
        <v>8.5999999999999993E-2</v>
      </c>
      <c r="I9" s="49">
        <f>$I$6*B9</f>
        <v>2.2748250037143598</v>
      </c>
      <c r="J9" s="49">
        <f>$J$6*C9</f>
        <v>11.629558667225551</v>
      </c>
      <c r="K9" s="440">
        <f>$K$6*D9</f>
        <v>0.11996531275076645</v>
      </c>
      <c r="L9" s="440">
        <f t="shared" si="2"/>
        <v>1.0780410038849539</v>
      </c>
      <c r="M9" s="440">
        <f t="shared" si="3"/>
        <v>0.47660306686649551</v>
      </c>
      <c r="N9" s="440">
        <f t="shared" si="4"/>
        <v>3.5876693916752465</v>
      </c>
      <c r="O9" s="440">
        <f t="shared" ref="O9:O10" si="6">$O$6*H9</f>
        <v>0.20652965899434497</v>
      </c>
      <c r="P9" s="7" t="s">
        <v>1124</v>
      </c>
      <c r="S9" s="57">
        <v>6.9000000000000006E-2</v>
      </c>
      <c r="T9" s="57">
        <v>4.0000000000000001E-3</v>
      </c>
      <c r="U9" s="57">
        <v>4.0000000000000001E-3</v>
      </c>
      <c r="V9" s="57">
        <v>0.01</v>
      </c>
      <c r="W9" s="41">
        <f t="shared" si="5"/>
        <v>8.7000000000000008E-2</v>
      </c>
      <c r="Y9" s="57">
        <v>8.6999999999999994E-2</v>
      </c>
      <c r="Z9" s="57">
        <v>2.4E-2</v>
      </c>
      <c r="AA9" s="41">
        <f>SUM(Y9:Z9)</f>
        <v>0.11099999999999999</v>
      </c>
    </row>
    <row r="10" spans="1:27" ht="16" x14ac:dyDescent="0.2">
      <c r="A10" t="s">
        <v>1128</v>
      </c>
      <c r="B10" s="680">
        <v>2.8000000000000001E-2</v>
      </c>
      <c r="C10" s="680">
        <v>0.121</v>
      </c>
      <c r="D10" s="680">
        <v>2.5000000000000001E-2</v>
      </c>
      <c r="E10" s="680">
        <v>4.2999999999999997E-2</v>
      </c>
      <c r="F10" s="680">
        <v>0.104</v>
      </c>
      <c r="G10" s="680">
        <v>0.123</v>
      </c>
      <c r="H10" s="680">
        <f t="shared" si="1"/>
        <v>0.121</v>
      </c>
      <c r="I10" s="49">
        <f>$I$6*B10</f>
        <v>1.9904718782500648</v>
      </c>
      <c r="J10" s="49">
        <f>$J$6*C10</f>
        <v>16.362518589933625</v>
      </c>
      <c r="K10" s="440">
        <f>$K$6*D10</f>
        <v>0.1666184899316201</v>
      </c>
      <c r="L10" s="440">
        <f t="shared" si="2"/>
        <v>0.46824003199043446</v>
      </c>
      <c r="M10" s="440">
        <f t="shared" si="3"/>
        <v>0.53297547262489819</v>
      </c>
      <c r="N10" s="440">
        <f t="shared" si="4"/>
        <v>5.7309524048838352</v>
      </c>
      <c r="O10" s="440">
        <f t="shared" si="6"/>
        <v>0.29058242718971794</v>
      </c>
      <c r="P10" s="7" t="s">
        <v>1124</v>
      </c>
      <c r="S10" s="57">
        <v>0.10199999999999999</v>
      </c>
      <c r="T10" s="57">
        <v>6.0000000000000001E-3</v>
      </c>
      <c r="U10" s="57">
        <v>5.0000000000000001E-3</v>
      </c>
      <c r="V10" s="57">
        <v>8.0000000000000002E-3</v>
      </c>
      <c r="W10" s="41">
        <f t="shared" si="5"/>
        <v>0.121</v>
      </c>
      <c r="Y10" s="57">
        <v>0.129</v>
      </c>
      <c r="Z10" s="57">
        <v>2.5999999999999999E-2</v>
      </c>
      <c r="AA10" s="41">
        <f>SUM(Y10:Z10)</f>
        <v>0.155</v>
      </c>
    </row>
    <row r="11" spans="1:27" x14ac:dyDescent="0.2">
      <c r="A11" t="s">
        <v>1129</v>
      </c>
      <c r="B11" s="48"/>
      <c r="I11" s="44">
        <f>I6-I7-I8-I9-I10</f>
        <v>55.235594621439297</v>
      </c>
      <c r="J11" s="44">
        <f>J6-J7-J8-J9-J10</f>
        <v>50.710284886157908</v>
      </c>
      <c r="K11" s="44">
        <f>K6-K7-K8-K9-K10</f>
        <v>5.9849361583437943</v>
      </c>
      <c r="L11" s="44">
        <f>L6-L7-L8-L9-L10</f>
        <v>6.2722385680579142</v>
      </c>
      <c r="M11" s="44">
        <f>M6-M7-M8-M9-M10</f>
        <v>2.1524009471390122</v>
      </c>
      <c r="N11" s="44">
        <f t="shared" ref="N11:O11" si="7">N6-N7-N8-N9-N10</f>
        <v>15.329132855339688</v>
      </c>
      <c r="O11" s="44">
        <f t="shared" si="7"/>
        <v>0.90056537352185284</v>
      </c>
    </row>
    <row r="13" spans="1:27" x14ac:dyDescent="0.2">
      <c r="B13" t="s">
        <v>1130</v>
      </c>
      <c r="C13" t="s">
        <v>1131</v>
      </c>
      <c r="D13" t="s">
        <v>1132</v>
      </c>
      <c r="E13" t="s">
        <v>1133</v>
      </c>
      <c r="F13" t="s">
        <v>1134</v>
      </c>
      <c r="G13" t="s">
        <v>1135</v>
      </c>
      <c r="H13" t="s">
        <v>1136</v>
      </c>
      <c r="I13" t="s">
        <v>1137</v>
      </c>
      <c r="J13" t="s">
        <v>1138</v>
      </c>
      <c r="K13" t="s">
        <v>1139</v>
      </c>
      <c r="L13" t="s">
        <v>1140</v>
      </c>
      <c r="M13" t="s">
        <v>1141</v>
      </c>
      <c r="Q13" t="s">
        <v>1142</v>
      </c>
    </row>
    <row r="14" spans="1:27" x14ac:dyDescent="0.2">
      <c r="A14" t="s">
        <v>1143</v>
      </c>
      <c r="B14" s="56">
        <f>100%</f>
        <v>1</v>
      </c>
      <c r="C14" s="55">
        <v>1</v>
      </c>
      <c r="D14" s="56">
        <f>100%</f>
        <v>1</v>
      </c>
      <c r="E14" s="55">
        <v>1</v>
      </c>
      <c r="F14" s="56">
        <f>100%</f>
        <v>1</v>
      </c>
      <c r="G14" s="55">
        <v>1</v>
      </c>
      <c r="H14" s="56">
        <f>100%</f>
        <v>1</v>
      </c>
      <c r="I14" s="55">
        <v>1</v>
      </c>
      <c r="J14" s="56">
        <f>100%</f>
        <v>1</v>
      </c>
      <c r="K14" s="55">
        <v>1</v>
      </c>
      <c r="L14" s="56">
        <f>100%</f>
        <v>1</v>
      </c>
      <c r="M14" s="55">
        <v>1</v>
      </c>
      <c r="O14" s="55"/>
      <c r="Q14" t="s">
        <v>1144</v>
      </c>
      <c r="W14" t="s">
        <v>1145</v>
      </c>
    </row>
    <row r="15" spans="1:27" x14ac:dyDescent="0.2">
      <c r="A15" t="s">
        <v>1146</v>
      </c>
      <c r="B15" s="56">
        <v>0.74</v>
      </c>
      <c r="C15" s="55">
        <v>0.87</v>
      </c>
      <c r="D15" s="56">
        <v>0.77</v>
      </c>
      <c r="E15" s="55">
        <v>0.86</v>
      </c>
      <c r="F15" s="56">
        <v>0.72</v>
      </c>
      <c r="G15" s="55">
        <v>0.82</v>
      </c>
      <c r="H15" s="56">
        <v>0.73</v>
      </c>
      <c r="I15" s="55">
        <v>0.8</v>
      </c>
      <c r="J15" s="56">
        <v>0.73</v>
      </c>
      <c r="K15" s="55">
        <v>0.82</v>
      </c>
      <c r="L15" s="56">
        <v>0.73</v>
      </c>
      <c r="M15" s="55">
        <v>0.82</v>
      </c>
      <c r="O15" s="55"/>
      <c r="Q15" t="s">
        <v>1147</v>
      </c>
      <c r="W15" t="s">
        <v>1145</v>
      </c>
    </row>
    <row r="16" spans="1:27" x14ac:dyDescent="0.2">
      <c r="B16" s="56"/>
    </row>
    <row r="17" spans="1:39" x14ac:dyDescent="0.2">
      <c r="B17" s="686" t="s">
        <v>500</v>
      </c>
      <c r="C17" s="686"/>
      <c r="D17" s="686"/>
      <c r="E17" s="686"/>
      <c r="F17" s="686"/>
      <c r="G17" s="686"/>
      <c r="H17" s="686"/>
      <c r="I17" s="686"/>
      <c r="J17" s="686"/>
      <c r="K17" s="203"/>
      <c r="L17" s="203"/>
      <c r="M17" s="203"/>
      <c r="P17" s="686" t="s">
        <v>5</v>
      </c>
      <c r="Q17" s="686"/>
      <c r="R17" s="686"/>
      <c r="S17" s="686"/>
      <c r="U17" s="686" t="s">
        <v>6</v>
      </c>
      <c r="V17" s="686"/>
      <c r="W17" s="686"/>
      <c r="X17" s="686"/>
      <c r="Z17" s="686" t="s">
        <v>7</v>
      </c>
      <c r="AA17" s="686"/>
      <c r="AB17" s="686"/>
      <c r="AC17" s="686"/>
      <c r="AE17" s="686" t="s">
        <v>8</v>
      </c>
      <c r="AF17" s="686"/>
      <c r="AG17" s="686"/>
      <c r="AH17" s="686"/>
      <c r="AJ17" s="686" t="s">
        <v>166</v>
      </c>
      <c r="AK17" s="686"/>
      <c r="AL17" s="686"/>
      <c r="AM17" s="686"/>
    </row>
    <row r="18" spans="1:39" x14ac:dyDescent="0.2">
      <c r="B18" t="s">
        <v>1148</v>
      </c>
      <c r="C18" t="s">
        <v>1126</v>
      </c>
      <c r="D18" t="s">
        <v>1149</v>
      </c>
      <c r="E18" t="s">
        <v>203</v>
      </c>
      <c r="P18" t="s">
        <v>1148</v>
      </c>
      <c r="Q18" t="s">
        <v>1126</v>
      </c>
      <c r="R18" t="s">
        <v>1149</v>
      </c>
      <c r="S18" t="s">
        <v>203</v>
      </c>
      <c r="U18" t="s">
        <v>1148</v>
      </c>
      <c r="V18" t="s">
        <v>1126</v>
      </c>
      <c r="W18" t="s">
        <v>1149</v>
      </c>
      <c r="X18" t="s">
        <v>203</v>
      </c>
      <c r="Z18" t="s">
        <v>1148</v>
      </c>
      <c r="AA18" t="s">
        <v>1126</v>
      </c>
      <c r="AB18" t="s">
        <v>1149</v>
      </c>
      <c r="AC18" t="s">
        <v>203</v>
      </c>
      <c r="AE18" t="s">
        <v>1148</v>
      </c>
      <c r="AF18" t="s">
        <v>1126</v>
      </c>
      <c r="AG18" t="s">
        <v>1149</v>
      </c>
      <c r="AH18" t="s">
        <v>203</v>
      </c>
      <c r="AJ18" t="s">
        <v>1148</v>
      </c>
      <c r="AK18" t="s">
        <v>1126</v>
      </c>
      <c r="AL18" t="s">
        <v>1149</v>
      </c>
      <c r="AM18" t="s">
        <v>203</v>
      </c>
    </row>
    <row r="19" spans="1:39" x14ac:dyDescent="0.2">
      <c r="A19" t="s">
        <v>1150</v>
      </c>
      <c r="B19" s="55">
        <v>0.08</v>
      </c>
      <c r="C19" s="55">
        <v>0.2</v>
      </c>
      <c r="D19" s="55">
        <v>0.3</v>
      </c>
      <c r="E19" s="55">
        <v>0.32</v>
      </c>
      <c r="F19" s="55"/>
      <c r="G19" s="55"/>
      <c r="H19" s="55"/>
      <c r="K19" s="55"/>
      <c r="L19" s="55"/>
      <c r="M19" s="55"/>
      <c r="P19" s="55">
        <v>0.09</v>
      </c>
      <c r="Q19" s="55">
        <v>0.24</v>
      </c>
      <c r="R19" s="55">
        <v>0.28999999999999998</v>
      </c>
      <c r="S19" s="55">
        <v>0.28999999999999998</v>
      </c>
      <c r="U19" s="55">
        <v>0.06</v>
      </c>
      <c r="V19" s="55">
        <v>0.17</v>
      </c>
      <c r="W19" s="55">
        <v>0.25</v>
      </c>
      <c r="X19" s="55">
        <v>0.24</v>
      </c>
      <c r="Z19" s="55">
        <v>0.06</v>
      </c>
      <c r="AA19" s="55">
        <v>0.22</v>
      </c>
      <c r="AB19" s="55">
        <v>0.26</v>
      </c>
      <c r="AC19" s="55">
        <v>0.22</v>
      </c>
      <c r="AE19" s="55">
        <v>0.06</v>
      </c>
      <c r="AF19" s="55">
        <v>0.19</v>
      </c>
      <c r="AG19" s="55">
        <v>0.25</v>
      </c>
      <c r="AH19" s="55">
        <v>0.23</v>
      </c>
      <c r="AJ19" s="55">
        <v>0.06</v>
      </c>
      <c r="AK19" s="55">
        <v>0.19</v>
      </c>
      <c r="AL19" s="55">
        <v>0.23</v>
      </c>
      <c r="AM19" s="55">
        <v>0.22</v>
      </c>
    </row>
    <row r="20" spans="1:39" x14ac:dyDescent="0.2">
      <c r="A20" t="s">
        <v>1151</v>
      </c>
      <c r="B20" s="55">
        <v>0.54</v>
      </c>
      <c r="C20" s="55">
        <v>0.59</v>
      </c>
      <c r="D20" s="55">
        <v>0.68</v>
      </c>
      <c r="E20" s="55">
        <v>0.67</v>
      </c>
      <c r="F20" s="55"/>
      <c r="G20" s="55"/>
      <c r="H20" s="55"/>
      <c r="K20" s="55"/>
      <c r="L20" s="55"/>
      <c r="M20" s="55"/>
      <c r="P20" s="55">
        <v>0.55000000000000004</v>
      </c>
      <c r="Q20" s="55">
        <v>0.62</v>
      </c>
      <c r="R20" s="55">
        <v>0.7</v>
      </c>
      <c r="S20" s="55">
        <v>0.67</v>
      </c>
      <c r="U20" s="55">
        <v>0.53</v>
      </c>
      <c r="V20" s="55">
        <v>0.56999999999999995</v>
      </c>
      <c r="W20" s="55">
        <v>0.64</v>
      </c>
      <c r="X20" s="55">
        <v>0.63</v>
      </c>
      <c r="Z20" s="55">
        <v>0.55000000000000004</v>
      </c>
      <c r="AA20" s="55">
        <v>0.61</v>
      </c>
      <c r="AB20" s="55">
        <v>0.68</v>
      </c>
      <c r="AC20" s="55">
        <v>0.64</v>
      </c>
      <c r="AE20" s="55">
        <v>0.53</v>
      </c>
      <c r="AF20" s="55">
        <v>0.57999999999999996</v>
      </c>
      <c r="AG20" s="55">
        <v>0.66</v>
      </c>
      <c r="AH20" s="55">
        <v>0.62</v>
      </c>
      <c r="AJ20" s="55">
        <v>0.52</v>
      </c>
      <c r="AK20" s="55">
        <v>0.57999999999999996</v>
      </c>
      <c r="AL20" s="55">
        <v>0.64</v>
      </c>
      <c r="AM20" s="55">
        <v>0.62</v>
      </c>
    </row>
    <row r="21" spans="1:39" x14ac:dyDescent="0.2">
      <c r="A21" t="s">
        <v>1152</v>
      </c>
      <c r="B21" s="55">
        <v>1</v>
      </c>
      <c r="C21" s="55">
        <v>1</v>
      </c>
      <c r="D21" s="55">
        <v>1</v>
      </c>
      <c r="E21" s="55">
        <v>1</v>
      </c>
      <c r="F21" s="55"/>
      <c r="G21" s="55"/>
      <c r="H21" s="55"/>
      <c r="K21" s="55"/>
      <c r="L21" s="55"/>
      <c r="M21" s="55"/>
      <c r="P21" s="55">
        <v>1</v>
      </c>
      <c r="Q21" s="55">
        <v>1</v>
      </c>
      <c r="R21" s="55">
        <v>1</v>
      </c>
      <c r="S21" s="55">
        <v>1</v>
      </c>
      <c r="U21" s="55">
        <v>1</v>
      </c>
      <c r="V21" s="55">
        <v>1</v>
      </c>
      <c r="W21" s="55">
        <v>1</v>
      </c>
      <c r="X21" s="55">
        <v>1</v>
      </c>
      <c r="Z21" s="55">
        <v>1</v>
      </c>
      <c r="AA21" s="55">
        <v>1</v>
      </c>
      <c r="AB21" s="55">
        <v>1</v>
      </c>
      <c r="AC21" s="55">
        <v>1</v>
      </c>
      <c r="AE21" s="55">
        <v>1</v>
      </c>
      <c r="AF21" s="55">
        <v>1</v>
      </c>
      <c r="AG21" s="55">
        <v>1</v>
      </c>
      <c r="AH21" s="55">
        <v>1</v>
      </c>
      <c r="AJ21" s="55">
        <v>1</v>
      </c>
      <c r="AK21" s="55">
        <v>1</v>
      </c>
      <c r="AL21" s="55">
        <v>1</v>
      </c>
      <c r="AM21" s="55">
        <v>1</v>
      </c>
    </row>
    <row r="22" spans="1:39" x14ac:dyDescent="0.2">
      <c r="A22" s="54" t="s">
        <v>1153</v>
      </c>
    </row>
    <row r="24" spans="1:39" x14ac:dyDescent="0.2">
      <c r="A24" t="s">
        <v>1154</v>
      </c>
    </row>
    <row r="25" spans="1:39" x14ac:dyDescent="0.2">
      <c r="A25" t="s">
        <v>1155</v>
      </c>
      <c r="B25" t="s">
        <v>1156</v>
      </c>
      <c r="C25" t="s">
        <v>1157</v>
      </c>
      <c r="J25" t="s">
        <v>1149</v>
      </c>
      <c r="K25" t="s">
        <v>1158</v>
      </c>
    </row>
    <row r="26" spans="1:39" x14ac:dyDescent="0.2">
      <c r="A26">
        <v>2030</v>
      </c>
      <c r="B26" s="41">
        <f>$C$7*$B$14*B19</f>
        <v>1.008E-2</v>
      </c>
      <c r="C26" s="41">
        <f>$C$8*$B$14*C19</f>
        <v>5.8400000000000001E-2</v>
      </c>
      <c r="D26" s="41"/>
      <c r="E26" s="41"/>
      <c r="F26" s="41"/>
      <c r="G26" s="41"/>
      <c r="H26" s="41"/>
      <c r="I26" s="41"/>
      <c r="J26" s="41">
        <f>$C$9*$C$14*D19</f>
        <v>2.5799999999999997E-2</v>
      </c>
      <c r="K26" s="41">
        <f>$C$10*$C$14*E19</f>
        <v>3.8719999999999997E-2</v>
      </c>
      <c r="L26" s="41"/>
      <c r="M26" s="41"/>
    </row>
    <row r="27" spans="1:39" x14ac:dyDescent="0.2">
      <c r="A27">
        <v>2040</v>
      </c>
      <c r="B27" s="41">
        <f t="shared" ref="B27:B28" si="8">$C$7*$B$14*B20</f>
        <v>6.8040000000000003E-2</v>
      </c>
      <c r="C27" s="41">
        <f t="shared" ref="C27:C28" si="9">$C$8*$B$14*C20</f>
        <v>0.17227999999999999</v>
      </c>
      <c r="D27" s="41"/>
      <c r="E27" s="41"/>
      <c r="F27" s="41"/>
      <c r="G27" s="41"/>
      <c r="H27" s="41"/>
      <c r="I27" s="41"/>
      <c r="J27" s="41">
        <f>$C$9*$C$14*D20</f>
        <v>5.8479999999999997E-2</v>
      </c>
      <c r="K27" s="41">
        <f>$C$10*$C$14*E20</f>
        <v>8.1070000000000003E-2</v>
      </c>
      <c r="L27" s="41"/>
      <c r="M27" s="41"/>
    </row>
    <row r="28" spans="1:39" x14ac:dyDescent="0.2">
      <c r="A28">
        <v>2050</v>
      </c>
      <c r="B28" s="41">
        <f t="shared" si="8"/>
        <v>0.126</v>
      </c>
      <c r="C28" s="41">
        <f t="shared" si="9"/>
        <v>0.29199999999999998</v>
      </c>
      <c r="D28" s="41"/>
      <c r="E28" s="41"/>
      <c r="F28" s="41"/>
      <c r="G28" s="41"/>
      <c r="H28" s="41"/>
      <c r="I28" s="41"/>
      <c r="J28" s="41">
        <f>$C$9*$C$14*D21</f>
        <v>8.5999999999999993E-2</v>
      </c>
      <c r="K28" s="41">
        <f>$C$10*$C$14*E21</f>
        <v>0.121</v>
      </c>
      <c r="L28" s="41"/>
      <c r="M28" s="41"/>
    </row>
    <row r="29" spans="1:39" x14ac:dyDescent="0.2">
      <c r="A29" t="s">
        <v>1159</v>
      </c>
      <c r="B29" t="s">
        <v>1156</v>
      </c>
      <c r="C29" t="s">
        <v>1157</v>
      </c>
      <c r="J29" t="s">
        <v>1149</v>
      </c>
      <c r="K29" t="s">
        <v>1158</v>
      </c>
    </row>
    <row r="30" spans="1:39" x14ac:dyDescent="0.2">
      <c r="A30">
        <v>2030</v>
      </c>
      <c r="B30" s="41">
        <f>$C$7*$B$15*B19</f>
        <v>7.4592E-3</v>
      </c>
      <c r="C30" s="41">
        <f>$C$8*$B$15*C19</f>
        <v>4.3216000000000004E-2</v>
      </c>
      <c r="D30" s="41"/>
      <c r="E30" s="41"/>
      <c r="F30" s="41"/>
      <c r="G30" s="41"/>
      <c r="H30" s="41"/>
      <c r="I30" s="41"/>
      <c r="J30" s="41">
        <f>$C$9*$C$15*D19</f>
        <v>2.2445999999999997E-2</v>
      </c>
      <c r="K30" s="41">
        <f>$C$10*$C$15*E19</f>
        <v>3.3686399999999998E-2</v>
      </c>
      <c r="L30" s="41"/>
      <c r="M30" s="41"/>
    </row>
    <row r="31" spans="1:39" x14ac:dyDescent="0.2">
      <c r="A31">
        <v>2040</v>
      </c>
      <c r="B31" s="41">
        <f t="shared" ref="B31:B32" si="10">$C$7*$B$15*B20</f>
        <v>5.0349600000000008E-2</v>
      </c>
      <c r="C31" s="41">
        <f t="shared" ref="C31:C32" si="11">$C$8*$B$15*C20</f>
        <v>0.12748719999999999</v>
      </c>
      <c r="D31" s="41"/>
      <c r="E31" s="41"/>
      <c r="F31" s="41"/>
      <c r="G31" s="41"/>
      <c r="H31" s="41"/>
      <c r="I31" s="41"/>
      <c r="J31" s="41">
        <f>$C$9*$C$15*D20</f>
        <v>5.0877600000000002E-2</v>
      </c>
      <c r="K31" s="41">
        <f>$C$10*$C$15*E20</f>
        <v>7.0530900000000007E-2</v>
      </c>
      <c r="L31" s="41"/>
      <c r="M31" s="41"/>
    </row>
    <row r="32" spans="1:39" x14ac:dyDescent="0.2">
      <c r="A32">
        <v>2050</v>
      </c>
      <c r="B32" s="41">
        <f t="shared" si="10"/>
        <v>9.3240000000000003E-2</v>
      </c>
      <c r="C32" s="41">
        <f t="shared" si="11"/>
        <v>0.21607999999999999</v>
      </c>
      <c r="D32" s="41"/>
      <c r="E32" s="41"/>
      <c r="F32" s="41"/>
      <c r="G32" s="41"/>
      <c r="H32" s="41"/>
      <c r="I32" s="41"/>
      <c r="J32" s="41">
        <f>$C$9*$C$15*D21</f>
        <v>7.4819999999999998E-2</v>
      </c>
      <c r="K32" s="41">
        <f>$C$10*$C$15*E21</f>
        <v>0.10527</v>
      </c>
      <c r="L32" s="41"/>
      <c r="M32" s="41"/>
    </row>
  </sheetData>
  <mergeCells count="6">
    <mergeCell ref="AJ17:AM17"/>
    <mergeCell ref="B17:J17"/>
    <mergeCell ref="P17:S17"/>
    <mergeCell ref="U17:X17"/>
    <mergeCell ref="Z17:AC17"/>
    <mergeCell ref="AE17:AH17"/>
  </mergeCells>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AE47"/>
  <sheetViews>
    <sheetView workbookViewId="0">
      <selection activeCell="J36" sqref="J36"/>
    </sheetView>
  </sheetViews>
  <sheetFormatPr baseColWidth="10" defaultColWidth="8.83203125" defaultRowHeight="15" x14ac:dyDescent="0.2"/>
  <cols>
    <col min="1" max="1" width="30.1640625" customWidth="1"/>
    <col min="2" max="2" width="15.1640625" customWidth="1"/>
    <col min="3" max="3" width="11.83203125" customWidth="1"/>
    <col min="4" max="11" width="16.83203125" customWidth="1"/>
    <col min="12" max="12" width="11.83203125" customWidth="1"/>
    <col min="20" max="20" width="27" bestFit="1" customWidth="1"/>
  </cols>
  <sheetData>
    <row r="1" spans="1:31" x14ac:dyDescent="0.2">
      <c r="A1" s="46" t="s">
        <v>1110</v>
      </c>
      <c r="B1" s="46"/>
      <c r="C1" s="46"/>
      <c r="D1" s="46"/>
      <c r="E1" s="46"/>
      <c r="W1" s="46"/>
      <c r="X1" s="46"/>
      <c r="Y1" s="46"/>
      <c r="Z1" s="46"/>
      <c r="AA1" s="46"/>
    </row>
    <row r="2" spans="1:31" ht="16" thickBot="1" x14ac:dyDescent="0.25">
      <c r="A2" s="45"/>
      <c r="B2" s="45" t="s">
        <v>1204</v>
      </c>
      <c r="C2" s="45" t="s">
        <v>5</v>
      </c>
      <c r="D2" s="45" t="s">
        <v>4</v>
      </c>
      <c r="E2" s="45" t="s">
        <v>1205</v>
      </c>
      <c r="F2" s="45" t="s">
        <v>1206</v>
      </c>
      <c r="G2" s="45" t="s">
        <v>7</v>
      </c>
      <c r="H2" s="45" t="s">
        <v>8</v>
      </c>
      <c r="I2" s="45" t="s">
        <v>166</v>
      </c>
      <c r="J2" s="45" t="s">
        <v>766</v>
      </c>
      <c r="K2" s="45" t="s">
        <v>1207</v>
      </c>
      <c r="L2" s="174" t="s">
        <v>96</v>
      </c>
      <c r="W2" s="45"/>
      <c r="X2" s="45" t="s">
        <v>1204</v>
      </c>
      <c r="Y2" s="45" t="s">
        <v>6</v>
      </c>
      <c r="Z2" s="45"/>
      <c r="AA2" s="45"/>
      <c r="AB2" s="174" t="s">
        <v>96</v>
      </c>
      <c r="AD2" t="s">
        <v>1208</v>
      </c>
      <c r="AE2" s="23">
        <f>(97/66)^(1/35)-1</f>
        <v>1.1062346974396675E-2</v>
      </c>
    </row>
    <row r="3" spans="1:31" x14ac:dyDescent="0.2">
      <c r="B3" t="s">
        <v>462</v>
      </c>
      <c r="C3" t="s">
        <v>704</v>
      </c>
      <c r="D3" t="s">
        <v>704</v>
      </c>
      <c r="E3" t="s">
        <v>704</v>
      </c>
      <c r="X3" t="s">
        <v>462</v>
      </c>
      <c r="Y3" t="s">
        <v>704</v>
      </c>
    </row>
    <row r="4" spans="1:31" x14ac:dyDescent="0.2">
      <c r="A4" t="s">
        <v>1</v>
      </c>
      <c r="C4" s="44">
        <f>'Demand Breakdown - Propylene'!K52</f>
        <v>17.63451512942034</v>
      </c>
      <c r="D4" s="44">
        <f>'Demand Breakdown - Ethylene'!K65</f>
        <v>8.4778361655826675</v>
      </c>
      <c r="E4" s="44">
        <f>'Demand - Industry shares'!L84</f>
        <v>7.4818743268684171</v>
      </c>
      <c r="F4" s="49">
        <f>'Demand Breakdown - Methanol'!M44</f>
        <v>28.065001267929215</v>
      </c>
      <c r="G4" s="49">
        <f>'Demand - Industry shares'!L99</f>
        <v>2.5999466924200116</v>
      </c>
      <c r="H4" s="49">
        <f>'Demand - Industry shares'!L113</f>
        <v>1.1465929107008392</v>
      </c>
      <c r="I4" s="49">
        <f>'Demand - Industry shares'!L127</f>
        <v>0.74407612749267826</v>
      </c>
      <c r="J4" s="49">
        <f>'Demand Breakdown - C4'!I28-'Demand Breakdown - C4'!C21</f>
        <v>11.873691372592639</v>
      </c>
      <c r="K4" s="49">
        <f>'Demand Breakdown - C4'!C21</f>
        <v>28.876933910377581</v>
      </c>
      <c r="L4" s="7"/>
      <c r="M4" s="7"/>
      <c r="W4" t="s">
        <v>1</v>
      </c>
      <c r="Y4" s="44">
        <v>0</v>
      </c>
      <c r="Z4" s="44"/>
      <c r="AB4" s="7"/>
      <c r="AC4" s="7"/>
    </row>
    <row r="5" spans="1:31" x14ac:dyDescent="0.2">
      <c r="A5" t="s">
        <v>1123</v>
      </c>
      <c r="B5" s="47">
        <v>1.7000000000000001E-2</v>
      </c>
      <c r="C5" s="44">
        <f>C4*(1+B5)^30-C4</f>
        <v>11.606477457750522</v>
      </c>
      <c r="D5" s="44">
        <f>D4*(1+B5)^30-D4</f>
        <v>5.5798423503108676</v>
      </c>
      <c r="E5" s="44">
        <f>E4*(1+B5)^30-E4</f>
        <v>4.9243319183551089</v>
      </c>
      <c r="G5" s="44">
        <f>G4*(1+'Demand Breakdown - BTX'!L72)^30-G4</f>
        <v>1.0052066062411695</v>
      </c>
      <c r="H5" s="44">
        <f>H4*(1+'Demand Breakdown - BTX'!L72)^30-H4</f>
        <v>0.44330246149507713</v>
      </c>
      <c r="I5" s="44">
        <f>I4*(1+'Demand Breakdown - BTX'!L72)^30-I4</f>
        <v>0.28767906706802526</v>
      </c>
      <c r="J5" s="44">
        <f>J4*(1+'Demand Breakdown - C4'!K28)^30-J4</f>
        <v>6.3004660112698936</v>
      </c>
      <c r="K5" s="44"/>
      <c r="L5" s="5" t="s">
        <v>1209</v>
      </c>
      <c r="W5" t="s">
        <v>1123</v>
      </c>
      <c r="X5" s="439">
        <v>0</v>
      </c>
      <c r="Y5" s="44">
        <f>Y4*(1+X5)^30-Y4</f>
        <v>0</v>
      </c>
      <c r="Z5" s="44"/>
      <c r="AB5" s="5" t="s">
        <v>1209</v>
      </c>
    </row>
    <row r="6" spans="1:31" x14ac:dyDescent="0.2">
      <c r="A6" t="s">
        <v>1210</v>
      </c>
      <c r="B6" s="47">
        <f>'Demand Breakdown - Methanol'!N44</f>
        <v>2.3E-2</v>
      </c>
      <c r="C6" s="44"/>
      <c r="D6" s="44"/>
      <c r="F6" s="44">
        <f>F4*(1+B6)^30-F4</f>
        <v>27.453032607066223</v>
      </c>
      <c r="G6" s="44"/>
      <c r="H6" s="44"/>
      <c r="I6" s="44"/>
      <c r="J6" s="44"/>
      <c r="K6" s="44">
        <f>K4*(1+'Demand Breakdown - C4'!K28)^30</f>
        <v>44.199729063364153</v>
      </c>
      <c r="L6" s="5"/>
      <c r="X6" s="439"/>
      <c r="Y6" s="44"/>
      <c r="Z6" s="44"/>
      <c r="AB6" s="5"/>
    </row>
    <row r="7" spans="1:31" x14ac:dyDescent="0.2">
      <c r="A7" t="s">
        <v>1125</v>
      </c>
      <c r="C7" s="44">
        <f>SUM(C4:C5)</f>
        <v>29.240992587170862</v>
      </c>
      <c r="D7" s="44">
        <f>SUM(D4:D5)</f>
        <v>14.057678515893535</v>
      </c>
      <c r="E7" s="44">
        <f>SUM(E4:E5)</f>
        <v>12.406206245223526</v>
      </c>
      <c r="F7" s="44">
        <f>SUM(F4:F6)</f>
        <v>55.518033874995439</v>
      </c>
      <c r="G7" s="44">
        <f t="shared" ref="G7:I7" si="0">SUM(G4:G6)</f>
        <v>3.6051532986611812</v>
      </c>
      <c r="H7" s="44">
        <f t="shared" si="0"/>
        <v>1.5898953721959164</v>
      </c>
      <c r="I7" s="44">
        <f t="shared" si="0"/>
        <v>1.0317551945607035</v>
      </c>
      <c r="J7" s="44">
        <f>SUM(J4:J5)</f>
        <v>18.174157383862532</v>
      </c>
      <c r="K7" s="44">
        <f>SUM(K4:K6)</f>
        <v>73.076662973741733</v>
      </c>
      <c r="W7" t="s">
        <v>1125</v>
      </c>
      <c r="Y7" s="44">
        <f>SUM(Y4:Y5)</f>
        <v>0</v>
      </c>
      <c r="Z7" s="44"/>
    </row>
    <row r="8" spans="1:31" x14ac:dyDescent="0.2">
      <c r="A8" t="s">
        <v>1211</v>
      </c>
      <c r="B8" s="48">
        <v>0.1</v>
      </c>
      <c r="C8" s="49">
        <f>C7*B8</f>
        <v>2.9240992587170864</v>
      </c>
      <c r="D8" s="49">
        <f>D7*B8</f>
        <v>1.4057678515893537</v>
      </c>
      <c r="E8" s="49">
        <f>E7*B8</f>
        <v>1.2406206245223528</v>
      </c>
      <c r="G8" s="49">
        <f>G$7*$B8</f>
        <v>0.36051532986611812</v>
      </c>
      <c r="H8" s="49">
        <f t="shared" ref="H8:I8" si="1">H$7*$B8</f>
        <v>0.15898953721959164</v>
      </c>
      <c r="I8" s="49">
        <f t="shared" si="1"/>
        <v>0.10317551945607036</v>
      </c>
      <c r="J8" s="49">
        <v>0</v>
      </c>
      <c r="K8" s="49">
        <v>0</v>
      </c>
      <c r="L8" s="7" t="s">
        <v>1212</v>
      </c>
      <c r="W8" t="s">
        <v>1129</v>
      </c>
      <c r="X8" s="48"/>
      <c r="Y8" s="44">
        <f>Y7-Y24*Y7</f>
        <v>0</v>
      </c>
      <c r="Z8" s="44"/>
      <c r="AB8" s="7"/>
    </row>
    <row r="9" spans="1:31" x14ac:dyDescent="0.2">
      <c r="A9" t="s">
        <v>1213</v>
      </c>
      <c r="B9" s="48">
        <v>1</v>
      </c>
      <c r="C9" s="49"/>
      <c r="D9" s="49"/>
      <c r="F9" s="44">
        <f>F7*B9</f>
        <v>55.518033874995439</v>
      </c>
      <c r="G9" s="49"/>
      <c r="H9" s="49"/>
      <c r="I9" s="49"/>
      <c r="J9" s="49"/>
      <c r="K9" s="49">
        <f>B9*K7</f>
        <v>73.076662973741733</v>
      </c>
      <c r="L9" s="7" t="s">
        <v>1214</v>
      </c>
      <c r="X9" s="48"/>
      <c r="Y9" s="44"/>
      <c r="Z9" s="44"/>
      <c r="AB9" s="7"/>
    </row>
    <row r="10" spans="1:31" ht="16" x14ac:dyDescent="0.2">
      <c r="A10" t="s">
        <v>77</v>
      </c>
      <c r="B10" s="679">
        <v>0.33</v>
      </c>
      <c r="C10" s="44">
        <f>(C7+C8)*B10</f>
        <v>10.614480309143024</v>
      </c>
      <c r="D10" s="44">
        <f>(D7+D8)*B10</f>
        <v>5.1029373012693533</v>
      </c>
      <c r="E10" s="44">
        <f>(E7+E8)*B10</f>
        <v>4.5034528670161409</v>
      </c>
      <c r="G10" s="49">
        <f>(G$7+G$8)*$B10</f>
        <v>1.3086706474140088</v>
      </c>
      <c r="H10" s="49">
        <f t="shared" ref="H10:I12" si="2">(H$7+H$8)*$B10</f>
        <v>0.57713202010711773</v>
      </c>
      <c r="I10" s="49">
        <f t="shared" si="2"/>
        <v>0.37452713562553541</v>
      </c>
      <c r="J10" s="49">
        <f>B10*$J$7</f>
        <v>5.9974719366746356</v>
      </c>
      <c r="K10" s="49"/>
      <c r="L10" s="7" t="s">
        <v>1215</v>
      </c>
      <c r="W10" t="s">
        <v>1216</v>
      </c>
      <c r="Y10" s="6">
        <v>0.9</v>
      </c>
      <c r="Z10" s="280" t="s">
        <v>1217</v>
      </c>
    </row>
    <row r="11" spans="1:31" ht="16" x14ac:dyDescent="0.2">
      <c r="A11" t="s">
        <v>1218</v>
      </c>
      <c r="B11" s="679">
        <v>0.21</v>
      </c>
      <c r="C11" s="44">
        <f>(C7+C8-C10)*B11</f>
        <v>4.5256284227164336</v>
      </c>
      <c r="D11" s="44">
        <f>(D7+D8-D10)*B11</f>
        <v>2.175706903904842</v>
      </c>
      <c r="E11" s="44">
        <f>(E7+E8-E10)*B11</f>
        <v>1.9201085405732452</v>
      </c>
      <c r="G11" s="49">
        <f t="shared" ref="G11:G12" si="3">(G$7+G$8)*$B11</f>
        <v>0.83279041199073289</v>
      </c>
      <c r="H11" s="49">
        <f t="shared" si="2"/>
        <v>0.36726583097725668</v>
      </c>
      <c r="I11" s="49">
        <f t="shared" si="2"/>
        <v>0.23833544994352251</v>
      </c>
      <c r="J11" s="49">
        <f t="shared" ref="J11:J12" si="4">B11*$J$7</f>
        <v>3.8165730506111317</v>
      </c>
      <c r="K11" s="49"/>
      <c r="L11" s="7" t="s">
        <v>1215</v>
      </c>
      <c r="W11" t="s">
        <v>1219</v>
      </c>
      <c r="Y11" s="6">
        <v>0.1</v>
      </c>
      <c r="Z11" s="280" t="s">
        <v>1217</v>
      </c>
    </row>
    <row r="12" spans="1:31" ht="16" x14ac:dyDescent="0.2">
      <c r="A12" t="s">
        <v>1220</v>
      </c>
      <c r="B12" s="679">
        <v>0</v>
      </c>
      <c r="C12" s="50">
        <v>0</v>
      </c>
      <c r="D12" s="50">
        <v>0</v>
      </c>
      <c r="E12" s="50">
        <v>1</v>
      </c>
      <c r="F12" s="7"/>
      <c r="G12" s="49">
        <f t="shared" si="3"/>
        <v>0</v>
      </c>
      <c r="H12" s="49">
        <f t="shared" si="2"/>
        <v>0</v>
      </c>
      <c r="I12" s="49">
        <f t="shared" si="2"/>
        <v>0</v>
      </c>
      <c r="J12" s="49">
        <f t="shared" si="4"/>
        <v>0</v>
      </c>
      <c r="K12" s="49"/>
      <c r="L12" s="5" t="s">
        <v>1209</v>
      </c>
      <c r="W12" t="s">
        <v>1221</v>
      </c>
      <c r="X12" s="55"/>
      <c r="Y12" s="50">
        <f>Y10*Y24*Y7</f>
        <v>0</v>
      </c>
      <c r="Z12" s="44"/>
      <c r="AB12" s="7"/>
    </row>
    <row r="13" spans="1:31" x14ac:dyDescent="0.2">
      <c r="A13" t="s">
        <v>1129</v>
      </c>
      <c r="C13" s="44">
        <f>C7+C8-C10-C11-C12</f>
        <v>17.02498311402849</v>
      </c>
      <c r="D13" s="44">
        <f>D7+D8-D10-D11-D12</f>
        <v>8.1848021623086922</v>
      </c>
      <c r="E13" s="44">
        <f>E7+E8-E10-E11-E12</f>
        <v>6.223265462156494</v>
      </c>
      <c r="F13" s="44">
        <f>F7-F9</f>
        <v>0</v>
      </c>
      <c r="G13" s="44">
        <f>G7+G8-G10-G11-G12</f>
        <v>1.8242075691225579</v>
      </c>
      <c r="H13" s="44">
        <f t="shared" ref="H13:I13" si="5">H7+H8-H10-H11-H12</f>
        <v>0.80448705833113365</v>
      </c>
      <c r="I13" s="44">
        <f t="shared" si="5"/>
        <v>0.522068128447716</v>
      </c>
      <c r="J13" s="44">
        <f>J7-SUM(J10:J12)</f>
        <v>8.3601123965767652</v>
      </c>
      <c r="K13" s="44">
        <f>K7-SUM(K9:K12)</f>
        <v>0</v>
      </c>
      <c r="W13" t="s">
        <v>1222</v>
      </c>
      <c r="X13" s="55"/>
      <c r="Y13" s="50">
        <f>Y11*Y18*Y7</f>
        <v>0</v>
      </c>
      <c r="Z13" s="44"/>
      <c r="AB13" s="7"/>
    </row>
    <row r="14" spans="1:31" x14ac:dyDescent="0.2">
      <c r="N14" t="s">
        <v>1154</v>
      </c>
      <c r="W14" t="s">
        <v>1223</v>
      </c>
      <c r="Y14" s="44">
        <f>Y7-Y12-Y13</f>
        <v>0</v>
      </c>
      <c r="Z14" s="50"/>
      <c r="AA14" s="7"/>
      <c r="AB14" s="5" t="s">
        <v>1209</v>
      </c>
    </row>
    <row r="15" spans="1:31" x14ac:dyDescent="0.2">
      <c r="A15" t="s">
        <v>1143</v>
      </c>
      <c r="B15" s="56">
        <f>100%</f>
        <v>1</v>
      </c>
      <c r="C15" s="56">
        <f>100%</f>
        <v>1</v>
      </c>
      <c r="G15" s="56"/>
      <c r="H15" s="56"/>
      <c r="I15" s="56"/>
      <c r="J15" s="56"/>
      <c r="K15" s="56"/>
      <c r="L15" s="54" t="s">
        <v>1224</v>
      </c>
      <c r="N15" t="s">
        <v>1155</v>
      </c>
      <c r="O15" t="s">
        <v>77</v>
      </c>
      <c r="P15" t="s">
        <v>1225</v>
      </c>
      <c r="W15" t="s">
        <v>1226</v>
      </c>
      <c r="Y15" s="44">
        <f>-(Y7-Y14)</f>
        <v>0</v>
      </c>
      <c r="Z15" s="50"/>
      <c r="AA15" s="7"/>
      <c r="AB15" s="5"/>
    </row>
    <row r="16" spans="1:31" x14ac:dyDescent="0.2">
      <c r="A16" t="s">
        <v>1146</v>
      </c>
      <c r="B16" s="56">
        <v>0.5</v>
      </c>
      <c r="C16" s="56">
        <v>1</v>
      </c>
      <c r="G16" s="56"/>
      <c r="H16" s="56"/>
      <c r="I16" s="56"/>
      <c r="J16" s="56"/>
      <c r="K16" s="56"/>
      <c r="L16" s="54" t="s">
        <v>1224</v>
      </c>
      <c r="N16">
        <v>2030</v>
      </c>
      <c r="O16" s="41">
        <f>$B$10*$B$15*B19</f>
        <v>3.3000000000000002E-2</v>
      </c>
      <c r="P16" s="41">
        <f>$B$11*$B$15*B19</f>
        <v>2.1000000000000001E-2</v>
      </c>
      <c r="Z16" s="44"/>
      <c r="AA16" s="7"/>
    </row>
    <row r="17" spans="1:31" x14ac:dyDescent="0.2">
      <c r="B17" s="56"/>
      <c r="N17">
        <v>2040</v>
      </c>
      <c r="O17" s="41">
        <f>$B$10*$B$15*B20</f>
        <v>0.13200000000000001</v>
      </c>
      <c r="P17" s="41">
        <f>$B$11*$B$15*B20</f>
        <v>8.4000000000000005E-2</v>
      </c>
    </row>
    <row r="18" spans="1:31" x14ac:dyDescent="0.2">
      <c r="B18" t="s">
        <v>3</v>
      </c>
      <c r="C18" t="s">
        <v>1227</v>
      </c>
      <c r="D18" t="s">
        <v>1228</v>
      </c>
      <c r="N18">
        <v>2050</v>
      </c>
      <c r="O18" s="41">
        <f>$B$10*$B$15*B21</f>
        <v>0.33</v>
      </c>
      <c r="P18" s="41">
        <f>$B$11*$B$15*B21</f>
        <v>0.21</v>
      </c>
      <c r="W18" t="s">
        <v>1229</v>
      </c>
      <c r="X18" s="56"/>
      <c r="Y18" s="55">
        <v>1</v>
      </c>
      <c r="Z18" s="280" t="s">
        <v>1217</v>
      </c>
    </row>
    <row r="19" spans="1:31" x14ac:dyDescent="0.2">
      <c r="A19" t="s">
        <v>1150</v>
      </c>
      <c r="B19" s="55">
        <v>0.1</v>
      </c>
      <c r="C19" s="55">
        <v>0.1</v>
      </c>
      <c r="D19" s="55">
        <v>0.2</v>
      </c>
      <c r="N19" t="s">
        <v>1159</v>
      </c>
      <c r="O19" t="s">
        <v>1164</v>
      </c>
      <c r="P19" t="s">
        <v>1165</v>
      </c>
      <c r="X19" s="56"/>
      <c r="Z19" s="54"/>
      <c r="AE19" s="41"/>
    </row>
    <row r="20" spans="1:31" x14ac:dyDescent="0.2">
      <c r="A20" t="s">
        <v>1151</v>
      </c>
      <c r="B20" s="55">
        <v>0.4</v>
      </c>
      <c r="C20" s="55">
        <v>0.5</v>
      </c>
      <c r="D20" s="55">
        <v>0.7</v>
      </c>
      <c r="N20">
        <v>2030</v>
      </c>
      <c r="O20" s="41">
        <f>$B$10*$B$16*B19</f>
        <v>1.6500000000000001E-2</v>
      </c>
      <c r="P20" s="41">
        <f>$B$11*$B$16*B19</f>
        <v>1.0500000000000001E-2</v>
      </c>
      <c r="X20" s="56"/>
      <c r="AE20" s="41"/>
    </row>
    <row r="21" spans="1:31" x14ac:dyDescent="0.2">
      <c r="A21" t="s">
        <v>1152</v>
      </c>
      <c r="B21" s="55">
        <v>1</v>
      </c>
      <c r="C21" s="55">
        <v>1</v>
      </c>
      <c r="D21" s="55">
        <v>1</v>
      </c>
      <c r="N21">
        <v>2040</v>
      </c>
      <c r="O21" s="41">
        <f>$B$10*$B$16*B20</f>
        <v>6.6000000000000003E-2</v>
      </c>
      <c r="P21" s="41">
        <f>$B$11*$B$16*B20</f>
        <v>4.2000000000000003E-2</v>
      </c>
      <c r="AE21" s="41"/>
    </row>
    <row r="22" spans="1:31" x14ac:dyDescent="0.2">
      <c r="A22" s="54" t="s">
        <v>929</v>
      </c>
      <c r="B22" s="175" t="s">
        <v>1230</v>
      </c>
      <c r="C22" s="54" t="s">
        <v>1231</v>
      </c>
      <c r="D22" s="54" t="s">
        <v>1231</v>
      </c>
      <c r="N22">
        <v>2050</v>
      </c>
      <c r="O22" s="41">
        <f>$B$10*$B$16*B21</f>
        <v>0.16500000000000001</v>
      </c>
      <c r="P22" s="41">
        <f>$B$11*$B$16*B21</f>
        <v>0.105</v>
      </c>
      <c r="X22" s="55"/>
      <c r="Y22" s="55"/>
      <c r="Z22" s="55"/>
    </row>
    <row r="23" spans="1:31" ht="16" thickBot="1" x14ac:dyDescent="0.25"/>
    <row r="24" spans="1:31" s="173" customFormat="1" ht="16" thickBot="1" x14ac:dyDescent="0.25">
      <c r="A24" s="171" t="s">
        <v>1183</v>
      </c>
      <c r="B24" s="172"/>
      <c r="C24" s="172"/>
    </row>
    <row r="25" spans="1:31" x14ac:dyDescent="0.2">
      <c r="C25" t="s">
        <v>1232</v>
      </c>
      <c r="D25" t="s">
        <v>1233</v>
      </c>
      <c r="E25" t="s">
        <v>715</v>
      </c>
    </row>
    <row r="26" spans="1:31" x14ac:dyDescent="0.2">
      <c r="C26" s="44">
        <f>27*(1+3.3%)^5</f>
        <v>31.758894145990595</v>
      </c>
      <c r="D26" s="43">
        <f>SUM(D27:D31)</f>
        <v>6.6153776506098412</v>
      </c>
      <c r="E26" s="43">
        <f>SUM(E27:E31)</f>
        <v>13.656324482775956</v>
      </c>
      <c r="L26" t="s">
        <v>1234</v>
      </c>
    </row>
    <row r="27" spans="1:31" x14ac:dyDescent="0.2">
      <c r="A27" t="s">
        <v>477</v>
      </c>
      <c r="B27" s="6">
        <v>0.25</v>
      </c>
      <c r="C27" s="44">
        <f>B27*$C$26</f>
        <v>7.9397235364976488</v>
      </c>
      <c r="D27" s="43">
        <f>0</f>
        <v>0</v>
      </c>
      <c r="E27" s="43">
        <f>C27*1</f>
        <v>7.9397235364976488</v>
      </c>
    </row>
    <row r="28" spans="1:31" x14ac:dyDescent="0.2">
      <c r="A28" t="s">
        <v>258</v>
      </c>
      <c r="B28" s="6">
        <v>0.1</v>
      </c>
      <c r="C28" s="44">
        <f t="shared" ref="C28:C31" si="6">B28*$C$26</f>
        <v>3.1758894145990597</v>
      </c>
      <c r="D28" s="43">
        <f>C28*1</f>
        <v>3.1758894145990597</v>
      </c>
      <c r="E28" s="43">
        <f>0</f>
        <v>0</v>
      </c>
      <c r="V28" t="s">
        <v>1235</v>
      </c>
      <c r="W28" t="s">
        <v>1236</v>
      </c>
    </row>
    <row r="29" spans="1:31" x14ac:dyDescent="0.2">
      <c r="A29" t="s">
        <v>478</v>
      </c>
      <c r="B29" s="6">
        <v>0.02</v>
      </c>
      <c r="C29" s="44">
        <f t="shared" si="6"/>
        <v>0.63517788291981192</v>
      </c>
      <c r="D29" s="43">
        <f>C29*0.27</f>
        <v>0.17149802838834924</v>
      </c>
      <c r="E29" s="43">
        <f>0</f>
        <v>0</v>
      </c>
      <c r="W29">
        <v>100</v>
      </c>
    </row>
    <row r="30" spans="1:31" x14ac:dyDescent="0.2">
      <c r="A30" t="s">
        <v>480</v>
      </c>
      <c r="B30" s="6">
        <v>0.03</v>
      </c>
      <c r="C30" s="44">
        <f t="shared" si="6"/>
        <v>0.95276682437971782</v>
      </c>
      <c r="D30" s="43">
        <f>C30*0.43</f>
        <v>0.40968973448327867</v>
      </c>
      <c r="E30" s="43">
        <f>0</f>
        <v>0</v>
      </c>
      <c r="V30">
        <f>W29</f>
        <v>100</v>
      </c>
      <c r="W30">
        <v>100</v>
      </c>
    </row>
    <row r="31" spans="1:31" x14ac:dyDescent="0.2">
      <c r="A31" t="s">
        <v>248</v>
      </c>
      <c r="B31" s="6">
        <v>0.6</v>
      </c>
      <c r="C31" s="44">
        <f t="shared" si="6"/>
        <v>19.055336487594356</v>
      </c>
      <c r="D31" s="43">
        <f>C31*0.15</f>
        <v>2.8583004731391535</v>
      </c>
      <c r="E31" s="43">
        <f>C31*0.3</f>
        <v>5.7166009462783069</v>
      </c>
      <c r="W31">
        <v>200</v>
      </c>
    </row>
    <row r="32" spans="1:31" x14ac:dyDescent="0.2">
      <c r="V32">
        <f>W31</f>
        <v>200</v>
      </c>
      <c r="W32">
        <f>W31*0.1</f>
        <v>20</v>
      </c>
    </row>
    <row r="33" spans="1:23" x14ac:dyDescent="0.2">
      <c r="A33" t="s">
        <v>1237</v>
      </c>
      <c r="V33">
        <f>SUM(V32:W32)-W33</f>
        <v>147.39999999999998</v>
      </c>
      <c r="W33">
        <f>(0.33*SUM(V32:W32))</f>
        <v>72.600000000000009</v>
      </c>
    </row>
    <row r="34" spans="1:23" x14ac:dyDescent="0.2">
      <c r="A34" s="5" t="s">
        <v>1209</v>
      </c>
      <c r="V34">
        <f>V33-W34</f>
        <v>101.19999999999999</v>
      </c>
      <c r="W34">
        <f>(0.21*SUM(V32:W32))</f>
        <v>46.199999999999996</v>
      </c>
    </row>
    <row r="35" spans="1:23" x14ac:dyDescent="0.2">
      <c r="V35">
        <v>0</v>
      </c>
      <c r="W35">
        <v>0</v>
      </c>
    </row>
    <row r="36" spans="1:23" x14ac:dyDescent="0.2">
      <c r="C36" t="s">
        <v>1238</v>
      </c>
      <c r="F36" t="s">
        <v>265</v>
      </c>
      <c r="L36" t="s">
        <v>1057</v>
      </c>
      <c r="M36" t="s">
        <v>480</v>
      </c>
      <c r="N36" t="s">
        <v>192</v>
      </c>
      <c r="W36">
        <f>V34</f>
        <v>101.19999999999999</v>
      </c>
    </row>
    <row r="37" spans="1:23" x14ac:dyDescent="0.2">
      <c r="A37" t="s">
        <v>5</v>
      </c>
      <c r="B37" t="s">
        <v>265</v>
      </c>
      <c r="C37" s="6">
        <v>0.32</v>
      </c>
      <c r="F37" s="6">
        <v>0.32</v>
      </c>
      <c r="G37" s="6"/>
      <c r="H37" s="6"/>
      <c r="I37" s="6"/>
      <c r="J37" s="6"/>
      <c r="K37" s="6"/>
      <c r="L37" s="6">
        <v>0.17</v>
      </c>
      <c r="M37" s="6">
        <v>0.16</v>
      </c>
      <c r="N37" s="6">
        <v>0.35</v>
      </c>
    </row>
    <row r="38" spans="1:23" x14ac:dyDescent="0.2">
      <c r="A38" t="s">
        <v>5</v>
      </c>
      <c r="B38" t="s">
        <v>1057</v>
      </c>
      <c r="C38" s="6">
        <v>0.17</v>
      </c>
    </row>
    <row r="39" spans="1:23" x14ac:dyDescent="0.2">
      <c r="A39" t="s">
        <v>4</v>
      </c>
      <c r="B39" t="s">
        <v>480</v>
      </c>
      <c r="C39" s="6">
        <v>0.16</v>
      </c>
    </row>
    <row r="40" spans="1:23" x14ac:dyDescent="0.2">
      <c r="B40" t="s">
        <v>192</v>
      </c>
      <c r="C40" s="6">
        <v>0.35</v>
      </c>
    </row>
    <row r="41" spans="1:23" x14ac:dyDescent="0.2">
      <c r="C41" s="6">
        <f>SUM(C2:C11)</f>
        <v>76.546193164918265</v>
      </c>
    </row>
    <row r="42" spans="1:23" x14ac:dyDescent="0.2">
      <c r="B42" s="22" t="s">
        <v>1239</v>
      </c>
    </row>
    <row r="45" spans="1:23" x14ac:dyDescent="0.2">
      <c r="C45" t="s">
        <v>1240</v>
      </c>
    </row>
    <row r="46" spans="1:23" x14ac:dyDescent="0.2">
      <c r="A46" t="s">
        <v>1241</v>
      </c>
      <c r="B46" s="6">
        <f>Propylene!B46</f>
        <v>0.11399256254225829</v>
      </c>
      <c r="C46" s="24">
        <f>(($W$36-$W$29)/$W$29)*B46</f>
        <v>1.3679107505070863E-3</v>
      </c>
    </row>
    <row r="47" spans="1:23" x14ac:dyDescent="0.2">
      <c r="A47" t="s">
        <v>1242</v>
      </c>
      <c r="B47" s="6">
        <f>Ethylene!B47</f>
        <v>4.3809889202168155E-2</v>
      </c>
      <c r="C47" s="24">
        <f>(($W$36-$W$29)/$W$29)*B47</f>
        <v>5.2571867042601288E-4</v>
      </c>
    </row>
  </sheetData>
  <phoneticPr fontId="20" type="noConversion"/>
  <hyperlinks>
    <hyperlink ref="A34" r:id="rId1" xr:uid="{1218B9AA-0E85-44B6-BE73-B45DDCF9EA8D}"/>
    <hyperlink ref="L5" r:id="rId2" xr:uid="{1DAB214B-1E6F-4E68-9A32-7D44F207471D}"/>
    <hyperlink ref="L12" r:id="rId3" xr:uid="{A8F2143D-1F21-4463-8865-588736ADDA79}"/>
    <hyperlink ref="AB5" r:id="rId4" xr:uid="{235B00F2-9E61-4A6E-9D54-D409E42F4CE3}"/>
    <hyperlink ref="AB14" r:id="rId5" xr:uid="{D7A93D59-9E2E-4006-B1B2-5470A8697C00}"/>
  </hyperlinks>
  <pageMargins left="0.7" right="0.7" top="0.75" bottom="0.75" header="0.3" footer="0.3"/>
  <drawing r:id="rId6"/>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sheetPr>
  <dimension ref="A1:AC110"/>
  <sheetViews>
    <sheetView workbookViewId="0">
      <selection activeCell="B16" sqref="B16"/>
    </sheetView>
  </sheetViews>
  <sheetFormatPr baseColWidth="10" defaultColWidth="8.83203125" defaultRowHeight="15" x14ac:dyDescent="0.2"/>
  <cols>
    <col min="1" max="1" width="29.83203125" customWidth="1"/>
    <col min="2" max="2" width="16.1640625" customWidth="1"/>
    <col min="3" max="8" width="14.83203125" customWidth="1"/>
    <col min="9" max="18" width="22.83203125" customWidth="1"/>
  </cols>
  <sheetData>
    <row r="1" spans="1:18" x14ac:dyDescent="0.2">
      <c r="A1" s="46" t="s">
        <v>1110</v>
      </c>
      <c r="B1" s="46"/>
      <c r="C1" s="46"/>
      <c r="D1" s="46"/>
      <c r="E1" s="46"/>
      <c r="F1" s="46"/>
      <c r="G1" s="46"/>
      <c r="H1" s="46"/>
      <c r="I1" s="46"/>
      <c r="J1" s="46"/>
      <c r="K1" s="46"/>
      <c r="L1" s="1"/>
      <c r="M1" s="1"/>
      <c r="N1" s="1"/>
      <c r="O1" s="1"/>
    </row>
    <row r="2" spans="1:18" ht="16" thickBot="1" x14ac:dyDescent="0.25">
      <c r="A2" s="45"/>
      <c r="B2" s="45" t="s">
        <v>1111</v>
      </c>
      <c r="C2" s="45" t="s">
        <v>1112</v>
      </c>
      <c r="D2" s="45" t="s">
        <v>6</v>
      </c>
      <c r="E2" s="45" t="s">
        <v>7</v>
      </c>
      <c r="F2" s="45" t="s">
        <v>8</v>
      </c>
      <c r="G2" s="45" t="s">
        <v>166</v>
      </c>
      <c r="H2" s="45" t="s">
        <v>766</v>
      </c>
      <c r="I2" s="45" t="s">
        <v>5</v>
      </c>
      <c r="J2" s="45" t="s">
        <v>4</v>
      </c>
      <c r="K2" s="45" t="s">
        <v>6</v>
      </c>
      <c r="L2" s="45" t="s">
        <v>7</v>
      </c>
      <c r="M2" s="45" t="s">
        <v>8</v>
      </c>
      <c r="N2" s="45" t="s">
        <v>166</v>
      </c>
      <c r="O2" s="45" t="s">
        <v>766</v>
      </c>
      <c r="P2" t="s">
        <v>96</v>
      </c>
    </row>
    <row r="3" spans="1:18" x14ac:dyDescent="0.2">
      <c r="B3" t="s">
        <v>462</v>
      </c>
      <c r="C3" t="s">
        <v>462</v>
      </c>
      <c r="D3" t="s">
        <v>462</v>
      </c>
      <c r="I3" t="s">
        <v>704</v>
      </c>
      <c r="J3" t="s">
        <v>704</v>
      </c>
      <c r="K3" t="s">
        <v>704</v>
      </c>
      <c r="L3" t="s">
        <v>704</v>
      </c>
      <c r="M3" t="s">
        <v>704</v>
      </c>
      <c r="N3" t="s">
        <v>704</v>
      </c>
      <c r="O3" t="s">
        <v>704</v>
      </c>
    </row>
    <row r="4" spans="1:18" x14ac:dyDescent="0.2">
      <c r="A4" t="s">
        <v>1</v>
      </c>
      <c r="I4" s="44">
        <f>'Demand Breakdown - Propylene'!K51</f>
        <v>12.379169704702877</v>
      </c>
      <c r="J4" s="44">
        <f>'Demand Breakdown - Ethylene'!K64</f>
        <v>34.871127768537121</v>
      </c>
      <c r="K4" s="43">
        <f>'Demand - Industry shares'!L83</f>
        <v>3.219812080101577</v>
      </c>
      <c r="L4" s="43">
        <f>'Demand - Industry shares'!L98</f>
        <v>12.002819069097551</v>
      </c>
      <c r="M4" s="43">
        <f>'Demand - Industry shares'!L112</f>
        <v>2.5611801774531888</v>
      </c>
      <c r="N4" s="43">
        <f>'Demand - Industry shares'!L126</f>
        <v>0.16910821079379051</v>
      </c>
      <c r="O4" s="43">
        <f>'Demand Breakdown - C4'!I27</f>
        <v>3.2944819611007432</v>
      </c>
      <c r="P4" s="7"/>
    </row>
    <row r="5" spans="1:18" x14ac:dyDescent="0.2">
      <c r="A5" t="s">
        <v>1123</v>
      </c>
      <c r="B5" s="514">
        <f>'Demand Breakdown - Propylene'!L51</f>
        <v>1.7000000000000001E-2</v>
      </c>
      <c r="C5" s="514">
        <f>'Demand Breakdown - Ethylene'!L64</f>
        <v>1.7000000000000001E-2</v>
      </c>
      <c r="D5" s="514">
        <f>'Demand Breakdown - Methanol'!N38</f>
        <v>1.7000000000000001E-2</v>
      </c>
      <c r="E5" s="514">
        <f>'Demand Breakdown - BTX'!L71</f>
        <v>1.0955353563799175E-2</v>
      </c>
      <c r="F5" s="514">
        <f>'Demand Breakdown - BTX'!L81</f>
        <v>1.0955353563799175E-2</v>
      </c>
      <c r="G5" s="514">
        <f>'Demand Breakdown - BTX'!L91</f>
        <v>1.0955353563799175E-2</v>
      </c>
      <c r="H5" s="514">
        <f>'Demand Breakdown - C4'!K27</f>
        <v>1.429032820306686E-2</v>
      </c>
      <c r="I5" s="44">
        <f>I4*(1+C5)^30-I4</f>
        <v>8.147576106790579</v>
      </c>
      <c r="J5" s="44">
        <f>J4*(1+C5)^30-J4</f>
        <v>22.951068141172541</v>
      </c>
      <c r="K5" s="44">
        <f>K4*(1+D5)^30-K4</f>
        <v>2.1191779899604288</v>
      </c>
      <c r="L5" s="43">
        <f>L4*(1+E5)^30-L4</f>
        <v>4.6406001542070214</v>
      </c>
      <c r="M5" s="43">
        <f>M4*(1+F5)^30-M4</f>
        <v>0.99021846934620683</v>
      </c>
      <c r="N5" s="43">
        <f>N4*(1+G5)^30-N4</f>
        <v>6.5381606151823923E-2</v>
      </c>
      <c r="O5" s="43">
        <f>'Demand Breakdown - C4'!L27-'Demand Breakdown - C4'!I27</f>
        <v>1.7481313072166156</v>
      </c>
      <c r="P5" s="5" t="s">
        <v>1160</v>
      </c>
    </row>
    <row r="6" spans="1:18" x14ac:dyDescent="0.2">
      <c r="A6" t="s">
        <v>1125</v>
      </c>
      <c r="I6" s="44">
        <f>SUM(I4:I5)</f>
        <v>20.526745811493456</v>
      </c>
      <c r="J6" s="44">
        <f>SUM(J4:J5)</f>
        <v>57.822195909709663</v>
      </c>
      <c r="K6" s="44">
        <f>SUM(K4:K5)</f>
        <v>5.3389900700620059</v>
      </c>
      <c r="L6" s="43">
        <f t="shared" ref="L6:N6" si="0">SUM(L4:L5)</f>
        <v>16.643419223304573</v>
      </c>
      <c r="M6" s="43">
        <f t="shared" si="0"/>
        <v>3.5513986467993957</v>
      </c>
      <c r="N6" s="43">
        <f t="shared" si="0"/>
        <v>0.23448981694561444</v>
      </c>
      <c r="O6" s="43">
        <f>'Demand Breakdown - C4'!L27</f>
        <v>5.0426132683173588</v>
      </c>
    </row>
    <row r="7" spans="1:18" ht="16" x14ac:dyDescent="0.2">
      <c r="A7" t="s">
        <v>183</v>
      </c>
      <c r="B7" s="679">
        <v>0.55000000000000004</v>
      </c>
      <c r="C7" s="679">
        <v>0.55000000000000004</v>
      </c>
      <c r="D7" s="679">
        <v>0.55000000000000004</v>
      </c>
      <c r="E7" s="679">
        <v>0.55000000000000004</v>
      </c>
      <c r="F7" s="679">
        <v>0.55000000000000004</v>
      </c>
      <c r="G7" s="679">
        <v>0.55000000000000004</v>
      </c>
      <c r="H7" s="679">
        <v>0.55000000000000004</v>
      </c>
      <c r="I7" s="49">
        <f>$I$6*B7</f>
        <v>11.289710196321401</v>
      </c>
      <c r="J7" s="49">
        <f>$J$6*C7</f>
        <v>31.802207750340319</v>
      </c>
      <c r="K7" s="440">
        <f>$K$6*D7</f>
        <v>2.9364445385341034</v>
      </c>
      <c r="L7" s="49">
        <f>$L$6*E7</f>
        <v>9.1538805728175152</v>
      </c>
      <c r="M7" s="49">
        <f>$M$6*F7</f>
        <v>1.9532692557396678</v>
      </c>
      <c r="N7" s="49">
        <f>$N$6*G7</f>
        <v>0.12896939932008794</v>
      </c>
      <c r="O7" s="49">
        <f>O6*H7</f>
        <v>2.7734372975745476</v>
      </c>
      <c r="P7" s="5" t="s">
        <v>1160</v>
      </c>
    </row>
    <row r="8" spans="1:18" ht="16" x14ac:dyDescent="0.2">
      <c r="A8" t="s">
        <v>28</v>
      </c>
      <c r="B8" s="679">
        <f>Q36</f>
        <v>0</v>
      </c>
      <c r="C8" s="679">
        <f>Q27</f>
        <v>0.19373223635003736</v>
      </c>
      <c r="D8" s="679">
        <f>$P$46</f>
        <v>0.17912863070539423</v>
      </c>
      <c r="E8" s="679">
        <f t="shared" ref="E8:G8" si="1">$P$46</f>
        <v>0.17912863070539423</v>
      </c>
      <c r="F8" s="679">
        <f t="shared" si="1"/>
        <v>0.17912863070539423</v>
      </c>
      <c r="G8" s="679">
        <f t="shared" si="1"/>
        <v>0.17912863070539423</v>
      </c>
      <c r="H8" s="679">
        <v>0</v>
      </c>
      <c r="I8" s="49">
        <f>$I$6*B8</f>
        <v>0</v>
      </c>
      <c r="J8" s="49">
        <f>$J$6*C8</f>
        <v>11.202023324258036</v>
      </c>
      <c r="K8" s="440">
        <f>$K$6*D8</f>
        <v>0.95636598059990385</v>
      </c>
      <c r="L8" s="49">
        <f>$L$6*E8</f>
        <v>2.9813128957263841</v>
      </c>
      <c r="M8" s="49">
        <f>$M$6*F8</f>
        <v>0.63615717669016569</v>
      </c>
      <c r="N8" s="49">
        <f>$N$6*G8</f>
        <v>4.200383982382646E-2</v>
      </c>
      <c r="O8" s="49">
        <f>O6*H8</f>
        <v>0</v>
      </c>
      <c r="P8" s="5" t="s">
        <v>1161</v>
      </c>
    </row>
    <row r="9" spans="1:18" x14ac:dyDescent="0.2">
      <c r="A9" t="s">
        <v>1129</v>
      </c>
      <c r="B9" s="48"/>
      <c r="I9" s="44">
        <f>I6-I7-I8</f>
        <v>9.2370356151720543</v>
      </c>
      <c r="J9" s="44">
        <f>J6-J7-J8</f>
        <v>14.817964835111308</v>
      </c>
      <c r="K9" s="44">
        <f>K6-K7-K8</f>
        <v>1.4461795509279987</v>
      </c>
      <c r="L9" s="44">
        <f>L6-L7-L8</f>
        <v>4.508225754760673</v>
      </c>
      <c r="M9" s="44">
        <f t="shared" ref="M9:N9" si="2">M6-M7-M8</f>
        <v>0.96197221436956215</v>
      </c>
      <c r="N9" s="44">
        <f t="shared" si="2"/>
        <v>6.351657780170003E-2</v>
      </c>
      <c r="O9" s="44">
        <f>O6-O7-O8</f>
        <v>2.2691759707428112</v>
      </c>
    </row>
    <row r="10" spans="1:18" x14ac:dyDescent="0.2">
      <c r="B10" t="s">
        <v>1162</v>
      </c>
      <c r="C10" t="s">
        <v>1163</v>
      </c>
      <c r="P10" t="s">
        <v>1154</v>
      </c>
    </row>
    <row r="11" spans="1:18" x14ac:dyDescent="0.2">
      <c r="A11" t="s">
        <v>1143</v>
      </c>
      <c r="B11" s="56">
        <f>100%</f>
        <v>1</v>
      </c>
      <c r="C11" s="55">
        <v>1</v>
      </c>
      <c r="D11" s="55"/>
      <c r="E11" s="55"/>
      <c r="F11" s="55"/>
      <c r="G11" s="55"/>
      <c r="H11" s="55"/>
      <c r="I11" s="44"/>
      <c r="J11" s="44"/>
      <c r="P11" t="s">
        <v>1155</v>
      </c>
      <c r="Q11" t="s">
        <v>1164</v>
      </c>
      <c r="R11" t="s">
        <v>1165</v>
      </c>
    </row>
    <row r="12" spans="1:18" x14ac:dyDescent="0.2">
      <c r="A12" t="s">
        <v>1146</v>
      </c>
      <c r="B12" s="56">
        <f>0.22/C7</f>
        <v>0.39999999999999997</v>
      </c>
      <c r="C12" s="55">
        <v>0.5</v>
      </c>
      <c r="D12" s="55"/>
      <c r="E12" s="55"/>
      <c r="F12" s="55"/>
      <c r="G12" s="55"/>
      <c r="H12" s="55"/>
      <c r="I12" s="44"/>
      <c r="J12" s="272" t="s">
        <v>1166</v>
      </c>
      <c r="P12">
        <v>2030</v>
      </c>
      <c r="Q12" s="41">
        <f>$C$7*$B$11*B15</f>
        <v>0.18150000000000002</v>
      </c>
      <c r="R12" s="41">
        <f>$C$8*$C$11*B15</f>
        <v>6.3931637995512339E-2</v>
      </c>
    </row>
    <row r="13" spans="1:18" x14ac:dyDescent="0.2">
      <c r="B13" s="56"/>
      <c r="I13" s="44"/>
      <c r="J13" s="44"/>
      <c r="P13">
        <v>2040</v>
      </c>
      <c r="Q13" s="41">
        <f t="shared" ref="Q13:Q14" si="3">$C$7*$B$11*B16</f>
        <v>0.36300000000000004</v>
      </c>
      <c r="R13" s="41">
        <f t="shared" ref="R13:R14" si="4">$C$8*$C$11*B16</f>
        <v>0.12786327599102468</v>
      </c>
    </row>
    <row r="14" spans="1:18" x14ac:dyDescent="0.2">
      <c r="B14" t="s">
        <v>3</v>
      </c>
      <c r="P14">
        <v>2050</v>
      </c>
      <c r="Q14" s="41">
        <f t="shared" si="3"/>
        <v>0.55000000000000004</v>
      </c>
      <c r="R14" s="41">
        <f t="shared" si="4"/>
        <v>0.19373223635003736</v>
      </c>
    </row>
    <row r="15" spans="1:18" x14ac:dyDescent="0.2">
      <c r="A15" t="s">
        <v>1150</v>
      </c>
      <c r="B15" s="55">
        <v>0.33</v>
      </c>
      <c r="C15" s="55"/>
      <c r="D15" s="55"/>
      <c r="E15" s="55"/>
      <c r="F15" s="55"/>
      <c r="G15" s="55"/>
      <c r="H15" s="55"/>
      <c r="P15" t="s">
        <v>1159</v>
      </c>
      <c r="Q15" t="s">
        <v>1164</v>
      </c>
      <c r="R15" t="s">
        <v>1165</v>
      </c>
    </row>
    <row r="16" spans="1:18" x14ac:dyDescent="0.2">
      <c r="A16" t="s">
        <v>1151</v>
      </c>
      <c r="B16" s="55">
        <v>0.66</v>
      </c>
      <c r="C16" s="55"/>
      <c r="D16" s="55"/>
      <c r="E16" s="55"/>
      <c r="F16" s="55"/>
      <c r="G16" s="55"/>
      <c r="H16" s="55"/>
      <c r="P16">
        <v>2030</v>
      </c>
      <c r="Q16" s="41">
        <f>$C$7*$B$12*B15</f>
        <v>7.2599999999999998E-2</v>
      </c>
      <c r="R16" s="41">
        <f>$C$8*$C$12*B15</f>
        <v>3.1965818997756169E-2</v>
      </c>
    </row>
    <row r="17" spans="1:19" x14ac:dyDescent="0.2">
      <c r="A17" t="s">
        <v>1152</v>
      </c>
      <c r="B17" s="55">
        <v>1</v>
      </c>
      <c r="C17" s="55"/>
      <c r="D17" s="55"/>
      <c r="E17" s="55"/>
      <c r="F17" s="55"/>
      <c r="G17" s="55"/>
      <c r="H17" s="55"/>
      <c r="P17">
        <v>2040</v>
      </c>
      <c r="Q17" s="41">
        <f t="shared" ref="Q17:Q18" si="5">$C$7*$B$12*B16</f>
        <v>0.1452</v>
      </c>
      <c r="R17" s="41">
        <f t="shared" ref="R17:R18" si="6">$C$8*$C$12*B16</f>
        <v>6.3931637995512339E-2</v>
      </c>
    </row>
    <row r="18" spans="1:19" ht="16" thickBot="1" x14ac:dyDescent="0.25">
      <c r="B18" s="55"/>
      <c r="C18" s="55"/>
      <c r="D18" s="55"/>
      <c r="E18" s="55"/>
      <c r="F18" s="55"/>
      <c r="G18" s="55"/>
      <c r="H18" s="55"/>
      <c r="P18">
        <v>2050</v>
      </c>
      <c r="Q18" s="41">
        <f t="shared" si="5"/>
        <v>0.22</v>
      </c>
      <c r="R18" s="41">
        <f t="shared" si="6"/>
        <v>9.6866118175018681E-2</v>
      </c>
    </row>
    <row r="19" spans="1:19" s="173" customFormat="1" ht="16" thickBot="1" x14ac:dyDescent="0.25">
      <c r="A19" s="171" t="s">
        <v>1167</v>
      </c>
      <c r="B19" s="172"/>
      <c r="C19" s="172"/>
      <c r="D19" s="172"/>
      <c r="E19" s="172"/>
      <c r="F19" s="172"/>
      <c r="G19" s="172"/>
      <c r="H19" s="172"/>
    </row>
    <row r="20" spans="1:19" x14ac:dyDescent="0.2">
      <c r="A20" t="s">
        <v>1168</v>
      </c>
      <c r="J20" s="276" t="s">
        <v>4</v>
      </c>
      <c r="K20" s="276"/>
      <c r="L20" s="276"/>
      <c r="M20" s="276"/>
      <c r="N20" s="276"/>
      <c r="O20" s="276"/>
      <c r="P20" s="276"/>
      <c r="Q20" s="276"/>
    </row>
    <row r="21" spans="1:19" x14ac:dyDescent="0.2">
      <c r="C21" t="s">
        <v>4</v>
      </c>
      <c r="J21" t="s">
        <v>1169</v>
      </c>
      <c r="K21" t="s">
        <v>1170</v>
      </c>
      <c r="P21" t="s">
        <v>1171</v>
      </c>
      <c r="Q21" t="s">
        <v>1172</v>
      </c>
    </row>
    <row r="22" spans="1:19" x14ac:dyDescent="0.2">
      <c r="A22" t="s">
        <v>831</v>
      </c>
      <c r="B22" t="s">
        <v>1173</v>
      </c>
      <c r="C22" s="51">
        <v>31.6</v>
      </c>
      <c r="D22" s="51"/>
      <c r="E22" s="51"/>
      <c r="F22" s="51"/>
      <c r="G22" s="51"/>
      <c r="H22" s="51"/>
      <c r="J22" s="127">
        <f>$C$7</f>
        <v>0.55000000000000004</v>
      </c>
      <c r="K22">
        <f>C22*(1-J22)</f>
        <v>14.219999999999999</v>
      </c>
      <c r="P22" s="56">
        <f>50%</f>
        <v>0.5</v>
      </c>
      <c r="Q22">
        <f>P22*K22</f>
        <v>7.1099999999999994</v>
      </c>
      <c r="S22" t="s">
        <v>1174</v>
      </c>
    </row>
    <row r="23" spans="1:19" x14ac:dyDescent="0.2">
      <c r="A23" t="s">
        <v>831</v>
      </c>
      <c r="B23" t="s">
        <v>1175</v>
      </c>
      <c r="C23" s="51">
        <f>25.7+30</f>
        <v>55.7</v>
      </c>
      <c r="D23" s="51"/>
      <c r="E23" s="51"/>
      <c r="F23" s="51"/>
      <c r="G23" s="51"/>
      <c r="H23" s="51"/>
      <c r="J23" s="127">
        <f t="shared" ref="J23:J26" si="7">$C$7</f>
        <v>0.55000000000000004</v>
      </c>
      <c r="K23">
        <f>C23*(1-J23)</f>
        <v>25.064999999999998</v>
      </c>
      <c r="P23" s="56">
        <v>0</v>
      </c>
      <c r="Q23">
        <f t="shared" ref="Q23:Q26" si="8">P23*K23</f>
        <v>0</v>
      </c>
      <c r="S23" t="s">
        <v>1176</v>
      </c>
    </row>
    <row r="24" spans="1:19" x14ac:dyDescent="0.2">
      <c r="A24" t="s">
        <v>831</v>
      </c>
      <c r="B24" t="s">
        <v>1177</v>
      </c>
      <c r="C24" s="51">
        <f>8.2+20</f>
        <v>28.2</v>
      </c>
      <c r="D24" s="51"/>
      <c r="E24" s="51"/>
      <c r="F24" s="51"/>
      <c r="G24" s="51"/>
      <c r="H24" s="51"/>
      <c r="J24" s="127">
        <f t="shared" si="7"/>
        <v>0.55000000000000004</v>
      </c>
      <c r="K24">
        <f>C24*(1-J24)</f>
        <v>12.689999999999998</v>
      </c>
      <c r="P24" s="56">
        <v>0.9</v>
      </c>
      <c r="Q24">
        <f t="shared" si="8"/>
        <v>11.420999999999998</v>
      </c>
      <c r="S24" t="s">
        <v>1178</v>
      </c>
    </row>
    <row r="25" spans="1:19" x14ac:dyDescent="0.2">
      <c r="A25" t="s">
        <v>831</v>
      </c>
      <c r="B25" t="s">
        <v>1179</v>
      </c>
      <c r="C25" s="51">
        <v>8.1999999999999993</v>
      </c>
      <c r="D25" s="51"/>
      <c r="E25" s="51"/>
      <c r="F25" s="51"/>
      <c r="G25" s="51"/>
      <c r="H25" s="51"/>
      <c r="J25" s="127">
        <f t="shared" si="7"/>
        <v>0.55000000000000004</v>
      </c>
      <c r="K25">
        <f>C25*(1-J25)</f>
        <v>3.6899999999999995</v>
      </c>
      <c r="P25" s="56">
        <v>0.9</v>
      </c>
      <c r="Q25">
        <f t="shared" si="8"/>
        <v>3.3209999999999997</v>
      </c>
      <c r="S25" t="s">
        <v>1178</v>
      </c>
    </row>
    <row r="26" spans="1:19" x14ac:dyDescent="0.2">
      <c r="A26" t="s">
        <v>831</v>
      </c>
      <c r="B26" t="s">
        <v>1180</v>
      </c>
      <c r="C26" s="51">
        <v>10</v>
      </c>
      <c r="D26" s="51"/>
      <c r="E26" s="51"/>
      <c r="F26" s="51"/>
      <c r="G26" s="51"/>
      <c r="H26" s="51"/>
      <c r="J26" s="127">
        <f t="shared" si="7"/>
        <v>0.55000000000000004</v>
      </c>
      <c r="K26">
        <f>C26*(1-J26)</f>
        <v>4.5</v>
      </c>
      <c r="P26" s="56">
        <v>0.9</v>
      </c>
      <c r="Q26">
        <f t="shared" si="8"/>
        <v>4.05</v>
      </c>
      <c r="S26" t="s">
        <v>1178</v>
      </c>
    </row>
    <row r="27" spans="1:19" ht="16" thickBot="1" x14ac:dyDescent="0.25">
      <c r="C27">
        <f>SUM(C22:C26)</f>
        <v>133.70000000000002</v>
      </c>
      <c r="P27" s="273" t="s">
        <v>67</v>
      </c>
      <c r="Q27" s="274">
        <f>SUM(Q22:Q26)/C27</f>
        <v>0.19373223635003736</v>
      </c>
    </row>
    <row r="28" spans="1:19" ht="16" thickBot="1" x14ac:dyDescent="0.25">
      <c r="C28" s="2"/>
      <c r="D28" s="2"/>
      <c r="E28" s="2"/>
      <c r="F28" s="2"/>
      <c r="G28" s="2"/>
      <c r="H28" s="2"/>
      <c r="Q28" s="1"/>
      <c r="R28" s="275"/>
    </row>
    <row r="29" spans="1:19" x14ac:dyDescent="0.2">
      <c r="J29" s="276" t="s">
        <v>5</v>
      </c>
      <c r="K29" s="276"/>
      <c r="L29" s="276"/>
      <c r="M29" s="276"/>
      <c r="N29" s="276"/>
      <c r="O29" s="276"/>
      <c r="P29" s="276"/>
      <c r="Q29" s="276"/>
    </row>
    <row r="30" spans="1:19" x14ac:dyDescent="0.2">
      <c r="C30" t="s">
        <v>5</v>
      </c>
      <c r="J30" t="s">
        <v>1169</v>
      </c>
      <c r="K30" t="s">
        <v>1170</v>
      </c>
      <c r="P30" t="s">
        <v>1171</v>
      </c>
      <c r="Q30" t="s">
        <v>1172</v>
      </c>
    </row>
    <row r="31" spans="1:19" x14ac:dyDescent="0.2">
      <c r="B31" t="s">
        <v>1173</v>
      </c>
      <c r="C31" s="51">
        <v>0</v>
      </c>
      <c r="D31" s="51"/>
      <c r="E31" s="51"/>
      <c r="F31" s="51"/>
      <c r="G31" s="51"/>
      <c r="H31" s="51"/>
      <c r="J31" s="127">
        <f>$B$7</f>
        <v>0.55000000000000004</v>
      </c>
      <c r="K31">
        <f>C31*(1-J31)</f>
        <v>0</v>
      </c>
      <c r="P31" s="56">
        <f>50%</f>
        <v>0.5</v>
      </c>
      <c r="Q31">
        <f>P31*K31</f>
        <v>0</v>
      </c>
      <c r="S31" t="s">
        <v>1174</v>
      </c>
    </row>
    <row r="32" spans="1:19" x14ac:dyDescent="0.2">
      <c r="B32" t="s">
        <v>1175</v>
      </c>
      <c r="C32" s="51">
        <v>10.9</v>
      </c>
      <c r="D32" s="51"/>
      <c r="E32" s="51"/>
      <c r="F32" s="51"/>
      <c r="G32" s="51"/>
      <c r="H32" s="51"/>
      <c r="J32" s="127">
        <f t="shared" ref="J32:J35" si="9">$B$7</f>
        <v>0.55000000000000004</v>
      </c>
      <c r="K32">
        <f t="shared" ref="K32:K35" si="10">C32*(1-J32)</f>
        <v>4.9049999999999994</v>
      </c>
      <c r="P32" s="56">
        <v>0</v>
      </c>
      <c r="Q32">
        <f t="shared" ref="Q32:Q35" si="11">P32*K32</f>
        <v>0</v>
      </c>
      <c r="S32" t="s">
        <v>1176</v>
      </c>
    </row>
    <row r="33" spans="2:19" x14ac:dyDescent="0.2">
      <c r="B33" t="s">
        <v>1177</v>
      </c>
      <c r="C33" s="282">
        <v>0</v>
      </c>
      <c r="D33" s="282"/>
      <c r="E33" s="282"/>
      <c r="F33" s="282"/>
      <c r="G33" s="282"/>
      <c r="H33" s="282"/>
      <c r="J33" s="127">
        <f t="shared" si="9"/>
        <v>0.55000000000000004</v>
      </c>
      <c r="K33">
        <f t="shared" si="10"/>
        <v>0</v>
      </c>
      <c r="P33" s="56">
        <v>0.9</v>
      </c>
      <c r="Q33">
        <f t="shared" si="11"/>
        <v>0</v>
      </c>
      <c r="S33" t="s">
        <v>1178</v>
      </c>
    </row>
    <row r="34" spans="2:19" x14ac:dyDescent="0.2">
      <c r="B34" t="s">
        <v>1179</v>
      </c>
      <c r="C34" s="51">
        <v>0</v>
      </c>
      <c r="D34" s="51"/>
      <c r="E34" s="51"/>
      <c r="F34" s="51"/>
      <c r="G34" s="51"/>
      <c r="H34" s="51"/>
      <c r="J34" s="127">
        <f t="shared" si="9"/>
        <v>0.55000000000000004</v>
      </c>
      <c r="K34">
        <f t="shared" si="10"/>
        <v>0</v>
      </c>
      <c r="P34" s="56">
        <v>0.9</v>
      </c>
      <c r="Q34">
        <f t="shared" si="11"/>
        <v>0</v>
      </c>
      <c r="S34" t="s">
        <v>1178</v>
      </c>
    </row>
    <row r="35" spans="2:19" x14ac:dyDescent="0.2">
      <c r="B35" t="s">
        <v>1180</v>
      </c>
      <c r="C35" s="51">
        <v>0</v>
      </c>
      <c r="D35" s="51"/>
      <c r="E35" s="51"/>
      <c r="F35" s="51"/>
      <c r="G35" s="51"/>
      <c r="H35" s="51"/>
      <c r="J35" s="127">
        <f t="shared" si="9"/>
        <v>0.55000000000000004</v>
      </c>
      <c r="K35">
        <f t="shared" si="10"/>
        <v>0</v>
      </c>
      <c r="P35" s="56">
        <v>0.9</v>
      </c>
      <c r="Q35">
        <f t="shared" si="11"/>
        <v>0</v>
      </c>
      <c r="S35" t="s">
        <v>1178</v>
      </c>
    </row>
    <row r="36" spans="2:19" ht="16" thickBot="1" x14ac:dyDescent="0.25">
      <c r="C36">
        <f>SUM(C31:C35)</f>
        <v>10.9</v>
      </c>
      <c r="P36" s="273" t="s">
        <v>67</v>
      </c>
      <c r="Q36" s="274">
        <f>SUM(Q31:Q35)/C36</f>
        <v>0</v>
      </c>
    </row>
    <row r="37" spans="2:19" x14ac:dyDescent="0.2">
      <c r="C37" s="2"/>
      <c r="K37" s="1"/>
      <c r="L37" s="1"/>
      <c r="M37" s="1"/>
      <c r="N37" s="1"/>
      <c r="O37" s="1"/>
      <c r="P37" s="275"/>
    </row>
    <row r="38" spans="2:19" x14ac:dyDescent="0.2">
      <c r="C38" s="2" t="s">
        <v>1181</v>
      </c>
      <c r="I38" t="s">
        <v>1181</v>
      </c>
      <c r="K38" t="s">
        <v>1171</v>
      </c>
      <c r="P38" t="s">
        <v>1172</v>
      </c>
    </row>
    <row r="39" spans="2:19" x14ac:dyDescent="0.2">
      <c r="B39" t="s">
        <v>1173</v>
      </c>
      <c r="C39" s="51">
        <v>0</v>
      </c>
      <c r="I39" s="127">
        <f>$B$7</f>
        <v>0.55000000000000004</v>
      </c>
      <c r="J39">
        <f>C39*(1-I39)</f>
        <v>0</v>
      </c>
      <c r="K39" s="275">
        <f>SUM($Q$22:$Q$26,$Q$31:$Q$35)/SUM($K$22:$K$26,$K$31:$K$35)</f>
        <v>0.3980636237897649</v>
      </c>
      <c r="L39" s="275"/>
      <c r="M39" s="275"/>
      <c r="N39" s="275"/>
      <c r="O39" s="275"/>
      <c r="P39">
        <f>K39*J39</f>
        <v>0</v>
      </c>
    </row>
    <row r="40" spans="2:19" x14ac:dyDescent="0.2">
      <c r="B40" t="s">
        <v>1175</v>
      </c>
      <c r="C40" s="51">
        <v>0</v>
      </c>
      <c r="I40" s="127">
        <f t="shared" ref="I40:I45" si="12">$B$7</f>
        <v>0.55000000000000004</v>
      </c>
      <c r="J40">
        <f t="shared" ref="J40:J45" si="13">C40*(1-I40)</f>
        <v>0</v>
      </c>
      <c r="K40" s="275">
        <f t="shared" ref="K40:K45" si="14">SUM($Q$22:$Q$26,$Q$31:$Q$35)/SUM($K$22:$K$26,$K$31:$K$35)</f>
        <v>0.3980636237897649</v>
      </c>
      <c r="L40" s="275"/>
      <c r="M40" s="275"/>
      <c r="N40" s="275"/>
      <c r="O40" s="275"/>
      <c r="P40">
        <f t="shared" ref="P40:P45" si="15">K40*J40</f>
        <v>0</v>
      </c>
    </row>
    <row r="41" spans="2:19" x14ac:dyDescent="0.2">
      <c r="B41" t="s">
        <v>1177</v>
      </c>
      <c r="C41" s="51">
        <v>21.8</v>
      </c>
      <c r="I41" s="127">
        <f t="shared" si="12"/>
        <v>0.55000000000000004</v>
      </c>
      <c r="J41">
        <f t="shared" si="13"/>
        <v>9.8099999999999987</v>
      </c>
      <c r="K41" s="275">
        <f t="shared" si="14"/>
        <v>0.3980636237897649</v>
      </c>
      <c r="L41" s="275"/>
      <c r="M41" s="275"/>
      <c r="N41" s="275"/>
      <c r="O41" s="275"/>
      <c r="P41">
        <f t="shared" si="15"/>
        <v>3.9050041493775933</v>
      </c>
    </row>
    <row r="42" spans="2:19" x14ac:dyDescent="0.2">
      <c r="B42" t="s">
        <v>1179</v>
      </c>
      <c r="C42" s="51">
        <v>0</v>
      </c>
      <c r="I42" s="127">
        <f t="shared" si="12"/>
        <v>0.55000000000000004</v>
      </c>
      <c r="J42">
        <f t="shared" si="13"/>
        <v>0</v>
      </c>
      <c r="K42" s="275">
        <f t="shared" si="14"/>
        <v>0.3980636237897649</v>
      </c>
      <c r="L42" s="275"/>
      <c r="M42" s="275"/>
      <c r="N42" s="275"/>
      <c r="O42" s="275"/>
      <c r="P42">
        <f t="shared" si="15"/>
        <v>0</v>
      </c>
    </row>
    <row r="43" spans="2:19" x14ac:dyDescent="0.2">
      <c r="B43" t="s">
        <v>1180</v>
      </c>
      <c r="C43" s="51">
        <v>0</v>
      </c>
      <c r="I43" s="127">
        <f t="shared" si="12"/>
        <v>0.55000000000000004</v>
      </c>
      <c r="J43">
        <f t="shared" si="13"/>
        <v>0</v>
      </c>
      <c r="K43" s="275">
        <f t="shared" si="14"/>
        <v>0.3980636237897649</v>
      </c>
      <c r="L43" s="275"/>
      <c r="M43" s="275"/>
      <c r="N43" s="275"/>
      <c r="O43" s="275"/>
      <c r="P43">
        <f t="shared" si="15"/>
        <v>0</v>
      </c>
    </row>
    <row r="44" spans="2:19" x14ac:dyDescent="0.2">
      <c r="B44" t="s">
        <v>1182</v>
      </c>
      <c r="C44" s="51">
        <v>12</v>
      </c>
      <c r="I44" s="127">
        <f t="shared" si="12"/>
        <v>0.55000000000000004</v>
      </c>
      <c r="J44">
        <f t="shared" si="13"/>
        <v>5.3999999999999995</v>
      </c>
      <c r="K44" s="275">
        <f t="shared" si="14"/>
        <v>0.3980636237897649</v>
      </c>
      <c r="L44" s="275"/>
      <c r="M44" s="275"/>
      <c r="N44" s="275"/>
      <c r="O44" s="275"/>
      <c r="P44">
        <f t="shared" si="15"/>
        <v>2.1495435684647304</v>
      </c>
    </row>
    <row r="45" spans="2:19" x14ac:dyDescent="0.2">
      <c r="B45" t="s">
        <v>192</v>
      </c>
      <c r="C45" s="51">
        <v>4.5</v>
      </c>
      <c r="I45" s="127">
        <f t="shared" si="12"/>
        <v>0.55000000000000004</v>
      </c>
      <c r="J45">
        <f t="shared" si="13"/>
        <v>2.0249999999999999</v>
      </c>
      <c r="K45" s="275">
        <f t="shared" si="14"/>
        <v>0.3980636237897649</v>
      </c>
      <c r="L45" s="275"/>
      <c r="M45" s="275"/>
      <c r="N45" s="275"/>
      <c r="O45" s="275"/>
      <c r="P45">
        <f t="shared" si="15"/>
        <v>0.80607883817427384</v>
      </c>
    </row>
    <row r="46" spans="2:19" ht="16" thickBot="1" x14ac:dyDescent="0.25">
      <c r="C46">
        <f>SUM(C39:C45)</f>
        <v>38.299999999999997</v>
      </c>
      <c r="K46" s="273" t="s">
        <v>67</v>
      </c>
      <c r="L46" s="273"/>
      <c r="M46" s="273"/>
      <c r="N46" s="273"/>
      <c r="O46" s="273"/>
      <c r="P46" s="274">
        <f>SUM(P39:P45)/C46</f>
        <v>0.17912863070539423</v>
      </c>
    </row>
    <row r="47" spans="2:19" x14ac:dyDescent="0.2">
      <c r="C47" s="169"/>
      <c r="K47" s="1"/>
      <c r="L47" s="1"/>
      <c r="M47" s="1"/>
      <c r="N47" s="1"/>
      <c r="O47" s="1"/>
      <c r="P47" s="275"/>
    </row>
    <row r="48" spans="2:19" ht="16" thickBot="1" x14ac:dyDescent="0.25">
      <c r="C48" s="2"/>
      <c r="D48" s="2"/>
      <c r="E48" s="2"/>
      <c r="F48" s="2"/>
      <c r="G48" s="2"/>
      <c r="H48" s="2"/>
      <c r="P48" s="81"/>
      <c r="Q48" s="277"/>
    </row>
    <row r="49" spans="1:18" s="173" customFormat="1" ht="16" thickBot="1" x14ac:dyDescent="0.25">
      <c r="A49" s="171" t="s">
        <v>1183</v>
      </c>
      <c r="B49" s="172"/>
      <c r="C49" s="172"/>
      <c r="D49" s="172"/>
      <c r="E49" s="172"/>
      <c r="F49" s="172"/>
      <c r="G49" s="172"/>
      <c r="H49" s="172"/>
    </row>
    <row r="53" spans="1:18" x14ac:dyDescent="0.2">
      <c r="I53">
        <v>2020</v>
      </c>
      <c r="J53" t="s">
        <v>40</v>
      </c>
      <c r="K53" t="s">
        <v>1184</v>
      </c>
      <c r="P53" t="s">
        <v>1185</v>
      </c>
      <c r="Q53" t="s">
        <v>28</v>
      </c>
      <c r="R53" t="s">
        <v>1129</v>
      </c>
    </row>
    <row r="54" spans="1:18" x14ac:dyDescent="0.2">
      <c r="B54" t="s">
        <v>1173</v>
      </c>
      <c r="C54" s="25" t="s">
        <v>480</v>
      </c>
      <c r="D54" s="25"/>
      <c r="E54" s="25"/>
      <c r="F54" s="25"/>
      <c r="G54" s="25"/>
      <c r="H54" s="25"/>
      <c r="J54" s="26">
        <v>31.6</v>
      </c>
      <c r="K54">
        <v>-17.399999999999999</v>
      </c>
      <c r="P54" s="26">
        <f>K54+J54</f>
        <v>14.200000000000003</v>
      </c>
      <c r="Q54" s="6">
        <v>-1</v>
      </c>
      <c r="R54">
        <v>0</v>
      </c>
    </row>
    <row r="55" spans="1:18" x14ac:dyDescent="0.2">
      <c r="B55" t="s">
        <v>1175</v>
      </c>
      <c r="C55" s="25" t="s">
        <v>480</v>
      </c>
      <c r="D55" s="25"/>
      <c r="E55" s="25"/>
      <c r="F55" s="25"/>
      <c r="G55" s="25"/>
      <c r="H55" s="25"/>
      <c r="J55" s="26">
        <v>25.7</v>
      </c>
      <c r="K55">
        <v>-14.099999999999998</v>
      </c>
      <c r="P55" s="26">
        <f t="shared" ref="P55:P62" si="16">K55+J55</f>
        <v>11.600000000000001</v>
      </c>
      <c r="Q55" s="6">
        <v>-1</v>
      </c>
      <c r="R55">
        <v>0</v>
      </c>
    </row>
    <row r="56" spans="1:18" x14ac:dyDescent="0.2">
      <c r="C56" s="25" t="s">
        <v>472</v>
      </c>
      <c r="D56" s="25"/>
      <c r="E56" s="25"/>
      <c r="F56" s="25"/>
      <c r="G56" s="25"/>
      <c r="H56" s="25"/>
      <c r="J56" s="26">
        <v>30</v>
      </c>
      <c r="K56">
        <v>-16.5</v>
      </c>
      <c r="P56" s="26">
        <f t="shared" si="16"/>
        <v>13.5</v>
      </c>
      <c r="Q56" s="6">
        <v>-1</v>
      </c>
      <c r="R56">
        <v>0</v>
      </c>
    </row>
    <row r="57" spans="1:18" x14ac:dyDescent="0.2">
      <c r="C57" s="9" t="s">
        <v>477</v>
      </c>
      <c r="D57" s="9"/>
      <c r="E57" s="9"/>
      <c r="F57" s="9"/>
      <c r="G57" s="9"/>
      <c r="H57" s="9"/>
      <c r="J57" s="26">
        <v>10.9</v>
      </c>
      <c r="K57">
        <v>-6</v>
      </c>
      <c r="P57" s="26">
        <f t="shared" si="16"/>
        <v>4.9000000000000004</v>
      </c>
      <c r="Q57" s="6">
        <v>-1</v>
      </c>
      <c r="R57">
        <v>0</v>
      </c>
    </row>
    <row r="58" spans="1:18" x14ac:dyDescent="0.2">
      <c r="B58" t="s">
        <v>1177</v>
      </c>
      <c r="C58" s="25" t="s">
        <v>480</v>
      </c>
      <c r="D58" s="25"/>
      <c r="E58" s="25"/>
      <c r="F58" s="25"/>
      <c r="G58" s="25"/>
      <c r="H58" s="25"/>
      <c r="J58" s="26">
        <v>8.1999999999999993</v>
      </c>
      <c r="K58">
        <v>-4.5</v>
      </c>
      <c r="P58" s="26">
        <f t="shared" si="16"/>
        <v>3.6999999999999993</v>
      </c>
      <c r="Q58" s="6">
        <v>-1</v>
      </c>
      <c r="R58">
        <v>0</v>
      </c>
    </row>
    <row r="59" spans="1:18" x14ac:dyDescent="0.2">
      <c r="C59" s="25" t="s">
        <v>478</v>
      </c>
      <c r="D59" s="25"/>
      <c r="E59" s="25"/>
      <c r="F59" s="25"/>
      <c r="G59" s="25"/>
      <c r="H59" s="25"/>
      <c r="J59" s="26">
        <v>20</v>
      </c>
      <c r="K59">
        <v>-11</v>
      </c>
      <c r="P59" s="26">
        <f t="shared" si="16"/>
        <v>9</v>
      </c>
      <c r="Q59" s="6">
        <v>-1</v>
      </c>
      <c r="R59">
        <v>0</v>
      </c>
    </row>
    <row r="60" spans="1:18" x14ac:dyDescent="0.2">
      <c r="C60" s="9" t="s">
        <v>745</v>
      </c>
      <c r="D60" s="9"/>
      <c r="E60" s="9"/>
      <c r="F60" s="9"/>
      <c r="G60" s="9"/>
      <c r="H60" s="9"/>
      <c r="J60" s="26">
        <v>21.8</v>
      </c>
      <c r="K60">
        <v>-12</v>
      </c>
      <c r="P60" s="26">
        <f t="shared" si="16"/>
        <v>9.8000000000000007</v>
      </c>
      <c r="Q60" s="6">
        <v>-1</v>
      </c>
      <c r="R60">
        <v>0</v>
      </c>
    </row>
    <row r="61" spans="1:18" x14ac:dyDescent="0.2">
      <c r="B61" t="s">
        <v>1179</v>
      </c>
      <c r="C61" s="25" t="s">
        <v>480</v>
      </c>
      <c r="D61" s="25"/>
      <c r="E61" s="25"/>
      <c r="F61" s="25"/>
      <c r="G61" s="25"/>
      <c r="H61" s="25"/>
      <c r="J61" s="26">
        <v>8.1999999999999993</v>
      </c>
      <c r="K61">
        <v>-4.5</v>
      </c>
      <c r="P61" s="26">
        <f t="shared" si="16"/>
        <v>3.6999999999999993</v>
      </c>
      <c r="Q61" s="6">
        <v>-0.5</v>
      </c>
      <c r="R61">
        <v>1.9</v>
      </c>
    </row>
    <row r="62" spans="1:18" x14ac:dyDescent="0.2">
      <c r="B62" t="s">
        <v>1186</v>
      </c>
      <c r="C62" s="25" t="s">
        <v>473</v>
      </c>
      <c r="D62" s="25"/>
      <c r="E62" s="25"/>
      <c r="F62" s="25"/>
      <c r="G62" s="25"/>
      <c r="H62" s="25"/>
      <c r="J62" s="26">
        <v>10</v>
      </c>
      <c r="K62">
        <v>-5.5</v>
      </c>
      <c r="P62" s="26">
        <f t="shared" si="16"/>
        <v>4.5</v>
      </c>
      <c r="Q62" s="6">
        <v>-0.5</v>
      </c>
      <c r="R62">
        <v>2.2999999999999998</v>
      </c>
    </row>
    <row r="65" spans="2:29" x14ac:dyDescent="0.2">
      <c r="B65" s="9" t="s">
        <v>5</v>
      </c>
      <c r="I65" s="26">
        <f>I67*I71</f>
        <v>11.120839668639265</v>
      </c>
      <c r="J65" s="26">
        <f>J57+J60*0.2</f>
        <v>15.260000000000002</v>
      </c>
      <c r="K65" s="26"/>
      <c r="L65" s="26"/>
      <c r="M65" s="26"/>
      <c r="N65" s="26"/>
      <c r="O65" s="26"/>
      <c r="P65" s="26">
        <f>SUM(P57,P60)</f>
        <v>14.700000000000001</v>
      </c>
      <c r="Q65" s="26"/>
      <c r="R65" s="26">
        <f>SUM(R57,R60)</f>
        <v>0</v>
      </c>
      <c r="T65" t="s">
        <v>1187</v>
      </c>
    </row>
    <row r="66" spans="2:29" x14ac:dyDescent="0.2">
      <c r="B66" s="25" t="s">
        <v>4</v>
      </c>
      <c r="I66" s="26">
        <f>I67*I72</f>
        <v>25.819560331360744</v>
      </c>
      <c r="J66" s="26">
        <f>(J54+J55+J58+J61)*0.43+J56+J62+J59*0.27</f>
        <v>77.091000000000008</v>
      </c>
      <c r="K66" s="26"/>
      <c r="L66" s="26"/>
      <c r="M66" s="26"/>
      <c r="N66" s="26"/>
      <c r="O66" s="26"/>
      <c r="P66" s="26">
        <f>SUM(P54:P56,P58,P59,P61:P62)</f>
        <v>60.2</v>
      </c>
      <c r="Q66" s="26"/>
      <c r="R66" s="26">
        <f>SUM(R54:R56,R58,R59,R61:R62)</f>
        <v>4.1999999999999993</v>
      </c>
    </row>
    <row r="67" spans="2:29" x14ac:dyDescent="0.2">
      <c r="B67" s="1" t="s">
        <v>364</v>
      </c>
      <c r="C67" s="1"/>
      <c r="D67" s="1"/>
      <c r="E67" s="1"/>
      <c r="F67" s="1"/>
      <c r="G67" s="1"/>
      <c r="H67" s="1"/>
      <c r="I67" s="1">
        <f>J67*0.4</f>
        <v>36.940400000000004</v>
      </c>
      <c r="J67" s="27">
        <f>SUM(J65:J66)</f>
        <v>92.351000000000013</v>
      </c>
      <c r="K67" s="27"/>
      <c r="L67" s="27"/>
      <c r="M67" s="27"/>
      <c r="N67" s="27"/>
      <c r="O67" s="27"/>
      <c r="P67" s="27">
        <f t="shared" ref="P67:R67" si="17">SUM(P65:P66)</f>
        <v>74.900000000000006</v>
      </c>
      <c r="Q67" s="27"/>
      <c r="R67" s="27">
        <f t="shared" si="17"/>
        <v>4.1999999999999993</v>
      </c>
    </row>
    <row r="68" spans="2:29" x14ac:dyDescent="0.2">
      <c r="B68" s="1"/>
      <c r="C68" s="1"/>
      <c r="D68" s="1"/>
      <c r="E68" s="1"/>
      <c r="F68" s="1"/>
      <c r="G68" s="1"/>
      <c r="H68" s="1"/>
      <c r="I68" s="1"/>
      <c r="J68" s="1"/>
      <c r="K68" s="1"/>
      <c r="L68" s="1"/>
      <c r="M68" s="1"/>
      <c r="N68" s="1"/>
      <c r="O68" s="1"/>
      <c r="P68" s="1"/>
      <c r="Q68" s="1"/>
      <c r="R68" s="1"/>
      <c r="Z68">
        <v>2020</v>
      </c>
      <c r="AA68">
        <v>2050</v>
      </c>
    </row>
    <row r="69" spans="2:29" x14ac:dyDescent="0.2">
      <c r="Y69" t="s">
        <v>1188</v>
      </c>
      <c r="Z69">
        <v>180</v>
      </c>
      <c r="AA69">
        <v>260</v>
      </c>
      <c r="AC69" s="23">
        <f>(AA69/Z69)^(1/30)-1</f>
        <v>1.2332923617154101E-2</v>
      </c>
    </row>
    <row r="70" spans="2:29" x14ac:dyDescent="0.2">
      <c r="C70" s="1">
        <v>2020</v>
      </c>
      <c r="D70" s="1"/>
      <c r="E70" s="1"/>
      <c r="F70" s="1"/>
      <c r="G70" s="1"/>
      <c r="H70" s="1"/>
      <c r="I70" s="1" t="s">
        <v>1189</v>
      </c>
      <c r="Y70" t="s">
        <v>1190</v>
      </c>
      <c r="Z70">
        <v>63</v>
      </c>
      <c r="AA70">
        <v>104</v>
      </c>
      <c r="AC70" s="23">
        <f>(AA70/Z70)^(1/30)-1</f>
        <v>1.6848907424459769E-2</v>
      </c>
    </row>
    <row r="71" spans="2:29" x14ac:dyDescent="0.2">
      <c r="B71" t="s">
        <v>1191</v>
      </c>
      <c r="C71" s="6">
        <f>Propylene!B45</f>
        <v>7.7629141311697097E-2</v>
      </c>
      <c r="D71" s="6"/>
      <c r="E71" s="6"/>
      <c r="F71" s="6"/>
      <c r="G71" s="6"/>
      <c r="H71" s="6"/>
      <c r="I71" s="6">
        <f>C71/SUM($C$71:$C$72)</f>
        <v>0.30104816592779893</v>
      </c>
      <c r="Y71" s="1" t="s">
        <v>67</v>
      </c>
      <c r="Z71" s="1">
        <f>SUM(Z69:Z70)</f>
        <v>243</v>
      </c>
      <c r="AA71" s="1">
        <f>SUM(AA69:AA70)</f>
        <v>364</v>
      </c>
      <c r="AC71" s="23">
        <f>(AA71/Z71)^(1/30)-1</f>
        <v>1.3560873212292934E-2</v>
      </c>
    </row>
    <row r="72" spans="2:29" x14ac:dyDescent="0.2">
      <c r="B72" t="s">
        <v>1192</v>
      </c>
      <c r="C72" s="6">
        <f>Ethylene!B46</f>
        <v>0.18023371951142808</v>
      </c>
      <c r="D72" s="6"/>
      <c r="E72" s="6"/>
      <c r="F72" s="6"/>
      <c r="G72" s="6"/>
      <c r="H72" s="6"/>
      <c r="I72" s="6">
        <f>C72/SUM($C$71:$C$72)</f>
        <v>0.69895183407220118</v>
      </c>
      <c r="Y72" t="s">
        <v>1193</v>
      </c>
    </row>
    <row r="73" spans="2:29" x14ac:dyDescent="0.2">
      <c r="Y73" t="s">
        <v>1194</v>
      </c>
    </row>
    <row r="75" spans="2:29" ht="35.5" customHeight="1" x14ac:dyDescent="0.2">
      <c r="C75" s="29">
        <v>2020</v>
      </c>
      <c r="D75" s="29"/>
      <c r="E75" s="29"/>
      <c r="F75" s="29"/>
      <c r="G75" s="29"/>
      <c r="H75" s="29"/>
      <c r="I75" s="29" t="s">
        <v>1195</v>
      </c>
      <c r="J75" s="29" t="s">
        <v>40</v>
      </c>
      <c r="K75" s="29" t="s">
        <v>1196</v>
      </c>
      <c r="L75" s="29"/>
      <c r="M75" s="29"/>
      <c r="N75" s="29"/>
      <c r="O75" s="29"/>
      <c r="P75" s="29" t="s">
        <v>1197</v>
      </c>
      <c r="Q75" s="28" t="s">
        <v>28</v>
      </c>
      <c r="R75" s="29" t="s">
        <v>1129</v>
      </c>
    </row>
    <row r="76" spans="2:29" x14ac:dyDescent="0.2">
      <c r="B76" s="9" t="s">
        <v>5</v>
      </c>
      <c r="C76" s="26">
        <f>I65</f>
        <v>11.120839668639265</v>
      </c>
      <c r="D76" s="26"/>
      <c r="E76" s="26"/>
      <c r="F76" s="26"/>
      <c r="G76" s="26"/>
      <c r="H76" s="26"/>
      <c r="I76" s="26">
        <f>J76-C76</f>
        <v>4.1391603313607366</v>
      </c>
      <c r="J76" s="26">
        <f>J65</f>
        <v>15.260000000000002</v>
      </c>
      <c r="K76" s="26">
        <f>P76-J76</f>
        <v>-0.5600000000000005</v>
      </c>
      <c r="L76" s="26"/>
      <c r="M76" s="26"/>
      <c r="N76" s="26"/>
      <c r="O76" s="26"/>
      <c r="P76" s="26">
        <f>P65</f>
        <v>14.700000000000001</v>
      </c>
      <c r="Q76" s="26">
        <f>R76-P76</f>
        <v>-14.700000000000001</v>
      </c>
      <c r="R76" s="26">
        <f>R65</f>
        <v>0</v>
      </c>
    </row>
    <row r="77" spans="2:29" x14ac:dyDescent="0.2">
      <c r="B77" s="25" t="s">
        <v>4</v>
      </c>
      <c r="C77" s="26">
        <f>I66</f>
        <v>25.819560331360744</v>
      </c>
      <c r="D77" s="26"/>
      <c r="E77" s="26"/>
      <c r="F77" s="26"/>
      <c r="G77" s="26"/>
      <c r="H77" s="26"/>
      <c r="I77" s="26">
        <f>J77-C77</f>
        <v>51.27143966863926</v>
      </c>
      <c r="J77" s="26">
        <f>J66</f>
        <v>77.091000000000008</v>
      </c>
      <c r="K77" s="26">
        <f>P77-J77</f>
        <v>-16.891000000000005</v>
      </c>
      <c r="L77" s="26"/>
      <c r="M77" s="26"/>
      <c r="N77" s="26"/>
      <c r="O77" s="26"/>
      <c r="P77" s="26">
        <f>P66</f>
        <v>60.2</v>
      </c>
      <c r="Q77" s="26">
        <f>R77-P77</f>
        <v>-56</v>
      </c>
      <c r="R77" s="26">
        <f>R66</f>
        <v>4.1999999999999993</v>
      </c>
    </row>
    <row r="79" spans="2:29" x14ac:dyDescent="0.2">
      <c r="K79" s="6">
        <f>K76/J76</f>
        <v>-3.6697247706422048E-2</v>
      </c>
      <c r="L79" s="6"/>
      <c r="M79" s="6"/>
      <c r="N79" s="6"/>
      <c r="O79" s="6"/>
      <c r="Q79" s="6">
        <f>Q76/J76</f>
        <v>-0.96330275229357798</v>
      </c>
    </row>
    <row r="80" spans="2:29" x14ac:dyDescent="0.2">
      <c r="K80" s="6">
        <f>K77/J77</f>
        <v>-0.21910469445201131</v>
      </c>
      <c r="L80" s="6"/>
      <c r="M80" s="6"/>
      <c r="N80" s="6"/>
      <c r="O80" s="6"/>
      <c r="Q80" s="6">
        <f>Q77/J77</f>
        <v>-0.72641423771905922</v>
      </c>
    </row>
    <row r="98" spans="2:10" x14ac:dyDescent="0.2">
      <c r="J98" s="6"/>
    </row>
    <row r="99" spans="2:10" x14ac:dyDescent="0.2">
      <c r="J99" s="6"/>
    </row>
    <row r="103" spans="2:10" x14ac:dyDescent="0.2">
      <c r="B103" t="s">
        <v>1198</v>
      </c>
    </row>
    <row r="105" spans="2:10" x14ac:dyDescent="0.2">
      <c r="B105" t="s">
        <v>1199</v>
      </c>
      <c r="C105" s="6">
        <v>0.33</v>
      </c>
      <c r="D105" s="6"/>
      <c r="E105" s="6"/>
      <c r="F105" s="6"/>
      <c r="G105" s="6"/>
      <c r="H105" s="6"/>
      <c r="J105" t="s">
        <v>480</v>
      </c>
    </row>
    <row r="106" spans="2:10" x14ac:dyDescent="0.2">
      <c r="B106" t="s">
        <v>1200</v>
      </c>
      <c r="C106" s="6">
        <v>0.25</v>
      </c>
      <c r="D106" s="6"/>
      <c r="E106" s="6"/>
      <c r="F106" s="6"/>
      <c r="G106" s="6"/>
      <c r="H106" s="6"/>
      <c r="J106" t="s">
        <v>567</v>
      </c>
    </row>
    <row r="107" spans="2:10" x14ac:dyDescent="0.2">
      <c r="B107" t="s">
        <v>1201</v>
      </c>
      <c r="C107" s="6">
        <v>0.23</v>
      </c>
      <c r="D107" s="6"/>
      <c r="E107" s="6"/>
      <c r="F107" s="6"/>
      <c r="G107" s="6"/>
      <c r="H107" s="6"/>
      <c r="J107" t="s">
        <v>567</v>
      </c>
    </row>
    <row r="108" spans="2:10" x14ac:dyDescent="0.2">
      <c r="B108" t="s">
        <v>1202</v>
      </c>
      <c r="C108" s="6">
        <v>0.1</v>
      </c>
      <c r="D108" s="6"/>
      <c r="E108" s="6"/>
      <c r="F108" s="6"/>
      <c r="G108" s="6"/>
      <c r="H108" s="6"/>
      <c r="J108" t="s">
        <v>480</v>
      </c>
    </row>
    <row r="109" spans="2:10" x14ac:dyDescent="0.2">
      <c r="B109" t="s">
        <v>1203</v>
      </c>
      <c r="C109" s="6">
        <v>0.05</v>
      </c>
      <c r="D109" s="6"/>
      <c r="E109" s="6"/>
      <c r="F109" s="6"/>
      <c r="G109" s="6"/>
      <c r="H109" s="6"/>
      <c r="J109" t="s">
        <v>480</v>
      </c>
    </row>
    <row r="110" spans="2:10" x14ac:dyDescent="0.2">
      <c r="B110" t="s">
        <v>192</v>
      </c>
      <c r="C110" s="6">
        <v>0.04</v>
      </c>
      <c r="D110" s="6"/>
      <c r="E110" s="6"/>
      <c r="F110" s="6"/>
      <c r="G110" s="6"/>
      <c r="H110" s="6"/>
      <c r="J110" t="s">
        <v>261</v>
      </c>
    </row>
  </sheetData>
  <hyperlinks>
    <hyperlink ref="P7" r:id="rId1" xr:uid="{40E35F30-303D-4A33-90D6-ECA30F8EFEC6}"/>
    <hyperlink ref="P8" r:id="rId2" display="https://cdn.odi.org/media/documents/odi-et-cp-construction-report-sep20-proof04_final2.pdf" xr:uid="{D3B15341-76B3-4383-B1BC-E944AC169992}"/>
    <hyperlink ref="P5" r:id="rId3" xr:uid="{D3020848-3A87-4982-AF72-F2156F7B4B89}"/>
  </hyperlinks>
  <pageMargins left="0.7" right="0.7" top="0.75" bottom="0.75" header="0.3" footer="0.3"/>
  <drawing r:id="rId4"/>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8829C-C842-48F4-9D0D-E5E448B6756A}">
  <sheetPr>
    <tabColor rgb="FFFF0000"/>
  </sheetPr>
  <dimension ref="A1:R22"/>
  <sheetViews>
    <sheetView workbookViewId="0">
      <selection activeCell="E15" sqref="E15"/>
    </sheetView>
  </sheetViews>
  <sheetFormatPr baseColWidth="10" defaultColWidth="8.83203125" defaultRowHeight="15" x14ac:dyDescent="0.2"/>
  <cols>
    <col min="1" max="1" width="30.5" customWidth="1"/>
    <col min="2" max="2" width="13.1640625" customWidth="1"/>
  </cols>
  <sheetData>
    <row r="1" spans="1:18" x14ac:dyDescent="0.2">
      <c r="A1" s="46" t="s">
        <v>1110</v>
      </c>
      <c r="B1" s="46"/>
      <c r="C1" s="46"/>
      <c r="D1" s="46"/>
      <c r="E1" s="46"/>
      <c r="F1" s="46"/>
      <c r="G1" s="1"/>
      <c r="H1" s="1"/>
      <c r="I1" s="1"/>
      <c r="J1" s="1"/>
    </row>
    <row r="2" spans="1:18" ht="16" thickBot="1" x14ac:dyDescent="0.25">
      <c r="A2" s="45"/>
      <c r="B2" s="45" t="s">
        <v>1111</v>
      </c>
      <c r="C2" s="45" t="s">
        <v>1112</v>
      </c>
      <c r="D2" s="45" t="s">
        <v>5</v>
      </c>
      <c r="E2" s="45" t="s">
        <v>4</v>
      </c>
      <c r="F2" s="45" t="s">
        <v>1243</v>
      </c>
      <c r="G2" s="45" t="s">
        <v>7</v>
      </c>
      <c r="H2" s="45" t="s">
        <v>8</v>
      </c>
      <c r="I2" s="45" t="s">
        <v>166</v>
      </c>
      <c r="J2" s="45" t="s">
        <v>766</v>
      </c>
      <c r="K2" t="s">
        <v>96</v>
      </c>
    </row>
    <row r="3" spans="1:18" x14ac:dyDescent="0.2">
      <c r="B3" t="s">
        <v>462</v>
      </c>
      <c r="C3" t="s">
        <v>462</v>
      </c>
      <c r="D3" t="s">
        <v>704</v>
      </c>
      <c r="E3" t="s">
        <v>704</v>
      </c>
      <c r="F3" t="s">
        <v>704</v>
      </c>
      <c r="G3" t="s">
        <v>704</v>
      </c>
      <c r="H3" t="s">
        <v>704</v>
      </c>
      <c r="I3" t="s">
        <v>704</v>
      </c>
      <c r="J3" t="s">
        <v>704</v>
      </c>
      <c r="K3" t="s">
        <v>1244</v>
      </c>
    </row>
    <row r="4" spans="1:18" x14ac:dyDescent="0.2">
      <c r="A4" t="s">
        <v>1</v>
      </c>
      <c r="D4" s="44">
        <v>0</v>
      </c>
      <c r="E4" s="44">
        <f>'Demand Breakdown - Ethylene'!J69*'Demand Breakdown - Ethylene'!E2</f>
        <v>3.4336211538461541</v>
      </c>
      <c r="F4" s="43">
        <f>'Demand - Industry shares'!L87</f>
        <v>1.4464073070604898E-2</v>
      </c>
      <c r="G4" s="44">
        <v>0</v>
      </c>
      <c r="H4" s="44">
        <f>'Demand - Industry shares'!L116</f>
        <v>1.4471127044065453</v>
      </c>
      <c r="I4" s="44">
        <f>'Demand - Industry shares'!L130</f>
        <v>11.565136270954032</v>
      </c>
      <c r="J4" s="43">
        <f>'Demand Breakdown - C4'!I29</f>
        <v>0.30038039404623779</v>
      </c>
    </row>
    <row r="5" spans="1:18" x14ac:dyDescent="0.2">
      <c r="A5" t="s">
        <v>1123</v>
      </c>
      <c r="B5" s="47"/>
      <c r="C5" s="47">
        <f>'Demand Breakdown - Ethylene'!L69</f>
        <v>2.1000000000000001E-2</v>
      </c>
      <c r="D5" s="44">
        <v>0</v>
      </c>
      <c r="E5" s="44">
        <f>E4*(1+C5)^30-E4</f>
        <v>2.9714600261895434</v>
      </c>
      <c r="F5" s="43">
        <f>F4*(1+C5)^30-F4</f>
        <v>1.2517226863261812E-2</v>
      </c>
      <c r="G5" s="44">
        <v>0</v>
      </c>
      <c r="H5" s="44">
        <f>H4*(1+'Demand Breakdown - BTX'!L75)^30-H4</f>
        <v>0.55949118290998845</v>
      </c>
      <c r="I5" s="44">
        <f>I4*(1+'Demand Breakdown - BTX'!L75)^30-I4</f>
        <v>4.4713806692788651</v>
      </c>
      <c r="J5" s="43">
        <f>'Demand Breakdown - C4'!L29-'Demand Breakdown - C4'!I29</f>
        <v>0.15938905633917794</v>
      </c>
      <c r="K5" s="5" t="s">
        <v>1245</v>
      </c>
    </row>
    <row r="6" spans="1:18" x14ac:dyDescent="0.2">
      <c r="A6" t="s">
        <v>1125</v>
      </c>
      <c r="D6" s="44">
        <v>0</v>
      </c>
      <c r="E6" s="44">
        <f>SUM(E4:E5)</f>
        <v>6.4050811800356975</v>
      </c>
      <c r="F6" s="244">
        <f>SUM(F4:F5)</f>
        <v>2.698129993386671E-2</v>
      </c>
      <c r="G6" s="44">
        <f t="shared" ref="G6:I6" si="0">SUM(G4:G5)</f>
        <v>0</v>
      </c>
      <c r="H6" s="44">
        <f t="shared" si="0"/>
        <v>2.0066038873165337</v>
      </c>
      <c r="I6" s="44">
        <f t="shared" si="0"/>
        <v>16.036516940232897</v>
      </c>
      <c r="J6" s="43">
        <f>'Demand Breakdown - C4'!L29</f>
        <v>0.45976945038541572</v>
      </c>
    </row>
    <row r="7" spans="1:18" ht="16" x14ac:dyDescent="0.2">
      <c r="A7" t="s">
        <v>206</v>
      </c>
      <c r="C7" s="679">
        <v>0.25</v>
      </c>
      <c r="D7" s="44">
        <v>0</v>
      </c>
      <c r="E7" s="44">
        <f>E6*C7</f>
        <v>1.6012702950089244</v>
      </c>
      <c r="F7" s="244">
        <f>F6*C7</f>
        <v>6.7453249834666775E-3</v>
      </c>
      <c r="G7" s="44">
        <v>0</v>
      </c>
      <c r="H7" s="44">
        <f>H$6*$C7</f>
        <v>0.50165097182913343</v>
      </c>
      <c r="I7" s="44">
        <f>I$6*$C7</f>
        <v>4.0091292350582242</v>
      </c>
      <c r="J7" s="43">
        <f>$J$6*C7</f>
        <v>0.11494236259635393</v>
      </c>
      <c r="K7" s="5" t="s">
        <v>1245</v>
      </c>
    </row>
    <row r="8" spans="1:18" ht="16" x14ac:dyDescent="0.2">
      <c r="A8" t="s">
        <v>1157</v>
      </c>
      <c r="C8" s="679">
        <v>0.34</v>
      </c>
      <c r="D8" s="44">
        <v>0</v>
      </c>
      <c r="E8" s="44">
        <f>E6*C8</f>
        <v>2.1777276012121374</v>
      </c>
      <c r="F8" s="244">
        <f>F6*C8</f>
        <v>9.1736419775146818E-3</v>
      </c>
      <c r="G8" s="44">
        <v>0</v>
      </c>
      <c r="H8" s="44">
        <f t="shared" ref="H8:I10" si="1">H$6*$C8</f>
        <v>0.68224532168762153</v>
      </c>
      <c r="I8" s="44">
        <f t="shared" si="1"/>
        <v>5.4524157596791856</v>
      </c>
      <c r="J8" s="43">
        <f t="shared" ref="J8:J10" si="2">$J$6*C8</f>
        <v>0.15632161313104137</v>
      </c>
      <c r="K8" s="5" t="s">
        <v>1245</v>
      </c>
    </row>
    <row r="9" spans="1:18" x14ac:dyDescent="0.2">
      <c r="A9" t="s">
        <v>183</v>
      </c>
      <c r="B9" s="48"/>
      <c r="C9" s="48"/>
      <c r="D9" s="44">
        <v>0</v>
      </c>
      <c r="E9" s="49">
        <f>SUM(E7:E8)</f>
        <v>3.7789978962210617</v>
      </c>
      <c r="F9" s="515">
        <f>SUM(F7:F8)</f>
        <v>1.591896696098136E-2</v>
      </c>
      <c r="G9" s="44">
        <f t="shared" ref="G9:J9" si="3">SUM(G7:G8)</f>
        <v>0</v>
      </c>
      <c r="H9" s="44">
        <f t="shared" si="3"/>
        <v>1.183896293516755</v>
      </c>
      <c r="I9" s="44">
        <f t="shared" si="3"/>
        <v>9.4615449947374088</v>
      </c>
      <c r="J9" s="43">
        <f t="shared" si="3"/>
        <v>0.2712639757273953</v>
      </c>
    </row>
    <row r="10" spans="1:18" ht="16" x14ac:dyDescent="0.2">
      <c r="A10" t="s">
        <v>28</v>
      </c>
      <c r="B10" s="48"/>
      <c r="C10" s="679">
        <v>0.2</v>
      </c>
      <c r="D10" s="44">
        <v>0</v>
      </c>
      <c r="E10" s="49">
        <f>$E$6*C10</f>
        <v>1.2810162360071395</v>
      </c>
      <c r="F10" s="515">
        <f>$F$6*C10</f>
        <v>5.3962599867733423E-3</v>
      </c>
      <c r="G10" s="44">
        <v>0</v>
      </c>
      <c r="H10" s="44">
        <f t="shared" si="1"/>
        <v>0.40132077746330674</v>
      </c>
      <c r="I10" s="44">
        <f t="shared" si="1"/>
        <v>3.2073033880465793</v>
      </c>
      <c r="J10" s="43">
        <f t="shared" si="2"/>
        <v>9.1953890077083156E-2</v>
      </c>
      <c r="K10" t="s">
        <v>1246</v>
      </c>
    </row>
    <row r="11" spans="1:18" x14ac:dyDescent="0.2">
      <c r="A11" t="s">
        <v>1129</v>
      </c>
      <c r="B11" s="48"/>
      <c r="D11" s="44">
        <v>0</v>
      </c>
      <c r="E11" s="44">
        <f>E6-E9-E10</f>
        <v>1.3450670478074962</v>
      </c>
      <c r="F11" s="244">
        <f>F6-F9-F10</f>
        <v>5.6660729861120075E-3</v>
      </c>
      <c r="G11" s="44">
        <f t="shared" ref="G11:I11" si="4">G6-G9-G10</f>
        <v>0</v>
      </c>
      <c r="H11" s="44">
        <f>H6-H9-H10</f>
        <v>0.42138681633647201</v>
      </c>
      <c r="I11" s="44">
        <f t="shared" si="4"/>
        <v>3.3676685574489085</v>
      </c>
      <c r="J11" s="43">
        <f>J6-J9-J10</f>
        <v>9.6551584580937266E-2</v>
      </c>
      <c r="K11" t="s">
        <v>1247</v>
      </c>
      <c r="Q11">
        <f>47*1.021^35</f>
        <v>97.274460536518234</v>
      </c>
    </row>
    <row r="12" spans="1:18" x14ac:dyDescent="0.2">
      <c r="Q12">
        <f>(28-6)/Q11</f>
        <v>0.22616419436981491</v>
      </c>
      <c r="R12" s="208" t="s">
        <v>1248</v>
      </c>
    </row>
    <row r="13" spans="1:18" x14ac:dyDescent="0.2">
      <c r="A13" t="s">
        <v>1143</v>
      </c>
      <c r="B13" s="56">
        <f>100%</f>
        <v>1</v>
      </c>
    </row>
    <row r="14" spans="1:18" x14ac:dyDescent="0.2">
      <c r="A14" t="s">
        <v>1146</v>
      </c>
      <c r="B14" s="56">
        <v>0.5</v>
      </c>
      <c r="K14" t="s">
        <v>1154</v>
      </c>
    </row>
    <row r="15" spans="1:18" x14ac:dyDescent="0.2">
      <c r="B15" s="56"/>
      <c r="K15" t="s">
        <v>1155</v>
      </c>
      <c r="L15" t="s">
        <v>1249</v>
      </c>
      <c r="M15" t="s">
        <v>1157</v>
      </c>
      <c r="N15" t="s">
        <v>1250</v>
      </c>
    </row>
    <row r="16" spans="1:18" x14ac:dyDescent="0.2">
      <c r="B16" t="s">
        <v>1249</v>
      </c>
      <c r="C16" t="s">
        <v>1157</v>
      </c>
      <c r="D16" t="s">
        <v>1163</v>
      </c>
      <c r="K16">
        <v>2030</v>
      </c>
      <c r="L16" s="41">
        <f>$C$7*$B$13*B17</f>
        <v>0.17499999999999999</v>
      </c>
      <c r="M16" s="41">
        <f>$C$8*$B$13*C17</f>
        <v>6.8000000000000005E-2</v>
      </c>
      <c r="N16" s="41">
        <f>$C$10*$B$13*D17</f>
        <v>6.6000000000000003E-2</v>
      </c>
    </row>
    <row r="17" spans="1:14" x14ac:dyDescent="0.2">
      <c r="A17" t="s">
        <v>1150</v>
      </c>
      <c r="B17" s="55">
        <v>0.7</v>
      </c>
      <c r="C17" s="55">
        <v>0.2</v>
      </c>
      <c r="D17" s="55">
        <v>0.33</v>
      </c>
      <c r="K17">
        <v>2040</v>
      </c>
      <c r="L17" s="41">
        <f t="shared" ref="L17:L18" si="5">$C$7*$B$13*B18</f>
        <v>0.22500000000000001</v>
      </c>
      <c r="M17" s="41">
        <f t="shared" ref="M17:M18" si="6">$C$8*$B$13*C18</f>
        <v>0.17</v>
      </c>
      <c r="N17" s="41">
        <f t="shared" ref="N17:N18" si="7">$C$10*$B$13*D18</f>
        <v>0.13200000000000001</v>
      </c>
    </row>
    <row r="18" spans="1:14" x14ac:dyDescent="0.2">
      <c r="A18" t="s">
        <v>1151</v>
      </c>
      <c r="B18" s="55">
        <v>0.9</v>
      </c>
      <c r="C18" s="55">
        <v>0.5</v>
      </c>
      <c r="D18" s="55">
        <v>0.66</v>
      </c>
      <c r="K18">
        <v>2050</v>
      </c>
      <c r="L18" s="41">
        <f t="shared" si="5"/>
        <v>0.25</v>
      </c>
      <c r="M18" s="41">
        <f t="shared" si="6"/>
        <v>0.34</v>
      </c>
      <c r="N18" s="41">
        <f t="shared" si="7"/>
        <v>0.2</v>
      </c>
    </row>
    <row r="19" spans="1:14" x14ac:dyDescent="0.2">
      <c r="A19" t="s">
        <v>1152</v>
      </c>
      <c r="B19" s="55">
        <v>1</v>
      </c>
      <c r="C19" s="55">
        <v>1</v>
      </c>
      <c r="D19" s="55">
        <v>1</v>
      </c>
      <c r="K19" t="s">
        <v>1159</v>
      </c>
      <c r="L19" t="s">
        <v>1249</v>
      </c>
      <c r="M19" t="s">
        <v>1157</v>
      </c>
      <c r="N19" t="s">
        <v>1250</v>
      </c>
    </row>
    <row r="20" spans="1:14" x14ac:dyDescent="0.2">
      <c r="A20" s="54" t="s">
        <v>96</v>
      </c>
      <c r="B20" s="177" t="s">
        <v>1251</v>
      </c>
      <c r="K20">
        <v>2030</v>
      </c>
      <c r="L20" s="41">
        <f>$C$7*$B$14*B17</f>
        <v>8.7499999999999994E-2</v>
      </c>
      <c r="M20" s="41">
        <f>$C$8*$B$14*C17</f>
        <v>3.4000000000000002E-2</v>
      </c>
      <c r="N20" s="41">
        <f>$C$10*$B$14*D17</f>
        <v>3.3000000000000002E-2</v>
      </c>
    </row>
    <row r="21" spans="1:14" x14ac:dyDescent="0.2">
      <c r="K21">
        <v>2040</v>
      </c>
      <c r="L21" s="41">
        <f t="shared" ref="L21:L22" si="8">$C$7*$B$14*B18</f>
        <v>0.1125</v>
      </c>
      <c r="M21" s="41">
        <f t="shared" ref="M21:M22" si="9">$C$8*$B$14*C18</f>
        <v>8.5000000000000006E-2</v>
      </c>
      <c r="N21" s="41">
        <f t="shared" ref="N21:N22" si="10">$C$10*$B$14*D18</f>
        <v>6.6000000000000003E-2</v>
      </c>
    </row>
    <row r="22" spans="1:14" x14ac:dyDescent="0.2">
      <c r="K22">
        <v>2050</v>
      </c>
      <c r="L22" s="41">
        <f t="shared" si="8"/>
        <v>0.125</v>
      </c>
      <c r="M22" s="41">
        <f t="shared" si="9"/>
        <v>0.17</v>
      </c>
      <c r="N22" s="41">
        <f t="shared" si="10"/>
        <v>0.1</v>
      </c>
    </row>
  </sheetData>
  <hyperlinks>
    <hyperlink ref="K5" r:id="rId1" xr:uid="{417138E4-9296-490A-90BD-0D67BB8AD0AD}"/>
    <hyperlink ref="K7" r:id="rId2" xr:uid="{6A7C2740-3868-4DAA-9274-71A3B2DBB13C}"/>
    <hyperlink ref="K8" r:id="rId3" xr:uid="{DC75B207-FC8E-4A45-A135-7D9DB5DF1E03}"/>
  </hyperlinks>
  <pageMargins left="0.7" right="0.7" top="0.75" bottom="0.75" header="0.3" footer="0.3"/>
  <legacyDrawing r:id="rId4"/>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6B7391-1F5F-4469-ABB0-B9AF4AB6D648}">
  <sheetPr>
    <tabColor rgb="FFFF0000"/>
  </sheetPr>
  <dimension ref="A1:N21"/>
  <sheetViews>
    <sheetView workbookViewId="0">
      <selection activeCell="K33" sqref="K33"/>
    </sheetView>
  </sheetViews>
  <sheetFormatPr baseColWidth="10" defaultColWidth="8.83203125" defaultRowHeight="15" x14ac:dyDescent="0.2"/>
  <cols>
    <col min="1" max="1" width="30.5" customWidth="1"/>
    <col min="2" max="2" width="25.5" customWidth="1"/>
    <col min="3" max="4" width="12.83203125" customWidth="1"/>
  </cols>
  <sheetData>
    <row r="1" spans="1:14" x14ac:dyDescent="0.2">
      <c r="A1" s="46" t="s">
        <v>1110</v>
      </c>
      <c r="B1" s="46"/>
      <c r="C1" s="46"/>
      <c r="D1" s="46"/>
      <c r="E1" s="46"/>
      <c r="F1" s="46"/>
      <c r="G1" s="46"/>
      <c r="H1" s="46"/>
      <c r="I1" s="46"/>
      <c r="J1" s="46"/>
      <c r="K1" s="1"/>
    </row>
    <row r="2" spans="1:14" ht="16" thickBot="1" x14ac:dyDescent="0.25">
      <c r="A2" s="45"/>
      <c r="B2" s="45" t="s">
        <v>1252</v>
      </c>
      <c r="C2" s="45" t="s">
        <v>1112</v>
      </c>
      <c r="D2" s="45" t="s">
        <v>1253</v>
      </c>
      <c r="E2" s="45" t="s">
        <v>5</v>
      </c>
      <c r="F2" s="45" t="s">
        <v>4</v>
      </c>
      <c r="G2" s="45" t="s">
        <v>6</v>
      </c>
      <c r="H2" s="45" t="s">
        <v>7</v>
      </c>
      <c r="I2" s="45" t="s">
        <v>8</v>
      </c>
      <c r="J2" s="45" t="s">
        <v>166</v>
      </c>
      <c r="K2" s="45" t="s">
        <v>766</v>
      </c>
      <c r="L2" t="s">
        <v>96</v>
      </c>
    </row>
    <row r="3" spans="1:14" x14ac:dyDescent="0.2">
      <c r="B3" t="s">
        <v>462</v>
      </c>
      <c r="C3" t="s">
        <v>462</v>
      </c>
      <c r="E3" t="s">
        <v>704</v>
      </c>
      <c r="F3" t="s">
        <v>704</v>
      </c>
      <c r="G3" t="s">
        <v>704</v>
      </c>
      <c r="H3" t="s">
        <v>704</v>
      </c>
      <c r="I3" t="s">
        <v>704</v>
      </c>
      <c r="J3" t="s">
        <v>704</v>
      </c>
      <c r="K3" t="s">
        <v>704</v>
      </c>
    </row>
    <row r="4" spans="1:14" x14ac:dyDescent="0.2">
      <c r="A4" t="s">
        <v>1</v>
      </c>
      <c r="E4" s="44">
        <f>'Demand Breakdown - Propylene'!K53+'Demand Breakdown - Propylene'!K55</f>
        <v>35.064810426540276</v>
      </c>
      <c r="F4" s="44">
        <f>'Demand Breakdown - Ethylene'!K66+'Demand Breakdown - Ethylene'!K68</f>
        <v>26.79978640201811</v>
      </c>
      <c r="G4" s="44">
        <f>'Demand - Industry shares'!L88+'Demand - Industry shares'!L85</f>
        <v>10.386509179092885</v>
      </c>
      <c r="H4" s="44">
        <f>'Demand - Industry shares'!L103</f>
        <v>8.4733226664561627</v>
      </c>
      <c r="I4" s="44">
        <f>'Demand - Industry shares'!L117</f>
        <v>2.7526470484159993</v>
      </c>
      <c r="J4" s="43">
        <f>'Demand - Industry shares'!L131</f>
        <v>0.54114627454012965</v>
      </c>
      <c r="K4" s="43">
        <f>'Demand Breakdown - C4'!I30</f>
        <v>17.756995485407991</v>
      </c>
      <c r="L4" s="176"/>
    </row>
    <row r="5" spans="1:14" x14ac:dyDescent="0.2">
      <c r="A5" t="s">
        <v>1123</v>
      </c>
      <c r="B5" s="514">
        <f>'Demand Breakdown - Propylene'!L53</f>
        <v>3.6750221758679036E-3</v>
      </c>
      <c r="C5" s="514">
        <f>'Demand Breakdown - Ethylene'!L66</f>
        <v>1.4673314942567961E-2</v>
      </c>
      <c r="D5" s="514">
        <f>'Demand Breakdown - Methanol'!N41</f>
        <v>1.4E-2</v>
      </c>
      <c r="E5" s="44">
        <f>E4*(1+B5)^30-E4</f>
        <v>4.0791698087209411</v>
      </c>
      <c r="F5" s="44">
        <f>F4*(1+C5)^30-F4</f>
        <v>14.687831629255978</v>
      </c>
      <c r="G5" s="44">
        <f>G4*(1+D5)^30-G4</f>
        <v>5.375379618541487</v>
      </c>
      <c r="H5" s="44">
        <f>H4*(1+'Demand Breakdown - BTX'!L96)^30-H4</f>
        <v>3.2760055988712615</v>
      </c>
      <c r="I5" s="44">
        <f>I4*(1+'Demand Breakdown - BTX'!L96)^30-I4</f>
        <v>1.0642445115451715</v>
      </c>
      <c r="J5" s="44">
        <f>J4*(1+'Demand Breakdown - BTX'!L96)^30-J4</f>
        <v>0.20922113968583655</v>
      </c>
      <c r="K5" s="44">
        <f>'Demand Breakdown - C4'!L30-'Demand Breakdown - C4'!I30</f>
        <v>9.4222885712126612</v>
      </c>
      <c r="L5" s="72"/>
    </row>
    <row r="6" spans="1:14" x14ac:dyDescent="0.2">
      <c r="A6" t="s">
        <v>1125</v>
      </c>
      <c r="E6" s="44">
        <f>SUM(E4:E5)</f>
        <v>39.143980235261218</v>
      </c>
      <c r="F6" s="44">
        <f>SUM(F4:F5)</f>
        <v>41.487618031274089</v>
      </c>
      <c r="G6" s="44">
        <f>SUM(G4:G5)</f>
        <v>15.761888797634372</v>
      </c>
      <c r="H6" s="44">
        <f t="shared" ref="H6:K6" si="0">SUM(H4:H5)</f>
        <v>11.749328265327424</v>
      </c>
      <c r="I6" s="44">
        <f t="shared" si="0"/>
        <v>3.8168915599611708</v>
      </c>
      <c r="J6" s="44">
        <f t="shared" si="0"/>
        <v>0.7503674142259662</v>
      </c>
      <c r="K6" s="44">
        <f t="shared" si="0"/>
        <v>27.179284056620652</v>
      </c>
    </row>
    <row r="7" spans="1:14" ht="16" x14ac:dyDescent="0.2">
      <c r="A7" t="s">
        <v>183</v>
      </c>
      <c r="B7" s="679">
        <v>0.15</v>
      </c>
      <c r="C7" s="679">
        <v>0.15</v>
      </c>
      <c r="D7" s="679">
        <v>0.15</v>
      </c>
      <c r="E7" s="49">
        <f>$E$6*B7</f>
        <v>5.8715970352891826</v>
      </c>
      <c r="F7" s="49">
        <f>$F$6*C7</f>
        <v>6.2231427046911127</v>
      </c>
      <c r="G7" s="49">
        <f>G$6*$B7</f>
        <v>2.3642833196451556</v>
      </c>
      <c r="H7" s="49">
        <f t="shared" ref="H7:J8" si="1">H$6*$B7</f>
        <v>1.7623992397991135</v>
      </c>
      <c r="I7" s="49">
        <f t="shared" si="1"/>
        <v>0.57253373399417562</v>
      </c>
      <c r="J7" s="49">
        <f t="shared" si="1"/>
        <v>0.11255511213389492</v>
      </c>
      <c r="K7" s="49">
        <f>$K$6*D7</f>
        <v>4.0768926084930976</v>
      </c>
      <c r="L7" s="54" t="s">
        <v>1254</v>
      </c>
    </row>
    <row r="8" spans="1:14" ht="16" x14ac:dyDescent="0.2">
      <c r="A8" t="s">
        <v>28</v>
      </c>
      <c r="B8" s="679">
        <v>0.05</v>
      </c>
      <c r="C8" s="679">
        <v>0.05</v>
      </c>
      <c r="D8" s="679">
        <v>0.05</v>
      </c>
      <c r="E8" s="49">
        <f>$E$6*B8</f>
        <v>1.9571990117630609</v>
      </c>
      <c r="F8" s="49">
        <f>$F$6*C8</f>
        <v>2.0743809015637047</v>
      </c>
      <c r="G8" s="49">
        <f>$G$6*D8</f>
        <v>0.78809443988171868</v>
      </c>
      <c r="H8" s="49">
        <f t="shared" si="1"/>
        <v>0.58746641326637128</v>
      </c>
      <c r="I8" s="49">
        <f t="shared" si="1"/>
        <v>0.19084457799805854</v>
      </c>
      <c r="J8" s="49">
        <f t="shared" si="1"/>
        <v>3.7518370711298314E-2</v>
      </c>
      <c r="K8" s="49">
        <f>$K$6*D8</f>
        <v>1.3589642028310327</v>
      </c>
      <c r="L8" s="54" t="s">
        <v>1254</v>
      </c>
    </row>
    <row r="9" spans="1:14" x14ac:dyDescent="0.2">
      <c r="A9" t="s">
        <v>1129</v>
      </c>
      <c r="B9" s="48"/>
      <c r="E9" s="44">
        <f>E6-E7-E8</f>
        <v>31.315184188208974</v>
      </c>
      <c r="F9" s="44">
        <f>F6-F7-F8</f>
        <v>33.190094425019268</v>
      </c>
      <c r="G9" s="44">
        <f>G6-G7-G8</f>
        <v>12.609511038107499</v>
      </c>
      <c r="H9" s="44">
        <f t="shared" ref="H9:K9" si="2">H6-H7-H8</f>
        <v>9.3994626122619387</v>
      </c>
      <c r="I9" s="44">
        <f t="shared" si="2"/>
        <v>3.0535132479689366</v>
      </c>
      <c r="J9" s="44">
        <f t="shared" si="2"/>
        <v>0.60029393138077303</v>
      </c>
      <c r="K9" s="44">
        <f t="shared" si="2"/>
        <v>21.743427245296523</v>
      </c>
    </row>
    <row r="11" spans="1:14" x14ac:dyDescent="0.2">
      <c r="A11" t="s">
        <v>1143</v>
      </c>
      <c r="B11" s="56">
        <f>100%</f>
        <v>1</v>
      </c>
    </row>
    <row r="12" spans="1:14" x14ac:dyDescent="0.2">
      <c r="A12" t="s">
        <v>1146</v>
      </c>
      <c r="B12" s="56">
        <v>0.5</v>
      </c>
    </row>
    <row r="13" spans="1:14" x14ac:dyDescent="0.2">
      <c r="B13" s="56"/>
      <c r="E13" t="s">
        <v>1154</v>
      </c>
    </row>
    <row r="14" spans="1:14" x14ac:dyDescent="0.2">
      <c r="B14" t="s">
        <v>1162</v>
      </c>
      <c r="C14" t="s">
        <v>1163</v>
      </c>
      <c r="E14" t="s">
        <v>1155</v>
      </c>
      <c r="F14" t="s">
        <v>1162</v>
      </c>
      <c r="G14" t="s">
        <v>1163</v>
      </c>
    </row>
    <row r="15" spans="1:14" x14ac:dyDescent="0.2">
      <c r="A15" t="s">
        <v>1150</v>
      </c>
      <c r="B15" s="55">
        <v>0.33</v>
      </c>
      <c r="C15" s="55">
        <v>0.33</v>
      </c>
      <c r="D15" s="55"/>
      <c r="E15">
        <v>2030</v>
      </c>
      <c r="F15" s="41">
        <f>$C$7*$B$11*B15</f>
        <v>4.9500000000000002E-2</v>
      </c>
      <c r="G15" s="41">
        <f>$C$8*$B$11*C15</f>
        <v>1.6500000000000001E-2</v>
      </c>
      <c r="N15" s="41"/>
    </row>
    <row r="16" spans="1:14" x14ac:dyDescent="0.2">
      <c r="A16" t="s">
        <v>1151</v>
      </c>
      <c r="B16" s="55">
        <v>0.66</v>
      </c>
      <c r="C16" s="55">
        <v>0.66</v>
      </c>
      <c r="D16" s="55"/>
      <c r="E16">
        <v>2040</v>
      </c>
      <c r="F16" s="41">
        <f>$C$7*$B$11*B16</f>
        <v>9.9000000000000005E-2</v>
      </c>
      <c r="G16" s="41">
        <f>$C$8*$B$11*C16</f>
        <v>3.3000000000000002E-2</v>
      </c>
      <c r="N16" s="41"/>
    </row>
    <row r="17" spans="1:14" x14ac:dyDescent="0.2">
      <c r="A17" t="s">
        <v>1152</v>
      </c>
      <c r="B17" s="55">
        <v>1</v>
      </c>
      <c r="C17" s="55">
        <v>1</v>
      </c>
      <c r="D17" s="55"/>
      <c r="E17">
        <v>2050</v>
      </c>
      <c r="F17" s="41">
        <f>$C$7*$B$11*B17</f>
        <v>0.15</v>
      </c>
      <c r="G17" s="41">
        <f>$C$8*$B$11*C17</f>
        <v>0.05</v>
      </c>
      <c r="N17" s="41"/>
    </row>
    <row r="18" spans="1:14" x14ac:dyDescent="0.2">
      <c r="A18" s="54" t="s">
        <v>96</v>
      </c>
      <c r="B18" s="177" t="s">
        <v>1255</v>
      </c>
      <c r="E18" t="s">
        <v>1159</v>
      </c>
      <c r="F18" t="s">
        <v>1162</v>
      </c>
      <c r="G18" t="s">
        <v>1163</v>
      </c>
    </row>
    <row r="19" spans="1:14" x14ac:dyDescent="0.2">
      <c r="E19">
        <v>2030</v>
      </c>
      <c r="F19" s="41">
        <f>$C$7*$B$12*B15</f>
        <v>2.4750000000000001E-2</v>
      </c>
      <c r="G19" s="41">
        <f>$C$8*$B$12*C15</f>
        <v>8.2500000000000004E-3</v>
      </c>
      <c r="N19" s="41"/>
    </row>
    <row r="20" spans="1:14" x14ac:dyDescent="0.2">
      <c r="E20">
        <v>2040</v>
      </c>
      <c r="F20" s="41">
        <f>$C$7*$B$12*B16</f>
        <v>4.9500000000000002E-2</v>
      </c>
      <c r="G20" s="41">
        <f>$C$8*$B$12*C16</f>
        <v>1.6500000000000001E-2</v>
      </c>
      <c r="N20" s="41"/>
    </row>
    <row r="21" spans="1:14" x14ac:dyDescent="0.2">
      <c r="E21">
        <v>2050</v>
      </c>
      <c r="F21" s="41">
        <f>$C$7*$B$12*B17</f>
        <v>7.4999999999999997E-2</v>
      </c>
      <c r="G21" s="41">
        <f>$C$8*$B$12*C17</f>
        <v>2.5000000000000001E-2</v>
      </c>
      <c r="N21" s="41"/>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6FFB92-9953-4830-B180-5AABF3C7FD31}">
  <sheetPr>
    <tabColor theme="4"/>
  </sheetPr>
  <dimension ref="A1:BL295"/>
  <sheetViews>
    <sheetView topLeftCell="A194" zoomScale="70" zoomScaleNormal="70" workbookViewId="0">
      <selection activeCell="A218" sqref="A218"/>
    </sheetView>
  </sheetViews>
  <sheetFormatPr baseColWidth="10" defaultColWidth="8.83203125" defaultRowHeight="15" outlineLevelRow="2" outlineLevelCol="1" x14ac:dyDescent="0.2"/>
  <cols>
    <col min="1" max="1" width="6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x14ac:dyDescent="0.2">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x14ac:dyDescent="0.2">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x14ac:dyDescent="0.2">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x14ac:dyDescent="0.2">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x14ac:dyDescent="0.25">
      <c r="A5" s="200" t="s">
        <v>1260</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372">
        <f>(AG5/C5)^(1/30)-1</f>
        <v>1.5649269037751878E-2</v>
      </c>
      <c r="AJ5" s="212" t="s">
        <v>1261</v>
      </c>
      <c r="AR5" s="1"/>
      <c r="AU5" s="23"/>
    </row>
    <row r="6" spans="1:47" ht="16" outlineLevel="1" thickTop="1" x14ac:dyDescent="0.2">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x14ac:dyDescent="0.2">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x14ac:dyDescent="0.2">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x14ac:dyDescent="0.2">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x14ac:dyDescent="0.2">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x14ac:dyDescent="0.2">
      <c r="A11" t="s">
        <v>1267</v>
      </c>
      <c r="B11" s="54" t="s">
        <v>462</v>
      </c>
      <c r="C11" s="110">
        <f>'Waste gen. - Industry shares'!C24+'Waste gen. - Industry shares'!C21</f>
        <v>0.28391936890149011</v>
      </c>
      <c r="D11" s="127">
        <f>C11</f>
        <v>0.28391936890149011</v>
      </c>
      <c r="E11" s="127">
        <f t="shared" si="4"/>
        <v>0.28391936890149011</v>
      </c>
      <c r="F11" s="127">
        <f t="shared" si="4"/>
        <v>0.28391936890149011</v>
      </c>
      <c r="G11" s="127">
        <f t="shared" si="4"/>
        <v>0.28391936890149011</v>
      </c>
      <c r="H11" s="127">
        <f t="shared" si="4"/>
        <v>0.28391936890149011</v>
      </c>
      <c r="I11" s="127">
        <f t="shared" si="4"/>
        <v>0.28391936890149011</v>
      </c>
      <c r="J11" s="127">
        <f t="shared" si="4"/>
        <v>0.28391936890149011</v>
      </c>
      <c r="K11" s="127">
        <f t="shared" si="4"/>
        <v>0.28391936890149011</v>
      </c>
      <c r="L11" s="127">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x14ac:dyDescent="0.25">
      <c r="A12" s="195" t="s">
        <v>1268</v>
      </c>
      <c r="B12" s="196"/>
      <c r="C12" s="197">
        <f t="shared" ref="C12:AG12" si="7">SUM(C7:C11)</f>
        <v>1</v>
      </c>
      <c r="D12" s="197">
        <f t="shared" si="7"/>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x14ac:dyDescent="0.2">
      <c r="AM13" s="26"/>
      <c r="AN13" s="2"/>
      <c r="AO13" s="26"/>
      <c r="AR13" s="2"/>
    </row>
    <row r="14" spans="1:47" outlineLevel="1" x14ac:dyDescent="0.2">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x14ac:dyDescent="0.2">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x14ac:dyDescent="0.2">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x14ac:dyDescent="0.2">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x14ac:dyDescent="0.2">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x14ac:dyDescent="0.25">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x14ac:dyDescent="0.2">
      <c r="AL20" s="114"/>
      <c r="AM20" s="115"/>
      <c r="AN20" s="115"/>
      <c r="AO20" s="115"/>
      <c r="AP20" s="115"/>
      <c r="AQ20" s="115"/>
    </row>
    <row r="21" spans="1:64" outlineLevel="1" x14ac:dyDescent="0.2">
      <c r="A21" t="s">
        <v>1276</v>
      </c>
      <c r="B21" s="54" t="s">
        <v>462</v>
      </c>
      <c r="C21" s="110">
        <f>'Ethylene Recycling HC'!C21</f>
        <v>0.53559976833583545</v>
      </c>
      <c r="D21" s="110">
        <f>C21</f>
        <v>0.53559976833583545</v>
      </c>
      <c r="E21" s="110">
        <f t="shared" ref="E21:AF22" si="10">D21</f>
        <v>0.53559976833583545</v>
      </c>
      <c r="F21" s="110">
        <f t="shared" si="10"/>
        <v>0.53559976833583545</v>
      </c>
      <c r="G21" s="110">
        <f t="shared" si="10"/>
        <v>0.53559976833583545</v>
      </c>
      <c r="H21" s="110">
        <f t="shared" si="10"/>
        <v>0.53559976833583545</v>
      </c>
      <c r="I21" s="110">
        <f t="shared" si="10"/>
        <v>0.53559976833583545</v>
      </c>
      <c r="J21" s="110">
        <f t="shared" si="10"/>
        <v>0.53559976833583545</v>
      </c>
      <c r="K21" s="110">
        <f t="shared" si="10"/>
        <v>0.53559976833583545</v>
      </c>
      <c r="L21" s="110">
        <f t="shared" si="10"/>
        <v>0.53559976833583545</v>
      </c>
      <c r="M21" s="110">
        <f t="shared" si="10"/>
        <v>0.53559976833583545</v>
      </c>
      <c r="N21" s="110">
        <f t="shared" si="10"/>
        <v>0.53559976833583545</v>
      </c>
      <c r="O21" s="110">
        <f t="shared" si="10"/>
        <v>0.53559976833583545</v>
      </c>
      <c r="P21" s="110">
        <f t="shared" si="10"/>
        <v>0.53559976833583545</v>
      </c>
      <c r="Q21" s="110">
        <f t="shared" si="10"/>
        <v>0.53559976833583545</v>
      </c>
      <c r="R21" s="110">
        <f t="shared" si="10"/>
        <v>0.53559976833583545</v>
      </c>
      <c r="S21" s="110">
        <f t="shared" si="10"/>
        <v>0.53559976833583545</v>
      </c>
      <c r="T21" s="110">
        <f t="shared" si="10"/>
        <v>0.53559976833583545</v>
      </c>
      <c r="U21" s="110">
        <f t="shared" si="10"/>
        <v>0.53559976833583545</v>
      </c>
      <c r="V21" s="110">
        <f t="shared" si="10"/>
        <v>0.53559976833583545</v>
      </c>
      <c r="W21" s="110">
        <f t="shared" si="10"/>
        <v>0.53559976833583545</v>
      </c>
      <c r="X21" s="110">
        <f t="shared" si="10"/>
        <v>0.53559976833583545</v>
      </c>
      <c r="Y21" s="110">
        <f t="shared" si="10"/>
        <v>0.53559976833583545</v>
      </c>
      <c r="Z21" s="110">
        <f t="shared" si="10"/>
        <v>0.53559976833583545</v>
      </c>
      <c r="AA21" s="110">
        <f t="shared" si="10"/>
        <v>0.53559976833583545</v>
      </c>
      <c r="AB21" s="110">
        <f t="shared" si="10"/>
        <v>0.53559976833583545</v>
      </c>
      <c r="AC21" s="110">
        <f t="shared" si="10"/>
        <v>0.53559976833583545</v>
      </c>
      <c r="AD21" s="110">
        <f t="shared" si="10"/>
        <v>0.53559976833583545</v>
      </c>
      <c r="AE21" s="110">
        <f t="shared" si="10"/>
        <v>0.53559976833583545</v>
      </c>
      <c r="AF21" s="110">
        <f t="shared" si="10"/>
        <v>0.53559976833583545</v>
      </c>
      <c r="AG21" s="110">
        <f>AF21</f>
        <v>0.53559976833583545</v>
      </c>
      <c r="AI21" s="54" t="s">
        <v>1263</v>
      </c>
      <c r="AJ21" s="211"/>
      <c r="AM21" s="115"/>
      <c r="AN21" s="115"/>
      <c r="AO21" s="115"/>
      <c r="AP21" s="115"/>
      <c r="AQ21" s="115"/>
    </row>
    <row r="22" spans="1:64" outlineLevel="1" x14ac:dyDescent="0.2">
      <c r="A22" t="s">
        <v>1277</v>
      </c>
      <c r="B22" s="54" t="s">
        <v>462</v>
      </c>
      <c r="C22" s="110">
        <f>'Ethylene Recycling HC'!C22</f>
        <v>0.12059259167888789</v>
      </c>
      <c r="D22" s="110">
        <f t="shared" ref="D22:S25" si="11">C22</f>
        <v>0.12059259167888789</v>
      </c>
      <c r="E22" s="110">
        <f t="shared" si="11"/>
        <v>0.12059259167888789</v>
      </c>
      <c r="F22" s="110">
        <f t="shared" si="11"/>
        <v>0.12059259167888789</v>
      </c>
      <c r="G22" s="110">
        <f t="shared" si="11"/>
        <v>0.12059259167888789</v>
      </c>
      <c r="H22" s="110">
        <f t="shared" si="11"/>
        <v>0.12059259167888789</v>
      </c>
      <c r="I22" s="110">
        <f t="shared" si="11"/>
        <v>0.12059259167888789</v>
      </c>
      <c r="J22" s="110">
        <f t="shared" si="11"/>
        <v>0.12059259167888789</v>
      </c>
      <c r="K22" s="110">
        <f t="shared" si="11"/>
        <v>0.12059259167888789</v>
      </c>
      <c r="L22" s="110">
        <f t="shared" si="11"/>
        <v>0.12059259167888789</v>
      </c>
      <c r="M22" s="110">
        <f t="shared" si="11"/>
        <v>0.12059259167888789</v>
      </c>
      <c r="N22" s="110">
        <f t="shared" si="11"/>
        <v>0.12059259167888789</v>
      </c>
      <c r="O22" s="110">
        <f t="shared" si="11"/>
        <v>0.12059259167888789</v>
      </c>
      <c r="P22" s="110">
        <f t="shared" si="11"/>
        <v>0.12059259167888789</v>
      </c>
      <c r="Q22" s="110">
        <f t="shared" si="11"/>
        <v>0.12059259167888789</v>
      </c>
      <c r="R22" s="110">
        <f t="shared" si="11"/>
        <v>0.12059259167888789</v>
      </c>
      <c r="S22" s="110">
        <f t="shared" si="11"/>
        <v>0.12059259167888789</v>
      </c>
      <c r="T22" s="110">
        <f t="shared" si="10"/>
        <v>0.12059259167888789</v>
      </c>
      <c r="U22" s="110">
        <f t="shared" si="10"/>
        <v>0.12059259167888789</v>
      </c>
      <c r="V22" s="110">
        <f t="shared" si="10"/>
        <v>0.12059259167888789</v>
      </c>
      <c r="W22" s="110">
        <f t="shared" si="10"/>
        <v>0.12059259167888789</v>
      </c>
      <c r="X22" s="110">
        <f t="shared" si="10"/>
        <v>0.12059259167888789</v>
      </c>
      <c r="Y22" s="110">
        <f t="shared" si="10"/>
        <v>0.12059259167888789</v>
      </c>
      <c r="Z22" s="110">
        <f t="shared" si="10"/>
        <v>0.12059259167888789</v>
      </c>
      <c r="AA22" s="110">
        <f t="shared" si="10"/>
        <v>0.12059259167888789</v>
      </c>
      <c r="AB22" s="110">
        <f t="shared" si="10"/>
        <v>0.12059259167888789</v>
      </c>
      <c r="AC22" s="110">
        <f t="shared" si="10"/>
        <v>0.12059259167888789</v>
      </c>
      <c r="AD22" s="110">
        <f t="shared" si="10"/>
        <v>0.12059259167888789</v>
      </c>
      <c r="AE22" s="110">
        <f t="shared" si="10"/>
        <v>0.12059259167888789</v>
      </c>
      <c r="AF22" s="110">
        <f t="shared" si="10"/>
        <v>0.12059259167888789</v>
      </c>
      <c r="AG22" s="110">
        <f t="shared" ref="T22:AG25" si="12">AF22</f>
        <v>0.12059259167888789</v>
      </c>
      <c r="AI22" s="54" t="s">
        <v>1263</v>
      </c>
      <c r="AJ22" s="211"/>
      <c r="AM22" s="120"/>
      <c r="AN22" s="115"/>
      <c r="AO22" s="116"/>
      <c r="AP22" s="117"/>
      <c r="AQ22" s="116"/>
    </row>
    <row r="23" spans="1:64" outlineLevel="1" x14ac:dyDescent="0.2">
      <c r="A23" t="s">
        <v>1278</v>
      </c>
      <c r="B23" s="54" t="s">
        <v>462</v>
      </c>
      <c r="C23" s="110">
        <f>'Ethylene Recycling HC'!C23</f>
        <v>0.40344579328579167</v>
      </c>
      <c r="D23" s="110">
        <f t="shared" si="11"/>
        <v>0.40344579328579167</v>
      </c>
      <c r="E23" s="110">
        <f t="shared" si="11"/>
        <v>0.40344579328579167</v>
      </c>
      <c r="F23" s="110">
        <f t="shared" si="11"/>
        <v>0.40344579328579167</v>
      </c>
      <c r="G23" s="110">
        <f t="shared" si="11"/>
        <v>0.40344579328579167</v>
      </c>
      <c r="H23" s="110">
        <f t="shared" si="11"/>
        <v>0.40344579328579167</v>
      </c>
      <c r="I23" s="110">
        <f t="shared" si="11"/>
        <v>0.40344579328579167</v>
      </c>
      <c r="J23" s="110">
        <f t="shared" si="11"/>
        <v>0.40344579328579167</v>
      </c>
      <c r="K23" s="110">
        <f t="shared" si="11"/>
        <v>0.40344579328579167</v>
      </c>
      <c r="L23" s="110">
        <f t="shared" si="11"/>
        <v>0.40344579328579167</v>
      </c>
      <c r="M23" s="110">
        <f t="shared" si="11"/>
        <v>0.40344579328579167</v>
      </c>
      <c r="N23" s="110">
        <f t="shared" si="11"/>
        <v>0.40344579328579167</v>
      </c>
      <c r="O23" s="110">
        <f t="shared" si="11"/>
        <v>0.40344579328579167</v>
      </c>
      <c r="P23" s="110">
        <f t="shared" si="11"/>
        <v>0.40344579328579167</v>
      </c>
      <c r="Q23" s="110">
        <f t="shared" si="11"/>
        <v>0.40344579328579167</v>
      </c>
      <c r="R23" s="110">
        <f t="shared" si="11"/>
        <v>0.40344579328579167</v>
      </c>
      <c r="S23" s="110">
        <f t="shared" si="11"/>
        <v>0.40344579328579167</v>
      </c>
      <c r="T23" s="110">
        <f t="shared" si="12"/>
        <v>0.40344579328579167</v>
      </c>
      <c r="U23" s="110">
        <f t="shared" si="12"/>
        <v>0.40344579328579167</v>
      </c>
      <c r="V23" s="110">
        <f t="shared" si="12"/>
        <v>0.40344579328579167</v>
      </c>
      <c r="W23" s="110">
        <f t="shared" si="12"/>
        <v>0.40344579328579167</v>
      </c>
      <c r="X23" s="110">
        <f t="shared" si="12"/>
        <v>0.40344579328579167</v>
      </c>
      <c r="Y23" s="110">
        <f t="shared" si="12"/>
        <v>0.40344579328579167</v>
      </c>
      <c r="Z23" s="110">
        <f t="shared" si="12"/>
        <v>0.40344579328579167</v>
      </c>
      <c r="AA23" s="110">
        <f t="shared" si="12"/>
        <v>0.40344579328579167</v>
      </c>
      <c r="AB23" s="110">
        <f t="shared" si="12"/>
        <v>0.40344579328579167</v>
      </c>
      <c r="AC23" s="110">
        <f t="shared" si="12"/>
        <v>0.40344579328579167</v>
      </c>
      <c r="AD23" s="110">
        <f t="shared" si="12"/>
        <v>0.40344579328579167</v>
      </c>
      <c r="AE23" s="110">
        <f t="shared" si="12"/>
        <v>0.40344579328579167</v>
      </c>
      <c r="AF23" s="110">
        <f t="shared" si="12"/>
        <v>0.40344579328579167</v>
      </c>
      <c r="AG23" s="110">
        <f t="shared" si="12"/>
        <v>0.40344579328579167</v>
      </c>
      <c r="AI23" s="54" t="s">
        <v>1263</v>
      </c>
      <c r="AJ23" s="211"/>
      <c r="AM23" s="120"/>
      <c r="AN23" s="115"/>
      <c r="AO23" s="116"/>
      <c r="AP23" s="117"/>
      <c r="AQ23" s="116"/>
    </row>
    <row r="24" spans="1:64" outlineLevel="1" x14ac:dyDescent="0.2">
      <c r="A24" t="s">
        <v>1279</v>
      </c>
      <c r="B24" s="54" t="s">
        <v>462</v>
      </c>
      <c r="C24" s="110">
        <f>'Ethylene Recycling HC'!C24</f>
        <v>0.12870939312767635</v>
      </c>
      <c r="D24" s="110">
        <f t="shared" si="11"/>
        <v>0.12870939312767635</v>
      </c>
      <c r="E24" s="110">
        <f t="shared" si="11"/>
        <v>0.12870939312767635</v>
      </c>
      <c r="F24" s="110">
        <f t="shared" si="11"/>
        <v>0.12870939312767635</v>
      </c>
      <c r="G24" s="110">
        <f t="shared" si="11"/>
        <v>0.12870939312767635</v>
      </c>
      <c r="H24" s="110">
        <f t="shared" si="11"/>
        <v>0.12870939312767635</v>
      </c>
      <c r="I24" s="110">
        <f t="shared" si="11"/>
        <v>0.12870939312767635</v>
      </c>
      <c r="J24" s="110">
        <f t="shared" si="11"/>
        <v>0.12870939312767635</v>
      </c>
      <c r="K24" s="110">
        <f t="shared" si="11"/>
        <v>0.12870939312767635</v>
      </c>
      <c r="L24" s="110">
        <f t="shared" si="11"/>
        <v>0.12870939312767635</v>
      </c>
      <c r="M24" s="110">
        <f t="shared" si="11"/>
        <v>0.12870939312767635</v>
      </c>
      <c r="N24" s="110">
        <f t="shared" si="11"/>
        <v>0.12870939312767635</v>
      </c>
      <c r="O24" s="110">
        <f t="shared" si="11"/>
        <v>0.12870939312767635</v>
      </c>
      <c r="P24" s="110">
        <f t="shared" si="11"/>
        <v>0.12870939312767635</v>
      </c>
      <c r="Q24" s="110">
        <f t="shared" si="11"/>
        <v>0.12870939312767635</v>
      </c>
      <c r="R24" s="110">
        <f t="shared" si="11"/>
        <v>0.12870939312767635</v>
      </c>
      <c r="S24" s="110">
        <f t="shared" si="11"/>
        <v>0.12870939312767635</v>
      </c>
      <c r="T24" s="110">
        <f t="shared" si="12"/>
        <v>0.12870939312767635</v>
      </c>
      <c r="U24" s="110">
        <f t="shared" si="12"/>
        <v>0.12870939312767635</v>
      </c>
      <c r="V24" s="110">
        <f t="shared" si="12"/>
        <v>0.12870939312767635</v>
      </c>
      <c r="W24" s="110">
        <f t="shared" si="12"/>
        <v>0.12870939312767635</v>
      </c>
      <c r="X24" s="110">
        <f t="shared" si="12"/>
        <v>0.12870939312767635</v>
      </c>
      <c r="Y24" s="110">
        <f t="shared" si="12"/>
        <v>0.12870939312767635</v>
      </c>
      <c r="Z24" s="110">
        <f t="shared" si="12"/>
        <v>0.12870939312767635</v>
      </c>
      <c r="AA24" s="110">
        <f t="shared" si="12"/>
        <v>0.12870939312767635</v>
      </c>
      <c r="AB24" s="110">
        <f t="shared" si="12"/>
        <v>0.12870939312767635</v>
      </c>
      <c r="AC24" s="110">
        <f t="shared" si="12"/>
        <v>0.12870939312767635</v>
      </c>
      <c r="AD24" s="110">
        <f t="shared" si="12"/>
        <v>0.12870939312767635</v>
      </c>
      <c r="AE24" s="110">
        <f t="shared" si="12"/>
        <v>0.12870939312767635</v>
      </c>
      <c r="AF24" s="110">
        <f t="shared" si="12"/>
        <v>0.12870939312767635</v>
      </c>
      <c r="AG24" s="110">
        <f t="shared" si="12"/>
        <v>0.12870939312767635</v>
      </c>
      <c r="AI24" s="54" t="s">
        <v>1280</v>
      </c>
      <c r="AJ24" s="211"/>
      <c r="AM24" s="120"/>
      <c r="AN24" s="115"/>
      <c r="AO24" s="116"/>
      <c r="AP24" s="117"/>
      <c r="AQ24" s="116"/>
    </row>
    <row r="25" spans="1:64" outlineLevel="1" x14ac:dyDescent="0.2">
      <c r="A25" t="s">
        <v>1281</v>
      </c>
      <c r="B25" s="54" t="s">
        <v>462</v>
      </c>
      <c r="C25" s="110">
        <f>'Ethylene Recycling HC'!C25</f>
        <v>0.27152478293850724</v>
      </c>
      <c r="D25" s="110">
        <f>C25</f>
        <v>0.27152478293850724</v>
      </c>
      <c r="E25" s="110">
        <f t="shared" si="11"/>
        <v>0.27152478293850724</v>
      </c>
      <c r="F25" s="110">
        <f t="shared" si="11"/>
        <v>0.27152478293850724</v>
      </c>
      <c r="G25" s="110">
        <f t="shared" si="11"/>
        <v>0.27152478293850724</v>
      </c>
      <c r="H25" s="110">
        <f t="shared" si="11"/>
        <v>0.27152478293850724</v>
      </c>
      <c r="I25" s="110">
        <f t="shared" si="11"/>
        <v>0.27152478293850724</v>
      </c>
      <c r="J25" s="110">
        <f t="shared" si="11"/>
        <v>0.27152478293850724</v>
      </c>
      <c r="K25" s="110">
        <f t="shared" si="11"/>
        <v>0.27152478293850724</v>
      </c>
      <c r="L25" s="110">
        <f t="shared" si="11"/>
        <v>0.27152478293850724</v>
      </c>
      <c r="M25" s="110">
        <f t="shared" si="11"/>
        <v>0.27152478293850724</v>
      </c>
      <c r="N25" s="110">
        <f t="shared" si="11"/>
        <v>0.27152478293850724</v>
      </c>
      <c r="O25" s="110">
        <f t="shared" si="11"/>
        <v>0.27152478293850724</v>
      </c>
      <c r="P25" s="110">
        <f t="shared" si="11"/>
        <v>0.27152478293850724</v>
      </c>
      <c r="Q25" s="110">
        <f t="shared" si="11"/>
        <v>0.27152478293850724</v>
      </c>
      <c r="R25" s="110">
        <f t="shared" si="11"/>
        <v>0.27152478293850724</v>
      </c>
      <c r="S25" s="110">
        <f t="shared" si="11"/>
        <v>0.27152478293850724</v>
      </c>
      <c r="T25" s="110">
        <f t="shared" si="12"/>
        <v>0.27152478293850724</v>
      </c>
      <c r="U25" s="110">
        <f t="shared" si="12"/>
        <v>0.27152478293850724</v>
      </c>
      <c r="V25" s="110">
        <f t="shared" si="12"/>
        <v>0.27152478293850724</v>
      </c>
      <c r="W25" s="110">
        <f t="shared" si="12"/>
        <v>0.27152478293850724</v>
      </c>
      <c r="X25" s="110">
        <f t="shared" si="12"/>
        <v>0.27152478293850724</v>
      </c>
      <c r="Y25" s="110">
        <f t="shared" si="12"/>
        <v>0.27152478293850724</v>
      </c>
      <c r="Z25" s="110">
        <f t="shared" si="12"/>
        <v>0.27152478293850724</v>
      </c>
      <c r="AA25" s="110">
        <f t="shared" si="12"/>
        <v>0.27152478293850724</v>
      </c>
      <c r="AB25" s="110">
        <f t="shared" si="12"/>
        <v>0.27152478293850724</v>
      </c>
      <c r="AC25" s="110">
        <f t="shared" si="12"/>
        <v>0.27152478293850724</v>
      </c>
      <c r="AD25" s="110">
        <f t="shared" si="12"/>
        <v>0.27152478293850724</v>
      </c>
      <c r="AE25" s="110">
        <f t="shared" si="12"/>
        <v>0.27152478293850724</v>
      </c>
      <c r="AF25" s="110">
        <f t="shared" si="12"/>
        <v>0.27152478293850724</v>
      </c>
      <c r="AG25" s="110">
        <f t="shared" si="12"/>
        <v>0.27152478293850724</v>
      </c>
      <c r="AI25" s="54" t="s">
        <v>1263</v>
      </c>
      <c r="AJ25" s="211"/>
      <c r="AM25" s="120"/>
      <c r="AN25" s="115"/>
      <c r="AO25" s="116"/>
      <c r="AP25" s="117"/>
      <c r="AQ25" s="116"/>
    </row>
    <row r="26" spans="1:64" outlineLevel="1" x14ac:dyDescent="0.2">
      <c r="AI26" s="54"/>
      <c r="AM26" s="120"/>
      <c r="AN26" s="115"/>
      <c r="AO26" s="116"/>
      <c r="AP26" s="117"/>
      <c r="AQ26" s="116"/>
      <c r="BD26" s="23"/>
      <c r="BE26" s="23"/>
      <c r="BF26" s="23"/>
      <c r="BG26" s="23"/>
      <c r="BH26" s="23"/>
      <c r="BI26" s="23"/>
      <c r="BJ26" s="23"/>
      <c r="BK26" s="23"/>
      <c r="BL26" s="23"/>
    </row>
    <row r="27" spans="1:64" outlineLevel="1" x14ac:dyDescent="0.2">
      <c r="A27" t="s">
        <v>1282</v>
      </c>
      <c r="B27" s="54" t="s">
        <v>1283</v>
      </c>
      <c r="C27" s="204">
        <f>C14*C21</f>
        <v>102.83867964679865</v>
      </c>
      <c r="D27" s="204">
        <f t="shared" ref="D27:AG27" si="13">D14*D21</f>
        <v>106.28598640768944</v>
      </c>
      <c r="E27" s="204">
        <f t="shared" si="13"/>
        <v>109.5616995008031</v>
      </c>
      <c r="F27" s="204">
        <f t="shared" si="13"/>
        <v>112.64333563181849</v>
      </c>
      <c r="G27" s="204">
        <f t="shared" si="13"/>
        <v>115.50931122200963</v>
      </c>
      <c r="H27" s="204">
        <f t="shared" si="13"/>
        <v>118.13919421573216</v>
      </c>
      <c r="I27" s="204">
        <f t="shared" si="13"/>
        <v>120.77395041935485</v>
      </c>
      <c r="J27" s="204">
        <f t="shared" si="13"/>
        <v>123.4111943053117</v>
      </c>
      <c r="K27" s="204">
        <f t="shared" si="13"/>
        <v>126.04847978225341</v>
      </c>
      <c r="L27" s="204">
        <f t="shared" si="13"/>
        <v>128.68330337612264</v>
      </c>
      <c r="M27" s="204">
        <f t="shared" si="13"/>
        <v>131.31310762622246</v>
      </c>
      <c r="N27" s="204">
        <f t="shared" si="13"/>
        <v>133.74365133866885</v>
      </c>
      <c r="O27" s="204">
        <f t="shared" si="13"/>
        <v>135.96145428106598</v>
      </c>
      <c r="P27" s="204">
        <f t="shared" si="13"/>
        <v>137.95398835278621</v>
      </c>
      <c r="Q27" s="204">
        <f t="shared" si="13"/>
        <v>139.70979402380797</v>
      </c>
      <c r="R27" s="204">
        <f t="shared" si="13"/>
        <v>141.21858889442359</v>
      </c>
      <c r="S27" s="204">
        <f t="shared" si="13"/>
        <v>142.72805331994462</v>
      </c>
      <c r="T27" s="204">
        <f t="shared" si="13"/>
        <v>144.23785099543639</v>
      </c>
      <c r="U27" s="204">
        <f t="shared" si="13"/>
        <v>145.74764157846025</v>
      </c>
      <c r="V27" s="204">
        <f t="shared" si="13"/>
        <v>147.25708079644534</v>
      </c>
      <c r="W27" s="204">
        <f t="shared" si="13"/>
        <v>148.76582055762699</v>
      </c>
      <c r="X27" s="204">
        <f t="shared" si="13"/>
        <v>150.27516423982337</v>
      </c>
      <c r="Y27" s="204">
        <f t="shared" si="13"/>
        <v>151.78480881836185</v>
      </c>
      <c r="Z27" s="204">
        <f t="shared" si="13"/>
        <v>153.2944478440792</v>
      </c>
      <c r="AA27" s="204">
        <f t="shared" si="13"/>
        <v>154.80377153088244</v>
      </c>
      <c r="AB27" s="204">
        <f t="shared" si="13"/>
        <v>156.31246684603533</v>
      </c>
      <c r="AC27" s="204">
        <f t="shared" si="13"/>
        <v>157.82170967288491</v>
      </c>
      <c r="AD27" s="204">
        <f t="shared" si="13"/>
        <v>159.33122553085934</v>
      </c>
      <c r="AE27" s="204">
        <f t="shared" si="13"/>
        <v>160.84073700912998</v>
      </c>
      <c r="AF27" s="204">
        <f t="shared" si="13"/>
        <v>162.34996383873036</v>
      </c>
      <c r="AG27" s="204">
        <f t="shared" si="13"/>
        <v>163.85862296678792</v>
      </c>
      <c r="AM27" s="120"/>
      <c r="AN27" s="115"/>
      <c r="AO27" s="115"/>
      <c r="AP27" s="115"/>
      <c r="AQ27" s="115"/>
      <c r="BD27" s="205"/>
      <c r="BE27" s="205"/>
      <c r="BF27" s="205"/>
      <c r="BG27" s="205"/>
      <c r="BH27" s="205"/>
      <c r="BI27" s="205"/>
      <c r="BJ27" s="205"/>
      <c r="BK27" s="205"/>
      <c r="BL27" s="205"/>
    </row>
    <row r="28" spans="1:64" outlineLevel="1" x14ac:dyDescent="0.2">
      <c r="A28" t="s">
        <v>1284</v>
      </c>
      <c r="B28" s="54" t="s">
        <v>1283</v>
      </c>
      <c r="C28" s="204">
        <f t="shared" ref="C28:AG31" si="14">C15*C22</f>
        <v>2.1856442000720988</v>
      </c>
      <c r="D28" s="204">
        <f t="shared" si="14"/>
        <v>2.2589102712982947</v>
      </c>
      <c r="E28" s="204">
        <f t="shared" si="14"/>
        <v>2.3285294393744862</v>
      </c>
      <c r="F28" s="204">
        <f t="shared" si="14"/>
        <v>2.3940238638421976</v>
      </c>
      <c r="G28" s="204">
        <f t="shared" si="14"/>
        <v>2.4549348260187185</v>
      </c>
      <c r="H28" s="204">
        <f t="shared" si="14"/>
        <v>2.5108280806952612</v>
      </c>
      <c r="I28" s="204">
        <f t="shared" si="14"/>
        <v>2.5668249063529807</v>
      </c>
      <c r="J28" s="204">
        <f t="shared" si="14"/>
        <v>2.6228746030557586</v>
      </c>
      <c r="K28" s="204">
        <f t="shared" si="14"/>
        <v>2.6789251836972952</v>
      </c>
      <c r="L28" s="204">
        <f t="shared" si="14"/>
        <v>2.7349234416089296</v>
      </c>
      <c r="M28" s="204">
        <f t="shared" si="14"/>
        <v>2.7908150227367376</v>
      </c>
      <c r="N28" s="204">
        <f t="shared" si="14"/>
        <v>2.8424716930321492</v>
      </c>
      <c r="O28" s="204">
        <f t="shared" si="14"/>
        <v>2.8896069553147976</v>
      </c>
      <c r="P28" s="204">
        <f t="shared" si="14"/>
        <v>2.9319545481880098</v>
      </c>
      <c r="Q28" s="204">
        <f t="shared" si="14"/>
        <v>2.9692709207289902</v>
      </c>
      <c r="R28" s="204">
        <f t="shared" si="14"/>
        <v>3.0013375397227922</v>
      </c>
      <c r="S28" s="204">
        <f t="shared" si="14"/>
        <v>3.0334183888564659</v>
      </c>
      <c r="T28" s="204">
        <f t="shared" si="14"/>
        <v>3.0655063205962985</v>
      </c>
      <c r="U28" s="204">
        <f t="shared" si="14"/>
        <v>3.0975941015989621</v>
      </c>
      <c r="V28" s="204">
        <f t="shared" si="14"/>
        <v>3.1296744149935063</v>
      </c>
      <c r="W28" s="204">
        <f t="shared" si="14"/>
        <v>3.1617398627391444</v>
      </c>
      <c r="X28" s="204">
        <f t="shared" si="14"/>
        <v>3.1938181456988057</v>
      </c>
      <c r="Y28" s="204">
        <f t="shared" si="14"/>
        <v>3.2259028236486325</v>
      </c>
      <c r="Z28" s="204">
        <f t="shared" si="14"/>
        <v>3.2579873835836088</v>
      </c>
      <c r="AA28" s="204">
        <f t="shared" si="14"/>
        <v>3.2900652415785085</v>
      </c>
      <c r="AB28" s="204">
        <f t="shared" si="14"/>
        <v>3.3221297447067584</v>
      </c>
      <c r="AC28" s="204">
        <f t="shared" si="14"/>
        <v>3.3542058841742581</v>
      </c>
      <c r="AD28" s="204">
        <f t="shared" si="14"/>
        <v>3.3862878264087373</v>
      </c>
      <c r="AE28" s="204">
        <f t="shared" si="14"/>
        <v>3.4183696755607862</v>
      </c>
      <c r="AF28" s="204">
        <f t="shared" si="14"/>
        <v>3.4504454750366103</v>
      </c>
      <c r="AG28" s="204">
        <f t="shared" si="14"/>
        <v>3.4825092090756877</v>
      </c>
      <c r="AM28" s="206"/>
      <c r="BD28" s="205"/>
      <c r="BE28" s="205"/>
      <c r="BF28" s="205"/>
      <c r="BG28" s="205"/>
      <c r="BH28" s="205"/>
      <c r="BI28" s="205"/>
      <c r="BJ28" s="205"/>
      <c r="BK28" s="205"/>
      <c r="BL28" s="205"/>
    </row>
    <row r="29" spans="1:64" outlineLevel="1" x14ac:dyDescent="0.2">
      <c r="A29" t="s">
        <v>1285</v>
      </c>
      <c r="B29" s="54" t="s">
        <v>1283</v>
      </c>
      <c r="C29" s="204">
        <f t="shared" si="14"/>
        <v>5.752639614679981</v>
      </c>
      <c r="D29" s="204">
        <f t="shared" si="14"/>
        <v>5.945476721348065</v>
      </c>
      <c r="E29" s="204">
        <f t="shared" si="14"/>
        <v>6.1287151387459886</v>
      </c>
      <c r="F29" s="204">
        <f t="shared" si="14"/>
        <v>6.301097185522492</v>
      </c>
      <c r="G29" s="204">
        <f t="shared" si="14"/>
        <v>6.4614155090508003</v>
      </c>
      <c r="H29" s="204">
        <f t="shared" si="14"/>
        <v>6.6085271711571334</v>
      </c>
      <c r="I29" s="204">
        <f t="shared" si="14"/>
        <v>6.7559114332270083</v>
      </c>
      <c r="J29" s="204">
        <f t="shared" si="14"/>
        <v>6.9034348524699753</v>
      </c>
      <c r="K29" s="204">
        <f t="shared" si="14"/>
        <v>7.0509605982494961</v>
      </c>
      <c r="L29" s="204">
        <f t="shared" si="14"/>
        <v>7.1983486300274544</v>
      </c>
      <c r="M29" s="204">
        <f t="shared" si="14"/>
        <v>7.3454558873350795</v>
      </c>
      <c r="N29" s="204">
        <f t="shared" si="14"/>
        <v>7.4814168126741842</v>
      </c>
      <c r="O29" s="204">
        <f t="shared" si="14"/>
        <v>7.6054773423095892</v>
      </c>
      <c r="P29" s="204">
        <f t="shared" si="14"/>
        <v>7.7169366733117464</v>
      </c>
      <c r="Q29" s="204">
        <f t="shared" si="14"/>
        <v>7.8151537769685619</v>
      </c>
      <c r="R29" s="204">
        <f t="shared" si="14"/>
        <v>7.8995534714506324</v>
      </c>
      <c r="S29" s="204">
        <f t="shared" si="14"/>
        <v>7.9839906198176243</v>
      </c>
      <c r="T29" s="204">
        <f t="shared" si="14"/>
        <v>8.0684464096820587</v>
      </c>
      <c r="U29" s="204">
        <f t="shared" si="14"/>
        <v>8.1529018028046014</v>
      </c>
      <c r="V29" s="204">
        <f t="shared" si="14"/>
        <v>8.2373375411003043</v>
      </c>
      <c r="W29" s="204">
        <f t="shared" si="14"/>
        <v>8.3217341528443036</v>
      </c>
      <c r="X29" s="204">
        <f t="shared" si="14"/>
        <v>8.406164547013022</v>
      </c>
      <c r="Y29" s="204">
        <f t="shared" si="14"/>
        <v>8.4906117728663109</v>
      </c>
      <c r="Z29" s="204">
        <f t="shared" si="14"/>
        <v>8.5750586881032156</v>
      </c>
      <c r="AA29" s="204">
        <f t="shared" si="14"/>
        <v>8.6594879637599984</v>
      </c>
      <c r="AB29" s="204">
        <f t="shared" si="14"/>
        <v>8.7438820892606266</v>
      </c>
      <c r="AC29" s="204">
        <f t="shared" si="14"/>
        <v>8.82830684173436</v>
      </c>
      <c r="AD29" s="204">
        <f t="shared" si="14"/>
        <v>8.9127468671547145</v>
      </c>
      <c r="AE29" s="204">
        <f t="shared" si="14"/>
        <v>8.9971866475810884</v>
      </c>
      <c r="AF29" s="204">
        <f t="shared" si="14"/>
        <v>9.0816105051929874</v>
      </c>
      <c r="AG29" s="204">
        <f t="shared" si="14"/>
        <v>9.1660026064424382</v>
      </c>
      <c r="BD29" s="205"/>
      <c r="BE29" s="205"/>
      <c r="BF29" s="205"/>
      <c r="BG29" s="205"/>
      <c r="BH29" s="205"/>
      <c r="BI29" s="205"/>
      <c r="BJ29" s="205"/>
      <c r="BK29" s="205"/>
      <c r="BL29" s="205"/>
    </row>
    <row r="30" spans="1:64" outlineLevel="1" x14ac:dyDescent="0.2">
      <c r="A30" t="s">
        <v>1286</v>
      </c>
      <c r="B30" s="54" t="s">
        <v>1283</v>
      </c>
      <c r="C30" s="204">
        <f t="shared" si="14"/>
        <v>4.7040655633623691</v>
      </c>
      <c r="D30" s="204">
        <f t="shared" si="14"/>
        <v>4.8617528953657363</v>
      </c>
      <c r="E30" s="204">
        <f t="shared" si="14"/>
        <v>5.0115911586504671</v>
      </c>
      <c r="F30" s="204">
        <f t="shared" si="14"/>
        <v>5.1525519182840052</v>
      </c>
      <c r="G30" s="204">
        <f t="shared" si="14"/>
        <v>5.2836478942879612</v>
      </c>
      <c r="H30" s="204">
        <f t="shared" si="14"/>
        <v>5.4039444798619058</v>
      </c>
      <c r="I30" s="204">
        <f t="shared" si="14"/>
        <v>5.5244639766882395</v>
      </c>
      <c r="J30" s="204">
        <f t="shared" si="14"/>
        <v>5.6450972655317502</v>
      </c>
      <c r="K30" s="204">
        <f t="shared" si="14"/>
        <v>5.7657324568376458</v>
      </c>
      <c r="L30" s="204">
        <f t="shared" si="14"/>
        <v>5.8862550362408781</v>
      </c>
      <c r="M30" s="204">
        <f t="shared" si="14"/>
        <v>6.0065480199097303</v>
      </c>
      <c r="N30" s="204">
        <f t="shared" si="14"/>
        <v>6.1177263918728313</v>
      </c>
      <c r="O30" s="204">
        <f t="shared" si="14"/>
        <v>6.2191735368914705</v>
      </c>
      <c r="P30" s="204">
        <f t="shared" si="14"/>
        <v>6.3103163923112113</v>
      </c>
      <c r="Q30" s="204">
        <f t="shared" si="14"/>
        <v>6.3906307742283754</v>
      </c>
      <c r="R30" s="204">
        <f t="shared" si="14"/>
        <v>6.4596463432479041</v>
      </c>
      <c r="S30" s="204">
        <f t="shared" si="14"/>
        <v>6.5286925391695263</v>
      </c>
      <c r="T30" s="204">
        <f t="shared" si="14"/>
        <v>6.597753978671844</v>
      </c>
      <c r="U30" s="204">
        <f t="shared" si="14"/>
        <v>6.6668150937492028</v>
      </c>
      <c r="V30" s="204">
        <f t="shared" si="14"/>
        <v>6.7358601366231401</v>
      </c>
      <c r="W30" s="204">
        <f t="shared" si="14"/>
        <v>6.8048731848169286</v>
      </c>
      <c r="X30" s="204">
        <f t="shared" si="14"/>
        <v>6.8739138576754657</v>
      </c>
      <c r="Y30" s="204">
        <f t="shared" si="14"/>
        <v>6.9429682941891366</v>
      </c>
      <c r="Z30" s="204">
        <f t="shared" si="14"/>
        <v>7.0120224767046535</v>
      </c>
      <c r="AA30" s="204">
        <f t="shared" si="14"/>
        <v>7.0810622349302861</v>
      </c>
      <c r="AB30" s="204">
        <f t="shared" si="14"/>
        <v>7.1500732500657556</v>
      </c>
      <c r="AC30" s="204">
        <f t="shared" si="14"/>
        <v>7.2191093095807011</v>
      </c>
      <c r="AD30" s="204">
        <f t="shared" si="14"/>
        <v>7.2881578581349515</v>
      </c>
      <c r="AE30" s="204">
        <f t="shared" si="14"/>
        <v>7.3572062063519947</v>
      </c>
      <c r="AF30" s="204">
        <f t="shared" si="14"/>
        <v>7.426241534117862</v>
      </c>
      <c r="AG30" s="204">
        <f t="shared" si="14"/>
        <v>7.4952508939766433</v>
      </c>
      <c r="BD30" s="205"/>
      <c r="BE30" s="205"/>
      <c r="BF30" s="205"/>
      <c r="BG30" s="205"/>
      <c r="BH30" s="205"/>
      <c r="BI30" s="205"/>
      <c r="BJ30" s="205"/>
      <c r="BK30" s="205"/>
      <c r="BL30" s="205"/>
    </row>
    <row r="31" spans="1:64" outlineLevel="1" x14ac:dyDescent="0.2">
      <c r="A31" s="181" t="s">
        <v>1287</v>
      </c>
      <c r="B31" s="176" t="s">
        <v>1283</v>
      </c>
      <c r="C31" s="204">
        <f t="shared" si="14"/>
        <v>28.091768113202104</v>
      </c>
      <c r="D31" s="204">
        <f t="shared" si="14"/>
        <v>29.033446307385653</v>
      </c>
      <c r="E31" s="204">
        <f t="shared" si="14"/>
        <v>29.928251383969435</v>
      </c>
      <c r="F31" s="204">
        <f t="shared" si="14"/>
        <v>30.770041728799526</v>
      </c>
      <c r="G31" s="204">
        <f t="shared" si="14"/>
        <v>31.552921497134374</v>
      </c>
      <c r="H31" s="204">
        <f t="shared" si="14"/>
        <v>32.271309398245535</v>
      </c>
      <c r="I31" s="204">
        <f t="shared" si="14"/>
        <v>32.991028482166051</v>
      </c>
      <c r="J31" s="204">
        <f t="shared" si="14"/>
        <v>33.711427109965484</v>
      </c>
      <c r="K31" s="204">
        <f t="shared" si="14"/>
        <v>34.431837098901674</v>
      </c>
      <c r="L31" s="204">
        <f t="shared" si="14"/>
        <v>35.151574591374157</v>
      </c>
      <c r="M31" s="204">
        <f t="shared" si="14"/>
        <v>35.869940982605996</v>
      </c>
      <c r="N31" s="204">
        <f t="shared" si="14"/>
        <v>36.533876678722947</v>
      </c>
      <c r="O31" s="204">
        <f t="shared" si="14"/>
        <v>37.139699372991053</v>
      </c>
      <c r="P31" s="204">
        <f t="shared" si="14"/>
        <v>37.683986846271161</v>
      </c>
      <c r="Q31" s="204">
        <f t="shared" si="14"/>
        <v>38.163608773853191</v>
      </c>
      <c r="R31" s="204">
        <f t="shared" si="14"/>
        <v>38.575756379999966</v>
      </c>
      <c r="S31" s="204">
        <f t="shared" si="14"/>
        <v>38.988086884071969</v>
      </c>
      <c r="T31" s="204">
        <f t="shared" si="14"/>
        <v>39.400508419854376</v>
      </c>
      <c r="U31" s="204">
        <f t="shared" si="14"/>
        <v>39.812928018233784</v>
      </c>
      <c r="V31" s="204">
        <f t="shared" si="14"/>
        <v>40.225251636528419</v>
      </c>
      <c r="W31" s="204">
        <f t="shared" si="14"/>
        <v>40.637384188792296</v>
      </c>
      <c r="X31" s="204">
        <f t="shared" si="14"/>
        <v>41.049681710201668</v>
      </c>
      <c r="Y31" s="204">
        <f t="shared" si="14"/>
        <v>41.462061425492728</v>
      </c>
      <c r="Z31" s="204">
        <f t="shared" si="14"/>
        <v>41.874439623956036</v>
      </c>
      <c r="AA31" s="204">
        <f t="shared" si="14"/>
        <v>42.286731683354908</v>
      </c>
      <c r="AB31" s="204">
        <f t="shared" si="14"/>
        <v>42.698852094588425</v>
      </c>
      <c r="AC31" s="204">
        <f t="shared" si="14"/>
        <v>43.111122066003716</v>
      </c>
      <c r="AD31" s="204">
        <f t="shared" si="14"/>
        <v>43.523466619541935</v>
      </c>
      <c r="AE31" s="204">
        <f t="shared" si="14"/>
        <v>43.935809976705173</v>
      </c>
      <c r="AF31" s="204">
        <f t="shared" si="14"/>
        <v>44.348075578256747</v>
      </c>
      <c r="AG31" s="204">
        <f t="shared" si="14"/>
        <v>44.760186104498587</v>
      </c>
      <c r="AL31" s="108"/>
      <c r="AM31" s="207"/>
      <c r="AN31" s="207"/>
      <c r="AO31" s="207"/>
    </row>
    <row r="32" spans="1:64" s="1" customFormat="1" ht="16" thickBot="1" x14ac:dyDescent="0.25">
      <c r="A32" s="200" t="s">
        <v>1288</v>
      </c>
      <c r="B32" s="219" t="s">
        <v>1283</v>
      </c>
      <c r="C32" s="216">
        <f>SUM(C27:C31)</f>
        <v>143.57279713811519</v>
      </c>
      <c r="D32" s="216">
        <f t="shared" ref="D32:AG32" si="15">SUM(D27:D31)</f>
        <v>148.38557260308718</v>
      </c>
      <c r="E32" s="216">
        <f t="shared" si="15"/>
        <v>152.95878662154348</v>
      </c>
      <c r="F32" s="216">
        <f t="shared" si="15"/>
        <v>157.26105032826672</v>
      </c>
      <c r="G32" s="216">
        <f t="shared" si="15"/>
        <v>161.26223094850147</v>
      </c>
      <c r="H32" s="216">
        <f t="shared" si="15"/>
        <v>164.93380334569201</v>
      </c>
      <c r="I32" s="216">
        <f t="shared" si="15"/>
        <v>168.61217921778913</v>
      </c>
      <c r="J32" s="216">
        <f t="shared" si="15"/>
        <v>172.29402813633467</v>
      </c>
      <c r="K32" s="216">
        <f t="shared" si="15"/>
        <v>175.97593511993952</v>
      </c>
      <c r="L32" s="216">
        <f t="shared" si="15"/>
        <v>179.65440507537406</v>
      </c>
      <c r="M32" s="216">
        <f t="shared" si="15"/>
        <v>183.32586753881003</v>
      </c>
      <c r="N32" s="216">
        <f t="shared" si="15"/>
        <v>186.71914291497094</v>
      </c>
      <c r="O32" s="216">
        <f t="shared" si="15"/>
        <v>189.81541148857292</v>
      </c>
      <c r="P32" s="216">
        <f t="shared" si="15"/>
        <v>192.59718281286834</v>
      </c>
      <c r="Q32" s="216">
        <f t="shared" si="15"/>
        <v>195.04845826958712</v>
      </c>
      <c r="R32" s="216">
        <f t="shared" si="15"/>
        <v>197.15488262884489</v>
      </c>
      <c r="S32" s="216">
        <f t="shared" si="15"/>
        <v>199.26224175186022</v>
      </c>
      <c r="T32" s="216">
        <f t="shared" si="15"/>
        <v>201.37006612424096</v>
      </c>
      <c r="U32" s="216">
        <f t="shared" si="15"/>
        <v>203.47788059484677</v>
      </c>
      <c r="V32" s="216">
        <f t="shared" si="15"/>
        <v>205.5852045256907</v>
      </c>
      <c r="W32" s="216">
        <f t="shared" si="15"/>
        <v>207.69155194681969</v>
      </c>
      <c r="X32" s="216">
        <f t="shared" si="15"/>
        <v>209.79874250041232</v>
      </c>
      <c r="Y32" s="216">
        <f t="shared" si="15"/>
        <v>211.90635313455866</v>
      </c>
      <c r="Z32" s="216">
        <f t="shared" si="15"/>
        <v>214.01395601642673</v>
      </c>
      <c r="AA32" s="216">
        <f t="shared" si="15"/>
        <v>216.12111865450612</v>
      </c>
      <c r="AB32" s="216">
        <f t="shared" si="15"/>
        <v>218.22740402465692</v>
      </c>
      <c r="AC32" s="216">
        <f t="shared" si="15"/>
        <v>220.33445377437795</v>
      </c>
      <c r="AD32" s="216">
        <f t="shared" si="15"/>
        <v>222.44188470209969</v>
      </c>
      <c r="AE32" s="216">
        <f t="shared" si="15"/>
        <v>224.54930951532904</v>
      </c>
      <c r="AF32" s="216">
        <f t="shared" si="15"/>
        <v>226.65633693133458</v>
      </c>
      <c r="AG32" s="216">
        <f t="shared" si="15"/>
        <v>228.76257178078129</v>
      </c>
      <c r="AJ32" s="162"/>
      <c r="AL32" s="221"/>
      <c r="AM32" s="124"/>
      <c r="AN32" s="124"/>
      <c r="AO32" s="124"/>
    </row>
    <row r="33" spans="1:64" ht="16" outlineLevel="1" thickTop="1" x14ac:dyDescent="0.2">
      <c r="AL33" s="108"/>
      <c r="AM33" s="2"/>
      <c r="AN33" s="2"/>
      <c r="AO33" s="2"/>
    </row>
    <row r="34" spans="1:64" outlineLevel="1" x14ac:dyDescent="0.2">
      <c r="A34" t="s">
        <v>1289</v>
      </c>
      <c r="B34" s="176" t="s">
        <v>1283</v>
      </c>
      <c r="C34" s="107">
        <f>C32</f>
        <v>143.57279713811519</v>
      </c>
      <c r="D34" s="107">
        <f t="shared" ref="D34:AG34" si="16">D32</f>
        <v>148.38557260308718</v>
      </c>
      <c r="E34" s="107">
        <f t="shared" si="16"/>
        <v>152.95878662154348</v>
      </c>
      <c r="F34" s="107">
        <f t="shared" si="16"/>
        <v>157.26105032826672</v>
      </c>
      <c r="G34" s="107">
        <f t="shared" si="16"/>
        <v>161.26223094850147</v>
      </c>
      <c r="H34" s="107">
        <f t="shared" si="16"/>
        <v>164.93380334569201</v>
      </c>
      <c r="I34" s="107">
        <f t="shared" si="16"/>
        <v>168.61217921778913</v>
      </c>
      <c r="J34" s="107">
        <f t="shared" si="16"/>
        <v>172.29402813633467</v>
      </c>
      <c r="K34" s="107">
        <f t="shared" si="16"/>
        <v>175.97593511993952</v>
      </c>
      <c r="L34" s="107">
        <f t="shared" si="16"/>
        <v>179.65440507537406</v>
      </c>
      <c r="M34" s="107">
        <f t="shared" si="16"/>
        <v>183.32586753881003</v>
      </c>
      <c r="N34" s="107">
        <f t="shared" si="16"/>
        <v>186.71914291497094</v>
      </c>
      <c r="O34" s="107">
        <f t="shared" si="16"/>
        <v>189.81541148857292</v>
      </c>
      <c r="P34" s="107">
        <f t="shared" si="16"/>
        <v>192.59718281286834</v>
      </c>
      <c r="Q34" s="107">
        <f t="shared" si="16"/>
        <v>195.04845826958712</v>
      </c>
      <c r="R34" s="107">
        <f t="shared" si="16"/>
        <v>197.15488262884489</v>
      </c>
      <c r="S34" s="107">
        <f t="shared" si="16"/>
        <v>199.26224175186022</v>
      </c>
      <c r="T34" s="107">
        <f t="shared" si="16"/>
        <v>201.37006612424096</v>
      </c>
      <c r="U34" s="107">
        <f t="shared" si="16"/>
        <v>203.47788059484677</v>
      </c>
      <c r="V34" s="107">
        <f t="shared" si="16"/>
        <v>205.5852045256907</v>
      </c>
      <c r="W34" s="107">
        <f t="shared" si="16"/>
        <v>207.69155194681969</v>
      </c>
      <c r="X34" s="107">
        <f t="shared" si="16"/>
        <v>209.79874250041232</v>
      </c>
      <c r="Y34" s="107">
        <f t="shared" si="16"/>
        <v>211.90635313455866</v>
      </c>
      <c r="Z34" s="107">
        <f t="shared" si="16"/>
        <v>214.01395601642673</v>
      </c>
      <c r="AA34" s="107">
        <f t="shared" si="16"/>
        <v>216.12111865450612</v>
      </c>
      <c r="AB34" s="107">
        <f t="shared" si="16"/>
        <v>218.22740402465692</v>
      </c>
      <c r="AC34" s="107">
        <f t="shared" si="16"/>
        <v>220.33445377437795</v>
      </c>
      <c r="AD34" s="107">
        <f t="shared" si="16"/>
        <v>222.44188470209969</v>
      </c>
      <c r="AE34" s="107">
        <f t="shared" si="16"/>
        <v>224.54930951532904</v>
      </c>
      <c r="AF34" s="107">
        <f t="shared" si="16"/>
        <v>226.65633693133458</v>
      </c>
      <c r="AG34" s="107">
        <f t="shared" si="16"/>
        <v>228.76257178078129</v>
      </c>
      <c r="AL34" s="108"/>
      <c r="AM34" s="2"/>
      <c r="AN34" s="2"/>
      <c r="AO34" s="2"/>
    </row>
    <row r="35" spans="1:64" outlineLevel="1" x14ac:dyDescent="0.2">
      <c r="A35" t="s">
        <v>1290</v>
      </c>
      <c r="B35" s="176" t="s">
        <v>1283</v>
      </c>
      <c r="C35" s="107">
        <f>'Yearly Demand - Eth&amp;Prop'!N3</f>
        <v>162.69230769230768</v>
      </c>
      <c r="D35" s="107">
        <f>'Yearly Demand - Eth&amp;Prop'!O3</f>
        <v>166.71878063819926</v>
      </c>
      <c r="E35" s="107">
        <f>'Yearly Demand - Eth&amp;Prop'!P3</f>
        <v>170.84490478834238</v>
      </c>
      <c r="F35" s="107">
        <f>'Yearly Demand - Eth&amp;Prop'!Q3</f>
        <v>175.07314641101752</v>
      </c>
      <c r="G35" s="107">
        <f>'Yearly Demand - Eth&amp;Prop'!R3</f>
        <v>179.40603281219435</v>
      </c>
      <c r="H35" s="107">
        <f>'Yearly Demand - Eth&amp;Prop'!S3</f>
        <v>183.84615384615384</v>
      </c>
      <c r="I35" s="107">
        <f>'Yearly Demand - Eth&amp;Prop'!T3</f>
        <v>187.89464856761026</v>
      </c>
      <c r="J35" s="107">
        <f>'Yearly Demand - Eth&amp;Prop'!U3</f>
        <v>192.03229560020711</v>
      </c>
      <c r="K35" s="107">
        <f>'Yearly Demand - Eth&amp;Prop'!V3</f>
        <v>196.26105817599196</v>
      </c>
      <c r="L35" s="107">
        <f>'Yearly Demand - Eth&amp;Prop'!W3</f>
        <v>200.58294275954361</v>
      </c>
      <c r="M35" s="107">
        <f>'Yearly Demand - Eth&amp;Prop'!X3</f>
        <v>205</v>
      </c>
      <c r="N35" s="107">
        <f>'Yearly Demand - Eth&amp;Prop'!Y3</f>
        <v>207.44116419514421</v>
      </c>
      <c r="O35" s="107">
        <f>'Yearly Demand - Eth&amp;Prop'!Z3</f>
        <v>209.91139806164284</v>
      </c>
      <c r="P35" s="107">
        <f>'Yearly Demand - Eth&amp;Prop'!AA3</f>
        <v>212.41104776457331</v>
      </c>
      <c r="Q35" s="107">
        <f>'Yearly Demand - Eth&amp;Prop'!AB3</f>
        <v>214.94046359118767</v>
      </c>
      <c r="R35" s="107">
        <f>'Yearly Demand - Eth&amp;Prop'!AC3</f>
        <v>217.5</v>
      </c>
      <c r="S35" s="107">
        <f>'Yearly Demand - Eth&amp;Prop'!AD3</f>
        <v>219.94443410654205</v>
      </c>
      <c r="T35" s="107">
        <f>'Yearly Demand - Eth&amp;Prop'!AE3</f>
        <v>222.41634066412422</v>
      </c>
      <c r="U35" s="107">
        <f>'Yearly Demand - Eth&amp;Prop'!AF3</f>
        <v>224.91602842951116</v>
      </c>
      <c r="V35" s="107">
        <f>'Yearly Demand - Eth&amp;Prop'!AG3</f>
        <v>227.4438096295161</v>
      </c>
      <c r="W35" s="107">
        <f>'Yearly Demand - Eth&amp;Prop'!AH3</f>
        <v>230</v>
      </c>
      <c r="X35" s="107">
        <f>'Yearly Demand - Eth&amp;Prop'!AI3</f>
        <v>232.44735963345383</v>
      </c>
      <c r="Y35" s="107">
        <f>'Yearly Demand - Eth&amp;Prop'!AJ3</f>
        <v>234.92076087201835</v>
      </c>
      <c r="Z35" s="107">
        <f>'Yearly Demand - Eth&amp;Prop'!AK3</f>
        <v>237.42048081644634</v>
      </c>
      <c r="AA35" s="107">
        <f>'Yearly Demand - Eth&amp;Prop'!AL3</f>
        <v>239.9467995160349</v>
      </c>
      <c r="AB35" s="107">
        <f>'Yearly Demand - Eth&amp;Prop'!AM3</f>
        <v>242.5</v>
      </c>
      <c r="AC35" s="107">
        <f>'Yearly Demand - Eth&amp;Prop'!AN3</f>
        <v>244.9499924675749</v>
      </c>
      <c r="AD35" s="107">
        <f>'Yearly Demand - Eth&amp;Prop'!AO3</f>
        <v>247.42473736026807</v>
      </c>
      <c r="AE35" s="107">
        <f>'Yearly Demand - Eth&amp;Prop'!AP3</f>
        <v>249.9244847533582</v>
      </c>
      <c r="AF35" s="107">
        <f>'Yearly Demand - Eth&amp;Prop'!AQ3</f>
        <v>252.44948724865003</v>
      </c>
      <c r="AG35" s="107">
        <f>'Yearly Demand - Eth&amp;Prop'!AR3</f>
        <v>255</v>
      </c>
      <c r="AL35" s="108"/>
      <c r="AM35" s="2"/>
      <c r="AN35" s="2"/>
      <c r="AO35" s="2"/>
    </row>
    <row r="36" spans="1:64" outlineLevel="1" x14ac:dyDescent="0.2">
      <c r="A36" t="s">
        <v>1291</v>
      </c>
      <c r="B36" s="176" t="s">
        <v>1283</v>
      </c>
      <c r="C36" s="107">
        <f>C35-C34</f>
        <v>19.119510554192487</v>
      </c>
      <c r="D36" s="107">
        <f t="shared" ref="D36:AG36" si="17">D35-D34</f>
        <v>18.333208035112079</v>
      </c>
      <c r="E36" s="107">
        <f t="shared" si="17"/>
        <v>17.886118166798894</v>
      </c>
      <c r="F36" s="107">
        <f t="shared" si="17"/>
        <v>17.812096082750799</v>
      </c>
      <c r="G36" s="107">
        <f t="shared" si="17"/>
        <v>18.143801863692886</v>
      </c>
      <c r="H36" s="107">
        <f t="shared" si="17"/>
        <v>18.912350500461827</v>
      </c>
      <c r="I36" s="107">
        <f t="shared" si="17"/>
        <v>19.282469349821127</v>
      </c>
      <c r="J36" s="107">
        <f t="shared" si="17"/>
        <v>19.738267463872432</v>
      </c>
      <c r="K36" s="107">
        <f t="shared" si="17"/>
        <v>20.285123056052441</v>
      </c>
      <c r="L36" s="107">
        <f t="shared" si="17"/>
        <v>20.928537684169555</v>
      </c>
      <c r="M36" s="107">
        <f t="shared" si="17"/>
        <v>21.67413246118997</v>
      </c>
      <c r="N36" s="107">
        <f t="shared" si="17"/>
        <v>20.722021280173266</v>
      </c>
      <c r="O36" s="107">
        <f t="shared" si="17"/>
        <v>20.095986573069922</v>
      </c>
      <c r="P36" s="107">
        <f t="shared" si="17"/>
        <v>19.813864951704971</v>
      </c>
      <c r="Q36" s="107">
        <f t="shared" si="17"/>
        <v>19.89200532160055</v>
      </c>
      <c r="R36" s="107">
        <f t="shared" si="17"/>
        <v>20.345117371155112</v>
      </c>
      <c r="S36" s="107">
        <f t="shared" si="17"/>
        <v>20.682192354681831</v>
      </c>
      <c r="T36" s="107">
        <f t="shared" si="17"/>
        <v>21.046274539883257</v>
      </c>
      <c r="U36" s="107">
        <f t="shared" si="17"/>
        <v>21.438147834664392</v>
      </c>
      <c r="V36" s="107">
        <f t="shared" si="17"/>
        <v>21.858605103825397</v>
      </c>
      <c r="W36" s="107">
        <f t="shared" si="17"/>
        <v>22.308448053180314</v>
      </c>
      <c r="X36" s="107">
        <f t="shared" si="17"/>
        <v>22.648617133041512</v>
      </c>
      <c r="Y36" s="107">
        <f t="shared" si="17"/>
        <v>23.014407737459692</v>
      </c>
      <c r="Z36" s="107">
        <f t="shared" si="17"/>
        <v>23.406524800019611</v>
      </c>
      <c r="AA36" s="107">
        <f t="shared" si="17"/>
        <v>23.825680861528781</v>
      </c>
      <c r="AB36" s="107">
        <f t="shared" si="17"/>
        <v>24.27259597534308</v>
      </c>
      <c r="AC36" s="107">
        <f t="shared" si="17"/>
        <v>24.615538693196953</v>
      </c>
      <c r="AD36" s="107">
        <f t="shared" si="17"/>
        <v>24.982852658168383</v>
      </c>
      <c r="AE36" s="107">
        <f t="shared" si="17"/>
        <v>25.375175238029158</v>
      </c>
      <c r="AF36" s="107">
        <f t="shared" si="17"/>
        <v>25.793150317315451</v>
      </c>
      <c r="AG36" s="107">
        <f t="shared" si="17"/>
        <v>26.237428219218714</v>
      </c>
      <c r="AL36" s="108"/>
      <c r="AM36" s="2"/>
      <c r="AN36" s="2"/>
      <c r="AO36" s="2"/>
    </row>
    <row r="37" spans="1:64" outlineLevel="1" x14ac:dyDescent="0.2">
      <c r="A37" t="s">
        <v>1292</v>
      </c>
      <c r="B37" s="54" t="s">
        <v>462</v>
      </c>
      <c r="C37" s="2">
        <f>C34/C35</f>
        <v>0.88248054978510526</v>
      </c>
      <c r="D37" s="2">
        <f t="shared" ref="D37:AG37" si="18">D34/D35</f>
        <v>0.89003513602407247</v>
      </c>
      <c r="E37" s="2">
        <f t="shared" si="18"/>
        <v>0.89530786306470311</v>
      </c>
      <c r="F37" s="2">
        <f t="shared" si="18"/>
        <v>0.89825911941438741</v>
      </c>
      <c r="G37" s="2">
        <f t="shared" si="18"/>
        <v>0.89886738155184465</v>
      </c>
      <c r="H37" s="2">
        <f t="shared" si="18"/>
        <v>0.89712947426527034</v>
      </c>
      <c r="I37" s="2">
        <f t="shared" si="18"/>
        <v>0.89737616533084652</v>
      </c>
      <c r="J37" s="2">
        <f t="shared" si="18"/>
        <v>0.89721381290485835</v>
      </c>
      <c r="K37" s="2">
        <f t="shared" si="18"/>
        <v>0.89664213958399075</v>
      </c>
      <c r="L37" s="2">
        <f t="shared" si="18"/>
        <v>0.89566142865269238</v>
      </c>
      <c r="M37" s="2">
        <f t="shared" si="18"/>
        <v>0.89427252457956108</v>
      </c>
      <c r="N37" s="2">
        <f t="shared" si="18"/>
        <v>0.90010651280051812</v>
      </c>
      <c r="O37" s="2">
        <f t="shared" si="18"/>
        <v>0.9042644336675395</v>
      </c>
      <c r="P37" s="2">
        <f t="shared" si="18"/>
        <v>0.90671923536827637</v>
      </c>
      <c r="Q37" s="2">
        <f t="shared" si="18"/>
        <v>0.90745341761505305</v>
      </c>
      <c r="R37" s="2">
        <f t="shared" si="18"/>
        <v>0.90645923047744781</v>
      </c>
      <c r="S37" s="2">
        <f t="shared" si="18"/>
        <v>0.90596628444499172</v>
      </c>
      <c r="T37" s="2">
        <f t="shared" si="18"/>
        <v>0.90537442313347971</v>
      </c>
      <c r="U37" s="2">
        <f t="shared" si="18"/>
        <v>0.90468377027481117</v>
      </c>
      <c r="V37" s="2">
        <f t="shared" si="18"/>
        <v>0.90389448216053481</v>
      </c>
      <c r="W37" s="2">
        <f t="shared" si="18"/>
        <v>0.90300674759486821</v>
      </c>
      <c r="X37" s="2">
        <f t="shared" si="18"/>
        <v>0.90256453259457925</v>
      </c>
      <c r="Y37" s="2">
        <f t="shared" si="18"/>
        <v>0.90203331688510224</v>
      </c>
      <c r="Z37" s="2">
        <f t="shared" si="18"/>
        <v>0.90141320277202375</v>
      </c>
      <c r="AA37" s="2">
        <f t="shared" si="18"/>
        <v>0.90070431900077674</v>
      </c>
      <c r="AB37" s="2">
        <f t="shared" si="18"/>
        <v>0.89990682072023476</v>
      </c>
      <c r="AC37" s="2">
        <f t="shared" si="18"/>
        <v>0.89950790181610063</v>
      </c>
      <c r="AD37" s="2">
        <f t="shared" si="18"/>
        <v>0.8990284765997687</v>
      </c>
      <c r="AE37" s="2">
        <f t="shared" si="18"/>
        <v>0.89846863038220914</v>
      </c>
      <c r="AF37" s="2">
        <f t="shared" si="18"/>
        <v>0.89782847016872525</v>
      </c>
      <c r="AG37" s="2">
        <f t="shared" si="18"/>
        <v>0.89710812463051481</v>
      </c>
      <c r="AI37" s="208" t="s">
        <v>1293</v>
      </c>
      <c r="AL37" s="108"/>
      <c r="AM37" s="2"/>
      <c r="AN37" s="2"/>
      <c r="AO37" s="2"/>
    </row>
    <row r="38" spans="1:64" outlineLevel="1" x14ac:dyDescent="0.2">
      <c r="AL38" s="108"/>
      <c r="AM38" s="2"/>
      <c r="AN38" s="2"/>
      <c r="AO38" s="2"/>
    </row>
    <row r="39" spans="1:64" outlineLevel="1" x14ac:dyDescent="0.2">
      <c r="A39" t="s">
        <v>1294</v>
      </c>
      <c r="B39" s="54" t="s">
        <v>462</v>
      </c>
      <c r="C39" s="23">
        <f>'Yearly LC Ethylene'!D33/'Yearly LC Ethylene'!D26</f>
        <v>1</v>
      </c>
      <c r="D39" s="23">
        <f>'Yearly LC Ethylene'!E33/'Yearly LC Ethylene'!E26</f>
        <v>0.98931923999999993</v>
      </c>
      <c r="E39" s="23">
        <f>'Yearly LC Ethylene'!F33/'Yearly LC Ethylene'!F26</f>
        <v>0.97863847999999998</v>
      </c>
      <c r="F39" s="23">
        <f>'Yearly LC Ethylene'!G33/'Yearly LC Ethylene'!G26</f>
        <v>0.96795772000000002</v>
      </c>
      <c r="G39" s="23">
        <f>'Yearly LC Ethylene'!H33/'Yearly LC Ethylene'!H26</f>
        <v>0.95727695999999995</v>
      </c>
      <c r="H39" s="23">
        <f>'Yearly LC Ethylene'!I33/'Yearly LC Ethylene'!I26</f>
        <v>0.9465962</v>
      </c>
      <c r="I39" s="23">
        <f>'Yearly LC Ethylene'!J33/'Yearly LC Ethylene'!J26</f>
        <v>0.93591544000000004</v>
      </c>
      <c r="J39" s="23">
        <f>'Yearly LC Ethylene'!K33/'Yearly LC Ethylene'!K26</f>
        <v>0.92523468000000009</v>
      </c>
      <c r="K39" s="23">
        <f>'Yearly LC Ethylene'!L33/'Yearly LC Ethylene'!L26</f>
        <v>0.91455392000000002</v>
      </c>
      <c r="L39" s="23">
        <f>'Yearly LC Ethylene'!M33/'Yearly LC Ethylene'!M26</f>
        <v>0.90387316000000006</v>
      </c>
      <c r="M39" s="23">
        <f>'Yearly LC Ethylene'!N33/'Yearly LC Ethylene'!N26</f>
        <v>0.8931924</v>
      </c>
      <c r="N39" s="23">
        <f>'Yearly LC Ethylene'!O33/'Yearly LC Ethylene'!O26</f>
        <v>0.87486299999999995</v>
      </c>
      <c r="O39" s="23">
        <f>'Yearly LC Ethylene'!P33/'Yearly LC Ethylene'!P26</f>
        <v>0.85958643000000001</v>
      </c>
      <c r="P39" s="23">
        <f>'Yearly LC Ethylene'!Q33/'Yearly LC Ethylene'!Q26</f>
        <v>0.84094121999999993</v>
      </c>
      <c r="Q39" s="23">
        <f>'Yearly LC Ethylene'!R33/'Yearly LC Ethylene'!R26</f>
        <v>0.82229600999999997</v>
      </c>
      <c r="R39" s="23">
        <f>'Yearly LC Ethylene'!S33/'Yearly LC Ethylene'!S26</f>
        <v>0.8036508</v>
      </c>
      <c r="S39" s="23">
        <f>'Yearly LC Ethylene'!T33/'Yearly LC Ethylene'!T26</f>
        <v>0.78500559000000003</v>
      </c>
      <c r="T39" s="23">
        <f>'Yearly LC Ethylene'!U33/'Yearly LC Ethylene'!U26</f>
        <v>0.76636038000000006</v>
      </c>
      <c r="U39" s="23">
        <f>'Yearly LC Ethylene'!V33/'Yearly LC Ethylene'!V26</f>
        <v>0.7477151700000001</v>
      </c>
      <c r="V39" s="23">
        <f>'Yearly LC Ethylene'!W33/'Yearly LC Ethylene'!W26</f>
        <v>0.72906996000000002</v>
      </c>
      <c r="W39" s="23">
        <f>'Yearly LC Ethylene'!X33/'Yearly LC Ethylene'!X26</f>
        <v>0.71042475000000005</v>
      </c>
      <c r="X39" s="23">
        <f>'Yearly LC Ethylene'!Y33/'Yearly LC Ethylene'!Y26</f>
        <v>0.68173823</v>
      </c>
      <c r="Y39" s="23">
        <f>'Yearly LC Ethylene'!Z33/'Yearly LC Ethylene'!Z26</f>
        <v>0.66272176000000005</v>
      </c>
      <c r="Z39" s="23">
        <f>'Yearly LC Ethylene'!AA33/'Yearly LC Ethylene'!AA26</f>
        <v>0.64370528999999999</v>
      </c>
      <c r="AA39" s="23">
        <f>'Yearly LC Ethylene'!AB33/'Yearly LC Ethylene'!AB26</f>
        <v>0.62468882000000014</v>
      </c>
      <c r="AB39" s="23">
        <f>'Yearly LC Ethylene'!AC33/'Yearly LC Ethylene'!AC26</f>
        <v>0.60567234999999997</v>
      </c>
      <c r="AC39" s="23">
        <f>'Yearly LC Ethylene'!AD33/'Yearly LC Ethylene'!AD26</f>
        <v>0.58665588000000013</v>
      </c>
      <c r="AD39" s="23">
        <f>'Yearly LC Ethylene'!AE33/'Yearly LC Ethylene'!AE26</f>
        <v>0.56763941000000007</v>
      </c>
      <c r="AE39" s="23">
        <f>'Yearly LC Ethylene'!AF33/'Yearly LC Ethylene'!AF26</f>
        <v>0.54862294000000011</v>
      </c>
      <c r="AF39" s="23">
        <f>'Yearly LC Ethylene'!AG33/'Yearly LC Ethylene'!AG26</f>
        <v>0.52960647000000005</v>
      </c>
      <c r="AG39" s="23">
        <f>'Yearly LC Ethylene'!AH33/'Yearly LC Ethylene'!AH26</f>
        <v>0.51058999999999999</v>
      </c>
      <c r="AL39" s="108"/>
      <c r="AM39" s="2"/>
      <c r="AN39" s="2"/>
      <c r="AO39" s="2"/>
      <c r="BC39" s="1"/>
      <c r="BD39" s="122"/>
      <c r="BE39" s="122"/>
      <c r="BF39" s="122"/>
      <c r="BG39" s="122"/>
      <c r="BH39" s="122"/>
      <c r="BI39" s="122"/>
      <c r="BJ39" s="122"/>
      <c r="BK39" s="122"/>
    </row>
    <row r="40" spans="1:64" outlineLevel="1" x14ac:dyDescent="0.2">
      <c r="A40" t="s">
        <v>1295</v>
      </c>
      <c r="B40" s="54" t="s">
        <v>462</v>
      </c>
      <c r="C40" s="23">
        <f>'Yearly LC Ethylene'!D19/'Yearly LC Ethylene'!D12</f>
        <v>1</v>
      </c>
      <c r="D40" s="23">
        <f>'Yearly LC Ethylene'!E19/'Yearly LC Ethylene'!E12</f>
        <v>0.99829903423249988</v>
      </c>
      <c r="E40" s="23">
        <f>'Yearly LC Ethylene'!F19/'Yearly LC Ethylene'!F12</f>
        <v>0.99659614386000017</v>
      </c>
      <c r="F40" s="23">
        <f>'Yearly LC Ethylene'!G19/'Yearly LC Ethylene'!G12</f>
        <v>0.99489133927750006</v>
      </c>
      <c r="G40" s="23">
        <f>'Yearly LC Ethylene'!H19/'Yearly LC Ethylene'!H12</f>
        <v>0.99318463088000009</v>
      </c>
      <c r="H40" s="23">
        <f>'Yearly LC Ethylene'!I19/'Yearly LC Ethylene'!I12</f>
        <v>0.99147602906249999</v>
      </c>
      <c r="I40" s="23">
        <f>'Yearly LC Ethylene'!J19/'Yearly LC Ethylene'!J12</f>
        <v>0.98976554422000018</v>
      </c>
      <c r="J40" s="23">
        <f>'Yearly LC Ethylene'!K19/'Yearly LC Ethylene'!K12</f>
        <v>0.98805318674749987</v>
      </c>
      <c r="K40" s="23">
        <f>'Yearly LC Ethylene'!L19/'Yearly LC Ethylene'!L12</f>
        <v>0.98633896704000001</v>
      </c>
      <c r="L40" s="23">
        <f>'Yearly LC Ethylene'!M19/'Yearly LC Ethylene'!M12</f>
        <v>0.98462289549249982</v>
      </c>
      <c r="M40" s="23">
        <f>'Yearly LC Ethylene'!N19/'Yearly LC Ethylene'!N12</f>
        <v>0.98290498249999991</v>
      </c>
      <c r="N40" s="23">
        <f>'Yearly LC Ethylene'!O19/'Yearly LC Ethylene'!O12</f>
        <v>0.97870549159499998</v>
      </c>
      <c r="O40" s="23">
        <f>'Yearly LC Ethylene'!P19/'Yearly LC Ethylene'!P12</f>
        <v>0.97447390335999995</v>
      </c>
      <c r="P40" s="23">
        <f>'Yearly LC Ethylene'!Q19/'Yearly LC Ethylene'!Q12</f>
        <v>0.97021059201500004</v>
      </c>
      <c r="Q40" s="23">
        <f>'Yearly LC Ethylene'!R19/'Yearly LC Ethylene'!R12</f>
        <v>0.9659159317799999</v>
      </c>
      <c r="R40" s="23">
        <f>'Yearly LC Ethylene'!S19/'Yearly LC Ethylene'!S12</f>
        <v>0.96159029687500008</v>
      </c>
      <c r="S40" s="23">
        <f>'Yearly LC Ethylene'!T19/'Yearly LC Ethylene'!T12</f>
        <v>0.95723406152000012</v>
      </c>
      <c r="T40" s="23">
        <f>'Yearly LC Ethylene'!U19/'Yearly LC Ethylene'!U12</f>
        <v>0.95284759993500001</v>
      </c>
      <c r="U40" s="23">
        <f>'Yearly LC Ethylene'!V19/'Yearly LC Ethylene'!V12</f>
        <v>0.94843128633999996</v>
      </c>
      <c r="V40" s="23">
        <f>'Yearly LC Ethylene'!W19/'Yearly LC Ethylene'!W12</f>
        <v>0.94398549495500006</v>
      </c>
      <c r="W40" s="23">
        <f>'Yearly LC Ethylene'!X19/'Yearly LC Ethylene'!X12</f>
        <v>0.93951059999999997</v>
      </c>
      <c r="X40" s="23">
        <f>'Yearly LC Ethylene'!Y19/'Yearly LC Ethylene'!Y12</f>
        <v>0.92783659834999999</v>
      </c>
      <c r="Y40" s="23">
        <f>'Yearly LC Ethylene'!Z19/'Yearly LC Ethylene'!Z12</f>
        <v>0.91614176079999998</v>
      </c>
      <c r="Z40" s="23">
        <f>'Yearly LC Ethylene'!AA19/'Yearly LC Ethylene'!AA12</f>
        <v>0.90442795845000001</v>
      </c>
      <c r="AA40" s="23">
        <f>'Yearly LC Ethylene'!AB19/'Yearly LC Ethylene'!AB12</f>
        <v>0.89269706240000002</v>
      </c>
      <c r="AB40" s="23">
        <f>'Yearly LC Ethylene'!AC19/'Yearly LC Ethylene'!AC12</f>
        <v>0.88095094374999994</v>
      </c>
      <c r="AC40" s="23">
        <f>'Yearly LC Ethylene'!AD19/'Yearly LC Ethylene'!AD12</f>
        <v>0.86919147360000004</v>
      </c>
      <c r="AD40" s="23">
        <f>'Yearly LC Ethylene'!AE19/'Yearly LC Ethylene'!AE12</f>
        <v>0.85742052305000005</v>
      </c>
      <c r="AE40" s="23">
        <f>'Yearly LC Ethylene'!AF19/'Yearly LC Ethylene'!AF12</f>
        <v>0.84563996320000012</v>
      </c>
      <c r="AF40" s="23">
        <f>'Yearly LC Ethylene'!AG19/'Yearly LC Ethylene'!AG12</f>
        <v>0.83385166515000009</v>
      </c>
      <c r="AG40" s="23">
        <f>'Yearly LC Ethylene'!AH19/'Yearly LC Ethylene'!AH12</f>
        <v>0.8220575</v>
      </c>
      <c r="AL40" s="108"/>
      <c r="AM40" s="2"/>
      <c r="AN40" s="2"/>
      <c r="AO40" s="2"/>
      <c r="BL40" s="1"/>
    </row>
    <row r="41" spans="1:64" outlineLevel="1" x14ac:dyDescent="0.2">
      <c r="A41" t="s">
        <v>1296</v>
      </c>
      <c r="B41" s="54" t="s">
        <v>462</v>
      </c>
      <c r="C41" s="23">
        <f>'Yearly LC Ethylene'!D43/'Yearly LC Ethylene'!D40</f>
        <v>1</v>
      </c>
      <c r="D41" s="23">
        <f>'Yearly LC Ethylene'!E43/'Yearly LC Ethylene'!E40</f>
        <v>0.98954341810022439</v>
      </c>
      <c r="E41" s="23">
        <f>'Yearly LC Ethylene'!F43/'Yearly LC Ethylene'!F40</f>
        <v>0.97908683620044878</v>
      </c>
      <c r="F41" s="23">
        <f>'Yearly LC Ethylene'!G43/'Yearly LC Ethylene'!G40</f>
        <v>0.96863025430067329</v>
      </c>
      <c r="G41" s="23">
        <f>'Yearly LC Ethylene'!H43/'Yearly LC Ethylene'!H40</f>
        <v>0.95817367240089757</v>
      </c>
      <c r="H41" s="23">
        <f>'Yearly LC Ethylene'!I43/'Yearly LC Ethylene'!I40</f>
        <v>0.94771709050112174</v>
      </c>
      <c r="I41" s="23">
        <f>'Yearly LC Ethylene'!J43/'Yearly LC Ethylene'!J40</f>
        <v>0.93726050860134624</v>
      </c>
      <c r="J41" s="23">
        <f>'Yearly LC Ethylene'!K43/'Yearly LC Ethylene'!K40</f>
        <v>0.92680392670157075</v>
      </c>
      <c r="K41" s="23">
        <f>'Yearly LC Ethylene'!L43/'Yearly LC Ethylene'!L40</f>
        <v>0.91634734480179503</v>
      </c>
      <c r="L41" s="23">
        <f>'Yearly LC Ethylene'!M43/'Yearly LC Ethylene'!M40</f>
        <v>0.90589076290201953</v>
      </c>
      <c r="M41" s="23">
        <f>'Yearly LC Ethylene'!N43/'Yearly LC Ethylene'!N40</f>
        <v>0.89543418100224381</v>
      </c>
      <c r="N41" s="23">
        <f>'Yearly LC Ethylene'!O43/'Yearly LC Ethylene'!O40</f>
        <v>0.88497759910246832</v>
      </c>
      <c r="O41" s="23">
        <f>'Yearly LC Ethylene'!P43/'Yearly LC Ethylene'!P40</f>
        <v>0.8745210172026926</v>
      </c>
      <c r="P41" s="23">
        <f>'Yearly LC Ethylene'!Q43/'Yearly LC Ethylene'!Q40</f>
        <v>0.86406443530291699</v>
      </c>
      <c r="Q41" s="23">
        <f>'Yearly LC Ethylene'!R43/'Yearly LC Ethylene'!R40</f>
        <v>0.85360785340314138</v>
      </c>
      <c r="R41" s="23">
        <f>'Yearly LC Ethylene'!S43/'Yearly LC Ethylene'!S40</f>
        <v>0.84315127150336588</v>
      </c>
      <c r="S41" s="23">
        <f>'Yearly LC Ethylene'!T43/'Yearly LC Ethylene'!T40</f>
        <v>0.83269468960359005</v>
      </c>
      <c r="T41" s="23">
        <f>'Yearly LC Ethylene'!U43/'Yearly LC Ethylene'!U40</f>
        <v>0.82223810770381445</v>
      </c>
      <c r="U41" s="23">
        <f>'Yearly LC Ethylene'!V43/'Yearly LC Ethylene'!V40</f>
        <v>0.81178152580403884</v>
      </c>
      <c r="V41" s="23">
        <f>'Yearly LC Ethylene'!W43/'Yearly LC Ethylene'!W40</f>
        <v>0.80132494390426323</v>
      </c>
      <c r="W41" s="23">
        <f>'Yearly LC Ethylene'!X43/'Yearly LC Ethylene'!X40</f>
        <v>0.79086836200448762</v>
      </c>
      <c r="X41" s="23">
        <f>'Yearly LC Ethylene'!Y43/'Yearly LC Ethylene'!Y40</f>
        <v>0.78009491398653708</v>
      </c>
      <c r="Y41" s="23">
        <f>'Yearly LC Ethylene'!Z43/'Yearly LC Ethylene'!Z40</f>
        <v>0.7693214659685863</v>
      </c>
      <c r="Z41" s="23">
        <f>'Yearly LC Ethylene'!AA43/'Yearly LC Ethylene'!AA40</f>
        <v>0.75854801795063576</v>
      </c>
      <c r="AA41" s="23">
        <f>'Yearly LC Ethylene'!AB43/'Yearly LC Ethylene'!AB40</f>
        <v>0.7477745699326851</v>
      </c>
      <c r="AB41" s="23">
        <f>'Yearly LC Ethylene'!AC43/'Yearly LC Ethylene'!AC40</f>
        <v>0.73700112191473444</v>
      </c>
      <c r="AC41" s="23">
        <f>'Yearly LC Ethylene'!AD43/'Yearly LC Ethylene'!AD40</f>
        <v>0.72622767389678378</v>
      </c>
      <c r="AD41" s="23">
        <f>'Yearly LC Ethylene'!AE43/'Yearly LC Ethylene'!AE40</f>
        <v>0.71545422587883323</v>
      </c>
      <c r="AE41" s="23">
        <f>'Yearly LC Ethylene'!AF43/'Yearly LC Ethylene'!AF40</f>
        <v>0.70468077786088257</v>
      </c>
      <c r="AF41" s="23">
        <f>'Yearly LC Ethylene'!AG43/'Yearly LC Ethylene'!AG40</f>
        <v>0.69390732984293191</v>
      </c>
      <c r="AG41" s="23">
        <f>'Yearly LC Ethylene'!AH43/'Yearly LC Ethylene'!AH40</f>
        <v>0.68313388182498125</v>
      </c>
      <c r="AL41" s="108"/>
      <c r="AM41" s="2"/>
      <c r="AN41" s="2"/>
      <c r="AO41" s="2"/>
      <c r="BD41" s="41"/>
      <c r="BE41" s="41"/>
      <c r="BF41" s="41"/>
      <c r="BG41" s="41"/>
      <c r="BH41" s="41"/>
      <c r="BI41" s="41"/>
      <c r="BJ41" s="41"/>
      <c r="BK41" s="41"/>
      <c r="BL41" s="118"/>
    </row>
    <row r="42" spans="1:64" outlineLevel="1" x14ac:dyDescent="0.2">
      <c r="A42" t="s">
        <v>1297</v>
      </c>
      <c r="B42" s="54" t="s">
        <v>462</v>
      </c>
      <c r="C42" s="23">
        <f>'Yearly LC Ethylene'!D55/'Yearly LC Ethylene'!D50</f>
        <v>1</v>
      </c>
      <c r="D42" s="23">
        <f>'Yearly LC Ethylene'!E55/'Yearly LC Ethylene'!E50</f>
        <v>0.98455000000000004</v>
      </c>
      <c r="E42" s="23">
        <f>'Yearly LC Ethylene'!F55/'Yearly LC Ethylene'!F50</f>
        <v>0.96909999999999996</v>
      </c>
      <c r="F42" s="23">
        <f>'Yearly LC Ethylene'!G55/'Yearly LC Ethylene'!G50</f>
        <v>0.95365</v>
      </c>
      <c r="G42" s="23">
        <f>'Yearly LC Ethylene'!H55/'Yearly LC Ethylene'!H50</f>
        <v>0.93820000000000003</v>
      </c>
      <c r="H42" s="23">
        <f>'Yearly LC Ethylene'!I55/'Yearly LC Ethylene'!I50</f>
        <v>0.92274999999999996</v>
      </c>
      <c r="I42" s="23">
        <f>'Yearly LC Ethylene'!J55/'Yearly LC Ethylene'!J50</f>
        <v>0.9073</v>
      </c>
      <c r="J42" s="23">
        <f>'Yearly LC Ethylene'!K55/'Yearly LC Ethylene'!K50</f>
        <v>0.89184999999999992</v>
      </c>
      <c r="K42" s="23">
        <f>'Yearly LC Ethylene'!L55/'Yearly LC Ethylene'!L50</f>
        <v>0.87639999999999996</v>
      </c>
      <c r="L42" s="23">
        <f>'Yearly LC Ethylene'!M55/'Yearly LC Ethylene'!M50</f>
        <v>0.86094999999999988</v>
      </c>
      <c r="M42" s="23">
        <f>'Yearly LC Ethylene'!N55/'Yearly LC Ethylene'!N50</f>
        <v>0.84550000000000003</v>
      </c>
      <c r="N42" s="23">
        <f>'Yearly LC Ethylene'!O55/'Yearly LC Ethylene'!O50</f>
        <v>0.83460000000000001</v>
      </c>
      <c r="O42" s="23">
        <f>'Yearly LC Ethylene'!P55/'Yearly LC Ethylene'!P50</f>
        <v>0.8237000000000001</v>
      </c>
      <c r="P42" s="23">
        <f>'Yearly LC Ethylene'!Q55/'Yearly LC Ethylene'!Q50</f>
        <v>0.81279999999999997</v>
      </c>
      <c r="Q42" s="23">
        <f>'Yearly LC Ethylene'!R55/'Yearly LC Ethylene'!R50</f>
        <v>0.80189999999999995</v>
      </c>
      <c r="R42" s="23">
        <f>'Yearly LC Ethylene'!S55/'Yearly LC Ethylene'!S50</f>
        <v>0.79100000000000004</v>
      </c>
      <c r="S42" s="23">
        <f>'Yearly LC Ethylene'!T55/'Yearly LC Ethylene'!T50</f>
        <v>0.78010000000000002</v>
      </c>
      <c r="T42" s="23">
        <f>'Yearly LC Ethylene'!U55/'Yearly LC Ethylene'!U50</f>
        <v>0.76919999999999999</v>
      </c>
      <c r="U42" s="23">
        <f>'Yearly LC Ethylene'!V55/'Yearly LC Ethylene'!V50</f>
        <v>0.75830000000000009</v>
      </c>
      <c r="V42" s="23">
        <f>'Yearly LC Ethylene'!W55/'Yearly LC Ethylene'!W50</f>
        <v>0.74739999999999995</v>
      </c>
      <c r="W42" s="23">
        <f>'Yearly LC Ethylene'!X55/'Yearly LC Ethylene'!X50</f>
        <v>0.73649999999999982</v>
      </c>
      <c r="X42" s="23">
        <f>'Yearly LC Ethylene'!Y55/'Yearly LC Ethylene'!Y50</f>
        <v>0.72335000000000005</v>
      </c>
      <c r="Y42" s="23">
        <f>'Yearly LC Ethylene'!Z55/'Yearly LC Ethylene'!Z50</f>
        <v>0.71019999999999994</v>
      </c>
      <c r="Z42" s="23">
        <f>'Yearly LC Ethylene'!AA55/'Yearly LC Ethylene'!AA50</f>
        <v>0.69704999999999995</v>
      </c>
      <c r="AA42" s="23">
        <f>'Yearly LC Ethylene'!AB55/'Yearly LC Ethylene'!AB50</f>
        <v>0.68389999999999995</v>
      </c>
      <c r="AB42" s="23">
        <f>'Yearly LC Ethylene'!AC55/'Yearly LC Ethylene'!AC50</f>
        <v>0.67075000000000007</v>
      </c>
      <c r="AC42" s="23">
        <f>'Yearly LC Ethylene'!AD55/'Yearly LC Ethylene'!AD50</f>
        <v>0.65759999999999996</v>
      </c>
      <c r="AD42" s="23">
        <f>'Yearly LC Ethylene'!AE55/'Yearly LC Ethylene'!AE50</f>
        <v>0.64444999999999986</v>
      </c>
      <c r="AE42" s="23">
        <f>'Yearly LC Ethylene'!AF55/'Yearly LC Ethylene'!AF50</f>
        <v>0.63129999999999997</v>
      </c>
      <c r="AF42" s="23">
        <f>'Yearly LC Ethylene'!AG55/'Yearly LC Ethylene'!AG50</f>
        <v>0.61814999999999998</v>
      </c>
      <c r="AG42" s="23">
        <f>'Yearly LC Ethylene'!AH55/'Yearly LC Ethylene'!AH50</f>
        <v>0.60499999999999998</v>
      </c>
      <c r="AL42" s="108"/>
      <c r="AM42" s="2"/>
      <c r="AN42" s="2"/>
      <c r="AO42" s="2"/>
      <c r="BD42" s="41"/>
      <c r="BE42" s="41"/>
      <c r="BF42" s="41"/>
      <c r="BG42" s="41"/>
      <c r="BH42" s="41"/>
      <c r="BI42" s="41"/>
      <c r="BJ42" s="41"/>
      <c r="BK42" s="41"/>
      <c r="BL42" s="118"/>
    </row>
    <row r="43" spans="1:64" outlineLevel="1" x14ac:dyDescent="0.2">
      <c r="A43" t="s">
        <v>1298</v>
      </c>
      <c r="B43" s="176" t="s">
        <v>462</v>
      </c>
      <c r="C43" s="110">
        <f>'Yearly LC Ethylene'!D65/'Yearly LC Ethylene'!D62</f>
        <v>1</v>
      </c>
      <c r="D43" s="110">
        <f>'Yearly LC Ethylene'!E65/'Yearly LC Ethylene'!E62</f>
        <v>0.99670000000000014</v>
      </c>
      <c r="E43" s="110">
        <f>'Yearly LC Ethylene'!F65/'Yearly LC Ethylene'!F62</f>
        <v>0.99340000000000006</v>
      </c>
      <c r="F43" s="110">
        <f>'Yearly LC Ethylene'!G65/'Yearly LC Ethylene'!G62</f>
        <v>0.99009999999999998</v>
      </c>
      <c r="G43" s="110">
        <f>'Yearly LC Ethylene'!H65/'Yearly LC Ethylene'!H62</f>
        <v>0.98680000000000012</v>
      </c>
      <c r="H43" s="110">
        <f>'Yearly LC Ethylene'!I65/'Yearly LC Ethylene'!I62</f>
        <v>0.98350000000000015</v>
      </c>
      <c r="I43" s="110">
        <f>'Yearly LC Ethylene'!J65/'Yearly LC Ethylene'!J62</f>
        <v>0.98019999999999996</v>
      </c>
      <c r="J43" s="110">
        <f>'Yearly LC Ethylene'!K65/'Yearly LC Ethylene'!K62</f>
        <v>0.97689999999999999</v>
      </c>
      <c r="K43" s="110">
        <f>'Yearly LC Ethylene'!L65/'Yearly LC Ethylene'!L62</f>
        <v>0.97360000000000013</v>
      </c>
      <c r="L43" s="110">
        <f>'Yearly LC Ethylene'!M65/'Yearly LC Ethylene'!M62</f>
        <v>0.97029999999999994</v>
      </c>
      <c r="M43" s="110">
        <f>'Yearly LC Ethylene'!N65/'Yearly LC Ethylene'!N62</f>
        <v>0.96699999999999997</v>
      </c>
      <c r="N43" s="110">
        <f>'Yearly LC Ethylene'!O65/'Yearly LC Ethylene'!O62</f>
        <v>0.9637</v>
      </c>
      <c r="O43" s="110">
        <f>'Yearly LC Ethylene'!P65/'Yearly LC Ethylene'!P62</f>
        <v>0.96039999999999992</v>
      </c>
      <c r="P43" s="110">
        <f>'Yearly LC Ethylene'!Q65/'Yearly LC Ethylene'!Q62</f>
        <v>0.95710000000000006</v>
      </c>
      <c r="Q43" s="110">
        <f>'Yearly LC Ethylene'!R65/'Yearly LC Ethylene'!R62</f>
        <v>0.95380000000000009</v>
      </c>
      <c r="R43" s="110">
        <f>'Yearly LC Ethylene'!S65/'Yearly LC Ethylene'!S62</f>
        <v>0.95050000000000001</v>
      </c>
      <c r="S43" s="110">
        <f>'Yearly LC Ethylene'!T65/'Yearly LC Ethylene'!T62</f>
        <v>0.94719999999999993</v>
      </c>
      <c r="T43" s="110">
        <f>'Yearly LC Ethylene'!U65/'Yearly LC Ethylene'!U62</f>
        <v>0.94390000000000007</v>
      </c>
      <c r="U43" s="110">
        <f>'Yearly LC Ethylene'!V65/'Yearly LC Ethylene'!V62</f>
        <v>0.94059999999999988</v>
      </c>
      <c r="V43" s="110">
        <f>'Yearly LC Ethylene'!W65/'Yearly LC Ethylene'!W62</f>
        <v>0.93730000000000002</v>
      </c>
      <c r="W43" s="110">
        <f>'Yearly LC Ethylene'!X65/'Yearly LC Ethylene'!X62</f>
        <v>0.93400000000000005</v>
      </c>
      <c r="X43" s="110">
        <f>'Yearly LC Ethylene'!Y65/'Yearly LC Ethylene'!Y62</f>
        <v>0.93060000000000009</v>
      </c>
      <c r="Y43" s="110">
        <f>'Yearly LC Ethylene'!Z65/'Yearly LC Ethylene'!Z62</f>
        <v>0.92719999999999991</v>
      </c>
      <c r="Z43" s="110">
        <f>'Yearly LC Ethylene'!AA65/'Yearly LC Ethylene'!AA62</f>
        <v>0.92380000000000007</v>
      </c>
      <c r="AA43" s="110">
        <f>'Yearly LC Ethylene'!AB65/'Yearly LC Ethylene'!AB62</f>
        <v>0.9204</v>
      </c>
      <c r="AB43" s="110">
        <f>'Yearly LC Ethylene'!AC65/'Yearly LC Ethylene'!AC62</f>
        <v>0.91699999999999993</v>
      </c>
      <c r="AC43" s="110">
        <f>'Yearly LC Ethylene'!AD65/'Yearly LC Ethylene'!AD62</f>
        <v>0.91359999999999997</v>
      </c>
      <c r="AD43" s="110">
        <f>'Yearly LC Ethylene'!AE65/'Yearly LC Ethylene'!AE62</f>
        <v>0.91020000000000001</v>
      </c>
      <c r="AE43" s="110">
        <f>'Yearly LC Ethylene'!AF65/'Yearly LC Ethylene'!AF62</f>
        <v>0.90680000000000005</v>
      </c>
      <c r="AF43" s="110">
        <f>'Yearly LC Ethylene'!AG65/'Yearly LC Ethylene'!AG62</f>
        <v>0.90339999999999998</v>
      </c>
      <c r="AG43" s="110">
        <f>'Yearly LC Ethylene'!AH65/'Yearly LC Ethylene'!AH62</f>
        <v>0.9</v>
      </c>
      <c r="AI43" s="131"/>
      <c r="AL43" s="108"/>
      <c r="AM43" s="2"/>
      <c r="AN43" s="2"/>
      <c r="AO43" s="2"/>
      <c r="BD43" s="41"/>
      <c r="BE43" s="41"/>
      <c r="BF43" s="41"/>
      <c r="BG43" s="41"/>
      <c r="BH43" s="41"/>
      <c r="BI43" s="41"/>
      <c r="BJ43" s="41"/>
      <c r="BK43" s="41"/>
      <c r="BL43" s="118"/>
    </row>
    <row r="44" spans="1:64" outlineLevel="1" x14ac:dyDescent="0.2">
      <c r="AI44" t="s">
        <v>1299</v>
      </c>
      <c r="BD44" s="41"/>
      <c r="BE44" s="41"/>
      <c r="BF44" s="41"/>
      <c r="BG44" s="41"/>
      <c r="BH44" s="41"/>
      <c r="BI44" s="41"/>
      <c r="BJ44" s="41"/>
      <c r="BK44" s="41"/>
      <c r="BL44" s="118"/>
    </row>
    <row r="45" spans="1:64" outlineLevel="1" x14ac:dyDescent="0.2">
      <c r="A45" t="s">
        <v>1300</v>
      </c>
      <c r="B45" s="54" t="s">
        <v>1283</v>
      </c>
      <c r="C45" s="107">
        <f>C27*C39</f>
        <v>102.83867964679865</v>
      </c>
      <c r="D45" s="107">
        <f t="shared" ref="D45:AG45" si="19">D27*D39</f>
        <v>105.15077129550563</v>
      </c>
      <c r="E45" s="107">
        <f t="shared" si="19"/>
        <v>107.2212950656827</v>
      </c>
      <c r="F45" s="107">
        <f t="shared" si="19"/>
        <v>109.03398633136979</v>
      </c>
      <c r="G45" s="107">
        <f t="shared" si="19"/>
        <v>110.57440229829926</v>
      </c>
      <c r="H45" s="107">
        <f t="shared" si="19"/>
        <v>111.83011231567404</v>
      </c>
      <c r="I45" s="107">
        <f t="shared" si="19"/>
        <v>113.03420494726868</v>
      </c>
      <c r="J45" s="107">
        <f t="shared" si="19"/>
        <v>114.1843168714929</v>
      </c>
      <c r="K45" s="107">
        <f t="shared" si="19"/>
        <v>115.2781312949006</v>
      </c>
      <c r="L45" s="107">
        <f t="shared" si="19"/>
        <v>116.31338406181465</v>
      </c>
      <c r="M45" s="107">
        <f t="shared" si="19"/>
        <v>117.28786975212394</v>
      </c>
      <c r="N45" s="107">
        <f t="shared" si="19"/>
        <v>117.00737204110185</v>
      </c>
      <c r="O45" s="107">
        <f t="shared" si="19"/>
        <v>116.87062110306972</v>
      </c>
      <c r="P45" s="107">
        <f t="shared" si="19"/>
        <v>116.01119526925781</v>
      </c>
      <c r="Q45" s="107">
        <f t="shared" si="19"/>
        <v>114.88280618369913</v>
      </c>
      <c r="R45" s="107">
        <f t="shared" si="19"/>
        <v>113.49043193987464</v>
      </c>
      <c r="S45" s="107">
        <f t="shared" si="19"/>
        <v>112.04231970597459</v>
      </c>
      <c r="T45" s="107">
        <f t="shared" si="19"/>
        <v>110.53817429924602</v>
      </c>
      <c r="U45" s="107">
        <f t="shared" si="19"/>
        <v>108.97772259993748</v>
      </c>
      <c r="V45" s="107">
        <f t="shared" si="19"/>
        <v>107.36071400598117</v>
      </c>
      <c r="W45" s="107">
        <f t="shared" si="19"/>
        <v>105.68692087819703</v>
      </c>
      <c r="X45" s="107">
        <f t="shared" si="19"/>
        <v>102.44832448181648</v>
      </c>
      <c r="Y45" s="107">
        <f t="shared" si="19"/>
        <v>100.5910956413683</v>
      </c>
      <c r="Z45" s="107">
        <f t="shared" si="19"/>
        <v>98.676447004862879</v>
      </c>
      <c r="AA45" s="107">
        <f t="shared" si="19"/>
        <v>96.704185369176571</v>
      </c>
      <c r="AB45" s="107">
        <f t="shared" si="19"/>
        <v>94.674139128935309</v>
      </c>
      <c r="AC45" s="107">
        <f t="shared" si="19"/>
        <v>92.587033971250833</v>
      </c>
      <c r="AD45" s="107">
        <f t="shared" si="19"/>
        <v>90.44268285491394</v>
      </c>
      <c r="AE45" s="107">
        <f t="shared" si="19"/>
        <v>88.240918009715713</v>
      </c>
      <c r="AF45" s="107">
        <f t="shared" si="19"/>
        <v>85.981591253257648</v>
      </c>
      <c r="AG45" s="107">
        <f t="shared" si="19"/>
        <v>83.664574300612244</v>
      </c>
      <c r="AI45" s="210" t="s">
        <v>1301</v>
      </c>
      <c r="AJ45" s="211" t="s">
        <v>1302</v>
      </c>
      <c r="BD45" s="41"/>
      <c r="BE45" s="41"/>
      <c r="BF45" s="41"/>
      <c r="BG45" s="41"/>
      <c r="BH45" s="41"/>
      <c r="BI45" s="41"/>
      <c r="BJ45" s="41"/>
      <c r="BK45" s="41"/>
      <c r="BL45" s="118"/>
    </row>
    <row r="46" spans="1:64" outlineLevel="1" x14ac:dyDescent="0.2">
      <c r="A46" t="s">
        <v>1303</v>
      </c>
      <c r="B46" s="54" t="s">
        <v>1283</v>
      </c>
      <c r="C46" s="107">
        <f>C28*$C$40</f>
        <v>2.1856442000720988</v>
      </c>
      <c r="D46" s="107">
        <f t="shared" ref="D46:O46" si="20">D28*$C$40</f>
        <v>2.2589102712982947</v>
      </c>
      <c r="E46" s="107">
        <f t="shared" si="20"/>
        <v>2.3285294393744862</v>
      </c>
      <c r="F46" s="107">
        <f t="shared" si="20"/>
        <v>2.3940238638421976</v>
      </c>
      <c r="G46" s="107">
        <f t="shared" si="20"/>
        <v>2.4549348260187185</v>
      </c>
      <c r="H46" s="107">
        <f t="shared" si="20"/>
        <v>2.5108280806952612</v>
      </c>
      <c r="I46" s="107">
        <f t="shared" si="20"/>
        <v>2.5668249063529807</v>
      </c>
      <c r="J46" s="107">
        <f t="shared" si="20"/>
        <v>2.6228746030557586</v>
      </c>
      <c r="K46" s="107">
        <f t="shared" si="20"/>
        <v>2.6789251836972952</v>
      </c>
      <c r="L46" s="107">
        <f t="shared" si="20"/>
        <v>2.7349234416089296</v>
      </c>
      <c r="M46" s="107">
        <f t="shared" si="20"/>
        <v>2.7908150227367376</v>
      </c>
      <c r="N46" s="107">
        <f t="shared" si="20"/>
        <v>2.8424716930321492</v>
      </c>
      <c r="O46" s="107">
        <f t="shared" si="20"/>
        <v>2.8896069553147976</v>
      </c>
      <c r="P46" s="107">
        <f>D40*P28</f>
        <v>2.9269673938696759</v>
      </c>
      <c r="Q46" s="107">
        <f t="shared" ref="Q46:AG46" si="21">E40*Q28</f>
        <v>2.959163949674144</v>
      </c>
      <c r="R46" s="107">
        <f t="shared" si="21"/>
        <v>2.9860047245186458</v>
      </c>
      <c r="S46" s="107">
        <f t="shared" si="21"/>
        <v>3.0127445228410137</v>
      </c>
      <c r="T46" s="107">
        <f t="shared" si="21"/>
        <v>3.0393760338108131</v>
      </c>
      <c r="U46" s="107">
        <f t="shared" si="21"/>
        <v>3.0658919117417591</v>
      </c>
      <c r="V46" s="107">
        <f t="shared" si="21"/>
        <v>3.0922847792164512</v>
      </c>
      <c r="W46" s="107">
        <f t="shared" si="21"/>
        <v>3.118547230263319</v>
      </c>
      <c r="X46" s="107">
        <f t="shared" si="21"/>
        <v>3.1447064702944449</v>
      </c>
      <c r="Y46" s="107">
        <f t="shared" si="21"/>
        <v>3.1707559584250595</v>
      </c>
      <c r="Z46" s="107">
        <f t="shared" si="21"/>
        <v>3.1886101438605037</v>
      </c>
      <c r="AA46" s="107">
        <f t="shared" si="21"/>
        <v>3.2060827182700704</v>
      </c>
      <c r="AB46" s="107">
        <f t="shared" si="21"/>
        <v>3.2231654663625848</v>
      </c>
      <c r="AC46" s="107">
        <f t="shared" si="21"/>
        <v>3.239880901994137</v>
      </c>
      <c r="AD46" s="107">
        <f t="shared" si="21"/>
        <v>3.2562215163005765</v>
      </c>
      <c r="AE46" s="107">
        <f t="shared" si="21"/>
        <v>3.2721798883138566</v>
      </c>
      <c r="AF46" s="107">
        <f t="shared" si="21"/>
        <v>3.2877486895952153</v>
      </c>
      <c r="AG46" s="107">
        <f t="shared" si="21"/>
        <v>3.3029206888545501</v>
      </c>
      <c r="AI46" s="210" t="s">
        <v>1304</v>
      </c>
      <c r="AJ46" s="211" t="s">
        <v>1302</v>
      </c>
      <c r="BD46" s="41"/>
      <c r="BE46" s="41"/>
      <c r="BF46" s="41"/>
      <c r="BG46" s="41"/>
      <c r="BH46" s="41"/>
      <c r="BI46" s="41"/>
      <c r="BJ46" s="41"/>
      <c r="BK46" s="41"/>
      <c r="BL46" s="118"/>
    </row>
    <row r="47" spans="1:64" outlineLevel="1" x14ac:dyDescent="0.2">
      <c r="A47" t="s">
        <v>1305</v>
      </c>
      <c r="B47" s="54" t="s">
        <v>1283</v>
      </c>
      <c r="C47" s="107">
        <f>C29</f>
        <v>5.752639614679981</v>
      </c>
      <c r="D47" s="107">
        <f t="shared" ref="D47:AG47" si="22">D29</f>
        <v>5.945476721348065</v>
      </c>
      <c r="E47" s="107">
        <f t="shared" si="22"/>
        <v>6.1287151387459886</v>
      </c>
      <c r="F47" s="107">
        <f t="shared" si="22"/>
        <v>6.301097185522492</v>
      </c>
      <c r="G47" s="107">
        <f t="shared" si="22"/>
        <v>6.4614155090508003</v>
      </c>
      <c r="H47" s="107">
        <f t="shared" si="22"/>
        <v>6.6085271711571334</v>
      </c>
      <c r="I47" s="107">
        <f t="shared" si="22"/>
        <v>6.7559114332270083</v>
      </c>
      <c r="J47" s="107">
        <f t="shared" si="22"/>
        <v>6.9034348524699753</v>
      </c>
      <c r="K47" s="107">
        <f t="shared" si="22"/>
        <v>7.0509605982494961</v>
      </c>
      <c r="L47" s="107">
        <f t="shared" si="22"/>
        <v>7.1983486300274544</v>
      </c>
      <c r="M47" s="107">
        <f t="shared" si="22"/>
        <v>7.3454558873350795</v>
      </c>
      <c r="N47" s="107">
        <f t="shared" si="22"/>
        <v>7.4814168126741842</v>
      </c>
      <c r="O47" s="107">
        <f t="shared" si="22"/>
        <v>7.6054773423095892</v>
      </c>
      <c r="P47" s="107">
        <f t="shared" si="22"/>
        <v>7.7169366733117464</v>
      </c>
      <c r="Q47" s="107">
        <f t="shared" si="22"/>
        <v>7.8151537769685619</v>
      </c>
      <c r="R47" s="107">
        <f t="shared" si="22"/>
        <v>7.8995534714506324</v>
      </c>
      <c r="S47" s="107">
        <f t="shared" si="22"/>
        <v>7.9839906198176243</v>
      </c>
      <c r="T47" s="107">
        <f t="shared" si="22"/>
        <v>8.0684464096820587</v>
      </c>
      <c r="U47" s="107">
        <f t="shared" si="22"/>
        <v>8.1529018028046014</v>
      </c>
      <c r="V47" s="107">
        <f t="shared" si="22"/>
        <v>8.2373375411003043</v>
      </c>
      <c r="W47" s="107">
        <f t="shared" si="22"/>
        <v>8.3217341528443036</v>
      </c>
      <c r="X47" s="107">
        <f t="shared" si="22"/>
        <v>8.406164547013022</v>
      </c>
      <c r="Y47" s="107">
        <f t="shared" si="22"/>
        <v>8.4906117728663109</v>
      </c>
      <c r="Z47" s="107">
        <f t="shared" si="22"/>
        <v>8.5750586881032156</v>
      </c>
      <c r="AA47" s="107">
        <f t="shared" si="22"/>
        <v>8.6594879637599984</v>
      </c>
      <c r="AB47" s="107">
        <f t="shared" si="22"/>
        <v>8.7438820892606266</v>
      </c>
      <c r="AC47" s="107">
        <f t="shared" si="22"/>
        <v>8.82830684173436</v>
      </c>
      <c r="AD47" s="107">
        <f t="shared" si="22"/>
        <v>8.9127468671547145</v>
      </c>
      <c r="AE47" s="107">
        <f t="shared" si="22"/>
        <v>8.9971866475810884</v>
      </c>
      <c r="AF47" s="107">
        <f t="shared" si="22"/>
        <v>9.0816105051929874</v>
      </c>
      <c r="AG47" s="107">
        <f t="shared" si="22"/>
        <v>9.1660026064424382</v>
      </c>
      <c r="AI47" s="210" t="s">
        <v>1306</v>
      </c>
      <c r="AJ47" s="211" t="s">
        <v>1302</v>
      </c>
      <c r="BD47" s="41"/>
      <c r="BE47" s="41"/>
      <c r="BF47" s="41"/>
      <c r="BG47" s="41"/>
      <c r="BH47" s="41"/>
      <c r="BI47" s="41"/>
      <c r="BJ47" s="41"/>
      <c r="BK47" s="41"/>
      <c r="BL47" s="118"/>
    </row>
    <row r="48" spans="1:64" outlineLevel="1" x14ac:dyDescent="0.2">
      <c r="A48" t="s">
        <v>1307</v>
      </c>
      <c r="B48" s="54" t="s">
        <v>1283</v>
      </c>
      <c r="C48" s="107">
        <f>C30*$C$42</f>
        <v>4.7040655633623691</v>
      </c>
      <c r="D48" s="107">
        <f t="shared" ref="D48:H48" si="23">D30*$C$42</f>
        <v>4.8617528953657363</v>
      </c>
      <c r="E48" s="107">
        <f t="shared" si="23"/>
        <v>5.0115911586504671</v>
      </c>
      <c r="F48" s="107">
        <f t="shared" si="23"/>
        <v>5.1525519182840052</v>
      </c>
      <c r="G48" s="107">
        <f t="shared" si="23"/>
        <v>5.2836478942879612</v>
      </c>
      <c r="H48" s="107">
        <f t="shared" si="23"/>
        <v>5.4039444798619058</v>
      </c>
      <c r="I48" s="107">
        <f>I30*D42</f>
        <v>5.439111008248406</v>
      </c>
      <c r="J48" s="107">
        <f t="shared" ref="J48:AG49" si="24">J30*E42</f>
        <v>5.4706637600268193</v>
      </c>
      <c r="K48" s="107">
        <f t="shared" si="24"/>
        <v>5.4984907574632205</v>
      </c>
      <c r="L48" s="107">
        <f t="shared" si="24"/>
        <v>5.5224844750011917</v>
      </c>
      <c r="M48" s="107">
        <f t="shared" si="24"/>
        <v>5.542542185371703</v>
      </c>
      <c r="N48" s="107">
        <f t="shared" si="24"/>
        <v>5.5506131553462197</v>
      </c>
      <c r="O48" s="107">
        <f t="shared" si="24"/>
        <v>5.5465699188766573</v>
      </c>
      <c r="P48" s="107">
        <f t="shared" si="24"/>
        <v>5.5303612862215452</v>
      </c>
      <c r="Q48" s="107">
        <f t="shared" si="24"/>
        <v>5.5020135650719189</v>
      </c>
      <c r="R48" s="107">
        <f t="shared" si="24"/>
        <v>5.4616309832161027</v>
      </c>
      <c r="S48" s="107">
        <f t="shared" si="24"/>
        <v>5.4488467931908868</v>
      </c>
      <c r="T48" s="107">
        <f t="shared" si="24"/>
        <v>5.4345699522319988</v>
      </c>
      <c r="U48" s="107">
        <f t="shared" si="24"/>
        <v>5.4187873081993514</v>
      </c>
      <c r="V48" s="107">
        <f t="shared" si="24"/>
        <v>5.4014862435580957</v>
      </c>
      <c r="W48" s="107">
        <f t="shared" si="24"/>
        <v>5.3826546891901907</v>
      </c>
      <c r="X48" s="107">
        <f t="shared" si="24"/>
        <v>5.362340200372631</v>
      </c>
      <c r="Y48" s="107">
        <f t="shared" si="24"/>
        <v>5.3405312118902835</v>
      </c>
      <c r="Z48" s="107">
        <f t="shared" si="24"/>
        <v>5.3172166440851392</v>
      </c>
      <c r="AA48" s="107">
        <f t="shared" si="24"/>
        <v>5.2923859143868954</v>
      </c>
      <c r="AB48" s="107">
        <f t="shared" si="24"/>
        <v>5.2660289486734273</v>
      </c>
      <c r="AC48" s="107">
        <f t="shared" si="24"/>
        <v>5.2219427190852006</v>
      </c>
      <c r="AD48" s="107">
        <f t="shared" si="24"/>
        <v>5.1760497108474421</v>
      </c>
      <c r="AE48" s="107">
        <f t="shared" si="24"/>
        <v>5.1283405861376572</v>
      </c>
      <c r="AF48" s="107">
        <f t="shared" si="24"/>
        <v>5.0788065851832052</v>
      </c>
      <c r="AG48" s="107">
        <f t="shared" si="24"/>
        <v>5.0274395371348337</v>
      </c>
      <c r="AI48" s="210" t="s">
        <v>1308</v>
      </c>
      <c r="AJ48" s="211" t="s">
        <v>1302</v>
      </c>
      <c r="AL48" s="5"/>
      <c r="AM48" s="109"/>
      <c r="AN48" s="109"/>
      <c r="AO48" s="109"/>
      <c r="BC48" s="1"/>
      <c r="BD48" s="118"/>
      <c r="BE48" s="118"/>
      <c r="BF48" s="118"/>
      <c r="BG48" s="118"/>
      <c r="BH48" s="118"/>
      <c r="BI48" s="118"/>
      <c r="BJ48" s="118"/>
      <c r="BK48" s="118"/>
      <c r="BL48" s="118"/>
    </row>
    <row r="49" spans="1:63" outlineLevel="1" x14ac:dyDescent="0.2">
      <c r="A49" s="181" t="s">
        <v>1309</v>
      </c>
      <c r="B49" s="176" t="s">
        <v>1283</v>
      </c>
      <c r="C49" s="107">
        <f>C31*$C$43</f>
        <v>28.091768113202104</v>
      </c>
      <c r="D49" s="107">
        <f t="shared" ref="D49:H49" si="25">D31*$C$43</f>
        <v>29.033446307385653</v>
      </c>
      <c r="E49" s="107">
        <f t="shared" si="25"/>
        <v>29.928251383969435</v>
      </c>
      <c r="F49" s="107">
        <f t="shared" si="25"/>
        <v>30.770041728799526</v>
      </c>
      <c r="G49" s="107">
        <f t="shared" si="25"/>
        <v>31.552921497134374</v>
      </c>
      <c r="H49" s="107">
        <f t="shared" si="25"/>
        <v>32.271309398245535</v>
      </c>
      <c r="I49" s="107">
        <f>I31*D43</f>
        <v>32.882158088174904</v>
      </c>
      <c r="J49" s="107">
        <f t="shared" si="24"/>
        <v>33.488931691039717</v>
      </c>
      <c r="K49" s="107">
        <f t="shared" si="24"/>
        <v>34.09096191162255</v>
      </c>
      <c r="L49" s="107">
        <f t="shared" si="24"/>
        <v>34.687573806768022</v>
      </c>
      <c r="M49" s="107">
        <f t="shared" si="24"/>
        <v>35.278086956393004</v>
      </c>
      <c r="N49" s="107">
        <f t="shared" si="24"/>
        <v>35.810505920484232</v>
      </c>
      <c r="O49" s="107">
        <f t="shared" si="24"/>
        <v>36.28177231747496</v>
      </c>
      <c r="P49" s="107">
        <f t="shared" si="24"/>
        <v>36.689129593529607</v>
      </c>
      <c r="Q49" s="107">
        <f t="shared" si="24"/>
        <v>37.030149593269748</v>
      </c>
      <c r="R49" s="107">
        <f t="shared" si="24"/>
        <v>37.302756419459968</v>
      </c>
      <c r="S49" s="107">
        <f t="shared" si="24"/>
        <v>37.57281933018016</v>
      </c>
      <c r="T49" s="107">
        <f t="shared" si="24"/>
        <v>37.840248286428142</v>
      </c>
      <c r="U49" s="107">
        <f t="shared" si="24"/>
        <v>38.104953406251553</v>
      </c>
      <c r="V49" s="107">
        <f t="shared" si="24"/>
        <v>38.366845010920812</v>
      </c>
      <c r="W49" s="107">
        <f t="shared" si="24"/>
        <v>38.625833671447076</v>
      </c>
      <c r="X49" s="107">
        <f t="shared" si="24"/>
        <v>38.882258515903018</v>
      </c>
      <c r="Y49" s="107">
        <f t="shared" si="24"/>
        <v>39.136039779522591</v>
      </c>
      <c r="Z49" s="107">
        <f t="shared" si="24"/>
        <v>39.387097910293043</v>
      </c>
      <c r="AA49" s="107">
        <f t="shared" si="24"/>
        <v>39.635353606808557</v>
      </c>
      <c r="AB49" s="107">
        <f t="shared" si="24"/>
        <v>39.880727856345594</v>
      </c>
      <c r="AC49" s="107">
        <f t="shared" si="24"/>
        <v>40.119210194623065</v>
      </c>
      <c r="AD49" s="107">
        <f t="shared" si="24"/>
        <v>40.354958249639282</v>
      </c>
      <c r="AE49" s="107">
        <f t="shared" si="24"/>
        <v>40.587901256480244</v>
      </c>
      <c r="AF49" s="107">
        <f t="shared" si="24"/>
        <v>40.817968762227508</v>
      </c>
      <c r="AG49" s="107">
        <f t="shared" si="24"/>
        <v>41.045090657825199</v>
      </c>
      <c r="AI49" s="210" t="s">
        <v>1308</v>
      </c>
      <c r="AJ49" s="211" t="s">
        <v>1302</v>
      </c>
      <c r="AL49" s="108"/>
      <c r="AM49" s="2"/>
      <c r="AN49" s="2"/>
      <c r="AO49" s="2"/>
    </row>
    <row r="50" spans="1:63" s="1" customFormat="1" ht="16" thickBot="1" x14ac:dyDescent="0.25">
      <c r="A50" s="200" t="s">
        <v>1310</v>
      </c>
      <c r="B50" s="215" t="s">
        <v>1283</v>
      </c>
      <c r="C50" s="216">
        <f>SUM(C45:C49)</f>
        <v>143.57279713811519</v>
      </c>
      <c r="D50" s="216">
        <f t="shared" ref="D50:AF50" si="26">SUM(D45:D49)</f>
        <v>147.25035749090338</v>
      </c>
      <c r="E50" s="216">
        <f t="shared" si="26"/>
        <v>150.61838218642308</v>
      </c>
      <c r="F50" s="216">
        <f t="shared" si="26"/>
        <v>153.65170102781801</v>
      </c>
      <c r="G50" s="216">
        <f t="shared" si="26"/>
        <v>156.3273220247911</v>
      </c>
      <c r="H50" s="216">
        <f t="shared" si="26"/>
        <v>158.6247214456339</v>
      </c>
      <c r="I50" s="216">
        <f t="shared" si="26"/>
        <v>160.67821038327196</v>
      </c>
      <c r="J50" s="216">
        <f t="shared" si="26"/>
        <v>162.67022177808516</v>
      </c>
      <c r="K50" s="216">
        <f t="shared" si="26"/>
        <v>164.59746974593318</v>
      </c>
      <c r="L50" s="216">
        <f t="shared" si="26"/>
        <v>166.45671441522023</v>
      </c>
      <c r="M50" s="216">
        <f t="shared" si="26"/>
        <v>168.24476980396045</v>
      </c>
      <c r="N50" s="216">
        <f t="shared" si="26"/>
        <v>168.69237962263861</v>
      </c>
      <c r="O50" s="216">
        <f t="shared" si="26"/>
        <v>169.19404763704574</v>
      </c>
      <c r="P50" s="216">
        <f t="shared" si="26"/>
        <v>168.87459021619037</v>
      </c>
      <c r="Q50" s="216">
        <f t="shared" si="26"/>
        <v>168.18928706868351</v>
      </c>
      <c r="R50" s="216">
        <f t="shared" si="26"/>
        <v>167.14037753852</v>
      </c>
      <c r="S50" s="216">
        <f t="shared" si="26"/>
        <v>166.06072097200428</v>
      </c>
      <c r="T50" s="216">
        <f t="shared" si="26"/>
        <v>164.92081498139902</v>
      </c>
      <c r="U50" s="216">
        <f t="shared" si="26"/>
        <v>163.72025702893475</v>
      </c>
      <c r="V50" s="216">
        <f t="shared" si="26"/>
        <v>162.45866758077682</v>
      </c>
      <c r="W50" s="216">
        <f t="shared" si="26"/>
        <v>161.1356906219419</v>
      </c>
      <c r="X50" s="216">
        <f t="shared" si="26"/>
        <v>158.24379421539959</v>
      </c>
      <c r="Y50" s="216">
        <f t="shared" si="26"/>
        <v>156.72903436407256</v>
      </c>
      <c r="Z50" s="216">
        <f t="shared" si="26"/>
        <v>155.14443039120476</v>
      </c>
      <c r="AA50" s="216">
        <f t="shared" si="26"/>
        <v>153.4974955724021</v>
      </c>
      <c r="AB50" s="216">
        <f t="shared" si="26"/>
        <v>151.78794348957754</v>
      </c>
      <c r="AC50" s="216">
        <f t="shared" si="26"/>
        <v>149.99637462868759</v>
      </c>
      <c r="AD50" s="216">
        <f t="shared" si="26"/>
        <v>148.14265919885594</v>
      </c>
      <c r="AE50" s="216">
        <f t="shared" si="26"/>
        <v>146.22652638822856</v>
      </c>
      <c r="AF50" s="216">
        <f t="shared" si="26"/>
        <v>144.24772579545657</v>
      </c>
      <c r="AG50" s="216">
        <f>SUM(AG45:AG49)</f>
        <v>142.20602779086926</v>
      </c>
      <c r="AJ50" s="162"/>
      <c r="AL50" s="221"/>
      <c r="AM50" s="124"/>
      <c r="AN50" s="124"/>
      <c r="AO50" s="124"/>
    </row>
    <row r="51" spans="1:63" ht="16" thickTop="1" x14ac:dyDescent="0.2">
      <c r="B51" s="176"/>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c r="AG51" s="209"/>
      <c r="AL51" s="108"/>
      <c r="AM51" s="2"/>
      <c r="AN51" s="2"/>
      <c r="AO51" s="2"/>
    </row>
    <row r="52" spans="1:63" s="200" customFormat="1" ht="16" thickBot="1" x14ac:dyDescent="0.25">
      <c r="A52" s="200" t="s">
        <v>1311</v>
      </c>
      <c r="B52" s="215" t="s">
        <v>462</v>
      </c>
      <c r="C52" s="222">
        <f>C55</f>
        <v>0.14200000000000002</v>
      </c>
      <c r="D52" s="222">
        <f t="shared" ref="D52:AG52" si="27">D55</f>
        <v>0.14810684365139809</v>
      </c>
      <c r="E52" s="222">
        <f t="shared" si="27"/>
        <v>0.15417031220762956</v>
      </c>
      <c r="F52" s="222">
        <f t="shared" si="27"/>
        <v>0.16018896982401254</v>
      </c>
      <c r="G52" s="222">
        <f t="shared" si="27"/>
        <v>0.16616131657446348</v>
      </c>
      <c r="H52" s="222">
        <f t="shared" si="27"/>
        <v>0.17208578483623743</v>
      </c>
      <c r="I52" s="222">
        <f t="shared" si="27"/>
        <v>0.17796073542712362</v>
      </c>
      <c r="J52" s="222">
        <f t="shared" si="27"/>
        <v>0.18378445347509023</v>
      </c>
      <c r="K52" s="222">
        <f t="shared" si="27"/>
        <v>0.18955514399850804</v>
      </c>
      <c r="L52" s="222">
        <f t="shared" si="27"/>
        <v>0.19527092717301175</v>
      </c>
      <c r="M52" s="222">
        <f t="shared" si="27"/>
        <v>0.20092983325876937</v>
      </c>
      <c r="N52" s="222">
        <f t="shared" si="27"/>
        <v>0.21275380808195113</v>
      </c>
      <c r="O52" s="222">
        <f t="shared" si="27"/>
        <v>0.22448790030340521</v>
      </c>
      <c r="P52" s="222">
        <f t="shared" si="27"/>
        <v>0.23579644222933921</v>
      </c>
      <c r="Q52" s="222">
        <f t="shared" si="27"/>
        <v>0.24681813815440989</v>
      </c>
      <c r="R52" s="222">
        <f t="shared" si="27"/>
        <v>0.25753302304931441</v>
      </c>
      <c r="S52" s="222">
        <f t="shared" si="27"/>
        <v>0.26791923507194382</v>
      </c>
      <c r="T52" s="222">
        <f t="shared" si="27"/>
        <v>0.27795278482428859</v>
      </c>
      <c r="U52" s="222">
        <f t="shared" si="27"/>
        <v>0.28760729008614339</v>
      </c>
      <c r="V52" s="222">
        <f t="shared" si="27"/>
        <v>0.29685366984534656</v>
      </c>
      <c r="W52" s="222">
        <f t="shared" si="27"/>
        <v>0.30565979014666922</v>
      </c>
      <c r="X52" s="222">
        <f t="shared" si="27"/>
        <v>0.32057077696384573</v>
      </c>
      <c r="Y52" s="222">
        <f t="shared" si="27"/>
        <v>0.33595121950317602</v>
      </c>
      <c r="Z52" s="222">
        <f t="shared" si="27"/>
        <v>0.35049456896447534</v>
      </c>
      <c r="AA52" s="222">
        <f t="shared" si="27"/>
        <v>0.36412437821968874</v>
      </c>
      <c r="AB52" s="222">
        <f t="shared" si="27"/>
        <v>0.37675459921037668</v>
      </c>
      <c r="AC52" s="222">
        <f t="shared" si="27"/>
        <v>0.38828802687531216</v>
      </c>
      <c r="AD52" s="222">
        <f t="shared" si="27"/>
        <v>0.3986144302984887</v>
      </c>
      <c r="AE52" s="222">
        <f t="shared" si="27"/>
        <v>0.40760829518615777</v>
      </c>
      <c r="AF52" s="222">
        <f t="shared" si="27"/>
        <v>0.41512607998141038</v>
      </c>
      <c r="AG52" s="222">
        <f t="shared" si="27"/>
        <v>0.42100285881733746</v>
      </c>
      <c r="AJ52" s="231" t="s">
        <v>1312</v>
      </c>
      <c r="AL52" s="217"/>
      <c r="AM52" s="218"/>
      <c r="AN52" s="218"/>
      <c r="AO52" s="218"/>
    </row>
    <row r="53" spans="1:63" ht="17" outlineLevel="1" thickTop="1" x14ac:dyDescent="0.2">
      <c r="A53" t="s">
        <v>1313</v>
      </c>
      <c r="B53" s="54" t="s">
        <v>462</v>
      </c>
      <c r="C53" s="110">
        <f>'Ethylene Recycling HC'!C53*'Ethylene Recycling HC'!C$45/'Ethylene Recycling LC'!C$45</f>
        <v>4.7E-2</v>
      </c>
      <c r="D53" s="110">
        <f>'Ethylene Recycling HC'!D53*'Ethylene Recycling HC'!D$45/'Ethylene Recycling LC'!D$45</f>
        <v>5.0067094621550061E-2</v>
      </c>
      <c r="E53" s="110">
        <f>'Ethylene Recycling HC'!E53*'Ethylene Recycling HC'!E$45/'Ethylene Recycling LC'!E$45</f>
        <v>5.3114159173467207E-2</v>
      </c>
      <c r="F53" s="110">
        <f>'Ethylene Recycling HC'!F53*'Ethylene Recycling HC'!F$45/'Ethylene Recycling LC'!F$45</f>
        <v>5.6140530600861369E-2</v>
      </c>
      <c r="G53" s="110">
        <f>'Ethylene Recycling HC'!G53*'Ethylene Recycling HC'!G$45/'Ethylene Recycling LC'!G$45</f>
        <v>5.9145516256862582E-2</v>
      </c>
      <c r="H53" s="110">
        <f>'Ethylene Recycling HC'!H53*'Ethylene Recycling HC'!H$45/'Ethylene Recycling LC'!H$45</f>
        <v>6.2128392233140171E-2</v>
      </c>
      <c r="I53" s="110">
        <f>'Ethylene Recycling HC'!I53*'Ethylene Recycling HC'!I$45/'Ethylene Recycling LC'!I$45</f>
        <v>6.5088401576108207E-2</v>
      </c>
      <c r="J53" s="110">
        <f>'Ethylene Recycling HC'!J53*'Ethylene Recycling HC'!J$45/'Ethylene Recycling LC'!J$45</f>
        <v>6.802475237958007E-2</v>
      </c>
      <c r="K53" s="110">
        <f>'Ethylene Recycling HC'!K53*'Ethylene Recycling HC'!K$45/'Ethylene Recycling LC'!K$45</f>
        <v>7.0936615743771553E-2</v>
      </c>
      <c r="L53" s="110">
        <f>'Ethylene Recycling HC'!L53*'Ethylene Recycling HC'!L$45/'Ethylene Recycling LC'!L$45</f>
        <v>7.3823123589597459E-2</v>
      </c>
      <c r="M53" s="110">
        <f>'Ethylene Recycling HC'!M53*'Ethylene Recycling HC'!M$45/'Ethylene Recycling LC'!M$45</f>
        <v>7.6683366316148693E-2</v>
      </c>
      <c r="N53" s="110">
        <f>'Ethylene Recycling HC'!N53*'Ethylene Recycling HC'!N$45/'Ethylene Recycling LC'!N$45</f>
        <v>8.2036017525029634E-2</v>
      </c>
      <c r="O53" s="110">
        <f>'Ethylene Recycling HC'!O53*'Ethylene Recycling HC'!O$45/'Ethylene Recycling LC'!O$45</f>
        <v>8.7343415135113289E-2</v>
      </c>
      <c r="P53" s="110">
        <f>'Ethylene Recycling HC'!P53*'Ethylene Recycling HC'!P$45/'Ethylene Recycling LC'!P$45</f>
        <v>9.2474783671562685E-2</v>
      </c>
      <c r="Q53" s="110">
        <f>'Ethylene Recycling HC'!Q53*'Ethylene Recycling HC'!Q$45/'Ethylene Recycling LC'!Q$45</f>
        <v>9.748279406098545E-2</v>
      </c>
      <c r="R53" s="110">
        <f>'Ethylene Recycling HC'!R53*'Ethylene Recycling HC'!R$45/'Ethylene Recycling LC'!R$45</f>
        <v>0.10235886034083462</v>
      </c>
      <c r="S53" s="110">
        <f>'Ethylene Recycling HC'!S53*'Ethylene Recycling HC'!S$45/'Ethylene Recycling LC'!S$45</f>
        <v>0.10709358082405501</v>
      </c>
      <c r="T53" s="110">
        <f>'Ethylene Recycling HC'!T53*'Ethylene Recycling HC'!T$45/'Ethylene Recycling LC'!T$45</f>
        <v>0.11167663886799578</v>
      </c>
      <c r="U53" s="110">
        <f>'Ethylene Recycling HC'!U53*'Ethylene Recycling HC'!U$45/'Ethylene Recycling LC'!U$45</f>
        <v>0.11609668879661758</v>
      </c>
      <c r="V53" s="110">
        <f>'Ethylene Recycling HC'!V53*'Ethylene Recycling HC'!V$45/'Ethylene Recycling LC'!V$45</f>
        <v>0.12034122431817107</v>
      </c>
      <c r="W53" s="110">
        <f>'Ethylene Recycling HC'!W53*'Ethylene Recycling HC'!W$45/'Ethylene Recycling LC'!W$45</f>
        <v>0.12439642622248168</v>
      </c>
      <c r="X53" s="110">
        <f>'Ethylene Recycling HC'!X53*'Ethylene Recycling HC'!X$45/'Ethylene Recycling LC'!X$45</f>
        <v>0.13175889397394799</v>
      </c>
      <c r="Y53" s="110">
        <f>'Ethylene Recycling HC'!Y53*'Ethylene Recycling HC'!Y$45/'Ethylene Recycling LC'!Y$45</f>
        <v>0.13927711240882018</v>
      </c>
      <c r="Z53" s="110">
        <f>'Ethylene Recycling HC'!Z53*'Ethylene Recycling HC'!Z$45/'Ethylene Recycling LC'!Z$45</f>
        <v>0.14641621742179961</v>
      </c>
      <c r="AA53" s="110">
        <f>'Ethylene Recycling HC'!AA53*'Ethylene Recycling HC'!AA$45/'Ethylene Recycling LC'!AA$45</f>
        <v>0.15314158665956457</v>
      </c>
      <c r="AB53" s="110">
        <f>'Ethylene Recycling HC'!AB53*'Ethylene Recycling HC'!AB$45/'Ethylene Recycling LC'!AB$45</f>
        <v>0.15941424957661846</v>
      </c>
      <c r="AC53" s="110">
        <f>'Ethylene Recycling HC'!AC53*'Ethylene Recycling HC'!AC$45/'Ethylene Recycling LC'!AC$45</f>
        <v>0.16519018270131372</v>
      </c>
      <c r="AD53" s="110">
        <f>'Ethylene Recycling HC'!AD53*'Ethylene Recycling HC'!AD$45/'Ethylene Recycling LC'!AD$45</f>
        <v>0.17041946324625395</v>
      </c>
      <c r="AE53" s="110">
        <f>'Ethylene Recycling HC'!AE53*'Ethylene Recycling HC'!AE$45/'Ethylene Recycling LC'!AE$45</f>
        <v>0.17504524669241453</v>
      </c>
      <c r="AF53" s="110">
        <f>'Ethylene Recycling HC'!AF53*'Ethylene Recycling HC'!AF$45/'Ethylene Recycling LC'!AF$45</f>
        <v>0.17900252410321277</v>
      </c>
      <c r="AG53" s="110">
        <f>'Ethylene Recycling HC'!AG53*'Ethylene Recycling HC'!AG$45/'Ethylene Recycling LC'!AG$45</f>
        <v>0.18221660174218909</v>
      </c>
      <c r="AI53" s="133" t="s">
        <v>1314</v>
      </c>
      <c r="AJ53" s="211"/>
      <c r="AL53" s="108"/>
      <c r="AM53" s="2"/>
      <c r="AN53" s="2"/>
      <c r="AO53" s="2"/>
      <c r="AV53" s="41"/>
    </row>
    <row r="54" spans="1:63" ht="16" outlineLevel="1" x14ac:dyDescent="0.2">
      <c r="A54" t="s">
        <v>1315</v>
      </c>
      <c r="B54" s="54" t="s">
        <v>462</v>
      </c>
      <c r="C54" s="110">
        <f>'Ethylene Recycling HC'!C54*'Ethylene Recycling HC'!C$45/'Ethylene Recycling LC'!C$45</f>
        <v>9.5000000000000001E-2</v>
      </c>
      <c r="D54" s="110">
        <f>'Ethylene Recycling HC'!D54*'Ethylene Recycling HC'!D$45/'Ethylene Recycling LC'!D$45</f>
        <v>9.8039749029848036E-2</v>
      </c>
      <c r="E54" s="110">
        <f>'Ethylene Recycling HC'!E54*'Ethylene Recycling HC'!E$45/'Ethylene Recycling LC'!E$45</f>
        <v>0.10105615303416232</v>
      </c>
      <c r="F54" s="110">
        <f>'Ethylene Recycling HC'!F54*'Ethylene Recycling HC'!F$45/'Ethylene Recycling LC'!F$45</f>
        <v>0.10404843922315118</v>
      </c>
      <c r="G54" s="110">
        <f>'Ethylene Recycling HC'!G54*'Ethylene Recycling HC'!G$45/'Ethylene Recycling LC'!G$45</f>
        <v>0.10701580031760087</v>
      </c>
      <c r="H54" s="110">
        <f>'Ethylene Recycling HC'!H54*'Ethylene Recycling HC'!H$45/'Ethylene Recycling LC'!H$45</f>
        <v>0.10995739260309728</v>
      </c>
      <c r="I54" s="110">
        <f>'Ethylene Recycling HC'!I54*'Ethylene Recycling HC'!I$45/'Ethylene Recycling LC'!I$45</f>
        <v>0.11287233385101543</v>
      </c>
      <c r="J54" s="110">
        <f>'Ethylene Recycling HC'!J54*'Ethylene Recycling HC'!J$45/'Ethylene Recycling LC'!J$45</f>
        <v>0.11575970109551015</v>
      </c>
      <c r="K54" s="110">
        <f>'Ethylene Recycling HC'!K54*'Ethylene Recycling HC'!K$45/'Ethylene Recycling LC'!K$45</f>
        <v>0.11861852825473648</v>
      </c>
      <c r="L54" s="110">
        <f>'Ethylene Recycling HC'!L54*'Ethylene Recycling HC'!L$45/'Ethylene Recycling LC'!L$45</f>
        <v>0.12144780358341428</v>
      </c>
      <c r="M54" s="110">
        <f>'Ethylene Recycling HC'!M54*'Ethylene Recycling HC'!M$45/'Ethylene Recycling LC'!M$45</f>
        <v>0.12424646694262068</v>
      </c>
      <c r="N54" s="110">
        <f>'Ethylene Recycling HC'!N54*'Ethylene Recycling HC'!N$45/'Ethylene Recycling LC'!N$45</f>
        <v>0.13071779055692148</v>
      </c>
      <c r="O54" s="110">
        <f>'Ethylene Recycling HC'!O54*'Ethylene Recycling HC'!O$45/'Ethylene Recycling LC'!O$45</f>
        <v>0.13714448516829192</v>
      </c>
      <c r="P54" s="110">
        <f>'Ethylene Recycling HC'!P54*'Ethylene Recycling HC'!P$45/'Ethylene Recycling LC'!P$45</f>
        <v>0.14332165855777648</v>
      </c>
      <c r="Q54" s="110">
        <f>'Ethylene Recycling HC'!Q54*'Ethylene Recycling HC'!Q$45/'Ethylene Recycling LC'!Q$45</f>
        <v>0.1493353440934245</v>
      </c>
      <c r="R54" s="110">
        <f>'Ethylene Recycling HC'!R54*'Ethylene Recycling HC'!R$45/'Ethylene Recycling LC'!R$45</f>
        <v>0.15517416270847983</v>
      </c>
      <c r="S54" s="110">
        <f>'Ethylene Recycling HC'!S54*'Ethylene Recycling HC'!S$45/'Ethylene Recycling LC'!S$45</f>
        <v>0.16082565424788883</v>
      </c>
      <c r="T54" s="110">
        <f>'Ethylene Recycling HC'!T54*'Ethylene Recycling HC'!T$45/'Ethylene Recycling LC'!T$45</f>
        <v>0.16627614595629281</v>
      </c>
      <c r="U54" s="110">
        <f>'Ethylene Recycling HC'!U54*'Ethylene Recycling HC'!U$45/'Ethylene Recycling LC'!U$45</f>
        <v>0.1715106012895258</v>
      </c>
      <c r="V54" s="110">
        <f>'Ethylene Recycling HC'!V54*'Ethylene Recycling HC'!V$45/'Ethylene Recycling LC'!V$45</f>
        <v>0.17651244552717546</v>
      </c>
      <c r="W54" s="110">
        <f>'Ethylene Recycling HC'!W54*'Ethylene Recycling HC'!W$45/'Ethylene Recycling LC'!W$45</f>
        <v>0.18126336392418757</v>
      </c>
      <c r="X54" s="110">
        <f>'Ethylene Recycling HC'!X54*'Ethylene Recycling HC'!X$45/'Ethylene Recycling LC'!X$45</f>
        <v>0.18881188298989776</v>
      </c>
      <c r="Y54" s="110">
        <f>'Ethylene Recycling HC'!Y54*'Ethylene Recycling HC'!Y$45/'Ethylene Recycling LC'!Y$45</f>
        <v>0.19667410709435584</v>
      </c>
      <c r="Z54" s="110">
        <f>'Ethylene Recycling HC'!Z54*'Ethylene Recycling HC'!Z$45/'Ethylene Recycling LC'!Z$45</f>
        <v>0.20407835154267573</v>
      </c>
      <c r="AA54" s="110">
        <f>'Ethylene Recycling HC'!AA54*'Ethylene Recycling HC'!AA$45/'Ethylene Recycling LC'!AA$45</f>
        <v>0.21098279156012417</v>
      </c>
      <c r="AB54" s="110">
        <f>'Ethylene Recycling HC'!AB54*'Ethylene Recycling HC'!AB$45/'Ethylene Recycling LC'!AB$45</f>
        <v>0.21734034963375828</v>
      </c>
      <c r="AC54" s="110">
        <f>'Ethylene Recycling HC'!AC54*'Ethylene Recycling HC'!AC$45/'Ethylene Recycling LC'!AC$45</f>
        <v>0.22309784417399844</v>
      </c>
      <c r="AD54" s="110">
        <f>'Ethylene Recycling HC'!AD54*'Ethylene Recycling HC'!AD$45/'Ethylene Recycling LC'!AD$45</f>
        <v>0.2281949670522348</v>
      </c>
      <c r="AE54" s="110">
        <f>'Ethylene Recycling HC'!AE54*'Ethylene Recycling HC'!AE$45/'Ethylene Recycling LC'!AE$45</f>
        <v>0.23256304849374324</v>
      </c>
      <c r="AF54" s="110">
        <f>'Ethylene Recycling HC'!AF54*'Ethylene Recycling HC'!AF$45/'Ethylene Recycling LC'!AF$45</f>
        <v>0.23612355587819758</v>
      </c>
      <c r="AG54" s="110">
        <f>'Ethylene Recycling HC'!AG54*'Ethylene Recycling HC'!AG$45/'Ethylene Recycling LC'!AG$45</f>
        <v>0.23878625707514836</v>
      </c>
      <c r="AI54" s="133" t="s">
        <v>1314</v>
      </c>
      <c r="AJ54" s="211"/>
      <c r="AL54" s="108"/>
      <c r="AM54" s="2"/>
      <c r="AN54" s="2"/>
      <c r="AO54" s="2"/>
      <c r="AV54" s="41"/>
    </row>
    <row r="55" spans="1:63" ht="16" outlineLevel="1" x14ac:dyDescent="0.2">
      <c r="A55" t="s">
        <v>1316</v>
      </c>
      <c r="B55" s="176" t="s">
        <v>462</v>
      </c>
      <c r="C55" s="110">
        <f>'Ethylene Recycling HC'!C55*'Ethylene Recycling HC'!C$45/'Ethylene Recycling LC'!C$45</f>
        <v>0.14200000000000002</v>
      </c>
      <c r="D55" s="110">
        <f>'Ethylene Recycling HC'!D55*'Ethylene Recycling HC'!D$45/'Ethylene Recycling LC'!D$45</f>
        <v>0.14810684365139809</v>
      </c>
      <c r="E55" s="110">
        <f>'Ethylene Recycling HC'!E55*'Ethylene Recycling HC'!E$45/'Ethylene Recycling LC'!E$45</f>
        <v>0.15417031220762956</v>
      </c>
      <c r="F55" s="110">
        <f>'Ethylene Recycling HC'!F55*'Ethylene Recycling HC'!F$45/'Ethylene Recycling LC'!F$45</f>
        <v>0.16018896982401254</v>
      </c>
      <c r="G55" s="110">
        <f>'Ethylene Recycling HC'!G55*'Ethylene Recycling HC'!G$45/'Ethylene Recycling LC'!G$45</f>
        <v>0.16616131657446348</v>
      </c>
      <c r="H55" s="110">
        <f>'Ethylene Recycling HC'!H55*'Ethylene Recycling HC'!H$45/'Ethylene Recycling LC'!H$45</f>
        <v>0.17208578483623743</v>
      </c>
      <c r="I55" s="110">
        <f>'Ethylene Recycling HC'!I55*'Ethylene Recycling HC'!I$45/'Ethylene Recycling LC'!I$45</f>
        <v>0.17796073542712362</v>
      </c>
      <c r="J55" s="110">
        <f>'Ethylene Recycling HC'!J55*'Ethylene Recycling HC'!J$45/'Ethylene Recycling LC'!J$45</f>
        <v>0.18378445347509023</v>
      </c>
      <c r="K55" s="110">
        <f>'Ethylene Recycling HC'!K55*'Ethylene Recycling HC'!K$45/'Ethylene Recycling LC'!K$45</f>
        <v>0.18955514399850804</v>
      </c>
      <c r="L55" s="110">
        <f>'Ethylene Recycling HC'!L55*'Ethylene Recycling HC'!L$45/'Ethylene Recycling LC'!L$45</f>
        <v>0.19527092717301175</v>
      </c>
      <c r="M55" s="110">
        <f>'Ethylene Recycling HC'!M55*'Ethylene Recycling HC'!M$45/'Ethylene Recycling LC'!M$45</f>
        <v>0.20092983325876937</v>
      </c>
      <c r="N55" s="110">
        <f>'Ethylene Recycling HC'!N55*'Ethylene Recycling HC'!N$45/'Ethylene Recycling LC'!N$45</f>
        <v>0.21275380808195113</v>
      </c>
      <c r="O55" s="110">
        <f>'Ethylene Recycling HC'!O55*'Ethylene Recycling HC'!O$45/'Ethylene Recycling LC'!O$45</f>
        <v>0.22448790030340521</v>
      </c>
      <c r="P55" s="110">
        <f>'Ethylene Recycling HC'!P55*'Ethylene Recycling HC'!P$45/'Ethylene Recycling LC'!P$45</f>
        <v>0.23579644222933921</v>
      </c>
      <c r="Q55" s="110">
        <f>'Ethylene Recycling HC'!Q55*'Ethylene Recycling HC'!Q$45/'Ethylene Recycling LC'!Q$45</f>
        <v>0.24681813815440989</v>
      </c>
      <c r="R55" s="110">
        <f>'Ethylene Recycling HC'!R55*'Ethylene Recycling HC'!R$45/'Ethylene Recycling LC'!R$45</f>
        <v>0.25753302304931441</v>
      </c>
      <c r="S55" s="110">
        <f>'Ethylene Recycling HC'!S55*'Ethylene Recycling HC'!S$45/'Ethylene Recycling LC'!S$45</f>
        <v>0.26791923507194382</v>
      </c>
      <c r="T55" s="110">
        <f>'Ethylene Recycling HC'!T55*'Ethylene Recycling HC'!T$45/'Ethylene Recycling LC'!T$45</f>
        <v>0.27795278482428859</v>
      </c>
      <c r="U55" s="110">
        <f>'Ethylene Recycling HC'!U55*'Ethylene Recycling HC'!U$45/'Ethylene Recycling LC'!U$45</f>
        <v>0.28760729008614339</v>
      </c>
      <c r="V55" s="110">
        <f>'Ethylene Recycling HC'!V55*'Ethylene Recycling HC'!V$45/'Ethylene Recycling LC'!V$45</f>
        <v>0.29685366984534656</v>
      </c>
      <c r="W55" s="110">
        <f>'Ethylene Recycling HC'!W55*'Ethylene Recycling HC'!W$45/'Ethylene Recycling LC'!W$45</f>
        <v>0.30565979014666922</v>
      </c>
      <c r="X55" s="110">
        <f>'Ethylene Recycling HC'!X55*'Ethylene Recycling HC'!X$45/'Ethylene Recycling LC'!X$45</f>
        <v>0.32057077696384573</v>
      </c>
      <c r="Y55" s="110">
        <f>'Ethylene Recycling HC'!Y55*'Ethylene Recycling HC'!Y$45/'Ethylene Recycling LC'!Y$45</f>
        <v>0.33595121950317602</v>
      </c>
      <c r="Z55" s="110">
        <f>'Ethylene Recycling HC'!Z55*'Ethylene Recycling HC'!Z$45/'Ethylene Recycling LC'!Z$45</f>
        <v>0.35049456896447534</v>
      </c>
      <c r="AA55" s="110">
        <f>'Ethylene Recycling HC'!AA55*'Ethylene Recycling HC'!AA$45/'Ethylene Recycling LC'!AA$45</f>
        <v>0.36412437821968874</v>
      </c>
      <c r="AB55" s="110">
        <f>'Ethylene Recycling HC'!AB55*'Ethylene Recycling HC'!AB$45/'Ethylene Recycling LC'!AB$45</f>
        <v>0.37675459921037668</v>
      </c>
      <c r="AC55" s="110">
        <f>'Ethylene Recycling HC'!AC55*'Ethylene Recycling HC'!AC$45/'Ethylene Recycling LC'!AC$45</f>
        <v>0.38828802687531216</v>
      </c>
      <c r="AD55" s="110">
        <f>'Ethylene Recycling HC'!AD55*'Ethylene Recycling HC'!AD$45/'Ethylene Recycling LC'!AD$45</f>
        <v>0.3986144302984887</v>
      </c>
      <c r="AE55" s="110">
        <f>'Ethylene Recycling HC'!AE55*'Ethylene Recycling HC'!AE$45/'Ethylene Recycling LC'!AE$45</f>
        <v>0.40760829518615777</v>
      </c>
      <c r="AF55" s="110">
        <f>'Ethylene Recycling HC'!AF55*'Ethylene Recycling HC'!AF$45/'Ethylene Recycling LC'!AF$45</f>
        <v>0.41512607998141038</v>
      </c>
      <c r="AG55" s="110">
        <f>'Ethylene Recycling HC'!AG55*'Ethylene Recycling HC'!AG$45/'Ethylene Recycling LC'!AG$45</f>
        <v>0.42100285881733746</v>
      </c>
      <c r="AI55" s="133" t="s">
        <v>1314</v>
      </c>
      <c r="AJ55" s="211"/>
      <c r="AL55" s="108"/>
      <c r="AM55" s="2"/>
      <c r="AN55" s="2"/>
      <c r="AO55" s="2"/>
    </row>
    <row r="56" spans="1:63" ht="16" outlineLevel="1" x14ac:dyDescent="0.2">
      <c r="A56" t="s">
        <v>1317</v>
      </c>
      <c r="B56" s="54" t="s">
        <v>462</v>
      </c>
      <c r="C56" s="110">
        <f>'Ethylene Recycling HC'!C61*'Ethylene Recycling HC'!C$45/'Ethylene Recycling LC'!C$45</f>
        <v>1.0924938261687524E-2</v>
      </c>
      <c r="D56" s="110">
        <f>'Ethylene Recycling HC'!D61*'Ethylene Recycling HC'!D$45/'Ethylene Recycling LC'!D$45</f>
        <v>1.1062090092218322E-2</v>
      </c>
      <c r="E56" s="110">
        <f>'Ethylene Recycling HC'!E61*'Ethylene Recycling HC'!E$45/'Ethylene Recycling LC'!E$45</f>
        <v>1.118348630665154E-2</v>
      </c>
      <c r="F56" s="110">
        <f>'Ethylene Recycling HC'!F61*'Ethylene Recycling HC'!F$45/'Ethylene Recycling LC'!F$45</f>
        <v>1.1289194798895608E-2</v>
      </c>
      <c r="G56" s="110">
        <f>'Ethylene Recycling HC'!G61*'Ethylene Recycling HC'!G$45/'Ethylene Recycling LC'!G$45</f>
        <v>1.137928649294773E-2</v>
      </c>
      <c r="H56" s="110">
        <f>'Ethylene Recycling HC'!H61*'Ethylene Recycling HC'!H$45/'Ethylene Recycling LC'!H$45</f>
        <v>1.1453835513841375E-2</v>
      </c>
      <c r="I56" s="110">
        <f>'Ethylene Recycling HC'!I61*'Ethylene Recycling HC'!I$45/'Ethylene Recycling LC'!I$45</f>
        <v>1.151291937029901E-2</v>
      </c>
      <c r="J56" s="110">
        <f>'Ethylene Recycling HC'!J61*'Ethylene Recycling HC'!J$45/'Ethylene Recycling LC'!J$45</f>
        <v>1.1556619150035884E-2</v>
      </c>
      <c r="K56" s="110">
        <f>'Ethylene Recycling HC'!K61*'Ethylene Recycling HC'!K$45/'Ethylene Recycling LC'!K$45</f>
        <v>1.1585019728749167E-2</v>
      </c>
      <c r="L56" s="110">
        <f>'Ethylene Recycling HC'!L61*'Ethylene Recycling HC'!L$45/'Ethylene Recycling LC'!L$45</f>
        <v>1.1598209993924352E-2</v>
      </c>
      <c r="M56" s="110">
        <f>'Ethylene Recycling HC'!M61*'Ethylene Recycling HC'!M$45/'Ethylene Recycling LC'!M$45</f>
        <v>1.1596283084699338E-2</v>
      </c>
      <c r="N56" s="110">
        <f>'Ethylene Recycling HC'!N61*'Ethylene Recycling HC'!N$45/'Ethylene Recycling LC'!N$45</f>
        <v>1.1917051437134016E-2</v>
      </c>
      <c r="O56" s="110">
        <f>'Ethylene Recycling HC'!O61*'Ethylene Recycling HC'!O$45/'Ethylene Recycling LC'!O$45</f>
        <v>1.220580570375222E-2</v>
      </c>
      <c r="P56" s="110">
        <f>'Ethylene Recycling HC'!P61*'Ethylene Recycling HC'!P$45/'Ethylene Recycling LC'!P$45</f>
        <v>1.2445044571281042E-2</v>
      </c>
      <c r="Q56" s="110">
        <f>'Ethylene Recycling HC'!Q61*'Ethylene Recycling HC'!Q$45/'Ethylene Recycling LC'!Q$45</f>
        <v>1.264367404012251E-2</v>
      </c>
      <c r="R56" s="110">
        <f>'Ethylene Recycling HC'!R61*'Ethylene Recycling HC'!R$45/'Ethylene Recycling LC'!R$45</f>
        <v>1.2801818001391987E-2</v>
      </c>
      <c r="S56" s="110">
        <f>'Ethylene Recycling HC'!S61*'Ethylene Recycling HC'!S$45/'Ethylene Recycling LC'!S$45</f>
        <v>1.2919612116698677E-2</v>
      </c>
      <c r="T56" s="110">
        <f>'Ethylene Recycling HC'!T61*'Ethylene Recycling HC'!T$45/'Ethylene Recycling LC'!T$45</f>
        <v>1.299720525000022E-2</v>
      </c>
      <c r="U56" s="110">
        <f>'Ethylene Recycling HC'!U61*'Ethylene Recycling HC'!U$45/'Ethylene Recycling LC'!U$45</f>
        <v>1.3034761113687782E-2</v>
      </c>
      <c r="V56" s="110">
        <f>'Ethylene Recycling HC'!V61*'Ethylene Recycling HC'!V$45/'Ethylene Recycling LC'!V$45</f>
        <v>1.3032460167252716E-2</v>
      </c>
      <c r="W56" s="110">
        <f>'Ethylene Recycling HC'!W61*'Ethylene Recycling HC'!W$45/'Ethylene Recycling LC'!W$45</f>
        <v>1.2990501814938009E-2</v>
      </c>
      <c r="X56" s="110">
        <f>'Ethylene Recycling HC'!X61*'Ethylene Recycling HC'!X$45/'Ethylene Recycling LC'!X$45</f>
        <v>1.3122389056449388E-2</v>
      </c>
      <c r="Y56" s="110">
        <f>'Ethylene Recycling HC'!Y61*'Ethylene Recycling HC'!Y$45/'Ethylene Recycling LC'!Y$45</f>
        <v>1.3242689127293719E-2</v>
      </c>
      <c r="Z56" s="110">
        <f>'Ethylene Recycling HC'!Z61*'Ethylene Recycling HC'!Z$45/'Ethylene Recycling LC'!Z$45</f>
        <v>1.3299074962839386E-2</v>
      </c>
      <c r="AA56" s="110">
        <f>'Ethylene Recycling HC'!AA61*'Ethylene Recycling HC'!AA$45/'Ethylene Recycling LC'!AA$45</f>
        <v>1.3291888445716243E-2</v>
      </c>
      <c r="AB56" s="110">
        <f>'Ethylene Recycling HC'!AB61*'Ethylene Recycling HC'!AB$45/'Ethylene Recycling LC'!AB$45</f>
        <v>1.3221514395305545E-2</v>
      </c>
      <c r="AC56" s="110">
        <f>'Ethylene Recycling HC'!AC61*'Ethylene Recycling HC'!AC$45/'Ethylene Recycling LC'!AC$45</f>
        <v>1.308838752672103E-2</v>
      </c>
      <c r="AD56" s="110">
        <f>'Ethylene Recycling HC'!AD61*'Ethylene Recycling HC'!AD$45/'Ethylene Recycling LC'!AD$45</f>
        <v>1.289300080858583E-2</v>
      </c>
      <c r="AE56" s="110">
        <f>'Ethylene Recycling HC'!AE61*'Ethylene Recycling HC'!AE$45/'Ethylene Recycling LC'!AE$45</f>
        <v>1.2635915559002064E-2</v>
      </c>
      <c r="AF56" s="110">
        <f>'Ethylene Recycling HC'!AF61*'Ethylene Recycling HC'!AF$45/'Ethylene Recycling LC'!AF$45</f>
        <v>1.2317773716603933E-2</v>
      </c>
      <c r="AG56" s="110">
        <f>'Ethylene Recycling HC'!AG61*'Ethylene Recycling HC'!AG$45/'Ethylene Recycling LC'!AG$45</f>
        <v>1.1939312853757418E-2</v>
      </c>
      <c r="AI56" s="133" t="s">
        <v>1314</v>
      </c>
      <c r="AJ56" s="211"/>
      <c r="AL56" s="108"/>
      <c r="AM56" s="2"/>
      <c r="AN56" s="2"/>
      <c r="AO56" s="2"/>
    </row>
    <row r="57" spans="1:63" ht="16" outlineLevel="1" x14ac:dyDescent="0.2">
      <c r="A57" t="s">
        <v>1318</v>
      </c>
      <c r="B57" s="54" t="s">
        <v>462</v>
      </c>
      <c r="C57" s="110">
        <f>'Ethylene Recycling HC'!C62*'Ethylene Recycling HC'!C$45/'Ethylene Recycling LC'!C$45</f>
        <v>1.3102050449781879E-2</v>
      </c>
      <c r="D57" s="110">
        <f>'Ethylene Recycling HC'!D62*'Ethylene Recycling HC'!D$45/'Ethylene Recycling LC'!D$45</f>
        <v>1.352128145129498E-2</v>
      </c>
      <c r="E57" s="110">
        <f>'Ethylene Recycling HC'!E62*'Ethylene Recycling HC'!E$45/'Ethylene Recycling LC'!E$45</f>
        <v>1.3937292792783926E-2</v>
      </c>
      <c r="F57" s="110">
        <f>'Ethylene Recycling HC'!F62*'Ethylene Recycling HC'!F$45/'Ethylene Recycling LC'!F$45</f>
        <v>1.4349977893924112E-2</v>
      </c>
      <c r="G57" s="110">
        <f>'Ethylene Recycling HC'!G62*'Ethylene Recycling HC'!G$45/'Ethylene Recycling LC'!G$45</f>
        <v>1.4759225417736742E-2</v>
      </c>
      <c r="H57" s="110">
        <f>'Ethylene Recycling HC'!H62*'Ethylene Recycling HC'!H$45/'Ethylene Recycling LC'!H$45</f>
        <v>1.5164919002234246E-2</v>
      </c>
      <c r="I57" s="110">
        <f>'Ethylene Recycling HC'!I62*'Ethylene Recycling HC'!I$45/'Ethylene Recycling LC'!I$45</f>
        <v>1.5566936973690814E-2</v>
      </c>
      <c r="J57" s="110">
        <f>'Ethylene Recycling HC'!J62*'Ethylene Recycling HC'!J$45/'Ethylene Recycling LC'!J$45</f>
        <v>1.5965152040053103E-2</v>
      </c>
      <c r="K57" s="110">
        <f>'Ethylene Recycling HC'!K62*'Ethylene Recycling HC'!K$45/'Ethylene Recycling LC'!K$45</f>
        <v>1.6359430962867735E-2</v>
      </c>
      <c r="L57" s="110">
        <f>'Ethylene Recycling HC'!L62*'Ethylene Recycling HC'!L$45/'Ethylene Recycling LC'!L$45</f>
        <v>1.6749634205948362E-2</v>
      </c>
      <c r="M57" s="110">
        <f>'Ethylene Recycling HC'!M62*'Ethylene Recycling HC'!M$45/'Ethylene Recycling LC'!M$45</f>
        <v>1.7135615558835502E-2</v>
      </c>
      <c r="N57" s="110">
        <f>'Ethylene Recycling HC'!N62*'Ethylene Recycling HC'!N$45/'Ethylene Recycling LC'!N$45</f>
        <v>1.8028116700640071E-2</v>
      </c>
      <c r="O57" s="110">
        <f>'Ethylene Recycling HC'!O62*'Ethylene Recycling HC'!O$45/'Ethylene Recycling LC'!O$45</f>
        <v>1.8914462774571823E-2</v>
      </c>
      <c r="P57" s="110">
        <f>'Ethylene Recycling HC'!P62*'Ethylene Recycling HC'!P$45/'Ethylene Recycling LC'!P$45</f>
        <v>1.9766395799688429E-2</v>
      </c>
      <c r="Q57" s="110">
        <f>'Ethylene Recycling HC'!Q62*'Ethylene Recycling HC'!Q$45/'Ethylene Recycling LC'!Q$45</f>
        <v>2.0595781181553512E-2</v>
      </c>
      <c r="R57" s="110">
        <f>'Ethylene Recycling HC'!R62*'Ethylene Recycling HC'!R$45/'Ethylene Recycling LC'!R$45</f>
        <v>2.1401049561149101E-2</v>
      </c>
      <c r="S57" s="110">
        <f>'Ethylene Recycling HC'!S62*'Ethylene Recycling HC'!S$45/'Ethylene Recycling LC'!S$45</f>
        <v>2.2180482479737015E-2</v>
      </c>
      <c r="T57" s="110">
        <f>'Ethylene Recycling HC'!T62*'Ethylene Recycling HC'!T$45/'Ethylene Recycling LC'!T$45</f>
        <v>2.2932194241206773E-2</v>
      </c>
      <c r="U57" s="110">
        <f>'Ethylene Recycling HC'!U62*'Ethylene Recycling HC'!U$45/'Ethylene Recycling LC'!U$45</f>
        <v>2.3654111060713599E-2</v>
      </c>
      <c r="V57" s="110">
        <f>'Ethylene Recycling HC'!V62*'Ethylene Recycling HC'!V$45/'Ethylene Recycling LC'!V$45</f>
        <v>2.4343947013804511E-2</v>
      </c>
      <c r="W57" s="110">
        <f>'Ethylene Recycling HC'!W62*'Ethylene Recycling HC'!W$45/'Ethylene Recycling LC'!W$45</f>
        <v>2.4999176198230291E-2</v>
      </c>
      <c r="X57" s="110">
        <f>'Ethylene Recycling HC'!X62*'Ethylene Recycling HC'!X$45/'Ethylene Recycling LC'!X$45</f>
        <v>2.6040240173178457E-2</v>
      </c>
      <c r="Y57" s="110">
        <f>'Ethylene Recycling HC'!Y62*'Ethylene Recycling HC'!Y$45/'Ethylene Recycling LC'!Y$45</f>
        <v>2.7124569192800572E-2</v>
      </c>
      <c r="Z57" s="110">
        <f>'Ethylene Recycling HC'!Z62*'Ethylene Recycling HC'!Z$45/'Ethylene Recycling LC'!Z$45</f>
        <v>2.8145735343373248E-2</v>
      </c>
      <c r="AA57" s="110">
        <f>'Ethylene Recycling HC'!AA62*'Ethylene Recycling HC'!AA$45/'Ethylene Recycling LC'!AA$45</f>
        <v>2.9097970305858541E-2</v>
      </c>
      <c r="AB57" s="110">
        <f>'Ethylene Recycling HC'!AB62*'Ethylene Recycling HC'!AB$45/'Ethylene Recycling LC'!AB$45</f>
        <v>2.9974781322891938E-2</v>
      </c>
      <c r="AC57" s="110">
        <f>'Ethylene Recycling HC'!AC62*'Ethylene Recycling HC'!AC$45/'Ethylene Recycling LC'!AC$45</f>
        <v>3.0768833785318989E-2</v>
      </c>
      <c r="AD57" s="110">
        <f>'Ethylene Recycling HC'!AD62*'Ethylene Recycling HC'!AD$45/'Ethylene Recycling LC'!AD$45</f>
        <v>3.1471810217944145E-2</v>
      </c>
      <c r="AE57" s="110">
        <f>'Ethylene Recycling HC'!AE62*'Ethylene Recycling HC'!AE$45/'Ethylene Recycling LC'!AE$45</f>
        <v>3.207423993810625E-2</v>
      </c>
      <c r="AF57" s="110">
        <f>'Ethylene Recycling HC'!AF62*'Ethylene Recycling HC'!AF$45/'Ethylene Recycling LC'!AF$45</f>
        <v>3.2565292015768792E-2</v>
      </c>
      <c r="AG57" s="110">
        <f>'Ethylene Recycling HC'!AG62*'Ethylene Recycling HC'!AG$45/'Ethylene Recycling LC'!AG$45</f>
        <v>3.293252196750715E-2</v>
      </c>
      <c r="AI57" s="133" t="s">
        <v>1314</v>
      </c>
      <c r="AJ57" s="211"/>
      <c r="AL57" s="108"/>
      <c r="AM57" s="2"/>
      <c r="AN57" s="2"/>
      <c r="AO57" s="2"/>
      <c r="BC57" s="1"/>
      <c r="BD57" s="2"/>
      <c r="BE57" s="2"/>
      <c r="BF57" s="2"/>
      <c r="BG57" s="2"/>
      <c r="BH57" s="2"/>
      <c r="BI57" s="2"/>
      <c r="BJ57" s="2"/>
      <c r="BK57" s="2"/>
    </row>
    <row r="58" spans="1:63" ht="16" outlineLevel="1" x14ac:dyDescent="0.2">
      <c r="A58" t="s">
        <v>1319</v>
      </c>
      <c r="B58" s="54" t="s">
        <v>462</v>
      </c>
      <c r="C58" s="110">
        <f>'Ethylene Recycling HC'!C64*'Ethylene Recycling HC'!C$45/'Ethylene Recycling LC'!C$45</f>
        <v>6.0660693409000509E-2</v>
      </c>
      <c r="D58" s="110">
        <f>'Ethylene Recycling HC'!D64*'Ethylene Recycling HC'!D$45/'Ethylene Recycling LC'!D$45</f>
        <v>6.2814092677649008E-2</v>
      </c>
      <c r="E58" s="110">
        <f>'Ethylene Recycling HC'!E64*'Ethylene Recycling HC'!E$45/'Ethylene Recycling LC'!E$45</f>
        <v>6.496565631608768E-2</v>
      </c>
      <c r="F58" s="110">
        <f>'Ethylene Recycling HC'!F64*'Ethylene Recycling HC'!F$45/'Ethylene Recycling LC'!F$45</f>
        <v>6.7114734107825133E-2</v>
      </c>
      <c r="G58" s="110">
        <f>'Ethylene Recycling HC'!G64*'Ethylene Recycling HC'!G$45/'Ethylene Recycling LC'!G$45</f>
        <v>6.9260646817364643E-2</v>
      </c>
      <c r="H58" s="110">
        <f>'Ethylene Recycling HC'!H64*'Ethylene Recycling HC'!H$45/'Ethylene Recycling LC'!H$45</f>
        <v>7.1402684553048712E-2</v>
      </c>
      <c r="I58" s="110">
        <f>'Ethylene Recycling HC'!I64*'Ethylene Recycling HC'!I$45/'Ethylene Recycling LC'!I$45</f>
        <v>7.3540105017803337E-2</v>
      </c>
      <c r="J58" s="110">
        <f>'Ethylene Recycling HC'!J64*'Ethylene Recycling HC'!J$45/'Ethylene Recycling LC'!J$45</f>
        <v>7.5672131638723397E-2</v>
      </c>
      <c r="K58" s="110">
        <f>'Ethylene Recycling HC'!K64*'Ethylene Recycling HC'!K$45/'Ethylene Recycling LC'!K$45</f>
        <v>7.7797951565594686E-2</v>
      </c>
      <c r="L58" s="110">
        <f>'Ethylene Recycling HC'!L64*'Ethylene Recycling HC'!L$45/'Ethylene Recycling LC'!L$45</f>
        <v>7.9916713527511035E-2</v>
      </c>
      <c r="M58" s="110">
        <f>'Ethylene Recycling HC'!M64*'Ethylene Recycling HC'!M$45/'Ethylene Recycling LC'!M$45</f>
        <v>8.2027525535708662E-2</v>
      </c>
      <c r="N58" s="110">
        <f>'Ethylene Recycling HC'!N64*'Ethylene Recycling HC'!N$45/'Ethylene Recycling LC'!N$45</f>
        <v>8.6583112853538868E-2</v>
      </c>
      <c r="O58" s="110">
        <f>'Ethylene Recycling HC'!O64*'Ethylene Recycling HC'!O$45/'Ethylene Recycling LC'!O$45</f>
        <v>9.1137084832284443E-2</v>
      </c>
      <c r="P58" s="110">
        <f>'Ethylene Recycling HC'!P64*'Ethylene Recycling HC'!P$45/'Ethylene Recycling LC'!P$45</f>
        <v>9.5552549743972662E-2</v>
      </c>
      <c r="Q58" s="110">
        <f>'Ethylene Recycling HC'!Q64*'Ethylene Recycling HC'!Q$45/'Ethylene Recycling LC'!Q$45</f>
        <v>9.9885430567112687E-2</v>
      </c>
      <c r="R58" s="110">
        <f>'Ethylene Recycling HC'!R64*'Ethylene Recycling HC'!R$45/'Ethylene Recycling LC'!R$45</f>
        <v>0.10412702890867803</v>
      </c>
      <c r="S58" s="110">
        <f>'Ethylene Recycling HC'!S64*'Ethylene Recycling HC'!S$45/'Ethylene Recycling LC'!S$45</f>
        <v>0.10826781996947808</v>
      </c>
      <c r="T58" s="110">
        <f>'Ethylene Recycling HC'!T64*'Ethylene Recycling HC'!T$45/'Ethylene Recycling LC'!T$45</f>
        <v>0.11229735201367075</v>
      </c>
      <c r="U58" s="110">
        <f>'Ethylene Recycling HC'!U64*'Ethylene Recycling HC'!U$45/'Ethylene Recycling LC'!U$45</f>
        <v>0.1162041307971567</v>
      </c>
      <c r="V58" s="110">
        <f>'Ethylene Recycling HC'!V64*'Ethylene Recycling HC'!V$45/'Ethylene Recycling LC'!V$45</f>
        <v>0.11997548626222905</v>
      </c>
      <c r="W58" s="110">
        <f>'Ethylene Recycling HC'!W64*'Ethylene Recycling HC'!W$45/'Ethylene Recycling LC'!W$45</f>
        <v>0.12359741824050169</v>
      </c>
      <c r="X58" s="110">
        <f>'Ethylene Recycling HC'!X64*'Ethylene Recycling HC'!X$45/'Ethylene Recycling LC'!X$45</f>
        <v>0.12915358895159129</v>
      </c>
      <c r="Y58" s="110">
        <f>'Ethylene Recycling HC'!Y64*'Ethylene Recycling HC'!Y$45/'Ethylene Recycling LC'!Y$45</f>
        <v>0.13495773392131691</v>
      </c>
      <c r="Z58" s="110">
        <f>'Ethylene Recycling HC'!Z64*'Ethylene Recycling HC'!Z$45/'Ethylene Recycling LC'!Z$45</f>
        <v>0.14048069035816244</v>
      </c>
      <c r="AA58" s="110">
        <f>'Ethylene Recycling HC'!AA64*'Ethylene Recycling HC'!AA$45/'Ethylene Recycling LC'!AA$45</f>
        <v>0.14569060003298481</v>
      </c>
      <c r="AB58" s="110">
        <f>'Ethylene Recycling HC'!AB64*'Ethylene Recycling HC'!AB$45/'Ethylene Recycling LC'!AB$45</f>
        <v>0.1505516036684921</v>
      </c>
      <c r="AC58" s="110">
        <f>'Ethylene Recycling HC'!AC64*'Ethylene Recycling HC'!AC$45/'Ethylene Recycling LC'!AC$45</f>
        <v>0.15502319246869375</v>
      </c>
      <c r="AD58" s="110">
        <f>'Ethylene Recycling HC'!AD64*'Ethylene Recycling HC'!AD$45/'Ethylene Recycling LC'!AD$45</f>
        <v>0.15905942930200437</v>
      </c>
      <c r="AE58" s="110">
        <f>'Ethylene Recycling HC'!AE64*'Ethylene Recycling HC'!AE$45/'Ethylene Recycling LC'!AE$45</f>
        <v>0.1626080079113712</v>
      </c>
      <c r="AF58" s="110">
        <f>'Ethylene Recycling HC'!AF64*'Ethylene Recycling HC'!AF$45/'Ethylene Recycling LC'!AF$45</f>
        <v>0.16560910943992002</v>
      </c>
      <c r="AG58" s="110">
        <f>'Ethylene Recycling HC'!AG64*'Ethylene Recycling HC'!AG$45/'Ethylene Recycling LC'!AG$45</f>
        <v>0.16799400343049303</v>
      </c>
      <c r="AI58" s="133" t="s">
        <v>1314</v>
      </c>
      <c r="AJ58" s="211"/>
      <c r="AL58" s="108"/>
      <c r="AM58" s="2"/>
      <c r="AN58" s="2"/>
      <c r="AO58" s="2"/>
      <c r="BC58" s="1"/>
      <c r="BD58" s="2"/>
      <c r="BE58" s="2"/>
      <c r="BF58" s="2"/>
      <c r="BG58" s="2"/>
      <c r="BH58" s="2"/>
      <c r="BI58" s="2"/>
      <c r="BJ58" s="2"/>
      <c r="BK58" s="2"/>
    </row>
    <row r="59" spans="1:63" outlineLevel="1" x14ac:dyDescent="0.2">
      <c r="C59" s="110"/>
      <c r="D59" s="110"/>
      <c r="E59" s="110"/>
      <c r="F59" s="110"/>
      <c r="G59" s="110"/>
      <c r="H59" s="110"/>
      <c r="I59" s="110"/>
      <c r="J59" s="110"/>
      <c r="K59" s="110"/>
      <c r="L59" s="110"/>
      <c r="M59" s="110"/>
      <c r="N59" s="110"/>
      <c r="O59" s="110"/>
      <c r="P59" s="110"/>
      <c r="Q59" s="110"/>
      <c r="R59" s="110"/>
      <c r="S59" s="110"/>
      <c r="T59" s="110"/>
      <c r="U59" s="110"/>
      <c r="V59" s="110"/>
      <c r="W59" s="110"/>
      <c r="X59" s="110"/>
      <c r="Y59" s="110"/>
      <c r="Z59" s="110"/>
      <c r="AA59" s="110"/>
      <c r="AB59" s="110"/>
      <c r="AC59" s="110"/>
      <c r="AD59" s="110"/>
      <c r="AE59" s="110"/>
      <c r="AF59" s="110"/>
      <c r="AG59" s="110"/>
      <c r="AI59" s="133"/>
      <c r="AJ59" s="211"/>
      <c r="AL59" s="108"/>
      <c r="AM59" s="2"/>
      <c r="AN59" s="2"/>
      <c r="AO59" s="2"/>
      <c r="BC59" s="1"/>
      <c r="BD59" s="2"/>
      <c r="BE59" s="2"/>
      <c r="BF59" s="2"/>
      <c r="BG59" s="2"/>
      <c r="BH59" s="2"/>
      <c r="BI59" s="2"/>
      <c r="BJ59" s="2"/>
      <c r="BK59" s="2"/>
    </row>
    <row r="60" spans="1:63" ht="16" outlineLevel="1" x14ac:dyDescent="0.2">
      <c r="A60" t="s">
        <v>1320</v>
      </c>
      <c r="B60" s="54" t="s">
        <v>462</v>
      </c>
      <c r="C60" s="110">
        <f>'Ethylene Recycling HC'!C67*'Ethylene Recycling HC'!C$45/'Ethylene Recycling LC'!C$45</f>
        <v>5.042478396016449E-2</v>
      </c>
      <c r="D60" s="110">
        <f>'Ethylene Recycling HC'!D67*'Ethylene Recycling HC'!D$45/'Ethylene Recycling LC'!D$45</f>
        <v>5.3593761639398114E-2</v>
      </c>
      <c r="E60" s="110">
        <f>'Ethylene Recycling HC'!E67*'Ethylene Recycling HC'!E$45/'Ethylene Recycling LC'!E$45</f>
        <v>5.6726447521735002E-2</v>
      </c>
      <c r="F60" s="110">
        <f>'Ethylene Recycling HC'!F67*'Ethylene Recycling HC'!F$45/'Ethylene Recycling LC'!F$45</f>
        <v>5.9822281023100908E-2</v>
      </c>
      <c r="G60" s="110">
        <f>'Ethylene Recycling HC'!G67*'Ethylene Recycling HC'!G$45/'Ethylene Recycling LC'!G$45</f>
        <v>6.2880676540689476E-2</v>
      </c>
      <c r="H60" s="110">
        <f>'Ethylene Recycling HC'!H67*'Ethylene Recycling HC'!H$45/'Ethylene Recycling LC'!H$45</f>
        <v>6.5901022041488871E-2</v>
      </c>
      <c r="I60" s="110">
        <f>'Ethylene Recycling HC'!I67*'Ethylene Recycling HC'!I$45/'Ethylene Recycling LC'!I$45</f>
        <v>6.8882677554160984E-2</v>
      </c>
      <c r="J60" s="110">
        <f>'Ethylene Recycling HC'!J67*'Ethylene Recycling HC'!J$45/'Ethylene Recycling LC'!J$45</f>
        <v>7.1824973556463875E-2</v>
      </c>
      <c r="K60" s="110">
        <f>'Ethylene Recycling HC'!K67*'Ethylene Recycling HC'!K$45/'Ethylene Recycling LC'!K$45</f>
        <v>7.4727209249677698E-2</v>
      </c>
      <c r="L60" s="110">
        <f>'Ethylene Recycling HC'!L67*'Ethylene Recycling HC'!L$45/'Ethylene Recycling LC'!L$45</f>
        <v>7.7588650710687379E-2</v>
      </c>
      <c r="M60" s="110">
        <f>'Ethylene Recycling HC'!M67*'Ethylene Recycling HC'!M$45/'Ethylene Recycling LC'!M$45</f>
        <v>8.0408528911481508E-2</v>
      </c>
      <c r="N60" s="110">
        <f>'Ethylene Recycling HC'!N67*'Ethylene Recycling HC'!N$45/'Ethylene Recycling LC'!N$45</f>
        <v>8.5821944548103685E-2</v>
      </c>
      <c r="O60" s="110">
        <f>'Ethylene Recycling HC'!O67*'Ethylene Recycling HC'!O$45/'Ethylene Recycling LC'!O$45</f>
        <v>9.1162125694867216E-2</v>
      </c>
      <c r="P60" s="110">
        <f>'Ethylene Recycling HC'!P67*'Ethylene Recycling HC'!P$45/'Ethylene Recycling LC'!P$45</f>
        <v>9.6293226685212924E-2</v>
      </c>
      <c r="Q60" s="110">
        <f>'Ethylene Recycling HC'!Q67*'Ethylene Recycling HC'!Q$45/'Ethylene Recycling LC'!Q$45</f>
        <v>0.10127124806940621</v>
      </c>
      <c r="R60" s="110">
        <f>'Ethylene Recycling HC'!R67*'Ethylene Recycling HC'!R$45/'Ethylene Recycling LC'!R$45</f>
        <v>0.10608818994802618</v>
      </c>
      <c r="S60" s="110">
        <f>'Ethylene Recycling HC'!S67*'Ethylene Recycling HC'!S$45/'Ethylene Recycling LC'!S$45</f>
        <v>0.11073529237710411</v>
      </c>
      <c r="T60" s="110">
        <f>'Ethylene Recycling HC'!T67*'Ethylene Recycling HC'!T$45/'Ethylene Recycling LC'!T$45</f>
        <v>0.11520294291038054</v>
      </c>
      <c r="U60" s="110">
        <f>'Ethylene Recycling HC'!U67*'Ethylene Recycling HC'!U$45/'Ethylene Recycling LC'!U$45</f>
        <v>0.11948057030826748</v>
      </c>
      <c r="V60" s="110">
        <f>'Ethylene Recycling HC'!V67*'Ethylene Recycling HC'!V$45/'Ethylene Recycling LC'!V$45</f>
        <v>0.12355652193711129</v>
      </c>
      <c r="W60" s="110">
        <f>'Ethylene Recycling HC'!W67*'Ethylene Recycling HC'!W$45/'Ethylene Recycling LC'!W$45</f>
        <v>0.12741792186240042</v>
      </c>
      <c r="X60" s="110">
        <f>'Ethylene Recycling HC'!X67*'Ethylene Recycling HC'!X$45/'Ethylene Recycling LC'!X$45</f>
        <v>0.13463918597410324</v>
      </c>
      <c r="Y60" s="110">
        <f>'Ethylene Recycling HC'!Y67*'Ethylene Recycling HC'!Y$45/'Ethylene Recycling LC'!Y$45</f>
        <v>0.14198346146184573</v>
      </c>
      <c r="Z60" s="110">
        <f>'Ethylene Recycling HC'!Z67*'Ethylene Recycling HC'!Z$45/'Ethylene Recycling LC'!Z$45</f>
        <v>0.14890565528743005</v>
      </c>
      <c r="AA60" s="110">
        <f>'Ethylene Recycling HC'!AA67*'Ethylene Recycling HC'!AA$45/'Ethylene Recycling LC'!AA$45</f>
        <v>0.15537340304095104</v>
      </c>
      <c r="AB60" s="110">
        <f>'Ethylene Recycling HC'!AB67*'Ethylene Recycling HC'!AB$45/'Ethylene Recycling LC'!AB$45</f>
        <v>0.16135027569353924</v>
      </c>
      <c r="AC60" s="110">
        <f>'Ethylene Recycling HC'!AC67*'Ethylene Recycling HC'!AC$45/'Ethylene Recycling LC'!AC$45</f>
        <v>0.16679512082356079</v>
      </c>
      <c r="AD60" s="110">
        <f>'Ethylene Recycling HC'!AD67*'Ethylene Recycling HC'!AD$45/'Ethylene Recycling LC'!AD$45</f>
        <v>0.1716612714254574</v>
      </c>
      <c r="AE60" s="110">
        <f>'Ethylene Recycling HC'!AE67*'Ethylene Recycling HC'!AE$45/'Ethylene Recycling LC'!AE$45</f>
        <v>0.17589559017209572</v>
      </c>
      <c r="AF60" s="110">
        <f>'Ethylene Recycling HC'!AF67*'Ethylene Recycling HC'!AF$45/'Ethylene Recycling LC'!AF$45</f>
        <v>0.17943730777227493</v>
      </c>
      <c r="AG60" s="110">
        <f>'Ethylene Recycling HC'!AG67*'Ethylene Recycling HC'!AG$45/'Ethylene Recycling LC'!AG$45</f>
        <v>0.18221660174218909</v>
      </c>
      <c r="AI60" s="133" t="s">
        <v>1314</v>
      </c>
      <c r="AJ60" s="211"/>
      <c r="AL60" s="108"/>
      <c r="AM60" s="2"/>
      <c r="AN60" s="2"/>
      <c r="AO60" s="2"/>
      <c r="AV60" s="41"/>
    </row>
    <row r="61" spans="1:63" ht="16" outlineLevel="1" x14ac:dyDescent="0.2">
      <c r="A61" t="s">
        <v>1321</v>
      </c>
      <c r="B61" s="54" t="s">
        <v>462</v>
      </c>
      <c r="C61" s="110">
        <f>'Ethylene Recycling HC'!C68*'Ethylene Recycling HC'!C$45/'Ethylene Recycling LC'!C$45</f>
        <v>0.10192243566416224</v>
      </c>
      <c r="D61" s="110">
        <f>'Ethylene Recycling HC'!D68*'Ethylene Recycling HC'!D$45/'Ethylene Recycling LC'!D$45</f>
        <v>0.10494555317037518</v>
      </c>
      <c r="E61" s="110">
        <f>'Ethylene Recycling HC'!E68*'Ethylene Recycling HC'!E$45/'Ethylene Recycling LC'!E$45</f>
        <v>0.10792897131476172</v>
      </c>
      <c r="F61" s="110">
        <f>'Ethylene Recycling HC'!F68*'Ethylene Recycling HC'!F$45/'Ethylene Recycling LC'!F$45</f>
        <v>0.11087203673716051</v>
      </c>
      <c r="G61" s="110">
        <f>'Ethylene Recycling HC'!G68*'Ethylene Recycling HC'!G$45/'Ethylene Recycling LC'!G$45</f>
        <v>0.11377406691810374</v>
      </c>
      <c r="H61" s="110">
        <f>'Ethylene Recycling HC'!H68*'Ethylene Recycling HC'!H$45/'Ethylene Recycling LC'!H$45</f>
        <v>0.11663434853374616</v>
      </c>
      <c r="I61" s="110">
        <f>'Ethylene Recycling HC'!I68*'Ethylene Recycling HC'!I$45/'Ethylene Recycling LC'!I$45</f>
        <v>0.11945213569815226</v>
      </c>
      <c r="J61" s="110">
        <f>'Ethylene Recycling HC'!J68*'Ethylene Recycling HC'!J$45/'Ethylene Recycling LC'!J$45</f>
        <v>0.12222664808383839</v>
      </c>
      <c r="K61" s="110">
        <f>'Ethylene Recycling HC'!K68*'Ethylene Recycling HC'!K$45/'Ethylene Recycling LC'!K$45</f>
        <v>0.12495706891061809</v>
      </c>
      <c r="L61" s="110">
        <f>'Ethylene Recycling HC'!L68*'Ethylene Recycling HC'!L$45/'Ethylene Recycling LC'!L$45</f>
        <v>0.12764254279185638</v>
      </c>
      <c r="M61" s="110">
        <f>'Ethylene Recycling HC'!M68*'Ethylene Recycling HC'!M$45/'Ethylene Recycling LC'!M$45</f>
        <v>0.13028217342619791</v>
      </c>
      <c r="N61" s="110">
        <f>'Ethylene Recycling HC'!N68*'Ethylene Recycling HC'!N$45/'Ethylene Recycling LC'!N$45</f>
        <v>0.13675036052553299</v>
      </c>
      <c r="O61" s="110">
        <f>'Ethylene Recycling HC'!O68*'Ethylene Recycling HC'!O$45/'Ethylene Recycling LC'!O$45</f>
        <v>0.1431405306963266</v>
      </c>
      <c r="P61" s="110">
        <f>'Ethylene Recycling HC'!P68*'Ethylene Recycling HC'!P$45/'Ethylene Recycling LC'!P$45</f>
        <v>0.14923965656865479</v>
      </c>
      <c r="Q61" s="110">
        <f>'Ethylene Recycling HC'!Q68*'Ethylene Recycling HC'!Q$45/'Ethylene Recycling LC'!Q$45</f>
        <v>0.15513893321270739</v>
      </c>
      <c r="R61" s="110">
        <f>'Ethylene Recycling HC'!R68*'Ethylene Recycling HC'!R$45/'Ethylene Recycling LC'!R$45</f>
        <v>0.16082775827737297</v>
      </c>
      <c r="S61" s="110">
        <f>'Ethylene Recycling HC'!S68*'Ethylene Recycling HC'!S$45/'Ethylene Recycling LC'!S$45</f>
        <v>0.16629452211648157</v>
      </c>
      <c r="T61" s="110">
        <f>'Ethylene Recycling HC'!T68*'Ethylene Recycling HC'!T$45/'Ethylene Recycling LC'!T$45</f>
        <v>0.17152648525358222</v>
      </c>
      <c r="U61" s="110">
        <f>'Ethylene Recycling HC'!U68*'Ethylene Recycling HC'!U$45/'Ethylene Recycling LC'!U$45</f>
        <v>0.17650963751330909</v>
      </c>
      <c r="V61" s="110">
        <f>'Ethylene Recycling HC'!V68*'Ethylene Recycling HC'!V$45/'Ethylene Recycling LC'!V$45</f>
        <v>0.18122853553733126</v>
      </c>
      <c r="W61" s="110">
        <f>'Ethylene Recycling HC'!W68*'Ethylene Recycling HC'!W$45/'Ethylene Recycling LC'!W$45</f>
        <v>0.18566611471378341</v>
      </c>
      <c r="X61" s="110">
        <f>'Ethylene Recycling HC'!X68*'Ethylene Recycling HC'!X$45/'Ethylene Recycling LC'!X$45</f>
        <v>0.19293937176661427</v>
      </c>
      <c r="Y61" s="110">
        <f>'Ethylene Recycling HC'!Y68*'Ethylene Recycling HC'!Y$45/'Ethylene Recycling LC'!Y$45</f>
        <v>0.20049576001552702</v>
      </c>
      <c r="Z61" s="110">
        <f>'Ethylene Recycling HC'!Z68*'Ethylene Recycling HC'!Z$45/'Ethylene Recycling LC'!Z$45</f>
        <v>0.20754818831917302</v>
      </c>
      <c r="AA61" s="110">
        <f>'Ethylene Recycling HC'!AA68*'Ethylene Recycling HC'!AA$45/'Ethylene Recycling LC'!AA$45</f>
        <v>0.21405755956185119</v>
      </c>
      <c r="AB61" s="110">
        <f>'Ethylene Recycling HC'!AB68*'Ethylene Recycling HC'!AB$45/'Ethylene Recycling LC'!AB$45</f>
        <v>0.21997986645404993</v>
      </c>
      <c r="AC61" s="110">
        <f>'Ethylene Recycling HC'!AC68*'Ethylene Recycling HC'!AC$45/'Ethylene Recycling LC'!AC$45</f>
        <v>0.22526539571520238</v>
      </c>
      <c r="AD61" s="110">
        <f>'Ethylene Recycling HC'!AD68*'Ethylene Recycling HC'!AD$45/'Ethylene Recycling LC'!AD$45</f>
        <v>0.22985777229255555</v>
      </c>
      <c r="AE61" s="110">
        <f>'Ethylene Recycling HC'!AE68*'Ethylene Recycling HC'!AE$45/'Ethylene Recycling LC'!AE$45</f>
        <v>0.23369280480325863</v>
      </c>
      <c r="AF61" s="110">
        <f>'Ethylene Recycling HC'!AF68*'Ethylene Recycling HC'!AF$45/'Ethylene Recycling LC'!AF$45</f>
        <v>0.23669708223762215</v>
      </c>
      <c r="AG61" s="110">
        <f>'Ethylene Recycling HC'!AG68*'Ethylene Recycling HC'!AG$45/'Ethylene Recycling LC'!AG$45</f>
        <v>0.23878625707514836</v>
      </c>
      <c r="AI61" s="133" t="s">
        <v>1314</v>
      </c>
      <c r="AJ61" s="211"/>
      <c r="AL61" s="108"/>
      <c r="AM61" s="2"/>
      <c r="AN61" s="2"/>
      <c r="AO61" s="2"/>
      <c r="AV61" s="41"/>
    </row>
    <row r="62" spans="1:63" ht="16" outlineLevel="1" x14ac:dyDescent="0.2">
      <c r="A62" t="s">
        <v>1322</v>
      </c>
      <c r="B62" s="176" t="s">
        <v>462</v>
      </c>
      <c r="C62" s="110">
        <f>'Ethylene Recycling HC'!C69*'Ethylene Recycling HC'!C$45/'Ethylene Recycling LC'!C$45</f>
        <v>0.15234721962432674</v>
      </c>
      <c r="D62" s="110">
        <f>'Ethylene Recycling HC'!D69*'Ethylene Recycling HC'!D$45/'Ethylene Recycling LC'!D$45</f>
        <v>0.15853931480977329</v>
      </c>
      <c r="E62" s="110">
        <f>'Ethylene Recycling HC'!E69*'Ethylene Recycling HC'!E$45/'Ethylene Recycling LC'!E$45</f>
        <v>0.16465541883649676</v>
      </c>
      <c r="F62" s="110">
        <f>'Ethylene Recycling HC'!F69*'Ethylene Recycling HC'!F$45/'Ethylene Recycling LC'!F$45</f>
        <v>0.17069431776026142</v>
      </c>
      <c r="G62" s="110">
        <f>'Ethylene Recycling HC'!G69*'Ethylene Recycling HC'!G$45/'Ethylene Recycling LC'!G$45</f>
        <v>0.1766547434587932</v>
      </c>
      <c r="H62" s="110">
        <f>'Ethylene Recycling HC'!H69*'Ethylene Recycling HC'!H$45/'Ethylene Recycling LC'!H$45</f>
        <v>0.18253537057523503</v>
      </c>
      <c r="I62" s="110">
        <f>'Ethylene Recycling HC'!I69*'Ethylene Recycling HC'!I$45/'Ethylene Recycling LC'!I$45</f>
        <v>0.18833481325231324</v>
      </c>
      <c r="J62" s="110">
        <f>'Ethylene Recycling HC'!J69*'Ethylene Recycling HC'!J$45/'Ethylene Recycling LC'!J$45</f>
        <v>0.19405162164030226</v>
      </c>
      <c r="K62" s="110">
        <f>'Ethylene Recycling HC'!K69*'Ethylene Recycling HC'!K$45/'Ethylene Recycling LC'!K$45</f>
        <v>0.19968427816029577</v>
      </c>
      <c r="L62" s="110">
        <f>'Ethylene Recycling HC'!L69*'Ethylene Recycling HC'!L$45/'Ethylene Recycling LC'!L$45</f>
        <v>0.20523119350254374</v>
      </c>
      <c r="M62" s="110">
        <f>'Ethylene Recycling HC'!M69*'Ethylene Recycling HC'!M$45/'Ethylene Recycling LC'!M$45</f>
        <v>0.21069070233767945</v>
      </c>
      <c r="N62" s="110">
        <f>'Ethylene Recycling HC'!N69*'Ethylene Recycling HC'!N$45/'Ethylene Recycling LC'!N$45</f>
        <v>0.22257230507363665</v>
      </c>
      <c r="O62" s="110">
        <f>'Ethylene Recycling HC'!O69*'Ethylene Recycling HC'!O$45/'Ethylene Recycling LC'!O$45</f>
        <v>0.23430265639119377</v>
      </c>
      <c r="P62" s="110">
        <f>'Ethylene Recycling HC'!P69*'Ethylene Recycling HC'!P$45/'Ethylene Recycling LC'!P$45</f>
        <v>0.24553288325386768</v>
      </c>
      <c r="Q62" s="110">
        <f>'Ethylene Recycling HC'!Q69*'Ethylene Recycling HC'!Q$45/'Ethylene Recycling LC'!Q$45</f>
        <v>0.25641018128211363</v>
      </c>
      <c r="R62" s="110">
        <f>'Ethylene Recycling HC'!R69*'Ethylene Recycling HC'!R$45/'Ethylene Recycling LC'!R$45</f>
        <v>0.26691594822539921</v>
      </c>
      <c r="S62" s="110">
        <f>'Ethylene Recycling HC'!S69*'Ethylene Recycling HC'!S$45/'Ethylene Recycling LC'!S$45</f>
        <v>0.27702981449358571</v>
      </c>
      <c r="T62" s="110">
        <f>'Ethylene Recycling HC'!T69*'Ethylene Recycling HC'!T$45/'Ethylene Recycling LC'!T$45</f>
        <v>0.2867294281639628</v>
      </c>
      <c r="U62" s="110">
        <f>'Ethylene Recycling HC'!U69*'Ethylene Recycling HC'!U$45/'Ethylene Recycling LC'!U$45</f>
        <v>0.29599020782157653</v>
      </c>
      <c r="V62" s="110">
        <f>'Ethylene Recycling HC'!V69*'Ethylene Recycling HC'!V$45/'Ethylene Recycling LC'!V$45</f>
        <v>0.30478505747444257</v>
      </c>
      <c r="W62" s="110">
        <f>'Ethylene Recycling HC'!W69*'Ethylene Recycling HC'!W$45/'Ethylene Recycling LC'!W$45</f>
        <v>0.31308403657618378</v>
      </c>
      <c r="X62" s="110">
        <f>'Ethylene Recycling HC'!X69*'Ethylene Recycling HC'!X$45/'Ethylene Recycling LC'!X$45</f>
        <v>0.32757855774071754</v>
      </c>
      <c r="Y62" s="110">
        <f>'Ethylene Recycling HC'!Y69*'Ethylene Recycling HC'!Y$45/'Ethylene Recycling LC'!Y$45</f>
        <v>0.34247922147737275</v>
      </c>
      <c r="Z62" s="110">
        <f>'Ethylene Recycling HC'!Z69*'Ethylene Recycling HC'!Z$45/'Ethylene Recycling LC'!Z$45</f>
        <v>0.35645384360660304</v>
      </c>
      <c r="AA62" s="110">
        <f>'Ethylene Recycling HC'!AA69*'Ethylene Recycling HC'!AA$45/'Ethylene Recycling LC'!AA$45</f>
        <v>0.36943096260280217</v>
      </c>
      <c r="AB62" s="110">
        <f>'Ethylene Recycling HC'!AB69*'Ethylene Recycling HC'!AB$45/'Ethylene Recycling LC'!AB$45</f>
        <v>0.38133014214758915</v>
      </c>
      <c r="AC62" s="110">
        <f>'Ethylene Recycling HC'!AC69*'Ethylene Recycling HC'!AC$45/'Ethylene Recycling LC'!AC$45</f>
        <v>0.39206051653876317</v>
      </c>
      <c r="AD62" s="110">
        <f>'Ethylene Recycling HC'!AD69*'Ethylene Recycling HC'!AD$45/'Ethylene Recycling LC'!AD$45</f>
        <v>0.401519043718013</v>
      </c>
      <c r="AE62" s="110">
        <f>'Ethylene Recycling HC'!AE69*'Ethylene Recycling HC'!AE$45/'Ethylene Recycling LC'!AE$45</f>
        <v>0.40958839497535426</v>
      </c>
      <c r="AF62" s="110">
        <f>'Ethylene Recycling HC'!AF69*'Ethylene Recycling HC'!AF$45/'Ethylene Recycling LC'!AF$45</f>
        <v>0.4161343900098971</v>
      </c>
      <c r="AG62" s="110">
        <f>'Ethylene Recycling HC'!AG69*'Ethylene Recycling HC'!AG$45/'Ethylene Recycling LC'!AG$45</f>
        <v>0.42100285881733746</v>
      </c>
      <c r="AI62" s="133" t="s">
        <v>1314</v>
      </c>
      <c r="AJ62" s="211"/>
      <c r="AL62" s="108"/>
      <c r="AM62" s="2"/>
      <c r="AN62" s="2"/>
      <c r="AO62" s="2"/>
    </row>
    <row r="63" spans="1:63" ht="16" outlineLevel="1" x14ac:dyDescent="0.2">
      <c r="A63" t="s">
        <v>1323</v>
      </c>
      <c r="B63" s="54" t="s">
        <v>462</v>
      </c>
      <c r="C63" s="110">
        <f>'Ethylene Recycling HC'!C70*'Ethylene Recycling HC'!C$45/'Ethylene Recycling LC'!C$45</f>
        <v>1.1721013864334644E-2</v>
      </c>
      <c r="D63" s="110">
        <f>'Ethylene Recycling HC'!D70*'Ethylene Recycling HC'!D$45/'Ethylene Recycling LC'!D$45</f>
        <v>1.1841290654415479E-2</v>
      </c>
      <c r="E63" s="110">
        <f>'Ethylene Recycling HC'!E70*'Ethylene Recycling HC'!E$45/'Ethylene Recycling LC'!E$45</f>
        <v>1.1944074027650622E-2</v>
      </c>
      <c r="F63" s="110">
        <f>'Ethylene Recycling HC'!F70*'Ethylene Recycling HC'!F$45/'Ethylene Recycling LC'!F$45</f>
        <v>1.2029551138116611E-2</v>
      </c>
      <c r="G63" s="110">
        <f>'Ethylene Recycling HC'!G70*'Ethylene Recycling HC'!G$45/'Ethylene Recycling LC'!G$45</f>
        <v>1.2097911701698268E-2</v>
      </c>
      <c r="H63" s="110">
        <f>'Ethylene Recycling HC'!H70*'Ethylene Recycling HC'!H$45/'Ethylene Recycling LC'!H$45</f>
        <v>1.2149348140617374E-2</v>
      </c>
      <c r="I63" s="110">
        <f>'Ethylene Recycling HC'!I70*'Ethylene Recycling HC'!I$45/'Ethylene Recycling LC'!I$45</f>
        <v>1.2184055737857599E-2</v>
      </c>
      <c r="J63" s="110">
        <f>'Ethylene Recycling HC'!J70*'Ethylene Recycling HC'!J$45/'Ethylene Recycling LC'!J$45</f>
        <v>1.220223280228537E-2</v>
      </c>
      <c r="K63" s="110">
        <f>'Ethylene Recycling HC'!K70*'Ethylene Recycling HC'!K$45/'Ethylene Recycling LC'!K$45</f>
        <v>1.2204080845341086E-2</v>
      </c>
      <c r="L63" s="110">
        <f>'Ethylene Recycling HC'!L70*'Ethylene Recycling HC'!L$45/'Ethylene Recycling LC'!L$45</f>
        <v>1.2189804770257716E-2</v>
      </c>
      <c r="M63" s="110">
        <f>'Ethylene Recycling HC'!M70*'Ethylene Recycling HC'!M$45/'Ethylene Recycling LC'!M$45</f>
        <v>1.2159613074855437E-2</v>
      </c>
      <c r="N63" s="110">
        <f>'Ethylene Recycling HC'!N70*'Ethylene Recycling HC'!N$45/'Ethylene Recycling LC'!N$45</f>
        <v>1.2467018249667833E-2</v>
      </c>
      <c r="O63" s="110">
        <f>'Ethylene Recycling HC'!O70*'Ethylene Recycling HC'!O$45/'Ethylene Recycling LC'!O$45</f>
        <v>1.2739451417732152E-2</v>
      </c>
      <c r="P63" s="110">
        <f>'Ethylene Recycling HC'!P70*'Ethylene Recycling HC'!P$45/'Ethylene Recycling LC'!P$45</f>
        <v>1.295892188584228E-2</v>
      </c>
      <c r="Q63" s="110">
        <f>'Ethylene Recycling HC'!Q70*'Ethylene Recycling HC'!Q$45/'Ethylene Recycling LC'!Q$45</f>
        <v>1.3135042574025032E-2</v>
      </c>
      <c r="R63" s="110">
        <f>'Ethylene Recycling HC'!R70*'Ethylene Recycling HC'!R$45/'Ethylene Recycling LC'!R$45</f>
        <v>1.3268237798754884E-2</v>
      </c>
      <c r="S63" s="110">
        <f>'Ethylene Recycling HC'!S70*'Ethylene Recycling HC'!S$45/'Ethylene Recycling LC'!S$45</f>
        <v>1.3358942843566356E-2</v>
      </c>
      <c r="T63" s="110">
        <f>'Ethylene Recycling HC'!T70*'Ethylene Recycling HC'!T$45/'Ethylene Recycling LC'!T$45</f>
        <v>1.3407605293172678E-2</v>
      </c>
      <c r="U63" s="110">
        <f>'Ethylene Recycling HC'!U70*'Ethylene Recycling HC'!U$45/'Ethylene Recycling LC'!U$45</f>
        <v>1.34146865671919E-2</v>
      </c>
      <c r="V63" s="110">
        <f>'Ethylene Recycling HC'!V70*'Ethylene Recycling HC'!V$45/'Ethylene Recycling LC'!V$45</f>
        <v>1.3380663689213841E-2</v>
      </c>
      <c r="W63" s="110">
        <f>'Ethylene Recycling HC'!W70*'Ethylene Recycling HC'!W$45/'Ethylene Recycling LC'!W$45</f>
        <v>1.3306031334443594E-2</v>
      </c>
      <c r="X63" s="110">
        <f>'Ethylene Recycling HC'!X70*'Ethylene Recycling HC'!X$45/'Ethylene Recycling LC'!X$45</f>
        <v>1.3409248721723215E-2</v>
      </c>
      <c r="Y63" s="110">
        <f>'Ethylene Recycling HC'!Y70*'Ethylene Recycling HC'!Y$45/'Ethylene Recycling LC'!Y$45</f>
        <v>1.3500013095024783E-2</v>
      </c>
      <c r="Z63" s="110">
        <f>'Ethylene Recycling HC'!Z70*'Ethylene Recycling HC'!Z$45/'Ethylene Recycling LC'!Z$45</f>
        <v>1.3525192133282151E-2</v>
      </c>
      <c r="AA63" s="110">
        <f>'Ethylene Recycling HC'!AA70*'Ethylene Recycling HC'!AA$45/'Ethylene Recycling LC'!AA$45</f>
        <v>1.3485598430180856E-2</v>
      </c>
      <c r="AB63" s="110">
        <f>'Ethylene Recycling HC'!AB70*'Ethylene Recycling HC'!AB$45/'Ethylene Recycling LC'!AB$45</f>
        <v>1.3382084715979752E-2</v>
      </c>
      <c r="AC63" s="110">
        <f>'Ethylene Recycling HC'!AC70*'Ethylene Recycling HC'!AC$45/'Ethylene Recycling LC'!AC$45</f>
        <v>1.3215550362652749E-2</v>
      </c>
      <c r="AD63" s="110">
        <f>'Ethylene Recycling HC'!AD70*'Ethylene Recycling HC'!AD$45/'Ethylene Recycling LC'!AD$45</f>
        <v>1.2986949196602071E-2</v>
      </c>
      <c r="AE63" s="110">
        <f>'Ethylene Recycling HC'!AE70*'Ethylene Recycling HC'!AE$45/'Ethylene Recycling LC'!AE$45</f>
        <v>1.2697298936205558E-2</v>
      </c>
      <c r="AF63" s="110">
        <f>'Ethylene Recycling HC'!AF70*'Ethylene Recycling HC'!AF$45/'Ethylene Recycling LC'!AF$45</f>
        <v>1.2347692662596528E-2</v>
      </c>
      <c r="AG63" s="110">
        <f>'Ethylene Recycling HC'!AG70*'Ethylene Recycling HC'!AG$45/'Ethylene Recycling LC'!AG$45</f>
        <v>1.1939312853757418E-2</v>
      </c>
      <c r="AI63" s="133" t="s">
        <v>1314</v>
      </c>
      <c r="AJ63" s="211"/>
      <c r="AL63" s="108"/>
      <c r="AM63" s="2"/>
      <c r="AN63" s="2"/>
      <c r="AO63" s="2"/>
    </row>
    <row r="64" spans="1:63" ht="16" outlineLevel="1" x14ac:dyDescent="0.2">
      <c r="A64" t="s">
        <v>1324</v>
      </c>
      <c r="B64" s="54" t="s">
        <v>462</v>
      </c>
      <c r="C64" s="110">
        <f>'Ethylene Recycling HC'!C71*'Ethylene Recycling HC'!C$45/'Ethylene Recycling LC'!C$45</f>
        <v>1.4056767305647387E-2</v>
      </c>
      <c r="D64" s="110">
        <f>'Ethylene Recycling HC'!D71*'Ethylene Recycling HC'!D$45/'Ethylene Recycling LC'!D$45</f>
        <v>1.4473704548616023E-2</v>
      </c>
      <c r="E64" s="110">
        <f>'Ethylene Recycling HC'!E71*'Ethylene Recycling HC'!E$45/'Ethylene Recycling LC'!E$45</f>
        <v>1.4885166601674415E-2</v>
      </c>
      <c r="F64" s="110">
        <f>'Ethylene Recycling HC'!F71*'Ethylene Recycling HC'!F$45/'Ethylene Recycling LC'!F$45</f>
        <v>1.5291063355793125E-2</v>
      </c>
      <c r="G64" s="110">
        <f>'Ethylene Recycling HC'!G71*'Ethylene Recycling HC'!G$45/'Ethylene Recycling LC'!G$45</f>
        <v>1.5691300680398472E-2</v>
      </c>
      <c r="H64" s="110">
        <f>'Ethylene Recycling HC'!H71*'Ethylene Recycling HC'!H$45/'Ethylene Recycling LC'!H$45</f>
        <v>1.608578019649037E-2</v>
      </c>
      <c r="I64" s="110">
        <f>'Ethylene Recycling HC'!I71*'Ethylene Recycling HC'!I$45/'Ethylene Recycling LC'!I$45</f>
        <v>1.6474399034225071E-2</v>
      </c>
      <c r="J64" s="110">
        <f>'Ethylene Recycling HC'!J71*'Ethylene Recycling HC'!J$45/'Ethylene Recycling LC'!J$45</f>
        <v>1.685704957370722E-2</v>
      </c>
      <c r="K64" s="110">
        <f>'Ethylene Recycling HC'!K71*'Ethylene Recycling HC'!K$45/'Ethylene Recycling LC'!K$45</f>
        <v>1.7233619167618831E-2</v>
      </c>
      <c r="L64" s="110">
        <f>'Ethylene Recycling HC'!L71*'Ethylene Recycling HC'!L$45/'Ethylene Recycling LC'!L$45</f>
        <v>1.7603989844182575E-2</v>
      </c>
      <c r="M64" s="110">
        <f>'Ethylene Recycling HC'!M71*'Ethylene Recycling HC'!M$45/'Ethylene Recycling LC'!M$45</f>
        <v>1.7968037988813447E-2</v>
      </c>
      <c r="N64" s="110">
        <f>'Ethylene Recycling HC'!N71*'Ethylene Recycling HC'!N$45/'Ethylene Recycling LC'!N$45</f>
        <v>1.8860106554014669E-2</v>
      </c>
      <c r="O64" s="110">
        <f>'Ethylene Recycling HC'!O71*'Ethylene Recycling HC'!O$45/'Ethylene Recycling LC'!O$45</f>
        <v>1.9741415311492864E-2</v>
      </c>
      <c r="P64" s="110">
        <f>'Ethylene Recycling HC'!P71*'Ethylene Recycling HC'!P$45/'Ethylene Recycling LC'!P$45</f>
        <v>2.0582584310217224E-2</v>
      </c>
      <c r="Q64" s="110">
        <f>'Ethylene Recycling HC'!Q71*'Ethylene Recycling HC'!Q$45/'Ethylene Recycling LC'!Q$45</f>
        <v>2.139619083871825E-2</v>
      </c>
      <c r="R64" s="110">
        <f>'Ethylene Recycling HC'!R71*'Ethylene Recycling HC'!R$45/'Ethylene Recycling LC'!R$45</f>
        <v>2.2180772659741749E-2</v>
      </c>
      <c r="S64" s="110">
        <f>'Ethylene Recycling HC'!S71*'Ethylene Recycling HC'!S$45/'Ethylene Recycling LC'!S$45</f>
        <v>2.2934728613605369E-2</v>
      </c>
      <c r="T64" s="110">
        <f>'Ethylene Recycling HC'!T71*'Ethylene Recycling HC'!T$45/'Ethylene Recycling LC'!T$45</f>
        <v>2.3656301718591597E-2</v>
      </c>
      <c r="U64" s="110">
        <f>'Ethylene Recycling HC'!U71*'Ethylene Recycling HC'!U$45/'Ethylene Recycling LC'!U$45</f>
        <v>2.4343559742864083E-2</v>
      </c>
      <c r="V64" s="110">
        <f>'Ethylene Recycling HC'!V71*'Ethylene Recycling HC'!V$45/'Ethylene Recycling LC'!V$45</f>
        <v>2.4994372795265288E-2</v>
      </c>
      <c r="W64" s="110">
        <f>'Ethylene Recycling HC'!W71*'Ethylene Recycling HC'!W$45/'Ethylene Recycling LC'!W$45</f>
        <v>2.5606387387315573E-2</v>
      </c>
      <c r="X64" s="110">
        <f>'Ethylene Recycling HC'!X71*'Ethylene Recycling HC'!X$45/'Ethylene Recycling LC'!X$45</f>
        <v>2.6609488238267386E-2</v>
      </c>
      <c r="Y64" s="110">
        <f>'Ethylene Recycling HC'!Y71*'Ethylene Recycling HC'!Y$45/'Ethylene Recycling LC'!Y$45</f>
        <v>2.7651637502008376E-2</v>
      </c>
      <c r="Z64" s="110">
        <f>'Ethylene Recycling HC'!Z71*'Ethylene Recycling HC'!Z$45/'Ethylene Recycling LC'!Z$45</f>
        <v>2.8624282464406684E-2</v>
      </c>
      <c r="AA64" s="110">
        <f>'Ethylene Recycling HC'!AA71*'Ethylene Recycling HC'!AA$45/'Ethylene Recycling LC'!AA$45</f>
        <v>2.9522030995121722E-2</v>
      </c>
      <c r="AB64" s="110">
        <f>'Ethylene Recycling HC'!AB71*'Ethylene Recycling HC'!AB$45/'Ethylene Recycling LC'!AB$45</f>
        <v>3.0338813770707816E-2</v>
      </c>
      <c r="AC64" s="110">
        <f>'Ethylene Recycling HC'!AC71*'Ethylene Recycling HC'!AC$45/'Ethylene Recycling LC'!AC$45</f>
        <v>3.1067774518428001E-2</v>
      </c>
      <c r="AD64" s="110">
        <f>'Ethylene Recycling HC'!AD71*'Ethylene Recycling HC'!AD$45/'Ethylene Recycling LC'!AD$45</f>
        <v>3.1701138198437243E-2</v>
      </c>
      <c r="AE64" s="110">
        <f>'Ethylene Recycling HC'!AE71*'Ethylene Recycling HC'!AE$45/'Ethylene Recycling LC'!AE$45</f>
        <v>3.2230051771403402E-2</v>
      </c>
      <c r="AF64" s="110">
        <f>'Ethylene Recycling HC'!AF71*'Ethylene Recycling HC'!AF$45/'Ethylene Recycling LC'!AF$45</f>
        <v>3.2644390660984166E-2</v>
      </c>
      <c r="AG64" s="110">
        <f>'Ethylene Recycling HC'!AG71*'Ethylene Recycling HC'!AG$45/'Ethylene Recycling LC'!AG$45</f>
        <v>3.293252196750715E-2</v>
      </c>
      <c r="AI64" s="133" t="s">
        <v>1314</v>
      </c>
      <c r="AJ64" s="211"/>
      <c r="AL64" s="108"/>
      <c r="AM64" s="2"/>
      <c r="AN64" s="2"/>
      <c r="AO64" s="2"/>
      <c r="BC64" s="1"/>
      <c r="BD64" s="2"/>
      <c r="BE64" s="2"/>
      <c r="BF64" s="2"/>
      <c r="BG64" s="2"/>
      <c r="BH64" s="2"/>
      <c r="BI64" s="2"/>
      <c r="BJ64" s="2"/>
      <c r="BK64" s="2"/>
    </row>
    <row r="65" spans="1:63" ht="16" outlineLevel="1" x14ac:dyDescent="0.2">
      <c r="A65" t="s">
        <v>1325</v>
      </c>
      <c r="B65" s="54" t="s">
        <v>462</v>
      </c>
      <c r="C65" s="110">
        <f>'Ethylene Recycling HC'!C73*'Ethylene Recycling HC'!C$45/'Ethylene Recycling LC'!C$45</f>
        <v>6.5080901277077122E-2</v>
      </c>
      <c r="D65" s="110">
        <f>'Ethylene Recycling HC'!D73*'Ethylene Recycling HC'!D$45/'Ethylene Recycling LC'!D$45</f>
        <v>6.7238643184859101E-2</v>
      </c>
      <c r="E65" s="110">
        <f>'Ethylene Recycling HC'!E73*'Ethylene Recycling HC'!E$45/'Ethylene Recycling LC'!E$45</f>
        <v>6.9383963731662932E-2</v>
      </c>
      <c r="F65" s="110">
        <f>'Ethylene Recycling HC'!F73*'Ethylene Recycling HC'!F$45/'Ethylene Recycling LC'!F$45</f>
        <v>7.1516183434992484E-2</v>
      </c>
      <c r="G65" s="110">
        <f>'Ethylene Recycling HC'!G73*'Ethylene Recycling HC'!G$45/'Ethylene Recycling LC'!G$45</f>
        <v>7.3634598278044749E-2</v>
      </c>
      <c r="H65" s="110">
        <f>'Ethylene Recycling HC'!H73*'Ethylene Recycling HC'!H$45/'Ethylene Recycling LC'!H$45</f>
        <v>7.5738478325565836E-2</v>
      </c>
      <c r="I65" s="110">
        <f>'Ethylene Recycling HC'!I73*'Ethylene Recycling HC'!I$45/'Ethylene Recycling LC'!I$45</f>
        <v>7.7827066244931589E-2</v>
      </c>
      <c r="J65" s="110">
        <f>'Ethylene Recycling HC'!J73*'Ethylene Recycling HC'!J$45/'Ethylene Recycling LC'!J$45</f>
        <v>7.9899575724793184E-2</v>
      </c>
      <c r="K65" s="110">
        <f>'Ethylene Recycling HC'!K73*'Ethylene Recycling HC'!K$45/'Ethylene Recycling LC'!K$45</f>
        <v>8.1955189782914592E-2</v>
      </c>
      <c r="L65" s="110">
        <f>'Ethylene Recycling HC'!L73*'Ethylene Recycling HC'!L$45/'Ethylene Recycling LC'!L$45</f>
        <v>8.3993058954035624E-2</v>
      </c>
      <c r="M65" s="110">
        <f>'Ethylene Recycling HC'!M73*'Ethylene Recycling HC'!M$45/'Ethylene Recycling LC'!M$45</f>
        <v>8.6012299347718299E-2</v>
      </c>
      <c r="N65" s="110">
        <f>'Ethylene Recycling HC'!N73*'Ethylene Recycling HC'!N$45/'Ethylene Recycling LC'!N$45</f>
        <v>9.0578886375749013E-2</v>
      </c>
      <c r="O65" s="110">
        <f>'Ethylene Recycling HC'!O73*'Ethylene Recycling HC'!O$45/'Ethylene Recycling LC'!O$45</f>
        <v>9.5121657083047317E-2</v>
      </c>
      <c r="P65" s="110">
        <f>'Ethylene Recycling HC'!P73*'Ethylene Recycling HC'!P$45/'Ethylene Recycling LC'!P$45</f>
        <v>9.9498079017144012E-2</v>
      </c>
      <c r="Q65" s="110">
        <f>'Ethylene Recycling HC'!Q73*'Ethylene Recycling HC'!Q$45/'Ethylene Recycling LC'!Q$45</f>
        <v>0.10376725774964171</v>
      </c>
      <c r="R65" s="110">
        <f>'Ethylene Recycling HC'!R73*'Ethylene Recycling HC'!R$45/'Ethylene Recycling LC'!R$45</f>
        <v>0.10792077974299744</v>
      </c>
      <c r="S65" s="110">
        <f>'Ethylene Recycling HC'!S73*'Ethylene Recycling HC'!S$45/'Ethylene Recycling LC'!S$45</f>
        <v>0.11194946146257612</v>
      </c>
      <c r="T65" s="110">
        <f>'Ethylene Recycling HC'!T73*'Ethylene Recycling HC'!T$45/'Ethylene Recycling LC'!T$45</f>
        <v>0.11584325570820247</v>
      </c>
      <c r="U65" s="110">
        <f>'Ethylene Recycling HC'!U73*'Ethylene Recycling HC'!U$45/'Ethylene Recycling LC'!U$45</f>
        <v>0.11959114393127548</v>
      </c>
      <c r="V65" s="110">
        <f>'Ethylene Recycling HC'!V73*'Ethylene Recycling HC'!V$45/'Ethylene Recycling LC'!V$45</f>
        <v>0.12318101202861342</v>
      </c>
      <c r="W65" s="110">
        <f>'Ethylene Recycling HC'!W73*'Ethylene Recycling HC'!W$45/'Ethylene Recycling LC'!W$45</f>
        <v>0.12659950657743654</v>
      </c>
      <c r="X65" s="110">
        <f>'Ethylene Recycling HC'!X73*'Ethylene Recycling HC'!X$45/'Ethylene Recycling LC'!X$45</f>
        <v>0.13197692814205358</v>
      </c>
      <c r="Y65" s="110">
        <f>'Ethylene Recycling HC'!Y73*'Ethylene Recycling HC'!Y$45/'Ethylene Recycling LC'!Y$45</f>
        <v>0.13758015141030341</v>
      </c>
      <c r="Z65" s="110">
        <f>'Ethylene Recycling HC'!Z73*'Ethylene Recycling HC'!Z$45/'Ethylene Recycling LC'!Z$45</f>
        <v>0.1428692095818222</v>
      </c>
      <c r="AA65" s="110">
        <f>'Ethylene Recycling HC'!AA73*'Ethylene Recycling HC'!AA$45/'Ethylene Recycling LC'!AA$45</f>
        <v>0.14781382909740906</v>
      </c>
      <c r="AB65" s="110">
        <f>'Ethylene Recycling HC'!AB73*'Ethylene Recycling HC'!AB$45/'Ethylene Recycling LC'!AB$45</f>
        <v>0.15237999628345983</v>
      </c>
      <c r="AC65" s="110">
        <f>'Ethylene Recycling HC'!AC73*'Ethylene Recycling HC'!AC$45/'Ethylene Recycling LC'!AC$45</f>
        <v>0.15652935117229738</v>
      </c>
      <c r="AD65" s="110">
        <f>'Ethylene Recycling HC'!AD73*'Ethylene Recycling HC'!AD$45/'Ethylene Recycling LC'!AD$45</f>
        <v>0.16021845947686914</v>
      </c>
      <c r="AE65" s="110">
        <f>'Ethylene Recycling HC'!AE73*'Ethylene Recycling HC'!AE$45/'Ethylene Recycling LC'!AE$45</f>
        <v>0.16339793315575302</v>
      </c>
      <c r="AF65" s="110">
        <f>'Ethylene Recycling HC'!AF73*'Ethylene Recycling HC'!AF$45/'Ethylene Recycling LC'!AF$45</f>
        <v>0.16601136151202425</v>
      </c>
      <c r="AG65" s="110">
        <f>'Ethylene Recycling HC'!AG73*'Ethylene Recycling HC'!AG$45/'Ethylene Recycling LC'!AG$45</f>
        <v>0.16799400343049303</v>
      </c>
      <c r="AI65" s="133" t="s">
        <v>1314</v>
      </c>
      <c r="AJ65" s="211"/>
      <c r="AL65" s="108"/>
      <c r="AM65" s="2"/>
      <c r="AN65" s="2"/>
      <c r="AO65" s="2"/>
      <c r="BC65" s="1"/>
      <c r="BD65" s="2"/>
      <c r="BE65" s="2"/>
      <c r="BF65" s="2"/>
      <c r="BG65" s="2"/>
      <c r="BH65" s="2"/>
      <c r="BI65" s="2"/>
      <c r="BJ65" s="2"/>
      <c r="BK65" s="2"/>
    </row>
    <row r="66" spans="1:63" outlineLevel="1" x14ac:dyDescent="0.2">
      <c r="C66" s="110"/>
      <c r="D66" s="110"/>
      <c r="E66" s="110"/>
      <c r="F66" s="110"/>
      <c r="G66" s="110"/>
      <c r="H66" s="110"/>
      <c r="I66" s="110"/>
      <c r="J66" s="110"/>
      <c r="K66" s="110"/>
      <c r="L66" s="110"/>
      <c r="M66" s="110"/>
      <c r="N66" s="110"/>
      <c r="O66" s="110"/>
      <c r="P66" s="110"/>
      <c r="Q66" s="110"/>
      <c r="R66" s="110"/>
      <c r="S66" s="110"/>
      <c r="T66" s="110"/>
      <c r="U66" s="110"/>
      <c r="V66" s="110"/>
      <c r="W66" s="110"/>
      <c r="X66" s="110"/>
      <c r="Y66" s="110"/>
      <c r="Z66" s="110"/>
      <c r="AA66" s="110"/>
      <c r="AB66" s="110"/>
      <c r="AC66" s="110"/>
      <c r="AD66" s="110"/>
      <c r="AE66" s="110"/>
      <c r="AF66" s="110"/>
      <c r="AG66" s="110"/>
      <c r="AI66" s="133"/>
      <c r="AJ66" s="211"/>
      <c r="AL66" s="108"/>
      <c r="AM66" s="2"/>
      <c r="AN66" s="2"/>
      <c r="AO66" s="2"/>
      <c r="BC66" s="1"/>
      <c r="BD66" s="2"/>
      <c r="BE66" s="2"/>
      <c r="BF66" s="2"/>
      <c r="BG66" s="2"/>
      <c r="BH66" s="2"/>
      <c r="BI66" s="2"/>
      <c r="BJ66" s="2"/>
      <c r="BK66" s="2"/>
    </row>
    <row r="67" spans="1:63" s="1" customFormat="1" outlineLevel="1" x14ac:dyDescent="0.2">
      <c r="A67" s="1" t="s">
        <v>228</v>
      </c>
      <c r="B67" s="65"/>
      <c r="C67" s="300">
        <f>'Ethylene Recycling HC'!C75</f>
        <v>5.1856182039383869</v>
      </c>
      <c r="D67" s="300">
        <f>'Ethylene Recycling HC'!D75</f>
        <v>5.635425373010194</v>
      </c>
      <c r="E67" s="300">
        <f>'Ethylene Recycling HC'!E75</f>
        <v>6.0822831677559135</v>
      </c>
      <c r="F67" s="300">
        <f>'Ethylene Recycling HC'!F75</f>
        <v>6.522661771384147</v>
      </c>
      <c r="G67" s="300">
        <f>'Ethylene Recycling HC'!G75</f>
        <v>6.9529932245994273</v>
      </c>
      <c r="H67" s="300">
        <f>'Ethylene Recycling HC'!H75</f>
        <v>7.3697186966174106</v>
      </c>
      <c r="I67" s="300">
        <f>'Ethylene Recycling HC'!I75</f>
        <v>7.7860986919736561</v>
      </c>
      <c r="J67" s="300">
        <f>'Ethylene Recycling HC'!J75</f>
        <v>8.201285539857869</v>
      </c>
      <c r="K67" s="300">
        <f>'Ethylene Recycling HC'!K75</f>
        <v>8.6144130391858571</v>
      </c>
      <c r="L67" s="300">
        <f>'Ethylene Recycling HC'!L75</f>
        <v>9.0245985289501682</v>
      </c>
      <c r="M67" s="300">
        <f>'Ethylene Recycling HC'!M75</f>
        <v>9.4309450659297358</v>
      </c>
      <c r="N67" s="300">
        <f>'Ethylene Recycling HC'!N75</f>
        <v>10.041800195030779</v>
      </c>
      <c r="O67" s="300">
        <f>'Ethylene Recycling HC'!O75</f>
        <v>10.654174251035244</v>
      </c>
      <c r="P67" s="300">
        <f>'Ethylene Recycling HC'!P75</f>
        <v>11.171092324085144</v>
      </c>
      <c r="Q67" s="300">
        <f>'Ethylene Recycling HC'!Q75</f>
        <v>11.634325163938909</v>
      </c>
      <c r="R67" s="300">
        <f>'Ethylene Recycling HC'!R75</f>
        <v>12.039994500920958</v>
      </c>
      <c r="S67" s="300">
        <f>'Ethylene Recycling HC'!S75</f>
        <v>12.40703903125007</v>
      </c>
      <c r="T67" s="300">
        <f>'Ethylene Recycling HC'!T75</f>
        <v>12.734322983213733</v>
      </c>
      <c r="U67" s="300">
        <f>'Ethylene Recycling HC'!U75</f>
        <v>13.0207204471367</v>
      </c>
      <c r="V67" s="300">
        <f>'Ethylene Recycling HC'!V75</f>
        <v>13.265116415263943</v>
      </c>
      <c r="W67" s="300">
        <f>'Ethylene Recycling HC'!W75</f>
        <v>13.466407826335804</v>
      </c>
      <c r="X67" s="300">
        <f>'Ethylene Recycling HC'!X75</f>
        <v>13.793559012642564</v>
      </c>
      <c r="Y67" s="300">
        <f>'Ethylene Recycling HC'!Y75</f>
        <v>14.282271951401054</v>
      </c>
      <c r="Z67" s="300">
        <f>'Ethylene Recycling HC'!Z75</f>
        <v>14.693481002694471</v>
      </c>
      <c r="AA67" s="300">
        <f>'Ethylene Recycling HC'!AA75</f>
        <v>15.025258369111912</v>
      </c>
      <c r="AB67" s="300">
        <f>'Ethylene Recycling HC'!AB75</f>
        <v>15.275698449502203</v>
      </c>
      <c r="AC67" s="300">
        <f>'Ethylene Recycling HC'!AC75</f>
        <v>15.443065517929911</v>
      </c>
      <c r="AD67" s="300">
        <f>'Ethylene Recycling HC'!AD75</f>
        <v>15.525505930003943</v>
      </c>
      <c r="AE67" s="300">
        <f>'Ethylene Recycling HC'!AE75</f>
        <v>15.521188350646455</v>
      </c>
      <c r="AF67" s="300">
        <f>'Ethylene Recycling HC'!AF75</f>
        <v>15.428305252460735</v>
      </c>
      <c r="AG67" s="300">
        <f>'Ethylene Recycling HC'!AG75</f>
        <v>15.245074415264451</v>
      </c>
      <c r="AH67" s="422"/>
      <c r="AI67" s="423"/>
      <c r="AJ67" s="424"/>
      <c r="AL67" s="221"/>
      <c r="AM67" s="124"/>
      <c r="AN67" s="124"/>
      <c r="AO67" s="124"/>
      <c r="BD67" s="124"/>
      <c r="BE67" s="124"/>
      <c r="BF67" s="124"/>
      <c r="BG67" s="124"/>
      <c r="BH67" s="124"/>
      <c r="BI67" s="124"/>
      <c r="BJ67" s="124"/>
      <c r="BK67" s="124"/>
    </row>
    <row r="68" spans="1:63" outlineLevel="1" x14ac:dyDescent="0.2">
      <c r="A68" s="4" t="s">
        <v>258</v>
      </c>
      <c r="C68" s="230">
        <f>'Ethylene Recycling HC'!C76</f>
        <v>4.8106549108690304</v>
      </c>
      <c r="D68" s="230">
        <f>'Ethylene Recycling HC'!D76</f>
        <v>5.2245324708321554</v>
      </c>
      <c r="E68" s="230">
        <f>'Ethylene Recycling HC'!E76</f>
        <v>5.6351339554695574</v>
      </c>
      <c r="F68" s="230">
        <f>'Ethylene Recycling HC'!F76</f>
        <v>6.0391965268768617</v>
      </c>
      <c r="G68" s="230">
        <f>'Ethylene Recycling HC'!G76</f>
        <v>6.4334305854272946</v>
      </c>
      <c r="H68" s="230">
        <f>'Ethylene Recycling HC'!H76</f>
        <v>6.814563595123289</v>
      </c>
      <c r="I68" s="230">
        <f>'Ethylene Recycling HC'!I76</f>
        <v>7.1948738068034661</v>
      </c>
      <c r="J68" s="230">
        <f>'Ethylene Recycling HC'!J76</f>
        <v>7.5735790545139894</v>
      </c>
      <c r="K68" s="230">
        <f>'Ethylene Recycling HC'!K76</f>
        <v>7.9498821200686525</v>
      </c>
      <c r="L68" s="230">
        <f>'Ethylene Recycling HC'!L76</f>
        <v>8.3229726984162973</v>
      </c>
      <c r="M68" s="230">
        <f>'Ethylene Recycling HC'!M76</f>
        <v>8.6920294544504664</v>
      </c>
      <c r="N68" s="230">
        <f>'Ethylene Recycling HC'!N76</f>
        <v>9.2489569581875131</v>
      </c>
      <c r="O68" s="230">
        <f>'Ethylene Recycling HC'!O76</f>
        <v>9.8065444121582726</v>
      </c>
      <c r="P68" s="230">
        <f>'Ethylene Recycling HC'!P76</f>
        <v>10.275587919497276</v>
      </c>
      <c r="Q68" s="230">
        <f>'Ethylene Recycling HC'!Q76</f>
        <v>10.694657556606273</v>
      </c>
      <c r="R68" s="230">
        <f>'Ethylene Recycling HC'!R76</f>
        <v>11.060287939212831</v>
      </c>
      <c r="S68" s="230">
        <f>'Ethylene Recycling HC'!S76</f>
        <v>11.389969596422368</v>
      </c>
      <c r="T68" s="230">
        <f>'Ethylene Recycling HC'!T76</f>
        <v>11.682730556871679</v>
      </c>
      <c r="U68" s="230">
        <f>'Ethylene Recycling HC'!U76</f>
        <v>11.937610635718679</v>
      </c>
      <c r="V68" s="230">
        <f>'Ethylene Recycling HC'!V76</f>
        <v>12.153662357603697</v>
      </c>
      <c r="W68" s="230">
        <f>'Ethylene Recycling HC'!W76</f>
        <v>12.329951880137299</v>
      </c>
      <c r="X68" s="230">
        <f>'Ethylene Recycling HC'!X76</f>
        <v>12.621160355876597</v>
      </c>
      <c r="Y68" s="230">
        <f>'Ethylene Recycling HC'!Y76</f>
        <v>13.059705536993826</v>
      </c>
      <c r="Z68" s="230">
        <f>'Ethylene Recycling HC'!Z76</f>
        <v>13.426837469708929</v>
      </c>
      <c r="AA68" s="230">
        <f>'Ethylene Recycling HC'!AA76</f>
        <v>13.720936185020378</v>
      </c>
      <c r="AB68" s="230">
        <f>'Ethylene Recycling HC'!AB76</f>
        <v>13.94040662889701</v>
      </c>
      <c r="AC68" s="230">
        <f>'Ethylene Recycling HC'!AC76</f>
        <v>14.083813275923186</v>
      </c>
      <c r="AD68" s="230">
        <f>'Ethylene Recycling HC'!AD76</f>
        <v>14.149617327064954</v>
      </c>
      <c r="AE68" s="230">
        <f>'Ethylene Recycling HC'!AE76</f>
        <v>14.13630478178623</v>
      </c>
      <c r="AF68" s="230">
        <f>'Ethylene Recycling HC'!AF76</f>
        <v>14.042387734424752</v>
      </c>
      <c r="AG68" s="230">
        <f>'Ethylene Recycling HC'!AG76</f>
        <v>13.866405666196309</v>
      </c>
      <c r="AH68" s="245"/>
      <c r="AI68" s="133"/>
      <c r="AJ68" s="211"/>
      <c r="AL68" s="108"/>
      <c r="AM68" s="2"/>
      <c r="AN68" s="2"/>
      <c r="AO68" s="2"/>
      <c r="BC68" s="1"/>
      <c r="BD68" s="2"/>
      <c r="BE68" s="2"/>
      <c r="BF68" s="2"/>
      <c r="BG68" s="2"/>
      <c r="BH68" s="2"/>
      <c r="BI68" s="2"/>
      <c r="BJ68" s="2"/>
      <c r="BK68" s="2"/>
    </row>
    <row r="69" spans="1:63" outlineLevel="1" x14ac:dyDescent="0.2">
      <c r="A69" s="4" t="s">
        <v>478</v>
      </c>
      <c r="C69" s="230">
        <f>'Ethylene Recycling HC'!C77</f>
        <v>0</v>
      </c>
      <c r="D69" s="230">
        <f>'Ethylene Recycling HC'!D77</f>
        <v>3.4350527589934671E-3</v>
      </c>
      <c r="E69" s="230">
        <f>'Ethylene Recycling HC'!E77</f>
        <v>7.4148665605412436E-3</v>
      </c>
      <c r="F69" s="230">
        <f>'Ethylene Recycling HC'!F77</f>
        <v>1.1927593303470298E-2</v>
      </c>
      <c r="G69" s="230">
        <f>'Ethylene Recycling HC'!G77</f>
        <v>1.6952685540871905E-2</v>
      </c>
      <c r="H69" s="230">
        <f>'Ethylene Recycling HC'!H77</f>
        <v>2.2460924301353161E-2</v>
      </c>
      <c r="I69" s="230">
        <f>'Ethylene Recycling HC'!I77</f>
        <v>2.8475926507787134E-2</v>
      </c>
      <c r="J69" s="230">
        <f>'Ethylene Recycling HC'!J77</f>
        <v>3.4993443545777443E-2</v>
      </c>
      <c r="K69" s="230">
        <f>'Ethylene Recycling HC'!K77</f>
        <v>4.2007069661977973E-2</v>
      </c>
      <c r="L69" s="230">
        <f>'Ethylene Recycling HC'!L77</f>
        <v>4.9508196846563629E-2</v>
      </c>
      <c r="M69" s="230">
        <f>'Ethylene Recycling HC'!M77</f>
        <v>5.7485977941951469E-2</v>
      </c>
      <c r="N69" s="230">
        <f>'Ethylene Recycling HC'!N77</f>
        <v>6.7330365145894966E-2</v>
      </c>
      <c r="O69" s="230">
        <f>'Ethylene Recycling HC'!O77</f>
        <v>7.7930551608955678E-2</v>
      </c>
      <c r="P69" s="230">
        <f>'Ethylene Recycling HC'!P77</f>
        <v>8.8520875816014463E-2</v>
      </c>
      <c r="Q69" s="230">
        <f>'Ethylene Recycling HC'!Q77</f>
        <v>9.9283240130807512E-2</v>
      </c>
      <c r="R69" s="230">
        <f>'Ethylene Recycling HC'!R77</f>
        <v>0.11008401387071273</v>
      </c>
      <c r="S69" s="230">
        <f>'Ethylene Recycling HC'!S77</f>
        <v>0.12100263837218053</v>
      </c>
      <c r="T69" s="230">
        <f>'Ethylene Recycling HC'!T77</f>
        <v>0.13195671361692138</v>
      </c>
      <c r="U69" s="230">
        <f>'Ethylene Recycling HC'!U77</f>
        <v>0.14286117856943825</v>
      </c>
      <c r="V69" s="230">
        <f>'Ethylene Recycling HC'!V77</f>
        <v>0.1536283532771486</v>
      </c>
      <c r="W69" s="230">
        <f>'Ethylene Recycling HC'!W77</f>
        <v>0.1641679848308493</v>
      </c>
      <c r="X69" s="230">
        <f>'Ethylene Recycling HC'!X77</f>
        <v>0.17656407386077516</v>
      </c>
      <c r="Y69" s="230">
        <f>'Ethylene Recycling HC'!Y77</f>
        <v>0.19152553664166186</v>
      </c>
      <c r="Z69" s="230">
        <f>'Ethylene Recycling HC'!Z77</f>
        <v>0.20599621495882892</v>
      </c>
      <c r="AA69" s="230">
        <f>'Ethylene Recycling HC'!AA77</f>
        <v>0.21980618022240311</v>
      </c>
      <c r="AB69" s="230">
        <f>'Ethylene Recycling HC'!AB77</f>
        <v>0.23278114175650125</v>
      </c>
      <c r="AC69" s="230">
        <f>'Ethylene Recycling HC'!AC77</f>
        <v>0.24474485489371386</v>
      </c>
      <c r="AD69" s="230">
        <f>'Ethylene Recycling HC'!AD77</f>
        <v>0.25551490227273604</v>
      </c>
      <c r="AE69" s="230">
        <f>'Ethylene Recycling HC'!AE77</f>
        <v>0.26490472776351515</v>
      </c>
      <c r="AF69" s="230">
        <f>'Ethylene Recycling HC'!AF77</f>
        <v>0.27272373094646279</v>
      </c>
      <c r="AG69" s="230">
        <f>'Ethylene Recycling HC'!AG77</f>
        <v>0.27877736709292489</v>
      </c>
      <c r="AH69" s="245"/>
      <c r="AI69" s="133"/>
      <c r="AJ69" s="211"/>
      <c r="AL69" s="108"/>
      <c r="AM69" s="2"/>
      <c r="AN69" s="2"/>
      <c r="AO69" s="2"/>
      <c r="BC69" s="1"/>
      <c r="BD69" s="2"/>
      <c r="BE69" s="2"/>
      <c r="BF69" s="2"/>
      <c r="BG69" s="2"/>
      <c r="BH69" s="2"/>
      <c r="BI69" s="2"/>
      <c r="BJ69" s="2"/>
      <c r="BK69" s="2"/>
    </row>
    <row r="70" spans="1:63" outlineLevel="1" x14ac:dyDescent="0.2">
      <c r="A70" s="4" t="s">
        <v>480</v>
      </c>
      <c r="C70" s="230">
        <f>'Ethylene Recycling HC'!C78</f>
        <v>0</v>
      </c>
      <c r="D70" s="230">
        <f>'Ethylene Recycling HC'!D78</f>
        <v>4.1904292388735918E-3</v>
      </c>
      <c r="E70" s="230">
        <f>'Ethylene Recycling HC'!E78</f>
        <v>9.0454138022446548E-3</v>
      </c>
      <c r="F70" s="230">
        <f>'Ethylene Recycling HC'!F78</f>
        <v>1.4550500162594402E-2</v>
      </c>
      <c r="G70" s="230">
        <f>'Ethylene Recycling HC'!G78</f>
        <v>2.0680622439323153E-2</v>
      </c>
      <c r="H70" s="230">
        <f>'Ethylene Recycling HC'!H78</f>
        <v>2.740013633796292E-2</v>
      </c>
      <c r="I70" s="230">
        <f>'Ethylene Recycling HC'!I78</f>
        <v>3.4737852200328816E-2</v>
      </c>
      <c r="J70" s="230">
        <f>'Ethylene Recycling HC'!J78</f>
        <v>4.2688587131356204E-2</v>
      </c>
      <c r="K70" s="230">
        <f>'Ethylene Recycling HC'!K78</f>
        <v>5.1244526736914389E-2</v>
      </c>
      <c r="L70" s="230">
        <f>'Ethylene Recycling HC'!L78</f>
        <v>6.0395170084822591E-2</v>
      </c>
      <c r="M70" s="230">
        <f>'Ethylene Recycling HC'!M78</f>
        <v>7.0127284701088893E-2</v>
      </c>
      <c r="N70" s="230">
        <f>'Ethylene Recycling HC'!N78</f>
        <v>8.2136476661880065E-2</v>
      </c>
      <c r="O70" s="230">
        <f>'Ethylene Recycling HC'!O78</f>
        <v>9.5067669982281153E-2</v>
      </c>
      <c r="P70" s="230">
        <f>'Ethylene Recycling HC'!P78</f>
        <v>0.10798683231253123</v>
      </c>
      <c r="Q70" s="230">
        <f>'Ethylene Recycling HC'!Q78</f>
        <v>0.12111586678981633</v>
      </c>
      <c r="R70" s="230">
        <f>'Ethylene Recycling HC'!R78</f>
        <v>0.13429175701847729</v>
      </c>
      <c r="S70" s="230">
        <f>'Ethylene Recycling HC'!S78</f>
        <v>0.1476114136786093</v>
      </c>
      <c r="T70" s="230">
        <f>'Ethylene Recycling HC'!T78</f>
        <v>0.16097431678692536</v>
      </c>
      <c r="U70" s="230">
        <f>'Ethylene Recycling HC'!U78</f>
        <v>0.17427670017875668</v>
      </c>
      <c r="V70" s="230">
        <f>'Ethylene Recycling HC'!V78</f>
        <v>0.18741160286609429</v>
      </c>
      <c r="W70" s="230">
        <f>'Ethylene Recycling HC'!W78</f>
        <v>0.20026892510487215</v>
      </c>
      <c r="X70" s="230">
        <f>'Ethylene Recycling HC'!X78</f>
        <v>0.21539094434684222</v>
      </c>
      <c r="Y70" s="230">
        <f>'Ethylene Recycling HC'!Y78</f>
        <v>0.23364246928461849</v>
      </c>
      <c r="Z70" s="230">
        <f>'Ethylene Recycling HC'!Z78</f>
        <v>0.25129528505806792</v>
      </c>
      <c r="AA70" s="230">
        <f>'Ethylene Recycling HC'!AA78</f>
        <v>0.26814209536594419</v>
      </c>
      <c r="AB70" s="230">
        <f>'Ethylene Recycling HC'!AB78</f>
        <v>0.28397028258763818</v>
      </c>
      <c r="AC70" s="230">
        <f>'Ethylene Recycling HC'!AC78</f>
        <v>0.29856484542351197</v>
      </c>
      <c r="AD70" s="230">
        <f>'Ethylene Recycling HC'!AD78</f>
        <v>0.31170325248958936</v>
      </c>
      <c r="AE70" s="230">
        <f>'Ethylene Recycling HC'!AE78</f>
        <v>0.32315792350780415</v>
      </c>
      <c r="AF70" s="230">
        <f>'Ethylene Recycling HC'!AF78</f>
        <v>0.33269634456142144</v>
      </c>
      <c r="AG70" s="230">
        <f>'Ethylene Recycling HC'!AG78</f>
        <v>0.34008119006145687</v>
      </c>
      <c r="AH70" s="245"/>
      <c r="AI70" s="133"/>
      <c r="AJ70" s="211"/>
      <c r="AL70" s="108"/>
      <c r="AM70" s="2"/>
      <c r="AN70" s="2"/>
      <c r="AO70" s="2"/>
      <c r="BC70" s="1"/>
      <c r="BD70" s="2"/>
      <c r="BE70" s="2"/>
      <c r="BF70" s="2"/>
      <c r="BG70" s="2"/>
      <c r="BH70" s="2"/>
      <c r="BI70" s="2"/>
      <c r="BJ70" s="2"/>
      <c r="BK70" s="2"/>
    </row>
    <row r="71" spans="1:63" outlineLevel="1" x14ac:dyDescent="0.2">
      <c r="A71" s="4" t="s">
        <v>474</v>
      </c>
      <c r="C71" s="230">
        <f>'Ethylene Recycling HC'!C79</f>
        <v>0.37496329306935583</v>
      </c>
      <c r="D71" s="230">
        <f>'Ethylene Recycling HC'!D79</f>
        <v>0.4030803474462924</v>
      </c>
      <c r="E71" s="230">
        <f>'Ethylene Recycling HC'!E79</f>
        <v>0.4302851188073985</v>
      </c>
      <c r="F71" s="230">
        <f>'Ethylene Recycling HC'!F79</f>
        <v>0.45633757514110534</v>
      </c>
      <c r="G71" s="230">
        <f>'Ethylene Recycling HC'!G79</f>
        <v>0.48100608911875364</v>
      </c>
      <c r="H71" s="230">
        <f>'Ethylene Recycling HC'!H79</f>
        <v>0.5040708204825759</v>
      </c>
      <c r="I71" s="230">
        <f>'Ethylene Recycling HC'!I79</f>
        <v>0.52646030948884659</v>
      </c>
      <c r="J71" s="230">
        <f>'Ethylene Recycling HC'!J79</f>
        <v>0.54811871416981217</v>
      </c>
      <c r="K71" s="230">
        <f>'Ethylene Recycling HC'!K79</f>
        <v>0.56899162063184494</v>
      </c>
      <c r="L71" s="230">
        <f>'Ethylene Recycling HC'!L79</f>
        <v>0.58902625065227143</v>
      </c>
      <c r="M71" s="230">
        <f>'Ethylene Recycling HC'!M79</f>
        <v>0.60817166648350529</v>
      </c>
      <c r="N71" s="230">
        <f>'Ethylene Recycling HC'!N79</f>
        <v>0.639709588041661</v>
      </c>
      <c r="O71" s="230">
        <f>'Ethylene Recycling HC'!O79</f>
        <v>0.67038752487581488</v>
      </c>
      <c r="P71" s="230">
        <f>'Ethylene Recycling HC'!P79</f>
        <v>0.69417585573108898</v>
      </c>
      <c r="Q71" s="230">
        <f>'Ethylene Recycling HC'!Q79</f>
        <v>0.71386154207318786</v>
      </c>
      <c r="R71" s="230">
        <f>'Ethylene Recycling HC'!R79</f>
        <v>0.72933562309490574</v>
      </c>
      <c r="S71" s="230">
        <f>'Ethylene Recycling HC'!S79</f>
        <v>0.74186558752340992</v>
      </c>
      <c r="T71" s="230">
        <f>'Ethylene Recycling HC'!T79</f>
        <v>0.75147504251022879</v>
      </c>
      <c r="U71" s="230">
        <f>'Ethylene Recycling HC'!U79</f>
        <v>0.7581917228404268</v>
      </c>
      <c r="V71" s="230">
        <f>'Ethylene Recycling HC'!V79</f>
        <v>0.7620475121033482</v>
      </c>
      <c r="W71" s="230">
        <f>'Ethylene Recycling HC'!W79</f>
        <v>0.76307845924918394</v>
      </c>
      <c r="X71" s="230">
        <f>'Ethylene Recycling HC'!X79</f>
        <v>0.77082797140002057</v>
      </c>
      <c r="Y71" s="230">
        <f>'Ethylene Recycling HC'!Y79</f>
        <v>0.78696794110218238</v>
      </c>
      <c r="Z71" s="230">
        <f>'Ethylene Recycling HC'!Z79</f>
        <v>0.7981334934571388</v>
      </c>
      <c r="AA71" s="230">
        <f>'Ethylene Recycling HC'!AA79</f>
        <v>0.80440327924579336</v>
      </c>
      <c r="AB71" s="230">
        <f>'Ethylene Recycling HC'!AB79</f>
        <v>0.80586315150269283</v>
      </c>
      <c r="AC71" s="230">
        <f>'Ethylene Recycling HC'!AC79</f>
        <v>0.80261375394739487</v>
      </c>
      <c r="AD71" s="230">
        <f>'Ethylene Recycling HC'!AD79</f>
        <v>0.79475512440482432</v>
      </c>
      <c r="AE71" s="230">
        <f>'Ethylene Recycling HC'!AE79</f>
        <v>0.78239422457518393</v>
      </c>
      <c r="AF71" s="230">
        <f>'Ethylene Recycling HC'!AF79</f>
        <v>0.76564492714591181</v>
      </c>
      <c r="AG71" s="230">
        <f>'Ethylene Recycling HC'!AG79</f>
        <v>0.74462799592887496</v>
      </c>
      <c r="AH71" s="245"/>
      <c r="AI71" s="133"/>
      <c r="AJ71" s="211"/>
      <c r="AL71" s="108"/>
      <c r="AM71" s="2"/>
      <c r="AN71" s="2"/>
      <c r="AO71" s="2"/>
      <c r="BC71" s="1"/>
      <c r="BD71" s="2"/>
      <c r="BE71" s="2"/>
      <c r="BF71" s="2"/>
      <c r="BG71" s="2"/>
      <c r="BH71" s="2"/>
      <c r="BI71" s="2"/>
      <c r="BJ71" s="2"/>
      <c r="BK71" s="2"/>
    </row>
    <row r="72" spans="1:63" outlineLevel="1" x14ac:dyDescent="0.2">
      <c r="A72" s="4" t="s">
        <v>248</v>
      </c>
      <c r="C72" s="230">
        <f>'Ethylene Recycling HC'!C80</f>
        <v>0</v>
      </c>
      <c r="D72" s="230">
        <f>'Ethylene Recycling HC'!D80</f>
        <v>1.8707273387828533E-4</v>
      </c>
      <c r="E72" s="230">
        <f>'Ethylene Recycling HC'!E80</f>
        <v>4.0381311617163637E-4</v>
      </c>
      <c r="F72" s="230">
        <f>'Ethylene Recycling HC'!F80</f>
        <v>6.495759001158214E-4</v>
      </c>
      <c r="G72" s="230">
        <f>'Ethylene Recycling HC'!G80</f>
        <v>9.2324207318406938E-4</v>
      </c>
      <c r="H72" s="230">
        <f>'Ethylene Recycling HC'!H80</f>
        <v>1.2232203722304877E-3</v>
      </c>
      <c r="I72" s="230">
        <f>'Ethylene Recycling HC'!I80</f>
        <v>1.5507969732289652E-3</v>
      </c>
      <c r="J72" s="230">
        <f>'Ethylene Recycling HC'!J80</f>
        <v>1.9057404969355452E-3</v>
      </c>
      <c r="K72" s="230">
        <f>'Ethylene Recycling HC'!K80</f>
        <v>2.2877020864693928E-3</v>
      </c>
      <c r="L72" s="230">
        <f>'Ethylene Recycling HC'!L80</f>
        <v>2.6962129502152948E-3</v>
      </c>
      <c r="M72" s="230">
        <f>'Ethylene Recycling HC'!M80</f>
        <v>3.130682352727183E-3</v>
      </c>
      <c r="N72" s="230">
        <f>'Ethylene Recycling HC'!N80</f>
        <v>3.6668069938339326E-3</v>
      </c>
      <c r="O72" s="230">
        <f>'Ethylene Recycling HC'!O80</f>
        <v>4.244092409923266E-3</v>
      </c>
      <c r="P72" s="230">
        <f>'Ethylene Recycling HC'!P80</f>
        <v>4.820840728238001E-3</v>
      </c>
      <c r="Q72" s="230">
        <f>'Ethylene Recycling HC'!Q80</f>
        <v>5.4069583388310864E-3</v>
      </c>
      <c r="R72" s="230">
        <f>'Ethylene Recycling HC'!R80</f>
        <v>5.9951677240391646E-3</v>
      </c>
      <c r="S72" s="230">
        <f>'Ethylene Recycling HC'!S80</f>
        <v>6.5897952535093436E-3</v>
      </c>
      <c r="T72" s="230">
        <f>'Ethylene Recycling HC'!T80</f>
        <v>7.1863534279877368E-3</v>
      </c>
      <c r="U72" s="230">
        <f>'Ethylene Recycling HC'!U80</f>
        <v>7.7802098294087775E-3</v>
      </c>
      <c r="V72" s="230">
        <f>'Ethylene Recycling HC'!V80</f>
        <v>8.366589413664919E-3</v>
      </c>
      <c r="W72" s="230">
        <f>'Ethylene Recycling HC'!W80</f>
        <v>8.9405770136103593E-3</v>
      </c>
      <c r="X72" s="230">
        <f>'Ethylene Recycling HC'!X80</f>
        <v>9.6156671583411644E-3</v>
      </c>
      <c r="Y72" s="230">
        <f>'Ethylene Recycling HC'!Y80</f>
        <v>1.0430467378777605E-2</v>
      </c>
      <c r="Z72" s="230">
        <f>'Ethylene Recycling HC'!Z80</f>
        <v>1.1218539511520883E-2</v>
      </c>
      <c r="AA72" s="230">
        <f>'Ethylene Recycling HC'!AA80</f>
        <v>1.1970629257408213E-2</v>
      </c>
      <c r="AB72" s="230">
        <f>'Ethylene Recycling HC'!AB80</f>
        <v>1.2677244758376694E-2</v>
      </c>
      <c r="AC72" s="230">
        <f>'Ethylene Recycling HC'!AC80</f>
        <v>1.3328787742121057E-2</v>
      </c>
      <c r="AD72" s="230">
        <f>'Ethylene Recycling HC'!AD80</f>
        <v>1.3915323771856655E-2</v>
      </c>
      <c r="AE72" s="230">
        <f>'Ethylene Recycling HC'!AE80</f>
        <v>1.4426693013741242E-2</v>
      </c>
      <c r="AF72" s="230">
        <f>'Ethylene Recycling HC'!AF80</f>
        <v>1.48525153822063E-2</v>
      </c>
      <c r="AG72" s="230">
        <f>'Ethylene Recycling HC'!AG80</f>
        <v>1.518219598488647E-2</v>
      </c>
      <c r="AH72" s="245"/>
      <c r="AI72" s="133"/>
      <c r="AJ72" s="211"/>
      <c r="AL72" s="108"/>
      <c r="AM72" s="2"/>
      <c r="AN72" s="2"/>
      <c r="AO72" s="2"/>
      <c r="BC72" s="1"/>
      <c r="BD72" s="2"/>
      <c r="BE72" s="2"/>
      <c r="BF72" s="2"/>
      <c r="BG72" s="2"/>
      <c r="BH72" s="2"/>
      <c r="BI72" s="2"/>
      <c r="BJ72" s="2"/>
      <c r="BK72" s="2"/>
    </row>
    <row r="73" spans="1:63" s="1" customFormat="1" outlineLevel="1" x14ac:dyDescent="0.2">
      <c r="A73" s="1" t="s">
        <v>1326</v>
      </c>
      <c r="B73" s="65"/>
      <c r="C73" s="300">
        <f>'Ethylene Recycling HC'!C81</f>
        <v>1.205373589929996</v>
      </c>
      <c r="D73" s="300">
        <f>'Ethylene Recycling HC'!D81</f>
        <v>1.2451208454460503</v>
      </c>
      <c r="E73" s="300">
        <f>'Ethylene Recycling HC'!E81</f>
        <v>1.2806590856050846</v>
      </c>
      <c r="F73" s="300">
        <f>'Ethylene Recycling HC'!F81</f>
        <v>1.3116299143659205</v>
      </c>
      <c r="G73" s="300">
        <f>'Ethylene Recycling HC'!G81</f>
        <v>1.3377193554728866</v>
      </c>
      <c r="H73" s="300">
        <f>'Ethylene Recycling HC'!H81</f>
        <v>1.3586629671274666</v>
      </c>
      <c r="I73" s="300">
        <f>'Ethylene Recycling HC'!I81</f>
        <v>1.3772150533619407</v>
      </c>
      <c r="J73" s="300">
        <f>'Ethylene Recycling HC'!J81</f>
        <v>1.3933036168358774</v>
      </c>
      <c r="K73" s="300">
        <f>'Ethylene Recycling HC'!K81</f>
        <v>1.4068636340228113</v>
      </c>
      <c r="L73" s="300">
        <f>'Ethylene Recycling HC'!L81</f>
        <v>1.417837443881526</v>
      </c>
      <c r="M73" s="300">
        <f>'Ethylene Recycling HC'!M81</f>
        <v>1.4261751145598678</v>
      </c>
      <c r="N73" s="300">
        <f>'Ethylene Recycling HC'!N81</f>
        <v>1.4587330425820906</v>
      </c>
      <c r="O73" s="300">
        <f>'Ethylene Recycling HC'!O81</f>
        <v>1.4888675997027387</v>
      </c>
      <c r="P73" s="300">
        <f>'Ethylene Recycling HC'!P81</f>
        <v>1.5033800173775074</v>
      </c>
      <c r="Q73" s="300">
        <f>'Ethylene Recycling HC'!Q81</f>
        <v>1.5089905502463543</v>
      </c>
      <c r="R73" s="300">
        <f>'Ethylene Recycling HC'!R81</f>
        <v>1.5058180388616633</v>
      </c>
      <c r="S73" s="300">
        <f>'Ethylene Recycling HC'!S81</f>
        <v>1.496766945012703</v>
      </c>
      <c r="T73" s="300">
        <f>'Ethylene Recycling HC'!T81</f>
        <v>1.4820522108322152</v>
      </c>
      <c r="U73" s="300">
        <f>'Ethylene Recycling HC'!U81</f>
        <v>1.4619019914845464</v>
      </c>
      <c r="V73" s="300">
        <f>'Ethylene Recycling HC'!V81</f>
        <v>1.4365576075479041</v>
      </c>
      <c r="W73" s="300">
        <f>'Ethylene Recycling HC'!W81</f>
        <v>1.4062734808461506</v>
      </c>
      <c r="X73" s="300">
        <f>'Ethylene Recycling HC'!X81</f>
        <v>1.3737550641004828</v>
      </c>
      <c r="Y73" s="300">
        <f>'Ethylene Recycling HC'!Y81</f>
        <v>1.3579811084013624</v>
      </c>
      <c r="Z73" s="300">
        <f>'Ethylene Recycling HC'!Z81</f>
        <v>1.3346179047704045</v>
      </c>
      <c r="AA73" s="300">
        <f>'Ethylene Recycling HC'!AA81</f>
        <v>1.304113810406486</v>
      </c>
      <c r="AB73" s="300">
        <f>'Ethylene Recycling HC'!AB81</f>
        <v>1.2669373502358658</v>
      </c>
      <c r="AC73" s="300">
        <f>'Ethylene Recycling HC'!AC81</f>
        <v>1.2235886103757063</v>
      </c>
      <c r="AD73" s="300">
        <f>'Ethylene Recycling HC'!AD81</f>
        <v>1.1745745274411605</v>
      </c>
      <c r="AE73" s="300">
        <f>'Ethylene Recycling HC'!AE81</f>
        <v>1.1204213143745652</v>
      </c>
      <c r="AF73" s="300">
        <f>'Ethylene Recycling HC'!AF81</f>
        <v>1.0616742634362233</v>
      </c>
      <c r="AG73" s="300">
        <f>'Ethylene Recycling HC'!AG81</f>
        <v>0.99889752735144222</v>
      </c>
      <c r="AH73" s="422"/>
      <c r="AI73" s="423"/>
      <c r="AJ73" s="424"/>
      <c r="AL73" s="221"/>
      <c r="AM73" s="124"/>
      <c r="AN73" s="124"/>
      <c r="AO73" s="124"/>
      <c r="BD73" s="124"/>
      <c r="BE73" s="124"/>
      <c r="BF73" s="124"/>
      <c r="BG73" s="124"/>
      <c r="BH73" s="124"/>
      <c r="BI73" s="124"/>
      <c r="BJ73" s="124"/>
      <c r="BK73" s="124"/>
    </row>
    <row r="74" spans="1:63" outlineLevel="1" x14ac:dyDescent="0.2">
      <c r="A74" s="4" t="s">
        <v>258</v>
      </c>
      <c r="C74" s="230">
        <f>'Ethylene Recycling HC'!C82</f>
        <v>0</v>
      </c>
      <c r="D74" s="230">
        <f>'Ethylene Recycling HC'!D82</f>
        <v>0</v>
      </c>
      <c r="E74" s="230">
        <f>'Ethylene Recycling HC'!E82</f>
        <v>0</v>
      </c>
      <c r="F74" s="230">
        <f>'Ethylene Recycling HC'!F82</f>
        <v>0</v>
      </c>
      <c r="G74" s="230">
        <f>'Ethylene Recycling HC'!G82</f>
        <v>0</v>
      </c>
      <c r="H74" s="230">
        <f>'Ethylene Recycling HC'!H82</f>
        <v>0</v>
      </c>
      <c r="I74" s="230">
        <f>'Ethylene Recycling HC'!I82</f>
        <v>0</v>
      </c>
      <c r="J74" s="230">
        <f>'Ethylene Recycling HC'!J82</f>
        <v>0</v>
      </c>
      <c r="K74" s="230">
        <f>'Ethylene Recycling HC'!K82</f>
        <v>0</v>
      </c>
      <c r="L74" s="230">
        <f>'Ethylene Recycling HC'!L82</f>
        <v>0</v>
      </c>
      <c r="M74" s="230">
        <f>'Ethylene Recycling HC'!M82</f>
        <v>0</v>
      </c>
      <c r="N74" s="230">
        <f>'Ethylene Recycling HC'!N82</f>
        <v>0</v>
      </c>
      <c r="O74" s="230">
        <f>'Ethylene Recycling HC'!O82</f>
        <v>0</v>
      </c>
      <c r="P74" s="230">
        <f>'Ethylene Recycling HC'!P82</f>
        <v>0</v>
      </c>
      <c r="Q74" s="230">
        <f>'Ethylene Recycling HC'!Q82</f>
        <v>0</v>
      </c>
      <c r="R74" s="230">
        <f>'Ethylene Recycling HC'!R82</f>
        <v>0</v>
      </c>
      <c r="S74" s="230">
        <f>'Ethylene Recycling HC'!S82</f>
        <v>0</v>
      </c>
      <c r="T74" s="230">
        <f>'Ethylene Recycling HC'!T82</f>
        <v>0</v>
      </c>
      <c r="U74" s="230">
        <f>'Ethylene Recycling HC'!U82</f>
        <v>0</v>
      </c>
      <c r="V74" s="230">
        <f>'Ethylene Recycling HC'!V82</f>
        <v>0</v>
      </c>
      <c r="W74" s="230">
        <f>'Ethylene Recycling HC'!W82</f>
        <v>0</v>
      </c>
      <c r="X74" s="230">
        <f>'Ethylene Recycling HC'!X82</f>
        <v>0</v>
      </c>
      <c r="Y74" s="230">
        <f>'Ethylene Recycling HC'!Y82</f>
        <v>0</v>
      </c>
      <c r="Z74" s="230">
        <f>'Ethylene Recycling HC'!Z82</f>
        <v>0</v>
      </c>
      <c r="AA74" s="230">
        <f>'Ethylene Recycling HC'!AA82</f>
        <v>0</v>
      </c>
      <c r="AB74" s="230">
        <f>'Ethylene Recycling HC'!AB82</f>
        <v>0</v>
      </c>
      <c r="AC74" s="230">
        <f>'Ethylene Recycling HC'!AC82</f>
        <v>0</v>
      </c>
      <c r="AD74" s="230">
        <f>'Ethylene Recycling HC'!AD82</f>
        <v>0</v>
      </c>
      <c r="AE74" s="230">
        <f>'Ethylene Recycling HC'!AE82</f>
        <v>0</v>
      </c>
      <c r="AF74" s="230">
        <f>'Ethylene Recycling HC'!AF82</f>
        <v>0</v>
      </c>
      <c r="AG74" s="230">
        <f>'Ethylene Recycling HC'!AG82</f>
        <v>0</v>
      </c>
      <c r="AH74" s="245"/>
      <c r="AI74" s="133"/>
      <c r="AJ74" s="211"/>
      <c r="AL74" s="108"/>
      <c r="AM74" s="2"/>
      <c r="AN74" s="2"/>
      <c r="AO74" s="2"/>
      <c r="BC74" s="1"/>
      <c r="BD74" s="2"/>
      <c r="BE74" s="2"/>
      <c r="BF74" s="2"/>
      <c r="BG74" s="2"/>
      <c r="BH74" s="2"/>
      <c r="BI74" s="2"/>
      <c r="BJ74" s="2"/>
      <c r="BK74" s="2"/>
    </row>
    <row r="75" spans="1:63" outlineLevel="1" x14ac:dyDescent="0.2">
      <c r="A75" s="4" t="s">
        <v>478</v>
      </c>
      <c r="C75" s="230">
        <f>'Ethylene Recycling HC'!C83</f>
        <v>0</v>
      </c>
      <c r="D75" s="230">
        <f>'Ethylene Recycling HC'!D83</f>
        <v>0</v>
      </c>
      <c r="E75" s="230">
        <f>'Ethylene Recycling HC'!E83</f>
        <v>0</v>
      </c>
      <c r="F75" s="230">
        <f>'Ethylene Recycling HC'!F83</f>
        <v>0</v>
      </c>
      <c r="G75" s="230">
        <f>'Ethylene Recycling HC'!G83</f>
        <v>0</v>
      </c>
      <c r="H75" s="230">
        <f>'Ethylene Recycling HC'!H83</f>
        <v>0</v>
      </c>
      <c r="I75" s="230">
        <f>'Ethylene Recycling HC'!I83</f>
        <v>0</v>
      </c>
      <c r="J75" s="230">
        <f>'Ethylene Recycling HC'!J83</f>
        <v>0</v>
      </c>
      <c r="K75" s="230">
        <f>'Ethylene Recycling HC'!K83</f>
        <v>0</v>
      </c>
      <c r="L75" s="230">
        <f>'Ethylene Recycling HC'!L83</f>
        <v>0</v>
      </c>
      <c r="M75" s="230">
        <f>'Ethylene Recycling HC'!M83</f>
        <v>0</v>
      </c>
      <c r="N75" s="230">
        <f>'Ethylene Recycling HC'!N83</f>
        <v>0</v>
      </c>
      <c r="O75" s="230">
        <f>'Ethylene Recycling HC'!O83</f>
        <v>0</v>
      </c>
      <c r="P75" s="230">
        <f>'Ethylene Recycling HC'!P83</f>
        <v>0</v>
      </c>
      <c r="Q75" s="230">
        <f>'Ethylene Recycling HC'!Q83</f>
        <v>0</v>
      </c>
      <c r="R75" s="230">
        <f>'Ethylene Recycling HC'!R83</f>
        <v>0</v>
      </c>
      <c r="S75" s="230">
        <f>'Ethylene Recycling HC'!S83</f>
        <v>0</v>
      </c>
      <c r="T75" s="230">
        <f>'Ethylene Recycling HC'!T83</f>
        <v>0</v>
      </c>
      <c r="U75" s="230">
        <f>'Ethylene Recycling HC'!U83</f>
        <v>0</v>
      </c>
      <c r="V75" s="230">
        <f>'Ethylene Recycling HC'!V83</f>
        <v>0</v>
      </c>
      <c r="W75" s="230">
        <f>'Ethylene Recycling HC'!W83</f>
        <v>0</v>
      </c>
      <c r="X75" s="230">
        <f>'Ethylene Recycling HC'!X83</f>
        <v>0</v>
      </c>
      <c r="Y75" s="230">
        <f>'Ethylene Recycling HC'!Y83</f>
        <v>0</v>
      </c>
      <c r="Z75" s="230">
        <f>'Ethylene Recycling HC'!Z83</f>
        <v>0</v>
      </c>
      <c r="AA75" s="230">
        <f>'Ethylene Recycling HC'!AA83</f>
        <v>0</v>
      </c>
      <c r="AB75" s="230">
        <f>'Ethylene Recycling HC'!AB83</f>
        <v>0</v>
      </c>
      <c r="AC75" s="230">
        <f>'Ethylene Recycling HC'!AC83</f>
        <v>0</v>
      </c>
      <c r="AD75" s="230">
        <f>'Ethylene Recycling HC'!AD83</f>
        <v>0</v>
      </c>
      <c r="AE75" s="230">
        <f>'Ethylene Recycling HC'!AE83</f>
        <v>0</v>
      </c>
      <c r="AF75" s="230">
        <f>'Ethylene Recycling HC'!AF83</f>
        <v>0</v>
      </c>
      <c r="AG75" s="230">
        <f>'Ethylene Recycling HC'!AG83</f>
        <v>0</v>
      </c>
      <c r="AH75" s="245"/>
      <c r="AI75" s="133"/>
      <c r="AJ75" s="211"/>
      <c r="AL75" s="108"/>
      <c r="AM75" s="2"/>
      <c r="AN75" s="2"/>
      <c r="AO75" s="2"/>
      <c r="BC75" s="1"/>
      <c r="BD75" s="2"/>
      <c r="BE75" s="2"/>
      <c r="BF75" s="2"/>
      <c r="BG75" s="2"/>
      <c r="BH75" s="2"/>
      <c r="BI75" s="2"/>
      <c r="BJ75" s="2"/>
      <c r="BK75" s="2"/>
    </row>
    <row r="76" spans="1:63" outlineLevel="1" x14ac:dyDescent="0.2">
      <c r="A76" s="4" t="s">
        <v>480</v>
      </c>
      <c r="C76" s="230">
        <f>'Ethylene Recycling HC'!C84</f>
        <v>0</v>
      </c>
      <c r="D76" s="230">
        <f>'Ethylene Recycling HC'!D84</f>
        <v>0</v>
      </c>
      <c r="E76" s="230">
        <f>'Ethylene Recycling HC'!E84</f>
        <v>0</v>
      </c>
      <c r="F76" s="230">
        <f>'Ethylene Recycling HC'!F84</f>
        <v>0</v>
      </c>
      <c r="G76" s="230">
        <f>'Ethylene Recycling HC'!G84</f>
        <v>0</v>
      </c>
      <c r="H76" s="230">
        <f>'Ethylene Recycling HC'!H84</f>
        <v>0</v>
      </c>
      <c r="I76" s="230">
        <f>'Ethylene Recycling HC'!I84</f>
        <v>0</v>
      </c>
      <c r="J76" s="230">
        <f>'Ethylene Recycling HC'!J84</f>
        <v>0</v>
      </c>
      <c r="K76" s="230">
        <f>'Ethylene Recycling HC'!K84</f>
        <v>0</v>
      </c>
      <c r="L76" s="230">
        <f>'Ethylene Recycling HC'!L84</f>
        <v>0</v>
      </c>
      <c r="M76" s="230">
        <f>'Ethylene Recycling HC'!M84</f>
        <v>0</v>
      </c>
      <c r="N76" s="230">
        <f>'Ethylene Recycling HC'!N84</f>
        <v>0</v>
      </c>
      <c r="O76" s="230">
        <f>'Ethylene Recycling HC'!O84</f>
        <v>0</v>
      </c>
      <c r="P76" s="230">
        <f>'Ethylene Recycling HC'!P84</f>
        <v>0</v>
      </c>
      <c r="Q76" s="230">
        <f>'Ethylene Recycling HC'!Q84</f>
        <v>0</v>
      </c>
      <c r="R76" s="230">
        <f>'Ethylene Recycling HC'!R84</f>
        <v>0</v>
      </c>
      <c r="S76" s="230">
        <f>'Ethylene Recycling HC'!S84</f>
        <v>0</v>
      </c>
      <c r="T76" s="230">
        <f>'Ethylene Recycling HC'!T84</f>
        <v>0</v>
      </c>
      <c r="U76" s="230">
        <f>'Ethylene Recycling HC'!U84</f>
        <v>0</v>
      </c>
      <c r="V76" s="230">
        <f>'Ethylene Recycling HC'!V84</f>
        <v>0</v>
      </c>
      <c r="W76" s="230">
        <f>'Ethylene Recycling HC'!W84</f>
        <v>0</v>
      </c>
      <c r="X76" s="230">
        <f>'Ethylene Recycling HC'!X84</f>
        <v>0</v>
      </c>
      <c r="Y76" s="230">
        <f>'Ethylene Recycling HC'!Y84</f>
        <v>0</v>
      </c>
      <c r="Z76" s="230">
        <f>'Ethylene Recycling HC'!Z84</f>
        <v>0</v>
      </c>
      <c r="AA76" s="230">
        <f>'Ethylene Recycling HC'!AA84</f>
        <v>0</v>
      </c>
      <c r="AB76" s="230">
        <f>'Ethylene Recycling HC'!AB84</f>
        <v>0</v>
      </c>
      <c r="AC76" s="230">
        <f>'Ethylene Recycling HC'!AC84</f>
        <v>0</v>
      </c>
      <c r="AD76" s="230">
        <f>'Ethylene Recycling HC'!AD84</f>
        <v>0</v>
      </c>
      <c r="AE76" s="230">
        <f>'Ethylene Recycling HC'!AE84</f>
        <v>0</v>
      </c>
      <c r="AF76" s="230">
        <f>'Ethylene Recycling HC'!AF84</f>
        <v>0</v>
      </c>
      <c r="AG76" s="230">
        <f>'Ethylene Recycling HC'!AG84</f>
        <v>0</v>
      </c>
      <c r="AH76" s="245"/>
      <c r="AI76" s="133"/>
      <c r="AJ76" s="211"/>
      <c r="AL76" s="108"/>
      <c r="AM76" s="2"/>
      <c r="AN76" s="2"/>
      <c r="AO76" s="2"/>
      <c r="BC76" s="1"/>
      <c r="BD76" s="2"/>
      <c r="BE76" s="2"/>
      <c r="BF76" s="2"/>
      <c r="BG76" s="2"/>
      <c r="BH76" s="2"/>
      <c r="BI76" s="2"/>
      <c r="BJ76" s="2"/>
      <c r="BK76" s="2"/>
    </row>
    <row r="77" spans="1:63" outlineLevel="1" x14ac:dyDescent="0.2">
      <c r="A77" s="4" t="s">
        <v>474</v>
      </c>
      <c r="C77" s="230">
        <f>'Ethylene Recycling HC'!C85</f>
        <v>1.205373589929996</v>
      </c>
      <c r="D77" s="230">
        <f>'Ethylene Recycling HC'!D85</f>
        <v>1.2451208454460503</v>
      </c>
      <c r="E77" s="230">
        <f>'Ethylene Recycling HC'!E85</f>
        <v>1.2806590856050846</v>
      </c>
      <c r="F77" s="230">
        <f>'Ethylene Recycling HC'!F85</f>
        <v>1.3116299143659205</v>
      </c>
      <c r="G77" s="230">
        <f>'Ethylene Recycling HC'!G85</f>
        <v>1.3377193554728866</v>
      </c>
      <c r="H77" s="230">
        <f>'Ethylene Recycling HC'!H85</f>
        <v>1.3586629671274666</v>
      </c>
      <c r="I77" s="230">
        <f>'Ethylene Recycling HC'!I85</f>
        <v>1.3772150533619407</v>
      </c>
      <c r="J77" s="230">
        <f>'Ethylene Recycling HC'!J85</f>
        <v>1.3933036168358774</v>
      </c>
      <c r="K77" s="230">
        <f>'Ethylene Recycling HC'!K85</f>
        <v>1.4068636340228113</v>
      </c>
      <c r="L77" s="230">
        <f>'Ethylene Recycling HC'!L85</f>
        <v>1.417837443881526</v>
      </c>
      <c r="M77" s="230">
        <f>'Ethylene Recycling HC'!M85</f>
        <v>1.4261751145598678</v>
      </c>
      <c r="N77" s="230">
        <f>'Ethylene Recycling HC'!N85</f>
        <v>1.4587330425820906</v>
      </c>
      <c r="O77" s="230">
        <f>'Ethylene Recycling HC'!O85</f>
        <v>1.4888675997027387</v>
      </c>
      <c r="P77" s="230">
        <f>'Ethylene Recycling HC'!P85</f>
        <v>1.5033800173775074</v>
      </c>
      <c r="Q77" s="230">
        <f>'Ethylene Recycling HC'!Q85</f>
        <v>1.5089905502463543</v>
      </c>
      <c r="R77" s="230">
        <f>'Ethylene Recycling HC'!R85</f>
        <v>1.5058180388616633</v>
      </c>
      <c r="S77" s="230">
        <f>'Ethylene Recycling HC'!S85</f>
        <v>1.496766945012703</v>
      </c>
      <c r="T77" s="230">
        <f>'Ethylene Recycling HC'!T85</f>
        <v>1.4820522108322152</v>
      </c>
      <c r="U77" s="230">
        <f>'Ethylene Recycling HC'!U85</f>
        <v>1.4619019914845464</v>
      </c>
      <c r="V77" s="230">
        <f>'Ethylene Recycling HC'!V85</f>
        <v>1.4365576075479041</v>
      </c>
      <c r="W77" s="230">
        <f>'Ethylene Recycling HC'!W85</f>
        <v>1.4062734808461506</v>
      </c>
      <c r="X77" s="230">
        <f>'Ethylene Recycling HC'!X85</f>
        <v>1.3737550641004828</v>
      </c>
      <c r="Y77" s="230">
        <f>'Ethylene Recycling HC'!Y85</f>
        <v>1.3579811084013624</v>
      </c>
      <c r="Z77" s="230">
        <f>'Ethylene Recycling HC'!Z85</f>
        <v>1.3346179047704045</v>
      </c>
      <c r="AA77" s="230">
        <f>'Ethylene Recycling HC'!AA85</f>
        <v>1.304113810406486</v>
      </c>
      <c r="AB77" s="230">
        <f>'Ethylene Recycling HC'!AB85</f>
        <v>1.2669373502358658</v>
      </c>
      <c r="AC77" s="230">
        <f>'Ethylene Recycling HC'!AC85</f>
        <v>1.2235886103757063</v>
      </c>
      <c r="AD77" s="230">
        <f>'Ethylene Recycling HC'!AD85</f>
        <v>1.1745745274411605</v>
      </c>
      <c r="AE77" s="230">
        <f>'Ethylene Recycling HC'!AE85</f>
        <v>1.1204213143745652</v>
      </c>
      <c r="AF77" s="230">
        <f>'Ethylene Recycling HC'!AF85</f>
        <v>1.0616742634362233</v>
      </c>
      <c r="AG77" s="230">
        <f>'Ethylene Recycling HC'!AG85</f>
        <v>0.99889752735144222</v>
      </c>
      <c r="AH77" s="245"/>
      <c r="AI77" s="133"/>
      <c r="AJ77" s="211"/>
      <c r="AL77" s="108"/>
      <c r="AM77" s="2"/>
      <c r="AN77" s="2"/>
      <c r="AO77" s="2"/>
      <c r="BC77" s="1"/>
      <c r="BD77" s="2"/>
      <c r="BE77" s="2"/>
      <c r="BF77" s="2"/>
      <c r="BG77" s="2"/>
      <c r="BH77" s="2"/>
      <c r="BI77" s="2"/>
      <c r="BJ77" s="2"/>
      <c r="BK77" s="2"/>
    </row>
    <row r="78" spans="1:63" outlineLevel="1" x14ac:dyDescent="0.2">
      <c r="A78" s="4" t="s">
        <v>248</v>
      </c>
      <c r="C78" s="230">
        <f>'Ethylene Recycling HC'!C86</f>
        <v>0</v>
      </c>
      <c r="D78" s="230">
        <f>'Ethylene Recycling HC'!D86</f>
        <v>4.1332844488013288E-5</v>
      </c>
      <c r="E78" s="230">
        <f>'Ethylene Recycling HC'!E86</f>
        <v>8.5025133136396107E-5</v>
      </c>
      <c r="F78" s="230">
        <f>'Ethylene Recycling HC'!F86</f>
        <v>1.3062200863778355E-4</v>
      </c>
      <c r="G78" s="230">
        <f>'Ethylene Recycling HC'!G86</f>
        <v>1.7762692285039545E-4</v>
      </c>
      <c r="H78" s="230">
        <f>'Ethylene Recycling HC'!H86</f>
        <v>2.2550985849001886E-4</v>
      </c>
      <c r="I78" s="230">
        <f>'Ethylene Recycling HC'!I86</f>
        <v>2.7430694378954471E-4</v>
      </c>
      <c r="J78" s="230">
        <f>'Ethylene Recycling HC'!J86</f>
        <v>3.2376328250325915E-4</v>
      </c>
      <c r="K78" s="230">
        <f>'Ethylene Recycling HC'!K86</f>
        <v>3.7361627034731491E-4</v>
      </c>
      <c r="L78" s="230">
        <f>'Ethylene Recycling HC'!L86</f>
        <v>4.2359686862859558E-4</v>
      </c>
      <c r="M78" s="230">
        <f>'Ethylene Recycling HC'!M86</f>
        <v>4.7343094799493261E-4</v>
      </c>
      <c r="N78" s="230">
        <f>'Ethylene Recycling HC'!N86</f>
        <v>5.3266271174401381E-4</v>
      </c>
      <c r="O78" s="230">
        <f>'Ethylene Recycling HC'!O86</f>
        <v>5.9309070139012155E-4</v>
      </c>
      <c r="P78" s="230">
        <f>'Ethylene Recycling HC'!P86</f>
        <v>6.487777029795678E-4</v>
      </c>
      <c r="Q78" s="230">
        <f>'Ethylene Recycling HC'!Q86</f>
        <v>7.0129112981654981E-4</v>
      </c>
      <c r="R78" s="230">
        <f>'Ethylene Recycling HC'!R86</f>
        <v>7.4980364020671756E-4</v>
      </c>
      <c r="S78" s="230">
        <f>'Ethylene Recycling HC'!S86</f>
        <v>7.9498320953219452E-4</v>
      </c>
      <c r="T78" s="230">
        <f>'Ethylene Recycling HC'!T86</f>
        <v>8.36365702347141E-4</v>
      </c>
      <c r="U78" s="230">
        <f>'Ethylene Recycling HC'!U86</f>
        <v>8.7352341907328895E-4</v>
      </c>
      <c r="V78" s="230">
        <f>'Ethylene Recycling HC'!V86</f>
        <v>9.060672590554831E-4</v>
      </c>
      <c r="W78" s="230">
        <f>'Ethylene Recycling HC'!W86</f>
        <v>9.3364886314481932E-4</v>
      </c>
      <c r="X78" s="230">
        <f>'Ethylene Recycling HC'!X86</f>
        <v>9.5766230030759755E-4</v>
      </c>
      <c r="Y78" s="230">
        <f>'Ethylene Recycling HC'!Y86</f>
        <v>9.9174541000020483E-4</v>
      </c>
      <c r="Z78" s="230">
        <f>'Ethylene Recycling HC'!Z86</f>
        <v>1.0189868346856927E-3</v>
      </c>
      <c r="AA78" s="230">
        <f>'Ethylene Recycling HC'!AA86</f>
        <v>1.0389879861190502E-3</v>
      </c>
      <c r="AB78" s="230">
        <f>'Ethylene Recycling HC'!AB86</f>
        <v>1.0514265475692658E-3</v>
      </c>
      <c r="AC78" s="230">
        <f>'Ethylene Recycling HC'!AC86</f>
        <v>1.0560696548518439E-3</v>
      </c>
      <c r="AD78" s="230">
        <f>'Ethylene Recycling HC'!AD86</f>
        <v>1.0527569869354413E-3</v>
      </c>
      <c r="AE78" s="230">
        <f>'Ethylene Recycling HC'!AE86</f>
        <v>1.0414134525892208E-3</v>
      </c>
      <c r="AF78" s="230">
        <f>'Ethylene Recycling HC'!AF86</f>
        <v>1.0220522001963923E-3</v>
      </c>
      <c r="AG78" s="230">
        <f>'Ethylene Recycling HC'!AG86</f>
        <v>9.947775665747722E-4</v>
      </c>
      <c r="AH78" s="245"/>
      <c r="AI78" s="133"/>
      <c r="AJ78" s="211"/>
      <c r="AL78" s="108"/>
      <c r="AM78" s="2"/>
      <c r="AN78" s="2"/>
      <c r="AO78" s="2"/>
      <c r="BC78" s="1"/>
      <c r="BD78" s="2"/>
      <c r="BE78" s="2"/>
      <c r="BF78" s="2"/>
      <c r="BG78" s="2"/>
      <c r="BH78" s="2"/>
      <c r="BI78" s="2"/>
      <c r="BJ78" s="2"/>
      <c r="BK78" s="2"/>
    </row>
    <row r="79" spans="1:63" s="1" customFormat="1" outlineLevel="1" x14ac:dyDescent="0.2">
      <c r="A79" s="1" t="s">
        <v>1327</v>
      </c>
      <c r="B79" s="65"/>
      <c r="C79" s="300">
        <f>'Ethylene Recycling HC'!C87</f>
        <v>1.4455793898150646</v>
      </c>
      <c r="D79" s="300">
        <f>'Ethylene Recycling HC'!D87</f>
        <v>1.5219211967902431</v>
      </c>
      <c r="E79" s="300">
        <f>'Ethylene Recycling HC'!E87</f>
        <v>1.5960068402999779</v>
      </c>
      <c r="F79" s="300">
        <f>'Ethylene Recycling HC'!F87</f>
        <v>1.6672455929276571</v>
      </c>
      <c r="G79" s="300">
        <f>'Ethylene Recycling HC'!G87</f>
        <v>1.7350561940179574</v>
      </c>
      <c r="H79" s="300">
        <f>'Ethylene Recycling HC'!H87</f>
        <v>1.7988746060587635</v>
      </c>
      <c r="I79" s="300">
        <f>'Ethylene Recycling HC'!I87</f>
        <v>1.862170596817682</v>
      </c>
      <c r="J79" s="300">
        <f>'Ethylene Recycling HC'!J87</f>
        <v>1.9248106900426496</v>
      </c>
      <c r="K79" s="300">
        <f>'Ethylene Recycling HC'!K87</f>
        <v>1.9866594130910793</v>
      </c>
      <c r="L79" s="300">
        <f>'Ethylene Recycling HC'!L87</f>
        <v>2.0475796317666926</v>
      </c>
      <c r="M79" s="300">
        <f>'Ethylene Recycling HC'!M87</f>
        <v>2.1074328993331664</v>
      </c>
      <c r="N79" s="300">
        <f>'Ethylene Recycling HC'!N87</f>
        <v>2.2067715043004177</v>
      </c>
      <c r="O79" s="300">
        <f>'Ethylene Recycling HC'!O87</f>
        <v>2.3071914689078219</v>
      </c>
      <c r="P79" s="300">
        <f>'Ethylene Recycling HC'!P87</f>
        <v>2.3878102075585725</v>
      </c>
      <c r="Q79" s="300">
        <f>'Ethylene Recycling HC'!Q87</f>
        <v>2.4580544451939077</v>
      </c>
      <c r="R79" s="300">
        <f>'Ethylene Recycling HC'!R87</f>
        <v>2.5173054699142532</v>
      </c>
      <c r="S79" s="300">
        <f>'Ethylene Recycling HC'!S87</f>
        <v>2.5696601956953362</v>
      </c>
      <c r="T79" s="300">
        <f>'Ethylene Recycling HC'!T87</f>
        <v>2.6149244026452312</v>
      </c>
      <c r="U79" s="300">
        <f>'Ethylene Recycling HC'!U87</f>
        <v>2.6529057007528474</v>
      </c>
      <c r="V79" s="300">
        <f>'Ethylene Recycling HC'!V87</f>
        <v>2.6834137094313526</v>
      </c>
      <c r="W79" s="300">
        <f>'Ethylene Recycling HC'!W87</f>
        <v>2.7062602377796834</v>
      </c>
      <c r="X79" s="300">
        <f>'Ethylene Recycling HC'!X87</f>
        <v>2.7260974853290962</v>
      </c>
      <c r="Y79" s="300">
        <f>'Ethylene Recycling HC'!Y87</f>
        <v>2.781508512604971</v>
      </c>
      <c r="Z79" s="300">
        <f>'Ethylene Recycling HC'!Z87</f>
        <v>2.8245424916512518</v>
      </c>
      <c r="AA79" s="300">
        <f>'Ethylene Recycling HC'!AA87</f>
        <v>2.8549039578268274</v>
      </c>
      <c r="AB79" s="300">
        <f>'Ethylene Recycling HC'!AB87</f>
        <v>2.8723010759348502</v>
      </c>
      <c r="AC79" s="300">
        <f>'Ethylene Recycling HC'!AC87</f>
        <v>2.8764730947488544</v>
      </c>
      <c r="AD79" s="300">
        <f>'Ethylene Recycling HC'!AD87</f>
        <v>2.8671359882210576</v>
      </c>
      <c r="AE79" s="300">
        <f>'Ethylene Recycling HC'!AE87</f>
        <v>2.8440093558093005</v>
      </c>
      <c r="AF79" s="300">
        <f>'Ethylene Recycling HC'!AF87</f>
        <v>2.8068166545244018</v>
      </c>
      <c r="AG79" s="300">
        <f>'Ethylene Recycling HC'!AG87</f>
        <v>2.7552854310570467</v>
      </c>
      <c r="AH79" s="422"/>
      <c r="AI79" s="423"/>
      <c r="AJ79" s="424"/>
      <c r="AL79" s="221"/>
      <c r="AM79" s="124"/>
      <c r="AN79" s="124"/>
      <c r="AO79" s="124"/>
      <c r="BD79" s="124"/>
      <c r="BE79" s="124"/>
      <c r="BF79" s="124"/>
      <c r="BG79" s="124"/>
      <c r="BH79" s="124"/>
      <c r="BI79" s="124"/>
      <c r="BJ79" s="124"/>
      <c r="BK79" s="124"/>
    </row>
    <row r="80" spans="1:63" outlineLevel="1" x14ac:dyDescent="0.2">
      <c r="A80" s="4" t="s">
        <v>258</v>
      </c>
      <c r="C80" s="230">
        <f>'Ethylene Recycling HC'!C88</f>
        <v>1.4455793898150646</v>
      </c>
      <c r="D80" s="230">
        <f>'Ethylene Recycling HC'!D88</f>
        <v>1.5219211967902431</v>
      </c>
      <c r="E80" s="230">
        <f>'Ethylene Recycling HC'!E88</f>
        <v>1.5960068402999779</v>
      </c>
      <c r="F80" s="230">
        <f>'Ethylene Recycling HC'!F88</f>
        <v>1.6672455929276571</v>
      </c>
      <c r="G80" s="230">
        <f>'Ethylene Recycling HC'!G88</f>
        <v>1.7350561940179574</v>
      </c>
      <c r="H80" s="230">
        <f>'Ethylene Recycling HC'!H88</f>
        <v>1.7988746060587635</v>
      </c>
      <c r="I80" s="230">
        <f>'Ethylene Recycling HC'!I88</f>
        <v>1.862170596817682</v>
      </c>
      <c r="J80" s="230">
        <f>'Ethylene Recycling HC'!J88</f>
        <v>1.9248106900426496</v>
      </c>
      <c r="K80" s="230">
        <f>'Ethylene Recycling HC'!K88</f>
        <v>1.9866594130910793</v>
      </c>
      <c r="L80" s="230">
        <f>'Ethylene Recycling HC'!L88</f>
        <v>2.0475796317666926</v>
      </c>
      <c r="M80" s="230">
        <f>'Ethylene Recycling HC'!M88</f>
        <v>2.1074328993331664</v>
      </c>
      <c r="N80" s="230">
        <f>'Ethylene Recycling HC'!N88</f>
        <v>2.2067715043004177</v>
      </c>
      <c r="O80" s="230">
        <f>'Ethylene Recycling HC'!O88</f>
        <v>2.3071914689078219</v>
      </c>
      <c r="P80" s="230">
        <f>'Ethylene Recycling HC'!P88</f>
        <v>2.3878102075585725</v>
      </c>
      <c r="Q80" s="230">
        <f>'Ethylene Recycling HC'!Q88</f>
        <v>2.4580544451939077</v>
      </c>
      <c r="R80" s="230">
        <f>'Ethylene Recycling HC'!R88</f>
        <v>2.5173054699142532</v>
      </c>
      <c r="S80" s="230">
        <f>'Ethylene Recycling HC'!S88</f>
        <v>2.5696601956953362</v>
      </c>
      <c r="T80" s="230">
        <f>'Ethylene Recycling HC'!T88</f>
        <v>2.6149244026452312</v>
      </c>
      <c r="U80" s="230">
        <f>'Ethylene Recycling HC'!U88</f>
        <v>2.6529057007528474</v>
      </c>
      <c r="V80" s="230">
        <f>'Ethylene Recycling HC'!V88</f>
        <v>2.6834137094313526</v>
      </c>
      <c r="W80" s="230">
        <f>'Ethylene Recycling HC'!W88</f>
        <v>2.7062602377796834</v>
      </c>
      <c r="X80" s="230">
        <f>'Ethylene Recycling HC'!X88</f>
        <v>2.7260974853290962</v>
      </c>
      <c r="Y80" s="230">
        <f>'Ethylene Recycling HC'!Y88</f>
        <v>2.781508512604971</v>
      </c>
      <c r="Z80" s="230">
        <f>'Ethylene Recycling HC'!Z88</f>
        <v>2.8245424916512518</v>
      </c>
      <c r="AA80" s="230">
        <f>'Ethylene Recycling HC'!AA88</f>
        <v>2.8549039578268274</v>
      </c>
      <c r="AB80" s="230">
        <f>'Ethylene Recycling HC'!AB88</f>
        <v>2.8723010759348502</v>
      </c>
      <c r="AC80" s="230">
        <f>'Ethylene Recycling HC'!AC88</f>
        <v>2.8764730947488544</v>
      </c>
      <c r="AD80" s="230">
        <f>'Ethylene Recycling HC'!AD88</f>
        <v>2.8671359882210576</v>
      </c>
      <c r="AE80" s="230">
        <f>'Ethylene Recycling HC'!AE88</f>
        <v>2.8440093558093005</v>
      </c>
      <c r="AF80" s="230">
        <f>'Ethylene Recycling HC'!AF88</f>
        <v>2.8068166545244018</v>
      </c>
      <c r="AG80" s="230">
        <f>'Ethylene Recycling HC'!AG88</f>
        <v>2.7552854310570467</v>
      </c>
      <c r="AH80" s="245"/>
      <c r="AI80" s="133"/>
      <c r="AJ80" s="211"/>
      <c r="AL80" s="108"/>
      <c r="AM80" s="2"/>
      <c r="AN80" s="2"/>
      <c r="AO80" s="2"/>
      <c r="BC80" s="1"/>
      <c r="BD80" s="2"/>
      <c r="BE80" s="2"/>
      <c r="BF80" s="2"/>
      <c r="BG80" s="2"/>
      <c r="BH80" s="2"/>
      <c r="BI80" s="2"/>
      <c r="BJ80" s="2"/>
      <c r="BK80" s="2"/>
    </row>
    <row r="81" spans="1:63" outlineLevel="1" x14ac:dyDescent="0.2">
      <c r="A81" s="4" t="s">
        <v>478</v>
      </c>
      <c r="C81" s="230">
        <f>'Ethylene Recycling HC'!C89</f>
        <v>0</v>
      </c>
      <c r="D81" s="230">
        <f>'Ethylene Recycling HC'!D89</f>
        <v>0</v>
      </c>
      <c r="E81" s="230">
        <f>'Ethylene Recycling HC'!E89</f>
        <v>0</v>
      </c>
      <c r="F81" s="230">
        <f>'Ethylene Recycling HC'!F89</f>
        <v>0</v>
      </c>
      <c r="G81" s="230">
        <f>'Ethylene Recycling HC'!G89</f>
        <v>0</v>
      </c>
      <c r="H81" s="230">
        <f>'Ethylene Recycling HC'!H89</f>
        <v>0</v>
      </c>
      <c r="I81" s="230">
        <f>'Ethylene Recycling HC'!I89</f>
        <v>0</v>
      </c>
      <c r="J81" s="230">
        <f>'Ethylene Recycling HC'!J89</f>
        <v>0</v>
      </c>
      <c r="K81" s="230">
        <f>'Ethylene Recycling HC'!K89</f>
        <v>0</v>
      </c>
      <c r="L81" s="230">
        <f>'Ethylene Recycling HC'!L89</f>
        <v>0</v>
      </c>
      <c r="M81" s="230">
        <f>'Ethylene Recycling HC'!M89</f>
        <v>0</v>
      </c>
      <c r="N81" s="230">
        <f>'Ethylene Recycling HC'!N89</f>
        <v>0</v>
      </c>
      <c r="O81" s="230">
        <f>'Ethylene Recycling HC'!O89</f>
        <v>0</v>
      </c>
      <c r="P81" s="230">
        <f>'Ethylene Recycling HC'!P89</f>
        <v>0</v>
      </c>
      <c r="Q81" s="230">
        <f>'Ethylene Recycling HC'!Q89</f>
        <v>0</v>
      </c>
      <c r="R81" s="230">
        <f>'Ethylene Recycling HC'!R89</f>
        <v>0</v>
      </c>
      <c r="S81" s="230">
        <f>'Ethylene Recycling HC'!S89</f>
        <v>0</v>
      </c>
      <c r="T81" s="230">
        <f>'Ethylene Recycling HC'!T89</f>
        <v>0</v>
      </c>
      <c r="U81" s="230">
        <f>'Ethylene Recycling HC'!U89</f>
        <v>0</v>
      </c>
      <c r="V81" s="230">
        <f>'Ethylene Recycling HC'!V89</f>
        <v>0</v>
      </c>
      <c r="W81" s="230">
        <f>'Ethylene Recycling HC'!W89</f>
        <v>0</v>
      </c>
      <c r="X81" s="230">
        <f>'Ethylene Recycling HC'!X89</f>
        <v>0</v>
      </c>
      <c r="Y81" s="230">
        <f>'Ethylene Recycling HC'!Y89</f>
        <v>0</v>
      </c>
      <c r="Z81" s="230">
        <f>'Ethylene Recycling HC'!Z89</f>
        <v>0</v>
      </c>
      <c r="AA81" s="230">
        <f>'Ethylene Recycling HC'!AA89</f>
        <v>0</v>
      </c>
      <c r="AB81" s="230">
        <f>'Ethylene Recycling HC'!AB89</f>
        <v>0</v>
      </c>
      <c r="AC81" s="230">
        <f>'Ethylene Recycling HC'!AC89</f>
        <v>0</v>
      </c>
      <c r="AD81" s="230">
        <f>'Ethylene Recycling HC'!AD89</f>
        <v>0</v>
      </c>
      <c r="AE81" s="230">
        <f>'Ethylene Recycling HC'!AE89</f>
        <v>0</v>
      </c>
      <c r="AF81" s="230">
        <f>'Ethylene Recycling HC'!AF89</f>
        <v>0</v>
      </c>
      <c r="AG81" s="230">
        <f>'Ethylene Recycling HC'!AG89</f>
        <v>0</v>
      </c>
      <c r="AH81" s="245"/>
      <c r="AI81" s="133"/>
      <c r="AJ81" s="211"/>
      <c r="AL81" s="108"/>
      <c r="AM81" s="2"/>
      <c r="AN81" s="2"/>
      <c r="AO81" s="2"/>
      <c r="BC81" s="1"/>
      <c r="BD81" s="2"/>
      <c r="BE81" s="2"/>
      <c r="BF81" s="2"/>
      <c r="BG81" s="2"/>
      <c r="BH81" s="2"/>
      <c r="BI81" s="2"/>
      <c r="BJ81" s="2"/>
      <c r="BK81" s="2"/>
    </row>
    <row r="82" spans="1:63" outlineLevel="1" x14ac:dyDescent="0.2">
      <c r="A82" s="4" t="s">
        <v>480</v>
      </c>
      <c r="C82" s="230">
        <f>'Ethylene Recycling HC'!C90</f>
        <v>0</v>
      </c>
      <c r="D82" s="230">
        <f>'Ethylene Recycling HC'!D90</f>
        <v>0</v>
      </c>
      <c r="E82" s="230">
        <f>'Ethylene Recycling HC'!E90</f>
        <v>0</v>
      </c>
      <c r="F82" s="230">
        <f>'Ethylene Recycling HC'!F90</f>
        <v>0</v>
      </c>
      <c r="G82" s="230">
        <f>'Ethylene Recycling HC'!G90</f>
        <v>0</v>
      </c>
      <c r="H82" s="230">
        <f>'Ethylene Recycling HC'!H90</f>
        <v>0</v>
      </c>
      <c r="I82" s="230">
        <f>'Ethylene Recycling HC'!I90</f>
        <v>0</v>
      </c>
      <c r="J82" s="230">
        <f>'Ethylene Recycling HC'!J90</f>
        <v>0</v>
      </c>
      <c r="K82" s="230">
        <f>'Ethylene Recycling HC'!K90</f>
        <v>0</v>
      </c>
      <c r="L82" s="230">
        <f>'Ethylene Recycling HC'!L90</f>
        <v>0</v>
      </c>
      <c r="M82" s="230">
        <f>'Ethylene Recycling HC'!M90</f>
        <v>0</v>
      </c>
      <c r="N82" s="230">
        <f>'Ethylene Recycling HC'!N90</f>
        <v>0</v>
      </c>
      <c r="O82" s="230">
        <f>'Ethylene Recycling HC'!O90</f>
        <v>0</v>
      </c>
      <c r="P82" s="230">
        <f>'Ethylene Recycling HC'!P90</f>
        <v>0</v>
      </c>
      <c r="Q82" s="230">
        <f>'Ethylene Recycling HC'!Q90</f>
        <v>0</v>
      </c>
      <c r="R82" s="230">
        <f>'Ethylene Recycling HC'!R90</f>
        <v>0</v>
      </c>
      <c r="S82" s="230">
        <f>'Ethylene Recycling HC'!S90</f>
        <v>0</v>
      </c>
      <c r="T82" s="230">
        <f>'Ethylene Recycling HC'!T90</f>
        <v>0</v>
      </c>
      <c r="U82" s="230">
        <f>'Ethylene Recycling HC'!U90</f>
        <v>0</v>
      </c>
      <c r="V82" s="230">
        <f>'Ethylene Recycling HC'!V90</f>
        <v>0</v>
      </c>
      <c r="W82" s="230">
        <f>'Ethylene Recycling HC'!W90</f>
        <v>0</v>
      </c>
      <c r="X82" s="230">
        <f>'Ethylene Recycling HC'!X90</f>
        <v>0</v>
      </c>
      <c r="Y82" s="230">
        <f>'Ethylene Recycling HC'!Y90</f>
        <v>0</v>
      </c>
      <c r="Z82" s="230">
        <f>'Ethylene Recycling HC'!Z90</f>
        <v>0</v>
      </c>
      <c r="AA82" s="230">
        <f>'Ethylene Recycling HC'!AA90</f>
        <v>0</v>
      </c>
      <c r="AB82" s="230">
        <f>'Ethylene Recycling HC'!AB90</f>
        <v>0</v>
      </c>
      <c r="AC82" s="230">
        <f>'Ethylene Recycling HC'!AC90</f>
        <v>0</v>
      </c>
      <c r="AD82" s="230">
        <f>'Ethylene Recycling HC'!AD90</f>
        <v>0</v>
      </c>
      <c r="AE82" s="230">
        <f>'Ethylene Recycling HC'!AE90</f>
        <v>0</v>
      </c>
      <c r="AF82" s="230">
        <f>'Ethylene Recycling HC'!AF90</f>
        <v>0</v>
      </c>
      <c r="AG82" s="230">
        <f>'Ethylene Recycling HC'!AG90</f>
        <v>0</v>
      </c>
      <c r="AH82" s="245"/>
      <c r="AI82" s="133"/>
      <c r="AJ82" s="211"/>
      <c r="AL82" s="108"/>
      <c r="AM82" s="2"/>
      <c r="AN82" s="2"/>
      <c r="AO82" s="2"/>
      <c r="BC82" s="1"/>
      <c r="BD82" s="2"/>
      <c r="BE82" s="2"/>
      <c r="BF82" s="2"/>
      <c r="BG82" s="2"/>
      <c r="BH82" s="2"/>
      <c r="BI82" s="2"/>
      <c r="BJ82" s="2"/>
      <c r="BK82" s="2"/>
    </row>
    <row r="83" spans="1:63" outlineLevel="1" x14ac:dyDescent="0.2">
      <c r="A83" s="4" t="s">
        <v>474</v>
      </c>
      <c r="C83" s="230">
        <f>'Ethylene Recycling HC'!C91</f>
        <v>0</v>
      </c>
      <c r="D83" s="230">
        <f>'Ethylene Recycling HC'!D91</f>
        <v>0</v>
      </c>
      <c r="E83" s="230">
        <f>'Ethylene Recycling HC'!E91</f>
        <v>0</v>
      </c>
      <c r="F83" s="230">
        <f>'Ethylene Recycling HC'!F91</f>
        <v>0</v>
      </c>
      <c r="G83" s="230">
        <f>'Ethylene Recycling HC'!G91</f>
        <v>0</v>
      </c>
      <c r="H83" s="230">
        <f>'Ethylene Recycling HC'!H91</f>
        <v>0</v>
      </c>
      <c r="I83" s="230">
        <f>'Ethylene Recycling HC'!I91</f>
        <v>0</v>
      </c>
      <c r="J83" s="230">
        <f>'Ethylene Recycling HC'!J91</f>
        <v>0</v>
      </c>
      <c r="K83" s="230">
        <f>'Ethylene Recycling HC'!K91</f>
        <v>0</v>
      </c>
      <c r="L83" s="230">
        <f>'Ethylene Recycling HC'!L91</f>
        <v>0</v>
      </c>
      <c r="M83" s="230">
        <f>'Ethylene Recycling HC'!M91</f>
        <v>0</v>
      </c>
      <c r="N83" s="230">
        <f>'Ethylene Recycling HC'!N91</f>
        <v>0</v>
      </c>
      <c r="O83" s="230">
        <f>'Ethylene Recycling HC'!O91</f>
        <v>0</v>
      </c>
      <c r="P83" s="230">
        <f>'Ethylene Recycling HC'!P91</f>
        <v>0</v>
      </c>
      <c r="Q83" s="230">
        <f>'Ethylene Recycling HC'!Q91</f>
        <v>0</v>
      </c>
      <c r="R83" s="230">
        <f>'Ethylene Recycling HC'!R91</f>
        <v>0</v>
      </c>
      <c r="S83" s="230">
        <f>'Ethylene Recycling HC'!S91</f>
        <v>0</v>
      </c>
      <c r="T83" s="230">
        <f>'Ethylene Recycling HC'!T91</f>
        <v>0</v>
      </c>
      <c r="U83" s="230">
        <f>'Ethylene Recycling HC'!U91</f>
        <v>0</v>
      </c>
      <c r="V83" s="230">
        <f>'Ethylene Recycling HC'!V91</f>
        <v>0</v>
      </c>
      <c r="W83" s="230">
        <f>'Ethylene Recycling HC'!W91</f>
        <v>0</v>
      </c>
      <c r="X83" s="230">
        <f>'Ethylene Recycling HC'!X91</f>
        <v>0</v>
      </c>
      <c r="Y83" s="230">
        <f>'Ethylene Recycling HC'!Y91</f>
        <v>0</v>
      </c>
      <c r="Z83" s="230">
        <f>'Ethylene Recycling HC'!Z91</f>
        <v>0</v>
      </c>
      <c r="AA83" s="230">
        <f>'Ethylene Recycling HC'!AA91</f>
        <v>0</v>
      </c>
      <c r="AB83" s="230">
        <f>'Ethylene Recycling HC'!AB91</f>
        <v>0</v>
      </c>
      <c r="AC83" s="230">
        <f>'Ethylene Recycling HC'!AC91</f>
        <v>0</v>
      </c>
      <c r="AD83" s="230">
        <f>'Ethylene Recycling HC'!AD91</f>
        <v>0</v>
      </c>
      <c r="AE83" s="230">
        <f>'Ethylene Recycling HC'!AE91</f>
        <v>0</v>
      </c>
      <c r="AF83" s="230">
        <f>'Ethylene Recycling HC'!AF91</f>
        <v>0</v>
      </c>
      <c r="AG83" s="230">
        <f>'Ethylene Recycling HC'!AG91</f>
        <v>0</v>
      </c>
      <c r="AH83" s="245"/>
      <c r="AI83" s="133"/>
      <c r="AJ83" s="211"/>
      <c r="AL83" s="108"/>
      <c r="AM83" s="2"/>
      <c r="AN83" s="2"/>
      <c r="AO83" s="2"/>
      <c r="BC83" s="1"/>
      <c r="BD83" s="2"/>
      <c r="BE83" s="2"/>
      <c r="BF83" s="2"/>
      <c r="BG83" s="2"/>
      <c r="BH83" s="2"/>
      <c r="BI83" s="2"/>
      <c r="BJ83" s="2"/>
      <c r="BK83" s="2"/>
    </row>
    <row r="84" spans="1:63" outlineLevel="1" x14ac:dyDescent="0.2">
      <c r="A84" s="4" t="s">
        <v>248</v>
      </c>
      <c r="C84" s="230">
        <f>'Ethylene Recycling HC'!C92</f>
        <v>0</v>
      </c>
      <c r="D84" s="230">
        <f>'Ethylene Recycling HC'!D92</f>
        <v>0</v>
      </c>
      <c r="E84" s="230">
        <f>'Ethylene Recycling HC'!E92</f>
        <v>0</v>
      </c>
      <c r="F84" s="230">
        <f>'Ethylene Recycling HC'!F92</f>
        <v>0</v>
      </c>
      <c r="G84" s="230">
        <f>'Ethylene Recycling HC'!G92</f>
        <v>0</v>
      </c>
      <c r="H84" s="230">
        <f>'Ethylene Recycling HC'!H92</f>
        <v>0</v>
      </c>
      <c r="I84" s="230">
        <f>'Ethylene Recycling HC'!I92</f>
        <v>0</v>
      </c>
      <c r="J84" s="230">
        <f>'Ethylene Recycling HC'!J92</f>
        <v>0</v>
      </c>
      <c r="K84" s="230">
        <f>'Ethylene Recycling HC'!K92</f>
        <v>0</v>
      </c>
      <c r="L84" s="230">
        <f>'Ethylene Recycling HC'!L92</f>
        <v>0</v>
      </c>
      <c r="M84" s="230">
        <f>'Ethylene Recycling HC'!M92</f>
        <v>0</v>
      </c>
      <c r="N84" s="230">
        <f>'Ethylene Recycling HC'!N92</f>
        <v>0</v>
      </c>
      <c r="O84" s="230">
        <f>'Ethylene Recycling HC'!O92</f>
        <v>0</v>
      </c>
      <c r="P84" s="230">
        <f>'Ethylene Recycling HC'!P92</f>
        <v>0</v>
      </c>
      <c r="Q84" s="230">
        <f>'Ethylene Recycling HC'!Q92</f>
        <v>0</v>
      </c>
      <c r="R84" s="230">
        <f>'Ethylene Recycling HC'!R92</f>
        <v>0</v>
      </c>
      <c r="S84" s="230">
        <f>'Ethylene Recycling HC'!S92</f>
        <v>0</v>
      </c>
      <c r="T84" s="230">
        <f>'Ethylene Recycling HC'!T92</f>
        <v>0</v>
      </c>
      <c r="U84" s="230">
        <f>'Ethylene Recycling HC'!U92</f>
        <v>0</v>
      </c>
      <c r="V84" s="230">
        <f>'Ethylene Recycling HC'!V92</f>
        <v>0</v>
      </c>
      <c r="W84" s="230">
        <f>'Ethylene Recycling HC'!W92</f>
        <v>0</v>
      </c>
      <c r="X84" s="230">
        <f>'Ethylene Recycling HC'!X92</f>
        <v>0</v>
      </c>
      <c r="Y84" s="230">
        <f>'Ethylene Recycling HC'!Y92</f>
        <v>0</v>
      </c>
      <c r="Z84" s="230">
        <f>'Ethylene Recycling HC'!Z92</f>
        <v>0</v>
      </c>
      <c r="AA84" s="230">
        <f>'Ethylene Recycling HC'!AA92</f>
        <v>0</v>
      </c>
      <c r="AB84" s="230">
        <f>'Ethylene Recycling HC'!AB92</f>
        <v>0</v>
      </c>
      <c r="AC84" s="230">
        <f>'Ethylene Recycling HC'!AC92</f>
        <v>0</v>
      </c>
      <c r="AD84" s="230">
        <f>'Ethylene Recycling HC'!AD92</f>
        <v>0</v>
      </c>
      <c r="AE84" s="230">
        <f>'Ethylene Recycling HC'!AE92</f>
        <v>0</v>
      </c>
      <c r="AF84" s="230">
        <f>'Ethylene Recycling HC'!AF92</f>
        <v>0</v>
      </c>
      <c r="AG84" s="230">
        <f>'Ethylene Recycling HC'!AG92</f>
        <v>0</v>
      </c>
      <c r="AH84" s="245"/>
      <c r="AI84" s="133"/>
      <c r="AJ84" s="211"/>
      <c r="AL84" s="108"/>
      <c r="AM84" s="2"/>
      <c r="AN84" s="2"/>
      <c r="AO84" s="2"/>
      <c r="BC84" s="1"/>
      <c r="BD84" s="2"/>
      <c r="BE84" s="2"/>
      <c r="BF84" s="2"/>
      <c r="BG84" s="2"/>
      <c r="BH84" s="2"/>
      <c r="BI84" s="2"/>
      <c r="BJ84" s="2"/>
      <c r="BK84" s="2"/>
    </row>
    <row r="85" spans="1:63" s="1" customFormat="1" outlineLevel="1" x14ac:dyDescent="0.2">
      <c r="A85" s="1" t="s">
        <v>1328</v>
      </c>
      <c r="B85" s="65"/>
      <c r="C85" s="300">
        <f>'Ethylene Recycling HC'!C93</f>
        <v>6.6928339575582632</v>
      </c>
      <c r="D85" s="300">
        <f>'Ethylene Recycling HC'!D93</f>
        <v>7.0701951917512273</v>
      </c>
      <c r="E85" s="300">
        <f>'Ethylene Recycling HC'!E93</f>
        <v>7.4394384480992573</v>
      </c>
      <c r="F85" s="300">
        <f>'Ethylene Recycling HC'!F93</f>
        <v>7.7976945671227051</v>
      </c>
      <c r="G85" s="300">
        <f>'Ethylene Recycling HC'!G93</f>
        <v>8.142101693070174</v>
      </c>
      <c r="H85" s="300">
        <f>'Ethylene Recycling HC'!H93</f>
        <v>8.4698425377662723</v>
      </c>
      <c r="I85" s="300">
        <f>'Ethylene Recycling HC'!I93</f>
        <v>8.7971205563742529</v>
      </c>
      <c r="J85" s="300">
        <f>'Ethylene Recycling HC'!J93</f>
        <v>9.1232784724576259</v>
      </c>
      <c r="K85" s="300">
        <f>'Ethylene Recycling HC'!K93</f>
        <v>9.4476411280933252</v>
      </c>
      <c r="L85" s="300">
        <f>'Ethylene Recycling HC'!L93</f>
        <v>9.7695169246473856</v>
      </c>
      <c r="M85" s="300">
        <f>'Ethylene Recycling HC'!M93</f>
        <v>10.088199362975878</v>
      </c>
      <c r="N85" s="300">
        <f>'Ethylene Recycling HC'!N93</f>
        <v>10.598397457235956</v>
      </c>
      <c r="O85" s="300">
        <f>'Ethylene Recycling HC'!O93</f>
        <v>11.116927143648951</v>
      </c>
      <c r="P85" s="300">
        <f>'Ethylene Recycling HC'!P93</f>
        <v>11.542891073773937</v>
      </c>
      <c r="Q85" s="300">
        <f>'Ethylene Recycling HC'!Q93</f>
        <v>11.92107376026604</v>
      </c>
      <c r="R85" s="300">
        <f>'Ethylene Recycling HC'!R93</f>
        <v>12.247975908320852</v>
      </c>
      <c r="S85" s="300">
        <f>'Ethylene Recycling HC'!S93</f>
        <v>12.543077352101635</v>
      </c>
      <c r="T85" s="300">
        <f>'Ethylene Recycling HC'!T93</f>
        <v>12.805101990865412</v>
      </c>
      <c r="U85" s="300">
        <f>'Ethylene Recycling HC'!U93</f>
        <v>13.032770508751737</v>
      </c>
      <c r="V85" s="300">
        <f>'Ethylene Recycling HC'!V93</f>
        <v>13.224801403371291</v>
      </c>
      <c r="W85" s="300">
        <f>'Ethylene Recycling HC'!W93</f>
        <v>13.379912034868319</v>
      </c>
      <c r="X85" s="300">
        <f>'Ethylene Recycling HC'!X93</f>
        <v>13.520815158410482</v>
      </c>
      <c r="Y85" s="300">
        <f>'Ethylene Recycling HC'!Y93</f>
        <v>13.839338168867762</v>
      </c>
      <c r="Z85" s="300">
        <f>'Ethylene Recycling HC'!Z93</f>
        <v>14.097825987927326</v>
      </c>
      <c r="AA85" s="300">
        <f>'Ethylene Recycling HC'!AA93</f>
        <v>14.294215929163633</v>
      </c>
      <c r="AB85" s="300">
        <f>'Ethylene Recycling HC'!AB93</f>
        <v>14.426444968606921</v>
      </c>
      <c r="AC85" s="300">
        <f>'Ethylene Recycling HC'!AC93</f>
        <v>14.492588354487349</v>
      </c>
      <c r="AD85" s="300">
        <f>'Ethylene Recycling HC'!AD93</f>
        <v>14.490587317969355</v>
      </c>
      <c r="AE85" s="300">
        <f>'Ethylene Recycling HC'!AE93</f>
        <v>14.41838362255381</v>
      </c>
      <c r="AF85" s="300">
        <f>'Ethylene Recycling HC'!AF93</f>
        <v>14.273921028923658</v>
      </c>
      <c r="AG85" s="300">
        <f>'Ethylene Recycling HC'!AG93</f>
        <v>14.055146782067792</v>
      </c>
      <c r="AH85" s="422"/>
      <c r="AI85" s="423"/>
      <c r="AJ85" s="424"/>
      <c r="AL85" s="221"/>
      <c r="AM85" s="124"/>
      <c r="AN85" s="124"/>
      <c r="AO85" s="124"/>
      <c r="BD85" s="124"/>
      <c r="BE85" s="124"/>
      <c r="BF85" s="124"/>
      <c r="BG85" s="124"/>
      <c r="BH85" s="124"/>
      <c r="BI85" s="124"/>
      <c r="BJ85" s="124"/>
      <c r="BK85" s="124"/>
    </row>
    <row r="86" spans="1:63" outlineLevel="1" x14ac:dyDescent="0.2">
      <c r="A86" s="4" t="s">
        <v>258</v>
      </c>
      <c r="C86" s="230">
        <f>'Ethylene Recycling HC'!C94</f>
        <v>6.6928339575582632</v>
      </c>
      <c r="D86" s="230">
        <f>'Ethylene Recycling HC'!D94</f>
        <v>6.9877095811807957</v>
      </c>
      <c r="E86" s="230">
        <f>'Ethylene Recycling HC'!E94</f>
        <v>7.2658515509769401</v>
      </c>
      <c r="F86" s="230">
        <f>'Ethylene Recycling HC'!F94</f>
        <v>7.5247752572734097</v>
      </c>
      <c r="G86" s="230">
        <f>'Ethylene Recycling HC'!G94</f>
        <v>7.7621369473935644</v>
      </c>
      <c r="H86" s="230">
        <f>'Ethylene Recycling HC'!H94</f>
        <v>7.9757683897299048</v>
      </c>
      <c r="I86" s="230">
        <f>'Ethylene Recycling HC'!I94</f>
        <v>8.1813221174280528</v>
      </c>
      <c r="J86" s="230">
        <f>'Ethylene Recycling HC'!J94</f>
        <v>8.3782107305402498</v>
      </c>
      <c r="K86" s="230">
        <f>'Ethylene Recycling HC'!K94</f>
        <v>8.5658612894712771</v>
      </c>
      <c r="L86" s="230">
        <f>'Ethylene Recycling HC'!L94</f>
        <v>8.7437176475594054</v>
      </c>
      <c r="M86" s="230">
        <f>'Ethylene Recycling HC'!M94</f>
        <v>8.9112427706286876</v>
      </c>
      <c r="N86" s="230">
        <f>'Ethylene Recycling HC'!N94</f>
        <v>9.2382697835573353</v>
      </c>
      <c r="O86" s="230">
        <f>'Ethylene Recycling HC'!O94</f>
        <v>9.5605573435380915</v>
      </c>
      <c r="P86" s="230">
        <f>'Ethylene Recycling HC'!P94</f>
        <v>9.7922192609182162</v>
      </c>
      <c r="Q86" s="230">
        <f>'Ethylene Recycling HC'!Q94</f>
        <v>9.9739650460892459</v>
      </c>
      <c r="R86" s="230">
        <f>'Ethylene Recycling HC'!R94</f>
        <v>10.104580124364693</v>
      </c>
      <c r="S86" s="230">
        <f>'Ethylene Recycling HC'!S94</f>
        <v>10.201702913042654</v>
      </c>
      <c r="T86" s="230">
        <f>'Ethylene Recycling HC'!T94</f>
        <v>10.265423429343761</v>
      </c>
      <c r="U86" s="230">
        <f>'Ethylene Recycling HC'!U94</f>
        <v>10.295888701913862</v>
      </c>
      <c r="V86" s="230">
        <f>'Ethylene Recycling HC'!V94</f>
        <v>10.293303758957309</v>
      </c>
      <c r="W86" s="230">
        <f>'Ethylene Recycling HC'!W94</f>
        <v>10.257932560065699</v>
      </c>
      <c r="X86" s="230">
        <f>'Ethylene Recycling HC'!X94</f>
        <v>10.208215444599901</v>
      </c>
      <c r="Y86" s="230">
        <f>'Ethylene Recycling HC'!Y94</f>
        <v>10.287241372191689</v>
      </c>
      <c r="Z86" s="230">
        <f>'Ethylene Recycling HC'!Z94</f>
        <v>10.314909347833478</v>
      </c>
      <c r="AA86" s="230">
        <f>'Ethylene Recycling HC'!AA94</f>
        <v>10.2918354689978</v>
      </c>
      <c r="AB86" s="230">
        <f>'Ethylene Recycling HC'!AB94</f>
        <v>10.218731852763218</v>
      </c>
      <c r="AC86" s="230">
        <f>'Ethylene Recycling HC'!AC94</f>
        <v>10.096503220292835</v>
      </c>
      <c r="AD86" s="230">
        <f>'Ethylene Recycling HC'!AD94</f>
        <v>9.9260523128089897</v>
      </c>
      <c r="AE86" s="230">
        <f>'Ethylene Recycling HC'!AE94</f>
        <v>9.7083783058528788</v>
      </c>
      <c r="AF86" s="230">
        <f>'Ethylene Recycling HC'!AF94</f>
        <v>9.4445777474711345</v>
      </c>
      <c r="AG86" s="230">
        <f>'Ethylene Recycling HC'!AG94</f>
        <v>9.1358454083440659</v>
      </c>
      <c r="AH86" s="245"/>
      <c r="AI86" s="133"/>
      <c r="AJ86" s="211"/>
      <c r="AL86" s="108"/>
      <c r="AM86" s="2"/>
      <c r="AN86" s="2"/>
      <c r="AO86" s="2"/>
      <c r="BC86" s="1"/>
      <c r="BD86" s="2"/>
      <c r="BE86" s="2"/>
      <c r="BF86" s="2"/>
      <c r="BG86" s="2"/>
      <c r="BH86" s="2"/>
      <c r="BI86" s="2"/>
      <c r="BJ86" s="2"/>
      <c r="BK86" s="2"/>
    </row>
    <row r="87" spans="1:63" outlineLevel="1" x14ac:dyDescent="0.2">
      <c r="A87" s="4" t="s">
        <v>478</v>
      </c>
      <c r="C87" s="230">
        <f>'Ethylene Recycling HC'!C95</f>
        <v>0</v>
      </c>
      <c r="D87" s="230">
        <f>'Ethylene Recycling HC'!D95</f>
        <v>2.3567317305837426E-2</v>
      </c>
      <c r="E87" s="230">
        <f>'Ethylene Recycling HC'!E95</f>
        <v>4.9596256320661718E-2</v>
      </c>
      <c r="F87" s="230">
        <f>'Ethylene Recycling HC'!F95</f>
        <v>7.7976945671227052E-2</v>
      </c>
      <c r="G87" s="230">
        <f>'Ethylene Recycling HC'!G95</f>
        <v>0.10856135590760232</v>
      </c>
      <c r="H87" s="230">
        <f>'Ethylene Recycling HC'!H95</f>
        <v>0.14116404229610455</v>
      </c>
      <c r="I87" s="230">
        <f>'Ethylene Recycling HC'!I95</f>
        <v>0.17594241112748507</v>
      </c>
      <c r="J87" s="230">
        <f>'Ethylene Recycling HC'!J95</f>
        <v>0.21287649769067796</v>
      </c>
      <c r="K87" s="230">
        <f>'Ethylene Recycling HC'!K95</f>
        <v>0.25193709674915538</v>
      </c>
      <c r="L87" s="230">
        <f>'Ethylene Recycling HC'!L95</f>
        <v>0.2930855077394216</v>
      </c>
      <c r="M87" s="230">
        <f>'Ethylene Recycling HC'!M95</f>
        <v>0.33627331209919592</v>
      </c>
      <c r="N87" s="230">
        <f>'Ethylene Recycling HC'!N95</f>
        <v>0.38860790676531837</v>
      </c>
      <c r="O87" s="230">
        <f>'Ethylene Recycling HC'!O95</f>
        <v>0.44467708574595805</v>
      </c>
      <c r="P87" s="230">
        <f>'Ethylene Recycling HC'!P95</f>
        <v>0.50019194653020393</v>
      </c>
      <c r="Q87" s="230">
        <f>'Ethylene Recycling HC'!Q95</f>
        <v>0.55631677547908187</v>
      </c>
      <c r="R87" s="230">
        <f>'Ethylene Recycling HC'!R95</f>
        <v>0.61239879541604259</v>
      </c>
      <c r="S87" s="230">
        <f>'Ethylene Recycling HC'!S95</f>
        <v>0.66896412544542061</v>
      </c>
      <c r="T87" s="230">
        <f>'Ethylene Recycling HC'!T95</f>
        <v>0.72562244614904003</v>
      </c>
      <c r="U87" s="230">
        <f>'Ethylene Recycling HC'!U95</f>
        <v>0.78196623052510428</v>
      </c>
      <c r="V87" s="230">
        <f>'Ethylene Recycling HC'!V95</f>
        <v>0.83757075554684857</v>
      </c>
      <c r="W87" s="230">
        <f>'Ethylene Recycling HC'!W95</f>
        <v>0.89199413565788788</v>
      </c>
      <c r="X87" s="230">
        <f>'Ethylene Recycling HC'!X95</f>
        <v>0.94645706108873362</v>
      </c>
      <c r="Y87" s="230">
        <f>'Ethylene Recycling HC'!Y95</f>
        <v>1.0148847990503023</v>
      </c>
      <c r="Z87" s="230">
        <f>'Ethylene Recycling HC'!Z95</f>
        <v>1.0808333257410947</v>
      </c>
      <c r="AA87" s="230">
        <f>'Ethylene Recycling HC'!AA95</f>
        <v>1.1435372743330903</v>
      </c>
      <c r="AB87" s="230">
        <f>'Ethylene Recycling HC'!AB95</f>
        <v>1.2022037473839096</v>
      </c>
      <c r="AC87" s="230">
        <f>'Ethylene Recycling HC'!AC95</f>
        <v>1.2560243240555697</v>
      </c>
      <c r="AD87" s="230">
        <f>'Ethylene Recycling HC'!AD95</f>
        <v>1.3041528586172413</v>
      </c>
      <c r="AE87" s="230">
        <f>'Ethylene Recycling HC'!AE95</f>
        <v>1.3457158047716882</v>
      </c>
      <c r="AF87" s="230">
        <f>'Ethylene Recycling HC'!AF95</f>
        <v>1.379812366129286</v>
      </c>
      <c r="AG87" s="230">
        <f>'Ethylene Recycling HC'!AG95</f>
        <v>1.4055146782067793</v>
      </c>
      <c r="AH87" s="245"/>
      <c r="AI87" s="133"/>
      <c r="AJ87" s="211"/>
      <c r="AL87" s="108"/>
      <c r="AM87" s="2"/>
      <c r="AN87" s="2"/>
      <c r="AO87" s="2"/>
      <c r="BC87" s="1"/>
      <c r="BD87" s="2"/>
      <c r="BE87" s="2"/>
      <c r="BF87" s="2"/>
      <c r="BG87" s="2"/>
      <c r="BH87" s="2"/>
      <c r="BI87" s="2"/>
      <c r="BJ87" s="2"/>
      <c r="BK87" s="2"/>
    </row>
    <row r="88" spans="1:63" outlineLevel="1" x14ac:dyDescent="0.2">
      <c r="A88" s="4" t="s">
        <v>480</v>
      </c>
      <c r="C88" s="230">
        <f>'Ethylene Recycling HC'!C96</f>
        <v>0</v>
      </c>
      <c r="D88" s="230">
        <f>'Ethylene Recycling HC'!D96</f>
        <v>3.5350975958756137E-2</v>
      </c>
      <c r="E88" s="230">
        <f>'Ethylene Recycling HC'!E96</f>
        <v>7.4394384480992573E-2</v>
      </c>
      <c r="F88" s="230">
        <f>'Ethylene Recycling HC'!F96</f>
        <v>0.11696541850684057</v>
      </c>
      <c r="G88" s="230">
        <f>'Ethylene Recycling HC'!G96</f>
        <v>0.16284203386140347</v>
      </c>
      <c r="H88" s="230">
        <f>'Ethylene Recycling HC'!H96</f>
        <v>0.21174606344415681</v>
      </c>
      <c r="I88" s="230">
        <f>'Ethylene Recycling HC'!I96</f>
        <v>0.26391361669122759</v>
      </c>
      <c r="J88" s="230">
        <f>'Ethylene Recycling HC'!J96</f>
        <v>0.31931474653601694</v>
      </c>
      <c r="K88" s="230">
        <f>'Ethylene Recycling HC'!K96</f>
        <v>0.37790564512373304</v>
      </c>
      <c r="L88" s="230">
        <f>'Ethylene Recycling HC'!L96</f>
        <v>0.43962826160913232</v>
      </c>
      <c r="M88" s="230">
        <f>'Ethylene Recycling HC'!M96</f>
        <v>0.50440996814879391</v>
      </c>
      <c r="N88" s="230">
        <f>'Ethylene Recycling HC'!N96</f>
        <v>0.58291186014797747</v>
      </c>
      <c r="O88" s="230">
        <f>'Ethylene Recycling HC'!O96</f>
        <v>0.66701562861893693</v>
      </c>
      <c r="P88" s="230">
        <f>'Ethylene Recycling HC'!P96</f>
        <v>0.75028791979530574</v>
      </c>
      <c r="Q88" s="230">
        <f>'Ethylene Recycling HC'!Q96</f>
        <v>0.8344751632186227</v>
      </c>
      <c r="R88" s="230">
        <f>'Ethylene Recycling HC'!R96</f>
        <v>0.91859819312406388</v>
      </c>
      <c r="S88" s="230">
        <f>'Ethylene Recycling HC'!S96</f>
        <v>1.0034461881681309</v>
      </c>
      <c r="T88" s="230">
        <f>'Ethylene Recycling HC'!T96</f>
        <v>1.0884336692235601</v>
      </c>
      <c r="U88" s="230">
        <f>'Ethylene Recycling HC'!U96</f>
        <v>1.1729493457876565</v>
      </c>
      <c r="V88" s="230">
        <f>'Ethylene Recycling HC'!V96</f>
        <v>1.2563561333202728</v>
      </c>
      <c r="W88" s="230">
        <f>'Ethylene Recycling HC'!W96</f>
        <v>1.3379912034868322</v>
      </c>
      <c r="X88" s="230">
        <f>'Ethylene Recycling HC'!X96</f>
        <v>1.4196855916331008</v>
      </c>
      <c r="Y88" s="230">
        <f>'Ethylene Recycling HC'!Y96</f>
        <v>1.5223271985754543</v>
      </c>
      <c r="Z88" s="230">
        <f>'Ethylene Recycling HC'!Z96</f>
        <v>1.6212499886116429</v>
      </c>
      <c r="AA88" s="230">
        <f>'Ethylene Recycling HC'!AA96</f>
        <v>1.7153059114996365</v>
      </c>
      <c r="AB88" s="230">
        <f>'Ethylene Recycling HC'!AB96</f>
        <v>1.8033056210758656</v>
      </c>
      <c r="AC88" s="230">
        <f>'Ethylene Recycling HC'!AC96</f>
        <v>1.8840364860833558</v>
      </c>
      <c r="AD88" s="230">
        <f>'Ethylene Recycling HC'!AD96</f>
        <v>1.9562292879258636</v>
      </c>
      <c r="AE88" s="230">
        <f>'Ethylene Recycling HC'!AE96</f>
        <v>2.0185737071575338</v>
      </c>
      <c r="AF88" s="230">
        <f>'Ethylene Recycling HC'!AF96</f>
        <v>2.0697185491939312</v>
      </c>
      <c r="AG88" s="230">
        <f>'Ethylene Recycling HC'!AG96</f>
        <v>2.1082720173101688</v>
      </c>
      <c r="AH88" s="245"/>
      <c r="AI88" s="133"/>
      <c r="AJ88" s="211"/>
      <c r="AL88" s="108"/>
      <c r="AM88" s="2"/>
      <c r="AN88" s="2"/>
      <c r="AO88" s="2"/>
      <c r="BC88" s="1"/>
      <c r="BD88" s="2"/>
      <c r="BE88" s="2"/>
      <c r="BF88" s="2"/>
      <c r="BG88" s="2"/>
      <c r="BH88" s="2"/>
      <c r="BI88" s="2"/>
      <c r="BJ88" s="2"/>
      <c r="BK88" s="2"/>
    </row>
    <row r="89" spans="1:63" outlineLevel="1" x14ac:dyDescent="0.2">
      <c r="A89" s="4" t="s">
        <v>474</v>
      </c>
      <c r="C89" s="230">
        <f>'Ethylene Recycling HC'!C97</f>
        <v>0</v>
      </c>
      <c r="D89" s="230">
        <f>'Ethylene Recycling HC'!D97</f>
        <v>1.1783658652918713E-2</v>
      </c>
      <c r="E89" s="230">
        <f>'Ethylene Recycling HC'!E97</f>
        <v>2.4798128160330859E-2</v>
      </c>
      <c r="F89" s="230">
        <f>'Ethylene Recycling HC'!F97</f>
        <v>3.8988472835613526E-2</v>
      </c>
      <c r="G89" s="230">
        <f>'Ethylene Recycling HC'!G97</f>
        <v>5.4280677953801162E-2</v>
      </c>
      <c r="H89" s="230">
        <f>'Ethylene Recycling HC'!H97</f>
        <v>7.0582021148052274E-2</v>
      </c>
      <c r="I89" s="230">
        <f>'Ethylene Recycling HC'!I97</f>
        <v>8.7971205563742536E-2</v>
      </c>
      <c r="J89" s="230">
        <f>'Ethylene Recycling HC'!J97</f>
        <v>0.10643824884533898</v>
      </c>
      <c r="K89" s="230">
        <f>'Ethylene Recycling HC'!K97</f>
        <v>0.12596854837457769</v>
      </c>
      <c r="L89" s="230">
        <f>'Ethylene Recycling HC'!L97</f>
        <v>0.1465427538697108</v>
      </c>
      <c r="M89" s="230">
        <f>'Ethylene Recycling HC'!M97</f>
        <v>0.16813665604959796</v>
      </c>
      <c r="N89" s="230">
        <f>'Ethylene Recycling HC'!N97</f>
        <v>0.19430395338265918</v>
      </c>
      <c r="O89" s="230">
        <f>'Ethylene Recycling HC'!O97</f>
        <v>0.22233854287297902</v>
      </c>
      <c r="P89" s="230">
        <f>'Ethylene Recycling HC'!P97</f>
        <v>0.25009597326510197</v>
      </c>
      <c r="Q89" s="230">
        <f>'Ethylene Recycling HC'!Q97</f>
        <v>0.27815838773954094</v>
      </c>
      <c r="R89" s="230">
        <f>'Ethylene Recycling HC'!R97</f>
        <v>0.30619939770802129</v>
      </c>
      <c r="S89" s="230">
        <f>'Ethylene Recycling HC'!S97</f>
        <v>0.3344820627227103</v>
      </c>
      <c r="T89" s="230">
        <f>'Ethylene Recycling HC'!T97</f>
        <v>0.36281122307452002</v>
      </c>
      <c r="U89" s="230">
        <f>'Ethylene Recycling HC'!U97</f>
        <v>0.39098311526255214</v>
      </c>
      <c r="V89" s="230">
        <f>'Ethylene Recycling HC'!V97</f>
        <v>0.41878537777342428</v>
      </c>
      <c r="W89" s="230">
        <f>'Ethylene Recycling HC'!W97</f>
        <v>0.44599706782894394</v>
      </c>
      <c r="X89" s="230">
        <f>'Ethylene Recycling HC'!X97</f>
        <v>0.47322853054436681</v>
      </c>
      <c r="Y89" s="230">
        <f>'Ethylene Recycling HC'!Y97</f>
        <v>0.50744239952515113</v>
      </c>
      <c r="Z89" s="230">
        <f>'Ethylene Recycling HC'!Z97</f>
        <v>0.54041666287054735</v>
      </c>
      <c r="AA89" s="230">
        <f>'Ethylene Recycling HC'!AA97</f>
        <v>0.57176863716654514</v>
      </c>
      <c r="AB89" s="230">
        <f>'Ethylene Recycling HC'!AB97</f>
        <v>0.60110187369195478</v>
      </c>
      <c r="AC89" s="230">
        <f>'Ethylene Recycling HC'!AC97</f>
        <v>0.62801216202778487</v>
      </c>
      <c r="AD89" s="230">
        <f>'Ethylene Recycling HC'!AD97</f>
        <v>0.65207642930862064</v>
      </c>
      <c r="AE89" s="230">
        <f>'Ethylene Recycling HC'!AE97</f>
        <v>0.67285790238584409</v>
      </c>
      <c r="AF89" s="230">
        <f>'Ethylene Recycling HC'!AF97</f>
        <v>0.68990618306464302</v>
      </c>
      <c r="AG89" s="230">
        <f>'Ethylene Recycling HC'!AG97</f>
        <v>0.70275733910338967</v>
      </c>
      <c r="AH89" s="245"/>
      <c r="AI89" s="133"/>
      <c r="AJ89" s="211"/>
      <c r="AL89" s="108"/>
      <c r="AM89" s="2"/>
      <c r="AN89" s="2"/>
      <c r="AO89" s="2"/>
      <c r="BC89" s="1"/>
      <c r="BD89" s="2"/>
      <c r="BE89" s="2"/>
      <c r="BF89" s="2"/>
      <c r="BG89" s="2"/>
      <c r="BH89" s="2"/>
      <c r="BI89" s="2"/>
      <c r="BJ89" s="2"/>
      <c r="BK89" s="2"/>
    </row>
    <row r="90" spans="1:63" outlineLevel="1" x14ac:dyDescent="0.2">
      <c r="A90" s="4" t="s">
        <v>248</v>
      </c>
      <c r="C90" s="230">
        <f>'Ethylene Recycling HC'!C98</f>
        <v>0</v>
      </c>
      <c r="D90" s="230">
        <f>'Ethylene Recycling HC'!D98</f>
        <v>1.1783658652918713E-2</v>
      </c>
      <c r="E90" s="230">
        <f>'Ethylene Recycling HC'!E98</f>
        <v>2.4798128160330859E-2</v>
      </c>
      <c r="F90" s="230">
        <f>'Ethylene Recycling HC'!F98</f>
        <v>3.8988472835613526E-2</v>
      </c>
      <c r="G90" s="230">
        <f>'Ethylene Recycling HC'!G98</f>
        <v>5.4280677953801162E-2</v>
      </c>
      <c r="H90" s="230">
        <f>'Ethylene Recycling HC'!H98</f>
        <v>7.0582021148052274E-2</v>
      </c>
      <c r="I90" s="230">
        <f>'Ethylene Recycling HC'!I98</f>
        <v>8.7971205563742536E-2</v>
      </c>
      <c r="J90" s="230">
        <f>'Ethylene Recycling HC'!J98</f>
        <v>0.10643824884533898</v>
      </c>
      <c r="K90" s="230">
        <f>'Ethylene Recycling HC'!K98</f>
        <v>0.12596854837457769</v>
      </c>
      <c r="L90" s="230">
        <f>'Ethylene Recycling HC'!L98</f>
        <v>0.1465427538697108</v>
      </c>
      <c r="M90" s="230">
        <f>'Ethylene Recycling HC'!M98</f>
        <v>0.16813665604959796</v>
      </c>
      <c r="N90" s="230">
        <f>'Ethylene Recycling HC'!N98</f>
        <v>0.19430395338265918</v>
      </c>
      <c r="O90" s="230">
        <f>'Ethylene Recycling HC'!O98</f>
        <v>0.22233854287297902</v>
      </c>
      <c r="P90" s="230">
        <f>'Ethylene Recycling HC'!P98</f>
        <v>0.25009597326510197</v>
      </c>
      <c r="Q90" s="230">
        <f>'Ethylene Recycling HC'!Q98</f>
        <v>0.27815838773954094</v>
      </c>
      <c r="R90" s="230">
        <f>'Ethylene Recycling HC'!R98</f>
        <v>0.30619939770802129</v>
      </c>
      <c r="S90" s="230">
        <f>'Ethylene Recycling HC'!S98</f>
        <v>0.3344820627227103</v>
      </c>
      <c r="T90" s="230">
        <f>'Ethylene Recycling HC'!T98</f>
        <v>0.36281122307452002</v>
      </c>
      <c r="U90" s="230">
        <f>'Ethylene Recycling HC'!U98</f>
        <v>0.39098311526255214</v>
      </c>
      <c r="V90" s="230">
        <f>'Ethylene Recycling HC'!V98</f>
        <v>0.41878537777342428</v>
      </c>
      <c r="W90" s="230">
        <f>'Ethylene Recycling HC'!W98</f>
        <v>0.44599706782894394</v>
      </c>
      <c r="X90" s="230">
        <f>'Ethylene Recycling HC'!X98</f>
        <v>0.47322853054436681</v>
      </c>
      <c r="Y90" s="230">
        <f>'Ethylene Recycling HC'!Y98</f>
        <v>0.50744239952515113</v>
      </c>
      <c r="Z90" s="230">
        <f>'Ethylene Recycling HC'!Z98</f>
        <v>0.54041666287054735</v>
      </c>
      <c r="AA90" s="230">
        <f>'Ethylene Recycling HC'!AA98</f>
        <v>0.57176863716654514</v>
      </c>
      <c r="AB90" s="230">
        <f>'Ethylene Recycling HC'!AB98</f>
        <v>0.60110187369195478</v>
      </c>
      <c r="AC90" s="230">
        <f>'Ethylene Recycling HC'!AC98</f>
        <v>0.62801216202778487</v>
      </c>
      <c r="AD90" s="230">
        <f>'Ethylene Recycling HC'!AD98</f>
        <v>0.65207642930862064</v>
      </c>
      <c r="AE90" s="230">
        <f>'Ethylene Recycling HC'!AE98</f>
        <v>0.67285790238584409</v>
      </c>
      <c r="AF90" s="230">
        <f>'Ethylene Recycling HC'!AF98</f>
        <v>0.68990618306464302</v>
      </c>
      <c r="AG90" s="230">
        <f>'Ethylene Recycling HC'!AG98</f>
        <v>0.70275733910338967</v>
      </c>
      <c r="AH90" s="245"/>
      <c r="AI90" s="133"/>
      <c r="AJ90" s="211"/>
      <c r="AL90" s="108"/>
      <c r="AM90" s="2"/>
      <c r="AN90" s="2"/>
      <c r="AO90" s="2"/>
      <c r="BC90" s="1"/>
      <c r="BD90" s="2"/>
      <c r="BE90" s="2"/>
      <c r="BF90" s="2"/>
      <c r="BG90" s="2"/>
      <c r="BH90" s="2"/>
      <c r="BI90" s="2"/>
      <c r="BJ90" s="2"/>
      <c r="BK90" s="2"/>
    </row>
    <row r="91" spans="1:63" s="1" customFormat="1" outlineLevel="1" x14ac:dyDescent="0.2">
      <c r="A91" s="1" t="s">
        <v>1329</v>
      </c>
      <c r="B91" s="65"/>
      <c r="C91" s="300">
        <f>'Ethylene Recycling HC'!C99</f>
        <v>1.1377817727849049</v>
      </c>
      <c r="D91" s="300">
        <f>'Ethylene Recycling HC'!D99</f>
        <v>1.1978686259109264</v>
      </c>
      <c r="E91" s="300">
        <f>'Ethylene Recycling HC'!E99</f>
        <v>1.256179705471351</v>
      </c>
      <c r="F91" s="300">
        <f>'Ethylene Recycling HC'!F99</f>
        <v>1.312250063714405</v>
      </c>
      <c r="G91" s="300">
        <f>'Ethylene Recycling HC'!G99</f>
        <v>1.3656222039550059</v>
      </c>
      <c r="H91" s="300">
        <f>'Ethylene Recycling HC'!H99</f>
        <v>1.4158521854418029</v>
      </c>
      <c r="I91" s="300">
        <f>'Ethylene Recycling HC'!I99</f>
        <v>1.4656709813400153</v>
      </c>
      <c r="J91" s="300">
        <f>'Ethylene Recycling HC'!J99</f>
        <v>1.514973535609299</v>
      </c>
      <c r="K91" s="300">
        <f>'Ethylene Recycling HC'!K99</f>
        <v>1.5636532208969591</v>
      </c>
      <c r="L91" s="300">
        <f>'Ethylene Recycling HC'!L99</f>
        <v>1.6116021020801992</v>
      </c>
      <c r="M91" s="300">
        <f>'Ethylene Recycling HC'!M99</f>
        <v>1.6587112109666116</v>
      </c>
      <c r="N91" s="300">
        <f>'Ethylene Recycling HC'!N99</f>
        <v>1.7368983066473813</v>
      </c>
      <c r="O91" s="300">
        <f>'Ethylene Recycling HC'!O99</f>
        <v>1.8159365152431932</v>
      </c>
      <c r="P91" s="300">
        <f>'Ethylene Recycling HC'!P99</f>
        <v>1.8793896413931648</v>
      </c>
      <c r="Q91" s="300">
        <f>'Ethylene Recycling HC'!Q99</f>
        <v>1.9346772401150032</v>
      </c>
      <c r="R91" s="300">
        <f>'Ethylene Recycling HC'!R99</f>
        <v>1.9813123377240398</v>
      </c>
      <c r="S91" s="300">
        <f>'Ethylene Recycling HC'!S99</f>
        <v>2.0225195195174166</v>
      </c>
      <c r="T91" s="300">
        <f>'Ethylene Recycling HC'!T99</f>
        <v>2.0581459195546663</v>
      </c>
      <c r="U91" s="300">
        <f>'Ethylene Recycling HC'!U99</f>
        <v>2.0880401121517833</v>
      </c>
      <c r="V91" s="300">
        <f>'Ethylene Recycling HC'!V99</f>
        <v>2.1120522531956647</v>
      </c>
      <c r="W91" s="300">
        <f>'Ethylene Recycling HC'!W99</f>
        <v>2.1300342220237281</v>
      </c>
      <c r="X91" s="300">
        <f>'Ethylene Recycling HC'!X99</f>
        <v>2.1456476562238596</v>
      </c>
      <c r="Y91" s="300">
        <f>'Ethylene Recycling HC'!Y99</f>
        <v>2.189260381536609</v>
      </c>
      <c r="Z91" s="300">
        <f>'Ethylene Recycling HC'!Z99</f>
        <v>2.2231314212831914</v>
      </c>
      <c r="AA91" s="300">
        <f>'Ethylene Recycling HC'!AA99</f>
        <v>2.2470282221458646</v>
      </c>
      <c r="AB91" s="300">
        <f>'Ethylene Recycling HC'!AB99</f>
        <v>2.2607210874576942</v>
      </c>
      <c r="AC91" s="300">
        <f>'Ethylene Recycling HC'!AC99</f>
        <v>2.2640047860187931</v>
      </c>
      <c r="AD91" s="300">
        <f>'Ethylene Recycling HC'!AD99</f>
        <v>2.2566557675610537</v>
      </c>
      <c r="AE91" s="300">
        <f>'Ethylene Recycling HC'!AE99</f>
        <v>2.2384533353671641</v>
      </c>
      <c r="AF91" s="300">
        <f>'Ethylene Recycling HC'!AF99</f>
        <v>2.2091798289096563</v>
      </c>
      <c r="AG91" s="300">
        <f>'Ethylene Recycling HC'!AG99</f>
        <v>2.1686208065525627</v>
      </c>
      <c r="AH91" s="422"/>
      <c r="AI91" s="423"/>
      <c r="AJ91" s="424"/>
      <c r="AL91" s="221"/>
      <c r="AM91" s="124"/>
      <c r="AN91" s="124"/>
      <c r="AO91" s="124"/>
      <c r="BD91" s="124"/>
      <c r="BE91" s="124"/>
      <c r="BF91" s="124"/>
      <c r="BG91" s="124"/>
      <c r="BH91" s="124"/>
      <c r="BI91" s="124"/>
      <c r="BJ91" s="124"/>
      <c r="BK91" s="124"/>
    </row>
    <row r="92" spans="1:63" outlineLevel="1" x14ac:dyDescent="0.2">
      <c r="A92" s="4" t="s">
        <v>258</v>
      </c>
      <c r="C92" s="230">
        <f>'Ethylene Recycling HC'!C100</f>
        <v>0.81650485855002186</v>
      </c>
      <c r="D92" s="230">
        <f>'Ethylene Recycling HC'!D100</f>
        <v>0.86728877586838082</v>
      </c>
      <c r="E92" s="230">
        <f>'Ethylene Recycling HC'!E100</f>
        <v>0.91754448626838392</v>
      </c>
      <c r="F92" s="230">
        <f>'Ethylene Recycling HC'!F100</f>
        <v>0.96689532203516948</v>
      </c>
      <c r="G92" s="230">
        <f>'Ethylene Recycling HC'!G100</f>
        <v>1.0149582544457101</v>
      </c>
      <c r="H92" s="230">
        <f>'Ethylene Recycling HC'!H100</f>
        <v>1.0613487084454825</v>
      </c>
      <c r="I92" s="230">
        <f>'Ethylene Recycling HC'!I100</f>
        <v>1.1080710342076974</v>
      </c>
      <c r="J92" s="230">
        <f>'Ethylene Recycling HC'!J100</f>
        <v>1.1550372433251925</v>
      </c>
      <c r="K92" s="230">
        <f>'Ethylene Recycling HC'!K100</f>
        <v>1.2021554507866481</v>
      </c>
      <c r="L92" s="230">
        <f>'Ethylene Recycling HC'!L100</f>
        <v>1.2493300290115203</v>
      </c>
      <c r="M92" s="230">
        <f>'Ethylene Recycling HC'!M100</f>
        <v>1.2964617807230758</v>
      </c>
      <c r="N92" s="230">
        <f>'Ethylene Recycling HC'!N100</f>
        <v>1.3686859673306992</v>
      </c>
      <c r="O92" s="230">
        <f>'Ethylene Recycling HC'!O100</f>
        <v>1.4425867506750343</v>
      </c>
      <c r="P92" s="230">
        <f>'Ethylene Recycling HC'!P100</f>
        <v>1.5050183343718315</v>
      </c>
      <c r="Q92" s="230">
        <f>'Ethylene Recycling HC'!Q100</f>
        <v>1.5616706437699837</v>
      </c>
      <c r="R92" s="230">
        <f>'Ethylene Recycling HC'!R100</f>
        <v>1.611990751143678</v>
      </c>
      <c r="S92" s="230">
        <f>'Ethylene Recycling HC'!S100</f>
        <v>1.6584567276319362</v>
      </c>
      <c r="T92" s="230">
        <f>'Ethylene Recycling HC'!T100</f>
        <v>1.7008380637387344</v>
      </c>
      <c r="U92" s="230">
        <f>'Ethylene Recycling HC'!U100</f>
        <v>1.7389015373052217</v>
      </c>
      <c r="V92" s="230">
        <f>'Ethylene Recycling HC'!V100</f>
        <v>1.7724113781724926</v>
      </c>
      <c r="W92" s="230">
        <f>'Ethylene Recycling HC'!W100</f>
        <v>1.8011294387469747</v>
      </c>
      <c r="X92" s="230">
        <f>'Ethylene Recycling HC'!X100</f>
        <v>1.8280596376962179</v>
      </c>
      <c r="Y92" s="230">
        <f>'Ethylene Recycling HC'!Y100</f>
        <v>1.8792237371253797</v>
      </c>
      <c r="Z92" s="230">
        <f>'Ethylene Recycling HC'!Z100</f>
        <v>1.9225214748480117</v>
      </c>
      <c r="AA92" s="230">
        <f>'Ethylene Recycling HC'!AA100</f>
        <v>1.9575632757970471</v>
      </c>
      <c r="AB92" s="230">
        <f>'Ethylene Recycling HC'!AB100</f>
        <v>1.9839561204061247</v>
      </c>
      <c r="AC92" s="230">
        <f>'Ethylene Recycling HC'!AC100</f>
        <v>2.0013227376375045</v>
      </c>
      <c r="AD92" s="230">
        <f>'Ethylene Recycling HC'!AD100</f>
        <v>2.0092642934477998</v>
      </c>
      <c r="AE92" s="230">
        <f>'Ethylene Recycling HC'!AE100</f>
        <v>2.0073787917473318</v>
      </c>
      <c r="AF92" s="230">
        <f>'Ethylene Recycling HC'!AF100</f>
        <v>1.9952613306378824</v>
      </c>
      <c r="AG92" s="230">
        <f>'Ethylene Recycling HC'!AG100</f>
        <v>1.9725043657184427</v>
      </c>
      <c r="AH92" s="245"/>
      <c r="AI92" s="133"/>
      <c r="AJ92" s="211"/>
      <c r="AL92" s="108"/>
      <c r="AM92" s="2"/>
      <c r="AN92" s="2"/>
      <c r="AO92" s="2"/>
      <c r="BC92" s="1"/>
      <c r="BD92" s="2"/>
      <c r="BE92" s="2"/>
      <c r="BF92" s="2"/>
      <c r="BG92" s="2"/>
      <c r="BH92" s="2"/>
      <c r="BI92" s="2"/>
      <c r="BJ92" s="2"/>
      <c r="BK92" s="2"/>
    </row>
    <row r="93" spans="1:63" outlineLevel="1" x14ac:dyDescent="0.2">
      <c r="A93" s="4" t="s">
        <v>478</v>
      </c>
      <c r="C93" s="230">
        <f>'Ethylene Recycling HC'!C101</f>
        <v>0.29647374042384816</v>
      </c>
      <c r="D93" s="230">
        <f>'Ethylene Recycling HC'!D101</f>
        <v>0.30245647499188161</v>
      </c>
      <c r="E93" s="230">
        <f>'Ethylene Recycling HC'!E101</f>
        <v>0.30703463197349035</v>
      </c>
      <c r="F93" s="230">
        <f>'Ethylene Recycling HC'!F101</f>
        <v>0.31014134852657443</v>
      </c>
      <c r="G93" s="230">
        <f>'Ethylene Recycling HC'!G101</f>
        <v>0.31172648264358932</v>
      </c>
      <c r="H93" s="230">
        <f>'Ethylene Recycling HC'!H101</f>
        <v>0.3117576565065589</v>
      </c>
      <c r="I93" s="230">
        <f>'Ethylene Recycling HC'!I101</f>
        <v>0.3108902794116617</v>
      </c>
      <c r="J93" s="230">
        <f>'Ethylene Recycling HC'!J101</f>
        <v>0.30911287830859202</v>
      </c>
      <c r="K93" s="230">
        <f>'Ethylene Recycling HC'!K101</f>
        <v>0.30641706603391183</v>
      </c>
      <c r="L93" s="230">
        <f>'Ethylene Recycling HC'!L101</f>
        <v>0.30279765427796529</v>
      </c>
      <c r="M93" s="230">
        <f>'Ethylene Recycling HC'!M101</f>
        <v>0.2982527557876723</v>
      </c>
      <c r="N93" s="230">
        <f>'Ethylene Recycling HC'!N101</f>
        <v>0.29828407373353716</v>
      </c>
      <c r="O93" s="230">
        <f>'Ethylene Recycling HC'!O101</f>
        <v>0.29719177706502514</v>
      </c>
      <c r="P93" s="230">
        <f>'Ethylene Recycling HC'!P101</f>
        <v>0.29239807822247177</v>
      </c>
      <c r="Q93" s="230">
        <f>'Ethylene Recycling HC'!Q101</f>
        <v>0.28537500401475735</v>
      </c>
      <c r="R93" s="230">
        <f>'Ethylene Recycling HC'!R101</f>
        <v>0.27625249490602055</v>
      </c>
      <c r="S93" s="230">
        <f>'Ethylene Recycling HC'!S101</f>
        <v>0.26566374683419536</v>
      </c>
      <c r="T93" s="230">
        <f>'Ethylene Recycling HC'!T101</f>
        <v>0.25372142542300724</v>
      </c>
      <c r="U93" s="230">
        <f>'Ethylene Recycling HC'!U101</f>
        <v>0.24054330050422609</v>
      </c>
      <c r="V93" s="230">
        <f>'Ethylene Recycling HC'!V101</f>
        <v>0.22625220309704952</v>
      </c>
      <c r="W93" s="230">
        <f>'Ethylene Recycling HC'!W101</f>
        <v>0.21097597559578338</v>
      </c>
      <c r="X93" s="230">
        <f>'Ethylene Recycling HC'!X101</f>
        <v>0.19519382666054941</v>
      </c>
      <c r="Y93" s="230">
        <f>'Ethylene Recycling HC'!Y101</f>
        <v>0.18148050785464342</v>
      </c>
      <c r="Z93" s="230">
        <f>'Ethylene Recycling HC'!Z101</f>
        <v>0.16633387152946608</v>
      </c>
      <c r="AA93" s="230">
        <f>'Ethylene Recycling HC'!AA101</f>
        <v>0.14997442301312902</v>
      </c>
      <c r="AB93" s="230">
        <f>'Ethylene Recycling HC'!AB101</f>
        <v>0.1326303477929712</v>
      </c>
      <c r="AC93" s="230">
        <f>'Ethylene Recycling HC'!AC101</f>
        <v>0.11453848937521988</v>
      </c>
      <c r="AD93" s="230">
        <f>'Ethylene Recycling HC'!AD101</f>
        <v>9.5941542366592386E-2</v>
      </c>
      <c r="AE93" s="230">
        <f>'Ethylene Recycling HC'!AE101</f>
        <v>7.7089521372917025E-2</v>
      </c>
      <c r="AF93" s="230">
        <f>'Ethylene Recycling HC'!AF101</f>
        <v>5.8239650585056403E-2</v>
      </c>
      <c r="AG93" s="230">
        <f>'Ethylene Recycling HC'!AG101</f>
        <v>3.9656244515823932E-2</v>
      </c>
      <c r="AH93" s="245"/>
      <c r="AI93" s="133"/>
      <c r="AJ93" s="211"/>
      <c r="AL93" s="108"/>
      <c r="AM93" s="2"/>
      <c r="AN93" s="2"/>
      <c r="AO93" s="2"/>
      <c r="BC93" s="1"/>
      <c r="BD93" s="2"/>
      <c r="BE93" s="2"/>
      <c r="BF93" s="2"/>
      <c r="BG93" s="2"/>
      <c r="BH93" s="2"/>
      <c r="BI93" s="2"/>
      <c r="BJ93" s="2"/>
      <c r="BK93" s="2"/>
    </row>
    <row r="94" spans="1:63" outlineLevel="1" x14ac:dyDescent="0.2">
      <c r="A94" s="4" t="s">
        <v>480</v>
      </c>
      <c r="C94" s="230">
        <f>'Ethylene Recycling HC'!C102</f>
        <v>0</v>
      </c>
      <c r="D94" s="230">
        <f>'Ethylene Recycling HC'!D102</f>
        <v>8.9071957875386427E-4</v>
      </c>
      <c r="E94" s="230">
        <f>'Ethylene Recycling HC'!E102</f>
        <v>1.8681578829159466E-3</v>
      </c>
      <c r="F94" s="230">
        <f>'Ethylene Recycling HC'!F102</f>
        <v>2.9273163985305229E-3</v>
      </c>
      <c r="G94" s="230">
        <f>'Ethylene Recycling HC'!G102</f>
        <v>4.0618358572292292E-3</v>
      </c>
      <c r="H94" s="230">
        <f>'Ethylene Recycling HC'!H102</f>
        <v>5.2640466363138485E-3</v>
      </c>
      <c r="I94" s="230">
        <f>'Ethylene Recycling HC'!I102</f>
        <v>6.5391236276757699E-3</v>
      </c>
      <c r="J94" s="230">
        <f>'Ethylene Recycling HC'!J102</f>
        <v>7.8856027463320242E-3</v>
      </c>
      <c r="K94" s="230">
        <f>'Ethylene Recycling HC'!K102</f>
        <v>9.3016980868019117E-3</v>
      </c>
      <c r="L94" s="230">
        <f>'Ethylene Recycling HC'!L102</f>
        <v>1.0785297844768945E-2</v>
      </c>
      <c r="M94" s="230">
        <f>'Ethylene Recycling HC'!M102</f>
        <v>1.2333961497513628E-2</v>
      </c>
      <c r="N94" s="230">
        <f>'Ethylene Recycling HC'!N102</f>
        <v>1.4206885663648116E-2</v>
      </c>
      <c r="O94" s="230">
        <f>'Ethylene Recycling HC'!O102</f>
        <v>1.6203682169281097E-2</v>
      </c>
      <c r="P94" s="230">
        <f>'Ethylene Recycling HC'!P102</f>
        <v>1.8167367001118432E-2</v>
      </c>
      <c r="Q94" s="230">
        <f>'Ethylene Recycling HC'!Q102</f>
        <v>2.014041275220186E-2</v>
      </c>
      <c r="R94" s="230">
        <f>'Ethylene Recycling HC'!R102</f>
        <v>2.2099172471797688E-2</v>
      </c>
      <c r="S94" s="230">
        <f>'Ethylene Recycling HC'!S102</f>
        <v>2.4062708654062116E-2</v>
      </c>
      <c r="T94" s="230">
        <f>'Ethylene Recycling HC'!T102</f>
        <v>2.6016980540295595E-2</v>
      </c>
      <c r="U94" s="230">
        <f>'Ethylene Recycling HC'!U102</f>
        <v>2.7947511972481978E-2</v>
      </c>
      <c r="V94" s="230">
        <f>'Ethylene Recycling HC'!V102</f>
        <v>2.9839398744580834E-2</v>
      </c>
      <c r="W94" s="230">
        <f>'Ethylene Recycling HC'!W102</f>
        <v>3.1677316592702398E-2</v>
      </c>
      <c r="X94" s="230">
        <f>'Ethylene Recycling HC'!X102</f>
        <v>3.3504991314138484E-2</v>
      </c>
      <c r="Y94" s="230">
        <f>'Ethylene Recycling HC'!Y102</f>
        <v>3.5813923946394405E-2</v>
      </c>
      <c r="Z94" s="230">
        <f>'Ethylene Recycling HC'!Z102</f>
        <v>3.8021109098004789E-2</v>
      </c>
      <c r="AA94" s="230">
        <f>'Ethylene Recycling HC'!AA102</f>
        <v>4.0100665228575194E-2</v>
      </c>
      <c r="AB94" s="230">
        <f>'Ethylene Recycling HC'!AB102</f>
        <v>4.2026072207396487E-2</v>
      </c>
      <c r="AC94" s="230">
        <f>'Ethylene Recycling HC'!AC102</f>
        <v>4.3770599703212378E-2</v>
      </c>
      <c r="AD94" s="230">
        <f>'Ethylene Recycling HC'!AD102</f>
        <v>4.5306539166546346E-2</v>
      </c>
      <c r="AE94" s="230">
        <f>'Ethylene Recycling HC'!AE102</f>
        <v>4.6605576543772995E-2</v>
      </c>
      <c r="AF94" s="230">
        <f>'Ethylene Recycling HC'!AF102</f>
        <v>4.7638806824867728E-2</v>
      </c>
      <c r="AG94" s="230">
        <f>'Ethylene Recycling HC'!AG102</f>
        <v>4.8376749407401221E-2</v>
      </c>
      <c r="AH94" s="245"/>
      <c r="AI94" s="133"/>
      <c r="AJ94" s="211"/>
      <c r="AL94" s="108"/>
      <c r="AM94" s="2"/>
      <c r="AN94" s="2"/>
      <c r="AO94" s="2"/>
      <c r="BC94" s="1"/>
      <c r="BD94" s="2"/>
      <c r="BE94" s="2"/>
      <c r="BF94" s="2"/>
      <c r="BG94" s="2"/>
      <c r="BH94" s="2"/>
      <c r="BI94" s="2"/>
      <c r="BJ94" s="2"/>
      <c r="BK94" s="2"/>
    </row>
    <row r="95" spans="1:63" outlineLevel="1" x14ac:dyDescent="0.2">
      <c r="A95" s="4" t="s">
        <v>474</v>
      </c>
      <c r="C95" s="230">
        <f>'Ethylene Recycling HC'!C103</f>
        <v>2.4803173811034907E-2</v>
      </c>
      <c r="D95" s="230">
        <f>'Ethylene Recycling HC'!D103</f>
        <v>2.7192891205001433E-2</v>
      </c>
      <c r="E95" s="230">
        <f>'Ethylene Recycling HC'!E103</f>
        <v>2.9649029441073574E-2</v>
      </c>
      <c r="F95" s="230">
        <f>'Ethylene Recycling HC'!F103</f>
        <v>3.2155392986339133E-2</v>
      </c>
      <c r="G95" s="230">
        <f>'Ethylene Recycling HC'!G103</f>
        <v>3.469429905056539E-2</v>
      </c>
      <c r="H95" s="230">
        <f>'Ethylene Recycling HC'!H103</f>
        <v>3.7246771771469477E-2</v>
      </c>
      <c r="I95" s="230">
        <f>'Ethylene Recycling HC'!I103</f>
        <v>3.9878618931030736E-2</v>
      </c>
      <c r="J95" s="230">
        <f>'Ethylene Recycling HC'!J103</f>
        <v>4.2585775392292878E-2</v>
      </c>
      <c r="K95" s="230">
        <f>'Ethylene Recycling HC'!K103</f>
        <v>4.5363751610722508E-2</v>
      </c>
      <c r="L95" s="230">
        <f>'Ethylene Recycling HC'!L103</f>
        <v>4.8207634435017702E-2</v>
      </c>
      <c r="M95" s="230">
        <f>'Ethylene Recycling HC'!M103</f>
        <v>5.1112089677211023E-2</v>
      </c>
      <c r="N95" s="230">
        <f>'Ethylene Recycling HC'!N103</f>
        <v>5.5087143952369959E-2</v>
      </c>
      <c r="O95" s="230">
        <f>'Ethylene Recycling HC'!O103</f>
        <v>5.9230926665581531E-2</v>
      </c>
      <c r="P95" s="230">
        <f>'Ethylene Recycling HC'!P103</f>
        <v>6.2994818628050703E-2</v>
      </c>
      <c r="Q95" s="230">
        <f>'Ethylene Recycling HC'!Q103</f>
        <v>6.6592054008765972E-2</v>
      </c>
      <c r="R95" s="230">
        <f>'Ethylene Recycling HC'!R103</f>
        <v>6.9983349002910394E-2</v>
      </c>
      <c r="S95" s="230">
        <f>'Ethylene Recycling HC'!S103</f>
        <v>7.3262108332310033E-2</v>
      </c>
      <c r="T95" s="230">
        <f>'Ethylene Recycling HC'!T103</f>
        <v>7.6407977507080838E-2</v>
      </c>
      <c r="U95" s="230">
        <f>'Ethylene Recycling HC'!U103</f>
        <v>7.9400105585368516E-2</v>
      </c>
      <c r="V95" s="230">
        <f>'Ethylene Recycling HC'!V103</f>
        <v>8.221715716615953E-2</v>
      </c>
      <c r="W95" s="230">
        <f>'Ethylene Recycling HC'!W103</f>
        <v>8.4837325168951247E-2</v>
      </c>
      <c r="X95" s="230">
        <f>'Ethylene Recycling HC'!X103</f>
        <v>8.7393442012144801E-2</v>
      </c>
      <c r="Y95" s="230">
        <f>'Ethylene Recycling HC'!Y103</f>
        <v>9.1143376719728345E-2</v>
      </c>
      <c r="Z95" s="230">
        <f>'Ethylene Recycling HC'!Z103</f>
        <v>9.4557594865834774E-2</v>
      </c>
      <c r="AA95" s="230">
        <f>'Ethylene Recycling HC'!AA103</f>
        <v>9.7599649837981514E-2</v>
      </c>
      <c r="AB95" s="230">
        <f>'Ethylene Recycling HC'!AB103</f>
        <v>0.10023238311337292</v>
      </c>
      <c r="AC95" s="230">
        <f>'Ethylene Recycling HC'!AC103</f>
        <v>0.1024189146732499</v>
      </c>
      <c r="AD95" s="230">
        <f>'Ethylene Recycling HC'!AD103</f>
        <v>0.10412077922446739</v>
      </c>
      <c r="AE95" s="230">
        <f>'Ethylene Recycling HC'!AE103</f>
        <v>0.10529883960743945</v>
      </c>
      <c r="AF95" s="230">
        <f>'Ethylene Recycling HC'!AF103</f>
        <v>0.10591330841431261</v>
      </c>
      <c r="AG95" s="230">
        <f>'Ethylene Recycling HC'!AG103</f>
        <v>0.10592377059806457</v>
      </c>
      <c r="AH95" s="245"/>
      <c r="AI95" s="133"/>
      <c r="AJ95" s="211"/>
      <c r="AL95" s="108"/>
      <c r="AM95" s="2"/>
      <c r="AN95" s="2"/>
      <c r="AO95" s="2"/>
      <c r="BC95" s="1"/>
      <c r="BD95" s="2"/>
      <c r="BE95" s="2"/>
      <c r="BF95" s="2"/>
      <c r="BG95" s="2"/>
      <c r="BH95" s="2"/>
      <c r="BI95" s="2"/>
      <c r="BJ95" s="2"/>
      <c r="BK95" s="2"/>
    </row>
    <row r="96" spans="1:63" outlineLevel="1" x14ac:dyDescent="0.2">
      <c r="A96" s="4" t="s">
        <v>248</v>
      </c>
      <c r="C96" s="230">
        <f>'Ethylene Recycling HC'!C104</f>
        <v>0</v>
      </c>
      <c r="D96" s="230">
        <f>'Ethylene Recycling HC'!D104</f>
        <v>3.9764266908654657E-5</v>
      </c>
      <c r="E96" s="230">
        <f>'Ethylene Recycling HC'!E104</f>
        <v>8.3399905487319042E-5</v>
      </c>
      <c r="F96" s="230">
        <f>'Ethylene Recycling HC'!F104</f>
        <v>1.3068376779154118E-4</v>
      </c>
      <c r="G96" s="230">
        <f>'Ethylene Recycling HC'!G104</f>
        <v>1.8133195791201914E-4</v>
      </c>
      <c r="H96" s="230">
        <f>'Ethylene Recycling HC'!H104</f>
        <v>2.3500208197829682E-4</v>
      </c>
      <c r="I96" s="230">
        <f>'Ethylene Recycling HC'!I104</f>
        <v>2.9192516194981121E-4</v>
      </c>
      <c r="J96" s="230">
        <f>'Ethylene Recycling HC'!J104</f>
        <v>3.5203583688982258E-4</v>
      </c>
      <c r="K96" s="230">
        <f>'Ethylene Recycling HC'!K104</f>
        <v>4.1525437887508538E-4</v>
      </c>
      <c r="L96" s="230">
        <f>'Ethylene Recycling HC'!L104</f>
        <v>4.8148651092718515E-4</v>
      </c>
      <c r="M96" s="230">
        <f>'Ethylene Recycling HC'!M104</f>
        <v>5.5062328113900138E-4</v>
      </c>
      <c r="N96" s="230">
        <f>'Ethylene Recycling HC'!N104</f>
        <v>6.3423596712714825E-4</v>
      </c>
      <c r="O96" s="230">
        <f>'Ethylene Recycling HC'!O104</f>
        <v>7.2337866827147765E-4</v>
      </c>
      <c r="P96" s="230">
        <f>'Ethylene Recycling HC'!P104</f>
        <v>8.1104316969278728E-4</v>
      </c>
      <c r="Q96" s="230">
        <f>'Ethylene Recycling HC'!Q104</f>
        <v>8.9912556929472591E-4</v>
      </c>
      <c r="R96" s="230">
        <f>'Ethylene Recycling HC'!R104</f>
        <v>9.8657019963382529E-4</v>
      </c>
      <c r="S96" s="230">
        <f>'Ethylene Recycling HC'!S104</f>
        <v>1.0742280649134871E-3</v>
      </c>
      <c r="T96" s="230">
        <f>'Ethylene Recycling HC'!T104</f>
        <v>1.1614723455489102E-3</v>
      </c>
      <c r="U96" s="230">
        <f>'Ethylene Recycling HC'!U104</f>
        <v>1.247656784485802E-3</v>
      </c>
      <c r="V96" s="230">
        <f>'Ethylene Recycling HC'!V104</f>
        <v>1.3321160153830721E-3</v>
      </c>
      <c r="W96" s="230">
        <f>'Ethylene Recycling HC'!W104</f>
        <v>1.4141659193170706E-3</v>
      </c>
      <c r="X96" s="230">
        <f>'Ethylene Recycling HC'!X104</f>
        <v>1.4957585408097529E-3</v>
      </c>
      <c r="Y96" s="230">
        <f>'Ethylene Recycling HC'!Y104</f>
        <v>1.5988358904640348E-3</v>
      </c>
      <c r="Z96" s="230">
        <f>'Ethylene Recycling HC'!Z104</f>
        <v>1.6973709418752127E-3</v>
      </c>
      <c r="AA96" s="230">
        <f>'Ethylene Recycling HC'!AA104</f>
        <v>1.7902082691328197E-3</v>
      </c>
      <c r="AB96" s="230">
        <f>'Ethylene Recycling HC'!AB104</f>
        <v>1.8761639378301986E-3</v>
      </c>
      <c r="AC96" s="230">
        <f>'Ethylene Recycling HC'!AC104</f>
        <v>1.9540446296076935E-3</v>
      </c>
      <c r="AD96" s="230">
        <f>'Ethylene Recycling HC'!AD104</f>
        <v>2.0226133556493883E-3</v>
      </c>
      <c r="AE96" s="230">
        <f>'Ethylene Recycling HC'!AE104</f>
        <v>2.0806060957041495E-3</v>
      </c>
      <c r="AF96" s="230">
        <f>'Ethylene Recycling HC'!AF104</f>
        <v>2.1267324475387358E-3</v>
      </c>
      <c r="AG96" s="230">
        <f>'Ethylene Recycling HC'!AG104</f>
        <v>2.1596763128304119E-3</v>
      </c>
      <c r="AH96" s="245"/>
      <c r="AI96" s="133"/>
      <c r="AJ96" s="211"/>
      <c r="AL96" s="108"/>
      <c r="AM96" s="2"/>
      <c r="AN96" s="2"/>
      <c r="AO96" s="2"/>
      <c r="BC96" s="1"/>
      <c r="BD96" s="2"/>
      <c r="BE96" s="2"/>
      <c r="BF96" s="2"/>
      <c r="BG96" s="2"/>
      <c r="BH96" s="2"/>
      <c r="BI96" s="2"/>
      <c r="BJ96" s="2"/>
      <c r="BK96" s="2"/>
    </row>
    <row r="97" spans="1:63" outlineLevel="1" x14ac:dyDescent="0.2">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c r="AD97" s="23"/>
      <c r="AE97" s="23"/>
      <c r="AF97" s="23"/>
      <c r="AG97" s="23"/>
      <c r="AI97" s="134"/>
      <c r="AJ97" s="211"/>
      <c r="AL97" s="108"/>
      <c r="AM97" s="132"/>
      <c r="AN97" s="2"/>
      <c r="AO97" s="2"/>
    </row>
    <row r="98" spans="1:63" s="200" customFormat="1" ht="16" thickBot="1" x14ac:dyDescent="0.25">
      <c r="A98" s="200" t="s">
        <v>1330</v>
      </c>
      <c r="B98" s="215"/>
      <c r="C98" s="222">
        <f>C99</f>
        <v>2.5000000000000001E-2</v>
      </c>
      <c r="D98" s="222">
        <f t="shared" ref="D98:AG98" si="28">D99</f>
        <v>3.1255416735465176E-2</v>
      </c>
      <c r="E98" s="222">
        <f t="shared" si="28"/>
        <v>3.7510833470930344E-2</v>
      </c>
      <c r="F98" s="222">
        <f t="shared" si="28"/>
        <v>4.3766250206395518E-2</v>
      </c>
      <c r="G98" s="222">
        <f t="shared" si="28"/>
        <v>5.0021666941860693E-2</v>
      </c>
      <c r="H98" s="222">
        <f t="shared" si="28"/>
        <v>5.6277083677325854E-2</v>
      </c>
      <c r="I98" s="222">
        <f t="shared" si="28"/>
        <v>6.2532500412791042E-2</v>
      </c>
      <c r="J98" s="222">
        <f t="shared" si="28"/>
        <v>6.8787917148256203E-2</v>
      </c>
      <c r="K98" s="222">
        <f t="shared" si="28"/>
        <v>7.5043333883721378E-2</v>
      </c>
      <c r="L98" s="222">
        <f t="shared" si="28"/>
        <v>8.1298750619186552E-2</v>
      </c>
      <c r="M98" s="222">
        <f t="shared" si="28"/>
        <v>8.7554167354651713E-2</v>
      </c>
      <c r="N98" s="222">
        <f t="shared" si="28"/>
        <v>0.10073866108940137</v>
      </c>
      <c r="O98" s="222">
        <f t="shared" si="28"/>
        <v>0.11392315482415102</v>
      </c>
      <c r="P98" s="222">
        <f t="shared" si="28"/>
        <v>0.12689082936587359</v>
      </c>
      <c r="Q98" s="222">
        <f t="shared" si="28"/>
        <v>0.13981189915065251</v>
      </c>
      <c r="R98" s="222">
        <f t="shared" si="28"/>
        <v>0.15268590667802953</v>
      </c>
      <c r="S98" s="222">
        <f t="shared" si="28"/>
        <v>0.16551239463970918</v>
      </c>
      <c r="T98" s="222">
        <f t="shared" si="28"/>
        <v>0.17829090591736449</v>
      </c>
      <c r="U98" s="222">
        <f t="shared" si="28"/>
        <v>0.19102098358052078</v>
      </c>
      <c r="V98" s="222">
        <f t="shared" si="28"/>
        <v>0.20370217088451925</v>
      </c>
      <c r="W98" s="222">
        <f t="shared" si="28"/>
        <v>0.21633401126856075</v>
      </c>
      <c r="X98" s="222">
        <f t="shared" si="28"/>
        <v>0.23765168719440347</v>
      </c>
      <c r="Y98" s="222">
        <f t="shared" si="28"/>
        <v>0.25888697591201537</v>
      </c>
      <c r="Z98" s="222">
        <f t="shared" si="28"/>
        <v>0.27844210511066964</v>
      </c>
      <c r="AA98" s="222">
        <f t="shared" si="28"/>
        <v>0.29765121975988834</v>
      </c>
      <c r="AB98" s="222">
        <f t="shared" si="28"/>
        <v>0.3165102524979887</v>
      </c>
      <c r="AC98" s="222">
        <f t="shared" si="28"/>
        <v>0.33501513687441647</v>
      </c>
      <c r="AD98" s="222">
        <f t="shared" si="28"/>
        <v>0.35316180740664194</v>
      </c>
      <c r="AE98" s="222">
        <f t="shared" si="28"/>
        <v>0.37094619967084697</v>
      </c>
      <c r="AF98" s="222">
        <f t="shared" si="28"/>
        <v>0.38836425042751899</v>
      </c>
      <c r="AG98" s="222">
        <f t="shared" si="28"/>
        <v>0.40541189778313569</v>
      </c>
      <c r="AJ98" s="231" t="s">
        <v>1331</v>
      </c>
      <c r="AL98" s="217"/>
      <c r="AM98" s="218"/>
      <c r="AN98" s="218"/>
      <c r="AO98" s="218"/>
    </row>
    <row r="99" spans="1:63" ht="17" outlineLevel="1" thickTop="1" x14ac:dyDescent="0.2">
      <c r="A99" t="s">
        <v>1332</v>
      </c>
      <c r="B99" s="54" t="s">
        <v>462</v>
      </c>
      <c r="C99" s="110">
        <f>'Ethylene Recycling HC'!C107*'Ethylene Recycling HC'!C$46/'Ethylene Recycling LC'!C$46</f>
        <v>2.5000000000000001E-2</v>
      </c>
      <c r="D99" s="110">
        <f>'Ethylene Recycling HC'!D107*'Ethylene Recycling HC'!D$46/'Ethylene Recycling LC'!D$46</f>
        <v>3.1255416735465176E-2</v>
      </c>
      <c r="E99" s="110">
        <f>'Ethylene Recycling HC'!E107*'Ethylene Recycling HC'!E$46/'Ethylene Recycling LC'!E$46</f>
        <v>3.7510833470930344E-2</v>
      </c>
      <c r="F99" s="110">
        <f>'Ethylene Recycling HC'!F107*'Ethylene Recycling HC'!F$46/'Ethylene Recycling LC'!F$46</f>
        <v>4.3766250206395518E-2</v>
      </c>
      <c r="G99" s="110">
        <f>'Ethylene Recycling HC'!G107*'Ethylene Recycling HC'!G$46/'Ethylene Recycling LC'!G$46</f>
        <v>5.0021666941860693E-2</v>
      </c>
      <c r="H99" s="110">
        <f>'Ethylene Recycling HC'!H107*'Ethylene Recycling HC'!H$46/'Ethylene Recycling LC'!H$46</f>
        <v>5.6277083677325854E-2</v>
      </c>
      <c r="I99" s="110">
        <f>'Ethylene Recycling HC'!I107*'Ethylene Recycling HC'!I$46/'Ethylene Recycling LC'!I$46</f>
        <v>6.2532500412791042E-2</v>
      </c>
      <c r="J99" s="110">
        <f>'Ethylene Recycling HC'!J107*'Ethylene Recycling HC'!J$46/'Ethylene Recycling LC'!J$46</f>
        <v>6.8787917148256203E-2</v>
      </c>
      <c r="K99" s="110">
        <f>'Ethylene Recycling HC'!K107*'Ethylene Recycling HC'!K$46/'Ethylene Recycling LC'!K$46</f>
        <v>7.5043333883721378E-2</v>
      </c>
      <c r="L99" s="110">
        <f>'Ethylene Recycling HC'!L107*'Ethylene Recycling HC'!L$46/'Ethylene Recycling LC'!L$46</f>
        <v>8.1298750619186552E-2</v>
      </c>
      <c r="M99" s="110">
        <f>'Ethylene Recycling HC'!M107*'Ethylene Recycling HC'!M$46/'Ethylene Recycling LC'!M$46</f>
        <v>8.7554167354651713E-2</v>
      </c>
      <c r="N99" s="110">
        <f>'Ethylene Recycling HC'!N107*'Ethylene Recycling HC'!N$46/'Ethylene Recycling LC'!N$46</f>
        <v>0.10073866108940137</v>
      </c>
      <c r="O99" s="110">
        <f>'Ethylene Recycling HC'!O107*'Ethylene Recycling HC'!O$46/'Ethylene Recycling LC'!O$46</f>
        <v>0.11392315482415102</v>
      </c>
      <c r="P99" s="110">
        <f>'Ethylene Recycling HC'!P107*'Ethylene Recycling HC'!P$46/'Ethylene Recycling LC'!P$46</f>
        <v>0.12689082936587359</v>
      </c>
      <c r="Q99" s="110">
        <f>'Ethylene Recycling HC'!Q107*'Ethylene Recycling HC'!Q$46/'Ethylene Recycling LC'!Q$46</f>
        <v>0.13981189915065251</v>
      </c>
      <c r="R99" s="110">
        <f>'Ethylene Recycling HC'!R107*'Ethylene Recycling HC'!R$46/'Ethylene Recycling LC'!R$46</f>
        <v>0.15268590667802953</v>
      </c>
      <c r="S99" s="110">
        <f>'Ethylene Recycling HC'!S107*'Ethylene Recycling HC'!S$46/'Ethylene Recycling LC'!S$46</f>
        <v>0.16551239463970918</v>
      </c>
      <c r="T99" s="110">
        <f>'Ethylene Recycling HC'!T107*'Ethylene Recycling HC'!T$46/'Ethylene Recycling LC'!T$46</f>
        <v>0.17829090591736449</v>
      </c>
      <c r="U99" s="110">
        <f>'Ethylene Recycling HC'!U107*'Ethylene Recycling HC'!U$46/'Ethylene Recycling LC'!U$46</f>
        <v>0.19102098358052078</v>
      </c>
      <c r="V99" s="110">
        <f>'Ethylene Recycling HC'!V107*'Ethylene Recycling HC'!V$46/'Ethylene Recycling LC'!V$46</f>
        <v>0.20370217088451925</v>
      </c>
      <c r="W99" s="110">
        <f>'Ethylene Recycling HC'!W107*'Ethylene Recycling HC'!W$46/'Ethylene Recycling LC'!W$46</f>
        <v>0.21633401126856075</v>
      </c>
      <c r="X99" s="110">
        <f>'Ethylene Recycling HC'!X107*'Ethylene Recycling HC'!X$46/'Ethylene Recycling LC'!X$46</f>
        <v>0.23765168719440347</v>
      </c>
      <c r="Y99" s="110">
        <f>'Ethylene Recycling HC'!Y107*'Ethylene Recycling HC'!Y$46/'Ethylene Recycling LC'!Y$46</f>
        <v>0.25888697591201537</v>
      </c>
      <c r="Z99" s="110">
        <f>'Ethylene Recycling HC'!Z107*'Ethylene Recycling HC'!Z$46/'Ethylene Recycling LC'!Z$46</f>
        <v>0.27844210511066964</v>
      </c>
      <c r="AA99" s="110">
        <f>'Ethylene Recycling HC'!AA107*'Ethylene Recycling HC'!AA$46/'Ethylene Recycling LC'!AA$46</f>
        <v>0.29765121975988834</v>
      </c>
      <c r="AB99" s="110">
        <f>'Ethylene Recycling HC'!AB107*'Ethylene Recycling HC'!AB$46/'Ethylene Recycling LC'!AB$46</f>
        <v>0.3165102524979887</v>
      </c>
      <c r="AC99" s="110">
        <f>'Ethylene Recycling HC'!AC107*'Ethylene Recycling HC'!AC$46/'Ethylene Recycling LC'!AC$46</f>
        <v>0.33501513687441647</v>
      </c>
      <c r="AD99" s="110">
        <f>'Ethylene Recycling HC'!AD107*'Ethylene Recycling HC'!AD$46/'Ethylene Recycling LC'!AD$46</f>
        <v>0.35316180740664194</v>
      </c>
      <c r="AE99" s="110">
        <f>'Ethylene Recycling HC'!AE107*'Ethylene Recycling HC'!AE$46/'Ethylene Recycling LC'!AE$46</f>
        <v>0.37094619967084697</v>
      </c>
      <c r="AF99" s="110">
        <f>'Ethylene Recycling HC'!AF107*'Ethylene Recycling HC'!AF$46/'Ethylene Recycling LC'!AF$46</f>
        <v>0.38836425042751899</v>
      </c>
      <c r="AG99" s="110">
        <f>'Ethylene Recycling HC'!AG107*'Ethylene Recycling HC'!AG$46/'Ethylene Recycling LC'!AG$46</f>
        <v>0.40541189778313569</v>
      </c>
      <c r="AI99" s="133" t="s">
        <v>1314</v>
      </c>
      <c r="AJ99" s="211"/>
    </row>
    <row r="100" spans="1:63" ht="16" outlineLevel="1" x14ac:dyDescent="0.2">
      <c r="A100" t="s">
        <v>1333</v>
      </c>
      <c r="B100" s="54" t="s">
        <v>462</v>
      </c>
      <c r="C100" s="110">
        <f>'Ethylene Recycling HC'!C110*'Ethylene Recycling HC'!C$46/'Ethylene Recycling LC'!C$46</f>
        <v>2E-3</v>
      </c>
      <c r="D100" s="110">
        <f>'Ethylene Recycling HC'!D110*'Ethylene Recycling HC'!D$46/'Ethylene Recycling LC'!D$46</f>
        <v>3.2505633404883785E-3</v>
      </c>
      <c r="E100" s="110">
        <f>'Ethylene Recycling HC'!E110*'Ethylene Recycling HC'!E$46/'Ethylene Recycling LC'!E$46</f>
        <v>4.8013866842790843E-3</v>
      </c>
      <c r="F100" s="110">
        <f>'Ethylene Recycling HC'!F110*'Ethylene Recycling HC'!F$46/'Ethylene Recycling LC'!F$46</f>
        <v>6.6524700313721182E-3</v>
      </c>
      <c r="G100" s="110">
        <f>'Ethylene Recycling HC'!G110*'Ethylene Recycling HC'!G$46/'Ethylene Recycling LC'!G$46</f>
        <v>8.8038133817674811E-3</v>
      </c>
      <c r="H100" s="110">
        <f>'Ethylene Recycling HC'!H110*'Ethylene Recycling HC'!H$46/'Ethylene Recycling LC'!H$46</f>
        <v>1.125541673546517E-2</v>
      </c>
      <c r="I100" s="110">
        <f>'Ethylene Recycling HC'!I110*'Ethylene Recycling HC'!I$46/'Ethylene Recycling LC'!I$46</f>
        <v>1.400728009246519E-2</v>
      </c>
      <c r="J100" s="110">
        <f>'Ethylene Recycling HC'!J110*'Ethylene Recycling HC'!J$46/'Ethylene Recycling LC'!J$46</f>
        <v>1.7059403452767536E-2</v>
      </c>
      <c r="K100" s="110">
        <f>'Ethylene Recycling HC'!K110*'Ethylene Recycling HC'!K$46/'Ethylene Recycling LC'!K$46</f>
        <v>2.0411786816372211E-2</v>
      </c>
      <c r="L100" s="110">
        <f>'Ethylene Recycling HC'!L110*'Ethylene Recycling HC'!L$46/'Ethylene Recycling LC'!L$46</f>
        <v>2.4064430183279219E-2</v>
      </c>
      <c r="M100" s="110">
        <f>'Ethylene Recycling HC'!M110*'Ethylene Recycling HC'!M$46/'Ethylene Recycling LC'!M$46</f>
        <v>2.8017333553488549E-2</v>
      </c>
      <c r="N100" s="110">
        <f>'Ethylene Recycling HC'!N110*'Ethylene Recycling HC'!N$46/'Ethylene Recycling LC'!N$46</f>
        <v>3.4654099414754072E-2</v>
      </c>
      <c r="O100" s="110">
        <f>'Ethylene Recycling HC'!O110*'Ethylene Recycling HC'!O$46/'Ethylene Recycling LC'!O$46</f>
        <v>4.1923720975287584E-2</v>
      </c>
      <c r="P100" s="110">
        <f>'Ethylene Recycling HC'!P110*'Ethylene Recycling HC'!P$46/'Ethylene Recycling LC'!P$46</f>
        <v>4.9741205111422458E-2</v>
      </c>
      <c r="Q100" s="110">
        <f>'Ethylene Recycling HC'!Q110*'Ethylene Recycling HC'!Q$46/'Ethylene Recycling LC'!Q$46</f>
        <v>5.8161750046671457E-2</v>
      </c>
      <c r="R100" s="110">
        <f>'Ethylene Recycling HC'!R110*'Ethylene Recycling HC'!R$46/'Ethylene Recycling LC'!R$46</f>
        <v>6.7181798938333009E-2</v>
      </c>
      <c r="S100" s="110">
        <f>'Ethylene Recycling HC'!S110*'Ethylene Recycling HC'!S$46/'Ethylene Recycling LC'!S$46</f>
        <v>7.679775111282508E-2</v>
      </c>
      <c r="T100" s="110">
        <f>'Ethylene Recycling HC'!T110*'Ethylene Recycling HC'!T$46/'Ethylene Recycling LC'!T$46</f>
        <v>8.7005962087673888E-2</v>
      </c>
      <c r="U100" s="110">
        <f>'Ethylene Recycling HC'!U110*'Ethylene Recycling HC'!U$46/'Ethylene Recycling LC'!U$46</f>
        <v>9.780274359322666E-2</v>
      </c>
      <c r="V100" s="110">
        <f>'Ethylene Recycling HC'!V110*'Ethylene Recycling HC'!V$46/'Ethylene Recycling LC'!V$46</f>
        <v>0.10918436359410236</v>
      </c>
      <c r="W100" s="110">
        <f>'Ethylene Recycling HC'!W110*'Ethylene Recycling HC'!W$46/'Ethylene Recycling LC'!W$46</f>
        <v>0.12114704631039405</v>
      </c>
      <c r="X100" s="110">
        <f>'Ethylene Recycling HC'!X110*'Ethylene Recycling HC'!X$46/'Ethylene Recycling LC'!X$46</f>
        <v>0.13878858532153165</v>
      </c>
      <c r="Y100" s="110">
        <f>'Ethylene Recycling HC'!Y110*'Ethylene Recycling HC'!Y$46/'Ethylene Recycling LC'!Y$46</f>
        <v>0.1574032813545054</v>
      </c>
      <c r="Z100" s="110">
        <f>'Ethylene Recycling HC'!Z110*'Ethylene Recycling HC'!Z$46/'Ethylene Recycling LC'!Z$46</f>
        <v>0.17597541042994327</v>
      </c>
      <c r="AA100" s="110">
        <f>'Ethylene Recycling HC'!AA110*'Ethylene Recycling HC'!AA$46/'Ethylene Recycling LC'!AA$46</f>
        <v>0.19525920016248682</v>
      </c>
      <c r="AB100" s="110">
        <f>'Ethylene Recycling HC'!AB110*'Ethylene Recycling HC'!AB$46/'Ethylene Recycling LC'!AB$46</f>
        <v>0.21522697169863239</v>
      </c>
      <c r="AC100" s="110">
        <f>'Ethylene Recycling HC'!AC110*'Ethylene Recycling HC'!AC$46/'Ethylene Recycling LC'!AC$46</f>
        <v>0.23585065635958929</v>
      </c>
      <c r="AD100" s="110">
        <f>'Ethylene Recycling HC'!AD110*'Ethylene Recycling HC'!AD$46/'Ethylene Recycling LC'!AD$46</f>
        <v>0.2571017957920354</v>
      </c>
      <c r="AE100" s="110">
        <f>'Ethylene Recycling HC'!AE110*'Ethylene Recycling HC'!AE$46/'Ethylene Recycling LC'!AE$46</f>
        <v>0.27895154215247703</v>
      </c>
      <c r="AF100" s="110">
        <f>'Ethylene Recycling HC'!AF110*'Ethylene Recycling HC'!AF$46/'Ethylene Recycling LC'!AF$46</f>
        <v>0.30137065833175486</v>
      </c>
      <c r="AG100" s="110">
        <f>'Ethylene Recycling HC'!AG110*'Ethylene Recycling HC'!AG$46/'Ethylene Recycling LC'!AG$46</f>
        <v>0.32432951822650857</v>
      </c>
      <c r="AI100" s="133" t="s">
        <v>1314</v>
      </c>
      <c r="AJ100" s="211"/>
      <c r="BD100" s="203"/>
      <c r="BE100" s="203"/>
    </row>
    <row r="101" spans="1:63" ht="16" outlineLevel="1" x14ac:dyDescent="0.2">
      <c r="A101" t="s">
        <v>1334</v>
      </c>
      <c r="B101" s="54" t="s">
        <v>462</v>
      </c>
      <c r="C101" s="110">
        <f>'Ethylene Recycling HC'!C111*'Ethylene Recycling HC'!C$46/'Ethylene Recycling LC'!C$46</f>
        <v>2.3000000000000003E-2</v>
      </c>
      <c r="D101" s="110">
        <f>'Ethylene Recycling HC'!D111*'Ethylene Recycling HC'!D$46/'Ethylene Recycling LC'!D$46</f>
        <v>2.8004853394976801E-2</v>
      </c>
      <c r="E101" s="110">
        <f>'Ethylene Recycling HC'!E111*'Ethylene Recycling HC'!E$46/'Ethylene Recycling LC'!E$46</f>
        <v>3.2709446786651261E-2</v>
      </c>
      <c r="F101" s="110">
        <f>'Ethylene Recycling HC'!F111*'Ethylene Recycling HC'!F$46/'Ethylene Recycling LC'!F$46</f>
        <v>3.7113780175023398E-2</v>
      </c>
      <c r="G101" s="110">
        <f>'Ethylene Recycling HC'!G111*'Ethylene Recycling HC'!G$46/'Ethylene Recycling LC'!G$46</f>
        <v>4.1217853560093214E-2</v>
      </c>
      <c r="H101" s="110">
        <f>'Ethylene Recycling HC'!H111*'Ethylene Recycling HC'!H$46/'Ethylene Recycling LC'!H$46</f>
        <v>4.5021666941860689E-2</v>
      </c>
      <c r="I101" s="110">
        <f>'Ethylene Recycling HC'!I111*'Ethylene Recycling HC'!I$46/'Ethylene Recycling LC'!I$46</f>
        <v>4.852522032032585E-2</v>
      </c>
      <c r="J101" s="110">
        <f>'Ethylene Recycling HC'!J111*'Ethylene Recycling HC'!J$46/'Ethylene Recycling LC'!J$46</f>
        <v>5.1728513695488657E-2</v>
      </c>
      <c r="K101" s="110">
        <f>'Ethylene Recycling HC'!K111*'Ethylene Recycling HC'!K$46/'Ethylene Recycling LC'!K$46</f>
        <v>5.4631547067349163E-2</v>
      </c>
      <c r="L101" s="110">
        <f>'Ethylene Recycling HC'!L111*'Ethylene Recycling HC'!L$46/'Ethylene Recycling LC'!L$46</f>
        <v>5.7234320435907329E-2</v>
      </c>
      <c r="M101" s="110">
        <f>'Ethylene Recycling HC'!M111*'Ethylene Recycling HC'!M$46/'Ethylene Recycling LC'!M$46</f>
        <v>5.9536833801163161E-2</v>
      </c>
      <c r="N101" s="110">
        <f>'Ethylene Recycling HC'!N111*'Ethylene Recycling HC'!N$46/'Ethylene Recycling LC'!N$46</f>
        <v>6.6084561674647282E-2</v>
      </c>
      <c r="O101" s="110">
        <f>'Ethylene Recycling HC'!O111*'Ethylene Recycling HC'!O$46/'Ethylene Recycling LC'!O$46</f>
        <v>7.1999433848863439E-2</v>
      </c>
      <c r="P101" s="110">
        <f>'Ethylene Recycling HC'!P111*'Ethylene Recycling HC'!P$46/'Ethylene Recycling LC'!P$46</f>
        <v>7.7149624254451113E-2</v>
      </c>
      <c r="Q101" s="110">
        <f>'Ethylene Recycling HC'!Q111*'Ethylene Recycling HC'!Q$46/'Ethylene Recycling LC'!Q$46</f>
        <v>8.1650149103981051E-2</v>
      </c>
      <c r="R101" s="110">
        <f>'Ethylene Recycling HC'!R111*'Ethylene Recycling HC'!R$46/'Ethylene Recycling LC'!R$46</f>
        <v>8.5504107739696494E-2</v>
      </c>
      <c r="S101" s="110">
        <f>'Ethylene Recycling HC'!S111*'Ethylene Recycling HC'!S$46/'Ethylene Recycling LC'!S$46</f>
        <v>8.8714643526884102E-2</v>
      </c>
      <c r="T101" s="110">
        <f>'Ethylene Recycling HC'!T111*'Ethylene Recycling HC'!T$46/'Ethylene Recycling LC'!T$46</f>
        <v>9.1284943829690574E-2</v>
      </c>
      <c r="U101" s="110">
        <f>'Ethylene Recycling HC'!U111*'Ethylene Recycling HC'!U$46/'Ethylene Recycling LC'!U$46</f>
        <v>9.3218239987294116E-2</v>
      </c>
      <c r="V101" s="110">
        <f>'Ethylene Recycling HC'!V111*'Ethylene Recycling HC'!V$46/'Ethylene Recycling LC'!V$46</f>
        <v>9.4517807290416922E-2</v>
      </c>
      <c r="W101" s="110">
        <f>'Ethylene Recycling HC'!W111*'Ethylene Recycling HC'!W$46/'Ethylene Recycling LC'!W$46</f>
        <v>9.5186964958166698E-2</v>
      </c>
      <c r="X101" s="110">
        <f>'Ethylene Recycling HC'!X111*'Ethylene Recycling HC'!X$46/'Ethylene Recycling LC'!X$46</f>
        <v>9.8863101872871798E-2</v>
      </c>
      <c r="Y101" s="110">
        <f>'Ethylene Recycling HC'!Y111*'Ethylene Recycling HC'!Y$46/'Ethylene Recycling LC'!Y$46</f>
        <v>0.10148369455750997</v>
      </c>
      <c r="Z101" s="110">
        <f>'Ethylene Recycling HC'!Z111*'Ethylene Recycling HC'!Z$46/'Ethylene Recycling LC'!Z$46</f>
        <v>0.10246669468072635</v>
      </c>
      <c r="AA101" s="110">
        <f>'Ethylene Recycling HC'!AA111*'Ethylene Recycling HC'!AA$46/'Ethylene Recycling LC'!AA$46</f>
        <v>0.10239201959740152</v>
      </c>
      <c r="AB101" s="110">
        <f>'Ethylene Recycling HC'!AB111*'Ethylene Recycling HC'!AB$46/'Ethylene Recycling LC'!AB$46</f>
        <v>0.10128328079935631</v>
      </c>
      <c r="AC101" s="110">
        <f>'Ethylene Recycling HC'!AC111*'Ethylene Recycling HC'!AC$46/'Ethylene Recycling LC'!AC$46</f>
        <v>9.916448051482718E-2</v>
      </c>
      <c r="AD101" s="110">
        <f>'Ethylene Recycling HC'!AD111*'Ethylene Recycling HC'!AD$46/'Ethylene Recycling LC'!AD$46</f>
        <v>9.6060011614606491E-2</v>
      </c>
      <c r="AE101" s="110">
        <f>'Ethylene Recycling HC'!AE111*'Ethylene Recycling HC'!AE$46/'Ethylene Recycling LC'!AE$46</f>
        <v>9.1994657518369924E-2</v>
      </c>
      <c r="AF101" s="110">
        <f>'Ethylene Recycling HC'!AF111*'Ethylene Recycling HC'!AF$46/'Ethylene Recycling LC'!AF$46</f>
        <v>8.6993592095764113E-2</v>
      </c>
      <c r="AG101" s="110">
        <f>'Ethylene Recycling HC'!AG111*'Ethylene Recycling HC'!AG$46/'Ethylene Recycling LC'!AG$46</f>
        <v>8.1082379556627129E-2</v>
      </c>
      <c r="AI101" s="133" t="s">
        <v>1314</v>
      </c>
      <c r="AJ101" s="211"/>
      <c r="BD101" s="203"/>
      <c r="BE101" s="203"/>
    </row>
    <row r="102" spans="1:63" ht="16" outlineLevel="1" x14ac:dyDescent="0.2">
      <c r="A102" t="s">
        <v>1335</v>
      </c>
      <c r="B102" s="54" t="s">
        <v>462</v>
      </c>
      <c r="C102" s="110">
        <f>'Ethylene Recycling HC'!C118*'Ethylene Recycling HC'!C$46/'Ethylene Recycling LC'!C$46</f>
        <v>1.1960000000000002E-2</v>
      </c>
      <c r="D102" s="110">
        <f>'Ethylene Recycling HC'!D118*'Ethylene Recycling HC'!D$46/'Ethylene Recycling LC'!D$46</f>
        <v>1.4562523765387934E-2</v>
      </c>
      <c r="E102" s="110">
        <f>'Ethylene Recycling HC'!E118*'Ethylene Recycling HC'!E$46/'Ethylene Recycling LC'!E$46</f>
        <v>1.7008912329058656E-2</v>
      </c>
      <c r="F102" s="110">
        <f>'Ethylene Recycling HC'!F118*'Ethylene Recycling HC'!F$46/'Ethylene Recycling LC'!F$46</f>
        <v>1.9299165691012168E-2</v>
      </c>
      <c r="G102" s="110">
        <f>'Ethylene Recycling HC'!G118*'Ethylene Recycling HC'!G$46/'Ethylene Recycling LC'!G$46</f>
        <v>2.1433283851248472E-2</v>
      </c>
      <c r="H102" s="110">
        <f>'Ethylene Recycling HC'!H118*'Ethylene Recycling HC'!H$46/'Ethylene Recycling LC'!H$46</f>
        <v>2.3411266809767559E-2</v>
      </c>
      <c r="I102" s="110">
        <f>'Ethylene Recycling HC'!I118*'Ethylene Recycling HC'!I$46/'Ethylene Recycling LC'!I$46</f>
        <v>2.5233114566569442E-2</v>
      </c>
      <c r="J102" s="110">
        <f>'Ethylene Recycling HC'!J118*'Ethylene Recycling HC'!J$46/'Ethylene Recycling LC'!J$46</f>
        <v>2.6898827121654104E-2</v>
      </c>
      <c r="K102" s="110">
        <f>'Ethylene Recycling HC'!K118*'Ethylene Recycling HC'!K$46/'Ethylene Recycling LC'!K$46</f>
        <v>2.8408404475021569E-2</v>
      </c>
      <c r="L102" s="110">
        <f>'Ethylene Recycling HC'!L118*'Ethylene Recycling HC'!L$46/'Ethylene Recycling LC'!L$46</f>
        <v>2.9761846626671813E-2</v>
      </c>
      <c r="M102" s="110">
        <f>'Ethylene Recycling HC'!M118*'Ethylene Recycling HC'!M$46/'Ethylene Recycling LC'!M$46</f>
        <v>3.0959153576604843E-2</v>
      </c>
      <c r="N102" s="110">
        <f>'Ethylene Recycling HC'!N118*'Ethylene Recycling HC'!N$46/'Ethylene Recycling LC'!N$46</f>
        <v>3.4363972070816588E-2</v>
      </c>
      <c r="O102" s="110">
        <f>'Ethylene Recycling HC'!O118*'Ethylene Recycling HC'!O$46/'Ethylene Recycling LC'!O$46</f>
        <v>3.7439705601408989E-2</v>
      </c>
      <c r="P102" s="110">
        <f>'Ethylene Recycling HC'!P118*'Ethylene Recycling HC'!P$46/'Ethylene Recycling LC'!P$46</f>
        <v>4.0117804612314588E-2</v>
      </c>
      <c r="Q102" s="110">
        <f>'Ethylene Recycling HC'!Q118*'Ethylene Recycling HC'!Q$46/'Ethylene Recycling LC'!Q$46</f>
        <v>4.2458077534070139E-2</v>
      </c>
      <c r="R102" s="110">
        <f>'Ethylene Recycling HC'!R118*'Ethylene Recycling HC'!R$46/'Ethylene Recycling LC'!R$46</f>
        <v>4.4462136024642183E-2</v>
      </c>
      <c r="S102" s="110">
        <f>'Ethylene Recycling HC'!S118*'Ethylene Recycling HC'!S$46/'Ethylene Recycling LC'!S$46</f>
        <v>4.6131614633979731E-2</v>
      </c>
      <c r="T102" s="110">
        <f>'Ethylene Recycling HC'!T118*'Ethylene Recycling HC'!T$46/'Ethylene Recycling LC'!T$46</f>
        <v>4.7468170791439099E-2</v>
      </c>
      <c r="U102" s="110">
        <f>'Ethylene Recycling HC'!U118*'Ethylene Recycling HC'!U$46/'Ethylene Recycling LC'!U$46</f>
        <v>4.8473484793392939E-2</v>
      </c>
      <c r="V102" s="110">
        <f>'Ethylene Recycling HC'!V118*'Ethylene Recycling HC'!V$46/'Ethylene Recycling LC'!V$46</f>
        <v>4.9149259791016801E-2</v>
      </c>
      <c r="W102" s="110">
        <f>'Ethylene Recycling HC'!W118*'Ethylene Recycling HC'!W$46/'Ethylene Recycling LC'!W$46</f>
        <v>4.9497221778246683E-2</v>
      </c>
      <c r="X102" s="110">
        <f>'Ethylene Recycling HC'!X118*'Ethylene Recycling HC'!X$46/'Ethylene Recycling LC'!X$46</f>
        <v>5.1408812973893339E-2</v>
      </c>
      <c r="Y102" s="110">
        <f>'Ethylene Recycling HC'!Y118*'Ethylene Recycling HC'!Y$46/'Ethylene Recycling LC'!Y$46</f>
        <v>5.2771521169905189E-2</v>
      </c>
      <c r="Z102" s="110">
        <f>'Ethylene Recycling HC'!Z118*'Ethylene Recycling HC'!Z$46/'Ethylene Recycling LC'!Z$46</f>
        <v>5.3282681233977704E-2</v>
      </c>
      <c r="AA102" s="110">
        <f>'Ethylene Recycling HC'!AA118*'Ethylene Recycling HC'!AA$46/'Ethylene Recycling LC'!AA$46</f>
        <v>5.3243850190648791E-2</v>
      </c>
      <c r="AB102" s="110">
        <f>'Ethylene Recycling HC'!AB118*'Ethylene Recycling HC'!AB$46/'Ethylene Recycling LC'!AB$46</f>
        <v>5.2667306015665279E-2</v>
      </c>
      <c r="AC102" s="110">
        <f>'Ethylene Recycling HC'!AC118*'Ethylene Recycling HC'!AC$46/'Ethylene Recycling LC'!AC$46</f>
        <v>5.1565529867710139E-2</v>
      </c>
      <c r="AD102" s="110">
        <f>'Ethylene Recycling HC'!AD118*'Ethylene Recycling HC'!AD$46/'Ethylene Recycling LC'!AD$46</f>
        <v>4.9951206039595381E-2</v>
      </c>
      <c r="AE102" s="110">
        <f>'Ethylene Recycling HC'!AE118*'Ethylene Recycling HC'!AE$46/'Ethylene Recycling LC'!AE$46</f>
        <v>4.7837221909552356E-2</v>
      </c>
      <c r="AF102" s="110">
        <f>'Ethylene Recycling HC'!AF118*'Ethylene Recycling HC'!AF$46/'Ethylene Recycling LC'!AF$46</f>
        <v>4.5236667889797341E-2</v>
      </c>
      <c r="AG102" s="110">
        <f>'Ethylene Recycling HC'!AG118*'Ethylene Recycling HC'!AG$46/'Ethylene Recycling LC'!AG$46</f>
        <v>4.2162837369446107E-2</v>
      </c>
      <c r="AI102" s="133" t="s">
        <v>1314</v>
      </c>
      <c r="AJ102" s="211"/>
      <c r="BD102" s="203"/>
      <c r="BE102" s="203"/>
    </row>
    <row r="103" spans="1:63" ht="16" outlineLevel="1" x14ac:dyDescent="0.2">
      <c r="A103" t="s">
        <v>1336</v>
      </c>
      <c r="B103" s="54" t="s">
        <v>462</v>
      </c>
      <c r="C103" s="110">
        <f>'Ethylene Recycling HC'!C119*'Ethylene Recycling HC'!C$46/'Ethylene Recycling LC'!C$46</f>
        <v>2.7600000000000003E-3</v>
      </c>
      <c r="D103" s="110">
        <f>'Ethylene Recycling HC'!D119*'Ethylene Recycling HC'!D$46/'Ethylene Recycling LC'!D$46</f>
        <v>3.3605824073972158E-3</v>
      </c>
      <c r="E103" s="110">
        <f>'Ethylene Recycling HC'!E119*'Ethylene Recycling HC'!E$46/'Ethylene Recycling LC'!E$46</f>
        <v>3.9251336143981512E-3</v>
      </c>
      <c r="F103" s="110">
        <f>'Ethylene Recycling HC'!F119*'Ethylene Recycling HC'!F$46/'Ethylene Recycling LC'!F$46</f>
        <v>4.4536536210028075E-3</v>
      </c>
      <c r="G103" s="110">
        <f>'Ethylene Recycling HC'!G119*'Ethylene Recycling HC'!G$46/'Ethylene Recycling LC'!G$46</f>
        <v>4.9461424272111854E-3</v>
      </c>
      <c r="H103" s="110">
        <f>'Ethylene Recycling HC'!H119*'Ethylene Recycling HC'!H$46/'Ethylene Recycling LC'!H$46</f>
        <v>5.4026000330232825E-3</v>
      </c>
      <c r="I103" s="110">
        <f>'Ethylene Recycling HC'!I119*'Ethylene Recycling HC'!I$46/'Ethylene Recycling LC'!I$46</f>
        <v>5.8230264384391021E-3</v>
      </c>
      <c r="J103" s="110">
        <f>'Ethylene Recycling HC'!J119*'Ethylene Recycling HC'!J$46/'Ethylene Recycling LC'!J$46</f>
        <v>6.2074216434586382E-3</v>
      </c>
      <c r="K103" s="110">
        <f>'Ethylene Recycling HC'!K119*'Ethylene Recycling HC'!K$46/'Ethylene Recycling LC'!K$46</f>
        <v>6.5557856480818986E-3</v>
      </c>
      <c r="L103" s="110">
        <f>'Ethylene Recycling HC'!L119*'Ethylene Recycling HC'!L$46/'Ethylene Recycling LC'!L$46</f>
        <v>6.868118452308879E-3</v>
      </c>
      <c r="M103" s="110">
        <f>'Ethylene Recycling HC'!M119*'Ethylene Recycling HC'!M$46/'Ethylene Recycling LC'!M$46</f>
        <v>7.1444200561395785E-3</v>
      </c>
      <c r="N103" s="110">
        <f>'Ethylene Recycling HC'!N119*'Ethylene Recycling HC'!N$46/'Ethylene Recycling LC'!N$46</f>
        <v>7.9301474009576736E-3</v>
      </c>
      <c r="O103" s="110">
        <f>'Ethylene Recycling HC'!O119*'Ethylene Recycling HC'!O$46/'Ethylene Recycling LC'!O$46</f>
        <v>8.6399320618636127E-3</v>
      </c>
      <c r="P103" s="110">
        <f>'Ethylene Recycling HC'!P119*'Ethylene Recycling HC'!P$46/'Ethylene Recycling LC'!P$46</f>
        <v>9.257954910534133E-3</v>
      </c>
      <c r="Q103" s="110">
        <f>'Ethylene Recycling HC'!Q119*'Ethylene Recycling HC'!Q$46/'Ethylene Recycling LC'!Q$46</f>
        <v>9.7980178924777263E-3</v>
      </c>
      <c r="R103" s="110">
        <f>'Ethylene Recycling HC'!R119*'Ethylene Recycling HC'!R$46/'Ethylene Recycling LC'!R$46</f>
        <v>1.0260492928763579E-2</v>
      </c>
      <c r="S103" s="110">
        <f>'Ethylene Recycling HC'!S119*'Ethylene Recycling HC'!S$46/'Ethylene Recycling LC'!S$46</f>
        <v>1.0645757223226091E-2</v>
      </c>
      <c r="T103" s="110">
        <f>'Ethylene Recycling HC'!T119*'Ethylene Recycling HC'!T$46/'Ethylene Recycling LC'!T$46</f>
        <v>1.095419325956287E-2</v>
      </c>
      <c r="U103" s="110">
        <f>'Ethylene Recycling HC'!U119*'Ethylene Recycling HC'!U$46/'Ethylene Recycling LC'!U$46</f>
        <v>1.1186188798475294E-2</v>
      </c>
      <c r="V103" s="110">
        <f>'Ethylene Recycling HC'!V119*'Ethylene Recycling HC'!V$46/'Ethylene Recycling LC'!V$46</f>
        <v>1.1342136874850028E-2</v>
      </c>
      <c r="W103" s="110">
        <f>'Ethylene Recycling HC'!W119*'Ethylene Recycling HC'!W$46/'Ethylene Recycling LC'!W$46</f>
        <v>1.1422435794980002E-2</v>
      </c>
      <c r="X103" s="110">
        <f>'Ethylene Recycling HC'!X119*'Ethylene Recycling HC'!X$46/'Ethylene Recycling LC'!X$46</f>
        <v>1.1863572224744615E-2</v>
      </c>
      <c r="Y103" s="110">
        <f>'Ethylene Recycling HC'!Y119*'Ethylene Recycling HC'!Y$46/'Ethylene Recycling LC'!Y$46</f>
        <v>1.2178043346901195E-2</v>
      </c>
      <c r="Z103" s="110">
        <f>'Ethylene Recycling HC'!Z119*'Ethylene Recycling HC'!Z$46/'Ethylene Recycling LC'!Z$46</f>
        <v>1.2296003361687163E-2</v>
      </c>
      <c r="AA103" s="110">
        <f>'Ethylene Recycling HC'!AA119*'Ethylene Recycling HC'!AA$46/'Ethylene Recycling LC'!AA$46</f>
        <v>1.2287042351688182E-2</v>
      </c>
      <c r="AB103" s="110">
        <f>'Ethylene Recycling HC'!AB119*'Ethylene Recycling HC'!AB$46/'Ethylene Recycling LC'!AB$46</f>
        <v>1.2153993695922754E-2</v>
      </c>
      <c r="AC103" s="110">
        <f>'Ethylene Recycling HC'!AC119*'Ethylene Recycling HC'!AC$46/'Ethylene Recycling LC'!AC$46</f>
        <v>1.1899737661779262E-2</v>
      </c>
      <c r="AD103" s="110">
        <f>'Ethylene Recycling HC'!AD119*'Ethylene Recycling HC'!AD$46/'Ethylene Recycling LC'!AD$46</f>
        <v>1.1527201393752779E-2</v>
      </c>
      <c r="AE103" s="110">
        <f>'Ethylene Recycling HC'!AE119*'Ethylene Recycling HC'!AE$46/'Ethylene Recycling LC'!AE$46</f>
        <v>1.103935890220439E-2</v>
      </c>
      <c r="AF103" s="110">
        <f>'Ethylene Recycling HC'!AF119*'Ethylene Recycling HC'!AF$46/'Ethylene Recycling LC'!AF$46</f>
        <v>1.0439231051491691E-2</v>
      </c>
      <c r="AG103" s="110">
        <f>'Ethylene Recycling HC'!AG119*'Ethylene Recycling HC'!AG$46/'Ethylene Recycling LC'!AG$46</f>
        <v>9.7298855467952538E-3</v>
      </c>
      <c r="AI103" s="133" t="s">
        <v>1314</v>
      </c>
      <c r="AJ103" s="211"/>
      <c r="AL103" s="1"/>
      <c r="BC103" s="1"/>
      <c r="BD103" s="693"/>
      <c r="BE103" s="686"/>
      <c r="BF103" s="6"/>
      <c r="BG103" s="6"/>
      <c r="BH103" s="6"/>
      <c r="BI103" s="6"/>
      <c r="BJ103" s="6"/>
    </row>
    <row r="104" spans="1:63" ht="16" outlineLevel="1" x14ac:dyDescent="0.2">
      <c r="A104" t="s">
        <v>1337</v>
      </c>
      <c r="B104" s="54" t="s">
        <v>462</v>
      </c>
      <c r="C104" s="110">
        <f>'Ethylene Recycling HC'!C120*'Ethylene Recycling HC'!C$46/'Ethylene Recycling LC'!C$46</f>
        <v>8.2800000000000009E-3</v>
      </c>
      <c r="D104" s="110">
        <f>'Ethylene Recycling HC'!D120*'Ethylene Recycling HC'!D$46/'Ethylene Recycling LC'!D$46</f>
        <v>1.0081747222191647E-2</v>
      </c>
      <c r="E104" s="110">
        <f>'Ethylene Recycling HC'!E120*'Ethylene Recycling HC'!E$46/'Ethylene Recycling LC'!E$46</f>
        <v>1.1775400843194454E-2</v>
      </c>
      <c r="F104" s="110">
        <f>'Ethylene Recycling HC'!F120*'Ethylene Recycling HC'!F$46/'Ethylene Recycling LC'!F$46</f>
        <v>1.3360960863008423E-2</v>
      </c>
      <c r="G104" s="110">
        <f>'Ethylene Recycling HC'!G120*'Ethylene Recycling HC'!G$46/'Ethylene Recycling LC'!G$46</f>
        <v>1.4838427281633556E-2</v>
      </c>
      <c r="H104" s="110">
        <f>'Ethylene Recycling HC'!H120*'Ethylene Recycling HC'!H$46/'Ethylene Recycling LC'!H$46</f>
        <v>1.6207800099069847E-2</v>
      </c>
      <c r="I104" s="110">
        <f>'Ethylene Recycling HC'!I120*'Ethylene Recycling HC'!I$46/'Ethylene Recycling LC'!I$46</f>
        <v>1.7469079315317305E-2</v>
      </c>
      <c r="J104" s="110">
        <f>'Ethylene Recycling HC'!J120*'Ethylene Recycling HC'!J$46/'Ethylene Recycling LC'!J$46</f>
        <v>1.8622264930375918E-2</v>
      </c>
      <c r="K104" s="110">
        <f>'Ethylene Recycling HC'!K120*'Ethylene Recycling HC'!K$46/'Ethylene Recycling LC'!K$46</f>
        <v>1.9667356944245699E-2</v>
      </c>
      <c r="L104" s="110">
        <f>'Ethylene Recycling HC'!L120*'Ethylene Recycling HC'!L$46/'Ethylene Recycling LC'!L$46</f>
        <v>2.0604355356926639E-2</v>
      </c>
      <c r="M104" s="110">
        <f>'Ethylene Recycling HC'!M120*'Ethylene Recycling HC'!M$46/'Ethylene Recycling LC'!M$46</f>
        <v>2.1433260168418736E-2</v>
      </c>
      <c r="N104" s="110">
        <f>'Ethylene Recycling HC'!N120*'Ethylene Recycling HC'!N$46/'Ethylene Recycling LC'!N$46</f>
        <v>2.3790442202873019E-2</v>
      </c>
      <c r="O104" s="110">
        <f>'Ethylene Recycling HC'!O120*'Ethylene Recycling HC'!O$46/'Ethylene Recycling LC'!O$46</f>
        <v>2.591979618559084E-2</v>
      </c>
      <c r="P104" s="110">
        <f>'Ethylene Recycling HC'!P120*'Ethylene Recycling HC'!P$46/'Ethylene Recycling LC'!P$46</f>
        <v>2.7773864731602402E-2</v>
      </c>
      <c r="Q104" s="110">
        <f>'Ethylene Recycling HC'!Q120*'Ethylene Recycling HC'!Q$46/'Ethylene Recycling LC'!Q$46</f>
        <v>2.9394053677433179E-2</v>
      </c>
      <c r="R104" s="110">
        <f>'Ethylene Recycling HC'!R120*'Ethylene Recycling HC'!R$46/'Ethylene Recycling LC'!R$46</f>
        <v>3.0781478786290738E-2</v>
      </c>
      <c r="S104" s="110">
        <f>'Ethylene Recycling HC'!S120*'Ethylene Recycling HC'!S$46/'Ethylene Recycling LC'!S$46</f>
        <v>3.1937271669678274E-2</v>
      </c>
      <c r="T104" s="110">
        <f>'Ethylene Recycling HC'!T120*'Ethylene Recycling HC'!T$46/'Ethylene Recycling LC'!T$46</f>
        <v>3.2862579778688603E-2</v>
      </c>
      <c r="U104" s="110">
        <f>'Ethylene Recycling HC'!U120*'Ethylene Recycling HC'!U$46/'Ethylene Recycling LC'!U$46</f>
        <v>3.3558566395425884E-2</v>
      </c>
      <c r="V104" s="110">
        <f>'Ethylene Recycling HC'!V120*'Ethylene Recycling HC'!V$46/'Ethylene Recycling LC'!V$46</f>
        <v>3.4026410624550085E-2</v>
      </c>
      <c r="W104" s="110">
        <f>'Ethylene Recycling HC'!W120*'Ethylene Recycling HC'!W$46/'Ethylene Recycling LC'!W$46</f>
        <v>3.4267307384940007E-2</v>
      </c>
      <c r="X104" s="110">
        <f>'Ethylene Recycling HC'!X120*'Ethylene Recycling HC'!X$46/'Ethylene Recycling LC'!X$46</f>
        <v>3.5590716674233851E-2</v>
      </c>
      <c r="Y104" s="110">
        <f>'Ethylene Recycling HC'!Y120*'Ethylene Recycling HC'!Y$46/'Ethylene Recycling LC'!Y$46</f>
        <v>3.6534130040703584E-2</v>
      </c>
      <c r="Z104" s="110">
        <f>'Ethylene Recycling HC'!Z120*'Ethylene Recycling HC'!Z$46/'Ethylene Recycling LC'!Z$46</f>
        <v>3.6888010085061484E-2</v>
      </c>
      <c r="AA104" s="110">
        <f>'Ethylene Recycling HC'!AA120*'Ethylene Recycling HC'!AA$46/'Ethylene Recycling LC'!AA$46</f>
        <v>3.6861127055064537E-2</v>
      </c>
      <c r="AB104" s="110">
        <f>'Ethylene Recycling HC'!AB120*'Ethylene Recycling HC'!AB$46/'Ethylene Recycling LC'!AB$46</f>
        <v>3.6461981087768262E-2</v>
      </c>
      <c r="AC104" s="110">
        <f>'Ethylene Recycling HC'!AC120*'Ethylene Recycling HC'!AC$46/'Ethylene Recycling LC'!AC$46</f>
        <v>3.5699212985337778E-2</v>
      </c>
      <c r="AD104" s="110">
        <f>'Ethylene Recycling HC'!AD120*'Ethylene Recycling HC'!AD$46/'Ethylene Recycling LC'!AD$46</f>
        <v>3.4581604181258337E-2</v>
      </c>
      <c r="AE104" s="110">
        <f>'Ethylene Recycling HC'!AE120*'Ethylene Recycling HC'!AE$46/'Ethylene Recycling LC'!AE$46</f>
        <v>3.3118076706613167E-2</v>
      </c>
      <c r="AF104" s="110">
        <f>'Ethylene Recycling HC'!AF120*'Ethylene Recycling HC'!AF$46/'Ethylene Recycling LC'!AF$46</f>
        <v>3.1317693154475079E-2</v>
      </c>
      <c r="AG104" s="110">
        <f>'Ethylene Recycling HC'!AG120*'Ethylene Recycling HC'!AG$46/'Ethylene Recycling LC'!AG$46</f>
        <v>2.9189656640385763E-2</v>
      </c>
      <c r="AI104" s="133" t="s">
        <v>1314</v>
      </c>
      <c r="AJ104" s="211"/>
      <c r="BC104" s="1"/>
      <c r="BD104" s="41"/>
      <c r="BF104" s="6"/>
      <c r="BG104" s="6"/>
      <c r="BH104" s="6"/>
      <c r="BI104" s="6"/>
      <c r="BJ104" s="6"/>
    </row>
    <row r="105" spans="1:63" outlineLevel="1" x14ac:dyDescent="0.2">
      <c r="C105" s="110"/>
      <c r="D105" s="110"/>
      <c r="E105" s="110"/>
      <c r="F105" s="110"/>
      <c r="G105" s="110"/>
      <c r="H105" s="110"/>
      <c r="I105" s="110"/>
      <c r="J105" s="110"/>
      <c r="K105" s="110"/>
      <c r="L105" s="110"/>
      <c r="M105" s="110"/>
      <c r="N105" s="110"/>
      <c r="O105" s="110"/>
      <c r="P105" s="110"/>
      <c r="Q105" s="110"/>
      <c r="R105" s="110"/>
      <c r="S105" s="110"/>
      <c r="T105" s="110"/>
      <c r="U105" s="110"/>
      <c r="V105" s="110"/>
      <c r="W105" s="110"/>
      <c r="X105" s="110"/>
      <c r="Y105" s="110"/>
      <c r="Z105" s="110"/>
      <c r="AA105" s="110"/>
      <c r="AB105" s="110"/>
      <c r="AC105" s="110"/>
      <c r="AD105" s="110"/>
      <c r="AE105" s="110"/>
      <c r="AF105" s="110"/>
      <c r="AG105" s="110"/>
      <c r="AI105" s="133"/>
      <c r="AJ105" s="211"/>
      <c r="BC105" s="1"/>
      <c r="BD105" s="41"/>
      <c r="BF105" s="6"/>
      <c r="BG105" s="6"/>
      <c r="BH105" s="6"/>
      <c r="BI105" s="6"/>
      <c r="BJ105" s="6"/>
    </row>
    <row r="106" spans="1:63" s="1" customFormat="1" outlineLevel="1" x14ac:dyDescent="0.2">
      <c r="A106" s="1" t="s">
        <v>228</v>
      </c>
      <c r="B106" s="65"/>
      <c r="C106" s="300">
        <f>'Ethylene Recycling HC'!C130</f>
        <v>5.3282886712939133E-3</v>
      </c>
      <c r="D106" s="300">
        <f>'Ethylene Recycling HC'!D130</f>
        <v>8.9211563866526834E-3</v>
      </c>
      <c r="E106" s="300">
        <f>'Ethylene Recycling HC'!E130</f>
        <v>1.3539186992593613E-2</v>
      </c>
      <c r="F106" s="300">
        <f>'Ethylene Recycling HC'!F130</f>
        <v>1.9223459542103728E-2</v>
      </c>
      <c r="G106" s="300">
        <f>'Ethylene Recycling HC'!G130</f>
        <v>2.6001729306348805E-2</v>
      </c>
      <c r="H106" s="300">
        <f>'Ethylene Recycling HC'!H130</f>
        <v>3.3887269030810976E-2</v>
      </c>
      <c r="I106" s="300">
        <f>'Ethylene Recycling HC'!I130</f>
        <v>4.2970449915570842E-2</v>
      </c>
      <c r="J106" s="300">
        <f>'Ethylene Recycling HC'!J130</f>
        <v>5.329890202609297E-2</v>
      </c>
      <c r="K106" s="300">
        <f>'Ethylene Recycling HC'!K130</f>
        <v>6.4918838923360797E-2</v>
      </c>
      <c r="L106" s="300">
        <f>'Ethylene Recycling HC'!L130</f>
        <v>7.7874861943349638E-2</v>
      </c>
      <c r="M106" s="300">
        <f>'Ethylene Recycling HC'!M130</f>
        <v>9.2209763823172836E-2</v>
      </c>
      <c r="N106" s="300">
        <f>'Ethylene Recycling HC'!N130</f>
        <v>0.1157730402625701</v>
      </c>
      <c r="O106" s="300">
        <f>'Ethylene Recycling HC'!O130</f>
        <v>0.14190181281567329</v>
      </c>
      <c r="P106" s="300">
        <f>'Ethylene Recycling HC'!P130</f>
        <v>0.16996176632738758</v>
      </c>
      <c r="Q106" s="300">
        <f>'Ethylene Recycling HC'!Q130</f>
        <v>0.20023787785677699</v>
      </c>
      <c r="R106" s="300">
        <f>'Ethylene Recycling HC'!R130</f>
        <v>0.23259453697023341</v>
      </c>
      <c r="S106" s="300">
        <f>'Ethylene Recycling HC'!S130</f>
        <v>0.26735035921499151</v>
      </c>
      <c r="T106" s="300">
        <f>'Ethylene Recycling HC'!T130</f>
        <v>0.30451653062068068</v>
      </c>
      <c r="U106" s="300">
        <f>'Ethylene Recycling HC'!U130</f>
        <v>0.34410233255711065</v>
      </c>
      <c r="V106" s="300">
        <f>'Ethylene Recycling HC'!V130</f>
        <v>0.38611511243586555</v>
      </c>
      <c r="W106" s="300">
        <f>'Ethylene Recycling HC'!W130</f>
        <v>0.43056025614084376</v>
      </c>
      <c r="X106" s="300">
        <f>'Ethylene Recycling HC'!X130</f>
        <v>0.49566619861243605</v>
      </c>
      <c r="Y106" s="300">
        <f>'Ethylene Recycling HC'!Y130</f>
        <v>0.56482434215384225</v>
      </c>
      <c r="Z106" s="300">
        <f>'Ethylene Recycling HC'!Z130</f>
        <v>0.63279968317977475</v>
      </c>
      <c r="AA106" s="300">
        <f>'Ethylene Recycling HC'!AA130</f>
        <v>0.70350913687021377</v>
      </c>
      <c r="AB106" s="300">
        <f>'Ethylene Recycling HC'!AB130</f>
        <v>0.77683373171579806</v>
      </c>
      <c r="AC106" s="300">
        <f>'Ethylene Recycling HC'!AC130</f>
        <v>0.85265773651025456</v>
      </c>
      <c r="AD106" s="300">
        <f>'Ethylene Recycling HC'!AD130</f>
        <v>0.9308549127976754</v>
      </c>
      <c r="AE106" s="300">
        <f>'Ethylene Recycling HC'!AE130</f>
        <v>1.0112946319358935</v>
      </c>
      <c r="AF106" s="300">
        <f>'Ethylene Recycling HC'!AF130</f>
        <v>1.0938420254583157</v>
      </c>
      <c r="AG106" s="300">
        <f>'Ethylene Recycling HC'!AG130</f>
        <v>1.1783581433322206</v>
      </c>
      <c r="AH106" s="422"/>
      <c r="AI106" s="423"/>
      <c r="AJ106" s="424"/>
      <c r="AL106" s="221"/>
      <c r="AM106" s="124"/>
      <c r="AN106" s="124"/>
      <c r="AO106" s="124"/>
      <c r="BD106" s="124"/>
      <c r="BE106" s="124"/>
      <c r="BF106" s="124"/>
      <c r="BG106" s="124"/>
      <c r="BH106" s="124"/>
      <c r="BI106" s="124"/>
      <c r="BJ106" s="124"/>
      <c r="BK106" s="124"/>
    </row>
    <row r="107" spans="1:63" outlineLevel="1" x14ac:dyDescent="0.2">
      <c r="A107" s="4" t="s">
        <v>258</v>
      </c>
      <c r="C107" s="230">
        <f>'Ethylene Recycling HC'!C131</f>
        <v>4.2990647651049707E-3</v>
      </c>
      <c r="D107" s="230">
        <f>'Ethylene Recycling HC'!D131</f>
        <v>7.1713521472450189E-3</v>
      </c>
      <c r="E107" s="230">
        <f>'Ethylene Recycling HC'!E131</f>
        <v>1.0843267541403532E-2</v>
      </c>
      <c r="F107" s="230">
        <f>'Ethylene Recycling HC'!F131</f>
        <v>1.5338426788676732E-2</v>
      </c>
      <c r="G107" s="230">
        <f>'Ethylene Recycling HC'!G131</f>
        <v>2.0669364892115981E-2</v>
      </c>
      <c r="H107" s="230">
        <f>'Ethylene Recycling HC'!H131</f>
        <v>2.6836816799464744E-2</v>
      </c>
      <c r="I107" s="230">
        <f>'Ethylene Recycling HC'!I131</f>
        <v>3.3902187305766295E-2</v>
      </c>
      <c r="J107" s="230">
        <f>'Ethylene Recycling HC'!J131</f>
        <v>4.1892210474123261E-2</v>
      </c>
      <c r="K107" s="230">
        <f>'Ethylene Recycling HC'!K131</f>
        <v>5.0831943716434125E-2</v>
      </c>
      <c r="L107" s="230">
        <f>'Ethylene Recycling HC'!L131</f>
        <v>6.0744636223000005E-2</v>
      </c>
      <c r="M107" s="230">
        <f>'Ethylene Recycling HC'!M131</f>
        <v>7.1651600382510977E-2</v>
      </c>
      <c r="N107" s="230">
        <f>'Ethylene Recycling HC'!N131</f>
        <v>8.961658309877861E-2</v>
      </c>
      <c r="O107" s="230">
        <f>'Ethylene Recycling HC'!O131</f>
        <v>0.10941942107286672</v>
      </c>
      <c r="P107" s="230">
        <f>'Ethylene Recycling HC'!P131</f>
        <v>0.13054996201576591</v>
      </c>
      <c r="Q107" s="230">
        <f>'Ethylene Recycling HC'!Q131</f>
        <v>0.1532089941545707</v>
      </c>
      <c r="R107" s="230">
        <f>'Ethylene Recycling HC'!R131</f>
        <v>0.1772733568393243</v>
      </c>
      <c r="S107" s="230">
        <f>'Ethylene Recycling HC'!S131</f>
        <v>0.20296634332000896</v>
      </c>
      <c r="T107" s="230">
        <f>'Ethylene Recycling HC'!T131</f>
        <v>0.2302749727380933</v>
      </c>
      <c r="U107" s="230">
        <f>'Ethylene Recycling HC'!U131</f>
        <v>0.25918469632475605</v>
      </c>
      <c r="V107" s="230">
        <f>'Ethylene Recycling HC'!V131</f>
        <v>0.28967940378780721</v>
      </c>
      <c r="W107" s="230">
        <f>'Ethylene Recycling HC'!W131</f>
        <v>0.32174143151422574</v>
      </c>
      <c r="X107" s="230">
        <f>'Ethylene Recycling HC'!X131</f>
        <v>0.36891616619488199</v>
      </c>
      <c r="Y107" s="230">
        <f>'Ethylene Recycling HC'!Y131</f>
        <v>0.41870694439462802</v>
      </c>
      <c r="Z107" s="230">
        <f>'Ethylene Recycling HC'!Z131</f>
        <v>0.46721241540170227</v>
      </c>
      <c r="AA107" s="230">
        <f>'Ethylene Recycling HC'!AA131</f>
        <v>0.51732344156194088</v>
      </c>
      <c r="AB107" s="230">
        <f>'Ethylene Recycling HC'!AB131</f>
        <v>0.56892845896549404</v>
      </c>
      <c r="AC107" s="230">
        <f>'Ethylene Recycling HC'!AC131</f>
        <v>0.62191968470443537</v>
      </c>
      <c r="AD107" s="230">
        <f>'Ethylene Recycling HC'!AD131</f>
        <v>0.676183082240982</v>
      </c>
      <c r="AE107" s="230">
        <f>'Ethylene Recycling HC'!AE131</f>
        <v>0.73160294318094554</v>
      </c>
      <c r="AF107" s="230">
        <f>'Ethylene Recycling HC'!AF131</f>
        <v>0.78806206098934273</v>
      </c>
      <c r="AG107" s="230">
        <f>'Ethylene Recycling HC'!AG131</f>
        <v>0.84544190768415051</v>
      </c>
      <c r="AH107" s="245"/>
      <c r="AI107" s="133"/>
      <c r="AJ107" s="211"/>
      <c r="AL107" s="108"/>
      <c r="AM107" s="2"/>
      <c r="AN107" s="2"/>
      <c r="AO107" s="2"/>
      <c r="BC107" s="1"/>
      <c r="BD107" s="2"/>
      <c r="BE107" s="2"/>
      <c r="BF107" s="2"/>
      <c r="BG107" s="2"/>
      <c r="BH107" s="2"/>
      <c r="BI107" s="2"/>
      <c r="BJ107" s="2"/>
      <c r="BK107" s="2"/>
    </row>
    <row r="108" spans="1:63" outlineLevel="1" x14ac:dyDescent="0.2">
      <c r="A108" s="4" t="s">
        <v>478</v>
      </c>
      <c r="C108" s="230">
        <f>'Ethylene Recycling HC'!C132</f>
        <v>5.3317797175375387E-4</v>
      </c>
      <c r="D108" s="230">
        <f>'Ethylene Recycling HC'!D132</f>
        <v>8.6294347322198798E-4</v>
      </c>
      <c r="E108" s="230">
        <f>'Ethylene Recycling HC'!E132</f>
        <v>1.2644853895042458E-3</v>
      </c>
      <c r="F108" s="230">
        <f>'Ethylene Recycling HC'!F132</f>
        <v>1.7312449120055293E-3</v>
      </c>
      <c r="G108" s="230">
        <f>'Ethylene Recycling HC'!G132</f>
        <v>2.2549596682377659E-3</v>
      </c>
      <c r="H108" s="230">
        <f>'Ethylene Recycling HC'!H132</f>
        <v>2.8257893050887698E-3</v>
      </c>
      <c r="I108" s="230">
        <f>'Ethylene Recycling HC'!I132</f>
        <v>3.4398883010618377E-3</v>
      </c>
      <c r="J108" s="230">
        <f>'Ethylene Recycling HC'!J132</f>
        <v>4.088926428590608E-3</v>
      </c>
      <c r="K108" s="230">
        <f>'Ethylene Recycling HC'!K132</f>
        <v>4.7638340314241747E-3</v>
      </c>
      <c r="L108" s="230">
        <f>'Ethylene Recycling HC'!L132</f>
        <v>5.454811939089828E-3</v>
      </c>
      <c r="M108" s="230">
        <f>'Ethylene Recycling HC'!M132</f>
        <v>6.1513452547473646E-3</v>
      </c>
      <c r="N108" s="230">
        <f>'Ethylene Recycling HC'!N132</f>
        <v>7.3370966013088625E-3</v>
      </c>
      <c r="O108" s="230">
        <f>'Ethylene Recycling HC'!O132</f>
        <v>8.5196871355172187E-3</v>
      </c>
      <c r="P108" s="230">
        <f>'Ethylene Recycling HC'!P132</f>
        <v>9.637477011357011E-3</v>
      </c>
      <c r="Q108" s="230">
        <f>'Ethylene Recycling HC'!Q132</f>
        <v>1.0686350500903691E-2</v>
      </c>
      <c r="R108" s="230">
        <f>'Ethylene Recycling HC'!R132</f>
        <v>1.1637346539698369E-2</v>
      </c>
      <c r="S108" s="230">
        <f>'Ethylene Recycling HC'!S132</f>
        <v>1.2484524487733229E-2</v>
      </c>
      <c r="T108" s="230">
        <f>'Ethylene Recycling HC'!T132</f>
        <v>1.3204362040136719E-2</v>
      </c>
      <c r="U108" s="230">
        <f>'Ethylene Recycling HC'!U132</f>
        <v>1.3773111410946346E-2</v>
      </c>
      <c r="V108" s="230">
        <f>'Ethylene Recycling HC'!V132</f>
        <v>1.416683002325886E-2</v>
      </c>
      <c r="W108" s="230">
        <f>'Ethylene Recycling HC'!W132</f>
        <v>1.4361411843401771E-2</v>
      </c>
      <c r="X108" s="230">
        <f>'Ethylene Recycling HC'!X132</f>
        <v>1.4879728637838322E-2</v>
      </c>
      <c r="Y108" s="230">
        <f>'Ethylene Recycling HC'!Y132</f>
        <v>1.5071850931259819E-2</v>
      </c>
      <c r="Z108" s="230">
        <f>'Ethylene Recycling HC'!Z132</f>
        <v>1.4775000048035706E-2</v>
      </c>
      <c r="AA108" s="230">
        <f>'Ethylene Recycling HC'!AA132</f>
        <v>1.4079401393078297E-2</v>
      </c>
      <c r="AB108" s="230">
        <f>'Ethylene Recycling HC'!AB132</f>
        <v>1.2955711768445002E-2</v>
      </c>
      <c r="AC108" s="230">
        <f>'Ethylene Recycling HC'!AC132</f>
        <v>1.1376218534653443E-2</v>
      </c>
      <c r="AD108" s="230">
        <f>'Ethylene Recycling HC'!AD132</f>
        <v>9.3146480046464395E-3</v>
      </c>
      <c r="AE108" s="230">
        <f>'Ethylene Recycling HC'!AE132</f>
        <v>6.746381486498281E-3</v>
      </c>
      <c r="AF108" s="230">
        <f>'Ethylene Recycling HC'!AF132</f>
        <v>3.6485290026603855E-3</v>
      </c>
      <c r="AG108" s="230">
        <f>'Ethylene Recycling HC'!AG132</f>
        <v>0</v>
      </c>
      <c r="AH108" s="245"/>
      <c r="AI108" s="133"/>
      <c r="AJ108" s="211"/>
      <c r="AL108" s="108"/>
      <c r="AM108" s="2"/>
      <c r="AN108" s="2"/>
      <c r="AO108" s="2"/>
      <c r="BC108" s="1"/>
      <c r="BD108" s="2"/>
      <c r="BE108" s="2"/>
      <c r="BF108" s="2"/>
      <c r="BG108" s="2"/>
      <c r="BH108" s="2"/>
      <c r="BI108" s="2"/>
      <c r="BJ108" s="2"/>
      <c r="BK108" s="2"/>
    </row>
    <row r="109" spans="1:63" outlineLevel="1" x14ac:dyDescent="0.2">
      <c r="A109" s="4" t="s">
        <v>480</v>
      </c>
      <c r="C109" s="230">
        <f>'Ethylene Recycling HC'!C133</f>
        <v>0</v>
      </c>
      <c r="D109" s="230">
        <f>'Ethylene Recycling HC'!D133</f>
        <v>3.1861272809473869E-5</v>
      </c>
      <c r="E109" s="230">
        <f>'Ethylene Recycling HC'!E133</f>
        <v>9.6708478518525798E-5</v>
      </c>
      <c r="F109" s="230">
        <f>'Ethylene Recycling HC'!F133</f>
        <v>2.0596563795111138E-4</v>
      </c>
      <c r="G109" s="230">
        <f>'Ethylene Recycling HC'!G133</f>
        <v>3.7145327580498291E-4</v>
      </c>
      <c r="H109" s="230">
        <f>'Ethylene Recycling HC'!H133</f>
        <v>6.0512980412162458E-4</v>
      </c>
      <c r="I109" s="230">
        <f>'Ethylene Recycling HC'!I133</f>
        <v>9.207953553336609E-4</v>
      </c>
      <c r="J109" s="230">
        <f>'Ethylene Recycling HC'!J133</f>
        <v>1.3324725506523244E-3</v>
      </c>
      <c r="K109" s="230">
        <f>'Ethylene Recycling HC'!K133</f>
        <v>1.8548239692388801E-3</v>
      </c>
      <c r="L109" s="230">
        <f>'Ethylene Recycling HC'!L133</f>
        <v>2.5031205624648101E-3</v>
      </c>
      <c r="M109" s="230">
        <f>'Ethylene Recycling HC'!M133</f>
        <v>3.2932058508276015E-3</v>
      </c>
      <c r="N109" s="230">
        <f>'Ethylene Recycling HC'!N133</f>
        <v>4.5482265817438257E-3</v>
      </c>
      <c r="O109" s="230">
        <f>'Ethylene Recycling HC'!O133</f>
        <v>6.0815062635288563E-3</v>
      </c>
      <c r="P109" s="230">
        <f>'Ethylene Recycling HC'!P133</f>
        <v>7.8910820080572812E-3</v>
      </c>
      <c r="Q109" s="230">
        <f>'Ethylene Recycling HC'!Q133</f>
        <v>1.0011893892838852E-2</v>
      </c>
      <c r="R109" s="230">
        <f>'Ethylene Recycling HC'!R133</f>
        <v>1.2460421623405363E-2</v>
      </c>
      <c r="S109" s="230">
        <f>'Ethylene Recycling HC'!S133</f>
        <v>1.5277163383713804E-2</v>
      </c>
      <c r="T109" s="230">
        <f>'Ethylene Recycling HC'!T133</f>
        <v>1.8488503644827046E-2</v>
      </c>
      <c r="U109" s="230">
        <f>'Ethylene Recycling HC'!U133</f>
        <v>2.2120864235814258E-2</v>
      </c>
      <c r="V109" s="230">
        <f>'Ethylene Recycling HC'!V133</f>
        <v>2.620066834386231E-2</v>
      </c>
      <c r="W109" s="230">
        <f>'Ethylene Recycling HC'!W133</f>
        <v>3.0754304010060272E-2</v>
      </c>
      <c r="X109" s="230">
        <f>'Ethylene Recycling HC'!X133</f>
        <v>3.7174964895932708E-2</v>
      </c>
      <c r="Y109" s="230">
        <f>'Ethylene Recycling HC'!Y133</f>
        <v>4.4379055454944756E-2</v>
      </c>
      <c r="Z109" s="230">
        <f>'Ethylene Recycling HC'!Z133</f>
        <v>5.1979973975481507E-2</v>
      </c>
      <c r="AA109" s="230">
        <f>'Ethylene Recycling HC'!AA133</f>
        <v>6.0300783160304045E-2</v>
      </c>
      <c r="AB109" s="230">
        <f>'Ethylene Recycling HC'!AB133</f>
        <v>6.9360154617481976E-2</v>
      </c>
      <c r="AC109" s="230">
        <f>'Ethylene Recycling HC'!AC133</f>
        <v>7.9175361247380796E-2</v>
      </c>
      <c r="AD109" s="230">
        <f>'Ethylene Recycling HC'!AD133</f>
        <v>8.9761009448347293E-2</v>
      </c>
      <c r="AE109" s="230">
        <f>'Ethylene Recycling HC'!AE133</f>
        <v>0.10112946319358937</v>
      </c>
      <c r="AF109" s="230">
        <f>'Ethylene Recycling HC'!AF133</f>
        <v>0.11329078120818271</v>
      </c>
      <c r="AG109" s="230">
        <f>'Ethylene Recycling HC'!AG133</f>
        <v>0.12625265821416648</v>
      </c>
      <c r="AH109" s="245"/>
      <c r="AI109" s="133"/>
      <c r="AJ109" s="211"/>
      <c r="AL109" s="108"/>
      <c r="AM109" s="2"/>
      <c r="AN109" s="2"/>
      <c r="AO109" s="2"/>
      <c r="BC109" s="1"/>
      <c r="BD109" s="2"/>
      <c r="BE109" s="2"/>
      <c r="BF109" s="2"/>
      <c r="BG109" s="2"/>
      <c r="BH109" s="2"/>
      <c r="BI109" s="2"/>
      <c r="BJ109" s="2"/>
      <c r="BK109" s="2"/>
    </row>
    <row r="110" spans="1:63" outlineLevel="1" x14ac:dyDescent="0.2">
      <c r="A110" s="4" t="s">
        <v>474</v>
      </c>
      <c r="C110" s="230">
        <f>'Ethylene Recycling HC'!C134</f>
        <v>0</v>
      </c>
      <c r="D110" s="230">
        <f>'Ethylene Recycling HC'!D134</f>
        <v>0</v>
      </c>
      <c r="E110" s="230">
        <f>'Ethylene Recycling HC'!E134</f>
        <v>0</v>
      </c>
      <c r="F110" s="230">
        <f>'Ethylene Recycling HC'!F134</f>
        <v>0</v>
      </c>
      <c r="G110" s="230">
        <f>'Ethylene Recycling HC'!G134</f>
        <v>0</v>
      </c>
      <c r="H110" s="230">
        <f>'Ethylene Recycling HC'!H134</f>
        <v>0</v>
      </c>
      <c r="I110" s="230">
        <f>'Ethylene Recycling HC'!I134</f>
        <v>0</v>
      </c>
      <c r="J110" s="230">
        <f>'Ethylene Recycling HC'!J134</f>
        <v>0</v>
      </c>
      <c r="K110" s="230">
        <f>'Ethylene Recycling HC'!K134</f>
        <v>0</v>
      </c>
      <c r="L110" s="230">
        <f>'Ethylene Recycling HC'!L134</f>
        <v>0</v>
      </c>
      <c r="M110" s="230">
        <f>'Ethylene Recycling HC'!M134</f>
        <v>0</v>
      </c>
      <c r="N110" s="230">
        <f>'Ethylene Recycling HC'!N134</f>
        <v>0</v>
      </c>
      <c r="O110" s="230">
        <f>'Ethylene Recycling HC'!O134</f>
        <v>0</v>
      </c>
      <c r="P110" s="230">
        <f>'Ethylene Recycling HC'!P134</f>
        <v>0</v>
      </c>
      <c r="Q110" s="230">
        <f>'Ethylene Recycling HC'!Q134</f>
        <v>0</v>
      </c>
      <c r="R110" s="230">
        <f>'Ethylene Recycling HC'!R134</f>
        <v>0</v>
      </c>
      <c r="S110" s="230">
        <f>'Ethylene Recycling HC'!S134</f>
        <v>0</v>
      </c>
      <c r="T110" s="230">
        <f>'Ethylene Recycling HC'!T134</f>
        <v>0</v>
      </c>
      <c r="U110" s="230">
        <f>'Ethylene Recycling HC'!U134</f>
        <v>0</v>
      </c>
      <c r="V110" s="230">
        <f>'Ethylene Recycling HC'!V134</f>
        <v>0</v>
      </c>
      <c r="W110" s="230">
        <f>'Ethylene Recycling HC'!W134</f>
        <v>0</v>
      </c>
      <c r="X110" s="230">
        <f>'Ethylene Recycling HC'!X134</f>
        <v>0</v>
      </c>
      <c r="Y110" s="230">
        <f>'Ethylene Recycling HC'!Y134</f>
        <v>0</v>
      </c>
      <c r="Z110" s="230">
        <f>'Ethylene Recycling HC'!Z134</f>
        <v>0</v>
      </c>
      <c r="AA110" s="230">
        <f>'Ethylene Recycling HC'!AA134</f>
        <v>0</v>
      </c>
      <c r="AB110" s="230">
        <f>'Ethylene Recycling HC'!AB134</f>
        <v>0</v>
      </c>
      <c r="AC110" s="230">
        <f>'Ethylene Recycling HC'!AC134</f>
        <v>0</v>
      </c>
      <c r="AD110" s="230">
        <f>'Ethylene Recycling HC'!AD134</f>
        <v>0</v>
      </c>
      <c r="AE110" s="230">
        <f>'Ethylene Recycling HC'!AE134</f>
        <v>0</v>
      </c>
      <c r="AF110" s="230">
        <f>'Ethylene Recycling HC'!AF134</f>
        <v>0</v>
      </c>
      <c r="AG110" s="230">
        <f>'Ethylene Recycling HC'!AG134</f>
        <v>0</v>
      </c>
      <c r="AH110" s="245"/>
      <c r="AI110" s="133"/>
      <c r="AJ110" s="211"/>
      <c r="AL110" s="108"/>
      <c r="AM110" s="2"/>
      <c r="AN110" s="2"/>
      <c r="AO110" s="2"/>
      <c r="BC110" s="1"/>
      <c r="BD110" s="2"/>
      <c r="BE110" s="2"/>
      <c r="BF110" s="2"/>
      <c r="BG110" s="2"/>
      <c r="BH110" s="2"/>
      <c r="BI110" s="2"/>
      <c r="BJ110" s="2"/>
      <c r="BK110" s="2"/>
    </row>
    <row r="111" spans="1:63" outlineLevel="1" x14ac:dyDescent="0.2">
      <c r="A111" s="4" t="s">
        <v>248</v>
      </c>
      <c r="C111" s="230">
        <f>'Ethylene Recycling HC'!C135</f>
        <v>4.9604593443518881E-4</v>
      </c>
      <c r="D111" s="230">
        <f>'Ethylene Recycling HC'!D135</f>
        <v>8.5499949337620247E-4</v>
      </c>
      <c r="E111" s="230">
        <f>'Ethylene Recycling HC'!E135</f>
        <v>1.3347255831673106E-3</v>
      </c>
      <c r="F111" s="230">
        <f>'Ethylene Recycling HC'!F135</f>
        <v>1.9478222034703561E-3</v>
      </c>
      <c r="G111" s="230">
        <f>'Ethylene Recycling HC'!G135</f>
        <v>2.7059514701900777E-3</v>
      </c>
      <c r="H111" s="230">
        <f>'Ethylene Recycling HC'!H135</f>
        <v>3.6195331221358417E-3</v>
      </c>
      <c r="I111" s="230">
        <f>'Ethylene Recycling HC'!I135</f>
        <v>4.7075789534090588E-3</v>
      </c>
      <c r="J111" s="230">
        <f>'Ethylene Recycling HC'!J135</f>
        <v>5.9852925727267928E-3</v>
      </c>
      <c r="K111" s="230">
        <f>'Ethylene Recycling HC'!K135</f>
        <v>7.4682372062636329E-3</v>
      </c>
      <c r="L111" s="230">
        <f>'Ethylene Recycling HC'!L135</f>
        <v>9.1722932187950166E-3</v>
      </c>
      <c r="M111" s="230">
        <f>'Ethylene Recycling HC'!M135</f>
        <v>1.1113612335086925E-2</v>
      </c>
      <c r="N111" s="230">
        <f>'Ethylene Recycling HC'!N135</f>
        <v>1.4271133980738851E-2</v>
      </c>
      <c r="O111" s="230">
        <f>'Ethylene Recycling HC'!O135</f>
        <v>1.7881198343760573E-2</v>
      </c>
      <c r="P111" s="230">
        <f>'Ethylene Recycling HC'!P135</f>
        <v>2.1883245292207459E-2</v>
      </c>
      <c r="Q111" s="230">
        <f>'Ethylene Recycling HC'!Q135</f>
        <v>2.6330639308463875E-2</v>
      </c>
      <c r="R111" s="230">
        <f>'Ethylene Recycling HC'!R135</f>
        <v>3.1223411967805537E-2</v>
      </c>
      <c r="S111" s="230">
        <f>'Ethylene Recycling HC'!S135</f>
        <v>3.6622328023535718E-2</v>
      </c>
      <c r="T111" s="230">
        <f>'Ethylene Recycling HC'!T135</f>
        <v>4.2548692197623854E-2</v>
      </c>
      <c r="U111" s="230">
        <f>'Ethylene Recycling HC'!U135</f>
        <v>4.9023660585594264E-2</v>
      </c>
      <c r="V111" s="230">
        <f>'Ethylene Recycling HC'!V135</f>
        <v>5.6068210280937482E-2</v>
      </c>
      <c r="W111" s="230">
        <f>'Ethylene Recycling HC'!W135</f>
        <v>6.3703108773156394E-2</v>
      </c>
      <c r="X111" s="230">
        <f>'Ethylene Recycling HC'!X135</f>
        <v>7.4695338883783505E-2</v>
      </c>
      <c r="Y111" s="230">
        <f>'Ethylene Recycling HC'!Y135</f>
        <v>8.666649137301026E-2</v>
      </c>
      <c r="Z111" s="230">
        <f>'Ethylene Recycling HC'!Z135</f>
        <v>9.8832293754555975E-2</v>
      </c>
      <c r="AA111" s="230">
        <f>'Ethylene Recycling HC'!AA135</f>
        <v>0.11180551075489144</v>
      </c>
      <c r="AB111" s="230">
        <f>'Ethylene Recycling HC'!AB135</f>
        <v>0.12558940636437804</v>
      </c>
      <c r="AC111" s="230">
        <f>'Ethylene Recycling HC'!AC135</f>
        <v>0.14018647202378612</v>
      </c>
      <c r="AD111" s="230">
        <f>'Ethylene Recycling HC'!AD135</f>
        <v>0.15559617310370094</v>
      </c>
      <c r="AE111" s="230">
        <f>'Ethylene Recycling HC'!AE135</f>
        <v>0.17181584407486178</v>
      </c>
      <c r="AF111" s="230">
        <f>'Ethylene Recycling HC'!AF135</f>
        <v>0.18884065425813149</v>
      </c>
      <c r="AG111" s="230">
        <f>'Ethylene Recycling HC'!AG135</f>
        <v>0.20666357743390346</v>
      </c>
      <c r="AH111" s="245"/>
      <c r="AI111" s="133"/>
      <c r="AJ111" s="211"/>
      <c r="AL111" s="108"/>
      <c r="AM111" s="2"/>
      <c r="AN111" s="2"/>
      <c r="AO111" s="2"/>
      <c r="BC111" s="1"/>
      <c r="BD111" s="2"/>
      <c r="BE111" s="2"/>
      <c r="BF111" s="2"/>
      <c r="BG111" s="2"/>
      <c r="BH111" s="2"/>
      <c r="BI111" s="2"/>
      <c r="BJ111" s="2"/>
      <c r="BK111" s="2"/>
    </row>
    <row r="112" spans="1:63" s="1" customFormat="1" outlineLevel="1" x14ac:dyDescent="0.2">
      <c r="A112" s="1" t="s">
        <v>1328</v>
      </c>
      <c r="B112" s="65"/>
      <c r="C112" s="300">
        <f>'Ethylene Recycling HC'!C136</f>
        <v>3.1863166254337605E-2</v>
      </c>
      <c r="D112" s="300">
        <f>'Ethylene Recycling HC'!D136</f>
        <v>3.9966780612204024E-2</v>
      </c>
      <c r="E112" s="300">
        <f>'Ethylene Recycling HC'!E136</f>
        <v>4.7962569921262875E-2</v>
      </c>
      <c r="F112" s="300">
        <f>'Ethylene Recycling HC'!F136</f>
        <v>5.5768267892671454E-2</v>
      </c>
      <c r="G112" s="300">
        <f>'Ethylene Recycling HC'!G136</f>
        <v>6.3302391893092821E-2</v>
      </c>
      <c r="H112" s="300">
        <f>'Ethylene Recycling HC'!H136</f>
        <v>7.0485519584086845E-2</v>
      </c>
      <c r="I112" s="300">
        <f>'Ethylene Recycling HC'!I136</f>
        <v>7.7408196205049767E-2</v>
      </c>
      <c r="J112" s="300">
        <f>'Ethylene Recycling HC'!J136</f>
        <v>8.4040333259207262E-2</v>
      </c>
      <c r="K112" s="300">
        <f>'Ethylene Recycling HC'!K136</f>
        <v>9.0351748760395117E-2</v>
      </c>
      <c r="L112" s="300">
        <f>'Ethylene Recycling HC'!L136</f>
        <v>9.631226168993727E-2</v>
      </c>
      <c r="M112" s="300">
        <f>'Ethylene Recycling HC'!M136</f>
        <v>0.10189178902460598</v>
      </c>
      <c r="N112" s="300">
        <f>'Ethylene Recycling HC'!N136</f>
        <v>0.11480377759990669</v>
      </c>
      <c r="O112" s="300">
        <f>'Ethylene Recycling HC'!O136</f>
        <v>0.12672448848843168</v>
      </c>
      <c r="P112" s="300">
        <f>'Ethylene Recycling HC'!P136</f>
        <v>0.13707936745425214</v>
      </c>
      <c r="Q112" s="300">
        <f>'Ethylene Recycling HC'!Q136</f>
        <v>0.14617365083544712</v>
      </c>
      <c r="R112" s="300">
        <f>'Ethylene Recycling HC'!R136</f>
        <v>0.15393529355848168</v>
      </c>
      <c r="S112" s="300">
        <f>'Ethylene Recycling HC'!S136</f>
        <v>0.16059459508707408</v>
      </c>
      <c r="T112" s="300">
        <f>'Ethylene Recycling HC'!T136</f>
        <v>0.16613623178780731</v>
      </c>
      <c r="U112" s="300">
        <f>'Ethylene Recycling HC'!U136</f>
        <v>0.17054571857361789</v>
      </c>
      <c r="V112" s="300">
        <f>'Ethylene Recycling HC'!V136</f>
        <v>0.17380942971739849</v>
      </c>
      <c r="W112" s="300">
        <f>'Ethylene Recycling HC'!W136</f>
        <v>0.17591461893754468</v>
      </c>
      <c r="X112" s="300">
        <f>'Ethylene Recycling HC'!X136</f>
        <v>0.18360019192438715</v>
      </c>
      <c r="Y112" s="300">
        <f>'Ethylene Recycling HC'!Y136</f>
        <v>0.18936479260631434</v>
      </c>
      <c r="Z112" s="300">
        <f>'Ethylene Recycling HC'!Z136</f>
        <v>0.19160213191974931</v>
      </c>
      <c r="AA112" s="300">
        <f>'Ethylene Recycling HC'!AA136</f>
        <v>0.19183493049290201</v>
      </c>
      <c r="AB112" s="300">
        <f>'Ethylene Recycling HC'!AB136</f>
        <v>0.19009578376104214</v>
      </c>
      <c r="AC112" s="300">
        <f>'Ethylene Recycling HC'!AC136</f>
        <v>0.18642198693701451</v>
      </c>
      <c r="AD112" s="300">
        <f>'Ethylene Recycling HC'!AD136</f>
        <v>0.18085181162926239</v>
      </c>
      <c r="AE112" s="300">
        <f>'Ethylene Recycling HC'!AE136</f>
        <v>0.17342627092347418</v>
      </c>
      <c r="AF112" s="300">
        <f>'Ethylene Recycling HC'!AF136</f>
        <v>0.16418907103786645</v>
      </c>
      <c r="AG112" s="300">
        <f>'Ethylene Recycling HC'!AG136</f>
        <v>0.15318655863318864</v>
      </c>
      <c r="AH112" s="422"/>
      <c r="AI112" s="423"/>
      <c r="AJ112" s="424"/>
      <c r="AL112" s="221"/>
      <c r="AM112" s="124"/>
      <c r="AN112" s="124"/>
      <c r="AO112" s="124"/>
      <c r="BD112" s="124"/>
      <c r="BE112" s="124"/>
      <c r="BF112" s="124"/>
      <c r="BG112" s="124"/>
      <c r="BH112" s="124"/>
      <c r="BI112" s="124"/>
      <c r="BJ112" s="124"/>
      <c r="BK112" s="124"/>
    </row>
    <row r="113" spans="1:63" outlineLevel="1" x14ac:dyDescent="0.2">
      <c r="A113" s="4" t="s">
        <v>258</v>
      </c>
      <c r="C113" s="230">
        <f>'Ethylene Recycling HC'!C137</f>
        <v>2.5708407295327727E-2</v>
      </c>
      <c r="D113" s="230">
        <f>'Ethylene Recycling HC'!D137</f>
        <v>3.2127657619657683E-2</v>
      </c>
      <c r="E113" s="230">
        <f>'Ethylene Recycling HC'!E137</f>
        <v>3.8412275265422006E-2</v>
      </c>
      <c r="F113" s="230">
        <f>'Ethylene Recycling HC'!F137</f>
        <v>4.4497583399571661E-2</v>
      </c>
      <c r="G113" s="230">
        <f>'Ethylene Recycling HC'!G137</f>
        <v>5.0320508346442361E-2</v>
      </c>
      <c r="H113" s="230">
        <f>'Ethylene Recycling HC'!H137</f>
        <v>5.5820578942886681E-2</v>
      </c>
      <c r="I113" s="230">
        <f>'Ethylene Recycling HC'!I137</f>
        <v>6.1072368846530424E-2</v>
      </c>
      <c r="J113" s="230">
        <f>'Ethylene Recycling HC'!J137</f>
        <v>6.605455638629501E-2</v>
      </c>
      <c r="K113" s="230">
        <f>'Ethylene Recycling HC'!K137</f>
        <v>7.0746105195931289E-2</v>
      </c>
      <c r="L113" s="230">
        <f>'Ethylene Recycling HC'!L137</f>
        <v>7.5126339285526492E-2</v>
      </c>
      <c r="M113" s="230">
        <f>'Ethylene Recycling HC'!M137</f>
        <v>7.9175018422674631E-2</v>
      </c>
      <c r="N113" s="230">
        <f>'Ethylene Recycling HC'!N137</f>
        <v>8.8866304728649273E-2</v>
      </c>
      <c r="O113" s="230">
        <f>'Ethylene Recycling HC'!O137</f>
        <v>9.771630038420355E-2</v>
      </c>
      <c r="P113" s="230">
        <f>'Ethylene Recycling HC'!P137</f>
        <v>0.10529254079312382</v>
      </c>
      <c r="Q113" s="230">
        <f>'Ethylene Recycling HC'!Q137</f>
        <v>0.11184256573283653</v>
      </c>
      <c r="R113" s="230">
        <f>'Ethylene Recycling HC'!R137</f>
        <v>0.1173227307082073</v>
      </c>
      <c r="S113" s="230">
        <f>'Ethylene Recycling HC'!S137</f>
        <v>0.12191978278050182</v>
      </c>
      <c r="T113" s="230">
        <f>'Ethylene Recycling HC'!T137</f>
        <v>0.12563198512661869</v>
      </c>
      <c r="U113" s="230">
        <f>'Ethylene Recycling HC'!U137</f>
        <v>0.12845841511595715</v>
      </c>
      <c r="V113" s="230">
        <f>'Ethylene Recycling HC'!V137</f>
        <v>0.13039896743642182</v>
      </c>
      <c r="W113" s="230">
        <f>'Ethylene Recycling HC'!W137</f>
        <v>0.1314543563043836</v>
      </c>
      <c r="X113" s="230">
        <f>'Ethylene Recycling HC'!X137</f>
        <v>0.13665059087547402</v>
      </c>
      <c r="Y113" s="230">
        <f>'Ethylene Recycling HC'!Y137</f>
        <v>0.14037701241019887</v>
      </c>
      <c r="Z113" s="230">
        <f>'Ethylene Recycling HC'!Z137</f>
        <v>0.14146482248618616</v>
      </c>
      <c r="AA113" s="230">
        <f>'Ethylene Recycling HC'!AA137</f>
        <v>0.14106527016249984</v>
      </c>
      <c r="AB113" s="230">
        <f>'Ethylene Recycling HC'!AB137</f>
        <v>0.13922014054685014</v>
      </c>
      <c r="AC113" s="230">
        <f>'Ethylene Recycling HC'!AC137</f>
        <v>0.13597425833765137</v>
      </c>
      <c r="AD113" s="230">
        <f>'Ethylene Recycling HC'!AD137</f>
        <v>0.13137271312110488</v>
      </c>
      <c r="AE113" s="230">
        <f>'Ethylene Recycling HC'!AE137</f>
        <v>0.12546212174549809</v>
      </c>
      <c r="AF113" s="230">
        <f>'Ethylene Recycling HC'!AF137</f>
        <v>0.11829055265984338</v>
      </c>
      <c r="AG113" s="230">
        <f>'Ethylene Recycling HC'!AG137</f>
        <v>0.10990744799893955</v>
      </c>
      <c r="AH113" s="245"/>
      <c r="AI113" s="133"/>
      <c r="AJ113" s="211"/>
      <c r="AL113" s="108"/>
      <c r="AM113" s="2"/>
      <c r="AN113" s="2"/>
      <c r="AO113" s="2"/>
      <c r="BC113" s="1"/>
      <c r="BD113" s="2"/>
      <c r="BE113" s="2"/>
      <c r="BF113" s="2"/>
      <c r="BG113" s="2"/>
      <c r="BH113" s="2"/>
      <c r="BI113" s="2"/>
      <c r="BJ113" s="2"/>
      <c r="BK113" s="2"/>
    </row>
    <row r="114" spans="1:63" outlineLevel="1" x14ac:dyDescent="0.2">
      <c r="A114" s="4" t="s">
        <v>478</v>
      </c>
      <c r="C114" s="230">
        <f>'Ethylene Recycling HC'!C138</f>
        <v>3.1884042710874486E-3</v>
      </c>
      <c r="D114" s="230">
        <f>'Ethylene Recycling HC'!D138</f>
        <v>3.8659867600345063E-3</v>
      </c>
      <c r="E114" s="230">
        <f>'Ethylene Recycling HC'!E138</f>
        <v>4.4794394923187908E-3</v>
      </c>
      <c r="F114" s="230">
        <f>'Ethylene Recycling HC'!F138</f>
        <v>5.0224326078813046E-3</v>
      </c>
      <c r="G114" s="230">
        <f>'Ethylene Recycling HC'!G138</f>
        <v>5.4898018104915791E-3</v>
      </c>
      <c r="H114" s="230">
        <f>'Ethylene Recycling HC'!H138</f>
        <v>5.8776417545846416E-3</v>
      </c>
      <c r="I114" s="230">
        <f>'Ethylene Recycling HC'!I138</f>
        <v>6.1967130680556821E-3</v>
      </c>
      <c r="J114" s="230">
        <f>'Ethylene Recycling HC'!J138</f>
        <v>6.4473136719196446E-3</v>
      </c>
      <c r="K114" s="230">
        <f>'Ethylene Recycling HC'!K138</f>
        <v>6.6301360696174117E-3</v>
      </c>
      <c r="L114" s="230">
        <f>'Ethylene Recycling HC'!L138</f>
        <v>6.74627552250677E-3</v>
      </c>
      <c r="M114" s="230">
        <f>'Ethylene Recycling HC'!M138</f>
        <v>6.7972365064958382E-3</v>
      </c>
      <c r="N114" s="230">
        <f>'Ethylene Recycling HC'!N138</f>
        <v>7.2756697460420886E-3</v>
      </c>
      <c r="O114" s="230">
        <f>'Ethylene Recycling HC'!O138</f>
        <v>7.6084510331966785E-3</v>
      </c>
      <c r="P114" s="230">
        <f>'Ethylene Recycling HC'!P138</f>
        <v>7.7729202344658972E-3</v>
      </c>
      <c r="Q114" s="230">
        <f>'Ethylene Recycling HC'!Q138</f>
        <v>7.8010358656596893E-3</v>
      </c>
      <c r="R114" s="230">
        <f>'Ethylene Recycling HC'!R138</f>
        <v>7.7018075280912805E-3</v>
      </c>
      <c r="S114" s="230">
        <f>'Ethylene Recycling HC'!S138</f>
        <v>7.4993247095280231E-3</v>
      </c>
      <c r="T114" s="230">
        <f>'Ethylene Recycling HC'!T138</f>
        <v>7.2039535851762251E-3</v>
      </c>
      <c r="U114" s="230">
        <f>'Ethylene Recycling HC'!U138</f>
        <v>6.8262983430502798E-3</v>
      </c>
      <c r="V114" s="230">
        <f>'Ethylene Recycling HC'!V138</f>
        <v>6.3771879627087611E-3</v>
      </c>
      <c r="W114" s="230">
        <f>'Ethylene Recycling HC'!W138</f>
        <v>5.8676625531612937E-3</v>
      </c>
      <c r="X114" s="230">
        <f>'Ethylene Recycling HC'!X138</f>
        <v>5.5116145529746294E-3</v>
      </c>
      <c r="Y114" s="230">
        <f>'Ethylene Recycling HC'!Y138</f>
        <v>5.0530363385328939E-3</v>
      </c>
      <c r="Z114" s="230">
        <f>'Ethylene Recycling HC'!Z138</f>
        <v>4.4736455841647305E-3</v>
      </c>
      <c r="AA114" s="230">
        <f>'Ethylene Recycling HC'!AA138</f>
        <v>3.8392123798686637E-3</v>
      </c>
      <c r="AB114" s="230">
        <f>'Ethylene Recycling HC'!AB138</f>
        <v>3.1703388798077145E-3</v>
      </c>
      <c r="AC114" s="230">
        <f>'Ethylene Recycling HC'!AC138</f>
        <v>2.4872550523492268E-3</v>
      </c>
      <c r="AD114" s="230">
        <f>'Ethylene Recycling HC'!AD138</f>
        <v>1.8097030409027341E-3</v>
      </c>
      <c r="AE114" s="230">
        <f>'Ethylene Recycling HC'!AE138</f>
        <v>1.1569326549186391E-3</v>
      </c>
      <c r="AF114" s="230">
        <f>'Ethylene Recycling HC'!AF138</f>
        <v>5.4765548740964029E-4</v>
      </c>
      <c r="AG114" s="230">
        <f>'Ethylene Recycling HC'!AG138</f>
        <v>0</v>
      </c>
      <c r="AH114" s="245"/>
      <c r="AI114" s="133"/>
      <c r="AJ114" s="211"/>
      <c r="AL114" s="108"/>
      <c r="AM114" s="2"/>
      <c r="AN114" s="2"/>
      <c r="AO114" s="2"/>
      <c r="BC114" s="1"/>
      <c r="BD114" s="2"/>
      <c r="BE114" s="2"/>
      <c r="BF114" s="2"/>
      <c r="BG114" s="2"/>
      <c r="BH114" s="2"/>
      <c r="BI114" s="2"/>
      <c r="BJ114" s="2"/>
      <c r="BK114" s="2"/>
    </row>
    <row r="115" spans="1:63" outlineLevel="1" x14ac:dyDescent="0.2">
      <c r="A115" s="4" t="s">
        <v>480</v>
      </c>
      <c r="C115" s="230">
        <f>'Ethylene Recycling HC'!C139</f>
        <v>0</v>
      </c>
      <c r="D115" s="230">
        <f>'Ethylene Recycling HC'!D139</f>
        <v>1.4273850218644293E-4</v>
      </c>
      <c r="E115" s="230">
        <f>'Ethylene Recycling HC'!E139</f>
        <v>3.4258978515187767E-4</v>
      </c>
      <c r="F115" s="230">
        <f>'Ethylene Recycling HC'!F139</f>
        <v>5.9751715599290847E-4</v>
      </c>
      <c r="G115" s="230">
        <f>'Ethylene Recycling HC'!G139</f>
        <v>9.0431988418704032E-4</v>
      </c>
      <c r="H115" s="230">
        <f>'Ethylene Recycling HC'!H139</f>
        <v>1.2586699925729793E-3</v>
      </c>
      <c r="I115" s="230">
        <f>'Ethylene Recycling HC'!I139</f>
        <v>1.6587470615367808E-3</v>
      </c>
      <c r="J115" s="230">
        <f>'Ethylene Recycling HC'!J139</f>
        <v>2.1010083314801815E-3</v>
      </c>
      <c r="K115" s="230">
        <f>'Ethylene Recycling HC'!K139</f>
        <v>2.5814785360112895E-3</v>
      </c>
      <c r="L115" s="230">
        <f>'Ethylene Recycling HC'!L139</f>
        <v>3.0957512686051267E-3</v>
      </c>
      <c r="M115" s="230">
        <f>'Ethylene Recycling HC'!M139</f>
        <v>3.6389924651645E-3</v>
      </c>
      <c r="N115" s="230">
        <f>'Ethylene Recycling HC'!N139</f>
        <v>4.5101484057106208E-3</v>
      </c>
      <c r="O115" s="230">
        <f>'Ethylene Recycling HC'!O139</f>
        <v>5.4310495066470727E-3</v>
      </c>
      <c r="P115" s="230">
        <f>'Ethylene Recycling HC'!P139</f>
        <v>6.3643992032331367E-3</v>
      </c>
      <c r="Q115" s="230">
        <f>'Ethylene Recycling HC'!Q139</f>
        <v>7.3086825417723574E-3</v>
      </c>
      <c r="R115" s="230">
        <f>'Ethylene Recycling HC'!R139</f>
        <v>8.2465335834900916E-3</v>
      </c>
      <c r="S115" s="230">
        <f>'Ethylene Recycling HC'!S139</f>
        <v>9.176834004975664E-3</v>
      </c>
      <c r="T115" s="230">
        <f>'Ethylene Recycling HC'!T139</f>
        <v>1.0086842644259733E-2</v>
      </c>
      <c r="U115" s="230">
        <f>'Ethylene Recycling HC'!U139</f>
        <v>1.0963653336875438E-2</v>
      </c>
      <c r="V115" s="230">
        <f>'Ethylene Recycling HC'!V139</f>
        <v>1.1794211302252042E-2</v>
      </c>
      <c r="W115" s="230">
        <f>'Ethylene Recycling HC'!W139</f>
        <v>1.2565329924110335E-2</v>
      </c>
      <c r="X115" s="230">
        <f>'Ethylene Recycling HC'!X139</f>
        <v>1.3770014394329039E-2</v>
      </c>
      <c r="Y115" s="230">
        <f>'Ethylene Recycling HC'!Y139</f>
        <v>1.4878662276210415E-2</v>
      </c>
      <c r="Z115" s="230">
        <f>'Ethylene Recycling HC'!Z139</f>
        <v>1.5738746550550839E-2</v>
      </c>
      <c r="AA115" s="230">
        <f>'Ethylene Recycling HC'!AA139</f>
        <v>1.6442994042248745E-2</v>
      </c>
      <c r="AB115" s="230">
        <f>'Ethylene Recycling HC'!AB139</f>
        <v>1.6972837835807338E-2</v>
      </c>
      <c r="AC115" s="230">
        <f>'Ethylene Recycling HC'!AC139</f>
        <v>1.7310613072722778E-2</v>
      </c>
      <c r="AD115" s="230">
        <f>'Ethylene Recycling HC'!AD139</f>
        <v>1.7439281835678878E-2</v>
      </c>
      <c r="AE115" s="230">
        <f>'Ethylene Recycling HC'!AE139</f>
        <v>1.7342627092347421E-2</v>
      </c>
      <c r="AF115" s="230">
        <f>'Ethylene Recycling HC'!AF139</f>
        <v>1.7005296643207601E-2</v>
      </c>
      <c r="AG115" s="230">
        <f>'Ethylene Recycling HC'!AG139</f>
        <v>1.6412845567841641E-2</v>
      </c>
      <c r="AH115" s="245"/>
      <c r="AI115" s="133"/>
      <c r="AJ115" s="211"/>
      <c r="AL115" s="108"/>
      <c r="AM115" s="2"/>
      <c r="AN115" s="2"/>
      <c r="AO115" s="2"/>
      <c r="BC115" s="1"/>
      <c r="BD115" s="2"/>
      <c r="BE115" s="2"/>
      <c r="BF115" s="2"/>
      <c r="BG115" s="2"/>
      <c r="BH115" s="2"/>
      <c r="BI115" s="2"/>
      <c r="BJ115" s="2"/>
      <c r="BK115" s="2"/>
    </row>
    <row r="116" spans="1:63" outlineLevel="1" x14ac:dyDescent="0.2">
      <c r="A116" s="4" t="s">
        <v>474</v>
      </c>
      <c r="C116" s="230">
        <f>'Ethylene Recycling HC'!C140</f>
        <v>0</v>
      </c>
      <c r="D116" s="230">
        <f>'Ethylene Recycling HC'!D140</f>
        <v>0</v>
      </c>
      <c r="E116" s="230">
        <f>'Ethylene Recycling HC'!E140</f>
        <v>0</v>
      </c>
      <c r="F116" s="230">
        <f>'Ethylene Recycling HC'!F140</f>
        <v>0</v>
      </c>
      <c r="G116" s="230">
        <f>'Ethylene Recycling HC'!G140</f>
        <v>0</v>
      </c>
      <c r="H116" s="230">
        <f>'Ethylene Recycling HC'!H140</f>
        <v>0</v>
      </c>
      <c r="I116" s="230">
        <f>'Ethylene Recycling HC'!I140</f>
        <v>0</v>
      </c>
      <c r="J116" s="230">
        <f>'Ethylene Recycling HC'!J140</f>
        <v>0</v>
      </c>
      <c r="K116" s="230">
        <f>'Ethylene Recycling HC'!K140</f>
        <v>0</v>
      </c>
      <c r="L116" s="230">
        <f>'Ethylene Recycling HC'!L140</f>
        <v>0</v>
      </c>
      <c r="M116" s="230">
        <f>'Ethylene Recycling HC'!M140</f>
        <v>0</v>
      </c>
      <c r="N116" s="230">
        <f>'Ethylene Recycling HC'!N140</f>
        <v>0</v>
      </c>
      <c r="O116" s="230">
        <f>'Ethylene Recycling HC'!O140</f>
        <v>0</v>
      </c>
      <c r="P116" s="230">
        <f>'Ethylene Recycling HC'!P140</f>
        <v>0</v>
      </c>
      <c r="Q116" s="230">
        <f>'Ethylene Recycling HC'!Q140</f>
        <v>0</v>
      </c>
      <c r="R116" s="230">
        <f>'Ethylene Recycling HC'!R140</f>
        <v>0</v>
      </c>
      <c r="S116" s="230">
        <f>'Ethylene Recycling HC'!S140</f>
        <v>0</v>
      </c>
      <c r="T116" s="230">
        <f>'Ethylene Recycling HC'!T140</f>
        <v>0</v>
      </c>
      <c r="U116" s="230">
        <f>'Ethylene Recycling HC'!U140</f>
        <v>0</v>
      </c>
      <c r="V116" s="230">
        <f>'Ethylene Recycling HC'!V140</f>
        <v>0</v>
      </c>
      <c r="W116" s="230">
        <f>'Ethylene Recycling HC'!W140</f>
        <v>0</v>
      </c>
      <c r="X116" s="230">
        <f>'Ethylene Recycling HC'!X140</f>
        <v>0</v>
      </c>
      <c r="Y116" s="230">
        <f>'Ethylene Recycling HC'!Y140</f>
        <v>0</v>
      </c>
      <c r="Z116" s="230">
        <f>'Ethylene Recycling HC'!Z140</f>
        <v>0</v>
      </c>
      <c r="AA116" s="230">
        <f>'Ethylene Recycling HC'!AA140</f>
        <v>0</v>
      </c>
      <c r="AB116" s="230">
        <f>'Ethylene Recycling HC'!AB140</f>
        <v>0</v>
      </c>
      <c r="AC116" s="230">
        <f>'Ethylene Recycling HC'!AC140</f>
        <v>0</v>
      </c>
      <c r="AD116" s="230">
        <f>'Ethylene Recycling HC'!AD140</f>
        <v>0</v>
      </c>
      <c r="AE116" s="230">
        <f>'Ethylene Recycling HC'!AE140</f>
        <v>0</v>
      </c>
      <c r="AF116" s="230">
        <f>'Ethylene Recycling HC'!AF140</f>
        <v>0</v>
      </c>
      <c r="AG116" s="230">
        <f>'Ethylene Recycling HC'!AG140</f>
        <v>0</v>
      </c>
      <c r="AH116" s="245"/>
      <c r="AI116" s="133"/>
      <c r="AJ116" s="211"/>
      <c r="AL116" s="108"/>
      <c r="AM116" s="2"/>
      <c r="AN116" s="2"/>
      <c r="AO116" s="2"/>
      <c r="BC116" s="1"/>
      <c r="BD116" s="2"/>
      <c r="BE116" s="2"/>
      <c r="BF116" s="2"/>
      <c r="BG116" s="2"/>
      <c r="BH116" s="2"/>
      <c r="BI116" s="2"/>
      <c r="BJ116" s="2"/>
      <c r="BK116" s="2"/>
    </row>
    <row r="117" spans="1:63" outlineLevel="1" x14ac:dyDescent="0.2">
      <c r="A117" s="4" t="s">
        <v>248</v>
      </c>
      <c r="C117" s="230">
        <f>'Ethylene Recycling HC'!C141</f>
        <v>2.9663546879224296E-3</v>
      </c>
      <c r="D117" s="230">
        <f>'Ethylene Recycling HC'!D141</f>
        <v>3.8303977303253875E-3</v>
      </c>
      <c r="E117" s="230">
        <f>'Ethylene Recycling HC'!E141</f>
        <v>4.7282653783701977E-3</v>
      </c>
      <c r="F117" s="230">
        <f>'Ethylene Recycling HC'!F141</f>
        <v>5.6507347292255811E-3</v>
      </c>
      <c r="G117" s="230">
        <f>'Ethylene Recycling HC'!G141</f>
        <v>6.5877618519718439E-3</v>
      </c>
      <c r="H117" s="230">
        <f>'Ethylene Recycling HC'!H141</f>
        <v>7.5286288940425525E-3</v>
      </c>
      <c r="I117" s="230">
        <f>'Ethylene Recycling HC'!I141</f>
        <v>8.4803672289268921E-3</v>
      </c>
      <c r="J117" s="230">
        <f>'Ethylene Recycling HC'!J141</f>
        <v>9.4374548695124408E-3</v>
      </c>
      <c r="K117" s="230">
        <f>'Ethylene Recycling HC'!K141</f>
        <v>1.0394028958835153E-2</v>
      </c>
      <c r="L117" s="230">
        <f>'Ethylene Recycling HC'!L141</f>
        <v>1.1343895613298917E-2</v>
      </c>
      <c r="M117" s="230">
        <f>'Ethylene Recycling HC'!M141</f>
        <v>1.2280541630271051E-2</v>
      </c>
      <c r="N117" s="230">
        <f>'Ethylene Recycling HC'!N141</f>
        <v>1.4151654719504754E-2</v>
      </c>
      <c r="O117" s="230">
        <f>'Ethylene Recycling HC'!O141</f>
        <v>1.5968687564384437E-2</v>
      </c>
      <c r="P117" s="230">
        <f>'Ethylene Recycling HC'!P141</f>
        <v>1.7649507223429357E-2</v>
      </c>
      <c r="Q117" s="230">
        <f>'Ethylene Recycling HC'!Q141</f>
        <v>1.9221366695178616E-2</v>
      </c>
      <c r="R117" s="230">
        <f>'Ethylene Recycling HC'!R141</f>
        <v>2.066422173869311E-2</v>
      </c>
      <c r="S117" s="230">
        <f>'Ethylene Recycling HC'!S141</f>
        <v>2.1998653592068679E-2</v>
      </c>
      <c r="T117" s="230">
        <f>'Ethylene Recycling HC'!T141</f>
        <v>2.3213450431752804E-2</v>
      </c>
      <c r="U117" s="230">
        <f>'Ethylene Recycling HC'!U141</f>
        <v>2.4297351777735149E-2</v>
      </c>
      <c r="V117" s="230">
        <f>'Ethylene Recycling HC'!V141</f>
        <v>2.5239063016016024E-2</v>
      </c>
      <c r="W117" s="230">
        <f>'Ethylene Recycling HC'!W141</f>
        <v>2.6027270155889605E-2</v>
      </c>
      <c r="X117" s="230">
        <f>'Ethylene Recycling HC'!X141</f>
        <v>2.7667972101609654E-2</v>
      </c>
      <c r="Y117" s="230">
        <f>'Ethylene Recycling HC'!Y141</f>
        <v>2.9056081581372364E-2</v>
      </c>
      <c r="Z117" s="230">
        <f>'Ethylene Recycling HC'!Z141</f>
        <v>2.9924917298847799E-2</v>
      </c>
      <c r="AA117" s="230">
        <f>'Ethylene Recycling HC'!AA141</f>
        <v>3.0487453908285E-2</v>
      </c>
      <c r="AB117" s="230">
        <f>'Ethylene Recycling HC'!AB141</f>
        <v>3.0732466498577179E-2</v>
      </c>
      <c r="AC117" s="230">
        <f>'Ethylene Recycling HC'!AC141</f>
        <v>3.0649860474291378E-2</v>
      </c>
      <c r="AD117" s="230">
        <f>'Ethylene Recycling HC'!AD141</f>
        <v>3.0230113631576142E-2</v>
      </c>
      <c r="AE117" s="230">
        <f>'Ethylene Recycling HC'!AE141</f>
        <v>2.9464589430710283E-2</v>
      </c>
      <c r="AF117" s="230">
        <f>'Ethylene Recycling HC'!AF141</f>
        <v>2.8345566247406074E-2</v>
      </c>
      <c r="AG117" s="230">
        <f>'Ethylene Recycling HC'!AG141</f>
        <v>2.6866265066407442E-2</v>
      </c>
      <c r="AH117" s="245"/>
      <c r="AI117" s="133"/>
      <c r="AJ117" s="211"/>
      <c r="AL117" s="108"/>
      <c r="AM117" s="2"/>
      <c r="AN117" s="2"/>
      <c r="AO117" s="2"/>
      <c r="BC117" s="1"/>
      <c r="BD117" s="2"/>
      <c r="BE117" s="2"/>
      <c r="BF117" s="2"/>
      <c r="BG117" s="2"/>
      <c r="BH117" s="2"/>
      <c r="BI117" s="2"/>
      <c r="BJ117" s="2"/>
      <c r="BK117" s="2"/>
    </row>
    <row r="118" spans="1:63" s="1" customFormat="1" outlineLevel="1" x14ac:dyDescent="0.2">
      <c r="A118" s="1" t="s">
        <v>1338</v>
      </c>
      <c r="B118" s="65"/>
      <c r="C118" s="300">
        <f>'Ethylene Recycling HC'!C142</f>
        <v>7.3530383663856008E-3</v>
      </c>
      <c r="D118" s="300">
        <f>'Ethylene Recycling HC'!D142</f>
        <v>9.2231032182009277E-3</v>
      </c>
      <c r="E118" s="300">
        <f>'Ethylene Recycling HC'!E142</f>
        <v>1.1068285366445278E-2</v>
      </c>
      <c r="F118" s="300">
        <f>'Ethylene Recycling HC'!F142</f>
        <v>1.2869600282924181E-2</v>
      </c>
      <c r="G118" s="300">
        <f>'Ethylene Recycling HC'!G142</f>
        <v>1.4608244283021422E-2</v>
      </c>
      <c r="H118" s="300">
        <f>'Ethylene Recycling HC'!H142</f>
        <v>1.6265889134789269E-2</v>
      </c>
      <c r="I118" s="300">
        <f>'Ethylene Recycling HC'!I142</f>
        <v>1.7863429893473028E-2</v>
      </c>
      <c r="J118" s="300">
        <f>'Ethylene Recycling HC'!J142</f>
        <v>1.9393923059817058E-2</v>
      </c>
      <c r="K118" s="300">
        <f>'Ethylene Recycling HC'!K142</f>
        <v>2.0850403560091178E-2</v>
      </c>
      <c r="L118" s="300">
        <f>'Ethylene Recycling HC'!L142</f>
        <v>2.2225906543831674E-2</v>
      </c>
      <c r="M118" s="300">
        <f>'Ethylene Recycling HC'!M142</f>
        <v>2.3513489774909076E-2</v>
      </c>
      <c r="N118" s="300">
        <f>'Ethylene Recycling HC'!N142</f>
        <v>2.6493179446132314E-2</v>
      </c>
      <c r="O118" s="300">
        <f>'Ethylene Recycling HC'!O142</f>
        <v>2.9244112728099618E-2</v>
      </c>
      <c r="P118" s="300">
        <f>'Ethylene Recycling HC'!P142</f>
        <v>3.1633700181750483E-2</v>
      </c>
      <c r="Q118" s="300">
        <f>'Ethylene Recycling HC'!Q142</f>
        <v>3.3732380962026264E-2</v>
      </c>
      <c r="R118" s="300">
        <f>'Ethylene Recycling HC'!R142</f>
        <v>3.5523529282726528E-2</v>
      </c>
      <c r="S118" s="300">
        <f>'Ethylene Recycling HC'!S142</f>
        <v>3.706029117394017E-2</v>
      </c>
      <c r="T118" s="300">
        <f>'Ethylene Recycling HC'!T142</f>
        <v>3.8339130412570921E-2</v>
      </c>
      <c r="U118" s="300">
        <f>'Ethylene Recycling HC'!U142</f>
        <v>3.9356704286219513E-2</v>
      </c>
      <c r="V118" s="300">
        <f>'Ethylene Recycling HC'!V142</f>
        <v>4.0109868396322725E-2</v>
      </c>
      <c r="W118" s="300">
        <f>'Ethylene Recycling HC'!W142</f>
        <v>4.0595681293279534E-2</v>
      </c>
      <c r="X118" s="300">
        <f>'Ethylene Recycling HC'!X142</f>
        <v>4.2369275059473958E-2</v>
      </c>
      <c r="Y118" s="300">
        <f>'Ethylene Recycling HC'!Y142</f>
        <v>4.3699567524534071E-2</v>
      </c>
      <c r="Z118" s="300">
        <f>'Ethylene Recycling HC'!Z142</f>
        <v>4.4215876596865225E-2</v>
      </c>
      <c r="AA118" s="300">
        <f>'Ethylene Recycling HC'!AA142</f>
        <v>4.4269599344515839E-2</v>
      </c>
      <c r="AB118" s="300">
        <f>'Ethylene Recycling HC'!AB142</f>
        <v>4.386825779100971E-2</v>
      </c>
      <c r="AC118" s="300">
        <f>'Ethylene Recycling HC'!AC142</f>
        <v>4.3020458523926414E-2</v>
      </c>
      <c r="AD118" s="300">
        <f>'Ethylene Recycling HC'!AD142</f>
        <v>4.1735033452906696E-2</v>
      </c>
      <c r="AE118" s="300">
        <f>'Ethylene Recycling HC'!AE142</f>
        <v>4.0021447136186349E-2</v>
      </c>
      <c r="AF118" s="300">
        <f>'Ethylene Recycling HC'!AF142</f>
        <v>3.7889785624123019E-2</v>
      </c>
      <c r="AG118" s="300">
        <f>'Ethylene Recycling HC'!AG142</f>
        <v>3.5350744299966604E-2</v>
      </c>
      <c r="AH118" s="422"/>
      <c r="AI118" s="423"/>
      <c r="AJ118" s="424"/>
      <c r="AL118" s="221"/>
      <c r="AM118" s="124"/>
      <c r="AN118" s="124"/>
      <c r="AO118" s="124"/>
      <c r="BD118" s="124"/>
      <c r="BE118" s="124"/>
      <c r="BF118" s="124"/>
      <c r="BG118" s="124"/>
      <c r="BH118" s="124"/>
      <c r="BI118" s="124"/>
      <c r="BJ118" s="124"/>
      <c r="BK118" s="124"/>
    </row>
    <row r="119" spans="1:63" outlineLevel="1" x14ac:dyDescent="0.2">
      <c r="A119" s="4" t="s">
        <v>258</v>
      </c>
      <c r="C119" s="230">
        <f>'Ethylene Recycling HC'!C143</f>
        <v>5.9327093758448591E-3</v>
      </c>
      <c r="D119" s="230">
        <f>'Ethylene Recycling HC'!D143</f>
        <v>7.4140748353056195E-3</v>
      </c>
      <c r="E119" s="230">
        <f>'Ethylene Recycling HC'!E143</f>
        <v>8.8643712150973854E-3</v>
      </c>
      <c r="F119" s="230">
        <f>'Ethylene Recycling HC'!F143</f>
        <v>1.0268673092208845E-2</v>
      </c>
      <c r="G119" s="230">
        <f>'Ethylene Recycling HC'!G143</f>
        <v>1.1612425003025163E-2</v>
      </c>
      <c r="H119" s="230">
        <f>'Ethylene Recycling HC'!H143</f>
        <v>1.2881672063743077E-2</v>
      </c>
      <c r="I119" s="230">
        <f>'Ethylene Recycling HC'!I143</f>
        <v>1.4093623579968564E-2</v>
      </c>
      <c r="J119" s="230">
        <f>'Ethylene Recycling HC'!J143</f>
        <v>1.5243359166068077E-2</v>
      </c>
      <c r="K119" s="230">
        <f>'Ethylene Recycling HC'!K143</f>
        <v>1.632602427598414E-2</v>
      </c>
      <c r="L119" s="230">
        <f>'Ethylene Recycling HC'!L143</f>
        <v>1.7336847527429186E-2</v>
      </c>
      <c r="M119" s="230">
        <f>'Ethylene Recycling HC'!M143</f>
        <v>1.8271158097540301E-2</v>
      </c>
      <c r="N119" s="230">
        <f>'Ethylene Recycling HC'!N143</f>
        <v>2.0507608783534449E-2</v>
      </c>
      <c r="O119" s="230">
        <f>'Ethylene Recycling HC'!O143</f>
        <v>2.254991547327774E-2</v>
      </c>
      <c r="P119" s="230">
        <f>'Ethylene Recycling HC'!P143</f>
        <v>2.4298278644567028E-2</v>
      </c>
      <c r="Q119" s="230">
        <f>'Ethylene Recycling HC'!Q143</f>
        <v>2.5809822861423821E-2</v>
      </c>
      <c r="R119" s="230">
        <f>'Ethylene Recycling HC'!R143</f>
        <v>2.7074476317278596E-2</v>
      </c>
      <c r="S119" s="230">
        <f>'Ethylene Recycling HC'!S143</f>
        <v>2.8135334487808111E-2</v>
      </c>
      <c r="T119" s="230">
        <f>'Ethylene Recycling HC'!T143</f>
        <v>2.8991996567681238E-2</v>
      </c>
      <c r="U119" s="230">
        <f>'Ethylene Recycling HC'!U143</f>
        <v>2.9644249642143961E-2</v>
      </c>
      <c r="V119" s="230">
        <f>'Ethylene Recycling HC'!V143</f>
        <v>3.0092069408405031E-2</v>
      </c>
      <c r="W119" s="230">
        <f>'Ethylene Recycling HC'!W143</f>
        <v>3.0335620685626983E-2</v>
      </c>
      <c r="X119" s="230">
        <f>'Ethylene Recycling HC'!X143</f>
        <v>3.1534751740494006E-2</v>
      </c>
      <c r="Y119" s="230">
        <f>'Ethylene Recycling HC'!Y143</f>
        <v>3.2394695171584345E-2</v>
      </c>
      <c r="Z119" s="230">
        <f>'Ethylene Recycling HC'!Z143</f>
        <v>3.2645728266042957E-2</v>
      </c>
      <c r="AA119" s="230">
        <f>'Ethylene Recycling HC'!AA143</f>
        <v>3.2553523883653797E-2</v>
      </c>
      <c r="AB119" s="230">
        <f>'Ethylene Recycling HC'!AB143</f>
        <v>3.2127724741580793E-2</v>
      </c>
      <c r="AC119" s="230">
        <f>'Ethylene Recycling HC'!AC143</f>
        <v>3.1378675000996462E-2</v>
      </c>
      <c r="AD119" s="230">
        <f>'Ethylene Recycling HC'!AD143</f>
        <v>3.0316779951024199E-2</v>
      </c>
      <c r="AE119" s="230">
        <f>'Ethylene Recycling HC'!AE143</f>
        <v>2.8952797325884173E-2</v>
      </c>
      <c r="AF119" s="230">
        <f>'Ethylene Recycling HC'!AF143</f>
        <v>2.7297819844579237E-2</v>
      </c>
      <c r="AG119" s="230">
        <f>'Ethylene Recycling HC'!AG143</f>
        <v>2.5363257230524506E-2</v>
      </c>
      <c r="AH119" s="245"/>
      <c r="AI119" s="133"/>
      <c r="AJ119" s="211"/>
      <c r="AL119" s="108"/>
      <c r="AM119" s="2"/>
      <c r="AN119" s="2"/>
      <c r="AO119" s="2"/>
      <c r="BC119" s="1"/>
      <c r="BD119" s="2"/>
      <c r="BE119" s="2"/>
      <c r="BF119" s="2"/>
      <c r="BG119" s="2"/>
      <c r="BH119" s="2"/>
      <c r="BI119" s="2"/>
      <c r="BJ119" s="2"/>
      <c r="BK119" s="2"/>
    </row>
    <row r="120" spans="1:63" outlineLevel="1" x14ac:dyDescent="0.2">
      <c r="A120" s="4" t="s">
        <v>478</v>
      </c>
      <c r="C120" s="230">
        <f>'Ethylene Recycling HC'!C144</f>
        <v>7.3578560102018043E-4</v>
      </c>
      <c r="D120" s="230">
        <f>'Ethylene Recycling HC'!D144</f>
        <v>8.921507907771937E-4</v>
      </c>
      <c r="E120" s="230">
        <f>'Ethylene Recycling HC'!E144</f>
        <v>1.0337168059197208E-3</v>
      </c>
      <c r="F120" s="230">
        <f>'Ethylene Recycling HC'!F144</f>
        <v>1.1590229095110702E-3</v>
      </c>
      <c r="G120" s="230">
        <f>'Ethylene Recycling HC'!G144</f>
        <v>1.2668773408826724E-3</v>
      </c>
      <c r="H120" s="230">
        <f>'Ethylene Recycling HC'!H144</f>
        <v>1.3563788664426094E-3</v>
      </c>
      <c r="I120" s="230">
        <f>'Ethylene Recycling HC'!I144</f>
        <v>1.4300107080128502E-3</v>
      </c>
      <c r="J120" s="230">
        <f>'Ethylene Recycling HC'!J144</f>
        <v>1.4878416165968408E-3</v>
      </c>
      <c r="K120" s="230">
        <f>'Ethylene Recycling HC'!K144</f>
        <v>1.530031400680941E-3</v>
      </c>
      <c r="L120" s="230">
        <f>'Ethylene Recycling HC'!L144</f>
        <v>1.5568328128861776E-3</v>
      </c>
      <c r="M120" s="230">
        <f>'Ethylene Recycling HC'!M144</f>
        <v>1.5685930399605783E-3</v>
      </c>
      <c r="N120" s="230">
        <f>'Ethylene Recycling HC'!N144</f>
        <v>1.6790007106250973E-3</v>
      </c>
      <c r="O120" s="230">
        <f>'Ethylene Recycling HC'!O144</f>
        <v>1.7557963922761567E-3</v>
      </c>
      <c r="P120" s="230">
        <f>'Ethylene Recycling HC'!P144</f>
        <v>1.7937508233382832E-3</v>
      </c>
      <c r="Q120" s="230">
        <f>'Ethylene Recycling HC'!Q144</f>
        <v>1.8002390459214671E-3</v>
      </c>
      <c r="R120" s="230">
        <f>'Ethylene Recycling HC'!R144</f>
        <v>1.7773401987902949E-3</v>
      </c>
      <c r="S120" s="230">
        <f>'Ethylene Recycling HC'!S144</f>
        <v>1.730613394506467E-3</v>
      </c>
      <c r="T120" s="230">
        <f>'Ethylene Recycling HC'!T144</f>
        <v>1.6624508273483597E-3</v>
      </c>
      <c r="U120" s="230">
        <f>'Ethylene Recycling HC'!U144</f>
        <v>1.5752996176269876E-3</v>
      </c>
      <c r="V120" s="230">
        <f>'Ethylene Recycling HC'!V144</f>
        <v>1.4716587606250988E-3</v>
      </c>
      <c r="W120" s="230">
        <f>'Ethylene Recycling HC'!W144</f>
        <v>1.3540759738064521E-3</v>
      </c>
      <c r="X120" s="230">
        <f>'Ethylene Recycling HC'!X144</f>
        <v>1.271911050686453E-3</v>
      </c>
      <c r="Y120" s="230">
        <f>'Ethylene Recycling HC'!Y144</f>
        <v>1.1660853088922059E-3</v>
      </c>
      <c r="Z120" s="230">
        <f>'Ethylene Recycling HC'!Z144</f>
        <v>1.0323797501918608E-3</v>
      </c>
      <c r="AA120" s="230">
        <f>'Ethylene Recycling HC'!AA144</f>
        <v>8.8597208766199914E-4</v>
      </c>
      <c r="AB120" s="230">
        <f>'Ethylene Recycling HC'!AB144</f>
        <v>7.3161666457101078E-4</v>
      </c>
      <c r="AC120" s="230">
        <f>'Ethylene Recycling HC'!AC144</f>
        <v>5.739819351575137E-4</v>
      </c>
      <c r="AD120" s="230">
        <f>'Ethylene Recycling HC'!AD144</f>
        <v>4.176237786698616E-4</v>
      </c>
      <c r="AE120" s="230">
        <f>'Ethylene Recycling HC'!AE144</f>
        <v>2.6698445882737828E-4</v>
      </c>
      <c r="AF120" s="230">
        <f>'Ethylene Recycling HC'!AF144</f>
        <v>1.2638203555607081E-4</v>
      </c>
      <c r="AG120" s="230">
        <f>'Ethylene Recycling HC'!AG144</f>
        <v>0</v>
      </c>
      <c r="AH120" s="245"/>
      <c r="AI120" s="133"/>
      <c r="AJ120" s="211"/>
      <c r="AL120" s="108"/>
      <c r="AM120" s="2"/>
      <c r="AN120" s="2"/>
      <c r="AO120" s="2"/>
      <c r="BC120" s="1"/>
      <c r="BD120" s="2"/>
      <c r="BE120" s="2"/>
      <c r="BF120" s="2"/>
      <c r="BG120" s="2"/>
      <c r="BH120" s="2"/>
      <c r="BI120" s="2"/>
      <c r="BJ120" s="2"/>
      <c r="BK120" s="2"/>
    </row>
    <row r="121" spans="1:63" outlineLevel="1" x14ac:dyDescent="0.2">
      <c r="A121" s="4" t="s">
        <v>480</v>
      </c>
      <c r="C121" s="230">
        <f>'Ethylene Recycling HC'!C145</f>
        <v>0</v>
      </c>
      <c r="D121" s="230">
        <f>'Ethylene Recycling HC'!D145</f>
        <v>3.2939654350717597E-5</v>
      </c>
      <c r="E121" s="230">
        <f>'Ethylene Recycling HC'!E145</f>
        <v>7.9059181188894837E-5</v>
      </c>
      <c r="F121" s="230">
        <f>'Ethylene Recycling HC'!F145</f>
        <v>1.3788857445990195E-4</v>
      </c>
      <c r="G121" s="230">
        <f>'Ethylene Recycling HC'!G145</f>
        <v>2.0868920404316316E-4</v>
      </c>
      <c r="H121" s="230">
        <f>'Ethylene Recycling HC'!H145</f>
        <v>2.904623059783798E-4</v>
      </c>
      <c r="I121" s="230">
        <f>'Ethylene Recycling HC'!I145</f>
        <v>3.8278778343156489E-4</v>
      </c>
      <c r="J121" s="230">
        <f>'Ethylene Recycling HC'!J145</f>
        <v>4.8484807649542649E-4</v>
      </c>
      <c r="K121" s="230">
        <f>'Ethylene Recycling HC'!K145</f>
        <v>5.9572581600260519E-4</v>
      </c>
      <c r="L121" s="230">
        <f>'Ethylene Recycling HC'!L145</f>
        <v>7.1440413890887537E-4</v>
      </c>
      <c r="M121" s="230">
        <f>'Ethylene Recycling HC'!M145</f>
        <v>8.3976749196103858E-4</v>
      </c>
      <c r="N121" s="230">
        <f>'Ethylene Recycling HC'!N145</f>
        <v>1.0408034782409125E-3</v>
      </c>
      <c r="O121" s="230">
        <f>'Ethylene Recycling HC'!O145</f>
        <v>1.2533191169185553E-3</v>
      </c>
      <c r="P121" s="230">
        <f>'Ethylene Recycling HC'!P145</f>
        <v>1.4687075084384156E-3</v>
      </c>
      <c r="Q121" s="230">
        <f>'Ethylene Recycling HC'!Q145</f>
        <v>1.6866190481013136E-3</v>
      </c>
      <c r="R121" s="230">
        <f>'Ethylene Recycling HC'!R145</f>
        <v>1.9030462115746359E-3</v>
      </c>
      <c r="S121" s="230">
        <f>'Ethylene Recycling HC'!S145</f>
        <v>2.117730924225153E-3</v>
      </c>
      <c r="T121" s="230">
        <f>'Ethylene Recycling HC'!T145</f>
        <v>2.3277329179060922E-3</v>
      </c>
      <c r="U121" s="230">
        <f>'Ethylene Recycling HC'!U145</f>
        <v>2.5300738469712547E-3</v>
      </c>
      <c r="V121" s="230">
        <f>'Ethylene Recycling HC'!V145</f>
        <v>2.7217410697504708E-3</v>
      </c>
      <c r="W121" s="230">
        <f>'Ethylene Recycling HC'!W145</f>
        <v>2.8996915209485385E-3</v>
      </c>
      <c r="X121" s="230">
        <f>'Ethylene Recycling HC'!X145</f>
        <v>3.1776956294605474E-3</v>
      </c>
      <c r="Y121" s="230">
        <f>'Ethylene Recycling HC'!Y145</f>
        <v>3.4335374483562488E-3</v>
      </c>
      <c r="Z121" s="230">
        <f>'Ethylene Recycling HC'!Z145</f>
        <v>3.6320184347425014E-3</v>
      </c>
      <c r="AA121" s="230">
        <f>'Ethylene Recycling HC'!AA145</f>
        <v>3.7945370866727867E-3</v>
      </c>
      <c r="AB121" s="230">
        <f>'Ethylene Recycling HC'!AB145</f>
        <v>3.9168087313401533E-3</v>
      </c>
      <c r="AC121" s="230">
        <f>'Ethylene Recycling HC'!AC145</f>
        <v>3.9947568629360251E-3</v>
      </c>
      <c r="AD121" s="230">
        <f>'Ethylene Recycling HC'!AD145</f>
        <v>4.0244496543874325E-3</v>
      </c>
      <c r="AE121" s="230">
        <f>'Ethylene Recycling HC'!AE145</f>
        <v>4.0021447136186356E-3</v>
      </c>
      <c r="AF121" s="230">
        <f>'Ethylene Recycling HC'!AF145</f>
        <v>3.9242992253555996E-3</v>
      </c>
      <c r="AG121" s="230">
        <f>'Ethylene Recycling HC'!AG145</f>
        <v>3.7875797464249931E-3</v>
      </c>
      <c r="AH121" s="245"/>
      <c r="AI121" s="133"/>
      <c r="AJ121" s="211"/>
      <c r="AL121" s="108"/>
      <c r="AM121" s="2"/>
      <c r="AN121" s="2"/>
      <c r="AO121" s="2"/>
      <c r="BC121" s="1"/>
      <c r="BD121" s="2"/>
      <c r="BE121" s="2"/>
      <c r="BF121" s="2"/>
      <c r="BG121" s="2"/>
      <c r="BH121" s="2"/>
      <c r="BI121" s="2"/>
      <c r="BJ121" s="2"/>
      <c r="BK121" s="2"/>
    </row>
    <row r="122" spans="1:63" outlineLevel="1" x14ac:dyDescent="0.2">
      <c r="A122" s="4" t="s">
        <v>474</v>
      </c>
      <c r="C122" s="230">
        <f>'Ethylene Recycling HC'!C146</f>
        <v>0</v>
      </c>
      <c r="D122" s="230">
        <f>'Ethylene Recycling HC'!D146</f>
        <v>0</v>
      </c>
      <c r="E122" s="230">
        <f>'Ethylene Recycling HC'!E146</f>
        <v>0</v>
      </c>
      <c r="F122" s="230">
        <f>'Ethylene Recycling HC'!F146</f>
        <v>0</v>
      </c>
      <c r="G122" s="230">
        <f>'Ethylene Recycling HC'!G146</f>
        <v>0</v>
      </c>
      <c r="H122" s="230">
        <f>'Ethylene Recycling HC'!H146</f>
        <v>0</v>
      </c>
      <c r="I122" s="230">
        <f>'Ethylene Recycling HC'!I146</f>
        <v>0</v>
      </c>
      <c r="J122" s="230">
        <f>'Ethylene Recycling HC'!J146</f>
        <v>0</v>
      </c>
      <c r="K122" s="230">
        <f>'Ethylene Recycling HC'!K146</f>
        <v>0</v>
      </c>
      <c r="L122" s="230">
        <f>'Ethylene Recycling HC'!L146</f>
        <v>0</v>
      </c>
      <c r="M122" s="230">
        <f>'Ethylene Recycling HC'!M146</f>
        <v>0</v>
      </c>
      <c r="N122" s="230">
        <f>'Ethylene Recycling HC'!N146</f>
        <v>0</v>
      </c>
      <c r="O122" s="230">
        <f>'Ethylene Recycling HC'!O146</f>
        <v>0</v>
      </c>
      <c r="P122" s="230">
        <f>'Ethylene Recycling HC'!P146</f>
        <v>0</v>
      </c>
      <c r="Q122" s="230">
        <f>'Ethylene Recycling HC'!Q146</f>
        <v>0</v>
      </c>
      <c r="R122" s="230">
        <f>'Ethylene Recycling HC'!R146</f>
        <v>0</v>
      </c>
      <c r="S122" s="230">
        <f>'Ethylene Recycling HC'!S146</f>
        <v>0</v>
      </c>
      <c r="T122" s="230">
        <f>'Ethylene Recycling HC'!T146</f>
        <v>0</v>
      </c>
      <c r="U122" s="230">
        <f>'Ethylene Recycling HC'!U146</f>
        <v>0</v>
      </c>
      <c r="V122" s="230">
        <f>'Ethylene Recycling HC'!V146</f>
        <v>0</v>
      </c>
      <c r="W122" s="230">
        <f>'Ethylene Recycling HC'!W146</f>
        <v>0</v>
      </c>
      <c r="X122" s="230">
        <f>'Ethylene Recycling HC'!X146</f>
        <v>0</v>
      </c>
      <c r="Y122" s="230">
        <f>'Ethylene Recycling HC'!Y146</f>
        <v>0</v>
      </c>
      <c r="Z122" s="230">
        <f>'Ethylene Recycling HC'!Z146</f>
        <v>0</v>
      </c>
      <c r="AA122" s="230">
        <f>'Ethylene Recycling HC'!AA146</f>
        <v>0</v>
      </c>
      <c r="AB122" s="230">
        <f>'Ethylene Recycling HC'!AB146</f>
        <v>0</v>
      </c>
      <c r="AC122" s="230">
        <f>'Ethylene Recycling HC'!AC146</f>
        <v>0</v>
      </c>
      <c r="AD122" s="230">
        <f>'Ethylene Recycling HC'!AD146</f>
        <v>0</v>
      </c>
      <c r="AE122" s="230">
        <f>'Ethylene Recycling HC'!AE146</f>
        <v>0</v>
      </c>
      <c r="AF122" s="230">
        <f>'Ethylene Recycling HC'!AF146</f>
        <v>0</v>
      </c>
      <c r="AG122" s="230">
        <f>'Ethylene Recycling HC'!AG146</f>
        <v>0</v>
      </c>
      <c r="AH122" s="245"/>
      <c r="AI122" s="133"/>
      <c r="AJ122" s="211"/>
      <c r="AL122" s="108"/>
      <c r="AM122" s="2"/>
      <c r="AN122" s="2"/>
      <c r="AO122" s="2"/>
      <c r="BC122" s="1"/>
      <c r="BD122" s="2"/>
      <c r="BE122" s="2"/>
      <c r="BF122" s="2"/>
      <c r="BG122" s="2"/>
      <c r="BH122" s="2"/>
      <c r="BI122" s="2"/>
      <c r="BJ122" s="2"/>
      <c r="BK122" s="2"/>
    </row>
    <row r="123" spans="1:63" outlineLevel="1" x14ac:dyDescent="0.2">
      <c r="A123" s="4" t="s">
        <v>248</v>
      </c>
      <c r="C123" s="230">
        <f>'Ethylene Recycling HC'!C147</f>
        <v>6.8454338952056058E-4</v>
      </c>
      <c r="D123" s="230">
        <f>'Ethylene Recycling HC'!D147</f>
        <v>8.8393793776739705E-4</v>
      </c>
      <c r="E123" s="230">
        <f>'Ethylene Recycling HC'!E147</f>
        <v>1.0911381642392764E-3</v>
      </c>
      <c r="F123" s="230">
        <f>'Ethylene Recycling HC'!F147</f>
        <v>1.3040157067443648E-3</v>
      </c>
      <c r="G123" s="230">
        <f>'Ethylene Recycling HC'!G147</f>
        <v>1.5202527350704257E-3</v>
      </c>
      <c r="H123" s="230">
        <f>'Ethylene Recycling HC'!H147</f>
        <v>1.737375898625204E-3</v>
      </c>
      <c r="I123" s="230">
        <f>'Ethylene Recycling HC'!I147</f>
        <v>1.9570078220600526E-3</v>
      </c>
      <c r="J123" s="230">
        <f>'Ethylene Recycling HC'!J147</f>
        <v>2.1778742006567172E-3</v>
      </c>
      <c r="K123" s="230">
        <f>'Ethylene Recycling HC'!K147</f>
        <v>2.3986220674234969E-3</v>
      </c>
      <c r="L123" s="230">
        <f>'Ethylene Recycling HC'!L147</f>
        <v>2.6178220646074419E-3</v>
      </c>
      <c r="M123" s="230">
        <f>'Ethylene Recycling HC'!M147</f>
        <v>2.8339711454471663E-3</v>
      </c>
      <c r="N123" s="230">
        <f>'Ethylene Recycling HC'!N147</f>
        <v>3.2657664737318665E-3</v>
      </c>
      <c r="O123" s="230">
        <f>'Ethylene Recycling HC'!O147</f>
        <v>3.6850817456271783E-3</v>
      </c>
      <c r="P123" s="230">
        <f>'Ethylene Recycling HC'!P147</f>
        <v>4.0729632054067729E-3</v>
      </c>
      <c r="Q123" s="230">
        <f>'Ethylene Recycling HC'!Q147</f>
        <v>4.435700006579682E-3</v>
      </c>
      <c r="R123" s="230">
        <f>'Ethylene Recycling HC'!R147</f>
        <v>4.7686665550830233E-3</v>
      </c>
      <c r="S123" s="230">
        <f>'Ethylene Recycling HC'!S147</f>
        <v>5.0766123674004637E-3</v>
      </c>
      <c r="T123" s="230">
        <f>'Ethylene Recycling HC'!T147</f>
        <v>5.3569500996352619E-3</v>
      </c>
      <c r="U123" s="230">
        <f>'Ethylene Recycling HC'!U147</f>
        <v>5.6070811794773417E-3</v>
      </c>
      <c r="V123" s="230">
        <f>'Ethylene Recycling HC'!V147</f>
        <v>5.8243991575421591E-3</v>
      </c>
      <c r="W123" s="230">
        <f>'Ethylene Recycling HC'!W147</f>
        <v>6.0062931128976003E-3</v>
      </c>
      <c r="X123" s="230">
        <f>'Ethylene Recycling HC'!X147</f>
        <v>6.3849166388329969E-3</v>
      </c>
      <c r="Y123" s="230">
        <f>'Ethylene Recycling HC'!Y147</f>
        <v>6.7052495957013137E-3</v>
      </c>
      <c r="Z123" s="230">
        <f>'Ethylene Recycling HC'!Z147</f>
        <v>6.9057501458879541E-3</v>
      </c>
      <c r="AA123" s="230">
        <f>'Ethylene Recycling HC'!AA147</f>
        <v>7.0355662865273063E-3</v>
      </c>
      <c r="AB123" s="230">
        <f>'Ethylene Recycling HC'!AB147</f>
        <v>7.0921076535178087E-3</v>
      </c>
      <c r="AC123" s="230">
        <f>'Ethylene Recycling HC'!AC147</f>
        <v>7.07304472483647E-3</v>
      </c>
      <c r="AD123" s="230">
        <f>'Ethylene Recycling HC'!AD147</f>
        <v>6.9761800688252617E-3</v>
      </c>
      <c r="AE123" s="230">
        <f>'Ethylene Recycling HC'!AE147</f>
        <v>6.7995206378562191E-3</v>
      </c>
      <c r="AF123" s="230">
        <f>'Ethylene Recycling HC'!AF147</f>
        <v>6.541284518632169E-3</v>
      </c>
      <c r="AG123" s="230">
        <f>'Ethylene Recycling HC'!AG147</f>
        <v>6.1999073230171011E-3</v>
      </c>
      <c r="AH123" s="245"/>
      <c r="AI123" s="133"/>
      <c r="AJ123" s="211"/>
      <c r="AL123" s="108"/>
      <c r="AM123" s="2"/>
      <c r="AN123" s="2"/>
      <c r="AO123" s="2"/>
      <c r="BC123" s="1"/>
      <c r="BD123" s="2"/>
      <c r="BE123" s="2"/>
      <c r="BF123" s="2"/>
      <c r="BG123" s="2"/>
      <c r="BH123" s="2"/>
      <c r="BI123" s="2"/>
      <c r="BJ123" s="2"/>
      <c r="BK123" s="2"/>
    </row>
    <row r="124" spans="1:63" s="1" customFormat="1" outlineLevel="1" x14ac:dyDescent="0.2">
      <c r="A124" s="1" t="s">
        <v>1329</v>
      </c>
      <c r="B124" s="65"/>
      <c r="C124" s="300">
        <f>'Ethylene Recycling HC'!C148</f>
        <v>2.2059115099156805E-2</v>
      </c>
      <c r="D124" s="300">
        <f>'Ethylene Recycling HC'!D148</f>
        <v>2.7669309654602785E-2</v>
      </c>
      <c r="E124" s="300">
        <f>'Ethylene Recycling HC'!E148</f>
        <v>3.3204856099335836E-2</v>
      </c>
      <c r="F124" s="300">
        <f>'Ethylene Recycling HC'!F148</f>
        <v>3.8608800848772544E-2</v>
      </c>
      <c r="G124" s="300">
        <f>'Ethylene Recycling HC'!G148</f>
        <v>4.3824732849064262E-2</v>
      </c>
      <c r="H124" s="300">
        <f>'Ethylene Recycling HC'!H148</f>
        <v>4.8797667404367806E-2</v>
      </c>
      <c r="I124" s="300">
        <f>'Ethylene Recycling HC'!I148</f>
        <v>5.3590289680419081E-2</v>
      </c>
      <c r="J124" s="300">
        <f>'Ethylene Recycling HC'!J148</f>
        <v>5.818176917945117E-2</v>
      </c>
      <c r="K124" s="300">
        <f>'Ethylene Recycling HC'!K148</f>
        <v>6.2551210680273542E-2</v>
      </c>
      <c r="L124" s="300">
        <f>'Ethylene Recycling HC'!L148</f>
        <v>6.6677719631495047E-2</v>
      </c>
      <c r="M124" s="300">
        <f>'Ethylene Recycling HC'!M148</f>
        <v>7.0540469324727212E-2</v>
      </c>
      <c r="N124" s="300">
        <f>'Ethylene Recycling HC'!N148</f>
        <v>7.9479538338396938E-2</v>
      </c>
      <c r="O124" s="300">
        <f>'Ethylene Recycling HC'!O148</f>
        <v>8.7732338184298847E-2</v>
      </c>
      <c r="P124" s="300">
        <f>'Ethylene Recycling HC'!P148</f>
        <v>9.4901100545251471E-2</v>
      </c>
      <c r="Q124" s="300">
        <f>'Ethylene Recycling HC'!Q148</f>
        <v>0.10119714288607878</v>
      </c>
      <c r="R124" s="300">
        <f>'Ethylene Recycling HC'!R148</f>
        <v>0.10657058784817959</v>
      </c>
      <c r="S124" s="300">
        <f>'Ethylene Recycling HC'!S148</f>
        <v>0.11118087352182053</v>
      </c>
      <c r="T124" s="300">
        <f>'Ethylene Recycling HC'!T148</f>
        <v>0.11501739123771275</v>
      </c>
      <c r="U124" s="300">
        <f>'Ethylene Recycling HC'!U148</f>
        <v>0.11807011285865855</v>
      </c>
      <c r="V124" s="300">
        <f>'Ethylene Recycling HC'!V148</f>
        <v>0.12032960518896817</v>
      </c>
      <c r="W124" s="300">
        <f>'Ethylene Recycling HC'!W148</f>
        <v>0.12178704387983859</v>
      </c>
      <c r="X124" s="300">
        <f>'Ethylene Recycling HC'!X148</f>
        <v>0.12710782517842187</v>
      </c>
      <c r="Y124" s="300">
        <f>'Ethylene Recycling HC'!Y148</f>
        <v>0.1310987025736022</v>
      </c>
      <c r="Z124" s="300">
        <f>'Ethylene Recycling HC'!Z148</f>
        <v>0.13264762979059569</v>
      </c>
      <c r="AA124" s="300">
        <f>'Ethylene Recycling HC'!AA148</f>
        <v>0.13280879803354753</v>
      </c>
      <c r="AB124" s="300">
        <f>'Ethylene Recycling HC'!AB148</f>
        <v>0.13160477337302914</v>
      </c>
      <c r="AC124" s="300">
        <f>'Ethylene Recycling HC'!AC148</f>
        <v>0.12906137557177924</v>
      </c>
      <c r="AD124" s="300">
        <f>'Ethylene Recycling HC'!AD148</f>
        <v>0.1252051003587201</v>
      </c>
      <c r="AE124" s="300">
        <f>'Ethylene Recycling HC'!AE148</f>
        <v>0.12006434140855904</v>
      </c>
      <c r="AF124" s="300">
        <f>'Ethylene Recycling HC'!AF148</f>
        <v>0.11366935687236908</v>
      </c>
      <c r="AG124" s="300">
        <f>'Ethylene Recycling HC'!AG148</f>
        <v>0.10605223289989983</v>
      </c>
      <c r="AH124" s="422"/>
      <c r="AI124" s="423"/>
      <c r="AJ124" s="424"/>
      <c r="AL124" s="221"/>
      <c r="AM124" s="124"/>
      <c r="AN124" s="124"/>
      <c r="AO124" s="124"/>
      <c r="BD124" s="124"/>
      <c r="BE124" s="124"/>
      <c r="BF124" s="124"/>
      <c r="BG124" s="124"/>
      <c r="BH124" s="124"/>
      <c r="BI124" s="124"/>
      <c r="BJ124" s="124"/>
      <c r="BK124" s="124"/>
    </row>
    <row r="125" spans="1:63" outlineLevel="1" x14ac:dyDescent="0.2">
      <c r="A125" s="4" t="s">
        <v>258</v>
      </c>
      <c r="C125" s="230">
        <f>'Ethylene Recycling HC'!C149</f>
        <v>1.779812812753458E-2</v>
      </c>
      <c r="D125" s="230">
        <f>'Ethylene Recycling HC'!D149</f>
        <v>2.2242224505916858E-2</v>
      </c>
      <c r="E125" s="230">
        <f>'Ethylene Recycling HC'!E149</f>
        <v>2.6593113645292162E-2</v>
      </c>
      <c r="F125" s="230">
        <f>'Ethylene Recycling HC'!F149</f>
        <v>3.0806019276626535E-2</v>
      </c>
      <c r="G125" s="230">
        <f>'Ethylene Recycling HC'!G149</f>
        <v>3.4837275009075484E-2</v>
      </c>
      <c r="H125" s="230">
        <f>'Ethylene Recycling HC'!H149</f>
        <v>3.8645016191229231E-2</v>
      </c>
      <c r="I125" s="230">
        <f>'Ethylene Recycling HC'!I149</f>
        <v>4.228087073990569E-2</v>
      </c>
      <c r="J125" s="230">
        <f>'Ethylene Recycling HC'!J149</f>
        <v>4.5730077498204229E-2</v>
      </c>
      <c r="K125" s="230">
        <f>'Ethylene Recycling HC'!K149</f>
        <v>4.8978072827952426E-2</v>
      </c>
      <c r="L125" s="230">
        <f>'Ethylene Recycling HC'!L149</f>
        <v>5.2010542582287579E-2</v>
      </c>
      <c r="M125" s="230">
        <f>'Ethylene Recycling HC'!M149</f>
        <v>5.4813474292620894E-2</v>
      </c>
      <c r="N125" s="230">
        <f>'Ethylene Recycling HC'!N149</f>
        <v>6.1522826350603341E-2</v>
      </c>
      <c r="O125" s="230">
        <f>'Ethylene Recycling HC'!O149</f>
        <v>6.764974641983322E-2</v>
      </c>
      <c r="P125" s="230">
        <f>'Ethylene Recycling HC'!P149</f>
        <v>7.2894835933701094E-2</v>
      </c>
      <c r="Q125" s="230">
        <f>'Ethylene Recycling HC'!Q149</f>
        <v>7.7429468584271452E-2</v>
      </c>
      <c r="R125" s="230">
        <f>'Ethylene Recycling HC'!R149</f>
        <v>8.1223428951835791E-2</v>
      </c>
      <c r="S125" s="230">
        <f>'Ethylene Recycling HC'!S149</f>
        <v>8.4406003463424348E-2</v>
      </c>
      <c r="T125" s="230">
        <f>'Ethylene Recycling HC'!T149</f>
        <v>8.6975989703043696E-2</v>
      </c>
      <c r="U125" s="230">
        <f>'Ethylene Recycling HC'!U149</f>
        <v>8.8932748926431895E-2</v>
      </c>
      <c r="V125" s="230">
        <f>'Ethylene Recycling HC'!V149</f>
        <v>9.0276208225215093E-2</v>
      </c>
      <c r="W125" s="230">
        <f>'Ethylene Recycling HC'!W149</f>
        <v>9.1006862056880938E-2</v>
      </c>
      <c r="X125" s="230">
        <f>'Ethylene Recycling HC'!X149</f>
        <v>9.4604255221482011E-2</v>
      </c>
      <c r="Y125" s="230">
        <f>'Ethylene Recycling HC'!Y149</f>
        <v>9.7184085514753035E-2</v>
      </c>
      <c r="Z125" s="230">
        <f>'Ethylene Recycling HC'!Z149</f>
        <v>9.7937184798128893E-2</v>
      </c>
      <c r="AA125" s="230">
        <f>'Ethylene Recycling HC'!AA149</f>
        <v>9.7660571650961411E-2</v>
      </c>
      <c r="AB125" s="230">
        <f>'Ethylene Recycling HC'!AB149</f>
        <v>9.6383174224742379E-2</v>
      </c>
      <c r="AC125" s="230">
        <f>'Ethylene Recycling HC'!AC149</f>
        <v>9.4136025002989385E-2</v>
      </c>
      <c r="AD125" s="230">
        <f>'Ethylene Recycling HC'!AD149</f>
        <v>9.0950339853072604E-2</v>
      </c>
      <c r="AE125" s="230">
        <f>'Ethylene Recycling HC'!AE149</f>
        <v>8.6858391977652508E-2</v>
      </c>
      <c r="AF125" s="230">
        <f>'Ethylene Recycling HC'!AF149</f>
        <v>8.1893459533737722E-2</v>
      </c>
      <c r="AG125" s="230">
        <f>'Ethylene Recycling HC'!AG149</f>
        <v>7.6089771691573535E-2</v>
      </c>
      <c r="AH125" s="245"/>
      <c r="AI125" s="133"/>
      <c r="AJ125" s="211"/>
      <c r="AL125" s="108"/>
      <c r="AM125" s="2"/>
      <c r="AN125" s="2"/>
      <c r="AO125" s="2"/>
      <c r="BC125" s="1"/>
      <c r="BD125" s="2"/>
      <c r="BE125" s="2"/>
      <c r="BF125" s="2"/>
      <c r="BG125" s="2"/>
      <c r="BH125" s="2"/>
      <c r="BI125" s="2"/>
      <c r="BJ125" s="2"/>
      <c r="BK125" s="2"/>
    </row>
    <row r="126" spans="1:63" outlineLevel="1" x14ac:dyDescent="0.2">
      <c r="A126" s="4" t="s">
        <v>478</v>
      </c>
      <c r="C126" s="230">
        <f>'Ethylene Recycling HC'!C150</f>
        <v>2.2073568030605414E-3</v>
      </c>
      <c r="D126" s="230">
        <f>'Ethylene Recycling HC'!D150</f>
        <v>2.6764523723315815E-3</v>
      </c>
      <c r="E126" s="230">
        <f>'Ethylene Recycling HC'!E150</f>
        <v>3.1011504177591628E-3</v>
      </c>
      <c r="F126" s="230">
        <f>'Ethylene Recycling HC'!F150</f>
        <v>3.477068728533211E-3</v>
      </c>
      <c r="G126" s="230">
        <f>'Ethylene Recycling HC'!G150</f>
        <v>3.8006320226480167E-3</v>
      </c>
      <c r="H126" s="230">
        <f>'Ethylene Recycling HC'!H150</f>
        <v>4.0691365993278279E-3</v>
      </c>
      <c r="I126" s="230">
        <f>'Ethylene Recycling HC'!I150</f>
        <v>4.2900321240385503E-3</v>
      </c>
      <c r="J126" s="230">
        <f>'Ethylene Recycling HC'!J150</f>
        <v>4.4635248497905218E-3</v>
      </c>
      <c r="K126" s="230">
        <f>'Ethylene Recycling HC'!K150</f>
        <v>4.5900942020428237E-3</v>
      </c>
      <c r="L126" s="230">
        <f>'Ethylene Recycling HC'!L150</f>
        <v>4.6704984386585343E-3</v>
      </c>
      <c r="M126" s="230">
        <f>'Ethylene Recycling HC'!M150</f>
        <v>4.7057791198817332E-3</v>
      </c>
      <c r="N126" s="230">
        <f>'Ethylene Recycling HC'!N150</f>
        <v>5.0370021318752924E-3</v>
      </c>
      <c r="O126" s="230">
        <f>'Ethylene Recycling HC'!O150</f>
        <v>5.2673891768284693E-3</v>
      </c>
      <c r="P126" s="230">
        <f>'Ethylene Recycling HC'!P150</f>
        <v>5.3812524700148513E-3</v>
      </c>
      <c r="Q126" s="230">
        <f>'Ethylene Recycling HC'!Q150</f>
        <v>5.4007171377644008E-3</v>
      </c>
      <c r="R126" s="230">
        <f>'Ethylene Recycling HC'!R150</f>
        <v>5.3320205963708848E-3</v>
      </c>
      <c r="S126" s="230">
        <f>'Ethylene Recycling HC'!S150</f>
        <v>5.1918401835194016E-3</v>
      </c>
      <c r="T126" s="230">
        <f>'Ethylene Recycling HC'!T150</f>
        <v>4.9873524820450788E-3</v>
      </c>
      <c r="U126" s="230">
        <f>'Ethylene Recycling HC'!U150</f>
        <v>4.725898852880963E-3</v>
      </c>
      <c r="V126" s="230">
        <f>'Ethylene Recycling HC'!V150</f>
        <v>4.4149762818752958E-3</v>
      </c>
      <c r="W126" s="230">
        <f>'Ethylene Recycling HC'!W150</f>
        <v>4.0622279214193556E-3</v>
      </c>
      <c r="X126" s="230">
        <f>'Ethylene Recycling HC'!X150</f>
        <v>3.8157331520593586E-3</v>
      </c>
      <c r="Y126" s="230">
        <f>'Ethylene Recycling HC'!Y150</f>
        <v>3.4982559266766178E-3</v>
      </c>
      <c r="Z126" s="230">
        <f>'Ethylene Recycling HC'!Z150</f>
        <v>3.0971392505755825E-3</v>
      </c>
      <c r="AA126" s="230">
        <f>'Ethylene Recycling HC'!AA150</f>
        <v>2.6579162629859977E-3</v>
      </c>
      <c r="AB126" s="230">
        <f>'Ethylene Recycling HC'!AB150</f>
        <v>2.1948499937130325E-3</v>
      </c>
      <c r="AC126" s="230">
        <f>'Ethylene Recycling HC'!AC150</f>
        <v>1.7219458054725412E-3</v>
      </c>
      <c r="AD126" s="230">
        <f>'Ethylene Recycling HC'!AD150</f>
        <v>1.252871336009585E-3</v>
      </c>
      <c r="AE126" s="230">
        <f>'Ethylene Recycling HC'!AE150</f>
        <v>8.0095337648213472E-4</v>
      </c>
      <c r="AF126" s="230">
        <f>'Ethylene Recycling HC'!AF150</f>
        <v>3.7914610666821253E-4</v>
      </c>
      <c r="AG126" s="230">
        <f>'Ethylene Recycling HC'!AG150</f>
        <v>0</v>
      </c>
      <c r="AH126" s="245"/>
      <c r="AI126" s="133"/>
      <c r="AJ126" s="211"/>
      <c r="AL126" s="108"/>
      <c r="AM126" s="2"/>
      <c r="AN126" s="2"/>
      <c r="AO126" s="2"/>
      <c r="BC126" s="1"/>
      <c r="BD126" s="2"/>
      <c r="BE126" s="2"/>
      <c r="BF126" s="2"/>
      <c r="BG126" s="2"/>
      <c r="BH126" s="2"/>
      <c r="BI126" s="2"/>
      <c r="BJ126" s="2"/>
      <c r="BK126" s="2"/>
    </row>
    <row r="127" spans="1:63" outlineLevel="1" x14ac:dyDescent="0.2">
      <c r="A127" s="4" t="s">
        <v>480</v>
      </c>
      <c r="C127" s="230">
        <f>'Ethylene Recycling HC'!C151</f>
        <v>0</v>
      </c>
      <c r="D127" s="230">
        <f>'Ethylene Recycling HC'!D151</f>
        <v>9.8818963052152797E-5</v>
      </c>
      <c r="E127" s="230">
        <f>'Ethylene Recycling HC'!E151</f>
        <v>2.3717754356668454E-4</v>
      </c>
      <c r="F127" s="230">
        <f>'Ethylene Recycling HC'!F151</f>
        <v>4.1366572337970582E-4</v>
      </c>
      <c r="G127" s="230">
        <f>'Ethylene Recycling HC'!G151</f>
        <v>6.2606761212948947E-4</v>
      </c>
      <c r="H127" s="230">
        <f>'Ethylene Recycling HC'!H151</f>
        <v>8.7138691793513939E-4</v>
      </c>
      <c r="I127" s="230">
        <f>'Ethylene Recycling HC'!I151</f>
        <v>1.1483633502946946E-3</v>
      </c>
      <c r="J127" s="230">
        <f>'Ethylene Recycling HC'!J151</f>
        <v>1.4545442294862793E-3</v>
      </c>
      <c r="K127" s="230">
        <f>'Ethylene Recycling HC'!K151</f>
        <v>1.7871774480078156E-3</v>
      </c>
      <c r="L127" s="230">
        <f>'Ethylene Recycling HC'!L151</f>
        <v>2.143212416726627E-3</v>
      </c>
      <c r="M127" s="230">
        <f>'Ethylene Recycling HC'!M151</f>
        <v>2.5193024758831152E-3</v>
      </c>
      <c r="N127" s="230">
        <f>'Ethylene Recycling HC'!N151</f>
        <v>3.1224104347227374E-3</v>
      </c>
      <c r="O127" s="230">
        <f>'Ethylene Recycling HC'!O151</f>
        <v>3.7599573507556654E-3</v>
      </c>
      <c r="P127" s="230">
        <f>'Ethylene Recycling HC'!P151</f>
        <v>4.4061225253152481E-3</v>
      </c>
      <c r="Q127" s="230">
        <f>'Ethylene Recycling HC'!Q151</f>
        <v>5.0598571443039404E-3</v>
      </c>
      <c r="R127" s="230">
        <f>'Ethylene Recycling HC'!R151</f>
        <v>5.7091386347239079E-3</v>
      </c>
      <c r="S127" s="230">
        <f>'Ethylene Recycling HC'!S151</f>
        <v>6.3531927726754606E-3</v>
      </c>
      <c r="T127" s="230">
        <f>'Ethylene Recycling HC'!T151</f>
        <v>6.9831987537182756E-3</v>
      </c>
      <c r="U127" s="230">
        <f>'Ethylene Recycling HC'!U151</f>
        <v>7.5902215409137646E-3</v>
      </c>
      <c r="V127" s="230">
        <f>'Ethylene Recycling HC'!V151</f>
        <v>8.1652232092514123E-3</v>
      </c>
      <c r="W127" s="230">
        <f>'Ethylene Recycling HC'!W151</f>
        <v>8.6990745628456149E-3</v>
      </c>
      <c r="X127" s="230">
        <f>'Ethylene Recycling HC'!X151</f>
        <v>9.5330868883816422E-3</v>
      </c>
      <c r="Y127" s="230">
        <f>'Ethylene Recycling HC'!Y151</f>
        <v>1.0300612345068747E-2</v>
      </c>
      <c r="Z127" s="230">
        <f>'Ethylene Recycling HC'!Z151</f>
        <v>1.0896055304227504E-2</v>
      </c>
      <c r="AA127" s="230">
        <f>'Ethylene Recycling HC'!AA151</f>
        <v>1.1383611260018361E-2</v>
      </c>
      <c r="AB127" s="230">
        <f>'Ethylene Recycling HC'!AB151</f>
        <v>1.1750426194020461E-2</v>
      </c>
      <c r="AC127" s="230">
        <f>'Ethylene Recycling HC'!AC151</f>
        <v>1.1984270588808075E-2</v>
      </c>
      <c r="AD127" s="230">
        <f>'Ethylene Recycling HC'!AD151</f>
        <v>1.2073348963162298E-2</v>
      </c>
      <c r="AE127" s="230">
        <f>'Ethylene Recycling HC'!AE151</f>
        <v>1.2006434140855907E-2</v>
      </c>
      <c r="AF127" s="230">
        <f>'Ethylene Recycling HC'!AF151</f>
        <v>1.1772897676066799E-2</v>
      </c>
      <c r="AG127" s="230">
        <f>'Ethylene Recycling HC'!AG151</f>
        <v>1.1362739239274982E-2</v>
      </c>
      <c r="AH127" s="245"/>
      <c r="AI127" s="133"/>
      <c r="AJ127" s="211"/>
      <c r="AL127" s="108"/>
      <c r="AM127" s="2"/>
      <c r="AN127" s="2"/>
      <c r="AO127" s="2"/>
      <c r="BC127" s="1"/>
      <c r="BD127" s="2"/>
      <c r="BE127" s="2"/>
      <c r="BF127" s="2"/>
      <c r="BG127" s="2"/>
      <c r="BH127" s="2"/>
      <c r="BI127" s="2"/>
      <c r="BJ127" s="2"/>
      <c r="BK127" s="2"/>
    </row>
    <row r="128" spans="1:63" outlineLevel="1" x14ac:dyDescent="0.2">
      <c r="A128" s="4" t="s">
        <v>474</v>
      </c>
      <c r="C128" s="230">
        <f>'Ethylene Recycling HC'!C152</f>
        <v>0</v>
      </c>
      <c r="D128" s="230">
        <f>'Ethylene Recycling HC'!D152</f>
        <v>0</v>
      </c>
      <c r="E128" s="230">
        <f>'Ethylene Recycling HC'!E152</f>
        <v>0</v>
      </c>
      <c r="F128" s="230">
        <f>'Ethylene Recycling HC'!F152</f>
        <v>0</v>
      </c>
      <c r="G128" s="230">
        <f>'Ethylene Recycling HC'!G152</f>
        <v>0</v>
      </c>
      <c r="H128" s="230">
        <f>'Ethylene Recycling HC'!H152</f>
        <v>0</v>
      </c>
      <c r="I128" s="230">
        <f>'Ethylene Recycling HC'!I152</f>
        <v>0</v>
      </c>
      <c r="J128" s="230">
        <f>'Ethylene Recycling HC'!J152</f>
        <v>0</v>
      </c>
      <c r="K128" s="230">
        <f>'Ethylene Recycling HC'!K152</f>
        <v>0</v>
      </c>
      <c r="L128" s="230">
        <f>'Ethylene Recycling HC'!L152</f>
        <v>0</v>
      </c>
      <c r="M128" s="230">
        <f>'Ethylene Recycling HC'!M152</f>
        <v>0</v>
      </c>
      <c r="N128" s="230">
        <f>'Ethylene Recycling HC'!N152</f>
        <v>0</v>
      </c>
      <c r="O128" s="230">
        <f>'Ethylene Recycling HC'!O152</f>
        <v>0</v>
      </c>
      <c r="P128" s="230">
        <f>'Ethylene Recycling HC'!P152</f>
        <v>0</v>
      </c>
      <c r="Q128" s="230">
        <f>'Ethylene Recycling HC'!Q152</f>
        <v>0</v>
      </c>
      <c r="R128" s="230">
        <f>'Ethylene Recycling HC'!R152</f>
        <v>0</v>
      </c>
      <c r="S128" s="230">
        <f>'Ethylene Recycling HC'!S152</f>
        <v>0</v>
      </c>
      <c r="T128" s="230">
        <f>'Ethylene Recycling HC'!T152</f>
        <v>0</v>
      </c>
      <c r="U128" s="230">
        <f>'Ethylene Recycling HC'!U152</f>
        <v>0</v>
      </c>
      <c r="V128" s="230">
        <f>'Ethylene Recycling HC'!V152</f>
        <v>0</v>
      </c>
      <c r="W128" s="230">
        <f>'Ethylene Recycling HC'!W152</f>
        <v>0</v>
      </c>
      <c r="X128" s="230">
        <f>'Ethylene Recycling HC'!X152</f>
        <v>0</v>
      </c>
      <c r="Y128" s="230">
        <f>'Ethylene Recycling HC'!Y152</f>
        <v>0</v>
      </c>
      <c r="Z128" s="230">
        <f>'Ethylene Recycling HC'!Z152</f>
        <v>0</v>
      </c>
      <c r="AA128" s="230">
        <f>'Ethylene Recycling HC'!AA152</f>
        <v>0</v>
      </c>
      <c r="AB128" s="230">
        <f>'Ethylene Recycling HC'!AB152</f>
        <v>0</v>
      </c>
      <c r="AC128" s="230">
        <f>'Ethylene Recycling HC'!AC152</f>
        <v>0</v>
      </c>
      <c r="AD128" s="230">
        <f>'Ethylene Recycling HC'!AD152</f>
        <v>0</v>
      </c>
      <c r="AE128" s="230">
        <f>'Ethylene Recycling HC'!AE152</f>
        <v>0</v>
      </c>
      <c r="AF128" s="230">
        <f>'Ethylene Recycling HC'!AF152</f>
        <v>0</v>
      </c>
      <c r="AG128" s="230">
        <f>'Ethylene Recycling HC'!AG152</f>
        <v>0</v>
      </c>
      <c r="AH128" s="245"/>
      <c r="AI128" s="133"/>
      <c r="AJ128" s="211"/>
      <c r="AL128" s="108"/>
      <c r="AM128" s="2"/>
      <c r="AN128" s="2"/>
      <c r="AO128" s="2"/>
      <c r="BC128" s="1"/>
      <c r="BD128" s="2"/>
      <c r="BE128" s="2"/>
      <c r="BF128" s="2"/>
      <c r="BG128" s="2"/>
      <c r="BH128" s="2"/>
      <c r="BI128" s="2"/>
      <c r="BJ128" s="2"/>
      <c r="BK128" s="2"/>
    </row>
    <row r="129" spans="1:63" outlineLevel="1" x14ac:dyDescent="0.2">
      <c r="A129" s="4" t="s">
        <v>248</v>
      </c>
      <c r="C129" s="230">
        <f>'Ethylene Recycling HC'!C153</f>
        <v>2.0536301685616823E-3</v>
      </c>
      <c r="D129" s="230">
        <f>'Ethylene Recycling HC'!D153</f>
        <v>2.6518138133021915E-3</v>
      </c>
      <c r="E129" s="230">
        <f>'Ethylene Recycling HC'!E153</f>
        <v>3.2734144927178293E-3</v>
      </c>
      <c r="F129" s="230">
        <f>'Ethylene Recycling HC'!F153</f>
        <v>3.9120471202330944E-3</v>
      </c>
      <c r="G129" s="230">
        <f>'Ethylene Recycling HC'!G153</f>
        <v>4.5607582052112766E-3</v>
      </c>
      <c r="H129" s="230">
        <f>'Ethylene Recycling HC'!H153</f>
        <v>5.2121276958756119E-3</v>
      </c>
      <c r="I129" s="230">
        <f>'Ethylene Recycling HC'!I153</f>
        <v>5.8710234661801565E-3</v>
      </c>
      <c r="J129" s="230">
        <f>'Ethylene Recycling HC'!J153</f>
        <v>6.533622601970151E-3</v>
      </c>
      <c r="K129" s="230">
        <f>'Ethylene Recycling HC'!K153</f>
        <v>7.1958662022704907E-3</v>
      </c>
      <c r="L129" s="230">
        <f>'Ethylene Recycling HC'!L153</f>
        <v>7.8534661938223279E-3</v>
      </c>
      <c r="M129" s="230">
        <f>'Ethylene Recycling HC'!M153</f>
        <v>8.5019134363414958E-3</v>
      </c>
      <c r="N129" s="230">
        <f>'Ethylene Recycling HC'!N153</f>
        <v>9.7972994211955999E-3</v>
      </c>
      <c r="O129" s="230">
        <f>'Ethylene Recycling HC'!O153</f>
        <v>1.1055245236881533E-2</v>
      </c>
      <c r="P129" s="230">
        <f>'Ethylene Recycling HC'!P153</f>
        <v>1.2218889616220323E-2</v>
      </c>
      <c r="Q129" s="230">
        <f>'Ethylene Recycling HC'!Q153</f>
        <v>1.3307100019739044E-2</v>
      </c>
      <c r="R129" s="230">
        <f>'Ethylene Recycling HC'!R153</f>
        <v>1.4305999665249073E-2</v>
      </c>
      <c r="S129" s="230">
        <f>'Ethylene Recycling HC'!S153</f>
        <v>1.5229837102201394E-2</v>
      </c>
      <c r="T129" s="230">
        <f>'Ethylene Recycling HC'!T153</f>
        <v>1.6070850298905787E-2</v>
      </c>
      <c r="U129" s="230">
        <f>'Ethylene Recycling HC'!U153</f>
        <v>1.6821243538432028E-2</v>
      </c>
      <c r="V129" s="230">
        <f>'Ethylene Recycling HC'!V153</f>
        <v>1.7473197472626475E-2</v>
      </c>
      <c r="W129" s="230">
        <f>'Ethylene Recycling HC'!W153</f>
        <v>1.8018879338692801E-2</v>
      </c>
      <c r="X129" s="230">
        <f>'Ethylene Recycling HC'!X153</f>
        <v>1.915474991649899E-2</v>
      </c>
      <c r="Y129" s="230">
        <f>'Ethylene Recycling HC'!Y153</f>
        <v>2.011574878710394E-2</v>
      </c>
      <c r="Z129" s="230">
        <f>'Ethylene Recycling HC'!Z153</f>
        <v>2.0717250437663863E-2</v>
      </c>
      <c r="AA129" s="230">
        <f>'Ethylene Recycling HC'!AA153</f>
        <v>2.110669885958192E-2</v>
      </c>
      <c r="AB129" s="230">
        <f>'Ethylene Recycling HC'!AB153</f>
        <v>2.1276322960553429E-2</v>
      </c>
      <c r="AC129" s="230">
        <f>'Ethylene Recycling HC'!AC153</f>
        <v>2.1219134174509411E-2</v>
      </c>
      <c r="AD129" s="230">
        <f>'Ethylene Recycling HC'!AD153</f>
        <v>2.0928540206475787E-2</v>
      </c>
      <c r="AE129" s="230">
        <f>'Ethylene Recycling HC'!AE153</f>
        <v>2.0398561913568657E-2</v>
      </c>
      <c r="AF129" s="230">
        <f>'Ethylene Recycling HC'!AF153</f>
        <v>1.9623853555896513E-2</v>
      </c>
      <c r="AG129" s="230">
        <f>'Ethylene Recycling HC'!AG153</f>
        <v>1.8599721969051308E-2</v>
      </c>
      <c r="AH129" s="245"/>
      <c r="AI129" s="133"/>
      <c r="AJ129" s="211"/>
      <c r="AL129" s="108"/>
      <c r="AM129" s="2"/>
      <c r="AN129" s="2"/>
      <c r="AO129" s="2"/>
      <c r="BC129" s="1"/>
      <c r="BD129" s="2"/>
      <c r="BE129" s="2"/>
      <c r="BF129" s="2"/>
      <c r="BG129" s="2"/>
      <c r="BH129" s="2"/>
      <c r="BI129" s="2"/>
      <c r="BJ129" s="2"/>
      <c r="BK129" s="2"/>
    </row>
    <row r="130" spans="1:63" outlineLevel="1" x14ac:dyDescent="0.2">
      <c r="C130" s="110"/>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c r="AD130" s="23"/>
      <c r="AE130" s="23"/>
      <c r="AF130" s="23"/>
      <c r="AG130" s="23"/>
      <c r="AJ130" s="211"/>
      <c r="AM130" s="123"/>
      <c r="AN130" s="123"/>
    </row>
    <row r="131" spans="1:63" s="200" customFormat="1" ht="16" thickBot="1" x14ac:dyDescent="0.25">
      <c r="A131" s="200" t="s">
        <v>1339</v>
      </c>
      <c r="B131" s="215"/>
      <c r="C131" s="224">
        <f>C132</f>
        <v>0.13</v>
      </c>
      <c r="D131" s="224">
        <f t="shared" ref="D131:AF131" si="29">D132</f>
        <v>0.13557711853523402</v>
      </c>
      <c r="E131" s="224">
        <f t="shared" si="29"/>
        <v>0.14115423707046801</v>
      </c>
      <c r="F131" s="224">
        <f t="shared" si="29"/>
        <v>0.14673135560570202</v>
      </c>
      <c r="G131" s="224">
        <f t="shared" si="29"/>
        <v>0.15230847414093604</v>
      </c>
      <c r="H131" s="224">
        <f t="shared" si="29"/>
        <v>0.15788559267617003</v>
      </c>
      <c r="I131" s="224">
        <f t="shared" si="29"/>
        <v>0.16089758106238553</v>
      </c>
      <c r="J131" s="224">
        <f t="shared" si="29"/>
        <v>0.16364995177824354</v>
      </c>
      <c r="K131" s="224">
        <f t="shared" si="29"/>
        <v>0.16613008669442933</v>
      </c>
      <c r="L131" s="224">
        <f t="shared" si="29"/>
        <v>0.16832453651514789</v>
      </c>
      <c r="M131" s="224">
        <f t="shared" si="29"/>
        <v>0.17021895119523547</v>
      </c>
      <c r="N131" s="224">
        <f t="shared" si="29"/>
        <v>0.17734454784995002</v>
      </c>
      <c r="O131" s="224">
        <f t="shared" si="29"/>
        <v>0.18390248314544297</v>
      </c>
      <c r="P131" s="224">
        <f t="shared" si="29"/>
        <v>0.18986273528344866</v>
      </c>
      <c r="Q131" s="224">
        <f t="shared" si="29"/>
        <v>0.19519312746583775</v>
      </c>
      <c r="R131" s="224">
        <f t="shared" si="29"/>
        <v>0.19985913100077954</v>
      </c>
      <c r="S131" s="224">
        <f t="shared" si="29"/>
        <v>0.20550700970344327</v>
      </c>
      <c r="T131" s="224">
        <f t="shared" si="29"/>
        <v>0.21068215841081397</v>
      </c>
      <c r="U131" s="224">
        <f t="shared" si="29"/>
        <v>0.21536555858100428</v>
      </c>
      <c r="V131" s="224">
        <f t="shared" si="29"/>
        <v>0.21953715761747378</v>
      </c>
      <c r="W131" s="224">
        <f t="shared" si="29"/>
        <v>0.22317579762253245</v>
      </c>
      <c r="X131" s="224">
        <f t="shared" si="29"/>
        <v>0.23194169738890372</v>
      </c>
      <c r="Y131" s="224">
        <f t="shared" si="29"/>
        <v>0.23984120406620063</v>
      </c>
      <c r="Z131" s="224">
        <f t="shared" si="29"/>
        <v>0.24683695638050437</v>
      </c>
      <c r="AA131" s="224">
        <f t="shared" si="29"/>
        <v>0.25288941356693667</v>
      </c>
      <c r="AB131" s="224">
        <f t="shared" si="29"/>
        <v>0.25795669409028865</v>
      </c>
      <c r="AC131" s="224">
        <f t="shared" si="29"/>
        <v>0.26018823679458786</v>
      </c>
      <c r="AD131" s="224">
        <f t="shared" si="29"/>
        <v>0.26104573149753485</v>
      </c>
      <c r="AE131" s="224">
        <f t="shared" si="29"/>
        <v>0.2604514130550889</v>
      </c>
      <c r="AF131" s="224">
        <f t="shared" si="29"/>
        <v>0.25832153526373247</v>
      </c>
      <c r="AG131" s="224">
        <f>AG132</f>
        <v>0.25456578456951179</v>
      </c>
      <c r="AJ131" s="231" t="s">
        <v>1340</v>
      </c>
      <c r="AL131" s="217"/>
      <c r="AM131" s="225"/>
      <c r="AN131" s="225"/>
      <c r="AO131" s="225"/>
    </row>
    <row r="132" spans="1:63" ht="17" outlineLevel="1" thickTop="1" x14ac:dyDescent="0.2">
      <c r="A132" t="s">
        <v>1341</v>
      </c>
      <c r="B132" s="54" t="s">
        <v>462</v>
      </c>
      <c r="C132" s="110">
        <f>'Ethylene Recycling HC'!C156*'Ethylene Recycling HC'!C$48/'Ethylene Recycling LC'!C$48</f>
        <v>0.13</v>
      </c>
      <c r="D132" s="110">
        <f>'Ethylene Recycling HC'!D156*'Ethylene Recycling HC'!D$48/'Ethylene Recycling LC'!D$48</f>
        <v>0.13557711853523402</v>
      </c>
      <c r="E132" s="110">
        <f>'Ethylene Recycling HC'!E156*'Ethylene Recycling HC'!E$48/'Ethylene Recycling LC'!E$48</f>
        <v>0.14115423707046801</v>
      </c>
      <c r="F132" s="110">
        <f>'Ethylene Recycling HC'!F156*'Ethylene Recycling HC'!F$48/'Ethylene Recycling LC'!F$48</f>
        <v>0.14673135560570202</v>
      </c>
      <c r="G132" s="110">
        <f>'Ethylene Recycling HC'!G156*'Ethylene Recycling HC'!G$48/'Ethylene Recycling LC'!G$48</f>
        <v>0.15230847414093604</v>
      </c>
      <c r="H132" s="110">
        <f>'Ethylene Recycling HC'!H156*'Ethylene Recycling HC'!H$48/'Ethylene Recycling LC'!H$48</f>
        <v>0.15788559267617003</v>
      </c>
      <c r="I132" s="110">
        <f>'Ethylene Recycling HC'!I156*'Ethylene Recycling HC'!I$48/'Ethylene Recycling LC'!I$48</f>
        <v>0.16089758106238553</v>
      </c>
      <c r="J132" s="110">
        <f>'Ethylene Recycling HC'!J156*'Ethylene Recycling HC'!J$48/'Ethylene Recycling LC'!J$48</f>
        <v>0.16364995177824354</v>
      </c>
      <c r="K132" s="110">
        <f>'Ethylene Recycling HC'!K156*'Ethylene Recycling HC'!K$48/'Ethylene Recycling LC'!K$48</f>
        <v>0.16613008669442933</v>
      </c>
      <c r="L132" s="110">
        <f>'Ethylene Recycling HC'!L156*'Ethylene Recycling HC'!L$48/'Ethylene Recycling LC'!L$48</f>
        <v>0.16832453651514789</v>
      </c>
      <c r="M132" s="110">
        <f>'Ethylene Recycling HC'!M156*'Ethylene Recycling HC'!M$48/'Ethylene Recycling LC'!M$48</f>
        <v>0.17021895119523547</v>
      </c>
      <c r="N132" s="110">
        <f>'Ethylene Recycling HC'!N156*'Ethylene Recycling HC'!N$48/'Ethylene Recycling LC'!N$48</f>
        <v>0.17734454784995002</v>
      </c>
      <c r="O132" s="110">
        <f>'Ethylene Recycling HC'!O156*'Ethylene Recycling HC'!O$48/'Ethylene Recycling LC'!O$48</f>
        <v>0.18390248314544297</v>
      </c>
      <c r="P132" s="110">
        <f>'Ethylene Recycling HC'!P156*'Ethylene Recycling HC'!P$48/'Ethylene Recycling LC'!P$48</f>
        <v>0.18986273528344866</v>
      </c>
      <c r="Q132" s="110">
        <f>'Ethylene Recycling HC'!Q156*'Ethylene Recycling HC'!Q$48/'Ethylene Recycling LC'!Q$48</f>
        <v>0.19519312746583775</v>
      </c>
      <c r="R132" s="110">
        <f>'Ethylene Recycling HC'!R156*'Ethylene Recycling HC'!R$48/'Ethylene Recycling LC'!R$48</f>
        <v>0.19985913100077954</v>
      </c>
      <c r="S132" s="110">
        <f>'Ethylene Recycling HC'!S156*'Ethylene Recycling HC'!S$48/'Ethylene Recycling LC'!S$48</f>
        <v>0.20550700970344327</v>
      </c>
      <c r="T132" s="110">
        <f>'Ethylene Recycling HC'!T156*'Ethylene Recycling HC'!T$48/'Ethylene Recycling LC'!T$48</f>
        <v>0.21068215841081397</v>
      </c>
      <c r="U132" s="110">
        <f>'Ethylene Recycling HC'!U156*'Ethylene Recycling HC'!U$48/'Ethylene Recycling LC'!U$48</f>
        <v>0.21536555858100428</v>
      </c>
      <c r="V132" s="110">
        <f>'Ethylene Recycling HC'!V156*'Ethylene Recycling HC'!V$48/'Ethylene Recycling LC'!V$48</f>
        <v>0.21953715761747378</v>
      </c>
      <c r="W132" s="110">
        <f>'Ethylene Recycling HC'!W156*'Ethylene Recycling HC'!W$48/'Ethylene Recycling LC'!W$48</f>
        <v>0.22317579762253245</v>
      </c>
      <c r="X132" s="110">
        <f>'Ethylene Recycling HC'!X156*'Ethylene Recycling HC'!X$48/'Ethylene Recycling LC'!X$48</f>
        <v>0.23194169738890372</v>
      </c>
      <c r="Y132" s="110">
        <f>'Ethylene Recycling HC'!Y156*'Ethylene Recycling HC'!Y$48/'Ethylene Recycling LC'!Y$48</f>
        <v>0.23984120406620063</v>
      </c>
      <c r="Z132" s="110">
        <f>'Ethylene Recycling HC'!Z156*'Ethylene Recycling HC'!Z$48/'Ethylene Recycling LC'!Z$48</f>
        <v>0.24683695638050437</v>
      </c>
      <c r="AA132" s="110">
        <f>'Ethylene Recycling HC'!AA156*'Ethylene Recycling HC'!AA$48/'Ethylene Recycling LC'!AA$48</f>
        <v>0.25288941356693667</v>
      </c>
      <c r="AB132" s="110">
        <f>'Ethylene Recycling HC'!AB156*'Ethylene Recycling HC'!AB$48/'Ethylene Recycling LC'!AB$48</f>
        <v>0.25795669409028865</v>
      </c>
      <c r="AC132" s="110">
        <f>'Ethylene Recycling HC'!AC156*'Ethylene Recycling HC'!AC$48/'Ethylene Recycling LC'!AC$48</f>
        <v>0.26018823679458786</v>
      </c>
      <c r="AD132" s="110">
        <f>'Ethylene Recycling HC'!AD156*'Ethylene Recycling HC'!AD$48/'Ethylene Recycling LC'!AD$48</f>
        <v>0.26104573149753485</v>
      </c>
      <c r="AE132" s="110">
        <f>'Ethylene Recycling HC'!AE156*'Ethylene Recycling HC'!AE$48/'Ethylene Recycling LC'!AE$48</f>
        <v>0.2604514130550889</v>
      </c>
      <c r="AF132" s="110">
        <f>'Ethylene Recycling HC'!AF156*'Ethylene Recycling HC'!AF$48/'Ethylene Recycling LC'!AF$48</f>
        <v>0.25832153526373247</v>
      </c>
      <c r="AG132" s="110">
        <f>'Ethylene Recycling HC'!AG156*'Ethylene Recycling HC'!AG$48/'Ethylene Recycling LC'!AG$48</f>
        <v>0.25456578456951179</v>
      </c>
      <c r="AI132" s="133" t="s">
        <v>1314</v>
      </c>
      <c r="AJ132" s="211" t="s">
        <v>1342</v>
      </c>
    </row>
    <row r="133" spans="1:63" ht="16" outlineLevel="1" x14ac:dyDescent="0.2">
      <c r="A133" t="s">
        <v>1343</v>
      </c>
      <c r="B133" s="54" t="s">
        <v>462</v>
      </c>
      <c r="C133" s="110">
        <f>'Ethylene Recycling HC'!C159*'Ethylene Recycling HC'!C$48/'Ethylene Recycling LC'!C$48</f>
        <v>6.5000000000000006E-3</v>
      </c>
      <c r="D133" s="110">
        <f>'Ethylene Recycling HC'!D159*'Ethylene Recycling HC'!D$48/'Ethylene Recycling LC'!D$48</f>
        <v>7.9086652478886511E-3</v>
      </c>
      <c r="E133" s="110">
        <f>'Ethylene Recycling HC'!E159*'Ethylene Recycling HC'!E$48/'Ethylene Recycling LC'!E$48</f>
        <v>9.4102824713645332E-3</v>
      </c>
      <c r="F133" s="110">
        <f>'Ethylene Recycling HC'!F159*'Ethylene Recycling HC'!F$48/'Ethylene Recycling LC'!F$48</f>
        <v>1.1004851670427652E-2</v>
      </c>
      <c r="G133" s="110">
        <f>'Ethylene Recycling HC'!G159*'Ethylene Recycling HC'!G$48/'Ethylene Recycling LC'!G$48</f>
        <v>1.2692372845078003E-2</v>
      </c>
      <c r="H133" s="110">
        <f>'Ethylene Recycling HC'!H159*'Ethylene Recycling HC'!H$48/'Ethylene Recycling LC'!H$48</f>
        <v>1.4472845995315585E-2</v>
      </c>
      <c r="I133" s="110">
        <f>'Ethylene Recycling HC'!I159*'Ethylene Recycling HC'!I$48/'Ethylene Recycling LC'!I$48</f>
        <v>1.6089758106238552E-2</v>
      </c>
      <c r="J133" s="110">
        <f>'Ethylene Recycling HC'!J159*'Ethylene Recycling HC'!J$48/'Ethylene Recycling LC'!J$48</f>
        <v>1.7728744775976385E-2</v>
      </c>
      <c r="K133" s="110">
        <f>'Ethylene Recycling HC'!K159*'Ethylene Recycling HC'!K$48/'Ethylene Recycling LC'!K$48</f>
        <v>1.9381843447683424E-2</v>
      </c>
      <c r="L133" s="110">
        <f>'Ethylene Recycling HC'!L159*'Ethylene Recycling HC'!L$48/'Ethylene Recycling LC'!L$48</f>
        <v>2.1040567064393483E-2</v>
      </c>
      <c r="M133" s="110">
        <f>'Ethylene Recycling HC'!M159*'Ethylene Recycling HC'!M$48/'Ethylene Recycling LC'!M$48</f>
        <v>2.2695860159364731E-2</v>
      </c>
      <c r="N133" s="110">
        <f>'Ethylene Recycling HC'!N159*'Ethylene Recycling HC'!N$48/'Ethylene Recycling LC'!N$48</f>
        <v>2.5123810945409584E-2</v>
      </c>
      <c r="O133" s="110">
        <f>'Ethylene Recycling HC'!O159*'Ethylene Recycling HC'!O$48/'Ethylene Recycling LC'!O$48</f>
        <v>2.7585372471816444E-2</v>
      </c>
      <c r="P133" s="110">
        <f>'Ethylene Recycling HC'!P159*'Ethylene Recycling HC'!P$48/'Ethylene Recycling LC'!P$48</f>
        <v>3.0061599753212698E-2</v>
      </c>
      <c r="Q133" s="110">
        <f>'Ethylene Recycling HC'!Q159*'Ethylene Recycling HC'!Q$48/'Ethylene Recycling LC'!Q$48</f>
        <v>3.2532187910972961E-2</v>
      </c>
      <c r="R133" s="110">
        <f>'Ethylene Recycling HC'!R159*'Ethylene Recycling HC'!R$48/'Ethylene Recycling LC'!R$48</f>
        <v>3.4975347925136416E-2</v>
      </c>
      <c r="S133" s="110">
        <f>'Ethylene Recycling HC'!S159*'Ethylene Recycling HC'!S$48/'Ethylene Recycling LC'!S$48</f>
        <v>3.7676285112297932E-2</v>
      </c>
      <c r="T133" s="110">
        <f>'Ethylene Recycling HC'!T159*'Ethylene Recycling HC'!T$48/'Ethylene Recycling LC'!T$48</f>
        <v>4.0380747028739346E-2</v>
      </c>
      <c r="U133" s="110">
        <f>'Ethylene Recycling HC'!U159*'Ethylene Recycling HC'!U$48/'Ethylene Recycling LC'!U$48</f>
        <v>4.3073111716200853E-2</v>
      </c>
      <c r="V133" s="110">
        <f>'Ethylene Recycling HC'!V159*'Ethylene Recycling HC'!V$48/'Ethylene Recycling LC'!V$48</f>
        <v>4.5736907836973692E-2</v>
      </c>
      <c r="W133" s="110">
        <f>'Ethylene Recycling HC'!W159*'Ethylene Recycling HC'!W$48/'Ethylene Recycling LC'!W$48</f>
        <v>4.8354756151548689E-2</v>
      </c>
      <c r="X133" s="110">
        <f>'Ethylene Recycling HC'!X159*'Ethylene Recycling HC'!X$48/'Ethylene Recycling LC'!X$48</f>
        <v>5.2186881912503341E-2</v>
      </c>
      <c r="Y133" s="110">
        <f>'Ethylene Recycling HC'!Y159*'Ethylene Recycling HC'!Y$48/'Ethylene Recycling LC'!Y$48</f>
        <v>5.5962947615446811E-2</v>
      </c>
      <c r="Z133" s="110">
        <f>'Ethylene Recycling HC'!Z159*'Ethylene Recycling HC'!Z$48/'Ethylene Recycling LC'!Z$48</f>
        <v>5.9652264458621887E-2</v>
      </c>
      <c r="AA133" s="110">
        <f>'Ethylene Recycling HC'!AA159*'Ethylene Recycling HC'!AA$48/'Ethylene Recycling LC'!AA$48</f>
        <v>6.3222353391734154E-2</v>
      </c>
      <c r="AB133" s="110">
        <f>'Ethylene Recycling HC'!AB159*'Ethylene Recycling HC'!AB$48/'Ethylene Recycling LC'!AB$48</f>
        <v>6.6638812639991232E-2</v>
      </c>
      <c r="AC133" s="110">
        <f>'Ethylene Recycling HC'!AC159*'Ethylene Recycling HC'!AC$48/'Ethylene Recycling LC'!AC$48</f>
        <v>6.9383529811890096E-2</v>
      </c>
      <c r="AD133" s="110">
        <f>'Ethylene Recycling HC'!AD159*'Ethylene Recycling HC'!AD$48/'Ethylene Recycling LC'!AD$48</f>
        <v>7.1787576161822089E-2</v>
      </c>
      <c r="AE133" s="110">
        <f>'Ethylene Recycling HC'!AE159*'Ethylene Recycling HC'!AE$48/'Ethylene Recycling LC'!AE$48</f>
        <v>7.3794567032275202E-2</v>
      </c>
      <c r="AF133" s="110">
        <f>'Ethylene Recycling HC'!AF159*'Ethylene Recycling HC'!AF$48/'Ethylene Recycling LC'!AF$48</f>
        <v>7.5343781118588665E-2</v>
      </c>
      <c r="AG133" s="110">
        <f>'Ethylene Recycling HC'!AG159*'Ethylene Recycling HC'!AG$48/'Ethylene Recycling LC'!AG$48</f>
        <v>7.6369735370853523E-2</v>
      </c>
      <c r="AI133" s="133" t="s">
        <v>1314</v>
      </c>
      <c r="AJ133" s="211"/>
      <c r="BD133" s="203"/>
      <c r="BE133" s="203"/>
    </row>
    <row r="134" spans="1:63" ht="16" outlineLevel="1" x14ac:dyDescent="0.2">
      <c r="A134" t="s">
        <v>1344</v>
      </c>
      <c r="B134" s="54" t="s">
        <v>462</v>
      </c>
      <c r="C134" s="110">
        <f>'Ethylene Recycling HC'!C160*'Ethylene Recycling HC'!C$48/'Ethylene Recycling LC'!C$48</f>
        <v>0.12349999999999998</v>
      </c>
      <c r="D134" s="110">
        <f>'Ethylene Recycling HC'!D160*'Ethylene Recycling HC'!D$48/'Ethylene Recycling LC'!D$48</f>
        <v>0.12766845328734536</v>
      </c>
      <c r="E134" s="110">
        <f>'Ethylene Recycling HC'!E160*'Ethylene Recycling HC'!E$48/'Ethylene Recycling LC'!E$48</f>
        <v>0.13174395459910349</v>
      </c>
      <c r="F134" s="110">
        <f>'Ethylene Recycling HC'!F160*'Ethylene Recycling HC'!F$48/'Ethylene Recycling LC'!F$48</f>
        <v>0.13572650393527438</v>
      </c>
      <c r="G134" s="110">
        <f>'Ethylene Recycling HC'!G160*'Ethylene Recycling HC'!G$48/'Ethylene Recycling LC'!G$48</f>
        <v>0.13961610129585802</v>
      </c>
      <c r="H134" s="110">
        <f>'Ethylene Recycling HC'!H160*'Ethylene Recycling HC'!H$48/'Ethylene Recycling LC'!H$48</f>
        <v>0.14341274668085444</v>
      </c>
      <c r="I134" s="110">
        <f>'Ethylene Recycling HC'!I160*'Ethylene Recycling HC'!I$48/'Ethylene Recycling LC'!I$48</f>
        <v>0.144807822956147</v>
      </c>
      <c r="J134" s="110">
        <f>'Ethylene Recycling HC'!J160*'Ethylene Recycling HC'!J$48/'Ethylene Recycling LC'!J$48</f>
        <v>0.14592120700226721</v>
      </c>
      <c r="K134" s="110">
        <f>'Ethylene Recycling HC'!K160*'Ethylene Recycling HC'!K$48/'Ethylene Recycling LC'!K$48</f>
        <v>0.1467482432467459</v>
      </c>
      <c r="L134" s="110">
        <f>'Ethylene Recycling HC'!L160*'Ethylene Recycling HC'!L$48/'Ethylene Recycling LC'!L$48</f>
        <v>0.14728396945075442</v>
      </c>
      <c r="M134" s="110">
        <f>'Ethylene Recycling HC'!M160*'Ethylene Recycling HC'!M$48/'Ethylene Recycling LC'!M$48</f>
        <v>0.14752309103587075</v>
      </c>
      <c r="N134" s="110">
        <f>'Ethylene Recycling HC'!N160*'Ethylene Recycling HC'!N$48/'Ethylene Recycling LC'!N$48</f>
        <v>0.15222073690454044</v>
      </c>
      <c r="O134" s="110">
        <f>'Ethylene Recycling HC'!O160*'Ethylene Recycling HC'!O$48/'Ethylene Recycling LC'!O$48</f>
        <v>0.15631711067362647</v>
      </c>
      <c r="P134" s="110">
        <f>'Ethylene Recycling HC'!P160*'Ethylene Recycling HC'!P$48/'Ethylene Recycling LC'!P$48</f>
        <v>0.15980113553023595</v>
      </c>
      <c r="Q134" s="110">
        <f>'Ethylene Recycling HC'!Q160*'Ethylene Recycling HC'!Q$48/'Ethylene Recycling LC'!Q$48</f>
        <v>0.16266093955486483</v>
      </c>
      <c r="R134" s="110">
        <f>'Ethylene Recycling HC'!R160*'Ethylene Recycling HC'!R$48/'Ethylene Recycling LC'!R$48</f>
        <v>0.16488378307564311</v>
      </c>
      <c r="S134" s="110">
        <f>'Ethylene Recycling HC'!S160*'Ethylene Recycling HC'!S$48/'Ethylene Recycling LC'!S$48</f>
        <v>0.16783072459114534</v>
      </c>
      <c r="T134" s="110">
        <f>'Ethylene Recycling HC'!T160*'Ethylene Recycling HC'!T$48/'Ethylene Recycling LC'!T$48</f>
        <v>0.17030141138207466</v>
      </c>
      <c r="U134" s="110">
        <f>'Ethylene Recycling HC'!U160*'Ethylene Recycling HC'!U$48/'Ethylene Recycling LC'!U$48</f>
        <v>0.17229244686480344</v>
      </c>
      <c r="V134" s="110">
        <f>'Ethylene Recycling HC'!V160*'Ethylene Recycling HC'!V$48/'Ethylene Recycling LC'!V$48</f>
        <v>0.17380024978050007</v>
      </c>
      <c r="W134" s="110">
        <f>'Ethylene Recycling HC'!W160*'Ethylene Recycling HC'!W$48/'Ethylene Recycling LC'!W$48</f>
        <v>0.17482104147098376</v>
      </c>
      <c r="X134" s="110">
        <f>'Ethylene Recycling HC'!X160*'Ethylene Recycling HC'!X$48/'Ethylene Recycling LC'!X$48</f>
        <v>0.17975481547640038</v>
      </c>
      <c r="Y134" s="110">
        <f>'Ethylene Recycling HC'!Y160*'Ethylene Recycling HC'!Y$48/'Ethylene Recycling LC'!Y$48</f>
        <v>0.18387825645075381</v>
      </c>
      <c r="Z134" s="110">
        <f>'Ethylene Recycling HC'!Z160*'Ethylene Recycling HC'!Z$48/'Ethylene Recycling LC'!Z$48</f>
        <v>0.18718469192188247</v>
      </c>
      <c r="AA134" s="110">
        <f>'Ethylene Recycling HC'!AA160*'Ethylene Recycling HC'!AA$48/'Ethylene Recycling LC'!AA$48</f>
        <v>0.18966706017520252</v>
      </c>
      <c r="AB134" s="110">
        <f>'Ethylene Recycling HC'!AB160*'Ethylene Recycling HC'!AB$48/'Ethylene Recycling LC'!AB$48</f>
        <v>0.19131788145029741</v>
      </c>
      <c r="AC134" s="110">
        <f>'Ethylene Recycling HC'!AC160*'Ethylene Recycling HC'!AC$48/'Ethylene Recycling LC'!AC$48</f>
        <v>0.1908047069826978</v>
      </c>
      <c r="AD134" s="110">
        <f>'Ethylene Recycling HC'!AD160*'Ethylene Recycling HC'!AD$48/'Ethylene Recycling LC'!AD$48</f>
        <v>0.18925815533571277</v>
      </c>
      <c r="AE134" s="110">
        <f>'Ethylene Recycling HC'!AE160*'Ethylene Recycling HC'!AE$48/'Ethylene Recycling LC'!AE$48</f>
        <v>0.18665684602281368</v>
      </c>
      <c r="AF134" s="110">
        <f>'Ethylene Recycling HC'!AF160*'Ethylene Recycling HC'!AF$48/'Ethylene Recycling LC'!AF$48</f>
        <v>0.18297775414514383</v>
      </c>
      <c r="AG134" s="110">
        <f>'Ethylene Recycling HC'!AG160*'Ethylene Recycling HC'!AG$48/'Ethylene Recycling LC'!AG$48</f>
        <v>0.17819604919865822</v>
      </c>
      <c r="AI134" s="133" t="s">
        <v>1314</v>
      </c>
      <c r="AJ134" s="211"/>
      <c r="BD134" s="203"/>
      <c r="BE134" s="203"/>
    </row>
    <row r="135" spans="1:63" ht="16" outlineLevel="1" x14ac:dyDescent="0.2">
      <c r="A135" t="s">
        <v>1345</v>
      </c>
      <c r="B135" s="54" t="s">
        <v>462</v>
      </c>
      <c r="C135" s="110">
        <f>'Ethylene Recycling HC'!C166*'Ethylene Recycling HC'!C$48/'Ethylene Recycling LC'!C$48</f>
        <v>6.1749999999999992E-2</v>
      </c>
      <c r="D135" s="110">
        <f>'Ethylene Recycling HC'!D166*'Ethylene Recycling HC'!D$48/'Ethylene Recycling LC'!D$48</f>
        <v>6.3834226643672679E-2</v>
      </c>
      <c r="E135" s="110">
        <f>'Ethylene Recycling HC'!E166*'Ethylene Recycling HC'!E$48/'Ethylene Recycling LC'!E$48</f>
        <v>6.5871977299551743E-2</v>
      </c>
      <c r="F135" s="110">
        <f>'Ethylene Recycling HC'!F166*'Ethylene Recycling HC'!F$48/'Ethylene Recycling LC'!F$48</f>
        <v>6.7863251967637192E-2</v>
      </c>
      <c r="G135" s="110">
        <f>'Ethylene Recycling HC'!G166*'Ethylene Recycling HC'!G$48/'Ethylene Recycling LC'!G$48</f>
        <v>6.9808050647929012E-2</v>
      </c>
      <c r="H135" s="110">
        <f>'Ethylene Recycling HC'!H166*'Ethylene Recycling HC'!H$48/'Ethylene Recycling LC'!H$48</f>
        <v>7.1706373340427218E-2</v>
      </c>
      <c r="I135" s="110">
        <f>'Ethylene Recycling HC'!I166*'Ethylene Recycling HC'!I$48/'Ethylene Recycling LC'!I$48</f>
        <v>7.2403911478073499E-2</v>
      </c>
      <c r="J135" s="110">
        <f>'Ethylene Recycling HC'!J166*'Ethylene Recycling HC'!J$48/'Ethylene Recycling LC'!J$48</f>
        <v>7.2960603501133606E-2</v>
      </c>
      <c r="K135" s="110">
        <f>'Ethylene Recycling HC'!K166*'Ethylene Recycling HC'!K$48/'Ethylene Recycling LC'!K$48</f>
        <v>7.3374121623372951E-2</v>
      </c>
      <c r="L135" s="110">
        <f>'Ethylene Recycling HC'!L166*'Ethylene Recycling HC'!L$48/'Ethylene Recycling LC'!L$48</f>
        <v>7.364198472537721E-2</v>
      </c>
      <c r="M135" s="110">
        <f>'Ethylene Recycling HC'!M166*'Ethylene Recycling HC'!M$48/'Ethylene Recycling LC'!M$48</f>
        <v>7.3761545517935373E-2</v>
      </c>
      <c r="N135" s="110">
        <f>'Ethylene Recycling HC'!N166*'Ethylene Recycling HC'!N$48/'Ethylene Recycling LC'!N$48</f>
        <v>7.6110368452270219E-2</v>
      </c>
      <c r="O135" s="110">
        <f>'Ethylene Recycling HC'!O166*'Ethylene Recycling HC'!O$48/'Ethylene Recycling LC'!O$48</f>
        <v>7.8158555336813235E-2</v>
      </c>
      <c r="P135" s="110">
        <f>'Ethylene Recycling HC'!P166*'Ethylene Recycling HC'!P$48/'Ethylene Recycling LC'!P$48</f>
        <v>7.9900567765117975E-2</v>
      </c>
      <c r="Q135" s="110">
        <f>'Ethylene Recycling HC'!Q166*'Ethylene Recycling HC'!Q$48/'Ethylene Recycling LC'!Q$48</f>
        <v>8.1330469777432413E-2</v>
      </c>
      <c r="R135" s="110">
        <f>'Ethylene Recycling HC'!R166*'Ethylene Recycling HC'!R$48/'Ethylene Recycling LC'!R$48</f>
        <v>8.2441891537821554E-2</v>
      </c>
      <c r="S135" s="110">
        <f>'Ethylene Recycling HC'!S166*'Ethylene Recycling HC'!S$48/'Ethylene Recycling LC'!S$48</f>
        <v>8.3915362295572671E-2</v>
      </c>
      <c r="T135" s="110">
        <f>'Ethylene Recycling HC'!T166*'Ethylene Recycling HC'!T$48/'Ethylene Recycling LC'!T$48</f>
        <v>8.5150705691037332E-2</v>
      </c>
      <c r="U135" s="110">
        <f>'Ethylene Recycling HC'!U166*'Ethylene Recycling HC'!U$48/'Ethylene Recycling LC'!U$48</f>
        <v>8.614622343240172E-2</v>
      </c>
      <c r="V135" s="110">
        <f>'Ethylene Recycling HC'!V166*'Ethylene Recycling HC'!V$48/'Ethylene Recycling LC'!V$48</f>
        <v>8.6900124890250036E-2</v>
      </c>
      <c r="W135" s="110">
        <f>'Ethylene Recycling HC'!W166*'Ethylene Recycling HC'!W$48/'Ethylene Recycling LC'!W$48</f>
        <v>8.7410520735491881E-2</v>
      </c>
      <c r="X135" s="110">
        <f>'Ethylene Recycling HC'!X166*'Ethylene Recycling HC'!X$48/'Ethylene Recycling LC'!X$48</f>
        <v>8.9877407738200188E-2</v>
      </c>
      <c r="Y135" s="110">
        <f>'Ethylene Recycling HC'!Y166*'Ethylene Recycling HC'!Y$48/'Ethylene Recycling LC'!Y$48</f>
        <v>9.1939128225376907E-2</v>
      </c>
      <c r="Z135" s="110">
        <f>'Ethylene Recycling HC'!Z166*'Ethylene Recycling HC'!Z$48/'Ethylene Recycling LC'!Z$48</f>
        <v>9.3592345960941237E-2</v>
      </c>
      <c r="AA135" s="110">
        <f>'Ethylene Recycling HC'!AA166*'Ethylene Recycling HC'!AA$48/'Ethylene Recycling LC'!AA$48</f>
        <v>9.4833530087601259E-2</v>
      </c>
      <c r="AB135" s="110">
        <f>'Ethylene Recycling HC'!AB166*'Ethylene Recycling HC'!AB$48/'Ethylene Recycling LC'!AB$48</f>
        <v>9.5658940725148703E-2</v>
      </c>
      <c r="AC135" s="110">
        <f>'Ethylene Recycling HC'!AC166*'Ethylene Recycling HC'!AC$48/'Ethylene Recycling LC'!AC$48</f>
        <v>9.5402353491348901E-2</v>
      </c>
      <c r="AD135" s="110">
        <f>'Ethylene Recycling HC'!AD166*'Ethylene Recycling HC'!AD$48/'Ethylene Recycling LC'!AD$48</f>
        <v>9.4629077667856387E-2</v>
      </c>
      <c r="AE135" s="110">
        <f>'Ethylene Recycling HC'!AE166*'Ethylene Recycling HC'!AE$48/'Ethylene Recycling LC'!AE$48</f>
        <v>9.3328423011406841E-2</v>
      </c>
      <c r="AF135" s="110">
        <f>'Ethylene Recycling HC'!AF166*'Ethylene Recycling HC'!AF$48/'Ethylene Recycling LC'!AF$48</f>
        <v>9.1488877072571917E-2</v>
      </c>
      <c r="AG135" s="110">
        <f>'Ethylene Recycling HC'!AG166*'Ethylene Recycling HC'!AG$48/'Ethylene Recycling LC'!AG$48</f>
        <v>8.9098024599329112E-2</v>
      </c>
      <c r="AH135" s="131"/>
      <c r="AI135" s="133" t="s">
        <v>1314</v>
      </c>
      <c r="AJ135" s="211"/>
    </row>
    <row r="136" spans="1:63" ht="16" outlineLevel="1" x14ac:dyDescent="0.2">
      <c r="A136" t="s">
        <v>1346</v>
      </c>
      <c r="B136" s="54" t="s">
        <v>462</v>
      </c>
      <c r="C136" s="110">
        <f>'Ethylene Recycling HC'!C167*'Ethylene Recycling HC'!C$48/'Ethylene Recycling LC'!C$48</f>
        <v>6.1749999999999992E-2</v>
      </c>
      <c r="D136" s="110">
        <f>'Ethylene Recycling HC'!D167*'Ethylene Recycling HC'!D$48/'Ethylene Recycling LC'!D$48</f>
        <v>6.3834226643672679E-2</v>
      </c>
      <c r="E136" s="110">
        <f>'Ethylene Recycling HC'!E167*'Ethylene Recycling HC'!E$48/'Ethylene Recycling LC'!E$48</f>
        <v>6.5871977299551743E-2</v>
      </c>
      <c r="F136" s="110">
        <f>'Ethylene Recycling HC'!F167*'Ethylene Recycling HC'!F$48/'Ethylene Recycling LC'!F$48</f>
        <v>6.7863251967637192E-2</v>
      </c>
      <c r="G136" s="110">
        <f>'Ethylene Recycling HC'!G167*'Ethylene Recycling HC'!G$48/'Ethylene Recycling LC'!G$48</f>
        <v>6.9808050647929012E-2</v>
      </c>
      <c r="H136" s="110">
        <f>'Ethylene Recycling HC'!H167*'Ethylene Recycling HC'!H$48/'Ethylene Recycling LC'!H$48</f>
        <v>7.1706373340427218E-2</v>
      </c>
      <c r="I136" s="110">
        <f>'Ethylene Recycling HC'!I167*'Ethylene Recycling HC'!I$48/'Ethylene Recycling LC'!I$48</f>
        <v>7.2403911478073499E-2</v>
      </c>
      <c r="J136" s="110">
        <f>'Ethylene Recycling HC'!J167*'Ethylene Recycling HC'!J$48/'Ethylene Recycling LC'!J$48</f>
        <v>7.2960603501133606E-2</v>
      </c>
      <c r="K136" s="110">
        <f>'Ethylene Recycling HC'!K167*'Ethylene Recycling HC'!K$48/'Ethylene Recycling LC'!K$48</f>
        <v>7.3374121623372951E-2</v>
      </c>
      <c r="L136" s="110">
        <f>'Ethylene Recycling HC'!L167*'Ethylene Recycling HC'!L$48/'Ethylene Recycling LC'!L$48</f>
        <v>7.364198472537721E-2</v>
      </c>
      <c r="M136" s="110">
        <f>'Ethylene Recycling HC'!M167*'Ethylene Recycling HC'!M$48/'Ethylene Recycling LC'!M$48</f>
        <v>7.3761545517935373E-2</v>
      </c>
      <c r="N136" s="110">
        <f>'Ethylene Recycling HC'!N167*'Ethylene Recycling HC'!N$48/'Ethylene Recycling LC'!N$48</f>
        <v>7.6110368452270219E-2</v>
      </c>
      <c r="O136" s="110">
        <f>'Ethylene Recycling HC'!O167*'Ethylene Recycling HC'!O$48/'Ethylene Recycling LC'!O$48</f>
        <v>7.8158555336813235E-2</v>
      </c>
      <c r="P136" s="110">
        <f>'Ethylene Recycling HC'!P167*'Ethylene Recycling HC'!P$48/'Ethylene Recycling LC'!P$48</f>
        <v>7.9900567765117975E-2</v>
      </c>
      <c r="Q136" s="110">
        <f>'Ethylene Recycling HC'!Q167*'Ethylene Recycling HC'!Q$48/'Ethylene Recycling LC'!Q$48</f>
        <v>8.1330469777432413E-2</v>
      </c>
      <c r="R136" s="110">
        <f>'Ethylene Recycling HC'!R167*'Ethylene Recycling HC'!R$48/'Ethylene Recycling LC'!R$48</f>
        <v>8.2441891537821554E-2</v>
      </c>
      <c r="S136" s="110">
        <f>'Ethylene Recycling HC'!S167*'Ethylene Recycling HC'!S$48/'Ethylene Recycling LC'!S$48</f>
        <v>8.3915362295572671E-2</v>
      </c>
      <c r="T136" s="110">
        <f>'Ethylene Recycling HC'!T167*'Ethylene Recycling HC'!T$48/'Ethylene Recycling LC'!T$48</f>
        <v>8.5150705691037332E-2</v>
      </c>
      <c r="U136" s="110">
        <f>'Ethylene Recycling HC'!U167*'Ethylene Recycling HC'!U$48/'Ethylene Recycling LC'!U$48</f>
        <v>8.614622343240172E-2</v>
      </c>
      <c r="V136" s="110">
        <f>'Ethylene Recycling HC'!V167*'Ethylene Recycling HC'!V$48/'Ethylene Recycling LC'!V$48</f>
        <v>8.6900124890250036E-2</v>
      </c>
      <c r="W136" s="110">
        <f>'Ethylene Recycling HC'!W167*'Ethylene Recycling HC'!W$48/'Ethylene Recycling LC'!W$48</f>
        <v>8.7410520735491881E-2</v>
      </c>
      <c r="X136" s="110">
        <f>'Ethylene Recycling HC'!X167*'Ethylene Recycling HC'!X$48/'Ethylene Recycling LC'!X$48</f>
        <v>8.9877407738200188E-2</v>
      </c>
      <c r="Y136" s="110">
        <f>'Ethylene Recycling HC'!Y167*'Ethylene Recycling HC'!Y$48/'Ethylene Recycling LC'!Y$48</f>
        <v>9.1939128225376907E-2</v>
      </c>
      <c r="Z136" s="110">
        <f>'Ethylene Recycling HC'!Z167*'Ethylene Recycling HC'!Z$48/'Ethylene Recycling LC'!Z$48</f>
        <v>9.3592345960941237E-2</v>
      </c>
      <c r="AA136" s="110">
        <f>'Ethylene Recycling HC'!AA167*'Ethylene Recycling HC'!AA$48/'Ethylene Recycling LC'!AA$48</f>
        <v>9.4833530087601259E-2</v>
      </c>
      <c r="AB136" s="110">
        <f>'Ethylene Recycling HC'!AB167*'Ethylene Recycling HC'!AB$48/'Ethylene Recycling LC'!AB$48</f>
        <v>9.5658940725148703E-2</v>
      </c>
      <c r="AC136" s="110">
        <f>'Ethylene Recycling HC'!AC167*'Ethylene Recycling HC'!AC$48/'Ethylene Recycling LC'!AC$48</f>
        <v>9.5402353491348901E-2</v>
      </c>
      <c r="AD136" s="110">
        <f>'Ethylene Recycling HC'!AD167*'Ethylene Recycling HC'!AD$48/'Ethylene Recycling LC'!AD$48</f>
        <v>9.4629077667856387E-2</v>
      </c>
      <c r="AE136" s="110">
        <f>'Ethylene Recycling HC'!AE167*'Ethylene Recycling HC'!AE$48/'Ethylene Recycling LC'!AE$48</f>
        <v>9.3328423011406841E-2</v>
      </c>
      <c r="AF136" s="110">
        <f>'Ethylene Recycling HC'!AF167*'Ethylene Recycling HC'!AF$48/'Ethylene Recycling LC'!AF$48</f>
        <v>9.1488877072571917E-2</v>
      </c>
      <c r="AG136" s="110">
        <f>'Ethylene Recycling HC'!AG167*'Ethylene Recycling HC'!AG$48/'Ethylene Recycling LC'!AG$48</f>
        <v>8.9098024599329112E-2</v>
      </c>
      <c r="AI136" s="133" t="s">
        <v>1314</v>
      </c>
      <c r="AJ136" s="211"/>
    </row>
    <row r="137" spans="1:63" outlineLevel="1" x14ac:dyDescent="0.2">
      <c r="C137" s="110"/>
      <c r="D137" s="110"/>
      <c r="E137" s="110"/>
      <c r="F137" s="110"/>
      <c r="G137" s="110"/>
      <c r="H137" s="110"/>
      <c r="I137" s="110"/>
      <c r="J137" s="110"/>
      <c r="K137" s="110"/>
      <c r="L137" s="110"/>
      <c r="M137" s="110"/>
      <c r="N137" s="110"/>
      <c r="O137" s="110"/>
      <c r="P137" s="110"/>
      <c r="Q137" s="110"/>
      <c r="R137" s="110"/>
      <c r="S137" s="110"/>
      <c r="T137" s="110"/>
      <c r="U137" s="110"/>
      <c r="V137" s="110"/>
      <c r="W137" s="110"/>
      <c r="X137" s="110"/>
      <c r="Y137" s="110"/>
      <c r="Z137" s="110"/>
      <c r="AA137" s="110"/>
      <c r="AB137" s="110"/>
      <c r="AC137" s="110"/>
      <c r="AD137" s="110"/>
      <c r="AE137" s="110"/>
      <c r="AF137" s="110"/>
      <c r="AG137" s="110"/>
      <c r="AI137" s="134"/>
      <c r="AJ137" s="211"/>
      <c r="BC137" s="1"/>
      <c r="BD137" s="41"/>
      <c r="BF137" s="6"/>
      <c r="BG137" s="6"/>
      <c r="BH137" s="6"/>
      <c r="BI137" s="6"/>
      <c r="BJ137" s="6"/>
    </row>
    <row r="138" spans="1:63" s="1" customFormat="1" outlineLevel="1" x14ac:dyDescent="0.2">
      <c r="A138" s="1" t="s">
        <v>228</v>
      </c>
      <c r="B138" s="65"/>
      <c r="C138" s="300">
        <f>'Ethylene Recycling HC'!C176</f>
        <v>3.0576426161855394E-2</v>
      </c>
      <c r="D138" s="300">
        <f>'Ethylene Recycling HC'!D176</f>
        <v>3.844997616740102E-2</v>
      </c>
      <c r="E138" s="300">
        <f>'Ethylene Recycling HC'!E176</f>
        <v>4.7160488433893956E-2</v>
      </c>
      <c r="F138" s="300">
        <f>'Ethylene Recycling HC'!F176</f>
        <v>5.6703069584892928E-2</v>
      </c>
      <c r="G138" s="300">
        <f>'Ethylene Recycling HC'!G176</f>
        <v>6.7062029056414077E-2</v>
      </c>
      <c r="H138" s="300">
        <f>'Ethylene Recycling HC'!H176</f>
        <v>7.8210456224277122E-2</v>
      </c>
      <c r="I138" s="300">
        <f>'Ethylene Recycling HC'!I176</f>
        <v>8.7513980435696109E-2</v>
      </c>
      <c r="J138" s="300">
        <f>'Ethylene Recycling HC'!J176</f>
        <v>9.6988001556698789E-2</v>
      </c>
      <c r="K138" s="300">
        <f>'Ethylene Recycling HC'!K176</f>
        <v>0.10657088705968636</v>
      </c>
      <c r="L138" s="300">
        <f>'Ethylene Recycling HC'!L176</f>
        <v>0.1161962049583344</v>
      </c>
      <c r="M138" s="300">
        <f>'Ethylene Recycling HC'!M176</f>
        <v>0.12579276236657591</v>
      </c>
      <c r="N138" s="300">
        <f>'Ethylene Recycling HC'!N176</f>
        <v>0.13945255554602173</v>
      </c>
      <c r="O138" s="300">
        <f>'Ethylene Recycling HC'!O176</f>
        <v>0.15300419715318525</v>
      </c>
      <c r="P138" s="300">
        <f>'Ethylene Recycling HC'!P176</f>
        <v>0.16625150747705464</v>
      </c>
      <c r="Q138" s="300">
        <f>'Ethylene Recycling HC'!Q176</f>
        <v>0.17899253918764185</v>
      </c>
      <c r="R138" s="300">
        <f>'Ethylene Recycling HC'!R176</f>
        <v>0.19102244387668807</v>
      </c>
      <c r="S138" s="300">
        <f>'Ethylene Recycling HC'!S176</f>
        <v>0.20529230531349005</v>
      </c>
      <c r="T138" s="300">
        <f>'Ethylene Recycling HC'!T176</f>
        <v>0.21945199445106836</v>
      </c>
      <c r="U138" s="300">
        <f>'Ethylene Recycling HC'!U176</f>
        <v>0.2334040310924019</v>
      </c>
      <c r="V138" s="300">
        <f>'Ethylene Recycling HC'!V176</f>
        <v>0.24704727850429781</v>
      </c>
      <c r="W138" s="300">
        <f>'Ethylene Recycling HC'!W176</f>
        <v>0.26027695494378172</v>
      </c>
      <c r="X138" s="300">
        <f>'Ethylene Recycling HC'!X176</f>
        <v>0.27984381481151593</v>
      </c>
      <c r="Y138" s="300">
        <f>'Ethylene Recycling HC'!Y176</f>
        <v>0.29887186844967456</v>
      </c>
      <c r="Z138" s="300">
        <f>'Ethylene Recycling HC'!Z176</f>
        <v>0.31718401343675262</v>
      </c>
      <c r="AA138" s="300">
        <f>'Ethylene Recycling HC'!AA176</f>
        <v>0.33459709256480435</v>
      </c>
      <c r="AB138" s="300">
        <f>'Ethylene Recycling HC'!AB176</f>
        <v>0.35092191646741838</v>
      </c>
      <c r="AC138" s="300">
        <f>'Ethylene Recycling HC'!AC176</f>
        <v>0.3623168183256304</v>
      </c>
      <c r="AD138" s="300">
        <f>'Ethylene Recycling HC'!AD176</f>
        <v>0.37157606283483785</v>
      </c>
      <c r="AE138" s="300">
        <f>'Ethylene Recycling HC'!AE176</f>
        <v>0.37844367314807276</v>
      </c>
      <c r="AF138" s="300">
        <f>'Ethylene Recycling HC'!AF176</f>
        <v>0.38265649169769</v>
      </c>
      <c r="AG138" s="300">
        <f>'Ethylene Recycling HC'!AG176</f>
        <v>0.38394422704395359</v>
      </c>
      <c r="AH138" s="422"/>
      <c r="AI138" s="423"/>
      <c r="AJ138" s="424"/>
      <c r="AL138" s="221"/>
      <c r="AM138" s="124"/>
      <c r="AN138" s="124"/>
      <c r="AO138" s="124"/>
      <c r="BD138" s="124"/>
      <c r="BE138" s="124"/>
      <c r="BF138" s="124"/>
      <c r="BG138" s="124"/>
      <c r="BH138" s="124"/>
      <c r="BI138" s="124"/>
      <c r="BJ138" s="124"/>
      <c r="BK138" s="124"/>
    </row>
    <row r="139" spans="1:63" outlineLevel="1" x14ac:dyDescent="0.2">
      <c r="A139" s="4" t="s">
        <v>258</v>
      </c>
      <c r="C139" s="230">
        <f>'Ethylene Recycling HC'!C177</f>
        <v>0</v>
      </c>
      <c r="D139" s="230">
        <f>'Ethylene Recycling HC'!D177</f>
        <v>0</v>
      </c>
      <c r="E139" s="230">
        <f>'Ethylene Recycling HC'!E177</f>
        <v>0</v>
      </c>
      <c r="F139" s="230">
        <f>'Ethylene Recycling HC'!F177</f>
        <v>0</v>
      </c>
      <c r="G139" s="230">
        <f>'Ethylene Recycling HC'!G177</f>
        <v>0</v>
      </c>
      <c r="H139" s="230">
        <f>'Ethylene Recycling HC'!H177</f>
        <v>0</v>
      </c>
      <c r="I139" s="230">
        <f>'Ethylene Recycling HC'!I177</f>
        <v>0</v>
      </c>
      <c r="J139" s="230">
        <f>'Ethylene Recycling HC'!J177</f>
        <v>0</v>
      </c>
      <c r="K139" s="230">
        <f>'Ethylene Recycling HC'!K177</f>
        <v>0</v>
      </c>
      <c r="L139" s="230">
        <f>'Ethylene Recycling HC'!L177</f>
        <v>0</v>
      </c>
      <c r="M139" s="230">
        <f>'Ethylene Recycling HC'!M177</f>
        <v>0</v>
      </c>
      <c r="N139" s="230">
        <f>'Ethylene Recycling HC'!N177</f>
        <v>0</v>
      </c>
      <c r="O139" s="230">
        <f>'Ethylene Recycling HC'!O177</f>
        <v>0</v>
      </c>
      <c r="P139" s="230">
        <f>'Ethylene Recycling HC'!P177</f>
        <v>0</v>
      </c>
      <c r="Q139" s="230">
        <f>'Ethylene Recycling HC'!Q177</f>
        <v>0</v>
      </c>
      <c r="R139" s="230">
        <f>'Ethylene Recycling HC'!R177</f>
        <v>0</v>
      </c>
      <c r="S139" s="230">
        <f>'Ethylene Recycling HC'!S177</f>
        <v>0</v>
      </c>
      <c r="T139" s="230">
        <f>'Ethylene Recycling HC'!T177</f>
        <v>0</v>
      </c>
      <c r="U139" s="230">
        <f>'Ethylene Recycling HC'!U177</f>
        <v>0</v>
      </c>
      <c r="V139" s="230">
        <f>'Ethylene Recycling HC'!V177</f>
        <v>0</v>
      </c>
      <c r="W139" s="230">
        <f>'Ethylene Recycling HC'!W177</f>
        <v>0</v>
      </c>
      <c r="X139" s="230">
        <f>'Ethylene Recycling HC'!X177</f>
        <v>0</v>
      </c>
      <c r="Y139" s="230">
        <f>'Ethylene Recycling HC'!Y177</f>
        <v>0</v>
      </c>
      <c r="Z139" s="230">
        <f>'Ethylene Recycling HC'!Z177</f>
        <v>0</v>
      </c>
      <c r="AA139" s="230">
        <f>'Ethylene Recycling HC'!AA177</f>
        <v>0</v>
      </c>
      <c r="AB139" s="230">
        <f>'Ethylene Recycling HC'!AB177</f>
        <v>0</v>
      </c>
      <c r="AC139" s="230">
        <f>'Ethylene Recycling HC'!AC177</f>
        <v>0</v>
      </c>
      <c r="AD139" s="230">
        <f>'Ethylene Recycling HC'!AD177</f>
        <v>0</v>
      </c>
      <c r="AE139" s="230">
        <f>'Ethylene Recycling HC'!AE177</f>
        <v>0</v>
      </c>
      <c r="AF139" s="230">
        <f>'Ethylene Recycling HC'!AF177</f>
        <v>0</v>
      </c>
      <c r="AG139" s="230">
        <f>'Ethylene Recycling HC'!AG177</f>
        <v>0</v>
      </c>
      <c r="AH139" s="245"/>
      <c r="AI139" s="133"/>
      <c r="AJ139" s="211"/>
      <c r="AL139" s="108"/>
      <c r="AM139" s="2"/>
      <c r="AN139" s="2"/>
      <c r="AO139" s="2"/>
      <c r="BC139" s="1"/>
      <c r="BD139" s="2"/>
      <c r="BE139" s="2"/>
      <c r="BF139" s="2"/>
      <c r="BG139" s="2"/>
      <c r="BH139" s="2"/>
      <c r="BI139" s="2"/>
      <c r="BJ139" s="2"/>
      <c r="BK139" s="2"/>
    </row>
    <row r="140" spans="1:63" outlineLevel="1" x14ac:dyDescent="0.2">
      <c r="A140" s="4" t="s">
        <v>478</v>
      </c>
      <c r="C140" s="230">
        <f>'Ethylene Recycling HC'!C178</f>
        <v>0</v>
      </c>
      <c r="D140" s="230">
        <f>'Ethylene Recycling HC'!D178</f>
        <v>0</v>
      </c>
      <c r="E140" s="230">
        <f>'Ethylene Recycling HC'!E178</f>
        <v>0</v>
      </c>
      <c r="F140" s="230">
        <f>'Ethylene Recycling HC'!F178</f>
        <v>0</v>
      </c>
      <c r="G140" s="230">
        <f>'Ethylene Recycling HC'!G178</f>
        <v>0</v>
      </c>
      <c r="H140" s="230">
        <f>'Ethylene Recycling HC'!H178</f>
        <v>0</v>
      </c>
      <c r="I140" s="230">
        <f>'Ethylene Recycling HC'!I178</f>
        <v>0</v>
      </c>
      <c r="J140" s="230">
        <f>'Ethylene Recycling HC'!J178</f>
        <v>0</v>
      </c>
      <c r="K140" s="230">
        <f>'Ethylene Recycling HC'!K178</f>
        <v>0</v>
      </c>
      <c r="L140" s="230">
        <f>'Ethylene Recycling HC'!L178</f>
        <v>0</v>
      </c>
      <c r="M140" s="230">
        <f>'Ethylene Recycling HC'!M178</f>
        <v>0</v>
      </c>
      <c r="N140" s="230">
        <f>'Ethylene Recycling HC'!N178</f>
        <v>0</v>
      </c>
      <c r="O140" s="230">
        <f>'Ethylene Recycling HC'!O178</f>
        <v>0</v>
      </c>
      <c r="P140" s="230">
        <f>'Ethylene Recycling HC'!P178</f>
        <v>0</v>
      </c>
      <c r="Q140" s="230">
        <f>'Ethylene Recycling HC'!Q178</f>
        <v>0</v>
      </c>
      <c r="R140" s="230">
        <f>'Ethylene Recycling HC'!R178</f>
        <v>0</v>
      </c>
      <c r="S140" s="230">
        <f>'Ethylene Recycling HC'!S178</f>
        <v>0</v>
      </c>
      <c r="T140" s="230">
        <f>'Ethylene Recycling HC'!T178</f>
        <v>0</v>
      </c>
      <c r="U140" s="230">
        <f>'Ethylene Recycling HC'!U178</f>
        <v>0</v>
      </c>
      <c r="V140" s="230">
        <f>'Ethylene Recycling HC'!V178</f>
        <v>0</v>
      </c>
      <c r="W140" s="230">
        <f>'Ethylene Recycling HC'!W178</f>
        <v>0</v>
      </c>
      <c r="X140" s="230">
        <f>'Ethylene Recycling HC'!X178</f>
        <v>0</v>
      </c>
      <c r="Y140" s="230">
        <f>'Ethylene Recycling HC'!Y178</f>
        <v>0</v>
      </c>
      <c r="Z140" s="230">
        <f>'Ethylene Recycling HC'!Z178</f>
        <v>0</v>
      </c>
      <c r="AA140" s="230">
        <f>'Ethylene Recycling HC'!AA178</f>
        <v>0</v>
      </c>
      <c r="AB140" s="230">
        <f>'Ethylene Recycling HC'!AB178</f>
        <v>0</v>
      </c>
      <c r="AC140" s="230">
        <f>'Ethylene Recycling HC'!AC178</f>
        <v>0</v>
      </c>
      <c r="AD140" s="230">
        <f>'Ethylene Recycling HC'!AD178</f>
        <v>0</v>
      </c>
      <c r="AE140" s="230">
        <f>'Ethylene Recycling HC'!AE178</f>
        <v>0</v>
      </c>
      <c r="AF140" s="230">
        <f>'Ethylene Recycling HC'!AF178</f>
        <v>0</v>
      </c>
      <c r="AG140" s="230">
        <f>'Ethylene Recycling HC'!AG178</f>
        <v>0</v>
      </c>
      <c r="AH140" s="245"/>
      <c r="AI140" s="133"/>
      <c r="AJ140" s="211"/>
      <c r="AL140" s="108"/>
      <c r="AM140" s="2"/>
      <c r="AN140" s="2"/>
      <c r="AO140" s="2"/>
      <c r="BC140" s="1"/>
      <c r="BD140" s="2"/>
      <c r="BE140" s="2"/>
      <c r="BF140" s="2"/>
      <c r="BG140" s="2"/>
      <c r="BH140" s="2"/>
      <c r="BI140" s="2"/>
      <c r="BJ140" s="2"/>
      <c r="BK140" s="2"/>
    </row>
    <row r="141" spans="1:63" outlineLevel="1" x14ac:dyDescent="0.2">
      <c r="A141" s="4" t="s">
        <v>480</v>
      </c>
      <c r="C141" s="230">
        <f>'Ethylene Recycling HC'!C179</f>
        <v>0</v>
      </c>
      <c r="D141" s="230">
        <f>'Ethylene Recycling HC'!D179</f>
        <v>0</v>
      </c>
      <c r="E141" s="230">
        <f>'Ethylene Recycling HC'!E179</f>
        <v>0</v>
      </c>
      <c r="F141" s="230">
        <f>'Ethylene Recycling HC'!F179</f>
        <v>0</v>
      </c>
      <c r="G141" s="230">
        <f>'Ethylene Recycling HC'!G179</f>
        <v>0</v>
      </c>
      <c r="H141" s="230">
        <f>'Ethylene Recycling HC'!H179</f>
        <v>0</v>
      </c>
      <c r="I141" s="230">
        <f>'Ethylene Recycling HC'!I179</f>
        <v>0</v>
      </c>
      <c r="J141" s="230">
        <f>'Ethylene Recycling HC'!J179</f>
        <v>0</v>
      </c>
      <c r="K141" s="230">
        <f>'Ethylene Recycling HC'!K179</f>
        <v>0</v>
      </c>
      <c r="L141" s="230">
        <f>'Ethylene Recycling HC'!L179</f>
        <v>0</v>
      </c>
      <c r="M141" s="230">
        <f>'Ethylene Recycling HC'!M179</f>
        <v>0</v>
      </c>
      <c r="N141" s="230">
        <f>'Ethylene Recycling HC'!N179</f>
        <v>0</v>
      </c>
      <c r="O141" s="230">
        <f>'Ethylene Recycling HC'!O179</f>
        <v>0</v>
      </c>
      <c r="P141" s="230">
        <f>'Ethylene Recycling HC'!P179</f>
        <v>0</v>
      </c>
      <c r="Q141" s="230">
        <f>'Ethylene Recycling HC'!Q179</f>
        <v>0</v>
      </c>
      <c r="R141" s="230">
        <f>'Ethylene Recycling HC'!R179</f>
        <v>0</v>
      </c>
      <c r="S141" s="230">
        <f>'Ethylene Recycling HC'!S179</f>
        <v>0</v>
      </c>
      <c r="T141" s="230">
        <f>'Ethylene Recycling HC'!T179</f>
        <v>0</v>
      </c>
      <c r="U141" s="230">
        <f>'Ethylene Recycling HC'!U179</f>
        <v>0</v>
      </c>
      <c r="V141" s="230">
        <f>'Ethylene Recycling HC'!V179</f>
        <v>0</v>
      </c>
      <c r="W141" s="230">
        <f>'Ethylene Recycling HC'!W179</f>
        <v>0</v>
      </c>
      <c r="X141" s="230">
        <f>'Ethylene Recycling HC'!X179</f>
        <v>0</v>
      </c>
      <c r="Y141" s="230">
        <f>'Ethylene Recycling HC'!Y179</f>
        <v>0</v>
      </c>
      <c r="Z141" s="230">
        <f>'Ethylene Recycling HC'!Z179</f>
        <v>0</v>
      </c>
      <c r="AA141" s="230">
        <f>'Ethylene Recycling HC'!AA179</f>
        <v>0</v>
      </c>
      <c r="AB141" s="230">
        <f>'Ethylene Recycling HC'!AB179</f>
        <v>0</v>
      </c>
      <c r="AC141" s="230">
        <f>'Ethylene Recycling HC'!AC179</f>
        <v>0</v>
      </c>
      <c r="AD141" s="230">
        <f>'Ethylene Recycling HC'!AD179</f>
        <v>0</v>
      </c>
      <c r="AE141" s="230">
        <f>'Ethylene Recycling HC'!AE179</f>
        <v>0</v>
      </c>
      <c r="AF141" s="230">
        <f>'Ethylene Recycling HC'!AF179</f>
        <v>0</v>
      </c>
      <c r="AG141" s="230">
        <f>'Ethylene Recycling HC'!AG179</f>
        <v>0</v>
      </c>
      <c r="AH141" s="245"/>
      <c r="AI141" s="133"/>
      <c r="AJ141" s="211"/>
      <c r="AL141" s="108"/>
      <c r="AM141" s="2"/>
      <c r="AN141" s="2"/>
      <c r="AO141" s="2"/>
      <c r="BC141" s="1"/>
      <c r="BD141" s="2"/>
      <c r="BE141" s="2"/>
      <c r="BF141" s="2"/>
      <c r="BG141" s="2"/>
      <c r="BH141" s="2"/>
      <c r="BI141" s="2"/>
      <c r="BJ141" s="2"/>
      <c r="BK141" s="2"/>
    </row>
    <row r="142" spans="1:63" outlineLevel="1" x14ac:dyDescent="0.2">
      <c r="A142" s="4" t="s">
        <v>474</v>
      </c>
      <c r="C142" s="230">
        <f>'Ethylene Recycling HC'!C180</f>
        <v>2.6207188950591844E-2</v>
      </c>
      <c r="D142" s="230">
        <f>'Ethylene Recycling HC'!D180</f>
        <v>3.2955643188343306E-2</v>
      </c>
      <c r="E142" s="230">
        <f>'Ethylene Recycling HC'!E180</f>
        <v>4.0421461450296008E-2</v>
      </c>
      <c r="F142" s="230">
        <f>'Ethylene Recycling HC'!F180</f>
        <v>4.8600449602043141E-2</v>
      </c>
      <c r="G142" s="230">
        <f>'Ethylene Recycling HC'!G180</f>
        <v>5.7479159192386067E-2</v>
      </c>
      <c r="H142" s="230">
        <f>'Ethylene Recycling HC'!H180</f>
        <v>6.7034525007328288E-2</v>
      </c>
      <c r="I142" s="230">
        <f>'Ethylene Recycling HC'!I180</f>
        <v>7.5008616407821402E-2</v>
      </c>
      <c r="J142" s="230">
        <f>'Ethylene Recycling HC'!J180</f>
        <v>8.3128841457201369E-2</v>
      </c>
      <c r="K142" s="230">
        <f>'Ethylene Recycling HC'!K180</f>
        <v>9.1342374645785207E-2</v>
      </c>
      <c r="L142" s="230">
        <f>'Ethylene Recycling HC'!L180</f>
        <v>9.9592276826769063E-2</v>
      </c>
      <c r="M142" s="230">
        <f>'Ethylene Recycling HC'!M180</f>
        <v>0.10781752826530168</v>
      </c>
      <c r="N142" s="230">
        <f>'Ethylene Recycling HC'!N180</f>
        <v>0.11952539690190299</v>
      </c>
      <c r="O142" s="230">
        <f>'Ethylene Recycling HC'!O180</f>
        <v>0.13114056835162241</v>
      </c>
      <c r="P142" s="230">
        <f>'Ethylene Recycling HC'!P180</f>
        <v>0.14249489612384181</v>
      </c>
      <c r="Q142" s="230">
        <f>'Ethylene Recycling HC'!Q180</f>
        <v>0.15341529027642581</v>
      </c>
      <c r="R142" s="230">
        <f>'Ethylene Recycling HC'!R180</f>
        <v>0.16372617434033088</v>
      </c>
      <c r="S142" s="230">
        <f>'Ethylene Recycling HC'!S180</f>
        <v>0.17595693515565372</v>
      </c>
      <c r="T142" s="230">
        <f>'Ethylene Recycling HC'!T180</f>
        <v>0.18809326681017172</v>
      </c>
      <c r="U142" s="230">
        <f>'Ethylene Recycling HC'!U180</f>
        <v>0.20005161859953668</v>
      </c>
      <c r="V142" s="230">
        <f>'Ethylene Recycling HC'!V180</f>
        <v>0.21174530578621253</v>
      </c>
      <c r="W142" s="230">
        <f>'Ethylene Recycling HC'!W180</f>
        <v>0.22308451947879504</v>
      </c>
      <c r="X142" s="230">
        <f>'Ethylene Recycling HC'!X180</f>
        <v>0.2398553608782775</v>
      </c>
      <c r="Y142" s="230">
        <f>'Ethylene Recycling HC'!Y180</f>
        <v>0.25616438909555561</v>
      </c>
      <c r="Z142" s="230">
        <f>'Ethylene Recycling HC'!Z180</f>
        <v>0.27185980886850747</v>
      </c>
      <c r="AA142" s="230">
        <f>'Ethylene Recycling HC'!AA180</f>
        <v>0.28678463535100068</v>
      </c>
      <c r="AB142" s="230">
        <f>'Ethylene Recycling HC'!AB180</f>
        <v>0.30077671350742913</v>
      </c>
      <c r="AC142" s="230">
        <f>'Ethylene Recycling HC'!AC180</f>
        <v>0.31054333386033867</v>
      </c>
      <c r="AD142" s="230">
        <f>'Ethylene Recycling HC'!AD180</f>
        <v>0.31847947293388584</v>
      </c>
      <c r="AE142" s="230">
        <f>'Ethylene Recycling HC'!AE180</f>
        <v>0.32436573184999518</v>
      </c>
      <c r="AF142" s="230">
        <f>'Ethylene Recycling HC'!AF180</f>
        <v>0.32797655710340923</v>
      </c>
      <c r="AG142" s="230">
        <f>'Ethylene Recycling HC'!AG180</f>
        <v>0.32908028071581708</v>
      </c>
      <c r="AH142" s="245"/>
      <c r="AI142" s="133"/>
      <c r="AJ142" s="211"/>
      <c r="AL142" s="108"/>
      <c r="AM142" s="2"/>
      <c r="AN142" s="2"/>
      <c r="AO142" s="2"/>
      <c r="BC142" s="1"/>
      <c r="BD142" s="2"/>
      <c r="BE142" s="2"/>
      <c r="BF142" s="2"/>
      <c r="BG142" s="2"/>
      <c r="BH142" s="2"/>
      <c r="BI142" s="2"/>
      <c r="BJ142" s="2"/>
      <c r="BK142" s="2"/>
    </row>
    <row r="143" spans="1:63" outlineLevel="1" x14ac:dyDescent="0.2">
      <c r="A143" s="4" t="s">
        <v>248</v>
      </c>
      <c r="C143" s="230">
        <f>'Ethylene Recycling HC'!C181</f>
        <v>4.3692372112635507E-3</v>
      </c>
      <c r="D143" s="230">
        <f>'Ethylene Recycling HC'!D181</f>
        <v>5.4943329790577153E-3</v>
      </c>
      <c r="E143" s="230">
        <f>'Ethylene Recycling HC'!E181</f>
        <v>6.7390269835979483E-3</v>
      </c>
      <c r="F143" s="230">
        <f>'Ethylene Recycling HC'!F181</f>
        <v>8.1026199828497895E-3</v>
      </c>
      <c r="G143" s="230">
        <f>'Ethylene Recycling HC'!G181</f>
        <v>9.5828698640280149E-3</v>
      </c>
      <c r="H143" s="230">
        <f>'Ethylene Recycling HC'!H181</f>
        <v>1.1175931216948829E-2</v>
      </c>
      <c r="I143" s="230">
        <f>'Ethylene Recycling HC'!I181</f>
        <v>1.2505364027874716E-2</v>
      </c>
      <c r="J143" s="230">
        <f>'Ethylene Recycling HC'!J181</f>
        <v>1.3859160099497426E-2</v>
      </c>
      <c r="K143" s="230">
        <f>'Ethylene Recycling HC'!K181</f>
        <v>1.5228512413901153E-2</v>
      </c>
      <c r="L143" s="230">
        <f>'Ethylene Recycling HC'!L181</f>
        <v>1.6603928131565332E-2</v>
      </c>
      <c r="M143" s="230">
        <f>'Ethylene Recycling HC'!M181</f>
        <v>1.7975234101274232E-2</v>
      </c>
      <c r="N143" s="230">
        <f>'Ethylene Recycling HC'!N181</f>
        <v>1.9927158644118748E-2</v>
      </c>
      <c r="O143" s="230">
        <f>'Ethylene Recycling HC'!O181</f>
        <v>2.1863628801562857E-2</v>
      </c>
      <c r="P143" s="230">
        <f>'Ethylene Recycling HC'!P181</f>
        <v>2.3756611353212827E-2</v>
      </c>
      <c r="Q143" s="230">
        <f>'Ethylene Recycling HC'!Q181</f>
        <v>2.5577248911216058E-2</v>
      </c>
      <c r="R143" s="230">
        <f>'Ethylene Recycling HC'!R181</f>
        <v>2.72962695363572E-2</v>
      </c>
      <c r="S143" s="230">
        <f>'Ethylene Recycling HC'!S181</f>
        <v>2.9335370157836327E-2</v>
      </c>
      <c r="T143" s="230">
        <f>'Ethylene Recycling HC'!T181</f>
        <v>3.1358727640896644E-2</v>
      </c>
      <c r="U143" s="230">
        <f>'Ethylene Recycling HC'!U181</f>
        <v>3.3352412492865233E-2</v>
      </c>
      <c r="V143" s="230">
        <f>'Ethylene Recycling HC'!V181</f>
        <v>3.5301972718085273E-2</v>
      </c>
      <c r="W143" s="230">
        <f>'Ethylene Recycling HC'!W181</f>
        <v>3.7192435464986698E-2</v>
      </c>
      <c r="X143" s="230">
        <f>'Ethylene Recycling HC'!X181</f>
        <v>3.9988453933238452E-2</v>
      </c>
      <c r="Y143" s="230">
        <f>'Ethylene Recycling HC'!Y181</f>
        <v>4.2707479354118984E-2</v>
      </c>
      <c r="Z143" s="230">
        <f>'Ethylene Recycling HC'!Z181</f>
        <v>4.5324204568245173E-2</v>
      </c>
      <c r="AA143" s="230">
        <f>'Ethylene Recycling HC'!AA181</f>
        <v>4.7812457213803658E-2</v>
      </c>
      <c r="AB143" s="230">
        <f>'Ethylene Recycling HC'!AB181</f>
        <v>5.0145202959989248E-2</v>
      </c>
      <c r="AC143" s="230">
        <f>'Ethylene Recycling HC'!AC181</f>
        <v>5.177348446529173E-2</v>
      </c>
      <c r="AD143" s="230">
        <f>'Ethylene Recycling HC'!AD181</f>
        <v>5.3096589900952035E-2</v>
      </c>
      <c r="AE143" s="230">
        <f>'Ethylene Recycling HC'!AE181</f>
        <v>5.4077941298077595E-2</v>
      </c>
      <c r="AF143" s="230">
        <f>'Ethylene Recycling HC'!AF181</f>
        <v>5.4679934594280791E-2</v>
      </c>
      <c r="AG143" s="230">
        <f>'Ethylene Recycling HC'!AG181</f>
        <v>5.4863946328136494E-2</v>
      </c>
      <c r="AH143" s="245"/>
      <c r="AI143" s="133"/>
      <c r="AJ143" s="211"/>
      <c r="AL143" s="108"/>
      <c r="AM143" s="2"/>
      <c r="AN143" s="2"/>
      <c r="AO143" s="2"/>
      <c r="BC143" s="1"/>
      <c r="BD143" s="2"/>
      <c r="BE143" s="2"/>
      <c r="BF143" s="2"/>
      <c r="BG143" s="2"/>
      <c r="BH143" s="2"/>
      <c r="BI143" s="2"/>
      <c r="BJ143" s="2"/>
      <c r="BK143" s="2"/>
    </row>
    <row r="144" spans="1:63" s="1" customFormat="1" outlineLevel="1" x14ac:dyDescent="0.2">
      <c r="A144" s="1" t="s">
        <v>1328</v>
      </c>
      <c r="B144" s="65"/>
      <c r="C144" s="300">
        <f>'Ethylene Recycling HC'!C182</f>
        <v>0.29047604853762621</v>
      </c>
      <c r="D144" s="300">
        <f>'Ethylene Recycling HC'!D182</f>
        <v>0.3103462362083082</v>
      </c>
      <c r="E144" s="300">
        <f>'Ethylene Recycling HC'!E182</f>
        <v>0.33012341903725773</v>
      </c>
      <c r="F144" s="300">
        <f>'Ethylene Recycling HC'!F182</f>
        <v>0.34966892910683972</v>
      </c>
      <c r="G144" s="300">
        <f>'Ethylene Recycling HC'!G182</f>
        <v>0.36884115981027737</v>
      </c>
      <c r="H144" s="300">
        <f>'Ethylene Recycling HC'!H182</f>
        <v>0.38749726038391852</v>
      </c>
      <c r="I144" s="300">
        <f>'Ethylene Recycling HC'!I182</f>
        <v>0.39381291196063256</v>
      </c>
      <c r="J144" s="300">
        <f>'Ethylene Recycling HC'!J182</f>
        <v>0.39914292948333735</v>
      </c>
      <c r="K144" s="300">
        <f>'Ethylene Recycling HC'!K182</f>
        <v>0.40344692958309836</v>
      </c>
      <c r="L144" s="300">
        <f>'Ethylene Recycling HC'!L182</f>
        <v>0.40668671735417045</v>
      </c>
      <c r="M144" s="300">
        <f>'Ethylene Recycling HC'!M182</f>
        <v>0.40882647769137181</v>
      </c>
      <c r="N144" s="300">
        <f>'Ethylene Recycling HC'!N182</f>
        <v>0.42245921238941891</v>
      </c>
      <c r="O144" s="300">
        <f>'Ethylene Recycling HC'!O182</f>
        <v>0.4335118919340249</v>
      </c>
      <c r="P144" s="300">
        <f>'Ethylene Recycling HC'!P182</f>
        <v>0.44187900671532948</v>
      </c>
      <c r="Q144" s="300">
        <f>'Ethylene Recycling HC'!Q182</f>
        <v>0.44748134796910471</v>
      </c>
      <c r="R144" s="300">
        <f>'Ethylene Recycling HC'!R182</f>
        <v>0.45026718913790748</v>
      </c>
      <c r="S144" s="300">
        <f>'Ethylene Recycling HC'!S182</f>
        <v>0.45724195274368246</v>
      </c>
      <c r="T144" s="300">
        <f>'Ethylene Recycling HC'!T182</f>
        <v>0.46275746655986161</v>
      </c>
      <c r="U144" s="300">
        <f>'Ethylene Recycling HC'!U182</f>
        <v>0.46680806218480386</v>
      </c>
      <c r="V144" s="300">
        <f>'Ethylene Recycling HC'!V182</f>
        <v>0.46938982915816596</v>
      </c>
      <c r="W144" s="300">
        <f>'Ethylene Recycling HC'!W182</f>
        <v>0.47050064932145164</v>
      </c>
      <c r="X144" s="300">
        <f>'Ethylene Recycling HC'!X182</f>
        <v>0.48195323661983303</v>
      </c>
      <c r="Y144" s="300">
        <f>'Ethylene Recycling HC'!Y182</f>
        <v>0.4910037838816082</v>
      </c>
      <c r="Z144" s="300">
        <f>'Ethylene Recycling HC'!Z182</f>
        <v>0.49765077970249116</v>
      </c>
      <c r="AA144" s="300">
        <f>'Ethylene Recycling HC'!AA182</f>
        <v>0.50189563884720667</v>
      </c>
      <c r="AB144" s="300">
        <f>'Ethylene Recycling HC'!AB182</f>
        <v>0.50374275105806843</v>
      </c>
      <c r="AC144" s="300">
        <f>'Ethylene Recycling HC'!AC182</f>
        <v>0.49818562519774184</v>
      </c>
      <c r="AD144" s="300">
        <f>'Ethylene Recycling HC'!AD182</f>
        <v>0.48980481010046806</v>
      </c>
      <c r="AE144" s="300">
        <f>'Ethylene Recycling HC'!AE182</f>
        <v>0.47861993956962129</v>
      </c>
      <c r="AF144" s="300">
        <f>'Ethylene Recycling HC'!AF182</f>
        <v>0.46465431134719487</v>
      </c>
      <c r="AG144" s="300">
        <f>'Ethylene Recycling HC'!AG182</f>
        <v>0.44793493155127917</v>
      </c>
      <c r="AH144" s="422"/>
      <c r="AI144" s="423"/>
      <c r="AJ144" s="424"/>
      <c r="AL144" s="221"/>
      <c r="AM144" s="124"/>
      <c r="AN144" s="124"/>
      <c r="AO144" s="124"/>
      <c r="BD144" s="124"/>
      <c r="BE144" s="124"/>
      <c r="BF144" s="124"/>
      <c r="BG144" s="124"/>
      <c r="BH144" s="124"/>
      <c r="BI144" s="124"/>
      <c r="BJ144" s="124"/>
      <c r="BK144" s="124"/>
    </row>
    <row r="145" spans="1:63" outlineLevel="1" x14ac:dyDescent="0.2">
      <c r="A145" s="4" t="s">
        <v>258</v>
      </c>
      <c r="C145" s="230">
        <f>'Ethylene Recycling HC'!C183</f>
        <v>0</v>
      </c>
      <c r="D145" s="230">
        <f>'Ethylene Recycling HC'!D183</f>
        <v>0</v>
      </c>
      <c r="E145" s="230">
        <f>'Ethylene Recycling HC'!E183</f>
        <v>0</v>
      </c>
      <c r="F145" s="230">
        <f>'Ethylene Recycling HC'!F183</f>
        <v>0</v>
      </c>
      <c r="G145" s="230">
        <f>'Ethylene Recycling HC'!G183</f>
        <v>0</v>
      </c>
      <c r="H145" s="230">
        <f>'Ethylene Recycling HC'!H183</f>
        <v>0</v>
      </c>
      <c r="I145" s="230">
        <f>'Ethylene Recycling HC'!I183</f>
        <v>0</v>
      </c>
      <c r="J145" s="230">
        <f>'Ethylene Recycling HC'!J183</f>
        <v>0</v>
      </c>
      <c r="K145" s="230">
        <f>'Ethylene Recycling HC'!K183</f>
        <v>0</v>
      </c>
      <c r="L145" s="230">
        <f>'Ethylene Recycling HC'!L183</f>
        <v>0</v>
      </c>
      <c r="M145" s="230">
        <f>'Ethylene Recycling HC'!M183</f>
        <v>0</v>
      </c>
      <c r="N145" s="230">
        <f>'Ethylene Recycling HC'!N183</f>
        <v>0</v>
      </c>
      <c r="O145" s="230">
        <f>'Ethylene Recycling HC'!O183</f>
        <v>0</v>
      </c>
      <c r="P145" s="230">
        <f>'Ethylene Recycling HC'!P183</f>
        <v>0</v>
      </c>
      <c r="Q145" s="230">
        <f>'Ethylene Recycling HC'!Q183</f>
        <v>0</v>
      </c>
      <c r="R145" s="230">
        <f>'Ethylene Recycling HC'!R183</f>
        <v>0</v>
      </c>
      <c r="S145" s="230">
        <f>'Ethylene Recycling HC'!S183</f>
        <v>0</v>
      </c>
      <c r="T145" s="230">
        <f>'Ethylene Recycling HC'!T183</f>
        <v>0</v>
      </c>
      <c r="U145" s="230">
        <f>'Ethylene Recycling HC'!U183</f>
        <v>0</v>
      </c>
      <c r="V145" s="230">
        <f>'Ethylene Recycling HC'!V183</f>
        <v>0</v>
      </c>
      <c r="W145" s="230">
        <f>'Ethylene Recycling HC'!W183</f>
        <v>0</v>
      </c>
      <c r="X145" s="230">
        <f>'Ethylene Recycling HC'!X183</f>
        <v>0</v>
      </c>
      <c r="Y145" s="230">
        <f>'Ethylene Recycling HC'!Y183</f>
        <v>0</v>
      </c>
      <c r="Z145" s="230">
        <f>'Ethylene Recycling HC'!Z183</f>
        <v>0</v>
      </c>
      <c r="AA145" s="230">
        <f>'Ethylene Recycling HC'!AA183</f>
        <v>0</v>
      </c>
      <c r="AB145" s="230">
        <f>'Ethylene Recycling HC'!AB183</f>
        <v>0</v>
      </c>
      <c r="AC145" s="230">
        <f>'Ethylene Recycling HC'!AC183</f>
        <v>0</v>
      </c>
      <c r="AD145" s="230">
        <f>'Ethylene Recycling HC'!AD183</f>
        <v>0</v>
      </c>
      <c r="AE145" s="230">
        <f>'Ethylene Recycling HC'!AE183</f>
        <v>0</v>
      </c>
      <c r="AF145" s="230">
        <f>'Ethylene Recycling HC'!AF183</f>
        <v>0</v>
      </c>
      <c r="AG145" s="230">
        <f>'Ethylene Recycling HC'!AG183</f>
        <v>0</v>
      </c>
      <c r="AH145" s="245"/>
      <c r="AI145" s="133"/>
      <c r="AJ145" s="211"/>
      <c r="AL145" s="108"/>
      <c r="AM145" s="2"/>
      <c r="AN145" s="2"/>
      <c r="AO145" s="2"/>
      <c r="BC145" s="1"/>
      <c r="BD145" s="2"/>
      <c r="BE145" s="2"/>
      <c r="BF145" s="2"/>
      <c r="BG145" s="2"/>
      <c r="BH145" s="2"/>
      <c r="BI145" s="2"/>
      <c r="BJ145" s="2"/>
      <c r="BK145" s="2"/>
    </row>
    <row r="146" spans="1:63" outlineLevel="1" x14ac:dyDescent="0.2">
      <c r="A146" s="4" t="s">
        <v>478</v>
      </c>
      <c r="C146" s="230">
        <f>'Ethylene Recycling HC'!C184</f>
        <v>0</v>
      </c>
      <c r="D146" s="230">
        <f>'Ethylene Recycling HC'!D184</f>
        <v>0</v>
      </c>
      <c r="E146" s="230">
        <f>'Ethylene Recycling HC'!E184</f>
        <v>0</v>
      </c>
      <c r="F146" s="230">
        <f>'Ethylene Recycling HC'!F184</f>
        <v>0</v>
      </c>
      <c r="G146" s="230">
        <f>'Ethylene Recycling HC'!G184</f>
        <v>0</v>
      </c>
      <c r="H146" s="230">
        <f>'Ethylene Recycling HC'!H184</f>
        <v>0</v>
      </c>
      <c r="I146" s="230">
        <f>'Ethylene Recycling HC'!I184</f>
        <v>0</v>
      </c>
      <c r="J146" s="230">
        <f>'Ethylene Recycling HC'!J184</f>
        <v>0</v>
      </c>
      <c r="K146" s="230">
        <f>'Ethylene Recycling HC'!K184</f>
        <v>0</v>
      </c>
      <c r="L146" s="230">
        <f>'Ethylene Recycling HC'!L184</f>
        <v>0</v>
      </c>
      <c r="M146" s="230">
        <f>'Ethylene Recycling HC'!M184</f>
        <v>0</v>
      </c>
      <c r="N146" s="230">
        <f>'Ethylene Recycling HC'!N184</f>
        <v>0</v>
      </c>
      <c r="O146" s="230">
        <f>'Ethylene Recycling HC'!O184</f>
        <v>0</v>
      </c>
      <c r="P146" s="230">
        <f>'Ethylene Recycling HC'!P184</f>
        <v>0</v>
      </c>
      <c r="Q146" s="230">
        <f>'Ethylene Recycling HC'!Q184</f>
        <v>0</v>
      </c>
      <c r="R146" s="230">
        <f>'Ethylene Recycling HC'!R184</f>
        <v>0</v>
      </c>
      <c r="S146" s="230">
        <f>'Ethylene Recycling HC'!S184</f>
        <v>0</v>
      </c>
      <c r="T146" s="230">
        <f>'Ethylene Recycling HC'!T184</f>
        <v>0</v>
      </c>
      <c r="U146" s="230">
        <f>'Ethylene Recycling HC'!U184</f>
        <v>0</v>
      </c>
      <c r="V146" s="230">
        <f>'Ethylene Recycling HC'!V184</f>
        <v>0</v>
      </c>
      <c r="W146" s="230">
        <f>'Ethylene Recycling HC'!W184</f>
        <v>0</v>
      </c>
      <c r="X146" s="230">
        <f>'Ethylene Recycling HC'!X184</f>
        <v>0</v>
      </c>
      <c r="Y146" s="230">
        <f>'Ethylene Recycling HC'!Y184</f>
        <v>0</v>
      </c>
      <c r="Z146" s="230">
        <f>'Ethylene Recycling HC'!Z184</f>
        <v>0</v>
      </c>
      <c r="AA146" s="230">
        <f>'Ethylene Recycling HC'!AA184</f>
        <v>0</v>
      </c>
      <c r="AB146" s="230">
        <f>'Ethylene Recycling HC'!AB184</f>
        <v>0</v>
      </c>
      <c r="AC146" s="230">
        <f>'Ethylene Recycling HC'!AC184</f>
        <v>0</v>
      </c>
      <c r="AD146" s="230">
        <f>'Ethylene Recycling HC'!AD184</f>
        <v>0</v>
      </c>
      <c r="AE146" s="230">
        <f>'Ethylene Recycling HC'!AE184</f>
        <v>0</v>
      </c>
      <c r="AF146" s="230">
        <f>'Ethylene Recycling HC'!AF184</f>
        <v>0</v>
      </c>
      <c r="AG146" s="230">
        <f>'Ethylene Recycling HC'!AG184</f>
        <v>0</v>
      </c>
      <c r="AH146" s="245"/>
      <c r="AI146" s="133"/>
      <c r="AJ146" s="211"/>
      <c r="AL146" s="108"/>
      <c r="AM146" s="2"/>
      <c r="AN146" s="2"/>
      <c r="AO146" s="2"/>
      <c r="BC146" s="1"/>
      <c r="BD146" s="2"/>
      <c r="BE146" s="2"/>
      <c r="BF146" s="2"/>
      <c r="BG146" s="2"/>
      <c r="BH146" s="2"/>
      <c r="BI146" s="2"/>
      <c r="BJ146" s="2"/>
      <c r="BK146" s="2"/>
    </row>
    <row r="147" spans="1:63" outlineLevel="1" x14ac:dyDescent="0.2">
      <c r="A147" s="4" t="s">
        <v>480</v>
      </c>
      <c r="C147" s="230">
        <f>'Ethylene Recycling HC'!C185</f>
        <v>0</v>
      </c>
      <c r="D147" s="230">
        <f>'Ethylene Recycling HC'!D185</f>
        <v>0</v>
      </c>
      <c r="E147" s="230">
        <f>'Ethylene Recycling HC'!E185</f>
        <v>0</v>
      </c>
      <c r="F147" s="230">
        <f>'Ethylene Recycling HC'!F185</f>
        <v>0</v>
      </c>
      <c r="G147" s="230">
        <f>'Ethylene Recycling HC'!G185</f>
        <v>0</v>
      </c>
      <c r="H147" s="230">
        <f>'Ethylene Recycling HC'!H185</f>
        <v>0</v>
      </c>
      <c r="I147" s="230">
        <f>'Ethylene Recycling HC'!I185</f>
        <v>0</v>
      </c>
      <c r="J147" s="230">
        <f>'Ethylene Recycling HC'!J185</f>
        <v>0</v>
      </c>
      <c r="K147" s="230">
        <f>'Ethylene Recycling HC'!K185</f>
        <v>0</v>
      </c>
      <c r="L147" s="230">
        <f>'Ethylene Recycling HC'!L185</f>
        <v>0</v>
      </c>
      <c r="M147" s="230">
        <f>'Ethylene Recycling HC'!M185</f>
        <v>0</v>
      </c>
      <c r="N147" s="230">
        <f>'Ethylene Recycling HC'!N185</f>
        <v>0</v>
      </c>
      <c r="O147" s="230">
        <f>'Ethylene Recycling HC'!O185</f>
        <v>0</v>
      </c>
      <c r="P147" s="230">
        <f>'Ethylene Recycling HC'!P185</f>
        <v>0</v>
      </c>
      <c r="Q147" s="230">
        <f>'Ethylene Recycling HC'!Q185</f>
        <v>0</v>
      </c>
      <c r="R147" s="230">
        <f>'Ethylene Recycling HC'!R185</f>
        <v>0</v>
      </c>
      <c r="S147" s="230">
        <f>'Ethylene Recycling HC'!S185</f>
        <v>0</v>
      </c>
      <c r="T147" s="230">
        <f>'Ethylene Recycling HC'!T185</f>
        <v>0</v>
      </c>
      <c r="U147" s="230">
        <f>'Ethylene Recycling HC'!U185</f>
        <v>0</v>
      </c>
      <c r="V147" s="230">
        <f>'Ethylene Recycling HC'!V185</f>
        <v>0</v>
      </c>
      <c r="W147" s="230">
        <f>'Ethylene Recycling HC'!W185</f>
        <v>0</v>
      </c>
      <c r="X147" s="230">
        <f>'Ethylene Recycling HC'!X185</f>
        <v>0</v>
      </c>
      <c r="Y147" s="230">
        <f>'Ethylene Recycling HC'!Y185</f>
        <v>0</v>
      </c>
      <c r="Z147" s="230">
        <f>'Ethylene Recycling HC'!Z185</f>
        <v>0</v>
      </c>
      <c r="AA147" s="230">
        <f>'Ethylene Recycling HC'!AA185</f>
        <v>0</v>
      </c>
      <c r="AB147" s="230">
        <f>'Ethylene Recycling HC'!AB185</f>
        <v>0</v>
      </c>
      <c r="AC147" s="230">
        <f>'Ethylene Recycling HC'!AC185</f>
        <v>0</v>
      </c>
      <c r="AD147" s="230">
        <f>'Ethylene Recycling HC'!AD185</f>
        <v>0</v>
      </c>
      <c r="AE147" s="230">
        <f>'Ethylene Recycling HC'!AE185</f>
        <v>0</v>
      </c>
      <c r="AF147" s="230">
        <f>'Ethylene Recycling HC'!AF185</f>
        <v>0</v>
      </c>
      <c r="AG147" s="230">
        <f>'Ethylene Recycling HC'!AG185</f>
        <v>0</v>
      </c>
      <c r="AH147" s="245"/>
      <c r="AI147" s="133"/>
      <c r="AJ147" s="211"/>
      <c r="AL147" s="108"/>
      <c r="AM147" s="2"/>
      <c r="AN147" s="2"/>
      <c r="AO147" s="2"/>
      <c r="BC147" s="1"/>
      <c r="BD147" s="2"/>
      <c r="BE147" s="2"/>
      <c r="BF147" s="2"/>
      <c r="BG147" s="2"/>
      <c r="BH147" s="2"/>
      <c r="BI147" s="2"/>
      <c r="BJ147" s="2"/>
      <c r="BK147" s="2"/>
    </row>
    <row r="148" spans="1:63" outlineLevel="1" x14ac:dyDescent="0.2">
      <c r="A148" s="4" t="s">
        <v>474</v>
      </c>
      <c r="C148" s="230">
        <f>'Ethylene Recycling HC'!C186</f>
        <v>0.24896829503062248</v>
      </c>
      <c r="D148" s="230">
        <f>'Ethylene Recycling HC'!D186</f>
        <v>0.26599912002019949</v>
      </c>
      <c r="E148" s="230">
        <f>'Ethylene Recycling HC'!E186</f>
        <v>0.2829502301520721</v>
      </c>
      <c r="F148" s="230">
        <f>'Ethylene Recycling HC'!F186</f>
        <v>0.29970277254593269</v>
      </c>
      <c r="G148" s="230">
        <f>'Ethylene Recycling HC'!G186</f>
        <v>0.31613537555812332</v>
      </c>
      <c r="H148" s="230">
        <f>'Ethylene Recycling HC'!H186</f>
        <v>0.33212560117267204</v>
      </c>
      <c r="I148" s="230">
        <f>'Ethylene Recycling HC'!I186</f>
        <v>0.33753877383519637</v>
      </c>
      <c r="J148" s="230">
        <f>'Ethylene Recycling HC'!J186</f>
        <v>0.34210715522771334</v>
      </c>
      <c r="K148" s="230">
        <f>'Ethylene Recycling HC'!K186</f>
        <v>0.34579613258761543</v>
      </c>
      <c r="L148" s="230">
        <f>'Ethylene Recycling HC'!L186</f>
        <v>0.34857296889369177</v>
      </c>
      <c r="M148" s="230">
        <f>'Ethylene Recycling HC'!M186</f>
        <v>0.35040696686223055</v>
      </c>
      <c r="N148" s="230">
        <f>'Ethylene Recycling HC'!N186</f>
        <v>0.36209164355576506</v>
      </c>
      <c r="O148" s="230">
        <f>'Ethylene Recycling HC'!O186</f>
        <v>0.37156494366293014</v>
      </c>
      <c r="P148" s="230">
        <f>'Ethylene Recycling HC'!P186</f>
        <v>0.37873643443442173</v>
      </c>
      <c r="Q148" s="230">
        <f>'Ethylene Recycling HC'!Q186</f>
        <v>0.38353822569106455</v>
      </c>
      <c r="R148" s="230">
        <f>'Ethylene Recycling HC'!R186</f>
        <v>0.38592598237363696</v>
      </c>
      <c r="S148" s="230">
        <f>'Ethylene Recycling HC'!S186</f>
        <v>0.39190408284668338</v>
      </c>
      <c r="T148" s="230">
        <f>'Ethylene Recycling HC'!T186</f>
        <v>0.39663145392579696</v>
      </c>
      <c r="U148" s="230">
        <f>'Ethylene Recycling HC'!U186</f>
        <v>0.40010323719907342</v>
      </c>
      <c r="V148" s="230">
        <f>'Ethylene Recycling HC'!V186</f>
        <v>0.40231608099380395</v>
      </c>
      <c r="W148" s="230">
        <f>'Ethylene Recycling HC'!W186</f>
        <v>0.4032681698270526</v>
      </c>
      <c r="X148" s="230">
        <f>'Ethylene Recycling HC'!X186</f>
        <v>0.41308423262370014</v>
      </c>
      <c r="Y148" s="230">
        <f>'Ethylene Recycling HC'!Y186</f>
        <v>0.42084149637126989</v>
      </c>
      <c r="Z148" s="230">
        <f>'Ethylene Recycling HC'!Z186</f>
        <v>0.42653866563852028</v>
      </c>
      <c r="AA148" s="230">
        <f>'Ethylene Recycling HC'!AA186</f>
        <v>0.43017695302650116</v>
      </c>
      <c r="AB148" s="230">
        <f>'Ethylene Recycling HC'!AB186</f>
        <v>0.43176012100259997</v>
      </c>
      <c r="AC148" s="230">
        <f>'Ethylene Recycling HC'!AC186</f>
        <v>0.42699708405796571</v>
      </c>
      <c r="AD148" s="230">
        <f>'Ethylene Recycling HC'!AD186</f>
        <v>0.41981385068557675</v>
      </c>
      <c r="AE148" s="230">
        <f>'Ethylene Recycling HC'!AE186</f>
        <v>0.41022724910440556</v>
      </c>
      <c r="AF148" s="230">
        <f>'Ethylene Recycling HC'!AF186</f>
        <v>0.39825724791128253</v>
      </c>
      <c r="AG148" s="230">
        <f>'Ethylene Recycling HC'!AG186</f>
        <v>0.38392699416845327</v>
      </c>
      <c r="AH148" s="245"/>
      <c r="AI148" s="133"/>
      <c r="AJ148" s="211"/>
      <c r="AL148" s="108"/>
      <c r="AM148" s="2"/>
      <c r="AN148" s="2"/>
      <c r="AO148" s="2"/>
      <c r="BC148" s="1"/>
      <c r="BD148" s="2"/>
      <c r="BE148" s="2"/>
      <c r="BF148" s="2"/>
      <c r="BG148" s="2"/>
      <c r="BH148" s="2"/>
      <c r="BI148" s="2"/>
      <c r="BJ148" s="2"/>
      <c r="BK148" s="2"/>
    </row>
    <row r="149" spans="1:63" outlineLevel="1" x14ac:dyDescent="0.2">
      <c r="A149" s="4" t="s">
        <v>248</v>
      </c>
      <c r="C149" s="230">
        <f>'Ethylene Recycling HC'!C187</f>
        <v>4.1507753507003725E-2</v>
      </c>
      <c r="D149" s="230">
        <f>'Ethylene Recycling HC'!D187</f>
        <v>4.4347116188108701E-2</v>
      </c>
      <c r="E149" s="230">
        <f>'Ethylene Recycling HC'!E187</f>
        <v>4.7173188885185645E-2</v>
      </c>
      <c r="F149" s="230">
        <f>'Ethylene Recycling HC'!F187</f>
        <v>4.9966156560907041E-2</v>
      </c>
      <c r="G149" s="230">
        <f>'Ethylene Recycling HC'!G187</f>
        <v>5.2705784252154074E-2</v>
      </c>
      <c r="H149" s="230">
        <f>'Ethylene Recycling HC'!H187</f>
        <v>5.5371659211246482E-2</v>
      </c>
      <c r="I149" s="230">
        <f>'Ethylene Recycling HC'!I187</f>
        <v>5.6274138125436232E-2</v>
      </c>
      <c r="J149" s="230">
        <f>'Ethylene Recycling HC'!J187</f>
        <v>5.7035774255624026E-2</v>
      </c>
      <c r="K149" s="230">
        <f>'Ethylene Recycling HC'!K187</f>
        <v>5.7650796995482936E-2</v>
      </c>
      <c r="L149" s="230">
        <f>'Ethylene Recycling HC'!L187</f>
        <v>5.8113748460478662E-2</v>
      </c>
      <c r="M149" s="230">
        <f>'Ethylene Recycling HC'!M187</f>
        <v>5.841951082914127E-2</v>
      </c>
      <c r="N149" s="230">
        <f>'Ethylene Recycling HC'!N187</f>
        <v>6.0367568833653878E-2</v>
      </c>
      <c r="O149" s="230">
        <f>'Ethylene Recycling HC'!O187</f>
        <v>6.1946948271094759E-2</v>
      </c>
      <c r="P149" s="230">
        <f>'Ethylene Recycling HC'!P187</f>
        <v>6.3142572280907777E-2</v>
      </c>
      <c r="Q149" s="230">
        <f>'Ethylene Recycling HC'!Q187</f>
        <v>6.3943122278040151E-2</v>
      </c>
      <c r="R149" s="230">
        <f>'Ethylene Recycling HC'!R187</f>
        <v>6.434120676427052E-2</v>
      </c>
      <c r="S149" s="230">
        <f>'Ethylene Recycling HC'!S187</f>
        <v>6.5337869896999107E-2</v>
      </c>
      <c r="T149" s="230">
        <f>'Ethylene Recycling HC'!T187</f>
        <v>6.6126012634064674E-2</v>
      </c>
      <c r="U149" s="230">
        <f>'Ethylene Recycling HC'!U187</f>
        <v>6.6704824985730465E-2</v>
      </c>
      <c r="V149" s="230">
        <f>'Ethylene Recycling HC'!V187</f>
        <v>6.7073748164362026E-2</v>
      </c>
      <c r="W149" s="230">
        <f>'Ethylene Recycling HC'!W187</f>
        <v>6.7232479494399033E-2</v>
      </c>
      <c r="X149" s="230">
        <f>'Ethylene Recycling HC'!X187</f>
        <v>6.8869003996132883E-2</v>
      </c>
      <c r="Y149" s="230">
        <f>'Ethylene Recycling HC'!Y187</f>
        <v>7.0162287510338331E-2</v>
      </c>
      <c r="Z149" s="230">
        <f>'Ethylene Recycling HC'!Z187</f>
        <v>7.1112114063970874E-2</v>
      </c>
      <c r="AA149" s="230">
        <f>'Ethylene Recycling HC'!AA187</f>
        <v>7.1718685820705508E-2</v>
      </c>
      <c r="AB149" s="230">
        <f>'Ethylene Recycling HC'!AB187</f>
        <v>7.1982630055468455E-2</v>
      </c>
      <c r="AC149" s="230">
        <f>'Ethylene Recycling HC'!AC187</f>
        <v>7.1188541139776129E-2</v>
      </c>
      <c r="AD149" s="230">
        <f>'Ethylene Recycling HC'!AD187</f>
        <v>6.9990959414891321E-2</v>
      </c>
      <c r="AE149" s="230">
        <f>'Ethylene Recycling HC'!AE187</f>
        <v>6.8392690465215761E-2</v>
      </c>
      <c r="AF149" s="230">
        <f>'Ethylene Recycling HC'!AF187</f>
        <v>6.6397063435912368E-2</v>
      </c>
      <c r="AG149" s="230">
        <f>'Ethylene Recycling HC'!AG187</f>
        <v>6.4007937382825911E-2</v>
      </c>
      <c r="AH149" s="245"/>
      <c r="AI149" s="133"/>
      <c r="AJ149" s="211"/>
      <c r="AL149" s="108"/>
      <c r="AM149" s="2"/>
      <c r="AN149" s="2"/>
      <c r="AO149" s="2"/>
      <c r="BC149" s="1"/>
      <c r="BD149" s="2"/>
      <c r="BE149" s="2"/>
      <c r="BF149" s="2"/>
      <c r="BG149" s="2"/>
      <c r="BH149" s="2"/>
      <c r="BI149" s="2"/>
      <c r="BJ149" s="2"/>
      <c r="BK149" s="2"/>
    </row>
    <row r="150" spans="1:63" s="1" customFormat="1" outlineLevel="1" x14ac:dyDescent="0.2">
      <c r="A150" s="1" t="s">
        <v>1329</v>
      </c>
      <c r="B150" s="65"/>
      <c r="C150" s="300">
        <f>'Ethylene Recycling HC'!C188</f>
        <v>0.29047604853762621</v>
      </c>
      <c r="D150" s="300">
        <f>'Ethylene Recycling HC'!D188</f>
        <v>0.3103462362083082</v>
      </c>
      <c r="E150" s="300">
        <f>'Ethylene Recycling HC'!E188</f>
        <v>0.33012341903725773</v>
      </c>
      <c r="F150" s="300">
        <f>'Ethylene Recycling HC'!F188</f>
        <v>0.34966892910683972</v>
      </c>
      <c r="G150" s="300">
        <f>'Ethylene Recycling HC'!G188</f>
        <v>0.36884115981027737</v>
      </c>
      <c r="H150" s="300">
        <f>'Ethylene Recycling HC'!H188</f>
        <v>0.38749726038391852</v>
      </c>
      <c r="I150" s="300">
        <f>'Ethylene Recycling HC'!I188</f>
        <v>0.39381291196063256</v>
      </c>
      <c r="J150" s="300">
        <f>'Ethylene Recycling HC'!J188</f>
        <v>0.39914292948333735</v>
      </c>
      <c r="K150" s="300">
        <f>'Ethylene Recycling HC'!K188</f>
        <v>0.40344692958309836</v>
      </c>
      <c r="L150" s="300">
        <f>'Ethylene Recycling HC'!L188</f>
        <v>0.40668671735417045</v>
      </c>
      <c r="M150" s="300">
        <f>'Ethylene Recycling HC'!M188</f>
        <v>0.40882647769137181</v>
      </c>
      <c r="N150" s="300">
        <f>'Ethylene Recycling HC'!N188</f>
        <v>0.42245921238941891</v>
      </c>
      <c r="O150" s="300">
        <f>'Ethylene Recycling HC'!O188</f>
        <v>0.4335118919340249</v>
      </c>
      <c r="P150" s="300">
        <f>'Ethylene Recycling HC'!P188</f>
        <v>0.44187900671532948</v>
      </c>
      <c r="Q150" s="300">
        <f>'Ethylene Recycling HC'!Q188</f>
        <v>0.44748134796910471</v>
      </c>
      <c r="R150" s="300">
        <f>'Ethylene Recycling HC'!R188</f>
        <v>0.45026718913790748</v>
      </c>
      <c r="S150" s="300">
        <f>'Ethylene Recycling HC'!S188</f>
        <v>0.45724195274368246</v>
      </c>
      <c r="T150" s="300">
        <f>'Ethylene Recycling HC'!T188</f>
        <v>0.46275746655986161</v>
      </c>
      <c r="U150" s="300">
        <f>'Ethylene Recycling HC'!U188</f>
        <v>0.46680806218480386</v>
      </c>
      <c r="V150" s="300">
        <f>'Ethylene Recycling HC'!V188</f>
        <v>0.46938982915816596</v>
      </c>
      <c r="W150" s="300">
        <f>'Ethylene Recycling HC'!W188</f>
        <v>0.47050064932145164</v>
      </c>
      <c r="X150" s="300">
        <f>'Ethylene Recycling HC'!X188</f>
        <v>0.48195323661983303</v>
      </c>
      <c r="Y150" s="300">
        <f>'Ethylene Recycling HC'!Y188</f>
        <v>0.4910037838816082</v>
      </c>
      <c r="Z150" s="300">
        <f>'Ethylene Recycling HC'!Z188</f>
        <v>0.49765077970249116</v>
      </c>
      <c r="AA150" s="300">
        <f>'Ethylene Recycling HC'!AA188</f>
        <v>0.50189563884720667</v>
      </c>
      <c r="AB150" s="300">
        <f>'Ethylene Recycling HC'!AB188</f>
        <v>0.50374275105806843</v>
      </c>
      <c r="AC150" s="300">
        <f>'Ethylene Recycling HC'!AC188</f>
        <v>0.49818562519774184</v>
      </c>
      <c r="AD150" s="300">
        <f>'Ethylene Recycling HC'!AD188</f>
        <v>0.48980481010046806</v>
      </c>
      <c r="AE150" s="300">
        <f>'Ethylene Recycling HC'!AE188</f>
        <v>0.47861993956962129</v>
      </c>
      <c r="AF150" s="300">
        <f>'Ethylene Recycling HC'!AF188</f>
        <v>0.46465431134719487</v>
      </c>
      <c r="AG150" s="300">
        <f>'Ethylene Recycling HC'!AG188</f>
        <v>0.44793493155127917</v>
      </c>
      <c r="AH150" s="422"/>
      <c r="AI150" s="423"/>
      <c r="AJ150" s="424"/>
      <c r="AL150" s="221"/>
      <c r="AM150" s="124"/>
      <c r="AN150" s="124"/>
      <c r="AO150" s="124"/>
      <c r="BD150" s="124"/>
      <c r="BE150" s="124"/>
      <c r="BF150" s="124"/>
      <c r="BG150" s="124"/>
      <c r="BH150" s="124"/>
      <c r="BI150" s="124"/>
      <c r="BJ150" s="124"/>
      <c r="BK150" s="124"/>
    </row>
    <row r="151" spans="1:63" outlineLevel="1" x14ac:dyDescent="0.2">
      <c r="A151" s="4" t="s">
        <v>258</v>
      </c>
      <c r="C151" s="230">
        <f>'Ethylene Recycling HC'!C189</f>
        <v>0</v>
      </c>
      <c r="D151" s="230">
        <f>'Ethylene Recycling HC'!D189</f>
        <v>0</v>
      </c>
      <c r="E151" s="230">
        <f>'Ethylene Recycling HC'!E189</f>
        <v>0</v>
      </c>
      <c r="F151" s="230">
        <f>'Ethylene Recycling HC'!F189</f>
        <v>0</v>
      </c>
      <c r="G151" s="230">
        <f>'Ethylene Recycling HC'!G189</f>
        <v>0</v>
      </c>
      <c r="H151" s="230">
        <f>'Ethylene Recycling HC'!H189</f>
        <v>0</v>
      </c>
      <c r="I151" s="230">
        <f>'Ethylene Recycling HC'!I189</f>
        <v>0</v>
      </c>
      <c r="J151" s="230">
        <f>'Ethylene Recycling HC'!J189</f>
        <v>0</v>
      </c>
      <c r="K151" s="230">
        <f>'Ethylene Recycling HC'!K189</f>
        <v>0</v>
      </c>
      <c r="L151" s="230">
        <f>'Ethylene Recycling HC'!L189</f>
        <v>0</v>
      </c>
      <c r="M151" s="230">
        <f>'Ethylene Recycling HC'!M189</f>
        <v>0</v>
      </c>
      <c r="N151" s="230">
        <f>'Ethylene Recycling HC'!N189</f>
        <v>0</v>
      </c>
      <c r="O151" s="230">
        <f>'Ethylene Recycling HC'!O189</f>
        <v>0</v>
      </c>
      <c r="P151" s="230">
        <f>'Ethylene Recycling HC'!P189</f>
        <v>0</v>
      </c>
      <c r="Q151" s="230">
        <f>'Ethylene Recycling HC'!Q189</f>
        <v>0</v>
      </c>
      <c r="R151" s="230">
        <f>'Ethylene Recycling HC'!R189</f>
        <v>0</v>
      </c>
      <c r="S151" s="230">
        <f>'Ethylene Recycling HC'!S189</f>
        <v>0</v>
      </c>
      <c r="T151" s="230">
        <f>'Ethylene Recycling HC'!T189</f>
        <v>0</v>
      </c>
      <c r="U151" s="230">
        <f>'Ethylene Recycling HC'!U189</f>
        <v>0</v>
      </c>
      <c r="V151" s="230">
        <f>'Ethylene Recycling HC'!V189</f>
        <v>0</v>
      </c>
      <c r="W151" s="230">
        <f>'Ethylene Recycling HC'!W189</f>
        <v>0</v>
      </c>
      <c r="X151" s="230">
        <f>'Ethylene Recycling HC'!X189</f>
        <v>0</v>
      </c>
      <c r="Y151" s="230">
        <f>'Ethylene Recycling HC'!Y189</f>
        <v>0</v>
      </c>
      <c r="Z151" s="230">
        <f>'Ethylene Recycling HC'!Z189</f>
        <v>0</v>
      </c>
      <c r="AA151" s="230">
        <f>'Ethylene Recycling HC'!AA189</f>
        <v>0</v>
      </c>
      <c r="AB151" s="230">
        <f>'Ethylene Recycling HC'!AB189</f>
        <v>0</v>
      </c>
      <c r="AC151" s="230">
        <f>'Ethylene Recycling HC'!AC189</f>
        <v>0</v>
      </c>
      <c r="AD151" s="230">
        <f>'Ethylene Recycling HC'!AD189</f>
        <v>0</v>
      </c>
      <c r="AE151" s="230">
        <f>'Ethylene Recycling HC'!AE189</f>
        <v>0</v>
      </c>
      <c r="AF151" s="230">
        <f>'Ethylene Recycling HC'!AF189</f>
        <v>0</v>
      </c>
      <c r="AG151" s="230">
        <f>'Ethylene Recycling HC'!AG189</f>
        <v>0</v>
      </c>
      <c r="AH151" s="245"/>
      <c r="AI151" s="133"/>
      <c r="AJ151" s="211"/>
      <c r="AL151" s="108"/>
      <c r="AM151" s="2"/>
      <c r="AN151" s="2"/>
      <c r="AO151" s="2"/>
      <c r="BC151" s="1"/>
      <c r="BD151" s="2"/>
      <c r="BE151" s="2"/>
      <c r="BF151" s="2"/>
      <c r="BG151" s="2"/>
      <c r="BH151" s="2"/>
      <c r="BI151" s="2"/>
      <c r="BJ151" s="2"/>
      <c r="BK151" s="2"/>
    </row>
    <row r="152" spans="1:63" outlineLevel="1" x14ac:dyDescent="0.2">
      <c r="A152" s="4" t="s">
        <v>478</v>
      </c>
      <c r="C152" s="230">
        <f>'Ethylene Recycling HC'!C190</f>
        <v>0</v>
      </c>
      <c r="D152" s="230">
        <f>'Ethylene Recycling HC'!D190</f>
        <v>0</v>
      </c>
      <c r="E152" s="230">
        <f>'Ethylene Recycling HC'!E190</f>
        <v>0</v>
      </c>
      <c r="F152" s="230">
        <f>'Ethylene Recycling HC'!F190</f>
        <v>0</v>
      </c>
      <c r="G152" s="230">
        <f>'Ethylene Recycling HC'!G190</f>
        <v>0</v>
      </c>
      <c r="H152" s="230">
        <f>'Ethylene Recycling HC'!H190</f>
        <v>0</v>
      </c>
      <c r="I152" s="230">
        <f>'Ethylene Recycling HC'!I190</f>
        <v>0</v>
      </c>
      <c r="J152" s="230">
        <f>'Ethylene Recycling HC'!J190</f>
        <v>0</v>
      </c>
      <c r="K152" s="230">
        <f>'Ethylene Recycling HC'!K190</f>
        <v>0</v>
      </c>
      <c r="L152" s="230">
        <f>'Ethylene Recycling HC'!L190</f>
        <v>0</v>
      </c>
      <c r="M152" s="230">
        <f>'Ethylene Recycling HC'!M190</f>
        <v>0</v>
      </c>
      <c r="N152" s="230">
        <f>'Ethylene Recycling HC'!N190</f>
        <v>0</v>
      </c>
      <c r="O152" s="230">
        <f>'Ethylene Recycling HC'!O190</f>
        <v>0</v>
      </c>
      <c r="P152" s="230">
        <f>'Ethylene Recycling HC'!P190</f>
        <v>0</v>
      </c>
      <c r="Q152" s="230">
        <f>'Ethylene Recycling HC'!Q190</f>
        <v>0</v>
      </c>
      <c r="R152" s="230">
        <f>'Ethylene Recycling HC'!R190</f>
        <v>0</v>
      </c>
      <c r="S152" s="230">
        <f>'Ethylene Recycling HC'!S190</f>
        <v>0</v>
      </c>
      <c r="T152" s="230">
        <f>'Ethylene Recycling HC'!T190</f>
        <v>0</v>
      </c>
      <c r="U152" s="230">
        <f>'Ethylene Recycling HC'!U190</f>
        <v>0</v>
      </c>
      <c r="V152" s="230">
        <f>'Ethylene Recycling HC'!V190</f>
        <v>0</v>
      </c>
      <c r="W152" s="230">
        <f>'Ethylene Recycling HC'!W190</f>
        <v>0</v>
      </c>
      <c r="X152" s="230">
        <f>'Ethylene Recycling HC'!X190</f>
        <v>0</v>
      </c>
      <c r="Y152" s="230">
        <f>'Ethylene Recycling HC'!Y190</f>
        <v>0</v>
      </c>
      <c r="Z152" s="230">
        <f>'Ethylene Recycling HC'!Z190</f>
        <v>0</v>
      </c>
      <c r="AA152" s="230">
        <f>'Ethylene Recycling HC'!AA190</f>
        <v>0</v>
      </c>
      <c r="AB152" s="230">
        <f>'Ethylene Recycling HC'!AB190</f>
        <v>0</v>
      </c>
      <c r="AC152" s="230">
        <f>'Ethylene Recycling HC'!AC190</f>
        <v>0</v>
      </c>
      <c r="AD152" s="230">
        <f>'Ethylene Recycling HC'!AD190</f>
        <v>0</v>
      </c>
      <c r="AE152" s="230">
        <f>'Ethylene Recycling HC'!AE190</f>
        <v>0</v>
      </c>
      <c r="AF152" s="230">
        <f>'Ethylene Recycling HC'!AF190</f>
        <v>0</v>
      </c>
      <c r="AG152" s="230">
        <f>'Ethylene Recycling HC'!AG190</f>
        <v>0</v>
      </c>
      <c r="AH152" s="245"/>
      <c r="AI152" s="133"/>
      <c r="AJ152" s="211"/>
      <c r="AL152" s="108"/>
      <c r="AM152" s="2"/>
      <c r="AN152" s="2"/>
      <c r="AO152" s="2"/>
      <c r="BC152" s="1"/>
      <c r="BD152" s="2"/>
      <c r="BE152" s="2"/>
      <c r="BF152" s="2"/>
      <c r="BG152" s="2"/>
      <c r="BH152" s="2"/>
      <c r="BI152" s="2"/>
      <c r="BJ152" s="2"/>
      <c r="BK152" s="2"/>
    </row>
    <row r="153" spans="1:63" outlineLevel="1" x14ac:dyDescent="0.2">
      <c r="A153" s="4" t="s">
        <v>480</v>
      </c>
      <c r="C153" s="230">
        <f>'Ethylene Recycling HC'!C191</f>
        <v>0</v>
      </c>
      <c r="D153" s="230">
        <f>'Ethylene Recycling HC'!D191</f>
        <v>0</v>
      </c>
      <c r="E153" s="230">
        <f>'Ethylene Recycling HC'!E191</f>
        <v>0</v>
      </c>
      <c r="F153" s="230">
        <f>'Ethylene Recycling HC'!F191</f>
        <v>0</v>
      </c>
      <c r="G153" s="230">
        <f>'Ethylene Recycling HC'!G191</f>
        <v>0</v>
      </c>
      <c r="H153" s="230">
        <f>'Ethylene Recycling HC'!H191</f>
        <v>0</v>
      </c>
      <c r="I153" s="230">
        <f>'Ethylene Recycling HC'!I191</f>
        <v>0</v>
      </c>
      <c r="J153" s="230">
        <f>'Ethylene Recycling HC'!J191</f>
        <v>0</v>
      </c>
      <c r="K153" s="230">
        <f>'Ethylene Recycling HC'!K191</f>
        <v>0</v>
      </c>
      <c r="L153" s="230">
        <f>'Ethylene Recycling HC'!L191</f>
        <v>0</v>
      </c>
      <c r="M153" s="230">
        <f>'Ethylene Recycling HC'!M191</f>
        <v>0</v>
      </c>
      <c r="N153" s="230">
        <f>'Ethylene Recycling HC'!N191</f>
        <v>0</v>
      </c>
      <c r="O153" s="230">
        <f>'Ethylene Recycling HC'!O191</f>
        <v>0</v>
      </c>
      <c r="P153" s="230">
        <f>'Ethylene Recycling HC'!P191</f>
        <v>0</v>
      </c>
      <c r="Q153" s="230">
        <f>'Ethylene Recycling HC'!Q191</f>
        <v>0</v>
      </c>
      <c r="R153" s="230">
        <f>'Ethylene Recycling HC'!R191</f>
        <v>0</v>
      </c>
      <c r="S153" s="230">
        <f>'Ethylene Recycling HC'!S191</f>
        <v>0</v>
      </c>
      <c r="T153" s="230">
        <f>'Ethylene Recycling HC'!T191</f>
        <v>0</v>
      </c>
      <c r="U153" s="230">
        <f>'Ethylene Recycling HC'!U191</f>
        <v>0</v>
      </c>
      <c r="V153" s="230">
        <f>'Ethylene Recycling HC'!V191</f>
        <v>0</v>
      </c>
      <c r="W153" s="230">
        <f>'Ethylene Recycling HC'!W191</f>
        <v>0</v>
      </c>
      <c r="X153" s="230">
        <f>'Ethylene Recycling HC'!X191</f>
        <v>0</v>
      </c>
      <c r="Y153" s="230">
        <f>'Ethylene Recycling HC'!Y191</f>
        <v>0</v>
      </c>
      <c r="Z153" s="230">
        <f>'Ethylene Recycling HC'!Z191</f>
        <v>0</v>
      </c>
      <c r="AA153" s="230">
        <f>'Ethylene Recycling HC'!AA191</f>
        <v>0</v>
      </c>
      <c r="AB153" s="230">
        <f>'Ethylene Recycling HC'!AB191</f>
        <v>0</v>
      </c>
      <c r="AC153" s="230">
        <f>'Ethylene Recycling HC'!AC191</f>
        <v>0</v>
      </c>
      <c r="AD153" s="230">
        <f>'Ethylene Recycling HC'!AD191</f>
        <v>0</v>
      </c>
      <c r="AE153" s="230">
        <f>'Ethylene Recycling HC'!AE191</f>
        <v>0</v>
      </c>
      <c r="AF153" s="230">
        <f>'Ethylene Recycling HC'!AF191</f>
        <v>0</v>
      </c>
      <c r="AG153" s="230">
        <f>'Ethylene Recycling HC'!AG191</f>
        <v>0</v>
      </c>
      <c r="AH153" s="245"/>
      <c r="AI153" s="133"/>
      <c r="AJ153" s="211"/>
      <c r="AL153" s="108"/>
      <c r="AM153" s="2"/>
      <c r="AN153" s="2"/>
      <c r="AO153" s="2"/>
      <c r="BC153" s="1"/>
      <c r="BD153" s="2"/>
      <c r="BE153" s="2"/>
      <c r="BF153" s="2"/>
      <c r="BG153" s="2"/>
      <c r="BH153" s="2"/>
      <c r="BI153" s="2"/>
      <c r="BJ153" s="2"/>
      <c r="BK153" s="2"/>
    </row>
    <row r="154" spans="1:63" outlineLevel="1" x14ac:dyDescent="0.2">
      <c r="A154" s="4" t="s">
        <v>474</v>
      </c>
      <c r="C154" s="230">
        <f>'Ethylene Recycling HC'!C192</f>
        <v>0.24896829503062248</v>
      </c>
      <c r="D154" s="230">
        <f>'Ethylene Recycling HC'!D192</f>
        <v>0.26599912002019949</v>
      </c>
      <c r="E154" s="230">
        <f>'Ethylene Recycling HC'!E192</f>
        <v>0.2829502301520721</v>
      </c>
      <c r="F154" s="230">
        <f>'Ethylene Recycling HC'!F192</f>
        <v>0.29970277254593269</v>
      </c>
      <c r="G154" s="230">
        <f>'Ethylene Recycling HC'!G192</f>
        <v>0.31613537555812332</v>
      </c>
      <c r="H154" s="230">
        <f>'Ethylene Recycling HC'!H192</f>
        <v>0.33212560117267204</v>
      </c>
      <c r="I154" s="230">
        <f>'Ethylene Recycling HC'!I192</f>
        <v>0.33753877383519637</v>
      </c>
      <c r="J154" s="230">
        <f>'Ethylene Recycling HC'!J192</f>
        <v>0.34210715522771334</v>
      </c>
      <c r="K154" s="230">
        <f>'Ethylene Recycling HC'!K192</f>
        <v>0.34579613258761543</v>
      </c>
      <c r="L154" s="230">
        <f>'Ethylene Recycling HC'!L192</f>
        <v>0.34857296889369177</v>
      </c>
      <c r="M154" s="230">
        <f>'Ethylene Recycling HC'!M192</f>
        <v>0.35040696686223055</v>
      </c>
      <c r="N154" s="230">
        <f>'Ethylene Recycling HC'!N192</f>
        <v>0.36209164355576506</v>
      </c>
      <c r="O154" s="230">
        <f>'Ethylene Recycling HC'!O192</f>
        <v>0.37156494366293014</v>
      </c>
      <c r="P154" s="230">
        <f>'Ethylene Recycling HC'!P192</f>
        <v>0.37873643443442173</v>
      </c>
      <c r="Q154" s="230">
        <f>'Ethylene Recycling HC'!Q192</f>
        <v>0.38353822569106455</v>
      </c>
      <c r="R154" s="230">
        <f>'Ethylene Recycling HC'!R192</f>
        <v>0.38592598237363696</v>
      </c>
      <c r="S154" s="230">
        <f>'Ethylene Recycling HC'!S192</f>
        <v>0.39190408284668338</v>
      </c>
      <c r="T154" s="230">
        <f>'Ethylene Recycling HC'!T192</f>
        <v>0.39663145392579696</v>
      </c>
      <c r="U154" s="230">
        <f>'Ethylene Recycling HC'!U192</f>
        <v>0.40010323719907342</v>
      </c>
      <c r="V154" s="230">
        <f>'Ethylene Recycling HC'!V192</f>
        <v>0.40231608099380395</v>
      </c>
      <c r="W154" s="230">
        <f>'Ethylene Recycling HC'!W192</f>
        <v>0.4032681698270526</v>
      </c>
      <c r="X154" s="230">
        <f>'Ethylene Recycling HC'!X192</f>
        <v>0.41308423262370014</v>
      </c>
      <c r="Y154" s="230">
        <f>'Ethylene Recycling HC'!Y192</f>
        <v>0.42084149637126989</v>
      </c>
      <c r="Z154" s="230">
        <f>'Ethylene Recycling HC'!Z192</f>
        <v>0.42653866563852028</v>
      </c>
      <c r="AA154" s="230">
        <f>'Ethylene Recycling HC'!AA192</f>
        <v>0.43017695302650116</v>
      </c>
      <c r="AB154" s="230">
        <f>'Ethylene Recycling HC'!AB192</f>
        <v>0.43176012100259997</v>
      </c>
      <c r="AC154" s="230">
        <f>'Ethylene Recycling HC'!AC192</f>
        <v>0.42699708405796571</v>
      </c>
      <c r="AD154" s="230">
        <f>'Ethylene Recycling HC'!AD192</f>
        <v>0.41981385068557675</v>
      </c>
      <c r="AE154" s="230">
        <f>'Ethylene Recycling HC'!AE192</f>
        <v>0.41022724910440556</v>
      </c>
      <c r="AF154" s="230">
        <f>'Ethylene Recycling HC'!AF192</f>
        <v>0.39825724791128253</v>
      </c>
      <c r="AG154" s="230">
        <f>'Ethylene Recycling HC'!AG192</f>
        <v>0.38392699416845327</v>
      </c>
      <c r="AH154" s="245"/>
      <c r="AI154" s="133"/>
      <c r="AJ154" s="211"/>
      <c r="AL154" s="108"/>
      <c r="AM154" s="2"/>
      <c r="AN154" s="2"/>
      <c r="AO154" s="2"/>
      <c r="BC154" s="1"/>
      <c r="BD154" s="2"/>
      <c r="BE154" s="2"/>
      <c r="BF154" s="2"/>
      <c r="BG154" s="2"/>
      <c r="BH154" s="2"/>
      <c r="BI154" s="2"/>
      <c r="BJ154" s="2"/>
      <c r="BK154" s="2"/>
    </row>
    <row r="155" spans="1:63" outlineLevel="1" x14ac:dyDescent="0.2">
      <c r="A155" s="4" t="s">
        <v>248</v>
      </c>
      <c r="C155" s="230">
        <f>'Ethylene Recycling HC'!C193</f>
        <v>4.1507753507003725E-2</v>
      </c>
      <c r="D155" s="230">
        <f>'Ethylene Recycling HC'!D193</f>
        <v>4.4347116188108701E-2</v>
      </c>
      <c r="E155" s="230">
        <f>'Ethylene Recycling HC'!E193</f>
        <v>4.7173188885185645E-2</v>
      </c>
      <c r="F155" s="230">
        <f>'Ethylene Recycling HC'!F193</f>
        <v>4.9966156560907041E-2</v>
      </c>
      <c r="G155" s="230">
        <f>'Ethylene Recycling HC'!G193</f>
        <v>5.2705784252154074E-2</v>
      </c>
      <c r="H155" s="230">
        <f>'Ethylene Recycling HC'!H193</f>
        <v>5.5371659211246482E-2</v>
      </c>
      <c r="I155" s="230">
        <f>'Ethylene Recycling HC'!I193</f>
        <v>5.6274138125436232E-2</v>
      </c>
      <c r="J155" s="230">
        <f>'Ethylene Recycling HC'!J193</f>
        <v>5.7035774255624026E-2</v>
      </c>
      <c r="K155" s="230">
        <f>'Ethylene Recycling HC'!K193</f>
        <v>5.7650796995482936E-2</v>
      </c>
      <c r="L155" s="230">
        <f>'Ethylene Recycling HC'!L193</f>
        <v>5.8113748460478662E-2</v>
      </c>
      <c r="M155" s="230">
        <f>'Ethylene Recycling HC'!M193</f>
        <v>5.841951082914127E-2</v>
      </c>
      <c r="N155" s="230">
        <f>'Ethylene Recycling HC'!N193</f>
        <v>6.0367568833653878E-2</v>
      </c>
      <c r="O155" s="230">
        <f>'Ethylene Recycling HC'!O193</f>
        <v>6.1946948271094759E-2</v>
      </c>
      <c r="P155" s="230">
        <f>'Ethylene Recycling HC'!P193</f>
        <v>6.3142572280907777E-2</v>
      </c>
      <c r="Q155" s="230">
        <f>'Ethylene Recycling HC'!Q193</f>
        <v>6.3943122278040151E-2</v>
      </c>
      <c r="R155" s="230">
        <f>'Ethylene Recycling HC'!R193</f>
        <v>6.434120676427052E-2</v>
      </c>
      <c r="S155" s="230">
        <f>'Ethylene Recycling HC'!S193</f>
        <v>6.5337869896999107E-2</v>
      </c>
      <c r="T155" s="230">
        <f>'Ethylene Recycling HC'!T193</f>
        <v>6.6126012634064674E-2</v>
      </c>
      <c r="U155" s="230">
        <f>'Ethylene Recycling HC'!U193</f>
        <v>6.6704824985730465E-2</v>
      </c>
      <c r="V155" s="230">
        <f>'Ethylene Recycling HC'!V193</f>
        <v>6.7073748164362026E-2</v>
      </c>
      <c r="W155" s="230">
        <f>'Ethylene Recycling HC'!W193</f>
        <v>6.7232479494399033E-2</v>
      </c>
      <c r="X155" s="230">
        <f>'Ethylene Recycling HC'!X193</f>
        <v>6.8869003996132883E-2</v>
      </c>
      <c r="Y155" s="230">
        <f>'Ethylene Recycling HC'!Y193</f>
        <v>7.0162287510338331E-2</v>
      </c>
      <c r="Z155" s="230">
        <f>'Ethylene Recycling HC'!Z193</f>
        <v>7.1112114063970874E-2</v>
      </c>
      <c r="AA155" s="230">
        <f>'Ethylene Recycling HC'!AA193</f>
        <v>7.1718685820705508E-2</v>
      </c>
      <c r="AB155" s="230">
        <f>'Ethylene Recycling HC'!AB193</f>
        <v>7.1982630055468455E-2</v>
      </c>
      <c r="AC155" s="230">
        <f>'Ethylene Recycling HC'!AC193</f>
        <v>7.1188541139776129E-2</v>
      </c>
      <c r="AD155" s="230">
        <f>'Ethylene Recycling HC'!AD193</f>
        <v>6.9990959414891321E-2</v>
      </c>
      <c r="AE155" s="230">
        <f>'Ethylene Recycling HC'!AE193</f>
        <v>6.8392690465215761E-2</v>
      </c>
      <c r="AF155" s="230">
        <f>'Ethylene Recycling HC'!AF193</f>
        <v>6.6397063435912368E-2</v>
      </c>
      <c r="AG155" s="230">
        <f>'Ethylene Recycling HC'!AG193</f>
        <v>6.4007937382825911E-2</v>
      </c>
      <c r="AH155" s="245"/>
      <c r="AI155" s="133"/>
      <c r="AJ155" s="211"/>
      <c r="AL155" s="108"/>
      <c r="AM155" s="2"/>
      <c r="AN155" s="2"/>
      <c r="AO155" s="2"/>
      <c r="BC155" s="1"/>
      <c r="BD155" s="2"/>
      <c r="BE155" s="2"/>
      <c r="BF155" s="2"/>
      <c r="BG155" s="2"/>
      <c r="BH155" s="2"/>
      <c r="BI155" s="2"/>
      <c r="BJ155" s="2"/>
      <c r="BK155" s="2"/>
    </row>
    <row r="156" spans="1:63" outlineLevel="1" x14ac:dyDescent="0.2">
      <c r="C156" s="110"/>
      <c r="D156" s="110"/>
      <c r="E156" s="110"/>
      <c r="F156" s="110"/>
      <c r="G156" s="110"/>
      <c r="H156" s="110"/>
      <c r="I156" s="110"/>
      <c r="J156" s="110"/>
      <c r="K156" s="110"/>
      <c r="L156" s="110"/>
      <c r="M156" s="110"/>
      <c r="N156" s="110"/>
      <c r="O156" s="110"/>
      <c r="P156" s="110"/>
      <c r="Q156" s="110"/>
      <c r="R156" s="110"/>
      <c r="S156" s="110"/>
      <c r="T156" s="110"/>
      <c r="U156" s="110"/>
      <c r="V156" s="110"/>
      <c r="W156" s="110"/>
      <c r="X156" s="110"/>
      <c r="Y156" s="110"/>
      <c r="Z156" s="110"/>
      <c r="AA156" s="110"/>
      <c r="AB156" s="110"/>
      <c r="AC156" s="110"/>
      <c r="AD156" s="110"/>
      <c r="AE156" s="110"/>
      <c r="AF156" s="110"/>
      <c r="AG156" s="110"/>
      <c r="AJ156" s="211"/>
    </row>
    <row r="157" spans="1:63" s="200" customFormat="1" ht="16" thickBot="1" x14ac:dyDescent="0.25">
      <c r="A157" s="200" t="s">
        <v>1347</v>
      </c>
      <c r="B157" s="215"/>
      <c r="C157" s="224">
        <f>C158</f>
        <v>1.6E-2</v>
      </c>
      <c r="D157" s="224">
        <f t="shared" ref="D157:AG157" si="30">D158</f>
        <v>2.3295473975819617E-2</v>
      </c>
      <c r="E157" s="224">
        <f t="shared" si="30"/>
        <v>3.059094795163924E-2</v>
      </c>
      <c r="F157" s="224">
        <f t="shared" si="30"/>
        <v>3.7886421927458863E-2</v>
      </c>
      <c r="G157" s="224">
        <f t="shared" si="30"/>
        <v>4.5181895903278479E-2</v>
      </c>
      <c r="H157" s="224">
        <f t="shared" si="30"/>
        <v>5.2477369879098103E-2</v>
      </c>
      <c r="I157" s="224">
        <f t="shared" si="30"/>
        <v>5.9772843854917726E-2</v>
      </c>
      <c r="J157" s="224">
        <f t="shared" si="30"/>
        <v>6.7068317830737342E-2</v>
      </c>
      <c r="K157" s="224">
        <f t="shared" si="30"/>
        <v>7.4363791806556986E-2</v>
      </c>
      <c r="L157" s="224">
        <f t="shared" si="30"/>
        <v>8.1659265782376589E-2</v>
      </c>
      <c r="M157" s="224">
        <f t="shared" si="30"/>
        <v>8.8954739758196205E-2</v>
      </c>
      <c r="N157" s="224">
        <f t="shared" si="30"/>
        <v>0.10433135413800063</v>
      </c>
      <c r="O157" s="224">
        <f t="shared" si="30"/>
        <v>0.11970796851780505</v>
      </c>
      <c r="P157" s="224">
        <f t="shared" si="30"/>
        <v>0.1350845828976095</v>
      </c>
      <c r="Q157" s="224">
        <f t="shared" si="30"/>
        <v>0.15046119727741392</v>
      </c>
      <c r="R157" s="224">
        <f t="shared" si="30"/>
        <v>0.16583781165721834</v>
      </c>
      <c r="S157" s="224">
        <f t="shared" si="30"/>
        <v>0.18121442603702276</v>
      </c>
      <c r="T157" s="224">
        <f t="shared" si="30"/>
        <v>0.19659104041682718</v>
      </c>
      <c r="U157" s="224">
        <f t="shared" si="30"/>
        <v>0.2119676547966316</v>
      </c>
      <c r="V157" s="224">
        <f t="shared" si="30"/>
        <v>0.22734426917643602</v>
      </c>
      <c r="W157" s="224">
        <f t="shared" si="30"/>
        <v>0.24272088355624047</v>
      </c>
      <c r="X157" s="224">
        <f t="shared" si="30"/>
        <v>0.26844879520061637</v>
      </c>
      <c r="Y157" s="224">
        <f t="shared" si="30"/>
        <v>0.29417670684499236</v>
      </c>
      <c r="Z157" s="224">
        <f t="shared" si="30"/>
        <v>0.3199046184893683</v>
      </c>
      <c r="AA157" s="224">
        <f t="shared" si="30"/>
        <v>0.34563253013374429</v>
      </c>
      <c r="AB157" s="224">
        <f t="shared" si="30"/>
        <v>0.37136044177812022</v>
      </c>
      <c r="AC157" s="224">
        <f t="shared" si="30"/>
        <v>0.39708835342249615</v>
      </c>
      <c r="AD157" s="224">
        <f t="shared" si="30"/>
        <v>0.42281626506687209</v>
      </c>
      <c r="AE157" s="224">
        <f t="shared" si="30"/>
        <v>0.44854417671124808</v>
      </c>
      <c r="AF157" s="224">
        <f t="shared" si="30"/>
        <v>0.47427208835562407</v>
      </c>
      <c r="AG157" s="224">
        <f t="shared" si="30"/>
        <v>0.5</v>
      </c>
      <c r="AJ157" s="231" t="s">
        <v>1312</v>
      </c>
      <c r="AL157" s="217"/>
      <c r="AM157" s="225"/>
      <c r="AN157" s="225"/>
      <c r="AO157" s="225"/>
    </row>
    <row r="158" spans="1:63" ht="17" outlineLevel="1" thickTop="1" x14ac:dyDescent="0.2">
      <c r="A158" t="s">
        <v>1348</v>
      </c>
      <c r="B158" s="54" t="s">
        <v>462</v>
      </c>
      <c r="C158" s="110">
        <f>'Ethylene Recycling HC'!C196*'Ethylene Recycling HC'!C$47/'Ethylene Recycling LC'!C$47</f>
        <v>1.6E-2</v>
      </c>
      <c r="D158" s="110">
        <f>'Ethylene Recycling HC'!D196*'Ethylene Recycling HC'!D$47/'Ethylene Recycling LC'!D$47</f>
        <v>2.3295473975819617E-2</v>
      </c>
      <c r="E158" s="110">
        <f>'Ethylene Recycling HC'!E196*'Ethylene Recycling HC'!E$47/'Ethylene Recycling LC'!E$47</f>
        <v>3.059094795163924E-2</v>
      </c>
      <c r="F158" s="110">
        <f>'Ethylene Recycling HC'!F196*'Ethylene Recycling HC'!F$47/'Ethylene Recycling LC'!F$47</f>
        <v>3.7886421927458863E-2</v>
      </c>
      <c r="G158" s="110">
        <f>'Ethylene Recycling HC'!G196*'Ethylene Recycling HC'!G$47/'Ethylene Recycling LC'!G$47</f>
        <v>4.5181895903278479E-2</v>
      </c>
      <c r="H158" s="110">
        <f>'Ethylene Recycling HC'!H196*'Ethylene Recycling HC'!H$47/'Ethylene Recycling LC'!H$47</f>
        <v>5.2477369879098103E-2</v>
      </c>
      <c r="I158" s="110">
        <f>'Ethylene Recycling HC'!I196*'Ethylene Recycling HC'!I$47/'Ethylene Recycling LC'!I$47</f>
        <v>5.9772843854917726E-2</v>
      </c>
      <c r="J158" s="110">
        <f>'Ethylene Recycling HC'!J196*'Ethylene Recycling HC'!J$47/'Ethylene Recycling LC'!J$47</f>
        <v>6.7068317830737342E-2</v>
      </c>
      <c r="K158" s="110">
        <f>'Ethylene Recycling HC'!K196*'Ethylene Recycling HC'!K$47/'Ethylene Recycling LC'!K$47</f>
        <v>7.4363791806556986E-2</v>
      </c>
      <c r="L158" s="110">
        <f>'Ethylene Recycling HC'!L196*'Ethylene Recycling HC'!L$47/'Ethylene Recycling LC'!L$47</f>
        <v>8.1659265782376589E-2</v>
      </c>
      <c r="M158" s="110">
        <f>'Ethylene Recycling HC'!M196*'Ethylene Recycling HC'!M$47/'Ethylene Recycling LC'!M$47</f>
        <v>8.8954739758196205E-2</v>
      </c>
      <c r="N158" s="110">
        <f>'Ethylene Recycling HC'!N196*'Ethylene Recycling HC'!N$47/'Ethylene Recycling LC'!N$47</f>
        <v>0.10433135413800063</v>
      </c>
      <c r="O158" s="110">
        <f>'Ethylene Recycling HC'!O196*'Ethylene Recycling HC'!O$47/'Ethylene Recycling LC'!O$47</f>
        <v>0.11970796851780505</v>
      </c>
      <c r="P158" s="110">
        <f>'Ethylene Recycling HC'!P196*'Ethylene Recycling HC'!P$47/'Ethylene Recycling LC'!P$47</f>
        <v>0.1350845828976095</v>
      </c>
      <c r="Q158" s="110">
        <f>'Ethylene Recycling HC'!Q196*'Ethylene Recycling HC'!Q$47/'Ethylene Recycling LC'!Q$47</f>
        <v>0.15046119727741392</v>
      </c>
      <c r="R158" s="110">
        <f>'Ethylene Recycling HC'!R196*'Ethylene Recycling HC'!R$47/'Ethylene Recycling LC'!R$47</f>
        <v>0.16583781165721834</v>
      </c>
      <c r="S158" s="110">
        <f>'Ethylene Recycling HC'!S196*'Ethylene Recycling HC'!S$47/'Ethylene Recycling LC'!S$47</f>
        <v>0.18121442603702276</v>
      </c>
      <c r="T158" s="110">
        <f>'Ethylene Recycling HC'!T196*'Ethylene Recycling HC'!T$47/'Ethylene Recycling LC'!T$47</f>
        <v>0.19659104041682718</v>
      </c>
      <c r="U158" s="110">
        <f>'Ethylene Recycling HC'!U196*'Ethylene Recycling HC'!U$47/'Ethylene Recycling LC'!U$47</f>
        <v>0.2119676547966316</v>
      </c>
      <c r="V158" s="110">
        <f>'Ethylene Recycling HC'!V196*'Ethylene Recycling HC'!V$47/'Ethylene Recycling LC'!V$47</f>
        <v>0.22734426917643602</v>
      </c>
      <c r="W158" s="110">
        <f>'Ethylene Recycling HC'!W196*'Ethylene Recycling HC'!W$47/'Ethylene Recycling LC'!W$47</f>
        <v>0.24272088355624047</v>
      </c>
      <c r="X158" s="110">
        <f>'Ethylene Recycling HC'!X196*'Ethylene Recycling HC'!X$47/'Ethylene Recycling LC'!X$47</f>
        <v>0.26844879520061637</v>
      </c>
      <c r="Y158" s="110">
        <f>'Ethylene Recycling HC'!Y196*'Ethylene Recycling HC'!Y$47/'Ethylene Recycling LC'!Y$47</f>
        <v>0.29417670684499236</v>
      </c>
      <c r="Z158" s="110">
        <f>'Ethylene Recycling HC'!Z196*'Ethylene Recycling HC'!Z$47/'Ethylene Recycling LC'!Z$47</f>
        <v>0.3199046184893683</v>
      </c>
      <c r="AA158" s="110">
        <f>'Ethylene Recycling HC'!AA196*'Ethylene Recycling HC'!AA$47/'Ethylene Recycling LC'!AA$47</f>
        <v>0.34563253013374429</v>
      </c>
      <c r="AB158" s="110">
        <f>'Ethylene Recycling HC'!AB196*'Ethylene Recycling HC'!AB$47/'Ethylene Recycling LC'!AB$47</f>
        <v>0.37136044177812022</v>
      </c>
      <c r="AC158" s="110">
        <f>'Ethylene Recycling HC'!AC196*'Ethylene Recycling HC'!AC$47/'Ethylene Recycling LC'!AC$47</f>
        <v>0.39708835342249615</v>
      </c>
      <c r="AD158" s="110">
        <f>'Ethylene Recycling HC'!AD196*'Ethylene Recycling HC'!AD$47/'Ethylene Recycling LC'!AD$47</f>
        <v>0.42281626506687209</v>
      </c>
      <c r="AE158" s="110">
        <f>'Ethylene Recycling HC'!AE196*'Ethylene Recycling HC'!AE$47/'Ethylene Recycling LC'!AE$47</f>
        <v>0.44854417671124808</v>
      </c>
      <c r="AF158" s="110">
        <f>'Ethylene Recycling HC'!AF196*'Ethylene Recycling HC'!AF$47/'Ethylene Recycling LC'!AF$47</f>
        <v>0.47427208835562407</v>
      </c>
      <c r="AG158" s="110">
        <f>'Ethylene Recycling HC'!AG196*'Ethylene Recycling HC'!AG$47/'Ethylene Recycling LC'!AG$47</f>
        <v>0.5</v>
      </c>
      <c r="AI158" s="133" t="s">
        <v>1314</v>
      </c>
      <c r="AJ158" s="211" t="s">
        <v>1349</v>
      </c>
    </row>
    <row r="159" spans="1:63" outlineLevel="1" x14ac:dyDescent="0.2">
      <c r="C159" s="113"/>
      <c r="D159" s="113"/>
      <c r="E159" s="113"/>
      <c r="F159" s="113"/>
      <c r="G159" s="113"/>
      <c r="H159" s="113"/>
      <c r="I159" s="113"/>
      <c r="J159" s="113"/>
      <c r="K159" s="113"/>
      <c r="L159" s="113"/>
      <c r="M159" s="113"/>
      <c r="N159" s="113"/>
      <c r="O159" s="113"/>
      <c r="P159" s="113"/>
      <c r="Q159" s="113"/>
      <c r="R159" s="113"/>
      <c r="S159" s="113"/>
      <c r="T159" s="113"/>
      <c r="U159" s="113"/>
      <c r="V159" s="113"/>
      <c r="W159" s="113"/>
      <c r="X159" s="113"/>
      <c r="Y159" s="113"/>
      <c r="Z159" s="113"/>
      <c r="AA159" s="113"/>
      <c r="AB159" s="113"/>
      <c r="AC159" s="113"/>
      <c r="AD159" s="113"/>
      <c r="AE159" s="113"/>
      <c r="AF159" s="113"/>
      <c r="AG159" s="113"/>
      <c r="AJ159" s="211"/>
    </row>
    <row r="160" spans="1:63" ht="16" outlineLevel="1" x14ac:dyDescent="0.2">
      <c r="A160" t="s">
        <v>1350</v>
      </c>
      <c r="B160" s="54" t="s">
        <v>462</v>
      </c>
      <c r="C160" s="110">
        <f>'Ethylene Recycling HC'!C199*'Ethylene Recycling HC'!C$47/'Ethylene Recycling LC'!C$47</f>
        <v>1.9456662463384362E-2</v>
      </c>
      <c r="D160" s="110">
        <f>'Ethylene Recycling HC'!D199*'Ethylene Recycling HC'!D$47/'Ethylene Recycling LC'!D$47</f>
        <v>2.8238152895968031E-2</v>
      </c>
      <c r="E160" s="110">
        <f>'Ethylene Recycling HC'!E199*'Ethylene Recycling HC'!E$47/'Ethylene Recycling LC'!E$47</f>
        <v>3.6963204859037112E-2</v>
      </c>
      <c r="F160" s="110">
        <f>'Ethylene Recycling HC'!F199*'Ethylene Recycling HC'!F$47/'Ethylene Recycling LC'!F$47</f>
        <v>4.5631818352591599E-2</v>
      </c>
      <c r="G160" s="110">
        <f>'Ethylene Recycling HC'!G199*'Ethylene Recycling HC'!G$47/'Ethylene Recycling LC'!G$47</f>
        <v>5.4243993376631508E-2</v>
      </c>
      <c r="H160" s="110">
        <f>'Ethylene Recycling HC'!H199*'Ethylene Recycling HC'!H$47/'Ethylene Recycling LC'!H$47</f>
        <v>6.2799729931156817E-2</v>
      </c>
      <c r="I160" s="110">
        <f>'Ethylene Recycling HC'!I199*'Ethylene Recycling HC'!I$47/'Ethylene Recycling LC'!I$47</f>
        <v>7.1299028016167554E-2</v>
      </c>
      <c r="J160" s="110">
        <f>'Ethylene Recycling HC'!J199*'Ethylene Recycling HC'!J$47/'Ethylene Recycling LC'!J$47</f>
        <v>7.9741887631663677E-2</v>
      </c>
      <c r="K160" s="110">
        <f>'Ethylene Recycling HC'!K199*'Ethylene Recycling HC'!K$47/'Ethylene Recycling LC'!K$47</f>
        <v>8.8128308777645242E-2</v>
      </c>
      <c r="L160" s="110">
        <f>'Ethylene Recycling HC'!L199*'Ethylene Recycling HC'!L$47/'Ethylene Recycling LC'!L$47</f>
        <v>9.645829145411218E-2</v>
      </c>
      <c r="M160" s="110">
        <f>'Ethylene Recycling HC'!M199*'Ethylene Recycling HC'!M$47/'Ethylene Recycling LC'!M$47</f>
        <v>0.10473183566106455</v>
      </c>
      <c r="N160" s="110">
        <f>'Ethylene Recycling HC'!N199*'Ethylene Recycling HC'!N$47/'Ethylene Recycling LC'!N$47</f>
        <v>0.12243210219900837</v>
      </c>
      <c r="O160" s="110">
        <f>'Ethylene Recycling HC'!O199*'Ethylene Recycling HC'!O$47/'Ethylene Recycling LC'!O$47</f>
        <v>0.1400134138088984</v>
      </c>
      <c r="P160" s="110">
        <f>'Ethylene Recycling HC'!P199*'Ethylene Recycling HC'!P$47/'Ethylene Recycling LC'!P$47</f>
        <v>0.15747577049073461</v>
      </c>
      <c r="Q160" s="110">
        <f>'Ethylene Recycling HC'!Q199*'Ethylene Recycling HC'!Q$47/'Ethylene Recycling LC'!Q$47</f>
        <v>0.17481917224451696</v>
      </c>
      <c r="R160" s="110">
        <f>'Ethylene Recycling HC'!R199*'Ethylene Recycling HC'!R$47/'Ethylene Recycling LC'!R$47</f>
        <v>0.19204361907024547</v>
      </c>
      <c r="S160" s="110">
        <f>'Ethylene Recycling HC'!S199*'Ethylene Recycling HC'!S$47/'Ethylene Recycling LC'!S$47</f>
        <v>0.20914911096792019</v>
      </c>
      <c r="T160" s="110">
        <f>'Ethylene Recycling HC'!T199*'Ethylene Recycling HC'!T$47/'Ethylene Recycling LC'!T$47</f>
        <v>0.22613564793754107</v>
      </c>
      <c r="U160" s="110">
        <f>'Ethylene Recycling HC'!U199*'Ethylene Recycling HC'!U$47/'Ethylene Recycling LC'!U$47</f>
        <v>0.24300322997910812</v>
      </c>
      <c r="V160" s="110">
        <f>'Ethylene Recycling HC'!V199*'Ethylene Recycling HC'!V$47/'Ethylene Recycling LC'!V$47</f>
        <v>0.25975185709262133</v>
      </c>
      <c r="W160" s="110">
        <f>'Ethylene Recycling HC'!W199*'Ethylene Recycling HC'!W$47/'Ethylene Recycling LC'!W$47</f>
        <v>0.27638152927808074</v>
      </c>
      <c r="X160" s="110">
        <f>'Ethylene Recycling HC'!X199*'Ethylene Recycling HC'!X$47/'Ethylene Recycling LC'!X$47</f>
        <v>0.30463902724673614</v>
      </c>
      <c r="Y160" s="110">
        <f>'Ethylene Recycling HC'!Y199*'Ethylene Recycling HC'!Y$47/'Ethylene Recycling LC'!Y$47</f>
        <v>0.33269749168284424</v>
      </c>
      <c r="Z160" s="110">
        <f>'Ethylene Recycling HC'!Z199*'Ethylene Recycling HC'!Z$47/'Ethylene Recycling LC'!Z$47</f>
        <v>0.36055692258640482</v>
      </c>
      <c r="AA160" s="110">
        <f>'Ethylene Recycling HC'!AA199*'Ethylene Recycling HC'!AA$47/'Ethylene Recycling LC'!AA$47</f>
        <v>0.38821731995741809</v>
      </c>
      <c r="AB160" s="110">
        <f>'Ethylene Recycling HC'!AB199*'Ethylene Recycling HC'!AB$47/'Ethylene Recycling LC'!AB$47</f>
        <v>0.4156786837958838</v>
      </c>
      <c r="AC160" s="110">
        <f>'Ethylene Recycling HC'!AC199*'Ethylene Recycling HC'!AC$47/'Ethylene Recycling LC'!AC$47</f>
        <v>0.44294101410180214</v>
      </c>
      <c r="AD160" s="110">
        <f>'Ethylene Recycling HC'!AD199*'Ethylene Recycling HC'!AD$47/'Ethylene Recycling LC'!AD$47</f>
        <v>0.47000431087517303</v>
      </c>
      <c r="AE160" s="110">
        <f>'Ethylene Recycling HC'!AE199*'Ethylene Recycling HC'!AE$47/'Ethylene Recycling LC'!AE$47</f>
        <v>0.49686857411599661</v>
      </c>
      <c r="AF160" s="110">
        <f>'Ethylene Recycling HC'!AF199*'Ethylene Recycling HC'!AF$47/'Ethylene Recycling LC'!AF$47</f>
        <v>0.52353380382427273</v>
      </c>
      <c r="AG160" s="110">
        <f>'Ethylene Recycling HC'!AG199*'Ethylene Recycling HC'!AG$47/'Ethylene Recycling LC'!AG$47</f>
        <v>0.55000000000000004</v>
      </c>
      <c r="AI160" s="133" t="s">
        <v>1314</v>
      </c>
      <c r="AJ160" s="211" t="s">
        <v>1349</v>
      </c>
    </row>
    <row r="161" spans="1:63" outlineLevel="1" x14ac:dyDescent="0.2">
      <c r="C161" s="110"/>
      <c r="D161" s="110"/>
      <c r="E161" s="110"/>
      <c r="F161" s="110"/>
      <c r="G161" s="110"/>
      <c r="H161" s="110"/>
      <c r="I161" s="110"/>
      <c r="J161" s="110"/>
      <c r="K161" s="110"/>
      <c r="L161" s="110"/>
      <c r="M161" s="110"/>
      <c r="N161" s="110"/>
      <c r="O161" s="110"/>
      <c r="P161" s="110"/>
      <c r="Q161" s="110"/>
      <c r="R161" s="110"/>
      <c r="S161" s="110"/>
      <c r="T161" s="110"/>
      <c r="U161" s="110"/>
      <c r="V161" s="110"/>
      <c r="W161" s="110"/>
      <c r="X161" s="110"/>
      <c r="Y161" s="110"/>
      <c r="Z161" s="110"/>
      <c r="AA161" s="110"/>
      <c r="AB161" s="110"/>
      <c r="AC161" s="110"/>
      <c r="AD161" s="110"/>
      <c r="AE161" s="110"/>
      <c r="AF161" s="110"/>
      <c r="AG161" s="110"/>
      <c r="AI161" s="133"/>
      <c r="AJ161" s="211"/>
    </row>
    <row r="162" spans="1:63" s="1" customFormat="1" outlineLevel="1" x14ac:dyDescent="0.2">
      <c r="A162" s="1" t="s">
        <v>228</v>
      </c>
      <c r="B162" s="65"/>
      <c r="C162" s="300">
        <f>'Ethylene Recycling HC'!C201</f>
        <v>0.11192716725632186</v>
      </c>
      <c r="D162" s="300">
        <f>'Ethylene Recycling HC'!D201</f>
        <v>0.16788928069684539</v>
      </c>
      <c r="E162" s="300">
        <f>'Ethylene Recycling HC'!E201</f>
        <v>0.22653695319615003</v>
      </c>
      <c r="F162" s="300">
        <f>'Ethylene Recycling HC'!F201</f>
        <v>0.28753052219178854</v>
      </c>
      <c r="G162" s="300">
        <f>'Ethylene Recycling HC'!G201</f>
        <v>0.35049298007661572</v>
      </c>
      <c r="H162" s="300">
        <f>'Ethylene Recycling HC'!H201</f>
        <v>0.41501372159137973</v>
      </c>
      <c r="I162" s="300">
        <f>'Ethylene Recycling HC'!I201</f>
        <v>0.48168991855239918</v>
      </c>
      <c r="J162" s="300">
        <f>'Ethylene Recycling HC'!J201</f>
        <v>0.55049292627817148</v>
      </c>
      <c r="K162" s="300">
        <f>'Ethylene Recycling HC'!K201</f>
        <v>0.62138923278154179</v>
      </c>
      <c r="L162" s="300">
        <f>'Ethylene Recycling HC'!L201</f>
        <v>0.69434041014349734</v>
      </c>
      <c r="M162" s="300">
        <f>'Ethylene Recycling HC'!M201</f>
        <v>0.76930307884797655</v>
      </c>
      <c r="N162" s="300">
        <f>'Ethylene Recycling HC'!N201</f>
        <v>0.91596558780270521</v>
      </c>
      <c r="O162" s="300">
        <f>'Ethylene Recycling HC'!O201</f>
        <v>1.0648688463429934</v>
      </c>
      <c r="P162" s="300">
        <f>'Ethylene Recycling HC'!P201</f>
        <v>1.2152305484579735</v>
      </c>
      <c r="Q162" s="300">
        <f>'Ethylene Recycling HC'!Q201</f>
        <v>1.3662387142532544</v>
      </c>
      <c r="R162" s="300">
        <f>'Ethylene Recycling HC'!R201</f>
        <v>1.5170588376963006</v>
      </c>
      <c r="S162" s="300">
        <f>'Ethylene Recycling HC'!S201</f>
        <v>1.6698445401110702</v>
      </c>
      <c r="T162" s="300">
        <f>'Ethylene Recycling HC'!T201</f>
        <v>1.8245633567027792</v>
      </c>
      <c r="U162" s="300">
        <f>'Ethylene Recycling HC'!U201</f>
        <v>1.9811814717840117</v>
      </c>
      <c r="V162" s="300">
        <f>'Ethylene Recycling HC'!V201</f>
        <v>2.139663723799571</v>
      </c>
      <c r="W162" s="300">
        <f>'Ethylene Recycling HC'!W201</f>
        <v>2.2999736114087423</v>
      </c>
      <c r="X162" s="300">
        <f>'Ethylene Recycling HC'!X201</f>
        <v>2.5608457904780475</v>
      </c>
      <c r="Y162" s="300">
        <f>'Ethylene Recycling HC'!Y201</f>
        <v>2.8248052396854488</v>
      </c>
      <c r="Z162" s="300">
        <f>'Ethylene Recycling HC'!Z201</f>
        <v>3.091796771580309</v>
      </c>
      <c r="AA162" s="300">
        <f>'Ethylene Recycling HC'!AA201</f>
        <v>3.3617632094944261</v>
      </c>
      <c r="AB162" s="300">
        <f>'Ethylene Recycling HC'!AB201</f>
        <v>3.6346453981302598</v>
      </c>
      <c r="AC162" s="300">
        <f>'Ethylene Recycling HC'!AC201</f>
        <v>3.9104191852796957</v>
      </c>
      <c r="AD162" s="300">
        <f>'Ethylene Recycling HC'!AD201</f>
        <v>4.1890294493019091</v>
      </c>
      <c r="AE162" s="300">
        <f>'Ethylene Recycling HC'!AE201</f>
        <v>4.4704193006390991</v>
      </c>
      <c r="AF162" s="300">
        <f>'Ethylene Recycling HC'!AF201</f>
        <v>4.7545300926341598</v>
      </c>
      <c r="AG162" s="300">
        <f>'Ethylene Recycling HC'!AG201</f>
        <v>5.0413014335433415</v>
      </c>
      <c r="AH162" s="422"/>
      <c r="AI162" s="423"/>
      <c r="AJ162" s="424"/>
      <c r="AL162" s="221"/>
      <c r="AM162" s="124"/>
      <c r="AN162" s="124"/>
      <c r="AO162" s="124"/>
      <c r="BD162" s="124"/>
      <c r="BE162" s="124"/>
      <c r="BF162" s="124"/>
      <c r="BG162" s="124"/>
      <c r="BH162" s="124"/>
      <c r="BI162" s="124"/>
      <c r="BJ162" s="124"/>
      <c r="BK162" s="124"/>
    </row>
    <row r="163" spans="1:63" outlineLevel="1" x14ac:dyDescent="0.2">
      <c r="A163" s="4" t="s">
        <v>258</v>
      </c>
      <c r="C163" s="230">
        <f>'Ethylene Recycling HC'!C202</f>
        <v>3.9544314164516217E-2</v>
      </c>
      <c r="D163" s="230">
        <f>'Ethylene Recycling HC'!D202</f>
        <v>6.0178873848007311E-2</v>
      </c>
      <c r="E163" s="230">
        <f>'Ethylene Recycling HC'!E202</f>
        <v>8.2365130145039142E-2</v>
      </c>
      <c r="F163" s="230">
        <f>'Ethylene Recycling HC'!F202</f>
        <v>0.1060192514323469</v>
      </c>
      <c r="G163" s="230">
        <f>'Ethylene Recycling HC'!G202</f>
        <v>0.13103646091656423</v>
      </c>
      <c r="H163" s="230">
        <f>'Ethylene Recycling HC'!H202</f>
        <v>0.15729149717219354</v>
      </c>
      <c r="I163" s="230">
        <f>'Ethylene Recycling HC'!I202</f>
        <v>0.18503778747332855</v>
      </c>
      <c r="J163" s="230">
        <f>'Ethylene Recycling HC'!J202</f>
        <v>0.21429741694942006</v>
      </c>
      <c r="K163" s="230">
        <f>'Ethylene Recycling HC'!K202</f>
        <v>0.24508996203958433</v>
      </c>
      <c r="L163" s="230">
        <f>'Ethylene Recycling HC'!L202</f>
        <v>0.27743234597782879</v>
      </c>
      <c r="M163" s="230">
        <f>'Ethylene Recycling HC'!M202</f>
        <v>0.31133869802404746</v>
      </c>
      <c r="N163" s="230">
        <f>'Ethylene Recycling HC'!N202</f>
        <v>0.3754012530688024</v>
      </c>
      <c r="O163" s="230">
        <f>'Ethylene Recycling HC'!O202</f>
        <v>0.44190131881731431</v>
      </c>
      <c r="P163" s="230">
        <f>'Ethylene Recycling HC'!P202</f>
        <v>0.51054478270285408</v>
      </c>
      <c r="Q163" s="230">
        <f>'Ethylene Recycling HC'!Q202</f>
        <v>0.58100882932287845</v>
      </c>
      <c r="R163" s="230">
        <f>'Ethylene Recycling HC'!R202</f>
        <v>0.65294425424539326</v>
      </c>
      <c r="S163" s="230">
        <f>'Ethylene Recycling HC'!S202</f>
        <v>0.72728614883982257</v>
      </c>
      <c r="T163" s="230">
        <f>'Ethylene Recycling HC'!T202</f>
        <v>0.80405051469943178</v>
      </c>
      <c r="U163" s="230">
        <f>'Ethylene Recycling HC'!U202</f>
        <v>0.88325208370748898</v>
      </c>
      <c r="V163" s="230">
        <f>'Ethylene Recycling HC'!V202</f>
        <v>0.96490428558649699</v>
      </c>
      <c r="W163" s="230">
        <f>'Ethylene Recycling HC'!W202</f>
        <v>1.0490192160846719</v>
      </c>
      <c r="X163" s="230">
        <f>'Ethylene Recycling HC'!X202</f>
        <v>1.1811654658316526</v>
      </c>
      <c r="Y163" s="230">
        <f>'Ethylene Recycling HC'!Y202</f>
        <v>1.3174332335003476</v>
      </c>
      <c r="Z163" s="230">
        <f>'Ethylene Recycling HC'!Z202</f>
        <v>1.4578441012148891</v>
      </c>
      <c r="AA163" s="230">
        <f>'Ethylene Recycling HC'!AA202</f>
        <v>1.6024175683032373</v>
      </c>
      <c r="AB163" s="230">
        <f>'Ethylene Recycling HC'!AB202</f>
        <v>1.7511710052774028</v>
      </c>
      <c r="AC163" s="230">
        <f>'Ethylene Recycling HC'!AC202</f>
        <v>1.9041376108444721</v>
      </c>
      <c r="AD163" s="230">
        <f>'Ethylene Recycling HC'!AD202</f>
        <v>2.0613348477407349</v>
      </c>
      <c r="AE163" s="230">
        <f>'Ethylene Recycling HC'!AE202</f>
        <v>2.2227781663972621</v>
      </c>
      <c r="AF163" s="230">
        <f>'Ethylene Recycling HC'!AF202</f>
        <v>2.3884809649403151</v>
      </c>
      <c r="AG163" s="230">
        <f>'Ethylene Recycling HC'!AG202</f>
        <v>2.5584545501318146</v>
      </c>
      <c r="AH163" s="245"/>
      <c r="AI163" s="133"/>
      <c r="AJ163" s="211"/>
      <c r="AL163" s="108"/>
      <c r="AM163" s="2"/>
      <c r="AN163" s="2"/>
      <c r="AO163" s="2"/>
      <c r="BC163" s="1"/>
      <c r="BD163" s="2"/>
      <c r="BE163" s="2"/>
      <c r="BF163" s="2"/>
      <c r="BG163" s="2"/>
      <c r="BH163" s="2"/>
      <c r="BI163" s="2"/>
      <c r="BJ163" s="2"/>
      <c r="BK163" s="2"/>
    </row>
    <row r="164" spans="1:63" outlineLevel="1" x14ac:dyDescent="0.2">
      <c r="A164" s="4" t="s">
        <v>478</v>
      </c>
      <c r="C164" s="230">
        <f>'Ethylene Recycling HC'!C203</f>
        <v>2.0434829407324192E-3</v>
      </c>
      <c r="D164" s="230">
        <f>'Ethylene Recycling HC'!D203</f>
        <v>3.3446143926125515E-3</v>
      </c>
      <c r="E164" s="230">
        <f>'Ethylene Recycling HC'!E203</f>
        <v>4.8899905133254137E-3</v>
      </c>
      <c r="F164" s="230">
        <f>'Ethylene Recycling HC'!F203</f>
        <v>6.6851227683696769E-3</v>
      </c>
      <c r="G164" s="230">
        <f>'Ethylene Recycling HC'!G203</f>
        <v>8.732331001899761E-3</v>
      </c>
      <c r="H164" s="230">
        <f>'Ethylene Recycling HC'!H203</f>
        <v>1.1030532272277063E-2</v>
      </c>
      <c r="I164" s="230">
        <f>'Ethylene Recycling HC'!I203</f>
        <v>1.3604372826584733E-2</v>
      </c>
      <c r="J164" s="230">
        <f>'Ethylene Recycling HC'!J203</f>
        <v>1.6463757902864553E-2</v>
      </c>
      <c r="K164" s="230">
        <f>'Ethylene Recycling HC'!K203</f>
        <v>1.961824837808003E-2</v>
      </c>
      <c r="L164" s="230">
        <f>'Ethylene Recycling HC'!L203</f>
        <v>2.3077018648886796E-2</v>
      </c>
      <c r="M164" s="230">
        <f>'Ethylene Recycling HC'!M203</f>
        <v>2.6848814479175472E-2</v>
      </c>
      <c r="N164" s="230">
        <f>'Ethylene Recycling HC'!N203</f>
        <v>3.3491796563460775E-2</v>
      </c>
      <c r="O164" s="230">
        <f>'Ethylene Recycling HC'!O203</f>
        <v>4.0708618275816885E-2</v>
      </c>
      <c r="P164" s="230">
        <f>'Ethylene Recycling HC'!P203</f>
        <v>4.8479258825989982E-2</v>
      </c>
      <c r="Q164" s="230">
        <f>'Ethylene Recycling HC'!Q203</f>
        <v>5.6777256312632876E-2</v>
      </c>
      <c r="R164" s="230">
        <f>'Ethylene Recycling HC'!R203</f>
        <v>6.5569769730509972E-2</v>
      </c>
      <c r="S164" s="230">
        <f>'Ethylene Recycling HC'!S203</f>
        <v>7.4952527506399524E-2</v>
      </c>
      <c r="T164" s="230">
        <f>'Ethylene Recycling HC'!T203</f>
        <v>8.4933832290195035E-2</v>
      </c>
      <c r="U164" s="230">
        <f>'Ethylene Recycling HC'!U203</f>
        <v>9.5521705475534707E-2</v>
      </c>
      <c r="V164" s="230">
        <f>'Ethylene Recycling HC'!V203</f>
        <v>0.10672387620903458</v>
      </c>
      <c r="W164" s="230">
        <f>'Ethylene Recycling HC'!W203</f>
        <v>0.11854777050420083</v>
      </c>
      <c r="X164" s="230">
        <f>'Ethylene Recycling HC'!X203</f>
        <v>0.13625592710824422</v>
      </c>
      <c r="Y164" s="230">
        <f>'Ethylene Recycling HC'!Y203</f>
        <v>0.15500182250022174</v>
      </c>
      <c r="Z164" s="230">
        <f>'Ethylene Recycling HC'!Z203</f>
        <v>0.17479775096268077</v>
      </c>
      <c r="AA164" s="230">
        <f>'Ethylene Recycling HC'!AA203</f>
        <v>0.19565552361299279</v>
      </c>
      <c r="AB164" s="230">
        <f>'Ethylene Recycling HC'!AB203</f>
        <v>0.21758645248401653</v>
      </c>
      <c r="AC164" s="230">
        <f>'Ethylene Recycling HC'!AC203</f>
        <v>0.24060360950176984</v>
      </c>
      <c r="AD164" s="230">
        <f>'Ethylene Recycling HC'!AD203</f>
        <v>0.26471794875106608</v>
      </c>
      <c r="AE164" s="230">
        <f>'Ethylene Recycling HC'!AE203</f>
        <v>0.28993994270008161</v>
      </c>
      <c r="AF164" s="230">
        <f>'Ethylene Recycling HC'!AF203</f>
        <v>0.3162795682083141</v>
      </c>
      <c r="AG164" s="230">
        <f>'Ethylene Recycling HC'!AG203</f>
        <v>0.34374629272404422</v>
      </c>
      <c r="AH164" s="245"/>
      <c r="AI164" s="133"/>
      <c r="AJ164" s="211"/>
      <c r="AL164" s="108"/>
      <c r="AM164" s="2"/>
      <c r="AN164" s="2"/>
      <c r="AO164" s="2"/>
      <c r="BC164" s="1"/>
      <c r="BD164" s="2"/>
      <c r="BE164" s="2"/>
      <c r="BF164" s="2"/>
      <c r="BG164" s="2"/>
      <c r="BH164" s="2"/>
      <c r="BI164" s="2"/>
      <c r="BJ164" s="2"/>
      <c r="BK164" s="2"/>
    </row>
    <row r="165" spans="1:63" outlineLevel="1" x14ac:dyDescent="0.2">
      <c r="A165" s="4" t="s">
        <v>480</v>
      </c>
      <c r="C165" s="230">
        <f>'Ethylene Recycling HC'!C204</f>
        <v>7.0182032031055247E-2</v>
      </c>
      <c r="D165" s="230">
        <f>'Ethylene Recycling HC'!D204</f>
        <v>0.104105380084316</v>
      </c>
      <c r="E165" s="230">
        <f>'Ethylene Recycling HC'!E204</f>
        <v>0.13889751871484449</v>
      </c>
      <c r="F165" s="230">
        <f>'Ethylene Recycling HC'!F204</f>
        <v>0.17429655986903525</v>
      </c>
      <c r="G165" s="230">
        <f>'Ethylene Recycling HC'!G204</f>
        <v>0.21002767896976768</v>
      </c>
      <c r="H165" s="230">
        <f>'Ethylene Recycling HC'!H204</f>
        <v>0.24580663208934356</v>
      </c>
      <c r="I165" s="230">
        <f>'Ethylene Recycling HC'!I204</f>
        <v>0.28195047756027763</v>
      </c>
      <c r="J165" s="230">
        <f>'Ethylene Recycling HC'!J204</f>
        <v>0.31839770968825315</v>
      </c>
      <c r="K165" s="230">
        <f>'Ethylene Recycling HC'!K204</f>
        <v>0.35508483768465948</v>
      </c>
      <c r="L165" s="230">
        <f>'Ethylene Recycling HC'!L204</f>
        <v>0.39194652734434193</v>
      </c>
      <c r="M165" s="230">
        <f>'Ethylene Recycling HC'!M204</f>
        <v>0.42891575197717613</v>
      </c>
      <c r="N165" s="230">
        <f>'Ethylene Recycling HC'!N204</f>
        <v>0.50432018341223406</v>
      </c>
      <c r="O165" s="230">
        <f>'Ethylene Recycling HC'!O204</f>
        <v>0.57890431244924878</v>
      </c>
      <c r="P165" s="230">
        <f>'Ethylene Recycling HC'!P204</f>
        <v>0.65220156735751633</v>
      </c>
      <c r="Q165" s="230">
        <f>'Ethylene Recycling HC'!Q204</f>
        <v>0.72375140349505085</v>
      </c>
      <c r="R165" s="230">
        <f>'Ethylene Recycling HC'!R204</f>
        <v>0.79310407117541348</v>
      </c>
      <c r="S165" s="230">
        <f>'Ethylene Recycling HC'!S204</f>
        <v>0.8613744171556692</v>
      </c>
      <c r="T165" s="230">
        <f>'Ethylene Recycling HC'!T204</f>
        <v>0.92850494101751802</v>
      </c>
      <c r="U165" s="230">
        <f>'Ethylene Recycling HC'!U204</f>
        <v>0.9944383667288077</v>
      </c>
      <c r="V165" s="230">
        <f>'Ethylene Recycling HC'!V204</f>
        <v>1.0591176920709213</v>
      </c>
      <c r="W165" s="230">
        <f>'Ethylene Recycling HC'!W204</f>
        <v>1.1224862383727057</v>
      </c>
      <c r="X165" s="230">
        <f>'Ethylene Recycling HC'!X204</f>
        <v>1.2320065129365607</v>
      </c>
      <c r="Y165" s="230">
        <f>'Ethylene Recycling HC'!Y204</f>
        <v>1.3393647374028637</v>
      </c>
      <c r="Z165" s="230">
        <f>'Ethylene Recycling HC'!Z204</f>
        <v>1.4444707635659131</v>
      </c>
      <c r="AA165" s="230">
        <f>'Ethylene Recycling HC'!AA204</f>
        <v>1.5472350617925212</v>
      </c>
      <c r="AB165" s="230">
        <f>'Ethylene Recycling HC'!AB204</f>
        <v>1.6475687949419215</v>
      </c>
      <c r="AC165" s="230">
        <f>'Ethylene Recycling HC'!AC204</f>
        <v>1.7454003937644942</v>
      </c>
      <c r="AD165" s="230">
        <f>'Ethylene Recycling HC'!AD204</f>
        <v>1.8406453525295972</v>
      </c>
      <c r="AE165" s="230">
        <f>'Ethylene Recycling HC'!AE204</f>
        <v>1.9332199332467705</v>
      </c>
      <c r="AF165" s="230">
        <f>'Ethylene Recycling HC'!AF204</f>
        <v>2.0230412316993034</v>
      </c>
      <c r="AG165" s="230">
        <f>'Ethylene Recycling HC'!AG204</f>
        <v>2.1100272435268934</v>
      </c>
      <c r="AH165" s="245"/>
      <c r="AI165" s="133"/>
      <c r="AJ165" s="211"/>
      <c r="AL165" s="108"/>
      <c r="AM165" s="2"/>
      <c r="AN165" s="2"/>
      <c r="AO165" s="2"/>
      <c r="BC165" s="1"/>
      <c r="BD165" s="2"/>
      <c r="BE165" s="2"/>
      <c r="BF165" s="2"/>
      <c r="BG165" s="2"/>
      <c r="BH165" s="2"/>
      <c r="BI165" s="2"/>
      <c r="BJ165" s="2"/>
      <c r="BK165" s="2"/>
    </row>
    <row r="166" spans="1:63" outlineLevel="1" x14ac:dyDescent="0.2">
      <c r="A166" s="4" t="s">
        <v>474</v>
      </c>
      <c r="C166" s="230">
        <f>'Ethylene Recycling HC'!C205</f>
        <v>0</v>
      </c>
      <c r="D166" s="230">
        <f>'Ethylene Recycling HC'!D205</f>
        <v>0</v>
      </c>
      <c r="E166" s="230">
        <f>'Ethylene Recycling HC'!E205</f>
        <v>0</v>
      </c>
      <c r="F166" s="230">
        <f>'Ethylene Recycling HC'!F205</f>
        <v>0</v>
      </c>
      <c r="G166" s="230">
        <f>'Ethylene Recycling HC'!G205</f>
        <v>0</v>
      </c>
      <c r="H166" s="230">
        <f>'Ethylene Recycling HC'!H205</f>
        <v>0</v>
      </c>
      <c r="I166" s="230">
        <f>'Ethylene Recycling HC'!I205</f>
        <v>0</v>
      </c>
      <c r="J166" s="230">
        <f>'Ethylene Recycling HC'!J205</f>
        <v>0</v>
      </c>
      <c r="K166" s="230">
        <f>'Ethylene Recycling HC'!K205</f>
        <v>0</v>
      </c>
      <c r="L166" s="230">
        <f>'Ethylene Recycling HC'!L205</f>
        <v>0</v>
      </c>
      <c r="M166" s="230">
        <f>'Ethylene Recycling HC'!M205</f>
        <v>0</v>
      </c>
      <c r="N166" s="230">
        <f>'Ethylene Recycling HC'!N205</f>
        <v>0</v>
      </c>
      <c r="O166" s="230">
        <f>'Ethylene Recycling HC'!O205</f>
        <v>0</v>
      </c>
      <c r="P166" s="230">
        <f>'Ethylene Recycling HC'!P205</f>
        <v>0</v>
      </c>
      <c r="Q166" s="230">
        <f>'Ethylene Recycling HC'!Q205</f>
        <v>0</v>
      </c>
      <c r="R166" s="230">
        <f>'Ethylene Recycling HC'!R205</f>
        <v>0</v>
      </c>
      <c r="S166" s="230">
        <f>'Ethylene Recycling HC'!S205</f>
        <v>0</v>
      </c>
      <c r="T166" s="230">
        <f>'Ethylene Recycling HC'!T205</f>
        <v>0</v>
      </c>
      <c r="U166" s="230">
        <f>'Ethylene Recycling HC'!U205</f>
        <v>0</v>
      </c>
      <c r="V166" s="230">
        <f>'Ethylene Recycling HC'!V205</f>
        <v>0</v>
      </c>
      <c r="W166" s="230">
        <f>'Ethylene Recycling HC'!W205</f>
        <v>0</v>
      </c>
      <c r="X166" s="230">
        <f>'Ethylene Recycling HC'!X205</f>
        <v>0</v>
      </c>
      <c r="Y166" s="230">
        <f>'Ethylene Recycling HC'!Y205</f>
        <v>0</v>
      </c>
      <c r="Z166" s="230">
        <f>'Ethylene Recycling HC'!Z205</f>
        <v>0</v>
      </c>
      <c r="AA166" s="230">
        <f>'Ethylene Recycling HC'!AA205</f>
        <v>0</v>
      </c>
      <c r="AB166" s="230">
        <f>'Ethylene Recycling HC'!AB205</f>
        <v>0</v>
      </c>
      <c r="AC166" s="230">
        <f>'Ethylene Recycling HC'!AC205</f>
        <v>0</v>
      </c>
      <c r="AD166" s="230">
        <f>'Ethylene Recycling HC'!AD205</f>
        <v>0</v>
      </c>
      <c r="AE166" s="230">
        <f>'Ethylene Recycling HC'!AE205</f>
        <v>0</v>
      </c>
      <c r="AF166" s="230">
        <f>'Ethylene Recycling HC'!AF205</f>
        <v>0</v>
      </c>
      <c r="AG166" s="230">
        <f>'Ethylene Recycling HC'!AG205</f>
        <v>0</v>
      </c>
      <c r="AH166" s="245"/>
      <c r="AI166" s="133"/>
      <c r="AJ166" s="211"/>
      <c r="AL166" s="108"/>
      <c r="AM166" s="2"/>
      <c r="AN166" s="2"/>
      <c r="AO166" s="2"/>
      <c r="BC166" s="1"/>
      <c r="BD166" s="2"/>
      <c r="BE166" s="2"/>
      <c r="BF166" s="2"/>
      <c r="BG166" s="2"/>
      <c r="BH166" s="2"/>
      <c r="BI166" s="2"/>
      <c r="BJ166" s="2"/>
      <c r="BK166" s="2"/>
    </row>
    <row r="167" spans="1:63" outlineLevel="1" x14ac:dyDescent="0.2">
      <c r="A167" s="4" t="s">
        <v>248</v>
      </c>
      <c r="C167" s="230">
        <f>'Ethylene Recycling HC'!C206</f>
        <v>1.5733812001796906E-4</v>
      </c>
      <c r="D167" s="230">
        <f>'Ethylene Recycling HC'!D206</f>
        <v>2.6041237190952652E-4</v>
      </c>
      <c r="E167" s="230">
        <f>'Ethylene Recycling HC'!E206</f>
        <v>3.8431382294099649E-4</v>
      </c>
      <c r="F167" s="230">
        <f>'Ethylene Recycling HC'!F206</f>
        <v>5.2958812203671613E-4</v>
      </c>
      <c r="G167" s="230">
        <f>'Ethylene Recycling HC'!G206</f>
        <v>6.9650918838405575E-4</v>
      </c>
      <c r="H167" s="230">
        <f>'Ethylene Recycling HC'!H206</f>
        <v>8.8506005756557168E-4</v>
      </c>
      <c r="I167" s="230">
        <f>'Ethylene Recycling HC'!I206</f>
        <v>1.0972806922082677E-3</v>
      </c>
      <c r="J167" s="230">
        <f>'Ethylene Recycling HC'!J206</f>
        <v>1.3340417376337707E-3</v>
      </c>
      <c r="K167" s="230">
        <f>'Ethylene Recycling HC'!K206</f>
        <v>1.5961846792179833E-3</v>
      </c>
      <c r="L167" s="230">
        <f>'Ethylene Recycling HC'!L206</f>
        <v>1.8845181724399154E-3</v>
      </c>
      <c r="M167" s="230">
        <f>'Ethylene Recycling HC'!M206</f>
        <v>2.1998143675775799E-3</v>
      </c>
      <c r="N167" s="230">
        <f>'Ethylene Recycling HC'!N206</f>
        <v>2.7523547582080877E-3</v>
      </c>
      <c r="O167" s="230">
        <f>'Ethylene Recycling HC'!O206</f>
        <v>3.3545968006135894E-3</v>
      </c>
      <c r="P167" s="230">
        <f>'Ethylene Recycling HC'!P206</f>
        <v>4.004939571613228E-3</v>
      </c>
      <c r="Q167" s="230">
        <f>'Ethylene Recycling HC'!Q206</f>
        <v>4.7012251226924316E-3</v>
      </c>
      <c r="R167" s="230">
        <f>'Ethylene Recycling HC'!R206</f>
        <v>5.4407425449840762E-3</v>
      </c>
      <c r="S167" s="230">
        <f>'Ethylene Recycling HC'!S206</f>
        <v>6.2314466091791696E-3</v>
      </c>
      <c r="T167" s="230">
        <f>'Ethylene Recycling HC'!T206</f>
        <v>7.0740686956347037E-3</v>
      </c>
      <c r="U167" s="230">
        <f>'Ethylene Recycling HC'!U206</f>
        <v>7.9693158721806569E-3</v>
      </c>
      <c r="V167" s="230">
        <f>'Ethylene Recycling HC'!V206</f>
        <v>8.9178699331186415E-3</v>
      </c>
      <c r="W167" s="230">
        <f>'Ethylene Recycling HC'!W206</f>
        <v>9.920386447164458E-3</v>
      </c>
      <c r="X167" s="230">
        <f>'Ethylene Recycling HC'!X206</f>
        <v>1.1417884601590515E-2</v>
      </c>
      <c r="Y167" s="230">
        <f>'Ethylene Recycling HC'!Y206</f>
        <v>1.3005446282016551E-2</v>
      </c>
      <c r="Z167" s="230">
        <f>'Ethylene Recycling HC'!Z206</f>
        <v>1.4684155836826748E-2</v>
      </c>
      <c r="AA167" s="230">
        <f>'Ethylene Recycling HC'!AA206</f>
        <v>1.6455055785675469E-2</v>
      </c>
      <c r="AB167" s="230">
        <f>'Ethylene Recycling HC'!AB206</f>
        <v>1.8319145426919963E-2</v>
      </c>
      <c r="AC167" s="230">
        <f>'Ethylene Recycling HC'!AC206</f>
        <v>2.0277571168960579E-2</v>
      </c>
      <c r="AD167" s="230">
        <f>'Ethylene Recycling HC'!AD206</f>
        <v>2.2331300280512313E-2</v>
      </c>
      <c r="AE167" s="230">
        <f>'Ethylene Recycling HC'!AE206</f>
        <v>2.4481258294986014E-2</v>
      </c>
      <c r="AF167" s="230">
        <f>'Ethylene Recycling HC'!AF206</f>
        <v>2.6728327786228287E-2</v>
      </c>
      <c r="AG167" s="230">
        <f>'Ethylene Recycling HC'!AG206</f>
        <v>2.9073347160588806E-2</v>
      </c>
      <c r="AH167" s="245"/>
      <c r="AI167" s="133"/>
      <c r="AJ167" s="211"/>
      <c r="AL167" s="108"/>
      <c r="AM167" s="2"/>
      <c r="AN167" s="2"/>
      <c r="AO167" s="2"/>
      <c r="BC167" s="1"/>
      <c r="BD167" s="2"/>
      <c r="BE167" s="2"/>
      <c r="BF167" s="2"/>
      <c r="BG167" s="2"/>
      <c r="BH167" s="2"/>
      <c r="BI167" s="2"/>
      <c r="BJ167" s="2"/>
      <c r="BK167" s="2"/>
    </row>
    <row r="168" spans="1:63" outlineLevel="1" x14ac:dyDescent="0.2">
      <c r="AJ168" s="211"/>
    </row>
    <row r="169" spans="1:63" s="200" customFormat="1" ht="16" thickBot="1" x14ac:dyDescent="0.25">
      <c r="A169" s="200" t="s">
        <v>1351</v>
      </c>
      <c r="B169" s="215"/>
      <c r="C169" s="224">
        <f>C170</f>
        <v>0.05</v>
      </c>
      <c r="D169" s="224">
        <f t="shared" ref="D169:AG169" si="31">D170</f>
        <v>5.2260994000770548E-2</v>
      </c>
      <c r="E169" s="224">
        <f t="shared" si="31"/>
        <v>5.4521988001541094E-2</v>
      </c>
      <c r="F169" s="224">
        <f t="shared" si="31"/>
        <v>5.6782982002311633E-2</v>
      </c>
      <c r="G169" s="224">
        <f t="shared" si="31"/>
        <v>5.9043976003082178E-2</v>
      </c>
      <c r="H169" s="224">
        <f t="shared" si="31"/>
        <v>6.1304970003852724E-2</v>
      </c>
      <c r="I169" s="224">
        <f t="shared" si="31"/>
        <v>6.3355501798126573E-2</v>
      </c>
      <c r="J169" s="224">
        <f t="shared" si="31"/>
        <v>6.5389613609545622E-2</v>
      </c>
      <c r="K169" s="224">
        <f t="shared" si="31"/>
        <v>6.7407141254865466E-2</v>
      </c>
      <c r="L169" s="224">
        <f t="shared" si="31"/>
        <v>6.9407918354632975E-2</v>
      </c>
      <c r="M169" s="224">
        <f t="shared" si="31"/>
        <v>7.1391776296340775E-2</v>
      </c>
      <c r="N169" s="224">
        <f t="shared" si="31"/>
        <v>7.5812439351052432E-2</v>
      </c>
      <c r="O169" s="224">
        <f t="shared" si="31"/>
        <v>8.0198576911452837E-2</v>
      </c>
      <c r="P169" s="224">
        <f t="shared" si="31"/>
        <v>8.4549837906882946E-2</v>
      </c>
      <c r="Q169" s="224">
        <f t="shared" si="31"/>
        <v>8.8865866490704382E-2</v>
      </c>
      <c r="R169" s="224">
        <f t="shared" si="31"/>
        <v>9.3146301958806507E-2</v>
      </c>
      <c r="S169" s="224">
        <f t="shared" si="31"/>
        <v>9.7390778666439332E-2</v>
      </c>
      <c r="T169" s="224">
        <f t="shared" si="31"/>
        <v>0.10159892594333149</v>
      </c>
      <c r="U169" s="224">
        <f t="shared" si="31"/>
        <v>0.10577036800705231</v>
      </c>
      <c r="V169" s="224">
        <f t="shared" si="31"/>
        <v>0.10990472387457564</v>
      </c>
      <c r="W169" s="224">
        <f t="shared" si="31"/>
        <v>0.11400160727200104</v>
      </c>
      <c r="X169" s="224">
        <f t="shared" si="31"/>
        <v>0.12108984628926907</v>
      </c>
      <c r="Y169" s="224">
        <f t="shared" si="31"/>
        <v>0.12811614212386721</v>
      </c>
      <c r="Z169" s="224">
        <f t="shared" si="31"/>
        <v>0.13507984281161467</v>
      </c>
      <c r="AA169" s="224">
        <f t="shared" si="31"/>
        <v>0.14198028720671629</v>
      </c>
      <c r="AB169" s="224">
        <f t="shared" si="31"/>
        <v>0.14881680481956053</v>
      </c>
      <c r="AC169" s="224">
        <f t="shared" si="31"/>
        <v>0.15556930633732718</v>
      </c>
      <c r="AD169" s="224">
        <f t="shared" si="31"/>
        <v>0.16225437585784436</v>
      </c>
      <c r="AE169" s="224">
        <f t="shared" si="31"/>
        <v>0.1688712688407657</v>
      </c>
      <c r="AF169" s="224">
        <f t="shared" si="31"/>
        <v>0.17541922974427962</v>
      </c>
      <c r="AG169" s="224">
        <f t="shared" si="31"/>
        <v>0.181897491821156</v>
      </c>
      <c r="AJ169" s="231" t="s">
        <v>1331</v>
      </c>
      <c r="AL169" s="217"/>
      <c r="AM169" s="225"/>
      <c r="AN169" s="225"/>
      <c r="AO169" s="225"/>
    </row>
    <row r="170" spans="1:63" ht="17" outlineLevel="2" thickTop="1" x14ac:dyDescent="0.2">
      <c r="A170" t="s">
        <v>1352</v>
      </c>
      <c r="B170" s="54" t="s">
        <v>462</v>
      </c>
      <c r="C170" s="110">
        <f>'Ethylene Recycling HC'!C209*'Ethylene Recycling HC'!C$49/'Ethylene Recycling LC'!C$49</f>
        <v>0.05</v>
      </c>
      <c r="D170" s="110">
        <f>'Ethylene Recycling HC'!D209*'Ethylene Recycling HC'!D$49/'Ethylene Recycling LC'!D$49</f>
        <v>5.2260994000770548E-2</v>
      </c>
      <c r="E170" s="110">
        <f>'Ethylene Recycling HC'!E209*'Ethylene Recycling HC'!E$49/'Ethylene Recycling LC'!E$49</f>
        <v>5.4521988001541094E-2</v>
      </c>
      <c r="F170" s="110">
        <f>'Ethylene Recycling HC'!F209*'Ethylene Recycling HC'!F$49/'Ethylene Recycling LC'!F$49</f>
        <v>5.6782982002311633E-2</v>
      </c>
      <c r="G170" s="110">
        <f>'Ethylene Recycling HC'!G209*'Ethylene Recycling HC'!G$49/'Ethylene Recycling LC'!G$49</f>
        <v>5.9043976003082178E-2</v>
      </c>
      <c r="H170" s="110">
        <f>'Ethylene Recycling HC'!H209*'Ethylene Recycling HC'!H$49/'Ethylene Recycling LC'!H$49</f>
        <v>6.1304970003852724E-2</v>
      </c>
      <c r="I170" s="110">
        <f>'Ethylene Recycling HC'!I209*'Ethylene Recycling HC'!I$49/'Ethylene Recycling LC'!I$49</f>
        <v>6.3355501798126573E-2</v>
      </c>
      <c r="J170" s="110">
        <f>'Ethylene Recycling HC'!J209*'Ethylene Recycling HC'!J$49/'Ethylene Recycling LC'!J$49</f>
        <v>6.5389613609545622E-2</v>
      </c>
      <c r="K170" s="110">
        <f>'Ethylene Recycling HC'!K209*'Ethylene Recycling HC'!K$49/'Ethylene Recycling LC'!K$49</f>
        <v>6.7407141254865466E-2</v>
      </c>
      <c r="L170" s="110">
        <f>'Ethylene Recycling HC'!L209*'Ethylene Recycling HC'!L$49/'Ethylene Recycling LC'!L$49</f>
        <v>6.9407918354632975E-2</v>
      </c>
      <c r="M170" s="110">
        <f>'Ethylene Recycling HC'!M209*'Ethylene Recycling HC'!M$49/'Ethylene Recycling LC'!M$49</f>
        <v>7.1391776296340775E-2</v>
      </c>
      <c r="N170" s="110">
        <f>'Ethylene Recycling HC'!N209*'Ethylene Recycling HC'!N$49/'Ethylene Recycling LC'!N$49</f>
        <v>7.5812439351052432E-2</v>
      </c>
      <c r="O170" s="110">
        <f>'Ethylene Recycling HC'!O209*'Ethylene Recycling HC'!O$49/'Ethylene Recycling LC'!O$49</f>
        <v>8.0198576911452837E-2</v>
      </c>
      <c r="P170" s="110">
        <f>'Ethylene Recycling HC'!P209*'Ethylene Recycling HC'!P$49/'Ethylene Recycling LC'!P$49</f>
        <v>8.4549837906882946E-2</v>
      </c>
      <c r="Q170" s="110">
        <f>'Ethylene Recycling HC'!Q209*'Ethylene Recycling HC'!Q$49/'Ethylene Recycling LC'!Q$49</f>
        <v>8.8865866490704382E-2</v>
      </c>
      <c r="R170" s="110">
        <f>'Ethylene Recycling HC'!R209*'Ethylene Recycling HC'!R$49/'Ethylene Recycling LC'!R$49</f>
        <v>9.3146301958806507E-2</v>
      </c>
      <c r="S170" s="110">
        <f>'Ethylene Recycling HC'!S209*'Ethylene Recycling HC'!S$49/'Ethylene Recycling LC'!S$49</f>
        <v>9.7390778666439332E-2</v>
      </c>
      <c r="T170" s="110">
        <f>'Ethylene Recycling HC'!T209*'Ethylene Recycling HC'!T$49/'Ethylene Recycling LC'!T$49</f>
        <v>0.10159892594333149</v>
      </c>
      <c r="U170" s="110">
        <f>'Ethylene Recycling HC'!U209*'Ethylene Recycling HC'!U$49/'Ethylene Recycling LC'!U$49</f>
        <v>0.10577036800705231</v>
      </c>
      <c r="V170" s="110">
        <f>'Ethylene Recycling HC'!V209*'Ethylene Recycling HC'!V$49/'Ethylene Recycling LC'!V$49</f>
        <v>0.10990472387457564</v>
      </c>
      <c r="W170" s="110">
        <f>'Ethylene Recycling HC'!W209*'Ethylene Recycling HC'!W$49/'Ethylene Recycling LC'!W$49</f>
        <v>0.11400160727200104</v>
      </c>
      <c r="X170" s="110">
        <f>'Ethylene Recycling HC'!X209*'Ethylene Recycling HC'!X$49/'Ethylene Recycling LC'!X$49</f>
        <v>0.12108984628926907</v>
      </c>
      <c r="Y170" s="110">
        <f>'Ethylene Recycling HC'!Y209*'Ethylene Recycling HC'!Y$49/'Ethylene Recycling LC'!Y$49</f>
        <v>0.12811614212386721</v>
      </c>
      <c r="Z170" s="110">
        <f>'Ethylene Recycling HC'!Z209*'Ethylene Recycling HC'!Z$49/'Ethylene Recycling LC'!Z$49</f>
        <v>0.13507984281161467</v>
      </c>
      <c r="AA170" s="110">
        <f>'Ethylene Recycling HC'!AA209*'Ethylene Recycling HC'!AA$49/'Ethylene Recycling LC'!AA$49</f>
        <v>0.14198028720671629</v>
      </c>
      <c r="AB170" s="110">
        <f>'Ethylene Recycling HC'!AB209*'Ethylene Recycling HC'!AB$49/'Ethylene Recycling LC'!AB$49</f>
        <v>0.14881680481956053</v>
      </c>
      <c r="AC170" s="110">
        <f>'Ethylene Recycling HC'!AC209*'Ethylene Recycling HC'!AC$49/'Ethylene Recycling LC'!AC$49</f>
        <v>0.15556930633732718</v>
      </c>
      <c r="AD170" s="110">
        <f>'Ethylene Recycling HC'!AD209*'Ethylene Recycling HC'!AD$49/'Ethylene Recycling LC'!AD$49</f>
        <v>0.16225437585784436</v>
      </c>
      <c r="AE170" s="110">
        <f>'Ethylene Recycling HC'!AE209*'Ethylene Recycling HC'!AE$49/'Ethylene Recycling LC'!AE$49</f>
        <v>0.1688712688407657</v>
      </c>
      <c r="AF170" s="110">
        <f>'Ethylene Recycling HC'!AF209*'Ethylene Recycling HC'!AF$49/'Ethylene Recycling LC'!AF$49</f>
        <v>0.17541922974427962</v>
      </c>
      <c r="AG170" s="110">
        <f>'Ethylene Recycling HC'!AG209*'Ethylene Recycling HC'!AG$49/'Ethylene Recycling LC'!AG$49</f>
        <v>0.181897491821156</v>
      </c>
      <c r="AI170" s="133" t="s">
        <v>1314</v>
      </c>
      <c r="AJ170" s="211" t="s">
        <v>1353</v>
      </c>
    </row>
    <row r="171" spans="1:63" outlineLevel="2" x14ac:dyDescent="0.2">
      <c r="C171" s="113"/>
      <c r="D171" s="110"/>
      <c r="E171" s="110"/>
      <c r="F171" s="110"/>
      <c r="G171" s="110"/>
      <c r="H171" s="110"/>
      <c r="I171" s="110"/>
      <c r="J171" s="110"/>
      <c r="K171" s="110"/>
      <c r="L171" s="110"/>
      <c r="M171" s="121"/>
      <c r="N171" s="121"/>
      <c r="O171" s="121"/>
      <c r="P171" s="121"/>
      <c r="Q171" s="121"/>
      <c r="R171" s="121"/>
      <c r="S171" s="121"/>
      <c r="T171" s="121"/>
      <c r="U171" s="121"/>
      <c r="V171" s="121"/>
      <c r="W171" s="121"/>
      <c r="X171" s="23"/>
      <c r="Y171" s="23"/>
      <c r="Z171" s="23"/>
      <c r="AA171" s="23"/>
      <c r="AB171" s="23"/>
      <c r="AC171" s="23"/>
      <c r="AD171" s="23"/>
      <c r="AE171" s="23"/>
      <c r="AF171" s="23"/>
      <c r="AG171" s="106"/>
      <c r="AJ171" s="211"/>
    </row>
    <row r="172" spans="1:63" s="1" customFormat="1" outlineLevel="1" x14ac:dyDescent="0.2">
      <c r="A172" s="1" t="s">
        <v>228</v>
      </c>
      <c r="B172" s="65"/>
      <c r="C172" s="300">
        <f>'Ethylene Recycling HC'!C214</f>
        <v>1.4045884056601057</v>
      </c>
      <c r="D172" s="300">
        <f>'Ethylene Recycling HC'!D214</f>
        <v>1.5173167632919757</v>
      </c>
      <c r="E172" s="300">
        <f>'Ethylene Recycling HC'!E214</f>
        <v>1.6317477628638877</v>
      </c>
      <c r="F172" s="300">
        <f>'Ethylene Recycling HC'!F214</f>
        <v>1.7472147256968018</v>
      </c>
      <c r="G172" s="300">
        <f>'Ethylene Recycling HC'!G214</f>
        <v>1.8630099397039381</v>
      </c>
      <c r="H172" s="300">
        <f>'Ethylene Recycling HC'!H214</f>
        <v>1.9783916546444935</v>
      </c>
      <c r="I172" s="300">
        <f>'Ethylene Recycling HC'!I214</f>
        <v>2.0832656258816478</v>
      </c>
      <c r="J172" s="300">
        <f>'Ethylene Recycling HC'!J214</f>
        <v>2.1898283034735546</v>
      </c>
      <c r="K172" s="300">
        <f>'Ethylene Recycling HC'!K214</f>
        <v>2.2979742850909806</v>
      </c>
      <c r="L172" s="300">
        <f>'Ethylene Recycling HC'!L214</f>
        <v>2.4075922907004608</v>
      </c>
      <c r="M172" s="300">
        <f>'Ethylene Recycling HC'!M214</f>
        <v>2.5185652921536672</v>
      </c>
      <c r="N172" s="300">
        <f>'Ethylene Recycling HC'!N214</f>
        <v>2.7148818082272155</v>
      </c>
      <c r="O172" s="300">
        <f>'Ethylene Recycling HC'!O214</f>
        <v>2.9097465076868367</v>
      </c>
      <c r="P172" s="300">
        <f>'Ethylene Recycling HC'!P214</f>
        <v>3.1020599600775509</v>
      </c>
      <c r="Q172" s="300">
        <f>'Ethylene Recycling HC'!Q214</f>
        <v>3.2907163298863211</v>
      </c>
      <c r="R172" s="300">
        <f>'Ethylene Recycling HC'!R214</f>
        <v>3.474613813342827</v>
      </c>
      <c r="S172" s="300">
        <f>'Ethylene Recycling HC'!S214</f>
        <v>3.6592461312596907</v>
      </c>
      <c r="T172" s="300">
        <f>'Ethylene Recycling HC'!T214</f>
        <v>3.8445285833300904</v>
      </c>
      <c r="U172" s="300">
        <f>'Ethylene Recycling HC'!U214</f>
        <v>4.0303749446708101</v>
      </c>
      <c r="V172" s="300">
        <f>'Ethylene Recycling HC'!V214</f>
        <v>4.216697506863893</v>
      </c>
      <c r="W172" s="300">
        <f>'Ethylene Recycling HC'!W214</f>
        <v>4.4034071207659453</v>
      </c>
      <c r="X172" s="300">
        <f>'Ethylene Recycling HC'!X214</f>
        <v>4.7082467070703204</v>
      </c>
      <c r="Y172" s="300">
        <f>'Ethylene Recycling HC'!Y214</f>
        <v>5.0139584345586377</v>
      </c>
      <c r="Z172" s="300">
        <f>'Ethylene Recycling HC'!Z214</f>
        <v>5.3204029945280631</v>
      </c>
      <c r="AA172" s="300">
        <f>'Ethylene Recycling HC'!AA214</f>
        <v>5.6274388886344386</v>
      </c>
      <c r="AB172" s="300">
        <f>'Ethylene Recycling HC'!AB214</f>
        <v>5.9349224934597942</v>
      </c>
      <c r="AC172" s="300">
        <f>'Ethylene Recycling HC'!AC214</f>
        <v>6.2413177007789358</v>
      </c>
      <c r="AD172" s="300">
        <f>'Ethylene Recycling HC'!AD214</f>
        <v>6.5477685635645893</v>
      </c>
      <c r="AE172" s="300">
        <f>'Ethylene Recycling HC'!AE214</f>
        <v>6.8541303847655275</v>
      </c>
      <c r="AF172" s="300">
        <f>'Ethylene Recycling HC'!AF214</f>
        <v>7.1602566399960175</v>
      </c>
      <c r="AG172" s="300">
        <f>'Ethylene Recycling HC'!AG214</f>
        <v>7.465999042230365</v>
      </c>
      <c r="AH172" s="422"/>
      <c r="AI172" s="423"/>
      <c r="AJ172" s="424"/>
      <c r="AL172" s="221"/>
      <c r="AM172" s="124"/>
      <c r="AN172" s="124"/>
      <c r="AO172" s="124"/>
      <c r="BD172" s="124"/>
      <c r="BE172" s="124"/>
      <c r="BF172" s="124"/>
      <c r="BG172" s="124"/>
      <c r="BH172" s="124"/>
      <c r="BI172" s="124"/>
      <c r="BJ172" s="124"/>
      <c r="BK172" s="124"/>
    </row>
    <row r="173" spans="1:63" outlineLevel="1" x14ac:dyDescent="0.2">
      <c r="A173" s="4" t="s">
        <v>258</v>
      </c>
      <c r="C173" s="230">
        <f>'Ethylene Recycling HC'!C215</f>
        <v>1.0081324273678582</v>
      </c>
      <c r="D173" s="230">
        <f>'Ethylene Recycling HC'!D215</f>
        <v>1.0890423311906798</v>
      </c>
      <c r="E173" s="230">
        <f>'Ethylene Recycling HC'!E215</f>
        <v>1.1711742930520239</v>
      </c>
      <c r="F173" s="230">
        <f>'Ethylene Recycling HC'!F215</f>
        <v>1.2540498095040007</v>
      </c>
      <c r="G173" s="230">
        <f>'Ethylene Recycling HC'!G215</f>
        <v>1.3371609256887687</v>
      </c>
      <c r="H173" s="230">
        <f>'Ethylene Recycling HC'!H215</f>
        <v>1.4199752561276007</v>
      </c>
      <c r="I173" s="230">
        <f>'Ethylene Recycling HC'!I215</f>
        <v>1.4952477350723001</v>
      </c>
      <c r="J173" s="230">
        <f>'Ethylene Recycling HC'!J215</f>
        <v>1.5717322698973328</v>
      </c>
      <c r="K173" s="230">
        <f>'Ethylene Recycling HC'!K215</f>
        <v>1.6493532088989029</v>
      </c>
      <c r="L173" s="230">
        <f>'Ethylene Recycling HC'!L215</f>
        <v>1.7280306816966178</v>
      </c>
      <c r="M173" s="230">
        <f>'Ethylene Recycling HC'!M215</f>
        <v>1.8076806922452529</v>
      </c>
      <c r="N173" s="230">
        <f>'Ethylene Recycling HC'!N215</f>
        <v>1.9485853480747415</v>
      </c>
      <c r="O173" s="230">
        <f>'Ethylene Recycling HC'!O215</f>
        <v>2.0884479737969097</v>
      </c>
      <c r="P173" s="230">
        <f>'Ethylene Recycling HC'!P215</f>
        <v>2.2264794617352059</v>
      </c>
      <c r="Q173" s="230">
        <f>'Ethylene Recycling HC'!Q215</f>
        <v>2.3618861070323676</v>
      </c>
      <c r="R173" s="230">
        <f>'Ethylene Recycling HC'!R215</f>
        <v>2.4938770985831771</v>
      </c>
      <c r="S173" s="230">
        <f>'Ethylene Recycling HC'!S215</f>
        <v>2.6263955118649709</v>
      </c>
      <c r="T173" s="230">
        <f>'Ethylene Recycling HC'!T215</f>
        <v>2.7593805538898741</v>
      </c>
      <c r="U173" s="230">
        <f>'Ethylene Recycling HC'!U215</f>
        <v>2.8927703374171365</v>
      </c>
      <c r="V173" s="230">
        <f>'Ethylene Recycling HC'!V215</f>
        <v>3.0265019104104605</v>
      </c>
      <c r="W173" s="230">
        <f>'Ethylene Recycling HC'!W215</f>
        <v>3.160511286764049</v>
      </c>
      <c r="X173" s="230">
        <f>'Ethylene Recycling HC'!X215</f>
        <v>3.3793075340208492</v>
      </c>
      <c r="Y173" s="230">
        <f>'Ethylene Recycling HC'!Y215</f>
        <v>3.5987297538438705</v>
      </c>
      <c r="Z173" s="230">
        <f>'Ethylene Recycling HC'!Z215</f>
        <v>3.8186779584928066</v>
      </c>
      <c r="AA173" s="230">
        <f>'Ethylene Recycling HC'!AA215</f>
        <v>4.0390505886292853</v>
      </c>
      <c r="AB173" s="230">
        <f>'Ethylene Recycling HC'!AB215</f>
        <v>4.2597445596596986</v>
      </c>
      <c r="AC173" s="230">
        <f>'Ethylene Recycling HC'!AC215</f>
        <v>4.4796573418269121</v>
      </c>
      <c r="AD173" s="230">
        <f>'Ethylene Recycling HC'!AD215</f>
        <v>4.6996100702732804</v>
      </c>
      <c r="AE173" s="230">
        <f>'Ethylene Recycling HC'!AE215</f>
        <v>4.9194988898132577</v>
      </c>
      <c r="AF173" s="230">
        <f>'Ethylene Recycling HC'!AF215</f>
        <v>5.1392186337061379</v>
      </c>
      <c r="AG173" s="230">
        <f>'Ethylene Recycling HC'!AG215</f>
        <v>5.3586628700900603</v>
      </c>
      <c r="AH173" s="245"/>
      <c r="AI173" s="133"/>
      <c r="AJ173" s="211"/>
      <c r="AL173" s="108"/>
      <c r="AM173" s="2"/>
      <c r="AN173" s="2"/>
      <c r="AO173" s="2"/>
      <c r="BC173" s="1"/>
      <c r="BD173" s="2"/>
      <c r="BE173" s="2"/>
      <c r="BF173" s="2"/>
      <c r="BG173" s="2"/>
      <c r="BH173" s="2"/>
      <c r="BI173" s="2"/>
      <c r="BJ173" s="2"/>
      <c r="BK173" s="2"/>
    </row>
    <row r="174" spans="1:63" outlineLevel="1" x14ac:dyDescent="0.2">
      <c r="A174" s="4" t="s">
        <v>478</v>
      </c>
      <c r="C174" s="230">
        <f>'Ethylene Recycling HC'!C216</f>
        <v>9.7824750363057281E-2</v>
      </c>
      <c r="D174" s="230">
        <f>'Ethylene Recycling HC'!D216</f>
        <v>0.10567589266192351</v>
      </c>
      <c r="E174" s="230">
        <f>'Ethylene Recycling HC'!E216</f>
        <v>0.11364561811445316</v>
      </c>
      <c r="F174" s="230">
        <f>'Ethylene Recycling HC'!F216</f>
        <v>0.12168749484417153</v>
      </c>
      <c r="G174" s="230">
        <f>'Ethylene Recycling HC'!G216</f>
        <v>0.1297522331389187</v>
      </c>
      <c r="H174" s="230">
        <f>'Ethylene Recycling HC'!H216</f>
        <v>0.13778817264620566</v>
      </c>
      <c r="I174" s="230">
        <f>'Ethylene Recycling HC'!I216</f>
        <v>0.14509228395348617</v>
      </c>
      <c r="J174" s="230">
        <f>'Ethylene Recycling HC'!J216</f>
        <v>0.15251400784885616</v>
      </c>
      <c r="K174" s="230">
        <f>'Ethylene Recycling HC'!K216</f>
        <v>0.16004600342269157</v>
      </c>
      <c r="L174" s="230">
        <f>'Ethylene Recycling HC'!L216</f>
        <v>0.16768052040348927</v>
      </c>
      <c r="M174" s="230">
        <f>'Ethylene Recycling HC'!M216</f>
        <v>0.17540940818332054</v>
      </c>
      <c r="N174" s="230">
        <f>'Ethylene Recycling HC'!N216</f>
        <v>0.18908217815611161</v>
      </c>
      <c r="O174" s="230">
        <f>'Ethylene Recycling HC'!O216</f>
        <v>0.20265383409630922</v>
      </c>
      <c r="P174" s="230">
        <f>'Ethylene Recycling HC'!P216</f>
        <v>0.21604780445500507</v>
      </c>
      <c r="Q174" s="230">
        <f>'Ethylene Recycling HC'!Q216</f>
        <v>0.22918707159303206</v>
      </c>
      <c r="R174" s="230">
        <f>'Ethylene Recycling HC'!R216</f>
        <v>0.24199489866823323</v>
      </c>
      <c r="S174" s="230">
        <f>'Ethylene Recycling HC'!S216</f>
        <v>0.25485390443560713</v>
      </c>
      <c r="T174" s="230">
        <f>'Ethylene Recycling HC'!T216</f>
        <v>0.26775818981017119</v>
      </c>
      <c r="U174" s="230">
        <f>'Ethylene Recycling HC'!U216</f>
        <v>0.28070174952544191</v>
      </c>
      <c r="V174" s="230">
        <f>'Ethylene Recycling HC'!V216</f>
        <v>0.29367847499184468</v>
      </c>
      <c r="W174" s="230">
        <f>'Ethylene Recycling HC'!W216</f>
        <v>0.30668215727823467</v>
      </c>
      <c r="X174" s="230">
        <f>'Ethylene Recycling HC'!X216</f>
        <v>0.32791318574951728</v>
      </c>
      <c r="Y174" s="230">
        <f>'Ethylene Recycling HC'!Y216</f>
        <v>0.3492049558539051</v>
      </c>
      <c r="Z174" s="230">
        <f>'Ethylene Recycling HC'!Z216</f>
        <v>0.37054776521949823</v>
      </c>
      <c r="AA174" s="230">
        <f>'Ethylene Recycling HC'!AA216</f>
        <v>0.3919317589734112</v>
      </c>
      <c r="AB174" s="230">
        <f>'Ethylene Recycling HC'!AB216</f>
        <v>0.41334693423867835</v>
      </c>
      <c r="AC174" s="230">
        <f>'Ethylene Recycling HC'!AC216</f>
        <v>0.43468630636196309</v>
      </c>
      <c r="AD174" s="230">
        <f>'Ethylene Recycling HC'!AD216</f>
        <v>0.45602955469702339</v>
      </c>
      <c r="AE174" s="230">
        <f>'Ethylene Recycling HC'!AE216</f>
        <v>0.47736660159203081</v>
      </c>
      <c r="AF174" s="230">
        <f>'Ethylene Recycling HC'!AF216</f>
        <v>0.49868724212759497</v>
      </c>
      <c r="AG174" s="230">
        <f>'Ethylene Recycling HC'!AG216</f>
        <v>0.51998114862251599</v>
      </c>
      <c r="AH174" s="245"/>
      <c r="AI174" s="133"/>
      <c r="AJ174" s="211"/>
      <c r="AL174" s="108"/>
      <c r="AM174" s="2"/>
      <c r="AN174" s="2"/>
      <c r="AO174" s="2"/>
      <c r="BC174" s="1"/>
      <c r="BD174" s="2"/>
      <c r="BE174" s="2"/>
      <c r="BF174" s="2"/>
      <c r="BG174" s="2"/>
      <c r="BH174" s="2"/>
      <c r="BI174" s="2"/>
      <c r="BJ174" s="2"/>
      <c r="BK174" s="2"/>
    </row>
    <row r="175" spans="1:63" outlineLevel="1" x14ac:dyDescent="0.2">
      <c r="A175" s="4" t="s">
        <v>480</v>
      </c>
      <c r="C175" s="230">
        <f>'Ethylene Recycling HC'!C217</f>
        <v>0.22582166373040025</v>
      </c>
      <c r="D175" s="230">
        <f>'Ethylene Recycling HC'!D217</f>
        <v>0.24394548218671225</v>
      </c>
      <c r="E175" s="230">
        <f>'Ethylene Recycling HC'!E217</f>
        <v>0.2623430416436533</v>
      </c>
      <c r="F175" s="230">
        <f>'Ethylene Recycling HC'!F217</f>
        <v>0.28090715732889615</v>
      </c>
      <c r="G175" s="230">
        <f>'Ethylene Recycling HC'!G217</f>
        <v>0.29952404735428412</v>
      </c>
      <c r="H175" s="230">
        <f>'Ethylene Recycling HC'!H217</f>
        <v>0.31807445737258255</v>
      </c>
      <c r="I175" s="230">
        <f>'Ethylene Recycling HC'!I217</f>
        <v>0.33493549265619521</v>
      </c>
      <c r="J175" s="230">
        <f>'Ethylene Recycling HC'!J217</f>
        <v>0.35206802845700252</v>
      </c>
      <c r="K175" s="230">
        <f>'Ethylene Recycling HC'!K217</f>
        <v>0.36945511879335419</v>
      </c>
      <c r="L175" s="230">
        <f>'Ethylene Recycling HC'!L217</f>
        <v>0.38707887270004238</v>
      </c>
      <c r="M175" s="230">
        <f>'Ethylene Recycling HC'!M217</f>
        <v>0.4049204750629366</v>
      </c>
      <c r="N175" s="230">
        <f>'Ethylene Recycling HC'!N217</f>
        <v>0.43648311796874206</v>
      </c>
      <c r="O175" s="230">
        <f>'Ethylene Recycling HC'!O217</f>
        <v>0.46781234613050771</v>
      </c>
      <c r="P175" s="230">
        <f>'Ethylene Recycling HC'!P217</f>
        <v>0.49873139942868611</v>
      </c>
      <c r="Q175" s="230">
        <f>'Ethylene Recycling HC'!Q217</f>
        <v>0.52906248797525035</v>
      </c>
      <c r="R175" s="230">
        <f>'Ethylene Recycling HC'!R217</f>
        <v>0.55862847008263161</v>
      </c>
      <c r="S175" s="230">
        <f>'Ethylene Recycling HC'!S217</f>
        <v>0.58831259465775343</v>
      </c>
      <c r="T175" s="230">
        <f>'Ethylene Recycling HC'!T217</f>
        <v>0.61810124407133171</v>
      </c>
      <c r="U175" s="230">
        <f>'Ethylene Recycling HC'!U217</f>
        <v>0.64798055558143852</v>
      </c>
      <c r="V175" s="230">
        <f>'Ethylene Recycling HC'!V217</f>
        <v>0.67793642793194309</v>
      </c>
      <c r="W175" s="230">
        <f>'Ethylene Recycling HC'!W217</f>
        <v>0.70795452823514693</v>
      </c>
      <c r="X175" s="230">
        <f>'Ethylene Recycling HC'!X217</f>
        <v>0.75696488762067016</v>
      </c>
      <c r="Y175" s="230">
        <f>'Ethylene Recycling HC'!Y217</f>
        <v>0.80611546486102692</v>
      </c>
      <c r="Z175" s="230">
        <f>'Ethylene Recycling HC'!Z217</f>
        <v>0.85538386270238864</v>
      </c>
      <c r="AA175" s="230">
        <f>'Ethylene Recycling HC'!AA217</f>
        <v>0.90474733185295986</v>
      </c>
      <c r="AB175" s="230">
        <f>'Ethylene Recycling HC'!AB217</f>
        <v>0.95418278136377233</v>
      </c>
      <c r="AC175" s="230">
        <f>'Ethylene Recycling HC'!AC217</f>
        <v>1.0034432445692281</v>
      </c>
      <c r="AD175" s="230">
        <f>'Ethylene Recycling HC'!AD217</f>
        <v>1.0527126557412148</v>
      </c>
      <c r="AE175" s="230">
        <f>'Ethylene Recycling HC'!AE217</f>
        <v>1.1019677513181698</v>
      </c>
      <c r="AF175" s="230">
        <f>'Ethylene Recycling HC'!AF217</f>
        <v>1.1511849739501747</v>
      </c>
      <c r="AG175" s="230">
        <f>'Ethylene Recycling HC'!AG217</f>
        <v>1.2003404829001736</v>
      </c>
      <c r="AH175" s="245"/>
      <c r="AI175" s="133"/>
      <c r="AJ175" s="211"/>
      <c r="AL175" s="108"/>
      <c r="AM175" s="2"/>
      <c r="AN175" s="2"/>
      <c r="AO175" s="2"/>
      <c r="BC175" s="1"/>
      <c r="BD175" s="2"/>
      <c r="BE175" s="2"/>
      <c r="BF175" s="2"/>
      <c r="BG175" s="2"/>
      <c r="BH175" s="2"/>
      <c r="BI175" s="2"/>
      <c r="BJ175" s="2"/>
      <c r="BK175" s="2"/>
    </row>
    <row r="176" spans="1:63" outlineLevel="1" x14ac:dyDescent="0.2">
      <c r="A176" s="4" t="s">
        <v>474</v>
      </c>
      <c r="C176" s="230">
        <f>'Ethylene Recycling HC'!C218</f>
        <v>0</v>
      </c>
      <c r="D176" s="230">
        <f>'Ethylene Recycling HC'!D218</f>
        <v>0</v>
      </c>
      <c r="E176" s="230">
        <f>'Ethylene Recycling HC'!E218</f>
        <v>0</v>
      </c>
      <c r="F176" s="230">
        <f>'Ethylene Recycling HC'!F218</f>
        <v>0</v>
      </c>
      <c r="G176" s="230">
        <f>'Ethylene Recycling HC'!G218</f>
        <v>0</v>
      </c>
      <c r="H176" s="230">
        <f>'Ethylene Recycling HC'!H218</f>
        <v>0</v>
      </c>
      <c r="I176" s="230">
        <f>'Ethylene Recycling HC'!I218</f>
        <v>0</v>
      </c>
      <c r="J176" s="230">
        <f>'Ethylene Recycling HC'!J218</f>
        <v>0</v>
      </c>
      <c r="K176" s="230">
        <f>'Ethylene Recycling HC'!K218</f>
        <v>0</v>
      </c>
      <c r="L176" s="230">
        <f>'Ethylene Recycling HC'!L218</f>
        <v>0</v>
      </c>
      <c r="M176" s="230">
        <f>'Ethylene Recycling HC'!M218</f>
        <v>0</v>
      </c>
      <c r="N176" s="230">
        <f>'Ethylene Recycling HC'!N218</f>
        <v>0</v>
      </c>
      <c r="O176" s="230">
        <f>'Ethylene Recycling HC'!O218</f>
        <v>0</v>
      </c>
      <c r="P176" s="230">
        <f>'Ethylene Recycling HC'!P218</f>
        <v>0</v>
      </c>
      <c r="Q176" s="230">
        <f>'Ethylene Recycling HC'!Q218</f>
        <v>0</v>
      </c>
      <c r="R176" s="230">
        <f>'Ethylene Recycling HC'!R218</f>
        <v>0</v>
      </c>
      <c r="S176" s="230">
        <f>'Ethylene Recycling HC'!S218</f>
        <v>0</v>
      </c>
      <c r="T176" s="230">
        <f>'Ethylene Recycling HC'!T218</f>
        <v>0</v>
      </c>
      <c r="U176" s="230">
        <f>'Ethylene Recycling HC'!U218</f>
        <v>0</v>
      </c>
      <c r="V176" s="230">
        <f>'Ethylene Recycling HC'!V218</f>
        <v>0</v>
      </c>
      <c r="W176" s="230">
        <f>'Ethylene Recycling HC'!W218</f>
        <v>0</v>
      </c>
      <c r="X176" s="230">
        <f>'Ethylene Recycling HC'!X218</f>
        <v>0</v>
      </c>
      <c r="Y176" s="230">
        <f>'Ethylene Recycling HC'!Y218</f>
        <v>0</v>
      </c>
      <c r="Z176" s="230">
        <f>'Ethylene Recycling HC'!Z218</f>
        <v>0</v>
      </c>
      <c r="AA176" s="230">
        <f>'Ethylene Recycling HC'!AA218</f>
        <v>0</v>
      </c>
      <c r="AB176" s="230">
        <f>'Ethylene Recycling HC'!AB218</f>
        <v>0</v>
      </c>
      <c r="AC176" s="230">
        <f>'Ethylene Recycling HC'!AC218</f>
        <v>0</v>
      </c>
      <c r="AD176" s="230">
        <f>'Ethylene Recycling HC'!AD218</f>
        <v>0</v>
      </c>
      <c r="AE176" s="230">
        <f>'Ethylene Recycling HC'!AE218</f>
        <v>0</v>
      </c>
      <c r="AF176" s="230">
        <f>'Ethylene Recycling HC'!AF218</f>
        <v>0</v>
      </c>
      <c r="AG176" s="230">
        <f>'Ethylene Recycling HC'!AG218</f>
        <v>0</v>
      </c>
      <c r="AH176" s="245"/>
      <c r="AI176" s="133"/>
      <c r="AJ176" s="211"/>
      <c r="AL176" s="108"/>
      <c r="AM176" s="2"/>
      <c r="AN176" s="2"/>
      <c r="AO176" s="2"/>
      <c r="BC176" s="1"/>
      <c r="BD176" s="2"/>
      <c r="BE176" s="2"/>
      <c r="BF176" s="2"/>
      <c r="BG176" s="2"/>
      <c r="BH176" s="2"/>
      <c r="BI176" s="2"/>
      <c r="BJ176" s="2"/>
      <c r="BK176" s="2"/>
    </row>
    <row r="177" spans="1:63" outlineLevel="1" x14ac:dyDescent="0.2">
      <c r="A177" s="4" t="s">
        <v>248</v>
      </c>
      <c r="C177" s="230">
        <f>'Ethylene Recycling HC'!C219</f>
        <v>7.2809564198789783E-2</v>
      </c>
      <c r="D177" s="230">
        <f>'Ethylene Recycling HC'!D219</f>
        <v>7.8653057252660211E-2</v>
      </c>
      <c r="E177" s="230">
        <f>'Ethylene Recycling HC'!E219</f>
        <v>8.4584810053757287E-2</v>
      </c>
      <c r="F177" s="230">
        <f>'Ethylene Recycling HC'!F219</f>
        <v>9.0570264019733393E-2</v>
      </c>
      <c r="G177" s="230">
        <f>'Ethylene Recycling HC'!G219</f>
        <v>9.6572733521966631E-2</v>
      </c>
      <c r="H177" s="230">
        <f>'Ethylene Recycling HC'!H219</f>
        <v>0.10255376849810451</v>
      </c>
      <c r="I177" s="230">
        <f>'Ethylene Recycling HC'!I219</f>
        <v>0.10799011419966614</v>
      </c>
      <c r="J177" s="230">
        <f>'Ethylene Recycling HC'!J219</f>
        <v>0.11351399727036295</v>
      </c>
      <c r="K177" s="230">
        <f>'Ethylene Recycling HC'!K219</f>
        <v>0.11911995397603188</v>
      </c>
      <c r="L177" s="230">
        <f>'Ethylene Recycling HC'!L219</f>
        <v>0.12480221590031131</v>
      </c>
      <c r="M177" s="230">
        <f>'Ethylene Recycling HC'!M219</f>
        <v>0.13055471666215718</v>
      </c>
      <c r="N177" s="230">
        <f>'Ethylene Recycling HC'!N219</f>
        <v>0.14073116402762023</v>
      </c>
      <c r="O177" s="230">
        <f>'Ethylene Recycling HC'!O219</f>
        <v>0.15083235366311015</v>
      </c>
      <c r="P177" s="230">
        <f>'Ethylene Recycling HC'!P219</f>
        <v>0.16080129445865379</v>
      </c>
      <c r="Q177" s="230">
        <f>'Ethylene Recycling HC'!Q219</f>
        <v>0.17058066328567101</v>
      </c>
      <c r="R177" s="230">
        <f>'Ethylene Recycling HC'!R219</f>
        <v>0.18011334600878504</v>
      </c>
      <c r="S177" s="230">
        <f>'Ethylene Recycling HC'!S219</f>
        <v>0.18968412030135903</v>
      </c>
      <c r="T177" s="230">
        <f>'Ethylene Recycling HC'!T219</f>
        <v>0.19928859555871317</v>
      </c>
      <c r="U177" s="230">
        <f>'Ethylene Recycling HC'!U219</f>
        <v>0.20892230214679322</v>
      </c>
      <c r="V177" s="230">
        <f>'Ethylene Recycling HC'!V219</f>
        <v>0.2185806935296444</v>
      </c>
      <c r="W177" s="230">
        <f>'Ethylene Recycling HC'!W219</f>
        <v>0.22825914848851467</v>
      </c>
      <c r="X177" s="230">
        <f>'Ethylene Recycling HC'!X219</f>
        <v>0.24406109967928358</v>
      </c>
      <c r="Y177" s="230">
        <f>'Ethylene Recycling HC'!Y219</f>
        <v>0.25990825999983513</v>
      </c>
      <c r="Z177" s="230">
        <f>'Ethylene Recycling HC'!Z219</f>
        <v>0.27579340811336939</v>
      </c>
      <c r="AA177" s="230">
        <f>'Ethylene Recycling HC'!AA219</f>
        <v>0.29170920917878179</v>
      </c>
      <c r="AB177" s="230">
        <f>'Ethylene Recycling HC'!AB219</f>
        <v>0.30764821819764493</v>
      </c>
      <c r="AC177" s="230">
        <f>'Ethylene Recycling HC'!AC219</f>
        <v>0.32353080802083256</v>
      </c>
      <c r="AD177" s="230">
        <f>'Ethylene Recycling HC'!AD219</f>
        <v>0.33941628285307029</v>
      </c>
      <c r="AE177" s="230">
        <f>'Ethylene Recycling HC'!AE219</f>
        <v>0.35529714204206869</v>
      </c>
      <c r="AF177" s="230">
        <f>'Ethylene Recycling HC'!AF219</f>
        <v>0.37116579021210999</v>
      </c>
      <c r="AG177" s="230">
        <f>'Ethylene Recycling HC'!AG219</f>
        <v>0.38701454061761542</v>
      </c>
      <c r="AH177" s="245"/>
      <c r="AI177" s="133"/>
      <c r="AJ177" s="211"/>
      <c r="AL177" s="108"/>
      <c r="AM177" s="2"/>
      <c r="AN177" s="2"/>
      <c r="AO177" s="2"/>
      <c r="BC177" s="1"/>
      <c r="BD177" s="2"/>
      <c r="BE177" s="2"/>
      <c r="BF177" s="2"/>
      <c r="BG177" s="2"/>
      <c r="BH177" s="2"/>
      <c r="BI177" s="2"/>
      <c r="BJ177" s="2"/>
      <c r="BK177" s="2"/>
    </row>
    <row r="178" spans="1:63" outlineLevel="2" x14ac:dyDescent="0.2">
      <c r="C178" s="113"/>
      <c r="D178" s="110"/>
      <c r="E178" s="110"/>
      <c r="F178" s="110"/>
      <c r="G178" s="110"/>
      <c r="H178" s="110"/>
      <c r="I178" s="110"/>
      <c r="J178" s="110"/>
      <c r="K178" s="110"/>
      <c r="L178" s="110"/>
      <c r="M178" s="121"/>
      <c r="N178" s="121"/>
      <c r="O178" s="121"/>
      <c r="P178" s="121"/>
      <c r="Q178" s="121"/>
      <c r="R178" s="121"/>
      <c r="S178" s="121"/>
      <c r="T178" s="121"/>
      <c r="U178" s="121"/>
      <c r="V178" s="121"/>
      <c r="W178" s="121"/>
      <c r="X178" s="23"/>
      <c r="Y178" s="23"/>
      <c r="Z178" s="23"/>
      <c r="AA178" s="23"/>
      <c r="AB178" s="23"/>
      <c r="AC178" s="23"/>
      <c r="AD178" s="23"/>
      <c r="AE178" s="23"/>
      <c r="AF178" s="23"/>
      <c r="AG178" s="106"/>
      <c r="AJ178" s="211"/>
    </row>
    <row r="179" spans="1:63" s="200" customFormat="1" ht="16" thickBot="1" x14ac:dyDescent="0.25">
      <c r="A179" s="227" t="s">
        <v>1354</v>
      </c>
      <c r="B179" s="228"/>
      <c r="C179" s="229">
        <f t="shared" ref="C179:AG179" si="32">(C45*C62+C46*C98+C48*C131+C47*C160+C49*C169)/C50</f>
        <v>0.12432628235285131</v>
      </c>
      <c r="D179" s="229">
        <f t="shared" si="32"/>
        <v>0.1296124724760547</v>
      </c>
      <c r="E179" s="229">
        <f t="shared" si="32"/>
        <v>0.13482819344518973</v>
      </c>
      <c r="F179" s="229">
        <f t="shared" si="32"/>
        <v>0.13997271353822002</v>
      </c>
      <c r="G179" s="229">
        <f t="shared" si="32"/>
        <v>0.14504527793425787</v>
      </c>
      <c r="H179" s="229">
        <f t="shared" si="32"/>
        <v>0.15004510779483851</v>
      </c>
      <c r="I179" s="229">
        <f t="shared" si="32"/>
        <v>0.15489891970296549</v>
      </c>
      <c r="J179" s="229">
        <f t="shared" si="32"/>
        <v>0.15967070519764204</v>
      </c>
      <c r="K179" s="229">
        <f t="shared" si="32"/>
        <v>0.16435911328501185</v>
      </c>
      <c r="L179" s="229">
        <f t="shared" si="32"/>
        <v>0.16896274163216862</v>
      </c>
      <c r="M179" s="229">
        <f t="shared" si="32"/>
        <v>0.17348013410510033</v>
      </c>
      <c r="N179" s="229">
        <f t="shared" si="32"/>
        <v>0.18343546841839239</v>
      </c>
      <c r="O179" s="229">
        <f t="shared" si="32"/>
        <v>0.19331018975503819</v>
      </c>
      <c r="P179" s="229">
        <f t="shared" si="32"/>
        <v>0.20265493210052804</v>
      </c>
      <c r="Q179" s="229">
        <f t="shared" si="32"/>
        <v>0.2116767268071541</v>
      </c>
      <c r="R179" s="229">
        <f t="shared" si="32"/>
        <v>0.22036300928632901</v>
      </c>
      <c r="S179" s="229">
        <f t="shared" si="32"/>
        <v>0.22875112346745699</v>
      </c>
      <c r="T179" s="229">
        <f t="shared" si="32"/>
        <v>0.23678332832402618</v>
      </c>
      <c r="U179" s="229">
        <f t="shared" si="32"/>
        <v>0.24444479716186848</v>
      </c>
      <c r="V179" s="229">
        <f t="shared" si="32"/>
        <v>0.25171962375279666</v>
      </c>
      <c r="W179" s="229">
        <f t="shared" si="32"/>
        <v>0.25859072225675123</v>
      </c>
      <c r="X179" s="229">
        <f t="shared" si="32"/>
        <v>0.27059552112619667</v>
      </c>
      <c r="Y179" s="229">
        <f t="shared" si="32"/>
        <v>0.28323323010835982</v>
      </c>
      <c r="Z179" s="229">
        <f t="shared" si="32"/>
        <v>0.29511937587871118</v>
      </c>
      <c r="AA179" s="229">
        <f t="shared" si="32"/>
        <v>0.30624216384438935</v>
      </c>
      <c r="AB179" s="229">
        <f t="shared" si="32"/>
        <v>0.31656165867226282</v>
      </c>
      <c r="AC179" s="229">
        <f t="shared" si="32"/>
        <v>0.325978241695631</v>
      </c>
      <c r="AD179" s="229">
        <f t="shared" si="32"/>
        <v>0.33449120308145941</v>
      </c>
      <c r="AE179" s="229">
        <f t="shared" si="32"/>
        <v>0.34204800692495302</v>
      </c>
      <c r="AF179" s="229">
        <f t="shared" si="32"/>
        <v>0.34859123534472691</v>
      </c>
      <c r="AG179" s="229">
        <f t="shared" si="32"/>
        <v>0.35405800763209294</v>
      </c>
      <c r="AJ179" s="231" t="s">
        <v>1355</v>
      </c>
      <c r="AL179" s="217"/>
      <c r="AM179" s="225"/>
      <c r="AN179" s="225"/>
      <c r="AO179" s="225"/>
    </row>
    <row r="180" spans="1:63" s="200" customFormat="1" ht="17" thickTop="1" thickBot="1" x14ac:dyDescent="0.25">
      <c r="A180" s="227" t="s">
        <v>1356</v>
      </c>
      <c r="B180" s="228"/>
      <c r="C180" s="229">
        <f t="shared" ref="C180:AG180" si="33">(C14*C52+C98*C15+C17*C131+C157*C16+C169*C18)/C19</f>
        <v>0.10392620862112158</v>
      </c>
      <c r="D180" s="229">
        <f t="shared" si="33"/>
        <v>0.10894191165434498</v>
      </c>
      <c r="E180" s="229">
        <f t="shared" si="33"/>
        <v>0.11393475964820672</v>
      </c>
      <c r="F180" s="229">
        <f t="shared" si="33"/>
        <v>0.11890399603291489</v>
      </c>
      <c r="G180" s="229">
        <f t="shared" si="33"/>
        <v>0.12384883047315051</v>
      </c>
      <c r="H180" s="229">
        <f t="shared" si="33"/>
        <v>0.12876843696312834</v>
      </c>
      <c r="I180" s="229">
        <f t="shared" si="33"/>
        <v>0.13334492227923975</v>
      </c>
      <c r="J180" s="229">
        <f t="shared" si="33"/>
        <v>0.13786371147890833</v>
      </c>
      <c r="K180" s="229">
        <f t="shared" si="33"/>
        <v>0.14232254658020149</v>
      </c>
      <c r="L180" s="229">
        <f t="shared" si="33"/>
        <v>0.14671904090901028</v>
      </c>
      <c r="M180" s="229">
        <f t="shared" si="33"/>
        <v>0.15105066943671969</v>
      </c>
      <c r="N180" s="229">
        <f t="shared" si="33"/>
        <v>0.16050814962495924</v>
      </c>
      <c r="O180" s="229">
        <f t="shared" si="33"/>
        <v>0.16985153194942301</v>
      </c>
      <c r="P180" s="229">
        <f t="shared" si="33"/>
        <v>0.17889005284342424</v>
      </c>
      <c r="Q180" s="229">
        <f t="shared" si="33"/>
        <v>0.18770193561767964</v>
      </c>
      <c r="R180" s="229">
        <f t="shared" si="33"/>
        <v>0.19627307208042419</v>
      </c>
      <c r="S180" s="229">
        <f t="shared" si="33"/>
        <v>0.20475693186507643</v>
      </c>
      <c r="T180" s="229">
        <f t="shared" si="33"/>
        <v>0.21299485385707764</v>
      </c>
      <c r="U180" s="229">
        <f t="shared" si="33"/>
        <v>0.22097089991394703</v>
      </c>
      <c r="V180" s="229">
        <f t="shared" si="33"/>
        <v>0.22866760467603003</v>
      </c>
      <c r="W180" s="229">
        <f t="shared" si="33"/>
        <v>0.23606578178699986</v>
      </c>
      <c r="X180" s="229">
        <f t="shared" si="33"/>
        <v>0.24888132113943093</v>
      </c>
      <c r="Y180" s="229">
        <f t="shared" si="33"/>
        <v>0.2618356429526037</v>
      </c>
      <c r="Z180" s="229">
        <f t="shared" si="33"/>
        <v>0.27415690393617559</v>
      </c>
      <c r="AA180" s="229">
        <f t="shared" si="33"/>
        <v>0.28586702640598716</v>
      </c>
      <c r="AB180" s="229">
        <f t="shared" si="33"/>
        <v>0.29691607698427847</v>
      </c>
      <c r="AC180" s="229">
        <f t="shared" si="33"/>
        <v>0.30706132476196157</v>
      </c>
      <c r="AD180" s="229">
        <f t="shared" si="33"/>
        <v>0.31639579693243342</v>
      </c>
      <c r="AE180" s="229">
        <f t="shared" si="33"/>
        <v>0.32484514481844967</v>
      </c>
      <c r="AF180" s="229">
        <f t="shared" si="33"/>
        <v>0.33232491793838548</v>
      </c>
      <c r="AG180" s="229">
        <f t="shared" si="33"/>
        <v>0.33873873627077417</v>
      </c>
      <c r="AJ180" s="226" t="s">
        <v>1357</v>
      </c>
      <c r="AL180" s="217"/>
      <c r="AM180" s="225"/>
      <c r="AN180" s="225"/>
      <c r="AO180" s="225"/>
    </row>
    <row r="181" spans="1:63" ht="16" thickTop="1" x14ac:dyDescent="0.2">
      <c r="B181" s="130"/>
      <c r="C181" s="113"/>
      <c r="D181" s="23"/>
      <c r="E181" s="23"/>
      <c r="F181" s="23"/>
      <c r="G181" s="23"/>
      <c r="H181" s="23"/>
      <c r="I181" s="23"/>
      <c r="J181" s="23"/>
      <c r="K181" s="23"/>
      <c r="L181" s="23"/>
      <c r="M181" s="126"/>
      <c r="N181" s="110"/>
      <c r="O181" s="110"/>
      <c r="P181" s="110"/>
      <c r="Q181" s="110"/>
      <c r="R181" s="110"/>
      <c r="S181" s="110"/>
      <c r="T181" s="110"/>
      <c r="U181" s="110"/>
      <c r="V181" s="110"/>
      <c r="W181" s="126"/>
      <c r="X181" s="110"/>
      <c r="Y181" s="110"/>
      <c r="Z181" s="110"/>
      <c r="AA181" s="110"/>
      <c r="AB181" s="110"/>
      <c r="AC181" s="110"/>
      <c r="AD181" s="110"/>
      <c r="AE181" s="110"/>
      <c r="AF181" s="110"/>
      <c r="AG181" s="113"/>
    </row>
    <row r="182" spans="1:63" x14ac:dyDescent="0.2">
      <c r="A182" t="s">
        <v>1358</v>
      </c>
      <c r="B182" s="130"/>
      <c r="C182" s="230">
        <f>C172+C162+C150+C144+C138+C124+C118+C112+C106+C91+C85+C79+C73+C67</f>
        <v>17.861834618571326</v>
      </c>
      <c r="D182" s="230">
        <f t="shared" ref="D182:AG182" si="34">D172+D162+D150+D144+D138+D124+D118+D112+D106+D91+D85+D79+D73+D67</f>
        <v>19.10066007535314</v>
      </c>
      <c r="E182" s="230">
        <f t="shared" si="34"/>
        <v>20.326034188179669</v>
      </c>
      <c r="F182" s="230">
        <f t="shared" si="34"/>
        <v>21.52873821376847</v>
      </c>
      <c r="G182" s="230">
        <f t="shared" si="34"/>
        <v>22.699477037904501</v>
      </c>
      <c r="H182" s="230">
        <f t="shared" si="34"/>
        <v>23.828997691393759</v>
      </c>
      <c r="I182" s="230">
        <f t="shared" si="34"/>
        <v>24.920203594353069</v>
      </c>
      <c r="J182" s="230">
        <f t="shared" si="34"/>
        <v>26.008161872602983</v>
      </c>
      <c r="K182" s="230">
        <f t="shared" si="34"/>
        <v>27.090730901312561</v>
      </c>
      <c r="L182" s="230">
        <f t="shared" si="34"/>
        <v>28.165727721645219</v>
      </c>
      <c r="M182" s="230">
        <f t="shared" si="34"/>
        <v>29.230933254463636</v>
      </c>
      <c r="N182" s="230">
        <f t="shared" si="34"/>
        <v>30.994368417798405</v>
      </c>
      <c r="O182" s="230">
        <f t="shared" si="34"/>
        <v>32.763343065805515</v>
      </c>
      <c r="P182" s="230">
        <f t="shared" si="34"/>
        <v>34.285439228140206</v>
      </c>
      <c r="Q182" s="230">
        <f t="shared" si="34"/>
        <v>35.669372491565973</v>
      </c>
      <c r="R182" s="230">
        <f t="shared" si="34"/>
        <v>36.904259676593014</v>
      </c>
      <c r="S182" s="230">
        <f t="shared" si="34"/>
        <v>38.064116044746605</v>
      </c>
      <c r="T182" s="230">
        <f t="shared" si="34"/>
        <v>39.132615658773688</v>
      </c>
      <c r="U182" s="230">
        <f t="shared" si="34"/>
        <v>40.106990200470051</v>
      </c>
      <c r="V182" s="230">
        <f t="shared" si="34"/>
        <v>40.984493572032804</v>
      </c>
      <c r="W182" s="230">
        <f t="shared" si="34"/>
        <v>41.76240438786656</v>
      </c>
      <c r="X182" s="230">
        <f t="shared" si="34"/>
        <v>42.921460653080757</v>
      </c>
      <c r="Y182" s="230">
        <f t="shared" si="34"/>
        <v>44.498990638127026</v>
      </c>
      <c r="Z182" s="230">
        <f t="shared" si="34"/>
        <v>45.899549468763738</v>
      </c>
      <c r="AA182" s="230">
        <f t="shared" si="34"/>
        <v>47.125533221783982</v>
      </c>
      <c r="AB182" s="230">
        <f t="shared" si="34"/>
        <v>48.172480788552022</v>
      </c>
      <c r="AC182" s="230">
        <f t="shared" si="34"/>
        <v>49.021306875883333</v>
      </c>
      <c r="AD182" s="230">
        <f t="shared" si="34"/>
        <v>49.681090085337402</v>
      </c>
      <c r="AE182" s="230">
        <f t="shared" si="34"/>
        <v>50.14749590784735</v>
      </c>
      <c r="AF182" s="230">
        <f t="shared" si="34"/>
        <v>50.416239114269601</v>
      </c>
      <c r="AG182" s="230">
        <f t="shared" si="34"/>
        <v>50.483087207378787</v>
      </c>
      <c r="AI182" s="23">
        <f>(AG182/C182)^(1/30)-1</f>
        <v>3.5239087753649256E-2</v>
      </c>
    </row>
    <row r="183" spans="1:63" x14ac:dyDescent="0.2">
      <c r="A183" t="s">
        <v>1359</v>
      </c>
      <c r="B183" s="130"/>
      <c r="C183" s="230">
        <f>C182</f>
        <v>17.861834618571326</v>
      </c>
      <c r="D183" s="230">
        <f>C183*(1+$AI$183)</f>
        <v>18.160127256701465</v>
      </c>
      <c r="E183" s="230">
        <f t="shared" ref="E183:AG183" si="35">D183*(1+$AI$183)</f>
        <v>18.463401381888378</v>
      </c>
      <c r="F183" s="230">
        <f t="shared" si="35"/>
        <v>18.771740184965914</v>
      </c>
      <c r="G183" s="230">
        <f t="shared" si="35"/>
        <v>19.085228246054843</v>
      </c>
      <c r="H183" s="230">
        <f t="shared" si="35"/>
        <v>19.403951557763957</v>
      </c>
      <c r="I183" s="230">
        <f t="shared" si="35"/>
        <v>19.727997548778614</v>
      </c>
      <c r="J183" s="230">
        <f t="shared" si="35"/>
        <v>20.057455107843214</v>
      </c>
      <c r="K183" s="230">
        <f t="shared" si="35"/>
        <v>20.392414608144193</v>
      </c>
      <c r="L183" s="230">
        <f t="shared" si="35"/>
        <v>20.732967932100198</v>
      </c>
      <c r="M183" s="230">
        <f t="shared" si="35"/>
        <v>21.07920849656627</v>
      </c>
      <c r="N183" s="230">
        <f t="shared" si="35"/>
        <v>21.431231278458927</v>
      </c>
      <c r="O183" s="230">
        <f t="shared" si="35"/>
        <v>21.789132840809192</v>
      </c>
      <c r="P183" s="230">
        <f t="shared" si="35"/>
        <v>22.153011359250705</v>
      </c>
      <c r="Q183" s="230">
        <f t="shared" si="35"/>
        <v>22.522966648950192</v>
      </c>
      <c r="R183" s="230">
        <f t="shared" si="35"/>
        <v>22.899100191987657</v>
      </c>
      <c r="S183" s="230">
        <f t="shared" si="35"/>
        <v>23.281515165193849</v>
      </c>
      <c r="T183" s="230">
        <f t="shared" si="35"/>
        <v>23.670316468452583</v>
      </c>
      <c r="U183" s="230">
        <f t="shared" si="35"/>
        <v>24.065610753475738</v>
      </c>
      <c r="V183" s="230">
        <f t="shared" si="35"/>
        <v>24.467506453058782</v>
      </c>
      <c r="W183" s="230">
        <f t="shared" si="35"/>
        <v>24.876113810824862</v>
      </c>
      <c r="X183" s="230">
        <f t="shared" si="35"/>
        <v>25.291544911465635</v>
      </c>
      <c r="Y183" s="230">
        <f t="shared" si="35"/>
        <v>25.713913711487109</v>
      </c>
      <c r="Z183" s="230">
        <f t="shared" si="35"/>
        <v>26.143336070468941</v>
      </c>
      <c r="AA183" s="230">
        <f t="shared" si="35"/>
        <v>26.57992978284577</v>
      </c>
      <c r="AB183" s="230">
        <f t="shared" si="35"/>
        <v>27.023814610219294</v>
      </c>
      <c r="AC183" s="230">
        <f t="shared" si="35"/>
        <v>27.475112314209955</v>
      </c>
      <c r="AD183" s="230">
        <f t="shared" si="35"/>
        <v>27.933946689857258</v>
      </c>
      <c r="AE183" s="230">
        <f t="shared" si="35"/>
        <v>28.400443599577873</v>
      </c>
      <c r="AF183" s="230">
        <f t="shared" si="35"/>
        <v>28.874731007690823</v>
      </c>
      <c r="AG183" s="230">
        <f t="shared" si="35"/>
        <v>29.356939015519259</v>
      </c>
      <c r="AI183" s="214">
        <v>1.67E-2</v>
      </c>
      <c r="AJ183" s="3" t="s">
        <v>1360</v>
      </c>
    </row>
    <row r="184" spans="1:63" x14ac:dyDescent="0.2">
      <c r="B184" s="130"/>
      <c r="C184" s="127"/>
      <c r="D184" s="127"/>
      <c r="E184" s="127"/>
      <c r="F184" s="127"/>
      <c r="G184" s="127"/>
      <c r="H184" s="127"/>
      <c r="I184" s="127"/>
      <c r="J184" s="127"/>
      <c r="K184" s="127"/>
      <c r="L184" s="127"/>
      <c r="M184" s="127"/>
      <c r="N184" s="127"/>
      <c r="O184" s="127"/>
      <c r="P184" s="127"/>
      <c r="Q184" s="127"/>
      <c r="R184" s="127"/>
      <c r="S184" s="127"/>
      <c r="T184" s="127"/>
      <c r="U184" s="127"/>
      <c r="V184" s="127"/>
      <c r="W184" s="127"/>
      <c r="X184" s="127"/>
      <c r="Y184" s="127"/>
      <c r="Z184" s="127"/>
      <c r="AA184" s="127"/>
      <c r="AB184" s="127"/>
      <c r="AC184" s="127"/>
      <c r="AD184" s="127"/>
      <c r="AE184" s="127"/>
      <c r="AF184" s="127"/>
      <c r="AG184" s="127"/>
      <c r="AI184" s="214">
        <v>1.67E-2</v>
      </c>
    </row>
    <row r="185" spans="1:63" s="58" customFormat="1" x14ac:dyDescent="0.2">
      <c r="A185" s="58" t="s">
        <v>1361</v>
      </c>
      <c r="B185" s="303"/>
      <c r="C185" s="304"/>
      <c r="D185" s="304"/>
      <c r="E185" s="304"/>
      <c r="F185" s="304"/>
      <c r="G185" s="304"/>
      <c r="H185" s="304"/>
      <c r="I185" s="304"/>
      <c r="J185" s="304"/>
      <c r="K185" s="304"/>
      <c r="L185" s="304"/>
      <c r="M185" s="304"/>
      <c r="N185" s="304"/>
      <c r="O185" s="304"/>
      <c r="P185" s="304"/>
      <c r="Q185" s="304"/>
      <c r="R185" s="304"/>
      <c r="S185" s="304"/>
      <c r="T185" s="304"/>
      <c r="U185" s="304"/>
      <c r="V185" s="304"/>
      <c r="W185" s="304"/>
      <c r="X185" s="304"/>
      <c r="Y185" s="304"/>
      <c r="Z185" s="304"/>
      <c r="AA185" s="304"/>
      <c r="AB185" s="304"/>
      <c r="AC185" s="304"/>
      <c r="AD185" s="304"/>
      <c r="AE185" s="304"/>
      <c r="AF185" s="304"/>
      <c r="AG185" s="304"/>
      <c r="AI185" s="305"/>
      <c r="AJ185" s="306"/>
    </row>
    <row r="186" spans="1:63" s="190" customFormat="1" outlineLevel="1" x14ac:dyDescent="0.2">
      <c r="A186" s="344" t="s">
        <v>1362</v>
      </c>
      <c r="B186" s="318" t="s">
        <v>462</v>
      </c>
      <c r="C186" s="319">
        <v>0.84</v>
      </c>
      <c r="D186" s="320">
        <f>-($C186-$AG186)/30+C186</f>
        <v>0.83566666666666667</v>
      </c>
      <c r="E186" s="320">
        <f t="shared" ref="E186:AF186" si="36">-($C186-$AG186)/30+D186</f>
        <v>0.83133333333333337</v>
      </c>
      <c r="F186" s="320">
        <f t="shared" si="36"/>
        <v>0.82700000000000007</v>
      </c>
      <c r="G186" s="320">
        <f t="shared" si="36"/>
        <v>0.82266666666666677</v>
      </c>
      <c r="H186" s="320">
        <f t="shared" si="36"/>
        <v>0.81833333333333347</v>
      </c>
      <c r="I186" s="320">
        <f t="shared" si="36"/>
        <v>0.81400000000000017</v>
      </c>
      <c r="J186" s="320">
        <f t="shared" si="36"/>
        <v>0.80966666666666687</v>
      </c>
      <c r="K186" s="320">
        <f t="shared" si="36"/>
        <v>0.80533333333333357</v>
      </c>
      <c r="L186" s="320">
        <f t="shared" si="36"/>
        <v>0.80100000000000027</v>
      </c>
      <c r="M186" s="320">
        <f t="shared" si="36"/>
        <v>0.79666666666666697</v>
      </c>
      <c r="N186" s="320">
        <f t="shared" si="36"/>
        <v>0.79233333333333367</v>
      </c>
      <c r="O186" s="320">
        <f t="shared" si="36"/>
        <v>0.78800000000000037</v>
      </c>
      <c r="P186" s="320">
        <f t="shared" si="36"/>
        <v>0.78366666666666707</v>
      </c>
      <c r="Q186" s="320">
        <f t="shared" si="36"/>
        <v>0.77933333333333377</v>
      </c>
      <c r="R186" s="320">
        <f t="shared" si="36"/>
        <v>0.77500000000000047</v>
      </c>
      <c r="S186" s="320">
        <f t="shared" si="36"/>
        <v>0.77066666666666717</v>
      </c>
      <c r="T186" s="320">
        <f t="shared" si="36"/>
        <v>0.76633333333333387</v>
      </c>
      <c r="U186" s="320">
        <f t="shared" si="36"/>
        <v>0.76200000000000057</v>
      </c>
      <c r="V186" s="320">
        <f t="shared" si="36"/>
        <v>0.75766666666666727</v>
      </c>
      <c r="W186" s="320">
        <f t="shared" si="36"/>
        <v>0.75333333333333397</v>
      </c>
      <c r="X186" s="320">
        <f t="shared" si="36"/>
        <v>0.74900000000000067</v>
      </c>
      <c r="Y186" s="320">
        <f t="shared" si="36"/>
        <v>0.74466666666666737</v>
      </c>
      <c r="Z186" s="320">
        <f t="shared" si="36"/>
        <v>0.74033333333333406</v>
      </c>
      <c r="AA186" s="320">
        <f t="shared" si="36"/>
        <v>0.73600000000000076</v>
      </c>
      <c r="AB186" s="320">
        <f t="shared" si="36"/>
        <v>0.73166666666666746</v>
      </c>
      <c r="AC186" s="320">
        <f t="shared" si="36"/>
        <v>0.72733333333333416</v>
      </c>
      <c r="AD186" s="320">
        <f t="shared" si="36"/>
        <v>0.72300000000000086</v>
      </c>
      <c r="AE186" s="320">
        <f t="shared" si="36"/>
        <v>0.71866666666666756</v>
      </c>
      <c r="AF186" s="320">
        <f t="shared" si="36"/>
        <v>0.71433333333333426</v>
      </c>
      <c r="AG186" s="319">
        <v>0.71</v>
      </c>
      <c r="AI186" s="321"/>
      <c r="AJ186" s="322" t="s">
        <v>1363</v>
      </c>
    </row>
    <row r="187" spans="1:63" outlineLevel="1" x14ac:dyDescent="0.2">
      <c r="A187" s="3" t="s">
        <v>90</v>
      </c>
      <c r="B187" s="302" t="s">
        <v>462</v>
      </c>
      <c r="C187" s="296">
        <v>0.16</v>
      </c>
      <c r="D187" s="317">
        <f t="shared" ref="D187:AF192" si="37">-($C187-$AG187)/30+C187</f>
        <v>0.16206666666666666</v>
      </c>
      <c r="E187" s="317">
        <f t="shared" si="37"/>
        <v>0.16413333333333333</v>
      </c>
      <c r="F187" s="317">
        <f t="shared" si="37"/>
        <v>0.16619999999999999</v>
      </c>
      <c r="G187" s="317">
        <f t="shared" si="37"/>
        <v>0.16826666666666665</v>
      </c>
      <c r="H187" s="317">
        <f t="shared" si="37"/>
        <v>0.17033333333333331</v>
      </c>
      <c r="I187" s="317">
        <f t="shared" si="37"/>
        <v>0.17239999999999997</v>
      </c>
      <c r="J187" s="317">
        <f t="shared" si="37"/>
        <v>0.17446666666666663</v>
      </c>
      <c r="K187" s="317">
        <f t="shared" si="37"/>
        <v>0.17653333333333329</v>
      </c>
      <c r="L187" s="317">
        <f t="shared" si="37"/>
        <v>0.17859999999999995</v>
      </c>
      <c r="M187" s="317">
        <f t="shared" si="37"/>
        <v>0.18066666666666661</v>
      </c>
      <c r="N187" s="317">
        <f t="shared" si="37"/>
        <v>0.18273333333333328</v>
      </c>
      <c r="O187" s="317">
        <f t="shared" si="37"/>
        <v>0.18479999999999994</v>
      </c>
      <c r="P187" s="317">
        <f t="shared" si="37"/>
        <v>0.1868666666666666</v>
      </c>
      <c r="Q187" s="317">
        <f t="shared" si="37"/>
        <v>0.18893333333333326</v>
      </c>
      <c r="R187" s="317">
        <f t="shared" si="37"/>
        <v>0.19099999999999992</v>
      </c>
      <c r="S187" s="317">
        <f t="shared" si="37"/>
        <v>0.19306666666666658</v>
      </c>
      <c r="T187" s="317">
        <f t="shared" si="37"/>
        <v>0.19513333333333324</v>
      </c>
      <c r="U187" s="317">
        <f t="shared" si="37"/>
        <v>0.1971999999999999</v>
      </c>
      <c r="V187" s="317">
        <f t="shared" si="37"/>
        <v>0.19926666666666656</v>
      </c>
      <c r="W187" s="317">
        <f t="shared" si="37"/>
        <v>0.20133333333333323</v>
      </c>
      <c r="X187" s="317">
        <f t="shared" si="37"/>
        <v>0.20339999999999989</v>
      </c>
      <c r="Y187" s="317">
        <f t="shared" si="37"/>
        <v>0.20546666666666655</v>
      </c>
      <c r="Z187" s="317">
        <f t="shared" si="37"/>
        <v>0.20753333333333321</v>
      </c>
      <c r="AA187" s="317">
        <f t="shared" si="37"/>
        <v>0.20959999999999987</v>
      </c>
      <c r="AB187" s="317">
        <f t="shared" si="37"/>
        <v>0.21166666666666653</v>
      </c>
      <c r="AC187" s="317">
        <f t="shared" si="37"/>
        <v>0.21373333333333319</v>
      </c>
      <c r="AD187" s="317">
        <f t="shared" si="37"/>
        <v>0.21579999999999985</v>
      </c>
      <c r="AE187" s="317">
        <f t="shared" si="37"/>
        <v>0.21786666666666651</v>
      </c>
      <c r="AF187" s="317">
        <f t="shared" si="37"/>
        <v>0.21993333333333318</v>
      </c>
      <c r="AG187" s="296">
        <v>0.222</v>
      </c>
      <c r="AI187" s="214"/>
      <c r="AJ187" s="211" t="s">
        <v>1363</v>
      </c>
    </row>
    <row r="188" spans="1:63" outlineLevel="1" x14ac:dyDescent="0.2">
      <c r="A188" s="3" t="s">
        <v>33</v>
      </c>
      <c r="B188" s="302" t="s">
        <v>462</v>
      </c>
      <c r="C188" s="296">
        <v>0.37</v>
      </c>
      <c r="D188" s="317">
        <f t="shared" si="37"/>
        <v>0.36270000000000002</v>
      </c>
      <c r="E188" s="317">
        <f t="shared" si="37"/>
        <v>0.35540000000000005</v>
      </c>
      <c r="F188" s="317">
        <f t="shared" si="37"/>
        <v>0.34810000000000008</v>
      </c>
      <c r="G188" s="317">
        <f t="shared" si="37"/>
        <v>0.3408000000000001</v>
      </c>
      <c r="H188" s="317">
        <f t="shared" si="37"/>
        <v>0.33350000000000013</v>
      </c>
      <c r="I188" s="317">
        <f t="shared" si="37"/>
        <v>0.32620000000000016</v>
      </c>
      <c r="J188" s="317">
        <f t="shared" si="37"/>
        <v>0.31890000000000018</v>
      </c>
      <c r="K188" s="317">
        <f t="shared" si="37"/>
        <v>0.31160000000000021</v>
      </c>
      <c r="L188" s="317">
        <f t="shared" si="37"/>
        <v>0.30430000000000024</v>
      </c>
      <c r="M188" s="317">
        <f t="shared" si="37"/>
        <v>0.29700000000000026</v>
      </c>
      <c r="N188" s="317">
        <f t="shared" si="37"/>
        <v>0.28970000000000029</v>
      </c>
      <c r="O188" s="317">
        <f t="shared" si="37"/>
        <v>0.28240000000000032</v>
      </c>
      <c r="P188" s="317">
        <f t="shared" si="37"/>
        <v>0.27510000000000034</v>
      </c>
      <c r="Q188" s="317">
        <f t="shared" si="37"/>
        <v>0.26780000000000037</v>
      </c>
      <c r="R188" s="317">
        <f t="shared" si="37"/>
        <v>0.2605000000000004</v>
      </c>
      <c r="S188" s="317">
        <f t="shared" si="37"/>
        <v>0.25320000000000042</v>
      </c>
      <c r="T188" s="317">
        <f t="shared" si="37"/>
        <v>0.24590000000000042</v>
      </c>
      <c r="U188" s="317">
        <f t="shared" si="37"/>
        <v>0.23860000000000042</v>
      </c>
      <c r="V188" s="317">
        <f t="shared" si="37"/>
        <v>0.23130000000000042</v>
      </c>
      <c r="W188" s="317">
        <f t="shared" si="37"/>
        <v>0.22400000000000042</v>
      </c>
      <c r="X188" s="317">
        <f t="shared" si="37"/>
        <v>0.21670000000000042</v>
      </c>
      <c r="Y188" s="317">
        <f t="shared" si="37"/>
        <v>0.20940000000000042</v>
      </c>
      <c r="Z188" s="317">
        <f t="shared" si="37"/>
        <v>0.20210000000000042</v>
      </c>
      <c r="AA188" s="317">
        <f t="shared" si="37"/>
        <v>0.19480000000000042</v>
      </c>
      <c r="AB188" s="317">
        <f t="shared" si="37"/>
        <v>0.18750000000000042</v>
      </c>
      <c r="AC188" s="317">
        <f t="shared" si="37"/>
        <v>0.18020000000000042</v>
      </c>
      <c r="AD188" s="317">
        <f t="shared" si="37"/>
        <v>0.17290000000000041</v>
      </c>
      <c r="AE188" s="317">
        <f t="shared" si="37"/>
        <v>0.16560000000000041</v>
      </c>
      <c r="AF188" s="317">
        <f t="shared" si="37"/>
        <v>0.15830000000000041</v>
      </c>
      <c r="AG188" s="296">
        <v>0.151</v>
      </c>
      <c r="AI188" s="214"/>
      <c r="AJ188" s="211" t="s">
        <v>1363</v>
      </c>
    </row>
    <row r="189" spans="1:63" outlineLevel="1" x14ac:dyDescent="0.2">
      <c r="A189" s="3" t="s">
        <v>451</v>
      </c>
      <c r="B189" s="302" t="s">
        <v>462</v>
      </c>
      <c r="C189" s="296">
        <v>0.08</v>
      </c>
      <c r="D189" s="317">
        <f t="shared" si="37"/>
        <v>8.0100000000000005E-2</v>
      </c>
      <c r="E189" s="317">
        <f t="shared" si="37"/>
        <v>8.0200000000000007E-2</v>
      </c>
      <c r="F189" s="317">
        <f t="shared" si="37"/>
        <v>8.030000000000001E-2</v>
      </c>
      <c r="G189" s="317">
        <f t="shared" si="37"/>
        <v>8.0400000000000013E-2</v>
      </c>
      <c r="H189" s="317">
        <f t="shared" si="37"/>
        <v>8.0500000000000016E-2</v>
      </c>
      <c r="I189" s="317">
        <f t="shared" si="37"/>
        <v>8.0600000000000019E-2</v>
      </c>
      <c r="J189" s="317">
        <f t="shared" si="37"/>
        <v>8.0700000000000022E-2</v>
      </c>
      <c r="K189" s="317">
        <f t="shared" si="37"/>
        <v>8.0800000000000025E-2</v>
      </c>
      <c r="L189" s="317">
        <f t="shared" si="37"/>
        <v>8.0900000000000027E-2</v>
      </c>
      <c r="M189" s="317">
        <f t="shared" si="37"/>
        <v>8.100000000000003E-2</v>
      </c>
      <c r="N189" s="317">
        <f t="shared" si="37"/>
        <v>8.1100000000000033E-2</v>
      </c>
      <c r="O189" s="317">
        <f t="shared" si="37"/>
        <v>8.1200000000000036E-2</v>
      </c>
      <c r="P189" s="317">
        <f t="shared" si="37"/>
        <v>8.1300000000000039E-2</v>
      </c>
      <c r="Q189" s="317">
        <f t="shared" si="37"/>
        <v>8.1400000000000042E-2</v>
      </c>
      <c r="R189" s="317">
        <f t="shared" si="37"/>
        <v>8.1500000000000045E-2</v>
      </c>
      <c r="S189" s="317">
        <f t="shared" si="37"/>
        <v>8.1600000000000047E-2</v>
      </c>
      <c r="T189" s="317">
        <f t="shared" si="37"/>
        <v>8.170000000000005E-2</v>
      </c>
      <c r="U189" s="317">
        <f t="shared" si="37"/>
        <v>8.1800000000000053E-2</v>
      </c>
      <c r="V189" s="317">
        <f t="shared" si="37"/>
        <v>8.1900000000000056E-2</v>
      </c>
      <c r="W189" s="317">
        <f t="shared" si="37"/>
        <v>8.2000000000000059E-2</v>
      </c>
      <c r="X189" s="317">
        <f t="shared" si="37"/>
        <v>8.2100000000000062E-2</v>
      </c>
      <c r="Y189" s="317">
        <f t="shared" si="37"/>
        <v>8.2200000000000065E-2</v>
      </c>
      <c r="Z189" s="317">
        <f t="shared" si="37"/>
        <v>8.2300000000000068E-2</v>
      </c>
      <c r="AA189" s="317">
        <f t="shared" si="37"/>
        <v>8.240000000000007E-2</v>
      </c>
      <c r="AB189" s="317">
        <f t="shared" si="37"/>
        <v>8.2500000000000073E-2</v>
      </c>
      <c r="AC189" s="317">
        <f t="shared" si="37"/>
        <v>8.2600000000000076E-2</v>
      </c>
      <c r="AD189" s="317">
        <f t="shared" si="37"/>
        <v>8.2700000000000079E-2</v>
      </c>
      <c r="AE189" s="317">
        <f t="shared" si="37"/>
        <v>8.2800000000000082E-2</v>
      </c>
      <c r="AF189" s="317">
        <f t="shared" si="37"/>
        <v>8.2900000000000085E-2</v>
      </c>
      <c r="AG189" s="296">
        <v>8.3000000000000004E-2</v>
      </c>
      <c r="AI189" s="214"/>
      <c r="AJ189" s="211" t="s">
        <v>1363</v>
      </c>
    </row>
    <row r="190" spans="1:63" outlineLevel="1" x14ac:dyDescent="0.2">
      <c r="A190" s="3" t="s">
        <v>452</v>
      </c>
      <c r="B190" s="302" t="s">
        <v>462</v>
      </c>
      <c r="C190" s="296">
        <v>0.27</v>
      </c>
      <c r="D190" s="317">
        <f t="shared" si="37"/>
        <v>0.27313333333333334</v>
      </c>
      <c r="E190" s="317">
        <f t="shared" si="37"/>
        <v>0.27626666666666666</v>
      </c>
      <c r="F190" s="317">
        <f t="shared" si="37"/>
        <v>0.27939999999999998</v>
      </c>
      <c r="G190" s="317">
        <f t="shared" si="37"/>
        <v>0.2825333333333333</v>
      </c>
      <c r="H190" s="317">
        <f t="shared" si="37"/>
        <v>0.28566666666666662</v>
      </c>
      <c r="I190" s="317">
        <f t="shared" si="37"/>
        <v>0.28879999999999995</v>
      </c>
      <c r="J190" s="317">
        <f t="shared" si="37"/>
        <v>0.29193333333333327</v>
      </c>
      <c r="K190" s="317">
        <f t="shared" si="37"/>
        <v>0.29506666666666659</v>
      </c>
      <c r="L190" s="317">
        <f t="shared" si="37"/>
        <v>0.29819999999999991</v>
      </c>
      <c r="M190" s="317">
        <f t="shared" si="37"/>
        <v>0.30133333333333323</v>
      </c>
      <c r="N190" s="317">
        <f t="shared" si="37"/>
        <v>0.30446666666666655</v>
      </c>
      <c r="O190" s="317">
        <f t="shared" si="37"/>
        <v>0.30759999999999987</v>
      </c>
      <c r="P190" s="317">
        <f t="shared" si="37"/>
        <v>0.31073333333333319</v>
      </c>
      <c r="Q190" s="317">
        <f t="shared" si="37"/>
        <v>0.31386666666666652</v>
      </c>
      <c r="R190" s="317">
        <f t="shared" si="37"/>
        <v>0.31699999999999984</v>
      </c>
      <c r="S190" s="317">
        <f t="shared" si="37"/>
        <v>0.32013333333333316</v>
      </c>
      <c r="T190" s="317">
        <f t="shared" si="37"/>
        <v>0.32326666666666648</v>
      </c>
      <c r="U190" s="317">
        <f t="shared" si="37"/>
        <v>0.3263999999999998</v>
      </c>
      <c r="V190" s="317">
        <f t="shared" si="37"/>
        <v>0.32953333333333312</v>
      </c>
      <c r="W190" s="317">
        <f t="shared" si="37"/>
        <v>0.33266666666666644</v>
      </c>
      <c r="X190" s="317">
        <f t="shared" si="37"/>
        <v>0.33579999999999977</v>
      </c>
      <c r="Y190" s="317">
        <f t="shared" si="37"/>
        <v>0.33893333333333309</v>
      </c>
      <c r="Z190" s="317">
        <f t="shared" si="37"/>
        <v>0.34206666666666641</v>
      </c>
      <c r="AA190" s="317">
        <f t="shared" si="37"/>
        <v>0.34519999999999973</v>
      </c>
      <c r="AB190" s="317">
        <f t="shared" si="37"/>
        <v>0.34833333333333305</v>
      </c>
      <c r="AC190" s="317">
        <f t="shared" si="37"/>
        <v>0.35146666666666637</v>
      </c>
      <c r="AD190" s="317">
        <f t="shared" si="37"/>
        <v>0.35459999999999969</v>
      </c>
      <c r="AE190" s="317">
        <f t="shared" si="37"/>
        <v>0.35773333333333301</v>
      </c>
      <c r="AF190" s="317">
        <f t="shared" si="37"/>
        <v>0.36086666666666634</v>
      </c>
      <c r="AG190" s="296">
        <v>0.36399999999999999</v>
      </c>
      <c r="AI190" s="214"/>
      <c r="AJ190" s="211" t="s">
        <v>1363</v>
      </c>
    </row>
    <row r="191" spans="1:63" outlineLevel="1" x14ac:dyDescent="0.2">
      <c r="A191" s="3" t="s">
        <v>1364</v>
      </c>
      <c r="B191" s="302" t="s">
        <v>462</v>
      </c>
      <c r="C191" s="296">
        <v>7.0000000000000007E-2</v>
      </c>
      <c r="D191" s="317">
        <f t="shared" si="37"/>
        <v>7.1266666666666673E-2</v>
      </c>
      <c r="E191" s="317">
        <f t="shared" si="37"/>
        <v>7.2533333333333339E-2</v>
      </c>
      <c r="F191" s="317">
        <f t="shared" si="37"/>
        <v>7.3800000000000004E-2</v>
      </c>
      <c r="G191" s="317">
        <f t="shared" si="37"/>
        <v>7.506666666666667E-2</v>
      </c>
      <c r="H191" s="317">
        <f t="shared" si="37"/>
        <v>7.6333333333333336E-2</v>
      </c>
      <c r="I191" s="317">
        <f t="shared" si="37"/>
        <v>7.7600000000000002E-2</v>
      </c>
      <c r="J191" s="317">
        <f t="shared" si="37"/>
        <v>7.8866666666666668E-2</v>
      </c>
      <c r="K191" s="317">
        <f t="shared" si="37"/>
        <v>8.0133333333333334E-2</v>
      </c>
      <c r="L191" s="317">
        <f t="shared" si="37"/>
        <v>8.14E-2</v>
      </c>
      <c r="M191" s="317">
        <f t="shared" si="37"/>
        <v>8.2666666666666666E-2</v>
      </c>
      <c r="N191" s="317">
        <f t="shared" si="37"/>
        <v>8.3933333333333332E-2</v>
      </c>
      <c r="O191" s="317">
        <f t="shared" si="37"/>
        <v>8.5199999999999998E-2</v>
      </c>
      <c r="P191" s="317">
        <f t="shared" si="37"/>
        <v>8.6466666666666664E-2</v>
      </c>
      <c r="Q191" s="317">
        <f t="shared" si="37"/>
        <v>8.773333333333333E-2</v>
      </c>
      <c r="R191" s="317">
        <f t="shared" si="37"/>
        <v>8.8999999999999996E-2</v>
      </c>
      <c r="S191" s="317">
        <f t="shared" si="37"/>
        <v>9.0266666666666662E-2</v>
      </c>
      <c r="T191" s="317">
        <f t="shared" si="37"/>
        <v>9.1533333333333328E-2</v>
      </c>
      <c r="U191" s="317">
        <f t="shared" si="37"/>
        <v>9.2799999999999994E-2</v>
      </c>
      <c r="V191" s="317">
        <f t="shared" si="37"/>
        <v>9.406666666666666E-2</v>
      </c>
      <c r="W191" s="317">
        <f t="shared" si="37"/>
        <v>9.5333333333333325E-2</v>
      </c>
      <c r="X191" s="317">
        <f t="shared" si="37"/>
        <v>9.6599999999999991E-2</v>
      </c>
      <c r="Y191" s="317">
        <f t="shared" si="37"/>
        <v>9.7866666666666657E-2</v>
      </c>
      <c r="Z191" s="317">
        <f t="shared" si="37"/>
        <v>9.9133333333333323E-2</v>
      </c>
      <c r="AA191" s="317">
        <f t="shared" si="37"/>
        <v>0.10039999999999999</v>
      </c>
      <c r="AB191" s="317">
        <f t="shared" si="37"/>
        <v>0.10166666666666666</v>
      </c>
      <c r="AC191" s="317">
        <f t="shared" si="37"/>
        <v>0.10293333333333332</v>
      </c>
      <c r="AD191" s="317">
        <f t="shared" si="37"/>
        <v>0.10419999999999999</v>
      </c>
      <c r="AE191" s="317">
        <f t="shared" si="37"/>
        <v>0.10546666666666665</v>
      </c>
      <c r="AF191" s="317">
        <f t="shared" si="37"/>
        <v>0.10673333333333332</v>
      </c>
      <c r="AG191" s="296">
        <v>0.108</v>
      </c>
      <c r="AI191" s="214"/>
      <c r="AJ191" s="211" t="s">
        <v>1363</v>
      </c>
    </row>
    <row r="192" spans="1:63" outlineLevel="1" x14ac:dyDescent="0.2">
      <c r="A192" s="3" t="s">
        <v>1365</v>
      </c>
      <c r="B192" s="302" t="s">
        <v>462</v>
      </c>
      <c r="C192" s="296">
        <v>0.05</v>
      </c>
      <c r="D192" s="317">
        <f t="shared" si="37"/>
        <v>5.0733333333333339E-2</v>
      </c>
      <c r="E192" s="317">
        <f t="shared" si="37"/>
        <v>5.1466666666666674E-2</v>
      </c>
      <c r="F192" s="317">
        <f t="shared" si="37"/>
        <v>5.220000000000001E-2</v>
      </c>
      <c r="G192" s="317">
        <f t="shared" si="37"/>
        <v>5.2933333333333346E-2</v>
      </c>
      <c r="H192" s="317">
        <f t="shared" si="37"/>
        <v>5.3666666666666682E-2</v>
      </c>
      <c r="I192" s="317">
        <f t="shared" si="37"/>
        <v>5.4400000000000018E-2</v>
      </c>
      <c r="J192" s="317">
        <f t="shared" si="37"/>
        <v>5.5133333333333354E-2</v>
      </c>
      <c r="K192" s="317">
        <f t="shared" si="37"/>
        <v>5.5866666666666689E-2</v>
      </c>
      <c r="L192" s="317">
        <f t="shared" si="37"/>
        <v>5.6600000000000025E-2</v>
      </c>
      <c r="M192" s="317">
        <f t="shared" si="37"/>
        <v>5.7333333333333361E-2</v>
      </c>
      <c r="N192" s="317">
        <f t="shared" si="37"/>
        <v>5.8066666666666697E-2</v>
      </c>
      <c r="O192" s="317">
        <f t="shared" si="37"/>
        <v>5.8800000000000033E-2</v>
      </c>
      <c r="P192" s="317">
        <f t="shared" si="37"/>
        <v>5.9533333333333369E-2</v>
      </c>
      <c r="Q192" s="317">
        <f t="shared" si="37"/>
        <v>6.0266666666666704E-2</v>
      </c>
      <c r="R192" s="317">
        <f t="shared" si="37"/>
        <v>6.100000000000004E-2</v>
      </c>
      <c r="S192" s="317">
        <f t="shared" si="37"/>
        <v>6.1733333333333376E-2</v>
      </c>
      <c r="T192" s="317">
        <f t="shared" si="37"/>
        <v>6.2466666666666712E-2</v>
      </c>
      <c r="U192" s="317">
        <f t="shared" si="37"/>
        <v>6.3200000000000048E-2</v>
      </c>
      <c r="V192" s="317">
        <f t="shared" si="37"/>
        <v>6.3933333333333384E-2</v>
      </c>
      <c r="W192" s="317">
        <f t="shared" si="37"/>
        <v>6.4666666666666719E-2</v>
      </c>
      <c r="X192" s="317">
        <f t="shared" si="37"/>
        <v>6.5400000000000055E-2</v>
      </c>
      <c r="Y192" s="317">
        <f t="shared" si="37"/>
        <v>6.6133333333333391E-2</v>
      </c>
      <c r="Z192" s="317">
        <f t="shared" si="37"/>
        <v>6.6866666666666727E-2</v>
      </c>
      <c r="AA192" s="317">
        <f t="shared" si="37"/>
        <v>6.7600000000000063E-2</v>
      </c>
      <c r="AB192" s="317">
        <f t="shared" si="37"/>
        <v>6.8333333333333399E-2</v>
      </c>
      <c r="AC192" s="317">
        <f t="shared" si="37"/>
        <v>6.9066666666666734E-2</v>
      </c>
      <c r="AD192" s="317">
        <f t="shared" si="37"/>
        <v>6.980000000000007E-2</v>
      </c>
      <c r="AE192" s="317">
        <f t="shared" si="37"/>
        <v>7.0533333333333406E-2</v>
      </c>
      <c r="AF192" s="317">
        <f t="shared" si="37"/>
        <v>7.1266666666666742E-2</v>
      </c>
      <c r="AG192" s="296">
        <v>7.1999999999999995E-2</v>
      </c>
      <c r="AI192" s="214"/>
      <c r="AJ192" s="211" t="s">
        <v>1363</v>
      </c>
    </row>
    <row r="193" spans="1:36" s="58" customFormat="1" outlineLevel="1" x14ac:dyDescent="0.2">
      <c r="A193" s="306" t="s">
        <v>1366</v>
      </c>
      <c r="B193" s="303"/>
      <c r="C193" s="304"/>
      <c r="D193" s="304"/>
      <c r="E193" s="304"/>
      <c r="F193" s="304"/>
      <c r="G193" s="304"/>
      <c r="H193" s="304"/>
      <c r="I193" s="304"/>
      <c r="J193" s="304"/>
      <c r="K193" s="304"/>
      <c r="L193" s="304"/>
      <c r="M193" s="304"/>
      <c r="N193" s="304"/>
      <c r="O193" s="304"/>
      <c r="P193" s="304"/>
      <c r="Q193" s="304"/>
      <c r="R193" s="304"/>
      <c r="S193" s="304"/>
      <c r="T193" s="304"/>
      <c r="U193" s="304"/>
      <c r="V193" s="304"/>
      <c r="W193" s="304"/>
      <c r="X193" s="304"/>
      <c r="Y193" s="304"/>
      <c r="Z193" s="304"/>
      <c r="AA193" s="304"/>
      <c r="AB193" s="304"/>
      <c r="AC193" s="304"/>
      <c r="AD193" s="304"/>
      <c r="AE193" s="304"/>
      <c r="AF193" s="304"/>
      <c r="AG193" s="304"/>
      <c r="AI193" s="305"/>
      <c r="AJ193" s="306"/>
    </row>
    <row r="194" spans="1:36" s="58" customFormat="1" outlineLevel="1" x14ac:dyDescent="0.2">
      <c r="A194" s="307" t="s">
        <v>1367</v>
      </c>
      <c r="B194" s="308" t="s">
        <v>462</v>
      </c>
      <c r="C194" s="337">
        <v>0.84</v>
      </c>
      <c r="D194" s="338">
        <f>-($C194-$AG194)/30+C194</f>
        <v>0.84399999999999997</v>
      </c>
      <c r="E194" s="338">
        <f t="shared" ref="E194:AF194" si="38">-($C194-$AG194)/30+D194</f>
        <v>0.84799999999999998</v>
      </c>
      <c r="F194" s="338">
        <f t="shared" si="38"/>
        <v>0.85199999999999998</v>
      </c>
      <c r="G194" s="338">
        <f t="shared" si="38"/>
        <v>0.85599999999999998</v>
      </c>
      <c r="H194" s="338">
        <f t="shared" si="38"/>
        <v>0.86</v>
      </c>
      <c r="I194" s="338">
        <f t="shared" si="38"/>
        <v>0.86399999999999999</v>
      </c>
      <c r="J194" s="338">
        <f t="shared" si="38"/>
        <v>0.86799999999999999</v>
      </c>
      <c r="K194" s="338">
        <f t="shared" si="38"/>
        <v>0.872</v>
      </c>
      <c r="L194" s="338">
        <f t="shared" si="38"/>
        <v>0.876</v>
      </c>
      <c r="M194" s="338">
        <f t="shared" si="38"/>
        <v>0.88</v>
      </c>
      <c r="N194" s="338">
        <f t="shared" si="38"/>
        <v>0.88400000000000001</v>
      </c>
      <c r="O194" s="338">
        <f t="shared" si="38"/>
        <v>0.88800000000000001</v>
      </c>
      <c r="P194" s="338">
        <f t="shared" si="38"/>
        <v>0.89200000000000002</v>
      </c>
      <c r="Q194" s="338">
        <f t="shared" si="38"/>
        <v>0.89600000000000002</v>
      </c>
      <c r="R194" s="338">
        <f t="shared" si="38"/>
        <v>0.9</v>
      </c>
      <c r="S194" s="338">
        <f t="shared" si="38"/>
        <v>0.90400000000000003</v>
      </c>
      <c r="T194" s="338">
        <f t="shared" si="38"/>
        <v>0.90800000000000003</v>
      </c>
      <c r="U194" s="338">
        <f t="shared" si="38"/>
        <v>0.91200000000000003</v>
      </c>
      <c r="V194" s="338">
        <f t="shared" si="38"/>
        <v>0.91600000000000004</v>
      </c>
      <c r="W194" s="338">
        <f t="shared" si="38"/>
        <v>0.92</v>
      </c>
      <c r="X194" s="338">
        <f t="shared" si="38"/>
        <v>0.92400000000000004</v>
      </c>
      <c r="Y194" s="338">
        <f t="shared" si="38"/>
        <v>0.92800000000000005</v>
      </c>
      <c r="Z194" s="338">
        <f t="shared" si="38"/>
        <v>0.93200000000000005</v>
      </c>
      <c r="AA194" s="338">
        <f t="shared" si="38"/>
        <v>0.93600000000000005</v>
      </c>
      <c r="AB194" s="338">
        <f t="shared" si="38"/>
        <v>0.94000000000000006</v>
      </c>
      <c r="AC194" s="338">
        <f t="shared" si="38"/>
        <v>0.94400000000000006</v>
      </c>
      <c r="AD194" s="338">
        <f t="shared" si="38"/>
        <v>0.94800000000000006</v>
      </c>
      <c r="AE194" s="338">
        <f t="shared" si="38"/>
        <v>0.95200000000000007</v>
      </c>
      <c r="AF194" s="338">
        <f t="shared" si="38"/>
        <v>0.95600000000000007</v>
      </c>
      <c r="AG194" s="337">
        <v>0.96</v>
      </c>
      <c r="AI194" s="305"/>
      <c r="AJ194" s="339" t="s">
        <v>1363</v>
      </c>
    </row>
    <row r="195" spans="1:36" s="58" customFormat="1" outlineLevel="1" x14ac:dyDescent="0.2">
      <c r="A195" s="307" t="s">
        <v>1368</v>
      </c>
      <c r="B195" s="308" t="s">
        <v>462</v>
      </c>
      <c r="C195" s="337">
        <v>0.22</v>
      </c>
      <c r="D195" s="338">
        <f>-($C195-$AG195)/30+C195</f>
        <v>0.22666666666666666</v>
      </c>
      <c r="E195" s="338">
        <f t="shared" ref="E195:AF195" si="39">-($C195-$AG195)/30+D195</f>
        <v>0.23333333333333331</v>
      </c>
      <c r="F195" s="338">
        <f t="shared" si="39"/>
        <v>0.23999999999999996</v>
      </c>
      <c r="G195" s="338">
        <f t="shared" si="39"/>
        <v>0.24666666666666662</v>
      </c>
      <c r="H195" s="338">
        <f t="shared" si="39"/>
        <v>0.2533333333333333</v>
      </c>
      <c r="I195" s="338">
        <f t="shared" si="39"/>
        <v>0.25999999999999995</v>
      </c>
      <c r="J195" s="338">
        <f t="shared" si="39"/>
        <v>0.26666666666666661</v>
      </c>
      <c r="K195" s="338">
        <f t="shared" si="39"/>
        <v>0.27333333333333326</v>
      </c>
      <c r="L195" s="338">
        <f t="shared" si="39"/>
        <v>0.27999999999999992</v>
      </c>
      <c r="M195" s="338">
        <f t="shared" si="39"/>
        <v>0.28666666666666657</v>
      </c>
      <c r="N195" s="338">
        <f t="shared" si="39"/>
        <v>0.29333333333333322</v>
      </c>
      <c r="O195" s="338">
        <f t="shared" si="39"/>
        <v>0.29999999999999988</v>
      </c>
      <c r="P195" s="338">
        <f t="shared" si="39"/>
        <v>0.30666666666666653</v>
      </c>
      <c r="Q195" s="338">
        <f t="shared" si="39"/>
        <v>0.31333333333333319</v>
      </c>
      <c r="R195" s="338">
        <f t="shared" si="39"/>
        <v>0.31999999999999984</v>
      </c>
      <c r="S195" s="338">
        <f t="shared" si="39"/>
        <v>0.32666666666666649</v>
      </c>
      <c r="T195" s="338">
        <f t="shared" si="39"/>
        <v>0.33333333333333315</v>
      </c>
      <c r="U195" s="338">
        <f t="shared" si="39"/>
        <v>0.3399999999999998</v>
      </c>
      <c r="V195" s="338">
        <f t="shared" si="39"/>
        <v>0.34666666666666646</v>
      </c>
      <c r="W195" s="338">
        <f t="shared" si="39"/>
        <v>0.35333333333333311</v>
      </c>
      <c r="X195" s="338">
        <f t="shared" si="39"/>
        <v>0.35999999999999976</v>
      </c>
      <c r="Y195" s="338">
        <f t="shared" si="39"/>
        <v>0.36666666666666642</v>
      </c>
      <c r="Z195" s="338">
        <f t="shared" si="39"/>
        <v>0.37333333333333307</v>
      </c>
      <c r="AA195" s="338">
        <f t="shared" si="39"/>
        <v>0.37999999999999973</v>
      </c>
      <c r="AB195" s="338">
        <f t="shared" si="39"/>
        <v>0.38666666666666638</v>
      </c>
      <c r="AC195" s="338">
        <f t="shared" si="39"/>
        <v>0.39333333333333304</v>
      </c>
      <c r="AD195" s="338">
        <f t="shared" si="39"/>
        <v>0.39999999999999969</v>
      </c>
      <c r="AE195" s="338">
        <f t="shared" si="39"/>
        <v>0.40666666666666634</v>
      </c>
      <c r="AF195" s="338">
        <f t="shared" si="39"/>
        <v>0.413333333333333</v>
      </c>
      <c r="AG195" s="337">
        <v>0.42</v>
      </c>
      <c r="AI195" s="305"/>
      <c r="AJ195" s="339" t="s">
        <v>1363</v>
      </c>
    </row>
    <row r="196" spans="1:36" s="62" customFormat="1" outlineLevel="1" x14ac:dyDescent="0.2">
      <c r="A196" s="311" t="s">
        <v>1369</v>
      </c>
      <c r="B196" s="312" t="s">
        <v>462</v>
      </c>
      <c r="C196" s="340">
        <f>1-C195</f>
        <v>0.78</v>
      </c>
      <c r="D196" s="340">
        <f t="shared" ref="D196:AG196" si="40">1-D195</f>
        <v>0.77333333333333332</v>
      </c>
      <c r="E196" s="340">
        <f t="shared" si="40"/>
        <v>0.76666666666666672</v>
      </c>
      <c r="F196" s="340">
        <f t="shared" si="40"/>
        <v>0.76</v>
      </c>
      <c r="G196" s="340">
        <f t="shared" si="40"/>
        <v>0.75333333333333341</v>
      </c>
      <c r="H196" s="340">
        <f t="shared" si="40"/>
        <v>0.7466666666666667</v>
      </c>
      <c r="I196" s="340">
        <f t="shared" si="40"/>
        <v>0.74</v>
      </c>
      <c r="J196" s="340">
        <f t="shared" si="40"/>
        <v>0.73333333333333339</v>
      </c>
      <c r="K196" s="340">
        <f t="shared" si="40"/>
        <v>0.72666666666666679</v>
      </c>
      <c r="L196" s="340">
        <f t="shared" si="40"/>
        <v>0.72000000000000008</v>
      </c>
      <c r="M196" s="340">
        <f t="shared" si="40"/>
        <v>0.71333333333333337</v>
      </c>
      <c r="N196" s="340">
        <f t="shared" si="40"/>
        <v>0.70666666666666678</v>
      </c>
      <c r="O196" s="340">
        <f t="shared" si="40"/>
        <v>0.70000000000000018</v>
      </c>
      <c r="P196" s="340">
        <f t="shared" si="40"/>
        <v>0.69333333333333347</v>
      </c>
      <c r="Q196" s="340">
        <f t="shared" si="40"/>
        <v>0.68666666666666676</v>
      </c>
      <c r="R196" s="340">
        <f t="shared" si="40"/>
        <v>0.68000000000000016</v>
      </c>
      <c r="S196" s="340">
        <f t="shared" si="40"/>
        <v>0.67333333333333356</v>
      </c>
      <c r="T196" s="340">
        <f t="shared" si="40"/>
        <v>0.66666666666666685</v>
      </c>
      <c r="U196" s="340">
        <f t="shared" si="40"/>
        <v>0.66000000000000014</v>
      </c>
      <c r="V196" s="340">
        <f t="shared" si="40"/>
        <v>0.65333333333333354</v>
      </c>
      <c r="W196" s="340">
        <f t="shared" si="40"/>
        <v>0.64666666666666694</v>
      </c>
      <c r="X196" s="340">
        <f t="shared" si="40"/>
        <v>0.64000000000000024</v>
      </c>
      <c r="Y196" s="340">
        <f t="shared" si="40"/>
        <v>0.63333333333333353</v>
      </c>
      <c r="Z196" s="340">
        <f t="shared" si="40"/>
        <v>0.62666666666666693</v>
      </c>
      <c r="AA196" s="340">
        <f t="shared" si="40"/>
        <v>0.62000000000000033</v>
      </c>
      <c r="AB196" s="340">
        <f t="shared" si="40"/>
        <v>0.61333333333333362</v>
      </c>
      <c r="AC196" s="340">
        <f t="shared" si="40"/>
        <v>0.60666666666666691</v>
      </c>
      <c r="AD196" s="340">
        <f t="shared" si="40"/>
        <v>0.60000000000000031</v>
      </c>
      <c r="AE196" s="340">
        <f t="shared" si="40"/>
        <v>0.59333333333333371</v>
      </c>
      <c r="AF196" s="340">
        <f t="shared" si="40"/>
        <v>0.586666666666667</v>
      </c>
      <c r="AG196" s="340">
        <f t="shared" si="40"/>
        <v>0.58000000000000007</v>
      </c>
      <c r="AI196" s="342"/>
      <c r="AJ196" s="341" t="s">
        <v>1363</v>
      </c>
    </row>
    <row r="197" spans="1:36" s="1" customFormat="1" outlineLevel="1" x14ac:dyDescent="0.2">
      <c r="A197" t="s">
        <v>1370</v>
      </c>
      <c r="B197" s="302" t="s">
        <v>462</v>
      </c>
      <c r="C197" s="296">
        <v>0.85</v>
      </c>
      <c r="D197" s="317">
        <f t="shared" ref="D197:AF205" si="41">-($C197-$AG197)/30+C197</f>
        <v>0.84833333333333327</v>
      </c>
      <c r="E197" s="317">
        <f t="shared" si="41"/>
        <v>0.84666666666666657</v>
      </c>
      <c r="F197" s="317">
        <f t="shared" si="41"/>
        <v>0.84499999999999986</v>
      </c>
      <c r="G197" s="317">
        <f t="shared" si="41"/>
        <v>0.84333333333333316</v>
      </c>
      <c r="H197" s="317">
        <f t="shared" si="41"/>
        <v>0.84166666666666645</v>
      </c>
      <c r="I197" s="317">
        <f t="shared" si="41"/>
        <v>0.83999999999999975</v>
      </c>
      <c r="J197" s="317">
        <f t="shared" si="41"/>
        <v>0.83833333333333304</v>
      </c>
      <c r="K197" s="317">
        <f t="shared" si="41"/>
        <v>0.83666666666666634</v>
      </c>
      <c r="L197" s="317">
        <f t="shared" si="41"/>
        <v>0.83499999999999963</v>
      </c>
      <c r="M197" s="317">
        <f t="shared" si="41"/>
        <v>0.83333333333333293</v>
      </c>
      <c r="N197" s="317">
        <f t="shared" si="41"/>
        <v>0.83166666666666622</v>
      </c>
      <c r="O197" s="317">
        <f t="shared" si="41"/>
        <v>0.82999999999999952</v>
      </c>
      <c r="P197" s="317">
        <f t="shared" si="41"/>
        <v>0.82833333333333281</v>
      </c>
      <c r="Q197" s="317">
        <f t="shared" si="41"/>
        <v>0.82666666666666611</v>
      </c>
      <c r="R197" s="317">
        <f t="shared" si="41"/>
        <v>0.8249999999999994</v>
      </c>
      <c r="S197" s="317">
        <f t="shared" si="41"/>
        <v>0.8233333333333327</v>
      </c>
      <c r="T197" s="317">
        <f t="shared" si="41"/>
        <v>0.82166666666666599</v>
      </c>
      <c r="U197" s="317">
        <f t="shared" si="41"/>
        <v>0.81999999999999929</v>
      </c>
      <c r="V197" s="317">
        <f t="shared" si="41"/>
        <v>0.81833333333333258</v>
      </c>
      <c r="W197" s="317">
        <f t="shared" si="41"/>
        <v>0.81666666666666587</v>
      </c>
      <c r="X197" s="317">
        <f t="shared" si="41"/>
        <v>0.81499999999999917</v>
      </c>
      <c r="Y197" s="317">
        <f t="shared" si="41"/>
        <v>0.81333333333333246</v>
      </c>
      <c r="Z197" s="317">
        <f t="shared" si="41"/>
        <v>0.81166666666666576</v>
      </c>
      <c r="AA197" s="317">
        <f t="shared" si="41"/>
        <v>0.80999999999999905</v>
      </c>
      <c r="AB197" s="317">
        <f t="shared" si="41"/>
        <v>0.80833333333333235</v>
      </c>
      <c r="AC197" s="317">
        <f t="shared" si="41"/>
        <v>0.80666666666666564</v>
      </c>
      <c r="AD197" s="317">
        <f t="shared" si="41"/>
        <v>0.80499999999999894</v>
      </c>
      <c r="AE197" s="317">
        <f t="shared" si="41"/>
        <v>0.80333333333333223</v>
      </c>
      <c r="AF197" s="317">
        <f t="shared" si="41"/>
        <v>0.80166666666666553</v>
      </c>
      <c r="AG197" s="296">
        <v>0.8</v>
      </c>
      <c r="AI197" s="316"/>
      <c r="AJ197" s="211" t="s">
        <v>1363</v>
      </c>
    </row>
    <row r="198" spans="1:36" s="1" customFormat="1" outlineLevel="1" x14ac:dyDescent="0.2">
      <c r="A198" t="s">
        <v>1371</v>
      </c>
      <c r="B198" s="302" t="s">
        <v>462</v>
      </c>
      <c r="C198" s="296">
        <v>0.15</v>
      </c>
      <c r="D198" s="317">
        <f t="shared" si="41"/>
        <v>0.15166666666666667</v>
      </c>
      <c r="E198" s="317">
        <f t="shared" si="41"/>
        <v>0.15333333333333335</v>
      </c>
      <c r="F198" s="317">
        <f t="shared" si="41"/>
        <v>0.15500000000000003</v>
      </c>
      <c r="G198" s="317">
        <f t="shared" si="41"/>
        <v>0.1566666666666667</v>
      </c>
      <c r="H198" s="317">
        <f t="shared" si="41"/>
        <v>0.15833333333333338</v>
      </c>
      <c r="I198" s="317">
        <f t="shared" si="41"/>
        <v>0.16000000000000006</v>
      </c>
      <c r="J198" s="317">
        <f t="shared" si="41"/>
        <v>0.16166666666666674</v>
      </c>
      <c r="K198" s="317">
        <f t="shared" si="41"/>
        <v>0.16333333333333341</v>
      </c>
      <c r="L198" s="317">
        <f t="shared" si="41"/>
        <v>0.16500000000000009</v>
      </c>
      <c r="M198" s="317">
        <f t="shared" si="41"/>
        <v>0.16666666666666677</v>
      </c>
      <c r="N198" s="317">
        <f t="shared" si="41"/>
        <v>0.16833333333333345</v>
      </c>
      <c r="O198" s="317">
        <f t="shared" si="41"/>
        <v>0.17000000000000012</v>
      </c>
      <c r="P198" s="317">
        <f t="shared" si="41"/>
        <v>0.1716666666666668</v>
      </c>
      <c r="Q198" s="317">
        <f t="shared" si="41"/>
        <v>0.17333333333333348</v>
      </c>
      <c r="R198" s="317">
        <f t="shared" si="41"/>
        <v>0.17500000000000016</v>
      </c>
      <c r="S198" s="317">
        <f t="shared" si="41"/>
        <v>0.17666666666666683</v>
      </c>
      <c r="T198" s="317">
        <f t="shared" si="41"/>
        <v>0.17833333333333351</v>
      </c>
      <c r="U198" s="317">
        <f t="shared" si="41"/>
        <v>0.18000000000000019</v>
      </c>
      <c r="V198" s="317">
        <f t="shared" si="41"/>
        <v>0.18166666666666687</v>
      </c>
      <c r="W198" s="317">
        <f t="shared" si="41"/>
        <v>0.18333333333333354</v>
      </c>
      <c r="X198" s="317">
        <f t="shared" si="41"/>
        <v>0.18500000000000022</v>
      </c>
      <c r="Y198" s="317">
        <f t="shared" si="41"/>
        <v>0.1866666666666669</v>
      </c>
      <c r="Z198" s="317">
        <f t="shared" si="41"/>
        <v>0.18833333333333357</v>
      </c>
      <c r="AA198" s="317">
        <f t="shared" si="41"/>
        <v>0.19000000000000025</v>
      </c>
      <c r="AB198" s="317">
        <f t="shared" si="41"/>
        <v>0.19166666666666693</v>
      </c>
      <c r="AC198" s="317">
        <f t="shared" si="41"/>
        <v>0.19333333333333361</v>
      </c>
      <c r="AD198" s="317">
        <f t="shared" si="41"/>
        <v>0.19500000000000028</v>
      </c>
      <c r="AE198" s="317">
        <f t="shared" si="41"/>
        <v>0.19666666666666696</v>
      </c>
      <c r="AF198" s="317">
        <f t="shared" si="41"/>
        <v>0.19833333333333364</v>
      </c>
      <c r="AG198" s="296">
        <v>0.2</v>
      </c>
      <c r="AI198" s="316"/>
      <c r="AJ198" s="211" t="s">
        <v>1363</v>
      </c>
    </row>
    <row r="199" spans="1:36" s="1" customFormat="1" outlineLevel="1" x14ac:dyDescent="0.2">
      <c r="A199" t="s">
        <v>1372</v>
      </c>
      <c r="B199" s="302" t="s">
        <v>462</v>
      </c>
      <c r="C199" s="296">
        <v>0.15</v>
      </c>
      <c r="D199" s="317">
        <f t="shared" si="41"/>
        <v>0.15633333333333332</v>
      </c>
      <c r="E199" s="317">
        <f t="shared" si="41"/>
        <v>0.16266666666666665</v>
      </c>
      <c r="F199" s="317">
        <f t="shared" si="41"/>
        <v>0.16899999999999998</v>
      </c>
      <c r="G199" s="317">
        <f t="shared" si="41"/>
        <v>0.17533333333333331</v>
      </c>
      <c r="H199" s="317">
        <f t="shared" si="41"/>
        <v>0.18166666666666664</v>
      </c>
      <c r="I199" s="317">
        <f t="shared" si="41"/>
        <v>0.18799999999999997</v>
      </c>
      <c r="J199" s="317">
        <f t="shared" si="41"/>
        <v>0.1943333333333333</v>
      </c>
      <c r="K199" s="317">
        <f t="shared" si="41"/>
        <v>0.20066666666666663</v>
      </c>
      <c r="L199" s="317">
        <f t="shared" si="41"/>
        <v>0.20699999999999996</v>
      </c>
      <c r="M199" s="317">
        <f t="shared" si="41"/>
        <v>0.21333333333333329</v>
      </c>
      <c r="N199" s="317">
        <f t="shared" si="41"/>
        <v>0.21966666666666662</v>
      </c>
      <c r="O199" s="317">
        <f t="shared" si="41"/>
        <v>0.22599999999999995</v>
      </c>
      <c r="P199" s="317">
        <f t="shared" si="41"/>
        <v>0.23233333333333328</v>
      </c>
      <c r="Q199" s="317">
        <f t="shared" si="41"/>
        <v>0.23866666666666661</v>
      </c>
      <c r="R199" s="317">
        <f t="shared" si="41"/>
        <v>0.24499999999999994</v>
      </c>
      <c r="S199" s="317">
        <f t="shared" si="41"/>
        <v>0.2513333333333333</v>
      </c>
      <c r="T199" s="317">
        <f t="shared" si="41"/>
        <v>0.25766666666666665</v>
      </c>
      <c r="U199" s="317">
        <f t="shared" si="41"/>
        <v>0.26400000000000001</v>
      </c>
      <c r="V199" s="317">
        <f t="shared" si="41"/>
        <v>0.27033333333333337</v>
      </c>
      <c r="W199" s="317">
        <f t="shared" si="41"/>
        <v>0.27666666666666673</v>
      </c>
      <c r="X199" s="317">
        <f t="shared" si="41"/>
        <v>0.28300000000000008</v>
      </c>
      <c r="Y199" s="317">
        <f t="shared" si="41"/>
        <v>0.28933333333333344</v>
      </c>
      <c r="Z199" s="317">
        <f t="shared" si="41"/>
        <v>0.2956666666666668</v>
      </c>
      <c r="AA199" s="317">
        <f t="shared" si="41"/>
        <v>0.30200000000000016</v>
      </c>
      <c r="AB199" s="317">
        <f t="shared" si="41"/>
        <v>0.30833333333333351</v>
      </c>
      <c r="AC199" s="317">
        <f t="shared" si="41"/>
        <v>0.31466666666666687</v>
      </c>
      <c r="AD199" s="317">
        <f t="shared" si="41"/>
        <v>0.32100000000000023</v>
      </c>
      <c r="AE199" s="317">
        <f t="shared" si="41"/>
        <v>0.32733333333333359</v>
      </c>
      <c r="AF199" s="317">
        <f t="shared" si="41"/>
        <v>0.33366666666666694</v>
      </c>
      <c r="AG199" s="296">
        <v>0.34</v>
      </c>
      <c r="AI199" s="316"/>
      <c r="AJ199" s="211" t="s">
        <v>1363</v>
      </c>
    </row>
    <row r="200" spans="1:36" s="1" customFormat="1" outlineLevel="1" x14ac:dyDescent="0.2">
      <c r="A200" t="s">
        <v>1373</v>
      </c>
      <c r="B200" s="302" t="s">
        <v>462</v>
      </c>
      <c r="C200" s="296">
        <v>0.85</v>
      </c>
      <c r="D200" s="317">
        <f t="shared" si="41"/>
        <v>0.84366666666666668</v>
      </c>
      <c r="E200" s="317">
        <f t="shared" si="41"/>
        <v>0.83733333333333337</v>
      </c>
      <c r="F200" s="317">
        <f t="shared" si="41"/>
        <v>0.83100000000000007</v>
      </c>
      <c r="G200" s="317">
        <f t="shared" si="41"/>
        <v>0.82466666666666677</v>
      </c>
      <c r="H200" s="317">
        <f t="shared" si="41"/>
        <v>0.81833333333333347</v>
      </c>
      <c r="I200" s="317">
        <f t="shared" si="41"/>
        <v>0.81200000000000017</v>
      </c>
      <c r="J200" s="317">
        <f t="shared" si="41"/>
        <v>0.80566666666666686</v>
      </c>
      <c r="K200" s="317">
        <f t="shared" si="41"/>
        <v>0.79933333333333356</v>
      </c>
      <c r="L200" s="317">
        <f t="shared" si="41"/>
        <v>0.79300000000000026</v>
      </c>
      <c r="M200" s="317">
        <f t="shared" si="41"/>
        <v>0.78666666666666696</v>
      </c>
      <c r="N200" s="317">
        <f t="shared" si="41"/>
        <v>0.78033333333333366</v>
      </c>
      <c r="O200" s="317">
        <f t="shared" si="41"/>
        <v>0.77400000000000035</v>
      </c>
      <c r="P200" s="317">
        <f t="shared" si="41"/>
        <v>0.76766666666666705</v>
      </c>
      <c r="Q200" s="317">
        <f t="shared" si="41"/>
        <v>0.76133333333333375</v>
      </c>
      <c r="R200" s="317">
        <f t="shared" si="41"/>
        <v>0.75500000000000045</v>
      </c>
      <c r="S200" s="317">
        <f t="shared" si="41"/>
        <v>0.74866666666666715</v>
      </c>
      <c r="T200" s="317">
        <f t="shared" si="41"/>
        <v>0.74233333333333384</v>
      </c>
      <c r="U200" s="317">
        <f t="shared" si="41"/>
        <v>0.73600000000000054</v>
      </c>
      <c r="V200" s="317">
        <f t="shared" si="41"/>
        <v>0.72966666666666724</v>
      </c>
      <c r="W200" s="317">
        <f t="shared" si="41"/>
        <v>0.72333333333333394</v>
      </c>
      <c r="X200" s="317">
        <f t="shared" si="41"/>
        <v>0.71700000000000064</v>
      </c>
      <c r="Y200" s="317">
        <f t="shared" si="41"/>
        <v>0.71066666666666733</v>
      </c>
      <c r="Z200" s="317">
        <f t="shared" si="41"/>
        <v>0.70433333333333403</v>
      </c>
      <c r="AA200" s="317">
        <f t="shared" si="41"/>
        <v>0.69800000000000073</v>
      </c>
      <c r="AB200" s="317">
        <f t="shared" si="41"/>
        <v>0.69166666666666743</v>
      </c>
      <c r="AC200" s="317">
        <f t="shared" si="41"/>
        <v>0.68533333333333413</v>
      </c>
      <c r="AD200" s="317">
        <f t="shared" si="41"/>
        <v>0.67900000000000083</v>
      </c>
      <c r="AE200" s="317">
        <f t="shared" si="41"/>
        <v>0.67266666666666752</v>
      </c>
      <c r="AF200" s="317">
        <f t="shared" si="41"/>
        <v>0.66633333333333422</v>
      </c>
      <c r="AG200" s="296">
        <v>0.66</v>
      </c>
      <c r="AI200" s="316"/>
      <c r="AJ200" s="211" t="s">
        <v>1363</v>
      </c>
    </row>
    <row r="201" spans="1:36" s="1" customFormat="1" outlineLevel="1" x14ac:dyDescent="0.2">
      <c r="A201" t="s">
        <v>1374</v>
      </c>
      <c r="B201" s="302" t="s">
        <v>462</v>
      </c>
      <c r="C201" s="296">
        <v>0</v>
      </c>
      <c r="D201" s="317">
        <f t="shared" si="41"/>
        <v>0</v>
      </c>
      <c r="E201" s="317">
        <f t="shared" si="41"/>
        <v>0</v>
      </c>
      <c r="F201" s="317">
        <f t="shared" si="41"/>
        <v>0</v>
      </c>
      <c r="G201" s="317">
        <f t="shared" si="41"/>
        <v>0</v>
      </c>
      <c r="H201" s="317">
        <f t="shared" si="41"/>
        <v>0</v>
      </c>
      <c r="I201" s="317">
        <f t="shared" si="41"/>
        <v>0</v>
      </c>
      <c r="J201" s="317">
        <f t="shared" si="41"/>
        <v>0</v>
      </c>
      <c r="K201" s="317">
        <f t="shared" si="41"/>
        <v>0</v>
      </c>
      <c r="L201" s="317">
        <f t="shared" si="41"/>
        <v>0</v>
      </c>
      <c r="M201" s="317">
        <f t="shared" si="41"/>
        <v>0</v>
      </c>
      <c r="N201" s="317">
        <f t="shared" si="41"/>
        <v>0</v>
      </c>
      <c r="O201" s="317">
        <f t="shared" si="41"/>
        <v>0</v>
      </c>
      <c r="P201" s="317">
        <f t="shared" si="41"/>
        <v>0</v>
      </c>
      <c r="Q201" s="317">
        <f t="shared" si="41"/>
        <v>0</v>
      </c>
      <c r="R201" s="317">
        <f t="shared" si="41"/>
        <v>0</v>
      </c>
      <c r="S201" s="317">
        <f t="shared" si="41"/>
        <v>0</v>
      </c>
      <c r="T201" s="317">
        <f t="shared" si="41"/>
        <v>0</v>
      </c>
      <c r="U201" s="317">
        <f t="shared" si="41"/>
        <v>0</v>
      </c>
      <c r="V201" s="317">
        <f t="shared" si="41"/>
        <v>0</v>
      </c>
      <c r="W201" s="317">
        <f t="shared" si="41"/>
        <v>0</v>
      </c>
      <c r="X201" s="317">
        <f t="shared" si="41"/>
        <v>0</v>
      </c>
      <c r="Y201" s="317">
        <f t="shared" si="41"/>
        <v>0</v>
      </c>
      <c r="Z201" s="317">
        <f t="shared" si="41"/>
        <v>0</v>
      </c>
      <c r="AA201" s="317">
        <f t="shared" si="41"/>
        <v>0</v>
      </c>
      <c r="AB201" s="317">
        <f t="shared" si="41"/>
        <v>0</v>
      </c>
      <c r="AC201" s="317">
        <f t="shared" si="41"/>
        <v>0</v>
      </c>
      <c r="AD201" s="317">
        <f t="shared" si="41"/>
        <v>0</v>
      </c>
      <c r="AE201" s="317">
        <f t="shared" si="41"/>
        <v>0</v>
      </c>
      <c r="AF201" s="317">
        <f t="shared" si="41"/>
        <v>0</v>
      </c>
      <c r="AG201" s="296">
        <v>0</v>
      </c>
      <c r="AI201" s="316"/>
      <c r="AJ201" s="211" t="s">
        <v>1363</v>
      </c>
    </row>
    <row r="202" spans="1:36" s="1" customFormat="1" outlineLevel="1" x14ac:dyDescent="0.2">
      <c r="A202" t="s">
        <v>1375</v>
      </c>
      <c r="B202" s="302" t="s">
        <v>462</v>
      </c>
      <c r="C202" s="296">
        <v>1</v>
      </c>
      <c r="D202" s="317">
        <f t="shared" si="41"/>
        <v>1</v>
      </c>
      <c r="E202" s="317">
        <f t="shared" si="41"/>
        <v>1</v>
      </c>
      <c r="F202" s="317">
        <f t="shared" si="41"/>
        <v>1</v>
      </c>
      <c r="G202" s="317">
        <f t="shared" si="41"/>
        <v>1</v>
      </c>
      <c r="H202" s="317">
        <f t="shared" si="41"/>
        <v>1</v>
      </c>
      <c r="I202" s="317">
        <f t="shared" si="41"/>
        <v>1</v>
      </c>
      <c r="J202" s="317">
        <f t="shared" si="41"/>
        <v>1</v>
      </c>
      <c r="K202" s="317">
        <f t="shared" si="41"/>
        <v>1</v>
      </c>
      <c r="L202" s="317">
        <f t="shared" si="41"/>
        <v>1</v>
      </c>
      <c r="M202" s="317">
        <f t="shared" si="41"/>
        <v>1</v>
      </c>
      <c r="N202" s="317">
        <f t="shared" si="41"/>
        <v>1</v>
      </c>
      <c r="O202" s="317">
        <f t="shared" si="41"/>
        <v>1</v>
      </c>
      <c r="P202" s="317">
        <f t="shared" si="41"/>
        <v>1</v>
      </c>
      <c r="Q202" s="317">
        <f t="shared" si="41"/>
        <v>1</v>
      </c>
      <c r="R202" s="317">
        <f t="shared" si="41"/>
        <v>1</v>
      </c>
      <c r="S202" s="317">
        <f t="shared" si="41"/>
        <v>1</v>
      </c>
      <c r="T202" s="317">
        <f t="shared" si="41"/>
        <v>1</v>
      </c>
      <c r="U202" s="317">
        <f t="shared" si="41"/>
        <v>1</v>
      </c>
      <c r="V202" s="317">
        <f t="shared" si="41"/>
        <v>1</v>
      </c>
      <c r="W202" s="317">
        <f t="shared" si="41"/>
        <v>1</v>
      </c>
      <c r="X202" s="317">
        <f t="shared" si="41"/>
        <v>1</v>
      </c>
      <c r="Y202" s="317">
        <f t="shared" si="41"/>
        <v>1</v>
      </c>
      <c r="Z202" s="317">
        <f t="shared" si="41"/>
        <v>1</v>
      </c>
      <c r="AA202" s="317">
        <f t="shared" si="41"/>
        <v>1</v>
      </c>
      <c r="AB202" s="317">
        <f t="shared" si="41"/>
        <v>1</v>
      </c>
      <c r="AC202" s="317">
        <f t="shared" si="41"/>
        <v>1</v>
      </c>
      <c r="AD202" s="317">
        <f t="shared" si="41"/>
        <v>1</v>
      </c>
      <c r="AE202" s="317">
        <f t="shared" si="41"/>
        <v>1</v>
      </c>
      <c r="AF202" s="317">
        <f t="shared" si="41"/>
        <v>1</v>
      </c>
      <c r="AG202" s="296">
        <v>1</v>
      </c>
      <c r="AI202" s="316"/>
      <c r="AJ202" s="211" t="s">
        <v>1363</v>
      </c>
    </row>
    <row r="203" spans="1:36" s="1" customFormat="1" outlineLevel="1" x14ac:dyDescent="0.2">
      <c r="A203" t="s">
        <v>1376</v>
      </c>
      <c r="B203" s="302" t="s">
        <v>462</v>
      </c>
      <c r="C203" s="296">
        <v>0.8</v>
      </c>
      <c r="D203" s="317">
        <f t="shared" si="41"/>
        <v>0.80333333333333334</v>
      </c>
      <c r="E203" s="317">
        <f t="shared" si="41"/>
        <v>0.80666666666666664</v>
      </c>
      <c r="F203" s="317">
        <f t="shared" si="41"/>
        <v>0.80999999999999994</v>
      </c>
      <c r="G203" s="317">
        <f t="shared" si="41"/>
        <v>0.81333333333333324</v>
      </c>
      <c r="H203" s="317">
        <f t="shared" si="41"/>
        <v>0.81666666666666654</v>
      </c>
      <c r="I203" s="317">
        <f t="shared" si="41"/>
        <v>0.81999999999999984</v>
      </c>
      <c r="J203" s="317">
        <f t="shared" si="41"/>
        <v>0.82333333333333314</v>
      </c>
      <c r="K203" s="317">
        <f t="shared" si="41"/>
        <v>0.82666666666666644</v>
      </c>
      <c r="L203" s="317">
        <f t="shared" si="41"/>
        <v>0.82999999999999974</v>
      </c>
      <c r="M203" s="317">
        <f t="shared" si="41"/>
        <v>0.83333333333333304</v>
      </c>
      <c r="N203" s="317">
        <f t="shared" si="41"/>
        <v>0.83666666666666634</v>
      </c>
      <c r="O203" s="317">
        <f t="shared" si="41"/>
        <v>0.83999999999999964</v>
      </c>
      <c r="P203" s="317">
        <f t="shared" si="41"/>
        <v>0.84333333333333294</v>
      </c>
      <c r="Q203" s="317">
        <f t="shared" si="41"/>
        <v>0.84666666666666623</v>
      </c>
      <c r="R203" s="317">
        <f t="shared" si="41"/>
        <v>0.84999999999999953</v>
      </c>
      <c r="S203" s="317">
        <f t="shared" si="41"/>
        <v>0.85333333333333283</v>
      </c>
      <c r="T203" s="317">
        <f t="shared" si="41"/>
        <v>0.85666666666666613</v>
      </c>
      <c r="U203" s="317">
        <f t="shared" si="41"/>
        <v>0.85999999999999943</v>
      </c>
      <c r="V203" s="317">
        <f t="shared" si="41"/>
        <v>0.86333333333333273</v>
      </c>
      <c r="W203" s="317">
        <f t="shared" si="41"/>
        <v>0.86666666666666603</v>
      </c>
      <c r="X203" s="317">
        <f t="shared" si="41"/>
        <v>0.86999999999999933</v>
      </c>
      <c r="Y203" s="317">
        <f t="shared" si="41"/>
        <v>0.87333333333333263</v>
      </c>
      <c r="Z203" s="317">
        <f t="shared" si="41"/>
        <v>0.87666666666666593</v>
      </c>
      <c r="AA203" s="317">
        <f t="shared" si="41"/>
        <v>0.87999999999999923</v>
      </c>
      <c r="AB203" s="317">
        <f t="shared" si="41"/>
        <v>0.88333333333333253</v>
      </c>
      <c r="AC203" s="317">
        <f t="shared" si="41"/>
        <v>0.88666666666666583</v>
      </c>
      <c r="AD203" s="317">
        <f t="shared" si="41"/>
        <v>0.88999999999999913</v>
      </c>
      <c r="AE203" s="317">
        <f t="shared" si="41"/>
        <v>0.89333333333333242</v>
      </c>
      <c r="AF203" s="317">
        <f t="shared" si="41"/>
        <v>0.89666666666666572</v>
      </c>
      <c r="AG203" s="296">
        <v>0.9</v>
      </c>
      <c r="AI203" s="316"/>
      <c r="AJ203" s="211" t="s">
        <v>1363</v>
      </c>
    </row>
    <row r="204" spans="1:36" s="1" customFormat="1" outlineLevel="1" x14ac:dyDescent="0.2">
      <c r="A204" t="s">
        <v>1377</v>
      </c>
      <c r="B204" s="302" t="s">
        <v>462</v>
      </c>
      <c r="C204" s="296">
        <v>0.2</v>
      </c>
      <c r="D204" s="317">
        <f t="shared" si="41"/>
        <v>0.19666666666666668</v>
      </c>
      <c r="E204" s="317">
        <f t="shared" si="41"/>
        <v>0.19333333333333336</v>
      </c>
      <c r="F204" s="317">
        <f t="shared" si="41"/>
        <v>0.19000000000000003</v>
      </c>
      <c r="G204" s="317">
        <f t="shared" si="41"/>
        <v>0.1866666666666667</v>
      </c>
      <c r="H204" s="317">
        <f t="shared" si="41"/>
        <v>0.18333333333333338</v>
      </c>
      <c r="I204" s="317">
        <f t="shared" si="41"/>
        <v>0.18000000000000005</v>
      </c>
      <c r="J204" s="317">
        <f t="shared" si="41"/>
        <v>0.17666666666666672</v>
      </c>
      <c r="K204" s="317">
        <f t="shared" si="41"/>
        <v>0.17333333333333339</v>
      </c>
      <c r="L204" s="317">
        <f t="shared" si="41"/>
        <v>0.17000000000000007</v>
      </c>
      <c r="M204" s="317">
        <f t="shared" si="41"/>
        <v>0.16666666666666674</v>
      </c>
      <c r="N204" s="317">
        <f t="shared" si="41"/>
        <v>0.16333333333333341</v>
      </c>
      <c r="O204" s="317">
        <f t="shared" si="41"/>
        <v>0.16000000000000009</v>
      </c>
      <c r="P204" s="317">
        <f t="shared" si="41"/>
        <v>0.15666666666666676</v>
      </c>
      <c r="Q204" s="317">
        <f t="shared" si="41"/>
        <v>0.15333333333333343</v>
      </c>
      <c r="R204" s="317">
        <f t="shared" si="41"/>
        <v>0.15000000000000011</v>
      </c>
      <c r="S204" s="317">
        <f t="shared" si="41"/>
        <v>0.14666666666666678</v>
      </c>
      <c r="T204" s="317">
        <f t="shared" si="41"/>
        <v>0.14333333333333345</v>
      </c>
      <c r="U204" s="317">
        <f t="shared" si="41"/>
        <v>0.14000000000000012</v>
      </c>
      <c r="V204" s="317">
        <f t="shared" si="41"/>
        <v>0.1366666666666668</v>
      </c>
      <c r="W204" s="317">
        <f t="shared" si="41"/>
        <v>0.13333333333333347</v>
      </c>
      <c r="X204" s="317">
        <f t="shared" si="41"/>
        <v>0.13000000000000014</v>
      </c>
      <c r="Y204" s="317">
        <f t="shared" si="41"/>
        <v>0.12666666666666682</v>
      </c>
      <c r="Z204" s="317">
        <f t="shared" si="41"/>
        <v>0.12333333333333349</v>
      </c>
      <c r="AA204" s="317">
        <f t="shared" si="41"/>
        <v>0.12000000000000016</v>
      </c>
      <c r="AB204" s="317">
        <f t="shared" si="41"/>
        <v>0.11666666666666684</v>
      </c>
      <c r="AC204" s="317">
        <f t="shared" si="41"/>
        <v>0.11333333333333351</v>
      </c>
      <c r="AD204" s="317">
        <f t="shared" si="41"/>
        <v>0.11000000000000018</v>
      </c>
      <c r="AE204" s="317">
        <f t="shared" si="41"/>
        <v>0.10666666666666685</v>
      </c>
      <c r="AF204" s="317">
        <f t="shared" si="41"/>
        <v>0.10333333333333353</v>
      </c>
      <c r="AG204" s="296">
        <v>0.1</v>
      </c>
      <c r="AI204" s="316"/>
      <c r="AJ204" s="211" t="s">
        <v>1363</v>
      </c>
    </row>
    <row r="205" spans="1:36" s="1" customFormat="1" outlineLevel="1" x14ac:dyDescent="0.2">
      <c r="A205" t="s">
        <v>1378</v>
      </c>
      <c r="B205" s="302" t="s">
        <v>462</v>
      </c>
      <c r="C205" s="296">
        <v>0.95</v>
      </c>
      <c r="D205" s="317">
        <f t="shared" si="41"/>
        <v>0.94866666666666666</v>
      </c>
      <c r="E205" s="317">
        <f t="shared" si="41"/>
        <v>0.94733333333333336</v>
      </c>
      <c r="F205" s="317">
        <f t="shared" si="41"/>
        <v>0.94600000000000006</v>
      </c>
      <c r="G205" s="317">
        <f t="shared" si="41"/>
        <v>0.94466666666666677</v>
      </c>
      <c r="H205" s="317">
        <f t="shared" si="41"/>
        <v>0.94333333333333347</v>
      </c>
      <c r="I205" s="317">
        <f t="shared" si="41"/>
        <v>0.94200000000000017</v>
      </c>
      <c r="J205" s="317">
        <f t="shared" si="41"/>
        <v>0.94066666666666687</v>
      </c>
      <c r="K205" s="317">
        <f t="shared" si="41"/>
        <v>0.93933333333333358</v>
      </c>
      <c r="L205" s="317">
        <f t="shared" si="41"/>
        <v>0.93800000000000028</v>
      </c>
      <c r="M205" s="317">
        <f t="shared" si="41"/>
        <v>0.93666666666666698</v>
      </c>
      <c r="N205" s="317">
        <f t="shared" si="41"/>
        <v>0.93533333333333368</v>
      </c>
      <c r="O205" s="317">
        <f t="shared" si="41"/>
        <v>0.93400000000000039</v>
      </c>
      <c r="P205" s="317">
        <f t="shared" si="41"/>
        <v>0.93266666666666709</v>
      </c>
      <c r="Q205" s="317">
        <f t="shared" si="41"/>
        <v>0.93133333333333379</v>
      </c>
      <c r="R205" s="317">
        <f t="shared" si="41"/>
        <v>0.93000000000000049</v>
      </c>
      <c r="S205" s="317">
        <f t="shared" si="41"/>
        <v>0.9286666666666672</v>
      </c>
      <c r="T205" s="317">
        <f t="shared" si="41"/>
        <v>0.9273333333333339</v>
      </c>
      <c r="U205" s="317">
        <f t="shared" si="41"/>
        <v>0.9260000000000006</v>
      </c>
      <c r="V205" s="317">
        <f t="shared" si="41"/>
        <v>0.9246666666666673</v>
      </c>
      <c r="W205" s="317">
        <f t="shared" si="41"/>
        <v>0.92333333333333401</v>
      </c>
      <c r="X205" s="317">
        <f t="shared" si="41"/>
        <v>0.92200000000000071</v>
      </c>
      <c r="Y205" s="317">
        <f t="shared" si="41"/>
        <v>0.92066666666666741</v>
      </c>
      <c r="Z205" s="317">
        <f t="shared" si="41"/>
        <v>0.91933333333333411</v>
      </c>
      <c r="AA205" s="317">
        <f t="shared" ref="AA205:AF205" si="42">-($C205-$AG205)/30+Z205</f>
        <v>0.91800000000000082</v>
      </c>
      <c r="AB205" s="317">
        <f t="shared" si="42"/>
        <v>0.91666666666666752</v>
      </c>
      <c r="AC205" s="317">
        <f t="shared" si="42"/>
        <v>0.91533333333333422</v>
      </c>
      <c r="AD205" s="317">
        <f t="shared" si="42"/>
        <v>0.91400000000000092</v>
      </c>
      <c r="AE205" s="317">
        <f t="shared" si="42"/>
        <v>0.91266666666666763</v>
      </c>
      <c r="AF205" s="317">
        <f t="shared" si="42"/>
        <v>0.91133333333333433</v>
      </c>
      <c r="AG205" s="296">
        <v>0.91</v>
      </c>
      <c r="AI205" s="316"/>
      <c r="AJ205" s="211" t="s">
        <v>1363</v>
      </c>
    </row>
    <row r="206" spans="1:36" s="1" customFormat="1" outlineLevel="1" x14ac:dyDescent="0.2">
      <c r="A206" t="s">
        <v>1379</v>
      </c>
      <c r="B206" s="302" t="s">
        <v>462</v>
      </c>
      <c r="C206" s="296">
        <v>0.05</v>
      </c>
      <c r="D206" s="317">
        <f t="shared" ref="D206:AF206" si="43">-($C206-$AG206)/30+C206</f>
        <v>5.1333333333333335E-2</v>
      </c>
      <c r="E206" s="317">
        <f t="shared" si="43"/>
        <v>5.2666666666666667E-2</v>
      </c>
      <c r="F206" s="317">
        <f t="shared" si="43"/>
        <v>5.3999999999999999E-2</v>
      </c>
      <c r="G206" s="317">
        <f t="shared" si="43"/>
        <v>5.5333333333333332E-2</v>
      </c>
      <c r="H206" s="317">
        <f t="shared" si="43"/>
        <v>5.6666666666666664E-2</v>
      </c>
      <c r="I206" s="317">
        <f t="shared" si="43"/>
        <v>5.7999999999999996E-2</v>
      </c>
      <c r="J206" s="317">
        <f t="shared" si="43"/>
        <v>5.9333333333333328E-2</v>
      </c>
      <c r="K206" s="317">
        <f t="shared" si="43"/>
        <v>6.066666666666666E-2</v>
      </c>
      <c r="L206" s="317">
        <f t="shared" si="43"/>
        <v>6.1999999999999993E-2</v>
      </c>
      <c r="M206" s="317">
        <f t="shared" si="43"/>
        <v>6.3333333333333325E-2</v>
      </c>
      <c r="N206" s="317">
        <f t="shared" si="43"/>
        <v>6.4666666666666664E-2</v>
      </c>
      <c r="O206" s="317">
        <f t="shared" si="43"/>
        <v>6.6000000000000003E-2</v>
      </c>
      <c r="P206" s="317">
        <f t="shared" si="43"/>
        <v>6.7333333333333342E-2</v>
      </c>
      <c r="Q206" s="317">
        <f t="shared" si="43"/>
        <v>6.8666666666666681E-2</v>
      </c>
      <c r="R206" s="317">
        <f t="shared" si="43"/>
        <v>7.0000000000000021E-2</v>
      </c>
      <c r="S206" s="317">
        <f t="shared" si="43"/>
        <v>7.133333333333336E-2</v>
      </c>
      <c r="T206" s="317">
        <f t="shared" si="43"/>
        <v>7.2666666666666699E-2</v>
      </c>
      <c r="U206" s="317">
        <f t="shared" si="43"/>
        <v>7.4000000000000038E-2</v>
      </c>
      <c r="V206" s="317">
        <f t="shared" si="43"/>
        <v>7.5333333333333377E-2</v>
      </c>
      <c r="W206" s="317">
        <f t="shared" si="43"/>
        <v>7.6666666666666716E-2</v>
      </c>
      <c r="X206" s="317">
        <f t="shared" si="43"/>
        <v>7.8000000000000055E-2</v>
      </c>
      <c r="Y206" s="317">
        <f t="shared" si="43"/>
        <v>7.9333333333333395E-2</v>
      </c>
      <c r="Z206" s="317">
        <f t="shared" si="43"/>
        <v>8.0666666666666734E-2</v>
      </c>
      <c r="AA206" s="317">
        <f t="shared" si="43"/>
        <v>8.2000000000000073E-2</v>
      </c>
      <c r="AB206" s="317">
        <f t="shared" si="43"/>
        <v>8.3333333333333412E-2</v>
      </c>
      <c r="AC206" s="317">
        <f t="shared" si="43"/>
        <v>8.4666666666666751E-2</v>
      </c>
      <c r="AD206" s="317">
        <f t="shared" si="43"/>
        <v>8.600000000000009E-2</v>
      </c>
      <c r="AE206" s="317">
        <f t="shared" si="43"/>
        <v>8.7333333333333429E-2</v>
      </c>
      <c r="AF206" s="317">
        <f t="shared" si="43"/>
        <v>8.8666666666666769E-2</v>
      </c>
      <c r="AG206" s="296">
        <v>0.09</v>
      </c>
      <c r="AI206" s="316"/>
      <c r="AJ206" s="211" t="s">
        <v>1363</v>
      </c>
    </row>
    <row r="207" spans="1:36" s="1" customFormat="1" outlineLevel="1" x14ac:dyDescent="0.2">
      <c r="A207" t="s">
        <v>1380</v>
      </c>
      <c r="B207" s="302"/>
      <c r="C207" s="296">
        <v>0.27</v>
      </c>
      <c r="D207" s="317">
        <f t="shared" ref="D207:AF207" si="44">-($C207-$AG207)/30+C207</f>
        <v>0.26600000000000001</v>
      </c>
      <c r="E207" s="317">
        <f t="shared" si="44"/>
        <v>0.26200000000000001</v>
      </c>
      <c r="F207" s="317">
        <f t="shared" si="44"/>
        <v>0.25800000000000001</v>
      </c>
      <c r="G207" s="317">
        <f t="shared" si="44"/>
        <v>0.254</v>
      </c>
      <c r="H207" s="317">
        <f t="shared" si="44"/>
        <v>0.25</v>
      </c>
      <c r="I207" s="317">
        <f t="shared" si="44"/>
        <v>0.246</v>
      </c>
      <c r="J207" s="317">
        <f t="shared" si="44"/>
        <v>0.24199999999999999</v>
      </c>
      <c r="K207" s="317">
        <f t="shared" si="44"/>
        <v>0.23799999999999999</v>
      </c>
      <c r="L207" s="317">
        <f t="shared" si="44"/>
        <v>0.23399999999999999</v>
      </c>
      <c r="M207" s="317">
        <f t="shared" si="44"/>
        <v>0.22999999999999998</v>
      </c>
      <c r="N207" s="317">
        <f t="shared" si="44"/>
        <v>0.22599999999999998</v>
      </c>
      <c r="O207" s="317">
        <f t="shared" si="44"/>
        <v>0.22199999999999998</v>
      </c>
      <c r="P207" s="317">
        <f t="shared" si="44"/>
        <v>0.21799999999999997</v>
      </c>
      <c r="Q207" s="317">
        <f t="shared" si="44"/>
        <v>0.21399999999999997</v>
      </c>
      <c r="R207" s="317">
        <f t="shared" si="44"/>
        <v>0.20999999999999996</v>
      </c>
      <c r="S207" s="317">
        <f t="shared" si="44"/>
        <v>0.20599999999999996</v>
      </c>
      <c r="T207" s="317">
        <f t="shared" si="44"/>
        <v>0.20199999999999996</v>
      </c>
      <c r="U207" s="317">
        <f t="shared" si="44"/>
        <v>0.19799999999999995</v>
      </c>
      <c r="V207" s="317">
        <f t="shared" si="44"/>
        <v>0.19399999999999995</v>
      </c>
      <c r="W207" s="317">
        <f t="shared" si="44"/>
        <v>0.18999999999999995</v>
      </c>
      <c r="X207" s="317">
        <f t="shared" si="44"/>
        <v>0.18599999999999994</v>
      </c>
      <c r="Y207" s="317">
        <f t="shared" si="44"/>
        <v>0.18199999999999994</v>
      </c>
      <c r="Z207" s="317">
        <f t="shared" si="44"/>
        <v>0.17799999999999994</v>
      </c>
      <c r="AA207" s="317">
        <f t="shared" si="44"/>
        <v>0.17399999999999993</v>
      </c>
      <c r="AB207" s="317">
        <f t="shared" si="44"/>
        <v>0.16999999999999993</v>
      </c>
      <c r="AC207" s="317">
        <f t="shared" si="44"/>
        <v>0.16599999999999993</v>
      </c>
      <c r="AD207" s="317">
        <f t="shared" si="44"/>
        <v>0.16199999999999992</v>
      </c>
      <c r="AE207" s="317">
        <f t="shared" si="44"/>
        <v>0.15799999999999992</v>
      </c>
      <c r="AF207" s="317">
        <f t="shared" si="44"/>
        <v>0.15399999999999991</v>
      </c>
      <c r="AG207" s="296">
        <v>0.15</v>
      </c>
      <c r="AI207" s="316"/>
      <c r="AJ207" s="211"/>
    </row>
    <row r="208" spans="1:36" s="67" customFormat="1" outlineLevel="1" x14ac:dyDescent="0.2">
      <c r="A208" s="345" t="s">
        <v>1381</v>
      </c>
      <c r="B208" s="308" t="s">
        <v>462</v>
      </c>
      <c r="C208" s="337">
        <v>0.16</v>
      </c>
      <c r="D208" s="338">
        <f t="shared" ref="D208:AF213" si="45">-($C208-$AG208)/30+C208</f>
        <v>0.16533333333333333</v>
      </c>
      <c r="E208" s="338">
        <f t="shared" si="45"/>
        <v>0.17066666666666666</v>
      </c>
      <c r="F208" s="338">
        <f t="shared" si="45"/>
        <v>0.17599999999999999</v>
      </c>
      <c r="G208" s="338">
        <f t="shared" si="45"/>
        <v>0.18133333333333332</v>
      </c>
      <c r="H208" s="338">
        <f t="shared" si="45"/>
        <v>0.18666666666666665</v>
      </c>
      <c r="I208" s="338">
        <f t="shared" si="45"/>
        <v>0.19199999999999998</v>
      </c>
      <c r="J208" s="338">
        <f t="shared" si="45"/>
        <v>0.19733333333333331</v>
      </c>
      <c r="K208" s="338">
        <f t="shared" si="45"/>
        <v>0.20266666666666663</v>
      </c>
      <c r="L208" s="338">
        <f t="shared" si="45"/>
        <v>0.20799999999999996</v>
      </c>
      <c r="M208" s="338">
        <f t="shared" si="45"/>
        <v>0.21333333333333329</v>
      </c>
      <c r="N208" s="338">
        <f t="shared" si="45"/>
        <v>0.21866666666666662</v>
      </c>
      <c r="O208" s="338">
        <f t="shared" si="45"/>
        <v>0.22399999999999995</v>
      </c>
      <c r="P208" s="338">
        <f t="shared" si="45"/>
        <v>0.22933333333333328</v>
      </c>
      <c r="Q208" s="338">
        <f t="shared" si="45"/>
        <v>0.23466666666666661</v>
      </c>
      <c r="R208" s="338">
        <f t="shared" si="45"/>
        <v>0.23999999999999994</v>
      </c>
      <c r="S208" s="338">
        <f t="shared" si="45"/>
        <v>0.24533333333333326</v>
      </c>
      <c r="T208" s="338">
        <f t="shared" si="45"/>
        <v>0.25066666666666659</v>
      </c>
      <c r="U208" s="338">
        <f t="shared" si="45"/>
        <v>0.25599999999999995</v>
      </c>
      <c r="V208" s="338">
        <f t="shared" si="45"/>
        <v>0.26133333333333331</v>
      </c>
      <c r="W208" s="338">
        <f t="shared" si="45"/>
        <v>0.26666666666666666</v>
      </c>
      <c r="X208" s="338">
        <f t="shared" si="45"/>
        <v>0.27200000000000002</v>
      </c>
      <c r="Y208" s="338">
        <f t="shared" si="45"/>
        <v>0.27733333333333338</v>
      </c>
      <c r="Z208" s="338">
        <f t="shared" si="45"/>
        <v>0.28266666666666673</v>
      </c>
      <c r="AA208" s="338">
        <f t="shared" si="45"/>
        <v>0.28800000000000009</v>
      </c>
      <c r="AB208" s="338">
        <f t="shared" si="45"/>
        <v>0.29333333333333345</v>
      </c>
      <c r="AC208" s="338">
        <f t="shared" si="45"/>
        <v>0.2986666666666668</v>
      </c>
      <c r="AD208" s="338">
        <f t="shared" si="45"/>
        <v>0.30400000000000016</v>
      </c>
      <c r="AE208" s="338">
        <f t="shared" si="45"/>
        <v>0.30933333333333352</v>
      </c>
      <c r="AF208" s="338">
        <f t="shared" si="45"/>
        <v>0.31466666666666687</v>
      </c>
      <c r="AG208" s="337">
        <v>0.32</v>
      </c>
      <c r="AI208" s="337"/>
      <c r="AJ208" s="339" t="s">
        <v>1363</v>
      </c>
    </row>
    <row r="209" spans="1:36" outlineLevel="1" x14ac:dyDescent="0.2">
      <c r="A209" s="346" t="s">
        <v>1382</v>
      </c>
      <c r="B209" s="302" t="s">
        <v>462</v>
      </c>
      <c r="C209" s="296">
        <v>0.37</v>
      </c>
      <c r="D209" s="317">
        <f t="shared" si="45"/>
        <v>0.37166666666666665</v>
      </c>
      <c r="E209" s="317">
        <f t="shared" si="45"/>
        <v>0.37333333333333329</v>
      </c>
      <c r="F209" s="317">
        <f t="shared" si="45"/>
        <v>0.37499999999999994</v>
      </c>
      <c r="G209" s="317">
        <f t="shared" si="45"/>
        <v>0.37666666666666659</v>
      </c>
      <c r="H209" s="317">
        <f t="shared" si="45"/>
        <v>0.37833333333333324</v>
      </c>
      <c r="I209" s="317">
        <f t="shared" si="45"/>
        <v>0.37999999999999989</v>
      </c>
      <c r="J209" s="317">
        <f t="shared" si="45"/>
        <v>0.38166666666666654</v>
      </c>
      <c r="K209" s="317">
        <f t="shared" si="45"/>
        <v>0.38333333333333319</v>
      </c>
      <c r="L209" s="317">
        <f t="shared" si="45"/>
        <v>0.38499999999999984</v>
      </c>
      <c r="M209" s="317">
        <f t="shared" si="45"/>
        <v>0.38666666666666649</v>
      </c>
      <c r="N209" s="317">
        <f t="shared" si="45"/>
        <v>0.38833333333333314</v>
      </c>
      <c r="O209" s="317">
        <f t="shared" si="45"/>
        <v>0.38999999999999979</v>
      </c>
      <c r="P209" s="317">
        <f t="shared" si="45"/>
        <v>0.39166666666666644</v>
      </c>
      <c r="Q209" s="317">
        <f t="shared" si="45"/>
        <v>0.39333333333333309</v>
      </c>
      <c r="R209" s="317">
        <f t="shared" si="45"/>
        <v>0.39499999999999974</v>
      </c>
      <c r="S209" s="317">
        <f t="shared" si="45"/>
        <v>0.39666666666666639</v>
      </c>
      <c r="T209" s="317">
        <f t="shared" si="45"/>
        <v>0.39833333333333304</v>
      </c>
      <c r="U209" s="317">
        <f t="shared" si="45"/>
        <v>0.39999999999999969</v>
      </c>
      <c r="V209" s="317">
        <f t="shared" si="45"/>
        <v>0.40166666666666634</v>
      </c>
      <c r="W209" s="317">
        <f t="shared" si="45"/>
        <v>0.40333333333333299</v>
      </c>
      <c r="X209" s="317">
        <f t="shared" si="45"/>
        <v>0.40499999999999964</v>
      </c>
      <c r="Y209" s="317">
        <f t="shared" si="45"/>
        <v>0.40666666666666629</v>
      </c>
      <c r="Z209" s="317">
        <f t="shared" si="45"/>
        <v>0.40833333333333294</v>
      </c>
      <c r="AA209" s="317">
        <f t="shared" si="45"/>
        <v>0.40999999999999959</v>
      </c>
      <c r="AB209" s="317">
        <f t="shared" si="45"/>
        <v>0.41166666666666624</v>
      </c>
      <c r="AC209" s="317">
        <f t="shared" si="45"/>
        <v>0.41333333333333289</v>
      </c>
      <c r="AD209" s="317">
        <f t="shared" si="45"/>
        <v>0.41499999999999954</v>
      </c>
      <c r="AE209" s="317">
        <f t="shared" si="45"/>
        <v>0.41666666666666619</v>
      </c>
      <c r="AF209" s="317">
        <f t="shared" si="45"/>
        <v>0.41833333333333284</v>
      </c>
      <c r="AG209" s="296">
        <v>0.42</v>
      </c>
      <c r="AI209" s="296"/>
      <c r="AJ209" s="211" t="s">
        <v>1363</v>
      </c>
    </row>
    <row r="210" spans="1:36" outlineLevel="1" x14ac:dyDescent="0.2">
      <c r="A210" s="346" t="s">
        <v>1383</v>
      </c>
      <c r="B210" s="302" t="s">
        <v>462</v>
      </c>
      <c r="C210" s="296">
        <v>0.08</v>
      </c>
      <c r="D210" s="317">
        <f t="shared" si="45"/>
        <v>7.7666666666666662E-2</v>
      </c>
      <c r="E210" s="317">
        <f t="shared" si="45"/>
        <v>7.5333333333333322E-2</v>
      </c>
      <c r="F210" s="317">
        <f t="shared" si="45"/>
        <v>7.2999999999999982E-2</v>
      </c>
      <c r="G210" s="317">
        <f t="shared" si="45"/>
        <v>7.0666666666666642E-2</v>
      </c>
      <c r="H210" s="317">
        <f t="shared" si="45"/>
        <v>6.8333333333333302E-2</v>
      </c>
      <c r="I210" s="317">
        <f t="shared" si="45"/>
        <v>6.5999999999999961E-2</v>
      </c>
      <c r="J210" s="317">
        <f t="shared" si="45"/>
        <v>6.3666666666666621E-2</v>
      </c>
      <c r="K210" s="317">
        <f t="shared" si="45"/>
        <v>6.1333333333333288E-2</v>
      </c>
      <c r="L210" s="317">
        <f t="shared" si="45"/>
        <v>5.8999999999999955E-2</v>
      </c>
      <c r="M210" s="317">
        <f t="shared" si="45"/>
        <v>5.6666666666666622E-2</v>
      </c>
      <c r="N210" s="317">
        <f t="shared" si="45"/>
        <v>5.4333333333333289E-2</v>
      </c>
      <c r="O210" s="317">
        <f t="shared" si="45"/>
        <v>5.1999999999999956E-2</v>
      </c>
      <c r="P210" s="317">
        <f t="shared" si="45"/>
        <v>4.9666666666666623E-2</v>
      </c>
      <c r="Q210" s="317">
        <f t="shared" si="45"/>
        <v>4.733333333333329E-2</v>
      </c>
      <c r="R210" s="317">
        <f t="shared" si="45"/>
        <v>4.4999999999999957E-2</v>
      </c>
      <c r="S210" s="317">
        <f t="shared" si="45"/>
        <v>4.2666666666666624E-2</v>
      </c>
      <c r="T210" s="317">
        <f t="shared" si="45"/>
        <v>4.0333333333333291E-2</v>
      </c>
      <c r="U210" s="317">
        <f t="shared" si="45"/>
        <v>3.7999999999999957E-2</v>
      </c>
      <c r="V210" s="317">
        <f t="shared" si="45"/>
        <v>3.5666666666666624E-2</v>
      </c>
      <c r="W210" s="317">
        <f t="shared" si="45"/>
        <v>3.3333333333333291E-2</v>
      </c>
      <c r="X210" s="317">
        <f t="shared" si="45"/>
        <v>3.0999999999999958E-2</v>
      </c>
      <c r="Y210" s="317">
        <f t="shared" si="45"/>
        <v>2.8666666666666625E-2</v>
      </c>
      <c r="Z210" s="317">
        <f t="shared" si="45"/>
        <v>2.6333333333333292E-2</v>
      </c>
      <c r="AA210" s="317">
        <f t="shared" si="45"/>
        <v>2.3999999999999959E-2</v>
      </c>
      <c r="AB210" s="317">
        <f t="shared" si="45"/>
        <v>2.1666666666666626E-2</v>
      </c>
      <c r="AC210" s="317">
        <f t="shared" si="45"/>
        <v>1.9333333333333293E-2</v>
      </c>
      <c r="AD210" s="317">
        <f t="shared" si="45"/>
        <v>1.699999999999996E-2</v>
      </c>
      <c r="AE210" s="317">
        <f t="shared" si="45"/>
        <v>1.4666666666666626E-2</v>
      </c>
      <c r="AF210" s="317">
        <f t="shared" si="45"/>
        <v>1.2333333333333293E-2</v>
      </c>
      <c r="AG210" s="296">
        <v>0.01</v>
      </c>
      <c r="AI210" s="296"/>
      <c r="AJ210" s="211" t="s">
        <v>1363</v>
      </c>
    </row>
    <row r="211" spans="1:36" outlineLevel="1" x14ac:dyDescent="0.2">
      <c r="A211" s="346" t="s">
        <v>1384</v>
      </c>
      <c r="B211" s="302" t="s">
        <v>462</v>
      </c>
      <c r="C211" s="296">
        <v>0.27</v>
      </c>
      <c r="D211" s="317">
        <f t="shared" si="45"/>
        <v>0.26633333333333337</v>
      </c>
      <c r="E211" s="317">
        <f t="shared" si="45"/>
        <v>0.26266666666666671</v>
      </c>
      <c r="F211" s="317">
        <f t="shared" si="45"/>
        <v>0.25900000000000006</v>
      </c>
      <c r="G211" s="317">
        <f t="shared" si="45"/>
        <v>0.25533333333333341</v>
      </c>
      <c r="H211" s="317">
        <f t="shared" si="45"/>
        <v>0.25166666666666676</v>
      </c>
      <c r="I211" s="317">
        <f t="shared" si="45"/>
        <v>0.24800000000000008</v>
      </c>
      <c r="J211" s="317">
        <f t="shared" si="45"/>
        <v>0.2443333333333334</v>
      </c>
      <c r="K211" s="317">
        <f t="shared" si="45"/>
        <v>0.24066666666666672</v>
      </c>
      <c r="L211" s="317">
        <f t="shared" si="45"/>
        <v>0.23700000000000004</v>
      </c>
      <c r="M211" s="317">
        <f t="shared" si="45"/>
        <v>0.23333333333333336</v>
      </c>
      <c r="N211" s="317">
        <f t="shared" si="45"/>
        <v>0.22966666666666669</v>
      </c>
      <c r="O211" s="317">
        <f t="shared" si="45"/>
        <v>0.22600000000000001</v>
      </c>
      <c r="P211" s="317">
        <f t="shared" si="45"/>
        <v>0.22233333333333333</v>
      </c>
      <c r="Q211" s="317">
        <f t="shared" si="45"/>
        <v>0.21866666666666665</v>
      </c>
      <c r="R211" s="317">
        <f t="shared" si="45"/>
        <v>0.21499999999999997</v>
      </c>
      <c r="S211" s="317">
        <f t="shared" si="45"/>
        <v>0.21133333333333329</v>
      </c>
      <c r="T211" s="317">
        <f t="shared" si="45"/>
        <v>0.20766666666666661</v>
      </c>
      <c r="U211" s="317">
        <f t="shared" si="45"/>
        <v>0.20399999999999993</v>
      </c>
      <c r="V211" s="317">
        <f t="shared" si="45"/>
        <v>0.20033333333333325</v>
      </c>
      <c r="W211" s="317">
        <f t="shared" si="45"/>
        <v>0.19666666666666657</v>
      </c>
      <c r="X211" s="317">
        <f t="shared" si="45"/>
        <v>0.19299999999999989</v>
      </c>
      <c r="Y211" s="317">
        <f t="shared" si="45"/>
        <v>0.18933333333333321</v>
      </c>
      <c r="Z211" s="317">
        <f t="shared" si="45"/>
        <v>0.18566666666666654</v>
      </c>
      <c r="AA211" s="317">
        <f t="shared" si="45"/>
        <v>0.18199999999999986</v>
      </c>
      <c r="AB211" s="317">
        <f t="shared" si="45"/>
        <v>0.17833333333333318</v>
      </c>
      <c r="AC211" s="317">
        <f t="shared" si="45"/>
        <v>0.1746666666666665</v>
      </c>
      <c r="AD211" s="317">
        <f t="shared" si="45"/>
        <v>0.17099999999999982</v>
      </c>
      <c r="AE211" s="317">
        <f t="shared" si="45"/>
        <v>0.16733333333333314</v>
      </c>
      <c r="AF211" s="317">
        <f t="shared" si="45"/>
        <v>0.16366666666666646</v>
      </c>
      <c r="AG211" s="296">
        <v>0.16</v>
      </c>
      <c r="AI211" s="296"/>
      <c r="AJ211" s="211" t="s">
        <v>1363</v>
      </c>
    </row>
    <row r="212" spans="1:36" outlineLevel="1" x14ac:dyDescent="0.2">
      <c r="A212" s="346" t="s">
        <v>1385</v>
      </c>
      <c r="B212" s="302" t="s">
        <v>462</v>
      </c>
      <c r="C212" s="296">
        <v>7.0000000000000007E-2</v>
      </c>
      <c r="D212" s="317">
        <f t="shared" si="45"/>
        <v>6.9666666666666668E-2</v>
      </c>
      <c r="E212" s="317">
        <f t="shared" si="45"/>
        <v>6.933333333333333E-2</v>
      </c>
      <c r="F212" s="317">
        <f t="shared" si="45"/>
        <v>6.8999999999999992E-2</v>
      </c>
      <c r="G212" s="317">
        <f t="shared" si="45"/>
        <v>6.8666666666666654E-2</v>
      </c>
      <c r="H212" s="317">
        <f t="shared" si="45"/>
        <v>6.8333333333333315E-2</v>
      </c>
      <c r="I212" s="317">
        <f t="shared" si="45"/>
        <v>6.7999999999999977E-2</v>
      </c>
      <c r="J212" s="317">
        <f t="shared" si="45"/>
        <v>6.7666666666666639E-2</v>
      </c>
      <c r="K212" s="317">
        <f t="shared" si="45"/>
        <v>6.7333333333333301E-2</v>
      </c>
      <c r="L212" s="317">
        <f t="shared" si="45"/>
        <v>6.6999999999999962E-2</v>
      </c>
      <c r="M212" s="317">
        <f t="shared" si="45"/>
        <v>6.6666666666666624E-2</v>
      </c>
      <c r="N212" s="317">
        <f t="shared" si="45"/>
        <v>6.6333333333333286E-2</v>
      </c>
      <c r="O212" s="317">
        <f t="shared" si="45"/>
        <v>6.5999999999999948E-2</v>
      </c>
      <c r="P212" s="317">
        <f t="shared" si="45"/>
        <v>6.5666666666666609E-2</v>
      </c>
      <c r="Q212" s="317">
        <f t="shared" si="45"/>
        <v>6.5333333333333271E-2</v>
      </c>
      <c r="R212" s="317">
        <f t="shared" si="45"/>
        <v>6.4999999999999933E-2</v>
      </c>
      <c r="S212" s="317">
        <f t="shared" si="45"/>
        <v>6.4666666666666595E-2</v>
      </c>
      <c r="T212" s="317">
        <f t="shared" si="45"/>
        <v>6.4333333333333256E-2</v>
      </c>
      <c r="U212" s="317">
        <f t="shared" si="45"/>
        <v>6.3999999999999918E-2</v>
      </c>
      <c r="V212" s="317">
        <f t="shared" si="45"/>
        <v>6.366666666666658E-2</v>
      </c>
      <c r="W212" s="317">
        <f t="shared" si="45"/>
        <v>6.3333333333333242E-2</v>
      </c>
      <c r="X212" s="317">
        <f t="shared" si="45"/>
        <v>6.2999999999999903E-2</v>
      </c>
      <c r="Y212" s="317">
        <f t="shared" si="45"/>
        <v>6.2666666666666565E-2</v>
      </c>
      <c r="Z212" s="317">
        <f t="shared" si="45"/>
        <v>6.2333333333333234E-2</v>
      </c>
      <c r="AA212" s="317">
        <f t="shared" si="45"/>
        <v>6.1999999999999902E-2</v>
      </c>
      <c r="AB212" s="317">
        <f t="shared" si="45"/>
        <v>6.1666666666666571E-2</v>
      </c>
      <c r="AC212" s="317">
        <f t="shared" si="45"/>
        <v>6.133333333333324E-2</v>
      </c>
      <c r="AD212" s="317">
        <f t="shared" si="45"/>
        <v>6.0999999999999908E-2</v>
      </c>
      <c r="AE212" s="317">
        <f t="shared" si="45"/>
        <v>6.0666666666666577E-2</v>
      </c>
      <c r="AF212" s="317">
        <f t="shared" si="45"/>
        <v>6.0333333333333246E-2</v>
      </c>
      <c r="AG212" s="296">
        <v>0.06</v>
      </c>
      <c r="AI212" s="296"/>
      <c r="AJ212" s="211" t="s">
        <v>1363</v>
      </c>
    </row>
    <row r="213" spans="1:36" s="68" customFormat="1" outlineLevel="1" x14ac:dyDescent="0.2">
      <c r="A213" s="347" t="s">
        <v>1386</v>
      </c>
      <c r="B213" s="312" t="s">
        <v>462</v>
      </c>
      <c r="C213" s="314">
        <v>0.05</v>
      </c>
      <c r="D213" s="340">
        <f t="shared" si="45"/>
        <v>4.9333333333333333E-2</v>
      </c>
      <c r="E213" s="340">
        <f t="shared" si="45"/>
        <v>4.8666666666666664E-2</v>
      </c>
      <c r="F213" s="340">
        <f t="shared" si="45"/>
        <v>4.7999999999999994E-2</v>
      </c>
      <c r="G213" s="340">
        <f t="shared" si="45"/>
        <v>4.7333333333333324E-2</v>
      </c>
      <c r="H213" s="340">
        <f t="shared" si="45"/>
        <v>4.6666666666666655E-2</v>
      </c>
      <c r="I213" s="340">
        <f t="shared" si="45"/>
        <v>4.5999999999999985E-2</v>
      </c>
      <c r="J213" s="340">
        <f t="shared" si="45"/>
        <v>4.5333333333333316E-2</v>
      </c>
      <c r="K213" s="340">
        <f t="shared" si="45"/>
        <v>4.4666666666666646E-2</v>
      </c>
      <c r="L213" s="340">
        <f t="shared" si="45"/>
        <v>4.3999999999999977E-2</v>
      </c>
      <c r="M213" s="340">
        <f t="shared" si="45"/>
        <v>4.3333333333333307E-2</v>
      </c>
      <c r="N213" s="340">
        <f t="shared" si="45"/>
        <v>4.2666666666666637E-2</v>
      </c>
      <c r="O213" s="340">
        <f t="shared" si="45"/>
        <v>4.1999999999999968E-2</v>
      </c>
      <c r="P213" s="340">
        <f t="shared" si="45"/>
        <v>4.1333333333333298E-2</v>
      </c>
      <c r="Q213" s="340">
        <f t="shared" si="45"/>
        <v>4.0666666666666629E-2</v>
      </c>
      <c r="R213" s="340">
        <f t="shared" si="45"/>
        <v>3.9999999999999959E-2</v>
      </c>
      <c r="S213" s="340">
        <f t="shared" si="45"/>
        <v>3.933333333333329E-2</v>
      </c>
      <c r="T213" s="340">
        <f t="shared" si="45"/>
        <v>3.866666666666662E-2</v>
      </c>
      <c r="U213" s="340">
        <f t="shared" si="45"/>
        <v>3.799999999999995E-2</v>
      </c>
      <c r="V213" s="340">
        <f t="shared" si="45"/>
        <v>3.7333333333333281E-2</v>
      </c>
      <c r="W213" s="340">
        <f t="shared" si="45"/>
        <v>3.6666666666666611E-2</v>
      </c>
      <c r="X213" s="340">
        <f t="shared" si="45"/>
        <v>3.5999999999999942E-2</v>
      </c>
      <c r="Y213" s="340">
        <f t="shared" si="45"/>
        <v>3.5333333333333272E-2</v>
      </c>
      <c r="Z213" s="340">
        <f t="shared" si="45"/>
        <v>3.4666666666666603E-2</v>
      </c>
      <c r="AA213" s="340">
        <f t="shared" si="45"/>
        <v>3.3999999999999933E-2</v>
      </c>
      <c r="AB213" s="340">
        <f t="shared" si="45"/>
        <v>3.3333333333333263E-2</v>
      </c>
      <c r="AC213" s="340">
        <f t="shared" si="45"/>
        <v>3.2666666666666594E-2</v>
      </c>
      <c r="AD213" s="340">
        <f t="shared" si="45"/>
        <v>3.1999999999999924E-2</v>
      </c>
      <c r="AE213" s="340">
        <f t="shared" si="45"/>
        <v>3.1333333333333255E-2</v>
      </c>
      <c r="AF213" s="340">
        <f t="shared" si="45"/>
        <v>3.0666666666666589E-2</v>
      </c>
      <c r="AG213" s="314">
        <v>0.03</v>
      </c>
      <c r="AI213" s="314"/>
      <c r="AJ213" s="341" t="s">
        <v>1363</v>
      </c>
    </row>
    <row r="214" spans="1:36" s="58" customFormat="1" outlineLevel="1" x14ac:dyDescent="0.2">
      <c r="A214" s="58" t="s">
        <v>1361</v>
      </c>
      <c r="B214" s="303"/>
      <c r="C214" s="304">
        <f>C32</f>
        <v>143.57279713811519</v>
      </c>
      <c r="D214" s="304">
        <f t="shared" ref="D214:AG214" si="46">D32</f>
        <v>148.38557260308718</v>
      </c>
      <c r="E214" s="304">
        <f t="shared" si="46"/>
        <v>152.95878662154348</v>
      </c>
      <c r="F214" s="304">
        <f t="shared" si="46"/>
        <v>157.26105032826672</v>
      </c>
      <c r="G214" s="304">
        <f t="shared" si="46"/>
        <v>161.26223094850147</v>
      </c>
      <c r="H214" s="304">
        <f t="shared" si="46"/>
        <v>164.93380334569201</v>
      </c>
      <c r="I214" s="304">
        <f t="shared" si="46"/>
        <v>168.61217921778913</v>
      </c>
      <c r="J214" s="304">
        <f t="shared" si="46"/>
        <v>172.29402813633467</v>
      </c>
      <c r="K214" s="304">
        <f t="shared" si="46"/>
        <v>175.97593511993952</v>
      </c>
      <c r="L214" s="304">
        <f t="shared" si="46"/>
        <v>179.65440507537406</v>
      </c>
      <c r="M214" s="304">
        <f t="shared" si="46"/>
        <v>183.32586753881003</v>
      </c>
      <c r="N214" s="304">
        <f t="shared" si="46"/>
        <v>186.71914291497094</v>
      </c>
      <c r="O214" s="304">
        <f t="shared" si="46"/>
        <v>189.81541148857292</v>
      </c>
      <c r="P214" s="304">
        <f t="shared" si="46"/>
        <v>192.59718281286834</v>
      </c>
      <c r="Q214" s="304">
        <f t="shared" si="46"/>
        <v>195.04845826958712</v>
      </c>
      <c r="R214" s="304">
        <f t="shared" si="46"/>
        <v>197.15488262884489</v>
      </c>
      <c r="S214" s="304">
        <f t="shared" si="46"/>
        <v>199.26224175186022</v>
      </c>
      <c r="T214" s="304">
        <f t="shared" si="46"/>
        <v>201.37006612424096</v>
      </c>
      <c r="U214" s="304">
        <f t="shared" si="46"/>
        <v>203.47788059484677</v>
      </c>
      <c r="V214" s="304">
        <f t="shared" si="46"/>
        <v>205.5852045256907</v>
      </c>
      <c r="W214" s="304">
        <f t="shared" si="46"/>
        <v>207.69155194681969</v>
      </c>
      <c r="X214" s="304">
        <f t="shared" si="46"/>
        <v>209.79874250041232</v>
      </c>
      <c r="Y214" s="304">
        <f t="shared" si="46"/>
        <v>211.90635313455866</v>
      </c>
      <c r="Z214" s="304">
        <f t="shared" si="46"/>
        <v>214.01395601642673</v>
      </c>
      <c r="AA214" s="304">
        <f t="shared" si="46"/>
        <v>216.12111865450612</v>
      </c>
      <c r="AB214" s="304">
        <f t="shared" si="46"/>
        <v>218.22740402465692</v>
      </c>
      <c r="AC214" s="304">
        <f t="shared" si="46"/>
        <v>220.33445377437795</v>
      </c>
      <c r="AD214" s="304">
        <f t="shared" si="46"/>
        <v>222.44188470209969</v>
      </c>
      <c r="AE214" s="304">
        <f t="shared" si="46"/>
        <v>224.54930951532904</v>
      </c>
      <c r="AF214" s="304">
        <f t="shared" si="46"/>
        <v>226.65633693133458</v>
      </c>
      <c r="AG214" s="304">
        <f t="shared" si="46"/>
        <v>228.76257178078129</v>
      </c>
      <c r="AI214" s="305"/>
      <c r="AJ214" s="306"/>
    </row>
    <row r="215" spans="1:36" s="58" customFormat="1" outlineLevel="1" x14ac:dyDescent="0.2">
      <c r="A215" s="307" t="s">
        <v>3</v>
      </c>
      <c r="B215" s="308" t="s">
        <v>704</v>
      </c>
      <c r="C215" s="309">
        <v>0</v>
      </c>
      <c r="D215" s="309">
        <v>0</v>
      </c>
      <c r="E215" s="309">
        <v>0</v>
      </c>
      <c r="F215" s="309">
        <v>0</v>
      </c>
      <c r="G215" s="309">
        <v>0</v>
      </c>
      <c r="H215" s="309">
        <v>0</v>
      </c>
      <c r="I215" s="309">
        <v>0</v>
      </c>
      <c r="J215" s="309">
        <v>0</v>
      </c>
      <c r="K215" s="309">
        <v>0</v>
      </c>
      <c r="L215" s="309">
        <v>0</v>
      </c>
      <c r="M215" s="309">
        <v>0</v>
      </c>
      <c r="N215" s="309">
        <v>0</v>
      </c>
      <c r="O215" s="309">
        <v>0</v>
      </c>
      <c r="P215" s="309">
        <v>0</v>
      </c>
      <c r="Q215" s="309">
        <v>0</v>
      </c>
      <c r="R215" s="309">
        <v>0</v>
      </c>
      <c r="S215" s="309">
        <v>0</v>
      </c>
      <c r="T215" s="309">
        <v>0</v>
      </c>
      <c r="U215" s="309">
        <v>0</v>
      </c>
      <c r="V215" s="309">
        <v>0</v>
      </c>
      <c r="W215" s="309">
        <v>0</v>
      </c>
      <c r="X215" s="309">
        <v>0</v>
      </c>
      <c r="Y215" s="309">
        <v>0</v>
      </c>
      <c r="Z215" s="309">
        <v>0</v>
      </c>
      <c r="AA215" s="309">
        <v>0</v>
      </c>
      <c r="AB215" s="309">
        <v>0</v>
      </c>
      <c r="AC215" s="309">
        <v>0</v>
      </c>
      <c r="AD215" s="309">
        <v>0</v>
      </c>
      <c r="AE215" s="309">
        <v>0</v>
      </c>
      <c r="AF215" s="309">
        <v>0</v>
      </c>
      <c r="AG215" s="309">
        <v>0</v>
      </c>
      <c r="AI215" s="305"/>
      <c r="AJ215" s="306"/>
    </row>
    <row r="216" spans="1:36" outlineLevel="1" x14ac:dyDescent="0.2">
      <c r="A216" s="310" t="s">
        <v>51</v>
      </c>
      <c r="B216" s="302" t="s">
        <v>704</v>
      </c>
      <c r="C216" s="249">
        <f>C183</f>
        <v>17.861834618571326</v>
      </c>
      <c r="D216" s="249">
        <f t="shared" ref="D216:AG216" si="47">D183</f>
        <v>18.160127256701465</v>
      </c>
      <c r="E216" s="249">
        <f t="shared" si="47"/>
        <v>18.463401381888378</v>
      </c>
      <c r="F216" s="249">
        <f t="shared" si="47"/>
        <v>18.771740184965914</v>
      </c>
      <c r="G216" s="249">
        <f t="shared" si="47"/>
        <v>19.085228246054843</v>
      </c>
      <c r="H216" s="249">
        <f t="shared" si="47"/>
        <v>19.403951557763957</v>
      </c>
      <c r="I216" s="249">
        <f t="shared" si="47"/>
        <v>19.727997548778614</v>
      </c>
      <c r="J216" s="249">
        <f t="shared" si="47"/>
        <v>20.057455107843214</v>
      </c>
      <c r="K216" s="249">
        <f t="shared" si="47"/>
        <v>20.392414608144193</v>
      </c>
      <c r="L216" s="249">
        <f t="shared" si="47"/>
        <v>20.732967932100198</v>
      </c>
      <c r="M216" s="249">
        <f t="shared" si="47"/>
        <v>21.07920849656627</v>
      </c>
      <c r="N216" s="249">
        <f t="shared" si="47"/>
        <v>21.431231278458927</v>
      </c>
      <c r="O216" s="249">
        <f t="shared" si="47"/>
        <v>21.789132840809192</v>
      </c>
      <c r="P216" s="249">
        <f t="shared" si="47"/>
        <v>22.153011359250705</v>
      </c>
      <c r="Q216" s="249">
        <f t="shared" si="47"/>
        <v>22.522966648950192</v>
      </c>
      <c r="R216" s="249">
        <f t="shared" si="47"/>
        <v>22.899100191987657</v>
      </c>
      <c r="S216" s="249">
        <f t="shared" si="47"/>
        <v>23.281515165193849</v>
      </c>
      <c r="T216" s="249">
        <f t="shared" si="47"/>
        <v>23.670316468452583</v>
      </c>
      <c r="U216" s="249">
        <f t="shared" si="47"/>
        <v>24.065610753475738</v>
      </c>
      <c r="V216" s="249">
        <f t="shared" si="47"/>
        <v>24.467506453058782</v>
      </c>
      <c r="W216" s="249">
        <f t="shared" si="47"/>
        <v>24.876113810824862</v>
      </c>
      <c r="X216" s="249">
        <f t="shared" si="47"/>
        <v>25.291544911465635</v>
      </c>
      <c r="Y216" s="249">
        <f t="shared" si="47"/>
        <v>25.713913711487109</v>
      </c>
      <c r="Z216" s="249">
        <f t="shared" si="47"/>
        <v>26.143336070468941</v>
      </c>
      <c r="AA216" s="249">
        <f t="shared" si="47"/>
        <v>26.57992978284577</v>
      </c>
      <c r="AB216" s="249">
        <f t="shared" si="47"/>
        <v>27.023814610219294</v>
      </c>
      <c r="AC216" s="249">
        <f t="shared" si="47"/>
        <v>27.475112314209955</v>
      </c>
      <c r="AD216" s="249">
        <f t="shared" si="47"/>
        <v>27.933946689857258</v>
      </c>
      <c r="AE216" s="249">
        <f t="shared" si="47"/>
        <v>28.400443599577873</v>
      </c>
      <c r="AF216" s="249">
        <f t="shared" si="47"/>
        <v>28.874731007690823</v>
      </c>
      <c r="AG216" s="249">
        <f t="shared" si="47"/>
        <v>29.356939015519259</v>
      </c>
      <c r="AI216" s="296"/>
    </row>
    <row r="217" spans="1:36" s="68" customFormat="1" outlineLevel="1" x14ac:dyDescent="0.2">
      <c r="A217" s="311" t="s">
        <v>1387</v>
      </c>
      <c r="B217" s="312" t="s">
        <v>704</v>
      </c>
      <c r="C217" s="313">
        <f>C214-C215-C216</f>
        <v>125.71096251954387</v>
      </c>
      <c r="D217" s="313">
        <f t="shared" ref="D217:AG217" si="48">D214-D215-D216</f>
        <v>130.22544534638573</v>
      </c>
      <c r="E217" s="313">
        <f t="shared" si="48"/>
        <v>134.49538523965509</v>
      </c>
      <c r="F217" s="313">
        <f t="shared" si="48"/>
        <v>138.4893101433008</v>
      </c>
      <c r="G217" s="313">
        <f t="shared" si="48"/>
        <v>142.17700270244663</v>
      </c>
      <c r="H217" s="313">
        <f t="shared" si="48"/>
        <v>145.52985178792807</v>
      </c>
      <c r="I217" s="313">
        <f t="shared" si="48"/>
        <v>148.88418166901053</v>
      </c>
      <c r="J217" s="313">
        <f t="shared" si="48"/>
        <v>152.23657302849145</v>
      </c>
      <c r="K217" s="313">
        <f t="shared" si="48"/>
        <v>155.58352051179531</v>
      </c>
      <c r="L217" s="313">
        <f t="shared" si="48"/>
        <v>158.92143714327386</v>
      </c>
      <c r="M217" s="313">
        <f t="shared" si="48"/>
        <v>162.24665904224375</v>
      </c>
      <c r="N217" s="313">
        <f t="shared" si="48"/>
        <v>165.28791163651201</v>
      </c>
      <c r="O217" s="313">
        <f t="shared" si="48"/>
        <v>168.02627864776372</v>
      </c>
      <c r="P217" s="313">
        <f t="shared" si="48"/>
        <v>170.44417145361763</v>
      </c>
      <c r="Q217" s="313">
        <f t="shared" si="48"/>
        <v>172.52549162063693</v>
      </c>
      <c r="R217" s="313">
        <f t="shared" si="48"/>
        <v>174.25578243685723</v>
      </c>
      <c r="S217" s="313">
        <f t="shared" si="48"/>
        <v>175.98072658666638</v>
      </c>
      <c r="T217" s="313">
        <f t="shared" si="48"/>
        <v>177.69974965578837</v>
      </c>
      <c r="U217" s="313">
        <f t="shared" si="48"/>
        <v>179.41226984137103</v>
      </c>
      <c r="V217" s="313">
        <f t="shared" si="48"/>
        <v>181.11769807263192</v>
      </c>
      <c r="W217" s="313">
        <f t="shared" si="48"/>
        <v>182.81543813599484</v>
      </c>
      <c r="X217" s="313">
        <f t="shared" si="48"/>
        <v>184.50719758894667</v>
      </c>
      <c r="Y217" s="313">
        <f t="shared" si="48"/>
        <v>186.19243942307156</v>
      </c>
      <c r="Z217" s="313">
        <f t="shared" si="48"/>
        <v>187.8706199459578</v>
      </c>
      <c r="AA217" s="313">
        <f t="shared" si="48"/>
        <v>189.54118887166035</v>
      </c>
      <c r="AB217" s="313">
        <f t="shared" si="48"/>
        <v>191.20358941443763</v>
      </c>
      <c r="AC217" s="313">
        <f t="shared" si="48"/>
        <v>192.859341460168</v>
      </c>
      <c r="AD217" s="313">
        <f t="shared" si="48"/>
        <v>194.50793801224242</v>
      </c>
      <c r="AE217" s="313">
        <f t="shared" si="48"/>
        <v>196.14886591575117</v>
      </c>
      <c r="AF217" s="313">
        <f t="shared" si="48"/>
        <v>197.78160592364375</v>
      </c>
      <c r="AG217" s="313">
        <f t="shared" si="48"/>
        <v>199.40563276526203</v>
      </c>
      <c r="AI217" s="314"/>
      <c r="AJ217" s="315"/>
    </row>
    <row r="218" spans="1:36" outlineLevel="1" x14ac:dyDescent="0.2">
      <c r="A218" s="112" t="s">
        <v>90</v>
      </c>
      <c r="B218" s="302" t="s">
        <v>704</v>
      </c>
      <c r="C218" s="230">
        <f>C187*C$217</f>
        <v>20.113754003127021</v>
      </c>
      <c r="D218" s="230">
        <f t="shared" ref="D218:AG218" si="49">D187*D$217</f>
        <v>21.105203842470914</v>
      </c>
      <c r="E218" s="230">
        <f t="shared" si="49"/>
        <v>22.075175897335388</v>
      </c>
      <c r="F218" s="230">
        <f t="shared" si="49"/>
        <v>23.01692334581659</v>
      </c>
      <c r="G218" s="230">
        <f t="shared" si="49"/>
        <v>23.923650321398352</v>
      </c>
      <c r="H218" s="230">
        <f t="shared" si="49"/>
        <v>24.788584754543745</v>
      </c>
      <c r="I218" s="230">
        <f t="shared" si="49"/>
        <v>25.667632919737411</v>
      </c>
      <c r="J218" s="230">
        <f t="shared" si="49"/>
        <v>26.56020744103747</v>
      </c>
      <c r="K218" s="230">
        <f t="shared" si="49"/>
        <v>27.46567748768226</v>
      </c>
      <c r="L218" s="230">
        <f t="shared" si="49"/>
        <v>28.383368673788706</v>
      </c>
      <c r="M218" s="230">
        <f t="shared" si="49"/>
        <v>29.312563066965364</v>
      </c>
      <c r="N218" s="230">
        <f t="shared" si="49"/>
        <v>30.203611053045286</v>
      </c>
      <c r="O218" s="230">
        <f t="shared" si="49"/>
        <v>31.051256294106725</v>
      </c>
      <c r="P218" s="230">
        <f t="shared" si="49"/>
        <v>31.850334172299334</v>
      </c>
      <c r="Q218" s="230">
        <f t="shared" si="49"/>
        <v>32.595816216858992</v>
      </c>
      <c r="R218" s="230">
        <f t="shared" si="49"/>
        <v>33.282854445439717</v>
      </c>
      <c r="S218" s="230">
        <f t="shared" si="49"/>
        <v>33.97601227966571</v>
      </c>
      <c r="T218" s="230">
        <f t="shared" si="49"/>
        <v>34.67514448283282</v>
      </c>
      <c r="U218" s="230">
        <f t="shared" si="49"/>
        <v>35.380099612718347</v>
      </c>
      <c r="V218" s="230">
        <f t="shared" si="49"/>
        <v>36.090719969273103</v>
      </c>
      <c r="W218" s="230">
        <f t="shared" si="49"/>
        <v>36.806841544713606</v>
      </c>
      <c r="X218" s="230">
        <f t="shared" si="49"/>
        <v>37.528763989591731</v>
      </c>
      <c r="Y218" s="230">
        <f t="shared" si="49"/>
        <v>38.256339886793747</v>
      </c>
      <c r="Z218" s="230">
        <f t="shared" si="49"/>
        <v>38.989415992784416</v>
      </c>
      <c r="AA218" s="230">
        <f t="shared" si="49"/>
        <v>39.727833187499982</v>
      </c>
      <c r="AB218" s="230">
        <f t="shared" si="49"/>
        <v>40.471426426055942</v>
      </c>
      <c r="AC218" s="230">
        <f t="shared" si="49"/>
        <v>41.22046991475321</v>
      </c>
      <c r="AD218" s="230">
        <f t="shared" si="49"/>
        <v>41.974813023041882</v>
      </c>
      <c r="AE218" s="230">
        <f t="shared" si="49"/>
        <v>42.734299587511629</v>
      </c>
      <c r="AF218" s="230">
        <f t="shared" si="49"/>
        <v>43.498767862806687</v>
      </c>
      <c r="AG218" s="230">
        <f t="shared" si="49"/>
        <v>44.268050473888174</v>
      </c>
      <c r="AI218" s="214"/>
    </row>
    <row r="219" spans="1:36" outlineLevel="1" x14ac:dyDescent="0.2">
      <c r="A219" s="112" t="s">
        <v>33</v>
      </c>
      <c r="B219" s="302" t="s">
        <v>704</v>
      </c>
      <c r="C219" s="230">
        <f t="shared" ref="C219:AG219" si="50">C188*C$217</f>
        <v>46.513056132231235</v>
      </c>
      <c r="D219" s="230">
        <f t="shared" si="50"/>
        <v>47.232769027134104</v>
      </c>
      <c r="E219" s="230">
        <f t="shared" si="50"/>
        <v>47.799659914173425</v>
      </c>
      <c r="F219" s="230">
        <f t="shared" si="50"/>
        <v>48.208128860883015</v>
      </c>
      <c r="G219" s="230">
        <f t="shared" si="50"/>
        <v>48.453922520993828</v>
      </c>
      <c r="H219" s="230">
        <f t="shared" si="50"/>
        <v>48.534205571274029</v>
      </c>
      <c r="I219" s="230">
        <f t="shared" si="50"/>
        <v>48.566020060431256</v>
      </c>
      <c r="J219" s="230">
        <f t="shared" si="50"/>
        <v>48.548243138785949</v>
      </c>
      <c r="K219" s="230">
        <f t="shared" si="50"/>
        <v>48.479824991475454</v>
      </c>
      <c r="L219" s="230">
        <f t="shared" si="50"/>
        <v>48.359793322698273</v>
      </c>
      <c r="M219" s="230">
        <f t="shared" si="50"/>
        <v>48.187257735546439</v>
      </c>
      <c r="N219" s="230">
        <f t="shared" si="50"/>
        <v>47.883908001097574</v>
      </c>
      <c r="O219" s="230">
        <f t="shared" si="50"/>
        <v>47.450621090128529</v>
      </c>
      <c r="P219" s="230">
        <f t="shared" si="50"/>
        <v>46.889191566890268</v>
      </c>
      <c r="Q219" s="230">
        <f t="shared" si="50"/>
        <v>46.202326656006633</v>
      </c>
      <c r="R219" s="230">
        <f t="shared" si="50"/>
        <v>45.393631324801376</v>
      </c>
      <c r="S219" s="230">
        <f t="shared" si="50"/>
        <v>44.558319971744005</v>
      </c>
      <c r="T219" s="230">
        <f t="shared" si="50"/>
        <v>43.696368440358434</v>
      </c>
      <c r="U219" s="230">
        <f t="shared" si="50"/>
        <v>42.8077675841512</v>
      </c>
      <c r="V219" s="230">
        <f t="shared" si="50"/>
        <v>41.892523564199841</v>
      </c>
      <c r="W219" s="230">
        <f t="shared" si="50"/>
        <v>40.95065814246292</v>
      </c>
      <c r="X219" s="230">
        <f t="shared" si="50"/>
        <v>39.98270971752482</v>
      </c>
      <c r="Y219" s="230">
        <f t="shared" si="50"/>
        <v>38.988696815191261</v>
      </c>
      <c r="Z219" s="230">
        <f t="shared" si="50"/>
        <v>37.968652291078151</v>
      </c>
      <c r="AA219" s="230">
        <f t="shared" si="50"/>
        <v>36.922623592199514</v>
      </c>
      <c r="AB219" s="230">
        <f t="shared" si="50"/>
        <v>35.850673015207136</v>
      </c>
      <c r="AC219" s="230">
        <f t="shared" si="50"/>
        <v>34.753253331122352</v>
      </c>
      <c r="AD219" s="230">
        <f t="shared" si="50"/>
        <v>33.630422482316796</v>
      </c>
      <c r="AE219" s="230">
        <f t="shared" si="50"/>
        <v>32.482252195648478</v>
      </c>
      <c r="AF219" s="230">
        <f t="shared" si="50"/>
        <v>31.308828217712886</v>
      </c>
      <c r="AG219" s="230">
        <f t="shared" si="50"/>
        <v>30.110250547554564</v>
      </c>
      <c r="AI219" s="214"/>
    </row>
    <row r="220" spans="1:36" outlineLevel="1" x14ac:dyDescent="0.2">
      <c r="A220" s="112" t="s">
        <v>451</v>
      </c>
      <c r="B220" s="302" t="s">
        <v>704</v>
      </c>
      <c r="C220" s="230">
        <f t="shared" ref="C220:AG220" si="51">C189*C$217</f>
        <v>10.05687700156351</v>
      </c>
      <c r="D220" s="230">
        <f t="shared" si="51"/>
        <v>10.431058172245498</v>
      </c>
      <c r="E220" s="230">
        <f t="shared" si="51"/>
        <v>10.786529896220339</v>
      </c>
      <c r="F220" s="230">
        <f t="shared" si="51"/>
        <v>11.120691604507055</v>
      </c>
      <c r="G220" s="230">
        <f t="shared" si="51"/>
        <v>11.431031017276711</v>
      </c>
      <c r="H220" s="230">
        <f t="shared" si="51"/>
        <v>11.715153068928212</v>
      </c>
      <c r="I220" s="230">
        <f t="shared" si="51"/>
        <v>12.000065042522252</v>
      </c>
      <c r="J220" s="230">
        <f t="shared" si="51"/>
        <v>12.285491443399263</v>
      </c>
      <c r="K220" s="230">
        <f t="shared" si="51"/>
        <v>12.571148457353065</v>
      </c>
      <c r="L220" s="230">
        <f t="shared" si="51"/>
        <v>12.85674426489086</v>
      </c>
      <c r="M220" s="230">
        <f t="shared" si="51"/>
        <v>13.141979382421749</v>
      </c>
      <c r="N220" s="230">
        <f t="shared" si="51"/>
        <v>13.404849633721129</v>
      </c>
      <c r="O220" s="230">
        <f t="shared" si="51"/>
        <v>13.643733826198419</v>
      </c>
      <c r="P220" s="230">
        <f t="shared" si="51"/>
        <v>13.85711113917912</v>
      </c>
      <c r="Q220" s="230">
        <f t="shared" si="51"/>
        <v>14.043575017919853</v>
      </c>
      <c r="R220" s="230">
        <f t="shared" si="51"/>
        <v>14.201846268603871</v>
      </c>
      <c r="S220" s="230">
        <f t="shared" si="51"/>
        <v>14.360027289471985</v>
      </c>
      <c r="T220" s="230">
        <f t="shared" si="51"/>
        <v>14.518069546877918</v>
      </c>
      <c r="U220" s="230">
        <f t="shared" si="51"/>
        <v>14.67592367302416</v>
      </c>
      <c r="V220" s="230">
        <f t="shared" si="51"/>
        <v>14.833539472148566</v>
      </c>
      <c r="W220" s="230">
        <f t="shared" si="51"/>
        <v>14.990865927151587</v>
      </c>
      <c r="X220" s="230">
        <f t="shared" si="51"/>
        <v>15.148040922052532</v>
      </c>
      <c r="Y220" s="230">
        <f t="shared" si="51"/>
        <v>15.305018520576494</v>
      </c>
      <c r="Z220" s="230">
        <f t="shared" si="51"/>
        <v>15.461752021552339</v>
      </c>
      <c r="AA220" s="230">
        <f t="shared" si="51"/>
        <v>15.618193963024826</v>
      </c>
      <c r="AB220" s="230">
        <f t="shared" si="51"/>
        <v>15.774296126691118</v>
      </c>
      <c r="AC220" s="230">
        <f t="shared" si="51"/>
        <v>15.930181604609892</v>
      </c>
      <c r="AD220" s="230">
        <f t="shared" si="51"/>
        <v>16.085806473612465</v>
      </c>
      <c r="AE220" s="230">
        <f t="shared" si="51"/>
        <v>16.241126097824214</v>
      </c>
      <c r="AF220" s="230">
        <f t="shared" si="51"/>
        <v>16.396095131070084</v>
      </c>
      <c r="AG220" s="230">
        <f t="shared" si="51"/>
        <v>16.55066751951675</v>
      </c>
      <c r="AI220" s="214"/>
    </row>
    <row r="221" spans="1:36" outlineLevel="1" x14ac:dyDescent="0.2">
      <c r="A221" s="112" t="s">
        <v>452</v>
      </c>
      <c r="B221" s="302" t="s">
        <v>704</v>
      </c>
      <c r="C221" s="230">
        <f t="shared" ref="C221:AG221" si="52">C190*C$217</f>
        <v>33.941959880276848</v>
      </c>
      <c r="D221" s="230">
        <f t="shared" si="52"/>
        <v>35.568909972276153</v>
      </c>
      <c r="E221" s="230">
        <f t="shared" si="52"/>
        <v>37.156591762208713</v>
      </c>
      <c r="F221" s="230">
        <f t="shared" si="52"/>
        <v>38.693913254038243</v>
      </c>
      <c r="G221" s="230">
        <f t="shared" si="52"/>
        <v>40.169742496864586</v>
      </c>
      <c r="H221" s="230">
        <f t="shared" si="52"/>
        <v>41.573027660751443</v>
      </c>
      <c r="I221" s="230">
        <f t="shared" si="52"/>
        <v>42.997751666010231</v>
      </c>
      <c r="J221" s="230">
        <f t="shared" si="52"/>
        <v>44.442930219450929</v>
      </c>
      <c r="K221" s="230">
        <f t="shared" si="52"/>
        <v>45.907510785680394</v>
      </c>
      <c r="L221" s="230">
        <f t="shared" si="52"/>
        <v>47.390372556124248</v>
      </c>
      <c r="M221" s="230">
        <f t="shared" si="52"/>
        <v>48.890326591396096</v>
      </c>
      <c r="N221" s="230">
        <f t="shared" si="52"/>
        <v>50.324659496263337</v>
      </c>
      <c r="O221" s="230">
        <f t="shared" si="52"/>
        <v>51.684883312052101</v>
      </c>
      <c r="P221" s="230">
        <f t="shared" si="52"/>
        <v>52.962685543020761</v>
      </c>
      <c r="Q221" s="230">
        <f t="shared" si="52"/>
        <v>54.150000969997215</v>
      </c>
      <c r="R221" s="230">
        <f t="shared" si="52"/>
        <v>55.239083032483713</v>
      </c>
      <c r="S221" s="230">
        <f t="shared" si="52"/>
        <v>56.337296604611431</v>
      </c>
      <c r="T221" s="230">
        <f t="shared" si="52"/>
        <v>57.444405738727816</v>
      </c>
      <c r="U221" s="230">
        <f t="shared" si="52"/>
        <v>58.560164876223467</v>
      </c>
      <c r="V221" s="230">
        <f t="shared" si="52"/>
        <v>59.684318771534599</v>
      </c>
      <c r="W221" s="230">
        <f t="shared" si="52"/>
        <v>60.816602419907575</v>
      </c>
      <c r="X221" s="230">
        <f t="shared" si="52"/>
        <v>61.957516950368245</v>
      </c>
      <c r="Y221" s="230">
        <f t="shared" si="52"/>
        <v>63.106824135126345</v>
      </c>
      <c r="Z221" s="230">
        <f t="shared" si="52"/>
        <v>64.264276729513909</v>
      </c>
      <c r="AA221" s="230">
        <f t="shared" si="52"/>
        <v>65.429618398497098</v>
      </c>
      <c r="AB221" s="230">
        <f t="shared" si="52"/>
        <v>66.602583646029061</v>
      </c>
      <c r="AC221" s="230">
        <f t="shared" si="52"/>
        <v>67.78362987853366</v>
      </c>
      <c r="AD221" s="230">
        <f t="shared" si="52"/>
        <v>68.972514819141097</v>
      </c>
      <c r="AE221" s="230">
        <f t="shared" si="52"/>
        <v>70.168987633594654</v>
      </c>
      <c r="AF221" s="230">
        <f t="shared" si="52"/>
        <v>71.372788857645503</v>
      </c>
      <c r="AG221" s="230">
        <f t="shared" si="52"/>
        <v>72.583650326555372</v>
      </c>
      <c r="AI221" s="214"/>
    </row>
    <row r="222" spans="1:36" outlineLevel="1" x14ac:dyDescent="0.2">
      <c r="A222" s="112" t="s">
        <v>1364</v>
      </c>
      <c r="B222" s="302" t="s">
        <v>704</v>
      </c>
      <c r="C222" s="230">
        <f t="shared" ref="C222:AG222" si="53">C191*C$217</f>
        <v>8.7997673763680719</v>
      </c>
      <c r="D222" s="230">
        <f t="shared" si="53"/>
        <v>9.2807334050190899</v>
      </c>
      <c r="E222" s="230">
        <f t="shared" si="53"/>
        <v>9.7553986093829828</v>
      </c>
      <c r="F222" s="230">
        <f t="shared" si="53"/>
        <v>10.2205110885756</v>
      </c>
      <c r="G222" s="230">
        <f t="shared" si="53"/>
        <v>10.672753669530328</v>
      </c>
      <c r="H222" s="230">
        <f t="shared" si="53"/>
        <v>11.108778686478509</v>
      </c>
      <c r="I222" s="230">
        <f t="shared" si="53"/>
        <v>11.553412497515218</v>
      </c>
      <c r="J222" s="230">
        <f t="shared" si="53"/>
        <v>12.006391059513692</v>
      </c>
      <c r="K222" s="230">
        <f t="shared" si="53"/>
        <v>12.467426110345198</v>
      </c>
      <c r="L222" s="230">
        <f t="shared" si="53"/>
        <v>12.936204983462492</v>
      </c>
      <c r="M222" s="230">
        <f t="shared" si="53"/>
        <v>13.412390480825483</v>
      </c>
      <c r="N222" s="230">
        <f t="shared" si="53"/>
        <v>13.873165383357907</v>
      </c>
      <c r="O222" s="230">
        <f t="shared" si="53"/>
        <v>14.315838940789469</v>
      </c>
      <c r="P222" s="230">
        <f t="shared" si="53"/>
        <v>14.737739358356137</v>
      </c>
      <c r="Q222" s="230">
        <f t="shared" si="53"/>
        <v>15.136236464850546</v>
      </c>
      <c r="R222" s="230">
        <f t="shared" si="53"/>
        <v>15.508764636880294</v>
      </c>
      <c r="S222" s="230">
        <f t="shared" si="53"/>
        <v>15.885193586556417</v>
      </c>
      <c r="T222" s="230">
        <f t="shared" si="53"/>
        <v>16.26545041849316</v>
      </c>
      <c r="U222" s="230">
        <f t="shared" si="53"/>
        <v>16.649458641279232</v>
      </c>
      <c r="V222" s="230">
        <f t="shared" si="53"/>
        <v>17.037138132032243</v>
      </c>
      <c r="W222" s="230">
        <f t="shared" si="53"/>
        <v>17.428405102298175</v>
      </c>
      <c r="X222" s="230">
        <f t="shared" si="53"/>
        <v>17.823395287092247</v>
      </c>
      <c r="Y222" s="230">
        <f t="shared" si="53"/>
        <v>18.222033404871269</v>
      </c>
      <c r="Z222" s="230">
        <f t="shared" si="53"/>
        <v>18.624240790642613</v>
      </c>
      <c r="AA222" s="230">
        <f t="shared" si="53"/>
        <v>19.029935362714696</v>
      </c>
      <c r="AB222" s="230">
        <f t="shared" si="53"/>
        <v>19.439031590467824</v>
      </c>
      <c r="AC222" s="230">
        <f t="shared" si="53"/>
        <v>19.851654880966624</v>
      </c>
      <c r="AD222" s="230">
        <f t="shared" si="53"/>
        <v>20.267727140875657</v>
      </c>
      <c r="AE222" s="230">
        <f t="shared" si="53"/>
        <v>20.68716705858122</v>
      </c>
      <c r="AF222" s="230">
        <f t="shared" si="53"/>
        <v>21.109890072250241</v>
      </c>
      <c r="AG222" s="230">
        <f t="shared" si="53"/>
        <v>21.535808338648298</v>
      </c>
      <c r="AI222" s="214"/>
    </row>
    <row r="223" spans="1:36" outlineLevel="1" x14ac:dyDescent="0.2">
      <c r="A223" s="112" t="s">
        <v>1365</v>
      </c>
      <c r="B223" s="302" t="s">
        <v>704</v>
      </c>
      <c r="C223" s="230">
        <f t="shared" ref="C223:AF223" si="54">C192*C$217</f>
        <v>6.2855481259771935</v>
      </c>
      <c r="D223" s="230">
        <f t="shared" si="54"/>
        <v>6.6067709272399702</v>
      </c>
      <c r="E223" s="230">
        <f t="shared" si="54"/>
        <v>6.9220291603342501</v>
      </c>
      <c r="F223" s="230">
        <f t="shared" si="54"/>
        <v>7.2291419894803033</v>
      </c>
      <c r="G223" s="230">
        <f t="shared" si="54"/>
        <v>7.5259026763828434</v>
      </c>
      <c r="H223" s="230">
        <f t="shared" si="54"/>
        <v>7.8101020459521422</v>
      </c>
      <c r="I223" s="230">
        <f t="shared" si="54"/>
        <v>8.0992994827941747</v>
      </c>
      <c r="J223" s="230">
        <f t="shared" si="54"/>
        <v>8.3933097263041656</v>
      </c>
      <c r="K223" s="230">
        <f t="shared" si="54"/>
        <v>8.6919326792589686</v>
      </c>
      <c r="L223" s="230">
        <f t="shared" si="54"/>
        <v>8.9949533423093051</v>
      </c>
      <c r="M223" s="230">
        <f t="shared" si="54"/>
        <v>9.3021417850886454</v>
      </c>
      <c r="N223" s="230">
        <f t="shared" si="54"/>
        <v>9.5977180690268025</v>
      </c>
      <c r="O223" s="230">
        <f t="shared" si="54"/>
        <v>9.8799451844885127</v>
      </c>
      <c r="P223" s="230">
        <f t="shared" si="54"/>
        <v>10.147109673872043</v>
      </c>
      <c r="Q223" s="230">
        <f t="shared" si="54"/>
        <v>10.397536295003725</v>
      </c>
      <c r="R223" s="230">
        <f t="shared" si="54"/>
        <v>10.629602728648297</v>
      </c>
      <c r="S223" s="230">
        <f t="shared" si="54"/>
        <v>10.863876854616878</v>
      </c>
      <c r="T223" s="230">
        <f t="shared" si="54"/>
        <v>11.100311028498254</v>
      </c>
      <c r="U223" s="230">
        <f t="shared" si="54"/>
        <v>11.338855453974658</v>
      </c>
      <c r="V223" s="230">
        <f t="shared" si="54"/>
        <v>11.57945816344361</v>
      </c>
      <c r="W223" s="230">
        <f t="shared" si="54"/>
        <v>11.822064999461009</v>
      </c>
      <c r="X223" s="230">
        <f t="shared" si="54"/>
        <v>12.066770722317122</v>
      </c>
      <c r="Y223" s="230">
        <f t="shared" si="54"/>
        <v>12.313526660512476</v>
      </c>
      <c r="Z223" s="230">
        <f t="shared" si="54"/>
        <v>12.56228212038639</v>
      </c>
      <c r="AA223" s="230">
        <f t="shared" si="54"/>
        <v>12.812984367724251</v>
      </c>
      <c r="AB223" s="230">
        <f t="shared" si="54"/>
        <v>13.065578609986584</v>
      </c>
      <c r="AC223" s="230">
        <f t="shared" si="54"/>
        <v>13.320151850182283</v>
      </c>
      <c r="AD223" s="230">
        <f t="shared" si="54"/>
        <v>13.576654073254534</v>
      </c>
      <c r="AE223" s="230">
        <f t="shared" si="54"/>
        <v>13.835033342590997</v>
      </c>
      <c r="AF223" s="230">
        <f t="shared" si="54"/>
        <v>14.09523578215836</v>
      </c>
      <c r="AG223" s="230">
        <f>AG192*AG$217</f>
        <v>14.357205559098865</v>
      </c>
      <c r="AI223" s="214"/>
    </row>
    <row r="224" spans="1:36" s="58" customFormat="1" x14ac:dyDescent="0.2">
      <c r="A224" s="58" t="s">
        <v>1366</v>
      </c>
      <c r="B224" s="303"/>
      <c r="C224" s="304">
        <f>C50</f>
        <v>143.57279713811519</v>
      </c>
      <c r="D224" s="304">
        <f t="shared" ref="D224:AG224" si="55">D50</f>
        <v>147.25035749090338</v>
      </c>
      <c r="E224" s="304">
        <f t="shared" si="55"/>
        <v>150.61838218642308</v>
      </c>
      <c r="F224" s="304">
        <f t="shared" si="55"/>
        <v>153.65170102781801</v>
      </c>
      <c r="G224" s="304">
        <f t="shared" si="55"/>
        <v>156.3273220247911</v>
      </c>
      <c r="H224" s="304">
        <f t="shared" si="55"/>
        <v>158.6247214456339</v>
      </c>
      <c r="I224" s="304">
        <f t="shared" si="55"/>
        <v>160.67821038327196</v>
      </c>
      <c r="J224" s="304">
        <f t="shared" si="55"/>
        <v>162.67022177808516</v>
      </c>
      <c r="K224" s="304">
        <f t="shared" si="55"/>
        <v>164.59746974593318</v>
      </c>
      <c r="L224" s="304">
        <f t="shared" si="55"/>
        <v>166.45671441522023</v>
      </c>
      <c r="M224" s="304">
        <f t="shared" si="55"/>
        <v>168.24476980396045</v>
      </c>
      <c r="N224" s="304">
        <f t="shared" si="55"/>
        <v>168.69237962263861</v>
      </c>
      <c r="O224" s="304">
        <f t="shared" si="55"/>
        <v>169.19404763704574</v>
      </c>
      <c r="P224" s="304">
        <f t="shared" si="55"/>
        <v>168.87459021619037</v>
      </c>
      <c r="Q224" s="304">
        <f t="shared" si="55"/>
        <v>168.18928706868351</v>
      </c>
      <c r="R224" s="304">
        <f t="shared" si="55"/>
        <v>167.14037753852</v>
      </c>
      <c r="S224" s="304">
        <f t="shared" si="55"/>
        <v>166.06072097200428</v>
      </c>
      <c r="T224" s="304">
        <f t="shared" si="55"/>
        <v>164.92081498139902</v>
      </c>
      <c r="U224" s="304">
        <f t="shared" si="55"/>
        <v>163.72025702893475</v>
      </c>
      <c r="V224" s="304">
        <f t="shared" si="55"/>
        <v>162.45866758077682</v>
      </c>
      <c r="W224" s="304">
        <f t="shared" si="55"/>
        <v>161.1356906219419</v>
      </c>
      <c r="X224" s="304">
        <f t="shared" si="55"/>
        <v>158.24379421539959</v>
      </c>
      <c r="Y224" s="304">
        <f t="shared" si="55"/>
        <v>156.72903436407256</v>
      </c>
      <c r="Z224" s="304">
        <f t="shared" si="55"/>
        <v>155.14443039120476</v>
      </c>
      <c r="AA224" s="304">
        <f t="shared" si="55"/>
        <v>153.4974955724021</v>
      </c>
      <c r="AB224" s="304">
        <f t="shared" si="55"/>
        <v>151.78794348957754</v>
      </c>
      <c r="AC224" s="304">
        <f t="shared" si="55"/>
        <v>149.99637462868759</v>
      </c>
      <c r="AD224" s="304">
        <f t="shared" si="55"/>
        <v>148.14265919885594</v>
      </c>
      <c r="AE224" s="304">
        <f t="shared" si="55"/>
        <v>146.22652638822856</v>
      </c>
      <c r="AF224" s="304">
        <f t="shared" si="55"/>
        <v>144.24772579545657</v>
      </c>
      <c r="AG224" s="304">
        <f t="shared" si="55"/>
        <v>142.20602779086926</v>
      </c>
      <c r="AI224" s="305"/>
      <c r="AJ224" s="306"/>
    </row>
    <row r="225" spans="1:36" s="58" customFormat="1" x14ac:dyDescent="0.2">
      <c r="A225" s="307" t="s">
        <v>3</v>
      </c>
      <c r="B225" s="308" t="s">
        <v>704</v>
      </c>
      <c r="C225" s="309">
        <f>C50-C32</f>
        <v>0</v>
      </c>
      <c r="D225" s="309">
        <f t="shared" ref="D225:AG225" si="56">D50-D32</f>
        <v>-1.1352151121838006</v>
      </c>
      <c r="E225" s="309">
        <f t="shared" si="56"/>
        <v>-2.340404435120405</v>
      </c>
      <c r="F225" s="309">
        <f t="shared" si="56"/>
        <v>-3.6093493004487129</v>
      </c>
      <c r="G225" s="309">
        <f t="shared" si="56"/>
        <v>-4.9349089237103669</v>
      </c>
      <c r="H225" s="309">
        <f t="shared" si="56"/>
        <v>-6.3090819000581178</v>
      </c>
      <c r="I225" s="309">
        <f t="shared" si="56"/>
        <v>-7.9339688345171737</v>
      </c>
      <c r="J225" s="309">
        <f t="shared" si="56"/>
        <v>-9.6238063582495101</v>
      </c>
      <c r="K225" s="309">
        <f t="shared" si="56"/>
        <v>-11.378465374006339</v>
      </c>
      <c r="L225" s="309">
        <f t="shared" si="56"/>
        <v>-13.197690660153825</v>
      </c>
      <c r="M225" s="309">
        <f t="shared" si="56"/>
        <v>-15.081097734849578</v>
      </c>
      <c r="N225" s="309">
        <f t="shared" si="56"/>
        <v>-18.026763292332333</v>
      </c>
      <c r="O225" s="309">
        <f t="shared" si="56"/>
        <v>-20.621363851527178</v>
      </c>
      <c r="P225" s="309">
        <f t="shared" si="56"/>
        <v>-23.72259259667797</v>
      </c>
      <c r="Q225" s="309">
        <f t="shared" si="56"/>
        <v>-26.859171200903603</v>
      </c>
      <c r="R225" s="309">
        <f t="shared" si="56"/>
        <v>-30.014505090324889</v>
      </c>
      <c r="S225" s="309">
        <f t="shared" si="56"/>
        <v>-33.20152077985594</v>
      </c>
      <c r="T225" s="309">
        <f t="shared" si="56"/>
        <v>-36.449251142841945</v>
      </c>
      <c r="U225" s="309">
        <f t="shared" si="56"/>
        <v>-39.757623565912013</v>
      </c>
      <c r="V225" s="309">
        <f t="shared" si="56"/>
        <v>-43.12653694491388</v>
      </c>
      <c r="W225" s="309">
        <f t="shared" si="56"/>
        <v>-46.555861324877782</v>
      </c>
      <c r="X225" s="309">
        <f t="shared" si="56"/>
        <v>-51.554948285012728</v>
      </c>
      <c r="Y225" s="309">
        <f t="shared" si="56"/>
        <v>-55.177318770486096</v>
      </c>
      <c r="Z225" s="309">
        <f t="shared" si="56"/>
        <v>-58.869525625221968</v>
      </c>
      <c r="AA225" s="309">
        <f t="shared" si="56"/>
        <v>-62.623623082104018</v>
      </c>
      <c r="AB225" s="309">
        <f t="shared" si="56"/>
        <v>-66.439460535079377</v>
      </c>
      <c r="AC225" s="309">
        <f t="shared" si="56"/>
        <v>-70.338079145690358</v>
      </c>
      <c r="AD225" s="309">
        <f t="shared" si="56"/>
        <v>-74.299225503243747</v>
      </c>
      <c r="AE225" s="309">
        <f t="shared" si="56"/>
        <v>-78.322783127100479</v>
      </c>
      <c r="AF225" s="309">
        <f t="shared" si="56"/>
        <v>-82.408611135878004</v>
      </c>
      <c r="AG225" s="309">
        <f t="shared" si="56"/>
        <v>-86.556543989912029</v>
      </c>
      <c r="AI225" s="305"/>
      <c r="AJ225" s="306"/>
    </row>
    <row r="226" spans="1:36" x14ac:dyDescent="0.2">
      <c r="A226" s="310" t="s">
        <v>51</v>
      </c>
      <c r="B226" s="302" t="s">
        <v>704</v>
      </c>
      <c r="C226" s="249">
        <f>C182</f>
        <v>17.861834618571326</v>
      </c>
      <c r="D226" s="249">
        <f t="shared" ref="D226:AG226" si="57">D182</f>
        <v>19.10066007535314</v>
      </c>
      <c r="E226" s="249">
        <f t="shared" si="57"/>
        <v>20.326034188179669</v>
      </c>
      <c r="F226" s="249">
        <f t="shared" si="57"/>
        <v>21.52873821376847</v>
      </c>
      <c r="G226" s="249">
        <f t="shared" si="57"/>
        <v>22.699477037904501</v>
      </c>
      <c r="H226" s="249">
        <f t="shared" si="57"/>
        <v>23.828997691393759</v>
      </c>
      <c r="I226" s="249">
        <f t="shared" si="57"/>
        <v>24.920203594353069</v>
      </c>
      <c r="J226" s="249">
        <f t="shared" si="57"/>
        <v>26.008161872602983</v>
      </c>
      <c r="K226" s="249">
        <f t="shared" si="57"/>
        <v>27.090730901312561</v>
      </c>
      <c r="L226" s="249">
        <f t="shared" si="57"/>
        <v>28.165727721645219</v>
      </c>
      <c r="M226" s="249">
        <f t="shared" si="57"/>
        <v>29.230933254463636</v>
      </c>
      <c r="N226" s="249">
        <f t="shared" si="57"/>
        <v>30.994368417798405</v>
      </c>
      <c r="O226" s="249">
        <f t="shared" si="57"/>
        <v>32.763343065805515</v>
      </c>
      <c r="P226" s="249">
        <f t="shared" si="57"/>
        <v>34.285439228140206</v>
      </c>
      <c r="Q226" s="249">
        <f t="shared" si="57"/>
        <v>35.669372491565973</v>
      </c>
      <c r="R226" s="249">
        <f t="shared" si="57"/>
        <v>36.904259676593014</v>
      </c>
      <c r="S226" s="249">
        <f t="shared" si="57"/>
        <v>38.064116044746605</v>
      </c>
      <c r="T226" s="249">
        <f t="shared" si="57"/>
        <v>39.132615658773688</v>
      </c>
      <c r="U226" s="249">
        <f t="shared" si="57"/>
        <v>40.106990200470051</v>
      </c>
      <c r="V226" s="249">
        <f t="shared" si="57"/>
        <v>40.984493572032804</v>
      </c>
      <c r="W226" s="249">
        <f t="shared" si="57"/>
        <v>41.76240438786656</v>
      </c>
      <c r="X226" s="249">
        <f t="shared" si="57"/>
        <v>42.921460653080757</v>
      </c>
      <c r="Y226" s="249">
        <f t="shared" si="57"/>
        <v>44.498990638127026</v>
      </c>
      <c r="Z226" s="249">
        <f t="shared" si="57"/>
        <v>45.899549468763738</v>
      </c>
      <c r="AA226" s="249">
        <f t="shared" si="57"/>
        <v>47.125533221783982</v>
      </c>
      <c r="AB226" s="249">
        <f t="shared" si="57"/>
        <v>48.172480788552022</v>
      </c>
      <c r="AC226" s="249">
        <f t="shared" si="57"/>
        <v>49.021306875883333</v>
      </c>
      <c r="AD226" s="249">
        <f t="shared" si="57"/>
        <v>49.681090085337402</v>
      </c>
      <c r="AE226" s="249">
        <f t="shared" si="57"/>
        <v>50.14749590784735</v>
      </c>
      <c r="AF226" s="249">
        <f t="shared" si="57"/>
        <v>50.416239114269601</v>
      </c>
      <c r="AG226" s="249">
        <f t="shared" si="57"/>
        <v>50.483087207378787</v>
      </c>
      <c r="AH226" s="633"/>
      <c r="AI226" s="296"/>
    </row>
    <row r="227" spans="1:36" s="68" customFormat="1" x14ac:dyDescent="0.2">
      <c r="A227" s="311" t="s">
        <v>1387</v>
      </c>
      <c r="B227" s="312" t="s">
        <v>704</v>
      </c>
      <c r="C227" s="313">
        <f>C224-C226</f>
        <v>125.71096251954387</v>
      </c>
      <c r="D227" s="313">
        <f t="shared" ref="D227:AG227" si="58">D224-D226</f>
        <v>128.14969741555024</v>
      </c>
      <c r="E227" s="313">
        <f t="shared" si="58"/>
        <v>130.2923479982434</v>
      </c>
      <c r="F227" s="313">
        <f t="shared" si="58"/>
        <v>132.12296281404954</v>
      </c>
      <c r="G227" s="313">
        <f t="shared" si="58"/>
        <v>133.6278449868866</v>
      </c>
      <c r="H227" s="313">
        <f t="shared" si="58"/>
        <v>134.79572375424013</v>
      </c>
      <c r="I227" s="313">
        <f t="shared" si="58"/>
        <v>135.75800678891889</v>
      </c>
      <c r="J227" s="313">
        <f t="shared" si="58"/>
        <v>136.66205990548218</v>
      </c>
      <c r="K227" s="313">
        <f t="shared" si="58"/>
        <v>137.50673884462063</v>
      </c>
      <c r="L227" s="313">
        <f t="shared" si="58"/>
        <v>138.29098669357501</v>
      </c>
      <c r="M227" s="313">
        <f t="shared" si="58"/>
        <v>139.01383654949683</v>
      </c>
      <c r="N227" s="313">
        <f t="shared" si="58"/>
        <v>137.69801120484021</v>
      </c>
      <c r="O227" s="313">
        <f t="shared" si="58"/>
        <v>136.43070457124023</v>
      </c>
      <c r="P227" s="313">
        <f t="shared" si="58"/>
        <v>134.58915098805016</v>
      </c>
      <c r="Q227" s="313">
        <f t="shared" si="58"/>
        <v>132.51991457711753</v>
      </c>
      <c r="R227" s="313">
        <f t="shared" si="58"/>
        <v>130.23611786192697</v>
      </c>
      <c r="S227" s="313">
        <f t="shared" si="58"/>
        <v>127.99660492725766</v>
      </c>
      <c r="T227" s="313">
        <f t="shared" si="58"/>
        <v>125.78819932262533</v>
      </c>
      <c r="U227" s="313">
        <f t="shared" si="58"/>
        <v>123.6132668284647</v>
      </c>
      <c r="V227" s="313">
        <f t="shared" si="58"/>
        <v>121.47417400874401</v>
      </c>
      <c r="W227" s="313">
        <f t="shared" si="58"/>
        <v>119.37328623407535</v>
      </c>
      <c r="X227" s="313">
        <f t="shared" si="58"/>
        <v>115.32233356231883</v>
      </c>
      <c r="Y227" s="313">
        <f t="shared" si="58"/>
        <v>112.23004372594554</v>
      </c>
      <c r="Z227" s="313">
        <f t="shared" si="58"/>
        <v>109.24488092244103</v>
      </c>
      <c r="AA227" s="313">
        <f t="shared" si="58"/>
        <v>106.37196235061812</v>
      </c>
      <c r="AB227" s="313">
        <f t="shared" si="58"/>
        <v>103.61546270102552</v>
      </c>
      <c r="AC227" s="313">
        <f t="shared" si="58"/>
        <v>100.97506775280425</v>
      </c>
      <c r="AD227" s="313">
        <f t="shared" si="58"/>
        <v>98.461569113518536</v>
      </c>
      <c r="AE227" s="313">
        <f t="shared" si="58"/>
        <v>96.079030480381221</v>
      </c>
      <c r="AF227" s="313">
        <f t="shared" si="58"/>
        <v>93.831486681186973</v>
      </c>
      <c r="AG227" s="313">
        <f t="shared" si="58"/>
        <v>91.72294058349047</v>
      </c>
      <c r="AI227" s="314"/>
      <c r="AJ227" s="315"/>
    </row>
    <row r="228" spans="1:36" s="58" customFormat="1" outlineLevel="1" x14ac:dyDescent="0.2">
      <c r="A228" s="307" t="s">
        <v>1367</v>
      </c>
      <c r="B228" s="308" t="s">
        <v>462</v>
      </c>
      <c r="C228" s="309">
        <f>C50*C194</f>
        <v>120.60114959601675</v>
      </c>
      <c r="D228" s="309">
        <f t="shared" ref="D228:AG228" si="59">D50*D194</f>
        <v>124.27930172232246</v>
      </c>
      <c r="E228" s="309">
        <f t="shared" si="59"/>
        <v>127.72438809408676</v>
      </c>
      <c r="F228" s="309">
        <f t="shared" si="59"/>
        <v>130.91124927570092</v>
      </c>
      <c r="G228" s="309">
        <f t="shared" si="59"/>
        <v>133.81618765322119</v>
      </c>
      <c r="H228" s="309">
        <f t="shared" si="59"/>
        <v>136.41726044324514</v>
      </c>
      <c r="I228" s="309">
        <f t="shared" si="59"/>
        <v>138.82597377114698</v>
      </c>
      <c r="J228" s="309">
        <f t="shared" si="59"/>
        <v>141.19775250337793</v>
      </c>
      <c r="K228" s="309">
        <f t="shared" si="59"/>
        <v>143.52899361845374</v>
      </c>
      <c r="L228" s="309">
        <f t="shared" si="59"/>
        <v>145.81608182773292</v>
      </c>
      <c r="M228" s="309">
        <f t="shared" si="59"/>
        <v>148.05539742748519</v>
      </c>
      <c r="N228" s="309">
        <f t="shared" si="59"/>
        <v>149.12406358641255</v>
      </c>
      <c r="O228" s="309">
        <f t="shared" si="59"/>
        <v>150.24431430169662</v>
      </c>
      <c r="P228" s="309">
        <f t="shared" si="59"/>
        <v>150.6361344728418</v>
      </c>
      <c r="Q228" s="309">
        <f t="shared" si="59"/>
        <v>150.69760121354042</v>
      </c>
      <c r="R228" s="309">
        <f t="shared" si="59"/>
        <v>150.42633978466802</v>
      </c>
      <c r="S228" s="309">
        <f t="shared" si="59"/>
        <v>150.11889175869186</v>
      </c>
      <c r="T228" s="309">
        <f t="shared" si="59"/>
        <v>149.74810000311032</v>
      </c>
      <c r="U228" s="309">
        <f t="shared" si="59"/>
        <v>149.3128744103885</v>
      </c>
      <c r="V228" s="309">
        <f t="shared" si="59"/>
        <v>148.81213950399157</v>
      </c>
      <c r="W228" s="309">
        <f t="shared" si="59"/>
        <v>148.24483537218657</v>
      </c>
      <c r="X228" s="309">
        <f t="shared" si="59"/>
        <v>146.21726585502924</v>
      </c>
      <c r="Y228" s="309">
        <f t="shared" si="59"/>
        <v>145.44454388985935</v>
      </c>
      <c r="Z228" s="309">
        <f t="shared" si="59"/>
        <v>144.59460912460284</v>
      </c>
      <c r="AA228" s="309">
        <f t="shared" si="59"/>
        <v>143.67365585576837</v>
      </c>
      <c r="AB228" s="309">
        <f t="shared" si="59"/>
        <v>142.68066688020289</v>
      </c>
      <c r="AC228" s="309">
        <f t="shared" si="59"/>
        <v>141.59657764948111</v>
      </c>
      <c r="AD228" s="309">
        <f t="shared" si="59"/>
        <v>140.43924092051543</v>
      </c>
      <c r="AE228" s="309">
        <f t="shared" si="59"/>
        <v>139.20765312159361</v>
      </c>
      <c r="AF228" s="309">
        <f t="shared" si="59"/>
        <v>137.90082586045651</v>
      </c>
      <c r="AG228" s="309">
        <f t="shared" si="59"/>
        <v>136.51778667923449</v>
      </c>
      <c r="AI228" s="305"/>
      <c r="AJ228" s="339" t="s">
        <v>1363</v>
      </c>
    </row>
    <row r="229" spans="1:36" s="58" customFormat="1" outlineLevel="1" x14ac:dyDescent="0.2">
      <c r="A229" s="307" t="s">
        <v>1368</v>
      </c>
      <c r="B229" s="308" t="s">
        <v>462</v>
      </c>
      <c r="C229" s="309">
        <f>C228*C195</f>
        <v>26.532252911123685</v>
      </c>
      <c r="D229" s="309">
        <f t="shared" ref="D229:AG229" si="60">D228*D195</f>
        <v>28.169975057059755</v>
      </c>
      <c r="E229" s="309">
        <f t="shared" si="60"/>
        <v>29.802357221953574</v>
      </c>
      <c r="F229" s="309">
        <f t="shared" si="60"/>
        <v>31.418699826168218</v>
      </c>
      <c r="G229" s="309">
        <f t="shared" si="60"/>
        <v>33.007992954461223</v>
      </c>
      <c r="H229" s="309">
        <f t="shared" si="60"/>
        <v>34.559039312288768</v>
      </c>
      <c r="I229" s="309">
        <f t="shared" si="60"/>
        <v>36.094753180498209</v>
      </c>
      <c r="J229" s="309">
        <f t="shared" si="60"/>
        <v>37.652734000900772</v>
      </c>
      <c r="K229" s="309">
        <f t="shared" si="60"/>
        <v>39.231258255710678</v>
      </c>
      <c r="L229" s="309">
        <f t="shared" si="60"/>
        <v>40.828502911765206</v>
      </c>
      <c r="M229" s="309">
        <f t="shared" si="60"/>
        <v>42.442547262545737</v>
      </c>
      <c r="N229" s="309">
        <f t="shared" si="60"/>
        <v>43.743058652014334</v>
      </c>
      <c r="O229" s="309">
        <f t="shared" si="60"/>
        <v>45.073294290508969</v>
      </c>
      <c r="P229" s="309">
        <f t="shared" si="60"/>
        <v>46.195081238338133</v>
      </c>
      <c r="Q229" s="309">
        <f t="shared" si="60"/>
        <v>47.218581713575979</v>
      </c>
      <c r="R229" s="309">
        <f t="shared" si="60"/>
        <v>48.136428731093744</v>
      </c>
      <c r="S229" s="309">
        <f t="shared" si="60"/>
        <v>49.038837974505981</v>
      </c>
      <c r="T229" s="309">
        <f t="shared" si="60"/>
        <v>49.916033334370077</v>
      </c>
      <c r="U229" s="309">
        <f t="shared" si="60"/>
        <v>50.76637729953206</v>
      </c>
      <c r="V229" s="309">
        <f t="shared" si="60"/>
        <v>51.588208361383714</v>
      </c>
      <c r="W229" s="309">
        <f t="shared" si="60"/>
        <v>52.379841831505885</v>
      </c>
      <c r="X229" s="309">
        <f t="shared" si="60"/>
        <v>52.638215707810495</v>
      </c>
      <c r="Y229" s="309">
        <f t="shared" si="60"/>
        <v>53.329666092948393</v>
      </c>
      <c r="Z229" s="309">
        <f t="shared" si="60"/>
        <v>53.981987406518357</v>
      </c>
      <c r="AA229" s="309">
        <f t="shared" si="60"/>
        <v>54.595989225191943</v>
      </c>
      <c r="AB229" s="309">
        <f t="shared" si="60"/>
        <v>55.169857860345076</v>
      </c>
      <c r="AC229" s="309">
        <f t="shared" si="60"/>
        <v>55.694653875462528</v>
      </c>
      <c r="AD229" s="309">
        <f t="shared" si="60"/>
        <v>56.175696368206125</v>
      </c>
      <c r="AE229" s="309">
        <f t="shared" si="60"/>
        <v>56.611112269448022</v>
      </c>
      <c r="AF229" s="309">
        <f t="shared" si="60"/>
        <v>56.999008022321973</v>
      </c>
      <c r="AG229" s="309">
        <f t="shared" si="60"/>
        <v>57.337470405278481</v>
      </c>
      <c r="AI229" s="305"/>
      <c r="AJ229" s="339" t="s">
        <v>1363</v>
      </c>
    </row>
    <row r="230" spans="1:36" s="62" customFormat="1" outlineLevel="1" x14ac:dyDescent="0.2">
      <c r="A230" s="311" t="s">
        <v>1369</v>
      </c>
      <c r="B230" s="312" t="s">
        <v>462</v>
      </c>
      <c r="C230" s="313">
        <f>C228*C196</f>
        <v>94.068896684893076</v>
      </c>
      <c r="D230" s="313">
        <f t="shared" ref="D230:AG230" si="61">D228*D196</f>
        <v>96.109326665262699</v>
      </c>
      <c r="E230" s="313">
        <f t="shared" si="61"/>
        <v>97.922030872133192</v>
      </c>
      <c r="F230" s="313">
        <f t="shared" si="61"/>
        <v>99.492549449532703</v>
      </c>
      <c r="G230" s="313">
        <f t="shared" si="61"/>
        <v>100.80819469875998</v>
      </c>
      <c r="H230" s="313">
        <f t="shared" si="61"/>
        <v>101.85822113095638</v>
      </c>
      <c r="I230" s="313">
        <f t="shared" si="61"/>
        <v>102.73122059064876</v>
      </c>
      <c r="J230" s="313">
        <f t="shared" si="61"/>
        <v>103.54501850247715</v>
      </c>
      <c r="K230" s="313">
        <f t="shared" si="61"/>
        <v>104.29773536274307</v>
      </c>
      <c r="L230" s="313">
        <f t="shared" si="61"/>
        <v>104.98757891596772</v>
      </c>
      <c r="M230" s="313">
        <f t="shared" si="61"/>
        <v>105.61285016493945</v>
      </c>
      <c r="N230" s="313">
        <f t="shared" si="61"/>
        <v>105.38100493439822</v>
      </c>
      <c r="O230" s="313">
        <f t="shared" si="61"/>
        <v>105.17102001118766</v>
      </c>
      <c r="P230" s="313">
        <f t="shared" si="61"/>
        <v>104.44105323450367</v>
      </c>
      <c r="Q230" s="313">
        <f t="shared" si="61"/>
        <v>103.47901949996444</v>
      </c>
      <c r="R230" s="313">
        <f t="shared" si="61"/>
        <v>102.28991105357427</v>
      </c>
      <c r="S230" s="313">
        <f t="shared" si="61"/>
        <v>101.08005378418589</v>
      </c>
      <c r="T230" s="313">
        <f t="shared" si="61"/>
        <v>99.832066668740239</v>
      </c>
      <c r="U230" s="313">
        <f t="shared" si="61"/>
        <v>98.546497110856436</v>
      </c>
      <c r="V230" s="313">
        <f t="shared" si="61"/>
        <v>97.223931142607853</v>
      </c>
      <c r="W230" s="313">
        <f t="shared" si="61"/>
        <v>95.864993540680686</v>
      </c>
      <c r="X230" s="313">
        <f t="shared" si="61"/>
        <v>93.579050147218751</v>
      </c>
      <c r="Y230" s="313">
        <f t="shared" si="61"/>
        <v>92.114877796910946</v>
      </c>
      <c r="Z230" s="313">
        <f t="shared" si="61"/>
        <v>90.612621718084483</v>
      </c>
      <c r="AA230" s="313">
        <f t="shared" si="61"/>
        <v>89.077666630576445</v>
      </c>
      <c r="AB230" s="313">
        <f t="shared" si="61"/>
        <v>87.510809019857817</v>
      </c>
      <c r="AC230" s="313">
        <f t="shared" si="61"/>
        <v>85.90192377401857</v>
      </c>
      <c r="AD230" s="313">
        <f t="shared" si="61"/>
        <v>84.263544552309298</v>
      </c>
      <c r="AE230" s="313">
        <f t="shared" si="61"/>
        <v>82.596540852145594</v>
      </c>
      <c r="AF230" s="313">
        <f t="shared" si="61"/>
        <v>80.901817838134534</v>
      </c>
      <c r="AG230" s="313">
        <f t="shared" si="61"/>
        <v>79.180316273956009</v>
      </c>
      <c r="AI230" s="342"/>
      <c r="AJ230" s="341" t="s">
        <v>1363</v>
      </c>
    </row>
    <row r="231" spans="1:36" s="1" customFormat="1" outlineLevel="1" x14ac:dyDescent="0.2">
      <c r="A231" t="s">
        <v>1370</v>
      </c>
      <c r="B231" s="302" t="s">
        <v>704</v>
      </c>
      <c r="C231" s="249">
        <f>C197*C228</f>
        <v>102.51097715661423</v>
      </c>
      <c r="D231" s="249">
        <f t="shared" ref="D231:AG231" si="62">D197*D228</f>
        <v>105.43027429443688</v>
      </c>
      <c r="E231" s="249">
        <f t="shared" si="62"/>
        <v>108.13998191966012</v>
      </c>
      <c r="F231" s="249">
        <f t="shared" si="62"/>
        <v>110.62000563796727</v>
      </c>
      <c r="G231" s="249">
        <f t="shared" si="62"/>
        <v>112.85165158754985</v>
      </c>
      <c r="H231" s="249">
        <f t="shared" si="62"/>
        <v>114.81786087306463</v>
      </c>
      <c r="I231" s="249">
        <f t="shared" si="62"/>
        <v>116.61381796776342</v>
      </c>
      <c r="J231" s="249">
        <f t="shared" si="62"/>
        <v>118.37078251533178</v>
      </c>
      <c r="K231" s="249">
        <f t="shared" si="62"/>
        <v>120.08592466077292</v>
      </c>
      <c r="L231" s="249">
        <f t="shared" si="62"/>
        <v>121.75642832615694</v>
      </c>
      <c r="M231" s="249">
        <f t="shared" si="62"/>
        <v>123.37949785623759</v>
      </c>
      <c r="N231" s="249">
        <f t="shared" si="62"/>
        <v>124.0215128826997</v>
      </c>
      <c r="O231" s="249">
        <f t="shared" si="62"/>
        <v>124.70278087040812</v>
      </c>
      <c r="P231" s="249">
        <f t="shared" si="62"/>
        <v>124.77693138833722</v>
      </c>
      <c r="Q231" s="249">
        <f t="shared" si="62"/>
        <v>124.57668366986</v>
      </c>
      <c r="R231" s="249">
        <f t="shared" si="62"/>
        <v>124.10173032235102</v>
      </c>
      <c r="S231" s="249">
        <f t="shared" si="62"/>
        <v>123.59788754798953</v>
      </c>
      <c r="T231" s="249">
        <f t="shared" si="62"/>
        <v>123.04302216922221</v>
      </c>
      <c r="U231" s="249">
        <f t="shared" si="62"/>
        <v>122.43655701651846</v>
      </c>
      <c r="V231" s="249">
        <f t="shared" si="62"/>
        <v>121.77793416076632</v>
      </c>
      <c r="W231" s="249">
        <f t="shared" si="62"/>
        <v>121.06661555395225</v>
      </c>
      <c r="X231" s="249">
        <f t="shared" si="62"/>
        <v>119.1670716718487</v>
      </c>
      <c r="Y231" s="249">
        <f t="shared" si="62"/>
        <v>118.29489569708548</v>
      </c>
      <c r="Z231" s="249">
        <f t="shared" si="62"/>
        <v>117.36262440613584</v>
      </c>
      <c r="AA231" s="249">
        <f t="shared" si="62"/>
        <v>116.37566124317225</v>
      </c>
      <c r="AB231" s="249">
        <f t="shared" si="62"/>
        <v>115.33353906149719</v>
      </c>
      <c r="AC231" s="249">
        <f t="shared" si="62"/>
        <v>114.22123930391461</v>
      </c>
      <c r="AD231" s="249">
        <f t="shared" si="62"/>
        <v>113.05358894101477</v>
      </c>
      <c r="AE231" s="249">
        <f t="shared" si="62"/>
        <v>111.83014800768005</v>
      </c>
      <c r="AF231" s="249">
        <f t="shared" si="62"/>
        <v>110.55049539813248</v>
      </c>
      <c r="AG231" s="249">
        <f t="shared" si="62"/>
        <v>109.2142293433876</v>
      </c>
      <c r="AI231" s="316"/>
      <c r="AJ231" s="211" t="s">
        <v>1363</v>
      </c>
    </row>
    <row r="232" spans="1:36" s="1" customFormat="1" outlineLevel="1" x14ac:dyDescent="0.2">
      <c r="A232" t="s">
        <v>1371</v>
      </c>
      <c r="B232" s="302" t="s">
        <v>704</v>
      </c>
      <c r="C232" s="249">
        <f>C198*C228</f>
        <v>18.090172439402512</v>
      </c>
      <c r="D232" s="249">
        <f t="shared" ref="D232:AG232" si="63">D198*D228</f>
        <v>18.849027427885574</v>
      </c>
      <c r="E232" s="249">
        <f t="shared" si="63"/>
        <v>19.58440617442664</v>
      </c>
      <c r="F232" s="249">
        <f t="shared" si="63"/>
        <v>20.291243637733647</v>
      </c>
      <c r="G232" s="249">
        <f t="shared" si="63"/>
        <v>20.964536065671325</v>
      </c>
      <c r="H232" s="249">
        <f t="shared" si="63"/>
        <v>21.599399570180488</v>
      </c>
      <c r="I232" s="249">
        <f t="shared" si="63"/>
        <v>22.212155803383524</v>
      </c>
      <c r="J232" s="249">
        <f t="shared" si="63"/>
        <v>22.826969988046109</v>
      </c>
      <c r="K232" s="249">
        <f t="shared" si="63"/>
        <v>23.44306895768079</v>
      </c>
      <c r="L232" s="249">
        <f t="shared" si="63"/>
        <v>24.059653501575944</v>
      </c>
      <c r="M232" s="249">
        <f t="shared" si="63"/>
        <v>24.675899571247548</v>
      </c>
      <c r="N232" s="249">
        <f t="shared" si="63"/>
        <v>25.102550703712794</v>
      </c>
      <c r="O232" s="249">
        <f t="shared" si="63"/>
        <v>25.541533431288443</v>
      </c>
      <c r="P232" s="249">
        <f t="shared" si="63"/>
        <v>25.859203084504529</v>
      </c>
      <c r="Q232" s="249">
        <f t="shared" si="63"/>
        <v>26.120917543680363</v>
      </c>
      <c r="R232" s="249">
        <f t="shared" si="63"/>
        <v>26.324609462316925</v>
      </c>
      <c r="S232" s="249">
        <f t="shared" si="63"/>
        <v>26.521004210702252</v>
      </c>
      <c r="T232" s="249">
        <f t="shared" si="63"/>
        <v>26.705077833888033</v>
      </c>
      <c r="U232" s="249">
        <f t="shared" si="63"/>
        <v>26.876317393869957</v>
      </c>
      <c r="V232" s="249">
        <f t="shared" si="63"/>
        <v>27.034205343225164</v>
      </c>
      <c r="W232" s="249">
        <f t="shared" si="63"/>
        <v>27.178219818234236</v>
      </c>
      <c r="X232" s="249">
        <f t="shared" si="63"/>
        <v>27.050194183180441</v>
      </c>
      <c r="Y232" s="249">
        <f t="shared" si="63"/>
        <v>27.149648192773778</v>
      </c>
      <c r="Z232" s="249">
        <f t="shared" si="63"/>
        <v>27.231984718466904</v>
      </c>
      <c r="AA232" s="249">
        <f t="shared" si="63"/>
        <v>27.297994612596028</v>
      </c>
      <c r="AB232" s="249">
        <f t="shared" si="63"/>
        <v>27.347127818705591</v>
      </c>
      <c r="AC232" s="249">
        <f t="shared" si="63"/>
        <v>27.375338345566387</v>
      </c>
      <c r="AD232" s="249">
        <f t="shared" si="63"/>
        <v>27.385651979500548</v>
      </c>
      <c r="AE232" s="249">
        <f t="shared" si="63"/>
        <v>27.37750511391345</v>
      </c>
      <c r="AF232" s="249">
        <f t="shared" si="63"/>
        <v>27.350330462323917</v>
      </c>
      <c r="AG232" s="249">
        <f t="shared" si="63"/>
        <v>27.3035573358469</v>
      </c>
      <c r="AI232" s="316"/>
      <c r="AJ232" s="211" t="s">
        <v>1363</v>
      </c>
    </row>
    <row r="233" spans="1:36" s="1" customFormat="1" outlineLevel="1" x14ac:dyDescent="0.2">
      <c r="A233" t="s">
        <v>1372</v>
      </c>
      <c r="B233" s="302" t="s">
        <v>704</v>
      </c>
      <c r="C233" s="249">
        <f>C231*C199</f>
        <v>15.376646573492135</v>
      </c>
      <c r="D233" s="249">
        <f t="shared" ref="D233:AG233" si="64">D231*D199</f>
        <v>16.482266214696967</v>
      </c>
      <c r="E233" s="249">
        <f t="shared" si="64"/>
        <v>17.590770392264712</v>
      </c>
      <c r="F233" s="249">
        <f t="shared" si="64"/>
        <v>18.694780952816465</v>
      </c>
      <c r="G233" s="249">
        <f t="shared" si="64"/>
        <v>19.78665624501707</v>
      </c>
      <c r="H233" s="249">
        <f t="shared" si="64"/>
        <v>20.858578058606739</v>
      </c>
      <c r="I233" s="249">
        <f t="shared" si="64"/>
        <v>21.92339777793952</v>
      </c>
      <c r="J233" s="249">
        <f t="shared" si="64"/>
        <v>23.003388735479472</v>
      </c>
      <c r="K233" s="249">
        <f t="shared" si="64"/>
        <v>24.097242215261762</v>
      </c>
      <c r="L233" s="249">
        <f t="shared" si="64"/>
        <v>25.203580663514479</v>
      </c>
      <c r="M233" s="249">
        <f t="shared" si="64"/>
        <v>26.320959542664013</v>
      </c>
      <c r="N233" s="249">
        <f t="shared" si="64"/>
        <v>27.243392329899695</v>
      </c>
      <c r="O233" s="249">
        <f t="shared" si="64"/>
        <v>28.182828476712228</v>
      </c>
      <c r="P233" s="249">
        <f t="shared" si="64"/>
        <v>28.989840392557007</v>
      </c>
      <c r="Q233" s="249">
        <f t="shared" si="64"/>
        <v>29.732301835873248</v>
      </c>
      <c r="R233" s="249">
        <f t="shared" si="64"/>
        <v>30.404923928975993</v>
      </c>
      <c r="S233" s="249">
        <f t="shared" si="64"/>
        <v>31.064269070394698</v>
      </c>
      <c r="T233" s="249">
        <f t="shared" si="64"/>
        <v>31.704085378936256</v>
      </c>
      <c r="U233" s="249">
        <f t="shared" si="64"/>
        <v>32.323251052360874</v>
      </c>
      <c r="V233" s="249">
        <f t="shared" si="64"/>
        <v>32.920634868127166</v>
      </c>
      <c r="W233" s="249">
        <f t="shared" si="64"/>
        <v>33.495096969926799</v>
      </c>
      <c r="X233" s="249">
        <f t="shared" si="64"/>
        <v>33.724281283133195</v>
      </c>
      <c r="Y233" s="249">
        <f t="shared" si="64"/>
        <v>34.226656488356745</v>
      </c>
      <c r="Z233" s="249">
        <f t="shared" si="64"/>
        <v>34.700215949414179</v>
      </c>
      <c r="AA233" s="249">
        <f t="shared" si="64"/>
        <v>35.145449695438039</v>
      </c>
      <c r="AB233" s="249">
        <f t="shared" si="64"/>
        <v>35.561174543961656</v>
      </c>
      <c r="AC233" s="249">
        <f t="shared" si="64"/>
        <v>35.941616634298491</v>
      </c>
      <c r="AD233" s="249">
        <f t="shared" si="64"/>
        <v>36.290202050065766</v>
      </c>
      <c r="AE233" s="249">
        <f t="shared" si="64"/>
        <v>36.605735114513962</v>
      </c>
      <c r="AF233" s="249">
        <f t="shared" si="64"/>
        <v>36.887015297843568</v>
      </c>
      <c r="AG233" s="249">
        <f t="shared" si="64"/>
        <v>37.132837976751787</v>
      </c>
      <c r="AI233" s="316"/>
      <c r="AJ233" s="211" t="s">
        <v>1363</v>
      </c>
    </row>
    <row r="234" spans="1:36" s="1" customFormat="1" outlineLevel="1" x14ac:dyDescent="0.2">
      <c r="A234" t="s">
        <v>1373</v>
      </c>
      <c r="B234" s="302" t="s">
        <v>704</v>
      </c>
      <c r="C234" s="249">
        <f>C231*C200</f>
        <v>87.134330583122093</v>
      </c>
      <c r="D234" s="249">
        <f t="shared" ref="D234:AG234" si="65">D231*D200</f>
        <v>88.948008079739921</v>
      </c>
      <c r="E234" s="249">
        <f t="shared" si="65"/>
        <v>90.549211527395414</v>
      </c>
      <c r="F234" s="249">
        <f t="shared" si="65"/>
        <v>91.925224685150809</v>
      </c>
      <c r="G234" s="249">
        <f t="shared" si="65"/>
        <v>93.064995342532796</v>
      </c>
      <c r="H234" s="249">
        <f t="shared" si="65"/>
        <v>93.959282814457907</v>
      </c>
      <c r="I234" s="249">
        <f t="shared" si="65"/>
        <v>94.690420189823925</v>
      </c>
      <c r="J234" s="249">
        <f t="shared" si="65"/>
        <v>95.367393779852335</v>
      </c>
      <c r="K234" s="249">
        <f t="shared" si="65"/>
        <v>95.988682445511174</v>
      </c>
      <c r="L234" s="249">
        <f t="shared" si="65"/>
        <v>96.552847662642478</v>
      </c>
      <c r="M234" s="249">
        <f t="shared" si="65"/>
        <v>97.058538313573607</v>
      </c>
      <c r="N234" s="249">
        <f t="shared" si="65"/>
        <v>96.778120552800033</v>
      </c>
      <c r="O234" s="249">
        <f t="shared" si="65"/>
        <v>96.519952393695931</v>
      </c>
      <c r="P234" s="249">
        <f t="shared" si="65"/>
        <v>95.787090995780247</v>
      </c>
      <c r="Q234" s="249">
        <f t="shared" si="65"/>
        <v>94.844381833986802</v>
      </c>
      <c r="R234" s="249">
        <f t="shared" si="65"/>
        <v>93.69680639337507</v>
      </c>
      <c r="S234" s="249">
        <f t="shared" si="65"/>
        <v>92.533618477594885</v>
      </c>
      <c r="T234" s="249">
        <f t="shared" si="65"/>
        <v>91.338936790286013</v>
      </c>
      <c r="U234" s="249">
        <f t="shared" si="65"/>
        <v>90.113305964157661</v>
      </c>
      <c r="V234" s="249">
        <f t="shared" si="65"/>
        <v>88.857299292639226</v>
      </c>
      <c r="W234" s="249">
        <f t="shared" si="65"/>
        <v>87.571518584025526</v>
      </c>
      <c r="X234" s="249">
        <f t="shared" si="65"/>
        <v>85.442790388715594</v>
      </c>
      <c r="Y234" s="249">
        <f t="shared" si="65"/>
        <v>84.068239208728826</v>
      </c>
      <c r="Z234" s="249">
        <f t="shared" si="65"/>
        <v>82.662408456721749</v>
      </c>
      <c r="AA234" s="249">
        <f t="shared" si="65"/>
        <v>81.230211547734314</v>
      </c>
      <c r="AB234" s="249">
        <f t="shared" si="65"/>
        <v>79.772364517535649</v>
      </c>
      <c r="AC234" s="249">
        <f t="shared" si="65"/>
        <v>78.279622669616245</v>
      </c>
      <c r="AD234" s="249">
        <f t="shared" si="65"/>
        <v>76.763386890949121</v>
      </c>
      <c r="AE234" s="249">
        <f t="shared" si="65"/>
        <v>75.224412893166217</v>
      </c>
      <c r="AF234" s="249">
        <f t="shared" si="65"/>
        <v>73.66348010028905</v>
      </c>
      <c r="AG234" s="249">
        <f t="shared" si="65"/>
        <v>72.081391366635813</v>
      </c>
      <c r="AI234" s="316"/>
      <c r="AJ234" s="211" t="s">
        <v>1363</v>
      </c>
    </row>
    <row r="235" spans="1:36" s="1" customFormat="1" outlineLevel="1" x14ac:dyDescent="0.2">
      <c r="A235" t="s">
        <v>1374</v>
      </c>
      <c r="B235" s="302" t="s">
        <v>704</v>
      </c>
      <c r="C235" s="249">
        <f>C201*C234</f>
        <v>0</v>
      </c>
      <c r="D235" s="249">
        <f t="shared" ref="D235:AG235" si="66">D201*D234</f>
        <v>0</v>
      </c>
      <c r="E235" s="249">
        <f t="shared" si="66"/>
        <v>0</v>
      </c>
      <c r="F235" s="249">
        <f t="shared" si="66"/>
        <v>0</v>
      </c>
      <c r="G235" s="249">
        <f t="shared" si="66"/>
        <v>0</v>
      </c>
      <c r="H235" s="249">
        <f t="shared" si="66"/>
        <v>0</v>
      </c>
      <c r="I235" s="249">
        <f t="shared" si="66"/>
        <v>0</v>
      </c>
      <c r="J235" s="249">
        <f t="shared" si="66"/>
        <v>0</v>
      </c>
      <c r="K235" s="249">
        <f t="shared" si="66"/>
        <v>0</v>
      </c>
      <c r="L235" s="249">
        <f t="shared" si="66"/>
        <v>0</v>
      </c>
      <c r="M235" s="249">
        <f t="shared" si="66"/>
        <v>0</v>
      </c>
      <c r="N235" s="249">
        <f t="shared" si="66"/>
        <v>0</v>
      </c>
      <c r="O235" s="249">
        <f t="shared" si="66"/>
        <v>0</v>
      </c>
      <c r="P235" s="249">
        <f t="shared" si="66"/>
        <v>0</v>
      </c>
      <c r="Q235" s="249">
        <f t="shared" si="66"/>
        <v>0</v>
      </c>
      <c r="R235" s="249">
        <f t="shared" si="66"/>
        <v>0</v>
      </c>
      <c r="S235" s="249">
        <f t="shared" si="66"/>
        <v>0</v>
      </c>
      <c r="T235" s="249">
        <f t="shared" si="66"/>
        <v>0</v>
      </c>
      <c r="U235" s="249">
        <f t="shared" si="66"/>
        <v>0</v>
      </c>
      <c r="V235" s="249">
        <f t="shared" si="66"/>
        <v>0</v>
      </c>
      <c r="W235" s="249">
        <f t="shared" si="66"/>
        <v>0</v>
      </c>
      <c r="X235" s="249">
        <f t="shared" si="66"/>
        <v>0</v>
      </c>
      <c r="Y235" s="249">
        <f t="shared" si="66"/>
        <v>0</v>
      </c>
      <c r="Z235" s="249">
        <f t="shared" si="66"/>
        <v>0</v>
      </c>
      <c r="AA235" s="249">
        <f t="shared" si="66"/>
        <v>0</v>
      </c>
      <c r="AB235" s="249">
        <f t="shared" si="66"/>
        <v>0</v>
      </c>
      <c r="AC235" s="249">
        <f t="shared" si="66"/>
        <v>0</v>
      </c>
      <c r="AD235" s="249">
        <f t="shared" si="66"/>
        <v>0</v>
      </c>
      <c r="AE235" s="249">
        <f t="shared" si="66"/>
        <v>0</v>
      </c>
      <c r="AF235" s="249">
        <f t="shared" si="66"/>
        <v>0</v>
      </c>
      <c r="AG235" s="249">
        <f t="shared" si="66"/>
        <v>0</v>
      </c>
      <c r="AI235" s="316"/>
      <c r="AJ235" s="211" t="s">
        <v>1363</v>
      </c>
    </row>
    <row r="236" spans="1:36" s="1" customFormat="1" outlineLevel="1" x14ac:dyDescent="0.2">
      <c r="A236" t="s">
        <v>1388</v>
      </c>
      <c r="B236" s="302" t="s">
        <v>704</v>
      </c>
      <c r="C236" s="249">
        <f>C202*C234</f>
        <v>87.134330583122093</v>
      </c>
      <c r="D236" s="249">
        <f t="shared" ref="D236:AG236" si="67">D202*D234</f>
        <v>88.948008079739921</v>
      </c>
      <c r="E236" s="249">
        <f t="shared" si="67"/>
        <v>90.549211527395414</v>
      </c>
      <c r="F236" s="249">
        <f t="shared" si="67"/>
        <v>91.925224685150809</v>
      </c>
      <c r="G236" s="249">
        <f t="shared" si="67"/>
        <v>93.064995342532796</v>
      </c>
      <c r="H236" s="249">
        <f t="shared" si="67"/>
        <v>93.959282814457907</v>
      </c>
      <c r="I236" s="249">
        <f t="shared" si="67"/>
        <v>94.690420189823925</v>
      </c>
      <c r="J236" s="249">
        <f t="shared" si="67"/>
        <v>95.367393779852335</v>
      </c>
      <c r="K236" s="249">
        <f t="shared" si="67"/>
        <v>95.988682445511174</v>
      </c>
      <c r="L236" s="249">
        <f t="shared" si="67"/>
        <v>96.552847662642478</v>
      </c>
      <c r="M236" s="249">
        <f t="shared" si="67"/>
        <v>97.058538313573607</v>
      </c>
      <c r="N236" s="249">
        <f t="shared" si="67"/>
        <v>96.778120552800033</v>
      </c>
      <c r="O236" s="249">
        <f t="shared" si="67"/>
        <v>96.519952393695931</v>
      </c>
      <c r="P236" s="249">
        <f t="shared" si="67"/>
        <v>95.787090995780247</v>
      </c>
      <c r="Q236" s="249">
        <f t="shared" si="67"/>
        <v>94.844381833986802</v>
      </c>
      <c r="R236" s="249">
        <f t="shared" si="67"/>
        <v>93.69680639337507</v>
      </c>
      <c r="S236" s="249">
        <f t="shared" si="67"/>
        <v>92.533618477594885</v>
      </c>
      <c r="T236" s="249">
        <f t="shared" si="67"/>
        <v>91.338936790286013</v>
      </c>
      <c r="U236" s="249">
        <f t="shared" si="67"/>
        <v>90.113305964157661</v>
      </c>
      <c r="V236" s="249">
        <f t="shared" si="67"/>
        <v>88.857299292639226</v>
      </c>
      <c r="W236" s="249">
        <f t="shared" si="67"/>
        <v>87.571518584025526</v>
      </c>
      <c r="X236" s="249">
        <f t="shared" si="67"/>
        <v>85.442790388715594</v>
      </c>
      <c r="Y236" s="249">
        <f t="shared" si="67"/>
        <v>84.068239208728826</v>
      </c>
      <c r="Z236" s="249">
        <f t="shared" si="67"/>
        <v>82.662408456721749</v>
      </c>
      <c r="AA236" s="249">
        <f t="shared" si="67"/>
        <v>81.230211547734314</v>
      </c>
      <c r="AB236" s="249">
        <f t="shared" si="67"/>
        <v>79.772364517535649</v>
      </c>
      <c r="AC236" s="249">
        <f t="shared" si="67"/>
        <v>78.279622669616245</v>
      </c>
      <c r="AD236" s="249">
        <f t="shared" si="67"/>
        <v>76.763386890949121</v>
      </c>
      <c r="AE236" s="249">
        <f t="shared" si="67"/>
        <v>75.224412893166217</v>
      </c>
      <c r="AF236" s="249">
        <f t="shared" si="67"/>
        <v>73.66348010028905</v>
      </c>
      <c r="AG236" s="249">
        <f t="shared" si="67"/>
        <v>72.081391366635813</v>
      </c>
      <c r="AI236" s="316"/>
      <c r="AJ236" s="211" t="s">
        <v>1363</v>
      </c>
    </row>
    <row r="237" spans="1:36" s="1" customFormat="1" outlineLevel="1" x14ac:dyDescent="0.2">
      <c r="A237" t="s">
        <v>1376</v>
      </c>
      <c r="B237" s="302" t="s">
        <v>704</v>
      </c>
      <c r="C237" s="249">
        <f>C203*(C235+C233)</f>
        <v>12.301317258793709</v>
      </c>
      <c r="D237" s="249">
        <f t="shared" ref="D237:AG237" si="68">D203*(D235+D233)</f>
        <v>13.240753859139897</v>
      </c>
      <c r="E237" s="249">
        <f t="shared" si="68"/>
        <v>14.189888116426868</v>
      </c>
      <c r="F237" s="249">
        <f t="shared" si="68"/>
        <v>15.142772571781336</v>
      </c>
      <c r="G237" s="249">
        <f t="shared" si="68"/>
        <v>16.093147079280548</v>
      </c>
      <c r="H237" s="249">
        <f t="shared" si="68"/>
        <v>17.034505414528834</v>
      </c>
      <c r="I237" s="249">
        <f t="shared" si="68"/>
        <v>17.977186177910404</v>
      </c>
      <c r="J237" s="249">
        <f t="shared" si="68"/>
        <v>18.939456725544762</v>
      </c>
      <c r="K237" s="249">
        <f t="shared" si="68"/>
        <v>19.920386897949719</v>
      </c>
      <c r="L237" s="249">
        <f t="shared" si="68"/>
        <v>20.918971950717012</v>
      </c>
      <c r="M237" s="249">
        <f t="shared" si="68"/>
        <v>21.934132952220004</v>
      </c>
      <c r="N237" s="249">
        <f t="shared" si="68"/>
        <v>22.793638249349403</v>
      </c>
      <c r="O237" s="249">
        <f t="shared" si="68"/>
        <v>23.67357592043826</v>
      </c>
      <c r="P237" s="249">
        <f t="shared" si="68"/>
        <v>24.448098731056398</v>
      </c>
      <c r="Q237" s="249">
        <f t="shared" si="68"/>
        <v>25.173348887706002</v>
      </c>
      <c r="R237" s="249">
        <f t="shared" si="68"/>
        <v>25.844185339629579</v>
      </c>
      <c r="S237" s="249">
        <f t="shared" si="68"/>
        <v>26.50817627340346</v>
      </c>
      <c r="T237" s="249">
        <f t="shared" si="68"/>
        <v>27.159833141288708</v>
      </c>
      <c r="U237" s="249">
        <f t="shared" si="68"/>
        <v>27.797995905030334</v>
      </c>
      <c r="V237" s="249">
        <f t="shared" si="68"/>
        <v>28.421481436149769</v>
      </c>
      <c r="W237" s="249">
        <f t="shared" si="68"/>
        <v>29.029084040603205</v>
      </c>
      <c r="X237" s="249">
        <f t="shared" si="68"/>
        <v>29.340124716325857</v>
      </c>
      <c r="Y237" s="249">
        <f t="shared" si="68"/>
        <v>29.891279999831532</v>
      </c>
      <c r="Z237" s="249">
        <f t="shared" si="68"/>
        <v>30.420522648986406</v>
      </c>
      <c r="AA237" s="249">
        <f t="shared" si="68"/>
        <v>30.927995731985447</v>
      </c>
      <c r="AB237" s="249">
        <f t="shared" si="68"/>
        <v>31.412370847166102</v>
      </c>
      <c r="AC237" s="249">
        <f t="shared" si="68"/>
        <v>31.868233415744633</v>
      </c>
      <c r="AD237" s="249">
        <f t="shared" si="68"/>
        <v>32.298279824558499</v>
      </c>
      <c r="AE237" s="249">
        <f t="shared" si="68"/>
        <v>32.701123368965774</v>
      </c>
      <c r="AF237" s="249">
        <f t="shared" si="68"/>
        <v>33.075357050399695</v>
      </c>
      <c r="AG237" s="249">
        <f t="shared" si="68"/>
        <v>33.419554179076613</v>
      </c>
      <c r="AH237" s="249"/>
      <c r="AI237" s="316"/>
      <c r="AJ237" s="211" t="s">
        <v>1363</v>
      </c>
    </row>
    <row r="238" spans="1:36" s="1" customFormat="1" outlineLevel="1" x14ac:dyDescent="0.2">
      <c r="A238" t="s">
        <v>1377</v>
      </c>
      <c r="B238" s="302" t="s">
        <v>704</v>
      </c>
      <c r="C238" s="249">
        <f>C204*(C235+C233)</f>
        <v>3.0753293146984273</v>
      </c>
      <c r="D238" s="249">
        <f t="shared" ref="D238:AG238" si="69">D204*(D235+D233)</f>
        <v>3.2415123555570706</v>
      </c>
      <c r="E238" s="249">
        <f t="shared" si="69"/>
        <v>3.4008822758378447</v>
      </c>
      <c r="F238" s="249">
        <f t="shared" si="69"/>
        <v>3.5520083810351291</v>
      </c>
      <c r="G238" s="249">
        <f t="shared" si="69"/>
        <v>3.6935091657365207</v>
      </c>
      <c r="H238" s="249">
        <f t="shared" si="69"/>
        <v>3.8240726440779031</v>
      </c>
      <c r="I238" s="249">
        <f t="shared" si="69"/>
        <v>3.9462116000291148</v>
      </c>
      <c r="J238" s="249">
        <f t="shared" si="69"/>
        <v>4.0639320099347076</v>
      </c>
      <c r="K238" s="249">
        <f t="shared" si="69"/>
        <v>4.1768553173120404</v>
      </c>
      <c r="L238" s="249">
        <f t="shared" si="69"/>
        <v>4.2846087127974632</v>
      </c>
      <c r="M238" s="249">
        <f t="shared" si="69"/>
        <v>4.386826590444004</v>
      </c>
      <c r="N238" s="249">
        <f t="shared" si="69"/>
        <v>4.449754080550286</v>
      </c>
      <c r="O238" s="249">
        <f t="shared" si="69"/>
        <v>4.5092525562739585</v>
      </c>
      <c r="P238" s="249">
        <f t="shared" si="69"/>
        <v>4.5417416615006001</v>
      </c>
      <c r="Q238" s="249">
        <f t="shared" si="69"/>
        <v>4.5589529481672342</v>
      </c>
      <c r="R238" s="249">
        <f t="shared" si="69"/>
        <v>4.5607385893464025</v>
      </c>
      <c r="S238" s="249">
        <f t="shared" si="69"/>
        <v>4.5560927969912255</v>
      </c>
      <c r="T238" s="249">
        <f t="shared" si="69"/>
        <v>4.5442522376475338</v>
      </c>
      <c r="U238" s="249">
        <f t="shared" si="69"/>
        <v>4.525255147330526</v>
      </c>
      <c r="V238" s="249">
        <f t="shared" si="69"/>
        <v>4.4991534319773834</v>
      </c>
      <c r="W238" s="249">
        <f t="shared" si="69"/>
        <v>4.4660129293235773</v>
      </c>
      <c r="X238" s="249">
        <f t="shared" si="69"/>
        <v>4.3841565668073201</v>
      </c>
      <c r="Y238" s="249">
        <f t="shared" si="69"/>
        <v>4.3353764885251929</v>
      </c>
      <c r="Z238" s="249">
        <f t="shared" si="69"/>
        <v>4.2796933004277538</v>
      </c>
      <c r="AA238" s="249">
        <f t="shared" si="69"/>
        <v>4.2174539634525701</v>
      </c>
      <c r="AB238" s="249">
        <f t="shared" si="69"/>
        <v>4.1488036967955324</v>
      </c>
      <c r="AC238" s="249">
        <f t="shared" si="69"/>
        <v>4.0733832185538352</v>
      </c>
      <c r="AD238" s="249">
        <f t="shared" si="69"/>
        <v>3.9919222255072406</v>
      </c>
      <c r="AE238" s="249">
        <f t="shared" si="69"/>
        <v>3.9046117455481628</v>
      </c>
      <c r="AF238" s="249">
        <f t="shared" si="69"/>
        <v>3.8116582474438427</v>
      </c>
      <c r="AG238" s="249">
        <f t="shared" si="69"/>
        <v>3.7132837976751789</v>
      </c>
      <c r="AI238" s="316"/>
      <c r="AJ238" s="211" t="s">
        <v>1363</v>
      </c>
    </row>
    <row r="239" spans="1:36" s="1" customFormat="1" outlineLevel="1" x14ac:dyDescent="0.2">
      <c r="A239" t="s">
        <v>1378</v>
      </c>
      <c r="B239" s="302" t="s">
        <v>704</v>
      </c>
      <c r="C239" s="249">
        <f>C232*C205</f>
        <v>17.185663817432385</v>
      </c>
      <c r="D239" s="249">
        <f t="shared" ref="D239:AG239" si="70">D232*D205</f>
        <v>17.881444019920782</v>
      </c>
      <c r="E239" s="249">
        <f t="shared" si="70"/>
        <v>18.552960782573503</v>
      </c>
      <c r="F239" s="249">
        <f t="shared" si="70"/>
        <v>19.195516481296032</v>
      </c>
      <c r="G239" s="249">
        <f t="shared" si="70"/>
        <v>19.804498403370847</v>
      </c>
      <c r="H239" s="249">
        <f t="shared" si="70"/>
        <v>20.375433594536929</v>
      </c>
      <c r="I239" s="249">
        <f t="shared" si="70"/>
        <v>20.923850766787282</v>
      </c>
      <c r="J239" s="249">
        <f t="shared" si="70"/>
        <v>21.472569768755378</v>
      </c>
      <c r="K239" s="249">
        <f t="shared" si="70"/>
        <v>22.020856107581494</v>
      </c>
      <c r="L239" s="249">
        <f t="shared" si="70"/>
        <v>22.567954984478241</v>
      </c>
      <c r="M239" s="249">
        <f t="shared" si="70"/>
        <v>23.113092598401877</v>
      </c>
      <c r="N239" s="249">
        <f t="shared" si="70"/>
        <v>23.479252424872708</v>
      </c>
      <c r="O239" s="249">
        <f t="shared" si="70"/>
        <v>23.855792224823414</v>
      </c>
      <c r="P239" s="249">
        <f t="shared" si="70"/>
        <v>24.118016743481235</v>
      </c>
      <c r="Q239" s="249">
        <f t="shared" si="70"/>
        <v>24.32728120568099</v>
      </c>
      <c r="R239" s="249">
        <f t="shared" si="70"/>
        <v>24.481886799954754</v>
      </c>
      <c r="S239" s="249">
        <f t="shared" si="70"/>
        <v>24.629172577005505</v>
      </c>
      <c r="T239" s="249">
        <f t="shared" si="70"/>
        <v>24.764508844625517</v>
      </c>
      <c r="U239" s="249">
        <f t="shared" si="70"/>
        <v>24.887469906723595</v>
      </c>
      <c r="V239" s="249">
        <f t="shared" si="70"/>
        <v>24.99762854070222</v>
      </c>
      <c r="W239" s="249">
        <f t="shared" si="70"/>
        <v>25.094556298836295</v>
      </c>
      <c r="X239" s="249">
        <f t="shared" si="70"/>
        <v>24.940279036892385</v>
      </c>
      <c r="Y239" s="249">
        <f t="shared" si="70"/>
        <v>24.995776102813746</v>
      </c>
      <c r="Z239" s="249">
        <f t="shared" si="70"/>
        <v>25.035271284510596</v>
      </c>
      <c r="AA239" s="249">
        <f t="shared" si="70"/>
        <v>25.059559054363177</v>
      </c>
      <c r="AB239" s="249">
        <f t="shared" si="70"/>
        <v>25.068200500480149</v>
      </c>
      <c r="AC239" s="249">
        <f t="shared" si="70"/>
        <v>25.057559698975123</v>
      </c>
      <c r="AD239" s="249">
        <f t="shared" si="70"/>
        <v>25.030485909263525</v>
      </c>
      <c r="AE239" s="249">
        <f t="shared" si="70"/>
        <v>24.986536333965034</v>
      </c>
      <c r="AF239" s="249">
        <f t="shared" si="70"/>
        <v>24.925267827997892</v>
      </c>
      <c r="AG239" s="249">
        <f t="shared" si="70"/>
        <v>24.846237175620679</v>
      </c>
      <c r="AI239" s="316"/>
      <c r="AJ239" s="211" t="s">
        <v>1363</v>
      </c>
    </row>
    <row r="240" spans="1:36" s="1" customFormat="1" outlineLevel="1" x14ac:dyDescent="0.2">
      <c r="A240" t="s">
        <v>1389</v>
      </c>
      <c r="B240" s="302" t="s">
        <v>704</v>
      </c>
      <c r="C240" s="249">
        <f>C232*C206</f>
        <v>0.9045086219701256</v>
      </c>
      <c r="D240" s="249">
        <f t="shared" ref="D240:AG240" si="71">D232*D206</f>
        <v>0.96758340796479281</v>
      </c>
      <c r="E240" s="249">
        <f t="shared" si="71"/>
        <v>1.0314453918531363</v>
      </c>
      <c r="F240" s="249">
        <f t="shared" si="71"/>
        <v>1.095727156437617</v>
      </c>
      <c r="G240" s="249">
        <f t="shared" si="71"/>
        <v>1.16003766230048</v>
      </c>
      <c r="H240" s="249">
        <f t="shared" si="71"/>
        <v>1.2239659756435608</v>
      </c>
      <c r="I240" s="249">
        <f t="shared" si="71"/>
        <v>1.2883050365962443</v>
      </c>
      <c r="J240" s="249">
        <f t="shared" si="71"/>
        <v>1.3544002192907356</v>
      </c>
      <c r="K240" s="249">
        <f t="shared" si="71"/>
        <v>1.4222128500993012</v>
      </c>
      <c r="L240" s="249">
        <f t="shared" si="71"/>
        <v>1.4916985170977084</v>
      </c>
      <c r="M240" s="249">
        <f t="shared" si="71"/>
        <v>1.5628069728456779</v>
      </c>
      <c r="N240" s="249">
        <f t="shared" si="71"/>
        <v>1.623298278840094</v>
      </c>
      <c r="O240" s="249">
        <f t="shared" si="71"/>
        <v>1.6857412064650372</v>
      </c>
      <c r="P240" s="249">
        <f t="shared" si="71"/>
        <v>1.7411863410233051</v>
      </c>
      <c r="Q240" s="249">
        <f t="shared" si="71"/>
        <v>1.7936363379993854</v>
      </c>
      <c r="R240" s="249">
        <f t="shared" si="71"/>
        <v>1.8427226623621853</v>
      </c>
      <c r="S240" s="249">
        <f t="shared" si="71"/>
        <v>1.8918316336967613</v>
      </c>
      <c r="T240" s="249">
        <f t="shared" si="71"/>
        <v>1.9405689892625313</v>
      </c>
      <c r="U240" s="249">
        <f t="shared" si="71"/>
        <v>1.9888474871463779</v>
      </c>
      <c r="V240" s="249">
        <f t="shared" si="71"/>
        <v>2.0365768025229634</v>
      </c>
      <c r="W240" s="249">
        <f t="shared" si="71"/>
        <v>2.0836635193979594</v>
      </c>
      <c r="X240" s="249">
        <f t="shared" si="71"/>
        <v>2.1099151462880759</v>
      </c>
      <c r="Y240" s="249">
        <f t="shared" si="71"/>
        <v>2.1538720899600547</v>
      </c>
      <c r="Z240" s="249">
        <f t="shared" si="71"/>
        <v>2.1967134339563321</v>
      </c>
      <c r="AA240" s="249">
        <f t="shared" si="71"/>
        <v>2.2384355582328763</v>
      </c>
      <c r="AB240" s="249">
        <f t="shared" si="71"/>
        <v>2.2789273182254681</v>
      </c>
      <c r="AC240" s="249">
        <f t="shared" si="71"/>
        <v>2.31777864659129</v>
      </c>
      <c r="AD240" s="249">
        <f t="shared" si="71"/>
        <v>2.3551660702370496</v>
      </c>
      <c r="AE240" s="249">
        <f t="shared" si="71"/>
        <v>2.390968779948444</v>
      </c>
      <c r="AF240" s="249">
        <f t="shared" si="71"/>
        <v>2.4250626343260566</v>
      </c>
      <c r="AG240" s="249">
        <f t="shared" si="71"/>
        <v>2.4573201602262209</v>
      </c>
      <c r="AI240" s="316"/>
      <c r="AJ240" s="211" t="s">
        <v>1363</v>
      </c>
    </row>
    <row r="241" spans="1:36" s="1" customFormat="1" outlineLevel="1" x14ac:dyDescent="0.2">
      <c r="A241" t="s">
        <v>1380</v>
      </c>
      <c r="B241" s="302" t="s">
        <v>704</v>
      </c>
      <c r="C241" s="249">
        <f t="shared" ref="C241:AG241" si="72">C237*C207</f>
        <v>3.3213556598743015</v>
      </c>
      <c r="D241" s="249">
        <f t="shared" si="72"/>
        <v>3.5220405265312129</v>
      </c>
      <c r="E241" s="249">
        <f t="shared" si="72"/>
        <v>3.7177506865038397</v>
      </c>
      <c r="F241" s="249">
        <f t="shared" si="72"/>
        <v>3.906835323519585</v>
      </c>
      <c r="G241" s="249">
        <f t="shared" si="72"/>
        <v>4.0876593581372598</v>
      </c>
      <c r="H241" s="249">
        <f t="shared" si="72"/>
        <v>4.2586263536322084</v>
      </c>
      <c r="I241" s="249">
        <f t="shared" si="72"/>
        <v>4.4223877997659597</v>
      </c>
      <c r="J241" s="249">
        <f t="shared" si="72"/>
        <v>4.5833485275818324</v>
      </c>
      <c r="K241" s="249">
        <f t="shared" si="72"/>
        <v>4.7410520817120325</v>
      </c>
      <c r="L241" s="249">
        <f t="shared" si="72"/>
        <v>4.8950394364677807</v>
      </c>
      <c r="M241" s="249">
        <f t="shared" si="72"/>
        <v>5.0448505790106006</v>
      </c>
      <c r="N241" s="249">
        <f t="shared" si="72"/>
        <v>5.1513622443529643</v>
      </c>
      <c r="O241" s="249">
        <f t="shared" si="72"/>
        <v>5.2555338543372931</v>
      </c>
      <c r="P241" s="249">
        <f t="shared" si="72"/>
        <v>5.3296855233702942</v>
      </c>
      <c r="Q241" s="249">
        <f t="shared" si="72"/>
        <v>5.3870966619690837</v>
      </c>
      <c r="R241" s="249">
        <f t="shared" si="72"/>
        <v>5.4272789213222108</v>
      </c>
      <c r="S241" s="249">
        <f t="shared" si="72"/>
        <v>5.4606843123211117</v>
      </c>
      <c r="T241" s="249">
        <f t="shared" si="72"/>
        <v>5.4862862945403181</v>
      </c>
      <c r="U241" s="249">
        <f t="shared" si="72"/>
        <v>5.5040031891960046</v>
      </c>
      <c r="V241" s="249">
        <f t="shared" si="72"/>
        <v>5.5137673986130533</v>
      </c>
      <c r="W241" s="249">
        <f t="shared" si="72"/>
        <v>5.5155259677146073</v>
      </c>
      <c r="X241" s="249">
        <f t="shared" si="72"/>
        <v>5.4572631972366077</v>
      </c>
      <c r="Y241" s="249">
        <f t="shared" si="72"/>
        <v>5.4402129599693367</v>
      </c>
      <c r="Z241" s="249">
        <f t="shared" si="72"/>
        <v>5.414853031519578</v>
      </c>
      <c r="AA241" s="249">
        <f t="shared" si="72"/>
        <v>5.3814712573654662</v>
      </c>
      <c r="AB241" s="249">
        <f t="shared" si="72"/>
        <v>5.3401030440182353</v>
      </c>
      <c r="AC241" s="249">
        <f t="shared" si="72"/>
        <v>5.2901267470136064</v>
      </c>
      <c r="AD241" s="249">
        <f t="shared" si="72"/>
        <v>5.2323213315784747</v>
      </c>
      <c r="AE241" s="249">
        <f t="shared" si="72"/>
        <v>5.1667774922965899</v>
      </c>
      <c r="AF241" s="249">
        <f t="shared" si="72"/>
        <v>5.0936049857615506</v>
      </c>
      <c r="AG241" s="249">
        <f t="shared" si="72"/>
        <v>5.0129331268614914</v>
      </c>
      <c r="AI241" s="316"/>
      <c r="AJ241" s="211"/>
    </row>
    <row r="242" spans="1:36" s="67" customFormat="1" x14ac:dyDescent="0.2">
      <c r="A242" s="345" t="s">
        <v>1381</v>
      </c>
      <c r="B242" s="308" t="s">
        <v>704</v>
      </c>
      <c r="C242" s="309">
        <f>C208*C$227</f>
        <v>20.113754003127021</v>
      </c>
      <c r="D242" s="309">
        <f t="shared" ref="D242:AG247" si="73">D208*D$227</f>
        <v>21.187416639370973</v>
      </c>
      <c r="E242" s="309">
        <f t="shared" si="73"/>
        <v>22.236560725033538</v>
      </c>
      <c r="F242" s="309">
        <f t="shared" si="73"/>
        <v>23.253641455272717</v>
      </c>
      <c r="G242" s="309">
        <f t="shared" si="73"/>
        <v>24.231182557622102</v>
      </c>
      <c r="H242" s="309">
        <f t="shared" si="73"/>
        <v>25.16186843412482</v>
      </c>
      <c r="I242" s="309">
        <f t="shared" si="73"/>
        <v>26.065537303472425</v>
      </c>
      <c r="J242" s="309">
        <f t="shared" si="73"/>
        <v>26.967979821348479</v>
      </c>
      <c r="K242" s="309">
        <f t="shared" si="73"/>
        <v>27.86803240584311</v>
      </c>
      <c r="L242" s="309">
        <f t="shared" si="73"/>
        <v>28.764525232263598</v>
      </c>
      <c r="M242" s="309">
        <f t="shared" si="73"/>
        <v>29.656285130559318</v>
      </c>
      <c r="N242" s="309">
        <f t="shared" si="73"/>
        <v>30.10996511679172</v>
      </c>
      <c r="O242" s="309">
        <f t="shared" si="73"/>
        <v>30.560477823957804</v>
      </c>
      <c r="P242" s="309">
        <f t="shared" si="73"/>
        <v>30.865778626592832</v>
      </c>
      <c r="Q242" s="309">
        <f t="shared" si="73"/>
        <v>31.098006620763574</v>
      </c>
      <c r="R242" s="309">
        <f t="shared" si="73"/>
        <v>31.256668286862464</v>
      </c>
      <c r="S242" s="309">
        <f t="shared" si="73"/>
        <v>31.401833742153872</v>
      </c>
      <c r="T242" s="309">
        <f t="shared" si="73"/>
        <v>31.530908630204742</v>
      </c>
      <c r="U242" s="309">
        <f t="shared" si="73"/>
        <v>31.644996308086959</v>
      </c>
      <c r="V242" s="309">
        <f t="shared" si="73"/>
        <v>31.745250807618433</v>
      </c>
      <c r="W242" s="309">
        <f t="shared" si="73"/>
        <v>31.832876329086758</v>
      </c>
      <c r="X242" s="309">
        <f t="shared" si="73"/>
        <v>31.367674728950725</v>
      </c>
      <c r="Y242" s="309">
        <f t="shared" si="73"/>
        <v>31.125132126662233</v>
      </c>
      <c r="Z242" s="309">
        <f t="shared" si="73"/>
        <v>30.879886340743337</v>
      </c>
      <c r="AA242" s="309">
        <f t="shared" si="73"/>
        <v>30.635125156978027</v>
      </c>
      <c r="AB242" s="309">
        <f t="shared" si="73"/>
        <v>30.393869058967496</v>
      </c>
      <c r="AC242" s="309">
        <f t="shared" si="73"/>
        <v>30.157886902170883</v>
      </c>
      <c r="AD242" s="309">
        <f t="shared" si="73"/>
        <v>29.932317010509649</v>
      </c>
      <c r="AE242" s="309">
        <f t="shared" si="73"/>
        <v>29.720446761931274</v>
      </c>
      <c r="AF242" s="309">
        <f t="shared" si="73"/>
        <v>29.525641142346853</v>
      </c>
      <c r="AG242" s="309">
        <f>AG208*AG$227</f>
        <v>29.351340986716952</v>
      </c>
      <c r="AI242" s="337"/>
      <c r="AJ242" s="348"/>
    </row>
    <row r="243" spans="1:36" x14ac:dyDescent="0.2">
      <c r="A243" s="346" t="s">
        <v>1382</v>
      </c>
      <c r="B243" s="302" t="s">
        <v>704</v>
      </c>
      <c r="C243" s="249">
        <f t="shared" ref="C243:R247" si="74">C209*C$227</f>
        <v>46.513056132231235</v>
      </c>
      <c r="D243" s="249">
        <f t="shared" si="74"/>
        <v>47.628970872779504</v>
      </c>
      <c r="E243" s="249">
        <f t="shared" si="74"/>
        <v>48.642476586010865</v>
      </c>
      <c r="F243" s="249">
        <f t="shared" si="74"/>
        <v>49.546111055268568</v>
      </c>
      <c r="G243" s="249">
        <f t="shared" si="74"/>
        <v>50.333154945060613</v>
      </c>
      <c r="H243" s="249">
        <f t="shared" si="74"/>
        <v>50.997715487020834</v>
      </c>
      <c r="I243" s="249">
        <f t="shared" si="74"/>
        <v>51.588042579789168</v>
      </c>
      <c r="J243" s="249">
        <f t="shared" si="74"/>
        <v>52.159352863925683</v>
      </c>
      <c r="K243" s="249">
        <f t="shared" si="74"/>
        <v>52.710916557104554</v>
      </c>
      <c r="L243" s="249">
        <f t="shared" si="74"/>
        <v>53.242029877026354</v>
      </c>
      <c r="M243" s="249">
        <f t="shared" si="74"/>
        <v>53.752016799138751</v>
      </c>
      <c r="N243" s="249">
        <f t="shared" si="74"/>
        <v>53.472727684546257</v>
      </c>
      <c r="O243" s="249">
        <f t="shared" si="74"/>
        <v>53.207974782783658</v>
      </c>
      <c r="P243" s="249">
        <f t="shared" si="74"/>
        <v>52.714084136986287</v>
      </c>
      <c r="Q243" s="249">
        <f t="shared" si="74"/>
        <v>52.124499733666198</v>
      </c>
      <c r="R243" s="249">
        <f t="shared" si="74"/>
        <v>51.443266555461122</v>
      </c>
      <c r="S243" s="249">
        <f t="shared" si="73"/>
        <v>50.771986621145501</v>
      </c>
      <c r="T243" s="249">
        <f t="shared" si="73"/>
        <v>50.105632730179053</v>
      </c>
      <c r="U243" s="249">
        <f t="shared" si="73"/>
        <v>49.445306731385841</v>
      </c>
      <c r="V243" s="249">
        <f t="shared" si="73"/>
        <v>48.792126560178808</v>
      </c>
      <c r="W243" s="249">
        <f t="shared" si="73"/>
        <v>48.147225447743686</v>
      </c>
      <c r="X243" s="249">
        <f t="shared" si="73"/>
        <v>46.705545092739086</v>
      </c>
      <c r="Y243" s="249">
        <f t="shared" si="73"/>
        <v>45.640217781884473</v>
      </c>
      <c r="Z243" s="249">
        <f t="shared" si="73"/>
        <v>44.608326376663378</v>
      </c>
      <c r="AA243" s="249">
        <f t="shared" si="73"/>
        <v>43.612504563753383</v>
      </c>
      <c r="AB243" s="249">
        <f t="shared" si="73"/>
        <v>42.655032145255461</v>
      </c>
      <c r="AC243" s="249">
        <f t="shared" si="73"/>
        <v>41.736361337825713</v>
      </c>
      <c r="AD243" s="249">
        <f t="shared" si="73"/>
        <v>40.861551182110148</v>
      </c>
      <c r="AE243" s="249">
        <f t="shared" si="73"/>
        <v>40.032929366825464</v>
      </c>
      <c r="AF243" s="249">
        <f t="shared" si="73"/>
        <v>39.252838594963173</v>
      </c>
      <c r="AG243" s="249">
        <f t="shared" si="73"/>
        <v>38.523635045065994</v>
      </c>
      <c r="AI243" s="296"/>
    </row>
    <row r="244" spans="1:36" x14ac:dyDescent="0.2">
      <c r="A244" s="346" t="s">
        <v>1383</v>
      </c>
      <c r="B244" s="302" t="s">
        <v>704</v>
      </c>
      <c r="C244" s="249">
        <f t="shared" si="74"/>
        <v>10.05687700156351</v>
      </c>
      <c r="D244" s="249">
        <f t="shared" si="73"/>
        <v>9.9529598326077338</v>
      </c>
      <c r="E244" s="249">
        <f t="shared" si="73"/>
        <v>9.8153568825343349</v>
      </c>
      <c r="F244" s="249">
        <f t="shared" si="73"/>
        <v>9.6449762854256136</v>
      </c>
      <c r="G244" s="249">
        <f t="shared" si="73"/>
        <v>9.4430343790733158</v>
      </c>
      <c r="H244" s="249">
        <f t="shared" si="73"/>
        <v>9.2110411232064049</v>
      </c>
      <c r="I244" s="249">
        <f t="shared" si="73"/>
        <v>8.9600284480686412</v>
      </c>
      <c r="J244" s="249">
        <f t="shared" si="73"/>
        <v>8.7008178139823595</v>
      </c>
      <c r="K244" s="249">
        <f t="shared" si="73"/>
        <v>8.4337466491367259</v>
      </c>
      <c r="L244" s="249">
        <f t="shared" si="73"/>
        <v>8.1591682149209195</v>
      </c>
      <c r="M244" s="249">
        <f t="shared" si="73"/>
        <v>7.8774507378048142</v>
      </c>
      <c r="N244" s="249">
        <f t="shared" si="73"/>
        <v>7.4815919421296453</v>
      </c>
      <c r="O244" s="249">
        <f t="shared" si="73"/>
        <v>7.0943966377044854</v>
      </c>
      <c r="P244" s="249">
        <f t="shared" si="73"/>
        <v>6.6845944990731523</v>
      </c>
      <c r="Q244" s="249">
        <f t="shared" si="73"/>
        <v>6.2726092899835573</v>
      </c>
      <c r="R244" s="249">
        <f t="shared" si="73"/>
        <v>5.8606253037867084</v>
      </c>
      <c r="S244" s="249">
        <f t="shared" si="73"/>
        <v>5.4611884768963215</v>
      </c>
      <c r="T244" s="249">
        <f t="shared" si="73"/>
        <v>5.0734573726792167</v>
      </c>
      <c r="U244" s="249">
        <f t="shared" si="73"/>
        <v>4.6973041394816537</v>
      </c>
      <c r="V244" s="249">
        <f t="shared" si="73"/>
        <v>4.3325788729785311</v>
      </c>
      <c r="W244" s="249">
        <f t="shared" si="73"/>
        <v>3.9791095411358399</v>
      </c>
      <c r="X244" s="249">
        <f t="shared" si="73"/>
        <v>3.5749923404318791</v>
      </c>
      <c r="Y244" s="249">
        <f t="shared" si="73"/>
        <v>3.2172612534771008</v>
      </c>
      <c r="Z244" s="249">
        <f t="shared" si="73"/>
        <v>2.8767818642909426</v>
      </c>
      <c r="AA244" s="249">
        <f t="shared" si="73"/>
        <v>2.5529270964148303</v>
      </c>
      <c r="AB244" s="249">
        <f t="shared" si="73"/>
        <v>2.2450016918555487</v>
      </c>
      <c r="AC244" s="249">
        <f t="shared" si="73"/>
        <v>1.952184643220878</v>
      </c>
      <c r="AD244" s="249">
        <f t="shared" si="73"/>
        <v>1.6738466749298111</v>
      </c>
      <c r="AE244" s="249">
        <f t="shared" si="73"/>
        <v>1.4091591137122541</v>
      </c>
      <c r="AF244" s="249">
        <f t="shared" si="73"/>
        <v>1.1572550024013022</v>
      </c>
      <c r="AG244" s="249">
        <f t="shared" si="73"/>
        <v>0.91722940583490475</v>
      </c>
      <c r="AI244" s="296"/>
    </row>
    <row r="245" spans="1:36" x14ac:dyDescent="0.2">
      <c r="A245" s="346" t="s">
        <v>1384</v>
      </c>
      <c r="B245" s="302" t="s">
        <v>704</v>
      </c>
      <c r="C245" s="249">
        <f t="shared" si="74"/>
        <v>33.941959880276848</v>
      </c>
      <c r="D245" s="249">
        <f t="shared" si="73"/>
        <v>34.130536078341549</v>
      </c>
      <c r="E245" s="249">
        <f t="shared" si="73"/>
        <v>34.223456740871939</v>
      </c>
      <c r="F245" s="249">
        <f t="shared" si="73"/>
        <v>34.219847368838842</v>
      </c>
      <c r="G245" s="249">
        <f t="shared" si="73"/>
        <v>34.11964308665172</v>
      </c>
      <c r="H245" s="249">
        <f t="shared" si="73"/>
        <v>33.923590478150444</v>
      </c>
      <c r="I245" s="249">
        <f t="shared" si="73"/>
        <v>33.667985683651899</v>
      </c>
      <c r="J245" s="249">
        <f t="shared" si="73"/>
        <v>33.391096636906155</v>
      </c>
      <c r="K245" s="249">
        <f t="shared" si="73"/>
        <v>33.093288481938707</v>
      </c>
      <c r="L245" s="249">
        <f t="shared" si="73"/>
        <v>32.774963846377283</v>
      </c>
      <c r="M245" s="249">
        <f t="shared" si="73"/>
        <v>32.436561861549265</v>
      </c>
      <c r="N245" s="249">
        <f t="shared" si="73"/>
        <v>31.624643240044971</v>
      </c>
      <c r="O245" s="249">
        <f t="shared" si="73"/>
        <v>30.833339233100293</v>
      </c>
      <c r="P245" s="249">
        <f t="shared" si="73"/>
        <v>29.923654569676486</v>
      </c>
      <c r="Q245" s="249">
        <f t="shared" si="73"/>
        <v>28.977687987529698</v>
      </c>
      <c r="R245" s="249">
        <f t="shared" si="73"/>
        <v>28.000765340314295</v>
      </c>
      <c r="S245" s="249">
        <f t="shared" si="73"/>
        <v>27.049949174627113</v>
      </c>
      <c r="T245" s="249">
        <f t="shared" si="73"/>
        <v>26.122016059331852</v>
      </c>
      <c r="U245" s="249">
        <f t="shared" si="73"/>
        <v>25.217106433006791</v>
      </c>
      <c r="V245" s="249">
        <f t="shared" si="73"/>
        <v>24.335326193085042</v>
      </c>
      <c r="W245" s="249">
        <f t="shared" si="73"/>
        <v>23.476746292701474</v>
      </c>
      <c r="X245" s="249">
        <f t="shared" si="73"/>
        <v>22.257210377527521</v>
      </c>
      <c r="Y245" s="249">
        <f t="shared" si="73"/>
        <v>21.24888827877901</v>
      </c>
      <c r="Z245" s="249">
        <f t="shared" si="73"/>
        <v>20.283132891266536</v>
      </c>
      <c r="AA245" s="249">
        <f t="shared" si="73"/>
        <v>19.359697147812483</v>
      </c>
      <c r="AB245" s="249">
        <f t="shared" si="73"/>
        <v>18.478090848349535</v>
      </c>
      <c r="AC245" s="249">
        <f t="shared" si="73"/>
        <v>17.636978500823126</v>
      </c>
      <c r="AD245" s="249">
        <f t="shared" si="73"/>
        <v>16.836928318411651</v>
      </c>
      <c r="AE245" s="249">
        <f t="shared" si="73"/>
        <v>16.077224433717106</v>
      </c>
      <c r="AF245" s="249">
        <f t="shared" si="73"/>
        <v>15.357086653487581</v>
      </c>
      <c r="AG245" s="249">
        <f t="shared" si="73"/>
        <v>14.675670493358476</v>
      </c>
      <c r="AI245" s="296"/>
    </row>
    <row r="246" spans="1:36" x14ac:dyDescent="0.2">
      <c r="A246" s="346" t="s">
        <v>1385</v>
      </c>
      <c r="B246" s="302" t="s">
        <v>704</v>
      </c>
      <c r="C246" s="249">
        <f t="shared" si="74"/>
        <v>8.7997673763680719</v>
      </c>
      <c r="D246" s="249">
        <f t="shared" si="73"/>
        <v>8.9277622532833334</v>
      </c>
      <c r="E246" s="249">
        <f t="shared" si="73"/>
        <v>9.0336027945448745</v>
      </c>
      <c r="F246" s="249">
        <f t="shared" si="73"/>
        <v>9.1164844341694167</v>
      </c>
      <c r="G246" s="249">
        <f t="shared" si="73"/>
        <v>9.1757786890995447</v>
      </c>
      <c r="H246" s="249">
        <f t="shared" si="73"/>
        <v>9.2110411232064067</v>
      </c>
      <c r="I246" s="249">
        <f t="shared" si="73"/>
        <v>9.2315444616464823</v>
      </c>
      <c r="J246" s="249">
        <f t="shared" si="73"/>
        <v>9.2474660536042901</v>
      </c>
      <c r="K246" s="249">
        <f t="shared" si="73"/>
        <v>9.2587870822044511</v>
      </c>
      <c r="L246" s="249">
        <f t="shared" si="73"/>
        <v>9.2654961084695202</v>
      </c>
      <c r="M246" s="249">
        <f t="shared" si="73"/>
        <v>9.2675891032997821</v>
      </c>
      <c r="N246" s="249">
        <f t="shared" si="73"/>
        <v>9.1339680765877276</v>
      </c>
      <c r="O246" s="249">
        <f t="shared" si="73"/>
        <v>9.0044265017018486</v>
      </c>
      <c r="P246" s="249">
        <f t="shared" si="73"/>
        <v>8.8380209148819535</v>
      </c>
      <c r="Q246" s="249">
        <f t="shared" si="73"/>
        <v>8.65796775237167</v>
      </c>
      <c r="R246" s="249">
        <f t="shared" si="73"/>
        <v>8.4653476610252447</v>
      </c>
      <c r="S246" s="249">
        <f t="shared" si="73"/>
        <v>8.2771137852959864</v>
      </c>
      <c r="T246" s="249">
        <f t="shared" si="73"/>
        <v>8.0923741564222205</v>
      </c>
      <c r="U246" s="249">
        <f t="shared" si="73"/>
        <v>7.911249077021731</v>
      </c>
      <c r="V246" s="249">
        <f t="shared" si="73"/>
        <v>7.7338557452233587</v>
      </c>
      <c r="W246" s="249">
        <f t="shared" si="73"/>
        <v>7.5603081281580948</v>
      </c>
      <c r="X246" s="249">
        <f t="shared" si="73"/>
        <v>7.2653070144260754</v>
      </c>
      <c r="Y246" s="249">
        <f t="shared" si="73"/>
        <v>7.0330827401592417</v>
      </c>
      <c r="Z246" s="249">
        <f t="shared" si="73"/>
        <v>6.8095975774988133</v>
      </c>
      <c r="AA246" s="249">
        <f t="shared" si="73"/>
        <v>6.5950616657383128</v>
      </c>
      <c r="AB246" s="249">
        <f t="shared" si="73"/>
        <v>6.389620199896564</v>
      </c>
      <c r="AC246" s="249">
        <f t="shared" si="73"/>
        <v>6.1931374888386514</v>
      </c>
      <c r="AD246" s="249">
        <f t="shared" si="73"/>
        <v>6.0061557159246215</v>
      </c>
      <c r="AE246" s="249">
        <f t="shared" si="73"/>
        <v>5.8287945158097854</v>
      </c>
      <c r="AF246" s="249">
        <f t="shared" si="73"/>
        <v>5.6611663630982729</v>
      </c>
      <c r="AG246" s="249">
        <f t="shared" si="73"/>
        <v>5.5033764350094279</v>
      </c>
      <c r="AI246" s="296"/>
    </row>
    <row r="247" spans="1:36" s="68" customFormat="1" x14ac:dyDescent="0.2">
      <c r="A247" s="347" t="s">
        <v>1386</v>
      </c>
      <c r="B247" s="312" t="s">
        <v>704</v>
      </c>
      <c r="C247" s="313">
        <f t="shared" si="74"/>
        <v>6.2855481259771935</v>
      </c>
      <c r="D247" s="313">
        <f t="shared" si="73"/>
        <v>6.3220517391671454</v>
      </c>
      <c r="E247" s="313">
        <f t="shared" si="73"/>
        <v>6.3408942692478449</v>
      </c>
      <c r="F247" s="313">
        <f t="shared" si="73"/>
        <v>6.3419022150743771</v>
      </c>
      <c r="G247" s="313">
        <f t="shared" si="73"/>
        <v>6.3250513293792983</v>
      </c>
      <c r="H247" s="313">
        <f t="shared" si="73"/>
        <v>6.2904671085312041</v>
      </c>
      <c r="I247" s="313">
        <f t="shared" si="73"/>
        <v>6.2448683122902668</v>
      </c>
      <c r="J247" s="313">
        <f t="shared" si="73"/>
        <v>6.19534671571519</v>
      </c>
      <c r="K247" s="313">
        <f t="shared" si="73"/>
        <v>6.1419676683930522</v>
      </c>
      <c r="L247" s="313">
        <f t="shared" si="73"/>
        <v>6.0848034145172969</v>
      </c>
      <c r="M247" s="313">
        <f t="shared" si="73"/>
        <v>6.023932917144859</v>
      </c>
      <c r="N247" s="313">
        <f t="shared" si="73"/>
        <v>5.8751151447398451</v>
      </c>
      <c r="O247" s="313">
        <f t="shared" si="73"/>
        <v>5.7300895919920851</v>
      </c>
      <c r="P247" s="313">
        <f t="shared" si="73"/>
        <v>5.5630182408394022</v>
      </c>
      <c r="Q247" s="313">
        <f t="shared" si="73"/>
        <v>5.3891431928027744</v>
      </c>
      <c r="R247" s="313">
        <f t="shared" si="73"/>
        <v>5.2094447144770735</v>
      </c>
      <c r="S247" s="313">
        <f t="shared" si="73"/>
        <v>5.0345331271387961</v>
      </c>
      <c r="T247" s="313">
        <f t="shared" si="73"/>
        <v>4.8638103738081737</v>
      </c>
      <c r="U247" s="313">
        <f t="shared" si="73"/>
        <v>4.6973041394816528</v>
      </c>
      <c r="V247" s="313">
        <f t="shared" si="73"/>
        <v>4.5350358296597699</v>
      </c>
      <c r="W247" s="313">
        <f t="shared" si="73"/>
        <v>4.3770204952494227</v>
      </c>
      <c r="X247" s="313">
        <f t="shared" si="73"/>
        <v>4.1516040082434715</v>
      </c>
      <c r="Y247" s="313">
        <f t="shared" si="73"/>
        <v>3.9654615449834019</v>
      </c>
      <c r="Z247" s="313">
        <f t="shared" si="73"/>
        <v>3.7871558719779488</v>
      </c>
      <c r="AA247" s="313">
        <f t="shared" si="73"/>
        <v>3.6166467199210088</v>
      </c>
      <c r="AB247" s="313">
        <f t="shared" si="73"/>
        <v>3.4538487567008436</v>
      </c>
      <c r="AC247" s="313">
        <f t="shared" si="73"/>
        <v>3.2985188799249316</v>
      </c>
      <c r="AD247" s="313">
        <f t="shared" si="73"/>
        <v>3.1507702116325857</v>
      </c>
      <c r="AE247" s="313">
        <f t="shared" si="73"/>
        <v>3.0104762883852705</v>
      </c>
      <c r="AF247" s="313">
        <f t="shared" si="73"/>
        <v>2.8774989248897267</v>
      </c>
      <c r="AG247" s="313">
        <f t="shared" si="73"/>
        <v>2.7516882175047139</v>
      </c>
      <c r="AI247" s="314"/>
      <c r="AJ247" s="315"/>
    </row>
    <row r="248" spans="1:36" s="181" customFormat="1" x14ac:dyDescent="0.2">
      <c r="B248" s="176"/>
      <c r="C248" s="110"/>
      <c r="D248" s="110"/>
      <c r="E248" s="110"/>
      <c r="F248" s="110"/>
      <c r="G248" s="110"/>
      <c r="H248" s="110"/>
      <c r="I248" s="110"/>
      <c r="J248" s="110"/>
      <c r="K248" s="110"/>
      <c r="L248" s="110"/>
      <c r="M248" s="110"/>
      <c r="N248" s="110"/>
      <c r="O248" s="110"/>
      <c r="P248" s="110"/>
      <c r="Q248" s="110"/>
      <c r="R248" s="110"/>
      <c r="S248" s="110"/>
      <c r="T248" s="110"/>
      <c r="U248" s="110"/>
      <c r="V248" s="110"/>
      <c r="W248" s="110"/>
      <c r="X248" s="110"/>
      <c r="Y248" s="110"/>
      <c r="Z248" s="110"/>
      <c r="AA248" s="110"/>
      <c r="AB248" s="110"/>
      <c r="AC248" s="110"/>
      <c r="AD248" s="110"/>
      <c r="AE248" s="110"/>
      <c r="AF248" s="110"/>
      <c r="AG248" s="110"/>
      <c r="AJ248" s="323"/>
    </row>
    <row r="249" spans="1:36" s="181" customFormat="1" x14ac:dyDescent="0.2">
      <c r="A249" s="181" t="s">
        <v>1390</v>
      </c>
      <c r="B249" s="350" t="s">
        <v>704</v>
      </c>
      <c r="C249" s="230">
        <f>C182</f>
        <v>17.861834618571326</v>
      </c>
      <c r="D249" s="230">
        <f t="shared" ref="D249:AG249" si="75">D182</f>
        <v>19.10066007535314</v>
      </c>
      <c r="E249" s="230">
        <f t="shared" si="75"/>
        <v>20.326034188179669</v>
      </c>
      <c r="F249" s="230">
        <f t="shared" si="75"/>
        <v>21.52873821376847</v>
      </c>
      <c r="G249" s="230">
        <f t="shared" si="75"/>
        <v>22.699477037904501</v>
      </c>
      <c r="H249" s="230">
        <f t="shared" si="75"/>
        <v>23.828997691393759</v>
      </c>
      <c r="I249" s="230">
        <f t="shared" si="75"/>
        <v>24.920203594353069</v>
      </c>
      <c r="J249" s="230">
        <f t="shared" si="75"/>
        <v>26.008161872602983</v>
      </c>
      <c r="K249" s="230">
        <f t="shared" si="75"/>
        <v>27.090730901312561</v>
      </c>
      <c r="L249" s="230">
        <f t="shared" si="75"/>
        <v>28.165727721645219</v>
      </c>
      <c r="M249" s="230">
        <f t="shared" si="75"/>
        <v>29.230933254463636</v>
      </c>
      <c r="N249" s="230">
        <f t="shared" si="75"/>
        <v>30.994368417798405</v>
      </c>
      <c r="O249" s="230">
        <f t="shared" si="75"/>
        <v>32.763343065805515</v>
      </c>
      <c r="P249" s="230">
        <f t="shared" si="75"/>
        <v>34.285439228140206</v>
      </c>
      <c r="Q249" s="230">
        <f t="shared" si="75"/>
        <v>35.669372491565973</v>
      </c>
      <c r="R249" s="230">
        <f t="shared" si="75"/>
        <v>36.904259676593014</v>
      </c>
      <c r="S249" s="230">
        <f t="shared" si="75"/>
        <v>38.064116044746605</v>
      </c>
      <c r="T249" s="230">
        <f t="shared" si="75"/>
        <v>39.132615658773688</v>
      </c>
      <c r="U249" s="230">
        <f t="shared" si="75"/>
        <v>40.106990200470051</v>
      </c>
      <c r="V249" s="230">
        <f t="shared" si="75"/>
        <v>40.984493572032804</v>
      </c>
      <c r="W249" s="230">
        <f t="shared" si="75"/>
        <v>41.76240438786656</v>
      </c>
      <c r="X249" s="230">
        <f t="shared" si="75"/>
        <v>42.921460653080757</v>
      </c>
      <c r="Y249" s="230">
        <f t="shared" si="75"/>
        <v>44.498990638127026</v>
      </c>
      <c r="Z249" s="230">
        <f t="shared" si="75"/>
        <v>45.899549468763738</v>
      </c>
      <c r="AA249" s="230">
        <f t="shared" si="75"/>
        <v>47.125533221783982</v>
      </c>
      <c r="AB249" s="230">
        <f t="shared" si="75"/>
        <v>48.172480788552022</v>
      </c>
      <c r="AC249" s="230">
        <f t="shared" si="75"/>
        <v>49.021306875883333</v>
      </c>
      <c r="AD249" s="230">
        <f t="shared" si="75"/>
        <v>49.681090085337402</v>
      </c>
      <c r="AE249" s="230">
        <f t="shared" si="75"/>
        <v>50.14749590784735</v>
      </c>
      <c r="AF249" s="230">
        <f t="shared" si="75"/>
        <v>50.416239114269601</v>
      </c>
      <c r="AG249" s="230">
        <f t="shared" si="75"/>
        <v>50.483087207378787</v>
      </c>
      <c r="AI249" s="694" t="s">
        <v>1391</v>
      </c>
      <c r="AJ249" s="323"/>
    </row>
    <row r="250" spans="1:36" s="181" customFormat="1" x14ac:dyDescent="0.2">
      <c r="A250" s="181" t="s">
        <v>1392</v>
      </c>
      <c r="B250" s="349" t="s">
        <v>704</v>
      </c>
      <c r="C250" s="249">
        <f>C249/(1-C207)</f>
        <v>24.468266600782638</v>
      </c>
      <c r="D250" s="249">
        <f t="shared" ref="D250:AG250" si="76">D249/(1-D207)</f>
        <v>26.022697650344877</v>
      </c>
      <c r="E250" s="249">
        <f t="shared" si="76"/>
        <v>27.542051745500906</v>
      </c>
      <c r="F250" s="249">
        <f t="shared" si="76"/>
        <v>29.014471986210875</v>
      </c>
      <c r="G250" s="249">
        <f t="shared" si="76"/>
        <v>30.428253402016757</v>
      </c>
      <c r="H250" s="249">
        <f t="shared" si="76"/>
        <v>31.771996921858346</v>
      </c>
      <c r="I250" s="249">
        <f t="shared" si="76"/>
        <v>33.050667897019984</v>
      </c>
      <c r="J250" s="249">
        <f t="shared" si="76"/>
        <v>34.311559198684677</v>
      </c>
      <c r="K250" s="249">
        <f t="shared" si="76"/>
        <v>35.552140290436434</v>
      </c>
      <c r="L250" s="249">
        <f t="shared" si="76"/>
        <v>36.769879532173917</v>
      </c>
      <c r="M250" s="249">
        <f t="shared" si="76"/>
        <v>37.962250979822905</v>
      </c>
      <c r="N250" s="249">
        <f t="shared" si="76"/>
        <v>40.044403640566415</v>
      </c>
      <c r="O250" s="249">
        <f t="shared" si="76"/>
        <v>42.112266151420968</v>
      </c>
      <c r="P250" s="249">
        <f t="shared" si="76"/>
        <v>43.843272670256013</v>
      </c>
      <c r="Q250" s="249">
        <f t="shared" si="76"/>
        <v>45.38088103252668</v>
      </c>
      <c r="R250" s="249">
        <f t="shared" si="76"/>
        <v>46.714252755181029</v>
      </c>
      <c r="S250" s="249">
        <f t="shared" si="76"/>
        <v>47.939692751570028</v>
      </c>
      <c r="T250" s="249">
        <f t="shared" si="76"/>
        <v>49.038365487185068</v>
      </c>
      <c r="U250" s="249">
        <f t="shared" si="76"/>
        <v>50.008715960685848</v>
      </c>
      <c r="V250" s="249">
        <f t="shared" si="76"/>
        <v>50.849247607981141</v>
      </c>
      <c r="W250" s="249">
        <f t="shared" si="76"/>
        <v>51.558523935637723</v>
      </c>
      <c r="X250" s="249">
        <f t="shared" si="76"/>
        <v>52.729067141376845</v>
      </c>
      <c r="Y250" s="249">
        <f t="shared" si="76"/>
        <v>54.399744056390006</v>
      </c>
      <c r="Z250" s="249">
        <f t="shared" si="76"/>
        <v>55.838867966865855</v>
      </c>
      <c r="AA250" s="249">
        <f t="shared" si="76"/>
        <v>57.052703658334117</v>
      </c>
      <c r="AB250" s="249">
        <f t="shared" si="76"/>
        <v>58.039133480183153</v>
      </c>
      <c r="AC250" s="249">
        <f t="shared" si="76"/>
        <v>58.778545414728214</v>
      </c>
      <c r="AD250" s="249">
        <f t="shared" si="76"/>
        <v>59.285310364364435</v>
      </c>
      <c r="AE250" s="249">
        <f t="shared" si="76"/>
        <v>59.557596090079983</v>
      </c>
      <c r="AF250" s="249">
        <f t="shared" si="76"/>
        <v>59.593663255637821</v>
      </c>
      <c r="AG250" s="249">
        <f t="shared" si="76"/>
        <v>59.391867302798573</v>
      </c>
      <c r="AI250" s="694"/>
      <c r="AJ250" s="323"/>
    </row>
    <row r="251" spans="1:36" s="181" customFormat="1" x14ac:dyDescent="0.2">
      <c r="A251" s="181" t="s">
        <v>1393</v>
      </c>
      <c r="B251" s="349" t="s">
        <v>704</v>
      </c>
      <c r="C251" s="249">
        <f>C239</f>
        <v>17.185663817432385</v>
      </c>
      <c r="D251" s="249">
        <f t="shared" ref="D251:AG251" si="77">D239</f>
        <v>17.881444019920782</v>
      </c>
      <c r="E251" s="249">
        <f t="shared" si="77"/>
        <v>18.552960782573503</v>
      </c>
      <c r="F251" s="249">
        <f t="shared" si="77"/>
        <v>19.195516481296032</v>
      </c>
      <c r="G251" s="249">
        <f t="shared" si="77"/>
        <v>19.804498403370847</v>
      </c>
      <c r="H251" s="249">
        <f t="shared" si="77"/>
        <v>20.375433594536929</v>
      </c>
      <c r="I251" s="249">
        <f t="shared" si="77"/>
        <v>20.923850766787282</v>
      </c>
      <c r="J251" s="249">
        <f t="shared" si="77"/>
        <v>21.472569768755378</v>
      </c>
      <c r="K251" s="249">
        <f t="shared" si="77"/>
        <v>22.020856107581494</v>
      </c>
      <c r="L251" s="249">
        <f t="shared" si="77"/>
        <v>22.567954984478241</v>
      </c>
      <c r="M251" s="249">
        <f t="shared" si="77"/>
        <v>23.113092598401877</v>
      </c>
      <c r="N251" s="249">
        <f t="shared" si="77"/>
        <v>23.479252424872708</v>
      </c>
      <c r="O251" s="249">
        <f t="shared" si="77"/>
        <v>23.855792224823414</v>
      </c>
      <c r="P251" s="249">
        <f t="shared" si="77"/>
        <v>24.118016743481235</v>
      </c>
      <c r="Q251" s="249">
        <f t="shared" si="77"/>
        <v>24.32728120568099</v>
      </c>
      <c r="R251" s="249">
        <f t="shared" si="77"/>
        <v>24.481886799954754</v>
      </c>
      <c r="S251" s="249">
        <f t="shared" si="77"/>
        <v>24.629172577005505</v>
      </c>
      <c r="T251" s="249">
        <f t="shared" si="77"/>
        <v>24.764508844625517</v>
      </c>
      <c r="U251" s="249">
        <f t="shared" si="77"/>
        <v>24.887469906723595</v>
      </c>
      <c r="V251" s="249">
        <f t="shared" si="77"/>
        <v>24.99762854070222</v>
      </c>
      <c r="W251" s="249">
        <f t="shared" si="77"/>
        <v>25.094556298836295</v>
      </c>
      <c r="X251" s="249">
        <f t="shared" si="77"/>
        <v>24.940279036892385</v>
      </c>
      <c r="Y251" s="249">
        <f t="shared" si="77"/>
        <v>24.995776102813746</v>
      </c>
      <c r="Z251" s="249">
        <f t="shared" si="77"/>
        <v>25.035271284510596</v>
      </c>
      <c r="AA251" s="249">
        <f t="shared" si="77"/>
        <v>25.059559054363177</v>
      </c>
      <c r="AB251" s="249">
        <f t="shared" si="77"/>
        <v>25.068200500480149</v>
      </c>
      <c r="AC251" s="249">
        <f t="shared" si="77"/>
        <v>25.057559698975123</v>
      </c>
      <c r="AD251" s="249">
        <f t="shared" si="77"/>
        <v>25.030485909263525</v>
      </c>
      <c r="AE251" s="249">
        <f t="shared" si="77"/>
        <v>24.986536333965034</v>
      </c>
      <c r="AF251" s="249">
        <f t="shared" si="77"/>
        <v>24.925267827997892</v>
      </c>
      <c r="AG251" s="249">
        <f t="shared" si="77"/>
        <v>24.846237175620679</v>
      </c>
      <c r="AI251" s="694"/>
      <c r="AJ251" s="323"/>
    </row>
    <row r="252" spans="1:36" s="181" customFormat="1" x14ac:dyDescent="0.2">
      <c r="A252" s="181" t="s">
        <v>1394</v>
      </c>
      <c r="B252" s="349" t="s">
        <v>704</v>
      </c>
      <c r="C252" s="249">
        <f>C250-C251</f>
        <v>7.2826027833502529</v>
      </c>
      <c r="D252" s="249">
        <f t="shared" ref="D252:AG252" si="78">D250-D251</f>
        <v>8.1412536304240959</v>
      </c>
      <c r="E252" s="249">
        <f t="shared" si="78"/>
        <v>8.9890909629274027</v>
      </c>
      <c r="F252" s="249">
        <f t="shared" si="78"/>
        <v>9.8189555049148431</v>
      </c>
      <c r="G252" s="249">
        <f t="shared" si="78"/>
        <v>10.623754998645911</v>
      </c>
      <c r="H252" s="249">
        <f t="shared" si="78"/>
        <v>11.396563327321417</v>
      </c>
      <c r="I252" s="249">
        <f t="shared" si="78"/>
        <v>12.126817130232702</v>
      </c>
      <c r="J252" s="249">
        <f t="shared" si="78"/>
        <v>12.838989429929299</v>
      </c>
      <c r="K252" s="249">
        <f t="shared" si="78"/>
        <v>13.53128418285494</v>
      </c>
      <c r="L252" s="249">
        <f t="shared" si="78"/>
        <v>14.201924547695675</v>
      </c>
      <c r="M252" s="249">
        <f t="shared" si="78"/>
        <v>14.849158381421027</v>
      </c>
      <c r="N252" s="249">
        <f t="shared" si="78"/>
        <v>16.565151215693707</v>
      </c>
      <c r="O252" s="249">
        <f t="shared" si="78"/>
        <v>18.256473926597554</v>
      </c>
      <c r="P252" s="249">
        <f t="shared" si="78"/>
        <v>19.725255926774778</v>
      </c>
      <c r="Q252" s="249">
        <f t="shared" si="78"/>
        <v>21.053599826845691</v>
      </c>
      <c r="R252" s="249">
        <f t="shared" si="78"/>
        <v>22.232365955226275</v>
      </c>
      <c r="S252" s="249">
        <f t="shared" si="78"/>
        <v>23.310520174564523</v>
      </c>
      <c r="T252" s="249">
        <f t="shared" si="78"/>
        <v>24.273856642559551</v>
      </c>
      <c r="U252" s="249">
        <f t="shared" si="78"/>
        <v>25.121246053962253</v>
      </c>
      <c r="V252" s="249">
        <f t="shared" si="78"/>
        <v>25.851619067278921</v>
      </c>
      <c r="W252" s="249">
        <f t="shared" si="78"/>
        <v>26.463967636801428</v>
      </c>
      <c r="X252" s="249">
        <f t="shared" si="78"/>
        <v>27.78878810448446</v>
      </c>
      <c r="Y252" s="249">
        <f t="shared" si="78"/>
        <v>29.403967953576259</v>
      </c>
      <c r="Z252" s="249">
        <f t="shared" si="78"/>
        <v>30.803596682355259</v>
      </c>
      <c r="AA252" s="249">
        <f t="shared" si="78"/>
        <v>31.99314460397094</v>
      </c>
      <c r="AB252" s="249">
        <f t="shared" si="78"/>
        <v>32.970932979703008</v>
      </c>
      <c r="AC252" s="249">
        <f t="shared" si="78"/>
        <v>33.720985715753088</v>
      </c>
      <c r="AD252" s="249">
        <f t="shared" si="78"/>
        <v>34.254824455100909</v>
      </c>
      <c r="AE252" s="249">
        <f t="shared" si="78"/>
        <v>34.571059756114948</v>
      </c>
      <c r="AF252" s="249">
        <f t="shared" si="78"/>
        <v>34.668395427639929</v>
      </c>
      <c r="AG252" s="249">
        <f t="shared" si="78"/>
        <v>34.545630127177894</v>
      </c>
      <c r="AI252" s="694"/>
      <c r="AJ252" s="323"/>
    </row>
    <row r="253" spans="1:36" s="181" customFormat="1" x14ac:dyDescent="0.2">
      <c r="A253" s="181" t="s">
        <v>1395</v>
      </c>
      <c r="B253" s="349" t="s">
        <v>704</v>
      </c>
      <c r="C253" s="249">
        <f>(C252)/(1-C204)</f>
        <v>9.1032534791878152</v>
      </c>
      <c r="D253" s="249">
        <f t="shared" ref="D253:AG253" si="79">(D250-D239)/(1-D204)</f>
        <v>10.134340618785181</v>
      </c>
      <c r="E253" s="249">
        <f t="shared" si="79"/>
        <v>11.143501193711657</v>
      </c>
      <c r="F253" s="249">
        <f t="shared" si="79"/>
        <v>12.122167290018325</v>
      </c>
      <c r="G253" s="249">
        <f t="shared" si="79"/>
        <v>13.061993850794154</v>
      </c>
      <c r="H253" s="249">
        <f t="shared" si="79"/>
        <v>13.954975502842551</v>
      </c>
      <c r="I253" s="249">
        <f t="shared" si="79"/>
        <v>14.788801378332565</v>
      </c>
      <c r="J253" s="249">
        <f t="shared" si="79"/>
        <v>15.593914287363523</v>
      </c>
      <c r="K253" s="249">
        <f t="shared" si="79"/>
        <v>16.36848893087291</v>
      </c>
      <c r="L253" s="249">
        <f t="shared" si="79"/>
        <v>17.110752467103225</v>
      </c>
      <c r="M253" s="249">
        <f t="shared" si="79"/>
        <v>17.818990057705236</v>
      </c>
      <c r="N253" s="249">
        <f t="shared" si="79"/>
        <v>19.798985516765388</v>
      </c>
      <c r="O253" s="249">
        <f t="shared" si="79"/>
        <v>21.733897531663757</v>
      </c>
      <c r="P253" s="249">
        <f t="shared" si="79"/>
        <v>23.389631533725037</v>
      </c>
      <c r="Q253" s="249">
        <f t="shared" si="79"/>
        <v>24.866456488400424</v>
      </c>
      <c r="R253" s="249">
        <f t="shared" si="79"/>
        <v>26.155724653207386</v>
      </c>
      <c r="S253" s="249">
        <f t="shared" si="79"/>
        <v>27.317015829567801</v>
      </c>
      <c r="T253" s="249">
        <f t="shared" si="79"/>
        <v>28.335241216995588</v>
      </c>
      <c r="U253" s="249">
        <f t="shared" si="79"/>
        <v>29.210751225537507</v>
      </c>
      <c r="V253" s="249">
        <f t="shared" si="79"/>
        <v>29.943960309589489</v>
      </c>
      <c r="W253" s="249">
        <f t="shared" si="79"/>
        <v>30.535347273232425</v>
      </c>
      <c r="X253" s="249">
        <f t="shared" si="79"/>
        <v>31.941135752280992</v>
      </c>
      <c r="Y253" s="249">
        <f t="shared" si="79"/>
        <v>33.668665595698016</v>
      </c>
      <c r="Z253" s="249">
        <f t="shared" si="79"/>
        <v>35.137182527401443</v>
      </c>
      <c r="AA253" s="249">
        <f t="shared" si="79"/>
        <v>36.355846140876075</v>
      </c>
      <c r="AB253" s="249">
        <f t="shared" si="79"/>
        <v>37.325584505324166</v>
      </c>
      <c r="AC253" s="249">
        <f t="shared" si="79"/>
        <v>38.031186897465894</v>
      </c>
      <c r="AD253" s="249">
        <f t="shared" si="79"/>
        <v>38.488566803484176</v>
      </c>
      <c r="AE253" s="249">
        <f t="shared" si="79"/>
        <v>38.698947488188388</v>
      </c>
      <c r="AF253" s="249">
        <f t="shared" si="79"/>
        <v>38.663638023390263</v>
      </c>
      <c r="AG253" s="249">
        <f t="shared" si="79"/>
        <v>38.384033474642102</v>
      </c>
      <c r="AI253" s="694"/>
      <c r="AJ253" s="323"/>
    </row>
    <row r="254" spans="1:36" s="181" customFormat="1" x14ac:dyDescent="0.2">
      <c r="A254" s="181" t="s">
        <v>1396</v>
      </c>
      <c r="B254" s="349" t="s">
        <v>704</v>
      </c>
      <c r="C254" s="249">
        <f>IF(C233&gt;C253,C253,C233)</f>
        <v>9.1032534791878152</v>
      </c>
      <c r="D254" s="249">
        <f t="shared" ref="D254:AG254" si="80">IF(D233&gt;D253,D253,D233)</f>
        <v>10.134340618785181</v>
      </c>
      <c r="E254" s="249">
        <f t="shared" si="80"/>
        <v>11.143501193711657</v>
      </c>
      <c r="F254" s="249">
        <f t="shared" si="80"/>
        <v>12.122167290018325</v>
      </c>
      <c r="G254" s="249">
        <f t="shared" si="80"/>
        <v>13.061993850794154</v>
      </c>
      <c r="H254" s="249">
        <f t="shared" si="80"/>
        <v>13.954975502842551</v>
      </c>
      <c r="I254" s="249">
        <f t="shared" si="80"/>
        <v>14.788801378332565</v>
      </c>
      <c r="J254" s="249">
        <f t="shared" si="80"/>
        <v>15.593914287363523</v>
      </c>
      <c r="K254" s="249">
        <f t="shared" si="80"/>
        <v>16.36848893087291</v>
      </c>
      <c r="L254" s="249">
        <f t="shared" si="80"/>
        <v>17.110752467103225</v>
      </c>
      <c r="M254" s="249">
        <f t="shared" si="80"/>
        <v>17.818990057705236</v>
      </c>
      <c r="N254" s="249">
        <f t="shared" si="80"/>
        <v>19.798985516765388</v>
      </c>
      <c r="O254" s="249">
        <f t="shared" si="80"/>
        <v>21.733897531663757</v>
      </c>
      <c r="P254" s="249">
        <f t="shared" si="80"/>
        <v>23.389631533725037</v>
      </c>
      <c r="Q254" s="249">
        <f t="shared" si="80"/>
        <v>24.866456488400424</v>
      </c>
      <c r="R254" s="249">
        <f t="shared" si="80"/>
        <v>26.155724653207386</v>
      </c>
      <c r="S254" s="249">
        <f t="shared" si="80"/>
        <v>27.317015829567801</v>
      </c>
      <c r="T254" s="249">
        <f t="shared" si="80"/>
        <v>28.335241216995588</v>
      </c>
      <c r="U254" s="249">
        <f t="shared" si="80"/>
        <v>29.210751225537507</v>
      </c>
      <c r="V254" s="249">
        <f t="shared" si="80"/>
        <v>29.943960309589489</v>
      </c>
      <c r="W254" s="249">
        <f t="shared" si="80"/>
        <v>30.535347273232425</v>
      </c>
      <c r="X254" s="249">
        <f t="shared" si="80"/>
        <v>31.941135752280992</v>
      </c>
      <c r="Y254" s="249">
        <f t="shared" si="80"/>
        <v>33.668665595698016</v>
      </c>
      <c r="Z254" s="249">
        <f t="shared" si="80"/>
        <v>34.700215949414179</v>
      </c>
      <c r="AA254" s="249">
        <f t="shared" si="80"/>
        <v>35.145449695438039</v>
      </c>
      <c r="AB254" s="249">
        <f t="shared" si="80"/>
        <v>35.561174543961656</v>
      </c>
      <c r="AC254" s="249">
        <f t="shared" si="80"/>
        <v>35.941616634298491</v>
      </c>
      <c r="AD254" s="249">
        <f t="shared" si="80"/>
        <v>36.290202050065766</v>
      </c>
      <c r="AE254" s="249">
        <f t="shared" si="80"/>
        <v>36.605735114513962</v>
      </c>
      <c r="AF254" s="249">
        <f t="shared" si="80"/>
        <v>36.887015297843568</v>
      </c>
      <c r="AG254" s="249">
        <f t="shared" si="80"/>
        <v>37.132837976751787</v>
      </c>
      <c r="AI254" s="694"/>
      <c r="AJ254" s="323"/>
    </row>
    <row r="255" spans="1:36" s="181" customFormat="1" x14ac:dyDescent="0.2">
      <c r="A255" s="181" t="s">
        <v>1397</v>
      </c>
      <c r="B255" s="349" t="s">
        <v>704</v>
      </c>
      <c r="C255" s="249">
        <f>IF(C253-C254&lt;0,0,C253-C254)</f>
        <v>0</v>
      </c>
      <c r="D255" s="249">
        <f t="shared" ref="D255:AG255" si="81">IF(D253-D254&lt;0,0,D253-D254)</f>
        <v>0</v>
      </c>
      <c r="E255" s="249">
        <f t="shared" si="81"/>
        <v>0</v>
      </c>
      <c r="F255" s="249">
        <f t="shared" si="81"/>
        <v>0</v>
      </c>
      <c r="G255" s="249">
        <f t="shared" si="81"/>
        <v>0</v>
      </c>
      <c r="H255" s="249">
        <f t="shared" si="81"/>
        <v>0</v>
      </c>
      <c r="I255" s="249">
        <f t="shared" si="81"/>
        <v>0</v>
      </c>
      <c r="J255" s="249">
        <f t="shared" si="81"/>
        <v>0</v>
      </c>
      <c r="K255" s="249">
        <f t="shared" si="81"/>
        <v>0</v>
      </c>
      <c r="L255" s="249">
        <f t="shared" si="81"/>
        <v>0</v>
      </c>
      <c r="M255" s="249">
        <f t="shared" si="81"/>
        <v>0</v>
      </c>
      <c r="N255" s="249">
        <f t="shared" si="81"/>
        <v>0</v>
      </c>
      <c r="O255" s="249">
        <f t="shared" si="81"/>
        <v>0</v>
      </c>
      <c r="P255" s="249">
        <f t="shared" si="81"/>
        <v>0</v>
      </c>
      <c r="Q255" s="249">
        <f t="shared" si="81"/>
        <v>0</v>
      </c>
      <c r="R255" s="249">
        <f t="shared" si="81"/>
        <v>0</v>
      </c>
      <c r="S255" s="249">
        <f t="shared" si="81"/>
        <v>0</v>
      </c>
      <c r="T255" s="249">
        <f t="shared" si="81"/>
        <v>0</v>
      </c>
      <c r="U255" s="249">
        <f t="shared" si="81"/>
        <v>0</v>
      </c>
      <c r="V255" s="249">
        <f t="shared" si="81"/>
        <v>0</v>
      </c>
      <c r="W255" s="249">
        <f t="shared" si="81"/>
        <v>0</v>
      </c>
      <c r="X255" s="249">
        <f t="shared" si="81"/>
        <v>0</v>
      </c>
      <c r="Y255" s="249">
        <f t="shared" si="81"/>
        <v>0</v>
      </c>
      <c r="Z255" s="249">
        <f t="shared" si="81"/>
        <v>0.43696657798726335</v>
      </c>
      <c r="AA255" s="249">
        <f t="shared" si="81"/>
        <v>1.210396445438036</v>
      </c>
      <c r="AB255" s="249">
        <f t="shared" si="81"/>
        <v>1.7644099613625102</v>
      </c>
      <c r="AC255" s="249">
        <f t="shared" si="81"/>
        <v>2.0895702631674027</v>
      </c>
      <c r="AD255" s="249">
        <f t="shared" si="81"/>
        <v>2.1983647534184101</v>
      </c>
      <c r="AE255" s="249">
        <f t="shared" si="81"/>
        <v>2.0932123736744259</v>
      </c>
      <c r="AF255" s="249">
        <f t="shared" si="81"/>
        <v>1.7766227255466944</v>
      </c>
      <c r="AG255" s="249">
        <f t="shared" si="81"/>
        <v>1.2511954978903148</v>
      </c>
      <c r="AI255" s="694"/>
      <c r="AJ255" s="323"/>
    </row>
    <row r="256" spans="1:36" s="181" customFormat="1" x14ac:dyDescent="0.2">
      <c r="A256" s="181" t="s">
        <v>1398</v>
      </c>
      <c r="B256" s="349" t="s">
        <v>704</v>
      </c>
      <c r="C256" s="249">
        <f>C250*C207+C204*C253+C240+IF(C233&gt;C253,C233-C253,0)</f>
        <v>15.604984394323321</v>
      </c>
      <c r="D256" s="249">
        <f t="shared" ref="D256:AG256" si="82">D250*D207+D204*D253+D240+IF(D233&gt;D253,D233-D253,0)</f>
        <v>16.230633567229404</v>
      </c>
      <c r="E256" s="249">
        <f t="shared" si="82"/>
        <v>16.849142378511683</v>
      </c>
      <c r="F256" s="249">
        <f t="shared" si="82"/>
        <v>17.457286376781646</v>
      </c>
      <c r="G256" s="249">
        <f t="shared" si="82"/>
        <v>18.051715272783895</v>
      </c>
      <c r="H256" s="249">
        <f t="shared" si="82"/>
        <v>18.628979937393467</v>
      </c>
      <c r="I256" s="249">
        <f t="shared" si="82"/>
        <v>19.215349986969976</v>
      </c>
      <c r="J256" s="249">
        <f t="shared" si="82"/>
        <v>19.822196850922602</v>
      </c>
      <c r="K256" s="249">
        <f t="shared" si="82"/>
        <v>20.449580271629998</v>
      </c>
      <c r="L256" s="249">
        <f t="shared" si="82"/>
        <v>21.097506443445209</v>
      </c>
      <c r="M256" s="249">
        <f t="shared" si="82"/>
        <v>21.765925859447929</v>
      </c>
      <c r="N256" s="249">
        <f t="shared" si="82"/>
        <v>21.351574615814094</v>
      </c>
      <c r="O256" s="249">
        <f t="shared" si="82"/>
        <v>20.961018842195166</v>
      </c>
      <c r="P256" s="249">
        <f t="shared" si="82"/>
        <v>20.56360424892134</v>
      </c>
      <c r="Q256" s="249">
        <f t="shared" si="82"/>
        <v>20.183846887987652</v>
      </c>
      <c r="R256" s="249">
        <f t="shared" si="82"/>
        <v>19.825273714699918</v>
      </c>
      <c r="S256" s="249">
        <f t="shared" si="82"/>
        <v>19.521157236350362</v>
      </c>
      <c r="T256" s="249">
        <f t="shared" si="82"/>
        <v>19.276547554050619</v>
      </c>
      <c r="U256" s="249">
        <f t="shared" si="82"/>
        <v>19.092578245760794</v>
      </c>
      <c r="V256" s="249">
        <f t="shared" si="82"/>
        <v>18.970346639319548</v>
      </c>
      <c r="W256" s="249">
        <f t="shared" si="82"/>
        <v>18.910912400294492</v>
      </c>
      <c r="X256" s="249">
        <f t="shared" si="82"/>
        <v>17.853014813232903</v>
      </c>
      <c r="Y256" s="249">
        <f t="shared" si="82"/>
        <v>16.877314043003516</v>
      </c>
      <c r="Z256" s="249">
        <f t="shared" si="82"/>
        <v>16.469617777104634</v>
      </c>
      <c r="AA256" s="249">
        <f t="shared" si="82"/>
        <v>16.528307531688146</v>
      </c>
      <c r="AB256" s="249">
        <f t="shared" si="82"/>
        <v>16.500231535477756</v>
      </c>
      <c r="AC256" s="249">
        <f t="shared" si="82"/>
        <v>16.385218367148976</v>
      </c>
      <c r="AD256" s="249">
        <f t="shared" si="82"/>
        <v>16.193128697647349</v>
      </c>
      <c r="AE256" s="249">
        <f t="shared" si="82"/>
        <v>15.928956694254513</v>
      </c>
      <c r="AF256" s="249">
        <f t="shared" si="82"/>
        <v>15.597729371444611</v>
      </c>
      <c r="AG256" s="249">
        <f t="shared" si="82"/>
        <v>15.204503603110217</v>
      </c>
      <c r="AI256" s="694"/>
      <c r="AJ256" s="323"/>
    </row>
    <row r="257" spans="1:37" s="181" customFormat="1" x14ac:dyDescent="0.2">
      <c r="A257" s="181" t="s">
        <v>1399</v>
      </c>
      <c r="B257" s="349" t="s">
        <v>704</v>
      </c>
      <c r="C257" s="249">
        <f>C236-C255</f>
        <v>87.134330583122093</v>
      </c>
      <c r="D257" s="249">
        <f t="shared" ref="D257:AG257" si="83">D236-D255</f>
        <v>88.948008079739921</v>
      </c>
      <c r="E257" s="249">
        <f t="shared" si="83"/>
        <v>90.549211527395414</v>
      </c>
      <c r="F257" s="249">
        <f t="shared" si="83"/>
        <v>91.925224685150809</v>
      </c>
      <c r="G257" s="249">
        <f t="shared" si="83"/>
        <v>93.064995342532796</v>
      </c>
      <c r="H257" s="249">
        <f t="shared" si="83"/>
        <v>93.959282814457907</v>
      </c>
      <c r="I257" s="249">
        <f t="shared" si="83"/>
        <v>94.690420189823925</v>
      </c>
      <c r="J257" s="249">
        <f t="shared" si="83"/>
        <v>95.367393779852335</v>
      </c>
      <c r="K257" s="249">
        <f t="shared" si="83"/>
        <v>95.988682445511174</v>
      </c>
      <c r="L257" s="249">
        <f t="shared" si="83"/>
        <v>96.552847662642478</v>
      </c>
      <c r="M257" s="249">
        <f t="shared" si="83"/>
        <v>97.058538313573607</v>
      </c>
      <c r="N257" s="249">
        <f t="shared" si="83"/>
        <v>96.778120552800033</v>
      </c>
      <c r="O257" s="249">
        <f t="shared" si="83"/>
        <v>96.519952393695931</v>
      </c>
      <c r="P257" s="249">
        <f t="shared" si="83"/>
        <v>95.787090995780247</v>
      </c>
      <c r="Q257" s="249">
        <f t="shared" si="83"/>
        <v>94.844381833986802</v>
      </c>
      <c r="R257" s="249">
        <f t="shared" si="83"/>
        <v>93.69680639337507</v>
      </c>
      <c r="S257" s="249">
        <f t="shared" si="83"/>
        <v>92.533618477594885</v>
      </c>
      <c r="T257" s="249">
        <f t="shared" si="83"/>
        <v>91.338936790286013</v>
      </c>
      <c r="U257" s="249">
        <f t="shared" si="83"/>
        <v>90.113305964157661</v>
      </c>
      <c r="V257" s="249">
        <f t="shared" si="83"/>
        <v>88.857299292639226</v>
      </c>
      <c r="W257" s="249">
        <f t="shared" si="83"/>
        <v>87.571518584025526</v>
      </c>
      <c r="X257" s="249">
        <f t="shared" si="83"/>
        <v>85.442790388715594</v>
      </c>
      <c r="Y257" s="249">
        <f t="shared" si="83"/>
        <v>84.068239208728826</v>
      </c>
      <c r="Z257" s="249">
        <f t="shared" si="83"/>
        <v>82.225441878734486</v>
      </c>
      <c r="AA257" s="249">
        <f t="shared" si="83"/>
        <v>80.019815102296278</v>
      </c>
      <c r="AB257" s="249">
        <f t="shared" si="83"/>
        <v>78.007954556173132</v>
      </c>
      <c r="AC257" s="249">
        <f t="shared" si="83"/>
        <v>76.190052406448842</v>
      </c>
      <c r="AD257" s="249">
        <f t="shared" si="83"/>
        <v>74.565022137530718</v>
      </c>
      <c r="AE257" s="249">
        <f t="shared" si="83"/>
        <v>73.131200519491784</v>
      </c>
      <c r="AF257" s="249">
        <f t="shared" si="83"/>
        <v>71.886857374742362</v>
      </c>
      <c r="AG257" s="249">
        <f t="shared" si="83"/>
        <v>70.830195868745506</v>
      </c>
      <c r="AI257" s="694"/>
      <c r="AJ257" s="323"/>
    </row>
    <row r="258" spans="1:37" s="181" customFormat="1" x14ac:dyDescent="0.2">
      <c r="B258" s="350"/>
      <c r="C258" s="327"/>
      <c r="D258" s="327"/>
      <c r="E258" s="327"/>
      <c r="F258" s="327"/>
      <c r="G258" s="327"/>
      <c r="H258" s="327"/>
      <c r="I258" s="327"/>
      <c r="J258" s="327"/>
      <c r="K258" s="327"/>
      <c r="L258" s="327"/>
      <c r="M258" s="327"/>
      <c r="N258" s="327"/>
      <c r="O258" s="327"/>
      <c r="P258" s="327"/>
      <c r="Q258" s="327"/>
      <c r="R258" s="327"/>
      <c r="S258" s="327"/>
      <c r="T258" s="327"/>
      <c r="U258" s="327"/>
      <c r="V258" s="327"/>
      <c r="W258" s="327"/>
      <c r="X258" s="327"/>
      <c r="Y258" s="327"/>
      <c r="Z258" s="327"/>
      <c r="AA258" s="327"/>
      <c r="AB258" s="327"/>
      <c r="AC258" s="327"/>
      <c r="AD258" s="327"/>
      <c r="AE258" s="327"/>
      <c r="AF258" s="327"/>
      <c r="AG258" s="327"/>
      <c r="AJ258" s="323"/>
    </row>
    <row r="259" spans="1:37" s="181" customFormat="1" x14ac:dyDescent="0.2">
      <c r="A259" s="181" t="s">
        <v>1400</v>
      </c>
      <c r="B259" s="350" t="s">
        <v>462</v>
      </c>
      <c r="C259" s="296">
        <v>0.8</v>
      </c>
      <c r="D259" s="317">
        <f>C259</f>
        <v>0.8</v>
      </c>
      <c r="E259" s="317">
        <f t="shared" ref="E259:AG259" si="84">D259</f>
        <v>0.8</v>
      </c>
      <c r="F259" s="317">
        <f t="shared" si="84"/>
        <v>0.8</v>
      </c>
      <c r="G259" s="317">
        <f t="shared" si="84"/>
        <v>0.8</v>
      </c>
      <c r="H259" s="317">
        <f t="shared" si="84"/>
        <v>0.8</v>
      </c>
      <c r="I259" s="317">
        <f t="shared" si="84"/>
        <v>0.8</v>
      </c>
      <c r="J259" s="317">
        <f t="shared" si="84"/>
        <v>0.8</v>
      </c>
      <c r="K259" s="317">
        <f t="shared" si="84"/>
        <v>0.8</v>
      </c>
      <c r="L259" s="317">
        <f t="shared" si="84"/>
        <v>0.8</v>
      </c>
      <c r="M259" s="317">
        <f t="shared" si="84"/>
        <v>0.8</v>
      </c>
      <c r="N259" s="317">
        <f t="shared" si="84"/>
        <v>0.8</v>
      </c>
      <c r="O259" s="317">
        <f t="shared" si="84"/>
        <v>0.8</v>
      </c>
      <c r="P259" s="317">
        <f t="shared" si="84"/>
        <v>0.8</v>
      </c>
      <c r="Q259" s="317">
        <f t="shared" si="84"/>
        <v>0.8</v>
      </c>
      <c r="R259" s="317">
        <f t="shared" si="84"/>
        <v>0.8</v>
      </c>
      <c r="S259" s="317">
        <f t="shared" si="84"/>
        <v>0.8</v>
      </c>
      <c r="T259" s="317">
        <f t="shared" si="84"/>
        <v>0.8</v>
      </c>
      <c r="U259" s="317">
        <f t="shared" si="84"/>
        <v>0.8</v>
      </c>
      <c r="V259" s="317">
        <f t="shared" si="84"/>
        <v>0.8</v>
      </c>
      <c r="W259" s="317">
        <f t="shared" si="84"/>
        <v>0.8</v>
      </c>
      <c r="X259" s="317">
        <f t="shared" si="84"/>
        <v>0.8</v>
      </c>
      <c r="Y259" s="317">
        <f t="shared" si="84"/>
        <v>0.8</v>
      </c>
      <c r="Z259" s="317">
        <f t="shared" si="84"/>
        <v>0.8</v>
      </c>
      <c r="AA259" s="317">
        <f t="shared" si="84"/>
        <v>0.8</v>
      </c>
      <c r="AB259" s="317">
        <f t="shared" si="84"/>
        <v>0.8</v>
      </c>
      <c r="AC259" s="317">
        <f t="shared" si="84"/>
        <v>0.8</v>
      </c>
      <c r="AD259" s="317">
        <f t="shared" si="84"/>
        <v>0.8</v>
      </c>
      <c r="AE259" s="317">
        <f t="shared" si="84"/>
        <v>0.8</v>
      </c>
      <c r="AF259" s="317">
        <f t="shared" si="84"/>
        <v>0.8</v>
      </c>
      <c r="AG259" s="317">
        <f t="shared" si="84"/>
        <v>0.8</v>
      </c>
      <c r="AJ259" s="323" t="s">
        <v>1401</v>
      </c>
    </row>
    <row r="260" spans="1:37" s="181" customFormat="1" x14ac:dyDescent="0.2">
      <c r="B260" s="350"/>
      <c r="C260" s="327"/>
      <c r="D260" s="327"/>
      <c r="E260" s="327"/>
      <c r="F260" s="327"/>
      <c r="G260" s="327"/>
      <c r="H260" s="327"/>
      <c r="I260" s="327"/>
      <c r="J260" s="327"/>
      <c r="K260" s="327"/>
      <c r="L260" s="327"/>
      <c r="M260" s="327"/>
      <c r="N260" s="327"/>
      <c r="O260" s="327"/>
      <c r="P260" s="327"/>
      <c r="Q260" s="327"/>
      <c r="R260" s="327"/>
      <c r="S260" s="327"/>
      <c r="T260" s="327"/>
      <c r="U260" s="327"/>
      <c r="V260" s="327"/>
      <c r="W260" s="327"/>
      <c r="X260" s="327"/>
      <c r="Y260" s="327"/>
      <c r="Z260" s="327"/>
      <c r="AA260" s="327"/>
      <c r="AB260" s="327"/>
      <c r="AC260" s="327"/>
      <c r="AD260" s="327"/>
      <c r="AE260" s="327"/>
      <c r="AF260" s="327"/>
      <c r="AG260" s="327"/>
      <c r="AJ260" s="323"/>
    </row>
    <row r="261" spans="1:37" s="181" customFormat="1" x14ac:dyDescent="0.2">
      <c r="A261" s="181" t="s">
        <v>1402</v>
      </c>
      <c r="B261" s="350" t="s">
        <v>704</v>
      </c>
      <c r="C261" s="327">
        <f>C195*C256*C259</f>
        <v>2.7464772534009043</v>
      </c>
      <c r="D261" s="327">
        <f t="shared" ref="D261:AF261" si="85">D195*D256*D259</f>
        <v>2.9431548868575987</v>
      </c>
      <c r="E261" s="327">
        <f t="shared" si="85"/>
        <v>3.1451732439888471</v>
      </c>
      <c r="F261" s="327">
        <f t="shared" si="85"/>
        <v>3.3517989843420759</v>
      </c>
      <c r="G261" s="327">
        <f t="shared" si="85"/>
        <v>3.5622051471626879</v>
      </c>
      <c r="H261" s="327">
        <f t="shared" si="85"/>
        <v>3.7754732673117424</v>
      </c>
      <c r="I261" s="327">
        <f t="shared" si="85"/>
        <v>3.9967927972897543</v>
      </c>
      <c r="J261" s="327">
        <f t="shared" si="85"/>
        <v>4.2287353281968212</v>
      </c>
      <c r="K261" s="327">
        <f t="shared" si="85"/>
        <v>4.4716415527297588</v>
      </c>
      <c r="L261" s="327">
        <f t="shared" si="85"/>
        <v>4.725841443331726</v>
      </c>
      <c r="M261" s="327">
        <f t="shared" si="85"/>
        <v>4.9916523304333902</v>
      </c>
      <c r="N261" s="327">
        <f t="shared" si="85"/>
        <v>5.0105028431777061</v>
      </c>
      <c r="O261" s="327">
        <f t="shared" si="85"/>
        <v>5.0306445221268383</v>
      </c>
      <c r="P261" s="327">
        <f t="shared" si="85"/>
        <v>5.0449375757353669</v>
      </c>
      <c r="Q261" s="327">
        <f t="shared" si="85"/>
        <v>5.059417619922236</v>
      </c>
      <c r="R261" s="327">
        <f t="shared" si="85"/>
        <v>5.0752700709631773</v>
      </c>
      <c r="S261" s="327">
        <f t="shared" si="85"/>
        <v>5.1015290910995592</v>
      </c>
      <c r="T261" s="327">
        <f t="shared" si="85"/>
        <v>5.1404126810801625</v>
      </c>
      <c r="U261" s="327">
        <f t="shared" si="85"/>
        <v>5.1931812828469335</v>
      </c>
      <c r="V261" s="327">
        <f t="shared" si="85"/>
        <v>5.2611094679712851</v>
      </c>
      <c r="W261" s="327">
        <f t="shared" si="85"/>
        <v>5.3454845718165735</v>
      </c>
      <c r="X261" s="327">
        <f t="shared" si="85"/>
        <v>5.1416682662110738</v>
      </c>
      <c r="Y261" s="327">
        <f t="shared" si="85"/>
        <v>4.9506787859476944</v>
      </c>
      <c r="Z261" s="327">
        <f t="shared" si="85"/>
        <v>4.9189258427619142</v>
      </c>
      <c r="AA261" s="327">
        <f t="shared" si="85"/>
        <v>5.0246054896331929</v>
      </c>
      <c r="AB261" s="327">
        <f t="shared" si="85"/>
        <v>5.1040716216411157</v>
      </c>
      <c r="AC261" s="327">
        <f t="shared" si="85"/>
        <v>5.1558820461962078</v>
      </c>
      <c r="AD261" s="327">
        <f t="shared" si="85"/>
        <v>5.1818011832471482</v>
      </c>
      <c r="AE261" s="327">
        <f t="shared" si="85"/>
        <v>5.1822205778641308</v>
      </c>
      <c r="AF261" s="327">
        <f t="shared" si="85"/>
        <v>5.1576491788243475</v>
      </c>
      <c r="AG261" s="327">
        <f>AG195*AG256*AG259</f>
        <v>5.1087132106450328</v>
      </c>
      <c r="AJ261" s="323"/>
    </row>
    <row r="262" spans="1:37" s="181" customFormat="1" x14ac:dyDescent="0.2">
      <c r="A262" s="181" t="s">
        <v>1403</v>
      </c>
      <c r="B262" s="350" t="s">
        <v>704</v>
      </c>
      <c r="C262" s="327">
        <f>C256*C259-C261</f>
        <v>9.7375102620577536</v>
      </c>
      <c r="D262" s="327">
        <f t="shared" ref="D262:AG262" si="86">D256*D259-D261</f>
        <v>10.041351966925925</v>
      </c>
      <c r="E262" s="327">
        <f t="shared" si="86"/>
        <v>10.3341406588205</v>
      </c>
      <c r="F262" s="327">
        <f t="shared" si="86"/>
        <v>10.614030117083242</v>
      </c>
      <c r="G262" s="327">
        <f t="shared" si="86"/>
        <v>10.879167071064428</v>
      </c>
      <c r="H262" s="327">
        <f t="shared" si="86"/>
        <v>11.127710682603032</v>
      </c>
      <c r="I262" s="327">
        <f t="shared" si="86"/>
        <v>11.375487192286226</v>
      </c>
      <c r="J262" s="327">
        <f t="shared" si="86"/>
        <v>11.62902215254126</v>
      </c>
      <c r="K262" s="327">
        <f t="shared" si="86"/>
        <v>11.888022664574239</v>
      </c>
      <c r="L262" s="327">
        <f t="shared" si="86"/>
        <v>12.152163711424441</v>
      </c>
      <c r="M262" s="327">
        <f t="shared" si="86"/>
        <v>12.421088357124955</v>
      </c>
      <c r="N262" s="327">
        <f t="shared" si="86"/>
        <v>12.07075684947357</v>
      </c>
      <c r="O262" s="327">
        <f t="shared" si="86"/>
        <v>11.738170551629295</v>
      </c>
      <c r="P262" s="327">
        <f t="shared" si="86"/>
        <v>11.405945823401705</v>
      </c>
      <c r="Q262" s="327">
        <f t="shared" si="86"/>
        <v>11.087659890467886</v>
      </c>
      <c r="R262" s="327">
        <f t="shared" si="86"/>
        <v>10.784948900796756</v>
      </c>
      <c r="S262" s="327">
        <f t="shared" si="86"/>
        <v>10.515396697980732</v>
      </c>
      <c r="T262" s="327">
        <f t="shared" si="86"/>
        <v>10.280825362160334</v>
      </c>
      <c r="U262" s="327">
        <f t="shared" si="86"/>
        <v>10.080881313761704</v>
      </c>
      <c r="V262" s="327">
        <f t="shared" si="86"/>
        <v>9.9151678434843546</v>
      </c>
      <c r="W262" s="327">
        <f t="shared" si="86"/>
        <v>9.7832453484190207</v>
      </c>
      <c r="X262" s="327">
        <f t="shared" si="86"/>
        <v>9.1407435843752491</v>
      </c>
      <c r="Y262" s="327">
        <f t="shared" si="86"/>
        <v>8.5511724484551195</v>
      </c>
      <c r="Z262" s="327">
        <f t="shared" si="86"/>
        <v>8.2567683789217945</v>
      </c>
      <c r="AA262" s="327">
        <f t="shared" si="86"/>
        <v>8.1980405357173254</v>
      </c>
      <c r="AB262" s="327">
        <f t="shared" si="86"/>
        <v>8.0961136067410884</v>
      </c>
      <c r="AC262" s="327">
        <f t="shared" si="86"/>
        <v>7.9522926475229738</v>
      </c>
      <c r="AD262" s="327">
        <f t="shared" si="86"/>
        <v>7.7727017748707317</v>
      </c>
      <c r="AE262" s="327">
        <f t="shared" si="86"/>
        <v>7.5609447775394809</v>
      </c>
      <c r="AF262" s="327">
        <f t="shared" si="86"/>
        <v>7.3205343183313429</v>
      </c>
      <c r="AG262" s="327">
        <f t="shared" si="86"/>
        <v>7.0548896718431413</v>
      </c>
      <c r="AJ262" s="323"/>
    </row>
    <row r="263" spans="1:37" s="181" customFormat="1" x14ac:dyDescent="0.2">
      <c r="B263" s="176"/>
      <c r="C263" s="327"/>
      <c r="D263" s="327"/>
      <c r="E263" s="327"/>
      <c r="F263" s="327"/>
      <c r="G263" s="327"/>
      <c r="H263" s="327"/>
      <c r="I263" s="327"/>
      <c r="J263" s="327"/>
      <c r="K263" s="327"/>
      <c r="L263" s="327"/>
      <c r="M263" s="327"/>
      <c r="N263" s="327"/>
      <c r="O263" s="327"/>
      <c r="P263" s="327"/>
      <c r="Q263" s="327"/>
      <c r="R263" s="327"/>
      <c r="S263" s="327"/>
      <c r="T263" s="327"/>
      <c r="U263" s="327"/>
      <c r="V263" s="327"/>
      <c r="W263" s="327"/>
      <c r="X263" s="327"/>
      <c r="Y263" s="327"/>
      <c r="Z263" s="327"/>
      <c r="AA263" s="327"/>
      <c r="AB263" s="327"/>
      <c r="AC263" s="327"/>
      <c r="AD263" s="327"/>
      <c r="AE263" s="327"/>
      <c r="AF263" s="327"/>
      <c r="AG263" s="327"/>
      <c r="AJ263" s="323"/>
    </row>
    <row r="264" spans="1:37" s="181" customFormat="1" x14ac:dyDescent="0.2">
      <c r="B264" s="210" t="s">
        <v>492</v>
      </c>
      <c r="C264" s="331">
        <v>0</v>
      </c>
      <c r="D264" s="331">
        <f>C264+1</f>
        <v>1</v>
      </c>
      <c r="E264" s="331">
        <f t="shared" ref="E264:AG264" si="87">D264+1</f>
        <v>2</v>
      </c>
      <c r="F264" s="331">
        <f t="shared" si="87"/>
        <v>3</v>
      </c>
      <c r="G264" s="331">
        <f t="shared" si="87"/>
        <v>4</v>
      </c>
      <c r="H264" s="331">
        <f t="shared" si="87"/>
        <v>5</v>
      </c>
      <c r="I264" s="331">
        <f t="shared" si="87"/>
        <v>6</v>
      </c>
      <c r="J264" s="331">
        <f t="shared" si="87"/>
        <v>7</v>
      </c>
      <c r="K264" s="331">
        <f t="shared" si="87"/>
        <v>8</v>
      </c>
      <c r="L264" s="331">
        <f t="shared" si="87"/>
        <v>9</v>
      </c>
      <c r="M264" s="331">
        <f t="shared" si="87"/>
        <v>10</v>
      </c>
      <c r="N264" s="331">
        <f t="shared" si="87"/>
        <v>11</v>
      </c>
      <c r="O264" s="331">
        <f t="shared" si="87"/>
        <v>12</v>
      </c>
      <c r="P264" s="331">
        <f t="shared" si="87"/>
        <v>13</v>
      </c>
      <c r="Q264" s="331">
        <f t="shared" si="87"/>
        <v>14</v>
      </c>
      <c r="R264" s="331">
        <f t="shared" si="87"/>
        <v>15</v>
      </c>
      <c r="S264" s="331">
        <f t="shared" si="87"/>
        <v>16</v>
      </c>
      <c r="T264" s="331">
        <f t="shared" si="87"/>
        <v>17</v>
      </c>
      <c r="U264" s="331">
        <f t="shared" si="87"/>
        <v>18</v>
      </c>
      <c r="V264" s="331">
        <f t="shared" si="87"/>
        <v>19</v>
      </c>
      <c r="W264" s="331">
        <f t="shared" si="87"/>
        <v>20</v>
      </c>
      <c r="X264" s="331">
        <f t="shared" si="87"/>
        <v>21</v>
      </c>
      <c r="Y264" s="331">
        <f t="shared" si="87"/>
        <v>22</v>
      </c>
      <c r="Z264" s="331">
        <f t="shared" si="87"/>
        <v>23</v>
      </c>
      <c r="AA264" s="331">
        <f t="shared" si="87"/>
        <v>24</v>
      </c>
      <c r="AB264" s="331">
        <f t="shared" si="87"/>
        <v>25</v>
      </c>
      <c r="AC264" s="331">
        <f t="shared" si="87"/>
        <v>26</v>
      </c>
      <c r="AD264" s="331">
        <f t="shared" si="87"/>
        <v>27</v>
      </c>
      <c r="AE264" s="331">
        <f t="shared" si="87"/>
        <v>28</v>
      </c>
      <c r="AF264" s="331">
        <f t="shared" si="87"/>
        <v>29</v>
      </c>
      <c r="AG264" s="331">
        <f t="shared" si="87"/>
        <v>30</v>
      </c>
      <c r="AJ264" s="323" t="s">
        <v>493</v>
      </c>
      <c r="AK264" s="181">
        <f>'Ethylene Recycling HC'!AK306</f>
        <v>1.9</v>
      </c>
    </row>
    <row r="265" spans="1:37" s="181" customFormat="1" x14ac:dyDescent="0.2">
      <c r="A265" s="181" t="s">
        <v>1404</v>
      </c>
      <c r="B265" s="176"/>
      <c r="C265" s="333">
        <f>$AK$266/((1+EXP(-$AK$265*(C264-$AK$267)))^$AK$264)</f>
        <v>4.6088632748610021E-5</v>
      </c>
      <c r="D265" s="333">
        <f t="shared" ref="D265:AG265" si="88">$AK$266/((1+EXP(-$AK$265*(D264-$AK$267)))^$AK$264)</f>
        <v>8.924759460408035E-5</v>
      </c>
      <c r="E265" s="333">
        <f t="shared" si="88"/>
        <v>1.7252431976790472E-4</v>
      </c>
      <c r="F265" s="333">
        <f t="shared" si="88"/>
        <v>3.3269643715580369E-4</v>
      </c>
      <c r="G265" s="333">
        <f t="shared" si="88"/>
        <v>6.393827369910735E-4</v>
      </c>
      <c r="H265" s="333">
        <f t="shared" si="88"/>
        <v>1.2229053771654547E-3</v>
      </c>
      <c r="I265" s="333">
        <f t="shared" si="88"/>
        <v>2.3234018804222717E-3</v>
      </c>
      <c r="J265" s="333">
        <f t="shared" si="88"/>
        <v>4.3736281679830789E-3</v>
      </c>
      <c r="K265" s="333">
        <f t="shared" si="88"/>
        <v>8.1294184230466908E-3</v>
      </c>
      <c r="L265" s="333">
        <f t="shared" si="88"/>
        <v>1.4853985082038716E-2</v>
      </c>
      <c r="M265" s="333">
        <f t="shared" si="88"/>
        <v>2.6531412096832362E-2</v>
      </c>
      <c r="N265" s="333">
        <f t="shared" si="88"/>
        <v>4.6014759335105015E-2</v>
      </c>
      <c r="O265" s="333">
        <f t="shared" si="88"/>
        <v>7.6910635328419796E-2</v>
      </c>
      <c r="P265" s="333">
        <f t="shared" si="88"/>
        <v>0.12294065829885638</v>
      </c>
      <c r="Q265" s="333">
        <f t="shared" si="88"/>
        <v>0.18666754187878853</v>
      </c>
      <c r="R265" s="333">
        <f t="shared" si="88"/>
        <v>0.26794336563407328</v>
      </c>
      <c r="S265" s="333">
        <f t="shared" si="88"/>
        <v>0.36297326582455031</v>
      </c>
      <c r="T265" s="333">
        <f t="shared" si="88"/>
        <v>0.46484396312424381</v>
      </c>
      <c r="U265" s="333">
        <f t="shared" si="88"/>
        <v>0.56546260593861253</v>
      </c>
      <c r="V265" s="333">
        <f t="shared" si="88"/>
        <v>0.6578403022607352</v>
      </c>
      <c r="W265" s="333">
        <f t="shared" si="88"/>
        <v>0.73754668886795227</v>
      </c>
      <c r="X265" s="333">
        <f t="shared" si="88"/>
        <v>0.80293052021410605</v>
      </c>
      <c r="Y265" s="333">
        <f t="shared" si="88"/>
        <v>0.85447682949112158</v>
      </c>
      <c r="Z265" s="333">
        <f t="shared" si="88"/>
        <v>0.89389910336617451</v>
      </c>
      <c r="AA265" s="333">
        <f t="shared" si="88"/>
        <v>0.92337223319290385</v>
      </c>
      <c r="AB265" s="333">
        <f t="shared" si="88"/>
        <v>0.94504210708611314</v>
      </c>
      <c r="AC265" s="333">
        <f t="shared" si="88"/>
        <v>0.96078240575184182</v>
      </c>
      <c r="AD265" s="333">
        <f t="shared" si="88"/>
        <v>0.97211605463477313</v>
      </c>
      <c r="AE265" s="333">
        <f t="shared" si="88"/>
        <v>0.98022577885232642</v>
      </c>
      <c r="AF265" s="333">
        <f t="shared" si="88"/>
        <v>0.98600279580400285</v>
      </c>
      <c r="AG265" s="333">
        <f t="shared" si="88"/>
        <v>0.9901050637460882</v>
      </c>
      <c r="AI265" s="176" t="s">
        <v>494</v>
      </c>
      <c r="AJ265" s="323" t="s">
        <v>495</v>
      </c>
      <c r="AK265" s="181">
        <f>'Ethylene Recycling HC'!AK307</f>
        <v>0.35</v>
      </c>
    </row>
    <row r="266" spans="1:37" s="181" customFormat="1" x14ac:dyDescent="0.2">
      <c r="B266" s="176"/>
      <c r="C266" s="329">
        <v>0</v>
      </c>
      <c r="D266" s="329">
        <v>0</v>
      </c>
      <c r="E266" s="329">
        <v>0</v>
      </c>
      <c r="F266" s="329">
        <v>0</v>
      </c>
      <c r="G266" s="329">
        <v>0</v>
      </c>
      <c r="H266" s="329">
        <v>0</v>
      </c>
      <c r="I266" s="329">
        <v>0</v>
      </c>
      <c r="J266" s="329">
        <v>0</v>
      </c>
      <c r="K266" s="329">
        <v>0</v>
      </c>
      <c r="L266" s="329">
        <v>0</v>
      </c>
      <c r="M266" s="329">
        <f>C265</f>
        <v>4.6088632748610021E-5</v>
      </c>
      <c r="N266" s="329">
        <v>0</v>
      </c>
      <c r="O266" s="329">
        <v>0</v>
      </c>
      <c r="P266" s="329">
        <v>0</v>
      </c>
      <c r="Q266" s="329">
        <v>0</v>
      </c>
      <c r="R266" s="329">
        <f t="shared" ref="R266:AG266" si="89">C265</f>
        <v>4.6088632748610021E-5</v>
      </c>
      <c r="S266" s="329">
        <f t="shared" si="89"/>
        <v>8.924759460408035E-5</v>
      </c>
      <c r="T266" s="329">
        <f t="shared" si="89"/>
        <v>1.7252431976790472E-4</v>
      </c>
      <c r="U266" s="329">
        <f t="shared" si="89"/>
        <v>3.3269643715580369E-4</v>
      </c>
      <c r="V266" s="329">
        <f t="shared" si="89"/>
        <v>6.393827369910735E-4</v>
      </c>
      <c r="W266" s="329">
        <f t="shared" si="89"/>
        <v>1.2229053771654547E-3</v>
      </c>
      <c r="X266" s="329">
        <f t="shared" si="89"/>
        <v>2.3234018804222717E-3</v>
      </c>
      <c r="Y266" s="329">
        <f t="shared" si="89"/>
        <v>4.3736281679830789E-3</v>
      </c>
      <c r="Z266" s="329">
        <f t="shared" si="89"/>
        <v>8.1294184230466908E-3</v>
      </c>
      <c r="AA266" s="329">
        <f t="shared" si="89"/>
        <v>1.4853985082038716E-2</v>
      </c>
      <c r="AB266" s="329">
        <f t="shared" si="89"/>
        <v>2.6531412096832362E-2</v>
      </c>
      <c r="AC266" s="329">
        <f t="shared" si="89"/>
        <v>4.6014759335105015E-2</v>
      </c>
      <c r="AD266" s="329">
        <f t="shared" si="89"/>
        <v>7.6910635328419796E-2</v>
      </c>
      <c r="AE266" s="329">
        <f t="shared" si="89"/>
        <v>0.12294065829885638</v>
      </c>
      <c r="AF266" s="329">
        <f t="shared" si="89"/>
        <v>0.18666754187878853</v>
      </c>
      <c r="AG266" s="329">
        <f t="shared" si="89"/>
        <v>0.26794336563407328</v>
      </c>
      <c r="AI266" s="176" t="s">
        <v>496</v>
      </c>
      <c r="AJ266" s="323" t="s">
        <v>497</v>
      </c>
      <c r="AK266" s="181">
        <f>'Ethylene Recycling HC'!AK308</f>
        <v>1</v>
      </c>
    </row>
    <row r="267" spans="1:37" s="181" customFormat="1" x14ac:dyDescent="0.2">
      <c r="B267" s="176"/>
      <c r="C267" s="327"/>
      <c r="D267" s="327"/>
      <c r="E267" s="327"/>
      <c r="F267" s="327"/>
      <c r="G267" s="327"/>
      <c r="H267" s="327"/>
      <c r="I267" s="327"/>
      <c r="J267" s="327"/>
      <c r="K267" s="327"/>
      <c r="L267" s="327"/>
      <c r="M267" s="327"/>
      <c r="N267" s="327"/>
      <c r="O267" s="327"/>
      <c r="P267" s="327"/>
      <c r="Q267" s="327"/>
      <c r="R267" s="327"/>
      <c r="S267" s="327"/>
      <c r="T267" s="327"/>
      <c r="U267" s="327"/>
      <c r="V267" s="327"/>
      <c r="W267" s="327"/>
      <c r="X267" s="327"/>
      <c r="Y267" s="327"/>
      <c r="Z267" s="327"/>
      <c r="AA267" s="327"/>
      <c r="AB267" s="327"/>
      <c r="AC267" s="327"/>
      <c r="AD267" s="327"/>
      <c r="AE267" s="327"/>
      <c r="AF267" s="327"/>
      <c r="AG267" s="327"/>
      <c r="AJ267" s="323" t="s">
        <v>498</v>
      </c>
      <c r="AK267" s="181">
        <f>'Ethylene Recycling HC'!AK309</f>
        <v>15</v>
      </c>
    </row>
    <row r="268" spans="1:37" s="181" customFormat="1" x14ac:dyDescent="0.2">
      <c r="A268" s="181" t="s">
        <v>1405</v>
      </c>
      <c r="B268" s="176"/>
      <c r="C268" s="328">
        <f>'Ethylene Recycling HC'!C310</f>
        <v>8.5469247930390777E-2</v>
      </c>
      <c r="D268" s="328">
        <f>'Ethylene Recycling HC'!D310</f>
        <v>8.5469247930390777E-2</v>
      </c>
      <c r="E268" s="328">
        <f>'Ethylene Recycling HC'!E310</f>
        <v>8.5469247930390777E-2</v>
      </c>
      <c r="F268" s="328">
        <f>'Ethylene Recycling HC'!F310</f>
        <v>8.5469247930390777E-2</v>
      </c>
      <c r="G268" s="328">
        <f>'Ethylene Recycling HC'!G310</f>
        <v>8.5469247930390777E-2</v>
      </c>
      <c r="H268" s="328">
        <f>'Ethylene Recycling HC'!H310</f>
        <v>8.5469247930390777E-2</v>
      </c>
      <c r="I268" s="328">
        <f>'Ethylene Recycling HC'!I310</f>
        <v>8.5469247930390777E-2</v>
      </c>
      <c r="J268" s="328">
        <f>'Ethylene Recycling HC'!J310</f>
        <v>8.5469247930390777E-2</v>
      </c>
      <c r="K268" s="328">
        <f>'Ethylene Recycling HC'!K310</f>
        <v>8.5469247930390777E-2</v>
      </c>
      <c r="L268" s="328">
        <f>'Ethylene Recycling HC'!L310</f>
        <v>8.5469247930390777E-2</v>
      </c>
      <c r="M268" s="328">
        <f>'Ethylene Recycling HC'!M310</f>
        <v>8.5469247930390777E-2</v>
      </c>
      <c r="N268" s="328">
        <f>'Ethylene Recycling HC'!N310</f>
        <v>8.5469247930390777E-2</v>
      </c>
      <c r="O268" s="328">
        <f>'Ethylene Recycling HC'!O310</f>
        <v>8.5469247930390777E-2</v>
      </c>
      <c r="P268" s="328">
        <f>'Ethylene Recycling HC'!P310</f>
        <v>8.5469247930390777E-2</v>
      </c>
      <c r="Q268" s="328">
        <f>'Ethylene Recycling HC'!Q310</f>
        <v>8.5469247930390777E-2</v>
      </c>
      <c r="R268" s="328">
        <f>'Ethylene Recycling HC'!R310</f>
        <v>8.5469247930390777E-2</v>
      </c>
      <c r="S268" s="328">
        <f>'Ethylene Recycling HC'!S310</f>
        <v>8.5469247930390777E-2</v>
      </c>
      <c r="T268" s="328">
        <f>'Ethylene Recycling HC'!T310</f>
        <v>8.5469247930390777E-2</v>
      </c>
      <c r="U268" s="328">
        <f>'Ethylene Recycling HC'!U310</f>
        <v>8.5469247930390777E-2</v>
      </c>
      <c r="V268" s="328">
        <f>'Ethylene Recycling HC'!V310</f>
        <v>8.5469247930390777E-2</v>
      </c>
      <c r="W268" s="328">
        <f>'Ethylene Recycling HC'!W310</f>
        <v>8.5469247930390777E-2</v>
      </c>
      <c r="X268" s="328">
        <f>'Ethylene Recycling HC'!X310</f>
        <v>8.5469247930390777E-2</v>
      </c>
      <c r="Y268" s="328">
        <f>'Ethylene Recycling HC'!Y310</f>
        <v>8.5469247930390777E-2</v>
      </c>
      <c r="Z268" s="328">
        <f>'Ethylene Recycling HC'!Z310</f>
        <v>8.5469247930390777E-2</v>
      </c>
      <c r="AA268" s="328">
        <f>'Ethylene Recycling HC'!AA310</f>
        <v>8.5469247930390777E-2</v>
      </c>
      <c r="AB268" s="328">
        <f>'Ethylene Recycling HC'!AB310</f>
        <v>8.5469247930390777E-2</v>
      </c>
      <c r="AC268" s="328">
        <f>'Ethylene Recycling HC'!AC310</f>
        <v>8.5469247930390777E-2</v>
      </c>
      <c r="AD268" s="328">
        <f>'Ethylene Recycling HC'!AD310</f>
        <v>8.5469247930390777E-2</v>
      </c>
      <c r="AE268" s="328">
        <f>'Ethylene Recycling HC'!AE310</f>
        <v>8.5469247930390777E-2</v>
      </c>
      <c r="AF268" s="328">
        <f>'Ethylene Recycling HC'!AF310</f>
        <v>8.5469247930390777E-2</v>
      </c>
      <c r="AG268" s="328">
        <f>'Ethylene Recycling HC'!AG310</f>
        <v>8.5469247930390777E-2</v>
      </c>
      <c r="AI268" s="181" t="s">
        <v>1406</v>
      </c>
      <c r="AJ268" s="323"/>
    </row>
    <row r="269" spans="1:37" s="300" customFormat="1" ht="16" thickBot="1" x14ac:dyDescent="0.25">
      <c r="A269" s="334" t="s">
        <v>1407</v>
      </c>
      <c r="B269" s="335"/>
      <c r="C269" s="336">
        <f>C268*(C261*C265+C262*C266)</f>
        <v>1.0818815477462023E-5</v>
      </c>
      <c r="D269" s="336">
        <f t="shared" ref="D269:AG269" si="90">D268*(D261*D265+D262*D266)</f>
        <v>2.2450164123469027E-5</v>
      </c>
      <c r="E269" s="336">
        <f t="shared" si="90"/>
        <v>4.6377227113904831E-5</v>
      </c>
      <c r="F269" s="336">
        <f t="shared" si="90"/>
        <v>9.530945749910947E-5</v>
      </c>
      <c r="G269" s="336">
        <f t="shared" si="90"/>
        <v>1.9466582546183984E-4</v>
      </c>
      <c r="H269" s="336">
        <f t="shared" si="90"/>
        <v>3.9461549713766606E-4</v>
      </c>
      <c r="I269" s="336">
        <f t="shared" si="90"/>
        <v>7.936807610126772E-4</v>
      </c>
      <c r="J269" s="336">
        <f t="shared" si="90"/>
        <v>1.5807465564700515E-3</v>
      </c>
      <c r="K269" s="336">
        <f t="shared" si="90"/>
        <v>3.1069648718372862E-3</v>
      </c>
      <c r="L269" s="336">
        <f t="shared" si="90"/>
        <v>5.9997342237784355E-3</v>
      </c>
      <c r="M269" s="336">
        <f t="shared" si="90"/>
        <v>1.1368098515214534E-2</v>
      </c>
      <c r="N269" s="336">
        <f t="shared" si="90"/>
        <v>1.9705540444307054E-2</v>
      </c>
      <c r="O269" s="336">
        <f t="shared" si="90"/>
        <v>3.3068912384060331E-2</v>
      </c>
      <c r="P269" s="336">
        <f t="shared" si="90"/>
        <v>5.3010416144521316E-2</v>
      </c>
      <c r="Q269" s="336">
        <f t="shared" si="90"/>
        <v>8.0719640665498915E-2</v>
      </c>
      <c r="R269" s="336">
        <f t="shared" si="90"/>
        <v>0.11627082711024428</v>
      </c>
      <c r="S269" s="336">
        <f t="shared" si="90"/>
        <v>0.15834521317711944</v>
      </c>
      <c r="T269" s="336">
        <f t="shared" si="90"/>
        <v>0.20437949253555035</v>
      </c>
      <c r="U269" s="336">
        <f t="shared" si="90"/>
        <v>0.25127135776581466</v>
      </c>
      <c r="V269" s="336">
        <f t="shared" si="90"/>
        <v>0.29634832930614946</v>
      </c>
      <c r="W269" s="336">
        <f t="shared" si="90"/>
        <v>0.33798886141920415</v>
      </c>
      <c r="X269" s="336">
        <f t="shared" si="90"/>
        <v>0.35466660969038366</v>
      </c>
      <c r="Y269" s="336">
        <f t="shared" si="90"/>
        <v>0.36475197795011116</v>
      </c>
      <c r="Z269" s="336">
        <f t="shared" si="90"/>
        <v>0.38154721198452102</v>
      </c>
      <c r="AA269" s="336">
        <f t="shared" si="90"/>
        <v>0.40694941078283103</v>
      </c>
      <c r="AB269" s="336">
        <f t="shared" si="90"/>
        <v>0.43062517559905061</v>
      </c>
      <c r="AC269" s="336">
        <f t="shared" si="90"/>
        <v>0.45466251799307533</v>
      </c>
      <c r="AD269" s="336">
        <f t="shared" si="90"/>
        <v>0.48162908839128399</v>
      </c>
      <c r="AE269" s="336">
        <f t="shared" si="90"/>
        <v>0.51360981573295728</v>
      </c>
      <c r="AF269" s="336">
        <f t="shared" si="90"/>
        <v>0.55144439592937589</v>
      </c>
      <c r="AG269" s="336">
        <f t="shared" si="90"/>
        <v>0.59388082156864486</v>
      </c>
      <c r="AJ269" s="326"/>
    </row>
    <row r="270" spans="1:37" s="230" customFormat="1" x14ac:dyDescent="0.2">
      <c r="A270" s="325" t="s">
        <v>1408</v>
      </c>
      <c r="B270" s="324"/>
      <c r="C270" s="330">
        <v>0.25</v>
      </c>
      <c r="D270" s="330">
        <v>0.25</v>
      </c>
      <c r="E270" s="330">
        <v>0.25</v>
      </c>
      <c r="F270" s="330">
        <v>0.25</v>
      </c>
      <c r="G270" s="330">
        <v>0.25</v>
      </c>
      <c r="H270" s="330">
        <v>0.25</v>
      </c>
      <c r="I270" s="330">
        <v>0.25</v>
      </c>
      <c r="J270" s="330">
        <v>0.25</v>
      </c>
      <c r="K270" s="330">
        <v>0.25</v>
      </c>
      <c r="L270" s="330">
        <v>0.25</v>
      </c>
      <c r="M270" s="330">
        <v>0.25</v>
      </c>
      <c r="N270" s="330">
        <v>0.25</v>
      </c>
      <c r="O270" s="330">
        <v>0.25</v>
      </c>
      <c r="P270" s="330">
        <v>0.25</v>
      </c>
      <c r="Q270" s="330">
        <v>0.25</v>
      </c>
      <c r="R270" s="330">
        <v>0.25</v>
      </c>
      <c r="S270" s="330">
        <v>0.25</v>
      </c>
      <c r="T270" s="330">
        <v>0.25</v>
      </c>
      <c r="U270" s="330">
        <v>0.25</v>
      </c>
      <c r="V270" s="330">
        <v>0.25</v>
      </c>
      <c r="W270" s="330">
        <v>0.25</v>
      </c>
      <c r="X270" s="330">
        <v>0.25</v>
      </c>
      <c r="Y270" s="330">
        <v>0.25</v>
      </c>
      <c r="Z270" s="330">
        <v>0.25</v>
      </c>
      <c r="AA270" s="330">
        <v>0.25</v>
      </c>
      <c r="AB270" s="330">
        <v>0.25</v>
      </c>
      <c r="AC270" s="330">
        <v>0.25</v>
      </c>
      <c r="AD270" s="330">
        <v>0.25</v>
      </c>
      <c r="AE270" s="330">
        <v>0.25</v>
      </c>
      <c r="AF270" s="330">
        <v>0.25</v>
      </c>
      <c r="AG270" s="330">
        <v>0.25</v>
      </c>
      <c r="AI270" s="230" t="s">
        <v>1409</v>
      </c>
      <c r="AJ270" s="230" t="s">
        <v>1410</v>
      </c>
    </row>
    <row r="271" spans="1:37" s="230" customFormat="1" ht="16" thickBot="1" x14ac:dyDescent="0.25">
      <c r="A271" s="301" t="s">
        <v>1411</v>
      </c>
      <c r="B271" s="335"/>
      <c r="C271" s="336">
        <f>C270*(C261*C265+C262*C266)</f>
        <v>3.1645345371101353E-5</v>
      </c>
      <c r="D271" s="336">
        <f t="shared" ref="D271:AF271" si="91">D270*(D261*D265+D262*D266)</f>
        <v>6.5667373549821236E-5</v>
      </c>
      <c r="E271" s="336">
        <f t="shared" si="91"/>
        <v>1.3565471861784752E-4</v>
      </c>
      <c r="F271" s="336">
        <f t="shared" si="91"/>
        <v>2.7878289503826251E-4</v>
      </c>
      <c r="G271" s="336">
        <f t="shared" si="91"/>
        <v>5.6940311917914226E-4</v>
      </c>
      <c r="H271" s="336">
        <f t="shared" si="91"/>
        <v>1.1542616399849894E-3</v>
      </c>
      <c r="I271" s="336">
        <f t="shared" si="91"/>
        <v>2.3215389752203018E-3</v>
      </c>
      <c r="J271" s="336">
        <f t="shared" si="91"/>
        <v>4.6237289865866966E-3</v>
      </c>
      <c r="K271" s="336">
        <f t="shared" si="91"/>
        <v>9.0879613050056027E-3</v>
      </c>
      <c r="L271" s="336">
        <f t="shared" si="91"/>
        <v>1.7549394574832441E-2</v>
      </c>
      <c r="M271" s="336">
        <f t="shared" si="91"/>
        <v>3.3252014000617863E-2</v>
      </c>
      <c r="N271" s="336">
        <f t="shared" si="91"/>
        <v>5.7639270619170395E-2</v>
      </c>
      <c r="O271" s="336">
        <f t="shared" si="91"/>
        <v>9.6727516577052489E-2</v>
      </c>
      <c r="P271" s="336">
        <f t="shared" si="91"/>
        <v>0.15505698665938566</v>
      </c>
      <c r="Q271" s="336">
        <f t="shared" si="91"/>
        <v>0.23610726261227866</v>
      </c>
      <c r="R271" s="336">
        <f t="shared" si="91"/>
        <v>0.34009550196621424</v>
      </c>
      <c r="S271" s="336">
        <f t="shared" si="91"/>
        <v>0.46316428718923985</v>
      </c>
      <c r="T271" s="336">
        <f t="shared" si="91"/>
        <v>0.59781587379242052</v>
      </c>
      <c r="U271" s="336">
        <f t="shared" si="91"/>
        <v>0.73497592365168318</v>
      </c>
      <c r="V271" s="336">
        <f t="shared" si="91"/>
        <v>0.86682735744763473</v>
      </c>
      <c r="W271" s="336">
        <f t="shared" si="91"/>
        <v>0.988627107420187</v>
      </c>
      <c r="X271" s="336">
        <f t="shared" si="91"/>
        <v>1.0374099991474035</v>
      </c>
      <c r="Y271" s="336">
        <f t="shared" si="91"/>
        <v>1.0669099903838462</v>
      </c>
      <c r="Z271" s="336">
        <f t="shared" si="91"/>
        <v>1.1160365313360039</v>
      </c>
      <c r="AA271" s="336">
        <f t="shared" si="91"/>
        <v>1.1903386909238549</v>
      </c>
      <c r="AB271" s="336">
        <f t="shared" si="91"/>
        <v>1.2595909816293436</v>
      </c>
      <c r="AC271" s="336">
        <f t="shared" si="91"/>
        <v>1.329900897113804</v>
      </c>
      <c r="AD271" s="336">
        <f t="shared" si="91"/>
        <v>1.4087788884709154</v>
      </c>
      <c r="AE271" s="336">
        <f t="shared" si="91"/>
        <v>1.5023234326083563</v>
      </c>
      <c r="AF271" s="336">
        <f t="shared" si="91"/>
        <v>1.6129906641348126</v>
      </c>
      <c r="AG271" s="336">
        <f>AG270*(AG261*AG265+AG262*AG266)</f>
        <v>1.7371184254842242</v>
      </c>
      <c r="AJ271" s="325"/>
    </row>
    <row r="272" spans="1:37" s="230" customFormat="1" x14ac:dyDescent="0.2">
      <c r="A272" s="326"/>
      <c r="B272" s="324"/>
      <c r="AJ272" s="325"/>
    </row>
    <row r="273" spans="1:36" s="230" customFormat="1" x14ac:dyDescent="0.2">
      <c r="A273" s="326" t="s">
        <v>1412</v>
      </c>
      <c r="B273" s="324"/>
      <c r="C273" s="230">
        <f t="shared" ref="C273:AG273" si="92">SUM(C242:C243)-SUM(C269,C271)</f>
        <v>66.626767671197413</v>
      </c>
      <c r="D273" s="230">
        <f t="shared" si="92"/>
        <v>68.816299394612798</v>
      </c>
      <c r="E273" s="230">
        <f t="shared" si="92"/>
        <v>70.878855279098673</v>
      </c>
      <c r="F273" s="230">
        <f t="shared" si="92"/>
        <v>72.799378418188738</v>
      </c>
      <c r="G273" s="230">
        <f t="shared" si="92"/>
        <v>74.563573433738071</v>
      </c>
      <c r="H273" s="230">
        <f t="shared" si="92"/>
        <v>76.158035044008528</v>
      </c>
      <c r="I273" s="230">
        <f t="shared" si="92"/>
        <v>77.650464663525355</v>
      </c>
      <c r="J273" s="230">
        <f t="shared" si="92"/>
        <v>79.121128209731097</v>
      </c>
      <c r="K273" s="230">
        <f t="shared" si="92"/>
        <v>80.566754036770817</v>
      </c>
      <c r="L273" s="230">
        <f t="shared" si="92"/>
        <v>81.983005980491342</v>
      </c>
      <c r="M273" s="230">
        <f t="shared" si="92"/>
        <v>83.36368181718224</v>
      </c>
      <c r="N273" s="230">
        <f t="shared" si="92"/>
        <v>83.505347990274487</v>
      </c>
      <c r="O273" s="230">
        <f t="shared" si="92"/>
        <v>83.638656177780348</v>
      </c>
      <c r="P273" s="230">
        <f t="shared" si="92"/>
        <v>83.371795360775209</v>
      </c>
      <c r="Q273" s="230">
        <f t="shared" si="92"/>
        <v>82.905679451151997</v>
      </c>
      <c r="R273" s="230">
        <f t="shared" si="92"/>
        <v>82.243568513247126</v>
      </c>
      <c r="S273" s="230">
        <f t="shared" si="92"/>
        <v>81.552310862933012</v>
      </c>
      <c r="T273" s="230">
        <f t="shared" si="92"/>
        <v>80.834345994055838</v>
      </c>
      <c r="U273" s="230">
        <f t="shared" si="92"/>
        <v>80.104055758055296</v>
      </c>
      <c r="V273" s="230">
        <f t="shared" si="92"/>
        <v>79.374201681043445</v>
      </c>
      <c r="W273" s="230">
        <f t="shared" si="92"/>
        <v>78.653485807991061</v>
      </c>
      <c r="X273" s="230">
        <f t="shared" si="92"/>
        <v>76.681143212852021</v>
      </c>
      <c r="Y273" s="230">
        <f t="shared" si="92"/>
        <v>75.333687940212755</v>
      </c>
      <c r="Z273" s="230">
        <f t="shared" si="92"/>
        <v>73.990628974086192</v>
      </c>
      <c r="AA273" s="230">
        <f t="shared" si="92"/>
        <v>72.650341619024729</v>
      </c>
      <c r="AB273" s="230">
        <f t="shared" si="92"/>
        <v>71.358685046994566</v>
      </c>
      <c r="AC273" s="230">
        <f t="shared" si="92"/>
        <v>70.109684824889726</v>
      </c>
      <c r="AD273" s="230">
        <f t="shared" si="92"/>
        <v>68.903460215757605</v>
      </c>
      <c r="AE273" s="230">
        <f t="shared" si="92"/>
        <v>67.737442880415429</v>
      </c>
      <c r="AF273" s="230">
        <f t="shared" si="92"/>
        <v>66.614044677245829</v>
      </c>
      <c r="AG273" s="230">
        <f t="shared" si="92"/>
        <v>65.543976784730077</v>
      </c>
      <c r="AJ273" s="325"/>
    </row>
    <row r="274" spans="1:36" s="230" customFormat="1" x14ac:dyDescent="0.2">
      <c r="A274" s="326"/>
      <c r="B274" s="324"/>
      <c r="AJ274" s="325"/>
    </row>
    <row r="275" spans="1:36" s="230" customFormat="1" x14ac:dyDescent="0.2">
      <c r="A275" s="325" t="s">
        <v>1413</v>
      </c>
      <c r="B275" s="324" t="s">
        <v>704</v>
      </c>
      <c r="C275" s="327">
        <f>C195*C194*C50</f>
        <v>26.532252911123685</v>
      </c>
      <c r="D275" s="327">
        <f t="shared" ref="D275:AG275" si="93">D195*D194*D50</f>
        <v>28.169975057059755</v>
      </c>
      <c r="E275" s="327">
        <f t="shared" si="93"/>
        <v>29.802357221953574</v>
      </c>
      <c r="F275" s="327">
        <f t="shared" si="93"/>
        <v>31.418699826168222</v>
      </c>
      <c r="G275" s="327">
        <f t="shared" si="93"/>
        <v>33.007992954461216</v>
      </c>
      <c r="H275" s="327">
        <f t="shared" si="93"/>
        <v>34.559039312288768</v>
      </c>
      <c r="I275" s="327">
        <f t="shared" si="93"/>
        <v>36.094753180498202</v>
      </c>
      <c r="J275" s="327">
        <f t="shared" si="93"/>
        <v>37.652734000900772</v>
      </c>
      <c r="K275" s="327">
        <f t="shared" si="93"/>
        <v>39.231258255710678</v>
      </c>
      <c r="L275" s="327">
        <f t="shared" si="93"/>
        <v>40.828502911765206</v>
      </c>
      <c r="M275" s="327">
        <f t="shared" si="93"/>
        <v>42.442547262545745</v>
      </c>
      <c r="N275" s="327">
        <f t="shared" si="93"/>
        <v>43.743058652014327</v>
      </c>
      <c r="O275" s="327">
        <f t="shared" si="93"/>
        <v>45.073294290508969</v>
      </c>
      <c r="P275" s="327">
        <f t="shared" si="93"/>
        <v>46.195081238338133</v>
      </c>
      <c r="Q275" s="327">
        <f t="shared" si="93"/>
        <v>47.218581713575979</v>
      </c>
      <c r="R275" s="327">
        <f t="shared" si="93"/>
        <v>48.136428731093737</v>
      </c>
      <c r="S275" s="327">
        <f t="shared" si="93"/>
        <v>49.038837974505981</v>
      </c>
      <c r="T275" s="327">
        <f t="shared" si="93"/>
        <v>49.916033334370077</v>
      </c>
      <c r="U275" s="327">
        <f t="shared" si="93"/>
        <v>50.766377299532067</v>
      </c>
      <c r="V275" s="327">
        <f t="shared" si="93"/>
        <v>51.588208361383714</v>
      </c>
      <c r="W275" s="327">
        <f t="shared" si="93"/>
        <v>52.379841831505878</v>
      </c>
      <c r="X275" s="327">
        <f t="shared" si="93"/>
        <v>52.638215707810488</v>
      </c>
      <c r="Y275" s="327">
        <f t="shared" si="93"/>
        <v>53.329666092948386</v>
      </c>
      <c r="Z275" s="327">
        <f t="shared" si="93"/>
        <v>53.981987406518364</v>
      </c>
      <c r="AA275" s="327">
        <f t="shared" si="93"/>
        <v>54.595989225191943</v>
      </c>
      <c r="AB275" s="327">
        <f t="shared" si="93"/>
        <v>55.169857860345083</v>
      </c>
      <c r="AC275" s="327">
        <f t="shared" si="93"/>
        <v>55.694653875462521</v>
      </c>
      <c r="AD275" s="327">
        <f t="shared" si="93"/>
        <v>56.175696368206125</v>
      </c>
      <c r="AE275" s="327">
        <f t="shared" si="93"/>
        <v>56.611112269448014</v>
      </c>
      <c r="AF275" s="327">
        <f t="shared" si="93"/>
        <v>56.999008022321973</v>
      </c>
      <c r="AG275" s="327">
        <f t="shared" si="93"/>
        <v>57.337470405278474</v>
      </c>
      <c r="AJ275" s="325"/>
    </row>
    <row r="276" spans="1:36" s="230" customFormat="1" x14ac:dyDescent="0.2">
      <c r="A276" s="230" t="s">
        <v>1414</v>
      </c>
      <c r="B276" s="324" t="s">
        <v>704</v>
      </c>
      <c r="C276" s="327">
        <f>C196*C194*C50</f>
        <v>94.068896684893076</v>
      </c>
      <c r="D276" s="327">
        <f t="shared" ref="D276:AG276" si="94">D196*D194*D50</f>
        <v>96.109326665262699</v>
      </c>
      <c r="E276" s="327">
        <f t="shared" si="94"/>
        <v>97.922030872133192</v>
      </c>
      <c r="F276" s="327">
        <f t="shared" si="94"/>
        <v>99.492549449532717</v>
      </c>
      <c r="G276" s="327">
        <f t="shared" si="94"/>
        <v>100.80819469875996</v>
      </c>
      <c r="H276" s="327">
        <f t="shared" si="94"/>
        <v>101.85822113095638</v>
      </c>
      <c r="I276" s="327">
        <f t="shared" si="94"/>
        <v>102.73122059064876</v>
      </c>
      <c r="J276" s="327">
        <f t="shared" si="94"/>
        <v>103.54501850247715</v>
      </c>
      <c r="K276" s="327">
        <f t="shared" si="94"/>
        <v>104.29773536274305</v>
      </c>
      <c r="L276" s="327">
        <f t="shared" si="94"/>
        <v>104.98757891596772</v>
      </c>
      <c r="M276" s="327">
        <f t="shared" si="94"/>
        <v>105.61285016493945</v>
      </c>
      <c r="N276" s="327">
        <f t="shared" si="94"/>
        <v>105.38100493439821</v>
      </c>
      <c r="O276" s="327">
        <f t="shared" si="94"/>
        <v>105.17102001118766</v>
      </c>
      <c r="P276" s="327">
        <f t="shared" si="94"/>
        <v>104.44105323450367</v>
      </c>
      <c r="Q276" s="327">
        <f t="shared" si="94"/>
        <v>103.47901949996444</v>
      </c>
      <c r="R276" s="327">
        <f t="shared" si="94"/>
        <v>102.28991105357427</v>
      </c>
      <c r="S276" s="327">
        <f t="shared" si="94"/>
        <v>101.08005378418589</v>
      </c>
      <c r="T276" s="327">
        <f t="shared" si="94"/>
        <v>99.832066668740239</v>
      </c>
      <c r="U276" s="327">
        <f t="shared" si="94"/>
        <v>98.546497110856421</v>
      </c>
      <c r="V276" s="327">
        <f t="shared" si="94"/>
        <v>97.223931142607853</v>
      </c>
      <c r="W276" s="327">
        <f t="shared" si="94"/>
        <v>95.864993540680686</v>
      </c>
      <c r="X276" s="327">
        <f t="shared" si="94"/>
        <v>93.579050147218737</v>
      </c>
      <c r="Y276" s="327">
        <f t="shared" si="94"/>
        <v>92.114877796910946</v>
      </c>
      <c r="Z276" s="327">
        <f t="shared" si="94"/>
        <v>90.612621718084498</v>
      </c>
      <c r="AA276" s="327">
        <f t="shared" si="94"/>
        <v>89.077666630576445</v>
      </c>
      <c r="AB276" s="327">
        <f t="shared" si="94"/>
        <v>87.510809019857831</v>
      </c>
      <c r="AC276" s="327">
        <f t="shared" si="94"/>
        <v>85.90192377401857</v>
      </c>
      <c r="AD276" s="327">
        <f t="shared" si="94"/>
        <v>84.263544552309298</v>
      </c>
      <c r="AE276" s="327">
        <f t="shared" si="94"/>
        <v>82.596540852145594</v>
      </c>
      <c r="AF276" s="327">
        <f t="shared" si="94"/>
        <v>80.901817838134519</v>
      </c>
      <c r="AG276" s="327">
        <f t="shared" si="94"/>
        <v>79.180316273956009</v>
      </c>
      <c r="AJ276" s="325"/>
    </row>
    <row r="277" spans="1:36" s="230" customFormat="1" x14ac:dyDescent="0.2">
      <c r="B277" s="324"/>
      <c r="C277" s="317"/>
      <c r="D277" s="317"/>
      <c r="E277" s="317"/>
      <c r="F277" s="317"/>
      <c r="G277" s="317"/>
      <c r="H277" s="317"/>
      <c r="I277" s="317"/>
      <c r="J277" s="317"/>
      <c r="K277" s="317"/>
      <c r="L277" s="317"/>
      <c r="M277" s="317"/>
      <c r="N277" s="317"/>
      <c r="O277" s="317"/>
      <c r="P277" s="317"/>
      <c r="Q277" s="317"/>
      <c r="R277" s="317"/>
      <c r="S277" s="317"/>
      <c r="T277" s="317"/>
      <c r="U277" s="317"/>
      <c r="V277" s="317"/>
      <c r="W277" s="317"/>
      <c r="X277" s="317"/>
      <c r="Y277" s="317"/>
      <c r="Z277" s="317"/>
      <c r="AA277" s="317"/>
      <c r="AB277" s="317"/>
      <c r="AC277" s="317"/>
      <c r="AD277" s="317"/>
      <c r="AE277" s="317"/>
      <c r="AF277" s="317"/>
      <c r="AG277" s="317"/>
      <c r="AJ277" s="325"/>
    </row>
    <row r="278" spans="1:36" s="230" customFormat="1" x14ac:dyDescent="0.2">
      <c r="A278" s="351" t="s">
        <v>233</v>
      </c>
      <c r="B278" s="352" t="s">
        <v>704</v>
      </c>
      <c r="C278" s="304">
        <f>C256-C269-C271</f>
        <v>15.604941930162472</v>
      </c>
      <c r="D278" s="353">
        <f t="shared" ref="D278:AG278" si="95">D256-D269-D271</f>
        <v>16.230545449691729</v>
      </c>
      <c r="E278" s="353">
        <f t="shared" si="95"/>
        <v>16.848960346565949</v>
      </c>
      <c r="F278" s="353">
        <f t="shared" si="95"/>
        <v>17.456912284429109</v>
      </c>
      <c r="G278" s="353">
        <f t="shared" si="95"/>
        <v>18.050951203839254</v>
      </c>
      <c r="H278" s="353">
        <f t="shared" si="95"/>
        <v>18.627431060256345</v>
      </c>
      <c r="I278" s="353">
        <f t="shared" si="95"/>
        <v>19.212234767233742</v>
      </c>
      <c r="J278" s="353">
        <f t="shared" si="95"/>
        <v>19.815992375379544</v>
      </c>
      <c r="K278" s="353">
        <f t="shared" si="95"/>
        <v>20.437385345453155</v>
      </c>
      <c r="L278" s="353">
        <f t="shared" si="95"/>
        <v>21.073957314646599</v>
      </c>
      <c r="M278" s="353">
        <f t="shared" si="95"/>
        <v>21.721305746932099</v>
      </c>
      <c r="N278" s="353">
        <f t="shared" si="95"/>
        <v>21.274229804750618</v>
      </c>
      <c r="O278" s="353">
        <f t="shared" si="95"/>
        <v>20.831222413234055</v>
      </c>
      <c r="P278" s="353">
        <f t="shared" si="95"/>
        <v>20.355536846117435</v>
      </c>
      <c r="Q278" s="353">
        <f t="shared" si="95"/>
        <v>19.867019984709874</v>
      </c>
      <c r="R278" s="353">
        <f t="shared" si="95"/>
        <v>19.368907385623459</v>
      </c>
      <c r="S278" s="353">
        <f t="shared" si="95"/>
        <v>18.899647735984001</v>
      </c>
      <c r="T278" s="353">
        <f t="shared" si="95"/>
        <v>18.474352187722648</v>
      </c>
      <c r="U278" s="353">
        <f t="shared" si="95"/>
        <v>18.106330964343297</v>
      </c>
      <c r="V278" s="353">
        <f t="shared" si="95"/>
        <v>17.807170952565766</v>
      </c>
      <c r="W278" s="353">
        <f t="shared" si="95"/>
        <v>17.584296431455101</v>
      </c>
      <c r="X278" s="353">
        <f t="shared" si="95"/>
        <v>16.460938204395116</v>
      </c>
      <c r="Y278" s="353">
        <f t="shared" si="95"/>
        <v>15.445652074669558</v>
      </c>
      <c r="Z278" s="353">
        <f t="shared" si="95"/>
        <v>14.972034033784109</v>
      </c>
      <c r="AA278" s="353">
        <f t="shared" si="95"/>
        <v>14.931019429981458</v>
      </c>
      <c r="AB278" s="353">
        <f t="shared" si="95"/>
        <v>14.810015378249361</v>
      </c>
      <c r="AC278" s="353">
        <f t="shared" si="95"/>
        <v>14.600654952042097</v>
      </c>
      <c r="AD278" s="353">
        <f t="shared" si="95"/>
        <v>14.30272072078515</v>
      </c>
      <c r="AE278" s="353">
        <f t="shared" si="95"/>
        <v>13.913023445913199</v>
      </c>
      <c r="AF278" s="353">
        <f t="shared" si="95"/>
        <v>13.433294311380422</v>
      </c>
      <c r="AG278" s="354">
        <f t="shared" si="95"/>
        <v>12.873504356057348</v>
      </c>
      <c r="AI278" s="230" t="s">
        <v>1415</v>
      </c>
      <c r="AJ278" s="325"/>
    </row>
    <row r="279" spans="1:36" s="230" customFormat="1" x14ac:dyDescent="0.2">
      <c r="A279" s="355" t="s">
        <v>234</v>
      </c>
      <c r="B279" s="356" t="s">
        <v>704</v>
      </c>
      <c r="C279" s="357">
        <f>C257+C278</f>
        <v>102.73927251328456</v>
      </c>
      <c r="D279" s="357">
        <f t="shared" ref="D279:AF279" si="96">D257+D278</f>
        <v>105.17855352943165</v>
      </c>
      <c r="E279" s="357">
        <f t="shared" si="96"/>
        <v>107.39817187396136</v>
      </c>
      <c r="F279" s="357">
        <f t="shared" si="96"/>
        <v>109.38213696957992</v>
      </c>
      <c r="G279" s="357">
        <f t="shared" si="96"/>
        <v>111.11594654637204</v>
      </c>
      <c r="H279" s="357">
        <f t="shared" si="96"/>
        <v>112.58671387471425</v>
      </c>
      <c r="I279" s="357">
        <f t="shared" si="96"/>
        <v>113.90265495705766</v>
      </c>
      <c r="J279" s="357">
        <f t="shared" si="96"/>
        <v>115.18338615523189</v>
      </c>
      <c r="K279" s="357">
        <f t="shared" si="96"/>
        <v>116.42606779096432</v>
      </c>
      <c r="L279" s="357">
        <f t="shared" si="96"/>
        <v>117.62680497728908</v>
      </c>
      <c r="M279" s="357">
        <f t="shared" si="96"/>
        <v>118.77984406050571</v>
      </c>
      <c r="N279" s="357">
        <f t="shared" si="96"/>
        <v>118.05235035755065</v>
      </c>
      <c r="O279" s="357">
        <f t="shared" si="96"/>
        <v>117.35117480692999</v>
      </c>
      <c r="P279" s="357">
        <f t="shared" si="96"/>
        <v>116.14262784189768</v>
      </c>
      <c r="Q279" s="357">
        <f t="shared" si="96"/>
        <v>114.71140181869667</v>
      </c>
      <c r="R279" s="357">
        <f t="shared" si="96"/>
        <v>113.06571377899853</v>
      </c>
      <c r="S279" s="357">
        <f t="shared" si="96"/>
        <v>111.43326621357889</v>
      </c>
      <c r="T279" s="357">
        <f t="shared" si="96"/>
        <v>109.81328897800866</v>
      </c>
      <c r="U279" s="357">
        <f t="shared" si="96"/>
        <v>108.21963692850096</v>
      </c>
      <c r="V279" s="357">
        <f t="shared" si="96"/>
        <v>106.664470245205</v>
      </c>
      <c r="W279" s="357">
        <f t="shared" si="96"/>
        <v>105.15581501548063</v>
      </c>
      <c r="X279" s="357">
        <f t="shared" si="96"/>
        <v>101.90372859311071</v>
      </c>
      <c r="Y279" s="357">
        <f t="shared" si="96"/>
        <v>99.51389128339838</v>
      </c>
      <c r="Z279" s="357">
        <f t="shared" si="96"/>
        <v>97.197475912518598</v>
      </c>
      <c r="AA279" s="357">
        <f t="shared" si="96"/>
        <v>94.950834532277739</v>
      </c>
      <c r="AB279" s="357">
        <f t="shared" si="96"/>
        <v>92.817969934422493</v>
      </c>
      <c r="AC279" s="357">
        <f t="shared" si="96"/>
        <v>90.790707358490934</v>
      </c>
      <c r="AD279" s="357">
        <f t="shared" si="96"/>
        <v>88.867742858315864</v>
      </c>
      <c r="AE279" s="357">
        <f t="shared" si="96"/>
        <v>87.044223965404981</v>
      </c>
      <c r="AF279" s="357">
        <f t="shared" si="96"/>
        <v>85.320151686122784</v>
      </c>
      <c r="AG279" s="358">
        <f>AG257+AG278</f>
        <v>83.703700224802859</v>
      </c>
      <c r="AI279" s="230" t="s">
        <v>1416</v>
      </c>
      <c r="AJ279" s="325"/>
    </row>
    <row r="280" spans="1:36" x14ac:dyDescent="0.2">
      <c r="B280" s="130"/>
      <c r="C280" s="230"/>
      <c r="D280" s="230"/>
      <c r="E280" s="230"/>
      <c r="F280" s="230"/>
      <c r="G280" s="230"/>
      <c r="H280" s="230"/>
      <c r="I280" s="230"/>
      <c r="J280" s="230"/>
      <c r="K280" s="230"/>
      <c r="L280" s="230"/>
      <c r="M280" s="230"/>
      <c r="N280" s="230"/>
      <c r="O280" s="230"/>
      <c r="P280" s="230"/>
      <c r="Q280" s="230"/>
      <c r="R280" s="230"/>
      <c r="S280" s="230"/>
      <c r="T280" s="230"/>
      <c r="U280" s="230"/>
      <c r="V280" s="230"/>
      <c r="W280" s="230"/>
      <c r="X280" s="230"/>
      <c r="Y280" s="230"/>
      <c r="Z280" s="230"/>
      <c r="AA280" s="230"/>
      <c r="AB280" s="230"/>
      <c r="AC280" s="230"/>
      <c r="AD280" s="230"/>
      <c r="AE280" s="230"/>
      <c r="AF280" s="230"/>
      <c r="AG280" s="230"/>
      <c r="AI280" s="23"/>
    </row>
    <row r="281" spans="1:36" ht="16" thickBot="1" x14ac:dyDescent="0.25">
      <c r="A281" s="200" t="s">
        <v>1417</v>
      </c>
      <c r="B281" s="235"/>
      <c r="C281" s="236"/>
      <c r="D281" s="222"/>
      <c r="E281" s="222"/>
      <c r="F281" s="222"/>
      <c r="G281" s="222"/>
      <c r="H281" s="222"/>
      <c r="I281" s="222"/>
      <c r="J281" s="222"/>
      <c r="K281" s="222"/>
      <c r="L281" s="222"/>
      <c r="M281" s="237"/>
      <c r="N281" s="110"/>
      <c r="O281" s="110"/>
      <c r="P281" s="110"/>
      <c r="Q281" s="110"/>
      <c r="R281" s="110"/>
      <c r="S281" s="110"/>
      <c r="T281" s="110"/>
      <c r="U281" s="110"/>
      <c r="V281" s="110"/>
      <c r="W281" s="126"/>
      <c r="X281" s="110"/>
      <c r="Y281" s="110"/>
      <c r="Z281" s="110"/>
      <c r="AA281" s="110"/>
      <c r="AB281" s="110"/>
      <c r="AC281" s="110"/>
      <c r="AD281" s="110"/>
      <c r="AE281" s="110"/>
      <c r="AF281" s="110"/>
      <c r="AG281" s="110" t="s">
        <v>1418</v>
      </c>
    </row>
    <row r="282" spans="1:36" ht="16" hidden="1" thickTop="1" x14ac:dyDescent="0.2">
      <c r="A282" s="181" t="s">
        <v>1419</v>
      </c>
      <c r="B282" s="130"/>
      <c r="C282" s="234">
        <f>C58*C14+C102*C15+C135*C17+C158*C16</f>
        <v>14.348994409010164</v>
      </c>
      <c r="D282" s="233"/>
      <c r="E282" s="233"/>
      <c r="F282" s="233"/>
      <c r="G282" s="233"/>
      <c r="H282" s="233"/>
      <c r="I282" s="233"/>
      <c r="J282" s="233"/>
      <c r="K282" s="233"/>
      <c r="L282" s="233"/>
      <c r="M282" s="127">
        <f>C282/$C$287</f>
        <v>0.39980093750123691</v>
      </c>
      <c r="N282" s="110"/>
      <c r="O282" s="110"/>
      <c r="P282" s="110"/>
      <c r="Q282" s="110"/>
      <c r="R282" s="110"/>
      <c r="S282" s="110"/>
      <c r="T282" s="110"/>
      <c r="U282" s="110"/>
      <c r="V282" s="110"/>
      <c r="W282" s="106"/>
      <c r="X282" s="110"/>
      <c r="Y282" s="110"/>
      <c r="Z282" s="110"/>
      <c r="AA282" s="110"/>
      <c r="AB282" s="110"/>
      <c r="AC282" s="110"/>
      <c r="AD282" s="110"/>
      <c r="AE282" s="110"/>
      <c r="AF282" s="110"/>
      <c r="AG282" s="56">
        <v>0.46</v>
      </c>
    </row>
    <row r="283" spans="1:36" ht="16" hidden="1" thickTop="1" x14ac:dyDescent="0.2">
      <c r="A283" t="s">
        <v>1420</v>
      </c>
      <c r="C283" s="234">
        <f>C53*C14+C103*C15</f>
        <v>9.0743320403108019</v>
      </c>
      <c r="D283" s="234"/>
      <c r="E283" s="234"/>
      <c r="F283" s="234"/>
      <c r="G283" s="234"/>
      <c r="H283" s="234"/>
      <c r="I283" s="234"/>
      <c r="J283" s="234"/>
      <c r="K283" s="234"/>
      <c r="L283" s="234"/>
      <c r="M283" s="127">
        <f t="shared" ref="M283:M286" si="97">C283/$C$287</f>
        <v>0.25283489236260948</v>
      </c>
      <c r="AG283" s="56">
        <v>0.24</v>
      </c>
    </row>
    <row r="284" spans="1:36" ht="16" hidden="1" thickTop="1" x14ac:dyDescent="0.2">
      <c r="A284" t="s">
        <v>1421</v>
      </c>
      <c r="C284" s="234">
        <f>C136*C17+C57*C14+C169*C18+C104*C15</f>
        <v>10.095550469083447</v>
      </c>
      <c r="D284" s="234"/>
      <c r="E284" s="234"/>
      <c r="F284" s="234"/>
      <c r="G284" s="234"/>
      <c r="H284" s="234"/>
      <c r="I284" s="234"/>
      <c r="J284" s="234"/>
      <c r="K284" s="234"/>
      <c r="L284" s="234"/>
      <c r="M284" s="127">
        <f t="shared" si="97"/>
        <v>0.28128873892348555</v>
      </c>
      <c r="AG284" s="56">
        <v>0.26</v>
      </c>
    </row>
    <row r="285" spans="1:36" ht="16" hidden="1" thickTop="1" x14ac:dyDescent="0.2">
      <c r="A285" t="s">
        <v>1422</v>
      </c>
      <c r="C285" s="234">
        <f>C133*C17+C56*C14</f>
        <v>2.3352217603778325</v>
      </c>
      <c r="D285" s="234"/>
      <c r="E285" s="234"/>
      <c r="F285" s="234"/>
      <c r="G285" s="234"/>
      <c r="H285" s="234"/>
      <c r="I285" s="234"/>
      <c r="J285" s="234"/>
      <c r="K285" s="234"/>
      <c r="L285" s="234"/>
      <c r="M285" s="127">
        <f t="shared" si="97"/>
        <v>6.5065454934325972E-2</v>
      </c>
      <c r="AG285" s="56">
        <v>0.01</v>
      </c>
    </row>
    <row r="286" spans="1:36" ht="16" hidden="1" thickTop="1" x14ac:dyDescent="0.2">
      <c r="A286" t="s">
        <v>1423</v>
      </c>
      <c r="B286"/>
      <c r="C286" s="234">
        <f>C100*C15</f>
        <v>3.6248399170191126E-2</v>
      </c>
      <c r="D286" s="234"/>
      <c r="E286" s="234"/>
      <c r="F286" s="234"/>
      <c r="G286" s="234"/>
      <c r="H286" s="234"/>
      <c r="I286" s="234"/>
      <c r="J286" s="234"/>
      <c r="K286" s="234"/>
      <c r="L286" s="234"/>
      <c r="M286" s="127">
        <f t="shared" si="97"/>
        <v>1.0099762783419455E-3</v>
      </c>
      <c r="AG286" s="56">
        <v>0.03</v>
      </c>
    </row>
    <row r="287" spans="1:36" ht="16" hidden="1" thickTop="1" x14ac:dyDescent="0.2">
      <c r="A287" t="s">
        <v>1424</v>
      </c>
      <c r="B287" s="51"/>
      <c r="C287" s="233">
        <f>SUM(C282:C286)</f>
        <v>35.890347077952441</v>
      </c>
      <c r="D287" s="234"/>
      <c r="E287" s="234"/>
      <c r="F287" s="234"/>
      <c r="G287" s="234"/>
      <c r="H287" s="234"/>
      <c r="I287" s="234"/>
      <c r="J287" s="234"/>
      <c r="K287" s="234"/>
      <c r="L287" s="234"/>
      <c r="M287" s="234"/>
    </row>
    <row r="288" spans="1:36" ht="16" hidden="1" thickTop="1" x14ac:dyDescent="0.2">
      <c r="B288" s="181" t="s">
        <v>1425</v>
      </c>
      <c r="C288" s="234">
        <f>C180*C19</f>
        <v>37.870379963560374</v>
      </c>
      <c r="D288" s="234"/>
      <c r="E288" s="234"/>
      <c r="F288" s="234"/>
      <c r="G288" s="234"/>
      <c r="H288" s="234"/>
      <c r="I288" s="234"/>
      <c r="J288" s="234"/>
      <c r="K288" s="234"/>
      <c r="L288" s="234"/>
      <c r="M288" s="234"/>
      <c r="AG288" s="107" t="s">
        <v>1426</v>
      </c>
    </row>
    <row r="289" spans="2:35" ht="16" thickTop="1" x14ac:dyDescent="0.2">
      <c r="B289" s="51"/>
    </row>
    <row r="290" spans="2:35" x14ac:dyDescent="0.2">
      <c r="C290" s="266"/>
      <c r="AG290" s="266">
        <f>(AG180*AG50+'Propylene Recycling LC'!AG92*'Propylene Recycling LC'!AG50)/('Propylene Recycling LC'!AG50+'Ethylene Recycling LC'!AG50)</f>
        <v>0.38035331554019386</v>
      </c>
      <c r="AH290" s="267"/>
      <c r="AI290" s="267" t="s">
        <v>1427</v>
      </c>
    </row>
    <row r="291" spans="2:35" x14ac:dyDescent="0.2">
      <c r="C291" s="266"/>
      <c r="AG291" s="266">
        <f>(AG52*AG45+'Propylene Recycling LC'!AG52*'Propylene Recycling LC'!AG45)/('Propylene Recycling LC'!AG45+'Ethylene Recycling LC'!AG45)</f>
        <v>0.46913612124517201</v>
      </c>
      <c r="AI291" t="s">
        <v>309</v>
      </c>
    </row>
    <row r="292" spans="2:35" x14ac:dyDescent="0.2">
      <c r="AG292" s="266">
        <f>(AG157*AG47+'Propylene Recycling LC'!AG82*'Propylene Recycling LC'!AG47)/('Propylene Recycling LC'!AG47+'Ethylene Recycling LC'!AG47)</f>
        <v>0.5</v>
      </c>
      <c r="AI292" t="s">
        <v>369</v>
      </c>
    </row>
    <row r="293" spans="2:35" x14ac:dyDescent="0.2">
      <c r="AG293" s="266">
        <f>AG131</f>
        <v>0.25456578456951179</v>
      </c>
      <c r="AI293" t="s">
        <v>320</v>
      </c>
    </row>
    <row r="294" spans="2:35" x14ac:dyDescent="0.2">
      <c r="AG294" s="266">
        <f>(AG98*AG46+'Propylene Recycling LC'!AG65*'Propylene Recycling LC'!AG46)/('Propylene Recycling LC'!AG46+'Ethylene Recycling LC'!AG46)</f>
        <v>0.40541189778313569</v>
      </c>
      <c r="AI294" t="s">
        <v>311</v>
      </c>
    </row>
    <row r="295" spans="2:35" x14ac:dyDescent="0.2">
      <c r="AG295" s="266">
        <f>(AG169*AG49+'Propylene Recycling LC'!AG87*'Propylene Recycling LC'!AG49)/('Propylene Recycling LC'!AG49+'Ethylene Recycling LC'!AG49)</f>
        <v>0.18189749182115603</v>
      </c>
      <c r="AI295" t="s">
        <v>192</v>
      </c>
    </row>
  </sheetData>
  <sortState xmlns:xlrd2="http://schemas.microsoft.com/office/spreadsheetml/2017/richdata2" ref="AZ7:BA22">
    <sortCondition ref="AZ7:AZ22"/>
  </sortState>
  <mergeCells count="2">
    <mergeCell ref="BD103:BE103"/>
    <mergeCell ref="AI249:AI257"/>
  </mergeCells>
  <phoneticPr fontId="20" type="noConversion"/>
  <pageMargins left="0.7" right="0.7" top="0.75" bottom="0.75" header="0.3" footer="0.3"/>
  <pageSetup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1B7577-3F00-4150-8F03-DDB32EF9A7CA}">
  <sheetPr>
    <tabColor theme="4"/>
  </sheetPr>
  <dimension ref="A1:BL341"/>
  <sheetViews>
    <sheetView topLeftCell="A217" zoomScale="70" zoomScaleNormal="70" workbookViewId="0">
      <selection activeCell="C228" sqref="C228"/>
    </sheetView>
  </sheetViews>
  <sheetFormatPr baseColWidth="10" defaultColWidth="8.83203125" defaultRowHeight="15" outlineLevelRow="2" outlineLevelCol="1" x14ac:dyDescent="0.2"/>
  <cols>
    <col min="1" max="1" width="77.6640625" customWidth="1"/>
    <col min="2" max="2" width="15.5" style="54" customWidth="1"/>
    <col min="3" max="3" width="30.6640625" style="107"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4" max="34" width="17.5" customWidth="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x14ac:dyDescent="0.2">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x14ac:dyDescent="0.2">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x14ac:dyDescent="0.2">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x14ac:dyDescent="0.2">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x14ac:dyDescent="0.25">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372">
        <f>(AG5/C5)^(1/30)-1</f>
        <v>1.5649269037751878E-2</v>
      </c>
      <c r="AJ5" s="212"/>
      <c r="AR5" s="1"/>
      <c r="AU5" s="23"/>
    </row>
    <row r="6" spans="1:47" ht="16" outlineLevel="1" thickTop="1" x14ac:dyDescent="0.2">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x14ac:dyDescent="0.2">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x14ac:dyDescent="0.2">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x14ac:dyDescent="0.2">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x14ac:dyDescent="0.2">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x14ac:dyDescent="0.2">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x14ac:dyDescent="0.25">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x14ac:dyDescent="0.2">
      <c r="AM13" s="26"/>
      <c r="AN13" s="2"/>
      <c r="AO13" s="26"/>
      <c r="AR13" s="2"/>
    </row>
    <row r="14" spans="1:47" outlineLevel="1" x14ac:dyDescent="0.2">
      <c r="A14" t="s">
        <v>1269</v>
      </c>
      <c r="B14" s="54" t="s">
        <v>1270</v>
      </c>
      <c r="C14" s="107">
        <f t="shared" ref="C14:AG14"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I14" s="24">
        <f>'Demand Breakdown - Ethylene'!L63</f>
        <v>1.4E-2</v>
      </c>
      <c r="AJ14" s="211" t="s">
        <v>1429</v>
      </c>
      <c r="AM14" s="26"/>
      <c r="AN14" s="2"/>
      <c r="AO14" s="26"/>
      <c r="AR14" s="2"/>
    </row>
    <row r="15" spans="1:47" outlineLevel="1" x14ac:dyDescent="0.2">
      <c r="A15" t="s">
        <v>1271</v>
      </c>
      <c r="B15" s="54" t="s">
        <v>1270</v>
      </c>
      <c r="C15" s="107">
        <f t="shared" ref="C15:AG15" si="9">C$5*C8</f>
        <v>18.124199585095564</v>
      </c>
      <c r="D15" s="107">
        <f t="shared" si="9"/>
        <v>18.731749934633516</v>
      </c>
      <c r="E15" s="107">
        <f t="shared" si="9"/>
        <v>19.309058765192301</v>
      </c>
      <c r="F15" s="107">
        <f t="shared" si="9"/>
        <v>19.852163640507602</v>
      </c>
      <c r="G15" s="107">
        <f t="shared" si="9"/>
        <v>20.357260689410186</v>
      </c>
      <c r="H15" s="107">
        <f t="shared" si="9"/>
        <v>20.820748984158627</v>
      </c>
      <c r="I15" s="107">
        <f t="shared" si="9"/>
        <v>21.285096129187462</v>
      </c>
      <c r="J15" s="107">
        <f t="shared" si="9"/>
        <v>21.749881701190311</v>
      </c>
      <c r="K15" s="107">
        <f t="shared" si="9"/>
        <v>22.214674603152208</v>
      </c>
      <c r="L15" s="107">
        <f t="shared" si="9"/>
        <v>22.679033624979567</v>
      </c>
      <c r="M15" s="107">
        <f t="shared" si="9"/>
        <v>23.142508042020335</v>
      </c>
      <c r="N15" s="107">
        <f t="shared" si="9"/>
        <v>23.570864954963728</v>
      </c>
      <c r="O15" s="107">
        <f t="shared" si="9"/>
        <v>23.96172861935996</v>
      </c>
      <c r="P15" s="107">
        <f t="shared" si="9"/>
        <v>24.31289109363512</v>
      </c>
      <c r="Q15" s="107">
        <f t="shared" si="9"/>
        <v>24.62233276017087</v>
      </c>
      <c r="R15" s="107">
        <f t="shared" si="9"/>
        <v>24.888241457773027</v>
      </c>
      <c r="S15" s="107">
        <f t="shared" si="9"/>
        <v>25.154268157150199</v>
      </c>
      <c r="T15" s="107">
        <f t="shared" si="9"/>
        <v>25.420353588212798</v>
      </c>
      <c r="U15" s="107">
        <f t="shared" si="9"/>
        <v>25.686437769305002</v>
      </c>
      <c r="V15" s="107">
        <f t="shared" si="9"/>
        <v>25.952460026127937</v>
      </c>
      <c r="W15" s="107">
        <f t="shared" si="9"/>
        <v>26.218359011291316</v>
      </c>
      <c r="X15" s="107">
        <f t="shared" si="9"/>
        <v>26.484364430969823</v>
      </c>
      <c r="Y15" s="107">
        <f t="shared" si="9"/>
        <v>26.750422880358332</v>
      </c>
      <c r="Z15" s="107">
        <f t="shared" si="9"/>
        <v>27.016480351122464</v>
      </c>
      <c r="AA15" s="107">
        <f t="shared" si="9"/>
        <v>27.282482246830252</v>
      </c>
      <c r="AB15" s="107">
        <f t="shared" si="9"/>
        <v>27.548373398864126</v>
      </c>
      <c r="AC15" s="107">
        <f t="shared" si="9"/>
        <v>27.81436104388391</v>
      </c>
      <c r="AD15" s="107">
        <f t="shared" si="9"/>
        <v>28.080396807672006</v>
      </c>
      <c r="AE15" s="107">
        <f t="shared" si="9"/>
        <v>28.346431799584909</v>
      </c>
      <c r="AF15" s="107">
        <f t="shared" si="9"/>
        <v>28.612416625263382</v>
      </c>
      <c r="AG15" s="107">
        <f t="shared" si="9"/>
        <v>28.878301399715003</v>
      </c>
      <c r="AI15" s="24">
        <f>'Demand Breakdown - Ethylene'!L64</f>
        <v>1.7000000000000001E-2</v>
      </c>
      <c r="AJ15" s="211" t="s">
        <v>1429</v>
      </c>
      <c r="AM15" s="26"/>
      <c r="AN15" s="2"/>
      <c r="AO15" s="26"/>
      <c r="AR15" s="2"/>
    </row>
    <row r="16" spans="1:47" outlineLevel="1" x14ac:dyDescent="0.2">
      <c r="A16" t="s">
        <v>1272</v>
      </c>
      <c r="B16" s="54" t="s">
        <v>1270</v>
      </c>
      <c r="C16" s="107">
        <f t="shared" ref="C16:AG16" si="10">C$5*C9</f>
        <v>14.258767126628445</v>
      </c>
      <c r="D16" s="107">
        <f t="shared" si="10"/>
        <v>14.736742383471642</v>
      </c>
      <c r="E16" s="107">
        <f t="shared" si="10"/>
        <v>15.190925870937384</v>
      </c>
      <c r="F16" s="107">
        <f t="shared" si="10"/>
        <v>15.618200239998389</v>
      </c>
      <c r="G16" s="107">
        <f t="shared" si="10"/>
        <v>16.015572888806112</v>
      </c>
      <c r="H16" s="107">
        <f t="shared" si="10"/>
        <v>16.380210876249752</v>
      </c>
      <c r="I16" s="107">
        <f t="shared" si="10"/>
        <v>16.745524542974419</v>
      </c>
      <c r="J16" s="107">
        <f t="shared" si="10"/>
        <v>17.111183131310387</v>
      </c>
      <c r="K16" s="107">
        <f t="shared" si="10"/>
        <v>17.476847486310902</v>
      </c>
      <c r="L16" s="107">
        <f t="shared" si="10"/>
        <v>17.842170496813957</v>
      </c>
      <c r="M16" s="107">
        <f t="shared" si="10"/>
        <v>18.206797566313274</v>
      </c>
      <c r="N16" s="107">
        <f t="shared" si="10"/>
        <v>18.543796805372864</v>
      </c>
      <c r="O16" s="107">
        <f t="shared" si="10"/>
        <v>18.851299155626702</v>
      </c>
      <c r="P16" s="107">
        <f t="shared" si="10"/>
        <v>19.127567573483773</v>
      </c>
      <c r="Q16" s="107">
        <f t="shared" si="10"/>
        <v>19.371013174581517</v>
      </c>
      <c r="R16" s="107">
        <f t="shared" si="10"/>
        <v>19.580210285783725</v>
      </c>
      <c r="S16" s="107">
        <f t="shared" si="10"/>
        <v>19.789500231972799</v>
      </c>
      <c r="T16" s="107">
        <f t="shared" si="10"/>
        <v>19.998836383867207</v>
      </c>
      <c r="U16" s="107">
        <f t="shared" si="10"/>
        <v>20.208171552378225</v>
      </c>
      <c r="V16" s="107">
        <f t="shared" si="10"/>
        <v>20.417458003497298</v>
      </c>
      <c r="W16" s="107">
        <f t="shared" si="10"/>
        <v>20.626647473677782</v>
      </c>
      <c r="X16" s="107">
        <f t="shared" si="10"/>
        <v>20.835920678588632</v>
      </c>
      <c r="Y16" s="107">
        <f t="shared" si="10"/>
        <v>21.04523560331625</v>
      </c>
      <c r="Z16" s="107">
        <f t="shared" si="10"/>
        <v>21.254549758135273</v>
      </c>
      <c r="AA16" s="107">
        <f t="shared" si="10"/>
        <v>21.463820190649052</v>
      </c>
      <c r="AB16" s="107">
        <f t="shared" si="10"/>
        <v>21.673003498308045</v>
      </c>
      <c r="AC16" s="107">
        <f t="shared" si="10"/>
        <v>21.882262719444423</v>
      </c>
      <c r="AD16" s="107">
        <f t="shared" si="10"/>
        <v>22.091559796835288</v>
      </c>
      <c r="AE16" s="107">
        <f t="shared" si="10"/>
        <v>22.300856266972374</v>
      </c>
      <c r="AF16" s="107">
        <f t="shared" si="10"/>
        <v>22.510113270061499</v>
      </c>
      <c r="AG16" s="107">
        <f t="shared" si="10"/>
        <v>22.719291560314904</v>
      </c>
      <c r="AI16" s="24">
        <f>'Demand Breakdown - Ethylene'!L65</f>
        <v>1.7000000000000001E-2</v>
      </c>
      <c r="AJ16" s="211" t="s">
        <v>1429</v>
      </c>
      <c r="AM16" s="26"/>
      <c r="AN16" s="2"/>
      <c r="AO16" s="26"/>
      <c r="AR16" s="2"/>
    </row>
    <row r="17" spans="1:64" outlineLevel="1" x14ac:dyDescent="0.2">
      <c r="A17" t="s">
        <v>1273</v>
      </c>
      <c r="B17" s="54" t="s">
        <v>1270</v>
      </c>
      <c r="C17" s="107">
        <f t="shared" ref="C17:AG17" si="11">C$5*C10</f>
        <v>36.547958537074749</v>
      </c>
      <c r="D17" s="107">
        <f t="shared" si="11"/>
        <v>37.773100915354362</v>
      </c>
      <c r="E17" s="107">
        <f t="shared" si="11"/>
        <v>38.937260419518097</v>
      </c>
      <c r="F17" s="107">
        <f t="shared" si="11"/>
        <v>40.03244668532318</v>
      </c>
      <c r="G17" s="107">
        <f t="shared" si="11"/>
        <v>41.050989099503568</v>
      </c>
      <c r="H17" s="107">
        <f t="shared" si="11"/>
        <v>41.985626289926905</v>
      </c>
      <c r="I17" s="107">
        <f t="shared" si="11"/>
        <v>42.921995376111482</v>
      </c>
      <c r="J17" s="107">
        <f t="shared" si="11"/>
        <v>43.859248562627918</v>
      </c>
      <c r="K17" s="107">
        <f t="shared" si="11"/>
        <v>44.796516530213069</v>
      </c>
      <c r="L17" s="107">
        <f t="shared" si="11"/>
        <v>45.732909566296122</v>
      </c>
      <c r="M17" s="107">
        <f t="shared" si="11"/>
        <v>46.66751877193137</v>
      </c>
      <c r="N17" s="107">
        <f t="shared" si="11"/>
        <v>47.531312542233863</v>
      </c>
      <c r="O17" s="107">
        <f t="shared" si="11"/>
        <v>48.319500121659445</v>
      </c>
      <c r="P17" s="107">
        <f t="shared" si="11"/>
        <v>49.027629133885689</v>
      </c>
      <c r="Q17" s="107">
        <f t="shared" si="11"/>
        <v>49.65162696314664</v>
      </c>
      <c r="R17" s="107">
        <f t="shared" si="11"/>
        <v>50.187839335394145</v>
      </c>
      <c r="S17" s="107">
        <f t="shared" si="11"/>
        <v>50.72428966154191</v>
      </c>
      <c r="T17" s="107">
        <f t="shared" si="11"/>
        <v>51.260858421786239</v>
      </c>
      <c r="U17" s="107">
        <f t="shared" si="11"/>
        <v>51.797424661430085</v>
      </c>
      <c r="V17" s="107">
        <f t="shared" si="11"/>
        <v>52.333866029042213</v>
      </c>
      <c r="W17" s="107">
        <f t="shared" si="11"/>
        <v>52.870058815883567</v>
      </c>
      <c r="X17" s="107">
        <f t="shared" si="11"/>
        <v>53.406466230920095</v>
      </c>
      <c r="Y17" s="107">
        <f t="shared" si="11"/>
        <v>53.942980581859274</v>
      </c>
      <c r="Z17" s="107">
        <f t="shared" si="11"/>
        <v>54.479492959374852</v>
      </c>
      <c r="AA17" s="107">
        <f t="shared" si="11"/>
        <v>55.015893268225248</v>
      </c>
      <c r="AB17" s="107">
        <f t="shared" si="11"/>
        <v>55.552070259340518</v>
      </c>
      <c r="AC17" s="107">
        <f t="shared" si="11"/>
        <v>56.088441831277486</v>
      </c>
      <c r="AD17" s="107">
        <f t="shared" si="11"/>
        <v>56.624910436064987</v>
      </c>
      <c r="AE17" s="107">
        <f t="shared" si="11"/>
        <v>57.161377484344435</v>
      </c>
      <c r="AF17" s="107">
        <f t="shared" si="11"/>
        <v>57.697743371000321</v>
      </c>
      <c r="AG17" s="107">
        <f t="shared" si="11"/>
        <v>58.233907501541481</v>
      </c>
      <c r="AI17" s="24">
        <f>'Demand Breakdown - Ethylene'!L69</f>
        <v>2.1000000000000001E-2</v>
      </c>
      <c r="AJ17" s="211" t="s">
        <v>1429</v>
      </c>
      <c r="AM17" s="26"/>
      <c r="AN17" s="2"/>
      <c r="AO17" s="26"/>
      <c r="AR17" s="2"/>
    </row>
    <row r="18" spans="1:64" outlineLevel="1" x14ac:dyDescent="0.2">
      <c r="A18" t="s">
        <v>1274</v>
      </c>
      <c r="B18" s="54" t="s">
        <v>1270</v>
      </c>
      <c r="C18" s="128">
        <f t="shared" ref="C18:AG18" si="12">C$5*C11</f>
        <v>103.45931523887491</v>
      </c>
      <c r="D18" s="128">
        <f t="shared" si="12"/>
        <v>106.92742663553078</v>
      </c>
      <c r="E18" s="128">
        <f t="shared" si="12"/>
        <v>110.22290878968255</v>
      </c>
      <c r="F18" s="128">
        <f t="shared" si="12"/>
        <v>113.32314271941829</v>
      </c>
      <c r="G18" s="128">
        <f t="shared" si="12"/>
        <v>116.2064145882412</v>
      </c>
      <c r="H18" s="128">
        <f t="shared" si="12"/>
        <v>118.85216903222452</v>
      </c>
      <c r="I18" s="128">
        <f t="shared" si="12"/>
        <v>121.5028260961269</v>
      </c>
      <c r="J18" s="128">
        <f t="shared" si="12"/>
        <v>124.15598585562697</v>
      </c>
      <c r="K18" s="128">
        <f t="shared" si="12"/>
        <v>126.80918745711517</v>
      </c>
      <c r="L18" s="128">
        <f t="shared" si="12"/>
        <v>129.45991231796697</v>
      </c>
      <c r="M18" s="128">
        <f t="shared" si="12"/>
        <v>132.10558754310665</v>
      </c>
      <c r="N18" s="128">
        <f t="shared" si="12"/>
        <v>134.55079968518692</v>
      </c>
      <c r="O18" s="128">
        <f t="shared" si="12"/>
        <v>136.78198715806414</v>
      </c>
      <c r="P18" s="128">
        <f t="shared" si="12"/>
        <v>138.78654625351649</v>
      </c>
      <c r="Q18" s="128">
        <f t="shared" si="12"/>
        <v>140.55294828279517</v>
      </c>
      <c r="R18" s="128">
        <f t="shared" si="12"/>
        <v>142.07084879149429</v>
      </c>
      <c r="S18" s="128">
        <f t="shared" si="12"/>
        <v>143.5894228958897</v>
      </c>
      <c r="T18" s="128">
        <f t="shared" si="12"/>
        <v>145.10833226143296</v>
      </c>
      <c r="U18" s="128">
        <f t="shared" si="12"/>
        <v>146.62723449170494</v>
      </c>
      <c r="V18" s="128">
        <f t="shared" si="12"/>
        <v>148.14578323643596</v>
      </c>
      <c r="W18" s="128">
        <f t="shared" si="12"/>
        <v>149.6636283031134</v>
      </c>
      <c r="X18" s="128">
        <f t="shared" si="12"/>
        <v>151.18208093549336</v>
      </c>
      <c r="Y18" s="128">
        <f t="shared" si="12"/>
        <v>152.700836280137</v>
      </c>
      <c r="Z18" s="128">
        <f t="shared" si="12"/>
        <v>154.219586038448</v>
      </c>
      <c r="AA18" s="128">
        <f t="shared" si="12"/>
        <v>155.73801855476179</v>
      </c>
      <c r="AB18" s="128">
        <f t="shared" si="12"/>
        <v>157.25581890717694</v>
      </c>
      <c r="AC18" s="128">
        <f t="shared" si="12"/>
        <v>158.77417007554399</v>
      </c>
      <c r="AD18" s="128">
        <f t="shared" si="12"/>
        <v>160.29279592278979</v>
      </c>
      <c r="AE18" s="128">
        <f t="shared" si="12"/>
        <v>161.81141736390009</v>
      </c>
      <c r="AF18" s="128">
        <f t="shared" si="12"/>
        <v>163.32975243847389</v>
      </c>
      <c r="AG18" s="128">
        <f t="shared" si="12"/>
        <v>164.84751638540308</v>
      </c>
      <c r="AI18" s="24">
        <f>'Demand Breakdown - Ethylene'!L68</f>
        <v>1.4673314942567961E-2</v>
      </c>
      <c r="AJ18" s="211" t="s">
        <v>1429</v>
      </c>
    </row>
    <row r="19" spans="1:64" ht="16" outlineLevel="1" thickBot="1" x14ac:dyDescent="0.25">
      <c r="A19" s="200" t="s">
        <v>1275</v>
      </c>
      <c r="B19" s="198"/>
      <c r="C19" s="199">
        <f t="shared" ref="C19:AG19" si="13">SUM(C14:C18)</f>
        <v>364.3968202633319</v>
      </c>
      <c r="D19" s="199">
        <f t="shared" si="13"/>
        <v>376.61194813598922</v>
      </c>
      <c r="E19" s="199">
        <f t="shared" si="13"/>
        <v>388.21905393825375</v>
      </c>
      <c r="F19" s="199">
        <f t="shared" si="13"/>
        <v>399.13847074919846</v>
      </c>
      <c r="G19" s="199">
        <f t="shared" si="13"/>
        <v>409.29371968476261</v>
      </c>
      <c r="H19" s="199">
        <f t="shared" si="13"/>
        <v>418.6124021480972</v>
      </c>
      <c r="I19" s="199">
        <f t="shared" si="13"/>
        <v>427.94835226012367</v>
      </c>
      <c r="J19" s="199">
        <f t="shared" si="13"/>
        <v>437.29311718322629</v>
      </c>
      <c r="K19" s="199">
        <f t="shared" si="13"/>
        <v>446.63802947911398</v>
      </c>
      <c r="L19" s="199">
        <f t="shared" si="13"/>
        <v>455.9742183805887</v>
      </c>
      <c r="M19" s="199">
        <f t="shared" si="13"/>
        <v>465.2926218251161</v>
      </c>
      <c r="N19" s="199">
        <f t="shared" si="13"/>
        <v>473.90496888527275</v>
      </c>
      <c r="O19" s="199">
        <f t="shared" si="13"/>
        <v>481.76349393592307</v>
      </c>
      <c r="P19" s="199">
        <f t="shared" si="13"/>
        <v>488.82380511936992</v>
      </c>
      <c r="Q19" s="199">
        <f t="shared" si="13"/>
        <v>495.04529693274304</v>
      </c>
      <c r="R19" s="199">
        <f t="shared" si="13"/>
        <v>500.39153489661282</v>
      </c>
      <c r="S19" s="199">
        <f t="shared" si="13"/>
        <v>505.74014534989368</v>
      </c>
      <c r="T19" s="199">
        <f t="shared" si="13"/>
        <v>511.08993663542685</v>
      </c>
      <c r="U19" s="199">
        <f t="shared" si="13"/>
        <v>516.43970278963025</v>
      </c>
      <c r="V19" s="199">
        <f t="shared" si="13"/>
        <v>521.78822392295911</v>
      </c>
      <c r="W19" s="199">
        <f t="shared" si="13"/>
        <v>527.13426661300218</v>
      </c>
      <c r="X19" s="199">
        <f t="shared" si="13"/>
        <v>532.48244922644983</v>
      </c>
      <c r="Y19" s="199">
        <f t="shared" si="13"/>
        <v>537.83169803085445</v>
      </c>
      <c r="Z19" s="199">
        <f t="shared" si="13"/>
        <v>543.18092715948774</v>
      </c>
      <c r="AA19" s="199">
        <f t="shared" si="13"/>
        <v>548.52903892160077</v>
      </c>
      <c r="AB19" s="199">
        <f t="shared" si="13"/>
        <v>553.87492412234508</v>
      </c>
      <c r="AC19" s="199">
        <f t="shared" si="13"/>
        <v>559.22274936668009</v>
      </c>
      <c r="AD19" s="199">
        <f t="shared" si="13"/>
        <v>564.57154206483767</v>
      </c>
      <c r="AE19" s="199">
        <f t="shared" si="13"/>
        <v>569.92031924402772</v>
      </c>
      <c r="AF19" s="199">
        <f t="shared" si="13"/>
        <v>575.26808780398312</v>
      </c>
      <c r="AG19" s="199">
        <f t="shared" si="13"/>
        <v>580.61384477999206</v>
      </c>
    </row>
    <row r="20" spans="1:64" ht="16" outlineLevel="1" thickTop="1" x14ac:dyDescent="0.2">
      <c r="AL20" s="114"/>
      <c r="AM20" s="115"/>
      <c r="AN20" s="115"/>
      <c r="AO20" s="115"/>
      <c r="AP20" s="115"/>
      <c r="AQ20" s="115"/>
    </row>
    <row r="21" spans="1:64" outlineLevel="1" x14ac:dyDescent="0.2">
      <c r="A21" t="s">
        <v>1276</v>
      </c>
      <c r="B21" s="54" t="s">
        <v>462</v>
      </c>
      <c r="C21" s="110">
        <f>'Overall recycling rates'!C76</f>
        <v>0.53559976833583545</v>
      </c>
      <c r="D21" s="110">
        <f>C21</f>
        <v>0.53559976833583545</v>
      </c>
      <c r="E21" s="110">
        <f t="shared" ref="E21:T21" si="14">D21</f>
        <v>0.53559976833583545</v>
      </c>
      <c r="F21" s="110">
        <f t="shared" si="14"/>
        <v>0.53559976833583545</v>
      </c>
      <c r="G21" s="110">
        <f t="shared" si="14"/>
        <v>0.53559976833583545</v>
      </c>
      <c r="H21" s="110">
        <f t="shared" si="14"/>
        <v>0.53559976833583545</v>
      </c>
      <c r="I21" s="110">
        <f t="shared" si="14"/>
        <v>0.53559976833583545</v>
      </c>
      <c r="J21" s="110">
        <f t="shared" si="14"/>
        <v>0.53559976833583545</v>
      </c>
      <c r="K21" s="110">
        <f t="shared" si="14"/>
        <v>0.53559976833583545</v>
      </c>
      <c r="L21" s="110">
        <f t="shared" si="14"/>
        <v>0.53559976833583545</v>
      </c>
      <c r="M21" s="110">
        <f t="shared" si="14"/>
        <v>0.53559976833583545</v>
      </c>
      <c r="N21" s="110">
        <f t="shared" si="14"/>
        <v>0.53559976833583545</v>
      </c>
      <c r="O21" s="110">
        <f t="shared" si="14"/>
        <v>0.53559976833583545</v>
      </c>
      <c r="P21" s="110">
        <f t="shared" si="14"/>
        <v>0.53559976833583545</v>
      </c>
      <c r="Q21" s="110">
        <f t="shared" si="14"/>
        <v>0.53559976833583545</v>
      </c>
      <c r="R21" s="110">
        <f t="shared" si="14"/>
        <v>0.53559976833583545</v>
      </c>
      <c r="S21" s="110">
        <f t="shared" si="14"/>
        <v>0.53559976833583545</v>
      </c>
      <c r="T21" s="110">
        <f t="shared" si="14"/>
        <v>0.53559976833583545</v>
      </c>
      <c r="U21" s="110">
        <f t="shared" ref="T21:AG25" si="15">T21</f>
        <v>0.53559976833583545</v>
      </c>
      <c r="V21" s="110">
        <f t="shared" si="15"/>
        <v>0.53559976833583545</v>
      </c>
      <c r="W21" s="110">
        <f t="shared" si="15"/>
        <v>0.53559976833583545</v>
      </c>
      <c r="X21" s="110">
        <f t="shared" si="15"/>
        <v>0.53559976833583545</v>
      </c>
      <c r="Y21" s="110">
        <f t="shared" si="15"/>
        <v>0.53559976833583545</v>
      </c>
      <c r="Z21" s="110">
        <f t="shared" si="15"/>
        <v>0.53559976833583545</v>
      </c>
      <c r="AA21" s="110">
        <f t="shared" si="15"/>
        <v>0.53559976833583545</v>
      </c>
      <c r="AB21" s="110">
        <f t="shared" si="15"/>
        <v>0.53559976833583545</v>
      </c>
      <c r="AC21" s="110">
        <f t="shared" si="15"/>
        <v>0.53559976833583545</v>
      </c>
      <c r="AD21" s="110">
        <f t="shared" si="15"/>
        <v>0.53559976833583545</v>
      </c>
      <c r="AE21" s="110">
        <f t="shared" si="15"/>
        <v>0.53559976833583545</v>
      </c>
      <c r="AF21" s="110">
        <f t="shared" si="15"/>
        <v>0.53559976833583545</v>
      </c>
      <c r="AG21" s="110">
        <f>AF21</f>
        <v>0.53559976833583545</v>
      </c>
      <c r="AI21" s="54" t="s">
        <v>1263</v>
      </c>
      <c r="AJ21" s="211"/>
      <c r="AM21" s="115"/>
      <c r="AN21" s="115"/>
      <c r="AO21" s="115"/>
      <c r="AP21" s="115"/>
      <c r="AQ21" s="115"/>
    </row>
    <row r="22" spans="1:64" outlineLevel="1" x14ac:dyDescent="0.2">
      <c r="A22" t="s">
        <v>1277</v>
      </c>
      <c r="B22" s="54" t="s">
        <v>462</v>
      </c>
      <c r="C22" s="110">
        <f>'Overall recycling rates'!C78</f>
        <v>0.12059259167888789</v>
      </c>
      <c r="D22" s="110">
        <f t="shared" ref="D22:S25" si="16">C22</f>
        <v>0.12059259167888789</v>
      </c>
      <c r="E22" s="110">
        <f t="shared" si="16"/>
        <v>0.12059259167888789</v>
      </c>
      <c r="F22" s="110">
        <f t="shared" si="16"/>
        <v>0.12059259167888789</v>
      </c>
      <c r="G22" s="110">
        <f t="shared" si="16"/>
        <v>0.12059259167888789</v>
      </c>
      <c r="H22" s="110">
        <f t="shared" si="16"/>
        <v>0.12059259167888789</v>
      </c>
      <c r="I22" s="110">
        <f t="shared" si="16"/>
        <v>0.12059259167888789</v>
      </c>
      <c r="J22" s="110">
        <f t="shared" si="16"/>
        <v>0.12059259167888789</v>
      </c>
      <c r="K22" s="110">
        <f t="shared" si="16"/>
        <v>0.12059259167888789</v>
      </c>
      <c r="L22" s="110">
        <f t="shared" si="16"/>
        <v>0.12059259167888789</v>
      </c>
      <c r="M22" s="110">
        <f t="shared" si="16"/>
        <v>0.12059259167888789</v>
      </c>
      <c r="N22" s="110">
        <f t="shared" si="16"/>
        <v>0.12059259167888789</v>
      </c>
      <c r="O22" s="110">
        <f t="shared" si="16"/>
        <v>0.12059259167888789</v>
      </c>
      <c r="P22" s="110">
        <f t="shared" si="16"/>
        <v>0.12059259167888789</v>
      </c>
      <c r="Q22" s="110">
        <f t="shared" si="16"/>
        <v>0.12059259167888789</v>
      </c>
      <c r="R22" s="110">
        <f t="shared" si="16"/>
        <v>0.12059259167888789</v>
      </c>
      <c r="S22" s="110">
        <f t="shared" si="16"/>
        <v>0.12059259167888789</v>
      </c>
      <c r="T22" s="110">
        <f t="shared" si="15"/>
        <v>0.12059259167888789</v>
      </c>
      <c r="U22" s="110">
        <f t="shared" si="15"/>
        <v>0.12059259167888789</v>
      </c>
      <c r="V22" s="110">
        <f t="shared" si="15"/>
        <v>0.12059259167888789</v>
      </c>
      <c r="W22" s="110">
        <f t="shared" si="15"/>
        <v>0.12059259167888789</v>
      </c>
      <c r="X22" s="110">
        <f t="shared" si="15"/>
        <v>0.12059259167888789</v>
      </c>
      <c r="Y22" s="110">
        <f t="shared" si="15"/>
        <v>0.12059259167888789</v>
      </c>
      <c r="Z22" s="110">
        <f t="shared" si="15"/>
        <v>0.12059259167888789</v>
      </c>
      <c r="AA22" s="110">
        <f t="shared" si="15"/>
        <v>0.12059259167888789</v>
      </c>
      <c r="AB22" s="110">
        <f t="shared" si="15"/>
        <v>0.12059259167888789</v>
      </c>
      <c r="AC22" s="110">
        <f t="shared" si="15"/>
        <v>0.12059259167888789</v>
      </c>
      <c r="AD22" s="110">
        <f t="shared" si="15"/>
        <v>0.12059259167888789</v>
      </c>
      <c r="AE22" s="110">
        <f t="shared" si="15"/>
        <v>0.12059259167888789</v>
      </c>
      <c r="AF22" s="110">
        <f t="shared" si="15"/>
        <v>0.12059259167888789</v>
      </c>
      <c r="AG22" s="110">
        <f t="shared" si="15"/>
        <v>0.12059259167888789</v>
      </c>
      <c r="AI22" s="54" t="s">
        <v>1263</v>
      </c>
      <c r="AJ22" s="211"/>
      <c r="AM22" s="120"/>
      <c r="AN22" s="115"/>
      <c r="AO22" s="116"/>
      <c r="AP22" s="117"/>
      <c r="AQ22" s="116"/>
    </row>
    <row r="23" spans="1:64" outlineLevel="1" x14ac:dyDescent="0.2">
      <c r="A23" t="s">
        <v>1278</v>
      </c>
      <c r="B23" s="54" t="s">
        <v>462</v>
      </c>
      <c r="C23" s="110">
        <f>'Overall recycling rates'!C77</f>
        <v>0.40344579328579167</v>
      </c>
      <c r="D23" s="110">
        <f t="shared" si="16"/>
        <v>0.40344579328579167</v>
      </c>
      <c r="E23" s="110">
        <f t="shared" si="16"/>
        <v>0.40344579328579167</v>
      </c>
      <c r="F23" s="110">
        <f t="shared" si="16"/>
        <v>0.40344579328579167</v>
      </c>
      <c r="G23" s="110">
        <f t="shared" si="16"/>
        <v>0.40344579328579167</v>
      </c>
      <c r="H23" s="110">
        <f t="shared" si="16"/>
        <v>0.40344579328579167</v>
      </c>
      <c r="I23" s="110">
        <f t="shared" si="16"/>
        <v>0.40344579328579167</v>
      </c>
      <c r="J23" s="110">
        <f t="shared" si="16"/>
        <v>0.40344579328579167</v>
      </c>
      <c r="K23" s="110">
        <f t="shared" si="16"/>
        <v>0.40344579328579167</v>
      </c>
      <c r="L23" s="110">
        <f t="shared" si="16"/>
        <v>0.40344579328579167</v>
      </c>
      <c r="M23" s="110">
        <f t="shared" si="16"/>
        <v>0.40344579328579167</v>
      </c>
      <c r="N23" s="110">
        <f t="shared" si="16"/>
        <v>0.40344579328579167</v>
      </c>
      <c r="O23" s="110">
        <f t="shared" si="16"/>
        <v>0.40344579328579167</v>
      </c>
      <c r="P23" s="110">
        <f t="shared" si="16"/>
        <v>0.40344579328579167</v>
      </c>
      <c r="Q23" s="110">
        <f t="shared" si="16"/>
        <v>0.40344579328579167</v>
      </c>
      <c r="R23" s="110">
        <f t="shared" si="16"/>
        <v>0.40344579328579167</v>
      </c>
      <c r="S23" s="110">
        <f t="shared" si="16"/>
        <v>0.40344579328579167</v>
      </c>
      <c r="T23" s="110">
        <f t="shared" si="15"/>
        <v>0.40344579328579167</v>
      </c>
      <c r="U23" s="110">
        <f t="shared" si="15"/>
        <v>0.40344579328579167</v>
      </c>
      <c r="V23" s="110">
        <f t="shared" si="15"/>
        <v>0.40344579328579167</v>
      </c>
      <c r="W23" s="110">
        <f t="shared" si="15"/>
        <v>0.40344579328579167</v>
      </c>
      <c r="X23" s="110">
        <f t="shared" si="15"/>
        <v>0.40344579328579167</v>
      </c>
      <c r="Y23" s="110">
        <f t="shared" si="15"/>
        <v>0.40344579328579167</v>
      </c>
      <c r="Z23" s="110">
        <f t="shared" si="15"/>
        <v>0.40344579328579167</v>
      </c>
      <c r="AA23" s="110">
        <f t="shared" si="15"/>
        <v>0.40344579328579167</v>
      </c>
      <c r="AB23" s="110">
        <f t="shared" si="15"/>
        <v>0.40344579328579167</v>
      </c>
      <c r="AC23" s="110">
        <f t="shared" si="15"/>
        <v>0.40344579328579167</v>
      </c>
      <c r="AD23" s="110">
        <f t="shared" si="15"/>
        <v>0.40344579328579167</v>
      </c>
      <c r="AE23" s="110">
        <f t="shared" si="15"/>
        <v>0.40344579328579167</v>
      </c>
      <c r="AF23" s="110">
        <f t="shared" si="15"/>
        <v>0.40344579328579167</v>
      </c>
      <c r="AG23" s="110">
        <f t="shared" si="15"/>
        <v>0.40344579328579167</v>
      </c>
      <c r="AI23" s="54" t="s">
        <v>1263</v>
      </c>
      <c r="AJ23" s="211"/>
      <c r="AM23" s="120"/>
      <c r="AN23" s="115"/>
      <c r="AO23" s="116"/>
      <c r="AP23" s="117"/>
      <c r="AQ23" s="116"/>
    </row>
    <row r="24" spans="1:64" outlineLevel="1" x14ac:dyDescent="0.2">
      <c r="A24" t="s">
        <v>1279</v>
      </c>
      <c r="B24" s="54" t="s">
        <v>462</v>
      </c>
      <c r="C24" s="110">
        <f>'Overall recycling rates'!C79</f>
        <v>0.12870939312767635</v>
      </c>
      <c r="D24" s="110">
        <f t="shared" si="16"/>
        <v>0.12870939312767635</v>
      </c>
      <c r="E24" s="110">
        <f t="shared" si="16"/>
        <v>0.12870939312767635</v>
      </c>
      <c r="F24" s="110">
        <f t="shared" si="16"/>
        <v>0.12870939312767635</v>
      </c>
      <c r="G24" s="110">
        <f t="shared" si="16"/>
        <v>0.12870939312767635</v>
      </c>
      <c r="H24" s="110">
        <f t="shared" si="16"/>
        <v>0.12870939312767635</v>
      </c>
      <c r="I24" s="110">
        <f t="shared" si="16"/>
        <v>0.12870939312767635</v>
      </c>
      <c r="J24" s="110">
        <f t="shared" si="16"/>
        <v>0.12870939312767635</v>
      </c>
      <c r="K24" s="110">
        <f t="shared" si="16"/>
        <v>0.12870939312767635</v>
      </c>
      <c r="L24" s="110">
        <f t="shared" si="16"/>
        <v>0.12870939312767635</v>
      </c>
      <c r="M24" s="110">
        <f t="shared" si="16"/>
        <v>0.12870939312767635</v>
      </c>
      <c r="N24" s="110">
        <f t="shared" si="16"/>
        <v>0.12870939312767635</v>
      </c>
      <c r="O24" s="110">
        <f t="shared" si="16"/>
        <v>0.12870939312767635</v>
      </c>
      <c r="P24" s="110">
        <f t="shared" si="16"/>
        <v>0.12870939312767635</v>
      </c>
      <c r="Q24" s="110">
        <f t="shared" si="16"/>
        <v>0.12870939312767635</v>
      </c>
      <c r="R24" s="110">
        <f t="shared" si="16"/>
        <v>0.12870939312767635</v>
      </c>
      <c r="S24" s="110">
        <f t="shared" si="16"/>
        <v>0.12870939312767635</v>
      </c>
      <c r="T24" s="110">
        <f t="shared" si="15"/>
        <v>0.12870939312767635</v>
      </c>
      <c r="U24" s="110">
        <f t="shared" si="15"/>
        <v>0.12870939312767635</v>
      </c>
      <c r="V24" s="110">
        <f t="shared" si="15"/>
        <v>0.12870939312767635</v>
      </c>
      <c r="W24" s="110">
        <f t="shared" si="15"/>
        <v>0.12870939312767635</v>
      </c>
      <c r="X24" s="110">
        <f t="shared" si="15"/>
        <v>0.12870939312767635</v>
      </c>
      <c r="Y24" s="110">
        <f t="shared" si="15"/>
        <v>0.12870939312767635</v>
      </c>
      <c r="Z24" s="110">
        <f t="shared" si="15"/>
        <v>0.12870939312767635</v>
      </c>
      <c r="AA24" s="110">
        <f t="shared" si="15"/>
        <v>0.12870939312767635</v>
      </c>
      <c r="AB24" s="110">
        <f t="shared" si="15"/>
        <v>0.12870939312767635</v>
      </c>
      <c r="AC24" s="110">
        <f t="shared" si="15"/>
        <v>0.12870939312767635</v>
      </c>
      <c r="AD24" s="110">
        <f t="shared" si="15"/>
        <v>0.12870939312767635</v>
      </c>
      <c r="AE24" s="110">
        <f t="shared" si="15"/>
        <v>0.12870939312767635</v>
      </c>
      <c r="AF24" s="110">
        <f t="shared" si="15"/>
        <v>0.12870939312767635</v>
      </c>
      <c r="AG24" s="110">
        <f t="shared" si="15"/>
        <v>0.12870939312767635</v>
      </c>
      <c r="AI24" s="54" t="s">
        <v>1430</v>
      </c>
      <c r="AJ24" s="211"/>
      <c r="AM24" s="120"/>
      <c r="AN24" s="115"/>
      <c r="AO24" s="116"/>
      <c r="AP24" s="117"/>
      <c r="AQ24" s="116"/>
    </row>
    <row r="25" spans="1:64" outlineLevel="1" x14ac:dyDescent="0.2">
      <c r="A25" t="s">
        <v>1281</v>
      </c>
      <c r="B25" s="54" t="s">
        <v>462</v>
      </c>
      <c r="C25" s="110">
        <f>'Overall recycling rates'!C80</f>
        <v>0.27152478293850724</v>
      </c>
      <c r="D25" s="110">
        <f>C25</f>
        <v>0.27152478293850724</v>
      </c>
      <c r="E25" s="110">
        <f t="shared" si="16"/>
        <v>0.27152478293850724</v>
      </c>
      <c r="F25" s="110">
        <f t="shared" si="16"/>
        <v>0.27152478293850724</v>
      </c>
      <c r="G25" s="110">
        <f t="shared" si="16"/>
        <v>0.27152478293850724</v>
      </c>
      <c r="H25" s="110">
        <f t="shared" si="16"/>
        <v>0.27152478293850724</v>
      </c>
      <c r="I25" s="110">
        <f t="shared" si="16"/>
        <v>0.27152478293850724</v>
      </c>
      <c r="J25" s="110">
        <f t="shared" si="16"/>
        <v>0.27152478293850724</v>
      </c>
      <c r="K25" s="110">
        <f t="shared" si="16"/>
        <v>0.27152478293850724</v>
      </c>
      <c r="L25" s="110">
        <f t="shared" si="16"/>
        <v>0.27152478293850724</v>
      </c>
      <c r="M25" s="110">
        <f t="shared" si="16"/>
        <v>0.27152478293850724</v>
      </c>
      <c r="N25" s="110">
        <f t="shared" si="16"/>
        <v>0.27152478293850724</v>
      </c>
      <c r="O25" s="110">
        <f t="shared" si="16"/>
        <v>0.27152478293850724</v>
      </c>
      <c r="P25" s="110">
        <f t="shared" si="16"/>
        <v>0.27152478293850724</v>
      </c>
      <c r="Q25" s="110">
        <f t="shared" si="16"/>
        <v>0.27152478293850724</v>
      </c>
      <c r="R25" s="110">
        <f t="shared" si="16"/>
        <v>0.27152478293850724</v>
      </c>
      <c r="S25" s="110">
        <f t="shared" si="16"/>
        <v>0.27152478293850724</v>
      </c>
      <c r="T25" s="110">
        <f t="shared" si="15"/>
        <v>0.27152478293850724</v>
      </c>
      <c r="U25" s="110">
        <f t="shared" si="15"/>
        <v>0.27152478293850724</v>
      </c>
      <c r="V25" s="110">
        <f t="shared" si="15"/>
        <v>0.27152478293850724</v>
      </c>
      <c r="W25" s="110">
        <f t="shared" si="15"/>
        <v>0.27152478293850724</v>
      </c>
      <c r="X25" s="110">
        <f t="shared" si="15"/>
        <v>0.27152478293850724</v>
      </c>
      <c r="Y25" s="110">
        <f t="shared" si="15"/>
        <v>0.27152478293850724</v>
      </c>
      <c r="Z25" s="110">
        <f t="shared" si="15"/>
        <v>0.27152478293850724</v>
      </c>
      <c r="AA25" s="110">
        <f t="shared" si="15"/>
        <v>0.27152478293850724</v>
      </c>
      <c r="AB25" s="110">
        <f t="shared" si="15"/>
        <v>0.27152478293850724</v>
      </c>
      <c r="AC25" s="110">
        <f t="shared" si="15"/>
        <v>0.27152478293850724</v>
      </c>
      <c r="AD25" s="110">
        <f t="shared" si="15"/>
        <v>0.27152478293850724</v>
      </c>
      <c r="AE25" s="110">
        <f t="shared" si="15"/>
        <v>0.27152478293850724</v>
      </c>
      <c r="AF25" s="110">
        <f t="shared" si="15"/>
        <v>0.27152478293850724</v>
      </c>
      <c r="AG25" s="110">
        <f t="shared" si="15"/>
        <v>0.27152478293850724</v>
      </c>
      <c r="AI25" s="54" t="s">
        <v>1263</v>
      </c>
      <c r="AJ25" s="211"/>
      <c r="AM25" s="120"/>
      <c r="AN25" s="115"/>
      <c r="AO25" s="116"/>
      <c r="AP25" s="117"/>
      <c r="AQ25" s="116"/>
    </row>
    <row r="26" spans="1:64" outlineLevel="1" x14ac:dyDescent="0.2">
      <c r="AI26" s="54"/>
      <c r="AM26" s="120"/>
      <c r="AN26" s="115"/>
      <c r="AO26" s="116"/>
      <c r="AP26" s="117"/>
      <c r="AQ26" s="116"/>
      <c r="BD26" s="23"/>
      <c r="BE26" s="23"/>
      <c r="BF26" s="23"/>
      <c r="BG26" s="23"/>
      <c r="BH26" s="23"/>
      <c r="BI26" s="23"/>
      <c r="BJ26" s="23"/>
      <c r="BK26" s="23"/>
      <c r="BL26" s="23"/>
    </row>
    <row r="27" spans="1:64" outlineLevel="1" x14ac:dyDescent="0.2">
      <c r="A27" t="s">
        <v>1282</v>
      </c>
      <c r="B27" s="54" t="s">
        <v>1283</v>
      </c>
      <c r="C27" s="204">
        <f t="shared" ref="C27:AG27" si="17">C14*C21</f>
        <v>102.83867964679865</v>
      </c>
      <c r="D27" s="204">
        <f t="shared" si="17"/>
        <v>106.28598640768944</v>
      </c>
      <c r="E27" s="204">
        <f t="shared" si="17"/>
        <v>109.5616995008031</v>
      </c>
      <c r="F27" s="204">
        <f t="shared" si="17"/>
        <v>112.64333563181849</v>
      </c>
      <c r="G27" s="204">
        <f t="shared" si="17"/>
        <v>115.50931122200963</v>
      </c>
      <c r="H27" s="204">
        <f t="shared" si="17"/>
        <v>118.13919421573216</v>
      </c>
      <c r="I27" s="204">
        <f t="shared" si="17"/>
        <v>120.77395041935485</v>
      </c>
      <c r="J27" s="204">
        <f t="shared" si="17"/>
        <v>123.4111943053117</v>
      </c>
      <c r="K27" s="204">
        <f t="shared" si="17"/>
        <v>126.04847978225341</v>
      </c>
      <c r="L27" s="204">
        <f t="shared" si="17"/>
        <v>128.68330337612264</v>
      </c>
      <c r="M27" s="204">
        <f t="shared" si="17"/>
        <v>131.31310762622246</v>
      </c>
      <c r="N27" s="204">
        <f t="shared" si="17"/>
        <v>133.74365133866885</v>
      </c>
      <c r="O27" s="204">
        <f t="shared" si="17"/>
        <v>135.96145428106598</v>
      </c>
      <c r="P27" s="204">
        <f t="shared" si="17"/>
        <v>137.95398835278621</v>
      </c>
      <c r="Q27" s="204">
        <f t="shared" si="17"/>
        <v>139.70979402380797</v>
      </c>
      <c r="R27" s="204">
        <f t="shared" si="17"/>
        <v>141.21858889442359</v>
      </c>
      <c r="S27" s="204">
        <f t="shared" si="17"/>
        <v>142.72805331994462</v>
      </c>
      <c r="T27" s="204">
        <f t="shared" si="17"/>
        <v>144.23785099543639</v>
      </c>
      <c r="U27" s="204">
        <f t="shared" si="17"/>
        <v>145.74764157846025</v>
      </c>
      <c r="V27" s="204">
        <f t="shared" si="17"/>
        <v>147.25708079644534</v>
      </c>
      <c r="W27" s="204">
        <f t="shared" si="17"/>
        <v>148.76582055762699</v>
      </c>
      <c r="X27" s="204">
        <f t="shared" si="17"/>
        <v>150.27516423982337</v>
      </c>
      <c r="Y27" s="204">
        <f t="shared" si="17"/>
        <v>151.78480881836185</v>
      </c>
      <c r="Z27" s="204">
        <f t="shared" si="17"/>
        <v>153.2944478440792</v>
      </c>
      <c r="AA27" s="204">
        <f t="shared" si="17"/>
        <v>154.80377153088244</v>
      </c>
      <c r="AB27" s="204">
        <f t="shared" si="17"/>
        <v>156.31246684603533</v>
      </c>
      <c r="AC27" s="204">
        <f t="shared" si="17"/>
        <v>157.82170967288491</v>
      </c>
      <c r="AD27" s="204">
        <f t="shared" si="17"/>
        <v>159.33122553085934</v>
      </c>
      <c r="AE27" s="204">
        <f t="shared" si="17"/>
        <v>160.84073700912998</v>
      </c>
      <c r="AF27" s="204">
        <f t="shared" si="17"/>
        <v>162.34996383873036</v>
      </c>
      <c r="AG27" s="204">
        <f t="shared" si="17"/>
        <v>163.85862296678792</v>
      </c>
      <c r="AI27" s="245"/>
      <c r="AM27" s="120"/>
      <c r="AN27" s="115"/>
      <c r="AO27" s="115"/>
      <c r="AP27" s="115"/>
      <c r="AQ27" s="115"/>
      <c r="BD27" s="205"/>
      <c r="BE27" s="205"/>
      <c r="BF27" s="205"/>
      <c r="BG27" s="205"/>
      <c r="BH27" s="205"/>
      <c r="BI27" s="205"/>
      <c r="BJ27" s="205"/>
      <c r="BK27" s="205"/>
      <c r="BL27" s="205"/>
    </row>
    <row r="28" spans="1:64" outlineLevel="1" x14ac:dyDescent="0.2">
      <c r="A28" t="s">
        <v>1284</v>
      </c>
      <c r="B28" s="54" t="s">
        <v>1283</v>
      </c>
      <c r="C28" s="204">
        <f t="shared" ref="C28:AG28" si="18">C15*C22</f>
        <v>2.1856442000720988</v>
      </c>
      <c r="D28" s="204">
        <f t="shared" si="18"/>
        <v>2.2589102712982947</v>
      </c>
      <c r="E28" s="204">
        <f t="shared" si="18"/>
        <v>2.3285294393744862</v>
      </c>
      <c r="F28" s="204">
        <f t="shared" si="18"/>
        <v>2.3940238638421976</v>
      </c>
      <c r="G28" s="204">
        <f t="shared" si="18"/>
        <v>2.4549348260187185</v>
      </c>
      <c r="H28" s="204">
        <f t="shared" si="18"/>
        <v>2.5108280806952612</v>
      </c>
      <c r="I28" s="204">
        <f t="shared" si="18"/>
        <v>2.5668249063529807</v>
      </c>
      <c r="J28" s="204">
        <f t="shared" si="18"/>
        <v>2.6228746030557586</v>
      </c>
      <c r="K28" s="204">
        <f t="shared" si="18"/>
        <v>2.6789251836972952</v>
      </c>
      <c r="L28" s="204">
        <f t="shared" si="18"/>
        <v>2.7349234416089296</v>
      </c>
      <c r="M28" s="204">
        <f t="shared" si="18"/>
        <v>2.7908150227367376</v>
      </c>
      <c r="N28" s="204">
        <f t="shared" si="18"/>
        <v>2.8424716930321492</v>
      </c>
      <c r="O28" s="204">
        <f t="shared" si="18"/>
        <v>2.8896069553147976</v>
      </c>
      <c r="P28" s="204">
        <f t="shared" si="18"/>
        <v>2.9319545481880098</v>
      </c>
      <c r="Q28" s="204">
        <f t="shared" si="18"/>
        <v>2.9692709207289902</v>
      </c>
      <c r="R28" s="204">
        <f t="shared" si="18"/>
        <v>3.0013375397227922</v>
      </c>
      <c r="S28" s="204">
        <f t="shared" si="18"/>
        <v>3.0334183888564659</v>
      </c>
      <c r="T28" s="204">
        <f t="shared" si="18"/>
        <v>3.0655063205962985</v>
      </c>
      <c r="U28" s="204">
        <f t="shared" si="18"/>
        <v>3.0975941015989621</v>
      </c>
      <c r="V28" s="204">
        <f t="shared" si="18"/>
        <v>3.1296744149935063</v>
      </c>
      <c r="W28" s="204">
        <f t="shared" si="18"/>
        <v>3.1617398627391444</v>
      </c>
      <c r="X28" s="204">
        <f t="shared" si="18"/>
        <v>3.1938181456988057</v>
      </c>
      <c r="Y28" s="204">
        <f t="shared" si="18"/>
        <v>3.2259028236486325</v>
      </c>
      <c r="Z28" s="204">
        <f t="shared" si="18"/>
        <v>3.2579873835836088</v>
      </c>
      <c r="AA28" s="204">
        <f t="shared" si="18"/>
        <v>3.2900652415785085</v>
      </c>
      <c r="AB28" s="204">
        <f t="shared" si="18"/>
        <v>3.3221297447067584</v>
      </c>
      <c r="AC28" s="204">
        <f t="shared" si="18"/>
        <v>3.3542058841742581</v>
      </c>
      <c r="AD28" s="204">
        <f t="shared" si="18"/>
        <v>3.3862878264087373</v>
      </c>
      <c r="AE28" s="204">
        <f t="shared" si="18"/>
        <v>3.4183696755607862</v>
      </c>
      <c r="AF28" s="204">
        <f t="shared" si="18"/>
        <v>3.4504454750366103</v>
      </c>
      <c r="AG28" s="204">
        <f t="shared" si="18"/>
        <v>3.4825092090756877</v>
      </c>
      <c r="AM28" s="206"/>
      <c r="BD28" s="205"/>
      <c r="BE28" s="205"/>
      <c r="BF28" s="205"/>
      <c r="BG28" s="205"/>
      <c r="BH28" s="205"/>
      <c r="BI28" s="205"/>
      <c r="BJ28" s="205"/>
      <c r="BK28" s="205"/>
      <c r="BL28" s="205"/>
    </row>
    <row r="29" spans="1:64" outlineLevel="1" x14ac:dyDescent="0.2">
      <c r="A29" t="s">
        <v>1285</v>
      </c>
      <c r="B29" s="54" t="s">
        <v>1283</v>
      </c>
      <c r="C29" s="204">
        <f t="shared" ref="C29:AG29" si="19">C16*C23</f>
        <v>5.752639614679981</v>
      </c>
      <c r="D29" s="204">
        <f t="shared" si="19"/>
        <v>5.945476721348065</v>
      </c>
      <c r="E29" s="204">
        <f t="shared" si="19"/>
        <v>6.1287151387459886</v>
      </c>
      <c r="F29" s="204">
        <f t="shared" si="19"/>
        <v>6.301097185522492</v>
      </c>
      <c r="G29" s="204">
        <f t="shared" si="19"/>
        <v>6.4614155090508003</v>
      </c>
      <c r="H29" s="204">
        <f t="shared" si="19"/>
        <v>6.6085271711571334</v>
      </c>
      <c r="I29" s="204">
        <f t="shared" si="19"/>
        <v>6.7559114332270083</v>
      </c>
      <c r="J29" s="204">
        <f t="shared" si="19"/>
        <v>6.9034348524699753</v>
      </c>
      <c r="K29" s="204">
        <f t="shared" si="19"/>
        <v>7.0509605982494961</v>
      </c>
      <c r="L29" s="204">
        <f t="shared" si="19"/>
        <v>7.1983486300274544</v>
      </c>
      <c r="M29" s="204">
        <f t="shared" si="19"/>
        <v>7.3454558873350795</v>
      </c>
      <c r="N29" s="204">
        <f t="shared" si="19"/>
        <v>7.4814168126741842</v>
      </c>
      <c r="O29" s="204">
        <f t="shared" si="19"/>
        <v>7.6054773423095892</v>
      </c>
      <c r="P29" s="204">
        <f t="shared" si="19"/>
        <v>7.7169366733117464</v>
      </c>
      <c r="Q29" s="204">
        <f t="shared" si="19"/>
        <v>7.8151537769685619</v>
      </c>
      <c r="R29" s="204">
        <f t="shared" si="19"/>
        <v>7.8995534714506324</v>
      </c>
      <c r="S29" s="204">
        <f t="shared" si="19"/>
        <v>7.9839906198176243</v>
      </c>
      <c r="T29" s="204">
        <f t="shared" si="19"/>
        <v>8.0684464096820587</v>
      </c>
      <c r="U29" s="204">
        <f t="shared" si="19"/>
        <v>8.1529018028046014</v>
      </c>
      <c r="V29" s="204">
        <f t="shared" si="19"/>
        <v>8.2373375411003043</v>
      </c>
      <c r="W29" s="204">
        <f t="shared" si="19"/>
        <v>8.3217341528443036</v>
      </c>
      <c r="X29" s="204">
        <f t="shared" si="19"/>
        <v>8.406164547013022</v>
      </c>
      <c r="Y29" s="204">
        <f t="shared" si="19"/>
        <v>8.4906117728663109</v>
      </c>
      <c r="Z29" s="204">
        <f t="shared" si="19"/>
        <v>8.5750586881032156</v>
      </c>
      <c r="AA29" s="204">
        <f t="shared" si="19"/>
        <v>8.6594879637599984</v>
      </c>
      <c r="AB29" s="204">
        <f t="shared" si="19"/>
        <v>8.7438820892606266</v>
      </c>
      <c r="AC29" s="204">
        <f t="shared" si="19"/>
        <v>8.82830684173436</v>
      </c>
      <c r="AD29" s="204">
        <f t="shared" si="19"/>
        <v>8.9127468671547145</v>
      </c>
      <c r="AE29" s="204">
        <f t="shared" si="19"/>
        <v>8.9971866475810884</v>
      </c>
      <c r="AF29" s="204">
        <f t="shared" si="19"/>
        <v>9.0816105051929874</v>
      </c>
      <c r="AG29" s="204">
        <f t="shared" si="19"/>
        <v>9.1660026064424382</v>
      </c>
      <c r="BD29" s="205"/>
      <c r="BE29" s="205"/>
      <c r="BF29" s="205"/>
      <c r="BG29" s="205"/>
      <c r="BH29" s="205"/>
      <c r="BI29" s="205"/>
      <c r="BJ29" s="205"/>
      <c r="BK29" s="205"/>
      <c r="BL29" s="205"/>
    </row>
    <row r="30" spans="1:64" outlineLevel="1" x14ac:dyDescent="0.2">
      <c r="A30" t="s">
        <v>1286</v>
      </c>
      <c r="B30" s="54" t="s">
        <v>1283</v>
      </c>
      <c r="C30" s="204">
        <f t="shared" ref="C30:AG30" si="20">C17*C24</f>
        <v>4.7040655633623691</v>
      </c>
      <c r="D30" s="204">
        <f t="shared" si="20"/>
        <v>4.8617528953657363</v>
      </c>
      <c r="E30" s="204">
        <f t="shared" si="20"/>
        <v>5.0115911586504671</v>
      </c>
      <c r="F30" s="204">
        <f t="shared" si="20"/>
        <v>5.1525519182840052</v>
      </c>
      <c r="G30" s="204">
        <f t="shared" si="20"/>
        <v>5.2836478942879612</v>
      </c>
      <c r="H30" s="204">
        <f t="shared" si="20"/>
        <v>5.4039444798619058</v>
      </c>
      <c r="I30" s="204">
        <f t="shared" si="20"/>
        <v>5.5244639766882395</v>
      </c>
      <c r="J30" s="204">
        <f t="shared" si="20"/>
        <v>5.6450972655317502</v>
      </c>
      <c r="K30" s="204">
        <f t="shared" si="20"/>
        <v>5.7657324568376458</v>
      </c>
      <c r="L30" s="204">
        <f t="shared" si="20"/>
        <v>5.8862550362408781</v>
      </c>
      <c r="M30" s="204">
        <f t="shared" si="20"/>
        <v>6.0065480199097303</v>
      </c>
      <c r="N30" s="204">
        <f t="shared" si="20"/>
        <v>6.1177263918728313</v>
      </c>
      <c r="O30" s="204">
        <f t="shared" si="20"/>
        <v>6.2191735368914705</v>
      </c>
      <c r="P30" s="204">
        <f t="shared" si="20"/>
        <v>6.3103163923112113</v>
      </c>
      <c r="Q30" s="204">
        <f t="shared" si="20"/>
        <v>6.3906307742283754</v>
      </c>
      <c r="R30" s="204">
        <f t="shared" si="20"/>
        <v>6.4596463432479041</v>
      </c>
      <c r="S30" s="204">
        <f t="shared" si="20"/>
        <v>6.5286925391695263</v>
      </c>
      <c r="T30" s="204">
        <f t="shared" si="20"/>
        <v>6.597753978671844</v>
      </c>
      <c r="U30" s="204">
        <f t="shared" si="20"/>
        <v>6.6668150937492028</v>
      </c>
      <c r="V30" s="204">
        <f t="shared" si="20"/>
        <v>6.7358601366231401</v>
      </c>
      <c r="W30" s="204">
        <f t="shared" si="20"/>
        <v>6.8048731848169286</v>
      </c>
      <c r="X30" s="204">
        <f t="shared" si="20"/>
        <v>6.8739138576754657</v>
      </c>
      <c r="Y30" s="204">
        <f t="shared" si="20"/>
        <v>6.9429682941891366</v>
      </c>
      <c r="Z30" s="204">
        <f t="shared" si="20"/>
        <v>7.0120224767046535</v>
      </c>
      <c r="AA30" s="204">
        <f t="shared" si="20"/>
        <v>7.0810622349302861</v>
      </c>
      <c r="AB30" s="204">
        <f t="shared" si="20"/>
        <v>7.1500732500657556</v>
      </c>
      <c r="AC30" s="204">
        <f t="shared" si="20"/>
        <v>7.2191093095807011</v>
      </c>
      <c r="AD30" s="204">
        <f t="shared" si="20"/>
        <v>7.2881578581349515</v>
      </c>
      <c r="AE30" s="204">
        <f t="shared" si="20"/>
        <v>7.3572062063519947</v>
      </c>
      <c r="AF30" s="204">
        <f t="shared" si="20"/>
        <v>7.426241534117862</v>
      </c>
      <c r="AG30" s="204">
        <f t="shared" si="20"/>
        <v>7.4952508939766433</v>
      </c>
      <c r="BD30" s="205"/>
      <c r="BE30" s="205"/>
      <c r="BF30" s="205"/>
      <c r="BG30" s="205"/>
      <c r="BH30" s="205"/>
      <c r="BI30" s="205"/>
      <c r="BJ30" s="205"/>
      <c r="BK30" s="205"/>
      <c r="BL30" s="205"/>
    </row>
    <row r="31" spans="1:64" outlineLevel="1" x14ac:dyDescent="0.2">
      <c r="A31" s="181" t="s">
        <v>1287</v>
      </c>
      <c r="B31" s="176" t="s">
        <v>1283</v>
      </c>
      <c r="C31" s="204">
        <f t="shared" ref="C31:AG31" si="21">C18*C25</f>
        <v>28.091768113202104</v>
      </c>
      <c r="D31" s="204">
        <f t="shared" si="21"/>
        <v>29.033446307385653</v>
      </c>
      <c r="E31" s="204">
        <f t="shared" si="21"/>
        <v>29.928251383969435</v>
      </c>
      <c r="F31" s="204">
        <f t="shared" si="21"/>
        <v>30.770041728799526</v>
      </c>
      <c r="G31" s="204">
        <f t="shared" si="21"/>
        <v>31.552921497134374</v>
      </c>
      <c r="H31" s="204">
        <f t="shared" si="21"/>
        <v>32.271309398245535</v>
      </c>
      <c r="I31" s="204">
        <f t="shared" si="21"/>
        <v>32.991028482166051</v>
      </c>
      <c r="J31" s="204">
        <f t="shared" si="21"/>
        <v>33.711427109965484</v>
      </c>
      <c r="K31" s="204">
        <f t="shared" si="21"/>
        <v>34.431837098901674</v>
      </c>
      <c r="L31" s="204">
        <f t="shared" si="21"/>
        <v>35.151574591374157</v>
      </c>
      <c r="M31" s="204">
        <f t="shared" si="21"/>
        <v>35.869940982605996</v>
      </c>
      <c r="N31" s="204">
        <f t="shared" si="21"/>
        <v>36.533876678722947</v>
      </c>
      <c r="O31" s="204">
        <f t="shared" si="21"/>
        <v>37.139699372991053</v>
      </c>
      <c r="P31" s="204">
        <f t="shared" si="21"/>
        <v>37.683986846271161</v>
      </c>
      <c r="Q31" s="204">
        <f t="shared" si="21"/>
        <v>38.163608773853191</v>
      </c>
      <c r="R31" s="204">
        <f t="shared" si="21"/>
        <v>38.575756379999966</v>
      </c>
      <c r="S31" s="204">
        <f t="shared" si="21"/>
        <v>38.988086884071969</v>
      </c>
      <c r="T31" s="204">
        <f t="shared" si="21"/>
        <v>39.400508419854376</v>
      </c>
      <c r="U31" s="204">
        <f t="shared" si="21"/>
        <v>39.812928018233784</v>
      </c>
      <c r="V31" s="204">
        <f t="shared" si="21"/>
        <v>40.225251636528419</v>
      </c>
      <c r="W31" s="204">
        <f t="shared" si="21"/>
        <v>40.637384188792296</v>
      </c>
      <c r="X31" s="204">
        <f t="shared" si="21"/>
        <v>41.049681710201668</v>
      </c>
      <c r="Y31" s="204">
        <f t="shared" si="21"/>
        <v>41.462061425492728</v>
      </c>
      <c r="Z31" s="204">
        <f t="shared" si="21"/>
        <v>41.874439623956036</v>
      </c>
      <c r="AA31" s="204">
        <f t="shared" si="21"/>
        <v>42.286731683354908</v>
      </c>
      <c r="AB31" s="204">
        <f t="shared" si="21"/>
        <v>42.698852094588425</v>
      </c>
      <c r="AC31" s="204">
        <f t="shared" si="21"/>
        <v>43.111122066003716</v>
      </c>
      <c r="AD31" s="204">
        <f t="shared" si="21"/>
        <v>43.523466619541935</v>
      </c>
      <c r="AE31" s="204">
        <f t="shared" si="21"/>
        <v>43.935809976705173</v>
      </c>
      <c r="AF31" s="204">
        <f t="shared" si="21"/>
        <v>44.348075578256747</v>
      </c>
      <c r="AG31" s="204">
        <f t="shared" si="21"/>
        <v>44.760186104498587</v>
      </c>
      <c r="AL31" s="108"/>
      <c r="AM31" s="207"/>
      <c r="AN31" s="207"/>
      <c r="AO31" s="207"/>
    </row>
    <row r="32" spans="1:64" s="1" customFormat="1" ht="16" thickBot="1" x14ac:dyDescent="0.25">
      <c r="A32" s="200" t="s">
        <v>1288</v>
      </c>
      <c r="B32" s="219" t="s">
        <v>1283</v>
      </c>
      <c r="C32" s="216">
        <f>SUM(C27:C31)</f>
        <v>143.57279713811519</v>
      </c>
      <c r="D32" s="216">
        <f t="shared" ref="D32:AG32" si="22">SUM(D27:D31)</f>
        <v>148.38557260308718</v>
      </c>
      <c r="E32" s="216">
        <f t="shared" si="22"/>
        <v>152.95878662154348</v>
      </c>
      <c r="F32" s="216">
        <f t="shared" si="22"/>
        <v>157.26105032826672</v>
      </c>
      <c r="G32" s="216">
        <f t="shared" si="22"/>
        <v>161.26223094850147</v>
      </c>
      <c r="H32" s="216">
        <f t="shared" si="22"/>
        <v>164.93380334569201</v>
      </c>
      <c r="I32" s="216">
        <f t="shared" si="22"/>
        <v>168.61217921778913</v>
      </c>
      <c r="J32" s="216">
        <f t="shared" si="22"/>
        <v>172.29402813633467</v>
      </c>
      <c r="K32" s="216">
        <f t="shared" si="22"/>
        <v>175.97593511993952</v>
      </c>
      <c r="L32" s="216">
        <f t="shared" si="22"/>
        <v>179.65440507537406</v>
      </c>
      <c r="M32" s="216">
        <f t="shared" si="22"/>
        <v>183.32586753881003</v>
      </c>
      <c r="N32" s="216">
        <f t="shared" si="22"/>
        <v>186.71914291497094</v>
      </c>
      <c r="O32" s="216">
        <f t="shared" si="22"/>
        <v>189.81541148857292</v>
      </c>
      <c r="P32" s="216">
        <f t="shared" si="22"/>
        <v>192.59718281286834</v>
      </c>
      <c r="Q32" s="216">
        <f t="shared" si="22"/>
        <v>195.04845826958712</v>
      </c>
      <c r="R32" s="216">
        <f t="shared" si="22"/>
        <v>197.15488262884489</v>
      </c>
      <c r="S32" s="216">
        <f t="shared" si="22"/>
        <v>199.26224175186022</v>
      </c>
      <c r="T32" s="216">
        <f t="shared" si="22"/>
        <v>201.37006612424096</v>
      </c>
      <c r="U32" s="216">
        <f t="shared" si="22"/>
        <v>203.47788059484677</v>
      </c>
      <c r="V32" s="216">
        <f t="shared" si="22"/>
        <v>205.5852045256907</v>
      </c>
      <c r="W32" s="216">
        <f t="shared" si="22"/>
        <v>207.69155194681969</v>
      </c>
      <c r="X32" s="216">
        <f t="shared" si="22"/>
        <v>209.79874250041232</v>
      </c>
      <c r="Y32" s="216">
        <f t="shared" si="22"/>
        <v>211.90635313455866</v>
      </c>
      <c r="Z32" s="216">
        <f t="shared" si="22"/>
        <v>214.01395601642673</v>
      </c>
      <c r="AA32" s="216">
        <f t="shared" si="22"/>
        <v>216.12111865450612</v>
      </c>
      <c r="AB32" s="216">
        <f t="shared" si="22"/>
        <v>218.22740402465692</v>
      </c>
      <c r="AC32" s="216">
        <f t="shared" si="22"/>
        <v>220.33445377437795</v>
      </c>
      <c r="AD32" s="216">
        <f t="shared" si="22"/>
        <v>222.44188470209969</v>
      </c>
      <c r="AE32" s="216">
        <f t="shared" si="22"/>
        <v>224.54930951532904</v>
      </c>
      <c r="AF32" s="216">
        <f t="shared" si="22"/>
        <v>226.65633693133458</v>
      </c>
      <c r="AG32" s="216">
        <f t="shared" si="22"/>
        <v>228.76257178078129</v>
      </c>
      <c r="AJ32" s="162"/>
      <c r="AL32" s="221"/>
      <c r="AM32" s="124"/>
      <c r="AN32" s="124"/>
      <c r="AO32" s="124"/>
    </row>
    <row r="33" spans="1:64" ht="16" outlineLevel="1" thickTop="1" x14ac:dyDescent="0.2">
      <c r="AL33" s="108"/>
      <c r="AM33" s="2"/>
      <c r="AN33" s="2"/>
      <c r="AO33" s="2"/>
    </row>
    <row r="34" spans="1:64" outlineLevel="1" x14ac:dyDescent="0.2">
      <c r="A34" t="s">
        <v>1289</v>
      </c>
      <c r="B34" s="176" t="s">
        <v>1283</v>
      </c>
      <c r="C34" s="107">
        <f>C32</f>
        <v>143.57279713811519</v>
      </c>
      <c r="D34" s="107">
        <f t="shared" ref="D34:AG34" si="23">D32</f>
        <v>148.38557260308718</v>
      </c>
      <c r="E34" s="107">
        <f t="shared" si="23"/>
        <v>152.95878662154348</v>
      </c>
      <c r="F34" s="107">
        <f t="shared" si="23"/>
        <v>157.26105032826672</v>
      </c>
      <c r="G34" s="107">
        <f t="shared" si="23"/>
        <v>161.26223094850147</v>
      </c>
      <c r="H34" s="107">
        <f t="shared" si="23"/>
        <v>164.93380334569201</v>
      </c>
      <c r="I34" s="107">
        <f t="shared" si="23"/>
        <v>168.61217921778913</v>
      </c>
      <c r="J34" s="107">
        <f t="shared" si="23"/>
        <v>172.29402813633467</v>
      </c>
      <c r="K34" s="107">
        <f t="shared" si="23"/>
        <v>175.97593511993952</v>
      </c>
      <c r="L34" s="107">
        <f t="shared" si="23"/>
        <v>179.65440507537406</v>
      </c>
      <c r="M34" s="107">
        <f t="shared" si="23"/>
        <v>183.32586753881003</v>
      </c>
      <c r="N34" s="107">
        <f t="shared" si="23"/>
        <v>186.71914291497094</v>
      </c>
      <c r="O34" s="107">
        <f t="shared" si="23"/>
        <v>189.81541148857292</v>
      </c>
      <c r="P34" s="107">
        <f t="shared" si="23"/>
        <v>192.59718281286834</v>
      </c>
      <c r="Q34" s="107">
        <f t="shared" si="23"/>
        <v>195.04845826958712</v>
      </c>
      <c r="R34" s="107">
        <f t="shared" si="23"/>
        <v>197.15488262884489</v>
      </c>
      <c r="S34" s="107">
        <f t="shared" si="23"/>
        <v>199.26224175186022</v>
      </c>
      <c r="T34" s="107">
        <f t="shared" si="23"/>
        <v>201.37006612424096</v>
      </c>
      <c r="U34" s="107">
        <f t="shared" si="23"/>
        <v>203.47788059484677</v>
      </c>
      <c r="V34" s="107">
        <f t="shared" si="23"/>
        <v>205.5852045256907</v>
      </c>
      <c r="W34" s="107">
        <f t="shared" si="23"/>
        <v>207.69155194681969</v>
      </c>
      <c r="X34" s="107">
        <f t="shared" si="23"/>
        <v>209.79874250041232</v>
      </c>
      <c r="Y34" s="107">
        <f t="shared" si="23"/>
        <v>211.90635313455866</v>
      </c>
      <c r="Z34" s="107">
        <f t="shared" si="23"/>
        <v>214.01395601642673</v>
      </c>
      <c r="AA34" s="107">
        <f t="shared" si="23"/>
        <v>216.12111865450612</v>
      </c>
      <c r="AB34" s="107">
        <f t="shared" si="23"/>
        <v>218.22740402465692</v>
      </c>
      <c r="AC34" s="107">
        <f t="shared" si="23"/>
        <v>220.33445377437795</v>
      </c>
      <c r="AD34" s="107">
        <f t="shared" si="23"/>
        <v>222.44188470209969</v>
      </c>
      <c r="AE34" s="107">
        <f t="shared" si="23"/>
        <v>224.54930951532904</v>
      </c>
      <c r="AF34" s="107">
        <f t="shared" si="23"/>
        <v>226.65633693133458</v>
      </c>
      <c r="AG34" s="107">
        <f t="shared" si="23"/>
        <v>228.76257178078129</v>
      </c>
      <c r="AL34" s="108"/>
      <c r="AM34" s="2"/>
      <c r="AN34" s="2"/>
      <c r="AO34" s="2"/>
    </row>
    <row r="35" spans="1:64" outlineLevel="1" x14ac:dyDescent="0.2">
      <c r="A35" t="s">
        <v>1290</v>
      </c>
      <c r="B35" s="176" t="s">
        <v>1283</v>
      </c>
      <c r="C35" s="107">
        <f>'Yearly Demand - Eth&amp;Prop'!N3</f>
        <v>162.69230769230768</v>
      </c>
      <c r="D35" s="107">
        <f>'Yearly Demand - Eth&amp;Prop'!O3</f>
        <v>166.71878063819926</v>
      </c>
      <c r="E35" s="107">
        <f>'Yearly Demand - Eth&amp;Prop'!P3</f>
        <v>170.84490478834238</v>
      </c>
      <c r="F35" s="107">
        <f>'Yearly Demand - Eth&amp;Prop'!Q3</f>
        <v>175.07314641101752</v>
      </c>
      <c r="G35" s="107">
        <f>'Yearly Demand - Eth&amp;Prop'!R3</f>
        <v>179.40603281219435</v>
      </c>
      <c r="H35" s="107">
        <f>'Yearly Demand - Eth&amp;Prop'!S3</f>
        <v>183.84615384615384</v>
      </c>
      <c r="I35" s="107">
        <f>'Yearly Demand - Eth&amp;Prop'!T3</f>
        <v>187.89464856761026</v>
      </c>
      <c r="J35" s="107">
        <f>'Yearly Demand - Eth&amp;Prop'!U3</f>
        <v>192.03229560020711</v>
      </c>
      <c r="K35" s="107">
        <f>'Yearly Demand - Eth&amp;Prop'!V3</f>
        <v>196.26105817599196</v>
      </c>
      <c r="L35" s="107">
        <f>'Yearly Demand - Eth&amp;Prop'!W3</f>
        <v>200.58294275954361</v>
      </c>
      <c r="M35" s="107">
        <f>'Yearly Demand - Eth&amp;Prop'!X3</f>
        <v>205</v>
      </c>
      <c r="N35" s="107">
        <f>'Yearly Demand - Eth&amp;Prop'!Y3</f>
        <v>207.44116419514421</v>
      </c>
      <c r="O35" s="107">
        <f>'Yearly Demand - Eth&amp;Prop'!Z3</f>
        <v>209.91139806164284</v>
      </c>
      <c r="P35" s="107">
        <f>'Yearly Demand - Eth&amp;Prop'!AA3</f>
        <v>212.41104776457331</v>
      </c>
      <c r="Q35" s="107">
        <f>'Yearly Demand - Eth&amp;Prop'!AB3</f>
        <v>214.94046359118767</v>
      </c>
      <c r="R35" s="107">
        <f>'Yearly Demand - Eth&amp;Prop'!AC3</f>
        <v>217.5</v>
      </c>
      <c r="S35" s="107">
        <f>'Yearly Demand - Eth&amp;Prop'!AD3</f>
        <v>219.94443410654205</v>
      </c>
      <c r="T35" s="107">
        <f>'Yearly Demand - Eth&amp;Prop'!AE3</f>
        <v>222.41634066412422</v>
      </c>
      <c r="U35" s="107">
        <f>'Yearly Demand - Eth&amp;Prop'!AF3</f>
        <v>224.91602842951116</v>
      </c>
      <c r="V35" s="107">
        <f>'Yearly Demand - Eth&amp;Prop'!AG3</f>
        <v>227.4438096295161</v>
      </c>
      <c r="W35" s="107">
        <f>'Yearly Demand - Eth&amp;Prop'!AH3</f>
        <v>230</v>
      </c>
      <c r="X35" s="107">
        <f>'Yearly Demand - Eth&amp;Prop'!AI3</f>
        <v>232.44735963345383</v>
      </c>
      <c r="Y35" s="107">
        <f>'Yearly Demand - Eth&amp;Prop'!AJ3</f>
        <v>234.92076087201835</v>
      </c>
      <c r="Z35" s="107">
        <f>'Yearly Demand - Eth&amp;Prop'!AK3</f>
        <v>237.42048081644634</v>
      </c>
      <c r="AA35" s="107">
        <f>'Yearly Demand - Eth&amp;Prop'!AL3</f>
        <v>239.9467995160349</v>
      </c>
      <c r="AB35" s="107">
        <f>'Yearly Demand - Eth&amp;Prop'!AM3</f>
        <v>242.5</v>
      </c>
      <c r="AC35" s="107">
        <f>'Yearly Demand - Eth&amp;Prop'!AN3</f>
        <v>244.9499924675749</v>
      </c>
      <c r="AD35" s="107">
        <f>'Yearly Demand - Eth&amp;Prop'!AO3</f>
        <v>247.42473736026807</v>
      </c>
      <c r="AE35" s="107">
        <f>'Yearly Demand - Eth&amp;Prop'!AP3</f>
        <v>249.9244847533582</v>
      </c>
      <c r="AF35" s="107">
        <f>'Yearly Demand - Eth&amp;Prop'!AQ3</f>
        <v>252.44948724865003</v>
      </c>
      <c r="AG35" s="107">
        <f>'Yearly Demand - Eth&amp;Prop'!AR3</f>
        <v>255</v>
      </c>
      <c r="AL35" s="108"/>
      <c r="AM35" s="2"/>
      <c r="AN35" s="2"/>
      <c r="AO35" s="2"/>
    </row>
    <row r="36" spans="1:64" outlineLevel="1" x14ac:dyDescent="0.2">
      <c r="A36" t="s">
        <v>1291</v>
      </c>
      <c r="B36" s="176" t="s">
        <v>1283</v>
      </c>
      <c r="C36" s="107">
        <f>C35-C34</f>
        <v>19.119510554192487</v>
      </c>
      <c r="D36" s="107">
        <f t="shared" ref="D36:AG36" si="24">D35-D34</f>
        <v>18.333208035112079</v>
      </c>
      <c r="E36" s="107">
        <f t="shared" si="24"/>
        <v>17.886118166798894</v>
      </c>
      <c r="F36" s="107">
        <f t="shared" si="24"/>
        <v>17.812096082750799</v>
      </c>
      <c r="G36" s="107">
        <f t="shared" si="24"/>
        <v>18.143801863692886</v>
      </c>
      <c r="H36" s="107">
        <f t="shared" si="24"/>
        <v>18.912350500461827</v>
      </c>
      <c r="I36" s="107">
        <f t="shared" si="24"/>
        <v>19.282469349821127</v>
      </c>
      <c r="J36" s="107">
        <f t="shared" si="24"/>
        <v>19.738267463872432</v>
      </c>
      <c r="K36" s="107">
        <f t="shared" si="24"/>
        <v>20.285123056052441</v>
      </c>
      <c r="L36" s="107">
        <f t="shared" si="24"/>
        <v>20.928537684169555</v>
      </c>
      <c r="M36" s="107">
        <f t="shared" si="24"/>
        <v>21.67413246118997</v>
      </c>
      <c r="N36" s="107">
        <f t="shared" si="24"/>
        <v>20.722021280173266</v>
      </c>
      <c r="O36" s="107">
        <f t="shared" si="24"/>
        <v>20.095986573069922</v>
      </c>
      <c r="P36" s="107">
        <f t="shared" si="24"/>
        <v>19.813864951704971</v>
      </c>
      <c r="Q36" s="107">
        <f t="shared" si="24"/>
        <v>19.89200532160055</v>
      </c>
      <c r="R36" s="107">
        <f t="shared" si="24"/>
        <v>20.345117371155112</v>
      </c>
      <c r="S36" s="107">
        <f t="shared" si="24"/>
        <v>20.682192354681831</v>
      </c>
      <c r="T36" s="107">
        <f t="shared" si="24"/>
        <v>21.046274539883257</v>
      </c>
      <c r="U36" s="107">
        <f t="shared" si="24"/>
        <v>21.438147834664392</v>
      </c>
      <c r="V36" s="107">
        <f t="shared" si="24"/>
        <v>21.858605103825397</v>
      </c>
      <c r="W36" s="107">
        <f t="shared" si="24"/>
        <v>22.308448053180314</v>
      </c>
      <c r="X36" s="107">
        <f t="shared" si="24"/>
        <v>22.648617133041512</v>
      </c>
      <c r="Y36" s="107">
        <f t="shared" si="24"/>
        <v>23.014407737459692</v>
      </c>
      <c r="Z36" s="107">
        <f t="shared" si="24"/>
        <v>23.406524800019611</v>
      </c>
      <c r="AA36" s="107">
        <f t="shared" si="24"/>
        <v>23.825680861528781</v>
      </c>
      <c r="AB36" s="107">
        <f t="shared" si="24"/>
        <v>24.27259597534308</v>
      </c>
      <c r="AC36" s="107">
        <f t="shared" si="24"/>
        <v>24.615538693196953</v>
      </c>
      <c r="AD36" s="107">
        <f t="shared" si="24"/>
        <v>24.982852658168383</v>
      </c>
      <c r="AE36" s="107">
        <f t="shared" si="24"/>
        <v>25.375175238029158</v>
      </c>
      <c r="AF36" s="107">
        <f t="shared" si="24"/>
        <v>25.793150317315451</v>
      </c>
      <c r="AG36" s="107">
        <f t="shared" si="24"/>
        <v>26.237428219218714</v>
      </c>
      <c r="AL36" s="108"/>
      <c r="AM36" s="2"/>
      <c r="AN36" s="2"/>
      <c r="AO36" s="2"/>
    </row>
    <row r="37" spans="1:64" outlineLevel="1" x14ac:dyDescent="0.2">
      <c r="A37" t="s">
        <v>1292</v>
      </c>
      <c r="B37" s="54" t="s">
        <v>462</v>
      </c>
      <c r="C37" s="2">
        <f>C34/C35</f>
        <v>0.88248054978510526</v>
      </c>
      <c r="D37" s="2">
        <f t="shared" ref="D37:AG37" si="25">D34/D35</f>
        <v>0.89003513602407247</v>
      </c>
      <c r="E37" s="2">
        <f t="shared" si="25"/>
        <v>0.89530786306470311</v>
      </c>
      <c r="F37" s="2">
        <f t="shared" si="25"/>
        <v>0.89825911941438741</v>
      </c>
      <c r="G37" s="2">
        <f t="shared" si="25"/>
        <v>0.89886738155184465</v>
      </c>
      <c r="H37" s="2">
        <f t="shared" si="25"/>
        <v>0.89712947426527034</v>
      </c>
      <c r="I37" s="2">
        <f t="shared" si="25"/>
        <v>0.89737616533084652</v>
      </c>
      <c r="J37" s="2">
        <f t="shared" si="25"/>
        <v>0.89721381290485835</v>
      </c>
      <c r="K37" s="2">
        <f t="shared" si="25"/>
        <v>0.89664213958399075</v>
      </c>
      <c r="L37" s="2">
        <f t="shared" si="25"/>
        <v>0.89566142865269238</v>
      </c>
      <c r="M37" s="2">
        <f t="shared" si="25"/>
        <v>0.89427252457956108</v>
      </c>
      <c r="N37" s="2">
        <f t="shared" si="25"/>
        <v>0.90010651280051812</v>
      </c>
      <c r="O37" s="2">
        <f t="shared" si="25"/>
        <v>0.9042644336675395</v>
      </c>
      <c r="P37" s="2">
        <f t="shared" si="25"/>
        <v>0.90671923536827637</v>
      </c>
      <c r="Q37" s="2">
        <f t="shared" si="25"/>
        <v>0.90745341761505305</v>
      </c>
      <c r="R37" s="2">
        <f t="shared" si="25"/>
        <v>0.90645923047744781</v>
      </c>
      <c r="S37" s="2">
        <f t="shared" si="25"/>
        <v>0.90596628444499172</v>
      </c>
      <c r="T37" s="2">
        <f t="shared" si="25"/>
        <v>0.90537442313347971</v>
      </c>
      <c r="U37" s="2">
        <f t="shared" si="25"/>
        <v>0.90468377027481117</v>
      </c>
      <c r="V37" s="2">
        <f t="shared" si="25"/>
        <v>0.90389448216053481</v>
      </c>
      <c r="W37" s="2">
        <f t="shared" si="25"/>
        <v>0.90300674759486821</v>
      </c>
      <c r="X37" s="2">
        <f t="shared" si="25"/>
        <v>0.90256453259457925</v>
      </c>
      <c r="Y37" s="2">
        <f t="shared" si="25"/>
        <v>0.90203331688510224</v>
      </c>
      <c r="Z37" s="2">
        <f t="shared" si="25"/>
        <v>0.90141320277202375</v>
      </c>
      <c r="AA37" s="2">
        <f t="shared" si="25"/>
        <v>0.90070431900077674</v>
      </c>
      <c r="AB37" s="2">
        <f t="shared" si="25"/>
        <v>0.89990682072023476</v>
      </c>
      <c r="AC37" s="2">
        <f t="shared" si="25"/>
        <v>0.89950790181610063</v>
      </c>
      <c r="AD37" s="2">
        <f t="shared" si="25"/>
        <v>0.8990284765997687</v>
      </c>
      <c r="AE37" s="2">
        <f t="shared" si="25"/>
        <v>0.89846863038220914</v>
      </c>
      <c r="AF37" s="2">
        <f t="shared" si="25"/>
        <v>0.89782847016872525</v>
      </c>
      <c r="AG37" s="2">
        <f t="shared" si="25"/>
        <v>0.89710812463051481</v>
      </c>
      <c r="AI37" s="208" t="s">
        <v>1293</v>
      </c>
      <c r="AL37" s="108"/>
      <c r="AM37" s="2"/>
      <c r="AN37" s="2"/>
      <c r="AO37" s="2"/>
    </row>
    <row r="38" spans="1:64" outlineLevel="1" x14ac:dyDescent="0.2">
      <c r="AL38" s="108"/>
      <c r="AM38" s="2"/>
      <c r="AN38" s="2"/>
      <c r="AO38" s="2"/>
    </row>
    <row r="39" spans="1:64" outlineLevel="1" x14ac:dyDescent="0.2">
      <c r="A39" t="s">
        <v>1294</v>
      </c>
      <c r="B39" s="54" t="s">
        <v>462</v>
      </c>
      <c r="C39" s="23">
        <f>'Yearly HC Ethylene'!D33/'Yearly HC Ethylene'!D26</f>
        <v>1</v>
      </c>
      <c r="D39" s="23">
        <f>'Yearly HC Ethylene'!E33/'Yearly HC Ethylene'!E26</f>
        <v>0.98669999999999991</v>
      </c>
      <c r="E39" s="23">
        <f>'Yearly HC Ethylene'!F33/'Yearly HC Ethylene'!F26</f>
        <v>0.97340000000000004</v>
      </c>
      <c r="F39" s="23">
        <f>'Yearly HC Ethylene'!G33/'Yearly HC Ethylene'!G26</f>
        <v>0.96010000000000006</v>
      </c>
      <c r="G39" s="23">
        <f>'Yearly HC Ethylene'!H33/'Yearly HC Ethylene'!H26</f>
        <v>0.94679999999999997</v>
      </c>
      <c r="H39" s="23">
        <f>'Yearly HC Ethylene'!I33/'Yearly HC Ethylene'!I26</f>
        <v>0.9335</v>
      </c>
      <c r="I39" s="23">
        <f>'Yearly HC Ethylene'!J33/'Yearly HC Ethylene'!J26</f>
        <v>0.92020000000000002</v>
      </c>
      <c r="J39" s="23">
        <f>'Yearly HC Ethylene'!K33/'Yearly HC Ethylene'!K26</f>
        <v>0.90690000000000004</v>
      </c>
      <c r="K39" s="23">
        <f>'Yearly HC Ethylene'!L33/'Yearly HC Ethylene'!L26</f>
        <v>0.89359999999999995</v>
      </c>
      <c r="L39" s="23">
        <f>'Yearly HC Ethylene'!M33/'Yearly HC Ethylene'!M26</f>
        <v>0.88029999999999997</v>
      </c>
      <c r="M39" s="23">
        <f>'Yearly HC Ethylene'!N33/'Yearly HC Ethylene'!N26</f>
        <v>0.8670000000000001</v>
      </c>
      <c r="N39" s="23">
        <f>'Yearly HC Ethylene'!O33/'Yearly HC Ethylene'!O26</f>
        <v>0.843364</v>
      </c>
      <c r="O39" s="23">
        <f>'Yearly HC Ethylene'!P33/'Yearly HC Ethylene'!P26</f>
        <v>0.823237</v>
      </c>
      <c r="P39" s="23">
        <f>'Yearly HC Ethylene'!Q33/'Yearly HC Ethylene'!Q26</f>
        <v>0.799238</v>
      </c>
      <c r="Q39" s="23">
        <f>'Yearly HC Ethylene'!R33/'Yearly HC Ethylene'!R26</f>
        <v>0.77523900000000012</v>
      </c>
      <c r="R39" s="23">
        <f>'Yearly HC Ethylene'!S33/'Yearly HC Ethylene'!S26</f>
        <v>0.75124000000000002</v>
      </c>
      <c r="S39" s="23">
        <f>'Yearly HC Ethylene'!T33/'Yearly HC Ethylene'!T26</f>
        <v>0.72724099999999992</v>
      </c>
      <c r="T39" s="23">
        <f>'Yearly HC Ethylene'!U33/'Yearly HC Ethylene'!U26</f>
        <v>0.70324200000000014</v>
      </c>
      <c r="U39" s="23">
        <f>'Yearly HC Ethylene'!V33/'Yearly HC Ethylene'!V26</f>
        <v>0.67924300000000004</v>
      </c>
      <c r="V39" s="23">
        <f>'Yearly HC Ethylene'!W33/'Yearly HC Ethylene'!W26</f>
        <v>0.65524399999999994</v>
      </c>
      <c r="W39" s="23">
        <f>'Yearly HC Ethylene'!X33/'Yearly HC Ethylene'!X26</f>
        <v>0.63124499999999995</v>
      </c>
      <c r="X39" s="23">
        <f>'Yearly HC Ethylene'!Y33/'Yearly HC Ethylene'!Y26</f>
        <v>0.59561700000000006</v>
      </c>
      <c r="Y39" s="23">
        <f>'Yearly HC Ethylene'!Z33/'Yearly HC Ethylene'!Z26</f>
        <v>0.57110400000000006</v>
      </c>
      <c r="Z39" s="23">
        <f>'Yearly HC Ethylene'!AA33/'Yearly HC Ethylene'!AA26</f>
        <v>0.54659100000000016</v>
      </c>
      <c r="AA39" s="23">
        <f>'Yearly HC Ethylene'!AB33/'Yearly HC Ethylene'!AB26</f>
        <v>0.52207800000000004</v>
      </c>
      <c r="AB39" s="23">
        <f>'Yearly HC Ethylene'!AC33/'Yearly HC Ethylene'!AC26</f>
        <v>0.49756500000000009</v>
      </c>
      <c r="AC39" s="23">
        <f>'Yearly HC Ethylene'!AD33/'Yearly HC Ethylene'!AD26</f>
        <v>0.47305199999999997</v>
      </c>
      <c r="AD39" s="23">
        <f>'Yearly HC Ethylene'!AE33/'Yearly HC Ethylene'!AE26</f>
        <v>0.44853900000000002</v>
      </c>
      <c r="AE39" s="23">
        <f>'Yearly HC Ethylene'!AF33/'Yearly HC Ethylene'!AF26</f>
        <v>0.42402600000000013</v>
      </c>
      <c r="AF39" s="23">
        <f>'Yearly HC Ethylene'!AG33/'Yearly HC Ethylene'!AG26</f>
        <v>0.39951300000000006</v>
      </c>
      <c r="AG39" s="23">
        <f>'Yearly HC Ethylene'!AH33/'Yearly HC Ethylene'!AH26</f>
        <v>0.37500000000000006</v>
      </c>
      <c r="AL39" s="108"/>
      <c r="AM39" s="2"/>
      <c r="AN39" s="2"/>
      <c r="AO39" s="2"/>
      <c r="BC39" s="1"/>
      <c r="BD39" s="122"/>
      <c r="BE39" s="122"/>
      <c r="BF39" s="122"/>
      <c r="BG39" s="122"/>
      <c r="BH39" s="122"/>
      <c r="BI39" s="122"/>
      <c r="BJ39" s="122"/>
      <c r="BK39" s="122"/>
    </row>
    <row r="40" spans="1:64" outlineLevel="1" x14ac:dyDescent="0.2">
      <c r="A40" t="s">
        <v>1295</v>
      </c>
      <c r="B40" s="54" t="s">
        <v>462</v>
      </c>
      <c r="C40" s="23">
        <f>'Yearly HC Ethylene'!D19/'Yearly HC Ethylene'!D12</f>
        <v>1</v>
      </c>
      <c r="D40" s="23">
        <f>'Yearly HC Ethylene'!E19/'Yearly HC Ethylene'!E12</f>
        <v>0.99659614386000017</v>
      </c>
      <c r="E40" s="23">
        <f>'Yearly HC Ethylene'!F19/'Yearly HC Ethylene'!F12</f>
        <v>0.99318463087999997</v>
      </c>
      <c r="F40" s="23">
        <f>'Yearly HC Ethylene'!G19/'Yearly HC Ethylene'!G12</f>
        <v>0.98976554421999996</v>
      </c>
      <c r="G40" s="23">
        <f>'Yearly HC Ethylene'!H19/'Yearly HC Ethylene'!H12</f>
        <v>0.98633896704000013</v>
      </c>
      <c r="H40" s="23">
        <f>'Yearly HC Ethylene'!I19/'Yearly HC Ethylene'!I12</f>
        <v>0.98290498250000002</v>
      </c>
      <c r="I40" s="23">
        <f>'Yearly HC Ethylene'!J19/'Yearly HC Ethylene'!J12</f>
        <v>0.97946367375999999</v>
      </c>
      <c r="J40" s="23">
        <f>'Yearly HC Ethylene'!K19/'Yearly HC Ethylene'!K12</f>
        <v>0.97601512398000001</v>
      </c>
      <c r="K40" s="23">
        <f>'Yearly HC Ethylene'!L19/'Yearly HC Ethylene'!L12</f>
        <v>0.97255941632000009</v>
      </c>
      <c r="L40" s="23">
        <f>'Yearly HC Ethylene'!M19/'Yearly HC Ethylene'!M12</f>
        <v>0.96909663394000012</v>
      </c>
      <c r="M40" s="23">
        <f>'Yearly HC Ethylene'!N19/'Yearly HC Ethylene'!N12</f>
        <v>0.96562685999999998</v>
      </c>
      <c r="N40" s="23">
        <f>'Yearly HC Ethylene'!O19/'Yearly HC Ethylene'!O12</f>
        <v>0.95424544924999999</v>
      </c>
      <c r="O40" s="23">
        <f>'Yearly HC Ethylene'!P19/'Yearly HC Ethylene'!P12</f>
        <v>0.94283530240000002</v>
      </c>
      <c r="P40" s="23">
        <f>'Yearly HC Ethylene'!Q19/'Yearly HC Ethylene'!Q12</f>
        <v>0.93139829055000001</v>
      </c>
      <c r="Q40" s="23">
        <f>'Yearly HC Ethylene'!R19/'Yearly HC Ethylene'!R12</f>
        <v>0.9199362848</v>
      </c>
      <c r="R40" s="23">
        <f>'Yearly HC Ethylene'!S19/'Yearly HC Ethylene'!S12</f>
        <v>0.90845115624999995</v>
      </c>
      <c r="S40" s="23">
        <f>'Yearly HC Ethylene'!T19/'Yearly HC Ethylene'!T12</f>
        <v>0.896944776</v>
      </c>
      <c r="T40" s="23">
        <f>'Yearly HC Ethylene'!U19/'Yearly HC Ethylene'!U12</f>
        <v>0.88541901514999999</v>
      </c>
      <c r="U40" s="23">
        <f>'Yearly HC Ethylene'!V19/'Yearly HC Ethylene'!V12</f>
        <v>0.87387574479999985</v>
      </c>
      <c r="V40" s="23">
        <f>'Yearly HC Ethylene'!W19/'Yearly HC Ethylene'!W12</f>
        <v>0.86231683604999998</v>
      </c>
      <c r="W40" s="23">
        <f>'Yearly HC Ethylene'!X19/'Yearly HC Ethylene'!X12</f>
        <v>0.85074415999999997</v>
      </c>
      <c r="X40" s="23">
        <f>'Yearly HC Ethylene'!Y19/'Yearly HC Ethylene'!Y12</f>
        <v>0.82220114324000004</v>
      </c>
      <c r="Y40" s="23">
        <f>'Yearly HC Ethylene'!Z19/'Yearly HC Ethylene'!Z12</f>
        <v>0.79402206271999998</v>
      </c>
      <c r="Z40" s="23">
        <f>'Yearly HC Ethylene'!AA19/'Yearly HC Ethylene'!AA12</f>
        <v>0.76621140908000007</v>
      </c>
      <c r="AA40" s="23">
        <f>'Yearly HC Ethylene'!AB19/'Yearly HC Ethylene'!AB12</f>
        <v>0.73877367296000007</v>
      </c>
      <c r="AB40" s="23">
        <f>'Yearly HC Ethylene'!AC19/'Yearly HC Ethylene'!AC12</f>
        <v>0.71171334499999994</v>
      </c>
      <c r="AC40" s="23">
        <f>'Yearly HC Ethylene'!AD19/'Yearly HC Ethylene'!AD12</f>
        <v>0.68503491583999998</v>
      </c>
      <c r="AD40" s="23">
        <f>'Yearly HC Ethylene'!AE19/'Yearly HC Ethylene'!AE12</f>
        <v>0.65874287611999993</v>
      </c>
      <c r="AE40" s="23">
        <f>'Yearly HC Ethylene'!AF19/'Yearly HC Ethylene'!AF12</f>
        <v>0.63284171648000009</v>
      </c>
      <c r="AF40" s="23">
        <f>'Yearly HC Ethylene'!AG19/'Yearly HC Ethylene'!AG12</f>
        <v>0.60733592755999999</v>
      </c>
      <c r="AG40" s="23">
        <f>'Yearly HC Ethylene'!AH19/'Yearly HC Ethylene'!AH12</f>
        <v>0.58223000000000003</v>
      </c>
      <c r="AL40" s="108"/>
      <c r="AM40" s="2"/>
      <c r="AN40" s="2"/>
      <c r="AO40" s="2"/>
      <c r="BL40" s="1"/>
    </row>
    <row r="41" spans="1:64" outlineLevel="1" x14ac:dyDescent="0.2">
      <c r="A41" t="s">
        <v>1296</v>
      </c>
      <c r="B41" s="54" t="s">
        <v>462</v>
      </c>
      <c r="C41" s="23">
        <f>'Yearly HC Ethylene'!D43/'Yearly HC Ethylene'!D40</f>
        <v>1</v>
      </c>
      <c r="D41" s="23">
        <f>'Yearly HC Ethylene'!E43/'Yearly HC Ethylene'!E40</f>
        <v>0.97545683620044865</v>
      </c>
      <c r="E41" s="23">
        <f>'Yearly HC Ethylene'!F43/'Yearly HC Ethylene'!F40</f>
        <v>0.95091367240089752</v>
      </c>
      <c r="F41" s="23">
        <f>'Yearly HC Ethylene'!G43/'Yearly HC Ethylene'!G40</f>
        <v>0.92637050860134629</v>
      </c>
      <c r="G41" s="23">
        <f>'Yearly HC Ethylene'!H43/'Yearly HC Ethylene'!H40</f>
        <v>0.90182734480179494</v>
      </c>
      <c r="H41" s="23">
        <f>'Yearly HC Ethylene'!I43/'Yearly HC Ethylene'!I40</f>
        <v>0.87728418100224381</v>
      </c>
      <c r="I41" s="23">
        <f>'Yearly HC Ethylene'!J43/'Yearly HC Ethylene'!J40</f>
        <v>0.85274101720269257</v>
      </c>
      <c r="J41" s="23">
        <f>'Yearly HC Ethylene'!K43/'Yearly HC Ethylene'!K40</f>
        <v>0.82819785340314156</v>
      </c>
      <c r="K41" s="23">
        <f>'Yearly HC Ethylene'!L43/'Yearly HC Ethylene'!L40</f>
        <v>0.80365468960359021</v>
      </c>
      <c r="L41" s="23">
        <f>'Yearly HC Ethylene'!M43/'Yearly HC Ethylene'!M40</f>
        <v>0.77911152580403886</v>
      </c>
      <c r="M41" s="23">
        <f>'Yearly HC Ethylene'!N43/'Yearly HC Ethylene'!N40</f>
        <v>0.75456836200448762</v>
      </c>
      <c r="N41" s="23">
        <f>'Yearly HC Ethylene'!O43/'Yearly HC Ethylene'!O40</f>
        <v>0.73002519820493628</v>
      </c>
      <c r="O41" s="23">
        <f>'Yearly HC Ethylene'!P43/'Yearly HC Ethylene'!P40</f>
        <v>0.70548203440538515</v>
      </c>
      <c r="P41" s="23">
        <f>'Yearly HC Ethylene'!Q43/'Yearly HC Ethylene'!Q40</f>
        <v>0.68093887060583391</v>
      </c>
      <c r="Q41" s="23">
        <f>'Yearly HC Ethylene'!R43/'Yearly HC Ethylene'!R40</f>
        <v>0.65639570680628267</v>
      </c>
      <c r="R41" s="23">
        <f>'Yearly HC Ethylene'!S43/'Yearly HC Ethylene'!S40</f>
        <v>0.63185254300673155</v>
      </c>
      <c r="S41" s="23">
        <f>'Yearly HC Ethylene'!T43/'Yearly HC Ethylene'!T40</f>
        <v>0.60730937920718031</v>
      </c>
      <c r="T41" s="23">
        <f>'Yearly HC Ethylene'!U43/'Yearly HC Ethylene'!U40</f>
        <v>0.58276621540762907</v>
      </c>
      <c r="U41" s="23">
        <f>'Yearly HC Ethylene'!V43/'Yearly HC Ethylene'!V40</f>
        <v>0.55822305160807772</v>
      </c>
      <c r="V41" s="23">
        <f>'Yearly HC Ethylene'!W43/'Yearly HC Ethylene'!W40</f>
        <v>0.53367988780852649</v>
      </c>
      <c r="W41" s="23">
        <f>'Yearly HC Ethylene'!X43/'Yearly HC Ethylene'!X40</f>
        <v>0.50913672400897525</v>
      </c>
      <c r="X41" s="23">
        <f>'Yearly HC Ethylene'!Y43/'Yearly HC Ethylene'!Y40</f>
        <v>0.48384982797307402</v>
      </c>
      <c r="Y41" s="23">
        <f>'Yearly HC Ethylene'!Z43/'Yearly HC Ethylene'!Z40</f>
        <v>0.45856293193717274</v>
      </c>
      <c r="Z41" s="23">
        <f>'Yearly HC Ethylene'!AA43/'Yearly HC Ethylene'!AA40</f>
        <v>0.43327603590127145</v>
      </c>
      <c r="AA41" s="23">
        <f>'Yearly HC Ethylene'!AB43/'Yearly HC Ethylene'!AB40</f>
        <v>0.40798913986537022</v>
      </c>
      <c r="AB41" s="23">
        <f>'Yearly HC Ethylene'!AC43/'Yearly HC Ethylene'!AC40</f>
        <v>0.38270224382946894</v>
      </c>
      <c r="AC41" s="23">
        <f>'Yearly HC Ethylene'!AD43/'Yearly HC Ethylene'!AD40</f>
        <v>0.35741534779356759</v>
      </c>
      <c r="AD41" s="23">
        <f>'Yearly HC Ethylene'!AE43/'Yearly HC Ethylene'!AE40</f>
        <v>0.33212845175766642</v>
      </c>
      <c r="AE41" s="23">
        <f>'Yearly HC Ethylene'!AF43/'Yearly HC Ethylene'!AF40</f>
        <v>0.30684155572176514</v>
      </c>
      <c r="AF41" s="23">
        <f>'Yearly HC Ethylene'!AG43/'Yearly HC Ethylene'!AG40</f>
        <v>0.28155465968586391</v>
      </c>
      <c r="AG41" s="23">
        <f>'Yearly HC Ethylene'!AH43/'Yearly HC Ethylene'!AH40</f>
        <v>0.25626776364996262</v>
      </c>
      <c r="AL41" s="108"/>
      <c r="AM41" s="2"/>
      <c r="AN41" s="2"/>
      <c r="AO41" s="2"/>
      <c r="BD41" s="41"/>
      <c r="BE41" s="41"/>
      <c r="BF41" s="41"/>
      <c r="BG41" s="41"/>
      <c r="BH41" s="41"/>
      <c r="BI41" s="41"/>
      <c r="BJ41" s="41"/>
      <c r="BK41" s="41"/>
      <c r="BL41" s="118"/>
    </row>
    <row r="42" spans="1:64" outlineLevel="1" x14ac:dyDescent="0.2">
      <c r="A42" t="s">
        <v>1297</v>
      </c>
      <c r="B42" s="54" t="s">
        <v>462</v>
      </c>
      <c r="C42" s="23">
        <f>'Yearly HC Ethylene'!D55/'Yearly HC Ethylene'!D50</f>
        <v>1</v>
      </c>
      <c r="D42" s="23">
        <f>'Yearly HC Ethylene'!E55/'Yearly HC Ethylene'!E50</f>
        <v>0.96910000000000007</v>
      </c>
      <c r="E42" s="23">
        <f>'Yearly HC Ethylene'!F55/'Yearly HC Ethylene'!F50</f>
        <v>0.93820000000000003</v>
      </c>
      <c r="F42" s="23">
        <f>'Yearly HC Ethylene'!G55/'Yearly HC Ethylene'!G50</f>
        <v>0.9073</v>
      </c>
      <c r="G42" s="23">
        <f>'Yearly HC Ethylene'!H55/'Yearly HC Ethylene'!H50</f>
        <v>0.87639999999999996</v>
      </c>
      <c r="H42" s="23">
        <f>'Yearly HC Ethylene'!I55/'Yearly HC Ethylene'!I50</f>
        <v>0.84549999999999992</v>
      </c>
      <c r="I42" s="23">
        <f>'Yearly HC Ethylene'!J55/'Yearly HC Ethylene'!J50</f>
        <v>0.81459999999999999</v>
      </c>
      <c r="J42" s="23">
        <f>'Yearly HC Ethylene'!K55/'Yearly HC Ethylene'!K50</f>
        <v>0.78370000000000006</v>
      </c>
      <c r="K42" s="23">
        <f>'Yearly HC Ethylene'!L55/'Yearly HC Ethylene'!L50</f>
        <v>0.75280000000000002</v>
      </c>
      <c r="L42" s="23">
        <f>'Yearly HC Ethylene'!M55/'Yearly HC Ethylene'!M50</f>
        <v>0.72189999999999999</v>
      </c>
      <c r="M42" s="23">
        <f>'Yearly HC Ethylene'!N55/'Yearly HC Ethylene'!N50</f>
        <v>0.69099999999999995</v>
      </c>
      <c r="N42" s="23">
        <f>'Yearly HC Ethylene'!O55/'Yearly HC Ethylene'!O50</f>
        <v>0.66920000000000002</v>
      </c>
      <c r="O42" s="23">
        <f>'Yearly HC Ethylene'!P55/'Yearly HC Ethylene'!P50</f>
        <v>0.64739999999999998</v>
      </c>
      <c r="P42" s="23">
        <f>'Yearly HC Ethylene'!Q55/'Yearly HC Ethylene'!Q50</f>
        <v>0.62559999999999982</v>
      </c>
      <c r="Q42" s="23">
        <f>'Yearly HC Ethylene'!R55/'Yearly HC Ethylene'!R50</f>
        <v>0.60379999999999989</v>
      </c>
      <c r="R42" s="23">
        <f>'Yearly HC Ethylene'!S55/'Yearly HC Ethylene'!S50</f>
        <v>0.58199999999999996</v>
      </c>
      <c r="S42" s="23">
        <f>'Yearly HC Ethylene'!T55/'Yearly HC Ethylene'!T50</f>
        <v>0.56020000000000003</v>
      </c>
      <c r="T42" s="23">
        <f>'Yearly HC Ethylene'!U55/'Yearly HC Ethylene'!U50</f>
        <v>0.53839999999999988</v>
      </c>
      <c r="U42" s="23">
        <f>'Yearly HC Ethylene'!V55/'Yearly HC Ethylene'!V50</f>
        <v>0.51660000000000006</v>
      </c>
      <c r="V42" s="23">
        <f>'Yearly HC Ethylene'!W55/'Yearly HC Ethylene'!W50</f>
        <v>0.49480000000000002</v>
      </c>
      <c r="W42" s="23">
        <f>'Yearly HC Ethylene'!X55/'Yearly HC Ethylene'!X50</f>
        <v>0.47299999999999992</v>
      </c>
      <c r="X42" s="23">
        <f>'Yearly HC Ethylene'!Y55/'Yearly HC Ethylene'!Y50</f>
        <v>0.44669999999999993</v>
      </c>
      <c r="Y42" s="23">
        <f>'Yearly HC Ethylene'!Z55/'Yearly HC Ethylene'!Z50</f>
        <v>0.4204</v>
      </c>
      <c r="Z42" s="23">
        <f>'Yearly HC Ethylene'!AA55/'Yearly HC Ethylene'!AA50</f>
        <v>0.39409999999999989</v>
      </c>
      <c r="AA42" s="23">
        <f>'Yearly HC Ethylene'!AB55/'Yearly HC Ethylene'!AB50</f>
        <v>0.36780000000000002</v>
      </c>
      <c r="AB42" s="23">
        <f>'Yearly HC Ethylene'!AC55/'Yearly HC Ethylene'!AC50</f>
        <v>0.34150000000000003</v>
      </c>
      <c r="AC42" s="23">
        <f>'Yearly HC Ethylene'!AD55/'Yearly HC Ethylene'!AD50</f>
        <v>0.31519999999999998</v>
      </c>
      <c r="AD42" s="23">
        <f>'Yearly HC Ethylene'!AE55/'Yearly HC Ethylene'!AE50</f>
        <v>0.28889999999999993</v>
      </c>
      <c r="AE42" s="23">
        <f>'Yearly HC Ethylene'!AF55/'Yearly HC Ethylene'!AF50</f>
        <v>0.26259999999999994</v>
      </c>
      <c r="AF42" s="23">
        <f>'Yearly HC Ethylene'!AG55/'Yearly HC Ethylene'!AG50</f>
        <v>0.23630000000000001</v>
      </c>
      <c r="AG42" s="23">
        <f>'Yearly HC Ethylene'!AH55/'Yearly HC Ethylene'!AH50</f>
        <v>0.20999999999999996</v>
      </c>
      <c r="AL42" s="108"/>
      <c r="AM42" s="2"/>
      <c r="AN42" s="2"/>
      <c r="AO42" s="2"/>
      <c r="BD42" s="41"/>
      <c r="BE42" s="41"/>
      <c r="BF42" s="41"/>
      <c r="BG42" s="41"/>
      <c r="BH42" s="41"/>
      <c r="BI42" s="41"/>
      <c r="BJ42" s="41"/>
      <c r="BK42" s="41"/>
      <c r="BL42" s="118"/>
    </row>
    <row r="43" spans="1:64" outlineLevel="1" x14ac:dyDescent="0.2">
      <c r="A43" t="s">
        <v>1298</v>
      </c>
      <c r="B43" s="176" t="s">
        <v>462</v>
      </c>
      <c r="C43" s="110">
        <f>'Yearly HC Ethylene'!D65/'Yearly HC Ethylene'!D62</f>
        <v>1</v>
      </c>
      <c r="D43" s="110">
        <f>'Yearly HC Ethylene'!E65/'Yearly HC Ethylene'!E62</f>
        <v>0.99339999999999995</v>
      </c>
      <c r="E43" s="110">
        <f>'Yearly HC Ethylene'!F65/'Yearly HC Ethylene'!F62</f>
        <v>0.98680000000000001</v>
      </c>
      <c r="F43" s="110">
        <f>'Yearly HC Ethylene'!G65/'Yearly HC Ethylene'!G62</f>
        <v>0.98020000000000007</v>
      </c>
      <c r="G43" s="110">
        <f>'Yearly HC Ethylene'!H65/'Yearly HC Ethylene'!H62</f>
        <v>0.97359999999999991</v>
      </c>
      <c r="H43" s="110">
        <f>'Yearly HC Ethylene'!I65/'Yearly HC Ethylene'!I62</f>
        <v>0.96699999999999997</v>
      </c>
      <c r="I43" s="110">
        <f>'Yearly HC Ethylene'!J65/'Yearly HC Ethylene'!J62</f>
        <v>0.96040000000000003</v>
      </c>
      <c r="J43" s="110">
        <f>'Yearly HC Ethylene'!K65/'Yearly HC Ethylene'!K62</f>
        <v>0.95379999999999987</v>
      </c>
      <c r="K43" s="110">
        <f>'Yearly HC Ethylene'!L65/'Yearly HC Ethylene'!L62</f>
        <v>0.94720000000000004</v>
      </c>
      <c r="L43" s="110">
        <f>'Yearly HC Ethylene'!M65/'Yearly HC Ethylene'!M62</f>
        <v>0.9406000000000001</v>
      </c>
      <c r="M43" s="110">
        <f>'Yearly HC Ethylene'!N65/'Yearly HC Ethylene'!N62</f>
        <v>0.93400000000000005</v>
      </c>
      <c r="N43" s="110">
        <f>'Yearly HC Ethylene'!O65/'Yearly HC Ethylene'!O62</f>
        <v>0.9274</v>
      </c>
      <c r="O43" s="110">
        <f>'Yearly HC Ethylene'!P65/'Yearly HC Ethylene'!P62</f>
        <v>0.92080000000000006</v>
      </c>
      <c r="P43" s="110">
        <f>'Yearly HC Ethylene'!Q65/'Yearly HC Ethylene'!Q62</f>
        <v>0.9141999999999999</v>
      </c>
      <c r="Q43" s="110">
        <f>'Yearly HC Ethylene'!R65/'Yearly HC Ethylene'!R62</f>
        <v>0.90760000000000007</v>
      </c>
      <c r="R43" s="110">
        <f>'Yearly HC Ethylene'!S65/'Yearly HC Ethylene'!S62</f>
        <v>0.90100000000000013</v>
      </c>
      <c r="S43" s="110">
        <f>'Yearly HC Ethylene'!T65/'Yearly HC Ethylene'!T62</f>
        <v>0.89439999999999997</v>
      </c>
      <c r="T43" s="110">
        <f>'Yearly HC Ethylene'!U65/'Yearly HC Ethylene'!U62</f>
        <v>0.88780000000000003</v>
      </c>
      <c r="U43" s="110">
        <f>'Yearly HC Ethylene'!V65/'Yearly HC Ethylene'!V62</f>
        <v>0.88119999999999998</v>
      </c>
      <c r="V43" s="110">
        <f>'Yearly HC Ethylene'!W65/'Yearly HC Ethylene'!W62</f>
        <v>0.87459999999999993</v>
      </c>
      <c r="W43" s="110">
        <f>'Yearly HC Ethylene'!X65/'Yearly HC Ethylene'!X62</f>
        <v>0.86799999999999999</v>
      </c>
      <c r="X43" s="110">
        <f>'Yearly HC Ethylene'!Y65/'Yearly HC Ethylene'!Y62</f>
        <v>0.86120000000000008</v>
      </c>
      <c r="Y43" s="110">
        <f>'Yearly HC Ethylene'!Z65/'Yearly HC Ethylene'!Z62</f>
        <v>0.85439999999999994</v>
      </c>
      <c r="Z43" s="110">
        <f>'Yearly HC Ethylene'!AA65/'Yearly HC Ethylene'!AA62</f>
        <v>0.84760000000000002</v>
      </c>
      <c r="AA43" s="110">
        <f>'Yearly HC Ethylene'!AB65/'Yearly HC Ethylene'!AB62</f>
        <v>0.84079999999999988</v>
      </c>
      <c r="AB43" s="110">
        <f>'Yearly HC Ethylene'!AC65/'Yearly HC Ethylene'!AC62</f>
        <v>0.83400000000000007</v>
      </c>
      <c r="AC43" s="110">
        <f>'Yearly HC Ethylene'!AD65/'Yearly HC Ethylene'!AD62</f>
        <v>0.82720000000000005</v>
      </c>
      <c r="AD43" s="110">
        <f>'Yearly HC Ethylene'!AE65/'Yearly HC Ethylene'!AE62</f>
        <v>0.82040000000000013</v>
      </c>
      <c r="AE43" s="110">
        <f>'Yearly HC Ethylene'!AF65/'Yearly HC Ethylene'!AF62</f>
        <v>0.81359999999999999</v>
      </c>
      <c r="AF43" s="110">
        <f>'Yearly HC Ethylene'!AG65/'Yearly HC Ethylene'!AG62</f>
        <v>0.80680000000000007</v>
      </c>
      <c r="AG43" s="110">
        <f>'Yearly HC Ethylene'!AH65/'Yearly HC Ethylene'!AH62</f>
        <v>0.79999999999999993</v>
      </c>
      <c r="AI43" s="131"/>
      <c r="AL43" s="108"/>
      <c r="AM43" s="2"/>
      <c r="AN43" s="2"/>
      <c r="AO43" s="2"/>
      <c r="BD43" s="41"/>
      <c r="BE43" s="41"/>
      <c r="BF43" s="41"/>
      <c r="BG43" s="41"/>
      <c r="BH43" s="41"/>
      <c r="BI43" s="41"/>
      <c r="BJ43" s="41"/>
      <c r="BK43" s="41"/>
      <c r="BL43" s="118"/>
    </row>
    <row r="44" spans="1:64" outlineLevel="1" x14ac:dyDescent="0.2">
      <c r="AI44" t="s">
        <v>1299</v>
      </c>
      <c r="BD44" s="41"/>
      <c r="BE44" s="41"/>
      <c r="BF44" s="41"/>
      <c r="BG44" s="41"/>
      <c r="BH44" s="41"/>
      <c r="BI44" s="41"/>
      <c r="BJ44" s="41"/>
      <c r="BK44" s="41"/>
      <c r="BL44" s="118"/>
    </row>
    <row r="45" spans="1:64" outlineLevel="1" x14ac:dyDescent="0.2">
      <c r="A45" t="s">
        <v>1300</v>
      </c>
      <c r="B45" s="54" t="s">
        <v>1283</v>
      </c>
      <c r="C45" s="107">
        <f>C27*C39</f>
        <v>102.83867964679865</v>
      </c>
      <c r="D45" s="107">
        <f t="shared" ref="D45:AG45" si="26">D27*D39</f>
        <v>104.87238278846715</v>
      </c>
      <c r="E45" s="107">
        <f t="shared" si="26"/>
        <v>106.64735829408174</v>
      </c>
      <c r="F45" s="107">
        <f t="shared" si="26"/>
        <v>108.14886654010894</v>
      </c>
      <c r="G45" s="107">
        <f t="shared" si="26"/>
        <v>109.36421586499871</v>
      </c>
      <c r="H45" s="107">
        <f t="shared" si="26"/>
        <v>110.28293780038597</v>
      </c>
      <c r="I45" s="107">
        <f t="shared" si="26"/>
        <v>111.13618917589034</v>
      </c>
      <c r="J45" s="107">
        <f t="shared" si="26"/>
        <v>111.92161211548718</v>
      </c>
      <c r="K45" s="107">
        <f t="shared" si="26"/>
        <v>112.63692153342164</v>
      </c>
      <c r="L45" s="107">
        <f t="shared" si="26"/>
        <v>113.27991196200075</v>
      </c>
      <c r="M45" s="107">
        <f t="shared" si="26"/>
        <v>113.84846431193489</v>
      </c>
      <c r="N45" s="107">
        <f t="shared" si="26"/>
        <v>112.79458076758512</v>
      </c>
      <c r="O45" s="107">
        <f t="shared" si="26"/>
        <v>111.92849973798191</v>
      </c>
      <c r="P45" s="107">
        <f t="shared" si="26"/>
        <v>110.25806974310414</v>
      </c>
      <c r="Q45" s="107">
        <f t="shared" si="26"/>
        <v>108.30848100922289</v>
      </c>
      <c r="R45" s="107">
        <f t="shared" si="26"/>
        <v>106.08905272104678</v>
      </c>
      <c r="S45" s="107">
        <f t="shared" si="26"/>
        <v>103.79769222444983</v>
      </c>
      <c r="T45" s="107">
        <f t="shared" si="26"/>
        <v>101.4341148097327</v>
      </c>
      <c r="U45" s="107">
        <f t="shared" si="26"/>
        <v>98.998065308678079</v>
      </c>
      <c r="V45" s="107">
        <f t="shared" si="26"/>
        <v>96.489318649386021</v>
      </c>
      <c r="W45" s="107">
        <f t="shared" si="26"/>
        <v>93.907680397899242</v>
      </c>
      <c r="X45" s="107">
        <f t="shared" si="26"/>
        <v>89.506442499030882</v>
      </c>
      <c r="Y45" s="107">
        <f t="shared" si="26"/>
        <v>86.684911455401732</v>
      </c>
      <c r="Z45" s="107">
        <f t="shared" si="26"/>
        <v>83.78936554154312</v>
      </c>
      <c r="AA45" s="107">
        <f t="shared" si="26"/>
        <v>80.819643433300044</v>
      </c>
      <c r="AB45" s="107">
        <f t="shared" si="26"/>
        <v>77.775612566247588</v>
      </c>
      <c r="AC45" s="107">
        <f t="shared" si="26"/>
        <v>74.657875404177545</v>
      </c>
      <c r="AD45" s="107">
        <f t="shared" si="26"/>
        <v>71.466268568386127</v>
      </c>
      <c r="AE45" s="107">
        <f t="shared" si="26"/>
        <v>68.200654351033364</v>
      </c>
      <c r="AF45" s="107">
        <f t="shared" si="26"/>
        <v>64.860921103102697</v>
      </c>
      <c r="AG45" s="107">
        <f t="shared" si="26"/>
        <v>61.44698361254548</v>
      </c>
      <c r="AI45" s="210" t="s">
        <v>1301</v>
      </c>
      <c r="AJ45" s="211" t="s">
        <v>1302</v>
      </c>
      <c r="BD45" s="41"/>
      <c r="BE45" s="41"/>
      <c r="BF45" s="41"/>
      <c r="BG45" s="41"/>
      <c r="BH45" s="41"/>
      <c r="BI45" s="41"/>
      <c r="BJ45" s="41"/>
      <c r="BK45" s="41"/>
      <c r="BL45" s="118"/>
    </row>
    <row r="46" spans="1:64" outlineLevel="1" x14ac:dyDescent="0.2">
      <c r="A46" t="s">
        <v>1303</v>
      </c>
      <c r="B46" s="54" t="s">
        <v>1283</v>
      </c>
      <c r="C46" s="107">
        <f>C28*$C$40</f>
        <v>2.1856442000720988</v>
      </c>
      <c r="D46" s="107">
        <f t="shared" ref="D46:O46" si="27">D28*$C$40</f>
        <v>2.2589102712982947</v>
      </c>
      <c r="E46" s="107">
        <f t="shared" si="27"/>
        <v>2.3285294393744862</v>
      </c>
      <c r="F46" s="107">
        <f t="shared" si="27"/>
        <v>2.3940238638421976</v>
      </c>
      <c r="G46" s="107">
        <f t="shared" si="27"/>
        <v>2.4549348260187185</v>
      </c>
      <c r="H46" s="107">
        <f t="shared" si="27"/>
        <v>2.5108280806952612</v>
      </c>
      <c r="I46" s="107">
        <f t="shared" si="27"/>
        <v>2.5668249063529807</v>
      </c>
      <c r="J46" s="107">
        <f t="shared" si="27"/>
        <v>2.6228746030557586</v>
      </c>
      <c r="K46" s="107">
        <f t="shared" si="27"/>
        <v>2.6789251836972952</v>
      </c>
      <c r="L46" s="107">
        <f t="shared" si="27"/>
        <v>2.7349234416089296</v>
      </c>
      <c r="M46" s="107">
        <f t="shared" si="27"/>
        <v>2.7908150227367376</v>
      </c>
      <c r="N46" s="107">
        <f t="shared" si="27"/>
        <v>2.8424716930321492</v>
      </c>
      <c r="O46" s="107">
        <f t="shared" si="27"/>
        <v>2.8896069553147976</v>
      </c>
      <c r="P46" s="107">
        <f>D40*P28</f>
        <v>2.9219745966969595</v>
      </c>
      <c r="Q46" s="107">
        <f t="shared" ref="Q46:AG46" si="28">E40*Q28</f>
        <v>2.9490342433869396</v>
      </c>
      <c r="R46" s="107">
        <f t="shared" si="28"/>
        <v>2.9706204833916452</v>
      </c>
      <c r="S46" s="107">
        <f t="shared" si="28"/>
        <v>2.991978760264828</v>
      </c>
      <c r="T46" s="107">
        <f t="shared" si="28"/>
        <v>3.013101436399344</v>
      </c>
      <c r="U46" s="107">
        <f t="shared" si="28"/>
        <v>3.0339808985694261</v>
      </c>
      <c r="V46" s="107">
        <f t="shared" si="28"/>
        <v>3.0546095621669211</v>
      </c>
      <c r="W46" s="107">
        <f t="shared" si="28"/>
        <v>3.0749798754612594</v>
      </c>
      <c r="X46" s="107">
        <f t="shared" si="28"/>
        <v>3.0951184144132053</v>
      </c>
      <c r="Y46" s="107">
        <f t="shared" si="28"/>
        <v>3.1150184142649628</v>
      </c>
      <c r="Z46" s="107">
        <f t="shared" si="28"/>
        <v>3.108919634498573</v>
      </c>
      <c r="AA46" s="107">
        <f t="shared" si="28"/>
        <v>3.1019896569594021</v>
      </c>
      <c r="AB46" s="107">
        <f t="shared" si="28"/>
        <v>3.0942259652051827</v>
      </c>
      <c r="AC46" s="107">
        <f t="shared" si="28"/>
        <v>3.085655699541566</v>
      </c>
      <c r="AD46" s="107">
        <f t="shared" si="28"/>
        <v>3.0762770912963164</v>
      </c>
      <c r="AE46" s="107">
        <f t="shared" si="28"/>
        <v>3.0660888229310621</v>
      </c>
      <c r="AF46" s="107">
        <f t="shared" si="28"/>
        <v>3.0550900343356893</v>
      </c>
      <c r="AG46" s="107">
        <f t="shared" si="28"/>
        <v>3.043280328853875</v>
      </c>
      <c r="AI46" s="210" t="s">
        <v>1304</v>
      </c>
      <c r="AJ46" s="211" t="s">
        <v>1302</v>
      </c>
      <c r="BD46" s="41"/>
      <c r="BE46" s="41"/>
      <c r="BF46" s="41"/>
      <c r="BG46" s="41"/>
      <c r="BH46" s="41"/>
      <c r="BI46" s="41"/>
      <c r="BJ46" s="41"/>
      <c r="BK46" s="41"/>
      <c r="BL46" s="118"/>
    </row>
    <row r="47" spans="1:64" outlineLevel="1" x14ac:dyDescent="0.2">
      <c r="A47" t="s">
        <v>1305</v>
      </c>
      <c r="B47" s="54" t="s">
        <v>1283</v>
      </c>
      <c r="C47" s="107">
        <f>C29</f>
        <v>5.752639614679981</v>
      </c>
      <c r="D47" s="107">
        <f t="shared" ref="D47:AG47" si="29">D29</f>
        <v>5.945476721348065</v>
      </c>
      <c r="E47" s="107">
        <f t="shared" si="29"/>
        <v>6.1287151387459886</v>
      </c>
      <c r="F47" s="107">
        <f t="shared" si="29"/>
        <v>6.301097185522492</v>
      </c>
      <c r="G47" s="107">
        <f t="shared" si="29"/>
        <v>6.4614155090508003</v>
      </c>
      <c r="H47" s="107">
        <f t="shared" si="29"/>
        <v>6.6085271711571334</v>
      </c>
      <c r="I47" s="107">
        <f t="shared" si="29"/>
        <v>6.7559114332270083</v>
      </c>
      <c r="J47" s="107">
        <f t="shared" si="29"/>
        <v>6.9034348524699753</v>
      </c>
      <c r="K47" s="107">
        <f t="shared" si="29"/>
        <v>7.0509605982494961</v>
      </c>
      <c r="L47" s="107">
        <f t="shared" si="29"/>
        <v>7.1983486300274544</v>
      </c>
      <c r="M47" s="107">
        <f t="shared" si="29"/>
        <v>7.3454558873350795</v>
      </c>
      <c r="N47" s="107">
        <f t="shared" si="29"/>
        <v>7.4814168126741842</v>
      </c>
      <c r="O47" s="107">
        <f t="shared" si="29"/>
        <v>7.6054773423095892</v>
      </c>
      <c r="P47" s="107">
        <f t="shared" si="29"/>
        <v>7.7169366733117464</v>
      </c>
      <c r="Q47" s="107">
        <f t="shared" si="29"/>
        <v>7.8151537769685619</v>
      </c>
      <c r="R47" s="107">
        <f t="shared" si="29"/>
        <v>7.8995534714506324</v>
      </c>
      <c r="S47" s="107">
        <f t="shared" si="29"/>
        <v>7.9839906198176243</v>
      </c>
      <c r="T47" s="107">
        <f t="shared" si="29"/>
        <v>8.0684464096820587</v>
      </c>
      <c r="U47" s="107">
        <f t="shared" si="29"/>
        <v>8.1529018028046014</v>
      </c>
      <c r="V47" s="107">
        <f t="shared" si="29"/>
        <v>8.2373375411003043</v>
      </c>
      <c r="W47" s="107">
        <f t="shared" si="29"/>
        <v>8.3217341528443036</v>
      </c>
      <c r="X47" s="107">
        <f t="shared" si="29"/>
        <v>8.406164547013022</v>
      </c>
      <c r="Y47" s="107">
        <f t="shared" si="29"/>
        <v>8.4906117728663109</v>
      </c>
      <c r="Z47" s="107">
        <f t="shared" si="29"/>
        <v>8.5750586881032156</v>
      </c>
      <c r="AA47" s="107">
        <f t="shared" si="29"/>
        <v>8.6594879637599984</v>
      </c>
      <c r="AB47" s="107">
        <f t="shared" si="29"/>
        <v>8.7438820892606266</v>
      </c>
      <c r="AC47" s="107">
        <f t="shared" si="29"/>
        <v>8.82830684173436</v>
      </c>
      <c r="AD47" s="107">
        <f t="shared" si="29"/>
        <v>8.9127468671547145</v>
      </c>
      <c r="AE47" s="107">
        <f t="shared" si="29"/>
        <v>8.9971866475810884</v>
      </c>
      <c r="AF47" s="107">
        <f t="shared" si="29"/>
        <v>9.0816105051929874</v>
      </c>
      <c r="AG47" s="107">
        <f t="shared" si="29"/>
        <v>9.1660026064424382</v>
      </c>
      <c r="AI47" s="210" t="s">
        <v>1306</v>
      </c>
      <c r="AJ47" s="211" t="s">
        <v>1302</v>
      </c>
      <c r="BD47" s="41"/>
      <c r="BE47" s="41"/>
      <c r="BF47" s="41"/>
      <c r="BG47" s="41"/>
      <c r="BH47" s="41"/>
      <c r="BI47" s="41"/>
      <c r="BJ47" s="41"/>
      <c r="BK47" s="41"/>
      <c r="BL47" s="118"/>
    </row>
    <row r="48" spans="1:64" outlineLevel="1" x14ac:dyDescent="0.2">
      <c r="A48" t="s">
        <v>1307</v>
      </c>
      <c r="B48" s="54" t="s">
        <v>1283</v>
      </c>
      <c r="C48" s="107">
        <f>C30*$C$42</f>
        <v>4.7040655633623691</v>
      </c>
      <c r="D48" s="107">
        <f t="shared" ref="D48:H48" si="30">D30*$C$42</f>
        <v>4.8617528953657363</v>
      </c>
      <c r="E48" s="107">
        <f t="shared" si="30"/>
        <v>5.0115911586504671</v>
      </c>
      <c r="F48" s="107">
        <f t="shared" si="30"/>
        <v>5.1525519182840052</v>
      </c>
      <c r="G48" s="107">
        <f t="shared" si="30"/>
        <v>5.2836478942879612</v>
      </c>
      <c r="H48" s="107">
        <f t="shared" si="30"/>
        <v>5.4039444798619058</v>
      </c>
      <c r="I48" s="107">
        <f>I30*D42</f>
        <v>5.3537580398085733</v>
      </c>
      <c r="J48" s="107">
        <f t="shared" ref="J48:AG48" si="31">J30*E42</f>
        <v>5.2962302545218884</v>
      </c>
      <c r="K48" s="107">
        <f t="shared" si="31"/>
        <v>5.231249058088796</v>
      </c>
      <c r="L48" s="107">
        <f t="shared" si="31"/>
        <v>5.1587139137615052</v>
      </c>
      <c r="M48" s="107">
        <f t="shared" si="31"/>
        <v>5.0785363508336765</v>
      </c>
      <c r="N48" s="107">
        <f t="shared" si="31"/>
        <v>4.9834999188196081</v>
      </c>
      <c r="O48" s="107">
        <f t="shared" si="31"/>
        <v>4.8739663008618459</v>
      </c>
      <c r="P48" s="107">
        <f t="shared" si="31"/>
        <v>4.75040618013188</v>
      </c>
      <c r="Q48" s="107">
        <f t="shared" si="31"/>
        <v>4.613396355915464</v>
      </c>
      <c r="R48" s="107">
        <f t="shared" si="31"/>
        <v>4.4636156231843014</v>
      </c>
      <c r="S48" s="107">
        <f t="shared" si="31"/>
        <v>4.3690010472122474</v>
      </c>
      <c r="T48" s="107">
        <f t="shared" si="31"/>
        <v>4.2713859257921518</v>
      </c>
      <c r="U48" s="107">
        <f t="shared" si="31"/>
        <v>4.1707595226495</v>
      </c>
      <c r="V48" s="107">
        <f t="shared" si="31"/>
        <v>4.0671123504930513</v>
      </c>
      <c r="W48" s="107">
        <f t="shared" si="31"/>
        <v>3.960436193563452</v>
      </c>
      <c r="X48" s="107">
        <f t="shared" si="31"/>
        <v>3.8507665430697959</v>
      </c>
      <c r="Y48" s="107">
        <f t="shared" si="31"/>
        <v>3.7380941295914303</v>
      </c>
      <c r="Z48" s="107">
        <f t="shared" si="31"/>
        <v>3.6224108114656244</v>
      </c>
      <c r="AA48" s="107">
        <f t="shared" si="31"/>
        <v>3.5037095938435057</v>
      </c>
      <c r="AB48" s="107">
        <f t="shared" si="31"/>
        <v>3.3819846472811017</v>
      </c>
      <c r="AC48" s="107">
        <f t="shared" si="31"/>
        <v>3.2247761285896988</v>
      </c>
      <c r="AD48" s="107">
        <f t="shared" si="31"/>
        <v>3.0639415635599336</v>
      </c>
      <c r="AE48" s="107">
        <f t="shared" si="31"/>
        <v>2.8994749659233205</v>
      </c>
      <c r="AF48" s="107">
        <f t="shared" si="31"/>
        <v>2.7313716362485496</v>
      </c>
      <c r="AG48" s="107">
        <f t="shared" si="31"/>
        <v>2.5596281802930241</v>
      </c>
      <c r="AI48" s="210" t="s">
        <v>1308</v>
      </c>
      <c r="AJ48" s="211" t="s">
        <v>1302</v>
      </c>
      <c r="AL48" s="5"/>
      <c r="AM48" s="109"/>
      <c r="AN48" s="109"/>
      <c r="AO48" s="109"/>
      <c r="BC48" s="1"/>
      <c r="BD48" s="118"/>
      <c r="BE48" s="118"/>
      <c r="BF48" s="118"/>
      <c r="BG48" s="118"/>
      <c r="BH48" s="118"/>
      <c r="BI48" s="118"/>
      <c r="BJ48" s="118"/>
      <c r="BK48" s="118"/>
      <c r="BL48" s="118"/>
    </row>
    <row r="49" spans="1:63" outlineLevel="1" x14ac:dyDescent="0.2">
      <c r="A49" s="181" t="s">
        <v>1309</v>
      </c>
      <c r="B49" s="176" t="s">
        <v>1283</v>
      </c>
      <c r="C49" s="107">
        <f>C31*$C$43</f>
        <v>28.091768113202104</v>
      </c>
      <c r="D49" s="107">
        <f t="shared" ref="D49:H49" si="32">D31*$C$43</f>
        <v>29.033446307385653</v>
      </c>
      <c r="E49" s="107">
        <f t="shared" si="32"/>
        <v>29.928251383969435</v>
      </c>
      <c r="F49" s="107">
        <f t="shared" si="32"/>
        <v>30.770041728799526</v>
      </c>
      <c r="G49" s="107">
        <f t="shared" si="32"/>
        <v>31.552921497134374</v>
      </c>
      <c r="H49" s="107">
        <f t="shared" si="32"/>
        <v>32.271309398245535</v>
      </c>
      <c r="I49" s="107">
        <f>I31*D43</f>
        <v>32.77328769418375</v>
      </c>
      <c r="J49" s="107">
        <f t="shared" ref="J49" si="33">J31*E43</f>
        <v>33.266436272113943</v>
      </c>
      <c r="K49" s="107">
        <f t="shared" ref="K49" si="34">K31*F43</f>
        <v>33.750086724343426</v>
      </c>
      <c r="L49" s="107">
        <f t="shared" ref="L49" si="35">L31*G43</f>
        <v>34.223573022161879</v>
      </c>
      <c r="M49" s="107">
        <f t="shared" ref="M49" si="36">M31*H43</f>
        <v>34.686232930179997</v>
      </c>
      <c r="N49" s="107">
        <f t="shared" ref="N49" si="37">N31*I43</f>
        <v>35.087135162245517</v>
      </c>
      <c r="O49" s="107">
        <f t="shared" ref="O49" si="38">O31*J43</f>
        <v>35.42384526195886</v>
      </c>
      <c r="P49" s="107">
        <f t="shared" ref="P49" si="39">P31*K43</f>
        <v>35.694272340788046</v>
      </c>
      <c r="Q49" s="107">
        <f t="shared" ref="Q49" si="40">Q31*L43</f>
        <v>35.896690412686318</v>
      </c>
      <c r="R49" s="107">
        <f t="shared" ref="R49" si="41">R31*M43</f>
        <v>36.029756458919969</v>
      </c>
      <c r="S49" s="107">
        <f t="shared" ref="S49" si="42">S31*N43</f>
        <v>36.157551776288344</v>
      </c>
      <c r="T49" s="107">
        <f t="shared" ref="T49" si="43">T31*O43</f>
        <v>36.279988153001909</v>
      </c>
      <c r="U49" s="107">
        <f t="shared" ref="U49" si="44">U31*P43</f>
        <v>36.396978794269323</v>
      </c>
      <c r="V49" s="107">
        <f t="shared" ref="V49" si="45">V31*Q43</f>
        <v>36.508438385313198</v>
      </c>
      <c r="W49" s="107">
        <f t="shared" ref="W49" si="46">W31*R43</f>
        <v>36.614283154101862</v>
      </c>
      <c r="X49" s="107">
        <f t="shared" ref="X49" si="47">X31*S43</f>
        <v>36.714835321604369</v>
      </c>
      <c r="Y49" s="107">
        <f t="shared" ref="Y49" si="48">Y31*T43</f>
        <v>36.810018133552447</v>
      </c>
      <c r="Z49" s="107">
        <f t="shared" ref="Z49" si="49">Z31*U43</f>
        <v>36.899756196630058</v>
      </c>
      <c r="AA49" s="107">
        <f t="shared" ref="AA49" si="50">AA31*V43</f>
        <v>36.9839755302622</v>
      </c>
      <c r="AB49" s="107">
        <f t="shared" ref="AB49" si="51">AB31*W43</f>
        <v>37.062603618102756</v>
      </c>
      <c r="AC49" s="107">
        <f t="shared" ref="AC49" si="52">AC31*X43</f>
        <v>37.127298323242407</v>
      </c>
      <c r="AD49" s="107">
        <f t="shared" ref="AD49" si="53">AD31*Y43</f>
        <v>37.186449879736628</v>
      </c>
      <c r="AE49" s="107">
        <f t="shared" ref="AE49" si="54">AE31*Z43</f>
        <v>37.239992536255308</v>
      </c>
      <c r="AF49" s="107">
        <f t="shared" ref="AF49" si="55">AF31*AA43</f>
        <v>37.287861946198269</v>
      </c>
      <c r="AG49" s="107">
        <f t="shared" ref="AG49" si="56">AG31*AB43</f>
        <v>37.329995211151825</v>
      </c>
      <c r="AI49" s="210" t="s">
        <v>1308</v>
      </c>
      <c r="AJ49" s="211" t="s">
        <v>1302</v>
      </c>
      <c r="AL49" s="108"/>
      <c r="AM49" s="2"/>
      <c r="AN49" s="2"/>
      <c r="AO49" s="2"/>
    </row>
    <row r="50" spans="1:63" s="1" customFormat="1" ht="16" thickBot="1" x14ac:dyDescent="0.25">
      <c r="A50" s="200" t="s">
        <v>1310</v>
      </c>
      <c r="B50" s="215" t="s">
        <v>1283</v>
      </c>
      <c r="C50" s="216">
        <f>SUM(C45:C49)</f>
        <v>143.57279713811519</v>
      </c>
      <c r="D50" s="216">
        <f t="shared" ref="D50:AF50" si="57">SUM(D45:D49)</f>
        <v>146.97196898386491</v>
      </c>
      <c r="E50" s="216">
        <f t="shared" si="57"/>
        <v>150.04444541482212</v>
      </c>
      <c r="F50" s="216">
        <f t="shared" si="57"/>
        <v>152.76658123655716</v>
      </c>
      <c r="G50" s="216">
        <f t="shared" si="57"/>
        <v>155.11713559149055</v>
      </c>
      <c r="H50" s="216">
        <f t="shared" si="57"/>
        <v>157.07754693034582</v>
      </c>
      <c r="I50" s="216">
        <f t="shared" si="57"/>
        <v>158.58597124946266</v>
      </c>
      <c r="J50" s="216">
        <f t="shared" si="57"/>
        <v>160.01058809764874</v>
      </c>
      <c r="K50" s="216">
        <f t="shared" si="57"/>
        <v>161.34814309780066</v>
      </c>
      <c r="L50" s="216">
        <f t="shared" si="57"/>
        <v>162.59547096956052</v>
      </c>
      <c r="M50" s="216">
        <f t="shared" si="57"/>
        <v>163.74950450302038</v>
      </c>
      <c r="N50" s="216">
        <f t="shared" si="57"/>
        <v>163.18910435435657</v>
      </c>
      <c r="O50" s="216">
        <f t="shared" si="57"/>
        <v>162.72139559842702</v>
      </c>
      <c r="P50" s="216">
        <f t="shared" si="57"/>
        <v>161.34165953403277</v>
      </c>
      <c r="Q50" s="216">
        <f t="shared" si="57"/>
        <v>159.58275579818016</v>
      </c>
      <c r="R50" s="216">
        <f t="shared" si="57"/>
        <v>157.45259875799331</v>
      </c>
      <c r="S50" s="216">
        <f t="shared" si="57"/>
        <v>155.30021442803286</v>
      </c>
      <c r="T50" s="216">
        <f t="shared" si="57"/>
        <v>153.06703673460817</v>
      </c>
      <c r="U50" s="216">
        <f t="shared" si="57"/>
        <v>150.75268632697095</v>
      </c>
      <c r="V50" s="216">
        <f t="shared" si="57"/>
        <v>148.35681648845949</v>
      </c>
      <c r="W50" s="216">
        <f t="shared" si="57"/>
        <v>145.8791137738701</v>
      </c>
      <c r="X50" s="216">
        <f t="shared" si="57"/>
        <v>141.57332732513129</v>
      </c>
      <c r="Y50" s="216">
        <f t="shared" si="57"/>
        <v>138.83865390567689</v>
      </c>
      <c r="Z50" s="216">
        <f t="shared" si="57"/>
        <v>135.9955108722406</v>
      </c>
      <c r="AA50" s="216">
        <f t="shared" si="57"/>
        <v>133.06880617812516</v>
      </c>
      <c r="AB50" s="216">
        <f t="shared" si="57"/>
        <v>130.05830888609725</v>
      </c>
      <c r="AC50" s="216">
        <f t="shared" si="57"/>
        <v>126.92391239728556</v>
      </c>
      <c r="AD50" s="216">
        <f t="shared" si="57"/>
        <v>123.70568397013372</v>
      </c>
      <c r="AE50" s="216">
        <f t="shared" si="57"/>
        <v>120.40339732372414</v>
      </c>
      <c r="AF50" s="216">
        <f t="shared" si="57"/>
        <v>117.01685522507819</v>
      </c>
      <c r="AG50" s="216">
        <f>SUM(AG45:AG49)</f>
        <v>113.54588993928662</v>
      </c>
      <c r="AJ50" s="162"/>
      <c r="AL50" s="221"/>
      <c r="AM50" s="124"/>
      <c r="AN50" s="124"/>
      <c r="AO50" s="124"/>
    </row>
    <row r="51" spans="1:63" ht="16" thickTop="1" x14ac:dyDescent="0.2">
      <c r="B51" s="176"/>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c r="AG51" s="209"/>
      <c r="AL51" s="108"/>
      <c r="AM51" s="2"/>
      <c r="AN51" s="2"/>
      <c r="AO51" s="2"/>
    </row>
    <row r="52" spans="1:63" s="200" customFormat="1" ht="16" thickBot="1" x14ac:dyDescent="0.25">
      <c r="A52" s="200" t="s">
        <v>1311</v>
      </c>
      <c r="B52" s="215" t="s">
        <v>462</v>
      </c>
      <c r="C52" s="222">
        <f>C55</f>
        <v>0.14200000000000002</v>
      </c>
      <c r="D52" s="222">
        <f t="shared" ref="D52:AG52" si="58">D55</f>
        <v>0.14849999999999999</v>
      </c>
      <c r="E52" s="222">
        <f t="shared" si="58"/>
        <v>0.155</v>
      </c>
      <c r="F52" s="222">
        <f t="shared" si="58"/>
        <v>0.16149999999999998</v>
      </c>
      <c r="G52" s="222">
        <f t="shared" si="58"/>
        <v>0.16800000000000001</v>
      </c>
      <c r="H52" s="222">
        <f t="shared" si="58"/>
        <v>0.17449999999999999</v>
      </c>
      <c r="I52" s="222">
        <f t="shared" si="58"/>
        <v>0.18099999999999999</v>
      </c>
      <c r="J52" s="222">
        <f t="shared" si="58"/>
        <v>0.1875</v>
      </c>
      <c r="K52" s="222">
        <f t="shared" si="58"/>
        <v>0.19400000000000001</v>
      </c>
      <c r="L52" s="222">
        <f t="shared" si="58"/>
        <v>0.20050000000000001</v>
      </c>
      <c r="M52" s="222">
        <f t="shared" si="58"/>
        <v>0.20700000000000002</v>
      </c>
      <c r="N52" s="222">
        <f t="shared" si="58"/>
        <v>0.22070000000000001</v>
      </c>
      <c r="O52" s="222">
        <f t="shared" si="58"/>
        <v>0.2344</v>
      </c>
      <c r="P52" s="222">
        <f t="shared" si="58"/>
        <v>0.24809999999999999</v>
      </c>
      <c r="Q52" s="222">
        <f t="shared" si="58"/>
        <v>0.26179999999999998</v>
      </c>
      <c r="R52" s="222">
        <f t="shared" si="58"/>
        <v>0.27549999999999997</v>
      </c>
      <c r="S52" s="222">
        <f t="shared" si="58"/>
        <v>0.28920000000000001</v>
      </c>
      <c r="T52" s="222">
        <f t="shared" si="58"/>
        <v>0.3029</v>
      </c>
      <c r="U52" s="222">
        <f t="shared" si="58"/>
        <v>0.31659999999999999</v>
      </c>
      <c r="V52" s="222">
        <f t="shared" si="58"/>
        <v>0.33030000000000004</v>
      </c>
      <c r="W52" s="222">
        <f t="shared" si="58"/>
        <v>0.34399999999999997</v>
      </c>
      <c r="X52" s="222">
        <f t="shared" si="58"/>
        <v>0.36692262658227848</v>
      </c>
      <c r="Y52" s="222">
        <f t="shared" si="58"/>
        <v>0.38984525316455698</v>
      </c>
      <c r="Z52" s="222">
        <f t="shared" si="58"/>
        <v>0.41276787974683543</v>
      </c>
      <c r="AA52" s="222">
        <f t="shared" si="58"/>
        <v>0.43569050632911388</v>
      </c>
      <c r="AB52" s="222">
        <f t="shared" si="58"/>
        <v>0.45861313291139238</v>
      </c>
      <c r="AC52" s="222">
        <f t="shared" si="58"/>
        <v>0.48153575949367089</v>
      </c>
      <c r="AD52" s="222">
        <f t="shared" si="58"/>
        <v>0.50445838607594939</v>
      </c>
      <c r="AE52" s="222">
        <f t="shared" si="58"/>
        <v>0.5273810126582279</v>
      </c>
      <c r="AF52" s="222">
        <f t="shared" si="58"/>
        <v>0.55030363924050629</v>
      </c>
      <c r="AG52" s="222">
        <f t="shared" si="58"/>
        <v>0.5732262658227848</v>
      </c>
      <c r="AJ52" s="231" t="s">
        <v>1312</v>
      </c>
      <c r="AL52" s="217"/>
      <c r="AM52" s="218"/>
      <c r="AN52" s="218"/>
      <c r="AO52" s="218"/>
    </row>
    <row r="53" spans="1:63" ht="16" outlineLevel="1" thickTop="1" x14ac:dyDescent="0.2">
      <c r="A53" t="s">
        <v>1313</v>
      </c>
      <c r="B53" s="54" t="s">
        <v>462</v>
      </c>
      <c r="C53" s="113">
        <v>4.7E-2</v>
      </c>
      <c r="D53" s="110">
        <f>$C53+($M53-$C53)/10*(D$1-$C$1)</f>
        <v>5.0200000000000002E-2</v>
      </c>
      <c r="E53" s="110">
        <f t="shared" ref="E53:L54" si="59">$C53+($M53-$C53)/10*(E$1-$C$1)</f>
        <v>5.3400000000000003E-2</v>
      </c>
      <c r="F53" s="110">
        <f t="shared" si="59"/>
        <v>5.6599999999999998E-2</v>
      </c>
      <c r="G53" s="110">
        <f t="shared" si="59"/>
        <v>5.9799999999999999E-2</v>
      </c>
      <c r="H53" s="110">
        <f t="shared" si="59"/>
        <v>6.3E-2</v>
      </c>
      <c r="I53" s="110">
        <f t="shared" si="59"/>
        <v>6.6200000000000009E-2</v>
      </c>
      <c r="J53" s="110">
        <f t="shared" si="59"/>
        <v>6.9400000000000003E-2</v>
      </c>
      <c r="K53" s="110">
        <f t="shared" si="59"/>
        <v>7.2599999999999998E-2</v>
      </c>
      <c r="L53" s="110">
        <f t="shared" si="59"/>
        <v>7.5800000000000006E-2</v>
      </c>
      <c r="M53" s="113">
        <v>7.9000000000000001E-2</v>
      </c>
      <c r="N53" s="110">
        <f>$M53+($W53-$M53)/10*(N$1-$M$1)</f>
        <v>8.5100000000000009E-2</v>
      </c>
      <c r="O53" s="110">
        <f t="shared" ref="O53:U54" si="60">$M53+($W53-$M53)/10*(O$1-$M$1)</f>
        <v>9.1200000000000003E-2</v>
      </c>
      <c r="P53" s="110">
        <f t="shared" si="60"/>
        <v>9.7299999999999998E-2</v>
      </c>
      <c r="Q53" s="110">
        <f t="shared" si="60"/>
        <v>0.10340000000000001</v>
      </c>
      <c r="R53" s="110">
        <f t="shared" si="60"/>
        <v>0.10950000000000001</v>
      </c>
      <c r="S53" s="110">
        <f t="shared" si="60"/>
        <v>0.11560000000000001</v>
      </c>
      <c r="T53" s="110">
        <f t="shared" si="60"/>
        <v>0.1217</v>
      </c>
      <c r="U53" s="110">
        <f t="shared" si="60"/>
        <v>0.12780000000000002</v>
      </c>
      <c r="V53" s="110">
        <f>$M53+($W53-$M53)/10*(V$1-$M$1)</f>
        <v>0.13390000000000002</v>
      </c>
      <c r="W53" s="113">
        <v>0.14000000000000001</v>
      </c>
      <c r="X53" s="110">
        <f>$W53+($AG53-$W53)/10*(X$1-$W$1)</f>
        <v>0.15081012658227849</v>
      </c>
      <c r="Y53" s="110">
        <f t="shared" ref="Y53:AF54" si="61">$W53+($AG53-$W53)/10*(Y$1-$W$1)</f>
        <v>0.16162025316455697</v>
      </c>
      <c r="Z53" s="110">
        <f t="shared" si="61"/>
        <v>0.17243037974683545</v>
      </c>
      <c r="AA53" s="110">
        <f t="shared" si="61"/>
        <v>0.18324050632911396</v>
      </c>
      <c r="AB53" s="110">
        <f t="shared" si="61"/>
        <v>0.19405063291139243</v>
      </c>
      <c r="AC53" s="110">
        <f t="shared" si="61"/>
        <v>0.20486075949367091</v>
      </c>
      <c r="AD53" s="110">
        <f t="shared" si="61"/>
        <v>0.21567088607594942</v>
      </c>
      <c r="AE53" s="110">
        <f t="shared" si="61"/>
        <v>0.2264810126582279</v>
      </c>
      <c r="AF53" s="110">
        <f t="shared" si="61"/>
        <v>0.23729113924050638</v>
      </c>
      <c r="AG53" s="110">
        <f>(W53/M53)*W53</f>
        <v>0.24810126582278486</v>
      </c>
      <c r="AI53" s="133"/>
      <c r="AJ53" s="211" t="s">
        <v>1431</v>
      </c>
      <c r="AL53" s="108"/>
      <c r="AM53" s="2"/>
      <c r="AN53" s="2"/>
      <c r="AO53" s="2"/>
      <c r="AV53" s="41"/>
    </row>
    <row r="54" spans="1:63" outlineLevel="1" x14ac:dyDescent="0.2">
      <c r="A54" t="s">
        <v>1315</v>
      </c>
      <c r="B54" s="54" t="s">
        <v>462</v>
      </c>
      <c r="C54" s="113">
        <v>9.5000000000000001E-2</v>
      </c>
      <c r="D54" s="110">
        <f>$C54+($M54-$C54)/10*(D$1-$C$1)</f>
        <v>9.8299999999999998E-2</v>
      </c>
      <c r="E54" s="110">
        <f t="shared" si="59"/>
        <v>0.1016</v>
      </c>
      <c r="F54" s="110">
        <f t="shared" si="59"/>
        <v>0.10489999999999999</v>
      </c>
      <c r="G54" s="110">
        <f t="shared" si="59"/>
        <v>0.1082</v>
      </c>
      <c r="H54" s="110">
        <f t="shared" si="59"/>
        <v>0.1115</v>
      </c>
      <c r="I54" s="110">
        <f t="shared" si="59"/>
        <v>0.1148</v>
      </c>
      <c r="J54" s="110">
        <f t="shared" si="59"/>
        <v>0.1181</v>
      </c>
      <c r="K54" s="110">
        <f t="shared" si="59"/>
        <v>0.12140000000000001</v>
      </c>
      <c r="L54" s="110">
        <f t="shared" si="59"/>
        <v>0.12470000000000001</v>
      </c>
      <c r="M54" s="113">
        <v>0.128</v>
      </c>
      <c r="N54" s="110">
        <f>$M54+($W54-$M54)/10*(N$1-$M$1)</f>
        <v>0.1356</v>
      </c>
      <c r="O54" s="110">
        <f t="shared" si="60"/>
        <v>0.14319999999999999</v>
      </c>
      <c r="P54" s="110">
        <f t="shared" si="60"/>
        <v>0.15079999999999999</v>
      </c>
      <c r="Q54" s="110">
        <f t="shared" si="60"/>
        <v>0.15839999999999999</v>
      </c>
      <c r="R54" s="110">
        <f t="shared" si="60"/>
        <v>0.16599999999999998</v>
      </c>
      <c r="S54" s="110">
        <f t="shared" si="60"/>
        <v>0.17359999999999998</v>
      </c>
      <c r="T54" s="110">
        <f t="shared" si="60"/>
        <v>0.1812</v>
      </c>
      <c r="U54" s="110">
        <f t="shared" si="60"/>
        <v>0.1888</v>
      </c>
      <c r="V54" s="110">
        <f>$M54+($W54-$M54)/10*(V$1-$M$1)</f>
        <v>0.19639999999999999</v>
      </c>
      <c r="W54" s="113">
        <v>0.20399999999999999</v>
      </c>
      <c r="X54" s="110">
        <f>$W54+($AG54-$W54)/10*(X$1-$W$1)</f>
        <v>0.21611249999999999</v>
      </c>
      <c r="Y54" s="110">
        <f t="shared" si="61"/>
        <v>0.22822499999999998</v>
      </c>
      <c r="Z54" s="110">
        <f t="shared" si="61"/>
        <v>0.24033749999999998</v>
      </c>
      <c r="AA54" s="110">
        <f t="shared" si="61"/>
        <v>0.25244999999999995</v>
      </c>
      <c r="AB54" s="110">
        <f t="shared" si="61"/>
        <v>0.26456249999999998</v>
      </c>
      <c r="AC54" s="110">
        <f t="shared" si="61"/>
        <v>0.27667499999999995</v>
      </c>
      <c r="AD54" s="110">
        <f t="shared" si="61"/>
        <v>0.28878749999999997</v>
      </c>
      <c r="AE54" s="110">
        <f t="shared" si="61"/>
        <v>0.30089999999999995</v>
      </c>
      <c r="AF54" s="110">
        <f t="shared" si="61"/>
        <v>0.31301249999999992</v>
      </c>
      <c r="AG54" s="110">
        <f>(W54/M54)*W54</f>
        <v>0.32512499999999994</v>
      </c>
      <c r="AI54" s="133"/>
      <c r="AJ54" s="211" t="s">
        <v>1431</v>
      </c>
      <c r="AL54" s="108"/>
      <c r="AM54" s="2"/>
      <c r="AN54" s="2"/>
      <c r="AO54" s="2"/>
      <c r="AV54" s="41"/>
    </row>
    <row r="55" spans="1:63" outlineLevel="1" x14ac:dyDescent="0.2">
      <c r="A55" t="s">
        <v>1316</v>
      </c>
      <c r="B55" s="176" t="s">
        <v>462</v>
      </c>
      <c r="C55" s="110">
        <f t="shared" ref="C55:AF55" si="62">C53+C54</f>
        <v>0.14200000000000002</v>
      </c>
      <c r="D55" s="110">
        <f t="shared" si="62"/>
        <v>0.14849999999999999</v>
      </c>
      <c r="E55" s="110">
        <f t="shared" si="62"/>
        <v>0.155</v>
      </c>
      <c r="F55" s="110">
        <f t="shared" si="62"/>
        <v>0.16149999999999998</v>
      </c>
      <c r="G55" s="110">
        <f t="shared" si="62"/>
        <v>0.16800000000000001</v>
      </c>
      <c r="H55" s="110">
        <f t="shared" si="62"/>
        <v>0.17449999999999999</v>
      </c>
      <c r="I55" s="110">
        <f t="shared" si="62"/>
        <v>0.18099999999999999</v>
      </c>
      <c r="J55" s="110">
        <f t="shared" si="62"/>
        <v>0.1875</v>
      </c>
      <c r="K55" s="110">
        <f t="shared" si="62"/>
        <v>0.19400000000000001</v>
      </c>
      <c r="L55" s="110">
        <f t="shared" si="62"/>
        <v>0.20050000000000001</v>
      </c>
      <c r="M55" s="110">
        <f t="shared" si="62"/>
        <v>0.20700000000000002</v>
      </c>
      <c r="N55" s="110">
        <f t="shared" si="62"/>
        <v>0.22070000000000001</v>
      </c>
      <c r="O55" s="110">
        <f t="shared" si="62"/>
        <v>0.2344</v>
      </c>
      <c r="P55" s="110">
        <f t="shared" si="62"/>
        <v>0.24809999999999999</v>
      </c>
      <c r="Q55" s="110">
        <f t="shared" si="62"/>
        <v>0.26179999999999998</v>
      </c>
      <c r="R55" s="110">
        <f t="shared" si="62"/>
        <v>0.27549999999999997</v>
      </c>
      <c r="S55" s="110">
        <f t="shared" si="62"/>
        <v>0.28920000000000001</v>
      </c>
      <c r="T55" s="110">
        <f t="shared" si="62"/>
        <v>0.3029</v>
      </c>
      <c r="U55" s="110">
        <f t="shared" si="62"/>
        <v>0.31659999999999999</v>
      </c>
      <c r="V55" s="110">
        <f t="shared" si="62"/>
        <v>0.33030000000000004</v>
      </c>
      <c r="W55" s="110">
        <f t="shared" si="62"/>
        <v>0.34399999999999997</v>
      </c>
      <c r="X55" s="110">
        <f t="shared" si="62"/>
        <v>0.36692262658227848</v>
      </c>
      <c r="Y55" s="110">
        <f t="shared" si="62"/>
        <v>0.38984525316455698</v>
      </c>
      <c r="Z55" s="110">
        <f t="shared" si="62"/>
        <v>0.41276787974683543</v>
      </c>
      <c r="AA55" s="110">
        <f t="shared" si="62"/>
        <v>0.43569050632911388</v>
      </c>
      <c r="AB55" s="110">
        <f t="shared" si="62"/>
        <v>0.45861313291139238</v>
      </c>
      <c r="AC55" s="110">
        <f t="shared" si="62"/>
        <v>0.48153575949367089</v>
      </c>
      <c r="AD55" s="110">
        <f t="shared" si="62"/>
        <v>0.50445838607594939</v>
      </c>
      <c r="AE55" s="110">
        <f t="shared" si="62"/>
        <v>0.5273810126582279</v>
      </c>
      <c r="AF55" s="110">
        <f t="shared" si="62"/>
        <v>0.55030363924050629</v>
      </c>
      <c r="AG55" s="110">
        <f>AG53+AG54</f>
        <v>0.5732262658227848</v>
      </c>
      <c r="AI55" s="133"/>
      <c r="AJ55" s="211"/>
      <c r="AL55" s="108"/>
      <c r="AM55" s="2"/>
      <c r="AN55" s="2"/>
      <c r="AO55" s="2"/>
    </row>
    <row r="56" spans="1:63" outlineLevel="1" x14ac:dyDescent="0.2">
      <c r="C56" s="113"/>
      <c r="D56" s="110"/>
      <c r="E56" s="110"/>
      <c r="F56" s="110"/>
      <c r="G56" s="110"/>
      <c r="H56" s="110"/>
      <c r="I56" s="110"/>
      <c r="J56" s="110"/>
      <c r="K56" s="110"/>
      <c r="L56" s="110"/>
      <c r="M56" s="113"/>
      <c r="N56" s="110"/>
      <c r="O56" s="110"/>
      <c r="P56" s="110"/>
      <c r="Q56" s="110"/>
      <c r="R56" s="110"/>
      <c r="S56" s="110"/>
      <c r="T56" s="110"/>
      <c r="U56" s="110"/>
      <c r="V56" s="110"/>
      <c r="W56" s="113"/>
      <c r="X56" s="110"/>
      <c r="Y56" s="110"/>
      <c r="Z56" s="110"/>
      <c r="AA56" s="110"/>
      <c r="AB56" s="110"/>
      <c r="AC56" s="110"/>
      <c r="AD56" s="110"/>
      <c r="AE56" s="110"/>
      <c r="AF56" s="110"/>
      <c r="AG56" s="113"/>
      <c r="AI56" s="133"/>
      <c r="AJ56" s="211"/>
      <c r="AL56" s="108"/>
      <c r="AM56" s="2"/>
      <c r="AN56" s="2"/>
      <c r="AO56" s="2"/>
      <c r="AV56" s="41"/>
    </row>
    <row r="57" spans="1:63" outlineLevel="1" x14ac:dyDescent="0.2">
      <c r="A57" t="s">
        <v>1317</v>
      </c>
      <c r="B57" s="54" t="s">
        <v>462</v>
      </c>
      <c r="C57" s="110">
        <f>'Ethylene recycling rates'!W28</f>
        <v>0.11499935012302656</v>
      </c>
      <c r="D57" s="121">
        <f>C57-($C$57-$AG$57)/($AG$1-$C$1)</f>
        <v>0.11283270511892568</v>
      </c>
      <c r="E57" s="121">
        <f t="shared" ref="E57:AF57" si="63">D57-($C$57-$AG$57)/($AG$1-$C$1)</f>
        <v>0.1106660601148248</v>
      </c>
      <c r="F57" s="121">
        <f t="shared" si="63"/>
        <v>0.10849941511072392</v>
      </c>
      <c r="G57" s="121">
        <f t="shared" si="63"/>
        <v>0.10633277010662304</v>
      </c>
      <c r="H57" s="121">
        <f t="shared" si="63"/>
        <v>0.10416612510252216</v>
      </c>
      <c r="I57" s="121">
        <f t="shared" si="63"/>
        <v>0.10199948009842127</v>
      </c>
      <c r="J57" s="121">
        <f t="shared" si="63"/>
        <v>9.9832835094320393E-2</v>
      </c>
      <c r="K57" s="121">
        <f t="shared" si="63"/>
        <v>9.7666190090219512E-2</v>
      </c>
      <c r="L57" s="121">
        <f t="shared" si="63"/>
        <v>9.5499545086118631E-2</v>
      </c>
      <c r="M57" s="121">
        <f t="shared" si="63"/>
        <v>9.333290008201775E-2</v>
      </c>
      <c r="N57" s="121">
        <f t="shared" si="63"/>
        <v>9.1166255077916869E-2</v>
      </c>
      <c r="O57" s="121">
        <f t="shared" si="63"/>
        <v>8.8999610073815988E-2</v>
      </c>
      <c r="P57" s="121">
        <f t="shared" si="63"/>
        <v>8.6832965069715107E-2</v>
      </c>
      <c r="Q57" s="121">
        <f t="shared" si="63"/>
        <v>8.4666320065614226E-2</v>
      </c>
      <c r="R57" s="121">
        <f t="shared" si="63"/>
        <v>8.2499675061513345E-2</v>
      </c>
      <c r="S57" s="121">
        <f t="shared" si="63"/>
        <v>8.0333030057412463E-2</v>
      </c>
      <c r="T57" s="121">
        <f t="shared" si="63"/>
        <v>7.8166385053311582E-2</v>
      </c>
      <c r="U57" s="121">
        <f t="shared" si="63"/>
        <v>7.5999740049210701E-2</v>
      </c>
      <c r="V57" s="121">
        <f t="shared" si="63"/>
        <v>7.383309504510982E-2</v>
      </c>
      <c r="W57" s="121">
        <f t="shared" si="63"/>
        <v>7.1666450041008939E-2</v>
      </c>
      <c r="X57" s="121">
        <f t="shared" si="63"/>
        <v>6.9499805036908058E-2</v>
      </c>
      <c r="Y57" s="121">
        <f t="shared" si="63"/>
        <v>6.7333160032807177E-2</v>
      </c>
      <c r="Z57" s="121">
        <f t="shared" si="63"/>
        <v>6.5166515028706296E-2</v>
      </c>
      <c r="AA57" s="121">
        <f t="shared" si="63"/>
        <v>6.2999870024605414E-2</v>
      </c>
      <c r="AB57" s="121">
        <f t="shared" si="63"/>
        <v>6.0833225020504526E-2</v>
      </c>
      <c r="AC57" s="121">
        <f t="shared" si="63"/>
        <v>5.8666580016403638E-2</v>
      </c>
      <c r="AD57" s="121">
        <f t="shared" si="63"/>
        <v>5.649993501230275E-2</v>
      </c>
      <c r="AE57" s="121">
        <f t="shared" si="63"/>
        <v>5.4333290008201862E-2</v>
      </c>
      <c r="AF57" s="121">
        <f t="shared" si="63"/>
        <v>5.2166645004100974E-2</v>
      </c>
      <c r="AG57" s="214">
        <v>0.05</v>
      </c>
      <c r="AI57" s="133"/>
      <c r="AJ57" s="211" t="s">
        <v>1432</v>
      </c>
      <c r="AL57" s="108"/>
      <c r="AM57" s="2"/>
      <c r="AN57" s="2"/>
      <c r="AO57" s="2"/>
      <c r="AV57" s="41"/>
    </row>
    <row r="58" spans="1:63" outlineLevel="1" x14ac:dyDescent="0.2">
      <c r="A58" t="s">
        <v>1318</v>
      </c>
      <c r="C58" s="110">
        <f>'Ethylene recycling rates'!Z28</f>
        <v>0.13791632052401978</v>
      </c>
      <c r="D58" s="110">
        <f t="shared" ref="D58:S59" si="64">C58</f>
        <v>0.13791632052401978</v>
      </c>
      <c r="E58" s="110">
        <f t="shared" si="64"/>
        <v>0.13791632052401978</v>
      </c>
      <c r="F58" s="110">
        <f t="shared" si="64"/>
        <v>0.13791632052401978</v>
      </c>
      <c r="G58" s="110">
        <f t="shared" si="64"/>
        <v>0.13791632052401978</v>
      </c>
      <c r="H58" s="110">
        <f t="shared" si="64"/>
        <v>0.13791632052401978</v>
      </c>
      <c r="I58" s="110">
        <f t="shared" si="64"/>
        <v>0.13791632052401978</v>
      </c>
      <c r="J58" s="110">
        <f t="shared" si="64"/>
        <v>0.13791632052401978</v>
      </c>
      <c r="K58" s="110">
        <f t="shared" si="64"/>
        <v>0.13791632052401978</v>
      </c>
      <c r="L58" s="110">
        <f t="shared" si="64"/>
        <v>0.13791632052401978</v>
      </c>
      <c r="M58" s="110">
        <f t="shared" si="64"/>
        <v>0.13791632052401978</v>
      </c>
      <c r="N58" s="110">
        <f t="shared" si="64"/>
        <v>0.13791632052401978</v>
      </c>
      <c r="O58" s="110">
        <f t="shared" si="64"/>
        <v>0.13791632052401978</v>
      </c>
      <c r="P58" s="110">
        <f t="shared" si="64"/>
        <v>0.13791632052401978</v>
      </c>
      <c r="Q58" s="110">
        <f t="shared" si="64"/>
        <v>0.13791632052401978</v>
      </c>
      <c r="R58" s="110">
        <f t="shared" si="64"/>
        <v>0.13791632052401978</v>
      </c>
      <c r="S58" s="110">
        <f t="shared" si="64"/>
        <v>0.13791632052401978</v>
      </c>
      <c r="T58" s="110">
        <f t="shared" ref="E58:AG59" si="65">S58</f>
        <v>0.13791632052401978</v>
      </c>
      <c r="U58" s="110">
        <f t="shared" si="65"/>
        <v>0.13791632052401978</v>
      </c>
      <c r="V58" s="110">
        <f t="shared" si="65"/>
        <v>0.13791632052401978</v>
      </c>
      <c r="W58" s="110">
        <f t="shared" si="65"/>
        <v>0.13791632052401978</v>
      </c>
      <c r="X58" s="110">
        <f t="shared" si="65"/>
        <v>0.13791632052401978</v>
      </c>
      <c r="Y58" s="110">
        <f t="shared" si="65"/>
        <v>0.13791632052401978</v>
      </c>
      <c r="Z58" s="110">
        <f t="shared" si="65"/>
        <v>0.13791632052401978</v>
      </c>
      <c r="AA58" s="110">
        <f t="shared" si="65"/>
        <v>0.13791632052401978</v>
      </c>
      <c r="AB58" s="110">
        <f t="shared" si="65"/>
        <v>0.13791632052401978</v>
      </c>
      <c r="AC58" s="110">
        <f t="shared" si="65"/>
        <v>0.13791632052401978</v>
      </c>
      <c r="AD58" s="110">
        <f t="shared" si="65"/>
        <v>0.13791632052401978</v>
      </c>
      <c r="AE58" s="110">
        <f t="shared" si="65"/>
        <v>0.13791632052401978</v>
      </c>
      <c r="AF58" s="110">
        <f t="shared" si="65"/>
        <v>0.13791632052401978</v>
      </c>
      <c r="AG58" s="110">
        <f t="shared" si="65"/>
        <v>0.13791632052401978</v>
      </c>
      <c r="AI58" s="133"/>
      <c r="AJ58" s="211" t="s">
        <v>1432</v>
      </c>
      <c r="AL58" s="108"/>
      <c r="AM58" s="2"/>
      <c r="AN58" s="2"/>
      <c r="AO58" s="2"/>
      <c r="AV58" s="41"/>
    </row>
    <row r="59" spans="1:63" outlineLevel="1" x14ac:dyDescent="0.2">
      <c r="A59" t="s">
        <v>1433</v>
      </c>
      <c r="B59" s="54" t="s">
        <v>462</v>
      </c>
      <c r="C59" s="110">
        <f>'Ethylene recycling rates'!X28</f>
        <v>0.10855071452136934</v>
      </c>
      <c r="D59" s="110">
        <f t="shared" si="64"/>
        <v>0.10855071452136934</v>
      </c>
      <c r="E59" s="110">
        <f t="shared" si="65"/>
        <v>0.10855071452136934</v>
      </c>
      <c r="F59" s="110">
        <f t="shared" si="65"/>
        <v>0.10855071452136934</v>
      </c>
      <c r="G59" s="110">
        <f t="shared" si="65"/>
        <v>0.10855071452136934</v>
      </c>
      <c r="H59" s="110">
        <f t="shared" si="65"/>
        <v>0.10855071452136934</v>
      </c>
      <c r="I59" s="110">
        <f t="shared" si="65"/>
        <v>0.10855071452136934</v>
      </c>
      <c r="J59" s="110">
        <f t="shared" si="65"/>
        <v>0.10855071452136934</v>
      </c>
      <c r="K59" s="110">
        <f t="shared" si="65"/>
        <v>0.10855071452136934</v>
      </c>
      <c r="L59" s="110">
        <f t="shared" si="65"/>
        <v>0.10855071452136934</v>
      </c>
      <c r="M59" s="110">
        <f t="shared" si="65"/>
        <v>0.10855071452136934</v>
      </c>
      <c r="N59" s="110">
        <f t="shared" si="65"/>
        <v>0.10855071452136934</v>
      </c>
      <c r="O59" s="110">
        <f t="shared" si="65"/>
        <v>0.10855071452136934</v>
      </c>
      <c r="P59" s="110">
        <f t="shared" si="65"/>
        <v>0.10855071452136934</v>
      </c>
      <c r="Q59" s="110">
        <f t="shared" si="65"/>
        <v>0.10855071452136934</v>
      </c>
      <c r="R59" s="110">
        <f t="shared" si="65"/>
        <v>0.10855071452136934</v>
      </c>
      <c r="S59" s="110">
        <f t="shared" si="65"/>
        <v>0.10855071452136934</v>
      </c>
      <c r="T59" s="110">
        <f t="shared" si="65"/>
        <v>0.10855071452136934</v>
      </c>
      <c r="U59" s="110">
        <f t="shared" si="65"/>
        <v>0.10855071452136934</v>
      </c>
      <c r="V59" s="110">
        <f t="shared" si="65"/>
        <v>0.10855071452136934</v>
      </c>
      <c r="W59" s="110">
        <f t="shared" si="65"/>
        <v>0.10855071452136934</v>
      </c>
      <c r="X59" s="110">
        <f t="shared" si="65"/>
        <v>0.10855071452136934</v>
      </c>
      <c r="Y59" s="110">
        <f t="shared" si="65"/>
        <v>0.10855071452136934</v>
      </c>
      <c r="Z59" s="110">
        <f t="shared" si="65"/>
        <v>0.10855071452136934</v>
      </c>
      <c r="AA59" s="110">
        <f t="shared" si="65"/>
        <v>0.10855071452136934</v>
      </c>
      <c r="AB59" s="110">
        <f t="shared" si="65"/>
        <v>0.10855071452136934</v>
      </c>
      <c r="AC59" s="110">
        <f t="shared" si="65"/>
        <v>0.10855071452136934</v>
      </c>
      <c r="AD59" s="110">
        <f t="shared" si="65"/>
        <v>0.10855071452136934</v>
      </c>
      <c r="AE59" s="110">
        <f t="shared" si="65"/>
        <v>0.10855071452136934</v>
      </c>
      <c r="AF59" s="110">
        <f t="shared" si="65"/>
        <v>0.10855071452136934</v>
      </c>
      <c r="AG59" s="110">
        <f t="shared" si="65"/>
        <v>0.10855071452136934</v>
      </c>
      <c r="AI59" s="133"/>
      <c r="AJ59" s="211" t="s">
        <v>1432</v>
      </c>
      <c r="AL59" s="108"/>
      <c r="AM59" s="2"/>
      <c r="AN59" s="2"/>
      <c r="AO59" s="2"/>
      <c r="AV59" s="41"/>
    </row>
    <row r="60" spans="1:63" outlineLevel="1" x14ac:dyDescent="0.2">
      <c r="A60" t="s">
        <v>1319</v>
      </c>
      <c r="B60" s="54" t="s">
        <v>462</v>
      </c>
      <c r="C60" s="110">
        <f>1-C59-C58-C57</f>
        <v>0.63853361483158433</v>
      </c>
      <c r="D60" s="110">
        <f t="shared" ref="D60:AG60" si="66">1-D59-D58-D57</f>
        <v>0.64070025983568524</v>
      </c>
      <c r="E60" s="110">
        <f t="shared" si="66"/>
        <v>0.64286690483978604</v>
      </c>
      <c r="F60" s="110">
        <f t="shared" si="66"/>
        <v>0.64503354984388694</v>
      </c>
      <c r="G60" s="110">
        <f t="shared" si="66"/>
        <v>0.64720019484798785</v>
      </c>
      <c r="H60" s="110">
        <f t="shared" si="66"/>
        <v>0.64936683985208865</v>
      </c>
      <c r="I60" s="110">
        <f t="shared" si="66"/>
        <v>0.65153348485618956</v>
      </c>
      <c r="J60" s="110">
        <f t="shared" si="66"/>
        <v>0.65370012986029047</v>
      </c>
      <c r="K60" s="110">
        <f t="shared" si="66"/>
        <v>0.65586677486439138</v>
      </c>
      <c r="L60" s="110">
        <f t="shared" si="66"/>
        <v>0.65803341986849229</v>
      </c>
      <c r="M60" s="110">
        <f t="shared" si="66"/>
        <v>0.66020006487259308</v>
      </c>
      <c r="N60" s="110">
        <f t="shared" si="66"/>
        <v>0.66236670987669399</v>
      </c>
      <c r="O60" s="110">
        <f t="shared" si="66"/>
        <v>0.6645333548807949</v>
      </c>
      <c r="P60" s="110">
        <f t="shared" si="66"/>
        <v>0.6666999998848957</v>
      </c>
      <c r="Q60" s="110">
        <f t="shared" si="66"/>
        <v>0.66886664488899661</v>
      </c>
      <c r="R60" s="110">
        <f t="shared" si="66"/>
        <v>0.67103328989309752</v>
      </c>
      <c r="S60" s="110">
        <f t="shared" si="66"/>
        <v>0.67319993489719843</v>
      </c>
      <c r="T60" s="110">
        <f t="shared" si="66"/>
        <v>0.67536657990129934</v>
      </c>
      <c r="U60" s="110">
        <f t="shared" si="66"/>
        <v>0.67753322490540013</v>
      </c>
      <c r="V60" s="110">
        <f t="shared" si="66"/>
        <v>0.67969986990950104</v>
      </c>
      <c r="W60" s="110">
        <f t="shared" si="66"/>
        <v>0.68186651491360195</v>
      </c>
      <c r="X60" s="110">
        <f t="shared" si="66"/>
        <v>0.68403315991770275</v>
      </c>
      <c r="Y60" s="110">
        <f t="shared" si="66"/>
        <v>0.68619980492180366</v>
      </c>
      <c r="Z60" s="110">
        <f t="shared" si="66"/>
        <v>0.68836644992590457</v>
      </c>
      <c r="AA60" s="110">
        <f t="shared" si="66"/>
        <v>0.69053309493000548</v>
      </c>
      <c r="AB60" s="110">
        <f t="shared" si="66"/>
        <v>0.69269973993410638</v>
      </c>
      <c r="AC60" s="110">
        <f t="shared" si="66"/>
        <v>0.69486638493820718</v>
      </c>
      <c r="AD60" s="110">
        <f t="shared" si="66"/>
        <v>0.69703302994230809</v>
      </c>
      <c r="AE60" s="110">
        <f t="shared" si="66"/>
        <v>0.699199674946409</v>
      </c>
      <c r="AF60" s="110">
        <f t="shared" si="66"/>
        <v>0.70136631995050991</v>
      </c>
      <c r="AG60" s="110">
        <f t="shared" si="66"/>
        <v>0.70353296495461082</v>
      </c>
      <c r="AI60" s="133"/>
      <c r="AJ60" s="211" t="s">
        <v>1432</v>
      </c>
      <c r="AL60" s="108"/>
      <c r="AM60" s="2"/>
      <c r="AN60" s="2"/>
      <c r="AO60" s="2"/>
      <c r="AV60" s="41"/>
    </row>
    <row r="61" spans="1:63" outlineLevel="1" x14ac:dyDescent="0.2">
      <c r="A61" t="s">
        <v>1317</v>
      </c>
      <c r="B61" s="54" t="s">
        <v>462</v>
      </c>
      <c r="C61" s="110">
        <f>C$54*C57</f>
        <v>1.0924938261687523E-2</v>
      </c>
      <c r="D61" s="110">
        <f t="shared" ref="D61:AG64" si="67">D$54*D57</f>
        <v>1.1091454913190394E-2</v>
      </c>
      <c r="E61" s="110">
        <f t="shared" si="67"/>
        <v>1.1243671707666198E-2</v>
      </c>
      <c r="F61" s="110">
        <f t="shared" si="67"/>
        <v>1.1381588645114939E-2</v>
      </c>
      <c r="G61" s="110">
        <f t="shared" si="67"/>
        <v>1.1505205725536613E-2</v>
      </c>
      <c r="H61" s="110">
        <f t="shared" si="67"/>
        <v>1.161452294893122E-2</v>
      </c>
      <c r="I61" s="110">
        <f t="shared" si="67"/>
        <v>1.1709540315298762E-2</v>
      </c>
      <c r="J61" s="110">
        <f t="shared" si="67"/>
        <v>1.1790257824639237E-2</v>
      </c>
      <c r="K61" s="110">
        <f t="shared" si="67"/>
        <v>1.185667547695265E-2</v>
      </c>
      <c r="L61" s="110">
        <f t="shared" si="67"/>
        <v>1.1908793272238994E-2</v>
      </c>
      <c r="M61" s="110">
        <f t="shared" si="67"/>
        <v>1.1946611210498273E-2</v>
      </c>
      <c r="N61" s="110">
        <f t="shared" si="67"/>
        <v>1.2362144188565528E-2</v>
      </c>
      <c r="O61" s="110">
        <f t="shared" si="67"/>
        <v>1.2744744162570449E-2</v>
      </c>
      <c r="P61" s="110">
        <f t="shared" si="67"/>
        <v>1.3094411132513037E-2</v>
      </c>
      <c r="Q61" s="110">
        <f t="shared" si="67"/>
        <v>1.3411145098393293E-2</v>
      </c>
      <c r="R61" s="110">
        <f t="shared" si="67"/>
        <v>1.3694946060211214E-2</v>
      </c>
      <c r="S61" s="110">
        <f t="shared" si="67"/>
        <v>1.3945814017966802E-2</v>
      </c>
      <c r="T61" s="110">
        <f t="shared" si="67"/>
        <v>1.4163748971660058E-2</v>
      </c>
      <c r="U61" s="110">
        <f t="shared" si="67"/>
        <v>1.434875092129098E-2</v>
      </c>
      <c r="V61" s="110">
        <f t="shared" si="67"/>
        <v>1.4500819866859568E-2</v>
      </c>
      <c r="W61" s="110">
        <f t="shared" si="67"/>
        <v>1.4619955808365823E-2</v>
      </c>
      <c r="X61" s="110">
        <f t="shared" si="67"/>
        <v>1.5019776616038791E-2</v>
      </c>
      <c r="Y61" s="110">
        <f t="shared" si="67"/>
        <v>1.5367110448487417E-2</v>
      </c>
      <c r="Z61" s="110">
        <f t="shared" si="67"/>
        <v>1.56619573057117E-2</v>
      </c>
      <c r="AA61" s="110">
        <f t="shared" si="67"/>
        <v>1.5904317187711636E-2</v>
      </c>
      <c r="AB61" s="110">
        <f t="shared" si="67"/>
        <v>1.6094190094487228E-2</v>
      </c>
      <c r="AC61" s="110">
        <f t="shared" si="67"/>
        <v>1.6231576026038474E-2</v>
      </c>
      <c r="AD61" s="110">
        <f t="shared" si="67"/>
        <v>1.6316474982365377E-2</v>
      </c>
      <c r="AE61" s="110">
        <f t="shared" si="67"/>
        <v>1.6348886963467937E-2</v>
      </c>
      <c r="AF61" s="110">
        <f t="shared" si="67"/>
        <v>1.6328811969346151E-2</v>
      </c>
      <c r="AG61" s="110">
        <f>AG$54*AG57</f>
        <v>1.6256249999999996E-2</v>
      </c>
      <c r="AH61" s="271"/>
      <c r="AI61" s="133"/>
      <c r="AJ61" s="211"/>
      <c r="AL61" s="108"/>
      <c r="AM61" s="2"/>
      <c r="AN61" s="2"/>
      <c r="AO61" s="2"/>
    </row>
    <row r="62" spans="1:63" outlineLevel="1" x14ac:dyDescent="0.2">
      <c r="A62" t="s">
        <v>1318</v>
      </c>
      <c r="B62" s="54" t="s">
        <v>462</v>
      </c>
      <c r="C62" s="110">
        <f>C$54*C58</f>
        <v>1.3102050449781879E-2</v>
      </c>
      <c r="D62" s="110">
        <f t="shared" ref="C62:R64" si="68">D$54*D58</f>
        <v>1.3557174307511145E-2</v>
      </c>
      <c r="E62" s="110">
        <f t="shared" si="68"/>
        <v>1.4012298165240409E-2</v>
      </c>
      <c r="F62" s="110">
        <f t="shared" si="68"/>
        <v>1.4467422022969674E-2</v>
      </c>
      <c r="G62" s="110">
        <f t="shared" si="68"/>
        <v>1.4922545880698941E-2</v>
      </c>
      <c r="H62" s="110">
        <f t="shared" si="68"/>
        <v>1.5377669738428206E-2</v>
      </c>
      <c r="I62" s="110">
        <f t="shared" si="68"/>
        <v>1.5832793596157472E-2</v>
      </c>
      <c r="J62" s="110">
        <f t="shared" si="68"/>
        <v>1.6287917453886736E-2</v>
      </c>
      <c r="K62" s="110">
        <f t="shared" si="68"/>
        <v>1.6743041311616004E-2</v>
      </c>
      <c r="L62" s="110">
        <f t="shared" si="68"/>
        <v>1.7198165169345268E-2</v>
      </c>
      <c r="M62" s="110">
        <f t="shared" si="68"/>
        <v>1.7653289027074533E-2</v>
      </c>
      <c r="N62" s="110">
        <f t="shared" si="68"/>
        <v>1.8701453063057084E-2</v>
      </c>
      <c r="O62" s="110">
        <f t="shared" si="68"/>
        <v>1.9749617099039631E-2</v>
      </c>
      <c r="P62" s="110">
        <f t="shared" si="68"/>
        <v>2.0797781135022182E-2</v>
      </c>
      <c r="Q62" s="110">
        <f t="shared" si="68"/>
        <v>2.184594517100473E-2</v>
      </c>
      <c r="R62" s="110">
        <f t="shared" si="68"/>
        <v>2.2894109206987281E-2</v>
      </c>
      <c r="S62" s="110">
        <f t="shared" si="67"/>
        <v>2.3942273242969832E-2</v>
      </c>
      <c r="T62" s="110">
        <f t="shared" si="67"/>
        <v>2.4990437278952383E-2</v>
      </c>
      <c r="U62" s="110">
        <f t="shared" si="67"/>
        <v>2.6038601314934934E-2</v>
      </c>
      <c r="V62" s="110">
        <f t="shared" si="67"/>
        <v>2.7086765350917485E-2</v>
      </c>
      <c r="W62" s="110">
        <f t="shared" si="67"/>
        <v>2.8134929386900032E-2</v>
      </c>
      <c r="X62" s="110">
        <f t="shared" si="67"/>
        <v>2.9805440819247221E-2</v>
      </c>
      <c r="Y62" s="110">
        <f t="shared" si="67"/>
        <v>3.1475952251594413E-2</v>
      </c>
      <c r="Z62" s="110">
        <f t="shared" si="67"/>
        <v>3.3146463683941599E-2</v>
      </c>
      <c r="AA62" s="110">
        <f t="shared" si="67"/>
        <v>3.4816975116288784E-2</v>
      </c>
      <c r="AB62" s="110">
        <f t="shared" si="67"/>
        <v>3.6487486548635983E-2</v>
      </c>
      <c r="AC62" s="110">
        <f t="shared" si="67"/>
        <v>3.8157997980983169E-2</v>
      </c>
      <c r="AD62" s="110">
        <f t="shared" si="67"/>
        <v>3.9828509413330361E-2</v>
      </c>
      <c r="AE62" s="110">
        <f t="shared" si="67"/>
        <v>4.1499020845677546E-2</v>
      </c>
      <c r="AF62" s="110">
        <f t="shared" si="67"/>
        <v>4.3169532278024732E-2</v>
      </c>
      <c r="AG62" s="110">
        <f t="shared" si="67"/>
        <v>4.4840043710371924E-2</v>
      </c>
      <c r="AH62" s="271"/>
      <c r="AJ62" s="211"/>
      <c r="AL62" s="108"/>
      <c r="AM62" s="2"/>
      <c r="AN62" s="2"/>
      <c r="AO62" s="2"/>
      <c r="BC62" s="1"/>
      <c r="BD62" s="2"/>
      <c r="BE62" s="2"/>
      <c r="BF62" s="2"/>
      <c r="BG62" s="2"/>
      <c r="BH62" s="2"/>
      <c r="BI62" s="2"/>
      <c r="BJ62" s="2"/>
      <c r="BK62" s="2"/>
    </row>
    <row r="63" spans="1:63" outlineLevel="1" x14ac:dyDescent="0.2">
      <c r="A63" t="s">
        <v>1433</v>
      </c>
      <c r="C63" s="110">
        <f t="shared" si="68"/>
        <v>1.0312317879530087E-2</v>
      </c>
      <c r="D63" s="110">
        <f t="shared" si="67"/>
        <v>1.0670535237450606E-2</v>
      </c>
      <c r="E63" s="110">
        <f t="shared" si="67"/>
        <v>1.1028752595371125E-2</v>
      </c>
      <c r="F63" s="110">
        <f t="shared" si="67"/>
        <v>1.1386969953291644E-2</v>
      </c>
      <c r="G63" s="110">
        <f t="shared" si="67"/>
        <v>1.1745187311212163E-2</v>
      </c>
      <c r="H63" s="110">
        <f t="shared" si="67"/>
        <v>1.2103404669132681E-2</v>
      </c>
      <c r="I63" s="110">
        <f t="shared" si="67"/>
        <v>1.24616220270532E-2</v>
      </c>
      <c r="J63" s="110">
        <f t="shared" si="67"/>
        <v>1.2819839384973719E-2</v>
      </c>
      <c r="K63" s="110">
        <f t="shared" si="67"/>
        <v>1.317805674289424E-2</v>
      </c>
      <c r="L63" s="110">
        <f t="shared" si="67"/>
        <v>1.3536274100814759E-2</v>
      </c>
      <c r="M63" s="110">
        <f t="shared" si="67"/>
        <v>1.3894491458735276E-2</v>
      </c>
      <c r="N63" s="110">
        <f t="shared" si="67"/>
        <v>1.4719476889097683E-2</v>
      </c>
      <c r="O63" s="110">
        <f t="shared" si="67"/>
        <v>1.5544462319460089E-2</v>
      </c>
      <c r="P63" s="110">
        <f t="shared" si="67"/>
        <v>1.6369447749822495E-2</v>
      </c>
      <c r="Q63" s="110">
        <f t="shared" si="67"/>
        <v>1.7194433180184904E-2</v>
      </c>
      <c r="R63" s="110">
        <f t="shared" si="67"/>
        <v>1.8019418610547309E-2</v>
      </c>
      <c r="S63" s="110">
        <f t="shared" si="67"/>
        <v>1.8844404040909715E-2</v>
      </c>
      <c r="T63" s="110">
        <f t="shared" si="67"/>
        <v>1.9669389471272124E-2</v>
      </c>
      <c r="U63" s="110">
        <f t="shared" si="67"/>
        <v>2.049437490163453E-2</v>
      </c>
      <c r="V63" s="110">
        <f t="shared" si="67"/>
        <v>2.1319360331996939E-2</v>
      </c>
      <c r="W63" s="110">
        <f t="shared" si="67"/>
        <v>2.2144345762359345E-2</v>
      </c>
      <c r="X63" s="110">
        <f t="shared" si="67"/>
        <v>2.3459166291999432E-2</v>
      </c>
      <c r="Y63" s="110">
        <f t="shared" si="67"/>
        <v>2.4773986821639518E-2</v>
      </c>
      <c r="Z63" s="110">
        <f t="shared" si="67"/>
        <v>2.6088807351279601E-2</v>
      </c>
      <c r="AA63" s="110">
        <f t="shared" si="67"/>
        <v>2.7403627880919684E-2</v>
      </c>
      <c r="AB63" s="110">
        <f t="shared" si="67"/>
        <v>2.8718448410559774E-2</v>
      </c>
      <c r="AC63" s="110">
        <f t="shared" si="67"/>
        <v>3.0033268940199857E-2</v>
      </c>
      <c r="AD63" s="110">
        <f t="shared" si="67"/>
        <v>3.1348089469839947E-2</v>
      </c>
      <c r="AE63" s="110">
        <f t="shared" si="67"/>
        <v>3.266290999948003E-2</v>
      </c>
      <c r="AF63" s="110">
        <f t="shared" si="67"/>
        <v>3.3977730529120113E-2</v>
      </c>
      <c r="AG63" s="110">
        <f t="shared" si="67"/>
        <v>3.5292551058760203E-2</v>
      </c>
      <c r="AH63" s="271"/>
      <c r="AJ63" s="211"/>
      <c r="AL63" s="108"/>
      <c r="AM63" s="2"/>
      <c r="AN63" s="2"/>
      <c r="AO63" s="2"/>
      <c r="BC63" s="1"/>
      <c r="BD63" s="2"/>
      <c r="BE63" s="2"/>
      <c r="BF63" s="2"/>
      <c r="BG63" s="2"/>
      <c r="BH63" s="2"/>
      <c r="BI63" s="2"/>
      <c r="BJ63" s="2"/>
      <c r="BK63" s="2"/>
    </row>
    <row r="64" spans="1:63" outlineLevel="1" x14ac:dyDescent="0.2">
      <c r="A64" t="s">
        <v>1319</v>
      </c>
      <c r="B64" s="54" t="s">
        <v>462</v>
      </c>
      <c r="C64" s="110">
        <f t="shared" si="68"/>
        <v>6.0660693409000509E-2</v>
      </c>
      <c r="D64" s="110">
        <f t="shared" si="67"/>
        <v>6.2980835541847857E-2</v>
      </c>
      <c r="E64" s="110">
        <f t="shared" si="67"/>
        <v>6.5315277531722254E-2</v>
      </c>
      <c r="F64" s="110">
        <f t="shared" si="67"/>
        <v>6.7664019378623735E-2</v>
      </c>
      <c r="G64" s="110">
        <f t="shared" si="67"/>
        <v>7.0027061082552286E-2</v>
      </c>
      <c r="H64" s="110">
        <f t="shared" si="67"/>
        <v>7.2404402643507892E-2</v>
      </c>
      <c r="I64" s="110">
        <f t="shared" si="67"/>
        <v>7.4796044061490555E-2</v>
      </c>
      <c r="J64" s="110">
        <f t="shared" si="67"/>
        <v>7.7201985336500301E-2</v>
      </c>
      <c r="K64" s="110">
        <f t="shared" si="67"/>
        <v>7.9622226468537116E-2</v>
      </c>
      <c r="L64" s="110">
        <f t="shared" si="67"/>
        <v>8.2056767457600988E-2</v>
      </c>
      <c r="M64" s="110">
        <f t="shared" si="67"/>
        <v>8.4505608303691915E-2</v>
      </c>
      <c r="N64" s="110">
        <f t="shared" si="67"/>
        <v>8.9816925859279709E-2</v>
      </c>
      <c r="O64" s="110">
        <f t="shared" si="67"/>
        <v>9.5161176418929821E-2</v>
      </c>
      <c r="P64" s="110">
        <f t="shared" si="67"/>
        <v>0.10053835998264227</v>
      </c>
      <c r="Q64" s="110">
        <f t="shared" si="67"/>
        <v>0.10594847655041706</v>
      </c>
      <c r="R64" s="110">
        <f t="shared" si="67"/>
        <v>0.11139152612225417</v>
      </c>
      <c r="S64" s="110">
        <f t="shared" si="67"/>
        <v>0.11686750869815363</v>
      </c>
      <c r="T64" s="110">
        <f t="shared" si="67"/>
        <v>0.12237642427811544</v>
      </c>
      <c r="U64" s="110">
        <f t="shared" si="67"/>
        <v>0.12791827286213955</v>
      </c>
      <c r="V64" s="110">
        <f t="shared" si="67"/>
        <v>0.133493054450226</v>
      </c>
      <c r="W64" s="110">
        <f t="shared" si="67"/>
        <v>0.13910076904237478</v>
      </c>
      <c r="X64" s="110">
        <f t="shared" si="67"/>
        <v>0.14782811627271453</v>
      </c>
      <c r="Y64" s="110">
        <f t="shared" si="67"/>
        <v>0.15660795047827863</v>
      </c>
      <c r="Z64" s="110">
        <f t="shared" si="67"/>
        <v>0.16544027165906708</v>
      </c>
      <c r="AA64" s="110">
        <f t="shared" si="67"/>
        <v>0.17432507981507986</v>
      </c>
      <c r="AB64" s="110">
        <f t="shared" si="67"/>
        <v>0.183262374946317</v>
      </c>
      <c r="AC64" s="110">
        <f t="shared" si="67"/>
        <v>0.19225215705277843</v>
      </c>
      <c r="AD64" s="110">
        <f t="shared" si="67"/>
        <v>0.20129442613446427</v>
      </c>
      <c r="AE64" s="110">
        <f t="shared" si="67"/>
        <v>0.21038918219137442</v>
      </c>
      <c r="AF64" s="110">
        <f t="shared" si="67"/>
        <v>0.21953642522350891</v>
      </c>
      <c r="AG64" s="110">
        <f t="shared" si="67"/>
        <v>0.22873615523086779</v>
      </c>
      <c r="AH64" s="271"/>
      <c r="AI64" s="133"/>
      <c r="AJ64" s="211"/>
      <c r="AL64" s="108"/>
      <c r="AM64" s="2"/>
      <c r="AN64" s="2"/>
      <c r="AO64" s="2"/>
      <c r="BC64" s="1"/>
      <c r="BD64" s="2"/>
      <c r="BE64" s="2"/>
      <c r="BF64" s="2"/>
      <c r="BG64" s="2"/>
      <c r="BH64" s="2"/>
      <c r="BI64" s="2"/>
      <c r="BJ64" s="2"/>
      <c r="BK64" s="2"/>
    </row>
    <row r="65" spans="1:63" outlineLevel="1" x14ac:dyDescent="0.2">
      <c r="C65" s="110"/>
      <c r="D65" s="110"/>
      <c r="E65" s="110"/>
      <c r="F65" s="110"/>
      <c r="G65" s="110"/>
      <c r="H65" s="110"/>
      <c r="I65" s="110"/>
      <c r="J65" s="110"/>
      <c r="K65" s="110"/>
      <c r="L65" s="110"/>
      <c r="M65" s="110"/>
      <c r="N65" s="110"/>
      <c r="O65" s="110"/>
      <c r="P65" s="110"/>
      <c r="Q65" s="110"/>
      <c r="R65" s="110"/>
      <c r="S65" s="110"/>
      <c r="T65" s="110"/>
      <c r="U65" s="110"/>
      <c r="V65" s="110"/>
      <c r="W65" s="110"/>
      <c r="X65" s="110"/>
      <c r="Y65" s="110"/>
      <c r="Z65" s="110"/>
      <c r="AA65" s="110"/>
      <c r="AB65" s="110"/>
      <c r="AC65" s="110"/>
      <c r="AD65" s="110"/>
      <c r="AE65" s="110"/>
      <c r="AF65" s="110"/>
      <c r="AG65" s="110"/>
      <c r="AI65" s="133"/>
      <c r="AJ65" s="211"/>
      <c r="AL65" s="108"/>
      <c r="AM65" s="2"/>
      <c r="AN65" s="2"/>
      <c r="AO65" s="2"/>
      <c r="BC65" s="1"/>
      <c r="BD65" s="2"/>
      <c r="BE65" s="2"/>
      <c r="BF65" s="2"/>
      <c r="BG65" s="2"/>
      <c r="BH65" s="2"/>
      <c r="BI65" s="2"/>
      <c r="BJ65" s="2"/>
      <c r="BK65" s="2"/>
    </row>
    <row r="66" spans="1:63" outlineLevel="1" x14ac:dyDescent="0.2">
      <c r="A66" t="s">
        <v>1434</v>
      </c>
      <c r="C66" s="382">
        <f>'Overall recycling rates'!C84</f>
        <v>1.072867743833287</v>
      </c>
      <c r="D66" s="382">
        <f t="shared" ref="D66:AF66" si="69">C66-($C$66-$AG$66)/($AG$1-$C$1)</f>
        <v>1.0704388190388441</v>
      </c>
      <c r="E66" s="382">
        <f t="shared" si="69"/>
        <v>1.0680098942444012</v>
      </c>
      <c r="F66" s="382">
        <f t="shared" si="69"/>
        <v>1.0655809694499583</v>
      </c>
      <c r="G66" s="382">
        <f t="shared" si="69"/>
        <v>1.0631520446555154</v>
      </c>
      <c r="H66" s="382">
        <f t="shared" si="69"/>
        <v>1.0607231198610725</v>
      </c>
      <c r="I66" s="382">
        <f t="shared" si="69"/>
        <v>1.0582941950666296</v>
      </c>
      <c r="J66" s="382">
        <f t="shared" si="69"/>
        <v>1.0558652702721867</v>
      </c>
      <c r="K66" s="382">
        <f t="shared" si="69"/>
        <v>1.0534363454777438</v>
      </c>
      <c r="L66" s="382">
        <f t="shared" si="69"/>
        <v>1.0510074206833009</v>
      </c>
      <c r="M66" s="382">
        <f t="shared" si="69"/>
        <v>1.048578495888858</v>
      </c>
      <c r="N66" s="382">
        <f t="shared" si="69"/>
        <v>1.0461495710944151</v>
      </c>
      <c r="O66" s="382">
        <f t="shared" si="69"/>
        <v>1.0437206462999722</v>
      </c>
      <c r="P66" s="382">
        <f t="shared" si="69"/>
        <v>1.0412917215055293</v>
      </c>
      <c r="Q66" s="382">
        <f t="shared" si="69"/>
        <v>1.0388627967110864</v>
      </c>
      <c r="R66" s="382">
        <f t="shared" si="69"/>
        <v>1.0364338719166435</v>
      </c>
      <c r="S66" s="382">
        <f t="shared" si="69"/>
        <v>1.0340049471222006</v>
      </c>
      <c r="T66" s="382">
        <f t="shared" si="69"/>
        <v>1.0315760223277577</v>
      </c>
      <c r="U66" s="382">
        <f t="shared" si="69"/>
        <v>1.0291470975333148</v>
      </c>
      <c r="V66" s="382">
        <f t="shared" si="69"/>
        <v>1.0267181727388719</v>
      </c>
      <c r="W66" s="382">
        <f t="shared" si="69"/>
        <v>1.024289247944429</v>
      </c>
      <c r="X66" s="382">
        <f t="shared" si="69"/>
        <v>1.0218603231499861</v>
      </c>
      <c r="Y66" s="382">
        <f t="shared" si="69"/>
        <v>1.0194313983555432</v>
      </c>
      <c r="Z66" s="382">
        <f t="shared" si="69"/>
        <v>1.0170024735611003</v>
      </c>
      <c r="AA66" s="382">
        <f t="shared" si="69"/>
        <v>1.0145735487666574</v>
      </c>
      <c r="AB66" s="382">
        <f t="shared" si="69"/>
        <v>1.0121446239722145</v>
      </c>
      <c r="AC66" s="382">
        <f t="shared" si="69"/>
        <v>1.0097156991777716</v>
      </c>
      <c r="AD66" s="382">
        <f t="shared" si="69"/>
        <v>1.0072867743833287</v>
      </c>
      <c r="AE66" s="382">
        <f t="shared" si="69"/>
        <v>1.0048578495888858</v>
      </c>
      <c r="AF66" s="382">
        <f t="shared" si="69"/>
        <v>1.0024289247944429</v>
      </c>
      <c r="AG66" s="382">
        <f>'Overall recycling rates'!C93</f>
        <v>1</v>
      </c>
      <c r="AI66" s="133"/>
      <c r="AJ66" s="211"/>
      <c r="AL66" s="108"/>
      <c r="AM66" s="2"/>
      <c r="AN66" s="2"/>
      <c r="AO66" s="2"/>
      <c r="BC66" s="1"/>
      <c r="BD66" s="2"/>
      <c r="BE66" s="2"/>
      <c r="BF66" s="2"/>
      <c r="BG66" s="2"/>
      <c r="BH66" s="2"/>
      <c r="BI66" s="2"/>
      <c r="BJ66" s="2"/>
      <c r="BK66" s="2"/>
    </row>
    <row r="67" spans="1:63" outlineLevel="1" x14ac:dyDescent="0.2">
      <c r="A67" t="s">
        <v>1320</v>
      </c>
      <c r="B67" s="54" t="s">
        <v>462</v>
      </c>
      <c r="C67" s="110">
        <f t="shared" ref="C67:AG67" si="70">C53*C$66</f>
        <v>5.042478396016449E-2</v>
      </c>
      <c r="D67" s="110">
        <f t="shared" si="70"/>
        <v>5.3736028715749971E-2</v>
      </c>
      <c r="E67" s="110">
        <f t="shared" si="70"/>
        <v>5.7031728352651023E-2</v>
      </c>
      <c r="F67" s="110">
        <f t="shared" si="70"/>
        <v>6.0311882870867639E-2</v>
      </c>
      <c r="G67" s="110">
        <f t="shared" si="70"/>
        <v>6.3576492270399812E-2</v>
      </c>
      <c r="H67" s="110">
        <f t="shared" si="70"/>
        <v>6.682555655124757E-2</v>
      </c>
      <c r="I67" s="110">
        <f t="shared" si="70"/>
        <v>7.0059075713410884E-2</v>
      </c>
      <c r="J67" s="110">
        <f t="shared" si="70"/>
        <v>7.3277049756889756E-2</v>
      </c>
      <c r="K67" s="110">
        <f t="shared" si="70"/>
        <v>7.6479478681684199E-2</v>
      </c>
      <c r="L67" s="110">
        <f t="shared" si="70"/>
        <v>7.9666362487794212E-2</v>
      </c>
      <c r="M67" s="110">
        <f t="shared" si="70"/>
        <v>8.2837701175219783E-2</v>
      </c>
      <c r="N67" s="110">
        <f t="shared" si="70"/>
        <v>8.9027328500134728E-2</v>
      </c>
      <c r="O67" s="110">
        <f t="shared" si="70"/>
        <v>9.5187322942557467E-2</v>
      </c>
      <c r="P67" s="110">
        <f t="shared" si="70"/>
        <v>0.101317684502488</v>
      </c>
      <c r="Q67" s="110">
        <f t="shared" si="70"/>
        <v>0.10741841317992634</v>
      </c>
      <c r="R67" s="110">
        <f t="shared" si="70"/>
        <v>0.11348950897487248</v>
      </c>
      <c r="S67" s="110">
        <f t="shared" si="70"/>
        <v>0.11953097188732639</v>
      </c>
      <c r="T67" s="110">
        <f t="shared" si="70"/>
        <v>0.12554280191728812</v>
      </c>
      <c r="U67" s="110">
        <f t="shared" si="70"/>
        <v>0.13152499906475765</v>
      </c>
      <c r="V67" s="110">
        <f t="shared" si="70"/>
        <v>0.13747756332973496</v>
      </c>
      <c r="W67" s="110">
        <f t="shared" si="70"/>
        <v>0.14340049471222008</v>
      </c>
      <c r="X67" s="110">
        <f t="shared" si="70"/>
        <v>0.15410688468365741</v>
      </c>
      <c r="Y67" s="110">
        <f t="shared" si="70"/>
        <v>0.16476076068612122</v>
      </c>
      <c r="Z67" s="110">
        <f t="shared" si="70"/>
        <v>0.17536212271961149</v>
      </c>
      <c r="AA67" s="110">
        <f t="shared" si="70"/>
        <v>0.1859109707841283</v>
      </c>
      <c r="AB67" s="110">
        <f t="shared" si="70"/>
        <v>0.19640730487967153</v>
      </c>
      <c r="AC67" s="110">
        <f t="shared" si="70"/>
        <v>0.20685112500624123</v>
      </c>
      <c r="AD67" s="110">
        <f t="shared" si="70"/>
        <v>0.21724243116383746</v>
      </c>
      <c r="AE67" s="110">
        <f t="shared" si="70"/>
        <v>0.22758122335246012</v>
      </c>
      <c r="AF67" s="110">
        <f t="shared" si="70"/>
        <v>0.23786750157210926</v>
      </c>
      <c r="AG67" s="110">
        <f t="shared" si="70"/>
        <v>0.24810126582278486</v>
      </c>
      <c r="AI67" s="133"/>
      <c r="AJ67" s="211"/>
      <c r="AL67" s="108"/>
      <c r="AM67" s="2"/>
      <c r="AN67" s="2"/>
      <c r="AO67" s="2"/>
      <c r="AV67" s="41"/>
    </row>
    <row r="68" spans="1:63" outlineLevel="1" x14ac:dyDescent="0.2">
      <c r="A68" t="s">
        <v>1321</v>
      </c>
      <c r="B68" s="54" t="s">
        <v>462</v>
      </c>
      <c r="C68" s="110">
        <f t="shared" ref="C68:AG68" si="71">C54*C$66</f>
        <v>0.10192243566416226</v>
      </c>
      <c r="D68" s="110">
        <f t="shared" si="71"/>
        <v>0.10522413591151837</v>
      </c>
      <c r="E68" s="110">
        <f t="shared" si="71"/>
        <v>0.10850980525523116</v>
      </c>
      <c r="F68" s="110">
        <f t="shared" si="71"/>
        <v>0.11177944369530061</v>
      </c>
      <c r="G68" s="110">
        <f t="shared" si="71"/>
        <v>0.11503305123172677</v>
      </c>
      <c r="H68" s="110">
        <f t="shared" si="71"/>
        <v>0.11827062786450958</v>
      </c>
      <c r="I68" s="110">
        <f t="shared" si="71"/>
        <v>0.12149217359364907</v>
      </c>
      <c r="J68" s="110">
        <f t="shared" si="71"/>
        <v>0.12469768841914525</v>
      </c>
      <c r="K68" s="110">
        <f t="shared" si="71"/>
        <v>0.12788717234099811</v>
      </c>
      <c r="L68" s="110">
        <f t="shared" si="71"/>
        <v>0.13106062535920762</v>
      </c>
      <c r="M68" s="110">
        <f t="shared" si="71"/>
        <v>0.13421804747377383</v>
      </c>
      <c r="N68" s="110">
        <f t="shared" si="71"/>
        <v>0.14185788184040268</v>
      </c>
      <c r="O68" s="110">
        <f t="shared" si="71"/>
        <v>0.14946079655015601</v>
      </c>
      <c r="P68" s="110">
        <f t="shared" si="71"/>
        <v>0.15702679160303382</v>
      </c>
      <c r="Q68" s="110">
        <f t="shared" si="71"/>
        <v>0.16455586699903607</v>
      </c>
      <c r="R68" s="110">
        <f t="shared" si="71"/>
        <v>0.1720480227381628</v>
      </c>
      <c r="S68" s="110">
        <f t="shared" si="71"/>
        <v>0.17950325882041399</v>
      </c>
      <c r="T68" s="110">
        <f t="shared" si="71"/>
        <v>0.1869215752457897</v>
      </c>
      <c r="U68" s="110">
        <f t="shared" si="71"/>
        <v>0.19430297201428984</v>
      </c>
      <c r="V68" s="110">
        <f t="shared" si="71"/>
        <v>0.20164744912591442</v>
      </c>
      <c r="W68" s="110">
        <f t="shared" si="71"/>
        <v>0.20895500658066349</v>
      </c>
      <c r="X68" s="110">
        <f t="shared" si="71"/>
        <v>0.22083678908675136</v>
      </c>
      <c r="Y68" s="110">
        <f t="shared" si="71"/>
        <v>0.23265973088969383</v>
      </c>
      <c r="Z68" s="110">
        <f t="shared" si="71"/>
        <v>0.24442383198949091</v>
      </c>
      <c r="AA68" s="110">
        <f t="shared" si="71"/>
        <v>0.25612909238614262</v>
      </c>
      <c r="AB68" s="110">
        <f t="shared" si="71"/>
        <v>0.267775512079649</v>
      </c>
      <c r="AC68" s="110">
        <f t="shared" si="71"/>
        <v>0.27936309107000989</v>
      </c>
      <c r="AD68" s="110">
        <f t="shared" si="71"/>
        <v>0.29089182935722552</v>
      </c>
      <c r="AE68" s="110">
        <f t="shared" si="71"/>
        <v>0.30236172694129571</v>
      </c>
      <c r="AF68" s="110">
        <f t="shared" si="71"/>
        <v>0.31377278382222046</v>
      </c>
      <c r="AG68" s="110">
        <f t="shared" si="71"/>
        <v>0.32512499999999994</v>
      </c>
      <c r="AH68" s="245"/>
      <c r="AI68" s="133"/>
      <c r="AJ68" s="211"/>
      <c r="AL68" s="108"/>
      <c r="AM68" s="2"/>
      <c r="AN68" s="2"/>
      <c r="AO68" s="2"/>
      <c r="AV68" s="41"/>
    </row>
    <row r="69" spans="1:63" outlineLevel="1" x14ac:dyDescent="0.2">
      <c r="A69" t="s">
        <v>1322</v>
      </c>
      <c r="B69" s="176" t="s">
        <v>462</v>
      </c>
      <c r="C69" s="110">
        <f>SUM(C67:C68)</f>
        <v>0.15234721962432674</v>
      </c>
      <c r="D69" s="110">
        <f t="shared" ref="D69:AG69" si="72">SUM(D67:D68)</f>
        <v>0.15896016462726834</v>
      </c>
      <c r="E69" s="110">
        <f t="shared" si="72"/>
        <v>0.16554153360788218</v>
      </c>
      <c r="F69" s="110">
        <f t="shared" si="72"/>
        <v>0.17209132656616827</v>
      </c>
      <c r="G69" s="110">
        <f t="shared" si="72"/>
        <v>0.1786095435021266</v>
      </c>
      <c r="H69" s="110">
        <f t="shared" si="72"/>
        <v>0.18509618441575715</v>
      </c>
      <c r="I69" s="110">
        <f t="shared" si="72"/>
        <v>0.19155124930705997</v>
      </c>
      <c r="J69" s="110">
        <f t="shared" si="72"/>
        <v>0.197974738176035</v>
      </c>
      <c r="K69" s="110">
        <f t="shared" si="72"/>
        <v>0.20436665102268231</v>
      </c>
      <c r="L69" s="110">
        <f t="shared" si="72"/>
        <v>0.21072698784700183</v>
      </c>
      <c r="M69" s="110">
        <f t="shared" si="72"/>
        <v>0.21705574864899363</v>
      </c>
      <c r="N69" s="110">
        <f t="shared" si="72"/>
        <v>0.23088521034053741</v>
      </c>
      <c r="O69" s="110">
        <f t="shared" si="72"/>
        <v>0.24464811949271348</v>
      </c>
      <c r="P69" s="110">
        <f t="shared" si="72"/>
        <v>0.2583444761055218</v>
      </c>
      <c r="Q69" s="110">
        <f t="shared" si="72"/>
        <v>0.27197428017896241</v>
      </c>
      <c r="R69" s="110">
        <f t="shared" si="72"/>
        <v>0.28553753171303531</v>
      </c>
      <c r="S69" s="110">
        <f t="shared" si="72"/>
        <v>0.29903423070774038</v>
      </c>
      <c r="T69" s="110">
        <f t="shared" si="72"/>
        <v>0.31246437716307784</v>
      </c>
      <c r="U69" s="110">
        <f t="shared" si="72"/>
        <v>0.32582797107904748</v>
      </c>
      <c r="V69" s="110">
        <f t="shared" si="72"/>
        <v>0.33912501245564941</v>
      </c>
      <c r="W69" s="110">
        <f t="shared" si="72"/>
        <v>0.35235550129288357</v>
      </c>
      <c r="X69" s="110">
        <f t="shared" si="72"/>
        <v>0.37494367377040877</v>
      </c>
      <c r="Y69" s="110">
        <f t="shared" si="72"/>
        <v>0.39742049157581505</v>
      </c>
      <c r="Z69" s="110">
        <f t="shared" si="72"/>
        <v>0.4197859547091024</v>
      </c>
      <c r="AA69" s="110">
        <f t="shared" si="72"/>
        <v>0.44204006317027089</v>
      </c>
      <c r="AB69" s="110">
        <f t="shared" si="72"/>
        <v>0.46418281695932051</v>
      </c>
      <c r="AC69" s="110">
        <f t="shared" si="72"/>
        <v>0.48621421607625115</v>
      </c>
      <c r="AD69" s="110">
        <f t="shared" si="72"/>
        <v>0.50813426052106303</v>
      </c>
      <c r="AE69" s="110">
        <f t="shared" si="72"/>
        <v>0.52994295029375582</v>
      </c>
      <c r="AF69" s="110">
        <f t="shared" si="72"/>
        <v>0.55164028539432974</v>
      </c>
      <c r="AG69" s="110">
        <f t="shared" si="72"/>
        <v>0.5732262658227848</v>
      </c>
      <c r="AI69" s="133"/>
      <c r="AJ69" s="211"/>
      <c r="AL69" s="108"/>
      <c r="AM69" s="2"/>
      <c r="AN69" s="2"/>
      <c r="AO69" s="2"/>
    </row>
    <row r="70" spans="1:63" outlineLevel="1" x14ac:dyDescent="0.2">
      <c r="A70" t="s">
        <v>1323</v>
      </c>
      <c r="B70" s="54" t="s">
        <v>462</v>
      </c>
      <c r="C70" s="110">
        <f>C$68*C57</f>
        <v>1.1721013864334644E-2</v>
      </c>
      <c r="D70" s="110">
        <f t="shared" ref="D70:AG73" si="73">D$68*D57</f>
        <v>1.1872723898698111E-2</v>
      </c>
      <c r="E70" s="110">
        <f t="shared" si="73"/>
        <v>1.2008352631423342E-2</v>
      </c>
      <c r="F70" s="110">
        <f t="shared" si="73"/>
        <v>1.2128004262342213E-2</v>
      </c>
      <c r="G70" s="110">
        <f t="shared" si="73"/>
        <v>1.2231782991286593E-2</v>
      </c>
      <c r="H70" s="110">
        <f t="shared" si="73"/>
        <v>1.2319793018088348E-2</v>
      </c>
      <c r="I70" s="110">
        <f t="shared" si="73"/>
        <v>1.2392138542579352E-2</v>
      </c>
      <c r="J70" s="110">
        <f t="shared" si="73"/>
        <v>1.2448923764591474E-2</v>
      </c>
      <c r="K70" s="110">
        <f t="shared" si="73"/>
        <v>1.2490252883956585E-2</v>
      </c>
      <c r="L70" s="110">
        <f t="shared" si="73"/>
        <v>1.2516230100506551E-2</v>
      </c>
      <c r="M70" s="110">
        <f t="shared" si="73"/>
        <v>1.2526959614073248E-2</v>
      </c>
      <c r="N70" s="110">
        <f t="shared" si="73"/>
        <v>1.2932651840675142E-2</v>
      </c>
      <c r="O70" s="110">
        <f t="shared" si="73"/>
        <v>1.3301952614285826E-2</v>
      </c>
      <c r="P70" s="110">
        <f t="shared" si="73"/>
        <v>1.3635101910275669E-2</v>
      </c>
      <c r="Q70" s="110">
        <f t="shared" si="73"/>
        <v>1.3932339704015034E-2</v>
      </c>
      <c r="R70" s="110">
        <f t="shared" si="73"/>
        <v>1.419390597087429E-2</v>
      </c>
      <c r="S70" s="110">
        <f t="shared" si="73"/>
        <v>1.4420040686223805E-2</v>
      </c>
      <c r="T70" s="110">
        <f t="shared" si="73"/>
        <v>1.4610983825433953E-2</v>
      </c>
      <c r="U70" s="110">
        <f t="shared" si="73"/>
        <v>1.476697536387509E-2</v>
      </c>
      <c r="V70" s="110">
        <f t="shared" si="73"/>
        <v>1.4888255276917587E-2</v>
      </c>
      <c r="W70" s="110">
        <f t="shared" si="73"/>
        <v>1.4975063539931815E-2</v>
      </c>
      <c r="X70" s="110">
        <f t="shared" si="73"/>
        <v>1.5348113786506004E-2</v>
      </c>
      <c r="Y70" s="110">
        <f t="shared" si="73"/>
        <v>1.5665714893185606E-2</v>
      </c>
      <c r="Z70" s="110">
        <f t="shared" si="73"/>
        <v>1.5928249320717142E-2</v>
      </c>
      <c r="AA70" s="110">
        <f t="shared" si="73"/>
        <v>1.6136099529847136E-2</v>
      </c>
      <c r="AB70" s="110">
        <f t="shared" si="73"/>
        <v>1.6289647981322115E-2</v>
      </c>
      <c r="AC70" s="110">
        <f t="shared" si="73"/>
        <v>1.6389277135888593E-2</v>
      </c>
      <c r="AD70" s="110">
        <f t="shared" si="73"/>
        <v>1.6435369454293101E-2</v>
      </c>
      <c r="AE70" s="110">
        <f t="shared" si="73"/>
        <v>1.6428307397282162E-2</v>
      </c>
      <c r="AF70" s="110">
        <f t="shared" si="73"/>
        <v>1.6368473425602291E-2</v>
      </c>
      <c r="AG70" s="110">
        <f t="shared" si="73"/>
        <v>1.6256249999999996E-2</v>
      </c>
      <c r="AI70" s="133"/>
      <c r="AJ70" s="211"/>
      <c r="AL70" s="108"/>
      <c r="AM70" s="2"/>
      <c r="AN70" s="2"/>
      <c r="AO70" s="2"/>
    </row>
    <row r="71" spans="1:63" outlineLevel="1" x14ac:dyDescent="0.2">
      <c r="A71" t="s">
        <v>1324</v>
      </c>
      <c r="B71" s="54" t="s">
        <v>462</v>
      </c>
      <c r="C71" s="110">
        <f t="shared" ref="C71:R73" si="74">C$68*C58</f>
        <v>1.4056767305647387E-2</v>
      </c>
      <c r="D71" s="110">
        <f t="shared" si="74"/>
        <v>1.4512125655235988E-2</v>
      </c>
      <c r="E71" s="110">
        <f t="shared" si="74"/>
        <v>1.4965273081579427E-2</v>
      </c>
      <c r="F71" s="110">
        <f t="shared" si="74"/>
        <v>1.5416209584677702E-2</v>
      </c>
      <c r="G71" s="110">
        <f t="shared" si="74"/>
        <v>1.586493516453082E-2</v>
      </c>
      <c r="H71" s="110">
        <f t="shared" si="74"/>
        <v>1.6311449821138767E-2</v>
      </c>
      <c r="I71" s="110">
        <f t="shared" si="74"/>
        <v>1.6755753554501557E-2</v>
      </c>
      <c r="J71" s="110">
        <f t="shared" si="74"/>
        <v>1.7197846364619185E-2</v>
      </c>
      <c r="K71" s="110">
        <f t="shared" si="74"/>
        <v>1.7637728251491652E-2</v>
      </c>
      <c r="L71" s="110">
        <f t="shared" si="74"/>
        <v>1.8075399215118953E-2</v>
      </c>
      <c r="M71" s="110">
        <f t="shared" si="74"/>
        <v>1.8510859255501097E-2</v>
      </c>
      <c r="N71" s="110">
        <f t="shared" si="74"/>
        <v>1.9564517100759501E-2</v>
      </c>
      <c r="O71" s="110">
        <f t="shared" si="74"/>
        <v>2.0613083122786625E-2</v>
      </c>
      <c r="P71" s="110">
        <f t="shared" si="74"/>
        <v>2.1656557321582469E-2</v>
      </c>
      <c r="Q71" s="110">
        <f t="shared" si="74"/>
        <v>2.2694939697147028E-2</v>
      </c>
      <c r="R71" s="110">
        <f t="shared" si="74"/>
        <v>2.3728230249480304E-2</v>
      </c>
      <c r="S71" s="110">
        <f t="shared" si="73"/>
        <v>2.4756428978582296E-2</v>
      </c>
      <c r="T71" s="110">
        <f t="shared" si="73"/>
        <v>2.5779535884453014E-2</v>
      </c>
      <c r="U71" s="110">
        <f t="shared" si="73"/>
        <v>2.6797550967092444E-2</v>
      </c>
      <c r="V71" s="110">
        <f t="shared" si="73"/>
        <v>2.7810474226500587E-2</v>
      </c>
      <c r="W71" s="110">
        <f t="shared" si="73"/>
        <v>2.8818305662677447E-2</v>
      </c>
      <c r="X71" s="110">
        <f t="shared" si="73"/>
        <v>3.0456997387183753E-2</v>
      </c>
      <c r="Y71" s="110">
        <f t="shared" si="73"/>
        <v>3.2087574018415201E-2</v>
      </c>
      <c r="Z71" s="110">
        <f t="shared" si="73"/>
        <v>3.3710035556371788E-2</v>
      </c>
      <c r="AA71" s="110">
        <f t="shared" si="73"/>
        <v>3.532438200105352E-2</v>
      </c>
      <c r="AB71" s="110">
        <f t="shared" si="73"/>
        <v>3.6930613352460402E-2</v>
      </c>
      <c r="AC71" s="110">
        <f t="shared" si="73"/>
        <v>3.8528729610592415E-2</v>
      </c>
      <c r="AD71" s="110">
        <f t="shared" si="73"/>
        <v>4.0118730775449585E-2</v>
      </c>
      <c r="AE71" s="110">
        <f t="shared" si="73"/>
        <v>4.1700616847031885E-2</v>
      </c>
      <c r="AF71" s="110">
        <f t="shared" si="73"/>
        <v>4.3274387825339322E-2</v>
      </c>
      <c r="AG71" s="110">
        <f t="shared" si="73"/>
        <v>4.4840043710371924E-2</v>
      </c>
      <c r="AI71" s="133"/>
      <c r="AJ71" s="211"/>
      <c r="AL71" s="108"/>
      <c r="AM71" s="2"/>
      <c r="AN71" s="2"/>
      <c r="AO71" s="2"/>
      <c r="BC71" s="1"/>
      <c r="BD71" s="2"/>
      <c r="BE71" s="2"/>
      <c r="BF71" s="2"/>
      <c r="BG71" s="2"/>
      <c r="BH71" s="2"/>
      <c r="BI71" s="2"/>
      <c r="BJ71" s="2"/>
      <c r="BK71" s="2"/>
    </row>
    <row r="72" spans="1:63" outlineLevel="1" x14ac:dyDescent="0.2">
      <c r="A72" t="s">
        <v>1435</v>
      </c>
      <c r="C72" s="110">
        <f t="shared" si="74"/>
        <v>1.1063753217103111E-2</v>
      </c>
      <c r="D72" s="110">
        <f t="shared" si="73"/>
        <v>1.1422155138088998E-2</v>
      </c>
      <c r="E72" s="110">
        <f t="shared" si="73"/>
        <v>1.1778816893029981E-2</v>
      </c>
      <c r="F72" s="110">
        <f t="shared" si="73"/>
        <v>1.2133738481926056E-2</v>
      </c>
      <c r="G72" s="110">
        <f t="shared" si="73"/>
        <v>1.2486919904777228E-2</v>
      </c>
      <c r="H72" s="110">
        <f t="shared" si="73"/>
        <v>1.2838361161583489E-2</v>
      </c>
      <c r="I72" s="110">
        <f t="shared" si="73"/>
        <v>1.3188062252344847E-2</v>
      </c>
      <c r="J72" s="110">
        <f t="shared" si="73"/>
        <v>1.3536023177061299E-2</v>
      </c>
      <c r="K72" s="110">
        <f t="shared" si="73"/>
        <v>1.3882243935732848E-2</v>
      </c>
      <c r="L72" s="110">
        <f t="shared" si="73"/>
        <v>1.4226724528359486E-2</v>
      </c>
      <c r="M72" s="110">
        <f t="shared" si="73"/>
        <v>1.4569464954941221E-2</v>
      </c>
      <c r="N72" s="110">
        <f t="shared" si="73"/>
        <v>1.5398774434263697E-2</v>
      </c>
      <c r="O72" s="110">
        <f t="shared" si="73"/>
        <v>1.6224076258452447E-2</v>
      </c>
      <c r="P72" s="110">
        <f t="shared" si="73"/>
        <v>1.7045370427507481E-2</v>
      </c>
      <c r="Q72" s="110">
        <f t="shared" si="73"/>
        <v>1.7862656941428787E-2</v>
      </c>
      <c r="R72" s="110">
        <f t="shared" si="73"/>
        <v>1.8675935800216373E-2</v>
      </c>
      <c r="S72" s="110">
        <f t="shared" si="73"/>
        <v>1.9485207003870231E-2</v>
      </c>
      <c r="T72" s="110">
        <f t="shared" si="73"/>
        <v>2.0290470552390378E-2</v>
      </c>
      <c r="U72" s="110">
        <f t="shared" si="73"/>
        <v>2.1091726445776792E-2</v>
      </c>
      <c r="V72" s="110">
        <f t="shared" si="73"/>
        <v>2.1888974684029484E-2</v>
      </c>
      <c r="W72" s="110">
        <f t="shared" si="73"/>
        <v>2.2682215267148455E-2</v>
      </c>
      <c r="X72" s="110">
        <f t="shared" si="73"/>
        <v>2.3971991247971801E-2</v>
      </c>
      <c r="Y72" s="110">
        <f t="shared" si="73"/>
        <v>2.525538002842577E-2</v>
      </c>
      <c r="Z72" s="110">
        <f t="shared" si="73"/>
        <v>2.6532381608510371E-2</v>
      </c>
      <c r="AA72" s="110">
        <f t="shared" si="73"/>
        <v>2.7802995988225603E-2</v>
      </c>
      <c r="AB72" s="110">
        <f t="shared" si="73"/>
        <v>2.9067223167571467E-2</v>
      </c>
      <c r="AC72" s="110">
        <f t="shared" si="73"/>
        <v>3.032506314654795E-2</v>
      </c>
      <c r="AD72" s="110">
        <f t="shared" si="73"/>
        <v>3.157651592515507E-2</v>
      </c>
      <c r="AE72" s="110">
        <f t="shared" si="73"/>
        <v>3.2821581503392823E-2</v>
      </c>
      <c r="AF72" s="110">
        <f t="shared" si="73"/>
        <v>3.4060259881261191E-2</v>
      </c>
      <c r="AG72" s="110">
        <f t="shared" si="73"/>
        <v>3.5292551058760203E-2</v>
      </c>
      <c r="AI72" s="133"/>
      <c r="AJ72" s="211"/>
      <c r="AL72" s="108"/>
      <c r="AM72" s="2"/>
      <c r="AN72" s="2"/>
      <c r="AO72" s="2"/>
      <c r="BC72" s="1"/>
      <c r="BD72" s="2"/>
      <c r="BE72" s="2"/>
      <c r="BF72" s="2"/>
      <c r="BG72" s="2"/>
      <c r="BH72" s="2"/>
      <c r="BI72" s="2"/>
      <c r="BJ72" s="2"/>
      <c r="BK72" s="2"/>
    </row>
    <row r="73" spans="1:63" outlineLevel="1" x14ac:dyDescent="0.2">
      <c r="A73" t="s">
        <v>1325</v>
      </c>
      <c r="B73" s="54" t="s">
        <v>462</v>
      </c>
      <c r="C73" s="110">
        <f t="shared" si="74"/>
        <v>6.5080901277077122E-2</v>
      </c>
      <c r="D73" s="110">
        <f t="shared" si="73"/>
        <v>6.7417131219495274E-2</v>
      </c>
      <c r="E73" s="110">
        <f t="shared" si="73"/>
        <v>6.9757362649198407E-2</v>
      </c>
      <c r="F73" s="110">
        <f t="shared" si="73"/>
        <v>7.2101491366354645E-2</v>
      </c>
      <c r="G73" s="110">
        <f t="shared" si="73"/>
        <v>7.4449413171132142E-2</v>
      </c>
      <c r="H73" s="110">
        <f t="shared" si="73"/>
        <v>7.6801023863698969E-2</v>
      </c>
      <c r="I73" s="110">
        <f t="shared" si="73"/>
        <v>7.9156219244223308E-2</v>
      </c>
      <c r="J73" s="110">
        <f t="shared" si="73"/>
        <v>8.1514895112873284E-2</v>
      </c>
      <c r="K73" s="110">
        <f t="shared" si="73"/>
        <v>8.3876947269817023E-2</v>
      </c>
      <c r="L73" s="110">
        <f t="shared" si="73"/>
        <v>8.6242271515222638E-2</v>
      </c>
      <c r="M73" s="110">
        <f t="shared" si="73"/>
        <v>8.8610763649258267E-2</v>
      </c>
      <c r="N73" s="110">
        <f t="shared" si="73"/>
        <v>9.3961938464704339E-2</v>
      </c>
      <c r="O73" s="110">
        <f t="shared" si="73"/>
        <v>9.9321684554631112E-2</v>
      </c>
      <c r="P73" s="110">
        <f t="shared" si="73"/>
        <v>0.10468976194366819</v>
      </c>
      <c r="Q73" s="110">
        <f t="shared" si="73"/>
        <v>0.11006593065644521</v>
      </c>
      <c r="R73" s="110">
        <f t="shared" si="73"/>
        <v>0.11544995071759183</v>
      </c>
      <c r="S73" s="110">
        <f t="shared" si="73"/>
        <v>0.12084158215173765</v>
      </c>
      <c r="T73" s="110">
        <f t="shared" si="73"/>
        <v>0.12624058498351237</v>
      </c>
      <c r="U73" s="110">
        <f t="shared" si="73"/>
        <v>0.13164671923754551</v>
      </c>
      <c r="V73" s="110">
        <f t="shared" si="73"/>
        <v>0.13705974493846676</v>
      </c>
      <c r="W73" s="110">
        <f t="shared" si="73"/>
        <v>0.14247942211090578</v>
      </c>
      <c r="X73" s="110">
        <f t="shared" si="73"/>
        <v>0.15105968666508979</v>
      </c>
      <c r="Y73" s="110">
        <f t="shared" si="73"/>
        <v>0.15965106194966724</v>
      </c>
      <c r="Z73" s="110">
        <f t="shared" si="73"/>
        <v>0.16825316550389161</v>
      </c>
      <c r="AA73" s="110">
        <f t="shared" si="73"/>
        <v>0.17686561486701635</v>
      </c>
      <c r="AB73" s="110">
        <f t="shared" si="73"/>
        <v>0.18548802757829502</v>
      </c>
      <c r="AC73" s="110">
        <f t="shared" si="73"/>
        <v>0.19412002117698093</v>
      </c>
      <c r="AD73" s="110">
        <f t="shared" si="73"/>
        <v>0.20276121320232776</v>
      </c>
      <c r="AE73" s="110">
        <f t="shared" si="73"/>
        <v>0.21141122119358882</v>
      </c>
      <c r="AF73" s="110">
        <f t="shared" si="73"/>
        <v>0.22006966269001765</v>
      </c>
      <c r="AG73" s="110">
        <f t="shared" si="73"/>
        <v>0.22873615523086779</v>
      </c>
      <c r="AH73" s="245"/>
      <c r="AI73" s="133"/>
      <c r="AJ73" s="211"/>
      <c r="AL73" s="108"/>
      <c r="AM73" s="2"/>
      <c r="AN73" s="2"/>
      <c r="AO73" s="2"/>
      <c r="BC73" s="1"/>
      <c r="BD73" s="2"/>
      <c r="BE73" s="2"/>
      <c r="BF73" s="2"/>
      <c r="BG73" s="2"/>
      <c r="BH73" s="2"/>
      <c r="BI73" s="2"/>
      <c r="BJ73" s="2"/>
      <c r="BK73" s="2"/>
    </row>
    <row r="74" spans="1:63" outlineLevel="1" x14ac:dyDescent="0.2">
      <c r="C74" s="110"/>
      <c r="D74" s="110"/>
      <c r="E74" s="110"/>
      <c r="F74" s="110"/>
      <c r="G74" s="110"/>
      <c r="H74" s="110"/>
      <c r="I74" s="110"/>
      <c r="J74" s="110"/>
      <c r="K74" s="110"/>
      <c r="L74" s="110"/>
      <c r="M74" s="110"/>
      <c r="N74" s="110"/>
      <c r="O74" s="110"/>
      <c r="P74" s="110"/>
      <c r="Q74" s="110"/>
      <c r="R74" s="110"/>
      <c r="S74" s="110"/>
      <c r="T74" s="110"/>
      <c r="U74" s="110"/>
      <c r="V74" s="110"/>
      <c r="W74" s="110"/>
      <c r="X74" s="110"/>
      <c r="Y74" s="110"/>
      <c r="Z74" s="110"/>
      <c r="AA74" s="110"/>
      <c r="AB74" s="110"/>
      <c r="AC74" s="110"/>
      <c r="AD74" s="110"/>
      <c r="AE74" s="110"/>
      <c r="AF74" s="110"/>
      <c r="AG74" s="110"/>
      <c r="AH74" s="245"/>
      <c r="AI74" s="133"/>
      <c r="AJ74" s="211"/>
      <c r="AL74" s="108"/>
      <c r="AM74" s="2"/>
      <c r="AN74" s="2"/>
      <c r="AO74" s="2"/>
      <c r="BC74" s="1"/>
      <c r="BD74" s="2"/>
      <c r="BE74" s="2"/>
      <c r="BF74" s="2"/>
      <c r="BG74" s="2"/>
      <c r="BH74" s="2"/>
      <c r="BI74" s="2"/>
      <c r="BJ74" s="2"/>
      <c r="BK74" s="2"/>
    </row>
    <row r="75" spans="1:63" s="1" customFormat="1" outlineLevel="1" x14ac:dyDescent="0.2">
      <c r="A75" s="1" t="s">
        <v>228</v>
      </c>
      <c r="B75" s="65"/>
      <c r="C75" s="300">
        <f>C67*C45</f>
        <v>5.1856182039383869</v>
      </c>
      <c r="D75" s="300">
        <f t="shared" ref="D75:AG75" si="75">D67*D45</f>
        <v>5.635425373010194</v>
      </c>
      <c r="E75" s="300">
        <f t="shared" si="75"/>
        <v>6.0822831677559135</v>
      </c>
      <c r="F75" s="300">
        <f t="shared" si="75"/>
        <v>6.522661771384147</v>
      </c>
      <c r="G75" s="300">
        <f t="shared" si="75"/>
        <v>6.9529932245994273</v>
      </c>
      <c r="H75" s="300">
        <f t="shared" si="75"/>
        <v>7.3697186966174106</v>
      </c>
      <c r="I75" s="300">
        <f t="shared" si="75"/>
        <v>7.7860986919736561</v>
      </c>
      <c r="J75" s="300">
        <f t="shared" si="75"/>
        <v>8.201285539857869</v>
      </c>
      <c r="K75" s="300">
        <f t="shared" si="75"/>
        <v>8.6144130391858571</v>
      </c>
      <c r="L75" s="300">
        <f t="shared" si="75"/>
        <v>9.0245985289501682</v>
      </c>
      <c r="M75" s="300">
        <f t="shared" si="75"/>
        <v>9.4309450659297358</v>
      </c>
      <c r="N75" s="300">
        <f t="shared" si="75"/>
        <v>10.041800195030779</v>
      </c>
      <c r="O75" s="300">
        <f t="shared" si="75"/>
        <v>10.654174251035244</v>
      </c>
      <c r="P75" s="300">
        <f t="shared" si="75"/>
        <v>11.171092324085144</v>
      </c>
      <c r="Q75" s="300">
        <f t="shared" si="75"/>
        <v>11.634325163938909</v>
      </c>
      <c r="R75" s="300">
        <f t="shared" si="75"/>
        <v>12.039994500920958</v>
      </c>
      <c r="S75" s="300">
        <f t="shared" si="75"/>
        <v>12.40703903125007</v>
      </c>
      <c r="T75" s="300">
        <f t="shared" si="75"/>
        <v>12.734322983213733</v>
      </c>
      <c r="U75" s="300">
        <f t="shared" si="75"/>
        <v>13.0207204471367</v>
      </c>
      <c r="V75" s="300">
        <f t="shared" si="75"/>
        <v>13.265116415263943</v>
      </c>
      <c r="W75" s="300">
        <f t="shared" si="75"/>
        <v>13.466407826335804</v>
      </c>
      <c r="X75" s="300">
        <f t="shared" si="75"/>
        <v>13.793559012642564</v>
      </c>
      <c r="Y75" s="300">
        <f t="shared" si="75"/>
        <v>14.282271951401054</v>
      </c>
      <c r="Z75" s="300">
        <f t="shared" si="75"/>
        <v>14.693481002694471</v>
      </c>
      <c r="AA75" s="300">
        <f t="shared" si="75"/>
        <v>15.025258369111912</v>
      </c>
      <c r="AB75" s="300">
        <f t="shared" si="75"/>
        <v>15.275698449502203</v>
      </c>
      <c r="AC75" s="300">
        <f t="shared" si="75"/>
        <v>15.443065517929911</v>
      </c>
      <c r="AD75" s="300">
        <f t="shared" si="75"/>
        <v>15.525505930003943</v>
      </c>
      <c r="AE75" s="300">
        <f t="shared" si="75"/>
        <v>15.521188350646455</v>
      </c>
      <c r="AF75" s="300">
        <f t="shared" si="75"/>
        <v>15.428305252460735</v>
      </c>
      <c r="AG75" s="300">
        <f t="shared" si="75"/>
        <v>15.245074415264451</v>
      </c>
      <c r="AH75" s="245">
        <f>AG75-C75</f>
        <v>10.059456211326065</v>
      </c>
      <c r="AI75" s="423"/>
      <c r="AJ75" s="424"/>
      <c r="AL75" s="221"/>
      <c r="AM75" s="124"/>
      <c r="AN75" s="124"/>
      <c r="AO75" s="124"/>
      <c r="BD75" s="124"/>
      <c r="BE75" s="124"/>
      <c r="BF75" s="124"/>
      <c r="BG75" s="124"/>
      <c r="BH75" s="124"/>
      <c r="BI75" s="124"/>
      <c r="BJ75" s="124"/>
      <c r="BK75" s="124"/>
    </row>
    <row r="76" spans="1:63" outlineLevel="1" x14ac:dyDescent="0.2">
      <c r="A76" s="4" t="s">
        <v>258</v>
      </c>
      <c r="C76" s="230">
        <f>C$75*'Ethylene recycling rates'!E43</f>
        <v>4.8106549108690304</v>
      </c>
      <c r="D76" s="230">
        <f>D$75*'Ethylene recycling rates'!F43</f>
        <v>5.2245324708321554</v>
      </c>
      <c r="E76" s="230">
        <f>E$75*'Ethylene recycling rates'!G43</f>
        <v>5.6351339554695574</v>
      </c>
      <c r="F76" s="230">
        <f>F$75*'Ethylene recycling rates'!H43</f>
        <v>6.0391965268768617</v>
      </c>
      <c r="G76" s="230">
        <f>G$75*'Ethylene recycling rates'!I43</f>
        <v>6.4334305854272946</v>
      </c>
      <c r="H76" s="230">
        <f>H$75*'Ethylene recycling rates'!J43</f>
        <v>6.814563595123289</v>
      </c>
      <c r="I76" s="230">
        <f>I$75*'Ethylene recycling rates'!K43</f>
        <v>7.1948738068034661</v>
      </c>
      <c r="J76" s="230">
        <f>J$75*'Ethylene recycling rates'!L43</f>
        <v>7.5735790545139894</v>
      </c>
      <c r="K76" s="230">
        <f>K$75*'Ethylene recycling rates'!M43</f>
        <v>7.9498821200686525</v>
      </c>
      <c r="L76" s="230">
        <f>L$75*'Ethylene recycling rates'!N43</f>
        <v>8.3229726984162973</v>
      </c>
      <c r="M76" s="230">
        <f>M$75*'Ethylene recycling rates'!O43</f>
        <v>8.6920294544504664</v>
      </c>
      <c r="N76" s="230">
        <f>N$75*'Ethylene recycling rates'!P43</f>
        <v>9.2489569581875131</v>
      </c>
      <c r="O76" s="230">
        <f>O$75*'Ethylene recycling rates'!Q43</f>
        <v>9.8065444121582726</v>
      </c>
      <c r="P76" s="230">
        <f>P$75*'Ethylene recycling rates'!R43</f>
        <v>10.275587919497276</v>
      </c>
      <c r="Q76" s="230">
        <f>Q$75*'Ethylene recycling rates'!S43</f>
        <v>10.694657556606273</v>
      </c>
      <c r="R76" s="230">
        <f>R$75*'Ethylene recycling rates'!T43</f>
        <v>11.060287939212831</v>
      </c>
      <c r="S76" s="230">
        <f>S$75*'Ethylene recycling rates'!U43</f>
        <v>11.389969596422368</v>
      </c>
      <c r="T76" s="230">
        <f>T$75*'Ethylene recycling rates'!V43</f>
        <v>11.682730556871679</v>
      </c>
      <c r="U76" s="230">
        <f>U$75*'Ethylene recycling rates'!W43</f>
        <v>11.937610635718679</v>
      </c>
      <c r="V76" s="230">
        <f>V$75*'Ethylene recycling rates'!X43</f>
        <v>12.153662357603697</v>
      </c>
      <c r="W76" s="230">
        <f>W$75*'Ethylene recycling rates'!Y43</f>
        <v>12.329951880137299</v>
      </c>
      <c r="X76" s="230">
        <f>X$75*'Ethylene recycling rates'!Z43</f>
        <v>12.621160355876597</v>
      </c>
      <c r="Y76" s="230">
        <f>Y$75*'Ethylene recycling rates'!AA43</f>
        <v>13.059705536993826</v>
      </c>
      <c r="Z76" s="230">
        <f>Z$75*'Ethylene recycling rates'!AB43</f>
        <v>13.426837469708929</v>
      </c>
      <c r="AA76" s="230">
        <f>AA$75*'Ethylene recycling rates'!AC43</f>
        <v>13.720936185020378</v>
      </c>
      <c r="AB76" s="230">
        <f>AB$75*'Ethylene recycling rates'!AD43</f>
        <v>13.94040662889701</v>
      </c>
      <c r="AC76" s="230">
        <f>AC$75*'Ethylene recycling rates'!AE43</f>
        <v>14.083813275923186</v>
      </c>
      <c r="AD76" s="230">
        <f>AD$75*'Ethylene recycling rates'!AF43</f>
        <v>14.149617327064954</v>
      </c>
      <c r="AE76" s="230">
        <f>AE$75*'Ethylene recycling rates'!AG43</f>
        <v>14.13630478178623</v>
      </c>
      <c r="AF76" s="230">
        <f>AF$75*'Ethylene recycling rates'!AH43</f>
        <v>14.042387734424752</v>
      </c>
      <c r="AG76" s="230">
        <f>AG$75*'Ethylene recycling rates'!AI43</f>
        <v>13.866405666196309</v>
      </c>
      <c r="AH76" s="245">
        <f>AG76-C76</f>
        <v>9.0557507553272778</v>
      </c>
      <c r="AI76" s="133"/>
      <c r="AJ76" s="211"/>
      <c r="AL76" s="108"/>
      <c r="AM76" s="2"/>
      <c r="AN76" s="2"/>
      <c r="AO76" s="2"/>
      <c r="BC76" s="1"/>
      <c r="BD76" s="2"/>
      <c r="BE76" s="2"/>
      <c r="BF76" s="2"/>
      <c r="BG76" s="2"/>
      <c r="BH76" s="2"/>
      <c r="BI76" s="2"/>
      <c r="BJ76" s="2"/>
      <c r="BK76" s="2"/>
    </row>
    <row r="77" spans="1:63" outlineLevel="1" x14ac:dyDescent="0.2">
      <c r="A77" s="4" t="s">
        <v>478</v>
      </c>
      <c r="C77" s="230">
        <f>C$75*'Ethylene recycling rates'!E44</f>
        <v>0</v>
      </c>
      <c r="D77" s="230">
        <f>D$75*'Ethylene recycling rates'!F44</f>
        <v>3.4350527589934671E-3</v>
      </c>
      <c r="E77" s="230">
        <f>E$75*'Ethylene recycling rates'!G44</f>
        <v>7.4148665605412436E-3</v>
      </c>
      <c r="F77" s="230">
        <f>F$75*'Ethylene recycling rates'!H44</f>
        <v>1.1927593303470298E-2</v>
      </c>
      <c r="G77" s="230">
        <f>G$75*'Ethylene recycling rates'!I44</f>
        <v>1.6952685540871905E-2</v>
      </c>
      <c r="H77" s="230">
        <f>H$75*'Ethylene recycling rates'!J44</f>
        <v>2.2460924301353161E-2</v>
      </c>
      <c r="I77" s="230">
        <f>I$75*'Ethylene recycling rates'!K44</f>
        <v>2.8475926507787134E-2</v>
      </c>
      <c r="J77" s="230">
        <f>J$75*'Ethylene recycling rates'!L44</f>
        <v>3.4993443545777443E-2</v>
      </c>
      <c r="K77" s="230">
        <f>K$75*'Ethylene recycling rates'!M44</f>
        <v>4.2007069661977973E-2</v>
      </c>
      <c r="L77" s="230">
        <f>L$75*'Ethylene recycling rates'!N44</f>
        <v>4.9508196846563629E-2</v>
      </c>
      <c r="M77" s="230">
        <f>M$75*'Ethylene recycling rates'!O44</f>
        <v>5.7485977941951469E-2</v>
      </c>
      <c r="N77" s="230">
        <f>N$75*'Ethylene recycling rates'!P44</f>
        <v>6.7330365145894966E-2</v>
      </c>
      <c r="O77" s="230">
        <f>O$75*'Ethylene recycling rates'!Q44</f>
        <v>7.7930551608955678E-2</v>
      </c>
      <c r="P77" s="230">
        <f>P$75*'Ethylene recycling rates'!R44</f>
        <v>8.8520875816014463E-2</v>
      </c>
      <c r="Q77" s="230">
        <f>Q$75*'Ethylene recycling rates'!S44</f>
        <v>9.9283240130807512E-2</v>
      </c>
      <c r="R77" s="230">
        <f>R$75*'Ethylene recycling rates'!T44</f>
        <v>0.11008401387071273</v>
      </c>
      <c r="S77" s="230">
        <f>S$75*'Ethylene recycling rates'!U44</f>
        <v>0.12100263837218053</v>
      </c>
      <c r="T77" s="230">
        <f>T$75*'Ethylene recycling rates'!V44</f>
        <v>0.13195671361692138</v>
      </c>
      <c r="U77" s="230">
        <f>U$75*'Ethylene recycling rates'!W44</f>
        <v>0.14286117856943825</v>
      </c>
      <c r="V77" s="230">
        <f>V$75*'Ethylene recycling rates'!X44</f>
        <v>0.1536283532771486</v>
      </c>
      <c r="W77" s="230">
        <f>W$75*'Ethylene recycling rates'!Y44</f>
        <v>0.1641679848308493</v>
      </c>
      <c r="X77" s="230">
        <f>X$75*'Ethylene recycling rates'!Z44</f>
        <v>0.17656407386077516</v>
      </c>
      <c r="Y77" s="230">
        <f>Y$75*'Ethylene recycling rates'!AA44</f>
        <v>0.19152553664166186</v>
      </c>
      <c r="Z77" s="230">
        <f>Z$75*'Ethylene recycling rates'!AB44</f>
        <v>0.20599621495882892</v>
      </c>
      <c r="AA77" s="230">
        <f>AA$75*'Ethylene recycling rates'!AC44</f>
        <v>0.21980618022240311</v>
      </c>
      <c r="AB77" s="230">
        <f>AB$75*'Ethylene recycling rates'!AD44</f>
        <v>0.23278114175650125</v>
      </c>
      <c r="AC77" s="230">
        <f>AC$75*'Ethylene recycling rates'!AE44</f>
        <v>0.24474485489371386</v>
      </c>
      <c r="AD77" s="230">
        <f>AD$75*'Ethylene recycling rates'!AF44</f>
        <v>0.25551490227273604</v>
      </c>
      <c r="AE77" s="230">
        <f>AE$75*'Ethylene recycling rates'!AG44</f>
        <v>0.26490472776351515</v>
      </c>
      <c r="AF77" s="230">
        <f>AF$75*'Ethylene recycling rates'!AH44</f>
        <v>0.27272373094646279</v>
      </c>
      <c r="AG77" s="230">
        <f>AG$75*'Ethylene recycling rates'!AI44</f>
        <v>0.27877736709292489</v>
      </c>
      <c r="AH77" s="245">
        <f t="shared" ref="AH77:AH86" si="76">AG77-C77</f>
        <v>0.27877736709292489</v>
      </c>
      <c r="AI77" s="133"/>
      <c r="AJ77" s="211"/>
      <c r="AL77" s="108"/>
      <c r="AM77" s="2"/>
      <c r="AN77" s="2"/>
      <c r="AO77" s="2"/>
      <c r="BC77" s="1"/>
      <c r="BD77" s="2"/>
      <c r="BE77" s="2"/>
      <c r="BF77" s="2"/>
      <c r="BG77" s="2"/>
      <c r="BH77" s="2"/>
      <c r="BI77" s="2"/>
      <c r="BJ77" s="2"/>
      <c r="BK77" s="2"/>
    </row>
    <row r="78" spans="1:63" outlineLevel="1" x14ac:dyDescent="0.2">
      <c r="A78" s="4" t="s">
        <v>480</v>
      </c>
      <c r="C78" s="230">
        <f>C$75*'Ethylene recycling rates'!E45</f>
        <v>0</v>
      </c>
      <c r="D78" s="230">
        <f>D$75*'Ethylene recycling rates'!F45</f>
        <v>4.1904292388735918E-3</v>
      </c>
      <c r="E78" s="230">
        <f>E$75*'Ethylene recycling rates'!G45</f>
        <v>9.0454138022446548E-3</v>
      </c>
      <c r="F78" s="230">
        <f>F$75*'Ethylene recycling rates'!H45</f>
        <v>1.4550500162594402E-2</v>
      </c>
      <c r="G78" s="230">
        <f>G$75*'Ethylene recycling rates'!I45</f>
        <v>2.0680622439323153E-2</v>
      </c>
      <c r="H78" s="230">
        <f>H$75*'Ethylene recycling rates'!J45</f>
        <v>2.740013633796292E-2</v>
      </c>
      <c r="I78" s="230">
        <f>I$75*'Ethylene recycling rates'!K45</f>
        <v>3.4737852200328816E-2</v>
      </c>
      <c r="J78" s="230">
        <f>J$75*'Ethylene recycling rates'!L45</f>
        <v>4.2688587131356204E-2</v>
      </c>
      <c r="K78" s="230">
        <f>K$75*'Ethylene recycling rates'!M45</f>
        <v>5.1244526736914389E-2</v>
      </c>
      <c r="L78" s="230">
        <f>L$75*'Ethylene recycling rates'!N45</f>
        <v>6.0395170084822591E-2</v>
      </c>
      <c r="M78" s="230">
        <f>M$75*'Ethylene recycling rates'!O45</f>
        <v>7.0127284701088893E-2</v>
      </c>
      <c r="N78" s="230">
        <f>N$75*'Ethylene recycling rates'!P45</f>
        <v>8.2136476661880065E-2</v>
      </c>
      <c r="O78" s="230">
        <f>O$75*'Ethylene recycling rates'!Q45</f>
        <v>9.5067669982281153E-2</v>
      </c>
      <c r="P78" s="230">
        <f>P$75*'Ethylene recycling rates'!R45</f>
        <v>0.10798683231253123</v>
      </c>
      <c r="Q78" s="230">
        <f>Q$75*'Ethylene recycling rates'!S45</f>
        <v>0.12111586678981633</v>
      </c>
      <c r="R78" s="230">
        <f>R$75*'Ethylene recycling rates'!T45</f>
        <v>0.13429175701847729</v>
      </c>
      <c r="S78" s="230">
        <f>S$75*'Ethylene recycling rates'!U45</f>
        <v>0.1476114136786093</v>
      </c>
      <c r="T78" s="230">
        <f>T$75*'Ethylene recycling rates'!V45</f>
        <v>0.16097431678692536</v>
      </c>
      <c r="U78" s="230">
        <f>U$75*'Ethylene recycling rates'!W45</f>
        <v>0.17427670017875668</v>
      </c>
      <c r="V78" s="230">
        <f>V$75*'Ethylene recycling rates'!X45</f>
        <v>0.18741160286609429</v>
      </c>
      <c r="W78" s="230">
        <f>W$75*'Ethylene recycling rates'!Y45</f>
        <v>0.20026892510487215</v>
      </c>
      <c r="X78" s="230">
        <f>X$75*'Ethylene recycling rates'!Z45</f>
        <v>0.21539094434684222</v>
      </c>
      <c r="Y78" s="230">
        <f>Y$75*'Ethylene recycling rates'!AA45</f>
        <v>0.23364246928461849</v>
      </c>
      <c r="Z78" s="230">
        <f>Z$75*'Ethylene recycling rates'!AB45</f>
        <v>0.25129528505806792</v>
      </c>
      <c r="AA78" s="230">
        <f>AA$75*'Ethylene recycling rates'!AC45</f>
        <v>0.26814209536594419</v>
      </c>
      <c r="AB78" s="230">
        <f>AB$75*'Ethylene recycling rates'!AD45</f>
        <v>0.28397028258763818</v>
      </c>
      <c r="AC78" s="230">
        <f>AC$75*'Ethylene recycling rates'!AE45</f>
        <v>0.29856484542351197</v>
      </c>
      <c r="AD78" s="230">
        <f>AD$75*'Ethylene recycling rates'!AF45</f>
        <v>0.31170325248958936</v>
      </c>
      <c r="AE78" s="230">
        <f>AE$75*'Ethylene recycling rates'!AG45</f>
        <v>0.32315792350780415</v>
      </c>
      <c r="AF78" s="230">
        <f>AF$75*'Ethylene recycling rates'!AH45</f>
        <v>0.33269634456142144</v>
      </c>
      <c r="AG78" s="230">
        <f>AG$75*'Ethylene recycling rates'!AI45</f>
        <v>0.34008119006145687</v>
      </c>
      <c r="AH78" s="245">
        <f t="shared" si="76"/>
        <v>0.34008119006145687</v>
      </c>
      <c r="AI78" s="133"/>
      <c r="AJ78" s="211"/>
      <c r="AL78" s="108"/>
      <c r="AM78" s="2"/>
      <c r="AN78" s="2"/>
      <c r="AO78" s="2"/>
      <c r="BC78" s="1"/>
      <c r="BD78" s="2"/>
      <c r="BE78" s="2"/>
      <c r="BF78" s="2"/>
      <c r="BG78" s="2"/>
      <c r="BH78" s="2"/>
      <c r="BI78" s="2"/>
      <c r="BJ78" s="2"/>
      <c r="BK78" s="2"/>
    </row>
    <row r="79" spans="1:63" outlineLevel="1" x14ac:dyDescent="0.2">
      <c r="A79" s="4" t="s">
        <v>474</v>
      </c>
      <c r="C79" s="230">
        <f>C$75*'Ethylene recycling rates'!E46</f>
        <v>0.37496329306935583</v>
      </c>
      <c r="D79" s="230">
        <f>D$75*'Ethylene recycling rates'!F46</f>
        <v>0.4030803474462924</v>
      </c>
      <c r="E79" s="230">
        <f>E$75*'Ethylene recycling rates'!G46</f>
        <v>0.4302851188073985</v>
      </c>
      <c r="F79" s="230">
        <f>F$75*'Ethylene recycling rates'!H46</f>
        <v>0.45633757514110534</v>
      </c>
      <c r="G79" s="230">
        <f>G$75*'Ethylene recycling rates'!I46</f>
        <v>0.48100608911875364</v>
      </c>
      <c r="H79" s="230">
        <f>H$75*'Ethylene recycling rates'!J46</f>
        <v>0.5040708204825759</v>
      </c>
      <c r="I79" s="230">
        <f>I$75*'Ethylene recycling rates'!K46</f>
        <v>0.52646030948884659</v>
      </c>
      <c r="J79" s="230">
        <f>J$75*'Ethylene recycling rates'!L46</f>
        <v>0.54811871416981217</v>
      </c>
      <c r="K79" s="230">
        <f>K$75*'Ethylene recycling rates'!M46</f>
        <v>0.56899162063184494</v>
      </c>
      <c r="L79" s="230">
        <f>L$75*'Ethylene recycling rates'!N46</f>
        <v>0.58902625065227143</v>
      </c>
      <c r="M79" s="230">
        <f>M$75*'Ethylene recycling rates'!O46</f>
        <v>0.60817166648350529</v>
      </c>
      <c r="N79" s="230">
        <f>N$75*'Ethylene recycling rates'!P46</f>
        <v>0.639709588041661</v>
      </c>
      <c r="O79" s="230">
        <f>O$75*'Ethylene recycling rates'!Q46</f>
        <v>0.67038752487581488</v>
      </c>
      <c r="P79" s="230">
        <f>P$75*'Ethylene recycling rates'!R46</f>
        <v>0.69417585573108898</v>
      </c>
      <c r="Q79" s="230">
        <f>Q$75*'Ethylene recycling rates'!S46</f>
        <v>0.71386154207318786</v>
      </c>
      <c r="R79" s="230">
        <f>R$75*'Ethylene recycling rates'!T46</f>
        <v>0.72933562309490574</v>
      </c>
      <c r="S79" s="230">
        <f>S$75*'Ethylene recycling rates'!U46</f>
        <v>0.74186558752340992</v>
      </c>
      <c r="T79" s="230">
        <f>T$75*'Ethylene recycling rates'!V46</f>
        <v>0.75147504251022879</v>
      </c>
      <c r="U79" s="230">
        <f>U$75*'Ethylene recycling rates'!W46</f>
        <v>0.7581917228404268</v>
      </c>
      <c r="V79" s="230">
        <f>V$75*'Ethylene recycling rates'!X46</f>
        <v>0.7620475121033482</v>
      </c>
      <c r="W79" s="230">
        <f>W$75*'Ethylene recycling rates'!Y46</f>
        <v>0.76307845924918394</v>
      </c>
      <c r="X79" s="230">
        <f>X$75*'Ethylene recycling rates'!Z46</f>
        <v>0.77082797140002057</v>
      </c>
      <c r="Y79" s="230">
        <f>Y$75*'Ethylene recycling rates'!AA46</f>
        <v>0.78696794110218238</v>
      </c>
      <c r="Z79" s="230">
        <f>Z$75*'Ethylene recycling rates'!AB46</f>
        <v>0.7981334934571388</v>
      </c>
      <c r="AA79" s="230">
        <f>AA$75*'Ethylene recycling rates'!AC46</f>
        <v>0.80440327924579336</v>
      </c>
      <c r="AB79" s="230">
        <f>AB$75*'Ethylene recycling rates'!AD46</f>
        <v>0.80586315150269283</v>
      </c>
      <c r="AC79" s="230">
        <f>AC$75*'Ethylene recycling rates'!AE46</f>
        <v>0.80261375394739487</v>
      </c>
      <c r="AD79" s="230">
        <f>AD$75*'Ethylene recycling rates'!AF46</f>
        <v>0.79475512440482432</v>
      </c>
      <c r="AE79" s="230">
        <f>AE$75*'Ethylene recycling rates'!AG46</f>
        <v>0.78239422457518393</v>
      </c>
      <c r="AF79" s="230">
        <f>AF$75*'Ethylene recycling rates'!AH46</f>
        <v>0.76564492714591181</v>
      </c>
      <c r="AG79" s="230">
        <f>AG$75*'Ethylene recycling rates'!AI46</f>
        <v>0.74462799592887496</v>
      </c>
      <c r="AH79" s="245">
        <f t="shared" si="76"/>
        <v>0.36966470285951913</v>
      </c>
      <c r="AI79" s="133"/>
      <c r="AJ79" s="211"/>
      <c r="AL79" s="108"/>
      <c r="AM79" s="2"/>
      <c r="AN79" s="2"/>
      <c r="AO79" s="2"/>
      <c r="BC79" s="1"/>
      <c r="BD79" s="2"/>
      <c r="BE79" s="2"/>
      <c r="BF79" s="2"/>
      <c r="BG79" s="2"/>
      <c r="BH79" s="2"/>
      <c r="BI79" s="2"/>
      <c r="BJ79" s="2"/>
      <c r="BK79" s="2"/>
    </row>
    <row r="80" spans="1:63" outlineLevel="1" x14ac:dyDescent="0.2">
      <c r="A80" s="4" t="s">
        <v>248</v>
      </c>
      <c r="C80" s="230">
        <f>C$75*'Ethylene recycling rates'!E47</f>
        <v>0</v>
      </c>
      <c r="D80" s="230">
        <f>D$75*'Ethylene recycling rates'!F47</f>
        <v>1.8707273387828533E-4</v>
      </c>
      <c r="E80" s="230">
        <f>E$75*'Ethylene recycling rates'!G47</f>
        <v>4.0381311617163637E-4</v>
      </c>
      <c r="F80" s="230">
        <f>F$75*'Ethylene recycling rates'!H47</f>
        <v>6.495759001158214E-4</v>
      </c>
      <c r="G80" s="230">
        <f>G$75*'Ethylene recycling rates'!I47</f>
        <v>9.2324207318406938E-4</v>
      </c>
      <c r="H80" s="230">
        <f>H$75*'Ethylene recycling rates'!J47</f>
        <v>1.2232203722304877E-3</v>
      </c>
      <c r="I80" s="230">
        <f>I$75*'Ethylene recycling rates'!K47</f>
        <v>1.5507969732289652E-3</v>
      </c>
      <c r="J80" s="230">
        <f>J$75*'Ethylene recycling rates'!L47</f>
        <v>1.9057404969355452E-3</v>
      </c>
      <c r="K80" s="230">
        <f>K$75*'Ethylene recycling rates'!M47</f>
        <v>2.2877020864693928E-3</v>
      </c>
      <c r="L80" s="230">
        <f>L$75*'Ethylene recycling rates'!N47</f>
        <v>2.6962129502152948E-3</v>
      </c>
      <c r="M80" s="230">
        <f>M$75*'Ethylene recycling rates'!O47</f>
        <v>3.130682352727183E-3</v>
      </c>
      <c r="N80" s="230">
        <f>N$75*'Ethylene recycling rates'!P47</f>
        <v>3.6668069938339326E-3</v>
      </c>
      <c r="O80" s="230">
        <f>O$75*'Ethylene recycling rates'!Q47</f>
        <v>4.244092409923266E-3</v>
      </c>
      <c r="P80" s="230">
        <f>P$75*'Ethylene recycling rates'!R47</f>
        <v>4.820840728238001E-3</v>
      </c>
      <c r="Q80" s="230">
        <f>Q$75*'Ethylene recycling rates'!S47</f>
        <v>5.4069583388310864E-3</v>
      </c>
      <c r="R80" s="230">
        <f>R$75*'Ethylene recycling rates'!T47</f>
        <v>5.9951677240391646E-3</v>
      </c>
      <c r="S80" s="230">
        <f>S$75*'Ethylene recycling rates'!U47</f>
        <v>6.5897952535093436E-3</v>
      </c>
      <c r="T80" s="230">
        <f>T$75*'Ethylene recycling rates'!V47</f>
        <v>7.1863534279877368E-3</v>
      </c>
      <c r="U80" s="230">
        <f>U$75*'Ethylene recycling rates'!W47</f>
        <v>7.7802098294087775E-3</v>
      </c>
      <c r="V80" s="230">
        <f>V$75*'Ethylene recycling rates'!X47</f>
        <v>8.366589413664919E-3</v>
      </c>
      <c r="W80" s="230">
        <f>W$75*'Ethylene recycling rates'!Y47</f>
        <v>8.9405770136103593E-3</v>
      </c>
      <c r="X80" s="230">
        <f>X$75*'Ethylene recycling rates'!Z47</f>
        <v>9.6156671583411644E-3</v>
      </c>
      <c r="Y80" s="230">
        <f>Y$75*'Ethylene recycling rates'!AA47</f>
        <v>1.0430467378777605E-2</v>
      </c>
      <c r="Z80" s="230">
        <f>Z$75*'Ethylene recycling rates'!AB47</f>
        <v>1.1218539511520883E-2</v>
      </c>
      <c r="AA80" s="230">
        <f>AA$75*'Ethylene recycling rates'!AC47</f>
        <v>1.1970629257408213E-2</v>
      </c>
      <c r="AB80" s="230">
        <f>AB$75*'Ethylene recycling rates'!AD47</f>
        <v>1.2677244758376694E-2</v>
      </c>
      <c r="AC80" s="230">
        <f>AC$75*'Ethylene recycling rates'!AE47</f>
        <v>1.3328787742121057E-2</v>
      </c>
      <c r="AD80" s="230">
        <f>AD$75*'Ethylene recycling rates'!AF47</f>
        <v>1.3915323771856655E-2</v>
      </c>
      <c r="AE80" s="230">
        <f>AE$75*'Ethylene recycling rates'!AG47</f>
        <v>1.4426693013741242E-2</v>
      </c>
      <c r="AF80" s="230">
        <f>AF$75*'Ethylene recycling rates'!AH47</f>
        <v>1.48525153822063E-2</v>
      </c>
      <c r="AG80" s="230">
        <f>AG$75*'Ethylene recycling rates'!AI47</f>
        <v>1.518219598488647E-2</v>
      </c>
      <c r="AH80" s="245">
        <f t="shared" si="76"/>
        <v>1.518219598488647E-2</v>
      </c>
      <c r="AI80" s="133"/>
      <c r="AJ80" s="211"/>
      <c r="AL80" s="108"/>
      <c r="AM80" s="2"/>
      <c r="AN80" s="2"/>
      <c r="AO80" s="2"/>
      <c r="BC80" s="1"/>
      <c r="BD80" s="2"/>
      <c r="BE80" s="2"/>
      <c r="BF80" s="2"/>
      <c r="BG80" s="2"/>
      <c r="BH80" s="2"/>
      <c r="BI80" s="2"/>
      <c r="BJ80" s="2"/>
      <c r="BK80" s="2"/>
    </row>
    <row r="81" spans="1:63" s="1" customFormat="1" outlineLevel="1" x14ac:dyDescent="0.2">
      <c r="A81" s="1" t="s">
        <v>1326</v>
      </c>
      <c r="B81" s="65"/>
      <c r="C81" s="300">
        <f>C70*C45</f>
        <v>1.205373589929996</v>
      </c>
      <c r="D81" s="300">
        <f t="shared" ref="D81:AG81" si="77">D70*D45</f>
        <v>1.2451208454460503</v>
      </c>
      <c r="E81" s="300">
        <f t="shared" si="77"/>
        <v>1.2806590856050846</v>
      </c>
      <c r="F81" s="300">
        <f t="shared" si="77"/>
        <v>1.3116299143659205</v>
      </c>
      <c r="G81" s="300">
        <f t="shared" si="77"/>
        <v>1.3377193554728866</v>
      </c>
      <c r="H81" s="300">
        <f t="shared" si="77"/>
        <v>1.3586629671274666</v>
      </c>
      <c r="I81" s="300">
        <f t="shared" si="77"/>
        <v>1.3772150533619407</v>
      </c>
      <c r="J81" s="300">
        <f t="shared" si="77"/>
        <v>1.3933036168358774</v>
      </c>
      <c r="K81" s="300">
        <f t="shared" si="77"/>
        <v>1.4068636340228113</v>
      </c>
      <c r="L81" s="300">
        <f t="shared" si="77"/>
        <v>1.417837443881526</v>
      </c>
      <c r="M81" s="300">
        <f t="shared" si="77"/>
        <v>1.4261751145598678</v>
      </c>
      <c r="N81" s="300">
        <f t="shared" si="77"/>
        <v>1.4587330425820906</v>
      </c>
      <c r="O81" s="300">
        <f t="shared" si="77"/>
        <v>1.4888675997027387</v>
      </c>
      <c r="P81" s="300">
        <f t="shared" si="77"/>
        <v>1.5033800173775074</v>
      </c>
      <c r="Q81" s="300">
        <f t="shared" si="77"/>
        <v>1.5089905502463543</v>
      </c>
      <c r="R81" s="300">
        <f t="shared" si="77"/>
        <v>1.5058180388616633</v>
      </c>
      <c r="S81" s="300">
        <f t="shared" si="77"/>
        <v>1.496766945012703</v>
      </c>
      <c r="T81" s="300">
        <f t="shared" si="77"/>
        <v>1.4820522108322152</v>
      </c>
      <c r="U81" s="300">
        <f t="shared" si="77"/>
        <v>1.4619019914845464</v>
      </c>
      <c r="V81" s="300">
        <f t="shared" si="77"/>
        <v>1.4365576075479041</v>
      </c>
      <c r="W81" s="300">
        <f t="shared" si="77"/>
        <v>1.4062734808461506</v>
      </c>
      <c r="X81" s="300">
        <f t="shared" si="77"/>
        <v>1.3737550641004828</v>
      </c>
      <c r="Y81" s="300">
        <f t="shared" si="77"/>
        <v>1.3579811084013624</v>
      </c>
      <c r="Z81" s="300">
        <f t="shared" si="77"/>
        <v>1.3346179047704045</v>
      </c>
      <c r="AA81" s="300">
        <f t="shared" si="77"/>
        <v>1.304113810406486</v>
      </c>
      <c r="AB81" s="300">
        <f t="shared" si="77"/>
        <v>1.2669373502358658</v>
      </c>
      <c r="AC81" s="300">
        <f t="shared" si="77"/>
        <v>1.2235886103757063</v>
      </c>
      <c r="AD81" s="300">
        <f t="shared" si="77"/>
        <v>1.1745745274411605</v>
      </c>
      <c r="AE81" s="300">
        <f t="shared" si="77"/>
        <v>1.1204213143745652</v>
      </c>
      <c r="AF81" s="300">
        <f t="shared" si="77"/>
        <v>1.0616742634362233</v>
      </c>
      <c r="AG81" s="300">
        <f t="shared" si="77"/>
        <v>0.99889752735144222</v>
      </c>
      <c r="AH81" s="245">
        <f t="shared" si="76"/>
        <v>-0.20647606257855378</v>
      </c>
      <c r="AI81" s="423"/>
      <c r="AJ81" s="424"/>
      <c r="AL81" s="221"/>
      <c r="AM81" s="124"/>
      <c r="AN81" s="124"/>
      <c r="AO81" s="124"/>
      <c r="BD81" s="124"/>
      <c r="BE81" s="124"/>
      <c r="BF81" s="124"/>
      <c r="BG81" s="124"/>
      <c r="BH81" s="124"/>
      <c r="BI81" s="124"/>
      <c r="BJ81" s="124"/>
      <c r="BK81" s="124"/>
    </row>
    <row r="82" spans="1:63" outlineLevel="1" x14ac:dyDescent="0.2">
      <c r="A82" s="4" t="s">
        <v>258</v>
      </c>
      <c r="C82" s="230">
        <f>C$81*'Ethylene recycling rates'!E48</f>
        <v>0</v>
      </c>
      <c r="D82" s="230">
        <f>D$81*'Ethylene recycling rates'!F48</f>
        <v>0</v>
      </c>
      <c r="E82" s="230">
        <f>E$81*'Ethylene recycling rates'!G48</f>
        <v>0</v>
      </c>
      <c r="F82" s="230">
        <f>F$81*'Ethylene recycling rates'!H48</f>
        <v>0</v>
      </c>
      <c r="G82" s="230">
        <f>G$81*'Ethylene recycling rates'!I48</f>
        <v>0</v>
      </c>
      <c r="H82" s="230">
        <f>H$81*'Ethylene recycling rates'!J48</f>
        <v>0</v>
      </c>
      <c r="I82" s="230">
        <f>I$81*'Ethylene recycling rates'!K48</f>
        <v>0</v>
      </c>
      <c r="J82" s="230">
        <f>J$81*'Ethylene recycling rates'!L48</f>
        <v>0</v>
      </c>
      <c r="K82" s="230">
        <f>K$81*'Ethylene recycling rates'!M48</f>
        <v>0</v>
      </c>
      <c r="L82" s="230">
        <f>L$81*'Ethylene recycling rates'!N48</f>
        <v>0</v>
      </c>
      <c r="M82" s="230">
        <f>M$81*'Ethylene recycling rates'!O48</f>
        <v>0</v>
      </c>
      <c r="N82" s="230">
        <f>N$81*'Ethylene recycling rates'!P48</f>
        <v>0</v>
      </c>
      <c r="O82" s="230">
        <f>O$81*'Ethylene recycling rates'!Q48</f>
        <v>0</v>
      </c>
      <c r="P82" s="230">
        <f>P$81*'Ethylene recycling rates'!R48</f>
        <v>0</v>
      </c>
      <c r="Q82" s="230">
        <f>Q$81*'Ethylene recycling rates'!S48</f>
        <v>0</v>
      </c>
      <c r="R82" s="230">
        <f>R$81*'Ethylene recycling rates'!T48</f>
        <v>0</v>
      </c>
      <c r="S82" s="230">
        <f>S$81*'Ethylene recycling rates'!U48</f>
        <v>0</v>
      </c>
      <c r="T82" s="230">
        <f>T$81*'Ethylene recycling rates'!V48</f>
        <v>0</v>
      </c>
      <c r="U82" s="230">
        <f>U$81*'Ethylene recycling rates'!W48</f>
        <v>0</v>
      </c>
      <c r="V82" s="230">
        <f>V$81*'Ethylene recycling rates'!X48</f>
        <v>0</v>
      </c>
      <c r="W82" s="230">
        <f>W$81*'Ethylene recycling rates'!Y48</f>
        <v>0</v>
      </c>
      <c r="X82" s="230">
        <f>X$81*'Ethylene recycling rates'!Z48</f>
        <v>0</v>
      </c>
      <c r="Y82" s="230">
        <f>Y$81*'Ethylene recycling rates'!AA48</f>
        <v>0</v>
      </c>
      <c r="Z82" s="230">
        <f>Z$81*'Ethylene recycling rates'!AB48</f>
        <v>0</v>
      </c>
      <c r="AA82" s="230">
        <f>AA$81*'Ethylene recycling rates'!AC48</f>
        <v>0</v>
      </c>
      <c r="AB82" s="230">
        <f>AB$81*'Ethylene recycling rates'!AD48</f>
        <v>0</v>
      </c>
      <c r="AC82" s="230">
        <f>AC$81*'Ethylene recycling rates'!AE48</f>
        <v>0</v>
      </c>
      <c r="AD82" s="230">
        <f>AD$81*'Ethylene recycling rates'!AF48</f>
        <v>0</v>
      </c>
      <c r="AE82" s="230">
        <f>AE$81*'Ethylene recycling rates'!AG48</f>
        <v>0</v>
      </c>
      <c r="AF82" s="230">
        <f>AF$81*'Ethylene recycling rates'!AH48</f>
        <v>0</v>
      </c>
      <c r="AG82" s="230">
        <f>AG$81*'Ethylene recycling rates'!AI48</f>
        <v>0</v>
      </c>
      <c r="AH82" s="245">
        <f t="shared" si="76"/>
        <v>0</v>
      </c>
      <c r="AI82" s="133"/>
      <c r="AJ82" s="211"/>
      <c r="AL82" s="108"/>
      <c r="AM82" s="2"/>
      <c r="AN82" s="2"/>
      <c r="AO82" s="2"/>
      <c r="BC82" s="1"/>
      <c r="BD82" s="2"/>
      <c r="BE82" s="2"/>
      <c r="BF82" s="2"/>
      <c r="BG82" s="2"/>
      <c r="BH82" s="2"/>
      <c r="BI82" s="2"/>
      <c r="BJ82" s="2"/>
      <c r="BK82" s="2"/>
    </row>
    <row r="83" spans="1:63" outlineLevel="1" x14ac:dyDescent="0.2">
      <c r="A83" s="4" t="s">
        <v>478</v>
      </c>
      <c r="C83" s="230">
        <f>C$81*'Ethylene recycling rates'!E49</f>
        <v>0</v>
      </c>
      <c r="D83" s="230">
        <f>D$81*'Ethylene recycling rates'!F49</f>
        <v>0</v>
      </c>
      <c r="E83" s="230">
        <f>E$81*'Ethylene recycling rates'!G49</f>
        <v>0</v>
      </c>
      <c r="F83" s="230">
        <f>F$81*'Ethylene recycling rates'!H49</f>
        <v>0</v>
      </c>
      <c r="G83" s="230">
        <f>G$81*'Ethylene recycling rates'!I49</f>
        <v>0</v>
      </c>
      <c r="H83" s="230">
        <f>H$81*'Ethylene recycling rates'!J49</f>
        <v>0</v>
      </c>
      <c r="I83" s="230">
        <f>I$81*'Ethylene recycling rates'!K49</f>
        <v>0</v>
      </c>
      <c r="J83" s="230">
        <f>J$81*'Ethylene recycling rates'!L49</f>
        <v>0</v>
      </c>
      <c r="K83" s="230">
        <f>K$81*'Ethylene recycling rates'!M49</f>
        <v>0</v>
      </c>
      <c r="L83" s="230">
        <f>L$81*'Ethylene recycling rates'!N49</f>
        <v>0</v>
      </c>
      <c r="M83" s="230">
        <f>M$81*'Ethylene recycling rates'!O49</f>
        <v>0</v>
      </c>
      <c r="N83" s="230">
        <f>N$81*'Ethylene recycling rates'!P49</f>
        <v>0</v>
      </c>
      <c r="O83" s="230">
        <f>O$81*'Ethylene recycling rates'!Q49</f>
        <v>0</v>
      </c>
      <c r="P83" s="230">
        <f>P$81*'Ethylene recycling rates'!R49</f>
        <v>0</v>
      </c>
      <c r="Q83" s="230">
        <f>Q$81*'Ethylene recycling rates'!S49</f>
        <v>0</v>
      </c>
      <c r="R83" s="230">
        <f>R$81*'Ethylene recycling rates'!T49</f>
        <v>0</v>
      </c>
      <c r="S83" s="230">
        <f>S$81*'Ethylene recycling rates'!U49</f>
        <v>0</v>
      </c>
      <c r="T83" s="230">
        <f>T$81*'Ethylene recycling rates'!V49</f>
        <v>0</v>
      </c>
      <c r="U83" s="230">
        <f>U$81*'Ethylene recycling rates'!W49</f>
        <v>0</v>
      </c>
      <c r="V83" s="230">
        <f>V$81*'Ethylene recycling rates'!X49</f>
        <v>0</v>
      </c>
      <c r="W83" s="230">
        <f>W$81*'Ethylene recycling rates'!Y49</f>
        <v>0</v>
      </c>
      <c r="X83" s="230">
        <f>X$81*'Ethylene recycling rates'!Z49</f>
        <v>0</v>
      </c>
      <c r="Y83" s="230">
        <f>Y$81*'Ethylene recycling rates'!AA49</f>
        <v>0</v>
      </c>
      <c r="Z83" s="230">
        <f>Z$81*'Ethylene recycling rates'!AB49</f>
        <v>0</v>
      </c>
      <c r="AA83" s="230">
        <f>AA$81*'Ethylene recycling rates'!AC49</f>
        <v>0</v>
      </c>
      <c r="AB83" s="230">
        <f>AB$81*'Ethylene recycling rates'!AD49</f>
        <v>0</v>
      </c>
      <c r="AC83" s="230">
        <f>AC$81*'Ethylene recycling rates'!AE49</f>
        <v>0</v>
      </c>
      <c r="AD83" s="230">
        <f>AD$81*'Ethylene recycling rates'!AF49</f>
        <v>0</v>
      </c>
      <c r="AE83" s="230">
        <f>AE$81*'Ethylene recycling rates'!AG49</f>
        <v>0</v>
      </c>
      <c r="AF83" s="230">
        <f>AF$81*'Ethylene recycling rates'!AH49</f>
        <v>0</v>
      </c>
      <c r="AG83" s="230">
        <f>AG$81*'Ethylene recycling rates'!AI49</f>
        <v>0</v>
      </c>
      <c r="AH83" s="245">
        <f t="shared" si="76"/>
        <v>0</v>
      </c>
      <c r="AI83" s="133"/>
      <c r="AJ83" s="211"/>
      <c r="AL83" s="108"/>
      <c r="AM83" s="2"/>
      <c r="AN83" s="2"/>
      <c r="AO83" s="2"/>
      <c r="BC83" s="1"/>
      <c r="BD83" s="2"/>
      <c r="BE83" s="2"/>
      <c r="BF83" s="2"/>
      <c r="BG83" s="2"/>
      <c r="BH83" s="2"/>
      <c r="BI83" s="2"/>
      <c r="BJ83" s="2"/>
      <c r="BK83" s="2"/>
    </row>
    <row r="84" spans="1:63" outlineLevel="1" x14ac:dyDescent="0.2">
      <c r="A84" s="4" t="s">
        <v>480</v>
      </c>
      <c r="C84" s="230">
        <f>C$81*'Ethylene recycling rates'!E50</f>
        <v>0</v>
      </c>
      <c r="D84" s="230">
        <f>D$81*'Ethylene recycling rates'!F50</f>
        <v>0</v>
      </c>
      <c r="E84" s="230">
        <f>E$81*'Ethylene recycling rates'!G50</f>
        <v>0</v>
      </c>
      <c r="F84" s="230">
        <f>F$81*'Ethylene recycling rates'!H50</f>
        <v>0</v>
      </c>
      <c r="G84" s="230">
        <f>G$81*'Ethylene recycling rates'!I50</f>
        <v>0</v>
      </c>
      <c r="H84" s="230">
        <f>H$81*'Ethylene recycling rates'!J50</f>
        <v>0</v>
      </c>
      <c r="I84" s="230">
        <f>I$81*'Ethylene recycling rates'!K50</f>
        <v>0</v>
      </c>
      <c r="J84" s="230">
        <f>J$81*'Ethylene recycling rates'!L50</f>
        <v>0</v>
      </c>
      <c r="K84" s="230">
        <f>K$81*'Ethylene recycling rates'!M50</f>
        <v>0</v>
      </c>
      <c r="L84" s="230">
        <f>L$81*'Ethylene recycling rates'!N50</f>
        <v>0</v>
      </c>
      <c r="M84" s="230">
        <f>M$81*'Ethylene recycling rates'!O50</f>
        <v>0</v>
      </c>
      <c r="N84" s="230">
        <f>N$81*'Ethylene recycling rates'!P50</f>
        <v>0</v>
      </c>
      <c r="O84" s="230">
        <f>O$81*'Ethylene recycling rates'!Q50</f>
        <v>0</v>
      </c>
      <c r="P84" s="230">
        <f>P$81*'Ethylene recycling rates'!R50</f>
        <v>0</v>
      </c>
      <c r="Q84" s="230">
        <f>Q$81*'Ethylene recycling rates'!S50</f>
        <v>0</v>
      </c>
      <c r="R84" s="230">
        <f>R$81*'Ethylene recycling rates'!T50</f>
        <v>0</v>
      </c>
      <c r="S84" s="230">
        <f>S$81*'Ethylene recycling rates'!U50</f>
        <v>0</v>
      </c>
      <c r="T84" s="230">
        <f>T$81*'Ethylene recycling rates'!V50</f>
        <v>0</v>
      </c>
      <c r="U84" s="230">
        <f>U$81*'Ethylene recycling rates'!W50</f>
        <v>0</v>
      </c>
      <c r="V84" s="230">
        <f>V$81*'Ethylene recycling rates'!X50</f>
        <v>0</v>
      </c>
      <c r="W84" s="230">
        <f>W$81*'Ethylene recycling rates'!Y50</f>
        <v>0</v>
      </c>
      <c r="X84" s="230">
        <f>X$81*'Ethylene recycling rates'!Z50</f>
        <v>0</v>
      </c>
      <c r="Y84" s="230">
        <f>Y$81*'Ethylene recycling rates'!AA50</f>
        <v>0</v>
      </c>
      <c r="Z84" s="230">
        <f>Z$81*'Ethylene recycling rates'!AB50</f>
        <v>0</v>
      </c>
      <c r="AA84" s="230">
        <f>AA$81*'Ethylene recycling rates'!AC50</f>
        <v>0</v>
      </c>
      <c r="AB84" s="230">
        <f>AB$81*'Ethylene recycling rates'!AD50</f>
        <v>0</v>
      </c>
      <c r="AC84" s="230">
        <f>AC$81*'Ethylene recycling rates'!AE50</f>
        <v>0</v>
      </c>
      <c r="AD84" s="230">
        <f>AD$81*'Ethylene recycling rates'!AF50</f>
        <v>0</v>
      </c>
      <c r="AE84" s="230">
        <f>AE$81*'Ethylene recycling rates'!AG50</f>
        <v>0</v>
      </c>
      <c r="AF84" s="230">
        <f>AF$81*'Ethylene recycling rates'!AH50</f>
        <v>0</v>
      </c>
      <c r="AG84" s="230">
        <f>AG$81*'Ethylene recycling rates'!AI50</f>
        <v>0</v>
      </c>
      <c r="AH84" s="245">
        <f t="shared" si="76"/>
        <v>0</v>
      </c>
      <c r="AI84" s="133"/>
      <c r="AJ84" s="211"/>
      <c r="AL84" s="108"/>
      <c r="AM84" s="2"/>
      <c r="AN84" s="2"/>
      <c r="AO84" s="2"/>
      <c r="BC84" s="1"/>
      <c r="BD84" s="2"/>
      <c r="BE84" s="2"/>
      <c r="BF84" s="2"/>
      <c r="BG84" s="2"/>
      <c r="BH84" s="2"/>
      <c r="BI84" s="2"/>
      <c r="BJ84" s="2"/>
      <c r="BK84" s="2"/>
    </row>
    <row r="85" spans="1:63" outlineLevel="1" x14ac:dyDescent="0.2">
      <c r="A85" s="4" t="s">
        <v>474</v>
      </c>
      <c r="C85" s="230">
        <f>C$81*'Ethylene recycling rates'!E51</f>
        <v>1.205373589929996</v>
      </c>
      <c r="D85" s="230">
        <f>D$81*'Ethylene recycling rates'!F51</f>
        <v>1.2451208454460503</v>
      </c>
      <c r="E85" s="230">
        <f>E$81*'Ethylene recycling rates'!G51</f>
        <v>1.2806590856050846</v>
      </c>
      <c r="F85" s="230">
        <f>F$81*'Ethylene recycling rates'!H51</f>
        <v>1.3116299143659205</v>
      </c>
      <c r="G85" s="230">
        <f>G$81*'Ethylene recycling rates'!I51</f>
        <v>1.3377193554728866</v>
      </c>
      <c r="H85" s="230">
        <f>H$81*'Ethylene recycling rates'!J51</f>
        <v>1.3586629671274666</v>
      </c>
      <c r="I85" s="230">
        <f>I$81*'Ethylene recycling rates'!K51</f>
        <v>1.3772150533619407</v>
      </c>
      <c r="J85" s="230">
        <f>J$81*'Ethylene recycling rates'!L51</f>
        <v>1.3933036168358774</v>
      </c>
      <c r="K85" s="230">
        <f>K$81*'Ethylene recycling rates'!M51</f>
        <v>1.4068636340228113</v>
      </c>
      <c r="L85" s="230">
        <f>L$81*'Ethylene recycling rates'!N51</f>
        <v>1.417837443881526</v>
      </c>
      <c r="M85" s="230">
        <f>M$81*'Ethylene recycling rates'!O51</f>
        <v>1.4261751145598678</v>
      </c>
      <c r="N85" s="230">
        <f>N$81*'Ethylene recycling rates'!P51</f>
        <v>1.4587330425820906</v>
      </c>
      <c r="O85" s="230">
        <f>O$81*'Ethylene recycling rates'!Q51</f>
        <v>1.4888675997027387</v>
      </c>
      <c r="P85" s="230">
        <f>P$81*'Ethylene recycling rates'!R51</f>
        <v>1.5033800173775074</v>
      </c>
      <c r="Q85" s="230">
        <f>Q$81*'Ethylene recycling rates'!S51</f>
        <v>1.5089905502463543</v>
      </c>
      <c r="R85" s="230">
        <f>R$81*'Ethylene recycling rates'!T51</f>
        <v>1.5058180388616633</v>
      </c>
      <c r="S85" s="230">
        <f>S$81*'Ethylene recycling rates'!U51</f>
        <v>1.496766945012703</v>
      </c>
      <c r="T85" s="230">
        <f>T$81*'Ethylene recycling rates'!V51</f>
        <v>1.4820522108322152</v>
      </c>
      <c r="U85" s="230">
        <f>U$81*'Ethylene recycling rates'!W51</f>
        <v>1.4619019914845464</v>
      </c>
      <c r="V85" s="230">
        <f>V$81*'Ethylene recycling rates'!X51</f>
        <v>1.4365576075479041</v>
      </c>
      <c r="W85" s="230">
        <f>W$81*'Ethylene recycling rates'!Y51</f>
        <v>1.4062734808461506</v>
      </c>
      <c r="X85" s="230">
        <f>X$81*'Ethylene recycling rates'!Z51</f>
        <v>1.3737550641004828</v>
      </c>
      <c r="Y85" s="230">
        <f>Y$81*'Ethylene recycling rates'!AA51</f>
        <v>1.3579811084013624</v>
      </c>
      <c r="Z85" s="230">
        <f>Z$81*'Ethylene recycling rates'!AB51</f>
        <v>1.3346179047704045</v>
      </c>
      <c r="AA85" s="230">
        <f>AA$81*'Ethylene recycling rates'!AC51</f>
        <v>1.304113810406486</v>
      </c>
      <c r="AB85" s="230">
        <f>AB$81*'Ethylene recycling rates'!AD51</f>
        <v>1.2669373502358658</v>
      </c>
      <c r="AC85" s="230">
        <f>AC$81*'Ethylene recycling rates'!AE51</f>
        <v>1.2235886103757063</v>
      </c>
      <c r="AD85" s="230">
        <f>AD$81*'Ethylene recycling rates'!AF51</f>
        <v>1.1745745274411605</v>
      </c>
      <c r="AE85" s="230">
        <f>AE$81*'Ethylene recycling rates'!AG51</f>
        <v>1.1204213143745652</v>
      </c>
      <c r="AF85" s="230">
        <f>AF$81*'Ethylene recycling rates'!AH51</f>
        <v>1.0616742634362233</v>
      </c>
      <c r="AG85" s="230">
        <f>AG$81*'Ethylene recycling rates'!AI51</f>
        <v>0.99889752735144222</v>
      </c>
      <c r="AH85" s="245">
        <f t="shared" si="76"/>
        <v>-0.20647606257855378</v>
      </c>
      <c r="AI85" s="133"/>
      <c r="AJ85" s="211"/>
      <c r="AL85" s="108"/>
      <c r="AM85" s="2"/>
      <c r="AN85" s="2"/>
      <c r="AO85" s="2"/>
      <c r="BC85" s="1"/>
      <c r="BD85" s="2"/>
      <c r="BE85" s="2"/>
      <c r="BF85" s="2"/>
      <c r="BG85" s="2"/>
      <c r="BH85" s="2"/>
      <c r="BI85" s="2"/>
      <c r="BJ85" s="2"/>
      <c r="BK85" s="2"/>
    </row>
    <row r="86" spans="1:63" outlineLevel="1" x14ac:dyDescent="0.2">
      <c r="A86" s="4" t="s">
        <v>248</v>
      </c>
      <c r="C86" s="230">
        <f>C$81*'Ethylene recycling rates'!E52</f>
        <v>0</v>
      </c>
      <c r="D86" s="230">
        <f>D$81*'Ethylene recycling rates'!F52</f>
        <v>4.1332844488013288E-5</v>
      </c>
      <c r="E86" s="230">
        <f>E$81*'Ethylene recycling rates'!G52</f>
        <v>8.5025133136396107E-5</v>
      </c>
      <c r="F86" s="230">
        <f>F$81*'Ethylene recycling rates'!H52</f>
        <v>1.3062200863778355E-4</v>
      </c>
      <c r="G86" s="230">
        <f>G$81*'Ethylene recycling rates'!I52</f>
        <v>1.7762692285039545E-4</v>
      </c>
      <c r="H86" s="230">
        <f>H$81*'Ethylene recycling rates'!J52</f>
        <v>2.2550985849001886E-4</v>
      </c>
      <c r="I86" s="230">
        <f>I$81*'Ethylene recycling rates'!K52</f>
        <v>2.7430694378954471E-4</v>
      </c>
      <c r="J86" s="230">
        <f>J$81*'Ethylene recycling rates'!L52</f>
        <v>3.2376328250325915E-4</v>
      </c>
      <c r="K86" s="230">
        <f>K$81*'Ethylene recycling rates'!M52</f>
        <v>3.7361627034731491E-4</v>
      </c>
      <c r="L86" s="230">
        <f>L$81*'Ethylene recycling rates'!N52</f>
        <v>4.2359686862859558E-4</v>
      </c>
      <c r="M86" s="230">
        <f>M$81*'Ethylene recycling rates'!O52</f>
        <v>4.7343094799493261E-4</v>
      </c>
      <c r="N86" s="230">
        <f>N$81*'Ethylene recycling rates'!P52</f>
        <v>5.3266271174401381E-4</v>
      </c>
      <c r="O86" s="230">
        <f>O$81*'Ethylene recycling rates'!Q52</f>
        <v>5.9309070139012155E-4</v>
      </c>
      <c r="P86" s="230">
        <f>P$81*'Ethylene recycling rates'!R52</f>
        <v>6.487777029795678E-4</v>
      </c>
      <c r="Q86" s="230">
        <f>Q$81*'Ethylene recycling rates'!S52</f>
        <v>7.0129112981654981E-4</v>
      </c>
      <c r="R86" s="230">
        <f>R$81*'Ethylene recycling rates'!T52</f>
        <v>7.4980364020671756E-4</v>
      </c>
      <c r="S86" s="230">
        <f>S$81*'Ethylene recycling rates'!U52</f>
        <v>7.9498320953219452E-4</v>
      </c>
      <c r="T86" s="230">
        <f>T$81*'Ethylene recycling rates'!V52</f>
        <v>8.36365702347141E-4</v>
      </c>
      <c r="U86" s="230">
        <f>U$81*'Ethylene recycling rates'!W52</f>
        <v>8.7352341907328895E-4</v>
      </c>
      <c r="V86" s="230">
        <f>V$81*'Ethylene recycling rates'!X52</f>
        <v>9.060672590554831E-4</v>
      </c>
      <c r="W86" s="230">
        <f>W$81*'Ethylene recycling rates'!Y52</f>
        <v>9.3364886314481932E-4</v>
      </c>
      <c r="X86" s="230">
        <f>X$81*'Ethylene recycling rates'!Z52</f>
        <v>9.5766230030759755E-4</v>
      </c>
      <c r="Y86" s="230">
        <f>Y$81*'Ethylene recycling rates'!AA52</f>
        <v>9.9174541000020483E-4</v>
      </c>
      <c r="Z86" s="230">
        <f>Z$81*'Ethylene recycling rates'!AB52</f>
        <v>1.0189868346856927E-3</v>
      </c>
      <c r="AA86" s="230">
        <f>AA$81*'Ethylene recycling rates'!AC52</f>
        <v>1.0389879861190502E-3</v>
      </c>
      <c r="AB86" s="230">
        <f>AB$81*'Ethylene recycling rates'!AD52</f>
        <v>1.0514265475692658E-3</v>
      </c>
      <c r="AC86" s="230">
        <f>AC$81*'Ethylene recycling rates'!AE52</f>
        <v>1.0560696548518439E-3</v>
      </c>
      <c r="AD86" s="230">
        <f>AD$81*'Ethylene recycling rates'!AF52</f>
        <v>1.0527569869354413E-3</v>
      </c>
      <c r="AE86" s="230">
        <f>AE$81*'Ethylene recycling rates'!AG52</f>
        <v>1.0414134525892208E-3</v>
      </c>
      <c r="AF86" s="230">
        <f>AF$81*'Ethylene recycling rates'!AH52</f>
        <v>1.0220522001963923E-3</v>
      </c>
      <c r="AG86" s="230">
        <f>AG$81*'Ethylene recycling rates'!AI52</f>
        <v>9.947775665747722E-4</v>
      </c>
      <c r="AH86" s="245">
        <f t="shared" si="76"/>
        <v>9.947775665747722E-4</v>
      </c>
      <c r="AI86" s="133"/>
      <c r="AJ86" s="211"/>
      <c r="AL86" s="108"/>
      <c r="AM86" s="2"/>
      <c r="AN86" s="2"/>
      <c r="AO86" s="2"/>
      <c r="BC86" s="1"/>
      <c r="BD86" s="2"/>
      <c r="BE86" s="2"/>
      <c r="BF86" s="2"/>
      <c r="BG86" s="2"/>
      <c r="BH86" s="2"/>
      <c r="BI86" s="2"/>
      <c r="BJ86" s="2"/>
      <c r="BK86" s="2"/>
    </row>
    <row r="87" spans="1:63" s="1" customFormat="1" outlineLevel="1" x14ac:dyDescent="0.2">
      <c r="A87" s="1" t="s">
        <v>1327</v>
      </c>
      <c r="B87" s="65"/>
      <c r="C87" s="300">
        <f>C71*C45</f>
        <v>1.4455793898150646</v>
      </c>
      <c r="D87" s="300">
        <f t="shared" ref="D87:AG87" si="78">D71*D45</f>
        <v>1.5219211967902431</v>
      </c>
      <c r="E87" s="300">
        <f t="shared" si="78"/>
        <v>1.5960068402999779</v>
      </c>
      <c r="F87" s="300">
        <f t="shared" si="78"/>
        <v>1.6672455929276571</v>
      </c>
      <c r="G87" s="300">
        <f t="shared" si="78"/>
        <v>1.7350561940179574</v>
      </c>
      <c r="H87" s="300">
        <f t="shared" si="78"/>
        <v>1.7988746060587635</v>
      </c>
      <c r="I87" s="300">
        <f t="shared" si="78"/>
        <v>1.862170596817682</v>
      </c>
      <c r="J87" s="300">
        <f t="shared" si="78"/>
        <v>1.9248106900426496</v>
      </c>
      <c r="K87" s="300">
        <f t="shared" si="78"/>
        <v>1.9866594130910793</v>
      </c>
      <c r="L87" s="300">
        <f t="shared" si="78"/>
        <v>2.0475796317666926</v>
      </c>
      <c r="M87" s="300">
        <f t="shared" si="78"/>
        <v>2.1074328993331664</v>
      </c>
      <c r="N87" s="300">
        <f t="shared" si="78"/>
        <v>2.2067715043004177</v>
      </c>
      <c r="O87" s="300">
        <f t="shared" si="78"/>
        <v>2.3071914689078219</v>
      </c>
      <c r="P87" s="300">
        <f t="shared" si="78"/>
        <v>2.3878102075585725</v>
      </c>
      <c r="Q87" s="300">
        <f t="shared" si="78"/>
        <v>2.4580544451939077</v>
      </c>
      <c r="R87" s="300">
        <f t="shared" si="78"/>
        <v>2.5173054699142532</v>
      </c>
      <c r="S87" s="300">
        <f t="shared" si="78"/>
        <v>2.5696601956953362</v>
      </c>
      <c r="T87" s="300">
        <f t="shared" si="78"/>
        <v>2.6149244026452312</v>
      </c>
      <c r="U87" s="300">
        <f t="shared" si="78"/>
        <v>2.6529057007528474</v>
      </c>
      <c r="V87" s="300">
        <f t="shared" si="78"/>
        <v>2.6834137094313526</v>
      </c>
      <c r="W87" s="300">
        <f t="shared" si="78"/>
        <v>2.7062602377796834</v>
      </c>
      <c r="X87" s="300">
        <f t="shared" si="78"/>
        <v>2.7260974853290962</v>
      </c>
      <c r="Y87" s="300">
        <f t="shared" si="78"/>
        <v>2.781508512604971</v>
      </c>
      <c r="Z87" s="300">
        <f t="shared" si="78"/>
        <v>2.8245424916512518</v>
      </c>
      <c r="AA87" s="300">
        <f t="shared" si="78"/>
        <v>2.8549039578268274</v>
      </c>
      <c r="AB87" s="300">
        <f t="shared" si="78"/>
        <v>2.8723010759348502</v>
      </c>
      <c r="AC87" s="300">
        <f t="shared" si="78"/>
        <v>2.8764730947488544</v>
      </c>
      <c r="AD87" s="300">
        <f t="shared" si="78"/>
        <v>2.8671359882210576</v>
      </c>
      <c r="AE87" s="300">
        <f t="shared" si="78"/>
        <v>2.8440093558093005</v>
      </c>
      <c r="AF87" s="300">
        <f t="shared" si="78"/>
        <v>2.8068166545244018</v>
      </c>
      <c r="AG87" s="300">
        <f t="shared" si="78"/>
        <v>2.7552854310570467</v>
      </c>
      <c r="AH87" s="245">
        <f>AG87-C87</f>
        <v>1.3097060412419821</v>
      </c>
      <c r="AI87" s="423"/>
      <c r="AJ87" s="424"/>
      <c r="AL87" s="221"/>
      <c r="AM87" s="124"/>
      <c r="AN87" s="124"/>
      <c r="AO87" s="124"/>
      <c r="BD87" s="124"/>
      <c r="BE87" s="124"/>
      <c r="BF87" s="124"/>
      <c r="BG87" s="124"/>
      <c r="BH87" s="124"/>
      <c r="BI87" s="124"/>
      <c r="BJ87" s="124"/>
      <c r="BK87" s="124"/>
    </row>
    <row r="88" spans="1:63" outlineLevel="1" x14ac:dyDescent="0.2">
      <c r="A88" s="4" t="s">
        <v>258</v>
      </c>
      <c r="C88" s="230">
        <f>C$87*'Ethylene recycling rates'!E53</f>
        <v>1.4455793898150646</v>
      </c>
      <c r="D88" s="230">
        <f>D$87*'Ethylene recycling rates'!F53</f>
        <v>1.5219211967902431</v>
      </c>
      <c r="E88" s="230">
        <f>E$87*'Ethylene recycling rates'!G53</f>
        <v>1.5960068402999779</v>
      </c>
      <c r="F88" s="230">
        <f>F$87*'Ethylene recycling rates'!H53</f>
        <v>1.6672455929276571</v>
      </c>
      <c r="G88" s="230">
        <f>G$87*'Ethylene recycling rates'!I53</f>
        <v>1.7350561940179574</v>
      </c>
      <c r="H88" s="230">
        <f>H$87*'Ethylene recycling rates'!J53</f>
        <v>1.7988746060587635</v>
      </c>
      <c r="I88" s="230">
        <f>I$87*'Ethylene recycling rates'!K53</f>
        <v>1.862170596817682</v>
      </c>
      <c r="J88" s="230">
        <f>J$87*'Ethylene recycling rates'!L53</f>
        <v>1.9248106900426496</v>
      </c>
      <c r="K88" s="230">
        <f>K$87*'Ethylene recycling rates'!M53</f>
        <v>1.9866594130910793</v>
      </c>
      <c r="L88" s="230">
        <f>L$87*'Ethylene recycling rates'!N53</f>
        <v>2.0475796317666926</v>
      </c>
      <c r="M88" s="230">
        <f>M$87*'Ethylene recycling rates'!O53</f>
        <v>2.1074328993331664</v>
      </c>
      <c r="N88" s="230">
        <f>N$87*'Ethylene recycling rates'!P53</f>
        <v>2.2067715043004177</v>
      </c>
      <c r="O88" s="230">
        <f>O$87*'Ethylene recycling rates'!Q53</f>
        <v>2.3071914689078219</v>
      </c>
      <c r="P88" s="230">
        <f>P$87*'Ethylene recycling rates'!R53</f>
        <v>2.3878102075585725</v>
      </c>
      <c r="Q88" s="230">
        <f>Q$87*'Ethylene recycling rates'!S53</f>
        <v>2.4580544451939077</v>
      </c>
      <c r="R88" s="230">
        <f>R$87*'Ethylene recycling rates'!T53</f>
        <v>2.5173054699142532</v>
      </c>
      <c r="S88" s="230">
        <f>S$87*'Ethylene recycling rates'!U53</f>
        <v>2.5696601956953362</v>
      </c>
      <c r="T88" s="230">
        <f>T$87*'Ethylene recycling rates'!V53</f>
        <v>2.6149244026452312</v>
      </c>
      <c r="U88" s="230">
        <f>U$87*'Ethylene recycling rates'!W53</f>
        <v>2.6529057007528474</v>
      </c>
      <c r="V88" s="230">
        <f>V$87*'Ethylene recycling rates'!X53</f>
        <v>2.6834137094313526</v>
      </c>
      <c r="W88" s="230">
        <f>W$87*'Ethylene recycling rates'!Y53</f>
        <v>2.7062602377796834</v>
      </c>
      <c r="X88" s="230">
        <f>X$87*'Ethylene recycling rates'!Z53</f>
        <v>2.7260974853290962</v>
      </c>
      <c r="Y88" s="230">
        <f>Y$87*'Ethylene recycling rates'!AA53</f>
        <v>2.781508512604971</v>
      </c>
      <c r="Z88" s="230">
        <f>Z$87*'Ethylene recycling rates'!AB53</f>
        <v>2.8245424916512518</v>
      </c>
      <c r="AA88" s="230">
        <f>AA$87*'Ethylene recycling rates'!AC53</f>
        <v>2.8549039578268274</v>
      </c>
      <c r="AB88" s="230">
        <f>AB$87*'Ethylene recycling rates'!AD53</f>
        <v>2.8723010759348502</v>
      </c>
      <c r="AC88" s="230">
        <f>AC$87*'Ethylene recycling rates'!AE53</f>
        <v>2.8764730947488544</v>
      </c>
      <c r="AD88" s="230">
        <f>AD$87*'Ethylene recycling rates'!AF53</f>
        <v>2.8671359882210576</v>
      </c>
      <c r="AE88" s="230">
        <f>AE$87*'Ethylene recycling rates'!AG53</f>
        <v>2.8440093558093005</v>
      </c>
      <c r="AF88" s="230">
        <f>AF$87*'Ethylene recycling rates'!AH53</f>
        <v>2.8068166545244018</v>
      </c>
      <c r="AG88" s="230">
        <f>AG$87*'Ethylene recycling rates'!AI53</f>
        <v>2.7552854310570467</v>
      </c>
      <c r="AH88" s="245">
        <f>AG88-C88</f>
        <v>1.3097060412419821</v>
      </c>
      <c r="AI88" s="133"/>
      <c r="AJ88" s="211"/>
      <c r="AL88" s="108"/>
      <c r="AM88" s="2"/>
      <c r="AN88" s="2"/>
      <c r="AO88" s="2"/>
      <c r="BC88" s="1"/>
      <c r="BD88" s="2"/>
      <c r="BE88" s="2"/>
      <c r="BF88" s="2"/>
      <c r="BG88" s="2"/>
      <c r="BH88" s="2"/>
      <c r="BI88" s="2"/>
      <c r="BJ88" s="2"/>
      <c r="BK88" s="2"/>
    </row>
    <row r="89" spans="1:63" outlineLevel="1" x14ac:dyDescent="0.2">
      <c r="A89" s="4" t="s">
        <v>478</v>
      </c>
      <c r="C89" s="230">
        <f>C$87*'Ethylene recycling rates'!E54</f>
        <v>0</v>
      </c>
      <c r="D89" s="230">
        <f>D$87*'Ethylene recycling rates'!F54</f>
        <v>0</v>
      </c>
      <c r="E89" s="230">
        <f>E$87*'Ethylene recycling rates'!G54</f>
        <v>0</v>
      </c>
      <c r="F89" s="230">
        <f>F$87*'Ethylene recycling rates'!H54</f>
        <v>0</v>
      </c>
      <c r="G89" s="230">
        <f>G$87*'Ethylene recycling rates'!I54</f>
        <v>0</v>
      </c>
      <c r="H89" s="230">
        <f>H$87*'Ethylene recycling rates'!J54</f>
        <v>0</v>
      </c>
      <c r="I89" s="230">
        <f>I$87*'Ethylene recycling rates'!K54</f>
        <v>0</v>
      </c>
      <c r="J89" s="230">
        <f>J$87*'Ethylene recycling rates'!L54</f>
        <v>0</v>
      </c>
      <c r="K89" s="230">
        <f>K$87*'Ethylene recycling rates'!M54</f>
        <v>0</v>
      </c>
      <c r="L89" s="230">
        <f>L$87*'Ethylene recycling rates'!N54</f>
        <v>0</v>
      </c>
      <c r="M89" s="230">
        <f>M$87*'Ethylene recycling rates'!O54</f>
        <v>0</v>
      </c>
      <c r="N89" s="230">
        <f>N$87*'Ethylene recycling rates'!P54</f>
        <v>0</v>
      </c>
      <c r="O89" s="230">
        <f>O$87*'Ethylene recycling rates'!Q54</f>
        <v>0</v>
      </c>
      <c r="P89" s="230">
        <f>P$87*'Ethylene recycling rates'!R54</f>
        <v>0</v>
      </c>
      <c r="Q89" s="230">
        <f>Q$87*'Ethylene recycling rates'!S54</f>
        <v>0</v>
      </c>
      <c r="R89" s="230">
        <f>R$87*'Ethylene recycling rates'!T54</f>
        <v>0</v>
      </c>
      <c r="S89" s="230">
        <f>S$87*'Ethylene recycling rates'!U54</f>
        <v>0</v>
      </c>
      <c r="T89" s="230">
        <f>T$87*'Ethylene recycling rates'!V54</f>
        <v>0</v>
      </c>
      <c r="U89" s="230">
        <f>U$87*'Ethylene recycling rates'!W54</f>
        <v>0</v>
      </c>
      <c r="V89" s="230">
        <f>V$87*'Ethylene recycling rates'!X54</f>
        <v>0</v>
      </c>
      <c r="W89" s="230">
        <f>W$87*'Ethylene recycling rates'!Y54</f>
        <v>0</v>
      </c>
      <c r="X89" s="230">
        <f>X$87*'Ethylene recycling rates'!Z54</f>
        <v>0</v>
      </c>
      <c r="Y89" s="230">
        <f>Y$87*'Ethylene recycling rates'!AA54</f>
        <v>0</v>
      </c>
      <c r="Z89" s="230">
        <f>Z$87*'Ethylene recycling rates'!AB54</f>
        <v>0</v>
      </c>
      <c r="AA89" s="230">
        <f>AA$87*'Ethylene recycling rates'!AC54</f>
        <v>0</v>
      </c>
      <c r="AB89" s="230">
        <f>AB$87*'Ethylene recycling rates'!AD54</f>
        <v>0</v>
      </c>
      <c r="AC89" s="230">
        <f>AC$87*'Ethylene recycling rates'!AE54</f>
        <v>0</v>
      </c>
      <c r="AD89" s="230">
        <f>AD$87*'Ethylene recycling rates'!AF54</f>
        <v>0</v>
      </c>
      <c r="AE89" s="230">
        <f>AE$87*'Ethylene recycling rates'!AG54</f>
        <v>0</v>
      </c>
      <c r="AF89" s="230">
        <f>AF$87*'Ethylene recycling rates'!AH54</f>
        <v>0</v>
      </c>
      <c r="AG89" s="230">
        <f>AG$87*'Ethylene recycling rates'!AI54</f>
        <v>0</v>
      </c>
      <c r="AH89" s="245">
        <f t="shared" ref="AH89:AH92" si="79">AG89-C89</f>
        <v>0</v>
      </c>
      <c r="AI89" s="133"/>
      <c r="AJ89" s="211"/>
      <c r="AL89" s="108"/>
      <c r="AM89" s="2"/>
      <c r="AN89" s="2"/>
      <c r="AO89" s="2"/>
      <c r="BC89" s="1"/>
      <c r="BD89" s="2"/>
      <c r="BE89" s="2"/>
      <c r="BF89" s="2"/>
      <c r="BG89" s="2"/>
      <c r="BH89" s="2"/>
      <c r="BI89" s="2"/>
      <c r="BJ89" s="2"/>
      <c r="BK89" s="2"/>
    </row>
    <row r="90" spans="1:63" outlineLevel="1" x14ac:dyDescent="0.2">
      <c r="A90" s="4" t="s">
        <v>480</v>
      </c>
      <c r="C90" s="230">
        <f>C$87*'Ethylene recycling rates'!E55</f>
        <v>0</v>
      </c>
      <c r="D90" s="230">
        <f>D$87*'Ethylene recycling rates'!F55</f>
        <v>0</v>
      </c>
      <c r="E90" s="230">
        <f>E$87*'Ethylene recycling rates'!G55</f>
        <v>0</v>
      </c>
      <c r="F90" s="230">
        <f>F$87*'Ethylene recycling rates'!H55</f>
        <v>0</v>
      </c>
      <c r="G90" s="230">
        <f>G$87*'Ethylene recycling rates'!I55</f>
        <v>0</v>
      </c>
      <c r="H90" s="230">
        <f>H$87*'Ethylene recycling rates'!J55</f>
        <v>0</v>
      </c>
      <c r="I90" s="230">
        <f>I$87*'Ethylene recycling rates'!K55</f>
        <v>0</v>
      </c>
      <c r="J90" s="230">
        <f>J$87*'Ethylene recycling rates'!L55</f>
        <v>0</v>
      </c>
      <c r="K90" s="230">
        <f>K$87*'Ethylene recycling rates'!M55</f>
        <v>0</v>
      </c>
      <c r="L90" s="230">
        <f>L$87*'Ethylene recycling rates'!N55</f>
        <v>0</v>
      </c>
      <c r="M90" s="230">
        <f>M$87*'Ethylene recycling rates'!O55</f>
        <v>0</v>
      </c>
      <c r="N90" s="230">
        <f>N$87*'Ethylene recycling rates'!P55</f>
        <v>0</v>
      </c>
      <c r="O90" s="230">
        <f>O$87*'Ethylene recycling rates'!Q55</f>
        <v>0</v>
      </c>
      <c r="P90" s="230">
        <f>P$87*'Ethylene recycling rates'!R55</f>
        <v>0</v>
      </c>
      <c r="Q90" s="230">
        <f>Q$87*'Ethylene recycling rates'!S55</f>
        <v>0</v>
      </c>
      <c r="R90" s="230">
        <f>R$87*'Ethylene recycling rates'!T55</f>
        <v>0</v>
      </c>
      <c r="S90" s="230">
        <f>S$87*'Ethylene recycling rates'!U55</f>
        <v>0</v>
      </c>
      <c r="T90" s="230">
        <f>T$87*'Ethylene recycling rates'!V55</f>
        <v>0</v>
      </c>
      <c r="U90" s="230">
        <f>U$87*'Ethylene recycling rates'!W55</f>
        <v>0</v>
      </c>
      <c r="V90" s="230">
        <f>V$87*'Ethylene recycling rates'!X55</f>
        <v>0</v>
      </c>
      <c r="W90" s="230">
        <f>W$87*'Ethylene recycling rates'!Y55</f>
        <v>0</v>
      </c>
      <c r="X90" s="230">
        <f>X$87*'Ethylene recycling rates'!Z55</f>
        <v>0</v>
      </c>
      <c r="Y90" s="230">
        <f>Y$87*'Ethylene recycling rates'!AA55</f>
        <v>0</v>
      </c>
      <c r="Z90" s="230">
        <f>Z$87*'Ethylene recycling rates'!AB55</f>
        <v>0</v>
      </c>
      <c r="AA90" s="230">
        <f>AA$87*'Ethylene recycling rates'!AC55</f>
        <v>0</v>
      </c>
      <c r="AB90" s="230">
        <f>AB$87*'Ethylene recycling rates'!AD55</f>
        <v>0</v>
      </c>
      <c r="AC90" s="230">
        <f>AC$87*'Ethylene recycling rates'!AE55</f>
        <v>0</v>
      </c>
      <c r="AD90" s="230">
        <f>AD$87*'Ethylene recycling rates'!AF55</f>
        <v>0</v>
      </c>
      <c r="AE90" s="230">
        <f>AE$87*'Ethylene recycling rates'!AG55</f>
        <v>0</v>
      </c>
      <c r="AF90" s="230">
        <f>AF$87*'Ethylene recycling rates'!AH55</f>
        <v>0</v>
      </c>
      <c r="AG90" s="230">
        <f>AG$87*'Ethylene recycling rates'!AI55</f>
        <v>0</v>
      </c>
      <c r="AH90" s="245">
        <f t="shared" si="79"/>
        <v>0</v>
      </c>
      <c r="AI90" s="133"/>
      <c r="AJ90" s="211"/>
      <c r="AL90" s="108"/>
      <c r="AM90" s="2"/>
      <c r="AN90" s="2"/>
      <c r="AO90" s="2"/>
      <c r="BC90" s="1"/>
      <c r="BD90" s="2"/>
      <c r="BE90" s="2"/>
      <c r="BF90" s="2"/>
      <c r="BG90" s="2"/>
      <c r="BH90" s="2"/>
      <c r="BI90" s="2"/>
      <c r="BJ90" s="2"/>
      <c r="BK90" s="2"/>
    </row>
    <row r="91" spans="1:63" outlineLevel="1" x14ac:dyDescent="0.2">
      <c r="A91" s="4" t="s">
        <v>474</v>
      </c>
      <c r="C91" s="230">
        <f>C$87*'Ethylene recycling rates'!E56</f>
        <v>0</v>
      </c>
      <c r="D91" s="230">
        <f>D$87*'Ethylene recycling rates'!F56</f>
        <v>0</v>
      </c>
      <c r="E91" s="230">
        <f>E$87*'Ethylene recycling rates'!G56</f>
        <v>0</v>
      </c>
      <c r="F91" s="230">
        <f>F$87*'Ethylene recycling rates'!H56</f>
        <v>0</v>
      </c>
      <c r="G91" s="230">
        <f>G$87*'Ethylene recycling rates'!I56</f>
        <v>0</v>
      </c>
      <c r="H91" s="230">
        <f>H$87*'Ethylene recycling rates'!J56</f>
        <v>0</v>
      </c>
      <c r="I91" s="230">
        <f>I$87*'Ethylene recycling rates'!K56</f>
        <v>0</v>
      </c>
      <c r="J91" s="230">
        <f>J$87*'Ethylene recycling rates'!L56</f>
        <v>0</v>
      </c>
      <c r="K91" s="230">
        <f>K$87*'Ethylene recycling rates'!M56</f>
        <v>0</v>
      </c>
      <c r="L91" s="230">
        <f>L$87*'Ethylene recycling rates'!N56</f>
        <v>0</v>
      </c>
      <c r="M91" s="230">
        <f>M$87*'Ethylene recycling rates'!O56</f>
        <v>0</v>
      </c>
      <c r="N91" s="230">
        <f>N$87*'Ethylene recycling rates'!P56</f>
        <v>0</v>
      </c>
      <c r="O91" s="230">
        <f>O$87*'Ethylene recycling rates'!Q56</f>
        <v>0</v>
      </c>
      <c r="P91" s="230">
        <f>P$87*'Ethylene recycling rates'!R56</f>
        <v>0</v>
      </c>
      <c r="Q91" s="230">
        <f>Q$87*'Ethylene recycling rates'!S56</f>
        <v>0</v>
      </c>
      <c r="R91" s="230">
        <f>R$87*'Ethylene recycling rates'!T56</f>
        <v>0</v>
      </c>
      <c r="S91" s="230">
        <f>S$87*'Ethylene recycling rates'!U56</f>
        <v>0</v>
      </c>
      <c r="T91" s="230">
        <f>T$87*'Ethylene recycling rates'!V56</f>
        <v>0</v>
      </c>
      <c r="U91" s="230">
        <f>U$87*'Ethylene recycling rates'!W56</f>
        <v>0</v>
      </c>
      <c r="V91" s="230">
        <f>V$87*'Ethylene recycling rates'!X56</f>
        <v>0</v>
      </c>
      <c r="W91" s="230">
        <f>W$87*'Ethylene recycling rates'!Y56</f>
        <v>0</v>
      </c>
      <c r="X91" s="230">
        <f>X$87*'Ethylene recycling rates'!Z56</f>
        <v>0</v>
      </c>
      <c r="Y91" s="230">
        <f>Y$87*'Ethylene recycling rates'!AA56</f>
        <v>0</v>
      </c>
      <c r="Z91" s="230">
        <f>Z$87*'Ethylene recycling rates'!AB56</f>
        <v>0</v>
      </c>
      <c r="AA91" s="230">
        <f>AA$87*'Ethylene recycling rates'!AC56</f>
        <v>0</v>
      </c>
      <c r="AB91" s="230">
        <f>AB$87*'Ethylene recycling rates'!AD56</f>
        <v>0</v>
      </c>
      <c r="AC91" s="230">
        <f>AC$87*'Ethylene recycling rates'!AE56</f>
        <v>0</v>
      </c>
      <c r="AD91" s="230">
        <f>AD$87*'Ethylene recycling rates'!AF56</f>
        <v>0</v>
      </c>
      <c r="AE91" s="230">
        <f>AE$87*'Ethylene recycling rates'!AG56</f>
        <v>0</v>
      </c>
      <c r="AF91" s="230">
        <f>AF$87*'Ethylene recycling rates'!AH56</f>
        <v>0</v>
      </c>
      <c r="AG91" s="230">
        <f>AG$87*'Ethylene recycling rates'!AI56</f>
        <v>0</v>
      </c>
      <c r="AH91" s="245">
        <f t="shared" si="79"/>
        <v>0</v>
      </c>
      <c r="AI91" s="133"/>
      <c r="AJ91" s="211"/>
      <c r="AL91" s="108"/>
      <c r="AM91" s="2"/>
      <c r="AN91" s="2"/>
      <c r="AO91" s="2"/>
      <c r="BC91" s="1"/>
      <c r="BD91" s="2"/>
      <c r="BE91" s="2"/>
      <c r="BF91" s="2"/>
      <c r="BG91" s="2"/>
      <c r="BH91" s="2"/>
      <c r="BI91" s="2"/>
      <c r="BJ91" s="2"/>
      <c r="BK91" s="2"/>
    </row>
    <row r="92" spans="1:63" outlineLevel="1" x14ac:dyDescent="0.2">
      <c r="A92" s="4" t="s">
        <v>248</v>
      </c>
      <c r="C92" s="230">
        <f>C$87*'Ethylene recycling rates'!E57</f>
        <v>0</v>
      </c>
      <c r="D92" s="230">
        <f>D$87*'Ethylene recycling rates'!F57</f>
        <v>0</v>
      </c>
      <c r="E92" s="230">
        <f>E$87*'Ethylene recycling rates'!G57</f>
        <v>0</v>
      </c>
      <c r="F92" s="230">
        <f>F$87*'Ethylene recycling rates'!H57</f>
        <v>0</v>
      </c>
      <c r="G92" s="230">
        <f>G$87*'Ethylene recycling rates'!I57</f>
        <v>0</v>
      </c>
      <c r="H92" s="230">
        <f>H$87*'Ethylene recycling rates'!J57</f>
        <v>0</v>
      </c>
      <c r="I92" s="230">
        <f>I$87*'Ethylene recycling rates'!K57</f>
        <v>0</v>
      </c>
      <c r="J92" s="230">
        <f>J$87*'Ethylene recycling rates'!L57</f>
        <v>0</v>
      </c>
      <c r="K92" s="230">
        <f>K$87*'Ethylene recycling rates'!M57</f>
        <v>0</v>
      </c>
      <c r="L92" s="230">
        <f>L$87*'Ethylene recycling rates'!N57</f>
        <v>0</v>
      </c>
      <c r="M92" s="230">
        <f>M$87*'Ethylene recycling rates'!O57</f>
        <v>0</v>
      </c>
      <c r="N92" s="230">
        <f>N$87*'Ethylene recycling rates'!P57</f>
        <v>0</v>
      </c>
      <c r="O92" s="230">
        <f>O$87*'Ethylene recycling rates'!Q57</f>
        <v>0</v>
      </c>
      <c r="P92" s="230">
        <f>P$87*'Ethylene recycling rates'!R57</f>
        <v>0</v>
      </c>
      <c r="Q92" s="230">
        <f>Q$87*'Ethylene recycling rates'!S57</f>
        <v>0</v>
      </c>
      <c r="R92" s="230">
        <f>R$87*'Ethylene recycling rates'!T57</f>
        <v>0</v>
      </c>
      <c r="S92" s="230">
        <f>S$87*'Ethylene recycling rates'!U57</f>
        <v>0</v>
      </c>
      <c r="T92" s="230">
        <f>T$87*'Ethylene recycling rates'!V57</f>
        <v>0</v>
      </c>
      <c r="U92" s="230">
        <f>U$87*'Ethylene recycling rates'!W57</f>
        <v>0</v>
      </c>
      <c r="V92" s="230">
        <f>V$87*'Ethylene recycling rates'!X57</f>
        <v>0</v>
      </c>
      <c r="W92" s="230">
        <f>W$87*'Ethylene recycling rates'!Y57</f>
        <v>0</v>
      </c>
      <c r="X92" s="230">
        <f>X$87*'Ethylene recycling rates'!Z57</f>
        <v>0</v>
      </c>
      <c r="Y92" s="230">
        <f>Y$87*'Ethylene recycling rates'!AA57</f>
        <v>0</v>
      </c>
      <c r="Z92" s="230">
        <f>Z$87*'Ethylene recycling rates'!AB57</f>
        <v>0</v>
      </c>
      <c r="AA92" s="230">
        <f>AA$87*'Ethylene recycling rates'!AC57</f>
        <v>0</v>
      </c>
      <c r="AB92" s="230">
        <f>AB$87*'Ethylene recycling rates'!AD57</f>
        <v>0</v>
      </c>
      <c r="AC92" s="230">
        <f>AC$87*'Ethylene recycling rates'!AE57</f>
        <v>0</v>
      </c>
      <c r="AD92" s="230">
        <f>AD$87*'Ethylene recycling rates'!AF57</f>
        <v>0</v>
      </c>
      <c r="AE92" s="230">
        <f>AE$87*'Ethylene recycling rates'!AG57</f>
        <v>0</v>
      </c>
      <c r="AF92" s="230">
        <f>AF$87*'Ethylene recycling rates'!AH57</f>
        <v>0</v>
      </c>
      <c r="AG92" s="230">
        <f>AG$87*'Ethylene recycling rates'!AI57</f>
        <v>0</v>
      </c>
      <c r="AH92" s="245">
        <f t="shared" si="79"/>
        <v>0</v>
      </c>
      <c r="AI92" s="133"/>
      <c r="AJ92" s="211"/>
      <c r="AL92" s="108"/>
      <c r="AM92" s="2"/>
      <c r="AN92" s="2"/>
      <c r="AO92" s="2"/>
      <c r="BC92" s="1"/>
      <c r="BD92" s="2"/>
      <c r="BE92" s="2"/>
      <c r="BF92" s="2"/>
      <c r="BG92" s="2"/>
      <c r="BH92" s="2"/>
      <c r="BI92" s="2"/>
      <c r="BJ92" s="2"/>
      <c r="BK92" s="2"/>
    </row>
    <row r="93" spans="1:63" s="1" customFormat="1" outlineLevel="1" x14ac:dyDescent="0.2">
      <c r="A93" s="1" t="s">
        <v>1328</v>
      </c>
      <c r="B93" s="65"/>
      <c r="C93" s="300">
        <f>C73*C45</f>
        <v>6.6928339575582632</v>
      </c>
      <c r="D93" s="300">
        <f t="shared" ref="D93:AG93" si="80">D73*D45</f>
        <v>7.0701951917512273</v>
      </c>
      <c r="E93" s="300">
        <f t="shared" si="80"/>
        <v>7.4394384480992573</v>
      </c>
      <c r="F93" s="300">
        <f t="shared" si="80"/>
        <v>7.7976945671227051</v>
      </c>
      <c r="G93" s="300">
        <f t="shared" si="80"/>
        <v>8.142101693070174</v>
      </c>
      <c r="H93" s="300">
        <f t="shared" si="80"/>
        <v>8.4698425377662723</v>
      </c>
      <c r="I93" s="300">
        <f t="shared" si="80"/>
        <v>8.7971205563742529</v>
      </c>
      <c r="J93" s="300">
        <f t="shared" si="80"/>
        <v>9.1232784724576259</v>
      </c>
      <c r="K93" s="300">
        <f t="shared" si="80"/>
        <v>9.4476411280933252</v>
      </c>
      <c r="L93" s="300">
        <f t="shared" si="80"/>
        <v>9.7695169246473856</v>
      </c>
      <c r="M93" s="300">
        <f t="shared" si="80"/>
        <v>10.088199362975878</v>
      </c>
      <c r="N93" s="300">
        <f t="shared" si="80"/>
        <v>10.598397457235956</v>
      </c>
      <c r="O93" s="300">
        <f t="shared" si="80"/>
        <v>11.116927143648951</v>
      </c>
      <c r="P93" s="300">
        <f t="shared" si="80"/>
        <v>11.542891073773937</v>
      </c>
      <c r="Q93" s="300">
        <f t="shared" si="80"/>
        <v>11.92107376026604</v>
      </c>
      <c r="R93" s="300">
        <f t="shared" si="80"/>
        <v>12.247975908320852</v>
      </c>
      <c r="S93" s="300">
        <f t="shared" si="80"/>
        <v>12.543077352101635</v>
      </c>
      <c r="T93" s="300">
        <f t="shared" si="80"/>
        <v>12.805101990865412</v>
      </c>
      <c r="U93" s="300">
        <f t="shared" si="80"/>
        <v>13.032770508751737</v>
      </c>
      <c r="V93" s="300">
        <f t="shared" si="80"/>
        <v>13.224801403371291</v>
      </c>
      <c r="W93" s="300">
        <f t="shared" si="80"/>
        <v>13.379912034868319</v>
      </c>
      <c r="X93" s="300">
        <f t="shared" si="80"/>
        <v>13.520815158410482</v>
      </c>
      <c r="Y93" s="300">
        <f t="shared" si="80"/>
        <v>13.839338168867762</v>
      </c>
      <c r="Z93" s="300">
        <f t="shared" si="80"/>
        <v>14.097825987927326</v>
      </c>
      <c r="AA93" s="300">
        <f t="shared" si="80"/>
        <v>14.294215929163633</v>
      </c>
      <c r="AB93" s="300">
        <f t="shared" si="80"/>
        <v>14.426444968606921</v>
      </c>
      <c r="AC93" s="300">
        <f t="shared" si="80"/>
        <v>14.492588354487349</v>
      </c>
      <c r="AD93" s="300">
        <f t="shared" si="80"/>
        <v>14.490587317969355</v>
      </c>
      <c r="AE93" s="300">
        <f t="shared" si="80"/>
        <v>14.41838362255381</v>
      </c>
      <c r="AF93" s="300">
        <f t="shared" si="80"/>
        <v>14.273921028923658</v>
      </c>
      <c r="AG93" s="300">
        <f t="shared" si="80"/>
        <v>14.055146782067792</v>
      </c>
      <c r="AH93" s="422"/>
      <c r="AI93" s="423"/>
      <c r="AJ93" s="424"/>
      <c r="AL93" s="221"/>
      <c r="AM93" s="124"/>
      <c r="AN93" s="124"/>
      <c r="AO93" s="124"/>
      <c r="BD93" s="124"/>
      <c r="BE93" s="124"/>
      <c r="BF93" s="124"/>
      <c r="BG93" s="124"/>
      <c r="BH93" s="124"/>
      <c r="BI93" s="124"/>
      <c r="BJ93" s="124"/>
      <c r="BK93" s="124"/>
    </row>
    <row r="94" spans="1:63" outlineLevel="1" x14ac:dyDescent="0.2">
      <c r="A94" s="4" t="s">
        <v>258</v>
      </c>
      <c r="C94" s="230">
        <f>C$93*'Ethylene recycling rates'!E58</f>
        <v>6.6928339575582632</v>
      </c>
      <c r="D94" s="230">
        <f>D$93*'Ethylene recycling rates'!F58</f>
        <v>6.9877095811807957</v>
      </c>
      <c r="E94" s="230">
        <f>E$93*'Ethylene recycling rates'!G58</f>
        <v>7.2658515509769401</v>
      </c>
      <c r="F94" s="230">
        <f>F$93*'Ethylene recycling rates'!H58</f>
        <v>7.5247752572734097</v>
      </c>
      <c r="G94" s="230">
        <f>G$93*'Ethylene recycling rates'!I58</f>
        <v>7.7621369473935644</v>
      </c>
      <c r="H94" s="230">
        <f>H$93*'Ethylene recycling rates'!J58</f>
        <v>7.9757683897299048</v>
      </c>
      <c r="I94" s="230">
        <f>I$93*'Ethylene recycling rates'!K58</f>
        <v>8.1813221174280528</v>
      </c>
      <c r="J94" s="230">
        <f>J$93*'Ethylene recycling rates'!L58</f>
        <v>8.3782107305402498</v>
      </c>
      <c r="K94" s="230">
        <f>K$93*'Ethylene recycling rates'!M58</f>
        <v>8.5658612894712771</v>
      </c>
      <c r="L94" s="230">
        <f>L$93*'Ethylene recycling rates'!N58</f>
        <v>8.7437176475594054</v>
      </c>
      <c r="M94" s="230">
        <f>M$93*'Ethylene recycling rates'!O58</f>
        <v>8.9112427706286876</v>
      </c>
      <c r="N94" s="230">
        <f>N$93*'Ethylene recycling rates'!P58</f>
        <v>9.2382697835573353</v>
      </c>
      <c r="O94" s="230">
        <f>O$93*'Ethylene recycling rates'!Q58</f>
        <v>9.5605573435380915</v>
      </c>
      <c r="P94" s="230">
        <f>P$93*'Ethylene recycling rates'!R58</f>
        <v>9.7922192609182162</v>
      </c>
      <c r="Q94" s="230">
        <f>Q$93*'Ethylene recycling rates'!S58</f>
        <v>9.9739650460892459</v>
      </c>
      <c r="R94" s="230">
        <f>R$93*'Ethylene recycling rates'!T58</f>
        <v>10.104580124364693</v>
      </c>
      <c r="S94" s="230">
        <f>S$93*'Ethylene recycling rates'!U58</f>
        <v>10.201702913042654</v>
      </c>
      <c r="T94" s="230">
        <f>T$93*'Ethylene recycling rates'!V58</f>
        <v>10.265423429343761</v>
      </c>
      <c r="U94" s="230">
        <f>U$93*'Ethylene recycling rates'!W58</f>
        <v>10.295888701913862</v>
      </c>
      <c r="V94" s="230">
        <f>V$93*'Ethylene recycling rates'!X58</f>
        <v>10.293303758957309</v>
      </c>
      <c r="W94" s="230">
        <f>W$93*'Ethylene recycling rates'!Y58</f>
        <v>10.257932560065699</v>
      </c>
      <c r="X94" s="230">
        <f>X$93*'Ethylene recycling rates'!Z58</f>
        <v>10.208215444599901</v>
      </c>
      <c r="Y94" s="230">
        <f>Y$93*'Ethylene recycling rates'!AA58</f>
        <v>10.287241372191689</v>
      </c>
      <c r="Z94" s="230">
        <f>Z$93*'Ethylene recycling rates'!AB58</f>
        <v>10.314909347833478</v>
      </c>
      <c r="AA94" s="230">
        <f>AA$93*'Ethylene recycling rates'!AC58</f>
        <v>10.2918354689978</v>
      </c>
      <c r="AB94" s="230">
        <f>AB$93*'Ethylene recycling rates'!AD58</f>
        <v>10.218731852763218</v>
      </c>
      <c r="AC94" s="230">
        <f>AC$93*'Ethylene recycling rates'!AE58</f>
        <v>10.096503220292835</v>
      </c>
      <c r="AD94" s="230">
        <f>AD$93*'Ethylene recycling rates'!AF58</f>
        <v>9.9260523128089897</v>
      </c>
      <c r="AE94" s="230">
        <f>AE$93*'Ethylene recycling rates'!AG58</f>
        <v>9.7083783058528788</v>
      </c>
      <c r="AF94" s="230">
        <f>AF$93*'Ethylene recycling rates'!AH58</f>
        <v>9.4445777474711345</v>
      </c>
      <c r="AG94" s="230">
        <f>AG$93*'Ethylene recycling rates'!AI58</f>
        <v>9.1358454083440659</v>
      </c>
      <c r="AH94" s="245"/>
      <c r="AI94" s="133"/>
      <c r="AJ94" s="211"/>
      <c r="AL94" s="108"/>
      <c r="AM94" s="2"/>
      <c r="AN94" s="2"/>
      <c r="AO94" s="2"/>
      <c r="BC94" s="1"/>
      <c r="BD94" s="2"/>
      <c r="BE94" s="2"/>
      <c r="BF94" s="2"/>
      <c r="BG94" s="2"/>
      <c r="BH94" s="2"/>
      <c r="BI94" s="2"/>
      <c r="BJ94" s="2"/>
      <c r="BK94" s="2"/>
    </row>
    <row r="95" spans="1:63" outlineLevel="1" x14ac:dyDescent="0.2">
      <c r="A95" s="4" t="s">
        <v>478</v>
      </c>
      <c r="C95" s="230">
        <f>C$93*'Ethylene recycling rates'!E59</f>
        <v>0</v>
      </c>
      <c r="D95" s="230">
        <f>D$93*'Ethylene recycling rates'!F59</f>
        <v>2.3567317305837426E-2</v>
      </c>
      <c r="E95" s="230">
        <f>E$93*'Ethylene recycling rates'!G59</f>
        <v>4.9596256320661718E-2</v>
      </c>
      <c r="F95" s="230">
        <f>F$93*'Ethylene recycling rates'!H59</f>
        <v>7.7976945671227052E-2</v>
      </c>
      <c r="G95" s="230">
        <f>G$93*'Ethylene recycling rates'!I59</f>
        <v>0.10856135590760232</v>
      </c>
      <c r="H95" s="230">
        <f>H$93*'Ethylene recycling rates'!J59</f>
        <v>0.14116404229610455</v>
      </c>
      <c r="I95" s="230">
        <f>I$93*'Ethylene recycling rates'!K59</f>
        <v>0.17594241112748507</v>
      </c>
      <c r="J95" s="230">
        <f>J$93*'Ethylene recycling rates'!L59</f>
        <v>0.21287649769067796</v>
      </c>
      <c r="K95" s="230">
        <f>K$93*'Ethylene recycling rates'!M59</f>
        <v>0.25193709674915538</v>
      </c>
      <c r="L95" s="230">
        <f>L$93*'Ethylene recycling rates'!N59</f>
        <v>0.2930855077394216</v>
      </c>
      <c r="M95" s="230">
        <f>M$93*'Ethylene recycling rates'!O59</f>
        <v>0.33627331209919592</v>
      </c>
      <c r="N95" s="230">
        <f>N$93*'Ethylene recycling rates'!P59</f>
        <v>0.38860790676531837</v>
      </c>
      <c r="O95" s="230">
        <f>O$93*'Ethylene recycling rates'!Q59</f>
        <v>0.44467708574595805</v>
      </c>
      <c r="P95" s="230">
        <f>P$93*'Ethylene recycling rates'!R59</f>
        <v>0.50019194653020393</v>
      </c>
      <c r="Q95" s="230">
        <f>Q$93*'Ethylene recycling rates'!S59</f>
        <v>0.55631677547908187</v>
      </c>
      <c r="R95" s="230">
        <f>R$93*'Ethylene recycling rates'!T59</f>
        <v>0.61239879541604259</v>
      </c>
      <c r="S95" s="230">
        <f>S$93*'Ethylene recycling rates'!U59</f>
        <v>0.66896412544542061</v>
      </c>
      <c r="T95" s="230">
        <f>T$93*'Ethylene recycling rates'!V59</f>
        <v>0.72562244614904003</v>
      </c>
      <c r="U95" s="230">
        <f>U$93*'Ethylene recycling rates'!W59</f>
        <v>0.78196623052510428</v>
      </c>
      <c r="V95" s="230">
        <f>V$93*'Ethylene recycling rates'!X59</f>
        <v>0.83757075554684857</v>
      </c>
      <c r="W95" s="230">
        <f>W$93*'Ethylene recycling rates'!Y59</f>
        <v>0.89199413565788788</v>
      </c>
      <c r="X95" s="230">
        <f>X$93*'Ethylene recycling rates'!Z59</f>
        <v>0.94645706108873362</v>
      </c>
      <c r="Y95" s="230">
        <f>Y$93*'Ethylene recycling rates'!AA59</f>
        <v>1.0148847990503023</v>
      </c>
      <c r="Z95" s="230">
        <f>Z$93*'Ethylene recycling rates'!AB59</f>
        <v>1.0808333257410947</v>
      </c>
      <c r="AA95" s="230">
        <f>AA$93*'Ethylene recycling rates'!AC59</f>
        <v>1.1435372743330903</v>
      </c>
      <c r="AB95" s="230">
        <f>AB$93*'Ethylene recycling rates'!AD59</f>
        <v>1.2022037473839096</v>
      </c>
      <c r="AC95" s="230">
        <f>AC$93*'Ethylene recycling rates'!AE59</f>
        <v>1.2560243240555697</v>
      </c>
      <c r="AD95" s="230">
        <f>AD$93*'Ethylene recycling rates'!AF59</f>
        <v>1.3041528586172413</v>
      </c>
      <c r="AE95" s="230">
        <f>AE$93*'Ethylene recycling rates'!AG59</f>
        <v>1.3457158047716882</v>
      </c>
      <c r="AF95" s="230">
        <f>AF$93*'Ethylene recycling rates'!AH59</f>
        <v>1.379812366129286</v>
      </c>
      <c r="AG95" s="230">
        <f>AG$93*'Ethylene recycling rates'!AI59</f>
        <v>1.4055146782067793</v>
      </c>
      <c r="AH95" s="245"/>
      <c r="AI95" s="133"/>
      <c r="AJ95" s="211"/>
      <c r="AL95" s="108"/>
      <c r="AM95" s="2"/>
      <c r="AN95" s="2"/>
      <c r="AO95" s="2"/>
      <c r="BC95" s="1"/>
      <c r="BD95" s="2"/>
      <c r="BE95" s="2"/>
      <c r="BF95" s="2"/>
      <c r="BG95" s="2"/>
      <c r="BH95" s="2"/>
      <c r="BI95" s="2"/>
      <c r="BJ95" s="2"/>
      <c r="BK95" s="2"/>
    </row>
    <row r="96" spans="1:63" outlineLevel="1" x14ac:dyDescent="0.2">
      <c r="A96" s="4" t="s">
        <v>480</v>
      </c>
      <c r="C96" s="230">
        <f>C$93*'Ethylene recycling rates'!E60</f>
        <v>0</v>
      </c>
      <c r="D96" s="230">
        <f>D$93*'Ethylene recycling rates'!F60</f>
        <v>3.5350975958756137E-2</v>
      </c>
      <c r="E96" s="230">
        <f>E$93*'Ethylene recycling rates'!G60</f>
        <v>7.4394384480992573E-2</v>
      </c>
      <c r="F96" s="230">
        <f>F$93*'Ethylene recycling rates'!H60</f>
        <v>0.11696541850684057</v>
      </c>
      <c r="G96" s="230">
        <f>G$93*'Ethylene recycling rates'!I60</f>
        <v>0.16284203386140347</v>
      </c>
      <c r="H96" s="230">
        <f>H$93*'Ethylene recycling rates'!J60</f>
        <v>0.21174606344415681</v>
      </c>
      <c r="I96" s="230">
        <f>I$93*'Ethylene recycling rates'!K60</f>
        <v>0.26391361669122759</v>
      </c>
      <c r="J96" s="230">
        <f>J$93*'Ethylene recycling rates'!L60</f>
        <v>0.31931474653601694</v>
      </c>
      <c r="K96" s="230">
        <f>K$93*'Ethylene recycling rates'!M60</f>
        <v>0.37790564512373304</v>
      </c>
      <c r="L96" s="230">
        <f>L$93*'Ethylene recycling rates'!N60</f>
        <v>0.43962826160913232</v>
      </c>
      <c r="M96" s="230">
        <f>M$93*'Ethylene recycling rates'!O60</f>
        <v>0.50440996814879391</v>
      </c>
      <c r="N96" s="230">
        <f>N$93*'Ethylene recycling rates'!P60</f>
        <v>0.58291186014797747</v>
      </c>
      <c r="O96" s="230">
        <f>O$93*'Ethylene recycling rates'!Q60</f>
        <v>0.66701562861893693</v>
      </c>
      <c r="P96" s="230">
        <f>P$93*'Ethylene recycling rates'!R60</f>
        <v>0.75028791979530574</v>
      </c>
      <c r="Q96" s="230">
        <f>Q$93*'Ethylene recycling rates'!S60</f>
        <v>0.8344751632186227</v>
      </c>
      <c r="R96" s="230">
        <f>R$93*'Ethylene recycling rates'!T60</f>
        <v>0.91859819312406388</v>
      </c>
      <c r="S96" s="230">
        <f>S$93*'Ethylene recycling rates'!U60</f>
        <v>1.0034461881681309</v>
      </c>
      <c r="T96" s="230">
        <f>T$93*'Ethylene recycling rates'!V60</f>
        <v>1.0884336692235601</v>
      </c>
      <c r="U96" s="230">
        <f>U$93*'Ethylene recycling rates'!W60</f>
        <v>1.1729493457876565</v>
      </c>
      <c r="V96" s="230">
        <f>V$93*'Ethylene recycling rates'!X60</f>
        <v>1.2563561333202728</v>
      </c>
      <c r="W96" s="230">
        <f>W$93*'Ethylene recycling rates'!Y60</f>
        <v>1.3379912034868322</v>
      </c>
      <c r="X96" s="230">
        <f>X$93*'Ethylene recycling rates'!Z60</f>
        <v>1.4196855916331008</v>
      </c>
      <c r="Y96" s="230">
        <f>Y$93*'Ethylene recycling rates'!AA60</f>
        <v>1.5223271985754543</v>
      </c>
      <c r="Z96" s="230">
        <f>Z$93*'Ethylene recycling rates'!AB60</f>
        <v>1.6212499886116429</v>
      </c>
      <c r="AA96" s="230">
        <f>AA$93*'Ethylene recycling rates'!AC60</f>
        <v>1.7153059114996365</v>
      </c>
      <c r="AB96" s="230">
        <f>AB$93*'Ethylene recycling rates'!AD60</f>
        <v>1.8033056210758656</v>
      </c>
      <c r="AC96" s="230">
        <f>AC$93*'Ethylene recycling rates'!AE60</f>
        <v>1.8840364860833558</v>
      </c>
      <c r="AD96" s="230">
        <f>AD$93*'Ethylene recycling rates'!AF60</f>
        <v>1.9562292879258636</v>
      </c>
      <c r="AE96" s="230">
        <f>AE$93*'Ethylene recycling rates'!AG60</f>
        <v>2.0185737071575338</v>
      </c>
      <c r="AF96" s="230">
        <f>AF$93*'Ethylene recycling rates'!AH60</f>
        <v>2.0697185491939312</v>
      </c>
      <c r="AG96" s="230">
        <f>AG$93*'Ethylene recycling rates'!AI60</f>
        <v>2.1082720173101688</v>
      </c>
      <c r="AH96" s="245"/>
      <c r="AI96" s="133"/>
      <c r="AJ96" s="211"/>
      <c r="AL96" s="108"/>
      <c r="AM96" s="2"/>
      <c r="AN96" s="2"/>
      <c r="AO96" s="2"/>
      <c r="BC96" s="1"/>
      <c r="BD96" s="2"/>
      <c r="BE96" s="2"/>
      <c r="BF96" s="2"/>
      <c r="BG96" s="2"/>
      <c r="BH96" s="2"/>
      <c r="BI96" s="2"/>
      <c r="BJ96" s="2"/>
      <c r="BK96" s="2"/>
    </row>
    <row r="97" spans="1:63" outlineLevel="1" x14ac:dyDescent="0.2">
      <c r="A97" s="4" t="s">
        <v>474</v>
      </c>
      <c r="C97" s="230">
        <f>C$93*'Ethylene recycling rates'!E61</f>
        <v>0</v>
      </c>
      <c r="D97" s="230">
        <f>D$93*'Ethylene recycling rates'!F61</f>
        <v>1.1783658652918713E-2</v>
      </c>
      <c r="E97" s="230">
        <f>E$93*'Ethylene recycling rates'!G61</f>
        <v>2.4798128160330859E-2</v>
      </c>
      <c r="F97" s="230">
        <f>F$93*'Ethylene recycling rates'!H61</f>
        <v>3.8988472835613526E-2</v>
      </c>
      <c r="G97" s="230">
        <f>G$93*'Ethylene recycling rates'!I61</f>
        <v>5.4280677953801162E-2</v>
      </c>
      <c r="H97" s="230">
        <f>H$93*'Ethylene recycling rates'!J61</f>
        <v>7.0582021148052274E-2</v>
      </c>
      <c r="I97" s="230">
        <f>I$93*'Ethylene recycling rates'!K61</f>
        <v>8.7971205563742536E-2</v>
      </c>
      <c r="J97" s="230">
        <f>J$93*'Ethylene recycling rates'!L61</f>
        <v>0.10643824884533898</v>
      </c>
      <c r="K97" s="230">
        <f>K$93*'Ethylene recycling rates'!M61</f>
        <v>0.12596854837457769</v>
      </c>
      <c r="L97" s="230">
        <f>L$93*'Ethylene recycling rates'!N61</f>
        <v>0.1465427538697108</v>
      </c>
      <c r="M97" s="230">
        <f>M$93*'Ethylene recycling rates'!O61</f>
        <v>0.16813665604959796</v>
      </c>
      <c r="N97" s="230">
        <f>N$93*'Ethylene recycling rates'!P61</f>
        <v>0.19430395338265918</v>
      </c>
      <c r="O97" s="230">
        <f>O$93*'Ethylene recycling rates'!Q61</f>
        <v>0.22233854287297902</v>
      </c>
      <c r="P97" s="230">
        <f>P$93*'Ethylene recycling rates'!R61</f>
        <v>0.25009597326510197</v>
      </c>
      <c r="Q97" s="230">
        <f>Q$93*'Ethylene recycling rates'!S61</f>
        <v>0.27815838773954094</v>
      </c>
      <c r="R97" s="230">
        <f>R$93*'Ethylene recycling rates'!T61</f>
        <v>0.30619939770802129</v>
      </c>
      <c r="S97" s="230">
        <f>S$93*'Ethylene recycling rates'!U61</f>
        <v>0.3344820627227103</v>
      </c>
      <c r="T97" s="230">
        <f>T$93*'Ethylene recycling rates'!V61</f>
        <v>0.36281122307452002</v>
      </c>
      <c r="U97" s="230">
        <f>U$93*'Ethylene recycling rates'!W61</f>
        <v>0.39098311526255214</v>
      </c>
      <c r="V97" s="230">
        <f>V$93*'Ethylene recycling rates'!X61</f>
        <v>0.41878537777342428</v>
      </c>
      <c r="W97" s="230">
        <f>W$93*'Ethylene recycling rates'!Y61</f>
        <v>0.44599706782894394</v>
      </c>
      <c r="X97" s="230">
        <f>X$93*'Ethylene recycling rates'!Z61</f>
        <v>0.47322853054436681</v>
      </c>
      <c r="Y97" s="230">
        <f>Y$93*'Ethylene recycling rates'!AA61</f>
        <v>0.50744239952515113</v>
      </c>
      <c r="Z97" s="230">
        <f>Z$93*'Ethylene recycling rates'!AB61</f>
        <v>0.54041666287054735</v>
      </c>
      <c r="AA97" s="230">
        <f>AA$93*'Ethylene recycling rates'!AC61</f>
        <v>0.57176863716654514</v>
      </c>
      <c r="AB97" s="230">
        <f>AB$93*'Ethylene recycling rates'!AD61</f>
        <v>0.60110187369195478</v>
      </c>
      <c r="AC97" s="230">
        <f>AC$93*'Ethylene recycling rates'!AE61</f>
        <v>0.62801216202778487</v>
      </c>
      <c r="AD97" s="230">
        <f>AD$93*'Ethylene recycling rates'!AF61</f>
        <v>0.65207642930862064</v>
      </c>
      <c r="AE97" s="230">
        <f>AE$93*'Ethylene recycling rates'!AG61</f>
        <v>0.67285790238584409</v>
      </c>
      <c r="AF97" s="230">
        <f>AF$93*'Ethylene recycling rates'!AH61</f>
        <v>0.68990618306464302</v>
      </c>
      <c r="AG97" s="230">
        <f>AG$93*'Ethylene recycling rates'!AI61</f>
        <v>0.70275733910338967</v>
      </c>
      <c r="AH97" s="245"/>
      <c r="AI97" s="133"/>
      <c r="AJ97" s="211"/>
      <c r="AL97" s="108"/>
      <c r="AM97" s="2"/>
      <c r="AN97" s="2"/>
      <c r="AO97" s="2"/>
      <c r="BC97" s="1"/>
      <c r="BD97" s="2"/>
      <c r="BE97" s="2"/>
      <c r="BF97" s="2"/>
      <c r="BG97" s="2"/>
      <c r="BH97" s="2"/>
      <c r="BI97" s="2"/>
      <c r="BJ97" s="2"/>
      <c r="BK97" s="2"/>
    </row>
    <row r="98" spans="1:63" outlineLevel="1" x14ac:dyDescent="0.2">
      <c r="A98" s="4" t="s">
        <v>248</v>
      </c>
      <c r="C98" s="230">
        <f>C$93*'Ethylene recycling rates'!E62</f>
        <v>0</v>
      </c>
      <c r="D98" s="230">
        <f>D$93*'Ethylene recycling rates'!F62</f>
        <v>1.1783658652918713E-2</v>
      </c>
      <c r="E98" s="230">
        <f>E$93*'Ethylene recycling rates'!G62</f>
        <v>2.4798128160330859E-2</v>
      </c>
      <c r="F98" s="230">
        <f>F$93*'Ethylene recycling rates'!H62</f>
        <v>3.8988472835613526E-2</v>
      </c>
      <c r="G98" s="230">
        <f>G$93*'Ethylene recycling rates'!I62</f>
        <v>5.4280677953801162E-2</v>
      </c>
      <c r="H98" s="230">
        <f>H$93*'Ethylene recycling rates'!J62</f>
        <v>7.0582021148052274E-2</v>
      </c>
      <c r="I98" s="230">
        <f>I$93*'Ethylene recycling rates'!K62</f>
        <v>8.7971205563742536E-2</v>
      </c>
      <c r="J98" s="230">
        <f>J$93*'Ethylene recycling rates'!L62</f>
        <v>0.10643824884533898</v>
      </c>
      <c r="K98" s="230">
        <f>K$93*'Ethylene recycling rates'!M62</f>
        <v>0.12596854837457769</v>
      </c>
      <c r="L98" s="230">
        <f>L$93*'Ethylene recycling rates'!N62</f>
        <v>0.1465427538697108</v>
      </c>
      <c r="M98" s="230">
        <f>M$93*'Ethylene recycling rates'!O62</f>
        <v>0.16813665604959796</v>
      </c>
      <c r="N98" s="230">
        <f>N$93*'Ethylene recycling rates'!P62</f>
        <v>0.19430395338265918</v>
      </c>
      <c r="O98" s="230">
        <f>O$93*'Ethylene recycling rates'!Q62</f>
        <v>0.22233854287297902</v>
      </c>
      <c r="P98" s="230">
        <f>P$93*'Ethylene recycling rates'!R62</f>
        <v>0.25009597326510197</v>
      </c>
      <c r="Q98" s="230">
        <f>Q$93*'Ethylene recycling rates'!S62</f>
        <v>0.27815838773954094</v>
      </c>
      <c r="R98" s="230">
        <f>R$93*'Ethylene recycling rates'!T62</f>
        <v>0.30619939770802129</v>
      </c>
      <c r="S98" s="230">
        <f>S$93*'Ethylene recycling rates'!U62</f>
        <v>0.3344820627227103</v>
      </c>
      <c r="T98" s="230">
        <f>T$93*'Ethylene recycling rates'!V62</f>
        <v>0.36281122307452002</v>
      </c>
      <c r="U98" s="230">
        <f>U$93*'Ethylene recycling rates'!W62</f>
        <v>0.39098311526255214</v>
      </c>
      <c r="V98" s="230">
        <f>V$93*'Ethylene recycling rates'!X62</f>
        <v>0.41878537777342428</v>
      </c>
      <c r="W98" s="230">
        <f>W$93*'Ethylene recycling rates'!Y62</f>
        <v>0.44599706782894394</v>
      </c>
      <c r="X98" s="230">
        <f>X$93*'Ethylene recycling rates'!Z62</f>
        <v>0.47322853054436681</v>
      </c>
      <c r="Y98" s="230">
        <f>Y$93*'Ethylene recycling rates'!AA62</f>
        <v>0.50744239952515113</v>
      </c>
      <c r="Z98" s="230">
        <f>Z$93*'Ethylene recycling rates'!AB62</f>
        <v>0.54041666287054735</v>
      </c>
      <c r="AA98" s="230">
        <f>AA$93*'Ethylene recycling rates'!AC62</f>
        <v>0.57176863716654514</v>
      </c>
      <c r="AB98" s="230">
        <f>AB$93*'Ethylene recycling rates'!AD62</f>
        <v>0.60110187369195478</v>
      </c>
      <c r="AC98" s="230">
        <f>AC$93*'Ethylene recycling rates'!AE62</f>
        <v>0.62801216202778487</v>
      </c>
      <c r="AD98" s="230">
        <f>AD$93*'Ethylene recycling rates'!AF62</f>
        <v>0.65207642930862064</v>
      </c>
      <c r="AE98" s="230">
        <f>AE$93*'Ethylene recycling rates'!AG62</f>
        <v>0.67285790238584409</v>
      </c>
      <c r="AF98" s="230">
        <f>AF$93*'Ethylene recycling rates'!AH62</f>
        <v>0.68990618306464302</v>
      </c>
      <c r="AG98" s="230">
        <f>AG$93*'Ethylene recycling rates'!AI62</f>
        <v>0.70275733910338967</v>
      </c>
      <c r="AH98" s="245"/>
      <c r="AI98" s="133"/>
      <c r="AJ98" s="211"/>
      <c r="AL98" s="108"/>
      <c r="AM98" s="2"/>
      <c r="AN98" s="2"/>
      <c r="AO98" s="2"/>
      <c r="BC98" s="1"/>
      <c r="BD98" s="2"/>
      <c r="BE98" s="2"/>
      <c r="BF98" s="2"/>
      <c r="BG98" s="2"/>
      <c r="BH98" s="2"/>
      <c r="BI98" s="2"/>
      <c r="BJ98" s="2"/>
      <c r="BK98" s="2"/>
    </row>
    <row r="99" spans="1:63" s="1" customFormat="1" outlineLevel="1" x14ac:dyDescent="0.2">
      <c r="A99" s="1" t="s">
        <v>1329</v>
      </c>
      <c r="B99" s="65"/>
      <c r="C99" s="300">
        <f>C72*C45</f>
        <v>1.1377817727849049</v>
      </c>
      <c r="D99" s="300">
        <f t="shared" ref="D99:AG99" si="81">D72*D45</f>
        <v>1.1978686259109264</v>
      </c>
      <c r="E99" s="300">
        <f t="shared" si="81"/>
        <v>1.256179705471351</v>
      </c>
      <c r="F99" s="300">
        <f t="shared" si="81"/>
        <v>1.312250063714405</v>
      </c>
      <c r="G99" s="300">
        <f t="shared" si="81"/>
        <v>1.3656222039550059</v>
      </c>
      <c r="H99" s="300">
        <f t="shared" si="81"/>
        <v>1.4158521854418029</v>
      </c>
      <c r="I99" s="300">
        <f t="shared" si="81"/>
        <v>1.4656709813400153</v>
      </c>
      <c r="J99" s="300">
        <f t="shared" si="81"/>
        <v>1.514973535609299</v>
      </c>
      <c r="K99" s="300">
        <f t="shared" si="81"/>
        <v>1.5636532208969591</v>
      </c>
      <c r="L99" s="300">
        <f t="shared" si="81"/>
        <v>1.6116021020801992</v>
      </c>
      <c r="M99" s="300">
        <f t="shared" si="81"/>
        <v>1.6587112109666116</v>
      </c>
      <c r="N99" s="300">
        <f t="shared" si="81"/>
        <v>1.7368983066473813</v>
      </c>
      <c r="O99" s="300">
        <f t="shared" si="81"/>
        <v>1.8159365152431932</v>
      </c>
      <c r="P99" s="300">
        <f t="shared" si="81"/>
        <v>1.8793896413931648</v>
      </c>
      <c r="Q99" s="300">
        <f t="shared" si="81"/>
        <v>1.9346772401150032</v>
      </c>
      <c r="R99" s="300">
        <f t="shared" si="81"/>
        <v>1.9813123377240398</v>
      </c>
      <c r="S99" s="300">
        <f t="shared" si="81"/>
        <v>2.0225195195174166</v>
      </c>
      <c r="T99" s="300">
        <f t="shared" si="81"/>
        <v>2.0581459195546663</v>
      </c>
      <c r="U99" s="300">
        <f t="shared" si="81"/>
        <v>2.0880401121517833</v>
      </c>
      <c r="V99" s="300">
        <f t="shared" si="81"/>
        <v>2.1120522531956647</v>
      </c>
      <c r="W99" s="300">
        <f t="shared" si="81"/>
        <v>2.1300342220237281</v>
      </c>
      <c r="X99" s="300">
        <f t="shared" si="81"/>
        <v>2.1456476562238596</v>
      </c>
      <c r="Y99" s="300">
        <f t="shared" si="81"/>
        <v>2.189260381536609</v>
      </c>
      <c r="Z99" s="300">
        <f t="shared" si="81"/>
        <v>2.2231314212831914</v>
      </c>
      <c r="AA99" s="300">
        <f t="shared" si="81"/>
        <v>2.2470282221458646</v>
      </c>
      <c r="AB99" s="300">
        <f t="shared" si="81"/>
        <v>2.2607210874576942</v>
      </c>
      <c r="AC99" s="300">
        <f t="shared" si="81"/>
        <v>2.2640047860187931</v>
      </c>
      <c r="AD99" s="300">
        <f t="shared" si="81"/>
        <v>2.2566557675610537</v>
      </c>
      <c r="AE99" s="300">
        <f t="shared" si="81"/>
        <v>2.2384533353671641</v>
      </c>
      <c r="AF99" s="300">
        <f t="shared" si="81"/>
        <v>2.2091798289096563</v>
      </c>
      <c r="AG99" s="300">
        <f t="shared" si="81"/>
        <v>2.1686208065525627</v>
      </c>
      <c r="AH99" s="422"/>
      <c r="AI99" s="423"/>
      <c r="AJ99" s="424"/>
      <c r="AL99" s="221"/>
      <c r="AM99" s="124"/>
      <c r="AN99" s="124"/>
      <c r="AO99" s="124"/>
      <c r="BD99" s="124"/>
      <c r="BE99" s="124"/>
      <c r="BF99" s="124"/>
      <c r="BG99" s="124"/>
      <c r="BH99" s="124"/>
      <c r="BI99" s="124"/>
      <c r="BJ99" s="124"/>
      <c r="BK99" s="124"/>
    </row>
    <row r="100" spans="1:63" outlineLevel="1" x14ac:dyDescent="0.2">
      <c r="A100" s="4" t="s">
        <v>258</v>
      </c>
      <c r="C100" s="230">
        <f>C$99*'Ethylene recycling rates'!E63</f>
        <v>0.81650485855002186</v>
      </c>
      <c r="D100" s="230">
        <f>D$99*'Ethylene recycling rates'!F63</f>
        <v>0.86728877586838082</v>
      </c>
      <c r="E100" s="230">
        <f>E$99*'Ethylene recycling rates'!G63</f>
        <v>0.91754448626838392</v>
      </c>
      <c r="F100" s="230">
        <f>F$99*'Ethylene recycling rates'!H63</f>
        <v>0.96689532203516948</v>
      </c>
      <c r="G100" s="230">
        <f>G$99*'Ethylene recycling rates'!I63</f>
        <v>1.0149582544457101</v>
      </c>
      <c r="H100" s="230">
        <f>H$99*'Ethylene recycling rates'!J63</f>
        <v>1.0613487084454825</v>
      </c>
      <c r="I100" s="230">
        <f>I$99*'Ethylene recycling rates'!K63</f>
        <v>1.1080710342076974</v>
      </c>
      <c r="J100" s="230">
        <f>J$99*'Ethylene recycling rates'!L63</f>
        <v>1.1550372433251925</v>
      </c>
      <c r="K100" s="230">
        <f>K$99*'Ethylene recycling rates'!M63</f>
        <v>1.2021554507866481</v>
      </c>
      <c r="L100" s="230">
        <f>L$99*'Ethylene recycling rates'!N63</f>
        <v>1.2493300290115203</v>
      </c>
      <c r="M100" s="230">
        <f>M$99*'Ethylene recycling rates'!O63</f>
        <v>1.2964617807230758</v>
      </c>
      <c r="N100" s="230">
        <f>N$99*'Ethylene recycling rates'!P63</f>
        <v>1.3686859673306992</v>
      </c>
      <c r="O100" s="230">
        <f>O$99*'Ethylene recycling rates'!Q63</f>
        <v>1.4425867506750343</v>
      </c>
      <c r="P100" s="230">
        <f>P$99*'Ethylene recycling rates'!R63</f>
        <v>1.5050183343718315</v>
      </c>
      <c r="Q100" s="230">
        <f>Q$99*'Ethylene recycling rates'!S63</f>
        <v>1.5616706437699837</v>
      </c>
      <c r="R100" s="230">
        <f>R$99*'Ethylene recycling rates'!T63</f>
        <v>1.611990751143678</v>
      </c>
      <c r="S100" s="230">
        <f>S$99*'Ethylene recycling rates'!U63</f>
        <v>1.6584567276319362</v>
      </c>
      <c r="T100" s="230">
        <f>T$99*'Ethylene recycling rates'!V63</f>
        <v>1.7008380637387344</v>
      </c>
      <c r="U100" s="230">
        <f>U$99*'Ethylene recycling rates'!W63</f>
        <v>1.7389015373052217</v>
      </c>
      <c r="V100" s="230">
        <f>V$99*'Ethylene recycling rates'!X63</f>
        <v>1.7724113781724926</v>
      </c>
      <c r="W100" s="230">
        <f>W$99*'Ethylene recycling rates'!Y63</f>
        <v>1.8011294387469747</v>
      </c>
      <c r="X100" s="230">
        <f>X$99*'Ethylene recycling rates'!Z63</f>
        <v>1.8280596376962179</v>
      </c>
      <c r="Y100" s="230">
        <f>Y$99*'Ethylene recycling rates'!AA63</f>
        <v>1.8792237371253797</v>
      </c>
      <c r="Z100" s="230">
        <f>Z$99*'Ethylene recycling rates'!AB63</f>
        <v>1.9225214748480117</v>
      </c>
      <c r="AA100" s="230">
        <f>AA$99*'Ethylene recycling rates'!AC63</f>
        <v>1.9575632757970471</v>
      </c>
      <c r="AB100" s="230">
        <f>AB$99*'Ethylene recycling rates'!AD63</f>
        <v>1.9839561204061247</v>
      </c>
      <c r="AC100" s="230">
        <f>AC$99*'Ethylene recycling rates'!AE63</f>
        <v>2.0013227376375045</v>
      </c>
      <c r="AD100" s="230">
        <f>AD$99*'Ethylene recycling rates'!AF63</f>
        <v>2.0092642934477998</v>
      </c>
      <c r="AE100" s="230">
        <f>AE$99*'Ethylene recycling rates'!AG63</f>
        <v>2.0073787917473318</v>
      </c>
      <c r="AF100" s="230">
        <f>AF$99*'Ethylene recycling rates'!AH63</f>
        <v>1.9952613306378824</v>
      </c>
      <c r="AG100" s="230">
        <f>AG$99*'Ethylene recycling rates'!AI63</f>
        <v>1.9725043657184427</v>
      </c>
      <c r="AH100" s="245"/>
      <c r="AI100" s="133"/>
      <c r="AJ100" s="211"/>
      <c r="AL100" s="108"/>
      <c r="AM100" s="2"/>
      <c r="AN100" s="2"/>
      <c r="AO100" s="2"/>
      <c r="BC100" s="1"/>
      <c r="BD100" s="2"/>
      <c r="BE100" s="2"/>
      <c r="BF100" s="2"/>
      <c r="BG100" s="2"/>
      <c r="BH100" s="2"/>
      <c r="BI100" s="2"/>
      <c r="BJ100" s="2"/>
      <c r="BK100" s="2"/>
    </row>
    <row r="101" spans="1:63" outlineLevel="1" x14ac:dyDescent="0.2">
      <c r="A101" s="4" t="s">
        <v>478</v>
      </c>
      <c r="C101" s="230">
        <f>C$99*'Ethylene recycling rates'!E64</f>
        <v>0.29647374042384816</v>
      </c>
      <c r="D101" s="230">
        <f>D$99*'Ethylene recycling rates'!F64</f>
        <v>0.30245647499188161</v>
      </c>
      <c r="E101" s="230">
        <f>E$99*'Ethylene recycling rates'!G64</f>
        <v>0.30703463197349035</v>
      </c>
      <c r="F101" s="230">
        <f>F$99*'Ethylene recycling rates'!H64</f>
        <v>0.31014134852657443</v>
      </c>
      <c r="G101" s="230">
        <f>G$99*'Ethylene recycling rates'!I64</f>
        <v>0.31172648264358932</v>
      </c>
      <c r="H101" s="230">
        <f>H$99*'Ethylene recycling rates'!J64</f>
        <v>0.3117576565065589</v>
      </c>
      <c r="I101" s="230">
        <f>I$99*'Ethylene recycling rates'!K64</f>
        <v>0.3108902794116617</v>
      </c>
      <c r="J101" s="230">
        <f>J$99*'Ethylene recycling rates'!L64</f>
        <v>0.30911287830859202</v>
      </c>
      <c r="K101" s="230">
        <f>K$99*'Ethylene recycling rates'!M64</f>
        <v>0.30641706603391183</v>
      </c>
      <c r="L101" s="230">
        <f>L$99*'Ethylene recycling rates'!N64</f>
        <v>0.30279765427796529</v>
      </c>
      <c r="M101" s="230">
        <f>M$99*'Ethylene recycling rates'!O64</f>
        <v>0.2982527557876723</v>
      </c>
      <c r="N101" s="230">
        <f>N$99*'Ethylene recycling rates'!P64</f>
        <v>0.29828407373353716</v>
      </c>
      <c r="O101" s="230">
        <f>O$99*'Ethylene recycling rates'!Q64</f>
        <v>0.29719177706502514</v>
      </c>
      <c r="P101" s="230">
        <f>P$99*'Ethylene recycling rates'!R64</f>
        <v>0.29239807822247177</v>
      </c>
      <c r="Q101" s="230">
        <f>Q$99*'Ethylene recycling rates'!S64</f>
        <v>0.28537500401475735</v>
      </c>
      <c r="R101" s="230">
        <f>R$99*'Ethylene recycling rates'!T64</f>
        <v>0.27625249490602055</v>
      </c>
      <c r="S101" s="230">
        <f>S$99*'Ethylene recycling rates'!U64</f>
        <v>0.26566374683419536</v>
      </c>
      <c r="T101" s="230">
        <f>T$99*'Ethylene recycling rates'!V64</f>
        <v>0.25372142542300724</v>
      </c>
      <c r="U101" s="230">
        <f>U$99*'Ethylene recycling rates'!W64</f>
        <v>0.24054330050422609</v>
      </c>
      <c r="V101" s="230">
        <f>V$99*'Ethylene recycling rates'!X64</f>
        <v>0.22625220309704952</v>
      </c>
      <c r="W101" s="230">
        <f>W$99*'Ethylene recycling rates'!Y64</f>
        <v>0.21097597559578338</v>
      </c>
      <c r="X101" s="230">
        <f>X$99*'Ethylene recycling rates'!Z64</f>
        <v>0.19519382666054941</v>
      </c>
      <c r="Y101" s="230">
        <f>Y$99*'Ethylene recycling rates'!AA64</f>
        <v>0.18148050785464342</v>
      </c>
      <c r="Z101" s="230">
        <f>Z$99*'Ethylene recycling rates'!AB64</f>
        <v>0.16633387152946608</v>
      </c>
      <c r="AA101" s="230">
        <f>AA$99*'Ethylene recycling rates'!AC64</f>
        <v>0.14997442301312902</v>
      </c>
      <c r="AB101" s="230">
        <f>AB$99*'Ethylene recycling rates'!AD64</f>
        <v>0.1326303477929712</v>
      </c>
      <c r="AC101" s="230">
        <f>AC$99*'Ethylene recycling rates'!AE64</f>
        <v>0.11453848937521988</v>
      </c>
      <c r="AD101" s="230">
        <f>AD$99*'Ethylene recycling rates'!AF64</f>
        <v>9.5941542366592386E-2</v>
      </c>
      <c r="AE101" s="230">
        <f>AE$99*'Ethylene recycling rates'!AG64</f>
        <v>7.7089521372917025E-2</v>
      </c>
      <c r="AF101" s="230">
        <f>AF$99*'Ethylene recycling rates'!AH64</f>
        <v>5.8239650585056403E-2</v>
      </c>
      <c r="AG101" s="230">
        <f>AG$99*'Ethylene recycling rates'!AI64</f>
        <v>3.9656244515823932E-2</v>
      </c>
      <c r="AH101" s="245"/>
      <c r="AI101" s="133"/>
      <c r="AJ101" s="211"/>
      <c r="AL101" s="108"/>
      <c r="AM101" s="2"/>
      <c r="AN101" s="2"/>
      <c r="AO101" s="2"/>
      <c r="BC101" s="1"/>
      <c r="BD101" s="2"/>
      <c r="BE101" s="2"/>
      <c r="BF101" s="2"/>
      <c r="BG101" s="2"/>
      <c r="BH101" s="2"/>
      <c r="BI101" s="2"/>
      <c r="BJ101" s="2"/>
      <c r="BK101" s="2"/>
    </row>
    <row r="102" spans="1:63" outlineLevel="1" x14ac:dyDescent="0.2">
      <c r="A102" s="4" t="s">
        <v>480</v>
      </c>
      <c r="C102" s="230">
        <f>C$99*'Ethylene recycling rates'!E65</f>
        <v>0</v>
      </c>
      <c r="D102" s="230">
        <f>D$99*'Ethylene recycling rates'!F65</f>
        <v>8.9071957875386427E-4</v>
      </c>
      <c r="E102" s="230">
        <f>E$99*'Ethylene recycling rates'!G65</f>
        <v>1.8681578829159466E-3</v>
      </c>
      <c r="F102" s="230">
        <f>F$99*'Ethylene recycling rates'!H65</f>
        <v>2.9273163985305229E-3</v>
      </c>
      <c r="G102" s="230">
        <f>G$99*'Ethylene recycling rates'!I65</f>
        <v>4.0618358572292292E-3</v>
      </c>
      <c r="H102" s="230">
        <f>H$99*'Ethylene recycling rates'!J65</f>
        <v>5.2640466363138485E-3</v>
      </c>
      <c r="I102" s="230">
        <f>I$99*'Ethylene recycling rates'!K65</f>
        <v>6.5391236276757699E-3</v>
      </c>
      <c r="J102" s="230">
        <f>J$99*'Ethylene recycling rates'!L65</f>
        <v>7.8856027463320242E-3</v>
      </c>
      <c r="K102" s="230">
        <f>K$99*'Ethylene recycling rates'!M65</f>
        <v>9.3016980868019117E-3</v>
      </c>
      <c r="L102" s="230">
        <f>L$99*'Ethylene recycling rates'!N65</f>
        <v>1.0785297844768945E-2</v>
      </c>
      <c r="M102" s="230">
        <f>M$99*'Ethylene recycling rates'!O65</f>
        <v>1.2333961497513628E-2</v>
      </c>
      <c r="N102" s="230">
        <f>N$99*'Ethylene recycling rates'!P65</f>
        <v>1.4206885663648116E-2</v>
      </c>
      <c r="O102" s="230">
        <f>O$99*'Ethylene recycling rates'!Q65</f>
        <v>1.6203682169281097E-2</v>
      </c>
      <c r="P102" s="230">
        <f>P$99*'Ethylene recycling rates'!R65</f>
        <v>1.8167367001118432E-2</v>
      </c>
      <c r="Q102" s="230">
        <f>Q$99*'Ethylene recycling rates'!S65</f>
        <v>2.014041275220186E-2</v>
      </c>
      <c r="R102" s="230">
        <f>R$99*'Ethylene recycling rates'!T65</f>
        <v>2.2099172471797688E-2</v>
      </c>
      <c r="S102" s="230">
        <f>S$99*'Ethylene recycling rates'!U65</f>
        <v>2.4062708654062116E-2</v>
      </c>
      <c r="T102" s="230">
        <f>T$99*'Ethylene recycling rates'!V65</f>
        <v>2.6016980540295595E-2</v>
      </c>
      <c r="U102" s="230">
        <f>U$99*'Ethylene recycling rates'!W65</f>
        <v>2.7947511972481978E-2</v>
      </c>
      <c r="V102" s="230">
        <f>V$99*'Ethylene recycling rates'!X65</f>
        <v>2.9839398744580834E-2</v>
      </c>
      <c r="W102" s="230">
        <f>W$99*'Ethylene recycling rates'!Y65</f>
        <v>3.1677316592702398E-2</v>
      </c>
      <c r="X102" s="230">
        <f>X$99*'Ethylene recycling rates'!Z65</f>
        <v>3.3504991314138484E-2</v>
      </c>
      <c r="Y102" s="230">
        <f>Y$99*'Ethylene recycling rates'!AA65</f>
        <v>3.5813923946394405E-2</v>
      </c>
      <c r="Z102" s="230">
        <f>Z$99*'Ethylene recycling rates'!AB65</f>
        <v>3.8021109098004789E-2</v>
      </c>
      <c r="AA102" s="230">
        <f>AA$99*'Ethylene recycling rates'!AC65</f>
        <v>4.0100665228575194E-2</v>
      </c>
      <c r="AB102" s="230">
        <f>AB$99*'Ethylene recycling rates'!AD65</f>
        <v>4.2026072207396487E-2</v>
      </c>
      <c r="AC102" s="230">
        <f>AC$99*'Ethylene recycling rates'!AE65</f>
        <v>4.3770599703212378E-2</v>
      </c>
      <c r="AD102" s="230">
        <f>AD$99*'Ethylene recycling rates'!AF65</f>
        <v>4.5306539166546346E-2</v>
      </c>
      <c r="AE102" s="230">
        <f>AE$99*'Ethylene recycling rates'!AG65</f>
        <v>4.6605576543772995E-2</v>
      </c>
      <c r="AF102" s="230">
        <f>AF$99*'Ethylene recycling rates'!AH65</f>
        <v>4.7638806824867728E-2</v>
      </c>
      <c r="AG102" s="230">
        <f>AG$99*'Ethylene recycling rates'!AI65</f>
        <v>4.8376749407401221E-2</v>
      </c>
      <c r="AH102" s="245"/>
      <c r="AI102" s="133"/>
      <c r="AJ102" s="211"/>
      <c r="AL102" s="108"/>
      <c r="AM102" s="2"/>
      <c r="AN102" s="2"/>
      <c r="AO102" s="2"/>
      <c r="BC102" s="1"/>
      <c r="BD102" s="2"/>
      <c r="BE102" s="2"/>
      <c r="BF102" s="2"/>
      <c r="BG102" s="2"/>
      <c r="BH102" s="2"/>
      <c r="BI102" s="2"/>
      <c r="BJ102" s="2"/>
      <c r="BK102" s="2"/>
    </row>
    <row r="103" spans="1:63" outlineLevel="1" x14ac:dyDescent="0.2">
      <c r="A103" s="4" t="s">
        <v>474</v>
      </c>
      <c r="C103" s="230">
        <f>C$99*'Ethylene recycling rates'!E66</f>
        <v>2.4803173811034907E-2</v>
      </c>
      <c r="D103" s="230">
        <f>D$99*'Ethylene recycling rates'!F66</f>
        <v>2.7192891205001433E-2</v>
      </c>
      <c r="E103" s="230">
        <f>E$99*'Ethylene recycling rates'!G66</f>
        <v>2.9649029441073574E-2</v>
      </c>
      <c r="F103" s="230">
        <f>F$99*'Ethylene recycling rates'!H66</f>
        <v>3.2155392986339133E-2</v>
      </c>
      <c r="G103" s="230">
        <f>G$99*'Ethylene recycling rates'!I66</f>
        <v>3.469429905056539E-2</v>
      </c>
      <c r="H103" s="230">
        <f>H$99*'Ethylene recycling rates'!J66</f>
        <v>3.7246771771469477E-2</v>
      </c>
      <c r="I103" s="230">
        <f>I$99*'Ethylene recycling rates'!K66</f>
        <v>3.9878618931030736E-2</v>
      </c>
      <c r="J103" s="230">
        <f>J$99*'Ethylene recycling rates'!L66</f>
        <v>4.2585775392292878E-2</v>
      </c>
      <c r="K103" s="230">
        <f>K$99*'Ethylene recycling rates'!M66</f>
        <v>4.5363751610722508E-2</v>
      </c>
      <c r="L103" s="230">
        <f>L$99*'Ethylene recycling rates'!N66</f>
        <v>4.8207634435017702E-2</v>
      </c>
      <c r="M103" s="230">
        <f>M$99*'Ethylene recycling rates'!O66</f>
        <v>5.1112089677211023E-2</v>
      </c>
      <c r="N103" s="230">
        <f>N$99*'Ethylene recycling rates'!P66</f>
        <v>5.5087143952369959E-2</v>
      </c>
      <c r="O103" s="230">
        <f>O$99*'Ethylene recycling rates'!Q66</f>
        <v>5.9230926665581531E-2</v>
      </c>
      <c r="P103" s="230">
        <f>P$99*'Ethylene recycling rates'!R66</f>
        <v>6.2994818628050703E-2</v>
      </c>
      <c r="Q103" s="230">
        <f>Q$99*'Ethylene recycling rates'!S66</f>
        <v>6.6592054008765972E-2</v>
      </c>
      <c r="R103" s="230">
        <f>R$99*'Ethylene recycling rates'!T66</f>
        <v>6.9983349002910394E-2</v>
      </c>
      <c r="S103" s="230">
        <f>S$99*'Ethylene recycling rates'!U66</f>
        <v>7.3262108332310033E-2</v>
      </c>
      <c r="T103" s="230">
        <f>T$99*'Ethylene recycling rates'!V66</f>
        <v>7.6407977507080838E-2</v>
      </c>
      <c r="U103" s="230">
        <f>U$99*'Ethylene recycling rates'!W66</f>
        <v>7.9400105585368516E-2</v>
      </c>
      <c r="V103" s="230">
        <f>V$99*'Ethylene recycling rates'!X66</f>
        <v>8.221715716615953E-2</v>
      </c>
      <c r="W103" s="230">
        <f>W$99*'Ethylene recycling rates'!Y66</f>
        <v>8.4837325168951247E-2</v>
      </c>
      <c r="X103" s="230">
        <f>X$99*'Ethylene recycling rates'!Z66</f>
        <v>8.7393442012144801E-2</v>
      </c>
      <c r="Y103" s="230">
        <f>Y$99*'Ethylene recycling rates'!AA66</f>
        <v>9.1143376719728345E-2</v>
      </c>
      <c r="Z103" s="230">
        <f>Z$99*'Ethylene recycling rates'!AB66</f>
        <v>9.4557594865834774E-2</v>
      </c>
      <c r="AA103" s="230">
        <f>AA$99*'Ethylene recycling rates'!AC66</f>
        <v>9.7599649837981514E-2</v>
      </c>
      <c r="AB103" s="230">
        <f>AB$99*'Ethylene recycling rates'!AD66</f>
        <v>0.10023238311337292</v>
      </c>
      <c r="AC103" s="230">
        <f>AC$99*'Ethylene recycling rates'!AE66</f>
        <v>0.1024189146732499</v>
      </c>
      <c r="AD103" s="230">
        <f>AD$99*'Ethylene recycling rates'!AF66</f>
        <v>0.10412077922446739</v>
      </c>
      <c r="AE103" s="230">
        <f>AE$99*'Ethylene recycling rates'!AG66</f>
        <v>0.10529883960743945</v>
      </c>
      <c r="AF103" s="230">
        <f>AF$99*'Ethylene recycling rates'!AH66</f>
        <v>0.10591330841431261</v>
      </c>
      <c r="AG103" s="230">
        <f>AG$99*'Ethylene recycling rates'!AI66</f>
        <v>0.10592377059806457</v>
      </c>
      <c r="AH103" s="245"/>
      <c r="AI103" s="133"/>
      <c r="AJ103" s="211"/>
      <c r="AL103" s="108"/>
      <c r="AM103" s="2"/>
      <c r="AN103" s="2"/>
      <c r="AO103" s="2"/>
      <c r="BC103" s="1"/>
      <c r="BD103" s="2"/>
      <c r="BE103" s="2"/>
      <c r="BF103" s="2"/>
      <c r="BG103" s="2"/>
      <c r="BH103" s="2"/>
      <c r="BI103" s="2"/>
      <c r="BJ103" s="2"/>
      <c r="BK103" s="2"/>
    </row>
    <row r="104" spans="1:63" outlineLevel="1" x14ac:dyDescent="0.2">
      <c r="A104" s="4" t="s">
        <v>248</v>
      </c>
      <c r="C104" s="230">
        <f>C$99*'Ethylene recycling rates'!E67</f>
        <v>0</v>
      </c>
      <c r="D104" s="230">
        <f>D$99*'Ethylene recycling rates'!F67</f>
        <v>3.9764266908654657E-5</v>
      </c>
      <c r="E104" s="230">
        <f>E$99*'Ethylene recycling rates'!G67</f>
        <v>8.3399905487319042E-5</v>
      </c>
      <c r="F104" s="230">
        <f>F$99*'Ethylene recycling rates'!H67</f>
        <v>1.3068376779154118E-4</v>
      </c>
      <c r="G104" s="230">
        <f>G$99*'Ethylene recycling rates'!I67</f>
        <v>1.8133195791201914E-4</v>
      </c>
      <c r="H104" s="230">
        <f>H$99*'Ethylene recycling rates'!J67</f>
        <v>2.3500208197829682E-4</v>
      </c>
      <c r="I104" s="230">
        <f>I$99*'Ethylene recycling rates'!K67</f>
        <v>2.9192516194981121E-4</v>
      </c>
      <c r="J104" s="230">
        <f>J$99*'Ethylene recycling rates'!L67</f>
        <v>3.5203583688982258E-4</v>
      </c>
      <c r="K104" s="230">
        <f>K$99*'Ethylene recycling rates'!M67</f>
        <v>4.1525437887508538E-4</v>
      </c>
      <c r="L104" s="230">
        <f>L$99*'Ethylene recycling rates'!N67</f>
        <v>4.8148651092718515E-4</v>
      </c>
      <c r="M104" s="230">
        <f>M$99*'Ethylene recycling rates'!O67</f>
        <v>5.5062328113900138E-4</v>
      </c>
      <c r="N104" s="230">
        <f>N$99*'Ethylene recycling rates'!P67</f>
        <v>6.3423596712714825E-4</v>
      </c>
      <c r="O104" s="230">
        <f>O$99*'Ethylene recycling rates'!Q67</f>
        <v>7.2337866827147765E-4</v>
      </c>
      <c r="P104" s="230">
        <f>P$99*'Ethylene recycling rates'!R67</f>
        <v>8.1104316969278728E-4</v>
      </c>
      <c r="Q104" s="230">
        <f>Q$99*'Ethylene recycling rates'!S67</f>
        <v>8.9912556929472591E-4</v>
      </c>
      <c r="R104" s="230">
        <f>R$99*'Ethylene recycling rates'!T67</f>
        <v>9.8657019963382529E-4</v>
      </c>
      <c r="S104" s="230">
        <f>S$99*'Ethylene recycling rates'!U67</f>
        <v>1.0742280649134871E-3</v>
      </c>
      <c r="T104" s="230">
        <f>T$99*'Ethylene recycling rates'!V67</f>
        <v>1.1614723455489102E-3</v>
      </c>
      <c r="U104" s="230">
        <f>U$99*'Ethylene recycling rates'!W67</f>
        <v>1.247656784485802E-3</v>
      </c>
      <c r="V104" s="230">
        <f>V$99*'Ethylene recycling rates'!X67</f>
        <v>1.3321160153830721E-3</v>
      </c>
      <c r="W104" s="230">
        <f>W$99*'Ethylene recycling rates'!Y67</f>
        <v>1.4141659193170706E-3</v>
      </c>
      <c r="X104" s="230">
        <f>X$99*'Ethylene recycling rates'!Z67</f>
        <v>1.4957585408097529E-3</v>
      </c>
      <c r="Y104" s="230">
        <f>Y$99*'Ethylene recycling rates'!AA67</f>
        <v>1.5988358904640348E-3</v>
      </c>
      <c r="Z104" s="230">
        <f>Z$99*'Ethylene recycling rates'!AB67</f>
        <v>1.6973709418752127E-3</v>
      </c>
      <c r="AA104" s="230">
        <f>AA$99*'Ethylene recycling rates'!AC67</f>
        <v>1.7902082691328197E-3</v>
      </c>
      <c r="AB104" s="230">
        <f>AB$99*'Ethylene recycling rates'!AD67</f>
        <v>1.8761639378301986E-3</v>
      </c>
      <c r="AC104" s="230">
        <f>AC$99*'Ethylene recycling rates'!AE67</f>
        <v>1.9540446296076935E-3</v>
      </c>
      <c r="AD104" s="230">
        <f>AD$99*'Ethylene recycling rates'!AF67</f>
        <v>2.0226133556493883E-3</v>
      </c>
      <c r="AE104" s="230">
        <f>AE$99*'Ethylene recycling rates'!AG67</f>
        <v>2.0806060957041495E-3</v>
      </c>
      <c r="AF104" s="230">
        <f>AF$99*'Ethylene recycling rates'!AH67</f>
        <v>2.1267324475387358E-3</v>
      </c>
      <c r="AG104" s="230">
        <f>AG$99*'Ethylene recycling rates'!AI67</f>
        <v>2.1596763128304119E-3</v>
      </c>
      <c r="AH104" s="245"/>
      <c r="AI104" s="133"/>
      <c r="AJ104" s="211"/>
      <c r="AL104" s="108"/>
      <c r="AM104" s="2"/>
      <c r="AN104" s="2"/>
      <c r="AO104" s="2"/>
      <c r="BC104" s="1"/>
      <c r="BD104" s="2"/>
      <c r="BE104" s="2"/>
      <c r="BF104" s="2"/>
      <c r="BG104" s="2"/>
      <c r="BH104" s="2"/>
      <c r="BI104" s="2"/>
      <c r="BJ104" s="2"/>
      <c r="BK104" s="2"/>
    </row>
    <row r="105" spans="1:63" outlineLevel="1" x14ac:dyDescent="0.2">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c r="AD105" s="23"/>
      <c r="AE105" s="23"/>
      <c r="AF105" s="23"/>
      <c r="AG105" s="23"/>
      <c r="AI105" s="134"/>
      <c r="AJ105" s="211"/>
      <c r="AL105" s="108"/>
      <c r="AM105" s="132"/>
      <c r="AN105" s="2"/>
      <c r="AO105" s="2"/>
    </row>
    <row r="106" spans="1:63" s="200" customFormat="1" ht="16" thickBot="1" x14ac:dyDescent="0.25">
      <c r="A106" s="200" t="s">
        <v>1330</v>
      </c>
      <c r="B106" s="215"/>
      <c r="C106" s="222">
        <f>C107</f>
        <v>2.5000000000000001E-2</v>
      </c>
      <c r="D106" s="222">
        <f t="shared" ref="D106:AG106" si="82">D107</f>
        <v>3.1255416735465176E-2</v>
      </c>
      <c r="E106" s="222">
        <f t="shared" si="82"/>
        <v>3.7510833470930344E-2</v>
      </c>
      <c r="F106" s="222">
        <f t="shared" si="82"/>
        <v>4.3766250206395518E-2</v>
      </c>
      <c r="G106" s="222">
        <f t="shared" si="82"/>
        <v>5.0021666941860693E-2</v>
      </c>
      <c r="H106" s="222">
        <f t="shared" si="82"/>
        <v>5.6277083677325861E-2</v>
      </c>
      <c r="I106" s="222">
        <f t="shared" si="82"/>
        <v>6.2532500412791042E-2</v>
      </c>
      <c r="J106" s="222">
        <f t="shared" si="82"/>
        <v>6.8787917148256203E-2</v>
      </c>
      <c r="K106" s="222">
        <f t="shared" si="82"/>
        <v>7.5043333883721378E-2</v>
      </c>
      <c r="L106" s="222">
        <f t="shared" si="82"/>
        <v>8.1298750619186552E-2</v>
      </c>
      <c r="M106" s="222">
        <f t="shared" si="82"/>
        <v>8.7554167354651713E-2</v>
      </c>
      <c r="N106" s="222">
        <f t="shared" si="82"/>
        <v>0.10073866108940137</v>
      </c>
      <c r="O106" s="222">
        <f t="shared" si="82"/>
        <v>0.11392315482415102</v>
      </c>
      <c r="P106" s="222">
        <f t="shared" si="82"/>
        <v>0.12710764855890069</v>
      </c>
      <c r="Q106" s="222">
        <f t="shared" si="82"/>
        <v>0.14029214229365033</v>
      </c>
      <c r="R106" s="222">
        <f t="shared" si="82"/>
        <v>0.1534766360284</v>
      </c>
      <c r="S106" s="222">
        <f t="shared" si="82"/>
        <v>0.16666112976314967</v>
      </c>
      <c r="T106" s="222">
        <f t="shared" si="82"/>
        <v>0.17984562349789934</v>
      </c>
      <c r="U106" s="222">
        <f t="shared" si="82"/>
        <v>0.19303011723264898</v>
      </c>
      <c r="V106" s="222">
        <f t="shared" si="82"/>
        <v>0.20621461096739863</v>
      </c>
      <c r="W106" s="222">
        <f t="shared" si="82"/>
        <v>0.2193991047021483</v>
      </c>
      <c r="X106" s="222">
        <f t="shared" si="82"/>
        <v>0.24145919423193346</v>
      </c>
      <c r="Y106" s="222">
        <f t="shared" si="82"/>
        <v>0.26351928376171863</v>
      </c>
      <c r="Z106" s="222">
        <f t="shared" si="82"/>
        <v>0.28557937329150385</v>
      </c>
      <c r="AA106" s="222">
        <f t="shared" si="82"/>
        <v>0.30763946282128896</v>
      </c>
      <c r="AB106" s="222">
        <f t="shared" si="82"/>
        <v>0.32969955235107418</v>
      </c>
      <c r="AC106" s="222">
        <f t="shared" si="82"/>
        <v>0.35175964188085934</v>
      </c>
      <c r="AD106" s="222">
        <f t="shared" si="82"/>
        <v>0.37381973141064451</v>
      </c>
      <c r="AE106" s="222">
        <f t="shared" si="82"/>
        <v>0.39587982094042967</v>
      </c>
      <c r="AF106" s="222">
        <f t="shared" si="82"/>
        <v>0.41793991047021484</v>
      </c>
      <c r="AG106" s="222">
        <f t="shared" si="82"/>
        <v>0.44</v>
      </c>
      <c r="AJ106" s="231" t="s">
        <v>1331</v>
      </c>
      <c r="AL106" s="217"/>
      <c r="AM106" s="218"/>
      <c r="AN106" s="218"/>
      <c r="AO106" s="218"/>
    </row>
    <row r="107" spans="1:63" ht="16" outlineLevel="1" thickTop="1" x14ac:dyDescent="0.2">
      <c r="A107" t="s">
        <v>1332</v>
      </c>
      <c r="B107" s="54" t="s">
        <v>462</v>
      </c>
      <c r="C107" s="214">
        <v>2.5000000000000001E-2</v>
      </c>
      <c r="D107" s="110">
        <f>$C107+($M107-$C107)/10*(D$1-$C$1)</f>
        <v>3.1255416735465176E-2</v>
      </c>
      <c r="E107" s="110">
        <f t="shared" ref="E107:L107" si="83">$C107+($M107-$C107)/10*(E$1-$C$1)</f>
        <v>3.7510833470930344E-2</v>
      </c>
      <c r="F107" s="110">
        <f t="shared" si="83"/>
        <v>4.3766250206395518E-2</v>
      </c>
      <c r="G107" s="110">
        <f t="shared" si="83"/>
        <v>5.0021666941860693E-2</v>
      </c>
      <c r="H107" s="110">
        <f t="shared" si="83"/>
        <v>5.6277083677325861E-2</v>
      </c>
      <c r="I107" s="110">
        <f t="shared" si="83"/>
        <v>6.2532500412791042E-2</v>
      </c>
      <c r="J107" s="110">
        <f t="shared" si="83"/>
        <v>6.8787917148256203E-2</v>
      </c>
      <c r="K107" s="110">
        <f t="shared" si="83"/>
        <v>7.5043333883721378E-2</v>
      </c>
      <c r="L107" s="110">
        <f t="shared" si="83"/>
        <v>8.1298750619186552E-2</v>
      </c>
      <c r="M107" s="121">
        <f>(M$55-$C$55)/($AG$55-$C$55)*($AG107-$C107)+$C107</f>
        <v>8.7554167354651713E-2</v>
      </c>
      <c r="N107" s="121">
        <f>$M107+($W107-$M107)/10*(N$1-$M$1)</f>
        <v>0.10073866108940137</v>
      </c>
      <c r="O107" s="121">
        <f t="shared" ref="O107:U107" si="84">$M107+($W107-$M107)/10*(O$1-$M$1)</f>
        <v>0.11392315482415102</v>
      </c>
      <c r="P107" s="121">
        <f t="shared" si="84"/>
        <v>0.12710764855890069</v>
      </c>
      <c r="Q107" s="121">
        <f t="shared" si="84"/>
        <v>0.14029214229365033</v>
      </c>
      <c r="R107" s="121">
        <f t="shared" si="84"/>
        <v>0.1534766360284</v>
      </c>
      <c r="S107" s="121">
        <f t="shared" si="84"/>
        <v>0.16666112976314967</v>
      </c>
      <c r="T107" s="121">
        <f t="shared" si="84"/>
        <v>0.17984562349789934</v>
      </c>
      <c r="U107" s="121">
        <f t="shared" si="84"/>
        <v>0.19303011723264898</v>
      </c>
      <c r="V107" s="121">
        <f>$M107+($W107-$M107)/10*(V$1-$M$1)</f>
        <v>0.20621461096739863</v>
      </c>
      <c r="W107" s="121">
        <f>(W$55-$C$55)/($AG$55-$C$55)*($AG107-$C107)+$C107</f>
        <v>0.2193991047021483</v>
      </c>
      <c r="X107" s="110">
        <f>$W107+($AG107-$W107)/10*(X$1-$W$1)</f>
        <v>0.24145919423193346</v>
      </c>
      <c r="Y107" s="110">
        <f t="shared" ref="Y107:AF107" si="85">$W107+($AG107-$W107)/10*(Y$1-$W$1)</f>
        <v>0.26351928376171863</v>
      </c>
      <c r="Z107" s="110">
        <f t="shared" si="85"/>
        <v>0.28557937329150385</v>
      </c>
      <c r="AA107" s="110">
        <f t="shared" si="85"/>
        <v>0.30763946282128896</v>
      </c>
      <c r="AB107" s="110">
        <f t="shared" si="85"/>
        <v>0.32969955235107418</v>
      </c>
      <c r="AC107" s="110">
        <f t="shared" si="85"/>
        <v>0.35175964188085934</v>
      </c>
      <c r="AD107" s="110">
        <f t="shared" si="85"/>
        <v>0.37381973141064451</v>
      </c>
      <c r="AE107" s="110">
        <f t="shared" si="85"/>
        <v>0.39587982094042967</v>
      </c>
      <c r="AF107" s="110">
        <f t="shared" si="85"/>
        <v>0.41793991047021484</v>
      </c>
      <c r="AG107" s="214">
        <v>0.44</v>
      </c>
      <c r="AJ107" s="211" t="s">
        <v>1436</v>
      </c>
    </row>
    <row r="108" spans="1:63" outlineLevel="1" x14ac:dyDescent="0.2">
      <c r="A108" t="s">
        <v>1437</v>
      </c>
      <c r="B108" s="54" t="s">
        <v>462</v>
      </c>
      <c r="C108" s="214">
        <v>0.08</v>
      </c>
      <c r="D108" s="110">
        <f t="shared" ref="D108:AF108" si="86">C108-($C$108-$AG$108)/($AG$1-$C$1)</f>
        <v>0.10400000000000001</v>
      </c>
      <c r="E108" s="110">
        <f t="shared" si="86"/>
        <v>0.128</v>
      </c>
      <c r="F108" s="110">
        <f t="shared" si="86"/>
        <v>0.152</v>
      </c>
      <c r="G108" s="110">
        <f t="shared" si="86"/>
        <v>0.17599999999999999</v>
      </c>
      <c r="H108" s="110">
        <f t="shared" si="86"/>
        <v>0.19999999999999998</v>
      </c>
      <c r="I108" s="110">
        <f t="shared" si="86"/>
        <v>0.22399999999999998</v>
      </c>
      <c r="J108" s="110">
        <f t="shared" si="86"/>
        <v>0.24799999999999997</v>
      </c>
      <c r="K108" s="110">
        <f t="shared" si="86"/>
        <v>0.27199999999999996</v>
      </c>
      <c r="L108" s="110">
        <f t="shared" si="86"/>
        <v>0.29599999999999999</v>
      </c>
      <c r="M108" s="110">
        <f t="shared" si="86"/>
        <v>0.32</v>
      </c>
      <c r="N108" s="110">
        <f t="shared" si="86"/>
        <v>0.34400000000000003</v>
      </c>
      <c r="O108" s="110">
        <f t="shared" si="86"/>
        <v>0.36800000000000005</v>
      </c>
      <c r="P108" s="110">
        <f t="shared" si="86"/>
        <v>0.39200000000000007</v>
      </c>
      <c r="Q108" s="110">
        <f t="shared" si="86"/>
        <v>0.41600000000000009</v>
      </c>
      <c r="R108" s="110">
        <f t="shared" si="86"/>
        <v>0.44000000000000011</v>
      </c>
      <c r="S108" s="110">
        <f t="shared" si="86"/>
        <v>0.46400000000000013</v>
      </c>
      <c r="T108" s="110">
        <f t="shared" si="86"/>
        <v>0.48800000000000016</v>
      </c>
      <c r="U108" s="110">
        <f t="shared" si="86"/>
        <v>0.51200000000000012</v>
      </c>
      <c r="V108" s="110">
        <f t="shared" si="86"/>
        <v>0.53600000000000014</v>
      </c>
      <c r="W108" s="110">
        <f t="shared" si="86"/>
        <v>0.56000000000000016</v>
      </c>
      <c r="X108" s="110">
        <f t="shared" si="86"/>
        <v>0.58400000000000019</v>
      </c>
      <c r="Y108" s="110">
        <f t="shared" si="86"/>
        <v>0.60800000000000021</v>
      </c>
      <c r="Z108" s="110">
        <f t="shared" si="86"/>
        <v>0.63200000000000023</v>
      </c>
      <c r="AA108" s="110">
        <f t="shared" si="86"/>
        <v>0.65600000000000025</v>
      </c>
      <c r="AB108" s="110">
        <f t="shared" si="86"/>
        <v>0.68000000000000027</v>
      </c>
      <c r="AC108" s="110">
        <f t="shared" si="86"/>
        <v>0.70400000000000029</v>
      </c>
      <c r="AD108" s="110">
        <f t="shared" si="86"/>
        <v>0.72800000000000031</v>
      </c>
      <c r="AE108" s="110">
        <f t="shared" si="86"/>
        <v>0.75200000000000033</v>
      </c>
      <c r="AF108" s="110">
        <f t="shared" si="86"/>
        <v>0.77600000000000036</v>
      </c>
      <c r="AG108" s="214">
        <v>0.8</v>
      </c>
      <c r="AI108" s="134"/>
      <c r="AJ108" s="211" t="s">
        <v>1438</v>
      </c>
      <c r="AL108" s="54" t="s">
        <v>1439</v>
      </c>
    </row>
    <row r="109" spans="1:63" outlineLevel="1" x14ac:dyDescent="0.2">
      <c r="A109" t="s">
        <v>1440</v>
      </c>
      <c r="B109" s="176" t="s">
        <v>462</v>
      </c>
      <c r="C109" s="110">
        <f>1-C108</f>
        <v>0.92</v>
      </c>
      <c r="D109" s="110">
        <f t="shared" ref="D109:AG109" si="87">1-D108</f>
        <v>0.89600000000000002</v>
      </c>
      <c r="E109" s="110">
        <f t="shared" si="87"/>
        <v>0.872</v>
      </c>
      <c r="F109" s="110">
        <f t="shared" si="87"/>
        <v>0.84799999999999998</v>
      </c>
      <c r="G109" s="110">
        <f t="shared" si="87"/>
        <v>0.82400000000000007</v>
      </c>
      <c r="H109" s="110">
        <f t="shared" si="87"/>
        <v>0.8</v>
      </c>
      <c r="I109" s="110">
        <f t="shared" si="87"/>
        <v>0.77600000000000002</v>
      </c>
      <c r="J109" s="110">
        <f t="shared" si="87"/>
        <v>0.752</v>
      </c>
      <c r="K109" s="110">
        <f t="shared" si="87"/>
        <v>0.72799999999999998</v>
      </c>
      <c r="L109" s="110">
        <f t="shared" si="87"/>
        <v>0.70399999999999996</v>
      </c>
      <c r="M109" s="110">
        <f t="shared" si="87"/>
        <v>0.67999999999999994</v>
      </c>
      <c r="N109" s="110">
        <f t="shared" si="87"/>
        <v>0.65599999999999992</v>
      </c>
      <c r="O109" s="110">
        <f t="shared" si="87"/>
        <v>0.6319999999999999</v>
      </c>
      <c r="P109" s="110">
        <f t="shared" si="87"/>
        <v>0.60799999999999987</v>
      </c>
      <c r="Q109" s="110">
        <f t="shared" si="87"/>
        <v>0.58399999999999985</v>
      </c>
      <c r="R109" s="110">
        <f t="shared" si="87"/>
        <v>0.55999999999999983</v>
      </c>
      <c r="S109" s="110">
        <f t="shared" si="87"/>
        <v>0.53599999999999981</v>
      </c>
      <c r="T109" s="110">
        <f t="shared" si="87"/>
        <v>0.51199999999999979</v>
      </c>
      <c r="U109" s="110">
        <f t="shared" si="87"/>
        <v>0.48799999999999988</v>
      </c>
      <c r="V109" s="110">
        <f t="shared" si="87"/>
        <v>0.46399999999999986</v>
      </c>
      <c r="W109" s="110">
        <f t="shared" si="87"/>
        <v>0.43999999999999984</v>
      </c>
      <c r="X109" s="110">
        <f t="shared" si="87"/>
        <v>0.41599999999999981</v>
      </c>
      <c r="Y109" s="110">
        <f t="shared" si="87"/>
        <v>0.39199999999999979</v>
      </c>
      <c r="Z109" s="110">
        <f t="shared" si="87"/>
        <v>0.36799999999999977</v>
      </c>
      <c r="AA109" s="110">
        <f t="shared" si="87"/>
        <v>0.34399999999999975</v>
      </c>
      <c r="AB109" s="110">
        <f t="shared" si="87"/>
        <v>0.31999999999999973</v>
      </c>
      <c r="AC109" s="110">
        <f t="shared" si="87"/>
        <v>0.29599999999999971</v>
      </c>
      <c r="AD109" s="110">
        <f t="shared" si="87"/>
        <v>0.27199999999999969</v>
      </c>
      <c r="AE109" s="110">
        <f t="shared" si="87"/>
        <v>0.24799999999999967</v>
      </c>
      <c r="AF109" s="110">
        <f t="shared" si="87"/>
        <v>0.22399999999999964</v>
      </c>
      <c r="AG109" s="110">
        <f t="shared" si="87"/>
        <v>0.19999999999999996</v>
      </c>
      <c r="AI109" s="134"/>
      <c r="AJ109" s="211"/>
      <c r="BD109" s="686"/>
      <c r="BE109" s="686"/>
    </row>
    <row r="110" spans="1:63" outlineLevel="1" x14ac:dyDescent="0.2">
      <c r="A110" t="s">
        <v>1333</v>
      </c>
      <c r="B110" s="54" t="s">
        <v>462</v>
      </c>
      <c r="C110" s="110">
        <f>C107*C108</f>
        <v>2E-3</v>
      </c>
      <c r="D110" s="110">
        <f t="shared" ref="D110:AG110" si="88">D107*D108</f>
        <v>3.2505633404883785E-3</v>
      </c>
      <c r="E110" s="110">
        <f t="shared" si="88"/>
        <v>4.8013866842790843E-3</v>
      </c>
      <c r="F110" s="110">
        <f t="shared" si="88"/>
        <v>6.652470031372119E-3</v>
      </c>
      <c r="G110" s="110">
        <f t="shared" si="88"/>
        <v>8.8038133817674811E-3</v>
      </c>
      <c r="H110" s="110">
        <f t="shared" si="88"/>
        <v>1.125541673546517E-2</v>
      </c>
      <c r="I110" s="110">
        <f t="shared" si="88"/>
        <v>1.4007280092465192E-2</v>
      </c>
      <c r="J110" s="110">
        <f t="shared" si="88"/>
        <v>1.7059403452767536E-2</v>
      </c>
      <c r="K110" s="110">
        <f t="shared" si="88"/>
        <v>2.0411786816372211E-2</v>
      </c>
      <c r="L110" s="110">
        <f t="shared" si="88"/>
        <v>2.4064430183279219E-2</v>
      </c>
      <c r="M110" s="110">
        <f t="shared" si="88"/>
        <v>2.8017333553488549E-2</v>
      </c>
      <c r="N110" s="110">
        <f t="shared" si="88"/>
        <v>3.4654099414754072E-2</v>
      </c>
      <c r="O110" s="110">
        <f t="shared" si="88"/>
        <v>4.1923720975287584E-2</v>
      </c>
      <c r="P110" s="110">
        <f t="shared" si="88"/>
        <v>4.9826198235089082E-2</v>
      </c>
      <c r="Q110" s="110">
        <f t="shared" si="88"/>
        <v>5.8361531194158552E-2</v>
      </c>
      <c r="R110" s="110">
        <f t="shared" si="88"/>
        <v>6.752971985249602E-2</v>
      </c>
      <c r="S110" s="110">
        <f t="shared" si="88"/>
        <v>7.7330764210101474E-2</v>
      </c>
      <c r="T110" s="110">
        <f t="shared" si="88"/>
        <v>8.7764664266974907E-2</v>
      </c>
      <c r="U110" s="110">
        <f t="shared" si="88"/>
        <v>9.8831420023116304E-2</v>
      </c>
      <c r="V110" s="110">
        <f t="shared" si="88"/>
        <v>0.11053103147852569</v>
      </c>
      <c r="W110" s="110">
        <f t="shared" si="88"/>
        <v>0.12286349863320307</v>
      </c>
      <c r="X110" s="110">
        <f t="shared" si="88"/>
        <v>0.14101216943144917</v>
      </c>
      <c r="Y110" s="110">
        <f t="shared" si="88"/>
        <v>0.16021972452712499</v>
      </c>
      <c r="Z110" s="110">
        <f t="shared" si="88"/>
        <v>0.18048616392023051</v>
      </c>
      <c r="AA110" s="110">
        <f t="shared" si="88"/>
        <v>0.20181148761076564</v>
      </c>
      <c r="AB110" s="110">
        <f t="shared" si="88"/>
        <v>0.22419569559873054</v>
      </c>
      <c r="AC110" s="110">
        <f t="shared" si="88"/>
        <v>0.24763878788412508</v>
      </c>
      <c r="AD110" s="110">
        <f t="shared" si="88"/>
        <v>0.27214076446694929</v>
      </c>
      <c r="AE110" s="110">
        <f t="shared" si="88"/>
        <v>0.29770162534720324</v>
      </c>
      <c r="AF110" s="110">
        <f t="shared" si="88"/>
        <v>0.32432137052488685</v>
      </c>
      <c r="AG110" s="110">
        <f t="shared" si="88"/>
        <v>0.35200000000000004</v>
      </c>
      <c r="AI110" s="134"/>
      <c r="AJ110" s="211"/>
      <c r="BD110" s="203"/>
      <c r="BE110" s="203"/>
    </row>
    <row r="111" spans="1:63" outlineLevel="1" x14ac:dyDescent="0.2">
      <c r="A111" t="s">
        <v>1334</v>
      </c>
      <c r="B111" s="54" t="s">
        <v>462</v>
      </c>
      <c r="C111" s="110">
        <f>C107*C109</f>
        <v>2.3000000000000003E-2</v>
      </c>
      <c r="D111" s="110">
        <f t="shared" ref="D111:AG111" si="89">D107*D109</f>
        <v>2.8004853394976797E-2</v>
      </c>
      <c r="E111" s="110">
        <f t="shared" si="89"/>
        <v>3.2709446786651261E-2</v>
      </c>
      <c r="F111" s="110">
        <f t="shared" si="89"/>
        <v>3.7113780175023398E-2</v>
      </c>
      <c r="G111" s="110">
        <f t="shared" si="89"/>
        <v>4.1217853560093214E-2</v>
      </c>
      <c r="H111" s="110">
        <f t="shared" si="89"/>
        <v>4.5021666941860689E-2</v>
      </c>
      <c r="I111" s="110">
        <f t="shared" si="89"/>
        <v>4.852522032032585E-2</v>
      </c>
      <c r="J111" s="110">
        <f t="shared" si="89"/>
        <v>5.1728513695488663E-2</v>
      </c>
      <c r="K111" s="110">
        <f t="shared" si="89"/>
        <v>5.4631547067349163E-2</v>
      </c>
      <c r="L111" s="110">
        <f t="shared" si="89"/>
        <v>5.7234320435907329E-2</v>
      </c>
      <c r="M111" s="110">
        <f t="shared" si="89"/>
        <v>5.9536833801163161E-2</v>
      </c>
      <c r="N111" s="110">
        <f t="shared" si="89"/>
        <v>6.6084561674647282E-2</v>
      </c>
      <c r="O111" s="110">
        <f t="shared" si="89"/>
        <v>7.1999433848863439E-2</v>
      </c>
      <c r="P111" s="110">
        <f t="shared" si="89"/>
        <v>7.7281450323811604E-2</v>
      </c>
      <c r="Q111" s="110">
        <f t="shared" si="89"/>
        <v>8.1930611099491776E-2</v>
      </c>
      <c r="R111" s="110">
        <f t="shared" si="89"/>
        <v>8.594691617590397E-2</v>
      </c>
      <c r="S111" s="110">
        <f t="shared" si="89"/>
        <v>8.9330365553048199E-2</v>
      </c>
      <c r="T111" s="110">
        <f t="shared" si="89"/>
        <v>9.2080959230924422E-2</v>
      </c>
      <c r="U111" s="110">
        <f t="shared" si="89"/>
        <v>9.4198697209532681E-2</v>
      </c>
      <c r="V111" s="110">
        <f t="shared" si="89"/>
        <v>9.5683579488872933E-2</v>
      </c>
      <c r="W111" s="110">
        <f t="shared" si="89"/>
        <v>9.6535606068945221E-2</v>
      </c>
      <c r="X111" s="110">
        <f t="shared" si="89"/>
        <v>0.10044702480048427</v>
      </c>
      <c r="Y111" s="110">
        <f t="shared" si="89"/>
        <v>0.10329955923459365</v>
      </c>
      <c r="Z111" s="110">
        <f t="shared" si="89"/>
        <v>0.10509320937127335</v>
      </c>
      <c r="AA111" s="110">
        <f t="shared" si="89"/>
        <v>0.10582797521052333</v>
      </c>
      <c r="AB111" s="110">
        <f t="shared" si="89"/>
        <v>0.10550385675234365</v>
      </c>
      <c r="AC111" s="110">
        <f t="shared" si="89"/>
        <v>0.10412085399673426</v>
      </c>
      <c r="AD111" s="110">
        <f t="shared" si="89"/>
        <v>0.10167896694369519</v>
      </c>
      <c r="AE111" s="110">
        <f t="shared" si="89"/>
        <v>9.8178195593226422E-2</v>
      </c>
      <c r="AF111" s="110">
        <f t="shared" si="89"/>
        <v>9.3618539945327969E-2</v>
      </c>
      <c r="AG111" s="110">
        <f t="shared" si="89"/>
        <v>8.7999999999999981E-2</v>
      </c>
      <c r="AI111" s="134"/>
      <c r="AJ111" s="211"/>
      <c r="BD111" s="203"/>
      <c r="BE111" s="203"/>
    </row>
    <row r="112" spans="1:63" outlineLevel="1" x14ac:dyDescent="0.2">
      <c r="B112" s="176"/>
      <c r="C112" s="110"/>
      <c r="D112" s="110"/>
      <c r="E112" s="110"/>
      <c r="F112" s="110"/>
      <c r="G112" s="110"/>
      <c r="H112" s="110"/>
      <c r="I112" s="110"/>
      <c r="J112" s="110"/>
      <c r="K112" s="110"/>
      <c r="L112" s="110"/>
      <c r="M112" s="110"/>
      <c r="N112" s="110"/>
      <c r="O112" s="110"/>
      <c r="P112" s="110"/>
      <c r="Q112" s="110"/>
      <c r="R112" s="110"/>
      <c r="S112" s="110"/>
      <c r="T112" s="110"/>
      <c r="U112" s="110"/>
      <c r="V112" s="110"/>
      <c r="W112" s="110"/>
      <c r="X112" s="110"/>
      <c r="Y112" s="110"/>
      <c r="Z112" s="110"/>
      <c r="AA112" s="110"/>
      <c r="AB112" s="110"/>
      <c r="AC112" s="110"/>
      <c r="AD112" s="110"/>
      <c r="AE112" s="110"/>
      <c r="AF112" s="110"/>
      <c r="AG112" s="110"/>
      <c r="AI112" s="134"/>
      <c r="AJ112" s="211"/>
      <c r="BD112" s="203"/>
      <c r="BE112" s="203"/>
    </row>
    <row r="113" spans="1:62" ht="16" outlineLevel="1" x14ac:dyDescent="0.2">
      <c r="A113" t="s">
        <v>1441</v>
      </c>
      <c r="B113" s="54" t="s">
        <v>462</v>
      </c>
      <c r="C113" s="214">
        <v>0.52</v>
      </c>
      <c r="D113" s="110">
        <f>C113</f>
        <v>0.52</v>
      </c>
      <c r="E113" s="110">
        <f t="shared" ref="E113:AG115" si="90">D113</f>
        <v>0.52</v>
      </c>
      <c r="F113" s="110">
        <f t="shared" si="90"/>
        <v>0.52</v>
      </c>
      <c r="G113" s="110">
        <f t="shared" si="90"/>
        <v>0.52</v>
      </c>
      <c r="H113" s="110">
        <f t="shared" si="90"/>
        <v>0.52</v>
      </c>
      <c r="I113" s="110">
        <f t="shared" si="90"/>
        <v>0.52</v>
      </c>
      <c r="J113" s="110">
        <f t="shared" si="90"/>
        <v>0.52</v>
      </c>
      <c r="K113" s="110">
        <f t="shared" si="90"/>
        <v>0.52</v>
      </c>
      <c r="L113" s="110">
        <f t="shared" si="90"/>
        <v>0.52</v>
      </c>
      <c r="M113" s="110">
        <f t="shared" si="90"/>
        <v>0.52</v>
      </c>
      <c r="N113" s="110">
        <f t="shared" si="90"/>
        <v>0.52</v>
      </c>
      <c r="O113" s="110">
        <f t="shared" si="90"/>
        <v>0.52</v>
      </c>
      <c r="P113" s="110">
        <f t="shared" si="90"/>
        <v>0.52</v>
      </c>
      <c r="Q113" s="110">
        <f t="shared" si="90"/>
        <v>0.52</v>
      </c>
      <c r="R113" s="110">
        <f t="shared" si="90"/>
        <v>0.52</v>
      </c>
      <c r="S113" s="110">
        <f t="shared" si="90"/>
        <v>0.52</v>
      </c>
      <c r="T113" s="110">
        <f t="shared" si="90"/>
        <v>0.52</v>
      </c>
      <c r="U113" s="110">
        <f t="shared" si="90"/>
        <v>0.52</v>
      </c>
      <c r="V113" s="110">
        <f t="shared" si="90"/>
        <v>0.52</v>
      </c>
      <c r="W113" s="110">
        <f t="shared" si="90"/>
        <v>0.52</v>
      </c>
      <c r="X113" s="110">
        <f t="shared" si="90"/>
        <v>0.52</v>
      </c>
      <c r="Y113" s="110">
        <f t="shared" si="90"/>
        <v>0.52</v>
      </c>
      <c r="Z113" s="110">
        <f t="shared" si="90"/>
        <v>0.52</v>
      </c>
      <c r="AA113" s="110">
        <f t="shared" si="90"/>
        <v>0.52</v>
      </c>
      <c r="AB113" s="110">
        <f t="shared" si="90"/>
        <v>0.52</v>
      </c>
      <c r="AC113" s="110">
        <f t="shared" si="90"/>
        <v>0.52</v>
      </c>
      <c r="AD113" s="110">
        <f t="shared" si="90"/>
        <v>0.52</v>
      </c>
      <c r="AE113" s="110">
        <f t="shared" si="90"/>
        <v>0.52</v>
      </c>
      <c r="AF113" s="110">
        <f t="shared" si="90"/>
        <v>0.52</v>
      </c>
      <c r="AG113" s="110">
        <f t="shared" si="90"/>
        <v>0.52</v>
      </c>
      <c r="AI113" s="133" t="s">
        <v>1442</v>
      </c>
      <c r="AJ113" s="232" t="s">
        <v>1443</v>
      </c>
      <c r="BD113" s="203"/>
      <c r="BE113" s="203"/>
    </row>
    <row r="114" spans="1:62" ht="16" outlineLevel="1" x14ac:dyDescent="0.2">
      <c r="A114" t="s">
        <v>1444</v>
      </c>
      <c r="B114" s="54" t="s">
        <v>462</v>
      </c>
      <c r="C114" s="214">
        <v>0.12</v>
      </c>
      <c r="D114" s="110">
        <f t="shared" ref="D114:S115" si="91">C114</f>
        <v>0.12</v>
      </c>
      <c r="E114" s="110">
        <f t="shared" si="91"/>
        <v>0.12</v>
      </c>
      <c r="F114" s="110">
        <f t="shared" si="91"/>
        <v>0.12</v>
      </c>
      <c r="G114" s="110">
        <f t="shared" si="91"/>
        <v>0.12</v>
      </c>
      <c r="H114" s="110">
        <f t="shared" si="91"/>
        <v>0.12</v>
      </c>
      <c r="I114" s="110">
        <f t="shared" si="91"/>
        <v>0.12</v>
      </c>
      <c r="J114" s="110">
        <f t="shared" si="91"/>
        <v>0.12</v>
      </c>
      <c r="K114" s="110">
        <f t="shared" si="91"/>
        <v>0.12</v>
      </c>
      <c r="L114" s="110">
        <f t="shared" si="91"/>
        <v>0.12</v>
      </c>
      <c r="M114" s="110">
        <f t="shared" si="91"/>
        <v>0.12</v>
      </c>
      <c r="N114" s="110">
        <f t="shared" si="91"/>
        <v>0.12</v>
      </c>
      <c r="O114" s="110">
        <f t="shared" si="91"/>
        <v>0.12</v>
      </c>
      <c r="P114" s="110">
        <f t="shared" si="91"/>
        <v>0.12</v>
      </c>
      <c r="Q114" s="110">
        <f t="shared" si="91"/>
        <v>0.12</v>
      </c>
      <c r="R114" s="110">
        <f t="shared" si="91"/>
        <v>0.12</v>
      </c>
      <c r="S114" s="110">
        <f t="shared" si="91"/>
        <v>0.12</v>
      </c>
      <c r="T114" s="110">
        <f t="shared" si="90"/>
        <v>0.12</v>
      </c>
      <c r="U114" s="110">
        <f t="shared" si="90"/>
        <v>0.12</v>
      </c>
      <c r="V114" s="110">
        <f t="shared" si="90"/>
        <v>0.12</v>
      </c>
      <c r="W114" s="110">
        <f t="shared" si="90"/>
        <v>0.12</v>
      </c>
      <c r="X114" s="110">
        <f t="shared" si="90"/>
        <v>0.12</v>
      </c>
      <c r="Y114" s="110">
        <f t="shared" si="90"/>
        <v>0.12</v>
      </c>
      <c r="Z114" s="110">
        <f t="shared" si="90"/>
        <v>0.12</v>
      </c>
      <c r="AA114" s="110">
        <f t="shared" si="90"/>
        <v>0.12</v>
      </c>
      <c r="AB114" s="110">
        <f t="shared" si="90"/>
        <v>0.12</v>
      </c>
      <c r="AC114" s="110">
        <f t="shared" si="90"/>
        <v>0.12</v>
      </c>
      <c r="AD114" s="110">
        <f t="shared" si="90"/>
        <v>0.12</v>
      </c>
      <c r="AE114" s="110">
        <f t="shared" si="90"/>
        <v>0.12</v>
      </c>
      <c r="AF114" s="110">
        <f t="shared" si="90"/>
        <v>0.12</v>
      </c>
      <c r="AG114" s="110">
        <f t="shared" si="90"/>
        <v>0.12</v>
      </c>
      <c r="AI114" s="133" t="s">
        <v>1442</v>
      </c>
      <c r="AJ114" s="232" t="s">
        <v>1443</v>
      </c>
      <c r="AL114" s="1"/>
      <c r="BC114" s="1"/>
      <c r="BD114" s="693"/>
      <c r="BE114" s="686"/>
      <c r="BF114" s="6"/>
      <c r="BG114" s="6"/>
      <c r="BH114" s="6"/>
      <c r="BI114" s="6"/>
      <c r="BJ114" s="6"/>
    </row>
    <row r="115" spans="1:62" outlineLevel="1" x14ac:dyDescent="0.2">
      <c r="A115" t="s">
        <v>1445</v>
      </c>
      <c r="B115" s="54" t="s">
        <v>462</v>
      </c>
      <c r="C115" s="121">
        <f>1-C113-C114</f>
        <v>0.36</v>
      </c>
      <c r="D115" s="110">
        <f t="shared" si="91"/>
        <v>0.36</v>
      </c>
      <c r="E115" s="110">
        <f t="shared" si="90"/>
        <v>0.36</v>
      </c>
      <c r="F115" s="110">
        <f t="shared" si="90"/>
        <v>0.36</v>
      </c>
      <c r="G115" s="110">
        <f t="shared" si="90"/>
        <v>0.36</v>
      </c>
      <c r="H115" s="110">
        <f t="shared" si="90"/>
        <v>0.36</v>
      </c>
      <c r="I115" s="110">
        <f t="shared" si="90"/>
        <v>0.36</v>
      </c>
      <c r="J115" s="110">
        <f t="shared" si="90"/>
        <v>0.36</v>
      </c>
      <c r="K115" s="110">
        <f t="shared" si="90"/>
        <v>0.36</v>
      </c>
      <c r="L115" s="110">
        <f t="shared" si="90"/>
        <v>0.36</v>
      </c>
      <c r="M115" s="110">
        <f t="shared" si="90"/>
        <v>0.36</v>
      </c>
      <c r="N115" s="110">
        <f t="shared" si="90"/>
        <v>0.36</v>
      </c>
      <c r="O115" s="110">
        <f t="shared" si="90"/>
        <v>0.36</v>
      </c>
      <c r="P115" s="110">
        <f t="shared" si="90"/>
        <v>0.36</v>
      </c>
      <c r="Q115" s="110">
        <f t="shared" si="90"/>
        <v>0.36</v>
      </c>
      <c r="R115" s="110">
        <f t="shared" si="90"/>
        <v>0.36</v>
      </c>
      <c r="S115" s="110">
        <f t="shared" si="90"/>
        <v>0.36</v>
      </c>
      <c r="T115" s="110">
        <f t="shared" si="90"/>
        <v>0.36</v>
      </c>
      <c r="U115" s="110">
        <f t="shared" si="90"/>
        <v>0.36</v>
      </c>
      <c r="V115" s="110">
        <f t="shared" si="90"/>
        <v>0.36</v>
      </c>
      <c r="W115" s="110">
        <f t="shared" si="90"/>
        <v>0.36</v>
      </c>
      <c r="X115" s="110">
        <f t="shared" si="90"/>
        <v>0.36</v>
      </c>
      <c r="Y115" s="110">
        <f t="shared" si="90"/>
        <v>0.36</v>
      </c>
      <c r="Z115" s="110">
        <f t="shared" si="90"/>
        <v>0.36</v>
      </c>
      <c r="AA115" s="110">
        <f t="shared" si="90"/>
        <v>0.36</v>
      </c>
      <c r="AB115" s="110">
        <f t="shared" si="90"/>
        <v>0.36</v>
      </c>
      <c r="AC115" s="110">
        <f t="shared" si="90"/>
        <v>0.36</v>
      </c>
      <c r="AD115" s="110">
        <f t="shared" si="90"/>
        <v>0.36</v>
      </c>
      <c r="AE115" s="110">
        <f t="shared" si="90"/>
        <v>0.36</v>
      </c>
      <c r="AF115" s="110">
        <f t="shared" si="90"/>
        <v>0.36</v>
      </c>
      <c r="AG115" s="110">
        <f t="shared" si="90"/>
        <v>0.36</v>
      </c>
      <c r="AI115" s="133"/>
      <c r="AJ115" s="223"/>
      <c r="BC115" s="1"/>
      <c r="BD115" s="41"/>
      <c r="BF115" s="6"/>
      <c r="BG115" s="6"/>
      <c r="BH115" s="6"/>
      <c r="BI115" s="6"/>
      <c r="BJ115" s="6"/>
    </row>
    <row r="116" spans="1:62" outlineLevel="1" x14ac:dyDescent="0.2">
      <c r="A116" t="s">
        <v>1268</v>
      </c>
      <c r="B116" s="54" t="s">
        <v>462</v>
      </c>
      <c r="C116" s="110">
        <f>SUM(C113:C115)</f>
        <v>1</v>
      </c>
      <c r="D116" s="110">
        <f t="shared" ref="D116:AG116" si="92">SUM(D113:D115)</f>
        <v>1</v>
      </c>
      <c r="E116" s="110">
        <f t="shared" si="92"/>
        <v>1</v>
      </c>
      <c r="F116" s="110">
        <f t="shared" si="92"/>
        <v>1</v>
      </c>
      <c r="G116" s="110">
        <f t="shared" si="92"/>
        <v>1</v>
      </c>
      <c r="H116" s="110">
        <f t="shared" si="92"/>
        <v>1</v>
      </c>
      <c r="I116" s="110">
        <f t="shared" si="92"/>
        <v>1</v>
      </c>
      <c r="J116" s="110">
        <f t="shared" si="92"/>
        <v>1</v>
      </c>
      <c r="K116" s="110">
        <f t="shared" si="92"/>
        <v>1</v>
      </c>
      <c r="L116" s="110">
        <f t="shared" si="92"/>
        <v>1</v>
      </c>
      <c r="M116" s="110">
        <f t="shared" si="92"/>
        <v>1</v>
      </c>
      <c r="N116" s="110">
        <f t="shared" si="92"/>
        <v>1</v>
      </c>
      <c r="O116" s="110">
        <f t="shared" si="92"/>
        <v>1</v>
      </c>
      <c r="P116" s="110">
        <f t="shared" si="92"/>
        <v>1</v>
      </c>
      <c r="Q116" s="110">
        <f t="shared" si="92"/>
        <v>1</v>
      </c>
      <c r="R116" s="110">
        <f t="shared" si="92"/>
        <v>1</v>
      </c>
      <c r="S116" s="110">
        <f t="shared" si="92"/>
        <v>1</v>
      </c>
      <c r="T116" s="110">
        <f t="shared" si="92"/>
        <v>1</v>
      </c>
      <c r="U116" s="110">
        <f t="shared" si="92"/>
        <v>1</v>
      </c>
      <c r="V116" s="110">
        <f t="shared" si="92"/>
        <v>1</v>
      </c>
      <c r="W116" s="110">
        <f t="shared" si="92"/>
        <v>1</v>
      </c>
      <c r="X116" s="110">
        <f t="shared" si="92"/>
        <v>1</v>
      </c>
      <c r="Y116" s="110">
        <f t="shared" si="92"/>
        <v>1</v>
      </c>
      <c r="Z116" s="110">
        <f t="shared" si="92"/>
        <v>1</v>
      </c>
      <c r="AA116" s="110">
        <f t="shared" si="92"/>
        <v>1</v>
      </c>
      <c r="AB116" s="110">
        <f t="shared" si="92"/>
        <v>1</v>
      </c>
      <c r="AC116" s="110">
        <f t="shared" si="92"/>
        <v>1</v>
      </c>
      <c r="AD116" s="110">
        <f t="shared" si="92"/>
        <v>1</v>
      </c>
      <c r="AE116" s="110">
        <f t="shared" si="92"/>
        <v>1</v>
      </c>
      <c r="AF116" s="110">
        <f t="shared" si="92"/>
        <v>1</v>
      </c>
      <c r="AG116" s="110">
        <f t="shared" si="92"/>
        <v>1</v>
      </c>
      <c r="AI116" s="133"/>
      <c r="AJ116" s="211"/>
      <c r="BC116" s="1"/>
      <c r="BD116" s="41"/>
      <c r="BF116" s="6"/>
      <c r="BG116" s="6"/>
      <c r="BH116" s="6"/>
      <c r="BI116" s="6"/>
      <c r="BJ116" s="6"/>
    </row>
    <row r="117" spans="1:62" outlineLevel="1" x14ac:dyDescent="0.2">
      <c r="C117" s="214"/>
      <c r="D117" s="110"/>
      <c r="E117" s="110"/>
      <c r="F117" s="110"/>
      <c r="G117" s="110"/>
      <c r="H117" s="110"/>
      <c r="I117" s="110"/>
      <c r="J117" s="110"/>
      <c r="K117" s="110"/>
      <c r="L117" s="110"/>
      <c r="M117" s="110"/>
      <c r="N117" s="110"/>
      <c r="O117" s="110"/>
      <c r="P117" s="110"/>
      <c r="Q117" s="110"/>
      <c r="R117" s="110"/>
      <c r="S117" s="110"/>
      <c r="T117" s="110"/>
      <c r="U117" s="110"/>
      <c r="V117" s="110"/>
      <c r="W117" s="110"/>
      <c r="X117" s="110"/>
      <c r="Y117" s="110"/>
      <c r="Z117" s="110"/>
      <c r="AA117" s="110"/>
      <c r="AB117" s="110"/>
      <c r="AC117" s="110"/>
      <c r="AD117" s="110"/>
      <c r="AE117" s="110"/>
      <c r="AF117" s="110"/>
      <c r="AG117" s="110"/>
      <c r="AI117" s="133"/>
      <c r="AJ117" s="211"/>
      <c r="BC117" s="1"/>
      <c r="BD117" s="41"/>
      <c r="BF117" s="6"/>
      <c r="BG117" s="6"/>
      <c r="BH117" s="6"/>
      <c r="BI117" s="6"/>
      <c r="BJ117" s="6"/>
    </row>
    <row r="118" spans="1:62" outlineLevel="1" x14ac:dyDescent="0.2">
      <c r="A118" t="s">
        <v>1335</v>
      </c>
      <c r="B118" s="54" t="s">
        <v>462</v>
      </c>
      <c r="C118" s="110">
        <f>C113*C111</f>
        <v>1.1960000000000002E-2</v>
      </c>
      <c r="D118" s="110">
        <f t="shared" ref="D118:AG118" si="93">D113*D111</f>
        <v>1.4562523765387934E-2</v>
      </c>
      <c r="E118" s="110">
        <f t="shared" si="93"/>
        <v>1.7008912329058656E-2</v>
      </c>
      <c r="F118" s="110">
        <f t="shared" si="93"/>
        <v>1.9299165691012168E-2</v>
      </c>
      <c r="G118" s="110">
        <f t="shared" si="93"/>
        <v>2.1433283851248472E-2</v>
      </c>
      <c r="H118" s="110">
        <f t="shared" si="93"/>
        <v>2.3411266809767559E-2</v>
      </c>
      <c r="I118" s="110">
        <f t="shared" si="93"/>
        <v>2.5233114566569442E-2</v>
      </c>
      <c r="J118" s="110">
        <f t="shared" si="93"/>
        <v>2.6898827121654107E-2</v>
      </c>
      <c r="K118" s="110">
        <f t="shared" si="93"/>
        <v>2.8408404475021565E-2</v>
      </c>
      <c r="L118" s="110">
        <f t="shared" si="93"/>
        <v>2.9761846626671813E-2</v>
      </c>
      <c r="M118" s="110">
        <f t="shared" si="93"/>
        <v>3.0959153576604843E-2</v>
      </c>
      <c r="N118" s="110">
        <f t="shared" si="93"/>
        <v>3.4363972070816588E-2</v>
      </c>
      <c r="O118" s="110">
        <f t="shared" si="93"/>
        <v>3.7439705601408989E-2</v>
      </c>
      <c r="P118" s="110">
        <f t="shared" si="93"/>
        <v>4.0186354168382038E-2</v>
      </c>
      <c r="Q118" s="110">
        <f t="shared" si="93"/>
        <v>4.2603917771735722E-2</v>
      </c>
      <c r="R118" s="110">
        <f t="shared" si="93"/>
        <v>4.4692396411470069E-2</v>
      </c>
      <c r="S118" s="110">
        <f t="shared" si="93"/>
        <v>4.6451790087585064E-2</v>
      </c>
      <c r="T118" s="110">
        <f t="shared" si="93"/>
        <v>4.7882098800080701E-2</v>
      </c>
      <c r="U118" s="110">
        <f t="shared" si="93"/>
        <v>4.8983322548956994E-2</v>
      </c>
      <c r="V118" s="110">
        <f t="shared" si="93"/>
        <v>4.9755461334213928E-2</v>
      </c>
      <c r="W118" s="110">
        <f t="shared" si="93"/>
        <v>5.0198515155851518E-2</v>
      </c>
      <c r="X118" s="110">
        <f t="shared" si="93"/>
        <v>5.2232452896251821E-2</v>
      </c>
      <c r="Y118" s="110">
        <f t="shared" si="93"/>
        <v>5.3715770801988701E-2</v>
      </c>
      <c r="Z118" s="110">
        <f t="shared" si="93"/>
        <v>5.4648468873062142E-2</v>
      </c>
      <c r="AA118" s="110">
        <f t="shared" si="93"/>
        <v>5.5030547109472132E-2</v>
      </c>
      <c r="AB118" s="110">
        <f t="shared" si="93"/>
        <v>5.4862005511218705E-2</v>
      </c>
      <c r="AC118" s="110">
        <f t="shared" si="93"/>
        <v>5.4142844078301819E-2</v>
      </c>
      <c r="AD118" s="110">
        <f t="shared" si="93"/>
        <v>5.2873062810721502E-2</v>
      </c>
      <c r="AE118" s="110">
        <f t="shared" si="93"/>
        <v>5.1052661708477741E-2</v>
      </c>
      <c r="AF118" s="110">
        <f t="shared" si="93"/>
        <v>4.8681640771570549E-2</v>
      </c>
      <c r="AG118" s="110">
        <f t="shared" si="93"/>
        <v>4.5759999999999995E-2</v>
      </c>
      <c r="AI118" s="133"/>
      <c r="AJ118" s="211"/>
      <c r="BD118" s="203"/>
      <c r="BE118" s="203"/>
    </row>
    <row r="119" spans="1:62" outlineLevel="1" x14ac:dyDescent="0.2">
      <c r="A119" t="s">
        <v>1336</v>
      </c>
      <c r="B119" s="54" t="s">
        <v>462</v>
      </c>
      <c r="C119" s="110">
        <f>C111*C114</f>
        <v>2.7600000000000003E-3</v>
      </c>
      <c r="D119" s="110">
        <f t="shared" ref="D119:AG119" si="94">D111*D114</f>
        <v>3.3605824073972158E-3</v>
      </c>
      <c r="E119" s="110">
        <f t="shared" si="94"/>
        <v>3.9251336143981512E-3</v>
      </c>
      <c r="F119" s="110">
        <f t="shared" si="94"/>
        <v>4.4536536210028075E-3</v>
      </c>
      <c r="G119" s="110">
        <f t="shared" si="94"/>
        <v>4.9461424272111854E-3</v>
      </c>
      <c r="H119" s="110">
        <f t="shared" si="94"/>
        <v>5.4026000330232825E-3</v>
      </c>
      <c r="I119" s="110">
        <f t="shared" si="94"/>
        <v>5.8230264384391021E-3</v>
      </c>
      <c r="J119" s="110">
        <f t="shared" si="94"/>
        <v>6.2074216434586391E-3</v>
      </c>
      <c r="K119" s="110">
        <f t="shared" si="94"/>
        <v>6.5557856480818995E-3</v>
      </c>
      <c r="L119" s="110">
        <f t="shared" si="94"/>
        <v>6.868118452308879E-3</v>
      </c>
      <c r="M119" s="110">
        <f t="shared" si="94"/>
        <v>7.1444200561395794E-3</v>
      </c>
      <c r="N119" s="110">
        <f t="shared" si="94"/>
        <v>7.9301474009576736E-3</v>
      </c>
      <c r="O119" s="110">
        <f t="shared" si="94"/>
        <v>8.6399320618636127E-3</v>
      </c>
      <c r="P119" s="110">
        <f t="shared" si="94"/>
        <v>9.2737740388573915E-3</v>
      </c>
      <c r="Q119" s="110">
        <f t="shared" si="94"/>
        <v>9.8316733319390136E-3</v>
      </c>
      <c r="R119" s="110">
        <f t="shared" si="94"/>
        <v>1.0313629941108475E-2</v>
      </c>
      <c r="S119" s="110">
        <f t="shared" si="94"/>
        <v>1.0719643866365784E-2</v>
      </c>
      <c r="T119" s="110">
        <f t="shared" si="94"/>
        <v>1.104971510771093E-2</v>
      </c>
      <c r="U119" s="110">
        <f t="shared" si="94"/>
        <v>1.1303843665143922E-2</v>
      </c>
      <c r="V119" s="110">
        <f t="shared" si="94"/>
        <v>1.1482029538664751E-2</v>
      </c>
      <c r="W119" s="110">
        <f t="shared" si="94"/>
        <v>1.1584272728273426E-2</v>
      </c>
      <c r="X119" s="110">
        <f t="shared" si="94"/>
        <v>1.2053642976058113E-2</v>
      </c>
      <c r="Y119" s="110">
        <f t="shared" si="94"/>
        <v>1.2395947108151237E-2</v>
      </c>
      <c r="Z119" s="110">
        <f t="shared" si="94"/>
        <v>1.2611185124552803E-2</v>
      </c>
      <c r="AA119" s="110">
        <f t="shared" si="94"/>
        <v>1.2699357025262798E-2</v>
      </c>
      <c r="AB119" s="110">
        <f t="shared" si="94"/>
        <v>1.2660462810281237E-2</v>
      </c>
      <c r="AC119" s="110">
        <f t="shared" si="94"/>
        <v>1.2494502479608111E-2</v>
      </c>
      <c r="AD119" s="110">
        <f t="shared" si="94"/>
        <v>1.2201476033243421E-2</v>
      </c>
      <c r="AE119" s="110">
        <f t="shared" si="94"/>
        <v>1.178138347118717E-2</v>
      </c>
      <c r="AF119" s="110">
        <f t="shared" si="94"/>
        <v>1.1234224793439355E-2</v>
      </c>
      <c r="AG119" s="110">
        <f t="shared" si="94"/>
        <v>1.0559999999999996E-2</v>
      </c>
      <c r="AI119" s="133"/>
      <c r="AJ119" s="211"/>
      <c r="AL119" s="1"/>
      <c r="BC119" s="1"/>
      <c r="BD119" s="693"/>
      <c r="BE119" s="686"/>
      <c r="BF119" s="6"/>
      <c r="BG119" s="6"/>
      <c r="BH119" s="6"/>
      <c r="BI119" s="6"/>
      <c r="BJ119" s="6"/>
    </row>
    <row r="120" spans="1:62" outlineLevel="1" x14ac:dyDescent="0.2">
      <c r="A120" t="s">
        <v>1337</v>
      </c>
      <c r="B120" s="54" t="s">
        <v>462</v>
      </c>
      <c r="C120" s="110">
        <f>C111*C115</f>
        <v>8.2800000000000009E-3</v>
      </c>
      <c r="D120" s="110">
        <f t="shared" ref="D120:AG120" si="95">D111*D115</f>
        <v>1.0081747222191647E-2</v>
      </c>
      <c r="E120" s="110">
        <f t="shared" si="95"/>
        <v>1.1775400843194454E-2</v>
      </c>
      <c r="F120" s="110">
        <f t="shared" si="95"/>
        <v>1.3360960863008423E-2</v>
      </c>
      <c r="G120" s="110">
        <f t="shared" si="95"/>
        <v>1.4838427281633556E-2</v>
      </c>
      <c r="H120" s="110">
        <f t="shared" si="95"/>
        <v>1.6207800099069847E-2</v>
      </c>
      <c r="I120" s="110">
        <f t="shared" si="95"/>
        <v>1.7469079315317305E-2</v>
      </c>
      <c r="J120" s="110">
        <f t="shared" si="95"/>
        <v>1.8622264930375918E-2</v>
      </c>
      <c r="K120" s="110">
        <f t="shared" si="95"/>
        <v>1.9667356944245699E-2</v>
      </c>
      <c r="L120" s="110">
        <f t="shared" si="95"/>
        <v>2.0604355356926639E-2</v>
      </c>
      <c r="M120" s="110">
        <f t="shared" si="95"/>
        <v>2.1433260168418736E-2</v>
      </c>
      <c r="N120" s="110">
        <f t="shared" si="95"/>
        <v>2.3790442202873022E-2</v>
      </c>
      <c r="O120" s="110">
        <f t="shared" si="95"/>
        <v>2.5919796185590836E-2</v>
      </c>
      <c r="P120" s="110">
        <f t="shared" si="95"/>
        <v>2.7821322116572178E-2</v>
      </c>
      <c r="Q120" s="110">
        <f t="shared" si="95"/>
        <v>2.9495019995817037E-2</v>
      </c>
      <c r="R120" s="110">
        <f t="shared" si="95"/>
        <v>3.0940889823325428E-2</v>
      </c>
      <c r="S120" s="110">
        <f t="shared" si="95"/>
        <v>3.215893159909735E-2</v>
      </c>
      <c r="T120" s="110">
        <f t="shared" si="95"/>
        <v>3.3149145323132789E-2</v>
      </c>
      <c r="U120" s="110">
        <f t="shared" si="95"/>
        <v>3.3911530995431767E-2</v>
      </c>
      <c r="V120" s="110">
        <f t="shared" si="95"/>
        <v>3.4446088615994255E-2</v>
      </c>
      <c r="W120" s="110">
        <f t="shared" si="95"/>
        <v>3.4752818184820275E-2</v>
      </c>
      <c r="X120" s="110">
        <f t="shared" si="95"/>
        <v>3.6160928928174338E-2</v>
      </c>
      <c r="Y120" s="110">
        <f t="shared" si="95"/>
        <v>3.7187841324453713E-2</v>
      </c>
      <c r="Z120" s="110">
        <f t="shared" si="95"/>
        <v>3.7833555373658408E-2</v>
      </c>
      <c r="AA120" s="110">
        <f t="shared" si="95"/>
        <v>3.8098071075788394E-2</v>
      </c>
      <c r="AB120" s="110">
        <f t="shared" si="95"/>
        <v>3.7981388430843713E-2</v>
      </c>
      <c r="AC120" s="110">
        <f t="shared" si="95"/>
        <v>3.748350743882433E-2</v>
      </c>
      <c r="AD120" s="110">
        <f t="shared" si="95"/>
        <v>3.6604428099730267E-2</v>
      </c>
      <c r="AE120" s="110">
        <f t="shared" si="95"/>
        <v>3.5344150413561509E-2</v>
      </c>
      <c r="AF120" s="110">
        <f t="shared" si="95"/>
        <v>3.3702674380318071E-2</v>
      </c>
      <c r="AG120" s="110">
        <f t="shared" si="95"/>
        <v>3.1679999999999993E-2</v>
      </c>
      <c r="AI120" s="134"/>
      <c r="AJ120" s="211"/>
      <c r="BC120" s="1"/>
      <c r="BD120" s="41"/>
      <c r="BF120" s="6"/>
      <c r="BG120" s="6"/>
      <c r="BH120" s="6"/>
      <c r="BI120" s="6"/>
      <c r="BJ120" s="6"/>
    </row>
    <row r="121" spans="1:62" outlineLevel="1" x14ac:dyDescent="0.2">
      <c r="C121" s="110"/>
      <c r="D121" s="110"/>
      <c r="E121" s="110"/>
      <c r="F121" s="110"/>
      <c r="G121" s="110"/>
      <c r="H121" s="110"/>
      <c r="I121" s="110"/>
      <c r="J121" s="110"/>
      <c r="K121" s="110"/>
      <c r="L121" s="110"/>
      <c r="M121" s="110"/>
      <c r="N121" s="110"/>
      <c r="O121" s="110"/>
      <c r="P121" s="110"/>
      <c r="Q121" s="110"/>
      <c r="R121" s="110"/>
      <c r="S121" s="110"/>
      <c r="T121" s="110"/>
      <c r="U121" s="110"/>
      <c r="V121" s="110"/>
      <c r="W121" s="110"/>
      <c r="X121" s="110"/>
      <c r="Y121" s="110"/>
      <c r="Z121" s="110"/>
      <c r="AA121" s="110"/>
      <c r="AB121" s="110"/>
      <c r="AC121" s="110"/>
      <c r="AD121" s="110"/>
      <c r="AE121" s="110"/>
      <c r="AF121" s="110"/>
      <c r="AG121" s="110"/>
      <c r="AI121" s="134"/>
      <c r="AJ121" s="211"/>
      <c r="BC121" s="1"/>
      <c r="BD121" s="41"/>
      <c r="BF121" s="6"/>
      <c r="BG121" s="6"/>
      <c r="BH121" s="6"/>
      <c r="BI121" s="6"/>
      <c r="BJ121" s="6"/>
    </row>
    <row r="122" spans="1:62" outlineLevel="1" x14ac:dyDescent="0.2">
      <c r="A122" t="s">
        <v>1446</v>
      </c>
      <c r="C122" s="382">
        <f>'Overall recycling rates'!C86</f>
        <v>1.2189286506738257</v>
      </c>
      <c r="D122" s="382">
        <f>C122-($C122-$AG122)/($AG1-$C1)</f>
        <v>1.2149643623180315</v>
      </c>
      <c r="E122" s="382">
        <f t="shared" ref="E122:AF122" si="96">D122-($C122-$AG122)/($AG1-$C1)</f>
        <v>1.2110000739622373</v>
      </c>
      <c r="F122" s="382">
        <f t="shared" si="96"/>
        <v>1.2070357856064431</v>
      </c>
      <c r="G122" s="382">
        <f t="shared" si="96"/>
        <v>1.2030714972506489</v>
      </c>
      <c r="H122" s="382">
        <f t="shared" si="96"/>
        <v>1.1991072088948547</v>
      </c>
      <c r="I122" s="382">
        <f t="shared" si="96"/>
        <v>1.1951429205390605</v>
      </c>
      <c r="J122" s="382">
        <f t="shared" si="96"/>
        <v>1.1911786321832663</v>
      </c>
      <c r="K122" s="382">
        <f t="shared" si="96"/>
        <v>1.187214343827472</v>
      </c>
      <c r="L122" s="382">
        <f t="shared" si="96"/>
        <v>1.1832500554716778</v>
      </c>
      <c r="M122" s="382">
        <f t="shared" si="96"/>
        <v>1.1792857671158836</v>
      </c>
      <c r="N122" s="382">
        <f t="shared" si="96"/>
        <v>1.1753214787600894</v>
      </c>
      <c r="O122" s="382">
        <f t="shared" si="96"/>
        <v>1.1713571904042952</v>
      </c>
      <c r="P122" s="382">
        <f t="shared" si="96"/>
        <v>1.167392902048501</v>
      </c>
      <c r="Q122" s="382">
        <f t="shared" si="96"/>
        <v>1.1634286136927068</v>
      </c>
      <c r="R122" s="382">
        <f t="shared" si="96"/>
        <v>1.1594643253369126</v>
      </c>
      <c r="S122" s="382">
        <f t="shared" si="96"/>
        <v>1.1555000369811184</v>
      </c>
      <c r="T122" s="382">
        <f t="shared" si="96"/>
        <v>1.1515357486253242</v>
      </c>
      <c r="U122" s="382">
        <f t="shared" si="96"/>
        <v>1.1475714602695299</v>
      </c>
      <c r="V122" s="382">
        <f t="shared" si="96"/>
        <v>1.1436071719137357</v>
      </c>
      <c r="W122" s="382">
        <f t="shared" si="96"/>
        <v>1.1396428835579415</v>
      </c>
      <c r="X122" s="382">
        <f t="shared" si="96"/>
        <v>1.1356785952021473</v>
      </c>
      <c r="Y122" s="382">
        <f t="shared" si="96"/>
        <v>1.1317143068463531</v>
      </c>
      <c r="Z122" s="382">
        <f t="shared" si="96"/>
        <v>1.1277500184905589</v>
      </c>
      <c r="AA122" s="382">
        <f t="shared" si="96"/>
        <v>1.1237857301347647</v>
      </c>
      <c r="AB122" s="382">
        <f t="shared" si="96"/>
        <v>1.1198214417789705</v>
      </c>
      <c r="AC122" s="382">
        <f t="shared" si="96"/>
        <v>1.1158571534231763</v>
      </c>
      <c r="AD122" s="382">
        <f t="shared" si="96"/>
        <v>1.1118928650673821</v>
      </c>
      <c r="AE122" s="382">
        <f t="shared" si="96"/>
        <v>1.1079285767115878</v>
      </c>
      <c r="AF122" s="382">
        <f t="shared" si="96"/>
        <v>1.1039642883557936</v>
      </c>
      <c r="AG122" s="382">
        <f>'Overall recycling rates'!C95</f>
        <v>1.1000000000000001</v>
      </c>
      <c r="AI122" s="134"/>
      <c r="AJ122" s="211"/>
      <c r="BC122" s="1"/>
      <c r="BD122" s="41"/>
      <c r="BF122" s="6"/>
      <c r="BG122" s="6"/>
      <c r="BH122" s="6"/>
      <c r="BI122" s="6"/>
      <c r="BJ122" s="6"/>
    </row>
    <row r="123" spans="1:62" outlineLevel="1" x14ac:dyDescent="0.2">
      <c r="A123" t="s">
        <v>1447</v>
      </c>
      <c r="B123" s="54" t="s">
        <v>462</v>
      </c>
      <c r="C123" s="110">
        <f>C110*C122</f>
        <v>2.4378573013476516E-3</v>
      </c>
      <c r="D123" s="110">
        <f t="shared" ref="D123:AG123" si="97">D110*D122</f>
        <v>3.9493186161508329E-3</v>
      </c>
      <c r="E123" s="110">
        <f t="shared" si="97"/>
        <v>5.8144796297832724E-3</v>
      </c>
      <c r="F123" s="110">
        <f t="shared" si="97"/>
        <v>8.0297693905405643E-3</v>
      </c>
      <c r="G123" s="110">
        <f t="shared" si="97"/>
        <v>1.0591616946718303E-2</v>
      </c>
      <c r="H123" s="110">
        <f t="shared" si="97"/>
        <v>1.3496451346612077E-2</v>
      </c>
      <c r="I123" s="110">
        <f t="shared" si="97"/>
        <v>1.6740701638517489E-2</v>
      </c>
      <c r="J123" s="110">
        <f t="shared" si="97"/>
        <v>2.0320796870730122E-2</v>
      </c>
      <c r="K123" s="110">
        <f t="shared" si="97"/>
        <v>2.4233166091545577E-2</v>
      </c>
      <c r="L123" s="110">
        <f t="shared" si="97"/>
        <v>2.8474238349259454E-2</v>
      </c>
      <c r="M123" s="110">
        <f t="shared" si="97"/>
        <v>3.3040442692167327E-2</v>
      </c>
      <c r="N123" s="110">
        <f t="shared" si="97"/>
        <v>4.0729707369247907E-2</v>
      </c>
      <c r="O123" s="110">
        <f t="shared" si="97"/>
        <v>4.9107652012906483E-2</v>
      </c>
      <c r="P123" s="110">
        <f t="shared" si="97"/>
        <v>5.8166750155704543E-2</v>
      </c>
      <c r="Q123" s="110">
        <f t="shared" si="97"/>
        <v>6.7899475330203546E-2</v>
      </c>
      <c r="R123" s="110">
        <f t="shared" si="97"/>
        <v>7.8298301068965015E-2</v>
      </c>
      <c r="S123" s="110">
        <f t="shared" si="97"/>
        <v>8.9355700904550403E-2</v>
      </c>
      <c r="T123" s="110">
        <f t="shared" si="97"/>
        <v>0.10106414836952118</v>
      </c>
      <c r="U123" s="110">
        <f t="shared" si="97"/>
        <v>0.11341611699643883</v>
      </c>
      <c r="V123" s="110">
        <f t="shared" si="97"/>
        <v>0.12640408031786488</v>
      </c>
      <c r="W123" s="110">
        <f t="shared" si="97"/>
        <v>0.14002051186636075</v>
      </c>
      <c r="X123" s="110">
        <f t="shared" si="97"/>
        <v>0.16014450248631537</v>
      </c>
      <c r="Y123" s="110">
        <f t="shared" si="97"/>
        <v>0.1813229544863289</v>
      </c>
      <c r="Z123" s="110">
        <f t="shared" si="97"/>
        <v>0.20354327469833</v>
      </c>
      <c r="AA123" s="110">
        <f t="shared" si="97"/>
        <v>0.22679286995424727</v>
      </c>
      <c r="AB123" s="110">
        <f t="shared" si="97"/>
        <v>0.25105914708600963</v>
      </c>
      <c r="AC123" s="110">
        <f t="shared" si="97"/>
        <v>0.27632951292554558</v>
      </c>
      <c r="AD123" s="110">
        <f t="shared" si="97"/>
        <v>0.30259137430478383</v>
      </c>
      <c r="AE123" s="110">
        <f t="shared" si="97"/>
        <v>0.32983213805565326</v>
      </c>
      <c r="AF123" s="110">
        <f t="shared" si="97"/>
        <v>0.3580392110100824</v>
      </c>
      <c r="AG123" s="110">
        <f t="shared" si="97"/>
        <v>0.38720000000000004</v>
      </c>
      <c r="AI123" s="134"/>
      <c r="AJ123" s="211"/>
      <c r="BC123" s="1"/>
      <c r="BD123" s="41"/>
      <c r="BF123" s="6"/>
      <c r="BG123" s="6"/>
      <c r="BH123" s="6"/>
      <c r="BI123" s="6"/>
      <c r="BJ123" s="6"/>
    </row>
    <row r="124" spans="1:62" outlineLevel="1" x14ac:dyDescent="0.2">
      <c r="A124" t="s">
        <v>1448</v>
      </c>
      <c r="B124" s="54" t="s">
        <v>462</v>
      </c>
      <c r="C124" s="110">
        <f>C111*C122</f>
        <v>2.8035358965497994E-2</v>
      </c>
      <c r="D124" s="110">
        <f t="shared" ref="D124:AG124" si="98">D111*D122</f>
        <v>3.4024898846837945E-2</v>
      </c>
      <c r="E124" s="110">
        <f t="shared" si="98"/>
        <v>3.9611142477898542E-2</v>
      </c>
      <c r="F124" s="110">
        <f t="shared" si="98"/>
        <v>4.47976608103842E-2</v>
      </c>
      <c r="G124" s="110">
        <f t="shared" si="98"/>
        <v>4.958802479599933E-2</v>
      </c>
      <c r="H124" s="110">
        <f t="shared" si="98"/>
        <v>5.3985805386448316E-2</v>
      </c>
      <c r="I124" s="110">
        <f t="shared" si="98"/>
        <v>5.7994573533435602E-2</v>
      </c>
      <c r="J124" s="110">
        <f t="shared" si="98"/>
        <v>6.1617900188665545E-2</v>
      </c>
      <c r="K124" s="110">
        <f t="shared" si="98"/>
        <v>6.4859356303842597E-2</v>
      </c>
      <c r="L124" s="110">
        <f t="shared" si="98"/>
        <v>6.7722512830671128E-2</v>
      </c>
      <c r="M124" s="110">
        <f t="shared" si="98"/>
        <v>7.0210940720855569E-2</v>
      </c>
      <c r="N124" s="110">
        <f t="shared" si="98"/>
        <v>7.7670604750658775E-2</v>
      </c>
      <c r="O124" s="110">
        <f t="shared" si="98"/>
        <v>8.4337054543904583E-2</v>
      </c>
      <c r="P124" s="110">
        <f t="shared" si="98"/>
        <v>9.0217816568031489E-2</v>
      </c>
      <c r="Q124" s="110">
        <f t="shared" si="98"/>
        <v>9.5320417290478007E-2</v>
      </c>
      <c r="R124" s="110">
        <f t="shared" si="98"/>
        <v>9.9652383178682677E-2</v>
      </c>
      <c r="S124" s="110">
        <f t="shared" si="98"/>
        <v>0.10322124070008401</v>
      </c>
      <c r="T124" s="110">
        <f t="shared" si="98"/>
        <v>0.10603451632212051</v>
      </c>
      <c r="U124" s="110">
        <f t="shared" si="98"/>
        <v>0.10809973651223072</v>
      </c>
      <c r="V124" s="110">
        <f t="shared" si="98"/>
        <v>0.1094244277378531</v>
      </c>
      <c r="W124" s="110">
        <f t="shared" si="98"/>
        <v>0.11001611646642626</v>
      </c>
      <c r="X124" s="110">
        <f t="shared" si="98"/>
        <v>0.11407553601764923</v>
      </c>
      <c r="Y124" s="110">
        <f t="shared" si="98"/>
        <v>0.11690558907671195</v>
      </c>
      <c r="Z124" s="110">
        <f t="shared" si="98"/>
        <v>0.1185188688116857</v>
      </c>
      <c r="AA124" s="110">
        <f t="shared" si="98"/>
        <v>0.11892796839064174</v>
      </c>
      <c r="AB124" s="110">
        <f t="shared" si="98"/>
        <v>0.11814548098165144</v>
      </c>
      <c r="AC124" s="110">
        <f t="shared" si="98"/>
        <v>0.11618399975278604</v>
      </c>
      <c r="AD124" s="110">
        <f t="shared" si="98"/>
        <v>0.11305611787211688</v>
      </c>
      <c r="AE124" s="110">
        <f t="shared" si="98"/>
        <v>0.10877442850771524</v>
      </c>
      <c r="AF124" s="110">
        <f t="shared" si="98"/>
        <v>0.10335152482765243</v>
      </c>
      <c r="AG124" s="110">
        <f t="shared" si="98"/>
        <v>9.6799999999999983E-2</v>
      </c>
      <c r="AI124" s="134"/>
      <c r="AJ124" s="211"/>
      <c r="BC124" s="1"/>
      <c r="BD124" s="41"/>
      <c r="BF124" s="6"/>
      <c r="BG124" s="6"/>
      <c r="BH124" s="6"/>
      <c r="BI124" s="6"/>
      <c r="BJ124" s="6"/>
    </row>
    <row r="125" spans="1:62" outlineLevel="1" x14ac:dyDescent="0.2">
      <c r="A125" t="s">
        <v>1449</v>
      </c>
      <c r="B125" s="54" t="s">
        <v>462</v>
      </c>
      <c r="C125" s="110">
        <f>C107*C122</f>
        <v>3.0473216266845644E-2</v>
      </c>
      <c r="D125" s="110">
        <f t="shared" ref="D125:AG125" si="99">D107*D122</f>
        <v>3.7974217462988777E-2</v>
      </c>
      <c r="E125" s="110">
        <f t="shared" si="99"/>
        <v>4.5425622107681814E-2</v>
      </c>
      <c r="F125" s="110">
        <f t="shared" si="99"/>
        <v>5.2827430200924765E-2</v>
      </c>
      <c r="G125" s="110">
        <f t="shared" si="99"/>
        <v>6.0179641742717629E-2</v>
      </c>
      <c r="H125" s="110">
        <f t="shared" si="99"/>
        <v>6.7482256733060395E-2</v>
      </c>
      <c r="I125" s="110">
        <f t="shared" si="99"/>
        <v>7.4735275171953094E-2</v>
      </c>
      <c r="J125" s="110">
        <f t="shared" si="99"/>
        <v>8.1938697059395674E-2</v>
      </c>
      <c r="K125" s="110">
        <f t="shared" si="99"/>
        <v>8.9092522395388174E-2</v>
      </c>
      <c r="L125" s="110">
        <f t="shared" si="99"/>
        <v>9.6196751179930595E-2</v>
      </c>
      <c r="M125" s="110">
        <f t="shared" si="99"/>
        <v>0.1032513834130229</v>
      </c>
      <c r="N125" s="110">
        <f t="shared" si="99"/>
        <v>0.11840031211990669</v>
      </c>
      <c r="O125" s="110">
        <f t="shared" si="99"/>
        <v>0.13344470655681107</v>
      </c>
      <c r="P125" s="110">
        <f t="shared" si="99"/>
        <v>0.14838456672373604</v>
      </c>
      <c r="Q125" s="110">
        <f t="shared" si="99"/>
        <v>0.16321989262068157</v>
      </c>
      <c r="R125" s="110">
        <f t="shared" si="99"/>
        <v>0.17795068424764771</v>
      </c>
      <c r="S125" s="110">
        <f t="shared" si="99"/>
        <v>0.19257694160463443</v>
      </c>
      <c r="T125" s="110">
        <f t="shared" si="99"/>
        <v>0.2070986646916417</v>
      </c>
      <c r="U125" s="110">
        <f t="shared" si="99"/>
        <v>0.22151585350866956</v>
      </c>
      <c r="V125" s="110">
        <f t="shared" si="99"/>
        <v>0.23582850805571798</v>
      </c>
      <c r="W125" s="110">
        <f t="shared" si="99"/>
        <v>0.250036628332787</v>
      </c>
      <c r="X125" s="110">
        <f t="shared" si="99"/>
        <v>0.27422003850396465</v>
      </c>
      <c r="Y125" s="110">
        <f t="shared" si="99"/>
        <v>0.29822854356304085</v>
      </c>
      <c r="Z125" s="110">
        <f t="shared" si="99"/>
        <v>0.32206214351001566</v>
      </c>
      <c r="AA125" s="110">
        <f t="shared" si="99"/>
        <v>0.34572083834488898</v>
      </c>
      <c r="AB125" s="110">
        <f t="shared" si="99"/>
        <v>0.36920462806766102</v>
      </c>
      <c r="AC125" s="110">
        <f t="shared" si="99"/>
        <v>0.39251351267833162</v>
      </c>
      <c r="AD125" s="110">
        <f t="shared" si="99"/>
        <v>0.41564749217690078</v>
      </c>
      <c r="AE125" s="110">
        <f t="shared" si="99"/>
        <v>0.43860656656336849</v>
      </c>
      <c r="AF125" s="110">
        <f t="shared" si="99"/>
        <v>0.46139073583773482</v>
      </c>
      <c r="AG125" s="110">
        <f t="shared" si="99"/>
        <v>0.48400000000000004</v>
      </c>
      <c r="AI125" s="134"/>
      <c r="AJ125" s="211"/>
      <c r="BC125" s="1"/>
      <c r="BD125" s="41"/>
      <c r="BF125" s="6"/>
      <c r="BG125" s="6"/>
      <c r="BH125" s="6"/>
      <c r="BI125" s="6"/>
      <c r="BJ125" s="6"/>
    </row>
    <row r="126" spans="1:62" outlineLevel="1" x14ac:dyDescent="0.2">
      <c r="A126" t="s">
        <v>1450</v>
      </c>
      <c r="B126" s="54" t="s">
        <v>462</v>
      </c>
      <c r="C126" s="110">
        <f>C118*C122</f>
        <v>1.4578386662058958E-2</v>
      </c>
      <c r="D126" s="110">
        <f t="shared" ref="D126:AG126" si="100">D118*D122</f>
        <v>1.7692947400355732E-2</v>
      </c>
      <c r="E126" s="110">
        <f t="shared" si="100"/>
        <v>2.0597794088507242E-2</v>
      </c>
      <c r="F126" s="110">
        <f t="shared" si="100"/>
        <v>2.3294783621399785E-2</v>
      </c>
      <c r="G126" s="110">
        <f t="shared" si="100"/>
        <v>2.5785772893919652E-2</v>
      </c>
      <c r="H126" s="110">
        <f t="shared" si="100"/>
        <v>2.8072618800953127E-2</v>
      </c>
      <c r="I126" s="110">
        <f t="shared" si="100"/>
        <v>3.015717823738651E-2</v>
      </c>
      <c r="J126" s="110">
        <f t="shared" si="100"/>
        <v>3.2041308098106083E-2</v>
      </c>
      <c r="K126" s="110">
        <f t="shared" si="100"/>
        <v>3.3726865277998147E-2</v>
      </c>
      <c r="L126" s="110">
        <f t="shared" si="100"/>
        <v>3.5215706671948989E-2</v>
      </c>
      <c r="M126" s="110">
        <f t="shared" si="100"/>
        <v>3.6509689174844893E-2</v>
      </c>
      <c r="N126" s="110">
        <f t="shared" si="100"/>
        <v>4.0388714470342563E-2</v>
      </c>
      <c r="O126" s="110">
        <f t="shared" si="100"/>
        <v>4.3855268362830387E-2</v>
      </c>
      <c r="P126" s="110">
        <f t="shared" si="100"/>
        <v>4.6913264615376385E-2</v>
      </c>
      <c r="Q126" s="110">
        <f t="shared" si="100"/>
        <v>4.9566616991048564E-2</v>
      </c>
      <c r="R126" s="110">
        <f t="shared" si="100"/>
        <v>5.1819239252914998E-2</v>
      </c>
      <c r="S126" s="110">
        <f t="shared" si="100"/>
        <v>5.3675045164043686E-2</v>
      </c>
      <c r="T126" s="110">
        <f t="shared" si="100"/>
        <v>5.5137948487502662E-2</v>
      </c>
      <c r="U126" s="110">
        <f t="shared" si="100"/>
        <v>5.6211862986359974E-2</v>
      </c>
      <c r="V126" s="110">
        <f t="shared" si="100"/>
        <v>5.690070242368362E-2</v>
      </c>
      <c r="W126" s="110">
        <f t="shared" si="100"/>
        <v>5.7208380562541655E-2</v>
      </c>
      <c r="X126" s="110">
        <f t="shared" si="100"/>
        <v>5.9319278729177596E-2</v>
      </c>
      <c r="Y126" s="110">
        <f t="shared" si="100"/>
        <v>6.0790906319890217E-2</v>
      </c>
      <c r="Z126" s="110">
        <f t="shared" si="100"/>
        <v>6.1629811782076563E-2</v>
      </c>
      <c r="AA126" s="110">
        <f t="shared" si="100"/>
        <v>6.1842543563133706E-2</v>
      </c>
      <c r="AB126" s="110">
        <f t="shared" si="100"/>
        <v>6.1435650110458755E-2</v>
      </c>
      <c r="AC126" s="110">
        <f t="shared" si="100"/>
        <v>6.0415679871448746E-2</v>
      </c>
      <c r="AD126" s="110">
        <f t="shared" si="100"/>
        <v>5.8789181293500782E-2</v>
      </c>
      <c r="AE126" s="110">
        <f t="shared" si="100"/>
        <v>5.6562702824011921E-2</v>
      </c>
      <c r="AF126" s="110">
        <f t="shared" si="100"/>
        <v>5.374279291037927E-2</v>
      </c>
      <c r="AG126" s="110">
        <f t="shared" si="100"/>
        <v>5.0335999999999999E-2</v>
      </c>
      <c r="AI126" s="134"/>
      <c r="AJ126" s="211"/>
      <c r="BC126" s="1"/>
      <c r="BD126" s="41"/>
      <c r="BF126" s="6"/>
      <c r="BG126" s="6"/>
      <c r="BH126" s="6"/>
      <c r="BI126" s="6"/>
      <c r="BJ126" s="6"/>
    </row>
    <row r="127" spans="1:62" outlineLevel="1" x14ac:dyDescent="0.2">
      <c r="A127" t="s">
        <v>1451</v>
      </c>
      <c r="B127" s="54" t="s">
        <v>462</v>
      </c>
      <c r="C127" s="110">
        <f>C119*C122</f>
        <v>3.3642430758597593E-3</v>
      </c>
      <c r="D127" s="110">
        <f t="shared" ref="D127:AG127" si="101">D119*D122</f>
        <v>4.0829878616205533E-3</v>
      </c>
      <c r="E127" s="110">
        <f t="shared" si="101"/>
        <v>4.753337097347825E-3</v>
      </c>
      <c r="F127" s="110">
        <f t="shared" si="101"/>
        <v>5.3757192972461038E-3</v>
      </c>
      <c r="G127" s="110">
        <f t="shared" si="101"/>
        <v>5.9505629755199196E-3</v>
      </c>
      <c r="H127" s="110">
        <f t="shared" si="101"/>
        <v>6.4782966463737979E-3</v>
      </c>
      <c r="I127" s="110">
        <f t="shared" si="101"/>
        <v>6.9593488240122722E-3</v>
      </c>
      <c r="J127" s="110">
        <f t="shared" si="101"/>
        <v>7.3941480226398645E-3</v>
      </c>
      <c r="K127" s="110">
        <f t="shared" si="101"/>
        <v>7.7831227564611107E-3</v>
      </c>
      <c r="L127" s="110">
        <f t="shared" si="101"/>
        <v>8.1267015396805347E-3</v>
      </c>
      <c r="M127" s="110">
        <f t="shared" si="101"/>
        <v>8.4253128865026689E-3</v>
      </c>
      <c r="N127" s="110">
        <f t="shared" si="101"/>
        <v>9.3204725700790532E-3</v>
      </c>
      <c r="O127" s="110">
        <f t="shared" si="101"/>
        <v>1.0120446545268551E-2</v>
      </c>
      <c r="P127" s="110">
        <f t="shared" si="101"/>
        <v>1.0826137988163778E-2</v>
      </c>
      <c r="Q127" s="110">
        <f t="shared" si="101"/>
        <v>1.1438450074857363E-2</v>
      </c>
      <c r="R127" s="110">
        <f t="shared" si="101"/>
        <v>1.195828598144192E-2</v>
      </c>
      <c r="S127" s="110">
        <f t="shared" si="101"/>
        <v>1.2386548884010081E-2</v>
      </c>
      <c r="T127" s="110">
        <f t="shared" si="101"/>
        <v>1.2724141958654461E-2</v>
      </c>
      <c r="U127" s="110">
        <f t="shared" si="101"/>
        <v>1.2971968381467686E-2</v>
      </c>
      <c r="V127" s="110">
        <f t="shared" si="101"/>
        <v>1.3130931328542372E-2</v>
      </c>
      <c r="W127" s="110">
        <f t="shared" si="101"/>
        <v>1.3201933975971148E-2</v>
      </c>
      <c r="X127" s="110">
        <f t="shared" si="101"/>
        <v>1.3689064322117908E-2</v>
      </c>
      <c r="Y127" s="110">
        <f t="shared" si="101"/>
        <v>1.4028670689205432E-2</v>
      </c>
      <c r="Z127" s="110">
        <f t="shared" si="101"/>
        <v>1.4222264257402284E-2</v>
      </c>
      <c r="AA127" s="110">
        <f t="shared" si="101"/>
        <v>1.4271356206877008E-2</v>
      </c>
      <c r="AB127" s="110">
        <f t="shared" si="101"/>
        <v>1.4177457717798171E-2</v>
      </c>
      <c r="AC127" s="110">
        <f t="shared" si="101"/>
        <v>1.3942079970334325E-2</v>
      </c>
      <c r="AD127" s="110">
        <f t="shared" si="101"/>
        <v>1.3566734144654024E-2</v>
      </c>
      <c r="AE127" s="110">
        <f t="shared" si="101"/>
        <v>1.3052931420925827E-2</v>
      </c>
      <c r="AF127" s="110">
        <f t="shared" si="101"/>
        <v>1.2402182979318291E-2</v>
      </c>
      <c r="AG127" s="110">
        <f t="shared" si="101"/>
        <v>1.1615999999999998E-2</v>
      </c>
      <c r="AI127" s="134"/>
      <c r="AJ127" s="211"/>
      <c r="BC127" s="1"/>
      <c r="BD127" s="41"/>
      <c r="BF127" s="6"/>
      <c r="BG127" s="6"/>
      <c r="BH127" s="6"/>
      <c r="BI127" s="6"/>
      <c r="BJ127" s="6"/>
    </row>
    <row r="128" spans="1:62" outlineLevel="1" x14ac:dyDescent="0.2">
      <c r="A128" t="s">
        <v>1452</v>
      </c>
      <c r="B128" s="54" t="s">
        <v>462</v>
      </c>
      <c r="C128" s="110">
        <f>C120*C122</f>
        <v>1.0092729227579278E-2</v>
      </c>
      <c r="D128" s="110">
        <f t="shared" ref="D128:AG128" si="102">D120*D122</f>
        <v>1.2248963584861661E-2</v>
      </c>
      <c r="E128" s="110">
        <f t="shared" si="102"/>
        <v>1.4260011292043474E-2</v>
      </c>
      <c r="F128" s="110">
        <f t="shared" si="102"/>
        <v>1.6127157891738311E-2</v>
      </c>
      <c r="G128" s="110">
        <f t="shared" si="102"/>
        <v>1.7851688926559757E-2</v>
      </c>
      <c r="H128" s="110">
        <f t="shared" si="102"/>
        <v>1.9434889939121392E-2</v>
      </c>
      <c r="I128" s="110">
        <f t="shared" si="102"/>
        <v>2.0878046472036817E-2</v>
      </c>
      <c r="J128" s="110">
        <f t="shared" si="102"/>
        <v>2.2182444067919593E-2</v>
      </c>
      <c r="K128" s="110">
        <f t="shared" si="102"/>
        <v>2.3349368269383334E-2</v>
      </c>
      <c r="L128" s="110">
        <f t="shared" si="102"/>
        <v>2.4380104619041609E-2</v>
      </c>
      <c r="M128" s="110">
        <f t="shared" si="102"/>
        <v>2.5275938659508002E-2</v>
      </c>
      <c r="N128" s="110">
        <f t="shared" si="102"/>
        <v>2.796141771023716E-2</v>
      </c>
      <c r="O128" s="110">
        <f t="shared" si="102"/>
        <v>3.0361339635805649E-2</v>
      </c>
      <c r="P128" s="110">
        <f t="shared" si="102"/>
        <v>3.2478413964491339E-2</v>
      </c>
      <c r="Q128" s="110">
        <f t="shared" si="102"/>
        <v>3.4315350224572085E-2</v>
      </c>
      <c r="R128" s="110">
        <f t="shared" si="102"/>
        <v>3.587485794432576E-2</v>
      </c>
      <c r="S128" s="110">
        <f t="shared" si="102"/>
        <v>3.7159646652030247E-2</v>
      </c>
      <c r="T128" s="110">
        <f t="shared" si="102"/>
        <v>3.8172425875963381E-2</v>
      </c>
      <c r="U128" s="110">
        <f t="shared" si="102"/>
        <v>3.891590514440306E-2</v>
      </c>
      <c r="V128" s="110">
        <f t="shared" si="102"/>
        <v>3.9392793985627117E-2</v>
      </c>
      <c r="W128" s="110">
        <f t="shared" si="102"/>
        <v>3.9605801927913444E-2</v>
      </c>
      <c r="X128" s="110">
        <f t="shared" si="102"/>
        <v>4.1067192966353722E-2</v>
      </c>
      <c r="Y128" s="110">
        <f t="shared" si="102"/>
        <v>4.20860120676163E-2</v>
      </c>
      <c r="Z128" s="110">
        <f t="shared" si="102"/>
        <v>4.2666792772206856E-2</v>
      </c>
      <c r="AA128" s="110">
        <f t="shared" si="102"/>
        <v>4.2814068620631023E-2</v>
      </c>
      <c r="AB128" s="110">
        <f t="shared" si="102"/>
        <v>4.2532373153394518E-2</v>
      </c>
      <c r="AC128" s="110">
        <f t="shared" si="102"/>
        <v>4.1826239911002969E-2</v>
      </c>
      <c r="AD128" s="110">
        <f t="shared" si="102"/>
        <v>4.0700202433962072E-2</v>
      </c>
      <c r="AE128" s="110">
        <f t="shared" si="102"/>
        <v>3.9158794262777484E-2</v>
      </c>
      <c r="AF128" s="110">
        <f t="shared" si="102"/>
        <v>3.7206548937954879E-2</v>
      </c>
      <c r="AG128" s="110">
        <f t="shared" si="102"/>
        <v>3.4847999999999997E-2</v>
      </c>
      <c r="AI128" s="134"/>
      <c r="AJ128" s="211"/>
      <c r="BC128" s="1"/>
      <c r="BD128" s="41"/>
      <c r="BF128" s="6"/>
      <c r="BG128" s="6"/>
      <c r="BH128" s="6"/>
      <c r="BI128" s="6"/>
      <c r="BJ128" s="6"/>
    </row>
    <row r="129" spans="1:63" outlineLevel="1" x14ac:dyDescent="0.2">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I129" s="134"/>
      <c r="AJ129" s="211"/>
      <c r="BC129" s="1"/>
      <c r="BD129" s="41"/>
      <c r="BF129" s="6"/>
      <c r="BG129" s="6"/>
      <c r="BH129" s="6"/>
      <c r="BI129" s="6"/>
      <c r="BJ129" s="6"/>
    </row>
    <row r="130" spans="1:63" s="1" customFormat="1" outlineLevel="1" x14ac:dyDescent="0.2">
      <c r="A130" s="1" t="s">
        <v>228</v>
      </c>
      <c r="B130" s="65"/>
      <c r="C130" s="300">
        <f>C123*C46</f>
        <v>5.3282886712939133E-3</v>
      </c>
      <c r="D130" s="300">
        <f t="shared" ref="D130:AG130" si="103">D123*D46</f>
        <v>8.9211563866526834E-3</v>
      </c>
      <c r="E130" s="300">
        <f t="shared" si="103"/>
        <v>1.3539186992593613E-2</v>
      </c>
      <c r="F130" s="300">
        <f t="shared" si="103"/>
        <v>1.9223459542103728E-2</v>
      </c>
      <c r="G130" s="300">
        <f t="shared" si="103"/>
        <v>2.6001729306348805E-2</v>
      </c>
      <c r="H130" s="300">
        <f t="shared" si="103"/>
        <v>3.3887269030810976E-2</v>
      </c>
      <c r="I130" s="300">
        <f t="shared" si="103"/>
        <v>4.2970449915570842E-2</v>
      </c>
      <c r="J130" s="300">
        <f t="shared" si="103"/>
        <v>5.329890202609297E-2</v>
      </c>
      <c r="K130" s="300">
        <f t="shared" si="103"/>
        <v>6.4918838923360797E-2</v>
      </c>
      <c r="L130" s="300">
        <f t="shared" si="103"/>
        <v>7.7874861943349638E-2</v>
      </c>
      <c r="M130" s="300">
        <f t="shared" si="103"/>
        <v>9.2209763823172836E-2</v>
      </c>
      <c r="N130" s="300">
        <f t="shared" si="103"/>
        <v>0.1157730402625701</v>
      </c>
      <c r="O130" s="300">
        <f t="shared" si="103"/>
        <v>0.14190181281567329</v>
      </c>
      <c r="P130" s="300">
        <f t="shared" si="103"/>
        <v>0.16996176632738758</v>
      </c>
      <c r="Q130" s="300">
        <f t="shared" si="103"/>
        <v>0.20023787785677699</v>
      </c>
      <c r="R130" s="300">
        <f t="shared" si="103"/>
        <v>0.23259453697023341</v>
      </c>
      <c r="S130" s="300">
        <f t="shared" si="103"/>
        <v>0.26735035921499151</v>
      </c>
      <c r="T130" s="300">
        <f t="shared" si="103"/>
        <v>0.30451653062068068</v>
      </c>
      <c r="U130" s="300">
        <f t="shared" si="103"/>
        <v>0.34410233255711065</v>
      </c>
      <c r="V130" s="300">
        <f t="shared" si="103"/>
        <v>0.38611511243586555</v>
      </c>
      <c r="W130" s="300">
        <f t="shared" si="103"/>
        <v>0.43056025614084376</v>
      </c>
      <c r="X130" s="300">
        <f t="shared" si="103"/>
        <v>0.49566619861243605</v>
      </c>
      <c r="Y130" s="300">
        <f t="shared" si="103"/>
        <v>0.56482434215384225</v>
      </c>
      <c r="Z130" s="300">
        <f t="shared" si="103"/>
        <v>0.63279968317977475</v>
      </c>
      <c r="AA130" s="300">
        <f t="shared" si="103"/>
        <v>0.70350913687021377</v>
      </c>
      <c r="AB130" s="300">
        <f t="shared" si="103"/>
        <v>0.77683373171579806</v>
      </c>
      <c r="AC130" s="300">
        <f t="shared" si="103"/>
        <v>0.85265773651025456</v>
      </c>
      <c r="AD130" s="300">
        <f t="shared" si="103"/>
        <v>0.9308549127976754</v>
      </c>
      <c r="AE130" s="300">
        <f t="shared" si="103"/>
        <v>1.0112946319358935</v>
      </c>
      <c r="AF130" s="300">
        <f t="shared" si="103"/>
        <v>1.0938420254583157</v>
      </c>
      <c r="AG130" s="300">
        <f t="shared" si="103"/>
        <v>1.1783581433322206</v>
      </c>
      <c r="AH130" s="245">
        <f>AG130-C130</f>
        <v>1.1730298546609266</v>
      </c>
      <c r="AI130" s="423"/>
      <c r="AJ130" s="424"/>
      <c r="AL130" s="221"/>
      <c r="AM130" s="124"/>
      <c r="AN130" s="124"/>
      <c r="AO130" s="124"/>
      <c r="BD130" s="124"/>
      <c r="BE130" s="124"/>
      <c r="BF130" s="124"/>
      <c r="BG130" s="124"/>
      <c r="BH130" s="124"/>
      <c r="BI130" s="124"/>
      <c r="BJ130" s="124"/>
      <c r="BK130" s="124"/>
    </row>
    <row r="131" spans="1:63" outlineLevel="1" x14ac:dyDescent="0.2">
      <c r="A131" s="4" t="s">
        <v>258</v>
      </c>
      <c r="C131" s="230">
        <f>C$130*'Ethylene recycling rates'!E68</f>
        <v>4.2990647651049707E-3</v>
      </c>
      <c r="D131" s="230">
        <f>D$130*'Ethylene recycling rates'!F68</f>
        <v>7.1713521472450189E-3</v>
      </c>
      <c r="E131" s="230">
        <f>E$130*'Ethylene recycling rates'!G68</f>
        <v>1.0843267541403532E-2</v>
      </c>
      <c r="F131" s="230">
        <f>F$130*'Ethylene recycling rates'!H68</f>
        <v>1.5338426788676732E-2</v>
      </c>
      <c r="G131" s="230">
        <f>G$130*'Ethylene recycling rates'!I68</f>
        <v>2.0669364892115981E-2</v>
      </c>
      <c r="H131" s="230">
        <f>H$130*'Ethylene recycling rates'!J68</f>
        <v>2.6836816799464744E-2</v>
      </c>
      <c r="I131" s="230">
        <f>I$130*'Ethylene recycling rates'!K68</f>
        <v>3.3902187305766295E-2</v>
      </c>
      <c r="J131" s="230">
        <f>J$130*'Ethylene recycling rates'!L68</f>
        <v>4.1892210474123261E-2</v>
      </c>
      <c r="K131" s="230">
        <f>K$130*'Ethylene recycling rates'!M68</f>
        <v>5.0831943716434125E-2</v>
      </c>
      <c r="L131" s="230">
        <f>L$130*'Ethylene recycling rates'!N68</f>
        <v>6.0744636223000005E-2</v>
      </c>
      <c r="M131" s="230">
        <f>M$130*'Ethylene recycling rates'!O68</f>
        <v>7.1651600382510977E-2</v>
      </c>
      <c r="N131" s="230">
        <f>N$130*'Ethylene recycling rates'!P68</f>
        <v>8.961658309877861E-2</v>
      </c>
      <c r="O131" s="230">
        <f>O$130*'Ethylene recycling rates'!Q68</f>
        <v>0.10941942107286672</v>
      </c>
      <c r="P131" s="230">
        <f>P$130*'Ethylene recycling rates'!R68</f>
        <v>0.13054996201576591</v>
      </c>
      <c r="Q131" s="230">
        <f>Q$130*'Ethylene recycling rates'!S68</f>
        <v>0.1532089941545707</v>
      </c>
      <c r="R131" s="230">
        <f>R$130*'Ethylene recycling rates'!T68</f>
        <v>0.1772733568393243</v>
      </c>
      <c r="S131" s="230">
        <f>S$130*'Ethylene recycling rates'!U68</f>
        <v>0.20296634332000896</v>
      </c>
      <c r="T131" s="230">
        <f>T$130*'Ethylene recycling rates'!V68</f>
        <v>0.2302749727380933</v>
      </c>
      <c r="U131" s="230">
        <f>U$130*'Ethylene recycling rates'!W68</f>
        <v>0.25918469632475605</v>
      </c>
      <c r="V131" s="230">
        <f>V$130*'Ethylene recycling rates'!X68</f>
        <v>0.28967940378780721</v>
      </c>
      <c r="W131" s="230">
        <f>W$130*'Ethylene recycling rates'!Y68</f>
        <v>0.32174143151422574</v>
      </c>
      <c r="X131" s="230">
        <f>X$130*'Ethylene recycling rates'!Z68</f>
        <v>0.36891616619488199</v>
      </c>
      <c r="Y131" s="230">
        <f>Y$130*'Ethylene recycling rates'!AA68</f>
        <v>0.41870694439462802</v>
      </c>
      <c r="Z131" s="230">
        <f>Z$130*'Ethylene recycling rates'!AB68</f>
        <v>0.46721241540170227</v>
      </c>
      <c r="AA131" s="230">
        <f>AA$130*'Ethylene recycling rates'!AC68</f>
        <v>0.51732344156194088</v>
      </c>
      <c r="AB131" s="230">
        <f>AB$130*'Ethylene recycling rates'!AD68</f>
        <v>0.56892845896549404</v>
      </c>
      <c r="AC131" s="230">
        <f>AC$130*'Ethylene recycling rates'!AE68</f>
        <v>0.62191968470443537</v>
      </c>
      <c r="AD131" s="230">
        <f>AD$130*'Ethylene recycling rates'!AF68</f>
        <v>0.676183082240982</v>
      </c>
      <c r="AE131" s="230">
        <f>AE$130*'Ethylene recycling rates'!AG68</f>
        <v>0.73160294318094554</v>
      </c>
      <c r="AF131" s="230">
        <f>AF$130*'Ethylene recycling rates'!AH68</f>
        <v>0.78806206098934273</v>
      </c>
      <c r="AG131" s="230">
        <f>AG$130*'Ethylene recycling rates'!AI68</f>
        <v>0.84544190768415051</v>
      </c>
      <c r="AH131" s="245">
        <f>AG131-C131</f>
        <v>0.84114284291904551</v>
      </c>
      <c r="AI131" s="133"/>
      <c r="AJ131" s="211"/>
      <c r="AL131" s="108"/>
      <c r="AM131" s="2"/>
      <c r="AN131" s="2"/>
      <c r="AO131" s="2"/>
      <c r="BC131" s="1"/>
      <c r="BD131" s="2"/>
      <c r="BE131" s="2"/>
      <c r="BF131" s="2"/>
      <c r="BG131" s="2"/>
      <c r="BH131" s="2"/>
      <c r="BI131" s="2"/>
      <c r="BJ131" s="2"/>
      <c r="BK131" s="2"/>
    </row>
    <row r="132" spans="1:63" outlineLevel="1" x14ac:dyDescent="0.2">
      <c r="A132" s="4" t="s">
        <v>478</v>
      </c>
      <c r="C132" s="230">
        <f>C$130*'Ethylene recycling rates'!E69</f>
        <v>5.3317797175375387E-4</v>
      </c>
      <c r="D132" s="230">
        <f>D$130*'Ethylene recycling rates'!F69</f>
        <v>8.6294347322198798E-4</v>
      </c>
      <c r="E132" s="230">
        <f>E$130*'Ethylene recycling rates'!G69</f>
        <v>1.2644853895042458E-3</v>
      </c>
      <c r="F132" s="230">
        <f>F$130*'Ethylene recycling rates'!H69</f>
        <v>1.7312449120055293E-3</v>
      </c>
      <c r="G132" s="230">
        <f>G$130*'Ethylene recycling rates'!I69</f>
        <v>2.2549596682377659E-3</v>
      </c>
      <c r="H132" s="230">
        <f>H$130*'Ethylene recycling rates'!J69</f>
        <v>2.8257893050887698E-3</v>
      </c>
      <c r="I132" s="230">
        <f>I$130*'Ethylene recycling rates'!K69</f>
        <v>3.4398883010618377E-3</v>
      </c>
      <c r="J132" s="230">
        <f>J$130*'Ethylene recycling rates'!L69</f>
        <v>4.088926428590608E-3</v>
      </c>
      <c r="K132" s="230">
        <f>K$130*'Ethylene recycling rates'!M69</f>
        <v>4.7638340314241747E-3</v>
      </c>
      <c r="L132" s="230">
        <f>L$130*'Ethylene recycling rates'!N69</f>
        <v>5.454811939089828E-3</v>
      </c>
      <c r="M132" s="230">
        <f>M$130*'Ethylene recycling rates'!O69</f>
        <v>6.1513452547473646E-3</v>
      </c>
      <c r="N132" s="230">
        <f>N$130*'Ethylene recycling rates'!P69</f>
        <v>7.3370966013088625E-3</v>
      </c>
      <c r="O132" s="230">
        <f>O$130*'Ethylene recycling rates'!Q69</f>
        <v>8.5196871355172187E-3</v>
      </c>
      <c r="P132" s="230">
        <f>P$130*'Ethylene recycling rates'!R69</f>
        <v>9.637477011357011E-3</v>
      </c>
      <c r="Q132" s="230">
        <f>Q$130*'Ethylene recycling rates'!S69</f>
        <v>1.0686350500903691E-2</v>
      </c>
      <c r="R132" s="230">
        <f>R$130*'Ethylene recycling rates'!T69</f>
        <v>1.1637346539698369E-2</v>
      </c>
      <c r="S132" s="230">
        <f>S$130*'Ethylene recycling rates'!U69</f>
        <v>1.2484524487733229E-2</v>
      </c>
      <c r="T132" s="230">
        <f>T$130*'Ethylene recycling rates'!V69</f>
        <v>1.3204362040136719E-2</v>
      </c>
      <c r="U132" s="230">
        <f>U$130*'Ethylene recycling rates'!W69</f>
        <v>1.3773111410946346E-2</v>
      </c>
      <c r="V132" s="230">
        <f>V$130*'Ethylene recycling rates'!X69</f>
        <v>1.416683002325886E-2</v>
      </c>
      <c r="W132" s="230">
        <f>W$130*'Ethylene recycling rates'!Y69</f>
        <v>1.4361411843401771E-2</v>
      </c>
      <c r="X132" s="230">
        <f>X$130*'Ethylene recycling rates'!Z69</f>
        <v>1.4879728637838322E-2</v>
      </c>
      <c r="Y132" s="230">
        <f>Y$130*'Ethylene recycling rates'!AA69</f>
        <v>1.5071850931259819E-2</v>
      </c>
      <c r="Z132" s="230">
        <f>Z$130*'Ethylene recycling rates'!AB69</f>
        <v>1.4775000048035706E-2</v>
      </c>
      <c r="AA132" s="230">
        <f>AA$130*'Ethylene recycling rates'!AC69</f>
        <v>1.4079401393078297E-2</v>
      </c>
      <c r="AB132" s="230">
        <f>AB$130*'Ethylene recycling rates'!AD69</f>
        <v>1.2955711768445002E-2</v>
      </c>
      <c r="AC132" s="230">
        <f>AC$130*'Ethylene recycling rates'!AE69</f>
        <v>1.1376218534653443E-2</v>
      </c>
      <c r="AD132" s="230">
        <f>AD$130*'Ethylene recycling rates'!AF69</f>
        <v>9.3146480046464395E-3</v>
      </c>
      <c r="AE132" s="230">
        <f>AE$130*'Ethylene recycling rates'!AG69</f>
        <v>6.746381486498281E-3</v>
      </c>
      <c r="AF132" s="230">
        <f>AF$130*'Ethylene recycling rates'!AH69</f>
        <v>3.6485290026603855E-3</v>
      </c>
      <c r="AG132" s="230">
        <f>AG$130*'Ethylene recycling rates'!AI69</f>
        <v>0</v>
      </c>
      <c r="AH132" s="245">
        <f t="shared" ref="AH132:AH135" si="104">AG132-C132</f>
        <v>-5.3317797175375387E-4</v>
      </c>
      <c r="AI132" s="133"/>
      <c r="AJ132" s="211"/>
      <c r="AL132" s="108"/>
      <c r="AM132" s="2"/>
      <c r="AN132" s="2"/>
      <c r="AO132" s="2"/>
      <c r="BC132" s="1"/>
      <c r="BD132" s="2"/>
      <c r="BE132" s="2"/>
      <c r="BF132" s="2"/>
      <c r="BG132" s="2"/>
      <c r="BH132" s="2"/>
      <c r="BI132" s="2"/>
      <c r="BJ132" s="2"/>
      <c r="BK132" s="2"/>
    </row>
    <row r="133" spans="1:63" outlineLevel="1" x14ac:dyDescent="0.2">
      <c r="A133" s="4" t="s">
        <v>480</v>
      </c>
      <c r="C133" s="230">
        <f>C$130*'Ethylene recycling rates'!E70</f>
        <v>0</v>
      </c>
      <c r="D133" s="230">
        <f>D$130*'Ethylene recycling rates'!F70</f>
        <v>3.1861272809473869E-5</v>
      </c>
      <c r="E133" s="230">
        <f>E$130*'Ethylene recycling rates'!G70</f>
        <v>9.6708478518525798E-5</v>
      </c>
      <c r="F133" s="230">
        <f>F$130*'Ethylene recycling rates'!H70</f>
        <v>2.0596563795111138E-4</v>
      </c>
      <c r="G133" s="230">
        <f>G$130*'Ethylene recycling rates'!I70</f>
        <v>3.7145327580498291E-4</v>
      </c>
      <c r="H133" s="230">
        <f>H$130*'Ethylene recycling rates'!J70</f>
        <v>6.0512980412162458E-4</v>
      </c>
      <c r="I133" s="230">
        <f>I$130*'Ethylene recycling rates'!K70</f>
        <v>9.207953553336609E-4</v>
      </c>
      <c r="J133" s="230">
        <f>J$130*'Ethylene recycling rates'!L70</f>
        <v>1.3324725506523244E-3</v>
      </c>
      <c r="K133" s="230">
        <f>K$130*'Ethylene recycling rates'!M70</f>
        <v>1.8548239692388801E-3</v>
      </c>
      <c r="L133" s="230">
        <f>L$130*'Ethylene recycling rates'!N70</f>
        <v>2.5031205624648101E-3</v>
      </c>
      <c r="M133" s="230">
        <f>M$130*'Ethylene recycling rates'!O70</f>
        <v>3.2932058508276015E-3</v>
      </c>
      <c r="N133" s="230">
        <f>N$130*'Ethylene recycling rates'!P70</f>
        <v>4.5482265817438257E-3</v>
      </c>
      <c r="O133" s="230">
        <f>O$130*'Ethylene recycling rates'!Q70</f>
        <v>6.0815062635288563E-3</v>
      </c>
      <c r="P133" s="230">
        <f>P$130*'Ethylene recycling rates'!R70</f>
        <v>7.8910820080572812E-3</v>
      </c>
      <c r="Q133" s="230">
        <f>Q$130*'Ethylene recycling rates'!S70</f>
        <v>1.0011893892838852E-2</v>
      </c>
      <c r="R133" s="230">
        <f>R$130*'Ethylene recycling rates'!T70</f>
        <v>1.2460421623405363E-2</v>
      </c>
      <c r="S133" s="230">
        <f>S$130*'Ethylene recycling rates'!U70</f>
        <v>1.5277163383713804E-2</v>
      </c>
      <c r="T133" s="230">
        <f>T$130*'Ethylene recycling rates'!V70</f>
        <v>1.8488503644827046E-2</v>
      </c>
      <c r="U133" s="230">
        <f>U$130*'Ethylene recycling rates'!W70</f>
        <v>2.2120864235814258E-2</v>
      </c>
      <c r="V133" s="230">
        <f>V$130*'Ethylene recycling rates'!X70</f>
        <v>2.620066834386231E-2</v>
      </c>
      <c r="W133" s="230">
        <f>W$130*'Ethylene recycling rates'!Y70</f>
        <v>3.0754304010060272E-2</v>
      </c>
      <c r="X133" s="230">
        <f>X$130*'Ethylene recycling rates'!Z70</f>
        <v>3.7174964895932708E-2</v>
      </c>
      <c r="Y133" s="230">
        <f>Y$130*'Ethylene recycling rates'!AA70</f>
        <v>4.4379055454944756E-2</v>
      </c>
      <c r="Z133" s="230">
        <f>Z$130*'Ethylene recycling rates'!AB70</f>
        <v>5.1979973975481507E-2</v>
      </c>
      <c r="AA133" s="230">
        <f>AA$130*'Ethylene recycling rates'!AC70</f>
        <v>6.0300783160304045E-2</v>
      </c>
      <c r="AB133" s="230">
        <f>AB$130*'Ethylene recycling rates'!AD70</f>
        <v>6.9360154617481976E-2</v>
      </c>
      <c r="AC133" s="230">
        <f>AC$130*'Ethylene recycling rates'!AE70</f>
        <v>7.9175361247380796E-2</v>
      </c>
      <c r="AD133" s="230">
        <f>AD$130*'Ethylene recycling rates'!AF70</f>
        <v>8.9761009448347293E-2</v>
      </c>
      <c r="AE133" s="230">
        <f>AE$130*'Ethylene recycling rates'!AG70</f>
        <v>0.10112946319358937</v>
      </c>
      <c r="AF133" s="230">
        <f>AF$130*'Ethylene recycling rates'!AH70</f>
        <v>0.11329078120818271</v>
      </c>
      <c r="AG133" s="230">
        <f>AG$130*'Ethylene recycling rates'!AI70</f>
        <v>0.12625265821416648</v>
      </c>
      <c r="AH133" s="245">
        <f t="shared" si="104"/>
        <v>0.12625265821416648</v>
      </c>
      <c r="AI133" s="133"/>
      <c r="AJ133" s="211"/>
      <c r="AL133" s="108"/>
      <c r="AM133" s="2"/>
      <c r="AN133" s="2"/>
      <c r="AO133" s="2"/>
      <c r="BC133" s="1"/>
      <c r="BD133" s="2"/>
      <c r="BE133" s="2"/>
      <c r="BF133" s="2"/>
      <c r="BG133" s="2"/>
      <c r="BH133" s="2"/>
      <c r="BI133" s="2"/>
      <c r="BJ133" s="2"/>
      <c r="BK133" s="2"/>
    </row>
    <row r="134" spans="1:63" outlineLevel="1" x14ac:dyDescent="0.2">
      <c r="A134" s="4" t="s">
        <v>474</v>
      </c>
      <c r="C134" s="230">
        <f>C$130*'Ethylene recycling rates'!E71</f>
        <v>0</v>
      </c>
      <c r="D134" s="230">
        <f>D$130*'Ethylene recycling rates'!F71</f>
        <v>0</v>
      </c>
      <c r="E134" s="230">
        <f>E$130*'Ethylene recycling rates'!G71</f>
        <v>0</v>
      </c>
      <c r="F134" s="230">
        <f>F$130*'Ethylene recycling rates'!H71</f>
        <v>0</v>
      </c>
      <c r="G134" s="230">
        <f>G$130*'Ethylene recycling rates'!I71</f>
        <v>0</v>
      </c>
      <c r="H134" s="230">
        <f>H$130*'Ethylene recycling rates'!J71</f>
        <v>0</v>
      </c>
      <c r="I134" s="230">
        <f>I$130*'Ethylene recycling rates'!K71</f>
        <v>0</v>
      </c>
      <c r="J134" s="230">
        <f>J$130*'Ethylene recycling rates'!L71</f>
        <v>0</v>
      </c>
      <c r="K134" s="230">
        <f>K$130*'Ethylene recycling rates'!M71</f>
        <v>0</v>
      </c>
      <c r="L134" s="230">
        <f>L$130*'Ethylene recycling rates'!N71</f>
        <v>0</v>
      </c>
      <c r="M134" s="230">
        <f>M$130*'Ethylene recycling rates'!O71</f>
        <v>0</v>
      </c>
      <c r="N134" s="230">
        <f>N$130*'Ethylene recycling rates'!P71</f>
        <v>0</v>
      </c>
      <c r="O134" s="230">
        <f>O$130*'Ethylene recycling rates'!Q71</f>
        <v>0</v>
      </c>
      <c r="P134" s="230">
        <f>P$130*'Ethylene recycling rates'!R71</f>
        <v>0</v>
      </c>
      <c r="Q134" s="230">
        <f>Q$130*'Ethylene recycling rates'!S71</f>
        <v>0</v>
      </c>
      <c r="R134" s="230">
        <f>R$130*'Ethylene recycling rates'!T71</f>
        <v>0</v>
      </c>
      <c r="S134" s="230">
        <f>S$130*'Ethylene recycling rates'!U71</f>
        <v>0</v>
      </c>
      <c r="T134" s="230">
        <f>T$130*'Ethylene recycling rates'!V71</f>
        <v>0</v>
      </c>
      <c r="U134" s="230">
        <f>U$130*'Ethylene recycling rates'!W71</f>
        <v>0</v>
      </c>
      <c r="V134" s="230">
        <f>V$130*'Ethylene recycling rates'!X71</f>
        <v>0</v>
      </c>
      <c r="W134" s="230">
        <f>W$130*'Ethylene recycling rates'!Y71</f>
        <v>0</v>
      </c>
      <c r="X134" s="230">
        <f>X$130*'Ethylene recycling rates'!Z71</f>
        <v>0</v>
      </c>
      <c r="Y134" s="230">
        <f>Y$130*'Ethylene recycling rates'!AA71</f>
        <v>0</v>
      </c>
      <c r="Z134" s="230">
        <f>Z$130*'Ethylene recycling rates'!AB71</f>
        <v>0</v>
      </c>
      <c r="AA134" s="230">
        <f>AA$130*'Ethylene recycling rates'!AC71</f>
        <v>0</v>
      </c>
      <c r="AB134" s="230">
        <f>AB$130*'Ethylene recycling rates'!AD71</f>
        <v>0</v>
      </c>
      <c r="AC134" s="230">
        <f>AC$130*'Ethylene recycling rates'!AE71</f>
        <v>0</v>
      </c>
      <c r="AD134" s="230">
        <f>AD$130*'Ethylene recycling rates'!AF71</f>
        <v>0</v>
      </c>
      <c r="AE134" s="230">
        <f>AE$130*'Ethylene recycling rates'!AG71</f>
        <v>0</v>
      </c>
      <c r="AF134" s="230">
        <f>AF$130*'Ethylene recycling rates'!AH71</f>
        <v>0</v>
      </c>
      <c r="AG134" s="230">
        <f>AG$130*'Ethylene recycling rates'!AI71</f>
        <v>0</v>
      </c>
      <c r="AH134" s="245">
        <f t="shared" si="104"/>
        <v>0</v>
      </c>
      <c r="AI134" s="133"/>
      <c r="AJ134" s="211"/>
      <c r="AL134" s="108"/>
      <c r="AM134" s="2"/>
      <c r="AN134" s="2"/>
      <c r="AO134" s="2"/>
      <c r="BC134" s="1"/>
      <c r="BD134" s="2"/>
      <c r="BE134" s="2"/>
      <c r="BF134" s="2"/>
      <c r="BG134" s="2"/>
      <c r="BH134" s="2"/>
      <c r="BI134" s="2"/>
      <c r="BJ134" s="2"/>
      <c r="BK134" s="2"/>
    </row>
    <row r="135" spans="1:63" outlineLevel="1" x14ac:dyDescent="0.2">
      <c r="A135" s="4" t="s">
        <v>248</v>
      </c>
      <c r="C135" s="230">
        <f>C$130*'Ethylene recycling rates'!E72</f>
        <v>4.9604593443518881E-4</v>
      </c>
      <c r="D135" s="230">
        <f>D$130*'Ethylene recycling rates'!F72</f>
        <v>8.5499949337620247E-4</v>
      </c>
      <c r="E135" s="230">
        <f>E$130*'Ethylene recycling rates'!G72</f>
        <v>1.3347255831673106E-3</v>
      </c>
      <c r="F135" s="230">
        <f>F$130*'Ethylene recycling rates'!H72</f>
        <v>1.9478222034703561E-3</v>
      </c>
      <c r="G135" s="230">
        <f>G$130*'Ethylene recycling rates'!I72</f>
        <v>2.7059514701900777E-3</v>
      </c>
      <c r="H135" s="230">
        <f>H$130*'Ethylene recycling rates'!J72</f>
        <v>3.6195331221358417E-3</v>
      </c>
      <c r="I135" s="230">
        <f>I$130*'Ethylene recycling rates'!K72</f>
        <v>4.7075789534090588E-3</v>
      </c>
      <c r="J135" s="230">
        <f>J$130*'Ethylene recycling rates'!L72</f>
        <v>5.9852925727267928E-3</v>
      </c>
      <c r="K135" s="230">
        <f>K$130*'Ethylene recycling rates'!M72</f>
        <v>7.4682372062636329E-3</v>
      </c>
      <c r="L135" s="230">
        <f>L$130*'Ethylene recycling rates'!N72</f>
        <v>9.1722932187950166E-3</v>
      </c>
      <c r="M135" s="230">
        <f>M$130*'Ethylene recycling rates'!O72</f>
        <v>1.1113612335086925E-2</v>
      </c>
      <c r="N135" s="230">
        <f>N$130*'Ethylene recycling rates'!P72</f>
        <v>1.4271133980738851E-2</v>
      </c>
      <c r="O135" s="230">
        <f>O$130*'Ethylene recycling rates'!Q72</f>
        <v>1.7881198343760573E-2</v>
      </c>
      <c r="P135" s="230">
        <f>P$130*'Ethylene recycling rates'!R72</f>
        <v>2.1883245292207459E-2</v>
      </c>
      <c r="Q135" s="230">
        <f>Q$130*'Ethylene recycling rates'!S72</f>
        <v>2.6330639308463875E-2</v>
      </c>
      <c r="R135" s="230">
        <f>R$130*'Ethylene recycling rates'!T72</f>
        <v>3.1223411967805537E-2</v>
      </c>
      <c r="S135" s="230">
        <f>S$130*'Ethylene recycling rates'!U72</f>
        <v>3.6622328023535718E-2</v>
      </c>
      <c r="T135" s="230">
        <f>T$130*'Ethylene recycling rates'!V72</f>
        <v>4.2548692197623854E-2</v>
      </c>
      <c r="U135" s="230">
        <f>U$130*'Ethylene recycling rates'!W72</f>
        <v>4.9023660585594264E-2</v>
      </c>
      <c r="V135" s="230">
        <f>V$130*'Ethylene recycling rates'!X72</f>
        <v>5.6068210280937482E-2</v>
      </c>
      <c r="W135" s="230">
        <f>W$130*'Ethylene recycling rates'!Y72</f>
        <v>6.3703108773156394E-2</v>
      </c>
      <c r="X135" s="230">
        <f>X$130*'Ethylene recycling rates'!Z72</f>
        <v>7.4695338883783505E-2</v>
      </c>
      <c r="Y135" s="230">
        <f>Y$130*'Ethylene recycling rates'!AA72</f>
        <v>8.666649137301026E-2</v>
      </c>
      <c r="Z135" s="230">
        <f>Z$130*'Ethylene recycling rates'!AB72</f>
        <v>9.8832293754555975E-2</v>
      </c>
      <c r="AA135" s="230">
        <f>AA$130*'Ethylene recycling rates'!AC72</f>
        <v>0.11180551075489144</v>
      </c>
      <c r="AB135" s="230">
        <f>AB$130*'Ethylene recycling rates'!AD72</f>
        <v>0.12558940636437804</v>
      </c>
      <c r="AC135" s="230">
        <f>AC$130*'Ethylene recycling rates'!AE72</f>
        <v>0.14018647202378612</v>
      </c>
      <c r="AD135" s="230">
        <f>AD$130*'Ethylene recycling rates'!AF72</f>
        <v>0.15559617310370094</v>
      </c>
      <c r="AE135" s="230">
        <f>AE$130*'Ethylene recycling rates'!AG72</f>
        <v>0.17181584407486178</v>
      </c>
      <c r="AF135" s="230">
        <f>AF$130*'Ethylene recycling rates'!AH72</f>
        <v>0.18884065425813149</v>
      </c>
      <c r="AG135" s="230">
        <f>AG$130*'Ethylene recycling rates'!AI72</f>
        <v>0.20666357743390346</v>
      </c>
      <c r="AH135" s="245">
        <f t="shared" si="104"/>
        <v>0.20616753149946826</v>
      </c>
      <c r="AI135" s="133"/>
      <c r="AJ135" s="211"/>
      <c r="AL135" s="108"/>
      <c r="AM135" s="2"/>
      <c r="AN135" s="2"/>
      <c r="AO135" s="2"/>
      <c r="BC135" s="1"/>
      <c r="BD135" s="2"/>
      <c r="BE135" s="2"/>
      <c r="BF135" s="2"/>
      <c r="BG135" s="2"/>
      <c r="BH135" s="2"/>
      <c r="BI135" s="2"/>
      <c r="BJ135" s="2"/>
      <c r="BK135" s="2"/>
    </row>
    <row r="136" spans="1:63" s="1" customFormat="1" outlineLevel="1" x14ac:dyDescent="0.2">
      <c r="A136" s="1" t="s">
        <v>1328</v>
      </c>
      <c r="B136" s="65"/>
      <c r="C136" s="300">
        <f>C126*C46</f>
        <v>3.1863166254337605E-2</v>
      </c>
      <c r="D136" s="300">
        <f t="shared" ref="D136:AG136" si="105">D126*D46</f>
        <v>3.9966780612204024E-2</v>
      </c>
      <c r="E136" s="300">
        <f t="shared" si="105"/>
        <v>4.7962569921262875E-2</v>
      </c>
      <c r="F136" s="300">
        <f t="shared" si="105"/>
        <v>5.5768267892671454E-2</v>
      </c>
      <c r="G136" s="300">
        <f t="shared" si="105"/>
        <v>6.3302391893092821E-2</v>
      </c>
      <c r="H136" s="300">
        <f t="shared" si="105"/>
        <v>7.0485519584086845E-2</v>
      </c>
      <c r="I136" s="300">
        <f t="shared" si="105"/>
        <v>7.7408196205049767E-2</v>
      </c>
      <c r="J136" s="300">
        <f t="shared" si="105"/>
        <v>8.4040333259207262E-2</v>
      </c>
      <c r="K136" s="300">
        <f t="shared" si="105"/>
        <v>9.0351748760395117E-2</v>
      </c>
      <c r="L136" s="300">
        <f t="shared" si="105"/>
        <v>9.631226168993727E-2</v>
      </c>
      <c r="M136" s="300">
        <f t="shared" si="105"/>
        <v>0.10189178902460598</v>
      </c>
      <c r="N136" s="300">
        <f t="shared" si="105"/>
        <v>0.11480377759990669</v>
      </c>
      <c r="O136" s="300">
        <f t="shared" si="105"/>
        <v>0.12672448848843168</v>
      </c>
      <c r="P136" s="300">
        <f t="shared" si="105"/>
        <v>0.13707936745425214</v>
      </c>
      <c r="Q136" s="300">
        <f t="shared" si="105"/>
        <v>0.14617365083544712</v>
      </c>
      <c r="R136" s="300">
        <f t="shared" si="105"/>
        <v>0.15393529355848168</v>
      </c>
      <c r="S136" s="300">
        <f t="shared" si="105"/>
        <v>0.16059459508707408</v>
      </c>
      <c r="T136" s="300">
        <f t="shared" si="105"/>
        <v>0.16613623178780731</v>
      </c>
      <c r="U136" s="300">
        <f t="shared" si="105"/>
        <v>0.17054571857361789</v>
      </c>
      <c r="V136" s="300">
        <f t="shared" si="105"/>
        <v>0.17380942971739849</v>
      </c>
      <c r="W136" s="300">
        <f t="shared" si="105"/>
        <v>0.17591461893754468</v>
      </c>
      <c r="X136" s="300">
        <f t="shared" si="105"/>
        <v>0.18360019192438715</v>
      </c>
      <c r="Y136" s="300">
        <f t="shared" si="105"/>
        <v>0.18936479260631434</v>
      </c>
      <c r="Z136" s="300">
        <f t="shared" si="105"/>
        <v>0.19160213191974931</v>
      </c>
      <c r="AA136" s="300">
        <f t="shared" si="105"/>
        <v>0.19183493049290201</v>
      </c>
      <c r="AB136" s="300">
        <f t="shared" si="105"/>
        <v>0.19009578376104214</v>
      </c>
      <c r="AC136" s="300">
        <f t="shared" si="105"/>
        <v>0.18642198693701451</v>
      </c>
      <c r="AD136" s="300">
        <f t="shared" si="105"/>
        <v>0.18085181162926239</v>
      </c>
      <c r="AE136" s="300">
        <f t="shared" si="105"/>
        <v>0.17342627092347418</v>
      </c>
      <c r="AF136" s="300">
        <f t="shared" si="105"/>
        <v>0.16418907103786645</v>
      </c>
      <c r="AG136" s="300">
        <f t="shared" si="105"/>
        <v>0.15318655863318864</v>
      </c>
      <c r="AH136" s="422"/>
      <c r="AI136" s="423"/>
      <c r="AJ136" s="424"/>
      <c r="AL136" s="221"/>
      <c r="AM136" s="124"/>
      <c r="AN136" s="124"/>
      <c r="AO136" s="124"/>
      <c r="BD136" s="124"/>
      <c r="BE136" s="124"/>
      <c r="BF136" s="124"/>
      <c r="BG136" s="124"/>
      <c r="BH136" s="124"/>
      <c r="BI136" s="124"/>
      <c r="BJ136" s="124"/>
      <c r="BK136" s="124"/>
    </row>
    <row r="137" spans="1:63" outlineLevel="1" x14ac:dyDescent="0.2">
      <c r="A137" s="4" t="s">
        <v>258</v>
      </c>
      <c r="C137" s="230">
        <f>C$136*'Ethylene recycling rates'!E73</f>
        <v>2.5708407295327727E-2</v>
      </c>
      <c r="D137" s="230">
        <f>D$136*'Ethylene recycling rates'!F73</f>
        <v>3.2127657619657683E-2</v>
      </c>
      <c r="E137" s="230">
        <f>E$136*'Ethylene recycling rates'!G73</f>
        <v>3.8412275265422006E-2</v>
      </c>
      <c r="F137" s="230">
        <f>F$136*'Ethylene recycling rates'!H73</f>
        <v>4.4497583399571661E-2</v>
      </c>
      <c r="G137" s="230">
        <f>G$136*'Ethylene recycling rates'!I73</f>
        <v>5.0320508346442361E-2</v>
      </c>
      <c r="H137" s="230">
        <f>H$136*'Ethylene recycling rates'!J73</f>
        <v>5.5820578942886681E-2</v>
      </c>
      <c r="I137" s="230">
        <f>I$136*'Ethylene recycling rates'!K73</f>
        <v>6.1072368846530424E-2</v>
      </c>
      <c r="J137" s="230">
        <f>J$136*'Ethylene recycling rates'!L73</f>
        <v>6.605455638629501E-2</v>
      </c>
      <c r="K137" s="230">
        <f>K$136*'Ethylene recycling rates'!M73</f>
        <v>7.0746105195931289E-2</v>
      </c>
      <c r="L137" s="230">
        <f>L$136*'Ethylene recycling rates'!N73</f>
        <v>7.5126339285526492E-2</v>
      </c>
      <c r="M137" s="230">
        <f>M$136*'Ethylene recycling rates'!O73</f>
        <v>7.9175018422674631E-2</v>
      </c>
      <c r="N137" s="230">
        <f>N$136*'Ethylene recycling rates'!P73</f>
        <v>8.8866304728649273E-2</v>
      </c>
      <c r="O137" s="230">
        <f>O$136*'Ethylene recycling rates'!Q73</f>
        <v>9.771630038420355E-2</v>
      </c>
      <c r="P137" s="230">
        <f>P$136*'Ethylene recycling rates'!R73</f>
        <v>0.10529254079312382</v>
      </c>
      <c r="Q137" s="230">
        <f>Q$136*'Ethylene recycling rates'!S73</f>
        <v>0.11184256573283653</v>
      </c>
      <c r="R137" s="230">
        <f>R$136*'Ethylene recycling rates'!T73</f>
        <v>0.1173227307082073</v>
      </c>
      <c r="S137" s="230">
        <f>S$136*'Ethylene recycling rates'!U73</f>
        <v>0.12191978278050182</v>
      </c>
      <c r="T137" s="230">
        <f>T$136*'Ethylene recycling rates'!V73</f>
        <v>0.12563198512661869</v>
      </c>
      <c r="U137" s="230">
        <f>U$136*'Ethylene recycling rates'!W73</f>
        <v>0.12845841511595715</v>
      </c>
      <c r="V137" s="230">
        <f>V$136*'Ethylene recycling rates'!X73</f>
        <v>0.13039896743642182</v>
      </c>
      <c r="W137" s="230">
        <f>W$136*'Ethylene recycling rates'!Y73</f>
        <v>0.1314543563043836</v>
      </c>
      <c r="X137" s="230">
        <f>X$136*'Ethylene recycling rates'!Z73</f>
        <v>0.13665059087547402</v>
      </c>
      <c r="Y137" s="230">
        <f>Y$136*'Ethylene recycling rates'!AA73</f>
        <v>0.14037701241019887</v>
      </c>
      <c r="Z137" s="230">
        <f>Z$136*'Ethylene recycling rates'!AB73</f>
        <v>0.14146482248618616</v>
      </c>
      <c r="AA137" s="230">
        <f>AA$136*'Ethylene recycling rates'!AC73</f>
        <v>0.14106527016249984</v>
      </c>
      <c r="AB137" s="230">
        <f>AB$136*'Ethylene recycling rates'!AD73</f>
        <v>0.13922014054685014</v>
      </c>
      <c r="AC137" s="230">
        <f>AC$136*'Ethylene recycling rates'!AE73</f>
        <v>0.13597425833765137</v>
      </c>
      <c r="AD137" s="230">
        <f>AD$136*'Ethylene recycling rates'!AF73</f>
        <v>0.13137271312110488</v>
      </c>
      <c r="AE137" s="230">
        <f>AE$136*'Ethylene recycling rates'!AG73</f>
        <v>0.12546212174549809</v>
      </c>
      <c r="AF137" s="230">
        <f>AF$136*'Ethylene recycling rates'!AH73</f>
        <v>0.11829055265984338</v>
      </c>
      <c r="AG137" s="230">
        <f>AG$136*'Ethylene recycling rates'!AI73</f>
        <v>0.10990744799893955</v>
      </c>
      <c r="AH137" s="245"/>
      <c r="AI137" s="133"/>
      <c r="AJ137" s="211"/>
      <c r="AL137" s="108"/>
      <c r="AM137" s="2"/>
      <c r="AN137" s="2"/>
      <c r="AO137" s="2"/>
      <c r="BC137" s="1"/>
      <c r="BD137" s="2"/>
      <c r="BE137" s="2"/>
      <c r="BF137" s="2"/>
      <c r="BG137" s="2"/>
      <c r="BH137" s="2"/>
      <c r="BI137" s="2"/>
      <c r="BJ137" s="2"/>
      <c r="BK137" s="2"/>
    </row>
    <row r="138" spans="1:63" outlineLevel="1" x14ac:dyDescent="0.2">
      <c r="A138" s="4" t="s">
        <v>478</v>
      </c>
      <c r="C138" s="230">
        <f>C$136*'Ethylene recycling rates'!E74</f>
        <v>3.1884042710874486E-3</v>
      </c>
      <c r="D138" s="230">
        <f>D$136*'Ethylene recycling rates'!F74</f>
        <v>3.8659867600345063E-3</v>
      </c>
      <c r="E138" s="230">
        <f>E$136*'Ethylene recycling rates'!G74</f>
        <v>4.4794394923187908E-3</v>
      </c>
      <c r="F138" s="230">
        <f>F$136*'Ethylene recycling rates'!H74</f>
        <v>5.0224326078813046E-3</v>
      </c>
      <c r="G138" s="230">
        <f>G$136*'Ethylene recycling rates'!I74</f>
        <v>5.4898018104915791E-3</v>
      </c>
      <c r="H138" s="230">
        <f>H$136*'Ethylene recycling rates'!J74</f>
        <v>5.8776417545846416E-3</v>
      </c>
      <c r="I138" s="230">
        <f>I$136*'Ethylene recycling rates'!K74</f>
        <v>6.1967130680556821E-3</v>
      </c>
      <c r="J138" s="230">
        <f>J$136*'Ethylene recycling rates'!L74</f>
        <v>6.4473136719196446E-3</v>
      </c>
      <c r="K138" s="230">
        <f>K$136*'Ethylene recycling rates'!M74</f>
        <v>6.6301360696174117E-3</v>
      </c>
      <c r="L138" s="230">
        <f>L$136*'Ethylene recycling rates'!N74</f>
        <v>6.74627552250677E-3</v>
      </c>
      <c r="M138" s="230">
        <f>M$136*'Ethylene recycling rates'!O74</f>
        <v>6.7972365064958382E-3</v>
      </c>
      <c r="N138" s="230">
        <f>N$136*'Ethylene recycling rates'!P74</f>
        <v>7.2756697460420886E-3</v>
      </c>
      <c r="O138" s="230">
        <f>O$136*'Ethylene recycling rates'!Q74</f>
        <v>7.6084510331966785E-3</v>
      </c>
      <c r="P138" s="230">
        <f>P$136*'Ethylene recycling rates'!R74</f>
        <v>7.7729202344658972E-3</v>
      </c>
      <c r="Q138" s="230">
        <f>Q$136*'Ethylene recycling rates'!S74</f>
        <v>7.8010358656596893E-3</v>
      </c>
      <c r="R138" s="230">
        <f>R$136*'Ethylene recycling rates'!T74</f>
        <v>7.7018075280912805E-3</v>
      </c>
      <c r="S138" s="230">
        <f>S$136*'Ethylene recycling rates'!U74</f>
        <v>7.4993247095280231E-3</v>
      </c>
      <c r="T138" s="230">
        <f>T$136*'Ethylene recycling rates'!V74</f>
        <v>7.2039535851762251E-3</v>
      </c>
      <c r="U138" s="230">
        <f>U$136*'Ethylene recycling rates'!W74</f>
        <v>6.8262983430502798E-3</v>
      </c>
      <c r="V138" s="230">
        <f>V$136*'Ethylene recycling rates'!X74</f>
        <v>6.3771879627087611E-3</v>
      </c>
      <c r="W138" s="230">
        <f>W$136*'Ethylene recycling rates'!Y74</f>
        <v>5.8676625531612937E-3</v>
      </c>
      <c r="X138" s="230">
        <f>X$136*'Ethylene recycling rates'!Z74</f>
        <v>5.5116145529746294E-3</v>
      </c>
      <c r="Y138" s="230">
        <f>Y$136*'Ethylene recycling rates'!AA74</f>
        <v>5.0530363385328939E-3</v>
      </c>
      <c r="Z138" s="230">
        <f>Z$136*'Ethylene recycling rates'!AB74</f>
        <v>4.4736455841647305E-3</v>
      </c>
      <c r="AA138" s="230">
        <f>AA$136*'Ethylene recycling rates'!AC74</f>
        <v>3.8392123798686637E-3</v>
      </c>
      <c r="AB138" s="230">
        <f>AB$136*'Ethylene recycling rates'!AD74</f>
        <v>3.1703388798077145E-3</v>
      </c>
      <c r="AC138" s="230">
        <f>AC$136*'Ethylene recycling rates'!AE74</f>
        <v>2.4872550523492268E-3</v>
      </c>
      <c r="AD138" s="230">
        <f>AD$136*'Ethylene recycling rates'!AF74</f>
        <v>1.8097030409027341E-3</v>
      </c>
      <c r="AE138" s="230">
        <f>AE$136*'Ethylene recycling rates'!AG74</f>
        <v>1.1569326549186391E-3</v>
      </c>
      <c r="AF138" s="230">
        <f>AF$136*'Ethylene recycling rates'!AH74</f>
        <v>5.4765548740964029E-4</v>
      </c>
      <c r="AG138" s="230">
        <f>AG$136*'Ethylene recycling rates'!AI74</f>
        <v>0</v>
      </c>
      <c r="AH138" s="245"/>
      <c r="AI138" s="133"/>
      <c r="AJ138" s="211"/>
      <c r="AL138" s="108"/>
      <c r="AM138" s="2"/>
      <c r="AN138" s="2"/>
      <c r="AO138" s="2"/>
      <c r="BC138" s="1"/>
      <c r="BD138" s="2"/>
      <c r="BE138" s="2"/>
      <c r="BF138" s="2"/>
      <c r="BG138" s="2"/>
      <c r="BH138" s="2"/>
      <c r="BI138" s="2"/>
      <c r="BJ138" s="2"/>
      <c r="BK138" s="2"/>
    </row>
    <row r="139" spans="1:63" outlineLevel="1" x14ac:dyDescent="0.2">
      <c r="A139" s="4" t="s">
        <v>480</v>
      </c>
      <c r="C139" s="230">
        <f>C$136*'Ethylene recycling rates'!E75</f>
        <v>0</v>
      </c>
      <c r="D139" s="230">
        <f>D$136*'Ethylene recycling rates'!F75</f>
        <v>1.4273850218644293E-4</v>
      </c>
      <c r="E139" s="230">
        <f>E$136*'Ethylene recycling rates'!G75</f>
        <v>3.4258978515187767E-4</v>
      </c>
      <c r="F139" s="230">
        <f>F$136*'Ethylene recycling rates'!H75</f>
        <v>5.9751715599290847E-4</v>
      </c>
      <c r="G139" s="230">
        <f>G$136*'Ethylene recycling rates'!I75</f>
        <v>9.0431988418704032E-4</v>
      </c>
      <c r="H139" s="230">
        <f>H$136*'Ethylene recycling rates'!J75</f>
        <v>1.2586699925729793E-3</v>
      </c>
      <c r="I139" s="230">
        <f>I$136*'Ethylene recycling rates'!K75</f>
        <v>1.6587470615367808E-3</v>
      </c>
      <c r="J139" s="230">
        <f>J$136*'Ethylene recycling rates'!L75</f>
        <v>2.1010083314801815E-3</v>
      </c>
      <c r="K139" s="230">
        <f>K$136*'Ethylene recycling rates'!M75</f>
        <v>2.5814785360112895E-3</v>
      </c>
      <c r="L139" s="230">
        <f>L$136*'Ethylene recycling rates'!N75</f>
        <v>3.0957512686051267E-3</v>
      </c>
      <c r="M139" s="230">
        <f>M$136*'Ethylene recycling rates'!O75</f>
        <v>3.6389924651645E-3</v>
      </c>
      <c r="N139" s="230">
        <f>N$136*'Ethylene recycling rates'!P75</f>
        <v>4.5101484057106208E-3</v>
      </c>
      <c r="O139" s="230">
        <f>O$136*'Ethylene recycling rates'!Q75</f>
        <v>5.4310495066470727E-3</v>
      </c>
      <c r="P139" s="230">
        <f>P$136*'Ethylene recycling rates'!R75</f>
        <v>6.3643992032331367E-3</v>
      </c>
      <c r="Q139" s="230">
        <f>Q$136*'Ethylene recycling rates'!S75</f>
        <v>7.3086825417723574E-3</v>
      </c>
      <c r="R139" s="230">
        <f>R$136*'Ethylene recycling rates'!T75</f>
        <v>8.2465335834900916E-3</v>
      </c>
      <c r="S139" s="230">
        <f>S$136*'Ethylene recycling rates'!U75</f>
        <v>9.176834004975664E-3</v>
      </c>
      <c r="T139" s="230">
        <f>T$136*'Ethylene recycling rates'!V75</f>
        <v>1.0086842644259733E-2</v>
      </c>
      <c r="U139" s="230">
        <f>U$136*'Ethylene recycling rates'!W75</f>
        <v>1.0963653336875438E-2</v>
      </c>
      <c r="V139" s="230">
        <f>V$136*'Ethylene recycling rates'!X75</f>
        <v>1.1794211302252042E-2</v>
      </c>
      <c r="W139" s="230">
        <f>W$136*'Ethylene recycling rates'!Y75</f>
        <v>1.2565329924110335E-2</v>
      </c>
      <c r="X139" s="230">
        <f>X$136*'Ethylene recycling rates'!Z75</f>
        <v>1.3770014394329039E-2</v>
      </c>
      <c r="Y139" s="230">
        <f>Y$136*'Ethylene recycling rates'!AA75</f>
        <v>1.4878662276210415E-2</v>
      </c>
      <c r="Z139" s="230">
        <f>Z$136*'Ethylene recycling rates'!AB75</f>
        <v>1.5738746550550839E-2</v>
      </c>
      <c r="AA139" s="230">
        <f>AA$136*'Ethylene recycling rates'!AC75</f>
        <v>1.6442994042248745E-2</v>
      </c>
      <c r="AB139" s="230">
        <f>AB$136*'Ethylene recycling rates'!AD75</f>
        <v>1.6972837835807338E-2</v>
      </c>
      <c r="AC139" s="230">
        <f>AC$136*'Ethylene recycling rates'!AE75</f>
        <v>1.7310613072722778E-2</v>
      </c>
      <c r="AD139" s="230">
        <f>AD$136*'Ethylene recycling rates'!AF75</f>
        <v>1.7439281835678878E-2</v>
      </c>
      <c r="AE139" s="230">
        <f>AE$136*'Ethylene recycling rates'!AG75</f>
        <v>1.7342627092347421E-2</v>
      </c>
      <c r="AF139" s="230">
        <f>AF$136*'Ethylene recycling rates'!AH75</f>
        <v>1.7005296643207601E-2</v>
      </c>
      <c r="AG139" s="230">
        <f>AG$136*'Ethylene recycling rates'!AI75</f>
        <v>1.6412845567841641E-2</v>
      </c>
      <c r="AH139" s="245"/>
      <c r="AI139" s="133"/>
      <c r="AJ139" s="211"/>
      <c r="AL139" s="108"/>
      <c r="AM139" s="2"/>
      <c r="AN139" s="2"/>
      <c r="AO139" s="2"/>
      <c r="BC139" s="1"/>
      <c r="BD139" s="2"/>
      <c r="BE139" s="2"/>
      <c r="BF139" s="2"/>
      <c r="BG139" s="2"/>
      <c r="BH139" s="2"/>
      <c r="BI139" s="2"/>
      <c r="BJ139" s="2"/>
      <c r="BK139" s="2"/>
    </row>
    <row r="140" spans="1:63" outlineLevel="1" x14ac:dyDescent="0.2">
      <c r="A140" s="4" t="s">
        <v>474</v>
      </c>
      <c r="C140" s="230">
        <f>C$136*'Ethylene recycling rates'!E76</f>
        <v>0</v>
      </c>
      <c r="D140" s="230">
        <f>D$136*'Ethylene recycling rates'!F76</f>
        <v>0</v>
      </c>
      <c r="E140" s="230">
        <f>E$136*'Ethylene recycling rates'!G76</f>
        <v>0</v>
      </c>
      <c r="F140" s="230">
        <f>F$136*'Ethylene recycling rates'!H76</f>
        <v>0</v>
      </c>
      <c r="G140" s="230">
        <f>G$136*'Ethylene recycling rates'!I76</f>
        <v>0</v>
      </c>
      <c r="H140" s="230">
        <f>H$136*'Ethylene recycling rates'!J76</f>
        <v>0</v>
      </c>
      <c r="I140" s="230">
        <f>I$136*'Ethylene recycling rates'!K76</f>
        <v>0</v>
      </c>
      <c r="J140" s="230">
        <f>J$136*'Ethylene recycling rates'!L76</f>
        <v>0</v>
      </c>
      <c r="K140" s="230">
        <f>K$136*'Ethylene recycling rates'!M76</f>
        <v>0</v>
      </c>
      <c r="L140" s="230">
        <f>L$136*'Ethylene recycling rates'!N76</f>
        <v>0</v>
      </c>
      <c r="M140" s="230">
        <f>M$136*'Ethylene recycling rates'!O76</f>
        <v>0</v>
      </c>
      <c r="N140" s="230">
        <f>N$136*'Ethylene recycling rates'!P76</f>
        <v>0</v>
      </c>
      <c r="O140" s="230">
        <f>O$136*'Ethylene recycling rates'!Q76</f>
        <v>0</v>
      </c>
      <c r="P140" s="230">
        <f>P$136*'Ethylene recycling rates'!R76</f>
        <v>0</v>
      </c>
      <c r="Q140" s="230">
        <f>Q$136*'Ethylene recycling rates'!S76</f>
        <v>0</v>
      </c>
      <c r="R140" s="230">
        <f>R$136*'Ethylene recycling rates'!T76</f>
        <v>0</v>
      </c>
      <c r="S140" s="230">
        <f>S$136*'Ethylene recycling rates'!U76</f>
        <v>0</v>
      </c>
      <c r="T140" s="230">
        <f>T$136*'Ethylene recycling rates'!V76</f>
        <v>0</v>
      </c>
      <c r="U140" s="230">
        <f>U$136*'Ethylene recycling rates'!W76</f>
        <v>0</v>
      </c>
      <c r="V140" s="230">
        <f>V$136*'Ethylene recycling rates'!X76</f>
        <v>0</v>
      </c>
      <c r="W140" s="230">
        <f>W$136*'Ethylene recycling rates'!Y76</f>
        <v>0</v>
      </c>
      <c r="X140" s="230">
        <f>X$136*'Ethylene recycling rates'!Z76</f>
        <v>0</v>
      </c>
      <c r="Y140" s="230">
        <f>Y$136*'Ethylene recycling rates'!AA76</f>
        <v>0</v>
      </c>
      <c r="Z140" s="230">
        <f>Z$136*'Ethylene recycling rates'!AB76</f>
        <v>0</v>
      </c>
      <c r="AA140" s="230">
        <f>AA$136*'Ethylene recycling rates'!AC76</f>
        <v>0</v>
      </c>
      <c r="AB140" s="230">
        <f>AB$136*'Ethylene recycling rates'!AD76</f>
        <v>0</v>
      </c>
      <c r="AC140" s="230">
        <f>AC$136*'Ethylene recycling rates'!AE76</f>
        <v>0</v>
      </c>
      <c r="AD140" s="230">
        <f>AD$136*'Ethylene recycling rates'!AF76</f>
        <v>0</v>
      </c>
      <c r="AE140" s="230">
        <f>AE$136*'Ethylene recycling rates'!AG76</f>
        <v>0</v>
      </c>
      <c r="AF140" s="230">
        <f>AF$136*'Ethylene recycling rates'!AH76</f>
        <v>0</v>
      </c>
      <c r="AG140" s="230">
        <f>AG$136*'Ethylene recycling rates'!AI76</f>
        <v>0</v>
      </c>
      <c r="AH140" s="245"/>
      <c r="AI140" s="133"/>
      <c r="AJ140" s="211"/>
      <c r="AL140" s="108"/>
      <c r="AM140" s="2"/>
      <c r="AN140" s="2"/>
      <c r="AO140" s="2"/>
      <c r="BC140" s="1"/>
      <c r="BD140" s="2"/>
      <c r="BE140" s="2"/>
      <c r="BF140" s="2"/>
      <c r="BG140" s="2"/>
      <c r="BH140" s="2"/>
      <c r="BI140" s="2"/>
      <c r="BJ140" s="2"/>
      <c r="BK140" s="2"/>
    </row>
    <row r="141" spans="1:63" outlineLevel="1" x14ac:dyDescent="0.2">
      <c r="A141" s="4" t="s">
        <v>248</v>
      </c>
      <c r="C141" s="230">
        <f>C$136*'Ethylene recycling rates'!E77</f>
        <v>2.9663546879224296E-3</v>
      </c>
      <c r="D141" s="230">
        <f>D$136*'Ethylene recycling rates'!F77</f>
        <v>3.8303977303253875E-3</v>
      </c>
      <c r="E141" s="230">
        <f>E$136*'Ethylene recycling rates'!G77</f>
        <v>4.7282653783701977E-3</v>
      </c>
      <c r="F141" s="230">
        <f>F$136*'Ethylene recycling rates'!H77</f>
        <v>5.6507347292255811E-3</v>
      </c>
      <c r="G141" s="230">
        <f>G$136*'Ethylene recycling rates'!I77</f>
        <v>6.5877618519718439E-3</v>
      </c>
      <c r="H141" s="230">
        <f>H$136*'Ethylene recycling rates'!J77</f>
        <v>7.5286288940425525E-3</v>
      </c>
      <c r="I141" s="230">
        <f>I$136*'Ethylene recycling rates'!K77</f>
        <v>8.4803672289268921E-3</v>
      </c>
      <c r="J141" s="230">
        <f>J$136*'Ethylene recycling rates'!L77</f>
        <v>9.4374548695124408E-3</v>
      </c>
      <c r="K141" s="230">
        <f>K$136*'Ethylene recycling rates'!M77</f>
        <v>1.0394028958835153E-2</v>
      </c>
      <c r="L141" s="230">
        <f>L$136*'Ethylene recycling rates'!N77</f>
        <v>1.1343895613298917E-2</v>
      </c>
      <c r="M141" s="230">
        <f>M$136*'Ethylene recycling rates'!O77</f>
        <v>1.2280541630271051E-2</v>
      </c>
      <c r="N141" s="230">
        <f>N$136*'Ethylene recycling rates'!P77</f>
        <v>1.4151654719504754E-2</v>
      </c>
      <c r="O141" s="230">
        <f>O$136*'Ethylene recycling rates'!Q77</f>
        <v>1.5968687564384437E-2</v>
      </c>
      <c r="P141" s="230">
        <f>P$136*'Ethylene recycling rates'!R77</f>
        <v>1.7649507223429357E-2</v>
      </c>
      <c r="Q141" s="230">
        <f>Q$136*'Ethylene recycling rates'!S77</f>
        <v>1.9221366695178616E-2</v>
      </c>
      <c r="R141" s="230">
        <f>R$136*'Ethylene recycling rates'!T77</f>
        <v>2.066422173869311E-2</v>
      </c>
      <c r="S141" s="230">
        <f>S$136*'Ethylene recycling rates'!U77</f>
        <v>2.1998653592068679E-2</v>
      </c>
      <c r="T141" s="230">
        <f>T$136*'Ethylene recycling rates'!V77</f>
        <v>2.3213450431752804E-2</v>
      </c>
      <c r="U141" s="230">
        <f>U$136*'Ethylene recycling rates'!W77</f>
        <v>2.4297351777735149E-2</v>
      </c>
      <c r="V141" s="230">
        <f>V$136*'Ethylene recycling rates'!X77</f>
        <v>2.5239063016016024E-2</v>
      </c>
      <c r="W141" s="230">
        <f>W$136*'Ethylene recycling rates'!Y77</f>
        <v>2.6027270155889605E-2</v>
      </c>
      <c r="X141" s="230">
        <f>X$136*'Ethylene recycling rates'!Z77</f>
        <v>2.7667972101609654E-2</v>
      </c>
      <c r="Y141" s="230">
        <f>Y$136*'Ethylene recycling rates'!AA77</f>
        <v>2.9056081581372364E-2</v>
      </c>
      <c r="Z141" s="230">
        <f>Z$136*'Ethylene recycling rates'!AB77</f>
        <v>2.9924917298847799E-2</v>
      </c>
      <c r="AA141" s="230">
        <f>AA$136*'Ethylene recycling rates'!AC77</f>
        <v>3.0487453908285E-2</v>
      </c>
      <c r="AB141" s="230">
        <f>AB$136*'Ethylene recycling rates'!AD77</f>
        <v>3.0732466498577179E-2</v>
      </c>
      <c r="AC141" s="230">
        <f>AC$136*'Ethylene recycling rates'!AE77</f>
        <v>3.0649860474291378E-2</v>
      </c>
      <c r="AD141" s="230">
        <f>AD$136*'Ethylene recycling rates'!AF77</f>
        <v>3.0230113631576142E-2</v>
      </c>
      <c r="AE141" s="230">
        <f>AE$136*'Ethylene recycling rates'!AG77</f>
        <v>2.9464589430710283E-2</v>
      </c>
      <c r="AF141" s="230">
        <f>AF$136*'Ethylene recycling rates'!AH77</f>
        <v>2.8345566247406074E-2</v>
      </c>
      <c r="AG141" s="230">
        <f>AG$136*'Ethylene recycling rates'!AI77</f>
        <v>2.6866265066407442E-2</v>
      </c>
      <c r="AH141" s="245"/>
      <c r="AI141" s="133"/>
      <c r="AJ141" s="211"/>
      <c r="AL141" s="108"/>
      <c r="AM141" s="2"/>
      <c r="AN141" s="2"/>
      <c r="AO141" s="2"/>
      <c r="BC141" s="1"/>
      <c r="BD141" s="2"/>
      <c r="BE141" s="2"/>
      <c r="BF141" s="2"/>
      <c r="BG141" s="2"/>
      <c r="BH141" s="2"/>
      <c r="BI141" s="2"/>
      <c r="BJ141" s="2"/>
      <c r="BK141" s="2"/>
    </row>
    <row r="142" spans="1:63" s="1" customFormat="1" outlineLevel="1" x14ac:dyDescent="0.2">
      <c r="A142" s="1" t="s">
        <v>1338</v>
      </c>
      <c r="B142" s="65"/>
      <c r="C142" s="300">
        <f>C127*C46</f>
        <v>7.3530383663856008E-3</v>
      </c>
      <c r="D142" s="300">
        <f t="shared" ref="D142:AG142" si="106">D127*D46</f>
        <v>9.2231032182009277E-3</v>
      </c>
      <c r="E142" s="300">
        <f t="shared" si="106"/>
        <v>1.1068285366445278E-2</v>
      </c>
      <c r="F142" s="300">
        <f t="shared" si="106"/>
        <v>1.2869600282924181E-2</v>
      </c>
      <c r="G142" s="300">
        <f t="shared" si="106"/>
        <v>1.4608244283021422E-2</v>
      </c>
      <c r="H142" s="300">
        <f t="shared" si="106"/>
        <v>1.6265889134789269E-2</v>
      </c>
      <c r="I142" s="300">
        <f t="shared" si="106"/>
        <v>1.7863429893473028E-2</v>
      </c>
      <c r="J142" s="300">
        <f t="shared" si="106"/>
        <v>1.9393923059817058E-2</v>
      </c>
      <c r="K142" s="300">
        <f t="shared" si="106"/>
        <v>2.0850403560091178E-2</v>
      </c>
      <c r="L142" s="300">
        <f t="shared" si="106"/>
        <v>2.2225906543831674E-2</v>
      </c>
      <c r="M142" s="300">
        <f t="shared" si="106"/>
        <v>2.3513489774909076E-2</v>
      </c>
      <c r="N142" s="300">
        <f t="shared" si="106"/>
        <v>2.6493179446132314E-2</v>
      </c>
      <c r="O142" s="300">
        <f t="shared" si="106"/>
        <v>2.9244112728099618E-2</v>
      </c>
      <c r="P142" s="300">
        <f t="shared" si="106"/>
        <v>3.1633700181750483E-2</v>
      </c>
      <c r="Q142" s="300">
        <f t="shared" si="106"/>
        <v>3.3732380962026264E-2</v>
      </c>
      <c r="R142" s="300">
        <f t="shared" si="106"/>
        <v>3.5523529282726528E-2</v>
      </c>
      <c r="S142" s="300">
        <f t="shared" si="106"/>
        <v>3.706029117394017E-2</v>
      </c>
      <c r="T142" s="300">
        <f t="shared" si="106"/>
        <v>3.8339130412570921E-2</v>
      </c>
      <c r="U142" s="300">
        <f t="shared" si="106"/>
        <v>3.9356704286219513E-2</v>
      </c>
      <c r="V142" s="300">
        <f t="shared" si="106"/>
        <v>4.0109868396322725E-2</v>
      </c>
      <c r="W142" s="300">
        <f t="shared" si="106"/>
        <v>4.0595681293279534E-2</v>
      </c>
      <c r="X142" s="300">
        <f t="shared" si="106"/>
        <v>4.2369275059473958E-2</v>
      </c>
      <c r="Y142" s="300">
        <f t="shared" si="106"/>
        <v>4.3699567524534071E-2</v>
      </c>
      <c r="Z142" s="300">
        <f t="shared" si="106"/>
        <v>4.4215876596865225E-2</v>
      </c>
      <c r="AA142" s="300">
        <f t="shared" si="106"/>
        <v>4.4269599344515839E-2</v>
      </c>
      <c r="AB142" s="300">
        <f t="shared" si="106"/>
        <v>4.386825779100971E-2</v>
      </c>
      <c r="AC142" s="300">
        <f t="shared" si="106"/>
        <v>4.3020458523926414E-2</v>
      </c>
      <c r="AD142" s="300">
        <f t="shared" si="106"/>
        <v>4.1735033452906696E-2</v>
      </c>
      <c r="AE142" s="300">
        <f t="shared" si="106"/>
        <v>4.0021447136186349E-2</v>
      </c>
      <c r="AF142" s="300">
        <f t="shared" si="106"/>
        <v>3.7889785624123019E-2</v>
      </c>
      <c r="AG142" s="300">
        <f t="shared" si="106"/>
        <v>3.5350744299966604E-2</v>
      </c>
      <c r="AH142" s="422"/>
      <c r="AI142" s="423"/>
      <c r="AJ142" s="424"/>
      <c r="AL142" s="221"/>
      <c r="AM142" s="124"/>
      <c r="AN142" s="124"/>
      <c r="AO142" s="124"/>
      <c r="BD142" s="124"/>
      <c r="BE142" s="124"/>
      <c r="BF142" s="124"/>
      <c r="BG142" s="124"/>
      <c r="BH142" s="124"/>
      <c r="BI142" s="124"/>
      <c r="BJ142" s="124"/>
      <c r="BK142" s="124"/>
    </row>
    <row r="143" spans="1:63" outlineLevel="1" x14ac:dyDescent="0.2">
      <c r="A143" s="4" t="s">
        <v>258</v>
      </c>
      <c r="C143" s="230">
        <f>C$142*'Ethylene recycling rates'!E78</f>
        <v>5.9327093758448591E-3</v>
      </c>
      <c r="D143" s="230">
        <f>D$142*'Ethylene recycling rates'!F78</f>
        <v>7.4140748353056195E-3</v>
      </c>
      <c r="E143" s="230">
        <f>E$142*'Ethylene recycling rates'!G78</f>
        <v>8.8643712150973854E-3</v>
      </c>
      <c r="F143" s="230">
        <f>F$142*'Ethylene recycling rates'!H78</f>
        <v>1.0268673092208845E-2</v>
      </c>
      <c r="G143" s="230">
        <f>G$142*'Ethylene recycling rates'!I78</f>
        <v>1.1612425003025163E-2</v>
      </c>
      <c r="H143" s="230">
        <f>H$142*'Ethylene recycling rates'!J78</f>
        <v>1.2881672063743077E-2</v>
      </c>
      <c r="I143" s="230">
        <f>I$142*'Ethylene recycling rates'!K78</f>
        <v>1.4093623579968564E-2</v>
      </c>
      <c r="J143" s="230">
        <f>J$142*'Ethylene recycling rates'!L78</f>
        <v>1.5243359166068077E-2</v>
      </c>
      <c r="K143" s="230">
        <f>K$142*'Ethylene recycling rates'!M78</f>
        <v>1.632602427598414E-2</v>
      </c>
      <c r="L143" s="230">
        <f>L$142*'Ethylene recycling rates'!N78</f>
        <v>1.7336847527429186E-2</v>
      </c>
      <c r="M143" s="230">
        <f>M$142*'Ethylene recycling rates'!O78</f>
        <v>1.8271158097540301E-2</v>
      </c>
      <c r="N143" s="230">
        <f>N$142*'Ethylene recycling rates'!P78</f>
        <v>2.0507608783534449E-2</v>
      </c>
      <c r="O143" s="230">
        <f>O$142*'Ethylene recycling rates'!Q78</f>
        <v>2.254991547327774E-2</v>
      </c>
      <c r="P143" s="230">
        <f>P$142*'Ethylene recycling rates'!R78</f>
        <v>2.4298278644567028E-2</v>
      </c>
      <c r="Q143" s="230">
        <f>Q$142*'Ethylene recycling rates'!S78</f>
        <v>2.5809822861423821E-2</v>
      </c>
      <c r="R143" s="230">
        <f>R$142*'Ethylene recycling rates'!T78</f>
        <v>2.7074476317278596E-2</v>
      </c>
      <c r="S143" s="230">
        <f>S$142*'Ethylene recycling rates'!U78</f>
        <v>2.8135334487808111E-2</v>
      </c>
      <c r="T143" s="230">
        <f>T$142*'Ethylene recycling rates'!V78</f>
        <v>2.8991996567681238E-2</v>
      </c>
      <c r="U143" s="230">
        <f>U$142*'Ethylene recycling rates'!W78</f>
        <v>2.9644249642143961E-2</v>
      </c>
      <c r="V143" s="230">
        <f>V$142*'Ethylene recycling rates'!X78</f>
        <v>3.0092069408405031E-2</v>
      </c>
      <c r="W143" s="230">
        <f>W$142*'Ethylene recycling rates'!Y78</f>
        <v>3.0335620685626983E-2</v>
      </c>
      <c r="X143" s="230">
        <f>X$142*'Ethylene recycling rates'!Z78</f>
        <v>3.1534751740494006E-2</v>
      </c>
      <c r="Y143" s="230">
        <f>Y$142*'Ethylene recycling rates'!AA78</f>
        <v>3.2394695171584345E-2</v>
      </c>
      <c r="Z143" s="230">
        <f>Z$142*'Ethylene recycling rates'!AB78</f>
        <v>3.2645728266042957E-2</v>
      </c>
      <c r="AA143" s="230">
        <f>AA$142*'Ethylene recycling rates'!AC78</f>
        <v>3.2553523883653797E-2</v>
      </c>
      <c r="AB143" s="230">
        <f>AB$142*'Ethylene recycling rates'!AD78</f>
        <v>3.2127724741580793E-2</v>
      </c>
      <c r="AC143" s="230">
        <f>AC$142*'Ethylene recycling rates'!AE78</f>
        <v>3.1378675000996462E-2</v>
      </c>
      <c r="AD143" s="230">
        <f>AD$142*'Ethylene recycling rates'!AF78</f>
        <v>3.0316779951024199E-2</v>
      </c>
      <c r="AE143" s="230">
        <f>AE$142*'Ethylene recycling rates'!AG78</f>
        <v>2.8952797325884173E-2</v>
      </c>
      <c r="AF143" s="230">
        <f>AF$142*'Ethylene recycling rates'!AH78</f>
        <v>2.7297819844579237E-2</v>
      </c>
      <c r="AG143" s="230">
        <f>AG$142*'Ethylene recycling rates'!AI78</f>
        <v>2.5363257230524506E-2</v>
      </c>
      <c r="AH143" s="245"/>
      <c r="AI143" s="133"/>
      <c r="AJ143" s="211"/>
      <c r="AL143" s="108"/>
      <c r="AM143" s="2"/>
      <c r="AN143" s="2"/>
      <c r="AO143" s="2"/>
      <c r="BC143" s="1"/>
      <c r="BD143" s="2"/>
      <c r="BE143" s="2"/>
      <c r="BF143" s="2"/>
      <c r="BG143" s="2"/>
      <c r="BH143" s="2"/>
      <c r="BI143" s="2"/>
      <c r="BJ143" s="2"/>
      <c r="BK143" s="2"/>
    </row>
    <row r="144" spans="1:63" outlineLevel="1" x14ac:dyDescent="0.2">
      <c r="A144" s="4" t="s">
        <v>478</v>
      </c>
      <c r="C144" s="230">
        <f>C$142*'Ethylene recycling rates'!E79</f>
        <v>7.3578560102018043E-4</v>
      </c>
      <c r="D144" s="230">
        <f>D$142*'Ethylene recycling rates'!F79</f>
        <v>8.921507907771937E-4</v>
      </c>
      <c r="E144" s="230">
        <f>E$142*'Ethylene recycling rates'!G79</f>
        <v>1.0337168059197208E-3</v>
      </c>
      <c r="F144" s="230">
        <f>F$142*'Ethylene recycling rates'!H79</f>
        <v>1.1590229095110702E-3</v>
      </c>
      <c r="G144" s="230">
        <f>G$142*'Ethylene recycling rates'!I79</f>
        <v>1.2668773408826724E-3</v>
      </c>
      <c r="H144" s="230">
        <f>H$142*'Ethylene recycling rates'!J79</f>
        <v>1.3563788664426094E-3</v>
      </c>
      <c r="I144" s="230">
        <f>I$142*'Ethylene recycling rates'!K79</f>
        <v>1.4300107080128502E-3</v>
      </c>
      <c r="J144" s="230">
        <f>J$142*'Ethylene recycling rates'!L79</f>
        <v>1.4878416165968408E-3</v>
      </c>
      <c r="K144" s="230">
        <f>K$142*'Ethylene recycling rates'!M79</f>
        <v>1.530031400680941E-3</v>
      </c>
      <c r="L144" s="230">
        <f>L$142*'Ethylene recycling rates'!N79</f>
        <v>1.5568328128861776E-3</v>
      </c>
      <c r="M144" s="230">
        <f>M$142*'Ethylene recycling rates'!O79</f>
        <v>1.5685930399605783E-3</v>
      </c>
      <c r="N144" s="230">
        <f>N$142*'Ethylene recycling rates'!P79</f>
        <v>1.6790007106250973E-3</v>
      </c>
      <c r="O144" s="230">
        <f>O$142*'Ethylene recycling rates'!Q79</f>
        <v>1.7557963922761567E-3</v>
      </c>
      <c r="P144" s="230">
        <f>P$142*'Ethylene recycling rates'!R79</f>
        <v>1.7937508233382832E-3</v>
      </c>
      <c r="Q144" s="230">
        <f>Q$142*'Ethylene recycling rates'!S79</f>
        <v>1.8002390459214671E-3</v>
      </c>
      <c r="R144" s="230">
        <f>R$142*'Ethylene recycling rates'!T79</f>
        <v>1.7773401987902949E-3</v>
      </c>
      <c r="S144" s="230">
        <f>S$142*'Ethylene recycling rates'!U79</f>
        <v>1.730613394506467E-3</v>
      </c>
      <c r="T144" s="230">
        <f>T$142*'Ethylene recycling rates'!V79</f>
        <v>1.6624508273483597E-3</v>
      </c>
      <c r="U144" s="230">
        <f>U$142*'Ethylene recycling rates'!W79</f>
        <v>1.5752996176269876E-3</v>
      </c>
      <c r="V144" s="230">
        <f>V$142*'Ethylene recycling rates'!X79</f>
        <v>1.4716587606250988E-3</v>
      </c>
      <c r="W144" s="230">
        <f>W$142*'Ethylene recycling rates'!Y79</f>
        <v>1.3540759738064521E-3</v>
      </c>
      <c r="X144" s="230">
        <f>X$142*'Ethylene recycling rates'!Z79</f>
        <v>1.271911050686453E-3</v>
      </c>
      <c r="Y144" s="230">
        <f>Y$142*'Ethylene recycling rates'!AA79</f>
        <v>1.1660853088922059E-3</v>
      </c>
      <c r="Z144" s="230">
        <f>Z$142*'Ethylene recycling rates'!AB79</f>
        <v>1.0323797501918608E-3</v>
      </c>
      <c r="AA144" s="230">
        <f>AA$142*'Ethylene recycling rates'!AC79</f>
        <v>8.8597208766199914E-4</v>
      </c>
      <c r="AB144" s="230">
        <f>AB$142*'Ethylene recycling rates'!AD79</f>
        <v>7.3161666457101078E-4</v>
      </c>
      <c r="AC144" s="230">
        <f>AC$142*'Ethylene recycling rates'!AE79</f>
        <v>5.739819351575137E-4</v>
      </c>
      <c r="AD144" s="230">
        <f>AD$142*'Ethylene recycling rates'!AF79</f>
        <v>4.176237786698616E-4</v>
      </c>
      <c r="AE144" s="230">
        <f>AE$142*'Ethylene recycling rates'!AG79</f>
        <v>2.6698445882737828E-4</v>
      </c>
      <c r="AF144" s="230">
        <f>AF$142*'Ethylene recycling rates'!AH79</f>
        <v>1.2638203555607081E-4</v>
      </c>
      <c r="AG144" s="230">
        <f>AG$142*'Ethylene recycling rates'!AI79</f>
        <v>0</v>
      </c>
      <c r="AH144" s="245"/>
      <c r="AI144" s="133"/>
      <c r="AJ144" s="211"/>
      <c r="AL144" s="108"/>
      <c r="AM144" s="2"/>
      <c r="AN144" s="2"/>
      <c r="AO144" s="2"/>
      <c r="BC144" s="1"/>
      <c r="BD144" s="2"/>
      <c r="BE144" s="2"/>
      <c r="BF144" s="2"/>
      <c r="BG144" s="2"/>
      <c r="BH144" s="2"/>
      <c r="BI144" s="2"/>
      <c r="BJ144" s="2"/>
      <c r="BK144" s="2"/>
    </row>
    <row r="145" spans="1:63" outlineLevel="1" x14ac:dyDescent="0.2">
      <c r="A145" s="4" t="s">
        <v>480</v>
      </c>
      <c r="C145" s="230">
        <f>C$142*'Ethylene recycling rates'!E80</f>
        <v>0</v>
      </c>
      <c r="D145" s="230">
        <f>D$142*'Ethylene recycling rates'!F80</f>
        <v>3.2939654350717597E-5</v>
      </c>
      <c r="E145" s="230">
        <f>E$142*'Ethylene recycling rates'!G80</f>
        <v>7.9059181188894837E-5</v>
      </c>
      <c r="F145" s="230">
        <f>F$142*'Ethylene recycling rates'!H80</f>
        <v>1.3788857445990195E-4</v>
      </c>
      <c r="G145" s="230">
        <f>G$142*'Ethylene recycling rates'!I80</f>
        <v>2.0868920404316316E-4</v>
      </c>
      <c r="H145" s="230">
        <f>H$142*'Ethylene recycling rates'!J80</f>
        <v>2.904623059783798E-4</v>
      </c>
      <c r="I145" s="230">
        <f>I$142*'Ethylene recycling rates'!K80</f>
        <v>3.8278778343156489E-4</v>
      </c>
      <c r="J145" s="230">
        <f>J$142*'Ethylene recycling rates'!L80</f>
        <v>4.8484807649542649E-4</v>
      </c>
      <c r="K145" s="230">
        <f>K$142*'Ethylene recycling rates'!M80</f>
        <v>5.9572581600260519E-4</v>
      </c>
      <c r="L145" s="230">
        <f>L$142*'Ethylene recycling rates'!N80</f>
        <v>7.1440413890887537E-4</v>
      </c>
      <c r="M145" s="230">
        <f>M$142*'Ethylene recycling rates'!O80</f>
        <v>8.3976749196103858E-4</v>
      </c>
      <c r="N145" s="230">
        <f>N$142*'Ethylene recycling rates'!P80</f>
        <v>1.0408034782409125E-3</v>
      </c>
      <c r="O145" s="230">
        <f>O$142*'Ethylene recycling rates'!Q80</f>
        <v>1.2533191169185553E-3</v>
      </c>
      <c r="P145" s="230">
        <f>P$142*'Ethylene recycling rates'!R80</f>
        <v>1.4687075084384156E-3</v>
      </c>
      <c r="Q145" s="230">
        <f>Q$142*'Ethylene recycling rates'!S80</f>
        <v>1.6866190481013136E-3</v>
      </c>
      <c r="R145" s="230">
        <f>R$142*'Ethylene recycling rates'!T80</f>
        <v>1.9030462115746359E-3</v>
      </c>
      <c r="S145" s="230">
        <f>S$142*'Ethylene recycling rates'!U80</f>
        <v>2.117730924225153E-3</v>
      </c>
      <c r="T145" s="230">
        <f>T$142*'Ethylene recycling rates'!V80</f>
        <v>2.3277329179060922E-3</v>
      </c>
      <c r="U145" s="230">
        <f>U$142*'Ethylene recycling rates'!W80</f>
        <v>2.5300738469712547E-3</v>
      </c>
      <c r="V145" s="230">
        <f>V$142*'Ethylene recycling rates'!X80</f>
        <v>2.7217410697504708E-3</v>
      </c>
      <c r="W145" s="230">
        <f>W$142*'Ethylene recycling rates'!Y80</f>
        <v>2.8996915209485385E-3</v>
      </c>
      <c r="X145" s="230">
        <f>X$142*'Ethylene recycling rates'!Z80</f>
        <v>3.1776956294605474E-3</v>
      </c>
      <c r="Y145" s="230">
        <f>Y$142*'Ethylene recycling rates'!AA80</f>
        <v>3.4335374483562488E-3</v>
      </c>
      <c r="Z145" s="230">
        <f>Z$142*'Ethylene recycling rates'!AB80</f>
        <v>3.6320184347425014E-3</v>
      </c>
      <c r="AA145" s="230">
        <f>AA$142*'Ethylene recycling rates'!AC80</f>
        <v>3.7945370866727867E-3</v>
      </c>
      <c r="AB145" s="230">
        <f>AB$142*'Ethylene recycling rates'!AD80</f>
        <v>3.9168087313401533E-3</v>
      </c>
      <c r="AC145" s="230">
        <f>AC$142*'Ethylene recycling rates'!AE80</f>
        <v>3.9947568629360251E-3</v>
      </c>
      <c r="AD145" s="230">
        <f>AD$142*'Ethylene recycling rates'!AF80</f>
        <v>4.0244496543874325E-3</v>
      </c>
      <c r="AE145" s="230">
        <f>AE$142*'Ethylene recycling rates'!AG80</f>
        <v>4.0021447136186356E-3</v>
      </c>
      <c r="AF145" s="230">
        <f>AF$142*'Ethylene recycling rates'!AH80</f>
        <v>3.9242992253555996E-3</v>
      </c>
      <c r="AG145" s="230">
        <f>AG$142*'Ethylene recycling rates'!AI80</f>
        <v>3.7875797464249931E-3</v>
      </c>
      <c r="AH145" s="245"/>
      <c r="AI145" s="133"/>
      <c r="AJ145" s="211"/>
      <c r="AL145" s="108"/>
      <c r="AM145" s="2"/>
      <c r="AN145" s="2"/>
      <c r="AO145" s="2"/>
      <c r="BC145" s="1"/>
      <c r="BD145" s="2"/>
      <c r="BE145" s="2"/>
      <c r="BF145" s="2"/>
      <c r="BG145" s="2"/>
      <c r="BH145" s="2"/>
      <c r="BI145" s="2"/>
      <c r="BJ145" s="2"/>
      <c r="BK145" s="2"/>
    </row>
    <row r="146" spans="1:63" outlineLevel="1" x14ac:dyDescent="0.2">
      <c r="A146" s="4" t="s">
        <v>474</v>
      </c>
      <c r="C146" s="230">
        <f>C$142*'Ethylene recycling rates'!E81</f>
        <v>0</v>
      </c>
      <c r="D146" s="230">
        <f>D$142*'Ethylene recycling rates'!F81</f>
        <v>0</v>
      </c>
      <c r="E146" s="230">
        <f>E$142*'Ethylene recycling rates'!G81</f>
        <v>0</v>
      </c>
      <c r="F146" s="230">
        <f>F$142*'Ethylene recycling rates'!H81</f>
        <v>0</v>
      </c>
      <c r="G146" s="230">
        <f>G$142*'Ethylene recycling rates'!I81</f>
        <v>0</v>
      </c>
      <c r="H146" s="230">
        <f>H$142*'Ethylene recycling rates'!J81</f>
        <v>0</v>
      </c>
      <c r="I146" s="230">
        <f>I$142*'Ethylene recycling rates'!K81</f>
        <v>0</v>
      </c>
      <c r="J146" s="230">
        <f>J$142*'Ethylene recycling rates'!L81</f>
        <v>0</v>
      </c>
      <c r="K146" s="230">
        <f>K$142*'Ethylene recycling rates'!M81</f>
        <v>0</v>
      </c>
      <c r="L146" s="230">
        <f>L$142*'Ethylene recycling rates'!N81</f>
        <v>0</v>
      </c>
      <c r="M146" s="230">
        <f>M$142*'Ethylene recycling rates'!O81</f>
        <v>0</v>
      </c>
      <c r="N146" s="230">
        <f>N$142*'Ethylene recycling rates'!P81</f>
        <v>0</v>
      </c>
      <c r="O146" s="230">
        <f>O$142*'Ethylene recycling rates'!Q81</f>
        <v>0</v>
      </c>
      <c r="P146" s="230">
        <f>P$142*'Ethylene recycling rates'!R81</f>
        <v>0</v>
      </c>
      <c r="Q146" s="230">
        <f>Q$142*'Ethylene recycling rates'!S81</f>
        <v>0</v>
      </c>
      <c r="R146" s="230">
        <f>R$142*'Ethylene recycling rates'!T81</f>
        <v>0</v>
      </c>
      <c r="S146" s="230">
        <f>S$142*'Ethylene recycling rates'!U81</f>
        <v>0</v>
      </c>
      <c r="T146" s="230">
        <f>T$142*'Ethylene recycling rates'!V81</f>
        <v>0</v>
      </c>
      <c r="U146" s="230">
        <f>U$142*'Ethylene recycling rates'!W81</f>
        <v>0</v>
      </c>
      <c r="V146" s="230">
        <f>V$142*'Ethylene recycling rates'!X81</f>
        <v>0</v>
      </c>
      <c r="W146" s="230">
        <f>W$142*'Ethylene recycling rates'!Y81</f>
        <v>0</v>
      </c>
      <c r="X146" s="230">
        <f>X$142*'Ethylene recycling rates'!Z81</f>
        <v>0</v>
      </c>
      <c r="Y146" s="230">
        <f>Y$142*'Ethylene recycling rates'!AA81</f>
        <v>0</v>
      </c>
      <c r="Z146" s="230">
        <f>Z$142*'Ethylene recycling rates'!AB81</f>
        <v>0</v>
      </c>
      <c r="AA146" s="230">
        <f>AA$142*'Ethylene recycling rates'!AC81</f>
        <v>0</v>
      </c>
      <c r="AB146" s="230">
        <f>AB$142*'Ethylene recycling rates'!AD81</f>
        <v>0</v>
      </c>
      <c r="AC146" s="230">
        <f>AC$142*'Ethylene recycling rates'!AE81</f>
        <v>0</v>
      </c>
      <c r="AD146" s="230">
        <f>AD$142*'Ethylene recycling rates'!AF81</f>
        <v>0</v>
      </c>
      <c r="AE146" s="230">
        <f>AE$142*'Ethylene recycling rates'!AG81</f>
        <v>0</v>
      </c>
      <c r="AF146" s="230">
        <f>AF$142*'Ethylene recycling rates'!AH81</f>
        <v>0</v>
      </c>
      <c r="AG146" s="230">
        <f>AG$142*'Ethylene recycling rates'!AI81</f>
        <v>0</v>
      </c>
      <c r="AH146" s="245"/>
      <c r="AI146" s="133"/>
      <c r="AJ146" s="211"/>
      <c r="AL146" s="108"/>
      <c r="AM146" s="2"/>
      <c r="AN146" s="2"/>
      <c r="AO146" s="2"/>
      <c r="BC146" s="1"/>
      <c r="BD146" s="2"/>
      <c r="BE146" s="2"/>
      <c r="BF146" s="2"/>
      <c r="BG146" s="2"/>
      <c r="BH146" s="2"/>
      <c r="BI146" s="2"/>
      <c r="BJ146" s="2"/>
      <c r="BK146" s="2"/>
    </row>
    <row r="147" spans="1:63" outlineLevel="1" x14ac:dyDescent="0.2">
      <c r="A147" s="4" t="s">
        <v>248</v>
      </c>
      <c r="C147" s="230">
        <f>C$142*'Ethylene recycling rates'!E82</f>
        <v>6.8454338952056058E-4</v>
      </c>
      <c r="D147" s="230">
        <f>D$142*'Ethylene recycling rates'!F82</f>
        <v>8.8393793776739705E-4</v>
      </c>
      <c r="E147" s="230">
        <f>E$142*'Ethylene recycling rates'!G82</f>
        <v>1.0911381642392764E-3</v>
      </c>
      <c r="F147" s="230">
        <f>F$142*'Ethylene recycling rates'!H82</f>
        <v>1.3040157067443648E-3</v>
      </c>
      <c r="G147" s="230">
        <f>G$142*'Ethylene recycling rates'!I82</f>
        <v>1.5202527350704257E-3</v>
      </c>
      <c r="H147" s="230">
        <f>H$142*'Ethylene recycling rates'!J82</f>
        <v>1.737375898625204E-3</v>
      </c>
      <c r="I147" s="230">
        <f>I$142*'Ethylene recycling rates'!K82</f>
        <v>1.9570078220600526E-3</v>
      </c>
      <c r="J147" s="230">
        <f>J$142*'Ethylene recycling rates'!L82</f>
        <v>2.1778742006567172E-3</v>
      </c>
      <c r="K147" s="230">
        <f>K$142*'Ethylene recycling rates'!M82</f>
        <v>2.3986220674234969E-3</v>
      </c>
      <c r="L147" s="230">
        <f>L$142*'Ethylene recycling rates'!N82</f>
        <v>2.6178220646074419E-3</v>
      </c>
      <c r="M147" s="230">
        <f>M$142*'Ethylene recycling rates'!O82</f>
        <v>2.8339711454471663E-3</v>
      </c>
      <c r="N147" s="230">
        <f>N$142*'Ethylene recycling rates'!P82</f>
        <v>3.2657664737318665E-3</v>
      </c>
      <c r="O147" s="230">
        <f>O$142*'Ethylene recycling rates'!Q82</f>
        <v>3.6850817456271783E-3</v>
      </c>
      <c r="P147" s="230">
        <f>P$142*'Ethylene recycling rates'!R82</f>
        <v>4.0729632054067729E-3</v>
      </c>
      <c r="Q147" s="230">
        <f>Q$142*'Ethylene recycling rates'!S82</f>
        <v>4.435700006579682E-3</v>
      </c>
      <c r="R147" s="230">
        <f>R$142*'Ethylene recycling rates'!T82</f>
        <v>4.7686665550830233E-3</v>
      </c>
      <c r="S147" s="230">
        <f>S$142*'Ethylene recycling rates'!U82</f>
        <v>5.0766123674004637E-3</v>
      </c>
      <c r="T147" s="230">
        <f>T$142*'Ethylene recycling rates'!V82</f>
        <v>5.3569500996352619E-3</v>
      </c>
      <c r="U147" s="230">
        <f>U$142*'Ethylene recycling rates'!W82</f>
        <v>5.6070811794773417E-3</v>
      </c>
      <c r="V147" s="230">
        <f>V$142*'Ethylene recycling rates'!X82</f>
        <v>5.8243991575421591E-3</v>
      </c>
      <c r="W147" s="230">
        <f>W$142*'Ethylene recycling rates'!Y82</f>
        <v>6.0062931128976003E-3</v>
      </c>
      <c r="X147" s="230">
        <f>X$142*'Ethylene recycling rates'!Z82</f>
        <v>6.3849166388329969E-3</v>
      </c>
      <c r="Y147" s="230">
        <f>Y$142*'Ethylene recycling rates'!AA82</f>
        <v>6.7052495957013137E-3</v>
      </c>
      <c r="Z147" s="230">
        <f>Z$142*'Ethylene recycling rates'!AB82</f>
        <v>6.9057501458879541E-3</v>
      </c>
      <c r="AA147" s="230">
        <f>AA$142*'Ethylene recycling rates'!AC82</f>
        <v>7.0355662865273063E-3</v>
      </c>
      <c r="AB147" s="230">
        <f>AB$142*'Ethylene recycling rates'!AD82</f>
        <v>7.0921076535178087E-3</v>
      </c>
      <c r="AC147" s="230">
        <f>AC$142*'Ethylene recycling rates'!AE82</f>
        <v>7.07304472483647E-3</v>
      </c>
      <c r="AD147" s="230">
        <f>AD$142*'Ethylene recycling rates'!AF82</f>
        <v>6.9761800688252617E-3</v>
      </c>
      <c r="AE147" s="230">
        <f>AE$142*'Ethylene recycling rates'!AG82</f>
        <v>6.7995206378562191E-3</v>
      </c>
      <c r="AF147" s="230">
        <f>AF$142*'Ethylene recycling rates'!AH82</f>
        <v>6.541284518632169E-3</v>
      </c>
      <c r="AG147" s="230">
        <f>AG$142*'Ethylene recycling rates'!AI82</f>
        <v>6.1999073230171011E-3</v>
      </c>
      <c r="AH147" s="245"/>
      <c r="AI147" s="133"/>
      <c r="AJ147" s="211"/>
      <c r="AL147" s="108"/>
      <c r="AM147" s="2"/>
      <c r="AN147" s="2"/>
      <c r="AO147" s="2"/>
      <c r="BC147" s="1"/>
      <c r="BD147" s="2"/>
      <c r="BE147" s="2"/>
      <c r="BF147" s="2"/>
      <c r="BG147" s="2"/>
      <c r="BH147" s="2"/>
      <c r="BI147" s="2"/>
      <c r="BJ147" s="2"/>
      <c r="BK147" s="2"/>
    </row>
    <row r="148" spans="1:63" s="1" customFormat="1" outlineLevel="1" x14ac:dyDescent="0.2">
      <c r="A148" s="1" t="s">
        <v>1329</v>
      </c>
      <c r="B148" s="65"/>
      <c r="C148" s="300">
        <f>C46*C128</f>
        <v>2.2059115099156805E-2</v>
      </c>
      <c r="D148" s="300">
        <f t="shared" ref="D148:AG148" si="107">D46*D128</f>
        <v>2.7669309654602785E-2</v>
      </c>
      <c r="E148" s="300">
        <f t="shared" si="107"/>
        <v>3.3204856099335836E-2</v>
      </c>
      <c r="F148" s="300">
        <f t="shared" si="107"/>
        <v>3.8608800848772544E-2</v>
      </c>
      <c r="G148" s="300">
        <f t="shared" si="107"/>
        <v>4.3824732849064262E-2</v>
      </c>
      <c r="H148" s="300">
        <f t="shared" si="107"/>
        <v>4.8797667404367806E-2</v>
      </c>
      <c r="I148" s="300">
        <f t="shared" si="107"/>
        <v>5.3590289680419081E-2</v>
      </c>
      <c r="J148" s="300">
        <f t="shared" si="107"/>
        <v>5.818176917945117E-2</v>
      </c>
      <c r="K148" s="300">
        <f t="shared" si="107"/>
        <v>6.2551210680273542E-2</v>
      </c>
      <c r="L148" s="300">
        <f t="shared" si="107"/>
        <v>6.6677719631495047E-2</v>
      </c>
      <c r="M148" s="300">
        <f t="shared" si="107"/>
        <v>7.0540469324727212E-2</v>
      </c>
      <c r="N148" s="300">
        <f t="shared" si="107"/>
        <v>7.9479538338396938E-2</v>
      </c>
      <c r="O148" s="300">
        <f t="shared" si="107"/>
        <v>8.7732338184298847E-2</v>
      </c>
      <c r="P148" s="300">
        <f t="shared" si="107"/>
        <v>9.4901100545251471E-2</v>
      </c>
      <c r="Q148" s="300">
        <f t="shared" si="107"/>
        <v>0.10119714288607878</v>
      </c>
      <c r="R148" s="300">
        <f t="shared" si="107"/>
        <v>0.10657058784817959</v>
      </c>
      <c r="S148" s="300">
        <f t="shared" si="107"/>
        <v>0.11118087352182053</v>
      </c>
      <c r="T148" s="300">
        <f t="shared" si="107"/>
        <v>0.11501739123771275</v>
      </c>
      <c r="U148" s="300">
        <f t="shared" si="107"/>
        <v>0.11807011285865855</v>
      </c>
      <c r="V148" s="300">
        <f t="shared" si="107"/>
        <v>0.12032960518896817</v>
      </c>
      <c r="W148" s="300">
        <f t="shared" si="107"/>
        <v>0.12178704387983859</v>
      </c>
      <c r="X148" s="300">
        <f t="shared" si="107"/>
        <v>0.12710782517842187</v>
      </c>
      <c r="Y148" s="300">
        <f t="shared" si="107"/>
        <v>0.1310987025736022</v>
      </c>
      <c r="Z148" s="300">
        <f t="shared" si="107"/>
        <v>0.13264762979059569</v>
      </c>
      <c r="AA148" s="300">
        <f t="shared" si="107"/>
        <v>0.13280879803354753</v>
      </c>
      <c r="AB148" s="300">
        <f t="shared" si="107"/>
        <v>0.13160477337302914</v>
      </c>
      <c r="AC148" s="300">
        <f t="shared" si="107"/>
        <v>0.12906137557177924</v>
      </c>
      <c r="AD148" s="300">
        <f t="shared" si="107"/>
        <v>0.1252051003587201</v>
      </c>
      <c r="AE148" s="300">
        <f t="shared" si="107"/>
        <v>0.12006434140855904</v>
      </c>
      <c r="AF148" s="300">
        <f t="shared" si="107"/>
        <v>0.11366935687236908</v>
      </c>
      <c r="AG148" s="300">
        <f t="shared" si="107"/>
        <v>0.10605223289989983</v>
      </c>
      <c r="AH148" s="422"/>
      <c r="AI148" s="423"/>
      <c r="AJ148" s="424"/>
      <c r="AL148" s="221"/>
      <c r="AM148" s="124"/>
      <c r="AN148" s="124"/>
      <c r="AO148" s="124"/>
      <c r="BD148" s="124"/>
      <c r="BE148" s="124"/>
      <c r="BF148" s="124"/>
      <c r="BG148" s="124"/>
      <c r="BH148" s="124"/>
      <c r="BI148" s="124"/>
      <c r="BJ148" s="124"/>
      <c r="BK148" s="124"/>
    </row>
    <row r="149" spans="1:63" outlineLevel="1" x14ac:dyDescent="0.2">
      <c r="A149" s="4" t="s">
        <v>258</v>
      </c>
      <c r="C149" s="230">
        <f>C$148*'Ethylene recycling rates'!E83</f>
        <v>1.779812812753458E-2</v>
      </c>
      <c r="D149" s="230">
        <f>D$148*'Ethylene recycling rates'!F83</f>
        <v>2.2242224505916858E-2</v>
      </c>
      <c r="E149" s="230">
        <f>E$148*'Ethylene recycling rates'!G83</f>
        <v>2.6593113645292162E-2</v>
      </c>
      <c r="F149" s="230">
        <f>F$148*'Ethylene recycling rates'!H83</f>
        <v>3.0806019276626535E-2</v>
      </c>
      <c r="G149" s="230">
        <f>G$148*'Ethylene recycling rates'!I83</f>
        <v>3.4837275009075484E-2</v>
      </c>
      <c r="H149" s="230">
        <f>H$148*'Ethylene recycling rates'!J83</f>
        <v>3.8645016191229231E-2</v>
      </c>
      <c r="I149" s="230">
        <f>I$148*'Ethylene recycling rates'!K83</f>
        <v>4.228087073990569E-2</v>
      </c>
      <c r="J149" s="230">
        <f>J$148*'Ethylene recycling rates'!L83</f>
        <v>4.5730077498204229E-2</v>
      </c>
      <c r="K149" s="230">
        <f>K$148*'Ethylene recycling rates'!M83</f>
        <v>4.8978072827952426E-2</v>
      </c>
      <c r="L149" s="230">
        <f>L$148*'Ethylene recycling rates'!N83</f>
        <v>5.2010542582287579E-2</v>
      </c>
      <c r="M149" s="230">
        <f>M$148*'Ethylene recycling rates'!O83</f>
        <v>5.4813474292620894E-2</v>
      </c>
      <c r="N149" s="230">
        <f>N$148*'Ethylene recycling rates'!P83</f>
        <v>6.1522826350603341E-2</v>
      </c>
      <c r="O149" s="230">
        <f>O$148*'Ethylene recycling rates'!Q83</f>
        <v>6.764974641983322E-2</v>
      </c>
      <c r="P149" s="230">
        <f>P$148*'Ethylene recycling rates'!R83</f>
        <v>7.2894835933701094E-2</v>
      </c>
      <c r="Q149" s="230">
        <f>Q$148*'Ethylene recycling rates'!S83</f>
        <v>7.7429468584271452E-2</v>
      </c>
      <c r="R149" s="230">
        <f>R$148*'Ethylene recycling rates'!T83</f>
        <v>8.1223428951835791E-2</v>
      </c>
      <c r="S149" s="230">
        <f>S$148*'Ethylene recycling rates'!U83</f>
        <v>8.4406003463424348E-2</v>
      </c>
      <c r="T149" s="230">
        <f>T$148*'Ethylene recycling rates'!V83</f>
        <v>8.6975989703043696E-2</v>
      </c>
      <c r="U149" s="230">
        <f>U$148*'Ethylene recycling rates'!W83</f>
        <v>8.8932748926431895E-2</v>
      </c>
      <c r="V149" s="230">
        <f>V$148*'Ethylene recycling rates'!X83</f>
        <v>9.0276208225215093E-2</v>
      </c>
      <c r="W149" s="230">
        <f>W$148*'Ethylene recycling rates'!Y83</f>
        <v>9.1006862056880938E-2</v>
      </c>
      <c r="X149" s="230">
        <f>X$148*'Ethylene recycling rates'!Z83</f>
        <v>9.4604255221482011E-2</v>
      </c>
      <c r="Y149" s="230">
        <f>Y$148*'Ethylene recycling rates'!AA83</f>
        <v>9.7184085514753035E-2</v>
      </c>
      <c r="Z149" s="230">
        <f>Z$148*'Ethylene recycling rates'!AB83</f>
        <v>9.7937184798128893E-2</v>
      </c>
      <c r="AA149" s="230">
        <f>AA$148*'Ethylene recycling rates'!AC83</f>
        <v>9.7660571650961411E-2</v>
      </c>
      <c r="AB149" s="230">
        <f>AB$148*'Ethylene recycling rates'!AD83</f>
        <v>9.6383174224742379E-2</v>
      </c>
      <c r="AC149" s="230">
        <f>AC$148*'Ethylene recycling rates'!AE83</f>
        <v>9.4136025002989385E-2</v>
      </c>
      <c r="AD149" s="230">
        <f>AD$148*'Ethylene recycling rates'!AF83</f>
        <v>9.0950339853072604E-2</v>
      </c>
      <c r="AE149" s="230">
        <f>AE$148*'Ethylene recycling rates'!AG83</f>
        <v>8.6858391977652508E-2</v>
      </c>
      <c r="AF149" s="230">
        <f>AF$148*'Ethylene recycling rates'!AH83</f>
        <v>8.1893459533737722E-2</v>
      </c>
      <c r="AG149" s="230">
        <f>AG$148*'Ethylene recycling rates'!AI83</f>
        <v>7.6089771691573535E-2</v>
      </c>
      <c r="AH149" s="245"/>
      <c r="AI149" s="133"/>
      <c r="AJ149" s="211"/>
      <c r="AL149" s="108"/>
      <c r="AM149" s="2"/>
      <c r="AN149" s="2"/>
      <c r="AO149" s="2"/>
      <c r="BC149" s="1"/>
      <c r="BD149" s="2"/>
      <c r="BE149" s="2"/>
      <c r="BF149" s="2"/>
      <c r="BG149" s="2"/>
      <c r="BH149" s="2"/>
      <c r="BI149" s="2"/>
      <c r="BJ149" s="2"/>
      <c r="BK149" s="2"/>
    </row>
    <row r="150" spans="1:63" outlineLevel="1" x14ac:dyDescent="0.2">
      <c r="A150" s="4" t="s">
        <v>478</v>
      </c>
      <c r="C150" s="230">
        <f>C$148*'Ethylene recycling rates'!E84</f>
        <v>2.2073568030605414E-3</v>
      </c>
      <c r="D150" s="230">
        <f>D$148*'Ethylene recycling rates'!F84</f>
        <v>2.6764523723315815E-3</v>
      </c>
      <c r="E150" s="230">
        <f>E$148*'Ethylene recycling rates'!G84</f>
        <v>3.1011504177591628E-3</v>
      </c>
      <c r="F150" s="230">
        <f>F$148*'Ethylene recycling rates'!H84</f>
        <v>3.477068728533211E-3</v>
      </c>
      <c r="G150" s="230">
        <f>G$148*'Ethylene recycling rates'!I84</f>
        <v>3.8006320226480167E-3</v>
      </c>
      <c r="H150" s="230">
        <f>H$148*'Ethylene recycling rates'!J84</f>
        <v>4.0691365993278279E-3</v>
      </c>
      <c r="I150" s="230">
        <f>I$148*'Ethylene recycling rates'!K84</f>
        <v>4.2900321240385503E-3</v>
      </c>
      <c r="J150" s="230">
        <f>J$148*'Ethylene recycling rates'!L84</f>
        <v>4.4635248497905218E-3</v>
      </c>
      <c r="K150" s="230">
        <f>K$148*'Ethylene recycling rates'!M84</f>
        <v>4.5900942020428237E-3</v>
      </c>
      <c r="L150" s="230">
        <f>L$148*'Ethylene recycling rates'!N84</f>
        <v>4.6704984386585343E-3</v>
      </c>
      <c r="M150" s="230">
        <f>M$148*'Ethylene recycling rates'!O84</f>
        <v>4.7057791198817332E-3</v>
      </c>
      <c r="N150" s="230">
        <f>N$148*'Ethylene recycling rates'!P84</f>
        <v>5.0370021318752924E-3</v>
      </c>
      <c r="O150" s="230">
        <f>O$148*'Ethylene recycling rates'!Q84</f>
        <v>5.2673891768284693E-3</v>
      </c>
      <c r="P150" s="230">
        <f>P$148*'Ethylene recycling rates'!R84</f>
        <v>5.3812524700148513E-3</v>
      </c>
      <c r="Q150" s="230">
        <f>Q$148*'Ethylene recycling rates'!S84</f>
        <v>5.4007171377644008E-3</v>
      </c>
      <c r="R150" s="230">
        <f>R$148*'Ethylene recycling rates'!T84</f>
        <v>5.3320205963708848E-3</v>
      </c>
      <c r="S150" s="230">
        <f>S$148*'Ethylene recycling rates'!U84</f>
        <v>5.1918401835194016E-3</v>
      </c>
      <c r="T150" s="230">
        <f>T$148*'Ethylene recycling rates'!V84</f>
        <v>4.9873524820450788E-3</v>
      </c>
      <c r="U150" s="230">
        <f>U$148*'Ethylene recycling rates'!W84</f>
        <v>4.725898852880963E-3</v>
      </c>
      <c r="V150" s="230">
        <f>V$148*'Ethylene recycling rates'!X84</f>
        <v>4.4149762818752958E-3</v>
      </c>
      <c r="W150" s="230">
        <f>W$148*'Ethylene recycling rates'!Y84</f>
        <v>4.0622279214193556E-3</v>
      </c>
      <c r="X150" s="230">
        <f>X$148*'Ethylene recycling rates'!Z84</f>
        <v>3.8157331520593586E-3</v>
      </c>
      <c r="Y150" s="230">
        <f>Y$148*'Ethylene recycling rates'!AA84</f>
        <v>3.4982559266766178E-3</v>
      </c>
      <c r="Z150" s="230">
        <f>Z$148*'Ethylene recycling rates'!AB84</f>
        <v>3.0971392505755825E-3</v>
      </c>
      <c r="AA150" s="230">
        <f>AA$148*'Ethylene recycling rates'!AC84</f>
        <v>2.6579162629859977E-3</v>
      </c>
      <c r="AB150" s="230">
        <f>AB$148*'Ethylene recycling rates'!AD84</f>
        <v>2.1948499937130325E-3</v>
      </c>
      <c r="AC150" s="230">
        <f>AC$148*'Ethylene recycling rates'!AE84</f>
        <v>1.7219458054725412E-3</v>
      </c>
      <c r="AD150" s="230">
        <f>AD$148*'Ethylene recycling rates'!AF84</f>
        <v>1.252871336009585E-3</v>
      </c>
      <c r="AE150" s="230">
        <f>AE$148*'Ethylene recycling rates'!AG84</f>
        <v>8.0095337648213472E-4</v>
      </c>
      <c r="AF150" s="230">
        <f>AF$148*'Ethylene recycling rates'!AH84</f>
        <v>3.7914610666821253E-4</v>
      </c>
      <c r="AG150" s="230">
        <f>AG$148*'Ethylene recycling rates'!AI84</f>
        <v>0</v>
      </c>
      <c r="AH150" s="245"/>
      <c r="AI150" s="133"/>
      <c r="AJ150" s="211"/>
      <c r="AL150" s="108"/>
      <c r="AM150" s="2"/>
      <c r="AN150" s="2"/>
      <c r="AO150" s="2"/>
      <c r="BC150" s="1"/>
      <c r="BD150" s="2"/>
      <c r="BE150" s="2"/>
      <c r="BF150" s="2"/>
      <c r="BG150" s="2"/>
      <c r="BH150" s="2"/>
      <c r="BI150" s="2"/>
      <c r="BJ150" s="2"/>
      <c r="BK150" s="2"/>
    </row>
    <row r="151" spans="1:63" outlineLevel="1" x14ac:dyDescent="0.2">
      <c r="A151" s="4" t="s">
        <v>480</v>
      </c>
      <c r="C151" s="230">
        <f>C$148*'Ethylene recycling rates'!E85</f>
        <v>0</v>
      </c>
      <c r="D151" s="230">
        <f>D$148*'Ethylene recycling rates'!F85</f>
        <v>9.8818963052152797E-5</v>
      </c>
      <c r="E151" s="230">
        <f>E$148*'Ethylene recycling rates'!G85</f>
        <v>2.3717754356668454E-4</v>
      </c>
      <c r="F151" s="230">
        <f>F$148*'Ethylene recycling rates'!H85</f>
        <v>4.1366572337970582E-4</v>
      </c>
      <c r="G151" s="230">
        <f>G$148*'Ethylene recycling rates'!I85</f>
        <v>6.2606761212948947E-4</v>
      </c>
      <c r="H151" s="230">
        <f>H$148*'Ethylene recycling rates'!J85</f>
        <v>8.7138691793513939E-4</v>
      </c>
      <c r="I151" s="230">
        <f>I$148*'Ethylene recycling rates'!K85</f>
        <v>1.1483633502946946E-3</v>
      </c>
      <c r="J151" s="230">
        <f>J$148*'Ethylene recycling rates'!L85</f>
        <v>1.4545442294862793E-3</v>
      </c>
      <c r="K151" s="230">
        <f>K$148*'Ethylene recycling rates'!M85</f>
        <v>1.7871774480078156E-3</v>
      </c>
      <c r="L151" s="230">
        <f>L$148*'Ethylene recycling rates'!N85</f>
        <v>2.143212416726627E-3</v>
      </c>
      <c r="M151" s="230">
        <f>M$148*'Ethylene recycling rates'!O85</f>
        <v>2.5193024758831152E-3</v>
      </c>
      <c r="N151" s="230">
        <f>N$148*'Ethylene recycling rates'!P85</f>
        <v>3.1224104347227374E-3</v>
      </c>
      <c r="O151" s="230">
        <f>O$148*'Ethylene recycling rates'!Q85</f>
        <v>3.7599573507556654E-3</v>
      </c>
      <c r="P151" s="230">
        <f>P$148*'Ethylene recycling rates'!R85</f>
        <v>4.4061225253152481E-3</v>
      </c>
      <c r="Q151" s="230">
        <f>Q$148*'Ethylene recycling rates'!S85</f>
        <v>5.0598571443039404E-3</v>
      </c>
      <c r="R151" s="230">
        <f>R$148*'Ethylene recycling rates'!T85</f>
        <v>5.7091386347239079E-3</v>
      </c>
      <c r="S151" s="230">
        <f>S$148*'Ethylene recycling rates'!U85</f>
        <v>6.3531927726754606E-3</v>
      </c>
      <c r="T151" s="230">
        <f>T$148*'Ethylene recycling rates'!V85</f>
        <v>6.9831987537182756E-3</v>
      </c>
      <c r="U151" s="230">
        <f>U$148*'Ethylene recycling rates'!W85</f>
        <v>7.5902215409137646E-3</v>
      </c>
      <c r="V151" s="230">
        <f>V$148*'Ethylene recycling rates'!X85</f>
        <v>8.1652232092514123E-3</v>
      </c>
      <c r="W151" s="230">
        <f>W$148*'Ethylene recycling rates'!Y85</f>
        <v>8.6990745628456149E-3</v>
      </c>
      <c r="X151" s="230">
        <f>X$148*'Ethylene recycling rates'!Z85</f>
        <v>9.5330868883816422E-3</v>
      </c>
      <c r="Y151" s="230">
        <f>Y$148*'Ethylene recycling rates'!AA85</f>
        <v>1.0300612345068747E-2</v>
      </c>
      <c r="Z151" s="230">
        <f>Z$148*'Ethylene recycling rates'!AB85</f>
        <v>1.0896055304227504E-2</v>
      </c>
      <c r="AA151" s="230">
        <f>AA$148*'Ethylene recycling rates'!AC85</f>
        <v>1.1383611260018361E-2</v>
      </c>
      <c r="AB151" s="230">
        <f>AB$148*'Ethylene recycling rates'!AD85</f>
        <v>1.1750426194020461E-2</v>
      </c>
      <c r="AC151" s="230">
        <f>AC$148*'Ethylene recycling rates'!AE85</f>
        <v>1.1984270588808075E-2</v>
      </c>
      <c r="AD151" s="230">
        <f>AD$148*'Ethylene recycling rates'!AF85</f>
        <v>1.2073348963162298E-2</v>
      </c>
      <c r="AE151" s="230">
        <f>AE$148*'Ethylene recycling rates'!AG85</f>
        <v>1.2006434140855907E-2</v>
      </c>
      <c r="AF151" s="230">
        <f>AF$148*'Ethylene recycling rates'!AH85</f>
        <v>1.1772897676066799E-2</v>
      </c>
      <c r="AG151" s="230">
        <f>AG$148*'Ethylene recycling rates'!AI85</f>
        <v>1.1362739239274982E-2</v>
      </c>
      <c r="AH151" s="245"/>
      <c r="AI151" s="133"/>
      <c r="AJ151" s="211"/>
      <c r="AL151" s="108"/>
      <c r="AM151" s="2"/>
      <c r="AN151" s="2"/>
      <c r="AO151" s="2"/>
      <c r="BC151" s="1"/>
      <c r="BD151" s="2"/>
      <c r="BE151" s="2"/>
      <c r="BF151" s="2"/>
      <c r="BG151" s="2"/>
      <c r="BH151" s="2"/>
      <c r="BI151" s="2"/>
      <c r="BJ151" s="2"/>
      <c r="BK151" s="2"/>
    </row>
    <row r="152" spans="1:63" outlineLevel="1" x14ac:dyDescent="0.2">
      <c r="A152" s="4" t="s">
        <v>474</v>
      </c>
      <c r="C152" s="230">
        <f>C$148*'Ethylene recycling rates'!E86</f>
        <v>0</v>
      </c>
      <c r="D152" s="230">
        <f>D$148*'Ethylene recycling rates'!F86</f>
        <v>0</v>
      </c>
      <c r="E152" s="230">
        <f>E$148*'Ethylene recycling rates'!G86</f>
        <v>0</v>
      </c>
      <c r="F152" s="230">
        <f>F$148*'Ethylene recycling rates'!H86</f>
        <v>0</v>
      </c>
      <c r="G152" s="230">
        <f>G$148*'Ethylene recycling rates'!I86</f>
        <v>0</v>
      </c>
      <c r="H152" s="230">
        <f>H$148*'Ethylene recycling rates'!J86</f>
        <v>0</v>
      </c>
      <c r="I152" s="230">
        <f>I$148*'Ethylene recycling rates'!K86</f>
        <v>0</v>
      </c>
      <c r="J152" s="230">
        <f>J$148*'Ethylene recycling rates'!L86</f>
        <v>0</v>
      </c>
      <c r="K152" s="230">
        <f>K$148*'Ethylene recycling rates'!M86</f>
        <v>0</v>
      </c>
      <c r="L152" s="230">
        <f>L$148*'Ethylene recycling rates'!N86</f>
        <v>0</v>
      </c>
      <c r="M152" s="230">
        <f>M$148*'Ethylene recycling rates'!O86</f>
        <v>0</v>
      </c>
      <c r="N152" s="230">
        <f>N$148*'Ethylene recycling rates'!P86</f>
        <v>0</v>
      </c>
      <c r="O152" s="230">
        <f>O$148*'Ethylene recycling rates'!Q86</f>
        <v>0</v>
      </c>
      <c r="P152" s="230">
        <f>P$148*'Ethylene recycling rates'!R86</f>
        <v>0</v>
      </c>
      <c r="Q152" s="230">
        <f>Q$148*'Ethylene recycling rates'!S86</f>
        <v>0</v>
      </c>
      <c r="R152" s="230">
        <f>R$148*'Ethylene recycling rates'!T86</f>
        <v>0</v>
      </c>
      <c r="S152" s="230">
        <f>S$148*'Ethylene recycling rates'!U86</f>
        <v>0</v>
      </c>
      <c r="T152" s="230">
        <f>T$148*'Ethylene recycling rates'!V86</f>
        <v>0</v>
      </c>
      <c r="U152" s="230">
        <f>U$148*'Ethylene recycling rates'!W86</f>
        <v>0</v>
      </c>
      <c r="V152" s="230">
        <f>V$148*'Ethylene recycling rates'!X86</f>
        <v>0</v>
      </c>
      <c r="W152" s="230">
        <f>W$148*'Ethylene recycling rates'!Y86</f>
        <v>0</v>
      </c>
      <c r="X152" s="230">
        <f>X$148*'Ethylene recycling rates'!Z86</f>
        <v>0</v>
      </c>
      <c r="Y152" s="230">
        <f>Y$148*'Ethylene recycling rates'!AA86</f>
        <v>0</v>
      </c>
      <c r="Z152" s="230">
        <f>Z$148*'Ethylene recycling rates'!AB86</f>
        <v>0</v>
      </c>
      <c r="AA152" s="230">
        <f>AA$148*'Ethylene recycling rates'!AC86</f>
        <v>0</v>
      </c>
      <c r="AB152" s="230">
        <f>AB$148*'Ethylene recycling rates'!AD86</f>
        <v>0</v>
      </c>
      <c r="AC152" s="230">
        <f>AC$148*'Ethylene recycling rates'!AE86</f>
        <v>0</v>
      </c>
      <c r="AD152" s="230">
        <f>AD$148*'Ethylene recycling rates'!AF86</f>
        <v>0</v>
      </c>
      <c r="AE152" s="230">
        <f>AE$148*'Ethylene recycling rates'!AG86</f>
        <v>0</v>
      </c>
      <c r="AF152" s="230">
        <f>AF$148*'Ethylene recycling rates'!AH86</f>
        <v>0</v>
      </c>
      <c r="AG152" s="230">
        <f>AG$148*'Ethylene recycling rates'!AI86</f>
        <v>0</v>
      </c>
      <c r="AH152" s="245"/>
      <c r="AI152" s="133"/>
      <c r="AJ152" s="211"/>
      <c r="AL152" s="108"/>
      <c r="AM152" s="2"/>
      <c r="AN152" s="2"/>
      <c r="AO152" s="2"/>
      <c r="BC152" s="1"/>
      <c r="BD152" s="2"/>
      <c r="BE152" s="2"/>
      <c r="BF152" s="2"/>
      <c r="BG152" s="2"/>
      <c r="BH152" s="2"/>
      <c r="BI152" s="2"/>
      <c r="BJ152" s="2"/>
      <c r="BK152" s="2"/>
    </row>
    <row r="153" spans="1:63" outlineLevel="1" x14ac:dyDescent="0.2">
      <c r="A153" s="4" t="s">
        <v>248</v>
      </c>
      <c r="C153" s="230">
        <f>C$148*'Ethylene recycling rates'!E87</f>
        <v>2.0536301685616823E-3</v>
      </c>
      <c r="D153" s="230">
        <f>D$148*'Ethylene recycling rates'!F87</f>
        <v>2.6518138133021915E-3</v>
      </c>
      <c r="E153" s="230">
        <f>E$148*'Ethylene recycling rates'!G87</f>
        <v>3.2734144927178293E-3</v>
      </c>
      <c r="F153" s="230">
        <f>F$148*'Ethylene recycling rates'!H87</f>
        <v>3.9120471202330944E-3</v>
      </c>
      <c r="G153" s="230">
        <f>G$148*'Ethylene recycling rates'!I87</f>
        <v>4.5607582052112766E-3</v>
      </c>
      <c r="H153" s="230">
        <f>H$148*'Ethylene recycling rates'!J87</f>
        <v>5.2121276958756119E-3</v>
      </c>
      <c r="I153" s="230">
        <f>I$148*'Ethylene recycling rates'!K87</f>
        <v>5.8710234661801565E-3</v>
      </c>
      <c r="J153" s="230">
        <f>J$148*'Ethylene recycling rates'!L87</f>
        <v>6.533622601970151E-3</v>
      </c>
      <c r="K153" s="230">
        <f>K$148*'Ethylene recycling rates'!M87</f>
        <v>7.1958662022704907E-3</v>
      </c>
      <c r="L153" s="230">
        <f>L$148*'Ethylene recycling rates'!N87</f>
        <v>7.8534661938223279E-3</v>
      </c>
      <c r="M153" s="230">
        <f>M$148*'Ethylene recycling rates'!O87</f>
        <v>8.5019134363414958E-3</v>
      </c>
      <c r="N153" s="230">
        <f>N$148*'Ethylene recycling rates'!P87</f>
        <v>9.7972994211955999E-3</v>
      </c>
      <c r="O153" s="230">
        <f>O$148*'Ethylene recycling rates'!Q87</f>
        <v>1.1055245236881533E-2</v>
      </c>
      <c r="P153" s="230">
        <f>P$148*'Ethylene recycling rates'!R87</f>
        <v>1.2218889616220323E-2</v>
      </c>
      <c r="Q153" s="230">
        <f>Q$148*'Ethylene recycling rates'!S87</f>
        <v>1.3307100019739044E-2</v>
      </c>
      <c r="R153" s="230">
        <f>R$148*'Ethylene recycling rates'!T87</f>
        <v>1.4305999665249073E-2</v>
      </c>
      <c r="S153" s="230">
        <f>S$148*'Ethylene recycling rates'!U87</f>
        <v>1.5229837102201394E-2</v>
      </c>
      <c r="T153" s="230">
        <f>T$148*'Ethylene recycling rates'!V87</f>
        <v>1.6070850298905787E-2</v>
      </c>
      <c r="U153" s="230">
        <f>U$148*'Ethylene recycling rates'!W87</f>
        <v>1.6821243538432028E-2</v>
      </c>
      <c r="V153" s="230">
        <f>V$148*'Ethylene recycling rates'!X87</f>
        <v>1.7473197472626475E-2</v>
      </c>
      <c r="W153" s="230">
        <f>W$148*'Ethylene recycling rates'!Y87</f>
        <v>1.8018879338692801E-2</v>
      </c>
      <c r="X153" s="230">
        <f>X$148*'Ethylene recycling rates'!Z87</f>
        <v>1.915474991649899E-2</v>
      </c>
      <c r="Y153" s="230">
        <f>Y$148*'Ethylene recycling rates'!AA87</f>
        <v>2.011574878710394E-2</v>
      </c>
      <c r="Z153" s="230">
        <f>Z$148*'Ethylene recycling rates'!AB87</f>
        <v>2.0717250437663863E-2</v>
      </c>
      <c r="AA153" s="230">
        <f>AA$148*'Ethylene recycling rates'!AC87</f>
        <v>2.110669885958192E-2</v>
      </c>
      <c r="AB153" s="230">
        <f>AB$148*'Ethylene recycling rates'!AD87</f>
        <v>2.1276322960553429E-2</v>
      </c>
      <c r="AC153" s="230">
        <f>AC$148*'Ethylene recycling rates'!AE87</f>
        <v>2.1219134174509411E-2</v>
      </c>
      <c r="AD153" s="230">
        <f>AD$148*'Ethylene recycling rates'!AF87</f>
        <v>2.0928540206475787E-2</v>
      </c>
      <c r="AE153" s="230">
        <f>AE$148*'Ethylene recycling rates'!AG87</f>
        <v>2.0398561913568657E-2</v>
      </c>
      <c r="AF153" s="230">
        <f>AF$148*'Ethylene recycling rates'!AH87</f>
        <v>1.9623853555896513E-2</v>
      </c>
      <c r="AG153" s="230">
        <f>AG$148*'Ethylene recycling rates'!AI87</f>
        <v>1.8599721969051308E-2</v>
      </c>
      <c r="AH153" s="245"/>
      <c r="AI153" s="133"/>
      <c r="AJ153" s="211"/>
      <c r="AL153" s="108"/>
      <c r="AM153" s="2"/>
      <c r="AN153" s="2"/>
      <c r="AO153" s="2"/>
      <c r="BC153" s="1"/>
      <c r="BD153" s="2"/>
      <c r="BE153" s="2"/>
      <c r="BF153" s="2"/>
      <c r="BG153" s="2"/>
      <c r="BH153" s="2"/>
      <c r="BI153" s="2"/>
      <c r="BJ153" s="2"/>
      <c r="BK153" s="2"/>
    </row>
    <row r="154" spans="1:63" outlineLevel="1" x14ac:dyDescent="0.2">
      <c r="C154" s="110"/>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c r="AD154" s="23"/>
      <c r="AE154" s="23"/>
      <c r="AF154" s="23"/>
      <c r="AG154" s="23"/>
      <c r="AJ154" s="211"/>
      <c r="AM154" s="123"/>
      <c r="AN154" s="123"/>
    </row>
    <row r="155" spans="1:63" s="200" customFormat="1" ht="16" thickBot="1" x14ac:dyDescent="0.25">
      <c r="A155" s="200" t="s">
        <v>1339</v>
      </c>
      <c r="B155" s="215"/>
      <c r="C155" s="224">
        <f>C156</f>
        <v>0.13</v>
      </c>
      <c r="D155" s="224">
        <f t="shared" ref="D155:AG155" si="108">D156</f>
        <v>0.13557711853523402</v>
      </c>
      <c r="E155" s="224">
        <f t="shared" si="108"/>
        <v>0.14115423707046801</v>
      </c>
      <c r="F155" s="224">
        <f t="shared" si="108"/>
        <v>0.14673135560570202</v>
      </c>
      <c r="G155" s="224">
        <f t="shared" si="108"/>
        <v>0.15230847414093604</v>
      </c>
      <c r="H155" s="224">
        <f t="shared" si="108"/>
        <v>0.15788559267617003</v>
      </c>
      <c r="I155" s="224">
        <f t="shared" si="108"/>
        <v>0.16346271121140404</v>
      </c>
      <c r="J155" s="224">
        <f t="shared" si="108"/>
        <v>0.16903982974663806</v>
      </c>
      <c r="K155" s="224">
        <f t="shared" si="108"/>
        <v>0.17461694828187208</v>
      </c>
      <c r="L155" s="224">
        <f t="shared" si="108"/>
        <v>0.18019406681710606</v>
      </c>
      <c r="M155" s="224">
        <f t="shared" si="108"/>
        <v>0.18577118535234008</v>
      </c>
      <c r="N155" s="224">
        <f t="shared" si="108"/>
        <v>0.19752603518814099</v>
      </c>
      <c r="O155" s="224">
        <f t="shared" si="108"/>
        <v>0.20928088502394188</v>
      </c>
      <c r="P155" s="224">
        <f t="shared" si="108"/>
        <v>0.22103573485974279</v>
      </c>
      <c r="Q155" s="224">
        <f t="shared" si="108"/>
        <v>0.2327905846955437</v>
      </c>
      <c r="R155" s="224">
        <f t="shared" si="108"/>
        <v>0.24454543453134459</v>
      </c>
      <c r="S155" s="224">
        <f t="shared" si="108"/>
        <v>0.25630028436714547</v>
      </c>
      <c r="T155" s="224">
        <f t="shared" si="108"/>
        <v>0.26805513420294641</v>
      </c>
      <c r="U155" s="224">
        <f t="shared" si="108"/>
        <v>0.27980998403874729</v>
      </c>
      <c r="V155" s="224">
        <f t="shared" si="108"/>
        <v>0.29156483387454823</v>
      </c>
      <c r="W155" s="224">
        <f t="shared" si="108"/>
        <v>0.30331968371034912</v>
      </c>
      <c r="X155" s="224">
        <f t="shared" si="108"/>
        <v>0.3229877153393142</v>
      </c>
      <c r="Y155" s="224">
        <f t="shared" si="108"/>
        <v>0.34265574696827927</v>
      </c>
      <c r="Z155" s="224">
        <f t="shared" si="108"/>
        <v>0.36232377859724441</v>
      </c>
      <c r="AA155" s="224">
        <f t="shared" si="108"/>
        <v>0.38199181022620948</v>
      </c>
      <c r="AB155" s="224">
        <f t="shared" si="108"/>
        <v>0.40165984185517456</v>
      </c>
      <c r="AC155" s="224">
        <f t="shared" si="108"/>
        <v>0.42132787348413964</v>
      </c>
      <c r="AD155" s="224">
        <f t="shared" si="108"/>
        <v>0.44099590511310471</v>
      </c>
      <c r="AE155" s="224">
        <f t="shared" si="108"/>
        <v>0.46066393674206985</v>
      </c>
      <c r="AF155" s="224">
        <f t="shared" si="108"/>
        <v>0.48033196837103487</v>
      </c>
      <c r="AG155" s="224">
        <f t="shared" si="108"/>
        <v>0.5</v>
      </c>
      <c r="AJ155" s="231" t="s">
        <v>1340</v>
      </c>
      <c r="AL155" s="217"/>
      <c r="AM155" s="225"/>
      <c r="AN155" s="225"/>
      <c r="AO155" s="225"/>
    </row>
    <row r="156" spans="1:63" ht="16" outlineLevel="1" thickTop="1" x14ac:dyDescent="0.2">
      <c r="A156" t="s">
        <v>1341</v>
      </c>
      <c r="B156" s="54" t="s">
        <v>462</v>
      </c>
      <c r="C156" s="214">
        <v>0.13</v>
      </c>
      <c r="D156" s="110">
        <f>$C156+($M156-$C156)/10*(D$1-$C$1)</f>
        <v>0.13557711853523402</v>
      </c>
      <c r="E156" s="110">
        <f t="shared" ref="E156:L156" si="109">$C156+($M156-$C156)/10*(E$1-$C$1)</f>
        <v>0.14115423707046801</v>
      </c>
      <c r="F156" s="110">
        <f t="shared" si="109"/>
        <v>0.14673135560570202</v>
      </c>
      <c r="G156" s="110">
        <f t="shared" si="109"/>
        <v>0.15230847414093604</v>
      </c>
      <c r="H156" s="110">
        <f t="shared" si="109"/>
        <v>0.15788559267617003</v>
      </c>
      <c r="I156" s="110">
        <f t="shared" si="109"/>
        <v>0.16346271121140404</v>
      </c>
      <c r="J156" s="110">
        <f t="shared" si="109"/>
        <v>0.16903982974663806</v>
      </c>
      <c r="K156" s="110">
        <f t="shared" si="109"/>
        <v>0.17461694828187208</v>
      </c>
      <c r="L156" s="110">
        <f t="shared" si="109"/>
        <v>0.18019406681710606</v>
      </c>
      <c r="M156" s="121">
        <f>(M$55-$C$55)/($AG$55-$C$55)*($AG156-$C156)+$C156</f>
        <v>0.18577118535234008</v>
      </c>
      <c r="N156" s="121">
        <f>$M156+($W156-$M156)/10*(N$1-$M$1)</f>
        <v>0.19752603518814099</v>
      </c>
      <c r="O156" s="121">
        <f t="shared" ref="O156:U156" si="110">$M156+($W156-$M156)/10*(O$1-$M$1)</f>
        <v>0.20928088502394188</v>
      </c>
      <c r="P156" s="121">
        <f t="shared" si="110"/>
        <v>0.22103573485974279</v>
      </c>
      <c r="Q156" s="121">
        <f t="shared" si="110"/>
        <v>0.2327905846955437</v>
      </c>
      <c r="R156" s="121">
        <f t="shared" si="110"/>
        <v>0.24454543453134459</v>
      </c>
      <c r="S156" s="121">
        <f t="shared" si="110"/>
        <v>0.25630028436714547</v>
      </c>
      <c r="T156" s="121">
        <f t="shared" si="110"/>
        <v>0.26805513420294641</v>
      </c>
      <c r="U156" s="121">
        <f t="shared" si="110"/>
        <v>0.27980998403874729</v>
      </c>
      <c r="V156" s="121">
        <f>$M156+($W156-$M156)/10*(V$1-$M$1)</f>
        <v>0.29156483387454823</v>
      </c>
      <c r="W156" s="121">
        <f>(W$55-$C$55)/($AG$55-$C$55)*($AG156-$C156)+$C156</f>
        <v>0.30331968371034912</v>
      </c>
      <c r="X156" s="110">
        <f>$W156+($AG156-$W156)/10*(X$1-$W$1)</f>
        <v>0.3229877153393142</v>
      </c>
      <c r="Y156" s="110">
        <f t="shared" ref="Y156:AF156" si="111">$W156+($AG156-$W156)/10*(Y$1-$W$1)</f>
        <v>0.34265574696827927</v>
      </c>
      <c r="Z156" s="110">
        <f t="shared" si="111"/>
        <v>0.36232377859724441</v>
      </c>
      <c r="AA156" s="110">
        <f t="shared" si="111"/>
        <v>0.38199181022620948</v>
      </c>
      <c r="AB156" s="110">
        <f t="shared" si="111"/>
        <v>0.40165984185517456</v>
      </c>
      <c r="AC156" s="110">
        <f t="shared" si="111"/>
        <v>0.42132787348413964</v>
      </c>
      <c r="AD156" s="110">
        <f t="shared" si="111"/>
        <v>0.44099590511310471</v>
      </c>
      <c r="AE156" s="110">
        <f t="shared" si="111"/>
        <v>0.46066393674206985</v>
      </c>
      <c r="AF156" s="110">
        <f t="shared" si="111"/>
        <v>0.48033196837103487</v>
      </c>
      <c r="AG156" s="214">
        <v>0.5</v>
      </c>
      <c r="AJ156" s="211" t="s">
        <v>1342</v>
      </c>
    </row>
    <row r="157" spans="1:63" outlineLevel="1" x14ac:dyDescent="0.2">
      <c r="A157" t="s">
        <v>1453</v>
      </c>
      <c r="B157" s="54" t="s">
        <v>462</v>
      </c>
      <c r="C157" s="214">
        <v>0.05</v>
      </c>
      <c r="D157" s="110">
        <f t="shared" ref="D157:AF157" si="112">C157-($C$157-$AG$157)/($AG$1-$C$1)</f>
        <v>5.8333333333333334E-2</v>
      </c>
      <c r="E157" s="110">
        <f t="shared" si="112"/>
        <v>6.6666666666666666E-2</v>
      </c>
      <c r="F157" s="110">
        <f t="shared" si="112"/>
        <v>7.4999999999999997E-2</v>
      </c>
      <c r="G157" s="110">
        <f t="shared" si="112"/>
        <v>8.3333333333333329E-2</v>
      </c>
      <c r="H157" s="110">
        <f t="shared" si="112"/>
        <v>9.166666666666666E-2</v>
      </c>
      <c r="I157" s="110">
        <f t="shared" si="112"/>
        <v>9.9999999999999992E-2</v>
      </c>
      <c r="J157" s="110">
        <f t="shared" si="112"/>
        <v>0.10833333333333332</v>
      </c>
      <c r="K157" s="110">
        <f t="shared" si="112"/>
        <v>0.11666666666666665</v>
      </c>
      <c r="L157" s="110">
        <f t="shared" si="112"/>
        <v>0.12499999999999999</v>
      </c>
      <c r="M157" s="110">
        <f t="shared" si="112"/>
        <v>0.13333333333333333</v>
      </c>
      <c r="N157" s="110">
        <f t="shared" si="112"/>
        <v>0.14166666666666666</v>
      </c>
      <c r="O157" s="110">
        <f t="shared" si="112"/>
        <v>0.15</v>
      </c>
      <c r="P157" s="110">
        <f t="shared" si="112"/>
        <v>0.15833333333333333</v>
      </c>
      <c r="Q157" s="110">
        <f t="shared" si="112"/>
        <v>0.16666666666666666</v>
      </c>
      <c r="R157" s="110">
        <f t="shared" si="112"/>
        <v>0.17499999999999999</v>
      </c>
      <c r="S157" s="110">
        <f t="shared" si="112"/>
        <v>0.18333333333333332</v>
      </c>
      <c r="T157" s="110">
        <f t="shared" si="112"/>
        <v>0.19166666666666665</v>
      </c>
      <c r="U157" s="110">
        <f t="shared" si="112"/>
        <v>0.19999999999999998</v>
      </c>
      <c r="V157" s="110">
        <f t="shared" si="112"/>
        <v>0.20833333333333331</v>
      </c>
      <c r="W157" s="110">
        <f t="shared" si="112"/>
        <v>0.21666666666666665</v>
      </c>
      <c r="X157" s="110">
        <f t="shared" si="112"/>
        <v>0.22499999999999998</v>
      </c>
      <c r="Y157" s="110">
        <f t="shared" si="112"/>
        <v>0.23333333333333331</v>
      </c>
      <c r="Z157" s="110">
        <f t="shared" si="112"/>
        <v>0.24166666666666664</v>
      </c>
      <c r="AA157" s="110">
        <f t="shared" si="112"/>
        <v>0.24999999999999997</v>
      </c>
      <c r="AB157" s="110">
        <f t="shared" si="112"/>
        <v>0.2583333333333333</v>
      </c>
      <c r="AC157" s="110">
        <f t="shared" si="112"/>
        <v>0.26666666666666666</v>
      </c>
      <c r="AD157" s="110">
        <f t="shared" si="112"/>
        <v>0.27500000000000002</v>
      </c>
      <c r="AE157" s="110">
        <f t="shared" si="112"/>
        <v>0.28333333333333338</v>
      </c>
      <c r="AF157" s="110">
        <f t="shared" si="112"/>
        <v>0.29166666666666674</v>
      </c>
      <c r="AG157" s="214">
        <v>0.3</v>
      </c>
      <c r="AI157" s="135"/>
      <c r="AJ157" s="211" t="s">
        <v>1454</v>
      </c>
      <c r="AM157" s="123"/>
      <c r="AN157" s="123"/>
    </row>
    <row r="158" spans="1:63" ht="14.5" customHeight="1" outlineLevel="1" x14ac:dyDescent="0.2">
      <c r="A158" t="s">
        <v>1455</v>
      </c>
      <c r="B158" s="176" t="s">
        <v>462</v>
      </c>
      <c r="C158" s="110">
        <f>1-C157</f>
        <v>0.95</v>
      </c>
      <c r="D158" s="110">
        <f t="shared" ref="D158" si="113">1-D157</f>
        <v>0.94166666666666665</v>
      </c>
      <c r="E158" s="110">
        <f t="shared" ref="E158" si="114">1-E157</f>
        <v>0.93333333333333335</v>
      </c>
      <c r="F158" s="110">
        <f t="shared" ref="F158" si="115">1-F157</f>
        <v>0.92500000000000004</v>
      </c>
      <c r="G158" s="110">
        <f t="shared" ref="G158" si="116">1-G157</f>
        <v>0.91666666666666663</v>
      </c>
      <c r="H158" s="110">
        <f t="shared" ref="H158" si="117">1-H157</f>
        <v>0.90833333333333333</v>
      </c>
      <c r="I158" s="110">
        <f t="shared" ref="I158" si="118">1-I157</f>
        <v>0.9</v>
      </c>
      <c r="J158" s="110">
        <f t="shared" ref="J158" si="119">1-J157</f>
        <v>0.89166666666666672</v>
      </c>
      <c r="K158" s="110">
        <f t="shared" ref="K158" si="120">1-K157</f>
        <v>0.8833333333333333</v>
      </c>
      <c r="L158" s="110">
        <f t="shared" ref="L158" si="121">1-L157</f>
        <v>0.875</v>
      </c>
      <c r="M158" s="110">
        <f t="shared" ref="M158" si="122">1-M157</f>
        <v>0.8666666666666667</v>
      </c>
      <c r="N158" s="110">
        <f t="shared" ref="N158" si="123">1-N157</f>
        <v>0.85833333333333339</v>
      </c>
      <c r="O158" s="110">
        <f t="shared" ref="O158" si="124">1-O157</f>
        <v>0.85</v>
      </c>
      <c r="P158" s="110">
        <f t="shared" ref="P158" si="125">1-P157</f>
        <v>0.84166666666666667</v>
      </c>
      <c r="Q158" s="110">
        <f t="shared" ref="Q158" si="126">1-Q157</f>
        <v>0.83333333333333337</v>
      </c>
      <c r="R158" s="110">
        <f t="shared" ref="R158" si="127">1-R157</f>
        <v>0.82499999999999996</v>
      </c>
      <c r="S158" s="110">
        <f t="shared" ref="S158" si="128">1-S157</f>
        <v>0.81666666666666665</v>
      </c>
      <c r="T158" s="110">
        <f t="shared" ref="T158" si="129">1-T157</f>
        <v>0.80833333333333335</v>
      </c>
      <c r="U158" s="110">
        <f t="shared" ref="U158" si="130">1-U157</f>
        <v>0.8</v>
      </c>
      <c r="V158" s="110">
        <f t="shared" ref="V158" si="131">1-V157</f>
        <v>0.79166666666666674</v>
      </c>
      <c r="W158" s="110">
        <f t="shared" ref="W158" si="132">1-W157</f>
        <v>0.78333333333333333</v>
      </c>
      <c r="X158" s="110">
        <f t="shared" ref="X158" si="133">1-X157</f>
        <v>0.77500000000000002</v>
      </c>
      <c r="Y158" s="110">
        <f t="shared" ref="Y158" si="134">1-Y157</f>
        <v>0.76666666666666672</v>
      </c>
      <c r="Z158" s="110">
        <f t="shared" ref="Z158" si="135">1-Z157</f>
        <v>0.7583333333333333</v>
      </c>
      <c r="AA158" s="110">
        <f t="shared" ref="AA158" si="136">1-AA157</f>
        <v>0.75</v>
      </c>
      <c r="AB158" s="110">
        <f t="shared" ref="AB158" si="137">1-AB157</f>
        <v>0.7416666666666667</v>
      </c>
      <c r="AC158" s="110">
        <f t="shared" ref="AC158" si="138">1-AC157</f>
        <v>0.73333333333333339</v>
      </c>
      <c r="AD158" s="110">
        <f t="shared" ref="AD158" si="139">1-AD157</f>
        <v>0.72499999999999998</v>
      </c>
      <c r="AE158" s="110">
        <f t="shared" ref="AE158" si="140">1-AE157</f>
        <v>0.71666666666666656</v>
      </c>
      <c r="AF158" s="110">
        <f t="shared" ref="AF158" si="141">1-AF157</f>
        <v>0.70833333333333326</v>
      </c>
      <c r="AG158" s="110">
        <f t="shared" ref="AG158" si="142">1-AG157</f>
        <v>0.7</v>
      </c>
      <c r="AI158" s="135" t="s">
        <v>1456</v>
      </c>
      <c r="AJ158" s="211"/>
    </row>
    <row r="159" spans="1:63" outlineLevel="1" x14ac:dyDescent="0.2">
      <c r="A159" t="s">
        <v>1343</v>
      </c>
      <c r="B159" s="54" t="s">
        <v>462</v>
      </c>
      <c r="C159" s="110">
        <f>C156*C157</f>
        <v>6.5000000000000006E-3</v>
      </c>
      <c r="D159" s="110">
        <f t="shared" ref="D159:AG159" si="143">D156*D157</f>
        <v>7.9086652478886511E-3</v>
      </c>
      <c r="E159" s="110">
        <f t="shared" si="143"/>
        <v>9.4102824713645332E-3</v>
      </c>
      <c r="F159" s="110">
        <f t="shared" si="143"/>
        <v>1.1004851670427652E-2</v>
      </c>
      <c r="G159" s="110">
        <f t="shared" si="143"/>
        <v>1.2692372845078003E-2</v>
      </c>
      <c r="H159" s="110">
        <f t="shared" si="143"/>
        <v>1.4472845995315585E-2</v>
      </c>
      <c r="I159" s="110">
        <f t="shared" si="143"/>
        <v>1.6346271121140402E-2</v>
      </c>
      <c r="J159" s="110">
        <f t="shared" si="143"/>
        <v>1.8312648222552456E-2</v>
      </c>
      <c r="K159" s="110">
        <f t="shared" si="143"/>
        <v>2.037197729955174E-2</v>
      </c>
      <c r="L159" s="110">
        <f t="shared" si="143"/>
        <v>2.2524258352138254E-2</v>
      </c>
      <c r="M159" s="110">
        <f t="shared" si="143"/>
        <v>2.4769491380312009E-2</v>
      </c>
      <c r="N159" s="110">
        <f t="shared" si="143"/>
        <v>2.7982854984986639E-2</v>
      </c>
      <c r="O159" s="110">
        <f t="shared" si="143"/>
        <v>3.1392132753591283E-2</v>
      </c>
      <c r="P159" s="110">
        <f t="shared" si="143"/>
        <v>3.4997324686125937E-2</v>
      </c>
      <c r="Q159" s="110">
        <f t="shared" si="143"/>
        <v>3.8798430782590612E-2</v>
      </c>
      <c r="R159" s="110">
        <f t="shared" si="143"/>
        <v>4.2795451042985301E-2</v>
      </c>
      <c r="S159" s="110">
        <f t="shared" si="143"/>
        <v>4.6988385467309997E-2</v>
      </c>
      <c r="T159" s="110">
        <f t="shared" si="143"/>
        <v>5.1377234055564727E-2</v>
      </c>
      <c r="U159" s="110">
        <f t="shared" si="143"/>
        <v>5.5961996807749458E-2</v>
      </c>
      <c r="V159" s="110">
        <f t="shared" si="143"/>
        <v>6.0742673723864209E-2</v>
      </c>
      <c r="W159" s="110">
        <f t="shared" si="143"/>
        <v>6.5719264803908967E-2</v>
      </c>
      <c r="X159" s="110">
        <f t="shared" si="143"/>
        <v>7.2672235951345684E-2</v>
      </c>
      <c r="Y159" s="110">
        <f t="shared" si="143"/>
        <v>7.9953007625931827E-2</v>
      </c>
      <c r="Z159" s="110">
        <f t="shared" si="143"/>
        <v>8.7561579827667393E-2</v>
      </c>
      <c r="AA159" s="110">
        <f t="shared" si="143"/>
        <v>9.5497952556552357E-2</v>
      </c>
      <c r="AB159" s="110">
        <f t="shared" si="143"/>
        <v>0.10376212581258674</v>
      </c>
      <c r="AC159" s="110">
        <f t="shared" si="143"/>
        <v>0.11235409959577057</v>
      </c>
      <c r="AD159" s="110">
        <f t="shared" si="143"/>
        <v>0.12127387390610381</v>
      </c>
      <c r="AE159" s="110">
        <f t="shared" si="143"/>
        <v>0.13052144874358648</v>
      </c>
      <c r="AF159" s="110">
        <f t="shared" si="143"/>
        <v>0.14009682410821853</v>
      </c>
      <c r="AG159" s="110">
        <f t="shared" si="143"/>
        <v>0.15</v>
      </c>
      <c r="AI159" s="134"/>
      <c r="AJ159" s="211"/>
      <c r="BD159" s="203"/>
      <c r="BE159" s="203"/>
    </row>
    <row r="160" spans="1:63" outlineLevel="1" x14ac:dyDescent="0.2">
      <c r="A160" t="s">
        <v>1344</v>
      </c>
      <c r="B160" s="54" t="s">
        <v>462</v>
      </c>
      <c r="C160" s="110">
        <f>C156*C158</f>
        <v>0.1235</v>
      </c>
      <c r="D160" s="110">
        <f t="shared" ref="D160:AG160" si="144">D156*D158</f>
        <v>0.12766845328734536</v>
      </c>
      <c r="E160" s="110">
        <f t="shared" si="144"/>
        <v>0.13174395459910349</v>
      </c>
      <c r="F160" s="110">
        <f t="shared" si="144"/>
        <v>0.13572650393527438</v>
      </c>
      <c r="G160" s="110">
        <f t="shared" si="144"/>
        <v>0.13961610129585802</v>
      </c>
      <c r="H160" s="110">
        <f t="shared" si="144"/>
        <v>0.14341274668085444</v>
      </c>
      <c r="I160" s="110">
        <f t="shared" si="144"/>
        <v>0.14711644009026364</v>
      </c>
      <c r="J160" s="110">
        <f t="shared" si="144"/>
        <v>0.15072718152408562</v>
      </c>
      <c r="K160" s="110">
        <f t="shared" si="144"/>
        <v>0.15424497098232032</v>
      </c>
      <c r="L160" s="110">
        <f t="shared" si="144"/>
        <v>0.15766980846496781</v>
      </c>
      <c r="M160" s="110">
        <f t="shared" si="144"/>
        <v>0.16100169397202807</v>
      </c>
      <c r="N160" s="110">
        <f t="shared" si="144"/>
        <v>0.16954318020315437</v>
      </c>
      <c r="O160" s="110">
        <f t="shared" si="144"/>
        <v>0.17788875227035059</v>
      </c>
      <c r="P160" s="110">
        <f t="shared" si="144"/>
        <v>0.18603841017361686</v>
      </c>
      <c r="Q160" s="110">
        <f t="shared" si="144"/>
        <v>0.1939921539129531</v>
      </c>
      <c r="R160" s="110">
        <f t="shared" si="144"/>
        <v>0.20174998348835926</v>
      </c>
      <c r="S160" s="110">
        <f t="shared" si="144"/>
        <v>0.20931189889983545</v>
      </c>
      <c r="T160" s="110">
        <f t="shared" si="144"/>
        <v>0.2166779001473817</v>
      </c>
      <c r="U160" s="110">
        <f t="shared" si="144"/>
        <v>0.22384798723099786</v>
      </c>
      <c r="V160" s="110">
        <f t="shared" si="144"/>
        <v>0.23082216015068405</v>
      </c>
      <c r="W160" s="110">
        <f t="shared" si="144"/>
        <v>0.23760041890644015</v>
      </c>
      <c r="X160" s="110">
        <f t="shared" si="144"/>
        <v>0.2503154793879685</v>
      </c>
      <c r="Y160" s="110">
        <f t="shared" si="144"/>
        <v>0.26270273934234745</v>
      </c>
      <c r="Z160" s="110">
        <f t="shared" si="144"/>
        <v>0.27476219876957697</v>
      </c>
      <c r="AA160" s="110">
        <f t="shared" si="144"/>
        <v>0.28649385766965713</v>
      </c>
      <c r="AB160" s="110">
        <f t="shared" si="144"/>
        <v>0.2978977160425878</v>
      </c>
      <c r="AC160" s="110">
        <f t="shared" si="144"/>
        <v>0.30897377388836911</v>
      </c>
      <c r="AD160" s="110">
        <f t="shared" si="144"/>
        <v>0.31972203120700093</v>
      </c>
      <c r="AE160" s="110">
        <f t="shared" si="144"/>
        <v>0.33014248799848334</v>
      </c>
      <c r="AF160" s="110">
        <f t="shared" si="144"/>
        <v>0.34023514426281631</v>
      </c>
      <c r="AG160" s="110">
        <f t="shared" si="144"/>
        <v>0.35</v>
      </c>
      <c r="AI160" s="134"/>
      <c r="AJ160" s="211"/>
      <c r="BD160" s="203"/>
      <c r="BE160" s="203"/>
    </row>
    <row r="161" spans="1:63" outlineLevel="1" x14ac:dyDescent="0.2">
      <c r="C161" s="110"/>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c r="AD161" s="23"/>
      <c r="AE161" s="23"/>
      <c r="AF161" s="23"/>
      <c r="AG161" s="23"/>
      <c r="AJ161" s="211"/>
    </row>
    <row r="162" spans="1:63" outlineLevel="1" x14ac:dyDescent="0.2">
      <c r="A162" t="s">
        <v>1441</v>
      </c>
      <c r="B162" s="54" t="s">
        <v>462</v>
      </c>
      <c r="C162" s="106">
        <v>0.5</v>
      </c>
      <c r="D162" s="110">
        <f>C162</f>
        <v>0.5</v>
      </c>
      <c r="E162" s="110">
        <f t="shared" ref="E162:AG162" si="145">D162</f>
        <v>0.5</v>
      </c>
      <c r="F162" s="110">
        <f t="shared" si="145"/>
        <v>0.5</v>
      </c>
      <c r="G162" s="110">
        <f t="shared" si="145"/>
        <v>0.5</v>
      </c>
      <c r="H162" s="110">
        <f t="shared" si="145"/>
        <v>0.5</v>
      </c>
      <c r="I162" s="110">
        <f t="shared" si="145"/>
        <v>0.5</v>
      </c>
      <c r="J162" s="110">
        <f t="shared" si="145"/>
        <v>0.5</v>
      </c>
      <c r="K162" s="110">
        <f t="shared" si="145"/>
        <v>0.5</v>
      </c>
      <c r="L162" s="110">
        <f t="shared" si="145"/>
        <v>0.5</v>
      </c>
      <c r="M162" s="110">
        <f t="shared" si="145"/>
        <v>0.5</v>
      </c>
      <c r="N162" s="110">
        <f t="shared" si="145"/>
        <v>0.5</v>
      </c>
      <c r="O162" s="110">
        <f t="shared" si="145"/>
        <v>0.5</v>
      </c>
      <c r="P162" s="110">
        <f t="shared" si="145"/>
        <v>0.5</v>
      </c>
      <c r="Q162" s="110">
        <f t="shared" si="145"/>
        <v>0.5</v>
      </c>
      <c r="R162" s="110">
        <f t="shared" si="145"/>
        <v>0.5</v>
      </c>
      <c r="S162" s="110">
        <f t="shared" si="145"/>
        <v>0.5</v>
      </c>
      <c r="T162" s="110">
        <f t="shared" si="145"/>
        <v>0.5</v>
      </c>
      <c r="U162" s="110">
        <f t="shared" si="145"/>
        <v>0.5</v>
      </c>
      <c r="V162" s="110">
        <f t="shared" si="145"/>
        <v>0.5</v>
      </c>
      <c r="W162" s="110">
        <f t="shared" si="145"/>
        <v>0.5</v>
      </c>
      <c r="X162" s="110">
        <f t="shared" si="145"/>
        <v>0.5</v>
      </c>
      <c r="Y162" s="110">
        <f t="shared" si="145"/>
        <v>0.5</v>
      </c>
      <c r="Z162" s="110">
        <f t="shared" si="145"/>
        <v>0.5</v>
      </c>
      <c r="AA162" s="110">
        <f t="shared" si="145"/>
        <v>0.5</v>
      </c>
      <c r="AB162" s="110">
        <f t="shared" si="145"/>
        <v>0.5</v>
      </c>
      <c r="AC162" s="110">
        <f t="shared" si="145"/>
        <v>0.5</v>
      </c>
      <c r="AD162" s="110">
        <f t="shared" si="145"/>
        <v>0.5</v>
      </c>
      <c r="AE162" s="110">
        <f t="shared" si="145"/>
        <v>0.5</v>
      </c>
      <c r="AF162" s="110">
        <f t="shared" si="145"/>
        <v>0.5</v>
      </c>
      <c r="AG162" s="110">
        <f t="shared" si="145"/>
        <v>0.5</v>
      </c>
      <c r="AI162" s="54"/>
      <c r="AJ162" s="211" t="s">
        <v>1457</v>
      </c>
    </row>
    <row r="163" spans="1:63" outlineLevel="1" x14ac:dyDescent="0.2">
      <c r="A163" t="s">
        <v>1445</v>
      </c>
      <c r="B163" s="54" t="s">
        <v>462</v>
      </c>
      <c r="C163" s="121">
        <f>1-C162</f>
        <v>0.5</v>
      </c>
      <c r="D163" s="110">
        <f t="shared" ref="D163:AG163" si="146">C163</f>
        <v>0.5</v>
      </c>
      <c r="E163" s="110">
        <f t="shared" si="146"/>
        <v>0.5</v>
      </c>
      <c r="F163" s="110">
        <f t="shared" si="146"/>
        <v>0.5</v>
      </c>
      <c r="G163" s="110">
        <f t="shared" si="146"/>
        <v>0.5</v>
      </c>
      <c r="H163" s="110">
        <f t="shared" si="146"/>
        <v>0.5</v>
      </c>
      <c r="I163" s="110">
        <f t="shared" si="146"/>
        <v>0.5</v>
      </c>
      <c r="J163" s="110">
        <f t="shared" si="146"/>
        <v>0.5</v>
      </c>
      <c r="K163" s="110">
        <f t="shared" si="146"/>
        <v>0.5</v>
      </c>
      <c r="L163" s="110">
        <f t="shared" si="146"/>
        <v>0.5</v>
      </c>
      <c r="M163" s="110">
        <f t="shared" si="146"/>
        <v>0.5</v>
      </c>
      <c r="N163" s="110">
        <f t="shared" si="146"/>
        <v>0.5</v>
      </c>
      <c r="O163" s="110">
        <f t="shared" si="146"/>
        <v>0.5</v>
      </c>
      <c r="P163" s="110">
        <f t="shared" si="146"/>
        <v>0.5</v>
      </c>
      <c r="Q163" s="110">
        <f t="shared" si="146"/>
        <v>0.5</v>
      </c>
      <c r="R163" s="110">
        <f t="shared" si="146"/>
        <v>0.5</v>
      </c>
      <c r="S163" s="110">
        <f t="shared" si="146"/>
        <v>0.5</v>
      </c>
      <c r="T163" s="110">
        <f t="shared" si="146"/>
        <v>0.5</v>
      </c>
      <c r="U163" s="110">
        <f t="shared" si="146"/>
        <v>0.5</v>
      </c>
      <c r="V163" s="110">
        <f t="shared" si="146"/>
        <v>0.5</v>
      </c>
      <c r="W163" s="110">
        <f t="shared" si="146"/>
        <v>0.5</v>
      </c>
      <c r="X163" s="110">
        <f t="shared" si="146"/>
        <v>0.5</v>
      </c>
      <c r="Y163" s="110">
        <f t="shared" si="146"/>
        <v>0.5</v>
      </c>
      <c r="Z163" s="110">
        <f t="shared" si="146"/>
        <v>0.5</v>
      </c>
      <c r="AA163" s="110">
        <f t="shared" si="146"/>
        <v>0.5</v>
      </c>
      <c r="AB163" s="110">
        <f t="shared" si="146"/>
        <v>0.5</v>
      </c>
      <c r="AC163" s="110">
        <f t="shared" si="146"/>
        <v>0.5</v>
      </c>
      <c r="AD163" s="110">
        <f t="shared" si="146"/>
        <v>0.5</v>
      </c>
      <c r="AE163" s="110">
        <f t="shared" si="146"/>
        <v>0.5</v>
      </c>
      <c r="AF163" s="110">
        <f t="shared" si="146"/>
        <v>0.5</v>
      </c>
      <c r="AG163" s="110">
        <f t="shared" si="146"/>
        <v>0.5</v>
      </c>
      <c r="AJ163" s="223"/>
    </row>
    <row r="164" spans="1:63" outlineLevel="1" x14ac:dyDescent="0.2">
      <c r="A164" t="s">
        <v>1268</v>
      </c>
      <c r="B164" s="54" t="s">
        <v>462</v>
      </c>
      <c r="C164" s="110">
        <f t="shared" ref="C164:AG164" si="147">SUM(C162:C163)</f>
        <v>1</v>
      </c>
      <c r="D164" s="110">
        <f t="shared" si="147"/>
        <v>1</v>
      </c>
      <c r="E164" s="110">
        <f t="shared" si="147"/>
        <v>1</v>
      </c>
      <c r="F164" s="110">
        <f t="shared" si="147"/>
        <v>1</v>
      </c>
      <c r="G164" s="110">
        <f t="shared" si="147"/>
        <v>1</v>
      </c>
      <c r="H164" s="110">
        <f t="shared" si="147"/>
        <v>1</v>
      </c>
      <c r="I164" s="110">
        <f t="shared" si="147"/>
        <v>1</v>
      </c>
      <c r="J164" s="110">
        <f t="shared" si="147"/>
        <v>1</v>
      </c>
      <c r="K164" s="110">
        <f t="shared" si="147"/>
        <v>1</v>
      </c>
      <c r="L164" s="110">
        <f t="shared" si="147"/>
        <v>1</v>
      </c>
      <c r="M164" s="110">
        <f t="shared" si="147"/>
        <v>1</v>
      </c>
      <c r="N164" s="110">
        <f t="shared" si="147"/>
        <v>1</v>
      </c>
      <c r="O164" s="110">
        <f t="shared" si="147"/>
        <v>1</v>
      </c>
      <c r="P164" s="110">
        <f t="shared" si="147"/>
        <v>1</v>
      </c>
      <c r="Q164" s="110">
        <f t="shared" si="147"/>
        <v>1</v>
      </c>
      <c r="R164" s="110">
        <f t="shared" si="147"/>
        <v>1</v>
      </c>
      <c r="S164" s="110">
        <f t="shared" si="147"/>
        <v>1</v>
      </c>
      <c r="T164" s="110">
        <f t="shared" si="147"/>
        <v>1</v>
      </c>
      <c r="U164" s="110">
        <f t="shared" si="147"/>
        <v>1</v>
      </c>
      <c r="V164" s="110">
        <f t="shared" si="147"/>
        <v>1</v>
      </c>
      <c r="W164" s="110">
        <f t="shared" si="147"/>
        <v>1</v>
      </c>
      <c r="X164" s="110">
        <f t="shared" si="147"/>
        <v>1</v>
      </c>
      <c r="Y164" s="110">
        <f t="shared" si="147"/>
        <v>1</v>
      </c>
      <c r="Z164" s="110">
        <f t="shared" si="147"/>
        <v>1</v>
      </c>
      <c r="AA164" s="110">
        <f t="shared" si="147"/>
        <v>1</v>
      </c>
      <c r="AB164" s="110">
        <f t="shared" si="147"/>
        <v>1</v>
      </c>
      <c r="AC164" s="110">
        <f t="shared" si="147"/>
        <v>1</v>
      </c>
      <c r="AD164" s="110">
        <f t="shared" si="147"/>
        <v>1</v>
      </c>
      <c r="AE164" s="110">
        <f t="shared" si="147"/>
        <v>1</v>
      </c>
      <c r="AF164" s="110">
        <f t="shared" si="147"/>
        <v>1</v>
      </c>
      <c r="AG164" s="110">
        <f t="shared" si="147"/>
        <v>1</v>
      </c>
      <c r="AH164" s="131"/>
      <c r="AI164" s="54"/>
      <c r="AJ164" s="223"/>
    </row>
    <row r="165" spans="1:63" outlineLevel="1" x14ac:dyDescent="0.2">
      <c r="C165" s="214"/>
      <c r="D165" s="110"/>
      <c r="E165" s="110"/>
      <c r="F165" s="110"/>
      <c r="G165" s="110"/>
      <c r="H165" s="110"/>
      <c r="I165" s="110"/>
      <c r="J165" s="110"/>
      <c r="K165" s="110"/>
      <c r="L165" s="110"/>
      <c r="M165" s="110"/>
      <c r="N165" s="110"/>
      <c r="O165" s="110"/>
      <c r="P165" s="110"/>
      <c r="Q165" s="110"/>
      <c r="R165" s="110"/>
      <c r="S165" s="110"/>
      <c r="T165" s="110"/>
      <c r="U165" s="110"/>
      <c r="V165" s="110"/>
      <c r="W165" s="110"/>
      <c r="X165" s="110"/>
      <c r="Y165" s="110"/>
      <c r="Z165" s="110"/>
      <c r="AA165" s="110"/>
      <c r="AB165" s="110"/>
      <c r="AC165" s="110"/>
      <c r="AD165" s="110"/>
      <c r="AE165" s="110"/>
      <c r="AF165" s="110"/>
      <c r="AG165" s="110"/>
      <c r="AH165" s="131"/>
      <c r="AI165" s="131"/>
      <c r="AJ165" s="223"/>
    </row>
    <row r="166" spans="1:63" outlineLevel="1" x14ac:dyDescent="0.2">
      <c r="A166" t="s">
        <v>1345</v>
      </c>
      <c r="B166" s="54" t="s">
        <v>462</v>
      </c>
      <c r="C166" s="110">
        <f>C162*C160</f>
        <v>6.1749999999999999E-2</v>
      </c>
      <c r="D166" s="110">
        <f t="shared" ref="D166:AG166" si="148">D162*D160</f>
        <v>6.3834226643672679E-2</v>
      </c>
      <c r="E166" s="110">
        <f t="shared" si="148"/>
        <v>6.5871977299551743E-2</v>
      </c>
      <c r="F166" s="110">
        <f t="shared" si="148"/>
        <v>6.7863251967637192E-2</v>
      </c>
      <c r="G166" s="110">
        <f t="shared" si="148"/>
        <v>6.9808050647929012E-2</v>
      </c>
      <c r="H166" s="110">
        <f t="shared" si="148"/>
        <v>7.1706373340427218E-2</v>
      </c>
      <c r="I166" s="110">
        <f t="shared" si="148"/>
        <v>7.3558220045131822E-2</v>
      </c>
      <c r="J166" s="110">
        <f t="shared" si="148"/>
        <v>7.5363590762042812E-2</v>
      </c>
      <c r="K166" s="110">
        <f t="shared" si="148"/>
        <v>7.7122485491160159E-2</v>
      </c>
      <c r="L166" s="110">
        <f t="shared" si="148"/>
        <v>7.8834904232483904E-2</v>
      </c>
      <c r="M166" s="110">
        <f t="shared" si="148"/>
        <v>8.0500846986014035E-2</v>
      </c>
      <c r="N166" s="110">
        <f t="shared" si="148"/>
        <v>8.4771590101577185E-2</v>
      </c>
      <c r="O166" s="110">
        <f t="shared" si="148"/>
        <v>8.8944376135175293E-2</v>
      </c>
      <c r="P166" s="110">
        <f t="shared" si="148"/>
        <v>9.3019205086808429E-2</v>
      </c>
      <c r="Q166" s="110">
        <f t="shared" si="148"/>
        <v>9.6996076956476551E-2</v>
      </c>
      <c r="R166" s="110">
        <f t="shared" si="148"/>
        <v>0.10087499174417963</v>
      </c>
      <c r="S166" s="110">
        <f t="shared" si="148"/>
        <v>0.10465594944991773</v>
      </c>
      <c r="T166" s="110">
        <f t="shared" si="148"/>
        <v>0.10833895007369085</v>
      </c>
      <c r="U166" s="110">
        <f t="shared" si="148"/>
        <v>0.11192399361549893</v>
      </c>
      <c r="V166" s="110">
        <f t="shared" si="148"/>
        <v>0.11541108007534202</v>
      </c>
      <c r="W166" s="110">
        <f t="shared" si="148"/>
        <v>0.11880020945322008</v>
      </c>
      <c r="X166" s="110">
        <f t="shared" si="148"/>
        <v>0.12515773969398425</v>
      </c>
      <c r="Y166" s="110">
        <f t="shared" si="148"/>
        <v>0.13135136967117372</v>
      </c>
      <c r="Z166" s="110">
        <f t="shared" si="148"/>
        <v>0.13738109938478849</v>
      </c>
      <c r="AA166" s="110">
        <f t="shared" si="148"/>
        <v>0.14324692883482856</v>
      </c>
      <c r="AB166" s="110">
        <f t="shared" si="148"/>
        <v>0.1489488580212939</v>
      </c>
      <c r="AC166" s="110">
        <f t="shared" si="148"/>
        <v>0.15448688694418455</v>
      </c>
      <c r="AD166" s="110">
        <f t="shared" si="148"/>
        <v>0.15986101560350047</v>
      </c>
      <c r="AE166" s="110">
        <f t="shared" si="148"/>
        <v>0.16507124399924167</v>
      </c>
      <c r="AF166" s="110">
        <f t="shared" si="148"/>
        <v>0.17011757213140816</v>
      </c>
      <c r="AG166" s="110">
        <f t="shared" si="148"/>
        <v>0.17499999999999999</v>
      </c>
      <c r="AH166" s="131"/>
      <c r="AI166" s="131"/>
      <c r="AJ166" s="211"/>
    </row>
    <row r="167" spans="1:63" outlineLevel="1" x14ac:dyDescent="0.2">
      <c r="A167" t="s">
        <v>1346</v>
      </c>
      <c r="B167" s="54" t="s">
        <v>462</v>
      </c>
      <c r="C167" s="110">
        <f>C160*C163</f>
        <v>6.1749999999999999E-2</v>
      </c>
      <c r="D167" s="110">
        <f t="shared" ref="D167:AG167" si="149">D160*D163</f>
        <v>6.3834226643672679E-2</v>
      </c>
      <c r="E167" s="110">
        <f t="shared" si="149"/>
        <v>6.5871977299551743E-2</v>
      </c>
      <c r="F167" s="110">
        <f t="shared" si="149"/>
        <v>6.7863251967637192E-2</v>
      </c>
      <c r="G167" s="110">
        <f t="shared" si="149"/>
        <v>6.9808050647929012E-2</v>
      </c>
      <c r="H167" s="110">
        <f t="shared" si="149"/>
        <v>7.1706373340427218E-2</v>
      </c>
      <c r="I167" s="110">
        <f t="shared" si="149"/>
        <v>7.3558220045131822E-2</v>
      </c>
      <c r="J167" s="110">
        <f t="shared" si="149"/>
        <v>7.5363590762042812E-2</v>
      </c>
      <c r="K167" s="110">
        <f t="shared" si="149"/>
        <v>7.7122485491160159E-2</v>
      </c>
      <c r="L167" s="110">
        <f t="shared" si="149"/>
        <v>7.8834904232483904E-2</v>
      </c>
      <c r="M167" s="110">
        <f t="shared" si="149"/>
        <v>8.0500846986014035E-2</v>
      </c>
      <c r="N167" s="110">
        <f t="shared" si="149"/>
        <v>8.4771590101577185E-2</v>
      </c>
      <c r="O167" s="110">
        <f t="shared" si="149"/>
        <v>8.8944376135175293E-2</v>
      </c>
      <c r="P167" s="110">
        <f t="shared" si="149"/>
        <v>9.3019205086808429E-2</v>
      </c>
      <c r="Q167" s="110">
        <f t="shared" si="149"/>
        <v>9.6996076956476551E-2</v>
      </c>
      <c r="R167" s="110">
        <f t="shared" si="149"/>
        <v>0.10087499174417963</v>
      </c>
      <c r="S167" s="110">
        <f t="shared" si="149"/>
        <v>0.10465594944991773</v>
      </c>
      <c r="T167" s="110">
        <f t="shared" si="149"/>
        <v>0.10833895007369085</v>
      </c>
      <c r="U167" s="110">
        <f t="shared" si="149"/>
        <v>0.11192399361549893</v>
      </c>
      <c r="V167" s="110">
        <f t="shared" si="149"/>
        <v>0.11541108007534202</v>
      </c>
      <c r="W167" s="110">
        <f t="shared" si="149"/>
        <v>0.11880020945322008</v>
      </c>
      <c r="X167" s="110">
        <f t="shared" si="149"/>
        <v>0.12515773969398425</v>
      </c>
      <c r="Y167" s="110">
        <f t="shared" si="149"/>
        <v>0.13135136967117372</v>
      </c>
      <c r="Z167" s="110">
        <f t="shared" si="149"/>
        <v>0.13738109938478849</v>
      </c>
      <c r="AA167" s="110">
        <f t="shared" si="149"/>
        <v>0.14324692883482856</v>
      </c>
      <c r="AB167" s="110">
        <f t="shared" si="149"/>
        <v>0.1489488580212939</v>
      </c>
      <c r="AC167" s="110">
        <f t="shared" si="149"/>
        <v>0.15448688694418455</v>
      </c>
      <c r="AD167" s="110">
        <f t="shared" si="149"/>
        <v>0.15986101560350047</v>
      </c>
      <c r="AE167" s="110">
        <f t="shared" si="149"/>
        <v>0.16507124399924167</v>
      </c>
      <c r="AF167" s="110">
        <f t="shared" si="149"/>
        <v>0.17011757213140816</v>
      </c>
      <c r="AG167" s="110">
        <f t="shared" si="149"/>
        <v>0.17499999999999999</v>
      </c>
      <c r="AJ167" s="211"/>
    </row>
    <row r="168" spans="1:63" outlineLevel="1" x14ac:dyDescent="0.2">
      <c r="C168" s="110"/>
      <c r="D168" s="110"/>
      <c r="E168" s="110"/>
      <c r="F168" s="110"/>
      <c r="G168" s="110"/>
      <c r="H168" s="110"/>
      <c r="I168" s="110"/>
      <c r="J168" s="110"/>
      <c r="K168" s="110"/>
      <c r="L168" s="110"/>
      <c r="M168" s="110"/>
      <c r="N168" s="110"/>
      <c r="O168" s="110"/>
      <c r="P168" s="110"/>
      <c r="Q168" s="110"/>
      <c r="R168" s="110"/>
      <c r="S168" s="110"/>
      <c r="T168" s="110"/>
      <c r="U168" s="110"/>
      <c r="V168" s="110"/>
      <c r="W168" s="110"/>
      <c r="X168" s="110"/>
      <c r="Y168" s="110"/>
      <c r="Z168" s="110"/>
      <c r="AA168" s="110"/>
      <c r="AB168" s="110"/>
      <c r="AC168" s="110"/>
      <c r="AD168" s="110"/>
      <c r="AE168" s="110"/>
      <c r="AF168" s="110"/>
      <c r="AG168" s="110"/>
      <c r="AI168" s="134"/>
      <c r="AJ168" s="211"/>
      <c r="BC168" s="1"/>
      <c r="BD168" s="41"/>
      <c r="BF168" s="6"/>
      <c r="BG168" s="6"/>
      <c r="BH168" s="6"/>
      <c r="BI168" s="6"/>
      <c r="BJ168" s="6"/>
    </row>
    <row r="169" spans="1:63" outlineLevel="1" x14ac:dyDescent="0.2">
      <c r="A169" t="s">
        <v>1446</v>
      </c>
      <c r="C169" s="382">
        <f>'Overall recycling rates'!C87</f>
        <v>0.99999999999999978</v>
      </c>
      <c r="D169" s="382">
        <f>C169-($C169-$AG169)/($AG1-$C1)</f>
        <v>0.99999999999999978</v>
      </c>
      <c r="E169" s="382">
        <f t="shared" ref="E169:AF169" si="150">D169-($C169-$AG169)/($AG1-$C1)</f>
        <v>0.99999999999999978</v>
      </c>
      <c r="F169" s="382">
        <f t="shared" si="150"/>
        <v>0.99999999999999978</v>
      </c>
      <c r="G169" s="382">
        <f t="shared" si="150"/>
        <v>0.99999999999999978</v>
      </c>
      <c r="H169" s="382">
        <f t="shared" si="150"/>
        <v>0.99999999999999978</v>
      </c>
      <c r="I169" s="382">
        <f t="shared" si="150"/>
        <v>0.99999999999999978</v>
      </c>
      <c r="J169" s="382">
        <f t="shared" si="150"/>
        <v>0.99999999999999978</v>
      </c>
      <c r="K169" s="382">
        <f t="shared" si="150"/>
        <v>0.99999999999999978</v>
      </c>
      <c r="L169" s="382">
        <f t="shared" si="150"/>
        <v>0.99999999999999978</v>
      </c>
      <c r="M169" s="382">
        <f t="shared" si="150"/>
        <v>0.99999999999999978</v>
      </c>
      <c r="N169" s="382">
        <f t="shared" si="150"/>
        <v>0.99999999999999978</v>
      </c>
      <c r="O169" s="382">
        <f t="shared" si="150"/>
        <v>0.99999999999999978</v>
      </c>
      <c r="P169" s="382">
        <f t="shared" si="150"/>
        <v>0.99999999999999978</v>
      </c>
      <c r="Q169" s="382">
        <f t="shared" si="150"/>
        <v>0.99999999999999978</v>
      </c>
      <c r="R169" s="382">
        <f t="shared" si="150"/>
        <v>0.99999999999999978</v>
      </c>
      <c r="S169" s="382">
        <f t="shared" si="150"/>
        <v>0.99999999999999978</v>
      </c>
      <c r="T169" s="382">
        <f t="shared" si="150"/>
        <v>0.99999999999999978</v>
      </c>
      <c r="U169" s="382">
        <f t="shared" si="150"/>
        <v>0.99999999999999978</v>
      </c>
      <c r="V169" s="382">
        <f t="shared" si="150"/>
        <v>0.99999999999999978</v>
      </c>
      <c r="W169" s="382">
        <f t="shared" si="150"/>
        <v>0.99999999999999978</v>
      </c>
      <c r="X169" s="382">
        <f t="shared" si="150"/>
        <v>0.99999999999999978</v>
      </c>
      <c r="Y169" s="382">
        <f t="shared" si="150"/>
        <v>0.99999999999999978</v>
      </c>
      <c r="Z169" s="382">
        <f t="shared" si="150"/>
        <v>0.99999999999999978</v>
      </c>
      <c r="AA169" s="382">
        <f t="shared" si="150"/>
        <v>0.99999999999999978</v>
      </c>
      <c r="AB169" s="382">
        <f t="shared" si="150"/>
        <v>0.99999999999999978</v>
      </c>
      <c r="AC169" s="382">
        <f t="shared" si="150"/>
        <v>0.99999999999999978</v>
      </c>
      <c r="AD169" s="382">
        <f t="shared" si="150"/>
        <v>0.99999999999999978</v>
      </c>
      <c r="AE169" s="382">
        <f t="shared" si="150"/>
        <v>0.99999999999999978</v>
      </c>
      <c r="AF169" s="382">
        <f t="shared" si="150"/>
        <v>0.99999999999999978</v>
      </c>
      <c r="AG169" s="382">
        <f>'Overall recycling rates'!C96</f>
        <v>1</v>
      </c>
      <c r="AI169" s="134"/>
      <c r="AJ169" s="211"/>
      <c r="BC169" s="1"/>
      <c r="BD169" s="41"/>
      <c r="BF169" s="6"/>
      <c r="BG169" s="6"/>
      <c r="BH169" s="6"/>
      <c r="BI169" s="6"/>
      <c r="BJ169" s="6"/>
    </row>
    <row r="170" spans="1:63" outlineLevel="1" x14ac:dyDescent="0.2">
      <c r="A170" t="s">
        <v>1447</v>
      </c>
      <c r="B170" s="54" t="s">
        <v>462</v>
      </c>
      <c r="C170" s="110">
        <f>C159*C169</f>
        <v>6.4999999999999988E-3</v>
      </c>
      <c r="D170" s="110">
        <f t="shared" ref="D170:AG170" si="151">D159*D169</f>
        <v>7.9086652478886493E-3</v>
      </c>
      <c r="E170" s="110">
        <f t="shared" si="151"/>
        <v>9.4102824713645315E-3</v>
      </c>
      <c r="F170" s="110">
        <f t="shared" si="151"/>
        <v>1.100485167042765E-2</v>
      </c>
      <c r="G170" s="110">
        <f t="shared" si="151"/>
        <v>1.2692372845077999E-2</v>
      </c>
      <c r="H170" s="110">
        <f t="shared" si="151"/>
        <v>1.4472845995315581E-2</v>
      </c>
      <c r="I170" s="110">
        <f t="shared" si="151"/>
        <v>1.6346271121140399E-2</v>
      </c>
      <c r="J170" s="110">
        <f t="shared" si="151"/>
        <v>1.8312648222552453E-2</v>
      </c>
      <c r="K170" s="110">
        <f t="shared" si="151"/>
        <v>2.0371977299551737E-2</v>
      </c>
      <c r="L170" s="110">
        <f t="shared" si="151"/>
        <v>2.2524258352138251E-2</v>
      </c>
      <c r="M170" s="110">
        <f t="shared" si="151"/>
        <v>2.4769491380312002E-2</v>
      </c>
      <c r="N170" s="110">
        <f t="shared" si="151"/>
        <v>2.7982854984986632E-2</v>
      </c>
      <c r="O170" s="110">
        <f t="shared" si="151"/>
        <v>3.1392132753591276E-2</v>
      </c>
      <c r="P170" s="110">
        <f t="shared" si="151"/>
        <v>3.499732468612593E-2</v>
      </c>
      <c r="Q170" s="110">
        <f t="shared" si="151"/>
        <v>3.8798430782590605E-2</v>
      </c>
      <c r="R170" s="110">
        <f t="shared" si="151"/>
        <v>4.2795451042985294E-2</v>
      </c>
      <c r="S170" s="110">
        <f t="shared" si="151"/>
        <v>4.6988385467309983E-2</v>
      </c>
      <c r="T170" s="110">
        <f t="shared" si="151"/>
        <v>5.1377234055564713E-2</v>
      </c>
      <c r="U170" s="110">
        <f t="shared" si="151"/>
        <v>5.5961996807749444E-2</v>
      </c>
      <c r="V170" s="110">
        <f t="shared" si="151"/>
        <v>6.0742673723864195E-2</v>
      </c>
      <c r="W170" s="110">
        <f t="shared" si="151"/>
        <v>6.5719264803908953E-2</v>
      </c>
      <c r="X170" s="110">
        <f t="shared" si="151"/>
        <v>7.2672235951345671E-2</v>
      </c>
      <c r="Y170" s="110">
        <f t="shared" si="151"/>
        <v>7.9953007625931813E-2</v>
      </c>
      <c r="Z170" s="110">
        <f t="shared" si="151"/>
        <v>8.756157982766738E-2</v>
      </c>
      <c r="AA170" s="110">
        <f t="shared" si="151"/>
        <v>9.5497952556552329E-2</v>
      </c>
      <c r="AB170" s="110">
        <f t="shared" si="151"/>
        <v>0.10376212581258672</v>
      </c>
      <c r="AC170" s="110">
        <f t="shared" si="151"/>
        <v>0.11235409959577054</v>
      </c>
      <c r="AD170" s="110">
        <f t="shared" si="151"/>
        <v>0.12127387390610378</v>
      </c>
      <c r="AE170" s="110">
        <f t="shared" si="151"/>
        <v>0.13052144874358645</v>
      </c>
      <c r="AF170" s="110">
        <f t="shared" si="151"/>
        <v>0.1400968241082185</v>
      </c>
      <c r="AG170" s="110">
        <f t="shared" si="151"/>
        <v>0.15</v>
      </c>
      <c r="AI170" s="134"/>
      <c r="AJ170" s="211"/>
      <c r="BC170" s="1"/>
      <c r="BD170" s="41"/>
      <c r="BF170" s="6"/>
      <c r="BG170" s="6"/>
      <c r="BH170" s="6"/>
      <c r="BI170" s="6"/>
      <c r="BJ170" s="6"/>
    </row>
    <row r="171" spans="1:63" outlineLevel="1" x14ac:dyDescent="0.2">
      <c r="A171" t="s">
        <v>1448</v>
      </c>
      <c r="B171" s="54" t="s">
        <v>462</v>
      </c>
      <c r="C171" s="110">
        <f>C160*C169</f>
        <v>0.12349999999999997</v>
      </c>
      <c r="D171" s="110">
        <f t="shared" ref="D171:AG171" si="152">D160*D169</f>
        <v>0.12766845328734533</v>
      </c>
      <c r="E171" s="110">
        <f t="shared" si="152"/>
        <v>0.13174395459910346</v>
      </c>
      <c r="F171" s="110">
        <f t="shared" si="152"/>
        <v>0.13572650393527436</v>
      </c>
      <c r="G171" s="110">
        <f t="shared" si="152"/>
        <v>0.139616101295858</v>
      </c>
      <c r="H171" s="110">
        <f t="shared" si="152"/>
        <v>0.14341274668085441</v>
      </c>
      <c r="I171" s="110">
        <f t="shared" si="152"/>
        <v>0.14711644009026362</v>
      </c>
      <c r="J171" s="110">
        <f t="shared" si="152"/>
        <v>0.1507271815240856</v>
      </c>
      <c r="K171" s="110">
        <f t="shared" si="152"/>
        <v>0.15424497098232029</v>
      </c>
      <c r="L171" s="110">
        <f t="shared" si="152"/>
        <v>0.15766980846496778</v>
      </c>
      <c r="M171" s="110">
        <f t="shared" si="152"/>
        <v>0.16100169397202804</v>
      </c>
      <c r="N171" s="110">
        <f t="shared" si="152"/>
        <v>0.16954318020315434</v>
      </c>
      <c r="O171" s="110">
        <f t="shared" si="152"/>
        <v>0.17788875227035056</v>
      </c>
      <c r="P171" s="110">
        <f t="shared" si="152"/>
        <v>0.18603841017361683</v>
      </c>
      <c r="Q171" s="110">
        <f t="shared" si="152"/>
        <v>0.19399215391295305</v>
      </c>
      <c r="R171" s="110">
        <f t="shared" si="152"/>
        <v>0.20174998348835921</v>
      </c>
      <c r="S171" s="110">
        <f t="shared" si="152"/>
        <v>0.2093118988998354</v>
      </c>
      <c r="T171" s="110">
        <f t="shared" si="152"/>
        <v>0.21667790014738164</v>
      </c>
      <c r="U171" s="110">
        <f t="shared" si="152"/>
        <v>0.2238479872309978</v>
      </c>
      <c r="V171" s="110">
        <f t="shared" si="152"/>
        <v>0.23082216015068399</v>
      </c>
      <c r="W171" s="110">
        <f t="shared" si="152"/>
        <v>0.2376004189064401</v>
      </c>
      <c r="X171" s="110">
        <f t="shared" si="152"/>
        <v>0.25031547938796844</v>
      </c>
      <c r="Y171" s="110">
        <f t="shared" si="152"/>
        <v>0.26270273934234739</v>
      </c>
      <c r="Z171" s="110">
        <f t="shared" si="152"/>
        <v>0.27476219876957692</v>
      </c>
      <c r="AA171" s="110">
        <f t="shared" si="152"/>
        <v>0.28649385766965707</v>
      </c>
      <c r="AB171" s="110">
        <f t="shared" si="152"/>
        <v>0.29789771604258775</v>
      </c>
      <c r="AC171" s="110">
        <f t="shared" si="152"/>
        <v>0.30897377388836905</v>
      </c>
      <c r="AD171" s="110">
        <f t="shared" si="152"/>
        <v>0.31972203120700088</v>
      </c>
      <c r="AE171" s="110">
        <f t="shared" si="152"/>
        <v>0.33014248799848328</v>
      </c>
      <c r="AF171" s="110">
        <f t="shared" si="152"/>
        <v>0.34023514426281626</v>
      </c>
      <c r="AG171" s="110">
        <f t="shared" si="152"/>
        <v>0.35</v>
      </c>
      <c r="AI171" s="134"/>
      <c r="AJ171" s="211"/>
      <c r="BC171" s="1"/>
      <c r="BD171" s="41"/>
      <c r="BF171" s="6"/>
      <c r="BG171" s="6"/>
      <c r="BH171" s="6"/>
      <c r="BI171" s="6"/>
      <c r="BJ171" s="6"/>
    </row>
    <row r="172" spans="1:63" outlineLevel="1" x14ac:dyDescent="0.2">
      <c r="A172" t="s">
        <v>1449</v>
      </c>
      <c r="B172" s="54" t="s">
        <v>462</v>
      </c>
      <c r="C172" s="110">
        <f>C156*C169</f>
        <v>0.12999999999999998</v>
      </c>
      <c r="D172" s="110">
        <f t="shared" ref="D172:AG172" si="153">D156*D169</f>
        <v>0.13557711853523399</v>
      </c>
      <c r="E172" s="110">
        <f t="shared" si="153"/>
        <v>0.14115423707046798</v>
      </c>
      <c r="F172" s="110">
        <f t="shared" si="153"/>
        <v>0.146731355605702</v>
      </c>
      <c r="G172" s="110">
        <f t="shared" si="153"/>
        <v>0.15230847414093601</v>
      </c>
      <c r="H172" s="110">
        <f t="shared" si="153"/>
        <v>0.15788559267617</v>
      </c>
      <c r="I172" s="110">
        <f t="shared" si="153"/>
        <v>0.16346271121140402</v>
      </c>
      <c r="J172" s="110">
        <f t="shared" si="153"/>
        <v>0.16903982974663803</v>
      </c>
      <c r="K172" s="110">
        <f t="shared" si="153"/>
        <v>0.17461694828187205</v>
      </c>
      <c r="L172" s="110">
        <f t="shared" si="153"/>
        <v>0.18019406681710604</v>
      </c>
      <c r="M172" s="110">
        <f t="shared" si="153"/>
        <v>0.18577118535234005</v>
      </c>
      <c r="N172" s="110">
        <f t="shared" si="153"/>
        <v>0.19752603518814094</v>
      </c>
      <c r="O172" s="110">
        <f t="shared" si="153"/>
        <v>0.20928088502394182</v>
      </c>
      <c r="P172" s="110">
        <f t="shared" si="153"/>
        <v>0.22103573485974273</v>
      </c>
      <c r="Q172" s="110">
        <f t="shared" si="153"/>
        <v>0.23279058469554365</v>
      </c>
      <c r="R172" s="110">
        <f t="shared" si="153"/>
        <v>0.24454543453134453</v>
      </c>
      <c r="S172" s="110">
        <f t="shared" si="153"/>
        <v>0.25630028436714541</v>
      </c>
      <c r="T172" s="110">
        <f t="shared" si="153"/>
        <v>0.26805513420294635</v>
      </c>
      <c r="U172" s="110">
        <f t="shared" si="153"/>
        <v>0.27980998403874724</v>
      </c>
      <c r="V172" s="110">
        <f t="shared" si="153"/>
        <v>0.29156483387454818</v>
      </c>
      <c r="W172" s="110">
        <f t="shared" si="153"/>
        <v>0.30331968371034906</v>
      </c>
      <c r="X172" s="110">
        <f t="shared" si="153"/>
        <v>0.32298771533931414</v>
      </c>
      <c r="Y172" s="110">
        <f t="shared" si="153"/>
        <v>0.34265574696827922</v>
      </c>
      <c r="Z172" s="110">
        <f t="shared" si="153"/>
        <v>0.36232377859724435</v>
      </c>
      <c r="AA172" s="110">
        <f t="shared" si="153"/>
        <v>0.38199181022620937</v>
      </c>
      <c r="AB172" s="110">
        <f t="shared" si="153"/>
        <v>0.40165984185517445</v>
      </c>
      <c r="AC172" s="110">
        <f t="shared" si="153"/>
        <v>0.42132787348413953</v>
      </c>
      <c r="AD172" s="110">
        <f t="shared" si="153"/>
        <v>0.4409959051131046</v>
      </c>
      <c r="AE172" s="110">
        <f t="shared" si="153"/>
        <v>0.46066393674206974</v>
      </c>
      <c r="AF172" s="110">
        <f t="shared" si="153"/>
        <v>0.48033196837103476</v>
      </c>
      <c r="AG172" s="110">
        <f t="shared" si="153"/>
        <v>0.5</v>
      </c>
      <c r="AI172" s="134"/>
      <c r="AJ172" s="211"/>
      <c r="BC172" s="1"/>
      <c r="BD172" s="41"/>
      <c r="BF172" s="6"/>
      <c r="BG172" s="6"/>
      <c r="BH172" s="6"/>
      <c r="BI172" s="6"/>
      <c r="BJ172" s="6"/>
    </row>
    <row r="173" spans="1:63" outlineLevel="1" x14ac:dyDescent="0.2">
      <c r="A173" t="s">
        <v>1450</v>
      </c>
      <c r="B173" s="54" t="s">
        <v>462</v>
      </c>
      <c r="C173" s="110">
        <f>C166*C169</f>
        <v>6.1749999999999985E-2</v>
      </c>
      <c r="D173" s="110">
        <f t="shared" ref="D173:AG173" si="154">D166*D169</f>
        <v>6.3834226643672665E-2</v>
      </c>
      <c r="E173" s="110">
        <f t="shared" si="154"/>
        <v>6.5871977299551729E-2</v>
      </c>
      <c r="F173" s="110">
        <f t="shared" si="154"/>
        <v>6.7863251967637178E-2</v>
      </c>
      <c r="G173" s="110">
        <f t="shared" si="154"/>
        <v>6.9808050647928999E-2</v>
      </c>
      <c r="H173" s="110">
        <f t="shared" si="154"/>
        <v>7.1706373340427204E-2</v>
      </c>
      <c r="I173" s="110">
        <f t="shared" si="154"/>
        <v>7.3558220045131809E-2</v>
      </c>
      <c r="J173" s="110">
        <f t="shared" si="154"/>
        <v>7.5363590762042798E-2</v>
      </c>
      <c r="K173" s="110">
        <f t="shared" si="154"/>
        <v>7.7122485491160145E-2</v>
      </c>
      <c r="L173" s="110">
        <f t="shared" si="154"/>
        <v>7.8834904232483891E-2</v>
      </c>
      <c r="M173" s="110">
        <f t="shared" si="154"/>
        <v>8.0500846986014021E-2</v>
      </c>
      <c r="N173" s="110">
        <f t="shared" si="154"/>
        <v>8.4771590101577171E-2</v>
      </c>
      <c r="O173" s="110">
        <f t="shared" si="154"/>
        <v>8.8944376135175279E-2</v>
      </c>
      <c r="P173" s="110">
        <f t="shared" si="154"/>
        <v>9.3019205086808415E-2</v>
      </c>
      <c r="Q173" s="110">
        <f t="shared" si="154"/>
        <v>9.6996076956476524E-2</v>
      </c>
      <c r="R173" s="110">
        <f t="shared" si="154"/>
        <v>0.1008749917441796</v>
      </c>
      <c r="S173" s="110">
        <f t="shared" si="154"/>
        <v>0.1046559494499177</v>
      </c>
      <c r="T173" s="110">
        <f t="shared" si="154"/>
        <v>0.10833895007369082</v>
      </c>
      <c r="U173" s="110">
        <f t="shared" si="154"/>
        <v>0.1119239936154989</v>
      </c>
      <c r="V173" s="110">
        <f t="shared" si="154"/>
        <v>0.115411080075342</v>
      </c>
      <c r="W173" s="110">
        <f t="shared" si="154"/>
        <v>0.11880020945322005</v>
      </c>
      <c r="X173" s="110">
        <f t="shared" si="154"/>
        <v>0.12515773969398422</v>
      </c>
      <c r="Y173" s="110">
        <f t="shared" si="154"/>
        <v>0.1313513696711737</v>
      </c>
      <c r="Z173" s="110">
        <f t="shared" si="154"/>
        <v>0.13738109938478846</v>
      </c>
      <c r="AA173" s="110">
        <f t="shared" si="154"/>
        <v>0.14324692883482854</v>
      </c>
      <c r="AB173" s="110">
        <f t="shared" si="154"/>
        <v>0.14894885802129387</v>
      </c>
      <c r="AC173" s="110">
        <f t="shared" si="154"/>
        <v>0.15448688694418453</v>
      </c>
      <c r="AD173" s="110">
        <f t="shared" si="154"/>
        <v>0.15986101560350044</v>
      </c>
      <c r="AE173" s="110">
        <f t="shared" si="154"/>
        <v>0.16507124399924164</v>
      </c>
      <c r="AF173" s="110">
        <f t="shared" si="154"/>
        <v>0.17011757213140813</v>
      </c>
      <c r="AG173" s="110">
        <f t="shared" si="154"/>
        <v>0.17499999999999999</v>
      </c>
      <c r="AI173" s="134"/>
      <c r="AJ173" s="211"/>
      <c r="BC173" s="1"/>
      <c r="BD173" s="41"/>
      <c r="BF173" s="6"/>
      <c r="BG173" s="6"/>
      <c r="BH173" s="6"/>
      <c r="BI173" s="6"/>
      <c r="BJ173" s="6"/>
    </row>
    <row r="174" spans="1:63" outlineLevel="1" x14ac:dyDescent="0.2">
      <c r="A174" t="s">
        <v>1452</v>
      </c>
      <c r="B174" s="54" t="s">
        <v>462</v>
      </c>
      <c r="C174" s="110">
        <f>C167*C169</f>
        <v>6.1749999999999985E-2</v>
      </c>
      <c r="D174" s="110">
        <f t="shared" ref="D174:AG174" si="155">D167*D169</f>
        <v>6.3834226643672665E-2</v>
      </c>
      <c r="E174" s="110">
        <f t="shared" si="155"/>
        <v>6.5871977299551729E-2</v>
      </c>
      <c r="F174" s="110">
        <f t="shared" si="155"/>
        <v>6.7863251967637178E-2</v>
      </c>
      <c r="G174" s="110">
        <f t="shared" si="155"/>
        <v>6.9808050647928999E-2</v>
      </c>
      <c r="H174" s="110">
        <f t="shared" si="155"/>
        <v>7.1706373340427204E-2</v>
      </c>
      <c r="I174" s="110">
        <f t="shared" si="155"/>
        <v>7.3558220045131809E-2</v>
      </c>
      <c r="J174" s="110">
        <f t="shared" si="155"/>
        <v>7.5363590762042798E-2</v>
      </c>
      <c r="K174" s="110">
        <f t="shared" si="155"/>
        <v>7.7122485491160145E-2</v>
      </c>
      <c r="L174" s="110">
        <f t="shared" si="155"/>
        <v>7.8834904232483891E-2</v>
      </c>
      <c r="M174" s="110">
        <f t="shared" si="155"/>
        <v>8.0500846986014021E-2</v>
      </c>
      <c r="N174" s="110">
        <f t="shared" si="155"/>
        <v>8.4771590101577171E-2</v>
      </c>
      <c r="O174" s="110">
        <f t="shared" si="155"/>
        <v>8.8944376135175279E-2</v>
      </c>
      <c r="P174" s="110">
        <f t="shared" si="155"/>
        <v>9.3019205086808415E-2</v>
      </c>
      <c r="Q174" s="110">
        <f t="shared" si="155"/>
        <v>9.6996076956476524E-2</v>
      </c>
      <c r="R174" s="110">
        <f t="shared" si="155"/>
        <v>0.1008749917441796</v>
      </c>
      <c r="S174" s="110">
        <f t="shared" si="155"/>
        <v>0.1046559494499177</v>
      </c>
      <c r="T174" s="110">
        <f t="shared" si="155"/>
        <v>0.10833895007369082</v>
      </c>
      <c r="U174" s="110">
        <f t="shared" si="155"/>
        <v>0.1119239936154989</v>
      </c>
      <c r="V174" s="110">
        <f t="shared" si="155"/>
        <v>0.115411080075342</v>
      </c>
      <c r="W174" s="110">
        <f t="shared" si="155"/>
        <v>0.11880020945322005</v>
      </c>
      <c r="X174" s="110">
        <f t="shared" si="155"/>
        <v>0.12515773969398422</v>
      </c>
      <c r="Y174" s="110">
        <f t="shared" si="155"/>
        <v>0.1313513696711737</v>
      </c>
      <c r="Z174" s="110">
        <f t="shared" si="155"/>
        <v>0.13738109938478846</v>
      </c>
      <c r="AA174" s="110">
        <f t="shared" si="155"/>
        <v>0.14324692883482854</v>
      </c>
      <c r="AB174" s="110">
        <f t="shared" si="155"/>
        <v>0.14894885802129387</v>
      </c>
      <c r="AC174" s="110">
        <f t="shared" si="155"/>
        <v>0.15448688694418453</v>
      </c>
      <c r="AD174" s="110">
        <f t="shared" si="155"/>
        <v>0.15986101560350044</v>
      </c>
      <c r="AE174" s="110">
        <f t="shared" si="155"/>
        <v>0.16507124399924164</v>
      </c>
      <c r="AF174" s="110">
        <f t="shared" si="155"/>
        <v>0.17011757213140813</v>
      </c>
      <c r="AG174" s="110">
        <f t="shared" si="155"/>
        <v>0.17499999999999999</v>
      </c>
      <c r="AI174" s="134"/>
      <c r="AJ174" s="211"/>
      <c r="BC174" s="1"/>
      <c r="BD174" s="41"/>
      <c r="BF174" s="6"/>
      <c r="BG174" s="6"/>
      <c r="BH174" s="6"/>
      <c r="BI174" s="6"/>
      <c r="BJ174" s="6"/>
    </row>
    <row r="175" spans="1:63" outlineLevel="1" x14ac:dyDescent="0.2">
      <c r="C175" s="110"/>
      <c r="D175" s="110"/>
      <c r="E175" s="110"/>
      <c r="F175" s="110"/>
      <c r="G175" s="110"/>
      <c r="H175" s="110"/>
      <c r="I175" s="110"/>
      <c r="J175" s="110"/>
      <c r="K175" s="110"/>
      <c r="L175" s="110"/>
      <c r="M175" s="110"/>
      <c r="N175" s="110"/>
      <c r="O175" s="110"/>
      <c r="P175" s="110"/>
      <c r="Q175" s="110"/>
      <c r="R175" s="110"/>
      <c r="S175" s="110"/>
      <c r="T175" s="110"/>
      <c r="U175" s="110"/>
      <c r="V175" s="110"/>
      <c r="W175" s="110"/>
      <c r="X175" s="110"/>
      <c r="Y175" s="110"/>
      <c r="Z175" s="110"/>
      <c r="AA175" s="110"/>
      <c r="AB175" s="110"/>
      <c r="AC175" s="110"/>
      <c r="AD175" s="110"/>
      <c r="AE175" s="110"/>
      <c r="AF175" s="110"/>
      <c r="AG175" s="110"/>
      <c r="AI175" s="134"/>
      <c r="AJ175" s="211"/>
      <c r="BC175" s="1"/>
      <c r="BD175" s="41"/>
      <c r="BF175" s="6"/>
      <c r="BG175" s="6"/>
      <c r="BH175" s="6"/>
      <c r="BI175" s="6"/>
      <c r="BJ175" s="6"/>
    </row>
    <row r="176" spans="1:63" s="1" customFormat="1" outlineLevel="1" x14ac:dyDescent="0.2">
      <c r="A176" s="1" t="s">
        <v>228</v>
      </c>
      <c r="B176" s="65"/>
      <c r="C176" s="300">
        <f>C170*C48</f>
        <v>3.0576426161855394E-2</v>
      </c>
      <c r="D176" s="300">
        <f t="shared" ref="D176:AG176" si="156">D170*D48</f>
        <v>3.844997616740102E-2</v>
      </c>
      <c r="E176" s="300">
        <f t="shared" si="156"/>
        <v>4.7160488433893956E-2</v>
      </c>
      <c r="F176" s="300">
        <f t="shared" si="156"/>
        <v>5.6703069584892928E-2</v>
      </c>
      <c r="G176" s="300">
        <f t="shared" si="156"/>
        <v>6.7062029056414077E-2</v>
      </c>
      <c r="H176" s="300">
        <f t="shared" si="156"/>
        <v>7.8210456224277122E-2</v>
      </c>
      <c r="I176" s="300">
        <f t="shared" si="156"/>
        <v>8.7513980435696109E-2</v>
      </c>
      <c r="J176" s="300">
        <f t="shared" si="156"/>
        <v>9.6988001556698789E-2</v>
      </c>
      <c r="K176" s="300">
        <f t="shared" si="156"/>
        <v>0.10657088705968636</v>
      </c>
      <c r="L176" s="300">
        <f t="shared" si="156"/>
        <v>0.1161962049583344</v>
      </c>
      <c r="M176" s="300">
        <f t="shared" si="156"/>
        <v>0.12579276236657591</v>
      </c>
      <c r="N176" s="300">
        <f t="shared" si="156"/>
        <v>0.13945255554602173</v>
      </c>
      <c r="O176" s="300">
        <f t="shared" si="156"/>
        <v>0.15300419715318525</v>
      </c>
      <c r="P176" s="300">
        <f t="shared" si="156"/>
        <v>0.16625150747705464</v>
      </c>
      <c r="Q176" s="300">
        <f t="shared" si="156"/>
        <v>0.17899253918764185</v>
      </c>
      <c r="R176" s="300">
        <f t="shared" si="156"/>
        <v>0.19102244387668807</v>
      </c>
      <c r="S176" s="300">
        <f t="shared" si="156"/>
        <v>0.20529230531349005</v>
      </c>
      <c r="T176" s="300">
        <f t="shared" si="156"/>
        <v>0.21945199445106836</v>
      </c>
      <c r="U176" s="300">
        <f t="shared" si="156"/>
        <v>0.2334040310924019</v>
      </c>
      <c r="V176" s="300">
        <f t="shared" si="156"/>
        <v>0.24704727850429781</v>
      </c>
      <c r="W176" s="300">
        <f t="shared" si="156"/>
        <v>0.26027695494378172</v>
      </c>
      <c r="X176" s="300">
        <f t="shared" si="156"/>
        <v>0.27984381481151593</v>
      </c>
      <c r="Y176" s="300">
        <f t="shared" si="156"/>
        <v>0.29887186844967456</v>
      </c>
      <c r="Z176" s="300">
        <f t="shared" si="156"/>
        <v>0.31718401343675262</v>
      </c>
      <c r="AA176" s="300">
        <f t="shared" si="156"/>
        <v>0.33459709256480435</v>
      </c>
      <c r="AB176" s="300">
        <f t="shared" si="156"/>
        <v>0.35092191646741838</v>
      </c>
      <c r="AC176" s="300">
        <f t="shared" si="156"/>
        <v>0.3623168183256304</v>
      </c>
      <c r="AD176" s="300">
        <f t="shared" si="156"/>
        <v>0.37157606283483785</v>
      </c>
      <c r="AE176" s="300">
        <f t="shared" si="156"/>
        <v>0.37844367314807276</v>
      </c>
      <c r="AF176" s="300">
        <f t="shared" si="156"/>
        <v>0.38265649169769</v>
      </c>
      <c r="AG176" s="300">
        <f t="shared" si="156"/>
        <v>0.38394422704395359</v>
      </c>
      <c r="AH176" s="422">
        <f>AG176-C176</f>
        <v>0.35336780088209818</v>
      </c>
      <c r="AI176" s="423"/>
      <c r="AJ176" s="424"/>
      <c r="AL176" s="221"/>
      <c r="AM176" s="124"/>
      <c r="AN176" s="124"/>
      <c r="AO176" s="124"/>
      <c r="BD176" s="124"/>
      <c r="BE176" s="124"/>
      <c r="BF176" s="124"/>
      <c r="BG176" s="124"/>
      <c r="BH176" s="124"/>
      <c r="BI176" s="124"/>
      <c r="BJ176" s="124"/>
      <c r="BK176" s="124"/>
    </row>
    <row r="177" spans="1:63" outlineLevel="1" x14ac:dyDescent="0.2">
      <c r="A177" s="4" t="s">
        <v>258</v>
      </c>
      <c r="C177" s="230">
        <f>C$176*'Ethylene recycling rates'!E88</f>
        <v>0</v>
      </c>
      <c r="D177" s="230">
        <f>D$176*'Ethylene recycling rates'!F88</f>
        <v>0</v>
      </c>
      <c r="E177" s="230">
        <f>E$176*'Ethylene recycling rates'!G88</f>
        <v>0</v>
      </c>
      <c r="F177" s="230">
        <f>F$176*'Ethylene recycling rates'!H88</f>
        <v>0</v>
      </c>
      <c r="G177" s="230">
        <f>G$176*'Ethylene recycling rates'!I88</f>
        <v>0</v>
      </c>
      <c r="H177" s="230">
        <f>H$176*'Ethylene recycling rates'!J88</f>
        <v>0</v>
      </c>
      <c r="I177" s="230">
        <f>I$176*'Ethylene recycling rates'!K88</f>
        <v>0</v>
      </c>
      <c r="J177" s="230">
        <f>J$176*'Ethylene recycling rates'!L88</f>
        <v>0</v>
      </c>
      <c r="K177" s="230">
        <f>K$176*'Ethylene recycling rates'!M88</f>
        <v>0</v>
      </c>
      <c r="L177" s="230">
        <f>L$176*'Ethylene recycling rates'!N88</f>
        <v>0</v>
      </c>
      <c r="M177" s="230">
        <f>M$176*'Ethylene recycling rates'!O88</f>
        <v>0</v>
      </c>
      <c r="N177" s="230">
        <f>N$176*'Ethylene recycling rates'!P88</f>
        <v>0</v>
      </c>
      <c r="O177" s="230">
        <f>O$176*'Ethylene recycling rates'!Q88</f>
        <v>0</v>
      </c>
      <c r="P177" s="230">
        <f>P$176*'Ethylene recycling rates'!R88</f>
        <v>0</v>
      </c>
      <c r="Q177" s="230">
        <f>Q$176*'Ethylene recycling rates'!S88</f>
        <v>0</v>
      </c>
      <c r="R177" s="230">
        <f>R$176*'Ethylene recycling rates'!T88</f>
        <v>0</v>
      </c>
      <c r="S177" s="230">
        <f>S$176*'Ethylene recycling rates'!U88</f>
        <v>0</v>
      </c>
      <c r="T177" s="230">
        <f>T$176*'Ethylene recycling rates'!V88</f>
        <v>0</v>
      </c>
      <c r="U177" s="230">
        <f>U$176*'Ethylene recycling rates'!W88</f>
        <v>0</v>
      </c>
      <c r="V177" s="230">
        <f>V$176*'Ethylene recycling rates'!X88</f>
        <v>0</v>
      </c>
      <c r="W177" s="230">
        <f>W$176*'Ethylene recycling rates'!Y88</f>
        <v>0</v>
      </c>
      <c r="X177" s="230">
        <f>X$176*'Ethylene recycling rates'!Z88</f>
        <v>0</v>
      </c>
      <c r="Y177" s="230">
        <f>Y$176*'Ethylene recycling rates'!AA88</f>
        <v>0</v>
      </c>
      <c r="Z177" s="230">
        <f>Z$176*'Ethylene recycling rates'!AB88</f>
        <v>0</v>
      </c>
      <c r="AA177" s="230">
        <f>AA$176*'Ethylene recycling rates'!AC88</f>
        <v>0</v>
      </c>
      <c r="AB177" s="230">
        <f>AB$176*'Ethylene recycling rates'!AD88</f>
        <v>0</v>
      </c>
      <c r="AC177" s="230">
        <f>AC$176*'Ethylene recycling rates'!AE88</f>
        <v>0</v>
      </c>
      <c r="AD177" s="230">
        <f>AD$176*'Ethylene recycling rates'!AF88</f>
        <v>0</v>
      </c>
      <c r="AE177" s="230">
        <f>AE$176*'Ethylene recycling rates'!AG88</f>
        <v>0</v>
      </c>
      <c r="AF177" s="230">
        <f>AF$176*'Ethylene recycling rates'!AH88</f>
        <v>0</v>
      </c>
      <c r="AG177" s="230">
        <f>AG$176*'Ethylene recycling rates'!AI88</f>
        <v>0</v>
      </c>
      <c r="AH177" s="422">
        <f t="shared" ref="AH177:AH181" si="157">AG177-C177</f>
        <v>0</v>
      </c>
      <c r="AI177" s="133"/>
      <c r="AJ177" s="211"/>
      <c r="AL177" s="108"/>
      <c r="AM177" s="2"/>
      <c r="AN177" s="2"/>
      <c r="AO177" s="2"/>
      <c r="BC177" s="1"/>
      <c r="BD177" s="2"/>
      <c r="BE177" s="2"/>
      <c r="BF177" s="2"/>
      <c r="BG177" s="2"/>
      <c r="BH177" s="2"/>
      <c r="BI177" s="2"/>
      <c r="BJ177" s="2"/>
      <c r="BK177" s="2"/>
    </row>
    <row r="178" spans="1:63" outlineLevel="1" x14ac:dyDescent="0.2">
      <c r="A178" s="4" t="s">
        <v>478</v>
      </c>
      <c r="C178" s="230">
        <f>C$176*'Ethylene recycling rates'!E89</f>
        <v>0</v>
      </c>
      <c r="D178" s="230">
        <f>D$176*'Ethylene recycling rates'!F89</f>
        <v>0</v>
      </c>
      <c r="E178" s="230">
        <f>E$176*'Ethylene recycling rates'!G89</f>
        <v>0</v>
      </c>
      <c r="F178" s="230">
        <f>F$176*'Ethylene recycling rates'!H89</f>
        <v>0</v>
      </c>
      <c r="G178" s="230">
        <f>G$176*'Ethylene recycling rates'!I89</f>
        <v>0</v>
      </c>
      <c r="H178" s="230">
        <f>H$176*'Ethylene recycling rates'!J89</f>
        <v>0</v>
      </c>
      <c r="I178" s="230">
        <f>I$176*'Ethylene recycling rates'!K89</f>
        <v>0</v>
      </c>
      <c r="J178" s="230">
        <f>J$176*'Ethylene recycling rates'!L89</f>
        <v>0</v>
      </c>
      <c r="K178" s="230">
        <f>K$176*'Ethylene recycling rates'!M89</f>
        <v>0</v>
      </c>
      <c r="L178" s="230">
        <f>L$176*'Ethylene recycling rates'!N89</f>
        <v>0</v>
      </c>
      <c r="M178" s="230">
        <f>M$176*'Ethylene recycling rates'!O89</f>
        <v>0</v>
      </c>
      <c r="N178" s="230">
        <f>N$176*'Ethylene recycling rates'!P89</f>
        <v>0</v>
      </c>
      <c r="O178" s="230">
        <f>O$176*'Ethylene recycling rates'!Q89</f>
        <v>0</v>
      </c>
      <c r="P178" s="230">
        <f>P$176*'Ethylene recycling rates'!R89</f>
        <v>0</v>
      </c>
      <c r="Q178" s="230">
        <f>Q$176*'Ethylene recycling rates'!S89</f>
        <v>0</v>
      </c>
      <c r="R178" s="230">
        <f>R$176*'Ethylene recycling rates'!T89</f>
        <v>0</v>
      </c>
      <c r="S178" s="230">
        <f>S$176*'Ethylene recycling rates'!U89</f>
        <v>0</v>
      </c>
      <c r="T178" s="230">
        <f>T$176*'Ethylene recycling rates'!V89</f>
        <v>0</v>
      </c>
      <c r="U178" s="230">
        <f>U$176*'Ethylene recycling rates'!W89</f>
        <v>0</v>
      </c>
      <c r="V178" s="230">
        <f>V$176*'Ethylene recycling rates'!X89</f>
        <v>0</v>
      </c>
      <c r="W178" s="230">
        <f>W$176*'Ethylene recycling rates'!Y89</f>
        <v>0</v>
      </c>
      <c r="X178" s="230">
        <f>X$176*'Ethylene recycling rates'!Z89</f>
        <v>0</v>
      </c>
      <c r="Y178" s="230">
        <f>Y$176*'Ethylene recycling rates'!AA89</f>
        <v>0</v>
      </c>
      <c r="Z178" s="230">
        <f>Z$176*'Ethylene recycling rates'!AB89</f>
        <v>0</v>
      </c>
      <c r="AA178" s="230">
        <f>AA$176*'Ethylene recycling rates'!AC89</f>
        <v>0</v>
      </c>
      <c r="AB178" s="230">
        <f>AB$176*'Ethylene recycling rates'!AD89</f>
        <v>0</v>
      </c>
      <c r="AC178" s="230">
        <f>AC$176*'Ethylene recycling rates'!AE89</f>
        <v>0</v>
      </c>
      <c r="AD178" s="230">
        <f>AD$176*'Ethylene recycling rates'!AF89</f>
        <v>0</v>
      </c>
      <c r="AE178" s="230">
        <f>AE$176*'Ethylene recycling rates'!AG89</f>
        <v>0</v>
      </c>
      <c r="AF178" s="230">
        <f>AF$176*'Ethylene recycling rates'!AH89</f>
        <v>0</v>
      </c>
      <c r="AG178" s="230">
        <f>AG$176*'Ethylene recycling rates'!AI89</f>
        <v>0</v>
      </c>
      <c r="AH178" s="422">
        <f t="shared" si="157"/>
        <v>0</v>
      </c>
      <c r="AI178" s="133"/>
      <c r="AJ178" s="211"/>
      <c r="AL178" s="108"/>
      <c r="AM178" s="2"/>
      <c r="AN178" s="2"/>
      <c r="AO178" s="2"/>
      <c r="BC178" s="1"/>
      <c r="BD178" s="2"/>
      <c r="BE178" s="2"/>
      <c r="BF178" s="2"/>
      <c r="BG178" s="2"/>
      <c r="BH178" s="2"/>
      <c r="BI178" s="2"/>
      <c r="BJ178" s="2"/>
      <c r="BK178" s="2"/>
    </row>
    <row r="179" spans="1:63" outlineLevel="1" x14ac:dyDescent="0.2">
      <c r="A179" s="4" t="s">
        <v>480</v>
      </c>
      <c r="C179" s="230">
        <f>C$176*'Ethylene recycling rates'!E90</f>
        <v>0</v>
      </c>
      <c r="D179" s="230">
        <f>D$176*'Ethylene recycling rates'!F90</f>
        <v>0</v>
      </c>
      <c r="E179" s="230">
        <f>E$176*'Ethylene recycling rates'!G90</f>
        <v>0</v>
      </c>
      <c r="F179" s="230">
        <f>F$176*'Ethylene recycling rates'!H90</f>
        <v>0</v>
      </c>
      <c r="G179" s="230">
        <f>G$176*'Ethylene recycling rates'!I90</f>
        <v>0</v>
      </c>
      <c r="H179" s="230">
        <f>H$176*'Ethylene recycling rates'!J90</f>
        <v>0</v>
      </c>
      <c r="I179" s="230">
        <f>I$176*'Ethylene recycling rates'!K90</f>
        <v>0</v>
      </c>
      <c r="J179" s="230">
        <f>J$176*'Ethylene recycling rates'!L90</f>
        <v>0</v>
      </c>
      <c r="K179" s="230">
        <f>K$176*'Ethylene recycling rates'!M90</f>
        <v>0</v>
      </c>
      <c r="L179" s="230">
        <f>L$176*'Ethylene recycling rates'!N90</f>
        <v>0</v>
      </c>
      <c r="M179" s="230">
        <f>M$176*'Ethylene recycling rates'!O90</f>
        <v>0</v>
      </c>
      <c r="N179" s="230">
        <f>N$176*'Ethylene recycling rates'!P90</f>
        <v>0</v>
      </c>
      <c r="O179" s="230">
        <f>O$176*'Ethylene recycling rates'!Q90</f>
        <v>0</v>
      </c>
      <c r="P179" s="230">
        <f>P$176*'Ethylene recycling rates'!R90</f>
        <v>0</v>
      </c>
      <c r="Q179" s="230">
        <f>Q$176*'Ethylene recycling rates'!S90</f>
        <v>0</v>
      </c>
      <c r="R179" s="230">
        <f>R$176*'Ethylene recycling rates'!T90</f>
        <v>0</v>
      </c>
      <c r="S179" s="230">
        <f>S$176*'Ethylene recycling rates'!U90</f>
        <v>0</v>
      </c>
      <c r="T179" s="230">
        <f>T$176*'Ethylene recycling rates'!V90</f>
        <v>0</v>
      </c>
      <c r="U179" s="230">
        <f>U$176*'Ethylene recycling rates'!W90</f>
        <v>0</v>
      </c>
      <c r="V179" s="230">
        <f>V$176*'Ethylene recycling rates'!X90</f>
        <v>0</v>
      </c>
      <c r="W179" s="230">
        <f>W$176*'Ethylene recycling rates'!Y90</f>
        <v>0</v>
      </c>
      <c r="X179" s="230">
        <f>X$176*'Ethylene recycling rates'!Z90</f>
        <v>0</v>
      </c>
      <c r="Y179" s="230">
        <f>Y$176*'Ethylene recycling rates'!AA90</f>
        <v>0</v>
      </c>
      <c r="Z179" s="230">
        <f>Z$176*'Ethylene recycling rates'!AB90</f>
        <v>0</v>
      </c>
      <c r="AA179" s="230">
        <f>AA$176*'Ethylene recycling rates'!AC90</f>
        <v>0</v>
      </c>
      <c r="AB179" s="230">
        <f>AB$176*'Ethylene recycling rates'!AD90</f>
        <v>0</v>
      </c>
      <c r="AC179" s="230">
        <f>AC$176*'Ethylene recycling rates'!AE90</f>
        <v>0</v>
      </c>
      <c r="AD179" s="230">
        <f>AD$176*'Ethylene recycling rates'!AF90</f>
        <v>0</v>
      </c>
      <c r="AE179" s="230">
        <f>AE$176*'Ethylene recycling rates'!AG90</f>
        <v>0</v>
      </c>
      <c r="AF179" s="230">
        <f>AF$176*'Ethylene recycling rates'!AH90</f>
        <v>0</v>
      </c>
      <c r="AG179" s="230">
        <f>AG$176*'Ethylene recycling rates'!AI90</f>
        <v>0</v>
      </c>
      <c r="AH179" s="422">
        <f t="shared" si="157"/>
        <v>0</v>
      </c>
      <c r="AI179" s="133"/>
      <c r="AJ179" s="211"/>
      <c r="AL179" s="108"/>
      <c r="AM179" s="2"/>
      <c r="AN179" s="2"/>
      <c r="AO179" s="2"/>
      <c r="BC179" s="1"/>
      <c r="BD179" s="2"/>
      <c r="BE179" s="2"/>
      <c r="BF179" s="2"/>
      <c r="BG179" s="2"/>
      <c r="BH179" s="2"/>
      <c r="BI179" s="2"/>
      <c r="BJ179" s="2"/>
      <c r="BK179" s="2"/>
    </row>
    <row r="180" spans="1:63" outlineLevel="1" x14ac:dyDescent="0.2">
      <c r="A180" s="4" t="s">
        <v>474</v>
      </c>
      <c r="C180" s="230">
        <f>C$176*'Ethylene recycling rates'!E91</f>
        <v>2.6207188950591844E-2</v>
      </c>
      <c r="D180" s="230">
        <f>D$176*'Ethylene recycling rates'!F91</f>
        <v>3.2955643188343306E-2</v>
      </c>
      <c r="E180" s="230">
        <f>E$176*'Ethylene recycling rates'!G91</f>
        <v>4.0421461450296008E-2</v>
      </c>
      <c r="F180" s="230">
        <f>F$176*'Ethylene recycling rates'!H91</f>
        <v>4.8600449602043141E-2</v>
      </c>
      <c r="G180" s="230">
        <f>G$176*'Ethylene recycling rates'!I91</f>
        <v>5.7479159192386067E-2</v>
      </c>
      <c r="H180" s="230">
        <f>H$176*'Ethylene recycling rates'!J91</f>
        <v>6.7034525007328288E-2</v>
      </c>
      <c r="I180" s="230">
        <f>I$176*'Ethylene recycling rates'!K91</f>
        <v>7.5008616407821402E-2</v>
      </c>
      <c r="J180" s="230">
        <f>J$176*'Ethylene recycling rates'!L91</f>
        <v>8.3128841457201369E-2</v>
      </c>
      <c r="K180" s="230">
        <f>K$176*'Ethylene recycling rates'!M91</f>
        <v>9.1342374645785207E-2</v>
      </c>
      <c r="L180" s="230">
        <f>L$176*'Ethylene recycling rates'!N91</f>
        <v>9.9592276826769063E-2</v>
      </c>
      <c r="M180" s="230">
        <f>M$176*'Ethylene recycling rates'!O91</f>
        <v>0.10781752826530168</v>
      </c>
      <c r="N180" s="230">
        <f>N$176*'Ethylene recycling rates'!P91</f>
        <v>0.11952539690190299</v>
      </c>
      <c r="O180" s="230">
        <f>O$176*'Ethylene recycling rates'!Q91</f>
        <v>0.13114056835162241</v>
      </c>
      <c r="P180" s="230">
        <f>P$176*'Ethylene recycling rates'!R91</f>
        <v>0.14249489612384181</v>
      </c>
      <c r="Q180" s="230">
        <f>Q$176*'Ethylene recycling rates'!S91</f>
        <v>0.15341529027642581</v>
      </c>
      <c r="R180" s="230">
        <f>R$176*'Ethylene recycling rates'!T91</f>
        <v>0.16372617434033088</v>
      </c>
      <c r="S180" s="230">
        <f>S$176*'Ethylene recycling rates'!U91</f>
        <v>0.17595693515565372</v>
      </c>
      <c r="T180" s="230">
        <f>T$176*'Ethylene recycling rates'!V91</f>
        <v>0.18809326681017172</v>
      </c>
      <c r="U180" s="230">
        <f>U$176*'Ethylene recycling rates'!W91</f>
        <v>0.20005161859953668</v>
      </c>
      <c r="V180" s="230">
        <f>V$176*'Ethylene recycling rates'!X91</f>
        <v>0.21174530578621253</v>
      </c>
      <c r="W180" s="230">
        <f>W$176*'Ethylene recycling rates'!Y91</f>
        <v>0.22308451947879504</v>
      </c>
      <c r="X180" s="230">
        <f>X$176*'Ethylene recycling rates'!Z91</f>
        <v>0.2398553608782775</v>
      </c>
      <c r="Y180" s="230">
        <f>Y$176*'Ethylene recycling rates'!AA91</f>
        <v>0.25616438909555561</v>
      </c>
      <c r="Z180" s="230">
        <f>Z$176*'Ethylene recycling rates'!AB91</f>
        <v>0.27185980886850747</v>
      </c>
      <c r="AA180" s="230">
        <f>AA$176*'Ethylene recycling rates'!AC91</f>
        <v>0.28678463535100068</v>
      </c>
      <c r="AB180" s="230">
        <f>AB$176*'Ethylene recycling rates'!AD91</f>
        <v>0.30077671350742913</v>
      </c>
      <c r="AC180" s="230">
        <f>AC$176*'Ethylene recycling rates'!AE91</f>
        <v>0.31054333386033867</v>
      </c>
      <c r="AD180" s="230">
        <f>AD$176*'Ethylene recycling rates'!AF91</f>
        <v>0.31847947293388584</v>
      </c>
      <c r="AE180" s="230">
        <f>AE$176*'Ethylene recycling rates'!AG91</f>
        <v>0.32436573184999518</v>
      </c>
      <c r="AF180" s="230">
        <f>AF$176*'Ethylene recycling rates'!AH91</f>
        <v>0.32797655710340923</v>
      </c>
      <c r="AG180" s="230">
        <f>AG$176*'Ethylene recycling rates'!AI91</f>
        <v>0.32908028071581708</v>
      </c>
      <c r="AH180" s="422">
        <f t="shared" si="157"/>
        <v>0.30287309176522526</v>
      </c>
      <c r="AI180" s="133"/>
      <c r="AJ180" s="211"/>
      <c r="AL180" s="108"/>
      <c r="AM180" s="2"/>
      <c r="AN180" s="2"/>
      <c r="AO180" s="2"/>
      <c r="BC180" s="1"/>
      <c r="BD180" s="2"/>
      <c r="BE180" s="2"/>
      <c r="BF180" s="2"/>
      <c r="BG180" s="2"/>
      <c r="BH180" s="2"/>
      <c r="BI180" s="2"/>
      <c r="BJ180" s="2"/>
      <c r="BK180" s="2"/>
    </row>
    <row r="181" spans="1:63" outlineLevel="1" x14ac:dyDescent="0.2">
      <c r="A181" s="4" t="s">
        <v>248</v>
      </c>
      <c r="C181" s="230">
        <f>C$176*'Ethylene recycling rates'!E92</f>
        <v>4.3692372112635507E-3</v>
      </c>
      <c r="D181" s="230">
        <f>D$176*'Ethylene recycling rates'!F92</f>
        <v>5.4943329790577153E-3</v>
      </c>
      <c r="E181" s="230">
        <f>E$176*'Ethylene recycling rates'!G92</f>
        <v>6.7390269835979483E-3</v>
      </c>
      <c r="F181" s="230">
        <f>F$176*'Ethylene recycling rates'!H92</f>
        <v>8.1026199828497895E-3</v>
      </c>
      <c r="G181" s="230">
        <f>G$176*'Ethylene recycling rates'!I92</f>
        <v>9.5828698640280149E-3</v>
      </c>
      <c r="H181" s="230">
        <f>H$176*'Ethylene recycling rates'!J92</f>
        <v>1.1175931216948829E-2</v>
      </c>
      <c r="I181" s="230">
        <f>I$176*'Ethylene recycling rates'!K92</f>
        <v>1.2505364027874716E-2</v>
      </c>
      <c r="J181" s="230">
        <f>J$176*'Ethylene recycling rates'!L92</f>
        <v>1.3859160099497426E-2</v>
      </c>
      <c r="K181" s="230">
        <f>K$176*'Ethylene recycling rates'!M92</f>
        <v>1.5228512413901153E-2</v>
      </c>
      <c r="L181" s="230">
        <f>L$176*'Ethylene recycling rates'!N92</f>
        <v>1.6603928131565332E-2</v>
      </c>
      <c r="M181" s="230">
        <f>M$176*'Ethylene recycling rates'!O92</f>
        <v>1.7975234101274232E-2</v>
      </c>
      <c r="N181" s="230">
        <f>N$176*'Ethylene recycling rates'!P92</f>
        <v>1.9927158644118748E-2</v>
      </c>
      <c r="O181" s="230">
        <f>O$176*'Ethylene recycling rates'!Q92</f>
        <v>2.1863628801562857E-2</v>
      </c>
      <c r="P181" s="230">
        <f>P$176*'Ethylene recycling rates'!R92</f>
        <v>2.3756611353212827E-2</v>
      </c>
      <c r="Q181" s="230">
        <f>Q$176*'Ethylene recycling rates'!S92</f>
        <v>2.5577248911216058E-2</v>
      </c>
      <c r="R181" s="230">
        <f>R$176*'Ethylene recycling rates'!T92</f>
        <v>2.72962695363572E-2</v>
      </c>
      <c r="S181" s="230">
        <f>S$176*'Ethylene recycling rates'!U92</f>
        <v>2.9335370157836327E-2</v>
      </c>
      <c r="T181" s="230">
        <f>T$176*'Ethylene recycling rates'!V92</f>
        <v>3.1358727640896644E-2</v>
      </c>
      <c r="U181" s="230">
        <f>U$176*'Ethylene recycling rates'!W92</f>
        <v>3.3352412492865233E-2</v>
      </c>
      <c r="V181" s="230">
        <f>V$176*'Ethylene recycling rates'!X92</f>
        <v>3.5301972718085273E-2</v>
      </c>
      <c r="W181" s="230">
        <f>W$176*'Ethylene recycling rates'!Y92</f>
        <v>3.7192435464986698E-2</v>
      </c>
      <c r="X181" s="230">
        <f>X$176*'Ethylene recycling rates'!Z92</f>
        <v>3.9988453933238452E-2</v>
      </c>
      <c r="Y181" s="230">
        <f>Y$176*'Ethylene recycling rates'!AA92</f>
        <v>4.2707479354118984E-2</v>
      </c>
      <c r="Z181" s="230">
        <f>Z$176*'Ethylene recycling rates'!AB92</f>
        <v>4.5324204568245173E-2</v>
      </c>
      <c r="AA181" s="230">
        <f>AA$176*'Ethylene recycling rates'!AC92</f>
        <v>4.7812457213803658E-2</v>
      </c>
      <c r="AB181" s="230">
        <f>AB$176*'Ethylene recycling rates'!AD92</f>
        <v>5.0145202959989248E-2</v>
      </c>
      <c r="AC181" s="230">
        <f>AC$176*'Ethylene recycling rates'!AE92</f>
        <v>5.177348446529173E-2</v>
      </c>
      <c r="AD181" s="230">
        <f>AD$176*'Ethylene recycling rates'!AF92</f>
        <v>5.3096589900952035E-2</v>
      </c>
      <c r="AE181" s="230">
        <f>AE$176*'Ethylene recycling rates'!AG92</f>
        <v>5.4077941298077595E-2</v>
      </c>
      <c r="AF181" s="230">
        <f>AF$176*'Ethylene recycling rates'!AH92</f>
        <v>5.4679934594280791E-2</v>
      </c>
      <c r="AG181" s="230">
        <f>AG$176*'Ethylene recycling rates'!AI92</f>
        <v>5.4863946328136494E-2</v>
      </c>
      <c r="AH181" s="422">
        <f t="shared" si="157"/>
        <v>5.0494709116872941E-2</v>
      </c>
      <c r="AI181" s="133"/>
      <c r="AJ181" s="211"/>
      <c r="AL181" s="108"/>
      <c r="AM181" s="2"/>
      <c r="AN181" s="2"/>
      <c r="AO181" s="2"/>
      <c r="BC181" s="1"/>
      <c r="BD181" s="2"/>
      <c r="BE181" s="2"/>
      <c r="BF181" s="2"/>
      <c r="BG181" s="2"/>
      <c r="BH181" s="2"/>
      <c r="BI181" s="2"/>
      <c r="BJ181" s="2"/>
      <c r="BK181" s="2"/>
    </row>
    <row r="182" spans="1:63" s="1" customFormat="1" outlineLevel="1" x14ac:dyDescent="0.2">
      <c r="A182" s="1" t="s">
        <v>1328</v>
      </c>
      <c r="B182" s="65"/>
      <c r="C182" s="300">
        <f>C173*C48</f>
        <v>0.29047604853762621</v>
      </c>
      <c r="D182" s="300">
        <f t="shared" ref="D182:AG182" si="158">D173*D48</f>
        <v>0.3103462362083082</v>
      </c>
      <c r="E182" s="300">
        <f t="shared" si="158"/>
        <v>0.33012341903725773</v>
      </c>
      <c r="F182" s="300">
        <f t="shared" si="158"/>
        <v>0.34966892910683972</v>
      </c>
      <c r="G182" s="300">
        <f t="shared" si="158"/>
        <v>0.36884115981027737</v>
      </c>
      <c r="H182" s="300">
        <f t="shared" si="158"/>
        <v>0.38749726038391852</v>
      </c>
      <c r="I182" s="300">
        <f t="shared" si="158"/>
        <v>0.39381291196063256</v>
      </c>
      <c r="J182" s="300">
        <f t="shared" si="158"/>
        <v>0.39914292948333735</v>
      </c>
      <c r="K182" s="300">
        <f t="shared" si="158"/>
        <v>0.40344692958309836</v>
      </c>
      <c r="L182" s="300">
        <f t="shared" si="158"/>
        <v>0.40668671735417045</v>
      </c>
      <c r="M182" s="300">
        <f t="shared" si="158"/>
        <v>0.40882647769137181</v>
      </c>
      <c r="N182" s="300">
        <f t="shared" si="158"/>
        <v>0.42245921238941891</v>
      </c>
      <c r="O182" s="300">
        <f t="shared" si="158"/>
        <v>0.4335118919340249</v>
      </c>
      <c r="P182" s="300">
        <f t="shared" si="158"/>
        <v>0.44187900671532948</v>
      </c>
      <c r="Q182" s="300">
        <f t="shared" si="158"/>
        <v>0.44748134796910471</v>
      </c>
      <c r="R182" s="300">
        <f t="shared" si="158"/>
        <v>0.45026718913790748</v>
      </c>
      <c r="S182" s="300">
        <f t="shared" si="158"/>
        <v>0.45724195274368246</v>
      </c>
      <c r="T182" s="300">
        <f t="shared" si="158"/>
        <v>0.46275746655986161</v>
      </c>
      <c r="U182" s="300">
        <f t="shared" si="158"/>
        <v>0.46680806218480386</v>
      </c>
      <c r="V182" s="300">
        <f t="shared" si="158"/>
        <v>0.46938982915816596</v>
      </c>
      <c r="W182" s="300">
        <f t="shared" si="158"/>
        <v>0.47050064932145164</v>
      </c>
      <c r="X182" s="300">
        <f t="shared" si="158"/>
        <v>0.48195323661983303</v>
      </c>
      <c r="Y182" s="300">
        <f t="shared" si="158"/>
        <v>0.4910037838816082</v>
      </c>
      <c r="Z182" s="300">
        <f t="shared" si="158"/>
        <v>0.49765077970249116</v>
      </c>
      <c r="AA182" s="300">
        <f t="shared" si="158"/>
        <v>0.50189563884720667</v>
      </c>
      <c r="AB182" s="300">
        <f t="shared" si="158"/>
        <v>0.50374275105806843</v>
      </c>
      <c r="AC182" s="300">
        <f t="shared" si="158"/>
        <v>0.49818562519774184</v>
      </c>
      <c r="AD182" s="300">
        <f t="shared" si="158"/>
        <v>0.48980481010046806</v>
      </c>
      <c r="AE182" s="300">
        <f t="shared" si="158"/>
        <v>0.47861993956962129</v>
      </c>
      <c r="AF182" s="300">
        <f t="shared" si="158"/>
        <v>0.46465431134719487</v>
      </c>
      <c r="AG182" s="300">
        <f t="shared" si="158"/>
        <v>0.44793493155127917</v>
      </c>
      <c r="AH182" s="422"/>
      <c r="AI182" s="423"/>
      <c r="AJ182" s="424"/>
      <c r="AL182" s="221"/>
      <c r="AM182" s="124"/>
      <c r="AN182" s="124"/>
      <c r="AO182" s="124"/>
      <c r="BD182" s="124"/>
      <c r="BE182" s="124"/>
      <c r="BF182" s="124"/>
      <c r="BG182" s="124"/>
      <c r="BH182" s="124"/>
      <c r="BI182" s="124"/>
      <c r="BJ182" s="124"/>
      <c r="BK182" s="124"/>
    </row>
    <row r="183" spans="1:63" outlineLevel="1" x14ac:dyDescent="0.2">
      <c r="A183" s="4" t="s">
        <v>258</v>
      </c>
      <c r="C183" s="230">
        <f>C$182*'Ethylene recycling rates'!E93</f>
        <v>0</v>
      </c>
      <c r="D183" s="230">
        <f>D$182*'Ethylene recycling rates'!F93</f>
        <v>0</v>
      </c>
      <c r="E183" s="230">
        <f>E$182*'Ethylene recycling rates'!G93</f>
        <v>0</v>
      </c>
      <c r="F183" s="230">
        <f>F$182*'Ethylene recycling rates'!H93</f>
        <v>0</v>
      </c>
      <c r="G183" s="230">
        <f>G$182*'Ethylene recycling rates'!I93</f>
        <v>0</v>
      </c>
      <c r="H183" s="230">
        <f>H$182*'Ethylene recycling rates'!J93</f>
        <v>0</v>
      </c>
      <c r="I183" s="230">
        <f>I$182*'Ethylene recycling rates'!K93</f>
        <v>0</v>
      </c>
      <c r="J183" s="230">
        <f>J$182*'Ethylene recycling rates'!L93</f>
        <v>0</v>
      </c>
      <c r="K183" s="230">
        <f>K$182*'Ethylene recycling rates'!M93</f>
        <v>0</v>
      </c>
      <c r="L183" s="230">
        <f>L$182*'Ethylene recycling rates'!N93</f>
        <v>0</v>
      </c>
      <c r="M183" s="230">
        <f>M$182*'Ethylene recycling rates'!O93</f>
        <v>0</v>
      </c>
      <c r="N183" s="230">
        <f>N$182*'Ethylene recycling rates'!P93</f>
        <v>0</v>
      </c>
      <c r="O183" s="230">
        <f>O$182*'Ethylene recycling rates'!Q93</f>
        <v>0</v>
      </c>
      <c r="P183" s="230">
        <f>P$182*'Ethylene recycling rates'!R93</f>
        <v>0</v>
      </c>
      <c r="Q183" s="230">
        <f>Q$182*'Ethylene recycling rates'!S93</f>
        <v>0</v>
      </c>
      <c r="R183" s="230">
        <f>R$182*'Ethylene recycling rates'!T93</f>
        <v>0</v>
      </c>
      <c r="S183" s="230">
        <f>S$182*'Ethylene recycling rates'!U93</f>
        <v>0</v>
      </c>
      <c r="T183" s="230">
        <f>T$182*'Ethylene recycling rates'!V93</f>
        <v>0</v>
      </c>
      <c r="U183" s="230">
        <f>U$182*'Ethylene recycling rates'!W93</f>
        <v>0</v>
      </c>
      <c r="V183" s="230">
        <f>V$182*'Ethylene recycling rates'!X93</f>
        <v>0</v>
      </c>
      <c r="W183" s="230">
        <f>W$182*'Ethylene recycling rates'!Y93</f>
        <v>0</v>
      </c>
      <c r="X183" s="230">
        <f>X$182*'Ethylene recycling rates'!Z93</f>
        <v>0</v>
      </c>
      <c r="Y183" s="230">
        <f>Y$182*'Ethylene recycling rates'!AA93</f>
        <v>0</v>
      </c>
      <c r="Z183" s="230">
        <f>Z$182*'Ethylene recycling rates'!AB93</f>
        <v>0</v>
      </c>
      <c r="AA183" s="230">
        <f>AA$182*'Ethylene recycling rates'!AC93</f>
        <v>0</v>
      </c>
      <c r="AB183" s="230">
        <f>AB$182*'Ethylene recycling rates'!AD93</f>
        <v>0</v>
      </c>
      <c r="AC183" s="230">
        <f>AC$182*'Ethylene recycling rates'!AE93</f>
        <v>0</v>
      </c>
      <c r="AD183" s="230">
        <f>AD$182*'Ethylene recycling rates'!AF93</f>
        <v>0</v>
      </c>
      <c r="AE183" s="230">
        <f>AE$182*'Ethylene recycling rates'!AG93</f>
        <v>0</v>
      </c>
      <c r="AF183" s="230">
        <f>AF$182*'Ethylene recycling rates'!AH93</f>
        <v>0</v>
      </c>
      <c r="AG183" s="230">
        <f>AG$182*'Ethylene recycling rates'!AI93</f>
        <v>0</v>
      </c>
      <c r="AH183" s="245"/>
      <c r="AI183" s="133"/>
      <c r="AJ183" s="211"/>
      <c r="AL183" s="108"/>
      <c r="AM183" s="2"/>
      <c r="AN183" s="2"/>
      <c r="AO183" s="2"/>
      <c r="BC183" s="1"/>
      <c r="BD183" s="2"/>
      <c r="BE183" s="2"/>
      <c r="BF183" s="2"/>
      <c r="BG183" s="2"/>
      <c r="BH183" s="2"/>
      <c r="BI183" s="2"/>
      <c r="BJ183" s="2"/>
      <c r="BK183" s="2"/>
    </row>
    <row r="184" spans="1:63" outlineLevel="1" x14ac:dyDescent="0.2">
      <c r="A184" s="4" t="s">
        <v>478</v>
      </c>
      <c r="C184" s="230">
        <f>C$182*'Ethylene recycling rates'!E94</f>
        <v>0</v>
      </c>
      <c r="D184" s="230">
        <f>D$182*'Ethylene recycling rates'!F94</f>
        <v>0</v>
      </c>
      <c r="E184" s="230">
        <f>E$182*'Ethylene recycling rates'!G94</f>
        <v>0</v>
      </c>
      <c r="F184" s="230">
        <f>F$182*'Ethylene recycling rates'!H94</f>
        <v>0</v>
      </c>
      <c r="G184" s="230">
        <f>G$182*'Ethylene recycling rates'!I94</f>
        <v>0</v>
      </c>
      <c r="H184" s="230">
        <f>H$182*'Ethylene recycling rates'!J94</f>
        <v>0</v>
      </c>
      <c r="I184" s="230">
        <f>I$182*'Ethylene recycling rates'!K94</f>
        <v>0</v>
      </c>
      <c r="J184" s="230">
        <f>J$182*'Ethylene recycling rates'!L94</f>
        <v>0</v>
      </c>
      <c r="K184" s="230">
        <f>K$182*'Ethylene recycling rates'!M94</f>
        <v>0</v>
      </c>
      <c r="L184" s="230">
        <f>L$182*'Ethylene recycling rates'!N94</f>
        <v>0</v>
      </c>
      <c r="M184" s="230">
        <f>M$182*'Ethylene recycling rates'!O94</f>
        <v>0</v>
      </c>
      <c r="N184" s="230">
        <f>N$182*'Ethylene recycling rates'!P94</f>
        <v>0</v>
      </c>
      <c r="O184" s="230">
        <f>O$182*'Ethylene recycling rates'!Q94</f>
        <v>0</v>
      </c>
      <c r="P184" s="230">
        <f>P$182*'Ethylene recycling rates'!R94</f>
        <v>0</v>
      </c>
      <c r="Q184" s="230">
        <f>Q$182*'Ethylene recycling rates'!S94</f>
        <v>0</v>
      </c>
      <c r="R184" s="230">
        <f>R$182*'Ethylene recycling rates'!T94</f>
        <v>0</v>
      </c>
      <c r="S184" s="230">
        <f>S$182*'Ethylene recycling rates'!U94</f>
        <v>0</v>
      </c>
      <c r="T184" s="230">
        <f>T$182*'Ethylene recycling rates'!V94</f>
        <v>0</v>
      </c>
      <c r="U184" s="230">
        <f>U$182*'Ethylene recycling rates'!W94</f>
        <v>0</v>
      </c>
      <c r="V184" s="230">
        <f>V$182*'Ethylene recycling rates'!X94</f>
        <v>0</v>
      </c>
      <c r="W184" s="230">
        <f>W$182*'Ethylene recycling rates'!Y94</f>
        <v>0</v>
      </c>
      <c r="X184" s="230">
        <f>X$182*'Ethylene recycling rates'!Z94</f>
        <v>0</v>
      </c>
      <c r="Y184" s="230">
        <f>Y$182*'Ethylene recycling rates'!AA94</f>
        <v>0</v>
      </c>
      <c r="Z184" s="230">
        <f>Z$182*'Ethylene recycling rates'!AB94</f>
        <v>0</v>
      </c>
      <c r="AA184" s="230">
        <f>AA$182*'Ethylene recycling rates'!AC94</f>
        <v>0</v>
      </c>
      <c r="AB184" s="230">
        <f>AB$182*'Ethylene recycling rates'!AD94</f>
        <v>0</v>
      </c>
      <c r="AC184" s="230">
        <f>AC$182*'Ethylene recycling rates'!AE94</f>
        <v>0</v>
      </c>
      <c r="AD184" s="230">
        <f>AD$182*'Ethylene recycling rates'!AF94</f>
        <v>0</v>
      </c>
      <c r="AE184" s="230">
        <f>AE$182*'Ethylene recycling rates'!AG94</f>
        <v>0</v>
      </c>
      <c r="AF184" s="230">
        <f>AF$182*'Ethylene recycling rates'!AH94</f>
        <v>0</v>
      </c>
      <c r="AG184" s="230">
        <f>AG$182*'Ethylene recycling rates'!AI94</f>
        <v>0</v>
      </c>
      <c r="AH184" s="245"/>
      <c r="AI184" s="133"/>
      <c r="AJ184" s="211"/>
      <c r="AL184" s="108"/>
      <c r="AM184" s="2"/>
      <c r="AN184" s="2"/>
      <c r="AO184" s="2"/>
      <c r="BC184" s="1"/>
      <c r="BD184" s="2"/>
      <c r="BE184" s="2"/>
      <c r="BF184" s="2"/>
      <c r="BG184" s="2"/>
      <c r="BH184" s="2"/>
      <c r="BI184" s="2"/>
      <c r="BJ184" s="2"/>
      <c r="BK184" s="2"/>
    </row>
    <row r="185" spans="1:63" outlineLevel="1" x14ac:dyDescent="0.2">
      <c r="A185" s="4" t="s">
        <v>480</v>
      </c>
      <c r="C185" s="230">
        <f>C$182*'Ethylene recycling rates'!E95</f>
        <v>0</v>
      </c>
      <c r="D185" s="230">
        <f>D$182*'Ethylene recycling rates'!F95</f>
        <v>0</v>
      </c>
      <c r="E185" s="230">
        <f>E$182*'Ethylene recycling rates'!G95</f>
        <v>0</v>
      </c>
      <c r="F185" s="230">
        <f>F$182*'Ethylene recycling rates'!H95</f>
        <v>0</v>
      </c>
      <c r="G185" s="230">
        <f>G$182*'Ethylene recycling rates'!I95</f>
        <v>0</v>
      </c>
      <c r="H185" s="230">
        <f>H$182*'Ethylene recycling rates'!J95</f>
        <v>0</v>
      </c>
      <c r="I185" s="230">
        <f>I$182*'Ethylene recycling rates'!K95</f>
        <v>0</v>
      </c>
      <c r="J185" s="230">
        <f>J$182*'Ethylene recycling rates'!L95</f>
        <v>0</v>
      </c>
      <c r="K185" s="230">
        <f>K$182*'Ethylene recycling rates'!M95</f>
        <v>0</v>
      </c>
      <c r="L185" s="230">
        <f>L$182*'Ethylene recycling rates'!N95</f>
        <v>0</v>
      </c>
      <c r="M185" s="230">
        <f>M$182*'Ethylene recycling rates'!O95</f>
        <v>0</v>
      </c>
      <c r="N185" s="230">
        <f>N$182*'Ethylene recycling rates'!P95</f>
        <v>0</v>
      </c>
      <c r="O185" s="230">
        <f>O$182*'Ethylene recycling rates'!Q95</f>
        <v>0</v>
      </c>
      <c r="P185" s="230">
        <f>P$182*'Ethylene recycling rates'!R95</f>
        <v>0</v>
      </c>
      <c r="Q185" s="230">
        <f>Q$182*'Ethylene recycling rates'!S95</f>
        <v>0</v>
      </c>
      <c r="R185" s="230">
        <f>R$182*'Ethylene recycling rates'!T95</f>
        <v>0</v>
      </c>
      <c r="S185" s="230">
        <f>S$182*'Ethylene recycling rates'!U95</f>
        <v>0</v>
      </c>
      <c r="T185" s="230">
        <f>T$182*'Ethylene recycling rates'!V95</f>
        <v>0</v>
      </c>
      <c r="U185" s="230">
        <f>U$182*'Ethylene recycling rates'!W95</f>
        <v>0</v>
      </c>
      <c r="V185" s="230">
        <f>V$182*'Ethylene recycling rates'!X95</f>
        <v>0</v>
      </c>
      <c r="W185" s="230">
        <f>W$182*'Ethylene recycling rates'!Y95</f>
        <v>0</v>
      </c>
      <c r="X185" s="230">
        <f>X$182*'Ethylene recycling rates'!Z95</f>
        <v>0</v>
      </c>
      <c r="Y185" s="230">
        <f>Y$182*'Ethylene recycling rates'!AA95</f>
        <v>0</v>
      </c>
      <c r="Z185" s="230">
        <f>Z$182*'Ethylene recycling rates'!AB95</f>
        <v>0</v>
      </c>
      <c r="AA185" s="230">
        <f>AA$182*'Ethylene recycling rates'!AC95</f>
        <v>0</v>
      </c>
      <c r="AB185" s="230">
        <f>AB$182*'Ethylene recycling rates'!AD95</f>
        <v>0</v>
      </c>
      <c r="AC185" s="230">
        <f>AC$182*'Ethylene recycling rates'!AE95</f>
        <v>0</v>
      </c>
      <c r="AD185" s="230">
        <f>AD$182*'Ethylene recycling rates'!AF95</f>
        <v>0</v>
      </c>
      <c r="AE185" s="230">
        <f>AE$182*'Ethylene recycling rates'!AG95</f>
        <v>0</v>
      </c>
      <c r="AF185" s="230">
        <f>AF$182*'Ethylene recycling rates'!AH95</f>
        <v>0</v>
      </c>
      <c r="AG185" s="230">
        <f>AG$182*'Ethylene recycling rates'!AI95</f>
        <v>0</v>
      </c>
      <c r="AH185" s="245"/>
      <c r="AI185" s="133"/>
      <c r="AJ185" s="211"/>
      <c r="AL185" s="108"/>
      <c r="AM185" s="2"/>
      <c r="AN185" s="2"/>
      <c r="AO185" s="2"/>
      <c r="BC185" s="1"/>
      <c r="BD185" s="2"/>
      <c r="BE185" s="2"/>
      <c r="BF185" s="2"/>
      <c r="BG185" s="2"/>
      <c r="BH185" s="2"/>
      <c r="BI185" s="2"/>
      <c r="BJ185" s="2"/>
      <c r="BK185" s="2"/>
    </row>
    <row r="186" spans="1:63" outlineLevel="1" x14ac:dyDescent="0.2">
      <c r="A186" s="4" t="s">
        <v>474</v>
      </c>
      <c r="C186" s="230">
        <f>C$182*'Ethylene recycling rates'!E96</f>
        <v>0.24896829503062248</v>
      </c>
      <c r="D186" s="230">
        <f>D$182*'Ethylene recycling rates'!F96</f>
        <v>0.26599912002019949</v>
      </c>
      <c r="E186" s="230">
        <f>E$182*'Ethylene recycling rates'!G96</f>
        <v>0.2829502301520721</v>
      </c>
      <c r="F186" s="230">
        <f>F$182*'Ethylene recycling rates'!H96</f>
        <v>0.29970277254593269</v>
      </c>
      <c r="G186" s="230">
        <f>G$182*'Ethylene recycling rates'!I96</f>
        <v>0.31613537555812332</v>
      </c>
      <c r="H186" s="230">
        <f>H$182*'Ethylene recycling rates'!J96</f>
        <v>0.33212560117267204</v>
      </c>
      <c r="I186" s="230">
        <f>I$182*'Ethylene recycling rates'!K96</f>
        <v>0.33753877383519637</v>
      </c>
      <c r="J186" s="230">
        <f>J$182*'Ethylene recycling rates'!L96</f>
        <v>0.34210715522771334</v>
      </c>
      <c r="K186" s="230">
        <f>K$182*'Ethylene recycling rates'!M96</f>
        <v>0.34579613258761543</v>
      </c>
      <c r="L186" s="230">
        <f>L$182*'Ethylene recycling rates'!N96</f>
        <v>0.34857296889369177</v>
      </c>
      <c r="M186" s="230">
        <f>M$182*'Ethylene recycling rates'!O96</f>
        <v>0.35040696686223055</v>
      </c>
      <c r="N186" s="230">
        <f>N$182*'Ethylene recycling rates'!P96</f>
        <v>0.36209164355576506</v>
      </c>
      <c r="O186" s="230">
        <f>O$182*'Ethylene recycling rates'!Q96</f>
        <v>0.37156494366293014</v>
      </c>
      <c r="P186" s="230">
        <f>P$182*'Ethylene recycling rates'!R96</f>
        <v>0.37873643443442173</v>
      </c>
      <c r="Q186" s="230">
        <f>Q$182*'Ethylene recycling rates'!S96</f>
        <v>0.38353822569106455</v>
      </c>
      <c r="R186" s="230">
        <f>R$182*'Ethylene recycling rates'!T96</f>
        <v>0.38592598237363696</v>
      </c>
      <c r="S186" s="230">
        <f>S$182*'Ethylene recycling rates'!U96</f>
        <v>0.39190408284668338</v>
      </c>
      <c r="T186" s="230">
        <f>T$182*'Ethylene recycling rates'!V96</f>
        <v>0.39663145392579696</v>
      </c>
      <c r="U186" s="230">
        <f>U$182*'Ethylene recycling rates'!W96</f>
        <v>0.40010323719907342</v>
      </c>
      <c r="V186" s="230">
        <f>V$182*'Ethylene recycling rates'!X96</f>
        <v>0.40231608099380395</v>
      </c>
      <c r="W186" s="230">
        <f>W$182*'Ethylene recycling rates'!Y96</f>
        <v>0.4032681698270526</v>
      </c>
      <c r="X186" s="230">
        <f>X$182*'Ethylene recycling rates'!Z96</f>
        <v>0.41308423262370014</v>
      </c>
      <c r="Y186" s="230">
        <f>Y$182*'Ethylene recycling rates'!AA96</f>
        <v>0.42084149637126989</v>
      </c>
      <c r="Z186" s="230">
        <f>Z$182*'Ethylene recycling rates'!AB96</f>
        <v>0.42653866563852028</v>
      </c>
      <c r="AA186" s="230">
        <f>AA$182*'Ethylene recycling rates'!AC96</f>
        <v>0.43017695302650116</v>
      </c>
      <c r="AB186" s="230">
        <f>AB$182*'Ethylene recycling rates'!AD96</f>
        <v>0.43176012100259997</v>
      </c>
      <c r="AC186" s="230">
        <f>AC$182*'Ethylene recycling rates'!AE96</f>
        <v>0.42699708405796571</v>
      </c>
      <c r="AD186" s="230">
        <f>AD$182*'Ethylene recycling rates'!AF96</f>
        <v>0.41981385068557675</v>
      </c>
      <c r="AE186" s="230">
        <f>AE$182*'Ethylene recycling rates'!AG96</f>
        <v>0.41022724910440556</v>
      </c>
      <c r="AF186" s="230">
        <f>AF$182*'Ethylene recycling rates'!AH96</f>
        <v>0.39825724791128253</v>
      </c>
      <c r="AG186" s="230">
        <f>AG$182*'Ethylene recycling rates'!AI96</f>
        <v>0.38392699416845327</v>
      </c>
      <c r="AH186" s="245"/>
      <c r="AI186" s="133"/>
      <c r="AJ186" s="211"/>
      <c r="AL186" s="108"/>
      <c r="AM186" s="2"/>
      <c r="AN186" s="2"/>
      <c r="AO186" s="2"/>
      <c r="BC186" s="1"/>
      <c r="BD186" s="2"/>
      <c r="BE186" s="2"/>
      <c r="BF186" s="2"/>
      <c r="BG186" s="2"/>
      <c r="BH186" s="2"/>
      <c r="BI186" s="2"/>
      <c r="BJ186" s="2"/>
      <c r="BK186" s="2"/>
    </row>
    <row r="187" spans="1:63" outlineLevel="1" x14ac:dyDescent="0.2">
      <c r="A187" s="4" t="s">
        <v>248</v>
      </c>
      <c r="C187" s="230">
        <f>C$182*'Ethylene recycling rates'!E97</f>
        <v>4.1507753507003725E-2</v>
      </c>
      <c r="D187" s="230">
        <f>D$182*'Ethylene recycling rates'!F97</f>
        <v>4.4347116188108701E-2</v>
      </c>
      <c r="E187" s="230">
        <f>E$182*'Ethylene recycling rates'!G97</f>
        <v>4.7173188885185645E-2</v>
      </c>
      <c r="F187" s="230">
        <f>F$182*'Ethylene recycling rates'!H97</f>
        <v>4.9966156560907041E-2</v>
      </c>
      <c r="G187" s="230">
        <f>G$182*'Ethylene recycling rates'!I97</f>
        <v>5.2705784252154074E-2</v>
      </c>
      <c r="H187" s="230">
        <f>H$182*'Ethylene recycling rates'!J97</f>
        <v>5.5371659211246482E-2</v>
      </c>
      <c r="I187" s="230">
        <f>I$182*'Ethylene recycling rates'!K97</f>
        <v>5.6274138125436232E-2</v>
      </c>
      <c r="J187" s="230">
        <f>J$182*'Ethylene recycling rates'!L97</f>
        <v>5.7035774255624026E-2</v>
      </c>
      <c r="K187" s="230">
        <f>K$182*'Ethylene recycling rates'!M97</f>
        <v>5.7650796995482936E-2</v>
      </c>
      <c r="L187" s="230">
        <f>L$182*'Ethylene recycling rates'!N97</f>
        <v>5.8113748460478662E-2</v>
      </c>
      <c r="M187" s="230">
        <f>M$182*'Ethylene recycling rates'!O97</f>
        <v>5.841951082914127E-2</v>
      </c>
      <c r="N187" s="230">
        <f>N$182*'Ethylene recycling rates'!P97</f>
        <v>6.0367568833653878E-2</v>
      </c>
      <c r="O187" s="230">
        <f>O$182*'Ethylene recycling rates'!Q97</f>
        <v>6.1946948271094759E-2</v>
      </c>
      <c r="P187" s="230">
        <f>P$182*'Ethylene recycling rates'!R97</f>
        <v>6.3142572280907777E-2</v>
      </c>
      <c r="Q187" s="230">
        <f>Q$182*'Ethylene recycling rates'!S97</f>
        <v>6.3943122278040151E-2</v>
      </c>
      <c r="R187" s="230">
        <f>R$182*'Ethylene recycling rates'!T97</f>
        <v>6.434120676427052E-2</v>
      </c>
      <c r="S187" s="230">
        <f>S$182*'Ethylene recycling rates'!U97</f>
        <v>6.5337869896999107E-2</v>
      </c>
      <c r="T187" s="230">
        <f>T$182*'Ethylene recycling rates'!V97</f>
        <v>6.6126012634064674E-2</v>
      </c>
      <c r="U187" s="230">
        <f>U$182*'Ethylene recycling rates'!W97</f>
        <v>6.6704824985730465E-2</v>
      </c>
      <c r="V187" s="230">
        <f>V$182*'Ethylene recycling rates'!X97</f>
        <v>6.7073748164362026E-2</v>
      </c>
      <c r="W187" s="230">
        <f>W$182*'Ethylene recycling rates'!Y97</f>
        <v>6.7232479494399033E-2</v>
      </c>
      <c r="X187" s="230">
        <f>X$182*'Ethylene recycling rates'!Z97</f>
        <v>6.8869003996132883E-2</v>
      </c>
      <c r="Y187" s="230">
        <f>Y$182*'Ethylene recycling rates'!AA97</f>
        <v>7.0162287510338331E-2</v>
      </c>
      <c r="Z187" s="230">
        <f>Z$182*'Ethylene recycling rates'!AB97</f>
        <v>7.1112114063970874E-2</v>
      </c>
      <c r="AA187" s="230">
        <f>AA$182*'Ethylene recycling rates'!AC97</f>
        <v>7.1718685820705508E-2</v>
      </c>
      <c r="AB187" s="230">
        <f>AB$182*'Ethylene recycling rates'!AD97</f>
        <v>7.1982630055468455E-2</v>
      </c>
      <c r="AC187" s="230">
        <f>AC$182*'Ethylene recycling rates'!AE97</f>
        <v>7.1188541139776129E-2</v>
      </c>
      <c r="AD187" s="230">
        <f>AD$182*'Ethylene recycling rates'!AF97</f>
        <v>6.9990959414891321E-2</v>
      </c>
      <c r="AE187" s="230">
        <f>AE$182*'Ethylene recycling rates'!AG97</f>
        <v>6.8392690465215761E-2</v>
      </c>
      <c r="AF187" s="230">
        <f>AF$182*'Ethylene recycling rates'!AH97</f>
        <v>6.6397063435912368E-2</v>
      </c>
      <c r="AG187" s="230">
        <f>AG$182*'Ethylene recycling rates'!AI97</f>
        <v>6.4007937382825911E-2</v>
      </c>
      <c r="AH187" s="245"/>
      <c r="AI187" s="133"/>
      <c r="AJ187" s="211"/>
      <c r="AL187" s="108"/>
      <c r="AM187" s="2"/>
      <c r="AN187" s="2"/>
      <c r="AO187" s="2"/>
      <c r="BC187" s="1"/>
      <c r="BD187" s="2"/>
      <c r="BE187" s="2"/>
      <c r="BF187" s="2"/>
      <c r="BG187" s="2"/>
      <c r="BH187" s="2"/>
      <c r="BI187" s="2"/>
      <c r="BJ187" s="2"/>
      <c r="BK187" s="2"/>
    </row>
    <row r="188" spans="1:63" s="1" customFormat="1" outlineLevel="1" x14ac:dyDescent="0.2">
      <c r="A188" s="1" t="s">
        <v>1329</v>
      </c>
      <c r="B188" s="65"/>
      <c r="C188" s="300">
        <f>C174*C48</f>
        <v>0.29047604853762621</v>
      </c>
      <c r="D188" s="300">
        <f t="shared" ref="D188:AG188" si="159">D174*D48</f>
        <v>0.3103462362083082</v>
      </c>
      <c r="E188" s="300">
        <f t="shared" si="159"/>
        <v>0.33012341903725773</v>
      </c>
      <c r="F188" s="300">
        <f t="shared" si="159"/>
        <v>0.34966892910683972</v>
      </c>
      <c r="G188" s="300">
        <f t="shared" si="159"/>
        <v>0.36884115981027737</v>
      </c>
      <c r="H188" s="300">
        <f t="shared" si="159"/>
        <v>0.38749726038391852</v>
      </c>
      <c r="I188" s="300">
        <f t="shared" si="159"/>
        <v>0.39381291196063256</v>
      </c>
      <c r="J188" s="300">
        <f t="shared" si="159"/>
        <v>0.39914292948333735</v>
      </c>
      <c r="K188" s="300">
        <f t="shared" si="159"/>
        <v>0.40344692958309836</v>
      </c>
      <c r="L188" s="300">
        <f t="shared" si="159"/>
        <v>0.40668671735417045</v>
      </c>
      <c r="M188" s="300">
        <f t="shared" si="159"/>
        <v>0.40882647769137181</v>
      </c>
      <c r="N188" s="300">
        <f t="shared" si="159"/>
        <v>0.42245921238941891</v>
      </c>
      <c r="O188" s="300">
        <f t="shared" si="159"/>
        <v>0.4335118919340249</v>
      </c>
      <c r="P188" s="300">
        <f t="shared" si="159"/>
        <v>0.44187900671532948</v>
      </c>
      <c r="Q188" s="300">
        <f t="shared" si="159"/>
        <v>0.44748134796910471</v>
      </c>
      <c r="R188" s="300">
        <f t="shared" si="159"/>
        <v>0.45026718913790748</v>
      </c>
      <c r="S188" s="300">
        <f t="shared" si="159"/>
        <v>0.45724195274368246</v>
      </c>
      <c r="T188" s="300">
        <f t="shared" si="159"/>
        <v>0.46275746655986161</v>
      </c>
      <c r="U188" s="300">
        <f t="shared" si="159"/>
        <v>0.46680806218480386</v>
      </c>
      <c r="V188" s="300">
        <f t="shared" si="159"/>
        <v>0.46938982915816596</v>
      </c>
      <c r="W188" s="300">
        <f t="shared" si="159"/>
        <v>0.47050064932145164</v>
      </c>
      <c r="X188" s="300">
        <f t="shared" si="159"/>
        <v>0.48195323661983303</v>
      </c>
      <c r="Y188" s="300">
        <f t="shared" si="159"/>
        <v>0.4910037838816082</v>
      </c>
      <c r="Z188" s="300">
        <f t="shared" si="159"/>
        <v>0.49765077970249116</v>
      </c>
      <c r="AA188" s="300">
        <f t="shared" si="159"/>
        <v>0.50189563884720667</v>
      </c>
      <c r="AB188" s="300">
        <f t="shared" si="159"/>
        <v>0.50374275105806843</v>
      </c>
      <c r="AC188" s="300">
        <f t="shared" si="159"/>
        <v>0.49818562519774184</v>
      </c>
      <c r="AD188" s="300">
        <f t="shared" si="159"/>
        <v>0.48980481010046806</v>
      </c>
      <c r="AE188" s="300">
        <f t="shared" si="159"/>
        <v>0.47861993956962129</v>
      </c>
      <c r="AF188" s="300">
        <f t="shared" si="159"/>
        <v>0.46465431134719487</v>
      </c>
      <c r="AG188" s="300">
        <f t="shared" si="159"/>
        <v>0.44793493155127917</v>
      </c>
      <c r="AH188" s="422"/>
      <c r="AI188" s="423"/>
      <c r="AJ188" s="424"/>
      <c r="AL188" s="221"/>
      <c r="AM188" s="124"/>
      <c r="AN188" s="124"/>
      <c r="AO188" s="124"/>
      <c r="BD188" s="124"/>
      <c r="BE188" s="124"/>
      <c r="BF188" s="124"/>
      <c r="BG188" s="124"/>
      <c r="BH188" s="124"/>
      <c r="BI188" s="124"/>
      <c r="BJ188" s="124"/>
      <c r="BK188" s="124"/>
    </row>
    <row r="189" spans="1:63" outlineLevel="1" x14ac:dyDescent="0.2">
      <c r="A189" s="4" t="s">
        <v>258</v>
      </c>
      <c r="C189" s="230">
        <f>C$188*'Ethylene recycling rates'!E98</f>
        <v>0</v>
      </c>
      <c r="D189" s="230">
        <f>D$188*'Ethylene recycling rates'!F98</f>
        <v>0</v>
      </c>
      <c r="E189" s="230">
        <f>E$188*'Ethylene recycling rates'!G98</f>
        <v>0</v>
      </c>
      <c r="F189" s="230">
        <f>F$188*'Ethylene recycling rates'!H98</f>
        <v>0</v>
      </c>
      <c r="G189" s="230">
        <f>G$188*'Ethylene recycling rates'!I98</f>
        <v>0</v>
      </c>
      <c r="H189" s="230">
        <f>H$188*'Ethylene recycling rates'!J98</f>
        <v>0</v>
      </c>
      <c r="I189" s="230">
        <f>I$188*'Ethylene recycling rates'!K98</f>
        <v>0</v>
      </c>
      <c r="J189" s="230">
        <f>J$188*'Ethylene recycling rates'!L98</f>
        <v>0</v>
      </c>
      <c r="K189" s="230">
        <f>K$188*'Ethylene recycling rates'!M98</f>
        <v>0</v>
      </c>
      <c r="L189" s="230">
        <f>L$188*'Ethylene recycling rates'!N98</f>
        <v>0</v>
      </c>
      <c r="M189" s="230">
        <f>M$188*'Ethylene recycling rates'!O98</f>
        <v>0</v>
      </c>
      <c r="N189" s="230">
        <f>N$188*'Ethylene recycling rates'!P98</f>
        <v>0</v>
      </c>
      <c r="O189" s="230">
        <f>O$188*'Ethylene recycling rates'!Q98</f>
        <v>0</v>
      </c>
      <c r="P189" s="230">
        <f>P$188*'Ethylene recycling rates'!R98</f>
        <v>0</v>
      </c>
      <c r="Q189" s="230">
        <f>Q$188*'Ethylene recycling rates'!S98</f>
        <v>0</v>
      </c>
      <c r="R189" s="230">
        <f>R$188*'Ethylene recycling rates'!T98</f>
        <v>0</v>
      </c>
      <c r="S189" s="230">
        <f>S$188*'Ethylene recycling rates'!U98</f>
        <v>0</v>
      </c>
      <c r="T189" s="230">
        <f>T$188*'Ethylene recycling rates'!V98</f>
        <v>0</v>
      </c>
      <c r="U189" s="230">
        <f>U$188*'Ethylene recycling rates'!W98</f>
        <v>0</v>
      </c>
      <c r="V189" s="230">
        <f>V$188*'Ethylene recycling rates'!X98</f>
        <v>0</v>
      </c>
      <c r="W189" s="230">
        <f>W$188*'Ethylene recycling rates'!Y98</f>
        <v>0</v>
      </c>
      <c r="X189" s="230">
        <f>X$188*'Ethylene recycling rates'!Z98</f>
        <v>0</v>
      </c>
      <c r="Y189" s="230">
        <f>Y$188*'Ethylene recycling rates'!AA98</f>
        <v>0</v>
      </c>
      <c r="Z189" s="230">
        <f>Z$188*'Ethylene recycling rates'!AB98</f>
        <v>0</v>
      </c>
      <c r="AA189" s="230">
        <f>AA$188*'Ethylene recycling rates'!AC98</f>
        <v>0</v>
      </c>
      <c r="AB189" s="230">
        <f>AB$188*'Ethylene recycling rates'!AD98</f>
        <v>0</v>
      </c>
      <c r="AC189" s="230">
        <f>AC$188*'Ethylene recycling rates'!AE98</f>
        <v>0</v>
      </c>
      <c r="AD189" s="230">
        <f>AD$188*'Ethylene recycling rates'!AF98</f>
        <v>0</v>
      </c>
      <c r="AE189" s="230">
        <f>AE$188*'Ethylene recycling rates'!AG98</f>
        <v>0</v>
      </c>
      <c r="AF189" s="230">
        <f>AF$188*'Ethylene recycling rates'!AH98</f>
        <v>0</v>
      </c>
      <c r="AG189" s="230">
        <f>AG$188*'Ethylene recycling rates'!AI98</f>
        <v>0</v>
      </c>
      <c r="AH189" s="245"/>
      <c r="AI189" s="133"/>
      <c r="AJ189" s="211"/>
      <c r="AL189" s="108"/>
      <c r="AM189" s="2"/>
      <c r="AN189" s="2"/>
      <c r="AO189" s="2"/>
      <c r="BC189" s="1"/>
      <c r="BD189" s="2"/>
      <c r="BE189" s="2"/>
      <c r="BF189" s="2"/>
      <c r="BG189" s="2"/>
      <c r="BH189" s="2"/>
      <c r="BI189" s="2"/>
      <c r="BJ189" s="2"/>
      <c r="BK189" s="2"/>
    </row>
    <row r="190" spans="1:63" outlineLevel="1" x14ac:dyDescent="0.2">
      <c r="A190" s="4" t="s">
        <v>478</v>
      </c>
      <c r="C190" s="230">
        <f>C$188*'Ethylene recycling rates'!E99</f>
        <v>0</v>
      </c>
      <c r="D190" s="230">
        <f>D$188*'Ethylene recycling rates'!F99</f>
        <v>0</v>
      </c>
      <c r="E190" s="230">
        <f>E$188*'Ethylene recycling rates'!G99</f>
        <v>0</v>
      </c>
      <c r="F190" s="230">
        <f>F$188*'Ethylene recycling rates'!H99</f>
        <v>0</v>
      </c>
      <c r="G190" s="230">
        <f>G$188*'Ethylene recycling rates'!I99</f>
        <v>0</v>
      </c>
      <c r="H190" s="230">
        <f>H$188*'Ethylene recycling rates'!J99</f>
        <v>0</v>
      </c>
      <c r="I190" s="230">
        <f>I$188*'Ethylene recycling rates'!K99</f>
        <v>0</v>
      </c>
      <c r="J190" s="230">
        <f>J$188*'Ethylene recycling rates'!L99</f>
        <v>0</v>
      </c>
      <c r="K190" s="230">
        <f>K$188*'Ethylene recycling rates'!M99</f>
        <v>0</v>
      </c>
      <c r="L190" s="230">
        <f>L$188*'Ethylene recycling rates'!N99</f>
        <v>0</v>
      </c>
      <c r="M190" s="230">
        <f>M$188*'Ethylene recycling rates'!O99</f>
        <v>0</v>
      </c>
      <c r="N190" s="230">
        <f>N$188*'Ethylene recycling rates'!P99</f>
        <v>0</v>
      </c>
      <c r="O190" s="230">
        <f>O$188*'Ethylene recycling rates'!Q99</f>
        <v>0</v>
      </c>
      <c r="P190" s="230">
        <f>P$188*'Ethylene recycling rates'!R99</f>
        <v>0</v>
      </c>
      <c r="Q190" s="230">
        <f>Q$188*'Ethylene recycling rates'!S99</f>
        <v>0</v>
      </c>
      <c r="R190" s="230">
        <f>R$188*'Ethylene recycling rates'!T99</f>
        <v>0</v>
      </c>
      <c r="S190" s="230">
        <f>S$188*'Ethylene recycling rates'!U99</f>
        <v>0</v>
      </c>
      <c r="T190" s="230">
        <f>T$188*'Ethylene recycling rates'!V99</f>
        <v>0</v>
      </c>
      <c r="U190" s="230">
        <f>U$188*'Ethylene recycling rates'!W99</f>
        <v>0</v>
      </c>
      <c r="V190" s="230">
        <f>V$188*'Ethylene recycling rates'!X99</f>
        <v>0</v>
      </c>
      <c r="W190" s="230">
        <f>W$188*'Ethylene recycling rates'!Y99</f>
        <v>0</v>
      </c>
      <c r="X190" s="230">
        <f>X$188*'Ethylene recycling rates'!Z99</f>
        <v>0</v>
      </c>
      <c r="Y190" s="230">
        <f>Y$188*'Ethylene recycling rates'!AA99</f>
        <v>0</v>
      </c>
      <c r="Z190" s="230">
        <f>Z$188*'Ethylene recycling rates'!AB99</f>
        <v>0</v>
      </c>
      <c r="AA190" s="230">
        <f>AA$188*'Ethylene recycling rates'!AC99</f>
        <v>0</v>
      </c>
      <c r="AB190" s="230">
        <f>AB$188*'Ethylene recycling rates'!AD99</f>
        <v>0</v>
      </c>
      <c r="AC190" s="230">
        <f>AC$188*'Ethylene recycling rates'!AE99</f>
        <v>0</v>
      </c>
      <c r="AD190" s="230">
        <f>AD$188*'Ethylene recycling rates'!AF99</f>
        <v>0</v>
      </c>
      <c r="AE190" s="230">
        <f>AE$188*'Ethylene recycling rates'!AG99</f>
        <v>0</v>
      </c>
      <c r="AF190" s="230">
        <f>AF$188*'Ethylene recycling rates'!AH99</f>
        <v>0</v>
      </c>
      <c r="AG190" s="230">
        <f>AG$188*'Ethylene recycling rates'!AI99</f>
        <v>0</v>
      </c>
      <c r="AH190" s="245"/>
      <c r="AI190" s="133"/>
      <c r="AJ190" s="211"/>
      <c r="AL190" s="108"/>
      <c r="AM190" s="2"/>
      <c r="AN190" s="2"/>
      <c r="AO190" s="2"/>
      <c r="BC190" s="1"/>
      <c r="BD190" s="2"/>
      <c r="BE190" s="2"/>
      <c r="BF190" s="2"/>
      <c r="BG190" s="2"/>
      <c r="BH190" s="2"/>
      <c r="BI190" s="2"/>
      <c r="BJ190" s="2"/>
      <c r="BK190" s="2"/>
    </row>
    <row r="191" spans="1:63" outlineLevel="1" x14ac:dyDescent="0.2">
      <c r="A191" s="4" t="s">
        <v>480</v>
      </c>
      <c r="C191" s="230">
        <f>C$188*'Ethylene recycling rates'!E100</f>
        <v>0</v>
      </c>
      <c r="D191" s="230">
        <f>D$188*'Ethylene recycling rates'!F100</f>
        <v>0</v>
      </c>
      <c r="E191" s="230">
        <f>E$188*'Ethylene recycling rates'!G100</f>
        <v>0</v>
      </c>
      <c r="F191" s="230">
        <f>F$188*'Ethylene recycling rates'!H100</f>
        <v>0</v>
      </c>
      <c r="G191" s="230">
        <f>G$188*'Ethylene recycling rates'!I100</f>
        <v>0</v>
      </c>
      <c r="H191" s="230">
        <f>H$188*'Ethylene recycling rates'!J100</f>
        <v>0</v>
      </c>
      <c r="I191" s="230">
        <f>I$188*'Ethylene recycling rates'!K100</f>
        <v>0</v>
      </c>
      <c r="J191" s="230">
        <f>J$188*'Ethylene recycling rates'!L100</f>
        <v>0</v>
      </c>
      <c r="K191" s="230">
        <f>K$188*'Ethylene recycling rates'!M100</f>
        <v>0</v>
      </c>
      <c r="L191" s="230">
        <f>L$188*'Ethylene recycling rates'!N100</f>
        <v>0</v>
      </c>
      <c r="M191" s="230">
        <f>M$188*'Ethylene recycling rates'!O100</f>
        <v>0</v>
      </c>
      <c r="N191" s="230">
        <f>N$188*'Ethylene recycling rates'!P100</f>
        <v>0</v>
      </c>
      <c r="O191" s="230">
        <f>O$188*'Ethylene recycling rates'!Q100</f>
        <v>0</v>
      </c>
      <c r="P191" s="230">
        <f>P$188*'Ethylene recycling rates'!R100</f>
        <v>0</v>
      </c>
      <c r="Q191" s="230">
        <f>Q$188*'Ethylene recycling rates'!S100</f>
        <v>0</v>
      </c>
      <c r="R191" s="230">
        <f>R$188*'Ethylene recycling rates'!T100</f>
        <v>0</v>
      </c>
      <c r="S191" s="230">
        <f>S$188*'Ethylene recycling rates'!U100</f>
        <v>0</v>
      </c>
      <c r="T191" s="230">
        <f>T$188*'Ethylene recycling rates'!V100</f>
        <v>0</v>
      </c>
      <c r="U191" s="230">
        <f>U$188*'Ethylene recycling rates'!W100</f>
        <v>0</v>
      </c>
      <c r="V191" s="230">
        <f>V$188*'Ethylene recycling rates'!X100</f>
        <v>0</v>
      </c>
      <c r="W191" s="230">
        <f>W$188*'Ethylene recycling rates'!Y100</f>
        <v>0</v>
      </c>
      <c r="X191" s="230">
        <f>X$188*'Ethylene recycling rates'!Z100</f>
        <v>0</v>
      </c>
      <c r="Y191" s="230">
        <f>Y$188*'Ethylene recycling rates'!AA100</f>
        <v>0</v>
      </c>
      <c r="Z191" s="230">
        <f>Z$188*'Ethylene recycling rates'!AB100</f>
        <v>0</v>
      </c>
      <c r="AA191" s="230">
        <f>AA$188*'Ethylene recycling rates'!AC100</f>
        <v>0</v>
      </c>
      <c r="AB191" s="230">
        <f>AB$188*'Ethylene recycling rates'!AD100</f>
        <v>0</v>
      </c>
      <c r="AC191" s="230">
        <f>AC$188*'Ethylene recycling rates'!AE100</f>
        <v>0</v>
      </c>
      <c r="AD191" s="230">
        <f>AD$188*'Ethylene recycling rates'!AF100</f>
        <v>0</v>
      </c>
      <c r="AE191" s="230">
        <f>AE$188*'Ethylene recycling rates'!AG100</f>
        <v>0</v>
      </c>
      <c r="AF191" s="230">
        <f>AF$188*'Ethylene recycling rates'!AH100</f>
        <v>0</v>
      </c>
      <c r="AG191" s="230">
        <f>AG$188*'Ethylene recycling rates'!AI100</f>
        <v>0</v>
      </c>
      <c r="AH191" s="245"/>
      <c r="AI191" s="133"/>
      <c r="AJ191" s="211"/>
      <c r="AL191" s="108"/>
      <c r="AM191" s="2"/>
      <c r="AN191" s="2"/>
      <c r="AO191" s="2"/>
      <c r="BC191" s="1"/>
      <c r="BD191" s="2"/>
      <c r="BE191" s="2"/>
      <c r="BF191" s="2"/>
      <c r="BG191" s="2"/>
      <c r="BH191" s="2"/>
      <c r="BI191" s="2"/>
      <c r="BJ191" s="2"/>
      <c r="BK191" s="2"/>
    </row>
    <row r="192" spans="1:63" outlineLevel="1" x14ac:dyDescent="0.2">
      <c r="A192" s="4" t="s">
        <v>474</v>
      </c>
      <c r="C192" s="230">
        <f>C$188*'Ethylene recycling rates'!E101</f>
        <v>0.24896829503062248</v>
      </c>
      <c r="D192" s="230">
        <f>D$188*'Ethylene recycling rates'!F101</f>
        <v>0.26599912002019949</v>
      </c>
      <c r="E192" s="230">
        <f>E$188*'Ethylene recycling rates'!G101</f>
        <v>0.2829502301520721</v>
      </c>
      <c r="F192" s="230">
        <f>F$188*'Ethylene recycling rates'!H101</f>
        <v>0.29970277254593269</v>
      </c>
      <c r="G192" s="230">
        <f>G$188*'Ethylene recycling rates'!I101</f>
        <v>0.31613537555812332</v>
      </c>
      <c r="H192" s="230">
        <f>H$188*'Ethylene recycling rates'!J101</f>
        <v>0.33212560117267204</v>
      </c>
      <c r="I192" s="230">
        <f>I$188*'Ethylene recycling rates'!K101</f>
        <v>0.33753877383519637</v>
      </c>
      <c r="J192" s="230">
        <f>J$188*'Ethylene recycling rates'!L101</f>
        <v>0.34210715522771334</v>
      </c>
      <c r="K192" s="230">
        <f>K$188*'Ethylene recycling rates'!M101</f>
        <v>0.34579613258761543</v>
      </c>
      <c r="L192" s="230">
        <f>L$188*'Ethylene recycling rates'!N101</f>
        <v>0.34857296889369177</v>
      </c>
      <c r="M192" s="230">
        <f>M$188*'Ethylene recycling rates'!O101</f>
        <v>0.35040696686223055</v>
      </c>
      <c r="N192" s="230">
        <f>N$188*'Ethylene recycling rates'!P101</f>
        <v>0.36209164355576506</v>
      </c>
      <c r="O192" s="230">
        <f>O$188*'Ethylene recycling rates'!Q101</f>
        <v>0.37156494366293014</v>
      </c>
      <c r="P192" s="230">
        <f>P$188*'Ethylene recycling rates'!R101</f>
        <v>0.37873643443442173</v>
      </c>
      <c r="Q192" s="230">
        <f>Q$188*'Ethylene recycling rates'!S101</f>
        <v>0.38353822569106455</v>
      </c>
      <c r="R192" s="230">
        <f>R$188*'Ethylene recycling rates'!T101</f>
        <v>0.38592598237363696</v>
      </c>
      <c r="S192" s="230">
        <f>S$188*'Ethylene recycling rates'!U101</f>
        <v>0.39190408284668338</v>
      </c>
      <c r="T192" s="230">
        <f>T$188*'Ethylene recycling rates'!V101</f>
        <v>0.39663145392579696</v>
      </c>
      <c r="U192" s="230">
        <f>U$188*'Ethylene recycling rates'!W101</f>
        <v>0.40010323719907342</v>
      </c>
      <c r="V192" s="230">
        <f>V$188*'Ethylene recycling rates'!X101</f>
        <v>0.40231608099380395</v>
      </c>
      <c r="W192" s="230">
        <f>W$188*'Ethylene recycling rates'!Y101</f>
        <v>0.4032681698270526</v>
      </c>
      <c r="X192" s="230">
        <f>X$188*'Ethylene recycling rates'!Z101</f>
        <v>0.41308423262370014</v>
      </c>
      <c r="Y192" s="230">
        <f>Y$188*'Ethylene recycling rates'!AA101</f>
        <v>0.42084149637126989</v>
      </c>
      <c r="Z192" s="230">
        <f>Z$188*'Ethylene recycling rates'!AB101</f>
        <v>0.42653866563852028</v>
      </c>
      <c r="AA192" s="230">
        <f>AA$188*'Ethylene recycling rates'!AC101</f>
        <v>0.43017695302650116</v>
      </c>
      <c r="AB192" s="230">
        <f>AB$188*'Ethylene recycling rates'!AD101</f>
        <v>0.43176012100259997</v>
      </c>
      <c r="AC192" s="230">
        <f>AC$188*'Ethylene recycling rates'!AE101</f>
        <v>0.42699708405796571</v>
      </c>
      <c r="AD192" s="230">
        <f>AD$188*'Ethylene recycling rates'!AF101</f>
        <v>0.41981385068557675</v>
      </c>
      <c r="AE192" s="230">
        <f>AE$188*'Ethylene recycling rates'!AG101</f>
        <v>0.41022724910440556</v>
      </c>
      <c r="AF192" s="230">
        <f>AF$188*'Ethylene recycling rates'!AH101</f>
        <v>0.39825724791128253</v>
      </c>
      <c r="AG192" s="230">
        <f>AG$188*'Ethylene recycling rates'!AI101</f>
        <v>0.38392699416845327</v>
      </c>
      <c r="AH192" s="245"/>
      <c r="AI192" s="133"/>
      <c r="AJ192" s="211"/>
      <c r="AL192" s="108"/>
      <c r="AM192" s="2"/>
      <c r="AN192" s="2"/>
      <c r="AO192" s="2"/>
      <c r="BC192" s="1"/>
      <c r="BD192" s="2"/>
      <c r="BE192" s="2"/>
      <c r="BF192" s="2"/>
      <c r="BG192" s="2"/>
      <c r="BH192" s="2"/>
      <c r="BI192" s="2"/>
      <c r="BJ192" s="2"/>
      <c r="BK192" s="2"/>
    </row>
    <row r="193" spans="1:63" outlineLevel="1" x14ac:dyDescent="0.2">
      <c r="A193" s="4" t="s">
        <v>248</v>
      </c>
      <c r="C193" s="230">
        <f>C$188*'Ethylene recycling rates'!E102</f>
        <v>4.1507753507003725E-2</v>
      </c>
      <c r="D193" s="230">
        <f>D$188*'Ethylene recycling rates'!F102</f>
        <v>4.4347116188108701E-2</v>
      </c>
      <c r="E193" s="230">
        <f>E$188*'Ethylene recycling rates'!G102</f>
        <v>4.7173188885185645E-2</v>
      </c>
      <c r="F193" s="230">
        <f>F$188*'Ethylene recycling rates'!H102</f>
        <v>4.9966156560907041E-2</v>
      </c>
      <c r="G193" s="230">
        <f>G$188*'Ethylene recycling rates'!I102</f>
        <v>5.2705784252154074E-2</v>
      </c>
      <c r="H193" s="230">
        <f>H$188*'Ethylene recycling rates'!J102</f>
        <v>5.5371659211246482E-2</v>
      </c>
      <c r="I193" s="230">
        <f>I$188*'Ethylene recycling rates'!K102</f>
        <v>5.6274138125436232E-2</v>
      </c>
      <c r="J193" s="230">
        <f>J$188*'Ethylene recycling rates'!L102</f>
        <v>5.7035774255624026E-2</v>
      </c>
      <c r="K193" s="230">
        <f>K$188*'Ethylene recycling rates'!M102</f>
        <v>5.7650796995482936E-2</v>
      </c>
      <c r="L193" s="230">
        <f>L$188*'Ethylene recycling rates'!N102</f>
        <v>5.8113748460478662E-2</v>
      </c>
      <c r="M193" s="230">
        <f>M$188*'Ethylene recycling rates'!O102</f>
        <v>5.841951082914127E-2</v>
      </c>
      <c r="N193" s="230">
        <f>N$188*'Ethylene recycling rates'!P102</f>
        <v>6.0367568833653878E-2</v>
      </c>
      <c r="O193" s="230">
        <f>O$188*'Ethylene recycling rates'!Q102</f>
        <v>6.1946948271094759E-2</v>
      </c>
      <c r="P193" s="230">
        <f>P$188*'Ethylene recycling rates'!R102</f>
        <v>6.3142572280907777E-2</v>
      </c>
      <c r="Q193" s="230">
        <f>Q$188*'Ethylene recycling rates'!S102</f>
        <v>6.3943122278040151E-2</v>
      </c>
      <c r="R193" s="230">
        <f>R$188*'Ethylene recycling rates'!T102</f>
        <v>6.434120676427052E-2</v>
      </c>
      <c r="S193" s="230">
        <f>S$188*'Ethylene recycling rates'!U102</f>
        <v>6.5337869896999107E-2</v>
      </c>
      <c r="T193" s="230">
        <f>T$188*'Ethylene recycling rates'!V102</f>
        <v>6.6126012634064674E-2</v>
      </c>
      <c r="U193" s="230">
        <f>U$188*'Ethylene recycling rates'!W102</f>
        <v>6.6704824985730465E-2</v>
      </c>
      <c r="V193" s="230">
        <f>V$188*'Ethylene recycling rates'!X102</f>
        <v>6.7073748164362026E-2</v>
      </c>
      <c r="W193" s="230">
        <f>W$188*'Ethylene recycling rates'!Y102</f>
        <v>6.7232479494399033E-2</v>
      </c>
      <c r="X193" s="230">
        <f>X$188*'Ethylene recycling rates'!Z102</f>
        <v>6.8869003996132883E-2</v>
      </c>
      <c r="Y193" s="230">
        <f>Y$188*'Ethylene recycling rates'!AA102</f>
        <v>7.0162287510338331E-2</v>
      </c>
      <c r="Z193" s="230">
        <f>Z$188*'Ethylene recycling rates'!AB102</f>
        <v>7.1112114063970874E-2</v>
      </c>
      <c r="AA193" s="230">
        <f>AA$188*'Ethylene recycling rates'!AC102</f>
        <v>7.1718685820705508E-2</v>
      </c>
      <c r="AB193" s="230">
        <f>AB$188*'Ethylene recycling rates'!AD102</f>
        <v>7.1982630055468455E-2</v>
      </c>
      <c r="AC193" s="230">
        <f>AC$188*'Ethylene recycling rates'!AE102</f>
        <v>7.1188541139776129E-2</v>
      </c>
      <c r="AD193" s="230">
        <f>AD$188*'Ethylene recycling rates'!AF102</f>
        <v>6.9990959414891321E-2</v>
      </c>
      <c r="AE193" s="230">
        <f>AE$188*'Ethylene recycling rates'!AG102</f>
        <v>6.8392690465215761E-2</v>
      </c>
      <c r="AF193" s="230">
        <f>AF$188*'Ethylene recycling rates'!AH102</f>
        <v>6.6397063435912368E-2</v>
      </c>
      <c r="AG193" s="230">
        <f>AG$188*'Ethylene recycling rates'!AI102</f>
        <v>6.4007937382825911E-2</v>
      </c>
      <c r="AH193" s="245"/>
      <c r="AI193" s="133"/>
      <c r="AJ193" s="211"/>
      <c r="AL193" s="108"/>
      <c r="AM193" s="2"/>
      <c r="AN193" s="2"/>
      <c r="AO193" s="2"/>
      <c r="BC193" s="1"/>
      <c r="BD193" s="2"/>
      <c r="BE193" s="2"/>
      <c r="BF193" s="2"/>
      <c r="BG193" s="2"/>
      <c r="BH193" s="2"/>
      <c r="BI193" s="2"/>
      <c r="BJ193" s="2"/>
      <c r="BK193" s="2"/>
    </row>
    <row r="194" spans="1:63" outlineLevel="1" x14ac:dyDescent="0.2">
      <c r="C194" s="110"/>
      <c r="D194" s="110"/>
      <c r="E194" s="110"/>
      <c r="F194" s="110"/>
      <c r="G194" s="110"/>
      <c r="H194" s="110"/>
      <c r="I194" s="110"/>
      <c r="J194" s="110"/>
      <c r="K194" s="110"/>
      <c r="L194" s="110"/>
      <c r="M194" s="110"/>
      <c r="N194" s="110"/>
      <c r="O194" s="110"/>
      <c r="P194" s="110"/>
      <c r="Q194" s="110"/>
      <c r="R194" s="110"/>
      <c r="S194" s="110"/>
      <c r="T194" s="110"/>
      <c r="U194" s="110"/>
      <c r="V194" s="110"/>
      <c r="W194" s="110"/>
      <c r="X194" s="110"/>
      <c r="Y194" s="110"/>
      <c r="Z194" s="110"/>
      <c r="AA194" s="110"/>
      <c r="AB194" s="110"/>
      <c r="AC194" s="110"/>
      <c r="AD194" s="110"/>
      <c r="AE194" s="110"/>
      <c r="AF194" s="110"/>
      <c r="AG194" s="110"/>
      <c r="AJ194" s="211"/>
    </row>
    <row r="195" spans="1:63" s="200" customFormat="1" ht="16" thickBot="1" x14ac:dyDescent="0.25">
      <c r="A195" s="200" t="s">
        <v>1347</v>
      </c>
      <c r="B195" s="215"/>
      <c r="C195" s="224">
        <f>C196</f>
        <v>1.6E-2</v>
      </c>
      <c r="D195" s="224">
        <f t="shared" ref="D195" si="160">D196</f>
        <v>2.329547397581962E-2</v>
      </c>
      <c r="E195" s="224">
        <f t="shared" ref="E195" si="161">E196</f>
        <v>3.059094795163924E-2</v>
      </c>
      <c r="F195" s="224">
        <f t="shared" ref="F195" si="162">F196</f>
        <v>3.7886421927458863E-2</v>
      </c>
      <c r="G195" s="224">
        <f t="shared" ref="G195" si="163">G196</f>
        <v>4.5181895903278479E-2</v>
      </c>
      <c r="H195" s="224">
        <f t="shared" ref="H195" si="164">H196</f>
        <v>5.2477369879098103E-2</v>
      </c>
      <c r="I195" s="224">
        <f t="shared" ref="I195" si="165">I196</f>
        <v>5.9772843854917726E-2</v>
      </c>
      <c r="J195" s="224">
        <f t="shared" ref="J195" si="166">J196</f>
        <v>6.7068317830737342E-2</v>
      </c>
      <c r="K195" s="224">
        <f t="shared" ref="K195" si="167">K196</f>
        <v>7.4363791806556973E-2</v>
      </c>
      <c r="L195" s="224">
        <f t="shared" ref="L195" si="168">L196</f>
        <v>8.1659265782376589E-2</v>
      </c>
      <c r="M195" s="224">
        <f t="shared" ref="M195" si="169">M196</f>
        <v>8.8954739758196205E-2</v>
      </c>
      <c r="N195" s="224">
        <f t="shared" ref="N195" si="170">N196</f>
        <v>0.10433135413800063</v>
      </c>
      <c r="O195" s="224">
        <f t="shared" ref="O195" si="171">O196</f>
        <v>0.11970796851780505</v>
      </c>
      <c r="P195" s="224">
        <f t="shared" ref="P195" si="172">P196</f>
        <v>0.1350845828976095</v>
      </c>
      <c r="Q195" s="224">
        <f t="shared" ref="Q195" si="173">Q196</f>
        <v>0.15046119727741392</v>
      </c>
      <c r="R195" s="224">
        <f t="shared" ref="R195" si="174">R196</f>
        <v>0.16583781165721834</v>
      </c>
      <c r="S195" s="224">
        <f t="shared" ref="S195" si="175">S196</f>
        <v>0.18121442603702276</v>
      </c>
      <c r="T195" s="224">
        <f t="shared" ref="T195" si="176">T196</f>
        <v>0.19659104041682718</v>
      </c>
      <c r="U195" s="224">
        <f t="shared" ref="U195" si="177">U196</f>
        <v>0.2119676547966316</v>
      </c>
      <c r="V195" s="224">
        <f t="shared" ref="V195" si="178">V196</f>
        <v>0.22734426917643602</v>
      </c>
      <c r="W195" s="224">
        <f t="shared" ref="W195" si="179">W196</f>
        <v>0.24272088355624044</v>
      </c>
      <c r="X195" s="224">
        <f t="shared" ref="X195" si="180">X196</f>
        <v>0.26844879520061637</v>
      </c>
      <c r="Y195" s="224">
        <f t="shared" ref="Y195" si="181">Y196</f>
        <v>0.29417670684499236</v>
      </c>
      <c r="Z195" s="224">
        <f t="shared" ref="Z195" si="182">Z196</f>
        <v>0.3199046184893683</v>
      </c>
      <c r="AA195" s="224">
        <f t="shared" ref="AA195" si="183">AA196</f>
        <v>0.34563253013374429</v>
      </c>
      <c r="AB195" s="224">
        <f t="shared" ref="AB195" si="184">AB196</f>
        <v>0.37136044177812022</v>
      </c>
      <c r="AC195" s="224">
        <f t="shared" ref="AC195" si="185">AC196</f>
        <v>0.39708835342249615</v>
      </c>
      <c r="AD195" s="224">
        <f t="shared" ref="AD195" si="186">AD196</f>
        <v>0.42281626506687209</v>
      </c>
      <c r="AE195" s="224">
        <f t="shared" ref="AE195" si="187">AE196</f>
        <v>0.44854417671124808</v>
      </c>
      <c r="AF195" s="224">
        <f t="shared" ref="AF195" si="188">AF196</f>
        <v>0.47427208835562407</v>
      </c>
      <c r="AG195" s="224">
        <f t="shared" ref="AG195" si="189">AG196</f>
        <v>0.5</v>
      </c>
      <c r="AJ195" s="231" t="s">
        <v>1312</v>
      </c>
      <c r="AL195" s="217"/>
      <c r="AM195" s="225"/>
      <c r="AN195" s="225"/>
      <c r="AO195" s="225"/>
    </row>
    <row r="196" spans="1:63" ht="16" outlineLevel="1" thickTop="1" x14ac:dyDescent="0.2">
      <c r="A196" t="s">
        <v>1348</v>
      </c>
      <c r="B196" s="54" t="s">
        <v>462</v>
      </c>
      <c r="C196" s="113">
        <v>1.6E-2</v>
      </c>
      <c r="D196" s="110">
        <f>$C196+($M196-$C196)/10*(D$1-$C$1)</f>
        <v>2.329547397581962E-2</v>
      </c>
      <c r="E196" s="110">
        <f t="shared" ref="E196:L196" si="190">$C196+($M196-$C196)/10*(E$1-$C$1)</f>
        <v>3.059094795163924E-2</v>
      </c>
      <c r="F196" s="110">
        <f t="shared" si="190"/>
        <v>3.7886421927458863E-2</v>
      </c>
      <c r="G196" s="110">
        <f t="shared" si="190"/>
        <v>4.5181895903278479E-2</v>
      </c>
      <c r="H196" s="110">
        <f t="shared" si="190"/>
        <v>5.2477369879098103E-2</v>
      </c>
      <c r="I196" s="110">
        <f t="shared" si="190"/>
        <v>5.9772843854917726E-2</v>
      </c>
      <c r="J196" s="110">
        <f t="shared" si="190"/>
        <v>6.7068317830737342E-2</v>
      </c>
      <c r="K196" s="110">
        <f t="shared" si="190"/>
        <v>7.4363791806556973E-2</v>
      </c>
      <c r="L196" s="110">
        <f t="shared" si="190"/>
        <v>8.1659265782376589E-2</v>
      </c>
      <c r="M196" s="121">
        <f>(M$55-$C$55)/($AG$55-$C$55)*($AG196-$C196)+$C196</f>
        <v>8.8954739758196205E-2</v>
      </c>
      <c r="N196" s="121">
        <f>$M196+($W196-$M196)/10*(N$1-$M$1)</f>
        <v>0.10433135413800063</v>
      </c>
      <c r="O196" s="121">
        <f t="shared" ref="O196:U196" si="191">$M196+($W196-$M196)/10*(O$1-$M$1)</f>
        <v>0.11970796851780505</v>
      </c>
      <c r="P196" s="121">
        <f t="shared" si="191"/>
        <v>0.1350845828976095</v>
      </c>
      <c r="Q196" s="121">
        <f t="shared" si="191"/>
        <v>0.15046119727741392</v>
      </c>
      <c r="R196" s="121">
        <f t="shared" si="191"/>
        <v>0.16583781165721834</v>
      </c>
      <c r="S196" s="121">
        <f t="shared" si="191"/>
        <v>0.18121442603702276</v>
      </c>
      <c r="T196" s="121">
        <f t="shared" si="191"/>
        <v>0.19659104041682718</v>
      </c>
      <c r="U196" s="121">
        <f t="shared" si="191"/>
        <v>0.2119676547966316</v>
      </c>
      <c r="V196" s="121">
        <f>$M196+($W196-$M196)/10*(V$1-$M$1)</f>
        <v>0.22734426917643602</v>
      </c>
      <c r="W196" s="121">
        <f>(W$55-$C$55)/($AG$55-$C$55)*($AG196-$C196)+$C196</f>
        <v>0.24272088355624044</v>
      </c>
      <c r="X196" s="23">
        <f t="shared" ref="X196:AF196" si="192">$W196+($AG196-$W196)/10*(X$1-$W$1)</f>
        <v>0.26844879520061637</v>
      </c>
      <c r="Y196" s="23">
        <f t="shared" si="192"/>
        <v>0.29417670684499236</v>
      </c>
      <c r="Z196" s="23">
        <f t="shared" si="192"/>
        <v>0.3199046184893683</v>
      </c>
      <c r="AA196" s="23">
        <f t="shared" si="192"/>
        <v>0.34563253013374429</v>
      </c>
      <c r="AB196" s="23">
        <f t="shared" si="192"/>
        <v>0.37136044177812022</v>
      </c>
      <c r="AC196" s="23">
        <f t="shared" si="192"/>
        <v>0.39708835342249615</v>
      </c>
      <c r="AD196" s="23">
        <f t="shared" si="192"/>
        <v>0.42281626506687209</v>
      </c>
      <c r="AE196" s="23">
        <f t="shared" si="192"/>
        <v>0.44854417671124808</v>
      </c>
      <c r="AF196" s="23">
        <f t="shared" si="192"/>
        <v>0.47427208835562407</v>
      </c>
      <c r="AG196" s="106">
        <v>0.5</v>
      </c>
      <c r="AJ196" s="211" t="s">
        <v>1458</v>
      </c>
    </row>
    <row r="197" spans="1:63" outlineLevel="1" x14ac:dyDescent="0.2">
      <c r="C197" s="113"/>
      <c r="D197" s="110"/>
      <c r="E197" s="110"/>
      <c r="F197" s="110"/>
      <c r="G197" s="110"/>
      <c r="H197" s="110"/>
      <c r="I197" s="110"/>
      <c r="J197" s="110"/>
      <c r="K197" s="110"/>
      <c r="L197" s="110"/>
      <c r="M197" s="121"/>
      <c r="N197" s="121"/>
      <c r="O197" s="121"/>
      <c r="P197" s="121"/>
      <c r="Q197" s="121"/>
      <c r="R197" s="121"/>
      <c r="S197" s="121"/>
      <c r="T197" s="121"/>
      <c r="U197" s="121"/>
      <c r="V197" s="121"/>
      <c r="W197" s="121"/>
      <c r="X197" s="23"/>
      <c r="Y197" s="23"/>
      <c r="Z197" s="23"/>
      <c r="AA197" s="23"/>
      <c r="AB197" s="23"/>
      <c r="AC197" s="23"/>
      <c r="AD197" s="23"/>
      <c r="AE197" s="23"/>
      <c r="AF197" s="23"/>
      <c r="AG197" s="106"/>
      <c r="AJ197" s="211"/>
    </row>
    <row r="198" spans="1:63" outlineLevel="1" x14ac:dyDescent="0.2">
      <c r="A198" t="s">
        <v>1434</v>
      </c>
      <c r="C198" s="382">
        <f>'Overall recycling rates'!C85</f>
        <v>1.2160414039615226</v>
      </c>
      <c r="D198" s="382">
        <f>C198-($C198-$AG198)/($AG1-$C1)</f>
        <v>1.2121733571628053</v>
      </c>
      <c r="E198" s="382">
        <f t="shared" ref="E198:AF198" si="193">D198-($C198-$AG198)/($AG1-$C1)</f>
        <v>1.2083053103640879</v>
      </c>
      <c r="F198" s="382">
        <f t="shared" si="193"/>
        <v>1.2044372635653706</v>
      </c>
      <c r="G198" s="382">
        <f t="shared" si="193"/>
        <v>1.2005692167666533</v>
      </c>
      <c r="H198" s="382">
        <f t="shared" si="193"/>
        <v>1.196701169967936</v>
      </c>
      <c r="I198" s="382">
        <f t="shared" si="193"/>
        <v>1.1928331231692186</v>
      </c>
      <c r="J198" s="382">
        <f t="shared" si="193"/>
        <v>1.1889650763705013</v>
      </c>
      <c r="K198" s="382">
        <f t="shared" si="193"/>
        <v>1.185097029571784</v>
      </c>
      <c r="L198" s="382">
        <f t="shared" si="193"/>
        <v>1.1812289827730666</v>
      </c>
      <c r="M198" s="382">
        <f t="shared" si="193"/>
        <v>1.1773609359743493</v>
      </c>
      <c r="N198" s="382">
        <f t="shared" si="193"/>
        <v>1.173492889175632</v>
      </c>
      <c r="O198" s="382">
        <f t="shared" si="193"/>
        <v>1.1696248423769147</v>
      </c>
      <c r="P198" s="382">
        <f t="shared" si="193"/>
        <v>1.1657567955781973</v>
      </c>
      <c r="Q198" s="382">
        <f t="shared" si="193"/>
        <v>1.16188874877948</v>
      </c>
      <c r="R198" s="382">
        <f t="shared" si="193"/>
        <v>1.1580207019807627</v>
      </c>
      <c r="S198" s="382">
        <f t="shared" si="193"/>
        <v>1.1541526551820454</v>
      </c>
      <c r="T198" s="382">
        <f t="shared" si="193"/>
        <v>1.150284608383328</v>
      </c>
      <c r="U198" s="382">
        <f t="shared" si="193"/>
        <v>1.1464165615846107</v>
      </c>
      <c r="V198" s="382">
        <f t="shared" si="193"/>
        <v>1.1425485147858934</v>
      </c>
      <c r="W198" s="382">
        <f t="shared" si="193"/>
        <v>1.138680467987176</v>
      </c>
      <c r="X198" s="382">
        <f t="shared" si="193"/>
        <v>1.1348124211884587</v>
      </c>
      <c r="Y198" s="382">
        <f t="shared" si="193"/>
        <v>1.1309443743897414</v>
      </c>
      <c r="Z198" s="382">
        <f t="shared" si="193"/>
        <v>1.1270763275910241</v>
      </c>
      <c r="AA198" s="382">
        <f t="shared" si="193"/>
        <v>1.1232082807923067</v>
      </c>
      <c r="AB198" s="382">
        <f t="shared" si="193"/>
        <v>1.1193402339935894</v>
      </c>
      <c r="AC198" s="382">
        <f t="shared" si="193"/>
        <v>1.1154721871948721</v>
      </c>
      <c r="AD198" s="382">
        <f t="shared" si="193"/>
        <v>1.1116041403961547</v>
      </c>
      <c r="AE198" s="382">
        <f t="shared" si="193"/>
        <v>1.1077360935974374</v>
      </c>
      <c r="AF198" s="382">
        <f t="shared" si="193"/>
        <v>1.1038680467987201</v>
      </c>
      <c r="AG198" s="382">
        <f>'Overall recycling rates'!C94</f>
        <v>1.1000000000000001</v>
      </c>
      <c r="AI198" s="133"/>
      <c r="AJ198" s="211" t="s">
        <v>1459</v>
      </c>
      <c r="AL198" s="108"/>
      <c r="AM198" s="2"/>
      <c r="AN198" s="2"/>
      <c r="AO198" s="2"/>
      <c r="BC198" s="1"/>
      <c r="BD198" s="2"/>
      <c r="BE198" s="2"/>
      <c r="BF198" s="2"/>
      <c r="BG198" s="2"/>
      <c r="BH198" s="2"/>
      <c r="BI198" s="2"/>
      <c r="BJ198" s="2"/>
      <c r="BK198" s="2"/>
    </row>
    <row r="199" spans="1:63" outlineLevel="1" x14ac:dyDescent="0.2">
      <c r="A199" t="s">
        <v>1350</v>
      </c>
      <c r="B199" s="54" t="s">
        <v>462</v>
      </c>
      <c r="C199" s="110">
        <f>C196*C198</f>
        <v>1.9456662463384362E-2</v>
      </c>
      <c r="D199" s="110">
        <f t="shared" ref="D199:AG199" si="194">D196*D198</f>
        <v>2.8238152895968031E-2</v>
      </c>
      <c r="E199" s="110">
        <f t="shared" si="194"/>
        <v>3.6963204859037112E-2</v>
      </c>
      <c r="F199" s="110">
        <f t="shared" si="194"/>
        <v>4.5631818352591606E-2</v>
      </c>
      <c r="G199" s="110">
        <f t="shared" si="194"/>
        <v>5.4243993376631508E-2</v>
      </c>
      <c r="H199" s="110">
        <f t="shared" si="194"/>
        <v>6.2799729931156817E-2</v>
      </c>
      <c r="I199" s="110">
        <f t="shared" si="194"/>
        <v>7.1299028016167554E-2</v>
      </c>
      <c r="J199" s="110">
        <f t="shared" si="194"/>
        <v>7.9741887631663677E-2</v>
      </c>
      <c r="K199" s="110">
        <f t="shared" si="194"/>
        <v>8.8128308777645242E-2</v>
      </c>
      <c r="L199" s="110">
        <f t="shared" si="194"/>
        <v>9.645829145411218E-2</v>
      </c>
      <c r="M199" s="110">
        <f t="shared" si="194"/>
        <v>0.10473183566106455</v>
      </c>
      <c r="N199" s="110">
        <f t="shared" si="194"/>
        <v>0.12243210219900838</v>
      </c>
      <c r="O199" s="110">
        <f t="shared" si="194"/>
        <v>0.1400134138088984</v>
      </c>
      <c r="P199" s="110">
        <f t="shared" si="194"/>
        <v>0.15747577049073461</v>
      </c>
      <c r="Q199" s="110">
        <f t="shared" si="194"/>
        <v>0.17481917224451696</v>
      </c>
      <c r="R199" s="110">
        <f t="shared" si="194"/>
        <v>0.19204361907024547</v>
      </c>
      <c r="S199" s="110">
        <f t="shared" si="194"/>
        <v>0.20914911096792019</v>
      </c>
      <c r="T199" s="110">
        <f t="shared" si="194"/>
        <v>0.22613564793754107</v>
      </c>
      <c r="U199" s="110">
        <f t="shared" si="194"/>
        <v>0.24300322997910812</v>
      </c>
      <c r="V199" s="110">
        <f t="shared" si="194"/>
        <v>0.25975185709262133</v>
      </c>
      <c r="W199" s="110">
        <f t="shared" si="194"/>
        <v>0.27638152927808074</v>
      </c>
      <c r="X199" s="110">
        <f t="shared" si="194"/>
        <v>0.30463902724673614</v>
      </c>
      <c r="Y199" s="110">
        <f t="shared" si="194"/>
        <v>0.33269749168284424</v>
      </c>
      <c r="Z199" s="110">
        <f t="shared" si="194"/>
        <v>0.36055692258640482</v>
      </c>
      <c r="AA199" s="110">
        <f t="shared" si="194"/>
        <v>0.38821731995741809</v>
      </c>
      <c r="AB199" s="110">
        <f t="shared" si="194"/>
        <v>0.4156786837958838</v>
      </c>
      <c r="AC199" s="110">
        <f t="shared" si="194"/>
        <v>0.44294101410180214</v>
      </c>
      <c r="AD199" s="110">
        <f t="shared" si="194"/>
        <v>0.47000431087517308</v>
      </c>
      <c r="AE199" s="110">
        <f t="shared" si="194"/>
        <v>0.49686857411599661</v>
      </c>
      <c r="AF199" s="110">
        <f t="shared" si="194"/>
        <v>0.52353380382427273</v>
      </c>
      <c r="AG199" s="110">
        <f t="shared" si="194"/>
        <v>0.55000000000000004</v>
      </c>
      <c r="AJ199" s="211" t="s">
        <v>1349</v>
      </c>
    </row>
    <row r="200" spans="1:63" outlineLevel="1" x14ac:dyDescent="0.2">
      <c r="C200" s="110"/>
      <c r="D200" s="110"/>
      <c r="E200" s="110"/>
      <c r="F200" s="110"/>
      <c r="G200" s="110"/>
      <c r="H200" s="110"/>
      <c r="I200" s="110"/>
      <c r="J200" s="110"/>
      <c r="K200" s="110"/>
      <c r="L200" s="110"/>
      <c r="M200" s="110"/>
      <c r="N200" s="110"/>
      <c r="O200" s="110"/>
      <c r="P200" s="110"/>
      <c r="Q200" s="110"/>
      <c r="R200" s="110"/>
      <c r="S200" s="110"/>
      <c r="T200" s="110"/>
      <c r="U200" s="110"/>
      <c r="V200" s="110"/>
      <c r="W200" s="110"/>
      <c r="X200" s="110"/>
      <c r="Y200" s="110"/>
      <c r="Z200" s="110"/>
      <c r="AA200" s="110"/>
      <c r="AB200" s="110"/>
      <c r="AC200" s="110"/>
      <c r="AD200" s="110"/>
      <c r="AE200" s="110"/>
      <c r="AF200" s="110"/>
      <c r="AG200" s="110"/>
      <c r="AI200" s="134"/>
      <c r="AJ200" s="211"/>
      <c r="BC200" s="1"/>
      <c r="BD200" s="41"/>
      <c r="BF200" s="6"/>
      <c r="BG200" s="6"/>
      <c r="BH200" s="6"/>
      <c r="BI200" s="6"/>
      <c r="BJ200" s="6"/>
    </row>
    <row r="201" spans="1:63" s="1" customFormat="1" outlineLevel="1" x14ac:dyDescent="0.2">
      <c r="A201" s="1" t="s">
        <v>228</v>
      </c>
      <c r="B201" s="65"/>
      <c r="C201" s="300">
        <f>C199*C47</f>
        <v>0.11192716725632186</v>
      </c>
      <c r="D201" s="300">
        <f t="shared" ref="D201:AG201" si="195">D199*D47</f>
        <v>0.16788928069684539</v>
      </c>
      <c r="E201" s="300">
        <f t="shared" si="195"/>
        <v>0.22653695319615003</v>
      </c>
      <c r="F201" s="300">
        <f t="shared" si="195"/>
        <v>0.28753052219178854</v>
      </c>
      <c r="G201" s="300">
        <f t="shared" si="195"/>
        <v>0.35049298007661572</v>
      </c>
      <c r="H201" s="300">
        <f t="shared" si="195"/>
        <v>0.41501372159137973</v>
      </c>
      <c r="I201" s="300">
        <f t="shared" si="195"/>
        <v>0.48168991855239918</v>
      </c>
      <c r="J201" s="300">
        <f t="shared" si="195"/>
        <v>0.55049292627817148</v>
      </c>
      <c r="K201" s="300">
        <f t="shared" si="195"/>
        <v>0.62138923278154179</v>
      </c>
      <c r="L201" s="300">
        <f t="shared" si="195"/>
        <v>0.69434041014349734</v>
      </c>
      <c r="M201" s="300">
        <f t="shared" si="195"/>
        <v>0.76930307884797655</v>
      </c>
      <c r="N201" s="300">
        <f t="shared" si="195"/>
        <v>0.91596558780270521</v>
      </c>
      <c r="O201" s="300">
        <f t="shared" si="195"/>
        <v>1.0648688463429934</v>
      </c>
      <c r="P201" s="300">
        <f t="shared" si="195"/>
        <v>1.2152305484579735</v>
      </c>
      <c r="Q201" s="300">
        <f t="shared" si="195"/>
        <v>1.3662387142532544</v>
      </c>
      <c r="R201" s="300">
        <f t="shared" si="195"/>
        <v>1.5170588376963006</v>
      </c>
      <c r="S201" s="300">
        <f t="shared" si="195"/>
        <v>1.6698445401110702</v>
      </c>
      <c r="T201" s="300">
        <f t="shared" si="195"/>
        <v>1.8245633567027792</v>
      </c>
      <c r="U201" s="300">
        <f t="shared" si="195"/>
        <v>1.9811814717840117</v>
      </c>
      <c r="V201" s="300">
        <f t="shared" si="195"/>
        <v>2.139663723799571</v>
      </c>
      <c r="W201" s="300">
        <f t="shared" si="195"/>
        <v>2.2999736114087423</v>
      </c>
      <c r="X201" s="300">
        <f t="shared" si="195"/>
        <v>2.5608457904780475</v>
      </c>
      <c r="Y201" s="300">
        <f t="shared" si="195"/>
        <v>2.8248052396854488</v>
      </c>
      <c r="Z201" s="300">
        <f t="shared" si="195"/>
        <v>3.091796771580309</v>
      </c>
      <c r="AA201" s="300">
        <f t="shared" si="195"/>
        <v>3.3617632094944261</v>
      </c>
      <c r="AB201" s="300">
        <f t="shared" si="195"/>
        <v>3.6346453981302598</v>
      </c>
      <c r="AC201" s="300">
        <f t="shared" si="195"/>
        <v>3.9104191852796957</v>
      </c>
      <c r="AD201" s="300">
        <f t="shared" si="195"/>
        <v>4.1890294493019091</v>
      </c>
      <c r="AE201" s="300">
        <f t="shared" si="195"/>
        <v>4.4704193006390991</v>
      </c>
      <c r="AF201" s="300">
        <f t="shared" si="195"/>
        <v>4.7545300926341598</v>
      </c>
      <c r="AG201" s="300">
        <f t="shared" si="195"/>
        <v>5.0413014335433415</v>
      </c>
      <c r="AH201" s="422"/>
      <c r="AI201" s="423"/>
      <c r="AJ201" s="424"/>
      <c r="AL201" s="221"/>
      <c r="AM201" s="124"/>
      <c r="AN201" s="124"/>
      <c r="AO201" s="124"/>
      <c r="BD201" s="124"/>
      <c r="BE201" s="124"/>
      <c r="BF201" s="124"/>
      <c r="BG201" s="124"/>
      <c r="BH201" s="124"/>
      <c r="BI201" s="124"/>
      <c r="BJ201" s="124"/>
      <c r="BK201" s="124"/>
    </row>
    <row r="202" spans="1:63" outlineLevel="1" x14ac:dyDescent="0.2">
      <c r="A202" s="4" t="s">
        <v>258</v>
      </c>
      <c r="C202" s="230">
        <f>C$201*'Ethylene recycling rates'!E103</f>
        <v>3.9544314164516217E-2</v>
      </c>
      <c r="D202" s="230">
        <f>D$201*'Ethylene recycling rates'!F103</f>
        <v>6.0178873848007311E-2</v>
      </c>
      <c r="E202" s="230">
        <f>E$201*'Ethylene recycling rates'!G103</f>
        <v>8.2365130145039142E-2</v>
      </c>
      <c r="F202" s="230">
        <f>F$201*'Ethylene recycling rates'!H103</f>
        <v>0.1060192514323469</v>
      </c>
      <c r="G202" s="230">
        <f>G$201*'Ethylene recycling rates'!I103</f>
        <v>0.13103646091656423</v>
      </c>
      <c r="H202" s="230">
        <f>H$201*'Ethylene recycling rates'!J103</f>
        <v>0.15729149717219354</v>
      </c>
      <c r="I202" s="230">
        <f>I$201*'Ethylene recycling rates'!K103</f>
        <v>0.18503778747332855</v>
      </c>
      <c r="J202" s="230">
        <f>J$201*'Ethylene recycling rates'!L103</f>
        <v>0.21429741694942006</v>
      </c>
      <c r="K202" s="230">
        <f>K$201*'Ethylene recycling rates'!M103</f>
        <v>0.24508996203958433</v>
      </c>
      <c r="L202" s="230">
        <f>L$201*'Ethylene recycling rates'!N103</f>
        <v>0.27743234597782879</v>
      </c>
      <c r="M202" s="230">
        <f>M$201*'Ethylene recycling rates'!O103</f>
        <v>0.31133869802404746</v>
      </c>
      <c r="N202" s="230">
        <f>N$201*'Ethylene recycling rates'!P103</f>
        <v>0.3754012530688024</v>
      </c>
      <c r="O202" s="230">
        <f>O$201*'Ethylene recycling rates'!Q103</f>
        <v>0.44190131881731431</v>
      </c>
      <c r="P202" s="230">
        <f>P$201*'Ethylene recycling rates'!R103</f>
        <v>0.51054478270285408</v>
      </c>
      <c r="Q202" s="230">
        <f>Q$201*'Ethylene recycling rates'!S103</f>
        <v>0.58100882932287845</v>
      </c>
      <c r="R202" s="230">
        <f>R$201*'Ethylene recycling rates'!T103</f>
        <v>0.65294425424539326</v>
      </c>
      <c r="S202" s="230">
        <f>S$201*'Ethylene recycling rates'!U103</f>
        <v>0.72728614883982257</v>
      </c>
      <c r="T202" s="230">
        <f>T$201*'Ethylene recycling rates'!V103</f>
        <v>0.80405051469943178</v>
      </c>
      <c r="U202" s="230">
        <f>U$201*'Ethylene recycling rates'!W103</f>
        <v>0.88325208370748898</v>
      </c>
      <c r="V202" s="230">
        <f>V$201*'Ethylene recycling rates'!X103</f>
        <v>0.96490428558649699</v>
      </c>
      <c r="W202" s="230">
        <f>W$201*'Ethylene recycling rates'!Y103</f>
        <v>1.0490192160846719</v>
      </c>
      <c r="X202" s="230">
        <f>X$201*'Ethylene recycling rates'!Z103</f>
        <v>1.1811654658316526</v>
      </c>
      <c r="Y202" s="230">
        <f>Y$201*'Ethylene recycling rates'!AA103</f>
        <v>1.3174332335003476</v>
      </c>
      <c r="Z202" s="230">
        <f>Z$201*'Ethylene recycling rates'!AB103</f>
        <v>1.4578441012148891</v>
      </c>
      <c r="AA202" s="230">
        <f>AA$201*'Ethylene recycling rates'!AC103</f>
        <v>1.6024175683032373</v>
      </c>
      <c r="AB202" s="230">
        <f>AB$201*'Ethylene recycling rates'!AD103</f>
        <v>1.7511710052774028</v>
      </c>
      <c r="AC202" s="230">
        <f>AC$201*'Ethylene recycling rates'!AE103</f>
        <v>1.9041376108444721</v>
      </c>
      <c r="AD202" s="230">
        <f>AD$201*'Ethylene recycling rates'!AF103</f>
        <v>2.0613348477407349</v>
      </c>
      <c r="AE202" s="230">
        <f>AE$201*'Ethylene recycling rates'!AG103</f>
        <v>2.2227781663972621</v>
      </c>
      <c r="AF202" s="230">
        <f>AF$201*'Ethylene recycling rates'!AH103</f>
        <v>2.3884809649403151</v>
      </c>
      <c r="AG202" s="230">
        <f>AG$201*'Ethylene recycling rates'!AI103</f>
        <v>2.5584545501318146</v>
      </c>
      <c r="AH202" s="245"/>
      <c r="AI202" s="133"/>
      <c r="AJ202" s="211"/>
      <c r="AL202" s="108"/>
      <c r="AM202" s="2"/>
      <c r="AN202" s="2"/>
      <c r="AO202" s="2"/>
      <c r="BC202" s="1"/>
      <c r="BD202" s="2"/>
      <c r="BE202" s="2"/>
      <c r="BF202" s="2"/>
      <c r="BG202" s="2"/>
      <c r="BH202" s="2"/>
      <c r="BI202" s="2"/>
      <c r="BJ202" s="2"/>
      <c r="BK202" s="2"/>
    </row>
    <row r="203" spans="1:63" outlineLevel="1" x14ac:dyDescent="0.2">
      <c r="A203" s="4" t="s">
        <v>478</v>
      </c>
      <c r="C203" s="230">
        <f>C$201*'Ethylene recycling rates'!E104</f>
        <v>2.0434829407324192E-3</v>
      </c>
      <c r="D203" s="230">
        <f>D$201*'Ethylene recycling rates'!F104</f>
        <v>3.3446143926125515E-3</v>
      </c>
      <c r="E203" s="230">
        <f>E$201*'Ethylene recycling rates'!G104</f>
        <v>4.8899905133254137E-3</v>
      </c>
      <c r="F203" s="230">
        <f>F$201*'Ethylene recycling rates'!H104</f>
        <v>6.6851227683696769E-3</v>
      </c>
      <c r="G203" s="230">
        <f>G$201*'Ethylene recycling rates'!I104</f>
        <v>8.732331001899761E-3</v>
      </c>
      <c r="H203" s="230">
        <f>H$201*'Ethylene recycling rates'!J104</f>
        <v>1.1030532272277063E-2</v>
      </c>
      <c r="I203" s="230">
        <f>I$201*'Ethylene recycling rates'!K104</f>
        <v>1.3604372826584733E-2</v>
      </c>
      <c r="J203" s="230">
        <f>J$201*'Ethylene recycling rates'!L104</f>
        <v>1.6463757902864553E-2</v>
      </c>
      <c r="K203" s="230">
        <f>K$201*'Ethylene recycling rates'!M104</f>
        <v>1.961824837808003E-2</v>
      </c>
      <c r="L203" s="230">
        <f>L$201*'Ethylene recycling rates'!N104</f>
        <v>2.3077018648886796E-2</v>
      </c>
      <c r="M203" s="230">
        <f>M$201*'Ethylene recycling rates'!O104</f>
        <v>2.6848814479175472E-2</v>
      </c>
      <c r="N203" s="230">
        <f>N$201*'Ethylene recycling rates'!P104</f>
        <v>3.3491796563460775E-2</v>
      </c>
      <c r="O203" s="230">
        <f>O$201*'Ethylene recycling rates'!Q104</f>
        <v>4.0708618275816885E-2</v>
      </c>
      <c r="P203" s="230">
        <f>P$201*'Ethylene recycling rates'!R104</f>
        <v>4.8479258825989982E-2</v>
      </c>
      <c r="Q203" s="230">
        <f>Q$201*'Ethylene recycling rates'!S104</f>
        <v>5.6777256312632876E-2</v>
      </c>
      <c r="R203" s="230">
        <f>R$201*'Ethylene recycling rates'!T104</f>
        <v>6.5569769730509972E-2</v>
      </c>
      <c r="S203" s="230">
        <f>S$201*'Ethylene recycling rates'!U104</f>
        <v>7.4952527506399524E-2</v>
      </c>
      <c r="T203" s="230">
        <f>T$201*'Ethylene recycling rates'!V104</f>
        <v>8.4933832290195035E-2</v>
      </c>
      <c r="U203" s="230">
        <f>U$201*'Ethylene recycling rates'!W104</f>
        <v>9.5521705475534707E-2</v>
      </c>
      <c r="V203" s="230">
        <f>V$201*'Ethylene recycling rates'!X104</f>
        <v>0.10672387620903458</v>
      </c>
      <c r="W203" s="230">
        <f>W$201*'Ethylene recycling rates'!Y104</f>
        <v>0.11854777050420083</v>
      </c>
      <c r="X203" s="230">
        <f>X$201*'Ethylene recycling rates'!Z104</f>
        <v>0.13625592710824422</v>
      </c>
      <c r="Y203" s="230">
        <f>Y$201*'Ethylene recycling rates'!AA104</f>
        <v>0.15500182250022174</v>
      </c>
      <c r="Z203" s="230">
        <f>Z$201*'Ethylene recycling rates'!AB104</f>
        <v>0.17479775096268077</v>
      </c>
      <c r="AA203" s="230">
        <f>AA$201*'Ethylene recycling rates'!AC104</f>
        <v>0.19565552361299279</v>
      </c>
      <c r="AB203" s="230">
        <f>AB$201*'Ethylene recycling rates'!AD104</f>
        <v>0.21758645248401653</v>
      </c>
      <c r="AC203" s="230">
        <f>AC$201*'Ethylene recycling rates'!AE104</f>
        <v>0.24060360950176984</v>
      </c>
      <c r="AD203" s="230">
        <f>AD$201*'Ethylene recycling rates'!AF104</f>
        <v>0.26471794875106608</v>
      </c>
      <c r="AE203" s="230">
        <f>AE$201*'Ethylene recycling rates'!AG104</f>
        <v>0.28993994270008161</v>
      </c>
      <c r="AF203" s="230">
        <f>AF$201*'Ethylene recycling rates'!AH104</f>
        <v>0.3162795682083141</v>
      </c>
      <c r="AG203" s="230">
        <f>AG$201*'Ethylene recycling rates'!AI104</f>
        <v>0.34374629272404422</v>
      </c>
      <c r="AH203" s="245"/>
      <c r="AI203" s="133"/>
      <c r="AJ203" s="211"/>
      <c r="AL203" s="108"/>
      <c r="AM203" s="2"/>
      <c r="AN203" s="2"/>
      <c r="AO203" s="2"/>
      <c r="BC203" s="1"/>
      <c r="BD203" s="2"/>
      <c r="BE203" s="2"/>
      <c r="BF203" s="2"/>
      <c r="BG203" s="2"/>
      <c r="BH203" s="2"/>
      <c r="BI203" s="2"/>
      <c r="BJ203" s="2"/>
      <c r="BK203" s="2"/>
    </row>
    <row r="204" spans="1:63" outlineLevel="1" x14ac:dyDescent="0.2">
      <c r="A204" s="4" t="s">
        <v>480</v>
      </c>
      <c r="C204" s="230">
        <f>C$201*'Ethylene recycling rates'!E105</f>
        <v>7.0182032031055247E-2</v>
      </c>
      <c r="D204" s="230">
        <f>D$201*'Ethylene recycling rates'!F105</f>
        <v>0.104105380084316</v>
      </c>
      <c r="E204" s="230">
        <f>E$201*'Ethylene recycling rates'!G105</f>
        <v>0.13889751871484449</v>
      </c>
      <c r="F204" s="230">
        <f>F$201*'Ethylene recycling rates'!H105</f>
        <v>0.17429655986903525</v>
      </c>
      <c r="G204" s="230">
        <f>G$201*'Ethylene recycling rates'!I105</f>
        <v>0.21002767896976768</v>
      </c>
      <c r="H204" s="230">
        <f>H$201*'Ethylene recycling rates'!J105</f>
        <v>0.24580663208934356</v>
      </c>
      <c r="I204" s="230">
        <f>I$201*'Ethylene recycling rates'!K105</f>
        <v>0.28195047756027763</v>
      </c>
      <c r="J204" s="230">
        <f>J$201*'Ethylene recycling rates'!L105</f>
        <v>0.31839770968825315</v>
      </c>
      <c r="K204" s="230">
        <f>K$201*'Ethylene recycling rates'!M105</f>
        <v>0.35508483768465948</v>
      </c>
      <c r="L204" s="230">
        <f>L$201*'Ethylene recycling rates'!N105</f>
        <v>0.39194652734434193</v>
      </c>
      <c r="M204" s="230">
        <f>M$201*'Ethylene recycling rates'!O105</f>
        <v>0.42891575197717613</v>
      </c>
      <c r="N204" s="230">
        <f>N$201*'Ethylene recycling rates'!P105</f>
        <v>0.50432018341223406</v>
      </c>
      <c r="O204" s="230">
        <f>O$201*'Ethylene recycling rates'!Q105</f>
        <v>0.57890431244924878</v>
      </c>
      <c r="P204" s="230">
        <f>P$201*'Ethylene recycling rates'!R105</f>
        <v>0.65220156735751633</v>
      </c>
      <c r="Q204" s="230">
        <f>Q$201*'Ethylene recycling rates'!S105</f>
        <v>0.72375140349505085</v>
      </c>
      <c r="R204" s="230">
        <f>R$201*'Ethylene recycling rates'!T105</f>
        <v>0.79310407117541348</v>
      </c>
      <c r="S204" s="230">
        <f>S$201*'Ethylene recycling rates'!U105</f>
        <v>0.8613744171556692</v>
      </c>
      <c r="T204" s="230">
        <f>T$201*'Ethylene recycling rates'!V105</f>
        <v>0.92850494101751802</v>
      </c>
      <c r="U204" s="230">
        <f>U$201*'Ethylene recycling rates'!W105</f>
        <v>0.9944383667288077</v>
      </c>
      <c r="V204" s="230">
        <f>V$201*'Ethylene recycling rates'!X105</f>
        <v>1.0591176920709213</v>
      </c>
      <c r="W204" s="230">
        <f>W$201*'Ethylene recycling rates'!Y105</f>
        <v>1.1224862383727057</v>
      </c>
      <c r="X204" s="230">
        <f>X$201*'Ethylene recycling rates'!Z105</f>
        <v>1.2320065129365607</v>
      </c>
      <c r="Y204" s="230">
        <f>Y$201*'Ethylene recycling rates'!AA105</f>
        <v>1.3393647374028637</v>
      </c>
      <c r="Z204" s="230">
        <f>Z$201*'Ethylene recycling rates'!AB105</f>
        <v>1.4444707635659131</v>
      </c>
      <c r="AA204" s="230">
        <f>AA$201*'Ethylene recycling rates'!AC105</f>
        <v>1.5472350617925212</v>
      </c>
      <c r="AB204" s="230">
        <f>AB$201*'Ethylene recycling rates'!AD105</f>
        <v>1.6475687949419215</v>
      </c>
      <c r="AC204" s="230">
        <f>AC$201*'Ethylene recycling rates'!AE105</f>
        <v>1.7454003937644942</v>
      </c>
      <c r="AD204" s="230">
        <f>AD$201*'Ethylene recycling rates'!AF105</f>
        <v>1.8406453525295972</v>
      </c>
      <c r="AE204" s="230">
        <f>AE$201*'Ethylene recycling rates'!AG105</f>
        <v>1.9332199332467705</v>
      </c>
      <c r="AF204" s="230">
        <f>AF$201*'Ethylene recycling rates'!AH105</f>
        <v>2.0230412316993034</v>
      </c>
      <c r="AG204" s="230">
        <f>AG$201*'Ethylene recycling rates'!AI105</f>
        <v>2.1100272435268934</v>
      </c>
      <c r="AH204" s="245"/>
      <c r="AI204" s="133"/>
      <c r="AJ204" s="211"/>
      <c r="AL204" s="108"/>
      <c r="AM204" s="2"/>
      <c r="AN204" s="2"/>
      <c r="AO204" s="2"/>
      <c r="BC204" s="1"/>
      <c r="BD204" s="2"/>
      <c r="BE204" s="2"/>
      <c r="BF204" s="2"/>
      <c r="BG204" s="2"/>
      <c r="BH204" s="2"/>
      <c r="BI204" s="2"/>
      <c r="BJ204" s="2"/>
      <c r="BK204" s="2"/>
    </row>
    <row r="205" spans="1:63" outlineLevel="1" x14ac:dyDescent="0.2">
      <c r="A205" s="4" t="s">
        <v>474</v>
      </c>
      <c r="C205" s="230">
        <f>C$201*'Ethylene recycling rates'!E106</f>
        <v>0</v>
      </c>
      <c r="D205" s="230">
        <f>D$201*'Ethylene recycling rates'!F106</f>
        <v>0</v>
      </c>
      <c r="E205" s="230">
        <f>E$201*'Ethylene recycling rates'!G106</f>
        <v>0</v>
      </c>
      <c r="F205" s="230">
        <f>F$201*'Ethylene recycling rates'!H106</f>
        <v>0</v>
      </c>
      <c r="G205" s="230">
        <f>G$201*'Ethylene recycling rates'!I106</f>
        <v>0</v>
      </c>
      <c r="H205" s="230">
        <f>H$201*'Ethylene recycling rates'!J106</f>
        <v>0</v>
      </c>
      <c r="I205" s="230">
        <f>I$201*'Ethylene recycling rates'!K106</f>
        <v>0</v>
      </c>
      <c r="J205" s="230">
        <f>J$201*'Ethylene recycling rates'!L106</f>
        <v>0</v>
      </c>
      <c r="K205" s="230">
        <f>K$201*'Ethylene recycling rates'!M106</f>
        <v>0</v>
      </c>
      <c r="L205" s="230">
        <f>L$201*'Ethylene recycling rates'!N106</f>
        <v>0</v>
      </c>
      <c r="M205" s="230">
        <f>M$201*'Ethylene recycling rates'!O106</f>
        <v>0</v>
      </c>
      <c r="N205" s="230">
        <f>N$201*'Ethylene recycling rates'!P106</f>
        <v>0</v>
      </c>
      <c r="O205" s="230">
        <f>O$201*'Ethylene recycling rates'!Q106</f>
        <v>0</v>
      </c>
      <c r="P205" s="230">
        <f>P$201*'Ethylene recycling rates'!R106</f>
        <v>0</v>
      </c>
      <c r="Q205" s="230">
        <f>Q$201*'Ethylene recycling rates'!S106</f>
        <v>0</v>
      </c>
      <c r="R205" s="230">
        <f>R$201*'Ethylene recycling rates'!T106</f>
        <v>0</v>
      </c>
      <c r="S205" s="230">
        <f>S$201*'Ethylene recycling rates'!U106</f>
        <v>0</v>
      </c>
      <c r="T205" s="230">
        <f>T$201*'Ethylene recycling rates'!V106</f>
        <v>0</v>
      </c>
      <c r="U205" s="230">
        <f>U$201*'Ethylene recycling rates'!W106</f>
        <v>0</v>
      </c>
      <c r="V205" s="230">
        <f>V$201*'Ethylene recycling rates'!X106</f>
        <v>0</v>
      </c>
      <c r="W205" s="230">
        <f>W$201*'Ethylene recycling rates'!Y106</f>
        <v>0</v>
      </c>
      <c r="X205" s="230">
        <f>X$201*'Ethylene recycling rates'!Z106</f>
        <v>0</v>
      </c>
      <c r="Y205" s="230">
        <f>Y$201*'Ethylene recycling rates'!AA106</f>
        <v>0</v>
      </c>
      <c r="Z205" s="230">
        <f>Z$201*'Ethylene recycling rates'!AB106</f>
        <v>0</v>
      </c>
      <c r="AA205" s="230">
        <f>AA$201*'Ethylene recycling rates'!AC106</f>
        <v>0</v>
      </c>
      <c r="AB205" s="230">
        <f>AB$201*'Ethylene recycling rates'!AD106</f>
        <v>0</v>
      </c>
      <c r="AC205" s="230">
        <f>AC$201*'Ethylene recycling rates'!AE106</f>
        <v>0</v>
      </c>
      <c r="AD205" s="230">
        <f>AD$201*'Ethylene recycling rates'!AF106</f>
        <v>0</v>
      </c>
      <c r="AE205" s="230">
        <f>AE$201*'Ethylene recycling rates'!AG106</f>
        <v>0</v>
      </c>
      <c r="AF205" s="230">
        <f>AF$201*'Ethylene recycling rates'!AH106</f>
        <v>0</v>
      </c>
      <c r="AG205" s="230">
        <f>AG$201*'Ethylene recycling rates'!AI106</f>
        <v>0</v>
      </c>
      <c r="AH205" s="245"/>
      <c r="AI205" s="133"/>
      <c r="AJ205" s="211"/>
      <c r="AL205" s="108"/>
      <c r="AM205" s="2"/>
      <c r="AN205" s="2"/>
      <c r="AO205" s="2"/>
      <c r="BC205" s="1"/>
      <c r="BD205" s="2"/>
      <c r="BE205" s="2"/>
      <c r="BF205" s="2"/>
      <c r="BG205" s="2"/>
      <c r="BH205" s="2"/>
      <c r="BI205" s="2"/>
      <c r="BJ205" s="2"/>
      <c r="BK205" s="2"/>
    </row>
    <row r="206" spans="1:63" outlineLevel="1" x14ac:dyDescent="0.2">
      <c r="A206" s="4" t="s">
        <v>248</v>
      </c>
      <c r="C206" s="230">
        <f>C$201*'Ethylene recycling rates'!E107</f>
        <v>1.5733812001796906E-4</v>
      </c>
      <c r="D206" s="230">
        <f>D$201*'Ethylene recycling rates'!F107</f>
        <v>2.6041237190952652E-4</v>
      </c>
      <c r="E206" s="230">
        <f>E$201*'Ethylene recycling rates'!G107</f>
        <v>3.8431382294099649E-4</v>
      </c>
      <c r="F206" s="230">
        <f>F$201*'Ethylene recycling rates'!H107</f>
        <v>5.2958812203671613E-4</v>
      </c>
      <c r="G206" s="230">
        <f>G$201*'Ethylene recycling rates'!I107</f>
        <v>6.9650918838405575E-4</v>
      </c>
      <c r="H206" s="230">
        <f>H$201*'Ethylene recycling rates'!J107</f>
        <v>8.8506005756557168E-4</v>
      </c>
      <c r="I206" s="230">
        <f>I$201*'Ethylene recycling rates'!K107</f>
        <v>1.0972806922082677E-3</v>
      </c>
      <c r="J206" s="230">
        <f>J$201*'Ethylene recycling rates'!L107</f>
        <v>1.3340417376337707E-3</v>
      </c>
      <c r="K206" s="230">
        <f>K$201*'Ethylene recycling rates'!M107</f>
        <v>1.5961846792179833E-3</v>
      </c>
      <c r="L206" s="230">
        <f>L$201*'Ethylene recycling rates'!N107</f>
        <v>1.8845181724399154E-3</v>
      </c>
      <c r="M206" s="230">
        <f>M$201*'Ethylene recycling rates'!O107</f>
        <v>2.1998143675775799E-3</v>
      </c>
      <c r="N206" s="230">
        <f>N$201*'Ethylene recycling rates'!P107</f>
        <v>2.7523547582080877E-3</v>
      </c>
      <c r="O206" s="230">
        <f>O$201*'Ethylene recycling rates'!Q107</f>
        <v>3.3545968006135894E-3</v>
      </c>
      <c r="P206" s="230">
        <f>P$201*'Ethylene recycling rates'!R107</f>
        <v>4.004939571613228E-3</v>
      </c>
      <c r="Q206" s="230">
        <f>Q$201*'Ethylene recycling rates'!S107</f>
        <v>4.7012251226924316E-3</v>
      </c>
      <c r="R206" s="230">
        <f>R$201*'Ethylene recycling rates'!T107</f>
        <v>5.4407425449840762E-3</v>
      </c>
      <c r="S206" s="230">
        <f>S$201*'Ethylene recycling rates'!U107</f>
        <v>6.2314466091791696E-3</v>
      </c>
      <c r="T206" s="230">
        <f>T$201*'Ethylene recycling rates'!V107</f>
        <v>7.0740686956347037E-3</v>
      </c>
      <c r="U206" s="230">
        <f>U$201*'Ethylene recycling rates'!W107</f>
        <v>7.9693158721806569E-3</v>
      </c>
      <c r="V206" s="230">
        <f>V$201*'Ethylene recycling rates'!X107</f>
        <v>8.9178699331186415E-3</v>
      </c>
      <c r="W206" s="230">
        <f>W$201*'Ethylene recycling rates'!Y107</f>
        <v>9.920386447164458E-3</v>
      </c>
      <c r="X206" s="230">
        <f>X$201*'Ethylene recycling rates'!Z107</f>
        <v>1.1417884601590515E-2</v>
      </c>
      <c r="Y206" s="230">
        <f>Y$201*'Ethylene recycling rates'!AA107</f>
        <v>1.3005446282016551E-2</v>
      </c>
      <c r="Z206" s="230">
        <f>Z$201*'Ethylene recycling rates'!AB107</f>
        <v>1.4684155836826748E-2</v>
      </c>
      <c r="AA206" s="230">
        <f>AA$201*'Ethylene recycling rates'!AC107</f>
        <v>1.6455055785675469E-2</v>
      </c>
      <c r="AB206" s="230">
        <f>AB$201*'Ethylene recycling rates'!AD107</f>
        <v>1.8319145426919963E-2</v>
      </c>
      <c r="AC206" s="230">
        <f>AC$201*'Ethylene recycling rates'!AE107</f>
        <v>2.0277571168960579E-2</v>
      </c>
      <c r="AD206" s="230">
        <f>AD$201*'Ethylene recycling rates'!AF107</f>
        <v>2.2331300280512313E-2</v>
      </c>
      <c r="AE206" s="230">
        <f>AE$201*'Ethylene recycling rates'!AG107</f>
        <v>2.4481258294986014E-2</v>
      </c>
      <c r="AF206" s="230">
        <f>AF$201*'Ethylene recycling rates'!AH107</f>
        <v>2.6728327786228287E-2</v>
      </c>
      <c r="AG206" s="230">
        <f>AG$201*'Ethylene recycling rates'!AI107</f>
        <v>2.9073347160588806E-2</v>
      </c>
      <c r="AH206" s="245"/>
      <c r="AI206" s="133"/>
      <c r="AJ206" s="211"/>
      <c r="AL206" s="108"/>
      <c r="AM206" s="2"/>
      <c r="AN206" s="2"/>
      <c r="AO206" s="2"/>
      <c r="BC206" s="1"/>
      <c r="BD206" s="2"/>
      <c r="BE206" s="2"/>
      <c r="BF206" s="2"/>
      <c r="BG206" s="2"/>
      <c r="BH206" s="2"/>
      <c r="BI206" s="2"/>
      <c r="BJ206" s="2"/>
      <c r="BK206" s="2"/>
    </row>
    <row r="207" spans="1:63" outlineLevel="1" x14ac:dyDescent="0.2">
      <c r="AJ207" s="211"/>
    </row>
    <row r="208" spans="1:63" s="200" customFormat="1" ht="16" thickBot="1" x14ac:dyDescent="0.25">
      <c r="A208" s="200" t="s">
        <v>1351</v>
      </c>
      <c r="B208" s="215"/>
      <c r="C208" s="224">
        <f>C209</f>
        <v>0.05</v>
      </c>
      <c r="D208" s="224">
        <f t="shared" ref="D208:AG208" si="196">D209</f>
        <v>5.2260994000770548E-2</v>
      </c>
      <c r="E208" s="224">
        <f t="shared" si="196"/>
        <v>5.4521988001541094E-2</v>
      </c>
      <c r="F208" s="224">
        <f t="shared" si="196"/>
        <v>5.6782982002311633E-2</v>
      </c>
      <c r="G208" s="224">
        <f t="shared" si="196"/>
        <v>5.9043976003082178E-2</v>
      </c>
      <c r="H208" s="224">
        <f t="shared" si="196"/>
        <v>6.1304970003852724E-2</v>
      </c>
      <c r="I208" s="224">
        <f t="shared" si="196"/>
        <v>6.3565964004623277E-2</v>
      </c>
      <c r="J208" s="224">
        <f t="shared" si="196"/>
        <v>6.5826958005393815E-2</v>
      </c>
      <c r="K208" s="224">
        <f t="shared" si="196"/>
        <v>6.8087952006164354E-2</v>
      </c>
      <c r="L208" s="224">
        <f t="shared" si="196"/>
        <v>7.0348946006934907E-2</v>
      </c>
      <c r="M208" s="224">
        <f t="shared" si="196"/>
        <v>7.2609940007705445E-2</v>
      </c>
      <c r="N208" s="224">
        <f t="shared" si="196"/>
        <v>7.7375419670867973E-2</v>
      </c>
      <c r="O208" s="224">
        <f t="shared" si="196"/>
        <v>8.2140899334030501E-2</v>
      </c>
      <c r="P208" s="224">
        <f t="shared" si="196"/>
        <v>8.6906378997193029E-2</v>
      </c>
      <c r="Q208" s="224">
        <f t="shared" si="196"/>
        <v>9.1671858660355557E-2</v>
      </c>
      <c r="R208" s="224">
        <f t="shared" si="196"/>
        <v>9.6437338323518085E-2</v>
      </c>
      <c r="S208" s="224">
        <f t="shared" si="196"/>
        <v>0.10120281798668061</v>
      </c>
      <c r="T208" s="224">
        <f t="shared" si="196"/>
        <v>0.10596829764984314</v>
      </c>
      <c r="U208" s="224">
        <f t="shared" si="196"/>
        <v>0.11073377731300567</v>
      </c>
      <c r="V208" s="224">
        <f t="shared" si="196"/>
        <v>0.1154992569761682</v>
      </c>
      <c r="W208" s="224">
        <f t="shared" si="196"/>
        <v>0.12026473663933072</v>
      </c>
      <c r="X208" s="224">
        <f t="shared" si="196"/>
        <v>0.12823826297539764</v>
      </c>
      <c r="Y208" s="224">
        <f t="shared" si="196"/>
        <v>0.13621178931146458</v>
      </c>
      <c r="Z208" s="224">
        <f t="shared" si="196"/>
        <v>0.14418531564753151</v>
      </c>
      <c r="AA208" s="224">
        <f t="shared" si="196"/>
        <v>0.15215884198359844</v>
      </c>
      <c r="AB208" s="224">
        <f t="shared" si="196"/>
        <v>0.16013236831966537</v>
      </c>
      <c r="AC208" s="224">
        <f t="shared" si="196"/>
        <v>0.16810589465573231</v>
      </c>
      <c r="AD208" s="224">
        <f t="shared" si="196"/>
        <v>0.17607942099179924</v>
      </c>
      <c r="AE208" s="224">
        <f t="shared" si="196"/>
        <v>0.18405294732786615</v>
      </c>
      <c r="AF208" s="224">
        <f t="shared" si="196"/>
        <v>0.19202647366393311</v>
      </c>
      <c r="AG208" s="224">
        <f t="shared" si="196"/>
        <v>0.2</v>
      </c>
      <c r="AJ208" s="231" t="s">
        <v>1331</v>
      </c>
      <c r="AL208" s="217"/>
      <c r="AM208" s="225"/>
      <c r="AN208" s="225"/>
      <c r="AO208" s="225"/>
    </row>
    <row r="209" spans="1:63" ht="16" outlineLevel="2" thickTop="1" x14ac:dyDescent="0.2">
      <c r="A209" t="s">
        <v>1352</v>
      </c>
      <c r="B209" s="54" t="s">
        <v>462</v>
      </c>
      <c r="C209" s="113">
        <v>0.05</v>
      </c>
      <c r="D209" s="110">
        <f>$C209+($M209-$C209)/10*(D$1-$C$1)</f>
        <v>5.2260994000770548E-2</v>
      </c>
      <c r="E209" s="110">
        <f t="shared" ref="E209:L209" si="197">$C209+($M209-$C209)/10*(E$1-$C$1)</f>
        <v>5.4521988001541094E-2</v>
      </c>
      <c r="F209" s="110">
        <f t="shared" si="197"/>
        <v>5.6782982002311633E-2</v>
      </c>
      <c r="G209" s="110">
        <f t="shared" si="197"/>
        <v>5.9043976003082178E-2</v>
      </c>
      <c r="H209" s="110">
        <f t="shared" si="197"/>
        <v>6.1304970003852724E-2</v>
      </c>
      <c r="I209" s="110">
        <f t="shared" si="197"/>
        <v>6.3565964004623277E-2</v>
      </c>
      <c r="J209" s="110">
        <f t="shared" si="197"/>
        <v>6.5826958005393815E-2</v>
      </c>
      <c r="K209" s="110">
        <f t="shared" si="197"/>
        <v>6.8087952006164354E-2</v>
      </c>
      <c r="L209" s="110">
        <f t="shared" si="197"/>
        <v>7.0348946006934907E-2</v>
      </c>
      <c r="M209" s="121">
        <f>(M$55-$C$55)/($AG$55-$C$55)*($AG209-$C209)+$C209</f>
        <v>7.2609940007705445E-2</v>
      </c>
      <c r="N209" s="121">
        <f>$M209+($W209-$M209)/10*(N$1-$M$1)</f>
        <v>7.7375419670867973E-2</v>
      </c>
      <c r="O209" s="121">
        <f t="shared" ref="O209:U209" si="198">$M209+($W209-$M209)/10*(O$1-$M$1)</f>
        <v>8.2140899334030501E-2</v>
      </c>
      <c r="P209" s="121">
        <f t="shared" si="198"/>
        <v>8.6906378997193029E-2</v>
      </c>
      <c r="Q209" s="121">
        <f t="shared" si="198"/>
        <v>9.1671858660355557E-2</v>
      </c>
      <c r="R209" s="121">
        <f t="shared" si="198"/>
        <v>9.6437338323518085E-2</v>
      </c>
      <c r="S209" s="121">
        <f t="shared" si="198"/>
        <v>0.10120281798668061</v>
      </c>
      <c r="T209" s="121">
        <f t="shared" si="198"/>
        <v>0.10596829764984314</v>
      </c>
      <c r="U209" s="121">
        <f t="shared" si="198"/>
        <v>0.11073377731300567</v>
      </c>
      <c r="V209" s="121">
        <f>$M209+($W209-$M209)/10*(V$1-$M$1)</f>
        <v>0.1154992569761682</v>
      </c>
      <c r="W209" s="121">
        <f>(W$55-$C$55)/($AG$55-$C$55)*($AG209-$C209)+$C209</f>
        <v>0.12026473663933072</v>
      </c>
      <c r="X209" s="23">
        <f t="shared" ref="X209:AF209" si="199">$W209+($AG209-$W209)/10*(X$1-$W$1)</f>
        <v>0.12823826297539764</v>
      </c>
      <c r="Y209" s="23">
        <f t="shared" si="199"/>
        <v>0.13621178931146458</v>
      </c>
      <c r="Z209" s="23">
        <f t="shared" si="199"/>
        <v>0.14418531564753151</v>
      </c>
      <c r="AA209" s="23">
        <f t="shared" si="199"/>
        <v>0.15215884198359844</v>
      </c>
      <c r="AB209" s="23">
        <f t="shared" si="199"/>
        <v>0.16013236831966537</v>
      </c>
      <c r="AC209" s="23">
        <f t="shared" si="199"/>
        <v>0.16810589465573231</v>
      </c>
      <c r="AD209" s="23">
        <f t="shared" si="199"/>
        <v>0.17607942099179924</v>
      </c>
      <c r="AE209" s="23">
        <f t="shared" si="199"/>
        <v>0.18405294732786615</v>
      </c>
      <c r="AF209" s="23">
        <f t="shared" si="199"/>
        <v>0.19202647366393311</v>
      </c>
      <c r="AG209" s="106">
        <v>0.2</v>
      </c>
      <c r="AJ209" s="211" t="s">
        <v>1353</v>
      </c>
    </row>
    <row r="210" spans="1:63" outlineLevel="1" x14ac:dyDescent="0.2">
      <c r="C210" s="113"/>
      <c r="D210" s="110"/>
      <c r="E210" s="110"/>
      <c r="F210" s="110"/>
      <c r="G210" s="110"/>
      <c r="H210" s="110"/>
      <c r="I210" s="110"/>
      <c r="J210" s="110"/>
      <c r="K210" s="110"/>
      <c r="L210" s="110"/>
      <c r="M210" s="121"/>
      <c r="N210" s="121"/>
      <c r="O210" s="121"/>
      <c r="P210" s="121"/>
      <c r="Q210" s="121"/>
      <c r="R210" s="121"/>
      <c r="S210" s="121"/>
      <c r="T210" s="121"/>
      <c r="U210" s="121"/>
      <c r="V210" s="121"/>
      <c r="W210" s="121"/>
      <c r="X210" s="23"/>
      <c r="Y210" s="23"/>
      <c r="Z210" s="23"/>
      <c r="AA210" s="23"/>
      <c r="AB210" s="23"/>
      <c r="AC210" s="23"/>
      <c r="AD210" s="23"/>
      <c r="AE210" s="23"/>
      <c r="AF210" s="23"/>
      <c r="AG210" s="106"/>
      <c r="AJ210" s="211"/>
    </row>
    <row r="211" spans="1:63" outlineLevel="1" x14ac:dyDescent="0.2">
      <c r="A211" t="s">
        <v>1434</v>
      </c>
      <c r="C211" s="382">
        <f>'Overall recycling rates'!C88</f>
        <v>1.0000000000000002</v>
      </c>
      <c r="D211" s="382">
        <f>C211-($C211-$AG211)/($AG1-$C1)</f>
        <v>1.0000000000000002</v>
      </c>
      <c r="E211" s="382">
        <f t="shared" ref="E211:AF211" si="200">D211-($C211-$AG211)/($AG1-$C1)</f>
        <v>1.0000000000000002</v>
      </c>
      <c r="F211" s="382">
        <f t="shared" si="200"/>
        <v>1.0000000000000002</v>
      </c>
      <c r="G211" s="382">
        <f t="shared" si="200"/>
        <v>1.0000000000000002</v>
      </c>
      <c r="H211" s="382">
        <f t="shared" si="200"/>
        <v>1.0000000000000002</v>
      </c>
      <c r="I211" s="382">
        <f t="shared" si="200"/>
        <v>1.0000000000000002</v>
      </c>
      <c r="J211" s="382">
        <f t="shared" si="200"/>
        <v>1.0000000000000002</v>
      </c>
      <c r="K211" s="382">
        <f t="shared" si="200"/>
        <v>1.0000000000000002</v>
      </c>
      <c r="L211" s="382">
        <f t="shared" si="200"/>
        <v>1.0000000000000002</v>
      </c>
      <c r="M211" s="382">
        <f t="shared" si="200"/>
        <v>1.0000000000000002</v>
      </c>
      <c r="N211" s="382">
        <f t="shared" si="200"/>
        <v>1.0000000000000002</v>
      </c>
      <c r="O211" s="382">
        <f t="shared" si="200"/>
        <v>1.0000000000000002</v>
      </c>
      <c r="P211" s="382">
        <f t="shared" si="200"/>
        <v>1.0000000000000002</v>
      </c>
      <c r="Q211" s="382">
        <f t="shared" si="200"/>
        <v>1.0000000000000002</v>
      </c>
      <c r="R211" s="382">
        <f t="shared" si="200"/>
        <v>1.0000000000000002</v>
      </c>
      <c r="S211" s="382">
        <f t="shared" si="200"/>
        <v>1.0000000000000002</v>
      </c>
      <c r="T211" s="382">
        <f t="shared" si="200"/>
        <v>1.0000000000000002</v>
      </c>
      <c r="U211" s="382">
        <f t="shared" si="200"/>
        <v>1.0000000000000002</v>
      </c>
      <c r="V211" s="382">
        <f t="shared" si="200"/>
        <v>1.0000000000000002</v>
      </c>
      <c r="W211" s="382">
        <f t="shared" si="200"/>
        <v>1.0000000000000002</v>
      </c>
      <c r="X211" s="382">
        <f t="shared" si="200"/>
        <v>1.0000000000000002</v>
      </c>
      <c r="Y211" s="382">
        <f t="shared" si="200"/>
        <v>1.0000000000000002</v>
      </c>
      <c r="Z211" s="382">
        <f t="shared" si="200"/>
        <v>1.0000000000000002</v>
      </c>
      <c r="AA211" s="382">
        <f t="shared" si="200"/>
        <v>1.0000000000000002</v>
      </c>
      <c r="AB211" s="382">
        <f t="shared" si="200"/>
        <v>1.0000000000000002</v>
      </c>
      <c r="AC211" s="382">
        <f t="shared" si="200"/>
        <v>1.0000000000000002</v>
      </c>
      <c r="AD211" s="382">
        <f t="shared" si="200"/>
        <v>1.0000000000000002</v>
      </c>
      <c r="AE211" s="382">
        <f t="shared" si="200"/>
        <v>1.0000000000000002</v>
      </c>
      <c r="AF211" s="382">
        <f t="shared" si="200"/>
        <v>1.0000000000000002</v>
      </c>
      <c r="AG211" s="382">
        <f>'Overall recycling rates'!C97</f>
        <v>1</v>
      </c>
      <c r="AI211" s="133"/>
      <c r="AJ211" s="211" t="s">
        <v>1459</v>
      </c>
      <c r="AL211" s="108"/>
      <c r="AM211" s="2"/>
      <c r="AN211" s="2"/>
      <c r="AO211" s="2"/>
      <c r="BC211" s="1"/>
      <c r="BD211" s="2"/>
      <c r="BE211" s="2"/>
      <c r="BF211" s="2"/>
      <c r="BG211" s="2"/>
      <c r="BH211" s="2"/>
      <c r="BI211" s="2"/>
      <c r="BJ211" s="2"/>
      <c r="BK211" s="2"/>
    </row>
    <row r="212" spans="1:63" outlineLevel="1" x14ac:dyDescent="0.2">
      <c r="A212" t="s">
        <v>1350</v>
      </c>
      <c r="B212" s="54" t="s">
        <v>462</v>
      </c>
      <c r="C212" s="110">
        <f>C209*C211</f>
        <v>5.0000000000000017E-2</v>
      </c>
      <c r="D212" s="110">
        <f t="shared" ref="D212:AG212" si="201">D209*D211</f>
        <v>5.2260994000770562E-2</v>
      </c>
      <c r="E212" s="110">
        <f t="shared" si="201"/>
        <v>5.4521988001541108E-2</v>
      </c>
      <c r="F212" s="110">
        <f t="shared" si="201"/>
        <v>5.6782982002311647E-2</v>
      </c>
      <c r="G212" s="110">
        <f t="shared" si="201"/>
        <v>5.9043976003082192E-2</v>
      </c>
      <c r="H212" s="110">
        <f t="shared" si="201"/>
        <v>6.1304970003852738E-2</v>
      </c>
      <c r="I212" s="110">
        <f t="shared" si="201"/>
        <v>6.356596400462329E-2</v>
      </c>
      <c r="J212" s="110">
        <f t="shared" si="201"/>
        <v>6.5826958005393829E-2</v>
      </c>
      <c r="K212" s="110">
        <f t="shared" si="201"/>
        <v>6.8087952006164368E-2</v>
      </c>
      <c r="L212" s="110">
        <f t="shared" si="201"/>
        <v>7.034894600693492E-2</v>
      </c>
      <c r="M212" s="110">
        <f t="shared" si="201"/>
        <v>7.2609940007705459E-2</v>
      </c>
      <c r="N212" s="110">
        <f t="shared" si="201"/>
        <v>7.7375419670867987E-2</v>
      </c>
      <c r="O212" s="110">
        <f t="shared" si="201"/>
        <v>8.2140899334030515E-2</v>
      </c>
      <c r="P212" s="110">
        <f t="shared" si="201"/>
        <v>8.6906378997193043E-2</v>
      </c>
      <c r="Q212" s="110">
        <f t="shared" si="201"/>
        <v>9.1671858660355571E-2</v>
      </c>
      <c r="R212" s="110">
        <f t="shared" si="201"/>
        <v>9.6437338323518113E-2</v>
      </c>
      <c r="S212" s="110">
        <f t="shared" si="201"/>
        <v>0.10120281798668064</v>
      </c>
      <c r="T212" s="110">
        <f t="shared" si="201"/>
        <v>0.10596829764984317</v>
      </c>
      <c r="U212" s="110">
        <f t="shared" si="201"/>
        <v>0.1107337773130057</v>
      </c>
      <c r="V212" s="110">
        <f t="shared" si="201"/>
        <v>0.11549925697616822</v>
      </c>
      <c r="W212" s="110">
        <f t="shared" si="201"/>
        <v>0.12026473663933075</v>
      </c>
      <c r="X212" s="110">
        <f t="shared" si="201"/>
        <v>0.12823826297539767</v>
      </c>
      <c r="Y212" s="110">
        <f t="shared" si="201"/>
        <v>0.1362117893114646</v>
      </c>
      <c r="Z212" s="110">
        <f t="shared" si="201"/>
        <v>0.14418531564753154</v>
      </c>
      <c r="AA212" s="110">
        <f t="shared" si="201"/>
        <v>0.15215884198359847</v>
      </c>
      <c r="AB212" s="110">
        <f t="shared" si="201"/>
        <v>0.1601323683196654</v>
      </c>
      <c r="AC212" s="110">
        <f t="shared" si="201"/>
        <v>0.16810589465573234</v>
      </c>
      <c r="AD212" s="110">
        <f t="shared" si="201"/>
        <v>0.17607942099179927</v>
      </c>
      <c r="AE212" s="110">
        <f t="shared" si="201"/>
        <v>0.18405294732786617</v>
      </c>
      <c r="AF212" s="110">
        <f t="shared" si="201"/>
        <v>0.19202647366393316</v>
      </c>
      <c r="AG212" s="110">
        <f t="shared" si="201"/>
        <v>0.2</v>
      </c>
      <c r="AJ212" s="211" t="s">
        <v>1349</v>
      </c>
    </row>
    <row r="213" spans="1:63" outlineLevel="2" x14ac:dyDescent="0.2">
      <c r="C213" s="113"/>
      <c r="D213" s="110"/>
      <c r="E213" s="110"/>
      <c r="F213" s="110"/>
      <c r="G213" s="110"/>
      <c r="H213" s="110"/>
      <c r="I213" s="110"/>
      <c r="J213" s="110"/>
      <c r="K213" s="110"/>
      <c r="L213" s="110"/>
      <c r="M213" s="121"/>
      <c r="N213" s="121"/>
      <c r="O213" s="121"/>
      <c r="P213" s="121"/>
      <c r="Q213" s="121"/>
      <c r="R213" s="121"/>
      <c r="S213" s="121"/>
      <c r="T213" s="121"/>
      <c r="U213" s="121"/>
      <c r="V213" s="121"/>
      <c r="W213" s="121"/>
      <c r="X213" s="23"/>
      <c r="Y213" s="23"/>
      <c r="Z213" s="23"/>
      <c r="AA213" s="23"/>
      <c r="AB213" s="23"/>
      <c r="AC213" s="23"/>
      <c r="AD213" s="23"/>
      <c r="AE213" s="23"/>
      <c r="AF213" s="23"/>
      <c r="AG213" s="106"/>
      <c r="AJ213" s="211"/>
    </row>
    <row r="214" spans="1:63" s="1" customFormat="1" outlineLevel="1" x14ac:dyDescent="0.2">
      <c r="A214" s="1" t="s">
        <v>228</v>
      </c>
      <c r="B214" s="65"/>
      <c r="C214" s="300">
        <f>C212*C49</f>
        <v>1.4045884056601057</v>
      </c>
      <c r="D214" s="300">
        <f t="shared" ref="D214:AF214" si="202">D212*D49</f>
        <v>1.5173167632919757</v>
      </c>
      <c r="E214" s="300">
        <f t="shared" si="202"/>
        <v>1.6317477628638877</v>
      </c>
      <c r="F214" s="300">
        <f t="shared" si="202"/>
        <v>1.7472147256968018</v>
      </c>
      <c r="G214" s="300">
        <f t="shared" si="202"/>
        <v>1.8630099397039381</v>
      </c>
      <c r="H214" s="300">
        <f t="shared" si="202"/>
        <v>1.9783916546444935</v>
      </c>
      <c r="I214" s="300">
        <f t="shared" si="202"/>
        <v>2.0832656258816478</v>
      </c>
      <c r="J214" s="300">
        <f t="shared" si="202"/>
        <v>2.1898283034735546</v>
      </c>
      <c r="K214" s="300">
        <f t="shared" si="202"/>
        <v>2.2979742850909806</v>
      </c>
      <c r="L214" s="300">
        <f t="shared" si="202"/>
        <v>2.4075922907004608</v>
      </c>
      <c r="M214" s="300">
        <f t="shared" si="202"/>
        <v>2.5185652921536672</v>
      </c>
      <c r="N214" s="300">
        <f t="shared" si="202"/>
        <v>2.7148818082272155</v>
      </c>
      <c r="O214" s="300">
        <f t="shared" si="202"/>
        <v>2.9097465076868367</v>
      </c>
      <c r="P214" s="300">
        <f t="shared" si="202"/>
        <v>3.1020599600775509</v>
      </c>
      <c r="Q214" s="300">
        <f t="shared" si="202"/>
        <v>3.2907163298863211</v>
      </c>
      <c r="R214" s="300">
        <f t="shared" si="202"/>
        <v>3.474613813342827</v>
      </c>
      <c r="S214" s="300">
        <f t="shared" si="202"/>
        <v>3.6592461312596907</v>
      </c>
      <c r="T214" s="300">
        <f t="shared" si="202"/>
        <v>3.8445285833300904</v>
      </c>
      <c r="U214" s="300">
        <f t="shared" si="202"/>
        <v>4.0303749446708101</v>
      </c>
      <c r="V214" s="300">
        <f t="shared" si="202"/>
        <v>4.216697506863893</v>
      </c>
      <c r="W214" s="300">
        <f t="shared" si="202"/>
        <v>4.4034071207659453</v>
      </c>
      <c r="X214" s="300">
        <f t="shared" si="202"/>
        <v>4.7082467070703204</v>
      </c>
      <c r="Y214" s="300">
        <f t="shared" si="202"/>
        <v>5.0139584345586377</v>
      </c>
      <c r="Z214" s="300">
        <f t="shared" si="202"/>
        <v>5.3204029945280631</v>
      </c>
      <c r="AA214" s="300">
        <f t="shared" si="202"/>
        <v>5.6274388886344386</v>
      </c>
      <c r="AB214" s="300">
        <f t="shared" si="202"/>
        <v>5.9349224934597942</v>
      </c>
      <c r="AC214" s="300">
        <f t="shared" si="202"/>
        <v>6.2413177007789358</v>
      </c>
      <c r="AD214" s="300">
        <f t="shared" si="202"/>
        <v>6.5477685635645893</v>
      </c>
      <c r="AE214" s="300">
        <f t="shared" si="202"/>
        <v>6.8541303847655275</v>
      </c>
      <c r="AF214" s="300">
        <f t="shared" si="202"/>
        <v>7.1602566399960175</v>
      </c>
      <c r="AG214" s="300">
        <f>AG212*AG49</f>
        <v>7.465999042230365</v>
      </c>
      <c r="AH214" s="422"/>
      <c r="AI214" s="423"/>
      <c r="AJ214" s="424"/>
      <c r="AL214" s="221"/>
      <c r="AM214" s="124"/>
      <c r="AN214" s="124"/>
      <c r="AO214" s="124"/>
      <c r="BD214" s="124"/>
      <c r="BE214" s="124"/>
      <c r="BF214" s="124"/>
      <c r="BG214" s="124"/>
      <c r="BH214" s="124"/>
      <c r="BI214" s="124"/>
      <c r="BJ214" s="124"/>
      <c r="BK214" s="124"/>
    </row>
    <row r="215" spans="1:63" outlineLevel="1" x14ac:dyDescent="0.2">
      <c r="A215" s="4" t="s">
        <v>258</v>
      </c>
      <c r="C215" s="230">
        <f>C$214*'Ethylene recycling rates'!E108</f>
        <v>1.0081324273678582</v>
      </c>
      <c r="D215" s="230">
        <f>D$214*'Ethylene recycling rates'!F108</f>
        <v>1.0890423311906798</v>
      </c>
      <c r="E215" s="230">
        <f>E$214*'Ethylene recycling rates'!G108</f>
        <v>1.1711742930520239</v>
      </c>
      <c r="F215" s="230">
        <f>F$214*'Ethylene recycling rates'!H108</f>
        <v>1.2540498095040007</v>
      </c>
      <c r="G215" s="230">
        <f>G$214*'Ethylene recycling rates'!I108</f>
        <v>1.3371609256887687</v>
      </c>
      <c r="H215" s="230">
        <f>H$214*'Ethylene recycling rates'!J108</f>
        <v>1.4199752561276007</v>
      </c>
      <c r="I215" s="230">
        <f>I$214*'Ethylene recycling rates'!K108</f>
        <v>1.4952477350723001</v>
      </c>
      <c r="J215" s="230">
        <f>J$214*'Ethylene recycling rates'!L108</f>
        <v>1.5717322698973328</v>
      </c>
      <c r="K215" s="230">
        <f>K$214*'Ethylene recycling rates'!M108</f>
        <v>1.6493532088989029</v>
      </c>
      <c r="L215" s="230">
        <f>L$214*'Ethylene recycling rates'!N108</f>
        <v>1.7280306816966178</v>
      </c>
      <c r="M215" s="230">
        <f>M$214*'Ethylene recycling rates'!O108</f>
        <v>1.8076806922452529</v>
      </c>
      <c r="N215" s="230">
        <f>N$214*'Ethylene recycling rates'!P108</f>
        <v>1.9485853480747415</v>
      </c>
      <c r="O215" s="230">
        <f>O$214*'Ethylene recycling rates'!Q108</f>
        <v>2.0884479737969097</v>
      </c>
      <c r="P215" s="230">
        <f>P$214*'Ethylene recycling rates'!R108</f>
        <v>2.2264794617352059</v>
      </c>
      <c r="Q215" s="230">
        <f>Q$214*'Ethylene recycling rates'!S108</f>
        <v>2.3618861070323676</v>
      </c>
      <c r="R215" s="230">
        <f>R$214*'Ethylene recycling rates'!T108</f>
        <v>2.4938770985831771</v>
      </c>
      <c r="S215" s="230">
        <f>S$214*'Ethylene recycling rates'!U108</f>
        <v>2.6263955118649709</v>
      </c>
      <c r="T215" s="230">
        <f>T$214*'Ethylene recycling rates'!V108</f>
        <v>2.7593805538898741</v>
      </c>
      <c r="U215" s="230">
        <f>U$214*'Ethylene recycling rates'!W108</f>
        <v>2.8927703374171365</v>
      </c>
      <c r="V215" s="230">
        <f>V$214*'Ethylene recycling rates'!X108</f>
        <v>3.0265019104104605</v>
      </c>
      <c r="W215" s="230">
        <f>W$214*'Ethylene recycling rates'!Y108</f>
        <v>3.160511286764049</v>
      </c>
      <c r="X215" s="230">
        <f>X$214*'Ethylene recycling rates'!Z108</f>
        <v>3.3793075340208492</v>
      </c>
      <c r="Y215" s="230">
        <f>Y$214*'Ethylene recycling rates'!AA108</f>
        <v>3.5987297538438705</v>
      </c>
      <c r="Z215" s="230">
        <f>Z$214*'Ethylene recycling rates'!AB108</f>
        <v>3.8186779584928066</v>
      </c>
      <c r="AA215" s="230">
        <f>AA$214*'Ethylene recycling rates'!AC108</f>
        <v>4.0390505886292853</v>
      </c>
      <c r="AB215" s="230">
        <f>AB$214*'Ethylene recycling rates'!AD108</f>
        <v>4.2597445596596986</v>
      </c>
      <c r="AC215" s="230">
        <f>AC$214*'Ethylene recycling rates'!AE108</f>
        <v>4.4796573418269121</v>
      </c>
      <c r="AD215" s="230">
        <f>AD$214*'Ethylene recycling rates'!AF108</f>
        <v>4.6996100702732804</v>
      </c>
      <c r="AE215" s="230">
        <f>AE$214*'Ethylene recycling rates'!AG108</f>
        <v>4.9194988898132577</v>
      </c>
      <c r="AF215" s="230">
        <f>AF$214*'Ethylene recycling rates'!AH108</f>
        <v>5.1392186337061379</v>
      </c>
      <c r="AG215" s="230">
        <f>AG$214*'Ethylene recycling rates'!AI108</f>
        <v>5.3586628700900603</v>
      </c>
      <c r="AH215" s="245"/>
      <c r="AI215" s="133"/>
      <c r="AJ215" s="211"/>
      <c r="AL215" s="108"/>
      <c r="AM215" s="2"/>
      <c r="AN215" s="2"/>
      <c r="AO215" s="2"/>
      <c r="BC215" s="1"/>
      <c r="BD215" s="2"/>
      <c r="BE215" s="2"/>
      <c r="BF215" s="2"/>
      <c r="BG215" s="2"/>
      <c r="BH215" s="2"/>
      <c r="BI215" s="2"/>
      <c r="BJ215" s="2"/>
      <c r="BK215" s="2"/>
    </row>
    <row r="216" spans="1:63" outlineLevel="1" x14ac:dyDescent="0.2">
      <c r="A216" s="4" t="s">
        <v>478</v>
      </c>
      <c r="C216" s="230">
        <f>C$214*'Ethylene recycling rates'!E109</f>
        <v>9.7824750363057281E-2</v>
      </c>
      <c r="D216" s="230">
        <f>D$214*'Ethylene recycling rates'!F109</f>
        <v>0.10567589266192351</v>
      </c>
      <c r="E216" s="230">
        <f>E$214*'Ethylene recycling rates'!G109</f>
        <v>0.11364561811445316</v>
      </c>
      <c r="F216" s="230">
        <f>F$214*'Ethylene recycling rates'!H109</f>
        <v>0.12168749484417153</v>
      </c>
      <c r="G216" s="230">
        <f>G$214*'Ethylene recycling rates'!I109</f>
        <v>0.1297522331389187</v>
      </c>
      <c r="H216" s="230">
        <f>H$214*'Ethylene recycling rates'!J109</f>
        <v>0.13778817264620566</v>
      </c>
      <c r="I216" s="230">
        <f>I$214*'Ethylene recycling rates'!K109</f>
        <v>0.14509228395348617</v>
      </c>
      <c r="J216" s="230">
        <f>J$214*'Ethylene recycling rates'!L109</f>
        <v>0.15251400784885616</v>
      </c>
      <c r="K216" s="230">
        <f>K$214*'Ethylene recycling rates'!M109</f>
        <v>0.16004600342269157</v>
      </c>
      <c r="L216" s="230">
        <f>L$214*'Ethylene recycling rates'!N109</f>
        <v>0.16768052040348927</v>
      </c>
      <c r="M216" s="230">
        <f>M$214*'Ethylene recycling rates'!O109</f>
        <v>0.17540940818332054</v>
      </c>
      <c r="N216" s="230">
        <f>N$214*'Ethylene recycling rates'!P109</f>
        <v>0.18908217815611161</v>
      </c>
      <c r="O216" s="230">
        <f>O$214*'Ethylene recycling rates'!Q109</f>
        <v>0.20265383409630922</v>
      </c>
      <c r="P216" s="230">
        <f>P$214*'Ethylene recycling rates'!R109</f>
        <v>0.21604780445500507</v>
      </c>
      <c r="Q216" s="230">
        <f>Q$214*'Ethylene recycling rates'!S109</f>
        <v>0.22918707159303206</v>
      </c>
      <c r="R216" s="230">
        <f>R$214*'Ethylene recycling rates'!T109</f>
        <v>0.24199489866823323</v>
      </c>
      <c r="S216" s="230">
        <f>S$214*'Ethylene recycling rates'!U109</f>
        <v>0.25485390443560713</v>
      </c>
      <c r="T216" s="230">
        <f>T$214*'Ethylene recycling rates'!V109</f>
        <v>0.26775818981017119</v>
      </c>
      <c r="U216" s="230">
        <f>U$214*'Ethylene recycling rates'!W109</f>
        <v>0.28070174952544191</v>
      </c>
      <c r="V216" s="230">
        <f>V$214*'Ethylene recycling rates'!X109</f>
        <v>0.29367847499184468</v>
      </c>
      <c r="W216" s="230">
        <f>W$214*'Ethylene recycling rates'!Y109</f>
        <v>0.30668215727823467</v>
      </c>
      <c r="X216" s="230">
        <f>X$214*'Ethylene recycling rates'!Z109</f>
        <v>0.32791318574951728</v>
      </c>
      <c r="Y216" s="230">
        <f>Y$214*'Ethylene recycling rates'!AA109</f>
        <v>0.3492049558539051</v>
      </c>
      <c r="Z216" s="230">
        <f>Z$214*'Ethylene recycling rates'!AB109</f>
        <v>0.37054776521949823</v>
      </c>
      <c r="AA216" s="230">
        <f>AA$214*'Ethylene recycling rates'!AC109</f>
        <v>0.3919317589734112</v>
      </c>
      <c r="AB216" s="230">
        <f>AB$214*'Ethylene recycling rates'!AD109</f>
        <v>0.41334693423867835</v>
      </c>
      <c r="AC216" s="230">
        <f>AC$214*'Ethylene recycling rates'!AE109</f>
        <v>0.43468630636196309</v>
      </c>
      <c r="AD216" s="230">
        <f>AD$214*'Ethylene recycling rates'!AF109</f>
        <v>0.45602955469702339</v>
      </c>
      <c r="AE216" s="230">
        <f>AE$214*'Ethylene recycling rates'!AG109</f>
        <v>0.47736660159203081</v>
      </c>
      <c r="AF216" s="230">
        <f>AF$214*'Ethylene recycling rates'!AH109</f>
        <v>0.49868724212759497</v>
      </c>
      <c r="AG216" s="230">
        <f>AG$214*'Ethylene recycling rates'!AI109</f>
        <v>0.51998114862251599</v>
      </c>
      <c r="AH216" s="245"/>
      <c r="AI216" s="133"/>
      <c r="AJ216" s="211"/>
      <c r="AL216" s="108"/>
      <c r="AM216" s="2"/>
      <c r="AN216" s="2"/>
      <c r="AO216" s="2"/>
      <c r="BC216" s="1"/>
      <c r="BD216" s="2"/>
      <c r="BE216" s="2"/>
      <c r="BF216" s="2"/>
      <c r="BG216" s="2"/>
      <c r="BH216" s="2"/>
      <c r="BI216" s="2"/>
      <c r="BJ216" s="2"/>
      <c r="BK216" s="2"/>
    </row>
    <row r="217" spans="1:63" outlineLevel="1" x14ac:dyDescent="0.2">
      <c r="A217" s="4" t="s">
        <v>480</v>
      </c>
      <c r="C217" s="230">
        <f>C$214*'Ethylene recycling rates'!E110</f>
        <v>0.22582166373040025</v>
      </c>
      <c r="D217" s="230">
        <f>D$214*'Ethylene recycling rates'!F110</f>
        <v>0.24394548218671225</v>
      </c>
      <c r="E217" s="230">
        <f>E$214*'Ethylene recycling rates'!G110</f>
        <v>0.2623430416436533</v>
      </c>
      <c r="F217" s="230">
        <f>F$214*'Ethylene recycling rates'!H110</f>
        <v>0.28090715732889615</v>
      </c>
      <c r="G217" s="230">
        <f>G$214*'Ethylene recycling rates'!I110</f>
        <v>0.29952404735428412</v>
      </c>
      <c r="H217" s="230">
        <f>H$214*'Ethylene recycling rates'!J110</f>
        <v>0.31807445737258255</v>
      </c>
      <c r="I217" s="230">
        <f>I$214*'Ethylene recycling rates'!K110</f>
        <v>0.33493549265619521</v>
      </c>
      <c r="J217" s="230">
        <f>J$214*'Ethylene recycling rates'!L110</f>
        <v>0.35206802845700252</v>
      </c>
      <c r="K217" s="230">
        <f>K$214*'Ethylene recycling rates'!M110</f>
        <v>0.36945511879335419</v>
      </c>
      <c r="L217" s="230">
        <f>L$214*'Ethylene recycling rates'!N110</f>
        <v>0.38707887270004238</v>
      </c>
      <c r="M217" s="230">
        <f>M$214*'Ethylene recycling rates'!O110</f>
        <v>0.4049204750629366</v>
      </c>
      <c r="N217" s="230">
        <f>N$214*'Ethylene recycling rates'!P110</f>
        <v>0.43648311796874206</v>
      </c>
      <c r="O217" s="230">
        <f>O$214*'Ethylene recycling rates'!Q110</f>
        <v>0.46781234613050771</v>
      </c>
      <c r="P217" s="230">
        <f>P$214*'Ethylene recycling rates'!R110</f>
        <v>0.49873139942868611</v>
      </c>
      <c r="Q217" s="230">
        <f>Q$214*'Ethylene recycling rates'!S110</f>
        <v>0.52906248797525035</v>
      </c>
      <c r="R217" s="230">
        <f>R$214*'Ethylene recycling rates'!T110</f>
        <v>0.55862847008263161</v>
      </c>
      <c r="S217" s="230">
        <f>S$214*'Ethylene recycling rates'!U110</f>
        <v>0.58831259465775343</v>
      </c>
      <c r="T217" s="230">
        <f>T$214*'Ethylene recycling rates'!V110</f>
        <v>0.61810124407133171</v>
      </c>
      <c r="U217" s="230">
        <f>U$214*'Ethylene recycling rates'!W110</f>
        <v>0.64798055558143852</v>
      </c>
      <c r="V217" s="230">
        <f>V$214*'Ethylene recycling rates'!X110</f>
        <v>0.67793642793194309</v>
      </c>
      <c r="W217" s="230">
        <f>W$214*'Ethylene recycling rates'!Y110</f>
        <v>0.70795452823514693</v>
      </c>
      <c r="X217" s="230">
        <f>X$214*'Ethylene recycling rates'!Z110</f>
        <v>0.75696488762067016</v>
      </c>
      <c r="Y217" s="230">
        <f>Y$214*'Ethylene recycling rates'!AA110</f>
        <v>0.80611546486102692</v>
      </c>
      <c r="Z217" s="230">
        <f>Z$214*'Ethylene recycling rates'!AB110</f>
        <v>0.85538386270238864</v>
      </c>
      <c r="AA217" s="230">
        <f>AA$214*'Ethylene recycling rates'!AC110</f>
        <v>0.90474733185295986</v>
      </c>
      <c r="AB217" s="230">
        <f>AB$214*'Ethylene recycling rates'!AD110</f>
        <v>0.95418278136377233</v>
      </c>
      <c r="AC217" s="230">
        <f>AC$214*'Ethylene recycling rates'!AE110</f>
        <v>1.0034432445692281</v>
      </c>
      <c r="AD217" s="230">
        <f>AD$214*'Ethylene recycling rates'!AF110</f>
        <v>1.0527126557412148</v>
      </c>
      <c r="AE217" s="230">
        <f>AE$214*'Ethylene recycling rates'!AG110</f>
        <v>1.1019677513181698</v>
      </c>
      <c r="AF217" s="230">
        <f>AF$214*'Ethylene recycling rates'!AH110</f>
        <v>1.1511849739501747</v>
      </c>
      <c r="AG217" s="230">
        <f>AG$214*'Ethylene recycling rates'!AI110</f>
        <v>1.2003404829001736</v>
      </c>
      <c r="AH217" s="245"/>
      <c r="AI217" s="133"/>
      <c r="AJ217" s="211"/>
      <c r="AL217" s="108"/>
      <c r="AM217" s="2"/>
      <c r="AN217" s="2"/>
      <c r="AO217" s="2"/>
      <c r="BC217" s="1"/>
      <c r="BD217" s="2"/>
      <c r="BE217" s="2"/>
      <c r="BF217" s="2"/>
      <c r="BG217" s="2"/>
      <c r="BH217" s="2"/>
      <c r="BI217" s="2"/>
      <c r="BJ217" s="2"/>
      <c r="BK217" s="2"/>
    </row>
    <row r="218" spans="1:63" outlineLevel="1" x14ac:dyDescent="0.2">
      <c r="A218" s="4" t="s">
        <v>474</v>
      </c>
      <c r="C218" s="230">
        <f>C$214*'Ethylene recycling rates'!E111</f>
        <v>0</v>
      </c>
      <c r="D218" s="230">
        <f>D$214*'Ethylene recycling rates'!F111</f>
        <v>0</v>
      </c>
      <c r="E218" s="230">
        <f>E$214*'Ethylene recycling rates'!G111</f>
        <v>0</v>
      </c>
      <c r="F218" s="230">
        <f>F$214*'Ethylene recycling rates'!H111</f>
        <v>0</v>
      </c>
      <c r="G218" s="230">
        <f>G$214*'Ethylene recycling rates'!I111</f>
        <v>0</v>
      </c>
      <c r="H218" s="230">
        <f>H$214*'Ethylene recycling rates'!J111</f>
        <v>0</v>
      </c>
      <c r="I218" s="230">
        <f>I$214*'Ethylene recycling rates'!K111</f>
        <v>0</v>
      </c>
      <c r="J218" s="230">
        <f>J$214*'Ethylene recycling rates'!L111</f>
        <v>0</v>
      </c>
      <c r="K218" s="230">
        <f>K$214*'Ethylene recycling rates'!M111</f>
        <v>0</v>
      </c>
      <c r="L218" s="230">
        <f>L$214*'Ethylene recycling rates'!N111</f>
        <v>0</v>
      </c>
      <c r="M218" s="230">
        <f>M$214*'Ethylene recycling rates'!O111</f>
        <v>0</v>
      </c>
      <c r="N218" s="230">
        <f>N$214*'Ethylene recycling rates'!P111</f>
        <v>0</v>
      </c>
      <c r="O218" s="230">
        <f>O$214*'Ethylene recycling rates'!Q111</f>
        <v>0</v>
      </c>
      <c r="P218" s="230">
        <f>P$214*'Ethylene recycling rates'!R111</f>
        <v>0</v>
      </c>
      <c r="Q218" s="230">
        <f>Q$214*'Ethylene recycling rates'!S111</f>
        <v>0</v>
      </c>
      <c r="R218" s="230">
        <f>R$214*'Ethylene recycling rates'!T111</f>
        <v>0</v>
      </c>
      <c r="S218" s="230">
        <f>S$214*'Ethylene recycling rates'!U111</f>
        <v>0</v>
      </c>
      <c r="T218" s="230">
        <f>T$214*'Ethylene recycling rates'!V111</f>
        <v>0</v>
      </c>
      <c r="U218" s="230">
        <f>U$214*'Ethylene recycling rates'!W111</f>
        <v>0</v>
      </c>
      <c r="V218" s="230">
        <f>V$214*'Ethylene recycling rates'!X111</f>
        <v>0</v>
      </c>
      <c r="W218" s="230">
        <f>W$214*'Ethylene recycling rates'!Y111</f>
        <v>0</v>
      </c>
      <c r="X218" s="230">
        <f>X$214*'Ethylene recycling rates'!Z111</f>
        <v>0</v>
      </c>
      <c r="Y218" s="230">
        <f>Y$214*'Ethylene recycling rates'!AA111</f>
        <v>0</v>
      </c>
      <c r="Z218" s="230">
        <f>Z$214*'Ethylene recycling rates'!AB111</f>
        <v>0</v>
      </c>
      <c r="AA218" s="230">
        <f>AA$214*'Ethylene recycling rates'!AC111</f>
        <v>0</v>
      </c>
      <c r="AB218" s="230">
        <f>AB$214*'Ethylene recycling rates'!AD111</f>
        <v>0</v>
      </c>
      <c r="AC218" s="230">
        <f>AC$214*'Ethylene recycling rates'!AE111</f>
        <v>0</v>
      </c>
      <c r="AD218" s="230">
        <f>AD$214*'Ethylene recycling rates'!AF111</f>
        <v>0</v>
      </c>
      <c r="AE218" s="230">
        <f>AE$214*'Ethylene recycling rates'!AG111</f>
        <v>0</v>
      </c>
      <c r="AF218" s="230">
        <f>AF$214*'Ethylene recycling rates'!AH111</f>
        <v>0</v>
      </c>
      <c r="AG218" s="230">
        <f>AG$214*'Ethylene recycling rates'!AI111</f>
        <v>0</v>
      </c>
      <c r="AH218" s="245"/>
      <c r="AI218" s="133"/>
      <c r="AJ218" s="211"/>
      <c r="AL218" s="108"/>
      <c r="AM218" s="2"/>
      <c r="AN218" s="2"/>
      <c r="AO218" s="2"/>
      <c r="BC218" s="1"/>
      <c r="BD218" s="2"/>
      <c r="BE218" s="2"/>
      <c r="BF218" s="2"/>
      <c r="BG218" s="2"/>
      <c r="BH218" s="2"/>
      <c r="BI218" s="2"/>
      <c r="BJ218" s="2"/>
      <c r="BK218" s="2"/>
    </row>
    <row r="219" spans="1:63" outlineLevel="1" x14ac:dyDescent="0.2">
      <c r="A219" s="4" t="s">
        <v>248</v>
      </c>
      <c r="C219" s="230">
        <f>C$214*'Ethylene recycling rates'!E112</f>
        <v>7.2809564198789783E-2</v>
      </c>
      <c r="D219" s="230">
        <f>D$214*'Ethylene recycling rates'!F112</f>
        <v>7.8653057252660211E-2</v>
      </c>
      <c r="E219" s="230">
        <f>E$214*'Ethylene recycling rates'!G112</f>
        <v>8.4584810053757287E-2</v>
      </c>
      <c r="F219" s="230">
        <f>F$214*'Ethylene recycling rates'!H112</f>
        <v>9.0570264019733393E-2</v>
      </c>
      <c r="G219" s="230">
        <f>G$214*'Ethylene recycling rates'!I112</f>
        <v>9.6572733521966631E-2</v>
      </c>
      <c r="H219" s="230">
        <f>H$214*'Ethylene recycling rates'!J112</f>
        <v>0.10255376849810451</v>
      </c>
      <c r="I219" s="230">
        <f>I$214*'Ethylene recycling rates'!K112</f>
        <v>0.10799011419966614</v>
      </c>
      <c r="J219" s="230">
        <f>J$214*'Ethylene recycling rates'!L112</f>
        <v>0.11351399727036295</v>
      </c>
      <c r="K219" s="230">
        <f>K$214*'Ethylene recycling rates'!M112</f>
        <v>0.11911995397603188</v>
      </c>
      <c r="L219" s="230">
        <f>L$214*'Ethylene recycling rates'!N112</f>
        <v>0.12480221590031131</v>
      </c>
      <c r="M219" s="230">
        <f>M$214*'Ethylene recycling rates'!O112</f>
        <v>0.13055471666215718</v>
      </c>
      <c r="N219" s="230">
        <f>N$214*'Ethylene recycling rates'!P112</f>
        <v>0.14073116402762023</v>
      </c>
      <c r="O219" s="230">
        <f>O$214*'Ethylene recycling rates'!Q112</f>
        <v>0.15083235366311015</v>
      </c>
      <c r="P219" s="230">
        <f>P$214*'Ethylene recycling rates'!R112</f>
        <v>0.16080129445865379</v>
      </c>
      <c r="Q219" s="230">
        <f>Q$214*'Ethylene recycling rates'!S112</f>
        <v>0.17058066328567101</v>
      </c>
      <c r="R219" s="230">
        <f>R$214*'Ethylene recycling rates'!T112</f>
        <v>0.18011334600878504</v>
      </c>
      <c r="S219" s="230">
        <f>S$214*'Ethylene recycling rates'!U112</f>
        <v>0.18968412030135903</v>
      </c>
      <c r="T219" s="230">
        <f>T$214*'Ethylene recycling rates'!V112</f>
        <v>0.19928859555871317</v>
      </c>
      <c r="U219" s="230">
        <f>U$214*'Ethylene recycling rates'!W112</f>
        <v>0.20892230214679322</v>
      </c>
      <c r="V219" s="230">
        <f>V$214*'Ethylene recycling rates'!X112</f>
        <v>0.2185806935296444</v>
      </c>
      <c r="W219" s="230">
        <f>W$214*'Ethylene recycling rates'!Y112</f>
        <v>0.22825914848851467</v>
      </c>
      <c r="X219" s="230">
        <f>X$214*'Ethylene recycling rates'!Z112</f>
        <v>0.24406109967928358</v>
      </c>
      <c r="Y219" s="230">
        <f>Y$214*'Ethylene recycling rates'!AA112</f>
        <v>0.25990825999983513</v>
      </c>
      <c r="Z219" s="230">
        <f>Z$214*'Ethylene recycling rates'!AB112</f>
        <v>0.27579340811336939</v>
      </c>
      <c r="AA219" s="230">
        <f>AA$214*'Ethylene recycling rates'!AC112</f>
        <v>0.29170920917878179</v>
      </c>
      <c r="AB219" s="230">
        <f>AB$214*'Ethylene recycling rates'!AD112</f>
        <v>0.30764821819764493</v>
      </c>
      <c r="AC219" s="230">
        <f>AC$214*'Ethylene recycling rates'!AE112</f>
        <v>0.32353080802083256</v>
      </c>
      <c r="AD219" s="230">
        <f>AD$214*'Ethylene recycling rates'!AF112</f>
        <v>0.33941628285307029</v>
      </c>
      <c r="AE219" s="230">
        <f>AE$214*'Ethylene recycling rates'!AG112</f>
        <v>0.35529714204206869</v>
      </c>
      <c r="AF219" s="230">
        <f>AF$214*'Ethylene recycling rates'!AH112</f>
        <v>0.37116579021210999</v>
      </c>
      <c r="AG219" s="230">
        <f>AG$214*'Ethylene recycling rates'!AI112</f>
        <v>0.38701454061761542</v>
      </c>
      <c r="AH219" s="245"/>
      <c r="AI219" s="133"/>
      <c r="AJ219" s="211"/>
      <c r="AL219" s="108"/>
      <c r="AM219" s="2"/>
      <c r="AN219" s="2"/>
      <c r="AO219" s="2"/>
      <c r="BC219" s="1"/>
      <c r="BD219" s="2"/>
      <c r="BE219" s="2"/>
      <c r="BF219" s="2"/>
      <c r="BG219" s="2"/>
      <c r="BH219" s="2"/>
      <c r="BI219" s="2"/>
      <c r="BJ219" s="2"/>
      <c r="BK219" s="2"/>
    </row>
    <row r="220" spans="1:63" outlineLevel="2" x14ac:dyDescent="0.2">
      <c r="C220" s="113"/>
      <c r="D220" s="110"/>
      <c r="E220" s="110"/>
      <c r="F220" s="110"/>
      <c r="G220" s="110"/>
      <c r="H220" s="110"/>
      <c r="I220" s="110"/>
      <c r="J220" s="110"/>
      <c r="K220" s="110"/>
      <c r="L220" s="110"/>
      <c r="M220" s="121"/>
      <c r="N220" s="121"/>
      <c r="O220" s="121"/>
      <c r="P220" s="121"/>
      <c r="Q220" s="121"/>
      <c r="R220" s="121"/>
      <c r="S220" s="121"/>
      <c r="T220" s="121"/>
      <c r="U220" s="121"/>
      <c r="V220" s="121"/>
      <c r="W220" s="121"/>
      <c r="X220" s="23"/>
      <c r="Y220" s="23"/>
      <c r="Z220" s="23"/>
      <c r="AA220" s="23"/>
      <c r="AB220" s="23"/>
      <c r="AC220" s="23"/>
      <c r="AD220" s="23"/>
      <c r="AE220" s="23"/>
      <c r="AF220" s="23"/>
      <c r="AG220" s="106"/>
      <c r="AJ220" s="211"/>
    </row>
    <row r="221" spans="1:63" s="200" customFormat="1" ht="16" thickBot="1" x14ac:dyDescent="0.25">
      <c r="A221" s="227" t="s">
        <v>1354</v>
      </c>
      <c r="B221" s="228"/>
      <c r="C221" s="229">
        <f t="shared" ref="C221:AG221" si="203">(C45*C69+C46*C106+C48*C155+C47*C199+C49*C208)/C50</f>
        <v>0.12432628235285131</v>
      </c>
      <c r="D221" s="229">
        <f t="shared" si="203"/>
        <v>0.12985797930947091</v>
      </c>
      <c r="E221" s="229">
        <f t="shared" si="203"/>
        <v>0.13534392635254783</v>
      </c>
      <c r="F221" s="229">
        <f t="shared" si="203"/>
        <v>0.14078370647912583</v>
      </c>
      <c r="G221" s="229">
        <f t="shared" si="203"/>
        <v>0.14617688616632721</v>
      </c>
      <c r="H221" s="229">
        <f t="shared" si="203"/>
        <v>0.15152301454510606</v>
      </c>
      <c r="I221" s="229">
        <f t="shared" si="203"/>
        <v>0.15694251523057698</v>
      </c>
      <c r="J221" s="229">
        <f t="shared" si="203"/>
        <v>0.16232468947687942</v>
      </c>
      <c r="K221" s="229">
        <f t="shared" si="203"/>
        <v>0.16766907667477771</v>
      </c>
      <c r="L221" s="229">
        <f t="shared" si="203"/>
        <v>0.1729751921315435</v>
      </c>
      <c r="M221" s="229">
        <f t="shared" si="203"/>
        <v>0.17824252547606598</v>
      </c>
      <c r="N221" s="229">
        <f t="shared" si="203"/>
        <v>0.18962151791395557</v>
      </c>
      <c r="O221" s="229">
        <f t="shared" si="203"/>
        <v>0.20099958787752956</v>
      </c>
      <c r="P221" s="229">
        <f t="shared" si="203"/>
        <v>0.21211675095326285</v>
      </c>
      <c r="Q221" s="229">
        <f t="shared" si="203"/>
        <v>0.22309276207607465</v>
      </c>
      <c r="R221" s="229">
        <f t="shared" si="203"/>
        <v>0.23392155390367353</v>
      </c>
      <c r="S221" s="229">
        <f t="shared" si="203"/>
        <v>0.24460092747499132</v>
      </c>
      <c r="T221" s="229">
        <f t="shared" si="203"/>
        <v>0.25512024217802953</v>
      </c>
      <c r="U221" s="229">
        <f t="shared" si="203"/>
        <v>0.26547165424253477</v>
      </c>
      <c r="V221" s="229">
        <f t="shared" si="203"/>
        <v>0.27564648289682669</v>
      </c>
      <c r="W221" s="229">
        <f t="shared" si="203"/>
        <v>0.28563509567146816</v>
      </c>
      <c r="X221" s="229">
        <f t="shared" si="203"/>
        <v>0.30245854052977039</v>
      </c>
      <c r="Y221" s="229">
        <f t="shared" si="203"/>
        <v>0.31972991242668142</v>
      </c>
      <c r="Z221" s="229">
        <f t="shared" si="203"/>
        <v>0.33667381499911231</v>
      </c>
      <c r="AA221" s="229">
        <f t="shared" si="203"/>
        <v>0.35325638321172836</v>
      </c>
      <c r="AB221" s="229">
        <f t="shared" si="203"/>
        <v>0.36945154499582111</v>
      </c>
      <c r="AC221" s="229">
        <f t="shared" si="203"/>
        <v>0.38523516600347435</v>
      </c>
      <c r="AD221" s="229">
        <f t="shared" si="203"/>
        <v>0.40056701287125496</v>
      </c>
      <c r="AE221" s="229">
        <f t="shared" si="203"/>
        <v>0.41540764648172801</v>
      </c>
      <c r="AF221" s="229">
        <f t="shared" si="203"/>
        <v>0.42971153885469693</v>
      </c>
      <c r="AG221" s="229">
        <f t="shared" si="203"/>
        <v>0.44342585099144577</v>
      </c>
      <c r="AJ221" s="231" t="s">
        <v>1355</v>
      </c>
      <c r="AL221" s="217"/>
      <c r="AM221" s="225"/>
      <c r="AN221" s="225"/>
      <c r="AO221" s="225"/>
    </row>
    <row r="222" spans="1:63" s="200" customFormat="1" ht="17" thickTop="1" thickBot="1" x14ac:dyDescent="0.25">
      <c r="A222" s="227" t="s">
        <v>1356</v>
      </c>
      <c r="B222" s="228"/>
      <c r="C222" s="229">
        <f t="shared" ref="C222:AG222" si="204">(C14*C52+C106*C15+C17*C155+C195*C16+C208*C18)/C19</f>
        <v>0.10392620862112158</v>
      </c>
      <c r="D222" s="229">
        <f t="shared" si="204"/>
        <v>0.10914907209487128</v>
      </c>
      <c r="E222" s="229">
        <f t="shared" si="204"/>
        <v>0.11437193556862101</v>
      </c>
      <c r="F222" s="229">
        <f t="shared" si="204"/>
        <v>0.11959479904237068</v>
      </c>
      <c r="G222" s="229">
        <f t="shared" si="204"/>
        <v>0.12481766251612042</v>
      </c>
      <c r="H222" s="229">
        <f t="shared" si="204"/>
        <v>0.13004052598987015</v>
      </c>
      <c r="I222" s="229">
        <f t="shared" si="204"/>
        <v>0.13526338946361988</v>
      </c>
      <c r="J222" s="229">
        <f t="shared" si="204"/>
        <v>0.14048625293736958</v>
      </c>
      <c r="K222" s="229">
        <f t="shared" si="204"/>
        <v>0.1457091164111193</v>
      </c>
      <c r="L222" s="229">
        <f t="shared" si="204"/>
        <v>0.15093197988486898</v>
      </c>
      <c r="M222" s="229">
        <f t="shared" si="204"/>
        <v>0.15615484335861871</v>
      </c>
      <c r="N222" s="229">
        <f t="shared" si="204"/>
        <v>0.16716303252636805</v>
      </c>
      <c r="O222" s="229">
        <f t="shared" si="204"/>
        <v>0.17817122169411745</v>
      </c>
      <c r="P222" s="229">
        <f t="shared" si="204"/>
        <v>0.18917941086186682</v>
      </c>
      <c r="Q222" s="229">
        <f t="shared" si="204"/>
        <v>0.20018760002961619</v>
      </c>
      <c r="R222" s="229">
        <f t="shared" si="204"/>
        <v>0.21119578919736562</v>
      </c>
      <c r="S222" s="229">
        <f t="shared" si="204"/>
        <v>0.22220397836511507</v>
      </c>
      <c r="T222" s="229">
        <f t="shared" si="204"/>
        <v>0.23321216753286442</v>
      </c>
      <c r="U222" s="229">
        <f t="shared" si="204"/>
        <v>0.24422035670061382</v>
      </c>
      <c r="V222" s="229">
        <f t="shared" si="204"/>
        <v>0.25522854586836319</v>
      </c>
      <c r="W222" s="229">
        <f t="shared" si="204"/>
        <v>0.26623673503611256</v>
      </c>
      <c r="X222" s="229">
        <f t="shared" si="204"/>
        <v>0.28465546566672584</v>
      </c>
      <c r="Y222" s="229">
        <f t="shared" si="204"/>
        <v>0.30307419629733917</v>
      </c>
      <c r="Z222" s="229">
        <f t="shared" si="204"/>
        <v>0.32149292692795245</v>
      </c>
      <c r="AA222" s="229">
        <f t="shared" si="204"/>
        <v>0.33991165755856578</v>
      </c>
      <c r="AB222" s="229">
        <f t="shared" si="204"/>
        <v>0.35833038818917906</v>
      </c>
      <c r="AC222" s="229">
        <f t="shared" si="204"/>
        <v>0.37674911881979239</v>
      </c>
      <c r="AD222" s="229">
        <f t="shared" si="204"/>
        <v>0.39516784945040562</v>
      </c>
      <c r="AE222" s="229">
        <f t="shared" si="204"/>
        <v>0.4135865800810189</v>
      </c>
      <c r="AF222" s="229">
        <f t="shared" si="204"/>
        <v>0.43200531071163223</v>
      </c>
      <c r="AG222" s="229">
        <f t="shared" si="204"/>
        <v>0.45042404134224556</v>
      </c>
      <c r="AJ222" s="226" t="s">
        <v>1357</v>
      </c>
      <c r="AL222" s="217"/>
      <c r="AM222" s="225"/>
      <c r="AN222" s="225"/>
      <c r="AO222" s="225"/>
    </row>
    <row r="223" spans="1:63" ht="16" thickTop="1" x14ac:dyDescent="0.2">
      <c r="A223" t="s">
        <v>53</v>
      </c>
      <c r="B223" s="130"/>
      <c r="C223" s="230">
        <f>C214+C201+C188+C182+C176+C148+C142+C136+C130+C99+C93+C87+C81+C75</f>
        <v>17.861834618571326</v>
      </c>
      <c r="D223" s="230">
        <f t="shared" ref="D223:AG223" si="205">D214+D201+D188+D182+D176+D148+D142+D136+D130+D99+D93+D87+D81+D75</f>
        <v>19.10066007535314</v>
      </c>
      <c r="E223" s="230">
        <f t="shared" si="205"/>
        <v>20.326034188179669</v>
      </c>
      <c r="F223" s="230">
        <f t="shared" si="205"/>
        <v>21.52873821376847</v>
      </c>
      <c r="G223" s="230">
        <f t="shared" si="205"/>
        <v>22.699477037904501</v>
      </c>
      <c r="H223" s="230">
        <f t="shared" si="205"/>
        <v>23.828997691393759</v>
      </c>
      <c r="I223" s="230">
        <f t="shared" si="205"/>
        <v>24.920203594353069</v>
      </c>
      <c r="J223" s="230">
        <f t="shared" si="205"/>
        <v>26.008161872602983</v>
      </c>
      <c r="K223" s="230">
        <f t="shared" si="205"/>
        <v>27.090730901312561</v>
      </c>
      <c r="L223" s="230">
        <f t="shared" si="205"/>
        <v>28.165727721645219</v>
      </c>
      <c r="M223" s="230">
        <f t="shared" si="205"/>
        <v>29.230933254463636</v>
      </c>
      <c r="N223" s="230">
        <f t="shared" si="205"/>
        <v>30.994368417798405</v>
      </c>
      <c r="O223" s="230">
        <f t="shared" si="205"/>
        <v>32.763343065805515</v>
      </c>
      <c r="P223" s="230">
        <f t="shared" si="205"/>
        <v>34.285439228140206</v>
      </c>
      <c r="Q223" s="230">
        <f t="shared" si="205"/>
        <v>35.669372491565973</v>
      </c>
      <c r="R223" s="230">
        <f t="shared" si="205"/>
        <v>36.904259676593014</v>
      </c>
      <c r="S223" s="230">
        <f t="shared" si="205"/>
        <v>38.064116044746605</v>
      </c>
      <c r="T223" s="230">
        <f t="shared" si="205"/>
        <v>39.132615658773688</v>
      </c>
      <c r="U223" s="230">
        <f t="shared" si="205"/>
        <v>40.106990200470051</v>
      </c>
      <c r="V223" s="230">
        <f t="shared" si="205"/>
        <v>40.984493572032804</v>
      </c>
      <c r="W223" s="230">
        <f t="shared" si="205"/>
        <v>41.76240438786656</v>
      </c>
      <c r="X223" s="230">
        <f t="shared" si="205"/>
        <v>42.921460653080757</v>
      </c>
      <c r="Y223" s="230">
        <f t="shared" si="205"/>
        <v>44.498990638127026</v>
      </c>
      <c r="Z223" s="230">
        <f t="shared" si="205"/>
        <v>45.899549468763738</v>
      </c>
      <c r="AA223" s="230">
        <f t="shared" si="205"/>
        <v>47.125533221783982</v>
      </c>
      <c r="AB223" s="230">
        <f t="shared" si="205"/>
        <v>48.172480788552022</v>
      </c>
      <c r="AC223" s="230">
        <f t="shared" si="205"/>
        <v>49.021306875883333</v>
      </c>
      <c r="AD223" s="230">
        <f t="shared" si="205"/>
        <v>49.681090085337402</v>
      </c>
      <c r="AE223" s="230">
        <f t="shared" si="205"/>
        <v>50.14749590784735</v>
      </c>
      <c r="AF223" s="230">
        <f t="shared" si="205"/>
        <v>50.416239114269601</v>
      </c>
      <c r="AG223" s="230">
        <f t="shared" si="205"/>
        <v>50.483087207378787</v>
      </c>
    </row>
    <row r="224" spans="1:63" x14ac:dyDescent="0.2">
      <c r="A224" t="s">
        <v>1358</v>
      </c>
      <c r="B224" s="130"/>
      <c r="C224" s="230">
        <f>(C45*C69+C46*C125+C47*C199+C48*C172+C49*C212)</f>
        <v>17.861834618571326</v>
      </c>
      <c r="D224" s="230">
        <f t="shared" ref="D224:AG224" si="206">(D45*D69+D46*D125+D47*D199+D48*D172+D49*D212)</f>
        <v>19.10066007535314</v>
      </c>
      <c r="E224" s="230">
        <f t="shared" si="206"/>
        <v>20.326034188179673</v>
      </c>
      <c r="F224" s="230">
        <f t="shared" si="206"/>
        <v>21.52873821376847</v>
      </c>
      <c r="G224" s="230">
        <f t="shared" si="206"/>
        <v>22.699477037904504</v>
      </c>
      <c r="H224" s="230">
        <f t="shared" si="206"/>
        <v>23.828997691393756</v>
      </c>
      <c r="I224" s="230">
        <f t="shared" si="206"/>
        <v>24.920203594353069</v>
      </c>
      <c r="J224" s="230">
        <f t="shared" si="206"/>
        <v>26.00816187260299</v>
      </c>
      <c r="K224" s="230">
        <f t="shared" si="206"/>
        <v>27.090730901312558</v>
      </c>
      <c r="L224" s="230">
        <f t="shared" si="206"/>
        <v>28.165727721645215</v>
      </c>
      <c r="M224" s="230">
        <f t="shared" si="206"/>
        <v>29.23093325446364</v>
      </c>
      <c r="N224" s="230">
        <f t="shared" si="206"/>
        <v>30.994368417798409</v>
      </c>
      <c r="O224" s="230">
        <f t="shared" si="206"/>
        <v>32.763343065805515</v>
      </c>
      <c r="P224" s="230">
        <f t="shared" si="206"/>
        <v>34.285439228140206</v>
      </c>
      <c r="Q224" s="230">
        <f t="shared" si="206"/>
        <v>35.669372491565973</v>
      </c>
      <c r="R224" s="230">
        <f t="shared" si="206"/>
        <v>36.904259676593028</v>
      </c>
      <c r="S224" s="230">
        <f t="shared" si="206"/>
        <v>38.064116044746605</v>
      </c>
      <c r="T224" s="230">
        <f t="shared" si="206"/>
        <v>39.132615658773695</v>
      </c>
      <c r="U224" s="230">
        <f t="shared" si="206"/>
        <v>40.106990200470058</v>
      </c>
      <c r="V224" s="230">
        <f t="shared" si="206"/>
        <v>40.984493572032811</v>
      </c>
      <c r="W224" s="230">
        <f t="shared" si="206"/>
        <v>41.762404387866567</v>
      </c>
      <c r="X224" s="230">
        <f t="shared" si="206"/>
        <v>42.921460653080757</v>
      </c>
      <c r="Y224" s="230">
        <f t="shared" si="206"/>
        <v>44.498990638127026</v>
      </c>
      <c r="Z224" s="230">
        <f t="shared" si="206"/>
        <v>45.899549468763738</v>
      </c>
      <c r="AA224" s="230">
        <f t="shared" si="206"/>
        <v>47.125533221783982</v>
      </c>
      <c r="AB224" s="230">
        <f t="shared" si="206"/>
        <v>48.172480788552022</v>
      </c>
      <c r="AC224" s="230">
        <f t="shared" si="206"/>
        <v>49.021306875883333</v>
      </c>
      <c r="AD224" s="230">
        <f t="shared" si="206"/>
        <v>49.681090085337409</v>
      </c>
      <c r="AE224" s="230">
        <f t="shared" si="206"/>
        <v>50.14749590784735</v>
      </c>
      <c r="AF224" s="230">
        <f t="shared" si="206"/>
        <v>50.416239114269601</v>
      </c>
      <c r="AG224" s="230">
        <f t="shared" si="206"/>
        <v>50.48308720737878</v>
      </c>
      <c r="AI224" s="23">
        <f>(AG224/C224)^(1/30)-1</f>
        <v>3.5239087753649256E-2</v>
      </c>
    </row>
    <row r="225" spans="1:36" x14ac:dyDescent="0.2">
      <c r="A225" t="s">
        <v>1359</v>
      </c>
      <c r="B225" s="130"/>
      <c r="C225" s="230">
        <f>C224</f>
        <v>17.861834618571326</v>
      </c>
      <c r="D225" s="230">
        <f>C225*(1+$AI$225)</f>
        <v>18.160127256701465</v>
      </c>
      <c r="E225" s="230">
        <f t="shared" ref="E225:AG225" si="207">D225*(1+$AI$225)</f>
        <v>18.463401381888378</v>
      </c>
      <c r="F225" s="230">
        <f t="shared" si="207"/>
        <v>18.771740184965914</v>
      </c>
      <c r="G225" s="230">
        <f t="shared" si="207"/>
        <v>19.085228246054843</v>
      </c>
      <c r="H225" s="230">
        <f t="shared" si="207"/>
        <v>19.403951557763957</v>
      </c>
      <c r="I225" s="230">
        <f t="shared" si="207"/>
        <v>19.727997548778614</v>
      </c>
      <c r="J225" s="230">
        <f t="shared" si="207"/>
        <v>20.057455107843214</v>
      </c>
      <c r="K225" s="230">
        <f t="shared" si="207"/>
        <v>20.392414608144193</v>
      </c>
      <c r="L225" s="230">
        <f t="shared" si="207"/>
        <v>20.732967932100198</v>
      </c>
      <c r="M225" s="230">
        <f>L225*(1+$AI$225)</f>
        <v>21.07920849656627</v>
      </c>
      <c r="N225" s="230">
        <f t="shared" si="207"/>
        <v>21.431231278458927</v>
      </c>
      <c r="O225" s="230">
        <f t="shared" si="207"/>
        <v>21.789132840809192</v>
      </c>
      <c r="P225" s="230">
        <f t="shared" si="207"/>
        <v>22.153011359250705</v>
      </c>
      <c r="Q225" s="230">
        <f t="shared" si="207"/>
        <v>22.522966648950192</v>
      </c>
      <c r="R225" s="230">
        <f t="shared" si="207"/>
        <v>22.899100191987657</v>
      </c>
      <c r="S225" s="230">
        <f t="shared" si="207"/>
        <v>23.281515165193849</v>
      </c>
      <c r="T225" s="230">
        <f t="shared" si="207"/>
        <v>23.670316468452583</v>
      </c>
      <c r="U225" s="230">
        <f t="shared" si="207"/>
        <v>24.065610753475738</v>
      </c>
      <c r="V225" s="230">
        <f t="shared" si="207"/>
        <v>24.467506453058782</v>
      </c>
      <c r="W225" s="230">
        <f t="shared" si="207"/>
        <v>24.876113810824862</v>
      </c>
      <c r="X225" s="230">
        <f t="shared" si="207"/>
        <v>25.291544911465635</v>
      </c>
      <c r="Y225" s="230">
        <f t="shared" si="207"/>
        <v>25.713913711487109</v>
      </c>
      <c r="Z225" s="230">
        <f t="shared" si="207"/>
        <v>26.143336070468941</v>
      </c>
      <c r="AA225" s="230">
        <f t="shared" si="207"/>
        <v>26.57992978284577</v>
      </c>
      <c r="AB225" s="230">
        <f t="shared" si="207"/>
        <v>27.023814610219294</v>
      </c>
      <c r="AC225" s="230">
        <f t="shared" si="207"/>
        <v>27.475112314209955</v>
      </c>
      <c r="AD225" s="230">
        <f t="shared" si="207"/>
        <v>27.933946689857258</v>
      </c>
      <c r="AE225" s="230">
        <f t="shared" si="207"/>
        <v>28.400443599577873</v>
      </c>
      <c r="AF225" s="230">
        <f t="shared" si="207"/>
        <v>28.874731007690823</v>
      </c>
      <c r="AG225" s="230">
        <f t="shared" si="207"/>
        <v>29.356939015519259</v>
      </c>
      <c r="AI225" s="214">
        <v>1.67E-2</v>
      </c>
      <c r="AJ225" s="3" t="s">
        <v>1360</v>
      </c>
    </row>
    <row r="226" spans="1:36" x14ac:dyDescent="0.2">
      <c r="B226" s="130"/>
      <c r="C226" s="230"/>
      <c r="D226" s="230"/>
      <c r="E226" s="230"/>
      <c r="F226" s="230"/>
      <c r="G226" s="230"/>
      <c r="H226" s="230"/>
      <c r="I226" s="230"/>
      <c r="J226" s="230"/>
      <c r="K226" s="230"/>
      <c r="L226" s="230"/>
      <c r="M226" s="230"/>
      <c r="N226" s="230"/>
      <c r="O226" s="230"/>
      <c r="P226" s="230"/>
      <c r="Q226" s="230"/>
      <c r="R226" s="230"/>
      <c r="S226" s="230"/>
      <c r="T226" s="230"/>
      <c r="U226" s="230"/>
      <c r="V226" s="230"/>
      <c r="W226" s="230"/>
      <c r="X226" s="230"/>
      <c r="Y226" s="230"/>
      <c r="Z226" s="230"/>
      <c r="AA226" s="230"/>
      <c r="AB226" s="230"/>
      <c r="AC226" s="230"/>
      <c r="AD226" s="230"/>
      <c r="AE226" s="230"/>
      <c r="AF226" s="230"/>
      <c r="AG226" s="230"/>
      <c r="AI226" s="214"/>
    </row>
    <row r="227" spans="1:36" s="58" customFormat="1" x14ac:dyDescent="0.2">
      <c r="A227" s="58" t="s">
        <v>1361</v>
      </c>
      <c r="B227" s="303"/>
      <c r="C227" s="304"/>
      <c r="D227" s="304"/>
      <c r="E227" s="304"/>
      <c r="F227" s="304"/>
      <c r="G227" s="304"/>
      <c r="H227" s="304"/>
      <c r="I227" s="304"/>
      <c r="J227" s="304"/>
      <c r="K227" s="304"/>
      <c r="L227" s="304"/>
      <c r="M227" s="304"/>
      <c r="N227" s="304"/>
      <c r="O227" s="304"/>
      <c r="P227" s="304"/>
      <c r="Q227" s="304"/>
      <c r="R227" s="304"/>
      <c r="S227" s="304"/>
      <c r="T227" s="304"/>
      <c r="U227" s="304"/>
      <c r="V227" s="304"/>
      <c r="W227" s="304"/>
      <c r="X227" s="304"/>
      <c r="Y227" s="304"/>
      <c r="Z227" s="304"/>
      <c r="AA227" s="304"/>
      <c r="AB227" s="304"/>
      <c r="AC227" s="304"/>
      <c r="AD227" s="304"/>
      <c r="AE227" s="304"/>
      <c r="AF227" s="304"/>
      <c r="AG227" s="304"/>
      <c r="AI227" s="305"/>
      <c r="AJ227" s="306"/>
    </row>
    <row r="228" spans="1:36" s="190" customFormat="1" outlineLevel="1" x14ac:dyDescent="0.2">
      <c r="A228" s="344" t="s">
        <v>1362</v>
      </c>
      <c r="B228" s="318" t="s">
        <v>462</v>
      </c>
      <c r="C228" s="319">
        <v>0.84</v>
      </c>
      <c r="D228" s="320">
        <f>-($C228-$AG228)/30+C228</f>
        <v>0.83566666666666667</v>
      </c>
      <c r="E228" s="320">
        <f t="shared" ref="E228:AF228" si="208">-($C228-$AG228)/30+D228</f>
        <v>0.83133333333333337</v>
      </c>
      <c r="F228" s="320">
        <f t="shared" si="208"/>
        <v>0.82700000000000007</v>
      </c>
      <c r="G228" s="320">
        <f t="shared" si="208"/>
        <v>0.82266666666666677</v>
      </c>
      <c r="H228" s="320">
        <f t="shared" si="208"/>
        <v>0.81833333333333347</v>
      </c>
      <c r="I228" s="320">
        <f t="shared" si="208"/>
        <v>0.81400000000000017</v>
      </c>
      <c r="J228" s="320">
        <f t="shared" si="208"/>
        <v>0.80966666666666687</v>
      </c>
      <c r="K228" s="320">
        <f t="shared" si="208"/>
        <v>0.80533333333333357</v>
      </c>
      <c r="L228" s="320">
        <f t="shared" si="208"/>
        <v>0.80100000000000027</v>
      </c>
      <c r="M228" s="320">
        <f t="shared" si="208"/>
        <v>0.79666666666666697</v>
      </c>
      <c r="N228" s="320">
        <f t="shared" si="208"/>
        <v>0.79233333333333367</v>
      </c>
      <c r="O228" s="320">
        <f t="shared" si="208"/>
        <v>0.78800000000000037</v>
      </c>
      <c r="P228" s="320">
        <f t="shared" si="208"/>
        <v>0.78366666666666707</v>
      </c>
      <c r="Q228" s="320">
        <f t="shared" si="208"/>
        <v>0.77933333333333377</v>
      </c>
      <c r="R228" s="320">
        <f t="shared" si="208"/>
        <v>0.77500000000000047</v>
      </c>
      <c r="S228" s="320">
        <f t="shared" si="208"/>
        <v>0.77066666666666717</v>
      </c>
      <c r="T228" s="320">
        <f t="shared" si="208"/>
        <v>0.76633333333333387</v>
      </c>
      <c r="U228" s="320">
        <f t="shared" si="208"/>
        <v>0.76200000000000057</v>
      </c>
      <c r="V228" s="320">
        <f t="shared" si="208"/>
        <v>0.75766666666666727</v>
      </c>
      <c r="W228" s="320">
        <f t="shared" si="208"/>
        <v>0.75333333333333397</v>
      </c>
      <c r="X228" s="320">
        <f t="shared" si="208"/>
        <v>0.74900000000000067</v>
      </c>
      <c r="Y228" s="320">
        <f t="shared" si="208"/>
        <v>0.74466666666666737</v>
      </c>
      <c r="Z228" s="320">
        <f t="shared" si="208"/>
        <v>0.74033333333333406</v>
      </c>
      <c r="AA228" s="320">
        <f t="shared" si="208"/>
        <v>0.73600000000000076</v>
      </c>
      <c r="AB228" s="320">
        <f t="shared" si="208"/>
        <v>0.73166666666666746</v>
      </c>
      <c r="AC228" s="320">
        <f t="shared" si="208"/>
        <v>0.72733333333333416</v>
      </c>
      <c r="AD228" s="320">
        <f t="shared" si="208"/>
        <v>0.72300000000000086</v>
      </c>
      <c r="AE228" s="320">
        <f t="shared" si="208"/>
        <v>0.71866666666666756</v>
      </c>
      <c r="AF228" s="320">
        <f t="shared" si="208"/>
        <v>0.71433333333333426</v>
      </c>
      <c r="AG228" s="319">
        <v>0.71</v>
      </c>
      <c r="AI228" s="321"/>
      <c r="AJ228" s="322" t="s">
        <v>1363</v>
      </c>
    </row>
    <row r="229" spans="1:36" outlineLevel="1" x14ac:dyDescent="0.2">
      <c r="A229" s="3" t="s">
        <v>90</v>
      </c>
      <c r="B229" s="302" t="s">
        <v>462</v>
      </c>
      <c r="C229" s="296">
        <v>0.16</v>
      </c>
      <c r="D229" s="317">
        <f t="shared" ref="D229:AF229" si="209">-($C229-$AG229)/30+C229</f>
        <v>0.16206666666666666</v>
      </c>
      <c r="E229" s="317">
        <f t="shared" si="209"/>
        <v>0.16413333333333333</v>
      </c>
      <c r="F229" s="317">
        <f t="shared" si="209"/>
        <v>0.16619999999999999</v>
      </c>
      <c r="G229" s="317">
        <f t="shared" si="209"/>
        <v>0.16826666666666665</v>
      </c>
      <c r="H229" s="317">
        <f t="shared" si="209"/>
        <v>0.17033333333333331</v>
      </c>
      <c r="I229" s="317">
        <f t="shared" si="209"/>
        <v>0.17239999999999997</v>
      </c>
      <c r="J229" s="317">
        <f t="shared" si="209"/>
        <v>0.17446666666666663</v>
      </c>
      <c r="K229" s="317">
        <f t="shared" si="209"/>
        <v>0.17653333333333329</v>
      </c>
      <c r="L229" s="317">
        <f t="shared" si="209"/>
        <v>0.17859999999999995</v>
      </c>
      <c r="M229" s="317">
        <f t="shared" si="209"/>
        <v>0.18066666666666661</v>
      </c>
      <c r="N229" s="317">
        <f t="shared" si="209"/>
        <v>0.18273333333333328</v>
      </c>
      <c r="O229" s="317">
        <f t="shared" si="209"/>
        <v>0.18479999999999994</v>
      </c>
      <c r="P229" s="317">
        <f t="shared" si="209"/>
        <v>0.1868666666666666</v>
      </c>
      <c r="Q229" s="317">
        <f t="shared" si="209"/>
        <v>0.18893333333333326</v>
      </c>
      <c r="R229" s="317">
        <f t="shared" si="209"/>
        <v>0.19099999999999992</v>
      </c>
      <c r="S229" s="317">
        <f t="shared" si="209"/>
        <v>0.19306666666666658</v>
      </c>
      <c r="T229" s="317">
        <f t="shared" si="209"/>
        <v>0.19513333333333324</v>
      </c>
      <c r="U229" s="317">
        <f t="shared" si="209"/>
        <v>0.1971999999999999</v>
      </c>
      <c r="V229" s="317">
        <f t="shared" si="209"/>
        <v>0.19926666666666656</v>
      </c>
      <c r="W229" s="317">
        <f t="shared" si="209"/>
        <v>0.20133333333333323</v>
      </c>
      <c r="X229" s="317">
        <f t="shared" si="209"/>
        <v>0.20339999999999989</v>
      </c>
      <c r="Y229" s="317">
        <f t="shared" si="209"/>
        <v>0.20546666666666655</v>
      </c>
      <c r="Z229" s="317">
        <f t="shared" si="209"/>
        <v>0.20753333333333321</v>
      </c>
      <c r="AA229" s="317">
        <f t="shared" si="209"/>
        <v>0.20959999999999987</v>
      </c>
      <c r="AB229" s="317">
        <f t="shared" si="209"/>
        <v>0.21166666666666653</v>
      </c>
      <c r="AC229" s="317">
        <f t="shared" si="209"/>
        <v>0.21373333333333319</v>
      </c>
      <c r="AD229" s="317">
        <f t="shared" si="209"/>
        <v>0.21579999999999985</v>
      </c>
      <c r="AE229" s="317">
        <f t="shared" si="209"/>
        <v>0.21786666666666651</v>
      </c>
      <c r="AF229" s="317">
        <f t="shared" si="209"/>
        <v>0.21993333333333318</v>
      </c>
      <c r="AG229" s="296">
        <v>0.222</v>
      </c>
      <c r="AI229" s="214"/>
      <c r="AJ229" s="211" t="s">
        <v>1363</v>
      </c>
    </row>
    <row r="230" spans="1:36" outlineLevel="1" x14ac:dyDescent="0.2">
      <c r="A230" s="3" t="s">
        <v>33</v>
      </c>
      <c r="B230" s="302" t="s">
        <v>462</v>
      </c>
      <c r="C230" s="296">
        <v>0.37</v>
      </c>
      <c r="D230" s="317">
        <f t="shared" ref="D230:AF230" si="210">-($C230-$AG230)/30+C230</f>
        <v>0.36270000000000002</v>
      </c>
      <c r="E230" s="317">
        <f t="shared" si="210"/>
        <v>0.35540000000000005</v>
      </c>
      <c r="F230" s="317">
        <f t="shared" si="210"/>
        <v>0.34810000000000008</v>
      </c>
      <c r="G230" s="317">
        <f t="shared" si="210"/>
        <v>0.3408000000000001</v>
      </c>
      <c r="H230" s="317">
        <f t="shared" si="210"/>
        <v>0.33350000000000013</v>
      </c>
      <c r="I230" s="317">
        <f t="shared" si="210"/>
        <v>0.32620000000000016</v>
      </c>
      <c r="J230" s="317">
        <f t="shared" si="210"/>
        <v>0.31890000000000018</v>
      </c>
      <c r="K230" s="317">
        <f t="shared" si="210"/>
        <v>0.31160000000000021</v>
      </c>
      <c r="L230" s="317">
        <f t="shared" si="210"/>
        <v>0.30430000000000024</v>
      </c>
      <c r="M230" s="317">
        <f t="shared" si="210"/>
        <v>0.29700000000000026</v>
      </c>
      <c r="N230" s="317">
        <f t="shared" si="210"/>
        <v>0.28970000000000029</v>
      </c>
      <c r="O230" s="317">
        <f t="shared" si="210"/>
        <v>0.28240000000000032</v>
      </c>
      <c r="P230" s="317">
        <f t="shared" si="210"/>
        <v>0.27510000000000034</v>
      </c>
      <c r="Q230" s="317">
        <f t="shared" si="210"/>
        <v>0.26780000000000037</v>
      </c>
      <c r="R230" s="317">
        <f t="shared" si="210"/>
        <v>0.2605000000000004</v>
      </c>
      <c r="S230" s="317">
        <f t="shared" si="210"/>
        <v>0.25320000000000042</v>
      </c>
      <c r="T230" s="317">
        <f t="shared" si="210"/>
        <v>0.24590000000000042</v>
      </c>
      <c r="U230" s="317">
        <f t="shared" si="210"/>
        <v>0.23860000000000042</v>
      </c>
      <c r="V230" s="317">
        <f t="shared" si="210"/>
        <v>0.23130000000000042</v>
      </c>
      <c r="W230" s="317">
        <f t="shared" si="210"/>
        <v>0.22400000000000042</v>
      </c>
      <c r="X230" s="317">
        <f t="shared" si="210"/>
        <v>0.21670000000000042</v>
      </c>
      <c r="Y230" s="317">
        <f t="shared" si="210"/>
        <v>0.20940000000000042</v>
      </c>
      <c r="Z230" s="317">
        <f t="shared" si="210"/>
        <v>0.20210000000000042</v>
      </c>
      <c r="AA230" s="317">
        <f t="shared" si="210"/>
        <v>0.19480000000000042</v>
      </c>
      <c r="AB230" s="317">
        <f t="shared" si="210"/>
        <v>0.18750000000000042</v>
      </c>
      <c r="AC230" s="317">
        <f t="shared" si="210"/>
        <v>0.18020000000000042</v>
      </c>
      <c r="AD230" s="317">
        <f t="shared" si="210"/>
        <v>0.17290000000000041</v>
      </c>
      <c r="AE230" s="317">
        <f t="shared" si="210"/>
        <v>0.16560000000000041</v>
      </c>
      <c r="AF230" s="317">
        <f t="shared" si="210"/>
        <v>0.15830000000000041</v>
      </c>
      <c r="AG230" s="296">
        <v>0.151</v>
      </c>
      <c r="AI230" s="214"/>
      <c r="AJ230" s="211" t="s">
        <v>1363</v>
      </c>
    </row>
    <row r="231" spans="1:36" outlineLevel="1" x14ac:dyDescent="0.2">
      <c r="A231" s="3" t="s">
        <v>451</v>
      </c>
      <c r="B231" s="302" t="s">
        <v>462</v>
      </c>
      <c r="C231" s="296">
        <v>0.08</v>
      </c>
      <c r="D231" s="317">
        <f t="shared" ref="D231:AF231" si="211">-($C231-$AG231)/30+C231</f>
        <v>8.0100000000000005E-2</v>
      </c>
      <c r="E231" s="317">
        <f t="shared" si="211"/>
        <v>8.0200000000000007E-2</v>
      </c>
      <c r="F231" s="317">
        <f t="shared" si="211"/>
        <v>8.030000000000001E-2</v>
      </c>
      <c r="G231" s="317">
        <f t="shared" si="211"/>
        <v>8.0400000000000013E-2</v>
      </c>
      <c r="H231" s="317">
        <f t="shared" si="211"/>
        <v>8.0500000000000016E-2</v>
      </c>
      <c r="I231" s="317">
        <f t="shared" si="211"/>
        <v>8.0600000000000019E-2</v>
      </c>
      <c r="J231" s="317">
        <f t="shared" si="211"/>
        <v>8.0700000000000022E-2</v>
      </c>
      <c r="K231" s="317">
        <f t="shared" si="211"/>
        <v>8.0800000000000025E-2</v>
      </c>
      <c r="L231" s="317">
        <f t="shared" si="211"/>
        <v>8.0900000000000027E-2</v>
      </c>
      <c r="M231" s="317">
        <f t="shared" si="211"/>
        <v>8.100000000000003E-2</v>
      </c>
      <c r="N231" s="317">
        <f t="shared" si="211"/>
        <v>8.1100000000000033E-2</v>
      </c>
      <c r="O231" s="317">
        <f t="shared" si="211"/>
        <v>8.1200000000000036E-2</v>
      </c>
      <c r="P231" s="317">
        <f t="shared" si="211"/>
        <v>8.1300000000000039E-2</v>
      </c>
      <c r="Q231" s="317">
        <f t="shared" si="211"/>
        <v>8.1400000000000042E-2</v>
      </c>
      <c r="R231" s="317">
        <f t="shared" si="211"/>
        <v>8.1500000000000045E-2</v>
      </c>
      <c r="S231" s="317">
        <f t="shared" si="211"/>
        <v>8.1600000000000047E-2</v>
      </c>
      <c r="T231" s="317">
        <f t="shared" si="211"/>
        <v>8.170000000000005E-2</v>
      </c>
      <c r="U231" s="317">
        <f t="shared" si="211"/>
        <v>8.1800000000000053E-2</v>
      </c>
      <c r="V231" s="317">
        <f t="shared" si="211"/>
        <v>8.1900000000000056E-2</v>
      </c>
      <c r="W231" s="317">
        <f t="shared" si="211"/>
        <v>8.2000000000000059E-2</v>
      </c>
      <c r="X231" s="317">
        <f t="shared" si="211"/>
        <v>8.2100000000000062E-2</v>
      </c>
      <c r="Y231" s="317">
        <f t="shared" si="211"/>
        <v>8.2200000000000065E-2</v>
      </c>
      <c r="Z231" s="317">
        <f t="shared" si="211"/>
        <v>8.2300000000000068E-2</v>
      </c>
      <c r="AA231" s="317">
        <f t="shared" si="211"/>
        <v>8.240000000000007E-2</v>
      </c>
      <c r="AB231" s="317">
        <f t="shared" si="211"/>
        <v>8.2500000000000073E-2</v>
      </c>
      <c r="AC231" s="317">
        <f t="shared" si="211"/>
        <v>8.2600000000000076E-2</v>
      </c>
      <c r="AD231" s="317">
        <f t="shared" si="211"/>
        <v>8.2700000000000079E-2</v>
      </c>
      <c r="AE231" s="317">
        <f t="shared" si="211"/>
        <v>8.2800000000000082E-2</v>
      </c>
      <c r="AF231" s="317">
        <f t="shared" si="211"/>
        <v>8.2900000000000085E-2</v>
      </c>
      <c r="AG231" s="296">
        <v>8.3000000000000004E-2</v>
      </c>
      <c r="AI231" s="214"/>
      <c r="AJ231" s="211" t="s">
        <v>1363</v>
      </c>
    </row>
    <row r="232" spans="1:36" outlineLevel="1" x14ac:dyDescent="0.2">
      <c r="A232" s="3" t="s">
        <v>452</v>
      </c>
      <c r="B232" s="302" t="s">
        <v>462</v>
      </c>
      <c r="C232" s="296">
        <v>0.27</v>
      </c>
      <c r="D232" s="317">
        <f t="shared" ref="D232:AF232" si="212">-($C232-$AG232)/30+C232</f>
        <v>0.27313333333333334</v>
      </c>
      <c r="E232" s="317">
        <f t="shared" si="212"/>
        <v>0.27626666666666666</v>
      </c>
      <c r="F232" s="317">
        <f t="shared" si="212"/>
        <v>0.27939999999999998</v>
      </c>
      <c r="G232" s="317">
        <f t="shared" si="212"/>
        <v>0.2825333333333333</v>
      </c>
      <c r="H232" s="317">
        <f t="shared" si="212"/>
        <v>0.28566666666666662</v>
      </c>
      <c r="I232" s="317">
        <f t="shared" si="212"/>
        <v>0.28879999999999995</v>
      </c>
      <c r="J232" s="317">
        <f t="shared" si="212"/>
        <v>0.29193333333333327</v>
      </c>
      <c r="K232" s="317">
        <f t="shared" si="212"/>
        <v>0.29506666666666659</v>
      </c>
      <c r="L232" s="317">
        <f t="shared" si="212"/>
        <v>0.29819999999999991</v>
      </c>
      <c r="M232" s="317">
        <f t="shared" si="212"/>
        <v>0.30133333333333323</v>
      </c>
      <c r="N232" s="317">
        <f t="shared" si="212"/>
        <v>0.30446666666666655</v>
      </c>
      <c r="O232" s="317">
        <f t="shared" si="212"/>
        <v>0.30759999999999987</v>
      </c>
      <c r="P232" s="317">
        <f t="shared" si="212"/>
        <v>0.31073333333333319</v>
      </c>
      <c r="Q232" s="317">
        <f t="shared" si="212"/>
        <v>0.31386666666666652</v>
      </c>
      <c r="R232" s="317">
        <f t="shared" si="212"/>
        <v>0.31699999999999984</v>
      </c>
      <c r="S232" s="317">
        <f t="shared" si="212"/>
        <v>0.32013333333333316</v>
      </c>
      <c r="T232" s="317">
        <f t="shared" si="212"/>
        <v>0.32326666666666648</v>
      </c>
      <c r="U232" s="317">
        <f t="shared" si="212"/>
        <v>0.3263999999999998</v>
      </c>
      <c r="V232" s="317">
        <f t="shared" si="212"/>
        <v>0.32953333333333312</v>
      </c>
      <c r="W232" s="317">
        <f t="shared" si="212"/>
        <v>0.33266666666666644</v>
      </c>
      <c r="X232" s="317">
        <f t="shared" si="212"/>
        <v>0.33579999999999977</v>
      </c>
      <c r="Y232" s="317">
        <f t="shared" si="212"/>
        <v>0.33893333333333309</v>
      </c>
      <c r="Z232" s="317">
        <f t="shared" si="212"/>
        <v>0.34206666666666641</v>
      </c>
      <c r="AA232" s="317">
        <f t="shared" si="212"/>
        <v>0.34519999999999973</v>
      </c>
      <c r="AB232" s="317">
        <f t="shared" si="212"/>
        <v>0.34833333333333305</v>
      </c>
      <c r="AC232" s="317">
        <f t="shared" si="212"/>
        <v>0.35146666666666637</v>
      </c>
      <c r="AD232" s="317">
        <f t="shared" si="212"/>
        <v>0.35459999999999969</v>
      </c>
      <c r="AE232" s="317">
        <f t="shared" si="212"/>
        <v>0.35773333333333301</v>
      </c>
      <c r="AF232" s="317">
        <f t="shared" si="212"/>
        <v>0.36086666666666634</v>
      </c>
      <c r="AG232" s="296">
        <v>0.36399999999999999</v>
      </c>
      <c r="AI232" s="214"/>
      <c r="AJ232" s="211" t="s">
        <v>1363</v>
      </c>
    </row>
    <row r="233" spans="1:36" outlineLevel="1" x14ac:dyDescent="0.2">
      <c r="A233" s="3" t="s">
        <v>1364</v>
      </c>
      <c r="B233" s="302" t="s">
        <v>462</v>
      </c>
      <c r="C233" s="296">
        <v>7.0000000000000007E-2</v>
      </c>
      <c r="D233" s="317">
        <f t="shared" ref="D233:AF233" si="213">-($C233-$AG233)/30+C233</f>
        <v>7.1266666666666673E-2</v>
      </c>
      <c r="E233" s="317">
        <f t="shared" si="213"/>
        <v>7.2533333333333339E-2</v>
      </c>
      <c r="F233" s="317">
        <f t="shared" si="213"/>
        <v>7.3800000000000004E-2</v>
      </c>
      <c r="G233" s="317">
        <f t="shared" si="213"/>
        <v>7.506666666666667E-2</v>
      </c>
      <c r="H233" s="317">
        <f t="shared" si="213"/>
        <v>7.6333333333333336E-2</v>
      </c>
      <c r="I233" s="317">
        <f t="shared" si="213"/>
        <v>7.7600000000000002E-2</v>
      </c>
      <c r="J233" s="317">
        <f t="shared" si="213"/>
        <v>7.8866666666666668E-2</v>
      </c>
      <c r="K233" s="317">
        <f t="shared" si="213"/>
        <v>8.0133333333333334E-2</v>
      </c>
      <c r="L233" s="317">
        <f t="shared" si="213"/>
        <v>8.14E-2</v>
      </c>
      <c r="M233" s="317">
        <f t="shared" si="213"/>
        <v>8.2666666666666666E-2</v>
      </c>
      <c r="N233" s="317">
        <f t="shared" si="213"/>
        <v>8.3933333333333332E-2</v>
      </c>
      <c r="O233" s="317">
        <f t="shared" si="213"/>
        <v>8.5199999999999998E-2</v>
      </c>
      <c r="P233" s="317">
        <f t="shared" si="213"/>
        <v>8.6466666666666664E-2</v>
      </c>
      <c r="Q233" s="317">
        <f t="shared" si="213"/>
        <v>8.773333333333333E-2</v>
      </c>
      <c r="R233" s="317">
        <f t="shared" si="213"/>
        <v>8.8999999999999996E-2</v>
      </c>
      <c r="S233" s="317">
        <f t="shared" si="213"/>
        <v>9.0266666666666662E-2</v>
      </c>
      <c r="T233" s="317">
        <f t="shared" si="213"/>
        <v>9.1533333333333328E-2</v>
      </c>
      <c r="U233" s="317">
        <f t="shared" si="213"/>
        <v>9.2799999999999994E-2</v>
      </c>
      <c r="V233" s="317">
        <f t="shared" si="213"/>
        <v>9.406666666666666E-2</v>
      </c>
      <c r="W233" s="317">
        <f t="shared" si="213"/>
        <v>9.5333333333333325E-2</v>
      </c>
      <c r="X233" s="317">
        <f t="shared" si="213"/>
        <v>9.6599999999999991E-2</v>
      </c>
      <c r="Y233" s="317">
        <f t="shared" si="213"/>
        <v>9.7866666666666657E-2</v>
      </c>
      <c r="Z233" s="317">
        <f t="shared" si="213"/>
        <v>9.9133333333333323E-2</v>
      </c>
      <c r="AA233" s="317">
        <f t="shared" si="213"/>
        <v>0.10039999999999999</v>
      </c>
      <c r="AB233" s="317">
        <f t="shared" si="213"/>
        <v>0.10166666666666666</v>
      </c>
      <c r="AC233" s="317">
        <f t="shared" si="213"/>
        <v>0.10293333333333332</v>
      </c>
      <c r="AD233" s="317">
        <f t="shared" si="213"/>
        <v>0.10419999999999999</v>
      </c>
      <c r="AE233" s="317">
        <f t="shared" si="213"/>
        <v>0.10546666666666665</v>
      </c>
      <c r="AF233" s="317">
        <f t="shared" si="213"/>
        <v>0.10673333333333332</v>
      </c>
      <c r="AG233" s="296">
        <v>0.108</v>
      </c>
      <c r="AI233" s="214"/>
      <c r="AJ233" s="211" t="s">
        <v>1363</v>
      </c>
    </row>
    <row r="234" spans="1:36" outlineLevel="1" x14ac:dyDescent="0.2">
      <c r="A234" s="3" t="s">
        <v>1365</v>
      </c>
      <c r="B234" s="302" t="s">
        <v>462</v>
      </c>
      <c r="C234" s="296">
        <v>0.05</v>
      </c>
      <c r="D234" s="317">
        <f t="shared" ref="D234:AF234" si="214">-($C234-$AG234)/30+C234</f>
        <v>5.0733333333333339E-2</v>
      </c>
      <c r="E234" s="317">
        <f t="shared" si="214"/>
        <v>5.1466666666666674E-2</v>
      </c>
      <c r="F234" s="317">
        <f t="shared" si="214"/>
        <v>5.220000000000001E-2</v>
      </c>
      <c r="G234" s="317">
        <f t="shared" si="214"/>
        <v>5.2933333333333346E-2</v>
      </c>
      <c r="H234" s="317">
        <f t="shared" si="214"/>
        <v>5.3666666666666682E-2</v>
      </c>
      <c r="I234" s="317">
        <f t="shared" si="214"/>
        <v>5.4400000000000018E-2</v>
      </c>
      <c r="J234" s="317">
        <f t="shared" si="214"/>
        <v>5.5133333333333354E-2</v>
      </c>
      <c r="K234" s="317">
        <f t="shared" si="214"/>
        <v>5.5866666666666689E-2</v>
      </c>
      <c r="L234" s="317">
        <f t="shared" si="214"/>
        <v>5.6600000000000025E-2</v>
      </c>
      <c r="M234" s="317">
        <f t="shared" si="214"/>
        <v>5.7333333333333361E-2</v>
      </c>
      <c r="N234" s="317">
        <f t="shared" si="214"/>
        <v>5.8066666666666697E-2</v>
      </c>
      <c r="O234" s="317">
        <f t="shared" si="214"/>
        <v>5.8800000000000033E-2</v>
      </c>
      <c r="P234" s="317">
        <f t="shared" si="214"/>
        <v>5.9533333333333369E-2</v>
      </c>
      <c r="Q234" s="317">
        <f t="shared" si="214"/>
        <v>6.0266666666666704E-2</v>
      </c>
      <c r="R234" s="317">
        <f t="shared" si="214"/>
        <v>6.100000000000004E-2</v>
      </c>
      <c r="S234" s="317">
        <f t="shared" si="214"/>
        <v>6.1733333333333376E-2</v>
      </c>
      <c r="T234" s="317">
        <f t="shared" si="214"/>
        <v>6.2466666666666712E-2</v>
      </c>
      <c r="U234" s="317">
        <f t="shared" si="214"/>
        <v>6.3200000000000048E-2</v>
      </c>
      <c r="V234" s="317">
        <f t="shared" si="214"/>
        <v>6.3933333333333384E-2</v>
      </c>
      <c r="W234" s="317">
        <f t="shared" si="214"/>
        <v>6.4666666666666719E-2</v>
      </c>
      <c r="X234" s="317">
        <f t="shared" si="214"/>
        <v>6.5400000000000055E-2</v>
      </c>
      <c r="Y234" s="317">
        <f t="shared" si="214"/>
        <v>6.6133333333333391E-2</v>
      </c>
      <c r="Z234" s="317">
        <f t="shared" si="214"/>
        <v>6.6866666666666727E-2</v>
      </c>
      <c r="AA234" s="317">
        <f t="shared" si="214"/>
        <v>6.7600000000000063E-2</v>
      </c>
      <c r="AB234" s="317">
        <f t="shared" si="214"/>
        <v>6.8333333333333399E-2</v>
      </c>
      <c r="AC234" s="317">
        <f t="shared" si="214"/>
        <v>6.9066666666666734E-2</v>
      </c>
      <c r="AD234" s="317">
        <f t="shared" si="214"/>
        <v>6.980000000000007E-2</v>
      </c>
      <c r="AE234" s="317">
        <f t="shared" si="214"/>
        <v>7.0533333333333406E-2</v>
      </c>
      <c r="AF234" s="317">
        <f t="shared" si="214"/>
        <v>7.1266666666666742E-2</v>
      </c>
      <c r="AG234" s="296">
        <v>7.1999999999999995E-2</v>
      </c>
      <c r="AI234" s="214"/>
      <c r="AJ234" s="211" t="s">
        <v>1363</v>
      </c>
    </row>
    <row r="235" spans="1:36" s="58" customFormat="1" outlineLevel="1" x14ac:dyDescent="0.2">
      <c r="A235" s="306" t="s">
        <v>1366</v>
      </c>
      <c r="B235" s="303"/>
      <c r="C235" s="304"/>
      <c r="D235" s="304"/>
      <c r="E235" s="304"/>
      <c r="F235" s="304"/>
      <c r="G235" s="304"/>
      <c r="H235" s="304"/>
      <c r="I235" s="304"/>
      <c r="J235" s="304"/>
      <c r="K235" s="304"/>
      <c r="L235" s="304"/>
      <c r="M235" s="304"/>
      <c r="N235" s="304"/>
      <c r="O235" s="304"/>
      <c r="P235" s="304"/>
      <c r="Q235" s="304"/>
      <c r="R235" s="304"/>
      <c r="S235" s="304"/>
      <c r="T235" s="304"/>
      <c r="U235" s="304"/>
      <c r="V235" s="304"/>
      <c r="W235" s="304"/>
      <c r="X235" s="304"/>
      <c r="Y235" s="304"/>
      <c r="Z235" s="304"/>
      <c r="AA235" s="304"/>
      <c r="AB235" s="304"/>
      <c r="AC235" s="304"/>
      <c r="AD235" s="304"/>
      <c r="AE235" s="304"/>
      <c r="AF235" s="304"/>
      <c r="AG235" s="304"/>
      <c r="AI235" s="305"/>
      <c r="AJ235" s="306"/>
    </row>
    <row r="236" spans="1:36" s="58" customFormat="1" outlineLevel="1" x14ac:dyDescent="0.2">
      <c r="A236" s="307" t="s">
        <v>1367</v>
      </c>
      <c r="B236" s="308" t="s">
        <v>462</v>
      </c>
      <c r="C236" s="337">
        <v>0.84</v>
      </c>
      <c r="D236" s="338">
        <f>-($C236-$AG236)/30+C236</f>
        <v>0.84399999999999997</v>
      </c>
      <c r="E236" s="338">
        <f t="shared" ref="E236:AF236" si="215">-($C236-$AG236)/30+D236</f>
        <v>0.84799999999999998</v>
      </c>
      <c r="F236" s="338">
        <f t="shared" si="215"/>
        <v>0.85199999999999998</v>
      </c>
      <c r="G236" s="338">
        <f t="shared" si="215"/>
        <v>0.85599999999999998</v>
      </c>
      <c r="H236" s="338">
        <f t="shared" si="215"/>
        <v>0.86</v>
      </c>
      <c r="I236" s="338">
        <f t="shared" si="215"/>
        <v>0.86399999999999999</v>
      </c>
      <c r="J236" s="338">
        <f t="shared" si="215"/>
        <v>0.86799999999999999</v>
      </c>
      <c r="K236" s="338">
        <f t="shared" si="215"/>
        <v>0.872</v>
      </c>
      <c r="L236" s="338">
        <f t="shared" si="215"/>
        <v>0.876</v>
      </c>
      <c r="M236" s="338">
        <f t="shared" si="215"/>
        <v>0.88</v>
      </c>
      <c r="N236" s="338">
        <f t="shared" si="215"/>
        <v>0.88400000000000001</v>
      </c>
      <c r="O236" s="338">
        <f t="shared" si="215"/>
        <v>0.88800000000000001</v>
      </c>
      <c r="P236" s="338">
        <f t="shared" si="215"/>
        <v>0.89200000000000002</v>
      </c>
      <c r="Q236" s="338">
        <f t="shared" si="215"/>
        <v>0.89600000000000002</v>
      </c>
      <c r="R236" s="338">
        <f t="shared" si="215"/>
        <v>0.9</v>
      </c>
      <c r="S236" s="338">
        <f t="shared" si="215"/>
        <v>0.90400000000000003</v>
      </c>
      <c r="T236" s="338">
        <f t="shared" si="215"/>
        <v>0.90800000000000003</v>
      </c>
      <c r="U236" s="338">
        <f t="shared" si="215"/>
        <v>0.91200000000000003</v>
      </c>
      <c r="V236" s="338">
        <f t="shared" si="215"/>
        <v>0.91600000000000004</v>
      </c>
      <c r="W236" s="338">
        <f t="shared" si="215"/>
        <v>0.92</v>
      </c>
      <c r="X236" s="338">
        <f t="shared" si="215"/>
        <v>0.92400000000000004</v>
      </c>
      <c r="Y236" s="338">
        <f t="shared" si="215"/>
        <v>0.92800000000000005</v>
      </c>
      <c r="Z236" s="338">
        <f t="shared" si="215"/>
        <v>0.93200000000000005</v>
      </c>
      <c r="AA236" s="338">
        <f t="shared" si="215"/>
        <v>0.93600000000000005</v>
      </c>
      <c r="AB236" s="338">
        <f t="shared" si="215"/>
        <v>0.94000000000000006</v>
      </c>
      <c r="AC236" s="338">
        <f t="shared" si="215"/>
        <v>0.94400000000000006</v>
      </c>
      <c r="AD236" s="338">
        <f t="shared" si="215"/>
        <v>0.94800000000000006</v>
      </c>
      <c r="AE236" s="338">
        <f t="shared" si="215"/>
        <v>0.95200000000000007</v>
      </c>
      <c r="AF236" s="338">
        <f t="shared" si="215"/>
        <v>0.95600000000000007</v>
      </c>
      <c r="AG236" s="337">
        <v>0.96</v>
      </c>
      <c r="AI236" s="305"/>
      <c r="AJ236" s="339" t="s">
        <v>1363</v>
      </c>
    </row>
    <row r="237" spans="1:36" s="58" customFormat="1" outlineLevel="1" x14ac:dyDescent="0.2">
      <c r="A237" s="307" t="s">
        <v>1368</v>
      </c>
      <c r="B237" s="308" t="s">
        <v>462</v>
      </c>
      <c r="C237" s="337">
        <v>0.22</v>
      </c>
      <c r="D237" s="338">
        <f>-($C237-$AG237)/30+C237</f>
        <v>0.22666666666666666</v>
      </c>
      <c r="E237" s="338">
        <f t="shared" ref="E237:AF237" si="216">-($C237-$AG237)/30+D237</f>
        <v>0.23333333333333331</v>
      </c>
      <c r="F237" s="338">
        <f t="shared" si="216"/>
        <v>0.23999999999999996</v>
      </c>
      <c r="G237" s="338">
        <f t="shared" si="216"/>
        <v>0.24666666666666662</v>
      </c>
      <c r="H237" s="338">
        <f t="shared" si="216"/>
        <v>0.2533333333333333</v>
      </c>
      <c r="I237" s="338">
        <f t="shared" si="216"/>
        <v>0.25999999999999995</v>
      </c>
      <c r="J237" s="338">
        <f t="shared" si="216"/>
        <v>0.26666666666666661</v>
      </c>
      <c r="K237" s="338">
        <f t="shared" si="216"/>
        <v>0.27333333333333326</v>
      </c>
      <c r="L237" s="338">
        <f t="shared" si="216"/>
        <v>0.27999999999999992</v>
      </c>
      <c r="M237" s="338">
        <f t="shared" si="216"/>
        <v>0.28666666666666657</v>
      </c>
      <c r="N237" s="338">
        <f t="shared" si="216"/>
        <v>0.29333333333333322</v>
      </c>
      <c r="O237" s="338">
        <f t="shared" si="216"/>
        <v>0.29999999999999988</v>
      </c>
      <c r="P237" s="338">
        <f t="shared" si="216"/>
        <v>0.30666666666666653</v>
      </c>
      <c r="Q237" s="338">
        <f t="shared" si="216"/>
        <v>0.31333333333333319</v>
      </c>
      <c r="R237" s="338">
        <f t="shared" si="216"/>
        <v>0.31999999999999984</v>
      </c>
      <c r="S237" s="338">
        <f t="shared" si="216"/>
        <v>0.32666666666666649</v>
      </c>
      <c r="T237" s="338">
        <f t="shared" si="216"/>
        <v>0.33333333333333315</v>
      </c>
      <c r="U237" s="338">
        <f t="shared" si="216"/>
        <v>0.3399999999999998</v>
      </c>
      <c r="V237" s="338">
        <f t="shared" si="216"/>
        <v>0.34666666666666646</v>
      </c>
      <c r="W237" s="338">
        <f t="shared" si="216"/>
        <v>0.35333333333333311</v>
      </c>
      <c r="X237" s="338">
        <f t="shared" si="216"/>
        <v>0.35999999999999976</v>
      </c>
      <c r="Y237" s="338">
        <f t="shared" si="216"/>
        <v>0.36666666666666642</v>
      </c>
      <c r="Z237" s="338">
        <f t="shared" si="216"/>
        <v>0.37333333333333307</v>
      </c>
      <c r="AA237" s="338">
        <f t="shared" si="216"/>
        <v>0.37999999999999973</v>
      </c>
      <c r="AB237" s="338">
        <f t="shared" si="216"/>
        <v>0.38666666666666638</v>
      </c>
      <c r="AC237" s="338">
        <f t="shared" si="216"/>
        <v>0.39333333333333304</v>
      </c>
      <c r="AD237" s="338">
        <f t="shared" si="216"/>
        <v>0.39999999999999969</v>
      </c>
      <c r="AE237" s="338">
        <f t="shared" si="216"/>
        <v>0.40666666666666634</v>
      </c>
      <c r="AF237" s="338">
        <f t="shared" si="216"/>
        <v>0.413333333333333</v>
      </c>
      <c r="AG237" s="337">
        <v>0.42</v>
      </c>
      <c r="AI237" s="305"/>
      <c r="AJ237" s="339" t="s">
        <v>1363</v>
      </c>
    </row>
    <row r="238" spans="1:36" s="62" customFormat="1" outlineLevel="1" x14ac:dyDescent="0.2">
      <c r="A238" s="311" t="s">
        <v>1369</v>
      </c>
      <c r="B238" s="312" t="s">
        <v>462</v>
      </c>
      <c r="C238" s="340">
        <f>1-C237</f>
        <v>0.78</v>
      </c>
      <c r="D238" s="340">
        <f t="shared" ref="D238" si="217">1-D237</f>
        <v>0.77333333333333332</v>
      </c>
      <c r="E238" s="340">
        <f t="shared" ref="E238" si="218">1-E237</f>
        <v>0.76666666666666672</v>
      </c>
      <c r="F238" s="340">
        <f t="shared" ref="F238" si="219">1-F237</f>
        <v>0.76</v>
      </c>
      <c r="G238" s="340">
        <f t="shared" ref="G238" si="220">1-G237</f>
        <v>0.75333333333333341</v>
      </c>
      <c r="H238" s="340">
        <f t="shared" ref="H238" si="221">1-H237</f>
        <v>0.7466666666666667</v>
      </c>
      <c r="I238" s="340">
        <f t="shared" ref="I238" si="222">1-I237</f>
        <v>0.74</v>
      </c>
      <c r="J238" s="340">
        <f t="shared" ref="J238" si="223">1-J237</f>
        <v>0.73333333333333339</v>
      </c>
      <c r="K238" s="340">
        <f t="shared" ref="K238" si="224">1-K237</f>
        <v>0.72666666666666679</v>
      </c>
      <c r="L238" s="340">
        <f t="shared" ref="L238" si="225">1-L237</f>
        <v>0.72000000000000008</v>
      </c>
      <c r="M238" s="340">
        <f t="shared" ref="M238" si="226">1-M237</f>
        <v>0.71333333333333337</v>
      </c>
      <c r="N238" s="340">
        <f t="shared" ref="N238" si="227">1-N237</f>
        <v>0.70666666666666678</v>
      </c>
      <c r="O238" s="340">
        <f t="shared" ref="O238" si="228">1-O237</f>
        <v>0.70000000000000018</v>
      </c>
      <c r="P238" s="340">
        <f t="shared" ref="P238" si="229">1-P237</f>
        <v>0.69333333333333347</v>
      </c>
      <c r="Q238" s="340">
        <f t="shared" ref="Q238" si="230">1-Q237</f>
        <v>0.68666666666666676</v>
      </c>
      <c r="R238" s="340">
        <f t="shared" ref="R238" si="231">1-R237</f>
        <v>0.68000000000000016</v>
      </c>
      <c r="S238" s="340">
        <f t="shared" ref="S238" si="232">1-S237</f>
        <v>0.67333333333333356</v>
      </c>
      <c r="T238" s="340">
        <f t="shared" ref="T238" si="233">1-T237</f>
        <v>0.66666666666666685</v>
      </c>
      <c r="U238" s="340">
        <f t="shared" ref="U238" si="234">1-U237</f>
        <v>0.66000000000000014</v>
      </c>
      <c r="V238" s="340">
        <f t="shared" ref="V238" si="235">1-V237</f>
        <v>0.65333333333333354</v>
      </c>
      <c r="W238" s="340">
        <f t="shared" ref="W238" si="236">1-W237</f>
        <v>0.64666666666666694</v>
      </c>
      <c r="X238" s="340">
        <f t="shared" ref="X238" si="237">1-X237</f>
        <v>0.64000000000000024</v>
      </c>
      <c r="Y238" s="340">
        <f t="shared" ref="Y238" si="238">1-Y237</f>
        <v>0.63333333333333353</v>
      </c>
      <c r="Z238" s="340">
        <f t="shared" ref="Z238" si="239">1-Z237</f>
        <v>0.62666666666666693</v>
      </c>
      <c r="AA238" s="340">
        <f t="shared" ref="AA238" si="240">1-AA237</f>
        <v>0.62000000000000033</v>
      </c>
      <c r="AB238" s="340">
        <f t="shared" ref="AB238" si="241">1-AB237</f>
        <v>0.61333333333333362</v>
      </c>
      <c r="AC238" s="340">
        <f t="shared" ref="AC238" si="242">1-AC237</f>
        <v>0.60666666666666691</v>
      </c>
      <c r="AD238" s="340">
        <f t="shared" ref="AD238" si="243">1-AD237</f>
        <v>0.60000000000000031</v>
      </c>
      <c r="AE238" s="340">
        <f t="shared" ref="AE238" si="244">1-AE237</f>
        <v>0.59333333333333371</v>
      </c>
      <c r="AF238" s="340">
        <f t="shared" ref="AF238" si="245">1-AF237</f>
        <v>0.586666666666667</v>
      </c>
      <c r="AG238" s="340">
        <f t="shared" ref="AG238" si="246">1-AG237</f>
        <v>0.58000000000000007</v>
      </c>
      <c r="AI238" s="342"/>
      <c r="AJ238" s="341" t="s">
        <v>1363</v>
      </c>
    </row>
    <row r="239" spans="1:36" s="1" customFormat="1" outlineLevel="1" x14ac:dyDescent="0.2">
      <c r="A239" t="s">
        <v>1370</v>
      </c>
      <c r="B239" s="302" t="s">
        <v>462</v>
      </c>
      <c r="C239" s="296">
        <v>0.85</v>
      </c>
      <c r="D239" s="317">
        <f t="shared" ref="D239:AF240" si="247">-($C239-$AG239)/30+C239</f>
        <v>0.84833333333333327</v>
      </c>
      <c r="E239" s="317">
        <f t="shared" si="247"/>
        <v>0.84666666666666657</v>
      </c>
      <c r="F239" s="317">
        <f t="shared" si="247"/>
        <v>0.84499999999999986</v>
      </c>
      <c r="G239" s="317">
        <f t="shared" si="247"/>
        <v>0.84333333333333316</v>
      </c>
      <c r="H239" s="317">
        <f t="shared" si="247"/>
        <v>0.84166666666666645</v>
      </c>
      <c r="I239" s="317">
        <f t="shared" si="247"/>
        <v>0.83999999999999975</v>
      </c>
      <c r="J239" s="317">
        <f t="shared" si="247"/>
        <v>0.83833333333333304</v>
      </c>
      <c r="K239" s="317">
        <f t="shared" si="247"/>
        <v>0.83666666666666634</v>
      </c>
      <c r="L239" s="317">
        <f t="shared" si="247"/>
        <v>0.83499999999999963</v>
      </c>
      <c r="M239" s="317">
        <f t="shared" si="247"/>
        <v>0.83333333333333293</v>
      </c>
      <c r="N239" s="317">
        <f t="shared" si="247"/>
        <v>0.83166666666666622</v>
      </c>
      <c r="O239" s="317">
        <f t="shared" si="247"/>
        <v>0.82999999999999952</v>
      </c>
      <c r="P239" s="317">
        <f t="shared" si="247"/>
        <v>0.82833333333333281</v>
      </c>
      <c r="Q239" s="317">
        <f t="shared" si="247"/>
        <v>0.82666666666666611</v>
      </c>
      <c r="R239" s="317">
        <f t="shared" si="247"/>
        <v>0.8249999999999994</v>
      </c>
      <c r="S239" s="317">
        <f t="shared" si="247"/>
        <v>0.8233333333333327</v>
      </c>
      <c r="T239" s="317">
        <f t="shared" si="247"/>
        <v>0.82166666666666599</v>
      </c>
      <c r="U239" s="317">
        <f t="shared" si="247"/>
        <v>0.81999999999999929</v>
      </c>
      <c r="V239" s="317">
        <f t="shared" si="247"/>
        <v>0.81833333333333258</v>
      </c>
      <c r="W239" s="317">
        <f t="shared" si="247"/>
        <v>0.81666666666666587</v>
      </c>
      <c r="X239" s="317">
        <f t="shared" si="247"/>
        <v>0.81499999999999917</v>
      </c>
      <c r="Y239" s="317">
        <f t="shared" si="247"/>
        <v>0.81333333333333246</v>
      </c>
      <c r="Z239" s="317">
        <f t="shared" si="247"/>
        <v>0.81166666666666576</v>
      </c>
      <c r="AA239" s="317">
        <f t="shared" si="247"/>
        <v>0.80999999999999905</v>
      </c>
      <c r="AB239" s="317">
        <f t="shared" si="247"/>
        <v>0.80833333333333235</v>
      </c>
      <c r="AC239" s="317">
        <f t="shared" si="247"/>
        <v>0.80666666666666564</v>
      </c>
      <c r="AD239" s="317">
        <f t="shared" si="247"/>
        <v>0.80499999999999894</v>
      </c>
      <c r="AE239" s="317">
        <f t="shared" si="247"/>
        <v>0.80333333333333223</v>
      </c>
      <c r="AF239" s="317">
        <f t="shared" si="247"/>
        <v>0.80166666666666553</v>
      </c>
      <c r="AG239" s="296">
        <v>0.8</v>
      </c>
      <c r="AI239" s="316"/>
      <c r="AJ239" s="211" t="s">
        <v>1363</v>
      </c>
    </row>
    <row r="240" spans="1:36" s="1" customFormat="1" outlineLevel="1" x14ac:dyDescent="0.2">
      <c r="A240" t="s">
        <v>1371</v>
      </c>
      <c r="B240" s="302" t="s">
        <v>462</v>
      </c>
      <c r="C240" s="296">
        <v>0.15</v>
      </c>
      <c r="D240" s="317">
        <f t="shared" si="247"/>
        <v>0.15166666666666667</v>
      </c>
      <c r="E240" s="317">
        <f t="shared" si="247"/>
        <v>0.15333333333333335</v>
      </c>
      <c r="F240" s="317">
        <f t="shared" si="247"/>
        <v>0.15500000000000003</v>
      </c>
      <c r="G240" s="317">
        <f t="shared" si="247"/>
        <v>0.1566666666666667</v>
      </c>
      <c r="H240" s="317">
        <f t="shared" si="247"/>
        <v>0.15833333333333338</v>
      </c>
      <c r="I240" s="317">
        <f t="shared" si="247"/>
        <v>0.16000000000000006</v>
      </c>
      <c r="J240" s="317">
        <f t="shared" si="247"/>
        <v>0.16166666666666674</v>
      </c>
      <c r="K240" s="317">
        <f t="shared" si="247"/>
        <v>0.16333333333333341</v>
      </c>
      <c r="L240" s="317">
        <f t="shared" si="247"/>
        <v>0.16500000000000009</v>
      </c>
      <c r="M240" s="317">
        <f t="shared" si="247"/>
        <v>0.16666666666666677</v>
      </c>
      <c r="N240" s="317">
        <f t="shared" si="247"/>
        <v>0.16833333333333345</v>
      </c>
      <c r="O240" s="317">
        <f t="shared" si="247"/>
        <v>0.17000000000000012</v>
      </c>
      <c r="P240" s="317">
        <f t="shared" si="247"/>
        <v>0.1716666666666668</v>
      </c>
      <c r="Q240" s="317">
        <f t="shared" si="247"/>
        <v>0.17333333333333348</v>
      </c>
      <c r="R240" s="317">
        <f t="shared" si="247"/>
        <v>0.17500000000000016</v>
      </c>
      <c r="S240" s="317">
        <f t="shared" si="247"/>
        <v>0.17666666666666683</v>
      </c>
      <c r="T240" s="317">
        <f t="shared" si="247"/>
        <v>0.17833333333333351</v>
      </c>
      <c r="U240" s="317">
        <f t="shared" si="247"/>
        <v>0.18000000000000019</v>
      </c>
      <c r="V240" s="317">
        <f t="shared" si="247"/>
        <v>0.18166666666666687</v>
      </c>
      <c r="W240" s="317">
        <f t="shared" si="247"/>
        <v>0.18333333333333354</v>
      </c>
      <c r="X240" s="317">
        <f t="shared" si="247"/>
        <v>0.18500000000000022</v>
      </c>
      <c r="Y240" s="317">
        <f t="shared" si="247"/>
        <v>0.1866666666666669</v>
      </c>
      <c r="Z240" s="317">
        <f t="shared" si="247"/>
        <v>0.18833333333333357</v>
      </c>
      <c r="AA240" s="317">
        <f t="shared" si="247"/>
        <v>0.19000000000000025</v>
      </c>
      <c r="AB240" s="317">
        <f t="shared" si="247"/>
        <v>0.19166666666666693</v>
      </c>
      <c r="AC240" s="317">
        <f t="shared" si="247"/>
        <v>0.19333333333333361</v>
      </c>
      <c r="AD240" s="317">
        <f t="shared" si="247"/>
        <v>0.19500000000000028</v>
      </c>
      <c r="AE240" s="317">
        <f t="shared" si="247"/>
        <v>0.19666666666666696</v>
      </c>
      <c r="AF240" s="317">
        <f t="shared" si="247"/>
        <v>0.19833333333333364</v>
      </c>
      <c r="AG240" s="296">
        <v>0.2</v>
      </c>
      <c r="AI240" s="316"/>
      <c r="AJ240" s="211" t="s">
        <v>1363</v>
      </c>
    </row>
    <row r="241" spans="1:36" s="1" customFormat="1" outlineLevel="1" x14ac:dyDescent="0.2">
      <c r="A241" t="s">
        <v>1372</v>
      </c>
      <c r="B241" s="302" t="s">
        <v>462</v>
      </c>
      <c r="C241" s="296">
        <v>0.15</v>
      </c>
      <c r="D241" s="317">
        <f t="shared" ref="D241:AF241" si="248">-($C241-$AG241)/30+C241</f>
        <v>0.15633333333333332</v>
      </c>
      <c r="E241" s="317">
        <f t="shared" si="248"/>
        <v>0.16266666666666665</v>
      </c>
      <c r="F241" s="317">
        <f t="shared" si="248"/>
        <v>0.16899999999999998</v>
      </c>
      <c r="G241" s="317">
        <f t="shared" si="248"/>
        <v>0.17533333333333331</v>
      </c>
      <c r="H241" s="317">
        <f t="shared" si="248"/>
        <v>0.18166666666666664</v>
      </c>
      <c r="I241" s="317">
        <f t="shared" si="248"/>
        <v>0.18799999999999997</v>
      </c>
      <c r="J241" s="317">
        <f t="shared" si="248"/>
        <v>0.1943333333333333</v>
      </c>
      <c r="K241" s="317">
        <f t="shared" si="248"/>
        <v>0.20066666666666663</v>
      </c>
      <c r="L241" s="317">
        <f t="shared" si="248"/>
        <v>0.20699999999999996</v>
      </c>
      <c r="M241" s="317">
        <f t="shared" si="248"/>
        <v>0.21333333333333329</v>
      </c>
      <c r="N241" s="317">
        <f t="shared" si="248"/>
        <v>0.21966666666666662</v>
      </c>
      <c r="O241" s="317">
        <f t="shared" si="248"/>
        <v>0.22599999999999995</v>
      </c>
      <c r="P241" s="317">
        <f t="shared" si="248"/>
        <v>0.23233333333333328</v>
      </c>
      <c r="Q241" s="317">
        <f t="shared" si="248"/>
        <v>0.23866666666666661</v>
      </c>
      <c r="R241" s="317">
        <f t="shared" si="248"/>
        <v>0.24499999999999994</v>
      </c>
      <c r="S241" s="317">
        <f t="shared" si="248"/>
        <v>0.2513333333333333</v>
      </c>
      <c r="T241" s="317">
        <f t="shared" si="248"/>
        <v>0.25766666666666665</v>
      </c>
      <c r="U241" s="317">
        <f t="shared" si="248"/>
        <v>0.26400000000000001</v>
      </c>
      <c r="V241" s="317">
        <f t="shared" si="248"/>
        <v>0.27033333333333337</v>
      </c>
      <c r="W241" s="317">
        <f t="shared" si="248"/>
        <v>0.27666666666666673</v>
      </c>
      <c r="X241" s="317">
        <f t="shared" si="248"/>
        <v>0.28300000000000008</v>
      </c>
      <c r="Y241" s="317">
        <f t="shared" si="248"/>
        <v>0.28933333333333344</v>
      </c>
      <c r="Z241" s="317">
        <f t="shared" si="248"/>
        <v>0.2956666666666668</v>
      </c>
      <c r="AA241" s="317">
        <f t="shared" si="248"/>
        <v>0.30200000000000016</v>
      </c>
      <c r="AB241" s="317">
        <f t="shared" si="248"/>
        <v>0.30833333333333351</v>
      </c>
      <c r="AC241" s="317">
        <f t="shared" si="248"/>
        <v>0.31466666666666687</v>
      </c>
      <c r="AD241" s="317">
        <f t="shared" si="248"/>
        <v>0.32100000000000023</v>
      </c>
      <c r="AE241" s="317">
        <f t="shared" si="248"/>
        <v>0.32733333333333359</v>
      </c>
      <c r="AF241" s="317">
        <f t="shared" si="248"/>
        <v>0.33366666666666694</v>
      </c>
      <c r="AG241" s="296">
        <v>0.34</v>
      </c>
      <c r="AI241" s="316"/>
      <c r="AJ241" s="211" t="s">
        <v>1363</v>
      </c>
    </row>
    <row r="242" spans="1:36" s="1" customFormat="1" outlineLevel="1" x14ac:dyDescent="0.2">
      <c r="A242" t="s">
        <v>1373</v>
      </c>
      <c r="B242" s="302" t="s">
        <v>462</v>
      </c>
      <c r="C242" s="296">
        <v>0.85</v>
      </c>
      <c r="D242" s="317">
        <f t="shared" ref="D242:AF242" si="249">-($C242-$AG242)/30+C242</f>
        <v>0.84366666666666668</v>
      </c>
      <c r="E242" s="317">
        <f t="shared" si="249"/>
        <v>0.83733333333333337</v>
      </c>
      <c r="F242" s="317">
        <f t="shared" si="249"/>
        <v>0.83100000000000007</v>
      </c>
      <c r="G242" s="317">
        <f t="shared" si="249"/>
        <v>0.82466666666666677</v>
      </c>
      <c r="H242" s="317">
        <f t="shared" si="249"/>
        <v>0.81833333333333347</v>
      </c>
      <c r="I242" s="317">
        <f t="shared" si="249"/>
        <v>0.81200000000000017</v>
      </c>
      <c r="J242" s="317">
        <f t="shared" si="249"/>
        <v>0.80566666666666686</v>
      </c>
      <c r="K242" s="317">
        <f t="shared" si="249"/>
        <v>0.79933333333333356</v>
      </c>
      <c r="L242" s="317">
        <f t="shared" si="249"/>
        <v>0.79300000000000026</v>
      </c>
      <c r="M242" s="317">
        <f t="shared" si="249"/>
        <v>0.78666666666666696</v>
      </c>
      <c r="N242" s="317">
        <f t="shared" si="249"/>
        <v>0.78033333333333366</v>
      </c>
      <c r="O242" s="317">
        <f t="shared" si="249"/>
        <v>0.77400000000000035</v>
      </c>
      <c r="P242" s="317">
        <f t="shared" si="249"/>
        <v>0.76766666666666705</v>
      </c>
      <c r="Q242" s="317">
        <f t="shared" si="249"/>
        <v>0.76133333333333375</v>
      </c>
      <c r="R242" s="317">
        <f t="shared" si="249"/>
        <v>0.75500000000000045</v>
      </c>
      <c r="S242" s="317">
        <f t="shared" si="249"/>
        <v>0.74866666666666715</v>
      </c>
      <c r="T242" s="317">
        <f t="shared" si="249"/>
        <v>0.74233333333333384</v>
      </c>
      <c r="U242" s="317">
        <f t="shared" si="249"/>
        <v>0.73600000000000054</v>
      </c>
      <c r="V242" s="317">
        <f t="shared" si="249"/>
        <v>0.72966666666666724</v>
      </c>
      <c r="W242" s="317">
        <f t="shared" si="249"/>
        <v>0.72333333333333394</v>
      </c>
      <c r="X242" s="317">
        <f t="shared" si="249"/>
        <v>0.71700000000000064</v>
      </c>
      <c r="Y242" s="317">
        <f t="shared" si="249"/>
        <v>0.71066666666666733</v>
      </c>
      <c r="Z242" s="317">
        <f t="shared" si="249"/>
        <v>0.70433333333333403</v>
      </c>
      <c r="AA242" s="317">
        <f t="shared" si="249"/>
        <v>0.69800000000000073</v>
      </c>
      <c r="AB242" s="317">
        <f t="shared" si="249"/>
        <v>0.69166666666666743</v>
      </c>
      <c r="AC242" s="317">
        <f t="shared" si="249"/>
        <v>0.68533333333333413</v>
      </c>
      <c r="AD242" s="317">
        <f t="shared" si="249"/>
        <v>0.67900000000000083</v>
      </c>
      <c r="AE242" s="317">
        <f t="shared" si="249"/>
        <v>0.67266666666666752</v>
      </c>
      <c r="AF242" s="317">
        <f t="shared" si="249"/>
        <v>0.66633333333333422</v>
      </c>
      <c r="AG242" s="296">
        <v>0.66</v>
      </c>
      <c r="AI242" s="316"/>
      <c r="AJ242" s="211" t="s">
        <v>1363</v>
      </c>
    </row>
    <row r="243" spans="1:36" s="1" customFormat="1" outlineLevel="1" x14ac:dyDescent="0.2">
      <c r="A243" t="s">
        <v>1374</v>
      </c>
      <c r="B243" s="302" t="s">
        <v>462</v>
      </c>
      <c r="C243" s="296">
        <v>0</v>
      </c>
      <c r="D243" s="317">
        <f t="shared" ref="D243:AF243" si="250">-($C243-$AG243)/30+C243</f>
        <v>0</v>
      </c>
      <c r="E243" s="317">
        <f t="shared" si="250"/>
        <v>0</v>
      </c>
      <c r="F243" s="317">
        <f t="shared" si="250"/>
        <v>0</v>
      </c>
      <c r="G243" s="317">
        <f t="shared" si="250"/>
        <v>0</v>
      </c>
      <c r="H243" s="317">
        <f t="shared" si="250"/>
        <v>0</v>
      </c>
      <c r="I243" s="317">
        <f t="shared" si="250"/>
        <v>0</v>
      </c>
      <c r="J243" s="317">
        <f t="shared" si="250"/>
        <v>0</v>
      </c>
      <c r="K243" s="317">
        <f t="shared" si="250"/>
        <v>0</v>
      </c>
      <c r="L243" s="317">
        <f t="shared" si="250"/>
        <v>0</v>
      </c>
      <c r="M243" s="317">
        <f t="shared" si="250"/>
        <v>0</v>
      </c>
      <c r="N243" s="317">
        <f t="shared" si="250"/>
        <v>0</v>
      </c>
      <c r="O243" s="317">
        <f t="shared" si="250"/>
        <v>0</v>
      </c>
      <c r="P243" s="317">
        <f t="shared" si="250"/>
        <v>0</v>
      </c>
      <c r="Q243" s="317">
        <f t="shared" si="250"/>
        <v>0</v>
      </c>
      <c r="R243" s="317">
        <f t="shared" si="250"/>
        <v>0</v>
      </c>
      <c r="S243" s="317">
        <f t="shared" si="250"/>
        <v>0</v>
      </c>
      <c r="T243" s="317">
        <f t="shared" si="250"/>
        <v>0</v>
      </c>
      <c r="U243" s="317">
        <f t="shared" si="250"/>
        <v>0</v>
      </c>
      <c r="V243" s="317">
        <f t="shared" si="250"/>
        <v>0</v>
      </c>
      <c r="W243" s="317">
        <f t="shared" si="250"/>
        <v>0</v>
      </c>
      <c r="X243" s="317">
        <f t="shared" si="250"/>
        <v>0</v>
      </c>
      <c r="Y243" s="317">
        <f t="shared" si="250"/>
        <v>0</v>
      </c>
      <c r="Z243" s="317">
        <f t="shared" si="250"/>
        <v>0</v>
      </c>
      <c r="AA243" s="317">
        <f t="shared" si="250"/>
        <v>0</v>
      </c>
      <c r="AB243" s="317">
        <f t="shared" si="250"/>
        <v>0</v>
      </c>
      <c r="AC243" s="317">
        <f t="shared" si="250"/>
        <v>0</v>
      </c>
      <c r="AD243" s="317">
        <f t="shared" si="250"/>
        <v>0</v>
      </c>
      <c r="AE243" s="317">
        <f t="shared" si="250"/>
        <v>0</v>
      </c>
      <c r="AF243" s="317">
        <f t="shared" si="250"/>
        <v>0</v>
      </c>
      <c r="AG243" s="296">
        <v>0</v>
      </c>
      <c r="AI243" s="316"/>
      <c r="AJ243" s="211" t="s">
        <v>1363</v>
      </c>
    </row>
    <row r="244" spans="1:36" s="1" customFormat="1" outlineLevel="1" x14ac:dyDescent="0.2">
      <c r="A244" t="s">
        <v>1375</v>
      </c>
      <c r="B244" s="302" t="s">
        <v>462</v>
      </c>
      <c r="C244" s="296">
        <v>1</v>
      </c>
      <c r="D244" s="317">
        <f t="shared" ref="D244:AF244" si="251">-($C244-$AG244)/30+C244</f>
        <v>1</v>
      </c>
      <c r="E244" s="317">
        <f t="shared" si="251"/>
        <v>1</v>
      </c>
      <c r="F244" s="317">
        <f t="shared" si="251"/>
        <v>1</v>
      </c>
      <c r="G244" s="317">
        <f t="shared" si="251"/>
        <v>1</v>
      </c>
      <c r="H244" s="317">
        <f t="shared" si="251"/>
        <v>1</v>
      </c>
      <c r="I244" s="317">
        <f t="shared" si="251"/>
        <v>1</v>
      </c>
      <c r="J244" s="317">
        <f t="shared" si="251"/>
        <v>1</v>
      </c>
      <c r="K244" s="317">
        <f t="shared" si="251"/>
        <v>1</v>
      </c>
      <c r="L244" s="317">
        <f t="shared" si="251"/>
        <v>1</v>
      </c>
      <c r="M244" s="317">
        <f t="shared" si="251"/>
        <v>1</v>
      </c>
      <c r="N244" s="317">
        <f t="shared" si="251"/>
        <v>1</v>
      </c>
      <c r="O244" s="317">
        <f t="shared" si="251"/>
        <v>1</v>
      </c>
      <c r="P244" s="317">
        <f t="shared" si="251"/>
        <v>1</v>
      </c>
      <c r="Q244" s="317">
        <f t="shared" si="251"/>
        <v>1</v>
      </c>
      <c r="R244" s="317">
        <f t="shared" si="251"/>
        <v>1</v>
      </c>
      <c r="S244" s="317">
        <f t="shared" si="251"/>
        <v>1</v>
      </c>
      <c r="T244" s="317">
        <f t="shared" si="251"/>
        <v>1</v>
      </c>
      <c r="U244" s="317">
        <f t="shared" si="251"/>
        <v>1</v>
      </c>
      <c r="V244" s="317">
        <f t="shared" si="251"/>
        <v>1</v>
      </c>
      <c r="W244" s="317">
        <f t="shared" si="251"/>
        <v>1</v>
      </c>
      <c r="X244" s="317">
        <f t="shared" si="251"/>
        <v>1</v>
      </c>
      <c r="Y244" s="317">
        <f t="shared" si="251"/>
        <v>1</v>
      </c>
      <c r="Z244" s="317">
        <f t="shared" si="251"/>
        <v>1</v>
      </c>
      <c r="AA244" s="317">
        <f t="shared" si="251"/>
        <v>1</v>
      </c>
      <c r="AB244" s="317">
        <f t="shared" si="251"/>
        <v>1</v>
      </c>
      <c r="AC244" s="317">
        <f t="shared" si="251"/>
        <v>1</v>
      </c>
      <c r="AD244" s="317">
        <f t="shared" si="251"/>
        <v>1</v>
      </c>
      <c r="AE244" s="317">
        <f t="shared" si="251"/>
        <v>1</v>
      </c>
      <c r="AF244" s="317">
        <f t="shared" si="251"/>
        <v>1</v>
      </c>
      <c r="AG244" s="296">
        <v>1</v>
      </c>
      <c r="AI244" s="316"/>
      <c r="AJ244" s="211" t="s">
        <v>1363</v>
      </c>
    </row>
    <row r="245" spans="1:36" s="1" customFormat="1" outlineLevel="1" x14ac:dyDescent="0.2">
      <c r="A245" t="s">
        <v>1376</v>
      </c>
      <c r="B245" s="302" t="s">
        <v>462</v>
      </c>
      <c r="C245" s="296">
        <v>0.8</v>
      </c>
      <c r="D245" s="317">
        <f t="shared" ref="D245:AF245" si="252">-($C245-$AG245)/30+C245</f>
        <v>0.80333333333333334</v>
      </c>
      <c r="E245" s="317">
        <f t="shared" si="252"/>
        <v>0.80666666666666664</v>
      </c>
      <c r="F245" s="317">
        <f t="shared" si="252"/>
        <v>0.80999999999999994</v>
      </c>
      <c r="G245" s="317">
        <f t="shared" si="252"/>
        <v>0.81333333333333324</v>
      </c>
      <c r="H245" s="317">
        <f t="shared" si="252"/>
        <v>0.81666666666666654</v>
      </c>
      <c r="I245" s="317">
        <f t="shared" si="252"/>
        <v>0.81999999999999984</v>
      </c>
      <c r="J245" s="317">
        <f t="shared" si="252"/>
        <v>0.82333333333333314</v>
      </c>
      <c r="K245" s="317">
        <f t="shared" si="252"/>
        <v>0.82666666666666644</v>
      </c>
      <c r="L245" s="317">
        <f t="shared" si="252"/>
        <v>0.82999999999999974</v>
      </c>
      <c r="M245" s="317">
        <f t="shared" si="252"/>
        <v>0.83333333333333304</v>
      </c>
      <c r="N245" s="317">
        <f t="shared" si="252"/>
        <v>0.83666666666666634</v>
      </c>
      <c r="O245" s="317">
        <f t="shared" si="252"/>
        <v>0.83999999999999964</v>
      </c>
      <c r="P245" s="317">
        <f t="shared" si="252"/>
        <v>0.84333333333333294</v>
      </c>
      <c r="Q245" s="317">
        <f t="shared" si="252"/>
        <v>0.84666666666666623</v>
      </c>
      <c r="R245" s="317">
        <f t="shared" si="252"/>
        <v>0.84999999999999953</v>
      </c>
      <c r="S245" s="317">
        <f t="shared" si="252"/>
        <v>0.85333333333333283</v>
      </c>
      <c r="T245" s="317">
        <f t="shared" si="252"/>
        <v>0.85666666666666613</v>
      </c>
      <c r="U245" s="317">
        <f t="shared" si="252"/>
        <v>0.85999999999999943</v>
      </c>
      <c r="V245" s="317">
        <f t="shared" si="252"/>
        <v>0.86333333333333273</v>
      </c>
      <c r="W245" s="317">
        <f t="shared" si="252"/>
        <v>0.86666666666666603</v>
      </c>
      <c r="X245" s="317">
        <f t="shared" si="252"/>
        <v>0.86999999999999933</v>
      </c>
      <c r="Y245" s="317">
        <f t="shared" si="252"/>
        <v>0.87333333333333263</v>
      </c>
      <c r="Z245" s="317">
        <f t="shared" si="252"/>
        <v>0.87666666666666593</v>
      </c>
      <c r="AA245" s="317">
        <f t="shared" si="252"/>
        <v>0.87999999999999923</v>
      </c>
      <c r="AB245" s="317">
        <f t="shared" si="252"/>
        <v>0.88333333333333253</v>
      </c>
      <c r="AC245" s="317">
        <f t="shared" si="252"/>
        <v>0.88666666666666583</v>
      </c>
      <c r="AD245" s="317">
        <f t="shared" si="252"/>
        <v>0.88999999999999913</v>
      </c>
      <c r="AE245" s="317">
        <f t="shared" si="252"/>
        <v>0.89333333333333242</v>
      </c>
      <c r="AF245" s="317">
        <f t="shared" si="252"/>
        <v>0.89666666666666572</v>
      </c>
      <c r="AG245" s="296">
        <v>0.9</v>
      </c>
      <c r="AI245" s="316"/>
      <c r="AJ245" s="211" t="s">
        <v>1363</v>
      </c>
    </row>
    <row r="246" spans="1:36" s="1" customFormat="1" outlineLevel="1" x14ac:dyDescent="0.2">
      <c r="A246" t="s">
        <v>1377</v>
      </c>
      <c r="B246" s="302" t="s">
        <v>462</v>
      </c>
      <c r="C246" s="296">
        <v>0.2</v>
      </c>
      <c r="D246" s="317">
        <f t="shared" ref="D246:AF246" si="253">-($C246-$AG246)/30+C246</f>
        <v>0.19666666666666668</v>
      </c>
      <c r="E246" s="317">
        <f t="shared" si="253"/>
        <v>0.19333333333333336</v>
      </c>
      <c r="F246" s="317">
        <f t="shared" si="253"/>
        <v>0.19000000000000003</v>
      </c>
      <c r="G246" s="317">
        <f t="shared" si="253"/>
        <v>0.1866666666666667</v>
      </c>
      <c r="H246" s="317">
        <f t="shared" si="253"/>
        <v>0.18333333333333338</v>
      </c>
      <c r="I246" s="317">
        <f t="shared" si="253"/>
        <v>0.18000000000000005</v>
      </c>
      <c r="J246" s="317">
        <f t="shared" si="253"/>
        <v>0.17666666666666672</v>
      </c>
      <c r="K246" s="317">
        <f t="shared" si="253"/>
        <v>0.17333333333333339</v>
      </c>
      <c r="L246" s="317">
        <f t="shared" si="253"/>
        <v>0.17000000000000007</v>
      </c>
      <c r="M246" s="317">
        <f t="shared" si="253"/>
        <v>0.16666666666666674</v>
      </c>
      <c r="N246" s="317">
        <f t="shared" si="253"/>
        <v>0.16333333333333341</v>
      </c>
      <c r="O246" s="317">
        <f t="shared" si="253"/>
        <v>0.16000000000000009</v>
      </c>
      <c r="P246" s="317">
        <f t="shared" si="253"/>
        <v>0.15666666666666676</v>
      </c>
      <c r="Q246" s="317">
        <f t="shared" si="253"/>
        <v>0.15333333333333343</v>
      </c>
      <c r="R246" s="317">
        <f t="shared" si="253"/>
        <v>0.15000000000000011</v>
      </c>
      <c r="S246" s="317">
        <f t="shared" si="253"/>
        <v>0.14666666666666678</v>
      </c>
      <c r="T246" s="317">
        <f t="shared" si="253"/>
        <v>0.14333333333333345</v>
      </c>
      <c r="U246" s="317">
        <f t="shared" si="253"/>
        <v>0.14000000000000012</v>
      </c>
      <c r="V246" s="317">
        <f t="shared" si="253"/>
        <v>0.1366666666666668</v>
      </c>
      <c r="W246" s="317">
        <f t="shared" si="253"/>
        <v>0.13333333333333347</v>
      </c>
      <c r="X246" s="317">
        <f t="shared" si="253"/>
        <v>0.13000000000000014</v>
      </c>
      <c r="Y246" s="317">
        <f t="shared" si="253"/>
        <v>0.12666666666666682</v>
      </c>
      <c r="Z246" s="317">
        <f t="shared" si="253"/>
        <v>0.12333333333333349</v>
      </c>
      <c r="AA246" s="317">
        <f t="shared" si="253"/>
        <v>0.12000000000000016</v>
      </c>
      <c r="AB246" s="317">
        <f t="shared" si="253"/>
        <v>0.11666666666666684</v>
      </c>
      <c r="AC246" s="317">
        <f t="shared" si="253"/>
        <v>0.11333333333333351</v>
      </c>
      <c r="AD246" s="317">
        <f t="shared" si="253"/>
        <v>0.11000000000000018</v>
      </c>
      <c r="AE246" s="317">
        <f t="shared" si="253"/>
        <v>0.10666666666666685</v>
      </c>
      <c r="AF246" s="317">
        <f t="shared" si="253"/>
        <v>0.10333333333333353</v>
      </c>
      <c r="AG246" s="296">
        <v>0.1</v>
      </c>
      <c r="AI246" s="316"/>
      <c r="AJ246" s="211" t="s">
        <v>1363</v>
      </c>
    </row>
    <row r="247" spans="1:36" s="1" customFormat="1" outlineLevel="1" x14ac:dyDescent="0.2">
      <c r="A247" t="s">
        <v>1378</v>
      </c>
      <c r="B247" s="302" t="s">
        <v>462</v>
      </c>
      <c r="C247" s="296">
        <v>0.95</v>
      </c>
      <c r="D247" s="317">
        <f t="shared" ref="D247:AF247" si="254">-($C247-$AG247)/30+C247</f>
        <v>0.94866666666666666</v>
      </c>
      <c r="E247" s="317">
        <f t="shared" si="254"/>
        <v>0.94733333333333336</v>
      </c>
      <c r="F247" s="317">
        <f t="shared" si="254"/>
        <v>0.94600000000000006</v>
      </c>
      <c r="G247" s="317">
        <f t="shared" si="254"/>
        <v>0.94466666666666677</v>
      </c>
      <c r="H247" s="317">
        <f t="shared" si="254"/>
        <v>0.94333333333333347</v>
      </c>
      <c r="I247" s="317">
        <f t="shared" si="254"/>
        <v>0.94200000000000017</v>
      </c>
      <c r="J247" s="317">
        <f t="shared" si="254"/>
        <v>0.94066666666666687</v>
      </c>
      <c r="K247" s="317">
        <f t="shared" si="254"/>
        <v>0.93933333333333358</v>
      </c>
      <c r="L247" s="317">
        <f t="shared" si="254"/>
        <v>0.93800000000000028</v>
      </c>
      <c r="M247" s="317">
        <f t="shared" si="254"/>
        <v>0.93666666666666698</v>
      </c>
      <c r="N247" s="317">
        <f t="shared" si="254"/>
        <v>0.93533333333333368</v>
      </c>
      <c r="O247" s="317">
        <f t="shared" si="254"/>
        <v>0.93400000000000039</v>
      </c>
      <c r="P247" s="317">
        <f t="shared" si="254"/>
        <v>0.93266666666666709</v>
      </c>
      <c r="Q247" s="317">
        <f t="shared" si="254"/>
        <v>0.93133333333333379</v>
      </c>
      <c r="R247" s="317">
        <f t="shared" si="254"/>
        <v>0.93000000000000049</v>
      </c>
      <c r="S247" s="317">
        <f t="shared" si="254"/>
        <v>0.9286666666666672</v>
      </c>
      <c r="T247" s="317">
        <f t="shared" si="254"/>
        <v>0.9273333333333339</v>
      </c>
      <c r="U247" s="317">
        <f t="shared" si="254"/>
        <v>0.9260000000000006</v>
      </c>
      <c r="V247" s="317">
        <f t="shared" si="254"/>
        <v>0.9246666666666673</v>
      </c>
      <c r="W247" s="317">
        <f t="shared" si="254"/>
        <v>0.92333333333333401</v>
      </c>
      <c r="X247" s="317">
        <f t="shared" si="254"/>
        <v>0.92200000000000071</v>
      </c>
      <c r="Y247" s="317">
        <f t="shared" si="254"/>
        <v>0.92066666666666741</v>
      </c>
      <c r="Z247" s="317">
        <f t="shared" si="254"/>
        <v>0.91933333333333411</v>
      </c>
      <c r="AA247" s="317">
        <f t="shared" si="254"/>
        <v>0.91800000000000082</v>
      </c>
      <c r="AB247" s="317">
        <f t="shared" si="254"/>
        <v>0.91666666666666752</v>
      </c>
      <c r="AC247" s="317">
        <f t="shared" si="254"/>
        <v>0.91533333333333422</v>
      </c>
      <c r="AD247" s="317">
        <f t="shared" si="254"/>
        <v>0.91400000000000092</v>
      </c>
      <c r="AE247" s="317">
        <f t="shared" si="254"/>
        <v>0.91266666666666763</v>
      </c>
      <c r="AF247" s="317">
        <f t="shared" si="254"/>
        <v>0.91133333333333433</v>
      </c>
      <c r="AG247" s="296">
        <v>0.91</v>
      </c>
      <c r="AI247" s="316"/>
      <c r="AJ247" s="211" t="s">
        <v>1363</v>
      </c>
    </row>
    <row r="248" spans="1:36" s="1" customFormat="1" outlineLevel="1" x14ac:dyDescent="0.2">
      <c r="A248" t="s">
        <v>1379</v>
      </c>
      <c r="B248" s="302" t="s">
        <v>462</v>
      </c>
      <c r="C248" s="296">
        <v>0.05</v>
      </c>
      <c r="D248" s="317">
        <f t="shared" ref="D248:AF248" si="255">-($C248-$AG248)/30+C248</f>
        <v>5.1333333333333335E-2</v>
      </c>
      <c r="E248" s="317">
        <f t="shared" si="255"/>
        <v>5.2666666666666667E-2</v>
      </c>
      <c r="F248" s="317">
        <f t="shared" si="255"/>
        <v>5.3999999999999999E-2</v>
      </c>
      <c r="G248" s="317">
        <f t="shared" si="255"/>
        <v>5.5333333333333332E-2</v>
      </c>
      <c r="H248" s="317">
        <f t="shared" si="255"/>
        <v>5.6666666666666664E-2</v>
      </c>
      <c r="I248" s="317">
        <f t="shared" si="255"/>
        <v>5.7999999999999996E-2</v>
      </c>
      <c r="J248" s="317">
        <f t="shared" si="255"/>
        <v>5.9333333333333328E-2</v>
      </c>
      <c r="K248" s="317">
        <f t="shared" si="255"/>
        <v>6.066666666666666E-2</v>
      </c>
      <c r="L248" s="317">
        <f t="shared" si="255"/>
        <v>6.1999999999999993E-2</v>
      </c>
      <c r="M248" s="317">
        <f t="shared" si="255"/>
        <v>6.3333333333333325E-2</v>
      </c>
      <c r="N248" s="317">
        <f t="shared" si="255"/>
        <v>6.4666666666666664E-2</v>
      </c>
      <c r="O248" s="317">
        <f t="shared" si="255"/>
        <v>6.6000000000000003E-2</v>
      </c>
      <c r="P248" s="317">
        <f t="shared" si="255"/>
        <v>6.7333333333333342E-2</v>
      </c>
      <c r="Q248" s="317">
        <f t="shared" si="255"/>
        <v>6.8666666666666681E-2</v>
      </c>
      <c r="R248" s="317">
        <f t="shared" si="255"/>
        <v>7.0000000000000021E-2</v>
      </c>
      <c r="S248" s="317">
        <f t="shared" si="255"/>
        <v>7.133333333333336E-2</v>
      </c>
      <c r="T248" s="317">
        <f t="shared" si="255"/>
        <v>7.2666666666666699E-2</v>
      </c>
      <c r="U248" s="317">
        <f t="shared" si="255"/>
        <v>7.4000000000000038E-2</v>
      </c>
      <c r="V248" s="317">
        <f t="shared" si="255"/>
        <v>7.5333333333333377E-2</v>
      </c>
      <c r="W248" s="317">
        <f t="shared" si="255"/>
        <v>7.6666666666666716E-2</v>
      </c>
      <c r="X248" s="317">
        <f t="shared" si="255"/>
        <v>7.8000000000000055E-2</v>
      </c>
      <c r="Y248" s="317">
        <f t="shared" si="255"/>
        <v>7.9333333333333395E-2</v>
      </c>
      <c r="Z248" s="317">
        <f t="shared" si="255"/>
        <v>8.0666666666666734E-2</v>
      </c>
      <c r="AA248" s="317">
        <f t="shared" si="255"/>
        <v>8.2000000000000073E-2</v>
      </c>
      <c r="AB248" s="317">
        <f t="shared" si="255"/>
        <v>8.3333333333333412E-2</v>
      </c>
      <c r="AC248" s="317">
        <f t="shared" si="255"/>
        <v>8.4666666666666751E-2</v>
      </c>
      <c r="AD248" s="317">
        <f t="shared" si="255"/>
        <v>8.600000000000009E-2</v>
      </c>
      <c r="AE248" s="317">
        <f t="shared" si="255"/>
        <v>8.7333333333333429E-2</v>
      </c>
      <c r="AF248" s="317">
        <f t="shared" si="255"/>
        <v>8.8666666666666769E-2</v>
      </c>
      <c r="AG248" s="296">
        <v>0.09</v>
      </c>
      <c r="AI248" s="316"/>
      <c r="AJ248" s="211" t="s">
        <v>1363</v>
      </c>
    </row>
    <row r="249" spans="1:36" s="1" customFormat="1" outlineLevel="1" x14ac:dyDescent="0.2">
      <c r="A249" t="s">
        <v>1380</v>
      </c>
      <c r="B249" s="302"/>
      <c r="C249" s="296">
        <v>0.27</v>
      </c>
      <c r="D249" s="317">
        <f t="shared" ref="D249:AF249" si="256">-($C249-$AG249)/30+C249</f>
        <v>0.26600000000000001</v>
      </c>
      <c r="E249" s="317">
        <f t="shared" si="256"/>
        <v>0.26200000000000001</v>
      </c>
      <c r="F249" s="317">
        <f t="shared" si="256"/>
        <v>0.25800000000000001</v>
      </c>
      <c r="G249" s="317">
        <f t="shared" si="256"/>
        <v>0.254</v>
      </c>
      <c r="H249" s="317">
        <f t="shared" si="256"/>
        <v>0.25</v>
      </c>
      <c r="I249" s="317">
        <f t="shared" si="256"/>
        <v>0.246</v>
      </c>
      <c r="J249" s="317">
        <f t="shared" si="256"/>
        <v>0.24199999999999999</v>
      </c>
      <c r="K249" s="317">
        <f t="shared" si="256"/>
        <v>0.23799999999999999</v>
      </c>
      <c r="L249" s="317">
        <f t="shared" si="256"/>
        <v>0.23399999999999999</v>
      </c>
      <c r="M249" s="317">
        <f t="shared" si="256"/>
        <v>0.22999999999999998</v>
      </c>
      <c r="N249" s="317">
        <f t="shared" si="256"/>
        <v>0.22599999999999998</v>
      </c>
      <c r="O249" s="317">
        <f t="shared" si="256"/>
        <v>0.22199999999999998</v>
      </c>
      <c r="P249" s="317">
        <f t="shared" si="256"/>
        <v>0.21799999999999997</v>
      </c>
      <c r="Q249" s="317">
        <f t="shared" si="256"/>
        <v>0.21399999999999997</v>
      </c>
      <c r="R249" s="317">
        <f t="shared" si="256"/>
        <v>0.20999999999999996</v>
      </c>
      <c r="S249" s="317">
        <f t="shared" si="256"/>
        <v>0.20599999999999996</v>
      </c>
      <c r="T249" s="317">
        <f t="shared" si="256"/>
        <v>0.20199999999999996</v>
      </c>
      <c r="U249" s="317">
        <f t="shared" si="256"/>
        <v>0.19799999999999995</v>
      </c>
      <c r="V249" s="317">
        <f t="shared" si="256"/>
        <v>0.19399999999999995</v>
      </c>
      <c r="W249" s="317">
        <f t="shared" si="256"/>
        <v>0.18999999999999995</v>
      </c>
      <c r="X249" s="317">
        <f t="shared" si="256"/>
        <v>0.18599999999999994</v>
      </c>
      <c r="Y249" s="317">
        <f t="shared" si="256"/>
        <v>0.18199999999999994</v>
      </c>
      <c r="Z249" s="317">
        <f t="shared" si="256"/>
        <v>0.17799999999999994</v>
      </c>
      <c r="AA249" s="317">
        <f t="shared" si="256"/>
        <v>0.17399999999999993</v>
      </c>
      <c r="AB249" s="317">
        <f t="shared" si="256"/>
        <v>0.16999999999999993</v>
      </c>
      <c r="AC249" s="317">
        <f t="shared" si="256"/>
        <v>0.16599999999999993</v>
      </c>
      <c r="AD249" s="317">
        <f t="shared" si="256"/>
        <v>0.16199999999999992</v>
      </c>
      <c r="AE249" s="317">
        <f t="shared" si="256"/>
        <v>0.15799999999999992</v>
      </c>
      <c r="AF249" s="317">
        <f t="shared" si="256"/>
        <v>0.15399999999999991</v>
      </c>
      <c r="AG249" s="296">
        <v>0.15</v>
      </c>
      <c r="AI249" s="316"/>
      <c r="AJ249" s="211"/>
    </row>
    <row r="250" spans="1:36" s="67" customFormat="1" outlineLevel="1" x14ac:dyDescent="0.2">
      <c r="A250" s="345" t="s">
        <v>1381</v>
      </c>
      <c r="B250" s="308" t="s">
        <v>462</v>
      </c>
      <c r="C250" s="337">
        <v>0.16</v>
      </c>
      <c r="D250" s="338">
        <f t="shared" ref="D250:AF250" si="257">-($C250-$AG250)/30+C250</f>
        <v>0.16533333333333333</v>
      </c>
      <c r="E250" s="338">
        <f t="shared" si="257"/>
        <v>0.17066666666666666</v>
      </c>
      <c r="F250" s="338">
        <f t="shared" si="257"/>
        <v>0.17599999999999999</v>
      </c>
      <c r="G250" s="338">
        <f t="shared" si="257"/>
        <v>0.18133333333333332</v>
      </c>
      <c r="H250" s="338">
        <f t="shared" si="257"/>
        <v>0.18666666666666665</v>
      </c>
      <c r="I250" s="338">
        <f t="shared" si="257"/>
        <v>0.19199999999999998</v>
      </c>
      <c r="J250" s="338">
        <f t="shared" si="257"/>
        <v>0.19733333333333331</v>
      </c>
      <c r="K250" s="338">
        <f t="shared" si="257"/>
        <v>0.20266666666666663</v>
      </c>
      <c r="L250" s="338">
        <f t="shared" si="257"/>
        <v>0.20799999999999996</v>
      </c>
      <c r="M250" s="338">
        <f t="shared" si="257"/>
        <v>0.21333333333333329</v>
      </c>
      <c r="N250" s="338">
        <f t="shared" si="257"/>
        <v>0.21866666666666662</v>
      </c>
      <c r="O250" s="338">
        <f t="shared" si="257"/>
        <v>0.22399999999999995</v>
      </c>
      <c r="P250" s="338">
        <f t="shared" si="257"/>
        <v>0.22933333333333328</v>
      </c>
      <c r="Q250" s="338">
        <f t="shared" si="257"/>
        <v>0.23466666666666661</v>
      </c>
      <c r="R250" s="338">
        <f t="shared" si="257"/>
        <v>0.23999999999999994</v>
      </c>
      <c r="S250" s="338">
        <f t="shared" si="257"/>
        <v>0.24533333333333326</v>
      </c>
      <c r="T250" s="338">
        <f t="shared" si="257"/>
        <v>0.25066666666666659</v>
      </c>
      <c r="U250" s="338">
        <f t="shared" si="257"/>
        <v>0.25599999999999995</v>
      </c>
      <c r="V250" s="338">
        <f t="shared" si="257"/>
        <v>0.26133333333333331</v>
      </c>
      <c r="W250" s="338">
        <f t="shared" si="257"/>
        <v>0.26666666666666666</v>
      </c>
      <c r="X250" s="338">
        <f t="shared" si="257"/>
        <v>0.27200000000000002</v>
      </c>
      <c r="Y250" s="338">
        <f t="shared" si="257"/>
        <v>0.27733333333333338</v>
      </c>
      <c r="Z250" s="338">
        <f t="shared" si="257"/>
        <v>0.28266666666666673</v>
      </c>
      <c r="AA250" s="338">
        <f t="shared" si="257"/>
        <v>0.28800000000000009</v>
      </c>
      <c r="AB250" s="338">
        <f t="shared" si="257"/>
        <v>0.29333333333333345</v>
      </c>
      <c r="AC250" s="338">
        <f t="shared" si="257"/>
        <v>0.2986666666666668</v>
      </c>
      <c r="AD250" s="338">
        <f t="shared" si="257"/>
        <v>0.30400000000000016</v>
      </c>
      <c r="AE250" s="338">
        <f t="shared" si="257"/>
        <v>0.30933333333333352</v>
      </c>
      <c r="AF250" s="338">
        <f t="shared" si="257"/>
        <v>0.31466666666666687</v>
      </c>
      <c r="AG250" s="337">
        <v>0.32</v>
      </c>
      <c r="AI250" s="337"/>
      <c r="AJ250" s="339" t="s">
        <v>1363</v>
      </c>
    </row>
    <row r="251" spans="1:36" outlineLevel="1" x14ac:dyDescent="0.2">
      <c r="A251" s="346" t="s">
        <v>1382</v>
      </c>
      <c r="B251" s="302" t="s">
        <v>462</v>
      </c>
      <c r="C251" s="296">
        <v>0.37</v>
      </c>
      <c r="D251" s="317">
        <f t="shared" ref="D251:AF251" si="258">-($C251-$AG251)/30+C251</f>
        <v>0.37166666666666665</v>
      </c>
      <c r="E251" s="317">
        <f t="shared" si="258"/>
        <v>0.37333333333333329</v>
      </c>
      <c r="F251" s="317">
        <f t="shared" si="258"/>
        <v>0.37499999999999994</v>
      </c>
      <c r="G251" s="317">
        <f t="shared" si="258"/>
        <v>0.37666666666666659</v>
      </c>
      <c r="H251" s="317">
        <f t="shared" si="258"/>
        <v>0.37833333333333324</v>
      </c>
      <c r="I251" s="317">
        <f t="shared" si="258"/>
        <v>0.37999999999999989</v>
      </c>
      <c r="J251" s="317">
        <f t="shared" si="258"/>
        <v>0.38166666666666654</v>
      </c>
      <c r="K251" s="317">
        <f t="shared" si="258"/>
        <v>0.38333333333333319</v>
      </c>
      <c r="L251" s="317">
        <f t="shared" si="258"/>
        <v>0.38499999999999984</v>
      </c>
      <c r="M251" s="317">
        <f t="shared" si="258"/>
        <v>0.38666666666666649</v>
      </c>
      <c r="N251" s="317">
        <f t="shared" si="258"/>
        <v>0.38833333333333314</v>
      </c>
      <c r="O251" s="317">
        <f t="shared" si="258"/>
        <v>0.38999999999999979</v>
      </c>
      <c r="P251" s="317">
        <f t="shared" si="258"/>
        <v>0.39166666666666644</v>
      </c>
      <c r="Q251" s="317">
        <f t="shared" si="258"/>
        <v>0.39333333333333309</v>
      </c>
      <c r="R251" s="317">
        <f t="shared" si="258"/>
        <v>0.39499999999999974</v>
      </c>
      <c r="S251" s="317">
        <f t="shared" si="258"/>
        <v>0.39666666666666639</v>
      </c>
      <c r="T251" s="317">
        <f t="shared" si="258"/>
        <v>0.39833333333333304</v>
      </c>
      <c r="U251" s="317">
        <f t="shared" si="258"/>
        <v>0.39999999999999969</v>
      </c>
      <c r="V251" s="317">
        <f t="shared" si="258"/>
        <v>0.40166666666666634</v>
      </c>
      <c r="W251" s="317">
        <f t="shared" si="258"/>
        <v>0.40333333333333299</v>
      </c>
      <c r="X251" s="317">
        <f t="shared" si="258"/>
        <v>0.40499999999999964</v>
      </c>
      <c r="Y251" s="317">
        <f t="shared" si="258"/>
        <v>0.40666666666666629</v>
      </c>
      <c r="Z251" s="317">
        <f t="shared" si="258"/>
        <v>0.40833333333333294</v>
      </c>
      <c r="AA251" s="317">
        <f t="shared" si="258"/>
        <v>0.40999999999999959</v>
      </c>
      <c r="AB251" s="317">
        <f t="shared" si="258"/>
        <v>0.41166666666666624</v>
      </c>
      <c r="AC251" s="317">
        <f t="shared" si="258"/>
        <v>0.41333333333333289</v>
      </c>
      <c r="AD251" s="317">
        <f t="shared" si="258"/>
        <v>0.41499999999999954</v>
      </c>
      <c r="AE251" s="317">
        <f t="shared" si="258"/>
        <v>0.41666666666666619</v>
      </c>
      <c r="AF251" s="317">
        <f t="shared" si="258"/>
        <v>0.41833333333333284</v>
      </c>
      <c r="AG251" s="296">
        <v>0.42</v>
      </c>
      <c r="AI251" s="296"/>
      <c r="AJ251" s="211" t="s">
        <v>1363</v>
      </c>
    </row>
    <row r="252" spans="1:36" outlineLevel="1" x14ac:dyDescent="0.2">
      <c r="A252" s="346" t="s">
        <v>1383</v>
      </c>
      <c r="B252" s="302" t="s">
        <v>462</v>
      </c>
      <c r="C252" s="296">
        <v>0.08</v>
      </c>
      <c r="D252" s="317">
        <f t="shared" ref="D252:AF252" si="259">-($C252-$AG252)/30+C252</f>
        <v>7.7666666666666662E-2</v>
      </c>
      <c r="E252" s="317">
        <f t="shared" si="259"/>
        <v>7.5333333333333322E-2</v>
      </c>
      <c r="F252" s="317">
        <f t="shared" si="259"/>
        <v>7.2999999999999982E-2</v>
      </c>
      <c r="G252" s="317">
        <f t="shared" si="259"/>
        <v>7.0666666666666642E-2</v>
      </c>
      <c r="H252" s="317">
        <f t="shared" si="259"/>
        <v>6.8333333333333302E-2</v>
      </c>
      <c r="I252" s="317">
        <f t="shared" si="259"/>
        <v>6.5999999999999961E-2</v>
      </c>
      <c r="J252" s="317">
        <f t="shared" si="259"/>
        <v>6.3666666666666621E-2</v>
      </c>
      <c r="K252" s="317">
        <f t="shared" si="259"/>
        <v>6.1333333333333288E-2</v>
      </c>
      <c r="L252" s="317">
        <f t="shared" si="259"/>
        <v>5.8999999999999955E-2</v>
      </c>
      <c r="M252" s="317">
        <f t="shared" si="259"/>
        <v>5.6666666666666622E-2</v>
      </c>
      <c r="N252" s="317">
        <f t="shared" si="259"/>
        <v>5.4333333333333289E-2</v>
      </c>
      <c r="O252" s="317">
        <f t="shared" si="259"/>
        <v>5.1999999999999956E-2</v>
      </c>
      <c r="P252" s="317">
        <f t="shared" si="259"/>
        <v>4.9666666666666623E-2</v>
      </c>
      <c r="Q252" s="317">
        <f t="shared" si="259"/>
        <v>4.733333333333329E-2</v>
      </c>
      <c r="R252" s="317">
        <f t="shared" si="259"/>
        <v>4.4999999999999957E-2</v>
      </c>
      <c r="S252" s="317">
        <f t="shared" si="259"/>
        <v>4.2666666666666624E-2</v>
      </c>
      <c r="T252" s="317">
        <f t="shared" si="259"/>
        <v>4.0333333333333291E-2</v>
      </c>
      <c r="U252" s="317">
        <f t="shared" si="259"/>
        <v>3.7999999999999957E-2</v>
      </c>
      <c r="V252" s="317">
        <f t="shared" si="259"/>
        <v>3.5666666666666624E-2</v>
      </c>
      <c r="W252" s="317">
        <f t="shared" si="259"/>
        <v>3.3333333333333291E-2</v>
      </c>
      <c r="X252" s="317">
        <f t="shared" si="259"/>
        <v>3.0999999999999958E-2</v>
      </c>
      <c r="Y252" s="317">
        <f t="shared" si="259"/>
        <v>2.8666666666666625E-2</v>
      </c>
      <c r="Z252" s="317">
        <f t="shared" si="259"/>
        <v>2.6333333333333292E-2</v>
      </c>
      <c r="AA252" s="317">
        <f t="shared" si="259"/>
        <v>2.3999999999999959E-2</v>
      </c>
      <c r="AB252" s="317">
        <f t="shared" si="259"/>
        <v>2.1666666666666626E-2</v>
      </c>
      <c r="AC252" s="317">
        <f t="shared" si="259"/>
        <v>1.9333333333333293E-2</v>
      </c>
      <c r="AD252" s="317">
        <f t="shared" si="259"/>
        <v>1.699999999999996E-2</v>
      </c>
      <c r="AE252" s="317">
        <f t="shared" si="259"/>
        <v>1.4666666666666626E-2</v>
      </c>
      <c r="AF252" s="317">
        <f t="shared" si="259"/>
        <v>1.2333333333333293E-2</v>
      </c>
      <c r="AG252" s="296">
        <v>0.01</v>
      </c>
      <c r="AI252" s="296"/>
      <c r="AJ252" s="211" t="s">
        <v>1363</v>
      </c>
    </row>
    <row r="253" spans="1:36" outlineLevel="1" x14ac:dyDescent="0.2">
      <c r="A253" s="346" t="s">
        <v>1384</v>
      </c>
      <c r="B253" s="302" t="s">
        <v>462</v>
      </c>
      <c r="C253" s="296">
        <v>0.27</v>
      </c>
      <c r="D253" s="317">
        <f t="shared" ref="D253:AF253" si="260">-($C253-$AG253)/30+C253</f>
        <v>0.26633333333333337</v>
      </c>
      <c r="E253" s="317">
        <f t="shared" si="260"/>
        <v>0.26266666666666671</v>
      </c>
      <c r="F253" s="317">
        <f t="shared" si="260"/>
        <v>0.25900000000000006</v>
      </c>
      <c r="G253" s="317">
        <f t="shared" si="260"/>
        <v>0.25533333333333341</v>
      </c>
      <c r="H253" s="317">
        <f t="shared" si="260"/>
        <v>0.25166666666666676</v>
      </c>
      <c r="I253" s="317">
        <f t="shared" si="260"/>
        <v>0.24800000000000008</v>
      </c>
      <c r="J253" s="317">
        <f t="shared" si="260"/>
        <v>0.2443333333333334</v>
      </c>
      <c r="K253" s="317">
        <f t="shared" si="260"/>
        <v>0.24066666666666672</v>
      </c>
      <c r="L253" s="317">
        <f t="shared" si="260"/>
        <v>0.23700000000000004</v>
      </c>
      <c r="M253" s="317">
        <f t="shared" si="260"/>
        <v>0.23333333333333336</v>
      </c>
      <c r="N253" s="317">
        <f t="shared" si="260"/>
        <v>0.22966666666666669</v>
      </c>
      <c r="O253" s="317">
        <f t="shared" si="260"/>
        <v>0.22600000000000001</v>
      </c>
      <c r="P253" s="317">
        <f t="shared" si="260"/>
        <v>0.22233333333333333</v>
      </c>
      <c r="Q253" s="317">
        <f t="shared" si="260"/>
        <v>0.21866666666666665</v>
      </c>
      <c r="R253" s="317">
        <f t="shared" si="260"/>
        <v>0.21499999999999997</v>
      </c>
      <c r="S253" s="317">
        <f t="shared" si="260"/>
        <v>0.21133333333333329</v>
      </c>
      <c r="T253" s="317">
        <f t="shared" si="260"/>
        <v>0.20766666666666661</v>
      </c>
      <c r="U253" s="317">
        <f t="shared" si="260"/>
        <v>0.20399999999999993</v>
      </c>
      <c r="V253" s="317">
        <f t="shared" si="260"/>
        <v>0.20033333333333325</v>
      </c>
      <c r="W253" s="317">
        <f t="shared" si="260"/>
        <v>0.19666666666666657</v>
      </c>
      <c r="X253" s="317">
        <f t="shared" si="260"/>
        <v>0.19299999999999989</v>
      </c>
      <c r="Y253" s="317">
        <f t="shared" si="260"/>
        <v>0.18933333333333321</v>
      </c>
      <c r="Z253" s="317">
        <f t="shared" si="260"/>
        <v>0.18566666666666654</v>
      </c>
      <c r="AA253" s="317">
        <f t="shared" si="260"/>
        <v>0.18199999999999986</v>
      </c>
      <c r="AB253" s="317">
        <f t="shared" si="260"/>
        <v>0.17833333333333318</v>
      </c>
      <c r="AC253" s="317">
        <f t="shared" si="260"/>
        <v>0.1746666666666665</v>
      </c>
      <c r="AD253" s="317">
        <f t="shared" si="260"/>
        <v>0.17099999999999982</v>
      </c>
      <c r="AE253" s="317">
        <f t="shared" si="260"/>
        <v>0.16733333333333314</v>
      </c>
      <c r="AF253" s="317">
        <f t="shared" si="260"/>
        <v>0.16366666666666646</v>
      </c>
      <c r="AG253" s="296">
        <v>0.16</v>
      </c>
      <c r="AI253" s="296"/>
      <c r="AJ253" s="211" t="s">
        <v>1363</v>
      </c>
    </row>
    <row r="254" spans="1:36" outlineLevel="1" x14ac:dyDescent="0.2">
      <c r="A254" s="346" t="s">
        <v>1385</v>
      </c>
      <c r="B254" s="302" t="s">
        <v>462</v>
      </c>
      <c r="C254" s="296">
        <v>7.0000000000000007E-2</v>
      </c>
      <c r="D254" s="317">
        <f t="shared" ref="D254:AF254" si="261">-($C254-$AG254)/30+C254</f>
        <v>6.9666666666666668E-2</v>
      </c>
      <c r="E254" s="317">
        <f t="shared" si="261"/>
        <v>6.933333333333333E-2</v>
      </c>
      <c r="F254" s="317">
        <f t="shared" si="261"/>
        <v>6.8999999999999992E-2</v>
      </c>
      <c r="G254" s="317">
        <f t="shared" si="261"/>
        <v>6.8666666666666654E-2</v>
      </c>
      <c r="H254" s="317">
        <f t="shared" si="261"/>
        <v>6.8333333333333315E-2</v>
      </c>
      <c r="I254" s="317">
        <f t="shared" si="261"/>
        <v>6.7999999999999977E-2</v>
      </c>
      <c r="J254" s="317">
        <f t="shared" si="261"/>
        <v>6.7666666666666639E-2</v>
      </c>
      <c r="K254" s="317">
        <f t="shared" si="261"/>
        <v>6.7333333333333301E-2</v>
      </c>
      <c r="L254" s="317">
        <f t="shared" si="261"/>
        <v>6.6999999999999962E-2</v>
      </c>
      <c r="M254" s="317">
        <f t="shared" si="261"/>
        <v>6.6666666666666624E-2</v>
      </c>
      <c r="N254" s="317">
        <f t="shared" si="261"/>
        <v>6.6333333333333286E-2</v>
      </c>
      <c r="O254" s="317">
        <f t="shared" si="261"/>
        <v>6.5999999999999948E-2</v>
      </c>
      <c r="P254" s="317">
        <f t="shared" si="261"/>
        <v>6.5666666666666609E-2</v>
      </c>
      <c r="Q254" s="317">
        <f t="shared" si="261"/>
        <v>6.5333333333333271E-2</v>
      </c>
      <c r="R254" s="317">
        <f t="shared" si="261"/>
        <v>6.4999999999999933E-2</v>
      </c>
      <c r="S254" s="317">
        <f t="shared" si="261"/>
        <v>6.4666666666666595E-2</v>
      </c>
      <c r="T254" s="317">
        <f t="shared" si="261"/>
        <v>6.4333333333333256E-2</v>
      </c>
      <c r="U254" s="317">
        <f t="shared" si="261"/>
        <v>6.3999999999999918E-2</v>
      </c>
      <c r="V254" s="317">
        <f t="shared" si="261"/>
        <v>6.366666666666658E-2</v>
      </c>
      <c r="W254" s="317">
        <f t="shared" si="261"/>
        <v>6.3333333333333242E-2</v>
      </c>
      <c r="X254" s="317">
        <f t="shared" si="261"/>
        <v>6.2999999999999903E-2</v>
      </c>
      <c r="Y254" s="317">
        <f t="shared" si="261"/>
        <v>6.2666666666666565E-2</v>
      </c>
      <c r="Z254" s="317">
        <f t="shared" si="261"/>
        <v>6.2333333333333234E-2</v>
      </c>
      <c r="AA254" s="317">
        <f t="shared" si="261"/>
        <v>6.1999999999999902E-2</v>
      </c>
      <c r="AB254" s="317">
        <f t="shared" si="261"/>
        <v>6.1666666666666571E-2</v>
      </c>
      <c r="AC254" s="317">
        <f t="shared" si="261"/>
        <v>6.133333333333324E-2</v>
      </c>
      <c r="AD254" s="317">
        <f t="shared" si="261"/>
        <v>6.0999999999999908E-2</v>
      </c>
      <c r="AE254" s="317">
        <f t="shared" si="261"/>
        <v>6.0666666666666577E-2</v>
      </c>
      <c r="AF254" s="317">
        <f t="shared" si="261"/>
        <v>6.0333333333333246E-2</v>
      </c>
      <c r="AG254" s="296">
        <v>0.06</v>
      </c>
      <c r="AI254" s="296"/>
      <c r="AJ254" s="211" t="s">
        <v>1363</v>
      </c>
    </row>
    <row r="255" spans="1:36" s="68" customFormat="1" outlineLevel="1" x14ac:dyDescent="0.2">
      <c r="A255" s="347" t="s">
        <v>1386</v>
      </c>
      <c r="B255" s="312" t="s">
        <v>462</v>
      </c>
      <c r="C255" s="314">
        <v>0.05</v>
      </c>
      <c r="D255" s="340">
        <f t="shared" ref="D255:AF255" si="262">-($C255-$AG255)/30+C255</f>
        <v>4.9333333333333333E-2</v>
      </c>
      <c r="E255" s="340">
        <f t="shared" si="262"/>
        <v>4.8666666666666664E-2</v>
      </c>
      <c r="F255" s="340">
        <f t="shared" si="262"/>
        <v>4.7999999999999994E-2</v>
      </c>
      <c r="G255" s="340">
        <f t="shared" si="262"/>
        <v>4.7333333333333324E-2</v>
      </c>
      <c r="H255" s="340">
        <f t="shared" si="262"/>
        <v>4.6666666666666655E-2</v>
      </c>
      <c r="I255" s="340">
        <f t="shared" si="262"/>
        <v>4.5999999999999985E-2</v>
      </c>
      <c r="J255" s="340">
        <f t="shared" si="262"/>
        <v>4.5333333333333316E-2</v>
      </c>
      <c r="K255" s="340">
        <f t="shared" si="262"/>
        <v>4.4666666666666646E-2</v>
      </c>
      <c r="L255" s="340">
        <f t="shared" si="262"/>
        <v>4.3999999999999977E-2</v>
      </c>
      <c r="M255" s="340">
        <f t="shared" si="262"/>
        <v>4.3333333333333307E-2</v>
      </c>
      <c r="N255" s="340">
        <f t="shared" si="262"/>
        <v>4.2666666666666637E-2</v>
      </c>
      <c r="O255" s="340">
        <f t="shared" si="262"/>
        <v>4.1999999999999968E-2</v>
      </c>
      <c r="P255" s="340">
        <f t="shared" si="262"/>
        <v>4.1333333333333298E-2</v>
      </c>
      <c r="Q255" s="340">
        <f t="shared" si="262"/>
        <v>4.0666666666666629E-2</v>
      </c>
      <c r="R255" s="340">
        <f t="shared" si="262"/>
        <v>3.9999999999999959E-2</v>
      </c>
      <c r="S255" s="340">
        <f t="shared" si="262"/>
        <v>3.933333333333329E-2</v>
      </c>
      <c r="T255" s="340">
        <f t="shared" si="262"/>
        <v>3.866666666666662E-2</v>
      </c>
      <c r="U255" s="340">
        <f t="shared" si="262"/>
        <v>3.799999999999995E-2</v>
      </c>
      <c r="V255" s="340">
        <f t="shared" si="262"/>
        <v>3.7333333333333281E-2</v>
      </c>
      <c r="W255" s="340">
        <f t="shared" si="262"/>
        <v>3.6666666666666611E-2</v>
      </c>
      <c r="X255" s="340">
        <f t="shared" si="262"/>
        <v>3.5999999999999942E-2</v>
      </c>
      <c r="Y255" s="340">
        <f t="shared" si="262"/>
        <v>3.5333333333333272E-2</v>
      </c>
      <c r="Z255" s="340">
        <f t="shared" si="262"/>
        <v>3.4666666666666603E-2</v>
      </c>
      <c r="AA255" s="340">
        <f t="shared" si="262"/>
        <v>3.3999999999999933E-2</v>
      </c>
      <c r="AB255" s="340">
        <f t="shared" si="262"/>
        <v>3.3333333333333263E-2</v>
      </c>
      <c r="AC255" s="340">
        <f t="shared" si="262"/>
        <v>3.2666666666666594E-2</v>
      </c>
      <c r="AD255" s="340">
        <f t="shared" si="262"/>
        <v>3.1999999999999924E-2</v>
      </c>
      <c r="AE255" s="340">
        <f t="shared" si="262"/>
        <v>3.1333333333333255E-2</v>
      </c>
      <c r="AF255" s="340">
        <f t="shared" si="262"/>
        <v>3.0666666666666589E-2</v>
      </c>
      <c r="AG255" s="314">
        <v>0.03</v>
      </c>
      <c r="AI255" s="314"/>
      <c r="AJ255" s="341" t="s">
        <v>1363</v>
      </c>
    </row>
    <row r="256" spans="1:36" s="58" customFormat="1" outlineLevel="1" x14ac:dyDescent="0.2">
      <c r="A256" s="58" t="s">
        <v>1361</v>
      </c>
      <c r="B256" s="303"/>
      <c r="C256" s="304">
        <f t="shared" ref="C256:AG256" si="263">C32</f>
        <v>143.57279713811519</v>
      </c>
      <c r="D256" s="304">
        <f t="shared" si="263"/>
        <v>148.38557260308718</v>
      </c>
      <c r="E256" s="304">
        <f t="shared" si="263"/>
        <v>152.95878662154348</v>
      </c>
      <c r="F256" s="304">
        <f t="shared" si="263"/>
        <v>157.26105032826672</v>
      </c>
      <c r="G256" s="304">
        <f t="shared" si="263"/>
        <v>161.26223094850147</v>
      </c>
      <c r="H256" s="304">
        <f t="shared" si="263"/>
        <v>164.93380334569201</v>
      </c>
      <c r="I256" s="304">
        <f t="shared" si="263"/>
        <v>168.61217921778913</v>
      </c>
      <c r="J256" s="304">
        <f t="shared" si="263"/>
        <v>172.29402813633467</v>
      </c>
      <c r="K256" s="304">
        <f t="shared" si="263"/>
        <v>175.97593511993952</v>
      </c>
      <c r="L256" s="304">
        <f t="shared" si="263"/>
        <v>179.65440507537406</v>
      </c>
      <c r="M256" s="304">
        <f t="shared" si="263"/>
        <v>183.32586753881003</v>
      </c>
      <c r="N256" s="304">
        <f t="shared" si="263"/>
        <v>186.71914291497094</v>
      </c>
      <c r="O256" s="304">
        <f t="shared" si="263"/>
        <v>189.81541148857292</v>
      </c>
      <c r="P256" s="304">
        <f t="shared" si="263"/>
        <v>192.59718281286834</v>
      </c>
      <c r="Q256" s="304">
        <f t="shared" si="263"/>
        <v>195.04845826958712</v>
      </c>
      <c r="R256" s="304">
        <f t="shared" si="263"/>
        <v>197.15488262884489</v>
      </c>
      <c r="S256" s="304">
        <f t="shared" si="263"/>
        <v>199.26224175186022</v>
      </c>
      <c r="T256" s="304">
        <f t="shared" si="263"/>
        <v>201.37006612424096</v>
      </c>
      <c r="U256" s="304">
        <f t="shared" si="263"/>
        <v>203.47788059484677</v>
      </c>
      <c r="V256" s="304">
        <f t="shared" si="263"/>
        <v>205.5852045256907</v>
      </c>
      <c r="W256" s="304">
        <f t="shared" si="263"/>
        <v>207.69155194681969</v>
      </c>
      <c r="X256" s="304">
        <f t="shared" si="263"/>
        <v>209.79874250041232</v>
      </c>
      <c r="Y256" s="304">
        <f t="shared" si="263"/>
        <v>211.90635313455866</v>
      </c>
      <c r="Z256" s="304">
        <f t="shared" si="263"/>
        <v>214.01395601642673</v>
      </c>
      <c r="AA256" s="304">
        <f t="shared" si="263"/>
        <v>216.12111865450612</v>
      </c>
      <c r="AB256" s="304">
        <f t="shared" si="263"/>
        <v>218.22740402465692</v>
      </c>
      <c r="AC256" s="304">
        <f t="shared" si="263"/>
        <v>220.33445377437795</v>
      </c>
      <c r="AD256" s="304">
        <f t="shared" si="263"/>
        <v>222.44188470209969</v>
      </c>
      <c r="AE256" s="304">
        <f t="shared" si="263"/>
        <v>224.54930951532904</v>
      </c>
      <c r="AF256" s="304">
        <f t="shared" si="263"/>
        <v>226.65633693133458</v>
      </c>
      <c r="AG256" s="304">
        <f t="shared" si="263"/>
        <v>228.76257178078129</v>
      </c>
      <c r="AI256" s="305"/>
      <c r="AJ256" s="306"/>
    </row>
    <row r="257" spans="1:36" s="58" customFormat="1" outlineLevel="1" x14ac:dyDescent="0.2">
      <c r="A257" s="307" t="s">
        <v>3</v>
      </c>
      <c r="B257" s="308" t="s">
        <v>704</v>
      </c>
      <c r="C257" s="309">
        <v>0</v>
      </c>
      <c r="D257" s="309">
        <v>0</v>
      </c>
      <c r="E257" s="309">
        <v>0</v>
      </c>
      <c r="F257" s="309">
        <v>0</v>
      </c>
      <c r="G257" s="309">
        <v>0</v>
      </c>
      <c r="H257" s="309">
        <v>0</v>
      </c>
      <c r="I257" s="309">
        <v>0</v>
      </c>
      <c r="J257" s="309">
        <v>0</v>
      </c>
      <c r="K257" s="309">
        <v>0</v>
      </c>
      <c r="L257" s="309">
        <v>0</v>
      </c>
      <c r="M257" s="309">
        <v>0</v>
      </c>
      <c r="N257" s="309">
        <v>0</v>
      </c>
      <c r="O257" s="309">
        <v>0</v>
      </c>
      <c r="P257" s="309">
        <v>0</v>
      </c>
      <c r="Q257" s="309">
        <v>0</v>
      </c>
      <c r="R257" s="309">
        <v>0</v>
      </c>
      <c r="S257" s="309">
        <v>0</v>
      </c>
      <c r="T257" s="309">
        <v>0</v>
      </c>
      <c r="U257" s="309">
        <v>0</v>
      </c>
      <c r="V257" s="309">
        <v>0</v>
      </c>
      <c r="W257" s="309">
        <v>0</v>
      </c>
      <c r="X257" s="309">
        <v>0</v>
      </c>
      <c r="Y257" s="309">
        <v>0</v>
      </c>
      <c r="Z257" s="309">
        <v>0</v>
      </c>
      <c r="AA257" s="309">
        <v>0</v>
      </c>
      <c r="AB257" s="309">
        <v>0</v>
      </c>
      <c r="AC257" s="309">
        <v>0</v>
      </c>
      <c r="AD257" s="309">
        <v>0</v>
      </c>
      <c r="AE257" s="309">
        <v>0</v>
      </c>
      <c r="AF257" s="309">
        <v>0</v>
      </c>
      <c r="AG257" s="309">
        <v>0</v>
      </c>
      <c r="AI257" s="305"/>
      <c r="AJ257" s="306"/>
    </row>
    <row r="258" spans="1:36" outlineLevel="1" x14ac:dyDescent="0.2">
      <c r="A258" s="310" t="s">
        <v>51</v>
      </c>
      <c r="B258" s="302" t="s">
        <v>704</v>
      </c>
      <c r="C258" s="249">
        <f t="shared" ref="C258:AG258" si="264">C225</f>
        <v>17.861834618571326</v>
      </c>
      <c r="D258" s="249">
        <f t="shared" si="264"/>
        <v>18.160127256701465</v>
      </c>
      <c r="E258" s="249">
        <f t="shared" si="264"/>
        <v>18.463401381888378</v>
      </c>
      <c r="F258" s="249">
        <f t="shared" si="264"/>
        <v>18.771740184965914</v>
      </c>
      <c r="G258" s="249">
        <f t="shared" si="264"/>
        <v>19.085228246054843</v>
      </c>
      <c r="H258" s="249">
        <f t="shared" si="264"/>
        <v>19.403951557763957</v>
      </c>
      <c r="I258" s="249">
        <f t="shared" si="264"/>
        <v>19.727997548778614</v>
      </c>
      <c r="J258" s="249">
        <f t="shared" si="264"/>
        <v>20.057455107843214</v>
      </c>
      <c r="K258" s="249">
        <f t="shared" si="264"/>
        <v>20.392414608144193</v>
      </c>
      <c r="L258" s="249">
        <f t="shared" si="264"/>
        <v>20.732967932100198</v>
      </c>
      <c r="M258" s="249">
        <f t="shared" si="264"/>
        <v>21.07920849656627</v>
      </c>
      <c r="N258" s="249">
        <f t="shared" si="264"/>
        <v>21.431231278458927</v>
      </c>
      <c r="O258" s="249">
        <f t="shared" si="264"/>
        <v>21.789132840809192</v>
      </c>
      <c r="P258" s="249">
        <f t="shared" si="264"/>
        <v>22.153011359250705</v>
      </c>
      <c r="Q258" s="249">
        <f t="shared" si="264"/>
        <v>22.522966648950192</v>
      </c>
      <c r="R258" s="249">
        <f t="shared" si="264"/>
        <v>22.899100191987657</v>
      </c>
      <c r="S258" s="249">
        <f t="shared" si="264"/>
        <v>23.281515165193849</v>
      </c>
      <c r="T258" s="249">
        <f t="shared" si="264"/>
        <v>23.670316468452583</v>
      </c>
      <c r="U258" s="249">
        <f t="shared" si="264"/>
        <v>24.065610753475738</v>
      </c>
      <c r="V258" s="249">
        <f t="shared" si="264"/>
        <v>24.467506453058782</v>
      </c>
      <c r="W258" s="249">
        <f t="shared" si="264"/>
        <v>24.876113810824862</v>
      </c>
      <c r="X258" s="249">
        <f t="shared" si="264"/>
        <v>25.291544911465635</v>
      </c>
      <c r="Y258" s="249">
        <f t="shared" si="264"/>
        <v>25.713913711487109</v>
      </c>
      <c r="Z258" s="249">
        <f t="shared" si="264"/>
        <v>26.143336070468941</v>
      </c>
      <c r="AA258" s="249">
        <f t="shared" si="264"/>
        <v>26.57992978284577</v>
      </c>
      <c r="AB258" s="249">
        <f t="shared" si="264"/>
        <v>27.023814610219294</v>
      </c>
      <c r="AC258" s="249">
        <f t="shared" si="264"/>
        <v>27.475112314209955</v>
      </c>
      <c r="AD258" s="249">
        <f t="shared" si="264"/>
        <v>27.933946689857258</v>
      </c>
      <c r="AE258" s="249">
        <f t="shared" si="264"/>
        <v>28.400443599577873</v>
      </c>
      <c r="AF258" s="249">
        <f t="shared" si="264"/>
        <v>28.874731007690823</v>
      </c>
      <c r="AG258" s="249">
        <f t="shared" si="264"/>
        <v>29.356939015519259</v>
      </c>
      <c r="AI258" s="296"/>
    </row>
    <row r="259" spans="1:36" s="68" customFormat="1" outlineLevel="1" x14ac:dyDescent="0.2">
      <c r="A259" s="311" t="s">
        <v>1387</v>
      </c>
      <c r="B259" s="312" t="s">
        <v>704</v>
      </c>
      <c r="C259" s="313">
        <f>C256-C257-C258</f>
        <v>125.71096251954387</v>
      </c>
      <c r="D259" s="313">
        <f t="shared" ref="D259:AG259" si="265">D256-D257-D258</f>
        <v>130.22544534638573</v>
      </c>
      <c r="E259" s="313">
        <f t="shared" si="265"/>
        <v>134.49538523965509</v>
      </c>
      <c r="F259" s="313">
        <f t="shared" si="265"/>
        <v>138.4893101433008</v>
      </c>
      <c r="G259" s="313">
        <f t="shared" si="265"/>
        <v>142.17700270244663</v>
      </c>
      <c r="H259" s="313">
        <f t="shared" si="265"/>
        <v>145.52985178792807</v>
      </c>
      <c r="I259" s="313">
        <f t="shared" si="265"/>
        <v>148.88418166901053</v>
      </c>
      <c r="J259" s="313">
        <f t="shared" si="265"/>
        <v>152.23657302849145</v>
      </c>
      <c r="K259" s="313">
        <f t="shared" si="265"/>
        <v>155.58352051179531</v>
      </c>
      <c r="L259" s="313">
        <f t="shared" si="265"/>
        <v>158.92143714327386</v>
      </c>
      <c r="M259" s="313">
        <f t="shared" si="265"/>
        <v>162.24665904224375</v>
      </c>
      <c r="N259" s="313">
        <f t="shared" si="265"/>
        <v>165.28791163651201</v>
      </c>
      <c r="O259" s="313">
        <f t="shared" si="265"/>
        <v>168.02627864776372</v>
      </c>
      <c r="P259" s="313">
        <f t="shared" si="265"/>
        <v>170.44417145361763</v>
      </c>
      <c r="Q259" s="313">
        <f t="shared" si="265"/>
        <v>172.52549162063693</v>
      </c>
      <c r="R259" s="313">
        <f t="shared" si="265"/>
        <v>174.25578243685723</v>
      </c>
      <c r="S259" s="313">
        <f t="shared" si="265"/>
        <v>175.98072658666638</v>
      </c>
      <c r="T259" s="313">
        <f t="shared" si="265"/>
        <v>177.69974965578837</v>
      </c>
      <c r="U259" s="313">
        <f t="shared" si="265"/>
        <v>179.41226984137103</v>
      </c>
      <c r="V259" s="313">
        <f t="shared" si="265"/>
        <v>181.11769807263192</v>
      </c>
      <c r="W259" s="313">
        <f t="shared" si="265"/>
        <v>182.81543813599484</v>
      </c>
      <c r="X259" s="313">
        <f t="shared" si="265"/>
        <v>184.50719758894667</v>
      </c>
      <c r="Y259" s="313">
        <f t="shared" si="265"/>
        <v>186.19243942307156</v>
      </c>
      <c r="Z259" s="313">
        <f t="shared" si="265"/>
        <v>187.8706199459578</v>
      </c>
      <c r="AA259" s="313">
        <f t="shared" si="265"/>
        <v>189.54118887166035</v>
      </c>
      <c r="AB259" s="313">
        <f t="shared" si="265"/>
        <v>191.20358941443763</v>
      </c>
      <c r="AC259" s="313">
        <f t="shared" si="265"/>
        <v>192.859341460168</v>
      </c>
      <c r="AD259" s="313">
        <f t="shared" si="265"/>
        <v>194.50793801224242</v>
      </c>
      <c r="AE259" s="313">
        <f t="shared" si="265"/>
        <v>196.14886591575117</v>
      </c>
      <c r="AF259" s="313">
        <f t="shared" si="265"/>
        <v>197.78160592364375</v>
      </c>
      <c r="AG259" s="313">
        <f t="shared" si="265"/>
        <v>199.40563276526203</v>
      </c>
      <c r="AI259" s="314"/>
      <c r="AJ259" s="315"/>
    </row>
    <row r="260" spans="1:36" outlineLevel="1" x14ac:dyDescent="0.2">
      <c r="A260" s="112" t="s">
        <v>90</v>
      </c>
      <c r="B260" s="302" t="s">
        <v>704</v>
      </c>
      <c r="C260" s="230">
        <f t="shared" ref="C260:AG260" si="266">C229*C$259</f>
        <v>20.113754003127021</v>
      </c>
      <c r="D260" s="230">
        <f t="shared" si="266"/>
        <v>21.105203842470914</v>
      </c>
      <c r="E260" s="230">
        <f t="shared" si="266"/>
        <v>22.075175897335388</v>
      </c>
      <c r="F260" s="230">
        <f t="shared" si="266"/>
        <v>23.01692334581659</v>
      </c>
      <c r="G260" s="230">
        <f t="shared" si="266"/>
        <v>23.923650321398352</v>
      </c>
      <c r="H260" s="230">
        <f t="shared" si="266"/>
        <v>24.788584754543745</v>
      </c>
      <c r="I260" s="230">
        <f t="shared" si="266"/>
        <v>25.667632919737411</v>
      </c>
      <c r="J260" s="230">
        <f t="shared" si="266"/>
        <v>26.56020744103747</v>
      </c>
      <c r="K260" s="230">
        <f t="shared" si="266"/>
        <v>27.46567748768226</v>
      </c>
      <c r="L260" s="230">
        <f t="shared" si="266"/>
        <v>28.383368673788706</v>
      </c>
      <c r="M260" s="230">
        <f t="shared" si="266"/>
        <v>29.312563066965364</v>
      </c>
      <c r="N260" s="230">
        <f t="shared" si="266"/>
        <v>30.203611053045286</v>
      </c>
      <c r="O260" s="230">
        <f t="shared" si="266"/>
        <v>31.051256294106725</v>
      </c>
      <c r="P260" s="230">
        <f t="shared" si="266"/>
        <v>31.850334172299334</v>
      </c>
      <c r="Q260" s="230">
        <f t="shared" si="266"/>
        <v>32.595816216858992</v>
      </c>
      <c r="R260" s="230">
        <f t="shared" si="266"/>
        <v>33.282854445439717</v>
      </c>
      <c r="S260" s="230">
        <f t="shared" si="266"/>
        <v>33.97601227966571</v>
      </c>
      <c r="T260" s="230">
        <f t="shared" si="266"/>
        <v>34.67514448283282</v>
      </c>
      <c r="U260" s="230">
        <f t="shared" si="266"/>
        <v>35.380099612718347</v>
      </c>
      <c r="V260" s="230">
        <f t="shared" si="266"/>
        <v>36.090719969273103</v>
      </c>
      <c r="W260" s="230">
        <f t="shared" si="266"/>
        <v>36.806841544713606</v>
      </c>
      <c r="X260" s="230">
        <f t="shared" si="266"/>
        <v>37.528763989591731</v>
      </c>
      <c r="Y260" s="230">
        <f t="shared" si="266"/>
        <v>38.256339886793747</v>
      </c>
      <c r="Z260" s="230">
        <f t="shared" si="266"/>
        <v>38.989415992784416</v>
      </c>
      <c r="AA260" s="230">
        <f t="shared" si="266"/>
        <v>39.727833187499982</v>
      </c>
      <c r="AB260" s="230">
        <f t="shared" si="266"/>
        <v>40.471426426055942</v>
      </c>
      <c r="AC260" s="230">
        <f t="shared" si="266"/>
        <v>41.22046991475321</v>
      </c>
      <c r="AD260" s="230">
        <f t="shared" si="266"/>
        <v>41.974813023041882</v>
      </c>
      <c r="AE260" s="230">
        <f t="shared" si="266"/>
        <v>42.734299587511629</v>
      </c>
      <c r="AF260" s="230">
        <f t="shared" si="266"/>
        <v>43.498767862806687</v>
      </c>
      <c r="AG260" s="230">
        <f t="shared" si="266"/>
        <v>44.268050473888174</v>
      </c>
      <c r="AI260" s="214"/>
    </row>
    <row r="261" spans="1:36" outlineLevel="1" x14ac:dyDescent="0.2">
      <c r="A261" s="112" t="s">
        <v>33</v>
      </c>
      <c r="B261" s="302" t="s">
        <v>704</v>
      </c>
      <c r="C261" s="230">
        <f t="shared" ref="C261:AG261" si="267">C230*C$259</f>
        <v>46.513056132231235</v>
      </c>
      <c r="D261" s="230">
        <f t="shared" si="267"/>
        <v>47.232769027134104</v>
      </c>
      <c r="E261" s="230">
        <f t="shared" si="267"/>
        <v>47.799659914173425</v>
      </c>
      <c r="F261" s="230">
        <f t="shared" si="267"/>
        <v>48.208128860883015</v>
      </c>
      <c r="G261" s="230">
        <f t="shared" si="267"/>
        <v>48.453922520993828</v>
      </c>
      <c r="H261" s="230">
        <f t="shared" si="267"/>
        <v>48.534205571274029</v>
      </c>
      <c r="I261" s="230">
        <f t="shared" si="267"/>
        <v>48.566020060431256</v>
      </c>
      <c r="J261" s="230">
        <f t="shared" si="267"/>
        <v>48.548243138785949</v>
      </c>
      <c r="K261" s="230">
        <f t="shared" si="267"/>
        <v>48.479824991475454</v>
      </c>
      <c r="L261" s="230">
        <f t="shared" si="267"/>
        <v>48.359793322698273</v>
      </c>
      <c r="M261" s="230">
        <f t="shared" si="267"/>
        <v>48.187257735546439</v>
      </c>
      <c r="N261" s="230">
        <f t="shared" si="267"/>
        <v>47.883908001097574</v>
      </c>
      <c r="O261" s="230">
        <f t="shared" si="267"/>
        <v>47.450621090128529</v>
      </c>
      <c r="P261" s="230">
        <f t="shared" si="267"/>
        <v>46.889191566890268</v>
      </c>
      <c r="Q261" s="230">
        <f t="shared" si="267"/>
        <v>46.202326656006633</v>
      </c>
      <c r="R261" s="230">
        <f t="shared" si="267"/>
        <v>45.393631324801376</v>
      </c>
      <c r="S261" s="230">
        <f t="shared" si="267"/>
        <v>44.558319971744005</v>
      </c>
      <c r="T261" s="230">
        <f t="shared" si="267"/>
        <v>43.696368440358434</v>
      </c>
      <c r="U261" s="230">
        <f t="shared" si="267"/>
        <v>42.8077675841512</v>
      </c>
      <c r="V261" s="230">
        <f t="shared" si="267"/>
        <v>41.892523564199841</v>
      </c>
      <c r="W261" s="230">
        <f t="shared" si="267"/>
        <v>40.95065814246292</v>
      </c>
      <c r="X261" s="230">
        <f t="shared" si="267"/>
        <v>39.98270971752482</v>
      </c>
      <c r="Y261" s="230">
        <f t="shared" si="267"/>
        <v>38.988696815191261</v>
      </c>
      <c r="Z261" s="230">
        <f t="shared" si="267"/>
        <v>37.968652291078151</v>
      </c>
      <c r="AA261" s="230">
        <f t="shared" si="267"/>
        <v>36.922623592199514</v>
      </c>
      <c r="AB261" s="230">
        <f t="shared" si="267"/>
        <v>35.850673015207136</v>
      </c>
      <c r="AC261" s="230">
        <f t="shared" si="267"/>
        <v>34.753253331122352</v>
      </c>
      <c r="AD261" s="230">
        <f t="shared" si="267"/>
        <v>33.630422482316796</v>
      </c>
      <c r="AE261" s="230">
        <f t="shared" si="267"/>
        <v>32.482252195648478</v>
      </c>
      <c r="AF261" s="230">
        <f t="shared" si="267"/>
        <v>31.308828217712886</v>
      </c>
      <c r="AG261" s="230">
        <f t="shared" si="267"/>
        <v>30.110250547554564</v>
      </c>
      <c r="AI261" s="214"/>
    </row>
    <row r="262" spans="1:36" outlineLevel="1" x14ac:dyDescent="0.2">
      <c r="A262" s="112" t="s">
        <v>451</v>
      </c>
      <c r="B262" s="302" t="s">
        <v>704</v>
      </c>
      <c r="C262" s="230">
        <f t="shared" ref="C262:AG262" si="268">C231*C$259</f>
        <v>10.05687700156351</v>
      </c>
      <c r="D262" s="230">
        <f t="shared" si="268"/>
        <v>10.431058172245498</v>
      </c>
      <c r="E262" s="230">
        <f t="shared" si="268"/>
        <v>10.786529896220339</v>
      </c>
      <c r="F262" s="230">
        <f t="shared" si="268"/>
        <v>11.120691604507055</v>
      </c>
      <c r="G262" s="230">
        <f t="shared" si="268"/>
        <v>11.431031017276711</v>
      </c>
      <c r="H262" s="230">
        <f t="shared" si="268"/>
        <v>11.715153068928212</v>
      </c>
      <c r="I262" s="230">
        <f t="shared" si="268"/>
        <v>12.000065042522252</v>
      </c>
      <c r="J262" s="230">
        <f t="shared" si="268"/>
        <v>12.285491443399263</v>
      </c>
      <c r="K262" s="230">
        <f t="shared" si="268"/>
        <v>12.571148457353065</v>
      </c>
      <c r="L262" s="230">
        <f t="shared" si="268"/>
        <v>12.85674426489086</v>
      </c>
      <c r="M262" s="230">
        <f t="shared" si="268"/>
        <v>13.141979382421749</v>
      </c>
      <c r="N262" s="230">
        <f t="shared" si="268"/>
        <v>13.404849633721129</v>
      </c>
      <c r="O262" s="230">
        <f t="shared" si="268"/>
        <v>13.643733826198419</v>
      </c>
      <c r="P262" s="230">
        <f t="shared" si="268"/>
        <v>13.85711113917912</v>
      </c>
      <c r="Q262" s="230">
        <f t="shared" si="268"/>
        <v>14.043575017919853</v>
      </c>
      <c r="R262" s="230">
        <f t="shared" si="268"/>
        <v>14.201846268603871</v>
      </c>
      <c r="S262" s="230">
        <f t="shared" si="268"/>
        <v>14.360027289471985</v>
      </c>
      <c r="T262" s="230">
        <f t="shared" si="268"/>
        <v>14.518069546877918</v>
      </c>
      <c r="U262" s="230">
        <f t="shared" si="268"/>
        <v>14.67592367302416</v>
      </c>
      <c r="V262" s="230">
        <f t="shared" si="268"/>
        <v>14.833539472148566</v>
      </c>
      <c r="W262" s="230">
        <f t="shared" si="268"/>
        <v>14.990865927151587</v>
      </c>
      <c r="X262" s="230">
        <f t="shared" si="268"/>
        <v>15.148040922052532</v>
      </c>
      <c r="Y262" s="230">
        <f t="shared" si="268"/>
        <v>15.305018520576494</v>
      </c>
      <c r="Z262" s="230">
        <f t="shared" si="268"/>
        <v>15.461752021552339</v>
      </c>
      <c r="AA262" s="230">
        <f t="shared" si="268"/>
        <v>15.618193963024826</v>
      </c>
      <c r="AB262" s="230">
        <f t="shared" si="268"/>
        <v>15.774296126691118</v>
      </c>
      <c r="AC262" s="230">
        <f t="shared" si="268"/>
        <v>15.930181604609892</v>
      </c>
      <c r="AD262" s="230">
        <f t="shared" si="268"/>
        <v>16.085806473612465</v>
      </c>
      <c r="AE262" s="230">
        <f t="shared" si="268"/>
        <v>16.241126097824214</v>
      </c>
      <c r="AF262" s="230">
        <f t="shared" si="268"/>
        <v>16.396095131070084</v>
      </c>
      <c r="AG262" s="230">
        <f t="shared" si="268"/>
        <v>16.55066751951675</v>
      </c>
      <c r="AI262" s="214"/>
    </row>
    <row r="263" spans="1:36" outlineLevel="1" x14ac:dyDescent="0.2">
      <c r="A263" s="112" t="s">
        <v>452</v>
      </c>
      <c r="B263" s="302" t="s">
        <v>704</v>
      </c>
      <c r="C263" s="230">
        <f t="shared" ref="C263:AG263" si="269">C232*C$259</f>
        <v>33.941959880276848</v>
      </c>
      <c r="D263" s="230">
        <f t="shared" si="269"/>
        <v>35.568909972276153</v>
      </c>
      <c r="E263" s="230">
        <f t="shared" si="269"/>
        <v>37.156591762208713</v>
      </c>
      <c r="F263" s="230">
        <f t="shared" si="269"/>
        <v>38.693913254038243</v>
      </c>
      <c r="G263" s="230">
        <f t="shared" si="269"/>
        <v>40.169742496864586</v>
      </c>
      <c r="H263" s="230">
        <f t="shared" si="269"/>
        <v>41.573027660751443</v>
      </c>
      <c r="I263" s="230">
        <f t="shared" si="269"/>
        <v>42.997751666010231</v>
      </c>
      <c r="J263" s="230">
        <f t="shared" si="269"/>
        <v>44.442930219450929</v>
      </c>
      <c r="K263" s="230">
        <f t="shared" si="269"/>
        <v>45.907510785680394</v>
      </c>
      <c r="L263" s="230">
        <f t="shared" si="269"/>
        <v>47.390372556124248</v>
      </c>
      <c r="M263" s="230">
        <f t="shared" si="269"/>
        <v>48.890326591396096</v>
      </c>
      <c r="N263" s="230">
        <f t="shared" si="269"/>
        <v>50.324659496263337</v>
      </c>
      <c r="O263" s="230">
        <f t="shared" si="269"/>
        <v>51.684883312052101</v>
      </c>
      <c r="P263" s="230">
        <f t="shared" si="269"/>
        <v>52.962685543020761</v>
      </c>
      <c r="Q263" s="230">
        <f t="shared" si="269"/>
        <v>54.150000969997215</v>
      </c>
      <c r="R263" s="230">
        <f t="shared" si="269"/>
        <v>55.239083032483713</v>
      </c>
      <c r="S263" s="230">
        <f t="shared" si="269"/>
        <v>56.337296604611431</v>
      </c>
      <c r="T263" s="230">
        <f t="shared" si="269"/>
        <v>57.444405738727816</v>
      </c>
      <c r="U263" s="230">
        <f t="shared" si="269"/>
        <v>58.560164876223467</v>
      </c>
      <c r="V263" s="230">
        <f t="shared" si="269"/>
        <v>59.684318771534599</v>
      </c>
      <c r="W263" s="230">
        <f t="shared" si="269"/>
        <v>60.816602419907575</v>
      </c>
      <c r="X263" s="230">
        <f t="shared" si="269"/>
        <v>61.957516950368245</v>
      </c>
      <c r="Y263" s="230">
        <f t="shared" si="269"/>
        <v>63.106824135126345</v>
      </c>
      <c r="Z263" s="230">
        <f t="shared" si="269"/>
        <v>64.264276729513909</v>
      </c>
      <c r="AA263" s="230">
        <f t="shared" si="269"/>
        <v>65.429618398497098</v>
      </c>
      <c r="AB263" s="230">
        <f t="shared" si="269"/>
        <v>66.602583646029061</v>
      </c>
      <c r="AC263" s="230">
        <f t="shared" si="269"/>
        <v>67.78362987853366</v>
      </c>
      <c r="AD263" s="230">
        <f t="shared" si="269"/>
        <v>68.972514819141097</v>
      </c>
      <c r="AE263" s="230">
        <f t="shared" si="269"/>
        <v>70.168987633594654</v>
      </c>
      <c r="AF263" s="230">
        <f t="shared" si="269"/>
        <v>71.372788857645503</v>
      </c>
      <c r="AG263" s="230">
        <f t="shared" si="269"/>
        <v>72.583650326555372</v>
      </c>
      <c r="AI263" s="214"/>
    </row>
    <row r="264" spans="1:36" outlineLevel="1" x14ac:dyDescent="0.2">
      <c r="A264" s="112" t="s">
        <v>1364</v>
      </c>
      <c r="B264" s="302" t="s">
        <v>704</v>
      </c>
      <c r="C264" s="230">
        <f t="shared" ref="C264:AG264" si="270">C233*C$259</f>
        <v>8.7997673763680719</v>
      </c>
      <c r="D264" s="230">
        <f t="shared" si="270"/>
        <v>9.2807334050190899</v>
      </c>
      <c r="E264" s="230">
        <f t="shared" si="270"/>
        <v>9.7553986093829828</v>
      </c>
      <c r="F264" s="230">
        <f t="shared" si="270"/>
        <v>10.2205110885756</v>
      </c>
      <c r="G264" s="230">
        <f t="shared" si="270"/>
        <v>10.672753669530328</v>
      </c>
      <c r="H264" s="230">
        <f t="shared" si="270"/>
        <v>11.108778686478509</v>
      </c>
      <c r="I264" s="230">
        <f t="shared" si="270"/>
        <v>11.553412497515218</v>
      </c>
      <c r="J264" s="230">
        <f t="shared" si="270"/>
        <v>12.006391059513692</v>
      </c>
      <c r="K264" s="230">
        <f t="shared" si="270"/>
        <v>12.467426110345198</v>
      </c>
      <c r="L264" s="230">
        <f t="shared" si="270"/>
        <v>12.936204983462492</v>
      </c>
      <c r="M264" s="230">
        <f t="shared" si="270"/>
        <v>13.412390480825483</v>
      </c>
      <c r="N264" s="230">
        <f t="shared" si="270"/>
        <v>13.873165383357907</v>
      </c>
      <c r="O264" s="230">
        <f t="shared" si="270"/>
        <v>14.315838940789469</v>
      </c>
      <c r="P264" s="230">
        <f t="shared" si="270"/>
        <v>14.737739358356137</v>
      </c>
      <c r="Q264" s="230">
        <f t="shared" si="270"/>
        <v>15.136236464850546</v>
      </c>
      <c r="R264" s="230">
        <f t="shared" si="270"/>
        <v>15.508764636880294</v>
      </c>
      <c r="S264" s="230">
        <f t="shared" si="270"/>
        <v>15.885193586556417</v>
      </c>
      <c r="T264" s="230">
        <f t="shared" si="270"/>
        <v>16.26545041849316</v>
      </c>
      <c r="U264" s="230">
        <f t="shared" si="270"/>
        <v>16.649458641279232</v>
      </c>
      <c r="V264" s="230">
        <f t="shared" si="270"/>
        <v>17.037138132032243</v>
      </c>
      <c r="W264" s="230">
        <f t="shared" si="270"/>
        <v>17.428405102298175</v>
      </c>
      <c r="X264" s="230">
        <f t="shared" si="270"/>
        <v>17.823395287092247</v>
      </c>
      <c r="Y264" s="230">
        <f t="shared" si="270"/>
        <v>18.222033404871269</v>
      </c>
      <c r="Z264" s="230">
        <f t="shared" si="270"/>
        <v>18.624240790642613</v>
      </c>
      <c r="AA264" s="230">
        <f t="shared" si="270"/>
        <v>19.029935362714696</v>
      </c>
      <c r="AB264" s="230">
        <f t="shared" si="270"/>
        <v>19.439031590467824</v>
      </c>
      <c r="AC264" s="230">
        <f t="shared" si="270"/>
        <v>19.851654880966624</v>
      </c>
      <c r="AD264" s="230">
        <f t="shared" si="270"/>
        <v>20.267727140875657</v>
      </c>
      <c r="AE264" s="230">
        <f t="shared" si="270"/>
        <v>20.68716705858122</v>
      </c>
      <c r="AF264" s="230">
        <f t="shared" si="270"/>
        <v>21.109890072250241</v>
      </c>
      <c r="AG264" s="230">
        <f t="shared" si="270"/>
        <v>21.535808338648298</v>
      </c>
      <c r="AI264" s="214"/>
    </row>
    <row r="265" spans="1:36" outlineLevel="1" x14ac:dyDescent="0.2">
      <c r="A265" s="112" t="s">
        <v>1365</v>
      </c>
      <c r="B265" s="302" t="s">
        <v>704</v>
      </c>
      <c r="C265" s="230">
        <f t="shared" ref="C265:AG265" si="271">C234*C$259</f>
        <v>6.2855481259771935</v>
      </c>
      <c r="D265" s="230">
        <f t="shared" si="271"/>
        <v>6.6067709272399702</v>
      </c>
      <c r="E265" s="230">
        <f t="shared" si="271"/>
        <v>6.9220291603342501</v>
      </c>
      <c r="F265" s="230">
        <f t="shared" si="271"/>
        <v>7.2291419894803033</v>
      </c>
      <c r="G265" s="230">
        <f t="shared" si="271"/>
        <v>7.5259026763828434</v>
      </c>
      <c r="H265" s="230">
        <f t="shared" si="271"/>
        <v>7.8101020459521422</v>
      </c>
      <c r="I265" s="230">
        <f t="shared" si="271"/>
        <v>8.0992994827941747</v>
      </c>
      <c r="J265" s="230">
        <f t="shared" si="271"/>
        <v>8.3933097263041656</v>
      </c>
      <c r="K265" s="230">
        <f t="shared" si="271"/>
        <v>8.6919326792589686</v>
      </c>
      <c r="L265" s="230">
        <f t="shared" si="271"/>
        <v>8.9949533423093051</v>
      </c>
      <c r="M265" s="230">
        <f t="shared" si="271"/>
        <v>9.3021417850886454</v>
      </c>
      <c r="N265" s="230">
        <f t="shared" si="271"/>
        <v>9.5977180690268025</v>
      </c>
      <c r="O265" s="230">
        <f t="shared" si="271"/>
        <v>9.8799451844885127</v>
      </c>
      <c r="P265" s="230">
        <f t="shared" si="271"/>
        <v>10.147109673872043</v>
      </c>
      <c r="Q265" s="230">
        <f t="shared" si="271"/>
        <v>10.397536295003725</v>
      </c>
      <c r="R265" s="230">
        <f t="shared" si="271"/>
        <v>10.629602728648297</v>
      </c>
      <c r="S265" s="230">
        <f t="shared" si="271"/>
        <v>10.863876854616878</v>
      </c>
      <c r="T265" s="230">
        <f t="shared" si="271"/>
        <v>11.100311028498254</v>
      </c>
      <c r="U265" s="230">
        <f t="shared" si="271"/>
        <v>11.338855453974658</v>
      </c>
      <c r="V265" s="230">
        <f t="shared" si="271"/>
        <v>11.57945816344361</v>
      </c>
      <c r="W265" s="230">
        <f t="shared" si="271"/>
        <v>11.822064999461009</v>
      </c>
      <c r="X265" s="230">
        <f t="shared" si="271"/>
        <v>12.066770722317122</v>
      </c>
      <c r="Y265" s="230">
        <f t="shared" si="271"/>
        <v>12.313526660512476</v>
      </c>
      <c r="Z265" s="230">
        <f t="shared" si="271"/>
        <v>12.56228212038639</v>
      </c>
      <c r="AA265" s="230">
        <f t="shared" si="271"/>
        <v>12.812984367724251</v>
      </c>
      <c r="AB265" s="230">
        <f t="shared" si="271"/>
        <v>13.065578609986584</v>
      </c>
      <c r="AC265" s="230">
        <f t="shared" si="271"/>
        <v>13.320151850182283</v>
      </c>
      <c r="AD265" s="230">
        <f t="shared" si="271"/>
        <v>13.576654073254534</v>
      </c>
      <c r="AE265" s="230">
        <f t="shared" si="271"/>
        <v>13.835033342590997</v>
      </c>
      <c r="AF265" s="230">
        <f t="shared" si="271"/>
        <v>14.09523578215836</v>
      </c>
      <c r="AG265" s="230">
        <f t="shared" si="271"/>
        <v>14.357205559098865</v>
      </c>
      <c r="AI265" s="214"/>
    </row>
    <row r="266" spans="1:36" s="58" customFormat="1" x14ac:dyDescent="0.2">
      <c r="A266" s="58" t="s">
        <v>1366</v>
      </c>
      <c r="B266" s="303"/>
      <c r="C266" s="304">
        <f t="shared" ref="C266:AG266" si="272">C50</f>
        <v>143.57279713811519</v>
      </c>
      <c r="D266" s="304">
        <f t="shared" si="272"/>
        <v>146.97196898386491</v>
      </c>
      <c r="E266" s="304">
        <f t="shared" si="272"/>
        <v>150.04444541482212</v>
      </c>
      <c r="F266" s="304">
        <f t="shared" si="272"/>
        <v>152.76658123655716</v>
      </c>
      <c r="G266" s="304">
        <f t="shared" si="272"/>
        <v>155.11713559149055</v>
      </c>
      <c r="H266" s="304">
        <f t="shared" si="272"/>
        <v>157.07754693034582</v>
      </c>
      <c r="I266" s="304">
        <f t="shared" si="272"/>
        <v>158.58597124946266</v>
      </c>
      <c r="J266" s="304">
        <f t="shared" si="272"/>
        <v>160.01058809764874</v>
      </c>
      <c r="K266" s="304">
        <f t="shared" si="272"/>
        <v>161.34814309780066</v>
      </c>
      <c r="L266" s="304">
        <f t="shared" si="272"/>
        <v>162.59547096956052</v>
      </c>
      <c r="M266" s="304">
        <f t="shared" si="272"/>
        <v>163.74950450302038</v>
      </c>
      <c r="N266" s="304">
        <f t="shared" si="272"/>
        <v>163.18910435435657</v>
      </c>
      <c r="O266" s="304">
        <f t="shared" si="272"/>
        <v>162.72139559842702</v>
      </c>
      <c r="P266" s="304">
        <f t="shared" si="272"/>
        <v>161.34165953403277</v>
      </c>
      <c r="Q266" s="304">
        <f t="shared" si="272"/>
        <v>159.58275579818016</v>
      </c>
      <c r="R266" s="304">
        <f t="shared" si="272"/>
        <v>157.45259875799331</v>
      </c>
      <c r="S266" s="304">
        <f t="shared" si="272"/>
        <v>155.30021442803286</v>
      </c>
      <c r="T266" s="304">
        <f t="shared" si="272"/>
        <v>153.06703673460817</v>
      </c>
      <c r="U266" s="304">
        <f t="shared" si="272"/>
        <v>150.75268632697095</v>
      </c>
      <c r="V266" s="304">
        <f t="shared" si="272"/>
        <v>148.35681648845949</v>
      </c>
      <c r="W266" s="304">
        <f t="shared" si="272"/>
        <v>145.8791137738701</v>
      </c>
      <c r="X266" s="304">
        <f t="shared" si="272"/>
        <v>141.57332732513129</v>
      </c>
      <c r="Y266" s="304">
        <f t="shared" si="272"/>
        <v>138.83865390567689</v>
      </c>
      <c r="Z266" s="304">
        <f t="shared" si="272"/>
        <v>135.9955108722406</v>
      </c>
      <c r="AA266" s="304">
        <f t="shared" si="272"/>
        <v>133.06880617812516</v>
      </c>
      <c r="AB266" s="304">
        <f t="shared" si="272"/>
        <v>130.05830888609725</v>
      </c>
      <c r="AC266" s="304">
        <f t="shared" si="272"/>
        <v>126.92391239728556</v>
      </c>
      <c r="AD266" s="304">
        <f t="shared" si="272"/>
        <v>123.70568397013372</v>
      </c>
      <c r="AE266" s="304">
        <f t="shared" si="272"/>
        <v>120.40339732372414</v>
      </c>
      <c r="AF266" s="304">
        <f t="shared" si="272"/>
        <v>117.01685522507819</v>
      </c>
      <c r="AG266" s="304">
        <f t="shared" si="272"/>
        <v>113.54588993928662</v>
      </c>
      <c r="AI266" s="305"/>
      <c r="AJ266" s="306"/>
    </row>
    <row r="267" spans="1:36" s="58" customFormat="1" x14ac:dyDescent="0.2">
      <c r="A267" s="307" t="s">
        <v>3</v>
      </c>
      <c r="B267" s="308" t="s">
        <v>704</v>
      </c>
      <c r="C267" s="309">
        <f t="shared" ref="C267:AG267" si="273">C50-C32</f>
        <v>0</v>
      </c>
      <c r="D267" s="309">
        <f t="shared" si="273"/>
        <v>-1.4136036192222718</v>
      </c>
      <c r="E267" s="309">
        <f t="shared" si="273"/>
        <v>-2.9143412067213603</v>
      </c>
      <c r="F267" s="309">
        <f t="shared" si="273"/>
        <v>-4.4944690917095613</v>
      </c>
      <c r="G267" s="309">
        <f t="shared" si="273"/>
        <v>-6.1450953570109164</v>
      </c>
      <c r="H267" s="309">
        <f t="shared" si="273"/>
        <v>-7.8562564153461949</v>
      </c>
      <c r="I267" s="309">
        <f t="shared" si="273"/>
        <v>-10.026207968326474</v>
      </c>
      <c r="J267" s="309">
        <f t="shared" si="273"/>
        <v>-12.283440038685939</v>
      </c>
      <c r="K267" s="309">
        <f t="shared" si="273"/>
        <v>-14.627792022138863</v>
      </c>
      <c r="L267" s="309">
        <f t="shared" si="273"/>
        <v>-17.058934105813535</v>
      </c>
      <c r="M267" s="309">
        <f t="shared" si="273"/>
        <v>-19.576363035789655</v>
      </c>
      <c r="N267" s="309">
        <f t="shared" si="273"/>
        <v>-23.530038560614372</v>
      </c>
      <c r="O267" s="309">
        <f t="shared" si="273"/>
        <v>-27.094015890145897</v>
      </c>
      <c r="P267" s="309">
        <f t="shared" si="273"/>
        <v>-31.255523278835568</v>
      </c>
      <c r="Q267" s="309">
        <f t="shared" si="273"/>
        <v>-35.465702471406956</v>
      </c>
      <c r="R267" s="309">
        <f t="shared" si="273"/>
        <v>-39.702283870851574</v>
      </c>
      <c r="S267" s="309">
        <f t="shared" si="273"/>
        <v>-43.962027323827357</v>
      </c>
      <c r="T267" s="309">
        <f t="shared" si="273"/>
        <v>-48.303029389632798</v>
      </c>
      <c r="U267" s="309">
        <f t="shared" si="273"/>
        <v>-52.725194267875821</v>
      </c>
      <c r="V267" s="309">
        <f t="shared" si="273"/>
        <v>-57.228388037231213</v>
      </c>
      <c r="W267" s="309">
        <f t="shared" si="273"/>
        <v>-61.812438172949584</v>
      </c>
      <c r="X267" s="309">
        <f t="shared" si="273"/>
        <v>-68.225415175281029</v>
      </c>
      <c r="Y267" s="309">
        <f t="shared" si="273"/>
        <v>-73.067699228881764</v>
      </c>
      <c r="Z267" s="309">
        <f t="shared" si="273"/>
        <v>-78.018445144186131</v>
      </c>
      <c r="AA267" s="309">
        <f t="shared" si="273"/>
        <v>-83.052312476380962</v>
      </c>
      <c r="AB267" s="309">
        <f t="shared" si="273"/>
        <v>-88.169095138559669</v>
      </c>
      <c r="AC267" s="309">
        <f t="shared" si="273"/>
        <v>-93.410541377092386</v>
      </c>
      <c r="AD267" s="309">
        <f t="shared" si="273"/>
        <v>-98.736200731965965</v>
      </c>
      <c r="AE267" s="309">
        <f t="shared" si="273"/>
        <v>-104.14591219160491</v>
      </c>
      <c r="AF267" s="309">
        <f t="shared" si="273"/>
        <v>-109.63948170625639</v>
      </c>
      <c r="AG267" s="309">
        <f t="shared" si="273"/>
        <v>-115.21668184149466</v>
      </c>
      <c r="AI267" s="305"/>
      <c r="AJ267" s="306"/>
    </row>
    <row r="268" spans="1:36" x14ac:dyDescent="0.2">
      <c r="A268" s="310" t="s">
        <v>51</v>
      </c>
      <c r="B268" s="302" t="s">
        <v>704</v>
      </c>
      <c r="C268" s="249">
        <f t="shared" ref="C268:AG268" si="274">C224</f>
        <v>17.861834618571326</v>
      </c>
      <c r="D268" s="249">
        <f t="shared" si="274"/>
        <v>19.10066007535314</v>
      </c>
      <c r="E268" s="249">
        <f t="shared" si="274"/>
        <v>20.326034188179673</v>
      </c>
      <c r="F268" s="249">
        <f t="shared" si="274"/>
        <v>21.52873821376847</v>
      </c>
      <c r="G268" s="249">
        <f t="shared" si="274"/>
        <v>22.699477037904504</v>
      </c>
      <c r="H268" s="249">
        <f t="shared" si="274"/>
        <v>23.828997691393756</v>
      </c>
      <c r="I268" s="249">
        <f t="shared" si="274"/>
        <v>24.920203594353069</v>
      </c>
      <c r="J268" s="249">
        <f t="shared" si="274"/>
        <v>26.00816187260299</v>
      </c>
      <c r="K268" s="249">
        <f t="shared" si="274"/>
        <v>27.090730901312558</v>
      </c>
      <c r="L268" s="249">
        <f t="shared" si="274"/>
        <v>28.165727721645215</v>
      </c>
      <c r="M268" s="249">
        <f t="shared" si="274"/>
        <v>29.23093325446364</v>
      </c>
      <c r="N268" s="249">
        <f t="shared" si="274"/>
        <v>30.994368417798409</v>
      </c>
      <c r="O268" s="249">
        <f t="shared" si="274"/>
        <v>32.763343065805515</v>
      </c>
      <c r="P268" s="249">
        <f t="shared" si="274"/>
        <v>34.285439228140206</v>
      </c>
      <c r="Q268" s="249">
        <f t="shared" si="274"/>
        <v>35.669372491565973</v>
      </c>
      <c r="R268" s="249">
        <f t="shared" si="274"/>
        <v>36.904259676593028</v>
      </c>
      <c r="S268" s="249">
        <f t="shared" si="274"/>
        <v>38.064116044746605</v>
      </c>
      <c r="T268" s="249">
        <f t="shared" si="274"/>
        <v>39.132615658773695</v>
      </c>
      <c r="U268" s="249">
        <f t="shared" si="274"/>
        <v>40.106990200470058</v>
      </c>
      <c r="V268" s="249">
        <f t="shared" si="274"/>
        <v>40.984493572032811</v>
      </c>
      <c r="W268" s="249">
        <f t="shared" si="274"/>
        <v>41.762404387866567</v>
      </c>
      <c r="X268" s="249">
        <f t="shared" si="274"/>
        <v>42.921460653080757</v>
      </c>
      <c r="Y268" s="249">
        <f t="shared" si="274"/>
        <v>44.498990638127026</v>
      </c>
      <c r="Z268" s="249">
        <f t="shared" si="274"/>
        <v>45.899549468763738</v>
      </c>
      <c r="AA268" s="249">
        <f t="shared" si="274"/>
        <v>47.125533221783982</v>
      </c>
      <c r="AB268" s="249">
        <f t="shared" si="274"/>
        <v>48.172480788552022</v>
      </c>
      <c r="AC268" s="249">
        <f t="shared" si="274"/>
        <v>49.021306875883333</v>
      </c>
      <c r="AD268" s="249">
        <f t="shared" si="274"/>
        <v>49.681090085337409</v>
      </c>
      <c r="AE268" s="249">
        <f t="shared" si="274"/>
        <v>50.14749590784735</v>
      </c>
      <c r="AF268" s="249">
        <f t="shared" si="274"/>
        <v>50.416239114269601</v>
      </c>
      <c r="AG268" s="249">
        <f t="shared" si="274"/>
        <v>50.48308720737878</v>
      </c>
      <c r="AI268" s="296"/>
    </row>
    <row r="269" spans="1:36" s="68" customFormat="1" x14ac:dyDescent="0.2">
      <c r="A269" s="311" t="s">
        <v>1387</v>
      </c>
      <c r="B269" s="312" t="s">
        <v>704</v>
      </c>
      <c r="C269" s="313">
        <f>C266-C268</f>
        <v>125.71096251954387</v>
      </c>
      <c r="D269" s="313">
        <f t="shared" ref="D269:AG269" si="275">D266-D268</f>
        <v>127.87130890851176</v>
      </c>
      <c r="E269" s="313">
        <f t="shared" si="275"/>
        <v>129.71841122664244</v>
      </c>
      <c r="F269" s="313">
        <f t="shared" si="275"/>
        <v>131.2378430227887</v>
      </c>
      <c r="G269" s="313">
        <f t="shared" si="275"/>
        <v>132.41765855358605</v>
      </c>
      <c r="H269" s="313">
        <f t="shared" si="275"/>
        <v>133.24854923895205</v>
      </c>
      <c r="I269" s="313">
        <f t="shared" si="275"/>
        <v>133.66576765510959</v>
      </c>
      <c r="J269" s="313">
        <f t="shared" si="275"/>
        <v>134.00242622504575</v>
      </c>
      <c r="K269" s="313">
        <f t="shared" si="275"/>
        <v>134.2574121964881</v>
      </c>
      <c r="L269" s="313">
        <f t="shared" si="275"/>
        <v>134.4297432479153</v>
      </c>
      <c r="M269" s="313">
        <f t="shared" si="275"/>
        <v>134.51857124855673</v>
      </c>
      <c r="N269" s="313">
        <f t="shared" si="275"/>
        <v>132.19473593655817</v>
      </c>
      <c r="O269" s="313">
        <f t="shared" si="275"/>
        <v>129.95805253262151</v>
      </c>
      <c r="P269" s="313">
        <f t="shared" si="275"/>
        <v>127.05622030589257</v>
      </c>
      <c r="Q269" s="313">
        <f t="shared" si="275"/>
        <v>123.91338330661418</v>
      </c>
      <c r="R269" s="313">
        <f t="shared" si="275"/>
        <v>120.54833908140029</v>
      </c>
      <c r="S269" s="313">
        <f t="shared" si="275"/>
        <v>117.23609838328625</v>
      </c>
      <c r="T269" s="313">
        <f t="shared" si="275"/>
        <v>113.93442107583448</v>
      </c>
      <c r="U269" s="313">
        <f t="shared" si="275"/>
        <v>110.64569612650089</v>
      </c>
      <c r="V269" s="313">
        <f t="shared" si="275"/>
        <v>107.37232291642667</v>
      </c>
      <c r="W269" s="313">
        <f t="shared" si="275"/>
        <v>104.11670938600354</v>
      </c>
      <c r="X269" s="313">
        <f t="shared" si="275"/>
        <v>98.651866672050531</v>
      </c>
      <c r="Y269" s="313">
        <f t="shared" si="275"/>
        <v>94.339663267549867</v>
      </c>
      <c r="Z269" s="313">
        <f t="shared" si="275"/>
        <v>90.095961403476863</v>
      </c>
      <c r="AA269" s="313">
        <f t="shared" si="275"/>
        <v>85.943272956341175</v>
      </c>
      <c r="AB269" s="313">
        <f t="shared" si="275"/>
        <v>81.885828097545229</v>
      </c>
      <c r="AC269" s="313">
        <f t="shared" si="275"/>
        <v>77.902605521402222</v>
      </c>
      <c r="AD269" s="313">
        <f t="shared" si="275"/>
        <v>74.024593884796303</v>
      </c>
      <c r="AE269" s="313">
        <f t="shared" si="275"/>
        <v>70.255901415876792</v>
      </c>
      <c r="AF269" s="313">
        <f t="shared" si="275"/>
        <v>66.600616110808588</v>
      </c>
      <c r="AG269" s="313">
        <f t="shared" si="275"/>
        <v>63.062802731907844</v>
      </c>
      <c r="AI269" s="314"/>
      <c r="AJ269" s="315"/>
    </row>
    <row r="270" spans="1:36" s="58" customFormat="1" outlineLevel="1" x14ac:dyDescent="0.2">
      <c r="A270" s="307" t="s">
        <v>1367</v>
      </c>
      <c r="B270" s="308" t="s">
        <v>462</v>
      </c>
      <c r="C270" s="309">
        <f t="shared" ref="C270:AF270" si="276">C50*C236</f>
        <v>120.60114959601675</v>
      </c>
      <c r="D270" s="309">
        <f t="shared" si="276"/>
        <v>124.04434182238198</v>
      </c>
      <c r="E270" s="309">
        <f t="shared" si="276"/>
        <v>127.23768971176915</v>
      </c>
      <c r="F270" s="309">
        <f t="shared" si="276"/>
        <v>130.15712721354669</v>
      </c>
      <c r="G270" s="309">
        <f t="shared" si="276"/>
        <v>132.7802680663159</v>
      </c>
      <c r="H270" s="309">
        <f t="shared" si="276"/>
        <v>135.08669036009741</v>
      </c>
      <c r="I270" s="309">
        <f t="shared" si="276"/>
        <v>137.01827915953572</v>
      </c>
      <c r="J270" s="309">
        <f t="shared" si="276"/>
        <v>138.8891904687591</v>
      </c>
      <c r="K270" s="309">
        <f t="shared" si="276"/>
        <v>140.69558078128216</v>
      </c>
      <c r="L270" s="309">
        <f t="shared" si="276"/>
        <v>142.43363256933503</v>
      </c>
      <c r="M270" s="309">
        <f t="shared" si="276"/>
        <v>144.09956396265792</v>
      </c>
      <c r="N270" s="309">
        <f t="shared" si="276"/>
        <v>144.25916824925122</v>
      </c>
      <c r="O270" s="309">
        <f t="shared" si="276"/>
        <v>144.49659929140319</v>
      </c>
      <c r="P270" s="309">
        <f t="shared" si="276"/>
        <v>143.91676030435724</v>
      </c>
      <c r="Q270" s="309">
        <f t="shared" si="276"/>
        <v>142.98614919516942</v>
      </c>
      <c r="R270" s="309">
        <f t="shared" si="276"/>
        <v>141.70733888219399</v>
      </c>
      <c r="S270" s="309">
        <f t="shared" si="276"/>
        <v>140.39139384294171</v>
      </c>
      <c r="T270" s="309">
        <f t="shared" si="276"/>
        <v>138.98486935502422</v>
      </c>
      <c r="U270" s="309">
        <f t="shared" si="276"/>
        <v>137.48644993019749</v>
      </c>
      <c r="V270" s="309">
        <f t="shared" si="276"/>
        <v>135.89484390342889</v>
      </c>
      <c r="W270" s="309">
        <f t="shared" si="276"/>
        <v>134.2087846719605</v>
      </c>
      <c r="X270" s="309">
        <f t="shared" si="276"/>
        <v>130.81375444842132</v>
      </c>
      <c r="Y270" s="309">
        <f t="shared" si="276"/>
        <v>128.84227082446816</v>
      </c>
      <c r="Z270" s="309">
        <f t="shared" si="276"/>
        <v>126.74781613292825</v>
      </c>
      <c r="AA270" s="309">
        <f t="shared" si="276"/>
        <v>124.55240258272515</v>
      </c>
      <c r="AB270" s="309">
        <f t="shared" si="276"/>
        <v>122.25481035293143</v>
      </c>
      <c r="AC270" s="309">
        <f t="shared" si="276"/>
        <v>119.81617330303757</v>
      </c>
      <c r="AD270" s="309">
        <f t="shared" si="276"/>
        <v>117.27298840368677</v>
      </c>
      <c r="AE270" s="309">
        <f t="shared" si="276"/>
        <v>114.62403425218538</v>
      </c>
      <c r="AF270" s="309">
        <f t="shared" si="276"/>
        <v>111.86811359517476</v>
      </c>
      <c r="AG270" s="309">
        <f>AG50*AG236</f>
        <v>109.00405434171516</v>
      </c>
      <c r="AI270" s="305"/>
      <c r="AJ270" s="339" t="s">
        <v>1363</v>
      </c>
    </row>
    <row r="271" spans="1:36" s="58" customFormat="1" outlineLevel="1" x14ac:dyDescent="0.2">
      <c r="A271" s="307" t="s">
        <v>1368</v>
      </c>
      <c r="B271" s="308" t="s">
        <v>462</v>
      </c>
      <c r="C271" s="309">
        <f>C270*C237</f>
        <v>26.532252911123685</v>
      </c>
      <c r="D271" s="309">
        <f t="shared" ref="D271:AG271" si="277">D270*D237</f>
        <v>28.116717479739915</v>
      </c>
      <c r="E271" s="309">
        <f t="shared" si="277"/>
        <v>29.688794266079466</v>
      </c>
      <c r="F271" s="309">
        <f t="shared" si="277"/>
        <v>31.237710531251199</v>
      </c>
      <c r="G271" s="309">
        <f t="shared" si="277"/>
        <v>32.752466123024583</v>
      </c>
      <c r="H271" s="309">
        <f t="shared" si="277"/>
        <v>34.221961557891341</v>
      </c>
      <c r="I271" s="309">
        <f t="shared" si="277"/>
        <v>35.624752581479285</v>
      </c>
      <c r="J271" s="309">
        <f t="shared" si="277"/>
        <v>37.03711745833575</v>
      </c>
      <c r="K271" s="309">
        <f t="shared" si="277"/>
        <v>38.456792080217113</v>
      </c>
      <c r="L271" s="309">
        <f t="shared" si="277"/>
        <v>39.881417119413797</v>
      </c>
      <c r="M271" s="309">
        <f t="shared" si="277"/>
        <v>41.308541669295259</v>
      </c>
      <c r="N271" s="309">
        <f t="shared" si="277"/>
        <v>42.316022686447006</v>
      </c>
      <c r="O271" s="309">
        <f t="shared" si="277"/>
        <v>43.348979787420937</v>
      </c>
      <c r="P271" s="309">
        <f t="shared" si="277"/>
        <v>44.134473160002869</v>
      </c>
      <c r="Q271" s="309">
        <f t="shared" si="277"/>
        <v>44.802326747819727</v>
      </c>
      <c r="R271" s="309">
        <f t="shared" si="277"/>
        <v>45.346348442302059</v>
      </c>
      <c r="S271" s="309">
        <f t="shared" si="277"/>
        <v>45.861188655360934</v>
      </c>
      <c r="T271" s="309">
        <f t="shared" si="277"/>
        <v>46.328289785008046</v>
      </c>
      <c r="U271" s="309">
        <f t="shared" si="277"/>
        <v>46.745392976267119</v>
      </c>
      <c r="V271" s="309">
        <f t="shared" si="277"/>
        <v>47.110212553188653</v>
      </c>
      <c r="W271" s="309">
        <f t="shared" si="277"/>
        <v>47.420437250759349</v>
      </c>
      <c r="X271" s="309">
        <f t="shared" si="277"/>
        <v>47.092951601431643</v>
      </c>
      <c r="Y271" s="309">
        <f t="shared" si="277"/>
        <v>47.242165968971626</v>
      </c>
      <c r="Z271" s="309">
        <f t="shared" si="277"/>
        <v>47.31918468962651</v>
      </c>
      <c r="AA271" s="309">
        <f t="shared" si="277"/>
        <v>47.32991298143552</v>
      </c>
      <c r="AB271" s="309">
        <f t="shared" si="277"/>
        <v>47.271860003133447</v>
      </c>
      <c r="AC271" s="309">
        <f t="shared" si="277"/>
        <v>47.127694832528078</v>
      </c>
      <c r="AD271" s="309">
        <f t="shared" si="277"/>
        <v>46.909195361474673</v>
      </c>
      <c r="AE271" s="309">
        <f t="shared" si="277"/>
        <v>46.61377392922202</v>
      </c>
      <c r="AF271" s="309">
        <f t="shared" si="277"/>
        <v>46.238820286005527</v>
      </c>
      <c r="AG271" s="309">
        <f t="shared" si="277"/>
        <v>45.781702823520369</v>
      </c>
      <c r="AI271" s="305"/>
      <c r="AJ271" s="339" t="s">
        <v>1363</v>
      </c>
    </row>
    <row r="272" spans="1:36" s="62" customFormat="1" outlineLevel="1" x14ac:dyDescent="0.2">
      <c r="A272" s="311" t="s">
        <v>1369</v>
      </c>
      <c r="B272" s="312" t="s">
        <v>462</v>
      </c>
      <c r="C272" s="313">
        <f>C270*C238</f>
        <v>94.068896684893076</v>
      </c>
      <c r="D272" s="313">
        <f t="shared" ref="D272:AG272" si="278">D270*D238</f>
        <v>95.927624342642062</v>
      </c>
      <c r="E272" s="313">
        <f t="shared" si="278"/>
        <v>97.548895445689695</v>
      </c>
      <c r="F272" s="313">
        <f t="shared" si="278"/>
        <v>98.919416682295477</v>
      </c>
      <c r="G272" s="313">
        <f t="shared" si="278"/>
        <v>100.02780194329132</v>
      </c>
      <c r="H272" s="313">
        <f t="shared" si="278"/>
        <v>100.86472880220607</v>
      </c>
      <c r="I272" s="313">
        <f t="shared" si="278"/>
        <v>101.39352657805644</v>
      </c>
      <c r="J272" s="313">
        <f t="shared" si="278"/>
        <v>101.85207301042334</v>
      </c>
      <c r="K272" s="313">
        <f t="shared" si="278"/>
        <v>102.23878870106506</v>
      </c>
      <c r="L272" s="313">
        <f t="shared" si="278"/>
        <v>102.55221544992123</v>
      </c>
      <c r="M272" s="313">
        <f t="shared" si="278"/>
        <v>102.79102229336266</v>
      </c>
      <c r="N272" s="313">
        <f t="shared" si="278"/>
        <v>101.9431455628042</v>
      </c>
      <c r="O272" s="313">
        <f t="shared" si="278"/>
        <v>101.14761950398226</v>
      </c>
      <c r="P272" s="313">
        <f t="shared" si="278"/>
        <v>99.78228714435437</v>
      </c>
      <c r="Q272" s="313">
        <f t="shared" si="278"/>
        <v>98.183822447349684</v>
      </c>
      <c r="R272" s="313">
        <f t="shared" si="278"/>
        <v>96.360990439891935</v>
      </c>
      <c r="S272" s="313">
        <f t="shared" si="278"/>
        <v>94.53020518758079</v>
      </c>
      <c r="T272" s="313">
        <f t="shared" si="278"/>
        <v>92.656579570016163</v>
      </c>
      <c r="U272" s="313">
        <f t="shared" si="278"/>
        <v>90.741056953930368</v>
      </c>
      <c r="V272" s="313">
        <f t="shared" si="278"/>
        <v>88.784631350240232</v>
      </c>
      <c r="W272" s="313">
        <f t="shared" si="278"/>
        <v>86.788347421201166</v>
      </c>
      <c r="X272" s="313">
        <f t="shared" si="278"/>
        <v>83.72080284698967</v>
      </c>
      <c r="Y272" s="313">
        <f t="shared" si="278"/>
        <v>81.600104855496525</v>
      </c>
      <c r="Z272" s="313">
        <f t="shared" si="278"/>
        <v>79.42863144330174</v>
      </c>
      <c r="AA272" s="313">
        <f t="shared" si="278"/>
        <v>77.222489601289638</v>
      </c>
      <c r="AB272" s="313">
        <f t="shared" si="278"/>
        <v>74.982950349797974</v>
      </c>
      <c r="AC272" s="313">
        <f t="shared" si="278"/>
        <v>72.688478470509494</v>
      </c>
      <c r="AD272" s="313">
        <f t="shared" si="278"/>
        <v>70.363793042212095</v>
      </c>
      <c r="AE272" s="313">
        <f t="shared" si="278"/>
        <v>68.010260322963376</v>
      </c>
      <c r="AF272" s="313">
        <f t="shared" si="278"/>
        <v>65.629293309169228</v>
      </c>
      <c r="AG272" s="313">
        <f t="shared" si="278"/>
        <v>63.222351518194799</v>
      </c>
      <c r="AI272" s="342"/>
      <c r="AJ272" s="341" t="s">
        <v>1363</v>
      </c>
    </row>
    <row r="273" spans="1:36" s="1" customFormat="1" outlineLevel="1" x14ac:dyDescent="0.2">
      <c r="A273" t="s">
        <v>1370</v>
      </c>
      <c r="B273" s="302" t="s">
        <v>704</v>
      </c>
      <c r="C273" s="249">
        <f>C239*C270</f>
        <v>102.51097715661423</v>
      </c>
      <c r="D273" s="249">
        <f t="shared" ref="D273:AG273" si="279">D239*D270</f>
        <v>105.23094997932071</v>
      </c>
      <c r="E273" s="249">
        <f t="shared" si="279"/>
        <v>107.7279106226312</v>
      </c>
      <c r="F273" s="249">
        <f t="shared" si="279"/>
        <v>109.98277249544694</v>
      </c>
      <c r="G273" s="249">
        <f t="shared" si="279"/>
        <v>111.97802606925971</v>
      </c>
      <c r="H273" s="249">
        <f t="shared" si="279"/>
        <v>113.69796438641529</v>
      </c>
      <c r="I273" s="249">
        <f t="shared" si="279"/>
        <v>115.09535449400997</v>
      </c>
      <c r="J273" s="249">
        <f t="shared" si="279"/>
        <v>116.43543800964301</v>
      </c>
      <c r="K273" s="249">
        <f t="shared" si="279"/>
        <v>117.71530258700602</v>
      </c>
      <c r="L273" s="249">
        <f t="shared" si="279"/>
        <v>118.9320831953947</v>
      </c>
      <c r="M273" s="249">
        <f t="shared" si="279"/>
        <v>120.08296996888154</v>
      </c>
      <c r="N273" s="249">
        <f t="shared" si="279"/>
        <v>119.97554159396053</v>
      </c>
      <c r="O273" s="249">
        <f t="shared" si="279"/>
        <v>119.93217741186457</v>
      </c>
      <c r="P273" s="249">
        <f t="shared" si="279"/>
        <v>119.21104978544251</v>
      </c>
      <c r="Q273" s="249">
        <f t="shared" si="279"/>
        <v>118.20188333467331</v>
      </c>
      <c r="R273" s="249">
        <f t="shared" si="279"/>
        <v>116.90855457780997</v>
      </c>
      <c r="S273" s="249">
        <f t="shared" si="279"/>
        <v>115.58891426402192</v>
      </c>
      <c r="T273" s="249">
        <f t="shared" si="279"/>
        <v>114.19923432004481</v>
      </c>
      <c r="U273" s="249">
        <f t="shared" si="279"/>
        <v>112.73888894276185</v>
      </c>
      <c r="V273" s="249">
        <f t="shared" si="279"/>
        <v>111.20728059430587</v>
      </c>
      <c r="W273" s="249">
        <f t="shared" si="279"/>
        <v>109.6038408154343</v>
      </c>
      <c r="X273" s="249">
        <f t="shared" si="279"/>
        <v>106.61320987546327</v>
      </c>
      <c r="Y273" s="249">
        <f t="shared" si="279"/>
        <v>104.79171360390066</v>
      </c>
      <c r="Z273" s="249">
        <f t="shared" si="279"/>
        <v>102.87697742789331</v>
      </c>
      <c r="AA273" s="249">
        <f t="shared" si="279"/>
        <v>100.88744609200725</v>
      </c>
      <c r="AB273" s="249">
        <f t="shared" si="279"/>
        <v>98.822638368619451</v>
      </c>
      <c r="AC273" s="249">
        <f t="shared" si="279"/>
        <v>96.65171313111685</v>
      </c>
      <c r="AD273" s="249">
        <f t="shared" si="279"/>
        <v>94.404755664967723</v>
      </c>
      <c r="AE273" s="249">
        <f t="shared" si="279"/>
        <v>92.081307515922134</v>
      </c>
      <c r="AF273" s="249">
        <f t="shared" si="279"/>
        <v>89.680937732131639</v>
      </c>
      <c r="AG273" s="249">
        <f t="shared" si="279"/>
        <v>87.20324347337214</v>
      </c>
      <c r="AI273" s="316"/>
      <c r="AJ273" s="211" t="s">
        <v>1363</v>
      </c>
    </row>
    <row r="274" spans="1:36" s="1" customFormat="1" outlineLevel="1" x14ac:dyDescent="0.2">
      <c r="A274" t="s">
        <v>1371</v>
      </c>
      <c r="B274" s="302" t="s">
        <v>704</v>
      </c>
      <c r="C274" s="249">
        <f>C240*C270</f>
        <v>18.090172439402512</v>
      </c>
      <c r="D274" s="249">
        <f t="shared" ref="D274:AG274" si="280">D240*D270</f>
        <v>18.813391843061268</v>
      </c>
      <c r="E274" s="249">
        <f t="shared" si="280"/>
        <v>19.50977908913794</v>
      </c>
      <c r="F274" s="249">
        <f t="shared" si="280"/>
        <v>20.174354718099739</v>
      </c>
      <c r="G274" s="249">
        <f t="shared" si="280"/>
        <v>20.802241997056161</v>
      </c>
      <c r="H274" s="249">
        <f t="shared" si="280"/>
        <v>21.388725973682096</v>
      </c>
      <c r="I274" s="249">
        <f t="shared" si="280"/>
        <v>21.922924665525723</v>
      </c>
      <c r="J274" s="249">
        <f t="shared" si="280"/>
        <v>22.453752459116064</v>
      </c>
      <c r="K274" s="249">
        <f t="shared" si="280"/>
        <v>22.980278194276096</v>
      </c>
      <c r="L274" s="249">
        <f t="shared" si="280"/>
        <v>23.501549373940293</v>
      </c>
      <c r="M274" s="249">
        <f t="shared" si="280"/>
        <v>24.016593993776336</v>
      </c>
      <c r="N274" s="249">
        <f t="shared" si="280"/>
        <v>24.283626655290639</v>
      </c>
      <c r="O274" s="249">
        <f t="shared" si="280"/>
        <v>24.56442187953856</v>
      </c>
      <c r="P274" s="249">
        <f t="shared" si="280"/>
        <v>24.705710518914678</v>
      </c>
      <c r="Q274" s="249">
        <f t="shared" si="280"/>
        <v>24.784265860496053</v>
      </c>
      <c r="R274" s="249">
        <f t="shared" si="280"/>
        <v>24.798784304383972</v>
      </c>
      <c r="S274" s="249">
        <f t="shared" si="280"/>
        <v>24.802479578919726</v>
      </c>
      <c r="T274" s="249">
        <f t="shared" si="280"/>
        <v>24.785635034979343</v>
      </c>
      <c r="U274" s="249">
        <f t="shared" si="280"/>
        <v>24.747560987435573</v>
      </c>
      <c r="V274" s="249">
        <f t="shared" si="280"/>
        <v>24.687563309122943</v>
      </c>
      <c r="W274" s="249">
        <f t="shared" si="280"/>
        <v>24.60494385652612</v>
      </c>
      <c r="X274" s="249">
        <f t="shared" si="280"/>
        <v>24.200544572957973</v>
      </c>
      <c r="Y274" s="249">
        <f t="shared" si="280"/>
        <v>24.05055722056742</v>
      </c>
      <c r="Z274" s="249">
        <f t="shared" si="280"/>
        <v>23.870838705034853</v>
      </c>
      <c r="AA274" s="249">
        <f t="shared" si="280"/>
        <v>23.66495649071781</v>
      </c>
      <c r="AB274" s="249">
        <f t="shared" si="280"/>
        <v>23.432171984311889</v>
      </c>
      <c r="AC274" s="249">
        <f t="shared" si="280"/>
        <v>23.164460171920631</v>
      </c>
      <c r="AD274" s="249">
        <f t="shared" si="280"/>
        <v>22.868232738718952</v>
      </c>
      <c r="AE274" s="249">
        <f t="shared" si="280"/>
        <v>22.542726736263159</v>
      </c>
      <c r="AF274" s="249">
        <f t="shared" si="280"/>
        <v>22.187175863043027</v>
      </c>
      <c r="AG274" s="249">
        <f t="shared" si="280"/>
        <v>21.800810868343035</v>
      </c>
      <c r="AI274" s="316"/>
      <c r="AJ274" s="211" t="s">
        <v>1363</v>
      </c>
    </row>
    <row r="275" spans="1:36" s="1" customFormat="1" outlineLevel="1" x14ac:dyDescent="0.2">
      <c r="A275" t="s">
        <v>1372</v>
      </c>
      <c r="B275" s="302" t="s">
        <v>704</v>
      </c>
      <c r="C275" s="249">
        <f>C273*C241</f>
        <v>15.376646573492135</v>
      </c>
      <c r="D275" s="249">
        <f t="shared" ref="D275:AG275" si="281">D273*D241</f>
        <v>16.45110518010047</v>
      </c>
      <c r="E275" s="249">
        <f t="shared" si="281"/>
        <v>17.523740127948006</v>
      </c>
      <c r="F275" s="249">
        <f t="shared" si="281"/>
        <v>18.587088551730531</v>
      </c>
      <c r="G275" s="249">
        <f t="shared" si="281"/>
        <v>19.6334805708102</v>
      </c>
      <c r="H275" s="249">
        <f t="shared" si="281"/>
        <v>20.655130196865443</v>
      </c>
      <c r="I275" s="249">
        <f t="shared" si="281"/>
        <v>21.637926644873872</v>
      </c>
      <c r="J275" s="249">
        <f t="shared" si="281"/>
        <v>22.627286786540623</v>
      </c>
      <c r="K275" s="249">
        <f t="shared" si="281"/>
        <v>23.621537385792539</v>
      </c>
      <c r="L275" s="249">
        <f t="shared" si="281"/>
        <v>24.618941221446697</v>
      </c>
      <c r="M275" s="249">
        <f t="shared" si="281"/>
        <v>25.617700260028059</v>
      </c>
      <c r="N275" s="249">
        <f t="shared" si="281"/>
        <v>26.354627303473325</v>
      </c>
      <c r="O275" s="249">
        <f t="shared" si="281"/>
        <v>27.104672095081387</v>
      </c>
      <c r="P275" s="249">
        <f t="shared" si="281"/>
        <v>27.696700566817803</v>
      </c>
      <c r="Q275" s="249">
        <f t="shared" si="281"/>
        <v>28.210849489208691</v>
      </c>
      <c r="R275" s="249">
        <f t="shared" si="281"/>
        <v>28.642595871563433</v>
      </c>
      <c r="S275" s="249">
        <f t="shared" si="281"/>
        <v>29.051347118357505</v>
      </c>
      <c r="T275" s="249">
        <f t="shared" si="281"/>
        <v>29.425336043131544</v>
      </c>
      <c r="U275" s="249">
        <f t="shared" si="281"/>
        <v>29.763066680889128</v>
      </c>
      <c r="V275" s="249">
        <f t="shared" si="281"/>
        <v>30.063034853994026</v>
      </c>
      <c r="W275" s="249">
        <f t="shared" si="281"/>
        <v>30.323729292270162</v>
      </c>
      <c r="X275" s="249">
        <f t="shared" si="281"/>
        <v>30.171538394756116</v>
      </c>
      <c r="Y275" s="249">
        <f t="shared" si="281"/>
        <v>30.319735802728601</v>
      </c>
      <c r="Z275" s="249">
        <f t="shared" si="281"/>
        <v>30.417292992847134</v>
      </c>
      <c r="AA275" s="249">
        <f t="shared" si="281"/>
        <v>30.468008719786205</v>
      </c>
      <c r="AB275" s="249">
        <f t="shared" si="281"/>
        <v>30.470313496991015</v>
      </c>
      <c r="AC275" s="249">
        <f t="shared" si="281"/>
        <v>30.413072398591456</v>
      </c>
      <c r="AD275" s="249">
        <f t="shared" si="281"/>
        <v>30.30392656845466</v>
      </c>
      <c r="AE275" s="249">
        <f t="shared" si="281"/>
        <v>30.141281326878534</v>
      </c>
      <c r="AF275" s="249">
        <f t="shared" si="281"/>
        <v>29.923539556621282</v>
      </c>
      <c r="AG275" s="249">
        <f t="shared" si="281"/>
        <v>29.649102780946532</v>
      </c>
      <c r="AI275" s="316"/>
      <c r="AJ275" s="211" t="s">
        <v>1363</v>
      </c>
    </row>
    <row r="276" spans="1:36" s="1" customFormat="1" outlineLevel="1" x14ac:dyDescent="0.2">
      <c r="A276" t="s">
        <v>1373</v>
      </c>
      <c r="B276" s="302" t="s">
        <v>704</v>
      </c>
      <c r="C276" s="249">
        <f>C273*C242</f>
        <v>87.134330583122093</v>
      </c>
      <c r="D276" s="249">
        <f t="shared" ref="D276:AG276" si="282">D273*D242</f>
        <v>88.779844799220243</v>
      </c>
      <c r="E276" s="249">
        <f t="shared" si="282"/>
        <v>90.204170494683197</v>
      </c>
      <c r="F276" s="249">
        <f t="shared" si="282"/>
        <v>91.395683943716406</v>
      </c>
      <c r="G276" s="249">
        <f t="shared" si="282"/>
        <v>92.34454549844952</v>
      </c>
      <c r="H276" s="249">
        <f t="shared" si="282"/>
        <v>93.042834189549865</v>
      </c>
      <c r="I276" s="249">
        <f t="shared" si="282"/>
        <v>93.45742784913611</v>
      </c>
      <c r="J276" s="249">
        <f t="shared" si="282"/>
        <v>93.808151223102399</v>
      </c>
      <c r="K276" s="249">
        <f t="shared" si="282"/>
        <v>94.0937652012135</v>
      </c>
      <c r="L276" s="249">
        <f t="shared" si="282"/>
        <v>94.313141973948021</v>
      </c>
      <c r="M276" s="249">
        <f t="shared" si="282"/>
        <v>94.465269708853512</v>
      </c>
      <c r="N276" s="249">
        <f t="shared" si="282"/>
        <v>93.620914290487235</v>
      </c>
      <c r="O276" s="249">
        <f t="shared" si="282"/>
        <v>92.827505316783217</v>
      </c>
      <c r="P276" s="249">
        <f t="shared" si="282"/>
        <v>91.514349218624744</v>
      </c>
      <c r="Q276" s="249">
        <f t="shared" si="282"/>
        <v>89.991033845464671</v>
      </c>
      <c r="R276" s="249">
        <f t="shared" si="282"/>
        <v>88.265958706246579</v>
      </c>
      <c r="S276" s="249">
        <f t="shared" si="282"/>
        <v>86.537567145664468</v>
      </c>
      <c r="T276" s="249">
        <f t="shared" si="282"/>
        <v>84.773898276913329</v>
      </c>
      <c r="U276" s="249">
        <f t="shared" si="282"/>
        <v>82.975822261872779</v>
      </c>
      <c r="V276" s="249">
        <f t="shared" si="282"/>
        <v>81.144245740311916</v>
      </c>
      <c r="W276" s="249">
        <f t="shared" si="282"/>
        <v>79.280111523164209</v>
      </c>
      <c r="X276" s="249">
        <f t="shared" si="282"/>
        <v>76.441671480707228</v>
      </c>
      <c r="Y276" s="249">
        <f t="shared" si="282"/>
        <v>74.471977801172144</v>
      </c>
      <c r="Z276" s="249">
        <f t="shared" si="282"/>
        <v>72.459684435046256</v>
      </c>
      <c r="AA276" s="249">
        <f t="shared" si="282"/>
        <v>70.41943737222114</v>
      </c>
      <c r="AB276" s="249">
        <f t="shared" si="282"/>
        <v>68.352324871628525</v>
      </c>
      <c r="AC276" s="249">
        <f t="shared" si="282"/>
        <v>66.238640732525496</v>
      </c>
      <c r="AD276" s="249">
        <f t="shared" si="282"/>
        <v>64.100829096513166</v>
      </c>
      <c r="AE276" s="249">
        <f t="shared" si="282"/>
        <v>61.940026189043699</v>
      </c>
      <c r="AF276" s="249">
        <f t="shared" si="282"/>
        <v>59.75739817551046</v>
      </c>
      <c r="AG276" s="249">
        <f t="shared" si="282"/>
        <v>57.554140692425612</v>
      </c>
      <c r="AI276" s="316"/>
      <c r="AJ276" s="211" t="s">
        <v>1363</v>
      </c>
    </row>
    <row r="277" spans="1:36" s="1" customFormat="1" outlineLevel="1" x14ac:dyDescent="0.2">
      <c r="A277" t="s">
        <v>1374</v>
      </c>
      <c r="B277" s="302" t="s">
        <v>704</v>
      </c>
      <c r="C277" s="249">
        <f>C243*C276</f>
        <v>0</v>
      </c>
      <c r="D277" s="249">
        <f t="shared" ref="D277:AG277" si="283">D243*D276</f>
        <v>0</v>
      </c>
      <c r="E277" s="249">
        <f t="shared" si="283"/>
        <v>0</v>
      </c>
      <c r="F277" s="249">
        <f t="shared" si="283"/>
        <v>0</v>
      </c>
      <c r="G277" s="249">
        <f t="shared" si="283"/>
        <v>0</v>
      </c>
      <c r="H277" s="249">
        <f t="shared" si="283"/>
        <v>0</v>
      </c>
      <c r="I277" s="249">
        <f t="shared" si="283"/>
        <v>0</v>
      </c>
      <c r="J277" s="249">
        <f t="shared" si="283"/>
        <v>0</v>
      </c>
      <c r="K277" s="249">
        <f t="shared" si="283"/>
        <v>0</v>
      </c>
      <c r="L277" s="249">
        <f t="shared" si="283"/>
        <v>0</v>
      </c>
      <c r="M277" s="249">
        <f t="shared" si="283"/>
        <v>0</v>
      </c>
      <c r="N277" s="249">
        <f t="shared" si="283"/>
        <v>0</v>
      </c>
      <c r="O277" s="249">
        <f t="shared" si="283"/>
        <v>0</v>
      </c>
      <c r="P277" s="249">
        <f t="shared" si="283"/>
        <v>0</v>
      </c>
      <c r="Q277" s="249">
        <f t="shared" si="283"/>
        <v>0</v>
      </c>
      <c r="R277" s="249">
        <f t="shared" si="283"/>
        <v>0</v>
      </c>
      <c r="S277" s="249">
        <f t="shared" si="283"/>
        <v>0</v>
      </c>
      <c r="T277" s="249">
        <f t="shared" si="283"/>
        <v>0</v>
      </c>
      <c r="U277" s="249">
        <f t="shared" si="283"/>
        <v>0</v>
      </c>
      <c r="V277" s="249">
        <f t="shared" si="283"/>
        <v>0</v>
      </c>
      <c r="W277" s="249">
        <f t="shared" si="283"/>
        <v>0</v>
      </c>
      <c r="X277" s="249">
        <f t="shared" si="283"/>
        <v>0</v>
      </c>
      <c r="Y277" s="249">
        <f t="shared" si="283"/>
        <v>0</v>
      </c>
      <c r="Z277" s="249">
        <f t="shared" si="283"/>
        <v>0</v>
      </c>
      <c r="AA277" s="249">
        <f t="shared" si="283"/>
        <v>0</v>
      </c>
      <c r="AB277" s="249">
        <f t="shared" si="283"/>
        <v>0</v>
      </c>
      <c r="AC277" s="249">
        <f t="shared" si="283"/>
        <v>0</v>
      </c>
      <c r="AD277" s="249">
        <f t="shared" si="283"/>
        <v>0</v>
      </c>
      <c r="AE277" s="249">
        <f t="shared" si="283"/>
        <v>0</v>
      </c>
      <c r="AF277" s="249">
        <f t="shared" si="283"/>
        <v>0</v>
      </c>
      <c r="AG277" s="249">
        <f t="shared" si="283"/>
        <v>0</v>
      </c>
      <c r="AI277" s="316"/>
      <c r="AJ277" s="211" t="s">
        <v>1363</v>
      </c>
    </row>
    <row r="278" spans="1:36" s="1" customFormat="1" outlineLevel="1" x14ac:dyDescent="0.2">
      <c r="A278" t="s">
        <v>1388</v>
      </c>
      <c r="B278" s="302" t="s">
        <v>704</v>
      </c>
      <c r="C278" s="249">
        <f>C244*C276</f>
        <v>87.134330583122093</v>
      </c>
      <c r="D278" s="249">
        <f t="shared" ref="D278:AG278" si="284">D244*D276</f>
        <v>88.779844799220243</v>
      </c>
      <c r="E278" s="249">
        <f t="shared" si="284"/>
        <v>90.204170494683197</v>
      </c>
      <c r="F278" s="249">
        <f t="shared" si="284"/>
        <v>91.395683943716406</v>
      </c>
      <c r="G278" s="249">
        <f t="shared" si="284"/>
        <v>92.34454549844952</v>
      </c>
      <c r="H278" s="249">
        <f t="shared" si="284"/>
        <v>93.042834189549865</v>
      </c>
      <c r="I278" s="249">
        <f t="shared" si="284"/>
        <v>93.45742784913611</v>
      </c>
      <c r="J278" s="249">
        <f t="shared" si="284"/>
        <v>93.808151223102399</v>
      </c>
      <c r="K278" s="249">
        <f t="shared" si="284"/>
        <v>94.0937652012135</v>
      </c>
      <c r="L278" s="249">
        <f t="shared" si="284"/>
        <v>94.313141973948021</v>
      </c>
      <c r="M278" s="249">
        <f t="shared" si="284"/>
        <v>94.465269708853512</v>
      </c>
      <c r="N278" s="249">
        <f t="shared" si="284"/>
        <v>93.620914290487235</v>
      </c>
      <c r="O278" s="249">
        <f t="shared" si="284"/>
        <v>92.827505316783217</v>
      </c>
      <c r="P278" s="249">
        <f t="shared" si="284"/>
        <v>91.514349218624744</v>
      </c>
      <c r="Q278" s="249">
        <f t="shared" si="284"/>
        <v>89.991033845464671</v>
      </c>
      <c r="R278" s="249">
        <f t="shared" si="284"/>
        <v>88.265958706246579</v>
      </c>
      <c r="S278" s="249">
        <f t="shared" si="284"/>
        <v>86.537567145664468</v>
      </c>
      <c r="T278" s="249">
        <f t="shared" si="284"/>
        <v>84.773898276913329</v>
      </c>
      <c r="U278" s="249">
        <f t="shared" si="284"/>
        <v>82.975822261872779</v>
      </c>
      <c r="V278" s="249">
        <f t="shared" si="284"/>
        <v>81.144245740311916</v>
      </c>
      <c r="W278" s="249">
        <f t="shared" si="284"/>
        <v>79.280111523164209</v>
      </c>
      <c r="X278" s="249">
        <f t="shared" si="284"/>
        <v>76.441671480707228</v>
      </c>
      <c r="Y278" s="249">
        <f t="shared" si="284"/>
        <v>74.471977801172144</v>
      </c>
      <c r="Z278" s="249">
        <f t="shared" si="284"/>
        <v>72.459684435046256</v>
      </c>
      <c r="AA278" s="249">
        <f t="shared" si="284"/>
        <v>70.41943737222114</v>
      </c>
      <c r="AB278" s="249">
        <f t="shared" si="284"/>
        <v>68.352324871628525</v>
      </c>
      <c r="AC278" s="249">
        <f t="shared" si="284"/>
        <v>66.238640732525496</v>
      </c>
      <c r="AD278" s="249">
        <f t="shared" si="284"/>
        <v>64.100829096513166</v>
      </c>
      <c r="AE278" s="249">
        <f t="shared" si="284"/>
        <v>61.940026189043699</v>
      </c>
      <c r="AF278" s="249">
        <f t="shared" si="284"/>
        <v>59.75739817551046</v>
      </c>
      <c r="AG278" s="249">
        <f t="shared" si="284"/>
        <v>57.554140692425612</v>
      </c>
      <c r="AI278" s="316"/>
      <c r="AJ278" s="211" t="s">
        <v>1363</v>
      </c>
    </row>
    <row r="279" spans="1:36" s="1" customFormat="1" outlineLevel="1" x14ac:dyDescent="0.2">
      <c r="A279" t="s">
        <v>1376</v>
      </c>
      <c r="B279" s="302" t="s">
        <v>704</v>
      </c>
      <c r="C279" s="249">
        <f>C245*(C277+C275)</f>
        <v>12.301317258793709</v>
      </c>
      <c r="D279" s="249">
        <f t="shared" ref="D279:AG279" si="285">D245*(D277+D275)</f>
        <v>13.215721161347378</v>
      </c>
      <c r="E279" s="249">
        <f t="shared" si="285"/>
        <v>14.135817036544724</v>
      </c>
      <c r="F279" s="249">
        <f t="shared" si="285"/>
        <v>15.05554172690173</v>
      </c>
      <c r="G279" s="249">
        <f t="shared" si="285"/>
        <v>15.968564197592293</v>
      </c>
      <c r="H279" s="249">
        <f t="shared" si="285"/>
        <v>16.868356327440107</v>
      </c>
      <c r="I279" s="249">
        <f t="shared" si="285"/>
        <v>17.743099848796572</v>
      </c>
      <c r="J279" s="249">
        <f t="shared" si="285"/>
        <v>18.629799454251774</v>
      </c>
      <c r="K279" s="249">
        <f t="shared" si="285"/>
        <v>19.52713757225516</v>
      </c>
      <c r="L279" s="249">
        <f t="shared" si="285"/>
        <v>20.433721213800752</v>
      </c>
      <c r="M279" s="249">
        <f t="shared" si="285"/>
        <v>21.348083550023375</v>
      </c>
      <c r="N279" s="249">
        <f t="shared" si="285"/>
        <v>22.05003817723934</v>
      </c>
      <c r="O279" s="249">
        <f t="shared" si="285"/>
        <v>22.767924559868355</v>
      </c>
      <c r="P279" s="249">
        <f t="shared" si="285"/>
        <v>23.357550811349668</v>
      </c>
      <c r="Q279" s="249">
        <f t="shared" si="285"/>
        <v>23.885185900863345</v>
      </c>
      <c r="R279" s="249">
        <f t="shared" si="285"/>
        <v>24.346206490828905</v>
      </c>
      <c r="S279" s="249">
        <f t="shared" si="285"/>
        <v>24.790482874331722</v>
      </c>
      <c r="T279" s="249">
        <f t="shared" si="285"/>
        <v>25.207704543616007</v>
      </c>
      <c r="U279" s="249">
        <f t="shared" si="285"/>
        <v>25.596237345564635</v>
      </c>
      <c r="V279" s="249">
        <f t="shared" si="285"/>
        <v>25.954420090614825</v>
      </c>
      <c r="W279" s="249">
        <f t="shared" si="285"/>
        <v>26.28056538663412</v>
      </c>
      <c r="X279" s="249">
        <f t="shared" si="285"/>
        <v>26.249238403437801</v>
      </c>
      <c r="Y279" s="249">
        <f t="shared" si="285"/>
        <v>26.479235934382956</v>
      </c>
      <c r="Z279" s="249">
        <f t="shared" si="285"/>
        <v>26.665826857062633</v>
      </c>
      <c r="AA279" s="249">
        <f t="shared" si="285"/>
        <v>26.811847673411837</v>
      </c>
      <c r="AB279" s="249">
        <f t="shared" si="285"/>
        <v>26.915443589008706</v>
      </c>
      <c r="AC279" s="249">
        <f t="shared" si="285"/>
        <v>26.966257526751065</v>
      </c>
      <c r="AD279" s="249">
        <f t="shared" si="285"/>
        <v>26.970494645924621</v>
      </c>
      <c r="AE279" s="249">
        <f t="shared" si="285"/>
        <v>26.926211318678131</v>
      </c>
      <c r="AF279" s="249">
        <f t="shared" si="285"/>
        <v>26.831440469103722</v>
      </c>
      <c r="AG279" s="249">
        <f t="shared" si="285"/>
        <v>26.684192502851879</v>
      </c>
      <c r="AH279" s="249"/>
      <c r="AI279" s="316"/>
      <c r="AJ279" s="211" t="s">
        <v>1363</v>
      </c>
    </row>
    <row r="280" spans="1:36" s="1" customFormat="1" outlineLevel="1" x14ac:dyDescent="0.2">
      <c r="A280" t="s">
        <v>1377</v>
      </c>
      <c r="B280" s="302" t="s">
        <v>704</v>
      </c>
      <c r="C280" s="249">
        <f>C246*(C277+C275)</f>
        <v>3.0753293146984273</v>
      </c>
      <c r="D280" s="249">
        <f t="shared" ref="D280:AG280" si="286">D246*(D277+D275)</f>
        <v>3.2353840187530927</v>
      </c>
      <c r="E280" s="249">
        <f t="shared" si="286"/>
        <v>3.3879230914032816</v>
      </c>
      <c r="F280" s="249">
        <f t="shared" si="286"/>
        <v>3.5315468248288013</v>
      </c>
      <c r="G280" s="249">
        <f t="shared" si="286"/>
        <v>3.6649163732179044</v>
      </c>
      <c r="H280" s="249">
        <f t="shared" si="286"/>
        <v>3.7867738694253319</v>
      </c>
      <c r="I280" s="249">
        <f t="shared" si="286"/>
        <v>3.894826796077298</v>
      </c>
      <c r="J280" s="249">
        <f t="shared" si="286"/>
        <v>3.9974873322888445</v>
      </c>
      <c r="K280" s="249">
        <f t="shared" si="286"/>
        <v>4.0943998135373754</v>
      </c>
      <c r="L280" s="249">
        <f t="shared" si="286"/>
        <v>4.18522000764594</v>
      </c>
      <c r="M280" s="249">
        <f t="shared" si="286"/>
        <v>4.2696167100046782</v>
      </c>
      <c r="N280" s="249">
        <f t="shared" si="286"/>
        <v>4.3045891262339788</v>
      </c>
      <c r="O280" s="249">
        <f t="shared" si="286"/>
        <v>4.336747535213024</v>
      </c>
      <c r="P280" s="249">
        <f t="shared" si="286"/>
        <v>4.3391497554681253</v>
      </c>
      <c r="Q280" s="249">
        <f t="shared" si="286"/>
        <v>4.3256635883453356</v>
      </c>
      <c r="R280" s="249">
        <f t="shared" si="286"/>
        <v>4.2963893807345181</v>
      </c>
      <c r="S280" s="249">
        <f t="shared" si="286"/>
        <v>4.2608642440257709</v>
      </c>
      <c r="T280" s="249">
        <f t="shared" si="286"/>
        <v>4.2176314995155249</v>
      </c>
      <c r="U280" s="249">
        <f t="shared" si="286"/>
        <v>4.1668293353244819</v>
      </c>
      <c r="V280" s="249">
        <f t="shared" si="286"/>
        <v>4.1086147633791876</v>
      </c>
      <c r="W280" s="249">
        <f t="shared" si="286"/>
        <v>4.0431639056360256</v>
      </c>
      <c r="X280" s="249">
        <f t="shared" si="286"/>
        <v>3.9222999913182992</v>
      </c>
      <c r="Y280" s="249">
        <f t="shared" si="286"/>
        <v>3.8404998683456273</v>
      </c>
      <c r="Z280" s="249">
        <f t="shared" si="286"/>
        <v>3.7514661357844847</v>
      </c>
      <c r="AA280" s="249">
        <f t="shared" si="286"/>
        <v>3.6561610463743497</v>
      </c>
      <c r="AB280" s="249">
        <f t="shared" si="286"/>
        <v>3.5548699079822903</v>
      </c>
      <c r="AC280" s="249">
        <f t="shared" si="286"/>
        <v>3.4468148718403704</v>
      </c>
      <c r="AD280" s="249">
        <f t="shared" si="286"/>
        <v>3.3334319225300182</v>
      </c>
      <c r="AE280" s="249">
        <f t="shared" si="286"/>
        <v>3.2150700082003825</v>
      </c>
      <c r="AF280" s="249">
        <f t="shared" si="286"/>
        <v>3.0920990875175383</v>
      </c>
      <c r="AG280" s="249">
        <f t="shared" si="286"/>
        <v>2.9649102780946532</v>
      </c>
      <c r="AI280" s="316"/>
      <c r="AJ280" s="211" t="s">
        <v>1363</v>
      </c>
    </row>
    <row r="281" spans="1:36" s="1" customFormat="1" outlineLevel="1" x14ac:dyDescent="0.2">
      <c r="A281" t="s">
        <v>1378</v>
      </c>
      <c r="B281" s="302" t="s">
        <v>704</v>
      </c>
      <c r="C281" s="249">
        <f>C274*C247</f>
        <v>17.185663817432385</v>
      </c>
      <c r="D281" s="249">
        <f t="shared" ref="D281:AG281" si="287">D274*D247</f>
        <v>17.847637728450788</v>
      </c>
      <c r="E281" s="249">
        <f t="shared" si="287"/>
        <v>18.482264057110008</v>
      </c>
      <c r="F281" s="249">
        <f t="shared" si="287"/>
        <v>19.084939563322354</v>
      </c>
      <c r="G281" s="249">
        <f t="shared" si="287"/>
        <v>19.651184606552388</v>
      </c>
      <c r="H281" s="249">
        <f t="shared" si="287"/>
        <v>20.176698168506778</v>
      </c>
      <c r="I281" s="249">
        <f t="shared" si="287"/>
        <v>20.651395034925237</v>
      </c>
      <c r="J281" s="249">
        <f t="shared" si="287"/>
        <v>21.121496479875184</v>
      </c>
      <c r="K281" s="249">
        <f t="shared" si="287"/>
        <v>21.586141317156684</v>
      </c>
      <c r="L281" s="249">
        <f t="shared" si="287"/>
        <v>22.044453312756001</v>
      </c>
      <c r="M281" s="249">
        <f t="shared" si="287"/>
        <v>22.495543040837177</v>
      </c>
      <c r="N281" s="249">
        <f t="shared" si="287"/>
        <v>22.713285464915188</v>
      </c>
      <c r="O281" s="249">
        <f t="shared" si="287"/>
        <v>22.943170035489025</v>
      </c>
      <c r="P281" s="249">
        <f t="shared" si="287"/>
        <v>23.042192677307767</v>
      </c>
      <c r="Q281" s="249">
        <f t="shared" si="287"/>
        <v>23.082412938075336</v>
      </c>
      <c r="R281" s="249">
        <f t="shared" si="287"/>
        <v>23.062869403077105</v>
      </c>
      <c r="S281" s="249">
        <f t="shared" si="287"/>
        <v>23.033236035623467</v>
      </c>
      <c r="T281" s="249">
        <f t="shared" si="287"/>
        <v>22.984545555770858</v>
      </c>
      <c r="U281" s="249">
        <f t="shared" si="287"/>
        <v>22.916241474365357</v>
      </c>
      <c r="V281" s="249">
        <f t="shared" si="287"/>
        <v>22.827766873169029</v>
      </c>
      <c r="W281" s="249">
        <f t="shared" si="287"/>
        <v>22.7185648275258</v>
      </c>
      <c r="X281" s="249">
        <f t="shared" si="287"/>
        <v>22.312902096267269</v>
      </c>
      <c r="Y281" s="249">
        <f t="shared" si="287"/>
        <v>22.142546347735756</v>
      </c>
      <c r="Z281" s="249">
        <f t="shared" si="287"/>
        <v>21.945257716162061</v>
      </c>
      <c r="AA281" s="249">
        <f t="shared" si="287"/>
        <v>21.724430058478969</v>
      </c>
      <c r="AB281" s="249">
        <f t="shared" si="287"/>
        <v>21.47949098561925</v>
      </c>
      <c r="AC281" s="249">
        <f t="shared" si="287"/>
        <v>21.20320254403137</v>
      </c>
      <c r="AD281" s="249">
        <f t="shared" si="287"/>
        <v>20.901564723189143</v>
      </c>
      <c r="AE281" s="249">
        <f t="shared" si="287"/>
        <v>20.573995267962864</v>
      </c>
      <c r="AF281" s="249">
        <f t="shared" si="287"/>
        <v>20.219912936519901</v>
      </c>
      <c r="AG281" s="249">
        <f t="shared" si="287"/>
        <v>19.838737890192164</v>
      </c>
      <c r="AI281" s="316"/>
      <c r="AJ281" s="211" t="s">
        <v>1363</v>
      </c>
    </row>
    <row r="282" spans="1:36" s="1" customFormat="1" outlineLevel="1" x14ac:dyDescent="0.2">
      <c r="A282" t="s">
        <v>1389</v>
      </c>
      <c r="B282" s="302" t="s">
        <v>704</v>
      </c>
      <c r="C282" s="249">
        <f>C274*C248</f>
        <v>0.9045086219701256</v>
      </c>
      <c r="D282" s="249">
        <f t="shared" ref="D282:AG282" si="288">D274*D248</f>
        <v>0.96575411461047844</v>
      </c>
      <c r="E282" s="249">
        <f t="shared" si="288"/>
        <v>1.0275150320279316</v>
      </c>
      <c r="F282" s="249">
        <f t="shared" si="288"/>
        <v>1.0894151547773858</v>
      </c>
      <c r="G282" s="249">
        <f t="shared" si="288"/>
        <v>1.1510573905037742</v>
      </c>
      <c r="H282" s="249">
        <f t="shared" si="288"/>
        <v>1.2120278051753186</v>
      </c>
      <c r="I282" s="249">
        <f t="shared" si="288"/>
        <v>1.271529630600492</v>
      </c>
      <c r="J282" s="249">
        <f t="shared" si="288"/>
        <v>1.3322559792408863</v>
      </c>
      <c r="K282" s="249">
        <f t="shared" si="288"/>
        <v>1.3941368771194163</v>
      </c>
      <c r="L282" s="249">
        <f t="shared" si="288"/>
        <v>1.457096061184298</v>
      </c>
      <c r="M282" s="249">
        <f t="shared" si="288"/>
        <v>1.5210509529391678</v>
      </c>
      <c r="N282" s="249">
        <f t="shared" si="288"/>
        <v>1.5703411903754614</v>
      </c>
      <c r="O282" s="249">
        <f t="shared" si="288"/>
        <v>1.6212518440495451</v>
      </c>
      <c r="P282" s="249">
        <f t="shared" si="288"/>
        <v>1.6635178416069218</v>
      </c>
      <c r="Q282" s="249">
        <f t="shared" si="288"/>
        <v>1.7018529224207293</v>
      </c>
      <c r="R282" s="249">
        <f t="shared" si="288"/>
        <v>1.7359149013068784</v>
      </c>
      <c r="S282" s="249">
        <f t="shared" si="288"/>
        <v>1.7692435432962745</v>
      </c>
      <c r="T282" s="249">
        <f t="shared" si="288"/>
        <v>1.8010894792084997</v>
      </c>
      <c r="U282" s="249">
        <f t="shared" si="288"/>
        <v>1.8313195130702333</v>
      </c>
      <c r="V282" s="249">
        <f t="shared" si="288"/>
        <v>1.8597964359539294</v>
      </c>
      <c r="W282" s="249">
        <f t="shared" si="288"/>
        <v>1.886379029000337</v>
      </c>
      <c r="X282" s="249">
        <f t="shared" si="288"/>
        <v>1.8876424766907232</v>
      </c>
      <c r="Y282" s="249">
        <f t="shared" si="288"/>
        <v>1.9080108728316834</v>
      </c>
      <c r="Z282" s="249">
        <f t="shared" si="288"/>
        <v>1.925580988872813</v>
      </c>
      <c r="AA282" s="249">
        <f t="shared" si="288"/>
        <v>1.940526432238862</v>
      </c>
      <c r="AB282" s="249">
        <f t="shared" si="288"/>
        <v>1.9526809986926592</v>
      </c>
      <c r="AC282" s="249">
        <f t="shared" si="288"/>
        <v>1.9612576278892819</v>
      </c>
      <c r="AD282" s="249">
        <f t="shared" si="288"/>
        <v>1.9666680155298319</v>
      </c>
      <c r="AE282" s="249">
        <f t="shared" si="288"/>
        <v>1.9687314683003181</v>
      </c>
      <c r="AF282" s="249">
        <f t="shared" si="288"/>
        <v>1.9672629265231507</v>
      </c>
      <c r="AG282" s="249">
        <f t="shared" si="288"/>
        <v>1.962072978150873</v>
      </c>
      <c r="AI282" s="316"/>
      <c r="AJ282" s="211" t="s">
        <v>1363</v>
      </c>
    </row>
    <row r="283" spans="1:36" s="1" customFormat="1" outlineLevel="1" x14ac:dyDescent="0.2">
      <c r="A283" t="s">
        <v>1380</v>
      </c>
      <c r="B283" s="302" t="s">
        <v>704</v>
      </c>
      <c r="C283" s="249">
        <f t="shared" ref="C283:AG283" si="289">C279*C249</f>
        <v>3.3213556598743015</v>
      </c>
      <c r="D283" s="249">
        <f t="shared" si="289"/>
        <v>3.5153818289184029</v>
      </c>
      <c r="E283" s="249">
        <f t="shared" si="289"/>
        <v>3.7035840635747177</v>
      </c>
      <c r="F283" s="249">
        <f t="shared" si="289"/>
        <v>3.8843297655406466</v>
      </c>
      <c r="G283" s="249">
        <f t="shared" si="289"/>
        <v>4.056015306188443</v>
      </c>
      <c r="H283" s="249">
        <f t="shared" si="289"/>
        <v>4.2170890818600268</v>
      </c>
      <c r="I283" s="249">
        <f t="shared" si="289"/>
        <v>4.3648025628039564</v>
      </c>
      <c r="J283" s="249">
        <f t="shared" si="289"/>
        <v>4.5084114679289291</v>
      </c>
      <c r="K283" s="249">
        <f t="shared" si="289"/>
        <v>4.6474587421967284</v>
      </c>
      <c r="L283" s="249">
        <f t="shared" si="289"/>
        <v>4.7814907640293756</v>
      </c>
      <c r="M283" s="249">
        <f t="shared" si="289"/>
        <v>4.9100592165053758</v>
      </c>
      <c r="N283" s="249">
        <f t="shared" si="289"/>
        <v>4.9833086280560908</v>
      </c>
      <c r="O283" s="249">
        <f t="shared" si="289"/>
        <v>5.0544792522907747</v>
      </c>
      <c r="P283" s="249">
        <f t="shared" si="289"/>
        <v>5.0919460768742271</v>
      </c>
      <c r="Q283" s="249">
        <f t="shared" si="289"/>
        <v>5.1114297827847546</v>
      </c>
      <c r="R283" s="249">
        <f t="shared" si="289"/>
        <v>5.1127033630740693</v>
      </c>
      <c r="S283" s="249">
        <f t="shared" si="289"/>
        <v>5.106839472112334</v>
      </c>
      <c r="T283" s="249">
        <f t="shared" si="289"/>
        <v>5.0919563178104319</v>
      </c>
      <c r="U283" s="249">
        <f t="shared" si="289"/>
        <v>5.0680549944217965</v>
      </c>
      <c r="V283" s="249">
        <f t="shared" si="289"/>
        <v>5.0351574975792746</v>
      </c>
      <c r="W283" s="249">
        <f t="shared" si="289"/>
        <v>4.9933074234604815</v>
      </c>
      <c r="X283" s="249">
        <f t="shared" si="289"/>
        <v>4.8823583430394297</v>
      </c>
      <c r="Y283" s="249">
        <f t="shared" si="289"/>
        <v>4.8192209400576962</v>
      </c>
      <c r="Z283" s="249">
        <f t="shared" si="289"/>
        <v>4.7465171805571469</v>
      </c>
      <c r="AA283" s="249">
        <f t="shared" si="289"/>
        <v>4.6652614951736577</v>
      </c>
      <c r="AB283" s="249">
        <f t="shared" si="289"/>
        <v>4.5756254101314786</v>
      </c>
      <c r="AC283" s="249">
        <f t="shared" si="289"/>
        <v>4.4763987494406745</v>
      </c>
      <c r="AD283" s="249">
        <f t="shared" si="289"/>
        <v>4.3692201326397866</v>
      </c>
      <c r="AE283" s="249">
        <f t="shared" si="289"/>
        <v>4.2543413883511425</v>
      </c>
      <c r="AF283" s="249">
        <f t="shared" si="289"/>
        <v>4.1320418322419705</v>
      </c>
      <c r="AG283" s="249">
        <f t="shared" si="289"/>
        <v>4.0026288754277815</v>
      </c>
      <c r="AI283" s="316"/>
      <c r="AJ283" s="211"/>
    </row>
    <row r="284" spans="1:36" s="67" customFormat="1" x14ac:dyDescent="0.2">
      <c r="A284" s="345" t="s">
        <v>1381</v>
      </c>
      <c r="B284" s="308" t="s">
        <v>704</v>
      </c>
      <c r="C284" s="309">
        <f>C250*C$269</f>
        <v>20.113754003127021</v>
      </c>
      <c r="D284" s="309">
        <f t="shared" ref="D284:AG284" si="290">D250*D$269</f>
        <v>21.14138973954061</v>
      </c>
      <c r="E284" s="309">
        <f t="shared" si="290"/>
        <v>22.138608849346976</v>
      </c>
      <c r="F284" s="309">
        <f t="shared" si="290"/>
        <v>23.09786037201081</v>
      </c>
      <c r="G284" s="309">
        <f t="shared" si="290"/>
        <v>24.011735417716935</v>
      </c>
      <c r="H284" s="309">
        <f t="shared" si="290"/>
        <v>24.873062524604382</v>
      </c>
      <c r="I284" s="309">
        <f t="shared" si="290"/>
        <v>25.663827389781037</v>
      </c>
      <c r="J284" s="309">
        <f t="shared" si="290"/>
        <v>26.443145441742359</v>
      </c>
      <c r="K284" s="309">
        <f t="shared" si="290"/>
        <v>27.209502205154919</v>
      </c>
      <c r="L284" s="309">
        <f t="shared" si="290"/>
        <v>27.961386595566378</v>
      </c>
      <c r="M284" s="309">
        <f t="shared" si="290"/>
        <v>28.697295199692096</v>
      </c>
      <c r="N284" s="309">
        <f t="shared" si="290"/>
        <v>28.906582258127383</v>
      </c>
      <c r="O284" s="309">
        <f t="shared" si="290"/>
        <v>29.110603767307211</v>
      </c>
      <c r="P284" s="309">
        <f t="shared" si="290"/>
        <v>29.13822652348469</v>
      </c>
      <c r="Q284" s="309">
        <f t="shared" si="290"/>
        <v>29.078340615952118</v>
      </c>
      <c r="R284" s="309">
        <f t="shared" si="290"/>
        <v>28.931601379536062</v>
      </c>
      <c r="S284" s="309">
        <f t="shared" si="290"/>
        <v>28.761922803366218</v>
      </c>
      <c r="T284" s="309">
        <f t="shared" si="290"/>
        <v>28.559561549675834</v>
      </c>
      <c r="U284" s="309">
        <f t="shared" si="290"/>
        <v>28.325298208384222</v>
      </c>
      <c r="V284" s="309">
        <f t="shared" si="290"/>
        <v>28.059967055492834</v>
      </c>
      <c r="W284" s="309">
        <f t="shared" si="290"/>
        <v>27.764455836267608</v>
      </c>
      <c r="X284" s="309">
        <f t="shared" si="290"/>
        <v>26.833307734797746</v>
      </c>
      <c r="Y284" s="309">
        <f t="shared" si="290"/>
        <v>26.163533279533834</v>
      </c>
      <c r="Z284" s="309">
        <f t="shared" si="290"/>
        <v>25.467125090049468</v>
      </c>
      <c r="AA284" s="309">
        <f t="shared" si="290"/>
        <v>24.751662611426266</v>
      </c>
      <c r="AB284" s="309">
        <f t="shared" si="290"/>
        <v>24.019842908613278</v>
      </c>
      <c r="AC284" s="309">
        <f t="shared" si="290"/>
        <v>23.266911515725475</v>
      </c>
      <c r="AD284" s="309">
        <f t="shared" si="290"/>
        <v>22.503476540978088</v>
      </c>
      <c r="AE284" s="309">
        <f t="shared" si="290"/>
        <v>21.732492171311232</v>
      </c>
      <c r="AF284" s="309">
        <f t="shared" si="290"/>
        <v>20.95699386953445</v>
      </c>
      <c r="AG284" s="309">
        <f t="shared" si="290"/>
        <v>20.180096874210509</v>
      </c>
      <c r="AI284" s="337"/>
      <c r="AJ284" s="348"/>
    </row>
    <row r="285" spans="1:36" x14ac:dyDescent="0.2">
      <c r="A285" s="346" t="s">
        <v>1382</v>
      </c>
      <c r="B285" s="302" t="s">
        <v>704</v>
      </c>
      <c r="C285" s="249">
        <f t="shared" ref="C285:AG285" si="291">C251*C$269</f>
        <v>46.513056132231235</v>
      </c>
      <c r="D285" s="249">
        <f t="shared" si="291"/>
        <v>47.525503144330202</v>
      </c>
      <c r="E285" s="249">
        <f t="shared" si="291"/>
        <v>48.428206857946506</v>
      </c>
      <c r="F285" s="249">
        <f t="shared" si="291"/>
        <v>49.214191133545754</v>
      </c>
      <c r="G285" s="249">
        <f t="shared" si="291"/>
        <v>49.87731805518407</v>
      </c>
      <c r="H285" s="249">
        <f t="shared" si="291"/>
        <v>50.412367795403512</v>
      </c>
      <c r="I285" s="249">
        <f t="shared" si="291"/>
        <v>50.792991708941628</v>
      </c>
      <c r="J285" s="249">
        <f t="shared" si="291"/>
        <v>51.14425934255911</v>
      </c>
      <c r="K285" s="249">
        <f t="shared" si="291"/>
        <v>51.465341341987084</v>
      </c>
      <c r="L285" s="249">
        <f t="shared" si="291"/>
        <v>51.755451150447371</v>
      </c>
      <c r="M285" s="249">
        <f t="shared" si="291"/>
        <v>52.013847549441913</v>
      </c>
      <c r="N285" s="249">
        <f t="shared" si="291"/>
        <v>51.335622455363399</v>
      </c>
      <c r="O285" s="249">
        <f t="shared" si="291"/>
        <v>50.683640487722364</v>
      </c>
      <c r="P285" s="249">
        <f t="shared" si="291"/>
        <v>49.763686286474559</v>
      </c>
      <c r="Q285" s="249">
        <f t="shared" si="291"/>
        <v>48.739264100601545</v>
      </c>
      <c r="R285" s="249">
        <f t="shared" si="291"/>
        <v>47.616593937153084</v>
      </c>
      <c r="S285" s="249">
        <f t="shared" si="291"/>
        <v>46.503652358703512</v>
      </c>
      <c r="T285" s="249">
        <f t="shared" si="291"/>
        <v>45.383877728540703</v>
      </c>
      <c r="U285" s="249">
        <f t="shared" si="291"/>
        <v>44.258278450600322</v>
      </c>
      <c r="V285" s="249">
        <f t="shared" si="291"/>
        <v>43.127883038098012</v>
      </c>
      <c r="W285" s="249">
        <f t="shared" si="291"/>
        <v>41.993739452354724</v>
      </c>
      <c r="X285" s="249">
        <f t="shared" si="291"/>
        <v>39.954006002180428</v>
      </c>
      <c r="Y285" s="249">
        <f t="shared" si="291"/>
        <v>38.364796395470243</v>
      </c>
      <c r="Z285" s="249">
        <f t="shared" si="291"/>
        <v>36.78918423975302</v>
      </c>
      <c r="AA285" s="249">
        <f t="shared" si="291"/>
        <v>35.236741912099845</v>
      </c>
      <c r="AB285" s="249">
        <f t="shared" si="291"/>
        <v>33.709665900156082</v>
      </c>
      <c r="AC285" s="249">
        <f t="shared" si="291"/>
        <v>32.199743615512887</v>
      </c>
      <c r="AD285" s="249">
        <f t="shared" si="291"/>
        <v>30.720206462190433</v>
      </c>
      <c r="AE285" s="249">
        <f t="shared" si="291"/>
        <v>29.273292256615296</v>
      </c>
      <c r="AF285" s="249">
        <f t="shared" si="291"/>
        <v>27.861257739688227</v>
      </c>
      <c r="AG285" s="249">
        <f t="shared" si="291"/>
        <v>26.486377147401292</v>
      </c>
      <c r="AI285" s="296"/>
    </row>
    <row r="286" spans="1:36" x14ac:dyDescent="0.2">
      <c r="A286" s="346" t="s">
        <v>1383</v>
      </c>
      <c r="B286" s="302" t="s">
        <v>704</v>
      </c>
      <c r="C286" s="249">
        <f t="shared" ref="C286:AG286" si="292">C252*C$269</f>
        <v>10.05687700156351</v>
      </c>
      <c r="D286" s="249">
        <f t="shared" si="292"/>
        <v>9.9313383252277472</v>
      </c>
      <c r="E286" s="249">
        <f t="shared" si="292"/>
        <v>9.772120312407063</v>
      </c>
      <c r="F286" s="249">
        <f t="shared" si="292"/>
        <v>9.5803625406635717</v>
      </c>
      <c r="G286" s="249">
        <f t="shared" si="292"/>
        <v>9.357514537786745</v>
      </c>
      <c r="H286" s="249">
        <f t="shared" si="292"/>
        <v>9.1053175313283852</v>
      </c>
      <c r="I286" s="249">
        <f t="shared" si="292"/>
        <v>8.8219406652372285</v>
      </c>
      <c r="J286" s="249">
        <f t="shared" si="292"/>
        <v>8.5314878029945742</v>
      </c>
      <c r="K286" s="249">
        <f t="shared" si="292"/>
        <v>8.2344546147179312</v>
      </c>
      <c r="L286" s="249">
        <f t="shared" si="292"/>
        <v>7.9313548516269963</v>
      </c>
      <c r="M286" s="249">
        <f t="shared" si="292"/>
        <v>7.6227190374182081</v>
      </c>
      <c r="N286" s="249">
        <f t="shared" si="292"/>
        <v>7.1825806525529883</v>
      </c>
      <c r="O286" s="249">
        <f t="shared" si="292"/>
        <v>6.7578187316963128</v>
      </c>
      <c r="P286" s="249">
        <f t="shared" si="292"/>
        <v>6.3104589418593253</v>
      </c>
      <c r="Q286" s="249">
        <f t="shared" si="292"/>
        <v>5.8652334765130654</v>
      </c>
      <c r="R286" s="249">
        <f t="shared" si="292"/>
        <v>5.424675258663008</v>
      </c>
      <c r="S286" s="249">
        <f t="shared" si="292"/>
        <v>5.0020735310202085</v>
      </c>
      <c r="T286" s="249">
        <f t="shared" si="292"/>
        <v>4.595354983391986</v>
      </c>
      <c r="U286" s="249">
        <f t="shared" si="292"/>
        <v>4.2045364528070293</v>
      </c>
      <c r="V286" s="249">
        <f t="shared" si="292"/>
        <v>3.82961285068588</v>
      </c>
      <c r="W286" s="249">
        <f t="shared" si="292"/>
        <v>3.470556979533447</v>
      </c>
      <c r="X286" s="249">
        <f t="shared" si="292"/>
        <v>3.0582078668335622</v>
      </c>
      <c r="Y286" s="249">
        <f t="shared" si="292"/>
        <v>2.7044036803364255</v>
      </c>
      <c r="Z286" s="249">
        <f t="shared" si="292"/>
        <v>2.372526983624887</v>
      </c>
      <c r="AA286" s="249">
        <f t="shared" si="292"/>
        <v>2.0626385509521845</v>
      </c>
      <c r="AB286" s="249">
        <f t="shared" si="292"/>
        <v>1.7741929421134766</v>
      </c>
      <c r="AC286" s="249">
        <f t="shared" si="292"/>
        <v>1.5061170400804398</v>
      </c>
      <c r="AD286" s="249">
        <f t="shared" si="292"/>
        <v>1.2584180960415341</v>
      </c>
      <c r="AE286" s="249">
        <f t="shared" si="292"/>
        <v>1.0304198874328567</v>
      </c>
      <c r="AF286" s="249">
        <f t="shared" si="292"/>
        <v>0.82140759869996993</v>
      </c>
      <c r="AG286" s="249">
        <f t="shared" si="292"/>
        <v>0.63062802731907841</v>
      </c>
      <c r="AI286" s="296"/>
    </row>
    <row r="287" spans="1:36" x14ac:dyDescent="0.2">
      <c r="A287" s="346" t="s">
        <v>1384</v>
      </c>
      <c r="B287" s="302" t="s">
        <v>704</v>
      </c>
      <c r="C287" s="249">
        <f t="shared" ref="C287:AG287" si="293">C253*C$269</f>
        <v>33.941959880276848</v>
      </c>
      <c r="D287" s="249">
        <f t="shared" si="293"/>
        <v>34.056391939300305</v>
      </c>
      <c r="E287" s="249">
        <f t="shared" si="293"/>
        <v>34.072702682198091</v>
      </c>
      <c r="F287" s="249">
        <f t="shared" si="293"/>
        <v>33.990601342902281</v>
      </c>
      <c r="G287" s="249">
        <f t="shared" si="293"/>
        <v>33.810642150682312</v>
      </c>
      <c r="H287" s="249">
        <f t="shared" si="293"/>
        <v>33.534218225136279</v>
      </c>
      <c r="I287" s="249">
        <f t="shared" si="293"/>
        <v>33.149110378467192</v>
      </c>
      <c r="J287" s="249">
        <f t="shared" si="293"/>
        <v>32.74125947431952</v>
      </c>
      <c r="K287" s="249">
        <f t="shared" si="293"/>
        <v>32.31128386862148</v>
      </c>
      <c r="L287" s="249">
        <f t="shared" si="293"/>
        <v>31.859849149755931</v>
      </c>
      <c r="M287" s="249">
        <f t="shared" si="293"/>
        <v>31.38766662466324</v>
      </c>
      <c r="N287" s="249">
        <f t="shared" si="293"/>
        <v>30.360724353429529</v>
      </c>
      <c r="O287" s="249">
        <f t="shared" si="293"/>
        <v>29.370519872372462</v>
      </c>
      <c r="P287" s="249">
        <f t="shared" si="293"/>
        <v>28.248832981343448</v>
      </c>
      <c r="Q287" s="249">
        <f t="shared" si="293"/>
        <v>27.095726483046299</v>
      </c>
      <c r="R287" s="249">
        <f t="shared" si="293"/>
        <v>25.917892902501059</v>
      </c>
      <c r="S287" s="249">
        <f t="shared" si="293"/>
        <v>24.775895458334489</v>
      </c>
      <c r="T287" s="249">
        <f t="shared" si="293"/>
        <v>23.660381443414952</v>
      </c>
      <c r="U287" s="249">
        <f t="shared" si="293"/>
        <v>22.571722009806177</v>
      </c>
      <c r="V287" s="249">
        <f t="shared" si="293"/>
        <v>21.5102553575908</v>
      </c>
      <c r="W287" s="249">
        <f t="shared" si="293"/>
        <v>20.476286179247353</v>
      </c>
      <c r="X287" s="249">
        <f t="shared" si="293"/>
        <v>19.039810267705743</v>
      </c>
      <c r="Y287" s="249">
        <f t="shared" si="293"/>
        <v>17.861642911989431</v>
      </c>
      <c r="Z287" s="249">
        <f t="shared" si="293"/>
        <v>16.727816833912193</v>
      </c>
      <c r="AA287" s="249">
        <f t="shared" si="293"/>
        <v>15.641675678054082</v>
      </c>
      <c r="AB287" s="249">
        <f t="shared" si="293"/>
        <v>14.602972677395552</v>
      </c>
      <c r="AC287" s="249">
        <f t="shared" si="293"/>
        <v>13.606988431071574</v>
      </c>
      <c r="AD287" s="249">
        <f t="shared" si="293"/>
        <v>12.658205554300155</v>
      </c>
      <c r="AE287" s="249">
        <f t="shared" si="293"/>
        <v>11.756154170256703</v>
      </c>
      <c r="AF287" s="249">
        <f t="shared" si="293"/>
        <v>10.900300836802325</v>
      </c>
      <c r="AG287" s="249">
        <f t="shared" si="293"/>
        <v>10.090048437105255</v>
      </c>
      <c r="AI287" s="296"/>
    </row>
    <row r="288" spans="1:36" x14ac:dyDescent="0.2">
      <c r="A288" s="346" t="s">
        <v>1385</v>
      </c>
      <c r="B288" s="302" t="s">
        <v>704</v>
      </c>
      <c r="C288" s="249">
        <f t="shared" ref="C288:AG288" si="294">C254*C$269</f>
        <v>8.7997673763680719</v>
      </c>
      <c r="D288" s="249">
        <f t="shared" si="294"/>
        <v>8.9083678539596534</v>
      </c>
      <c r="E288" s="249">
        <f t="shared" si="294"/>
        <v>8.9938098450472097</v>
      </c>
      <c r="F288" s="249">
        <f t="shared" si="294"/>
        <v>9.0554111685724195</v>
      </c>
      <c r="G288" s="249">
        <f t="shared" si="294"/>
        <v>9.0926792206795746</v>
      </c>
      <c r="H288" s="249">
        <f t="shared" si="294"/>
        <v>9.1053175313283869</v>
      </c>
      <c r="I288" s="249">
        <f t="shared" si="294"/>
        <v>9.0892722005474482</v>
      </c>
      <c r="J288" s="249">
        <f t="shared" si="294"/>
        <v>9.0674975078947586</v>
      </c>
      <c r="K288" s="249">
        <f t="shared" si="294"/>
        <v>9.0399990878968612</v>
      </c>
      <c r="L288" s="249">
        <f t="shared" si="294"/>
        <v>9.0067927976103199</v>
      </c>
      <c r="M288" s="249">
        <f t="shared" si="294"/>
        <v>8.9679047499037754</v>
      </c>
      <c r="N288" s="249">
        <f t="shared" si="294"/>
        <v>8.7689174837916859</v>
      </c>
      <c r="O288" s="249">
        <f t="shared" si="294"/>
        <v>8.5772314671530125</v>
      </c>
      <c r="P288" s="249">
        <f t="shared" si="294"/>
        <v>8.3433584667536049</v>
      </c>
      <c r="Q288" s="249">
        <f t="shared" si="294"/>
        <v>8.0956743760321181</v>
      </c>
      <c r="R288" s="249">
        <f t="shared" si="294"/>
        <v>7.8356420402910105</v>
      </c>
      <c r="S288" s="249">
        <f t="shared" si="294"/>
        <v>7.5812676954525022</v>
      </c>
      <c r="T288" s="249">
        <f t="shared" si="294"/>
        <v>7.329781089212009</v>
      </c>
      <c r="U288" s="249">
        <f t="shared" si="294"/>
        <v>7.0813245520960484</v>
      </c>
      <c r="V288" s="249">
        <f t="shared" si="294"/>
        <v>6.8360378923458223</v>
      </c>
      <c r="W288" s="249">
        <f t="shared" si="294"/>
        <v>6.5940582611135481</v>
      </c>
      <c r="X288" s="249">
        <f t="shared" si="294"/>
        <v>6.2150676003391743</v>
      </c>
      <c r="Y288" s="249">
        <f t="shared" si="294"/>
        <v>5.9119522314331157</v>
      </c>
      <c r="Z288" s="249">
        <f t="shared" si="294"/>
        <v>5.6159815941500488</v>
      </c>
      <c r="AA288" s="249">
        <f t="shared" si="294"/>
        <v>5.3284829232931443</v>
      </c>
      <c r="AB288" s="249">
        <f t="shared" si="294"/>
        <v>5.0496260660152812</v>
      </c>
      <c r="AC288" s="249">
        <f t="shared" si="294"/>
        <v>4.7780264719793291</v>
      </c>
      <c r="AD288" s="249">
        <f t="shared" si="294"/>
        <v>4.5155002269725681</v>
      </c>
      <c r="AE288" s="249">
        <f t="shared" si="294"/>
        <v>4.2621913525631854</v>
      </c>
      <c r="AF288" s="249">
        <f t="shared" si="294"/>
        <v>4.0182371720187788</v>
      </c>
      <c r="AG288" s="249">
        <f t="shared" si="294"/>
        <v>3.7837681639144707</v>
      </c>
      <c r="AI288" s="296"/>
    </row>
    <row r="289" spans="1:36" s="68" customFormat="1" x14ac:dyDescent="0.2">
      <c r="A289" s="347" t="s">
        <v>1386</v>
      </c>
      <c r="B289" s="312" t="s">
        <v>704</v>
      </c>
      <c r="C289" s="313">
        <f t="shared" ref="C289:AG289" si="295">C255*C$269</f>
        <v>6.2855481259771935</v>
      </c>
      <c r="D289" s="313">
        <f t="shared" si="295"/>
        <v>6.3083179061532473</v>
      </c>
      <c r="E289" s="313">
        <f t="shared" si="295"/>
        <v>6.3129626796965983</v>
      </c>
      <c r="F289" s="313">
        <f t="shared" si="295"/>
        <v>6.2994164650938567</v>
      </c>
      <c r="G289" s="313">
        <f t="shared" si="295"/>
        <v>6.267769171536405</v>
      </c>
      <c r="H289" s="313">
        <f t="shared" si="295"/>
        <v>6.2182656311510938</v>
      </c>
      <c r="I289" s="313">
        <f t="shared" si="295"/>
        <v>6.1486253121350396</v>
      </c>
      <c r="J289" s="313">
        <f t="shared" si="295"/>
        <v>6.0747766555354055</v>
      </c>
      <c r="K289" s="313">
        <f t="shared" si="295"/>
        <v>5.9968310781097989</v>
      </c>
      <c r="L289" s="313">
        <f t="shared" si="295"/>
        <v>5.9149087029082699</v>
      </c>
      <c r="M289" s="313">
        <f t="shared" si="295"/>
        <v>5.829138087437455</v>
      </c>
      <c r="N289" s="313">
        <f t="shared" si="295"/>
        <v>5.6403087332931445</v>
      </c>
      <c r="O289" s="313">
        <f t="shared" si="295"/>
        <v>5.4582382063700994</v>
      </c>
      <c r="P289" s="313">
        <f t="shared" si="295"/>
        <v>5.2516571059768884</v>
      </c>
      <c r="Q289" s="313">
        <f t="shared" si="295"/>
        <v>5.0391442544689715</v>
      </c>
      <c r="R289" s="313">
        <f t="shared" si="295"/>
        <v>4.8219335632560067</v>
      </c>
      <c r="S289" s="313">
        <f t="shared" si="295"/>
        <v>4.6112865364092537</v>
      </c>
      <c r="T289" s="313">
        <f t="shared" si="295"/>
        <v>4.4054642815989276</v>
      </c>
      <c r="U289" s="313">
        <f t="shared" si="295"/>
        <v>4.2045364528070284</v>
      </c>
      <c r="V289" s="313">
        <f t="shared" si="295"/>
        <v>4.0085667222132564</v>
      </c>
      <c r="W289" s="313">
        <f t="shared" si="295"/>
        <v>3.8176126774867907</v>
      </c>
      <c r="X289" s="313">
        <f t="shared" si="295"/>
        <v>3.5514672001938132</v>
      </c>
      <c r="Y289" s="313">
        <f t="shared" si="295"/>
        <v>3.3333347687867563</v>
      </c>
      <c r="Z289" s="313">
        <f t="shared" si="295"/>
        <v>3.1233266619871922</v>
      </c>
      <c r="AA289" s="313">
        <f t="shared" si="295"/>
        <v>2.9220712805155942</v>
      </c>
      <c r="AB289" s="313">
        <f t="shared" si="295"/>
        <v>2.7295276032515021</v>
      </c>
      <c r="AC289" s="313">
        <f t="shared" si="295"/>
        <v>2.5448184470324668</v>
      </c>
      <c r="AD289" s="313">
        <f t="shared" si="295"/>
        <v>2.368787004313476</v>
      </c>
      <c r="AE289" s="313">
        <f t="shared" si="295"/>
        <v>2.2013515776974675</v>
      </c>
      <c r="AF289" s="313">
        <f t="shared" si="295"/>
        <v>2.0424188940647916</v>
      </c>
      <c r="AG289" s="313">
        <f t="shared" si="295"/>
        <v>1.8918840819572353</v>
      </c>
      <c r="AI289" s="314"/>
      <c r="AJ289" s="315"/>
    </row>
    <row r="290" spans="1:36" s="181" customFormat="1" x14ac:dyDescent="0.2">
      <c r="B290" s="176"/>
      <c r="C290" s="110"/>
      <c r="D290" s="110"/>
      <c r="E290" s="110"/>
      <c r="F290" s="110"/>
      <c r="G290" s="110"/>
      <c r="H290" s="110"/>
      <c r="I290" s="110"/>
      <c r="J290" s="110"/>
      <c r="K290" s="110"/>
      <c r="L290" s="110"/>
      <c r="M290" s="110"/>
      <c r="N290" s="110"/>
      <c r="O290" s="110"/>
      <c r="P290" s="110"/>
      <c r="Q290" s="110"/>
      <c r="R290" s="110"/>
      <c r="S290" s="110"/>
      <c r="T290" s="110"/>
      <c r="U290" s="110"/>
      <c r="V290" s="110"/>
      <c r="W290" s="110"/>
      <c r="X290" s="110"/>
      <c r="Y290" s="110"/>
      <c r="Z290" s="110"/>
      <c r="AA290" s="110"/>
      <c r="AB290" s="110"/>
      <c r="AC290" s="110"/>
      <c r="AD290" s="110"/>
      <c r="AE290" s="110"/>
      <c r="AF290" s="110"/>
      <c r="AG290" s="110"/>
      <c r="AJ290" s="323"/>
    </row>
    <row r="291" spans="1:36" s="181" customFormat="1" x14ac:dyDescent="0.2">
      <c r="A291" s="181" t="s">
        <v>1390</v>
      </c>
      <c r="B291" s="350" t="s">
        <v>704</v>
      </c>
      <c r="C291" s="230">
        <f>C224</f>
        <v>17.861834618571326</v>
      </c>
      <c r="D291" s="230">
        <f t="shared" ref="D291:AG291" si="296">D224</f>
        <v>19.10066007535314</v>
      </c>
      <c r="E291" s="230">
        <f t="shared" si="296"/>
        <v>20.326034188179673</v>
      </c>
      <c r="F291" s="230">
        <f t="shared" si="296"/>
        <v>21.52873821376847</v>
      </c>
      <c r="G291" s="230">
        <f t="shared" si="296"/>
        <v>22.699477037904504</v>
      </c>
      <c r="H291" s="230">
        <f t="shared" si="296"/>
        <v>23.828997691393756</v>
      </c>
      <c r="I291" s="230">
        <f t="shared" si="296"/>
        <v>24.920203594353069</v>
      </c>
      <c r="J291" s="230">
        <f t="shared" si="296"/>
        <v>26.00816187260299</v>
      </c>
      <c r="K291" s="230">
        <f t="shared" si="296"/>
        <v>27.090730901312558</v>
      </c>
      <c r="L291" s="230">
        <f t="shared" si="296"/>
        <v>28.165727721645215</v>
      </c>
      <c r="M291" s="230">
        <f t="shared" si="296"/>
        <v>29.23093325446364</v>
      </c>
      <c r="N291" s="230">
        <f t="shared" si="296"/>
        <v>30.994368417798409</v>
      </c>
      <c r="O291" s="230">
        <f t="shared" si="296"/>
        <v>32.763343065805515</v>
      </c>
      <c r="P291" s="230">
        <f t="shared" si="296"/>
        <v>34.285439228140206</v>
      </c>
      <c r="Q291" s="230">
        <f t="shared" si="296"/>
        <v>35.669372491565973</v>
      </c>
      <c r="R291" s="230">
        <f t="shared" si="296"/>
        <v>36.904259676593028</v>
      </c>
      <c r="S291" s="230">
        <f t="shared" si="296"/>
        <v>38.064116044746605</v>
      </c>
      <c r="T291" s="230">
        <f t="shared" si="296"/>
        <v>39.132615658773695</v>
      </c>
      <c r="U291" s="230">
        <f t="shared" si="296"/>
        <v>40.106990200470058</v>
      </c>
      <c r="V291" s="230">
        <f t="shared" si="296"/>
        <v>40.984493572032811</v>
      </c>
      <c r="W291" s="230">
        <f t="shared" si="296"/>
        <v>41.762404387866567</v>
      </c>
      <c r="X291" s="230">
        <f t="shared" si="296"/>
        <v>42.921460653080757</v>
      </c>
      <c r="Y291" s="230">
        <f t="shared" si="296"/>
        <v>44.498990638127026</v>
      </c>
      <c r="Z291" s="230">
        <f t="shared" si="296"/>
        <v>45.899549468763738</v>
      </c>
      <c r="AA291" s="230">
        <f t="shared" si="296"/>
        <v>47.125533221783982</v>
      </c>
      <c r="AB291" s="230">
        <f t="shared" si="296"/>
        <v>48.172480788552022</v>
      </c>
      <c r="AC291" s="230">
        <f t="shared" si="296"/>
        <v>49.021306875883333</v>
      </c>
      <c r="AD291" s="230">
        <f t="shared" si="296"/>
        <v>49.681090085337409</v>
      </c>
      <c r="AE291" s="230">
        <f t="shared" si="296"/>
        <v>50.14749590784735</v>
      </c>
      <c r="AF291" s="230">
        <f t="shared" si="296"/>
        <v>50.416239114269601</v>
      </c>
      <c r="AG291" s="230">
        <f t="shared" si="296"/>
        <v>50.48308720737878</v>
      </c>
      <c r="AI291" s="694" t="s">
        <v>1391</v>
      </c>
      <c r="AJ291" s="323"/>
    </row>
    <row r="292" spans="1:36" s="181" customFormat="1" x14ac:dyDescent="0.2">
      <c r="A292" s="181" t="s">
        <v>1392</v>
      </c>
      <c r="B292" s="349" t="s">
        <v>704</v>
      </c>
      <c r="C292" s="249">
        <f>C291/(1-C249)</f>
        <v>24.468266600782638</v>
      </c>
      <c r="D292" s="249">
        <f t="shared" ref="D292:AG292" si="297">D291/(1-D249)</f>
        <v>26.022697650344877</v>
      </c>
      <c r="E292" s="249">
        <f t="shared" si="297"/>
        <v>27.542051745500913</v>
      </c>
      <c r="F292" s="249">
        <f t="shared" si="297"/>
        <v>29.014471986210875</v>
      </c>
      <c r="G292" s="249">
        <f t="shared" si="297"/>
        <v>30.428253402016761</v>
      </c>
      <c r="H292" s="249">
        <f t="shared" si="297"/>
        <v>31.771996921858342</v>
      </c>
      <c r="I292" s="249">
        <f t="shared" si="297"/>
        <v>33.050667897019984</v>
      </c>
      <c r="J292" s="249">
        <f t="shared" si="297"/>
        <v>34.311559198684684</v>
      </c>
      <c r="K292" s="249">
        <f t="shared" si="297"/>
        <v>35.552140290436427</v>
      </c>
      <c r="L292" s="249">
        <f t="shared" si="297"/>
        <v>36.76987953217391</v>
      </c>
      <c r="M292" s="249">
        <f t="shared" si="297"/>
        <v>37.962250979822905</v>
      </c>
      <c r="N292" s="249">
        <f t="shared" si="297"/>
        <v>40.044403640566422</v>
      </c>
      <c r="O292" s="249">
        <f t="shared" si="297"/>
        <v>42.112266151420968</v>
      </c>
      <c r="P292" s="249">
        <f t="shared" si="297"/>
        <v>43.843272670256013</v>
      </c>
      <c r="Q292" s="249">
        <f t="shared" si="297"/>
        <v>45.38088103252668</v>
      </c>
      <c r="R292" s="249">
        <f t="shared" si="297"/>
        <v>46.714252755181043</v>
      </c>
      <c r="S292" s="249">
        <f t="shared" si="297"/>
        <v>47.939692751570028</v>
      </c>
      <c r="T292" s="249">
        <f t="shared" si="297"/>
        <v>49.038365487185075</v>
      </c>
      <c r="U292" s="249">
        <f t="shared" si="297"/>
        <v>50.008715960685855</v>
      </c>
      <c r="V292" s="249">
        <f t="shared" si="297"/>
        <v>50.849247607981155</v>
      </c>
      <c r="W292" s="249">
        <f t="shared" si="297"/>
        <v>51.558523935637737</v>
      </c>
      <c r="X292" s="249">
        <f t="shared" si="297"/>
        <v>52.729067141376845</v>
      </c>
      <c r="Y292" s="249">
        <f t="shared" si="297"/>
        <v>54.399744056390006</v>
      </c>
      <c r="Z292" s="249">
        <f t="shared" si="297"/>
        <v>55.838867966865855</v>
      </c>
      <c r="AA292" s="249">
        <f t="shared" si="297"/>
        <v>57.052703658334117</v>
      </c>
      <c r="AB292" s="249">
        <f t="shared" si="297"/>
        <v>58.039133480183153</v>
      </c>
      <c r="AC292" s="249">
        <f t="shared" si="297"/>
        <v>58.778545414728214</v>
      </c>
      <c r="AD292" s="249">
        <f t="shared" si="297"/>
        <v>59.285310364364442</v>
      </c>
      <c r="AE292" s="249">
        <f t="shared" si="297"/>
        <v>59.557596090079983</v>
      </c>
      <c r="AF292" s="249">
        <f t="shared" si="297"/>
        <v>59.593663255637821</v>
      </c>
      <c r="AG292" s="249">
        <f t="shared" si="297"/>
        <v>59.391867302798566</v>
      </c>
      <c r="AI292" s="694"/>
      <c r="AJ292" s="323"/>
    </row>
    <row r="293" spans="1:36" s="181" customFormat="1" x14ac:dyDescent="0.2">
      <c r="A293" s="181" t="s">
        <v>1393</v>
      </c>
      <c r="B293" s="349" t="s">
        <v>704</v>
      </c>
      <c r="C293" s="249">
        <f>C281</f>
        <v>17.185663817432385</v>
      </c>
      <c r="D293" s="249">
        <f t="shared" ref="D293:AG293" si="298">D281</f>
        <v>17.847637728450788</v>
      </c>
      <c r="E293" s="249">
        <f t="shared" si="298"/>
        <v>18.482264057110008</v>
      </c>
      <c r="F293" s="249">
        <f t="shared" si="298"/>
        <v>19.084939563322354</v>
      </c>
      <c r="G293" s="249">
        <f t="shared" si="298"/>
        <v>19.651184606552388</v>
      </c>
      <c r="H293" s="249">
        <f t="shared" si="298"/>
        <v>20.176698168506778</v>
      </c>
      <c r="I293" s="249">
        <f t="shared" si="298"/>
        <v>20.651395034925237</v>
      </c>
      <c r="J293" s="249">
        <f t="shared" si="298"/>
        <v>21.121496479875184</v>
      </c>
      <c r="K293" s="249">
        <f t="shared" si="298"/>
        <v>21.586141317156684</v>
      </c>
      <c r="L293" s="249">
        <f t="shared" si="298"/>
        <v>22.044453312756001</v>
      </c>
      <c r="M293" s="249">
        <f t="shared" si="298"/>
        <v>22.495543040837177</v>
      </c>
      <c r="N293" s="249">
        <f t="shared" si="298"/>
        <v>22.713285464915188</v>
      </c>
      <c r="O293" s="249">
        <f t="shared" si="298"/>
        <v>22.943170035489025</v>
      </c>
      <c r="P293" s="249">
        <f t="shared" si="298"/>
        <v>23.042192677307767</v>
      </c>
      <c r="Q293" s="249">
        <f t="shared" si="298"/>
        <v>23.082412938075336</v>
      </c>
      <c r="R293" s="249">
        <f t="shared" si="298"/>
        <v>23.062869403077105</v>
      </c>
      <c r="S293" s="249">
        <f t="shared" si="298"/>
        <v>23.033236035623467</v>
      </c>
      <c r="T293" s="249">
        <f t="shared" si="298"/>
        <v>22.984545555770858</v>
      </c>
      <c r="U293" s="249">
        <f t="shared" si="298"/>
        <v>22.916241474365357</v>
      </c>
      <c r="V293" s="249">
        <f t="shared" si="298"/>
        <v>22.827766873169029</v>
      </c>
      <c r="W293" s="249">
        <f t="shared" si="298"/>
        <v>22.7185648275258</v>
      </c>
      <c r="X293" s="249">
        <f t="shared" si="298"/>
        <v>22.312902096267269</v>
      </c>
      <c r="Y293" s="249">
        <f t="shared" si="298"/>
        <v>22.142546347735756</v>
      </c>
      <c r="Z293" s="249">
        <f t="shared" si="298"/>
        <v>21.945257716162061</v>
      </c>
      <c r="AA293" s="249">
        <f t="shared" si="298"/>
        <v>21.724430058478969</v>
      </c>
      <c r="AB293" s="249">
        <f t="shared" si="298"/>
        <v>21.47949098561925</v>
      </c>
      <c r="AC293" s="249">
        <f t="shared" si="298"/>
        <v>21.20320254403137</v>
      </c>
      <c r="AD293" s="249">
        <f t="shared" si="298"/>
        <v>20.901564723189143</v>
      </c>
      <c r="AE293" s="249">
        <f t="shared" si="298"/>
        <v>20.573995267962864</v>
      </c>
      <c r="AF293" s="249">
        <f t="shared" si="298"/>
        <v>20.219912936519901</v>
      </c>
      <c r="AG293" s="249">
        <f t="shared" si="298"/>
        <v>19.838737890192164</v>
      </c>
      <c r="AI293" s="694"/>
      <c r="AJ293" s="323"/>
    </row>
    <row r="294" spans="1:36" s="181" customFormat="1" x14ac:dyDescent="0.2">
      <c r="A294" s="181" t="s">
        <v>1394</v>
      </c>
      <c r="B294" s="349" t="s">
        <v>704</v>
      </c>
      <c r="C294" s="249">
        <f>C292-C293</f>
        <v>7.2826027833502529</v>
      </c>
      <c r="D294" s="249">
        <f t="shared" ref="D294:AG294" si="299">D292-D293</f>
        <v>8.1750599218940891</v>
      </c>
      <c r="E294" s="249">
        <f t="shared" si="299"/>
        <v>9.0597876883909052</v>
      </c>
      <c r="F294" s="249">
        <f t="shared" si="299"/>
        <v>9.9295324228885207</v>
      </c>
      <c r="G294" s="249">
        <f t="shared" si="299"/>
        <v>10.777068795464373</v>
      </c>
      <c r="H294" s="249">
        <f t="shared" si="299"/>
        <v>11.595298753351564</v>
      </c>
      <c r="I294" s="249">
        <f t="shared" si="299"/>
        <v>12.399272862094747</v>
      </c>
      <c r="J294" s="249">
        <f t="shared" si="299"/>
        <v>13.1900627188095</v>
      </c>
      <c r="K294" s="249">
        <f t="shared" si="299"/>
        <v>13.965998973279742</v>
      </c>
      <c r="L294" s="249">
        <f t="shared" si="299"/>
        <v>14.725426219417908</v>
      </c>
      <c r="M294" s="249">
        <f t="shared" si="299"/>
        <v>15.466707938985728</v>
      </c>
      <c r="N294" s="249">
        <f t="shared" si="299"/>
        <v>17.331118175651234</v>
      </c>
      <c r="O294" s="249">
        <f t="shared" si="299"/>
        <v>19.169096115931943</v>
      </c>
      <c r="P294" s="249">
        <f t="shared" si="299"/>
        <v>20.801079992948246</v>
      </c>
      <c r="Q294" s="249">
        <f t="shared" si="299"/>
        <v>22.298468094451344</v>
      </c>
      <c r="R294" s="249">
        <f t="shared" si="299"/>
        <v>23.651383352103938</v>
      </c>
      <c r="S294" s="249">
        <f t="shared" si="299"/>
        <v>24.906456715946561</v>
      </c>
      <c r="T294" s="249">
        <f t="shared" si="299"/>
        <v>26.053819931414218</v>
      </c>
      <c r="U294" s="249">
        <f t="shared" si="299"/>
        <v>27.092474486320498</v>
      </c>
      <c r="V294" s="249">
        <f t="shared" si="299"/>
        <v>28.021480734812126</v>
      </c>
      <c r="W294" s="249">
        <f t="shared" si="299"/>
        <v>28.839959108111938</v>
      </c>
      <c r="X294" s="249">
        <f t="shared" si="299"/>
        <v>30.416165045109576</v>
      </c>
      <c r="Y294" s="249">
        <f t="shared" si="299"/>
        <v>32.257197708654246</v>
      </c>
      <c r="Z294" s="249">
        <f t="shared" si="299"/>
        <v>33.893610250703794</v>
      </c>
      <c r="AA294" s="249">
        <f t="shared" si="299"/>
        <v>35.328273599855152</v>
      </c>
      <c r="AB294" s="249">
        <f t="shared" si="299"/>
        <v>36.559642494563903</v>
      </c>
      <c r="AC294" s="249">
        <f t="shared" si="299"/>
        <v>37.575342870696844</v>
      </c>
      <c r="AD294" s="249">
        <f t="shared" si="299"/>
        <v>38.383745641175295</v>
      </c>
      <c r="AE294" s="249">
        <f t="shared" si="299"/>
        <v>38.983600822117118</v>
      </c>
      <c r="AF294" s="249">
        <f t="shared" si="299"/>
        <v>39.373750319117917</v>
      </c>
      <c r="AG294" s="249">
        <f t="shared" si="299"/>
        <v>39.553129412606403</v>
      </c>
      <c r="AI294" s="694"/>
      <c r="AJ294" s="323"/>
    </row>
    <row r="295" spans="1:36" s="181" customFormat="1" x14ac:dyDescent="0.2">
      <c r="A295" s="181" t="s">
        <v>1395</v>
      </c>
      <c r="B295" s="349" t="s">
        <v>704</v>
      </c>
      <c r="C295" s="249">
        <f>(C294)/(1-C246)</f>
        <v>9.1032534791878152</v>
      </c>
      <c r="D295" s="249">
        <f t="shared" ref="D295:AG295" si="300">(D292-D281)/(1-D246)</f>
        <v>10.176423139287248</v>
      </c>
      <c r="E295" s="249">
        <f t="shared" si="300"/>
        <v>11.231141762468065</v>
      </c>
      <c r="F295" s="249">
        <f t="shared" si="300"/>
        <v>12.258682003566076</v>
      </c>
      <c r="G295" s="249">
        <f t="shared" si="300"/>
        <v>13.25049442065292</v>
      </c>
      <c r="H295" s="249">
        <f t="shared" si="300"/>
        <v>14.198325004103957</v>
      </c>
      <c r="I295" s="249">
        <f t="shared" si="300"/>
        <v>15.121064465969205</v>
      </c>
      <c r="J295" s="249">
        <f t="shared" si="300"/>
        <v>16.02031909167146</v>
      </c>
      <c r="K295" s="249">
        <f t="shared" si="300"/>
        <v>16.894353596709365</v>
      </c>
      <c r="L295" s="249">
        <f t="shared" si="300"/>
        <v>17.741477372792662</v>
      </c>
      <c r="M295" s="249">
        <f t="shared" si="300"/>
        <v>18.560049526782876</v>
      </c>
      <c r="N295" s="249">
        <f t="shared" si="300"/>
        <v>20.714483875280362</v>
      </c>
      <c r="O295" s="249">
        <f t="shared" si="300"/>
        <v>22.820352518966601</v>
      </c>
      <c r="P295" s="249">
        <f t="shared" si="300"/>
        <v>24.665312244602664</v>
      </c>
      <c r="Q295" s="249">
        <f t="shared" si="300"/>
        <v>26.336773339903164</v>
      </c>
      <c r="R295" s="249">
        <f t="shared" si="300"/>
        <v>27.825156884828168</v>
      </c>
      <c r="S295" s="249">
        <f t="shared" si="300"/>
        <v>29.187253963999879</v>
      </c>
      <c r="T295" s="249">
        <f t="shared" si="300"/>
        <v>30.413019375191698</v>
      </c>
      <c r="U295" s="249">
        <f t="shared" si="300"/>
        <v>31.502877309675004</v>
      </c>
      <c r="V295" s="249">
        <f t="shared" si="300"/>
        <v>32.457313592446482</v>
      </c>
      <c r="W295" s="249">
        <f t="shared" si="300"/>
        <v>33.276875893975323</v>
      </c>
      <c r="X295" s="249">
        <f t="shared" si="300"/>
        <v>34.961109247252388</v>
      </c>
      <c r="Y295" s="249">
        <f t="shared" si="300"/>
        <v>36.935722567161356</v>
      </c>
      <c r="Z295" s="249">
        <f t="shared" si="300"/>
        <v>38.661912833502434</v>
      </c>
      <c r="AA295" s="249">
        <f t="shared" si="300"/>
        <v>40.145765454380857</v>
      </c>
      <c r="AB295" s="249">
        <f t="shared" si="300"/>
        <v>41.388274522147825</v>
      </c>
      <c r="AC295" s="249">
        <f t="shared" si="300"/>
        <v>42.378206245146828</v>
      </c>
      <c r="AD295" s="249">
        <f t="shared" si="300"/>
        <v>43.127804091208205</v>
      </c>
      <c r="AE295" s="249">
        <f t="shared" si="300"/>
        <v>43.638359129235589</v>
      </c>
      <c r="AF295" s="249">
        <f t="shared" si="300"/>
        <v>43.911245709053446</v>
      </c>
      <c r="AG295" s="249">
        <f t="shared" si="300"/>
        <v>43.947921569562666</v>
      </c>
      <c r="AI295" s="694"/>
      <c r="AJ295" s="323"/>
    </row>
    <row r="296" spans="1:36" s="181" customFormat="1" x14ac:dyDescent="0.2">
      <c r="A296" s="181" t="s">
        <v>1396</v>
      </c>
      <c r="B296" s="349" t="s">
        <v>704</v>
      </c>
      <c r="C296" s="249">
        <f>IF(C275&gt;C295,C295,C275)</f>
        <v>9.1032534791878152</v>
      </c>
      <c r="D296" s="249">
        <f t="shared" ref="D296:AG296" si="301">IF(D275&gt;D295,D295,D275)</f>
        <v>10.176423139287248</v>
      </c>
      <c r="E296" s="249">
        <f t="shared" si="301"/>
        <v>11.231141762468065</v>
      </c>
      <c r="F296" s="249">
        <f t="shared" si="301"/>
        <v>12.258682003566076</v>
      </c>
      <c r="G296" s="249">
        <f t="shared" si="301"/>
        <v>13.25049442065292</v>
      </c>
      <c r="H296" s="249">
        <f t="shared" si="301"/>
        <v>14.198325004103957</v>
      </c>
      <c r="I296" s="249">
        <f t="shared" si="301"/>
        <v>15.121064465969205</v>
      </c>
      <c r="J296" s="249">
        <f t="shared" si="301"/>
        <v>16.02031909167146</v>
      </c>
      <c r="K296" s="249">
        <f t="shared" si="301"/>
        <v>16.894353596709365</v>
      </c>
      <c r="L296" s="249">
        <f t="shared" si="301"/>
        <v>17.741477372792662</v>
      </c>
      <c r="M296" s="249">
        <f t="shared" si="301"/>
        <v>18.560049526782876</v>
      </c>
      <c r="N296" s="249">
        <f t="shared" si="301"/>
        <v>20.714483875280362</v>
      </c>
      <c r="O296" s="249">
        <f t="shared" si="301"/>
        <v>22.820352518966601</v>
      </c>
      <c r="P296" s="249">
        <f t="shared" si="301"/>
        <v>24.665312244602664</v>
      </c>
      <c r="Q296" s="249">
        <f t="shared" si="301"/>
        <v>26.336773339903164</v>
      </c>
      <c r="R296" s="249">
        <f t="shared" si="301"/>
        <v>27.825156884828168</v>
      </c>
      <c r="S296" s="249">
        <f t="shared" si="301"/>
        <v>29.051347118357505</v>
      </c>
      <c r="T296" s="249">
        <f t="shared" si="301"/>
        <v>29.425336043131544</v>
      </c>
      <c r="U296" s="249">
        <f t="shared" si="301"/>
        <v>29.763066680889128</v>
      </c>
      <c r="V296" s="249">
        <f t="shared" si="301"/>
        <v>30.063034853994026</v>
      </c>
      <c r="W296" s="249">
        <f t="shared" si="301"/>
        <v>30.323729292270162</v>
      </c>
      <c r="X296" s="249">
        <f t="shared" si="301"/>
        <v>30.171538394756116</v>
      </c>
      <c r="Y296" s="249">
        <f t="shared" si="301"/>
        <v>30.319735802728601</v>
      </c>
      <c r="Z296" s="249">
        <f t="shared" si="301"/>
        <v>30.417292992847134</v>
      </c>
      <c r="AA296" s="249">
        <f t="shared" si="301"/>
        <v>30.468008719786205</v>
      </c>
      <c r="AB296" s="249">
        <f t="shared" si="301"/>
        <v>30.470313496991015</v>
      </c>
      <c r="AC296" s="249">
        <f t="shared" si="301"/>
        <v>30.413072398591456</v>
      </c>
      <c r="AD296" s="249">
        <f t="shared" si="301"/>
        <v>30.30392656845466</v>
      </c>
      <c r="AE296" s="249">
        <f t="shared" si="301"/>
        <v>30.141281326878534</v>
      </c>
      <c r="AF296" s="249">
        <f t="shared" si="301"/>
        <v>29.923539556621282</v>
      </c>
      <c r="AG296" s="249">
        <f t="shared" si="301"/>
        <v>29.649102780946532</v>
      </c>
      <c r="AI296" s="694"/>
      <c r="AJ296" s="323"/>
    </row>
    <row r="297" spans="1:36" s="181" customFormat="1" x14ac:dyDescent="0.2">
      <c r="A297" s="181" t="s">
        <v>1397</v>
      </c>
      <c r="B297" s="349" t="s">
        <v>704</v>
      </c>
      <c r="C297" s="249">
        <f>IF(C295-C296&lt;0,0,C295-C296)</f>
        <v>0</v>
      </c>
      <c r="D297" s="249">
        <f t="shared" ref="D297:AG297" si="302">IF(D295-D296&lt;0,0,D295-D296)</f>
        <v>0</v>
      </c>
      <c r="E297" s="249">
        <f t="shared" si="302"/>
        <v>0</v>
      </c>
      <c r="F297" s="249">
        <f t="shared" si="302"/>
        <v>0</v>
      </c>
      <c r="G297" s="249">
        <f t="shared" si="302"/>
        <v>0</v>
      </c>
      <c r="H297" s="249">
        <f t="shared" si="302"/>
        <v>0</v>
      </c>
      <c r="I297" s="249">
        <f t="shared" si="302"/>
        <v>0</v>
      </c>
      <c r="J297" s="249">
        <f t="shared" si="302"/>
        <v>0</v>
      </c>
      <c r="K297" s="249">
        <f t="shared" si="302"/>
        <v>0</v>
      </c>
      <c r="L297" s="249">
        <f t="shared" si="302"/>
        <v>0</v>
      </c>
      <c r="M297" s="249">
        <f t="shared" si="302"/>
        <v>0</v>
      </c>
      <c r="N297" s="249">
        <f t="shared" si="302"/>
        <v>0</v>
      </c>
      <c r="O297" s="249">
        <f t="shared" si="302"/>
        <v>0</v>
      </c>
      <c r="P297" s="249">
        <f t="shared" si="302"/>
        <v>0</v>
      </c>
      <c r="Q297" s="249">
        <f t="shared" si="302"/>
        <v>0</v>
      </c>
      <c r="R297" s="249">
        <f t="shared" si="302"/>
        <v>0</v>
      </c>
      <c r="S297" s="249">
        <f t="shared" si="302"/>
        <v>0.13590684564237421</v>
      </c>
      <c r="T297" s="249">
        <f t="shared" si="302"/>
        <v>0.98768333206015413</v>
      </c>
      <c r="U297" s="249">
        <f t="shared" si="302"/>
        <v>1.7398106287858752</v>
      </c>
      <c r="V297" s="249">
        <f t="shared" si="302"/>
        <v>2.3942787384524564</v>
      </c>
      <c r="W297" s="249">
        <f t="shared" si="302"/>
        <v>2.9531466017051606</v>
      </c>
      <c r="X297" s="249">
        <f t="shared" si="302"/>
        <v>4.7895708524962721</v>
      </c>
      <c r="Y297" s="249">
        <f t="shared" si="302"/>
        <v>6.6159867644327548</v>
      </c>
      <c r="Z297" s="249">
        <f t="shared" si="302"/>
        <v>8.2446198406553002</v>
      </c>
      <c r="AA297" s="249">
        <f t="shared" si="302"/>
        <v>9.6777567345946522</v>
      </c>
      <c r="AB297" s="249">
        <f t="shared" si="302"/>
        <v>10.91796102515681</v>
      </c>
      <c r="AC297" s="249">
        <f t="shared" si="302"/>
        <v>11.965133846555371</v>
      </c>
      <c r="AD297" s="249">
        <f t="shared" si="302"/>
        <v>12.823877522753545</v>
      </c>
      <c r="AE297" s="249">
        <f t="shared" si="302"/>
        <v>13.497077802357055</v>
      </c>
      <c r="AF297" s="249">
        <f t="shared" si="302"/>
        <v>13.987706152432164</v>
      </c>
      <c r="AG297" s="249">
        <f t="shared" si="302"/>
        <v>14.298818788616135</v>
      </c>
      <c r="AI297" s="694"/>
      <c r="AJ297" s="323"/>
    </row>
    <row r="298" spans="1:36" s="181" customFormat="1" x14ac:dyDescent="0.2">
      <c r="A298" s="181" t="s">
        <v>1398</v>
      </c>
      <c r="B298" s="349" t="s">
        <v>704</v>
      </c>
      <c r="C298" s="249">
        <f>C292*C249+C246*C295+C282+IF(C275&gt;C295,C275-C295,0)</f>
        <v>15.604984394323321</v>
      </c>
      <c r="D298" s="249">
        <f t="shared" ref="D298:AG298" si="303">D292*D249+D246*D295+D282+IF(D275&gt;D295,D275-D295,0)</f>
        <v>16.163836947808598</v>
      </c>
      <c r="E298" s="249">
        <f t="shared" si="303"/>
        <v>16.70748502890627</v>
      </c>
      <c r="F298" s="249">
        <f t="shared" si="303"/>
        <v>17.232705056061803</v>
      </c>
      <c r="G298" s="249">
        <f t="shared" si="303"/>
        <v>17.736245529961856</v>
      </c>
      <c r="H298" s="249">
        <f t="shared" si="303"/>
        <v>18.214858479153783</v>
      </c>
      <c r="I298" s="249">
        <f t="shared" si="303"/>
        <v>18.64064771604653</v>
      </c>
      <c r="J298" s="249">
        <f t="shared" si="303"/>
        <v>19.0728773730537</v>
      </c>
      <c r="K298" s="249">
        <f t="shared" si="303"/>
        <v>19.511084678756085</v>
      </c>
      <c r="L298" s="249">
        <f t="shared" si="303"/>
        <v>19.954762873741782</v>
      </c>
      <c r="M298" s="249">
        <f t="shared" si="303"/>
        <v>20.403360999340762</v>
      </c>
      <c r="N298" s="249">
        <f t="shared" si="303"/>
        <v>19.643885540965563</v>
      </c>
      <c r="O298" s="249">
        <f t="shared" si="303"/>
        <v>18.905750908814444</v>
      </c>
      <c r="P298" s="249">
        <f t="shared" si="303"/>
        <v>18.11697185759229</v>
      </c>
      <c r="Q298" s="249">
        <f t="shared" si="303"/>
        <v>17.325742858138781</v>
      </c>
      <c r="R298" s="249">
        <f t="shared" si="303"/>
        <v>16.537120499354391</v>
      </c>
      <c r="S298" s="249">
        <f t="shared" si="303"/>
        <v>15.925617498173017</v>
      </c>
      <c r="T298" s="249">
        <f t="shared" si="303"/>
        <v>16.066038751397361</v>
      </c>
      <c r="U298" s="249">
        <f t="shared" si="303"/>
        <v>16.143448096640533</v>
      </c>
      <c r="V298" s="249">
        <f t="shared" si="303"/>
        <v>16.160383329536625</v>
      </c>
      <c r="W298" s="249">
        <f t="shared" si="303"/>
        <v>16.119415362634886</v>
      </c>
      <c r="X298" s="249">
        <f t="shared" si="303"/>
        <v>16.240193167129629</v>
      </c>
      <c r="Y298" s="249">
        <f t="shared" si="303"/>
        <v>16.487289149601771</v>
      </c>
      <c r="Z298" s="249">
        <f t="shared" si="303"/>
        <v>16.633202069773571</v>
      </c>
      <c r="AA298" s="249">
        <f t="shared" si="303"/>
        <v>16.685188723314706</v>
      </c>
      <c r="AB298" s="249">
        <f t="shared" si="303"/>
        <v>16.647965717907709</v>
      </c>
      <c r="AC298" s="249">
        <f t="shared" si="303"/>
        <v>16.521359541184143</v>
      </c>
      <c r="AD298" s="249">
        <f t="shared" si="303"/>
        <v>16.314946744589776</v>
      </c>
      <c r="AE298" s="249">
        <f t="shared" si="303"/>
        <v>16.033589957651422</v>
      </c>
      <c r="AF298" s="249">
        <f t="shared" si="303"/>
        <v>15.682182457826901</v>
      </c>
      <c r="AG298" s="249">
        <f t="shared" si="303"/>
        <v>15.265645230526923</v>
      </c>
      <c r="AI298" s="694"/>
      <c r="AJ298" s="323"/>
    </row>
    <row r="299" spans="1:36" s="181" customFormat="1" x14ac:dyDescent="0.2">
      <c r="A299" s="181" t="s">
        <v>1399</v>
      </c>
      <c r="B299" s="349" t="s">
        <v>704</v>
      </c>
      <c r="C299" s="249">
        <f>C278-C297</f>
        <v>87.134330583122093</v>
      </c>
      <c r="D299" s="249">
        <f t="shared" ref="D299:AG299" si="304">D278-D297</f>
        <v>88.779844799220243</v>
      </c>
      <c r="E299" s="249">
        <f t="shared" si="304"/>
        <v>90.204170494683197</v>
      </c>
      <c r="F299" s="249">
        <f t="shared" si="304"/>
        <v>91.395683943716406</v>
      </c>
      <c r="G299" s="249">
        <f t="shared" si="304"/>
        <v>92.34454549844952</v>
      </c>
      <c r="H299" s="249">
        <f t="shared" si="304"/>
        <v>93.042834189549865</v>
      </c>
      <c r="I299" s="249">
        <f t="shared" si="304"/>
        <v>93.45742784913611</v>
      </c>
      <c r="J299" s="249">
        <f t="shared" si="304"/>
        <v>93.808151223102399</v>
      </c>
      <c r="K299" s="249">
        <f t="shared" si="304"/>
        <v>94.0937652012135</v>
      </c>
      <c r="L299" s="249">
        <f t="shared" si="304"/>
        <v>94.313141973948021</v>
      </c>
      <c r="M299" s="249">
        <f t="shared" si="304"/>
        <v>94.465269708853512</v>
      </c>
      <c r="N299" s="249">
        <f t="shared" si="304"/>
        <v>93.620914290487235</v>
      </c>
      <c r="O299" s="249">
        <f t="shared" si="304"/>
        <v>92.827505316783217</v>
      </c>
      <c r="P299" s="249">
        <f t="shared" si="304"/>
        <v>91.514349218624744</v>
      </c>
      <c r="Q299" s="249">
        <f t="shared" si="304"/>
        <v>89.991033845464671</v>
      </c>
      <c r="R299" s="249">
        <f t="shared" si="304"/>
        <v>88.265958706246579</v>
      </c>
      <c r="S299" s="249">
        <f t="shared" si="304"/>
        <v>86.401660300022087</v>
      </c>
      <c r="T299" s="249">
        <f t="shared" si="304"/>
        <v>83.786214944853171</v>
      </c>
      <c r="U299" s="249">
        <f t="shared" si="304"/>
        <v>81.236011633086903</v>
      </c>
      <c r="V299" s="249">
        <f t="shared" si="304"/>
        <v>78.74996700185946</v>
      </c>
      <c r="W299" s="249">
        <f t="shared" si="304"/>
        <v>76.326964921459052</v>
      </c>
      <c r="X299" s="249">
        <f t="shared" si="304"/>
        <v>71.65210062821096</v>
      </c>
      <c r="Y299" s="249">
        <f t="shared" si="304"/>
        <v>67.855991036739397</v>
      </c>
      <c r="Z299" s="249">
        <f t="shared" si="304"/>
        <v>64.215064594390952</v>
      </c>
      <c r="AA299" s="249">
        <f t="shared" si="304"/>
        <v>60.741680637626487</v>
      </c>
      <c r="AB299" s="249">
        <f t="shared" si="304"/>
        <v>57.434363846471712</v>
      </c>
      <c r="AC299" s="249">
        <f t="shared" si="304"/>
        <v>54.273506885970122</v>
      </c>
      <c r="AD299" s="249">
        <f t="shared" si="304"/>
        <v>51.276951573759618</v>
      </c>
      <c r="AE299" s="249">
        <f t="shared" si="304"/>
        <v>48.442948386686645</v>
      </c>
      <c r="AF299" s="249">
        <f t="shared" si="304"/>
        <v>45.769692023078292</v>
      </c>
      <c r="AG299" s="249">
        <f t="shared" si="304"/>
        <v>43.255321903809474</v>
      </c>
      <c r="AI299" s="694"/>
      <c r="AJ299" s="323"/>
    </row>
    <row r="300" spans="1:36" s="181" customFormat="1" x14ac:dyDescent="0.2">
      <c r="B300" s="350"/>
      <c r="C300" s="327"/>
      <c r="D300" s="327"/>
      <c r="E300" s="327"/>
      <c r="F300" s="327"/>
      <c r="G300" s="327"/>
      <c r="H300" s="327"/>
      <c r="I300" s="327"/>
      <c r="J300" s="327"/>
      <c r="K300" s="327"/>
      <c r="L300" s="327"/>
      <c r="M300" s="327"/>
      <c r="N300" s="327"/>
      <c r="O300" s="327"/>
      <c r="P300" s="327"/>
      <c r="Q300" s="327"/>
      <c r="R300" s="327"/>
      <c r="S300" s="327"/>
      <c r="T300" s="327"/>
      <c r="U300" s="327"/>
      <c r="V300" s="327"/>
      <c r="W300" s="327"/>
      <c r="X300" s="327"/>
      <c r="Y300" s="327"/>
      <c r="Z300" s="327"/>
      <c r="AA300" s="327"/>
      <c r="AB300" s="327"/>
      <c r="AC300" s="327"/>
      <c r="AD300" s="327"/>
      <c r="AE300" s="327"/>
      <c r="AF300" s="327"/>
      <c r="AG300" s="327"/>
      <c r="AJ300" s="323"/>
    </row>
    <row r="301" spans="1:36" s="181" customFormat="1" x14ac:dyDescent="0.2">
      <c r="A301" s="181" t="s">
        <v>1400</v>
      </c>
      <c r="B301" s="350" t="s">
        <v>462</v>
      </c>
      <c r="C301" s="296">
        <v>0.8</v>
      </c>
      <c r="D301" s="317">
        <f>C301</f>
        <v>0.8</v>
      </c>
      <c r="E301" s="317">
        <f t="shared" ref="E301:AG301" si="305">D301</f>
        <v>0.8</v>
      </c>
      <c r="F301" s="317">
        <f t="shared" si="305"/>
        <v>0.8</v>
      </c>
      <c r="G301" s="317">
        <f t="shared" si="305"/>
        <v>0.8</v>
      </c>
      <c r="H301" s="317">
        <f t="shared" si="305"/>
        <v>0.8</v>
      </c>
      <c r="I301" s="317">
        <f t="shared" si="305"/>
        <v>0.8</v>
      </c>
      <c r="J301" s="317">
        <f t="shared" si="305"/>
        <v>0.8</v>
      </c>
      <c r="K301" s="317">
        <f t="shared" si="305"/>
        <v>0.8</v>
      </c>
      <c r="L301" s="317">
        <f t="shared" si="305"/>
        <v>0.8</v>
      </c>
      <c r="M301" s="317">
        <f t="shared" si="305"/>
        <v>0.8</v>
      </c>
      <c r="N301" s="317">
        <f t="shared" si="305"/>
        <v>0.8</v>
      </c>
      <c r="O301" s="317">
        <f t="shared" si="305"/>
        <v>0.8</v>
      </c>
      <c r="P301" s="317">
        <f t="shared" si="305"/>
        <v>0.8</v>
      </c>
      <c r="Q301" s="317">
        <f t="shared" si="305"/>
        <v>0.8</v>
      </c>
      <c r="R301" s="317">
        <f t="shared" si="305"/>
        <v>0.8</v>
      </c>
      <c r="S301" s="317">
        <f t="shared" si="305"/>
        <v>0.8</v>
      </c>
      <c r="T301" s="317">
        <f t="shared" si="305"/>
        <v>0.8</v>
      </c>
      <c r="U301" s="317">
        <f t="shared" si="305"/>
        <v>0.8</v>
      </c>
      <c r="V301" s="317">
        <f t="shared" si="305"/>
        <v>0.8</v>
      </c>
      <c r="W301" s="317">
        <f t="shared" si="305"/>
        <v>0.8</v>
      </c>
      <c r="X301" s="317">
        <f t="shared" si="305"/>
        <v>0.8</v>
      </c>
      <c r="Y301" s="317">
        <f t="shared" si="305"/>
        <v>0.8</v>
      </c>
      <c r="Z301" s="317">
        <f t="shared" si="305"/>
        <v>0.8</v>
      </c>
      <c r="AA301" s="317">
        <f t="shared" si="305"/>
        <v>0.8</v>
      </c>
      <c r="AB301" s="317">
        <f t="shared" si="305"/>
        <v>0.8</v>
      </c>
      <c r="AC301" s="317">
        <f t="shared" si="305"/>
        <v>0.8</v>
      </c>
      <c r="AD301" s="317">
        <f t="shared" si="305"/>
        <v>0.8</v>
      </c>
      <c r="AE301" s="317">
        <f t="shared" si="305"/>
        <v>0.8</v>
      </c>
      <c r="AF301" s="317">
        <f t="shared" si="305"/>
        <v>0.8</v>
      </c>
      <c r="AG301" s="317">
        <f t="shared" si="305"/>
        <v>0.8</v>
      </c>
      <c r="AJ301" s="323" t="s">
        <v>1401</v>
      </c>
    </row>
    <row r="302" spans="1:36" s="181" customFormat="1" x14ac:dyDescent="0.2">
      <c r="B302" s="350"/>
      <c r="C302" s="327"/>
      <c r="D302" s="327"/>
      <c r="E302" s="327"/>
      <c r="F302" s="327"/>
      <c r="G302" s="327"/>
      <c r="H302" s="327"/>
      <c r="I302" s="327"/>
      <c r="J302" s="327"/>
      <c r="K302" s="327"/>
      <c r="L302" s="327"/>
      <c r="M302" s="327"/>
      <c r="N302" s="327"/>
      <c r="O302" s="327"/>
      <c r="P302" s="327"/>
      <c r="Q302" s="327"/>
      <c r="R302" s="327"/>
      <c r="S302" s="327"/>
      <c r="T302" s="327"/>
      <c r="U302" s="327"/>
      <c r="V302" s="327"/>
      <c r="W302" s="327"/>
      <c r="X302" s="327"/>
      <c r="Y302" s="327"/>
      <c r="Z302" s="327"/>
      <c r="AA302" s="327"/>
      <c r="AB302" s="327"/>
      <c r="AC302" s="327"/>
      <c r="AD302" s="327"/>
      <c r="AE302" s="327"/>
      <c r="AF302" s="327"/>
      <c r="AG302" s="327"/>
      <c r="AJ302" s="323"/>
    </row>
    <row r="303" spans="1:36" s="181" customFormat="1" x14ac:dyDescent="0.2">
      <c r="A303" s="181" t="s">
        <v>1402</v>
      </c>
      <c r="B303" s="350" t="s">
        <v>704</v>
      </c>
      <c r="C303" s="327">
        <f>C237*C298*C301</f>
        <v>2.7464772534009043</v>
      </c>
      <c r="D303" s="327">
        <f t="shared" ref="D303:AG303" si="306">D237*D298*D301</f>
        <v>2.9310424332026255</v>
      </c>
      <c r="E303" s="327">
        <f t="shared" si="306"/>
        <v>3.1187305387291704</v>
      </c>
      <c r="F303" s="327">
        <f t="shared" si="306"/>
        <v>3.3086793707638655</v>
      </c>
      <c r="G303" s="327">
        <f t="shared" si="306"/>
        <v>3.4999524512458056</v>
      </c>
      <c r="H303" s="327">
        <f t="shared" si="306"/>
        <v>3.6915446517751662</v>
      </c>
      <c r="I303" s="327">
        <f t="shared" si="306"/>
        <v>3.8772547249376781</v>
      </c>
      <c r="J303" s="327">
        <f t="shared" si="306"/>
        <v>4.0688805062514559</v>
      </c>
      <c r="K303" s="327">
        <f t="shared" si="306"/>
        <v>4.2664238497546627</v>
      </c>
      <c r="L303" s="327">
        <f t="shared" si="306"/>
        <v>4.4698668837181579</v>
      </c>
      <c r="M303" s="327">
        <f t="shared" si="306"/>
        <v>4.6791707891821472</v>
      </c>
      <c r="N303" s="327">
        <f t="shared" si="306"/>
        <v>4.6097651402799178</v>
      </c>
      <c r="O303" s="327">
        <f t="shared" si="306"/>
        <v>4.537380218115465</v>
      </c>
      <c r="P303" s="327">
        <f t="shared" si="306"/>
        <v>4.4446970957293068</v>
      </c>
      <c r="Q303" s="327">
        <f t="shared" si="306"/>
        <v>4.3429862097734526</v>
      </c>
      <c r="R303" s="327">
        <f t="shared" si="306"/>
        <v>4.2335028478347221</v>
      </c>
      <c r="S303" s="327">
        <f t="shared" si="306"/>
        <v>4.1618947061892131</v>
      </c>
      <c r="T303" s="327">
        <f t="shared" si="306"/>
        <v>4.2842770003726276</v>
      </c>
      <c r="U303" s="327">
        <f t="shared" si="306"/>
        <v>4.3910178822862225</v>
      </c>
      <c r="V303" s="327">
        <f t="shared" si="306"/>
        <v>4.4818129767248216</v>
      </c>
      <c r="W303" s="327">
        <f t="shared" si="306"/>
        <v>4.5564214091714588</v>
      </c>
      <c r="X303" s="327">
        <f t="shared" si="306"/>
        <v>4.6771756321333298</v>
      </c>
      <c r="Y303" s="327">
        <f t="shared" si="306"/>
        <v>4.8362714838831833</v>
      </c>
      <c r="Z303" s="327">
        <f t="shared" si="306"/>
        <v>4.9677830181723701</v>
      </c>
      <c r="AA303" s="327">
        <f t="shared" si="306"/>
        <v>5.072297371887668</v>
      </c>
      <c r="AB303" s="327">
        <f t="shared" si="306"/>
        <v>5.1497707287394476</v>
      </c>
      <c r="AC303" s="327">
        <f t="shared" si="306"/>
        <v>5.1987211356259406</v>
      </c>
      <c r="AD303" s="327">
        <f t="shared" si="306"/>
        <v>5.2207829582687246</v>
      </c>
      <c r="AE303" s="327">
        <f t="shared" si="306"/>
        <v>5.2162612662225918</v>
      </c>
      <c r="AF303" s="327">
        <f t="shared" si="306"/>
        <v>5.1855749993880913</v>
      </c>
      <c r="AG303" s="327">
        <f t="shared" si="306"/>
        <v>5.129256797457046</v>
      </c>
      <c r="AJ303" s="323"/>
    </row>
    <row r="304" spans="1:36" s="181" customFormat="1" x14ac:dyDescent="0.2">
      <c r="A304" s="181" t="s">
        <v>1403</v>
      </c>
      <c r="B304" s="350" t="s">
        <v>704</v>
      </c>
      <c r="C304" s="327">
        <f>C298*C301-C303</f>
        <v>9.7375102620577536</v>
      </c>
      <c r="D304" s="327">
        <f t="shared" ref="D304:AG304" si="307">D298*D301-D303</f>
        <v>10.000027125044253</v>
      </c>
      <c r="E304" s="327">
        <f t="shared" si="307"/>
        <v>10.247257484395845</v>
      </c>
      <c r="F304" s="327">
        <f t="shared" si="307"/>
        <v>10.477484674085577</v>
      </c>
      <c r="G304" s="327">
        <f t="shared" si="307"/>
        <v>10.689043972723679</v>
      </c>
      <c r="H304" s="327">
        <f t="shared" si="307"/>
        <v>10.880342131547861</v>
      </c>
      <c r="I304" s="327">
        <f t="shared" si="307"/>
        <v>11.035263447899545</v>
      </c>
      <c r="J304" s="327">
        <f t="shared" si="307"/>
        <v>11.189421392191505</v>
      </c>
      <c r="K304" s="327">
        <f t="shared" si="307"/>
        <v>11.342443893250206</v>
      </c>
      <c r="L304" s="327">
        <f t="shared" si="307"/>
        <v>11.493943415275268</v>
      </c>
      <c r="M304" s="327">
        <f t="shared" si="307"/>
        <v>11.643518010290464</v>
      </c>
      <c r="N304" s="327">
        <f t="shared" si="307"/>
        <v>11.105343292492535</v>
      </c>
      <c r="O304" s="327">
        <f t="shared" si="307"/>
        <v>10.587220508936092</v>
      </c>
      <c r="P304" s="327">
        <f t="shared" si="307"/>
        <v>10.048880390344525</v>
      </c>
      <c r="Q304" s="327">
        <f t="shared" si="307"/>
        <v>9.5176080767375737</v>
      </c>
      <c r="R304" s="327">
        <f t="shared" si="307"/>
        <v>8.9961935516487905</v>
      </c>
      <c r="S304" s="327">
        <f t="shared" si="307"/>
        <v>8.5785992923491996</v>
      </c>
      <c r="T304" s="327">
        <f t="shared" si="307"/>
        <v>8.5685540007452623</v>
      </c>
      <c r="U304" s="327">
        <f t="shared" si="307"/>
        <v>8.5237405950262044</v>
      </c>
      <c r="V304" s="327">
        <f t="shared" si="307"/>
        <v>8.4464936869044784</v>
      </c>
      <c r="W304" s="327">
        <f t="shared" si="307"/>
        <v>8.3391108809364489</v>
      </c>
      <c r="X304" s="327">
        <f t="shared" si="307"/>
        <v>8.3149789015703739</v>
      </c>
      <c r="Y304" s="327">
        <f t="shared" si="307"/>
        <v>8.353559835798233</v>
      </c>
      <c r="Z304" s="327">
        <f t="shared" si="307"/>
        <v>8.3387786376464881</v>
      </c>
      <c r="AA304" s="327">
        <f t="shared" si="307"/>
        <v>8.2758536067640982</v>
      </c>
      <c r="AB304" s="327">
        <f t="shared" si="307"/>
        <v>8.1686018455867213</v>
      </c>
      <c r="AC304" s="327">
        <f t="shared" si="307"/>
        <v>8.0183664973213737</v>
      </c>
      <c r="AD304" s="327">
        <f t="shared" si="307"/>
        <v>7.8311744374030958</v>
      </c>
      <c r="AE304" s="327">
        <f t="shared" si="307"/>
        <v>7.6106106998985474</v>
      </c>
      <c r="AF304" s="327">
        <f t="shared" si="307"/>
        <v>7.3601709668734294</v>
      </c>
      <c r="AG304" s="327">
        <f t="shared" si="307"/>
        <v>7.0832593869644924</v>
      </c>
      <c r="AJ304" s="323"/>
    </row>
    <row r="305" spans="1:37" s="181" customFormat="1" x14ac:dyDescent="0.2">
      <c r="B305" s="176"/>
      <c r="C305" s="327"/>
      <c r="D305" s="327"/>
      <c r="E305" s="327"/>
      <c r="F305" s="327"/>
      <c r="G305" s="327"/>
      <c r="H305" s="327"/>
      <c r="I305" s="327"/>
      <c r="J305" s="327"/>
      <c r="K305" s="327"/>
      <c r="L305" s="327"/>
      <c r="M305" s="327"/>
      <c r="N305" s="327"/>
      <c r="O305" s="327"/>
      <c r="P305" s="327"/>
      <c r="Q305" s="327"/>
      <c r="R305" s="327"/>
      <c r="S305" s="327"/>
      <c r="T305" s="327"/>
      <c r="U305" s="327"/>
      <c r="V305" s="327"/>
      <c r="W305" s="327"/>
      <c r="X305" s="327"/>
      <c r="Y305" s="327"/>
      <c r="Z305" s="327"/>
      <c r="AA305" s="327"/>
      <c r="AB305" s="327"/>
      <c r="AC305" s="327"/>
      <c r="AD305" s="327"/>
      <c r="AE305" s="327"/>
      <c r="AF305" s="327"/>
      <c r="AG305" s="327"/>
      <c r="AJ305" s="323"/>
    </row>
    <row r="306" spans="1:37" s="181" customFormat="1" x14ac:dyDescent="0.2">
      <c r="B306" s="210" t="s">
        <v>492</v>
      </c>
      <c r="C306" s="331">
        <v>0</v>
      </c>
      <c r="D306" s="331">
        <f>C306+1</f>
        <v>1</v>
      </c>
      <c r="E306" s="331">
        <f t="shared" ref="E306:AG306" si="308">D306+1</f>
        <v>2</v>
      </c>
      <c r="F306" s="331">
        <f t="shared" si="308"/>
        <v>3</v>
      </c>
      <c r="G306" s="331">
        <f t="shared" si="308"/>
        <v>4</v>
      </c>
      <c r="H306" s="331">
        <f t="shared" si="308"/>
        <v>5</v>
      </c>
      <c r="I306" s="331">
        <f t="shared" si="308"/>
        <v>6</v>
      </c>
      <c r="J306" s="331">
        <f t="shared" si="308"/>
        <v>7</v>
      </c>
      <c r="K306" s="331">
        <f t="shared" si="308"/>
        <v>8</v>
      </c>
      <c r="L306" s="331">
        <f t="shared" si="308"/>
        <v>9</v>
      </c>
      <c r="M306" s="331">
        <f t="shared" si="308"/>
        <v>10</v>
      </c>
      <c r="N306" s="331">
        <f t="shared" si="308"/>
        <v>11</v>
      </c>
      <c r="O306" s="331">
        <f t="shared" si="308"/>
        <v>12</v>
      </c>
      <c r="P306" s="331">
        <f t="shared" si="308"/>
        <v>13</v>
      </c>
      <c r="Q306" s="331">
        <f t="shared" si="308"/>
        <v>14</v>
      </c>
      <c r="R306" s="331">
        <f t="shared" si="308"/>
        <v>15</v>
      </c>
      <c r="S306" s="331">
        <f t="shared" si="308"/>
        <v>16</v>
      </c>
      <c r="T306" s="331">
        <f t="shared" si="308"/>
        <v>17</v>
      </c>
      <c r="U306" s="331">
        <f t="shared" si="308"/>
        <v>18</v>
      </c>
      <c r="V306" s="331">
        <f t="shared" si="308"/>
        <v>19</v>
      </c>
      <c r="W306" s="331">
        <f t="shared" si="308"/>
        <v>20</v>
      </c>
      <c r="X306" s="331">
        <f t="shared" si="308"/>
        <v>21</v>
      </c>
      <c r="Y306" s="331">
        <f t="shared" si="308"/>
        <v>22</v>
      </c>
      <c r="Z306" s="331">
        <f t="shared" si="308"/>
        <v>23</v>
      </c>
      <c r="AA306" s="331">
        <f t="shared" si="308"/>
        <v>24</v>
      </c>
      <c r="AB306" s="331">
        <f t="shared" si="308"/>
        <v>25</v>
      </c>
      <c r="AC306" s="331">
        <f t="shared" si="308"/>
        <v>26</v>
      </c>
      <c r="AD306" s="331">
        <f t="shared" si="308"/>
        <v>27</v>
      </c>
      <c r="AE306" s="331">
        <f t="shared" si="308"/>
        <v>28</v>
      </c>
      <c r="AF306" s="331">
        <f t="shared" si="308"/>
        <v>29</v>
      </c>
      <c r="AG306" s="331">
        <f t="shared" si="308"/>
        <v>30</v>
      </c>
      <c r="AJ306" s="323" t="s">
        <v>493</v>
      </c>
      <c r="AK306" s="51">
        <v>1.9</v>
      </c>
    </row>
    <row r="307" spans="1:37" s="181" customFormat="1" x14ac:dyDescent="0.2">
      <c r="A307" s="181" t="s">
        <v>1404</v>
      </c>
      <c r="B307" s="176"/>
      <c r="C307" s="333">
        <f>$AK$308/((1+EXP(-$AK$307*(C306-$AK$309)))^$AK$306)</f>
        <v>4.6088632748610021E-5</v>
      </c>
      <c r="D307" s="333">
        <f t="shared" ref="D307:AG307" si="309">$AK$308/((1+EXP(-$AK$307*(D306-$AK$309)))^$AK$306)</f>
        <v>8.924759460408035E-5</v>
      </c>
      <c r="E307" s="333">
        <f t="shared" si="309"/>
        <v>1.7252431976790472E-4</v>
      </c>
      <c r="F307" s="333">
        <f t="shared" si="309"/>
        <v>3.3269643715580369E-4</v>
      </c>
      <c r="G307" s="333">
        <f t="shared" si="309"/>
        <v>6.393827369910735E-4</v>
      </c>
      <c r="H307" s="333">
        <f t="shared" si="309"/>
        <v>1.2229053771654547E-3</v>
      </c>
      <c r="I307" s="333">
        <f t="shared" si="309"/>
        <v>2.3234018804222717E-3</v>
      </c>
      <c r="J307" s="333">
        <f t="shared" si="309"/>
        <v>4.3736281679830789E-3</v>
      </c>
      <c r="K307" s="333">
        <f t="shared" si="309"/>
        <v>8.1294184230466908E-3</v>
      </c>
      <c r="L307" s="333">
        <f t="shared" si="309"/>
        <v>1.4853985082038716E-2</v>
      </c>
      <c r="M307" s="333">
        <f t="shared" si="309"/>
        <v>2.6531412096832362E-2</v>
      </c>
      <c r="N307" s="333">
        <f t="shared" si="309"/>
        <v>4.6014759335105015E-2</v>
      </c>
      <c r="O307" s="333">
        <f t="shared" si="309"/>
        <v>7.6910635328419796E-2</v>
      </c>
      <c r="P307" s="333">
        <f t="shared" si="309"/>
        <v>0.12294065829885638</v>
      </c>
      <c r="Q307" s="333">
        <f t="shared" si="309"/>
        <v>0.18666754187878853</v>
      </c>
      <c r="R307" s="333">
        <f t="shared" si="309"/>
        <v>0.26794336563407328</v>
      </c>
      <c r="S307" s="333">
        <f t="shared" si="309"/>
        <v>0.36297326582455031</v>
      </c>
      <c r="T307" s="333">
        <f t="shared" si="309"/>
        <v>0.46484396312424381</v>
      </c>
      <c r="U307" s="333">
        <f t="shared" si="309"/>
        <v>0.56546260593861253</v>
      </c>
      <c r="V307" s="333">
        <f t="shared" si="309"/>
        <v>0.6578403022607352</v>
      </c>
      <c r="W307" s="333">
        <f t="shared" si="309"/>
        <v>0.73754668886795227</v>
      </c>
      <c r="X307" s="333">
        <f t="shared" si="309"/>
        <v>0.80293052021410605</v>
      </c>
      <c r="Y307" s="333">
        <f t="shared" si="309"/>
        <v>0.85447682949112158</v>
      </c>
      <c r="Z307" s="333">
        <f t="shared" si="309"/>
        <v>0.89389910336617451</v>
      </c>
      <c r="AA307" s="333">
        <f t="shared" si="309"/>
        <v>0.92337223319290385</v>
      </c>
      <c r="AB307" s="333">
        <f t="shared" si="309"/>
        <v>0.94504210708611314</v>
      </c>
      <c r="AC307" s="333">
        <f t="shared" si="309"/>
        <v>0.96078240575184182</v>
      </c>
      <c r="AD307" s="333">
        <f t="shared" si="309"/>
        <v>0.97211605463477313</v>
      </c>
      <c r="AE307" s="333">
        <f t="shared" si="309"/>
        <v>0.98022577885232642</v>
      </c>
      <c r="AF307" s="333">
        <f t="shared" si="309"/>
        <v>0.98600279580400285</v>
      </c>
      <c r="AG307" s="333">
        <f t="shared" si="309"/>
        <v>0.9901050637460882</v>
      </c>
      <c r="AI307" s="176" t="s">
        <v>494</v>
      </c>
      <c r="AJ307" s="323" t="s">
        <v>495</v>
      </c>
      <c r="AK307" s="51">
        <v>0.35</v>
      </c>
    </row>
    <row r="308" spans="1:37" s="181" customFormat="1" x14ac:dyDescent="0.2">
      <c r="B308" s="176"/>
      <c r="C308" s="329">
        <v>0</v>
      </c>
      <c r="D308" s="329">
        <v>0</v>
      </c>
      <c r="E308" s="329">
        <v>0</v>
      </c>
      <c r="F308" s="329">
        <v>0</v>
      </c>
      <c r="G308" s="329">
        <v>0</v>
      </c>
      <c r="H308" s="329">
        <v>0</v>
      </c>
      <c r="I308" s="329">
        <v>0</v>
      </c>
      <c r="J308" s="329">
        <v>0</v>
      </c>
      <c r="K308" s="329">
        <v>0</v>
      </c>
      <c r="L308" s="329">
        <v>0</v>
      </c>
      <c r="M308" s="329">
        <f>C307</f>
        <v>4.6088632748610021E-5</v>
      </c>
      <c r="N308" s="329">
        <v>0</v>
      </c>
      <c r="O308" s="329">
        <v>0</v>
      </c>
      <c r="P308" s="329">
        <v>0</v>
      </c>
      <c r="Q308" s="329">
        <v>0</v>
      </c>
      <c r="R308" s="329">
        <f t="shared" ref="R308:AG308" si="310">C307</f>
        <v>4.6088632748610021E-5</v>
      </c>
      <c r="S308" s="329">
        <f t="shared" si="310"/>
        <v>8.924759460408035E-5</v>
      </c>
      <c r="T308" s="329">
        <f t="shared" si="310"/>
        <v>1.7252431976790472E-4</v>
      </c>
      <c r="U308" s="329">
        <f t="shared" si="310"/>
        <v>3.3269643715580369E-4</v>
      </c>
      <c r="V308" s="329">
        <f t="shared" si="310"/>
        <v>6.393827369910735E-4</v>
      </c>
      <c r="W308" s="329">
        <f t="shared" si="310"/>
        <v>1.2229053771654547E-3</v>
      </c>
      <c r="X308" s="329">
        <f t="shared" si="310"/>
        <v>2.3234018804222717E-3</v>
      </c>
      <c r="Y308" s="329">
        <f t="shared" si="310"/>
        <v>4.3736281679830789E-3</v>
      </c>
      <c r="Z308" s="329">
        <f t="shared" si="310"/>
        <v>8.1294184230466908E-3</v>
      </c>
      <c r="AA308" s="329">
        <f t="shared" si="310"/>
        <v>1.4853985082038716E-2</v>
      </c>
      <c r="AB308" s="329">
        <f t="shared" si="310"/>
        <v>2.6531412096832362E-2</v>
      </c>
      <c r="AC308" s="329">
        <f t="shared" si="310"/>
        <v>4.6014759335105015E-2</v>
      </c>
      <c r="AD308" s="329">
        <f t="shared" si="310"/>
        <v>7.6910635328419796E-2</v>
      </c>
      <c r="AE308" s="329">
        <f t="shared" si="310"/>
        <v>0.12294065829885638</v>
      </c>
      <c r="AF308" s="329">
        <f t="shared" si="310"/>
        <v>0.18666754187878853</v>
      </c>
      <c r="AG308" s="329">
        <f t="shared" si="310"/>
        <v>0.26794336563407328</v>
      </c>
      <c r="AI308" s="176" t="s">
        <v>496</v>
      </c>
      <c r="AJ308" s="323" t="s">
        <v>497</v>
      </c>
      <c r="AK308" s="51">
        <v>1</v>
      </c>
    </row>
    <row r="309" spans="1:37" s="181" customFormat="1" x14ac:dyDescent="0.2">
      <c r="B309" s="176"/>
      <c r="C309" s="327"/>
      <c r="D309" s="327"/>
      <c r="E309" s="327"/>
      <c r="F309" s="327"/>
      <c r="G309" s="327"/>
      <c r="H309" s="327"/>
      <c r="I309" s="327"/>
      <c r="J309" s="327"/>
      <c r="K309" s="327"/>
      <c r="L309" s="327"/>
      <c r="M309" s="327"/>
      <c r="N309" s="327"/>
      <c r="O309" s="327"/>
      <c r="P309" s="327"/>
      <c r="Q309" s="327"/>
      <c r="R309" s="327"/>
      <c r="S309" s="327"/>
      <c r="T309" s="327"/>
      <c r="U309" s="327"/>
      <c r="V309" s="327"/>
      <c r="W309" s="327"/>
      <c r="X309" s="327"/>
      <c r="Y309" s="327"/>
      <c r="Z309" s="327"/>
      <c r="AA309" s="327"/>
      <c r="AB309" s="327"/>
      <c r="AC309" s="327"/>
      <c r="AD309" s="327"/>
      <c r="AE309" s="327"/>
      <c r="AF309" s="327"/>
      <c r="AG309" s="327"/>
      <c r="AJ309" s="323" t="s">
        <v>498</v>
      </c>
      <c r="AK309" s="51">
        <v>15</v>
      </c>
    </row>
    <row r="310" spans="1:37" s="181" customFormat="1" x14ac:dyDescent="0.2">
      <c r="A310" s="181" t="s">
        <v>1460</v>
      </c>
      <c r="B310" s="176" t="s">
        <v>462</v>
      </c>
      <c r="C310" s="328">
        <f>('Overall recycling rates'!G12+'Overall recycling rates'!G15)*'Overall recycling rates'!G57/(SUMPRODUCT('Overall recycling rates'!C57:I57,'Overall recycling rates'!C12:I12)+SUMPRODUCT('Overall recycling rates'!C15:I15,'Overall recycling rates'!C57:I57))</f>
        <v>8.5469247930390777E-2</v>
      </c>
      <c r="D310" s="328">
        <f>C310</f>
        <v>8.5469247930390777E-2</v>
      </c>
      <c r="E310" s="328">
        <f t="shared" ref="E310:AG310" si="311">D310</f>
        <v>8.5469247930390777E-2</v>
      </c>
      <c r="F310" s="328">
        <f t="shared" si="311"/>
        <v>8.5469247930390777E-2</v>
      </c>
      <c r="G310" s="328">
        <f t="shared" si="311"/>
        <v>8.5469247930390777E-2</v>
      </c>
      <c r="H310" s="328">
        <f t="shared" si="311"/>
        <v>8.5469247930390777E-2</v>
      </c>
      <c r="I310" s="328">
        <f t="shared" si="311"/>
        <v>8.5469247930390777E-2</v>
      </c>
      <c r="J310" s="328">
        <f t="shared" si="311"/>
        <v>8.5469247930390777E-2</v>
      </c>
      <c r="K310" s="328">
        <f t="shared" si="311"/>
        <v>8.5469247930390777E-2</v>
      </c>
      <c r="L310" s="328">
        <f t="shared" si="311"/>
        <v>8.5469247930390777E-2</v>
      </c>
      <c r="M310" s="328">
        <f t="shared" si="311"/>
        <v>8.5469247930390777E-2</v>
      </c>
      <c r="N310" s="328">
        <f t="shared" si="311"/>
        <v>8.5469247930390777E-2</v>
      </c>
      <c r="O310" s="328">
        <f t="shared" si="311"/>
        <v>8.5469247930390777E-2</v>
      </c>
      <c r="P310" s="328">
        <f t="shared" si="311"/>
        <v>8.5469247930390777E-2</v>
      </c>
      <c r="Q310" s="328">
        <f t="shared" si="311"/>
        <v>8.5469247930390777E-2</v>
      </c>
      <c r="R310" s="328">
        <f t="shared" si="311"/>
        <v>8.5469247930390777E-2</v>
      </c>
      <c r="S310" s="328">
        <f t="shared" si="311"/>
        <v>8.5469247930390777E-2</v>
      </c>
      <c r="T310" s="328">
        <f t="shared" si="311"/>
        <v>8.5469247930390777E-2</v>
      </c>
      <c r="U310" s="328">
        <f t="shared" si="311"/>
        <v>8.5469247930390777E-2</v>
      </c>
      <c r="V310" s="328">
        <f t="shared" si="311"/>
        <v>8.5469247930390777E-2</v>
      </c>
      <c r="W310" s="328">
        <f t="shared" si="311"/>
        <v>8.5469247930390777E-2</v>
      </c>
      <c r="X310" s="328">
        <f t="shared" si="311"/>
        <v>8.5469247930390777E-2</v>
      </c>
      <c r="Y310" s="328">
        <f t="shared" si="311"/>
        <v>8.5469247930390777E-2</v>
      </c>
      <c r="Z310" s="328">
        <f t="shared" si="311"/>
        <v>8.5469247930390777E-2</v>
      </c>
      <c r="AA310" s="328">
        <f t="shared" si="311"/>
        <v>8.5469247930390777E-2</v>
      </c>
      <c r="AB310" s="328">
        <f t="shared" si="311"/>
        <v>8.5469247930390777E-2</v>
      </c>
      <c r="AC310" s="328">
        <f t="shared" si="311"/>
        <v>8.5469247930390777E-2</v>
      </c>
      <c r="AD310" s="328">
        <f t="shared" si="311"/>
        <v>8.5469247930390777E-2</v>
      </c>
      <c r="AE310" s="328">
        <f t="shared" si="311"/>
        <v>8.5469247930390777E-2</v>
      </c>
      <c r="AF310" s="328">
        <f t="shared" si="311"/>
        <v>8.5469247930390777E-2</v>
      </c>
      <c r="AG310" s="328">
        <f t="shared" si="311"/>
        <v>8.5469247930390777E-2</v>
      </c>
      <c r="AJ310" s="323"/>
    </row>
    <row r="311" spans="1:37" s="300" customFormat="1" ht="16" thickBot="1" x14ac:dyDescent="0.25">
      <c r="A311" s="334" t="s">
        <v>1407</v>
      </c>
      <c r="B311" s="335" t="s">
        <v>704</v>
      </c>
      <c r="C311" s="336">
        <f>C310*(C303*C307+C304*C308)</f>
        <v>1.0818815477462023E-5</v>
      </c>
      <c r="D311" s="336">
        <f t="shared" ref="D311:AG311" si="312">D310*(D303*D307+D304*D308)</f>
        <v>2.2357771237961599E-5</v>
      </c>
      <c r="E311" s="336">
        <f t="shared" si="312"/>
        <v>4.5987315572568306E-5</v>
      </c>
      <c r="F311" s="336">
        <f t="shared" si="312"/>
        <v>9.4083337735690204E-5</v>
      </c>
      <c r="G311" s="336">
        <f t="shared" si="312"/>
        <v>1.9126386742257946E-4</v>
      </c>
      <c r="H311" s="336">
        <f t="shared" si="312"/>
        <v>3.8584321085748167E-4</v>
      </c>
      <c r="I311" s="336">
        <f t="shared" si="312"/>
        <v>7.6994296096992302E-4</v>
      </c>
      <c r="J311" s="336">
        <f t="shared" si="312"/>
        <v>1.5209911119426166E-3</v>
      </c>
      <c r="K311" s="336">
        <f t="shared" si="312"/>
        <v>2.9643764763444655E-3</v>
      </c>
      <c r="L311" s="336">
        <f t="shared" si="312"/>
        <v>5.6747594348131479E-3</v>
      </c>
      <c r="M311" s="336">
        <f t="shared" si="312"/>
        <v>1.0656446198511263E-2</v>
      </c>
      <c r="N311" s="336">
        <f t="shared" si="312"/>
        <v>1.812950042214375E-2</v>
      </c>
      <c r="O311" s="336">
        <f t="shared" si="312"/>
        <v>2.982644236261656E-2</v>
      </c>
      <c r="P311" s="336">
        <f t="shared" si="312"/>
        <v>4.6703301902920331E-2</v>
      </c>
      <c r="Q311" s="336">
        <f t="shared" si="312"/>
        <v>6.9289454360859495E-2</v>
      </c>
      <c r="R311" s="336">
        <f t="shared" si="312"/>
        <v>9.6986538806574776E-2</v>
      </c>
      <c r="S311" s="336">
        <f t="shared" si="312"/>
        <v>0.12918011300220078</v>
      </c>
      <c r="T311" s="336">
        <f t="shared" si="312"/>
        <v>0.17034009009445761</v>
      </c>
      <c r="U311" s="336">
        <f t="shared" si="312"/>
        <v>0.2124587926287787</v>
      </c>
      <c r="V311" s="336">
        <f t="shared" si="312"/>
        <v>0.25245203430963287</v>
      </c>
      <c r="W311" s="336">
        <f t="shared" si="312"/>
        <v>0.28809730222616603</v>
      </c>
      <c r="X311" s="336">
        <f t="shared" si="312"/>
        <v>0.32262641977048678</v>
      </c>
      <c r="Y311" s="336">
        <f t="shared" si="312"/>
        <v>0.35632277227463571</v>
      </c>
      <c r="Z311" s="336">
        <f t="shared" si="312"/>
        <v>0.38533692536081193</v>
      </c>
      <c r="AA311" s="336">
        <f t="shared" si="312"/>
        <v>0.41081203908720748</v>
      </c>
      <c r="AB311" s="336">
        <f t="shared" si="312"/>
        <v>0.4344807613897162</v>
      </c>
      <c r="AC311" s="336">
        <f t="shared" si="312"/>
        <v>0.45844020881186015</v>
      </c>
      <c r="AD311" s="336">
        <f t="shared" si="312"/>
        <v>0.48525229895139099</v>
      </c>
      <c r="AE311" s="336">
        <f t="shared" si="312"/>
        <v>0.51698358792434052</v>
      </c>
      <c r="AF311" s="336">
        <f t="shared" si="312"/>
        <v>0.55443016264550526</v>
      </c>
      <c r="AG311" s="336">
        <f t="shared" si="312"/>
        <v>0.59626898502798009</v>
      </c>
      <c r="AJ311" s="326"/>
    </row>
    <row r="312" spans="1:37" s="230" customFormat="1" x14ac:dyDescent="0.2">
      <c r="A312" s="325" t="s">
        <v>1408</v>
      </c>
      <c r="B312" s="324" t="s">
        <v>462</v>
      </c>
      <c r="C312" s="330">
        <v>0.5</v>
      </c>
      <c r="D312" s="330">
        <v>0.5</v>
      </c>
      <c r="E312" s="330">
        <v>0.5</v>
      </c>
      <c r="F312" s="330">
        <v>0.5</v>
      </c>
      <c r="G312" s="330">
        <v>0.5</v>
      </c>
      <c r="H312" s="330">
        <v>0.5</v>
      </c>
      <c r="I312" s="330">
        <v>0.5</v>
      </c>
      <c r="J312" s="330">
        <v>0.5</v>
      </c>
      <c r="K312" s="330">
        <v>0.5</v>
      </c>
      <c r="L312" s="330">
        <v>0.5</v>
      </c>
      <c r="M312" s="330">
        <v>0.5</v>
      </c>
      <c r="N312" s="330">
        <v>0.5</v>
      </c>
      <c r="O312" s="330">
        <v>0.5</v>
      </c>
      <c r="P312" s="330">
        <v>0.5</v>
      </c>
      <c r="Q312" s="330">
        <v>0.5</v>
      </c>
      <c r="R312" s="330">
        <v>0.5</v>
      </c>
      <c r="S312" s="330">
        <v>0.5</v>
      </c>
      <c r="T312" s="330">
        <v>0.5</v>
      </c>
      <c r="U312" s="330">
        <v>0.5</v>
      </c>
      <c r="V312" s="330">
        <v>0.5</v>
      </c>
      <c r="W312" s="330">
        <v>0.5</v>
      </c>
      <c r="X312" s="330">
        <v>0.5</v>
      </c>
      <c r="Y312" s="330">
        <v>0.5</v>
      </c>
      <c r="Z312" s="330">
        <v>0.5</v>
      </c>
      <c r="AA312" s="330">
        <v>0.5</v>
      </c>
      <c r="AB312" s="330">
        <v>0.5</v>
      </c>
      <c r="AC312" s="330">
        <v>0.5</v>
      </c>
      <c r="AD312" s="330">
        <v>0.5</v>
      </c>
      <c r="AE312" s="330">
        <v>0.5</v>
      </c>
      <c r="AF312" s="330">
        <v>0.5</v>
      </c>
      <c r="AG312" s="330">
        <v>0.5</v>
      </c>
      <c r="AJ312" s="230" t="s">
        <v>1410</v>
      </c>
    </row>
    <row r="313" spans="1:37" s="230" customFormat="1" ht="16" thickBot="1" x14ac:dyDescent="0.25">
      <c r="A313" s="301" t="s">
        <v>1411</v>
      </c>
      <c r="B313" s="335" t="s">
        <v>704</v>
      </c>
      <c r="C313" s="336">
        <f>C312*(C303*C307+C304*C308)</f>
        <v>6.3290690742202706E-5</v>
      </c>
      <c r="D313" s="336">
        <f t="shared" ref="D313:AG313" si="313">D312*(D303*D307+D304*D308)</f>
        <v>1.307942434229126E-4</v>
      </c>
      <c r="E313" s="336">
        <f t="shared" si="313"/>
        <v>2.6902843236682056E-4</v>
      </c>
      <c r="F313" s="336">
        <f t="shared" si="313"/>
        <v>5.5039291917202227E-4</v>
      </c>
      <c r="G313" s="336">
        <f t="shared" si="313"/>
        <v>1.11890458880808E-3</v>
      </c>
      <c r="H313" s="336">
        <f t="shared" si="313"/>
        <v>2.2572049023511136E-3</v>
      </c>
      <c r="I313" s="336">
        <f t="shared" si="313"/>
        <v>4.5042104593981695E-3</v>
      </c>
      <c r="J313" s="336">
        <f t="shared" si="313"/>
        <v>8.8978851971493085E-3</v>
      </c>
      <c r="K313" s="336">
        <f t="shared" si="313"/>
        <v>1.7341772322360671E-2</v>
      </c>
      <c r="L313" s="336">
        <f t="shared" si="313"/>
        <v>3.31976680047242E-2</v>
      </c>
      <c r="M313" s="336">
        <f t="shared" si="313"/>
        <v>6.2340821152364972E-2</v>
      </c>
      <c r="N313" s="336">
        <f t="shared" si="313"/>
        <v>0.10605861676066851</v>
      </c>
      <c r="O313" s="336">
        <f t="shared" si="313"/>
        <v>0.17448639765093221</v>
      </c>
      <c r="P313" s="336">
        <f t="shared" si="313"/>
        <v>0.27321699344398803</v>
      </c>
      <c r="Q313" s="336">
        <f t="shared" si="313"/>
        <v>0.40534728009594351</v>
      </c>
      <c r="R313" s="336">
        <f t="shared" si="313"/>
        <v>0.56737681186550337</v>
      </c>
      <c r="S313" s="336">
        <f t="shared" si="313"/>
        <v>0.75571106643766017</v>
      </c>
      <c r="T313" s="336">
        <f t="shared" si="313"/>
        <v>0.99649929196281628</v>
      </c>
      <c r="U313" s="336">
        <f t="shared" si="313"/>
        <v>1.2428961162839105</v>
      </c>
      <c r="V313" s="336">
        <f t="shared" si="313"/>
        <v>1.4768588727681264</v>
      </c>
      <c r="W313" s="336">
        <f t="shared" si="313"/>
        <v>1.6853857334792675</v>
      </c>
      <c r="X313" s="336">
        <f t="shared" si="313"/>
        <v>1.8873830505285676</v>
      </c>
      <c r="Y313" s="336">
        <f t="shared" si="313"/>
        <v>2.0845086443538019</v>
      </c>
      <c r="Z313" s="336">
        <f t="shared" si="313"/>
        <v>2.2542431031722905</v>
      </c>
      <c r="AA313" s="336">
        <f t="shared" si="313"/>
        <v>2.4032739788572117</v>
      </c>
      <c r="AB313" s="336">
        <f t="shared" si="313"/>
        <v>2.5417373611592611</v>
      </c>
      <c r="AC313" s="336">
        <f t="shared" si="313"/>
        <v>2.6819015020772752</v>
      </c>
      <c r="AD313" s="336">
        <f t="shared" si="313"/>
        <v>2.8387537664225024</v>
      </c>
      <c r="AE313" s="336">
        <f t="shared" si="313"/>
        <v>3.0243836259410548</v>
      </c>
      <c r="AF313" s="336">
        <f t="shared" si="313"/>
        <v>3.2434482347209439</v>
      </c>
      <c r="AG313" s="336">
        <f t="shared" si="313"/>
        <v>3.4882077441093369</v>
      </c>
      <c r="AJ313" s="325"/>
    </row>
    <row r="314" spans="1:37" s="230" customFormat="1" x14ac:dyDescent="0.2">
      <c r="A314" s="326"/>
      <c r="B314" s="324"/>
      <c r="AJ314" s="325"/>
    </row>
    <row r="315" spans="1:37" s="230" customFormat="1" x14ac:dyDescent="0.2">
      <c r="A315" s="326" t="s">
        <v>1412</v>
      </c>
      <c r="B315" s="324" t="s">
        <v>704</v>
      </c>
      <c r="C315" s="230">
        <f t="shared" ref="C315:AF315" si="314">SUM(C284:C285)-SUM(C311,C313)</f>
        <v>66.62673602585204</v>
      </c>
      <c r="D315" s="230">
        <f t="shared" si="314"/>
        <v>68.666739731856154</v>
      </c>
      <c r="E315" s="230">
        <f t="shared" si="314"/>
        <v>70.566500691545542</v>
      </c>
      <c r="F315" s="230">
        <f t="shared" si="314"/>
        <v>72.311407029299659</v>
      </c>
      <c r="G315" s="230">
        <f t="shared" si="314"/>
        <v>73.887743304444768</v>
      </c>
      <c r="H315" s="230">
        <f t="shared" si="314"/>
        <v>75.282787271894676</v>
      </c>
      <c r="I315" s="230">
        <f t="shared" si="314"/>
        <v>76.451544945302288</v>
      </c>
      <c r="J315" s="230">
        <f t="shared" si="314"/>
        <v>77.57698590799238</v>
      </c>
      <c r="K315" s="230">
        <f t="shared" si="314"/>
        <v>78.654537398343294</v>
      </c>
      <c r="L315" s="230">
        <f t="shared" si="314"/>
        <v>79.677965318574209</v>
      </c>
      <c r="M315" s="230">
        <f t="shared" si="314"/>
        <v>80.638145481783141</v>
      </c>
      <c r="N315" s="230">
        <f t="shared" si="314"/>
        <v>80.118016596307967</v>
      </c>
      <c r="O315" s="230">
        <f t="shared" si="314"/>
        <v>79.589931415016039</v>
      </c>
      <c r="P315" s="230">
        <f t="shared" si="314"/>
        <v>78.581992514612338</v>
      </c>
      <c r="Q315" s="230">
        <f t="shared" si="314"/>
        <v>77.342967982096852</v>
      </c>
      <c r="R315" s="230">
        <f t="shared" si="314"/>
        <v>75.88383196601707</v>
      </c>
      <c r="S315" s="230">
        <f t="shared" si="314"/>
        <v>74.380683982629861</v>
      </c>
      <c r="T315" s="230">
        <f t="shared" si="314"/>
        <v>72.776599896159269</v>
      </c>
      <c r="U315" s="230">
        <f t="shared" si="314"/>
        <v>71.128221750071845</v>
      </c>
      <c r="V315" s="230">
        <f t="shared" si="314"/>
        <v>69.458539186513079</v>
      </c>
      <c r="W315" s="230">
        <f t="shared" si="314"/>
        <v>67.784712252916904</v>
      </c>
      <c r="X315" s="230">
        <f t="shared" si="314"/>
        <v>64.577304266679121</v>
      </c>
      <c r="Y315" s="230">
        <f t="shared" si="314"/>
        <v>62.087498258375632</v>
      </c>
      <c r="Z315" s="230">
        <f t="shared" si="314"/>
        <v>59.616729301269388</v>
      </c>
      <c r="AA315" s="230">
        <f t="shared" si="314"/>
        <v>57.174318505581695</v>
      </c>
      <c r="AB315" s="230">
        <f t="shared" si="314"/>
        <v>54.753290686220382</v>
      </c>
      <c r="AC315" s="230">
        <f t="shared" si="314"/>
        <v>52.326313420349223</v>
      </c>
      <c r="AD315" s="230">
        <f t="shared" si="314"/>
        <v>49.899676937794624</v>
      </c>
      <c r="AE315" s="230">
        <f t="shared" si="314"/>
        <v>47.464417214061136</v>
      </c>
      <c r="AF315" s="230">
        <f t="shared" si="314"/>
        <v>45.020373211856231</v>
      </c>
      <c r="AG315" s="230">
        <f>SUM(AG284:AG285)-SUM(AG311,AG313)</f>
        <v>42.58199729247449</v>
      </c>
      <c r="AJ315" s="325"/>
    </row>
    <row r="316" spans="1:37" s="230" customFormat="1" x14ac:dyDescent="0.2">
      <c r="A316" s="326"/>
      <c r="B316" s="324"/>
      <c r="AJ316" s="325"/>
    </row>
    <row r="317" spans="1:37" s="230" customFormat="1" x14ac:dyDescent="0.2">
      <c r="A317" s="325" t="s">
        <v>1413</v>
      </c>
      <c r="B317" s="324" t="s">
        <v>704</v>
      </c>
      <c r="C317" s="327">
        <f>C237*C236*C50</f>
        <v>26.532252911123685</v>
      </c>
      <c r="D317" s="327">
        <f t="shared" ref="D317:AG317" si="315">D237*D236*D50</f>
        <v>28.116717479739915</v>
      </c>
      <c r="E317" s="327">
        <f t="shared" si="315"/>
        <v>29.688794266079466</v>
      </c>
      <c r="F317" s="327">
        <f t="shared" si="315"/>
        <v>31.237710531251203</v>
      </c>
      <c r="G317" s="327">
        <f t="shared" si="315"/>
        <v>32.752466123024583</v>
      </c>
      <c r="H317" s="327">
        <f t="shared" si="315"/>
        <v>34.221961557891333</v>
      </c>
      <c r="I317" s="327">
        <f t="shared" si="315"/>
        <v>35.624752581479285</v>
      </c>
      <c r="J317" s="327">
        <f t="shared" si="315"/>
        <v>37.037117458335757</v>
      </c>
      <c r="K317" s="327">
        <f t="shared" si="315"/>
        <v>38.456792080217113</v>
      </c>
      <c r="L317" s="327">
        <f t="shared" si="315"/>
        <v>39.88141711941379</v>
      </c>
      <c r="M317" s="327">
        <f t="shared" si="315"/>
        <v>41.308541669295259</v>
      </c>
      <c r="N317" s="327">
        <f t="shared" si="315"/>
        <v>42.316022686447006</v>
      </c>
      <c r="O317" s="327">
        <f t="shared" si="315"/>
        <v>43.348979787420944</v>
      </c>
      <c r="P317" s="327">
        <f t="shared" si="315"/>
        <v>44.134473160002862</v>
      </c>
      <c r="Q317" s="327">
        <f t="shared" si="315"/>
        <v>44.802326747819734</v>
      </c>
      <c r="R317" s="327">
        <f t="shared" si="315"/>
        <v>45.346348442302052</v>
      </c>
      <c r="S317" s="327">
        <f t="shared" si="315"/>
        <v>45.861188655360934</v>
      </c>
      <c r="T317" s="327">
        <f t="shared" si="315"/>
        <v>46.328289785008053</v>
      </c>
      <c r="U317" s="327">
        <f t="shared" si="315"/>
        <v>46.745392976267127</v>
      </c>
      <c r="V317" s="327">
        <f t="shared" si="315"/>
        <v>47.110212553188653</v>
      </c>
      <c r="W317" s="327">
        <f t="shared" si="315"/>
        <v>47.420437250759342</v>
      </c>
      <c r="X317" s="327">
        <f t="shared" si="315"/>
        <v>47.092951601431643</v>
      </c>
      <c r="Y317" s="327">
        <f t="shared" si="315"/>
        <v>47.242165968971626</v>
      </c>
      <c r="Z317" s="327">
        <f t="shared" si="315"/>
        <v>47.319184689626518</v>
      </c>
      <c r="AA317" s="327">
        <f t="shared" si="315"/>
        <v>47.329912981435527</v>
      </c>
      <c r="AB317" s="327">
        <f t="shared" si="315"/>
        <v>47.271860003133455</v>
      </c>
      <c r="AC317" s="327">
        <f t="shared" si="315"/>
        <v>47.127694832528078</v>
      </c>
      <c r="AD317" s="327">
        <f t="shared" si="315"/>
        <v>46.909195361474673</v>
      </c>
      <c r="AE317" s="327">
        <f t="shared" si="315"/>
        <v>46.613773929222013</v>
      </c>
      <c r="AF317" s="327">
        <f t="shared" si="315"/>
        <v>46.238820286005527</v>
      </c>
      <c r="AG317" s="327">
        <f t="shared" si="315"/>
        <v>45.781702823520362</v>
      </c>
      <c r="AJ317" s="325"/>
    </row>
    <row r="318" spans="1:37" s="230" customFormat="1" x14ac:dyDescent="0.2">
      <c r="A318" s="230" t="s">
        <v>1414</v>
      </c>
      <c r="B318" s="324" t="s">
        <v>704</v>
      </c>
      <c r="C318" s="327">
        <f t="shared" ref="C318:AG318" si="316">C238*C236*C50</f>
        <v>94.068896684893076</v>
      </c>
      <c r="D318" s="327">
        <f t="shared" si="316"/>
        <v>95.927624342642076</v>
      </c>
      <c r="E318" s="327">
        <f t="shared" si="316"/>
        <v>97.548895445689695</v>
      </c>
      <c r="F318" s="327">
        <f t="shared" si="316"/>
        <v>98.919416682295491</v>
      </c>
      <c r="G318" s="327">
        <f t="shared" si="316"/>
        <v>100.02780194329132</v>
      </c>
      <c r="H318" s="327">
        <f t="shared" si="316"/>
        <v>100.86472880220606</v>
      </c>
      <c r="I318" s="327">
        <f t="shared" si="316"/>
        <v>101.39352657805645</v>
      </c>
      <c r="J318" s="327">
        <f t="shared" si="316"/>
        <v>101.85207301042335</v>
      </c>
      <c r="K318" s="327">
        <f t="shared" si="316"/>
        <v>102.23878870106506</v>
      </c>
      <c r="L318" s="327">
        <f t="shared" si="316"/>
        <v>102.55221544992122</v>
      </c>
      <c r="M318" s="327">
        <f t="shared" si="316"/>
        <v>102.79102229336266</v>
      </c>
      <c r="N318" s="327">
        <f t="shared" si="316"/>
        <v>101.9431455628042</v>
      </c>
      <c r="O318" s="327">
        <f t="shared" si="316"/>
        <v>101.14761950398226</v>
      </c>
      <c r="P318" s="327">
        <f t="shared" si="316"/>
        <v>99.782287144354356</v>
      </c>
      <c r="Q318" s="327">
        <f t="shared" si="316"/>
        <v>98.183822447349684</v>
      </c>
      <c r="R318" s="327">
        <f t="shared" si="316"/>
        <v>96.360990439891935</v>
      </c>
      <c r="S318" s="327">
        <f t="shared" si="316"/>
        <v>94.530205187580776</v>
      </c>
      <c r="T318" s="327">
        <f t="shared" si="316"/>
        <v>92.656579570016163</v>
      </c>
      <c r="U318" s="327">
        <f t="shared" si="316"/>
        <v>90.741056953930368</v>
      </c>
      <c r="V318" s="327">
        <f t="shared" si="316"/>
        <v>88.784631350240232</v>
      </c>
      <c r="W318" s="327">
        <f t="shared" si="316"/>
        <v>86.788347421201166</v>
      </c>
      <c r="X318" s="327">
        <f t="shared" si="316"/>
        <v>83.72080284698967</v>
      </c>
      <c r="Y318" s="327">
        <f t="shared" si="316"/>
        <v>81.600104855496525</v>
      </c>
      <c r="Z318" s="327">
        <f t="shared" si="316"/>
        <v>79.42863144330174</v>
      </c>
      <c r="AA318" s="327">
        <f t="shared" si="316"/>
        <v>77.222489601289638</v>
      </c>
      <c r="AB318" s="327">
        <f t="shared" si="316"/>
        <v>74.982950349797974</v>
      </c>
      <c r="AC318" s="327">
        <f t="shared" si="316"/>
        <v>72.688478470509494</v>
      </c>
      <c r="AD318" s="327">
        <f t="shared" si="316"/>
        <v>70.363793042212095</v>
      </c>
      <c r="AE318" s="327">
        <f t="shared" si="316"/>
        <v>68.010260322963376</v>
      </c>
      <c r="AF318" s="327">
        <f t="shared" si="316"/>
        <v>65.629293309169228</v>
      </c>
      <c r="AG318" s="327">
        <f t="shared" si="316"/>
        <v>63.222351518194799</v>
      </c>
      <c r="AJ318" s="325"/>
    </row>
    <row r="319" spans="1:37" s="230" customFormat="1" x14ac:dyDescent="0.2">
      <c r="B319" s="324"/>
      <c r="C319" s="317"/>
      <c r="D319" s="317"/>
      <c r="E319" s="317"/>
      <c r="F319" s="317"/>
      <c r="G319" s="317"/>
      <c r="H319" s="317"/>
      <c r="I319" s="317"/>
      <c r="J319" s="317"/>
      <c r="K319" s="317"/>
      <c r="L319" s="317"/>
      <c r="M319" s="317"/>
      <c r="N319" s="317"/>
      <c r="O319" s="317"/>
      <c r="P319" s="317"/>
      <c r="Q319" s="317"/>
      <c r="R319" s="317"/>
      <c r="S319" s="317"/>
      <c r="T319" s="317"/>
      <c r="U319" s="317"/>
      <c r="V319" s="317"/>
      <c r="W319" s="317"/>
      <c r="X319" s="317"/>
      <c r="Y319" s="317"/>
      <c r="Z319" s="317"/>
      <c r="AA319" s="317"/>
      <c r="AB319" s="317"/>
      <c r="AC319" s="317"/>
      <c r="AD319" s="317"/>
      <c r="AE319" s="317"/>
      <c r="AF319" s="317"/>
      <c r="AG319" s="317"/>
      <c r="AJ319" s="325"/>
    </row>
    <row r="320" spans="1:37" s="230" customFormat="1" x14ac:dyDescent="0.2">
      <c r="A320" s="351" t="s">
        <v>233</v>
      </c>
      <c r="B320" s="352" t="s">
        <v>704</v>
      </c>
      <c r="C320" s="304">
        <f t="shared" ref="C320:AG320" si="317">C298-C311-C313</f>
        <v>15.604910284817102</v>
      </c>
      <c r="D320" s="353">
        <f t="shared" si="317"/>
        <v>16.163683795793936</v>
      </c>
      <c r="E320" s="353">
        <f t="shared" si="317"/>
        <v>16.707170013158329</v>
      </c>
      <c r="F320" s="353">
        <f t="shared" si="317"/>
        <v>17.232060579804894</v>
      </c>
      <c r="G320" s="353">
        <f t="shared" si="317"/>
        <v>17.734935361505627</v>
      </c>
      <c r="H320" s="353">
        <f t="shared" si="317"/>
        <v>18.212215431040576</v>
      </c>
      <c r="I320" s="353">
        <f t="shared" si="317"/>
        <v>18.63537356262616</v>
      </c>
      <c r="J320" s="353">
        <f t="shared" si="317"/>
        <v>19.062458496744608</v>
      </c>
      <c r="K320" s="353">
        <f t="shared" si="317"/>
        <v>19.490778529957378</v>
      </c>
      <c r="L320" s="353">
        <f t="shared" si="317"/>
        <v>19.915890446302242</v>
      </c>
      <c r="M320" s="353">
        <f t="shared" si="317"/>
        <v>20.330363731989888</v>
      </c>
      <c r="N320" s="353">
        <f t="shared" si="317"/>
        <v>19.519697423782748</v>
      </c>
      <c r="O320" s="353">
        <f t="shared" si="317"/>
        <v>18.701438068800897</v>
      </c>
      <c r="P320" s="353">
        <f t="shared" si="317"/>
        <v>17.797051562245382</v>
      </c>
      <c r="Q320" s="353">
        <f t="shared" si="317"/>
        <v>16.85110612368198</v>
      </c>
      <c r="R320" s="353">
        <f t="shared" si="317"/>
        <v>15.872757148682311</v>
      </c>
      <c r="S320" s="353">
        <f t="shared" si="317"/>
        <v>15.040726318733155</v>
      </c>
      <c r="T320" s="353">
        <f t="shared" si="317"/>
        <v>14.899199369340087</v>
      </c>
      <c r="U320" s="353">
        <f t="shared" si="317"/>
        <v>14.688093187727844</v>
      </c>
      <c r="V320" s="353">
        <f t="shared" si="317"/>
        <v>14.431072422458866</v>
      </c>
      <c r="W320" s="353">
        <f t="shared" si="317"/>
        <v>14.145932326929453</v>
      </c>
      <c r="X320" s="353">
        <f t="shared" si="317"/>
        <v>14.030183696830575</v>
      </c>
      <c r="Y320" s="353">
        <f t="shared" si="317"/>
        <v>14.046457732973336</v>
      </c>
      <c r="Z320" s="353">
        <f t="shared" si="317"/>
        <v>13.993622041240469</v>
      </c>
      <c r="AA320" s="353">
        <f t="shared" si="317"/>
        <v>13.871102705370287</v>
      </c>
      <c r="AB320" s="353">
        <f t="shared" si="317"/>
        <v>13.671747595358735</v>
      </c>
      <c r="AC320" s="353">
        <f t="shared" si="317"/>
        <v>13.381017830295006</v>
      </c>
      <c r="AD320" s="353">
        <f t="shared" si="317"/>
        <v>12.990940679215882</v>
      </c>
      <c r="AE320" s="353">
        <f t="shared" si="317"/>
        <v>12.492222743786026</v>
      </c>
      <c r="AF320" s="353">
        <f t="shared" si="317"/>
        <v>11.884304060460451</v>
      </c>
      <c r="AG320" s="354">
        <f t="shared" si="317"/>
        <v>11.181168501389607</v>
      </c>
      <c r="AI320" s="230" t="s">
        <v>1415</v>
      </c>
      <c r="AJ320" s="325"/>
    </row>
    <row r="321" spans="1:36" s="230" customFormat="1" x14ac:dyDescent="0.2">
      <c r="A321" s="355" t="s">
        <v>234</v>
      </c>
      <c r="B321" s="356" t="s">
        <v>704</v>
      </c>
      <c r="C321" s="357">
        <f>C299+C320</f>
        <v>102.7392408679392</v>
      </c>
      <c r="D321" s="357">
        <f t="shared" ref="D321:AF321" si="318">D299+D320</f>
        <v>104.94352859501419</v>
      </c>
      <c r="E321" s="357">
        <f t="shared" si="318"/>
        <v>106.91134050784153</v>
      </c>
      <c r="F321" s="357">
        <f t="shared" si="318"/>
        <v>108.6277445235213</v>
      </c>
      <c r="G321" s="357">
        <f t="shared" si="318"/>
        <v>110.07948085995514</v>
      </c>
      <c r="H321" s="357">
        <f t="shared" si="318"/>
        <v>111.25504962059044</v>
      </c>
      <c r="I321" s="357">
        <f t="shared" si="318"/>
        <v>112.09280141176227</v>
      </c>
      <c r="J321" s="357">
        <f t="shared" si="318"/>
        <v>112.87060971984701</v>
      </c>
      <c r="K321" s="357">
        <f t="shared" si="318"/>
        <v>113.58454373117088</v>
      </c>
      <c r="L321" s="357">
        <f t="shared" si="318"/>
        <v>114.22903242025026</v>
      </c>
      <c r="M321" s="357">
        <f t="shared" si="318"/>
        <v>114.7956334408434</v>
      </c>
      <c r="N321" s="357">
        <f t="shared" si="318"/>
        <v>113.14061171426998</v>
      </c>
      <c r="O321" s="357">
        <f t="shared" si="318"/>
        <v>111.52894338558411</v>
      </c>
      <c r="P321" s="357">
        <f t="shared" si="318"/>
        <v>109.31140078087013</v>
      </c>
      <c r="Q321" s="357">
        <f t="shared" si="318"/>
        <v>106.84213996914664</v>
      </c>
      <c r="R321" s="357">
        <f t="shared" si="318"/>
        <v>104.13871585492889</v>
      </c>
      <c r="S321" s="357">
        <f t="shared" si="318"/>
        <v>101.44238661875524</v>
      </c>
      <c r="T321" s="357">
        <f t="shared" si="318"/>
        <v>98.685414314193252</v>
      </c>
      <c r="U321" s="357">
        <f t="shared" si="318"/>
        <v>95.924104820814748</v>
      </c>
      <c r="V321" s="357">
        <f t="shared" si="318"/>
        <v>93.181039424318328</v>
      </c>
      <c r="W321" s="357">
        <f t="shared" si="318"/>
        <v>90.472897248388506</v>
      </c>
      <c r="X321" s="357">
        <f t="shared" si="318"/>
        <v>85.682284325041536</v>
      </c>
      <c r="Y321" s="357">
        <f t="shared" si="318"/>
        <v>81.902448769712734</v>
      </c>
      <c r="Z321" s="357">
        <f t="shared" si="318"/>
        <v>78.208686635631423</v>
      </c>
      <c r="AA321" s="357">
        <f t="shared" si="318"/>
        <v>74.612783342996778</v>
      </c>
      <c r="AB321" s="357">
        <f t="shared" si="318"/>
        <v>71.10611144183045</v>
      </c>
      <c r="AC321" s="357">
        <f t="shared" si="318"/>
        <v>67.654524716265129</v>
      </c>
      <c r="AD321" s="357">
        <f t="shared" si="318"/>
        <v>64.2678922529755</v>
      </c>
      <c r="AE321" s="357">
        <f t="shared" si="318"/>
        <v>60.935171130472668</v>
      </c>
      <c r="AF321" s="357">
        <f t="shared" si="318"/>
        <v>57.653996083538743</v>
      </c>
      <c r="AG321" s="358">
        <f>AG299+AG320</f>
        <v>54.436490405199081</v>
      </c>
      <c r="AI321" s="230" t="s">
        <v>1416</v>
      </c>
      <c r="AJ321" s="325"/>
    </row>
    <row r="322" spans="1:36" s="230" customFormat="1" x14ac:dyDescent="0.2">
      <c r="B322" s="324"/>
      <c r="C322" s="317"/>
      <c r="D322" s="317"/>
      <c r="E322" s="317"/>
      <c r="F322" s="317"/>
      <c r="G322" s="317"/>
      <c r="H322" s="317"/>
      <c r="I322" s="317"/>
      <c r="J322" s="317"/>
      <c r="K322" s="317"/>
      <c r="L322" s="317"/>
      <c r="M322" s="317"/>
      <c r="N322" s="317"/>
      <c r="O322" s="317"/>
      <c r="P322" s="317"/>
      <c r="Q322" s="317"/>
      <c r="R322" s="317"/>
      <c r="S322" s="317"/>
      <c r="T322" s="317"/>
      <c r="U322" s="317"/>
      <c r="V322" s="317"/>
      <c r="W322" s="317"/>
      <c r="X322" s="317"/>
      <c r="Y322" s="317"/>
      <c r="Z322" s="317"/>
      <c r="AA322" s="317"/>
      <c r="AB322" s="317"/>
      <c r="AC322" s="317"/>
      <c r="AD322" s="317"/>
      <c r="AE322" s="317"/>
      <c r="AF322" s="317"/>
      <c r="AG322" s="317"/>
      <c r="AJ322" s="325"/>
    </row>
    <row r="323" spans="1:36" s="181" customFormat="1" x14ac:dyDescent="0.2">
      <c r="B323" s="176"/>
      <c r="C323" s="110"/>
      <c r="D323" s="110"/>
      <c r="E323" s="110"/>
      <c r="F323" s="110"/>
      <c r="G323" s="110"/>
      <c r="H323" s="110"/>
      <c r="I323" s="110"/>
      <c r="J323" s="110"/>
      <c r="K323" s="110"/>
      <c r="L323" s="110"/>
      <c r="M323" s="110"/>
      <c r="N323" s="110"/>
      <c r="O323" s="110"/>
      <c r="P323" s="110"/>
      <c r="Q323" s="110"/>
      <c r="R323" s="110"/>
      <c r="S323" s="110"/>
      <c r="T323" s="110"/>
      <c r="U323" s="110"/>
      <c r="V323" s="110"/>
      <c r="W323" s="110"/>
      <c r="X323" s="110"/>
      <c r="Y323" s="110"/>
      <c r="Z323" s="110"/>
      <c r="AA323" s="110"/>
      <c r="AB323" s="110"/>
      <c r="AC323" s="110"/>
      <c r="AD323" s="110"/>
      <c r="AE323" s="110"/>
      <c r="AF323" s="110"/>
      <c r="AG323" s="234"/>
      <c r="AJ323" s="323"/>
    </row>
    <row r="324" spans="1:36" ht="16" thickBot="1" x14ac:dyDescent="0.25">
      <c r="A324" s="200" t="s">
        <v>1417</v>
      </c>
      <c r="B324" s="235"/>
      <c r="C324" s="236"/>
      <c r="D324" s="222"/>
      <c r="E324" s="222"/>
      <c r="F324" s="222"/>
      <c r="G324" s="222"/>
      <c r="H324" s="222"/>
      <c r="I324" s="222"/>
      <c r="J324" s="222"/>
      <c r="K324" s="222"/>
      <c r="L324" s="222"/>
      <c r="M324" s="237"/>
      <c r="N324" s="110"/>
      <c r="O324" s="110"/>
      <c r="P324" s="110"/>
      <c r="Q324" s="110"/>
      <c r="R324" s="110"/>
      <c r="S324" s="110"/>
      <c r="T324" s="110"/>
      <c r="U324" s="110"/>
      <c r="V324" s="110"/>
      <c r="W324" s="126"/>
      <c r="X324" s="110"/>
      <c r="Y324" s="110"/>
      <c r="Z324" s="110"/>
      <c r="AA324" s="110"/>
      <c r="AB324" s="110"/>
      <c r="AC324" s="110"/>
      <c r="AD324" s="110"/>
      <c r="AE324" s="110"/>
      <c r="AF324" s="110"/>
      <c r="AG324" s="110" t="s">
        <v>1418</v>
      </c>
    </row>
    <row r="325" spans="1:36" ht="16" hidden="1" thickTop="1" x14ac:dyDescent="0.2">
      <c r="A325" s="181" t="s">
        <v>1419</v>
      </c>
      <c r="B325" s="130"/>
      <c r="C325" s="234">
        <f>C64*C14+C118*C15+C166*C17+C196*C16</f>
        <v>14.348994409010164</v>
      </c>
      <c r="D325" s="233"/>
      <c r="E325" s="233"/>
      <c r="F325" s="233"/>
      <c r="G325" s="233"/>
      <c r="H325" s="233"/>
      <c r="I325" s="233"/>
      <c r="J325" s="233"/>
      <c r="K325" s="233"/>
      <c r="L325" s="233"/>
      <c r="M325" s="127">
        <f>C325/$C$330</f>
        <v>0.39980093750123691</v>
      </c>
      <c r="N325" s="110"/>
      <c r="O325" s="110"/>
      <c r="P325" s="110"/>
      <c r="Q325" s="110"/>
      <c r="R325" s="110"/>
      <c r="S325" s="110"/>
      <c r="T325" s="110"/>
      <c r="U325" s="110"/>
      <c r="V325" s="110"/>
      <c r="W325" s="106"/>
      <c r="X325" s="110"/>
      <c r="Y325" s="110"/>
      <c r="Z325" s="110"/>
      <c r="AA325" s="110"/>
      <c r="AB325" s="110"/>
      <c r="AC325" s="110"/>
      <c r="AD325" s="110"/>
      <c r="AE325" s="110"/>
      <c r="AF325" s="110"/>
      <c r="AG325" s="56">
        <v>0.46</v>
      </c>
    </row>
    <row r="326" spans="1:36" hidden="1" x14ac:dyDescent="0.2">
      <c r="A326" t="s">
        <v>1420</v>
      </c>
      <c r="C326" s="234">
        <f>C53*C14+C119*C15</f>
        <v>9.0743320403108019</v>
      </c>
      <c r="D326" s="234"/>
      <c r="E326" s="234"/>
      <c r="F326" s="234"/>
      <c r="G326" s="234"/>
      <c r="H326" s="234"/>
      <c r="I326" s="234"/>
      <c r="J326" s="234"/>
      <c r="K326" s="234"/>
      <c r="L326" s="234"/>
      <c r="M326" s="127">
        <f t="shared" ref="M326:M329" si="319">C326/$C$330</f>
        <v>0.25283489236260948</v>
      </c>
      <c r="AG326" s="56">
        <v>0.24</v>
      </c>
    </row>
    <row r="327" spans="1:36" hidden="1" x14ac:dyDescent="0.2">
      <c r="A327" t="s">
        <v>1421</v>
      </c>
      <c r="C327" s="234">
        <f>C167*C17+C62*C14+C208*C18+C120*C15</f>
        <v>10.095550469083447</v>
      </c>
      <c r="D327" s="234"/>
      <c r="E327" s="234"/>
      <c r="F327" s="234"/>
      <c r="G327" s="234"/>
      <c r="H327" s="234"/>
      <c r="I327" s="234"/>
      <c r="J327" s="234"/>
      <c r="K327" s="234"/>
      <c r="L327" s="234"/>
      <c r="M327" s="127">
        <f t="shared" si="319"/>
        <v>0.28128873892348555</v>
      </c>
      <c r="AG327" s="56">
        <v>0.26</v>
      </c>
    </row>
    <row r="328" spans="1:36" hidden="1" x14ac:dyDescent="0.2">
      <c r="A328" t="s">
        <v>1422</v>
      </c>
      <c r="C328" s="234">
        <f>C159*C17+C61*C14</f>
        <v>2.335221760377832</v>
      </c>
      <c r="D328" s="234"/>
      <c r="E328" s="234"/>
      <c r="F328" s="234"/>
      <c r="G328" s="234"/>
      <c r="H328" s="234"/>
      <c r="I328" s="234"/>
      <c r="J328" s="234"/>
      <c r="K328" s="234"/>
      <c r="L328" s="234"/>
      <c r="M328" s="127">
        <f t="shared" si="319"/>
        <v>6.5065454934325959E-2</v>
      </c>
      <c r="AG328" s="56">
        <v>0.01</v>
      </c>
    </row>
    <row r="329" spans="1:36" hidden="1" x14ac:dyDescent="0.2">
      <c r="A329" t="s">
        <v>1423</v>
      </c>
      <c r="B329"/>
      <c r="C329" s="234">
        <f>C110*C15</f>
        <v>3.6248399170191126E-2</v>
      </c>
      <c r="D329" s="234"/>
      <c r="E329" s="234"/>
      <c r="F329" s="234"/>
      <c r="G329" s="234"/>
      <c r="H329" s="234"/>
      <c r="I329" s="234"/>
      <c r="J329" s="234"/>
      <c r="K329" s="234"/>
      <c r="L329" s="234"/>
      <c r="M329" s="127">
        <f t="shared" si="319"/>
        <v>1.0099762783419455E-3</v>
      </c>
      <c r="AG329" s="56">
        <v>0.03</v>
      </c>
    </row>
    <row r="330" spans="1:36" hidden="1" x14ac:dyDescent="0.2">
      <c r="A330" t="s">
        <v>1424</v>
      </c>
      <c r="B330" s="51"/>
      <c r="C330" s="233">
        <f>SUM(C325:C329)</f>
        <v>35.890347077952441</v>
      </c>
      <c r="D330" s="234"/>
      <c r="E330" s="234"/>
      <c r="F330" s="234"/>
      <c r="G330" s="234"/>
      <c r="H330" s="234"/>
      <c r="I330" s="234"/>
      <c r="J330" s="234"/>
      <c r="K330" s="234"/>
      <c r="L330" s="234"/>
      <c r="M330" s="234"/>
    </row>
    <row r="331" spans="1:36" hidden="1" x14ac:dyDescent="0.2">
      <c r="B331" s="181" t="s">
        <v>1425</v>
      </c>
      <c r="C331" s="234">
        <f>C222*C19</f>
        <v>37.870379963560374</v>
      </c>
      <c r="D331" s="234"/>
      <c r="E331" s="234"/>
      <c r="F331" s="234"/>
      <c r="G331" s="234"/>
      <c r="H331" s="234"/>
      <c r="I331" s="234"/>
      <c r="J331" s="234"/>
      <c r="K331" s="234"/>
      <c r="L331" s="234"/>
      <c r="M331" s="234"/>
      <c r="AG331" s="107" t="s">
        <v>1426</v>
      </c>
    </row>
    <row r="332" spans="1:36" ht="16" thickTop="1" x14ac:dyDescent="0.2">
      <c r="B332" s="51"/>
    </row>
    <row r="333" spans="1:36" x14ac:dyDescent="0.2">
      <c r="B333" s="51"/>
    </row>
    <row r="334" spans="1:36" x14ac:dyDescent="0.2">
      <c r="B334" s="51"/>
    </row>
    <row r="335" spans="1:36" x14ac:dyDescent="0.2">
      <c r="A335" s="245"/>
      <c r="B335" s="278">
        <f>AG224-C224</f>
        <v>32.621252588807451</v>
      </c>
      <c r="AG335" s="107" t="s">
        <v>1461</v>
      </c>
    </row>
    <row r="336" spans="1:36" x14ac:dyDescent="0.2">
      <c r="A336" s="112"/>
      <c r="B336"/>
      <c r="C336" s="2">
        <f>(C67*C45+C119*C46)/(C67*C45+C119*C46+'Yearly HC Ethylene'!D95)</f>
        <v>5.5053692721079947E-2</v>
      </c>
      <c r="W336" s="107" t="s">
        <v>309</v>
      </c>
      <c r="AG336" s="2">
        <f>(AG67*AG45+AG119*AG46)/(AG67*AG45+AG119*AG46+'Yearly HC Ethylene'!AH95)</f>
        <v>0.27329516746232529</v>
      </c>
    </row>
    <row r="337" spans="3:34" x14ac:dyDescent="0.2">
      <c r="C337" s="2">
        <f>(C199*C47+C45*C73+C46*C118+C166*C48)/(C199*C47+C45*C73+C46*C118+C166*C48+'Yearly HC Ethylene'!D127)</f>
        <v>0.1695868688038055</v>
      </c>
      <c r="W337" s="107" t="s">
        <v>811</v>
      </c>
      <c r="AG337" s="2">
        <f>(AG199*AG47+AG45*AG73+AG46*AG118+AG166*AG48)/(AG199*AG47+AG45*AG73+AG46*AG118+AG166*AG48+'Yearly HC Ethylene'!AH127)</f>
        <v>0.89718476397812941</v>
      </c>
      <c r="AH337" s="245">
        <f>AG199*AG47+AG45*AG73+AG46*AG118+AG166*AG48</f>
        <v>19.683643655010766</v>
      </c>
    </row>
    <row r="338" spans="3:34" x14ac:dyDescent="0.2">
      <c r="C338" s="2">
        <f>(C110*C46)/(C110*C46+'Yearly HC Ethylene'!D105)</f>
        <v>5.1534797089779541E-4</v>
      </c>
      <c r="W338" s="107" t="s">
        <v>1462</v>
      </c>
      <c r="AG338" s="2">
        <f>(AG110*AG46)/(AG110*AG46+'Yearly HC Ethylene'!AH105)</f>
        <v>0.15815548207645072</v>
      </c>
    </row>
    <row r="339" spans="3:34" x14ac:dyDescent="0.2">
      <c r="C339" s="2">
        <f>(C70*C45+C48*C159)/(C70*C45+C48*C159+'Yearly HC Ethylene'!D115)</f>
        <v>0.26468169583723472</v>
      </c>
      <c r="W339" s="107" t="s">
        <v>320</v>
      </c>
      <c r="AG339" s="2">
        <f>(AG70*AG45+AG48*AG159)/(AG70*AG45+AG48*AG159+'Yearly HC Ethylene'!AH115)</f>
        <v>0.53577396823027057</v>
      </c>
    </row>
    <row r="340" spans="3:34" x14ac:dyDescent="0.2">
      <c r="C340" s="2">
        <f>(C71*C45+C209*C49+C120*C46+C167*C48)/(C71*C45+C209*C49+C120*C46+C167*C48+'Yearly HC Ethylene'!D139)</f>
        <v>0.10543712439274786</v>
      </c>
      <c r="W340" s="107" t="s">
        <v>248</v>
      </c>
      <c r="AG340" s="2">
        <f>(AG71*AG45+AG209*AG49+AG120*AG46+AG167*AG48)/(AG71*AG45+AG209*AG49+AG120*AG46+AG167*AG48+'Yearly HC Ethylene'!AH139)</f>
        <v>0.17847279729520493</v>
      </c>
    </row>
    <row r="341" spans="3:34" x14ac:dyDescent="0.2">
      <c r="C341" s="2">
        <f>C224/('Yearly HC Ethylene'!D148+C224)</f>
        <v>9.892785836957832E-2</v>
      </c>
      <c r="AG341" s="2">
        <f>AG224/('Yearly HC Ethylene'!AH148+AG224)</f>
        <v>0.33696484074928534</v>
      </c>
    </row>
  </sheetData>
  <mergeCells count="4">
    <mergeCell ref="BD119:BE119"/>
    <mergeCell ref="BD109:BE109"/>
    <mergeCell ref="BD114:BE114"/>
    <mergeCell ref="AI291:AI299"/>
  </mergeCells>
  <hyperlinks>
    <hyperlink ref="AJ113" r:id="rId1" xr:uid="{D8AB2709-857C-422C-A3AC-7C781BC300EC}"/>
    <hyperlink ref="AJ114" r:id="rId2" xr:uid="{D7778EEE-F00F-459A-AB60-035BCA437FBE}"/>
  </hyperlinks>
  <pageMargins left="0.7" right="0.7" top="0.75" bottom="0.75" header="0.3" footer="0.3"/>
  <pageSetup orientation="portrait" r:id="rId3"/>
  <drawing r:id="rId4"/>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A28A3-6961-4768-9D36-6787C1C64686}">
  <sheetPr>
    <tabColor theme="4"/>
  </sheetPr>
  <dimension ref="A1:BL200"/>
  <sheetViews>
    <sheetView topLeftCell="A81" zoomScale="70" zoomScaleNormal="70" workbookViewId="0">
      <selection activeCell="AI41" sqref="AI41"/>
    </sheetView>
  </sheetViews>
  <sheetFormatPr baseColWidth="10" defaultColWidth="8.83203125" defaultRowHeight="15" outlineLevelRow="2" outlineLevelCol="1" x14ac:dyDescent="0.2"/>
  <cols>
    <col min="1" max="1" width="56.66406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x14ac:dyDescent="0.2">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x14ac:dyDescent="0.2">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x14ac:dyDescent="0.2">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x14ac:dyDescent="0.2">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x14ac:dyDescent="0.25">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x14ac:dyDescent="0.2">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x14ac:dyDescent="0.2">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x14ac:dyDescent="0.2">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x14ac:dyDescent="0.2">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x14ac:dyDescent="0.2">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x14ac:dyDescent="0.2">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x14ac:dyDescent="0.25">
      <c r="A12" s="195" t="s">
        <v>1268</v>
      </c>
      <c r="B12" s="196"/>
      <c r="C12" s="197">
        <f t="shared" ref="C12:AG12" si="7">SUM(C7:C11)</f>
        <v>1</v>
      </c>
      <c r="D12" s="197">
        <f t="shared" si="7"/>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x14ac:dyDescent="0.2">
      <c r="AM13" s="26"/>
      <c r="AN13" s="2"/>
      <c r="AO13" s="26"/>
      <c r="AR13" s="2"/>
    </row>
    <row r="14" spans="1:47" outlineLevel="1" x14ac:dyDescent="0.2">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x14ac:dyDescent="0.2">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x14ac:dyDescent="0.2">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x14ac:dyDescent="0.2">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x14ac:dyDescent="0.2">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x14ac:dyDescent="0.25">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x14ac:dyDescent="0.2">
      <c r="AL20" s="114"/>
      <c r="AM20" s="115"/>
      <c r="AN20" s="115"/>
      <c r="AO20" s="115"/>
      <c r="AP20" s="115"/>
      <c r="AQ20" s="115"/>
    </row>
    <row r="21" spans="1:64" outlineLevel="1" x14ac:dyDescent="0.2">
      <c r="A21" t="s">
        <v>1463</v>
      </c>
      <c r="B21" s="54" t="s">
        <v>462</v>
      </c>
      <c r="C21" s="110">
        <f>'Overall recycling rates'!D76</f>
        <v>0.22178989519762488</v>
      </c>
      <c r="D21" s="110">
        <f>C21</f>
        <v>0.22178989519762488</v>
      </c>
      <c r="E21" s="110">
        <f t="shared" ref="E21:T21" si="10">D21</f>
        <v>0.22178989519762488</v>
      </c>
      <c r="F21" s="110">
        <f t="shared" si="10"/>
        <v>0.22178989519762488</v>
      </c>
      <c r="G21" s="110">
        <f t="shared" si="10"/>
        <v>0.22178989519762488</v>
      </c>
      <c r="H21" s="110">
        <f t="shared" si="10"/>
        <v>0.22178989519762488</v>
      </c>
      <c r="I21" s="110">
        <f t="shared" si="10"/>
        <v>0.22178989519762488</v>
      </c>
      <c r="J21" s="110">
        <f t="shared" si="10"/>
        <v>0.22178989519762488</v>
      </c>
      <c r="K21" s="110">
        <f t="shared" si="10"/>
        <v>0.22178989519762488</v>
      </c>
      <c r="L21" s="110">
        <f t="shared" si="10"/>
        <v>0.22178989519762488</v>
      </c>
      <c r="M21" s="110">
        <f t="shared" si="10"/>
        <v>0.22178989519762488</v>
      </c>
      <c r="N21" s="110">
        <f t="shared" si="10"/>
        <v>0.22178989519762488</v>
      </c>
      <c r="O21" s="110">
        <f t="shared" si="10"/>
        <v>0.22178989519762488</v>
      </c>
      <c r="P21" s="110">
        <f t="shared" si="10"/>
        <v>0.22178989519762488</v>
      </c>
      <c r="Q21" s="110">
        <f t="shared" si="10"/>
        <v>0.22178989519762488</v>
      </c>
      <c r="R21" s="110">
        <f t="shared" si="10"/>
        <v>0.22178989519762488</v>
      </c>
      <c r="S21" s="110">
        <f t="shared" si="10"/>
        <v>0.22178989519762488</v>
      </c>
      <c r="T21" s="110">
        <f t="shared" si="10"/>
        <v>0.22178989519762488</v>
      </c>
      <c r="U21" s="110">
        <f t="shared" ref="T21:AG25" si="11">T21</f>
        <v>0.22178989519762488</v>
      </c>
      <c r="V21" s="110">
        <f t="shared" si="11"/>
        <v>0.22178989519762488</v>
      </c>
      <c r="W21" s="110">
        <f t="shared" si="11"/>
        <v>0.22178989519762488</v>
      </c>
      <c r="X21" s="110">
        <f t="shared" si="11"/>
        <v>0.22178989519762488</v>
      </c>
      <c r="Y21" s="110">
        <f t="shared" si="11"/>
        <v>0.22178989519762488</v>
      </c>
      <c r="Z21" s="110">
        <f t="shared" si="11"/>
        <v>0.22178989519762488</v>
      </c>
      <c r="AA21" s="110">
        <f t="shared" si="11"/>
        <v>0.22178989519762488</v>
      </c>
      <c r="AB21" s="110">
        <f t="shared" si="11"/>
        <v>0.22178989519762488</v>
      </c>
      <c r="AC21" s="110">
        <f t="shared" si="11"/>
        <v>0.22178989519762488</v>
      </c>
      <c r="AD21" s="110">
        <f t="shared" si="11"/>
        <v>0.22178989519762488</v>
      </c>
      <c r="AE21" s="110">
        <f t="shared" si="11"/>
        <v>0.22178989519762488</v>
      </c>
      <c r="AF21" s="110">
        <f t="shared" si="11"/>
        <v>0.22178989519762488</v>
      </c>
      <c r="AG21" s="110">
        <f>AF21</f>
        <v>0.22178989519762488</v>
      </c>
      <c r="AI21" s="54" t="s">
        <v>1263</v>
      </c>
      <c r="AJ21" s="211"/>
      <c r="AM21" s="115"/>
      <c r="AN21" s="115"/>
      <c r="AO21" s="115"/>
      <c r="AP21" s="115"/>
      <c r="AQ21" s="115"/>
    </row>
    <row r="22" spans="1:64" outlineLevel="1" x14ac:dyDescent="0.2">
      <c r="A22" t="s">
        <v>1464</v>
      </c>
      <c r="B22" s="54" t="s">
        <v>462</v>
      </c>
      <c r="C22" s="110">
        <f>'Overall recycling rates'!D78</f>
        <v>0.56901109754749091</v>
      </c>
      <c r="D22" s="110">
        <f t="shared" ref="D22:S25" si="12">C22</f>
        <v>0.56901109754749091</v>
      </c>
      <c r="E22" s="110">
        <f t="shared" si="12"/>
        <v>0.56901109754749091</v>
      </c>
      <c r="F22" s="110">
        <f t="shared" si="12"/>
        <v>0.56901109754749091</v>
      </c>
      <c r="G22" s="110">
        <f t="shared" si="12"/>
        <v>0.56901109754749091</v>
      </c>
      <c r="H22" s="110">
        <f t="shared" si="12"/>
        <v>0.56901109754749091</v>
      </c>
      <c r="I22" s="110">
        <f t="shared" si="12"/>
        <v>0.56901109754749091</v>
      </c>
      <c r="J22" s="110">
        <f t="shared" si="12"/>
        <v>0.56901109754749091</v>
      </c>
      <c r="K22" s="110">
        <f t="shared" si="12"/>
        <v>0.56901109754749091</v>
      </c>
      <c r="L22" s="110">
        <f t="shared" si="12"/>
        <v>0.56901109754749091</v>
      </c>
      <c r="M22" s="110">
        <f t="shared" si="12"/>
        <v>0.56901109754749091</v>
      </c>
      <c r="N22" s="110">
        <f t="shared" si="12"/>
        <v>0.56901109754749091</v>
      </c>
      <c r="O22" s="110">
        <f t="shared" si="12"/>
        <v>0.56901109754749091</v>
      </c>
      <c r="P22" s="110">
        <f t="shared" si="12"/>
        <v>0.56901109754749091</v>
      </c>
      <c r="Q22" s="110">
        <f t="shared" si="12"/>
        <v>0.56901109754749091</v>
      </c>
      <c r="R22" s="110">
        <f t="shared" si="12"/>
        <v>0.56901109754749091</v>
      </c>
      <c r="S22" s="110">
        <f t="shared" si="12"/>
        <v>0.56901109754749091</v>
      </c>
      <c r="T22" s="110">
        <f t="shared" si="11"/>
        <v>0.56901109754749091</v>
      </c>
      <c r="U22" s="110">
        <f t="shared" si="11"/>
        <v>0.56901109754749091</v>
      </c>
      <c r="V22" s="110">
        <f t="shared" si="11"/>
        <v>0.56901109754749091</v>
      </c>
      <c r="W22" s="110">
        <f t="shared" si="11"/>
        <v>0.56901109754749091</v>
      </c>
      <c r="X22" s="110">
        <f t="shared" si="11"/>
        <v>0.56901109754749091</v>
      </c>
      <c r="Y22" s="110">
        <f t="shared" si="11"/>
        <v>0.56901109754749091</v>
      </c>
      <c r="Z22" s="110">
        <f t="shared" si="11"/>
        <v>0.56901109754749091</v>
      </c>
      <c r="AA22" s="110">
        <f t="shared" si="11"/>
        <v>0.56901109754749091</v>
      </c>
      <c r="AB22" s="110">
        <f t="shared" si="11"/>
        <v>0.56901109754749091</v>
      </c>
      <c r="AC22" s="110">
        <f t="shared" si="11"/>
        <v>0.56901109754749091</v>
      </c>
      <c r="AD22" s="110">
        <f t="shared" si="11"/>
        <v>0.56901109754749091</v>
      </c>
      <c r="AE22" s="110">
        <f t="shared" si="11"/>
        <v>0.56901109754749091</v>
      </c>
      <c r="AF22" s="110">
        <f t="shared" si="11"/>
        <v>0.56901109754749091</v>
      </c>
      <c r="AG22" s="110">
        <f t="shared" si="11"/>
        <v>0.56901109754749091</v>
      </c>
      <c r="AI22" s="54" t="s">
        <v>1263</v>
      </c>
      <c r="AJ22" s="211"/>
      <c r="AM22" s="120"/>
      <c r="AN22" s="115"/>
      <c r="AO22" s="116"/>
      <c r="AP22" s="117"/>
      <c r="AQ22" s="116"/>
    </row>
    <row r="23" spans="1:64" outlineLevel="1" x14ac:dyDescent="0.2">
      <c r="A23" t="s">
        <v>1465</v>
      </c>
      <c r="B23" s="54" t="s">
        <v>462</v>
      </c>
      <c r="C23" s="110">
        <f>'Overall recycling rates'!D77</f>
        <v>0.18333362189931796</v>
      </c>
      <c r="D23" s="110">
        <f t="shared" si="12"/>
        <v>0.18333362189931796</v>
      </c>
      <c r="E23" s="110">
        <f t="shared" si="12"/>
        <v>0.18333362189931796</v>
      </c>
      <c r="F23" s="110">
        <f t="shared" si="12"/>
        <v>0.18333362189931796</v>
      </c>
      <c r="G23" s="110">
        <f t="shared" si="12"/>
        <v>0.18333362189931796</v>
      </c>
      <c r="H23" s="110">
        <f t="shared" si="12"/>
        <v>0.18333362189931796</v>
      </c>
      <c r="I23" s="110">
        <f t="shared" si="12"/>
        <v>0.18333362189931796</v>
      </c>
      <c r="J23" s="110">
        <f t="shared" si="12"/>
        <v>0.18333362189931796</v>
      </c>
      <c r="K23" s="110">
        <f t="shared" si="12"/>
        <v>0.18333362189931796</v>
      </c>
      <c r="L23" s="110">
        <f t="shared" si="12"/>
        <v>0.18333362189931796</v>
      </c>
      <c r="M23" s="110">
        <f t="shared" si="12"/>
        <v>0.18333362189931796</v>
      </c>
      <c r="N23" s="110">
        <f t="shared" si="12"/>
        <v>0.18333362189931796</v>
      </c>
      <c r="O23" s="110">
        <f t="shared" si="12"/>
        <v>0.18333362189931796</v>
      </c>
      <c r="P23" s="110">
        <f t="shared" si="12"/>
        <v>0.18333362189931796</v>
      </c>
      <c r="Q23" s="110">
        <f t="shared" si="12"/>
        <v>0.18333362189931796</v>
      </c>
      <c r="R23" s="110">
        <f t="shared" si="12"/>
        <v>0.18333362189931796</v>
      </c>
      <c r="S23" s="110">
        <f t="shared" si="12"/>
        <v>0.18333362189931796</v>
      </c>
      <c r="T23" s="110">
        <f t="shared" si="11"/>
        <v>0.18333362189931796</v>
      </c>
      <c r="U23" s="110">
        <f t="shared" si="11"/>
        <v>0.18333362189931796</v>
      </c>
      <c r="V23" s="110">
        <f t="shared" si="11"/>
        <v>0.18333362189931796</v>
      </c>
      <c r="W23" s="110">
        <f t="shared" si="11"/>
        <v>0.18333362189931796</v>
      </c>
      <c r="X23" s="110">
        <f t="shared" si="11"/>
        <v>0.18333362189931796</v>
      </c>
      <c r="Y23" s="110">
        <f t="shared" si="11"/>
        <v>0.18333362189931796</v>
      </c>
      <c r="Z23" s="110">
        <f t="shared" si="11"/>
        <v>0.18333362189931796</v>
      </c>
      <c r="AA23" s="110">
        <f t="shared" si="11"/>
        <v>0.18333362189931796</v>
      </c>
      <c r="AB23" s="110">
        <f t="shared" si="11"/>
        <v>0.18333362189931796</v>
      </c>
      <c r="AC23" s="110">
        <f t="shared" si="11"/>
        <v>0.18333362189931796</v>
      </c>
      <c r="AD23" s="110">
        <f t="shared" si="11"/>
        <v>0.18333362189931796</v>
      </c>
      <c r="AE23" s="110">
        <f t="shared" si="11"/>
        <v>0.18333362189931796</v>
      </c>
      <c r="AF23" s="110">
        <f t="shared" si="11"/>
        <v>0.18333362189931796</v>
      </c>
      <c r="AG23" s="110">
        <f t="shared" si="11"/>
        <v>0.18333362189931796</v>
      </c>
      <c r="AI23" s="54" t="s">
        <v>1263</v>
      </c>
      <c r="AJ23" s="211"/>
      <c r="AM23" s="120"/>
      <c r="AN23" s="115"/>
      <c r="AO23" s="116"/>
      <c r="AP23" s="117"/>
      <c r="AQ23" s="116"/>
    </row>
    <row r="24" spans="1:64" outlineLevel="1" x14ac:dyDescent="0.2">
      <c r="A24" t="s">
        <v>1466</v>
      </c>
      <c r="B24" s="54" t="s">
        <v>462</v>
      </c>
      <c r="C24" s="110">
        <f>'Overall recycling rates'!D79</f>
        <v>1.9541639980703622E-2</v>
      </c>
      <c r="D24" s="110">
        <f t="shared" si="12"/>
        <v>1.9541639980703622E-2</v>
      </c>
      <c r="E24" s="110">
        <f t="shared" si="12"/>
        <v>1.9541639980703622E-2</v>
      </c>
      <c r="F24" s="110">
        <f t="shared" si="12"/>
        <v>1.9541639980703622E-2</v>
      </c>
      <c r="G24" s="110">
        <f t="shared" si="12"/>
        <v>1.9541639980703622E-2</v>
      </c>
      <c r="H24" s="110">
        <f t="shared" si="12"/>
        <v>1.9541639980703622E-2</v>
      </c>
      <c r="I24" s="110">
        <f t="shared" si="12"/>
        <v>1.9541639980703622E-2</v>
      </c>
      <c r="J24" s="110">
        <f t="shared" si="12"/>
        <v>1.9541639980703622E-2</v>
      </c>
      <c r="K24" s="110">
        <f t="shared" si="12"/>
        <v>1.9541639980703622E-2</v>
      </c>
      <c r="L24" s="110">
        <f t="shared" si="12"/>
        <v>1.9541639980703622E-2</v>
      </c>
      <c r="M24" s="110">
        <f t="shared" si="12"/>
        <v>1.9541639980703622E-2</v>
      </c>
      <c r="N24" s="110">
        <f t="shared" si="12"/>
        <v>1.9541639980703622E-2</v>
      </c>
      <c r="O24" s="110">
        <f t="shared" si="12"/>
        <v>1.9541639980703622E-2</v>
      </c>
      <c r="P24" s="110">
        <f t="shared" si="12"/>
        <v>1.9541639980703622E-2</v>
      </c>
      <c r="Q24" s="110">
        <f t="shared" si="12"/>
        <v>1.9541639980703622E-2</v>
      </c>
      <c r="R24" s="110">
        <f t="shared" si="12"/>
        <v>1.9541639980703622E-2</v>
      </c>
      <c r="S24" s="110">
        <f t="shared" si="12"/>
        <v>1.9541639980703622E-2</v>
      </c>
      <c r="T24" s="110">
        <f t="shared" si="11"/>
        <v>1.9541639980703622E-2</v>
      </c>
      <c r="U24" s="110">
        <f t="shared" si="11"/>
        <v>1.9541639980703622E-2</v>
      </c>
      <c r="V24" s="110">
        <f t="shared" si="11"/>
        <v>1.9541639980703622E-2</v>
      </c>
      <c r="W24" s="110">
        <f t="shared" si="11"/>
        <v>1.9541639980703622E-2</v>
      </c>
      <c r="X24" s="110">
        <f t="shared" si="11"/>
        <v>1.9541639980703622E-2</v>
      </c>
      <c r="Y24" s="110">
        <f t="shared" si="11"/>
        <v>1.9541639980703622E-2</v>
      </c>
      <c r="Z24" s="110">
        <f t="shared" si="11"/>
        <v>1.9541639980703622E-2</v>
      </c>
      <c r="AA24" s="110">
        <f t="shared" si="11"/>
        <v>1.9541639980703622E-2</v>
      </c>
      <c r="AB24" s="110">
        <f t="shared" si="11"/>
        <v>1.9541639980703622E-2</v>
      </c>
      <c r="AC24" s="110">
        <f t="shared" si="11"/>
        <v>1.9541639980703622E-2</v>
      </c>
      <c r="AD24" s="110">
        <f t="shared" si="11"/>
        <v>1.9541639980703622E-2</v>
      </c>
      <c r="AE24" s="110">
        <f t="shared" si="11"/>
        <v>1.9541639980703622E-2</v>
      </c>
      <c r="AF24" s="110">
        <f t="shared" si="11"/>
        <v>1.9541639980703622E-2</v>
      </c>
      <c r="AG24" s="110">
        <f t="shared" si="11"/>
        <v>1.9541639980703622E-2</v>
      </c>
      <c r="AI24" s="54" t="s">
        <v>1467</v>
      </c>
      <c r="AJ24" s="211"/>
      <c r="AM24" s="120"/>
      <c r="AN24" s="115"/>
      <c r="AO24" s="116"/>
      <c r="AP24" s="117"/>
      <c r="AQ24" s="116"/>
    </row>
    <row r="25" spans="1:64" outlineLevel="1" x14ac:dyDescent="0.2">
      <c r="A25" t="s">
        <v>1468</v>
      </c>
      <c r="B25" s="54" t="s">
        <v>462</v>
      </c>
      <c r="C25" s="110">
        <f>'Overall recycling rates'!D80</f>
        <v>0.33739166064714576</v>
      </c>
      <c r="D25" s="110">
        <f>C25</f>
        <v>0.33739166064714576</v>
      </c>
      <c r="E25" s="110">
        <f t="shared" si="12"/>
        <v>0.33739166064714576</v>
      </c>
      <c r="F25" s="110">
        <f t="shared" si="12"/>
        <v>0.33739166064714576</v>
      </c>
      <c r="G25" s="110">
        <f t="shared" si="12"/>
        <v>0.33739166064714576</v>
      </c>
      <c r="H25" s="110">
        <f t="shared" si="12"/>
        <v>0.33739166064714576</v>
      </c>
      <c r="I25" s="110">
        <f t="shared" si="12"/>
        <v>0.33739166064714576</v>
      </c>
      <c r="J25" s="110">
        <f t="shared" si="12"/>
        <v>0.33739166064714576</v>
      </c>
      <c r="K25" s="110">
        <f t="shared" si="12"/>
        <v>0.33739166064714576</v>
      </c>
      <c r="L25" s="110">
        <f t="shared" si="12"/>
        <v>0.33739166064714576</v>
      </c>
      <c r="M25" s="110">
        <f t="shared" si="12"/>
        <v>0.33739166064714576</v>
      </c>
      <c r="N25" s="110">
        <f t="shared" si="12"/>
        <v>0.33739166064714576</v>
      </c>
      <c r="O25" s="110">
        <f t="shared" si="12"/>
        <v>0.33739166064714576</v>
      </c>
      <c r="P25" s="110">
        <f t="shared" si="12"/>
        <v>0.33739166064714576</v>
      </c>
      <c r="Q25" s="110">
        <f t="shared" si="12"/>
        <v>0.33739166064714576</v>
      </c>
      <c r="R25" s="110">
        <f t="shared" si="12"/>
        <v>0.33739166064714576</v>
      </c>
      <c r="S25" s="110">
        <f t="shared" si="12"/>
        <v>0.33739166064714576</v>
      </c>
      <c r="T25" s="110">
        <f t="shared" si="11"/>
        <v>0.33739166064714576</v>
      </c>
      <c r="U25" s="110">
        <f t="shared" si="11"/>
        <v>0.33739166064714576</v>
      </c>
      <c r="V25" s="110">
        <f t="shared" si="11"/>
        <v>0.33739166064714576</v>
      </c>
      <c r="W25" s="110">
        <f t="shared" si="11"/>
        <v>0.33739166064714576</v>
      </c>
      <c r="X25" s="110">
        <f t="shared" si="11"/>
        <v>0.33739166064714576</v>
      </c>
      <c r="Y25" s="110">
        <f t="shared" si="11"/>
        <v>0.33739166064714576</v>
      </c>
      <c r="Z25" s="110">
        <f t="shared" si="11"/>
        <v>0.33739166064714576</v>
      </c>
      <c r="AA25" s="110">
        <f t="shared" si="11"/>
        <v>0.33739166064714576</v>
      </c>
      <c r="AB25" s="110">
        <f t="shared" si="11"/>
        <v>0.33739166064714576</v>
      </c>
      <c r="AC25" s="110">
        <f t="shared" si="11"/>
        <v>0.33739166064714576</v>
      </c>
      <c r="AD25" s="110">
        <f t="shared" si="11"/>
        <v>0.33739166064714576</v>
      </c>
      <c r="AE25" s="110">
        <f t="shared" si="11"/>
        <v>0.33739166064714576</v>
      </c>
      <c r="AF25" s="110">
        <f t="shared" si="11"/>
        <v>0.33739166064714576</v>
      </c>
      <c r="AG25" s="110">
        <f t="shared" si="11"/>
        <v>0.33739166064714576</v>
      </c>
      <c r="AI25" s="54" t="s">
        <v>1263</v>
      </c>
      <c r="AJ25" s="211"/>
      <c r="AM25" s="120"/>
      <c r="AN25" s="115"/>
      <c r="AO25" s="116"/>
      <c r="AP25" s="117"/>
      <c r="AQ25" s="116"/>
    </row>
    <row r="26" spans="1:64" outlineLevel="1" x14ac:dyDescent="0.2">
      <c r="AI26" s="54"/>
      <c r="AM26" s="120"/>
      <c r="AN26" s="115"/>
      <c r="AO26" s="116"/>
      <c r="AP26" s="117"/>
      <c r="AQ26" s="116"/>
      <c r="BD26" s="23"/>
      <c r="BE26" s="23"/>
      <c r="BF26" s="23"/>
      <c r="BG26" s="23"/>
      <c r="BH26" s="23"/>
      <c r="BI26" s="23"/>
      <c r="BJ26" s="23"/>
      <c r="BK26" s="23"/>
      <c r="BL26" s="23"/>
    </row>
    <row r="27" spans="1:64" outlineLevel="1" x14ac:dyDescent="0.2">
      <c r="A27" t="s">
        <v>1469</v>
      </c>
      <c r="B27" s="54" t="s">
        <v>1470</v>
      </c>
      <c r="C27" s="204">
        <f>C14*C21</f>
        <v>42.585119205697637</v>
      </c>
      <c r="D27" s="204">
        <f t="shared" ref="D27:AF27" si="13">D14*D21</f>
        <v>44.012636263047483</v>
      </c>
      <c r="E27" s="204">
        <f t="shared" si="13"/>
        <v>45.36909701335091</v>
      </c>
      <c r="F27" s="204">
        <f t="shared" si="13"/>
        <v>46.645191207078334</v>
      </c>
      <c r="G27" s="204">
        <f t="shared" si="13"/>
        <v>47.83198116362081</v>
      </c>
      <c r="H27" s="204">
        <f t="shared" si="13"/>
        <v>48.921006043844443</v>
      </c>
      <c r="I27" s="204">
        <f t="shared" si="13"/>
        <v>50.012048902373749</v>
      </c>
      <c r="J27" s="204">
        <f t="shared" si="13"/>
        <v>51.104121901012896</v>
      </c>
      <c r="K27" s="204">
        <f t="shared" si="13"/>
        <v>52.196212122325981</v>
      </c>
      <c r="L27" s="204">
        <f t="shared" si="13"/>
        <v>53.287282886908656</v>
      </c>
      <c r="M27" s="204">
        <f t="shared" si="13"/>
        <v>54.376275159687594</v>
      </c>
      <c r="N27" s="204">
        <f t="shared" si="13"/>
        <v>55.382754376308014</v>
      </c>
      <c r="O27" s="204">
        <f t="shared" si="13"/>
        <v>56.301138422088286</v>
      </c>
      <c r="P27" s="204">
        <f t="shared" si="13"/>
        <v>57.126239456611934</v>
      </c>
      <c r="Q27" s="204">
        <f t="shared" si="13"/>
        <v>57.853312130622385</v>
      </c>
      <c r="R27" s="204">
        <f t="shared" si="13"/>
        <v>58.478098540198893</v>
      </c>
      <c r="S27" s="204">
        <f t="shared" si="13"/>
        <v>59.103162210000427</v>
      </c>
      <c r="T27" s="204">
        <f t="shared" si="13"/>
        <v>59.728363877389825</v>
      </c>
      <c r="U27" s="204">
        <f t="shared" si="13"/>
        <v>60.353562607814325</v>
      </c>
      <c r="V27" s="204">
        <f t="shared" si="13"/>
        <v>60.978615839267896</v>
      </c>
      <c r="W27" s="204">
        <f t="shared" si="13"/>
        <v>61.603379428230369</v>
      </c>
      <c r="X27" s="204">
        <f t="shared" si="13"/>
        <v>62.22839309866503</v>
      </c>
      <c r="Y27" s="204">
        <f t="shared" si="13"/>
        <v>62.853531369168849</v>
      </c>
      <c r="Z27" s="204">
        <f t="shared" si="13"/>
        <v>63.478667340269851</v>
      </c>
      <c r="AA27" s="204">
        <f t="shared" si="13"/>
        <v>64.103672730685716</v>
      </c>
      <c r="AB27" s="204">
        <f t="shared" si="13"/>
        <v>64.728417914711073</v>
      </c>
      <c r="AC27" s="204">
        <f t="shared" si="13"/>
        <v>65.35338982131735</v>
      </c>
      <c r="AD27" s="204">
        <f t="shared" si="13"/>
        <v>65.978474789108787</v>
      </c>
      <c r="AE27" s="204">
        <f t="shared" si="13"/>
        <v>66.603557943280975</v>
      </c>
      <c r="AF27" s="204">
        <f t="shared" si="13"/>
        <v>67.228523225485176</v>
      </c>
      <c r="AG27" s="204">
        <f>AG14*AG21</f>
        <v>67.853253424567384</v>
      </c>
      <c r="AM27" s="120"/>
      <c r="AN27" s="115"/>
      <c r="AO27" s="115"/>
      <c r="AP27" s="115"/>
      <c r="AQ27" s="115"/>
      <c r="BD27" s="205"/>
      <c r="BE27" s="205"/>
      <c r="BF27" s="205"/>
      <c r="BG27" s="205"/>
      <c r="BH27" s="205"/>
      <c r="BI27" s="205"/>
      <c r="BJ27" s="205"/>
      <c r="BK27" s="205"/>
      <c r="BL27" s="205"/>
    </row>
    <row r="28" spans="1:64" outlineLevel="1" x14ac:dyDescent="0.2">
      <c r="A28" t="s">
        <v>1471</v>
      </c>
      <c r="B28" s="54" t="s">
        <v>1470</v>
      </c>
      <c r="C28" s="204">
        <f t="shared" ref="C28:AG31" si="14">C15*C22</f>
        <v>10.312870698085007</v>
      </c>
      <c r="D28" s="204">
        <f t="shared" si="14"/>
        <v>10.658573589290958</v>
      </c>
      <c r="E28" s="204">
        <f t="shared" si="14"/>
        <v>10.98706872059107</v>
      </c>
      <c r="F28" s="204">
        <f t="shared" si="14"/>
        <v>11.296101421777623</v>
      </c>
      <c r="G28" s="204">
        <f t="shared" si="14"/>
        <v>11.583507247941681</v>
      </c>
      <c r="H28" s="204">
        <f t="shared" si="14"/>
        <v>11.847237231236907</v>
      </c>
      <c r="I28" s="204">
        <f t="shared" si="14"/>
        <v>12.111455909872808</v>
      </c>
      <c r="J28" s="204">
        <f t="shared" si="14"/>
        <v>12.375924058322388</v>
      </c>
      <c r="K28" s="204">
        <f t="shared" si="14"/>
        <v>12.640396377600009</v>
      </c>
      <c r="L28" s="204">
        <f t="shared" si="14"/>
        <v>12.904621814266076</v>
      </c>
      <c r="M28" s="204">
        <f t="shared" si="14"/>
        <v>13.168343900991626</v>
      </c>
      <c r="N28" s="204">
        <f t="shared" si="14"/>
        <v>13.412083738167601</v>
      </c>
      <c r="O28" s="204">
        <f t="shared" si="14"/>
        <v>13.634489500837134</v>
      </c>
      <c r="P28" s="204">
        <f t="shared" si="14"/>
        <v>13.834304845741936</v>
      </c>
      <c r="Q28" s="204">
        <f t="shared" si="14"/>
        <v>14.010380588044368</v>
      </c>
      <c r="R28" s="204">
        <f t="shared" si="14"/>
        <v>14.161685587914395</v>
      </c>
      <c r="S28" s="204">
        <f t="shared" si="14"/>
        <v>14.313057732103935</v>
      </c>
      <c r="T28" s="204">
        <f t="shared" si="14"/>
        <v>14.464463295274262</v>
      </c>
      <c r="U28" s="204">
        <f t="shared" si="14"/>
        <v>14.615868147197563</v>
      </c>
      <c r="V28" s="204">
        <f t="shared" si="14"/>
        <v>14.767237763524442</v>
      </c>
      <c r="W28" s="204">
        <f t="shared" si="14"/>
        <v>14.918537236909021</v>
      </c>
      <c r="X28" s="204">
        <f t="shared" si="14"/>
        <v>15.069897272713868</v>
      </c>
      <c r="Y28" s="204">
        <f t="shared" si="14"/>
        <v>15.221287483012208</v>
      </c>
      <c r="Z28" s="204">
        <f t="shared" si="14"/>
        <v>15.372677136462416</v>
      </c>
      <c r="AA28" s="204">
        <f t="shared" si="14"/>
        <v>15.524035167088817</v>
      </c>
      <c r="AB28" s="204">
        <f t="shared" si="14"/>
        <v>15.675330183335779</v>
      </c>
      <c r="AC28" s="204">
        <f t="shared" si="14"/>
        <v>15.826680105162559</v>
      </c>
      <c r="AD28" s="204">
        <f t="shared" si="14"/>
        <v>15.978057407102508</v>
      </c>
      <c r="AE28" s="204">
        <f t="shared" si="14"/>
        <v>16.129434269836906</v>
      </c>
      <c r="AF28" s="204">
        <f t="shared" si="14"/>
        <v>16.280782587427193</v>
      </c>
      <c r="AG28" s="204">
        <f t="shared" si="14"/>
        <v>16.432073974759078</v>
      </c>
      <c r="AM28" s="206"/>
      <c r="BD28" s="205"/>
      <c r="BE28" s="205"/>
      <c r="BF28" s="205"/>
      <c r="BG28" s="205"/>
      <c r="BH28" s="205"/>
      <c r="BI28" s="205"/>
      <c r="BJ28" s="205"/>
      <c r="BK28" s="205"/>
      <c r="BL28" s="205"/>
    </row>
    <row r="29" spans="1:64" outlineLevel="1" x14ac:dyDescent="0.2">
      <c r="A29" t="s">
        <v>1472</v>
      </c>
      <c r="B29" s="54" t="s">
        <v>1470</v>
      </c>
      <c r="C29" s="204">
        <f t="shared" si="14"/>
        <v>2.6141114211437237</v>
      </c>
      <c r="D29" s="204">
        <f t="shared" si="14"/>
        <v>2.7017403561590436</v>
      </c>
      <c r="E29" s="204">
        <f t="shared" si="14"/>
        <v>2.7850074599230017</v>
      </c>
      <c r="F29" s="204">
        <f t="shared" si="14"/>
        <v>2.8633412175477018</v>
      </c>
      <c r="G29" s="204">
        <f t="shared" si="14"/>
        <v>2.9361929844973473</v>
      </c>
      <c r="H29" s="204">
        <f t="shared" si="14"/>
        <v>3.0030433874174678</v>
      </c>
      <c r="I29" s="204">
        <f t="shared" si="14"/>
        <v>3.0700176650674211</v>
      </c>
      <c r="J29" s="204">
        <f t="shared" si="14"/>
        <v>3.137055178445646</v>
      </c>
      <c r="K29" s="204">
        <f t="shared" si="14"/>
        <v>3.2040937490473684</v>
      </c>
      <c r="L29" s="204">
        <f t="shared" si="14"/>
        <v>3.2710697397260557</v>
      </c>
      <c r="M29" s="204">
        <f t="shared" si="14"/>
        <v>3.3379181410198999</v>
      </c>
      <c r="N29" s="204">
        <f t="shared" si="14"/>
        <v>3.3997014320940089</v>
      </c>
      <c r="O29" s="204">
        <f t="shared" si="14"/>
        <v>3.4560769517085976</v>
      </c>
      <c r="P29" s="204">
        <f t="shared" si="14"/>
        <v>3.5067262413707287</v>
      </c>
      <c r="Q29" s="204">
        <f t="shared" si="14"/>
        <v>3.5513580051554348</v>
      </c>
      <c r="R29" s="204">
        <f t="shared" si="14"/>
        <v>3.5897108692430097</v>
      </c>
      <c r="S29" s="204">
        <f t="shared" si="14"/>
        <v>3.6280807531049661</v>
      </c>
      <c r="T29" s="204">
        <f t="shared" si="14"/>
        <v>3.6664591080262339</v>
      </c>
      <c r="U29" s="204">
        <f t="shared" si="14"/>
        <v>3.7048372826602627</v>
      </c>
      <c r="V29" s="204">
        <f t="shared" si="14"/>
        <v>3.7432065257583771</v>
      </c>
      <c r="W29" s="204">
        <f t="shared" si="14"/>
        <v>3.7815579889897641</v>
      </c>
      <c r="X29" s="204">
        <f t="shared" si="14"/>
        <v>3.8199248036125488</v>
      </c>
      <c r="Y29" s="204">
        <f t="shared" si="14"/>
        <v>3.8582992668804459</v>
      </c>
      <c r="Z29" s="204">
        <f t="shared" si="14"/>
        <v>3.8966735889982118</v>
      </c>
      <c r="AA29" s="204">
        <f t="shared" si="14"/>
        <v>3.9350398953474</v>
      </c>
      <c r="AB29" s="204">
        <f t="shared" si="14"/>
        <v>3.9733902287814025</v>
      </c>
      <c r="AC29" s="204">
        <f t="shared" si="14"/>
        <v>4.0117544797081646</v>
      </c>
      <c r="AD29" s="204">
        <f t="shared" si="14"/>
        <v>4.050125670959174</v>
      </c>
      <c r="AE29" s="204">
        <f t="shared" si="14"/>
        <v>4.0884967508801484</v>
      </c>
      <c r="AF29" s="204">
        <f t="shared" si="14"/>
        <v>4.1268605951642749</v>
      </c>
      <c r="AG29" s="204">
        <f t="shared" si="14"/>
        <v>4.1652100087391384</v>
      </c>
      <c r="BD29" s="205"/>
      <c r="BE29" s="205"/>
      <c r="BF29" s="205"/>
      <c r="BG29" s="205"/>
      <c r="BH29" s="205"/>
      <c r="BI29" s="205"/>
      <c r="BJ29" s="205"/>
      <c r="BK29" s="205"/>
      <c r="BL29" s="205"/>
    </row>
    <row r="30" spans="1:64" outlineLevel="1" x14ac:dyDescent="0.2">
      <c r="A30" t="s">
        <v>1473</v>
      </c>
      <c r="B30" s="54" t="s">
        <v>1470</v>
      </c>
      <c r="C30" s="204">
        <f t="shared" si="14"/>
        <v>0.71420704776119814</v>
      </c>
      <c r="D30" s="204">
        <f t="shared" si="14"/>
        <v>0.73814833904264143</v>
      </c>
      <c r="E30" s="204">
        <f t="shared" si="14"/>
        <v>0.76089792495312358</v>
      </c>
      <c r="F30" s="204">
        <f t="shared" si="14"/>
        <v>0.78229966067129764</v>
      </c>
      <c r="G30" s="204">
        <f t="shared" si="14"/>
        <v>0.80220364983428749</v>
      </c>
      <c r="H30" s="204">
        <f t="shared" si="14"/>
        <v>0.82046799332211673</v>
      </c>
      <c r="I30" s="204">
        <f t="shared" si="14"/>
        <v>0.83876618089339616</v>
      </c>
      <c r="J30" s="204">
        <f t="shared" si="14"/>
        <v>0.85708164523506758</v>
      </c>
      <c r="K30" s="204">
        <f t="shared" si="14"/>
        <v>0.87539739842306241</v>
      </c>
      <c r="L30" s="204">
        <f t="shared" si="14"/>
        <v>0.89369605401463548</v>
      </c>
      <c r="M30" s="204">
        <f t="shared" si="14"/>
        <v>0.9119598506338108</v>
      </c>
      <c r="N30" s="204">
        <f t="shared" si="14"/>
        <v>0.92883979751063672</v>
      </c>
      <c r="O30" s="204">
        <f t="shared" si="14"/>
        <v>0.94424227542503369</v>
      </c>
      <c r="P30" s="204">
        <f t="shared" si="14"/>
        <v>0.95808027764185033</v>
      </c>
      <c r="Q30" s="204">
        <f t="shared" si="14"/>
        <v>0.9702742185700084</v>
      </c>
      <c r="R30" s="204">
        <f t="shared" si="14"/>
        <v>0.98075268770166812</v>
      </c>
      <c r="S30" s="204">
        <f t="shared" si="14"/>
        <v>0.99123580684277879</v>
      </c>
      <c r="T30" s="204">
        <f t="shared" si="14"/>
        <v>1.0017212403803659</v>
      </c>
      <c r="U30" s="204">
        <f t="shared" si="14"/>
        <v>1.012206624661286</v>
      </c>
      <c r="V30" s="204">
        <f t="shared" si="14"/>
        <v>1.0226895687379185</v>
      </c>
      <c r="W30" s="204">
        <f t="shared" si="14"/>
        <v>1.0331676551386224</v>
      </c>
      <c r="X30" s="204">
        <f t="shared" si="14"/>
        <v>1.0436499357262461</v>
      </c>
      <c r="Y30" s="204">
        <f t="shared" si="14"/>
        <v>1.0541343060167803</v>
      </c>
      <c r="Z30" s="204">
        <f t="shared" si="14"/>
        <v>1.0646186377433811</v>
      </c>
      <c r="AA30" s="204">
        <f t="shared" si="14"/>
        <v>1.0751007794644738</v>
      </c>
      <c r="AB30" s="204">
        <f t="shared" si="14"/>
        <v>1.0855785571907852</v>
      </c>
      <c r="AC30" s="204">
        <f t="shared" si="14"/>
        <v>1.0960601373454615</v>
      </c>
      <c r="AD30" s="204">
        <f t="shared" si="14"/>
        <v>1.1065436136811693</v>
      </c>
      <c r="AE30" s="204">
        <f t="shared" si="14"/>
        <v>1.117027059600157</v>
      </c>
      <c r="AF30" s="204">
        <f t="shared" si="14"/>
        <v>1.1275085286551172</v>
      </c>
      <c r="AG30" s="204">
        <f t="shared" si="14"/>
        <v>1.1379860550647196</v>
      </c>
      <c r="BD30" s="205"/>
      <c r="BE30" s="205"/>
      <c r="BF30" s="205"/>
      <c r="BG30" s="205"/>
      <c r="BH30" s="205"/>
      <c r="BI30" s="205"/>
      <c r="BJ30" s="205"/>
      <c r="BK30" s="205"/>
      <c r="BL30" s="205"/>
    </row>
    <row r="31" spans="1:64" outlineLevel="1" x14ac:dyDescent="0.2">
      <c r="A31" s="181" t="s">
        <v>1474</v>
      </c>
      <c r="B31" s="176" t="s">
        <v>1470</v>
      </c>
      <c r="C31" s="204">
        <f t="shared" si="14"/>
        <v>34.906310177860561</v>
      </c>
      <c r="D31" s="204">
        <f t="shared" si="14"/>
        <v>36.076422041287579</v>
      </c>
      <c r="E31" s="204">
        <f t="shared" si="14"/>
        <v>37.188290237909875</v>
      </c>
      <c r="F31" s="204">
        <f t="shared" si="14"/>
        <v>38.234283311858043</v>
      </c>
      <c r="G31" s="204">
        <f t="shared" si="14"/>
        <v>39.207075195777406</v>
      </c>
      <c r="H31" s="204">
        <f t="shared" si="14"/>
        <v>40.099730681297501</v>
      </c>
      <c r="I31" s="204">
        <f t="shared" si="14"/>
        <v>40.99404026989361</v>
      </c>
      <c r="J31" s="204">
        <f t="shared" si="14"/>
        <v>41.889194247113522</v>
      </c>
      <c r="K31" s="204">
        <f t="shared" si="14"/>
        <v>42.784362341471294</v>
      </c>
      <c r="L31" s="204">
        <f t="shared" si="14"/>
        <v>43.678694804192759</v>
      </c>
      <c r="M31" s="204">
        <f t="shared" si="14"/>
        <v>44.571323561935642</v>
      </c>
      <c r="N31" s="204">
        <f t="shared" si="14"/>
        <v>45.396317747186671</v>
      </c>
      <c r="O31" s="204">
        <f t="shared" si="14"/>
        <v>46.149101793875829</v>
      </c>
      <c r="P31" s="204">
        <f t="shared" si="14"/>
        <v>46.825423315955838</v>
      </c>
      <c r="Q31" s="204">
        <f t="shared" si="14"/>
        <v>47.421392629984659</v>
      </c>
      <c r="R31" s="204">
        <f t="shared" si="14"/>
        <v>47.933519603311801</v>
      </c>
      <c r="S31" s="204">
        <f t="shared" si="14"/>
        <v>48.445873842209522</v>
      </c>
      <c r="T31" s="204">
        <f t="shared" si="14"/>
        <v>48.958341195422662</v>
      </c>
      <c r="U31" s="204">
        <f t="shared" si="14"/>
        <v>49.470806141254776</v>
      </c>
      <c r="V31" s="204">
        <f t="shared" si="14"/>
        <v>49.98315182401322</v>
      </c>
      <c r="W31" s="204">
        <f t="shared" si="14"/>
        <v>50.495260091664598</v>
      </c>
      <c r="X31" s="204">
        <f t="shared" si="14"/>
        <v>51.007573346917297</v>
      </c>
      <c r="Y31" s="204">
        <f t="shared" si="14"/>
        <v>51.519988734763345</v>
      </c>
      <c r="Z31" s="204">
        <f t="shared" si="14"/>
        <v>52.032402237827348</v>
      </c>
      <c r="AA31" s="204">
        <f t="shared" si="14"/>
        <v>52.544708706087079</v>
      </c>
      <c r="AB31" s="204">
        <f t="shared" si="14"/>
        <v>53.056801887519249</v>
      </c>
      <c r="AC31" s="204">
        <f t="shared" si="14"/>
        <v>53.569080909660144</v>
      </c>
      <c r="AD31" s="204">
        <f t="shared" si="14"/>
        <v>54.081452606164085</v>
      </c>
      <c r="AE31" s="204">
        <f t="shared" si="14"/>
        <v>54.593822816074649</v>
      </c>
      <c r="AF31" s="204">
        <f t="shared" si="14"/>
        <v>55.106096408303912</v>
      </c>
      <c r="AG31" s="204">
        <f t="shared" si="14"/>
        <v>55.61817730682872</v>
      </c>
      <c r="AL31" s="108"/>
      <c r="AM31" s="207"/>
      <c r="AN31" s="207"/>
      <c r="AO31" s="207"/>
    </row>
    <row r="32" spans="1:64" s="1" customFormat="1" ht="16" thickBot="1" x14ac:dyDescent="0.25">
      <c r="A32" s="200" t="s">
        <v>1475</v>
      </c>
      <c r="B32" s="219" t="s">
        <v>1470</v>
      </c>
      <c r="C32" s="216">
        <f>SUM(C27:C31)</f>
        <v>91.132618550548131</v>
      </c>
      <c r="D32" s="216">
        <f t="shared" ref="D32:AG32" si="15">SUM(D27:D31)</f>
        <v>94.187520588827709</v>
      </c>
      <c r="E32" s="216">
        <f t="shared" si="15"/>
        <v>97.090361356727982</v>
      </c>
      <c r="F32" s="216">
        <f t="shared" si="15"/>
        <v>99.821216818932996</v>
      </c>
      <c r="G32" s="216">
        <f t="shared" si="15"/>
        <v>102.36096024167153</v>
      </c>
      <c r="H32" s="216">
        <f t="shared" si="15"/>
        <v>104.69148533711844</v>
      </c>
      <c r="I32" s="216">
        <f t="shared" si="15"/>
        <v>107.02632892810098</v>
      </c>
      <c r="J32" s="216">
        <f t="shared" si="15"/>
        <v>109.36337703012953</v>
      </c>
      <c r="K32" s="216">
        <f t="shared" si="15"/>
        <v>111.70046198886772</v>
      </c>
      <c r="L32" s="216">
        <f t="shared" si="15"/>
        <v>114.03536529910819</v>
      </c>
      <c r="M32" s="216">
        <f t="shared" si="15"/>
        <v>116.36582061426857</v>
      </c>
      <c r="N32" s="216">
        <f t="shared" si="15"/>
        <v>118.51969709126692</v>
      </c>
      <c r="O32" s="216">
        <f t="shared" si="15"/>
        <v>120.48504894393488</v>
      </c>
      <c r="P32" s="216">
        <f t="shared" si="15"/>
        <v>122.25077413732228</v>
      </c>
      <c r="Q32" s="216">
        <f t="shared" si="15"/>
        <v>123.80671757237687</v>
      </c>
      <c r="R32" s="216">
        <f t="shared" si="15"/>
        <v>125.14376728836976</v>
      </c>
      <c r="S32" s="216">
        <f t="shared" si="15"/>
        <v>126.48141034426163</v>
      </c>
      <c r="T32" s="216">
        <f t="shared" si="15"/>
        <v>127.81934871649334</v>
      </c>
      <c r="U32" s="216">
        <f t="shared" si="15"/>
        <v>129.15728080358821</v>
      </c>
      <c r="V32" s="216">
        <f t="shared" si="15"/>
        <v>130.49490152130187</v>
      </c>
      <c r="W32" s="216">
        <f t="shared" si="15"/>
        <v>131.83190240093236</v>
      </c>
      <c r="X32" s="216">
        <f t="shared" si="15"/>
        <v>133.16943845763501</v>
      </c>
      <c r="Y32" s="216">
        <f t="shared" si="15"/>
        <v>134.50724115984161</v>
      </c>
      <c r="Z32" s="216">
        <f t="shared" si="15"/>
        <v>135.8450389413012</v>
      </c>
      <c r="AA32" s="216">
        <f t="shared" si="15"/>
        <v>137.18255727867347</v>
      </c>
      <c r="AB32" s="216">
        <f t="shared" si="15"/>
        <v>138.51951877153829</v>
      </c>
      <c r="AC32" s="216">
        <f t="shared" si="15"/>
        <v>139.85696545319368</v>
      </c>
      <c r="AD32" s="216">
        <f t="shared" si="15"/>
        <v>141.19465408701572</v>
      </c>
      <c r="AE32" s="216">
        <f t="shared" si="15"/>
        <v>142.53233883967283</v>
      </c>
      <c r="AF32" s="216">
        <f t="shared" si="15"/>
        <v>143.86977134503567</v>
      </c>
      <c r="AG32" s="216">
        <f t="shared" si="15"/>
        <v>145.20670076995904</v>
      </c>
      <c r="AJ32" s="162"/>
      <c r="AL32" s="221"/>
      <c r="AM32" s="124"/>
      <c r="AN32" s="124"/>
      <c r="AO32" s="124"/>
    </row>
    <row r="33" spans="1:64" ht="16" outlineLevel="1" thickTop="1" x14ac:dyDescent="0.2">
      <c r="AL33" s="108"/>
      <c r="AM33" s="2"/>
      <c r="AN33" s="2"/>
      <c r="AO33" s="2"/>
    </row>
    <row r="34" spans="1:64" outlineLevel="1" x14ac:dyDescent="0.2">
      <c r="A34" t="s">
        <v>1476</v>
      </c>
      <c r="B34" s="176" t="s">
        <v>1470</v>
      </c>
      <c r="C34" s="107">
        <f>C32</f>
        <v>91.132618550548131</v>
      </c>
      <c r="D34" s="107">
        <f t="shared" ref="D34:AG34" si="16">D32</f>
        <v>94.187520588827709</v>
      </c>
      <c r="E34" s="107">
        <f t="shared" si="16"/>
        <v>97.090361356727982</v>
      </c>
      <c r="F34" s="107">
        <f t="shared" si="16"/>
        <v>99.821216818932996</v>
      </c>
      <c r="G34" s="107">
        <f t="shared" si="16"/>
        <v>102.36096024167153</v>
      </c>
      <c r="H34" s="107">
        <f t="shared" si="16"/>
        <v>104.69148533711844</v>
      </c>
      <c r="I34" s="107">
        <f t="shared" si="16"/>
        <v>107.02632892810098</v>
      </c>
      <c r="J34" s="107">
        <f t="shared" si="16"/>
        <v>109.36337703012953</v>
      </c>
      <c r="K34" s="107">
        <f t="shared" si="16"/>
        <v>111.70046198886772</v>
      </c>
      <c r="L34" s="107">
        <f t="shared" si="16"/>
        <v>114.03536529910819</v>
      </c>
      <c r="M34" s="107">
        <f t="shared" si="16"/>
        <v>116.36582061426857</v>
      </c>
      <c r="N34" s="107">
        <f t="shared" si="16"/>
        <v>118.51969709126692</v>
      </c>
      <c r="O34" s="107">
        <f t="shared" si="16"/>
        <v>120.48504894393488</v>
      </c>
      <c r="P34" s="107">
        <f t="shared" si="16"/>
        <v>122.25077413732228</v>
      </c>
      <c r="Q34" s="107">
        <f t="shared" si="16"/>
        <v>123.80671757237687</v>
      </c>
      <c r="R34" s="107">
        <f t="shared" si="16"/>
        <v>125.14376728836976</v>
      </c>
      <c r="S34" s="107">
        <f t="shared" si="16"/>
        <v>126.48141034426163</v>
      </c>
      <c r="T34" s="107">
        <f t="shared" si="16"/>
        <v>127.81934871649334</v>
      </c>
      <c r="U34" s="107">
        <f t="shared" si="16"/>
        <v>129.15728080358821</v>
      </c>
      <c r="V34" s="107">
        <f t="shared" si="16"/>
        <v>130.49490152130187</v>
      </c>
      <c r="W34" s="107">
        <f t="shared" si="16"/>
        <v>131.83190240093236</v>
      </c>
      <c r="X34" s="107">
        <f t="shared" si="16"/>
        <v>133.16943845763501</v>
      </c>
      <c r="Y34" s="107">
        <f t="shared" si="16"/>
        <v>134.50724115984161</v>
      </c>
      <c r="Z34" s="107">
        <f t="shared" si="16"/>
        <v>135.8450389413012</v>
      </c>
      <c r="AA34" s="107">
        <f t="shared" si="16"/>
        <v>137.18255727867347</v>
      </c>
      <c r="AB34" s="107">
        <f t="shared" si="16"/>
        <v>138.51951877153829</v>
      </c>
      <c r="AC34" s="107">
        <f t="shared" si="16"/>
        <v>139.85696545319368</v>
      </c>
      <c r="AD34" s="107">
        <f t="shared" si="16"/>
        <v>141.19465408701572</v>
      </c>
      <c r="AE34" s="107">
        <f t="shared" si="16"/>
        <v>142.53233883967283</v>
      </c>
      <c r="AF34" s="107">
        <f t="shared" si="16"/>
        <v>143.86977134503567</v>
      </c>
      <c r="AG34" s="107">
        <f t="shared" si="16"/>
        <v>145.20670076995904</v>
      </c>
      <c r="AL34" s="108"/>
      <c r="AM34" s="2"/>
      <c r="AN34" s="2"/>
      <c r="AO34" s="2"/>
    </row>
    <row r="35" spans="1:64" outlineLevel="1" x14ac:dyDescent="0.2">
      <c r="A35" t="s">
        <v>1477</v>
      </c>
      <c r="B35" s="176" t="s">
        <v>1470</v>
      </c>
      <c r="C35" s="107">
        <f>'Yearly Demand - Eth&amp;Prop'!N3</f>
        <v>162.69230769230768</v>
      </c>
      <c r="D35" s="107">
        <f>'Yearly Demand - Eth&amp;Prop'!O3</f>
        <v>166.71878063819926</v>
      </c>
      <c r="E35" s="107">
        <f>'Yearly Demand - Eth&amp;Prop'!P3</f>
        <v>170.84490478834238</v>
      </c>
      <c r="F35" s="107">
        <f>'Yearly Demand - Eth&amp;Prop'!Q3</f>
        <v>175.07314641101752</v>
      </c>
      <c r="G35" s="107">
        <f>'Yearly Demand - Eth&amp;Prop'!R3</f>
        <v>179.40603281219435</v>
      </c>
      <c r="H35" s="107">
        <f>'Yearly Demand - Eth&amp;Prop'!S3</f>
        <v>183.84615384615384</v>
      </c>
      <c r="I35" s="107">
        <f>'Yearly Demand - Eth&amp;Prop'!T3</f>
        <v>187.89464856761026</v>
      </c>
      <c r="J35" s="107">
        <f>'Yearly Demand - Eth&amp;Prop'!U3</f>
        <v>192.03229560020711</v>
      </c>
      <c r="K35" s="107">
        <f>'Yearly Demand - Eth&amp;Prop'!V3</f>
        <v>196.26105817599196</v>
      </c>
      <c r="L35" s="107">
        <f>'Yearly Demand - Eth&amp;Prop'!W3</f>
        <v>200.58294275954361</v>
      </c>
      <c r="M35" s="107">
        <f>'Yearly Demand - Eth&amp;Prop'!X3</f>
        <v>205</v>
      </c>
      <c r="N35" s="107">
        <f>'Yearly Demand - Eth&amp;Prop'!Y3</f>
        <v>207.44116419514421</v>
      </c>
      <c r="O35" s="107">
        <f>'Yearly Demand - Eth&amp;Prop'!Z3</f>
        <v>209.91139806164284</v>
      </c>
      <c r="P35" s="107">
        <f>'Yearly Demand - Eth&amp;Prop'!AA3</f>
        <v>212.41104776457331</v>
      </c>
      <c r="Q35" s="107">
        <f>'Yearly Demand - Eth&amp;Prop'!AB3</f>
        <v>214.94046359118767</v>
      </c>
      <c r="R35" s="107">
        <f>'Yearly Demand - Eth&amp;Prop'!AC3</f>
        <v>217.5</v>
      </c>
      <c r="S35" s="107">
        <f>'Yearly Demand - Eth&amp;Prop'!AD3</f>
        <v>219.94443410654205</v>
      </c>
      <c r="T35" s="107">
        <f>'Yearly Demand - Eth&amp;Prop'!AE3</f>
        <v>222.41634066412422</v>
      </c>
      <c r="U35" s="107">
        <f>'Yearly Demand - Eth&amp;Prop'!AF3</f>
        <v>224.91602842951116</v>
      </c>
      <c r="V35" s="107">
        <f>'Yearly Demand - Eth&amp;Prop'!AG3</f>
        <v>227.4438096295161</v>
      </c>
      <c r="W35" s="107">
        <f>'Yearly Demand - Eth&amp;Prop'!AH3</f>
        <v>230</v>
      </c>
      <c r="X35" s="107">
        <f>'Yearly Demand - Eth&amp;Prop'!AI3</f>
        <v>232.44735963345383</v>
      </c>
      <c r="Y35" s="107">
        <f>'Yearly Demand - Eth&amp;Prop'!AJ3</f>
        <v>234.92076087201835</v>
      </c>
      <c r="Z35" s="107">
        <f>'Yearly Demand - Eth&amp;Prop'!AK3</f>
        <v>237.42048081644634</v>
      </c>
      <c r="AA35" s="107">
        <f>'Yearly Demand - Eth&amp;Prop'!AL3</f>
        <v>239.9467995160349</v>
      </c>
      <c r="AB35" s="107">
        <f>'Yearly Demand - Eth&amp;Prop'!AM3</f>
        <v>242.5</v>
      </c>
      <c r="AC35" s="107">
        <f>'Yearly Demand - Eth&amp;Prop'!AN3</f>
        <v>244.9499924675749</v>
      </c>
      <c r="AD35" s="107">
        <f>'Yearly Demand - Eth&amp;Prop'!AO3</f>
        <v>247.42473736026807</v>
      </c>
      <c r="AE35" s="107">
        <f>'Yearly Demand - Eth&amp;Prop'!AP3</f>
        <v>249.9244847533582</v>
      </c>
      <c r="AF35" s="107">
        <f>'Yearly Demand - Eth&amp;Prop'!AQ3</f>
        <v>252.44948724865003</v>
      </c>
      <c r="AG35" s="107">
        <f>'Yearly Demand - Eth&amp;Prop'!AR3</f>
        <v>255</v>
      </c>
      <c r="AL35" s="108"/>
      <c r="AM35" s="2"/>
      <c r="AN35" s="2"/>
      <c r="AO35" s="2"/>
    </row>
    <row r="36" spans="1:64" outlineLevel="1" x14ac:dyDescent="0.2">
      <c r="A36" t="s">
        <v>1478</v>
      </c>
      <c r="B36" s="176" t="s">
        <v>1470</v>
      </c>
      <c r="C36" s="107">
        <f>C35-C34</f>
        <v>71.559689141759549</v>
      </c>
      <c r="D36" s="107">
        <f t="shared" ref="D36:AG36" si="17">D35-D34</f>
        <v>72.531260049371554</v>
      </c>
      <c r="E36" s="107">
        <f t="shared" si="17"/>
        <v>73.754543431614394</v>
      </c>
      <c r="F36" s="107">
        <f t="shared" si="17"/>
        <v>75.251929592084522</v>
      </c>
      <c r="G36" s="107">
        <f t="shared" si="17"/>
        <v>77.045072570522819</v>
      </c>
      <c r="H36" s="107">
        <f t="shared" si="17"/>
        <v>79.154668509035403</v>
      </c>
      <c r="I36" s="107">
        <f t="shared" si="17"/>
        <v>80.868319639509281</v>
      </c>
      <c r="J36" s="107">
        <f t="shared" si="17"/>
        <v>82.668918570077579</v>
      </c>
      <c r="K36" s="107">
        <f t="shared" si="17"/>
        <v>84.560596187124247</v>
      </c>
      <c r="L36" s="107">
        <f t="shared" si="17"/>
        <v>86.54757746043542</v>
      </c>
      <c r="M36" s="107">
        <f t="shared" si="17"/>
        <v>88.634179385731429</v>
      </c>
      <c r="N36" s="107">
        <f t="shared" si="17"/>
        <v>88.921467103877291</v>
      </c>
      <c r="O36" s="107">
        <f t="shared" si="17"/>
        <v>89.426349117707957</v>
      </c>
      <c r="P36" s="107">
        <f t="shared" si="17"/>
        <v>90.16027362725103</v>
      </c>
      <c r="Q36" s="107">
        <f t="shared" si="17"/>
        <v>91.133746018810797</v>
      </c>
      <c r="R36" s="107">
        <f t="shared" si="17"/>
        <v>92.356232711630241</v>
      </c>
      <c r="S36" s="107">
        <f t="shared" si="17"/>
        <v>93.463023762280415</v>
      </c>
      <c r="T36" s="107">
        <f t="shared" si="17"/>
        <v>94.596991947630883</v>
      </c>
      <c r="U36" s="107">
        <f t="shared" si="17"/>
        <v>95.75874762592295</v>
      </c>
      <c r="V36" s="107">
        <f t="shared" si="17"/>
        <v>96.948908108214226</v>
      </c>
      <c r="W36" s="107">
        <f t="shared" si="17"/>
        <v>98.168097599067636</v>
      </c>
      <c r="X36" s="107">
        <f t="shared" si="17"/>
        <v>99.277921175818818</v>
      </c>
      <c r="Y36" s="107">
        <f t="shared" si="17"/>
        <v>100.41351971217674</v>
      </c>
      <c r="Z36" s="107">
        <f t="shared" si="17"/>
        <v>101.57544187514515</v>
      </c>
      <c r="AA36" s="107">
        <f t="shared" si="17"/>
        <v>102.76424223736143</v>
      </c>
      <c r="AB36" s="107">
        <f t="shared" si="17"/>
        <v>103.98048122846171</v>
      </c>
      <c r="AC36" s="107">
        <f t="shared" si="17"/>
        <v>105.09302701438122</v>
      </c>
      <c r="AD36" s="107">
        <f t="shared" si="17"/>
        <v>106.23008327325235</v>
      </c>
      <c r="AE36" s="107">
        <f t="shared" si="17"/>
        <v>107.39214591368537</v>
      </c>
      <c r="AF36" s="107">
        <f t="shared" si="17"/>
        <v>108.57971590361436</v>
      </c>
      <c r="AG36" s="107">
        <f t="shared" si="17"/>
        <v>109.79329923004096</v>
      </c>
      <c r="AL36" s="108"/>
      <c r="AM36" s="2"/>
      <c r="AN36" s="2"/>
      <c r="AO36" s="2"/>
    </row>
    <row r="37" spans="1:64" outlineLevel="1" x14ac:dyDescent="0.2">
      <c r="A37" t="s">
        <v>1292</v>
      </c>
      <c r="B37" s="54" t="s">
        <v>462</v>
      </c>
      <c r="C37" s="2">
        <f>C34/C35</f>
        <v>0.56015321094899562</v>
      </c>
      <c r="D37" s="2">
        <f t="shared" ref="D37:AG37" si="18">D34/D35</f>
        <v>0.56494847328104258</v>
      </c>
      <c r="E37" s="2">
        <f t="shared" si="18"/>
        <v>0.56829532889501166</v>
      </c>
      <c r="F37" s="2">
        <f t="shared" si="18"/>
        <v>0.57016863445513055</v>
      </c>
      <c r="G37" s="2">
        <f t="shared" si="18"/>
        <v>0.57055472793841289</v>
      </c>
      <c r="H37" s="2">
        <f t="shared" si="18"/>
        <v>0.56945159388390787</v>
      </c>
      <c r="I37" s="2">
        <f t="shared" si="18"/>
        <v>0.56960818066933727</v>
      </c>
      <c r="J37" s="2">
        <f t="shared" si="18"/>
        <v>0.56950512770942252</v>
      </c>
      <c r="K37" s="2">
        <f t="shared" si="18"/>
        <v>0.56914225892282333</v>
      </c>
      <c r="L37" s="2">
        <f t="shared" si="18"/>
        <v>0.56851975412392064</v>
      </c>
      <c r="M37" s="2">
        <f t="shared" si="18"/>
        <v>0.56763814933789547</v>
      </c>
      <c r="N37" s="2">
        <f t="shared" si="18"/>
        <v>0.57134126464780621</v>
      </c>
      <c r="O37" s="2">
        <f t="shared" si="18"/>
        <v>0.57398049870809342</v>
      </c>
      <c r="P37" s="2">
        <f t="shared" si="18"/>
        <v>0.57553868042127188</v>
      </c>
      <c r="Q37" s="2">
        <f t="shared" si="18"/>
        <v>0.57600470150587701</v>
      </c>
      <c r="R37" s="2">
        <f t="shared" si="18"/>
        <v>0.57537364270514835</v>
      </c>
      <c r="S37" s="2">
        <f t="shared" si="18"/>
        <v>0.5750607459472854</v>
      </c>
      <c r="T37" s="2">
        <f t="shared" si="18"/>
        <v>0.57468506286377641</v>
      </c>
      <c r="U37" s="2">
        <f t="shared" si="18"/>
        <v>0.57424667199325985</v>
      </c>
      <c r="V37" s="2">
        <f t="shared" si="18"/>
        <v>0.57374567254156272</v>
      </c>
      <c r="W37" s="2">
        <f t="shared" si="18"/>
        <v>0.57318218435187984</v>
      </c>
      <c r="X37" s="2">
        <f t="shared" si="18"/>
        <v>0.57290148904091598</v>
      </c>
      <c r="Y37" s="2">
        <f t="shared" si="18"/>
        <v>0.57256430066272146</v>
      </c>
      <c r="Z37" s="2">
        <f t="shared" si="18"/>
        <v>0.57217068415561512</v>
      </c>
      <c r="AA37" s="2">
        <f t="shared" si="18"/>
        <v>0.57172072124056805</v>
      </c>
      <c r="AB37" s="2">
        <f t="shared" si="18"/>
        <v>0.57121451039809601</v>
      </c>
      <c r="AC37" s="2">
        <f t="shared" si="18"/>
        <v>0.57096129721950151</v>
      </c>
      <c r="AD37" s="2">
        <f t="shared" si="18"/>
        <v>0.5706569827794794</v>
      </c>
      <c r="AE37" s="2">
        <f t="shared" si="18"/>
        <v>0.5703016212290406</v>
      </c>
      <c r="AF37" s="2">
        <f t="shared" si="18"/>
        <v>0.56989528048964189</v>
      </c>
      <c r="AG37" s="2">
        <f t="shared" si="18"/>
        <v>0.5694380422351335</v>
      </c>
      <c r="AI37" s="208"/>
      <c r="AL37" s="108"/>
      <c r="AM37" s="2"/>
      <c r="AN37" s="2"/>
      <c r="AO37" s="2"/>
    </row>
    <row r="38" spans="1:64" outlineLevel="1" x14ac:dyDescent="0.2">
      <c r="AL38" s="108"/>
      <c r="AM38" s="2"/>
      <c r="AN38" s="2"/>
      <c r="AO38" s="2"/>
    </row>
    <row r="39" spans="1:64" outlineLevel="1" x14ac:dyDescent="0.2">
      <c r="A39" t="s">
        <v>1479</v>
      </c>
      <c r="B39" s="54" t="s">
        <v>462</v>
      </c>
      <c r="C39" s="23">
        <f>'Yearly LC Propylene'!D21/'Yearly LC Propylene'!D14</f>
        <v>1</v>
      </c>
      <c r="D39" s="23">
        <f>'Yearly LC Propylene'!E21/'Yearly LC Propylene'!E14</f>
        <v>0.99596490999999998</v>
      </c>
      <c r="E39" s="23">
        <f>'Yearly LC Propylene'!F21/'Yearly LC Propylene'!F14</f>
        <v>0.99192981999999996</v>
      </c>
      <c r="F39" s="23">
        <f>'Yearly LC Propylene'!G21/'Yearly LC Propylene'!G14</f>
        <v>0.98789472999999994</v>
      </c>
      <c r="G39" s="23">
        <f>'Yearly LC Propylene'!H21/'Yearly LC Propylene'!H14</f>
        <v>0.98385963999999992</v>
      </c>
      <c r="H39" s="23">
        <f>'Yearly LC Propylene'!I21/'Yearly LC Propylene'!I14</f>
        <v>0.97982455000000013</v>
      </c>
      <c r="I39" s="23">
        <f>'Yearly LC Propylene'!J21/'Yearly LC Propylene'!J14</f>
        <v>0.97578945999999989</v>
      </c>
      <c r="J39" s="23">
        <f>'Yearly LC Propylene'!K21/'Yearly LC Propylene'!K14</f>
        <v>0.97175437000000009</v>
      </c>
      <c r="K39" s="23">
        <f>'Yearly LC Propylene'!L21/'Yearly LC Propylene'!L14</f>
        <v>0.96771928000000007</v>
      </c>
      <c r="L39" s="23">
        <f>'Yearly LC Propylene'!M21/'Yearly LC Propylene'!M14</f>
        <v>0.96368419000000005</v>
      </c>
      <c r="M39" s="23">
        <f>'Yearly LC Propylene'!N21/'Yearly LC Propylene'!N14</f>
        <v>0.95964910000000003</v>
      </c>
      <c r="N39" s="23">
        <f>'Yearly LC Propylene'!O21/'Yearly LC Propylene'!O14</f>
        <v>0.95313075999999997</v>
      </c>
      <c r="O39" s="23">
        <f>'Yearly LC Propylene'!P21/'Yearly LC Propylene'!P14</f>
        <v>0.94709401999999998</v>
      </c>
      <c r="P39" s="23">
        <f>'Yearly LC Propylene'!Q21/'Yearly LC Propylene'!Q14</f>
        <v>0.94035895999999997</v>
      </c>
      <c r="Q39" s="23">
        <f>'Yearly LC Propylene'!R21/'Yearly LC Propylene'!R14</f>
        <v>0.93362390000000006</v>
      </c>
      <c r="R39" s="23">
        <f>'Yearly LC Propylene'!S21/'Yearly LC Propylene'!S14</f>
        <v>0.92688884000000005</v>
      </c>
      <c r="S39" s="23">
        <f>'Yearly LC Propylene'!T21/'Yearly LC Propylene'!T14</f>
        <v>0.92015378000000014</v>
      </c>
      <c r="T39" s="23">
        <f>'Yearly LC Propylene'!U21/'Yearly LC Propylene'!U14</f>
        <v>0.91341872000000002</v>
      </c>
      <c r="U39" s="23">
        <f>'Yearly LC Propylene'!V21/'Yearly LC Propylene'!V14</f>
        <v>0.90668366</v>
      </c>
      <c r="V39" s="23">
        <f>'Yearly LC Propylene'!W21/'Yearly LC Propylene'!W14</f>
        <v>0.89994859999999999</v>
      </c>
      <c r="W39" s="23">
        <f>'Yearly LC Propylene'!X21/'Yearly LC Propylene'!X14</f>
        <v>0.89321353999999997</v>
      </c>
      <c r="X39" s="23">
        <f>'Yearly LC Propylene'!Y21/'Yearly LC Propylene'!Y14</f>
        <v>0.88238548999999999</v>
      </c>
      <c r="Y39" s="23">
        <f>'Yearly LC Propylene'!Z21/'Yearly LC Propylene'!Z14</f>
        <v>0.87577488000000003</v>
      </c>
      <c r="Z39" s="23">
        <f>'Yearly LC Propylene'!AA21/'Yearly LC Propylene'!AA14</f>
        <v>0.86916426999999996</v>
      </c>
      <c r="AA39" s="23">
        <f>'Yearly LC Propylene'!AB21/'Yearly LC Propylene'!AB14</f>
        <v>0.86255365999999989</v>
      </c>
      <c r="AB39" s="23">
        <f>'Yearly LC Propylene'!AC21/'Yearly LC Propylene'!AC14</f>
        <v>0.85594305000000004</v>
      </c>
      <c r="AC39" s="23">
        <f>'Yearly LC Propylene'!AD21/'Yearly LC Propylene'!AD14</f>
        <v>0.84933243999999997</v>
      </c>
      <c r="AD39" s="23">
        <f>'Yearly LC Propylene'!AE21/'Yearly LC Propylene'!AE14</f>
        <v>0.84272182999999989</v>
      </c>
      <c r="AE39" s="23">
        <f>'Yearly LC Propylene'!AF21/'Yearly LC Propylene'!AF14</f>
        <v>0.83611122000000004</v>
      </c>
      <c r="AF39" s="23">
        <f>'Yearly LC Propylene'!AG21/'Yearly LC Propylene'!AG14</f>
        <v>0.82950060999999997</v>
      </c>
      <c r="AG39" s="23">
        <f>'Yearly LC Propylene'!AH21/'Yearly LC Propylene'!AH14</f>
        <v>0.82289000000000001</v>
      </c>
      <c r="AL39" s="108"/>
      <c r="AM39" s="2"/>
      <c r="AN39" s="2"/>
      <c r="AO39" s="2"/>
      <c r="BC39" s="1"/>
      <c r="BD39" s="122"/>
      <c r="BE39" s="122"/>
      <c r="BF39" s="122"/>
      <c r="BG39" s="122"/>
      <c r="BH39" s="122"/>
      <c r="BI39" s="122"/>
      <c r="BJ39" s="122"/>
      <c r="BK39" s="122"/>
    </row>
    <row r="40" spans="1:64" outlineLevel="1" x14ac:dyDescent="0.2">
      <c r="A40" t="s">
        <v>1480</v>
      </c>
      <c r="B40" s="54" t="s">
        <v>462</v>
      </c>
      <c r="C40" s="23">
        <f>'Yearly LC Propylene'!D13/'Yearly LC Propylene'!D6</f>
        <v>1</v>
      </c>
      <c r="D40" s="23">
        <f>'Yearly LC Propylene'!E13/'Yearly LC Propylene'!E6</f>
        <v>0.99829903423249999</v>
      </c>
      <c r="E40" s="23">
        <f>'Yearly LC Propylene'!F13/'Yearly LC Propylene'!F6</f>
        <v>0.99659614386000006</v>
      </c>
      <c r="F40" s="23">
        <f>'Yearly LC Propylene'!G13/'Yearly LC Propylene'!G6</f>
        <v>0.99489133927750006</v>
      </c>
      <c r="G40" s="23">
        <f>'Yearly LC Propylene'!H13/'Yearly LC Propylene'!H6</f>
        <v>0.99318463088000009</v>
      </c>
      <c r="H40" s="23">
        <f>'Yearly LC Propylene'!I13/'Yearly LC Propylene'!I6</f>
        <v>0.99147602906249988</v>
      </c>
      <c r="I40" s="23">
        <f>'Yearly LC Propylene'!J13/'Yearly LC Propylene'!J6</f>
        <v>0.98976554421999985</v>
      </c>
      <c r="J40" s="23">
        <f>'Yearly LC Propylene'!K13/'Yearly LC Propylene'!K6</f>
        <v>0.98805318674750009</v>
      </c>
      <c r="K40" s="23">
        <f>'Yearly LC Propylene'!L13/'Yearly LC Propylene'!L6</f>
        <v>0.98633896704000001</v>
      </c>
      <c r="L40" s="23">
        <f>'Yearly LC Propylene'!M13/'Yearly LC Propylene'!M6</f>
        <v>0.98462289549250004</v>
      </c>
      <c r="M40" s="23">
        <f>'Yearly LC Propylene'!N13/'Yearly LC Propylene'!N6</f>
        <v>0.98290498250000002</v>
      </c>
      <c r="N40" s="23">
        <f>'Yearly LC Propylene'!O13/'Yearly LC Propylene'!O6</f>
        <v>0.97870549159499998</v>
      </c>
      <c r="O40" s="23">
        <f>'Yearly LC Propylene'!P13/'Yearly LC Propylene'!P6</f>
        <v>0.97447390335999995</v>
      </c>
      <c r="P40" s="23">
        <f>'Yearly LC Propylene'!Q13/'Yearly LC Propylene'!Q6</f>
        <v>0.97021059201500004</v>
      </c>
      <c r="Q40" s="23">
        <f>'Yearly LC Propylene'!R13/'Yearly LC Propylene'!R6</f>
        <v>0.96591593178000001</v>
      </c>
      <c r="R40" s="23">
        <f>'Yearly LC Propylene'!S13/'Yearly LC Propylene'!S6</f>
        <v>0.96159029687499997</v>
      </c>
      <c r="S40" s="23">
        <f>'Yearly LC Propylene'!T13/'Yearly LC Propylene'!T6</f>
        <v>0.95723406152000001</v>
      </c>
      <c r="T40" s="23">
        <f>'Yearly LC Propylene'!U13/'Yearly LC Propylene'!U6</f>
        <v>0.95284759993500012</v>
      </c>
      <c r="U40" s="23">
        <f>'Yearly LC Propylene'!V13/'Yearly LC Propylene'!V6</f>
        <v>0.94843128633999996</v>
      </c>
      <c r="V40" s="23">
        <f>'Yearly LC Propylene'!W13/'Yearly LC Propylene'!W6</f>
        <v>0.94398549495499995</v>
      </c>
      <c r="W40" s="23">
        <f>'Yearly LC Propylene'!X13/'Yearly LC Propylene'!X6</f>
        <v>0.93951059999999997</v>
      </c>
      <c r="X40" s="23">
        <f>'Yearly LC Propylene'!Y13/'Yearly LC Propylene'!Y6</f>
        <v>0.9278365983500001</v>
      </c>
      <c r="Y40" s="23">
        <f>'Yearly LC Propylene'!Z13/'Yearly LC Propylene'!Z6</f>
        <v>0.91614176079999998</v>
      </c>
      <c r="Z40" s="23">
        <f>'Yearly LC Propylene'!AA13/'Yearly LC Propylene'!AA6</f>
        <v>0.90442795845000001</v>
      </c>
      <c r="AA40" s="23">
        <f>'Yearly LC Propylene'!AB13/'Yearly LC Propylene'!AB6</f>
        <v>0.89269706239999991</v>
      </c>
      <c r="AB40" s="23">
        <f>'Yearly LC Propylene'!AC13/'Yearly LC Propylene'!AC6</f>
        <v>0.88095094375000016</v>
      </c>
      <c r="AC40" s="23">
        <f>'Yearly LC Propylene'!AD13/'Yearly LC Propylene'!AD6</f>
        <v>0.86919147359999993</v>
      </c>
      <c r="AD40" s="23">
        <f>'Yearly LC Propylene'!AE13/'Yearly LC Propylene'!AE6</f>
        <v>0.85742052305000005</v>
      </c>
      <c r="AE40" s="23">
        <f>'Yearly LC Propylene'!AF13/'Yearly LC Propylene'!AF6</f>
        <v>0.84563996320000001</v>
      </c>
      <c r="AF40" s="23">
        <f>'Yearly LC Propylene'!AG13/'Yearly LC Propylene'!AG6</f>
        <v>0.83385166515000009</v>
      </c>
      <c r="AG40" s="23">
        <f>'Yearly LC Propylene'!AH13/'Yearly LC Propylene'!AH6</f>
        <v>0.82205750000000011</v>
      </c>
      <c r="AL40" s="108"/>
      <c r="AM40" s="2"/>
      <c r="AN40" s="2"/>
      <c r="AO40" s="2"/>
      <c r="BL40" s="1"/>
    </row>
    <row r="41" spans="1:64" outlineLevel="1" x14ac:dyDescent="0.2">
      <c r="A41" t="s">
        <v>1481</v>
      </c>
      <c r="B41" s="54" t="s">
        <v>462</v>
      </c>
      <c r="C41" s="23">
        <f>'Yearly LC Propylene'!D25/'Yearly LC Propylene'!D22</f>
        <v>1</v>
      </c>
      <c r="D41" s="23">
        <f>'Yearly LC Propylene'!E25/'Yearly LC Propylene'!E22</f>
        <v>0.99274000000000007</v>
      </c>
      <c r="E41" s="23">
        <f>'Yearly LC Propylene'!F25/'Yearly LC Propylene'!F22</f>
        <v>0.98547999999999991</v>
      </c>
      <c r="F41" s="23">
        <f>'Yearly LC Propylene'!G25/'Yearly LC Propylene'!G22</f>
        <v>0.97821999999999998</v>
      </c>
      <c r="G41" s="23">
        <f>'Yearly LC Propylene'!H25/'Yearly LC Propylene'!H22</f>
        <v>0.97096000000000005</v>
      </c>
      <c r="H41" s="23">
        <f>'Yearly LC Propylene'!I25/'Yearly LC Propylene'!I22</f>
        <v>0.9637</v>
      </c>
      <c r="I41" s="23">
        <f>'Yearly LC Propylene'!J25/'Yearly LC Propylene'!J22</f>
        <v>0.95643999999999996</v>
      </c>
      <c r="J41" s="23">
        <f>'Yearly LC Propylene'!K25/'Yearly LC Propylene'!K22</f>
        <v>0.94918000000000002</v>
      </c>
      <c r="K41" s="23">
        <f>'Yearly LC Propylene'!L25/'Yearly LC Propylene'!L22</f>
        <v>0.94191999999999998</v>
      </c>
      <c r="L41" s="23">
        <f>'Yearly LC Propylene'!M25/'Yearly LC Propylene'!M22</f>
        <v>0.93466000000000005</v>
      </c>
      <c r="M41" s="23">
        <f>'Yearly LC Propylene'!N25/'Yearly LC Propylene'!N22</f>
        <v>0.9274</v>
      </c>
      <c r="N41" s="23">
        <f>'Yearly LC Propylene'!O25/'Yearly LC Propylene'!O22</f>
        <v>0.92014000000000007</v>
      </c>
      <c r="O41" s="23">
        <f>'Yearly LC Propylene'!P25/'Yearly LC Propylene'!P22</f>
        <v>0.91288000000000002</v>
      </c>
      <c r="P41" s="23">
        <f>'Yearly LC Propylene'!Q25/'Yearly LC Propylene'!Q22</f>
        <v>0.90561999999999998</v>
      </c>
      <c r="Q41" s="23">
        <f>'Yearly LC Propylene'!R25/'Yearly LC Propylene'!R22</f>
        <v>0.89835999999999994</v>
      </c>
      <c r="R41" s="23">
        <f>'Yearly LC Propylene'!S25/'Yearly LC Propylene'!S22</f>
        <v>0.89110000000000011</v>
      </c>
      <c r="S41" s="23">
        <f>'Yearly LC Propylene'!T25/'Yearly LC Propylene'!T22</f>
        <v>0.88383999999999996</v>
      </c>
      <c r="T41" s="23">
        <f>'Yearly LC Propylene'!U25/'Yearly LC Propylene'!U22</f>
        <v>0.87658000000000003</v>
      </c>
      <c r="U41" s="23">
        <f>'Yearly LC Propylene'!V25/'Yearly LC Propylene'!V22</f>
        <v>0.86931999999999998</v>
      </c>
      <c r="V41" s="23">
        <f>'Yearly LC Propylene'!W25/'Yearly LC Propylene'!W22</f>
        <v>0.86206000000000005</v>
      </c>
      <c r="W41" s="23">
        <f>'Yearly LC Propylene'!X25/'Yearly LC Propylene'!X22</f>
        <v>0.8548</v>
      </c>
      <c r="X41" s="23">
        <f>'Yearly LC Propylene'!Y25/'Yearly LC Propylene'!Y22</f>
        <v>0.84731999999999996</v>
      </c>
      <c r="Y41" s="23">
        <f>'Yearly LC Propylene'!Z25/'Yearly LC Propylene'!Z22</f>
        <v>0.83983999999999992</v>
      </c>
      <c r="Z41" s="23">
        <f>'Yearly LC Propylene'!AA25/'Yearly LC Propylene'!AA22</f>
        <v>0.8323600000000001</v>
      </c>
      <c r="AA41" s="23">
        <f>'Yearly LC Propylene'!AB25/'Yearly LC Propylene'!AB22</f>
        <v>0.82487999999999995</v>
      </c>
      <c r="AB41" s="23">
        <f>'Yearly LC Propylene'!AC25/'Yearly LC Propylene'!AC22</f>
        <v>0.81740000000000002</v>
      </c>
      <c r="AC41" s="23">
        <f>'Yearly LC Propylene'!AD25/'Yearly LC Propylene'!AD22</f>
        <v>0.80991999999999997</v>
      </c>
      <c r="AD41" s="23">
        <f>'Yearly LC Propylene'!AE25/'Yearly LC Propylene'!AE22</f>
        <v>0.80243999999999993</v>
      </c>
      <c r="AE41" s="23">
        <f>'Yearly LC Propylene'!AF25/'Yearly LC Propylene'!AF22</f>
        <v>0.79496</v>
      </c>
      <c r="AF41" s="23">
        <f>'Yearly LC Propylene'!AG25/'Yearly LC Propylene'!AG22</f>
        <v>0.78747999999999996</v>
      </c>
      <c r="AG41" s="23">
        <f>'Yearly LC Propylene'!AH25/'Yearly LC Propylene'!AH22</f>
        <v>0.77999999999999992</v>
      </c>
      <c r="AL41" s="108"/>
      <c r="AM41" s="2"/>
      <c r="AN41" s="2"/>
      <c r="AO41" s="2"/>
      <c r="BD41" s="41"/>
      <c r="BE41" s="41"/>
      <c r="BF41" s="41"/>
      <c r="BG41" s="41"/>
      <c r="BH41" s="41"/>
      <c r="BI41" s="41"/>
      <c r="BJ41" s="41"/>
      <c r="BK41" s="41"/>
      <c r="BL41" s="118"/>
    </row>
    <row r="42" spans="1:64" outlineLevel="1" x14ac:dyDescent="0.2">
      <c r="A42" t="s">
        <v>1482</v>
      </c>
      <c r="B42" s="54" t="s">
        <v>462</v>
      </c>
      <c r="C42" s="23" t="s">
        <v>1483</v>
      </c>
      <c r="D42" s="23" t="s">
        <v>1483</v>
      </c>
      <c r="E42" s="23" t="s">
        <v>1483</v>
      </c>
      <c r="F42" s="23" t="s">
        <v>1483</v>
      </c>
      <c r="G42" s="23" t="s">
        <v>1483</v>
      </c>
      <c r="H42" s="23" t="s">
        <v>1483</v>
      </c>
      <c r="I42" s="23" t="s">
        <v>1483</v>
      </c>
      <c r="J42" s="23" t="s">
        <v>1483</v>
      </c>
      <c r="K42" s="23" t="s">
        <v>1483</v>
      </c>
      <c r="L42" s="23" t="s">
        <v>1483</v>
      </c>
      <c r="M42" s="23" t="s">
        <v>1483</v>
      </c>
      <c r="N42" s="23" t="s">
        <v>1483</v>
      </c>
      <c r="O42" s="23" t="s">
        <v>1483</v>
      </c>
      <c r="P42" s="23" t="s">
        <v>1483</v>
      </c>
      <c r="Q42" s="23" t="s">
        <v>1483</v>
      </c>
      <c r="R42" s="23" t="s">
        <v>1483</v>
      </c>
      <c r="S42" s="23" t="s">
        <v>1483</v>
      </c>
      <c r="T42" s="23" t="s">
        <v>1483</v>
      </c>
      <c r="U42" s="23" t="s">
        <v>1483</v>
      </c>
      <c r="V42" s="23" t="s">
        <v>1483</v>
      </c>
      <c r="W42" s="23" t="s">
        <v>1483</v>
      </c>
      <c r="X42" s="23" t="s">
        <v>1483</v>
      </c>
      <c r="Y42" s="23" t="s">
        <v>1483</v>
      </c>
      <c r="Z42" s="23" t="s">
        <v>1483</v>
      </c>
      <c r="AA42" s="23" t="s">
        <v>1483</v>
      </c>
      <c r="AB42" s="23" t="s">
        <v>1483</v>
      </c>
      <c r="AC42" s="23" t="s">
        <v>1483</v>
      </c>
      <c r="AD42" s="23" t="s">
        <v>1483</v>
      </c>
      <c r="AE42" s="23" t="s">
        <v>1483</v>
      </c>
      <c r="AF42" s="23" t="s">
        <v>1483</v>
      </c>
      <c r="AG42" s="23" t="s">
        <v>1483</v>
      </c>
      <c r="AL42" s="108"/>
      <c r="AM42" s="2"/>
      <c r="AN42" s="2"/>
      <c r="AO42" s="2"/>
      <c r="BD42" s="41"/>
      <c r="BE42" s="41"/>
      <c r="BF42" s="41"/>
      <c r="BG42" s="41"/>
      <c r="BH42" s="41"/>
      <c r="BI42" s="41"/>
      <c r="BJ42" s="41"/>
      <c r="BK42" s="41"/>
      <c r="BL42" s="118"/>
    </row>
    <row r="43" spans="1:64" outlineLevel="1" x14ac:dyDescent="0.2">
      <c r="A43" t="s">
        <v>1484</v>
      </c>
      <c r="B43" s="176" t="s">
        <v>462</v>
      </c>
      <c r="C43" s="110">
        <f>'Yearly LC Propylene'!D35/'Yearly LC Propylene'!D32</f>
        <v>1</v>
      </c>
      <c r="D43" s="110">
        <f>'Yearly LC Propylene'!E35/'Yearly LC Propylene'!E32</f>
        <v>0.99669999999999992</v>
      </c>
      <c r="E43" s="110">
        <f>'Yearly LC Propylene'!F35/'Yearly LC Propylene'!F32</f>
        <v>0.99340000000000006</v>
      </c>
      <c r="F43" s="110">
        <f>'Yearly LC Propylene'!G35/'Yearly LC Propylene'!G32</f>
        <v>0.99009999999999998</v>
      </c>
      <c r="G43" s="110">
        <f>'Yearly LC Propylene'!H35/'Yearly LC Propylene'!H32</f>
        <v>0.9867999999999999</v>
      </c>
      <c r="H43" s="110">
        <f>'Yearly LC Propylene'!I35/'Yearly LC Propylene'!I32</f>
        <v>0.98349999999999993</v>
      </c>
      <c r="I43" s="110">
        <f>'Yearly LC Propylene'!J35/'Yearly LC Propylene'!J32</f>
        <v>0.98019999999999996</v>
      </c>
      <c r="J43" s="110">
        <f>'Yearly LC Propylene'!K35/'Yearly LC Propylene'!K32</f>
        <v>0.97689999999999999</v>
      </c>
      <c r="K43" s="110">
        <f>'Yearly LC Propylene'!L35/'Yearly LC Propylene'!L32</f>
        <v>0.97360000000000002</v>
      </c>
      <c r="L43" s="110">
        <f>'Yearly LC Propylene'!M35/'Yearly LC Propylene'!M32</f>
        <v>0.97030000000000005</v>
      </c>
      <c r="M43" s="110">
        <f>'Yearly LC Propylene'!N35/'Yearly LC Propylene'!N32</f>
        <v>0.96699999999999997</v>
      </c>
      <c r="N43" s="110">
        <f>'Yearly LC Propylene'!O35/'Yearly LC Propylene'!O32</f>
        <v>0.9637</v>
      </c>
      <c r="O43" s="110">
        <f>'Yearly LC Propylene'!P35/'Yearly LC Propylene'!P32</f>
        <v>0.96039999999999992</v>
      </c>
      <c r="P43" s="110">
        <f>'Yearly LC Propylene'!Q35/'Yearly LC Propylene'!Q32</f>
        <v>0.95709999999999995</v>
      </c>
      <c r="Q43" s="110">
        <f>'Yearly LC Propylene'!R35/'Yearly LC Propylene'!R32</f>
        <v>0.95379999999999987</v>
      </c>
      <c r="R43" s="110">
        <f>'Yearly LC Propylene'!S35/'Yearly LC Propylene'!S32</f>
        <v>0.9504999999999999</v>
      </c>
      <c r="S43" s="110">
        <f>'Yearly LC Propylene'!T35/'Yearly LC Propylene'!T32</f>
        <v>0.94720000000000004</v>
      </c>
      <c r="T43" s="110">
        <f>'Yearly LC Propylene'!U35/'Yearly LC Propylene'!U32</f>
        <v>0.94389999999999985</v>
      </c>
      <c r="U43" s="110">
        <f>'Yearly LC Propylene'!V35/'Yearly LC Propylene'!V32</f>
        <v>0.94059999999999999</v>
      </c>
      <c r="V43" s="110">
        <f>'Yearly LC Propylene'!W35/'Yearly LC Propylene'!W32</f>
        <v>0.93730000000000013</v>
      </c>
      <c r="W43" s="110">
        <f>'Yearly LC Propylene'!X35/'Yearly LC Propylene'!X32</f>
        <v>0.93399999999999994</v>
      </c>
      <c r="X43" s="110">
        <f>'Yearly LC Propylene'!Y35/'Yearly LC Propylene'!Y32</f>
        <v>0.93060000000000009</v>
      </c>
      <c r="Y43" s="110">
        <f>'Yearly LC Propylene'!Z35/'Yearly LC Propylene'!Z32</f>
        <v>0.92719999999999991</v>
      </c>
      <c r="Z43" s="110">
        <f>'Yearly LC Propylene'!AA35/'Yearly LC Propylene'!AA32</f>
        <v>0.92379999999999995</v>
      </c>
      <c r="AA43" s="110">
        <f>'Yearly LC Propylene'!AB35/'Yearly LC Propylene'!AB32</f>
        <v>0.9204</v>
      </c>
      <c r="AB43" s="110">
        <f>'Yearly LC Propylene'!AC35/'Yearly LC Propylene'!AC32</f>
        <v>0.91699999999999993</v>
      </c>
      <c r="AC43" s="110">
        <f>'Yearly LC Propylene'!AD35/'Yearly LC Propylene'!AD32</f>
        <v>0.91360000000000008</v>
      </c>
      <c r="AD43" s="110">
        <f>'Yearly LC Propylene'!AE35/'Yearly LC Propylene'!AE32</f>
        <v>0.91020000000000001</v>
      </c>
      <c r="AE43" s="110">
        <f>'Yearly LC Propylene'!AF35/'Yearly LC Propylene'!AF32</f>
        <v>0.90679999999999994</v>
      </c>
      <c r="AF43" s="110">
        <f>'Yearly LC Propylene'!AG35/'Yearly LC Propylene'!AG32</f>
        <v>0.90340000000000009</v>
      </c>
      <c r="AG43" s="110">
        <f>'Yearly LC Propylene'!AH35/'Yearly LC Propylene'!AH32</f>
        <v>0.9</v>
      </c>
      <c r="AI43" s="131"/>
      <c r="AL43" s="108"/>
      <c r="AM43" s="2"/>
      <c r="AN43" s="2"/>
      <c r="AO43" s="2"/>
      <c r="BD43" s="41"/>
      <c r="BE43" s="41"/>
      <c r="BF43" s="41"/>
      <c r="BG43" s="41"/>
      <c r="BH43" s="41"/>
      <c r="BI43" s="41"/>
      <c r="BJ43" s="41"/>
      <c r="BK43" s="41"/>
      <c r="BL43" s="118"/>
    </row>
    <row r="44" spans="1:64" outlineLevel="1" x14ac:dyDescent="0.2">
      <c r="AI44" t="s">
        <v>1299</v>
      </c>
      <c r="BD44" s="41"/>
      <c r="BE44" s="41"/>
      <c r="BF44" s="41"/>
      <c r="BG44" s="41"/>
      <c r="BH44" s="41"/>
      <c r="BI44" s="41"/>
      <c r="BJ44" s="41"/>
      <c r="BK44" s="41"/>
      <c r="BL44" s="118"/>
    </row>
    <row r="45" spans="1:64" outlineLevel="1" x14ac:dyDescent="0.2">
      <c r="A45" t="s">
        <v>1485</v>
      </c>
      <c r="B45" s="54" t="s">
        <v>1470</v>
      </c>
      <c r="C45" s="107">
        <f>C27*C39</f>
        <v>42.585119205697637</v>
      </c>
      <c r="D45" s="107">
        <f t="shared" ref="D45:AF45" si="19">D27*D39</f>
        <v>43.835041314588821</v>
      </c>
      <c r="E45" s="107">
        <f t="shared" si="19"/>
        <v>45.002960234015703</v>
      </c>
      <c r="F45" s="107">
        <f t="shared" si="19"/>
        <v>46.080538573315025</v>
      </c>
      <c r="G45" s="107">
        <f t="shared" si="19"/>
        <v>47.059955768126748</v>
      </c>
      <c r="H45" s="107">
        <f t="shared" si="19"/>
        <v>47.934002732457166</v>
      </c>
      <c r="I45" s="107">
        <f t="shared" si="19"/>
        <v>48.801230191940867</v>
      </c>
      <c r="J45" s="107">
        <f t="shared" si="19"/>
        <v>49.660653782321994</v>
      </c>
      <c r="K45" s="107">
        <f t="shared" si="19"/>
        <v>50.511280813744577</v>
      </c>
      <c r="L45" s="107">
        <f t="shared" si="19"/>
        <v>51.352112046171435</v>
      </c>
      <c r="M45" s="107">
        <f t="shared" si="19"/>
        <v>52.182143518346557</v>
      </c>
      <c r="N45" s="107">
        <f t="shared" si="19"/>
        <v>52.787006769583783</v>
      </c>
      <c r="O45" s="107">
        <f t="shared" si="19"/>
        <v>53.322471518752053</v>
      </c>
      <c r="P45" s="107">
        <f t="shared" si="19"/>
        <v>53.719171124130561</v>
      </c>
      <c r="Q45" s="107">
        <f t="shared" si="19"/>
        <v>54.013234899308983</v>
      </c>
      <c r="R45" s="107">
        <f t="shared" si="19"/>
        <v>54.202696921330649</v>
      </c>
      <c r="S45" s="107">
        <f t="shared" si="19"/>
        <v>54.383998117485056</v>
      </c>
      <c r="T45" s="107">
        <f t="shared" si="19"/>
        <v>54.55700568057965</v>
      </c>
      <c r="U45" s="107">
        <f t="shared" si="19"/>
        <v>54.72158903929224</v>
      </c>
      <c r="V45" s="107">
        <f t="shared" si="19"/>
        <v>54.877619954486967</v>
      </c>
      <c r="W45" s="107">
        <f t="shared" si="19"/>
        <v>55.024972615052825</v>
      </c>
      <c r="X45" s="107">
        <f t="shared" si="19"/>
        <v>54.909431136278158</v>
      </c>
      <c r="Y45" s="107">
        <f t="shared" si="19"/>
        <v>55.045543892410087</v>
      </c>
      <c r="Z45" s="107">
        <f t="shared" si="19"/>
        <v>55.173389559378485</v>
      </c>
      <c r="AA45" s="107">
        <f t="shared" si="19"/>
        <v>55.292857533295148</v>
      </c>
      <c r="AB45" s="107">
        <f t="shared" si="19"/>
        <v>55.40383945159244</v>
      </c>
      <c r="AC45" s="107">
        <f t="shared" si="19"/>
        <v>55.506754039210627</v>
      </c>
      <c r="AD45" s="107">
        <f t="shared" si="19"/>
        <v>55.601501014886615</v>
      </c>
      <c r="AE45" s="107">
        <f t="shared" si="19"/>
        <v>55.687982088297353</v>
      </c>
      <c r="AF45" s="107">
        <f t="shared" si="19"/>
        <v>55.766101024939118</v>
      </c>
      <c r="AG45" s="107">
        <f>AG27*AG39</f>
        <v>55.835763710542253</v>
      </c>
      <c r="AI45" s="210" t="s">
        <v>1301</v>
      </c>
      <c r="AJ45" s="211" t="s">
        <v>1302</v>
      </c>
      <c r="BD45" s="41"/>
      <c r="BE45" s="41"/>
      <c r="BF45" s="41"/>
      <c r="BG45" s="41"/>
      <c r="BH45" s="41"/>
      <c r="BI45" s="41"/>
      <c r="BJ45" s="41"/>
      <c r="BK45" s="41"/>
      <c r="BL45" s="118"/>
    </row>
    <row r="46" spans="1:64" outlineLevel="1" x14ac:dyDescent="0.2">
      <c r="A46" t="s">
        <v>1486</v>
      </c>
      <c r="B46" s="54" t="s">
        <v>1470</v>
      </c>
      <c r="C46" s="107">
        <f>C28*$C$40</f>
        <v>10.312870698085007</v>
      </c>
      <c r="D46" s="107">
        <f t="shared" ref="D46:O46" si="20">D28*$C$40</f>
        <v>10.658573589290958</v>
      </c>
      <c r="E46" s="107">
        <f t="shared" si="20"/>
        <v>10.98706872059107</v>
      </c>
      <c r="F46" s="107">
        <f t="shared" si="20"/>
        <v>11.296101421777623</v>
      </c>
      <c r="G46" s="107">
        <f t="shared" si="20"/>
        <v>11.583507247941681</v>
      </c>
      <c r="H46" s="107">
        <f t="shared" si="20"/>
        <v>11.847237231236907</v>
      </c>
      <c r="I46" s="107">
        <f t="shared" si="20"/>
        <v>12.111455909872808</v>
      </c>
      <c r="J46" s="107">
        <f t="shared" si="20"/>
        <v>12.375924058322388</v>
      </c>
      <c r="K46" s="107">
        <f t="shared" si="20"/>
        <v>12.640396377600009</v>
      </c>
      <c r="L46" s="107">
        <f t="shared" si="20"/>
        <v>12.904621814266076</v>
      </c>
      <c r="M46" s="107">
        <f t="shared" si="20"/>
        <v>13.168343900991626</v>
      </c>
      <c r="N46" s="107">
        <f t="shared" si="20"/>
        <v>13.412083738167601</v>
      </c>
      <c r="O46" s="107">
        <f t="shared" si="20"/>
        <v>13.634489500837134</v>
      </c>
      <c r="P46" s="107">
        <f>D40*P28</f>
        <v>13.81077316678217</v>
      </c>
      <c r="Q46" s="107">
        <f t="shared" ref="Q46:AG46" si="21">E40*Q28</f>
        <v>13.962691268056018</v>
      </c>
      <c r="R46" s="107">
        <f t="shared" si="21"/>
        <v>14.089338340987023</v>
      </c>
      <c r="S46" s="107">
        <f t="shared" si="21"/>
        <v>14.215508960423778</v>
      </c>
      <c r="T46" s="107">
        <f t="shared" si="21"/>
        <v>14.341168630518807</v>
      </c>
      <c r="U46" s="107">
        <f t="shared" si="21"/>
        <v>14.466282690958757</v>
      </c>
      <c r="V46" s="107">
        <f t="shared" si="21"/>
        <v>14.59081633170835</v>
      </c>
      <c r="W46" s="107">
        <f t="shared" si="21"/>
        <v>14.71473460800062</v>
      </c>
      <c r="X46" s="107">
        <f t="shared" si="21"/>
        <v>14.838165887434059</v>
      </c>
      <c r="Y46" s="107">
        <f t="shared" si="21"/>
        <v>14.961079307117584</v>
      </c>
      <c r="Z46" s="107">
        <f t="shared" si="21"/>
        <v>15.045323533972665</v>
      </c>
      <c r="AA46" s="107">
        <f t="shared" si="21"/>
        <v>15.127767145170948</v>
      </c>
      <c r="AB46" s="107">
        <f t="shared" si="21"/>
        <v>15.208371377204806</v>
      </c>
      <c r="AC46" s="107">
        <f t="shared" si="21"/>
        <v>15.287242460762082</v>
      </c>
      <c r="AD46" s="107">
        <f t="shared" si="21"/>
        <v>15.364344965581493</v>
      </c>
      <c r="AE46" s="107">
        <f t="shared" si="21"/>
        <v>15.439643876135857</v>
      </c>
      <c r="AF46" s="107">
        <f t="shared" si="21"/>
        <v>15.513104613493542</v>
      </c>
      <c r="AG46" s="107">
        <f t="shared" si="21"/>
        <v>15.584693057114789</v>
      </c>
      <c r="AI46" s="210" t="s">
        <v>1304</v>
      </c>
      <c r="AJ46" s="211" t="s">
        <v>1302</v>
      </c>
      <c r="BD46" s="41"/>
      <c r="BE46" s="41"/>
      <c r="BF46" s="41"/>
      <c r="BG46" s="41"/>
      <c r="BH46" s="41"/>
      <c r="BI46" s="41"/>
      <c r="BJ46" s="41"/>
      <c r="BK46" s="41"/>
      <c r="BL46" s="118"/>
    </row>
    <row r="47" spans="1:64" outlineLevel="1" x14ac:dyDescent="0.2">
      <c r="A47" t="s">
        <v>1487</v>
      </c>
      <c r="B47" s="54" t="s">
        <v>1470</v>
      </c>
      <c r="C47" s="107">
        <f>C29</f>
        <v>2.6141114211437237</v>
      </c>
      <c r="D47" s="107">
        <f t="shared" ref="D47:AG47" si="22">D29</f>
        <v>2.7017403561590436</v>
      </c>
      <c r="E47" s="107">
        <f t="shared" si="22"/>
        <v>2.7850074599230017</v>
      </c>
      <c r="F47" s="107">
        <f t="shared" si="22"/>
        <v>2.8633412175477018</v>
      </c>
      <c r="G47" s="107">
        <f t="shared" si="22"/>
        <v>2.9361929844973473</v>
      </c>
      <c r="H47" s="107">
        <f t="shared" si="22"/>
        <v>3.0030433874174678</v>
      </c>
      <c r="I47" s="107">
        <f t="shared" si="22"/>
        <v>3.0700176650674211</v>
      </c>
      <c r="J47" s="107">
        <f t="shared" si="22"/>
        <v>3.137055178445646</v>
      </c>
      <c r="K47" s="107">
        <f t="shared" si="22"/>
        <v>3.2040937490473684</v>
      </c>
      <c r="L47" s="107">
        <f t="shared" si="22"/>
        <v>3.2710697397260557</v>
      </c>
      <c r="M47" s="107">
        <f t="shared" si="22"/>
        <v>3.3379181410198999</v>
      </c>
      <c r="N47" s="107">
        <f t="shared" si="22"/>
        <v>3.3997014320940089</v>
      </c>
      <c r="O47" s="107">
        <f t="shared" si="22"/>
        <v>3.4560769517085976</v>
      </c>
      <c r="P47" s="107">
        <f t="shared" si="22"/>
        <v>3.5067262413707287</v>
      </c>
      <c r="Q47" s="107">
        <f t="shared" si="22"/>
        <v>3.5513580051554348</v>
      </c>
      <c r="R47" s="107">
        <f t="shared" si="22"/>
        <v>3.5897108692430097</v>
      </c>
      <c r="S47" s="107">
        <f t="shared" si="22"/>
        <v>3.6280807531049661</v>
      </c>
      <c r="T47" s="107">
        <f t="shared" si="22"/>
        <v>3.6664591080262339</v>
      </c>
      <c r="U47" s="107">
        <f t="shared" si="22"/>
        <v>3.7048372826602627</v>
      </c>
      <c r="V47" s="107">
        <f t="shared" si="22"/>
        <v>3.7432065257583771</v>
      </c>
      <c r="W47" s="107">
        <f t="shared" si="22"/>
        <v>3.7815579889897641</v>
      </c>
      <c r="X47" s="107">
        <f t="shared" si="22"/>
        <v>3.8199248036125488</v>
      </c>
      <c r="Y47" s="107">
        <f t="shared" si="22"/>
        <v>3.8582992668804459</v>
      </c>
      <c r="Z47" s="107">
        <f t="shared" si="22"/>
        <v>3.8966735889982118</v>
      </c>
      <c r="AA47" s="107">
        <f t="shared" si="22"/>
        <v>3.9350398953474</v>
      </c>
      <c r="AB47" s="107">
        <f t="shared" si="22"/>
        <v>3.9733902287814025</v>
      </c>
      <c r="AC47" s="107">
        <f t="shared" si="22"/>
        <v>4.0117544797081646</v>
      </c>
      <c r="AD47" s="107">
        <f t="shared" si="22"/>
        <v>4.050125670959174</v>
      </c>
      <c r="AE47" s="107">
        <f t="shared" si="22"/>
        <v>4.0884967508801484</v>
      </c>
      <c r="AF47" s="107">
        <f t="shared" si="22"/>
        <v>4.1268605951642749</v>
      </c>
      <c r="AG47" s="107">
        <f t="shared" si="22"/>
        <v>4.1652100087391384</v>
      </c>
      <c r="AI47" s="210" t="s">
        <v>1306</v>
      </c>
      <c r="AJ47" s="211" t="s">
        <v>1302</v>
      </c>
      <c r="BD47" s="41"/>
      <c r="BE47" s="41"/>
      <c r="BF47" s="41"/>
      <c r="BG47" s="41"/>
      <c r="BH47" s="41"/>
      <c r="BI47" s="41"/>
      <c r="BJ47" s="41"/>
      <c r="BK47" s="41"/>
      <c r="BL47" s="118"/>
    </row>
    <row r="48" spans="1:64" outlineLevel="1" x14ac:dyDescent="0.2">
      <c r="A48" t="s">
        <v>1488</v>
      </c>
      <c r="B48" s="54" t="s">
        <v>1470</v>
      </c>
      <c r="C48" s="84">
        <v>0</v>
      </c>
      <c r="D48" s="84">
        <v>0</v>
      </c>
      <c r="E48" s="84">
        <v>0</v>
      </c>
      <c r="F48" s="84">
        <v>0</v>
      </c>
      <c r="G48" s="84">
        <v>0</v>
      </c>
      <c r="H48" s="84">
        <v>0</v>
      </c>
      <c r="I48" s="84">
        <v>0</v>
      </c>
      <c r="J48" s="84">
        <v>0</v>
      </c>
      <c r="K48" s="84">
        <v>0</v>
      </c>
      <c r="L48" s="84">
        <v>0</v>
      </c>
      <c r="M48" s="84">
        <v>0</v>
      </c>
      <c r="N48" s="84">
        <v>0</v>
      </c>
      <c r="O48" s="84">
        <v>0</v>
      </c>
      <c r="P48" s="84">
        <v>0</v>
      </c>
      <c r="Q48" s="84">
        <v>0</v>
      </c>
      <c r="R48" s="84">
        <v>0</v>
      </c>
      <c r="S48" s="84">
        <v>0</v>
      </c>
      <c r="T48" s="84">
        <v>0</v>
      </c>
      <c r="U48" s="84">
        <v>0</v>
      </c>
      <c r="V48" s="84">
        <v>0</v>
      </c>
      <c r="W48" s="84">
        <v>0</v>
      </c>
      <c r="X48" s="84">
        <v>0</v>
      </c>
      <c r="Y48" s="84">
        <v>0</v>
      </c>
      <c r="Z48" s="84">
        <v>0</v>
      </c>
      <c r="AA48" s="84">
        <v>0</v>
      </c>
      <c r="AB48" s="84">
        <v>0</v>
      </c>
      <c r="AC48" s="84">
        <v>0</v>
      </c>
      <c r="AD48" s="84">
        <v>0</v>
      </c>
      <c r="AE48" s="84">
        <v>0</v>
      </c>
      <c r="AF48" s="84">
        <v>0</v>
      </c>
      <c r="AG48" s="84">
        <v>0</v>
      </c>
      <c r="AI48" s="210" t="s">
        <v>1308</v>
      </c>
      <c r="AJ48" s="211" t="s">
        <v>1302</v>
      </c>
      <c r="AL48" s="5"/>
      <c r="AM48" s="109"/>
      <c r="AN48" s="109"/>
      <c r="AO48" s="109"/>
      <c r="BC48" s="1"/>
      <c r="BD48" s="118"/>
      <c r="BE48" s="118"/>
      <c r="BF48" s="118"/>
      <c r="BG48" s="118"/>
      <c r="BH48" s="118"/>
      <c r="BI48" s="118"/>
      <c r="BJ48" s="118"/>
      <c r="BK48" s="118"/>
      <c r="BL48" s="118"/>
    </row>
    <row r="49" spans="1:63" outlineLevel="1" x14ac:dyDescent="0.2">
      <c r="A49" s="181" t="s">
        <v>1489</v>
      </c>
      <c r="B49" s="176" t="s">
        <v>1470</v>
      </c>
      <c r="C49" s="107">
        <f>(C31+C30)*$C$43</f>
        <v>35.620517225621761</v>
      </c>
      <c r="D49" s="107">
        <f t="shared" ref="D49:H49" si="23">(D31+D30)*$C$43</f>
        <v>36.814570380330217</v>
      </c>
      <c r="E49" s="107">
        <f t="shared" si="23"/>
        <v>37.949188162862995</v>
      </c>
      <c r="F49" s="107">
        <f t="shared" si="23"/>
        <v>39.016582972529342</v>
      </c>
      <c r="G49" s="107">
        <f t="shared" si="23"/>
        <v>40.009278845611696</v>
      </c>
      <c r="H49" s="107">
        <f t="shared" si="23"/>
        <v>40.92019867461962</v>
      </c>
      <c r="I49" s="107">
        <f>(I31+I30)*D43</f>
        <v>41.694758189499403</v>
      </c>
      <c r="J49" s="107">
        <f t="shared" ref="J49:AG49" si="24">(J31+J30)*E43</f>
        <v>42.464150471459092</v>
      </c>
      <c r="K49" s="107">
        <f t="shared" si="24"/>
        <v>43.227528118469401</v>
      </c>
      <c r="L49" s="107">
        <f t="shared" si="24"/>
        <v>43.98403529887905</v>
      </c>
      <c r="M49" s="107">
        <f t="shared" si="24"/>
        <v>44.732809236262057</v>
      </c>
      <c r="N49" s="107">
        <f t="shared" si="24"/>
        <v>45.407919425312294</v>
      </c>
      <c r="O49" s="107">
        <f t="shared" si="24"/>
        <v>46.005487821300015</v>
      </c>
      <c r="P49" s="107">
        <f t="shared" si="24"/>
        <v>46.522019098726709</v>
      </c>
      <c r="Q49" s="107">
        <f t="shared" si="24"/>
        <v>46.954434343152599</v>
      </c>
      <c r="R49" s="107">
        <f t="shared" si="24"/>
        <v>47.300101305410024</v>
      </c>
      <c r="S49" s="107">
        <f t="shared" si="24"/>
        <v>47.642542568791704</v>
      </c>
      <c r="T49" s="107">
        <f t="shared" si="24"/>
        <v>47.981643963345221</v>
      </c>
      <c r="U49" s="107">
        <f t="shared" si="24"/>
        <v>48.317291518258266</v>
      </c>
      <c r="V49" s="107">
        <f t="shared" si="24"/>
        <v>48.649371520406028</v>
      </c>
      <c r="W49" s="107">
        <f t="shared" si="24"/>
        <v>48.97777057333645</v>
      </c>
      <c r="X49" s="107">
        <f t="shared" si="24"/>
        <v>49.302918693319967</v>
      </c>
      <c r="Y49" s="107">
        <f t="shared" si="24"/>
        <v>49.624714738192353</v>
      </c>
      <c r="Z49" s="107">
        <f t="shared" si="24"/>
        <v>49.943057835561824</v>
      </c>
      <c r="AA49" s="107">
        <f t="shared" si="24"/>
        <v>50.257847430807473</v>
      </c>
      <c r="AB49" s="107">
        <f t="shared" si="24"/>
        <v>50.568983335359171</v>
      </c>
      <c r="AC49" s="107">
        <f t="shared" si="24"/>
        <v>50.871380258343422</v>
      </c>
      <c r="AD49" s="107">
        <f t="shared" si="24"/>
        <v>51.170310095040513</v>
      </c>
      <c r="AE49" s="107">
        <f t="shared" si="24"/>
        <v>51.46568311514838</v>
      </c>
      <c r="AF49" s="107">
        <f t="shared" si="24"/>
        <v>51.757409983977091</v>
      </c>
      <c r="AG49" s="107">
        <f t="shared" si="24"/>
        <v>52.045401802856283</v>
      </c>
      <c r="AI49" s="210" t="s">
        <v>1308</v>
      </c>
      <c r="AJ49" s="211" t="s">
        <v>1302</v>
      </c>
      <c r="AL49" s="108"/>
      <c r="AM49" s="2"/>
      <c r="AN49" s="2"/>
      <c r="AO49" s="2"/>
    </row>
    <row r="50" spans="1:63" s="1" customFormat="1" ht="16" thickBot="1" x14ac:dyDescent="0.25">
      <c r="A50" s="200" t="s">
        <v>1490</v>
      </c>
      <c r="B50" s="215" t="s">
        <v>1470</v>
      </c>
      <c r="C50" s="216">
        <f>SUM(C45:C49)</f>
        <v>91.132618550548131</v>
      </c>
      <c r="D50" s="216">
        <f t="shared" ref="D50:AF50" si="25">SUM(D45:D49)</f>
        <v>94.009925640369033</v>
      </c>
      <c r="E50" s="216">
        <f t="shared" si="25"/>
        <v>96.724224577392761</v>
      </c>
      <c r="F50" s="216">
        <f t="shared" si="25"/>
        <v>99.25656418516968</v>
      </c>
      <c r="G50" s="216">
        <f t="shared" si="25"/>
        <v>101.58893484617747</v>
      </c>
      <c r="H50" s="216">
        <f t="shared" si="25"/>
        <v>103.70448202573117</v>
      </c>
      <c r="I50" s="216">
        <f t="shared" si="25"/>
        <v>105.6774619563805</v>
      </c>
      <c r="J50" s="216">
        <f t="shared" si="25"/>
        <v>107.63778349054913</v>
      </c>
      <c r="K50" s="216">
        <f t="shared" si="25"/>
        <v>109.58329905886137</v>
      </c>
      <c r="L50" s="216">
        <f t="shared" si="25"/>
        <v>111.51183889904262</v>
      </c>
      <c r="M50" s="216">
        <f t="shared" si="25"/>
        <v>113.42121479662013</v>
      </c>
      <c r="N50" s="216">
        <f t="shared" si="25"/>
        <v>115.00671136515768</v>
      </c>
      <c r="O50" s="216">
        <f t="shared" si="25"/>
        <v>116.41852579259779</v>
      </c>
      <c r="P50" s="216">
        <f t="shared" si="25"/>
        <v>117.55868963101017</v>
      </c>
      <c r="Q50" s="216">
        <f t="shared" si="25"/>
        <v>118.48171851567304</v>
      </c>
      <c r="R50" s="216">
        <f t="shared" si="25"/>
        <v>119.1818474369707</v>
      </c>
      <c r="S50" s="216">
        <f t="shared" si="25"/>
        <v>119.8701303998055</v>
      </c>
      <c r="T50" s="216">
        <f t="shared" si="25"/>
        <v>120.54627738246991</v>
      </c>
      <c r="U50" s="216">
        <f t="shared" si="25"/>
        <v>121.21000053116953</v>
      </c>
      <c r="V50" s="216">
        <f t="shared" si="25"/>
        <v>121.86101433235973</v>
      </c>
      <c r="W50" s="216">
        <f t="shared" si="25"/>
        <v>122.49903578537965</v>
      </c>
      <c r="X50" s="216">
        <f t="shared" si="25"/>
        <v>122.87044052064473</v>
      </c>
      <c r="Y50" s="216">
        <f t="shared" si="25"/>
        <v>123.48963720460047</v>
      </c>
      <c r="Z50" s="216">
        <f t="shared" si="25"/>
        <v>124.0584445179112</v>
      </c>
      <c r="AA50" s="216">
        <f t="shared" si="25"/>
        <v>124.61351200462097</v>
      </c>
      <c r="AB50" s="216">
        <f t="shared" si="25"/>
        <v>125.15458439293781</v>
      </c>
      <c r="AC50" s="216">
        <f t="shared" si="25"/>
        <v>125.67713123802429</v>
      </c>
      <c r="AD50" s="216">
        <f t="shared" si="25"/>
        <v>126.18628174646778</v>
      </c>
      <c r="AE50" s="216">
        <f t="shared" si="25"/>
        <v>126.68180583046174</v>
      </c>
      <c r="AF50" s="216">
        <f t="shared" si="25"/>
        <v>127.16347621757401</v>
      </c>
      <c r="AG50" s="216">
        <f>SUM(AG45:AG49)</f>
        <v>127.63106857925246</v>
      </c>
      <c r="AJ50" s="162"/>
      <c r="AL50" s="221"/>
      <c r="AM50" s="124"/>
      <c r="AN50" s="124"/>
      <c r="AO50" s="124"/>
    </row>
    <row r="51" spans="1:63" ht="16" thickTop="1" x14ac:dyDescent="0.2">
      <c r="B51" s="176"/>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c r="AG51" s="209"/>
      <c r="AL51" s="108"/>
      <c r="AM51" s="2"/>
      <c r="AN51" s="2"/>
      <c r="AO51" s="2"/>
    </row>
    <row r="52" spans="1:63" s="200" customFormat="1" ht="16" thickBot="1" x14ac:dyDescent="0.25">
      <c r="A52" s="200" t="s">
        <v>1311</v>
      </c>
      <c r="B52" s="215" t="s">
        <v>462</v>
      </c>
      <c r="C52" s="222">
        <f>C55</f>
        <v>0.14200000000000002</v>
      </c>
      <c r="D52" s="222">
        <f t="shared" ref="D52:AG52" si="26">D55</f>
        <v>0.14835061357733978</v>
      </c>
      <c r="E52" s="222">
        <f t="shared" si="26"/>
        <v>0.15468688097309144</v>
      </c>
      <c r="F52" s="222">
        <f t="shared" si="26"/>
        <v>0.16100862639483862</v>
      </c>
      <c r="G52" s="222">
        <f t="shared" si="26"/>
        <v>0.16731567116626517</v>
      </c>
      <c r="H52" s="222">
        <f t="shared" si="26"/>
        <v>0.17360783366777241</v>
      </c>
      <c r="I52" s="222">
        <f t="shared" si="26"/>
        <v>0.17988492927562469</v>
      </c>
      <c r="J52" s="222">
        <f t="shared" si="26"/>
        <v>0.18614677029957682</v>
      </c>
      <c r="K52" s="222">
        <f t="shared" si="26"/>
        <v>0.19239316591894287</v>
      </c>
      <c r="L52" s="222">
        <f t="shared" si="26"/>
        <v>0.19862392211705784</v>
      </c>
      <c r="M52" s="222">
        <f t="shared" si="26"/>
        <v>0.2048388416140858</v>
      </c>
      <c r="N52" s="222">
        <f t="shared" si="26"/>
        <v>0.21797630117403827</v>
      </c>
      <c r="O52" s="222">
        <f t="shared" si="26"/>
        <v>0.23107664685708812</v>
      </c>
      <c r="P52" s="222">
        <f t="shared" si="26"/>
        <v>0.24408786534027391</v>
      </c>
      <c r="Q52" s="222">
        <f t="shared" si="26"/>
        <v>0.25703693789329934</v>
      </c>
      <c r="R52" s="222">
        <f t="shared" si="26"/>
        <v>0.26992250980171473</v>
      </c>
      <c r="S52" s="222">
        <f t="shared" si="26"/>
        <v>0.28274318668777298</v>
      </c>
      <c r="T52" s="222">
        <f t="shared" si="26"/>
        <v>0.29549753304815124</v>
      </c>
      <c r="U52" s="222">
        <f t="shared" si="26"/>
        <v>0.30818407072649795</v>
      </c>
      <c r="V52" s="222">
        <f t="shared" si="26"/>
        <v>0.3208012773173935</v>
      </c>
      <c r="W52" s="222">
        <f t="shared" si="26"/>
        <v>0.33334758449810331</v>
      </c>
      <c r="X52" s="222">
        <f t="shared" si="26"/>
        <v>0.35440593067399284</v>
      </c>
      <c r="Y52" s="222">
        <f t="shared" si="26"/>
        <v>0.37566526919638626</v>
      </c>
      <c r="Z52" s="222">
        <f t="shared" si="26"/>
        <v>0.39680676906089013</v>
      </c>
      <c r="AA52" s="222">
        <f t="shared" si="26"/>
        <v>0.41782772092159437</v>
      </c>
      <c r="AB52" s="222">
        <f t="shared" si="26"/>
        <v>0.43872533173342648</v>
      </c>
      <c r="AC52" s="222">
        <f t="shared" si="26"/>
        <v>0.45949672149487253</v>
      </c>
      <c r="AD52" s="222">
        <f t="shared" si="26"/>
        <v>0.4801389198373901</v>
      </c>
      <c r="AE52" s="222">
        <f t="shared" si="26"/>
        <v>0.50064886245303009</v>
      </c>
      <c r="AF52" s="222">
        <f t="shared" si="26"/>
        <v>0.52102338735124032</v>
      </c>
      <c r="AG52" s="222">
        <f t="shared" si="26"/>
        <v>0.54125923093524497</v>
      </c>
      <c r="AJ52" s="231" t="s">
        <v>1491</v>
      </c>
      <c r="AL52" s="217"/>
      <c r="AM52" s="218"/>
      <c r="AN52" s="218"/>
      <c r="AO52" s="218"/>
    </row>
    <row r="53" spans="1:63" ht="17" outlineLevel="1" thickTop="1" x14ac:dyDescent="0.2">
      <c r="A53" t="s">
        <v>1313</v>
      </c>
      <c r="B53" s="54" t="s">
        <v>462</v>
      </c>
      <c r="C53" s="110">
        <f>'Propylene Recycling HC'!C53*'Propylene Recycling HC'!C$45/'Propylene Recycling LC'!C$45</f>
        <v>4.7E-2</v>
      </c>
      <c r="D53" s="110">
        <f>'Propylene Recycling HC'!D53*'Propylene Recycling HC'!D$45/'Propylene Recycling LC'!D$45</f>
        <v>5.0149500347356622E-2</v>
      </c>
      <c r="E53" s="110">
        <f>'Propylene Recycling HC'!E53*'Propylene Recycling HC'!E$45/'Propylene Recycling LC'!E$45</f>
        <v>5.3292125444923115E-2</v>
      </c>
      <c r="F53" s="110">
        <f>'Propylene Recycling HC'!F53*'Propylene Recycling HC'!F$45/'Propylene Recycling LC'!F$45</f>
        <v>5.6427791046116824E-2</v>
      </c>
      <c r="G53" s="110">
        <f>'Propylene Recycling HC'!G53*'Propylene Recycling HC'!G$45/'Propylene Recycling LC'!G$45</f>
        <v>5.9556411522277711E-2</v>
      </c>
      <c r="H53" s="110">
        <f>'Propylene Recycling HC'!H53*'Propylene Recycling HC'!H$45/'Propylene Recycling LC'!H$45</f>
        <v>6.2677899834210099E-2</v>
      </c>
      <c r="I53" s="110">
        <f>'Propylene Recycling HC'!I53*'Propylene Recycling HC'!I$45/'Propylene Recycling LC'!I$45</f>
        <v>6.5792167503018542E-2</v>
      </c>
      <c r="J53" s="110">
        <f>'Propylene Recycling HC'!J53*'Propylene Recycling HC'!J$45/'Propylene Recycling LC'!J$45</f>
        <v>6.88991245802167E-2</v>
      </c>
      <c r="K53" s="110">
        <f>'Propylene Recycling HC'!K53*'Propylene Recycling HC'!K$45/'Propylene Recycling LC'!K$45</f>
        <v>7.1998679617088931E-2</v>
      </c>
      <c r="L53" s="110">
        <f>'Propylene Recycling HC'!L53*'Propylene Recycling HC'!L$45/'Propylene Recycling LC'!L$45</f>
        <v>7.5090739633281722E-2</v>
      </c>
      <c r="M53" s="110">
        <f>'Propylene Recycling HC'!M53*'Propylene Recycling HC'!M$45/'Propylene Recycling LC'!M$45</f>
        <v>7.8175210084602792E-2</v>
      </c>
      <c r="N53" s="110">
        <f>'Propylene Recycling HC'!N53*'Propylene Recycling HC'!N$45/'Propylene Recycling LC'!N$45</f>
        <v>8.4049765427778242E-2</v>
      </c>
      <c r="O53" s="110">
        <f>'Propylene Recycling HC'!O53*'Propylene Recycling HC'!O$45/'Propylene Recycling LC'!O$45</f>
        <v>8.9906954749856813E-2</v>
      </c>
      <c r="P53" s="110">
        <f>'Propylene Recycling HC'!P53*'Propylene Recycling HC'!P$45/'Propylene Recycling LC'!P$45</f>
        <v>9.5726518732803925E-2</v>
      </c>
      <c r="Q53" s="110">
        <f>'Propylene Recycling HC'!Q53*'Propylene Recycling HC'!Q$45/'Propylene Recycling LC'!Q$45</f>
        <v>0.10151879059651321</v>
      </c>
      <c r="R53" s="110">
        <f>'Propylene Recycling HC'!R53*'Propylene Recycling HC'!R$45/'Propylene Recycling LC'!R$45</f>
        <v>0.10728317540213346</v>
      </c>
      <c r="S53" s="110">
        <f>'Propylene Recycling HC'!S53*'Propylene Recycling HC'!S$45/'Propylene Recycling LC'!S$45</f>
        <v>0.11301906079220801</v>
      </c>
      <c r="T53" s="110">
        <f>'Propylene Recycling HC'!T53*'Propylene Recycling HC'!T$45/'Propylene Recycling LC'!T$45</f>
        <v>0.11872581634849788</v>
      </c>
      <c r="U53" s="110">
        <f>'Propylene Recycling HC'!U53*'Propylene Recycling HC'!U$45/'Propylene Recycling LC'!U$45</f>
        <v>0.12440279292118271</v>
      </c>
      <c r="V53" s="110">
        <f>'Propylene Recycling HC'!V53*'Propylene Recycling HC'!V$45/'Propylene Recycling LC'!V$45</f>
        <v>0.13004932192794125</v>
      </c>
      <c r="W53" s="110">
        <f>'Propylene Recycling HC'!W53*'Propylene Recycling HC'!W$45/'Propylene Recycling LC'!W$45</f>
        <v>0.13566471462132115</v>
      </c>
      <c r="X53" s="110">
        <f>'Propylene Recycling HC'!X53*'Propylene Recycling HC'!X$45/'Propylene Recycling LC'!X$45</f>
        <v>0.14566559648910049</v>
      </c>
      <c r="Y53" s="110">
        <f>'Propylene Recycling HC'!Y53*'Propylene Recycling HC'!Y$45/'Propylene Recycling LC'!Y$45</f>
        <v>0.15574158058819054</v>
      </c>
      <c r="Z53" s="110">
        <f>'Propylene Recycling HC'!Z53*'Propylene Recycling HC'!Z$45/'Propylene Recycling LC'!Z$45</f>
        <v>0.16576275730865822</v>
      </c>
      <c r="AA53" s="110">
        <f>'Propylene Recycling HC'!AA53*'Propylene Recycling HC'!AA$45/'Propylene Recycling LC'!AA$45</f>
        <v>0.17572786651949263</v>
      </c>
      <c r="AB53" s="110">
        <f>'Propylene Recycling HC'!AB53*'Propylene Recycling HC'!AB$45/'Propylene Recycling LC'!AB$45</f>
        <v>0.18563560916076241</v>
      </c>
      <c r="AC53" s="110">
        <f>'Propylene Recycling HC'!AC53*'Propylene Recycling HC'!AC$45/'Propylene Recycling LC'!AC$45</f>
        <v>0.19548464572863899</v>
      </c>
      <c r="AD53" s="110">
        <f>'Propylene Recycling HC'!AD53*'Propylene Recycling HC'!AD$45/'Propylene Recycling LC'!AD$45</f>
        <v>0.20527359468911427</v>
      </c>
      <c r="AE53" s="110">
        <f>'Propylene Recycling HC'!AE53*'Propylene Recycling HC'!AE$45/'Propylene Recycling LC'!AE$45</f>
        <v>0.21500103081646868</v>
      </c>
      <c r="AF53" s="110">
        <f>'Propylene Recycling HC'!AF53*'Propylene Recycling HC'!AF$45/'Propylene Recycling LC'!AF$45</f>
        <v>0.22466548345229098</v>
      </c>
      <c r="AG53" s="110">
        <f>'Propylene Recycling HC'!AG53*'Propylene Recycling HC'!AG$45/'Propylene Recycling LC'!AG$45</f>
        <v>0.23426543468058164</v>
      </c>
      <c r="AI53" s="133" t="s">
        <v>1314</v>
      </c>
      <c r="AJ53" s="211"/>
      <c r="AL53" s="108"/>
      <c r="AM53" s="2"/>
      <c r="AN53" s="2"/>
      <c r="AO53" s="2"/>
      <c r="AV53" s="41"/>
    </row>
    <row r="54" spans="1:63" ht="16" outlineLevel="1" x14ac:dyDescent="0.2">
      <c r="A54" t="s">
        <v>1315</v>
      </c>
      <c r="B54" s="54" t="s">
        <v>462</v>
      </c>
      <c r="C54" s="110">
        <f>'Propylene Recycling HC'!C54*'Propylene Recycling HC'!C$45/'Propylene Recycling LC'!C$45</f>
        <v>9.5000000000000001E-2</v>
      </c>
      <c r="D54" s="110">
        <f>'Propylene Recycling HC'!D54*'Propylene Recycling HC'!D$45/'Propylene Recycling LC'!D$45</f>
        <v>9.8201113229983178E-2</v>
      </c>
      <c r="E54" s="110">
        <f>'Propylene Recycling HC'!E54*'Propylene Recycling HC'!E$45/'Propylene Recycling LC'!E$45</f>
        <v>0.1013947555281683</v>
      </c>
      <c r="F54" s="110">
        <f>'Propylene Recycling HC'!F54*'Propylene Recycling HC'!F$45/'Propylene Recycling LC'!F$45</f>
        <v>0.10458083534872183</v>
      </c>
      <c r="G54" s="110">
        <f>'Propylene Recycling HC'!G54*'Propylene Recycling HC'!G$45/'Propylene Recycling LC'!G$45</f>
        <v>0.10775925964398746</v>
      </c>
      <c r="H54" s="110">
        <f>'Propylene Recycling HC'!H54*'Propylene Recycling HC'!H$45/'Propylene Recycling LC'!H$45</f>
        <v>0.11092993383356232</v>
      </c>
      <c r="I54" s="110">
        <f>'Propylene Recycling HC'!I54*'Propylene Recycling HC'!I$45/'Propylene Recycling LC'!I$45</f>
        <v>0.11409276177260616</v>
      </c>
      <c r="J54" s="110">
        <f>'Propylene Recycling HC'!J54*'Propylene Recycling HC'!J$45/'Propylene Recycling LC'!J$45</f>
        <v>0.11724764571936011</v>
      </c>
      <c r="K54" s="110">
        <f>'Propylene Recycling HC'!K54*'Propylene Recycling HC'!K$45/'Propylene Recycling LC'!K$45</f>
        <v>0.12039448630185395</v>
      </c>
      <c r="L54" s="110">
        <f>'Propylene Recycling HC'!L54*'Propylene Recycling HC'!L$45/'Propylene Recycling LC'!L$45</f>
        <v>0.12353318248377614</v>
      </c>
      <c r="M54" s="110">
        <f>'Propylene Recycling HC'!M54*'Propylene Recycling HC'!M$45/'Propylene Recycling LC'!M$45</f>
        <v>0.12666363152948301</v>
      </c>
      <c r="N54" s="110">
        <f>'Propylene Recycling HC'!N54*'Propylene Recycling HC'!N$45/'Propylene Recycling LC'!N$45</f>
        <v>0.13392653574626001</v>
      </c>
      <c r="O54" s="110">
        <f>'Propylene Recycling HC'!O54*'Propylene Recycling HC'!O$45/'Propylene Recycling LC'!O$45</f>
        <v>0.14116969210723132</v>
      </c>
      <c r="P54" s="110">
        <f>'Propylene Recycling HC'!P54*'Propylene Recycling HC'!P$45/'Propylene Recycling LC'!P$45</f>
        <v>0.14836134660746997</v>
      </c>
      <c r="Q54" s="110">
        <f>'Propylene Recycling HC'!Q54*'Propylene Recycling HC'!Q$45/'Propylene Recycling LC'!Q$45</f>
        <v>0.15551814729678617</v>
      </c>
      <c r="R54" s="110">
        <f>'Propylene Recycling HC'!R54*'Propylene Recycling HC'!R$45/'Propylene Recycling LC'!R$45</f>
        <v>0.16263933439958128</v>
      </c>
      <c r="S54" s="110">
        <f>'Propylene Recycling HC'!S54*'Propylene Recycling HC'!S$45/'Propylene Recycling LC'!S$45</f>
        <v>0.1697241258955649</v>
      </c>
      <c r="T54" s="110">
        <f>'Propylene Recycling HC'!T54*'Propylene Recycling HC'!T$45/'Propylene Recycling LC'!T$45</f>
        <v>0.17677171669965336</v>
      </c>
      <c r="U54" s="110">
        <f>'Propylene Recycling HC'!U54*'Propylene Recycling HC'!U$45/'Propylene Recycling LC'!U$45</f>
        <v>0.18378127780531525</v>
      </c>
      <c r="V54" s="110">
        <f>'Propylene Recycling HC'!V54*'Propylene Recycling HC'!V$45/'Propylene Recycling LC'!V$45</f>
        <v>0.19075195538945225</v>
      </c>
      <c r="W54" s="110">
        <f>'Propylene Recycling HC'!W54*'Propylene Recycling HC'!W$45/'Propylene Recycling LC'!W$45</f>
        <v>0.19768286987678221</v>
      </c>
      <c r="X54" s="110">
        <f>'Propylene Recycling HC'!X54*'Propylene Recycling HC'!X$45/'Propylene Recycling LC'!X$45</f>
        <v>0.20874033418489235</v>
      </c>
      <c r="Y54" s="110">
        <f>'Propylene Recycling HC'!Y54*'Propylene Recycling HC'!Y$45/'Propylene Recycling LC'!Y$45</f>
        <v>0.21992368860819569</v>
      </c>
      <c r="Z54" s="110">
        <f>'Propylene Recycling HC'!Z54*'Propylene Recycling HC'!Z$45/'Propylene Recycling LC'!Z$45</f>
        <v>0.23104401175223183</v>
      </c>
      <c r="AA54" s="110">
        <f>'Propylene Recycling HC'!AA54*'Propylene Recycling HC'!AA$45/'Propylene Recycling LC'!AA$45</f>
        <v>0.2420998544021018</v>
      </c>
      <c r="AB54" s="110">
        <f>'Propylene Recycling HC'!AB54*'Propylene Recycling HC'!AB$45/'Propylene Recycling LC'!AB$45</f>
        <v>0.2530897225726641</v>
      </c>
      <c r="AC54" s="110">
        <f>'Propylene Recycling HC'!AC54*'Propylene Recycling HC'!AC$45/'Propylene Recycling LC'!AC$45</f>
        <v>0.26401207576623348</v>
      </c>
      <c r="AD54" s="110">
        <f>'Propylene Recycling HC'!AD54*'Propylene Recycling HC'!AD$45/'Propylene Recycling LC'!AD$45</f>
        <v>0.27486532514827583</v>
      </c>
      <c r="AE54" s="110">
        <f>'Propylene Recycling HC'!AE54*'Propylene Recycling HC'!AE$45/'Propylene Recycling LC'!AE$45</f>
        <v>0.28564783163656138</v>
      </c>
      <c r="AF54" s="110">
        <f>'Propylene Recycling HC'!AF54*'Propylene Recycling HC'!AF$45/'Propylene Recycling LC'!AF$45</f>
        <v>0.29635790389894934</v>
      </c>
      <c r="AG54" s="110">
        <f>'Propylene Recycling HC'!AG54*'Propylene Recycling HC'!AG$45/'Propylene Recycling LC'!AG$45</f>
        <v>0.30699379625466339</v>
      </c>
      <c r="AI54" s="133" t="s">
        <v>1314</v>
      </c>
      <c r="AJ54" s="211"/>
      <c r="AL54" s="108"/>
      <c r="AM54" s="2"/>
      <c r="AN54" s="2"/>
      <c r="AO54" s="2"/>
      <c r="AV54" s="41"/>
    </row>
    <row r="55" spans="1:63" ht="16" outlineLevel="1" x14ac:dyDescent="0.2">
      <c r="A55" t="s">
        <v>1316</v>
      </c>
      <c r="B55" s="176" t="s">
        <v>462</v>
      </c>
      <c r="C55" s="110">
        <f>'Propylene Recycling HC'!C55*'Propylene Recycling HC'!C$45/'Propylene Recycling LC'!C$45</f>
        <v>0.14200000000000002</v>
      </c>
      <c r="D55" s="110">
        <f>'Propylene Recycling HC'!D55*'Propylene Recycling HC'!D$45/'Propylene Recycling LC'!D$45</f>
        <v>0.14835061357733978</v>
      </c>
      <c r="E55" s="110">
        <f>'Propylene Recycling HC'!E55*'Propylene Recycling HC'!E$45/'Propylene Recycling LC'!E$45</f>
        <v>0.15468688097309144</v>
      </c>
      <c r="F55" s="110">
        <f>'Propylene Recycling HC'!F55*'Propylene Recycling HC'!F$45/'Propylene Recycling LC'!F$45</f>
        <v>0.16100862639483862</v>
      </c>
      <c r="G55" s="110">
        <f>'Propylene Recycling HC'!G55*'Propylene Recycling HC'!G$45/'Propylene Recycling LC'!G$45</f>
        <v>0.16731567116626517</v>
      </c>
      <c r="H55" s="110">
        <f>'Propylene Recycling HC'!H55*'Propylene Recycling HC'!H$45/'Propylene Recycling LC'!H$45</f>
        <v>0.17360783366777241</v>
      </c>
      <c r="I55" s="110">
        <f>'Propylene Recycling HC'!I55*'Propylene Recycling HC'!I$45/'Propylene Recycling LC'!I$45</f>
        <v>0.17988492927562469</v>
      </c>
      <c r="J55" s="110">
        <f>'Propylene Recycling HC'!J55*'Propylene Recycling HC'!J$45/'Propylene Recycling LC'!J$45</f>
        <v>0.18614677029957682</v>
      </c>
      <c r="K55" s="110">
        <f>'Propylene Recycling HC'!K55*'Propylene Recycling HC'!K$45/'Propylene Recycling LC'!K$45</f>
        <v>0.19239316591894287</v>
      </c>
      <c r="L55" s="110">
        <f>'Propylene Recycling HC'!L55*'Propylene Recycling HC'!L$45/'Propylene Recycling LC'!L$45</f>
        <v>0.19862392211705784</v>
      </c>
      <c r="M55" s="110">
        <f>'Propylene Recycling HC'!M55*'Propylene Recycling HC'!M$45/'Propylene Recycling LC'!M$45</f>
        <v>0.2048388416140858</v>
      </c>
      <c r="N55" s="110">
        <f>'Propylene Recycling HC'!N55*'Propylene Recycling HC'!N$45/'Propylene Recycling LC'!N$45</f>
        <v>0.21797630117403827</v>
      </c>
      <c r="O55" s="110">
        <f>'Propylene Recycling HC'!O55*'Propylene Recycling HC'!O$45/'Propylene Recycling LC'!O$45</f>
        <v>0.23107664685708812</v>
      </c>
      <c r="P55" s="110">
        <f>'Propylene Recycling HC'!P55*'Propylene Recycling HC'!P$45/'Propylene Recycling LC'!P$45</f>
        <v>0.24408786534027391</v>
      </c>
      <c r="Q55" s="110">
        <f>'Propylene Recycling HC'!Q55*'Propylene Recycling HC'!Q$45/'Propylene Recycling LC'!Q$45</f>
        <v>0.25703693789329934</v>
      </c>
      <c r="R55" s="110">
        <f>'Propylene Recycling HC'!R55*'Propylene Recycling HC'!R$45/'Propylene Recycling LC'!R$45</f>
        <v>0.26992250980171473</v>
      </c>
      <c r="S55" s="110">
        <f>'Propylene Recycling HC'!S55*'Propylene Recycling HC'!S$45/'Propylene Recycling LC'!S$45</f>
        <v>0.28274318668777298</v>
      </c>
      <c r="T55" s="110">
        <f>'Propylene Recycling HC'!T55*'Propylene Recycling HC'!T$45/'Propylene Recycling LC'!T$45</f>
        <v>0.29549753304815124</v>
      </c>
      <c r="U55" s="110">
        <f>'Propylene Recycling HC'!U55*'Propylene Recycling HC'!U$45/'Propylene Recycling LC'!U$45</f>
        <v>0.30818407072649795</v>
      </c>
      <c r="V55" s="110">
        <f>'Propylene Recycling HC'!V55*'Propylene Recycling HC'!V$45/'Propylene Recycling LC'!V$45</f>
        <v>0.3208012773173935</v>
      </c>
      <c r="W55" s="110">
        <f>'Propylene Recycling HC'!W55*'Propylene Recycling HC'!W$45/'Propylene Recycling LC'!W$45</f>
        <v>0.33334758449810331</v>
      </c>
      <c r="X55" s="110">
        <f>'Propylene Recycling HC'!X55*'Propylene Recycling HC'!X$45/'Propylene Recycling LC'!X$45</f>
        <v>0.35440593067399284</v>
      </c>
      <c r="Y55" s="110">
        <f>'Propylene Recycling HC'!Y55*'Propylene Recycling HC'!Y$45/'Propylene Recycling LC'!Y$45</f>
        <v>0.37566526919638626</v>
      </c>
      <c r="Z55" s="110">
        <f>'Propylene Recycling HC'!Z55*'Propylene Recycling HC'!Z$45/'Propylene Recycling LC'!Z$45</f>
        <v>0.39680676906089013</v>
      </c>
      <c r="AA55" s="110">
        <f>'Propylene Recycling HC'!AA55*'Propylene Recycling HC'!AA$45/'Propylene Recycling LC'!AA$45</f>
        <v>0.41782772092159437</v>
      </c>
      <c r="AB55" s="110">
        <f>'Propylene Recycling HC'!AB55*'Propylene Recycling HC'!AB$45/'Propylene Recycling LC'!AB$45</f>
        <v>0.43872533173342648</v>
      </c>
      <c r="AC55" s="110">
        <f>'Propylene Recycling HC'!AC55*'Propylene Recycling HC'!AC$45/'Propylene Recycling LC'!AC$45</f>
        <v>0.45949672149487253</v>
      </c>
      <c r="AD55" s="110">
        <f>'Propylene Recycling HC'!AD55*'Propylene Recycling HC'!AD$45/'Propylene Recycling LC'!AD$45</f>
        <v>0.4801389198373901</v>
      </c>
      <c r="AE55" s="110">
        <f>'Propylene Recycling HC'!AE55*'Propylene Recycling HC'!AE$45/'Propylene Recycling LC'!AE$45</f>
        <v>0.50064886245303009</v>
      </c>
      <c r="AF55" s="110">
        <f>'Propylene Recycling HC'!AF55*'Propylene Recycling HC'!AF$45/'Propylene Recycling LC'!AF$45</f>
        <v>0.52102338735124032</v>
      </c>
      <c r="AG55" s="110">
        <f>'Propylene Recycling HC'!AG55*'Propylene Recycling HC'!AG$45/'Propylene Recycling LC'!AG$45</f>
        <v>0.54125923093524497</v>
      </c>
      <c r="AI55" s="133" t="s">
        <v>1314</v>
      </c>
      <c r="AJ55" s="211"/>
      <c r="AL55" s="108"/>
      <c r="AM55" s="2"/>
      <c r="AN55" s="2"/>
      <c r="AO55" s="2"/>
    </row>
    <row r="56" spans="1:63" ht="16" outlineLevel="1" x14ac:dyDescent="0.2">
      <c r="A56" t="s">
        <v>1318</v>
      </c>
      <c r="B56" s="54" t="s">
        <v>462</v>
      </c>
      <c r="C56" s="110">
        <f>'Propylene Recycling HC'!C59*'Propylene Recycling HC'!C$45/'Propylene Recycling LC'!C$45</f>
        <v>1.9000000000000003E-2</v>
      </c>
      <c r="D56" s="110">
        <f>'Propylene Recycling HC'!D59*'Propylene Recycling HC'!D$45/'Propylene Recycling LC'!D$45</f>
        <v>1.9640222645996637E-2</v>
      </c>
      <c r="E56" s="110">
        <f>'Propylene Recycling HC'!E59*'Propylene Recycling HC'!E$45/'Propylene Recycling LC'!E$45</f>
        <v>2.0278951105633665E-2</v>
      </c>
      <c r="F56" s="110">
        <f>'Propylene Recycling HC'!F59*'Propylene Recycling HC'!F$45/'Propylene Recycling LC'!F$45</f>
        <v>2.0916167069744362E-2</v>
      </c>
      <c r="G56" s="110">
        <f>'Propylene Recycling HC'!G59*'Propylene Recycling HC'!G$45/'Propylene Recycling LC'!G$45</f>
        <v>2.1551851928797491E-2</v>
      </c>
      <c r="H56" s="110">
        <f>'Propylene Recycling HC'!H59*'Propylene Recycling HC'!H$45/'Propylene Recycling LC'!H$45</f>
        <v>2.2185986766712462E-2</v>
      </c>
      <c r="I56" s="110">
        <f>'Propylene Recycling HC'!I59*'Propylene Recycling HC'!I$45/'Propylene Recycling LC'!I$45</f>
        <v>2.2818552354521238E-2</v>
      </c>
      <c r="J56" s="110">
        <f>'Propylene Recycling HC'!J59*'Propylene Recycling HC'!J$45/'Propylene Recycling LC'!J$45</f>
        <v>2.3449529143872026E-2</v>
      </c>
      <c r="K56" s="110">
        <f>'Propylene Recycling HC'!K59*'Propylene Recycling HC'!K$45/'Propylene Recycling LC'!K$45</f>
        <v>2.4078897260370793E-2</v>
      </c>
      <c r="L56" s="110">
        <f>'Propylene Recycling HC'!L59*'Propylene Recycling HC'!L$45/'Propylene Recycling LC'!L$45</f>
        <v>2.4706636496755228E-2</v>
      </c>
      <c r="M56" s="110">
        <f>'Propylene Recycling HC'!M59*'Propylene Recycling HC'!M$45/'Propylene Recycling LC'!M$45</f>
        <v>2.53327263058966E-2</v>
      </c>
      <c r="N56" s="110">
        <f>'Propylene Recycling HC'!N59*'Propylene Recycling HC'!N$45/'Propylene Recycling LC'!N$45</f>
        <v>2.6785307149252008E-2</v>
      </c>
      <c r="O56" s="110">
        <f>'Propylene Recycling HC'!O59*'Propylene Recycling HC'!O$45/'Propylene Recycling LC'!O$45</f>
        <v>2.8233938421446263E-2</v>
      </c>
      <c r="P56" s="110">
        <f>'Propylene Recycling HC'!P59*'Propylene Recycling HC'!P$45/'Propylene Recycling LC'!P$45</f>
        <v>2.9672269321493996E-2</v>
      </c>
      <c r="Q56" s="110">
        <f>'Propylene Recycling HC'!Q59*'Propylene Recycling HC'!Q$45/'Propylene Recycling LC'!Q$45</f>
        <v>3.110362945935724E-2</v>
      </c>
      <c r="R56" s="110">
        <f>'Propylene Recycling HC'!R59*'Propylene Recycling HC'!R$45/'Propylene Recycling LC'!R$45</f>
        <v>3.2527866879916253E-2</v>
      </c>
      <c r="S56" s="110">
        <f>'Propylene Recycling HC'!S59*'Propylene Recycling HC'!S$45/'Propylene Recycling LC'!S$45</f>
        <v>3.3944825179112986E-2</v>
      </c>
      <c r="T56" s="110">
        <f>'Propylene Recycling HC'!T59*'Propylene Recycling HC'!T$45/'Propylene Recycling LC'!T$45</f>
        <v>3.5354343339930677E-2</v>
      </c>
      <c r="U56" s="110">
        <f>'Propylene Recycling HC'!U59*'Propylene Recycling HC'!U$45/'Propylene Recycling LC'!U$45</f>
        <v>3.6756255561063052E-2</v>
      </c>
      <c r="V56" s="110">
        <f>'Propylene Recycling HC'!V59*'Propylene Recycling HC'!V$45/'Propylene Recycling LC'!V$45</f>
        <v>3.8150391077890457E-2</v>
      </c>
      <c r="W56" s="110">
        <f>'Propylene Recycling HC'!W59*'Propylene Recycling HC'!W$45/'Propylene Recycling LC'!W$45</f>
        <v>3.953657397535644E-2</v>
      </c>
      <c r="X56" s="110">
        <f>'Propylene Recycling HC'!X59*'Propylene Recycling HC'!X$45/'Propylene Recycling LC'!X$45</f>
        <v>4.1748066836978473E-2</v>
      </c>
      <c r="Y56" s="110">
        <f>'Propylene Recycling HC'!Y59*'Propylene Recycling HC'!Y$45/'Propylene Recycling LC'!Y$45</f>
        <v>4.398473772163914E-2</v>
      </c>
      <c r="Z56" s="110">
        <f>'Propylene Recycling HC'!Z59*'Propylene Recycling HC'!Z$45/'Propylene Recycling LC'!Z$45</f>
        <v>4.6208802350446367E-2</v>
      </c>
      <c r="AA56" s="110">
        <f>'Propylene Recycling HC'!AA59*'Propylene Recycling HC'!AA$45/'Propylene Recycling LC'!AA$45</f>
        <v>4.8419970880420361E-2</v>
      </c>
      <c r="AB56" s="110">
        <f>'Propylene Recycling HC'!AB59*'Propylene Recycling HC'!AB$45/'Propylene Recycling LC'!AB$45</f>
        <v>5.0617944514532831E-2</v>
      </c>
      <c r="AC56" s="110">
        <f>'Propylene Recycling HC'!AC59*'Propylene Recycling HC'!AC$45/'Propylene Recycling LC'!AC$45</f>
        <v>5.2802415153246705E-2</v>
      </c>
      <c r="AD56" s="110">
        <f>'Propylene Recycling HC'!AD59*'Propylene Recycling HC'!AD$45/'Propylene Recycling LC'!AD$45</f>
        <v>5.4973065029655162E-2</v>
      </c>
      <c r="AE56" s="110">
        <f>'Propylene Recycling HC'!AE59*'Propylene Recycling HC'!AE$45/'Propylene Recycling LC'!AE$45</f>
        <v>5.7129566327312281E-2</v>
      </c>
      <c r="AF56" s="110">
        <f>'Propylene Recycling HC'!AF59*'Propylene Recycling HC'!AF$45/'Propylene Recycling LC'!AF$45</f>
        <v>5.9271580779789883E-2</v>
      </c>
      <c r="AG56" s="110">
        <f>'Propylene Recycling HC'!AG59*'Propylene Recycling HC'!AG$45/'Propylene Recycling LC'!AG$45</f>
        <v>6.1398759250932675E-2</v>
      </c>
      <c r="AI56" s="133" t="s">
        <v>1314</v>
      </c>
      <c r="AJ56" s="211"/>
      <c r="AL56" s="108"/>
      <c r="AM56" s="2"/>
      <c r="AN56" s="2"/>
      <c r="AO56" s="2"/>
      <c r="BC56" s="1"/>
      <c r="BD56" s="2"/>
      <c r="BE56" s="2"/>
      <c r="BF56" s="2"/>
      <c r="BG56" s="2"/>
      <c r="BH56" s="2"/>
      <c r="BI56" s="2"/>
      <c r="BJ56" s="2"/>
      <c r="BK56" s="2"/>
    </row>
    <row r="57" spans="1:63" ht="16" outlineLevel="1" x14ac:dyDescent="0.2">
      <c r="A57" t="s">
        <v>1319</v>
      </c>
      <c r="B57" s="54" t="s">
        <v>462</v>
      </c>
      <c r="C57" s="110">
        <f>'Propylene Recycling HC'!C60*'Propylene Recycling HC'!C$45/'Propylene Recycling LC'!C$45</f>
        <v>7.6000000000000012E-2</v>
      </c>
      <c r="D57" s="110">
        <f>'Propylene Recycling HC'!D60*'Propylene Recycling HC'!D$45/'Propylene Recycling LC'!D$45</f>
        <v>7.8560890583986548E-2</v>
      </c>
      <c r="E57" s="110">
        <f>'Propylene Recycling HC'!E60*'Propylene Recycling HC'!E$45/'Propylene Recycling LC'!E$45</f>
        <v>8.111580442253466E-2</v>
      </c>
      <c r="F57" s="110">
        <f>'Propylene Recycling HC'!F60*'Propylene Recycling HC'!F$45/'Propylene Recycling LC'!F$45</f>
        <v>8.366466827897745E-2</v>
      </c>
      <c r="G57" s="110">
        <f>'Propylene Recycling HC'!G60*'Propylene Recycling HC'!G$45/'Propylene Recycling LC'!G$45</f>
        <v>8.6207407715189963E-2</v>
      </c>
      <c r="H57" s="110">
        <f>'Propylene Recycling HC'!H60*'Propylene Recycling HC'!H$45/'Propylene Recycling LC'!H$45</f>
        <v>8.8743947066849849E-2</v>
      </c>
      <c r="I57" s="110">
        <f>'Propylene Recycling HC'!I60*'Propylene Recycling HC'!I$45/'Propylene Recycling LC'!I$45</f>
        <v>9.1274209418084951E-2</v>
      </c>
      <c r="J57" s="110">
        <f>'Propylene Recycling HC'!J60*'Propylene Recycling HC'!J$45/'Propylene Recycling LC'!J$45</f>
        <v>9.3798116575488102E-2</v>
      </c>
      <c r="K57" s="110">
        <f>'Propylene Recycling HC'!K60*'Propylene Recycling HC'!K$45/'Propylene Recycling LC'!K$45</f>
        <v>9.6315589041483171E-2</v>
      </c>
      <c r="L57" s="110">
        <f>'Propylene Recycling HC'!L60*'Propylene Recycling HC'!L$45/'Propylene Recycling LC'!L$45</f>
        <v>9.8826545987020911E-2</v>
      </c>
      <c r="M57" s="110">
        <f>'Propylene Recycling HC'!M60*'Propylene Recycling HC'!M$45/'Propylene Recycling LC'!M$45</f>
        <v>0.1013309052235864</v>
      </c>
      <c r="N57" s="110">
        <f>'Propylene Recycling HC'!N60*'Propylene Recycling HC'!N$45/'Propylene Recycling LC'!N$45</f>
        <v>0.10714122859700803</v>
      </c>
      <c r="O57" s="110">
        <f>'Propylene Recycling HC'!O60*'Propylene Recycling HC'!O$45/'Propylene Recycling LC'!O$45</f>
        <v>0.11293575368578505</v>
      </c>
      <c r="P57" s="110">
        <f>'Propylene Recycling HC'!P60*'Propylene Recycling HC'!P$45/'Propylene Recycling LC'!P$45</f>
        <v>0.11868907728597598</v>
      </c>
      <c r="Q57" s="110">
        <f>'Propylene Recycling HC'!Q60*'Propylene Recycling HC'!Q$45/'Propylene Recycling LC'!Q$45</f>
        <v>0.12441451783742896</v>
      </c>
      <c r="R57" s="110">
        <f>'Propylene Recycling HC'!R60*'Propylene Recycling HC'!R$45/'Propylene Recycling LC'!R$45</f>
        <v>0.13011146751966501</v>
      </c>
      <c r="S57" s="110">
        <f>'Propylene Recycling HC'!S60*'Propylene Recycling HC'!S$45/'Propylene Recycling LC'!S$45</f>
        <v>0.13577930071645194</v>
      </c>
      <c r="T57" s="110">
        <f>'Propylene Recycling HC'!T60*'Propylene Recycling HC'!T$45/'Propylene Recycling LC'!T$45</f>
        <v>0.14141737335972271</v>
      </c>
      <c r="U57" s="110">
        <f>'Propylene Recycling HC'!U60*'Propylene Recycling HC'!U$45/'Propylene Recycling LC'!U$45</f>
        <v>0.14702502224425221</v>
      </c>
      <c r="V57" s="110">
        <f>'Propylene Recycling HC'!V60*'Propylene Recycling HC'!V$45/'Propylene Recycling LC'!V$45</f>
        <v>0.15260156431156183</v>
      </c>
      <c r="W57" s="110">
        <f>'Propylene Recycling HC'!W60*'Propylene Recycling HC'!W$45/'Propylene Recycling LC'!W$45</f>
        <v>0.15814629590142576</v>
      </c>
      <c r="X57" s="110">
        <f>'Propylene Recycling HC'!X60*'Propylene Recycling HC'!X$45/'Propylene Recycling LC'!X$45</f>
        <v>0.16699226734791389</v>
      </c>
      <c r="Y57" s="110">
        <f>'Propylene Recycling HC'!Y60*'Propylene Recycling HC'!Y$45/'Propylene Recycling LC'!Y$45</f>
        <v>0.17593895088655656</v>
      </c>
      <c r="Z57" s="110">
        <f>'Propylene Recycling HC'!Z60*'Propylene Recycling HC'!Z$45/'Propylene Recycling LC'!Z$45</f>
        <v>0.18483520940178547</v>
      </c>
      <c r="AA57" s="110">
        <f>'Propylene Recycling HC'!AA60*'Propylene Recycling HC'!AA$45/'Propylene Recycling LC'!AA$45</f>
        <v>0.19367988352168145</v>
      </c>
      <c r="AB57" s="110">
        <f>'Propylene Recycling HC'!AB60*'Propylene Recycling HC'!AB$45/'Propylene Recycling LC'!AB$45</f>
        <v>0.20247177805813132</v>
      </c>
      <c r="AC57" s="110">
        <f>'Propylene Recycling HC'!AC60*'Propylene Recycling HC'!AC$45/'Propylene Recycling LC'!AC$45</f>
        <v>0.21120966061298682</v>
      </c>
      <c r="AD57" s="110">
        <f>'Propylene Recycling HC'!AD60*'Propylene Recycling HC'!AD$45/'Propylene Recycling LC'!AD$45</f>
        <v>0.21989226011862065</v>
      </c>
      <c r="AE57" s="110">
        <f>'Propylene Recycling HC'!AE60*'Propylene Recycling HC'!AE$45/'Propylene Recycling LC'!AE$45</f>
        <v>0.22851826530924912</v>
      </c>
      <c r="AF57" s="110">
        <f>'Propylene Recycling HC'!AF60*'Propylene Recycling HC'!AF$45/'Propylene Recycling LC'!AF$45</f>
        <v>0.23708632311915953</v>
      </c>
      <c r="AG57" s="110">
        <f>'Propylene Recycling HC'!AG60*'Propylene Recycling HC'!AG$45/'Propylene Recycling LC'!AG$45</f>
        <v>0.2455950370037307</v>
      </c>
      <c r="AI57" s="133" t="s">
        <v>1314</v>
      </c>
      <c r="AJ57" s="211"/>
      <c r="AL57" s="108"/>
      <c r="AM57" s="2"/>
      <c r="AN57" s="2"/>
      <c r="AO57" s="2"/>
      <c r="BC57" s="1"/>
      <c r="BD57" s="2"/>
      <c r="BE57" s="2"/>
      <c r="BF57" s="2"/>
      <c r="BG57" s="2"/>
      <c r="BH57" s="2"/>
      <c r="BI57" s="2"/>
      <c r="BJ57" s="2"/>
      <c r="BK57" s="2"/>
    </row>
    <row r="58" spans="1:63" outlineLevel="1" x14ac:dyDescent="0.2">
      <c r="C58" s="110"/>
      <c r="D58" s="110"/>
      <c r="E58" s="110"/>
      <c r="F58" s="110"/>
      <c r="G58" s="110"/>
      <c r="H58" s="110"/>
      <c r="I58" s="110"/>
      <c r="J58" s="110"/>
      <c r="K58" s="110"/>
      <c r="L58" s="110"/>
      <c r="M58" s="110"/>
      <c r="N58" s="110"/>
      <c r="O58" s="110"/>
      <c r="P58" s="110"/>
      <c r="Q58" s="110"/>
      <c r="R58" s="110"/>
      <c r="S58" s="110"/>
      <c r="T58" s="110"/>
      <c r="U58" s="110"/>
      <c r="V58" s="110"/>
      <c r="W58" s="110"/>
      <c r="X58" s="110"/>
      <c r="Y58" s="110"/>
      <c r="Z58" s="110"/>
      <c r="AA58" s="110"/>
      <c r="AB58" s="110"/>
      <c r="AC58" s="110"/>
      <c r="AD58" s="110"/>
      <c r="AE58" s="110"/>
      <c r="AF58" s="110"/>
      <c r="AG58" s="110"/>
      <c r="AI58" s="133"/>
      <c r="AJ58" s="211"/>
      <c r="AL58" s="108"/>
      <c r="AM58" s="2"/>
      <c r="AN58" s="2"/>
      <c r="AO58" s="2"/>
      <c r="BC58" s="1"/>
      <c r="BD58" s="2"/>
      <c r="BE58" s="2"/>
      <c r="BF58" s="2"/>
      <c r="BG58" s="2"/>
      <c r="BH58" s="2"/>
      <c r="BI58" s="2"/>
      <c r="BJ58" s="2"/>
      <c r="BK58" s="2"/>
    </row>
    <row r="59" spans="1:63" ht="16" outlineLevel="1" x14ac:dyDescent="0.2">
      <c r="A59" t="s">
        <v>1492</v>
      </c>
      <c r="B59" s="54" t="s">
        <v>462</v>
      </c>
      <c r="C59" s="110">
        <f>'Propylene Recycling HC'!C63*'Propylene Recycling HC'!C$45/'Propylene Recycling LC'!C$45</f>
        <v>2.1191226930388714E-2</v>
      </c>
      <c r="D59" s="110">
        <f>'Propylene Recycling HC'!D63*'Propylene Recycling HC'!D$45/'Propylene Recycling LC'!D$45</f>
        <v>2.3194875914856326E-2</v>
      </c>
      <c r="E59" s="110">
        <f>'Propylene Recycling HC'!E63*'Propylene Recycling HC'!E$45/'Propylene Recycling LC'!E$45</f>
        <v>2.5268569150942732E-2</v>
      </c>
      <c r="F59" s="110">
        <f>'Propylene Recycling HC'!F63*'Propylene Recycling HC'!F$45/'Propylene Recycling LC'!F$45</f>
        <v>2.7412025681879476E-2</v>
      </c>
      <c r="G59" s="110">
        <f>'Propylene Recycling HC'!G63*'Propylene Recycling HC'!G$45/'Propylene Recycling LC'!G$45</f>
        <v>2.9624959941761612E-2</v>
      </c>
      <c r="H59" s="110">
        <f>'Propylene Recycling HC'!H63*'Propylene Recycling HC'!H$45/'Propylene Recycling LC'!H$45</f>
        <v>3.1907081660641476E-2</v>
      </c>
      <c r="I59" s="110">
        <f>'Propylene Recycling HC'!I63*'Propylene Recycling HC'!I$45/'Propylene Recycling LC'!I$45</f>
        <v>3.4258095767267849E-2</v>
      </c>
      <c r="J59" s="110">
        <f>'Propylene Recycling HC'!J63*'Propylene Recycling HC'!J$45/'Propylene Recycling LC'!J$45</f>
        <v>3.6677702289401717E-2</v>
      </c>
      <c r="K59" s="110">
        <f>'Propylene Recycling HC'!K63*'Propylene Recycling HC'!K$45/'Propylene Recycling LC'!K$45</f>
        <v>3.9165596251638436E-2</v>
      </c>
      <c r="L59" s="110">
        <f>'Propylene Recycling HC'!L63*'Propylene Recycling HC'!L$45/'Propylene Recycling LC'!L$45</f>
        <v>4.1721467570662606E-2</v>
      </c>
      <c r="M59" s="110">
        <f>'Propylene Recycling HC'!M63*'Propylene Recycling HC'!M$45/'Propylene Recycling LC'!M$45</f>
        <v>4.4345000947860459E-2</v>
      </c>
      <c r="N59" s="110">
        <f>'Propylene Recycling HC'!N63*'Propylene Recycling HC'!N$45/'Propylene Recycling LC'!N$45</f>
        <v>4.8655474028952372E-2</v>
      </c>
      <c r="O59" s="110">
        <f>'Propylene Recycling HC'!O63*'Propylene Recycling HC'!O$45/'Propylene Recycling LC'!O$45</f>
        <v>5.3092421444095518E-2</v>
      </c>
      <c r="P59" s="110">
        <f>'Propylene Recycling HC'!P63*'Propylene Recycling HC'!P$45/'Propylene Recycling LC'!P$45</f>
        <v>5.7643037479350893E-2</v>
      </c>
      <c r="Q59" s="110">
        <f>'Propylene Recycling HC'!Q63*'Propylene Recycling HC'!Q$45/'Propylene Recycling LC'!Q$45</f>
        <v>6.231235109054873E-2</v>
      </c>
      <c r="R59" s="110">
        <f>'Propylene Recycling HC'!R63*'Propylene Recycling HC'!R$45/'Propylene Recycling LC'!R$45</f>
        <v>6.7099037349782162E-2</v>
      </c>
      <c r="S59" s="110">
        <f>'Propylene Recycling HC'!S63*'Propylene Recycling HC'!S$45/'Propylene Recycling LC'!S$45</f>
        <v>7.2001732537937152E-2</v>
      </c>
      <c r="T59" s="110">
        <f>'Propylene Recycling HC'!T63*'Propylene Recycling HC'!T$45/'Propylene Recycling LC'!T$45</f>
        <v>7.701903271456495E-2</v>
      </c>
      <c r="U59" s="110">
        <f>'Propylene Recycling HC'!U63*'Propylene Recycling HC'!U$45/'Propylene Recycling LC'!U$45</f>
        <v>8.2149492224013937E-2</v>
      </c>
      <c r="V59" s="110">
        <f>'Propylene Recycling HC'!V63*'Propylene Recycling HC'!V$45/'Propylene Recycling LC'!V$45</f>
        <v>8.7391622134483093E-2</v>
      </c>
      <c r="W59" s="110">
        <f>'Propylene Recycling HC'!W63*'Propylene Recycling HC'!W$45/'Propylene Recycling LC'!W$45</f>
        <v>9.2743888606455216E-2</v>
      </c>
      <c r="X59" s="110">
        <f>'Propylene Recycling HC'!X63*'Propylene Recycling HC'!X$45/'Propylene Recycling LC'!X$45</f>
        <v>0.10127592155188109</v>
      </c>
      <c r="Y59" s="110">
        <f>'Propylene Recycling HC'!Y63*'Propylene Recycling HC'!Y$45/'Propylene Recycling LC'!Y$45</f>
        <v>0.11009381338757822</v>
      </c>
      <c r="Z59" s="110">
        <f>'Propylene Recycling HC'!Z63*'Propylene Recycling HC'!Z$45/'Propylene Recycling LC'!Z$45</f>
        <v>0.11910684111182317</v>
      </c>
      <c r="AA59" s="110">
        <f>'Propylene Recycling HC'!AA63*'Propylene Recycling HC'!AA$45/'Propylene Recycling LC'!AA$45</f>
        <v>0.12831217115718851</v>
      </c>
      <c r="AB59" s="110">
        <f>'Propylene Recycling HC'!AB63*'Propylene Recycling HC'!AB$45/'Propylene Recycling LC'!AB$45</f>
        <v>0.13770688241953891</v>
      </c>
      <c r="AC59" s="110">
        <f>'Propylene Recycling HC'!AC63*'Propylene Recycling HC'!AC$45/'Propylene Recycling LC'!AC$45</f>
        <v>0.14728796285140874</v>
      </c>
      <c r="AD59" s="110">
        <f>'Propylene Recycling HC'!AD63*'Propylene Recycling HC'!AD$45/'Propylene Recycling LC'!AD$45</f>
        <v>0.15705230589504235</v>
      </c>
      <c r="AE59" s="110">
        <f>'Propylene Recycling HC'!AE63*'Propylene Recycling HC'!AE$45/'Propylene Recycling LC'!AE$45</f>
        <v>0.1669967067462246</v>
      </c>
      <c r="AF59" s="110">
        <f>'Propylene Recycling HC'!AF63*'Propylene Recycling HC'!AF$45/'Propylene Recycling LC'!AF$45</f>
        <v>0.17711785843946165</v>
      </c>
      <c r="AG59" s="110">
        <f>'Propylene Recycling HC'!AG63*'Propylene Recycling HC'!AG$45/'Propylene Recycling LC'!AG$45</f>
        <v>0.18741234774446533</v>
      </c>
      <c r="AI59" s="133" t="s">
        <v>1314</v>
      </c>
      <c r="AJ59" s="211"/>
      <c r="AL59" s="108"/>
      <c r="AM59" s="2"/>
      <c r="AN59" s="2"/>
      <c r="AO59" s="2"/>
      <c r="AV59" s="41"/>
    </row>
    <row r="60" spans="1:63" ht="16" outlineLevel="1" x14ac:dyDescent="0.2">
      <c r="A60" t="s">
        <v>1493</v>
      </c>
      <c r="B60" s="54" t="s">
        <v>462</v>
      </c>
      <c r="C60" s="110">
        <f>'Propylene Recycling HC'!C64*'Propylene Recycling HC'!C$45/'Propylene Recycling LC'!C$45</f>
        <v>4.2833331029509106E-2</v>
      </c>
      <c r="D60" s="110">
        <f>'Propylene Recycling HC'!D64*'Propylene Recycling HC'!D$45/'Propylene Recycling LC'!D$45</f>
        <v>4.5419448255585193E-2</v>
      </c>
      <c r="E60" s="110">
        <f>'Propylene Recycling HC'!E64*'Propylene Recycling HC'!E$45/'Propylene Recycling LC'!E$45</f>
        <v>4.8076528571831111E-2</v>
      </c>
      <c r="F60" s="110">
        <f>'Propylene Recycling HC'!F64*'Propylene Recycling HC'!F$45/'Propylene Recycling LC'!F$45</f>
        <v>5.0804266678960375E-2</v>
      </c>
      <c r="G60" s="110">
        <f>'Propylene Recycling HC'!G64*'Propylene Recycling HC'!G$45/'Propylene Recycling LC'!G$45</f>
        <v>5.3602352269207468E-2</v>
      </c>
      <c r="H60" s="110">
        <f>'Propylene Recycling HC'!H64*'Propylene Recycling HC'!H$45/'Propylene Recycling LC'!H$45</f>
        <v>5.6470469923198811E-2</v>
      </c>
      <c r="I60" s="110">
        <f>'Propylene Recycling HC'!I64*'Propylene Recycling HC'!I$45/'Propylene Recycling LC'!I$45</f>
        <v>5.9408299004265086E-2</v>
      </c>
      <c r="J60" s="110">
        <f>'Propylene Recycling HC'!J64*'Propylene Recycling HC'!J$45/'Propylene Recycling LC'!J$45</f>
        <v>6.2415513550120212E-2</v>
      </c>
      <c r="K60" s="110">
        <f>'Propylene Recycling HC'!K64*'Propylene Recycling HC'!K$45/'Propylene Recycling LC'!K$45</f>
        <v>6.5491782161830672E-2</v>
      </c>
      <c r="L60" s="110">
        <f>'Propylene Recycling HC'!L64*'Propylene Recycling HC'!L$45/'Propylene Recycling LC'!L$45</f>
        <v>6.8636767889995079E-2</v>
      </c>
      <c r="M60" s="110">
        <f>'Propylene Recycling HC'!M64*'Propylene Recycling HC'!M$45/'Propylene Recycling LC'!M$45</f>
        <v>7.1850128118052373E-2</v>
      </c>
      <c r="N60" s="110">
        <f>'Propylene Recycling HC'!N64*'Propylene Recycling HC'!N$45/'Propylene Recycling LC'!N$45</f>
        <v>7.7528581413935857E-2</v>
      </c>
      <c r="O60" s="110">
        <f>'Propylene Recycling HC'!O64*'Propylene Recycling HC'!O$45/'Propylene Recycling LC'!O$45</f>
        <v>8.3364416127132426E-2</v>
      </c>
      <c r="P60" s="110">
        <f>'Propylene Recycling HC'!P64*'Propylene Recycling HC'!P$45/'Propylene Recycling LC'!P$45</f>
        <v>8.9337821704893253E-2</v>
      </c>
      <c r="Q60" s="110">
        <f>'Propylene Recycling HC'!Q64*'Propylene Recycling HC'!Q$45/'Propylene Recycling LC'!Q$45</f>
        <v>9.5457218691904433E-2</v>
      </c>
      <c r="R60" s="110">
        <f>'Propylene Recycling HC'!R64*'Propylene Recycling HC'!R$45/'Propylene Recycling LC'!R$45</f>
        <v>0.10172091506907611</v>
      </c>
      <c r="S60" s="110">
        <f>'Propylene Recycling HC'!S64*'Propylene Recycling HC'!S$45/'Propylene Recycling LC'!S$45</f>
        <v>0.10812716927842464</v>
      </c>
      <c r="T60" s="110">
        <f>'Propylene Recycling HC'!T64*'Propylene Recycling HC'!T$45/'Propylene Recycling LC'!T$45</f>
        <v>0.11467418839670637</v>
      </c>
      <c r="U60" s="110">
        <f>'Propylene Recycling HC'!U64*'Propylene Recycling HC'!U$45/'Propylene Recycling LC'!U$45</f>
        <v>0.12136012622765126</v>
      </c>
      <c r="V60" s="110">
        <f>'Propylene Recycling HC'!V64*'Propylene Recycling HC'!V$45/'Propylene Recycling LC'!V$45</f>
        <v>0.12818308130853232</v>
      </c>
      <c r="W60" s="110">
        <f>'Propylene Recycling HC'!W64*'Propylene Recycling HC'!W$45/'Propylene Recycling LC'!W$45</f>
        <v>0.13514109482654901</v>
      </c>
      <c r="X60" s="110">
        <f>'Propylene Recycling HC'!X64*'Propylene Recycling HC'!X$45/'Propylene Recycling LC'!X$45</f>
        <v>0.145129462406756</v>
      </c>
      <c r="Y60" s="110">
        <f>'Propylene Recycling HC'!Y64*'Propylene Recycling HC'!Y$45/'Propylene Recycling LC'!Y$45</f>
        <v>0.15546418266525869</v>
      </c>
      <c r="Z60" s="110">
        <f>'Propylene Recycling HC'!Z64*'Propylene Recycling HC'!Z$45/'Propylene Recycling LC'!Z$45</f>
        <v>0.16601390351132808</v>
      </c>
      <c r="AA60" s="110">
        <f>'Propylene Recycling HC'!AA64*'Propylene Recycling HC'!AA$45/'Propylene Recycling LC'!AA$45</f>
        <v>0.17677536619797912</v>
      </c>
      <c r="AB60" s="110">
        <f>'Propylene Recycling HC'!AB64*'Propylene Recycling HC'!AB$45/'Propylene Recycling LC'!AB$45</f>
        <v>0.18774521130655061</v>
      </c>
      <c r="AC60" s="110">
        <f>'Propylene Recycling HC'!AC64*'Propylene Recycling HC'!AC$45/'Propylene Recycling LC'!AC$45</f>
        <v>0.19891997482891535</v>
      </c>
      <c r="AD60" s="110">
        <f>'Propylene Recycling HC'!AD64*'Propylene Recycling HC'!AD$45/'Propylene Recycling LC'!AD$45</f>
        <v>0.21029608406529507</v>
      </c>
      <c r="AE60" s="110">
        <f>'Propylene Recycling HC'!AE64*'Propylene Recycling HC'!AE$45/'Propylene Recycling LC'!AE$45</f>
        <v>0.22186985332747475</v>
      </c>
      <c r="AF60" s="110">
        <f>'Propylene Recycling HC'!AF64*'Propylene Recycling HC'!AF$45/'Propylene Recycling LC'!AF$45</f>
        <v>0.23363747943656116</v>
      </c>
      <c r="AG60" s="110">
        <f>'Propylene Recycling HC'!AG64*'Propylene Recycling HC'!AG$45/'Propylene Recycling LC'!AG$45</f>
        <v>0.2455950370037307</v>
      </c>
      <c r="AI60" s="133" t="s">
        <v>1314</v>
      </c>
      <c r="AJ60" s="211"/>
      <c r="AL60" s="108"/>
      <c r="AM60" s="2"/>
      <c r="AN60" s="2"/>
      <c r="AO60" s="2"/>
      <c r="AV60" s="41"/>
    </row>
    <row r="61" spans="1:63" ht="16" outlineLevel="1" x14ac:dyDescent="0.2">
      <c r="A61" t="s">
        <v>1494</v>
      </c>
      <c r="B61" s="176" t="s">
        <v>462</v>
      </c>
      <c r="C61" s="110">
        <f>'Propylene Recycling HC'!C65*'Propylene Recycling HC'!C$45/'Propylene Recycling LC'!C$45</f>
        <v>6.4024557959897824E-2</v>
      </c>
      <c r="D61" s="110">
        <f>'Propylene Recycling HC'!D65*'Propylene Recycling HC'!D$45/'Propylene Recycling LC'!D$45</f>
        <v>6.8614324170441526E-2</v>
      </c>
      <c r="E61" s="110">
        <f>'Propylene Recycling HC'!E65*'Propylene Recycling HC'!E$45/'Propylene Recycling LC'!E$45</f>
        <v>7.3345097722773839E-2</v>
      </c>
      <c r="F61" s="110">
        <f>'Propylene Recycling HC'!F65*'Propylene Recycling HC'!F$45/'Propylene Recycling LC'!F$45</f>
        <v>7.8216292360839851E-2</v>
      </c>
      <c r="G61" s="110">
        <f>'Propylene Recycling HC'!G65*'Propylene Recycling HC'!G$45/'Propylene Recycling LC'!G$45</f>
        <v>8.3227312210969087E-2</v>
      </c>
      <c r="H61" s="110">
        <f>'Propylene Recycling HC'!H65*'Propylene Recycling HC'!H$45/'Propylene Recycling LC'!H$45</f>
        <v>8.837755158384028E-2</v>
      </c>
      <c r="I61" s="110">
        <f>'Propylene Recycling HC'!I65*'Propylene Recycling HC'!I$45/'Propylene Recycling LC'!I$45</f>
        <v>9.3666394771532935E-2</v>
      </c>
      <c r="J61" s="110">
        <f>'Propylene Recycling HC'!J65*'Propylene Recycling HC'!J$45/'Propylene Recycling LC'!J$45</f>
        <v>9.9093215839521923E-2</v>
      </c>
      <c r="K61" s="110">
        <f>'Propylene Recycling HC'!K65*'Propylene Recycling HC'!K$45/'Propylene Recycling LC'!K$45</f>
        <v>0.10465737841346912</v>
      </c>
      <c r="L61" s="110">
        <f>'Propylene Recycling HC'!L65*'Propylene Recycling HC'!L$45/'Propylene Recycling LC'!L$45</f>
        <v>0.11035823546065768</v>
      </c>
      <c r="M61" s="110">
        <f>'Propylene Recycling HC'!M65*'Propylene Recycling HC'!M$45/'Propylene Recycling LC'!M$45</f>
        <v>0.11619512906591284</v>
      </c>
      <c r="N61" s="110">
        <f>'Propylene Recycling HC'!N65*'Propylene Recycling HC'!N$45/'Propylene Recycling LC'!N$45</f>
        <v>0.12618405544288822</v>
      </c>
      <c r="O61" s="110">
        <f>'Propylene Recycling HC'!O65*'Propylene Recycling HC'!O$45/'Propylene Recycling LC'!O$45</f>
        <v>0.13645683757122795</v>
      </c>
      <c r="P61" s="110">
        <f>'Propylene Recycling HC'!P65*'Propylene Recycling HC'!P$45/'Propylene Recycling LC'!P$45</f>
        <v>0.14698085918424414</v>
      </c>
      <c r="Q61" s="110">
        <f>'Propylene Recycling HC'!Q65*'Propylene Recycling HC'!Q$45/'Propylene Recycling LC'!Q$45</f>
        <v>0.15776956978245313</v>
      </c>
      <c r="R61" s="110">
        <f>'Propylene Recycling HC'!R65*'Propylene Recycling HC'!R$45/'Propylene Recycling LC'!R$45</f>
        <v>0.1688199524188583</v>
      </c>
      <c r="S61" s="110">
        <f>'Propylene Recycling HC'!S65*'Propylene Recycling HC'!S$45/'Propylene Recycling LC'!S$45</f>
        <v>0.18012890181636176</v>
      </c>
      <c r="T61" s="110">
        <f>'Propylene Recycling HC'!T65*'Propylene Recycling HC'!T$45/'Propylene Recycling LC'!T$45</f>
        <v>0.19169322111127132</v>
      </c>
      <c r="U61" s="110">
        <f>'Propylene Recycling HC'!U65*'Propylene Recycling HC'!U$45/'Propylene Recycling LC'!U$45</f>
        <v>0.20350961845166518</v>
      </c>
      <c r="V61" s="110">
        <f>'Propylene Recycling HC'!V65*'Propylene Recycling HC'!V$45/'Propylene Recycling LC'!V$45</f>
        <v>0.21557470344301541</v>
      </c>
      <c r="W61" s="110">
        <f>'Propylene Recycling HC'!W65*'Propylene Recycling HC'!W$45/'Propylene Recycling LC'!W$45</f>
        <v>0.22788498343300423</v>
      </c>
      <c r="X61" s="110">
        <f>'Propylene Recycling HC'!X65*'Propylene Recycling HC'!X$45/'Propylene Recycling LC'!X$45</f>
        <v>0.24640538395863712</v>
      </c>
      <c r="Y61" s="110">
        <f>'Propylene Recycling HC'!Y65*'Propylene Recycling HC'!Y$45/'Propylene Recycling LC'!Y$45</f>
        <v>0.26555799605283692</v>
      </c>
      <c r="Z61" s="110">
        <f>'Propylene Recycling HC'!Z65*'Propylene Recycling HC'!Z$45/'Propylene Recycling LC'!Z$45</f>
        <v>0.28512074462315123</v>
      </c>
      <c r="AA61" s="110">
        <f>'Propylene Recycling HC'!AA65*'Propylene Recycling HC'!AA$45/'Propylene Recycling LC'!AA$45</f>
        <v>0.30508753735516764</v>
      </c>
      <c r="AB61" s="110">
        <f>'Propylene Recycling HC'!AB65*'Propylene Recycling HC'!AB$45/'Propylene Recycling LC'!AB$45</f>
        <v>0.32545209372608952</v>
      </c>
      <c r="AC61" s="110">
        <f>'Propylene Recycling HC'!AC65*'Propylene Recycling HC'!AC$45/'Propylene Recycling LC'!AC$45</f>
        <v>0.3462079376803241</v>
      </c>
      <c r="AD61" s="110">
        <f>'Propylene Recycling HC'!AD65*'Propylene Recycling HC'!AD$45/'Propylene Recycling LC'!AD$45</f>
        <v>0.36734838996033742</v>
      </c>
      <c r="AE61" s="110">
        <f>'Propylene Recycling HC'!AE65*'Propylene Recycling HC'!AE$45/'Propylene Recycling LC'!AE$45</f>
        <v>0.38886656007369935</v>
      </c>
      <c r="AF61" s="110">
        <f>'Propylene Recycling HC'!AF65*'Propylene Recycling HC'!AF$45/'Propylene Recycling LC'!AF$45</f>
        <v>0.41075533787602286</v>
      </c>
      <c r="AG61" s="110">
        <f>'Propylene Recycling HC'!AG65*'Propylene Recycling HC'!AG$45/'Propylene Recycling LC'!AG$45</f>
        <v>0.433007384748196</v>
      </c>
      <c r="AI61" s="133" t="s">
        <v>1314</v>
      </c>
      <c r="AJ61" s="211"/>
      <c r="AL61" s="108"/>
      <c r="AM61" s="2"/>
      <c r="AN61" s="2"/>
      <c r="AO61" s="2"/>
    </row>
    <row r="62" spans="1:63" ht="16" outlineLevel="1" x14ac:dyDescent="0.2">
      <c r="A62" t="s">
        <v>1495</v>
      </c>
      <c r="B62" s="54" t="s">
        <v>462</v>
      </c>
      <c r="C62" s="110">
        <f>'Propylene Recycling HC'!C66*'Propylene Recycling HC'!C$45/'Propylene Recycling LC'!C$45</f>
        <v>8.5666662059018222E-3</v>
      </c>
      <c r="D62" s="110">
        <f>'Propylene Recycling HC'!D66*'Propylene Recycling HC'!D$45/'Propylene Recycling LC'!D$45</f>
        <v>9.08388965111704E-3</v>
      </c>
      <c r="E62" s="110">
        <f>'Propylene Recycling HC'!E66*'Propylene Recycling HC'!E$45/'Propylene Recycling LC'!E$45</f>
        <v>9.6153057143662235E-3</v>
      </c>
      <c r="F62" s="110">
        <f>'Propylene Recycling HC'!F66*'Propylene Recycling HC'!F$45/'Propylene Recycling LC'!F$45</f>
        <v>1.0160853335792072E-2</v>
      </c>
      <c r="G62" s="110">
        <f>'Propylene Recycling HC'!G66*'Propylene Recycling HC'!G$45/'Propylene Recycling LC'!G$45</f>
        <v>1.0720470453841493E-2</v>
      </c>
      <c r="H62" s="110">
        <f>'Propylene Recycling HC'!H66*'Propylene Recycling HC'!H$45/'Propylene Recycling LC'!H$45</f>
        <v>1.1294093984639762E-2</v>
      </c>
      <c r="I62" s="110">
        <f>'Propylene Recycling HC'!I66*'Propylene Recycling HC'!I$45/'Propylene Recycling LC'!I$45</f>
        <v>1.1881659800853017E-2</v>
      </c>
      <c r="J62" s="110">
        <f>'Propylene Recycling HC'!J66*'Propylene Recycling HC'!J$45/'Propylene Recycling LC'!J$45</f>
        <v>1.2483102710024044E-2</v>
      </c>
      <c r="K62" s="110">
        <f>'Propylene Recycling HC'!K66*'Propylene Recycling HC'!K$45/'Propylene Recycling LC'!K$45</f>
        <v>1.3098356432366134E-2</v>
      </c>
      <c r="L62" s="110">
        <f>'Propylene Recycling HC'!L66*'Propylene Recycling HC'!L$45/'Propylene Recycling LC'!L$45</f>
        <v>1.3727353577999016E-2</v>
      </c>
      <c r="M62" s="110">
        <f>'Propylene Recycling HC'!M66*'Propylene Recycling HC'!M$45/'Propylene Recycling LC'!M$45</f>
        <v>1.4370025623610477E-2</v>
      </c>
      <c r="N62" s="110">
        <f>'Propylene Recycling HC'!N66*'Propylene Recycling HC'!N$45/'Propylene Recycling LC'!N$45</f>
        <v>1.5505716282787173E-2</v>
      </c>
      <c r="O62" s="110">
        <f>'Propylene Recycling HC'!O66*'Propylene Recycling HC'!O$45/'Propylene Recycling LC'!O$45</f>
        <v>1.6672883225426486E-2</v>
      </c>
      <c r="P62" s="110">
        <f>'Propylene Recycling HC'!P66*'Propylene Recycling HC'!P$45/'Propylene Recycling LC'!P$45</f>
        <v>1.7867564340978654E-2</v>
      </c>
      <c r="Q62" s="110">
        <f>'Propylene Recycling HC'!Q66*'Propylene Recycling HC'!Q$45/'Propylene Recycling LC'!Q$45</f>
        <v>1.9091443738380884E-2</v>
      </c>
      <c r="R62" s="110">
        <f>'Propylene Recycling HC'!R66*'Propylene Recycling HC'!R$45/'Propylene Recycling LC'!R$45</f>
        <v>2.0344183013815225E-2</v>
      </c>
      <c r="S62" s="110">
        <f>'Propylene Recycling HC'!S66*'Propylene Recycling HC'!S$45/'Propylene Recycling LC'!S$45</f>
        <v>2.1625433855684929E-2</v>
      </c>
      <c r="T62" s="110">
        <f>'Propylene Recycling HC'!T66*'Propylene Recycling HC'!T$45/'Propylene Recycling LC'!T$45</f>
        <v>2.2934837679341274E-2</v>
      </c>
      <c r="U62" s="110">
        <f>'Propylene Recycling HC'!U66*'Propylene Recycling HC'!U$45/'Propylene Recycling LC'!U$45</f>
        <v>2.4272025245530252E-2</v>
      </c>
      <c r="V62" s="110">
        <f>'Propylene Recycling HC'!V66*'Propylene Recycling HC'!V$45/'Propylene Recycling LC'!V$45</f>
        <v>2.5636616261706463E-2</v>
      </c>
      <c r="W62" s="110">
        <f>'Propylene Recycling HC'!W66*'Propylene Recycling HC'!W$45/'Propylene Recycling LC'!W$45</f>
        <v>2.7028218965309804E-2</v>
      </c>
      <c r="X62" s="110">
        <f>'Propylene Recycling HC'!X66*'Propylene Recycling HC'!X$45/'Propylene Recycling LC'!X$45</f>
        <v>2.9025892481351206E-2</v>
      </c>
      <c r="Y62" s="110">
        <f>'Propylene Recycling HC'!Y66*'Propylene Recycling HC'!Y$45/'Propylene Recycling LC'!Y$45</f>
        <v>3.1092836533051737E-2</v>
      </c>
      <c r="Z62" s="110">
        <f>'Propylene Recycling HC'!Z66*'Propylene Recycling HC'!Z$45/'Propylene Recycling LC'!Z$45</f>
        <v>3.3202780702265615E-2</v>
      </c>
      <c r="AA62" s="110">
        <f>'Propylene Recycling HC'!AA66*'Propylene Recycling HC'!AA$45/'Propylene Recycling LC'!AA$45</f>
        <v>3.535507323959583E-2</v>
      </c>
      <c r="AB62" s="110">
        <f>'Propylene Recycling HC'!AB66*'Propylene Recycling HC'!AB$45/'Propylene Recycling LC'!AB$45</f>
        <v>3.7549042261310138E-2</v>
      </c>
      <c r="AC62" s="110">
        <f>'Propylene Recycling HC'!AC66*'Propylene Recycling HC'!AC$45/'Propylene Recycling LC'!AC$45</f>
        <v>3.9783994965783075E-2</v>
      </c>
      <c r="AD62" s="110">
        <f>'Propylene Recycling HC'!AD66*'Propylene Recycling HC'!AD$45/'Propylene Recycling LC'!AD$45</f>
        <v>4.2059216813059012E-2</v>
      </c>
      <c r="AE62" s="110">
        <f>'Propylene Recycling HC'!AE66*'Propylene Recycling HC'!AE$45/'Propylene Recycling LC'!AE$45</f>
        <v>4.4373970665494943E-2</v>
      </c>
      <c r="AF62" s="110">
        <f>'Propylene Recycling HC'!AF66*'Propylene Recycling HC'!AF$45/'Propylene Recycling LC'!AF$45</f>
        <v>4.6727495887312238E-2</v>
      </c>
      <c r="AG62" s="110">
        <f>'Propylene Recycling HC'!AG66*'Propylene Recycling HC'!AG$45/'Propylene Recycling LC'!AG$45</f>
        <v>4.9119007400746144E-2</v>
      </c>
      <c r="AI62" s="133" t="s">
        <v>1314</v>
      </c>
      <c r="AJ62" s="211"/>
      <c r="AL62" s="108"/>
      <c r="AM62" s="2"/>
      <c r="AN62" s="2"/>
      <c r="AO62" s="2"/>
      <c r="BC62" s="1"/>
      <c r="BD62" s="2"/>
      <c r="BE62" s="2"/>
      <c r="BF62" s="2"/>
      <c r="BG62" s="2"/>
      <c r="BH62" s="2"/>
      <c r="BI62" s="2"/>
      <c r="BJ62" s="2"/>
      <c r="BK62" s="2"/>
    </row>
    <row r="63" spans="1:63" ht="16" outlineLevel="1" x14ac:dyDescent="0.2">
      <c r="A63" t="s">
        <v>1496</v>
      </c>
      <c r="B63" s="54" t="s">
        <v>462</v>
      </c>
      <c r="C63" s="110">
        <f>'Propylene Recycling HC'!C67*'Propylene Recycling HC'!C$45/'Propylene Recycling LC'!C$45</f>
        <v>3.4266664823607289E-2</v>
      </c>
      <c r="D63" s="110">
        <f>'Propylene Recycling HC'!D67*'Propylene Recycling HC'!D$45/'Propylene Recycling LC'!D$45</f>
        <v>3.633555860446816E-2</v>
      </c>
      <c r="E63" s="110">
        <f>'Propylene Recycling HC'!E67*'Propylene Recycling HC'!E$45/'Propylene Recycling LC'!E$45</f>
        <v>3.8461222857464894E-2</v>
      </c>
      <c r="F63" s="110">
        <f>'Propylene Recycling HC'!F67*'Propylene Recycling HC'!F$45/'Propylene Recycling LC'!F$45</f>
        <v>4.0643413343168289E-2</v>
      </c>
      <c r="G63" s="110">
        <f>'Propylene Recycling HC'!G67*'Propylene Recycling HC'!G$45/'Propylene Recycling LC'!G$45</f>
        <v>4.2881881815365973E-2</v>
      </c>
      <c r="H63" s="110">
        <f>'Propylene Recycling HC'!H67*'Propylene Recycling HC'!H$45/'Propylene Recycling LC'!H$45</f>
        <v>4.5176375938559048E-2</v>
      </c>
      <c r="I63" s="110">
        <f>'Propylene Recycling HC'!I67*'Propylene Recycling HC'!I$45/'Propylene Recycling LC'!I$45</f>
        <v>4.7526639203412067E-2</v>
      </c>
      <c r="J63" s="110">
        <f>'Propylene Recycling HC'!J67*'Propylene Recycling HC'!J$45/'Propylene Recycling LC'!J$45</f>
        <v>4.9932410840096177E-2</v>
      </c>
      <c r="K63" s="110">
        <f>'Propylene Recycling HC'!K67*'Propylene Recycling HC'!K$45/'Propylene Recycling LC'!K$45</f>
        <v>5.2393425729464538E-2</v>
      </c>
      <c r="L63" s="110">
        <f>'Propylene Recycling HC'!L67*'Propylene Recycling HC'!L$45/'Propylene Recycling LC'!L$45</f>
        <v>5.4909414311996065E-2</v>
      </c>
      <c r="M63" s="110">
        <f>'Propylene Recycling HC'!M67*'Propylene Recycling HC'!M$45/'Propylene Recycling LC'!M$45</f>
        <v>5.7480102494441909E-2</v>
      </c>
      <c r="N63" s="110">
        <f>'Propylene Recycling HC'!N67*'Propylene Recycling HC'!N$45/'Propylene Recycling LC'!N$45</f>
        <v>6.2022865131148693E-2</v>
      </c>
      <c r="O63" s="110">
        <f>'Propylene Recycling HC'!O67*'Propylene Recycling HC'!O$45/'Propylene Recycling LC'!O$45</f>
        <v>6.6691532901705944E-2</v>
      </c>
      <c r="P63" s="110">
        <f>'Propylene Recycling HC'!P67*'Propylene Recycling HC'!P$45/'Propylene Recycling LC'!P$45</f>
        <v>7.1470257363914616E-2</v>
      </c>
      <c r="Q63" s="110">
        <f>'Propylene Recycling HC'!Q67*'Propylene Recycling HC'!Q$45/'Propylene Recycling LC'!Q$45</f>
        <v>7.6365774953523535E-2</v>
      </c>
      <c r="R63" s="110">
        <f>'Propylene Recycling HC'!R67*'Propylene Recycling HC'!R$45/'Propylene Recycling LC'!R$45</f>
        <v>8.13767320552609E-2</v>
      </c>
      <c r="S63" s="110">
        <f>'Propylene Recycling HC'!S67*'Propylene Recycling HC'!S$45/'Propylene Recycling LC'!S$45</f>
        <v>8.6501735422739714E-2</v>
      </c>
      <c r="T63" s="110">
        <f>'Propylene Recycling HC'!T67*'Propylene Recycling HC'!T$45/'Propylene Recycling LC'!T$45</f>
        <v>9.1739350717365095E-2</v>
      </c>
      <c r="U63" s="110">
        <f>'Propylene Recycling HC'!U67*'Propylene Recycling HC'!U$45/'Propylene Recycling LC'!U$45</f>
        <v>9.7088100982121006E-2</v>
      </c>
      <c r="V63" s="110">
        <f>'Propylene Recycling HC'!V67*'Propylene Recycling HC'!V$45/'Propylene Recycling LC'!V$45</f>
        <v>0.10254646504682585</v>
      </c>
      <c r="W63" s="110">
        <f>'Propylene Recycling HC'!W67*'Propylene Recycling HC'!W$45/'Propylene Recycling LC'!W$45</f>
        <v>0.10811287586123922</v>
      </c>
      <c r="X63" s="110">
        <f>'Propylene Recycling HC'!X67*'Propylene Recycling HC'!X$45/'Propylene Recycling LC'!X$45</f>
        <v>0.11610356992540483</v>
      </c>
      <c r="Y63" s="110">
        <f>'Propylene Recycling HC'!Y67*'Propylene Recycling HC'!Y$45/'Propylene Recycling LC'!Y$45</f>
        <v>0.12437134613220695</v>
      </c>
      <c r="Z63" s="110">
        <f>'Propylene Recycling HC'!Z67*'Propylene Recycling HC'!Z$45/'Propylene Recycling LC'!Z$45</f>
        <v>0.13281112280906246</v>
      </c>
      <c r="AA63" s="110">
        <f>'Propylene Recycling HC'!AA67*'Propylene Recycling HC'!AA$45/'Propylene Recycling LC'!AA$45</f>
        <v>0.14142029295838332</v>
      </c>
      <c r="AB63" s="110">
        <f>'Propylene Recycling HC'!AB67*'Propylene Recycling HC'!AB$45/'Propylene Recycling LC'!AB$45</f>
        <v>0.15019616904524055</v>
      </c>
      <c r="AC63" s="110">
        <f>'Propylene Recycling HC'!AC67*'Propylene Recycling HC'!AC$45/'Propylene Recycling LC'!AC$45</f>
        <v>0.1591359798631323</v>
      </c>
      <c r="AD63" s="110">
        <f>'Propylene Recycling HC'!AD67*'Propylene Recycling HC'!AD$45/'Propylene Recycling LC'!AD$45</f>
        <v>0.16823686725223605</v>
      </c>
      <c r="AE63" s="110">
        <f>'Propylene Recycling HC'!AE67*'Propylene Recycling HC'!AE$45/'Propylene Recycling LC'!AE$45</f>
        <v>0.17749588266197977</v>
      </c>
      <c r="AF63" s="110">
        <f>'Propylene Recycling HC'!AF67*'Propylene Recycling HC'!AF$45/'Propylene Recycling LC'!AF$45</f>
        <v>0.18690998354924895</v>
      </c>
      <c r="AG63" s="110">
        <f>'Propylene Recycling HC'!AG67*'Propylene Recycling HC'!AG$45/'Propylene Recycling LC'!AG$45</f>
        <v>0.19647602960298458</v>
      </c>
      <c r="AI63" s="133" t="s">
        <v>1314</v>
      </c>
      <c r="AJ63" s="211"/>
      <c r="AL63" s="108"/>
      <c r="AM63" s="2"/>
      <c r="AN63" s="2"/>
      <c r="AO63" s="2"/>
      <c r="BC63" s="1"/>
      <c r="BD63" s="2"/>
      <c r="BE63" s="2"/>
      <c r="BF63" s="2"/>
      <c r="BG63" s="2"/>
      <c r="BH63" s="2"/>
      <c r="BI63" s="2"/>
      <c r="BJ63" s="2"/>
      <c r="BK63" s="2"/>
    </row>
    <row r="64" spans="1:63" outlineLevel="1" x14ac:dyDescent="0.2">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c r="AD64" s="23"/>
      <c r="AE64" s="23"/>
      <c r="AF64" s="23"/>
      <c r="AG64" s="23"/>
      <c r="AI64" s="134"/>
      <c r="AJ64" s="211"/>
      <c r="AL64" s="108"/>
      <c r="AM64" s="132"/>
      <c r="AN64" s="2"/>
      <c r="AO64" s="2"/>
    </row>
    <row r="65" spans="1:63" s="200" customFormat="1" ht="16" thickBot="1" x14ac:dyDescent="0.25">
      <c r="A65" s="200" t="s">
        <v>1330</v>
      </c>
      <c r="B65" s="215"/>
      <c r="C65" s="222">
        <f>C66</f>
        <v>2.5000000000000005E-2</v>
      </c>
      <c r="D65" s="222">
        <f t="shared" ref="D65:AG65" si="27">D66</f>
        <v>3.1255416735465176E-2</v>
      </c>
      <c r="E65" s="222">
        <f t="shared" si="27"/>
        <v>3.7510833470930344E-2</v>
      </c>
      <c r="F65" s="222">
        <f t="shared" si="27"/>
        <v>4.3766250206395518E-2</v>
      </c>
      <c r="G65" s="222">
        <f t="shared" si="27"/>
        <v>5.00216669418607E-2</v>
      </c>
      <c r="H65" s="222">
        <f t="shared" si="27"/>
        <v>5.6277083677325868E-2</v>
      </c>
      <c r="I65" s="222">
        <f t="shared" si="27"/>
        <v>6.2532500412791042E-2</v>
      </c>
      <c r="J65" s="222">
        <f t="shared" si="27"/>
        <v>6.8787917148256203E-2</v>
      </c>
      <c r="K65" s="222">
        <f t="shared" si="27"/>
        <v>7.5043333883721378E-2</v>
      </c>
      <c r="L65" s="222">
        <f t="shared" si="27"/>
        <v>8.1298750619186538E-2</v>
      </c>
      <c r="M65" s="222">
        <f t="shared" si="27"/>
        <v>8.7554167354651713E-2</v>
      </c>
      <c r="N65" s="222">
        <f t="shared" si="27"/>
        <v>0.10073866108940137</v>
      </c>
      <c r="O65" s="222">
        <f t="shared" si="27"/>
        <v>0.11392315482415102</v>
      </c>
      <c r="P65" s="222">
        <f t="shared" si="27"/>
        <v>0.12689082936587356</v>
      </c>
      <c r="Q65" s="222">
        <f t="shared" si="27"/>
        <v>0.13981189915065256</v>
      </c>
      <c r="R65" s="222">
        <f t="shared" si="27"/>
        <v>0.1526859066780295</v>
      </c>
      <c r="S65" s="222">
        <f t="shared" si="27"/>
        <v>0.16551239463970915</v>
      </c>
      <c r="T65" s="222">
        <f t="shared" si="27"/>
        <v>0.17829090591736454</v>
      </c>
      <c r="U65" s="222">
        <f t="shared" si="27"/>
        <v>0.19102098358052086</v>
      </c>
      <c r="V65" s="222">
        <f t="shared" si="27"/>
        <v>0.20370217088451925</v>
      </c>
      <c r="W65" s="222">
        <f t="shared" si="27"/>
        <v>0.21633401126856072</v>
      </c>
      <c r="X65" s="222">
        <f t="shared" si="27"/>
        <v>0.23765168719440344</v>
      </c>
      <c r="Y65" s="222">
        <f t="shared" si="27"/>
        <v>0.25888697591201526</v>
      </c>
      <c r="Z65" s="222">
        <f t="shared" si="27"/>
        <v>0.27844210511066958</v>
      </c>
      <c r="AA65" s="222">
        <f t="shared" si="27"/>
        <v>0.29765121975988829</v>
      </c>
      <c r="AB65" s="222">
        <f t="shared" si="27"/>
        <v>0.31651025249798864</v>
      </c>
      <c r="AC65" s="222">
        <f t="shared" si="27"/>
        <v>0.33501513687441642</v>
      </c>
      <c r="AD65" s="222">
        <f t="shared" si="27"/>
        <v>0.35316180740664199</v>
      </c>
      <c r="AE65" s="222">
        <f t="shared" si="27"/>
        <v>0.37094619967084702</v>
      </c>
      <c r="AF65" s="222">
        <f t="shared" si="27"/>
        <v>0.38836425042751893</v>
      </c>
      <c r="AG65" s="222">
        <f t="shared" si="27"/>
        <v>0.40541189778313569</v>
      </c>
      <c r="AJ65" s="231" t="s">
        <v>1331</v>
      </c>
      <c r="AL65" s="217"/>
      <c r="AM65" s="218"/>
      <c r="AN65" s="218"/>
      <c r="AO65" s="218"/>
    </row>
    <row r="66" spans="1:63" ht="17" outlineLevel="1" thickTop="1" x14ac:dyDescent="0.2">
      <c r="A66" t="s">
        <v>1332</v>
      </c>
      <c r="B66" s="54" t="s">
        <v>462</v>
      </c>
      <c r="C66" s="110">
        <f>'Propylene Recycling HC'!C70*'Propylene Recycling HC'!C$46/'Propylene Recycling LC'!C$46</f>
        <v>2.5000000000000005E-2</v>
      </c>
      <c r="D66" s="110">
        <f>'Propylene Recycling HC'!D70*'Propylene Recycling HC'!D$46/'Propylene Recycling LC'!D$46</f>
        <v>3.1255416735465176E-2</v>
      </c>
      <c r="E66" s="110">
        <f>'Propylene Recycling HC'!E70*'Propylene Recycling HC'!E$46/'Propylene Recycling LC'!E$46</f>
        <v>3.7510833470930344E-2</v>
      </c>
      <c r="F66" s="110">
        <f>'Propylene Recycling HC'!F70*'Propylene Recycling HC'!F$46/'Propylene Recycling LC'!F$46</f>
        <v>4.3766250206395518E-2</v>
      </c>
      <c r="G66" s="110">
        <f>'Propylene Recycling HC'!G70*'Propylene Recycling HC'!G$46/'Propylene Recycling LC'!G$46</f>
        <v>5.00216669418607E-2</v>
      </c>
      <c r="H66" s="110">
        <f>'Propylene Recycling HC'!H70*'Propylene Recycling HC'!H$46/'Propylene Recycling LC'!H$46</f>
        <v>5.6277083677325868E-2</v>
      </c>
      <c r="I66" s="110">
        <f>'Propylene Recycling HC'!I70*'Propylene Recycling HC'!I$46/'Propylene Recycling LC'!I$46</f>
        <v>6.2532500412791042E-2</v>
      </c>
      <c r="J66" s="110">
        <f>'Propylene Recycling HC'!J70*'Propylene Recycling HC'!J$46/'Propylene Recycling LC'!J$46</f>
        <v>6.8787917148256203E-2</v>
      </c>
      <c r="K66" s="110">
        <f>'Propylene Recycling HC'!K70*'Propylene Recycling HC'!K$46/'Propylene Recycling LC'!K$46</f>
        <v>7.5043333883721378E-2</v>
      </c>
      <c r="L66" s="110">
        <f>'Propylene Recycling HC'!L70*'Propylene Recycling HC'!L$46/'Propylene Recycling LC'!L$46</f>
        <v>8.1298750619186538E-2</v>
      </c>
      <c r="M66" s="110">
        <f>'Propylene Recycling HC'!M70*'Propylene Recycling HC'!M$46/'Propylene Recycling LC'!M$46</f>
        <v>8.7554167354651713E-2</v>
      </c>
      <c r="N66" s="110">
        <f>'Propylene Recycling HC'!N70*'Propylene Recycling HC'!N$46/'Propylene Recycling LC'!N$46</f>
        <v>0.10073866108940137</v>
      </c>
      <c r="O66" s="110">
        <f>'Propylene Recycling HC'!O70*'Propylene Recycling HC'!O$46/'Propylene Recycling LC'!O$46</f>
        <v>0.11392315482415102</v>
      </c>
      <c r="P66" s="110">
        <f>'Propylene Recycling HC'!P70*'Propylene Recycling HC'!P$46/'Propylene Recycling LC'!P$46</f>
        <v>0.12689082936587356</v>
      </c>
      <c r="Q66" s="110">
        <f>'Propylene Recycling HC'!Q70*'Propylene Recycling HC'!Q$46/'Propylene Recycling LC'!Q$46</f>
        <v>0.13981189915065256</v>
      </c>
      <c r="R66" s="110">
        <f>'Propylene Recycling HC'!R70*'Propylene Recycling HC'!R$46/'Propylene Recycling LC'!R$46</f>
        <v>0.1526859066780295</v>
      </c>
      <c r="S66" s="110">
        <f>'Propylene Recycling HC'!S70*'Propylene Recycling HC'!S$46/'Propylene Recycling LC'!S$46</f>
        <v>0.16551239463970915</v>
      </c>
      <c r="T66" s="110">
        <f>'Propylene Recycling HC'!T70*'Propylene Recycling HC'!T$46/'Propylene Recycling LC'!T$46</f>
        <v>0.17829090591736454</v>
      </c>
      <c r="U66" s="110">
        <f>'Propylene Recycling HC'!U70*'Propylene Recycling HC'!U$46/'Propylene Recycling LC'!U$46</f>
        <v>0.19102098358052086</v>
      </c>
      <c r="V66" s="110">
        <f>'Propylene Recycling HC'!V70*'Propylene Recycling HC'!V$46/'Propylene Recycling LC'!V$46</f>
        <v>0.20370217088451925</v>
      </c>
      <c r="W66" s="110">
        <f>'Propylene Recycling HC'!W70*'Propylene Recycling HC'!W$46/'Propylene Recycling LC'!W$46</f>
        <v>0.21633401126856072</v>
      </c>
      <c r="X66" s="110">
        <f>'Propylene Recycling HC'!X70*'Propylene Recycling HC'!X$46/'Propylene Recycling LC'!X$46</f>
        <v>0.23765168719440344</v>
      </c>
      <c r="Y66" s="110">
        <f>'Propylene Recycling HC'!Y70*'Propylene Recycling HC'!Y$46/'Propylene Recycling LC'!Y$46</f>
        <v>0.25888697591201526</v>
      </c>
      <c r="Z66" s="110">
        <f>'Propylene Recycling HC'!Z70*'Propylene Recycling HC'!Z$46/'Propylene Recycling LC'!Z$46</f>
        <v>0.27844210511066958</v>
      </c>
      <c r="AA66" s="110">
        <f>'Propylene Recycling HC'!AA70*'Propylene Recycling HC'!AA$46/'Propylene Recycling LC'!AA$46</f>
        <v>0.29765121975988829</v>
      </c>
      <c r="AB66" s="110">
        <f>'Propylene Recycling HC'!AB70*'Propylene Recycling HC'!AB$46/'Propylene Recycling LC'!AB$46</f>
        <v>0.31651025249798864</v>
      </c>
      <c r="AC66" s="110">
        <f>'Propylene Recycling HC'!AC70*'Propylene Recycling HC'!AC$46/'Propylene Recycling LC'!AC$46</f>
        <v>0.33501513687441642</v>
      </c>
      <c r="AD66" s="110">
        <f>'Propylene Recycling HC'!AD70*'Propylene Recycling HC'!AD$46/'Propylene Recycling LC'!AD$46</f>
        <v>0.35316180740664199</v>
      </c>
      <c r="AE66" s="110">
        <f>'Propylene Recycling HC'!AE70*'Propylene Recycling HC'!AE$46/'Propylene Recycling LC'!AE$46</f>
        <v>0.37094619967084702</v>
      </c>
      <c r="AF66" s="110">
        <f>'Propylene Recycling HC'!AF70*'Propylene Recycling HC'!AF$46/'Propylene Recycling LC'!AF$46</f>
        <v>0.38836425042751893</v>
      </c>
      <c r="AG66" s="110">
        <f>'Propylene Recycling HC'!AG70*'Propylene Recycling HC'!AG$46/'Propylene Recycling LC'!AG$46</f>
        <v>0.40541189778313569</v>
      </c>
      <c r="AI66" s="133" t="s">
        <v>1314</v>
      </c>
      <c r="AJ66" s="211"/>
    </row>
    <row r="67" spans="1:63" ht="16" outlineLevel="1" x14ac:dyDescent="0.2">
      <c r="A67" t="s">
        <v>1333</v>
      </c>
      <c r="B67" s="54" t="s">
        <v>462</v>
      </c>
      <c r="C67" s="110">
        <f>'Propylene Recycling HC'!C73*'Propylene Recycling HC'!C$46/'Propylene Recycling LC'!C$46</f>
        <v>2E-3</v>
      </c>
      <c r="D67" s="110">
        <f>'Propylene Recycling HC'!D73*'Propylene Recycling HC'!D$46/'Propylene Recycling LC'!D$46</f>
        <v>3.2505633404883785E-3</v>
      </c>
      <c r="E67" s="110">
        <f>'Propylene Recycling HC'!E73*'Propylene Recycling HC'!E$46/'Propylene Recycling LC'!E$46</f>
        <v>4.8013866842790843E-3</v>
      </c>
      <c r="F67" s="110">
        <f>'Propylene Recycling HC'!F73*'Propylene Recycling HC'!F$46/'Propylene Recycling LC'!F$46</f>
        <v>6.652470031372119E-3</v>
      </c>
      <c r="G67" s="110">
        <f>'Propylene Recycling HC'!G73*'Propylene Recycling HC'!G$46/'Propylene Recycling LC'!G$46</f>
        <v>8.8038133817674811E-3</v>
      </c>
      <c r="H67" s="110">
        <f>'Propylene Recycling HC'!H73*'Propylene Recycling HC'!H$46/'Propylene Recycling LC'!H$46</f>
        <v>1.125541673546517E-2</v>
      </c>
      <c r="I67" s="110">
        <f>'Propylene Recycling HC'!I73*'Propylene Recycling HC'!I$46/'Propylene Recycling LC'!I$46</f>
        <v>1.400728009246519E-2</v>
      </c>
      <c r="J67" s="110">
        <f>'Propylene Recycling HC'!J73*'Propylene Recycling HC'!J$46/'Propylene Recycling LC'!J$46</f>
        <v>1.7059403452767536E-2</v>
      </c>
      <c r="K67" s="110">
        <f>'Propylene Recycling HC'!K73*'Propylene Recycling HC'!K$46/'Propylene Recycling LC'!K$46</f>
        <v>2.0411786816372211E-2</v>
      </c>
      <c r="L67" s="110">
        <f>'Propylene Recycling HC'!L73*'Propylene Recycling HC'!L$46/'Propylene Recycling LC'!L$46</f>
        <v>2.4064430183279219E-2</v>
      </c>
      <c r="M67" s="110">
        <f>'Propylene Recycling HC'!M73*'Propylene Recycling HC'!M$46/'Propylene Recycling LC'!M$46</f>
        <v>2.8017333553488549E-2</v>
      </c>
      <c r="N67" s="110">
        <f>'Propylene Recycling HC'!N73*'Propylene Recycling HC'!N$46/'Propylene Recycling LC'!N$46</f>
        <v>3.4654099414754072E-2</v>
      </c>
      <c r="O67" s="110">
        <f>'Propylene Recycling HC'!O73*'Propylene Recycling HC'!O$46/'Propylene Recycling LC'!O$46</f>
        <v>4.1923720975287584E-2</v>
      </c>
      <c r="P67" s="110">
        <f>'Propylene Recycling HC'!P73*'Propylene Recycling HC'!P$46/'Propylene Recycling LC'!P$46</f>
        <v>4.9741205111422444E-2</v>
      </c>
      <c r="Q67" s="110">
        <f>'Propylene Recycling HC'!Q73*'Propylene Recycling HC'!Q$46/'Propylene Recycling LC'!Q$46</f>
        <v>5.8161750046671477E-2</v>
      </c>
      <c r="R67" s="110">
        <f>'Propylene Recycling HC'!R73*'Propylene Recycling HC'!R$46/'Propylene Recycling LC'!R$46</f>
        <v>6.7181798938333009E-2</v>
      </c>
      <c r="S67" s="110">
        <f>'Propylene Recycling HC'!S73*'Propylene Recycling HC'!S$46/'Propylene Recycling LC'!S$46</f>
        <v>7.6797751112825066E-2</v>
      </c>
      <c r="T67" s="110">
        <f>'Propylene Recycling HC'!T73*'Propylene Recycling HC'!T$46/'Propylene Recycling LC'!T$46</f>
        <v>8.700596208767393E-2</v>
      </c>
      <c r="U67" s="110">
        <f>'Propylene Recycling HC'!U73*'Propylene Recycling HC'!U$46/'Propylene Recycling LC'!U$46</f>
        <v>9.7802743593226688E-2</v>
      </c>
      <c r="V67" s="110">
        <f>'Propylene Recycling HC'!V73*'Propylene Recycling HC'!V$46/'Propylene Recycling LC'!V$46</f>
        <v>0.10918436359410236</v>
      </c>
      <c r="W67" s="110">
        <f>'Propylene Recycling HC'!W73*'Propylene Recycling HC'!W$46/'Propylene Recycling LC'!W$46</f>
        <v>0.12114704631039405</v>
      </c>
      <c r="X67" s="110">
        <f>'Propylene Recycling HC'!X73*'Propylene Recycling HC'!X$46/'Propylene Recycling LC'!X$46</f>
        <v>0.13878858532153163</v>
      </c>
      <c r="Y67" s="110">
        <f>'Propylene Recycling HC'!Y73*'Propylene Recycling HC'!Y$46/'Propylene Recycling LC'!Y$46</f>
        <v>0.15740328135450535</v>
      </c>
      <c r="Z67" s="110">
        <f>'Propylene Recycling HC'!Z73*'Propylene Recycling HC'!Z$46/'Propylene Recycling LC'!Z$46</f>
        <v>0.17597541042994325</v>
      </c>
      <c r="AA67" s="110">
        <f>'Propylene Recycling HC'!AA73*'Propylene Recycling HC'!AA$46/'Propylene Recycling LC'!AA$46</f>
        <v>0.19525920016248682</v>
      </c>
      <c r="AB67" s="110">
        <f>'Propylene Recycling HC'!AB73*'Propylene Recycling HC'!AB$46/'Propylene Recycling LC'!AB$46</f>
        <v>0.21522697169863236</v>
      </c>
      <c r="AC67" s="110">
        <f>'Propylene Recycling HC'!AC73*'Propylene Recycling HC'!AC$46/'Propylene Recycling LC'!AC$46</f>
        <v>0.23585065635958929</v>
      </c>
      <c r="AD67" s="110">
        <f>'Propylene Recycling HC'!AD73*'Propylene Recycling HC'!AD$46/'Propylene Recycling LC'!AD$46</f>
        <v>0.25710179579203546</v>
      </c>
      <c r="AE67" s="110">
        <f>'Propylene Recycling HC'!AE73*'Propylene Recycling HC'!AE$46/'Propylene Recycling LC'!AE$46</f>
        <v>0.27895154215247708</v>
      </c>
      <c r="AF67" s="110">
        <f>'Propylene Recycling HC'!AF73*'Propylene Recycling HC'!AF$46/'Propylene Recycling LC'!AF$46</f>
        <v>0.3013706583317548</v>
      </c>
      <c r="AG67" s="110">
        <f>'Propylene Recycling HC'!AG73*'Propylene Recycling HC'!AG$46/'Propylene Recycling LC'!AG$46</f>
        <v>0.32432951822650857</v>
      </c>
      <c r="AI67" s="133" t="s">
        <v>1314</v>
      </c>
      <c r="AJ67" s="211"/>
      <c r="BD67" s="203"/>
      <c r="BE67" s="203"/>
    </row>
    <row r="68" spans="1:63" ht="16" outlineLevel="1" x14ac:dyDescent="0.2">
      <c r="A68" t="s">
        <v>1334</v>
      </c>
      <c r="B68" s="54" t="s">
        <v>462</v>
      </c>
      <c r="C68" s="110">
        <f>'Propylene Recycling HC'!C74*'Propylene Recycling HC'!C$46/'Propylene Recycling LC'!C$46</f>
        <v>2.3000000000000003E-2</v>
      </c>
      <c r="D68" s="110">
        <f>'Propylene Recycling HC'!D74*'Propylene Recycling HC'!D$46/'Propylene Recycling LC'!D$46</f>
        <v>2.8004853394976797E-2</v>
      </c>
      <c r="E68" s="110">
        <f>'Propylene Recycling HC'!E74*'Propylene Recycling HC'!E$46/'Propylene Recycling LC'!E$46</f>
        <v>3.2709446786651261E-2</v>
      </c>
      <c r="F68" s="110">
        <f>'Propylene Recycling HC'!F74*'Propylene Recycling HC'!F$46/'Propylene Recycling LC'!F$46</f>
        <v>3.7113780175023398E-2</v>
      </c>
      <c r="G68" s="110">
        <f>'Propylene Recycling HC'!G74*'Propylene Recycling HC'!G$46/'Propylene Recycling LC'!G$46</f>
        <v>4.1217853560093214E-2</v>
      </c>
      <c r="H68" s="110">
        <f>'Propylene Recycling HC'!H74*'Propylene Recycling HC'!H$46/'Propylene Recycling LC'!H$46</f>
        <v>4.5021666941860689E-2</v>
      </c>
      <c r="I68" s="110">
        <f>'Propylene Recycling HC'!I74*'Propylene Recycling HC'!I$46/'Propylene Recycling LC'!I$46</f>
        <v>4.8525220320325857E-2</v>
      </c>
      <c r="J68" s="110">
        <f>'Propylene Recycling HC'!J74*'Propylene Recycling HC'!J$46/'Propylene Recycling LC'!J$46</f>
        <v>5.172851369548867E-2</v>
      </c>
      <c r="K68" s="110">
        <f>'Propylene Recycling HC'!K74*'Propylene Recycling HC'!K$46/'Propylene Recycling LC'!K$46</f>
        <v>5.4631547067349163E-2</v>
      </c>
      <c r="L68" s="110">
        <f>'Propylene Recycling HC'!L74*'Propylene Recycling HC'!L$46/'Propylene Recycling LC'!L$46</f>
        <v>5.7234320435907329E-2</v>
      </c>
      <c r="M68" s="110">
        <f>'Propylene Recycling HC'!M74*'Propylene Recycling HC'!M$46/'Propylene Recycling LC'!M$46</f>
        <v>5.9536833801163168E-2</v>
      </c>
      <c r="N68" s="110">
        <f>'Propylene Recycling HC'!N74*'Propylene Recycling HC'!N$46/'Propylene Recycling LC'!N$46</f>
        <v>6.6084561674647282E-2</v>
      </c>
      <c r="O68" s="110">
        <f>'Propylene Recycling HC'!O74*'Propylene Recycling HC'!O$46/'Propylene Recycling LC'!O$46</f>
        <v>7.1999433848863439E-2</v>
      </c>
      <c r="P68" s="110">
        <f>'Propylene Recycling HC'!P74*'Propylene Recycling HC'!P$46/'Propylene Recycling LC'!P$46</f>
        <v>7.7149624254451099E-2</v>
      </c>
      <c r="Q68" s="110">
        <f>'Propylene Recycling HC'!Q74*'Propylene Recycling HC'!Q$46/'Propylene Recycling LC'!Q$46</f>
        <v>8.1650149103981065E-2</v>
      </c>
      <c r="R68" s="110">
        <f>'Propylene Recycling HC'!R74*'Propylene Recycling HC'!R$46/'Propylene Recycling LC'!R$46</f>
        <v>8.5504107739696508E-2</v>
      </c>
      <c r="S68" s="110">
        <f>'Propylene Recycling HC'!S74*'Propylene Recycling HC'!S$46/'Propylene Recycling LC'!S$46</f>
        <v>8.8714643526884088E-2</v>
      </c>
      <c r="T68" s="110">
        <f>'Propylene Recycling HC'!T74*'Propylene Recycling HC'!T$46/'Propylene Recycling LC'!T$46</f>
        <v>9.1284943829690601E-2</v>
      </c>
      <c r="U68" s="110">
        <f>'Propylene Recycling HC'!U74*'Propylene Recycling HC'!U$46/'Propylene Recycling LC'!U$46</f>
        <v>9.3218239987294144E-2</v>
      </c>
      <c r="V68" s="110">
        <f>'Propylene Recycling HC'!V74*'Propylene Recycling HC'!V$46/'Propylene Recycling LC'!V$46</f>
        <v>9.4517807290416894E-2</v>
      </c>
      <c r="W68" s="110">
        <f>'Propylene Recycling HC'!W74*'Propylene Recycling HC'!W$46/'Propylene Recycling LC'!W$46</f>
        <v>9.5186964958166684E-2</v>
      </c>
      <c r="X68" s="110">
        <f>'Propylene Recycling HC'!X74*'Propylene Recycling HC'!X$46/'Propylene Recycling LC'!X$46</f>
        <v>9.8863101872871784E-2</v>
      </c>
      <c r="Y68" s="110">
        <f>'Propylene Recycling HC'!Y74*'Propylene Recycling HC'!Y$46/'Propylene Recycling LC'!Y$46</f>
        <v>0.10148369455750993</v>
      </c>
      <c r="Z68" s="110">
        <f>'Propylene Recycling HC'!Z74*'Propylene Recycling HC'!Z$46/'Propylene Recycling LC'!Z$46</f>
        <v>0.10246669468072633</v>
      </c>
      <c r="AA68" s="110">
        <f>'Propylene Recycling HC'!AA74*'Propylene Recycling HC'!AA$46/'Propylene Recycling LC'!AA$46</f>
        <v>0.10239201959740152</v>
      </c>
      <c r="AB68" s="110">
        <f>'Propylene Recycling HC'!AB74*'Propylene Recycling HC'!AB$46/'Propylene Recycling LC'!AB$46</f>
        <v>0.10128328079935628</v>
      </c>
      <c r="AC68" s="110">
        <f>'Propylene Recycling HC'!AC74*'Propylene Recycling HC'!AC$46/'Propylene Recycling LC'!AC$46</f>
        <v>9.9164480514827166E-2</v>
      </c>
      <c r="AD68" s="110">
        <f>'Propylene Recycling HC'!AD74*'Propylene Recycling HC'!AD$46/'Propylene Recycling LC'!AD$46</f>
        <v>9.6060011614606519E-2</v>
      </c>
      <c r="AE68" s="110">
        <f>'Propylene Recycling HC'!AE74*'Propylene Recycling HC'!AE$46/'Propylene Recycling LC'!AE$46</f>
        <v>9.1994657518369924E-2</v>
      </c>
      <c r="AF68" s="110">
        <f>'Propylene Recycling HC'!AF74*'Propylene Recycling HC'!AF$46/'Propylene Recycling LC'!AF$46</f>
        <v>8.6993592095764113E-2</v>
      </c>
      <c r="AG68" s="110">
        <f>'Propylene Recycling HC'!AG74*'Propylene Recycling HC'!AG$46/'Propylene Recycling LC'!AG$46</f>
        <v>8.1082379556627115E-2</v>
      </c>
      <c r="AI68" s="133" t="s">
        <v>1314</v>
      </c>
      <c r="AJ68" s="211"/>
      <c r="BD68" s="203"/>
      <c r="BE68" s="203"/>
    </row>
    <row r="69" spans="1:63" ht="16" outlineLevel="1" x14ac:dyDescent="0.2">
      <c r="A69" t="s">
        <v>1335</v>
      </c>
      <c r="B69" s="54" t="s">
        <v>462</v>
      </c>
      <c r="C69" s="110">
        <f>'Propylene Recycling HC'!C81*'Propylene Recycling HC'!C$46/'Propylene Recycling LC'!C$46</f>
        <v>1.1960000000000002E-2</v>
      </c>
      <c r="D69" s="110">
        <f>'Propylene Recycling HC'!D81*'Propylene Recycling HC'!D$46/'Propylene Recycling LC'!D$46</f>
        <v>1.4562523765387934E-2</v>
      </c>
      <c r="E69" s="110">
        <f>'Propylene Recycling HC'!E81*'Propylene Recycling HC'!E$46/'Propylene Recycling LC'!E$46</f>
        <v>1.7008912329058656E-2</v>
      </c>
      <c r="F69" s="110">
        <f>'Propylene Recycling HC'!F81*'Propylene Recycling HC'!F$46/'Propylene Recycling LC'!F$46</f>
        <v>1.9299165691012168E-2</v>
      </c>
      <c r="G69" s="110">
        <f>'Propylene Recycling HC'!G81*'Propylene Recycling HC'!G$46/'Propylene Recycling LC'!G$46</f>
        <v>2.1433283851248472E-2</v>
      </c>
      <c r="H69" s="110">
        <f>'Propylene Recycling HC'!H81*'Propylene Recycling HC'!H$46/'Propylene Recycling LC'!H$46</f>
        <v>2.3411266809767559E-2</v>
      </c>
      <c r="I69" s="110">
        <f>'Propylene Recycling HC'!I81*'Propylene Recycling HC'!I$46/'Propylene Recycling LC'!I$46</f>
        <v>2.5233114566569442E-2</v>
      </c>
      <c r="J69" s="110">
        <f>'Propylene Recycling HC'!J81*'Propylene Recycling HC'!J$46/'Propylene Recycling LC'!J$46</f>
        <v>2.6898827121654107E-2</v>
      </c>
      <c r="K69" s="110">
        <f>'Propylene Recycling HC'!K81*'Propylene Recycling HC'!K$46/'Propylene Recycling LC'!K$46</f>
        <v>2.8408404475021565E-2</v>
      </c>
      <c r="L69" s="110">
        <f>'Propylene Recycling HC'!L81*'Propylene Recycling HC'!L$46/'Propylene Recycling LC'!L$46</f>
        <v>2.9761846626671813E-2</v>
      </c>
      <c r="M69" s="110">
        <f>'Propylene Recycling HC'!M81*'Propylene Recycling HC'!M$46/'Propylene Recycling LC'!M$46</f>
        <v>3.0959153576604843E-2</v>
      </c>
      <c r="N69" s="110">
        <f>'Propylene Recycling HC'!N81*'Propylene Recycling HC'!N$46/'Propylene Recycling LC'!N$46</f>
        <v>3.4363972070816588E-2</v>
      </c>
      <c r="O69" s="110">
        <f>'Propylene Recycling HC'!O81*'Propylene Recycling HC'!O$46/'Propylene Recycling LC'!O$46</f>
        <v>3.7439705601408989E-2</v>
      </c>
      <c r="P69" s="110">
        <f>'Propylene Recycling HC'!P81*'Propylene Recycling HC'!P$46/'Propylene Recycling LC'!P$46</f>
        <v>4.0117804612314574E-2</v>
      </c>
      <c r="Q69" s="110">
        <f>'Propylene Recycling HC'!Q81*'Propylene Recycling HC'!Q$46/'Propylene Recycling LC'!Q$46</f>
        <v>4.245807753407016E-2</v>
      </c>
      <c r="R69" s="110">
        <f>'Propylene Recycling HC'!R81*'Propylene Recycling HC'!R$46/'Propylene Recycling LC'!R$46</f>
        <v>4.4462136024642183E-2</v>
      </c>
      <c r="S69" s="110">
        <f>'Propylene Recycling HC'!S81*'Propylene Recycling HC'!S$46/'Propylene Recycling LC'!S$46</f>
        <v>4.6131614633979724E-2</v>
      </c>
      <c r="T69" s="110">
        <f>'Propylene Recycling HC'!T81*'Propylene Recycling HC'!T$46/'Propylene Recycling LC'!T$46</f>
        <v>4.7468170791439113E-2</v>
      </c>
      <c r="U69" s="110">
        <f>'Propylene Recycling HC'!U81*'Propylene Recycling HC'!U$46/'Propylene Recycling LC'!U$46</f>
        <v>4.8473484793392953E-2</v>
      </c>
      <c r="V69" s="110">
        <f>'Propylene Recycling HC'!V81*'Propylene Recycling HC'!V$46/'Propylene Recycling LC'!V$46</f>
        <v>4.9149259791016794E-2</v>
      </c>
      <c r="W69" s="110">
        <f>'Propylene Recycling HC'!W81*'Propylene Recycling HC'!W$46/'Propylene Recycling LC'!W$46</f>
        <v>4.949722177824669E-2</v>
      </c>
      <c r="X69" s="110">
        <f>'Propylene Recycling HC'!X81*'Propylene Recycling HC'!X$46/'Propylene Recycling LC'!X$46</f>
        <v>5.1408812973893325E-2</v>
      </c>
      <c r="Y69" s="110">
        <f>'Propylene Recycling HC'!Y81*'Propylene Recycling HC'!Y$46/'Propylene Recycling LC'!Y$46</f>
        <v>5.2771521169905168E-2</v>
      </c>
      <c r="Z69" s="110">
        <f>'Propylene Recycling HC'!Z81*'Propylene Recycling HC'!Z$46/'Propylene Recycling LC'!Z$46</f>
        <v>5.3282681233977697E-2</v>
      </c>
      <c r="AA69" s="110">
        <f>'Propylene Recycling HC'!AA81*'Propylene Recycling HC'!AA$46/'Propylene Recycling LC'!AA$46</f>
        <v>5.3243850190648791E-2</v>
      </c>
      <c r="AB69" s="110">
        <f>'Propylene Recycling HC'!AB81*'Propylene Recycling HC'!AB$46/'Propylene Recycling LC'!AB$46</f>
        <v>5.2667306015665272E-2</v>
      </c>
      <c r="AC69" s="110">
        <f>'Propylene Recycling HC'!AC81*'Propylene Recycling HC'!AC$46/'Propylene Recycling LC'!AC$46</f>
        <v>5.1565529867710132E-2</v>
      </c>
      <c r="AD69" s="110">
        <f>'Propylene Recycling HC'!AD81*'Propylene Recycling HC'!AD$46/'Propylene Recycling LC'!AD$46</f>
        <v>4.9951206039595394E-2</v>
      </c>
      <c r="AE69" s="110">
        <f>'Propylene Recycling HC'!AE81*'Propylene Recycling HC'!AE$46/'Propylene Recycling LC'!AE$46</f>
        <v>4.7837221909552363E-2</v>
      </c>
      <c r="AF69" s="110">
        <f>'Propylene Recycling HC'!AF81*'Propylene Recycling HC'!AF$46/'Propylene Recycling LC'!AF$46</f>
        <v>4.5236667889797341E-2</v>
      </c>
      <c r="AG69" s="110">
        <f>'Propylene Recycling HC'!AG81*'Propylene Recycling HC'!AG$46/'Propylene Recycling LC'!AG$46</f>
        <v>4.2162837369446107E-2</v>
      </c>
      <c r="AI69" s="133" t="s">
        <v>1314</v>
      </c>
      <c r="AJ69" s="211"/>
      <c r="BD69" s="203"/>
      <c r="BE69" s="203"/>
    </row>
    <row r="70" spans="1:63" ht="16" outlineLevel="1" x14ac:dyDescent="0.2">
      <c r="A70" t="s">
        <v>1336</v>
      </c>
      <c r="B70" s="54" t="s">
        <v>462</v>
      </c>
      <c r="C70" s="110">
        <f>'Propylene Recycling HC'!C82*'Propylene Recycling HC'!C$46/'Propylene Recycling LC'!C$46</f>
        <v>2.7600000000000003E-3</v>
      </c>
      <c r="D70" s="110">
        <f>'Propylene Recycling HC'!D82*'Propylene Recycling HC'!D$46/'Propylene Recycling LC'!D$46</f>
        <v>3.3605824073972158E-3</v>
      </c>
      <c r="E70" s="110">
        <f>'Propylene Recycling HC'!E82*'Propylene Recycling HC'!E$46/'Propylene Recycling LC'!E$46</f>
        <v>3.9251336143981512E-3</v>
      </c>
      <c r="F70" s="110">
        <f>'Propylene Recycling HC'!F82*'Propylene Recycling HC'!F$46/'Propylene Recycling LC'!F$46</f>
        <v>4.4536536210028075E-3</v>
      </c>
      <c r="G70" s="110">
        <f>'Propylene Recycling HC'!G82*'Propylene Recycling HC'!G$46/'Propylene Recycling LC'!G$46</f>
        <v>4.9461424272111854E-3</v>
      </c>
      <c r="H70" s="110">
        <f>'Propylene Recycling HC'!H82*'Propylene Recycling HC'!H$46/'Propylene Recycling LC'!H$46</f>
        <v>5.4026000330232825E-3</v>
      </c>
      <c r="I70" s="110">
        <f>'Propylene Recycling HC'!I82*'Propylene Recycling HC'!I$46/'Propylene Recycling LC'!I$46</f>
        <v>5.8230264384391021E-3</v>
      </c>
      <c r="J70" s="110">
        <f>'Propylene Recycling HC'!J82*'Propylene Recycling HC'!J$46/'Propylene Recycling LC'!J$46</f>
        <v>6.2074216434586391E-3</v>
      </c>
      <c r="K70" s="110">
        <f>'Propylene Recycling HC'!K82*'Propylene Recycling HC'!K$46/'Propylene Recycling LC'!K$46</f>
        <v>6.5557856480818995E-3</v>
      </c>
      <c r="L70" s="110">
        <f>'Propylene Recycling HC'!L82*'Propylene Recycling HC'!L$46/'Propylene Recycling LC'!L$46</f>
        <v>6.868118452308879E-3</v>
      </c>
      <c r="M70" s="110">
        <f>'Propylene Recycling HC'!M82*'Propylene Recycling HC'!M$46/'Propylene Recycling LC'!M$46</f>
        <v>7.1444200561395802E-3</v>
      </c>
      <c r="N70" s="110">
        <f>'Propylene Recycling HC'!N82*'Propylene Recycling HC'!N$46/'Propylene Recycling LC'!N$46</f>
        <v>7.9301474009576736E-3</v>
      </c>
      <c r="O70" s="110">
        <f>'Propylene Recycling HC'!O82*'Propylene Recycling HC'!O$46/'Propylene Recycling LC'!O$46</f>
        <v>8.6399320618636127E-3</v>
      </c>
      <c r="P70" s="110">
        <f>'Propylene Recycling HC'!P82*'Propylene Recycling HC'!P$46/'Propylene Recycling LC'!P$46</f>
        <v>9.257954910534133E-3</v>
      </c>
      <c r="Q70" s="110">
        <f>'Propylene Recycling HC'!Q82*'Propylene Recycling HC'!Q$46/'Propylene Recycling LC'!Q$46</f>
        <v>9.7980178924777298E-3</v>
      </c>
      <c r="R70" s="110">
        <f>'Propylene Recycling HC'!R82*'Propylene Recycling HC'!R$46/'Propylene Recycling LC'!R$46</f>
        <v>1.0260492928763579E-2</v>
      </c>
      <c r="S70" s="110">
        <f>'Propylene Recycling HC'!S82*'Propylene Recycling HC'!S$46/'Propylene Recycling LC'!S$46</f>
        <v>1.0645757223226091E-2</v>
      </c>
      <c r="T70" s="110">
        <f>'Propylene Recycling HC'!T82*'Propylene Recycling HC'!T$46/'Propylene Recycling LC'!T$46</f>
        <v>1.0954193259562872E-2</v>
      </c>
      <c r="U70" s="110">
        <f>'Propylene Recycling HC'!U82*'Propylene Recycling HC'!U$46/'Propylene Recycling LC'!U$46</f>
        <v>1.1186188798475298E-2</v>
      </c>
      <c r="V70" s="110">
        <f>'Propylene Recycling HC'!V82*'Propylene Recycling HC'!V$46/'Propylene Recycling LC'!V$46</f>
        <v>1.1342136874850027E-2</v>
      </c>
      <c r="W70" s="110">
        <f>'Propylene Recycling HC'!W82*'Propylene Recycling HC'!W$46/'Propylene Recycling LC'!W$46</f>
        <v>1.1422435794980002E-2</v>
      </c>
      <c r="X70" s="110">
        <f>'Propylene Recycling HC'!X82*'Propylene Recycling HC'!X$46/'Propylene Recycling LC'!X$46</f>
        <v>1.1863572224744613E-2</v>
      </c>
      <c r="Y70" s="110">
        <f>'Propylene Recycling HC'!Y82*'Propylene Recycling HC'!Y$46/'Propylene Recycling LC'!Y$46</f>
        <v>1.2178043346901191E-2</v>
      </c>
      <c r="Z70" s="110">
        <f>'Propylene Recycling HC'!Z82*'Propylene Recycling HC'!Z$46/'Propylene Recycling LC'!Z$46</f>
        <v>1.2296003361687161E-2</v>
      </c>
      <c r="AA70" s="110">
        <f>'Propylene Recycling HC'!AA82*'Propylene Recycling HC'!AA$46/'Propylene Recycling LC'!AA$46</f>
        <v>1.228704235168818E-2</v>
      </c>
      <c r="AB70" s="110">
        <f>'Propylene Recycling HC'!AB82*'Propylene Recycling HC'!AB$46/'Propylene Recycling LC'!AB$46</f>
        <v>1.2153993695922754E-2</v>
      </c>
      <c r="AC70" s="110">
        <f>'Propylene Recycling HC'!AC82*'Propylene Recycling HC'!AC$46/'Propylene Recycling LC'!AC$46</f>
        <v>1.189973766177926E-2</v>
      </c>
      <c r="AD70" s="110">
        <f>'Propylene Recycling HC'!AD82*'Propylene Recycling HC'!AD$46/'Propylene Recycling LC'!AD$46</f>
        <v>1.1527201393752781E-2</v>
      </c>
      <c r="AE70" s="110">
        <f>'Propylene Recycling HC'!AE82*'Propylene Recycling HC'!AE$46/'Propylene Recycling LC'!AE$46</f>
        <v>1.1039358902204392E-2</v>
      </c>
      <c r="AF70" s="110">
        <f>'Propylene Recycling HC'!AF82*'Propylene Recycling HC'!AF$46/'Propylene Recycling LC'!AF$46</f>
        <v>1.0439231051491691E-2</v>
      </c>
      <c r="AG70" s="110">
        <f>'Propylene Recycling HC'!AG82*'Propylene Recycling HC'!AG$46/'Propylene Recycling LC'!AG$46</f>
        <v>9.7298855467952538E-3</v>
      </c>
      <c r="AI70" s="133" t="s">
        <v>1314</v>
      </c>
      <c r="AJ70" s="211"/>
      <c r="AL70" s="1"/>
      <c r="BC70" s="1"/>
      <c r="BD70" s="693"/>
      <c r="BE70" s="686"/>
      <c r="BF70" s="6"/>
      <c r="BG70" s="6"/>
      <c r="BH70" s="6"/>
      <c r="BI70" s="6"/>
      <c r="BJ70" s="6"/>
    </row>
    <row r="71" spans="1:63" ht="16" outlineLevel="1" x14ac:dyDescent="0.2">
      <c r="A71" t="s">
        <v>1337</v>
      </c>
      <c r="B71" s="54" t="s">
        <v>462</v>
      </c>
      <c r="C71" s="110">
        <f>'Propylene Recycling HC'!C83*'Propylene Recycling HC'!C$46/'Propylene Recycling LC'!C$46</f>
        <v>8.2800000000000009E-3</v>
      </c>
      <c r="D71" s="110">
        <f>'Propylene Recycling HC'!D83*'Propylene Recycling HC'!D$46/'Propylene Recycling LC'!D$46</f>
        <v>1.0081747222191647E-2</v>
      </c>
      <c r="E71" s="110">
        <f>'Propylene Recycling HC'!E83*'Propylene Recycling HC'!E$46/'Propylene Recycling LC'!E$46</f>
        <v>1.1775400843194452E-2</v>
      </c>
      <c r="F71" s="110">
        <f>'Propylene Recycling HC'!F83*'Propylene Recycling HC'!F$46/'Propylene Recycling LC'!F$46</f>
        <v>1.3360960863008423E-2</v>
      </c>
      <c r="G71" s="110">
        <f>'Propylene Recycling HC'!G83*'Propylene Recycling HC'!G$46/'Propylene Recycling LC'!G$46</f>
        <v>1.4838427281633558E-2</v>
      </c>
      <c r="H71" s="110">
        <f>'Propylene Recycling HC'!H83*'Propylene Recycling HC'!H$46/'Propylene Recycling LC'!H$46</f>
        <v>1.6207800099069847E-2</v>
      </c>
      <c r="I71" s="110">
        <f>'Propylene Recycling HC'!I83*'Propylene Recycling HC'!I$46/'Propylene Recycling LC'!I$46</f>
        <v>1.7469079315317305E-2</v>
      </c>
      <c r="J71" s="110">
        <f>'Propylene Recycling HC'!J83*'Propylene Recycling HC'!J$46/'Propylene Recycling LC'!J$46</f>
        <v>1.8622264930375918E-2</v>
      </c>
      <c r="K71" s="110">
        <f>'Propylene Recycling HC'!K83*'Propylene Recycling HC'!K$46/'Propylene Recycling LC'!K$46</f>
        <v>1.9667356944245699E-2</v>
      </c>
      <c r="L71" s="110">
        <f>'Propylene Recycling HC'!L83*'Propylene Recycling HC'!L$46/'Propylene Recycling LC'!L$46</f>
        <v>2.0604355356926639E-2</v>
      </c>
      <c r="M71" s="110">
        <f>'Propylene Recycling HC'!M83*'Propylene Recycling HC'!M$46/'Propylene Recycling LC'!M$46</f>
        <v>2.1433260168418733E-2</v>
      </c>
      <c r="N71" s="110">
        <f>'Propylene Recycling HC'!N83*'Propylene Recycling HC'!N$46/'Propylene Recycling LC'!N$46</f>
        <v>2.3790442202873022E-2</v>
      </c>
      <c r="O71" s="110">
        <f>'Propylene Recycling HC'!O83*'Propylene Recycling HC'!O$46/'Propylene Recycling LC'!O$46</f>
        <v>2.5919796185590836E-2</v>
      </c>
      <c r="P71" s="110">
        <f>'Propylene Recycling HC'!P83*'Propylene Recycling HC'!P$46/'Propylene Recycling LC'!P$46</f>
        <v>2.7773864731602399E-2</v>
      </c>
      <c r="Q71" s="110">
        <f>'Propylene Recycling HC'!Q83*'Propylene Recycling HC'!Q$46/'Propylene Recycling LC'!Q$46</f>
        <v>2.9394053677433186E-2</v>
      </c>
      <c r="R71" s="110">
        <f>'Propylene Recycling HC'!R83*'Propylene Recycling HC'!R$46/'Propylene Recycling LC'!R$46</f>
        <v>3.0781478786290738E-2</v>
      </c>
      <c r="S71" s="110">
        <f>'Propylene Recycling HC'!S83*'Propylene Recycling HC'!S$46/'Propylene Recycling LC'!S$46</f>
        <v>3.1937271669678267E-2</v>
      </c>
      <c r="T71" s="110">
        <f>'Propylene Recycling HC'!T83*'Propylene Recycling HC'!T$46/'Propylene Recycling LC'!T$46</f>
        <v>3.2862579778688616E-2</v>
      </c>
      <c r="U71" s="110">
        <f>'Propylene Recycling HC'!U83*'Propylene Recycling HC'!U$46/'Propylene Recycling LC'!U$46</f>
        <v>3.3558566395425898E-2</v>
      </c>
      <c r="V71" s="110">
        <f>'Propylene Recycling HC'!V83*'Propylene Recycling HC'!V$46/'Propylene Recycling LC'!V$46</f>
        <v>3.4026410624550085E-2</v>
      </c>
      <c r="W71" s="110">
        <f>'Propylene Recycling HC'!W83*'Propylene Recycling HC'!W$46/'Propylene Recycling LC'!W$46</f>
        <v>3.4267307384940007E-2</v>
      </c>
      <c r="X71" s="110">
        <f>'Propylene Recycling HC'!X83*'Propylene Recycling HC'!X$46/'Propylene Recycling LC'!X$46</f>
        <v>3.5590716674233844E-2</v>
      </c>
      <c r="Y71" s="110">
        <f>'Propylene Recycling HC'!Y83*'Propylene Recycling HC'!Y$46/'Propylene Recycling LC'!Y$46</f>
        <v>3.653413004070357E-2</v>
      </c>
      <c r="Z71" s="110">
        <f>'Propylene Recycling HC'!Z83*'Propylene Recycling HC'!Z$46/'Propylene Recycling LC'!Z$46</f>
        <v>3.6888010085061484E-2</v>
      </c>
      <c r="AA71" s="110">
        <f>'Propylene Recycling HC'!AA83*'Propylene Recycling HC'!AA$46/'Propylene Recycling LC'!AA$46</f>
        <v>3.6861127055064544E-2</v>
      </c>
      <c r="AB71" s="110">
        <f>'Propylene Recycling HC'!AB83*'Propylene Recycling HC'!AB$46/'Propylene Recycling LC'!AB$46</f>
        <v>3.6461981087768255E-2</v>
      </c>
      <c r="AC71" s="110">
        <f>'Propylene Recycling HC'!AC83*'Propylene Recycling HC'!AC$46/'Propylene Recycling LC'!AC$46</f>
        <v>3.5699212985337778E-2</v>
      </c>
      <c r="AD71" s="110">
        <f>'Propylene Recycling HC'!AD83*'Propylene Recycling HC'!AD$46/'Propylene Recycling LC'!AD$46</f>
        <v>3.4581604181258351E-2</v>
      </c>
      <c r="AE71" s="110">
        <f>'Propylene Recycling HC'!AE83*'Propylene Recycling HC'!AE$46/'Propylene Recycling LC'!AE$46</f>
        <v>3.3118076706613174E-2</v>
      </c>
      <c r="AF71" s="110">
        <f>'Propylene Recycling HC'!AF83*'Propylene Recycling HC'!AF$46/'Propylene Recycling LC'!AF$46</f>
        <v>3.1317693154475079E-2</v>
      </c>
      <c r="AG71" s="110">
        <f>'Propylene Recycling HC'!AG83*'Propylene Recycling HC'!AG$46/'Propylene Recycling LC'!AG$46</f>
        <v>2.9189656640385763E-2</v>
      </c>
      <c r="AI71" s="133" t="s">
        <v>1314</v>
      </c>
      <c r="AJ71" s="211"/>
      <c r="BC71" s="1"/>
      <c r="BD71" s="41"/>
      <c r="BF71" s="6"/>
      <c r="BG71" s="6"/>
      <c r="BH71" s="6"/>
      <c r="BI71" s="6"/>
      <c r="BJ71" s="6"/>
    </row>
    <row r="72" spans="1:63" outlineLevel="1" x14ac:dyDescent="0.2">
      <c r="C72" s="110"/>
      <c r="D72" s="110"/>
      <c r="E72" s="110"/>
      <c r="F72" s="110"/>
      <c r="G72" s="110"/>
      <c r="H72" s="110"/>
      <c r="I72" s="110"/>
      <c r="J72" s="110"/>
      <c r="K72" s="110"/>
      <c r="L72" s="110"/>
      <c r="M72" s="110"/>
      <c r="N72" s="110"/>
      <c r="O72" s="110"/>
      <c r="P72" s="110"/>
      <c r="Q72" s="110"/>
      <c r="R72" s="110"/>
      <c r="S72" s="110"/>
      <c r="T72" s="110"/>
      <c r="U72" s="110"/>
      <c r="V72" s="110"/>
      <c r="W72" s="110"/>
      <c r="X72" s="110"/>
      <c r="Y72" s="110"/>
      <c r="Z72" s="110"/>
      <c r="AA72" s="110"/>
      <c r="AB72" s="110"/>
      <c r="AC72" s="110"/>
      <c r="AD72" s="110"/>
      <c r="AE72" s="110"/>
      <c r="AF72" s="110"/>
      <c r="AG72" s="110"/>
      <c r="AI72" s="133"/>
      <c r="AJ72" s="211"/>
      <c r="AL72" s="108"/>
      <c r="AM72" s="2"/>
      <c r="AN72" s="2"/>
      <c r="AO72" s="2"/>
      <c r="BC72" s="1"/>
      <c r="BD72" s="2"/>
      <c r="BE72" s="2"/>
      <c r="BF72" s="2"/>
      <c r="BG72" s="2"/>
      <c r="BH72" s="2"/>
      <c r="BI72" s="2"/>
      <c r="BJ72" s="2"/>
      <c r="BK72" s="2"/>
    </row>
    <row r="73" spans="1:63" ht="16" outlineLevel="1" x14ac:dyDescent="0.2">
      <c r="A73" t="s">
        <v>1497</v>
      </c>
      <c r="B73" s="54" t="s">
        <v>462</v>
      </c>
      <c r="C73" s="110">
        <f>'Propylene Recycling HC'!C86*'Propylene Recycling HC'!C$46/'Propylene Recycling LC'!C$46</f>
        <v>2.9064636138078598E-2</v>
      </c>
      <c r="D73" s="110">
        <f>'Propylene Recycling HC'!D86*'Propylene Recycling HC'!D$46/'Propylene Recycling LC'!D$46</f>
        <v>3.627188811769895E-2</v>
      </c>
      <c r="E73" s="110">
        <f>'Propylene Recycling HC'!E86*'Propylene Recycling HC'!E$46/'Propylene Recycling LC'!E$46</f>
        <v>4.3453040227764493E-2</v>
      </c>
      <c r="F73" s="110">
        <f>'Propylene Recycling HC'!F86*'Propylene Recycling HC'!F$46/'Propylene Recycling LC'!F$46</f>
        <v>5.0608092468275238E-2</v>
      </c>
      <c r="G73" s="110">
        <f>'Propylene Recycling HC'!G86*'Propylene Recycling HC'!G$46/'Propylene Recycling LC'!G$46</f>
        <v>5.7737044839231193E-2</v>
      </c>
      <c r="H73" s="110">
        <f>'Propylene Recycling HC'!H86*'Propylene Recycling HC'!H$46/'Propylene Recycling LC'!H$46</f>
        <v>6.4839897340632321E-2</v>
      </c>
      <c r="I73" s="110">
        <f>'Propylene Recycling HC'!I86*'Propylene Recycling HC'!I$46/'Propylene Recycling LC'!I$46</f>
        <v>7.191664997247868E-2</v>
      </c>
      <c r="J73" s="110">
        <f>'Propylene Recycling HC'!J86*'Propylene Recycling HC'!J$46/'Propylene Recycling LC'!J$46</f>
        <v>7.8967302734770206E-2</v>
      </c>
      <c r="K73" s="110">
        <f>'Propylene Recycling HC'!K86*'Propylene Recycling HC'!K$46/'Propylene Recycling LC'!K$46</f>
        <v>8.5991855627506941E-2</v>
      </c>
      <c r="L73" s="110">
        <f>'Propylene Recycling HC'!L86*'Propylene Recycling HC'!L$46/'Propylene Recycling LC'!L$46</f>
        <v>9.2990308650688872E-2</v>
      </c>
      <c r="M73" s="110">
        <f>'Propylene Recycling HC'!M86*'Propylene Recycling HC'!M$46/'Propylene Recycling LC'!M$46</f>
        <v>9.9962661804315983E-2</v>
      </c>
      <c r="N73" s="110">
        <f>'Propylene Recycling HC'!N86*'Propylene Recycling HC'!N$46/'Propylene Recycling LC'!N$46</f>
        <v>0.11480555072260869</v>
      </c>
      <c r="O73" s="110">
        <f>'Propylene Recycling HC'!O86*'Propylene Recycling HC'!O$46/'Propylene Recycling LC'!O$46</f>
        <v>0.12959342914660896</v>
      </c>
      <c r="P73" s="110">
        <f>'Propylene Recycling HC'!P86*'Propylene Recycling HC'!P$46/'Propylene Recycling LC'!P$46</f>
        <v>0.14408010645270394</v>
      </c>
      <c r="Q73" s="110">
        <f>'Propylene Recycling HC'!Q86*'Propylene Recycling HC'!Q$46/'Propylene Recycling LC'!Q$46</f>
        <v>0.15845985706453386</v>
      </c>
      <c r="R73" s="110">
        <f>'Propylene Recycling HC'!R86*'Propylene Recycling HC'!R$46/'Propylene Recycling LC'!R$46</f>
        <v>0.17273245509310708</v>
      </c>
      <c r="S73" s="110">
        <f>'Propylene Recycling HC'!S86*'Propylene Recycling HC'!S$46/'Propylene Recycling LC'!S$46</f>
        <v>0.18689767868413984</v>
      </c>
      <c r="T73" s="110">
        <f>'Propylene Recycling HC'!T86*'Propylene Recycling HC'!T$46/'Propylene Recycling LC'!T$46</f>
        <v>0.20095531001357811</v>
      </c>
      <c r="U73" s="110">
        <f>'Propylene Recycling HC'!U86*'Propylene Recycling HC'!U$46/'Propylene Recycling LC'!U$46</f>
        <v>0.21490513528323502</v>
      </c>
      <c r="V73" s="110">
        <f>'Propylene Recycling HC'!V86*'Propylene Recycling HC'!V$46/'Propylene Recycling LC'!V$46</f>
        <v>0.22874694471654522</v>
      </c>
      <c r="W73" s="110">
        <f>'Propylene Recycling HC'!W86*'Propylene Recycling HC'!W$46/'Propylene Recycling LC'!W$46</f>
        <v>0.24248053255443364</v>
      </c>
      <c r="X73" s="110">
        <f>'Propylene Recycling HC'!X86*'Propylene Recycling HC'!X$46/'Propylene Recycling LC'!X$46</f>
        <v>0.26587891693055987</v>
      </c>
      <c r="Y73" s="110">
        <f>'Propylene Recycling HC'!Y86*'Propylene Recycling HC'!Y$46/'Propylene Recycling LC'!Y$46</f>
        <v>0.28909635529724098</v>
      </c>
      <c r="Z73" s="110">
        <f>'Propylene Recycling HC'!Z86*'Propylene Recycling HC'!Z$46/'Propylene Recycling LC'!Z$46</f>
        <v>0.31035248103524504</v>
      </c>
      <c r="AA73" s="110">
        <f>'Propylene Recycling HC'!AA86*'Propylene Recycling HC'!AA$46/'Propylene Recycling LC'!AA$46</f>
        <v>0.33114206857571243</v>
      </c>
      <c r="AB73" s="110">
        <f>'Propylene Recycling HC'!AB86*'Propylene Recycling HC'!AB$46/'Propylene Recycling LC'!AB$46</f>
        <v>0.35146276694199163</v>
      </c>
      <c r="AC73" s="110">
        <f>'Propylene Recycling HC'!AC86*'Propylene Recycling HC'!AC$46/'Propylene Recycling LC'!AC$46</f>
        <v>0.37131226010829493</v>
      </c>
      <c r="AD73" s="110">
        <f>'Propylene Recycling HC'!AD86*'Propylene Recycling HC'!AD$46/'Propylene Recycling LC'!AD$46</f>
        <v>0.39068826705313564</v>
      </c>
      <c r="AE73" s="110">
        <f>'Propylene Recycling HC'!AE86*'Propylene Recycling HC'!AE$46/'Propylene Recycling LC'!AE$46</f>
        <v>0.40958854184936522</v>
      </c>
      <c r="AF73" s="110">
        <f>'Propylene Recycling HC'!AF86*'Propylene Recycling HC'!AF$46/'Propylene Recycling LC'!AF$46</f>
        <v>0.4280108737915454</v>
      </c>
      <c r="AG73" s="110">
        <f>'Propylene Recycling HC'!AG86*'Propylene Recycling HC'!AG$46/'Propylene Recycling LC'!AG$46</f>
        <v>0.4459530875614493</v>
      </c>
      <c r="AI73" s="133" t="s">
        <v>1314</v>
      </c>
      <c r="AJ73" s="211"/>
      <c r="AL73" s="108"/>
      <c r="AM73" s="2"/>
      <c r="AN73" s="2"/>
      <c r="AO73" s="2"/>
      <c r="AV73" s="41"/>
    </row>
    <row r="74" spans="1:63" ht="16" outlineLevel="1" x14ac:dyDescent="0.2">
      <c r="A74" t="s">
        <v>1498</v>
      </c>
      <c r="B74" s="54" t="s">
        <v>462</v>
      </c>
      <c r="C74" s="110">
        <f>'Propylene Recycling HC'!C87*'Propylene Recycling HC'!C$46/'Propylene Recycling LC'!C$46</f>
        <v>2.3251708910462881E-3</v>
      </c>
      <c r="D74" s="110">
        <f>'Propylene Recycling HC'!D87*'Propylene Recycling HC'!D$46/'Propylene Recycling LC'!D$46</f>
        <v>3.7722763642406912E-3</v>
      </c>
      <c r="E74" s="110">
        <f>'Propylene Recycling HC'!E87*'Propylene Recycling HC'!E$46/'Propylene Recycling LC'!E$46</f>
        <v>5.5619891491538558E-3</v>
      </c>
      <c r="F74" s="110">
        <f>'Propylene Recycling HC'!F87*'Propylene Recycling HC'!F$46/'Propylene Recycling LC'!F$46</f>
        <v>7.6924300551778372E-3</v>
      </c>
      <c r="G74" s="110">
        <f>'Propylene Recycling HC'!G87*'Propylene Recycling HC'!G$46/'Propylene Recycling LC'!G$46</f>
        <v>1.0161719891704689E-2</v>
      </c>
      <c r="H74" s="110">
        <f>'Propylene Recycling HC'!H87*'Propylene Recycling HC'!H$46/'Propylene Recycling LC'!H$46</f>
        <v>1.2967979468126464E-2</v>
      </c>
      <c r="I74" s="110">
        <f>'Propylene Recycling HC'!I87*'Propylene Recycling HC'!I$46/'Propylene Recycling LC'!I$46</f>
        <v>1.6109329593835223E-2</v>
      </c>
      <c r="J74" s="110">
        <f>'Propylene Recycling HC'!J87*'Propylene Recycling HC'!J$46/'Propylene Recycling LC'!J$46</f>
        <v>1.9583891078223007E-2</v>
      </c>
      <c r="K74" s="110">
        <f>'Propylene Recycling HC'!K87*'Propylene Recycling HC'!K$46/'Propylene Recycling LC'!K$46</f>
        <v>2.338978473068188E-2</v>
      </c>
      <c r="L74" s="110">
        <f>'Propylene Recycling HC'!L87*'Propylene Recycling HC'!L$46/'Propylene Recycling LC'!L$46</f>
        <v>2.7525131360603906E-2</v>
      </c>
      <c r="M74" s="110">
        <f>'Propylene Recycling HC'!M87*'Propylene Recycling HC'!M$46/'Propylene Recycling LC'!M$46</f>
        <v>3.1988051777381114E-2</v>
      </c>
      <c r="N74" s="110">
        <f>'Propylene Recycling HC'!N87*'Propylene Recycling HC'!N$46/'Propylene Recycling LC'!N$46</f>
        <v>3.9493109448577389E-2</v>
      </c>
      <c r="O74" s="110">
        <f>'Propylene Recycling HC'!O87*'Propylene Recycling HC'!O$46/'Propylene Recycling LC'!O$46</f>
        <v>4.7690381925952104E-2</v>
      </c>
      <c r="P74" s="110">
        <f>'Propylene Recycling HC'!P87*'Propylene Recycling HC'!P$46/'Propylene Recycling LC'!P$46</f>
        <v>5.6479401729459963E-2</v>
      </c>
      <c r="Q74" s="110">
        <f>'Propylene Recycling HC'!Q87*'Propylene Recycling HC'!Q$46/'Propylene Recycling LC'!Q$46</f>
        <v>6.5919300538846107E-2</v>
      </c>
      <c r="R74" s="110">
        <f>'Propylene Recycling HC'!R87*'Propylene Recycling HC'!R$46/'Propylene Recycling LC'!R$46</f>
        <v>7.6002280240967127E-2</v>
      </c>
      <c r="S74" s="110">
        <f>'Propylene Recycling HC'!S87*'Propylene Recycling HC'!S$46/'Propylene Recycling LC'!S$46</f>
        <v>8.672052290944092E-2</v>
      </c>
      <c r="T74" s="110">
        <f>'Propylene Recycling HC'!T87*'Propylene Recycling HC'!T$46/'Propylene Recycling LC'!T$46</f>
        <v>9.8066191286626136E-2</v>
      </c>
      <c r="U74" s="110">
        <f>'Propylene Recycling HC'!U87*'Propylene Recycling HC'!U$46/'Propylene Recycling LC'!U$46</f>
        <v>0.11003142926501637</v>
      </c>
      <c r="V74" s="110">
        <f>'Propylene Recycling HC'!V87*'Propylene Recycling HC'!V$46/'Propylene Recycling LC'!V$46</f>
        <v>0.12260836236806825</v>
      </c>
      <c r="W74" s="110">
        <f>'Propylene Recycling HC'!W87*'Propylene Recycling HC'!W$46/'Propylene Recycling LC'!W$46</f>
        <v>0.13578909823048288</v>
      </c>
      <c r="X74" s="110">
        <f>'Propylene Recycling HC'!X87*'Propylene Recycling HC'!X$46/'Propylene Recycling LC'!X$46</f>
        <v>0.15527328748744701</v>
      </c>
      <c r="Y74" s="110">
        <f>'Propylene Recycling HC'!Y87*'Propylene Recycling HC'!Y$46/'Propylene Recycling LC'!Y$46</f>
        <v>0.17577058402072263</v>
      </c>
      <c r="Z74" s="110">
        <f>'Propylene Recycling HC'!Z87*'Propylene Recycling HC'!Z$46/'Propylene Recycling LC'!Z$46</f>
        <v>0.19614276801427494</v>
      </c>
      <c r="AA74" s="110">
        <f>'Propylene Recycling HC'!AA87*'Propylene Recycling HC'!AA$46/'Propylene Recycling LC'!AA$46</f>
        <v>0.21722919698566748</v>
      </c>
      <c r="AB74" s="110">
        <f>'Propylene Recycling HC'!AB87*'Propylene Recycling HC'!AB$46/'Propylene Recycling LC'!AB$46</f>
        <v>0.23899468152055445</v>
      </c>
      <c r="AC74" s="110">
        <f>'Propylene Recycling HC'!AC87*'Propylene Recycling HC'!AC$46/'Propylene Recycling LC'!AC$46</f>
        <v>0.26140383111623972</v>
      </c>
      <c r="AD74" s="110">
        <f>'Propylene Recycling HC'!AD87*'Propylene Recycling HC'!AD$46/'Propylene Recycling LC'!AD$46</f>
        <v>0.28442105841468285</v>
      </c>
      <c r="AE74" s="110">
        <f>'Propylene Recycling HC'!AE87*'Propylene Recycling HC'!AE$46/'Propylene Recycling LC'!AE$46</f>
        <v>0.3080105834707228</v>
      </c>
      <c r="AF74" s="110">
        <f>'Propylene Recycling HC'!AF87*'Propylene Recycling HC'!AF$46/'Propylene Recycling LC'!AF$46</f>
        <v>0.33213643806223941</v>
      </c>
      <c r="AG74" s="110">
        <f>'Propylene Recycling HC'!AG87*'Propylene Recycling HC'!AG$46/'Propylene Recycling LC'!AG$46</f>
        <v>0.35676247004915945</v>
      </c>
      <c r="AI74" s="133" t="s">
        <v>1314</v>
      </c>
      <c r="AJ74" s="211"/>
      <c r="AL74" s="108"/>
      <c r="AM74" s="2"/>
      <c r="AN74" s="2"/>
      <c r="AO74" s="2"/>
      <c r="AV74" s="41"/>
    </row>
    <row r="75" spans="1:63" ht="16" outlineLevel="1" x14ac:dyDescent="0.2">
      <c r="A75" t="s">
        <v>1499</v>
      </c>
      <c r="B75" s="176" t="s">
        <v>462</v>
      </c>
      <c r="C75" s="110">
        <f>'Propylene Recycling HC'!C88*'Propylene Recycling HC'!C$46/'Propylene Recycling LC'!C$46</f>
        <v>2.6739465247032315E-2</v>
      </c>
      <c r="D75" s="110">
        <f>'Propylene Recycling HC'!D88*'Propylene Recycling HC'!D$46/'Propylene Recycling LC'!D$46</f>
        <v>3.2499611753458259E-2</v>
      </c>
      <c r="E75" s="110">
        <f>'Propylene Recycling HC'!E88*'Propylene Recycling HC'!E$46/'Propylene Recycling LC'!E$46</f>
        <v>3.7891051078610641E-2</v>
      </c>
      <c r="F75" s="110">
        <f>'Propylene Recycling HC'!F88*'Propylene Recycling HC'!F$46/'Propylene Recycling LC'!F$46</f>
        <v>4.2915662413097404E-2</v>
      </c>
      <c r="G75" s="110">
        <f>'Propylene Recycling HC'!G88*'Propylene Recycling HC'!G$46/'Propylene Recycling LC'!G$46</f>
        <v>4.7575324947526504E-2</v>
      </c>
      <c r="H75" s="110">
        <f>'Propylene Recycling HC'!H88*'Propylene Recycling HC'!H$46/'Propylene Recycling LC'!H$46</f>
        <v>5.1871917872505856E-2</v>
      </c>
      <c r="I75" s="110">
        <f>'Propylene Recycling HC'!I88*'Propylene Recycling HC'!I$46/'Propylene Recycling LC'!I$46</f>
        <v>5.580732037864345E-2</v>
      </c>
      <c r="J75" s="110">
        <f>'Propylene Recycling HC'!J88*'Propylene Recycling HC'!J$46/'Propylene Recycling LC'!J$46</f>
        <v>5.9383411656547189E-2</v>
      </c>
      <c r="K75" s="110">
        <f>'Propylene Recycling HC'!K88*'Propylene Recycling HC'!K$46/'Propylene Recycling LC'!K$46</f>
        <v>6.2602070896825054E-2</v>
      </c>
      <c r="L75" s="110">
        <f>'Propylene Recycling HC'!L88*'Propylene Recycling HC'!L$46/'Propylene Recycling LC'!L$46</f>
        <v>6.5465177290084969E-2</v>
      </c>
      <c r="M75" s="110">
        <f>'Propylene Recycling HC'!M88*'Propylene Recycling HC'!M$46/'Propylene Recycling LC'!M$46</f>
        <v>6.7974610026934862E-2</v>
      </c>
      <c r="N75" s="110">
        <f>'Propylene Recycling HC'!N88*'Propylene Recycling HC'!N$46/'Propylene Recycling LC'!N$46</f>
        <v>7.5312441274031278E-2</v>
      </c>
      <c r="O75" s="110">
        <f>'Propylene Recycling HC'!O88*'Propylene Recycling HC'!O$46/'Propylene Recycling LC'!O$46</f>
        <v>8.1903047220656847E-2</v>
      </c>
      <c r="P75" s="110">
        <f>'Propylene Recycling HC'!P88*'Propylene Recycling HC'!P$46/'Propylene Recycling LC'!P$46</f>
        <v>8.760070472324398E-2</v>
      </c>
      <c r="Q75" s="110">
        <f>'Propylene Recycling HC'!Q88*'Propylene Recycling HC'!Q$46/'Propylene Recycling LC'!Q$46</f>
        <v>9.2540556525687781E-2</v>
      </c>
      <c r="R75" s="110">
        <f>'Propylene Recycling HC'!R88*'Propylene Recycling HC'!R$46/'Propylene Recycling LC'!R$46</f>
        <v>9.6730174852139916E-2</v>
      </c>
      <c r="S75" s="110">
        <f>'Propylene Recycling HC'!S88*'Propylene Recycling HC'!S$46/'Propylene Recycling LC'!S$46</f>
        <v>0.10017715577469893</v>
      </c>
      <c r="T75" s="110">
        <f>'Propylene Recycling HC'!T88*'Propylene Recycling HC'!T$46/'Propylene Recycling LC'!T$46</f>
        <v>0.10288911872695194</v>
      </c>
      <c r="U75" s="110">
        <f>'Propylene Recycling HC'!U88*'Propylene Recycling HC'!U$46/'Propylene Recycling LC'!U$46</f>
        <v>0.10487370601821866</v>
      </c>
      <c r="V75" s="110">
        <f>'Propylene Recycling HC'!V88*'Propylene Recycling HC'!V$46/'Propylene Recycling LC'!V$46</f>
        <v>0.10613858234847695</v>
      </c>
      <c r="W75" s="110">
        <f>'Propylene Recycling HC'!W88*'Propylene Recycling HC'!W$46/'Propylene Recycling LC'!W$46</f>
        <v>0.10669143432395077</v>
      </c>
      <c r="X75" s="110">
        <f>'Propylene Recycling HC'!X88*'Propylene Recycling HC'!X$46/'Propylene Recycling LC'!X$46</f>
        <v>0.11060562944311285</v>
      </c>
      <c r="Y75" s="110">
        <f>'Propylene Recycling HC'!Y88*'Propylene Recycling HC'!Y$46/'Propylene Recycling LC'!Y$46</f>
        <v>0.11332577127651842</v>
      </c>
      <c r="Z75" s="110">
        <f>'Propylene Recycling HC'!Z88*'Propylene Recycling HC'!Z$46/'Propylene Recycling LC'!Z$46</f>
        <v>0.11420971302097012</v>
      </c>
      <c r="AA75" s="110">
        <f>'Propylene Recycling HC'!AA88*'Propylene Recycling HC'!AA$46/'Propylene Recycling LC'!AA$46</f>
        <v>0.11391287159004498</v>
      </c>
      <c r="AB75" s="110">
        <f>'Propylene Recycling HC'!AB88*'Propylene Recycling HC'!AB$46/'Propylene Recycling LC'!AB$46</f>
        <v>0.11246808542143724</v>
      </c>
      <c r="AC75" s="110">
        <f>'Propylene Recycling HC'!AC88*'Propylene Recycling HC'!AC$46/'Propylene Recycling LC'!AC$46</f>
        <v>0.10990842899205519</v>
      </c>
      <c r="AD75" s="110">
        <f>'Propylene Recycling HC'!AD88*'Propylene Recycling HC'!AD$46/'Propylene Recycling LC'!AD$46</f>
        <v>0.10626720863845278</v>
      </c>
      <c r="AE75" s="110">
        <f>'Propylene Recycling HC'!AE88*'Propylene Recycling HC'!AE$46/'Propylene Recycling LC'!AE$46</f>
        <v>0.10157795837864243</v>
      </c>
      <c r="AF75" s="110">
        <f>'Propylene Recycling HC'!AF88*'Propylene Recycling HC'!AF$46/'Propylene Recycling LC'!AF$46</f>
        <v>9.5874435729306012E-2</v>
      </c>
      <c r="AG75" s="110">
        <f>'Propylene Recycling HC'!AG88*'Propylene Recycling HC'!AG$46/'Propylene Recycling LC'!AG$46</f>
        <v>8.9190617512289835E-2</v>
      </c>
      <c r="AI75" s="133" t="s">
        <v>1314</v>
      </c>
      <c r="AJ75" s="211"/>
      <c r="AL75" s="108"/>
      <c r="AM75" s="2"/>
      <c r="AN75" s="2"/>
      <c r="AO75" s="2"/>
    </row>
    <row r="76" spans="1:63" ht="16" outlineLevel="1" x14ac:dyDescent="0.2">
      <c r="A76" t="s">
        <v>1500</v>
      </c>
      <c r="B76" s="54" t="s">
        <v>462</v>
      </c>
      <c r="C76" s="110">
        <f>'Propylene Recycling HC'!C89*'Propylene Recycling HC'!C$46/'Propylene Recycling LC'!C$46</f>
        <v>1.3904521928456806E-2</v>
      </c>
      <c r="D76" s="110">
        <f>'Propylene Recycling HC'!D89*'Propylene Recycling HC'!D$46/'Propylene Recycling LC'!D$46</f>
        <v>1.6899798111798297E-2</v>
      </c>
      <c r="E76" s="110">
        <f>'Propylene Recycling HC'!E89*'Propylene Recycling HC'!E$46/'Propylene Recycling LC'!E$46</f>
        <v>1.9703346560877535E-2</v>
      </c>
      <c r="F76" s="110">
        <f>'Propylene Recycling HC'!F89*'Propylene Recycling HC'!F$46/'Propylene Recycling LC'!F$46</f>
        <v>2.2316144454810654E-2</v>
      </c>
      <c r="G76" s="110">
        <f>'Propylene Recycling HC'!G89*'Propylene Recycling HC'!G$46/'Propylene Recycling LC'!G$46</f>
        <v>2.4739168972713783E-2</v>
      </c>
      <c r="H76" s="110">
        <f>'Propylene Recycling HC'!H89*'Propylene Recycling HC'!H$46/'Propylene Recycling LC'!H$46</f>
        <v>2.6973397293703048E-2</v>
      </c>
      <c r="I76" s="110">
        <f>'Propylene Recycling HC'!I89*'Propylene Recycling HC'!I$46/'Propylene Recycling LC'!I$46</f>
        <v>2.9019806596894598E-2</v>
      </c>
      <c r="J76" s="110">
        <f>'Propylene Recycling HC'!J89*'Propylene Recycling HC'!J$46/'Propylene Recycling LC'!J$46</f>
        <v>3.0879374061404542E-2</v>
      </c>
      <c r="K76" s="110">
        <f>'Propylene Recycling HC'!K89*'Propylene Recycling HC'!K$46/'Propylene Recycling LC'!K$46</f>
        <v>3.2553076866349027E-2</v>
      </c>
      <c r="L76" s="110">
        <f>'Propylene Recycling HC'!L89*'Propylene Recycling HC'!L$46/'Propylene Recycling LC'!L$46</f>
        <v>3.4041892190844185E-2</v>
      </c>
      <c r="M76" s="110">
        <f>'Propylene Recycling HC'!M89*'Propylene Recycling HC'!M$46/'Propylene Recycling LC'!M$46</f>
        <v>3.5346797214006132E-2</v>
      </c>
      <c r="N76" s="110">
        <f>'Propylene Recycling HC'!N89*'Propylene Recycling HC'!N$46/'Propylene Recycling LC'!N$46</f>
        <v>3.9162469462496269E-2</v>
      </c>
      <c r="O76" s="110">
        <f>'Propylene Recycling HC'!O89*'Propylene Recycling HC'!O$46/'Propylene Recycling LC'!O$46</f>
        <v>4.2589584554741565E-2</v>
      </c>
      <c r="P76" s="110">
        <f>'Propylene Recycling HC'!P89*'Propylene Recycling HC'!P$46/'Propylene Recycling LC'!P$46</f>
        <v>4.5552366456086867E-2</v>
      </c>
      <c r="Q76" s="110">
        <f>'Propylene Recycling HC'!Q89*'Propylene Recycling HC'!Q$46/'Propylene Recycling LC'!Q$46</f>
        <v>4.8121089393357637E-2</v>
      </c>
      <c r="R76" s="110">
        <f>'Propylene Recycling HC'!R89*'Propylene Recycling HC'!R$46/'Propylene Recycling LC'!R$46</f>
        <v>5.0299690923112768E-2</v>
      </c>
      <c r="S76" s="110">
        <f>'Propylene Recycling HC'!S89*'Propylene Recycling HC'!S$46/'Propylene Recycling LC'!S$46</f>
        <v>5.2092121002843446E-2</v>
      </c>
      <c r="T76" s="110">
        <f>'Propylene Recycling HC'!T89*'Propylene Recycling HC'!T$46/'Propylene Recycling LC'!T$46</f>
        <v>5.3502341738015005E-2</v>
      </c>
      <c r="U76" s="110">
        <f>'Propylene Recycling HC'!U89*'Propylene Recycling HC'!U$46/'Propylene Recycling LC'!U$46</f>
        <v>5.4534327129473703E-2</v>
      </c>
      <c r="V76" s="110">
        <f>'Propylene Recycling HC'!V89*'Propylene Recycling HC'!V$46/'Propylene Recycling LC'!V$46</f>
        <v>5.5192062821208011E-2</v>
      </c>
      <c r="W76" s="110">
        <f>'Propylene Recycling HC'!W89*'Propylene Recycling HC'!W$46/'Propylene Recycling LC'!W$46</f>
        <v>5.5479545848454402E-2</v>
      </c>
      <c r="X76" s="110">
        <f>'Propylene Recycling HC'!X89*'Propylene Recycling HC'!X$46/'Propylene Recycling LC'!X$46</f>
        <v>5.7514927310418684E-2</v>
      </c>
      <c r="Y76" s="110">
        <f>'Propylene Recycling HC'!Y89*'Propylene Recycling HC'!Y$46/'Propylene Recycling LC'!Y$46</f>
        <v>5.8929401063789591E-2</v>
      </c>
      <c r="Z76" s="110">
        <f>'Propylene Recycling HC'!Z89*'Propylene Recycling HC'!Z$46/'Propylene Recycling LC'!Z$46</f>
        <v>5.938905077090445E-2</v>
      </c>
      <c r="AA76" s="110">
        <f>'Propylene Recycling HC'!AA89*'Propylene Recycling HC'!AA$46/'Propylene Recycling LC'!AA$46</f>
        <v>5.9234693226823398E-2</v>
      </c>
      <c r="AB76" s="110">
        <f>'Propylene Recycling HC'!AB89*'Propylene Recycling HC'!AB$46/'Propylene Recycling LC'!AB$46</f>
        <v>5.8483404419147372E-2</v>
      </c>
      <c r="AC76" s="110">
        <f>'Propylene Recycling HC'!AC89*'Propylene Recycling HC'!AC$46/'Propylene Recycling LC'!AC$46</f>
        <v>5.7152383075868701E-2</v>
      </c>
      <c r="AD76" s="110">
        <f>'Propylene Recycling HC'!AD89*'Propylene Recycling HC'!AD$46/'Propylene Recycling LC'!AD$46</f>
        <v>5.5258948491995447E-2</v>
      </c>
      <c r="AE76" s="110">
        <f>'Propylene Recycling HC'!AE89*'Propylene Recycling HC'!AE$46/'Propylene Recycling LC'!AE$46</f>
        <v>5.282053835689407E-2</v>
      </c>
      <c r="AF76" s="110">
        <f>'Propylene Recycling HC'!AF89*'Propylene Recycling HC'!AF$46/'Propylene Recycling LC'!AF$46</f>
        <v>4.9854706579239134E-2</v>
      </c>
      <c r="AG76" s="110">
        <f>'Propylene Recycling HC'!AG89*'Propylene Recycling HC'!AG$46/'Propylene Recycling LC'!AG$46</f>
        <v>4.6379121106390718E-2</v>
      </c>
      <c r="AI76" s="133" t="s">
        <v>1314</v>
      </c>
      <c r="AJ76" s="211"/>
      <c r="AL76" s="108"/>
      <c r="AM76" s="2"/>
      <c r="AN76" s="2"/>
      <c r="AO76" s="2"/>
      <c r="BC76" s="1"/>
      <c r="BD76" s="2"/>
      <c r="BE76" s="2"/>
      <c r="BF76" s="2"/>
      <c r="BG76" s="2"/>
      <c r="BH76" s="2"/>
      <c r="BI76" s="2"/>
      <c r="BJ76" s="2"/>
      <c r="BK76" s="2"/>
    </row>
    <row r="77" spans="1:63" ht="16" outlineLevel="1" x14ac:dyDescent="0.2">
      <c r="A77" t="s">
        <v>1501</v>
      </c>
      <c r="B77" s="54" t="s">
        <v>462</v>
      </c>
      <c r="C77" s="110">
        <f>'Propylene Recycling HC'!C90*'Propylene Recycling HC'!C$46/'Propylene Recycling LC'!C$46</f>
        <v>3.2087358296438774E-3</v>
      </c>
      <c r="D77" s="110">
        <f>'Propylene Recycling HC'!D90*'Propylene Recycling HC'!D$46/'Propylene Recycling LC'!D$46</f>
        <v>3.8999534104149913E-3</v>
      </c>
      <c r="E77" s="110">
        <f>'Propylene Recycling HC'!E90*'Propylene Recycling HC'!E$46/'Propylene Recycling LC'!E$46</f>
        <v>4.5469261294332772E-3</v>
      </c>
      <c r="F77" s="110">
        <f>'Propylene Recycling HC'!F90*'Propylene Recycling HC'!F$46/'Propylene Recycling LC'!F$46</f>
        <v>5.1498794895716883E-3</v>
      </c>
      <c r="G77" s="110">
        <f>'Propylene Recycling HC'!G90*'Propylene Recycling HC'!G$46/'Propylene Recycling LC'!G$46</f>
        <v>5.7090389937031801E-3</v>
      </c>
      <c r="H77" s="110">
        <f>'Propylene Recycling HC'!H90*'Propylene Recycling HC'!H$46/'Propylene Recycling LC'!H$46</f>
        <v>6.2246301447007029E-3</v>
      </c>
      <c r="I77" s="110">
        <f>'Propylene Recycling HC'!I90*'Propylene Recycling HC'!I$46/'Propylene Recycling LC'!I$46</f>
        <v>6.6968784454372156E-3</v>
      </c>
      <c r="J77" s="110">
        <f>'Propylene Recycling HC'!J90*'Propylene Recycling HC'!J$46/'Propylene Recycling LC'!J$46</f>
        <v>7.1260093987856625E-3</v>
      </c>
      <c r="K77" s="110">
        <f>'Propylene Recycling HC'!K90*'Propylene Recycling HC'!K$46/'Propylene Recycling LC'!K$46</f>
        <v>7.5122485076190059E-3</v>
      </c>
      <c r="L77" s="110">
        <f>'Propylene Recycling HC'!L90*'Propylene Recycling HC'!L$46/'Propylene Recycling LC'!L$46</f>
        <v>7.8558212748101944E-3</v>
      </c>
      <c r="M77" s="110">
        <f>'Propylene Recycling HC'!M90*'Propylene Recycling HC'!M$46/'Propylene Recycling LC'!M$46</f>
        <v>8.1569532032321843E-3</v>
      </c>
      <c r="N77" s="110">
        <f>'Propylene Recycling HC'!N90*'Propylene Recycling HC'!N$46/'Propylene Recycling LC'!N$46</f>
        <v>9.0374929528837539E-3</v>
      </c>
      <c r="O77" s="110">
        <f>'Propylene Recycling HC'!O90*'Propylene Recycling HC'!O$46/'Propylene Recycling LC'!O$46</f>
        <v>9.8283656664788221E-3</v>
      </c>
      <c r="P77" s="110">
        <f>'Propylene Recycling HC'!P90*'Propylene Recycling HC'!P$46/'Propylene Recycling LC'!P$46</f>
        <v>1.0512084566789277E-2</v>
      </c>
      <c r="Q77" s="110">
        <f>'Propylene Recycling HC'!Q90*'Propylene Recycling HC'!Q$46/'Propylene Recycling LC'!Q$46</f>
        <v>1.1104866783082533E-2</v>
      </c>
      <c r="R77" s="110">
        <f>'Propylene Recycling HC'!R90*'Propylene Recycling HC'!R$46/'Propylene Recycling LC'!R$46</f>
        <v>1.1607620982256791E-2</v>
      </c>
      <c r="S77" s="110">
        <f>'Propylene Recycling HC'!S90*'Propylene Recycling HC'!S$46/'Propylene Recycling LC'!S$46</f>
        <v>1.202125869296387E-2</v>
      </c>
      <c r="T77" s="110">
        <f>'Propylene Recycling HC'!T90*'Propylene Recycling HC'!T$46/'Propylene Recycling LC'!T$46</f>
        <v>1.2346694247234231E-2</v>
      </c>
      <c r="U77" s="110">
        <f>'Propylene Recycling HC'!U90*'Propylene Recycling HC'!U$46/'Propylene Recycling LC'!U$46</f>
        <v>1.2584844722186241E-2</v>
      </c>
      <c r="V77" s="110">
        <f>'Propylene Recycling HC'!V90*'Propylene Recycling HC'!V$46/'Propylene Recycling LC'!V$46</f>
        <v>1.2736629881817231E-2</v>
      </c>
      <c r="W77" s="110">
        <f>'Propylene Recycling HC'!W90*'Propylene Recycling HC'!W$46/'Propylene Recycling LC'!W$46</f>
        <v>1.2802972118874092E-2</v>
      </c>
      <c r="X77" s="110">
        <f>'Propylene Recycling HC'!X90*'Propylene Recycling HC'!X$46/'Propylene Recycling LC'!X$46</f>
        <v>1.3272675533173543E-2</v>
      </c>
      <c r="Y77" s="110">
        <f>'Propylene Recycling HC'!Y90*'Propylene Recycling HC'!Y$46/'Propylene Recycling LC'!Y$46</f>
        <v>1.359909255318221E-2</v>
      </c>
      <c r="Z77" s="110">
        <f>'Propylene Recycling HC'!Z90*'Propylene Recycling HC'!Z$46/'Propylene Recycling LC'!Z$46</f>
        <v>1.3705165562516412E-2</v>
      </c>
      <c r="AA77" s="110">
        <f>'Propylene Recycling HC'!AA90*'Propylene Recycling HC'!AA$46/'Propylene Recycling LC'!AA$46</f>
        <v>1.36695445908054E-2</v>
      </c>
      <c r="AB77" s="110">
        <f>'Propylene Recycling HC'!AB90*'Propylene Recycling HC'!AB$46/'Propylene Recycling LC'!AB$46</f>
        <v>1.3496170250572467E-2</v>
      </c>
      <c r="AC77" s="110">
        <f>'Propylene Recycling HC'!AC90*'Propylene Recycling HC'!AC$46/'Propylene Recycling LC'!AC$46</f>
        <v>1.3189011479046624E-2</v>
      </c>
      <c r="AD77" s="110">
        <f>'Propylene Recycling HC'!AD90*'Propylene Recycling HC'!AD$46/'Propylene Recycling LC'!AD$46</f>
        <v>1.2752065036614333E-2</v>
      </c>
      <c r="AE77" s="110">
        <f>'Propylene Recycling HC'!AE90*'Propylene Recycling HC'!AE$46/'Propylene Recycling LC'!AE$46</f>
        <v>1.2189355005437092E-2</v>
      </c>
      <c r="AF77" s="110">
        <f>'Propylene Recycling HC'!AF90*'Propylene Recycling HC'!AF$46/'Propylene Recycling LC'!AF$46</f>
        <v>1.1504932287516719E-2</v>
      </c>
      <c r="AG77" s="110">
        <f>'Propylene Recycling HC'!AG90*'Propylene Recycling HC'!AG$46/'Propylene Recycling LC'!AG$46</f>
        <v>1.0702874101474779E-2</v>
      </c>
      <c r="AI77" s="133" t="s">
        <v>1314</v>
      </c>
      <c r="AJ77" s="211"/>
      <c r="AL77" s="108"/>
      <c r="AM77" s="2"/>
      <c r="AN77" s="2"/>
      <c r="AO77" s="2"/>
      <c r="BC77" s="1"/>
      <c r="BD77" s="2"/>
      <c r="BE77" s="2"/>
      <c r="BF77" s="2"/>
      <c r="BG77" s="2"/>
      <c r="BH77" s="2"/>
      <c r="BI77" s="2"/>
      <c r="BJ77" s="2"/>
      <c r="BK77" s="2"/>
    </row>
    <row r="78" spans="1:63" ht="16" outlineLevel="1" x14ac:dyDescent="0.2">
      <c r="A78" t="s">
        <v>1502</v>
      </c>
      <c r="B78" s="54" t="s">
        <v>462</v>
      </c>
      <c r="C78" s="110">
        <f>'Propylene Recycling HC'!C91*'Propylene Recycling HC'!C$46/'Propylene Recycling LC'!C$46</f>
        <v>9.6262074889316325E-3</v>
      </c>
      <c r="D78" s="110">
        <f>'Propylene Recycling HC'!D91*'Propylene Recycling HC'!D$46/'Propylene Recycling LC'!D$46</f>
        <v>1.1699860231244974E-2</v>
      </c>
      <c r="E78" s="110">
        <f>'Propylene Recycling HC'!E91*'Propylene Recycling HC'!E$46/'Propylene Recycling LC'!E$46</f>
        <v>1.3640778388299831E-2</v>
      </c>
      <c r="F78" s="110">
        <f>'Propylene Recycling HC'!F91*'Propylene Recycling HC'!F$46/'Propylene Recycling LC'!F$46</f>
        <v>1.5449638468715067E-2</v>
      </c>
      <c r="G78" s="110">
        <f>'Propylene Recycling HC'!G91*'Propylene Recycling HC'!G$46/'Propylene Recycling LC'!G$46</f>
        <v>1.7127116981109542E-2</v>
      </c>
      <c r="H78" s="110">
        <f>'Propylene Recycling HC'!H91*'Propylene Recycling HC'!H$46/'Propylene Recycling LC'!H$46</f>
        <v>1.867389043410211E-2</v>
      </c>
      <c r="I78" s="110">
        <f>'Propylene Recycling HC'!I91*'Propylene Recycling HC'!I$46/'Propylene Recycling LC'!I$46</f>
        <v>2.0090635336311644E-2</v>
      </c>
      <c r="J78" s="110">
        <f>'Propylene Recycling HC'!J91*'Propylene Recycling HC'!J$46/'Propylene Recycling LC'!J$46</f>
        <v>2.1378028196356987E-2</v>
      </c>
      <c r="K78" s="110">
        <f>'Propylene Recycling HC'!K91*'Propylene Recycling HC'!K$46/'Propylene Recycling LC'!K$46</f>
        <v>2.2536745522857018E-2</v>
      </c>
      <c r="L78" s="110">
        <f>'Propylene Recycling HC'!L91*'Propylene Recycling HC'!L$46/'Propylene Recycling LC'!L$46</f>
        <v>2.3567463824430587E-2</v>
      </c>
      <c r="M78" s="110">
        <f>'Propylene Recycling HC'!M91*'Propylene Recycling HC'!M$46/'Propylene Recycling LC'!M$46</f>
        <v>2.4470859609696551E-2</v>
      </c>
      <c r="N78" s="110">
        <f>'Propylene Recycling HC'!N91*'Propylene Recycling HC'!N$46/'Propylene Recycling LC'!N$46</f>
        <v>2.7112478858651264E-2</v>
      </c>
      <c r="O78" s="110">
        <f>'Propylene Recycling HC'!O91*'Propylene Recycling HC'!O$46/'Propylene Recycling LC'!O$46</f>
        <v>2.9485096999436463E-2</v>
      </c>
      <c r="P78" s="110">
        <f>'Propylene Recycling HC'!P91*'Propylene Recycling HC'!P$46/'Propylene Recycling LC'!P$46</f>
        <v>3.1536253700367826E-2</v>
      </c>
      <c r="Q78" s="110">
        <f>'Propylene Recycling HC'!Q91*'Propylene Recycling HC'!Q$46/'Propylene Recycling LC'!Q$46</f>
        <v>3.3314600349247596E-2</v>
      </c>
      <c r="R78" s="110">
        <f>'Propylene Recycling HC'!R91*'Propylene Recycling HC'!R$46/'Propylene Recycling LC'!R$46</f>
        <v>3.4822862946770373E-2</v>
      </c>
      <c r="S78" s="110">
        <f>'Propylene Recycling HC'!S91*'Propylene Recycling HC'!S$46/'Propylene Recycling LC'!S$46</f>
        <v>3.6063776078891607E-2</v>
      </c>
      <c r="T78" s="110">
        <f>'Propylene Recycling HC'!T91*'Propylene Recycling HC'!T$46/'Propylene Recycling LC'!T$46</f>
        <v>3.7040082741702694E-2</v>
      </c>
      <c r="U78" s="110">
        <f>'Propylene Recycling HC'!U91*'Propylene Recycling HC'!U$46/'Propylene Recycling LC'!U$46</f>
        <v>3.7754534166558724E-2</v>
      </c>
      <c r="V78" s="110">
        <f>'Propylene Recycling HC'!V91*'Propylene Recycling HC'!V$46/'Propylene Recycling LC'!V$46</f>
        <v>3.8209889645451696E-2</v>
      </c>
      <c r="W78" s="110">
        <f>'Propylene Recycling HC'!W91*'Propylene Recycling HC'!W$46/'Propylene Recycling LC'!W$46</f>
        <v>3.8408916356622275E-2</v>
      </c>
      <c r="X78" s="110">
        <f>'Propylene Recycling HC'!X91*'Propylene Recycling HC'!X$46/'Propylene Recycling LC'!X$46</f>
        <v>3.981802659952062E-2</v>
      </c>
      <c r="Y78" s="110">
        <f>'Propylene Recycling HC'!Y91*'Propylene Recycling HC'!Y$46/'Propylene Recycling LC'!Y$46</f>
        <v>4.0797277659546632E-2</v>
      </c>
      <c r="Z78" s="110">
        <f>'Propylene Recycling HC'!Z91*'Propylene Recycling HC'!Z$46/'Propylene Recycling LC'!Z$46</f>
        <v>4.1115496687549234E-2</v>
      </c>
      <c r="AA78" s="110">
        <f>'Propylene Recycling HC'!AA91*'Propylene Recycling HC'!AA$46/'Propylene Recycling LC'!AA$46</f>
        <v>4.1008633772416196E-2</v>
      </c>
      <c r="AB78" s="110">
        <f>'Propylene Recycling HC'!AB91*'Propylene Recycling HC'!AB$46/'Propylene Recycling LC'!AB$46</f>
        <v>4.0488510751717402E-2</v>
      </c>
      <c r="AC78" s="110">
        <f>'Propylene Recycling HC'!AC91*'Propylene Recycling HC'!AC$46/'Propylene Recycling LC'!AC$46</f>
        <v>3.9567034437139867E-2</v>
      </c>
      <c r="AD78" s="110">
        <f>'Propylene Recycling HC'!AD91*'Propylene Recycling HC'!AD$46/'Propylene Recycling LC'!AD$46</f>
        <v>3.8256195109842996E-2</v>
      </c>
      <c r="AE78" s="110">
        <f>'Propylene Recycling HC'!AE91*'Propylene Recycling HC'!AE$46/'Propylene Recycling LC'!AE$46</f>
        <v>3.6568065016311269E-2</v>
      </c>
      <c r="AF78" s="110">
        <f>'Propylene Recycling HC'!AF91*'Propylene Recycling HC'!AF$46/'Propylene Recycling LC'!AF$46</f>
        <v>3.4514796862550164E-2</v>
      </c>
      <c r="AG78" s="110">
        <f>'Propylene Recycling HC'!AG91*'Propylene Recycling HC'!AG$46/'Propylene Recycling LC'!AG$46</f>
        <v>3.2108622304424343E-2</v>
      </c>
      <c r="AI78" s="133" t="s">
        <v>1314</v>
      </c>
      <c r="AJ78" s="211"/>
      <c r="AL78" s="108"/>
      <c r="AM78" s="2"/>
      <c r="AN78" s="2"/>
      <c r="AO78" s="2"/>
      <c r="BC78" s="1"/>
      <c r="BD78" s="2"/>
      <c r="BE78" s="2"/>
      <c r="BF78" s="2"/>
      <c r="BG78" s="2"/>
      <c r="BH78" s="2"/>
      <c r="BI78" s="2"/>
      <c r="BJ78" s="2"/>
      <c r="BK78" s="2"/>
    </row>
    <row r="79" spans="1:63" outlineLevel="1" x14ac:dyDescent="0.2">
      <c r="C79" s="110"/>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c r="AD79" s="23"/>
      <c r="AE79" s="23"/>
      <c r="AF79" s="23"/>
      <c r="AG79" s="23"/>
      <c r="AJ79" s="211"/>
      <c r="AM79" s="123"/>
      <c r="AN79" s="123"/>
    </row>
    <row r="80" spans="1:63" s="200" customFormat="1" ht="16" thickBot="1" x14ac:dyDescent="0.25">
      <c r="A80" s="200" t="s">
        <v>1339</v>
      </c>
      <c r="B80" s="215"/>
      <c r="C80" s="224">
        <f>'Propylene Recycling HC'!C93</f>
        <v>0.13</v>
      </c>
      <c r="D80" s="224">
        <f>'Propylene Recycling HC'!D93</f>
        <v>0.13557711853523402</v>
      </c>
      <c r="E80" s="224">
        <f>'Propylene Recycling HC'!E93</f>
        <v>0.14115423707046801</v>
      </c>
      <c r="F80" s="224">
        <f>'Propylene Recycling HC'!F93</f>
        <v>0.14673135560570202</v>
      </c>
      <c r="G80" s="224">
        <f>'Propylene Recycling HC'!G93</f>
        <v>0.15230847414093604</v>
      </c>
      <c r="H80" s="224">
        <f>'Propylene Recycling HC'!H93</f>
        <v>0.15788559267617003</v>
      </c>
      <c r="I80" s="224">
        <f>'Propylene Recycling HC'!I93</f>
        <v>0.16346271121140404</v>
      </c>
      <c r="J80" s="224">
        <f>'Propylene Recycling HC'!J93</f>
        <v>0.16903982974663806</v>
      </c>
      <c r="K80" s="224">
        <f>'Propylene Recycling HC'!K93</f>
        <v>0.17461694828187208</v>
      </c>
      <c r="L80" s="224">
        <f>'Propylene Recycling HC'!L93</f>
        <v>0.18019406681710606</v>
      </c>
      <c r="M80" s="224">
        <f>'Propylene Recycling HC'!M93</f>
        <v>0.18577118535234008</v>
      </c>
      <c r="N80" s="224">
        <f>'Propylene Recycling HC'!N93</f>
        <v>0.19752603518814099</v>
      </c>
      <c r="O80" s="224">
        <f>'Propylene Recycling HC'!O93</f>
        <v>0.20928088502394188</v>
      </c>
      <c r="P80" s="224">
        <f>'Propylene Recycling HC'!P93</f>
        <v>0.22103573485974279</v>
      </c>
      <c r="Q80" s="224">
        <f>'Propylene Recycling HC'!Q93</f>
        <v>0.2327905846955437</v>
      </c>
      <c r="R80" s="224">
        <f>'Propylene Recycling HC'!R93</f>
        <v>0.24454543453134459</v>
      </c>
      <c r="S80" s="224">
        <f>'Propylene Recycling HC'!S93</f>
        <v>0.25630028436714547</v>
      </c>
      <c r="T80" s="224">
        <f>'Propylene Recycling HC'!T93</f>
        <v>0.26805513420294641</v>
      </c>
      <c r="U80" s="224">
        <f>'Propylene Recycling HC'!U93</f>
        <v>0.27980998403874729</v>
      </c>
      <c r="V80" s="224">
        <f>'Propylene Recycling HC'!V93</f>
        <v>0.29156483387454823</v>
      </c>
      <c r="W80" s="224">
        <f>'Propylene Recycling HC'!W93</f>
        <v>0.30331968371034912</v>
      </c>
      <c r="X80" s="224">
        <f>'Propylene Recycling HC'!X93</f>
        <v>0.3229877153393142</v>
      </c>
      <c r="Y80" s="224">
        <f>'Propylene Recycling HC'!Y93</f>
        <v>0.34265574696827927</v>
      </c>
      <c r="Z80" s="224">
        <f>'Propylene Recycling HC'!Z93</f>
        <v>0.36232377859724441</v>
      </c>
      <c r="AA80" s="224">
        <f>'Propylene Recycling HC'!AA93</f>
        <v>0.38199181022620948</v>
      </c>
      <c r="AB80" s="224">
        <f>'Propylene Recycling HC'!AB93</f>
        <v>0.40165984185517456</v>
      </c>
      <c r="AC80" s="224">
        <f>'Propylene Recycling HC'!AC93</f>
        <v>0.42132787348413964</v>
      </c>
      <c r="AD80" s="224">
        <f>'Propylene Recycling HC'!AD93</f>
        <v>0.44099590511310471</v>
      </c>
      <c r="AE80" s="224">
        <f>'Propylene Recycling HC'!AE93</f>
        <v>0.46066393674206985</v>
      </c>
      <c r="AF80" s="224">
        <f>'Propylene Recycling HC'!AF93</f>
        <v>0.48033196837103487</v>
      </c>
      <c r="AG80" s="224">
        <f>'Propylene Recycling HC'!AG93</f>
        <v>0.5</v>
      </c>
      <c r="AJ80" s="231" t="s">
        <v>1340</v>
      </c>
      <c r="AL80" s="217"/>
      <c r="AM80" s="225"/>
      <c r="AN80" s="225"/>
      <c r="AO80" s="225"/>
    </row>
    <row r="81" spans="1:41" ht="16" outlineLevel="1" thickTop="1" x14ac:dyDescent="0.2">
      <c r="C81" s="110"/>
      <c r="D81" s="110"/>
      <c r="E81" s="110"/>
      <c r="F81" s="110"/>
      <c r="G81" s="110"/>
      <c r="H81" s="110"/>
      <c r="I81" s="110"/>
      <c r="J81" s="110"/>
      <c r="K81" s="110"/>
      <c r="L81" s="110"/>
      <c r="M81" s="110"/>
      <c r="N81" s="110"/>
      <c r="O81" s="110"/>
      <c r="P81" s="110"/>
      <c r="Q81" s="110"/>
      <c r="R81" s="110"/>
      <c r="S81" s="110"/>
      <c r="T81" s="110"/>
      <c r="U81" s="110"/>
      <c r="V81" s="110"/>
      <c r="W81" s="110"/>
      <c r="X81" s="110"/>
      <c r="Y81" s="110"/>
      <c r="Z81" s="110"/>
      <c r="AA81" s="110"/>
      <c r="AB81" s="110"/>
      <c r="AC81" s="110"/>
      <c r="AD81" s="110"/>
      <c r="AE81" s="110"/>
      <c r="AF81" s="110"/>
      <c r="AG81" s="110"/>
      <c r="AJ81" s="211"/>
    </row>
    <row r="82" spans="1:41" s="200" customFormat="1" ht="16" thickBot="1" x14ac:dyDescent="0.25">
      <c r="A82" s="200" t="s">
        <v>1347</v>
      </c>
      <c r="B82" s="215"/>
      <c r="C82" s="224">
        <f>C83</f>
        <v>1.6E-2</v>
      </c>
      <c r="D82" s="224">
        <f t="shared" ref="D82:AG82" si="28">D83</f>
        <v>2.3295473975819624E-2</v>
      </c>
      <c r="E82" s="224">
        <f t="shared" si="28"/>
        <v>3.059094795163924E-2</v>
      </c>
      <c r="F82" s="224">
        <f t="shared" si="28"/>
        <v>3.7886421927458863E-2</v>
      </c>
      <c r="G82" s="224">
        <f t="shared" si="28"/>
        <v>4.5181895903278486E-2</v>
      </c>
      <c r="H82" s="224">
        <f t="shared" si="28"/>
        <v>5.2477369879098103E-2</v>
      </c>
      <c r="I82" s="224">
        <f t="shared" si="28"/>
        <v>5.9772843854917726E-2</v>
      </c>
      <c r="J82" s="224">
        <f t="shared" si="28"/>
        <v>6.7068317830737342E-2</v>
      </c>
      <c r="K82" s="224">
        <f t="shared" si="28"/>
        <v>7.4363791806556973E-2</v>
      </c>
      <c r="L82" s="224">
        <f t="shared" si="28"/>
        <v>8.1659265782376589E-2</v>
      </c>
      <c r="M82" s="224">
        <f t="shared" si="28"/>
        <v>8.8954739758196205E-2</v>
      </c>
      <c r="N82" s="224">
        <f t="shared" si="28"/>
        <v>0.10433135413800063</v>
      </c>
      <c r="O82" s="224">
        <f t="shared" si="28"/>
        <v>0.11970796851780505</v>
      </c>
      <c r="P82" s="224">
        <f t="shared" si="28"/>
        <v>0.1350845828976095</v>
      </c>
      <c r="Q82" s="224">
        <f t="shared" si="28"/>
        <v>0.15046119727741392</v>
      </c>
      <c r="R82" s="224">
        <f t="shared" si="28"/>
        <v>0.16583781165721834</v>
      </c>
      <c r="S82" s="224">
        <f t="shared" si="28"/>
        <v>0.18121442603702276</v>
      </c>
      <c r="T82" s="224">
        <f t="shared" si="28"/>
        <v>0.19659104041682718</v>
      </c>
      <c r="U82" s="224">
        <f t="shared" si="28"/>
        <v>0.2119676547966316</v>
      </c>
      <c r="V82" s="224">
        <f t="shared" si="28"/>
        <v>0.22734426917643602</v>
      </c>
      <c r="W82" s="224">
        <f t="shared" si="28"/>
        <v>0.24272088355624044</v>
      </c>
      <c r="X82" s="224">
        <f t="shared" si="28"/>
        <v>0.26844879520061637</v>
      </c>
      <c r="Y82" s="224">
        <f t="shared" si="28"/>
        <v>0.29417670684499236</v>
      </c>
      <c r="Z82" s="224">
        <f t="shared" si="28"/>
        <v>0.3199046184893683</v>
      </c>
      <c r="AA82" s="224">
        <f t="shared" si="28"/>
        <v>0.34563253013374429</v>
      </c>
      <c r="AB82" s="224">
        <f t="shared" si="28"/>
        <v>0.37136044177812022</v>
      </c>
      <c r="AC82" s="224">
        <f t="shared" si="28"/>
        <v>0.39708835342249615</v>
      </c>
      <c r="AD82" s="224">
        <f t="shared" si="28"/>
        <v>0.42281626506687209</v>
      </c>
      <c r="AE82" s="224">
        <f t="shared" si="28"/>
        <v>0.44854417671124808</v>
      </c>
      <c r="AF82" s="224">
        <f t="shared" si="28"/>
        <v>0.47427208835562407</v>
      </c>
      <c r="AG82" s="224">
        <f t="shared" si="28"/>
        <v>0.5</v>
      </c>
      <c r="AJ82" s="231" t="s">
        <v>1491</v>
      </c>
      <c r="AL82" s="217"/>
      <c r="AM82" s="225"/>
      <c r="AN82" s="225"/>
      <c r="AO82" s="225"/>
    </row>
    <row r="83" spans="1:41" ht="17" outlineLevel="1" thickTop="1" x14ac:dyDescent="0.2">
      <c r="A83" t="s">
        <v>1348</v>
      </c>
      <c r="B83" s="54" t="s">
        <v>462</v>
      </c>
      <c r="C83" s="110">
        <f>'Propylene Recycling HC'!C108*'Propylene Recycling HC'!C$47/'Propylene Recycling LC'!C$47</f>
        <v>1.6E-2</v>
      </c>
      <c r="D83" s="110">
        <f>'Propylene Recycling HC'!D108*'Propylene Recycling HC'!D$47/'Propylene Recycling LC'!D$47</f>
        <v>2.3295473975819624E-2</v>
      </c>
      <c r="E83" s="110">
        <f>'Propylene Recycling HC'!E108*'Propylene Recycling HC'!E$47/'Propylene Recycling LC'!E$47</f>
        <v>3.059094795163924E-2</v>
      </c>
      <c r="F83" s="110">
        <f>'Propylene Recycling HC'!F108*'Propylene Recycling HC'!F$47/'Propylene Recycling LC'!F$47</f>
        <v>3.7886421927458863E-2</v>
      </c>
      <c r="G83" s="110">
        <f>'Propylene Recycling HC'!G108*'Propylene Recycling HC'!G$47/'Propylene Recycling LC'!G$47</f>
        <v>4.5181895903278486E-2</v>
      </c>
      <c r="H83" s="110">
        <f>'Propylene Recycling HC'!H108*'Propylene Recycling HC'!H$47/'Propylene Recycling LC'!H$47</f>
        <v>5.2477369879098103E-2</v>
      </c>
      <c r="I83" s="110">
        <f>'Propylene Recycling HC'!I108*'Propylene Recycling HC'!I$47/'Propylene Recycling LC'!I$47</f>
        <v>5.9772843854917726E-2</v>
      </c>
      <c r="J83" s="110">
        <f>'Propylene Recycling HC'!J108*'Propylene Recycling HC'!J$47/'Propylene Recycling LC'!J$47</f>
        <v>6.7068317830737342E-2</v>
      </c>
      <c r="K83" s="110">
        <f>'Propylene Recycling HC'!K108*'Propylene Recycling HC'!K$47/'Propylene Recycling LC'!K$47</f>
        <v>7.4363791806556973E-2</v>
      </c>
      <c r="L83" s="110">
        <f>'Propylene Recycling HC'!L108*'Propylene Recycling HC'!L$47/'Propylene Recycling LC'!L$47</f>
        <v>8.1659265782376589E-2</v>
      </c>
      <c r="M83" s="110">
        <f>'Propylene Recycling HC'!M108*'Propylene Recycling HC'!M$47/'Propylene Recycling LC'!M$47</f>
        <v>8.8954739758196205E-2</v>
      </c>
      <c r="N83" s="110">
        <f>'Propylene Recycling HC'!N108*'Propylene Recycling HC'!N$47/'Propylene Recycling LC'!N$47</f>
        <v>0.10433135413800063</v>
      </c>
      <c r="O83" s="110">
        <f>'Propylene Recycling HC'!O108*'Propylene Recycling HC'!O$47/'Propylene Recycling LC'!O$47</f>
        <v>0.11970796851780505</v>
      </c>
      <c r="P83" s="110">
        <f>'Propylene Recycling HC'!P108*'Propylene Recycling HC'!P$47/'Propylene Recycling LC'!P$47</f>
        <v>0.1350845828976095</v>
      </c>
      <c r="Q83" s="110">
        <f>'Propylene Recycling HC'!Q108*'Propylene Recycling HC'!Q$47/'Propylene Recycling LC'!Q$47</f>
        <v>0.15046119727741392</v>
      </c>
      <c r="R83" s="110">
        <f>'Propylene Recycling HC'!R108*'Propylene Recycling HC'!R$47/'Propylene Recycling LC'!R$47</f>
        <v>0.16583781165721834</v>
      </c>
      <c r="S83" s="110">
        <f>'Propylene Recycling HC'!S108*'Propylene Recycling HC'!S$47/'Propylene Recycling LC'!S$47</f>
        <v>0.18121442603702276</v>
      </c>
      <c r="T83" s="110">
        <f>'Propylene Recycling HC'!T108*'Propylene Recycling HC'!T$47/'Propylene Recycling LC'!T$47</f>
        <v>0.19659104041682718</v>
      </c>
      <c r="U83" s="110">
        <f>'Propylene Recycling HC'!U108*'Propylene Recycling HC'!U$47/'Propylene Recycling LC'!U$47</f>
        <v>0.2119676547966316</v>
      </c>
      <c r="V83" s="110">
        <f>'Propylene Recycling HC'!V108*'Propylene Recycling HC'!V$47/'Propylene Recycling LC'!V$47</f>
        <v>0.22734426917643602</v>
      </c>
      <c r="W83" s="110">
        <f>'Propylene Recycling HC'!W108*'Propylene Recycling HC'!W$47/'Propylene Recycling LC'!W$47</f>
        <v>0.24272088355624044</v>
      </c>
      <c r="X83" s="110">
        <f>'Propylene Recycling HC'!X108*'Propylene Recycling HC'!X$47/'Propylene Recycling LC'!X$47</f>
        <v>0.26844879520061637</v>
      </c>
      <c r="Y83" s="110">
        <f>'Propylene Recycling HC'!Y108*'Propylene Recycling HC'!Y$47/'Propylene Recycling LC'!Y$47</f>
        <v>0.29417670684499236</v>
      </c>
      <c r="Z83" s="110">
        <f>'Propylene Recycling HC'!Z108*'Propylene Recycling HC'!Z$47/'Propylene Recycling LC'!Z$47</f>
        <v>0.3199046184893683</v>
      </c>
      <c r="AA83" s="110">
        <f>'Propylene Recycling HC'!AA108*'Propylene Recycling HC'!AA$47/'Propylene Recycling LC'!AA$47</f>
        <v>0.34563253013374429</v>
      </c>
      <c r="AB83" s="110">
        <f>'Propylene Recycling HC'!AB108*'Propylene Recycling HC'!AB$47/'Propylene Recycling LC'!AB$47</f>
        <v>0.37136044177812022</v>
      </c>
      <c r="AC83" s="110">
        <f>'Propylene Recycling HC'!AC108*'Propylene Recycling HC'!AC$47/'Propylene Recycling LC'!AC$47</f>
        <v>0.39708835342249615</v>
      </c>
      <c r="AD83" s="110">
        <f>'Propylene Recycling HC'!AD108*'Propylene Recycling HC'!AD$47/'Propylene Recycling LC'!AD$47</f>
        <v>0.42281626506687209</v>
      </c>
      <c r="AE83" s="110">
        <f>'Propylene Recycling HC'!AE108*'Propylene Recycling HC'!AE$47/'Propylene Recycling LC'!AE$47</f>
        <v>0.44854417671124808</v>
      </c>
      <c r="AF83" s="110">
        <f>'Propylene Recycling HC'!AF108*'Propylene Recycling HC'!AF$47/'Propylene Recycling LC'!AF$47</f>
        <v>0.47427208835562407</v>
      </c>
      <c r="AG83" s="110">
        <f>'Propylene Recycling HC'!AG108*'Propylene Recycling HC'!AG$47/'Propylene Recycling LC'!AG$47</f>
        <v>0.5</v>
      </c>
      <c r="AI83" s="133" t="s">
        <v>1314</v>
      </c>
      <c r="AJ83" s="211" t="s">
        <v>1349</v>
      </c>
    </row>
    <row r="84" spans="1:41" outlineLevel="1" x14ac:dyDescent="0.2">
      <c r="C84" s="113"/>
      <c r="D84" s="113"/>
      <c r="E84" s="113"/>
      <c r="F84" s="113"/>
      <c r="G84" s="113"/>
      <c r="H84" s="113"/>
      <c r="I84" s="113"/>
      <c r="J84" s="113"/>
      <c r="K84" s="113"/>
      <c r="L84" s="113"/>
      <c r="M84" s="113"/>
      <c r="N84" s="113"/>
      <c r="O84" s="113"/>
      <c r="P84" s="113"/>
      <c r="Q84" s="113"/>
      <c r="R84" s="113"/>
      <c r="S84" s="113"/>
      <c r="T84" s="113"/>
      <c r="U84" s="113"/>
      <c r="V84" s="113"/>
      <c r="W84" s="113"/>
      <c r="X84" s="113"/>
      <c r="Y84" s="113"/>
      <c r="Z84" s="113"/>
      <c r="AA84" s="113"/>
      <c r="AB84" s="113"/>
      <c r="AC84" s="113"/>
      <c r="AD84" s="113"/>
      <c r="AE84" s="113"/>
      <c r="AF84" s="113"/>
      <c r="AG84" s="113"/>
      <c r="AJ84" s="211"/>
    </row>
    <row r="85" spans="1:41" ht="16" outlineLevel="1" x14ac:dyDescent="0.2">
      <c r="A85" t="s">
        <v>1503</v>
      </c>
      <c r="B85" s="54" t="s">
        <v>462</v>
      </c>
      <c r="C85" s="110">
        <f>'Propylene Recycling HC'!C111*'Propylene Recycling HC'!C$47/'Propylene Recycling LC'!C$47</f>
        <v>5.878360653438313E-3</v>
      </c>
      <c r="D85" s="110">
        <f>'Propylene Recycling HC'!D111*'Propylene Recycling HC'!D$47/'Propylene Recycling LC'!D$47</f>
        <v>8.8946224957238834E-3</v>
      </c>
      <c r="E85" s="110">
        <f>'Propylene Recycling HC'!E111*'Propylene Recycling HC'!E$47/'Propylene Recycling LC'!E$47</f>
        <v>1.2121287003521325E-2</v>
      </c>
      <c r="F85" s="110">
        <f>'Propylene Recycling HC'!F111*'Propylene Recycling HC'!F$47/'Propylene Recycling LC'!F$47</f>
        <v>1.5558354176830647E-2</v>
      </c>
      <c r="G85" s="110">
        <f>'Propylene Recycling HC'!G111*'Propylene Recycling HC'!G$47/'Propylene Recycling LC'!G$47</f>
        <v>1.9205824015651841E-2</v>
      </c>
      <c r="H85" s="110">
        <f>'Propylene Recycling HC'!H111*'Propylene Recycling HC'!H$47/'Propylene Recycling LC'!H$47</f>
        <v>2.3063696519984914E-2</v>
      </c>
      <c r="I85" s="110">
        <f>'Propylene Recycling HC'!I111*'Propylene Recycling HC'!I$47/'Propylene Recycling LC'!I$47</f>
        <v>2.7131971689829851E-2</v>
      </c>
      <c r="J85" s="110">
        <f>'Propylene Recycling HC'!J111*'Propylene Recycling HC'!J$47/'Propylene Recycling LC'!J$47</f>
        <v>3.1410649525186671E-2</v>
      </c>
      <c r="K85" s="110">
        <f>'Propylene Recycling HC'!K111*'Propylene Recycling HC'!K$47/'Propylene Recycling LC'!K$47</f>
        <v>3.5899730026055364E-2</v>
      </c>
      <c r="L85" s="110">
        <f>'Propylene Recycling HC'!L111*'Propylene Recycling HC'!L$47/'Propylene Recycling LC'!L$47</f>
        <v>4.059921319243593E-2</v>
      </c>
      <c r="M85" s="110">
        <f>'Propylene Recycling HC'!M111*'Propylene Recycling HC'!M$47/'Propylene Recycling LC'!M$47</f>
        <v>4.5509099024328384E-2</v>
      </c>
      <c r="N85" s="110">
        <f>'Propylene Recycling HC'!N111*'Propylene Recycling HC'!N$47/'Propylene Recycling LC'!N$47</f>
        <v>5.4880216410918656E-2</v>
      </c>
      <c r="O85" s="110">
        <f>'Propylene Recycling HC'!O111*'Propylene Recycling HC'!O$47/'Propylene Recycling LC'!O$47</f>
        <v>6.4694797877126273E-2</v>
      </c>
      <c r="P85" s="110">
        <f>'Propylene Recycling HC'!P111*'Propylene Recycling HC'!P$47/'Propylene Recycling LC'!P$47</f>
        <v>7.4952843422951235E-2</v>
      </c>
      <c r="Q85" s="110">
        <f>'Propylene Recycling HC'!Q111*'Propylene Recycling HC'!Q$47/'Propylene Recycling LC'!Q$47</f>
        <v>8.5654353048393514E-2</v>
      </c>
      <c r="R85" s="110">
        <f>'Propylene Recycling HC'!R111*'Propylene Recycling HC'!R$47/'Propylene Recycling LC'!R$47</f>
        <v>9.6799326753453138E-2</v>
      </c>
      <c r="S85" s="110">
        <f>'Propylene Recycling HC'!S111*'Propylene Recycling HC'!S$47/'Propylene Recycling LC'!S$47</f>
        <v>0.10838776453813009</v>
      </c>
      <c r="T85" s="110">
        <f>'Propylene Recycling HC'!T111*'Propylene Recycling HC'!T$47/'Propylene Recycling LC'!T$47</f>
        <v>0.12041966640242438</v>
      </c>
      <c r="U85" s="110">
        <f>'Propylene Recycling HC'!U111*'Propylene Recycling HC'!U$47/'Propylene Recycling LC'!U$47</f>
        <v>0.13289503234633601</v>
      </c>
      <c r="V85" s="110">
        <f>'Propylene Recycling HC'!V111*'Propylene Recycling HC'!V$47/'Propylene Recycling LC'!V$47</f>
        <v>0.14581386236986496</v>
      </c>
      <c r="W85" s="110">
        <f>'Propylene Recycling HC'!W111*'Propylene Recycling HC'!W$47/'Propylene Recycling LC'!W$47</f>
        <v>0.15917615647301125</v>
      </c>
      <c r="X85" s="110">
        <f>'Propylene Recycling HC'!X111*'Propylene Recycling HC'!X$47/'Propylene Recycling LC'!X$47</f>
        <v>0.17991955347178681</v>
      </c>
      <c r="Y85" s="110">
        <f>'Propylene Recycling HC'!Y111*'Propylene Recycling HC'!Y$47/'Propylene Recycling LC'!Y$47</f>
        <v>0.20140494766032316</v>
      </c>
      <c r="Z85" s="110">
        <f>'Propylene Recycling HC'!Z111*'Propylene Recycling HC'!Z$47/'Propylene Recycling LC'!Z$47</f>
        <v>0.22363233903862018</v>
      </c>
      <c r="AA85" s="110">
        <f>'Propylene Recycling HC'!AA111*'Propylene Recycling HC'!AA$47/'Propylene Recycling LC'!AA$47</f>
        <v>0.24660172760667798</v>
      </c>
      <c r="AB85" s="110">
        <f>'Propylene Recycling HC'!AB111*'Propylene Recycling HC'!AB$47/'Propylene Recycling LC'!AB$47</f>
        <v>0.27031311336449648</v>
      </c>
      <c r="AC85" s="110">
        <f>'Propylene Recycling HC'!AC111*'Propylene Recycling HC'!AC$47/'Propylene Recycling LC'!AC$47</f>
        <v>0.29476649631207569</v>
      </c>
      <c r="AD85" s="110">
        <f>'Propylene Recycling HC'!AD111*'Propylene Recycling HC'!AD$47/'Propylene Recycling LC'!AD$47</f>
        <v>0.31996187644941559</v>
      </c>
      <c r="AE85" s="110">
        <f>'Propylene Recycling HC'!AE111*'Propylene Recycling HC'!AE$47/'Propylene Recycling LC'!AE$47</f>
        <v>0.34589925377651631</v>
      </c>
      <c r="AF85" s="110">
        <f>'Propylene Recycling HC'!AF111*'Propylene Recycling HC'!AF$47/'Propylene Recycling LC'!AF$47</f>
        <v>0.37257862829337779</v>
      </c>
      <c r="AG85" s="110">
        <f>'Propylene Recycling HC'!AG111*'Propylene Recycling HC'!AG$47/'Propylene Recycling LC'!AG$47</f>
        <v>0.4</v>
      </c>
      <c r="AI85" s="133" t="s">
        <v>1314</v>
      </c>
      <c r="AJ85" s="211" t="s">
        <v>1349</v>
      </c>
    </row>
    <row r="86" spans="1:41" outlineLevel="1" x14ac:dyDescent="0.2">
      <c r="AJ86" s="211"/>
    </row>
    <row r="87" spans="1:41" s="200" customFormat="1" ht="16" thickBot="1" x14ac:dyDescent="0.25">
      <c r="A87" s="200" t="s">
        <v>1351</v>
      </c>
      <c r="B87" s="215"/>
      <c r="C87" s="224">
        <f>C88</f>
        <v>0.05</v>
      </c>
      <c r="D87" s="224">
        <f t="shared" ref="D87:AG87" si="29">D88</f>
        <v>5.2260994000770548E-2</v>
      </c>
      <c r="E87" s="224">
        <f t="shared" si="29"/>
        <v>5.4521988001541094E-2</v>
      </c>
      <c r="F87" s="224">
        <f t="shared" si="29"/>
        <v>5.6782982002311633E-2</v>
      </c>
      <c r="G87" s="224">
        <f t="shared" si="29"/>
        <v>5.9043976003082171E-2</v>
      </c>
      <c r="H87" s="224">
        <f t="shared" si="29"/>
        <v>6.1304970003852717E-2</v>
      </c>
      <c r="I87" s="224">
        <f t="shared" si="29"/>
        <v>6.3355501798126587E-2</v>
      </c>
      <c r="J87" s="224">
        <f t="shared" si="29"/>
        <v>6.5389613609545622E-2</v>
      </c>
      <c r="K87" s="224">
        <f t="shared" si="29"/>
        <v>6.7407141254865466E-2</v>
      </c>
      <c r="L87" s="224">
        <f t="shared" si="29"/>
        <v>6.9407918354632989E-2</v>
      </c>
      <c r="M87" s="224">
        <f t="shared" si="29"/>
        <v>7.1391776296340789E-2</v>
      </c>
      <c r="N87" s="224">
        <f t="shared" si="29"/>
        <v>7.5812439351052446E-2</v>
      </c>
      <c r="O87" s="224">
        <f t="shared" si="29"/>
        <v>8.0198576911452837E-2</v>
      </c>
      <c r="P87" s="224">
        <f t="shared" si="29"/>
        <v>8.4549837906882946E-2</v>
      </c>
      <c r="Q87" s="224">
        <f t="shared" si="29"/>
        <v>8.8865866490704354E-2</v>
      </c>
      <c r="R87" s="224">
        <f t="shared" si="29"/>
        <v>9.3146301958806507E-2</v>
      </c>
      <c r="S87" s="224">
        <f t="shared" si="29"/>
        <v>9.7390778666439359E-2</v>
      </c>
      <c r="T87" s="224">
        <f t="shared" si="29"/>
        <v>0.1015989259433315</v>
      </c>
      <c r="U87" s="224">
        <f t="shared" si="29"/>
        <v>0.10577036800705232</v>
      </c>
      <c r="V87" s="224">
        <f t="shared" si="29"/>
        <v>0.10990472387457567</v>
      </c>
      <c r="W87" s="224">
        <f t="shared" si="29"/>
        <v>0.11400160727200105</v>
      </c>
      <c r="X87" s="224">
        <f t="shared" si="29"/>
        <v>0.12108984628926904</v>
      </c>
      <c r="Y87" s="224">
        <f t="shared" si="29"/>
        <v>0.12811614212386721</v>
      </c>
      <c r="Z87" s="224">
        <f t="shared" si="29"/>
        <v>0.1350798428116147</v>
      </c>
      <c r="AA87" s="224">
        <f t="shared" si="29"/>
        <v>0.14198028720671632</v>
      </c>
      <c r="AB87" s="224">
        <f t="shared" si="29"/>
        <v>0.14881680481956056</v>
      </c>
      <c r="AC87" s="224">
        <f t="shared" si="29"/>
        <v>0.15556930633732713</v>
      </c>
      <c r="AD87" s="224">
        <f t="shared" si="29"/>
        <v>0.16225437585784433</v>
      </c>
      <c r="AE87" s="224">
        <f t="shared" si="29"/>
        <v>0.1688712688407657</v>
      </c>
      <c r="AF87" s="224">
        <f t="shared" si="29"/>
        <v>0.17541922974427962</v>
      </c>
      <c r="AG87" s="224">
        <f t="shared" si="29"/>
        <v>0.181897491821156</v>
      </c>
      <c r="AJ87" s="231" t="s">
        <v>1331</v>
      </c>
      <c r="AL87" s="217"/>
      <c r="AM87" s="225"/>
      <c r="AN87" s="225"/>
      <c r="AO87" s="225"/>
    </row>
    <row r="88" spans="1:41" ht="17" outlineLevel="2" thickTop="1" x14ac:dyDescent="0.2">
      <c r="A88" t="s">
        <v>1352</v>
      </c>
      <c r="B88" s="54" t="s">
        <v>462</v>
      </c>
      <c r="C88" s="110">
        <f>'Propylene Recycling HC'!C114*'Propylene Recycling HC'!C$49/'Propylene Recycling LC'!C$49</f>
        <v>0.05</v>
      </c>
      <c r="D88" s="110">
        <f>'Propylene Recycling HC'!D114*'Propylene Recycling HC'!D$49/'Propylene Recycling LC'!D$49</f>
        <v>5.2260994000770548E-2</v>
      </c>
      <c r="E88" s="110">
        <f>'Propylene Recycling HC'!E114*'Propylene Recycling HC'!E$49/'Propylene Recycling LC'!E$49</f>
        <v>5.4521988001541094E-2</v>
      </c>
      <c r="F88" s="110">
        <f>'Propylene Recycling HC'!F114*'Propylene Recycling HC'!F$49/'Propylene Recycling LC'!F$49</f>
        <v>5.6782982002311633E-2</v>
      </c>
      <c r="G88" s="110">
        <f>'Propylene Recycling HC'!G114*'Propylene Recycling HC'!G$49/'Propylene Recycling LC'!G$49</f>
        <v>5.9043976003082171E-2</v>
      </c>
      <c r="H88" s="110">
        <f>'Propylene Recycling HC'!H114*'Propylene Recycling HC'!H$49/'Propylene Recycling LC'!H$49</f>
        <v>6.1304970003852717E-2</v>
      </c>
      <c r="I88" s="110">
        <f>'Propylene Recycling HC'!I114*'Propylene Recycling HC'!I$49/'Propylene Recycling LC'!I$49</f>
        <v>6.3355501798126587E-2</v>
      </c>
      <c r="J88" s="110">
        <f>'Propylene Recycling HC'!J114*'Propylene Recycling HC'!J$49/'Propylene Recycling LC'!J$49</f>
        <v>6.5389613609545622E-2</v>
      </c>
      <c r="K88" s="110">
        <f>'Propylene Recycling HC'!K114*'Propylene Recycling HC'!K$49/'Propylene Recycling LC'!K$49</f>
        <v>6.7407141254865466E-2</v>
      </c>
      <c r="L88" s="110">
        <f>'Propylene Recycling HC'!L114*'Propylene Recycling HC'!L$49/'Propylene Recycling LC'!L$49</f>
        <v>6.9407918354632989E-2</v>
      </c>
      <c r="M88" s="110">
        <f>'Propylene Recycling HC'!M114*'Propylene Recycling HC'!M$49/'Propylene Recycling LC'!M$49</f>
        <v>7.1391776296340789E-2</v>
      </c>
      <c r="N88" s="110">
        <f>'Propylene Recycling HC'!N114*'Propylene Recycling HC'!N$49/'Propylene Recycling LC'!N$49</f>
        <v>7.5812439351052446E-2</v>
      </c>
      <c r="O88" s="110">
        <f>'Propylene Recycling HC'!O114*'Propylene Recycling HC'!O$49/'Propylene Recycling LC'!O$49</f>
        <v>8.0198576911452837E-2</v>
      </c>
      <c r="P88" s="110">
        <f>'Propylene Recycling HC'!P114*'Propylene Recycling HC'!P$49/'Propylene Recycling LC'!P$49</f>
        <v>8.4549837906882946E-2</v>
      </c>
      <c r="Q88" s="110">
        <f>'Propylene Recycling HC'!Q114*'Propylene Recycling HC'!Q$49/'Propylene Recycling LC'!Q$49</f>
        <v>8.8865866490704354E-2</v>
      </c>
      <c r="R88" s="110">
        <f>'Propylene Recycling HC'!R114*'Propylene Recycling HC'!R$49/'Propylene Recycling LC'!R$49</f>
        <v>9.3146301958806507E-2</v>
      </c>
      <c r="S88" s="110">
        <f>'Propylene Recycling HC'!S114*'Propylene Recycling HC'!S$49/'Propylene Recycling LC'!S$49</f>
        <v>9.7390778666439359E-2</v>
      </c>
      <c r="T88" s="110">
        <f>'Propylene Recycling HC'!T114*'Propylene Recycling HC'!T$49/'Propylene Recycling LC'!T$49</f>
        <v>0.1015989259433315</v>
      </c>
      <c r="U88" s="110">
        <f>'Propylene Recycling HC'!U114*'Propylene Recycling HC'!U$49/'Propylene Recycling LC'!U$49</f>
        <v>0.10577036800705232</v>
      </c>
      <c r="V88" s="110">
        <f>'Propylene Recycling HC'!V114*'Propylene Recycling HC'!V$49/'Propylene Recycling LC'!V$49</f>
        <v>0.10990472387457567</v>
      </c>
      <c r="W88" s="110">
        <f>'Propylene Recycling HC'!W114*'Propylene Recycling HC'!W$49/'Propylene Recycling LC'!W$49</f>
        <v>0.11400160727200105</v>
      </c>
      <c r="X88" s="110">
        <f>'Propylene Recycling HC'!X114*'Propylene Recycling HC'!X$49/'Propylene Recycling LC'!X$49</f>
        <v>0.12108984628926904</v>
      </c>
      <c r="Y88" s="110">
        <f>'Propylene Recycling HC'!Y114*'Propylene Recycling HC'!Y$49/'Propylene Recycling LC'!Y$49</f>
        <v>0.12811614212386721</v>
      </c>
      <c r="Z88" s="110">
        <f>'Propylene Recycling HC'!Z114*'Propylene Recycling HC'!Z$49/'Propylene Recycling LC'!Z$49</f>
        <v>0.1350798428116147</v>
      </c>
      <c r="AA88" s="110">
        <f>'Propylene Recycling HC'!AA114*'Propylene Recycling HC'!AA$49/'Propylene Recycling LC'!AA$49</f>
        <v>0.14198028720671632</v>
      </c>
      <c r="AB88" s="110">
        <f>'Propylene Recycling HC'!AB114*'Propylene Recycling HC'!AB$49/'Propylene Recycling LC'!AB$49</f>
        <v>0.14881680481956056</v>
      </c>
      <c r="AC88" s="110">
        <f>'Propylene Recycling HC'!AC114*'Propylene Recycling HC'!AC$49/'Propylene Recycling LC'!AC$49</f>
        <v>0.15556930633732713</v>
      </c>
      <c r="AD88" s="110">
        <f>'Propylene Recycling HC'!AD114*'Propylene Recycling HC'!AD$49/'Propylene Recycling LC'!AD$49</f>
        <v>0.16225437585784433</v>
      </c>
      <c r="AE88" s="110">
        <f>'Propylene Recycling HC'!AE114*'Propylene Recycling HC'!AE$49/'Propylene Recycling LC'!AE$49</f>
        <v>0.1688712688407657</v>
      </c>
      <c r="AF88" s="110">
        <f>'Propylene Recycling HC'!AF114*'Propylene Recycling HC'!AF$49/'Propylene Recycling LC'!AF$49</f>
        <v>0.17541922974427962</v>
      </c>
      <c r="AG88" s="110">
        <f>'Propylene Recycling HC'!AG114*'Propylene Recycling HC'!AG$49/'Propylene Recycling LC'!AG$49</f>
        <v>0.181897491821156</v>
      </c>
      <c r="AI88" s="133" t="s">
        <v>1314</v>
      </c>
      <c r="AJ88" s="211" t="s">
        <v>1353</v>
      </c>
    </row>
    <row r="89" spans="1:41" outlineLevel="2" x14ac:dyDescent="0.2">
      <c r="C89" s="113"/>
      <c r="D89" s="110"/>
      <c r="E89" s="110"/>
      <c r="F89" s="110"/>
      <c r="G89" s="110"/>
      <c r="H89" s="110"/>
      <c r="I89" s="110"/>
      <c r="J89" s="110"/>
      <c r="K89" s="110"/>
      <c r="L89" s="110"/>
      <c r="M89" s="121"/>
      <c r="N89" s="121"/>
      <c r="O89" s="121"/>
      <c r="P89" s="121"/>
      <c r="Q89" s="121"/>
      <c r="R89" s="121"/>
      <c r="S89" s="121"/>
      <c r="T89" s="121"/>
      <c r="U89" s="121"/>
      <c r="V89" s="121"/>
      <c r="W89" s="121"/>
      <c r="X89" s="23"/>
      <c r="Y89" s="23"/>
      <c r="Z89" s="23"/>
      <c r="AA89" s="23"/>
      <c r="AB89" s="23"/>
      <c r="AC89" s="23"/>
      <c r="AD89" s="23"/>
      <c r="AE89" s="23"/>
      <c r="AF89" s="23"/>
      <c r="AG89" s="106"/>
      <c r="AJ89" s="211"/>
    </row>
    <row r="90" spans="1:41" outlineLevel="2" x14ac:dyDescent="0.2">
      <c r="C90" s="113"/>
      <c r="D90" s="110"/>
      <c r="E90" s="110"/>
      <c r="F90" s="110"/>
      <c r="G90" s="110"/>
      <c r="H90" s="110"/>
      <c r="I90" s="110"/>
      <c r="J90" s="110"/>
      <c r="K90" s="110"/>
      <c r="L90" s="110"/>
      <c r="M90" s="121"/>
      <c r="N90" s="121"/>
      <c r="O90" s="121"/>
      <c r="P90" s="121"/>
      <c r="Q90" s="121"/>
      <c r="R90" s="121"/>
      <c r="S90" s="121"/>
      <c r="T90" s="121"/>
      <c r="U90" s="121"/>
      <c r="V90" s="121"/>
      <c r="W90" s="121"/>
      <c r="X90" s="23"/>
      <c r="Y90" s="23"/>
      <c r="Z90" s="23"/>
      <c r="AA90" s="23"/>
      <c r="AB90" s="23"/>
      <c r="AC90" s="23"/>
      <c r="AD90" s="23"/>
      <c r="AE90" s="23"/>
      <c r="AF90" s="23"/>
      <c r="AG90" s="106"/>
      <c r="AJ90" s="211"/>
    </row>
    <row r="91" spans="1:41" s="200" customFormat="1" ht="16" thickBot="1" x14ac:dyDescent="0.25">
      <c r="A91" s="227" t="s">
        <v>1504</v>
      </c>
      <c r="B91" s="228"/>
      <c r="C91" s="229">
        <f>(C45*C61+C46*C65+C47*C85+C49*C87)/C50</f>
        <v>5.2458799355333138E-2</v>
      </c>
      <c r="D91" s="229">
        <f t="shared" ref="D91:AG91" si="30">(D45*D61+D46*D65+D47*D85+D49*D87)/D50</f>
        <v>5.6258388254575853E-2</v>
      </c>
      <c r="E91" s="229">
        <f t="shared" si="30"/>
        <v>6.0126650827258835E-2</v>
      </c>
      <c r="F91" s="229">
        <f t="shared" si="30"/>
        <v>6.4062903406849295E-2</v>
      </c>
      <c r="G91" s="229">
        <f t="shared" si="30"/>
        <v>6.8066457131288671E-2</v>
      </c>
      <c r="H91" s="229">
        <f t="shared" si="30"/>
        <v>7.2136617893544447E-2</v>
      </c>
      <c r="I91" s="229">
        <f t="shared" si="30"/>
        <v>7.6206248001353921E-2</v>
      </c>
      <c r="J91" s="229">
        <f t="shared" si="30"/>
        <v>8.033981167809276E-2</v>
      </c>
      <c r="K91" s="229">
        <f t="shared" si="30"/>
        <v>8.4536840834051191E-2</v>
      </c>
      <c r="L91" s="229">
        <f t="shared" si="30"/>
        <v>8.8796861299484539E-2</v>
      </c>
      <c r="M91" s="229">
        <f t="shared" si="30"/>
        <v>9.3119392725574193E-2</v>
      </c>
      <c r="N91" s="229">
        <f t="shared" si="30"/>
        <v>0.10122066179192364</v>
      </c>
      <c r="O91" s="229">
        <f t="shared" si="30"/>
        <v>0.10945564427785547</v>
      </c>
      <c r="P91" s="229">
        <f t="shared" si="30"/>
        <v>0.11776601719580597</v>
      </c>
      <c r="Q91" s="229">
        <f t="shared" si="30"/>
        <v>0.12618512939568788</v>
      </c>
      <c r="R91" s="229">
        <f t="shared" si="30"/>
        <v>0.13471054169611535</v>
      </c>
      <c r="S91" s="229">
        <f t="shared" si="30"/>
        <v>0.14333976787925479</v>
      </c>
      <c r="T91" s="229">
        <f t="shared" si="30"/>
        <v>0.15207027352923297</v>
      </c>
      <c r="U91" s="229">
        <f t="shared" si="30"/>
        <v>0.16089947483605599</v>
      </c>
      <c r="V91" s="229">
        <f t="shared" si="30"/>
        <v>0.16982473736383974</v>
      </c>
      <c r="W91" s="229">
        <f t="shared" si="30"/>
        <v>0.17884337478210202</v>
      </c>
      <c r="X91" s="229">
        <f t="shared" si="30"/>
        <v>0.19299724596712869</v>
      </c>
      <c r="Y91" s="229">
        <f t="shared" si="30"/>
        <v>0.20751393440088817</v>
      </c>
      <c r="Z91" s="229">
        <f t="shared" si="30"/>
        <v>0.22197644190665741</v>
      </c>
      <c r="AA91" s="229">
        <f t="shared" si="30"/>
        <v>0.23655517652921118</v>
      </c>
      <c r="AB91" s="229">
        <f t="shared" si="30"/>
        <v>0.25124509160798447</v>
      </c>
      <c r="AC91" s="229">
        <f t="shared" si="30"/>
        <v>0.26603799983790161</v>
      </c>
      <c r="AD91" s="229">
        <f t="shared" si="30"/>
        <v>0.28093160176115634</v>
      </c>
      <c r="AE91" s="229">
        <f t="shared" si="30"/>
        <v>0.29592058773636942</v>
      </c>
      <c r="AF91" s="229">
        <f t="shared" si="30"/>
        <v>0.31099955067709395</v>
      </c>
      <c r="AG91" s="229">
        <f t="shared" si="30"/>
        <v>0.32616298307322378</v>
      </c>
      <c r="AJ91" s="231" t="s">
        <v>1355</v>
      </c>
      <c r="AL91" s="217"/>
      <c r="AM91" s="225"/>
      <c r="AN91" s="225"/>
      <c r="AO91" s="225"/>
    </row>
    <row r="92" spans="1:41" s="200" customFormat="1" ht="17" thickTop="1" thickBot="1" x14ac:dyDescent="0.25">
      <c r="A92" s="227" t="s">
        <v>1356</v>
      </c>
      <c r="B92" s="228"/>
      <c r="C92" s="229">
        <f>(C14*C52+C65*C15+C80*C17+C82*C16+C87*C18)/C19</f>
        <v>0.10392620862112158</v>
      </c>
      <c r="D92" s="229">
        <f t="shared" ref="D92:AF92" si="31">(D14*D52+D65*D15+D80*D17+D82*D16+D87*D18)/D19</f>
        <v>0.10907035797201155</v>
      </c>
      <c r="E92" s="229">
        <f t="shared" si="31"/>
        <v>0.11420694808773151</v>
      </c>
      <c r="F92" s="229">
        <f t="shared" si="31"/>
        <v>0.11933588634041327</v>
      </c>
      <c r="G92" s="229">
        <f t="shared" si="31"/>
        <v>0.12445707858261536</v>
      </c>
      <c r="H92" s="229">
        <f t="shared" si="31"/>
        <v>0.12957042911603292</v>
      </c>
      <c r="I92" s="229">
        <f t="shared" si="31"/>
        <v>0.13461608636258668</v>
      </c>
      <c r="J92" s="229">
        <f t="shared" si="31"/>
        <v>0.13964904377092668</v>
      </c>
      <c r="K92" s="229">
        <f t="shared" si="31"/>
        <v>0.14466915417974324</v>
      </c>
      <c r="L92" s="229">
        <f t="shared" si="31"/>
        <v>0.14967626812016746</v>
      </c>
      <c r="M92" s="229">
        <f t="shared" si="31"/>
        <v>0.1546702337699056</v>
      </c>
      <c r="N92" s="229">
        <f t="shared" si="31"/>
        <v>0.1652841111652073</v>
      </c>
      <c r="O92" s="229">
        <f t="shared" si="31"/>
        <v>0.17586863020178817</v>
      </c>
      <c r="P92" s="229">
        <f t="shared" si="31"/>
        <v>0.18638550049036109</v>
      </c>
      <c r="Q92" s="229">
        <f t="shared" si="31"/>
        <v>0.19685730391314496</v>
      </c>
      <c r="R92" s="229">
        <f t="shared" si="31"/>
        <v>0.20728320148335128</v>
      </c>
      <c r="S92" s="229">
        <f t="shared" si="31"/>
        <v>0.21766233192177298</v>
      </c>
      <c r="T92" s="229">
        <f t="shared" si="31"/>
        <v>0.22799381086207748</v>
      </c>
      <c r="U92" s="229">
        <f t="shared" si="31"/>
        <v>0.23827673002126373</v>
      </c>
      <c r="V92" s="229">
        <f t="shared" si="31"/>
        <v>0.24851015633347306</v>
      </c>
      <c r="W92" s="229">
        <f t="shared" si="31"/>
        <v>0.25869313104523356</v>
      </c>
      <c r="X92" s="229">
        <f t="shared" si="31"/>
        <v>0.27584126613013354</v>
      </c>
      <c r="Y92" s="229">
        <f t="shared" si="31"/>
        <v>0.29307362272806209</v>
      </c>
      <c r="Z92" s="229">
        <f t="shared" si="31"/>
        <v>0.31014254926337215</v>
      </c>
      <c r="AA92" s="229">
        <f t="shared" si="31"/>
        <v>0.32711278750783135</v>
      </c>
      <c r="AB92" s="229">
        <f t="shared" si="31"/>
        <v>0.34398247309527369</v>
      </c>
      <c r="AC92" s="229">
        <f t="shared" si="31"/>
        <v>0.36074418250606516</v>
      </c>
      <c r="AD92" s="229">
        <f t="shared" si="31"/>
        <v>0.37740085694447623</v>
      </c>
      <c r="AE92" s="229">
        <f t="shared" si="31"/>
        <v>0.3939504682332271</v>
      </c>
      <c r="AF92" s="229">
        <f t="shared" si="31"/>
        <v>0.41039093365987028</v>
      </c>
      <c r="AG92" s="229">
        <f>(AG14*AG52+AG65*AG15+AG80*AG17+AG82*AG16+AG87*AG18)/AG19</f>
        <v>0.42672011385950537</v>
      </c>
      <c r="AJ92" s="226" t="s">
        <v>1357</v>
      </c>
      <c r="AL92" s="217"/>
      <c r="AM92" s="225"/>
      <c r="AN92" s="225"/>
      <c r="AO92" s="225"/>
    </row>
    <row r="93" spans="1:41" ht="16" thickTop="1" x14ac:dyDescent="0.2">
      <c r="B93" s="130"/>
      <c r="C93" s="113"/>
      <c r="D93" s="23"/>
      <c r="E93" s="23"/>
      <c r="F93" s="23"/>
      <c r="G93" s="23"/>
      <c r="H93" s="23"/>
      <c r="I93" s="23"/>
      <c r="J93" s="23"/>
      <c r="K93" s="23"/>
      <c r="L93" s="23"/>
      <c r="M93" s="126"/>
      <c r="N93" s="110"/>
      <c r="O93" s="110"/>
      <c r="P93" s="110"/>
      <c r="Q93" s="110"/>
      <c r="R93" s="110"/>
      <c r="S93" s="110"/>
      <c r="T93" s="110"/>
      <c r="U93" s="110"/>
      <c r="V93" s="110"/>
      <c r="W93" s="126"/>
      <c r="X93" s="110"/>
      <c r="Y93" s="110"/>
      <c r="Z93" s="110"/>
      <c r="AA93" s="110"/>
      <c r="AB93" s="110"/>
      <c r="AC93" s="110"/>
      <c r="AD93" s="110"/>
      <c r="AE93" s="110"/>
      <c r="AF93" s="110"/>
      <c r="AG93" s="113"/>
    </row>
    <row r="94" spans="1:41" ht="16" thickBot="1" x14ac:dyDescent="0.25">
      <c r="A94" s="200" t="s">
        <v>1417</v>
      </c>
      <c r="B94" s="235"/>
      <c r="C94" s="236"/>
      <c r="D94" s="222"/>
      <c r="E94" s="222"/>
      <c r="F94" s="222"/>
      <c r="G94" s="222"/>
      <c r="H94" s="222"/>
      <c r="I94" s="222"/>
      <c r="J94" s="222"/>
      <c r="K94" s="222"/>
      <c r="L94" s="222"/>
      <c r="M94" s="237"/>
      <c r="N94" s="110"/>
      <c r="O94" s="110"/>
      <c r="P94" s="110"/>
      <c r="Q94" s="110"/>
      <c r="R94" s="110"/>
      <c r="S94" s="110"/>
      <c r="T94" s="110"/>
      <c r="U94" s="110"/>
      <c r="V94" s="110"/>
      <c r="W94" s="126"/>
      <c r="X94" s="110"/>
      <c r="Y94" s="110"/>
      <c r="Z94" s="110"/>
      <c r="AA94" s="110"/>
      <c r="AB94" s="110"/>
      <c r="AC94" s="110"/>
      <c r="AD94" s="110"/>
      <c r="AE94" s="110"/>
      <c r="AF94" s="110"/>
      <c r="AG94" s="110" t="s">
        <v>1418</v>
      </c>
    </row>
    <row r="95" spans="1:41" ht="16" hidden="1" thickTop="1" x14ac:dyDescent="0.2">
      <c r="A95" s="181" t="s">
        <v>1419</v>
      </c>
      <c r="B95" s="130"/>
      <c r="C95" s="234" t="e">
        <f>C57*C14+C69*C15+#REF!*C17+C83*C16</f>
        <v>#REF!</v>
      </c>
      <c r="D95" s="233"/>
      <c r="E95" s="233"/>
      <c r="F95" s="233"/>
      <c r="G95" s="233"/>
      <c r="H95" s="233"/>
      <c r="I95" s="233"/>
      <c r="J95" s="233"/>
      <c r="K95" s="233"/>
      <c r="L95" s="233"/>
      <c r="M95" s="127" t="e">
        <f>C95/$C$100</f>
        <v>#REF!</v>
      </c>
      <c r="N95" s="110"/>
      <c r="O95" s="110"/>
      <c r="P95" s="110"/>
      <c r="Q95" s="110"/>
      <c r="R95" s="110"/>
      <c r="S95" s="110"/>
      <c r="T95" s="110"/>
      <c r="U95" s="110"/>
      <c r="V95" s="110"/>
      <c r="W95" s="106"/>
      <c r="X95" s="110"/>
      <c r="Y95" s="110"/>
      <c r="Z95" s="110"/>
      <c r="AA95" s="110"/>
      <c r="AB95" s="110"/>
      <c r="AC95" s="110"/>
      <c r="AD95" s="110"/>
      <c r="AE95" s="110"/>
      <c r="AF95" s="110"/>
      <c r="AG95" s="56">
        <v>0.46</v>
      </c>
    </row>
    <row r="96" spans="1:41" ht="16" hidden="1" thickTop="1" x14ac:dyDescent="0.2">
      <c r="A96" t="s">
        <v>1420</v>
      </c>
      <c r="C96" s="234">
        <f>C53*C14+C70*C15</f>
        <v>9.0743320403108019</v>
      </c>
      <c r="D96" s="234"/>
      <c r="E96" s="234"/>
      <c r="F96" s="234"/>
      <c r="G96" s="234"/>
      <c r="H96" s="234"/>
      <c r="I96" s="234"/>
      <c r="J96" s="234"/>
      <c r="K96" s="234"/>
      <c r="L96" s="234"/>
      <c r="M96" s="127" t="e">
        <f t="shared" ref="M96:M99" si="32">C96/$C$100</f>
        <v>#REF!</v>
      </c>
      <c r="AG96" s="56">
        <v>0.24</v>
      </c>
    </row>
    <row r="97" spans="1:36" ht="16" hidden="1" thickTop="1" x14ac:dyDescent="0.2">
      <c r="A97" t="s">
        <v>1421</v>
      </c>
      <c r="C97" s="234" t="e">
        <f>#REF!*C17+C56*C14+C87*C18+C71*C15</f>
        <v>#REF!</v>
      </c>
      <c r="D97" s="234"/>
      <c r="E97" s="234"/>
      <c r="F97" s="234"/>
      <c r="G97" s="234"/>
      <c r="H97" s="234"/>
      <c r="I97" s="234"/>
      <c r="J97" s="234"/>
      <c r="K97" s="234"/>
      <c r="L97" s="234"/>
      <c r="M97" s="127" t="e">
        <f t="shared" si="32"/>
        <v>#REF!</v>
      </c>
      <c r="AG97" s="56">
        <v>0.26</v>
      </c>
    </row>
    <row r="98" spans="1:36" ht="16" hidden="1" thickTop="1" x14ac:dyDescent="0.2">
      <c r="A98" t="s">
        <v>1422</v>
      </c>
      <c r="C98" s="234" t="e">
        <f>#REF!*C17+#REF!*C14</f>
        <v>#REF!</v>
      </c>
      <c r="D98" s="234"/>
      <c r="E98" s="234"/>
      <c r="F98" s="234"/>
      <c r="G98" s="234"/>
      <c r="H98" s="234"/>
      <c r="I98" s="234"/>
      <c r="J98" s="234"/>
      <c r="K98" s="234"/>
      <c r="L98" s="234"/>
      <c r="M98" s="127" t="e">
        <f t="shared" si="32"/>
        <v>#REF!</v>
      </c>
      <c r="AG98" s="56">
        <v>0.01</v>
      </c>
    </row>
    <row r="99" spans="1:36" ht="16" hidden="1" thickTop="1" x14ac:dyDescent="0.2">
      <c r="A99" t="s">
        <v>1423</v>
      </c>
      <c r="B99"/>
      <c r="C99" s="234">
        <f>C67*C15</f>
        <v>3.6248399170191126E-2</v>
      </c>
      <c r="D99" s="234"/>
      <c r="E99" s="234"/>
      <c r="F99" s="234"/>
      <c r="G99" s="234"/>
      <c r="H99" s="234"/>
      <c r="I99" s="234"/>
      <c r="J99" s="234"/>
      <c r="K99" s="234"/>
      <c r="L99" s="234"/>
      <c r="M99" s="127" t="e">
        <f t="shared" si="32"/>
        <v>#REF!</v>
      </c>
      <c r="AG99" s="56">
        <v>0.03</v>
      </c>
    </row>
    <row r="100" spans="1:36" ht="16" hidden="1" thickTop="1" x14ac:dyDescent="0.2">
      <c r="A100" t="s">
        <v>1424</v>
      </c>
      <c r="B100" s="51"/>
      <c r="C100" s="233" t="e">
        <f>SUM(C95:C99)</f>
        <v>#REF!</v>
      </c>
      <c r="D100" s="234"/>
      <c r="E100" s="234"/>
      <c r="F100" s="234"/>
      <c r="G100" s="234"/>
      <c r="H100" s="234"/>
      <c r="I100" s="234"/>
      <c r="J100" s="234"/>
      <c r="K100" s="234"/>
      <c r="L100" s="234"/>
      <c r="M100" s="234"/>
    </row>
    <row r="101" spans="1:36" ht="16" hidden="1" thickTop="1" x14ac:dyDescent="0.2">
      <c r="B101" s="181" t="s">
        <v>1425</v>
      </c>
      <c r="C101" s="234">
        <f>C92*C19</f>
        <v>37.870379963560374</v>
      </c>
      <c r="D101" s="234"/>
      <c r="E101" s="234"/>
      <c r="F101" s="234"/>
      <c r="G101" s="234"/>
      <c r="H101" s="234"/>
      <c r="I101" s="234"/>
      <c r="J101" s="234"/>
      <c r="K101" s="234"/>
      <c r="L101" s="234"/>
      <c r="M101" s="234"/>
      <c r="AG101" s="107" t="s">
        <v>1426</v>
      </c>
    </row>
    <row r="102" spans="1:36" ht="16" thickTop="1" x14ac:dyDescent="0.2">
      <c r="B102" s="51"/>
    </row>
    <row r="103" spans="1:36" x14ac:dyDescent="0.2">
      <c r="A103" t="s">
        <v>1505</v>
      </c>
      <c r="B103" s="130"/>
      <c r="C103" s="230">
        <f>(C45*C61+C46*C73+C47*C85+C49*C88)</f>
        <v>4.8226258181960828</v>
      </c>
      <c r="D103" s="230">
        <f t="shared" ref="D103:AG103" si="33">(D45*D61+D46*D73+D47*D85+D49*D88)</f>
        <v>5.3423153258457976</v>
      </c>
      <c r="E103" s="230">
        <f t="shared" si="33"/>
        <v>5.880991111691559</v>
      </c>
      <c r="F103" s="230">
        <f t="shared" si="33"/>
        <v>6.4359498279922605</v>
      </c>
      <c r="G103" s="230">
        <f t="shared" si="33"/>
        <v>7.0041700145154167</v>
      </c>
      <c r="H103" s="230">
        <f t="shared" si="33"/>
        <v>7.5823362785741857</v>
      </c>
      <c r="I103" s="230">
        <f t="shared" si="33"/>
        <v>8.1669385876453848</v>
      </c>
      <c r="J103" s="230">
        <f t="shared" si="33"/>
        <v>8.7735785580571175</v>
      </c>
      <c r="K103" s="230">
        <f t="shared" si="33"/>
        <v>9.4022195651994167</v>
      </c>
      <c r="L103" s="230">
        <f t="shared" si="33"/>
        <v>10.052776426784835</v>
      </c>
      <c r="M103" s="230">
        <f t="shared" si="33"/>
        <v>10.725113966264903</v>
      </c>
      <c r="N103" s="230">
        <f t="shared" si="33"/>
        <v>11.829721736590145</v>
      </c>
      <c r="O103" s="230">
        <f t="shared" si="33"/>
        <v>12.956320937231716</v>
      </c>
      <c r="P103" s="230">
        <f t="shared" si="33"/>
        <v>14.081815871349141</v>
      </c>
      <c r="Q103" s="230">
        <f t="shared" si="33"/>
        <v>15.211006661054896</v>
      </c>
      <c r="R103" s="230">
        <f t="shared" si="33"/>
        <v>16.337493831767105</v>
      </c>
      <c r="S103" s="230">
        <f t="shared" si="33"/>
        <v>17.486159364118933</v>
      </c>
      <c r="T103" s="230">
        <f t="shared" si="33"/>
        <v>18.656539415537008</v>
      </c>
      <c r="U103" s="230">
        <f t="shared" si="33"/>
        <v>19.848140320708453</v>
      </c>
      <c r="V103" s="230">
        <f t="shared" si="33"/>
        <v>21.060438448936367</v>
      </c>
      <c r="W103" s="230">
        <f t="shared" si="33"/>
        <v>22.29288008905484</v>
      </c>
      <c r="X103" s="230">
        <f t="shared" si="33"/>
        <v>24.132496948620126</v>
      </c>
      <c r="Y103" s="230">
        <f t="shared" si="33"/>
        <v>26.077785394866105</v>
      </c>
      <c r="Z103" s="230">
        <f t="shared" si="33"/>
        <v>28.018154032436328</v>
      </c>
      <c r="AA103" s="230">
        <f t="shared" si="33"/>
        <v>29.984613092558</v>
      </c>
      <c r="AB103" s="230">
        <f t="shared" si="33"/>
        <v>31.976045841194392</v>
      </c>
      <c r="AC103" s="230">
        <f t="shared" si="33"/>
        <v>33.989775543433908</v>
      </c>
      <c r="AD103" s="230">
        <f t="shared" si="33"/>
        <v>36.026283722665468</v>
      </c>
      <c r="AE103" s="230">
        <f t="shared" si="33"/>
        <v>38.084378438630978</v>
      </c>
      <c r="AF103" s="230">
        <f t="shared" si="33"/>
        <v>40.162826182020765</v>
      </c>
      <c r="AG103" s="230">
        <f t="shared" si="33"/>
        <v>42.260352059497436</v>
      </c>
      <c r="AI103" s="23">
        <f>(AG103/C103)^(1/30)-1</f>
        <v>7.5032642522154136E-2</v>
      </c>
    </row>
    <row r="104" spans="1:36" x14ac:dyDescent="0.2">
      <c r="A104" t="s">
        <v>1359</v>
      </c>
      <c r="B104" s="130"/>
      <c r="C104" s="230">
        <f>C103</f>
        <v>4.8226258181960828</v>
      </c>
      <c r="D104" s="230">
        <f>C104*(1+$AI$104)</f>
        <v>4.903163669359957</v>
      </c>
      <c r="E104" s="230">
        <f t="shared" ref="E104:AG104" si="34">D104*(1+$AI$104)</f>
        <v>4.9850465026382675</v>
      </c>
      <c r="F104" s="230">
        <f t="shared" si="34"/>
        <v>5.0682967792323259</v>
      </c>
      <c r="G104" s="230">
        <f t="shared" si="34"/>
        <v>5.1529373354455057</v>
      </c>
      <c r="H104" s="230">
        <f t="shared" si="34"/>
        <v>5.2389913889474453</v>
      </c>
      <c r="I104" s="230">
        <f t="shared" si="34"/>
        <v>5.3264825451428672</v>
      </c>
      <c r="J104" s="230">
        <f t="shared" si="34"/>
        <v>5.415434803646753</v>
      </c>
      <c r="K104" s="230">
        <f t="shared" si="34"/>
        <v>5.5058725648676532</v>
      </c>
      <c r="L104" s="230">
        <f t="shared" si="34"/>
        <v>5.5978206367009431</v>
      </c>
      <c r="M104" s="230">
        <f t="shared" si="34"/>
        <v>5.6913042413338486</v>
      </c>
      <c r="N104" s="230">
        <f t="shared" si="34"/>
        <v>5.7863490221641234</v>
      </c>
      <c r="O104" s="230">
        <f t="shared" si="34"/>
        <v>5.8829810508342639</v>
      </c>
      <c r="P104" s="230">
        <f t="shared" si="34"/>
        <v>5.9812268343831958</v>
      </c>
      <c r="Q104" s="230">
        <f t="shared" si="34"/>
        <v>6.0811133225173952</v>
      </c>
      <c r="R104" s="230">
        <f t="shared" si="34"/>
        <v>6.1826679150034352</v>
      </c>
      <c r="S104" s="230">
        <f t="shared" si="34"/>
        <v>6.2859184691839918</v>
      </c>
      <c r="T104" s="230">
        <f t="shared" si="34"/>
        <v>6.3908933076193639</v>
      </c>
      <c r="U104" s="230">
        <f t="shared" si="34"/>
        <v>6.4976212258566068</v>
      </c>
      <c r="V104" s="230">
        <f t="shared" si="34"/>
        <v>6.606131500328412</v>
      </c>
      <c r="W104" s="230">
        <f t="shared" si="34"/>
        <v>6.7164538963838964</v>
      </c>
      <c r="X104" s="230">
        <f t="shared" si="34"/>
        <v>6.8286186764535071</v>
      </c>
      <c r="Y104" s="230">
        <f t="shared" si="34"/>
        <v>6.9426566083502799</v>
      </c>
      <c r="Z104" s="230">
        <f t="shared" si="34"/>
        <v>7.0585989737097288</v>
      </c>
      <c r="AA104" s="230">
        <f t="shared" si="34"/>
        <v>7.1764775765706812</v>
      </c>
      <c r="AB104" s="230">
        <f t="shared" si="34"/>
        <v>7.2963247520994114</v>
      </c>
      <c r="AC104" s="230">
        <f t="shared" si="34"/>
        <v>7.418173375459471</v>
      </c>
      <c r="AD104" s="230">
        <f t="shared" si="34"/>
        <v>7.5420568708296436</v>
      </c>
      <c r="AE104" s="230">
        <f t="shared" si="34"/>
        <v>7.6680092205724986</v>
      </c>
      <c r="AF104" s="230">
        <f t="shared" si="34"/>
        <v>7.7960649745560584</v>
      </c>
      <c r="AG104" s="230">
        <f t="shared" si="34"/>
        <v>7.9262592596311441</v>
      </c>
      <c r="AI104" s="214">
        <v>1.67E-2</v>
      </c>
      <c r="AJ104" s="3" t="s">
        <v>1360</v>
      </c>
    </row>
    <row r="106" spans="1:36" s="58" customFormat="1" x14ac:dyDescent="0.2">
      <c r="A106" s="58" t="s">
        <v>1361</v>
      </c>
      <c r="B106" s="303"/>
      <c r="C106" s="304"/>
      <c r="D106" s="304"/>
      <c r="E106" s="304"/>
      <c r="F106" s="304"/>
      <c r="G106" s="304"/>
      <c r="H106" s="304"/>
      <c r="I106" s="304"/>
      <c r="J106" s="304"/>
      <c r="K106" s="304"/>
      <c r="L106" s="304"/>
      <c r="M106" s="304"/>
      <c r="N106" s="304"/>
      <c r="O106" s="304"/>
      <c r="P106" s="304"/>
      <c r="Q106" s="304"/>
      <c r="R106" s="304"/>
      <c r="S106" s="304"/>
      <c r="T106" s="304"/>
      <c r="U106" s="304"/>
      <c r="V106" s="304"/>
      <c r="W106" s="304"/>
      <c r="X106" s="304"/>
      <c r="Y106" s="304"/>
      <c r="Z106" s="304"/>
      <c r="AA106" s="304"/>
      <c r="AB106" s="304"/>
      <c r="AC106" s="304"/>
      <c r="AD106" s="304"/>
      <c r="AE106" s="304"/>
      <c r="AF106" s="304"/>
      <c r="AG106" s="304"/>
      <c r="AI106" s="305"/>
      <c r="AJ106" s="306"/>
    </row>
    <row r="107" spans="1:36" s="190" customFormat="1" outlineLevel="1" x14ac:dyDescent="0.2">
      <c r="A107" s="344" t="s">
        <v>1362</v>
      </c>
      <c r="B107" s="318" t="s">
        <v>462</v>
      </c>
      <c r="C107" s="319">
        <v>0.84</v>
      </c>
      <c r="D107" s="320">
        <f>-($C107-$AG107)/30+C107</f>
        <v>0.83566666666666667</v>
      </c>
      <c r="E107" s="320">
        <f t="shared" ref="E107:AF113" si="35">-($C107-$AG107)/30+D107</f>
        <v>0.83133333333333337</v>
      </c>
      <c r="F107" s="320">
        <f t="shared" si="35"/>
        <v>0.82700000000000007</v>
      </c>
      <c r="G107" s="320">
        <f t="shared" si="35"/>
        <v>0.82266666666666677</v>
      </c>
      <c r="H107" s="320">
        <f t="shared" si="35"/>
        <v>0.81833333333333347</v>
      </c>
      <c r="I107" s="320">
        <f t="shared" si="35"/>
        <v>0.81400000000000017</v>
      </c>
      <c r="J107" s="320">
        <f t="shared" si="35"/>
        <v>0.80966666666666687</v>
      </c>
      <c r="K107" s="320">
        <f t="shared" si="35"/>
        <v>0.80533333333333357</v>
      </c>
      <c r="L107" s="320">
        <f t="shared" si="35"/>
        <v>0.80100000000000027</v>
      </c>
      <c r="M107" s="320">
        <f t="shared" si="35"/>
        <v>0.79666666666666697</v>
      </c>
      <c r="N107" s="320">
        <f t="shared" si="35"/>
        <v>0.79233333333333367</v>
      </c>
      <c r="O107" s="320">
        <f t="shared" si="35"/>
        <v>0.78800000000000037</v>
      </c>
      <c r="P107" s="320">
        <f t="shared" si="35"/>
        <v>0.78366666666666707</v>
      </c>
      <c r="Q107" s="320">
        <f t="shared" si="35"/>
        <v>0.77933333333333377</v>
      </c>
      <c r="R107" s="320">
        <f t="shared" si="35"/>
        <v>0.77500000000000047</v>
      </c>
      <c r="S107" s="320">
        <f t="shared" si="35"/>
        <v>0.77066666666666717</v>
      </c>
      <c r="T107" s="320">
        <f t="shared" si="35"/>
        <v>0.76633333333333387</v>
      </c>
      <c r="U107" s="320">
        <f t="shared" si="35"/>
        <v>0.76200000000000057</v>
      </c>
      <c r="V107" s="320">
        <f t="shared" si="35"/>
        <v>0.75766666666666727</v>
      </c>
      <c r="W107" s="320">
        <f t="shared" si="35"/>
        <v>0.75333333333333397</v>
      </c>
      <c r="X107" s="320">
        <f t="shared" si="35"/>
        <v>0.74900000000000067</v>
      </c>
      <c r="Y107" s="320">
        <f t="shared" si="35"/>
        <v>0.74466666666666737</v>
      </c>
      <c r="Z107" s="320">
        <f t="shared" si="35"/>
        <v>0.74033333333333406</v>
      </c>
      <c r="AA107" s="320">
        <f t="shared" si="35"/>
        <v>0.73600000000000076</v>
      </c>
      <c r="AB107" s="320">
        <f t="shared" si="35"/>
        <v>0.73166666666666746</v>
      </c>
      <c r="AC107" s="320">
        <f t="shared" si="35"/>
        <v>0.72733333333333416</v>
      </c>
      <c r="AD107" s="320">
        <f t="shared" si="35"/>
        <v>0.72300000000000086</v>
      </c>
      <c r="AE107" s="320">
        <f t="shared" si="35"/>
        <v>0.71866666666666756</v>
      </c>
      <c r="AF107" s="320">
        <f t="shared" si="35"/>
        <v>0.71433333333333426</v>
      </c>
      <c r="AG107" s="319">
        <v>0.71</v>
      </c>
      <c r="AI107" s="321"/>
      <c r="AJ107" s="322" t="s">
        <v>1363</v>
      </c>
    </row>
    <row r="108" spans="1:36" outlineLevel="1" x14ac:dyDescent="0.2">
      <c r="A108" s="3" t="s">
        <v>90</v>
      </c>
      <c r="B108" s="302" t="s">
        <v>462</v>
      </c>
      <c r="C108" s="296">
        <v>0.16</v>
      </c>
      <c r="D108" s="317">
        <f t="shared" ref="D108:S113" si="36">-($C108-$AG108)/30+C108</f>
        <v>0.16206666666666666</v>
      </c>
      <c r="E108" s="317">
        <f t="shared" si="36"/>
        <v>0.16413333333333333</v>
      </c>
      <c r="F108" s="317">
        <f t="shared" si="36"/>
        <v>0.16619999999999999</v>
      </c>
      <c r="G108" s="317">
        <f t="shared" si="36"/>
        <v>0.16826666666666665</v>
      </c>
      <c r="H108" s="317">
        <f t="shared" si="36"/>
        <v>0.17033333333333331</v>
      </c>
      <c r="I108" s="317">
        <f t="shared" si="36"/>
        <v>0.17239999999999997</v>
      </c>
      <c r="J108" s="317">
        <f t="shared" si="36"/>
        <v>0.17446666666666663</v>
      </c>
      <c r="K108" s="317">
        <f t="shared" si="36"/>
        <v>0.17653333333333329</v>
      </c>
      <c r="L108" s="317">
        <f t="shared" si="36"/>
        <v>0.17859999999999995</v>
      </c>
      <c r="M108" s="317">
        <f t="shared" si="36"/>
        <v>0.18066666666666661</v>
      </c>
      <c r="N108" s="317">
        <f t="shared" si="36"/>
        <v>0.18273333333333328</v>
      </c>
      <c r="O108" s="317">
        <f t="shared" si="36"/>
        <v>0.18479999999999994</v>
      </c>
      <c r="P108" s="317">
        <f t="shared" si="36"/>
        <v>0.1868666666666666</v>
      </c>
      <c r="Q108" s="317">
        <f t="shared" si="36"/>
        <v>0.18893333333333326</v>
      </c>
      <c r="R108" s="317">
        <f t="shared" si="36"/>
        <v>0.19099999999999992</v>
      </c>
      <c r="S108" s="317">
        <f t="shared" si="36"/>
        <v>0.19306666666666658</v>
      </c>
      <c r="T108" s="317">
        <f t="shared" si="35"/>
        <v>0.19513333333333324</v>
      </c>
      <c r="U108" s="317">
        <f t="shared" si="35"/>
        <v>0.1971999999999999</v>
      </c>
      <c r="V108" s="317">
        <f t="shared" si="35"/>
        <v>0.19926666666666656</v>
      </c>
      <c r="W108" s="317">
        <f t="shared" si="35"/>
        <v>0.20133333333333323</v>
      </c>
      <c r="X108" s="317">
        <f t="shared" si="35"/>
        <v>0.20339999999999989</v>
      </c>
      <c r="Y108" s="317">
        <f t="shared" si="35"/>
        <v>0.20546666666666655</v>
      </c>
      <c r="Z108" s="317">
        <f t="shared" si="35"/>
        <v>0.20753333333333321</v>
      </c>
      <c r="AA108" s="317">
        <f t="shared" si="35"/>
        <v>0.20959999999999987</v>
      </c>
      <c r="AB108" s="317">
        <f t="shared" si="35"/>
        <v>0.21166666666666653</v>
      </c>
      <c r="AC108" s="317">
        <f t="shared" si="35"/>
        <v>0.21373333333333319</v>
      </c>
      <c r="AD108" s="317">
        <f t="shared" si="35"/>
        <v>0.21579999999999985</v>
      </c>
      <c r="AE108" s="317">
        <f t="shared" si="35"/>
        <v>0.21786666666666651</v>
      </c>
      <c r="AF108" s="317">
        <f t="shared" si="35"/>
        <v>0.21993333333333318</v>
      </c>
      <c r="AG108" s="296">
        <v>0.222</v>
      </c>
      <c r="AI108" s="214"/>
      <c r="AJ108" s="211" t="s">
        <v>1363</v>
      </c>
    </row>
    <row r="109" spans="1:36" outlineLevel="1" x14ac:dyDescent="0.2">
      <c r="A109" s="3" t="s">
        <v>33</v>
      </c>
      <c r="B109" s="302" t="s">
        <v>462</v>
      </c>
      <c r="C109" s="296">
        <v>0.37</v>
      </c>
      <c r="D109" s="317">
        <f t="shared" si="36"/>
        <v>0.36270000000000002</v>
      </c>
      <c r="E109" s="317">
        <f t="shared" si="36"/>
        <v>0.35540000000000005</v>
      </c>
      <c r="F109" s="317">
        <f t="shared" si="36"/>
        <v>0.34810000000000008</v>
      </c>
      <c r="G109" s="317">
        <f t="shared" si="36"/>
        <v>0.3408000000000001</v>
      </c>
      <c r="H109" s="317">
        <f t="shared" si="36"/>
        <v>0.33350000000000013</v>
      </c>
      <c r="I109" s="317">
        <f t="shared" si="36"/>
        <v>0.32620000000000016</v>
      </c>
      <c r="J109" s="317">
        <f t="shared" si="36"/>
        <v>0.31890000000000018</v>
      </c>
      <c r="K109" s="317">
        <f t="shared" si="36"/>
        <v>0.31160000000000021</v>
      </c>
      <c r="L109" s="317">
        <f t="shared" si="36"/>
        <v>0.30430000000000024</v>
      </c>
      <c r="M109" s="317">
        <f t="shared" si="36"/>
        <v>0.29700000000000026</v>
      </c>
      <c r="N109" s="317">
        <f t="shared" si="36"/>
        <v>0.28970000000000029</v>
      </c>
      <c r="O109" s="317">
        <f t="shared" si="36"/>
        <v>0.28240000000000032</v>
      </c>
      <c r="P109" s="317">
        <f t="shared" si="36"/>
        <v>0.27510000000000034</v>
      </c>
      <c r="Q109" s="317">
        <f t="shared" si="36"/>
        <v>0.26780000000000037</v>
      </c>
      <c r="R109" s="317">
        <f t="shared" si="36"/>
        <v>0.2605000000000004</v>
      </c>
      <c r="S109" s="317">
        <f t="shared" si="36"/>
        <v>0.25320000000000042</v>
      </c>
      <c r="T109" s="317">
        <f t="shared" si="35"/>
        <v>0.24590000000000042</v>
      </c>
      <c r="U109" s="317">
        <f t="shared" si="35"/>
        <v>0.23860000000000042</v>
      </c>
      <c r="V109" s="317">
        <f t="shared" si="35"/>
        <v>0.23130000000000042</v>
      </c>
      <c r="W109" s="317">
        <f t="shared" si="35"/>
        <v>0.22400000000000042</v>
      </c>
      <c r="X109" s="317">
        <f t="shared" si="35"/>
        <v>0.21670000000000042</v>
      </c>
      <c r="Y109" s="317">
        <f t="shared" si="35"/>
        <v>0.20940000000000042</v>
      </c>
      <c r="Z109" s="317">
        <f t="shared" si="35"/>
        <v>0.20210000000000042</v>
      </c>
      <c r="AA109" s="317">
        <f t="shared" si="35"/>
        <v>0.19480000000000042</v>
      </c>
      <c r="AB109" s="317">
        <f t="shared" si="35"/>
        <v>0.18750000000000042</v>
      </c>
      <c r="AC109" s="317">
        <f t="shared" si="35"/>
        <v>0.18020000000000042</v>
      </c>
      <c r="AD109" s="317">
        <f t="shared" si="35"/>
        <v>0.17290000000000041</v>
      </c>
      <c r="AE109" s="317">
        <f t="shared" si="35"/>
        <v>0.16560000000000041</v>
      </c>
      <c r="AF109" s="317">
        <f t="shared" si="35"/>
        <v>0.15830000000000041</v>
      </c>
      <c r="AG109" s="296">
        <v>0.151</v>
      </c>
      <c r="AI109" s="214"/>
      <c r="AJ109" s="211" t="s">
        <v>1363</v>
      </c>
    </row>
    <row r="110" spans="1:36" outlineLevel="1" x14ac:dyDescent="0.2">
      <c r="A110" s="3" t="s">
        <v>451</v>
      </c>
      <c r="B110" s="302" t="s">
        <v>462</v>
      </c>
      <c r="C110" s="296">
        <v>0.08</v>
      </c>
      <c r="D110" s="317">
        <f t="shared" si="36"/>
        <v>8.0100000000000005E-2</v>
      </c>
      <c r="E110" s="317">
        <f t="shared" si="36"/>
        <v>8.0200000000000007E-2</v>
      </c>
      <c r="F110" s="317">
        <f t="shared" si="36"/>
        <v>8.030000000000001E-2</v>
      </c>
      <c r="G110" s="317">
        <f t="shared" si="36"/>
        <v>8.0400000000000013E-2</v>
      </c>
      <c r="H110" s="317">
        <f t="shared" si="36"/>
        <v>8.0500000000000016E-2</v>
      </c>
      <c r="I110" s="317">
        <f t="shared" si="36"/>
        <v>8.0600000000000019E-2</v>
      </c>
      <c r="J110" s="317">
        <f t="shared" si="36"/>
        <v>8.0700000000000022E-2</v>
      </c>
      <c r="K110" s="317">
        <f t="shared" si="36"/>
        <v>8.0800000000000025E-2</v>
      </c>
      <c r="L110" s="317">
        <f t="shared" si="36"/>
        <v>8.0900000000000027E-2</v>
      </c>
      <c r="M110" s="317">
        <f t="shared" si="36"/>
        <v>8.100000000000003E-2</v>
      </c>
      <c r="N110" s="317">
        <f t="shared" si="36"/>
        <v>8.1100000000000033E-2</v>
      </c>
      <c r="O110" s="317">
        <f t="shared" si="36"/>
        <v>8.1200000000000036E-2</v>
      </c>
      <c r="P110" s="317">
        <f t="shared" si="36"/>
        <v>8.1300000000000039E-2</v>
      </c>
      <c r="Q110" s="317">
        <f t="shared" si="36"/>
        <v>8.1400000000000042E-2</v>
      </c>
      <c r="R110" s="317">
        <f t="shared" si="36"/>
        <v>8.1500000000000045E-2</v>
      </c>
      <c r="S110" s="317">
        <f t="shared" si="36"/>
        <v>8.1600000000000047E-2</v>
      </c>
      <c r="T110" s="317">
        <f t="shared" si="35"/>
        <v>8.170000000000005E-2</v>
      </c>
      <c r="U110" s="317">
        <f t="shared" si="35"/>
        <v>8.1800000000000053E-2</v>
      </c>
      <c r="V110" s="317">
        <f t="shared" si="35"/>
        <v>8.1900000000000056E-2</v>
      </c>
      <c r="W110" s="317">
        <f t="shared" si="35"/>
        <v>8.2000000000000059E-2</v>
      </c>
      <c r="X110" s="317">
        <f t="shared" si="35"/>
        <v>8.2100000000000062E-2</v>
      </c>
      <c r="Y110" s="317">
        <f t="shared" si="35"/>
        <v>8.2200000000000065E-2</v>
      </c>
      <c r="Z110" s="317">
        <f t="shared" si="35"/>
        <v>8.2300000000000068E-2</v>
      </c>
      <c r="AA110" s="317">
        <f t="shared" si="35"/>
        <v>8.240000000000007E-2</v>
      </c>
      <c r="AB110" s="317">
        <f t="shared" si="35"/>
        <v>8.2500000000000073E-2</v>
      </c>
      <c r="AC110" s="317">
        <f t="shared" si="35"/>
        <v>8.2600000000000076E-2</v>
      </c>
      <c r="AD110" s="317">
        <f t="shared" si="35"/>
        <v>8.2700000000000079E-2</v>
      </c>
      <c r="AE110" s="317">
        <f t="shared" si="35"/>
        <v>8.2800000000000082E-2</v>
      </c>
      <c r="AF110" s="317">
        <f t="shared" si="35"/>
        <v>8.2900000000000085E-2</v>
      </c>
      <c r="AG110" s="296">
        <v>8.3000000000000004E-2</v>
      </c>
      <c r="AI110" s="214"/>
      <c r="AJ110" s="211" t="s">
        <v>1363</v>
      </c>
    </row>
    <row r="111" spans="1:36" outlineLevel="1" x14ac:dyDescent="0.2">
      <c r="A111" s="3" t="s">
        <v>452</v>
      </c>
      <c r="B111" s="302" t="s">
        <v>462</v>
      </c>
      <c r="C111" s="296">
        <v>0.27</v>
      </c>
      <c r="D111" s="317">
        <f t="shared" si="36"/>
        <v>0.27313333333333334</v>
      </c>
      <c r="E111" s="317">
        <f t="shared" si="36"/>
        <v>0.27626666666666666</v>
      </c>
      <c r="F111" s="317">
        <f t="shared" si="36"/>
        <v>0.27939999999999998</v>
      </c>
      <c r="G111" s="317">
        <f t="shared" si="36"/>
        <v>0.2825333333333333</v>
      </c>
      <c r="H111" s="317">
        <f t="shared" si="36"/>
        <v>0.28566666666666662</v>
      </c>
      <c r="I111" s="317">
        <f t="shared" si="36"/>
        <v>0.28879999999999995</v>
      </c>
      <c r="J111" s="317">
        <f t="shared" si="36"/>
        <v>0.29193333333333327</v>
      </c>
      <c r="K111" s="317">
        <f t="shared" si="36"/>
        <v>0.29506666666666659</v>
      </c>
      <c r="L111" s="317">
        <f t="shared" si="36"/>
        <v>0.29819999999999991</v>
      </c>
      <c r="M111" s="317">
        <f t="shared" si="36"/>
        <v>0.30133333333333323</v>
      </c>
      <c r="N111" s="317">
        <f t="shared" si="36"/>
        <v>0.30446666666666655</v>
      </c>
      <c r="O111" s="317">
        <f t="shared" si="36"/>
        <v>0.30759999999999987</v>
      </c>
      <c r="P111" s="317">
        <f t="shared" si="36"/>
        <v>0.31073333333333319</v>
      </c>
      <c r="Q111" s="317">
        <f t="shared" si="36"/>
        <v>0.31386666666666652</v>
      </c>
      <c r="R111" s="317">
        <f t="shared" si="36"/>
        <v>0.31699999999999984</v>
      </c>
      <c r="S111" s="317">
        <f t="shared" si="36"/>
        <v>0.32013333333333316</v>
      </c>
      <c r="T111" s="317">
        <f t="shared" si="35"/>
        <v>0.32326666666666648</v>
      </c>
      <c r="U111" s="317">
        <f t="shared" si="35"/>
        <v>0.3263999999999998</v>
      </c>
      <c r="V111" s="317">
        <f t="shared" si="35"/>
        <v>0.32953333333333312</v>
      </c>
      <c r="W111" s="317">
        <f t="shared" si="35"/>
        <v>0.33266666666666644</v>
      </c>
      <c r="X111" s="317">
        <f t="shared" si="35"/>
        <v>0.33579999999999977</v>
      </c>
      <c r="Y111" s="317">
        <f t="shared" si="35"/>
        <v>0.33893333333333309</v>
      </c>
      <c r="Z111" s="317">
        <f t="shared" si="35"/>
        <v>0.34206666666666641</v>
      </c>
      <c r="AA111" s="317">
        <f t="shared" si="35"/>
        <v>0.34519999999999973</v>
      </c>
      <c r="AB111" s="317">
        <f t="shared" si="35"/>
        <v>0.34833333333333305</v>
      </c>
      <c r="AC111" s="317">
        <f t="shared" si="35"/>
        <v>0.35146666666666637</v>
      </c>
      <c r="AD111" s="317">
        <f t="shared" si="35"/>
        <v>0.35459999999999969</v>
      </c>
      <c r="AE111" s="317">
        <f t="shared" si="35"/>
        <v>0.35773333333333301</v>
      </c>
      <c r="AF111" s="317">
        <f t="shared" si="35"/>
        <v>0.36086666666666634</v>
      </c>
      <c r="AG111" s="296">
        <v>0.36399999999999999</v>
      </c>
      <c r="AI111" s="214"/>
      <c r="AJ111" s="211" t="s">
        <v>1363</v>
      </c>
    </row>
    <row r="112" spans="1:36" outlineLevel="1" x14ac:dyDescent="0.2">
      <c r="A112" s="3" t="s">
        <v>1364</v>
      </c>
      <c r="B112" s="302" t="s">
        <v>462</v>
      </c>
      <c r="C112" s="296">
        <v>7.0000000000000007E-2</v>
      </c>
      <c r="D112" s="317">
        <f t="shared" si="36"/>
        <v>7.1266666666666673E-2</v>
      </c>
      <c r="E112" s="317">
        <f t="shared" si="36"/>
        <v>7.2533333333333339E-2</v>
      </c>
      <c r="F112" s="317">
        <f t="shared" si="36"/>
        <v>7.3800000000000004E-2</v>
      </c>
      <c r="G112" s="317">
        <f t="shared" si="36"/>
        <v>7.506666666666667E-2</v>
      </c>
      <c r="H112" s="317">
        <f t="shared" si="36"/>
        <v>7.6333333333333336E-2</v>
      </c>
      <c r="I112" s="317">
        <f t="shared" si="36"/>
        <v>7.7600000000000002E-2</v>
      </c>
      <c r="J112" s="317">
        <f t="shared" si="36"/>
        <v>7.8866666666666668E-2</v>
      </c>
      <c r="K112" s="317">
        <f t="shared" si="36"/>
        <v>8.0133333333333334E-2</v>
      </c>
      <c r="L112" s="317">
        <f t="shared" si="36"/>
        <v>8.14E-2</v>
      </c>
      <c r="M112" s="317">
        <f t="shared" si="36"/>
        <v>8.2666666666666666E-2</v>
      </c>
      <c r="N112" s="317">
        <f t="shared" si="36"/>
        <v>8.3933333333333332E-2</v>
      </c>
      <c r="O112" s="317">
        <f t="shared" si="36"/>
        <v>8.5199999999999998E-2</v>
      </c>
      <c r="P112" s="317">
        <f t="shared" si="36"/>
        <v>8.6466666666666664E-2</v>
      </c>
      <c r="Q112" s="317">
        <f t="shared" si="36"/>
        <v>8.773333333333333E-2</v>
      </c>
      <c r="R112" s="317">
        <f t="shared" si="36"/>
        <v>8.8999999999999996E-2</v>
      </c>
      <c r="S112" s="317">
        <f t="shared" si="36"/>
        <v>9.0266666666666662E-2</v>
      </c>
      <c r="T112" s="317">
        <f t="shared" si="35"/>
        <v>9.1533333333333328E-2</v>
      </c>
      <c r="U112" s="317">
        <f t="shared" si="35"/>
        <v>9.2799999999999994E-2</v>
      </c>
      <c r="V112" s="317">
        <f t="shared" si="35"/>
        <v>9.406666666666666E-2</v>
      </c>
      <c r="W112" s="317">
        <f t="shared" si="35"/>
        <v>9.5333333333333325E-2</v>
      </c>
      <c r="X112" s="317">
        <f t="shared" si="35"/>
        <v>9.6599999999999991E-2</v>
      </c>
      <c r="Y112" s="317">
        <f t="shared" si="35"/>
        <v>9.7866666666666657E-2</v>
      </c>
      <c r="Z112" s="317">
        <f t="shared" si="35"/>
        <v>9.9133333333333323E-2</v>
      </c>
      <c r="AA112" s="317">
        <f t="shared" si="35"/>
        <v>0.10039999999999999</v>
      </c>
      <c r="AB112" s="317">
        <f t="shared" si="35"/>
        <v>0.10166666666666666</v>
      </c>
      <c r="AC112" s="317">
        <f t="shared" si="35"/>
        <v>0.10293333333333332</v>
      </c>
      <c r="AD112" s="317">
        <f t="shared" si="35"/>
        <v>0.10419999999999999</v>
      </c>
      <c r="AE112" s="317">
        <f t="shared" si="35"/>
        <v>0.10546666666666665</v>
      </c>
      <c r="AF112" s="317">
        <f t="shared" si="35"/>
        <v>0.10673333333333332</v>
      </c>
      <c r="AG112" s="296">
        <v>0.108</v>
      </c>
      <c r="AI112" s="214"/>
      <c r="AJ112" s="211" t="s">
        <v>1363</v>
      </c>
    </row>
    <row r="113" spans="1:36" outlineLevel="1" x14ac:dyDescent="0.2">
      <c r="A113" s="3" t="s">
        <v>1365</v>
      </c>
      <c r="B113" s="302" t="s">
        <v>462</v>
      </c>
      <c r="C113" s="296">
        <v>0.05</v>
      </c>
      <c r="D113" s="317">
        <f t="shared" si="36"/>
        <v>5.0733333333333339E-2</v>
      </c>
      <c r="E113" s="317">
        <f t="shared" si="36"/>
        <v>5.1466666666666674E-2</v>
      </c>
      <c r="F113" s="317">
        <f t="shared" si="36"/>
        <v>5.220000000000001E-2</v>
      </c>
      <c r="G113" s="317">
        <f t="shared" si="36"/>
        <v>5.2933333333333346E-2</v>
      </c>
      <c r="H113" s="317">
        <f t="shared" si="36"/>
        <v>5.3666666666666682E-2</v>
      </c>
      <c r="I113" s="317">
        <f t="shared" si="36"/>
        <v>5.4400000000000018E-2</v>
      </c>
      <c r="J113" s="317">
        <f t="shared" si="36"/>
        <v>5.5133333333333354E-2</v>
      </c>
      <c r="K113" s="317">
        <f t="shared" si="36"/>
        <v>5.5866666666666689E-2</v>
      </c>
      <c r="L113" s="317">
        <f t="shared" si="36"/>
        <v>5.6600000000000025E-2</v>
      </c>
      <c r="M113" s="317">
        <f t="shared" si="36"/>
        <v>5.7333333333333361E-2</v>
      </c>
      <c r="N113" s="317">
        <f t="shared" si="36"/>
        <v>5.8066666666666697E-2</v>
      </c>
      <c r="O113" s="317">
        <f t="shared" si="36"/>
        <v>5.8800000000000033E-2</v>
      </c>
      <c r="P113" s="317">
        <f t="shared" si="36"/>
        <v>5.9533333333333369E-2</v>
      </c>
      <c r="Q113" s="317">
        <f t="shared" si="36"/>
        <v>6.0266666666666704E-2</v>
      </c>
      <c r="R113" s="317">
        <f t="shared" si="36"/>
        <v>6.100000000000004E-2</v>
      </c>
      <c r="S113" s="317">
        <f t="shared" si="36"/>
        <v>6.1733333333333376E-2</v>
      </c>
      <c r="T113" s="317">
        <f t="shared" si="35"/>
        <v>6.2466666666666712E-2</v>
      </c>
      <c r="U113" s="317">
        <f t="shared" si="35"/>
        <v>6.3200000000000048E-2</v>
      </c>
      <c r="V113" s="317">
        <f t="shared" si="35"/>
        <v>6.3933333333333384E-2</v>
      </c>
      <c r="W113" s="317">
        <f t="shared" si="35"/>
        <v>6.4666666666666719E-2</v>
      </c>
      <c r="X113" s="317">
        <f t="shared" si="35"/>
        <v>6.5400000000000055E-2</v>
      </c>
      <c r="Y113" s="317">
        <f t="shared" si="35"/>
        <v>6.6133333333333391E-2</v>
      </c>
      <c r="Z113" s="317">
        <f t="shared" si="35"/>
        <v>6.6866666666666727E-2</v>
      </c>
      <c r="AA113" s="317">
        <f t="shared" si="35"/>
        <v>6.7600000000000063E-2</v>
      </c>
      <c r="AB113" s="317">
        <f t="shared" si="35"/>
        <v>6.8333333333333399E-2</v>
      </c>
      <c r="AC113" s="317">
        <f t="shared" si="35"/>
        <v>6.9066666666666734E-2</v>
      </c>
      <c r="AD113" s="317">
        <f t="shared" si="35"/>
        <v>6.980000000000007E-2</v>
      </c>
      <c r="AE113" s="317">
        <f t="shared" si="35"/>
        <v>7.0533333333333406E-2</v>
      </c>
      <c r="AF113" s="317">
        <f t="shared" si="35"/>
        <v>7.1266666666666742E-2</v>
      </c>
      <c r="AG113" s="296">
        <v>7.1999999999999995E-2</v>
      </c>
      <c r="AI113" s="214"/>
      <c r="AJ113" s="211" t="s">
        <v>1363</v>
      </c>
    </row>
    <row r="114" spans="1:36" s="58" customFormat="1" outlineLevel="1" x14ac:dyDescent="0.2">
      <c r="A114" s="306" t="s">
        <v>1366</v>
      </c>
      <c r="B114" s="303"/>
      <c r="C114" s="304"/>
      <c r="D114" s="304"/>
      <c r="E114" s="304"/>
      <c r="F114" s="304"/>
      <c r="G114" s="304"/>
      <c r="H114" s="304"/>
      <c r="I114" s="304"/>
      <c r="J114" s="304"/>
      <c r="K114" s="304"/>
      <c r="L114" s="304"/>
      <c r="M114" s="304"/>
      <c r="N114" s="304"/>
      <c r="O114" s="304"/>
      <c r="P114" s="304"/>
      <c r="Q114" s="304"/>
      <c r="R114" s="304"/>
      <c r="S114" s="304"/>
      <c r="T114" s="304"/>
      <c r="U114" s="304"/>
      <c r="V114" s="304"/>
      <c r="W114" s="304"/>
      <c r="X114" s="304"/>
      <c r="Y114" s="304"/>
      <c r="Z114" s="304"/>
      <c r="AA114" s="304"/>
      <c r="AB114" s="304"/>
      <c r="AC114" s="304"/>
      <c r="AD114" s="304"/>
      <c r="AE114" s="304"/>
      <c r="AF114" s="304"/>
      <c r="AG114" s="304"/>
      <c r="AI114" s="305"/>
      <c r="AJ114" s="306"/>
    </row>
    <row r="115" spans="1:36" s="58" customFormat="1" outlineLevel="1" x14ac:dyDescent="0.2">
      <c r="A115" s="307" t="s">
        <v>1367</v>
      </c>
      <c r="B115" s="308" t="s">
        <v>462</v>
      </c>
      <c r="C115" s="337">
        <v>0.84</v>
      </c>
      <c r="D115" s="338">
        <f>-($C115-$AG115)/30+C115</f>
        <v>0.84399999999999997</v>
      </c>
      <c r="E115" s="338">
        <f t="shared" ref="E115:T116" si="37">-($C115-$AG115)/30+D115</f>
        <v>0.84799999999999998</v>
      </c>
      <c r="F115" s="338">
        <f t="shared" si="37"/>
        <v>0.85199999999999998</v>
      </c>
      <c r="G115" s="338">
        <f t="shared" si="37"/>
        <v>0.85599999999999998</v>
      </c>
      <c r="H115" s="338">
        <f t="shared" si="37"/>
        <v>0.86</v>
      </c>
      <c r="I115" s="338">
        <f t="shared" si="37"/>
        <v>0.86399999999999999</v>
      </c>
      <c r="J115" s="338">
        <f t="shared" si="37"/>
        <v>0.86799999999999999</v>
      </c>
      <c r="K115" s="338">
        <f t="shared" si="37"/>
        <v>0.872</v>
      </c>
      <c r="L115" s="338">
        <f t="shared" si="37"/>
        <v>0.876</v>
      </c>
      <c r="M115" s="338">
        <f t="shared" si="37"/>
        <v>0.88</v>
      </c>
      <c r="N115" s="338">
        <f t="shared" si="37"/>
        <v>0.88400000000000001</v>
      </c>
      <c r="O115" s="338">
        <f t="shared" si="37"/>
        <v>0.88800000000000001</v>
      </c>
      <c r="P115" s="338">
        <f t="shared" si="37"/>
        <v>0.89200000000000002</v>
      </c>
      <c r="Q115" s="338">
        <f t="shared" si="37"/>
        <v>0.89600000000000002</v>
      </c>
      <c r="R115" s="338">
        <f t="shared" si="37"/>
        <v>0.9</v>
      </c>
      <c r="S115" s="338">
        <f t="shared" si="37"/>
        <v>0.90400000000000003</v>
      </c>
      <c r="T115" s="338">
        <f t="shared" si="37"/>
        <v>0.90800000000000003</v>
      </c>
      <c r="U115" s="338">
        <f t="shared" ref="U115:AF116" si="38">-($C115-$AG115)/30+T115</f>
        <v>0.91200000000000003</v>
      </c>
      <c r="V115" s="338">
        <f t="shared" si="38"/>
        <v>0.91600000000000004</v>
      </c>
      <c r="W115" s="338">
        <f t="shared" si="38"/>
        <v>0.92</v>
      </c>
      <c r="X115" s="338">
        <f t="shared" si="38"/>
        <v>0.92400000000000004</v>
      </c>
      <c r="Y115" s="338">
        <f t="shared" si="38"/>
        <v>0.92800000000000005</v>
      </c>
      <c r="Z115" s="338">
        <f t="shared" si="38"/>
        <v>0.93200000000000005</v>
      </c>
      <c r="AA115" s="338">
        <f t="shared" si="38"/>
        <v>0.93600000000000005</v>
      </c>
      <c r="AB115" s="338">
        <f t="shared" si="38"/>
        <v>0.94000000000000006</v>
      </c>
      <c r="AC115" s="338">
        <f t="shared" si="38"/>
        <v>0.94400000000000006</v>
      </c>
      <c r="AD115" s="338">
        <f t="shared" si="38"/>
        <v>0.94800000000000006</v>
      </c>
      <c r="AE115" s="338">
        <f t="shared" si="38"/>
        <v>0.95200000000000007</v>
      </c>
      <c r="AF115" s="338">
        <f t="shared" si="38"/>
        <v>0.95600000000000007</v>
      </c>
      <c r="AG115" s="337">
        <v>0.96</v>
      </c>
      <c r="AI115" s="305"/>
      <c r="AJ115" s="339" t="s">
        <v>1363</v>
      </c>
    </row>
    <row r="116" spans="1:36" s="58" customFormat="1" outlineLevel="1" x14ac:dyDescent="0.2">
      <c r="A116" s="307" t="s">
        <v>1368</v>
      </c>
      <c r="B116" s="308" t="s">
        <v>462</v>
      </c>
      <c r="C116" s="337">
        <v>0.22</v>
      </c>
      <c r="D116" s="338">
        <f>-($C116-$AG116)/30+C116</f>
        <v>0.22666666666666666</v>
      </c>
      <c r="E116" s="338">
        <f t="shared" si="37"/>
        <v>0.23333333333333331</v>
      </c>
      <c r="F116" s="338">
        <f t="shared" si="37"/>
        <v>0.23999999999999996</v>
      </c>
      <c r="G116" s="338">
        <f t="shared" si="37"/>
        <v>0.24666666666666662</v>
      </c>
      <c r="H116" s="338">
        <f t="shared" si="37"/>
        <v>0.2533333333333333</v>
      </c>
      <c r="I116" s="338">
        <f t="shared" si="37"/>
        <v>0.25999999999999995</v>
      </c>
      <c r="J116" s="338">
        <f t="shared" si="37"/>
        <v>0.26666666666666661</v>
      </c>
      <c r="K116" s="338">
        <f t="shared" si="37"/>
        <v>0.27333333333333326</v>
      </c>
      <c r="L116" s="338">
        <f t="shared" si="37"/>
        <v>0.27999999999999992</v>
      </c>
      <c r="M116" s="338">
        <f t="shared" si="37"/>
        <v>0.28666666666666657</v>
      </c>
      <c r="N116" s="338">
        <f t="shared" si="37"/>
        <v>0.29333333333333322</v>
      </c>
      <c r="O116" s="338">
        <f t="shared" si="37"/>
        <v>0.29999999999999988</v>
      </c>
      <c r="P116" s="338">
        <f t="shared" si="37"/>
        <v>0.30666666666666653</v>
      </c>
      <c r="Q116" s="338">
        <f t="shared" si="37"/>
        <v>0.31333333333333319</v>
      </c>
      <c r="R116" s="338">
        <f t="shared" si="37"/>
        <v>0.31999999999999984</v>
      </c>
      <c r="S116" s="338">
        <f t="shared" si="37"/>
        <v>0.32666666666666649</v>
      </c>
      <c r="T116" s="338">
        <f t="shared" si="37"/>
        <v>0.33333333333333315</v>
      </c>
      <c r="U116" s="338">
        <f t="shared" si="38"/>
        <v>0.3399999999999998</v>
      </c>
      <c r="V116" s="338">
        <f t="shared" si="38"/>
        <v>0.34666666666666646</v>
      </c>
      <c r="W116" s="338">
        <f t="shared" si="38"/>
        <v>0.35333333333333311</v>
      </c>
      <c r="X116" s="338">
        <f t="shared" si="38"/>
        <v>0.35999999999999976</v>
      </c>
      <c r="Y116" s="338">
        <f t="shared" si="38"/>
        <v>0.36666666666666642</v>
      </c>
      <c r="Z116" s="338">
        <f t="shared" si="38"/>
        <v>0.37333333333333307</v>
      </c>
      <c r="AA116" s="338">
        <f t="shared" si="38"/>
        <v>0.37999999999999973</v>
      </c>
      <c r="AB116" s="338">
        <f t="shared" si="38"/>
        <v>0.38666666666666638</v>
      </c>
      <c r="AC116" s="338">
        <f t="shared" si="38"/>
        <v>0.39333333333333304</v>
      </c>
      <c r="AD116" s="338">
        <f t="shared" si="38"/>
        <v>0.39999999999999969</v>
      </c>
      <c r="AE116" s="338">
        <f t="shared" si="38"/>
        <v>0.40666666666666634</v>
      </c>
      <c r="AF116" s="338">
        <f t="shared" si="38"/>
        <v>0.413333333333333</v>
      </c>
      <c r="AG116" s="337">
        <v>0.42</v>
      </c>
      <c r="AI116" s="305"/>
      <c r="AJ116" s="339" t="s">
        <v>1363</v>
      </c>
    </row>
    <row r="117" spans="1:36" s="62" customFormat="1" outlineLevel="1" x14ac:dyDescent="0.2">
      <c r="A117" s="311" t="s">
        <v>1369</v>
      </c>
      <c r="B117" s="312" t="s">
        <v>462</v>
      </c>
      <c r="C117" s="340">
        <f>1-C116</f>
        <v>0.78</v>
      </c>
      <c r="D117" s="340">
        <f t="shared" ref="D117:AG117" si="39">1-D116</f>
        <v>0.77333333333333332</v>
      </c>
      <c r="E117" s="340">
        <f t="shared" si="39"/>
        <v>0.76666666666666672</v>
      </c>
      <c r="F117" s="340">
        <f t="shared" si="39"/>
        <v>0.76</v>
      </c>
      <c r="G117" s="340">
        <f t="shared" si="39"/>
        <v>0.75333333333333341</v>
      </c>
      <c r="H117" s="340">
        <f t="shared" si="39"/>
        <v>0.7466666666666667</v>
      </c>
      <c r="I117" s="340">
        <f t="shared" si="39"/>
        <v>0.74</v>
      </c>
      <c r="J117" s="340">
        <f t="shared" si="39"/>
        <v>0.73333333333333339</v>
      </c>
      <c r="K117" s="340">
        <f t="shared" si="39"/>
        <v>0.72666666666666679</v>
      </c>
      <c r="L117" s="340">
        <f t="shared" si="39"/>
        <v>0.72000000000000008</v>
      </c>
      <c r="M117" s="340">
        <f t="shared" si="39"/>
        <v>0.71333333333333337</v>
      </c>
      <c r="N117" s="340">
        <f t="shared" si="39"/>
        <v>0.70666666666666678</v>
      </c>
      <c r="O117" s="340">
        <f t="shared" si="39"/>
        <v>0.70000000000000018</v>
      </c>
      <c r="P117" s="340">
        <f t="shared" si="39"/>
        <v>0.69333333333333347</v>
      </c>
      <c r="Q117" s="340">
        <f t="shared" si="39"/>
        <v>0.68666666666666676</v>
      </c>
      <c r="R117" s="340">
        <f t="shared" si="39"/>
        <v>0.68000000000000016</v>
      </c>
      <c r="S117" s="340">
        <f t="shared" si="39"/>
        <v>0.67333333333333356</v>
      </c>
      <c r="T117" s="340">
        <f t="shared" si="39"/>
        <v>0.66666666666666685</v>
      </c>
      <c r="U117" s="340">
        <f t="shared" si="39"/>
        <v>0.66000000000000014</v>
      </c>
      <c r="V117" s="340">
        <f t="shared" si="39"/>
        <v>0.65333333333333354</v>
      </c>
      <c r="W117" s="340">
        <f t="shared" si="39"/>
        <v>0.64666666666666694</v>
      </c>
      <c r="X117" s="340">
        <f t="shared" si="39"/>
        <v>0.64000000000000024</v>
      </c>
      <c r="Y117" s="340">
        <f t="shared" si="39"/>
        <v>0.63333333333333353</v>
      </c>
      <c r="Z117" s="340">
        <f t="shared" si="39"/>
        <v>0.62666666666666693</v>
      </c>
      <c r="AA117" s="340">
        <f t="shared" si="39"/>
        <v>0.62000000000000033</v>
      </c>
      <c r="AB117" s="340">
        <f t="shared" si="39"/>
        <v>0.61333333333333362</v>
      </c>
      <c r="AC117" s="340">
        <f t="shared" si="39"/>
        <v>0.60666666666666691</v>
      </c>
      <c r="AD117" s="340">
        <f t="shared" si="39"/>
        <v>0.60000000000000031</v>
      </c>
      <c r="AE117" s="340">
        <f t="shared" si="39"/>
        <v>0.59333333333333371</v>
      </c>
      <c r="AF117" s="340">
        <f t="shared" si="39"/>
        <v>0.586666666666667</v>
      </c>
      <c r="AG117" s="340">
        <f t="shared" si="39"/>
        <v>0.58000000000000007</v>
      </c>
      <c r="AI117" s="342"/>
      <c r="AJ117" s="341" t="s">
        <v>1363</v>
      </c>
    </row>
    <row r="118" spans="1:36" s="1" customFormat="1" outlineLevel="1" x14ac:dyDescent="0.2">
      <c r="A118" t="s">
        <v>1370</v>
      </c>
      <c r="B118" s="302" t="s">
        <v>462</v>
      </c>
      <c r="C118" s="296">
        <v>0.95</v>
      </c>
      <c r="D118" s="317">
        <f t="shared" ref="D118:S133" si="40">-($C118-$AG118)/30+C118</f>
        <v>0.94499999999999995</v>
      </c>
      <c r="E118" s="317">
        <f t="shared" si="40"/>
        <v>0.94</v>
      </c>
      <c r="F118" s="317">
        <f t="shared" si="40"/>
        <v>0.93499999999999994</v>
      </c>
      <c r="G118" s="317">
        <f t="shared" si="40"/>
        <v>0.92999999999999994</v>
      </c>
      <c r="H118" s="317">
        <f t="shared" si="40"/>
        <v>0.92499999999999993</v>
      </c>
      <c r="I118" s="317">
        <f t="shared" si="40"/>
        <v>0.91999999999999993</v>
      </c>
      <c r="J118" s="317">
        <f t="shared" si="40"/>
        <v>0.91499999999999992</v>
      </c>
      <c r="K118" s="317">
        <f t="shared" si="40"/>
        <v>0.90999999999999992</v>
      </c>
      <c r="L118" s="317">
        <f t="shared" si="40"/>
        <v>0.90499999999999992</v>
      </c>
      <c r="M118" s="317">
        <f t="shared" si="40"/>
        <v>0.89999999999999991</v>
      </c>
      <c r="N118" s="317">
        <f t="shared" si="40"/>
        <v>0.89499999999999991</v>
      </c>
      <c r="O118" s="317">
        <f t="shared" si="40"/>
        <v>0.8899999999999999</v>
      </c>
      <c r="P118" s="317">
        <f t="shared" si="40"/>
        <v>0.8849999999999999</v>
      </c>
      <c r="Q118" s="317">
        <f t="shared" si="40"/>
        <v>0.87999999999999989</v>
      </c>
      <c r="R118" s="317">
        <f t="shared" si="40"/>
        <v>0.87499999999999989</v>
      </c>
      <c r="S118" s="317">
        <f t="shared" si="40"/>
        <v>0.86999999999999988</v>
      </c>
      <c r="T118" s="317">
        <f t="shared" ref="T118:AF132" si="41">-($C118-$AG118)/30+S118</f>
        <v>0.86499999999999988</v>
      </c>
      <c r="U118" s="317">
        <f t="shared" si="41"/>
        <v>0.85999999999999988</v>
      </c>
      <c r="V118" s="317">
        <f t="shared" si="41"/>
        <v>0.85499999999999987</v>
      </c>
      <c r="W118" s="317">
        <f t="shared" si="41"/>
        <v>0.84999999999999987</v>
      </c>
      <c r="X118" s="317">
        <f t="shared" si="41"/>
        <v>0.84499999999999986</v>
      </c>
      <c r="Y118" s="317">
        <f t="shared" si="41"/>
        <v>0.83999999999999986</v>
      </c>
      <c r="Z118" s="317">
        <f t="shared" si="41"/>
        <v>0.83499999999999985</v>
      </c>
      <c r="AA118" s="317">
        <f t="shared" si="41"/>
        <v>0.82999999999999985</v>
      </c>
      <c r="AB118" s="317">
        <f t="shared" si="41"/>
        <v>0.82499999999999984</v>
      </c>
      <c r="AC118" s="317">
        <f t="shared" si="41"/>
        <v>0.81999999999999984</v>
      </c>
      <c r="AD118" s="317">
        <f t="shared" si="41"/>
        <v>0.81499999999999984</v>
      </c>
      <c r="AE118" s="317">
        <f t="shared" si="41"/>
        <v>0.80999999999999983</v>
      </c>
      <c r="AF118" s="317">
        <f t="shared" si="41"/>
        <v>0.80499999999999983</v>
      </c>
      <c r="AG118" s="296">
        <v>0.8</v>
      </c>
      <c r="AJ118" s="211" t="s">
        <v>1363</v>
      </c>
    </row>
    <row r="119" spans="1:36" s="1" customFormat="1" outlineLevel="1" x14ac:dyDescent="0.2">
      <c r="A119" t="s">
        <v>1371</v>
      </c>
      <c r="B119" s="302" t="s">
        <v>462</v>
      </c>
      <c r="C119" s="296">
        <v>0.05</v>
      </c>
      <c r="D119" s="317">
        <f t="shared" si="40"/>
        <v>5.5000000000000007E-2</v>
      </c>
      <c r="E119" s="317">
        <f t="shared" si="40"/>
        <v>6.0000000000000012E-2</v>
      </c>
      <c r="F119" s="317">
        <f t="shared" si="40"/>
        <v>6.5000000000000016E-2</v>
      </c>
      <c r="G119" s="317">
        <f t="shared" si="40"/>
        <v>7.0000000000000021E-2</v>
      </c>
      <c r="H119" s="317">
        <f t="shared" si="40"/>
        <v>7.5000000000000025E-2</v>
      </c>
      <c r="I119" s="317">
        <f t="shared" si="40"/>
        <v>8.0000000000000029E-2</v>
      </c>
      <c r="J119" s="317">
        <f t="shared" si="40"/>
        <v>8.5000000000000034E-2</v>
      </c>
      <c r="K119" s="317">
        <f t="shared" si="40"/>
        <v>9.0000000000000038E-2</v>
      </c>
      <c r="L119" s="317">
        <f t="shared" si="40"/>
        <v>9.5000000000000043E-2</v>
      </c>
      <c r="M119" s="317">
        <f t="shared" si="40"/>
        <v>0.10000000000000005</v>
      </c>
      <c r="N119" s="317">
        <f t="shared" si="40"/>
        <v>0.10500000000000005</v>
      </c>
      <c r="O119" s="317">
        <f t="shared" si="40"/>
        <v>0.11000000000000006</v>
      </c>
      <c r="P119" s="317">
        <f t="shared" si="40"/>
        <v>0.11500000000000006</v>
      </c>
      <c r="Q119" s="317">
        <f t="shared" si="40"/>
        <v>0.12000000000000006</v>
      </c>
      <c r="R119" s="317">
        <f t="shared" si="40"/>
        <v>0.12500000000000006</v>
      </c>
      <c r="S119" s="317">
        <f t="shared" si="40"/>
        <v>0.13000000000000006</v>
      </c>
      <c r="T119" s="317">
        <f t="shared" si="41"/>
        <v>0.13500000000000006</v>
      </c>
      <c r="U119" s="317">
        <f t="shared" si="41"/>
        <v>0.14000000000000007</v>
      </c>
      <c r="V119" s="317">
        <f t="shared" si="41"/>
        <v>0.14500000000000007</v>
      </c>
      <c r="W119" s="317">
        <f t="shared" si="41"/>
        <v>0.15000000000000008</v>
      </c>
      <c r="X119" s="317">
        <f t="shared" si="41"/>
        <v>0.15500000000000008</v>
      </c>
      <c r="Y119" s="317">
        <f t="shared" si="41"/>
        <v>0.16000000000000009</v>
      </c>
      <c r="Z119" s="317">
        <f t="shared" si="41"/>
        <v>0.16500000000000009</v>
      </c>
      <c r="AA119" s="317">
        <f t="shared" si="41"/>
        <v>0.1700000000000001</v>
      </c>
      <c r="AB119" s="317">
        <f t="shared" si="41"/>
        <v>0.1750000000000001</v>
      </c>
      <c r="AC119" s="317">
        <f t="shared" si="41"/>
        <v>0.1800000000000001</v>
      </c>
      <c r="AD119" s="317">
        <f t="shared" si="41"/>
        <v>0.18500000000000011</v>
      </c>
      <c r="AE119" s="317">
        <f t="shared" si="41"/>
        <v>0.19000000000000011</v>
      </c>
      <c r="AF119" s="317">
        <f t="shared" si="41"/>
        <v>0.19500000000000012</v>
      </c>
      <c r="AG119" s="296">
        <v>0.2</v>
      </c>
      <c r="AI119" s="435" t="s">
        <v>1506</v>
      </c>
      <c r="AJ119" s="211" t="s">
        <v>1363</v>
      </c>
    </row>
    <row r="120" spans="1:36" s="1" customFormat="1" outlineLevel="1" x14ac:dyDescent="0.2">
      <c r="A120" t="s">
        <v>1372</v>
      </c>
      <c r="B120" s="302" t="s">
        <v>462</v>
      </c>
      <c r="C120" s="296">
        <v>0.15</v>
      </c>
      <c r="D120" s="317">
        <f t="shared" si="40"/>
        <v>0.15633333333333332</v>
      </c>
      <c r="E120" s="317">
        <f t="shared" si="40"/>
        <v>0.16266666666666665</v>
      </c>
      <c r="F120" s="317">
        <f t="shared" si="40"/>
        <v>0.16899999999999998</v>
      </c>
      <c r="G120" s="317">
        <f t="shared" si="40"/>
        <v>0.17533333333333331</v>
      </c>
      <c r="H120" s="317">
        <f t="shared" si="40"/>
        <v>0.18166666666666664</v>
      </c>
      <c r="I120" s="317">
        <f t="shared" si="40"/>
        <v>0.18799999999999997</v>
      </c>
      <c r="J120" s="317">
        <f t="shared" si="40"/>
        <v>0.1943333333333333</v>
      </c>
      <c r="K120" s="317">
        <f t="shared" si="40"/>
        <v>0.20066666666666663</v>
      </c>
      <c r="L120" s="317">
        <f t="shared" si="40"/>
        <v>0.20699999999999996</v>
      </c>
      <c r="M120" s="317">
        <f t="shared" si="40"/>
        <v>0.21333333333333329</v>
      </c>
      <c r="N120" s="317">
        <f t="shared" si="40"/>
        <v>0.21966666666666662</v>
      </c>
      <c r="O120" s="317">
        <f t="shared" si="40"/>
        <v>0.22599999999999995</v>
      </c>
      <c r="P120" s="317">
        <f t="shared" si="40"/>
        <v>0.23233333333333328</v>
      </c>
      <c r="Q120" s="317">
        <f t="shared" si="40"/>
        <v>0.23866666666666661</v>
      </c>
      <c r="R120" s="317">
        <f t="shared" si="40"/>
        <v>0.24499999999999994</v>
      </c>
      <c r="S120" s="317">
        <f t="shared" si="40"/>
        <v>0.2513333333333333</v>
      </c>
      <c r="T120" s="317">
        <f t="shared" si="41"/>
        <v>0.25766666666666665</v>
      </c>
      <c r="U120" s="317">
        <f t="shared" si="41"/>
        <v>0.26400000000000001</v>
      </c>
      <c r="V120" s="317">
        <f t="shared" si="41"/>
        <v>0.27033333333333337</v>
      </c>
      <c r="W120" s="317">
        <f t="shared" si="41"/>
        <v>0.27666666666666673</v>
      </c>
      <c r="X120" s="317">
        <f t="shared" si="41"/>
        <v>0.28300000000000008</v>
      </c>
      <c r="Y120" s="317">
        <f t="shared" si="41"/>
        <v>0.28933333333333344</v>
      </c>
      <c r="Z120" s="317">
        <f t="shared" si="41"/>
        <v>0.2956666666666668</v>
      </c>
      <c r="AA120" s="317">
        <f t="shared" si="41"/>
        <v>0.30200000000000016</v>
      </c>
      <c r="AB120" s="317">
        <f t="shared" si="41"/>
        <v>0.30833333333333351</v>
      </c>
      <c r="AC120" s="317">
        <f t="shared" si="41"/>
        <v>0.31466666666666687</v>
      </c>
      <c r="AD120" s="317">
        <f t="shared" si="41"/>
        <v>0.32100000000000023</v>
      </c>
      <c r="AE120" s="317">
        <f t="shared" si="41"/>
        <v>0.32733333333333359</v>
      </c>
      <c r="AF120" s="317">
        <f t="shared" si="41"/>
        <v>0.33366666666666694</v>
      </c>
      <c r="AG120" s="296">
        <v>0.34</v>
      </c>
      <c r="AI120" s="316"/>
      <c r="AJ120" s="211" t="s">
        <v>1363</v>
      </c>
    </row>
    <row r="121" spans="1:36" s="1" customFormat="1" outlineLevel="1" x14ac:dyDescent="0.2">
      <c r="A121" t="s">
        <v>1373</v>
      </c>
      <c r="B121" s="302" t="s">
        <v>462</v>
      </c>
      <c r="C121" s="296">
        <v>0.85</v>
      </c>
      <c r="D121" s="317">
        <f t="shared" si="40"/>
        <v>0.84366666666666668</v>
      </c>
      <c r="E121" s="317">
        <f t="shared" si="40"/>
        <v>0.83733333333333337</v>
      </c>
      <c r="F121" s="317">
        <f t="shared" si="40"/>
        <v>0.83100000000000007</v>
      </c>
      <c r="G121" s="317">
        <f t="shared" si="40"/>
        <v>0.82466666666666677</v>
      </c>
      <c r="H121" s="317">
        <f t="shared" si="40"/>
        <v>0.81833333333333347</v>
      </c>
      <c r="I121" s="317">
        <f t="shared" si="40"/>
        <v>0.81200000000000017</v>
      </c>
      <c r="J121" s="317">
        <f t="shared" si="40"/>
        <v>0.80566666666666686</v>
      </c>
      <c r="K121" s="317">
        <f t="shared" si="40"/>
        <v>0.79933333333333356</v>
      </c>
      <c r="L121" s="317">
        <f t="shared" si="40"/>
        <v>0.79300000000000026</v>
      </c>
      <c r="M121" s="317">
        <f t="shared" si="40"/>
        <v>0.78666666666666696</v>
      </c>
      <c r="N121" s="317">
        <f t="shared" si="40"/>
        <v>0.78033333333333366</v>
      </c>
      <c r="O121" s="317">
        <f t="shared" si="40"/>
        <v>0.77400000000000035</v>
      </c>
      <c r="P121" s="317">
        <f t="shared" si="40"/>
        <v>0.76766666666666705</v>
      </c>
      <c r="Q121" s="317">
        <f t="shared" si="40"/>
        <v>0.76133333333333375</v>
      </c>
      <c r="R121" s="317">
        <f t="shared" si="40"/>
        <v>0.75500000000000045</v>
      </c>
      <c r="S121" s="317">
        <f t="shared" si="40"/>
        <v>0.74866666666666715</v>
      </c>
      <c r="T121" s="317">
        <f t="shared" si="41"/>
        <v>0.74233333333333384</v>
      </c>
      <c r="U121" s="317">
        <f t="shared" si="41"/>
        <v>0.73600000000000054</v>
      </c>
      <c r="V121" s="317">
        <f t="shared" si="41"/>
        <v>0.72966666666666724</v>
      </c>
      <c r="W121" s="317">
        <f t="shared" si="41"/>
        <v>0.72333333333333394</v>
      </c>
      <c r="X121" s="317">
        <f t="shared" si="41"/>
        <v>0.71700000000000064</v>
      </c>
      <c r="Y121" s="317">
        <f t="shared" si="41"/>
        <v>0.71066666666666733</v>
      </c>
      <c r="Z121" s="317">
        <f t="shared" si="41"/>
        <v>0.70433333333333403</v>
      </c>
      <c r="AA121" s="317">
        <f t="shared" si="41"/>
        <v>0.69800000000000073</v>
      </c>
      <c r="AB121" s="317">
        <f t="shared" si="41"/>
        <v>0.69166666666666743</v>
      </c>
      <c r="AC121" s="317">
        <f t="shared" si="41"/>
        <v>0.68533333333333413</v>
      </c>
      <c r="AD121" s="317">
        <f t="shared" si="41"/>
        <v>0.67900000000000083</v>
      </c>
      <c r="AE121" s="317">
        <f t="shared" si="41"/>
        <v>0.67266666666666752</v>
      </c>
      <c r="AF121" s="317">
        <f t="shared" si="41"/>
        <v>0.66633333333333422</v>
      </c>
      <c r="AG121" s="296">
        <v>0.66</v>
      </c>
      <c r="AI121" s="316"/>
      <c r="AJ121" s="211" t="s">
        <v>1363</v>
      </c>
    </row>
    <row r="122" spans="1:36" s="1" customFormat="1" outlineLevel="1" x14ac:dyDescent="0.2">
      <c r="A122" t="s">
        <v>1374</v>
      </c>
      <c r="B122" s="302" t="s">
        <v>462</v>
      </c>
      <c r="C122" s="296">
        <v>0</v>
      </c>
      <c r="D122" s="317">
        <f t="shared" si="40"/>
        <v>0</v>
      </c>
      <c r="E122" s="317">
        <f t="shared" si="40"/>
        <v>0</v>
      </c>
      <c r="F122" s="317">
        <f t="shared" si="40"/>
        <v>0</v>
      </c>
      <c r="G122" s="317">
        <f t="shared" si="40"/>
        <v>0</v>
      </c>
      <c r="H122" s="317">
        <f t="shared" si="40"/>
        <v>0</v>
      </c>
      <c r="I122" s="317">
        <f t="shared" si="40"/>
        <v>0</v>
      </c>
      <c r="J122" s="317">
        <f t="shared" si="40"/>
        <v>0</v>
      </c>
      <c r="K122" s="317">
        <f t="shared" si="40"/>
        <v>0</v>
      </c>
      <c r="L122" s="317">
        <f t="shared" si="40"/>
        <v>0</v>
      </c>
      <c r="M122" s="317">
        <f t="shared" si="40"/>
        <v>0</v>
      </c>
      <c r="N122" s="317">
        <f t="shared" si="40"/>
        <v>0</v>
      </c>
      <c r="O122" s="317">
        <f t="shared" si="40"/>
        <v>0</v>
      </c>
      <c r="P122" s="317">
        <f t="shared" si="40"/>
        <v>0</v>
      </c>
      <c r="Q122" s="317">
        <f t="shared" si="40"/>
        <v>0</v>
      </c>
      <c r="R122" s="317">
        <f t="shared" si="40"/>
        <v>0</v>
      </c>
      <c r="S122" s="317">
        <f t="shared" si="40"/>
        <v>0</v>
      </c>
      <c r="T122" s="317">
        <f t="shared" si="41"/>
        <v>0</v>
      </c>
      <c r="U122" s="317">
        <f t="shared" si="41"/>
        <v>0</v>
      </c>
      <c r="V122" s="317">
        <f t="shared" si="41"/>
        <v>0</v>
      </c>
      <c r="W122" s="317">
        <f t="shared" si="41"/>
        <v>0</v>
      </c>
      <c r="X122" s="317">
        <f t="shared" si="41"/>
        <v>0</v>
      </c>
      <c r="Y122" s="317">
        <f t="shared" si="41"/>
        <v>0</v>
      </c>
      <c r="Z122" s="317">
        <f t="shared" si="41"/>
        <v>0</v>
      </c>
      <c r="AA122" s="317">
        <f t="shared" si="41"/>
        <v>0</v>
      </c>
      <c r="AB122" s="317">
        <f t="shared" si="41"/>
        <v>0</v>
      </c>
      <c r="AC122" s="317">
        <f t="shared" si="41"/>
        <v>0</v>
      </c>
      <c r="AD122" s="317">
        <f t="shared" si="41"/>
        <v>0</v>
      </c>
      <c r="AE122" s="317">
        <f t="shared" si="41"/>
        <v>0</v>
      </c>
      <c r="AF122" s="317">
        <f t="shared" si="41"/>
        <v>0</v>
      </c>
      <c r="AG122" s="296">
        <v>0</v>
      </c>
      <c r="AI122" s="316"/>
      <c r="AJ122" s="211" t="s">
        <v>1363</v>
      </c>
    </row>
    <row r="123" spans="1:36" s="1" customFormat="1" outlineLevel="1" x14ac:dyDescent="0.2">
      <c r="A123" t="s">
        <v>1375</v>
      </c>
      <c r="B123" s="302" t="s">
        <v>462</v>
      </c>
      <c r="C123" s="296">
        <v>1</v>
      </c>
      <c r="D123" s="317">
        <f t="shared" si="40"/>
        <v>1</v>
      </c>
      <c r="E123" s="317">
        <f t="shared" si="40"/>
        <v>1</v>
      </c>
      <c r="F123" s="317">
        <f t="shared" si="40"/>
        <v>1</v>
      </c>
      <c r="G123" s="317">
        <f t="shared" si="40"/>
        <v>1</v>
      </c>
      <c r="H123" s="317">
        <f t="shared" si="40"/>
        <v>1</v>
      </c>
      <c r="I123" s="317">
        <f t="shared" si="40"/>
        <v>1</v>
      </c>
      <c r="J123" s="317">
        <f t="shared" si="40"/>
        <v>1</v>
      </c>
      <c r="K123" s="317">
        <f t="shared" si="40"/>
        <v>1</v>
      </c>
      <c r="L123" s="317">
        <f t="shared" si="40"/>
        <v>1</v>
      </c>
      <c r="M123" s="317">
        <f t="shared" si="40"/>
        <v>1</v>
      </c>
      <c r="N123" s="317">
        <f t="shared" si="40"/>
        <v>1</v>
      </c>
      <c r="O123" s="317">
        <f t="shared" si="40"/>
        <v>1</v>
      </c>
      <c r="P123" s="317">
        <f t="shared" si="40"/>
        <v>1</v>
      </c>
      <c r="Q123" s="317">
        <f t="shared" si="40"/>
        <v>1</v>
      </c>
      <c r="R123" s="317">
        <f t="shared" si="40"/>
        <v>1</v>
      </c>
      <c r="S123" s="317">
        <f t="shared" si="40"/>
        <v>1</v>
      </c>
      <c r="T123" s="317">
        <f t="shared" si="41"/>
        <v>1</v>
      </c>
      <c r="U123" s="317">
        <f t="shared" si="41"/>
        <v>1</v>
      </c>
      <c r="V123" s="317">
        <f t="shared" si="41"/>
        <v>1</v>
      </c>
      <c r="W123" s="317">
        <f t="shared" si="41"/>
        <v>1</v>
      </c>
      <c r="X123" s="317">
        <f t="shared" si="41"/>
        <v>1</v>
      </c>
      <c r="Y123" s="317">
        <f t="shared" si="41"/>
        <v>1</v>
      </c>
      <c r="Z123" s="317">
        <f t="shared" si="41"/>
        <v>1</v>
      </c>
      <c r="AA123" s="317">
        <f t="shared" si="41"/>
        <v>1</v>
      </c>
      <c r="AB123" s="317">
        <f t="shared" si="41"/>
        <v>1</v>
      </c>
      <c r="AC123" s="317">
        <f t="shared" si="41"/>
        <v>1</v>
      </c>
      <c r="AD123" s="317">
        <f t="shared" si="41"/>
        <v>1</v>
      </c>
      <c r="AE123" s="317">
        <f t="shared" si="41"/>
        <v>1</v>
      </c>
      <c r="AF123" s="317">
        <f t="shared" si="41"/>
        <v>1</v>
      </c>
      <c r="AG123" s="296">
        <v>1</v>
      </c>
      <c r="AI123" s="316"/>
      <c r="AJ123" s="211" t="s">
        <v>1363</v>
      </c>
    </row>
    <row r="124" spans="1:36" s="1" customFormat="1" outlineLevel="1" x14ac:dyDescent="0.2">
      <c r="A124" t="s">
        <v>1376</v>
      </c>
      <c r="B124" s="302" t="s">
        <v>462</v>
      </c>
      <c r="C124" s="296">
        <v>0.8</v>
      </c>
      <c r="D124" s="317">
        <f t="shared" si="40"/>
        <v>0.80333333333333334</v>
      </c>
      <c r="E124" s="317">
        <f t="shared" si="40"/>
        <v>0.80666666666666664</v>
      </c>
      <c r="F124" s="317">
        <f t="shared" si="40"/>
        <v>0.80999999999999994</v>
      </c>
      <c r="G124" s="317">
        <f t="shared" si="40"/>
        <v>0.81333333333333324</v>
      </c>
      <c r="H124" s="317">
        <f t="shared" si="40"/>
        <v>0.81666666666666654</v>
      </c>
      <c r="I124" s="317">
        <f t="shared" si="40"/>
        <v>0.81999999999999984</v>
      </c>
      <c r="J124" s="317">
        <f t="shared" si="40"/>
        <v>0.82333333333333314</v>
      </c>
      <c r="K124" s="317">
        <f t="shared" si="40"/>
        <v>0.82666666666666644</v>
      </c>
      <c r="L124" s="317">
        <f t="shared" si="40"/>
        <v>0.82999999999999974</v>
      </c>
      <c r="M124" s="317">
        <f t="shared" si="40"/>
        <v>0.83333333333333304</v>
      </c>
      <c r="N124" s="317">
        <f t="shared" si="40"/>
        <v>0.83666666666666634</v>
      </c>
      <c r="O124" s="317">
        <f t="shared" si="40"/>
        <v>0.83999999999999964</v>
      </c>
      <c r="P124" s="317">
        <f t="shared" si="40"/>
        <v>0.84333333333333294</v>
      </c>
      <c r="Q124" s="317">
        <f t="shared" si="40"/>
        <v>0.84666666666666623</v>
      </c>
      <c r="R124" s="317">
        <f t="shared" si="40"/>
        <v>0.84999999999999953</v>
      </c>
      <c r="S124" s="317">
        <f t="shared" si="40"/>
        <v>0.85333333333333283</v>
      </c>
      <c r="T124" s="317">
        <f t="shared" si="41"/>
        <v>0.85666666666666613</v>
      </c>
      <c r="U124" s="317">
        <f t="shared" si="41"/>
        <v>0.85999999999999943</v>
      </c>
      <c r="V124" s="317">
        <f t="shared" si="41"/>
        <v>0.86333333333333273</v>
      </c>
      <c r="W124" s="317">
        <f t="shared" si="41"/>
        <v>0.86666666666666603</v>
      </c>
      <c r="X124" s="317">
        <f t="shared" si="41"/>
        <v>0.86999999999999933</v>
      </c>
      <c r="Y124" s="317">
        <f t="shared" si="41"/>
        <v>0.87333333333333263</v>
      </c>
      <c r="Z124" s="317">
        <f t="shared" si="41"/>
        <v>0.87666666666666593</v>
      </c>
      <c r="AA124" s="317">
        <f t="shared" si="41"/>
        <v>0.87999999999999923</v>
      </c>
      <c r="AB124" s="317">
        <f t="shared" si="41"/>
        <v>0.88333333333333253</v>
      </c>
      <c r="AC124" s="317">
        <f t="shared" si="41"/>
        <v>0.88666666666666583</v>
      </c>
      <c r="AD124" s="317">
        <f t="shared" si="41"/>
        <v>0.88999999999999913</v>
      </c>
      <c r="AE124" s="317">
        <f t="shared" si="41"/>
        <v>0.89333333333333242</v>
      </c>
      <c r="AF124" s="317">
        <f t="shared" si="41"/>
        <v>0.89666666666666572</v>
      </c>
      <c r="AG124" s="296">
        <v>0.9</v>
      </c>
      <c r="AI124" s="316"/>
      <c r="AJ124" s="211" t="s">
        <v>1363</v>
      </c>
    </row>
    <row r="125" spans="1:36" s="1" customFormat="1" outlineLevel="1" x14ac:dyDescent="0.2">
      <c r="A125" t="s">
        <v>1377</v>
      </c>
      <c r="B125" s="302" t="s">
        <v>462</v>
      </c>
      <c r="C125" s="296">
        <v>0.2</v>
      </c>
      <c r="D125" s="317">
        <f t="shared" si="40"/>
        <v>0.19666666666666668</v>
      </c>
      <c r="E125" s="317">
        <f t="shared" si="40"/>
        <v>0.19333333333333336</v>
      </c>
      <c r="F125" s="317">
        <f t="shared" si="40"/>
        <v>0.19000000000000003</v>
      </c>
      <c r="G125" s="317">
        <f t="shared" si="40"/>
        <v>0.1866666666666667</v>
      </c>
      <c r="H125" s="317">
        <f t="shared" si="40"/>
        <v>0.18333333333333338</v>
      </c>
      <c r="I125" s="317">
        <f t="shared" si="40"/>
        <v>0.18000000000000005</v>
      </c>
      <c r="J125" s="317">
        <f t="shared" si="40"/>
        <v>0.17666666666666672</v>
      </c>
      <c r="K125" s="317">
        <f t="shared" si="40"/>
        <v>0.17333333333333339</v>
      </c>
      <c r="L125" s="317">
        <f t="shared" si="40"/>
        <v>0.17000000000000007</v>
      </c>
      <c r="M125" s="317">
        <f t="shared" si="40"/>
        <v>0.16666666666666674</v>
      </c>
      <c r="N125" s="317">
        <f t="shared" si="40"/>
        <v>0.16333333333333341</v>
      </c>
      <c r="O125" s="317">
        <f t="shared" si="40"/>
        <v>0.16000000000000009</v>
      </c>
      <c r="P125" s="317">
        <f t="shared" si="40"/>
        <v>0.15666666666666676</v>
      </c>
      <c r="Q125" s="317">
        <f t="shared" si="40"/>
        <v>0.15333333333333343</v>
      </c>
      <c r="R125" s="317">
        <f t="shared" si="40"/>
        <v>0.15000000000000011</v>
      </c>
      <c r="S125" s="317">
        <f t="shared" si="40"/>
        <v>0.14666666666666678</v>
      </c>
      <c r="T125" s="317">
        <f t="shared" si="41"/>
        <v>0.14333333333333345</v>
      </c>
      <c r="U125" s="317">
        <f t="shared" si="41"/>
        <v>0.14000000000000012</v>
      </c>
      <c r="V125" s="317">
        <f t="shared" si="41"/>
        <v>0.1366666666666668</v>
      </c>
      <c r="W125" s="317">
        <f t="shared" si="41"/>
        <v>0.13333333333333347</v>
      </c>
      <c r="X125" s="317">
        <f t="shared" si="41"/>
        <v>0.13000000000000014</v>
      </c>
      <c r="Y125" s="317">
        <f t="shared" si="41"/>
        <v>0.12666666666666682</v>
      </c>
      <c r="Z125" s="317">
        <f t="shared" si="41"/>
        <v>0.12333333333333349</v>
      </c>
      <c r="AA125" s="317">
        <f t="shared" si="41"/>
        <v>0.12000000000000016</v>
      </c>
      <c r="AB125" s="317">
        <f t="shared" si="41"/>
        <v>0.11666666666666684</v>
      </c>
      <c r="AC125" s="317">
        <f t="shared" si="41"/>
        <v>0.11333333333333351</v>
      </c>
      <c r="AD125" s="317">
        <f t="shared" si="41"/>
        <v>0.11000000000000018</v>
      </c>
      <c r="AE125" s="317">
        <f t="shared" si="41"/>
        <v>0.10666666666666685</v>
      </c>
      <c r="AF125" s="317">
        <f t="shared" si="41"/>
        <v>0.10333333333333353</v>
      </c>
      <c r="AG125" s="296">
        <v>0.1</v>
      </c>
      <c r="AI125" s="316"/>
      <c r="AJ125" s="211" t="s">
        <v>1363</v>
      </c>
    </row>
    <row r="126" spans="1:36" s="1" customFormat="1" outlineLevel="1" x14ac:dyDescent="0.2">
      <c r="A126" t="s">
        <v>1378</v>
      </c>
      <c r="B126" s="302" t="s">
        <v>462</v>
      </c>
      <c r="C126" s="296">
        <v>0.95</v>
      </c>
      <c r="D126" s="317">
        <f t="shared" si="40"/>
        <v>0.94866666666666666</v>
      </c>
      <c r="E126" s="317">
        <f t="shared" si="40"/>
        <v>0.94733333333333336</v>
      </c>
      <c r="F126" s="317">
        <f t="shared" si="40"/>
        <v>0.94600000000000006</v>
      </c>
      <c r="G126" s="317">
        <f t="shared" si="40"/>
        <v>0.94466666666666677</v>
      </c>
      <c r="H126" s="317">
        <f t="shared" si="40"/>
        <v>0.94333333333333347</v>
      </c>
      <c r="I126" s="317">
        <f t="shared" si="40"/>
        <v>0.94200000000000017</v>
      </c>
      <c r="J126" s="317">
        <f t="shared" si="40"/>
        <v>0.94066666666666687</v>
      </c>
      <c r="K126" s="317">
        <f t="shared" si="40"/>
        <v>0.93933333333333358</v>
      </c>
      <c r="L126" s="317">
        <f t="shared" si="40"/>
        <v>0.93800000000000028</v>
      </c>
      <c r="M126" s="317">
        <f t="shared" si="40"/>
        <v>0.93666666666666698</v>
      </c>
      <c r="N126" s="317">
        <f t="shared" si="40"/>
        <v>0.93533333333333368</v>
      </c>
      <c r="O126" s="317">
        <f t="shared" si="40"/>
        <v>0.93400000000000039</v>
      </c>
      <c r="P126" s="317">
        <f t="shared" si="40"/>
        <v>0.93266666666666709</v>
      </c>
      <c r="Q126" s="317">
        <f t="shared" si="40"/>
        <v>0.93133333333333379</v>
      </c>
      <c r="R126" s="317">
        <f t="shared" si="40"/>
        <v>0.93000000000000049</v>
      </c>
      <c r="S126" s="317">
        <f t="shared" si="40"/>
        <v>0.9286666666666672</v>
      </c>
      <c r="T126" s="317">
        <f t="shared" si="41"/>
        <v>0.9273333333333339</v>
      </c>
      <c r="U126" s="317">
        <f t="shared" si="41"/>
        <v>0.9260000000000006</v>
      </c>
      <c r="V126" s="317">
        <f t="shared" si="41"/>
        <v>0.9246666666666673</v>
      </c>
      <c r="W126" s="317">
        <f t="shared" si="41"/>
        <v>0.92333333333333401</v>
      </c>
      <c r="X126" s="317">
        <f t="shared" si="41"/>
        <v>0.92200000000000071</v>
      </c>
      <c r="Y126" s="317">
        <f t="shared" si="41"/>
        <v>0.92066666666666741</v>
      </c>
      <c r="Z126" s="317">
        <f t="shared" si="41"/>
        <v>0.91933333333333411</v>
      </c>
      <c r="AA126" s="317">
        <f t="shared" si="41"/>
        <v>0.91800000000000082</v>
      </c>
      <c r="AB126" s="317">
        <f t="shared" si="41"/>
        <v>0.91666666666666752</v>
      </c>
      <c r="AC126" s="317">
        <f t="shared" si="41"/>
        <v>0.91533333333333422</v>
      </c>
      <c r="AD126" s="317">
        <f t="shared" si="41"/>
        <v>0.91400000000000092</v>
      </c>
      <c r="AE126" s="317">
        <f t="shared" si="41"/>
        <v>0.91266666666666763</v>
      </c>
      <c r="AF126" s="317">
        <f t="shared" si="41"/>
        <v>0.91133333333333433</v>
      </c>
      <c r="AG126" s="296">
        <v>0.91</v>
      </c>
      <c r="AI126" s="316"/>
      <c r="AJ126" s="211" t="s">
        <v>1363</v>
      </c>
    </row>
    <row r="127" spans="1:36" s="1" customFormat="1" outlineLevel="1" x14ac:dyDescent="0.2">
      <c r="A127" t="s">
        <v>1379</v>
      </c>
      <c r="B127" s="302" t="s">
        <v>462</v>
      </c>
      <c r="C127" s="296">
        <v>0.05</v>
      </c>
      <c r="D127" s="317">
        <f t="shared" si="40"/>
        <v>5.1333333333333335E-2</v>
      </c>
      <c r="E127" s="317">
        <f t="shared" si="40"/>
        <v>5.2666666666666667E-2</v>
      </c>
      <c r="F127" s="317">
        <f t="shared" si="40"/>
        <v>5.3999999999999999E-2</v>
      </c>
      <c r="G127" s="317">
        <f t="shared" si="40"/>
        <v>5.5333333333333332E-2</v>
      </c>
      <c r="H127" s="317">
        <f t="shared" si="40"/>
        <v>5.6666666666666664E-2</v>
      </c>
      <c r="I127" s="317">
        <f t="shared" si="40"/>
        <v>5.7999999999999996E-2</v>
      </c>
      <c r="J127" s="317">
        <f t="shared" si="40"/>
        <v>5.9333333333333328E-2</v>
      </c>
      <c r="K127" s="317">
        <f t="shared" si="40"/>
        <v>6.066666666666666E-2</v>
      </c>
      <c r="L127" s="317">
        <f t="shared" si="40"/>
        <v>6.1999999999999993E-2</v>
      </c>
      <c r="M127" s="317">
        <f t="shared" si="40"/>
        <v>6.3333333333333325E-2</v>
      </c>
      <c r="N127" s="317">
        <f t="shared" si="40"/>
        <v>6.4666666666666664E-2</v>
      </c>
      <c r="O127" s="317">
        <f t="shared" si="40"/>
        <v>6.6000000000000003E-2</v>
      </c>
      <c r="P127" s="317">
        <f t="shared" si="40"/>
        <v>6.7333333333333342E-2</v>
      </c>
      <c r="Q127" s="317">
        <f t="shared" si="40"/>
        <v>6.8666666666666681E-2</v>
      </c>
      <c r="R127" s="317">
        <f t="shared" si="40"/>
        <v>7.0000000000000021E-2</v>
      </c>
      <c r="S127" s="317">
        <f t="shared" si="40"/>
        <v>7.133333333333336E-2</v>
      </c>
      <c r="T127" s="317">
        <f t="shared" si="41"/>
        <v>7.2666666666666699E-2</v>
      </c>
      <c r="U127" s="317">
        <f t="shared" si="41"/>
        <v>7.4000000000000038E-2</v>
      </c>
      <c r="V127" s="317">
        <f t="shared" si="41"/>
        <v>7.5333333333333377E-2</v>
      </c>
      <c r="W127" s="317">
        <f t="shared" si="41"/>
        <v>7.6666666666666716E-2</v>
      </c>
      <c r="X127" s="317">
        <f t="shared" si="41"/>
        <v>7.8000000000000055E-2</v>
      </c>
      <c r="Y127" s="317">
        <f t="shared" si="41"/>
        <v>7.9333333333333395E-2</v>
      </c>
      <c r="Z127" s="317">
        <f t="shared" si="41"/>
        <v>8.0666666666666734E-2</v>
      </c>
      <c r="AA127" s="317">
        <f t="shared" si="41"/>
        <v>8.2000000000000073E-2</v>
      </c>
      <c r="AB127" s="317">
        <f t="shared" si="41"/>
        <v>8.3333333333333412E-2</v>
      </c>
      <c r="AC127" s="317">
        <f t="shared" si="41"/>
        <v>8.4666666666666751E-2</v>
      </c>
      <c r="AD127" s="317">
        <f t="shared" si="41"/>
        <v>8.600000000000009E-2</v>
      </c>
      <c r="AE127" s="317">
        <f t="shared" si="41"/>
        <v>8.7333333333333429E-2</v>
      </c>
      <c r="AF127" s="317">
        <f t="shared" si="41"/>
        <v>8.8666666666666769E-2</v>
      </c>
      <c r="AG127" s="296">
        <v>0.09</v>
      </c>
      <c r="AI127" s="316"/>
      <c r="AJ127" s="211" t="s">
        <v>1363</v>
      </c>
    </row>
    <row r="128" spans="1:36" s="1" customFormat="1" outlineLevel="1" x14ac:dyDescent="0.2">
      <c r="A128" t="s">
        <v>1380</v>
      </c>
      <c r="B128" s="302"/>
      <c r="C128" s="296">
        <v>0.27</v>
      </c>
      <c r="D128" s="317">
        <f t="shared" si="40"/>
        <v>0.26600000000000001</v>
      </c>
      <c r="E128" s="317">
        <f t="shared" si="40"/>
        <v>0.26200000000000001</v>
      </c>
      <c r="F128" s="317">
        <f t="shared" si="40"/>
        <v>0.25800000000000001</v>
      </c>
      <c r="G128" s="317">
        <f t="shared" si="40"/>
        <v>0.254</v>
      </c>
      <c r="H128" s="317">
        <f t="shared" si="40"/>
        <v>0.25</v>
      </c>
      <c r="I128" s="317">
        <f t="shared" si="40"/>
        <v>0.246</v>
      </c>
      <c r="J128" s="317">
        <f t="shared" si="40"/>
        <v>0.24199999999999999</v>
      </c>
      <c r="K128" s="317">
        <f t="shared" si="40"/>
        <v>0.23799999999999999</v>
      </c>
      <c r="L128" s="317">
        <f t="shared" si="40"/>
        <v>0.23399999999999999</v>
      </c>
      <c r="M128" s="317">
        <f t="shared" si="40"/>
        <v>0.22999999999999998</v>
      </c>
      <c r="N128" s="317">
        <f t="shared" si="40"/>
        <v>0.22599999999999998</v>
      </c>
      <c r="O128" s="317">
        <f t="shared" si="40"/>
        <v>0.22199999999999998</v>
      </c>
      <c r="P128" s="317">
        <f t="shared" si="40"/>
        <v>0.21799999999999997</v>
      </c>
      <c r="Q128" s="317">
        <f t="shared" si="40"/>
        <v>0.21399999999999997</v>
      </c>
      <c r="R128" s="317">
        <f t="shared" si="40"/>
        <v>0.20999999999999996</v>
      </c>
      <c r="S128" s="317">
        <f t="shared" si="40"/>
        <v>0.20599999999999996</v>
      </c>
      <c r="T128" s="317">
        <f t="shared" si="41"/>
        <v>0.20199999999999996</v>
      </c>
      <c r="U128" s="317">
        <f t="shared" si="41"/>
        <v>0.19799999999999995</v>
      </c>
      <c r="V128" s="317">
        <f t="shared" si="41"/>
        <v>0.19399999999999995</v>
      </c>
      <c r="W128" s="317">
        <f t="shared" si="41"/>
        <v>0.18999999999999995</v>
      </c>
      <c r="X128" s="317">
        <f t="shared" si="41"/>
        <v>0.18599999999999994</v>
      </c>
      <c r="Y128" s="317">
        <f t="shared" si="41"/>
        <v>0.18199999999999994</v>
      </c>
      <c r="Z128" s="317">
        <f t="shared" si="41"/>
        <v>0.17799999999999994</v>
      </c>
      <c r="AA128" s="317">
        <f t="shared" si="41"/>
        <v>0.17399999999999993</v>
      </c>
      <c r="AB128" s="317">
        <f t="shared" si="41"/>
        <v>0.16999999999999993</v>
      </c>
      <c r="AC128" s="317">
        <f t="shared" si="41"/>
        <v>0.16599999999999993</v>
      </c>
      <c r="AD128" s="317">
        <f t="shared" si="41"/>
        <v>0.16199999999999992</v>
      </c>
      <c r="AE128" s="317">
        <f t="shared" si="41"/>
        <v>0.15799999999999992</v>
      </c>
      <c r="AF128" s="317">
        <f t="shared" si="41"/>
        <v>0.15399999999999991</v>
      </c>
      <c r="AG128" s="296">
        <v>0.15</v>
      </c>
      <c r="AI128" s="316"/>
      <c r="AJ128" s="211"/>
    </row>
    <row r="129" spans="1:36" s="67" customFormat="1" outlineLevel="1" x14ac:dyDescent="0.2">
      <c r="A129" s="345" t="s">
        <v>1381</v>
      </c>
      <c r="B129" s="308" t="s">
        <v>462</v>
      </c>
      <c r="C129" s="337">
        <v>0.16</v>
      </c>
      <c r="D129" s="338">
        <f t="shared" si="40"/>
        <v>0.16533333333333333</v>
      </c>
      <c r="E129" s="338">
        <f t="shared" si="40"/>
        <v>0.17066666666666666</v>
      </c>
      <c r="F129" s="338">
        <f t="shared" si="40"/>
        <v>0.17599999999999999</v>
      </c>
      <c r="G129" s="338">
        <f t="shared" si="40"/>
        <v>0.18133333333333332</v>
      </c>
      <c r="H129" s="338">
        <f t="shared" si="40"/>
        <v>0.18666666666666665</v>
      </c>
      <c r="I129" s="338">
        <f t="shared" si="40"/>
        <v>0.19199999999999998</v>
      </c>
      <c r="J129" s="338">
        <f t="shared" si="40"/>
        <v>0.19733333333333331</v>
      </c>
      <c r="K129" s="338">
        <f t="shared" si="40"/>
        <v>0.20266666666666663</v>
      </c>
      <c r="L129" s="338">
        <f t="shared" si="40"/>
        <v>0.20799999999999996</v>
      </c>
      <c r="M129" s="338">
        <f t="shared" si="40"/>
        <v>0.21333333333333329</v>
      </c>
      <c r="N129" s="338">
        <f t="shared" si="40"/>
        <v>0.21866666666666662</v>
      </c>
      <c r="O129" s="338">
        <f t="shared" si="40"/>
        <v>0.22399999999999995</v>
      </c>
      <c r="P129" s="338">
        <f t="shared" si="40"/>
        <v>0.22933333333333328</v>
      </c>
      <c r="Q129" s="338">
        <f t="shared" si="40"/>
        <v>0.23466666666666661</v>
      </c>
      <c r="R129" s="338">
        <f t="shared" si="40"/>
        <v>0.23999999999999994</v>
      </c>
      <c r="S129" s="338">
        <f t="shared" si="40"/>
        <v>0.24533333333333326</v>
      </c>
      <c r="T129" s="338">
        <f t="shared" si="41"/>
        <v>0.25066666666666659</v>
      </c>
      <c r="U129" s="338">
        <f t="shared" si="41"/>
        <v>0.25599999999999995</v>
      </c>
      <c r="V129" s="338">
        <f t="shared" si="41"/>
        <v>0.26133333333333331</v>
      </c>
      <c r="W129" s="338">
        <f t="shared" si="41"/>
        <v>0.26666666666666666</v>
      </c>
      <c r="X129" s="338">
        <f t="shared" si="41"/>
        <v>0.27200000000000002</v>
      </c>
      <c r="Y129" s="338">
        <f t="shared" si="41"/>
        <v>0.27733333333333338</v>
      </c>
      <c r="Z129" s="338">
        <f t="shared" si="41"/>
        <v>0.28266666666666673</v>
      </c>
      <c r="AA129" s="338">
        <f t="shared" si="41"/>
        <v>0.28800000000000009</v>
      </c>
      <c r="AB129" s="338">
        <f t="shared" si="41"/>
        <v>0.29333333333333345</v>
      </c>
      <c r="AC129" s="338">
        <f t="shared" si="41"/>
        <v>0.2986666666666668</v>
      </c>
      <c r="AD129" s="338">
        <f t="shared" si="41"/>
        <v>0.30400000000000016</v>
      </c>
      <c r="AE129" s="338">
        <f t="shared" si="41"/>
        <v>0.30933333333333352</v>
      </c>
      <c r="AF129" s="338">
        <f t="shared" si="41"/>
        <v>0.31466666666666687</v>
      </c>
      <c r="AG129" s="337">
        <v>0.32</v>
      </c>
      <c r="AI129" s="337"/>
      <c r="AJ129" s="339" t="s">
        <v>1363</v>
      </c>
    </row>
    <row r="130" spans="1:36" outlineLevel="1" x14ac:dyDescent="0.2">
      <c r="A130" s="346" t="s">
        <v>1382</v>
      </c>
      <c r="B130" s="302" t="s">
        <v>462</v>
      </c>
      <c r="C130" s="296">
        <v>0.37</v>
      </c>
      <c r="D130" s="317">
        <f t="shared" si="40"/>
        <v>0.37166666666666665</v>
      </c>
      <c r="E130" s="317">
        <f t="shared" si="40"/>
        <v>0.37333333333333329</v>
      </c>
      <c r="F130" s="317">
        <f t="shared" si="40"/>
        <v>0.37499999999999994</v>
      </c>
      <c r="G130" s="317">
        <f t="shared" si="40"/>
        <v>0.37666666666666659</v>
      </c>
      <c r="H130" s="317">
        <f t="shared" si="40"/>
        <v>0.37833333333333324</v>
      </c>
      <c r="I130" s="317">
        <f t="shared" si="40"/>
        <v>0.37999999999999989</v>
      </c>
      <c r="J130" s="317">
        <f t="shared" si="40"/>
        <v>0.38166666666666654</v>
      </c>
      <c r="K130" s="317">
        <f t="shared" si="40"/>
        <v>0.38333333333333319</v>
      </c>
      <c r="L130" s="317">
        <f t="shared" si="40"/>
        <v>0.38499999999999984</v>
      </c>
      <c r="M130" s="317">
        <f t="shared" si="40"/>
        <v>0.38666666666666649</v>
      </c>
      <c r="N130" s="317">
        <f t="shared" si="40"/>
        <v>0.38833333333333314</v>
      </c>
      <c r="O130" s="317">
        <f t="shared" si="40"/>
        <v>0.38999999999999979</v>
      </c>
      <c r="P130" s="317">
        <f t="shared" si="40"/>
        <v>0.39166666666666644</v>
      </c>
      <c r="Q130" s="317">
        <f t="shared" si="40"/>
        <v>0.39333333333333309</v>
      </c>
      <c r="R130" s="317">
        <f t="shared" si="40"/>
        <v>0.39499999999999974</v>
      </c>
      <c r="S130" s="317">
        <f t="shared" si="40"/>
        <v>0.39666666666666639</v>
      </c>
      <c r="T130" s="317">
        <f t="shared" si="41"/>
        <v>0.39833333333333304</v>
      </c>
      <c r="U130" s="317">
        <f t="shared" si="41"/>
        <v>0.39999999999999969</v>
      </c>
      <c r="V130" s="317">
        <f t="shared" si="41"/>
        <v>0.40166666666666634</v>
      </c>
      <c r="W130" s="317">
        <f t="shared" si="41"/>
        <v>0.40333333333333299</v>
      </c>
      <c r="X130" s="317">
        <f t="shared" si="41"/>
        <v>0.40499999999999964</v>
      </c>
      <c r="Y130" s="317">
        <f t="shared" si="41"/>
        <v>0.40666666666666629</v>
      </c>
      <c r="Z130" s="317">
        <f t="shared" si="41"/>
        <v>0.40833333333333294</v>
      </c>
      <c r="AA130" s="317">
        <f t="shared" si="41"/>
        <v>0.40999999999999959</v>
      </c>
      <c r="AB130" s="317">
        <f t="shared" si="41"/>
        <v>0.41166666666666624</v>
      </c>
      <c r="AC130" s="317">
        <f t="shared" si="41"/>
        <v>0.41333333333333289</v>
      </c>
      <c r="AD130" s="317">
        <f t="shared" si="41"/>
        <v>0.41499999999999954</v>
      </c>
      <c r="AE130" s="317">
        <f t="shared" si="41"/>
        <v>0.41666666666666619</v>
      </c>
      <c r="AF130" s="317">
        <f t="shared" si="41"/>
        <v>0.41833333333333284</v>
      </c>
      <c r="AG130" s="296">
        <v>0.42</v>
      </c>
      <c r="AI130" s="296"/>
      <c r="AJ130" s="211" t="s">
        <v>1363</v>
      </c>
    </row>
    <row r="131" spans="1:36" outlineLevel="1" x14ac:dyDescent="0.2">
      <c r="A131" s="346" t="s">
        <v>1383</v>
      </c>
      <c r="B131" s="302" t="s">
        <v>462</v>
      </c>
      <c r="C131" s="296">
        <v>0.08</v>
      </c>
      <c r="D131" s="317">
        <f t="shared" si="40"/>
        <v>7.7666666666666662E-2</v>
      </c>
      <c r="E131" s="317">
        <f t="shared" si="40"/>
        <v>7.5333333333333322E-2</v>
      </c>
      <c r="F131" s="317">
        <f t="shared" si="40"/>
        <v>7.2999999999999982E-2</v>
      </c>
      <c r="G131" s="317">
        <f t="shared" si="40"/>
        <v>7.0666666666666642E-2</v>
      </c>
      <c r="H131" s="317">
        <f t="shared" si="40"/>
        <v>6.8333333333333302E-2</v>
      </c>
      <c r="I131" s="317">
        <f t="shared" si="40"/>
        <v>6.5999999999999961E-2</v>
      </c>
      <c r="J131" s="317">
        <f t="shared" si="40"/>
        <v>6.3666666666666621E-2</v>
      </c>
      <c r="K131" s="317">
        <f t="shared" si="40"/>
        <v>6.1333333333333288E-2</v>
      </c>
      <c r="L131" s="317">
        <f t="shared" si="40"/>
        <v>5.8999999999999955E-2</v>
      </c>
      <c r="M131" s="317">
        <f t="shared" si="40"/>
        <v>5.6666666666666622E-2</v>
      </c>
      <c r="N131" s="317">
        <f t="shared" si="40"/>
        <v>5.4333333333333289E-2</v>
      </c>
      <c r="O131" s="317">
        <f t="shared" si="40"/>
        <v>5.1999999999999956E-2</v>
      </c>
      <c r="P131" s="317">
        <f t="shared" si="40"/>
        <v>4.9666666666666623E-2</v>
      </c>
      <c r="Q131" s="317">
        <f t="shared" si="40"/>
        <v>4.733333333333329E-2</v>
      </c>
      <c r="R131" s="317">
        <f t="shared" si="40"/>
        <v>4.4999999999999957E-2</v>
      </c>
      <c r="S131" s="317">
        <f t="shared" si="40"/>
        <v>4.2666666666666624E-2</v>
      </c>
      <c r="T131" s="317">
        <f t="shared" si="41"/>
        <v>4.0333333333333291E-2</v>
      </c>
      <c r="U131" s="317">
        <f t="shared" si="41"/>
        <v>3.7999999999999957E-2</v>
      </c>
      <c r="V131" s="317">
        <f t="shared" si="41"/>
        <v>3.5666666666666624E-2</v>
      </c>
      <c r="W131" s="317">
        <f t="shared" si="41"/>
        <v>3.3333333333333291E-2</v>
      </c>
      <c r="X131" s="317">
        <f t="shared" si="41"/>
        <v>3.0999999999999958E-2</v>
      </c>
      <c r="Y131" s="317">
        <f t="shared" si="41"/>
        <v>2.8666666666666625E-2</v>
      </c>
      <c r="Z131" s="317">
        <f t="shared" si="41"/>
        <v>2.6333333333333292E-2</v>
      </c>
      <c r="AA131" s="317">
        <f t="shared" si="41"/>
        <v>2.3999999999999959E-2</v>
      </c>
      <c r="AB131" s="317">
        <f t="shared" si="41"/>
        <v>2.1666666666666626E-2</v>
      </c>
      <c r="AC131" s="317">
        <f t="shared" si="41"/>
        <v>1.9333333333333293E-2</v>
      </c>
      <c r="AD131" s="317">
        <f t="shared" si="41"/>
        <v>1.699999999999996E-2</v>
      </c>
      <c r="AE131" s="317">
        <f t="shared" si="41"/>
        <v>1.4666666666666626E-2</v>
      </c>
      <c r="AF131" s="317">
        <f t="shared" si="41"/>
        <v>1.2333333333333293E-2</v>
      </c>
      <c r="AG131" s="296">
        <v>0.01</v>
      </c>
      <c r="AI131" s="296"/>
      <c r="AJ131" s="211" t="s">
        <v>1363</v>
      </c>
    </row>
    <row r="132" spans="1:36" outlineLevel="1" x14ac:dyDescent="0.2">
      <c r="A132" s="346" t="s">
        <v>1384</v>
      </c>
      <c r="B132" s="302" t="s">
        <v>462</v>
      </c>
      <c r="C132" s="296">
        <v>0.27</v>
      </c>
      <c r="D132" s="317">
        <f t="shared" si="40"/>
        <v>0.26633333333333337</v>
      </c>
      <c r="E132" s="317">
        <f t="shared" si="40"/>
        <v>0.26266666666666671</v>
      </c>
      <c r="F132" s="317">
        <f t="shared" si="40"/>
        <v>0.25900000000000006</v>
      </c>
      <c r="G132" s="317">
        <f t="shared" si="40"/>
        <v>0.25533333333333341</v>
      </c>
      <c r="H132" s="317">
        <f t="shared" si="40"/>
        <v>0.25166666666666676</v>
      </c>
      <c r="I132" s="317">
        <f t="shared" si="40"/>
        <v>0.24800000000000008</v>
      </c>
      <c r="J132" s="317">
        <f t="shared" si="40"/>
        <v>0.2443333333333334</v>
      </c>
      <c r="K132" s="317">
        <f t="shared" si="40"/>
        <v>0.24066666666666672</v>
      </c>
      <c r="L132" s="317">
        <f t="shared" si="40"/>
        <v>0.23700000000000004</v>
      </c>
      <c r="M132" s="317">
        <f t="shared" si="40"/>
        <v>0.23333333333333336</v>
      </c>
      <c r="N132" s="317">
        <f t="shared" si="40"/>
        <v>0.22966666666666669</v>
      </c>
      <c r="O132" s="317">
        <f t="shared" si="40"/>
        <v>0.22600000000000001</v>
      </c>
      <c r="P132" s="317">
        <f t="shared" si="40"/>
        <v>0.22233333333333333</v>
      </c>
      <c r="Q132" s="317">
        <f t="shared" si="40"/>
        <v>0.21866666666666665</v>
      </c>
      <c r="R132" s="317">
        <f t="shared" si="40"/>
        <v>0.21499999999999997</v>
      </c>
      <c r="S132" s="317">
        <f t="shared" si="40"/>
        <v>0.21133333333333329</v>
      </c>
      <c r="T132" s="317">
        <f t="shared" si="41"/>
        <v>0.20766666666666661</v>
      </c>
      <c r="U132" s="317">
        <f t="shared" si="41"/>
        <v>0.20399999999999993</v>
      </c>
      <c r="V132" s="317">
        <f t="shared" si="41"/>
        <v>0.20033333333333325</v>
      </c>
      <c r="W132" s="317">
        <f t="shared" si="41"/>
        <v>0.19666666666666657</v>
      </c>
      <c r="X132" s="317">
        <f t="shared" si="41"/>
        <v>0.19299999999999989</v>
      </c>
      <c r="Y132" s="317">
        <f t="shared" si="41"/>
        <v>0.18933333333333321</v>
      </c>
      <c r="Z132" s="317">
        <f t="shared" si="41"/>
        <v>0.18566666666666654</v>
      </c>
      <c r="AA132" s="317">
        <f t="shared" si="41"/>
        <v>0.18199999999999986</v>
      </c>
      <c r="AB132" s="317">
        <f t="shared" si="41"/>
        <v>0.17833333333333318</v>
      </c>
      <c r="AC132" s="317">
        <f t="shared" si="41"/>
        <v>0.1746666666666665</v>
      </c>
      <c r="AD132" s="317">
        <f t="shared" si="41"/>
        <v>0.17099999999999982</v>
      </c>
      <c r="AE132" s="317">
        <f t="shared" si="41"/>
        <v>0.16733333333333314</v>
      </c>
      <c r="AF132" s="317">
        <f t="shared" si="41"/>
        <v>0.16366666666666646</v>
      </c>
      <c r="AG132" s="296">
        <v>0.16</v>
      </c>
      <c r="AI132" s="296"/>
      <c r="AJ132" s="211" t="s">
        <v>1363</v>
      </c>
    </row>
    <row r="133" spans="1:36" outlineLevel="1" x14ac:dyDescent="0.2">
      <c r="A133" s="346" t="s">
        <v>1385</v>
      </c>
      <c r="B133" s="302" t="s">
        <v>462</v>
      </c>
      <c r="C133" s="296">
        <v>7.0000000000000007E-2</v>
      </c>
      <c r="D133" s="317">
        <f t="shared" si="40"/>
        <v>6.9666666666666668E-2</v>
      </c>
      <c r="E133" s="317">
        <f t="shared" si="40"/>
        <v>6.933333333333333E-2</v>
      </c>
      <c r="F133" s="317">
        <f t="shared" si="40"/>
        <v>6.8999999999999992E-2</v>
      </c>
      <c r="G133" s="317">
        <f t="shared" si="40"/>
        <v>6.8666666666666654E-2</v>
      </c>
      <c r="H133" s="317">
        <f t="shared" si="40"/>
        <v>6.8333333333333315E-2</v>
      </c>
      <c r="I133" s="317">
        <f t="shared" si="40"/>
        <v>6.7999999999999977E-2</v>
      </c>
      <c r="J133" s="317">
        <f t="shared" si="40"/>
        <v>6.7666666666666639E-2</v>
      </c>
      <c r="K133" s="317">
        <f t="shared" si="40"/>
        <v>6.7333333333333301E-2</v>
      </c>
      <c r="L133" s="317">
        <f t="shared" si="40"/>
        <v>6.6999999999999962E-2</v>
      </c>
      <c r="M133" s="317">
        <f t="shared" si="40"/>
        <v>6.6666666666666624E-2</v>
      </c>
      <c r="N133" s="317">
        <f t="shared" si="40"/>
        <v>6.6333333333333286E-2</v>
      </c>
      <c r="O133" s="317">
        <f t="shared" si="40"/>
        <v>6.5999999999999948E-2</v>
      </c>
      <c r="P133" s="317">
        <f t="shared" si="40"/>
        <v>6.5666666666666609E-2</v>
      </c>
      <c r="Q133" s="317">
        <f t="shared" si="40"/>
        <v>6.5333333333333271E-2</v>
      </c>
      <c r="R133" s="317">
        <f t="shared" si="40"/>
        <v>6.4999999999999933E-2</v>
      </c>
      <c r="S133" s="317">
        <f t="shared" ref="S133:AF133" si="42">-($C133-$AG133)/30+R133</f>
        <v>6.4666666666666595E-2</v>
      </c>
      <c r="T133" s="317">
        <f t="shared" si="42"/>
        <v>6.4333333333333256E-2</v>
      </c>
      <c r="U133" s="317">
        <f t="shared" si="42"/>
        <v>6.3999999999999918E-2</v>
      </c>
      <c r="V133" s="317">
        <f t="shared" si="42"/>
        <v>6.366666666666658E-2</v>
      </c>
      <c r="W133" s="317">
        <f t="shared" si="42"/>
        <v>6.3333333333333242E-2</v>
      </c>
      <c r="X133" s="317">
        <f t="shared" si="42"/>
        <v>6.2999999999999903E-2</v>
      </c>
      <c r="Y133" s="317">
        <f t="shared" si="42"/>
        <v>6.2666666666666565E-2</v>
      </c>
      <c r="Z133" s="317">
        <f t="shared" si="42"/>
        <v>6.2333333333333234E-2</v>
      </c>
      <c r="AA133" s="317">
        <f t="shared" si="42"/>
        <v>6.1999999999999902E-2</v>
      </c>
      <c r="AB133" s="317">
        <f t="shared" si="42"/>
        <v>6.1666666666666571E-2</v>
      </c>
      <c r="AC133" s="317">
        <f t="shared" si="42"/>
        <v>6.133333333333324E-2</v>
      </c>
      <c r="AD133" s="317">
        <f t="shared" si="42"/>
        <v>6.0999999999999908E-2</v>
      </c>
      <c r="AE133" s="317">
        <f t="shared" si="42"/>
        <v>6.0666666666666577E-2</v>
      </c>
      <c r="AF133" s="317">
        <f t="shared" si="42"/>
        <v>6.0333333333333246E-2</v>
      </c>
      <c r="AG133" s="296">
        <v>0.06</v>
      </c>
      <c r="AI133" s="296"/>
      <c r="AJ133" s="211" t="s">
        <v>1363</v>
      </c>
    </row>
    <row r="134" spans="1:36" s="68" customFormat="1" outlineLevel="1" x14ac:dyDescent="0.2">
      <c r="A134" s="347" t="s">
        <v>1386</v>
      </c>
      <c r="B134" s="312" t="s">
        <v>462</v>
      </c>
      <c r="C134" s="314">
        <v>0.05</v>
      </c>
      <c r="D134" s="340">
        <f t="shared" ref="D134:AF134" si="43">-($C134-$AG134)/30+C134</f>
        <v>4.9333333333333333E-2</v>
      </c>
      <c r="E134" s="340">
        <f t="shared" si="43"/>
        <v>4.8666666666666664E-2</v>
      </c>
      <c r="F134" s="340">
        <f t="shared" si="43"/>
        <v>4.7999999999999994E-2</v>
      </c>
      <c r="G134" s="340">
        <f t="shared" si="43"/>
        <v>4.7333333333333324E-2</v>
      </c>
      <c r="H134" s="340">
        <f t="shared" si="43"/>
        <v>4.6666666666666655E-2</v>
      </c>
      <c r="I134" s="340">
        <f t="shared" si="43"/>
        <v>4.5999999999999985E-2</v>
      </c>
      <c r="J134" s="340">
        <f t="shared" si="43"/>
        <v>4.5333333333333316E-2</v>
      </c>
      <c r="K134" s="340">
        <f t="shared" si="43"/>
        <v>4.4666666666666646E-2</v>
      </c>
      <c r="L134" s="340">
        <f t="shared" si="43"/>
        <v>4.3999999999999977E-2</v>
      </c>
      <c r="M134" s="340">
        <f t="shared" si="43"/>
        <v>4.3333333333333307E-2</v>
      </c>
      <c r="N134" s="340">
        <f t="shared" si="43"/>
        <v>4.2666666666666637E-2</v>
      </c>
      <c r="O134" s="340">
        <f t="shared" si="43"/>
        <v>4.1999999999999968E-2</v>
      </c>
      <c r="P134" s="340">
        <f t="shared" si="43"/>
        <v>4.1333333333333298E-2</v>
      </c>
      <c r="Q134" s="340">
        <f t="shared" si="43"/>
        <v>4.0666666666666629E-2</v>
      </c>
      <c r="R134" s="340">
        <f t="shared" si="43"/>
        <v>3.9999999999999959E-2</v>
      </c>
      <c r="S134" s="340">
        <f t="shared" si="43"/>
        <v>3.933333333333329E-2</v>
      </c>
      <c r="T134" s="340">
        <f t="shared" si="43"/>
        <v>3.866666666666662E-2</v>
      </c>
      <c r="U134" s="340">
        <f t="shared" si="43"/>
        <v>3.799999999999995E-2</v>
      </c>
      <c r="V134" s="340">
        <f t="shared" si="43"/>
        <v>3.7333333333333281E-2</v>
      </c>
      <c r="W134" s="340">
        <f t="shared" si="43"/>
        <v>3.6666666666666611E-2</v>
      </c>
      <c r="X134" s="340">
        <f t="shared" si="43"/>
        <v>3.5999999999999942E-2</v>
      </c>
      <c r="Y134" s="340">
        <f t="shared" si="43"/>
        <v>3.5333333333333272E-2</v>
      </c>
      <c r="Z134" s="340">
        <f t="shared" si="43"/>
        <v>3.4666666666666603E-2</v>
      </c>
      <c r="AA134" s="340">
        <f t="shared" si="43"/>
        <v>3.3999999999999933E-2</v>
      </c>
      <c r="AB134" s="340">
        <f t="shared" si="43"/>
        <v>3.3333333333333263E-2</v>
      </c>
      <c r="AC134" s="340">
        <f t="shared" si="43"/>
        <v>3.2666666666666594E-2</v>
      </c>
      <c r="AD134" s="340">
        <f t="shared" si="43"/>
        <v>3.1999999999999924E-2</v>
      </c>
      <c r="AE134" s="340">
        <f t="shared" si="43"/>
        <v>3.1333333333333255E-2</v>
      </c>
      <c r="AF134" s="340">
        <f t="shared" si="43"/>
        <v>3.0666666666666589E-2</v>
      </c>
      <c r="AG134" s="314">
        <v>0.03</v>
      </c>
      <c r="AI134" s="314"/>
      <c r="AJ134" s="341" t="s">
        <v>1363</v>
      </c>
    </row>
    <row r="135" spans="1:36" s="58" customFormat="1" outlineLevel="1" x14ac:dyDescent="0.2">
      <c r="A135" s="58" t="s">
        <v>1361</v>
      </c>
      <c r="B135" s="303"/>
      <c r="C135" s="304">
        <f>C32</f>
        <v>91.132618550548131</v>
      </c>
      <c r="D135" s="304">
        <f t="shared" ref="D135:AG135" si="44">D32</f>
        <v>94.187520588827709</v>
      </c>
      <c r="E135" s="304">
        <f t="shared" si="44"/>
        <v>97.090361356727982</v>
      </c>
      <c r="F135" s="304">
        <f t="shared" si="44"/>
        <v>99.821216818932996</v>
      </c>
      <c r="G135" s="304">
        <f t="shared" si="44"/>
        <v>102.36096024167153</v>
      </c>
      <c r="H135" s="304">
        <f t="shared" si="44"/>
        <v>104.69148533711844</v>
      </c>
      <c r="I135" s="304">
        <f t="shared" si="44"/>
        <v>107.02632892810098</v>
      </c>
      <c r="J135" s="304">
        <f t="shared" si="44"/>
        <v>109.36337703012953</v>
      </c>
      <c r="K135" s="304">
        <f t="shared" si="44"/>
        <v>111.70046198886772</v>
      </c>
      <c r="L135" s="304">
        <f t="shared" si="44"/>
        <v>114.03536529910819</v>
      </c>
      <c r="M135" s="304">
        <f t="shared" si="44"/>
        <v>116.36582061426857</v>
      </c>
      <c r="N135" s="304">
        <f t="shared" si="44"/>
        <v>118.51969709126692</v>
      </c>
      <c r="O135" s="304">
        <f t="shared" si="44"/>
        <v>120.48504894393488</v>
      </c>
      <c r="P135" s="304">
        <f t="shared" si="44"/>
        <v>122.25077413732228</v>
      </c>
      <c r="Q135" s="304">
        <f t="shared" si="44"/>
        <v>123.80671757237687</v>
      </c>
      <c r="R135" s="304">
        <f t="shared" si="44"/>
        <v>125.14376728836976</v>
      </c>
      <c r="S135" s="304">
        <f t="shared" si="44"/>
        <v>126.48141034426163</v>
      </c>
      <c r="T135" s="304">
        <f t="shared" si="44"/>
        <v>127.81934871649334</v>
      </c>
      <c r="U135" s="304">
        <f t="shared" si="44"/>
        <v>129.15728080358821</v>
      </c>
      <c r="V135" s="304">
        <f t="shared" si="44"/>
        <v>130.49490152130187</v>
      </c>
      <c r="W135" s="304">
        <f t="shared" si="44"/>
        <v>131.83190240093236</v>
      </c>
      <c r="X135" s="304">
        <f t="shared" si="44"/>
        <v>133.16943845763501</v>
      </c>
      <c r="Y135" s="304">
        <f t="shared" si="44"/>
        <v>134.50724115984161</v>
      </c>
      <c r="Z135" s="304">
        <f t="shared" si="44"/>
        <v>135.8450389413012</v>
      </c>
      <c r="AA135" s="304">
        <f t="shared" si="44"/>
        <v>137.18255727867347</v>
      </c>
      <c r="AB135" s="304">
        <f t="shared" si="44"/>
        <v>138.51951877153829</v>
      </c>
      <c r="AC135" s="304">
        <f t="shared" si="44"/>
        <v>139.85696545319368</v>
      </c>
      <c r="AD135" s="304">
        <f t="shared" si="44"/>
        <v>141.19465408701572</v>
      </c>
      <c r="AE135" s="304">
        <f t="shared" si="44"/>
        <v>142.53233883967283</v>
      </c>
      <c r="AF135" s="304">
        <f t="shared" si="44"/>
        <v>143.86977134503567</v>
      </c>
      <c r="AG135" s="304">
        <f t="shared" si="44"/>
        <v>145.20670076995904</v>
      </c>
      <c r="AI135" s="305"/>
      <c r="AJ135" s="306"/>
    </row>
    <row r="136" spans="1:36" s="58" customFormat="1" outlineLevel="1" x14ac:dyDescent="0.2">
      <c r="A136" s="307" t="s">
        <v>3</v>
      </c>
      <c r="B136" s="308" t="s">
        <v>704</v>
      </c>
      <c r="C136" s="309">
        <v>0</v>
      </c>
      <c r="D136" s="309">
        <v>0</v>
      </c>
      <c r="E136" s="309">
        <v>0</v>
      </c>
      <c r="F136" s="309">
        <v>0</v>
      </c>
      <c r="G136" s="309">
        <v>0</v>
      </c>
      <c r="H136" s="309">
        <v>0</v>
      </c>
      <c r="I136" s="309">
        <v>0</v>
      </c>
      <c r="J136" s="309">
        <v>0</v>
      </c>
      <c r="K136" s="309">
        <v>0</v>
      </c>
      <c r="L136" s="309">
        <v>0</v>
      </c>
      <c r="M136" s="309">
        <v>0</v>
      </c>
      <c r="N136" s="309">
        <v>0</v>
      </c>
      <c r="O136" s="309">
        <v>0</v>
      </c>
      <c r="P136" s="309">
        <v>0</v>
      </c>
      <c r="Q136" s="309">
        <v>0</v>
      </c>
      <c r="R136" s="309">
        <v>0</v>
      </c>
      <c r="S136" s="309">
        <v>0</v>
      </c>
      <c r="T136" s="309">
        <v>0</v>
      </c>
      <c r="U136" s="309">
        <v>0</v>
      </c>
      <c r="V136" s="309">
        <v>0</v>
      </c>
      <c r="W136" s="309">
        <v>0</v>
      </c>
      <c r="X136" s="309">
        <v>0</v>
      </c>
      <c r="Y136" s="309">
        <v>0</v>
      </c>
      <c r="Z136" s="309">
        <v>0</v>
      </c>
      <c r="AA136" s="309">
        <v>0</v>
      </c>
      <c r="AB136" s="309">
        <v>0</v>
      </c>
      <c r="AC136" s="309">
        <v>0</v>
      </c>
      <c r="AD136" s="309">
        <v>0</v>
      </c>
      <c r="AE136" s="309">
        <v>0</v>
      </c>
      <c r="AF136" s="309">
        <v>0</v>
      </c>
      <c r="AG136" s="309">
        <v>0</v>
      </c>
      <c r="AI136" s="305"/>
      <c r="AJ136" s="306"/>
    </row>
    <row r="137" spans="1:36" outlineLevel="1" x14ac:dyDescent="0.2">
      <c r="A137" s="310" t="s">
        <v>51</v>
      </c>
      <c r="B137" s="302" t="s">
        <v>704</v>
      </c>
      <c r="C137" s="249">
        <f>C104</f>
        <v>4.8226258181960828</v>
      </c>
      <c r="D137" s="249">
        <f t="shared" ref="D137:AG137" si="45">D104</f>
        <v>4.903163669359957</v>
      </c>
      <c r="E137" s="249">
        <f t="shared" si="45"/>
        <v>4.9850465026382675</v>
      </c>
      <c r="F137" s="249">
        <f t="shared" si="45"/>
        <v>5.0682967792323259</v>
      </c>
      <c r="G137" s="249">
        <f t="shared" si="45"/>
        <v>5.1529373354455057</v>
      </c>
      <c r="H137" s="249">
        <f t="shared" si="45"/>
        <v>5.2389913889474453</v>
      </c>
      <c r="I137" s="249">
        <f t="shared" si="45"/>
        <v>5.3264825451428672</v>
      </c>
      <c r="J137" s="249">
        <f t="shared" si="45"/>
        <v>5.415434803646753</v>
      </c>
      <c r="K137" s="249">
        <f t="shared" si="45"/>
        <v>5.5058725648676532</v>
      </c>
      <c r="L137" s="249">
        <f t="shared" si="45"/>
        <v>5.5978206367009431</v>
      </c>
      <c r="M137" s="249">
        <f t="shared" si="45"/>
        <v>5.6913042413338486</v>
      </c>
      <c r="N137" s="249">
        <f t="shared" si="45"/>
        <v>5.7863490221641234</v>
      </c>
      <c r="O137" s="249">
        <f t="shared" si="45"/>
        <v>5.8829810508342639</v>
      </c>
      <c r="P137" s="249">
        <f t="shared" si="45"/>
        <v>5.9812268343831958</v>
      </c>
      <c r="Q137" s="249">
        <f t="shared" si="45"/>
        <v>6.0811133225173952</v>
      </c>
      <c r="R137" s="249">
        <f t="shared" si="45"/>
        <v>6.1826679150034352</v>
      </c>
      <c r="S137" s="249">
        <f t="shared" si="45"/>
        <v>6.2859184691839918</v>
      </c>
      <c r="T137" s="249">
        <f t="shared" si="45"/>
        <v>6.3908933076193639</v>
      </c>
      <c r="U137" s="249">
        <f t="shared" si="45"/>
        <v>6.4976212258566068</v>
      </c>
      <c r="V137" s="249">
        <f t="shared" si="45"/>
        <v>6.606131500328412</v>
      </c>
      <c r="W137" s="249">
        <f t="shared" si="45"/>
        <v>6.7164538963838964</v>
      </c>
      <c r="X137" s="249">
        <f t="shared" si="45"/>
        <v>6.8286186764535071</v>
      </c>
      <c r="Y137" s="249">
        <f t="shared" si="45"/>
        <v>6.9426566083502799</v>
      </c>
      <c r="Z137" s="249">
        <f t="shared" si="45"/>
        <v>7.0585989737097288</v>
      </c>
      <c r="AA137" s="249">
        <f t="shared" si="45"/>
        <v>7.1764775765706812</v>
      </c>
      <c r="AB137" s="249">
        <f t="shared" si="45"/>
        <v>7.2963247520994114</v>
      </c>
      <c r="AC137" s="249">
        <f t="shared" si="45"/>
        <v>7.418173375459471</v>
      </c>
      <c r="AD137" s="249">
        <f t="shared" si="45"/>
        <v>7.5420568708296436</v>
      </c>
      <c r="AE137" s="249">
        <f t="shared" si="45"/>
        <v>7.6680092205724986</v>
      </c>
      <c r="AF137" s="249">
        <f t="shared" si="45"/>
        <v>7.7960649745560584</v>
      </c>
      <c r="AG137" s="249">
        <f t="shared" si="45"/>
        <v>7.9262592596311441</v>
      </c>
      <c r="AI137" s="296"/>
    </row>
    <row r="138" spans="1:36" s="68" customFormat="1" outlineLevel="1" x14ac:dyDescent="0.2">
      <c r="A138" s="311" t="s">
        <v>1387</v>
      </c>
      <c r="B138" s="312" t="s">
        <v>704</v>
      </c>
      <c r="C138" s="313">
        <f>C135-C136-C137</f>
        <v>86.309992732352043</v>
      </c>
      <c r="D138" s="313">
        <f t="shared" ref="D138:AG138" si="46">D135-D136-D137</f>
        <v>89.284356919467754</v>
      </c>
      <c r="E138" s="313">
        <f t="shared" si="46"/>
        <v>92.105314854089713</v>
      </c>
      <c r="F138" s="313">
        <f t="shared" si="46"/>
        <v>94.752920039700669</v>
      </c>
      <c r="G138" s="313">
        <f t="shared" si="46"/>
        <v>97.208022906226034</v>
      </c>
      <c r="H138" s="313">
        <f t="shared" si="46"/>
        <v>99.452493948170996</v>
      </c>
      <c r="I138" s="313">
        <f t="shared" si="46"/>
        <v>101.69984638295811</v>
      </c>
      <c r="J138" s="313">
        <f t="shared" si="46"/>
        <v>103.94794222648278</v>
      </c>
      <c r="K138" s="313">
        <f t="shared" si="46"/>
        <v>106.19458942400006</v>
      </c>
      <c r="L138" s="313">
        <f t="shared" si="46"/>
        <v>108.43754466240725</v>
      </c>
      <c r="M138" s="313">
        <f t="shared" si="46"/>
        <v>110.67451637293472</v>
      </c>
      <c r="N138" s="313">
        <f t="shared" si="46"/>
        <v>112.7333480691028</v>
      </c>
      <c r="O138" s="313">
        <f t="shared" si="46"/>
        <v>114.60206789310062</v>
      </c>
      <c r="P138" s="313">
        <f t="shared" si="46"/>
        <v>116.26954730293909</v>
      </c>
      <c r="Q138" s="313">
        <f t="shared" si="46"/>
        <v>117.72560424985947</v>
      </c>
      <c r="R138" s="313">
        <f t="shared" si="46"/>
        <v>118.96109937336632</v>
      </c>
      <c r="S138" s="313">
        <f t="shared" si="46"/>
        <v>120.19549187507764</v>
      </c>
      <c r="T138" s="313">
        <f t="shared" si="46"/>
        <v>121.42845540887397</v>
      </c>
      <c r="U138" s="313">
        <f t="shared" si="46"/>
        <v>122.6596595777316</v>
      </c>
      <c r="V138" s="313">
        <f t="shared" si="46"/>
        <v>123.88877002097345</v>
      </c>
      <c r="W138" s="313">
        <f t="shared" si="46"/>
        <v>125.11544850454847</v>
      </c>
      <c r="X138" s="313">
        <f t="shared" si="46"/>
        <v>126.34081978118151</v>
      </c>
      <c r="Y138" s="313">
        <f t="shared" si="46"/>
        <v>127.56458455149134</v>
      </c>
      <c r="Z138" s="313">
        <f t="shared" si="46"/>
        <v>128.78643996759146</v>
      </c>
      <c r="AA138" s="313">
        <f t="shared" si="46"/>
        <v>130.0060797021028</v>
      </c>
      <c r="AB138" s="313">
        <f t="shared" si="46"/>
        <v>131.22319401943886</v>
      </c>
      <c r="AC138" s="313">
        <f t="shared" si="46"/>
        <v>132.43879207773421</v>
      </c>
      <c r="AD138" s="313">
        <f t="shared" si="46"/>
        <v>133.65259721618608</v>
      </c>
      <c r="AE138" s="313">
        <f t="shared" si="46"/>
        <v>134.86432961910035</v>
      </c>
      <c r="AF138" s="313">
        <f t="shared" si="46"/>
        <v>136.07370637047961</v>
      </c>
      <c r="AG138" s="313">
        <f t="shared" si="46"/>
        <v>137.2804415103279</v>
      </c>
      <c r="AI138" s="314"/>
      <c r="AJ138" s="315"/>
    </row>
    <row r="139" spans="1:36" outlineLevel="1" x14ac:dyDescent="0.2">
      <c r="A139" s="112" t="s">
        <v>90</v>
      </c>
      <c r="B139" s="302" t="s">
        <v>704</v>
      </c>
      <c r="C139" s="230">
        <f>C108*C$138</f>
        <v>13.809598837176328</v>
      </c>
      <c r="D139" s="230">
        <f t="shared" ref="D139:AG144" si="47">D108*D$138</f>
        <v>14.470018111415074</v>
      </c>
      <c r="E139" s="230">
        <f t="shared" si="47"/>
        <v>15.117552344717923</v>
      </c>
      <c r="F139" s="230">
        <f t="shared" si="47"/>
        <v>15.747935310598249</v>
      </c>
      <c r="G139" s="230">
        <f t="shared" si="47"/>
        <v>16.356869987687631</v>
      </c>
      <c r="H139" s="230">
        <f t="shared" si="47"/>
        <v>16.940074802505123</v>
      </c>
      <c r="I139" s="230">
        <f t="shared" si="47"/>
        <v>17.533053516421976</v>
      </c>
      <c r="J139" s="230">
        <f t="shared" si="47"/>
        <v>18.135450987113693</v>
      </c>
      <c r="K139" s="230">
        <f t="shared" si="47"/>
        <v>18.746884852983474</v>
      </c>
      <c r="L139" s="230">
        <f t="shared" si="47"/>
        <v>19.366945476705929</v>
      </c>
      <c r="M139" s="230">
        <f t="shared" si="47"/>
        <v>19.995195958043535</v>
      </c>
      <c r="N139" s="230">
        <f t="shared" si="47"/>
        <v>20.600140470494047</v>
      </c>
      <c r="O139" s="230">
        <f t="shared" si="47"/>
        <v>21.178462146644989</v>
      </c>
      <c r="P139" s="230">
        <f t="shared" si="47"/>
        <v>21.726902739342542</v>
      </c>
      <c r="Q139" s="230">
        <f t="shared" si="47"/>
        <v>22.242290829606773</v>
      </c>
      <c r="R139" s="230">
        <f t="shared" si="47"/>
        <v>22.721569980312957</v>
      </c>
      <c r="S139" s="230">
        <f t="shared" si="47"/>
        <v>23.205742964681644</v>
      </c>
      <c r="T139" s="230">
        <f t="shared" si="47"/>
        <v>23.694739265451595</v>
      </c>
      <c r="U139" s="230">
        <f t="shared" si="47"/>
        <v>24.188484868728661</v>
      </c>
      <c r="V139" s="230">
        <f t="shared" si="47"/>
        <v>24.68690223951263</v>
      </c>
      <c r="W139" s="230">
        <f t="shared" si="47"/>
        <v>25.189910298915745</v>
      </c>
      <c r="X139" s="230">
        <f t="shared" si="47"/>
        <v>25.697722743492303</v>
      </c>
      <c r="Y139" s="230">
        <f t="shared" si="47"/>
        <v>26.210269972513071</v>
      </c>
      <c r="Z139" s="230">
        <f t="shared" si="47"/>
        <v>26.727479174607467</v>
      </c>
      <c r="AA139" s="230">
        <f t="shared" si="47"/>
        <v>27.249274305560728</v>
      </c>
      <c r="AB139" s="230">
        <f t="shared" si="47"/>
        <v>27.775576067447876</v>
      </c>
      <c r="AC139" s="230">
        <f t="shared" si="47"/>
        <v>28.306584493414373</v>
      </c>
      <c r="AD139" s="230">
        <f t="shared" si="47"/>
        <v>28.842230479252937</v>
      </c>
      <c r="AE139" s="230">
        <f t="shared" si="47"/>
        <v>29.382441946347974</v>
      </c>
      <c r="AF139" s="230">
        <f t="shared" si="47"/>
        <v>29.927143821080794</v>
      </c>
      <c r="AG139" s="230">
        <f t="shared" si="47"/>
        <v>30.476258015292796</v>
      </c>
      <c r="AI139" s="214"/>
    </row>
    <row r="140" spans="1:36" outlineLevel="1" x14ac:dyDescent="0.2">
      <c r="A140" s="112" t="s">
        <v>33</v>
      </c>
      <c r="B140" s="302" t="s">
        <v>704</v>
      </c>
      <c r="C140" s="230">
        <f t="shared" ref="C140:R144" si="48">C109*C$138</f>
        <v>31.934697310970254</v>
      </c>
      <c r="D140" s="230">
        <f t="shared" si="48"/>
        <v>32.383436254690956</v>
      </c>
      <c r="E140" s="230">
        <f t="shared" si="48"/>
        <v>32.734228899143488</v>
      </c>
      <c r="F140" s="230">
        <f t="shared" si="48"/>
        <v>32.98349146581981</v>
      </c>
      <c r="G140" s="230">
        <f t="shared" si="48"/>
        <v>33.128494206441843</v>
      </c>
      <c r="H140" s="230">
        <f t="shared" si="48"/>
        <v>33.16740673171504</v>
      </c>
      <c r="I140" s="230">
        <f t="shared" si="48"/>
        <v>33.174489890120952</v>
      </c>
      <c r="J140" s="230">
        <f t="shared" si="48"/>
        <v>33.14899877602538</v>
      </c>
      <c r="K140" s="230">
        <f t="shared" si="48"/>
        <v>33.090234064518441</v>
      </c>
      <c r="L140" s="230">
        <f t="shared" si="48"/>
        <v>32.997544840770551</v>
      </c>
      <c r="M140" s="230">
        <f t="shared" si="48"/>
        <v>32.87033136276164</v>
      </c>
      <c r="N140" s="230">
        <f t="shared" si="48"/>
        <v>32.658850935619114</v>
      </c>
      <c r="O140" s="230">
        <f t="shared" si="48"/>
        <v>32.363623973011656</v>
      </c>
      <c r="P140" s="230">
        <f t="shared" si="48"/>
        <v>31.985752463038583</v>
      </c>
      <c r="Q140" s="230">
        <f t="shared" si="48"/>
        <v>31.526916818112412</v>
      </c>
      <c r="R140" s="230">
        <f t="shared" si="48"/>
        <v>30.989366386761976</v>
      </c>
      <c r="S140" s="230">
        <f t="shared" si="47"/>
        <v>30.433498542769708</v>
      </c>
      <c r="T140" s="230">
        <f t="shared" si="47"/>
        <v>29.859257185042161</v>
      </c>
      <c r="U140" s="230">
        <f t="shared" si="47"/>
        <v>29.266594775246812</v>
      </c>
      <c r="V140" s="230">
        <f t="shared" si="47"/>
        <v>28.655472505851211</v>
      </c>
      <c r="W140" s="230">
        <f t="shared" si="47"/>
        <v>28.025860465018908</v>
      </c>
      <c r="X140" s="230">
        <f t="shared" si="47"/>
        <v>27.378055646582087</v>
      </c>
      <c r="Y140" s="230">
        <f t="shared" si="47"/>
        <v>26.712024005082338</v>
      </c>
      <c r="Z140" s="230">
        <f t="shared" si="47"/>
        <v>26.027739517450289</v>
      </c>
      <c r="AA140" s="230">
        <f t="shared" si="47"/>
        <v>25.32518432596968</v>
      </c>
      <c r="AB140" s="230">
        <f t="shared" si="47"/>
        <v>24.604348878644842</v>
      </c>
      <c r="AC140" s="230">
        <f t="shared" si="47"/>
        <v>23.86547033240776</v>
      </c>
      <c r="AD140" s="230">
        <f t="shared" si="47"/>
        <v>23.108534058678629</v>
      </c>
      <c r="AE140" s="230">
        <f t="shared" si="47"/>
        <v>22.333532984923075</v>
      </c>
      <c r="AF140" s="230">
        <f t="shared" si="47"/>
        <v>21.54046771844698</v>
      </c>
      <c r="AG140" s="230">
        <f t="shared" si="47"/>
        <v>20.729346668059513</v>
      </c>
      <c r="AI140" s="214"/>
    </row>
    <row r="141" spans="1:36" outlineLevel="1" x14ac:dyDescent="0.2">
      <c r="A141" s="112" t="s">
        <v>451</v>
      </c>
      <c r="B141" s="302" t="s">
        <v>704</v>
      </c>
      <c r="C141" s="230">
        <f t="shared" si="48"/>
        <v>6.9047994185881638</v>
      </c>
      <c r="D141" s="230">
        <f t="shared" si="47"/>
        <v>7.1516769892493679</v>
      </c>
      <c r="E141" s="230">
        <f t="shared" si="47"/>
        <v>7.386846251297996</v>
      </c>
      <c r="F141" s="230">
        <f t="shared" si="47"/>
        <v>7.6086594791879643</v>
      </c>
      <c r="G141" s="230">
        <f t="shared" si="47"/>
        <v>7.8155250416605746</v>
      </c>
      <c r="H141" s="230">
        <f t="shared" si="47"/>
        <v>8.0059257628277667</v>
      </c>
      <c r="I141" s="230">
        <f t="shared" si="47"/>
        <v>8.1970076184664258</v>
      </c>
      <c r="J141" s="230">
        <f t="shared" si="47"/>
        <v>8.3885989376771626</v>
      </c>
      <c r="K141" s="230">
        <f t="shared" si="47"/>
        <v>8.580522825459207</v>
      </c>
      <c r="L141" s="230">
        <f t="shared" si="47"/>
        <v>8.7725973631887495</v>
      </c>
      <c r="M141" s="230">
        <f t="shared" si="47"/>
        <v>8.964635826207715</v>
      </c>
      <c r="N141" s="230">
        <f t="shared" si="47"/>
        <v>9.1426745284042408</v>
      </c>
      <c r="O141" s="230">
        <f t="shared" si="47"/>
        <v>9.3056879129197743</v>
      </c>
      <c r="P141" s="230">
        <f t="shared" si="47"/>
        <v>9.4527141957289516</v>
      </c>
      <c r="Q141" s="230">
        <f t="shared" si="47"/>
        <v>9.5828641859385666</v>
      </c>
      <c r="R141" s="230">
        <f t="shared" si="47"/>
        <v>9.6953295989293604</v>
      </c>
      <c r="S141" s="230">
        <f t="shared" si="47"/>
        <v>9.8079521370063407</v>
      </c>
      <c r="T141" s="230">
        <f t="shared" si="47"/>
        <v>9.9207048069050092</v>
      </c>
      <c r="U141" s="230">
        <f t="shared" si="47"/>
        <v>10.033560153458451</v>
      </c>
      <c r="V141" s="230">
        <f t="shared" si="47"/>
        <v>10.146490264717732</v>
      </c>
      <c r="W141" s="230">
        <f t="shared" si="47"/>
        <v>10.259466777372982</v>
      </c>
      <c r="X141" s="230">
        <f t="shared" si="47"/>
        <v>10.372581304035009</v>
      </c>
      <c r="Y141" s="230">
        <f t="shared" si="47"/>
        <v>10.485808850132596</v>
      </c>
      <c r="Z141" s="230">
        <f t="shared" si="47"/>
        <v>10.599124009332787</v>
      </c>
      <c r="AA141" s="230">
        <f t="shared" si="47"/>
        <v>10.712500967453279</v>
      </c>
      <c r="AB141" s="230">
        <f t="shared" si="47"/>
        <v>10.825913506603715</v>
      </c>
      <c r="AC141" s="230">
        <f t="shared" si="47"/>
        <v>10.939444225620855</v>
      </c>
      <c r="AD141" s="230">
        <f t="shared" si="47"/>
        <v>11.053069789778599</v>
      </c>
      <c r="AE141" s="230">
        <f t="shared" si="47"/>
        <v>11.16676649246152</v>
      </c>
      <c r="AF141" s="230">
        <f t="shared" si="47"/>
        <v>11.280510258112772</v>
      </c>
      <c r="AG141" s="230">
        <f t="shared" si="47"/>
        <v>11.394276645357216</v>
      </c>
      <c r="AI141" s="214"/>
    </row>
    <row r="142" spans="1:36" outlineLevel="1" x14ac:dyDescent="0.2">
      <c r="A142" s="112" t="s">
        <v>452</v>
      </c>
      <c r="B142" s="302" t="s">
        <v>704</v>
      </c>
      <c r="C142" s="230">
        <f t="shared" si="48"/>
        <v>23.303698037735053</v>
      </c>
      <c r="D142" s="230">
        <f t="shared" si="47"/>
        <v>24.386534019937294</v>
      </c>
      <c r="E142" s="230">
        <f t="shared" si="47"/>
        <v>25.445628317023186</v>
      </c>
      <c r="F142" s="230">
        <f t="shared" si="47"/>
        <v>26.473965859092367</v>
      </c>
      <c r="G142" s="230">
        <f t="shared" si="47"/>
        <v>27.464506738439059</v>
      </c>
      <c r="H142" s="230">
        <f t="shared" si="47"/>
        <v>28.410262437860844</v>
      </c>
      <c r="I142" s="230">
        <f t="shared" si="47"/>
        <v>29.370915635398298</v>
      </c>
      <c r="J142" s="230">
        <f t="shared" si="47"/>
        <v>30.345869267317866</v>
      </c>
      <c r="K142" s="230">
        <f t="shared" si="47"/>
        <v>31.334483519374942</v>
      </c>
      <c r="L142" s="230">
        <f t="shared" si="47"/>
        <v>32.336075818329832</v>
      </c>
      <c r="M142" s="230">
        <f t="shared" si="47"/>
        <v>33.349920933710983</v>
      </c>
      <c r="N142" s="230">
        <f t="shared" si="47"/>
        <v>34.323546708772824</v>
      </c>
      <c r="O142" s="230">
        <f t="shared" si="47"/>
        <v>35.25159608391774</v>
      </c>
      <c r="P142" s="230">
        <f t="shared" si="47"/>
        <v>36.12882399859992</v>
      </c>
      <c r="Q142" s="230">
        <f t="shared" si="47"/>
        <v>36.950142987222542</v>
      </c>
      <c r="R142" s="230">
        <f t="shared" si="47"/>
        <v>37.710668501357105</v>
      </c>
      <c r="S142" s="230">
        <f t="shared" si="47"/>
        <v>38.478583465608168</v>
      </c>
      <c r="T142" s="230">
        <f t="shared" si="47"/>
        <v>39.253772018508634</v>
      </c>
      <c r="U142" s="230">
        <f t="shared" si="47"/>
        <v>40.036112886171573</v>
      </c>
      <c r="V142" s="230">
        <f t="shared" si="47"/>
        <v>40.825479347578096</v>
      </c>
      <c r="W142" s="230">
        <f t="shared" si="47"/>
        <v>41.621739202513098</v>
      </c>
      <c r="X142" s="230">
        <f t="shared" si="47"/>
        <v>42.425247282520722</v>
      </c>
      <c r="Y142" s="230">
        <f t="shared" si="47"/>
        <v>43.235889857318767</v>
      </c>
      <c r="Z142" s="230">
        <f t="shared" si="47"/>
        <v>44.053548231580756</v>
      </c>
      <c r="AA142" s="230">
        <f t="shared" si="47"/>
        <v>44.878098713165848</v>
      </c>
      <c r="AB142" s="230">
        <f t="shared" si="47"/>
        <v>45.709412583437832</v>
      </c>
      <c r="AC142" s="230">
        <f t="shared" si="47"/>
        <v>46.547820788920944</v>
      </c>
      <c r="AD142" s="230">
        <f t="shared" si="47"/>
        <v>47.393210972859542</v>
      </c>
      <c r="AE142" s="230">
        <f t="shared" si="47"/>
        <v>48.245466182406119</v>
      </c>
      <c r="AF142" s="230">
        <f t="shared" si="47"/>
        <v>49.104464838893698</v>
      </c>
      <c r="AG142" s="230">
        <f t="shared" si="47"/>
        <v>49.970080709759358</v>
      </c>
      <c r="AI142" s="214"/>
    </row>
    <row r="143" spans="1:36" outlineLevel="1" x14ac:dyDescent="0.2">
      <c r="A143" s="112" t="s">
        <v>1364</v>
      </c>
      <c r="B143" s="302" t="s">
        <v>704</v>
      </c>
      <c r="C143" s="230">
        <f t="shared" si="48"/>
        <v>6.0416994912646436</v>
      </c>
      <c r="D143" s="230">
        <f t="shared" si="47"/>
        <v>6.3629985031274021</v>
      </c>
      <c r="E143" s="230">
        <f t="shared" si="47"/>
        <v>6.6807055040833072</v>
      </c>
      <c r="F143" s="230">
        <f t="shared" si="47"/>
        <v>6.9927654989299102</v>
      </c>
      <c r="G143" s="230">
        <f t="shared" si="47"/>
        <v>7.2970822528273684</v>
      </c>
      <c r="H143" s="230">
        <f t="shared" si="47"/>
        <v>7.5915403713770528</v>
      </c>
      <c r="I143" s="230">
        <f t="shared" si="47"/>
        <v>7.8919080793175498</v>
      </c>
      <c r="J143" s="230">
        <f t="shared" si="47"/>
        <v>8.1980277102619414</v>
      </c>
      <c r="K143" s="230">
        <f t="shared" si="47"/>
        <v>8.509726432509872</v>
      </c>
      <c r="L143" s="230">
        <f t="shared" si="47"/>
        <v>8.8268161355199499</v>
      </c>
      <c r="M143" s="230">
        <f t="shared" si="47"/>
        <v>9.1490933534959371</v>
      </c>
      <c r="N143" s="230">
        <f t="shared" si="47"/>
        <v>9.4620856812666947</v>
      </c>
      <c r="O143" s="230">
        <f t="shared" si="47"/>
        <v>9.764096184492173</v>
      </c>
      <c r="P143" s="230">
        <f t="shared" si="47"/>
        <v>10.053440190127466</v>
      </c>
      <c r="Q143" s="230">
        <f t="shared" si="47"/>
        <v>10.328459679521004</v>
      </c>
      <c r="R143" s="230">
        <f t="shared" si="47"/>
        <v>10.587537844229603</v>
      </c>
      <c r="S143" s="230">
        <f t="shared" si="47"/>
        <v>10.849646399923675</v>
      </c>
      <c r="T143" s="230">
        <f t="shared" si="47"/>
        <v>11.114751285092263</v>
      </c>
      <c r="U143" s="230">
        <f t="shared" si="47"/>
        <v>11.382816408813492</v>
      </c>
      <c r="V143" s="230">
        <f t="shared" si="47"/>
        <v>11.653803633306236</v>
      </c>
      <c r="W143" s="230">
        <f t="shared" si="47"/>
        <v>11.927672757433619</v>
      </c>
      <c r="X143" s="230">
        <f t="shared" si="47"/>
        <v>12.204523190862133</v>
      </c>
      <c r="Y143" s="230">
        <f t="shared" si="47"/>
        <v>12.484320674772617</v>
      </c>
      <c r="Z143" s="230">
        <f t="shared" si="47"/>
        <v>12.767029082120565</v>
      </c>
      <c r="AA143" s="230">
        <f t="shared" si="47"/>
        <v>13.052610402091119</v>
      </c>
      <c r="AB143" s="230">
        <f t="shared" si="47"/>
        <v>13.341024725309616</v>
      </c>
      <c r="AC143" s="230">
        <f t="shared" si="47"/>
        <v>13.632366331201439</v>
      </c>
      <c r="AD143" s="230">
        <f t="shared" si="47"/>
        <v>13.926600629926588</v>
      </c>
      <c r="AE143" s="230">
        <f t="shared" si="47"/>
        <v>14.223691297161114</v>
      </c>
      <c r="AF143" s="230">
        <f t="shared" si="47"/>
        <v>14.523600259942523</v>
      </c>
      <c r="AG143" s="230">
        <f t="shared" si="47"/>
        <v>14.826287683115414</v>
      </c>
      <c r="AI143" s="214"/>
    </row>
    <row r="144" spans="1:36" outlineLevel="1" x14ac:dyDescent="0.2">
      <c r="A144" s="112" t="s">
        <v>1365</v>
      </c>
      <c r="B144" s="302" t="s">
        <v>704</v>
      </c>
      <c r="C144" s="230">
        <f t="shared" si="48"/>
        <v>4.3154996366176022</v>
      </c>
      <c r="D144" s="230">
        <f t="shared" si="47"/>
        <v>4.5296930410476648</v>
      </c>
      <c r="E144" s="230">
        <f t="shared" si="47"/>
        <v>4.7403535378238182</v>
      </c>
      <c r="F144" s="230">
        <f t="shared" si="47"/>
        <v>4.9461024260723763</v>
      </c>
      <c r="G144" s="230">
        <f t="shared" si="47"/>
        <v>5.145544679169566</v>
      </c>
      <c r="H144" s="230">
        <f t="shared" si="47"/>
        <v>5.3372838418851787</v>
      </c>
      <c r="I144" s="230">
        <f t="shared" si="47"/>
        <v>5.5324716432329231</v>
      </c>
      <c r="J144" s="230">
        <f t="shared" si="47"/>
        <v>5.7309965480867531</v>
      </c>
      <c r="K144" s="230">
        <f t="shared" si="47"/>
        <v>5.9327377291541392</v>
      </c>
      <c r="L144" s="230">
        <f t="shared" si="47"/>
        <v>6.1375650278922533</v>
      </c>
      <c r="M144" s="230">
        <f t="shared" si="47"/>
        <v>6.345338938714927</v>
      </c>
      <c r="N144" s="230">
        <f t="shared" si="47"/>
        <v>6.5460497445459058</v>
      </c>
      <c r="O144" s="230">
        <f t="shared" si="47"/>
        <v>6.7386015921143203</v>
      </c>
      <c r="P144" s="230">
        <f t="shared" si="47"/>
        <v>6.9219137161016446</v>
      </c>
      <c r="Q144" s="230">
        <f t="shared" si="47"/>
        <v>7.0949297494582018</v>
      </c>
      <c r="R144" s="230">
        <f t="shared" si="47"/>
        <v>7.2566270617753501</v>
      </c>
      <c r="S144" s="230">
        <f t="shared" si="47"/>
        <v>7.4200683650881309</v>
      </c>
      <c r="T144" s="230">
        <f t="shared" si="47"/>
        <v>7.5852308478743327</v>
      </c>
      <c r="U144" s="230">
        <f t="shared" si="47"/>
        <v>7.7520904853126433</v>
      </c>
      <c r="V144" s="230">
        <f t="shared" si="47"/>
        <v>7.9206220300075758</v>
      </c>
      <c r="W144" s="230">
        <f t="shared" si="47"/>
        <v>8.0907990032941406</v>
      </c>
      <c r="X144" s="230">
        <f t="shared" si="47"/>
        <v>8.2626896136892771</v>
      </c>
      <c r="Y144" s="230">
        <f t="shared" si="47"/>
        <v>8.4362711916719686</v>
      </c>
      <c r="Z144" s="230">
        <f t="shared" si="47"/>
        <v>8.6115199524996235</v>
      </c>
      <c r="AA144" s="230">
        <f t="shared" si="47"/>
        <v>8.7884109878621572</v>
      </c>
      <c r="AB144" s="230">
        <f t="shared" si="47"/>
        <v>8.9669182579949975</v>
      </c>
      <c r="AC144" s="230">
        <f t="shared" si="47"/>
        <v>9.1471059061688518</v>
      </c>
      <c r="AD144" s="230">
        <f t="shared" si="47"/>
        <v>9.3289512856897971</v>
      </c>
      <c r="AE144" s="230">
        <f t="shared" si="47"/>
        <v>9.512430715800555</v>
      </c>
      <c r="AF144" s="230">
        <f t="shared" si="47"/>
        <v>9.6975194740028581</v>
      </c>
      <c r="AG144" s="230">
        <f t="shared" si="47"/>
        <v>9.8841917887436086</v>
      </c>
      <c r="AI144" s="214"/>
    </row>
    <row r="145" spans="1:36" s="58" customFormat="1" x14ac:dyDescent="0.2">
      <c r="A145" s="58" t="s">
        <v>1366</v>
      </c>
      <c r="B145" s="303"/>
      <c r="C145" s="304">
        <f>C50</f>
        <v>91.132618550548131</v>
      </c>
      <c r="D145" s="304">
        <f t="shared" ref="D145:AG145" si="49">D50</f>
        <v>94.009925640369033</v>
      </c>
      <c r="E145" s="304">
        <f t="shared" si="49"/>
        <v>96.724224577392761</v>
      </c>
      <c r="F145" s="304">
        <f t="shared" si="49"/>
        <v>99.25656418516968</v>
      </c>
      <c r="G145" s="304">
        <f t="shared" si="49"/>
        <v>101.58893484617747</v>
      </c>
      <c r="H145" s="304">
        <f t="shared" si="49"/>
        <v>103.70448202573117</v>
      </c>
      <c r="I145" s="304">
        <f t="shared" si="49"/>
        <v>105.6774619563805</v>
      </c>
      <c r="J145" s="304">
        <f t="shared" si="49"/>
        <v>107.63778349054913</v>
      </c>
      <c r="K145" s="304">
        <f t="shared" si="49"/>
        <v>109.58329905886137</v>
      </c>
      <c r="L145" s="304">
        <f t="shared" si="49"/>
        <v>111.51183889904262</v>
      </c>
      <c r="M145" s="304">
        <f t="shared" si="49"/>
        <v>113.42121479662013</v>
      </c>
      <c r="N145" s="304">
        <f t="shared" si="49"/>
        <v>115.00671136515768</v>
      </c>
      <c r="O145" s="304">
        <f t="shared" si="49"/>
        <v>116.41852579259779</v>
      </c>
      <c r="P145" s="304">
        <f t="shared" si="49"/>
        <v>117.55868963101017</v>
      </c>
      <c r="Q145" s="304">
        <f t="shared" si="49"/>
        <v>118.48171851567304</v>
      </c>
      <c r="R145" s="304">
        <f t="shared" si="49"/>
        <v>119.1818474369707</v>
      </c>
      <c r="S145" s="304">
        <f t="shared" si="49"/>
        <v>119.8701303998055</v>
      </c>
      <c r="T145" s="304">
        <f t="shared" si="49"/>
        <v>120.54627738246991</v>
      </c>
      <c r="U145" s="304">
        <f t="shared" si="49"/>
        <v>121.21000053116953</v>
      </c>
      <c r="V145" s="304">
        <f t="shared" si="49"/>
        <v>121.86101433235973</v>
      </c>
      <c r="W145" s="304">
        <f t="shared" si="49"/>
        <v>122.49903578537965</v>
      </c>
      <c r="X145" s="304">
        <f t="shared" si="49"/>
        <v>122.87044052064473</v>
      </c>
      <c r="Y145" s="304">
        <f t="shared" si="49"/>
        <v>123.48963720460047</v>
      </c>
      <c r="Z145" s="304">
        <f t="shared" si="49"/>
        <v>124.0584445179112</v>
      </c>
      <c r="AA145" s="304">
        <f t="shared" si="49"/>
        <v>124.61351200462097</v>
      </c>
      <c r="AB145" s="304">
        <f t="shared" si="49"/>
        <v>125.15458439293781</v>
      </c>
      <c r="AC145" s="304">
        <f t="shared" si="49"/>
        <v>125.67713123802429</v>
      </c>
      <c r="AD145" s="304">
        <f t="shared" si="49"/>
        <v>126.18628174646778</v>
      </c>
      <c r="AE145" s="304">
        <f t="shared" si="49"/>
        <v>126.68180583046174</v>
      </c>
      <c r="AF145" s="304">
        <f t="shared" si="49"/>
        <v>127.16347621757401</v>
      </c>
      <c r="AG145" s="304">
        <f t="shared" si="49"/>
        <v>127.63106857925246</v>
      </c>
      <c r="AI145" s="305"/>
      <c r="AJ145" s="306"/>
    </row>
    <row r="146" spans="1:36" s="58" customFormat="1" x14ac:dyDescent="0.2">
      <c r="A146" s="307" t="s">
        <v>3</v>
      </c>
      <c r="B146" s="308" t="s">
        <v>704</v>
      </c>
      <c r="C146" s="309">
        <f>C145-C135</f>
        <v>0</v>
      </c>
      <c r="D146" s="309">
        <f t="shared" ref="D146:AG146" si="50">D145-D135</f>
        <v>-0.17759494845867607</v>
      </c>
      <c r="E146" s="309">
        <f t="shared" si="50"/>
        <v>-0.36613677933522126</v>
      </c>
      <c r="F146" s="309">
        <f t="shared" si="50"/>
        <v>-0.5646526337633162</v>
      </c>
      <c r="G146" s="309">
        <f t="shared" si="50"/>
        <v>-0.77202539549406879</v>
      </c>
      <c r="H146" s="309">
        <f t="shared" si="50"/>
        <v>-0.98700331138726938</v>
      </c>
      <c r="I146" s="309">
        <f t="shared" si="50"/>
        <v>-1.3488669717204829</v>
      </c>
      <c r="J146" s="309">
        <f t="shared" si="50"/>
        <v>-1.7255935395804016</v>
      </c>
      <c r="K146" s="309">
        <f t="shared" si="50"/>
        <v>-2.1171629300063444</v>
      </c>
      <c r="L146" s="309">
        <f t="shared" si="50"/>
        <v>-2.5235264000655775</v>
      </c>
      <c r="M146" s="309">
        <f t="shared" si="50"/>
        <v>-2.9446058176484371</v>
      </c>
      <c r="N146" s="309">
        <f t="shared" si="50"/>
        <v>-3.5129857261092354</v>
      </c>
      <c r="O146" s="309">
        <f t="shared" si="50"/>
        <v>-4.0665231513370941</v>
      </c>
      <c r="P146" s="309">
        <f t="shared" si="50"/>
        <v>-4.6920845063121135</v>
      </c>
      <c r="Q146" s="309">
        <f t="shared" si="50"/>
        <v>-5.324999056703831</v>
      </c>
      <c r="R146" s="309">
        <f t="shared" si="50"/>
        <v>-5.9619198513990597</v>
      </c>
      <c r="S146" s="309">
        <f t="shared" si="50"/>
        <v>-6.611279944456129</v>
      </c>
      <c r="T146" s="309">
        <f t="shared" si="50"/>
        <v>-7.2730713340234274</v>
      </c>
      <c r="U146" s="309">
        <f t="shared" si="50"/>
        <v>-7.9472802724186806</v>
      </c>
      <c r="V146" s="309">
        <f t="shared" si="50"/>
        <v>-8.6338871889421398</v>
      </c>
      <c r="W146" s="309">
        <f t="shared" si="50"/>
        <v>-9.3328666155527173</v>
      </c>
      <c r="X146" s="309">
        <f t="shared" si="50"/>
        <v>-10.298997936990276</v>
      </c>
      <c r="Y146" s="309">
        <f t="shared" si="50"/>
        <v>-11.017603955241142</v>
      </c>
      <c r="Z146" s="309">
        <f t="shared" si="50"/>
        <v>-11.78659442339</v>
      </c>
      <c r="AA146" s="309">
        <f t="shared" si="50"/>
        <v>-12.569045274052499</v>
      </c>
      <c r="AB146" s="309">
        <f t="shared" si="50"/>
        <v>-13.364934378600481</v>
      </c>
      <c r="AC146" s="309">
        <f t="shared" si="50"/>
        <v>-14.179834215169393</v>
      </c>
      <c r="AD146" s="309">
        <f t="shared" si="50"/>
        <v>-15.008372340547936</v>
      </c>
      <c r="AE146" s="309">
        <f t="shared" si="50"/>
        <v>-15.850533009211091</v>
      </c>
      <c r="AF146" s="309">
        <f t="shared" si="50"/>
        <v>-16.706295127461658</v>
      </c>
      <c r="AG146" s="309">
        <f t="shared" si="50"/>
        <v>-17.575632190706585</v>
      </c>
      <c r="AI146" s="305"/>
      <c r="AJ146" s="306"/>
    </row>
    <row r="147" spans="1:36" x14ac:dyDescent="0.2">
      <c r="A147" s="310" t="s">
        <v>51</v>
      </c>
      <c r="B147" s="302" t="s">
        <v>704</v>
      </c>
      <c r="C147" s="249">
        <f>C103</f>
        <v>4.8226258181960828</v>
      </c>
      <c r="D147" s="249">
        <f t="shared" ref="D147:AG147" si="51">D103</f>
        <v>5.3423153258457976</v>
      </c>
      <c r="E147" s="249">
        <f t="shared" si="51"/>
        <v>5.880991111691559</v>
      </c>
      <c r="F147" s="249">
        <f t="shared" si="51"/>
        <v>6.4359498279922605</v>
      </c>
      <c r="G147" s="249">
        <f t="shared" si="51"/>
        <v>7.0041700145154167</v>
      </c>
      <c r="H147" s="249">
        <f t="shared" si="51"/>
        <v>7.5823362785741857</v>
      </c>
      <c r="I147" s="249">
        <f t="shared" si="51"/>
        <v>8.1669385876453848</v>
      </c>
      <c r="J147" s="249">
        <f t="shared" si="51"/>
        <v>8.7735785580571175</v>
      </c>
      <c r="K147" s="249">
        <f t="shared" si="51"/>
        <v>9.4022195651994167</v>
      </c>
      <c r="L147" s="249">
        <f t="shared" si="51"/>
        <v>10.052776426784835</v>
      </c>
      <c r="M147" s="249">
        <f t="shared" si="51"/>
        <v>10.725113966264903</v>
      </c>
      <c r="N147" s="249">
        <f t="shared" si="51"/>
        <v>11.829721736590145</v>
      </c>
      <c r="O147" s="249">
        <f t="shared" si="51"/>
        <v>12.956320937231716</v>
      </c>
      <c r="P147" s="249">
        <f t="shared" si="51"/>
        <v>14.081815871349141</v>
      </c>
      <c r="Q147" s="249">
        <f t="shared" si="51"/>
        <v>15.211006661054896</v>
      </c>
      <c r="R147" s="249">
        <f t="shared" si="51"/>
        <v>16.337493831767105</v>
      </c>
      <c r="S147" s="249">
        <f t="shared" si="51"/>
        <v>17.486159364118933</v>
      </c>
      <c r="T147" s="249">
        <f t="shared" si="51"/>
        <v>18.656539415537008</v>
      </c>
      <c r="U147" s="249">
        <f t="shared" si="51"/>
        <v>19.848140320708453</v>
      </c>
      <c r="V147" s="249">
        <f t="shared" si="51"/>
        <v>21.060438448936367</v>
      </c>
      <c r="W147" s="249">
        <f t="shared" si="51"/>
        <v>22.29288008905484</v>
      </c>
      <c r="X147" s="249">
        <f t="shared" si="51"/>
        <v>24.132496948620126</v>
      </c>
      <c r="Y147" s="249">
        <f t="shared" si="51"/>
        <v>26.077785394866105</v>
      </c>
      <c r="Z147" s="249">
        <f t="shared" si="51"/>
        <v>28.018154032436328</v>
      </c>
      <c r="AA147" s="249">
        <f t="shared" si="51"/>
        <v>29.984613092558</v>
      </c>
      <c r="AB147" s="249">
        <f t="shared" si="51"/>
        <v>31.976045841194392</v>
      </c>
      <c r="AC147" s="249">
        <f t="shared" si="51"/>
        <v>33.989775543433908</v>
      </c>
      <c r="AD147" s="249">
        <f t="shared" si="51"/>
        <v>36.026283722665468</v>
      </c>
      <c r="AE147" s="249">
        <f t="shared" si="51"/>
        <v>38.084378438630978</v>
      </c>
      <c r="AF147" s="249">
        <f t="shared" si="51"/>
        <v>40.162826182020765</v>
      </c>
      <c r="AG147" s="249">
        <f t="shared" si="51"/>
        <v>42.260352059497436</v>
      </c>
      <c r="AI147" s="296"/>
    </row>
    <row r="148" spans="1:36" s="68" customFormat="1" x14ac:dyDescent="0.2">
      <c r="A148" s="311" t="s">
        <v>1387</v>
      </c>
      <c r="B148" s="312" t="s">
        <v>704</v>
      </c>
      <c r="C148" s="313">
        <f>C145-C147</f>
        <v>86.309992732352043</v>
      </c>
      <c r="D148" s="313">
        <f t="shared" ref="D148:AG148" si="52">D145-D147</f>
        <v>88.66761031452323</v>
      </c>
      <c r="E148" s="313">
        <f t="shared" si="52"/>
        <v>90.843233465701203</v>
      </c>
      <c r="F148" s="313">
        <f t="shared" si="52"/>
        <v>92.820614357177419</v>
      </c>
      <c r="G148" s="313">
        <f t="shared" si="52"/>
        <v>94.584764831662056</v>
      </c>
      <c r="H148" s="313">
        <f t="shared" si="52"/>
        <v>96.122145747156978</v>
      </c>
      <c r="I148" s="313">
        <f t="shared" si="52"/>
        <v>97.510523368735107</v>
      </c>
      <c r="J148" s="313">
        <f t="shared" si="52"/>
        <v>98.864204932492015</v>
      </c>
      <c r="K148" s="313">
        <f t="shared" si="52"/>
        <v>100.18107949366195</v>
      </c>
      <c r="L148" s="313">
        <f t="shared" si="52"/>
        <v>101.45906247225778</v>
      </c>
      <c r="M148" s="313">
        <f t="shared" si="52"/>
        <v>102.69610083035523</v>
      </c>
      <c r="N148" s="313">
        <f t="shared" si="52"/>
        <v>103.17698962856754</v>
      </c>
      <c r="O148" s="313">
        <f t="shared" si="52"/>
        <v>103.46220485536608</v>
      </c>
      <c r="P148" s="313">
        <f t="shared" si="52"/>
        <v>103.47687375966103</v>
      </c>
      <c r="Q148" s="313">
        <f t="shared" si="52"/>
        <v>103.27071185461814</v>
      </c>
      <c r="R148" s="313">
        <f t="shared" si="52"/>
        <v>102.84435360520359</v>
      </c>
      <c r="S148" s="313">
        <f t="shared" si="52"/>
        <v>102.38397103568657</v>
      </c>
      <c r="T148" s="313">
        <f t="shared" si="52"/>
        <v>101.8897379669329</v>
      </c>
      <c r="U148" s="313">
        <f t="shared" si="52"/>
        <v>101.36186021046107</v>
      </c>
      <c r="V148" s="313">
        <f t="shared" si="52"/>
        <v>100.80057588342336</v>
      </c>
      <c r="W148" s="313">
        <f t="shared" si="52"/>
        <v>100.2061556963248</v>
      </c>
      <c r="X148" s="313">
        <f t="shared" si="52"/>
        <v>98.737943572024605</v>
      </c>
      <c r="Y148" s="313">
        <f t="shared" si="52"/>
        <v>97.411851809734372</v>
      </c>
      <c r="Z148" s="313">
        <f t="shared" si="52"/>
        <v>96.04029048547487</v>
      </c>
      <c r="AA148" s="313">
        <f t="shared" si="52"/>
        <v>94.628898912062965</v>
      </c>
      <c r="AB148" s="313">
        <f t="shared" si="52"/>
        <v>93.178538551743415</v>
      </c>
      <c r="AC148" s="313">
        <f t="shared" si="52"/>
        <v>91.68735569459038</v>
      </c>
      <c r="AD148" s="313">
        <f t="shared" si="52"/>
        <v>90.159998023802316</v>
      </c>
      <c r="AE148" s="313">
        <f t="shared" si="52"/>
        <v>88.597427391830763</v>
      </c>
      <c r="AF148" s="313">
        <f t="shared" si="52"/>
        <v>87.000650035553249</v>
      </c>
      <c r="AG148" s="313">
        <f t="shared" si="52"/>
        <v>85.370716519755021</v>
      </c>
      <c r="AI148" s="314"/>
      <c r="AJ148" s="315"/>
    </row>
    <row r="149" spans="1:36" s="58" customFormat="1" outlineLevel="1" x14ac:dyDescent="0.2">
      <c r="A149" s="307" t="s">
        <v>1367</v>
      </c>
      <c r="B149" s="308" t="s">
        <v>462</v>
      </c>
      <c r="C149" s="309">
        <f>C145*C115</f>
        <v>76.551399582460434</v>
      </c>
      <c r="D149" s="309">
        <f t="shared" ref="D149:AG149" si="53">D145*D115</f>
        <v>79.344377240471459</v>
      </c>
      <c r="E149" s="309">
        <f t="shared" si="53"/>
        <v>82.022142441629057</v>
      </c>
      <c r="F149" s="309">
        <f t="shared" si="53"/>
        <v>84.566592685764562</v>
      </c>
      <c r="G149" s="309">
        <f t="shared" si="53"/>
        <v>86.960128228327903</v>
      </c>
      <c r="H149" s="309">
        <f t="shared" si="53"/>
        <v>89.185854542128808</v>
      </c>
      <c r="I149" s="309">
        <f t="shared" si="53"/>
        <v>91.305327130312747</v>
      </c>
      <c r="J149" s="309">
        <f t="shared" si="53"/>
        <v>93.429596069796645</v>
      </c>
      <c r="K149" s="309">
        <f t="shared" si="53"/>
        <v>95.556636779327121</v>
      </c>
      <c r="L149" s="309">
        <f t="shared" si="53"/>
        <v>97.684370875561328</v>
      </c>
      <c r="M149" s="309">
        <f t="shared" si="53"/>
        <v>99.810669021025717</v>
      </c>
      <c r="N149" s="309">
        <f t="shared" si="53"/>
        <v>101.66593284679939</v>
      </c>
      <c r="O149" s="309">
        <f t="shared" si="53"/>
        <v>103.37965090382684</v>
      </c>
      <c r="P149" s="309">
        <f t="shared" si="53"/>
        <v>104.86235115086107</v>
      </c>
      <c r="Q149" s="309">
        <f t="shared" si="53"/>
        <v>106.15961979004304</v>
      </c>
      <c r="R149" s="309">
        <f t="shared" si="53"/>
        <v>107.26366269327363</v>
      </c>
      <c r="S149" s="309">
        <f t="shared" si="53"/>
        <v>108.36259788142418</v>
      </c>
      <c r="T149" s="309">
        <f t="shared" si="53"/>
        <v>109.45601986328268</v>
      </c>
      <c r="U149" s="309">
        <f t="shared" si="53"/>
        <v>110.54352048442661</v>
      </c>
      <c r="V149" s="309">
        <f t="shared" si="53"/>
        <v>111.62468912844152</v>
      </c>
      <c r="W149" s="309">
        <f t="shared" si="53"/>
        <v>112.69911292254928</v>
      </c>
      <c r="X149" s="309">
        <f t="shared" si="53"/>
        <v>113.53228704107573</v>
      </c>
      <c r="Y149" s="309">
        <f t="shared" si="53"/>
        <v>114.59838332586924</v>
      </c>
      <c r="Z149" s="309">
        <f t="shared" si="53"/>
        <v>115.62247029069324</v>
      </c>
      <c r="AA149" s="309">
        <f t="shared" si="53"/>
        <v>116.63824723632524</v>
      </c>
      <c r="AB149" s="309">
        <f t="shared" si="53"/>
        <v>117.64530932936155</v>
      </c>
      <c r="AC149" s="309">
        <f t="shared" si="53"/>
        <v>118.63921188869493</v>
      </c>
      <c r="AD149" s="309">
        <f t="shared" si="53"/>
        <v>119.62459509565147</v>
      </c>
      <c r="AE149" s="309">
        <f t="shared" si="53"/>
        <v>120.60107915059959</v>
      </c>
      <c r="AF149" s="309">
        <f t="shared" si="53"/>
        <v>121.56828326400077</v>
      </c>
      <c r="AG149" s="309">
        <f t="shared" si="53"/>
        <v>122.52582583608235</v>
      </c>
      <c r="AI149" s="305"/>
      <c r="AJ149" s="339" t="s">
        <v>1363</v>
      </c>
    </row>
    <row r="150" spans="1:36" s="58" customFormat="1" outlineLevel="1" x14ac:dyDescent="0.2">
      <c r="A150" s="307" t="s">
        <v>1368</v>
      </c>
      <c r="B150" s="308" t="s">
        <v>462</v>
      </c>
      <c r="C150" s="309">
        <f>C149*C116</f>
        <v>16.841307908141296</v>
      </c>
      <c r="D150" s="309">
        <f t="shared" ref="D150:AG150" si="54">D149*D116</f>
        <v>17.984725507840196</v>
      </c>
      <c r="E150" s="309">
        <f t="shared" si="54"/>
        <v>19.138499903046778</v>
      </c>
      <c r="F150" s="309">
        <f t="shared" si="54"/>
        <v>20.295982244583492</v>
      </c>
      <c r="G150" s="309">
        <f t="shared" si="54"/>
        <v>21.450164962987547</v>
      </c>
      <c r="H150" s="309">
        <f t="shared" si="54"/>
        <v>22.593749817339294</v>
      </c>
      <c r="I150" s="309">
        <f t="shared" si="54"/>
        <v>23.73938505388131</v>
      </c>
      <c r="J150" s="309">
        <f t="shared" si="54"/>
        <v>24.914558951945768</v>
      </c>
      <c r="K150" s="309">
        <f t="shared" si="54"/>
        <v>26.118814053016074</v>
      </c>
      <c r="L150" s="309">
        <f t="shared" si="54"/>
        <v>27.351623845157164</v>
      </c>
      <c r="M150" s="309">
        <f t="shared" si="54"/>
        <v>28.612391786027363</v>
      </c>
      <c r="N150" s="309">
        <f t="shared" si="54"/>
        <v>29.822006968394476</v>
      </c>
      <c r="O150" s="309">
        <f t="shared" si="54"/>
        <v>31.013895271148041</v>
      </c>
      <c r="P150" s="309">
        <f t="shared" si="54"/>
        <v>32.157787686264051</v>
      </c>
      <c r="Q150" s="309">
        <f t="shared" si="54"/>
        <v>33.263347534213473</v>
      </c>
      <c r="R150" s="309">
        <f t="shared" si="54"/>
        <v>34.324372061847548</v>
      </c>
      <c r="S150" s="309">
        <f t="shared" si="54"/>
        <v>35.398448641265212</v>
      </c>
      <c r="T150" s="309">
        <f t="shared" si="54"/>
        <v>36.485339954427538</v>
      </c>
      <c r="U150" s="309">
        <f t="shared" si="54"/>
        <v>37.584796964705028</v>
      </c>
      <c r="V150" s="309">
        <f t="shared" si="54"/>
        <v>38.696558897859703</v>
      </c>
      <c r="W150" s="309">
        <f t="shared" si="54"/>
        <v>39.820353232634055</v>
      </c>
      <c r="X150" s="309">
        <f t="shared" si="54"/>
        <v>40.871623334787238</v>
      </c>
      <c r="Y150" s="309">
        <f t="shared" si="54"/>
        <v>42.019407219485359</v>
      </c>
      <c r="Z150" s="309">
        <f t="shared" si="54"/>
        <v>43.165722241858781</v>
      </c>
      <c r="AA150" s="309">
        <f t="shared" si="54"/>
        <v>44.322533949803557</v>
      </c>
      <c r="AB150" s="309">
        <f t="shared" si="54"/>
        <v>45.489519607353103</v>
      </c>
      <c r="AC150" s="309">
        <f t="shared" si="54"/>
        <v>46.664756676219973</v>
      </c>
      <c r="AD150" s="309">
        <f t="shared" si="54"/>
        <v>47.84983803826055</v>
      </c>
      <c r="AE150" s="309">
        <f t="shared" si="54"/>
        <v>49.04443885457713</v>
      </c>
      <c r="AF150" s="309">
        <f t="shared" si="54"/>
        <v>50.248223749120278</v>
      </c>
      <c r="AG150" s="309">
        <f t="shared" si="54"/>
        <v>51.460846851154585</v>
      </c>
      <c r="AI150" s="305"/>
      <c r="AJ150" s="339" t="s">
        <v>1363</v>
      </c>
    </row>
    <row r="151" spans="1:36" s="62" customFormat="1" outlineLevel="1" x14ac:dyDescent="0.2">
      <c r="A151" s="311" t="s">
        <v>1369</v>
      </c>
      <c r="B151" s="312" t="s">
        <v>462</v>
      </c>
      <c r="C151" s="313">
        <f>C149*C117</f>
        <v>59.710091674319138</v>
      </c>
      <c r="D151" s="313">
        <f t="shared" ref="D151:AG151" si="55">D149*D117</f>
        <v>61.359651732631264</v>
      </c>
      <c r="E151" s="313">
        <f t="shared" si="55"/>
        <v>62.883642538582279</v>
      </c>
      <c r="F151" s="313">
        <f t="shared" si="55"/>
        <v>64.270610441181063</v>
      </c>
      <c r="G151" s="313">
        <f t="shared" si="55"/>
        <v>65.50996326534036</v>
      </c>
      <c r="H151" s="313">
        <f t="shared" si="55"/>
        <v>66.592104724789507</v>
      </c>
      <c r="I151" s="313">
        <f t="shared" si="55"/>
        <v>67.565942076431426</v>
      </c>
      <c r="J151" s="313">
        <f t="shared" si="55"/>
        <v>68.515037117850881</v>
      </c>
      <c r="K151" s="313">
        <f t="shared" si="55"/>
        <v>69.437822726311055</v>
      </c>
      <c r="L151" s="313">
        <f t="shared" si="55"/>
        <v>70.332747030404164</v>
      </c>
      <c r="M151" s="313">
        <f t="shared" si="55"/>
        <v>71.198277234998343</v>
      </c>
      <c r="N151" s="313">
        <f t="shared" si="55"/>
        <v>71.843925878404917</v>
      </c>
      <c r="O151" s="313">
        <f t="shared" si="55"/>
        <v>72.365755632678813</v>
      </c>
      <c r="P151" s="313">
        <f t="shared" si="55"/>
        <v>72.70456346459703</v>
      </c>
      <c r="Q151" s="313">
        <f t="shared" si="55"/>
        <v>72.896272255829558</v>
      </c>
      <c r="R151" s="313">
        <f t="shared" si="55"/>
        <v>72.93929063142609</v>
      </c>
      <c r="S151" s="313">
        <f t="shared" si="55"/>
        <v>72.964149240158974</v>
      </c>
      <c r="T151" s="313">
        <f t="shared" si="55"/>
        <v>72.970679908855132</v>
      </c>
      <c r="U151" s="313">
        <f t="shared" si="55"/>
        <v>72.958723519721573</v>
      </c>
      <c r="V151" s="313">
        <f t="shared" si="55"/>
        <v>72.928130230581814</v>
      </c>
      <c r="W151" s="313">
        <f t="shared" si="55"/>
        <v>72.878759689915228</v>
      </c>
      <c r="X151" s="313">
        <f t="shared" si="55"/>
        <v>72.660663706288503</v>
      </c>
      <c r="Y151" s="313">
        <f t="shared" si="55"/>
        <v>72.578976106383877</v>
      </c>
      <c r="Z151" s="313">
        <f t="shared" si="55"/>
        <v>72.456748048834456</v>
      </c>
      <c r="AA151" s="313">
        <f t="shared" si="55"/>
        <v>72.315713286521685</v>
      </c>
      <c r="AB151" s="313">
        <f t="shared" si="55"/>
        <v>72.15578972200845</v>
      </c>
      <c r="AC151" s="313">
        <f t="shared" si="55"/>
        <v>71.97445521247495</v>
      </c>
      <c r="AD151" s="313">
        <f t="shared" si="55"/>
        <v>71.774757057390914</v>
      </c>
      <c r="AE151" s="313">
        <f t="shared" si="55"/>
        <v>71.556640296022465</v>
      </c>
      <c r="AF151" s="313">
        <f t="shared" si="55"/>
        <v>71.320059514880498</v>
      </c>
      <c r="AG151" s="313">
        <f t="shared" si="55"/>
        <v>71.064978984927777</v>
      </c>
      <c r="AI151" s="342"/>
      <c r="AJ151" s="341" t="s">
        <v>1363</v>
      </c>
    </row>
    <row r="152" spans="1:36" s="1" customFormat="1" outlineLevel="1" x14ac:dyDescent="0.2">
      <c r="A152" t="s">
        <v>1370</v>
      </c>
      <c r="B152" s="302" t="s">
        <v>704</v>
      </c>
      <c r="C152" s="249">
        <f>C118*C149</f>
        <v>72.723829603337407</v>
      </c>
      <c r="D152" s="249">
        <f t="shared" ref="D152:AG152" si="56">D118*D149</f>
        <v>74.980436492245531</v>
      </c>
      <c r="E152" s="249">
        <f t="shared" si="56"/>
        <v>77.10081389513131</v>
      </c>
      <c r="F152" s="249">
        <f t="shared" si="56"/>
        <v>79.069764161189866</v>
      </c>
      <c r="G152" s="249">
        <f t="shared" si="56"/>
        <v>80.872919252344943</v>
      </c>
      <c r="H152" s="249">
        <f t="shared" si="56"/>
        <v>82.496915451469135</v>
      </c>
      <c r="I152" s="249">
        <f t="shared" si="56"/>
        <v>84.000900959887716</v>
      </c>
      <c r="J152" s="249">
        <f t="shared" si="56"/>
        <v>85.488080403863918</v>
      </c>
      <c r="K152" s="249">
        <f t="shared" si="56"/>
        <v>86.956539469187675</v>
      </c>
      <c r="L152" s="249">
        <f t="shared" si="56"/>
        <v>88.404355642382995</v>
      </c>
      <c r="M152" s="249">
        <f t="shared" si="56"/>
        <v>89.829602118923134</v>
      </c>
      <c r="N152" s="249">
        <f t="shared" si="56"/>
        <v>90.991009897885448</v>
      </c>
      <c r="O152" s="249">
        <f t="shared" si="56"/>
        <v>92.007889304405879</v>
      </c>
      <c r="P152" s="249">
        <f t="shared" si="56"/>
        <v>92.803180768512036</v>
      </c>
      <c r="Q152" s="249">
        <f t="shared" si="56"/>
        <v>93.420465415237857</v>
      </c>
      <c r="R152" s="249">
        <f t="shared" si="56"/>
        <v>93.855704856614409</v>
      </c>
      <c r="S152" s="249">
        <f t="shared" si="56"/>
        <v>94.275460156839017</v>
      </c>
      <c r="T152" s="249">
        <f t="shared" si="56"/>
        <v>94.679457181739508</v>
      </c>
      <c r="U152" s="249">
        <f t="shared" si="56"/>
        <v>95.067427616606864</v>
      </c>
      <c r="V152" s="249">
        <f t="shared" si="56"/>
        <v>95.439109204817484</v>
      </c>
      <c r="W152" s="249">
        <f t="shared" si="56"/>
        <v>95.794245984166864</v>
      </c>
      <c r="X152" s="249">
        <f t="shared" si="56"/>
        <v>95.934782549708984</v>
      </c>
      <c r="Y152" s="249">
        <f t="shared" si="56"/>
        <v>96.262641993730142</v>
      </c>
      <c r="Z152" s="249">
        <f t="shared" si="56"/>
        <v>96.544762692728838</v>
      </c>
      <c r="AA152" s="249">
        <f t="shared" si="56"/>
        <v>96.809745206149927</v>
      </c>
      <c r="AB152" s="249">
        <f t="shared" si="56"/>
        <v>97.057380196723258</v>
      </c>
      <c r="AC152" s="249">
        <f t="shared" si="56"/>
        <v>97.284153748729821</v>
      </c>
      <c r="AD152" s="249">
        <f t="shared" si="56"/>
        <v>97.494045002955929</v>
      </c>
      <c r="AE152" s="249">
        <f t="shared" si="56"/>
        <v>97.686874111985645</v>
      </c>
      <c r="AF152" s="249">
        <f t="shared" si="56"/>
        <v>97.862468027520592</v>
      </c>
      <c r="AG152" s="249">
        <f t="shared" si="56"/>
        <v>98.020660668865887</v>
      </c>
      <c r="AI152" s="316"/>
      <c r="AJ152" s="211" t="s">
        <v>1363</v>
      </c>
    </row>
    <row r="153" spans="1:36" s="1" customFormat="1" outlineLevel="1" x14ac:dyDescent="0.2">
      <c r="A153" t="s">
        <v>1371</v>
      </c>
      <c r="B153" s="302" t="s">
        <v>704</v>
      </c>
      <c r="C153" s="249">
        <f>C119*C149</f>
        <v>3.8275699791230218</v>
      </c>
      <c r="D153" s="249">
        <f t="shared" ref="D153:AG153" si="57">D119*D149</f>
        <v>4.3639407482259305</v>
      </c>
      <c r="E153" s="249">
        <f t="shared" si="57"/>
        <v>4.9213285464977448</v>
      </c>
      <c r="F153" s="249">
        <f t="shared" si="57"/>
        <v>5.4968285245746982</v>
      </c>
      <c r="G153" s="249">
        <f t="shared" si="57"/>
        <v>6.0872089759829553</v>
      </c>
      <c r="H153" s="249">
        <f t="shared" si="57"/>
        <v>6.6889390906596633</v>
      </c>
      <c r="I153" s="249">
        <f t="shared" si="57"/>
        <v>7.3044261704250228</v>
      </c>
      <c r="J153" s="249">
        <f t="shared" si="57"/>
        <v>7.9415156659327177</v>
      </c>
      <c r="K153" s="249">
        <f t="shared" si="57"/>
        <v>8.6000973101394447</v>
      </c>
      <c r="L153" s="249">
        <f t="shared" si="57"/>
        <v>9.2800152331783305</v>
      </c>
      <c r="M153" s="249">
        <f t="shared" si="57"/>
        <v>9.981066902102576</v>
      </c>
      <c r="N153" s="249">
        <f t="shared" si="57"/>
        <v>10.674922948913942</v>
      </c>
      <c r="O153" s="249">
        <f t="shared" si="57"/>
        <v>11.371761599420958</v>
      </c>
      <c r="P153" s="249">
        <f t="shared" si="57"/>
        <v>12.059170382349031</v>
      </c>
      <c r="Q153" s="249">
        <f t="shared" si="57"/>
        <v>12.739154374805171</v>
      </c>
      <c r="R153" s="249">
        <f t="shared" si="57"/>
        <v>13.407957836659209</v>
      </c>
      <c r="S153" s="249">
        <f t="shared" si="57"/>
        <v>14.087137724585149</v>
      </c>
      <c r="T153" s="249">
        <f t="shared" si="57"/>
        <v>14.776562681543169</v>
      </c>
      <c r="U153" s="249">
        <f t="shared" si="57"/>
        <v>15.476092867819732</v>
      </c>
      <c r="V153" s="249">
        <f t="shared" si="57"/>
        <v>16.185579923624029</v>
      </c>
      <c r="W153" s="249">
        <f t="shared" si="57"/>
        <v>16.904866938382401</v>
      </c>
      <c r="X153" s="249">
        <f t="shared" si="57"/>
        <v>17.597504491366749</v>
      </c>
      <c r="Y153" s="249">
        <f t="shared" si="57"/>
        <v>18.335741332139087</v>
      </c>
      <c r="Z153" s="249">
        <f t="shared" si="57"/>
        <v>19.077707597964395</v>
      </c>
      <c r="AA153" s="249">
        <f t="shared" si="57"/>
        <v>19.828502030175301</v>
      </c>
      <c r="AB153" s="249">
        <f t="shared" si="57"/>
        <v>20.587929132638283</v>
      </c>
      <c r="AC153" s="249">
        <f t="shared" si="57"/>
        <v>21.355058139965099</v>
      </c>
      <c r="AD153" s="249">
        <f t="shared" si="57"/>
        <v>22.130550092695536</v>
      </c>
      <c r="AE153" s="249">
        <f t="shared" si="57"/>
        <v>22.914205038613936</v>
      </c>
      <c r="AF153" s="249">
        <f t="shared" si="57"/>
        <v>23.705815236480163</v>
      </c>
      <c r="AG153" s="249">
        <f t="shared" si="57"/>
        <v>24.505165167216472</v>
      </c>
      <c r="AI153" s="316"/>
      <c r="AJ153" s="211" t="s">
        <v>1363</v>
      </c>
    </row>
    <row r="154" spans="1:36" s="1" customFormat="1" outlineLevel="1" x14ac:dyDescent="0.2">
      <c r="A154" t="s">
        <v>1372</v>
      </c>
      <c r="B154" s="302" t="s">
        <v>704</v>
      </c>
      <c r="C154" s="249">
        <f>C152*C120</f>
        <v>10.90857444050061</v>
      </c>
      <c r="D154" s="249">
        <f t="shared" ref="D154:AG154" si="58">D152*D120</f>
        <v>11.72194157162105</v>
      </c>
      <c r="E154" s="249">
        <f t="shared" si="58"/>
        <v>12.541732393608026</v>
      </c>
      <c r="F154" s="249">
        <f t="shared" si="58"/>
        <v>13.362790143241087</v>
      </c>
      <c r="G154" s="249">
        <f t="shared" si="58"/>
        <v>14.179718508911145</v>
      </c>
      <c r="H154" s="249">
        <f t="shared" si="58"/>
        <v>14.986939640350224</v>
      </c>
      <c r="I154" s="249">
        <f t="shared" si="58"/>
        <v>15.792169380458889</v>
      </c>
      <c r="J154" s="249">
        <f t="shared" si="58"/>
        <v>16.613183625150885</v>
      </c>
      <c r="K154" s="249">
        <f t="shared" si="58"/>
        <v>17.449278920150324</v>
      </c>
      <c r="L154" s="249">
        <f t="shared" si="58"/>
        <v>18.299701617973277</v>
      </c>
      <c r="M154" s="249">
        <f t="shared" si="58"/>
        <v>19.163648452036931</v>
      </c>
      <c r="N154" s="249">
        <f t="shared" si="58"/>
        <v>19.987691840902166</v>
      </c>
      <c r="O154" s="249">
        <f t="shared" si="58"/>
        <v>20.793782982795722</v>
      </c>
      <c r="P154" s="249">
        <f t="shared" si="58"/>
        <v>21.56127233188429</v>
      </c>
      <c r="Q154" s="249">
        <f t="shared" si="58"/>
        <v>22.296351079103431</v>
      </c>
      <c r="R154" s="249">
        <f t="shared" si="58"/>
        <v>22.994647689870526</v>
      </c>
      <c r="S154" s="249">
        <f t="shared" si="58"/>
        <v>23.694565652752203</v>
      </c>
      <c r="T154" s="249">
        <f t="shared" si="58"/>
        <v>24.395740133828212</v>
      </c>
      <c r="U154" s="249">
        <f t="shared" si="58"/>
        <v>25.097800890784214</v>
      </c>
      <c r="V154" s="249">
        <f t="shared" si="58"/>
        <v>25.800372521702329</v>
      </c>
      <c r="W154" s="249">
        <f t="shared" si="58"/>
        <v>26.503074722286172</v>
      </c>
      <c r="X154" s="249">
        <f t="shared" si="58"/>
        <v>27.149543461567649</v>
      </c>
      <c r="Y154" s="249">
        <f t="shared" si="58"/>
        <v>27.851991083519266</v>
      </c>
      <c r="Z154" s="249">
        <f t="shared" si="58"/>
        <v>28.545068169483507</v>
      </c>
      <c r="AA154" s="249">
        <f t="shared" si="58"/>
        <v>29.236543052257293</v>
      </c>
      <c r="AB154" s="249">
        <f t="shared" si="58"/>
        <v>29.926025560656356</v>
      </c>
      <c r="AC154" s="249">
        <f t="shared" si="58"/>
        <v>30.612080379600336</v>
      </c>
      <c r="AD154" s="249">
        <f t="shared" si="58"/>
        <v>31.295588445948876</v>
      </c>
      <c r="AE154" s="249">
        <f t="shared" si="58"/>
        <v>31.976170125989992</v>
      </c>
      <c r="AF154" s="249">
        <f t="shared" si="58"/>
        <v>32.653443498516062</v>
      </c>
      <c r="AG154" s="249">
        <f t="shared" si="58"/>
        <v>33.327024627414403</v>
      </c>
      <c r="AI154" s="316"/>
      <c r="AJ154" s="211" t="s">
        <v>1363</v>
      </c>
    </row>
    <row r="155" spans="1:36" s="1" customFormat="1" outlineLevel="1" x14ac:dyDescent="0.2">
      <c r="A155" t="s">
        <v>1373</v>
      </c>
      <c r="B155" s="302" t="s">
        <v>704</v>
      </c>
      <c r="C155" s="249">
        <f>C152*C121</f>
        <v>61.815255162836792</v>
      </c>
      <c r="D155" s="249">
        <f t="shared" ref="D155:AG155" si="59">D152*D121</f>
        <v>63.258494920624479</v>
      </c>
      <c r="E155" s="249">
        <f t="shared" si="59"/>
        <v>64.559081501523281</v>
      </c>
      <c r="F155" s="249">
        <f t="shared" si="59"/>
        <v>65.706974017948781</v>
      </c>
      <c r="G155" s="249">
        <f t="shared" si="59"/>
        <v>66.693200743433806</v>
      </c>
      <c r="H155" s="249">
        <f t="shared" si="59"/>
        <v>67.50997581111892</v>
      </c>
      <c r="I155" s="249">
        <f t="shared" si="59"/>
        <v>68.208731579428843</v>
      </c>
      <c r="J155" s="249">
        <f t="shared" si="59"/>
        <v>68.874896778713051</v>
      </c>
      <c r="K155" s="249">
        <f t="shared" si="59"/>
        <v>69.507260549037369</v>
      </c>
      <c r="L155" s="249">
        <f t="shared" si="59"/>
        <v>70.10465402440974</v>
      </c>
      <c r="M155" s="249">
        <f t="shared" si="59"/>
        <v>70.665953666886224</v>
      </c>
      <c r="N155" s="249">
        <f t="shared" si="59"/>
        <v>71.003318056983304</v>
      </c>
      <c r="O155" s="249">
        <f t="shared" si="59"/>
        <v>71.214106321610188</v>
      </c>
      <c r="P155" s="249">
        <f t="shared" si="59"/>
        <v>71.241908436627781</v>
      </c>
      <c r="Q155" s="249">
        <f t="shared" si="59"/>
        <v>71.124114336134454</v>
      </c>
      <c r="R155" s="249">
        <f t="shared" si="59"/>
        <v>70.861057166743919</v>
      </c>
      <c r="S155" s="249">
        <f t="shared" si="59"/>
        <v>70.580894504086857</v>
      </c>
      <c r="T155" s="249">
        <f t="shared" si="59"/>
        <v>70.283717047911338</v>
      </c>
      <c r="U155" s="249">
        <f t="shared" si="59"/>
        <v>69.969626725822707</v>
      </c>
      <c r="V155" s="249">
        <f t="shared" si="59"/>
        <v>69.638736683115212</v>
      </c>
      <c r="W155" s="249">
        <f t="shared" si="59"/>
        <v>69.291171261880763</v>
      </c>
      <c r="X155" s="249">
        <f t="shared" si="59"/>
        <v>68.78523908814141</v>
      </c>
      <c r="Y155" s="249">
        <f t="shared" si="59"/>
        <v>68.410650910210947</v>
      </c>
      <c r="Z155" s="249">
        <f t="shared" si="59"/>
        <v>67.99969452324541</v>
      </c>
      <c r="AA155" s="249">
        <f t="shared" si="59"/>
        <v>67.573202153892723</v>
      </c>
      <c r="AB155" s="249">
        <f t="shared" si="59"/>
        <v>67.131354636066987</v>
      </c>
      <c r="AC155" s="249">
        <f t="shared" si="59"/>
        <v>66.672073369129578</v>
      </c>
      <c r="AD155" s="249">
        <f t="shared" si="59"/>
        <v>66.198456557007162</v>
      </c>
      <c r="AE155" s="249">
        <f t="shared" si="59"/>
        <v>65.710703985995764</v>
      </c>
      <c r="AF155" s="249">
        <f t="shared" si="59"/>
        <v>65.209024529004637</v>
      </c>
      <c r="AG155" s="249">
        <f t="shared" si="59"/>
        <v>64.693636041451484</v>
      </c>
      <c r="AI155" s="316"/>
      <c r="AJ155" s="211" t="s">
        <v>1363</v>
      </c>
    </row>
    <row r="156" spans="1:36" s="1" customFormat="1" outlineLevel="1" x14ac:dyDescent="0.2">
      <c r="A156" t="s">
        <v>1374</v>
      </c>
      <c r="B156" s="302" t="s">
        <v>704</v>
      </c>
      <c r="C156" s="249">
        <f>C122*C155</f>
        <v>0</v>
      </c>
      <c r="D156" s="249">
        <f t="shared" ref="D156:AG156" si="60">D122*D155</f>
        <v>0</v>
      </c>
      <c r="E156" s="249">
        <f t="shared" si="60"/>
        <v>0</v>
      </c>
      <c r="F156" s="249">
        <f t="shared" si="60"/>
        <v>0</v>
      </c>
      <c r="G156" s="249">
        <f t="shared" si="60"/>
        <v>0</v>
      </c>
      <c r="H156" s="249">
        <f t="shared" si="60"/>
        <v>0</v>
      </c>
      <c r="I156" s="249">
        <f t="shared" si="60"/>
        <v>0</v>
      </c>
      <c r="J156" s="249">
        <f t="shared" si="60"/>
        <v>0</v>
      </c>
      <c r="K156" s="249">
        <f t="shared" si="60"/>
        <v>0</v>
      </c>
      <c r="L156" s="249">
        <f t="shared" si="60"/>
        <v>0</v>
      </c>
      <c r="M156" s="249">
        <f t="shared" si="60"/>
        <v>0</v>
      </c>
      <c r="N156" s="249">
        <f t="shared" si="60"/>
        <v>0</v>
      </c>
      <c r="O156" s="249">
        <f t="shared" si="60"/>
        <v>0</v>
      </c>
      <c r="P156" s="249">
        <f t="shared" si="60"/>
        <v>0</v>
      </c>
      <c r="Q156" s="249">
        <f t="shared" si="60"/>
        <v>0</v>
      </c>
      <c r="R156" s="249">
        <f t="shared" si="60"/>
        <v>0</v>
      </c>
      <c r="S156" s="249">
        <f t="shared" si="60"/>
        <v>0</v>
      </c>
      <c r="T156" s="249">
        <f t="shared" si="60"/>
        <v>0</v>
      </c>
      <c r="U156" s="249">
        <f t="shared" si="60"/>
        <v>0</v>
      </c>
      <c r="V156" s="249">
        <f t="shared" si="60"/>
        <v>0</v>
      </c>
      <c r="W156" s="249">
        <f t="shared" si="60"/>
        <v>0</v>
      </c>
      <c r="X156" s="249">
        <f t="shared" si="60"/>
        <v>0</v>
      </c>
      <c r="Y156" s="249">
        <f t="shared" si="60"/>
        <v>0</v>
      </c>
      <c r="Z156" s="249">
        <f t="shared" si="60"/>
        <v>0</v>
      </c>
      <c r="AA156" s="249">
        <f t="shared" si="60"/>
        <v>0</v>
      </c>
      <c r="AB156" s="249">
        <f t="shared" si="60"/>
        <v>0</v>
      </c>
      <c r="AC156" s="249">
        <f t="shared" si="60"/>
        <v>0</v>
      </c>
      <c r="AD156" s="249">
        <f t="shared" si="60"/>
        <v>0</v>
      </c>
      <c r="AE156" s="249">
        <f t="shared" si="60"/>
        <v>0</v>
      </c>
      <c r="AF156" s="249">
        <f t="shared" si="60"/>
        <v>0</v>
      </c>
      <c r="AG156" s="249">
        <f t="shared" si="60"/>
        <v>0</v>
      </c>
      <c r="AI156" s="316"/>
      <c r="AJ156" s="211" t="s">
        <v>1363</v>
      </c>
    </row>
    <row r="157" spans="1:36" s="1" customFormat="1" outlineLevel="1" x14ac:dyDescent="0.2">
      <c r="A157" t="s">
        <v>1388</v>
      </c>
      <c r="B157" s="302" t="s">
        <v>704</v>
      </c>
      <c r="C157" s="249">
        <f>C123*C155</f>
        <v>61.815255162836792</v>
      </c>
      <c r="D157" s="249">
        <f t="shared" ref="D157:AG157" si="61">D123*D155</f>
        <v>63.258494920624479</v>
      </c>
      <c r="E157" s="249">
        <f t="shared" si="61"/>
        <v>64.559081501523281</v>
      </c>
      <c r="F157" s="249">
        <f t="shared" si="61"/>
        <v>65.706974017948781</v>
      </c>
      <c r="G157" s="249">
        <f t="shared" si="61"/>
        <v>66.693200743433806</v>
      </c>
      <c r="H157" s="249">
        <f t="shared" si="61"/>
        <v>67.50997581111892</v>
      </c>
      <c r="I157" s="249">
        <f t="shared" si="61"/>
        <v>68.208731579428843</v>
      </c>
      <c r="J157" s="249">
        <f t="shared" si="61"/>
        <v>68.874896778713051</v>
      </c>
      <c r="K157" s="249">
        <f t="shared" si="61"/>
        <v>69.507260549037369</v>
      </c>
      <c r="L157" s="249">
        <f t="shared" si="61"/>
        <v>70.10465402440974</v>
      </c>
      <c r="M157" s="249">
        <f t="shared" si="61"/>
        <v>70.665953666886224</v>
      </c>
      <c r="N157" s="249">
        <f t="shared" si="61"/>
        <v>71.003318056983304</v>
      </c>
      <c r="O157" s="249">
        <f t="shared" si="61"/>
        <v>71.214106321610188</v>
      </c>
      <c r="P157" s="249">
        <f t="shared" si="61"/>
        <v>71.241908436627781</v>
      </c>
      <c r="Q157" s="249">
        <f t="shared" si="61"/>
        <v>71.124114336134454</v>
      </c>
      <c r="R157" s="249">
        <f t="shared" si="61"/>
        <v>70.861057166743919</v>
      </c>
      <c r="S157" s="249">
        <f t="shared" si="61"/>
        <v>70.580894504086857</v>
      </c>
      <c r="T157" s="249">
        <f t="shared" si="61"/>
        <v>70.283717047911338</v>
      </c>
      <c r="U157" s="249">
        <f t="shared" si="61"/>
        <v>69.969626725822707</v>
      </c>
      <c r="V157" s="249">
        <f t="shared" si="61"/>
        <v>69.638736683115212</v>
      </c>
      <c r="W157" s="249">
        <f t="shared" si="61"/>
        <v>69.291171261880763</v>
      </c>
      <c r="X157" s="249">
        <f t="shared" si="61"/>
        <v>68.78523908814141</v>
      </c>
      <c r="Y157" s="249">
        <f t="shared" si="61"/>
        <v>68.410650910210947</v>
      </c>
      <c r="Z157" s="249">
        <f t="shared" si="61"/>
        <v>67.99969452324541</v>
      </c>
      <c r="AA157" s="249">
        <f t="shared" si="61"/>
        <v>67.573202153892723</v>
      </c>
      <c r="AB157" s="249">
        <f t="shared" si="61"/>
        <v>67.131354636066987</v>
      </c>
      <c r="AC157" s="249">
        <f t="shared" si="61"/>
        <v>66.672073369129578</v>
      </c>
      <c r="AD157" s="249">
        <f t="shared" si="61"/>
        <v>66.198456557007162</v>
      </c>
      <c r="AE157" s="249">
        <f t="shared" si="61"/>
        <v>65.710703985995764</v>
      </c>
      <c r="AF157" s="249">
        <f t="shared" si="61"/>
        <v>65.209024529004637</v>
      </c>
      <c r="AG157" s="249">
        <f t="shared" si="61"/>
        <v>64.693636041451484</v>
      </c>
      <c r="AI157" s="316"/>
      <c r="AJ157" s="211" t="s">
        <v>1363</v>
      </c>
    </row>
    <row r="158" spans="1:36" s="1" customFormat="1" outlineLevel="1" x14ac:dyDescent="0.2">
      <c r="A158" t="s">
        <v>1376</v>
      </c>
      <c r="B158" s="302" t="s">
        <v>704</v>
      </c>
      <c r="C158" s="249">
        <f>C124*(C156+C154)</f>
        <v>8.7268595524004891</v>
      </c>
      <c r="D158" s="249">
        <f t="shared" ref="D158:AG158" si="62">D124*(D156+D154)</f>
        <v>9.41662639586891</v>
      </c>
      <c r="E158" s="249">
        <f t="shared" si="62"/>
        <v>10.116997464177141</v>
      </c>
      <c r="F158" s="249">
        <f t="shared" si="62"/>
        <v>10.82386001602528</v>
      </c>
      <c r="G158" s="249">
        <f t="shared" si="62"/>
        <v>11.532837720581064</v>
      </c>
      <c r="H158" s="249">
        <f t="shared" si="62"/>
        <v>12.239334039619347</v>
      </c>
      <c r="I158" s="249">
        <f t="shared" si="62"/>
        <v>12.949578891976286</v>
      </c>
      <c r="J158" s="249">
        <f t="shared" si="62"/>
        <v>13.678187851374226</v>
      </c>
      <c r="K158" s="249">
        <f t="shared" si="62"/>
        <v>14.424737240657597</v>
      </c>
      <c r="L158" s="249">
        <f t="shared" si="62"/>
        <v>15.188752342917814</v>
      </c>
      <c r="M158" s="249">
        <f t="shared" si="62"/>
        <v>15.969707043364103</v>
      </c>
      <c r="N158" s="249">
        <f t="shared" si="62"/>
        <v>16.723035506888138</v>
      </c>
      <c r="O158" s="249">
        <f t="shared" si="62"/>
        <v>17.466777705548399</v>
      </c>
      <c r="P158" s="249">
        <f t="shared" si="62"/>
        <v>18.183339666555742</v>
      </c>
      <c r="Q158" s="249">
        <f t="shared" si="62"/>
        <v>18.87757724697423</v>
      </c>
      <c r="R158" s="249">
        <f t="shared" si="62"/>
        <v>19.545450536389936</v>
      </c>
      <c r="S158" s="249">
        <f t="shared" si="62"/>
        <v>20.219362690348536</v>
      </c>
      <c r="T158" s="249">
        <f t="shared" si="62"/>
        <v>20.899017381312824</v>
      </c>
      <c r="U158" s="249">
        <f t="shared" si="62"/>
        <v>21.584108766074408</v>
      </c>
      <c r="V158" s="249">
        <f t="shared" si="62"/>
        <v>22.274321610402996</v>
      </c>
      <c r="W158" s="249">
        <f t="shared" si="62"/>
        <v>22.969331425981331</v>
      </c>
      <c r="X158" s="249">
        <f t="shared" si="62"/>
        <v>23.620102811563836</v>
      </c>
      <c r="Y158" s="249">
        <f t="shared" si="62"/>
        <v>24.324072212940141</v>
      </c>
      <c r="Z158" s="249">
        <f t="shared" si="62"/>
        <v>25.024509761913855</v>
      </c>
      <c r="AA158" s="249">
        <f t="shared" si="62"/>
        <v>25.728157885986395</v>
      </c>
      <c r="AB158" s="249">
        <f t="shared" si="62"/>
        <v>26.43465591191309</v>
      </c>
      <c r="AC158" s="249">
        <f t="shared" si="62"/>
        <v>27.142711269912272</v>
      </c>
      <c r="AD158" s="249">
        <f t="shared" si="62"/>
        <v>27.853073716894471</v>
      </c>
      <c r="AE158" s="249">
        <f t="shared" si="62"/>
        <v>28.565378645884362</v>
      </c>
      <c r="AF158" s="249">
        <f t="shared" si="62"/>
        <v>29.279254337002705</v>
      </c>
      <c r="AG158" s="249">
        <f t="shared" si="62"/>
        <v>29.994322164672962</v>
      </c>
      <c r="AH158" s="249"/>
      <c r="AI158" s="316"/>
      <c r="AJ158" s="211" t="s">
        <v>1363</v>
      </c>
    </row>
    <row r="159" spans="1:36" s="1" customFormat="1" outlineLevel="1" x14ac:dyDescent="0.2">
      <c r="A159" t="s">
        <v>1377</v>
      </c>
      <c r="B159" s="302" t="s">
        <v>704</v>
      </c>
      <c r="C159" s="249">
        <f>C125*(C156+C154)</f>
        <v>2.1817148881001223</v>
      </c>
      <c r="D159" s="249">
        <f t="shared" ref="D159:AG159" si="63">D125*(D156+D154)</f>
        <v>2.3053151757521402</v>
      </c>
      <c r="E159" s="249">
        <f t="shared" si="63"/>
        <v>2.4247349294308851</v>
      </c>
      <c r="F159" s="249">
        <f t="shared" si="63"/>
        <v>2.5389301272158069</v>
      </c>
      <c r="G159" s="249">
        <f t="shared" si="63"/>
        <v>2.6468807883300811</v>
      </c>
      <c r="H159" s="249">
        <f t="shared" si="63"/>
        <v>2.7476056007308749</v>
      </c>
      <c r="I159" s="249">
        <f t="shared" si="63"/>
        <v>2.8425904884826005</v>
      </c>
      <c r="J159" s="249">
        <f t="shared" si="63"/>
        <v>2.9349957737766572</v>
      </c>
      <c r="K159" s="249">
        <f t="shared" si="63"/>
        <v>3.024541679492724</v>
      </c>
      <c r="L159" s="249">
        <f t="shared" si="63"/>
        <v>3.1109492750554582</v>
      </c>
      <c r="M159" s="249">
        <f t="shared" si="63"/>
        <v>3.1939414086728233</v>
      </c>
      <c r="N159" s="249">
        <f t="shared" si="63"/>
        <v>3.2646563340140218</v>
      </c>
      <c r="O159" s="249">
        <f t="shared" si="63"/>
        <v>3.3270052772473173</v>
      </c>
      <c r="P159" s="249">
        <f t="shared" si="63"/>
        <v>3.3779326653285406</v>
      </c>
      <c r="Q159" s="249">
        <f t="shared" si="63"/>
        <v>3.4187738321291952</v>
      </c>
      <c r="R159" s="249">
        <f t="shared" si="63"/>
        <v>3.4491971534805814</v>
      </c>
      <c r="S159" s="249">
        <f t="shared" si="63"/>
        <v>3.4752029624036593</v>
      </c>
      <c r="T159" s="249">
        <f t="shared" si="63"/>
        <v>3.4967227525153799</v>
      </c>
      <c r="U159" s="249">
        <f t="shared" si="63"/>
        <v>3.513692124709793</v>
      </c>
      <c r="V159" s="249">
        <f t="shared" si="63"/>
        <v>3.5260509112993215</v>
      </c>
      <c r="W159" s="249">
        <f t="shared" si="63"/>
        <v>3.5337432963048268</v>
      </c>
      <c r="X159" s="249">
        <f t="shared" si="63"/>
        <v>3.5294406500037985</v>
      </c>
      <c r="Y159" s="249">
        <f t="shared" si="63"/>
        <v>3.5279188705791111</v>
      </c>
      <c r="Z159" s="249">
        <f t="shared" si="63"/>
        <v>3.520558407569637</v>
      </c>
      <c r="AA159" s="249">
        <f t="shared" si="63"/>
        <v>3.5083851662708798</v>
      </c>
      <c r="AB159" s="249">
        <f t="shared" si="63"/>
        <v>3.4913696487432464</v>
      </c>
      <c r="AC159" s="249">
        <f t="shared" si="63"/>
        <v>3.4693691096880435</v>
      </c>
      <c r="AD159" s="249">
        <f t="shared" si="63"/>
        <v>3.4425147290543823</v>
      </c>
      <c r="AE159" s="249">
        <f t="shared" si="63"/>
        <v>3.4107914801056052</v>
      </c>
      <c r="AF159" s="249">
        <f t="shared" si="63"/>
        <v>3.3741891615133328</v>
      </c>
      <c r="AG159" s="249">
        <f t="shared" si="63"/>
        <v>3.3327024627414406</v>
      </c>
      <c r="AI159" s="316"/>
      <c r="AJ159" s="211" t="s">
        <v>1363</v>
      </c>
    </row>
    <row r="160" spans="1:36" s="1" customFormat="1" outlineLevel="1" x14ac:dyDescent="0.2">
      <c r="A160" t="s">
        <v>1378</v>
      </c>
      <c r="B160" s="302" t="s">
        <v>704</v>
      </c>
      <c r="C160" s="249">
        <f>C153*C126</f>
        <v>3.6361914801668704</v>
      </c>
      <c r="D160" s="249">
        <f t="shared" ref="D160:AG160" si="64">D153*D126</f>
        <v>4.1399251231503325</v>
      </c>
      <c r="E160" s="249">
        <f t="shared" si="64"/>
        <v>4.6621385763821968</v>
      </c>
      <c r="F160" s="249">
        <f t="shared" si="64"/>
        <v>5.1999997842476651</v>
      </c>
      <c r="G160" s="249">
        <f t="shared" si="64"/>
        <v>5.750383412645232</v>
      </c>
      <c r="H160" s="249">
        <f t="shared" si="64"/>
        <v>6.3098992088556169</v>
      </c>
      <c r="I160" s="249">
        <f t="shared" si="64"/>
        <v>6.8807694525403731</v>
      </c>
      <c r="J160" s="249">
        <f t="shared" si="64"/>
        <v>7.4703190697540451</v>
      </c>
      <c r="K160" s="249">
        <f t="shared" si="64"/>
        <v>8.0783580733243205</v>
      </c>
      <c r="L160" s="249">
        <f t="shared" si="64"/>
        <v>8.7046542887212759</v>
      </c>
      <c r="M160" s="249">
        <f t="shared" si="64"/>
        <v>9.348932664969416</v>
      </c>
      <c r="N160" s="249">
        <f t="shared" si="64"/>
        <v>9.9846112648841778</v>
      </c>
      <c r="O160" s="249">
        <f t="shared" si="64"/>
        <v>10.621225333859179</v>
      </c>
      <c r="P160" s="249">
        <f t="shared" si="64"/>
        <v>11.247186243270868</v>
      </c>
      <c r="Q160" s="249">
        <f t="shared" si="64"/>
        <v>11.864399107735222</v>
      </c>
      <c r="R160" s="249">
        <f t="shared" si="64"/>
        <v>12.469400788093072</v>
      </c>
      <c r="S160" s="249">
        <f t="shared" si="64"/>
        <v>13.08225523356475</v>
      </c>
      <c r="T160" s="249">
        <f t="shared" si="64"/>
        <v>13.702799126684374</v>
      </c>
      <c r="U160" s="249">
        <f t="shared" si="64"/>
        <v>14.330861995601081</v>
      </c>
      <c r="V160" s="249">
        <f t="shared" si="64"/>
        <v>14.966266236044364</v>
      </c>
      <c r="W160" s="249">
        <f t="shared" si="64"/>
        <v>15.608827139773096</v>
      </c>
      <c r="X160" s="249">
        <f t="shared" si="64"/>
        <v>16.224899141040154</v>
      </c>
      <c r="Y160" s="249">
        <f t="shared" si="64"/>
        <v>16.881105853122733</v>
      </c>
      <c r="Z160" s="249">
        <f t="shared" si="64"/>
        <v>17.53877251839528</v>
      </c>
      <c r="AA160" s="249">
        <f t="shared" si="64"/>
        <v>18.202564863700943</v>
      </c>
      <c r="AB160" s="249">
        <f t="shared" si="64"/>
        <v>18.872268371585111</v>
      </c>
      <c r="AC160" s="249">
        <f t="shared" si="64"/>
        <v>19.546996550781405</v>
      </c>
      <c r="AD160" s="249">
        <f t="shared" si="64"/>
        <v>20.227322784723739</v>
      </c>
      <c r="AE160" s="249">
        <f t="shared" si="64"/>
        <v>20.91303113190834</v>
      </c>
      <c r="AF160" s="249">
        <f t="shared" si="64"/>
        <v>21.603899618845613</v>
      </c>
      <c r="AG160" s="249">
        <f t="shared" si="64"/>
        <v>22.29970030216699</v>
      </c>
      <c r="AI160" s="316"/>
      <c r="AJ160" s="211" t="s">
        <v>1363</v>
      </c>
    </row>
    <row r="161" spans="1:36" s="1" customFormat="1" outlineLevel="1" x14ac:dyDescent="0.2">
      <c r="A161" t="s">
        <v>1389</v>
      </c>
      <c r="B161" s="302" t="s">
        <v>704</v>
      </c>
      <c r="C161" s="249">
        <f>C153*C127</f>
        <v>0.19137849895615111</v>
      </c>
      <c r="D161" s="249">
        <f t="shared" ref="D161:AG161" si="65">D153*D127</f>
        <v>0.22401562507559777</v>
      </c>
      <c r="E161" s="249">
        <f t="shared" si="65"/>
        <v>0.2591899701155479</v>
      </c>
      <c r="F161" s="249">
        <f t="shared" si="65"/>
        <v>0.29682874032703371</v>
      </c>
      <c r="G161" s="249">
        <f t="shared" si="65"/>
        <v>0.33682556333772351</v>
      </c>
      <c r="H161" s="249">
        <f t="shared" si="65"/>
        <v>0.37903988180404757</v>
      </c>
      <c r="I161" s="249">
        <f t="shared" si="65"/>
        <v>0.42365671788465131</v>
      </c>
      <c r="J161" s="249">
        <f t="shared" si="65"/>
        <v>0.47119659617867454</v>
      </c>
      <c r="K161" s="249">
        <f t="shared" si="65"/>
        <v>0.52173923681512624</v>
      </c>
      <c r="L161" s="249">
        <f t="shared" si="65"/>
        <v>0.57536094445705643</v>
      </c>
      <c r="M161" s="249">
        <f t="shared" si="65"/>
        <v>0.63213423713316308</v>
      </c>
      <c r="N161" s="249">
        <f t="shared" si="65"/>
        <v>0.69031168402976817</v>
      </c>
      <c r="O161" s="249">
        <f t="shared" si="65"/>
        <v>0.75053626556178332</v>
      </c>
      <c r="P161" s="249">
        <f t="shared" si="65"/>
        <v>0.81198413907816813</v>
      </c>
      <c r="Q161" s="249">
        <f t="shared" si="65"/>
        <v>0.87475526706995521</v>
      </c>
      <c r="R161" s="249">
        <f t="shared" si="65"/>
        <v>0.93855704856614497</v>
      </c>
      <c r="S161" s="249">
        <f t="shared" si="65"/>
        <v>1.0048824910204077</v>
      </c>
      <c r="T161" s="249">
        <f t="shared" si="65"/>
        <v>1.073763554858804</v>
      </c>
      <c r="U161" s="249">
        <f t="shared" si="65"/>
        <v>1.1452308722186608</v>
      </c>
      <c r="V161" s="249">
        <f t="shared" si="65"/>
        <v>1.2193136875796775</v>
      </c>
      <c r="W161" s="249">
        <f t="shared" si="65"/>
        <v>1.2960397986093182</v>
      </c>
      <c r="X161" s="249">
        <f t="shared" si="65"/>
        <v>1.3726053503266074</v>
      </c>
      <c r="Y161" s="249">
        <f t="shared" si="65"/>
        <v>1.4546354790163687</v>
      </c>
      <c r="Z161" s="249">
        <f t="shared" si="65"/>
        <v>1.538935079569129</v>
      </c>
      <c r="AA161" s="249">
        <f t="shared" si="65"/>
        <v>1.625937166474376</v>
      </c>
      <c r="AB161" s="249">
        <f t="shared" si="65"/>
        <v>1.715660761053192</v>
      </c>
      <c r="AC161" s="249">
        <f t="shared" si="65"/>
        <v>1.8080615891837135</v>
      </c>
      <c r="AD161" s="249">
        <f t="shared" si="65"/>
        <v>1.903227307971818</v>
      </c>
      <c r="AE161" s="249">
        <f t="shared" si="65"/>
        <v>2.0011739067056191</v>
      </c>
      <c r="AF161" s="249">
        <f t="shared" si="65"/>
        <v>2.1019156176345768</v>
      </c>
      <c r="AG161" s="249">
        <f t="shared" si="65"/>
        <v>2.2054648650494824</v>
      </c>
      <c r="AI161" s="316"/>
      <c r="AJ161" s="211" t="s">
        <v>1363</v>
      </c>
    </row>
    <row r="162" spans="1:36" s="1" customFormat="1" outlineLevel="1" x14ac:dyDescent="0.2">
      <c r="A162" t="s">
        <v>1380</v>
      </c>
      <c r="B162" s="302" t="s">
        <v>704</v>
      </c>
      <c r="C162" s="249">
        <f t="shared" ref="C162:AG162" si="66">C158*C128</f>
        <v>2.3562520791481321</v>
      </c>
      <c r="D162" s="249">
        <f t="shared" si="66"/>
        <v>2.5048226213011304</v>
      </c>
      <c r="E162" s="249">
        <f t="shared" si="66"/>
        <v>2.6506533356144111</v>
      </c>
      <c r="F162" s="249">
        <f t="shared" si="66"/>
        <v>2.7925558841345226</v>
      </c>
      <c r="G162" s="249">
        <f t="shared" si="66"/>
        <v>2.9293407810275904</v>
      </c>
      <c r="H162" s="249">
        <f t="shared" si="66"/>
        <v>3.0598335099048368</v>
      </c>
      <c r="I162" s="249">
        <f t="shared" si="66"/>
        <v>3.185596407426166</v>
      </c>
      <c r="J162" s="249">
        <f t="shared" si="66"/>
        <v>3.3101214600325624</v>
      </c>
      <c r="K162" s="249">
        <f t="shared" si="66"/>
        <v>3.4330874632765078</v>
      </c>
      <c r="L162" s="249">
        <f t="shared" si="66"/>
        <v>3.5541680482427682</v>
      </c>
      <c r="M162" s="249">
        <f t="shared" si="66"/>
        <v>3.6730326199737435</v>
      </c>
      <c r="N162" s="249">
        <f t="shared" si="66"/>
        <v>3.7794060245567187</v>
      </c>
      <c r="O162" s="249">
        <f t="shared" si="66"/>
        <v>3.877624650631744</v>
      </c>
      <c r="P162" s="249">
        <f t="shared" si="66"/>
        <v>3.9639680473091512</v>
      </c>
      <c r="Q162" s="249">
        <f t="shared" si="66"/>
        <v>4.0398015308524844</v>
      </c>
      <c r="R162" s="249">
        <f t="shared" si="66"/>
        <v>4.1045446126418854</v>
      </c>
      <c r="S162" s="249">
        <f t="shared" si="66"/>
        <v>4.1651887142117978</v>
      </c>
      <c r="T162" s="249">
        <f t="shared" si="66"/>
        <v>4.2216015110251899</v>
      </c>
      <c r="U162" s="249">
        <f t="shared" si="66"/>
        <v>4.2736535356827314</v>
      </c>
      <c r="V162" s="249">
        <f t="shared" si="66"/>
        <v>4.3212183924181797</v>
      </c>
      <c r="W162" s="249">
        <f t="shared" si="66"/>
        <v>4.3641729709364512</v>
      </c>
      <c r="X162" s="249">
        <f t="shared" si="66"/>
        <v>4.3933391229508718</v>
      </c>
      <c r="Y162" s="249">
        <f t="shared" si="66"/>
        <v>4.4269811427551042</v>
      </c>
      <c r="Z162" s="249">
        <f t="shared" si="66"/>
        <v>4.4543627376206647</v>
      </c>
      <c r="AA162" s="249">
        <f t="shared" si="66"/>
        <v>4.4766994721616307</v>
      </c>
      <c r="AB162" s="249">
        <f t="shared" si="66"/>
        <v>4.4938915050252231</v>
      </c>
      <c r="AC162" s="249">
        <f t="shared" si="66"/>
        <v>4.5056900708054348</v>
      </c>
      <c r="AD162" s="249">
        <f t="shared" si="66"/>
        <v>4.5121979421369023</v>
      </c>
      <c r="AE162" s="249">
        <f t="shared" si="66"/>
        <v>4.513329826049727</v>
      </c>
      <c r="AF162" s="249">
        <f t="shared" si="66"/>
        <v>4.5090051678984144</v>
      </c>
      <c r="AG162" s="249">
        <f t="shared" si="66"/>
        <v>4.4991483247009443</v>
      </c>
      <c r="AI162" s="316"/>
      <c r="AJ162" s="211"/>
    </row>
    <row r="163" spans="1:36" s="67" customFormat="1" x14ac:dyDescent="0.2">
      <c r="A163" s="345" t="s">
        <v>1381</v>
      </c>
      <c r="B163" s="308" t="s">
        <v>704</v>
      </c>
      <c r="C163" s="309">
        <f>C129*C$148</f>
        <v>13.809598837176328</v>
      </c>
      <c r="D163" s="309">
        <f t="shared" ref="D163:AG168" si="67">D129*D$148</f>
        <v>14.659711572001173</v>
      </c>
      <c r="E163" s="309">
        <f t="shared" si="67"/>
        <v>15.503911844813004</v>
      </c>
      <c r="F163" s="309">
        <f t="shared" si="67"/>
        <v>16.336428126863225</v>
      </c>
      <c r="G163" s="309">
        <f t="shared" si="67"/>
        <v>17.151370689474717</v>
      </c>
      <c r="H163" s="309">
        <f t="shared" si="67"/>
        <v>17.9428005394693</v>
      </c>
      <c r="I163" s="309">
        <f t="shared" si="67"/>
        <v>18.722020486797138</v>
      </c>
      <c r="J163" s="309">
        <f t="shared" si="67"/>
        <v>19.50920310667842</v>
      </c>
      <c r="K163" s="309">
        <f t="shared" si="67"/>
        <v>20.303365444048818</v>
      </c>
      <c r="L163" s="309">
        <f t="shared" si="67"/>
        <v>21.103484994229614</v>
      </c>
      <c r="M163" s="309">
        <f t="shared" si="67"/>
        <v>21.90850151047578</v>
      </c>
      <c r="N163" s="309">
        <f t="shared" si="67"/>
        <v>22.561368398780097</v>
      </c>
      <c r="O163" s="309">
        <f t="shared" si="67"/>
        <v>23.175533887601997</v>
      </c>
      <c r="P163" s="309">
        <f t="shared" si="67"/>
        <v>23.730696382215591</v>
      </c>
      <c r="Q163" s="309">
        <f t="shared" si="67"/>
        <v>24.234193715217049</v>
      </c>
      <c r="R163" s="309">
        <f t="shared" si="67"/>
        <v>24.682644865248857</v>
      </c>
      <c r="S163" s="309">
        <f t="shared" si="67"/>
        <v>25.118200894088432</v>
      </c>
      <c r="T163" s="309">
        <f t="shared" si="67"/>
        <v>25.540360983711171</v>
      </c>
      <c r="U163" s="309">
        <f t="shared" si="67"/>
        <v>25.948636213878029</v>
      </c>
      <c r="V163" s="309">
        <f t="shared" si="67"/>
        <v>26.342550497534635</v>
      </c>
      <c r="W163" s="309">
        <f t="shared" si="67"/>
        <v>26.721641519019947</v>
      </c>
      <c r="X163" s="309">
        <f t="shared" si="67"/>
        <v>26.856720651590695</v>
      </c>
      <c r="Y163" s="309">
        <f t="shared" si="67"/>
        <v>27.015553568566336</v>
      </c>
      <c r="Z163" s="309">
        <f t="shared" si="67"/>
        <v>27.147388777227569</v>
      </c>
      <c r="AA163" s="309">
        <f t="shared" si="67"/>
        <v>27.253122886674142</v>
      </c>
      <c r="AB163" s="309">
        <f t="shared" si="67"/>
        <v>27.332371308511412</v>
      </c>
      <c r="AC163" s="309">
        <f t="shared" si="67"/>
        <v>27.383956900784341</v>
      </c>
      <c r="AD163" s="309">
        <f t="shared" si="67"/>
        <v>27.40863939923592</v>
      </c>
      <c r="AE163" s="309">
        <f t="shared" si="67"/>
        <v>27.406137539872997</v>
      </c>
      <c r="AF163" s="309">
        <f t="shared" si="67"/>
        <v>27.376204544520775</v>
      </c>
      <c r="AG163" s="309">
        <f t="shared" si="67"/>
        <v>27.318629286321606</v>
      </c>
      <c r="AI163" s="337"/>
      <c r="AJ163" s="348"/>
    </row>
    <row r="164" spans="1:36" x14ac:dyDescent="0.2">
      <c r="A164" s="346" t="s">
        <v>1382</v>
      </c>
      <c r="B164" s="302" t="s">
        <v>704</v>
      </c>
      <c r="C164" s="249">
        <f t="shared" ref="C164:R168" si="68">C130*C$148</f>
        <v>31.934697310970254</v>
      </c>
      <c r="D164" s="249">
        <f t="shared" si="68"/>
        <v>32.954795166897796</v>
      </c>
      <c r="E164" s="249">
        <f t="shared" si="68"/>
        <v>33.914807160528447</v>
      </c>
      <c r="F164" s="249">
        <f t="shared" si="68"/>
        <v>34.807730383941525</v>
      </c>
      <c r="G164" s="249">
        <f t="shared" si="68"/>
        <v>35.626928086592699</v>
      </c>
      <c r="H164" s="249">
        <f t="shared" si="68"/>
        <v>36.366211807674382</v>
      </c>
      <c r="I164" s="249">
        <f t="shared" si="68"/>
        <v>37.05399888011933</v>
      </c>
      <c r="J164" s="249">
        <f t="shared" si="68"/>
        <v>37.733171549234441</v>
      </c>
      <c r="K164" s="249">
        <f t="shared" si="68"/>
        <v>38.402747139237071</v>
      </c>
      <c r="L164" s="249">
        <f t="shared" si="68"/>
        <v>39.061739051819231</v>
      </c>
      <c r="M164" s="249">
        <f t="shared" si="68"/>
        <v>39.709158987737339</v>
      </c>
      <c r="N164" s="249">
        <f t="shared" si="68"/>
        <v>40.067064305760375</v>
      </c>
      <c r="O164" s="249">
        <f t="shared" si="68"/>
        <v>40.350259893592749</v>
      </c>
      <c r="P164" s="249">
        <f t="shared" si="68"/>
        <v>40.528442222533883</v>
      </c>
      <c r="Q164" s="249">
        <f t="shared" si="68"/>
        <v>40.619813329483108</v>
      </c>
      <c r="R164" s="249">
        <f t="shared" si="68"/>
        <v>40.623519674055395</v>
      </c>
      <c r="S164" s="249">
        <f t="shared" si="67"/>
        <v>40.612308510822309</v>
      </c>
      <c r="T164" s="249">
        <f t="shared" si="67"/>
        <v>40.586078956828239</v>
      </c>
      <c r="U164" s="249">
        <f t="shared" si="67"/>
        <v>40.544744084184401</v>
      </c>
      <c r="V164" s="249">
        <f t="shared" si="67"/>
        <v>40.488231313175021</v>
      </c>
      <c r="W164" s="249">
        <f t="shared" si="67"/>
        <v>40.416482797517638</v>
      </c>
      <c r="X164" s="249">
        <f t="shared" si="67"/>
        <v>39.988867146669932</v>
      </c>
      <c r="Y164" s="249">
        <f t="shared" si="67"/>
        <v>39.614153069291945</v>
      </c>
      <c r="Z164" s="249">
        <f t="shared" si="67"/>
        <v>39.21645194823553</v>
      </c>
      <c r="AA164" s="249">
        <f t="shared" si="67"/>
        <v>38.797848553945776</v>
      </c>
      <c r="AB164" s="249">
        <f t="shared" si="67"/>
        <v>38.358498370467665</v>
      </c>
      <c r="AC164" s="249">
        <f t="shared" si="67"/>
        <v>37.897440353763983</v>
      </c>
      <c r="AD164" s="249">
        <f t="shared" si="67"/>
        <v>37.416399179877921</v>
      </c>
      <c r="AE164" s="249">
        <f t="shared" si="67"/>
        <v>36.915594746596106</v>
      </c>
      <c r="AF164" s="249">
        <f t="shared" si="67"/>
        <v>36.395271931539732</v>
      </c>
      <c r="AG164" s="249">
        <f t="shared" si="67"/>
        <v>35.855700938297105</v>
      </c>
      <c r="AI164" s="296"/>
    </row>
    <row r="165" spans="1:36" x14ac:dyDescent="0.2">
      <c r="A165" s="346" t="s">
        <v>1383</v>
      </c>
      <c r="B165" s="302" t="s">
        <v>704</v>
      </c>
      <c r="C165" s="249">
        <f t="shared" si="68"/>
        <v>6.9047994185881638</v>
      </c>
      <c r="D165" s="249">
        <f t="shared" si="67"/>
        <v>6.8865177344279704</v>
      </c>
      <c r="E165" s="249">
        <f t="shared" si="67"/>
        <v>6.8435235877494893</v>
      </c>
      <c r="F165" s="249">
        <f t="shared" si="67"/>
        <v>6.7759048480739503</v>
      </c>
      <c r="G165" s="249">
        <f t="shared" si="67"/>
        <v>6.6839900481041159</v>
      </c>
      <c r="H165" s="249">
        <f t="shared" si="67"/>
        <v>6.5683466260557237</v>
      </c>
      <c r="I165" s="249">
        <f t="shared" si="67"/>
        <v>6.4356945423365133</v>
      </c>
      <c r="J165" s="249">
        <f t="shared" si="67"/>
        <v>6.2943543807019875</v>
      </c>
      <c r="K165" s="249">
        <f t="shared" si="67"/>
        <v>6.1444395422779285</v>
      </c>
      <c r="L165" s="249">
        <f t="shared" si="67"/>
        <v>5.9860846858632044</v>
      </c>
      <c r="M165" s="249">
        <f t="shared" si="67"/>
        <v>5.8194457137201256</v>
      </c>
      <c r="N165" s="249">
        <f t="shared" si="67"/>
        <v>5.6059497698188316</v>
      </c>
      <c r="O165" s="249">
        <f t="shared" si="67"/>
        <v>5.3800346524790319</v>
      </c>
      <c r="P165" s="249">
        <f t="shared" si="67"/>
        <v>5.1393513967298263</v>
      </c>
      <c r="Q165" s="249">
        <f t="shared" si="67"/>
        <v>4.8881470277852541</v>
      </c>
      <c r="R165" s="249">
        <f t="shared" si="67"/>
        <v>4.627995912234157</v>
      </c>
      <c r="S165" s="249">
        <f t="shared" si="67"/>
        <v>4.3683827641892892</v>
      </c>
      <c r="T165" s="249">
        <f t="shared" si="67"/>
        <v>4.1095527646662893</v>
      </c>
      <c r="U165" s="249">
        <f t="shared" si="67"/>
        <v>3.8517506879975163</v>
      </c>
      <c r="V165" s="249">
        <f t="shared" si="67"/>
        <v>3.5952205398420958</v>
      </c>
      <c r="W165" s="249">
        <f t="shared" si="67"/>
        <v>3.3402051898774889</v>
      </c>
      <c r="X165" s="249">
        <f t="shared" si="67"/>
        <v>3.0608762507327585</v>
      </c>
      <c r="Y165" s="249">
        <f t="shared" si="67"/>
        <v>2.7924730852123814</v>
      </c>
      <c r="Z165" s="249">
        <f t="shared" si="67"/>
        <v>2.5290609827841677</v>
      </c>
      <c r="AA165" s="249">
        <f t="shared" si="67"/>
        <v>2.2710935738895071</v>
      </c>
      <c r="AB165" s="249">
        <f t="shared" si="67"/>
        <v>2.0188683352877703</v>
      </c>
      <c r="AC165" s="249">
        <f t="shared" si="67"/>
        <v>1.7726222100954103</v>
      </c>
      <c r="AD165" s="249">
        <f t="shared" si="67"/>
        <v>1.5327199664046358</v>
      </c>
      <c r="AE165" s="249">
        <f t="shared" si="67"/>
        <v>1.2994289350801809</v>
      </c>
      <c r="AF165" s="249">
        <f t="shared" si="67"/>
        <v>1.0730080171051533</v>
      </c>
      <c r="AG165" s="249">
        <f t="shared" si="67"/>
        <v>0.85370716519755019</v>
      </c>
      <c r="AI165" s="296"/>
    </row>
    <row r="166" spans="1:36" x14ac:dyDescent="0.2">
      <c r="A166" s="346" t="s">
        <v>1384</v>
      </c>
      <c r="B166" s="302" t="s">
        <v>704</v>
      </c>
      <c r="C166" s="249">
        <f t="shared" si="68"/>
        <v>23.303698037735053</v>
      </c>
      <c r="D166" s="249">
        <f t="shared" si="67"/>
        <v>23.615140213768022</v>
      </c>
      <c r="E166" s="249">
        <f t="shared" si="67"/>
        <v>23.861489323657519</v>
      </c>
      <c r="F166" s="249">
        <f t="shared" si="67"/>
        <v>24.040539118508956</v>
      </c>
      <c r="G166" s="249">
        <f t="shared" si="67"/>
        <v>24.150643287017719</v>
      </c>
      <c r="H166" s="249">
        <f t="shared" si="67"/>
        <v>24.190740013034514</v>
      </c>
      <c r="I166" s="249">
        <f t="shared" si="67"/>
        <v>24.182609795446314</v>
      </c>
      <c r="J166" s="249">
        <f t="shared" si="67"/>
        <v>24.155820738505557</v>
      </c>
      <c r="K166" s="249">
        <f t="shared" si="67"/>
        <v>24.110246464807982</v>
      </c>
      <c r="L166" s="249">
        <f t="shared" si="67"/>
        <v>24.045797805925098</v>
      </c>
      <c r="M166" s="249">
        <f t="shared" si="67"/>
        <v>23.96242352708289</v>
      </c>
      <c r="N166" s="249">
        <f t="shared" si="67"/>
        <v>23.696315284694347</v>
      </c>
      <c r="O166" s="249">
        <f t="shared" si="67"/>
        <v>23.382458297312734</v>
      </c>
      <c r="P166" s="249">
        <f t="shared" si="67"/>
        <v>23.006358265897969</v>
      </c>
      <c r="Q166" s="249">
        <f t="shared" si="67"/>
        <v>22.581862325543167</v>
      </c>
      <c r="R166" s="249">
        <f t="shared" si="67"/>
        <v>22.11153602511877</v>
      </c>
      <c r="S166" s="249">
        <f t="shared" si="67"/>
        <v>21.637145878875092</v>
      </c>
      <c r="T166" s="249">
        <f t="shared" si="67"/>
        <v>21.15910225113306</v>
      </c>
      <c r="U166" s="249">
        <f t="shared" si="67"/>
        <v>20.677819482934051</v>
      </c>
      <c r="V166" s="249">
        <f t="shared" si="67"/>
        <v>20.193715368645805</v>
      </c>
      <c r="W166" s="249">
        <f t="shared" si="67"/>
        <v>19.707210620277202</v>
      </c>
      <c r="X166" s="249">
        <f t="shared" si="67"/>
        <v>19.05642310940074</v>
      </c>
      <c r="Y166" s="249">
        <f t="shared" si="67"/>
        <v>18.443310609309695</v>
      </c>
      <c r="Z166" s="249">
        <f t="shared" si="67"/>
        <v>17.831480600136487</v>
      </c>
      <c r="AA166" s="249">
        <f t="shared" si="67"/>
        <v>17.222459601995446</v>
      </c>
      <c r="AB166" s="249">
        <f t="shared" si="67"/>
        <v>16.616839375060895</v>
      </c>
      <c r="AC166" s="249">
        <f t="shared" si="67"/>
        <v>16.014724794655105</v>
      </c>
      <c r="AD166" s="249">
        <f t="shared" si="67"/>
        <v>15.417359662070179</v>
      </c>
      <c r="AE166" s="249">
        <f t="shared" si="67"/>
        <v>14.825302850232998</v>
      </c>
      <c r="AF166" s="249">
        <f t="shared" si="67"/>
        <v>14.239106389152198</v>
      </c>
      <c r="AG166" s="249">
        <f t="shared" si="67"/>
        <v>13.659314643160803</v>
      </c>
      <c r="AI166" s="296"/>
    </row>
    <row r="167" spans="1:36" x14ac:dyDescent="0.2">
      <c r="A167" s="346" t="s">
        <v>1385</v>
      </c>
      <c r="B167" s="302" t="s">
        <v>704</v>
      </c>
      <c r="C167" s="249">
        <f t="shared" si="68"/>
        <v>6.0416994912646436</v>
      </c>
      <c r="D167" s="249">
        <f t="shared" si="67"/>
        <v>6.1771768519117849</v>
      </c>
      <c r="E167" s="249">
        <f t="shared" si="67"/>
        <v>6.2984641869552833</v>
      </c>
      <c r="F167" s="249">
        <f t="shared" si="67"/>
        <v>6.4046223906452413</v>
      </c>
      <c r="G167" s="249">
        <f t="shared" si="67"/>
        <v>6.4948205184407932</v>
      </c>
      <c r="H167" s="249">
        <f t="shared" si="67"/>
        <v>6.5683466260557255</v>
      </c>
      <c r="I167" s="249">
        <f t="shared" si="67"/>
        <v>6.6307155890739855</v>
      </c>
      <c r="J167" s="249">
        <f t="shared" si="67"/>
        <v>6.689811200431957</v>
      </c>
      <c r="K167" s="249">
        <f t="shared" si="67"/>
        <v>6.745526019239902</v>
      </c>
      <c r="L167" s="249">
        <f t="shared" si="67"/>
        <v>6.7977571856412675</v>
      </c>
      <c r="M167" s="249">
        <f t="shared" si="67"/>
        <v>6.8464067220236782</v>
      </c>
      <c r="N167" s="249">
        <f t="shared" si="67"/>
        <v>6.8440736453616422</v>
      </c>
      <c r="O167" s="249">
        <f t="shared" si="67"/>
        <v>6.828505520454156</v>
      </c>
      <c r="P167" s="249">
        <f t="shared" si="67"/>
        <v>6.7949813768844018</v>
      </c>
      <c r="Q167" s="249">
        <f t="shared" si="67"/>
        <v>6.7470198411683793</v>
      </c>
      <c r="R167" s="249">
        <f t="shared" si="67"/>
        <v>6.6848829843382269</v>
      </c>
      <c r="S167" s="249">
        <f t="shared" si="67"/>
        <v>6.6208301269743908</v>
      </c>
      <c r="T167" s="249">
        <f t="shared" si="67"/>
        <v>6.5549064758726754</v>
      </c>
      <c r="U167" s="249">
        <f t="shared" si="67"/>
        <v>6.4871590534695001</v>
      </c>
      <c r="V167" s="249">
        <f t="shared" si="67"/>
        <v>6.4176366645779455</v>
      </c>
      <c r="W167" s="249">
        <f t="shared" si="67"/>
        <v>6.3463898607672284</v>
      </c>
      <c r="X167" s="249">
        <f t="shared" si="67"/>
        <v>6.2204904450375409</v>
      </c>
      <c r="Y167" s="249">
        <f t="shared" si="67"/>
        <v>6.1044760467433443</v>
      </c>
      <c r="Z167" s="249">
        <f t="shared" si="67"/>
        <v>5.9865114402612569</v>
      </c>
      <c r="AA167" s="249">
        <f t="shared" si="67"/>
        <v>5.8669917325478949</v>
      </c>
      <c r="AB167" s="249">
        <f t="shared" si="67"/>
        <v>5.7460098773575021</v>
      </c>
      <c r="AC167" s="249">
        <f t="shared" si="67"/>
        <v>5.6234911492682018</v>
      </c>
      <c r="AD167" s="249">
        <f t="shared" si="67"/>
        <v>5.4997598794519327</v>
      </c>
      <c r="AE167" s="249">
        <f t="shared" si="67"/>
        <v>5.3749105951043914</v>
      </c>
      <c r="AF167" s="249">
        <f t="shared" si="67"/>
        <v>5.2490392188117054</v>
      </c>
      <c r="AG167" s="249">
        <f t="shared" si="67"/>
        <v>5.1222429911853009</v>
      </c>
      <c r="AI167" s="296"/>
    </row>
    <row r="168" spans="1:36" s="68" customFormat="1" x14ac:dyDescent="0.2">
      <c r="A168" s="347" t="s">
        <v>1386</v>
      </c>
      <c r="B168" s="312" t="s">
        <v>704</v>
      </c>
      <c r="C168" s="313">
        <f t="shared" si="68"/>
        <v>4.3154996366176022</v>
      </c>
      <c r="D168" s="313">
        <f t="shared" si="67"/>
        <v>4.3742687755164793</v>
      </c>
      <c r="E168" s="313">
        <f t="shared" si="67"/>
        <v>4.4210373619974579</v>
      </c>
      <c r="F168" s="313">
        <f t="shared" si="67"/>
        <v>4.4553894891445154</v>
      </c>
      <c r="G168" s="313">
        <f t="shared" si="67"/>
        <v>4.4770122020320029</v>
      </c>
      <c r="H168" s="313">
        <f t="shared" si="67"/>
        <v>4.4857001348673249</v>
      </c>
      <c r="I168" s="313">
        <f t="shared" si="67"/>
        <v>4.4854840749618132</v>
      </c>
      <c r="J168" s="313">
        <f t="shared" si="67"/>
        <v>4.4818439569396364</v>
      </c>
      <c r="K168" s="313">
        <f t="shared" si="67"/>
        <v>4.474754884050232</v>
      </c>
      <c r="L168" s="313">
        <f t="shared" si="67"/>
        <v>4.4641987487793404</v>
      </c>
      <c r="M168" s="313">
        <f t="shared" si="67"/>
        <v>4.4501643693153907</v>
      </c>
      <c r="N168" s="313">
        <f t="shared" si="67"/>
        <v>4.4022182241522119</v>
      </c>
      <c r="O168" s="313">
        <f t="shared" si="67"/>
        <v>4.3454126039253724</v>
      </c>
      <c r="P168" s="313">
        <f t="shared" si="67"/>
        <v>4.2770441153993186</v>
      </c>
      <c r="Q168" s="313">
        <f t="shared" si="67"/>
        <v>4.1996756154211337</v>
      </c>
      <c r="R168" s="313">
        <f t="shared" si="67"/>
        <v>4.1137741442081399</v>
      </c>
      <c r="S168" s="313">
        <f t="shared" si="67"/>
        <v>4.027102860737001</v>
      </c>
      <c r="T168" s="313">
        <f t="shared" si="67"/>
        <v>3.9397365347214008</v>
      </c>
      <c r="U168" s="313">
        <f t="shared" si="67"/>
        <v>3.8517506879975159</v>
      </c>
      <c r="V168" s="313">
        <f t="shared" si="67"/>
        <v>3.7632214996478002</v>
      </c>
      <c r="W168" s="313">
        <f t="shared" si="67"/>
        <v>3.674225708865237</v>
      </c>
      <c r="X168" s="313">
        <f t="shared" si="67"/>
        <v>3.5545659685928799</v>
      </c>
      <c r="Y168" s="313">
        <f t="shared" si="67"/>
        <v>3.4418854306106086</v>
      </c>
      <c r="Z168" s="313">
        <f t="shared" si="67"/>
        <v>3.3293967368297892</v>
      </c>
      <c r="AA168" s="313">
        <f t="shared" si="67"/>
        <v>3.2173825630101347</v>
      </c>
      <c r="AB168" s="313">
        <f t="shared" si="67"/>
        <v>3.1059512850581075</v>
      </c>
      <c r="AC168" s="313">
        <f t="shared" si="67"/>
        <v>2.9951202860232793</v>
      </c>
      <c r="AD168" s="313">
        <f t="shared" si="67"/>
        <v>2.8851199367616673</v>
      </c>
      <c r="AE168" s="313">
        <f t="shared" si="67"/>
        <v>2.7760527249440234</v>
      </c>
      <c r="AF168" s="313">
        <f t="shared" si="67"/>
        <v>2.6680199344236262</v>
      </c>
      <c r="AG168" s="313">
        <f t="shared" si="67"/>
        <v>2.5611214955926505</v>
      </c>
      <c r="AI168" s="314"/>
      <c r="AJ168" s="315"/>
    </row>
    <row r="169" spans="1:36" s="181" customFormat="1" x14ac:dyDescent="0.2">
      <c r="B169" s="176"/>
      <c r="C169" s="110"/>
      <c r="D169" s="110"/>
      <c r="E169" s="110"/>
      <c r="F169" s="110"/>
      <c r="G169" s="110"/>
      <c r="H169" s="110"/>
      <c r="I169" s="110"/>
      <c r="J169" s="110"/>
      <c r="K169" s="110"/>
      <c r="L169" s="110"/>
      <c r="M169" s="110"/>
      <c r="N169" s="110"/>
      <c r="O169" s="110"/>
      <c r="P169" s="110"/>
      <c r="Q169" s="110"/>
      <c r="R169" s="110"/>
      <c r="S169" s="110"/>
      <c r="T169" s="110"/>
      <c r="U169" s="110"/>
      <c r="V169" s="110"/>
      <c r="W169" s="110"/>
      <c r="X169" s="110"/>
      <c r="Y169" s="110"/>
      <c r="Z169" s="110"/>
      <c r="AA169" s="110"/>
      <c r="AB169" s="110"/>
      <c r="AC169" s="110"/>
      <c r="AD169" s="110"/>
      <c r="AE169" s="110"/>
      <c r="AF169" s="110"/>
      <c r="AG169" s="110"/>
      <c r="AJ169" s="323"/>
    </row>
    <row r="170" spans="1:36" s="181" customFormat="1" x14ac:dyDescent="0.2">
      <c r="A170" s="181" t="s">
        <v>1507</v>
      </c>
      <c r="B170" s="350" t="s">
        <v>704</v>
      </c>
      <c r="C170" s="230">
        <f>C103</f>
        <v>4.8226258181960828</v>
      </c>
      <c r="D170" s="230">
        <f t="shared" ref="D170:AG170" si="69">D103</f>
        <v>5.3423153258457976</v>
      </c>
      <c r="E170" s="230">
        <f t="shared" si="69"/>
        <v>5.880991111691559</v>
      </c>
      <c r="F170" s="230">
        <f t="shared" si="69"/>
        <v>6.4359498279922605</v>
      </c>
      <c r="G170" s="230">
        <f t="shared" si="69"/>
        <v>7.0041700145154167</v>
      </c>
      <c r="H170" s="230">
        <f t="shared" si="69"/>
        <v>7.5823362785741857</v>
      </c>
      <c r="I170" s="230">
        <f t="shared" si="69"/>
        <v>8.1669385876453848</v>
      </c>
      <c r="J170" s="230">
        <f t="shared" si="69"/>
        <v>8.7735785580571175</v>
      </c>
      <c r="K170" s="230">
        <f t="shared" si="69"/>
        <v>9.4022195651994167</v>
      </c>
      <c r="L170" s="230">
        <f t="shared" si="69"/>
        <v>10.052776426784835</v>
      </c>
      <c r="M170" s="230">
        <f t="shared" si="69"/>
        <v>10.725113966264903</v>
      </c>
      <c r="N170" s="230">
        <f t="shared" si="69"/>
        <v>11.829721736590145</v>
      </c>
      <c r="O170" s="230">
        <f t="shared" si="69"/>
        <v>12.956320937231716</v>
      </c>
      <c r="P170" s="230">
        <f t="shared" si="69"/>
        <v>14.081815871349141</v>
      </c>
      <c r="Q170" s="230">
        <f t="shared" si="69"/>
        <v>15.211006661054896</v>
      </c>
      <c r="R170" s="230">
        <f t="shared" si="69"/>
        <v>16.337493831767105</v>
      </c>
      <c r="S170" s="230">
        <f t="shared" si="69"/>
        <v>17.486159364118933</v>
      </c>
      <c r="T170" s="230">
        <f t="shared" si="69"/>
        <v>18.656539415537008</v>
      </c>
      <c r="U170" s="230">
        <f t="shared" si="69"/>
        <v>19.848140320708453</v>
      </c>
      <c r="V170" s="230">
        <f t="shared" si="69"/>
        <v>21.060438448936367</v>
      </c>
      <c r="W170" s="230">
        <f t="shared" si="69"/>
        <v>22.29288008905484</v>
      </c>
      <c r="X170" s="230">
        <f t="shared" si="69"/>
        <v>24.132496948620126</v>
      </c>
      <c r="Y170" s="230">
        <f t="shared" si="69"/>
        <v>26.077785394866105</v>
      </c>
      <c r="Z170" s="230">
        <f t="shared" si="69"/>
        <v>28.018154032436328</v>
      </c>
      <c r="AA170" s="230">
        <f t="shared" si="69"/>
        <v>29.984613092558</v>
      </c>
      <c r="AB170" s="230">
        <f t="shared" si="69"/>
        <v>31.976045841194392</v>
      </c>
      <c r="AC170" s="230">
        <f t="shared" si="69"/>
        <v>33.989775543433908</v>
      </c>
      <c r="AD170" s="230">
        <f t="shared" si="69"/>
        <v>36.026283722665468</v>
      </c>
      <c r="AE170" s="230">
        <f t="shared" si="69"/>
        <v>38.084378438630978</v>
      </c>
      <c r="AF170" s="230">
        <f t="shared" si="69"/>
        <v>40.162826182020765</v>
      </c>
      <c r="AG170" s="230">
        <f t="shared" si="69"/>
        <v>42.260352059497436</v>
      </c>
      <c r="AI170" s="694" t="s">
        <v>1391</v>
      </c>
      <c r="AJ170" s="323"/>
    </row>
    <row r="171" spans="1:36" s="181" customFormat="1" x14ac:dyDescent="0.2">
      <c r="A171" s="181" t="s">
        <v>1508</v>
      </c>
      <c r="B171" s="349" t="s">
        <v>704</v>
      </c>
      <c r="C171" s="249">
        <f>C170/(1-C128)</f>
        <v>6.6063367372549084</v>
      </c>
      <c r="D171" s="249">
        <f t="shared" ref="D171:AG171" si="70">D170/(1-D128)</f>
        <v>7.2783587545583073</v>
      </c>
      <c r="E171" s="249">
        <f t="shared" si="70"/>
        <v>7.9688226445685082</v>
      </c>
      <c r="F171" s="249">
        <f t="shared" si="70"/>
        <v>8.6737868301782495</v>
      </c>
      <c r="G171" s="249">
        <f t="shared" si="70"/>
        <v>9.3889678478758931</v>
      </c>
      <c r="H171" s="249">
        <f t="shared" si="70"/>
        <v>10.109781704765581</v>
      </c>
      <c r="I171" s="249">
        <f t="shared" si="70"/>
        <v>10.831483537991227</v>
      </c>
      <c r="J171" s="249">
        <f t="shared" si="70"/>
        <v>11.574641897172977</v>
      </c>
      <c r="K171" s="249">
        <f t="shared" si="70"/>
        <v>12.338870820471675</v>
      </c>
      <c r="L171" s="249">
        <f t="shared" si="70"/>
        <v>13.123729016690385</v>
      </c>
      <c r="M171" s="249">
        <f t="shared" si="70"/>
        <v>13.928719436707667</v>
      </c>
      <c r="N171" s="249">
        <f t="shared" si="70"/>
        <v>15.283878212648766</v>
      </c>
      <c r="O171" s="249">
        <f t="shared" si="70"/>
        <v>16.653368813922512</v>
      </c>
      <c r="P171" s="249">
        <f t="shared" si="70"/>
        <v>18.007437175638287</v>
      </c>
      <c r="Q171" s="249">
        <f t="shared" si="70"/>
        <v>19.35242577742353</v>
      </c>
      <c r="R171" s="249">
        <f t="shared" si="70"/>
        <v>20.680371938945701</v>
      </c>
      <c r="S171" s="249">
        <f t="shared" si="70"/>
        <v>22.02287073566616</v>
      </c>
      <c r="T171" s="249">
        <f t="shared" si="70"/>
        <v>23.379122074607778</v>
      </c>
      <c r="U171" s="249">
        <f t="shared" si="70"/>
        <v>24.748304639287348</v>
      </c>
      <c r="V171" s="249">
        <f t="shared" si="70"/>
        <v>26.129576239375144</v>
      </c>
      <c r="W171" s="249">
        <f t="shared" si="70"/>
        <v>27.522074184018319</v>
      </c>
      <c r="X171" s="249">
        <f t="shared" si="70"/>
        <v>29.646802148181973</v>
      </c>
      <c r="Y171" s="249">
        <f t="shared" si="70"/>
        <v>31.879933245557584</v>
      </c>
      <c r="Z171" s="249">
        <f t="shared" si="70"/>
        <v>34.085345538243708</v>
      </c>
      <c r="AA171" s="249">
        <f t="shared" si="70"/>
        <v>36.300984373556901</v>
      </c>
      <c r="AB171" s="249">
        <f t="shared" si="70"/>
        <v>38.525356435173961</v>
      </c>
      <c r="AC171" s="249">
        <f t="shared" si="70"/>
        <v>40.755126550879979</v>
      </c>
      <c r="AD171" s="249">
        <f t="shared" si="70"/>
        <v>42.990792031820362</v>
      </c>
      <c r="AE171" s="249">
        <f t="shared" si="70"/>
        <v>45.230853252530849</v>
      </c>
      <c r="AF171" s="249">
        <f t="shared" si="70"/>
        <v>47.473789813263309</v>
      </c>
      <c r="AG171" s="249">
        <f t="shared" si="70"/>
        <v>49.71806124646757</v>
      </c>
      <c r="AI171" s="694"/>
      <c r="AJ171" s="323"/>
    </row>
    <row r="172" spans="1:36" s="181" customFormat="1" x14ac:dyDescent="0.2">
      <c r="A172" s="181" t="s">
        <v>1509</v>
      </c>
      <c r="B172" s="349" t="s">
        <v>704</v>
      </c>
      <c r="C172" s="249">
        <f>C160</f>
        <v>3.6361914801668704</v>
      </c>
      <c r="D172" s="249">
        <f t="shared" ref="D172:AG172" si="71">D160</f>
        <v>4.1399251231503325</v>
      </c>
      <c r="E172" s="249">
        <f t="shared" si="71"/>
        <v>4.6621385763821968</v>
      </c>
      <c r="F172" s="249">
        <f t="shared" si="71"/>
        <v>5.1999997842476651</v>
      </c>
      <c r="G172" s="249">
        <f t="shared" si="71"/>
        <v>5.750383412645232</v>
      </c>
      <c r="H172" s="249">
        <f t="shared" si="71"/>
        <v>6.3098992088556169</v>
      </c>
      <c r="I172" s="249">
        <f t="shared" si="71"/>
        <v>6.8807694525403731</v>
      </c>
      <c r="J172" s="249">
        <f t="shared" si="71"/>
        <v>7.4703190697540451</v>
      </c>
      <c r="K172" s="249">
        <f t="shared" si="71"/>
        <v>8.0783580733243205</v>
      </c>
      <c r="L172" s="249">
        <f t="shared" si="71"/>
        <v>8.7046542887212759</v>
      </c>
      <c r="M172" s="249">
        <f t="shared" si="71"/>
        <v>9.348932664969416</v>
      </c>
      <c r="N172" s="249">
        <f t="shared" si="71"/>
        <v>9.9846112648841778</v>
      </c>
      <c r="O172" s="249">
        <f t="shared" si="71"/>
        <v>10.621225333859179</v>
      </c>
      <c r="P172" s="249">
        <f t="shared" si="71"/>
        <v>11.247186243270868</v>
      </c>
      <c r="Q172" s="249">
        <f t="shared" si="71"/>
        <v>11.864399107735222</v>
      </c>
      <c r="R172" s="249">
        <f t="shared" si="71"/>
        <v>12.469400788093072</v>
      </c>
      <c r="S172" s="249">
        <f t="shared" si="71"/>
        <v>13.08225523356475</v>
      </c>
      <c r="T172" s="249">
        <f t="shared" si="71"/>
        <v>13.702799126684374</v>
      </c>
      <c r="U172" s="249">
        <f t="shared" si="71"/>
        <v>14.330861995601081</v>
      </c>
      <c r="V172" s="249">
        <f t="shared" si="71"/>
        <v>14.966266236044364</v>
      </c>
      <c r="W172" s="249">
        <f t="shared" si="71"/>
        <v>15.608827139773096</v>
      </c>
      <c r="X172" s="249">
        <f t="shared" si="71"/>
        <v>16.224899141040154</v>
      </c>
      <c r="Y172" s="249">
        <f t="shared" si="71"/>
        <v>16.881105853122733</v>
      </c>
      <c r="Z172" s="249">
        <f t="shared" si="71"/>
        <v>17.53877251839528</v>
      </c>
      <c r="AA172" s="249">
        <f t="shared" si="71"/>
        <v>18.202564863700943</v>
      </c>
      <c r="AB172" s="249">
        <f t="shared" si="71"/>
        <v>18.872268371585111</v>
      </c>
      <c r="AC172" s="249">
        <f t="shared" si="71"/>
        <v>19.546996550781405</v>
      </c>
      <c r="AD172" s="249">
        <f t="shared" si="71"/>
        <v>20.227322784723739</v>
      </c>
      <c r="AE172" s="249">
        <f t="shared" si="71"/>
        <v>20.91303113190834</v>
      </c>
      <c r="AF172" s="249">
        <f t="shared" si="71"/>
        <v>21.603899618845613</v>
      </c>
      <c r="AG172" s="249">
        <f t="shared" si="71"/>
        <v>22.29970030216699</v>
      </c>
      <c r="AI172" s="694"/>
      <c r="AJ172" s="323"/>
    </row>
    <row r="173" spans="1:36" s="181" customFormat="1" x14ac:dyDescent="0.2">
      <c r="A173" s="181" t="s">
        <v>1510</v>
      </c>
      <c r="B173" s="349" t="s">
        <v>704</v>
      </c>
      <c r="C173" s="249">
        <f>C171-C172</f>
        <v>2.970145257088038</v>
      </c>
      <c r="D173" s="249">
        <f t="shared" ref="D173:AG173" si="72">D171-D172</f>
        <v>3.1384336314079748</v>
      </c>
      <c r="E173" s="249">
        <f t="shared" si="72"/>
        <v>3.3066840681863114</v>
      </c>
      <c r="F173" s="249">
        <f t="shared" si="72"/>
        <v>3.4737870459305844</v>
      </c>
      <c r="G173" s="249">
        <f t="shared" si="72"/>
        <v>3.6385844352306611</v>
      </c>
      <c r="H173" s="249">
        <f t="shared" si="72"/>
        <v>3.799882495909964</v>
      </c>
      <c r="I173" s="249">
        <f t="shared" si="72"/>
        <v>3.950714085450854</v>
      </c>
      <c r="J173" s="249">
        <f t="shared" si="72"/>
        <v>4.1043228274189323</v>
      </c>
      <c r="K173" s="249">
        <f t="shared" si="72"/>
        <v>4.2605127471473541</v>
      </c>
      <c r="L173" s="249">
        <f t="shared" si="72"/>
        <v>4.4190747279691092</v>
      </c>
      <c r="M173" s="249">
        <f t="shared" si="72"/>
        <v>4.5797867717382506</v>
      </c>
      <c r="N173" s="249">
        <f t="shared" si="72"/>
        <v>5.299266947764588</v>
      </c>
      <c r="O173" s="249">
        <f t="shared" si="72"/>
        <v>6.0321434800633327</v>
      </c>
      <c r="P173" s="249">
        <f t="shared" si="72"/>
        <v>6.7602509323674198</v>
      </c>
      <c r="Q173" s="249">
        <f t="shared" si="72"/>
        <v>7.488026669688308</v>
      </c>
      <c r="R173" s="249">
        <f t="shared" si="72"/>
        <v>8.2109711508526289</v>
      </c>
      <c r="S173" s="249">
        <f t="shared" si="72"/>
        <v>8.9406155021014104</v>
      </c>
      <c r="T173" s="249">
        <f t="shared" si="72"/>
        <v>9.6763229479234045</v>
      </c>
      <c r="U173" s="249">
        <f t="shared" si="72"/>
        <v>10.417442643686266</v>
      </c>
      <c r="V173" s="249">
        <f t="shared" si="72"/>
        <v>11.16331000333078</v>
      </c>
      <c r="W173" s="249">
        <f t="shared" si="72"/>
        <v>11.913247044245223</v>
      </c>
      <c r="X173" s="249">
        <f t="shared" si="72"/>
        <v>13.421903007141818</v>
      </c>
      <c r="Y173" s="249">
        <f t="shared" si="72"/>
        <v>14.998827392434851</v>
      </c>
      <c r="Z173" s="249">
        <f t="shared" si="72"/>
        <v>16.546573019848427</v>
      </c>
      <c r="AA173" s="249">
        <f t="shared" si="72"/>
        <v>18.098419509855958</v>
      </c>
      <c r="AB173" s="249">
        <f t="shared" si="72"/>
        <v>19.65308806358885</v>
      </c>
      <c r="AC173" s="249">
        <f t="shared" si="72"/>
        <v>21.208130000098574</v>
      </c>
      <c r="AD173" s="249">
        <f t="shared" si="72"/>
        <v>22.763469247096623</v>
      </c>
      <c r="AE173" s="249">
        <f t="shared" si="72"/>
        <v>24.317822120622509</v>
      </c>
      <c r="AF173" s="249">
        <f t="shared" si="72"/>
        <v>25.869890194417696</v>
      </c>
      <c r="AG173" s="249">
        <f t="shared" si="72"/>
        <v>27.418360944300581</v>
      </c>
      <c r="AI173" s="694"/>
      <c r="AJ173" s="323"/>
    </row>
    <row r="174" spans="1:36" s="181" customFormat="1" x14ac:dyDescent="0.2">
      <c r="A174" s="181" t="s">
        <v>1511</v>
      </c>
      <c r="B174" s="349" t="s">
        <v>704</v>
      </c>
      <c r="C174" s="249">
        <f>(C173)/(1-C125)</f>
        <v>3.7126815713600472</v>
      </c>
      <c r="D174" s="249">
        <f t="shared" ref="D174:AG174" si="73">(D171-D160)/(1-D125)</f>
        <v>3.9067638565244498</v>
      </c>
      <c r="E174" s="249">
        <f t="shared" si="73"/>
        <v>4.099195125850799</v>
      </c>
      <c r="F174" s="249">
        <f t="shared" si="73"/>
        <v>4.288625982630351</v>
      </c>
      <c r="G174" s="249">
        <f t="shared" si="73"/>
        <v>4.4736693875786822</v>
      </c>
      <c r="H174" s="249">
        <f t="shared" si="73"/>
        <v>4.6529173419305678</v>
      </c>
      <c r="I174" s="249">
        <f t="shared" si="73"/>
        <v>4.8179440066473829</v>
      </c>
      <c r="J174" s="249">
        <f t="shared" si="73"/>
        <v>4.9850074826950603</v>
      </c>
      <c r="K174" s="249">
        <f t="shared" si="73"/>
        <v>5.1538460650976061</v>
      </c>
      <c r="L174" s="249">
        <f t="shared" si="73"/>
        <v>5.3241864192398909</v>
      </c>
      <c r="M174" s="249">
        <f t="shared" si="73"/>
        <v>5.495744126085901</v>
      </c>
      <c r="N174" s="249">
        <f t="shared" si="73"/>
        <v>6.3337851965313812</v>
      </c>
      <c r="O174" s="249">
        <f t="shared" si="73"/>
        <v>7.1811231905515873</v>
      </c>
      <c r="P174" s="249">
        <f t="shared" si="73"/>
        <v>8.0161078249416047</v>
      </c>
      <c r="Q174" s="249">
        <f t="shared" si="73"/>
        <v>8.8441259878208367</v>
      </c>
      <c r="R174" s="249">
        <f t="shared" si="73"/>
        <v>9.6599660598266244</v>
      </c>
      <c r="S174" s="249">
        <f t="shared" si="73"/>
        <v>10.477283791525091</v>
      </c>
      <c r="T174" s="249">
        <f t="shared" si="73"/>
        <v>11.295318616253002</v>
      </c>
      <c r="U174" s="249">
        <f t="shared" si="73"/>
        <v>12.113305399635195</v>
      </c>
      <c r="V174" s="249">
        <f t="shared" si="73"/>
        <v>12.930474907332952</v>
      </c>
      <c r="W174" s="249">
        <f t="shared" si="73"/>
        <v>13.746054281821413</v>
      </c>
      <c r="X174" s="249">
        <f t="shared" si="73"/>
        <v>15.427474720852667</v>
      </c>
      <c r="Y174" s="249">
        <f t="shared" si="73"/>
        <v>17.174229838665863</v>
      </c>
      <c r="Z174" s="249">
        <f t="shared" si="73"/>
        <v>18.87441789336323</v>
      </c>
      <c r="AA174" s="249">
        <f t="shared" si="73"/>
        <v>20.566385806654502</v>
      </c>
      <c r="AB174" s="249">
        <f t="shared" si="73"/>
        <v>22.248778939911908</v>
      </c>
      <c r="AC174" s="249">
        <f t="shared" si="73"/>
        <v>23.918943609133734</v>
      </c>
      <c r="AD174" s="249">
        <f t="shared" si="73"/>
        <v>25.576931738310819</v>
      </c>
      <c r="AE174" s="249">
        <f t="shared" si="73"/>
        <v>27.221442672338636</v>
      </c>
      <c r="AF174" s="249">
        <f t="shared" si="73"/>
        <v>28.851178655484425</v>
      </c>
      <c r="AG174" s="249">
        <f t="shared" si="73"/>
        <v>30.464845493667312</v>
      </c>
      <c r="AI174" s="694"/>
      <c r="AJ174" s="323"/>
    </row>
    <row r="175" spans="1:36" s="181" customFormat="1" x14ac:dyDescent="0.2">
      <c r="A175" s="181" t="s">
        <v>1512</v>
      </c>
      <c r="B175" s="349" t="s">
        <v>704</v>
      </c>
      <c r="C175" s="249">
        <f>IF(C154&gt;C174,C174,C154)</f>
        <v>3.7126815713600472</v>
      </c>
      <c r="D175" s="249">
        <f t="shared" ref="D175:AG175" si="74">IF(D154&gt;D174,D174,D154)</f>
        <v>3.9067638565244498</v>
      </c>
      <c r="E175" s="249">
        <f t="shared" si="74"/>
        <v>4.099195125850799</v>
      </c>
      <c r="F175" s="249">
        <f t="shared" si="74"/>
        <v>4.288625982630351</v>
      </c>
      <c r="G175" s="249">
        <f t="shared" si="74"/>
        <v>4.4736693875786822</v>
      </c>
      <c r="H175" s="249">
        <f t="shared" si="74"/>
        <v>4.6529173419305678</v>
      </c>
      <c r="I175" s="249">
        <f t="shared" si="74"/>
        <v>4.8179440066473829</v>
      </c>
      <c r="J175" s="249">
        <f t="shared" si="74"/>
        <v>4.9850074826950603</v>
      </c>
      <c r="K175" s="249">
        <f t="shared" si="74"/>
        <v>5.1538460650976061</v>
      </c>
      <c r="L175" s="249">
        <f t="shared" si="74"/>
        <v>5.3241864192398909</v>
      </c>
      <c r="M175" s="249">
        <f t="shared" si="74"/>
        <v>5.495744126085901</v>
      </c>
      <c r="N175" s="249">
        <f t="shared" si="74"/>
        <v>6.3337851965313812</v>
      </c>
      <c r="O175" s="249">
        <f t="shared" si="74"/>
        <v>7.1811231905515873</v>
      </c>
      <c r="P175" s="249">
        <f t="shared" si="74"/>
        <v>8.0161078249416047</v>
      </c>
      <c r="Q175" s="249">
        <f t="shared" si="74"/>
        <v>8.8441259878208367</v>
      </c>
      <c r="R175" s="249">
        <f t="shared" si="74"/>
        <v>9.6599660598266244</v>
      </c>
      <c r="S175" s="249">
        <f t="shared" si="74"/>
        <v>10.477283791525091</v>
      </c>
      <c r="T175" s="249">
        <f t="shared" si="74"/>
        <v>11.295318616253002</v>
      </c>
      <c r="U175" s="249">
        <f t="shared" si="74"/>
        <v>12.113305399635195</v>
      </c>
      <c r="V175" s="249">
        <f t="shared" si="74"/>
        <v>12.930474907332952</v>
      </c>
      <c r="W175" s="249">
        <f t="shared" si="74"/>
        <v>13.746054281821413</v>
      </c>
      <c r="X175" s="249">
        <f t="shared" si="74"/>
        <v>15.427474720852667</v>
      </c>
      <c r="Y175" s="249">
        <f t="shared" si="74"/>
        <v>17.174229838665863</v>
      </c>
      <c r="Z175" s="249">
        <f t="shared" si="74"/>
        <v>18.87441789336323</v>
      </c>
      <c r="AA175" s="249">
        <f t="shared" si="74"/>
        <v>20.566385806654502</v>
      </c>
      <c r="AB175" s="249">
        <f t="shared" si="74"/>
        <v>22.248778939911908</v>
      </c>
      <c r="AC175" s="249">
        <f t="shared" si="74"/>
        <v>23.918943609133734</v>
      </c>
      <c r="AD175" s="249">
        <f t="shared" si="74"/>
        <v>25.576931738310819</v>
      </c>
      <c r="AE175" s="249">
        <f t="shared" si="74"/>
        <v>27.221442672338636</v>
      </c>
      <c r="AF175" s="249">
        <f t="shared" si="74"/>
        <v>28.851178655484425</v>
      </c>
      <c r="AG175" s="249">
        <f t="shared" si="74"/>
        <v>30.464845493667312</v>
      </c>
      <c r="AI175" s="694"/>
      <c r="AJ175" s="323"/>
    </row>
    <row r="176" spans="1:36" s="181" customFormat="1" x14ac:dyDescent="0.2">
      <c r="A176" s="181" t="s">
        <v>1513</v>
      </c>
      <c r="B176" s="349" t="s">
        <v>704</v>
      </c>
      <c r="C176" s="249">
        <f>IF(C174-C175&lt;0,0,C174-C175)</f>
        <v>0</v>
      </c>
      <c r="D176" s="249">
        <f t="shared" ref="D176:AG176" si="75">IF(D174-D175&lt;0,0,D174-D175)</f>
        <v>0</v>
      </c>
      <c r="E176" s="249">
        <f t="shared" si="75"/>
        <v>0</v>
      </c>
      <c r="F176" s="249">
        <f t="shared" si="75"/>
        <v>0</v>
      </c>
      <c r="G176" s="249">
        <f t="shared" si="75"/>
        <v>0</v>
      </c>
      <c r="H176" s="249">
        <f t="shared" si="75"/>
        <v>0</v>
      </c>
      <c r="I176" s="249">
        <f t="shared" si="75"/>
        <v>0</v>
      </c>
      <c r="J176" s="249">
        <f t="shared" si="75"/>
        <v>0</v>
      </c>
      <c r="K176" s="249">
        <f t="shared" si="75"/>
        <v>0</v>
      </c>
      <c r="L176" s="249">
        <f t="shared" si="75"/>
        <v>0</v>
      </c>
      <c r="M176" s="249">
        <f t="shared" si="75"/>
        <v>0</v>
      </c>
      <c r="N176" s="249">
        <f t="shared" si="75"/>
        <v>0</v>
      </c>
      <c r="O176" s="249">
        <f t="shared" si="75"/>
        <v>0</v>
      </c>
      <c r="P176" s="249">
        <f t="shared" si="75"/>
        <v>0</v>
      </c>
      <c r="Q176" s="249">
        <f t="shared" si="75"/>
        <v>0</v>
      </c>
      <c r="R176" s="249">
        <f t="shared" si="75"/>
        <v>0</v>
      </c>
      <c r="S176" s="249">
        <f t="shared" si="75"/>
        <v>0</v>
      </c>
      <c r="T176" s="249">
        <f t="shared" si="75"/>
        <v>0</v>
      </c>
      <c r="U176" s="249">
        <f t="shared" si="75"/>
        <v>0</v>
      </c>
      <c r="V176" s="249">
        <f t="shared" si="75"/>
        <v>0</v>
      </c>
      <c r="W176" s="249">
        <f t="shared" si="75"/>
        <v>0</v>
      </c>
      <c r="X176" s="249">
        <f t="shared" si="75"/>
        <v>0</v>
      </c>
      <c r="Y176" s="249">
        <f t="shared" si="75"/>
        <v>0</v>
      </c>
      <c r="Z176" s="249">
        <f t="shared" si="75"/>
        <v>0</v>
      </c>
      <c r="AA176" s="249">
        <f t="shared" si="75"/>
        <v>0</v>
      </c>
      <c r="AB176" s="249">
        <f t="shared" si="75"/>
        <v>0</v>
      </c>
      <c r="AC176" s="249">
        <f t="shared" si="75"/>
        <v>0</v>
      </c>
      <c r="AD176" s="249">
        <f t="shared" si="75"/>
        <v>0</v>
      </c>
      <c r="AE176" s="249">
        <f t="shared" si="75"/>
        <v>0</v>
      </c>
      <c r="AF176" s="249">
        <f t="shared" si="75"/>
        <v>0</v>
      </c>
      <c r="AG176" s="249">
        <f t="shared" si="75"/>
        <v>0</v>
      </c>
      <c r="AI176" s="694"/>
      <c r="AJ176" s="323"/>
    </row>
    <row r="177" spans="1:37" s="181" customFormat="1" x14ac:dyDescent="0.2">
      <c r="A177" s="181" t="s">
        <v>1514</v>
      </c>
      <c r="B177" s="349" t="s">
        <v>704</v>
      </c>
      <c r="C177" s="249">
        <f>C171*C128+C125*C174+C161+IF(C154&gt;C174,C154-C174,0)</f>
        <v>9.9135186014275476</v>
      </c>
      <c r="D177" s="249">
        <f t="shared" ref="D177:AG177" si="76">D171*D128+D125*D174+D161+IF(D154&gt;D174,D154-D174,0)</f>
        <v>10.743566994001183</v>
      </c>
      <c r="E177" s="249">
        <f t="shared" si="76"/>
        <v>11.582069828414213</v>
      </c>
      <c r="F177" s="249">
        <f t="shared" si="76"/>
        <v>12.423668839823524</v>
      </c>
      <c r="G177" s="249">
        <f t="shared" si="76"/>
        <v>13.262757470378684</v>
      </c>
      <c r="H177" s="249">
        <f t="shared" si="76"/>
        <v>14.093542452435702</v>
      </c>
      <c r="I177" s="249">
        <f t="shared" si="76"/>
        <v>14.929656963238529</v>
      </c>
      <c r="J177" s="249">
        <f t="shared" si="76"/>
        <v>15.781120733026487</v>
      </c>
      <c r="K177" s="249">
        <f t="shared" si="76"/>
        <v>16.647156665090353</v>
      </c>
      <c r="L177" s="249">
        <f t="shared" si="76"/>
        <v>17.526940424366774</v>
      </c>
      <c r="M177" s="249">
        <f t="shared" si="76"/>
        <v>18.419601387874607</v>
      </c>
      <c r="N177" s="249">
        <f t="shared" si="76"/>
        <v>18.832893053225966</v>
      </c>
      <c r="O177" s="249">
        <f t="shared" si="76"/>
        <v>19.20922364498497</v>
      </c>
      <c r="P177" s="249">
        <f t="shared" si="76"/>
        <v>19.538626842884184</v>
      </c>
      <c r="Q177" s="249">
        <f t="shared" si="76"/>
        <v>19.824498792853714</v>
      </c>
      <c r="R177" s="249">
        <f t="shared" si="76"/>
        <v>20.065111694762638</v>
      </c>
      <c r="S177" s="249">
        <f t="shared" si="76"/>
        <v>20.295544013218429</v>
      </c>
      <c r="T177" s="249">
        <f t="shared" si="76"/>
        <v>20.515763399834384</v>
      </c>
      <c r="U177" s="249">
        <f t="shared" si="76"/>
        <v>20.725753437895502</v>
      </c>
      <c r="V177" s="249">
        <f t="shared" si="76"/>
        <v>20.925513996390002</v>
      </c>
      <c r="W177" s="249">
        <f t="shared" si="76"/>
        <v>21.115061571613747</v>
      </c>
      <c r="X177" s="249">
        <f t="shared" si="76"/>
        <v>20.614551004314286</v>
      </c>
      <c r="Y177" s="249">
        <f t="shared" si="76"/>
        <v>20.109947020792262</v>
      </c>
      <c r="Z177" s="249">
        <f t="shared" si="76"/>
        <v>19.604621735011584</v>
      </c>
      <c r="AA177" s="249">
        <f t="shared" si="76"/>
        <v>19.080431989874608</v>
      </c>
      <c r="AB177" s="249">
        <f t="shared" si="76"/>
        <v>18.537908852100273</v>
      </c>
      <c r="AC177" s="249">
        <f t="shared" si="76"/>
        <v>17.977362976131552</v>
      </c>
      <c r="AD177" s="249">
        <f t="shared" si="76"/>
        <v>17.399854815978966</v>
      </c>
      <c r="AE177" s="249">
        <f t="shared" si="76"/>
        <v>16.805996725972971</v>
      </c>
      <c r="AF177" s="249">
        <f t="shared" si="76"/>
        <v>16.196432552975487</v>
      </c>
      <c r="AG177" s="249">
        <f t="shared" si="76"/>
        <v>15.571837735133439</v>
      </c>
      <c r="AI177" s="694"/>
      <c r="AJ177" s="323"/>
    </row>
    <row r="178" spans="1:37" s="181" customFormat="1" x14ac:dyDescent="0.2">
      <c r="A178" s="181" t="s">
        <v>1515</v>
      </c>
      <c r="B178" s="349" t="s">
        <v>704</v>
      </c>
      <c r="C178" s="249">
        <f>C157-C176</f>
        <v>61.815255162836792</v>
      </c>
      <c r="D178" s="249">
        <f t="shared" ref="D178:AG178" si="77">D157-D176</f>
        <v>63.258494920624479</v>
      </c>
      <c r="E178" s="249">
        <f t="shared" si="77"/>
        <v>64.559081501523281</v>
      </c>
      <c r="F178" s="249">
        <f t="shared" si="77"/>
        <v>65.706974017948781</v>
      </c>
      <c r="G178" s="249">
        <f t="shared" si="77"/>
        <v>66.693200743433806</v>
      </c>
      <c r="H178" s="249">
        <f t="shared" si="77"/>
        <v>67.50997581111892</v>
      </c>
      <c r="I178" s="249">
        <f t="shared" si="77"/>
        <v>68.208731579428843</v>
      </c>
      <c r="J178" s="249">
        <f t="shared" si="77"/>
        <v>68.874896778713051</v>
      </c>
      <c r="K178" s="249">
        <f t="shared" si="77"/>
        <v>69.507260549037369</v>
      </c>
      <c r="L178" s="249">
        <f t="shared" si="77"/>
        <v>70.10465402440974</v>
      </c>
      <c r="M178" s="249">
        <f t="shared" si="77"/>
        <v>70.665953666886224</v>
      </c>
      <c r="N178" s="249">
        <f t="shared" si="77"/>
        <v>71.003318056983304</v>
      </c>
      <c r="O178" s="249">
        <f t="shared" si="77"/>
        <v>71.214106321610188</v>
      </c>
      <c r="P178" s="249">
        <f t="shared" si="77"/>
        <v>71.241908436627781</v>
      </c>
      <c r="Q178" s="249">
        <f t="shared" si="77"/>
        <v>71.124114336134454</v>
      </c>
      <c r="R178" s="249">
        <f t="shared" si="77"/>
        <v>70.861057166743919</v>
      </c>
      <c r="S178" s="249">
        <f t="shared" si="77"/>
        <v>70.580894504086857</v>
      </c>
      <c r="T178" s="249">
        <f t="shared" si="77"/>
        <v>70.283717047911338</v>
      </c>
      <c r="U178" s="249">
        <f t="shared" si="77"/>
        <v>69.969626725822707</v>
      </c>
      <c r="V178" s="249">
        <f t="shared" si="77"/>
        <v>69.638736683115212</v>
      </c>
      <c r="W178" s="249">
        <f t="shared" si="77"/>
        <v>69.291171261880763</v>
      </c>
      <c r="X178" s="249">
        <f t="shared" si="77"/>
        <v>68.78523908814141</v>
      </c>
      <c r="Y178" s="249">
        <f t="shared" si="77"/>
        <v>68.410650910210947</v>
      </c>
      <c r="Z178" s="249">
        <f t="shared" si="77"/>
        <v>67.99969452324541</v>
      </c>
      <c r="AA178" s="249">
        <f t="shared" si="77"/>
        <v>67.573202153892723</v>
      </c>
      <c r="AB178" s="249">
        <f t="shared" si="77"/>
        <v>67.131354636066987</v>
      </c>
      <c r="AC178" s="249">
        <f t="shared" si="77"/>
        <v>66.672073369129578</v>
      </c>
      <c r="AD178" s="249">
        <f t="shared" si="77"/>
        <v>66.198456557007162</v>
      </c>
      <c r="AE178" s="249">
        <f t="shared" si="77"/>
        <v>65.710703985995764</v>
      </c>
      <c r="AF178" s="249">
        <f t="shared" si="77"/>
        <v>65.209024529004637</v>
      </c>
      <c r="AG178" s="249">
        <f t="shared" si="77"/>
        <v>64.693636041451484</v>
      </c>
      <c r="AI178" s="694"/>
      <c r="AJ178" s="323"/>
    </row>
    <row r="179" spans="1:37" s="181" customFormat="1" x14ac:dyDescent="0.2">
      <c r="B179" s="350"/>
      <c r="C179" s="327"/>
      <c r="D179" s="327"/>
      <c r="E179" s="327"/>
      <c r="F179" s="327"/>
      <c r="G179" s="327"/>
      <c r="H179" s="327"/>
      <c r="I179" s="327"/>
      <c r="J179" s="327"/>
      <c r="K179" s="327"/>
      <c r="L179" s="327"/>
      <c r="M179" s="327"/>
      <c r="N179" s="327"/>
      <c r="O179" s="327"/>
      <c r="P179" s="327"/>
      <c r="Q179" s="327"/>
      <c r="R179" s="327"/>
      <c r="S179" s="327"/>
      <c r="T179" s="327"/>
      <c r="U179" s="327"/>
      <c r="V179" s="327"/>
      <c r="W179" s="327"/>
      <c r="X179" s="327"/>
      <c r="Y179" s="327"/>
      <c r="Z179" s="327"/>
      <c r="AA179" s="327"/>
      <c r="AB179" s="327"/>
      <c r="AC179" s="327"/>
      <c r="AD179" s="327"/>
      <c r="AE179" s="327"/>
      <c r="AF179" s="327"/>
      <c r="AG179" s="327"/>
      <c r="AJ179" s="323"/>
    </row>
    <row r="180" spans="1:37" s="181" customFormat="1" x14ac:dyDescent="0.2">
      <c r="A180" s="181" t="s">
        <v>1400</v>
      </c>
      <c r="B180" s="350" t="s">
        <v>462</v>
      </c>
      <c r="C180" s="296">
        <v>0.8</v>
      </c>
      <c r="D180" s="317">
        <f>C180</f>
        <v>0.8</v>
      </c>
      <c r="E180" s="317">
        <f t="shared" ref="E180:AG180" si="78">D180</f>
        <v>0.8</v>
      </c>
      <c r="F180" s="317">
        <f t="shared" si="78"/>
        <v>0.8</v>
      </c>
      <c r="G180" s="317">
        <f t="shared" si="78"/>
        <v>0.8</v>
      </c>
      <c r="H180" s="317">
        <f t="shared" si="78"/>
        <v>0.8</v>
      </c>
      <c r="I180" s="317">
        <f t="shared" si="78"/>
        <v>0.8</v>
      </c>
      <c r="J180" s="317">
        <f t="shared" si="78"/>
        <v>0.8</v>
      </c>
      <c r="K180" s="317">
        <f t="shared" si="78"/>
        <v>0.8</v>
      </c>
      <c r="L180" s="317">
        <f t="shared" si="78"/>
        <v>0.8</v>
      </c>
      <c r="M180" s="317">
        <f t="shared" si="78"/>
        <v>0.8</v>
      </c>
      <c r="N180" s="317">
        <f t="shared" si="78"/>
        <v>0.8</v>
      </c>
      <c r="O180" s="317">
        <f t="shared" si="78"/>
        <v>0.8</v>
      </c>
      <c r="P180" s="317">
        <f t="shared" si="78"/>
        <v>0.8</v>
      </c>
      <c r="Q180" s="317">
        <f t="shared" si="78"/>
        <v>0.8</v>
      </c>
      <c r="R180" s="317">
        <f t="shared" si="78"/>
        <v>0.8</v>
      </c>
      <c r="S180" s="317">
        <f t="shared" si="78"/>
        <v>0.8</v>
      </c>
      <c r="T180" s="317">
        <f t="shared" si="78"/>
        <v>0.8</v>
      </c>
      <c r="U180" s="317">
        <f t="shared" si="78"/>
        <v>0.8</v>
      </c>
      <c r="V180" s="317">
        <f t="shared" si="78"/>
        <v>0.8</v>
      </c>
      <c r="W180" s="317">
        <f t="shared" si="78"/>
        <v>0.8</v>
      </c>
      <c r="X180" s="317">
        <f t="shared" si="78"/>
        <v>0.8</v>
      </c>
      <c r="Y180" s="317">
        <f t="shared" si="78"/>
        <v>0.8</v>
      </c>
      <c r="Z180" s="317">
        <f t="shared" si="78"/>
        <v>0.8</v>
      </c>
      <c r="AA180" s="317">
        <f t="shared" si="78"/>
        <v>0.8</v>
      </c>
      <c r="AB180" s="317">
        <f t="shared" si="78"/>
        <v>0.8</v>
      </c>
      <c r="AC180" s="317">
        <f t="shared" si="78"/>
        <v>0.8</v>
      </c>
      <c r="AD180" s="317">
        <f t="shared" si="78"/>
        <v>0.8</v>
      </c>
      <c r="AE180" s="317">
        <f t="shared" si="78"/>
        <v>0.8</v>
      </c>
      <c r="AF180" s="317">
        <f t="shared" si="78"/>
        <v>0.8</v>
      </c>
      <c r="AG180" s="317">
        <f t="shared" si="78"/>
        <v>0.8</v>
      </c>
      <c r="AJ180" s="323" t="s">
        <v>1401</v>
      </c>
    </row>
    <row r="181" spans="1:37" s="181" customFormat="1" x14ac:dyDescent="0.2">
      <c r="B181" s="350"/>
      <c r="C181" s="327"/>
      <c r="D181" s="327"/>
      <c r="E181" s="327"/>
      <c r="F181" s="327"/>
      <c r="G181" s="327"/>
      <c r="H181" s="327"/>
      <c r="I181" s="327"/>
      <c r="J181" s="327"/>
      <c r="K181" s="327"/>
      <c r="L181" s="327"/>
      <c r="M181" s="327"/>
      <c r="N181" s="327"/>
      <c r="O181" s="327"/>
      <c r="P181" s="327"/>
      <c r="Q181" s="327"/>
      <c r="R181" s="327"/>
      <c r="S181" s="327"/>
      <c r="T181" s="327"/>
      <c r="U181" s="327"/>
      <c r="V181" s="327"/>
      <c r="W181" s="327"/>
      <c r="X181" s="327"/>
      <c r="Y181" s="327"/>
      <c r="Z181" s="327"/>
      <c r="AA181" s="327"/>
      <c r="AB181" s="327"/>
      <c r="AC181" s="327"/>
      <c r="AD181" s="327"/>
      <c r="AE181" s="327"/>
      <c r="AF181" s="327"/>
      <c r="AG181" s="327"/>
      <c r="AJ181" s="323"/>
    </row>
    <row r="182" spans="1:37" s="181" customFormat="1" x14ac:dyDescent="0.2">
      <c r="A182" s="181" t="s">
        <v>1402</v>
      </c>
      <c r="B182" s="350" t="s">
        <v>704</v>
      </c>
      <c r="C182" s="327">
        <f>C116*C177*C180</f>
        <v>1.7447792738512484</v>
      </c>
      <c r="D182" s="327">
        <f t="shared" ref="D182:AG182" si="79">D116*D177*D180</f>
        <v>1.9481668149122144</v>
      </c>
      <c r="E182" s="327">
        <f t="shared" si="79"/>
        <v>2.1619863679706528</v>
      </c>
      <c r="F182" s="327">
        <f t="shared" si="79"/>
        <v>2.3853444172461162</v>
      </c>
      <c r="G182" s="327">
        <f t="shared" si="79"/>
        <v>2.6171841408213936</v>
      </c>
      <c r="H182" s="327">
        <f t="shared" si="79"/>
        <v>2.8562912703603018</v>
      </c>
      <c r="I182" s="327">
        <f t="shared" si="79"/>
        <v>3.1053686483536134</v>
      </c>
      <c r="J182" s="327">
        <f t="shared" si="79"/>
        <v>3.3666390897123168</v>
      </c>
      <c r="K182" s="327">
        <f t="shared" si="79"/>
        <v>3.6401782574330896</v>
      </c>
      <c r="L182" s="327">
        <f t="shared" si="79"/>
        <v>3.9260346550581562</v>
      </c>
      <c r="M182" s="327">
        <f t="shared" si="79"/>
        <v>4.2242285849525754</v>
      </c>
      <c r="N182" s="327">
        <f t="shared" si="79"/>
        <v>4.4194522364903586</v>
      </c>
      <c r="O182" s="327">
        <f t="shared" si="79"/>
        <v>4.6102136747963911</v>
      </c>
      <c r="P182" s="327">
        <f t="shared" si="79"/>
        <v>4.7934764521209177</v>
      </c>
      <c r="Q182" s="327">
        <f t="shared" si="79"/>
        <v>4.9693410307419956</v>
      </c>
      <c r="R182" s="327">
        <f t="shared" si="79"/>
        <v>5.1366685938592331</v>
      </c>
      <c r="S182" s="327">
        <f t="shared" si="79"/>
        <v>5.3039021687877472</v>
      </c>
      <c r="T182" s="327">
        <f t="shared" si="79"/>
        <v>5.4708702399558327</v>
      </c>
      <c r="U182" s="327">
        <f t="shared" si="79"/>
        <v>5.6374049351075737</v>
      </c>
      <c r="V182" s="327">
        <f t="shared" si="79"/>
        <v>5.8033425483321572</v>
      </c>
      <c r="W182" s="327">
        <f t="shared" si="79"/>
        <v>5.9685240709094822</v>
      </c>
      <c r="X182" s="327">
        <f t="shared" si="79"/>
        <v>5.9369906892425108</v>
      </c>
      <c r="Y182" s="327">
        <f t="shared" si="79"/>
        <v>5.8989177927657259</v>
      </c>
      <c r="Z182" s="327">
        <f t="shared" si="79"/>
        <v>5.8552470248567898</v>
      </c>
      <c r="AA182" s="327">
        <f t="shared" si="79"/>
        <v>5.8004513249218768</v>
      </c>
      <c r="AB182" s="327">
        <f t="shared" si="79"/>
        <v>5.73439313824968</v>
      </c>
      <c r="AC182" s="327">
        <f t="shared" si="79"/>
        <v>5.6568768831560581</v>
      </c>
      <c r="AD182" s="327">
        <f t="shared" si="79"/>
        <v>5.5679535411132655</v>
      </c>
      <c r="AE182" s="327">
        <f t="shared" si="79"/>
        <v>5.4675509348498688</v>
      </c>
      <c r="AF182" s="327">
        <f t="shared" si="79"/>
        <v>5.3556203641838902</v>
      </c>
      <c r="AG182" s="327">
        <f t="shared" si="79"/>
        <v>5.2321374790048356</v>
      </c>
      <c r="AJ182" s="323"/>
    </row>
    <row r="183" spans="1:37" s="181" customFormat="1" x14ac:dyDescent="0.2">
      <c r="A183" s="181" t="s">
        <v>1403</v>
      </c>
      <c r="B183" s="350" t="s">
        <v>704</v>
      </c>
      <c r="C183" s="327">
        <f>C177*C180-C182</f>
        <v>6.1860356072907896</v>
      </c>
      <c r="D183" s="327">
        <f t="shared" ref="D183:AG183" si="80">D177*D180-D182</f>
        <v>6.6466867802887322</v>
      </c>
      <c r="E183" s="327">
        <f t="shared" si="80"/>
        <v>7.1036694947607169</v>
      </c>
      <c r="F183" s="327">
        <f t="shared" si="80"/>
        <v>7.5535906546127034</v>
      </c>
      <c r="G183" s="327">
        <f t="shared" si="80"/>
        <v>7.9930218354815548</v>
      </c>
      <c r="H183" s="327">
        <f t="shared" si="80"/>
        <v>8.4185426915882609</v>
      </c>
      <c r="I183" s="327">
        <f t="shared" si="80"/>
        <v>8.8383569222372103</v>
      </c>
      <c r="J183" s="327">
        <f t="shared" si="80"/>
        <v>9.2582574967088735</v>
      </c>
      <c r="K183" s="327">
        <f t="shared" si="80"/>
        <v>9.6775470746391932</v>
      </c>
      <c r="L183" s="327">
        <f t="shared" si="80"/>
        <v>10.095517684435263</v>
      </c>
      <c r="M183" s="327">
        <f t="shared" si="80"/>
        <v>10.511452525347112</v>
      </c>
      <c r="N183" s="327">
        <f t="shared" si="80"/>
        <v>10.646862206090415</v>
      </c>
      <c r="O183" s="327">
        <f t="shared" si="80"/>
        <v>10.757165241191586</v>
      </c>
      <c r="P183" s="327">
        <f t="shared" si="80"/>
        <v>10.83742502218643</v>
      </c>
      <c r="Q183" s="327">
        <f t="shared" si="80"/>
        <v>10.890258003540977</v>
      </c>
      <c r="R183" s="327">
        <f t="shared" si="80"/>
        <v>10.915420761950877</v>
      </c>
      <c r="S183" s="327">
        <f t="shared" si="80"/>
        <v>10.932533041786996</v>
      </c>
      <c r="T183" s="327">
        <f t="shared" si="80"/>
        <v>10.941740479911676</v>
      </c>
      <c r="U183" s="327">
        <f t="shared" si="80"/>
        <v>10.943197815208828</v>
      </c>
      <c r="V183" s="327">
        <f t="shared" si="80"/>
        <v>10.937068648779846</v>
      </c>
      <c r="W183" s="327">
        <f t="shared" si="80"/>
        <v>10.923525186381518</v>
      </c>
      <c r="X183" s="327">
        <f t="shared" si="80"/>
        <v>10.554650114208918</v>
      </c>
      <c r="Y183" s="327">
        <f t="shared" si="80"/>
        <v>10.189039823868086</v>
      </c>
      <c r="Z183" s="327">
        <f t="shared" si="80"/>
        <v>9.8284503631524771</v>
      </c>
      <c r="AA183" s="327">
        <f t="shared" si="80"/>
        <v>9.4638942669778103</v>
      </c>
      <c r="AB183" s="327">
        <f t="shared" si="80"/>
        <v>9.0959339434305377</v>
      </c>
      <c r="AC183" s="327">
        <f t="shared" si="80"/>
        <v>8.7250134977491847</v>
      </c>
      <c r="AD183" s="327">
        <f t="shared" si="80"/>
        <v>8.3519303116699071</v>
      </c>
      <c r="AE183" s="327">
        <f t="shared" si="80"/>
        <v>7.9772464459285084</v>
      </c>
      <c r="AF183" s="327">
        <f t="shared" si="80"/>
        <v>7.6015256781965004</v>
      </c>
      <c r="AG183" s="327">
        <f t="shared" si="80"/>
        <v>7.2253327091019166</v>
      </c>
      <c r="AJ183" s="323"/>
    </row>
    <row r="184" spans="1:37" s="181" customFormat="1" x14ac:dyDescent="0.2">
      <c r="B184" s="176"/>
      <c r="C184" s="327"/>
      <c r="D184" s="327"/>
      <c r="E184" s="327"/>
      <c r="F184" s="327"/>
      <c r="G184" s="327"/>
      <c r="H184" s="327"/>
      <c r="I184" s="327"/>
      <c r="J184" s="327"/>
      <c r="K184" s="327"/>
      <c r="L184" s="327"/>
      <c r="M184" s="327"/>
      <c r="N184" s="327"/>
      <c r="O184" s="327"/>
      <c r="P184" s="327"/>
      <c r="Q184" s="327"/>
      <c r="R184" s="327"/>
      <c r="S184" s="327"/>
      <c r="T184" s="327"/>
      <c r="U184" s="327"/>
      <c r="V184" s="327"/>
      <c r="W184" s="327"/>
      <c r="X184" s="327"/>
      <c r="Y184" s="327"/>
      <c r="Z184" s="327"/>
      <c r="AA184" s="327"/>
      <c r="AB184" s="327"/>
      <c r="AC184" s="327"/>
      <c r="AD184" s="327"/>
      <c r="AE184" s="327"/>
      <c r="AF184" s="327"/>
      <c r="AG184" s="327"/>
      <c r="AJ184" s="323"/>
    </row>
    <row r="185" spans="1:37" s="181" customFormat="1" x14ac:dyDescent="0.2">
      <c r="B185" s="210" t="s">
        <v>492</v>
      </c>
      <c r="C185" s="331">
        <v>0</v>
      </c>
      <c r="D185" s="331">
        <f>C185+1</f>
        <v>1</v>
      </c>
      <c r="E185" s="331">
        <f t="shared" ref="E185:AG185" si="81">D185+1</f>
        <v>2</v>
      </c>
      <c r="F185" s="331">
        <f t="shared" si="81"/>
        <v>3</v>
      </c>
      <c r="G185" s="331">
        <f t="shared" si="81"/>
        <v>4</v>
      </c>
      <c r="H185" s="331">
        <f t="shared" si="81"/>
        <v>5</v>
      </c>
      <c r="I185" s="331">
        <f t="shared" si="81"/>
        <v>6</v>
      </c>
      <c r="J185" s="331">
        <f t="shared" si="81"/>
        <v>7</v>
      </c>
      <c r="K185" s="331">
        <f t="shared" si="81"/>
        <v>8</v>
      </c>
      <c r="L185" s="331">
        <f t="shared" si="81"/>
        <v>9</v>
      </c>
      <c r="M185" s="331">
        <f t="shared" si="81"/>
        <v>10</v>
      </c>
      <c r="N185" s="331">
        <f t="shared" si="81"/>
        <v>11</v>
      </c>
      <c r="O185" s="331">
        <f t="shared" si="81"/>
        <v>12</v>
      </c>
      <c r="P185" s="331">
        <f t="shared" si="81"/>
        <v>13</v>
      </c>
      <c r="Q185" s="331">
        <f t="shared" si="81"/>
        <v>14</v>
      </c>
      <c r="R185" s="331">
        <f t="shared" si="81"/>
        <v>15</v>
      </c>
      <c r="S185" s="331">
        <f t="shared" si="81"/>
        <v>16</v>
      </c>
      <c r="T185" s="331">
        <f t="shared" si="81"/>
        <v>17</v>
      </c>
      <c r="U185" s="331">
        <f t="shared" si="81"/>
        <v>18</v>
      </c>
      <c r="V185" s="331">
        <f t="shared" si="81"/>
        <v>19</v>
      </c>
      <c r="W185" s="331">
        <f t="shared" si="81"/>
        <v>20</v>
      </c>
      <c r="X185" s="331">
        <f t="shared" si="81"/>
        <v>21</v>
      </c>
      <c r="Y185" s="331">
        <f t="shared" si="81"/>
        <v>22</v>
      </c>
      <c r="Z185" s="331">
        <f t="shared" si="81"/>
        <v>23</v>
      </c>
      <c r="AA185" s="331">
        <f t="shared" si="81"/>
        <v>24</v>
      </c>
      <c r="AB185" s="331">
        <f t="shared" si="81"/>
        <v>25</v>
      </c>
      <c r="AC185" s="331">
        <f t="shared" si="81"/>
        <v>26</v>
      </c>
      <c r="AD185" s="331">
        <f t="shared" si="81"/>
        <v>27</v>
      </c>
      <c r="AE185" s="331">
        <f t="shared" si="81"/>
        <v>28</v>
      </c>
      <c r="AF185" s="331">
        <f t="shared" si="81"/>
        <v>29</v>
      </c>
      <c r="AG185" s="331">
        <f t="shared" si="81"/>
        <v>30</v>
      </c>
      <c r="AJ185" s="323" t="s">
        <v>493</v>
      </c>
      <c r="AK185" s="181">
        <f>'Propylene Recycling HC'!AK199</f>
        <v>1.9</v>
      </c>
    </row>
    <row r="186" spans="1:37" s="181" customFormat="1" x14ac:dyDescent="0.2">
      <c r="A186" s="181" t="s">
        <v>1404</v>
      </c>
      <c r="B186" s="176"/>
      <c r="C186" s="333">
        <f>$AK$187/((1+EXP(-$AK$186*(C185-$AK$188)))^$AK$185)</f>
        <v>4.6088632748610021E-5</v>
      </c>
      <c r="D186" s="333">
        <f t="shared" ref="D186:AG186" si="82">$AK$187/((1+EXP(-$AK$186*(D185-$AK$188)))^$AK$185)</f>
        <v>8.924759460408035E-5</v>
      </c>
      <c r="E186" s="333">
        <f t="shared" si="82"/>
        <v>1.7252431976790472E-4</v>
      </c>
      <c r="F186" s="333">
        <f t="shared" si="82"/>
        <v>3.3269643715580369E-4</v>
      </c>
      <c r="G186" s="333">
        <f t="shared" si="82"/>
        <v>6.393827369910735E-4</v>
      </c>
      <c r="H186" s="333">
        <f t="shared" si="82"/>
        <v>1.2229053771654547E-3</v>
      </c>
      <c r="I186" s="333">
        <f t="shared" si="82"/>
        <v>2.3234018804222717E-3</v>
      </c>
      <c r="J186" s="333">
        <f t="shared" si="82"/>
        <v>4.3736281679830789E-3</v>
      </c>
      <c r="K186" s="333">
        <f t="shared" si="82"/>
        <v>8.1294184230466908E-3</v>
      </c>
      <c r="L186" s="333">
        <f t="shared" si="82"/>
        <v>1.4853985082038716E-2</v>
      </c>
      <c r="M186" s="333">
        <f t="shared" si="82"/>
        <v>2.6531412096832362E-2</v>
      </c>
      <c r="N186" s="333">
        <f t="shared" si="82"/>
        <v>4.6014759335105015E-2</v>
      </c>
      <c r="O186" s="333">
        <f t="shared" si="82"/>
        <v>7.6910635328419796E-2</v>
      </c>
      <c r="P186" s="333">
        <f t="shared" si="82"/>
        <v>0.12294065829885638</v>
      </c>
      <c r="Q186" s="333">
        <f t="shared" si="82"/>
        <v>0.18666754187878853</v>
      </c>
      <c r="R186" s="333">
        <f t="shared" si="82"/>
        <v>0.26794336563407328</v>
      </c>
      <c r="S186" s="333">
        <f t="shared" si="82"/>
        <v>0.36297326582455031</v>
      </c>
      <c r="T186" s="333">
        <f t="shared" si="82"/>
        <v>0.46484396312424381</v>
      </c>
      <c r="U186" s="333">
        <f t="shared" si="82"/>
        <v>0.56546260593861253</v>
      </c>
      <c r="V186" s="333">
        <f t="shared" si="82"/>
        <v>0.6578403022607352</v>
      </c>
      <c r="W186" s="333">
        <f t="shared" si="82"/>
        <v>0.73754668886795227</v>
      </c>
      <c r="X186" s="333">
        <f t="shared" si="82"/>
        <v>0.80293052021410605</v>
      </c>
      <c r="Y186" s="333">
        <f t="shared" si="82"/>
        <v>0.85447682949112158</v>
      </c>
      <c r="Z186" s="333">
        <f t="shared" si="82"/>
        <v>0.89389910336617451</v>
      </c>
      <c r="AA186" s="333">
        <f t="shared" si="82"/>
        <v>0.92337223319290385</v>
      </c>
      <c r="AB186" s="333">
        <f t="shared" si="82"/>
        <v>0.94504210708611314</v>
      </c>
      <c r="AC186" s="333">
        <f t="shared" si="82"/>
        <v>0.96078240575184182</v>
      </c>
      <c r="AD186" s="333">
        <f t="shared" si="82"/>
        <v>0.97211605463477313</v>
      </c>
      <c r="AE186" s="333">
        <f t="shared" si="82"/>
        <v>0.98022577885232642</v>
      </c>
      <c r="AF186" s="333">
        <f t="shared" si="82"/>
        <v>0.98600279580400285</v>
      </c>
      <c r="AG186" s="333">
        <f t="shared" si="82"/>
        <v>0.9901050637460882</v>
      </c>
      <c r="AI186" s="176" t="s">
        <v>494</v>
      </c>
      <c r="AJ186" s="323" t="s">
        <v>495</v>
      </c>
      <c r="AK186" s="181">
        <f>'Propylene Recycling HC'!AK200</f>
        <v>0.35</v>
      </c>
    </row>
    <row r="187" spans="1:37" s="181" customFormat="1" x14ac:dyDescent="0.2">
      <c r="B187" s="176"/>
      <c r="C187" s="329">
        <v>0</v>
      </c>
      <c r="D187" s="329">
        <v>0</v>
      </c>
      <c r="E187" s="329">
        <v>0</v>
      </c>
      <c r="F187" s="329">
        <v>0</v>
      </c>
      <c r="G187" s="329">
        <v>0</v>
      </c>
      <c r="H187" s="329">
        <v>0</v>
      </c>
      <c r="I187" s="329">
        <v>0</v>
      </c>
      <c r="J187" s="329">
        <v>0</v>
      </c>
      <c r="K187" s="329">
        <v>0</v>
      </c>
      <c r="L187" s="329">
        <v>0</v>
      </c>
      <c r="M187" s="329">
        <f>C186</f>
        <v>4.6088632748610021E-5</v>
      </c>
      <c r="N187" s="329">
        <v>0</v>
      </c>
      <c r="O187" s="329">
        <v>0</v>
      </c>
      <c r="P187" s="329">
        <v>0</v>
      </c>
      <c r="Q187" s="329">
        <v>0</v>
      </c>
      <c r="R187" s="329">
        <f t="shared" ref="R187:AG187" si="83">C186</f>
        <v>4.6088632748610021E-5</v>
      </c>
      <c r="S187" s="329">
        <f t="shared" si="83"/>
        <v>8.924759460408035E-5</v>
      </c>
      <c r="T187" s="329">
        <f t="shared" si="83"/>
        <v>1.7252431976790472E-4</v>
      </c>
      <c r="U187" s="329">
        <f t="shared" si="83"/>
        <v>3.3269643715580369E-4</v>
      </c>
      <c r="V187" s="329">
        <f t="shared" si="83"/>
        <v>6.393827369910735E-4</v>
      </c>
      <c r="W187" s="329">
        <f t="shared" si="83"/>
        <v>1.2229053771654547E-3</v>
      </c>
      <c r="X187" s="329">
        <f t="shared" si="83"/>
        <v>2.3234018804222717E-3</v>
      </c>
      <c r="Y187" s="329">
        <f t="shared" si="83"/>
        <v>4.3736281679830789E-3</v>
      </c>
      <c r="Z187" s="329">
        <f t="shared" si="83"/>
        <v>8.1294184230466908E-3</v>
      </c>
      <c r="AA187" s="329">
        <f t="shared" si="83"/>
        <v>1.4853985082038716E-2</v>
      </c>
      <c r="AB187" s="329">
        <f t="shared" si="83"/>
        <v>2.6531412096832362E-2</v>
      </c>
      <c r="AC187" s="329">
        <f t="shared" si="83"/>
        <v>4.6014759335105015E-2</v>
      </c>
      <c r="AD187" s="329">
        <f t="shared" si="83"/>
        <v>7.6910635328419796E-2</v>
      </c>
      <c r="AE187" s="329">
        <f t="shared" si="83"/>
        <v>0.12294065829885638</v>
      </c>
      <c r="AF187" s="329">
        <f t="shared" si="83"/>
        <v>0.18666754187878853</v>
      </c>
      <c r="AG187" s="329">
        <f t="shared" si="83"/>
        <v>0.26794336563407328</v>
      </c>
      <c r="AI187" s="176" t="s">
        <v>496</v>
      </c>
      <c r="AJ187" s="323" t="s">
        <v>497</v>
      </c>
      <c r="AK187" s="181">
        <f>'Propylene Recycling HC'!AK201</f>
        <v>1</v>
      </c>
    </row>
    <row r="188" spans="1:37" s="181" customFormat="1" x14ac:dyDescent="0.2">
      <c r="B188" s="176"/>
      <c r="C188" s="327"/>
      <c r="D188" s="327"/>
      <c r="E188" s="327"/>
      <c r="F188" s="327"/>
      <c r="G188" s="327"/>
      <c r="H188" s="327"/>
      <c r="I188" s="327"/>
      <c r="J188" s="327"/>
      <c r="K188" s="327"/>
      <c r="L188" s="327"/>
      <c r="M188" s="327"/>
      <c r="N188" s="327"/>
      <c r="O188" s="327"/>
      <c r="P188" s="327"/>
      <c r="Q188" s="327"/>
      <c r="R188" s="327"/>
      <c r="S188" s="327"/>
      <c r="T188" s="327"/>
      <c r="U188" s="327"/>
      <c r="V188" s="327"/>
      <c r="W188" s="327"/>
      <c r="X188" s="327"/>
      <c r="Y188" s="327"/>
      <c r="Z188" s="327"/>
      <c r="AA188" s="327"/>
      <c r="AB188" s="327"/>
      <c r="AC188" s="327"/>
      <c r="AD188" s="327"/>
      <c r="AE188" s="327"/>
      <c r="AF188" s="327"/>
      <c r="AG188" s="327"/>
      <c r="AJ188" s="323" t="s">
        <v>498</v>
      </c>
      <c r="AK188" s="181">
        <f>'Propylene Recycling HC'!AK202</f>
        <v>15</v>
      </c>
    </row>
    <row r="189" spans="1:37" s="181" customFormat="1" x14ac:dyDescent="0.2">
      <c r="A189" s="181" t="s">
        <v>1460</v>
      </c>
      <c r="B189" s="176" t="s">
        <v>462</v>
      </c>
      <c r="C189" s="328">
        <v>0</v>
      </c>
      <c r="D189" s="328">
        <f>C189</f>
        <v>0</v>
      </c>
      <c r="E189" s="328">
        <f t="shared" ref="E189:AG189" si="84">D189</f>
        <v>0</v>
      </c>
      <c r="F189" s="328">
        <f t="shared" si="84"/>
        <v>0</v>
      </c>
      <c r="G189" s="328">
        <f t="shared" si="84"/>
        <v>0</v>
      </c>
      <c r="H189" s="328">
        <f t="shared" si="84"/>
        <v>0</v>
      </c>
      <c r="I189" s="328">
        <f t="shared" si="84"/>
        <v>0</v>
      </c>
      <c r="J189" s="328">
        <f t="shared" si="84"/>
        <v>0</v>
      </c>
      <c r="K189" s="328">
        <f t="shared" si="84"/>
        <v>0</v>
      </c>
      <c r="L189" s="328">
        <f t="shared" si="84"/>
        <v>0</v>
      </c>
      <c r="M189" s="328">
        <f t="shared" si="84"/>
        <v>0</v>
      </c>
      <c r="N189" s="328">
        <f t="shared" si="84"/>
        <v>0</v>
      </c>
      <c r="O189" s="328">
        <f t="shared" si="84"/>
        <v>0</v>
      </c>
      <c r="P189" s="328">
        <f t="shared" si="84"/>
        <v>0</v>
      </c>
      <c r="Q189" s="328">
        <f t="shared" si="84"/>
        <v>0</v>
      </c>
      <c r="R189" s="328">
        <f t="shared" si="84"/>
        <v>0</v>
      </c>
      <c r="S189" s="328">
        <f t="shared" si="84"/>
        <v>0</v>
      </c>
      <c r="T189" s="328">
        <f t="shared" si="84"/>
        <v>0</v>
      </c>
      <c r="U189" s="328">
        <f t="shared" si="84"/>
        <v>0</v>
      </c>
      <c r="V189" s="328">
        <f t="shared" si="84"/>
        <v>0</v>
      </c>
      <c r="W189" s="328">
        <f t="shared" si="84"/>
        <v>0</v>
      </c>
      <c r="X189" s="328">
        <f t="shared" si="84"/>
        <v>0</v>
      </c>
      <c r="Y189" s="328">
        <f t="shared" si="84"/>
        <v>0</v>
      </c>
      <c r="Z189" s="328">
        <f t="shared" si="84"/>
        <v>0</v>
      </c>
      <c r="AA189" s="328">
        <f t="shared" si="84"/>
        <v>0</v>
      </c>
      <c r="AB189" s="328">
        <f t="shared" si="84"/>
        <v>0</v>
      </c>
      <c r="AC189" s="328">
        <f t="shared" si="84"/>
        <v>0</v>
      </c>
      <c r="AD189" s="328">
        <f t="shared" si="84"/>
        <v>0</v>
      </c>
      <c r="AE189" s="328">
        <f t="shared" si="84"/>
        <v>0</v>
      </c>
      <c r="AF189" s="328">
        <f t="shared" si="84"/>
        <v>0</v>
      </c>
      <c r="AG189" s="328">
        <f t="shared" si="84"/>
        <v>0</v>
      </c>
      <c r="AI189" s="176" t="s">
        <v>1516</v>
      </c>
      <c r="AJ189" s="323"/>
    </row>
    <row r="190" spans="1:37" s="300" customFormat="1" ht="16" thickBot="1" x14ac:dyDescent="0.25">
      <c r="A190" s="334" t="s">
        <v>1407</v>
      </c>
      <c r="B190" s="335" t="s">
        <v>704</v>
      </c>
      <c r="C190" s="336">
        <f>C189*(C182*C186+C183*C187)</f>
        <v>0</v>
      </c>
      <c r="D190" s="336">
        <f t="shared" ref="D190:AG190" si="85">D189*(D182*D186+D183*D187)</f>
        <v>0</v>
      </c>
      <c r="E190" s="336">
        <f t="shared" si="85"/>
        <v>0</v>
      </c>
      <c r="F190" s="336">
        <f t="shared" si="85"/>
        <v>0</v>
      </c>
      <c r="G190" s="336">
        <f t="shared" si="85"/>
        <v>0</v>
      </c>
      <c r="H190" s="336">
        <f t="shared" si="85"/>
        <v>0</v>
      </c>
      <c r="I190" s="336">
        <f t="shared" si="85"/>
        <v>0</v>
      </c>
      <c r="J190" s="336">
        <f t="shared" si="85"/>
        <v>0</v>
      </c>
      <c r="K190" s="336">
        <f t="shared" si="85"/>
        <v>0</v>
      </c>
      <c r="L190" s="336">
        <f t="shared" si="85"/>
        <v>0</v>
      </c>
      <c r="M190" s="336">
        <f t="shared" si="85"/>
        <v>0</v>
      </c>
      <c r="N190" s="336">
        <f t="shared" si="85"/>
        <v>0</v>
      </c>
      <c r="O190" s="336">
        <f t="shared" si="85"/>
        <v>0</v>
      </c>
      <c r="P190" s="336">
        <f t="shared" si="85"/>
        <v>0</v>
      </c>
      <c r="Q190" s="336">
        <f t="shared" si="85"/>
        <v>0</v>
      </c>
      <c r="R190" s="336">
        <f t="shared" si="85"/>
        <v>0</v>
      </c>
      <c r="S190" s="336">
        <f t="shared" si="85"/>
        <v>0</v>
      </c>
      <c r="T190" s="336">
        <f t="shared" si="85"/>
        <v>0</v>
      </c>
      <c r="U190" s="336">
        <f t="shared" si="85"/>
        <v>0</v>
      </c>
      <c r="V190" s="336">
        <f t="shared" si="85"/>
        <v>0</v>
      </c>
      <c r="W190" s="336">
        <f t="shared" si="85"/>
        <v>0</v>
      </c>
      <c r="X190" s="336">
        <f t="shared" si="85"/>
        <v>0</v>
      </c>
      <c r="Y190" s="336">
        <f t="shared" si="85"/>
        <v>0</v>
      </c>
      <c r="Z190" s="336">
        <f t="shared" si="85"/>
        <v>0</v>
      </c>
      <c r="AA190" s="336">
        <f t="shared" si="85"/>
        <v>0</v>
      </c>
      <c r="AB190" s="336">
        <f t="shared" si="85"/>
        <v>0</v>
      </c>
      <c r="AC190" s="336">
        <f t="shared" si="85"/>
        <v>0</v>
      </c>
      <c r="AD190" s="336">
        <f t="shared" si="85"/>
        <v>0</v>
      </c>
      <c r="AE190" s="336">
        <f t="shared" si="85"/>
        <v>0</v>
      </c>
      <c r="AF190" s="336">
        <f t="shared" si="85"/>
        <v>0</v>
      </c>
      <c r="AG190" s="336">
        <f t="shared" si="85"/>
        <v>0</v>
      </c>
      <c r="AJ190" s="326"/>
    </row>
    <row r="191" spans="1:37" s="230" customFormat="1" x14ac:dyDescent="0.2">
      <c r="A191" s="325" t="s">
        <v>1408</v>
      </c>
      <c r="B191" s="324" t="s">
        <v>462</v>
      </c>
      <c r="C191" s="330">
        <v>0.25</v>
      </c>
      <c r="D191" s="330">
        <v>0.25</v>
      </c>
      <c r="E191" s="330">
        <v>0.25</v>
      </c>
      <c r="F191" s="330">
        <v>0.25</v>
      </c>
      <c r="G191" s="330">
        <v>0.25</v>
      </c>
      <c r="H191" s="330">
        <v>0.25</v>
      </c>
      <c r="I191" s="330">
        <v>0.25</v>
      </c>
      <c r="J191" s="330">
        <v>0.25</v>
      </c>
      <c r="K191" s="330">
        <v>0.25</v>
      </c>
      <c r="L191" s="330">
        <v>0.25</v>
      </c>
      <c r="M191" s="330">
        <v>0.25</v>
      </c>
      <c r="N191" s="330">
        <v>0.25</v>
      </c>
      <c r="O191" s="330">
        <v>0.25</v>
      </c>
      <c r="P191" s="330">
        <v>0.25</v>
      </c>
      <c r="Q191" s="330">
        <v>0.25</v>
      </c>
      <c r="R191" s="330">
        <v>0.25</v>
      </c>
      <c r="S191" s="330">
        <v>0.25</v>
      </c>
      <c r="T191" s="330">
        <v>0.25</v>
      </c>
      <c r="U191" s="330">
        <v>0.25</v>
      </c>
      <c r="V191" s="330">
        <v>0.25</v>
      </c>
      <c r="W191" s="330">
        <v>0.25</v>
      </c>
      <c r="X191" s="330">
        <v>0.25</v>
      </c>
      <c r="Y191" s="330">
        <v>0.25</v>
      </c>
      <c r="Z191" s="330">
        <v>0.25</v>
      </c>
      <c r="AA191" s="330">
        <v>0.25</v>
      </c>
      <c r="AB191" s="330">
        <v>0.25</v>
      </c>
      <c r="AC191" s="330">
        <v>0.25</v>
      </c>
      <c r="AD191" s="330">
        <v>0.25</v>
      </c>
      <c r="AE191" s="330">
        <v>0.25</v>
      </c>
      <c r="AF191" s="330">
        <v>0.25</v>
      </c>
      <c r="AG191" s="330">
        <v>0.25</v>
      </c>
      <c r="AI191" s="230" t="s">
        <v>1517</v>
      </c>
      <c r="AJ191" s="230" t="s">
        <v>1410</v>
      </c>
    </row>
    <row r="192" spans="1:37" s="230" customFormat="1" ht="16" thickBot="1" x14ac:dyDescent="0.25">
      <c r="A192" s="301" t="s">
        <v>1411</v>
      </c>
      <c r="B192" s="335" t="s">
        <v>704</v>
      </c>
      <c r="C192" s="336">
        <f>C191*(C182*C186+C183*C187)</f>
        <v>2.0103622794979166E-5</v>
      </c>
      <c r="D192" s="336">
        <f t="shared" ref="D192:AG192" si="86">D191*(D182*D186+D183*D187)</f>
        <v>4.3467300529601939E-5</v>
      </c>
      <c r="E192" s="336">
        <f t="shared" si="86"/>
        <v>9.3248806870404948E-5</v>
      </c>
      <c r="F192" s="336">
        <f t="shared" si="86"/>
        <v>1.9839889725181743E-4</v>
      </c>
      <c r="G192" s="336">
        <f t="shared" si="86"/>
        <v>4.1834558979200346E-4</v>
      </c>
      <c r="H192" s="336">
        <f t="shared" si="86"/>
        <v>8.7324348831859021E-4</v>
      </c>
      <c r="I192" s="336">
        <f t="shared" si="86"/>
        <v>1.8037548392472883E-3</v>
      </c>
      <c r="J192" s="336">
        <f t="shared" si="86"/>
        <v>3.6811068885496752E-3</v>
      </c>
      <c r="K192" s="336">
        <f t="shared" si="86"/>
        <v>7.3981330472876394E-3</v>
      </c>
      <c r="L192" s="336">
        <f t="shared" si="86"/>
        <v>1.4579315049450217E-2</v>
      </c>
      <c r="M192" s="336">
        <f t="shared" si="86"/>
        <v>2.8139801963422747E-2</v>
      </c>
      <c r="N192" s="336">
        <f t="shared" si="86"/>
        <v>5.0840007763773863E-2</v>
      </c>
      <c r="O192" s="336">
        <f t="shared" si="86"/>
        <v>8.8643615682089838E-2</v>
      </c>
      <c r="P192" s="336">
        <f t="shared" si="86"/>
        <v>0.14732828764095304</v>
      </c>
      <c r="Q192" s="336">
        <f t="shared" si="86"/>
        <v>0.23190366874150342</v>
      </c>
      <c r="R192" s="336">
        <f t="shared" si="86"/>
        <v>0.34420983700106994</v>
      </c>
      <c r="S192" s="336">
        <f t="shared" si="86"/>
        <v>0.48153759852392825</v>
      </c>
      <c r="T192" s="336">
        <f t="shared" si="86"/>
        <v>0.63624718010323145</v>
      </c>
      <c r="U192" s="336">
        <f t="shared" si="86"/>
        <v>0.79784561206533366</v>
      </c>
      <c r="V192" s="336">
        <f t="shared" si="86"/>
        <v>0.95616639725118191</v>
      </c>
      <c r="W192" s="336">
        <f t="shared" si="86"/>
        <v>1.103855900903997</v>
      </c>
      <c r="X192" s="336">
        <f t="shared" si="86"/>
        <v>1.1978784291355864</v>
      </c>
      <c r="Y192" s="336">
        <f t="shared" si="86"/>
        <v>1.2712629111423983</v>
      </c>
      <c r="Z192" s="336">
        <f t="shared" si="86"/>
        <v>1.3284749127397892</v>
      </c>
      <c r="AA192" s="336">
        <f t="shared" si="86"/>
        <v>1.3741380594198829</v>
      </c>
      <c r="AB192" s="336">
        <f t="shared" si="86"/>
        <v>1.4151427365225868</v>
      </c>
      <c r="AC192" s="336">
        <f t="shared" si="86"/>
        <v>1.4591267942837822</v>
      </c>
      <c r="AD192" s="336">
        <f t="shared" si="86"/>
        <v>1.5137623238164903</v>
      </c>
      <c r="AE192" s="336">
        <f t="shared" si="86"/>
        <v>1.5850405757506603</v>
      </c>
      <c r="AF192" s="336">
        <f t="shared" si="86"/>
        <v>1.6749036913069</v>
      </c>
      <c r="AG192" s="336">
        <f t="shared" si="86"/>
        <v>1.779086444020276</v>
      </c>
      <c r="AJ192" s="325"/>
    </row>
    <row r="193" spans="1:36" s="230" customFormat="1" x14ac:dyDescent="0.2">
      <c r="A193" s="326"/>
      <c r="B193" s="324"/>
      <c r="AJ193" s="325"/>
    </row>
    <row r="194" spans="1:36" s="230" customFormat="1" x14ac:dyDescent="0.2">
      <c r="A194" s="326" t="s">
        <v>1412</v>
      </c>
      <c r="B194" s="324" t="s">
        <v>704</v>
      </c>
      <c r="C194" s="230">
        <f>SUM(C163:C164)-SUM(C190,C192)</f>
        <v>45.744276044523787</v>
      </c>
      <c r="D194" s="230">
        <f t="shared" ref="D194:AG194" si="87">SUM(D163:D164)-SUM(D190,D192)</f>
        <v>47.614463271598439</v>
      </c>
      <c r="E194" s="230">
        <f t="shared" si="87"/>
        <v>49.418625756534581</v>
      </c>
      <c r="F194" s="230">
        <f t="shared" si="87"/>
        <v>51.143960111907496</v>
      </c>
      <c r="G194" s="230">
        <f t="shared" si="87"/>
        <v>52.777880430477623</v>
      </c>
      <c r="H194" s="230">
        <f t="shared" si="87"/>
        <v>54.308139103655357</v>
      </c>
      <c r="I194" s="230">
        <f t="shared" si="87"/>
        <v>55.774215612077228</v>
      </c>
      <c r="J194" s="230">
        <f t="shared" si="87"/>
        <v>57.238693549024312</v>
      </c>
      <c r="K194" s="230">
        <f t="shared" si="87"/>
        <v>58.698714450238597</v>
      </c>
      <c r="L194" s="230">
        <f t="shared" si="87"/>
        <v>60.150644730999396</v>
      </c>
      <c r="M194" s="230">
        <f t="shared" si="87"/>
        <v>61.5895206962497</v>
      </c>
      <c r="N194" s="230">
        <f t="shared" si="87"/>
        <v>62.577592696776698</v>
      </c>
      <c r="O194" s="230">
        <f t="shared" si="87"/>
        <v>63.437150165512662</v>
      </c>
      <c r="P194" s="230">
        <f t="shared" si="87"/>
        <v>64.111810317108507</v>
      </c>
      <c r="Q194" s="230">
        <f t="shared" si="87"/>
        <v>64.622103375958645</v>
      </c>
      <c r="R194" s="230">
        <f t="shared" si="87"/>
        <v>64.961954702303174</v>
      </c>
      <c r="S194" s="230">
        <f t="shared" si="87"/>
        <v>65.24897180638682</v>
      </c>
      <c r="T194" s="230">
        <f t="shared" si="87"/>
        <v>65.490192760436187</v>
      </c>
      <c r="U194" s="230">
        <f t="shared" si="87"/>
        <v>65.695534685997103</v>
      </c>
      <c r="V194" s="230">
        <f t="shared" si="87"/>
        <v>65.874615413458471</v>
      </c>
      <c r="W194" s="230">
        <f t="shared" si="87"/>
        <v>66.034268415633591</v>
      </c>
      <c r="X194" s="230">
        <f t="shared" si="87"/>
        <v>65.647709369125039</v>
      </c>
      <c r="Y194" s="230">
        <f t="shared" si="87"/>
        <v>65.358443726715876</v>
      </c>
      <c r="Z194" s="230">
        <f t="shared" si="87"/>
        <v>65.035365812723299</v>
      </c>
      <c r="AA194" s="230">
        <f t="shared" si="87"/>
        <v>64.676833381200041</v>
      </c>
      <c r="AB194" s="230">
        <f t="shared" si="87"/>
        <v>64.275726942456501</v>
      </c>
      <c r="AC194" s="230">
        <f t="shared" si="87"/>
        <v>63.822270460264541</v>
      </c>
      <c r="AD194" s="230">
        <f t="shared" si="87"/>
        <v>63.311276255297344</v>
      </c>
      <c r="AE194" s="230">
        <f t="shared" si="87"/>
        <v>62.736691710718439</v>
      </c>
      <c r="AF194" s="230">
        <f t="shared" si="87"/>
        <v>62.096572784753604</v>
      </c>
      <c r="AG194" s="230">
        <f t="shared" si="87"/>
        <v>61.395243780598435</v>
      </c>
      <c r="AJ194" s="325"/>
    </row>
    <row r="195" spans="1:36" s="230" customFormat="1" x14ac:dyDescent="0.2">
      <c r="A195" s="326"/>
      <c r="B195" s="324"/>
      <c r="AJ195" s="325"/>
    </row>
    <row r="196" spans="1:36" s="230" customFormat="1" x14ac:dyDescent="0.2">
      <c r="A196" s="325" t="s">
        <v>1413</v>
      </c>
      <c r="B196" s="324" t="s">
        <v>704</v>
      </c>
      <c r="C196" s="327">
        <f>C116*C115*C36</f>
        <v>13.224230553397163</v>
      </c>
      <c r="D196" s="327">
        <f t="shared" ref="D196:AG196" si="88">D116*D115*D36</f>
        <v>13.87571358917844</v>
      </c>
      <c r="E196" s="327">
        <f t="shared" si="88"/>
        <v>14.593565660335432</v>
      </c>
      <c r="F196" s="327">
        <f t="shared" si="88"/>
        <v>15.387514562989441</v>
      </c>
      <c r="G196" s="327">
        <f t="shared" si="88"/>
        <v>16.267810256357322</v>
      </c>
      <c r="H196" s="327">
        <f t="shared" si="88"/>
        <v>17.245163779168511</v>
      </c>
      <c r="I196" s="327">
        <f t="shared" si="88"/>
        <v>18.166259323819361</v>
      </c>
      <c r="J196" s="327">
        <f t="shared" si="88"/>
        <v>19.135099018353955</v>
      </c>
      <c r="K196" s="327">
        <f t="shared" si="88"/>
        <v>20.154736232547101</v>
      </c>
      <c r="L196" s="327">
        <f t="shared" si="88"/>
        <v>21.228389799495591</v>
      </c>
      <c r="M196" s="327">
        <f t="shared" si="88"/>
        <v>22.359448986373842</v>
      </c>
      <c r="N196" s="327">
        <f t="shared" si="88"/>
        <v>23.057929229816065</v>
      </c>
      <c r="O196" s="327">
        <f t="shared" si="88"/>
        <v>23.823179404957394</v>
      </c>
      <c r="P196" s="327">
        <f t="shared" si="88"/>
        <v>24.663042316489083</v>
      </c>
      <c r="Q196" s="327">
        <f t="shared" si="88"/>
        <v>25.585495415627722</v>
      </c>
      <c r="R196" s="327">
        <f t="shared" si="88"/>
        <v>26.598595020949496</v>
      </c>
      <c r="S196" s="327">
        <f t="shared" si="88"/>
        <v>27.600254003826471</v>
      </c>
      <c r="T196" s="327">
        <f t="shared" si="88"/>
        <v>28.631356229482932</v>
      </c>
      <c r="U196" s="327">
        <f t="shared" si="88"/>
        <v>29.692872463846175</v>
      </c>
      <c r="V196" s="327">
        <f t="shared" si="88"/>
        <v>30.785802606736382</v>
      </c>
      <c r="W196" s="327">
        <f t="shared" si="88"/>
        <v>31.911176259536898</v>
      </c>
      <c r="X196" s="327">
        <f t="shared" si="88"/>
        <v>33.023807699924355</v>
      </c>
      <c r="Y196" s="327">
        <f t="shared" si="88"/>
        <v>34.167373640729984</v>
      </c>
      <c r="Z196" s="327">
        <f t="shared" si="88"/>
        <v>35.342836415650481</v>
      </c>
      <c r="AA196" s="327">
        <f t="shared" si="88"/>
        <v>36.551185678984687</v>
      </c>
      <c r="AB196" s="327">
        <f t="shared" si="88"/>
        <v>37.793438910504861</v>
      </c>
      <c r="AC196" s="327">
        <f t="shared" si="88"/>
        <v>39.021741550619815</v>
      </c>
      <c r="AD196" s="327">
        <f t="shared" si="88"/>
        <v>40.282447577217262</v>
      </c>
      <c r="AE196" s="327">
        <f t="shared" si="88"/>
        <v>41.576511316663549</v>
      </c>
      <c r="AF196" s="327">
        <f t="shared" si="88"/>
        <v>42.904912806926838</v>
      </c>
      <c r="AG196" s="327">
        <f t="shared" si="88"/>
        <v>44.268658249552509</v>
      </c>
      <c r="AJ196" s="325"/>
    </row>
    <row r="197" spans="1:36" s="230" customFormat="1" x14ac:dyDescent="0.2">
      <c r="A197" s="230" t="s">
        <v>1414</v>
      </c>
      <c r="B197" s="324" t="s">
        <v>704</v>
      </c>
      <c r="C197" s="327">
        <f>C117*C115*C36</f>
        <v>46.885908325680859</v>
      </c>
      <c r="D197" s="327">
        <f t="shared" ref="D197:AG197" si="89">D117*D115*D36</f>
        <v>47.34066989249115</v>
      </c>
      <c r="E197" s="327">
        <f t="shared" si="89"/>
        <v>47.950287169673572</v>
      </c>
      <c r="F197" s="327">
        <f t="shared" si="89"/>
        <v>48.727129449466567</v>
      </c>
      <c r="G197" s="327">
        <f t="shared" si="89"/>
        <v>49.682771864010213</v>
      </c>
      <c r="H197" s="327">
        <f t="shared" si="89"/>
        <v>50.827851138601936</v>
      </c>
      <c r="I197" s="327">
        <f t="shared" si="89"/>
        <v>51.703968844716655</v>
      </c>
      <c r="J197" s="327">
        <f t="shared" si="89"/>
        <v>52.621522300473387</v>
      </c>
      <c r="K197" s="327">
        <f t="shared" si="89"/>
        <v>53.582103642625242</v>
      </c>
      <c r="L197" s="327">
        <f t="shared" si="89"/>
        <v>54.587288055845832</v>
      </c>
      <c r="M197" s="327">
        <f t="shared" si="89"/>
        <v>55.638628873069813</v>
      </c>
      <c r="N197" s="327">
        <f t="shared" si="89"/>
        <v>55.548647690011457</v>
      </c>
      <c r="O197" s="327">
        <f t="shared" si="89"/>
        <v>55.58741861156728</v>
      </c>
      <c r="P197" s="327">
        <f t="shared" si="89"/>
        <v>55.75992175901883</v>
      </c>
      <c r="Q197" s="327">
        <f t="shared" si="89"/>
        <v>56.070341017226745</v>
      </c>
      <c r="R197" s="327">
        <f t="shared" si="89"/>
        <v>56.522014419517724</v>
      </c>
      <c r="S197" s="327">
        <f t="shared" si="89"/>
        <v>56.890319477275028</v>
      </c>
      <c r="T197" s="327">
        <f t="shared" si="89"/>
        <v>57.262712458965908</v>
      </c>
      <c r="U197" s="327">
        <f t="shared" si="89"/>
        <v>57.639105370995551</v>
      </c>
      <c r="V197" s="327">
        <f t="shared" si="89"/>
        <v>58.019397220387845</v>
      </c>
      <c r="W197" s="327">
        <f t="shared" si="89"/>
        <v>58.403473531605336</v>
      </c>
      <c r="X197" s="327">
        <f t="shared" si="89"/>
        <v>58.70899146653224</v>
      </c>
      <c r="Y197" s="327">
        <f t="shared" si="89"/>
        <v>59.016372652170027</v>
      </c>
      <c r="Z197" s="327">
        <f t="shared" si="89"/>
        <v>59.325475411984804</v>
      </c>
      <c r="AA197" s="327">
        <f t="shared" si="89"/>
        <v>59.636145055185622</v>
      </c>
      <c r="AB197" s="327">
        <f t="shared" si="89"/>
        <v>59.948213444249163</v>
      </c>
      <c r="AC197" s="327">
        <f t="shared" si="89"/>
        <v>60.186075950956059</v>
      </c>
      <c r="AD197" s="327">
        <f t="shared" si="89"/>
        <v>60.423671365825967</v>
      </c>
      <c r="AE197" s="327">
        <f t="shared" si="89"/>
        <v>60.660811593164937</v>
      </c>
      <c r="AF197" s="327">
        <f t="shared" si="89"/>
        <v>60.897295596928494</v>
      </c>
      <c r="AG197" s="327">
        <f t="shared" si="89"/>
        <v>61.132909011286813</v>
      </c>
      <c r="AJ197" s="325"/>
    </row>
    <row r="198" spans="1:36" s="230" customFormat="1" x14ac:dyDescent="0.2">
      <c r="B198" s="324"/>
      <c r="C198" s="317"/>
      <c r="D198" s="317"/>
      <c r="E198" s="317"/>
      <c r="F198" s="317"/>
      <c r="G198" s="317"/>
      <c r="H198" s="317"/>
      <c r="I198" s="317"/>
      <c r="J198" s="317"/>
      <c r="K198" s="317"/>
      <c r="L198" s="317"/>
      <c r="M198" s="317"/>
      <c r="N198" s="317"/>
      <c r="O198" s="317"/>
      <c r="P198" s="317"/>
      <c r="Q198" s="317"/>
      <c r="R198" s="317"/>
      <c r="S198" s="317"/>
      <c r="T198" s="317"/>
      <c r="U198" s="317"/>
      <c r="V198" s="317"/>
      <c r="W198" s="317"/>
      <c r="X198" s="317"/>
      <c r="Y198" s="317"/>
      <c r="Z198" s="317"/>
      <c r="AA198" s="317"/>
      <c r="AB198" s="317"/>
      <c r="AC198" s="317"/>
      <c r="AD198" s="317"/>
      <c r="AE198" s="317"/>
      <c r="AF198" s="317"/>
      <c r="AG198" s="317"/>
      <c r="AJ198" s="325"/>
    </row>
    <row r="199" spans="1:36" s="230" customFormat="1" x14ac:dyDescent="0.2">
      <c r="A199" s="351" t="s">
        <v>233</v>
      </c>
      <c r="B199" s="352" t="s">
        <v>704</v>
      </c>
      <c r="C199" s="304">
        <f>C177-C190-C192</f>
        <v>9.9134984978047527</v>
      </c>
      <c r="D199" s="353">
        <f t="shared" ref="D199:AF199" si="90">D177-D190-D192</f>
        <v>10.743523526700654</v>
      </c>
      <c r="E199" s="353">
        <f t="shared" si="90"/>
        <v>11.581976579607343</v>
      </c>
      <c r="F199" s="353">
        <f t="shared" si="90"/>
        <v>12.423470440926272</v>
      </c>
      <c r="G199" s="353">
        <f t="shared" si="90"/>
        <v>13.262339124788893</v>
      </c>
      <c r="H199" s="353">
        <f t="shared" si="90"/>
        <v>14.092669208947385</v>
      </c>
      <c r="I199" s="353">
        <f t="shared" si="90"/>
        <v>14.927853208399281</v>
      </c>
      <c r="J199" s="353">
        <f t="shared" si="90"/>
        <v>15.777439626137937</v>
      </c>
      <c r="K199" s="353">
        <f t="shared" si="90"/>
        <v>16.639758532043064</v>
      </c>
      <c r="L199" s="353">
        <f t="shared" si="90"/>
        <v>17.512361109317325</v>
      </c>
      <c r="M199" s="353">
        <f t="shared" si="90"/>
        <v>18.391461585911184</v>
      </c>
      <c r="N199" s="353">
        <f t="shared" si="90"/>
        <v>18.782053045462192</v>
      </c>
      <c r="O199" s="353">
        <f t="shared" si="90"/>
        <v>19.120580029302879</v>
      </c>
      <c r="P199" s="353">
        <f t="shared" si="90"/>
        <v>19.391298555243232</v>
      </c>
      <c r="Q199" s="353">
        <f t="shared" si="90"/>
        <v>19.592595124112211</v>
      </c>
      <c r="R199" s="353">
        <f t="shared" si="90"/>
        <v>19.720901857761568</v>
      </c>
      <c r="S199" s="353">
        <f t="shared" si="90"/>
        <v>19.8140064146945</v>
      </c>
      <c r="T199" s="353">
        <f t="shared" si="90"/>
        <v>19.879516219731151</v>
      </c>
      <c r="U199" s="353">
        <f t="shared" si="90"/>
        <v>19.927907825830168</v>
      </c>
      <c r="V199" s="353">
        <f t="shared" si="90"/>
        <v>19.969347599138821</v>
      </c>
      <c r="W199" s="353">
        <f t="shared" si="90"/>
        <v>20.011205670709749</v>
      </c>
      <c r="X199" s="353">
        <f t="shared" si="90"/>
        <v>19.416672575178701</v>
      </c>
      <c r="Y199" s="353">
        <f t="shared" si="90"/>
        <v>18.838684109649865</v>
      </c>
      <c r="Z199" s="353">
        <f t="shared" si="90"/>
        <v>18.276146822271794</v>
      </c>
      <c r="AA199" s="353">
        <f t="shared" si="90"/>
        <v>17.706293930454724</v>
      </c>
      <c r="AB199" s="353">
        <f t="shared" si="90"/>
        <v>17.122766115577686</v>
      </c>
      <c r="AC199" s="353">
        <f t="shared" si="90"/>
        <v>16.518236181847769</v>
      </c>
      <c r="AD199" s="353">
        <f t="shared" si="90"/>
        <v>15.886092492162476</v>
      </c>
      <c r="AE199" s="353">
        <f t="shared" si="90"/>
        <v>15.22095615022231</v>
      </c>
      <c r="AF199" s="353">
        <f t="shared" si="90"/>
        <v>14.521528861668587</v>
      </c>
      <c r="AG199" s="354">
        <f>AG177-AG190-AG192</f>
        <v>13.792751291113163</v>
      </c>
      <c r="AI199" s="230" t="s">
        <v>1415</v>
      </c>
      <c r="AJ199" s="325"/>
    </row>
    <row r="200" spans="1:36" s="230" customFormat="1" x14ac:dyDescent="0.2">
      <c r="A200" s="355" t="s">
        <v>234</v>
      </c>
      <c r="B200" s="356" t="s">
        <v>704</v>
      </c>
      <c r="C200" s="357">
        <f>C178+C199</f>
        <v>71.728753660641544</v>
      </c>
      <c r="D200" s="357">
        <f t="shared" ref="D200:AG200" si="91">D178+D199</f>
        <v>74.002018447325128</v>
      </c>
      <c r="E200" s="357">
        <f t="shared" si="91"/>
        <v>76.141058081130623</v>
      </c>
      <c r="F200" s="357">
        <f t="shared" si="91"/>
        <v>78.130444458875047</v>
      </c>
      <c r="G200" s="357">
        <f t="shared" si="91"/>
        <v>79.955539868222701</v>
      </c>
      <c r="H200" s="357">
        <f t="shared" si="91"/>
        <v>81.602645020066305</v>
      </c>
      <c r="I200" s="357">
        <f t="shared" si="91"/>
        <v>83.136584787828127</v>
      </c>
      <c r="J200" s="357">
        <f t="shared" si="91"/>
        <v>84.652336404850985</v>
      </c>
      <c r="K200" s="357">
        <f t="shared" si="91"/>
        <v>86.14701908108043</v>
      </c>
      <c r="L200" s="357">
        <f t="shared" si="91"/>
        <v>87.617015133727065</v>
      </c>
      <c r="M200" s="357">
        <f t="shared" si="91"/>
        <v>89.057415252797412</v>
      </c>
      <c r="N200" s="357">
        <f t="shared" si="91"/>
        <v>89.785371102445495</v>
      </c>
      <c r="O200" s="357">
        <f t="shared" si="91"/>
        <v>90.334686350913074</v>
      </c>
      <c r="P200" s="357">
        <f t="shared" si="91"/>
        <v>90.63320699187102</v>
      </c>
      <c r="Q200" s="357">
        <f t="shared" si="91"/>
        <v>90.716709460246662</v>
      </c>
      <c r="R200" s="357">
        <f t="shared" si="91"/>
        <v>90.581959024505494</v>
      </c>
      <c r="S200" s="357">
        <f t="shared" si="91"/>
        <v>90.39490091878136</v>
      </c>
      <c r="T200" s="357">
        <f t="shared" si="91"/>
        <v>90.163233267642482</v>
      </c>
      <c r="U200" s="357">
        <f t="shared" si="91"/>
        <v>89.897534551652882</v>
      </c>
      <c r="V200" s="357">
        <f t="shared" si="91"/>
        <v>89.608084282254026</v>
      </c>
      <c r="W200" s="357">
        <f t="shared" si="91"/>
        <v>89.302376932590505</v>
      </c>
      <c r="X200" s="357">
        <f t="shared" si="91"/>
        <v>88.201911663320118</v>
      </c>
      <c r="Y200" s="357">
        <f t="shared" si="91"/>
        <v>87.249335019860808</v>
      </c>
      <c r="Z200" s="357">
        <f t="shared" si="91"/>
        <v>86.275841345517208</v>
      </c>
      <c r="AA200" s="357">
        <f t="shared" si="91"/>
        <v>85.279496084347443</v>
      </c>
      <c r="AB200" s="357">
        <f t="shared" si="91"/>
        <v>84.254120751644678</v>
      </c>
      <c r="AC200" s="357">
        <f t="shared" si="91"/>
        <v>83.190309550977346</v>
      </c>
      <c r="AD200" s="357">
        <f t="shared" si="91"/>
        <v>82.084549049169638</v>
      </c>
      <c r="AE200" s="357">
        <f t="shared" si="91"/>
        <v>80.931660136218071</v>
      </c>
      <c r="AF200" s="357">
        <f t="shared" si="91"/>
        <v>79.730553390673222</v>
      </c>
      <c r="AG200" s="358">
        <f t="shared" si="91"/>
        <v>78.486387332564647</v>
      </c>
      <c r="AI200" s="230" t="s">
        <v>1416</v>
      </c>
      <c r="AJ200" s="325"/>
    </row>
  </sheetData>
  <mergeCells count="2">
    <mergeCell ref="BD70:BE70"/>
    <mergeCell ref="AI170:AI178"/>
  </mergeCells>
  <pageMargins left="0.7" right="0.7" top="0.75" bottom="0.75" header="0.3" footer="0.3"/>
  <pageSetup orientation="portrait"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0F2399-A3CA-483C-BA0E-B2BC68C205E5}">
  <sheetPr>
    <tabColor theme="4"/>
  </sheetPr>
  <dimension ref="A1:BL226"/>
  <sheetViews>
    <sheetView topLeftCell="A78" zoomScale="70" zoomScaleNormal="70" workbookViewId="0">
      <selection activeCell="A20" sqref="A20"/>
    </sheetView>
  </sheetViews>
  <sheetFormatPr baseColWidth="10" defaultColWidth="8.83203125" defaultRowHeight="15" outlineLevelRow="2" outlineLevelCol="1" x14ac:dyDescent="0.2"/>
  <cols>
    <col min="1" max="1" width="56.66406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x14ac:dyDescent="0.2">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x14ac:dyDescent="0.2">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x14ac:dyDescent="0.2">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x14ac:dyDescent="0.2">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x14ac:dyDescent="0.25">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372">
        <f>(AG5/C5)^(1/30)-1</f>
        <v>1.5649269037751878E-2</v>
      </c>
      <c r="AJ5" s="212"/>
      <c r="AR5" s="1"/>
      <c r="AU5" s="23"/>
    </row>
    <row r="6" spans="1:47" ht="16" outlineLevel="1" thickTop="1" x14ac:dyDescent="0.2">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x14ac:dyDescent="0.2">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x14ac:dyDescent="0.2">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x14ac:dyDescent="0.2">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x14ac:dyDescent="0.2">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x14ac:dyDescent="0.2">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x14ac:dyDescent="0.25">
      <c r="A12" s="195" t="s">
        <v>1268</v>
      </c>
      <c r="B12" s="196"/>
      <c r="C12" s="197">
        <f t="shared" ref="C12:AG12" si="7">SUM(C7:C11)</f>
        <v>1</v>
      </c>
      <c r="D12" s="197">
        <f t="shared" si="7"/>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x14ac:dyDescent="0.2">
      <c r="AM13" s="26"/>
      <c r="AN13" s="2"/>
      <c r="AO13" s="26"/>
      <c r="AR13" s="2"/>
    </row>
    <row r="14" spans="1:47" outlineLevel="1" x14ac:dyDescent="0.2">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x14ac:dyDescent="0.2">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x14ac:dyDescent="0.2">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x14ac:dyDescent="0.2">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x14ac:dyDescent="0.2">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x14ac:dyDescent="0.25">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x14ac:dyDescent="0.2">
      <c r="AL20" s="114"/>
      <c r="AM20" s="115"/>
      <c r="AN20" s="115"/>
      <c r="AO20" s="115"/>
      <c r="AP20" s="115"/>
      <c r="AQ20" s="115"/>
    </row>
    <row r="21" spans="1:64" outlineLevel="1" x14ac:dyDescent="0.2">
      <c r="A21" t="s">
        <v>1463</v>
      </c>
      <c r="B21" s="54" t="s">
        <v>462</v>
      </c>
      <c r="C21" s="110">
        <f>'Overall recycling rates'!D76</f>
        <v>0.22178989519762488</v>
      </c>
      <c r="D21" s="110">
        <f>C21</f>
        <v>0.22178989519762488</v>
      </c>
      <c r="E21" s="110">
        <f t="shared" ref="E21:AF22" si="10">D21</f>
        <v>0.22178989519762488</v>
      </c>
      <c r="F21" s="110">
        <f t="shared" si="10"/>
        <v>0.22178989519762488</v>
      </c>
      <c r="G21" s="110">
        <f t="shared" si="10"/>
        <v>0.22178989519762488</v>
      </c>
      <c r="H21" s="110">
        <f t="shared" si="10"/>
        <v>0.22178989519762488</v>
      </c>
      <c r="I21" s="110">
        <f t="shared" si="10"/>
        <v>0.22178989519762488</v>
      </c>
      <c r="J21" s="110">
        <f t="shared" si="10"/>
        <v>0.22178989519762488</v>
      </c>
      <c r="K21" s="110">
        <f t="shared" si="10"/>
        <v>0.22178989519762488</v>
      </c>
      <c r="L21" s="110">
        <f t="shared" si="10"/>
        <v>0.22178989519762488</v>
      </c>
      <c r="M21" s="110">
        <f t="shared" si="10"/>
        <v>0.22178989519762488</v>
      </c>
      <c r="N21" s="110">
        <f t="shared" si="10"/>
        <v>0.22178989519762488</v>
      </c>
      <c r="O21" s="110">
        <f t="shared" si="10"/>
        <v>0.22178989519762488</v>
      </c>
      <c r="P21" s="110">
        <f t="shared" si="10"/>
        <v>0.22178989519762488</v>
      </c>
      <c r="Q21" s="110">
        <f t="shared" si="10"/>
        <v>0.22178989519762488</v>
      </c>
      <c r="R21" s="110">
        <f t="shared" si="10"/>
        <v>0.22178989519762488</v>
      </c>
      <c r="S21" s="110">
        <f t="shared" si="10"/>
        <v>0.22178989519762488</v>
      </c>
      <c r="T21" s="110">
        <f t="shared" si="10"/>
        <v>0.22178989519762488</v>
      </c>
      <c r="U21" s="110">
        <f t="shared" si="10"/>
        <v>0.22178989519762488</v>
      </c>
      <c r="V21" s="110">
        <f t="shared" si="10"/>
        <v>0.22178989519762488</v>
      </c>
      <c r="W21" s="110">
        <f t="shared" si="10"/>
        <v>0.22178989519762488</v>
      </c>
      <c r="X21" s="110">
        <f t="shared" si="10"/>
        <v>0.22178989519762488</v>
      </c>
      <c r="Y21" s="110">
        <f t="shared" si="10"/>
        <v>0.22178989519762488</v>
      </c>
      <c r="Z21" s="110">
        <f t="shared" si="10"/>
        <v>0.22178989519762488</v>
      </c>
      <c r="AA21" s="110">
        <f t="shared" si="10"/>
        <v>0.22178989519762488</v>
      </c>
      <c r="AB21" s="110">
        <f t="shared" si="10"/>
        <v>0.22178989519762488</v>
      </c>
      <c r="AC21" s="110">
        <f t="shared" si="10"/>
        <v>0.22178989519762488</v>
      </c>
      <c r="AD21" s="110">
        <f t="shared" si="10"/>
        <v>0.22178989519762488</v>
      </c>
      <c r="AE21" s="110">
        <f t="shared" si="10"/>
        <v>0.22178989519762488</v>
      </c>
      <c r="AF21" s="110">
        <f t="shared" si="10"/>
        <v>0.22178989519762488</v>
      </c>
      <c r="AG21" s="110">
        <f>AF21</f>
        <v>0.22178989519762488</v>
      </c>
      <c r="AI21" s="54" t="s">
        <v>1263</v>
      </c>
      <c r="AJ21" s="211"/>
      <c r="AM21" s="115"/>
      <c r="AN21" s="115"/>
      <c r="AO21" s="115"/>
      <c r="AP21" s="115"/>
      <c r="AQ21" s="115"/>
    </row>
    <row r="22" spans="1:64" outlineLevel="1" x14ac:dyDescent="0.2">
      <c r="A22" t="s">
        <v>1464</v>
      </c>
      <c r="B22" s="54" t="s">
        <v>462</v>
      </c>
      <c r="C22" s="110">
        <f>'Overall recycling rates'!D78</f>
        <v>0.56901109754749091</v>
      </c>
      <c r="D22" s="110">
        <f t="shared" ref="D22:S25" si="11">C22</f>
        <v>0.56901109754749091</v>
      </c>
      <c r="E22" s="110">
        <f t="shared" si="11"/>
        <v>0.56901109754749091</v>
      </c>
      <c r="F22" s="110">
        <f t="shared" si="11"/>
        <v>0.56901109754749091</v>
      </c>
      <c r="G22" s="110">
        <f t="shared" si="11"/>
        <v>0.56901109754749091</v>
      </c>
      <c r="H22" s="110">
        <f t="shared" si="11"/>
        <v>0.56901109754749091</v>
      </c>
      <c r="I22" s="110">
        <f t="shared" si="11"/>
        <v>0.56901109754749091</v>
      </c>
      <c r="J22" s="110">
        <f t="shared" si="11"/>
        <v>0.56901109754749091</v>
      </c>
      <c r="K22" s="110">
        <f t="shared" si="11"/>
        <v>0.56901109754749091</v>
      </c>
      <c r="L22" s="110">
        <f t="shared" si="11"/>
        <v>0.56901109754749091</v>
      </c>
      <c r="M22" s="110">
        <f t="shared" si="11"/>
        <v>0.56901109754749091</v>
      </c>
      <c r="N22" s="110">
        <f t="shared" si="11"/>
        <v>0.56901109754749091</v>
      </c>
      <c r="O22" s="110">
        <f t="shared" si="11"/>
        <v>0.56901109754749091</v>
      </c>
      <c r="P22" s="110">
        <f t="shared" si="11"/>
        <v>0.56901109754749091</v>
      </c>
      <c r="Q22" s="110">
        <f t="shared" si="11"/>
        <v>0.56901109754749091</v>
      </c>
      <c r="R22" s="110">
        <f t="shared" si="11"/>
        <v>0.56901109754749091</v>
      </c>
      <c r="S22" s="110">
        <f t="shared" si="11"/>
        <v>0.56901109754749091</v>
      </c>
      <c r="T22" s="110">
        <f t="shared" si="10"/>
        <v>0.56901109754749091</v>
      </c>
      <c r="U22" s="110">
        <f t="shared" si="10"/>
        <v>0.56901109754749091</v>
      </c>
      <c r="V22" s="110">
        <f t="shared" si="10"/>
        <v>0.56901109754749091</v>
      </c>
      <c r="W22" s="110">
        <f t="shared" si="10"/>
        <v>0.56901109754749091</v>
      </c>
      <c r="X22" s="110">
        <f t="shared" si="10"/>
        <v>0.56901109754749091</v>
      </c>
      <c r="Y22" s="110">
        <f t="shared" si="10"/>
        <v>0.56901109754749091</v>
      </c>
      <c r="Z22" s="110">
        <f t="shared" si="10"/>
        <v>0.56901109754749091</v>
      </c>
      <c r="AA22" s="110">
        <f t="shared" si="10"/>
        <v>0.56901109754749091</v>
      </c>
      <c r="AB22" s="110">
        <f t="shared" si="10"/>
        <v>0.56901109754749091</v>
      </c>
      <c r="AC22" s="110">
        <f t="shared" si="10"/>
        <v>0.56901109754749091</v>
      </c>
      <c r="AD22" s="110">
        <f t="shared" si="10"/>
        <v>0.56901109754749091</v>
      </c>
      <c r="AE22" s="110">
        <f t="shared" si="10"/>
        <v>0.56901109754749091</v>
      </c>
      <c r="AF22" s="110">
        <f t="shared" si="10"/>
        <v>0.56901109754749091</v>
      </c>
      <c r="AG22" s="110">
        <f t="shared" ref="T22:AG25" si="12">AF22</f>
        <v>0.56901109754749091</v>
      </c>
      <c r="AI22" s="54" t="s">
        <v>1263</v>
      </c>
      <c r="AJ22" s="211"/>
      <c r="AM22" s="120"/>
      <c r="AN22" s="115"/>
      <c r="AO22" s="116"/>
      <c r="AP22" s="117"/>
      <c r="AQ22" s="116"/>
    </row>
    <row r="23" spans="1:64" outlineLevel="1" x14ac:dyDescent="0.2">
      <c r="A23" t="s">
        <v>1465</v>
      </c>
      <c r="B23" s="54" t="s">
        <v>462</v>
      </c>
      <c r="C23" s="110">
        <f>'Overall recycling rates'!D77</f>
        <v>0.18333362189931796</v>
      </c>
      <c r="D23" s="110">
        <f t="shared" si="11"/>
        <v>0.18333362189931796</v>
      </c>
      <c r="E23" s="110">
        <f t="shared" si="11"/>
        <v>0.18333362189931796</v>
      </c>
      <c r="F23" s="110">
        <f t="shared" si="11"/>
        <v>0.18333362189931796</v>
      </c>
      <c r="G23" s="110">
        <f t="shared" si="11"/>
        <v>0.18333362189931796</v>
      </c>
      <c r="H23" s="110">
        <f t="shared" si="11"/>
        <v>0.18333362189931796</v>
      </c>
      <c r="I23" s="110">
        <f t="shared" si="11"/>
        <v>0.18333362189931796</v>
      </c>
      <c r="J23" s="110">
        <f t="shared" si="11"/>
        <v>0.18333362189931796</v>
      </c>
      <c r="K23" s="110">
        <f t="shared" si="11"/>
        <v>0.18333362189931796</v>
      </c>
      <c r="L23" s="110">
        <f t="shared" si="11"/>
        <v>0.18333362189931796</v>
      </c>
      <c r="M23" s="110">
        <f t="shared" si="11"/>
        <v>0.18333362189931796</v>
      </c>
      <c r="N23" s="110">
        <f t="shared" si="11"/>
        <v>0.18333362189931796</v>
      </c>
      <c r="O23" s="110">
        <f t="shared" si="11"/>
        <v>0.18333362189931796</v>
      </c>
      <c r="P23" s="110">
        <f t="shared" si="11"/>
        <v>0.18333362189931796</v>
      </c>
      <c r="Q23" s="110">
        <f t="shared" si="11"/>
        <v>0.18333362189931796</v>
      </c>
      <c r="R23" s="110">
        <f t="shared" si="11"/>
        <v>0.18333362189931796</v>
      </c>
      <c r="S23" s="110">
        <f t="shared" si="11"/>
        <v>0.18333362189931796</v>
      </c>
      <c r="T23" s="110">
        <f t="shared" si="12"/>
        <v>0.18333362189931796</v>
      </c>
      <c r="U23" s="110">
        <f t="shared" si="12"/>
        <v>0.18333362189931796</v>
      </c>
      <c r="V23" s="110">
        <f t="shared" si="12"/>
        <v>0.18333362189931796</v>
      </c>
      <c r="W23" s="110">
        <f t="shared" si="12"/>
        <v>0.18333362189931796</v>
      </c>
      <c r="X23" s="110">
        <f t="shared" si="12"/>
        <v>0.18333362189931796</v>
      </c>
      <c r="Y23" s="110">
        <f t="shared" si="12"/>
        <v>0.18333362189931796</v>
      </c>
      <c r="Z23" s="110">
        <f t="shared" si="12"/>
        <v>0.18333362189931796</v>
      </c>
      <c r="AA23" s="110">
        <f t="shared" si="12"/>
        <v>0.18333362189931796</v>
      </c>
      <c r="AB23" s="110">
        <f t="shared" si="12"/>
        <v>0.18333362189931796</v>
      </c>
      <c r="AC23" s="110">
        <f t="shared" si="12"/>
        <v>0.18333362189931796</v>
      </c>
      <c r="AD23" s="110">
        <f t="shared" si="12"/>
        <v>0.18333362189931796</v>
      </c>
      <c r="AE23" s="110">
        <f t="shared" si="12"/>
        <v>0.18333362189931796</v>
      </c>
      <c r="AF23" s="110">
        <f t="shared" si="12"/>
        <v>0.18333362189931796</v>
      </c>
      <c r="AG23" s="110">
        <f t="shared" si="12"/>
        <v>0.18333362189931796</v>
      </c>
      <c r="AI23" s="54" t="s">
        <v>1263</v>
      </c>
      <c r="AJ23" s="211"/>
      <c r="AM23" s="120"/>
      <c r="AN23" s="115"/>
      <c r="AO23" s="116"/>
      <c r="AP23" s="117"/>
      <c r="AQ23" s="116"/>
    </row>
    <row r="24" spans="1:64" outlineLevel="1" x14ac:dyDescent="0.2">
      <c r="A24" t="s">
        <v>1466</v>
      </c>
      <c r="B24" s="54" t="s">
        <v>462</v>
      </c>
      <c r="C24" s="110">
        <f>'Overall recycling rates'!D79</f>
        <v>1.9541639980703622E-2</v>
      </c>
      <c r="D24" s="110">
        <f t="shared" si="11"/>
        <v>1.9541639980703622E-2</v>
      </c>
      <c r="E24" s="110">
        <f t="shared" si="11"/>
        <v>1.9541639980703622E-2</v>
      </c>
      <c r="F24" s="110">
        <f t="shared" si="11"/>
        <v>1.9541639980703622E-2</v>
      </c>
      <c r="G24" s="110">
        <f t="shared" si="11"/>
        <v>1.9541639980703622E-2</v>
      </c>
      <c r="H24" s="110">
        <f t="shared" si="11"/>
        <v>1.9541639980703622E-2</v>
      </c>
      <c r="I24" s="110">
        <f t="shared" si="11"/>
        <v>1.9541639980703622E-2</v>
      </c>
      <c r="J24" s="110">
        <f t="shared" si="11"/>
        <v>1.9541639980703622E-2</v>
      </c>
      <c r="K24" s="110">
        <f t="shared" si="11"/>
        <v>1.9541639980703622E-2</v>
      </c>
      <c r="L24" s="110">
        <f t="shared" si="11"/>
        <v>1.9541639980703622E-2</v>
      </c>
      <c r="M24" s="110">
        <f t="shared" si="11"/>
        <v>1.9541639980703622E-2</v>
      </c>
      <c r="N24" s="110">
        <f t="shared" si="11"/>
        <v>1.9541639980703622E-2</v>
      </c>
      <c r="O24" s="110">
        <f t="shared" si="11"/>
        <v>1.9541639980703622E-2</v>
      </c>
      <c r="P24" s="110">
        <f t="shared" si="11"/>
        <v>1.9541639980703622E-2</v>
      </c>
      <c r="Q24" s="110">
        <f t="shared" si="11"/>
        <v>1.9541639980703622E-2</v>
      </c>
      <c r="R24" s="110">
        <f t="shared" si="11"/>
        <v>1.9541639980703622E-2</v>
      </c>
      <c r="S24" s="110">
        <f t="shared" si="11"/>
        <v>1.9541639980703622E-2</v>
      </c>
      <c r="T24" s="110">
        <f t="shared" si="12"/>
        <v>1.9541639980703622E-2</v>
      </c>
      <c r="U24" s="110">
        <f t="shared" si="12"/>
        <v>1.9541639980703622E-2</v>
      </c>
      <c r="V24" s="110">
        <f t="shared" si="12"/>
        <v>1.9541639980703622E-2</v>
      </c>
      <c r="W24" s="110">
        <f t="shared" si="12"/>
        <v>1.9541639980703622E-2</v>
      </c>
      <c r="X24" s="110">
        <f t="shared" si="12"/>
        <v>1.9541639980703622E-2</v>
      </c>
      <c r="Y24" s="110">
        <f t="shared" si="12"/>
        <v>1.9541639980703622E-2</v>
      </c>
      <c r="Z24" s="110">
        <f t="shared" si="12"/>
        <v>1.9541639980703622E-2</v>
      </c>
      <c r="AA24" s="110">
        <f t="shared" si="12"/>
        <v>1.9541639980703622E-2</v>
      </c>
      <c r="AB24" s="110">
        <f t="shared" si="12"/>
        <v>1.9541639980703622E-2</v>
      </c>
      <c r="AC24" s="110">
        <f t="shared" si="12"/>
        <v>1.9541639980703622E-2</v>
      </c>
      <c r="AD24" s="110">
        <f t="shared" si="12"/>
        <v>1.9541639980703622E-2</v>
      </c>
      <c r="AE24" s="110">
        <f t="shared" si="12"/>
        <v>1.9541639980703622E-2</v>
      </c>
      <c r="AF24" s="110">
        <f t="shared" si="12"/>
        <v>1.9541639980703622E-2</v>
      </c>
      <c r="AG24" s="110">
        <f t="shared" si="12"/>
        <v>1.9541639980703622E-2</v>
      </c>
      <c r="AI24" s="54" t="s">
        <v>1467</v>
      </c>
      <c r="AJ24" s="211"/>
      <c r="AM24" s="120"/>
      <c r="AN24" s="115"/>
      <c r="AO24" s="116"/>
      <c r="AP24" s="117"/>
      <c r="AQ24" s="116"/>
    </row>
    <row r="25" spans="1:64" outlineLevel="1" x14ac:dyDescent="0.2">
      <c r="A25" t="s">
        <v>1468</v>
      </c>
      <c r="B25" s="54" t="s">
        <v>462</v>
      </c>
      <c r="C25" s="110">
        <f>'Overall recycling rates'!D80</f>
        <v>0.33739166064714576</v>
      </c>
      <c r="D25" s="110">
        <f>C25</f>
        <v>0.33739166064714576</v>
      </c>
      <c r="E25" s="110">
        <f t="shared" si="11"/>
        <v>0.33739166064714576</v>
      </c>
      <c r="F25" s="110">
        <f t="shared" si="11"/>
        <v>0.33739166064714576</v>
      </c>
      <c r="G25" s="110">
        <f t="shared" si="11"/>
        <v>0.33739166064714576</v>
      </c>
      <c r="H25" s="110">
        <f t="shared" si="11"/>
        <v>0.33739166064714576</v>
      </c>
      <c r="I25" s="110">
        <f t="shared" si="11"/>
        <v>0.33739166064714576</v>
      </c>
      <c r="J25" s="110">
        <f t="shared" si="11"/>
        <v>0.33739166064714576</v>
      </c>
      <c r="K25" s="110">
        <f t="shared" si="11"/>
        <v>0.33739166064714576</v>
      </c>
      <c r="L25" s="110">
        <f t="shared" si="11"/>
        <v>0.33739166064714576</v>
      </c>
      <c r="M25" s="110">
        <f t="shared" si="11"/>
        <v>0.33739166064714576</v>
      </c>
      <c r="N25" s="110">
        <f t="shared" si="11"/>
        <v>0.33739166064714576</v>
      </c>
      <c r="O25" s="110">
        <f t="shared" si="11"/>
        <v>0.33739166064714576</v>
      </c>
      <c r="P25" s="110">
        <f t="shared" si="11"/>
        <v>0.33739166064714576</v>
      </c>
      <c r="Q25" s="110">
        <f t="shared" si="11"/>
        <v>0.33739166064714576</v>
      </c>
      <c r="R25" s="110">
        <f t="shared" si="11"/>
        <v>0.33739166064714576</v>
      </c>
      <c r="S25" s="110">
        <f t="shared" si="11"/>
        <v>0.33739166064714576</v>
      </c>
      <c r="T25" s="110">
        <f t="shared" si="12"/>
        <v>0.33739166064714576</v>
      </c>
      <c r="U25" s="110">
        <f t="shared" si="12"/>
        <v>0.33739166064714576</v>
      </c>
      <c r="V25" s="110">
        <f t="shared" si="12"/>
        <v>0.33739166064714576</v>
      </c>
      <c r="W25" s="110">
        <f t="shared" si="12"/>
        <v>0.33739166064714576</v>
      </c>
      <c r="X25" s="110">
        <f t="shared" si="12"/>
        <v>0.33739166064714576</v>
      </c>
      <c r="Y25" s="110">
        <f t="shared" si="12"/>
        <v>0.33739166064714576</v>
      </c>
      <c r="Z25" s="110">
        <f t="shared" si="12"/>
        <v>0.33739166064714576</v>
      </c>
      <c r="AA25" s="110">
        <f t="shared" si="12"/>
        <v>0.33739166064714576</v>
      </c>
      <c r="AB25" s="110">
        <f t="shared" si="12"/>
        <v>0.33739166064714576</v>
      </c>
      <c r="AC25" s="110">
        <f t="shared" si="12"/>
        <v>0.33739166064714576</v>
      </c>
      <c r="AD25" s="110">
        <f t="shared" si="12"/>
        <v>0.33739166064714576</v>
      </c>
      <c r="AE25" s="110">
        <f t="shared" si="12"/>
        <v>0.33739166064714576</v>
      </c>
      <c r="AF25" s="110">
        <f t="shared" si="12"/>
        <v>0.33739166064714576</v>
      </c>
      <c r="AG25" s="110">
        <f t="shared" si="12"/>
        <v>0.33739166064714576</v>
      </c>
      <c r="AI25" s="54" t="s">
        <v>1263</v>
      </c>
      <c r="AJ25" s="211"/>
      <c r="AM25" s="120"/>
      <c r="AN25" s="115"/>
      <c r="AO25" s="116"/>
      <c r="AP25" s="117"/>
      <c r="AQ25" s="116"/>
    </row>
    <row r="26" spans="1:64" outlineLevel="1" x14ac:dyDescent="0.2">
      <c r="AI26" s="54"/>
      <c r="AM26" s="120"/>
      <c r="AN26" s="115"/>
      <c r="AO26" s="116"/>
      <c r="AP26" s="117"/>
      <c r="AQ26" s="116"/>
      <c r="BD26" s="23"/>
      <c r="BE26" s="23"/>
      <c r="BF26" s="23"/>
      <c r="BG26" s="23"/>
      <c r="BH26" s="23"/>
      <c r="BI26" s="23"/>
      <c r="BJ26" s="23"/>
      <c r="BK26" s="23"/>
      <c r="BL26" s="23"/>
    </row>
    <row r="27" spans="1:64" outlineLevel="1" x14ac:dyDescent="0.2">
      <c r="A27" t="s">
        <v>1469</v>
      </c>
      <c r="B27" s="54" t="s">
        <v>1470</v>
      </c>
      <c r="C27" s="204">
        <f>C14*C21</f>
        <v>42.585119205697637</v>
      </c>
      <c r="D27" s="204">
        <f t="shared" ref="D27:AG27" si="13">D14*D21</f>
        <v>44.012636263047483</v>
      </c>
      <c r="E27" s="204">
        <f t="shared" si="13"/>
        <v>45.36909701335091</v>
      </c>
      <c r="F27" s="204">
        <f t="shared" si="13"/>
        <v>46.645191207078334</v>
      </c>
      <c r="G27" s="204">
        <f t="shared" si="13"/>
        <v>47.83198116362081</v>
      </c>
      <c r="H27" s="204">
        <f t="shared" si="13"/>
        <v>48.921006043844443</v>
      </c>
      <c r="I27" s="204">
        <f t="shared" si="13"/>
        <v>50.012048902373749</v>
      </c>
      <c r="J27" s="204">
        <f t="shared" si="13"/>
        <v>51.104121901012896</v>
      </c>
      <c r="K27" s="204">
        <f t="shared" si="13"/>
        <v>52.196212122325981</v>
      </c>
      <c r="L27" s="204">
        <f t="shared" si="13"/>
        <v>53.287282886908656</v>
      </c>
      <c r="M27" s="204">
        <f t="shared" si="13"/>
        <v>54.376275159687594</v>
      </c>
      <c r="N27" s="204">
        <f t="shared" si="13"/>
        <v>55.382754376308014</v>
      </c>
      <c r="O27" s="204">
        <f t="shared" si="13"/>
        <v>56.301138422088286</v>
      </c>
      <c r="P27" s="204">
        <f t="shared" si="13"/>
        <v>57.126239456611934</v>
      </c>
      <c r="Q27" s="204">
        <f t="shared" si="13"/>
        <v>57.853312130622385</v>
      </c>
      <c r="R27" s="204">
        <f t="shared" si="13"/>
        <v>58.478098540198893</v>
      </c>
      <c r="S27" s="204">
        <f t="shared" si="13"/>
        <v>59.103162210000427</v>
      </c>
      <c r="T27" s="204">
        <f t="shared" si="13"/>
        <v>59.728363877389825</v>
      </c>
      <c r="U27" s="204">
        <f t="shared" si="13"/>
        <v>60.353562607814325</v>
      </c>
      <c r="V27" s="204">
        <f t="shared" si="13"/>
        <v>60.978615839267896</v>
      </c>
      <c r="W27" s="204">
        <f t="shared" si="13"/>
        <v>61.603379428230369</v>
      </c>
      <c r="X27" s="204">
        <f t="shared" si="13"/>
        <v>62.22839309866503</v>
      </c>
      <c r="Y27" s="204">
        <f t="shared" si="13"/>
        <v>62.853531369168849</v>
      </c>
      <c r="Z27" s="204">
        <f t="shared" si="13"/>
        <v>63.478667340269851</v>
      </c>
      <c r="AA27" s="204">
        <f t="shared" si="13"/>
        <v>64.103672730685716</v>
      </c>
      <c r="AB27" s="204">
        <f t="shared" si="13"/>
        <v>64.728417914711073</v>
      </c>
      <c r="AC27" s="204">
        <f t="shared" si="13"/>
        <v>65.35338982131735</v>
      </c>
      <c r="AD27" s="204">
        <f t="shared" si="13"/>
        <v>65.978474789108787</v>
      </c>
      <c r="AE27" s="204">
        <f t="shared" si="13"/>
        <v>66.603557943280975</v>
      </c>
      <c r="AF27" s="204">
        <f t="shared" si="13"/>
        <v>67.228523225485176</v>
      </c>
      <c r="AG27" s="204">
        <f t="shared" si="13"/>
        <v>67.853253424567384</v>
      </c>
      <c r="AM27" s="120"/>
      <c r="AN27" s="115"/>
      <c r="AO27" s="115"/>
      <c r="AP27" s="115"/>
      <c r="AQ27" s="115"/>
      <c r="BD27" s="205"/>
      <c r="BE27" s="205"/>
      <c r="BF27" s="205"/>
      <c r="BG27" s="205"/>
      <c r="BH27" s="205"/>
      <c r="BI27" s="205"/>
      <c r="BJ27" s="205"/>
      <c r="BK27" s="205"/>
      <c r="BL27" s="205"/>
    </row>
    <row r="28" spans="1:64" outlineLevel="1" x14ac:dyDescent="0.2">
      <c r="A28" t="s">
        <v>1471</v>
      </c>
      <c r="B28" s="54" t="s">
        <v>1470</v>
      </c>
      <c r="C28" s="204">
        <f t="shared" ref="C28:AG31" si="14">C15*C22</f>
        <v>10.312870698085007</v>
      </c>
      <c r="D28" s="204">
        <f t="shared" si="14"/>
        <v>10.658573589290958</v>
      </c>
      <c r="E28" s="204">
        <f t="shared" si="14"/>
        <v>10.98706872059107</v>
      </c>
      <c r="F28" s="204">
        <f t="shared" si="14"/>
        <v>11.296101421777623</v>
      </c>
      <c r="G28" s="204">
        <f t="shared" si="14"/>
        <v>11.583507247941681</v>
      </c>
      <c r="H28" s="204">
        <f t="shared" si="14"/>
        <v>11.847237231236907</v>
      </c>
      <c r="I28" s="204">
        <f t="shared" si="14"/>
        <v>12.111455909872808</v>
      </c>
      <c r="J28" s="204">
        <f t="shared" si="14"/>
        <v>12.375924058322388</v>
      </c>
      <c r="K28" s="204">
        <f t="shared" si="14"/>
        <v>12.640396377600009</v>
      </c>
      <c r="L28" s="204">
        <f t="shared" si="14"/>
        <v>12.904621814266076</v>
      </c>
      <c r="M28" s="204">
        <f t="shared" si="14"/>
        <v>13.168343900991626</v>
      </c>
      <c r="N28" s="204">
        <f t="shared" si="14"/>
        <v>13.412083738167601</v>
      </c>
      <c r="O28" s="204">
        <f t="shared" si="14"/>
        <v>13.634489500837134</v>
      </c>
      <c r="P28" s="204">
        <f t="shared" si="14"/>
        <v>13.834304845741936</v>
      </c>
      <c r="Q28" s="204">
        <f t="shared" si="14"/>
        <v>14.010380588044368</v>
      </c>
      <c r="R28" s="204">
        <f t="shared" si="14"/>
        <v>14.161685587914395</v>
      </c>
      <c r="S28" s="204">
        <f t="shared" si="14"/>
        <v>14.313057732103935</v>
      </c>
      <c r="T28" s="204">
        <f t="shared" si="14"/>
        <v>14.464463295274262</v>
      </c>
      <c r="U28" s="204">
        <f t="shared" si="14"/>
        <v>14.615868147197563</v>
      </c>
      <c r="V28" s="204">
        <f t="shared" si="14"/>
        <v>14.767237763524442</v>
      </c>
      <c r="W28" s="204">
        <f t="shared" si="14"/>
        <v>14.918537236909021</v>
      </c>
      <c r="X28" s="204">
        <f t="shared" si="14"/>
        <v>15.069897272713868</v>
      </c>
      <c r="Y28" s="204">
        <f t="shared" si="14"/>
        <v>15.221287483012208</v>
      </c>
      <c r="Z28" s="204">
        <f t="shared" si="14"/>
        <v>15.372677136462416</v>
      </c>
      <c r="AA28" s="204">
        <f t="shared" si="14"/>
        <v>15.524035167088817</v>
      </c>
      <c r="AB28" s="204">
        <f t="shared" si="14"/>
        <v>15.675330183335779</v>
      </c>
      <c r="AC28" s="204">
        <f t="shared" si="14"/>
        <v>15.826680105162559</v>
      </c>
      <c r="AD28" s="204">
        <f t="shared" si="14"/>
        <v>15.978057407102508</v>
      </c>
      <c r="AE28" s="204">
        <f t="shared" si="14"/>
        <v>16.129434269836906</v>
      </c>
      <c r="AF28" s="204">
        <f t="shared" si="14"/>
        <v>16.280782587427193</v>
      </c>
      <c r="AG28" s="204">
        <f t="shared" si="14"/>
        <v>16.432073974759078</v>
      </c>
      <c r="AM28" s="206"/>
      <c r="BD28" s="205"/>
      <c r="BE28" s="205"/>
      <c r="BF28" s="205"/>
      <c r="BG28" s="205"/>
      <c r="BH28" s="205"/>
      <c r="BI28" s="205"/>
      <c r="BJ28" s="205"/>
      <c r="BK28" s="205"/>
      <c r="BL28" s="205"/>
    </row>
    <row r="29" spans="1:64" outlineLevel="1" x14ac:dyDescent="0.2">
      <c r="A29" t="s">
        <v>1472</v>
      </c>
      <c r="B29" s="54" t="s">
        <v>1470</v>
      </c>
      <c r="C29" s="204">
        <f t="shared" si="14"/>
        <v>2.6141114211437237</v>
      </c>
      <c r="D29" s="204">
        <f t="shared" si="14"/>
        <v>2.7017403561590436</v>
      </c>
      <c r="E29" s="204">
        <f t="shared" si="14"/>
        <v>2.7850074599230017</v>
      </c>
      <c r="F29" s="204">
        <f t="shared" si="14"/>
        <v>2.8633412175477018</v>
      </c>
      <c r="G29" s="204">
        <f t="shared" si="14"/>
        <v>2.9361929844973473</v>
      </c>
      <c r="H29" s="204">
        <f t="shared" si="14"/>
        <v>3.0030433874174678</v>
      </c>
      <c r="I29" s="204">
        <f t="shared" si="14"/>
        <v>3.0700176650674211</v>
      </c>
      <c r="J29" s="204">
        <f t="shared" si="14"/>
        <v>3.137055178445646</v>
      </c>
      <c r="K29" s="204">
        <f t="shared" si="14"/>
        <v>3.2040937490473684</v>
      </c>
      <c r="L29" s="204">
        <f t="shared" si="14"/>
        <v>3.2710697397260557</v>
      </c>
      <c r="M29" s="204">
        <f t="shared" si="14"/>
        <v>3.3379181410198999</v>
      </c>
      <c r="N29" s="204">
        <f t="shared" si="14"/>
        <v>3.3997014320940089</v>
      </c>
      <c r="O29" s="204">
        <f t="shared" si="14"/>
        <v>3.4560769517085976</v>
      </c>
      <c r="P29" s="204">
        <f t="shared" si="14"/>
        <v>3.5067262413707287</v>
      </c>
      <c r="Q29" s="204">
        <f t="shared" si="14"/>
        <v>3.5513580051554348</v>
      </c>
      <c r="R29" s="204">
        <f t="shared" si="14"/>
        <v>3.5897108692430097</v>
      </c>
      <c r="S29" s="204">
        <f t="shared" si="14"/>
        <v>3.6280807531049661</v>
      </c>
      <c r="T29" s="204">
        <f t="shared" si="14"/>
        <v>3.6664591080262339</v>
      </c>
      <c r="U29" s="204">
        <f t="shared" si="14"/>
        <v>3.7048372826602627</v>
      </c>
      <c r="V29" s="204">
        <f t="shared" si="14"/>
        <v>3.7432065257583771</v>
      </c>
      <c r="W29" s="204">
        <f t="shared" si="14"/>
        <v>3.7815579889897641</v>
      </c>
      <c r="X29" s="204">
        <f t="shared" si="14"/>
        <v>3.8199248036125488</v>
      </c>
      <c r="Y29" s="204">
        <f t="shared" si="14"/>
        <v>3.8582992668804459</v>
      </c>
      <c r="Z29" s="204">
        <f t="shared" si="14"/>
        <v>3.8966735889982118</v>
      </c>
      <c r="AA29" s="204">
        <f t="shared" si="14"/>
        <v>3.9350398953474</v>
      </c>
      <c r="AB29" s="204">
        <f t="shared" si="14"/>
        <v>3.9733902287814025</v>
      </c>
      <c r="AC29" s="204">
        <f t="shared" si="14"/>
        <v>4.0117544797081646</v>
      </c>
      <c r="AD29" s="204">
        <f t="shared" si="14"/>
        <v>4.050125670959174</v>
      </c>
      <c r="AE29" s="204">
        <f t="shared" si="14"/>
        <v>4.0884967508801484</v>
      </c>
      <c r="AF29" s="204">
        <f t="shared" si="14"/>
        <v>4.1268605951642749</v>
      </c>
      <c r="AG29" s="204">
        <f t="shared" si="14"/>
        <v>4.1652100087391384</v>
      </c>
      <c r="BD29" s="205"/>
      <c r="BE29" s="205"/>
      <c r="BF29" s="205"/>
      <c r="BG29" s="205"/>
      <c r="BH29" s="205"/>
      <c r="BI29" s="205"/>
      <c r="BJ29" s="205"/>
      <c r="BK29" s="205"/>
      <c r="BL29" s="205"/>
    </row>
    <row r="30" spans="1:64" outlineLevel="1" x14ac:dyDescent="0.2">
      <c r="A30" t="s">
        <v>1473</v>
      </c>
      <c r="B30" s="54" t="s">
        <v>1470</v>
      </c>
      <c r="C30" s="204">
        <f t="shared" si="14"/>
        <v>0.71420704776119814</v>
      </c>
      <c r="D30" s="204">
        <f t="shared" si="14"/>
        <v>0.73814833904264143</v>
      </c>
      <c r="E30" s="204">
        <f t="shared" si="14"/>
        <v>0.76089792495312358</v>
      </c>
      <c r="F30" s="204">
        <f t="shared" si="14"/>
        <v>0.78229966067129764</v>
      </c>
      <c r="G30" s="204">
        <f t="shared" si="14"/>
        <v>0.80220364983428749</v>
      </c>
      <c r="H30" s="204">
        <f t="shared" si="14"/>
        <v>0.82046799332211673</v>
      </c>
      <c r="I30" s="204">
        <f t="shared" si="14"/>
        <v>0.83876618089339616</v>
      </c>
      <c r="J30" s="204">
        <f t="shared" si="14"/>
        <v>0.85708164523506758</v>
      </c>
      <c r="K30" s="204">
        <f t="shared" si="14"/>
        <v>0.87539739842306241</v>
      </c>
      <c r="L30" s="204">
        <f t="shared" si="14"/>
        <v>0.89369605401463548</v>
      </c>
      <c r="M30" s="204">
        <f t="shared" si="14"/>
        <v>0.9119598506338108</v>
      </c>
      <c r="N30" s="204">
        <f t="shared" si="14"/>
        <v>0.92883979751063672</v>
      </c>
      <c r="O30" s="204">
        <f t="shared" si="14"/>
        <v>0.94424227542503369</v>
      </c>
      <c r="P30" s="204">
        <f t="shared" si="14"/>
        <v>0.95808027764185033</v>
      </c>
      <c r="Q30" s="204">
        <f t="shared" si="14"/>
        <v>0.9702742185700084</v>
      </c>
      <c r="R30" s="204">
        <f t="shared" si="14"/>
        <v>0.98075268770166812</v>
      </c>
      <c r="S30" s="204">
        <f t="shared" si="14"/>
        <v>0.99123580684277879</v>
      </c>
      <c r="T30" s="204">
        <f t="shared" si="14"/>
        <v>1.0017212403803659</v>
      </c>
      <c r="U30" s="204">
        <f t="shared" si="14"/>
        <v>1.012206624661286</v>
      </c>
      <c r="V30" s="204">
        <f t="shared" si="14"/>
        <v>1.0226895687379185</v>
      </c>
      <c r="W30" s="204">
        <f t="shared" si="14"/>
        <v>1.0331676551386224</v>
      </c>
      <c r="X30" s="204">
        <f t="shared" si="14"/>
        <v>1.0436499357262461</v>
      </c>
      <c r="Y30" s="204">
        <f t="shared" si="14"/>
        <v>1.0541343060167803</v>
      </c>
      <c r="Z30" s="204">
        <f t="shared" si="14"/>
        <v>1.0646186377433811</v>
      </c>
      <c r="AA30" s="204">
        <f t="shared" si="14"/>
        <v>1.0751007794644738</v>
      </c>
      <c r="AB30" s="204">
        <f t="shared" si="14"/>
        <v>1.0855785571907852</v>
      </c>
      <c r="AC30" s="204">
        <f t="shared" si="14"/>
        <v>1.0960601373454615</v>
      </c>
      <c r="AD30" s="204">
        <f t="shared" si="14"/>
        <v>1.1065436136811693</v>
      </c>
      <c r="AE30" s="204">
        <f t="shared" si="14"/>
        <v>1.117027059600157</v>
      </c>
      <c r="AF30" s="204">
        <f t="shared" si="14"/>
        <v>1.1275085286551172</v>
      </c>
      <c r="AG30" s="204">
        <f t="shared" si="14"/>
        <v>1.1379860550647196</v>
      </c>
      <c r="BD30" s="205"/>
      <c r="BE30" s="205"/>
      <c r="BF30" s="205"/>
      <c r="BG30" s="205"/>
      <c r="BH30" s="205"/>
      <c r="BI30" s="205"/>
      <c r="BJ30" s="205"/>
      <c r="BK30" s="205"/>
      <c r="BL30" s="205"/>
    </row>
    <row r="31" spans="1:64" outlineLevel="1" x14ac:dyDescent="0.2">
      <c r="A31" s="181" t="s">
        <v>1474</v>
      </c>
      <c r="B31" s="176" t="s">
        <v>1470</v>
      </c>
      <c r="C31" s="204">
        <f t="shared" si="14"/>
        <v>34.906310177860561</v>
      </c>
      <c r="D31" s="204">
        <f t="shared" si="14"/>
        <v>36.076422041287579</v>
      </c>
      <c r="E31" s="204">
        <f t="shared" si="14"/>
        <v>37.188290237909875</v>
      </c>
      <c r="F31" s="204">
        <f t="shared" si="14"/>
        <v>38.234283311858043</v>
      </c>
      <c r="G31" s="204">
        <f t="shared" si="14"/>
        <v>39.207075195777406</v>
      </c>
      <c r="H31" s="204">
        <f t="shared" si="14"/>
        <v>40.099730681297501</v>
      </c>
      <c r="I31" s="204">
        <f t="shared" si="14"/>
        <v>40.99404026989361</v>
      </c>
      <c r="J31" s="204">
        <f t="shared" si="14"/>
        <v>41.889194247113522</v>
      </c>
      <c r="K31" s="204">
        <f t="shared" si="14"/>
        <v>42.784362341471294</v>
      </c>
      <c r="L31" s="204">
        <f t="shared" si="14"/>
        <v>43.678694804192759</v>
      </c>
      <c r="M31" s="204">
        <f t="shared" si="14"/>
        <v>44.571323561935642</v>
      </c>
      <c r="N31" s="204">
        <f t="shared" si="14"/>
        <v>45.396317747186671</v>
      </c>
      <c r="O31" s="204">
        <f t="shared" si="14"/>
        <v>46.149101793875829</v>
      </c>
      <c r="P31" s="204">
        <f t="shared" si="14"/>
        <v>46.825423315955838</v>
      </c>
      <c r="Q31" s="204">
        <f t="shared" si="14"/>
        <v>47.421392629984659</v>
      </c>
      <c r="R31" s="204">
        <f t="shared" si="14"/>
        <v>47.933519603311801</v>
      </c>
      <c r="S31" s="204">
        <f t="shared" si="14"/>
        <v>48.445873842209522</v>
      </c>
      <c r="T31" s="204">
        <f t="shared" si="14"/>
        <v>48.958341195422662</v>
      </c>
      <c r="U31" s="204">
        <f t="shared" si="14"/>
        <v>49.470806141254776</v>
      </c>
      <c r="V31" s="204">
        <f t="shared" si="14"/>
        <v>49.98315182401322</v>
      </c>
      <c r="W31" s="204">
        <f t="shared" si="14"/>
        <v>50.495260091664598</v>
      </c>
      <c r="X31" s="204">
        <f t="shared" si="14"/>
        <v>51.007573346917297</v>
      </c>
      <c r="Y31" s="204">
        <f t="shared" si="14"/>
        <v>51.519988734763345</v>
      </c>
      <c r="Z31" s="204">
        <f t="shared" si="14"/>
        <v>52.032402237827348</v>
      </c>
      <c r="AA31" s="204">
        <f t="shared" si="14"/>
        <v>52.544708706087079</v>
      </c>
      <c r="AB31" s="204">
        <f t="shared" si="14"/>
        <v>53.056801887519249</v>
      </c>
      <c r="AC31" s="204">
        <f t="shared" si="14"/>
        <v>53.569080909660144</v>
      </c>
      <c r="AD31" s="204">
        <f t="shared" si="14"/>
        <v>54.081452606164085</v>
      </c>
      <c r="AE31" s="204">
        <f t="shared" si="14"/>
        <v>54.593822816074649</v>
      </c>
      <c r="AF31" s="204">
        <f t="shared" si="14"/>
        <v>55.106096408303912</v>
      </c>
      <c r="AG31" s="204">
        <f t="shared" si="14"/>
        <v>55.61817730682872</v>
      </c>
      <c r="AL31" s="108"/>
      <c r="AM31" s="207"/>
      <c r="AN31" s="207"/>
      <c r="AO31" s="207"/>
    </row>
    <row r="32" spans="1:64" s="1" customFormat="1" ht="16" thickBot="1" x14ac:dyDescent="0.25">
      <c r="A32" s="200" t="s">
        <v>1475</v>
      </c>
      <c r="B32" s="219" t="s">
        <v>1470</v>
      </c>
      <c r="C32" s="216">
        <f>SUM(C27:C31)</f>
        <v>91.132618550548131</v>
      </c>
      <c r="D32" s="216">
        <f t="shared" ref="D32:AG32" si="15">SUM(D27:D31)</f>
        <v>94.187520588827709</v>
      </c>
      <c r="E32" s="216">
        <f t="shared" si="15"/>
        <v>97.090361356727982</v>
      </c>
      <c r="F32" s="216">
        <f t="shared" si="15"/>
        <v>99.821216818932996</v>
      </c>
      <c r="G32" s="216">
        <f t="shared" si="15"/>
        <v>102.36096024167153</v>
      </c>
      <c r="H32" s="216">
        <f t="shared" si="15"/>
        <v>104.69148533711844</v>
      </c>
      <c r="I32" s="216">
        <f t="shared" si="15"/>
        <v>107.02632892810098</v>
      </c>
      <c r="J32" s="216">
        <f t="shared" si="15"/>
        <v>109.36337703012953</v>
      </c>
      <c r="K32" s="216">
        <f t="shared" si="15"/>
        <v>111.70046198886772</v>
      </c>
      <c r="L32" s="216">
        <f t="shared" si="15"/>
        <v>114.03536529910819</v>
      </c>
      <c r="M32" s="216">
        <f t="shared" si="15"/>
        <v>116.36582061426857</v>
      </c>
      <c r="N32" s="216">
        <f t="shared" si="15"/>
        <v>118.51969709126692</v>
      </c>
      <c r="O32" s="216">
        <f t="shared" si="15"/>
        <v>120.48504894393488</v>
      </c>
      <c r="P32" s="216">
        <f t="shared" si="15"/>
        <v>122.25077413732228</v>
      </c>
      <c r="Q32" s="216">
        <f t="shared" si="15"/>
        <v>123.80671757237687</v>
      </c>
      <c r="R32" s="216">
        <f t="shared" si="15"/>
        <v>125.14376728836976</v>
      </c>
      <c r="S32" s="216">
        <f t="shared" si="15"/>
        <v>126.48141034426163</v>
      </c>
      <c r="T32" s="216">
        <f t="shared" si="15"/>
        <v>127.81934871649334</v>
      </c>
      <c r="U32" s="216">
        <f t="shared" si="15"/>
        <v>129.15728080358821</v>
      </c>
      <c r="V32" s="216">
        <f t="shared" si="15"/>
        <v>130.49490152130187</v>
      </c>
      <c r="W32" s="216">
        <f t="shared" si="15"/>
        <v>131.83190240093236</v>
      </c>
      <c r="X32" s="216">
        <f t="shared" si="15"/>
        <v>133.16943845763501</v>
      </c>
      <c r="Y32" s="216">
        <f t="shared" si="15"/>
        <v>134.50724115984161</v>
      </c>
      <c r="Z32" s="216">
        <f t="shared" si="15"/>
        <v>135.8450389413012</v>
      </c>
      <c r="AA32" s="216">
        <f t="shared" si="15"/>
        <v>137.18255727867347</v>
      </c>
      <c r="AB32" s="216">
        <f t="shared" si="15"/>
        <v>138.51951877153829</v>
      </c>
      <c r="AC32" s="216">
        <f t="shared" si="15"/>
        <v>139.85696545319368</v>
      </c>
      <c r="AD32" s="216">
        <f t="shared" si="15"/>
        <v>141.19465408701572</v>
      </c>
      <c r="AE32" s="216">
        <f t="shared" si="15"/>
        <v>142.53233883967283</v>
      </c>
      <c r="AF32" s="216">
        <f t="shared" si="15"/>
        <v>143.86977134503567</v>
      </c>
      <c r="AG32" s="216">
        <f t="shared" si="15"/>
        <v>145.20670076995904</v>
      </c>
      <c r="AJ32" s="162"/>
      <c r="AL32" s="221"/>
      <c r="AM32" s="124"/>
      <c r="AN32" s="124"/>
      <c r="AO32" s="124"/>
    </row>
    <row r="33" spans="1:64" ht="16" outlineLevel="1" thickTop="1" x14ac:dyDescent="0.2">
      <c r="AL33" s="108"/>
      <c r="AM33" s="2"/>
      <c r="AN33" s="2"/>
      <c r="AO33" s="2"/>
    </row>
    <row r="34" spans="1:64" outlineLevel="1" x14ac:dyDescent="0.2">
      <c r="A34" t="s">
        <v>1476</v>
      </c>
      <c r="B34" s="176" t="s">
        <v>1470</v>
      </c>
      <c r="C34" s="107">
        <f>C32</f>
        <v>91.132618550548131</v>
      </c>
      <c r="D34" s="107">
        <f t="shared" ref="D34:AG34" si="16">D32</f>
        <v>94.187520588827709</v>
      </c>
      <c r="E34" s="107">
        <f t="shared" si="16"/>
        <v>97.090361356727982</v>
      </c>
      <c r="F34" s="107">
        <f t="shared" si="16"/>
        <v>99.821216818932996</v>
      </c>
      <c r="G34" s="107">
        <f t="shared" si="16"/>
        <v>102.36096024167153</v>
      </c>
      <c r="H34" s="107">
        <f t="shared" si="16"/>
        <v>104.69148533711844</v>
      </c>
      <c r="I34" s="107">
        <f t="shared" si="16"/>
        <v>107.02632892810098</v>
      </c>
      <c r="J34" s="107">
        <f t="shared" si="16"/>
        <v>109.36337703012953</v>
      </c>
      <c r="K34" s="107">
        <f t="shared" si="16"/>
        <v>111.70046198886772</v>
      </c>
      <c r="L34" s="107">
        <f t="shared" si="16"/>
        <v>114.03536529910819</v>
      </c>
      <c r="M34" s="107">
        <f t="shared" si="16"/>
        <v>116.36582061426857</v>
      </c>
      <c r="N34" s="107">
        <f t="shared" si="16"/>
        <v>118.51969709126692</v>
      </c>
      <c r="O34" s="107">
        <f t="shared" si="16"/>
        <v>120.48504894393488</v>
      </c>
      <c r="P34" s="107">
        <f t="shared" si="16"/>
        <v>122.25077413732228</v>
      </c>
      <c r="Q34" s="107">
        <f t="shared" si="16"/>
        <v>123.80671757237687</v>
      </c>
      <c r="R34" s="107">
        <f t="shared" si="16"/>
        <v>125.14376728836976</v>
      </c>
      <c r="S34" s="107">
        <f t="shared" si="16"/>
        <v>126.48141034426163</v>
      </c>
      <c r="T34" s="107">
        <f t="shared" si="16"/>
        <v>127.81934871649334</v>
      </c>
      <c r="U34" s="107">
        <f t="shared" si="16"/>
        <v>129.15728080358821</v>
      </c>
      <c r="V34" s="107">
        <f t="shared" si="16"/>
        <v>130.49490152130187</v>
      </c>
      <c r="W34" s="107">
        <f t="shared" si="16"/>
        <v>131.83190240093236</v>
      </c>
      <c r="X34" s="107">
        <f t="shared" si="16"/>
        <v>133.16943845763501</v>
      </c>
      <c r="Y34" s="107">
        <f t="shared" si="16"/>
        <v>134.50724115984161</v>
      </c>
      <c r="Z34" s="107">
        <f t="shared" si="16"/>
        <v>135.8450389413012</v>
      </c>
      <c r="AA34" s="107">
        <f t="shared" si="16"/>
        <v>137.18255727867347</v>
      </c>
      <c r="AB34" s="107">
        <f t="shared" si="16"/>
        <v>138.51951877153829</v>
      </c>
      <c r="AC34" s="107">
        <f t="shared" si="16"/>
        <v>139.85696545319368</v>
      </c>
      <c r="AD34" s="107">
        <f t="shared" si="16"/>
        <v>141.19465408701572</v>
      </c>
      <c r="AE34" s="107">
        <f t="shared" si="16"/>
        <v>142.53233883967283</v>
      </c>
      <c r="AF34" s="107">
        <f t="shared" si="16"/>
        <v>143.86977134503567</v>
      </c>
      <c r="AG34" s="107">
        <f t="shared" si="16"/>
        <v>145.20670076995904</v>
      </c>
      <c r="AL34" s="108"/>
      <c r="AM34" s="2"/>
      <c r="AN34" s="2"/>
      <c r="AO34" s="2"/>
    </row>
    <row r="35" spans="1:64" outlineLevel="1" x14ac:dyDescent="0.2">
      <c r="A35" t="s">
        <v>1477</v>
      </c>
      <c r="B35" s="176" t="s">
        <v>1470</v>
      </c>
      <c r="C35" s="107">
        <f>'Yearly Demand - Eth&amp;Prop'!N3*SUM('Demand Breakdown - Propylene'!$C$25:$C$26)</f>
        <v>109.00384615384617</v>
      </c>
      <c r="D35" s="107">
        <f>'Yearly Demand - Eth&amp;Prop'!O3*SUM('Demand Breakdown - Propylene'!$C$25:$C$26)</f>
        <v>111.70158302759353</v>
      </c>
      <c r="E35" s="107">
        <f>'Yearly Demand - Eth&amp;Prop'!P3*SUM('Demand Breakdown - Propylene'!$C$25:$C$26)</f>
        <v>114.46608620818942</v>
      </c>
      <c r="F35" s="107">
        <f>'Yearly Demand - Eth&amp;Prop'!Q3*SUM('Demand Breakdown - Propylene'!$C$25:$C$26)</f>
        <v>117.29900809538177</v>
      </c>
      <c r="G35" s="107">
        <f>'Yearly Demand - Eth&amp;Prop'!R3*SUM('Demand Breakdown - Propylene'!$C$25:$C$26)</f>
        <v>120.20204198417025</v>
      </c>
      <c r="H35" s="107">
        <f>'Yearly Demand - Eth&amp;Prop'!S3*SUM('Demand Breakdown - Propylene'!$C$25:$C$26)</f>
        <v>123.1769230769231</v>
      </c>
      <c r="I35" s="107">
        <f>'Yearly Demand - Eth&amp;Prop'!T3*SUM('Demand Breakdown - Propylene'!$C$25:$C$26)</f>
        <v>125.8894145402989</v>
      </c>
      <c r="J35" s="107">
        <f>'Yearly Demand - Eth&amp;Prop'!U3*SUM('Demand Breakdown - Propylene'!$C$25:$C$26)</f>
        <v>128.66163805213878</v>
      </c>
      <c r="K35" s="107">
        <f>'Yearly Demand - Eth&amp;Prop'!V3*SUM('Demand Breakdown - Propylene'!$C$25:$C$26)</f>
        <v>131.49490897791463</v>
      </c>
      <c r="L35" s="107">
        <f>'Yearly Demand - Eth&amp;Prop'!W3*SUM('Demand Breakdown - Propylene'!$C$25:$C$26)</f>
        <v>134.39057164889425</v>
      </c>
      <c r="M35" s="107">
        <f>'Yearly Demand - Eth&amp;Prop'!X3*SUM('Demand Breakdown - Propylene'!$C$25:$C$26)</f>
        <v>137.35000000000002</v>
      </c>
      <c r="N35" s="107">
        <f>'Yearly Demand - Eth&amp;Prop'!Y3*SUM('Demand Breakdown - Propylene'!$C$25:$C$26)</f>
        <v>138.98558001074665</v>
      </c>
      <c r="O35" s="107">
        <f>'Yearly Demand - Eth&amp;Prop'!Z3*SUM('Demand Breakdown - Propylene'!$C$25:$C$26)</f>
        <v>140.64063670130074</v>
      </c>
      <c r="P35" s="107">
        <f>'Yearly Demand - Eth&amp;Prop'!AA3*SUM('Demand Breakdown - Propylene'!$C$25:$C$26)</f>
        <v>142.31540200226416</v>
      </c>
      <c r="Q35" s="107">
        <f>'Yearly Demand - Eth&amp;Prop'!AB3*SUM('Demand Breakdown - Propylene'!$C$25:$C$26)</f>
        <v>144.01011060609576</v>
      </c>
      <c r="R35" s="107">
        <f>'Yearly Demand - Eth&amp;Prop'!AC3*SUM('Demand Breakdown - Propylene'!$C$25:$C$26)</f>
        <v>145.72500000000002</v>
      </c>
      <c r="S35" s="107">
        <f>'Yearly Demand - Eth&amp;Prop'!AD3*SUM('Demand Breakdown - Propylene'!$C$25:$C$26)</f>
        <v>147.3627708513832</v>
      </c>
      <c r="T35" s="107">
        <f>'Yearly Demand - Eth&amp;Prop'!AE3*SUM('Demand Breakdown - Propylene'!$C$25:$C$26)</f>
        <v>149.01894824496327</v>
      </c>
      <c r="U35" s="107">
        <f>'Yearly Demand - Eth&amp;Prop'!AF3*SUM('Demand Breakdown - Propylene'!$C$25:$C$26)</f>
        <v>150.69373904777251</v>
      </c>
      <c r="V35" s="107">
        <f>'Yearly Demand - Eth&amp;Prop'!AG3*SUM('Demand Breakdown - Propylene'!$C$25:$C$26)</f>
        <v>152.38735245177583</v>
      </c>
      <c r="W35" s="107">
        <f>'Yearly Demand - Eth&amp;Prop'!AH3*SUM('Demand Breakdown - Propylene'!$C$25:$C$26)</f>
        <v>154.10000000000002</v>
      </c>
      <c r="X35" s="107">
        <f>'Yearly Demand - Eth&amp;Prop'!AI3*SUM('Demand Breakdown - Propylene'!$C$25:$C$26)</f>
        <v>155.73973095441411</v>
      </c>
      <c r="Y35" s="107">
        <f>'Yearly Demand - Eth&amp;Prop'!AJ3*SUM('Demand Breakdown - Propylene'!$C$25:$C$26)</f>
        <v>157.39690978425233</v>
      </c>
      <c r="Z35" s="107">
        <f>'Yearly Demand - Eth&amp;Prop'!AK3*SUM('Demand Breakdown - Propylene'!$C$25:$C$26)</f>
        <v>159.07172214701907</v>
      </c>
      <c r="AA35" s="107">
        <f>'Yearly Demand - Eth&amp;Prop'!AL3*SUM('Demand Breakdown - Propylene'!$C$25:$C$26)</f>
        <v>160.76435567574342</v>
      </c>
      <c r="AB35" s="107">
        <f>'Yearly Demand - Eth&amp;Prop'!AM3*SUM('Demand Breakdown - Propylene'!$C$25:$C$26)</f>
        <v>162.47500000000002</v>
      </c>
      <c r="AC35" s="107">
        <f>'Yearly Demand - Eth&amp;Prop'!AN3*SUM('Demand Breakdown - Propylene'!$C$25:$C$26)</f>
        <v>164.11649495327521</v>
      </c>
      <c r="AD35" s="107">
        <f>'Yearly Demand - Eth&amp;Prop'!AO3*SUM('Demand Breakdown - Propylene'!$C$25:$C$26)</f>
        <v>165.77457403137964</v>
      </c>
      <c r="AE35" s="107">
        <f>'Yearly Demand - Eth&amp;Prop'!AP3*SUM('Demand Breakdown - Propylene'!$C$25:$C$26)</f>
        <v>167.44940478475004</v>
      </c>
      <c r="AF35" s="107">
        <f>'Yearly Demand - Eth&amp;Prop'!AQ3*SUM('Demand Breakdown - Propylene'!$C$25:$C$26)</f>
        <v>169.14115645659555</v>
      </c>
      <c r="AG35" s="107">
        <f>'Yearly Demand - Eth&amp;Prop'!AR3*SUM('Demand Breakdown - Propylene'!$C$25:$C$26)</f>
        <v>170.85000000000005</v>
      </c>
      <c r="AL35" s="108"/>
      <c r="AM35" s="2"/>
      <c r="AN35" s="2"/>
      <c r="AO35" s="2"/>
    </row>
    <row r="36" spans="1:64" outlineLevel="1" x14ac:dyDescent="0.2">
      <c r="A36" t="s">
        <v>1478</v>
      </c>
      <c r="B36" s="176" t="s">
        <v>1470</v>
      </c>
      <c r="C36" s="107">
        <f>C35-C34</f>
        <v>17.871227603298038</v>
      </c>
      <c r="D36" s="107">
        <f t="shared" ref="D36:AG36" si="17">D35-D34</f>
        <v>17.514062438765819</v>
      </c>
      <c r="E36" s="107">
        <f t="shared" si="17"/>
        <v>17.375724851461442</v>
      </c>
      <c r="F36" s="107">
        <f t="shared" si="17"/>
        <v>17.47779127644877</v>
      </c>
      <c r="G36" s="107">
        <f t="shared" si="17"/>
        <v>17.841081742498716</v>
      </c>
      <c r="H36" s="107">
        <f t="shared" si="17"/>
        <v>18.485437739804667</v>
      </c>
      <c r="I36" s="107">
        <f t="shared" si="17"/>
        <v>18.863085612197921</v>
      </c>
      <c r="J36" s="107">
        <f t="shared" si="17"/>
        <v>19.298261022009257</v>
      </c>
      <c r="K36" s="107">
        <f t="shared" si="17"/>
        <v>19.794446989046918</v>
      </c>
      <c r="L36" s="107">
        <f t="shared" si="17"/>
        <v>20.355206349786059</v>
      </c>
      <c r="M36" s="107">
        <f t="shared" si="17"/>
        <v>20.984179385731451</v>
      </c>
      <c r="N36" s="107">
        <f t="shared" si="17"/>
        <v>20.465882919479725</v>
      </c>
      <c r="O36" s="107">
        <f t="shared" si="17"/>
        <v>20.155587757365851</v>
      </c>
      <c r="P36" s="107">
        <f t="shared" si="17"/>
        <v>20.064627864941883</v>
      </c>
      <c r="Q36" s="107">
        <f t="shared" si="17"/>
        <v>20.203393033718896</v>
      </c>
      <c r="R36" s="107">
        <f t="shared" si="17"/>
        <v>20.581232711630264</v>
      </c>
      <c r="S36" s="107">
        <f t="shared" si="17"/>
        <v>20.88136050712157</v>
      </c>
      <c r="T36" s="107">
        <f t="shared" si="17"/>
        <v>21.199599528469932</v>
      </c>
      <c r="U36" s="107">
        <f t="shared" si="17"/>
        <v>21.536458244184303</v>
      </c>
      <c r="V36" s="107">
        <f t="shared" si="17"/>
        <v>21.892450930473956</v>
      </c>
      <c r="W36" s="107">
        <f t="shared" si="17"/>
        <v>22.268097599067659</v>
      </c>
      <c r="X36" s="107">
        <f t="shared" si="17"/>
        <v>22.570292496779103</v>
      </c>
      <c r="Y36" s="107">
        <f t="shared" si="17"/>
        <v>22.889668624410717</v>
      </c>
      <c r="Z36" s="107">
        <f t="shared" si="17"/>
        <v>23.226683205717876</v>
      </c>
      <c r="AA36" s="107">
        <f t="shared" si="17"/>
        <v>23.581798397069946</v>
      </c>
      <c r="AB36" s="107">
        <f t="shared" si="17"/>
        <v>23.955481228461736</v>
      </c>
      <c r="AC36" s="107">
        <f t="shared" si="17"/>
        <v>24.259529500081527</v>
      </c>
      <c r="AD36" s="107">
        <f t="shared" si="17"/>
        <v>24.579919944363922</v>
      </c>
      <c r="AE36" s="107">
        <f t="shared" si="17"/>
        <v>24.917065945077212</v>
      </c>
      <c r="AF36" s="107">
        <f t="shared" si="17"/>
        <v>25.27138511155988</v>
      </c>
      <c r="AG36" s="107">
        <f t="shared" si="17"/>
        <v>25.643299230041009</v>
      </c>
      <c r="AL36" s="108"/>
      <c r="AM36" s="2"/>
      <c r="AN36" s="2"/>
      <c r="AO36" s="2"/>
    </row>
    <row r="37" spans="1:64" outlineLevel="1" x14ac:dyDescent="0.2">
      <c r="A37" t="s">
        <v>1292</v>
      </c>
      <c r="B37" s="54" t="s">
        <v>462</v>
      </c>
      <c r="C37" s="2">
        <f>C34/C35</f>
        <v>0.83604956858059032</v>
      </c>
      <c r="D37" s="2">
        <f t="shared" ref="D37:AG37" si="18">D34/D35</f>
        <v>0.84320667653886927</v>
      </c>
      <c r="E37" s="2">
        <f t="shared" si="18"/>
        <v>0.84820198342539033</v>
      </c>
      <c r="F37" s="2">
        <f t="shared" si="18"/>
        <v>0.85099796187332899</v>
      </c>
      <c r="G37" s="2">
        <f t="shared" si="18"/>
        <v>0.85157422080360112</v>
      </c>
      <c r="H37" s="2">
        <f t="shared" si="18"/>
        <v>0.84992775206553384</v>
      </c>
      <c r="I37" s="2">
        <f t="shared" si="18"/>
        <v>0.85016146368557788</v>
      </c>
      <c r="J37" s="2">
        <f t="shared" si="18"/>
        <v>0.85000765329764538</v>
      </c>
      <c r="K37" s="2">
        <f t="shared" si="18"/>
        <v>0.84946605809376607</v>
      </c>
      <c r="L37" s="2">
        <f t="shared" si="18"/>
        <v>0.84853694645361277</v>
      </c>
      <c r="M37" s="2">
        <f t="shared" si="18"/>
        <v>0.84722111841476921</v>
      </c>
      <c r="N37" s="2">
        <f t="shared" si="18"/>
        <v>0.8527481561907555</v>
      </c>
      <c r="O37" s="2">
        <f t="shared" si="18"/>
        <v>0.85668731150461697</v>
      </c>
      <c r="P37" s="2">
        <f t="shared" si="18"/>
        <v>0.85901295585264437</v>
      </c>
      <c r="Q37" s="2">
        <f t="shared" si="18"/>
        <v>0.85970850971026391</v>
      </c>
      <c r="R37" s="2">
        <f t="shared" si="18"/>
        <v>0.85876663090320626</v>
      </c>
      <c r="S37" s="2">
        <f t="shared" si="18"/>
        <v>0.85829962081684374</v>
      </c>
      <c r="T37" s="2">
        <f t="shared" si="18"/>
        <v>0.85773889979668094</v>
      </c>
      <c r="U37" s="2">
        <f t="shared" si="18"/>
        <v>0.85708458506456675</v>
      </c>
      <c r="V37" s="2">
        <f t="shared" si="18"/>
        <v>0.85633682468889938</v>
      </c>
      <c r="W37" s="2">
        <f t="shared" si="18"/>
        <v>0.85549579754011906</v>
      </c>
      <c r="X37" s="2">
        <f t="shared" si="18"/>
        <v>0.85507684931479977</v>
      </c>
      <c r="Y37" s="2">
        <f t="shared" si="18"/>
        <v>0.85457358307868858</v>
      </c>
      <c r="Z37" s="2">
        <f t="shared" si="18"/>
        <v>0.85398609575464934</v>
      </c>
      <c r="AA37" s="2">
        <f t="shared" si="18"/>
        <v>0.85331450931428054</v>
      </c>
      <c r="AB37" s="2">
        <f t="shared" si="18"/>
        <v>0.85255897074342679</v>
      </c>
      <c r="AC37" s="2">
        <f t="shared" si="18"/>
        <v>0.85218104062612143</v>
      </c>
      <c r="AD37" s="2">
        <f t="shared" si="18"/>
        <v>0.85172683996937215</v>
      </c>
      <c r="AE37" s="2">
        <f t="shared" si="18"/>
        <v>0.85119644959558283</v>
      </c>
      <c r="AF37" s="2">
        <f t="shared" si="18"/>
        <v>0.85058997088006227</v>
      </c>
      <c r="AG37" s="2">
        <f t="shared" si="18"/>
        <v>0.84990752572407957</v>
      </c>
      <c r="AI37" s="208"/>
      <c r="AL37" s="108"/>
      <c r="AM37" s="2"/>
      <c r="AN37" s="2"/>
      <c r="AO37" s="2"/>
    </row>
    <row r="38" spans="1:64" outlineLevel="1" x14ac:dyDescent="0.2">
      <c r="AL38" s="108"/>
      <c r="AM38" s="2"/>
      <c r="AN38" s="2"/>
      <c r="AO38" s="2"/>
    </row>
    <row r="39" spans="1:64" outlineLevel="1" x14ac:dyDescent="0.2">
      <c r="A39" t="s">
        <v>1479</v>
      </c>
      <c r="B39" s="54" t="s">
        <v>462</v>
      </c>
      <c r="C39" s="23">
        <f>'Yearly HC Propylene'!D21/'Yearly HC Propylene'!D14</f>
        <v>1</v>
      </c>
      <c r="D39" s="23">
        <f>'Yearly HC Propylene'!E21/'Yearly HC Propylene'!E14</f>
        <v>0.99496300000000004</v>
      </c>
      <c r="E39" s="23">
        <f>'Yearly HC Propylene'!F21/'Yearly HC Propylene'!F14</f>
        <v>0.98992600000000008</v>
      </c>
      <c r="F39" s="23">
        <f>'Yearly HC Propylene'!G21/'Yearly HC Propylene'!G14</f>
        <v>0.98488900000000001</v>
      </c>
      <c r="G39" s="23">
        <f>'Yearly HC Propylene'!H21/'Yearly HC Propylene'!H14</f>
        <v>0.97985200000000006</v>
      </c>
      <c r="H39" s="23">
        <f>'Yearly HC Propylene'!I21/'Yearly HC Propylene'!I14</f>
        <v>0.97481499999999988</v>
      </c>
      <c r="I39" s="23">
        <f>'Yearly HC Propylene'!J21/'Yearly HC Propylene'!J14</f>
        <v>0.96977799999999992</v>
      </c>
      <c r="J39" s="23">
        <f>'Yearly HC Propylene'!K21/'Yearly HC Propylene'!K14</f>
        <v>0.96474100000000007</v>
      </c>
      <c r="K39" s="23">
        <f>'Yearly HC Propylene'!L21/'Yearly HC Propylene'!L14</f>
        <v>0.95970399999999989</v>
      </c>
      <c r="L39" s="23">
        <f>'Yearly HC Propylene'!M21/'Yearly HC Propylene'!M14</f>
        <v>0.95466699999999993</v>
      </c>
      <c r="M39" s="23">
        <f>'Yearly HC Propylene'!N21/'Yearly HC Propylene'!N14</f>
        <v>0.94962999999999997</v>
      </c>
      <c r="N39" s="23">
        <f>'Yearly HC Propylene'!O21/'Yearly HC Propylene'!O14</f>
        <v>0.94136799999999987</v>
      </c>
      <c r="O39" s="23">
        <f>'Yearly HC Propylene'!P21/'Yearly HC Propylene'!P14</f>
        <v>0.93366599999999988</v>
      </c>
      <c r="P39" s="23">
        <f>'Yearly HC Propylene'!Q21/'Yearly HC Propylene'!Q14</f>
        <v>0.92515199999999997</v>
      </c>
      <c r="Q39" s="23">
        <f>'Yearly HC Propylene'!R21/'Yearly HC Propylene'!R14</f>
        <v>0.91663799999999995</v>
      </c>
      <c r="R39" s="23">
        <f>'Yearly HC Propylene'!S21/'Yearly HC Propylene'!S14</f>
        <v>0.90812400000000004</v>
      </c>
      <c r="S39" s="23">
        <f>'Yearly HC Propylene'!T21/'Yearly HC Propylene'!T14</f>
        <v>0.89961000000000002</v>
      </c>
      <c r="T39" s="23">
        <f>'Yearly HC Propylene'!U21/'Yearly HC Propylene'!U14</f>
        <v>0.891096</v>
      </c>
      <c r="U39" s="23">
        <f>'Yearly HC Propylene'!V21/'Yearly HC Propylene'!V14</f>
        <v>0.88258200000000009</v>
      </c>
      <c r="V39" s="23">
        <f>'Yearly HC Propylene'!W21/'Yearly HC Propylene'!W14</f>
        <v>0.87406799999999996</v>
      </c>
      <c r="W39" s="23">
        <f>'Yearly HC Propylene'!X21/'Yearly HC Propylene'!X14</f>
        <v>0.86555400000000005</v>
      </c>
      <c r="X39" s="23">
        <f>'Yearly HC Propylene'!Y21/'Yearly HC Propylene'!Y14</f>
        <v>0.85228499999999996</v>
      </c>
      <c r="Y39" s="23">
        <f>'Yearly HC Propylene'!Z21/'Yearly HC Propylene'!Z14</f>
        <v>0.84391999999999989</v>
      </c>
      <c r="Z39" s="23">
        <f>'Yearly HC Propylene'!AA21/'Yearly HC Propylene'!AA14</f>
        <v>0.83555500000000005</v>
      </c>
      <c r="AA39" s="23">
        <f>'Yearly HC Propylene'!AB21/'Yearly HC Propylene'!AB14</f>
        <v>0.82719000000000009</v>
      </c>
      <c r="AB39" s="23">
        <f>'Yearly HC Propylene'!AC21/'Yearly HC Propylene'!AC14</f>
        <v>0.81882500000000003</v>
      </c>
      <c r="AC39" s="23">
        <f>'Yearly HC Propylene'!AD21/'Yearly HC Propylene'!AD14</f>
        <v>0.81045999999999996</v>
      </c>
      <c r="AD39" s="23">
        <f>'Yearly HC Propylene'!AE21/'Yearly HC Propylene'!AE14</f>
        <v>0.802095</v>
      </c>
      <c r="AE39" s="23">
        <f>'Yearly HC Propylene'!AF21/'Yearly HC Propylene'!AF14</f>
        <v>0.79373000000000005</v>
      </c>
      <c r="AF39" s="23">
        <f>'Yearly HC Propylene'!AG21/'Yearly HC Propylene'!AG14</f>
        <v>0.78536499999999987</v>
      </c>
      <c r="AG39" s="23">
        <f>'Yearly HC Propylene'!AH21/'Yearly HC Propylene'!AH14</f>
        <v>0.77699999999999991</v>
      </c>
      <c r="AL39" s="108"/>
      <c r="AM39" s="2"/>
      <c r="AN39" s="2"/>
      <c r="AO39" s="2"/>
      <c r="BC39" s="1"/>
      <c r="BD39" s="122"/>
      <c r="BE39" s="122"/>
      <c r="BF39" s="122"/>
      <c r="BG39" s="122"/>
      <c r="BH39" s="122"/>
      <c r="BI39" s="122"/>
      <c r="BJ39" s="122"/>
      <c r="BK39" s="122"/>
    </row>
    <row r="40" spans="1:64" outlineLevel="1" x14ac:dyDescent="0.2">
      <c r="A40" t="s">
        <v>1480</v>
      </c>
      <c r="B40" s="54" t="s">
        <v>462</v>
      </c>
      <c r="C40" s="23">
        <f>'Yearly HC Propylene'!D13/'Yearly HC Propylene'!D6</f>
        <v>1</v>
      </c>
      <c r="D40" s="23">
        <f>'Yearly HC Propylene'!E13/'Yearly HC Propylene'!E6</f>
        <v>0.99659614386000006</v>
      </c>
      <c r="E40" s="23">
        <f>'Yearly HC Propylene'!F13/'Yearly HC Propylene'!F6</f>
        <v>0.99318463088000009</v>
      </c>
      <c r="F40" s="23">
        <f>'Yearly HC Propylene'!G13/'Yearly HC Propylene'!G6</f>
        <v>0.98976554421999996</v>
      </c>
      <c r="G40" s="23">
        <f>'Yearly HC Propylene'!H13/'Yearly HC Propylene'!H6</f>
        <v>0.9863389670399999</v>
      </c>
      <c r="H40" s="23">
        <f>'Yearly HC Propylene'!I13/'Yearly HC Propylene'!I6</f>
        <v>0.98290498250000002</v>
      </c>
      <c r="I40" s="23">
        <f>'Yearly HC Propylene'!J13/'Yearly HC Propylene'!J6</f>
        <v>0.97946367375999999</v>
      </c>
      <c r="J40" s="23">
        <f>'Yearly HC Propylene'!K13/'Yearly HC Propylene'!K6</f>
        <v>0.97601512398000012</v>
      </c>
      <c r="K40" s="23">
        <f>'Yearly HC Propylene'!L13/'Yearly HC Propylene'!L6</f>
        <v>0.97255941632000009</v>
      </c>
      <c r="L40" s="23">
        <f>'Yearly HC Propylene'!M13/'Yearly HC Propylene'!M6</f>
        <v>0.96909663394000001</v>
      </c>
      <c r="M40" s="23">
        <f>'Yearly HC Propylene'!N13/'Yearly HC Propylene'!N6</f>
        <v>0.96562685999999986</v>
      </c>
      <c r="N40" s="23">
        <f>'Yearly HC Propylene'!O13/'Yearly HC Propylene'!O6</f>
        <v>0.95424544924999988</v>
      </c>
      <c r="O40" s="23">
        <f>'Yearly HC Propylene'!P13/'Yearly HC Propylene'!P6</f>
        <v>0.94283530239999991</v>
      </c>
      <c r="P40" s="23">
        <f>'Yearly HC Propylene'!Q13/'Yearly HC Propylene'!Q6</f>
        <v>0.9313982905499999</v>
      </c>
      <c r="Q40" s="23">
        <f>'Yearly HC Propylene'!R13/'Yearly HC Propylene'!R6</f>
        <v>0.91993628479999989</v>
      </c>
      <c r="R40" s="23">
        <f>'Yearly HC Propylene'!S13/'Yearly HC Propylene'!S6</f>
        <v>0.90845115625000006</v>
      </c>
      <c r="S40" s="23">
        <f>'Yearly HC Propylene'!T13/'Yearly HC Propylene'!T6</f>
        <v>0.896944776</v>
      </c>
      <c r="T40" s="23">
        <f>'Yearly HC Propylene'!U13/'Yearly HC Propylene'!U6</f>
        <v>0.88541901514999999</v>
      </c>
      <c r="U40" s="23">
        <f>'Yearly HC Propylene'!V13/'Yearly HC Propylene'!V6</f>
        <v>0.87387574479999997</v>
      </c>
      <c r="V40" s="23">
        <f>'Yearly HC Propylene'!W13/'Yearly HC Propylene'!W6</f>
        <v>0.86231683604999998</v>
      </c>
      <c r="W40" s="23">
        <f>'Yearly HC Propylene'!X13/'Yearly HC Propylene'!X6</f>
        <v>0.85074415999999997</v>
      </c>
      <c r="X40" s="23">
        <f>'Yearly HC Propylene'!Y13/'Yearly HC Propylene'!Y6</f>
        <v>0.82220114324000004</v>
      </c>
      <c r="Y40" s="23">
        <f>'Yearly HC Propylene'!Z13/'Yearly HC Propylene'!Z6</f>
        <v>0.79402206271999998</v>
      </c>
      <c r="Z40" s="23">
        <f>'Yearly HC Propylene'!AA13/'Yearly HC Propylene'!AA6</f>
        <v>0.76621140907999996</v>
      </c>
      <c r="AA40" s="23">
        <f>'Yearly HC Propylene'!AB13/'Yearly HC Propylene'!AB6</f>
        <v>0.73877367295999996</v>
      </c>
      <c r="AB40" s="23">
        <f>'Yearly HC Propylene'!AC13/'Yearly HC Propylene'!AC6</f>
        <v>0.71171334499999994</v>
      </c>
      <c r="AC40" s="23">
        <f>'Yearly HC Propylene'!AD13/'Yearly HC Propylene'!AD6</f>
        <v>0.68503491583999987</v>
      </c>
      <c r="AD40" s="23">
        <f>'Yearly HC Propylene'!AE13/'Yearly HC Propylene'!AE6</f>
        <v>0.65874287612000004</v>
      </c>
      <c r="AE40" s="23">
        <f>'Yearly HC Propylene'!AF13/'Yearly HC Propylene'!AF6</f>
        <v>0.63284171648000009</v>
      </c>
      <c r="AF40" s="23">
        <f>'Yearly HC Propylene'!AG13/'Yearly HC Propylene'!AG6</f>
        <v>0.6073359275600001</v>
      </c>
      <c r="AG40" s="23">
        <f>'Yearly HC Propylene'!AH13/'Yearly HC Propylene'!AH6</f>
        <v>0.58222999999999991</v>
      </c>
      <c r="AL40" s="108"/>
      <c r="AM40" s="2"/>
      <c r="AN40" s="2"/>
      <c r="AO40" s="2"/>
      <c r="BL40" s="1"/>
    </row>
    <row r="41" spans="1:64" outlineLevel="1" x14ac:dyDescent="0.2">
      <c r="A41" t="s">
        <v>1481</v>
      </c>
      <c r="B41" s="54" t="s">
        <v>462</v>
      </c>
      <c r="C41" s="23">
        <f>'Yearly HC Propylene'!D25/'Yearly HC Propylene'!D22</f>
        <v>1</v>
      </c>
      <c r="D41" s="23">
        <f>'Yearly HC Propylene'!E25/'Yearly HC Propylene'!E22</f>
        <v>0.98185</v>
      </c>
      <c r="E41" s="23">
        <f>'Yearly HC Propylene'!F25/'Yearly HC Propylene'!F22</f>
        <v>0.96370000000000011</v>
      </c>
      <c r="F41" s="23">
        <f>'Yearly HC Propylene'!G25/'Yearly HC Propylene'!G22</f>
        <v>0.94555</v>
      </c>
      <c r="G41" s="23">
        <f>'Yearly HC Propylene'!H25/'Yearly HC Propylene'!H22</f>
        <v>0.92739999999999989</v>
      </c>
      <c r="H41" s="23">
        <f>'Yearly HC Propylene'!I25/'Yearly HC Propylene'!I22</f>
        <v>0.90925</v>
      </c>
      <c r="I41" s="23">
        <f>'Yearly HC Propylene'!J25/'Yearly HC Propylene'!J22</f>
        <v>0.8911</v>
      </c>
      <c r="J41" s="23">
        <f>'Yearly HC Propylene'!K25/'Yearly HC Propylene'!K22</f>
        <v>0.87295</v>
      </c>
      <c r="K41" s="23">
        <f>'Yearly HC Propylene'!L25/'Yearly HC Propylene'!L22</f>
        <v>0.8548</v>
      </c>
      <c r="L41" s="23">
        <f>'Yearly HC Propylene'!M25/'Yearly HC Propylene'!M22</f>
        <v>0.83665</v>
      </c>
      <c r="M41" s="23">
        <f>'Yearly HC Propylene'!N25/'Yearly HC Propylene'!N22</f>
        <v>0.81850000000000001</v>
      </c>
      <c r="N41" s="23">
        <f>'Yearly HC Propylene'!O25/'Yearly HC Propylene'!O22</f>
        <v>0.80035000000000012</v>
      </c>
      <c r="O41" s="23">
        <f>'Yearly HC Propylene'!P25/'Yearly HC Propylene'!P22</f>
        <v>0.78220000000000001</v>
      </c>
      <c r="P41" s="23">
        <f>'Yearly HC Propylene'!Q25/'Yearly HC Propylene'!Q22</f>
        <v>0.76405000000000001</v>
      </c>
      <c r="Q41" s="23">
        <f>'Yearly HC Propylene'!R25/'Yearly HC Propylene'!R22</f>
        <v>0.74590000000000001</v>
      </c>
      <c r="R41" s="23">
        <f>'Yearly HC Propylene'!S25/'Yearly HC Propylene'!S22</f>
        <v>0.72775000000000001</v>
      </c>
      <c r="S41" s="23">
        <f>'Yearly HC Propylene'!T25/'Yearly HC Propylene'!T22</f>
        <v>0.7095999999999999</v>
      </c>
      <c r="T41" s="23">
        <f>'Yearly HC Propylene'!U25/'Yearly HC Propylene'!U22</f>
        <v>0.6914499999999999</v>
      </c>
      <c r="U41" s="23">
        <f>'Yearly HC Propylene'!V25/'Yearly HC Propylene'!V22</f>
        <v>0.6732999999999999</v>
      </c>
      <c r="V41" s="23">
        <f>'Yearly HC Propylene'!W25/'Yearly HC Propylene'!W22</f>
        <v>0.65515000000000001</v>
      </c>
      <c r="W41" s="23">
        <f>'Yearly HC Propylene'!X25/'Yearly HC Propylene'!X22</f>
        <v>0.63700000000000001</v>
      </c>
      <c r="X41" s="23">
        <f>'Yearly HC Propylene'!Y25/'Yearly HC Propylene'!Y22</f>
        <v>0.61829999999999985</v>
      </c>
      <c r="Y41" s="23">
        <f>'Yearly HC Propylene'!Z25/'Yearly HC Propylene'!Z22</f>
        <v>0.59959999999999991</v>
      </c>
      <c r="Z41" s="23">
        <f>'Yearly HC Propylene'!AA25/'Yearly HC Propylene'!AA22</f>
        <v>0.58089999999999997</v>
      </c>
      <c r="AA41" s="23">
        <f>'Yearly HC Propylene'!AB25/'Yearly HC Propylene'!AB22</f>
        <v>0.56219999999999992</v>
      </c>
      <c r="AB41" s="23">
        <f>'Yearly HC Propylene'!AC25/'Yearly HC Propylene'!AC22</f>
        <v>0.54349999999999987</v>
      </c>
      <c r="AC41" s="23">
        <f>'Yearly HC Propylene'!AD25/'Yearly HC Propylene'!AD22</f>
        <v>0.52479999999999993</v>
      </c>
      <c r="AD41" s="23">
        <f>'Yearly HC Propylene'!AE25/'Yearly HC Propylene'!AE22</f>
        <v>0.50609999999999988</v>
      </c>
      <c r="AE41" s="23">
        <f>'Yearly HC Propylene'!AF25/'Yearly HC Propylene'!AF22</f>
        <v>0.4874</v>
      </c>
      <c r="AF41" s="23">
        <f>'Yearly HC Propylene'!AG25/'Yearly HC Propylene'!AG22</f>
        <v>0.46870000000000001</v>
      </c>
      <c r="AG41" s="23">
        <f>'Yearly HC Propylene'!AH25/'Yearly HC Propylene'!AH22</f>
        <v>0.44999999999999996</v>
      </c>
      <c r="AL41" s="108"/>
      <c r="AM41" s="2"/>
      <c r="AN41" s="2"/>
      <c r="AO41" s="2"/>
      <c r="BD41" s="41"/>
      <c r="BE41" s="41"/>
      <c r="BF41" s="41"/>
      <c r="BG41" s="41"/>
      <c r="BH41" s="41"/>
      <c r="BI41" s="41"/>
      <c r="BJ41" s="41"/>
      <c r="BK41" s="41"/>
      <c r="BL41" s="118"/>
    </row>
    <row r="42" spans="1:64" outlineLevel="1" x14ac:dyDescent="0.2">
      <c r="A42" t="s">
        <v>1482</v>
      </c>
      <c r="B42" s="54" t="s">
        <v>462</v>
      </c>
      <c r="C42" s="23" t="s">
        <v>1483</v>
      </c>
      <c r="D42" s="23" t="s">
        <v>1483</v>
      </c>
      <c r="E42" s="23" t="s">
        <v>1483</v>
      </c>
      <c r="F42" s="23" t="s">
        <v>1483</v>
      </c>
      <c r="G42" s="23" t="s">
        <v>1483</v>
      </c>
      <c r="H42" s="23" t="s">
        <v>1483</v>
      </c>
      <c r="I42" s="23" t="s">
        <v>1483</v>
      </c>
      <c r="J42" s="23" t="s">
        <v>1483</v>
      </c>
      <c r="K42" s="23" t="s">
        <v>1483</v>
      </c>
      <c r="L42" s="23" t="s">
        <v>1483</v>
      </c>
      <c r="M42" s="23" t="s">
        <v>1483</v>
      </c>
      <c r="N42" s="23" t="s">
        <v>1483</v>
      </c>
      <c r="O42" s="23" t="s">
        <v>1483</v>
      </c>
      <c r="P42" s="23" t="s">
        <v>1483</v>
      </c>
      <c r="Q42" s="23" t="s">
        <v>1483</v>
      </c>
      <c r="R42" s="23" t="s">
        <v>1483</v>
      </c>
      <c r="S42" s="23" t="s">
        <v>1483</v>
      </c>
      <c r="T42" s="23" t="s">
        <v>1483</v>
      </c>
      <c r="U42" s="23" t="s">
        <v>1483</v>
      </c>
      <c r="V42" s="23" t="s">
        <v>1483</v>
      </c>
      <c r="W42" s="23" t="s">
        <v>1483</v>
      </c>
      <c r="X42" s="23" t="s">
        <v>1483</v>
      </c>
      <c r="Y42" s="23" t="s">
        <v>1483</v>
      </c>
      <c r="Z42" s="23" t="s">
        <v>1483</v>
      </c>
      <c r="AA42" s="23" t="s">
        <v>1483</v>
      </c>
      <c r="AB42" s="23" t="s">
        <v>1483</v>
      </c>
      <c r="AC42" s="23" t="s">
        <v>1483</v>
      </c>
      <c r="AD42" s="23" t="s">
        <v>1483</v>
      </c>
      <c r="AE42" s="23" t="s">
        <v>1483</v>
      </c>
      <c r="AF42" s="23" t="s">
        <v>1483</v>
      </c>
      <c r="AG42" s="23" t="s">
        <v>1483</v>
      </c>
      <c r="AL42" s="108"/>
      <c r="AM42" s="2"/>
      <c r="AN42" s="2"/>
      <c r="AO42" s="2"/>
      <c r="BD42" s="41"/>
      <c r="BE42" s="41"/>
      <c r="BF42" s="41"/>
      <c r="BG42" s="41"/>
      <c r="BH42" s="41"/>
      <c r="BI42" s="41"/>
      <c r="BJ42" s="41"/>
      <c r="BK42" s="41"/>
      <c r="BL42" s="118"/>
    </row>
    <row r="43" spans="1:64" outlineLevel="1" x14ac:dyDescent="0.2">
      <c r="A43" t="s">
        <v>1484</v>
      </c>
      <c r="B43" s="176" t="s">
        <v>462</v>
      </c>
      <c r="C43" s="110">
        <f>'Yearly HC Propylene'!D35/'Yearly HC Propylene'!D32</f>
        <v>1</v>
      </c>
      <c r="D43" s="110">
        <f>'Yearly HC Propylene'!E35/'Yearly HC Propylene'!E32</f>
        <v>0.99339999999999995</v>
      </c>
      <c r="E43" s="110">
        <f>'Yearly HC Propylene'!F35/'Yearly HC Propylene'!F32</f>
        <v>0.98680000000000001</v>
      </c>
      <c r="F43" s="110">
        <f>'Yearly HC Propylene'!G35/'Yearly HC Propylene'!G32</f>
        <v>0.98020000000000007</v>
      </c>
      <c r="G43" s="110">
        <f>'Yearly HC Propylene'!H35/'Yearly HC Propylene'!H32</f>
        <v>0.97360000000000002</v>
      </c>
      <c r="H43" s="110">
        <f>'Yearly HC Propylene'!I35/'Yearly HC Propylene'!I32</f>
        <v>0.96700000000000008</v>
      </c>
      <c r="I43" s="110">
        <f>'Yearly HC Propylene'!J35/'Yearly HC Propylene'!J32</f>
        <v>0.96039999999999992</v>
      </c>
      <c r="J43" s="110">
        <f>'Yearly HC Propylene'!K35/'Yearly HC Propylene'!K32</f>
        <v>0.95379999999999987</v>
      </c>
      <c r="K43" s="110">
        <f>'Yearly HC Propylene'!L35/'Yearly HC Propylene'!L32</f>
        <v>0.94719999999999993</v>
      </c>
      <c r="L43" s="110">
        <f>'Yearly HC Propylene'!M35/'Yearly HC Propylene'!M32</f>
        <v>0.94059999999999999</v>
      </c>
      <c r="M43" s="110">
        <f>'Yearly HC Propylene'!N35/'Yearly HC Propylene'!N32</f>
        <v>0.93400000000000005</v>
      </c>
      <c r="N43" s="110">
        <f>'Yearly HC Propylene'!O35/'Yearly HC Propylene'!O32</f>
        <v>0.92740000000000011</v>
      </c>
      <c r="O43" s="110">
        <f>'Yearly HC Propylene'!P35/'Yearly HC Propylene'!P32</f>
        <v>0.92079999999999995</v>
      </c>
      <c r="P43" s="110">
        <f>'Yearly HC Propylene'!Q35/'Yearly HC Propylene'!Q32</f>
        <v>0.91420000000000001</v>
      </c>
      <c r="Q43" s="110">
        <f>'Yearly HC Propylene'!R35/'Yearly HC Propylene'!R32</f>
        <v>0.90760000000000007</v>
      </c>
      <c r="R43" s="110">
        <f>'Yearly HC Propylene'!S35/'Yearly HC Propylene'!S32</f>
        <v>0.90100000000000002</v>
      </c>
      <c r="S43" s="110">
        <f>'Yearly HC Propylene'!T35/'Yearly HC Propylene'!T32</f>
        <v>0.89439999999999986</v>
      </c>
      <c r="T43" s="110">
        <f>'Yearly HC Propylene'!U35/'Yearly HC Propylene'!U32</f>
        <v>0.88779999999999992</v>
      </c>
      <c r="U43" s="110">
        <f>'Yearly HC Propylene'!V35/'Yearly HC Propylene'!V32</f>
        <v>0.88119999999999998</v>
      </c>
      <c r="V43" s="110">
        <f>'Yearly HC Propylene'!W35/'Yearly HC Propylene'!W32</f>
        <v>0.87460000000000004</v>
      </c>
      <c r="W43" s="110">
        <f>'Yearly HC Propylene'!X35/'Yearly HC Propylene'!X32</f>
        <v>0.86799999999999999</v>
      </c>
      <c r="X43" s="110">
        <f>'Yearly HC Propylene'!Y35/'Yearly HC Propylene'!Y32</f>
        <v>0.86119999999999997</v>
      </c>
      <c r="Y43" s="110">
        <f>'Yearly HC Propylene'!Z35/'Yearly HC Propylene'!Z32</f>
        <v>0.85439999999999994</v>
      </c>
      <c r="Z43" s="110">
        <f>'Yearly HC Propylene'!AA35/'Yearly HC Propylene'!AA32</f>
        <v>0.84760000000000002</v>
      </c>
      <c r="AA43" s="110">
        <f>'Yearly HC Propylene'!AB35/'Yearly HC Propylene'!AB32</f>
        <v>0.84079999999999999</v>
      </c>
      <c r="AB43" s="110">
        <f>'Yearly HC Propylene'!AC35/'Yearly HC Propylene'!AC32</f>
        <v>0.83400000000000007</v>
      </c>
      <c r="AC43" s="110">
        <f>'Yearly HC Propylene'!AD35/'Yearly HC Propylene'!AD32</f>
        <v>0.82720000000000005</v>
      </c>
      <c r="AD43" s="110">
        <f>'Yearly HC Propylene'!AE35/'Yearly HC Propylene'!AE32</f>
        <v>0.82040000000000013</v>
      </c>
      <c r="AE43" s="110">
        <f>'Yearly HC Propylene'!AF35/'Yearly HC Propylene'!AF32</f>
        <v>0.81359999999999999</v>
      </c>
      <c r="AF43" s="110">
        <f>'Yearly HC Propylene'!AG35/'Yearly HC Propylene'!AG32</f>
        <v>0.80680000000000007</v>
      </c>
      <c r="AG43" s="110">
        <f>'Yearly HC Propylene'!AH35/'Yearly HC Propylene'!AH32</f>
        <v>0.8</v>
      </c>
      <c r="AI43" s="131"/>
      <c r="AL43" s="108"/>
      <c r="AM43" s="2"/>
      <c r="AN43" s="2"/>
      <c r="AO43" s="2"/>
      <c r="BD43" s="41"/>
      <c r="BE43" s="41"/>
      <c r="BF43" s="41"/>
      <c r="BG43" s="41"/>
      <c r="BH43" s="41"/>
      <c r="BI43" s="41"/>
      <c r="BJ43" s="41"/>
      <c r="BK43" s="41"/>
      <c r="BL43" s="118"/>
    </row>
    <row r="44" spans="1:64" outlineLevel="1" x14ac:dyDescent="0.2">
      <c r="AI44" t="s">
        <v>1299</v>
      </c>
      <c r="BD44" s="41"/>
      <c r="BE44" s="41"/>
      <c r="BF44" s="41"/>
      <c r="BG44" s="41"/>
      <c r="BH44" s="41"/>
      <c r="BI44" s="41"/>
      <c r="BJ44" s="41"/>
      <c r="BK44" s="41"/>
      <c r="BL44" s="118"/>
    </row>
    <row r="45" spans="1:64" outlineLevel="1" x14ac:dyDescent="0.2">
      <c r="A45" t="s">
        <v>1485</v>
      </c>
      <c r="B45" s="54" t="s">
        <v>1470</v>
      </c>
      <c r="C45" s="107">
        <f>C27*C39</f>
        <v>42.585119205697637</v>
      </c>
      <c r="D45" s="107">
        <f t="shared" ref="D45:AF45" si="19">D27*D39</f>
        <v>43.790944614190515</v>
      </c>
      <c r="E45" s="107">
        <f t="shared" si="19"/>
        <v>44.912048730038414</v>
      </c>
      <c r="F45" s="107">
        <f t="shared" si="19"/>
        <v>45.940335722748173</v>
      </c>
      <c r="G45" s="107">
        <f t="shared" si="19"/>
        <v>46.868262407136179</v>
      </c>
      <c r="H45" s="107">
        <f t="shared" si="19"/>
        <v>47.688930506630214</v>
      </c>
      <c r="I45" s="107">
        <f t="shared" si="19"/>
        <v>48.500584760446209</v>
      </c>
      <c r="J45" s="107">
        <f t="shared" si="19"/>
        <v>49.302241666905083</v>
      </c>
      <c r="K45" s="107">
        <f t="shared" si="19"/>
        <v>50.092913558644725</v>
      </c>
      <c r="L45" s="107">
        <f t="shared" si="19"/>
        <v>50.871610491796424</v>
      </c>
      <c r="M45" s="107">
        <f t="shared" si="19"/>
        <v>51.637342179894127</v>
      </c>
      <c r="N45" s="107">
        <f t="shared" si="19"/>
        <v>52.135552721716316</v>
      </c>
      <c r="O45" s="107">
        <f t="shared" si="19"/>
        <v>52.566458705997476</v>
      </c>
      <c r="P45" s="107">
        <f t="shared" si="19"/>
        <v>52.850454685763445</v>
      </c>
      <c r="Q45" s="107">
        <f t="shared" si="19"/>
        <v>53.030544324789439</v>
      </c>
      <c r="R45" s="107">
        <f t="shared" si="19"/>
        <v>53.105364758719581</v>
      </c>
      <c r="S45" s="107">
        <f t="shared" si="19"/>
        <v>53.169795755738484</v>
      </c>
      <c r="T45" s="107">
        <f t="shared" si="19"/>
        <v>53.223706137686563</v>
      </c>
      <c r="U45" s="107">
        <f t="shared" si="19"/>
        <v>53.266967993529988</v>
      </c>
      <c r="V45" s="107">
        <f t="shared" si="19"/>
        <v>53.299456789397212</v>
      </c>
      <c r="W45" s="107">
        <f t="shared" si="19"/>
        <v>53.321051477622511</v>
      </c>
      <c r="X45" s="107">
        <f t="shared" si="19"/>
        <v>53.036326012095721</v>
      </c>
      <c r="Y45" s="107">
        <f t="shared" si="19"/>
        <v>53.043352193068969</v>
      </c>
      <c r="Z45" s="107">
        <f t="shared" si="19"/>
        <v>53.039917889499179</v>
      </c>
      <c r="AA45" s="107">
        <f t="shared" si="19"/>
        <v>53.02591704609592</v>
      </c>
      <c r="AB45" s="107">
        <f t="shared" si="19"/>
        <v>53.001246799013295</v>
      </c>
      <c r="AC45" s="107">
        <f t="shared" si="19"/>
        <v>52.966308314584857</v>
      </c>
      <c r="AD45" s="107">
        <f t="shared" si="19"/>
        <v>52.921004735970214</v>
      </c>
      <c r="AE45" s="107">
        <f t="shared" si="19"/>
        <v>52.865242046320411</v>
      </c>
      <c r="AF45" s="107">
        <f t="shared" si="19"/>
        <v>52.798929142983155</v>
      </c>
      <c r="AG45" s="107">
        <f>AG27*AG39</f>
        <v>52.721977910888853</v>
      </c>
      <c r="AI45" s="210" t="s">
        <v>1301</v>
      </c>
      <c r="AJ45" s="211" t="s">
        <v>1302</v>
      </c>
      <c r="BD45" s="41"/>
      <c r="BE45" s="41"/>
      <c r="BF45" s="41"/>
      <c r="BG45" s="41"/>
      <c r="BH45" s="41"/>
      <c r="BI45" s="41"/>
      <c r="BJ45" s="41"/>
      <c r="BK45" s="41"/>
      <c r="BL45" s="118"/>
    </row>
    <row r="46" spans="1:64" outlineLevel="1" x14ac:dyDescent="0.2">
      <c r="A46" t="s">
        <v>1486</v>
      </c>
      <c r="B46" s="54" t="s">
        <v>1470</v>
      </c>
      <c r="C46" s="107">
        <f>C28*$C$40</f>
        <v>10.312870698085007</v>
      </c>
      <c r="D46" s="107">
        <f t="shared" ref="D46:O46" si="20">D28*$C$40</f>
        <v>10.658573589290958</v>
      </c>
      <c r="E46" s="107">
        <f t="shared" si="20"/>
        <v>10.98706872059107</v>
      </c>
      <c r="F46" s="107">
        <f t="shared" si="20"/>
        <v>11.296101421777623</v>
      </c>
      <c r="G46" s="107">
        <f t="shared" si="20"/>
        <v>11.583507247941681</v>
      </c>
      <c r="H46" s="107">
        <f t="shared" si="20"/>
        <v>11.847237231236907</v>
      </c>
      <c r="I46" s="107">
        <f t="shared" si="20"/>
        <v>12.111455909872808</v>
      </c>
      <c r="J46" s="107">
        <f t="shared" si="20"/>
        <v>12.375924058322388</v>
      </c>
      <c r="K46" s="107">
        <f t="shared" si="20"/>
        <v>12.640396377600009</v>
      </c>
      <c r="L46" s="107">
        <f t="shared" si="20"/>
        <v>12.904621814266076</v>
      </c>
      <c r="M46" s="107">
        <f t="shared" si="20"/>
        <v>13.168343900991626</v>
      </c>
      <c r="N46" s="107">
        <f t="shared" si="20"/>
        <v>13.412083738167601</v>
      </c>
      <c r="O46" s="107">
        <f t="shared" si="20"/>
        <v>13.634489500837134</v>
      </c>
      <c r="P46" s="107">
        <f>D40*P28</f>
        <v>13.787214862250126</v>
      </c>
      <c r="Q46" s="107">
        <f t="shared" ref="Q46:AF46" si="21">E40*Q28</f>
        <v>13.914894672825165</v>
      </c>
      <c r="R46" s="107">
        <f t="shared" si="21"/>
        <v>14.01674844299462</v>
      </c>
      <c r="S46" s="107">
        <f t="shared" si="21"/>
        <v>14.117526578667279</v>
      </c>
      <c r="T46" s="107">
        <f t="shared" si="21"/>
        <v>14.217193042113442</v>
      </c>
      <c r="U46" s="107">
        <f t="shared" si="21"/>
        <v>14.31571191064589</v>
      </c>
      <c r="V46" s="107">
        <f t="shared" si="21"/>
        <v>14.413047396608448</v>
      </c>
      <c r="W46" s="107">
        <f t="shared" si="21"/>
        <v>14.509163867476424</v>
      </c>
      <c r="X46" s="107">
        <f t="shared" si="21"/>
        <v>14.604186720808597</v>
      </c>
      <c r="Y46" s="107">
        <f t="shared" si="21"/>
        <v>14.698084037378379</v>
      </c>
      <c r="Z46" s="107">
        <f t="shared" si="21"/>
        <v>14.66930720025878</v>
      </c>
      <c r="AA46" s="107">
        <f t="shared" si="21"/>
        <v>14.636608391230418</v>
      </c>
      <c r="AB46" s="107">
        <f t="shared" si="21"/>
        <v>14.599975736565762</v>
      </c>
      <c r="AC46" s="107">
        <f t="shared" si="21"/>
        <v>14.559537296661317</v>
      </c>
      <c r="AD46" s="107">
        <f t="shared" si="21"/>
        <v>14.515284726111151</v>
      </c>
      <c r="AE46" s="107">
        <f t="shared" si="21"/>
        <v>14.467211808165587</v>
      </c>
      <c r="AF46" s="107">
        <f t="shared" si="21"/>
        <v>14.415314484431054</v>
      </c>
      <c r="AG46" s="107">
        <f>U40*AG28</f>
        <v>14.359590883301285</v>
      </c>
      <c r="AI46" s="210" t="s">
        <v>1304</v>
      </c>
      <c r="AJ46" s="211" t="s">
        <v>1302</v>
      </c>
      <c r="BD46" s="41"/>
      <c r="BE46" s="41"/>
      <c r="BF46" s="41"/>
      <c r="BG46" s="41"/>
      <c r="BH46" s="41"/>
      <c r="BI46" s="41"/>
      <c r="BJ46" s="41"/>
      <c r="BK46" s="41"/>
      <c r="BL46" s="118"/>
    </row>
    <row r="47" spans="1:64" outlineLevel="1" x14ac:dyDescent="0.2">
      <c r="A47" t="s">
        <v>1487</v>
      </c>
      <c r="B47" s="54" t="s">
        <v>1470</v>
      </c>
      <c r="C47" s="107">
        <f>C29</f>
        <v>2.6141114211437237</v>
      </c>
      <c r="D47" s="107">
        <f t="shared" ref="D47:AG47" si="22">D29</f>
        <v>2.7017403561590436</v>
      </c>
      <c r="E47" s="107">
        <f t="shared" si="22"/>
        <v>2.7850074599230017</v>
      </c>
      <c r="F47" s="107">
        <f t="shared" si="22"/>
        <v>2.8633412175477018</v>
      </c>
      <c r="G47" s="107">
        <f t="shared" si="22"/>
        <v>2.9361929844973473</v>
      </c>
      <c r="H47" s="107">
        <f t="shared" si="22"/>
        <v>3.0030433874174678</v>
      </c>
      <c r="I47" s="107">
        <f t="shared" si="22"/>
        <v>3.0700176650674211</v>
      </c>
      <c r="J47" s="107">
        <f t="shared" si="22"/>
        <v>3.137055178445646</v>
      </c>
      <c r="K47" s="107">
        <f t="shared" si="22"/>
        <v>3.2040937490473684</v>
      </c>
      <c r="L47" s="107">
        <f t="shared" si="22"/>
        <v>3.2710697397260557</v>
      </c>
      <c r="M47" s="107">
        <f t="shared" si="22"/>
        <v>3.3379181410198999</v>
      </c>
      <c r="N47" s="107">
        <f t="shared" si="22"/>
        <v>3.3997014320940089</v>
      </c>
      <c r="O47" s="107">
        <f t="shared" si="22"/>
        <v>3.4560769517085976</v>
      </c>
      <c r="P47" s="107">
        <f t="shared" si="22"/>
        <v>3.5067262413707287</v>
      </c>
      <c r="Q47" s="107">
        <f t="shared" si="22"/>
        <v>3.5513580051554348</v>
      </c>
      <c r="R47" s="107">
        <f t="shared" si="22"/>
        <v>3.5897108692430097</v>
      </c>
      <c r="S47" s="107">
        <f t="shared" si="22"/>
        <v>3.6280807531049661</v>
      </c>
      <c r="T47" s="107">
        <f t="shared" si="22"/>
        <v>3.6664591080262339</v>
      </c>
      <c r="U47" s="107">
        <f t="shared" si="22"/>
        <v>3.7048372826602627</v>
      </c>
      <c r="V47" s="107">
        <f t="shared" si="22"/>
        <v>3.7432065257583771</v>
      </c>
      <c r="W47" s="107">
        <f t="shared" si="22"/>
        <v>3.7815579889897641</v>
      </c>
      <c r="X47" s="107">
        <f t="shared" si="22"/>
        <v>3.8199248036125488</v>
      </c>
      <c r="Y47" s="107">
        <f t="shared" si="22"/>
        <v>3.8582992668804459</v>
      </c>
      <c r="Z47" s="107">
        <f t="shared" si="22"/>
        <v>3.8966735889982118</v>
      </c>
      <c r="AA47" s="107">
        <f t="shared" si="22"/>
        <v>3.9350398953474</v>
      </c>
      <c r="AB47" s="107">
        <f t="shared" si="22"/>
        <v>3.9733902287814025</v>
      </c>
      <c r="AC47" s="107">
        <f t="shared" si="22"/>
        <v>4.0117544797081646</v>
      </c>
      <c r="AD47" s="107">
        <f t="shared" si="22"/>
        <v>4.050125670959174</v>
      </c>
      <c r="AE47" s="107">
        <f t="shared" si="22"/>
        <v>4.0884967508801484</v>
      </c>
      <c r="AF47" s="107">
        <f t="shared" si="22"/>
        <v>4.1268605951642749</v>
      </c>
      <c r="AG47" s="107">
        <f t="shared" si="22"/>
        <v>4.1652100087391384</v>
      </c>
      <c r="AI47" s="210" t="s">
        <v>1306</v>
      </c>
      <c r="AJ47" s="211" t="s">
        <v>1302</v>
      </c>
      <c r="BD47" s="41"/>
      <c r="BE47" s="41"/>
      <c r="BF47" s="41"/>
      <c r="BG47" s="41"/>
      <c r="BH47" s="41"/>
      <c r="BI47" s="41"/>
      <c r="BJ47" s="41"/>
      <c r="BK47" s="41"/>
      <c r="BL47" s="118"/>
    </row>
    <row r="48" spans="1:64" outlineLevel="1" x14ac:dyDescent="0.2">
      <c r="A48" t="s">
        <v>1488</v>
      </c>
      <c r="B48" s="54" t="s">
        <v>1470</v>
      </c>
      <c r="C48" s="84">
        <v>0</v>
      </c>
      <c r="D48" s="84">
        <v>0</v>
      </c>
      <c r="E48" s="84">
        <v>0</v>
      </c>
      <c r="F48" s="84">
        <v>0</v>
      </c>
      <c r="G48" s="84">
        <v>0</v>
      </c>
      <c r="H48" s="84">
        <v>0</v>
      </c>
      <c r="I48" s="84">
        <v>0</v>
      </c>
      <c r="J48" s="84">
        <v>0</v>
      </c>
      <c r="K48" s="84">
        <v>0</v>
      </c>
      <c r="L48" s="84">
        <v>0</v>
      </c>
      <c r="M48" s="84">
        <v>0</v>
      </c>
      <c r="N48" s="84">
        <v>0</v>
      </c>
      <c r="O48" s="84">
        <v>0</v>
      </c>
      <c r="P48" s="84">
        <v>0</v>
      </c>
      <c r="Q48" s="84">
        <v>0</v>
      </c>
      <c r="R48" s="84">
        <v>0</v>
      </c>
      <c r="S48" s="84">
        <v>0</v>
      </c>
      <c r="T48" s="84">
        <v>0</v>
      </c>
      <c r="U48" s="84">
        <v>0</v>
      </c>
      <c r="V48" s="84">
        <v>0</v>
      </c>
      <c r="W48" s="84">
        <v>0</v>
      </c>
      <c r="X48" s="84">
        <v>0</v>
      </c>
      <c r="Y48" s="84">
        <v>0</v>
      </c>
      <c r="Z48" s="84">
        <v>0</v>
      </c>
      <c r="AA48" s="84">
        <v>0</v>
      </c>
      <c r="AB48" s="84">
        <v>0</v>
      </c>
      <c r="AC48" s="84">
        <v>0</v>
      </c>
      <c r="AD48" s="84">
        <v>0</v>
      </c>
      <c r="AE48" s="84">
        <v>0</v>
      </c>
      <c r="AF48" s="84">
        <v>0</v>
      </c>
      <c r="AG48" s="84">
        <v>0</v>
      </c>
      <c r="AI48" s="210" t="s">
        <v>1308</v>
      </c>
      <c r="AJ48" s="211" t="s">
        <v>1302</v>
      </c>
      <c r="AL48" s="5"/>
      <c r="AM48" s="109"/>
      <c r="AN48" s="109"/>
      <c r="AO48" s="109"/>
      <c r="BC48" s="1"/>
      <c r="BD48" s="118"/>
      <c r="BE48" s="118"/>
      <c r="BF48" s="118"/>
      <c r="BG48" s="118"/>
      <c r="BH48" s="118"/>
      <c r="BI48" s="118"/>
      <c r="BJ48" s="118"/>
      <c r="BK48" s="118"/>
      <c r="BL48" s="118"/>
    </row>
    <row r="49" spans="1:63" outlineLevel="1" x14ac:dyDescent="0.2">
      <c r="A49" s="181" t="s">
        <v>1489</v>
      </c>
      <c r="B49" s="176" t="s">
        <v>1470</v>
      </c>
      <c r="C49" s="107">
        <f>(C31+C30)*$C$43</f>
        <v>35.620517225621761</v>
      </c>
      <c r="D49" s="107">
        <f t="shared" ref="D49:H49" si="23">(D31+D30)*$C$43</f>
        <v>36.814570380330217</v>
      </c>
      <c r="E49" s="107">
        <f t="shared" si="23"/>
        <v>37.949188162862995</v>
      </c>
      <c r="F49" s="107">
        <f t="shared" si="23"/>
        <v>39.016582972529342</v>
      </c>
      <c r="G49" s="107">
        <f t="shared" si="23"/>
        <v>40.009278845611696</v>
      </c>
      <c r="H49" s="107">
        <f t="shared" si="23"/>
        <v>40.92019867461962</v>
      </c>
      <c r="I49" s="107">
        <f>(I31+I30)*D43</f>
        <v>41.556709928211809</v>
      </c>
      <c r="J49" s="107">
        <f t="shared" ref="J49:AG49" si="24">(J31+J30)*E43</f>
        <v>42.182025050569592</v>
      </c>
      <c r="K49" s="107">
        <f t="shared" si="24"/>
        <v>42.795296497044447</v>
      </c>
      <c r="L49" s="107">
        <f t="shared" si="24"/>
        <v>43.395679739550715</v>
      </c>
      <c r="M49" s="107">
        <f t="shared" si="24"/>
        <v>43.982335059954664</v>
      </c>
      <c r="N49" s="107">
        <f t="shared" si="24"/>
        <v>44.490681305927289</v>
      </c>
      <c r="O49" s="107">
        <f t="shared" si="24"/>
        <v>44.917631573299154</v>
      </c>
      <c r="P49" s="107">
        <f t="shared" si="24"/>
        <v>45.260534603855724</v>
      </c>
      <c r="Q49" s="107">
        <f t="shared" si="24"/>
        <v>45.51720183775052</v>
      </c>
      <c r="R49" s="107">
        <f t="shared" si="24"/>
        <v>45.68593031980658</v>
      </c>
      <c r="S49" s="107">
        <f t="shared" si="24"/>
        <v>45.847975488531112</v>
      </c>
      <c r="T49" s="107">
        <f t="shared" si="24"/>
        <v>46.003225490887424</v>
      </c>
      <c r="U49" s="107">
        <f t="shared" si="24"/>
        <v>46.151570270600466</v>
      </c>
      <c r="V49" s="107">
        <f t="shared" si="24"/>
        <v>46.292901648060933</v>
      </c>
      <c r="W49" s="107">
        <f t="shared" si="24"/>
        <v>46.427113399869697</v>
      </c>
      <c r="X49" s="107">
        <f t="shared" si="24"/>
        <v>46.554614103996379</v>
      </c>
      <c r="Y49" s="107">
        <f t="shared" si="24"/>
        <v>46.67530643560459</v>
      </c>
      <c r="Z49" s="107">
        <f t="shared" si="24"/>
        <v>46.789094795552927</v>
      </c>
      <c r="AA49" s="107">
        <f t="shared" si="24"/>
        <v>46.89588537606339</v>
      </c>
      <c r="AB49" s="107">
        <f t="shared" si="24"/>
        <v>46.995586226008314</v>
      </c>
      <c r="AC49" s="107">
        <f t="shared" si="24"/>
        <v>47.077619469681224</v>
      </c>
      <c r="AD49" s="107">
        <f t="shared" si="24"/>
        <v>47.15262397023578</v>
      </c>
      <c r="AE49" s="107">
        <f t="shared" si="24"/>
        <v>47.220516354621964</v>
      </c>
      <c r="AF49" s="107">
        <f t="shared" si="24"/>
        <v>47.281215030995156</v>
      </c>
      <c r="AG49" s="107">
        <f t="shared" si="24"/>
        <v>47.334640243819138</v>
      </c>
      <c r="AI49" s="210" t="s">
        <v>1308</v>
      </c>
      <c r="AJ49" s="211" t="s">
        <v>1302</v>
      </c>
      <c r="AL49" s="108"/>
      <c r="AM49" s="2"/>
      <c r="AN49" s="2"/>
      <c r="AO49" s="2"/>
    </row>
    <row r="50" spans="1:63" s="1" customFormat="1" ht="16" thickBot="1" x14ac:dyDescent="0.25">
      <c r="A50" s="200" t="s">
        <v>1490</v>
      </c>
      <c r="B50" s="215" t="s">
        <v>1470</v>
      </c>
      <c r="C50" s="216">
        <f>SUM(C45:C49)</f>
        <v>91.132618550548131</v>
      </c>
      <c r="D50" s="216">
        <f t="shared" ref="D50:AF50" si="25">SUM(D45:D49)</f>
        <v>93.965828939970734</v>
      </c>
      <c r="E50" s="216">
        <f t="shared" si="25"/>
        <v>96.633313073415479</v>
      </c>
      <c r="F50" s="216">
        <f t="shared" si="25"/>
        <v>99.116361334602828</v>
      </c>
      <c r="G50" s="216">
        <f t="shared" si="25"/>
        <v>101.3972414851869</v>
      </c>
      <c r="H50" s="216">
        <f t="shared" si="25"/>
        <v>103.45940979990421</v>
      </c>
      <c r="I50" s="216">
        <f t="shared" si="25"/>
        <v>105.23876826359825</v>
      </c>
      <c r="J50" s="216">
        <f t="shared" si="25"/>
        <v>106.99724595424271</v>
      </c>
      <c r="K50" s="216">
        <f t="shared" si="25"/>
        <v>108.73270018233656</v>
      </c>
      <c r="L50" s="216">
        <f t="shared" si="25"/>
        <v>110.44298178533927</v>
      </c>
      <c r="M50" s="216">
        <f t="shared" si="25"/>
        <v>112.12593928186031</v>
      </c>
      <c r="N50" s="216">
        <f t="shared" si="25"/>
        <v>113.43801919790522</v>
      </c>
      <c r="O50" s="216">
        <f t="shared" si="25"/>
        <v>114.57465673184237</v>
      </c>
      <c r="P50" s="216">
        <f t="shared" si="25"/>
        <v>115.40493039324002</v>
      </c>
      <c r="Q50" s="216">
        <f t="shared" si="25"/>
        <v>116.01399884052056</v>
      </c>
      <c r="R50" s="216">
        <f t="shared" si="25"/>
        <v>116.39775439076379</v>
      </c>
      <c r="S50" s="216">
        <f t="shared" si="25"/>
        <v>116.76337857604184</v>
      </c>
      <c r="T50" s="216">
        <f t="shared" si="25"/>
        <v>117.11058377871365</v>
      </c>
      <c r="U50" s="216">
        <f t="shared" si="25"/>
        <v>117.43908745743661</v>
      </c>
      <c r="V50" s="216">
        <f t="shared" si="25"/>
        <v>117.74861235982497</v>
      </c>
      <c r="W50" s="216">
        <f t="shared" si="25"/>
        <v>118.03888673395839</v>
      </c>
      <c r="X50" s="216">
        <f t="shared" si="25"/>
        <v>118.01505164051324</v>
      </c>
      <c r="Y50" s="216">
        <f t="shared" si="25"/>
        <v>118.2750419329324</v>
      </c>
      <c r="Z50" s="216">
        <f t="shared" si="25"/>
        <v>118.3949934743091</v>
      </c>
      <c r="AA50" s="216">
        <f t="shared" si="25"/>
        <v>118.49345070873713</v>
      </c>
      <c r="AB50" s="216">
        <f t="shared" si="25"/>
        <v>118.57019899036877</v>
      </c>
      <c r="AC50" s="216">
        <f t="shared" si="25"/>
        <v>118.61521956063555</v>
      </c>
      <c r="AD50" s="216">
        <f t="shared" si="25"/>
        <v>118.63903910327632</v>
      </c>
      <c r="AE50" s="216">
        <f t="shared" si="25"/>
        <v>118.64146695998812</v>
      </c>
      <c r="AF50" s="216">
        <f t="shared" si="25"/>
        <v>118.62231925357364</v>
      </c>
      <c r="AG50" s="216">
        <f>SUM(AG45:AG49)</f>
        <v>118.58141904674841</v>
      </c>
      <c r="AJ50" s="162"/>
      <c r="AL50" s="221"/>
      <c r="AM50" s="124"/>
      <c r="AN50" s="124"/>
      <c r="AO50" s="124"/>
    </row>
    <row r="51" spans="1:63" ht="16" thickTop="1" x14ac:dyDescent="0.2">
      <c r="B51" s="176"/>
      <c r="C51" s="209"/>
      <c r="D51" s="209"/>
      <c r="E51" s="209"/>
      <c r="F51" s="209"/>
      <c r="G51" s="209"/>
      <c r="H51" s="209"/>
      <c r="I51" s="209"/>
      <c r="J51" s="209"/>
      <c r="K51" s="209"/>
      <c r="L51" s="209"/>
      <c r="M51" s="209"/>
      <c r="N51" s="209"/>
      <c r="O51" s="209"/>
      <c r="P51" s="209"/>
      <c r="Q51" s="209"/>
      <c r="R51" s="209"/>
      <c r="S51" s="209"/>
      <c r="T51" s="209"/>
      <c r="U51" s="209"/>
      <c r="V51" s="209"/>
      <c r="W51" s="209"/>
      <c r="X51" s="209"/>
      <c r="Y51" s="209"/>
      <c r="Z51" s="209"/>
      <c r="AA51" s="209"/>
      <c r="AB51" s="209"/>
      <c r="AC51" s="209"/>
      <c r="AD51" s="209"/>
      <c r="AE51" s="209"/>
      <c r="AF51" s="209"/>
      <c r="AG51" s="209"/>
      <c r="AL51" s="108"/>
      <c r="AM51" s="2"/>
      <c r="AN51" s="2"/>
      <c r="AO51" s="2"/>
    </row>
    <row r="52" spans="1:63" s="200" customFormat="1" ht="16" thickBot="1" x14ac:dyDescent="0.25">
      <c r="A52" s="200" t="s">
        <v>1311</v>
      </c>
      <c r="B52" s="215" t="s">
        <v>462</v>
      </c>
      <c r="C52" s="222">
        <f>C55</f>
        <v>0.14200000000000002</v>
      </c>
      <c r="D52" s="222">
        <f t="shared" ref="D52:AG52" si="26">D55</f>
        <v>0.14849999999999999</v>
      </c>
      <c r="E52" s="222">
        <f t="shared" si="26"/>
        <v>0.155</v>
      </c>
      <c r="F52" s="222">
        <f t="shared" si="26"/>
        <v>0.16149999999999998</v>
      </c>
      <c r="G52" s="222">
        <f t="shared" si="26"/>
        <v>0.16800000000000001</v>
      </c>
      <c r="H52" s="222">
        <f t="shared" si="26"/>
        <v>0.17449999999999999</v>
      </c>
      <c r="I52" s="222">
        <f t="shared" si="26"/>
        <v>0.18099999999999999</v>
      </c>
      <c r="J52" s="222">
        <f t="shared" si="26"/>
        <v>0.1875</v>
      </c>
      <c r="K52" s="222">
        <f t="shared" si="26"/>
        <v>0.19400000000000001</v>
      </c>
      <c r="L52" s="222">
        <f t="shared" si="26"/>
        <v>0.20050000000000001</v>
      </c>
      <c r="M52" s="222">
        <f t="shared" si="26"/>
        <v>0.20700000000000002</v>
      </c>
      <c r="N52" s="222">
        <f t="shared" si="26"/>
        <v>0.22070000000000001</v>
      </c>
      <c r="O52" s="222">
        <f t="shared" si="26"/>
        <v>0.2344</v>
      </c>
      <c r="P52" s="222">
        <f t="shared" si="26"/>
        <v>0.24809999999999999</v>
      </c>
      <c r="Q52" s="222">
        <f t="shared" si="26"/>
        <v>0.26179999999999998</v>
      </c>
      <c r="R52" s="222">
        <f t="shared" si="26"/>
        <v>0.27549999999999997</v>
      </c>
      <c r="S52" s="222">
        <f t="shared" si="26"/>
        <v>0.28920000000000001</v>
      </c>
      <c r="T52" s="222">
        <f t="shared" si="26"/>
        <v>0.3029</v>
      </c>
      <c r="U52" s="222">
        <f t="shared" si="26"/>
        <v>0.31659999999999999</v>
      </c>
      <c r="V52" s="222">
        <f t="shared" si="26"/>
        <v>0.33030000000000004</v>
      </c>
      <c r="W52" s="222">
        <f t="shared" si="26"/>
        <v>0.34399999999999997</v>
      </c>
      <c r="X52" s="222">
        <f t="shared" si="26"/>
        <v>0.36692262658227848</v>
      </c>
      <c r="Y52" s="222">
        <f t="shared" si="26"/>
        <v>0.38984525316455698</v>
      </c>
      <c r="Z52" s="222">
        <f t="shared" si="26"/>
        <v>0.41276787974683543</v>
      </c>
      <c r="AA52" s="222">
        <f t="shared" si="26"/>
        <v>0.43569050632911388</v>
      </c>
      <c r="AB52" s="222">
        <f t="shared" si="26"/>
        <v>0.45861313291139238</v>
      </c>
      <c r="AC52" s="222">
        <f t="shared" si="26"/>
        <v>0.48153575949367089</v>
      </c>
      <c r="AD52" s="222">
        <f t="shared" si="26"/>
        <v>0.50445838607594939</v>
      </c>
      <c r="AE52" s="222">
        <f t="shared" si="26"/>
        <v>0.5273810126582279</v>
      </c>
      <c r="AF52" s="222">
        <f t="shared" si="26"/>
        <v>0.55030363924050629</v>
      </c>
      <c r="AG52" s="222">
        <f t="shared" si="26"/>
        <v>0.5732262658227848</v>
      </c>
      <c r="AJ52" s="231" t="s">
        <v>1491</v>
      </c>
      <c r="AL52" s="217"/>
      <c r="AM52" s="218"/>
      <c r="AN52" s="218"/>
      <c r="AO52" s="218"/>
    </row>
    <row r="53" spans="1:63" ht="16" outlineLevel="1" thickTop="1" x14ac:dyDescent="0.2">
      <c r="A53" t="s">
        <v>1313</v>
      </c>
      <c r="B53" s="54" t="s">
        <v>462</v>
      </c>
      <c r="C53" s="113">
        <v>4.7E-2</v>
      </c>
      <c r="D53" s="110">
        <f>$C53+($M53-$C53)/10*(D$1-$C$1)</f>
        <v>5.0200000000000002E-2</v>
      </c>
      <c r="E53" s="110">
        <f t="shared" ref="E53:L54" si="27">$C53+($M53-$C53)/10*(E$1-$C$1)</f>
        <v>5.3400000000000003E-2</v>
      </c>
      <c r="F53" s="110">
        <f t="shared" si="27"/>
        <v>5.6599999999999998E-2</v>
      </c>
      <c r="G53" s="110">
        <f t="shared" si="27"/>
        <v>5.9799999999999999E-2</v>
      </c>
      <c r="H53" s="110">
        <f t="shared" si="27"/>
        <v>6.3E-2</v>
      </c>
      <c r="I53" s="110">
        <f t="shared" si="27"/>
        <v>6.6200000000000009E-2</v>
      </c>
      <c r="J53" s="110">
        <f t="shared" si="27"/>
        <v>6.9400000000000003E-2</v>
      </c>
      <c r="K53" s="110">
        <f t="shared" si="27"/>
        <v>7.2599999999999998E-2</v>
      </c>
      <c r="L53" s="110">
        <f t="shared" si="27"/>
        <v>7.5800000000000006E-2</v>
      </c>
      <c r="M53" s="113">
        <v>7.9000000000000001E-2</v>
      </c>
      <c r="N53" s="110">
        <f>$M53+($W53-$M53)/10*(N$1-$M$1)</f>
        <v>8.5100000000000009E-2</v>
      </c>
      <c r="O53" s="110">
        <f t="shared" ref="O53:U54" si="28">$M53+($W53-$M53)/10*(O$1-$M$1)</f>
        <v>9.1200000000000003E-2</v>
      </c>
      <c r="P53" s="110">
        <f t="shared" si="28"/>
        <v>9.7299999999999998E-2</v>
      </c>
      <c r="Q53" s="110">
        <f t="shared" si="28"/>
        <v>0.10340000000000001</v>
      </c>
      <c r="R53" s="110">
        <f t="shared" si="28"/>
        <v>0.10950000000000001</v>
      </c>
      <c r="S53" s="110">
        <f t="shared" si="28"/>
        <v>0.11560000000000001</v>
      </c>
      <c r="T53" s="110">
        <f t="shared" si="28"/>
        <v>0.1217</v>
      </c>
      <c r="U53" s="110">
        <f t="shared" si="28"/>
        <v>0.12780000000000002</v>
      </c>
      <c r="V53" s="110">
        <f>$M53+($W53-$M53)/10*(V$1-$M$1)</f>
        <v>0.13390000000000002</v>
      </c>
      <c r="W53" s="113">
        <v>0.14000000000000001</v>
      </c>
      <c r="X53" s="110">
        <f>$W53+($AG53-$W53)/10*(X$1-$W$1)</f>
        <v>0.15081012658227849</v>
      </c>
      <c r="Y53" s="110">
        <f t="shared" ref="Y53:AF54" si="29">$W53+($AG53-$W53)/10*(Y$1-$W$1)</f>
        <v>0.16162025316455697</v>
      </c>
      <c r="Z53" s="110">
        <f t="shared" si="29"/>
        <v>0.17243037974683545</v>
      </c>
      <c r="AA53" s="110">
        <f t="shared" si="29"/>
        <v>0.18324050632911396</v>
      </c>
      <c r="AB53" s="110">
        <f t="shared" si="29"/>
        <v>0.19405063291139243</v>
      </c>
      <c r="AC53" s="110">
        <f t="shared" si="29"/>
        <v>0.20486075949367091</v>
      </c>
      <c r="AD53" s="110">
        <f t="shared" si="29"/>
        <v>0.21567088607594942</v>
      </c>
      <c r="AE53" s="110">
        <f t="shared" si="29"/>
        <v>0.2264810126582279</v>
      </c>
      <c r="AF53" s="110">
        <f t="shared" si="29"/>
        <v>0.23729113924050638</v>
      </c>
      <c r="AG53" s="110">
        <f>(W53/M53)*W53</f>
        <v>0.24810126582278486</v>
      </c>
      <c r="AI53" s="133"/>
      <c r="AJ53" s="211" t="s">
        <v>1431</v>
      </c>
      <c r="AL53" s="108"/>
      <c r="AM53" s="2"/>
      <c r="AN53" s="2"/>
      <c r="AO53" s="2"/>
      <c r="AV53" s="41"/>
    </row>
    <row r="54" spans="1:63" outlineLevel="1" x14ac:dyDescent="0.2">
      <c r="A54" t="s">
        <v>1315</v>
      </c>
      <c r="B54" s="54" t="s">
        <v>462</v>
      </c>
      <c r="C54" s="113">
        <v>9.5000000000000001E-2</v>
      </c>
      <c r="D54" s="110">
        <f>$C54+($M54-$C54)/10*(D$1-$C$1)</f>
        <v>9.8299999999999998E-2</v>
      </c>
      <c r="E54" s="110">
        <f t="shared" si="27"/>
        <v>0.1016</v>
      </c>
      <c r="F54" s="110">
        <f t="shared" si="27"/>
        <v>0.10489999999999999</v>
      </c>
      <c r="G54" s="110">
        <f t="shared" si="27"/>
        <v>0.1082</v>
      </c>
      <c r="H54" s="110">
        <f t="shared" si="27"/>
        <v>0.1115</v>
      </c>
      <c r="I54" s="110">
        <f t="shared" si="27"/>
        <v>0.1148</v>
      </c>
      <c r="J54" s="110">
        <f t="shared" si="27"/>
        <v>0.1181</v>
      </c>
      <c r="K54" s="110">
        <f t="shared" si="27"/>
        <v>0.12140000000000001</v>
      </c>
      <c r="L54" s="110">
        <f t="shared" si="27"/>
        <v>0.12470000000000001</v>
      </c>
      <c r="M54" s="113">
        <v>0.128</v>
      </c>
      <c r="N54" s="110">
        <f>$M54+($W54-$M54)/10*(N$1-$M$1)</f>
        <v>0.1356</v>
      </c>
      <c r="O54" s="110">
        <f t="shared" si="28"/>
        <v>0.14319999999999999</v>
      </c>
      <c r="P54" s="110">
        <f t="shared" si="28"/>
        <v>0.15079999999999999</v>
      </c>
      <c r="Q54" s="110">
        <f t="shared" si="28"/>
        <v>0.15839999999999999</v>
      </c>
      <c r="R54" s="110">
        <f t="shared" si="28"/>
        <v>0.16599999999999998</v>
      </c>
      <c r="S54" s="110">
        <f t="shared" si="28"/>
        <v>0.17359999999999998</v>
      </c>
      <c r="T54" s="110">
        <f t="shared" si="28"/>
        <v>0.1812</v>
      </c>
      <c r="U54" s="110">
        <f t="shared" si="28"/>
        <v>0.1888</v>
      </c>
      <c r="V54" s="110">
        <f>$M54+($W54-$M54)/10*(V$1-$M$1)</f>
        <v>0.19639999999999999</v>
      </c>
      <c r="W54" s="113">
        <v>0.20399999999999999</v>
      </c>
      <c r="X54" s="110">
        <f>$W54+($AG54-$W54)/10*(X$1-$W$1)</f>
        <v>0.21611249999999999</v>
      </c>
      <c r="Y54" s="110">
        <f t="shared" si="29"/>
        <v>0.22822499999999998</v>
      </c>
      <c r="Z54" s="110">
        <f t="shared" si="29"/>
        <v>0.24033749999999998</v>
      </c>
      <c r="AA54" s="110">
        <f t="shared" si="29"/>
        <v>0.25244999999999995</v>
      </c>
      <c r="AB54" s="110">
        <f t="shared" si="29"/>
        <v>0.26456249999999998</v>
      </c>
      <c r="AC54" s="110">
        <f t="shared" si="29"/>
        <v>0.27667499999999995</v>
      </c>
      <c r="AD54" s="110">
        <f t="shared" si="29"/>
        <v>0.28878749999999997</v>
      </c>
      <c r="AE54" s="110">
        <f t="shared" si="29"/>
        <v>0.30089999999999995</v>
      </c>
      <c r="AF54" s="110">
        <f t="shared" si="29"/>
        <v>0.31301249999999992</v>
      </c>
      <c r="AG54" s="110">
        <f>(W54/M54)*W54</f>
        <v>0.32512499999999994</v>
      </c>
      <c r="AI54" s="133"/>
      <c r="AJ54" s="211" t="s">
        <v>1431</v>
      </c>
      <c r="AL54" s="108"/>
      <c r="AM54" s="2"/>
      <c r="AN54" s="2"/>
      <c r="AO54" s="2"/>
      <c r="AV54" s="41"/>
    </row>
    <row r="55" spans="1:63" outlineLevel="1" x14ac:dyDescent="0.2">
      <c r="A55" t="s">
        <v>1316</v>
      </c>
      <c r="B55" s="176" t="s">
        <v>462</v>
      </c>
      <c r="C55" s="110">
        <f t="shared" ref="C55:AG55" si="30">C53+C54</f>
        <v>0.14200000000000002</v>
      </c>
      <c r="D55" s="110">
        <f t="shared" si="30"/>
        <v>0.14849999999999999</v>
      </c>
      <c r="E55" s="110">
        <f t="shared" si="30"/>
        <v>0.155</v>
      </c>
      <c r="F55" s="110">
        <f t="shared" si="30"/>
        <v>0.16149999999999998</v>
      </c>
      <c r="G55" s="110">
        <f t="shared" si="30"/>
        <v>0.16800000000000001</v>
      </c>
      <c r="H55" s="110">
        <f t="shared" si="30"/>
        <v>0.17449999999999999</v>
      </c>
      <c r="I55" s="110">
        <f t="shared" si="30"/>
        <v>0.18099999999999999</v>
      </c>
      <c r="J55" s="110">
        <f t="shared" si="30"/>
        <v>0.1875</v>
      </c>
      <c r="K55" s="110">
        <f t="shared" si="30"/>
        <v>0.19400000000000001</v>
      </c>
      <c r="L55" s="110">
        <f t="shared" si="30"/>
        <v>0.20050000000000001</v>
      </c>
      <c r="M55" s="110">
        <f t="shared" si="30"/>
        <v>0.20700000000000002</v>
      </c>
      <c r="N55" s="110">
        <f t="shared" si="30"/>
        <v>0.22070000000000001</v>
      </c>
      <c r="O55" s="110">
        <f t="shared" si="30"/>
        <v>0.2344</v>
      </c>
      <c r="P55" s="110">
        <f t="shared" si="30"/>
        <v>0.24809999999999999</v>
      </c>
      <c r="Q55" s="110">
        <f t="shared" si="30"/>
        <v>0.26179999999999998</v>
      </c>
      <c r="R55" s="110">
        <f t="shared" si="30"/>
        <v>0.27549999999999997</v>
      </c>
      <c r="S55" s="110">
        <f t="shared" si="30"/>
        <v>0.28920000000000001</v>
      </c>
      <c r="T55" s="110">
        <f t="shared" si="30"/>
        <v>0.3029</v>
      </c>
      <c r="U55" s="110">
        <f t="shared" si="30"/>
        <v>0.31659999999999999</v>
      </c>
      <c r="V55" s="110">
        <f t="shared" si="30"/>
        <v>0.33030000000000004</v>
      </c>
      <c r="W55" s="110">
        <f t="shared" si="30"/>
        <v>0.34399999999999997</v>
      </c>
      <c r="X55" s="110">
        <f t="shared" si="30"/>
        <v>0.36692262658227848</v>
      </c>
      <c r="Y55" s="110">
        <f t="shared" si="30"/>
        <v>0.38984525316455698</v>
      </c>
      <c r="Z55" s="110">
        <f t="shared" si="30"/>
        <v>0.41276787974683543</v>
      </c>
      <c r="AA55" s="110">
        <f t="shared" si="30"/>
        <v>0.43569050632911388</v>
      </c>
      <c r="AB55" s="110">
        <f t="shared" si="30"/>
        <v>0.45861313291139238</v>
      </c>
      <c r="AC55" s="110">
        <f t="shared" si="30"/>
        <v>0.48153575949367089</v>
      </c>
      <c r="AD55" s="110">
        <f t="shared" si="30"/>
        <v>0.50445838607594939</v>
      </c>
      <c r="AE55" s="110">
        <f t="shared" si="30"/>
        <v>0.5273810126582279</v>
      </c>
      <c r="AF55" s="110">
        <f t="shared" si="30"/>
        <v>0.55030363924050629</v>
      </c>
      <c r="AG55" s="110">
        <f t="shared" si="30"/>
        <v>0.5732262658227848</v>
      </c>
      <c r="AI55" s="133"/>
      <c r="AJ55" s="211"/>
      <c r="AL55" s="108"/>
      <c r="AM55" s="2"/>
      <c r="AN55" s="2"/>
      <c r="AO55" s="2"/>
    </row>
    <row r="56" spans="1:63" outlineLevel="1" x14ac:dyDescent="0.2">
      <c r="C56" s="113"/>
      <c r="D56" s="110"/>
      <c r="E56" s="110"/>
      <c r="F56" s="110"/>
      <c r="G56" s="110"/>
      <c r="H56" s="110"/>
      <c r="I56" s="110"/>
      <c r="J56" s="110"/>
      <c r="K56" s="110"/>
      <c r="L56" s="110"/>
      <c r="M56" s="113"/>
      <c r="N56" s="110"/>
      <c r="O56" s="110"/>
      <c r="P56" s="110"/>
      <c r="Q56" s="110"/>
      <c r="R56" s="110"/>
      <c r="S56" s="110"/>
      <c r="T56" s="110"/>
      <c r="U56" s="110"/>
      <c r="V56" s="110"/>
      <c r="W56" s="113"/>
      <c r="X56" s="110"/>
      <c r="Y56" s="110"/>
      <c r="Z56" s="110"/>
      <c r="AA56" s="110"/>
      <c r="AB56" s="110"/>
      <c r="AC56" s="110"/>
      <c r="AD56" s="110"/>
      <c r="AE56" s="110"/>
      <c r="AF56" s="110"/>
      <c r="AG56" s="113"/>
      <c r="AI56" s="133"/>
      <c r="AJ56" s="211"/>
      <c r="AL56" s="108"/>
      <c r="AM56" s="2"/>
      <c r="AN56" s="2"/>
      <c r="AO56" s="2"/>
      <c r="AV56" s="41"/>
    </row>
    <row r="57" spans="1:63" outlineLevel="1" x14ac:dyDescent="0.2">
      <c r="A57" t="s">
        <v>1445</v>
      </c>
      <c r="B57" s="54" t="s">
        <v>462</v>
      </c>
      <c r="C57" s="106">
        <v>0.2</v>
      </c>
      <c r="D57" s="110">
        <f>C57</f>
        <v>0.2</v>
      </c>
      <c r="E57" s="110">
        <f t="shared" ref="E57:AG57" si="31">D57</f>
        <v>0.2</v>
      </c>
      <c r="F57" s="110">
        <f t="shared" si="31"/>
        <v>0.2</v>
      </c>
      <c r="G57" s="110">
        <f t="shared" si="31"/>
        <v>0.2</v>
      </c>
      <c r="H57" s="110">
        <f t="shared" si="31"/>
        <v>0.2</v>
      </c>
      <c r="I57" s="110">
        <f t="shared" si="31"/>
        <v>0.2</v>
      </c>
      <c r="J57" s="110">
        <f t="shared" si="31"/>
        <v>0.2</v>
      </c>
      <c r="K57" s="110">
        <f t="shared" si="31"/>
        <v>0.2</v>
      </c>
      <c r="L57" s="110">
        <f t="shared" si="31"/>
        <v>0.2</v>
      </c>
      <c r="M57" s="110">
        <f t="shared" si="31"/>
        <v>0.2</v>
      </c>
      <c r="N57" s="110">
        <f t="shared" si="31"/>
        <v>0.2</v>
      </c>
      <c r="O57" s="110">
        <f t="shared" si="31"/>
        <v>0.2</v>
      </c>
      <c r="P57" s="110">
        <f t="shared" si="31"/>
        <v>0.2</v>
      </c>
      <c r="Q57" s="110">
        <f t="shared" si="31"/>
        <v>0.2</v>
      </c>
      <c r="R57" s="110">
        <f t="shared" si="31"/>
        <v>0.2</v>
      </c>
      <c r="S57" s="110">
        <f t="shared" si="31"/>
        <v>0.2</v>
      </c>
      <c r="T57" s="110">
        <f t="shared" si="31"/>
        <v>0.2</v>
      </c>
      <c r="U57" s="110">
        <f t="shared" si="31"/>
        <v>0.2</v>
      </c>
      <c r="V57" s="110">
        <f t="shared" si="31"/>
        <v>0.2</v>
      </c>
      <c r="W57" s="110">
        <f t="shared" si="31"/>
        <v>0.2</v>
      </c>
      <c r="X57" s="110">
        <f t="shared" si="31"/>
        <v>0.2</v>
      </c>
      <c r="Y57" s="110">
        <f t="shared" si="31"/>
        <v>0.2</v>
      </c>
      <c r="Z57" s="110">
        <f t="shared" si="31"/>
        <v>0.2</v>
      </c>
      <c r="AA57" s="110">
        <f t="shared" si="31"/>
        <v>0.2</v>
      </c>
      <c r="AB57" s="110">
        <f t="shared" si="31"/>
        <v>0.2</v>
      </c>
      <c r="AC57" s="110">
        <f t="shared" si="31"/>
        <v>0.2</v>
      </c>
      <c r="AD57" s="110">
        <f t="shared" si="31"/>
        <v>0.2</v>
      </c>
      <c r="AE57" s="110">
        <f t="shared" si="31"/>
        <v>0.2</v>
      </c>
      <c r="AF57" s="110">
        <f t="shared" si="31"/>
        <v>0.2</v>
      </c>
      <c r="AG57" s="110">
        <f t="shared" si="31"/>
        <v>0.2</v>
      </c>
      <c r="AI57" s="112" t="s">
        <v>1518</v>
      </c>
      <c r="AJ57" s="211"/>
      <c r="AL57" s="108"/>
      <c r="AM57" s="2"/>
      <c r="AN57" s="2"/>
      <c r="AO57" s="2"/>
      <c r="BC57" s="1"/>
      <c r="BD57" s="2"/>
      <c r="BE57" s="2"/>
      <c r="BF57" s="2"/>
      <c r="BG57" s="2"/>
      <c r="BH57" s="2"/>
      <c r="BI57" s="2"/>
      <c r="BJ57" s="2"/>
      <c r="BK57" s="2"/>
    </row>
    <row r="58" spans="1:63" ht="16" outlineLevel="1" x14ac:dyDescent="0.2">
      <c r="A58" t="s">
        <v>1441</v>
      </c>
      <c r="B58" s="54" t="s">
        <v>462</v>
      </c>
      <c r="C58" s="110">
        <f>1-C57</f>
        <v>0.8</v>
      </c>
      <c r="D58" s="110">
        <f t="shared" ref="D58:AG58" si="32">1-D57</f>
        <v>0.8</v>
      </c>
      <c r="E58" s="110">
        <f t="shared" si="32"/>
        <v>0.8</v>
      </c>
      <c r="F58" s="110">
        <f t="shared" si="32"/>
        <v>0.8</v>
      </c>
      <c r="G58" s="110">
        <f t="shared" si="32"/>
        <v>0.8</v>
      </c>
      <c r="H58" s="110">
        <f t="shared" si="32"/>
        <v>0.8</v>
      </c>
      <c r="I58" s="110">
        <f t="shared" si="32"/>
        <v>0.8</v>
      </c>
      <c r="J58" s="110">
        <f t="shared" si="32"/>
        <v>0.8</v>
      </c>
      <c r="K58" s="110">
        <f t="shared" si="32"/>
        <v>0.8</v>
      </c>
      <c r="L58" s="110">
        <f t="shared" si="32"/>
        <v>0.8</v>
      </c>
      <c r="M58" s="110">
        <f t="shared" si="32"/>
        <v>0.8</v>
      </c>
      <c r="N58" s="110">
        <f t="shared" si="32"/>
        <v>0.8</v>
      </c>
      <c r="O58" s="110">
        <f t="shared" si="32"/>
        <v>0.8</v>
      </c>
      <c r="P58" s="110">
        <f t="shared" si="32"/>
        <v>0.8</v>
      </c>
      <c r="Q58" s="110">
        <f t="shared" si="32"/>
        <v>0.8</v>
      </c>
      <c r="R58" s="110">
        <f t="shared" si="32"/>
        <v>0.8</v>
      </c>
      <c r="S58" s="110">
        <f t="shared" si="32"/>
        <v>0.8</v>
      </c>
      <c r="T58" s="110">
        <f t="shared" si="32"/>
        <v>0.8</v>
      </c>
      <c r="U58" s="110">
        <f t="shared" si="32"/>
        <v>0.8</v>
      </c>
      <c r="V58" s="110">
        <f t="shared" si="32"/>
        <v>0.8</v>
      </c>
      <c r="W58" s="110">
        <f t="shared" si="32"/>
        <v>0.8</v>
      </c>
      <c r="X58" s="110">
        <f t="shared" si="32"/>
        <v>0.8</v>
      </c>
      <c r="Y58" s="110">
        <f t="shared" si="32"/>
        <v>0.8</v>
      </c>
      <c r="Z58" s="110">
        <f t="shared" si="32"/>
        <v>0.8</v>
      </c>
      <c r="AA58" s="110">
        <f t="shared" si="32"/>
        <v>0.8</v>
      </c>
      <c r="AB58" s="110">
        <f t="shared" si="32"/>
        <v>0.8</v>
      </c>
      <c r="AC58" s="110">
        <f t="shared" si="32"/>
        <v>0.8</v>
      </c>
      <c r="AD58" s="110">
        <f t="shared" si="32"/>
        <v>0.8</v>
      </c>
      <c r="AE58" s="110">
        <f t="shared" si="32"/>
        <v>0.8</v>
      </c>
      <c r="AF58" s="110">
        <f t="shared" si="32"/>
        <v>0.8</v>
      </c>
      <c r="AG58" s="110">
        <f t="shared" si="32"/>
        <v>0.8</v>
      </c>
      <c r="AI58" s="133" t="s">
        <v>1519</v>
      </c>
      <c r="AJ58" s="211"/>
      <c r="AL58" s="108"/>
      <c r="AM58" s="2"/>
      <c r="AN58" s="2"/>
      <c r="AO58" s="2"/>
      <c r="BC58" s="1"/>
      <c r="BD58" s="2"/>
      <c r="BE58" s="2"/>
      <c r="BF58" s="2"/>
      <c r="BG58" s="2"/>
      <c r="BH58" s="2"/>
      <c r="BI58" s="2"/>
      <c r="BJ58" s="2"/>
      <c r="BK58" s="2"/>
    </row>
    <row r="59" spans="1:63" outlineLevel="1" x14ac:dyDescent="0.2">
      <c r="A59" t="s">
        <v>1318</v>
      </c>
      <c r="B59" s="54" t="s">
        <v>462</v>
      </c>
      <c r="C59" s="110">
        <f>C57*C54</f>
        <v>1.9000000000000003E-2</v>
      </c>
      <c r="D59" s="110">
        <f t="shared" ref="D59:AG59" si="33">D57*D54</f>
        <v>1.966E-2</v>
      </c>
      <c r="E59" s="110">
        <f t="shared" si="33"/>
        <v>2.0320000000000001E-2</v>
      </c>
      <c r="F59" s="110">
        <f t="shared" si="33"/>
        <v>2.0979999999999999E-2</v>
      </c>
      <c r="G59" s="110">
        <f t="shared" si="33"/>
        <v>2.1640000000000003E-2</v>
      </c>
      <c r="H59" s="110">
        <f t="shared" si="33"/>
        <v>2.23E-2</v>
      </c>
      <c r="I59" s="110">
        <f t="shared" si="33"/>
        <v>2.2960000000000001E-2</v>
      </c>
      <c r="J59" s="110">
        <f t="shared" si="33"/>
        <v>2.3620000000000002E-2</v>
      </c>
      <c r="K59" s="110">
        <f t="shared" si="33"/>
        <v>2.4280000000000003E-2</v>
      </c>
      <c r="L59" s="110">
        <f t="shared" si="33"/>
        <v>2.4940000000000004E-2</v>
      </c>
      <c r="M59" s="110">
        <f t="shared" si="33"/>
        <v>2.5600000000000001E-2</v>
      </c>
      <c r="N59" s="110">
        <f t="shared" si="33"/>
        <v>2.7120000000000002E-2</v>
      </c>
      <c r="O59" s="110">
        <f t="shared" si="33"/>
        <v>2.8639999999999999E-2</v>
      </c>
      <c r="P59" s="110">
        <f t="shared" si="33"/>
        <v>3.0159999999999999E-2</v>
      </c>
      <c r="Q59" s="110">
        <f t="shared" si="33"/>
        <v>3.168E-2</v>
      </c>
      <c r="R59" s="110">
        <f t="shared" si="33"/>
        <v>3.32E-2</v>
      </c>
      <c r="S59" s="110">
        <f t="shared" si="33"/>
        <v>3.4719999999999994E-2</v>
      </c>
      <c r="T59" s="110">
        <f t="shared" si="33"/>
        <v>3.6240000000000001E-2</v>
      </c>
      <c r="U59" s="110">
        <f t="shared" si="33"/>
        <v>3.7760000000000002E-2</v>
      </c>
      <c r="V59" s="110">
        <f t="shared" si="33"/>
        <v>3.9280000000000002E-2</v>
      </c>
      <c r="W59" s="110">
        <f t="shared" si="33"/>
        <v>4.0800000000000003E-2</v>
      </c>
      <c r="X59" s="110">
        <f t="shared" si="33"/>
        <v>4.3222499999999997E-2</v>
      </c>
      <c r="Y59" s="110">
        <f t="shared" si="33"/>
        <v>4.5644999999999998E-2</v>
      </c>
      <c r="Z59" s="110">
        <f t="shared" si="33"/>
        <v>4.8067499999999999E-2</v>
      </c>
      <c r="AA59" s="110">
        <f t="shared" si="33"/>
        <v>5.0489999999999993E-2</v>
      </c>
      <c r="AB59" s="110">
        <f t="shared" si="33"/>
        <v>5.2912500000000001E-2</v>
      </c>
      <c r="AC59" s="110">
        <f t="shared" si="33"/>
        <v>5.5334999999999995E-2</v>
      </c>
      <c r="AD59" s="110">
        <f t="shared" si="33"/>
        <v>5.7757499999999996E-2</v>
      </c>
      <c r="AE59" s="110">
        <f t="shared" si="33"/>
        <v>6.017999999999999E-2</v>
      </c>
      <c r="AF59" s="110">
        <f t="shared" si="33"/>
        <v>6.2602499999999991E-2</v>
      </c>
      <c r="AG59" s="110">
        <f t="shared" si="33"/>
        <v>6.5024999999999986E-2</v>
      </c>
      <c r="AI59" s="112"/>
      <c r="AJ59" s="211"/>
      <c r="AL59" s="108"/>
      <c r="AM59" s="2"/>
      <c r="AN59" s="2"/>
      <c r="AO59" s="2"/>
      <c r="BC59" s="1"/>
      <c r="BD59" s="2"/>
      <c r="BE59" s="2"/>
      <c r="BF59" s="2"/>
      <c r="BG59" s="2"/>
      <c r="BH59" s="2"/>
      <c r="BI59" s="2"/>
      <c r="BJ59" s="2"/>
      <c r="BK59" s="2"/>
    </row>
    <row r="60" spans="1:63" outlineLevel="1" x14ac:dyDescent="0.2">
      <c r="A60" t="s">
        <v>1319</v>
      </c>
      <c r="B60" s="54" t="s">
        <v>462</v>
      </c>
      <c r="C60" s="110">
        <f>C58*C54</f>
        <v>7.6000000000000012E-2</v>
      </c>
      <c r="D60" s="110">
        <f t="shared" ref="D60:AG60" si="34">D58*D54</f>
        <v>7.8640000000000002E-2</v>
      </c>
      <c r="E60" s="110">
        <f t="shared" si="34"/>
        <v>8.1280000000000005E-2</v>
      </c>
      <c r="F60" s="110">
        <f t="shared" si="34"/>
        <v>8.3919999999999995E-2</v>
      </c>
      <c r="G60" s="110">
        <f t="shared" si="34"/>
        <v>8.6560000000000012E-2</v>
      </c>
      <c r="H60" s="110">
        <f t="shared" si="34"/>
        <v>8.9200000000000002E-2</v>
      </c>
      <c r="I60" s="110">
        <f t="shared" si="34"/>
        <v>9.1840000000000005E-2</v>
      </c>
      <c r="J60" s="110">
        <f t="shared" si="34"/>
        <v>9.4480000000000008E-2</v>
      </c>
      <c r="K60" s="110">
        <f t="shared" si="34"/>
        <v>9.7120000000000012E-2</v>
      </c>
      <c r="L60" s="110">
        <f t="shared" si="34"/>
        <v>9.9760000000000015E-2</v>
      </c>
      <c r="M60" s="110">
        <f t="shared" si="34"/>
        <v>0.1024</v>
      </c>
      <c r="N60" s="110">
        <f t="shared" si="34"/>
        <v>0.10848000000000001</v>
      </c>
      <c r="O60" s="110">
        <f t="shared" si="34"/>
        <v>0.11456</v>
      </c>
      <c r="P60" s="110">
        <f t="shared" si="34"/>
        <v>0.12064</v>
      </c>
      <c r="Q60" s="110">
        <f t="shared" si="34"/>
        <v>0.12672</v>
      </c>
      <c r="R60" s="110">
        <f t="shared" si="34"/>
        <v>0.1328</v>
      </c>
      <c r="S60" s="110">
        <f t="shared" si="34"/>
        <v>0.13887999999999998</v>
      </c>
      <c r="T60" s="110">
        <f t="shared" si="34"/>
        <v>0.14496000000000001</v>
      </c>
      <c r="U60" s="110">
        <f t="shared" si="34"/>
        <v>0.15104000000000001</v>
      </c>
      <c r="V60" s="110">
        <f t="shared" si="34"/>
        <v>0.15712000000000001</v>
      </c>
      <c r="W60" s="110">
        <f t="shared" si="34"/>
        <v>0.16320000000000001</v>
      </c>
      <c r="X60" s="110">
        <f t="shared" si="34"/>
        <v>0.17288999999999999</v>
      </c>
      <c r="Y60" s="110">
        <f t="shared" si="34"/>
        <v>0.18257999999999999</v>
      </c>
      <c r="Z60" s="110">
        <f t="shared" si="34"/>
        <v>0.19227</v>
      </c>
      <c r="AA60" s="110">
        <f t="shared" si="34"/>
        <v>0.20195999999999997</v>
      </c>
      <c r="AB60" s="110">
        <f t="shared" si="34"/>
        <v>0.21165</v>
      </c>
      <c r="AC60" s="110">
        <f t="shared" si="34"/>
        <v>0.22133999999999998</v>
      </c>
      <c r="AD60" s="110">
        <f t="shared" si="34"/>
        <v>0.23102999999999999</v>
      </c>
      <c r="AE60" s="110">
        <f t="shared" si="34"/>
        <v>0.24071999999999996</v>
      </c>
      <c r="AF60" s="110">
        <f t="shared" si="34"/>
        <v>0.25040999999999997</v>
      </c>
      <c r="AG60" s="110">
        <f t="shared" si="34"/>
        <v>0.26009999999999994</v>
      </c>
      <c r="AI60" s="133"/>
      <c r="AJ60" s="211"/>
      <c r="AL60" s="108"/>
      <c r="AM60" s="2"/>
      <c r="AN60" s="2"/>
      <c r="AO60" s="2"/>
      <c r="BC60" s="1"/>
      <c r="BD60" s="2"/>
      <c r="BE60" s="2"/>
      <c r="BF60" s="2"/>
      <c r="BG60" s="2"/>
      <c r="BH60" s="2"/>
      <c r="BI60" s="2"/>
      <c r="BJ60" s="2"/>
      <c r="BK60" s="2"/>
    </row>
    <row r="61" spans="1:63" outlineLevel="1" x14ac:dyDescent="0.2">
      <c r="C61" s="110"/>
      <c r="D61" s="110"/>
      <c r="E61" s="110"/>
      <c r="F61" s="110"/>
      <c r="G61" s="110"/>
      <c r="H61" s="110"/>
      <c r="I61" s="110"/>
      <c r="J61" s="110"/>
      <c r="K61" s="110"/>
      <c r="L61" s="110"/>
      <c r="M61" s="110"/>
      <c r="N61" s="110"/>
      <c r="O61" s="110"/>
      <c r="P61" s="110"/>
      <c r="Q61" s="110"/>
      <c r="R61" s="110"/>
      <c r="S61" s="110"/>
      <c r="T61" s="110"/>
      <c r="U61" s="110"/>
      <c r="V61" s="110"/>
      <c r="W61" s="110"/>
      <c r="X61" s="110"/>
      <c r="Y61" s="110"/>
      <c r="Z61" s="110"/>
      <c r="AA61" s="110"/>
      <c r="AB61" s="110"/>
      <c r="AC61" s="110"/>
      <c r="AD61" s="110"/>
      <c r="AE61" s="110"/>
      <c r="AF61" s="110"/>
      <c r="AG61" s="110"/>
      <c r="AI61" s="133"/>
      <c r="AJ61" s="211"/>
      <c r="AL61" s="108"/>
      <c r="AM61" s="2"/>
      <c r="AN61" s="2"/>
      <c r="AO61" s="2"/>
      <c r="BC61" s="1"/>
      <c r="BD61" s="2"/>
      <c r="BE61" s="2"/>
      <c r="BF61" s="2"/>
      <c r="BG61" s="2"/>
      <c r="BH61" s="2"/>
      <c r="BI61" s="2"/>
      <c r="BJ61" s="2"/>
      <c r="BK61" s="2"/>
    </row>
    <row r="62" spans="1:63" outlineLevel="1" x14ac:dyDescent="0.2">
      <c r="A62" t="s">
        <v>1520</v>
      </c>
      <c r="C62" s="230">
        <f>'Overall recycling rates'!D84</f>
        <v>0.45087716873167477</v>
      </c>
      <c r="D62" s="230">
        <f t="shared" ref="D62:AF62" si="35">C62-($C$62-$AG$62)/($AG$1-$C$1)</f>
        <v>0.46251459644061893</v>
      </c>
      <c r="E62" s="230">
        <f t="shared" si="35"/>
        <v>0.47415202414956309</v>
      </c>
      <c r="F62" s="230">
        <f t="shared" si="35"/>
        <v>0.48578945185850725</v>
      </c>
      <c r="G62" s="230">
        <f t="shared" si="35"/>
        <v>0.49742687956745141</v>
      </c>
      <c r="H62" s="230">
        <f t="shared" si="35"/>
        <v>0.50906430727639562</v>
      </c>
      <c r="I62" s="230">
        <f t="shared" si="35"/>
        <v>0.52070173498533978</v>
      </c>
      <c r="J62" s="230">
        <f t="shared" si="35"/>
        <v>0.53233916269428394</v>
      </c>
      <c r="K62" s="230">
        <f t="shared" si="35"/>
        <v>0.5439765904032281</v>
      </c>
      <c r="L62" s="230">
        <f t="shared" si="35"/>
        <v>0.55561401811217226</v>
      </c>
      <c r="M62" s="230">
        <f t="shared" si="35"/>
        <v>0.56725144582111642</v>
      </c>
      <c r="N62" s="230">
        <f t="shared" si="35"/>
        <v>0.57888887353006058</v>
      </c>
      <c r="O62" s="230">
        <f t="shared" si="35"/>
        <v>0.59052630123900474</v>
      </c>
      <c r="P62" s="230">
        <f t="shared" si="35"/>
        <v>0.6021637289479489</v>
      </c>
      <c r="Q62" s="230">
        <f t="shared" si="35"/>
        <v>0.61380115665689305</v>
      </c>
      <c r="R62" s="230">
        <f t="shared" si="35"/>
        <v>0.62543858436583721</v>
      </c>
      <c r="S62" s="230">
        <f t="shared" si="35"/>
        <v>0.63707601207478137</v>
      </c>
      <c r="T62" s="230">
        <f t="shared" si="35"/>
        <v>0.64871343978372553</v>
      </c>
      <c r="U62" s="230">
        <f t="shared" si="35"/>
        <v>0.66035086749266969</v>
      </c>
      <c r="V62" s="230">
        <f t="shared" si="35"/>
        <v>0.67198829520161385</v>
      </c>
      <c r="W62" s="230">
        <f t="shared" si="35"/>
        <v>0.68362572291055801</v>
      </c>
      <c r="X62" s="230">
        <f t="shared" si="35"/>
        <v>0.69526315061950217</v>
      </c>
      <c r="Y62" s="230">
        <f t="shared" si="35"/>
        <v>0.70690057832844633</v>
      </c>
      <c r="Z62" s="230">
        <f t="shared" si="35"/>
        <v>0.71853800603739049</v>
      </c>
      <c r="AA62" s="230">
        <f t="shared" si="35"/>
        <v>0.73017543374633465</v>
      </c>
      <c r="AB62" s="230">
        <f t="shared" si="35"/>
        <v>0.7418128614552788</v>
      </c>
      <c r="AC62" s="230">
        <f t="shared" si="35"/>
        <v>0.75345028916422296</v>
      </c>
      <c r="AD62" s="230">
        <f t="shared" si="35"/>
        <v>0.76508771687316712</v>
      </c>
      <c r="AE62" s="230">
        <f t="shared" si="35"/>
        <v>0.77672514458211128</v>
      </c>
      <c r="AF62" s="230">
        <f t="shared" si="35"/>
        <v>0.78836257229105544</v>
      </c>
      <c r="AG62" s="230">
        <f>'Overall recycling rates'!D93</f>
        <v>0.8</v>
      </c>
      <c r="AI62" s="133"/>
      <c r="AJ62" s="211"/>
      <c r="AL62" s="108"/>
      <c r="AM62" s="2"/>
      <c r="AN62" s="2"/>
      <c r="AO62" s="2"/>
      <c r="BC62" s="1"/>
      <c r="BD62" s="2"/>
      <c r="BE62" s="2"/>
      <c r="BF62" s="2"/>
      <c r="BG62" s="2"/>
      <c r="BH62" s="2"/>
      <c r="BI62" s="2"/>
      <c r="BJ62" s="2"/>
      <c r="BK62" s="2"/>
    </row>
    <row r="63" spans="1:63" outlineLevel="1" x14ac:dyDescent="0.2">
      <c r="A63" t="s">
        <v>1492</v>
      </c>
      <c r="B63" s="54" t="s">
        <v>462</v>
      </c>
      <c r="C63" s="110">
        <f t="shared" ref="C63:AG63" si="36">C53*C$62</f>
        <v>2.1191226930388714E-2</v>
      </c>
      <c r="D63" s="110">
        <f t="shared" si="36"/>
        <v>2.321823274131907E-2</v>
      </c>
      <c r="E63" s="110">
        <f t="shared" si="36"/>
        <v>2.5319718089586669E-2</v>
      </c>
      <c r="F63" s="110">
        <f t="shared" si="36"/>
        <v>2.7495682975191508E-2</v>
      </c>
      <c r="G63" s="110">
        <f t="shared" si="36"/>
        <v>2.9746127398133593E-2</v>
      </c>
      <c r="H63" s="110">
        <f t="shared" si="36"/>
        <v>3.2071051358412928E-2</v>
      </c>
      <c r="I63" s="110">
        <f t="shared" si="36"/>
        <v>3.4470454856029495E-2</v>
      </c>
      <c r="J63" s="110">
        <f t="shared" si="36"/>
        <v>3.6944337890983309E-2</v>
      </c>
      <c r="K63" s="110">
        <f t="shared" si="36"/>
        <v>3.9492700463274362E-2</v>
      </c>
      <c r="L63" s="110">
        <f t="shared" si="36"/>
        <v>4.2115542572902662E-2</v>
      </c>
      <c r="M63" s="110">
        <f t="shared" si="36"/>
        <v>4.4812864219868201E-2</v>
      </c>
      <c r="N63" s="110">
        <f t="shared" si="36"/>
        <v>4.9263443137408158E-2</v>
      </c>
      <c r="O63" s="110">
        <f t="shared" si="36"/>
        <v>5.3855998672997236E-2</v>
      </c>
      <c r="P63" s="110">
        <f t="shared" si="36"/>
        <v>5.8590530826635429E-2</v>
      </c>
      <c r="Q63" s="110">
        <f t="shared" si="36"/>
        <v>6.3467039598322741E-2</v>
      </c>
      <c r="R63" s="110">
        <f t="shared" si="36"/>
        <v>6.8485524988059182E-2</v>
      </c>
      <c r="S63" s="110">
        <f t="shared" si="36"/>
        <v>7.3645986995844737E-2</v>
      </c>
      <c r="T63" s="110">
        <f t="shared" si="36"/>
        <v>7.8948425621679405E-2</v>
      </c>
      <c r="U63" s="110">
        <f t="shared" si="36"/>
        <v>8.4392840865563201E-2</v>
      </c>
      <c r="V63" s="110">
        <f t="shared" si="36"/>
        <v>8.9979232727496111E-2</v>
      </c>
      <c r="W63" s="110">
        <f t="shared" si="36"/>
        <v>9.5707601207478135E-2</v>
      </c>
      <c r="X63" s="110">
        <f t="shared" si="36"/>
        <v>0.10485272375292087</v>
      </c>
      <c r="Y63" s="110">
        <f t="shared" si="36"/>
        <v>0.11424945043161523</v>
      </c>
      <c r="Z63" s="110">
        <f t="shared" si="36"/>
        <v>0.12389778124356118</v>
      </c>
      <c r="AA63" s="110">
        <f t="shared" si="36"/>
        <v>0.13379771618875877</v>
      </c>
      <c r="AB63" s="110">
        <f t="shared" si="36"/>
        <v>0.14394925526720792</v>
      </c>
      <c r="AC63" s="110">
        <f t="shared" si="36"/>
        <v>0.15435239847890869</v>
      </c>
      <c r="AD63" s="110">
        <f t="shared" si="36"/>
        <v>0.16500714582386108</v>
      </c>
      <c r="AE63" s="110">
        <f t="shared" si="36"/>
        <v>0.17591349730206504</v>
      </c>
      <c r="AF63" s="110">
        <f t="shared" si="36"/>
        <v>0.18707145291352062</v>
      </c>
      <c r="AG63" s="110">
        <f t="shared" si="36"/>
        <v>0.1984810126582279</v>
      </c>
      <c r="AI63" s="133"/>
      <c r="AJ63" s="211"/>
      <c r="AL63" s="108"/>
      <c r="AM63" s="2"/>
      <c r="AN63" s="2"/>
      <c r="AO63" s="2"/>
      <c r="AV63" s="41"/>
    </row>
    <row r="64" spans="1:63" outlineLevel="1" x14ac:dyDescent="0.2">
      <c r="A64" t="s">
        <v>1493</v>
      </c>
      <c r="B64" s="54" t="s">
        <v>462</v>
      </c>
      <c r="C64" s="110">
        <f t="shared" ref="C64:AG64" si="37">C54*C$62</f>
        <v>4.2833331029509106E-2</v>
      </c>
      <c r="D64" s="110">
        <f t="shared" si="37"/>
        <v>4.5465184830112838E-2</v>
      </c>
      <c r="E64" s="110">
        <f t="shared" si="37"/>
        <v>4.8173845653595608E-2</v>
      </c>
      <c r="F64" s="110">
        <f t="shared" si="37"/>
        <v>5.0959313499957408E-2</v>
      </c>
      <c r="G64" s="110">
        <f t="shared" si="37"/>
        <v>5.3821588369198245E-2</v>
      </c>
      <c r="H64" s="110">
        <f t="shared" si="37"/>
        <v>5.6760670261318112E-2</v>
      </c>
      <c r="I64" s="110">
        <f t="shared" si="37"/>
        <v>5.977655917631701E-2</v>
      </c>
      <c r="J64" s="110">
        <f t="shared" si="37"/>
        <v>6.286925511419493E-2</v>
      </c>
      <c r="K64" s="110">
        <f t="shared" si="37"/>
        <v>6.6038758074951895E-2</v>
      </c>
      <c r="L64" s="110">
        <f t="shared" si="37"/>
        <v>6.928506805858789E-2</v>
      </c>
      <c r="M64" s="110">
        <f t="shared" si="37"/>
        <v>7.2608185065102901E-2</v>
      </c>
      <c r="N64" s="110">
        <f t="shared" si="37"/>
        <v>7.8497331250676219E-2</v>
      </c>
      <c r="O64" s="110">
        <f t="shared" si="37"/>
        <v>8.4563366337425477E-2</v>
      </c>
      <c r="P64" s="110">
        <f t="shared" si="37"/>
        <v>9.0806290325350689E-2</v>
      </c>
      <c r="Q64" s="110">
        <f t="shared" si="37"/>
        <v>9.7226103214451853E-2</v>
      </c>
      <c r="R64" s="110">
        <f t="shared" si="37"/>
        <v>0.10382280500472897</v>
      </c>
      <c r="S64" s="110">
        <f t="shared" si="37"/>
        <v>0.11059639569618203</v>
      </c>
      <c r="T64" s="110">
        <f t="shared" si="37"/>
        <v>0.11754687528881107</v>
      </c>
      <c r="U64" s="110">
        <f t="shared" si="37"/>
        <v>0.12467424378261603</v>
      </c>
      <c r="V64" s="110">
        <f t="shared" si="37"/>
        <v>0.13197850117759696</v>
      </c>
      <c r="W64" s="110">
        <f t="shared" si="37"/>
        <v>0.13945964747375383</v>
      </c>
      <c r="X64" s="110">
        <f t="shared" si="37"/>
        <v>0.15025505763825714</v>
      </c>
      <c r="Y64" s="110">
        <f t="shared" si="37"/>
        <v>0.16133238448900966</v>
      </c>
      <c r="Z64" s="110">
        <f t="shared" si="37"/>
        <v>0.17269162802601132</v>
      </c>
      <c r="AA64" s="110">
        <f t="shared" si="37"/>
        <v>0.18433278824926214</v>
      </c>
      <c r="AB64" s="110">
        <f t="shared" si="37"/>
        <v>0.19625586515876217</v>
      </c>
      <c r="AC64" s="110">
        <f t="shared" si="37"/>
        <v>0.20846085875451134</v>
      </c>
      <c r="AD64" s="110">
        <f t="shared" si="37"/>
        <v>0.22094776903650973</v>
      </c>
      <c r="AE64" s="110">
        <f t="shared" si="37"/>
        <v>0.23371659600475725</v>
      </c>
      <c r="AF64" s="110">
        <f t="shared" si="37"/>
        <v>0.24676733965925393</v>
      </c>
      <c r="AG64" s="110">
        <f t="shared" si="37"/>
        <v>0.26009999999999994</v>
      </c>
      <c r="AI64" s="133"/>
      <c r="AJ64" s="211"/>
      <c r="AL64" s="108"/>
      <c r="AM64" s="2"/>
      <c r="AN64" s="2"/>
      <c r="AO64" s="2"/>
      <c r="AV64" s="41"/>
    </row>
    <row r="65" spans="1:63" outlineLevel="1" x14ac:dyDescent="0.2">
      <c r="A65" t="s">
        <v>1494</v>
      </c>
      <c r="B65" s="176" t="s">
        <v>462</v>
      </c>
      <c r="C65" s="110">
        <f>SUM(C63:C64)</f>
        <v>6.4024557959897824E-2</v>
      </c>
      <c r="D65" s="110">
        <f t="shared" ref="D65:AG65" si="38">SUM(D63:D64)</f>
        <v>6.8683417571431912E-2</v>
      </c>
      <c r="E65" s="110">
        <f t="shared" si="38"/>
        <v>7.3493563743182277E-2</v>
      </c>
      <c r="F65" s="110">
        <f t="shared" si="38"/>
        <v>7.8454996475148919E-2</v>
      </c>
      <c r="G65" s="110">
        <f t="shared" si="38"/>
        <v>8.3567715767331838E-2</v>
      </c>
      <c r="H65" s="110">
        <f t="shared" si="38"/>
        <v>8.8831721619731047E-2</v>
      </c>
      <c r="I65" s="110">
        <f t="shared" si="38"/>
        <v>9.4247014032346504E-2</v>
      </c>
      <c r="J65" s="110">
        <f t="shared" si="38"/>
        <v>9.9813593005178239E-2</v>
      </c>
      <c r="K65" s="110">
        <f t="shared" si="38"/>
        <v>0.10553145853822626</v>
      </c>
      <c r="L65" s="110">
        <f t="shared" si="38"/>
        <v>0.11140061063149055</v>
      </c>
      <c r="M65" s="110">
        <f t="shared" si="38"/>
        <v>0.1174210492849711</v>
      </c>
      <c r="N65" s="110">
        <f t="shared" si="38"/>
        <v>0.12776077438808436</v>
      </c>
      <c r="O65" s="110">
        <f t="shared" si="38"/>
        <v>0.13841936501042271</v>
      </c>
      <c r="P65" s="110">
        <f t="shared" si="38"/>
        <v>0.1493968211519861</v>
      </c>
      <c r="Q65" s="110">
        <f t="shared" si="38"/>
        <v>0.16069314281277458</v>
      </c>
      <c r="R65" s="110">
        <f t="shared" si="38"/>
        <v>0.17230832999278817</v>
      </c>
      <c r="S65" s="110">
        <f t="shared" si="38"/>
        <v>0.18424238269202675</v>
      </c>
      <c r="T65" s="110">
        <f t="shared" si="38"/>
        <v>0.19649530091049047</v>
      </c>
      <c r="U65" s="110">
        <f t="shared" si="38"/>
        <v>0.20906708464817925</v>
      </c>
      <c r="V65" s="110">
        <f t="shared" si="38"/>
        <v>0.22195773390509307</v>
      </c>
      <c r="W65" s="110">
        <f t="shared" si="38"/>
        <v>0.23516724868123196</v>
      </c>
      <c r="X65" s="110">
        <f t="shared" si="38"/>
        <v>0.25510778139117801</v>
      </c>
      <c r="Y65" s="110">
        <f t="shared" si="38"/>
        <v>0.27558183492062488</v>
      </c>
      <c r="Z65" s="110">
        <f t="shared" si="38"/>
        <v>0.2965894092695725</v>
      </c>
      <c r="AA65" s="110">
        <f t="shared" si="38"/>
        <v>0.31813050443802093</v>
      </c>
      <c r="AB65" s="110">
        <f t="shared" si="38"/>
        <v>0.34020512042597006</v>
      </c>
      <c r="AC65" s="110">
        <f t="shared" si="38"/>
        <v>0.36281325723342006</v>
      </c>
      <c r="AD65" s="110">
        <f t="shared" si="38"/>
        <v>0.38595491486037081</v>
      </c>
      <c r="AE65" s="110">
        <f t="shared" si="38"/>
        <v>0.40963009330682232</v>
      </c>
      <c r="AF65" s="110">
        <f t="shared" si="38"/>
        <v>0.43383879257277458</v>
      </c>
      <c r="AG65" s="110">
        <f t="shared" si="38"/>
        <v>0.45858101265822782</v>
      </c>
      <c r="AI65" s="133"/>
      <c r="AJ65" s="211"/>
      <c r="AL65" s="108"/>
      <c r="AM65" s="2"/>
      <c r="AN65" s="2"/>
      <c r="AO65" s="2"/>
    </row>
    <row r="66" spans="1:63" outlineLevel="1" x14ac:dyDescent="0.2">
      <c r="A66" t="s">
        <v>1495</v>
      </c>
      <c r="B66" s="54" t="s">
        <v>462</v>
      </c>
      <c r="C66" s="110">
        <f>C62*C59</f>
        <v>8.5666662059018222E-3</v>
      </c>
      <c r="D66" s="110">
        <f t="shared" ref="D66:AG66" si="39">D62*D59</f>
        <v>9.093036966022568E-3</v>
      </c>
      <c r="E66" s="110">
        <f t="shared" si="39"/>
        <v>9.6347691307191227E-3</v>
      </c>
      <c r="F66" s="110">
        <f t="shared" si="39"/>
        <v>1.0191862699991481E-2</v>
      </c>
      <c r="G66" s="110">
        <f t="shared" si="39"/>
        <v>1.076431767383965E-2</v>
      </c>
      <c r="H66" s="110">
        <f t="shared" si="39"/>
        <v>1.1352134052263622E-2</v>
      </c>
      <c r="I66" s="110">
        <f t="shared" si="39"/>
        <v>1.1955311835263402E-2</v>
      </c>
      <c r="J66" s="110">
        <f t="shared" si="39"/>
        <v>1.2573851022838988E-2</v>
      </c>
      <c r="K66" s="110">
        <f t="shared" si="39"/>
        <v>1.320775161499038E-2</v>
      </c>
      <c r="L66" s="110">
        <f t="shared" si="39"/>
        <v>1.3857013611717579E-2</v>
      </c>
      <c r="M66" s="110">
        <f t="shared" si="39"/>
        <v>1.4521637013020582E-2</v>
      </c>
      <c r="N66" s="110">
        <f t="shared" si="39"/>
        <v>1.5699466250135245E-2</v>
      </c>
      <c r="O66" s="110">
        <f t="shared" si="39"/>
        <v>1.6912673267485096E-2</v>
      </c>
      <c r="P66" s="110">
        <f t="shared" si="39"/>
        <v>1.816125806507014E-2</v>
      </c>
      <c r="Q66" s="110">
        <f t="shared" si="39"/>
        <v>1.9445220642890372E-2</v>
      </c>
      <c r="R66" s="110">
        <f t="shared" si="39"/>
        <v>2.0764561000945796E-2</v>
      </c>
      <c r="S66" s="110">
        <f t="shared" si="39"/>
        <v>2.2119279139236406E-2</v>
      </c>
      <c r="T66" s="110">
        <f t="shared" si="39"/>
        <v>2.3509375057762214E-2</v>
      </c>
      <c r="U66" s="110">
        <f t="shared" si="39"/>
        <v>2.4934848756523208E-2</v>
      </c>
      <c r="V66" s="110">
        <f t="shared" si="39"/>
        <v>2.6395700235519393E-2</v>
      </c>
      <c r="W66" s="110">
        <f t="shared" si="39"/>
        <v>2.7891929494750767E-2</v>
      </c>
      <c r="X66" s="110">
        <f t="shared" si="39"/>
        <v>3.0051011527651432E-2</v>
      </c>
      <c r="Y66" s="110">
        <f t="shared" si="39"/>
        <v>3.2266476897801932E-2</v>
      </c>
      <c r="Z66" s="110">
        <f t="shared" si="39"/>
        <v>3.4538325605202265E-2</v>
      </c>
      <c r="AA66" s="110">
        <f t="shared" si="39"/>
        <v>3.686655764985243E-2</v>
      </c>
      <c r="AB66" s="110">
        <f t="shared" si="39"/>
        <v>3.9251173031752441E-2</v>
      </c>
      <c r="AC66" s="110">
        <f t="shared" si="39"/>
        <v>4.1692171750902271E-2</v>
      </c>
      <c r="AD66" s="110">
        <f t="shared" si="39"/>
        <v>4.4189553807301947E-2</v>
      </c>
      <c r="AE66" s="110">
        <f t="shared" si="39"/>
        <v>4.6743319200951448E-2</v>
      </c>
      <c r="AF66" s="110">
        <f t="shared" si="39"/>
        <v>4.9353467931850789E-2</v>
      </c>
      <c r="AG66" s="110">
        <f t="shared" si="39"/>
        <v>5.201999999999999E-2</v>
      </c>
      <c r="AI66" s="133"/>
      <c r="AJ66" s="211"/>
      <c r="AL66" s="108"/>
      <c r="AM66" s="2"/>
      <c r="AN66" s="2"/>
      <c r="AO66" s="2"/>
      <c r="BC66" s="1"/>
      <c r="BD66" s="2"/>
      <c r="BE66" s="2"/>
      <c r="BF66" s="2"/>
      <c r="BG66" s="2"/>
      <c r="BH66" s="2"/>
      <c r="BI66" s="2"/>
      <c r="BJ66" s="2"/>
      <c r="BK66" s="2"/>
    </row>
    <row r="67" spans="1:63" outlineLevel="1" x14ac:dyDescent="0.2">
      <c r="A67" t="s">
        <v>1496</v>
      </c>
      <c r="B67" s="54" t="s">
        <v>462</v>
      </c>
      <c r="C67" s="110">
        <f>C62*C60</f>
        <v>3.4266664823607289E-2</v>
      </c>
      <c r="D67" s="110">
        <f t="shared" ref="D67:AG67" si="40">D62*D60</f>
        <v>3.6372147864090272E-2</v>
      </c>
      <c r="E67" s="110">
        <f t="shared" si="40"/>
        <v>3.8539076522876491E-2</v>
      </c>
      <c r="F67" s="110">
        <f t="shared" si="40"/>
        <v>4.0767450799965924E-2</v>
      </c>
      <c r="G67" s="110">
        <f t="shared" si="40"/>
        <v>4.3057270695358599E-2</v>
      </c>
      <c r="H67" s="110">
        <f t="shared" si="40"/>
        <v>4.5408536209054488E-2</v>
      </c>
      <c r="I67" s="110">
        <f t="shared" si="40"/>
        <v>4.7821247341053606E-2</v>
      </c>
      <c r="J67" s="110">
        <f t="shared" si="40"/>
        <v>5.0295404091355952E-2</v>
      </c>
      <c r="K67" s="110">
        <f t="shared" si="40"/>
        <v>5.283100645996152E-2</v>
      </c>
      <c r="L67" s="110">
        <f t="shared" si="40"/>
        <v>5.5428054446870316E-2</v>
      </c>
      <c r="M67" s="110">
        <f t="shared" si="40"/>
        <v>5.8086548052082326E-2</v>
      </c>
      <c r="N67" s="110">
        <f t="shared" si="40"/>
        <v>6.2797865000540978E-2</v>
      </c>
      <c r="O67" s="110">
        <f t="shared" si="40"/>
        <v>6.7650693069940385E-2</v>
      </c>
      <c r="P67" s="110">
        <f t="shared" si="40"/>
        <v>7.2645032260280559E-2</v>
      </c>
      <c r="Q67" s="110">
        <f t="shared" si="40"/>
        <v>7.7780882571561488E-2</v>
      </c>
      <c r="R67" s="110">
        <f t="shared" si="40"/>
        <v>8.3058244003783185E-2</v>
      </c>
      <c r="S67" s="110">
        <f t="shared" si="40"/>
        <v>8.8477116556945623E-2</v>
      </c>
      <c r="T67" s="110">
        <f t="shared" si="40"/>
        <v>9.4037500231048857E-2</v>
      </c>
      <c r="U67" s="110">
        <f t="shared" si="40"/>
        <v>9.9739395026092831E-2</v>
      </c>
      <c r="V67" s="110">
        <f t="shared" si="40"/>
        <v>0.10558280094207757</v>
      </c>
      <c r="W67" s="110">
        <f t="shared" si="40"/>
        <v>0.11156771797900307</v>
      </c>
      <c r="X67" s="110">
        <f t="shared" si="40"/>
        <v>0.12020404611060573</v>
      </c>
      <c r="Y67" s="110">
        <f t="shared" si="40"/>
        <v>0.12906590759120773</v>
      </c>
      <c r="Z67" s="110">
        <f t="shared" si="40"/>
        <v>0.13815330242080906</v>
      </c>
      <c r="AA67" s="110">
        <f t="shared" si="40"/>
        <v>0.14746623059940972</v>
      </c>
      <c r="AB67" s="110">
        <f t="shared" si="40"/>
        <v>0.15700469212700977</v>
      </c>
      <c r="AC67" s="110">
        <f t="shared" si="40"/>
        <v>0.16676868700360908</v>
      </c>
      <c r="AD67" s="110">
        <f t="shared" si="40"/>
        <v>0.17675821522920779</v>
      </c>
      <c r="AE67" s="110">
        <f t="shared" si="40"/>
        <v>0.18697327680380579</v>
      </c>
      <c r="AF67" s="110">
        <f t="shared" si="40"/>
        <v>0.19741387172740316</v>
      </c>
      <c r="AG67" s="110">
        <f t="shared" si="40"/>
        <v>0.20807999999999996</v>
      </c>
      <c r="AI67" s="133"/>
      <c r="AJ67" s="211"/>
      <c r="AL67" s="108"/>
      <c r="AM67" s="2"/>
      <c r="AN67" s="2"/>
      <c r="AO67" s="2"/>
      <c r="BC67" s="1"/>
      <c r="BD67" s="2"/>
      <c r="BE67" s="2"/>
      <c r="BF67" s="2"/>
      <c r="BG67" s="2"/>
      <c r="BH67" s="2"/>
      <c r="BI67" s="2"/>
      <c r="BJ67" s="2"/>
      <c r="BK67" s="2"/>
    </row>
    <row r="68" spans="1:63" outlineLevel="1" x14ac:dyDescent="0.2">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c r="AD68" s="23"/>
      <c r="AE68" s="23"/>
      <c r="AF68" s="23"/>
      <c r="AG68" s="23"/>
      <c r="AI68" s="134"/>
      <c r="AJ68" s="211"/>
      <c r="AL68" s="108"/>
      <c r="AM68" s="132"/>
      <c r="AN68" s="2"/>
      <c r="AO68" s="2"/>
    </row>
    <row r="69" spans="1:63" s="200" customFormat="1" ht="16" thickBot="1" x14ac:dyDescent="0.25">
      <c r="A69" s="200" t="s">
        <v>1330</v>
      </c>
      <c r="B69" s="215"/>
      <c r="C69" s="222">
        <f>C70</f>
        <v>2.5000000000000001E-2</v>
      </c>
      <c r="D69" s="222">
        <f t="shared" ref="D69:AG69" si="41">D70</f>
        <v>3.1255416735465176E-2</v>
      </c>
      <c r="E69" s="222">
        <f t="shared" si="41"/>
        <v>3.7510833470930344E-2</v>
      </c>
      <c r="F69" s="222">
        <f t="shared" si="41"/>
        <v>4.3766250206395518E-2</v>
      </c>
      <c r="G69" s="222">
        <f t="shared" si="41"/>
        <v>5.0021666941860693E-2</v>
      </c>
      <c r="H69" s="222">
        <f t="shared" si="41"/>
        <v>5.6277083677325861E-2</v>
      </c>
      <c r="I69" s="222">
        <f t="shared" si="41"/>
        <v>6.2532500412791042E-2</v>
      </c>
      <c r="J69" s="222">
        <f t="shared" si="41"/>
        <v>6.8787917148256203E-2</v>
      </c>
      <c r="K69" s="222">
        <f t="shared" si="41"/>
        <v>7.5043333883721378E-2</v>
      </c>
      <c r="L69" s="222">
        <f t="shared" si="41"/>
        <v>8.1298750619186552E-2</v>
      </c>
      <c r="M69" s="222">
        <f t="shared" si="41"/>
        <v>8.7554167354651713E-2</v>
      </c>
      <c r="N69" s="222">
        <f t="shared" si="41"/>
        <v>0.10073866108940137</v>
      </c>
      <c r="O69" s="222">
        <f t="shared" si="41"/>
        <v>0.11392315482415102</v>
      </c>
      <c r="P69" s="222">
        <f t="shared" si="41"/>
        <v>0.12710764855890069</v>
      </c>
      <c r="Q69" s="222">
        <f t="shared" si="41"/>
        <v>0.14029214229365033</v>
      </c>
      <c r="R69" s="222">
        <f t="shared" si="41"/>
        <v>0.1534766360284</v>
      </c>
      <c r="S69" s="222">
        <f t="shared" si="41"/>
        <v>0.16666112976314967</v>
      </c>
      <c r="T69" s="222">
        <f t="shared" si="41"/>
        <v>0.17984562349789934</v>
      </c>
      <c r="U69" s="222">
        <f t="shared" si="41"/>
        <v>0.19303011723264898</v>
      </c>
      <c r="V69" s="222">
        <f t="shared" si="41"/>
        <v>0.20621461096739863</v>
      </c>
      <c r="W69" s="222">
        <f t="shared" si="41"/>
        <v>0.2193991047021483</v>
      </c>
      <c r="X69" s="222">
        <f t="shared" si="41"/>
        <v>0.24145919423193346</v>
      </c>
      <c r="Y69" s="222">
        <f t="shared" si="41"/>
        <v>0.26351928376171863</v>
      </c>
      <c r="Z69" s="222">
        <f t="shared" si="41"/>
        <v>0.28557937329150385</v>
      </c>
      <c r="AA69" s="222">
        <f t="shared" si="41"/>
        <v>0.30763946282128896</v>
      </c>
      <c r="AB69" s="222">
        <f t="shared" si="41"/>
        <v>0.32969955235107418</v>
      </c>
      <c r="AC69" s="222">
        <f t="shared" si="41"/>
        <v>0.35175964188085934</v>
      </c>
      <c r="AD69" s="222">
        <f t="shared" si="41"/>
        <v>0.37381973141064451</v>
      </c>
      <c r="AE69" s="222">
        <f t="shared" si="41"/>
        <v>0.39587982094042967</v>
      </c>
      <c r="AF69" s="222">
        <f t="shared" si="41"/>
        <v>0.41793991047021484</v>
      </c>
      <c r="AG69" s="222">
        <f t="shared" si="41"/>
        <v>0.44</v>
      </c>
      <c r="AJ69" s="231" t="s">
        <v>1491</v>
      </c>
      <c r="AL69" s="217"/>
      <c r="AM69" s="218"/>
      <c r="AN69" s="218"/>
      <c r="AO69" s="218"/>
    </row>
    <row r="70" spans="1:63" ht="16" outlineLevel="1" thickTop="1" x14ac:dyDescent="0.2">
      <c r="A70" t="s">
        <v>1332</v>
      </c>
      <c r="B70" s="54" t="s">
        <v>462</v>
      </c>
      <c r="C70" s="214">
        <v>2.5000000000000001E-2</v>
      </c>
      <c r="D70" s="110">
        <f>$C70+($M70-$C70)/10*(D$1-$C$1)</f>
        <v>3.1255416735465176E-2</v>
      </c>
      <c r="E70" s="110">
        <f t="shared" ref="E70:L70" si="42">$C70+($M70-$C70)/10*(E$1-$C$1)</f>
        <v>3.7510833470930344E-2</v>
      </c>
      <c r="F70" s="110">
        <f t="shared" si="42"/>
        <v>4.3766250206395518E-2</v>
      </c>
      <c r="G70" s="110">
        <f t="shared" si="42"/>
        <v>5.0021666941860693E-2</v>
      </c>
      <c r="H70" s="110">
        <f t="shared" si="42"/>
        <v>5.6277083677325861E-2</v>
      </c>
      <c r="I70" s="110">
        <f t="shared" si="42"/>
        <v>6.2532500412791042E-2</v>
      </c>
      <c r="J70" s="110">
        <f t="shared" si="42"/>
        <v>6.8787917148256203E-2</v>
      </c>
      <c r="K70" s="110">
        <f t="shared" si="42"/>
        <v>7.5043333883721378E-2</v>
      </c>
      <c r="L70" s="110">
        <f t="shared" si="42"/>
        <v>8.1298750619186552E-2</v>
      </c>
      <c r="M70" s="121">
        <f>(M$55-$C$55)/($AG$55-$C$55)*($AG70-$C70)+$C70</f>
        <v>8.7554167354651713E-2</v>
      </c>
      <c r="N70" s="121">
        <f>$M70+($W70-$M70)/10*(N$1-$M$1)</f>
        <v>0.10073866108940137</v>
      </c>
      <c r="O70" s="121">
        <f t="shared" ref="O70:U70" si="43">$M70+($W70-$M70)/10*(O$1-$M$1)</f>
        <v>0.11392315482415102</v>
      </c>
      <c r="P70" s="121">
        <f t="shared" si="43"/>
        <v>0.12710764855890069</v>
      </c>
      <c r="Q70" s="121">
        <f t="shared" si="43"/>
        <v>0.14029214229365033</v>
      </c>
      <c r="R70" s="121">
        <f t="shared" si="43"/>
        <v>0.1534766360284</v>
      </c>
      <c r="S70" s="121">
        <f t="shared" si="43"/>
        <v>0.16666112976314967</v>
      </c>
      <c r="T70" s="121">
        <f t="shared" si="43"/>
        <v>0.17984562349789934</v>
      </c>
      <c r="U70" s="121">
        <f t="shared" si="43"/>
        <v>0.19303011723264898</v>
      </c>
      <c r="V70" s="121">
        <f>$M70+($W70-$M70)/10*(V$1-$M$1)</f>
        <v>0.20621461096739863</v>
      </c>
      <c r="W70" s="121">
        <f>(W$55-$C$55)/($AG$55-$C$55)*($AG70-$C70)+$C70</f>
        <v>0.2193991047021483</v>
      </c>
      <c r="X70" s="110">
        <f>$W70+($AG70-$W70)/10*(X$1-$W$1)</f>
        <v>0.24145919423193346</v>
      </c>
      <c r="Y70" s="110">
        <f t="shared" ref="Y70:AF70" si="44">$W70+($AG70-$W70)/10*(Y$1-$W$1)</f>
        <v>0.26351928376171863</v>
      </c>
      <c r="Z70" s="110">
        <f t="shared" si="44"/>
        <v>0.28557937329150385</v>
      </c>
      <c r="AA70" s="110">
        <f t="shared" si="44"/>
        <v>0.30763946282128896</v>
      </c>
      <c r="AB70" s="110">
        <f t="shared" si="44"/>
        <v>0.32969955235107418</v>
      </c>
      <c r="AC70" s="110">
        <f t="shared" si="44"/>
        <v>0.35175964188085934</v>
      </c>
      <c r="AD70" s="110">
        <f t="shared" si="44"/>
        <v>0.37381973141064451</v>
      </c>
      <c r="AE70" s="110">
        <f t="shared" si="44"/>
        <v>0.39587982094042967</v>
      </c>
      <c r="AF70" s="110">
        <f t="shared" si="44"/>
        <v>0.41793991047021484</v>
      </c>
      <c r="AG70" s="214">
        <v>0.44</v>
      </c>
      <c r="AJ70" s="211" t="s">
        <v>1436</v>
      </c>
    </row>
    <row r="71" spans="1:63" outlineLevel="1" x14ac:dyDescent="0.2">
      <c r="A71" t="s">
        <v>1437</v>
      </c>
      <c r="B71" s="54" t="s">
        <v>462</v>
      </c>
      <c r="C71" s="214">
        <v>0.08</v>
      </c>
      <c r="D71" s="110">
        <f t="shared" ref="D71:AF71" si="45">C71-($C$71-$AG$71)/($AG$1-$C$1)</f>
        <v>0.10400000000000001</v>
      </c>
      <c r="E71" s="110">
        <f t="shared" si="45"/>
        <v>0.128</v>
      </c>
      <c r="F71" s="110">
        <f t="shared" si="45"/>
        <v>0.152</v>
      </c>
      <c r="G71" s="110">
        <f t="shared" si="45"/>
        <v>0.17599999999999999</v>
      </c>
      <c r="H71" s="110">
        <f t="shared" si="45"/>
        <v>0.19999999999999998</v>
      </c>
      <c r="I71" s="110">
        <f t="shared" si="45"/>
        <v>0.22399999999999998</v>
      </c>
      <c r="J71" s="110">
        <f t="shared" si="45"/>
        <v>0.24799999999999997</v>
      </c>
      <c r="K71" s="110">
        <f t="shared" si="45"/>
        <v>0.27199999999999996</v>
      </c>
      <c r="L71" s="110">
        <f t="shared" si="45"/>
        <v>0.29599999999999999</v>
      </c>
      <c r="M71" s="110">
        <f t="shared" si="45"/>
        <v>0.32</v>
      </c>
      <c r="N71" s="110">
        <f t="shared" si="45"/>
        <v>0.34400000000000003</v>
      </c>
      <c r="O71" s="110">
        <f t="shared" si="45"/>
        <v>0.36800000000000005</v>
      </c>
      <c r="P71" s="110">
        <f t="shared" si="45"/>
        <v>0.39200000000000007</v>
      </c>
      <c r="Q71" s="110">
        <f t="shared" si="45"/>
        <v>0.41600000000000009</v>
      </c>
      <c r="R71" s="110">
        <f t="shared" si="45"/>
        <v>0.44000000000000011</v>
      </c>
      <c r="S71" s="110">
        <f t="shared" si="45"/>
        <v>0.46400000000000013</v>
      </c>
      <c r="T71" s="110">
        <f t="shared" si="45"/>
        <v>0.48800000000000016</v>
      </c>
      <c r="U71" s="110">
        <f t="shared" si="45"/>
        <v>0.51200000000000012</v>
      </c>
      <c r="V71" s="110">
        <f t="shared" si="45"/>
        <v>0.53600000000000014</v>
      </c>
      <c r="W71" s="110">
        <f t="shared" si="45"/>
        <v>0.56000000000000016</v>
      </c>
      <c r="X71" s="110">
        <f t="shared" si="45"/>
        <v>0.58400000000000019</v>
      </c>
      <c r="Y71" s="110">
        <f t="shared" si="45"/>
        <v>0.60800000000000021</v>
      </c>
      <c r="Z71" s="110">
        <f t="shared" si="45"/>
        <v>0.63200000000000023</v>
      </c>
      <c r="AA71" s="110">
        <f t="shared" si="45"/>
        <v>0.65600000000000025</v>
      </c>
      <c r="AB71" s="110">
        <f t="shared" si="45"/>
        <v>0.68000000000000027</v>
      </c>
      <c r="AC71" s="110">
        <f t="shared" si="45"/>
        <v>0.70400000000000029</v>
      </c>
      <c r="AD71" s="110">
        <f t="shared" si="45"/>
        <v>0.72800000000000031</v>
      </c>
      <c r="AE71" s="110">
        <f t="shared" si="45"/>
        <v>0.75200000000000033</v>
      </c>
      <c r="AF71" s="110">
        <f t="shared" si="45"/>
        <v>0.77600000000000036</v>
      </c>
      <c r="AG71" s="214">
        <v>0.8</v>
      </c>
      <c r="AI71" s="134"/>
      <c r="AJ71" s="211" t="s">
        <v>1438</v>
      </c>
      <c r="AL71" s="54" t="s">
        <v>1521</v>
      </c>
    </row>
    <row r="72" spans="1:63" outlineLevel="1" x14ac:dyDescent="0.2">
      <c r="A72" t="s">
        <v>1440</v>
      </c>
      <c r="B72" s="176" t="s">
        <v>462</v>
      </c>
      <c r="C72" s="110">
        <f>1-C71</f>
        <v>0.92</v>
      </c>
      <c r="D72" s="110">
        <f t="shared" ref="D72:AG72" si="46">1-D71</f>
        <v>0.89600000000000002</v>
      </c>
      <c r="E72" s="110">
        <f t="shared" si="46"/>
        <v>0.872</v>
      </c>
      <c r="F72" s="110">
        <f t="shared" si="46"/>
        <v>0.84799999999999998</v>
      </c>
      <c r="G72" s="110">
        <f t="shared" si="46"/>
        <v>0.82400000000000007</v>
      </c>
      <c r="H72" s="110">
        <f t="shared" si="46"/>
        <v>0.8</v>
      </c>
      <c r="I72" s="110">
        <f t="shared" si="46"/>
        <v>0.77600000000000002</v>
      </c>
      <c r="J72" s="110">
        <f t="shared" si="46"/>
        <v>0.752</v>
      </c>
      <c r="K72" s="110">
        <f t="shared" si="46"/>
        <v>0.72799999999999998</v>
      </c>
      <c r="L72" s="110">
        <f t="shared" si="46"/>
        <v>0.70399999999999996</v>
      </c>
      <c r="M72" s="110">
        <f t="shared" si="46"/>
        <v>0.67999999999999994</v>
      </c>
      <c r="N72" s="110">
        <f t="shared" si="46"/>
        <v>0.65599999999999992</v>
      </c>
      <c r="O72" s="110">
        <f t="shared" si="46"/>
        <v>0.6319999999999999</v>
      </c>
      <c r="P72" s="110">
        <f t="shared" si="46"/>
        <v>0.60799999999999987</v>
      </c>
      <c r="Q72" s="110">
        <f t="shared" si="46"/>
        <v>0.58399999999999985</v>
      </c>
      <c r="R72" s="110">
        <f t="shared" si="46"/>
        <v>0.55999999999999983</v>
      </c>
      <c r="S72" s="110">
        <f t="shared" si="46"/>
        <v>0.53599999999999981</v>
      </c>
      <c r="T72" s="110">
        <f t="shared" si="46"/>
        <v>0.51199999999999979</v>
      </c>
      <c r="U72" s="110">
        <f t="shared" si="46"/>
        <v>0.48799999999999988</v>
      </c>
      <c r="V72" s="110">
        <f t="shared" si="46"/>
        <v>0.46399999999999986</v>
      </c>
      <c r="W72" s="110">
        <f t="shared" si="46"/>
        <v>0.43999999999999984</v>
      </c>
      <c r="X72" s="110">
        <f t="shared" si="46"/>
        <v>0.41599999999999981</v>
      </c>
      <c r="Y72" s="110">
        <f t="shared" si="46"/>
        <v>0.39199999999999979</v>
      </c>
      <c r="Z72" s="110">
        <f t="shared" si="46"/>
        <v>0.36799999999999977</v>
      </c>
      <c r="AA72" s="110">
        <f t="shared" si="46"/>
        <v>0.34399999999999975</v>
      </c>
      <c r="AB72" s="110">
        <f t="shared" si="46"/>
        <v>0.31999999999999973</v>
      </c>
      <c r="AC72" s="110">
        <f t="shared" si="46"/>
        <v>0.29599999999999971</v>
      </c>
      <c r="AD72" s="110">
        <f t="shared" si="46"/>
        <v>0.27199999999999969</v>
      </c>
      <c r="AE72" s="110">
        <f t="shared" si="46"/>
        <v>0.24799999999999967</v>
      </c>
      <c r="AF72" s="110">
        <f t="shared" si="46"/>
        <v>0.22399999999999964</v>
      </c>
      <c r="AG72" s="110">
        <f t="shared" si="46"/>
        <v>0.19999999999999996</v>
      </c>
      <c r="AI72" s="134"/>
      <c r="AJ72" s="211"/>
      <c r="BD72" s="686"/>
      <c r="BE72" s="686"/>
    </row>
    <row r="73" spans="1:63" outlineLevel="1" x14ac:dyDescent="0.2">
      <c r="A73" t="s">
        <v>1333</v>
      </c>
      <c r="B73" s="54" t="s">
        <v>462</v>
      </c>
      <c r="C73" s="110">
        <f>C70*C71</f>
        <v>2E-3</v>
      </c>
      <c r="D73" s="110">
        <f t="shared" ref="D73:AG73" si="47">D70*D71</f>
        <v>3.2505633404883785E-3</v>
      </c>
      <c r="E73" s="110">
        <f t="shared" si="47"/>
        <v>4.8013866842790843E-3</v>
      </c>
      <c r="F73" s="110">
        <f t="shared" si="47"/>
        <v>6.652470031372119E-3</v>
      </c>
      <c r="G73" s="110">
        <f t="shared" si="47"/>
        <v>8.8038133817674811E-3</v>
      </c>
      <c r="H73" s="110">
        <f t="shared" si="47"/>
        <v>1.125541673546517E-2</v>
      </c>
      <c r="I73" s="110">
        <f t="shared" si="47"/>
        <v>1.4007280092465192E-2</v>
      </c>
      <c r="J73" s="110">
        <f t="shared" si="47"/>
        <v>1.7059403452767536E-2</v>
      </c>
      <c r="K73" s="110">
        <f t="shared" si="47"/>
        <v>2.0411786816372211E-2</v>
      </c>
      <c r="L73" s="110">
        <f t="shared" si="47"/>
        <v>2.4064430183279219E-2</v>
      </c>
      <c r="M73" s="110">
        <f t="shared" si="47"/>
        <v>2.8017333553488549E-2</v>
      </c>
      <c r="N73" s="110">
        <f t="shared" si="47"/>
        <v>3.4654099414754072E-2</v>
      </c>
      <c r="O73" s="110">
        <f t="shared" si="47"/>
        <v>4.1923720975287584E-2</v>
      </c>
      <c r="P73" s="110">
        <f t="shared" si="47"/>
        <v>4.9826198235089082E-2</v>
      </c>
      <c r="Q73" s="110">
        <f t="shared" si="47"/>
        <v>5.8361531194158552E-2</v>
      </c>
      <c r="R73" s="110">
        <f t="shared" si="47"/>
        <v>6.752971985249602E-2</v>
      </c>
      <c r="S73" s="110">
        <f t="shared" si="47"/>
        <v>7.7330764210101474E-2</v>
      </c>
      <c r="T73" s="110">
        <f t="shared" si="47"/>
        <v>8.7764664266974907E-2</v>
      </c>
      <c r="U73" s="110">
        <f t="shared" si="47"/>
        <v>9.8831420023116304E-2</v>
      </c>
      <c r="V73" s="110">
        <f t="shared" si="47"/>
        <v>0.11053103147852569</v>
      </c>
      <c r="W73" s="110">
        <f t="shared" si="47"/>
        <v>0.12286349863320307</v>
      </c>
      <c r="X73" s="110">
        <f t="shared" si="47"/>
        <v>0.14101216943144917</v>
      </c>
      <c r="Y73" s="110">
        <f t="shared" si="47"/>
        <v>0.16021972452712499</v>
      </c>
      <c r="Z73" s="110">
        <f t="shared" si="47"/>
        <v>0.18048616392023051</v>
      </c>
      <c r="AA73" s="110">
        <f t="shared" si="47"/>
        <v>0.20181148761076564</v>
      </c>
      <c r="AB73" s="110">
        <f t="shared" si="47"/>
        <v>0.22419569559873054</v>
      </c>
      <c r="AC73" s="110">
        <f t="shared" si="47"/>
        <v>0.24763878788412508</v>
      </c>
      <c r="AD73" s="110">
        <f t="shared" si="47"/>
        <v>0.27214076446694929</v>
      </c>
      <c r="AE73" s="110">
        <f t="shared" si="47"/>
        <v>0.29770162534720324</v>
      </c>
      <c r="AF73" s="110">
        <f t="shared" si="47"/>
        <v>0.32432137052488685</v>
      </c>
      <c r="AG73" s="110">
        <f t="shared" si="47"/>
        <v>0.35200000000000004</v>
      </c>
      <c r="AI73" s="134"/>
      <c r="AJ73" s="211"/>
      <c r="BD73" s="203"/>
      <c r="BE73" s="203"/>
    </row>
    <row r="74" spans="1:63" outlineLevel="1" x14ac:dyDescent="0.2">
      <c r="A74" t="s">
        <v>1334</v>
      </c>
      <c r="B74" s="54" t="s">
        <v>462</v>
      </c>
      <c r="C74" s="110">
        <f>C70*C72</f>
        <v>2.3000000000000003E-2</v>
      </c>
      <c r="D74" s="110">
        <f t="shared" ref="D74:AG74" si="48">D70*D72</f>
        <v>2.8004853394976797E-2</v>
      </c>
      <c r="E74" s="110">
        <f t="shared" si="48"/>
        <v>3.2709446786651261E-2</v>
      </c>
      <c r="F74" s="110">
        <f t="shared" si="48"/>
        <v>3.7113780175023398E-2</v>
      </c>
      <c r="G74" s="110">
        <f t="shared" si="48"/>
        <v>4.1217853560093214E-2</v>
      </c>
      <c r="H74" s="110">
        <f t="shared" si="48"/>
        <v>4.5021666941860689E-2</v>
      </c>
      <c r="I74" s="110">
        <f t="shared" si="48"/>
        <v>4.852522032032585E-2</v>
      </c>
      <c r="J74" s="110">
        <f t="shared" si="48"/>
        <v>5.1728513695488663E-2</v>
      </c>
      <c r="K74" s="110">
        <f t="shared" si="48"/>
        <v>5.4631547067349163E-2</v>
      </c>
      <c r="L74" s="110">
        <f t="shared" si="48"/>
        <v>5.7234320435907329E-2</v>
      </c>
      <c r="M74" s="110">
        <f t="shared" si="48"/>
        <v>5.9536833801163161E-2</v>
      </c>
      <c r="N74" s="110">
        <f t="shared" si="48"/>
        <v>6.6084561674647282E-2</v>
      </c>
      <c r="O74" s="110">
        <f t="shared" si="48"/>
        <v>7.1999433848863439E-2</v>
      </c>
      <c r="P74" s="110">
        <f t="shared" si="48"/>
        <v>7.7281450323811604E-2</v>
      </c>
      <c r="Q74" s="110">
        <f t="shared" si="48"/>
        <v>8.1930611099491776E-2</v>
      </c>
      <c r="R74" s="110">
        <f t="shared" si="48"/>
        <v>8.594691617590397E-2</v>
      </c>
      <c r="S74" s="110">
        <f t="shared" si="48"/>
        <v>8.9330365553048199E-2</v>
      </c>
      <c r="T74" s="110">
        <f t="shared" si="48"/>
        <v>9.2080959230924422E-2</v>
      </c>
      <c r="U74" s="110">
        <f t="shared" si="48"/>
        <v>9.4198697209532681E-2</v>
      </c>
      <c r="V74" s="110">
        <f t="shared" si="48"/>
        <v>9.5683579488872933E-2</v>
      </c>
      <c r="W74" s="110">
        <f t="shared" si="48"/>
        <v>9.6535606068945221E-2</v>
      </c>
      <c r="X74" s="110">
        <f t="shared" si="48"/>
        <v>0.10044702480048427</v>
      </c>
      <c r="Y74" s="110">
        <f t="shared" si="48"/>
        <v>0.10329955923459365</v>
      </c>
      <c r="Z74" s="110">
        <f t="shared" si="48"/>
        <v>0.10509320937127335</v>
      </c>
      <c r="AA74" s="110">
        <f t="shared" si="48"/>
        <v>0.10582797521052333</v>
      </c>
      <c r="AB74" s="110">
        <f t="shared" si="48"/>
        <v>0.10550385675234365</v>
      </c>
      <c r="AC74" s="110">
        <f t="shared" si="48"/>
        <v>0.10412085399673426</v>
      </c>
      <c r="AD74" s="110">
        <f t="shared" si="48"/>
        <v>0.10167896694369519</v>
      </c>
      <c r="AE74" s="110">
        <f t="shared" si="48"/>
        <v>9.8178195593226422E-2</v>
      </c>
      <c r="AF74" s="110">
        <f t="shared" si="48"/>
        <v>9.3618539945327969E-2</v>
      </c>
      <c r="AG74" s="110">
        <f t="shared" si="48"/>
        <v>8.7999999999999981E-2</v>
      </c>
      <c r="AI74" s="134"/>
      <c r="AJ74" s="211"/>
      <c r="BD74" s="203"/>
      <c r="BE74" s="203"/>
    </row>
    <row r="75" spans="1:63" outlineLevel="1" x14ac:dyDescent="0.2">
      <c r="B75" s="176"/>
      <c r="C75" s="110"/>
      <c r="D75" s="110"/>
      <c r="E75" s="110"/>
      <c r="F75" s="110"/>
      <c r="G75" s="110"/>
      <c r="H75" s="110"/>
      <c r="I75" s="110"/>
      <c r="J75" s="110"/>
      <c r="K75" s="110"/>
      <c r="L75" s="110"/>
      <c r="M75" s="110"/>
      <c r="N75" s="110"/>
      <c r="O75" s="110"/>
      <c r="P75" s="110"/>
      <c r="Q75" s="110"/>
      <c r="R75" s="110"/>
      <c r="S75" s="110"/>
      <c r="T75" s="110"/>
      <c r="U75" s="110"/>
      <c r="V75" s="110"/>
      <c r="W75" s="110"/>
      <c r="X75" s="110"/>
      <c r="Y75" s="110"/>
      <c r="Z75" s="110"/>
      <c r="AA75" s="110"/>
      <c r="AB75" s="110"/>
      <c r="AC75" s="110"/>
      <c r="AD75" s="110"/>
      <c r="AE75" s="110"/>
      <c r="AF75" s="110"/>
      <c r="AG75" s="110"/>
      <c r="AI75" s="134"/>
      <c r="AJ75" s="211"/>
      <c r="BD75" s="203"/>
      <c r="BE75" s="203"/>
    </row>
    <row r="76" spans="1:63" ht="16" outlineLevel="1" x14ac:dyDescent="0.2">
      <c r="A76" t="s">
        <v>1441</v>
      </c>
      <c r="B76" s="54" t="s">
        <v>462</v>
      </c>
      <c r="C76" s="214">
        <v>0.52</v>
      </c>
      <c r="D76" s="110">
        <f>C76</f>
        <v>0.52</v>
      </c>
      <c r="E76" s="110">
        <f t="shared" ref="E76:AG78" si="49">D76</f>
        <v>0.52</v>
      </c>
      <c r="F76" s="110">
        <f t="shared" si="49"/>
        <v>0.52</v>
      </c>
      <c r="G76" s="110">
        <f t="shared" si="49"/>
        <v>0.52</v>
      </c>
      <c r="H76" s="110">
        <f t="shared" si="49"/>
        <v>0.52</v>
      </c>
      <c r="I76" s="110">
        <f t="shared" si="49"/>
        <v>0.52</v>
      </c>
      <c r="J76" s="110">
        <f t="shared" si="49"/>
        <v>0.52</v>
      </c>
      <c r="K76" s="110">
        <f t="shared" si="49"/>
        <v>0.52</v>
      </c>
      <c r="L76" s="110">
        <f t="shared" si="49"/>
        <v>0.52</v>
      </c>
      <c r="M76" s="110">
        <f t="shared" si="49"/>
        <v>0.52</v>
      </c>
      <c r="N76" s="110">
        <f t="shared" si="49"/>
        <v>0.52</v>
      </c>
      <c r="O76" s="110">
        <f t="shared" si="49"/>
        <v>0.52</v>
      </c>
      <c r="P76" s="110">
        <f t="shared" si="49"/>
        <v>0.52</v>
      </c>
      <c r="Q76" s="110">
        <f t="shared" si="49"/>
        <v>0.52</v>
      </c>
      <c r="R76" s="110">
        <f t="shared" si="49"/>
        <v>0.52</v>
      </c>
      <c r="S76" s="110">
        <f t="shared" si="49"/>
        <v>0.52</v>
      </c>
      <c r="T76" s="110">
        <f t="shared" si="49"/>
        <v>0.52</v>
      </c>
      <c r="U76" s="110">
        <f t="shared" si="49"/>
        <v>0.52</v>
      </c>
      <c r="V76" s="110">
        <f t="shared" si="49"/>
        <v>0.52</v>
      </c>
      <c r="W76" s="110">
        <f t="shared" si="49"/>
        <v>0.52</v>
      </c>
      <c r="X76" s="110">
        <f t="shared" si="49"/>
        <v>0.52</v>
      </c>
      <c r="Y76" s="110">
        <f t="shared" si="49"/>
        <v>0.52</v>
      </c>
      <c r="Z76" s="110">
        <f t="shared" si="49"/>
        <v>0.52</v>
      </c>
      <c r="AA76" s="110">
        <f t="shared" si="49"/>
        <v>0.52</v>
      </c>
      <c r="AB76" s="110">
        <f t="shared" si="49"/>
        <v>0.52</v>
      </c>
      <c r="AC76" s="110">
        <f t="shared" si="49"/>
        <v>0.52</v>
      </c>
      <c r="AD76" s="110">
        <f t="shared" si="49"/>
        <v>0.52</v>
      </c>
      <c r="AE76" s="110">
        <f t="shared" si="49"/>
        <v>0.52</v>
      </c>
      <c r="AF76" s="110">
        <f t="shared" si="49"/>
        <v>0.52</v>
      </c>
      <c r="AG76" s="110">
        <f t="shared" si="49"/>
        <v>0.52</v>
      </c>
      <c r="AI76" s="133" t="s">
        <v>1442</v>
      </c>
      <c r="AJ76" s="232" t="s">
        <v>1443</v>
      </c>
      <c r="BD76" s="203"/>
      <c r="BE76" s="203"/>
    </row>
    <row r="77" spans="1:63" ht="16" outlineLevel="1" x14ac:dyDescent="0.2">
      <c r="A77" t="s">
        <v>1444</v>
      </c>
      <c r="B77" s="54" t="s">
        <v>462</v>
      </c>
      <c r="C77" s="214">
        <v>0.12</v>
      </c>
      <c r="D77" s="110">
        <f t="shared" ref="D77:S78" si="50">C77</f>
        <v>0.12</v>
      </c>
      <c r="E77" s="110">
        <f t="shared" si="50"/>
        <v>0.12</v>
      </c>
      <c r="F77" s="110">
        <f t="shared" si="50"/>
        <v>0.12</v>
      </c>
      <c r="G77" s="110">
        <f t="shared" si="50"/>
        <v>0.12</v>
      </c>
      <c r="H77" s="110">
        <f t="shared" si="50"/>
        <v>0.12</v>
      </c>
      <c r="I77" s="110">
        <f t="shared" si="50"/>
        <v>0.12</v>
      </c>
      <c r="J77" s="110">
        <f t="shared" si="50"/>
        <v>0.12</v>
      </c>
      <c r="K77" s="110">
        <f t="shared" si="50"/>
        <v>0.12</v>
      </c>
      <c r="L77" s="110">
        <f t="shared" si="50"/>
        <v>0.12</v>
      </c>
      <c r="M77" s="110">
        <f t="shared" si="50"/>
        <v>0.12</v>
      </c>
      <c r="N77" s="110">
        <f t="shared" si="50"/>
        <v>0.12</v>
      </c>
      <c r="O77" s="110">
        <f t="shared" si="50"/>
        <v>0.12</v>
      </c>
      <c r="P77" s="110">
        <f t="shared" si="50"/>
        <v>0.12</v>
      </c>
      <c r="Q77" s="110">
        <f t="shared" si="50"/>
        <v>0.12</v>
      </c>
      <c r="R77" s="110">
        <f t="shared" si="50"/>
        <v>0.12</v>
      </c>
      <c r="S77" s="110">
        <f t="shared" si="50"/>
        <v>0.12</v>
      </c>
      <c r="T77" s="110">
        <f t="shared" si="49"/>
        <v>0.12</v>
      </c>
      <c r="U77" s="110">
        <f t="shared" si="49"/>
        <v>0.12</v>
      </c>
      <c r="V77" s="110">
        <f t="shared" si="49"/>
        <v>0.12</v>
      </c>
      <c r="W77" s="110">
        <f t="shared" si="49"/>
        <v>0.12</v>
      </c>
      <c r="X77" s="110">
        <f t="shared" si="49"/>
        <v>0.12</v>
      </c>
      <c r="Y77" s="110">
        <f t="shared" si="49"/>
        <v>0.12</v>
      </c>
      <c r="Z77" s="110">
        <f t="shared" si="49"/>
        <v>0.12</v>
      </c>
      <c r="AA77" s="110">
        <f t="shared" si="49"/>
        <v>0.12</v>
      </c>
      <c r="AB77" s="110">
        <f t="shared" si="49"/>
        <v>0.12</v>
      </c>
      <c r="AC77" s="110">
        <f t="shared" si="49"/>
        <v>0.12</v>
      </c>
      <c r="AD77" s="110">
        <f t="shared" si="49"/>
        <v>0.12</v>
      </c>
      <c r="AE77" s="110">
        <f t="shared" si="49"/>
        <v>0.12</v>
      </c>
      <c r="AF77" s="110">
        <f t="shared" si="49"/>
        <v>0.12</v>
      </c>
      <c r="AG77" s="110">
        <f t="shared" si="49"/>
        <v>0.12</v>
      </c>
      <c r="AI77" s="133" t="s">
        <v>1442</v>
      </c>
      <c r="AJ77" s="232" t="s">
        <v>1443</v>
      </c>
      <c r="AL77" s="1"/>
      <c r="BC77" s="1"/>
      <c r="BD77" s="693"/>
      <c r="BE77" s="686"/>
      <c r="BF77" s="6"/>
      <c r="BG77" s="6"/>
      <c r="BH77" s="6"/>
      <c r="BI77" s="6"/>
      <c r="BJ77" s="6"/>
    </row>
    <row r="78" spans="1:63" outlineLevel="1" x14ac:dyDescent="0.2">
      <c r="A78" t="s">
        <v>1445</v>
      </c>
      <c r="B78" s="54" t="s">
        <v>462</v>
      </c>
      <c r="C78" s="121">
        <f>1-C76-C77</f>
        <v>0.36</v>
      </c>
      <c r="D78" s="110">
        <f t="shared" si="50"/>
        <v>0.36</v>
      </c>
      <c r="E78" s="110">
        <f t="shared" si="49"/>
        <v>0.36</v>
      </c>
      <c r="F78" s="110">
        <f t="shared" si="49"/>
        <v>0.36</v>
      </c>
      <c r="G78" s="110">
        <f t="shared" si="49"/>
        <v>0.36</v>
      </c>
      <c r="H78" s="110">
        <f t="shared" si="49"/>
        <v>0.36</v>
      </c>
      <c r="I78" s="110">
        <f t="shared" si="49"/>
        <v>0.36</v>
      </c>
      <c r="J78" s="110">
        <f t="shared" si="49"/>
        <v>0.36</v>
      </c>
      <c r="K78" s="110">
        <f t="shared" si="49"/>
        <v>0.36</v>
      </c>
      <c r="L78" s="110">
        <f t="shared" si="49"/>
        <v>0.36</v>
      </c>
      <c r="M78" s="110">
        <f t="shared" si="49"/>
        <v>0.36</v>
      </c>
      <c r="N78" s="110">
        <f t="shared" si="49"/>
        <v>0.36</v>
      </c>
      <c r="O78" s="110">
        <f t="shared" si="49"/>
        <v>0.36</v>
      </c>
      <c r="P78" s="110">
        <f t="shared" si="49"/>
        <v>0.36</v>
      </c>
      <c r="Q78" s="110">
        <f t="shared" si="49"/>
        <v>0.36</v>
      </c>
      <c r="R78" s="110">
        <f t="shared" si="49"/>
        <v>0.36</v>
      </c>
      <c r="S78" s="110">
        <f t="shared" si="49"/>
        <v>0.36</v>
      </c>
      <c r="T78" s="110">
        <f t="shared" si="49"/>
        <v>0.36</v>
      </c>
      <c r="U78" s="110">
        <f t="shared" si="49"/>
        <v>0.36</v>
      </c>
      <c r="V78" s="110">
        <f t="shared" si="49"/>
        <v>0.36</v>
      </c>
      <c r="W78" s="110">
        <f t="shared" si="49"/>
        <v>0.36</v>
      </c>
      <c r="X78" s="110">
        <f t="shared" si="49"/>
        <v>0.36</v>
      </c>
      <c r="Y78" s="110">
        <f t="shared" si="49"/>
        <v>0.36</v>
      </c>
      <c r="Z78" s="110">
        <f t="shared" si="49"/>
        <v>0.36</v>
      </c>
      <c r="AA78" s="110">
        <f t="shared" si="49"/>
        <v>0.36</v>
      </c>
      <c r="AB78" s="110">
        <f t="shared" si="49"/>
        <v>0.36</v>
      </c>
      <c r="AC78" s="110">
        <f t="shared" si="49"/>
        <v>0.36</v>
      </c>
      <c r="AD78" s="110">
        <f t="shared" si="49"/>
        <v>0.36</v>
      </c>
      <c r="AE78" s="110">
        <f t="shared" si="49"/>
        <v>0.36</v>
      </c>
      <c r="AF78" s="110">
        <f t="shared" si="49"/>
        <v>0.36</v>
      </c>
      <c r="AG78" s="110">
        <f t="shared" si="49"/>
        <v>0.36</v>
      </c>
      <c r="AI78" s="133"/>
      <c r="AJ78" s="223"/>
      <c r="BC78" s="1"/>
      <c r="BD78" s="41"/>
      <c r="BF78" s="6"/>
      <c r="BG78" s="6"/>
      <c r="BH78" s="6"/>
      <c r="BI78" s="6"/>
      <c r="BJ78" s="6"/>
    </row>
    <row r="79" spans="1:63" outlineLevel="1" x14ac:dyDescent="0.2">
      <c r="A79" t="s">
        <v>1268</v>
      </c>
      <c r="B79" s="54" t="s">
        <v>462</v>
      </c>
      <c r="C79" s="110">
        <f>SUM(C76:C78)</f>
        <v>1</v>
      </c>
      <c r="D79" s="110">
        <f t="shared" ref="D79:AG79" si="51">SUM(D76:D78)</f>
        <v>1</v>
      </c>
      <c r="E79" s="110">
        <f t="shared" si="51"/>
        <v>1</v>
      </c>
      <c r="F79" s="110">
        <f t="shared" si="51"/>
        <v>1</v>
      </c>
      <c r="G79" s="110">
        <f t="shared" si="51"/>
        <v>1</v>
      </c>
      <c r="H79" s="110">
        <f t="shared" si="51"/>
        <v>1</v>
      </c>
      <c r="I79" s="110">
        <f t="shared" si="51"/>
        <v>1</v>
      </c>
      <c r="J79" s="110">
        <f t="shared" si="51"/>
        <v>1</v>
      </c>
      <c r="K79" s="110">
        <f t="shared" si="51"/>
        <v>1</v>
      </c>
      <c r="L79" s="110">
        <f t="shared" si="51"/>
        <v>1</v>
      </c>
      <c r="M79" s="110">
        <f t="shared" si="51"/>
        <v>1</v>
      </c>
      <c r="N79" s="110">
        <f t="shared" si="51"/>
        <v>1</v>
      </c>
      <c r="O79" s="110">
        <f t="shared" si="51"/>
        <v>1</v>
      </c>
      <c r="P79" s="110">
        <f t="shared" si="51"/>
        <v>1</v>
      </c>
      <c r="Q79" s="110">
        <f t="shared" si="51"/>
        <v>1</v>
      </c>
      <c r="R79" s="110">
        <f t="shared" si="51"/>
        <v>1</v>
      </c>
      <c r="S79" s="110">
        <f t="shared" si="51"/>
        <v>1</v>
      </c>
      <c r="T79" s="110">
        <f t="shared" si="51"/>
        <v>1</v>
      </c>
      <c r="U79" s="110">
        <f t="shared" si="51"/>
        <v>1</v>
      </c>
      <c r="V79" s="110">
        <f t="shared" si="51"/>
        <v>1</v>
      </c>
      <c r="W79" s="110">
        <f t="shared" si="51"/>
        <v>1</v>
      </c>
      <c r="X79" s="110">
        <f t="shared" si="51"/>
        <v>1</v>
      </c>
      <c r="Y79" s="110">
        <f t="shared" si="51"/>
        <v>1</v>
      </c>
      <c r="Z79" s="110">
        <f t="shared" si="51"/>
        <v>1</v>
      </c>
      <c r="AA79" s="110">
        <f t="shared" si="51"/>
        <v>1</v>
      </c>
      <c r="AB79" s="110">
        <f t="shared" si="51"/>
        <v>1</v>
      </c>
      <c r="AC79" s="110">
        <f t="shared" si="51"/>
        <v>1</v>
      </c>
      <c r="AD79" s="110">
        <f t="shared" si="51"/>
        <v>1</v>
      </c>
      <c r="AE79" s="110">
        <f t="shared" si="51"/>
        <v>1</v>
      </c>
      <c r="AF79" s="110">
        <f t="shared" si="51"/>
        <v>1</v>
      </c>
      <c r="AG79" s="110">
        <f t="shared" si="51"/>
        <v>1</v>
      </c>
      <c r="AI79" s="133"/>
      <c r="AJ79" s="211"/>
      <c r="BC79" s="1"/>
      <c r="BD79" s="41"/>
      <c r="BF79" s="6"/>
      <c r="BG79" s="6"/>
      <c r="BH79" s="6"/>
      <c r="BI79" s="6"/>
      <c r="BJ79" s="6"/>
    </row>
    <row r="80" spans="1:63" outlineLevel="1" x14ac:dyDescent="0.2">
      <c r="C80" s="214"/>
      <c r="D80" s="110"/>
      <c r="E80" s="110"/>
      <c r="F80" s="110"/>
      <c r="G80" s="110"/>
      <c r="H80" s="110"/>
      <c r="I80" s="110"/>
      <c r="J80" s="110"/>
      <c r="K80" s="110"/>
      <c r="L80" s="110"/>
      <c r="M80" s="110"/>
      <c r="N80" s="110"/>
      <c r="O80" s="110"/>
      <c r="P80" s="110"/>
      <c r="Q80" s="110"/>
      <c r="R80" s="110"/>
      <c r="S80" s="110"/>
      <c r="T80" s="110"/>
      <c r="U80" s="110"/>
      <c r="V80" s="110"/>
      <c r="W80" s="110"/>
      <c r="X80" s="110"/>
      <c r="Y80" s="110"/>
      <c r="Z80" s="110"/>
      <c r="AA80" s="110"/>
      <c r="AB80" s="110"/>
      <c r="AC80" s="110"/>
      <c r="AD80" s="110"/>
      <c r="AE80" s="110"/>
      <c r="AF80" s="110"/>
      <c r="AG80" s="110"/>
      <c r="AI80" s="133"/>
      <c r="AJ80" s="211"/>
      <c r="BC80" s="1"/>
      <c r="BD80" s="41"/>
      <c r="BF80" s="6"/>
      <c r="BG80" s="6"/>
      <c r="BH80" s="6"/>
      <c r="BI80" s="6"/>
      <c r="BJ80" s="6"/>
    </row>
    <row r="81" spans="1:63" outlineLevel="1" x14ac:dyDescent="0.2">
      <c r="A81" t="s">
        <v>1335</v>
      </c>
      <c r="B81" s="54" t="s">
        <v>462</v>
      </c>
      <c r="C81" s="110">
        <f>C76*C74</f>
        <v>1.1960000000000002E-2</v>
      </c>
      <c r="D81" s="110">
        <f t="shared" ref="D81:AG81" si="52">D76*D74</f>
        <v>1.4562523765387934E-2</v>
      </c>
      <c r="E81" s="110">
        <f t="shared" si="52"/>
        <v>1.7008912329058656E-2</v>
      </c>
      <c r="F81" s="110">
        <f t="shared" si="52"/>
        <v>1.9299165691012168E-2</v>
      </c>
      <c r="G81" s="110">
        <f t="shared" si="52"/>
        <v>2.1433283851248472E-2</v>
      </c>
      <c r="H81" s="110">
        <f t="shared" si="52"/>
        <v>2.3411266809767559E-2</v>
      </c>
      <c r="I81" s="110">
        <f t="shared" si="52"/>
        <v>2.5233114566569442E-2</v>
      </c>
      <c r="J81" s="110">
        <f t="shared" si="52"/>
        <v>2.6898827121654107E-2</v>
      </c>
      <c r="K81" s="110">
        <f t="shared" si="52"/>
        <v>2.8408404475021565E-2</v>
      </c>
      <c r="L81" s="110">
        <f t="shared" si="52"/>
        <v>2.9761846626671813E-2</v>
      </c>
      <c r="M81" s="110">
        <f t="shared" si="52"/>
        <v>3.0959153576604843E-2</v>
      </c>
      <c r="N81" s="110">
        <f t="shared" si="52"/>
        <v>3.4363972070816588E-2</v>
      </c>
      <c r="O81" s="110">
        <f t="shared" si="52"/>
        <v>3.7439705601408989E-2</v>
      </c>
      <c r="P81" s="110">
        <f t="shared" si="52"/>
        <v>4.0186354168382038E-2</v>
      </c>
      <c r="Q81" s="110">
        <f t="shared" si="52"/>
        <v>4.2603917771735722E-2</v>
      </c>
      <c r="R81" s="110">
        <f t="shared" si="52"/>
        <v>4.4692396411470069E-2</v>
      </c>
      <c r="S81" s="110">
        <f t="shared" si="52"/>
        <v>4.6451790087585064E-2</v>
      </c>
      <c r="T81" s="110">
        <f t="shared" si="52"/>
        <v>4.7882098800080701E-2</v>
      </c>
      <c r="U81" s="110">
        <f t="shared" si="52"/>
        <v>4.8983322548956994E-2</v>
      </c>
      <c r="V81" s="110">
        <f t="shared" si="52"/>
        <v>4.9755461334213928E-2</v>
      </c>
      <c r="W81" s="110">
        <f t="shared" si="52"/>
        <v>5.0198515155851518E-2</v>
      </c>
      <c r="X81" s="110">
        <f t="shared" si="52"/>
        <v>5.2232452896251821E-2</v>
      </c>
      <c r="Y81" s="110">
        <f t="shared" si="52"/>
        <v>5.3715770801988701E-2</v>
      </c>
      <c r="Z81" s="110">
        <f t="shared" si="52"/>
        <v>5.4648468873062142E-2</v>
      </c>
      <c r="AA81" s="110">
        <f t="shared" si="52"/>
        <v>5.5030547109472132E-2</v>
      </c>
      <c r="AB81" s="110">
        <f t="shared" si="52"/>
        <v>5.4862005511218705E-2</v>
      </c>
      <c r="AC81" s="110">
        <f t="shared" si="52"/>
        <v>5.4142844078301819E-2</v>
      </c>
      <c r="AD81" s="110">
        <f t="shared" si="52"/>
        <v>5.2873062810721502E-2</v>
      </c>
      <c r="AE81" s="110">
        <f t="shared" si="52"/>
        <v>5.1052661708477741E-2</v>
      </c>
      <c r="AF81" s="110">
        <f t="shared" si="52"/>
        <v>4.8681640771570549E-2</v>
      </c>
      <c r="AG81" s="110">
        <f t="shared" si="52"/>
        <v>4.5759999999999995E-2</v>
      </c>
      <c r="AI81" s="133"/>
      <c r="AJ81" s="211"/>
      <c r="BD81" s="203"/>
      <c r="BE81" s="203"/>
    </row>
    <row r="82" spans="1:63" outlineLevel="1" x14ac:dyDescent="0.2">
      <c r="A82" t="s">
        <v>1336</v>
      </c>
      <c r="B82" s="54" t="s">
        <v>462</v>
      </c>
      <c r="C82" s="110">
        <f>C74*C77</f>
        <v>2.7600000000000003E-3</v>
      </c>
      <c r="D82" s="110">
        <f t="shared" ref="D82:AG82" si="53">D74*D77</f>
        <v>3.3605824073972158E-3</v>
      </c>
      <c r="E82" s="110">
        <f t="shared" si="53"/>
        <v>3.9251336143981512E-3</v>
      </c>
      <c r="F82" s="110">
        <f t="shared" si="53"/>
        <v>4.4536536210028075E-3</v>
      </c>
      <c r="G82" s="110">
        <f t="shared" si="53"/>
        <v>4.9461424272111854E-3</v>
      </c>
      <c r="H82" s="110">
        <f t="shared" si="53"/>
        <v>5.4026000330232825E-3</v>
      </c>
      <c r="I82" s="110">
        <f t="shared" si="53"/>
        <v>5.8230264384391021E-3</v>
      </c>
      <c r="J82" s="110">
        <f t="shared" si="53"/>
        <v>6.2074216434586391E-3</v>
      </c>
      <c r="K82" s="110">
        <f t="shared" si="53"/>
        <v>6.5557856480818995E-3</v>
      </c>
      <c r="L82" s="110">
        <f t="shared" si="53"/>
        <v>6.868118452308879E-3</v>
      </c>
      <c r="M82" s="110">
        <f t="shared" si="53"/>
        <v>7.1444200561395794E-3</v>
      </c>
      <c r="N82" s="110">
        <f t="shared" si="53"/>
        <v>7.9301474009576736E-3</v>
      </c>
      <c r="O82" s="110">
        <f t="shared" si="53"/>
        <v>8.6399320618636127E-3</v>
      </c>
      <c r="P82" s="110">
        <f t="shared" si="53"/>
        <v>9.2737740388573915E-3</v>
      </c>
      <c r="Q82" s="110">
        <f t="shared" si="53"/>
        <v>9.8316733319390136E-3</v>
      </c>
      <c r="R82" s="110">
        <f t="shared" si="53"/>
        <v>1.0313629941108475E-2</v>
      </c>
      <c r="S82" s="110">
        <f t="shared" si="53"/>
        <v>1.0719643866365784E-2</v>
      </c>
      <c r="T82" s="110">
        <f t="shared" si="53"/>
        <v>1.104971510771093E-2</v>
      </c>
      <c r="U82" s="110">
        <f t="shared" si="53"/>
        <v>1.1303843665143922E-2</v>
      </c>
      <c r="V82" s="110">
        <f t="shared" si="53"/>
        <v>1.1482029538664751E-2</v>
      </c>
      <c r="W82" s="110">
        <f t="shared" si="53"/>
        <v>1.1584272728273426E-2</v>
      </c>
      <c r="X82" s="110">
        <f t="shared" si="53"/>
        <v>1.2053642976058113E-2</v>
      </c>
      <c r="Y82" s="110">
        <f t="shared" si="53"/>
        <v>1.2395947108151237E-2</v>
      </c>
      <c r="Z82" s="110">
        <f t="shared" si="53"/>
        <v>1.2611185124552803E-2</v>
      </c>
      <c r="AA82" s="110">
        <f t="shared" si="53"/>
        <v>1.2699357025262798E-2</v>
      </c>
      <c r="AB82" s="110">
        <f t="shared" si="53"/>
        <v>1.2660462810281237E-2</v>
      </c>
      <c r="AC82" s="110">
        <f t="shared" si="53"/>
        <v>1.2494502479608111E-2</v>
      </c>
      <c r="AD82" s="110">
        <f t="shared" si="53"/>
        <v>1.2201476033243421E-2</v>
      </c>
      <c r="AE82" s="110">
        <f t="shared" si="53"/>
        <v>1.178138347118717E-2</v>
      </c>
      <c r="AF82" s="110">
        <f t="shared" si="53"/>
        <v>1.1234224793439355E-2</v>
      </c>
      <c r="AG82" s="110">
        <f t="shared" si="53"/>
        <v>1.0559999999999996E-2</v>
      </c>
      <c r="AI82" s="133"/>
      <c r="AJ82" s="211"/>
      <c r="AL82" s="1"/>
      <c r="BC82" s="1"/>
      <c r="BD82" s="693"/>
      <c r="BE82" s="686"/>
      <c r="BF82" s="6"/>
      <c r="BG82" s="6"/>
      <c r="BH82" s="6"/>
      <c r="BI82" s="6"/>
      <c r="BJ82" s="6"/>
    </row>
    <row r="83" spans="1:63" outlineLevel="1" x14ac:dyDescent="0.2">
      <c r="A83" t="s">
        <v>1337</v>
      </c>
      <c r="B83" s="54" t="s">
        <v>462</v>
      </c>
      <c r="C83" s="110">
        <f>C74*C78</f>
        <v>8.2800000000000009E-3</v>
      </c>
      <c r="D83" s="110">
        <f t="shared" ref="D83:AG83" si="54">D74*D78</f>
        <v>1.0081747222191647E-2</v>
      </c>
      <c r="E83" s="110">
        <f t="shared" si="54"/>
        <v>1.1775400843194454E-2</v>
      </c>
      <c r="F83" s="110">
        <f t="shared" si="54"/>
        <v>1.3360960863008423E-2</v>
      </c>
      <c r="G83" s="110">
        <f t="shared" si="54"/>
        <v>1.4838427281633556E-2</v>
      </c>
      <c r="H83" s="110">
        <f t="shared" si="54"/>
        <v>1.6207800099069847E-2</v>
      </c>
      <c r="I83" s="110">
        <f t="shared" si="54"/>
        <v>1.7469079315317305E-2</v>
      </c>
      <c r="J83" s="110">
        <f t="shared" si="54"/>
        <v>1.8622264930375918E-2</v>
      </c>
      <c r="K83" s="110">
        <f t="shared" si="54"/>
        <v>1.9667356944245699E-2</v>
      </c>
      <c r="L83" s="110">
        <f t="shared" si="54"/>
        <v>2.0604355356926639E-2</v>
      </c>
      <c r="M83" s="110">
        <f t="shared" si="54"/>
        <v>2.1433260168418736E-2</v>
      </c>
      <c r="N83" s="110">
        <f t="shared" si="54"/>
        <v>2.3790442202873022E-2</v>
      </c>
      <c r="O83" s="110">
        <f t="shared" si="54"/>
        <v>2.5919796185590836E-2</v>
      </c>
      <c r="P83" s="110">
        <f t="shared" si="54"/>
        <v>2.7821322116572178E-2</v>
      </c>
      <c r="Q83" s="110">
        <f t="shared" si="54"/>
        <v>2.9495019995817037E-2</v>
      </c>
      <c r="R83" s="110">
        <f t="shared" si="54"/>
        <v>3.0940889823325428E-2</v>
      </c>
      <c r="S83" s="110">
        <f t="shared" si="54"/>
        <v>3.215893159909735E-2</v>
      </c>
      <c r="T83" s="110">
        <f t="shared" si="54"/>
        <v>3.3149145323132789E-2</v>
      </c>
      <c r="U83" s="110">
        <f t="shared" si="54"/>
        <v>3.3911530995431767E-2</v>
      </c>
      <c r="V83" s="110">
        <f t="shared" si="54"/>
        <v>3.4446088615994255E-2</v>
      </c>
      <c r="W83" s="110">
        <f t="shared" si="54"/>
        <v>3.4752818184820275E-2</v>
      </c>
      <c r="X83" s="110">
        <f t="shared" si="54"/>
        <v>3.6160928928174338E-2</v>
      </c>
      <c r="Y83" s="110">
        <f t="shared" si="54"/>
        <v>3.7187841324453713E-2</v>
      </c>
      <c r="Z83" s="110">
        <f t="shared" si="54"/>
        <v>3.7833555373658408E-2</v>
      </c>
      <c r="AA83" s="110">
        <f t="shared" si="54"/>
        <v>3.8098071075788394E-2</v>
      </c>
      <c r="AB83" s="110">
        <f t="shared" si="54"/>
        <v>3.7981388430843713E-2</v>
      </c>
      <c r="AC83" s="110">
        <f t="shared" si="54"/>
        <v>3.748350743882433E-2</v>
      </c>
      <c r="AD83" s="110">
        <f t="shared" si="54"/>
        <v>3.6604428099730267E-2</v>
      </c>
      <c r="AE83" s="110">
        <f t="shared" si="54"/>
        <v>3.5344150413561509E-2</v>
      </c>
      <c r="AF83" s="110">
        <f t="shared" si="54"/>
        <v>3.3702674380318071E-2</v>
      </c>
      <c r="AG83" s="110">
        <f t="shared" si="54"/>
        <v>3.1679999999999993E-2</v>
      </c>
      <c r="AI83" s="134"/>
      <c r="AJ83" s="211"/>
      <c r="BC83" s="1"/>
      <c r="BD83" s="41"/>
      <c r="BF83" s="6"/>
      <c r="BG83" s="6"/>
      <c r="BH83" s="6"/>
      <c r="BI83" s="6"/>
      <c r="BJ83" s="6"/>
    </row>
    <row r="84" spans="1:63" outlineLevel="1" x14ac:dyDescent="0.2">
      <c r="C84" s="110"/>
      <c r="D84" s="110"/>
      <c r="E84" s="110"/>
      <c r="F84" s="110"/>
      <c r="G84" s="110"/>
      <c r="H84" s="110"/>
      <c r="I84" s="110"/>
      <c r="J84" s="110"/>
      <c r="K84" s="110"/>
      <c r="L84" s="110"/>
      <c r="M84" s="110"/>
      <c r="N84" s="110"/>
      <c r="O84" s="110"/>
      <c r="P84" s="110"/>
      <c r="Q84" s="110"/>
      <c r="R84" s="110"/>
      <c r="S84" s="110"/>
      <c r="T84" s="110"/>
      <c r="U84" s="110"/>
      <c r="V84" s="110"/>
      <c r="W84" s="110"/>
      <c r="X84" s="110"/>
      <c r="Y84" s="110"/>
      <c r="Z84" s="110"/>
      <c r="AA84" s="110"/>
      <c r="AB84" s="110"/>
      <c r="AC84" s="110"/>
      <c r="AD84" s="110"/>
      <c r="AE84" s="110"/>
      <c r="AF84" s="110"/>
      <c r="AG84" s="110"/>
      <c r="AI84" s="134"/>
      <c r="AJ84" s="211"/>
      <c r="BC84" s="1"/>
      <c r="BD84" s="41"/>
      <c r="BF84" s="6"/>
      <c r="BG84" s="6"/>
      <c r="BH84" s="6"/>
      <c r="BI84" s="6"/>
      <c r="BJ84" s="6"/>
    </row>
    <row r="85" spans="1:63" outlineLevel="1" x14ac:dyDescent="0.2">
      <c r="A85" t="s">
        <v>1520</v>
      </c>
      <c r="C85" s="230">
        <f>'Overall recycling rates'!D86</f>
        <v>1.1625854455231439</v>
      </c>
      <c r="D85" s="230">
        <f>C85-($C$85-$AG$85)/($AG$1-$C$1)</f>
        <v>1.1604992640057057</v>
      </c>
      <c r="E85" s="230">
        <f t="shared" ref="E85:AF85" si="55">D85-($C$85-$AG$85)/($AG$1-$C$1)</f>
        <v>1.1584130824882675</v>
      </c>
      <c r="F85" s="230">
        <f t="shared" si="55"/>
        <v>1.1563269009708292</v>
      </c>
      <c r="G85" s="230">
        <f t="shared" si="55"/>
        <v>1.154240719453391</v>
      </c>
      <c r="H85" s="230">
        <f t="shared" si="55"/>
        <v>1.1521545379359528</v>
      </c>
      <c r="I85" s="230">
        <f t="shared" si="55"/>
        <v>1.1500683564185146</v>
      </c>
      <c r="J85" s="230">
        <f t="shared" si="55"/>
        <v>1.1479821749010763</v>
      </c>
      <c r="K85" s="230">
        <f t="shared" si="55"/>
        <v>1.1458959933836381</v>
      </c>
      <c r="L85" s="230">
        <f t="shared" si="55"/>
        <v>1.1438098118661999</v>
      </c>
      <c r="M85" s="230">
        <f t="shared" si="55"/>
        <v>1.1417236303487617</v>
      </c>
      <c r="N85" s="230">
        <f t="shared" si="55"/>
        <v>1.1396374488313235</v>
      </c>
      <c r="O85" s="230">
        <f t="shared" si="55"/>
        <v>1.1375512673138852</v>
      </c>
      <c r="P85" s="230">
        <f t="shared" si="55"/>
        <v>1.135465085796447</v>
      </c>
      <c r="Q85" s="230">
        <f t="shared" si="55"/>
        <v>1.1333789042790088</v>
      </c>
      <c r="R85" s="230">
        <f t="shared" si="55"/>
        <v>1.1312927227615706</v>
      </c>
      <c r="S85" s="230">
        <f t="shared" si="55"/>
        <v>1.1292065412441323</v>
      </c>
      <c r="T85" s="230">
        <f t="shared" si="55"/>
        <v>1.1271203597266941</v>
      </c>
      <c r="U85" s="230">
        <f t="shared" si="55"/>
        <v>1.1250341782092559</v>
      </c>
      <c r="V85" s="230">
        <f t="shared" si="55"/>
        <v>1.1229479966918177</v>
      </c>
      <c r="W85" s="230">
        <f t="shared" si="55"/>
        <v>1.1208618151743794</v>
      </c>
      <c r="X85" s="230">
        <f t="shared" si="55"/>
        <v>1.1187756336569412</v>
      </c>
      <c r="Y85" s="230">
        <f t="shared" si="55"/>
        <v>1.116689452139503</v>
      </c>
      <c r="Z85" s="230">
        <f t="shared" si="55"/>
        <v>1.1146032706220648</v>
      </c>
      <c r="AA85" s="230">
        <f t="shared" si="55"/>
        <v>1.1125170891046265</v>
      </c>
      <c r="AB85" s="230">
        <f t="shared" si="55"/>
        <v>1.1104309075871883</v>
      </c>
      <c r="AC85" s="230">
        <f t="shared" si="55"/>
        <v>1.1083447260697501</v>
      </c>
      <c r="AD85" s="230">
        <f t="shared" si="55"/>
        <v>1.1062585445523119</v>
      </c>
      <c r="AE85" s="230">
        <f t="shared" si="55"/>
        <v>1.1041723630348736</v>
      </c>
      <c r="AF85" s="230">
        <f t="shared" si="55"/>
        <v>1.1020861815174354</v>
      </c>
      <c r="AG85" s="230">
        <f>'Overall recycling rates'!D95</f>
        <v>1.1000000000000001</v>
      </c>
      <c r="AI85" s="133"/>
      <c r="AJ85" s="211"/>
      <c r="AL85" s="108"/>
      <c r="AM85" s="2"/>
      <c r="AN85" s="2"/>
      <c r="AO85" s="2"/>
      <c r="BC85" s="1"/>
      <c r="BD85" s="2"/>
      <c r="BE85" s="2"/>
      <c r="BF85" s="2"/>
      <c r="BG85" s="2"/>
      <c r="BH85" s="2"/>
      <c r="BI85" s="2"/>
      <c r="BJ85" s="2"/>
      <c r="BK85" s="2"/>
    </row>
    <row r="86" spans="1:63" outlineLevel="1" x14ac:dyDescent="0.2">
      <c r="A86" t="s">
        <v>1522</v>
      </c>
      <c r="B86" s="54" t="s">
        <v>462</v>
      </c>
      <c r="C86" s="110">
        <f>C70*C$85</f>
        <v>2.9064636138078598E-2</v>
      </c>
      <c r="D86" s="110">
        <f t="shared" ref="D86:AG86" si="56">D70*D$85</f>
        <v>3.627188811769895E-2</v>
      </c>
      <c r="E86" s="110">
        <f t="shared" si="56"/>
        <v>4.3453040227764493E-2</v>
      </c>
      <c r="F86" s="110">
        <f t="shared" si="56"/>
        <v>5.0608092468275245E-2</v>
      </c>
      <c r="G86" s="110">
        <f t="shared" si="56"/>
        <v>5.7737044839231193E-2</v>
      </c>
      <c r="H86" s="110">
        <f t="shared" si="56"/>
        <v>6.4839897340632321E-2</v>
      </c>
      <c r="I86" s="110">
        <f t="shared" si="56"/>
        <v>7.191664997247868E-2</v>
      </c>
      <c r="J86" s="110">
        <f t="shared" si="56"/>
        <v>7.8967302734770206E-2</v>
      </c>
      <c r="K86" s="110">
        <f t="shared" si="56"/>
        <v>8.5991855627506941E-2</v>
      </c>
      <c r="L86" s="110">
        <f t="shared" si="56"/>
        <v>9.2990308650688872E-2</v>
      </c>
      <c r="M86" s="110">
        <f t="shared" si="56"/>
        <v>9.9962661804315983E-2</v>
      </c>
      <c r="N86" s="110">
        <f t="shared" si="56"/>
        <v>0.11480555072260869</v>
      </c>
      <c r="O86" s="110">
        <f t="shared" si="56"/>
        <v>0.12959342914660896</v>
      </c>
      <c r="P86" s="110">
        <f t="shared" si="56"/>
        <v>0.14432629707631681</v>
      </c>
      <c r="Q86" s="110">
        <f t="shared" si="56"/>
        <v>0.15900415451173219</v>
      </c>
      <c r="R86" s="110">
        <f t="shared" si="56"/>
        <v>0.1736270014528552</v>
      </c>
      <c r="S86" s="110">
        <f t="shared" si="56"/>
        <v>0.18819483789968577</v>
      </c>
      <c r="T86" s="110">
        <f t="shared" si="56"/>
        <v>0.20270766385222388</v>
      </c>
      <c r="U86" s="110">
        <f t="shared" si="56"/>
        <v>0.21716547931046956</v>
      </c>
      <c r="V86" s="110">
        <f t="shared" si="56"/>
        <v>0.23156828427442283</v>
      </c>
      <c r="W86" s="110">
        <f t="shared" si="56"/>
        <v>0.24591607874408367</v>
      </c>
      <c r="X86" s="110">
        <f t="shared" si="56"/>
        <v>0.27013866302912581</v>
      </c>
      <c r="Y86" s="110">
        <f t="shared" si="56"/>
        <v>0.29426920461206779</v>
      </c>
      <c r="Z86" s="110">
        <f t="shared" si="56"/>
        <v>0.31830770349290971</v>
      </c>
      <c r="AA86" s="110">
        <f t="shared" si="56"/>
        <v>0.34225415967165135</v>
      </c>
      <c r="AB86" s="110">
        <f t="shared" si="56"/>
        <v>0.36610857314829298</v>
      </c>
      <c r="AC86" s="110">
        <f t="shared" si="56"/>
        <v>0.38987094392283445</v>
      </c>
      <c r="AD86" s="110">
        <f t="shared" si="56"/>
        <v>0.41354127199527574</v>
      </c>
      <c r="AE86" s="110">
        <f t="shared" si="56"/>
        <v>0.43711955736561686</v>
      </c>
      <c r="AF86" s="110">
        <f t="shared" si="56"/>
        <v>0.46060580003385793</v>
      </c>
      <c r="AG86" s="110">
        <f t="shared" si="56"/>
        <v>0.48400000000000004</v>
      </c>
      <c r="AI86" s="133"/>
      <c r="AJ86" s="211"/>
      <c r="AL86" s="108"/>
      <c r="AM86" s="2"/>
      <c r="AN86" s="2"/>
      <c r="AO86" s="2"/>
      <c r="AV86" s="41"/>
    </row>
    <row r="87" spans="1:63" outlineLevel="1" x14ac:dyDescent="0.2">
      <c r="A87" t="s">
        <v>1523</v>
      </c>
      <c r="B87" s="54" t="s">
        <v>462</v>
      </c>
      <c r="C87" s="110">
        <f>C73*C$85</f>
        <v>2.3251708910462881E-3</v>
      </c>
      <c r="D87" s="110">
        <f t="shared" ref="D87:AG87" si="57">D73*D$85</f>
        <v>3.7722763642406912E-3</v>
      </c>
      <c r="E87" s="110">
        <f t="shared" si="57"/>
        <v>5.5619891491538558E-3</v>
      </c>
      <c r="F87" s="110">
        <f t="shared" si="57"/>
        <v>7.6924300551778372E-3</v>
      </c>
      <c r="G87" s="110">
        <f t="shared" si="57"/>
        <v>1.0161719891704689E-2</v>
      </c>
      <c r="H87" s="110">
        <f t="shared" si="57"/>
        <v>1.2967979468126464E-2</v>
      </c>
      <c r="I87" s="110">
        <f t="shared" si="57"/>
        <v>1.6109329593835223E-2</v>
      </c>
      <c r="J87" s="110">
        <f t="shared" si="57"/>
        <v>1.9583891078223007E-2</v>
      </c>
      <c r="K87" s="110">
        <f t="shared" si="57"/>
        <v>2.3389784730681883E-2</v>
      </c>
      <c r="L87" s="110">
        <f t="shared" si="57"/>
        <v>2.7525131360603906E-2</v>
      </c>
      <c r="M87" s="110">
        <f t="shared" si="57"/>
        <v>3.1988051777381114E-2</v>
      </c>
      <c r="N87" s="110">
        <f t="shared" si="57"/>
        <v>3.9493109448577389E-2</v>
      </c>
      <c r="O87" s="110">
        <f t="shared" si="57"/>
        <v>4.7690381925952104E-2</v>
      </c>
      <c r="P87" s="110">
        <f t="shared" si="57"/>
        <v>5.6575908453916204E-2</v>
      </c>
      <c r="Q87" s="110">
        <f t="shared" si="57"/>
        <v>6.6145728276880617E-2</v>
      </c>
      <c r="R87" s="110">
        <f t="shared" si="57"/>
        <v>7.6395880639256314E-2</v>
      </c>
      <c r="S87" s="110">
        <f t="shared" si="57"/>
        <v>8.7322404785454222E-2</v>
      </c>
      <c r="T87" s="110">
        <f t="shared" si="57"/>
        <v>9.8921339959885293E-2</v>
      </c>
      <c r="U87" s="110">
        <f t="shared" si="57"/>
        <v>0.11118872540696045</v>
      </c>
      <c r="V87" s="110">
        <f t="shared" si="57"/>
        <v>0.12412060037109067</v>
      </c>
      <c r="W87" s="110">
        <f t="shared" si="57"/>
        <v>0.13771300409668688</v>
      </c>
      <c r="X87" s="110">
        <f t="shared" si="57"/>
        <v>0.1577609792090095</v>
      </c>
      <c r="Y87" s="110">
        <f t="shared" si="57"/>
        <v>0.1789156764041373</v>
      </c>
      <c r="Z87" s="110">
        <f t="shared" si="57"/>
        <v>0.20117046860751903</v>
      </c>
      <c r="AA87" s="110">
        <f t="shared" si="57"/>
        <v>0.22451872874460341</v>
      </c>
      <c r="AB87" s="110">
        <f t="shared" si="57"/>
        <v>0.24895382974083935</v>
      </c>
      <c r="AC87" s="110">
        <f t="shared" si="57"/>
        <v>0.27446914452167553</v>
      </c>
      <c r="AD87" s="110">
        <f t="shared" si="57"/>
        <v>0.30105804601256081</v>
      </c>
      <c r="AE87" s="110">
        <f t="shared" si="57"/>
        <v>0.32871390713894405</v>
      </c>
      <c r="AF87" s="110">
        <f t="shared" si="57"/>
        <v>0.35743010082627391</v>
      </c>
      <c r="AG87" s="110">
        <f t="shared" si="57"/>
        <v>0.38720000000000004</v>
      </c>
      <c r="AI87" s="133"/>
      <c r="AJ87" s="211"/>
      <c r="AL87" s="108"/>
      <c r="AM87" s="2"/>
      <c r="AN87" s="2"/>
      <c r="AO87" s="2"/>
      <c r="AV87" s="41"/>
    </row>
    <row r="88" spans="1:63" outlineLevel="1" x14ac:dyDescent="0.2">
      <c r="A88" t="s">
        <v>1524</v>
      </c>
      <c r="B88" s="176" t="s">
        <v>462</v>
      </c>
      <c r="C88" s="110">
        <f>C74*C$85</f>
        <v>2.6739465247032315E-2</v>
      </c>
      <c r="D88" s="110">
        <f t="shared" ref="D88:AG88" si="58">D74*D$85</f>
        <v>3.2499611753458259E-2</v>
      </c>
      <c r="E88" s="110">
        <f t="shared" si="58"/>
        <v>3.7891051078610641E-2</v>
      </c>
      <c r="F88" s="110">
        <f t="shared" si="58"/>
        <v>4.2915662413097404E-2</v>
      </c>
      <c r="G88" s="110">
        <f t="shared" si="58"/>
        <v>4.7575324947526504E-2</v>
      </c>
      <c r="H88" s="110">
        <f t="shared" si="58"/>
        <v>5.1871917872505863E-2</v>
      </c>
      <c r="I88" s="110">
        <f t="shared" si="58"/>
        <v>5.5807320378643457E-2</v>
      </c>
      <c r="J88" s="110">
        <f t="shared" si="58"/>
        <v>5.9383411656547189E-2</v>
      </c>
      <c r="K88" s="110">
        <f t="shared" si="58"/>
        <v>6.2602070896825054E-2</v>
      </c>
      <c r="L88" s="110">
        <f t="shared" si="58"/>
        <v>6.5465177290084969E-2</v>
      </c>
      <c r="M88" s="110">
        <f t="shared" si="58"/>
        <v>6.7974610026934862E-2</v>
      </c>
      <c r="N88" s="110">
        <f t="shared" si="58"/>
        <v>7.5312441274031278E-2</v>
      </c>
      <c r="O88" s="110">
        <f t="shared" si="58"/>
        <v>8.1903047220656847E-2</v>
      </c>
      <c r="P88" s="110">
        <f t="shared" si="58"/>
        <v>8.7750388622400602E-2</v>
      </c>
      <c r="Q88" s="110">
        <f t="shared" si="58"/>
        <v>9.285842623485159E-2</v>
      </c>
      <c r="R88" s="110">
        <f t="shared" si="58"/>
        <v>9.7231120813598873E-2</v>
      </c>
      <c r="S88" s="110">
        <f t="shared" si="58"/>
        <v>0.10087243311423154</v>
      </c>
      <c r="T88" s="110">
        <f t="shared" si="58"/>
        <v>0.10378632389233859</v>
      </c>
      <c r="U88" s="110">
        <f t="shared" si="58"/>
        <v>0.10597675390350912</v>
      </c>
      <c r="V88" s="110">
        <f t="shared" si="58"/>
        <v>0.10744768390333216</v>
      </c>
      <c r="W88" s="110">
        <f t="shared" si="58"/>
        <v>0.10820307464739679</v>
      </c>
      <c r="X88" s="110">
        <f t="shared" si="58"/>
        <v>0.11237768382011629</v>
      </c>
      <c r="Y88" s="110">
        <f t="shared" si="58"/>
        <v>0.11535352820793052</v>
      </c>
      <c r="Z88" s="110">
        <f t="shared" si="58"/>
        <v>0.11713723488539071</v>
      </c>
      <c r="AA88" s="110">
        <f t="shared" si="58"/>
        <v>0.11773543092704798</v>
      </c>
      <c r="AB88" s="110">
        <f t="shared" si="58"/>
        <v>0.11715474340745367</v>
      </c>
      <c r="AC88" s="110">
        <f t="shared" si="58"/>
        <v>0.11540179940115888</v>
      </c>
      <c r="AD88" s="110">
        <f t="shared" si="58"/>
        <v>0.11248322598271487</v>
      </c>
      <c r="AE88" s="110">
        <f t="shared" si="58"/>
        <v>0.10840565022667284</v>
      </c>
      <c r="AF88" s="110">
        <f t="shared" si="58"/>
        <v>0.103175699207584</v>
      </c>
      <c r="AG88" s="110">
        <f t="shared" si="58"/>
        <v>9.6799999999999983E-2</v>
      </c>
      <c r="AI88" s="133"/>
      <c r="AJ88" s="211"/>
      <c r="AL88" s="108"/>
      <c r="AM88" s="2"/>
      <c r="AN88" s="2"/>
      <c r="AO88" s="2"/>
    </row>
    <row r="89" spans="1:63" outlineLevel="1" x14ac:dyDescent="0.2">
      <c r="A89" t="s">
        <v>1500</v>
      </c>
      <c r="B89" s="54" t="s">
        <v>462</v>
      </c>
      <c r="C89" s="110">
        <f>C81*C$85</f>
        <v>1.3904521928456804E-2</v>
      </c>
      <c r="D89" s="110">
        <f t="shared" ref="D89:AG89" si="59">D81*D$85</f>
        <v>1.6899798111798297E-2</v>
      </c>
      <c r="E89" s="110">
        <f t="shared" si="59"/>
        <v>1.9703346560877535E-2</v>
      </c>
      <c r="F89" s="110">
        <f t="shared" si="59"/>
        <v>2.2316144454810651E-2</v>
      </c>
      <c r="G89" s="110">
        <f t="shared" si="59"/>
        <v>2.4739168972713783E-2</v>
      </c>
      <c r="H89" s="110">
        <f t="shared" si="59"/>
        <v>2.6973397293703048E-2</v>
      </c>
      <c r="I89" s="110">
        <f t="shared" si="59"/>
        <v>2.9019806596894595E-2</v>
      </c>
      <c r="J89" s="110">
        <f t="shared" si="59"/>
        <v>3.0879374061404542E-2</v>
      </c>
      <c r="K89" s="110">
        <f t="shared" si="59"/>
        <v>3.2553076866349027E-2</v>
      </c>
      <c r="L89" s="110">
        <f t="shared" si="59"/>
        <v>3.4041892190844185E-2</v>
      </c>
      <c r="M89" s="110">
        <f t="shared" si="59"/>
        <v>3.5346797214006132E-2</v>
      </c>
      <c r="N89" s="110">
        <f t="shared" si="59"/>
        <v>3.9162469462496269E-2</v>
      </c>
      <c r="O89" s="110">
        <f t="shared" si="59"/>
        <v>4.2589584554741565E-2</v>
      </c>
      <c r="P89" s="110">
        <f t="shared" si="59"/>
        <v>4.5630202083648319E-2</v>
      </c>
      <c r="Q89" s="110">
        <f t="shared" si="59"/>
        <v>4.8286381642122823E-2</v>
      </c>
      <c r="R89" s="110">
        <f t="shared" si="59"/>
        <v>5.0560182823071419E-2</v>
      </c>
      <c r="S89" s="110">
        <f t="shared" si="59"/>
        <v>5.2453665219400404E-2</v>
      </c>
      <c r="T89" s="110">
        <f t="shared" si="59"/>
        <v>5.3968888424016065E-2</v>
      </c>
      <c r="U89" s="110">
        <f t="shared" si="59"/>
        <v>5.5107912029824742E-2</v>
      </c>
      <c r="V89" s="110">
        <f t="shared" si="59"/>
        <v>5.5872795629732727E-2</v>
      </c>
      <c r="W89" s="110">
        <f t="shared" si="59"/>
        <v>5.6265598816646327E-2</v>
      </c>
      <c r="X89" s="110">
        <f t="shared" si="59"/>
        <v>5.8436395586460466E-2</v>
      </c>
      <c r="Y89" s="110">
        <f t="shared" si="59"/>
        <v>5.9983834668123875E-2</v>
      </c>
      <c r="Z89" s="110">
        <f t="shared" si="59"/>
        <v>6.0911362140403165E-2</v>
      </c>
      <c r="AA89" s="110">
        <f t="shared" si="59"/>
        <v>6.1222424082064957E-2</v>
      </c>
      <c r="AB89" s="110">
        <f t="shared" si="59"/>
        <v>6.0920466571875914E-2</v>
      </c>
      <c r="AC89" s="110">
        <f t="shared" si="59"/>
        <v>6.0008935688602619E-2</v>
      </c>
      <c r="AD89" s="110">
        <f t="shared" si="59"/>
        <v>5.8491277511011734E-2</v>
      </c>
      <c r="AE89" s="110">
        <f t="shared" si="59"/>
        <v>5.6370938117869876E-2</v>
      </c>
      <c r="AF89" s="110">
        <f t="shared" si="59"/>
        <v>5.3651363587943687E-2</v>
      </c>
      <c r="AG89" s="110">
        <f t="shared" si="59"/>
        <v>5.0335999999999999E-2</v>
      </c>
      <c r="AI89" s="133"/>
      <c r="AJ89" s="211"/>
      <c r="AL89" s="108"/>
      <c r="AM89" s="2"/>
      <c r="AN89" s="2"/>
      <c r="AO89" s="2"/>
      <c r="BC89" s="1"/>
      <c r="BD89" s="2"/>
      <c r="BE89" s="2"/>
      <c r="BF89" s="2"/>
      <c r="BG89" s="2"/>
      <c r="BH89" s="2"/>
      <c r="BI89" s="2"/>
      <c r="BJ89" s="2"/>
      <c r="BK89" s="2"/>
    </row>
    <row r="90" spans="1:63" outlineLevel="1" x14ac:dyDescent="0.2">
      <c r="A90" t="s">
        <v>1501</v>
      </c>
      <c r="B90" s="54" t="s">
        <v>462</v>
      </c>
      <c r="C90" s="110">
        <f>C82*C$85</f>
        <v>3.2087358296438774E-3</v>
      </c>
      <c r="D90" s="110">
        <f t="shared" ref="D90:AG90" si="60">D82*D$85</f>
        <v>3.8999534104149913E-3</v>
      </c>
      <c r="E90" s="110">
        <f t="shared" si="60"/>
        <v>4.5469261294332772E-3</v>
      </c>
      <c r="F90" s="110">
        <f t="shared" si="60"/>
        <v>5.1498794895716883E-3</v>
      </c>
      <c r="G90" s="110">
        <f t="shared" si="60"/>
        <v>5.7090389937031801E-3</v>
      </c>
      <c r="H90" s="110">
        <f t="shared" si="60"/>
        <v>6.2246301447007029E-3</v>
      </c>
      <c r="I90" s="110">
        <f t="shared" si="60"/>
        <v>6.6968784454372147E-3</v>
      </c>
      <c r="J90" s="110">
        <f t="shared" si="60"/>
        <v>7.1260093987856625E-3</v>
      </c>
      <c r="K90" s="110">
        <f t="shared" si="60"/>
        <v>7.5122485076190059E-3</v>
      </c>
      <c r="L90" s="110">
        <f t="shared" si="60"/>
        <v>7.8558212748101944E-3</v>
      </c>
      <c r="M90" s="110">
        <f t="shared" si="60"/>
        <v>8.1569532032321843E-3</v>
      </c>
      <c r="N90" s="110">
        <f t="shared" si="60"/>
        <v>9.0374929528837539E-3</v>
      </c>
      <c r="O90" s="110">
        <f t="shared" si="60"/>
        <v>9.8283656664788221E-3</v>
      </c>
      <c r="P90" s="110">
        <f t="shared" si="60"/>
        <v>1.0530046634688071E-2</v>
      </c>
      <c r="Q90" s="110">
        <f t="shared" si="60"/>
        <v>1.114301114818219E-2</v>
      </c>
      <c r="R90" s="110">
        <f t="shared" si="60"/>
        <v>1.1667734497631864E-2</v>
      </c>
      <c r="S90" s="110">
        <f t="shared" si="60"/>
        <v>1.2104691973707785E-2</v>
      </c>
      <c r="T90" s="110">
        <f t="shared" si="60"/>
        <v>1.245435886708063E-2</v>
      </c>
      <c r="U90" s="110">
        <f t="shared" si="60"/>
        <v>1.2717210468421095E-2</v>
      </c>
      <c r="V90" s="110">
        <f t="shared" si="60"/>
        <v>1.2893722068399859E-2</v>
      </c>
      <c r="W90" s="110">
        <f t="shared" si="60"/>
        <v>1.2984368957687613E-2</v>
      </c>
      <c r="X90" s="110">
        <f t="shared" si="60"/>
        <v>1.3485322058413953E-2</v>
      </c>
      <c r="Y90" s="110">
        <f t="shared" si="60"/>
        <v>1.3842423384951662E-2</v>
      </c>
      <c r="Z90" s="110">
        <f t="shared" si="60"/>
        <v>1.4056468186246885E-2</v>
      </c>
      <c r="AA90" s="110">
        <f t="shared" si="60"/>
        <v>1.4128251711245758E-2</v>
      </c>
      <c r="AB90" s="110">
        <f t="shared" si="60"/>
        <v>1.4058569208894438E-2</v>
      </c>
      <c r="AC90" s="110">
        <f t="shared" si="60"/>
        <v>1.3848215928139066E-2</v>
      </c>
      <c r="AD90" s="110">
        <f t="shared" si="60"/>
        <v>1.3497987117925783E-2</v>
      </c>
      <c r="AE90" s="110">
        <f t="shared" si="60"/>
        <v>1.3008678027200741E-2</v>
      </c>
      <c r="AF90" s="110">
        <f t="shared" si="60"/>
        <v>1.2381083904910078E-2</v>
      </c>
      <c r="AG90" s="110">
        <f t="shared" si="60"/>
        <v>1.1615999999999998E-2</v>
      </c>
      <c r="AI90" s="133"/>
      <c r="AJ90" s="211"/>
      <c r="AL90" s="108"/>
      <c r="AM90" s="2"/>
      <c r="AN90" s="2"/>
      <c r="AO90" s="2"/>
      <c r="BC90" s="1"/>
      <c r="BD90" s="2"/>
      <c r="BE90" s="2"/>
      <c r="BF90" s="2"/>
      <c r="BG90" s="2"/>
      <c r="BH90" s="2"/>
      <c r="BI90" s="2"/>
      <c r="BJ90" s="2"/>
      <c r="BK90" s="2"/>
    </row>
    <row r="91" spans="1:63" outlineLevel="1" x14ac:dyDescent="0.2">
      <c r="A91" t="s">
        <v>1502</v>
      </c>
      <c r="B91" s="54" t="s">
        <v>462</v>
      </c>
      <c r="C91" s="110">
        <f>C83*C$85</f>
        <v>9.6262074889316325E-3</v>
      </c>
      <c r="D91" s="110">
        <f t="shared" ref="D91:AG91" si="61">D83*D$85</f>
        <v>1.1699860231244974E-2</v>
      </c>
      <c r="E91" s="110">
        <f t="shared" si="61"/>
        <v>1.3640778388299831E-2</v>
      </c>
      <c r="F91" s="110">
        <f t="shared" si="61"/>
        <v>1.5449638468715067E-2</v>
      </c>
      <c r="G91" s="110">
        <f t="shared" si="61"/>
        <v>1.7127116981109542E-2</v>
      </c>
      <c r="H91" s="110">
        <f t="shared" si="61"/>
        <v>1.867389043410211E-2</v>
      </c>
      <c r="I91" s="110">
        <f t="shared" si="61"/>
        <v>2.0090635336311644E-2</v>
      </c>
      <c r="J91" s="110">
        <f t="shared" si="61"/>
        <v>2.1378028196356987E-2</v>
      </c>
      <c r="K91" s="110">
        <f t="shared" si="61"/>
        <v>2.2536745522857018E-2</v>
      </c>
      <c r="L91" s="110">
        <f t="shared" si="61"/>
        <v>2.3567463824430587E-2</v>
      </c>
      <c r="M91" s="110">
        <f t="shared" si="61"/>
        <v>2.4470859609696551E-2</v>
      </c>
      <c r="N91" s="110">
        <f t="shared" si="61"/>
        <v>2.7112478858651264E-2</v>
      </c>
      <c r="O91" s="110">
        <f t="shared" si="61"/>
        <v>2.9485096999436463E-2</v>
      </c>
      <c r="P91" s="110">
        <f t="shared" si="61"/>
        <v>3.1590139904064216E-2</v>
      </c>
      <c r="Q91" s="110">
        <f t="shared" si="61"/>
        <v>3.342903344454657E-2</v>
      </c>
      <c r="R91" s="110">
        <f t="shared" si="61"/>
        <v>3.5003203492895596E-2</v>
      </c>
      <c r="S91" s="110">
        <f t="shared" si="61"/>
        <v>3.6314075921123352E-2</v>
      </c>
      <c r="T91" s="110">
        <f t="shared" si="61"/>
        <v>3.7363076601241892E-2</v>
      </c>
      <c r="U91" s="110">
        <f t="shared" si="61"/>
        <v>3.8151631405263287E-2</v>
      </c>
      <c r="V91" s="110">
        <f t="shared" si="61"/>
        <v>3.8681166205199576E-2</v>
      </c>
      <c r="W91" s="110">
        <f t="shared" si="61"/>
        <v>3.8953106873062839E-2</v>
      </c>
      <c r="X91" s="110">
        <f t="shared" si="61"/>
        <v>4.0455966175241859E-2</v>
      </c>
      <c r="Y91" s="110">
        <f t="shared" si="61"/>
        <v>4.1527270154854988E-2</v>
      </c>
      <c r="Z91" s="110">
        <f t="shared" si="61"/>
        <v>4.2169404558740652E-2</v>
      </c>
      <c r="AA91" s="110">
        <f t="shared" si="61"/>
        <v>4.2384755133737274E-2</v>
      </c>
      <c r="AB91" s="110">
        <f t="shared" si="61"/>
        <v>4.2175707626683316E-2</v>
      </c>
      <c r="AC91" s="110">
        <f t="shared" si="61"/>
        <v>4.1544647784417195E-2</v>
      </c>
      <c r="AD91" s="110">
        <f t="shared" si="61"/>
        <v>4.049396135377735E-2</v>
      </c>
      <c r="AE91" s="110">
        <f t="shared" si="61"/>
        <v>3.9026034081602219E-2</v>
      </c>
      <c r="AF91" s="110">
        <f t="shared" si="61"/>
        <v>3.7143251714730242E-2</v>
      </c>
      <c r="AG91" s="110">
        <f t="shared" si="61"/>
        <v>3.4847999999999997E-2</v>
      </c>
      <c r="AI91" s="133"/>
      <c r="AJ91" s="211"/>
      <c r="AL91" s="108"/>
      <c r="AM91" s="2"/>
      <c r="AN91" s="2"/>
      <c r="AO91" s="2"/>
      <c r="BC91" s="1"/>
      <c r="BD91" s="2"/>
      <c r="BE91" s="2"/>
      <c r="BF91" s="2"/>
      <c r="BG91" s="2"/>
      <c r="BH91" s="2"/>
      <c r="BI91" s="2"/>
      <c r="BJ91" s="2"/>
      <c r="BK91" s="2"/>
    </row>
    <row r="92" spans="1:63" outlineLevel="1" x14ac:dyDescent="0.2">
      <c r="C92" s="110"/>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c r="AD92" s="23"/>
      <c r="AE92" s="23"/>
      <c r="AF92" s="23"/>
      <c r="AG92" s="23"/>
      <c r="AJ92" s="211"/>
      <c r="AM92" s="123"/>
      <c r="AN92" s="123"/>
    </row>
    <row r="93" spans="1:63" s="200" customFormat="1" ht="16" thickBot="1" x14ac:dyDescent="0.25">
      <c r="A93" s="200" t="s">
        <v>1339</v>
      </c>
      <c r="B93" s="215"/>
      <c r="C93" s="224">
        <f>C94</f>
        <v>0.13</v>
      </c>
      <c r="D93" s="224">
        <f t="shared" ref="D93:AG93" si="62">D94</f>
        <v>0.13557711853523402</v>
      </c>
      <c r="E93" s="224">
        <f t="shared" si="62"/>
        <v>0.14115423707046801</v>
      </c>
      <c r="F93" s="224">
        <f t="shared" si="62"/>
        <v>0.14673135560570202</v>
      </c>
      <c r="G93" s="224">
        <f t="shared" si="62"/>
        <v>0.15230847414093604</v>
      </c>
      <c r="H93" s="224">
        <f t="shared" si="62"/>
        <v>0.15788559267617003</v>
      </c>
      <c r="I93" s="224">
        <f t="shared" si="62"/>
        <v>0.16346271121140404</v>
      </c>
      <c r="J93" s="224">
        <f t="shared" si="62"/>
        <v>0.16903982974663806</v>
      </c>
      <c r="K93" s="224">
        <f t="shared" si="62"/>
        <v>0.17461694828187208</v>
      </c>
      <c r="L93" s="224">
        <f t="shared" si="62"/>
        <v>0.18019406681710606</v>
      </c>
      <c r="M93" s="224">
        <f t="shared" si="62"/>
        <v>0.18577118535234008</v>
      </c>
      <c r="N93" s="224">
        <f t="shared" si="62"/>
        <v>0.19752603518814099</v>
      </c>
      <c r="O93" s="224">
        <f t="shared" si="62"/>
        <v>0.20928088502394188</v>
      </c>
      <c r="P93" s="224">
        <f t="shared" si="62"/>
        <v>0.22103573485974279</v>
      </c>
      <c r="Q93" s="224">
        <f t="shared" si="62"/>
        <v>0.2327905846955437</v>
      </c>
      <c r="R93" s="224">
        <f t="shared" si="62"/>
        <v>0.24454543453134459</v>
      </c>
      <c r="S93" s="224">
        <f t="shared" si="62"/>
        <v>0.25630028436714547</v>
      </c>
      <c r="T93" s="224">
        <f t="shared" si="62"/>
        <v>0.26805513420294641</v>
      </c>
      <c r="U93" s="224">
        <f t="shared" si="62"/>
        <v>0.27980998403874729</v>
      </c>
      <c r="V93" s="224">
        <f t="shared" si="62"/>
        <v>0.29156483387454823</v>
      </c>
      <c r="W93" s="224">
        <f t="shared" si="62"/>
        <v>0.30331968371034912</v>
      </c>
      <c r="X93" s="224">
        <f t="shared" si="62"/>
        <v>0.3229877153393142</v>
      </c>
      <c r="Y93" s="224">
        <f t="shared" si="62"/>
        <v>0.34265574696827927</v>
      </c>
      <c r="Z93" s="224">
        <f t="shared" si="62"/>
        <v>0.36232377859724441</v>
      </c>
      <c r="AA93" s="224">
        <f t="shared" si="62"/>
        <v>0.38199181022620948</v>
      </c>
      <c r="AB93" s="224">
        <f t="shared" si="62"/>
        <v>0.40165984185517456</v>
      </c>
      <c r="AC93" s="224">
        <f t="shared" si="62"/>
        <v>0.42132787348413964</v>
      </c>
      <c r="AD93" s="224">
        <f t="shared" si="62"/>
        <v>0.44099590511310471</v>
      </c>
      <c r="AE93" s="224">
        <f t="shared" si="62"/>
        <v>0.46066393674206985</v>
      </c>
      <c r="AF93" s="224">
        <f t="shared" si="62"/>
        <v>0.48033196837103487</v>
      </c>
      <c r="AG93" s="224">
        <f t="shared" si="62"/>
        <v>0.5</v>
      </c>
      <c r="AJ93" s="231" t="s">
        <v>1483</v>
      </c>
      <c r="AL93" s="217"/>
      <c r="AM93" s="225"/>
      <c r="AN93" s="225"/>
      <c r="AO93" s="225"/>
    </row>
    <row r="94" spans="1:63" ht="16" outlineLevel="1" thickTop="1" x14ac:dyDescent="0.2">
      <c r="A94" t="s">
        <v>1341</v>
      </c>
      <c r="B94" s="54" t="s">
        <v>462</v>
      </c>
      <c r="C94" s="214">
        <v>0.13</v>
      </c>
      <c r="D94" s="110">
        <f>$C94+($M94-$C94)/10*(D$1-$C$1)</f>
        <v>0.13557711853523402</v>
      </c>
      <c r="E94" s="110">
        <f t="shared" ref="E94:L94" si="63">$C94+($M94-$C94)/10*(E$1-$C$1)</f>
        <v>0.14115423707046801</v>
      </c>
      <c r="F94" s="110">
        <f t="shared" si="63"/>
        <v>0.14673135560570202</v>
      </c>
      <c r="G94" s="110">
        <f t="shared" si="63"/>
        <v>0.15230847414093604</v>
      </c>
      <c r="H94" s="110">
        <f t="shared" si="63"/>
        <v>0.15788559267617003</v>
      </c>
      <c r="I94" s="110">
        <f t="shared" si="63"/>
        <v>0.16346271121140404</v>
      </c>
      <c r="J94" s="110">
        <f t="shared" si="63"/>
        <v>0.16903982974663806</v>
      </c>
      <c r="K94" s="110">
        <f t="shared" si="63"/>
        <v>0.17461694828187208</v>
      </c>
      <c r="L94" s="110">
        <f t="shared" si="63"/>
        <v>0.18019406681710606</v>
      </c>
      <c r="M94" s="121">
        <f>(M$55-$C$55)/($AG$55-$C$55)*($AG94-$C94)+$C94</f>
        <v>0.18577118535234008</v>
      </c>
      <c r="N94" s="121">
        <f>$M94+($W94-$M94)/10*(N$1-$M$1)</f>
        <v>0.19752603518814099</v>
      </c>
      <c r="O94" s="121">
        <f t="shared" ref="O94:U94" si="64">$M94+($W94-$M94)/10*(O$1-$M$1)</f>
        <v>0.20928088502394188</v>
      </c>
      <c r="P94" s="121">
        <f t="shared" si="64"/>
        <v>0.22103573485974279</v>
      </c>
      <c r="Q94" s="121">
        <f t="shared" si="64"/>
        <v>0.2327905846955437</v>
      </c>
      <c r="R94" s="121">
        <f t="shared" si="64"/>
        <v>0.24454543453134459</v>
      </c>
      <c r="S94" s="121">
        <f t="shared" si="64"/>
        <v>0.25630028436714547</v>
      </c>
      <c r="T94" s="121">
        <f t="shared" si="64"/>
        <v>0.26805513420294641</v>
      </c>
      <c r="U94" s="121">
        <f t="shared" si="64"/>
        <v>0.27980998403874729</v>
      </c>
      <c r="V94" s="121">
        <f>$M94+($W94-$M94)/10*(V$1-$M$1)</f>
        <v>0.29156483387454823</v>
      </c>
      <c r="W94" s="121">
        <f>(W$55-$C$55)/($AG$55-$C$55)*($AG94-$C94)+$C94</f>
        <v>0.30331968371034912</v>
      </c>
      <c r="X94" s="110">
        <f>$W94+($AG94-$W94)/10*(X$1-$W$1)</f>
        <v>0.3229877153393142</v>
      </c>
      <c r="Y94" s="110">
        <f t="shared" ref="Y94:AF94" si="65">$W94+($AG94-$W94)/10*(Y$1-$W$1)</f>
        <v>0.34265574696827927</v>
      </c>
      <c r="Z94" s="110">
        <f t="shared" si="65"/>
        <v>0.36232377859724441</v>
      </c>
      <c r="AA94" s="110">
        <f t="shared" si="65"/>
        <v>0.38199181022620948</v>
      </c>
      <c r="AB94" s="110">
        <f t="shared" si="65"/>
        <v>0.40165984185517456</v>
      </c>
      <c r="AC94" s="110">
        <f t="shared" si="65"/>
        <v>0.42132787348413964</v>
      </c>
      <c r="AD94" s="110">
        <f t="shared" si="65"/>
        <v>0.44099590511310471</v>
      </c>
      <c r="AE94" s="110">
        <f t="shared" si="65"/>
        <v>0.46066393674206985</v>
      </c>
      <c r="AF94" s="110">
        <f t="shared" si="65"/>
        <v>0.48033196837103487</v>
      </c>
      <c r="AG94" s="214">
        <v>0.5</v>
      </c>
      <c r="AJ94" s="211" t="s">
        <v>1342</v>
      </c>
    </row>
    <row r="95" spans="1:63" outlineLevel="1" x14ac:dyDescent="0.2">
      <c r="A95" t="s">
        <v>1453</v>
      </c>
      <c r="B95" s="54" t="s">
        <v>462</v>
      </c>
      <c r="C95" s="214">
        <v>0.05</v>
      </c>
      <c r="D95" s="110">
        <f t="shared" ref="D95:AF95" si="66">C95-($C$95-$AG$95)/($AG$1-$C$1)</f>
        <v>6.1666666666666668E-2</v>
      </c>
      <c r="E95" s="110">
        <f t="shared" si="66"/>
        <v>7.3333333333333334E-2</v>
      </c>
      <c r="F95" s="110">
        <f t="shared" si="66"/>
        <v>8.5000000000000006E-2</v>
      </c>
      <c r="G95" s="110">
        <f t="shared" si="66"/>
        <v>9.6666666666666679E-2</v>
      </c>
      <c r="H95" s="110">
        <f t="shared" si="66"/>
        <v>0.10833333333333335</v>
      </c>
      <c r="I95" s="110">
        <f t="shared" si="66"/>
        <v>0.12000000000000002</v>
      </c>
      <c r="J95" s="110">
        <f t="shared" si="66"/>
        <v>0.13166666666666668</v>
      </c>
      <c r="K95" s="110">
        <f t="shared" si="66"/>
        <v>0.14333333333333334</v>
      </c>
      <c r="L95" s="110">
        <f t="shared" si="66"/>
        <v>0.155</v>
      </c>
      <c r="M95" s="110">
        <f t="shared" si="66"/>
        <v>0.16666666666666666</v>
      </c>
      <c r="N95" s="110">
        <f t="shared" si="66"/>
        <v>0.17833333333333332</v>
      </c>
      <c r="O95" s="110">
        <f t="shared" si="66"/>
        <v>0.18999999999999997</v>
      </c>
      <c r="P95" s="110">
        <f t="shared" si="66"/>
        <v>0.20166666666666663</v>
      </c>
      <c r="Q95" s="110">
        <f t="shared" si="66"/>
        <v>0.21333333333333329</v>
      </c>
      <c r="R95" s="110">
        <f t="shared" si="66"/>
        <v>0.22499999999999995</v>
      </c>
      <c r="S95" s="110">
        <f t="shared" si="66"/>
        <v>0.23666666666666661</v>
      </c>
      <c r="T95" s="110">
        <f t="shared" si="66"/>
        <v>0.24833333333333327</v>
      </c>
      <c r="U95" s="110">
        <f t="shared" si="66"/>
        <v>0.25999999999999995</v>
      </c>
      <c r="V95" s="110">
        <f t="shared" si="66"/>
        <v>0.27166666666666661</v>
      </c>
      <c r="W95" s="110">
        <f t="shared" si="66"/>
        <v>0.28333333333333327</v>
      </c>
      <c r="X95" s="110">
        <f t="shared" si="66"/>
        <v>0.29499999999999993</v>
      </c>
      <c r="Y95" s="110">
        <f t="shared" si="66"/>
        <v>0.30666666666666659</v>
      </c>
      <c r="Z95" s="110">
        <f t="shared" si="66"/>
        <v>0.31833333333333325</v>
      </c>
      <c r="AA95" s="110">
        <f t="shared" si="66"/>
        <v>0.3299999999999999</v>
      </c>
      <c r="AB95" s="110">
        <f t="shared" si="66"/>
        <v>0.34166666666666656</v>
      </c>
      <c r="AC95" s="110">
        <f t="shared" si="66"/>
        <v>0.35333333333333322</v>
      </c>
      <c r="AD95" s="110">
        <f t="shared" si="66"/>
        <v>0.36499999999999988</v>
      </c>
      <c r="AE95" s="110">
        <f t="shared" si="66"/>
        <v>0.37666666666666654</v>
      </c>
      <c r="AF95" s="110">
        <f t="shared" si="66"/>
        <v>0.3883333333333332</v>
      </c>
      <c r="AG95" s="214">
        <v>0.4</v>
      </c>
      <c r="AI95" s="135"/>
      <c r="AJ95" s="211" t="s">
        <v>1525</v>
      </c>
      <c r="AM95" s="123"/>
      <c r="AN95" s="123"/>
    </row>
    <row r="96" spans="1:63" ht="14.5" customHeight="1" outlineLevel="1" x14ac:dyDescent="0.2">
      <c r="A96" t="s">
        <v>1455</v>
      </c>
      <c r="B96" s="176" t="s">
        <v>462</v>
      </c>
      <c r="C96" s="110">
        <f>1-C95</f>
        <v>0.95</v>
      </c>
      <c r="D96" s="110">
        <f t="shared" ref="D96:AG96" si="67">1-D95</f>
        <v>0.93833333333333335</v>
      </c>
      <c r="E96" s="110">
        <f t="shared" si="67"/>
        <v>0.92666666666666664</v>
      </c>
      <c r="F96" s="110">
        <f t="shared" si="67"/>
        <v>0.91500000000000004</v>
      </c>
      <c r="G96" s="110">
        <f t="shared" si="67"/>
        <v>0.90333333333333332</v>
      </c>
      <c r="H96" s="110">
        <f t="shared" si="67"/>
        <v>0.89166666666666661</v>
      </c>
      <c r="I96" s="110">
        <f t="shared" si="67"/>
        <v>0.88</v>
      </c>
      <c r="J96" s="110">
        <f t="shared" si="67"/>
        <v>0.86833333333333329</v>
      </c>
      <c r="K96" s="110">
        <f t="shared" si="67"/>
        <v>0.85666666666666669</v>
      </c>
      <c r="L96" s="110">
        <f t="shared" si="67"/>
        <v>0.84499999999999997</v>
      </c>
      <c r="M96" s="110">
        <f t="shared" si="67"/>
        <v>0.83333333333333337</v>
      </c>
      <c r="N96" s="110">
        <f t="shared" si="67"/>
        <v>0.82166666666666666</v>
      </c>
      <c r="O96" s="110">
        <f t="shared" si="67"/>
        <v>0.81</v>
      </c>
      <c r="P96" s="110">
        <f t="shared" si="67"/>
        <v>0.79833333333333334</v>
      </c>
      <c r="Q96" s="110">
        <f t="shared" si="67"/>
        <v>0.78666666666666674</v>
      </c>
      <c r="R96" s="110">
        <f t="shared" si="67"/>
        <v>0.77500000000000002</v>
      </c>
      <c r="S96" s="110">
        <f t="shared" si="67"/>
        <v>0.76333333333333342</v>
      </c>
      <c r="T96" s="110">
        <f t="shared" si="67"/>
        <v>0.75166666666666671</v>
      </c>
      <c r="U96" s="110">
        <f t="shared" si="67"/>
        <v>0.74</v>
      </c>
      <c r="V96" s="110">
        <f t="shared" si="67"/>
        <v>0.72833333333333339</v>
      </c>
      <c r="W96" s="110">
        <f t="shared" si="67"/>
        <v>0.71666666666666679</v>
      </c>
      <c r="X96" s="110">
        <f t="shared" si="67"/>
        <v>0.70500000000000007</v>
      </c>
      <c r="Y96" s="110">
        <f t="shared" si="67"/>
        <v>0.69333333333333336</v>
      </c>
      <c r="Z96" s="110">
        <f t="shared" si="67"/>
        <v>0.68166666666666675</v>
      </c>
      <c r="AA96" s="110">
        <f t="shared" si="67"/>
        <v>0.67000000000000015</v>
      </c>
      <c r="AB96" s="110">
        <f t="shared" si="67"/>
        <v>0.65833333333333344</v>
      </c>
      <c r="AC96" s="110">
        <f t="shared" si="67"/>
        <v>0.64666666666666672</v>
      </c>
      <c r="AD96" s="110">
        <f t="shared" si="67"/>
        <v>0.63500000000000012</v>
      </c>
      <c r="AE96" s="110">
        <f t="shared" si="67"/>
        <v>0.62333333333333352</v>
      </c>
      <c r="AF96" s="110">
        <f t="shared" si="67"/>
        <v>0.6116666666666668</v>
      </c>
      <c r="AG96" s="110">
        <f t="shared" si="67"/>
        <v>0.6</v>
      </c>
      <c r="AI96" s="135" t="s">
        <v>1456</v>
      </c>
      <c r="AJ96" s="211"/>
    </row>
    <row r="97" spans="1:63" outlineLevel="1" x14ac:dyDescent="0.2">
      <c r="A97" t="s">
        <v>1343</v>
      </c>
      <c r="B97" s="54" t="s">
        <v>462</v>
      </c>
      <c r="C97" s="110">
        <f>C94*C95</f>
        <v>6.5000000000000006E-3</v>
      </c>
      <c r="D97" s="110">
        <f t="shared" ref="D97:AG97" si="68">D94*D95</f>
        <v>8.3605889763394316E-3</v>
      </c>
      <c r="E97" s="110">
        <f t="shared" si="68"/>
        <v>1.0351310718500987E-2</v>
      </c>
      <c r="F97" s="110">
        <f t="shared" si="68"/>
        <v>1.2472165226484673E-2</v>
      </c>
      <c r="G97" s="110">
        <f t="shared" si="68"/>
        <v>1.4723152500290486E-2</v>
      </c>
      <c r="H97" s="110">
        <f t="shared" si="68"/>
        <v>1.7104272539918423E-2</v>
      </c>
      <c r="I97" s="110">
        <f t="shared" si="68"/>
        <v>1.9615525345368489E-2</v>
      </c>
      <c r="J97" s="110">
        <f t="shared" si="68"/>
        <v>2.2256910916640681E-2</v>
      </c>
      <c r="K97" s="110">
        <f t="shared" si="68"/>
        <v>2.5028429253735E-2</v>
      </c>
      <c r="L97" s="110">
        <f t="shared" si="68"/>
        <v>2.7930080356651441E-2</v>
      </c>
      <c r="M97" s="110">
        <f t="shared" si="68"/>
        <v>3.0961864225390011E-2</v>
      </c>
      <c r="N97" s="110">
        <f t="shared" si="68"/>
        <v>3.5225476275218472E-2</v>
      </c>
      <c r="O97" s="110">
        <f t="shared" si="68"/>
        <v>3.976336815454895E-2</v>
      </c>
      <c r="P97" s="110">
        <f t="shared" si="68"/>
        <v>4.4575539863381454E-2</v>
      </c>
      <c r="Q97" s="110">
        <f t="shared" si="68"/>
        <v>4.9661991401715982E-2</v>
      </c>
      <c r="R97" s="110">
        <f t="shared" si="68"/>
        <v>5.5022722769552522E-2</v>
      </c>
      <c r="S97" s="110">
        <f t="shared" si="68"/>
        <v>6.0657733966891079E-2</v>
      </c>
      <c r="T97" s="110">
        <f t="shared" si="68"/>
        <v>6.6567024993731669E-2</v>
      </c>
      <c r="U97" s="110">
        <f t="shared" si="68"/>
        <v>7.275059585007429E-2</v>
      </c>
      <c r="V97" s="110">
        <f t="shared" si="68"/>
        <v>7.9208446535918922E-2</v>
      </c>
      <c r="W97" s="110">
        <f t="shared" si="68"/>
        <v>8.5940577051265565E-2</v>
      </c>
      <c r="X97" s="110">
        <f t="shared" si="68"/>
        <v>9.5281376025097661E-2</v>
      </c>
      <c r="Y97" s="110">
        <f t="shared" si="68"/>
        <v>0.10508109573693895</v>
      </c>
      <c r="Z97" s="110">
        <f t="shared" si="68"/>
        <v>0.11533973618678944</v>
      </c>
      <c r="AA97" s="110">
        <f t="shared" si="68"/>
        <v>0.1260572973746491</v>
      </c>
      <c r="AB97" s="110">
        <f t="shared" si="68"/>
        <v>0.13723377930051794</v>
      </c>
      <c r="AC97" s="110">
        <f t="shared" si="68"/>
        <v>0.14886918196439597</v>
      </c>
      <c r="AD97" s="110">
        <f t="shared" si="68"/>
        <v>0.16096350536628318</v>
      </c>
      <c r="AE97" s="110">
        <f t="shared" si="68"/>
        <v>0.1735167495061796</v>
      </c>
      <c r="AF97" s="110">
        <f t="shared" si="68"/>
        <v>0.18652891438408514</v>
      </c>
      <c r="AG97" s="110">
        <f t="shared" si="68"/>
        <v>0.2</v>
      </c>
      <c r="AI97" s="134"/>
      <c r="AJ97" s="211"/>
      <c r="BD97" s="203"/>
      <c r="BE97" s="203"/>
    </row>
    <row r="98" spans="1:63" outlineLevel="1" x14ac:dyDescent="0.2">
      <c r="A98" t="s">
        <v>1344</v>
      </c>
      <c r="B98" s="54" t="s">
        <v>462</v>
      </c>
      <c r="C98" s="110">
        <f>C94*C96</f>
        <v>0.1235</v>
      </c>
      <c r="D98" s="110">
        <f t="shared" ref="D98:AG98" si="69">D94*D96</f>
        <v>0.12721652955889459</v>
      </c>
      <c r="E98" s="110">
        <f t="shared" si="69"/>
        <v>0.13080292635196702</v>
      </c>
      <c r="F98" s="110">
        <f t="shared" si="69"/>
        <v>0.13425919037921735</v>
      </c>
      <c r="G98" s="110">
        <f t="shared" si="69"/>
        <v>0.13758532164064555</v>
      </c>
      <c r="H98" s="110">
        <f t="shared" si="69"/>
        <v>0.14078132013625161</v>
      </c>
      <c r="I98" s="110">
        <f t="shared" si="69"/>
        <v>0.14384718586603557</v>
      </c>
      <c r="J98" s="110">
        <f t="shared" si="69"/>
        <v>0.14678291882999736</v>
      </c>
      <c r="K98" s="110">
        <f t="shared" si="69"/>
        <v>0.14958851902813708</v>
      </c>
      <c r="L98" s="110">
        <f t="shared" si="69"/>
        <v>0.15226398646045461</v>
      </c>
      <c r="M98" s="110">
        <f t="shared" si="69"/>
        <v>0.15480932112695006</v>
      </c>
      <c r="N98" s="110">
        <f t="shared" si="69"/>
        <v>0.1623005589129225</v>
      </c>
      <c r="O98" s="110">
        <f t="shared" si="69"/>
        <v>0.16951751686939293</v>
      </c>
      <c r="P98" s="110">
        <f t="shared" si="69"/>
        <v>0.17646019499636131</v>
      </c>
      <c r="Q98" s="110">
        <f t="shared" si="69"/>
        <v>0.18312859329382772</v>
      </c>
      <c r="R98" s="110">
        <f t="shared" si="69"/>
        <v>0.18952271176179206</v>
      </c>
      <c r="S98" s="110">
        <f t="shared" si="69"/>
        <v>0.19564255040025438</v>
      </c>
      <c r="T98" s="110">
        <f t="shared" si="69"/>
        <v>0.20148810920921473</v>
      </c>
      <c r="U98" s="110">
        <f t="shared" si="69"/>
        <v>0.207059388188673</v>
      </c>
      <c r="V98" s="110">
        <f t="shared" si="69"/>
        <v>0.21235638733862933</v>
      </c>
      <c r="W98" s="110">
        <f t="shared" si="69"/>
        <v>0.21737910665908358</v>
      </c>
      <c r="X98" s="110">
        <f t="shared" si="69"/>
        <v>0.22770633931421652</v>
      </c>
      <c r="Y98" s="110">
        <f t="shared" si="69"/>
        <v>0.23757465123134031</v>
      </c>
      <c r="Z98" s="110">
        <f t="shared" si="69"/>
        <v>0.24698404241045496</v>
      </c>
      <c r="AA98" s="110">
        <f t="shared" si="69"/>
        <v>0.25593451285156044</v>
      </c>
      <c r="AB98" s="110">
        <f t="shared" si="69"/>
        <v>0.26442606255465662</v>
      </c>
      <c r="AC98" s="110">
        <f t="shared" si="69"/>
        <v>0.27245869151974367</v>
      </c>
      <c r="AD98" s="110">
        <f t="shared" si="69"/>
        <v>0.28003239974682154</v>
      </c>
      <c r="AE98" s="110">
        <f t="shared" si="69"/>
        <v>0.28714718723589028</v>
      </c>
      <c r="AF98" s="110">
        <f t="shared" si="69"/>
        <v>0.29380305398694972</v>
      </c>
      <c r="AG98" s="110">
        <f t="shared" si="69"/>
        <v>0.3</v>
      </c>
      <c r="AI98" s="134"/>
      <c r="AJ98" s="211"/>
      <c r="BD98" s="203"/>
      <c r="BE98" s="203"/>
    </row>
    <row r="99" spans="1:63" outlineLevel="1" x14ac:dyDescent="0.2">
      <c r="C99" s="110"/>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c r="AD99" s="23"/>
      <c r="AE99" s="23"/>
      <c r="AF99" s="23"/>
      <c r="AG99" s="23"/>
      <c r="AJ99" s="211"/>
    </row>
    <row r="100" spans="1:63" outlineLevel="1" x14ac:dyDescent="0.2">
      <c r="A100" t="s">
        <v>1441</v>
      </c>
      <c r="B100" s="54" t="s">
        <v>462</v>
      </c>
      <c r="C100" s="106">
        <v>0.5</v>
      </c>
      <c r="D100" s="110">
        <f>C100</f>
        <v>0.5</v>
      </c>
      <c r="E100" s="110">
        <f t="shared" ref="E100:AG100" si="70">D100</f>
        <v>0.5</v>
      </c>
      <c r="F100" s="110">
        <f t="shared" si="70"/>
        <v>0.5</v>
      </c>
      <c r="G100" s="110">
        <f t="shared" si="70"/>
        <v>0.5</v>
      </c>
      <c r="H100" s="110">
        <f t="shared" si="70"/>
        <v>0.5</v>
      </c>
      <c r="I100" s="110">
        <f t="shared" si="70"/>
        <v>0.5</v>
      </c>
      <c r="J100" s="110">
        <f t="shared" si="70"/>
        <v>0.5</v>
      </c>
      <c r="K100" s="110">
        <f t="shared" si="70"/>
        <v>0.5</v>
      </c>
      <c r="L100" s="110">
        <f t="shared" si="70"/>
        <v>0.5</v>
      </c>
      <c r="M100" s="110">
        <f t="shared" si="70"/>
        <v>0.5</v>
      </c>
      <c r="N100" s="110">
        <f t="shared" si="70"/>
        <v>0.5</v>
      </c>
      <c r="O100" s="110">
        <f t="shared" si="70"/>
        <v>0.5</v>
      </c>
      <c r="P100" s="110">
        <f t="shared" si="70"/>
        <v>0.5</v>
      </c>
      <c r="Q100" s="110">
        <f t="shared" si="70"/>
        <v>0.5</v>
      </c>
      <c r="R100" s="110">
        <f t="shared" si="70"/>
        <v>0.5</v>
      </c>
      <c r="S100" s="110">
        <f t="shared" si="70"/>
        <v>0.5</v>
      </c>
      <c r="T100" s="110">
        <f t="shared" si="70"/>
        <v>0.5</v>
      </c>
      <c r="U100" s="110">
        <f t="shared" si="70"/>
        <v>0.5</v>
      </c>
      <c r="V100" s="110">
        <f t="shared" si="70"/>
        <v>0.5</v>
      </c>
      <c r="W100" s="110">
        <f t="shared" si="70"/>
        <v>0.5</v>
      </c>
      <c r="X100" s="110">
        <f t="shared" si="70"/>
        <v>0.5</v>
      </c>
      <c r="Y100" s="110">
        <f t="shared" si="70"/>
        <v>0.5</v>
      </c>
      <c r="Z100" s="110">
        <f t="shared" si="70"/>
        <v>0.5</v>
      </c>
      <c r="AA100" s="110">
        <f t="shared" si="70"/>
        <v>0.5</v>
      </c>
      <c r="AB100" s="110">
        <f t="shared" si="70"/>
        <v>0.5</v>
      </c>
      <c r="AC100" s="110">
        <f t="shared" si="70"/>
        <v>0.5</v>
      </c>
      <c r="AD100" s="110">
        <f t="shared" si="70"/>
        <v>0.5</v>
      </c>
      <c r="AE100" s="110">
        <f t="shared" si="70"/>
        <v>0.5</v>
      </c>
      <c r="AF100" s="110">
        <f t="shared" si="70"/>
        <v>0.5</v>
      </c>
      <c r="AG100" s="110">
        <f t="shared" si="70"/>
        <v>0.5</v>
      </c>
      <c r="AI100" s="54"/>
      <c r="AJ100" s="211" t="s">
        <v>1457</v>
      </c>
    </row>
    <row r="101" spans="1:63" outlineLevel="1" x14ac:dyDescent="0.2">
      <c r="A101" t="s">
        <v>1445</v>
      </c>
      <c r="B101" s="54" t="s">
        <v>462</v>
      </c>
      <c r="C101" s="121">
        <f>1-C100</f>
        <v>0.5</v>
      </c>
      <c r="D101" s="110">
        <f t="shared" ref="D101:AG101" si="71">C101</f>
        <v>0.5</v>
      </c>
      <c r="E101" s="110">
        <f t="shared" si="71"/>
        <v>0.5</v>
      </c>
      <c r="F101" s="110">
        <f t="shared" si="71"/>
        <v>0.5</v>
      </c>
      <c r="G101" s="110">
        <f t="shared" si="71"/>
        <v>0.5</v>
      </c>
      <c r="H101" s="110">
        <f t="shared" si="71"/>
        <v>0.5</v>
      </c>
      <c r="I101" s="110">
        <f t="shared" si="71"/>
        <v>0.5</v>
      </c>
      <c r="J101" s="110">
        <f t="shared" si="71"/>
        <v>0.5</v>
      </c>
      <c r="K101" s="110">
        <f t="shared" si="71"/>
        <v>0.5</v>
      </c>
      <c r="L101" s="110">
        <f t="shared" si="71"/>
        <v>0.5</v>
      </c>
      <c r="M101" s="110">
        <f t="shared" si="71"/>
        <v>0.5</v>
      </c>
      <c r="N101" s="110">
        <f t="shared" si="71"/>
        <v>0.5</v>
      </c>
      <c r="O101" s="110">
        <f t="shared" si="71"/>
        <v>0.5</v>
      </c>
      <c r="P101" s="110">
        <f t="shared" si="71"/>
        <v>0.5</v>
      </c>
      <c r="Q101" s="110">
        <f t="shared" si="71"/>
        <v>0.5</v>
      </c>
      <c r="R101" s="110">
        <f t="shared" si="71"/>
        <v>0.5</v>
      </c>
      <c r="S101" s="110">
        <f t="shared" si="71"/>
        <v>0.5</v>
      </c>
      <c r="T101" s="110">
        <f t="shared" si="71"/>
        <v>0.5</v>
      </c>
      <c r="U101" s="110">
        <f t="shared" si="71"/>
        <v>0.5</v>
      </c>
      <c r="V101" s="110">
        <f t="shared" si="71"/>
        <v>0.5</v>
      </c>
      <c r="W101" s="110">
        <f t="shared" si="71"/>
        <v>0.5</v>
      </c>
      <c r="X101" s="110">
        <f t="shared" si="71"/>
        <v>0.5</v>
      </c>
      <c r="Y101" s="110">
        <f t="shared" si="71"/>
        <v>0.5</v>
      </c>
      <c r="Z101" s="110">
        <f t="shared" si="71"/>
        <v>0.5</v>
      </c>
      <c r="AA101" s="110">
        <f t="shared" si="71"/>
        <v>0.5</v>
      </c>
      <c r="AB101" s="110">
        <f t="shared" si="71"/>
        <v>0.5</v>
      </c>
      <c r="AC101" s="110">
        <f t="shared" si="71"/>
        <v>0.5</v>
      </c>
      <c r="AD101" s="110">
        <f t="shared" si="71"/>
        <v>0.5</v>
      </c>
      <c r="AE101" s="110">
        <f t="shared" si="71"/>
        <v>0.5</v>
      </c>
      <c r="AF101" s="110">
        <f t="shared" si="71"/>
        <v>0.5</v>
      </c>
      <c r="AG101" s="110">
        <f t="shared" si="71"/>
        <v>0.5</v>
      </c>
      <c r="AJ101" s="223"/>
    </row>
    <row r="102" spans="1:63" outlineLevel="1" x14ac:dyDescent="0.2">
      <c r="A102" t="s">
        <v>1268</v>
      </c>
      <c r="B102" s="54" t="s">
        <v>462</v>
      </c>
      <c r="C102" s="110">
        <f t="shared" ref="C102:AG102" si="72">SUM(C100:C101)</f>
        <v>1</v>
      </c>
      <c r="D102" s="110">
        <f t="shared" si="72"/>
        <v>1</v>
      </c>
      <c r="E102" s="110">
        <f t="shared" si="72"/>
        <v>1</v>
      </c>
      <c r="F102" s="110">
        <f t="shared" si="72"/>
        <v>1</v>
      </c>
      <c r="G102" s="110">
        <f t="shared" si="72"/>
        <v>1</v>
      </c>
      <c r="H102" s="110">
        <f t="shared" si="72"/>
        <v>1</v>
      </c>
      <c r="I102" s="110">
        <f t="shared" si="72"/>
        <v>1</v>
      </c>
      <c r="J102" s="110">
        <f t="shared" si="72"/>
        <v>1</v>
      </c>
      <c r="K102" s="110">
        <f t="shared" si="72"/>
        <v>1</v>
      </c>
      <c r="L102" s="110">
        <f t="shared" si="72"/>
        <v>1</v>
      </c>
      <c r="M102" s="110">
        <f t="shared" si="72"/>
        <v>1</v>
      </c>
      <c r="N102" s="110">
        <f t="shared" si="72"/>
        <v>1</v>
      </c>
      <c r="O102" s="110">
        <f t="shared" si="72"/>
        <v>1</v>
      </c>
      <c r="P102" s="110">
        <f t="shared" si="72"/>
        <v>1</v>
      </c>
      <c r="Q102" s="110">
        <f t="shared" si="72"/>
        <v>1</v>
      </c>
      <c r="R102" s="110">
        <f t="shared" si="72"/>
        <v>1</v>
      </c>
      <c r="S102" s="110">
        <f t="shared" si="72"/>
        <v>1</v>
      </c>
      <c r="T102" s="110">
        <f t="shared" si="72"/>
        <v>1</v>
      </c>
      <c r="U102" s="110">
        <f t="shared" si="72"/>
        <v>1</v>
      </c>
      <c r="V102" s="110">
        <f t="shared" si="72"/>
        <v>1</v>
      </c>
      <c r="W102" s="110">
        <f t="shared" si="72"/>
        <v>1</v>
      </c>
      <c r="X102" s="110">
        <f t="shared" si="72"/>
        <v>1</v>
      </c>
      <c r="Y102" s="110">
        <f t="shared" si="72"/>
        <v>1</v>
      </c>
      <c r="Z102" s="110">
        <f t="shared" si="72"/>
        <v>1</v>
      </c>
      <c r="AA102" s="110">
        <f t="shared" si="72"/>
        <v>1</v>
      </c>
      <c r="AB102" s="110">
        <f t="shared" si="72"/>
        <v>1</v>
      </c>
      <c r="AC102" s="110">
        <f t="shared" si="72"/>
        <v>1</v>
      </c>
      <c r="AD102" s="110">
        <f t="shared" si="72"/>
        <v>1</v>
      </c>
      <c r="AE102" s="110">
        <f t="shared" si="72"/>
        <v>1</v>
      </c>
      <c r="AF102" s="110">
        <f t="shared" si="72"/>
        <v>1</v>
      </c>
      <c r="AG102" s="110">
        <f t="shared" si="72"/>
        <v>1</v>
      </c>
      <c r="AH102" s="131"/>
      <c r="AI102" s="54"/>
      <c r="AJ102" s="223"/>
    </row>
    <row r="103" spans="1:63" outlineLevel="1" x14ac:dyDescent="0.2">
      <c r="C103" s="214"/>
      <c r="D103" s="110"/>
      <c r="E103" s="110"/>
      <c r="F103" s="110"/>
      <c r="G103" s="110"/>
      <c r="H103" s="110"/>
      <c r="I103" s="110"/>
      <c r="J103" s="110"/>
      <c r="K103" s="110"/>
      <c r="L103" s="110"/>
      <c r="M103" s="110"/>
      <c r="N103" s="110"/>
      <c r="O103" s="110"/>
      <c r="P103" s="110"/>
      <c r="Q103" s="110"/>
      <c r="R103" s="110"/>
      <c r="S103" s="110"/>
      <c r="T103" s="110"/>
      <c r="U103" s="110"/>
      <c r="V103" s="110"/>
      <c r="W103" s="110"/>
      <c r="X103" s="110"/>
      <c r="Y103" s="110"/>
      <c r="Z103" s="110"/>
      <c r="AA103" s="110"/>
      <c r="AB103" s="110"/>
      <c r="AC103" s="110"/>
      <c r="AD103" s="110"/>
      <c r="AE103" s="110"/>
      <c r="AF103" s="110"/>
      <c r="AG103" s="110"/>
      <c r="AH103" s="131"/>
      <c r="AI103" s="131"/>
      <c r="AJ103" s="223"/>
    </row>
    <row r="104" spans="1:63" outlineLevel="1" x14ac:dyDescent="0.2">
      <c r="A104" t="s">
        <v>1345</v>
      </c>
      <c r="B104" s="54" t="s">
        <v>462</v>
      </c>
      <c r="C104" s="110">
        <f>C100*C98</f>
        <v>6.1749999999999999E-2</v>
      </c>
      <c r="D104" s="110">
        <f t="shared" ref="D104:AG104" si="73">D100*D98</f>
        <v>6.3608264779447296E-2</v>
      </c>
      <c r="E104" s="110">
        <f t="shared" si="73"/>
        <v>6.5401463175983512E-2</v>
      </c>
      <c r="F104" s="110">
        <f t="shared" si="73"/>
        <v>6.7129595189608676E-2</v>
      </c>
      <c r="G104" s="110">
        <f t="shared" si="73"/>
        <v>6.8792660820322774E-2</v>
      </c>
      <c r="H104" s="110">
        <f t="shared" si="73"/>
        <v>7.0390660068125804E-2</v>
      </c>
      <c r="I104" s="110">
        <f t="shared" si="73"/>
        <v>7.1923592933017783E-2</v>
      </c>
      <c r="J104" s="110">
        <f t="shared" si="73"/>
        <v>7.339145941499868E-2</v>
      </c>
      <c r="K104" s="110">
        <f t="shared" si="73"/>
        <v>7.479425951406854E-2</v>
      </c>
      <c r="L104" s="110">
        <f t="shared" si="73"/>
        <v>7.6131993230227304E-2</v>
      </c>
      <c r="M104" s="110">
        <f t="shared" si="73"/>
        <v>7.7404660563475031E-2</v>
      </c>
      <c r="N104" s="110">
        <f t="shared" si="73"/>
        <v>8.115027945646125E-2</v>
      </c>
      <c r="O104" s="110">
        <f t="shared" si="73"/>
        <v>8.4758758434696463E-2</v>
      </c>
      <c r="P104" s="110">
        <f t="shared" si="73"/>
        <v>8.8230097498180657E-2</v>
      </c>
      <c r="Q104" s="110">
        <f t="shared" si="73"/>
        <v>9.1564296646913859E-2</v>
      </c>
      <c r="R104" s="110">
        <f t="shared" si="73"/>
        <v>9.4761355880896028E-2</v>
      </c>
      <c r="S104" s="110">
        <f t="shared" si="73"/>
        <v>9.7821275200127192E-2</v>
      </c>
      <c r="T104" s="110">
        <f t="shared" si="73"/>
        <v>0.10074405460460736</v>
      </c>
      <c r="U104" s="110">
        <f t="shared" si="73"/>
        <v>0.1035296940943365</v>
      </c>
      <c r="V104" s="110">
        <f t="shared" si="73"/>
        <v>0.10617819366931466</v>
      </c>
      <c r="W104" s="110">
        <f t="shared" si="73"/>
        <v>0.10868955332954179</v>
      </c>
      <c r="X104" s="110">
        <f t="shared" si="73"/>
        <v>0.11385316965710826</v>
      </c>
      <c r="Y104" s="110">
        <f t="shared" si="73"/>
        <v>0.11878732561567015</v>
      </c>
      <c r="Z104" s="110">
        <f t="shared" si="73"/>
        <v>0.12349202120522748</v>
      </c>
      <c r="AA104" s="110">
        <f t="shared" si="73"/>
        <v>0.12796725642578022</v>
      </c>
      <c r="AB104" s="110">
        <f t="shared" si="73"/>
        <v>0.13221303127732831</v>
      </c>
      <c r="AC104" s="110">
        <f t="shared" si="73"/>
        <v>0.13622934575987183</v>
      </c>
      <c r="AD104" s="110">
        <f t="shared" si="73"/>
        <v>0.14001619987341077</v>
      </c>
      <c r="AE104" s="110">
        <f t="shared" si="73"/>
        <v>0.14357359361794514</v>
      </c>
      <c r="AF104" s="110">
        <f t="shared" si="73"/>
        <v>0.14690152699347486</v>
      </c>
      <c r="AG104" s="110">
        <f t="shared" si="73"/>
        <v>0.15</v>
      </c>
      <c r="AH104" s="131"/>
      <c r="AI104" s="131"/>
      <c r="AJ104" s="211"/>
    </row>
    <row r="105" spans="1:63" outlineLevel="1" x14ac:dyDescent="0.2">
      <c r="A105" t="s">
        <v>1346</v>
      </c>
      <c r="B105" s="54" t="s">
        <v>462</v>
      </c>
      <c r="C105" s="110">
        <f>C98*C101</f>
        <v>6.1749999999999999E-2</v>
      </c>
      <c r="D105" s="110">
        <f t="shared" ref="D105:AG105" si="74">D98*D101</f>
        <v>6.3608264779447296E-2</v>
      </c>
      <c r="E105" s="110">
        <f t="shared" si="74"/>
        <v>6.5401463175983512E-2</v>
      </c>
      <c r="F105" s="110">
        <f t="shared" si="74"/>
        <v>6.7129595189608676E-2</v>
      </c>
      <c r="G105" s="110">
        <f t="shared" si="74"/>
        <v>6.8792660820322774E-2</v>
      </c>
      <c r="H105" s="110">
        <f t="shared" si="74"/>
        <v>7.0390660068125804E-2</v>
      </c>
      <c r="I105" s="110">
        <f t="shared" si="74"/>
        <v>7.1923592933017783E-2</v>
      </c>
      <c r="J105" s="110">
        <f t="shared" si="74"/>
        <v>7.339145941499868E-2</v>
      </c>
      <c r="K105" s="110">
        <f t="shared" si="74"/>
        <v>7.479425951406854E-2</v>
      </c>
      <c r="L105" s="110">
        <f t="shared" si="74"/>
        <v>7.6131993230227304E-2</v>
      </c>
      <c r="M105" s="110">
        <f t="shared" si="74"/>
        <v>7.7404660563475031E-2</v>
      </c>
      <c r="N105" s="110">
        <f t="shared" si="74"/>
        <v>8.115027945646125E-2</v>
      </c>
      <c r="O105" s="110">
        <f t="shared" si="74"/>
        <v>8.4758758434696463E-2</v>
      </c>
      <c r="P105" s="110">
        <f t="shared" si="74"/>
        <v>8.8230097498180657E-2</v>
      </c>
      <c r="Q105" s="110">
        <f t="shared" si="74"/>
        <v>9.1564296646913859E-2</v>
      </c>
      <c r="R105" s="110">
        <f t="shared" si="74"/>
        <v>9.4761355880896028E-2</v>
      </c>
      <c r="S105" s="110">
        <f t="shared" si="74"/>
        <v>9.7821275200127192E-2</v>
      </c>
      <c r="T105" s="110">
        <f t="shared" si="74"/>
        <v>0.10074405460460736</v>
      </c>
      <c r="U105" s="110">
        <f t="shared" si="74"/>
        <v>0.1035296940943365</v>
      </c>
      <c r="V105" s="110">
        <f t="shared" si="74"/>
        <v>0.10617819366931466</v>
      </c>
      <c r="W105" s="110">
        <f t="shared" si="74"/>
        <v>0.10868955332954179</v>
      </c>
      <c r="X105" s="110">
        <f t="shared" si="74"/>
        <v>0.11385316965710826</v>
      </c>
      <c r="Y105" s="110">
        <f t="shared" si="74"/>
        <v>0.11878732561567015</v>
      </c>
      <c r="Z105" s="110">
        <f t="shared" si="74"/>
        <v>0.12349202120522748</v>
      </c>
      <c r="AA105" s="110">
        <f t="shared" si="74"/>
        <v>0.12796725642578022</v>
      </c>
      <c r="AB105" s="110">
        <f t="shared" si="74"/>
        <v>0.13221303127732831</v>
      </c>
      <c r="AC105" s="110">
        <f t="shared" si="74"/>
        <v>0.13622934575987183</v>
      </c>
      <c r="AD105" s="110">
        <f t="shared" si="74"/>
        <v>0.14001619987341077</v>
      </c>
      <c r="AE105" s="110">
        <f t="shared" si="74"/>
        <v>0.14357359361794514</v>
      </c>
      <c r="AF105" s="110">
        <f t="shared" si="74"/>
        <v>0.14690152699347486</v>
      </c>
      <c r="AG105" s="110">
        <f t="shared" si="74"/>
        <v>0.15</v>
      </c>
      <c r="AJ105" s="211"/>
    </row>
    <row r="106" spans="1:63" outlineLevel="1" x14ac:dyDescent="0.2">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J106" s="211"/>
    </row>
    <row r="107" spans="1:63" s="200" customFormat="1" ht="16" thickBot="1" x14ac:dyDescent="0.25">
      <c r="A107" s="200" t="s">
        <v>1347</v>
      </c>
      <c r="B107" s="215"/>
      <c r="C107" s="224">
        <f>C108</f>
        <v>1.6E-2</v>
      </c>
      <c r="D107" s="224">
        <f t="shared" ref="D107:AG107" si="75">D108</f>
        <v>2.329547397581962E-2</v>
      </c>
      <c r="E107" s="224">
        <f t="shared" si="75"/>
        <v>3.059094795163924E-2</v>
      </c>
      <c r="F107" s="224">
        <f t="shared" si="75"/>
        <v>3.7886421927458863E-2</v>
      </c>
      <c r="G107" s="224">
        <f t="shared" si="75"/>
        <v>4.5181895903278479E-2</v>
      </c>
      <c r="H107" s="224">
        <f t="shared" si="75"/>
        <v>5.2477369879098103E-2</v>
      </c>
      <c r="I107" s="224">
        <f t="shared" si="75"/>
        <v>5.9772843854917726E-2</v>
      </c>
      <c r="J107" s="224">
        <f t="shared" si="75"/>
        <v>6.7068317830737342E-2</v>
      </c>
      <c r="K107" s="224">
        <f t="shared" si="75"/>
        <v>7.4363791806556973E-2</v>
      </c>
      <c r="L107" s="224">
        <f t="shared" si="75"/>
        <v>8.1659265782376589E-2</v>
      </c>
      <c r="M107" s="224">
        <f t="shared" si="75"/>
        <v>8.8954739758196205E-2</v>
      </c>
      <c r="N107" s="224">
        <f t="shared" si="75"/>
        <v>0.10433135413800063</v>
      </c>
      <c r="O107" s="224">
        <f t="shared" si="75"/>
        <v>0.11970796851780505</v>
      </c>
      <c r="P107" s="224">
        <f t="shared" si="75"/>
        <v>0.1350845828976095</v>
      </c>
      <c r="Q107" s="224">
        <f t="shared" si="75"/>
        <v>0.15046119727741392</v>
      </c>
      <c r="R107" s="224">
        <f t="shared" si="75"/>
        <v>0.16583781165721834</v>
      </c>
      <c r="S107" s="224">
        <f t="shared" si="75"/>
        <v>0.18121442603702276</v>
      </c>
      <c r="T107" s="224">
        <f t="shared" si="75"/>
        <v>0.19659104041682718</v>
      </c>
      <c r="U107" s="224">
        <f t="shared" si="75"/>
        <v>0.2119676547966316</v>
      </c>
      <c r="V107" s="224">
        <f t="shared" si="75"/>
        <v>0.22734426917643602</v>
      </c>
      <c r="W107" s="224">
        <f t="shared" si="75"/>
        <v>0.24272088355624044</v>
      </c>
      <c r="X107" s="224">
        <f t="shared" si="75"/>
        <v>0.26844879520061637</v>
      </c>
      <c r="Y107" s="224">
        <f t="shared" si="75"/>
        <v>0.29417670684499236</v>
      </c>
      <c r="Z107" s="224">
        <f t="shared" si="75"/>
        <v>0.3199046184893683</v>
      </c>
      <c r="AA107" s="224">
        <f t="shared" si="75"/>
        <v>0.34563253013374429</v>
      </c>
      <c r="AB107" s="224">
        <f t="shared" si="75"/>
        <v>0.37136044177812022</v>
      </c>
      <c r="AC107" s="224">
        <f t="shared" si="75"/>
        <v>0.39708835342249615</v>
      </c>
      <c r="AD107" s="224">
        <f t="shared" si="75"/>
        <v>0.42281626506687209</v>
      </c>
      <c r="AE107" s="224">
        <f t="shared" si="75"/>
        <v>0.44854417671124808</v>
      </c>
      <c r="AF107" s="224">
        <f t="shared" si="75"/>
        <v>0.47427208835562407</v>
      </c>
      <c r="AG107" s="224">
        <f t="shared" si="75"/>
        <v>0.5</v>
      </c>
      <c r="AJ107" s="231" t="s">
        <v>1491</v>
      </c>
      <c r="AL107" s="217"/>
      <c r="AM107" s="225"/>
      <c r="AN107" s="225"/>
      <c r="AO107" s="225"/>
    </row>
    <row r="108" spans="1:63" ht="16" outlineLevel="1" thickTop="1" x14ac:dyDescent="0.2">
      <c r="A108" t="s">
        <v>1348</v>
      </c>
      <c r="B108" s="54" t="s">
        <v>462</v>
      </c>
      <c r="C108" s="113">
        <v>1.6E-2</v>
      </c>
      <c r="D108" s="110">
        <f>$C108+($M108-$C108)/10*(D$1-$C$1)</f>
        <v>2.329547397581962E-2</v>
      </c>
      <c r="E108" s="110">
        <f t="shared" ref="E108:L108" si="76">$C108+($M108-$C108)/10*(E$1-$C$1)</f>
        <v>3.059094795163924E-2</v>
      </c>
      <c r="F108" s="110">
        <f t="shared" si="76"/>
        <v>3.7886421927458863E-2</v>
      </c>
      <c r="G108" s="110">
        <f t="shared" si="76"/>
        <v>4.5181895903278479E-2</v>
      </c>
      <c r="H108" s="110">
        <f t="shared" si="76"/>
        <v>5.2477369879098103E-2</v>
      </c>
      <c r="I108" s="110">
        <f t="shared" si="76"/>
        <v>5.9772843854917726E-2</v>
      </c>
      <c r="J108" s="110">
        <f t="shared" si="76"/>
        <v>6.7068317830737342E-2</v>
      </c>
      <c r="K108" s="110">
        <f t="shared" si="76"/>
        <v>7.4363791806556973E-2</v>
      </c>
      <c r="L108" s="110">
        <f t="shared" si="76"/>
        <v>8.1659265782376589E-2</v>
      </c>
      <c r="M108" s="121">
        <f>(M$55-$C$55)/($AG$55-$C$55)*($AG108-$C108)+$C108</f>
        <v>8.8954739758196205E-2</v>
      </c>
      <c r="N108" s="121">
        <f>$M108+($W108-$M108)/10*(N$1-$M$1)</f>
        <v>0.10433135413800063</v>
      </c>
      <c r="O108" s="121">
        <f t="shared" ref="O108:U108" si="77">$M108+($W108-$M108)/10*(O$1-$M$1)</f>
        <v>0.11970796851780505</v>
      </c>
      <c r="P108" s="121">
        <f t="shared" si="77"/>
        <v>0.1350845828976095</v>
      </c>
      <c r="Q108" s="121">
        <f t="shared" si="77"/>
        <v>0.15046119727741392</v>
      </c>
      <c r="R108" s="121">
        <f t="shared" si="77"/>
        <v>0.16583781165721834</v>
      </c>
      <c r="S108" s="121">
        <f t="shared" si="77"/>
        <v>0.18121442603702276</v>
      </c>
      <c r="T108" s="121">
        <f t="shared" si="77"/>
        <v>0.19659104041682718</v>
      </c>
      <c r="U108" s="121">
        <f t="shared" si="77"/>
        <v>0.2119676547966316</v>
      </c>
      <c r="V108" s="121">
        <f>$M108+($W108-$M108)/10*(V$1-$M$1)</f>
        <v>0.22734426917643602</v>
      </c>
      <c r="W108" s="121">
        <f>(W$55-$C$55)/($AG$55-$C$55)*($AG108-$C108)+$C108</f>
        <v>0.24272088355624044</v>
      </c>
      <c r="X108" s="23">
        <f t="shared" ref="X108:AF108" si="78">$W108+($AG108-$W108)/10*(X$1-$W$1)</f>
        <v>0.26844879520061637</v>
      </c>
      <c r="Y108" s="23">
        <f t="shared" si="78"/>
        <v>0.29417670684499236</v>
      </c>
      <c r="Z108" s="23">
        <f t="shared" si="78"/>
        <v>0.3199046184893683</v>
      </c>
      <c r="AA108" s="23">
        <f t="shared" si="78"/>
        <v>0.34563253013374429</v>
      </c>
      <c r="AB108" s="23">
        <f t="shared" si="78"/>
        <v>0.37136044177812022</v>
      </c>
      <c r="AC108" s="23">
        <f t="shared" si="78"/>
        <v>0.39708835342249615</v>
      </c>
      <c r="AD108" s="23">
        <f t="shared" si="78"/>
        <v>0.42281626506687209</v>
      </c>
      <c r="AE108" s="23">
        <f t="shared" si="78"/>
        <v>0.44854417671124808</v>
      </c>
      <c r="AF108" s="23">
        <f t="shared" si="78"/>
        <v>0.47427208835562407</v>
      </c>
      <c r="AG108" s="106">
        <v>0.5</v>
      </c>
      <c r="AJ108" s="211" t="s">
        <v>1349</v>
      </c>
    </row>
    <row r="109" spans="1:63" outlineLevel="1" x14ac:dyDescent="0.2">
      <c r="C109" s="113"/>
      <c r="D109" s="110"/>
      <c r="E109" s="110"/>
      <c r="F109" s="110"/>
      <c r="G109" s="110"/>
      <c r="H109" s="110"/>
      <c r="I109" s="110"/>
      <c r="J109" s="110"/>
      <c r="K109" s="110"/>
      <c r="L109" s="110"/>
      <c r="M109" s="121"/>
      <c r="N109" s="121"/>
      <c r="O109" s="121"/>
      <c r="P109" s="121"/>
      <c r="Q109" s="121"/>
      <c r="R109" s="121"/>
      <c r="S109" s="121"/>
      <c r="T109" s="121"/>
      <c r="U109" s="121"/>
      <c r="V109" s="121"/>
      <c r="W109" s="121"/>
      <c r="X109" s="23"/>
      <c r="Y109" s="23"/>
      <c r="Z109" s="23"/>
      <c r="AA109" s="23"/>
      <c r="AB109" s="23"/>
      <c r="AC109" s="23"/>
      <c r="AD109" s="23"/>
      <c r="AE109" s="23"/>
      <c r="AF109" s="23"/>
      <c r="AG109" s="106"/>
      <c r="AJ109" s="211"/>
    </row>
    <row r="110" spans="1:63" outlineLevel="1" x14ac:dyDescent="0.2">
      <c r="A110" t="s">
        <v>1520</v>
      </c>
      <c r="C110" s="230">
        <f>'Overall recycling rates'!D85</f>
        <v>0.36739754083989457</v>
      </c>
      <c r="D110" s="230">
        <f t="shared" ref="D110:AF110" si="79">C110-($C$110-$AG$110)/($AG$1-$C$1)</f>
        <v>0.38181762281189807</v>
      </c>
      <c r="E110" s="230">
        <f t="shared" si="79"/>
        <v>0.39623770478390158</v>
      </c>
      <c r="F110" s="230">
        <f t="shared" si="79"/>
        <v>0.41065778675590509</v>
      </c>
      <c r="G110" s="230">
        <f t="shared" si="79"/>
        <v>0.42507786872790859</v>
      </c>
      <c r="H110" s="230">
        <f t="shared" si="79"/>
        <v>0.4394979506999121</v>
      </c>
      <c r="I110" s="230">
        <f t="shared" si="79"/>
        <v>0.45391803267191561</v>
      </c>
      <c r="J110" s="230">
        <f t="shared" si="79"/>
        <v>0.46833811464391911</v>
      </c>
      <c r="K110" s="230">
        <f t="shared" si="79"/>
        <v>0.48275819661592262</v>
      </c>
      <c r="L110" s="230">
        <f t="shared" si="79"/>
        <v>0.49717827858792613</v>
      </c>
      <c r="M110" s="230">
        <f t="shared" si="79"/>
        <v>0.51159836055992969</v>
      </c>
      <c r="N110" s="230">
        <f t="shared" si="79"/>
        <v>0.52601844253193319</v>
      </c>
      <c r="O110" s="230">
        <f t="shared" si="79"/>
        <v>0.5404385245039367</v>
      </c>
      <c r="P110" s="230">
        <f t="shared" si="79"/>
        <v>0.55485860647594021</v>
      </c>
      <c r="Q110" s="230">
        <f t="shared" si="79"/>
        <v>0.56927868844794371</v>
      </c>
      <c r="R110" s="230">
        <f t="shared" si="79"/>
        <v>0.58369877041994722</v>
      </c>
      <c r="S110" s="230">
        <f t="shared" si="79"/>
        <v>0.59811885239195073</v>
      </c>
      <c r="T110" s="230">
        <f t="shared" si="79"/>
        <v>0.61253893436395423</v>
      </c>
      <c r="U110" s="230">
        <f t="shared" si="79"/>
        <v>0.62695901633595774</v>
      </c>
      <c r="V110" s="230">
        <f t="shared" si="79"/>
        <v>0.64137909830796125</v>
      </c>
      <c r="W110" s="230">
        <f t="shared" si="79"/>
        <v>0.65579918027996476</v>
      </c>
      <c r="X110" s="230">
        <f t="shared" si="79"/>
        <v>0.67021926225196826</v>
      </c>
      <c r="Y110" s="230">
        <f t="shared" si="79"/>
        <v>0.68463934422397177</v>
      </c>
      <c r="Z110" s="230">
        <f t="shared" si="79"/>
        <v>0.69905942619597528</v>
      </c>
      <c r="AA110" s="230">
        <f t="shared" si="79"/>
        <v>0.71347950816797878</v>
      </c>
      <c r="AB110" s="230">
        <f t="shared" si="79"/>
        <v>0.72789959013998229</v>
      </c>
      <c r="AC110" s="230">
        <f t="shared" si="79"/>
        <v>0.7423196721119858</v>
      </c>
      <c r="AD110" s="230">
        <f t="shared" si="79"/>
        <v>0.7567397540839893</v>
      </c>
      <c r="AE110" s="230">
        <f t="shared" si="79"/>
        <v>0.77115983605599281</v>
      </c>
      <c r="AF110" s="230">
        <f t="shared" si="79"/>
        <v>0.78557991802799632</v>
      </c>
      <c r="AG110" s="230">
        <f>'Overall recycling rates'!D94</f>
        <v>0.8</v>
      </c>
      <c r="AI110" s="133"/>
      <c r="AJ110" s="211" t="s">
        <v>1526</v>
      </c>
      <c r="AL110" s="108"/>
      <c r="AM110" s="2"/>
      <c r="AN110" s="2"/>
      <c r="AO110" s="2"/>
      <c r="BC110" s="1"/>
      <c r="BD110" s="2"/>
      <c r="BE110" s="2"/>
      <c r="BF110" s="2"/>
      <c r="BG110" s="2"/>
      <c r="BH110" s="2"/>
      <c r="BI110" s="2"/>
      <c r="BJ110" s="2"/>
      <c r="BK110" s="2"/>
    </row>
    <row r="111" spans="1:63" outlineLevel="1" x14ac:dyDescent="0.2">
      <c r="A111" t="s">
        <v>1503</v>
      </c>
      <c r="B111" s="54" t="s">
        <v>462</v>
      </c>
      <c r="C111" s="110">
        <f>C108*C110</f>
        <v>5.878360653438313E-3</v>
      </c>
      <c r="D111" s="110">
        <f t="shared" ref="D111:AG111" si="80">D108*D110</f>
        <v>8.8946224957238834E-3</v>
      </c>
      <c r="E111" s="110">
        <f t="shared" si="80"/>
        <v>1.2121287003521327E-2</v>
      </c>
      <c r="F111" s="110">
        <f t="shared" si="80"/>
        <v>1.5558354176830649E-2</v>
      </c>
      <c r="G111" s="110">
        <f t="shared" si="80"/>
        <v>1.9205824015651841E-2</v>
      </c>
      <c r="H111" s="110">
        <f t="shared" si="80"/>
        <v>2.3063696519984911E-2</v>
      </c>
      <c r="I111" s="110">
        <f t="shared" si="80"/>
        <v>2.7131971689829854E-2</v>
      </c>
      <c r="J111" s="110">
        <f t="shared" si="80"/>
        <v>3.1410649525186671E-2</v>
      </c>
      <c r="K111" s="110">
        <f t="shared" si="80"/>
        <v>3.5899730026055364E-2</v>
      </c>
      <c r="L111" s="110">
        <f t="shared" si="80"/>
        <v>4.059921319243593E-2</v>
      </c>
      <c r="M111" s="110">
        <f t="shared" si="80"/>
        <v>4.5509099024328377E-2</v>
      </c>
      <c r="N111" s="110">
        <f t="shared" si="80"/>
        <v>5.4880216410918656E-2</v>
      </c>
      <c r="O111" s="110">
        <f t="shared" si="80"/>
        <v>6.4694797877126273E-2</v>
      </c>
      <c r="P111" s="110">
        <f t="shared" si="80"/>
        <v>7.4952843422951235E-2</v>
      </c>
      <c r="Q111" s="110">
        <f t="shared" si="80"/>
        <v>8.5654353048393514E-2</v>
      </c>
      <c r="R111" s="110">
        <f t="shared" si="80"/>
        <v>9.6799326753453138E-2</v>
      </c>
      <c r="S111" s="110">
        <f t="shared" si="80"/>
        <v>0.10838776453813009</v>
      </c>
      <c r="T111" s="110">
        <f t="shared" si="80"/>
        <v>0.12041966640242438</v>
      </c>
      <c r="U111" s="110">
        <f t="shared" si="80"/>
        <v>0.13289503234633601</v>
      </c>
      <c r="V111" s="110">
        <f t="shared" si="80"/>
        <v>0.14581386236986496</v>
      </c>
      <c r="W111" s="110">
        <f t="shared" si="80"/>
        <v>0.15917615647301125</v>
      </c>
      <c r="X111" s="110">
        <f t="shared" si="80"/>
        <v>0.17991955347178681</v>
      </c>
      <c r="Y111" s="110">
        <f t="shared" si="80"/>
        <v>0.20140494766032316</v>
      </c>
      <c r="Z111" s="110">
        <f t="shared" si="80"/>
        <v>0.22363233903862018</v>
      </c>
      <c r="AA111" s="110">
        <f t="shared" si="80"/>
        <v>0.24660172760667798</v>
      </c>
      <c r="AB111" s="110">
        <f t="shared" si="80"/>
        <v>0.27031311336449648</v>
      </c>
      <c r="AC111" s="110">
        <f t="shared" si="80"/>
        <v>0.29476649631207569</v>
      </c>
      <c r="AD111" s="110">
        <f t="shared" si="80"/>
        <v>0.31996187644941559</v>
      </c>
      <c r="AE111" s="110">
        <f t="shared" si="80"/>
        <v>0.34589925377651631</v>
      </c>
      <c r="AF111" s="110">
        <f t="shared" si="80"/>
        <v>0.37257862829337779</v>
      </c>
      <c r="AG111" s="110">
        <f t="shared" si="80"/>
        <v>0.4</v>
      </c>
      <c r="AJ111" s="211" t="s">
        <v>1349</v>
      </c>
    </row>
    <row r="112" spans="1:63" outlineLevel="1" x14ac:dyDescent="0.2">
      <c r="AJ112" s="211"/>
    </row>
    <row r="113" spans="1:41" s="200" customFormat="1" ht="16" thickBot="1" x14ac:dyDescent="0.25">
      <c r="A113" s="200" t="s">
        <v>1351</v>
      </c>
      <c r="B113" s="215"/>
      <c r="C113" s="224">
        <f>C114</f>
        <v>0.05</v>
      </c>
      <c r="D113" s="224">
        <f t="shared" ref="D113:AG113" si="81">D114</f>
        <v>5.2260994000770548E-2</v>
      </c>
      <c r="E113" s="224">
        <f t="shared" si="81"/>
        <v>5.4521988001541094E-2</v>
      </c>
      <c r="F113" s="224">
        <f t="shared" si="81"/>
        <v>5.6782982002311633E-2</v>
      </c>
      <c r="G113" s="224">
        <f t="shared" si="81"/>
        <v>5.9043976003082178E-2</v>
      </c>
      <c r="H113" s="224">
        <f t="shared" si="81"/>
        <v>6.1304970003852724E-2</v>
      </c>
      <c r="I113" s="224">
        <f t="shared" si="81"/>
        <v>6.3565964004623277E-2</v>
      </c>
      <c r="J113" s="224">
        <f t="shared" si="81"/>
        <v>6.5826958005393815E-2</v>
      </c>
      <c r="K113" s="224">
        <f t="shared" si="81"/>
        <v>6.8087952006164354E-2</v>
      </c>
      <c r="L113" s="224">
        <f t="shared" si="81"/>
        <v>7.0348946006934907E-2</v>
      </c>
      <c r="M113" s="224">
        <f t="shared" si="81"/>
        <v>7.2609940007705445E-2</v>
      </c>
      <c r="N113" s="224">
        <f t="shared" si="81"/>
        <v>7.7375419670867973E-2</v>
      </c>
      <c r="O113" s="224">
        <f t="shared" si="81"/>
        <v>8.2140899334030501E-2</v>
      </c>
      <c r="P113" s="224">
        <f t="shared" si="81"/>
        <v>8.6906378997193029E-2</v>
      </c>
      <c r="Q113" s="224">
        <f t="shared" si="81"/>
        <v>9.1671858660355557E-2</v>
      </c>
      <c r="R113" s="224">
        <f t="shared" si="81"/>
        <v>9.6437338323518085E-2</v>
      </c>
      <c r="S113" s="224">
        <f t="shared" si="81"/>
        <v>0.10120281798668061</v>
      </c>
      <c r="T113" s="224">
        <f t="shared" si="81"/>
        <v>0.10596829764984314</v>
      </c>
      <c r="U113" s="224">
        <f t="shared" si="81"/>
        <v>0.11073377731300567</v>
      </c>
      <c r="V113" s="224">
        <f t="shared" si="81"/>
        <v>0.1154992569761682</v>
      </c>
      <c r="W113" s="224">
        <f t="shared" si="81"/>
        <v>0.12026473663933072</v>
      </c>
      <c r="X113" s="224">
        <f t="shared" si="81"/>
        <v>0.12823826297539764</v>
      </c>
      <c r="Y113" s="224">
        <f t="shared" si="81"/>
        <v>0.13621178931146458</v>
      </c>
      <c r="Z113" s="224">
        <f t="shared" si="81"/>
        <v>0.14418531564753151</v>
      </c>
      <c r="AA113" s="224">
        <f t="shared" si="81"/>
        <v>0.15215884198359844</v>
      </c>
      <c r="AB113" s="224">
        <f t="shared" si="81"/>
        <v>0.16013236831966537</v>
      </c>
      <c r="AC113" s="224">
        <f t="shared" si="81"/>
        <v>0.16810589465573231</v>
      </c>
      <c r="AD113" s="224">
        <f t="shared" si="81"/>
        <v>0.17607942099179924</v>
      </c>
      <c r="AE113" s="224">
        <f t="shared" si="81"/>
        <v>0.18405294732786615</v>
      </c>
      <c r="AF113" s="224">
        <f t="shared" si="81"/>
        <v>0.19202647366393311</v>
      </c>
      <c r="AG113" s="224">
        <f t="shared" si="81"/>
        <v>0.2</v>
      </c>
      <c r="AJ113" s="231" t="s">
        <v>1331</v>
      </c>
      <c r="AL113" s="217"/>
      <c r="AM113" s="225"/>
      <c r="AN113" s="225"/>
      <c r="AO113" s="225"/>
    </row>
    <row r="114" spans="1:41" ht="16" outlineLevel="2" thickTop="1" x14ac:dyDescent="0.2">
      <c r="A114" t="s">
        <v>1352</v>
      </c>
      <c r="B114" s="54" t="s">
        <v>462</v>
      </c>
      <c r="C114" s="113">
        <v>0.05</v>
      </c>
      <c r="D114" s="110">
        <f>$C114+($M114-$C114)/10*(D$1-$C$1)</f>
        <v>5.2260994000770548E-2</v>
      </c>
      <c r="E114" s="110">
        <f t="shared" ref="E114:L114" si="82">$C114+($M114-$C114)/10*(E$1-$C$1)</f>
        <v>5.4521988001541094E-2</v>
      </c>
      <c r="F114" s="110">
        <f t="shared" si="82"/>
        <v>5.6782982002311633E-2</v>
      </c>
      <c r="G114" s="110">
        <f t="shared" si="82"/>
        <v>5.9043976003082178E-2</v>
      </c>
      <c r="H114" s="110">
        <f t="shared" si="82"/>
        <v>6.1304970003852724E-2</v>
      </c>
      <c r="I114" s="110">
        <f t="shared" si="82"/>
        <v>6.3565964004623277E-2</v>
      </c>
      <c r="J114" s="110">
        <f t="shared" si="82"/>
        <v>6.5826958005393815E-2</v>
      </c>
      <c r="K114" s="110">
        <f t="shared" si="82"/>
        <v>6.8087952006164354E-2</v>
      </c>
      <c r="L114" s="110">
        <f t="shared" si="82"/>
        <v>7.0348946006934907E-2</v>
      </c>
      <c r="M114" s="121">
        <f>(M$55-$C$55)/($AG$55-$C$55)*($AG114-$C114)+$C114</f>
        <v>7.2609940007705445E-2</v>
      </c>
      <c r="N114" s="121">
        <f>$M114+($W114-$M114)/10*(N$1-$M$1)</f>
        <v>7.7375419670867973E-2</v>
      </c>
      <c r="O114" s="121">
        <f t="shared" ref="O114:U114" si="83">$M114+($W114-$M114)/10*(O$1-$M$1)</f>
        <v>8.2140899334030501E-2</v>
      </c>
      <c r="P114" s="121">
        <f t="shared" si="83"/>
        <v>8.6906378997193029E-2</v>
      </c>
      <c r="Q114" s="121">
        <f t="shared" si="83"/>
        <v>9.1671858660355557E-2</v>
      </c>
      <c r="R114" s="121">
        <f t="shared" si="83"/>
        <v>9.6437338323518085E-2</v>
      </c>
      <c r="S114" s="121">
        <f t="shared" si="83"/>
        <v>0.10120281798668061</v>
      </c>
      <c r="T114" s="121">
        <f t="shared" si="83"/>
        <v>0.10596829764984314</v>
      </c>
      <c r="U114" s="121">
        <f t="shared" si="83"/>
        <v>0.11073377731300567</v>
      </c>
      <c r="V114" s="121">
        <f>$M114+($W114-$M114)/10*(V$1-$M$1)</f>
        <v>0.1154992569761682</v>
      </c>
      <c r="W114" s="121">
        <f>(W$55-$C$55)/($AG$55-$C$55)*($AG114-$C114)+$C114</f>
        <v>0.12026473663933072</v>
      </c>
      <c r="X114" s="23">
        <f t="shared" ref="X114:AF114" si="84">$W114+($AG114-$W114)/10*(X$1-$W$1)</f>
        <v>0.12823826297539764</v>
      </c>
      <c r="Y114" s="23">
        <f t="shared" si="84"/>
        <v>0.13621178931146458</v>
      </c>
      <c r="Z114" s="23">
        <f t="shared" si="84"/>
        <v>0.14418531564753151</v>
      </c>
      <c r="AA114" s="23">
        <f t="shared" si="84"/>
        <v>0.15215884198359844</v>
      </c>
      <c r="AB114" s="23">
        <f t="shared" si="84"/>
        <v>0.16013236831966537</v>
      </c>
      <c r="AC114" s="23">
        <f t="shared" si="84"/>
        <v>0.16810589465573231</v>
      </c>
      <c r="AD114" s="23">
        <f t="shared" si="84"/>
        <v>0.17607942099179924</v>
      </c>
      <c r="AE114" s="23">
        <f t="shared" si="84"/>
        <v>0.18405294732786615</v>
      </c>
      <c r="AF114" s="23">
        <f t="shared" si="84"/>
        <v>0.19202647366393311</v>
      </c>
      <c r="AG114" s="106">
        <v>0.2</v>
      </c>
      <c r="AJ114" s="211" t="s">
        <v>1353</v>
      </c>
    </row>
    <row r="115" spans="1:41" outlineLevel="2" x14ac:dyDescent="0.2">
      <c r="C115" s="113"/>
      <c r="D115" s="110"/>
      <c r="E115" s="110"/>
      <c r="F115" s="110"/>
      <c r="G115" s="110"/>
      <c r="H115" s="110"/>
      <c r="I115" s="110"/>
      <c r="J115" s="110"/>
      <c r="K115" s="110"/>
      <c r="L115" s="110"/>
      <c r="M115" s="121"/>
      <c r="N115" s="121"/>
      <c r="O115" s="121"/>
      <c r="P115" s="121"/>
      <c r="Q115" s="121"/>
      <c r="R115" s="121"/>
      <c r="S115" s="121"/>
      <c r="T115" s="121"/>
      <c r="U115" s="121"/>
      <c r="V115" s="121"/>
      <c r="W115" s="121"/>
      <c r="X115" s="23"/>
      <c r="Y115" s="23"/>
      <c r="Z115" s="23"/>
      <c r="AA115" s="23"/>
      <c r="AB115" s="23"/>
      <c r="AC115" s="23"/>
      <c r="AD115" s="23"/>
      <c r="AE115" s="23"/>
      <c r="AF115" s="23"/>
      <c r="AG115" s="106"/>
      <c r="AJ115" s="211"/>
    </row>
    <row r="116" spans="1:41" outlineLevel="2" x14ac:dyDescent="0.2">
      <c r="C116" s="113"/>
      <c r="D116" s="110"/>
      <c r="E116" s="110"/>
      <c r="F116" s="110"/>
      <c r="G116" s="110"/>
      <c r="H116" s="110"/>
      <c r="I116" s="110"/>
      <c r="J116" s="110"/>
      <c r="K116" s="110"/>
      <c r="L116" s="110"/>
      <c r="M116" s="121"/>
      <c r="N116" s="121"/>
      <c r="O116" s="121"/>
      <c r="P116" s="121"/>
      <c r="Q116" s="121"/>
      <c r="R116" s="121"/>
      <c r="S116" s="121"/>
      <c r="T116" s="121"/>
      <c r="U116" s="121"/>
      <c r="V116" s="121"/>
      <c r="W116" s="121"/>
      <c r="X116" s="23"/>
      <c r="Y116" s="23"/>
      <c r="Z116" s="23"/>
      <c r="AA116" s="23"/>
      <c r="AB116" s="23"/>
      <c r="AC116" s="23"/>
      <c r="AD116" s="23"/>
      <c r="AE116" s="23"/>
      <c r="AF116" s="23"/>
      <c r="AG116" s="106"/>
      <c r="AJ116" s="211"/>
    </row>
    <row r="117" spans="1:41" s="200" customFormat="1" ht="16" thickBot="1" x14ac:dyDescent="0.25">
      <c r="A117" s="227" t="s">
        <v>1504</v>
      </c>
      <c r="B117" s="228"/>
      <c r="C117" s="229">
        <f t="shared" ref="C117:AG117" si="85">(C45*C65+C46*C69+C48*C93+C47*C111+C49*C113)/C50</f>
        <v>5.2458799355333138E-2</v>
      </c>
      <c r="D117" s="229">
        <f t="shared" si="85"/>
        <v>5.6284789440195555E-2</v>
      </c>
      <c r="E117" s="229">
        <f t="shared" si="85"/>
        <v>6.0183217285367019E-2</v>
      </c>
      <c r="F117" s="229">
        <f t="shared" si="85"/>
        <v>6.4153522165975321E-2</v>
      </c>
      <c r="G117" s="229">
        <f t="shared" si="85"/>
        <v>6.8195138027801264E-2</v>
      </c>
      <c r="H117" s="229">
        <f t="shared" si="85"/>
        <v>7.2307493423812708E-2</v>
      </c>
      <c r="I117" s="229">
        <f t="shared" si="85"/>
        <v>7.6523918009283473E-2</v>
      </c>
      <c r="J117" s="229">
        <f t="shared" si="85"/>
        <v>8.0820764851986721E-2</v>
      </c>
      <c r="K117" s="229">
        <f t="shared" si="85"/>
        <v>8.5198159294071207E-2</v>
      </c>
      <c r="L117" s="229">
        <f t="shared" si="85"/>
        <v>8.9656229231608611E-2</v>
      </c>
      <c r="M117" s="229">
        <f t="shared" si="85"/>
        <v>9.4195105179973704E-2</v>
      </c>
      <c r="N117" s="229">
        <f t="shared" si="85"/>
        <v>0.10262040466860492</v>
      </c>
      <c r="O117" s="229">
        <f t="shared" si="85"/>
        <v>0.11121713221738598</v>
      </c>
      <c r="P117" s="229">
        <f t="shared" si="85"/>
        <v>0.11996384051727579</v>
      </c>
      <c r="Q117" s="229">
        <f t="shared" si="85"/>
        <v>0.12886919795321991</v>
      </c>
      <c r="R117" s="229">
        <f t="shared" si="85"/>
        <v>0.13793265439364932</v>
      </c>
      <c r="S117" s="229">
        <f t="shared" si="85"/>
        <v>0.14715364420509885</v>
      </c>
      <c r="T117" s="229">
        <f t="shared" si="85"/>
        <v>0.15653158564320108</v>
      </c>
      <c r="U117" s="229">
        <f t="shared" si="85"/>
        <v>0.16606588021566132</v>
      </c>
      <c r="V117" s="229">
        <f t="shared" si="85"/>
        <v>0.17575591201569948</v>
      </c>
      <c r="W117" s="229">
        <f t="shared" si="85"/>
        <v>0.18560104702434529</v>
      </c>
      <c r="X117" s="229">
        <f t="shared" si="85"/>
        <v>0.20093756094338475</v>
      </c>
      <c r="Y117" s="229">
        <f t="shared" si="85"/>
        <v>0.21666295826465234</v>
      </c>
      <c r="Z117" s="229">
        <f t="shared" si="85"/>
        <v>0.23259473474725909</v>
      </c>
      <c r="AA117" s="229">
        <f t="shared" si="85"/>
        <v>0.24877300098750962</v>
      </c>
      <c r="AB117" s="229">
        <f t="shared" si="85"/>
        <v>0.26519711773037552</v>
      </c>
      <c r="AC117" s="229">
        <f t="shared" si="85"/>
        <v>0.28187691886231919</v>
      </c>
      <c r="AD117" s="229">
        <f t="shared" si="85"/>
        <v>0.2988031133703003</v>
      </c>
      <c r="AE117" s="229">
        <f t="shared" si="85"/>
        <v>0.31597514256543735</v>
      </c>
      <c r="AF117" s="229">
        <f t="shared" si="85"/>
        <v>0.33339243588437445</v>
      </c>
      <c r="AG117" s="229">
        <f t="shared" si="85"/>
        <v>0.35105440966447654</v>
      </c>
      <c r="AJ117" s="231" t="s">
        <v>1527</v>
      </c>
      <c r="AL117" s="217"/>
      <c r="AM117" s="225"/>
      <c r="AN117" s="225"/>
      <c r="AO117" s="225"/>
    </row>
    <row r="118" spans="1:41" s="200" customFormat="1" ht="17" thickTop="1" thickBot="1" x14ac:dyDescent="0.25">
      <c r="A118" s="227" t="s">
        <v>1356</v>
      </c>
      <c r="B118" s="228"/>
      <c r="C118" s="229">
        <f t="shared" ref="C118:AG118" si="86">(C14*C52+C69*C15+C17*C93+C107*C16+C113*C18)/C19</f>
        <v>0.10392620862112158</v>
      </c>
      <c r="D118" s="229">
        <f t="shared" si="86"/>
        <v>0.10914907209487128</v>
      </c>
      <c r="E118" s="229">
        <f t="shared" si="86"/>
        <v>0.11437193556862101</v>
      </c>
      <c r="F118" s="229">
        <f t="shared" si="86"/>
        <v>0.11959479904237068</v>
      </c>
      <c r="G118" s="229">
        <f t="shared" si="86"/>
        <v>0.12481766251612042</v>
      </c>
      <c r="H118" s="229">
        <f t="shared" si="86"/>
        <v>0.13004052598987015</v>
      </c>
      <c r="I118" s="229">
        <f t="shared" si="86"/>
        <v>0.13526338946361988</v>
      </c>
      <c r="J118" s="229">
        <f t="shared" si="86"/>
        <v>0.14048625293736958</v>
      </c>
      <c r="K118" s="229">
        <f t="shared" si="86"/>
        <v>0.1457091164111193</v>
      </c>
      <c r="L118" s="229">
        <f t="shared" si="86"/>
        <v>0.15093197988486898</v>
      </c>
      <c r="M118" s="229">
        <f t="shared" si="86"/>
        <v>0.15615484335861871</v>
      </c>
      <c r="N118" s="229">
        <f t="shared" si="86"/>
        <v>0.16716303252636805</v>
      </c>
      <c r="O118" s="229">
        <f t="shared" si="86"/>
        <v>0.17817122169411745</v>
      </c>
      <c r="P118" s="229">
        <f t="shared" si="86"/>
        <v>0.18917941086186682</v>
      </c>
      <c r="Q118" s="229">
        <f t="shared" si="86"/>
        <v>0.20018760002961619</v>
      </c>
      <c r="R118" s="229">
        <f t="shared" si="86"/>
        <v>0.21119578919736562</v>
      </c>
      <c r="S118" s="229">
        <f t="shared" si="86"/>
        <v>0.22220397836511507</v>
      </c>
      <c r="T118" s="229">
        <f t="shared" si="86"/>
        <v>0.23321216753286442</v>
      </c>
      <c r="U118" s="229">
        <f t="shared" si="86"/>
        <v>0.24422035670061382</v>
      </c>
      <c r="V118" s="229">
        <f t="shared" si="86"/>
        <v>0.25522854586836319</v>
      </c>
      <c r="W118" s="229">
        <f t="shared" si="86"/>
        <v>0.26623673503611256</v>
      </c>
      <c r="X118" s="229">
        <f t="shared" si="86"/>
        <v>0.28465546566672584</v>
      </c>
      <c r="Y118" s="229">
        <f t="shared" si="86"/>
        <v>0.30307419629733917</v>
      </c>
      <c r="Z118" s="229">
        <f t="shared" si="86"/>
        <v>0.32149292692795245</v>
      </c>
      <c r="AA118" s="229">
        <f t="shared" si="86"/>
        <v>0.33991165755856578</v>
      </c>
      <c r="AB118" s="229">
        <f t="shared" si="86"/>
        <v>0.35833038818917906</v>
      </c>
      <c r="AC118" s="229">
        <f t="shared" si="86"/>
        <v>0.37674911881979239</v>
      </c>
      <c r="AD118" s="229">
        <f t="shared" si="86"/>
        <v>0.39516784945040562</v>
      </c>
      <c r="AE118" s="229">
        <f t="shared" si="86"/>
        <v>0.4135865800810189</v>
      </c>
      <c r="AF118" s="229">
        <f t="shared" si="86"/>
        <v>0.43200531071163223</v>
      </c>
      <c r="AG118" s="229">
        <f t="shared" si="86"/>
        <v>0.45042404134224556</v>
      </c>
      <c r="AJ118" s="226" t="s">
        <v>1357</v>
      </c>
      <c r="AL118" s="217"/>
      <c r="AM118" s="225"/>
      <c r="AN118" s="225"/>
      <c r="AO118" s="225"/>
    </row>
    <row r="119" spans="1:41" ht="16" thickTop="1" x14ac:dyDescent="0.2">
      <c r="B119" s="130"/>
      <c r="C119" s="113"/>
      <c r="D119" s="23"/>
      <c r="E119" s="23"/>
      <c r="F119" s="23"/>
      <c r="G119" s="23"/>
      <c r="H119" s="23"/>
      <c r="I119" s="23"/>
      <c r="J119" s="23"/>
      <c r="K119" s="23"/>
      <c r="L119" s="23"/>
      <c r="M119" s="126"/>
      <c r="N119" s="110"/>
      <c r="O119" s="110"/>
      <c r="P119" s="110"/>
      <c r="Q119" s="110"/>
      <c r="R119" s="110"/>
      <c r="S119" s="110"/>
      <c r="T119" s="110"/>
      <c r="U119" s="110"/>
      <c r="V119" s="110"/>
      <c r="W119" s="126"/>
      <c r="X119" s="110"/>
      <c r="Y119" s="110"/>
      <c r="Z119" s="110"/>
      <c r="AA119" s="110"/>
      <c r="AB119" s="110"/>
      <c r="AC119" s="110"/>
      <c r="AD119" s="110"/>
      <c r="AE119" s="110"/>
      <c r="AF119" s="110"/>
      <c r="AG119" s="113"/>
    </row>
    <row r="120" spans="1:41" s="58" customFormat="1" x14ac:dyDescent="0.2">
      <c r="A120" s="58" t="s">
        <v>1361</v>
      </c>
      <c r="B120" s="303"/>
      <c r="C120" s="304"/>
      <c r="D120" s="304"/>
      <c r="E120" s="304"/>
      <c r="F120" s="304"/>
      <c r="G120" s="304"/>
      <c r="H120" s="304"/>
      <c r="I120" s="304"/>
      <c r="J120" s="304"/>
      <c r="K120" s="304"/>
      <c r="L120" s="304"/>
      <c r="M120" s="304"/>
      <c r="N120" s="304"/>
      <c r="O120" s="304"/>
      <c r="P120" s="304"/>
      <c r="Q120" s="304"/>
      <c r="R120" s="304"/>
      <c r="S120" s="304"/>
      <c r="T120" s="304"/>
      <c r="U120" s="304"/>
      <c r="V120" s="304"/>
      <c r="W120" s="304"/>
      <c r="X120" s="304"/>
      <c r="Y120" s="304"/>
      <c r="Z120" s="304"/>
      <c r="AA120" s="304"/>
      <c r="AB120" s="304"/>
      <c r="AC120" s="304"/>
      <c r="AD120" s="304"/>
      <c r="AE120" s="304"/>
      <c r="AF120" s="304"/>
      <c r="AG120" s="304"/>
      <c r="AI120" s="305"/>
      <c r="AJ120" s="306"/>
    </row>
    <row r="121" spans="1:41" s="190" customFormat="1" outlineLevel="1" x14ac:dyDescent="0.2">
      <c r="A121" s="344" t="s">
        <v>1362</v>
      </c>
      <c r="B121" s="318" t="s">
        <v>462</v>
      </c>
      <c r="C121" s="319">
        <v>0.84</v>
      </c>
      <c r="D121" s="320">
        <f>-($C121-$AG121)/30+C121</f>
        <v>0.83566666666666667</v>
      </c>
      <c r="E121" s="320">
        <f t="shared" ref="E121:AF121" si="87">-($C121-$AG121)/30+D121</f>
        <v>0.83133333333333337</v>
      </c>
      <c r="F121" s="320">
        <f t="shared" si="87"/>
        <v>0.82700000000000007</v>
      </c>
      <c r="G121" s="320">
        <f t="shared" si="87"/>
        <v>0.82266666666666677</v>
      </c>
      <c r="H121" s="320">
        <f t="shared" si="87"/>
        <v>0.81833333333333347</v>
      </c>
      <c r="I121" s="320">
        <f t="shared" si="87"/>
        <v>0.81400000000000017</v>
      </c>
      <c r="J121" s="320">
        <f t="shared" si="87"/>
        <v>0.80966666666666687</v>
      </c>
      <c r="K121" s="320">
        <f t="shared" si="87"/>
        <v>0.80533333333333357</v>
      </c>
      <c r="L121" s="320">
        <f t="shared" si="87"/>
        <v>0.80100000000000027</v>
      </c>
      <c r="M121" s="320">
        <f t="shared" si="87"/>
        <v>0.79666666666666697</v>
      </c>
      <c r="N121" s="320">
        <f t="shared" si="87"/>
        <v>0.79233333333333367</v>
      </c>
      <c r="O121" s="320">
        <f t="shared" si="87"/>
        <v>0.78800000000000037</v>
      </c>
      <c r="P121" s="320">
        <f t="shared" si="87"/>
        <v>0.78366666666666707</v>
      </c>
      <c r="Q121" s="320">
        <f t="shared" si="87"/>
        <v>0.77933333333333377</v>
      </c>
      <c r="R121" s="320">
        <f t="shared" si="87"/>
        <v>0.77500000000000047</v>
      </c>
      <c r="S121" s="320">
        <f t="shared" si="87"/>
        <v>0.77066666666666717</v>
      </c>
      <c r="T121" s="320">
        <f t="shared" si="87"/>
        <v>0.76633333333333387</v>
      </c>
      <c r="U121" s="320">
        <f t="shared" si="87"/>
        <v>0.76200000000000057</v>
      </c>
      <c r="V121" s="320">
        <f t="shared" si="87"/>
        <v>0.75766666666666727</v>
      </c>
      <c r="W121" s="320">
        <f t="shared" si="87"/>
        <v>0.75333333333333397</v>
      </c>
      <c r="X121" s="320">
        <f t="shared" si="87"/>
        <v>0.74900000000000067</v>
      </c>
      <c r="Y121" s="320">
        <f t="shared" si="87"/>
        <v>0.74466666666666737</v>
      </c>
      <c r="Z121" s="320">
        <f t="shared" si="87"/>
        <v>0.74033333333333406</v>
      </c>
      <c r="AA121" s="320">
        <f t="shared" si="87"/>
        <v>0.73600000000000076</v>
      </c>
      <c r="AB121" s="320">
        <f t="shared" si="87"/>
        <v>0.73166666666666746</v>
      </c>
      <c r="AC121" s="320">
        <f t="shared" si="87"/>
        <v>0.72733333333333416</v>
      </c>
      <c r="AD121" s="320">
        <f t="shared" si="87"/>
        <v>0.72300000000000086</v>
      </c>
      <c r="AE121" s="320">
        <f t="shared" si="87"/>
        <v>0.71866666666666756</v>
      </c>
      <c r="AF121" s="320">
        <f t="shared" si="87"/>
        <v>0.71433333333333426</v>
      </c>
      <c r="AG121" s="319">
        <v>0.71</v>
      </c>
      <c r="AI121" s="321"/>
      <c r="AJ121" s="322" t="s">
        <v>1363</v>
      </c>
    </row>
    <row r="122" spans="1:41" outlineLevel="1" x14ac:dyDescent="0.2">
      <c r="A122" s="3" t="s">
        <v>90</v>
      </c>
      <c r="B122" s="302" t="s">
        <v>462</v>
      </c>
      <c r="C122" s="296">
        <v>0.16</v>
      </c>
      <c r="D122" s="317">
        <f t="shared" ref="D122:AF127" si="88">-($C122-$AG122)/30+C122</f>
        <v>0.16206666666666666</v>
      </c>
      <c r="E122" s="317">
        <f t="shared" si="88"/>
        <v>0.16413333333333333</v>
      </c>
      <c r="F122" s="317">
        <f t="shared" si="88"/>
        <v>0.16619999999999999</v>
      </c>
      <c r="G122" s="317">
        <f t="shared" si="88"/>
        <v>0.16826666666666665</v>
      </c>
      <c r="H122" s="317">
        <f t="shared" si="88"/>
        <v>0.17033333333333331</v>
      </c>
      <c r="I122" s="317">
        <f t="shared" si="88"/>
        <v>0.17239999999999997</v>
      </c>
      <c r="J122" s="317">
        <f t="shared" si="88"/>
        <v>0.17446666666666663</v>
      </c>
      <c r="K122" s="317">
        <f t="shared" si="88"/>
        <v>0.17653333333333329</v>
      </c>
      <c r="L122" s="317">
        <f t="shared" si="88"/>
        <v>0.17859999999999995</v>
      </c>
      <c r="M122" s="317">
        <f t="shared" si="88"/>
        <v>0.18066666666666661</v>
      </c>
      <c r="N122" s="317">
        <f t="shared" si="88"/>
        <v>0.18273333333333328</v>
      </c>
      <c r="O122" s="317">
        <f t="shared" si="88"/>
        <v>0.18479999999999994</v>
      </c>
      <c r="P122" s="317">
        <f t="shared" si="88"/>
        <v>0.1868666666666666</v>
      </c>
      <c r="Q122" s="317">
        <f t="shared" si="88"/>
        <v>0.18893333333333326</v>
      </c>
      <c r="R122" s="317">
        <f t="shared" si="88"/>
        <v>0.19099999999999992</v>
      </c>
      <c r="S122" s="317">
        <f t="shared" si="88"/>
        <v>0.19306666666666658</v>
      </c>
      <c r="T122" s="317">
        <f t="shared" si="88"/>
        <v>0.19513333333333324</v>
      </c>
      <c r="U122" s="317">
        <f t="shared" si="88"/>
        <v>0.1971999999999999</v>
      </c>
      <c r="V122" s="317">
        <f t="shared" si="88"/>
        <v>0.19926666666666656</v>
      </c>
      <c r="W122" s="317">
        <f t="shared" si="88"/>
        <v>0.20133333333333323</v>
      </c>
      <c r="X122" s="317">
        <f t="shared" si="88"/>
        <v>0.20339999999999989</v>
      </c>
      <c r="Y122" s="317">
        <f t="shared" si="88"/>
        <v>0.20546666666666655</v>
      </c>
      <c r="Z122" s="317">
        <f t="shared" si="88"/>
        <v>0.20753333333333321</v>
      </c>
      <c r="AA122" s="317">
        <f t="shared" si="88"/>
        <v>0.20959999999999987</v>
      </c>
      <c r="AB122" s="317">
        <f t="shared" si="88"/>
        <v>0.21166666666666653</v>
      </c>
      <c r="AC122" s="317">
        <f t="shared" si="88"/>
        <v>0.21373333333333319</v>
      </c>
      <c r="AD122" s="317">
        <f t="shared" si="88"/>
        <v>0.21579999999999985</v>
      </c>
      <c r="AE122" s="317">
        <f t="shared" si="88"/>
        <v>0.21786666666666651</v>
      </c>
      <c r="AF122" s="317">
        <f t="shared" si="88"/>
        <v>0.21993333333333318</v>
      </c>
      <c r="AG122" s="296">
        <v>0.222</v>
      </c>
      <c r="AI122" s="214"/>
      <c r="AJ122" s="211" t="s">
        <v>1363</v>
      </c>
    </row>
    <row r="123" spans="1:41" outlineLevel="1" x14ac:dyDescent="0.2">
      <c r="A123" s="3" t="s">
        <v>33</v>
      </c>
      <c r="B123" s="302" t="s">
        <v>462</v>
      </c>
      <c r="C123" s="296">
        <v>0.37</v>
      </c>
      <c r="D123" s="317">
        <f t="shared" si="88"/>
        <v>0.36270000000000002</v>
      </c>
      <c r="E123" s="317">
        <f t="shared" si="88"/>
        <v>0.35540000000000005</v>
      </c>
      <c r="F123" s="317">
        <f t="shared" si="88"/>
        <v>0.34810000000000008</v>
      </c>
      <c r="G123" s="317">
        <f t="shared" si="88"/>
        <v>0.3408000000000001</v>
      </c>
      <c r="H123" s="317">
        <f t="shared" si="88"/>
        <v>0.33350000000000013</v>
      </c>
      <c r="I123" s="317">
        <f t="shared" si="88"/>
        <v>0.32620000000000016</v>
      </c>
      <c r="J123" s="317">
        <f t="shared" si="88"/>
        <v>0.31890000000000018</v>
      </c>
      <c r="K123" s="317">
        <f t="shared" si="88"/>
        <v>0.31160000000000021</v>
      </c>
      <c r="L123" s="317">
        <f t="shared" si="88"/>
        <v>0.30430000000000024</v>
      </c>
      <c r="M123" s="317">
        <f t="shared" si="88"/>
        <v>0.29700000000000026</v>
      </c>
      <c r="N123" s="317">
        <f t="shared" si="88"/>
        <v>0.28970000000000029</v>
      </c>
      <c r="O123" s="317">
        <f t="shared" si="88"/>
        <v>0.28240000000000032</v>
      </c>
      <c r="P123" s="317">
        <f t="shared" si="88"/>
        <v>0.27510000000000034</v>
      </c>
      <c r="Q123" s="317">
        <f t="shared" si="88"/>
        <v>0.26780000000000037</v>
      </c>
      <c r="R123" s="317">
        <f t="shared" si="88"/>
        <v>0.2605000000000004</v>
      </c>
      <c r="S123" s="317">
        <f t="shared" si="88"/>
        <v>0.25320000000000042</v>
      </c>
      <c r="T123" s="317">
        <f t="shared" si="88"/>
        <v>0.24590000000000042</v>
      </c>
      <c r="U123" s="317">
        <f t="shared" si="88"/>
        <v>0.23860000000000042</v>
      </c>
      <c r="V123" s="317">
        <f t="shared" si="88"/>
        <v>0.23130000000000042</v>
      </c>
      <c r="W123" s="317">
        <f t="shared" si="88"/>
        <v>0.22400000000000042</v>
      </c>
      <c r="X123" s="317">
        <f t="shared" si="88"/>
        <v>0.21670000000000042</v>
      </c>
      <c r="Y123" s="317">
        <f t="shared" si="88"/>
        <v>0.20940000000000042</v>
      </c>
      <c r="Z123" s="317">
        <f t="shared" si="88"/>
        <v>0.20210000000000042</v>
      </c>
      <c r="AA123" s="317">
        <f t="shared" si="88"/>
        <v>0.19480000000000042</v>
      </c>
      <c r="AB123" s="317">
        <f t="shared" si="88"/>
        <v>0.18750000000000042</v>
      </c>
      <c r="AC123" s="317">
        <f t="shared" si="88"/>
        <v>0.18020000000000042</v>
      </c>
      <c r="AD123" s="317">
        <f t="shared" si="88"/>
        <v>0.17290000000000041</v>
      </c>
      <c r="AE123" s="317">
        <f t="shared" si="88"/>
        <v>0.16560000000000041</v>
      </c>
      <c r="AF123" s="317">
        <f t="shared" si="88"/>
        <v>0.15830000000000041</v>
      </c>
      <c r="AG123" s="296">
        <v>0.151</v>
      </c>
      <c r="AI123" s="214"/>
      <c r="AJ123" s="211" t="s">
        <v>1363</v>
      </c>
    </row>
    <row r="124" spans="1:41" outlineLevel="1" x14ac:dyDescent="0.2">
      <c r="A124" s="3" t="s">
        <v>451</v>
      </c>
      <c r="B124" s="302" t="s">
        <v>462</v>
      </c>
      <c r="C124" s="296">
        <v>0.08</v>
      </c>
      <c r="D124" s="317">
        <f t="shared" si="88"/>
        <v>8.0100000000000005E-2</v>
      </c>
      <c r="E124" s="317">
        <f t="shared" si="88"/>
        <v>8.0200000000000007E-2</v>
      </c>
      <c r="F124" s="317">
        <f t="shared" si="88"/>
        <v>8.030000000000001E-2</v>
      </c>
      <c r="G124" s="317">
        <f t="shared" si="88"/>
        <v>8.0400000000000013E-2</v>
      </c>
      <c r="H124" s="317">
        <f t="shared" si="88"/>
        <v>8.0500000000000016E-2</v>
      </c>
      <c r="I124" s="317">
        <f t="shared" si="88"/>
        <v>8.0600000000000019E-2</v>
      </c>
      <c r="J124" s="317">
        <f t="shared" si="88"/>
        <v>8.0700000000000022E-2</v>
      </c>
      <c r="K124" s="317">
        <f t="shared" si="88"/>
        <v>8.0800000000000025E-2</v>
      </c>
      <c r="L124" s="317">
        <f t="shared" si="88"/>
        <v>8.0900000000000027E-2</v>
      </c>
      <c r="M124" s="317">
        <f t="shared" si="88"/>
        <v>8.100000000000003E-2</v>
      </c>
      <c r="N124" s="317">
        <f t="shared" si="88"/>
        <v>8.1100000000000033E-2</v>
      </c>
      <c r="O124" s="317">
        <f t="shared" si="88"/>
        <v>8.1200000000000036E-2</v>
      </c>
      <c r="P124" s="317">
        <f t="shared" si="88"/>
        <v>8.1300000000000039E-2</v>
      </c>
      <c r="Q124" s="317">
        <f t="shared" si="88"/>
        <v>8.1400000000000042E-2</v>
      </c>
      <c r="R124" s="317">
        <f t="shared" si="88"/>
        <v>8.1500000000000045E-2</v>
      </c>
      <c r="S124" s="317">
        <f t="shared" si="88"/>
        <v>8.1600000000000047E-2</v>
      </c>
      <c r="T124" s="317">
        <f t="shared" si="88"/>
        <v>8.170000000000005E-2</v>
      </c>
      <c r="U124" s="317">
        <f t="shared" si="88"/>
        <v>8.1800000000000053E-2</v>
      </c>
      <c r="V124" s="317">
        <f t="shared" si="88"/>
        <v>8.1900000000000056E-2</v>
      </c>
      <c r="W124" s="317">
        <f t="shared" si="88"/>
        <v>8.2000000000000059E-2</v>
      </c>
      <c r="X124" s="317">
        <f t="shared" si="88"/>
        <v>8.2100000000000062E-2</v>
      </c>
      <c r="Y124" s="317">
        <f t="shared" si="88"/>
        <v>8.2200000000000065E-2</v>
      </c>
      <c r="Z124" s="317">
        <f t="shared" si="88"/>
        <v>8.2300000000000068E-2</v>
      </c>
      <c r="AA124" s="317">
        <f t="shared" si="88"/>
        <v>8.240000000000007E-2</v>
      </c>
      <c r="AB124" s="317">
        <f t="shared" si="88"/>
        <v>8.2500000000000073E-2</v>
      </c>
      <c r="AC124" s="317">
        <f t="shared" si="88"/>
        <v>8.2600000000000076E-2</v>
      </c>
      <c r="AD124" s="317">
        <f t="shared" si="88"/>
        <v>8.2700000000000079E-2</v>
      </c>
      <c r="AE124" s="317">
        <f t="shared" si="88"/>
        <v>8.2800000000000082E-2</v>
      </c>
      <c r="AF124" s="317">
        <f t="shared" si="88"/>
        <v>8.2900000000000085E-2</v>
      </c>
      <c r="AG124" s="296">
        <v>8.3000000000000004E-2</v>
      </c>
      <c r="AI124" s="214"/>
      <c r="AJ124" s="211" t="s">
        <v>1363</v>
      </c>
    </row>
    <row r="125" spans="1:41" outlineLevel="1" x14ac:dyDescent="0.2">
      <c r="A125" s="3" t="s">
        <v>452</v>
      </c>
      <c r="B125" s="302" t="s">
        <v>462</v>
      </c>
      <c r="C125" s="296">
        <v>0.27</v>
      </c>
      <c r="D125" s="317">
        <f t="shared" si="88"/>
        <v>0.27313333333333334</v>
      </c>
      <c r="E125" s="317">
        <f t="shared" si="88"/>
        <v>0.27626666666666666</v>
      </c>
      <c r="F125" s="317">
        <f t="shared" si="88"/>
        <v>0.27939999999999998</v>
      </c>
      <c r="G125" s="317">
        <f t="shared" si="88"/>
        <v>0.2825333333333333</v>
      </c>
      <c r="H125" s="317">
        <f t="shared" si="88"/>
        <v>0.28566666666666662</v>
      </c>
      <c r="I125" s="317">
        <f t="shared" si="88"/>
        <v>0.28879999999999995</v>
      </c>
      <c r="J125" s="317">
        <f t="shared" si="88"/>
        <v>0.29193333333333327</v>
      </c>
      <c r="K125" s="317">
        <f t="shared" si="88"/>
        <v>0.29506666666666659</v>
      </c>
      <c r="L125" s="317">
        <f t="shared" si="88"/>
        <v>0.29819999999999991</v>
      </c>
      <c r="M125" s="317">
        <f t="shared" si="88"/>
        <v>0.30133333333333323</v>
      </c>
      <c r="N125" s="317">
        <f t="shared" si="88"/>
        <v>0.30446666666666655</v>
      </c>
      <c r="O125" s="317">
        <f t="shared" si="88"/>
        <v>0.30759999999999987</v>
      </c>
      <c r="P125" s="317">
        <f t="shared" si="88"/>
        <v>0.31073333333333319</v>
      </c>
      <c r="Q125" s="317">
        <f t="shared" si="88"/>
        <v>0.31386666666666652</v>
      </c>
      <c r="R125" s="317">
        <f t="shared" si="88"/>
        <v>0.31699999999999984</v>
      </c>
      <c r="S125" s="317">
        <f t="shared" si="88"/>
        <v>0.32013333333333316</v>
      </c>
      <c r="T125" s="317">
        <f t="shared" si="88"/>
        <v>0.32326666666666648</v>
      </c>
      <c r="U125" s="317">
        <f t="shared" si="88"/>
        <v>0.3263999999999998</v>
      </c>
      <c r="V125" s="317">
        <f t="shared" si="88"/>
        <v>0.32953333333333312</v>
      </c>
      <c r="W125" s="317">
        <f t="shared" si="88"/>
        <v>0.33266666666666644</v>
      </c>
      <c r="X125" s="317">
        <f t="shared" si="88"/>
        <v>0.33579999999999977</v>
      </c>
      <c r="Y125" s="317">
        <f t="shared" si="88"/>
        <v>0.33893333333333309</v>
      </c>
      <c r="Z125" s="317">
        <f t="shared" si="88"/>
        <v>0.34206666666666641</v>
      </c>
      <c r="AA125" s="317">
        <f t="shared" si="88"/>
        <v>0.34519999999999973</v>
      </c>
      <c r="AB125" s="317">
        <f t="shared" si="88"/>
        <v>0.34833333333333305</v>
      </c>
      <c r="AC125" s="317">
        <f t="shared" si="88"/>
        <v>0.35146666666666637</v>
      </c>
      <c r="AD125" s="317">
        <f t="shared" si="88"/>
        <v>0.35459999999999969</v>
      </c>
      <c r="AE125" s="317">
        <f t="shared" si="88"/>
        <v>0.35773333333333301</v>
      </c>
      <c r="AF125" s="317">
        <f t="shared" si="88"/>
        <v>0.36086666666666634</v>
      </c>
      <c r="AG125" s="296">
        <v>0.36399999999999999</v>
      </c>
      <c r="AI125" s="214"/>
      <c r="AJ125" s="211" t="s">
        <v>1363</v>
      </c>
    </row>
    <row r="126" spans="1:41" outlineLevel="1" x14ac:dyDescent="0.2">
      <c r="A126" s="3" t="s">
        <v>1364</v>
      </c>
      <c r="B126" s="302" t="s">
        <v>462</v>
      </c>
      <c r="C126" s="296">
        <v>7.0000000000000007E-2</v>
      </c>
      <c r="D126" s="317">
        <f t="shared" si="88"/>
        <v>7.1266666666666673E-2</v>
      </c>
      <c r="E126" s="317">
        <f t="shared" si="88"/>
        <v>7.2533333333333339E-2</v>
      </c>
      <c r="F126" s="317">
        <f t="shared" si="88"/>
        <v>7.3800000000000004E-2</v>
      </c>
      <c r="G126" s="317">
        <f t="shared" si="88"/>
        <v>7.506666666666667E-2</v>
      </c>
      <c r="H126" s="317">
        <f t="shared" si="88"/>
        <v>7.6333333333333336E-2</v>
      </c>
      <c r="I126" s="317">
        <f t="shared" si="88"/>
        <v>7.7600000000000002E-2</v>
      </c>
      <c r="J126" s="317">
        <f t="shared" si="88"/>
        <v>7.8866666666666668E-2</v>
      </c>
      <c r="K126" s="317">
        <f t="shared" si="88"/>
        <v>8.0133333333333334E-2</v>
      </c>
      <c r="L126" s="317">
        <f t="shared" si="88"/>
        <v>8.14E-2</v>
      </c>
      <c r="M126" s="317">
        <f t="shared" si="88"/>
        <v>8.2666666666666666E-2</v>
      </c>
      <c r="N126" s="317">
        <f t="shared" si="88"/>
        <v>8.3933333333333332E-2</v>
      </c>
      <c r="O126" s="317">
        <f t="shared" si="88"/>
        <v>8.5199999999999998E-2</v>
      </c>
      <c r="P126" s="317">
        <f t="shared" si="88"/>
        <v>8.6466666666666664E-2</v>
      </c>
      <c r="Q126" s="317">
        <f t="shared" si="88"/>
        <v>8.773333333333333E-2</v>
      </c>
      <c r="R126" s="317">
        <f t="shared" si="88"/>
        <v>8.8999999999999996E-2</v>
      </c>
      <c r="S126" s="317">
        <f t="shared" si="88"/>
        <v>9.0266666666666662E-2</v>
      </c>
      <c r="T126" s="317">
        <f t="shared" si="88"/>
        <v>9.1533333333333328E-2</v>
      </c>
      <c r="U126" s="317">
        <f t="shared" si="88"/>
        <v>9.2799999999999994E-2</v>
      </c>
      <c r="V126" s="317">
        <f t="shared" si="88"/>
        <v>9.406666666666666E-2</v>
      </c>
      <c r="W126" s="317">
        <f t="shared" si="88"/>
        <v>9.5333333333333325E-2</v>
      </c>
      <c r="X126" s="317">
        <f t="shared" si="88"/>
        <v>9.6599999999999991E-2</v>
      </c>
      <c r="Y126" s="317">
        <f t="shared" si="88"/>
        <v>9.7866666666666657E-2</v>
      </c>
      <c r="Z126" s="317">
        <f t="shared" si="88"/>
        <v>9.9133333333333323E-2</v>
      </c>
      <c r="AA126" s="317">
        <f t="shared" si="88"/>
        <v>0.10039999999999999</v>
      </c>
      <c r="AB126" s="317">
        <f t="shared" si="88"/>
        <v>0.10166666666666666</v>
      </c>
      <c r="AC126" s="317">
        <f t="shared" si="88"/>
        <v>0.10293333333333332</v>
      </c>
      <c r="AD126" s="317">
        <f t="shared" si="88"/>
        <v>0.10419999999999999</v>
      </c>
      <c r="AE126" s="317">
        <f t="shared" si="88"/>
        <v>0.10546666666666665</v>
      </c>
      <c r="AF126" s="317">
        <f t="shared" si="88"/>
        <v>0.10673333333333332</v>
      </c>
      <c r="AG126" s="296">
        <v>0.108</v>
      </c>
      <c r="AI126" s="214"/>
      <c r="AJ126" s="211" t="s">
        <v>1363</v>
      </c>
    </row>
    <row r="127" spans="1:41" outlineLevel="1" x14ac:dyDescent="0.2">
      <c r="A127" s="3" t="s">
        <v>1365</v>
      </c>
      <c r="B127" s="302" t="s">
        <v>462</v>
      </c>
      <c r="C127" s="296">
        <v>0.05</v>
      </c>
      <c r="D127" s="317">
        <f t="shared" si="88"/>
        <v>5.0733333333333339E-2</v>
      </c>
      <c r="E127" s="317">
        <f t="shared" si="88"/>
        <v>5.1466666666666674E-2</v>
      </c>
      <c r="F127" s="317">
        <f t="shared" si="88"/>
        <v>5.220000000000001E-2</v>
      </c>
      <c r="G127" s="317">
        <f t="shared" si="88"/>
        <v>5.2933333333333346E-2</v>
      </c>
      <c r="H127" s="317">
        <f t="shared" si="88"/>
        <v>5.3666666666666682E-2</v>
      </c>
      <c r="I127" s="317">
        <f t="shared" si="88"/>
        <v>5.4400000000000018E-2</v>
      </c>
      <c r="J127" s="317">
        <f t="shared" si="88"/>
        <v>5.5133333333333354E-2</v>
      </c>
      <c r="K127" s="317">
        <f t="shared" si="88"/>
        <v>5.5866666666666689E-2</v>
      </c>
      <c r="L127" s="317">
        <f t="shared" si="88"/>
        <v>5.6600000000000025E-2</v>
      </c>
      <c r="M127" s="317">
        <f t="shared" si="88"/>
        <v>5.7333333333333361E-2</v>
      </c>
      <c r="N127" s="317">
        <f t="shared" si="88"/>
        <v>5.8066666666666697E-2</v>
      </c>
      <c r="O127" s="317">
        <f t="shared" si="88"/>
        <v>5.8800000000000033E-2</v>
      </c>
      <c r="P127" s="317">
        <f t="shared" si="88"/>
        <v>5.9533333333333369E-2</v>
      </c>
      <c r="Q127" s="317">
        <f t="shared" si="88"/>
        <v>6.0266666666666704E-2</v>
      </c>
      <c r="R127" s="317">
        <f t="shared" si="88"/>
        <v>6.100000000000004E-2</v>
      </c>
      <c r="S127" s="317">
        <f t="shared" si="88"/>
        <v>6.1733333333333376E-2</v>
      </c>
      <c r="T127" s="317">
        <f t="shared" si="88"/>
        <v>6.2466666666666712E-2</v>
      </c>
      <c r="U127" s="317">
        <f t="shared" si="88"/>
        <v>6.3200000000000048E-2</v>
      </c>
      <c r="V127" s="317">
        <f t="shared" si="88"/>
        <v>6.3933333333333384E-2</v>
      </c>
      <c r="W127" s="317">
        <f t="shared" si="88"/>
        <v>6.4666666666666719E-2</v>
      </c>
      <c r="X127" s="317">
        <f t="shared" si="88"/>
        <v>6.5400000000000055E-2</v>
      </c>
      <c r="Y127" s="317">
        <f t="shared" si="88"/>
        <v>6.6133333333333391E-2</v>
      </c>
      <c r="Z127" s="317">
        <f t="shared" si="88"/>
        <v>6.6866666666666727E-2</v>
      </c>
      <c r="AA127" s="317">
        <f t="shared" si="88"/>
        <v>6.7600000000000063E-2</v>
      </c>
      <c r="AB127" s="317">
        <f t="shared" si="88"/>
        <v>6.8333333333333399E-2</v>
      </c>
      <c r="AC127" s="317">
        <f t="shared" si="88"/>
        <v>6.9066666666666734E-2</v>
      </c>
      <c r="AD127" s="317">
        <f t="shared" si="88"/>
        <v>6.980000000000007E-2</v>
      </c>
      <c r="AE127" s="317">
        <f t="shared" si="88"/>
        <v>7.0533333333333406E-2</v>
      </c>
      <c r="AF127" s="317">
        <f t="shared" si="88"/>
        <v>7.1266666666666742E-2</v>
      </c>
      <c r="AG127" s="296">
        <v>7.1999999999999995E-2</v>
      </c>
      <c r="AI127" s="214"/>
      <c r="AJ127" s="211" t="s">
        <v>1363</v>
      </c>
    </row>
    <row r="128" spans="1:41" s="58" customFormat="1" outlineLevel="1" x14ac:dyDescent="0.2">
      <c r="A128" s="306" t="s">
        <v>1366</v>
      </c>
      <c r="B128" s="303"/>
      <c r="C128" s="304"/>
      <c r="D128" s="304"/>
      <c r="E128" s="304"/>
      <c r="F128" s="304"/>
      <c r="G128" s="304"/>
      <c r="H128" s="304"/>
      <c r="I128" s="304"/>
      <c r="J128" s="304"/>
      <c r="K128" s="304"/>
      <c r="L128" s="304"/>
      <c r="M128" s="304"/>
      <c r="N128" s="304"/>
      <c r="O128" s="304"/>
      <c r="P128" s="304"/>
      <c r="Q128" s="304"/>
      <c r="R128" s="304"/>
      <c r="S128" s="304"/>
      <c r="T128" s="304"/>
      <c r="U128" s="304"/>
      <c r="V128" s="304"/>
      <c r="W128" s="304"/>
      <c r="X128" s="304"/>
      <c r="Y128" s="304"/>
      <c r="Z128" s="304"/>
      <c r="AA128" s="304"/>
      <c r="AB128" s="304"/>
      <c r="AC128" s="304"/>
      <c r="AD128" s="304"/>
      <c r="AE128" s="304"/>
      <c r="AF128" s="304"/>
      <c r="AG128" s="304"/>
      <c r="AI128" s="305"/>
      <c r="AJ128" s="306"/>
    </row>
    <row r="129" spans="1:36" s="58" customFormat="1" outlineLevel="1" x14ac:dyDescent="0.2">
      <c r="A129" s="307" t="s">
        <v>1367</v>
      </c>
      <c r="B129" s="308" t="s">
        <v>462</v>
      </c>
      <c r="C129" s="337">
        <v>0.84</v>
      </c>
      <c r="D129" s="338">
        <f>-($C129-$AG129)/30+C129</f>
        <v>0.84399999999999997</v>
      </c>
      <c r="E129" s="338">
        <f t="shared" ref="E129:AF130" si="89">-($C129-$AG129)/30+D129</f>
        <v>0.84799999999999998</v>
      </c>
      <c r="F129" s="338">
        <f t="shared" si="89"/>
        <v>0.85199999999999998</v>
      </c>
      <c r="G129" s="338">
        <f t="shared" si="89"/>
        <v>0.85599999999999998</v>
      </c>
      <c r="H129" s="338">
        <f t="shared" si="89"/>
        <v>0.86</v>
      </c>
      <c r="I129" s="338">
        <f t="shared" si="89"/>
        <v>0.86399999999999999</v>
      </c>
      <c r="J129" s="338">
        <f t="shared" si="89"/>
        <v>0.86799999999999999</v>
      </c>
      <c r="K129" s="338">
        <f t="shared" si="89"/>
        <v>0.872</v>
      </c>
      <c r="L129" s="338">
        <f t="shared" si="89"/>
        <v>0.876</v>
      </c>
      <c r="M129" s="338">
        <f t="shared" si="89"/>
        <v>0.88</v>
      </c>
      <c r="N129" s="338">
        <f t="shared" si="89"/>
        <v>0.88400000000000001</v>
      </c>
      <c r="O129" s="338">
        <f t="shared" si="89"/>
        <v>0.88800000000000001</v>
      </c>
      <c r="P129" s="338">
        <f t="shared" si="89"/>
        <v>0.89200000000000002</v>
      </c>
      <c r="Q129" s="338">
        <f t="shared" si="89"/>
        <v>0.89600000000000002</v>
      </c>
      <c r="R129" s="338">
        <f t="shared" si="89"/>
        <v>0.9</v>
      </c>
      <c r="S129" s="338">
        <f t="shared" si="89"/>
        <v>0.90400000000000003</v>
      </c>
      <c r="T129" s="338">
        <f t="shared" si="89"/>
        <v>0.90800000000000003</v>
      </c>
      <c r="U129" s="338">
        <f t="shared" si="89"/>
        <v>0.91200000000000003</v>
      </c>
      <c r="V129" s="338">
        <f t="shared" si="89"/>
        <v>0.91600000000000004</v>
      </c>
      <c r="W129" s="338">
        <f t="shared" si="89"/>
        <v>0.92</v>
      </c>
      <c r="X129" s="338">
        <f t="shared" si="89"/>
        <v>0.92400000000000004</v>
      </c>
      <c r="Y129" s="338">
        <f t="shared" si="89"/>
        <v>0.92800000000000005</v>
      </c>
      <c r="Z129" s="338">
        <f t="shared" si="89"/>
        <v>0.93200000000000005</v>
      </c>
      <c r="AA129" s="338">
        <f t="shared" si="89"/>
        <v>0.93600000000000005</v>
      </c>
      <c r="AB129" s="338">
        <f t="shared" si="89"/>
        <v>0.94000000000000006</v>
      </c>
      <c r="AC129" s="338">
        <f t="shared" si="89"/>
        <v>0.94400000000000006</v>
      </c>
      <c r="AD129" s="338">
        <f t="shared" si="89"/>
        <v>0.94800000000000006</v>
      </c>
      <c r="AE129" s="338">
        <f t="shared" si="89"/>
        <v>0.95200000000000007</v>
      </c>
      <c r="AF129" s="338">
        <f t="shared" si="89"/>
        <v>0.95600000000000007</v>
      </c>
      <c r="AG129" s="337">
        <v>0.96</v>
      </c>
      <c r="AI129" s="305"/>
      <c r="AJ129" s="339" t="s">
        <v>1363</v>
      </c>
    </row>
    <row r="130" spans="1:36" s="58" customFormat="1" outlineLevel="1" x14ac:dyDescent="0.2">
      <c r="A130" s="307" t="s">
        <v>1368</v>
      </c>
      <c r="B130" s="308" t="s">
        <v>462</v>
      </c>
      <c r="C130" s="337">
        <v>0.22</v>
      </c>
      <c r="D130" s="338">
        <f>-($C130-$AG130)/30+C130</f>
        <v>0.22666666666666666</v>
      </c>
      <c r="E130" s="338">
        <f t="shared" si="89"/>
        <v>0.23333333333333331</v>
      </c>
      <c r="F130" s="338">
        <f t="shared" si="89"/>
        <v>0.23999999999999996</v>
      </c>
      <c r="G130" s="338">
        <f t="shared" si="89"/>
        <v>0.24666666666666662</v>
      </c>
      <c r="H130" s="338">
        <f t="shared" si="89"/>
        <v>0.2533333333333333</v>
      </c>
      <c r="I130" s="338">
        <f t="shared" si="89"/>
        <v>0.25999999999999995</v>
      </c>
      <c r="J130" s="338">
        <f t="shared" si="89"/>
        <v>0.26666666666666661</v>
      </c>
      <c r="K130" s="338">
        <f t="shared" si="89"/>
        <v>0.27333333333333326</v>
      </c>
      <c r="L130" s="338">
        <f t="shared" si="89"/>
        <v>0.27999999999999992</v>
      </c>
      <c r="M130" s="338">
        <f t="shared" si="89"/>
        <v>0.28666666666666657</v>
      </c>
      <c r="N130" s="338">
        <f t="shared" si="89"/>
        <v>0.29333333333333322</v>
      </c>
      <c r="O130" s="338">
        <f t="shared" si="89"/>
        <v>0.29999999999999988</v>
      </c>
      <c r="P130" s="338">
        <f t="shared" si="89"/>
        <v>0.30666666666666653</v>
      </c>
      <c r="Q130" s="338">
        <f t="shared" si="89"/>
        <v>0.31333333333333319</v>
      </c>
      <c r="R130" s="338">
        <f t="shared" si="89"/>
        <v>0.31999999999999984</v>
      </c>
      <c r="S130" s="338">
        <f t="shared" si="89"/>
        <v>0.32666666666666649</v>
      </c>
      <c r="T130" s="338">
        <f t="shared" si="89"/>
        <v>0.33333333333333315</v>
      </c>
      <c r="U130" s="338">
        <f t="shared" si="89"/>
        <v>0.3399999999999998</v>
      </c>
      <c r="V130" s="338">
        <f t="shared" si="89"/>
        <v>0.34666666666666646</v>
      </c>
      <c r="W130" s="338">
        <f t="shared" si="89"/>
        <v>0.35333333333333311</v>
      </c>
      <c r="X130" s="338">
        <f t="shared" si="89"/>
        <v>0.35999999999999976</v>
      </c>
      <c r="Y130" s="338">
        <f t="shared" si="89"/>
        <v>0.36666666666666642</v>
      </c>
      <c r="Z130" s="338">
        <f t="shared" si="89"/>
        <v>0.37333333333333307</v>
      </c>
      <c r="AA130" s="338">
        <f t="shared" si="89"/>
        <v>0.37999999999999973</v>
      </c>
      <c r="AB130" s="338">
        <f t="shared" si="89"/>
        <v>0.38666666666666638</v>
      </c>
      <c r="AC130" s="338">
        <f t="shared" si="89"/>
        <v>0.39333333333333304</v>
      </c>
      <c r="AD130" s="338">
        <f t="shared" si="89"/>
        <v>0.39999999999999969</v>
      </c>
      <c r="AE130" s="338">
        <f t="shared" si="89"/>
        <v>0.40666666666666634</v>
      </c>
      <c r="AF130" s="338">
        <f t="shared" si="89"/>
        <v>0.413333333333333</v>
      </c>
      <c r="AG130" s="337">
        <v>0.42</v>
      </c>
      <c r="AI130" s="305"/>
      <c r="AJ130" s="339" t="s">
        <v>1363</v>
      </c>
    </row>
    <row r="131" spans="1:36" s="62" customFormat="1" outlineLevel="1" x14ac:dyDescent="0.2">
      <c r="A131" s="311" t="s">
        <v>1369</v>
      </c>
      <c r="B131" s="312" t="s">
        <v>462</v>
      </c>
      <c r="C131" s="340">
        <f>1-C130</f>
        <v>0.78</v>
      </c>
      <c r="D131" s="340">
        <f t="shared" ref="D131:AG131" si="90">1-D130</f>
        <v>0.77333333333333332</v>
      </c>
      <c r="E131" s="340">
        <f t="shared" si="90"/>
        <v>0.76666666666666672</v>
      </c>
      <c r="F131" s="340">
        <f t="shared" si="90"/>
        <v>0.76</v>
      </c>
      <c r="G131" s="340">
        <f t="shared" si="90"/>
        <v>0.75333333333333341</v>
      </c>
      <c r="H131" s="340">
        <f t="shared" si="90"/>
        <v>0.7466666666666667</v>
      </c>
      <c r="I131" s="340">
        <f t="shared" si="90"/>
        <v>0.74</v>
      </c>
      <c r="J131" s="340">
        <f t="shared" si="90"/>
        <v>0.73333333333333339</v>
      </c>
      <c r="K131" s="340">
        <f t="shared" si="90"/>
        <v>0.72666666666666679</v>
      </c>
      <c r="L131" s="340">
        <f t="shared" si="90"/>
        <v>0.72000000000000008</v>
      </c>
      <c r="M131" s="340">
        <f t="shared" si="90"/>
        <v>0.71333333333333337</v>
      </c>
      <c r="N131" s="340">
        <f t="shared" si="90"/>
        <v>0.70666666666666678</v>
      </c>
      <c r="O131" s="340">
        <f t="shared" si="90"/>
        <v>0.70000000000000018</v>
      </c>
      <c r="P131" s="340">
        <f t="shared" si="90"/>
        <v>0.69333333333333347</v>
      </c>
      <c r="Q131" s="340">
        <f t="shared" si="90"/>
        <v>0.68666666666666676</v>
      </c>
      <c r="R131" s="340">
        <f t="shared" si="90"/>
        <v>0.68000000000000016</v>
      </c>
      <c r="S131" s="340">
        <f t="shared" si="90"/>
        <v>0.67333333333333356</v>
      </c>
      <c r="T131" s="340">
        <f t="shared" si="90"/>
        <v>0.66666666666666685</v>
      </c>
      <c r="U131" s="340">
        <f t="shared" si="90"/>
        <v>0.66000000000000014</v>
      </c>
      <c r="V131" s="340">
        <f t="shared" si="90"/>
        <v>0.65333333333333354</v>
      </c>
      <c r="W131" s="340">
        <f t="shared" si="90"/>
        <v>0.64666666666666694</v>
      </c>
      <c r="X131" s="340">
        <f t="shared" si="90"/>
        <v>0.64000000000000024</v>
      </c>
      <c r="Y131" s="340">
        <f t="shared" si="90"/>
        <v>0.63333333333333353</v>
      </c>
      <c r="Z131" s="340">
        <f t="shared" si="90"/>
        <v>0.62666666666666693</v>
      </c>
      <c r="AA131" s="340">
        <f t="shared" si="90"/>
        <v>0.62000000000000033</v>
      </c>
      <c r="AB131" s="340">
        <f t="shared" si="90"/>
        <v>0.61333333333333362</v>
      </c>
      <c r="AC131" s="340">
        <f t="shared" si="90"/>
        <v>0.60666666666666691</v>
      </c>
      <c r="AD131" s="340">
        <f t="shared" si="90"/>
        <v>0.60000000000000031</v>
      </c>
      <c r="AE131" s="340">
        <f t="shared" si="90"/>
        <v>0.59333333333333371</v>
      </c>
      <c r="AF131" s="340">
        <f t="shared" si="90"/>
        <v>0.586666666666667</v>
      </c>
      <c r="AG131" s="340">
        <f t="shared" si="90"/>
        <v>0.58000000000000007</v>
      </c>
      <c r="AI131" s="342"/>
      <c r="AJ131" s="341" t="s">
        <v>1363</v>
      </c>
    </row>
    <row r="132" spans="1:36" s="1" customFormat="1" outlineLevel="1" x14ac:dyDescent="0.2">
      <c r="A132" t="s">
        <v>1370</v>
      </c>
      <c r="B132" s="302" t="s">
        <v>462</v>
      </c>
      <c r="C132" s="296">
        <v>0.95</v>
      </c>
      <c r="D132" s="317">
        <f t="shared" ref="D132:S147" si="91">-($C132-$AG132)/30+C132</f>
        <v>0.94499999999999995</v>
      </c>
      <c r="E132" s="317">
        <f t="shared" si="91"/>
        <v>0.94</v>
      </c>
      <c r="F132" s="317">
        <f t="shared" si="91"/>
        <v>0.93499999999999994</v>
      </c>
      <c r="G132" s="317">
        <f t="shared" si="91"/>
        <v>0.92999999999999994</v>
      </c>
      <c r="H132" s="317">
        <f t="shared" si="91"/>
        <v>0.92499999999999993</v>
      </c>
      <c r="I132" s="317">
        <f t="shared" si="91"/>
        <v>0.91999999999999993</v>
      </c>
      <c r="J132" s="317">
        <f t="shared" si="91"/>
        <v>0.91499999999999992</v>
      </c>
      <c r="K132" s="317">
        <f t="shared" si="91"/>
        <v>0.90999999999999992</v>
      </c>
      <c r="L132" s="317">
        <f t="shared" si="91"/>
        <v>0.90499999999999992</v>
      </c>
      <c r="M132" s="317">
        <f t="shared" si="91"/>
        <v>0.89999999999999991</v>
      </c>
      <c r="N132" s="317">
        <f t="shared" si="91"/>
        <v>0.89499999999999991</v>
      </c>
      <c r="O132" s="317">
        <f t="shared" si="91"/>
        <v>0.8899999999999999</v>
      </c>
      <c r="P132" s="317">
        <f t="shared" si="91"/>
        <v>0.8849999999999999</v>
      </c>
      <c r="Q132" s="317">
        <f t="shared" si="91"/>
        <v>0.87999999999999989</v>
      </c>
      <c r="R132" s="317">
        <f t="shared" si="91"/>
        <v>0.87499999999999989</v>
      </c>
      <c r="S132" s="317">
        <f t="shared" si="91"/>
        <v>0.86999999999999988</v>
      </c>
      <c r="T132" s="317">
        <f t="shared" ref="T132:AF146" si="92">-($C132-$AG132)/30+S132</f>
        <v>0.86499999999999988</v>
      </c>
      <c r="U132" s="317">
        <f t="shared" si="92"/>
        <v>0.85999999999999988</v>
      </c>
      <c r="V132" s="317">
        <f t="shared" si="92"/>
        <v>0.85499999999999987</v>
      </c>
      <c r="W132" s="317">
        <f t="shared" si="92"/>
        <v>0.84999999999999987</v>
      </c>
      <c r="X132" s="317">
        <f t="shared" si="92"/>
        <v>0.84499999999999986</v>
      </c>
      <c r="Y132" s="317">
        <f t="shared" si="92"/>
        <v>0.83999999999999986</v>
      </c>
      <c r="Z132" s="317">
        <f t="shared" si="92"/>
        <v>0.83499999999999985</v>
      </c>
      <c r="AA132" s="317">
        <f t="shared" si="92"/>
        <v>0.82999999999999985</v>
      </c>
      <c r="AB132" s="317">
        <f t="shared" si="92"/>
        <v>0.82499999999999984</v>
      </c>
      <c r="AC132" s="317">
        <f t="shared" si="92"/>
        <v>0.81999999999999984</v>
      </c>
      <c r="AD132" s="317">
        <f t="shared" si="92"/>
        <v>0.81499999999999984</v>
      </c>
      <c r="AE132" s="317">
        <f t="shared" si="92"/>
        <v>0.80999999999999983</v>
      </c>
      <c r="AF132" s="317">
        <f t="shared" si="92"/>
        <v>0.80499999999999983</v>
      </c>
      <c r="AG132" s="296">
        <v>0.8</v>
      </c>
      <c r="AI132" s="316"/>
      <c r="AJ132" s="211" t="s">
        <v>1363</v>
      </c>
    </row>
    <row r="133" spans="1:36" s="1" customFormat="1" outlineLevel="1" x14ac:dyDescent="0.2">
      <c r="A133" t="s">
        <v>1371</v>
      </c>
      <c r="B133" s="302" t="s">
        <v>462</v>
      </c>
      <c r="C133" s="296">
        <v>0.05</v>
      </c>
      <c r="D133" s="317">
        <f t="shared" si="91"/>
        <v>5.5000000000000007E-2</v>
      </c>
      <c r="E133" s="317">
        <f t="shared" si="91"/>
        <v>6.0000000000000012E-2</v>
      </c>
      <c r="F133" s="317">
        <f t="shared" si="91"/>
        <v>6.5000000000000016E-2</v>
      </c>
      <c r="G133" s="317">
        <f t="shared" si="91"/>
        <v>7.0000000000000021E-2</v>
      </c>
      <c r="H133" s="317">
        <f t="shared" si="91"/>
        <v>7.5000000000000025E-2</v>
      </c>
      <c r="I133" s="317">
        <f t="shared" si="91"/>
        <v>8.0000000000000029E-2</v>
      </c>
      <c r="J133" s="317">
        <f t="shared" si="91"/>
        <v>8.5000000000000034E-2</v>
      </c>
      <c r="K133" s="317">
        <f t="shared" si="91"/>
        <v>9.0000000000000038E-2</v>
      </c>
      <c r="L133" s="317">
        <f t="shared" si="91"/>
        <v>9.5000000000000043E-2</v>
      </c>
      <c r="M133" s="317">
        <f t="shared" si="91"/>
        <v>0.10000000000000005</v>
      </c>
      <c r="N133" s="317">
        <f t="shared" si="91"/>
        <v>0.10500000000000005</v>
      </c>
      <c r="O133" s="317">
        <f t="shared" si="91"/>
        <v>0.11000000000000006</v>
      </c>
      <c r="P133" s="317">
        <f t="shared" si="91"/>
        <v>0.11500000000000006</v>
      </c>
      <c r="Q133" s="317">
        <f t="shared" si="91"/>
        <v>0.12000000000000006</v>
      </c>
      <c r="R133" s="317">
        <f t="shared" si="91"/>
        <v>0.12500000000000006</v>
      </c>
      <c r="S133" s="317">
        <f t="shared" si="91"/>
        <v>0.13000000000000006</v>
      </c>
      <c r="T133" s="317">
        <f t="shared" si="92"/>
        <v>0.13500000000000006</v>
      </c>
      <c r="U133" s="317">
        <f t="shared" si="92"/>
        <v>0.14000000000000007</v>
      </c>
      <c r="V133" s="317">
        <f t="shared" si="92"/>
        <v>0.14500000000000007</v>
      </c>
      <c r="W133" s="317">
        <f t="shared" si="92"/>
        <v>0.15000000000000008</v>
      </c>
      <c r="X133" s="317">
        <f t="shared" si="92"/>
        <v>0.15500000000000008</v>
      </c>
      <c r="Y133" s="317">
        <f t="shared" si="92"/>
        <v>0.16000000000000009</v>
      </c>
      <c r="Z133" s="317">
        <f t="shared" si="92"/>
        <v>0.16500000000000009</v>
      </c>
      <c r="AA133" s="317">
        <f t="shared" si="92"/>
        <v>0.1700000000000001</v>
      </c>
      <c r="AB133" s="317">
        <f t="shared" si="92"/>
        <v>0.1750000000000001</v>
      </c>
      <c r="AC133" s="317">
        <f t="shared" si="92"/>
        <v>0.1800000000000001</v>
      </c>
      <c r="AD133" s="317">
        <f t="shared" si="92"/>
        <v>0.18500000000000011</v>
      </c>
      <c r="AE133" s="317">
        <f t="shared" si="92"/>
        <v>0.19000000000000011</v>
      </c>
      <c r="AF133" s="317">
        <f t="shared" si="92"/>
        <v>0.19500000000000012</v>
      </c>
      <c r="AG133" s="296">
        <v>0.2</v>
      </c>
      <c r="AI133" s="435" t="s">
        <v>1506</v>
      </c>
      <c r="AJ133" s="211" t="s">
        <v>1363</v>
      </c>
    </row>
    <row r="134" spans="1:36" s="1" customFormat="1" outlineLevel="1" x14ac:dyDescent="0.2">
      <c r="A134" t="s">
        <v>1372</v>
      </c>
      <c r="B134" s="302" t="s">
        <v>462</v>
      </c>
      <c r="C134" s="296">
        <v>0.15</v>
      </c>
      <c r="D134" s="317">
        <f t="shared" si="91"/>
        <v>0.15633333333333332</v>
      </c>
      <c r="E134" s="317">
        <f t="shared" si="91"/>
        <v>0.16266666666666665</v>
      </c>
      <c r="F134" s="317">
        <f t="shared" si="91"/>
        <v>0.16899999999999998</v>
      </c>
      <c r="G134" s="317">
        <f t="shared" si="91"/>
        <v>0.17533333333333331</v>
      </c>
      <c r="H134" s="317">
        <f t="shared" si="91"/>
        <v>0.18166666666666664</v>
      </c>
      <c r="I134" s="317">
        <f t="shared" si="91"/>
        <v>0.18799999999999997</v>
      </c>
      <c r="J134" s="317">
        <f t="shared" si="91"/>
        <v>0.1943333333333333</v>
      </c>
      <c r="K134" s="317">
        <f t="shared" si="91"/>
        <v>0.20066666666666663</v>
      </c>
      <c r="L134" s="317">
        <f t="shared" si="91"/>
        <v>0.20699999999999996</v>
      </c>
      <c r="M134" s="317">
        <f t="shared" si="91"/>
        <v>0.21333333333333329</v>
      </c>
      <c r="N134" s="317">
        <f t="shared" si="91"/>
        <v>0.21966666666666662</v>
      </c>
      <c r="O134" s="317">
        <f t="shared" si="91"/>
        <v>0.22599999999999995</v>
      </c>
      <c r="P134" s="317">
        <f t="shared" si="91"/>
        <v>0.23233333333333328</v>
      </c>
      <c r="Q134" s="317">
        <f t="shared" si="91"/>
        <v>0.23866666666666661</v>
      </c>
      <c r="R134" s="317">
        <f t="shared" si="91"/>
        <v>0.24499999999999994</v>
      </c>
      <c r="S134" s="317">
        <f t="shared" si="91"/>
        <v>0.2513333333333333</v>
      </c>
      <c r="T134" s="317">
        <f t="shared" si="92"/>
        <v>0.25766666666666665</v>
      </c>
      <c r="U134" s="317">
        <f t="shared" si="92"/>
        <v>0.26400000000000001</v>
      </c>
      <c r="V134" s="317">
        <f t="shared" si="92"/>
        <v>0.27033333333333337</v>
      </c>
      <c r="W134" s="317">
        <f t="shared" si="92"/>
        <v>0.27666666666666673</v>
      </c>
      <c r="X134" s="317">
        <f t="shared" si="92"/>
        <v>0.28300000000000008</v>
      </c>
      <c r="Y134" s="317">
        <f t="shared" si="92"/>
        <v>0.28933333333333344</v>
      </c>
      <c r="Z134" s="317">
        <f t="shared" si="92"/>
        <v>0.2956666666666668</v>
      </c>
      <c r="AA134" s="317">
        <f t="shared" si="92"/>
        <v>0.30200000000000016</v>
      </c>
      <c r="AB134" s="317">
        <f t="shared" si="92"/>
        <v>0.30833333333333351</v>
      </c>
      <c r="AC134" s="317">
        <f t="shared" si="92"/>
        <v>0.31466666666666687</v>
      </c>
      <c r="AD134" s="317">
        <f t="shared" si="92"/>
        <v>0.32100000000000023</v>
      </c>
      <c r="AE134" s="317">
        <f t="shared" si="92"/>
        <v>0.32733333333333359</v>
      </c>
      <c r="AF134" s="317">
        <f t="shared" si="92"/>
        <v>0.33366666666666694</v>
      </c>
      <c r="AG134" s="296">
        <v>0.34</v>
      </c>
      <c r="AI134" s="316"/>
      <c r="AJ134" s="211" t="s">
        <v>1363</v>
      </c>
    </row>
    <row r="135" spans="1:36" s="1" customFormat="1" outlineLevel="1" x14ac:dyDescent="0.2">
      <c r="A135" t="s">
        <v>1373</v>
      </c>
      <c r="B135" s="302" t="s">
        <v>462</v>
      </c>
      <c r="C135" s="296">
        <v>0.85</v>
      </c>
      <c r="D135" s="317">
        <f t="shared" si="91"/>
        <v>0.84366666666666668</v>
      </c>
      <c r="E135" s="317">
        <f t="shared" si="91"/>
        <v>0.83733333333333337</v>
      </c>
      <c r="F135" s="317">
        <f t="shared" si="91"/>
        <v>0.83100000000000007</v>
      </c>
      <c r="G135" s="317">
        <f t="shared" si="91"/>
        <v>0.82466666666666677</v>
      </c>
      <c r="H135" s="317">
        <f t="shared" si="91"/>
        <v>0.81833333333333347</v>
      </c>
      <c r="I135" s="317">
        <f t="shared" si="91"/>
        <v>0.81200000000000017</v>
      </c>
      <c r="J135" s="317">
        <f t="shared" si="91"/>
        <v>0.80566666666666686</v>
      </c>
      <c r="K135" s="317">
        <f t="shared" si="91"/>
        <v>0.79933333333333356</v>
      </c>
      <c r="L135" s="317">
        <f t="shared" si="91"/>
        <v>0.79300000000000026</v>
      </c>
      <c r="M135" s="317">
        <f t="shared" si="91"/>
        <v>0.78666666666666696</v>
      </c>
      <c r="N135" s="317">
        <f t="shared" si="91"/>
        <v>0.78033333333333366</v>
      </c>
      <c r="O135" s="317">
        <f t="shared" si="91"/>
        <v>0.77400000000000035</v>
      </c>
      <c r="P135" s="317">
        <f t="shared" si="91"/>
        <v>0.76766666666666705</v>
      </c>
      <c r="Q135" s="317">
        <f t="shared" si="91"/>
        <v>0.76133333333333375</v>
      </c>
      <c r="R135" s="317">
        <f t="shared" si="91"/>
        <v>0.75500000000000045</v>
      </c>
      <c r="S135" s="317">
        <f t="shared" si="91"/>
        <v>0.74866666666666715</v>
      </c>
      <c r="T135" s="317">
        <f t="shared" si="92"/>
        <v>0.74233333333333384</v>
      </c>
      <c r="U135" s="317">
        <f t="shared" si="92"/>
        <v>0.73600000000000054</v>
      </c>
      <c r="V135" s="317">
        <f t="shared" si="92"/>
        <v>0.72966666666666724</v>
      </c>
      <c r="W135" s="317">
        <f t="shared" si="92"/>
        <v>0.72333333333333394</v>
      </c>
      <c r="X135" s="317">
        <f t="shared" si="92"/>
        <v>0.71700000000000064</v>
      </c>
      <c r="Y135" s="317">
        <f t="shared" si="92"/>
        <v>0.71066666666666733</v>
      </c>
      <c r="Z135" s="317">
        <f t="shared" si="92"/>
        <v>0.70433333333333403</v>
      </c>
      <c r="AA135" s="317">
        <f t="shared" si="92"/>
        <v>0.69800000000000073</v>
      </c>
      <c r="AB135" s="317">
        <f t="shared" si="92"/>
        <v>0.69166666666666743</v>
      </c>
      <c r="AC135" s="317">
        <f t="shared" si="92"/>
        <v>0.68533333333333413</v>
      </c>
      <c r="AD135" s="317">
        <f t="shared" si="92"/>
        <v>0.67900000000000083</v>
      </c>
      <c r="AE135" s="317">
        <f t="shared" si="92"/>
        <v>0.67266666666666752</v>
      </c>
      <c r="AF135" s="317">
        <f t="shared" si="92"/>
        <v>0.66633333333333422</v>
      </c>
      <c r="AG135" s="296">
        <v>0.66</v>
      </c>
      <c r="AI135" s="316"/>
      <c r="AJ135" s="211" t="s">
        <v>1363</v>
      </c>
    </row>
    <row r="136" spans="1:36" s="1" customFormat="1" outlineLevel="1" x14ac:dyDescent="0.2">
      <c r="A136" t="s">
        <v>1374</v>
      </c>
      <c r="B136" s="302" t="s">
        <v>462</v>
      </c>
      <c r="C136" s="296">
        <v>0</v>
      </c>
      <c r="D136" s="317">
        <f t="shared" si="91"/>
        <v>0</v>
      </c>
      <c r="E136" s="317">
        <f t="shared" si="91"/>
        <v>0</v>
      </c>
      <c r="F136" s="317">
        <f t="shared" si="91"/>
        <v>0</v>
      </c>
      <c r="G136" s="317">
        <f t="shared" si="91"/>
        <v>0</v>
      </c>
      <c r="H136" s="317">
        <f t="shared" si="91"/>
        <v>0</v>
      </c>
      <c r="I136" s="317">
        <f t="shared" si="91"/>
        <v>0</v>
      </c>
      <c r="J136" s="317">
        <f t="shared" si="91"/>
        <v>0</v>
      </c>
      <c r="K136" s="317">
        <f t="shared" si="91"/>
        <v>0</v>
      </c>
      <c r="L136" s="317">
        <f t="shared" si="91"/>
        <v>0</v>
      </c>
      <c r="M136" s="317">
        <f t="shared" si="91"/>
        <v>0</v>
      </c>
      <c r="N136" s="317">
        <f t="shared" si="91"/>
        <v>0</v>
      </c>
      <c r="O136" s="317">
        <f t="shared" si="91"/>
        <v>0</v>
      </c>
      <c r="P136" s="317">
        <f t="shared" si="91"/>
        <v>0</v>
      </c>
      <c r="Q136" s="317">
        <f t="shared" si="91"/>
        <v>0</v>
      </c>
      <c r="R136" s="317">
        <f t="shared" si="91"/>
        <v>0</v>
      </c>
      <c r="S136" s="317">
        <f t="shared" si="91"/>
        <v>0</v>
      </c>
      <c r="T136" s="317">
        <f t="shared" si="92"/>
        <v>0</v>
      </c>
      <c r="U136" s="317">
        <f t="shared" si="92"/>
        <v>0</v>
      </c>
      <c r="V136" s="317">
        <f t="shared" si="92"/>
        <v>0</v>
      </c>
      <c r="W136" s="317">
        <f t="shared" si="92"/>
        <v>0</v>
      </c>
      <c r="X136" s="317">
        <f t="shared" si="92"/>
        <v>0</v>
      </c>
      <c r="Y136" s="317">
        <f t="shared" si="92"/>
        <v>0</v>
      </c>
      <c r="Z136" s="317">
        <f t="shared" si="92"/>
        <v>0</v>
      </c>
      <c r="AA136" s="317">
        <f t="shared" si="92"/>
        <v>0</v>
      </c>
      <c r="AB136" s="317">
        <f t="shared" si="92"/>
        <v>0</v>
      </c>
      <c r="AC136" s="317">
        <f t="shared" si="92"/>
        <v>0</v>
      </c>
      <c r="AD136" s="317">
        <f t="shared" si="92"/>
        <v>0</v>
      </c>
      <c r="AE136" s="317">
        <f t="shared" si="92"/>
        <v>0</v>
      </c>
      <c r="AF136" s="317">
        <f t="shared" si="92"/>
        <v>0</v>
      </c>
      <c r="AG136" s="296">
        <v>0</v>
      </c>
      <c r="AI136" s="316"/>
      <c r="AJ136" s="211" t="s">
        <v>1363</v>
      </c>
    </row>
    <row r="137" spans="1:36" s="1" customFormat="1" outlineLevel="1" x14ac:dyDescent="0.2">
      <c r="A137" t="s">
        <v>1375</v>
      </c>
      <c r="B137" s="302" t="s">
        <v>462</v>
      </c>
      <c r="C137" s="296">
        <v>1</v>
      </c>
      <c r="D137" s="317">
        <f t="shared" si="91"/>
        <v>1</v>
      </c>
      <c r="E137" s="317">
        <f t="shared" si="91"/>
        <v>1</v>
      </c>
      <c r="F137" s="317">
        <f t="shared" si="91"/>
        <v>1</v>
      </c>
      <c r="G137" s="317">
        <f t="shared" si="91"/>
        <v>1</v>
      </c>
      <c r="H137" s="317">
        <f t="shared" si="91"/>
        <v>1</v>
      </c>
      <c r="I137" s="317">
        <f t="shared" si="91"/>
        <v>1</v>
      </c>
      <c r="J137" s="317">
        <f t="shared" si="91"/>
        <v>1</v>
      </c>
      <c r="K137" s="317">
        <f t="shared" si="91"/>
        <v>1</v>
      </c>
      <c r="L137" s="317">
        <f t="shared" si="91"/>
        <v>1</v>
      </c>
      <c r="M137" s="317">
        <f t="shared" si="91"/>
        <v>1</v>
      </c>
      <c r="N137" s="317">
        <f t="shared" si="91"/>
        <v>1</v>
      </c>
      <c r="O137" s="317">
        <f t="shared" si="91"/>
        <v>1</v>
      </c>
      <c r="P137" s="317">
        <f t="shared" si="91"/>
        <v>1</v>
      </c>
      <c r="Q137" s="317">
        <f t="shared" si="91"/>
        <v>1</v>
      </c>
      <c r="R137" s="317">
        <f t="shared" si="91"/>
        <v>1</v>
      </c>
      <c r="S137" s="317">
        <f t="shared" si="91"/>
        <v>1</v>
      </c>
      <c r="T137" s="317">
        <f t="shared" si="92"/>
        <v>1</v>
      </c>
      <c r="U137" s="317">
        <f t="shared" si="92"/>
        <v>1</v>
      </c>
      <c r="V137" s="317">
        <f t="shared" si="92"/>
        <v>1</v>
      </c>
      <c r="W137" s="317">
        <f t="shared" si="92"/>
        <v>1</v>
      </c>
      <c r="X137" s="317">
        <f t="shared" si="92"/>
        <v>1</v>
      </c>
      <c r="Y137" s="317">
        <f t="shared" si="92"/>
        <v>1</v>
      </c>
      <c r="Z137" s="317">
        <f t="shared" si="92"/>
        <v>1</v>
      </c>
      <c r="AA137" s="317">
        <f t="shared" si="92"/>
        <v>1</v>
      </c>
      <c r="AB137" s="317">
        <f t="shared" si="92"/>
        <v>1</v>
      </c>
      <c r="AC137" s="317">
        <f t="shared" si="92"/>
        <v>1</v>
      </c>
      <c r="AD137" s="317">
        <f t="shared" si="92"/>
        <v>1</v>
      </c>
      <c r="AE137" s="317">
        <f t="shared" si="92"/>
        <v>1</v>
      </c>
      <c r="AF137" s="317">
        <f t="shared" si="92"/>
        <v>1</v>
      </c>
      <c r="AG137" s="296">
        <v>1</v>
      </c>
      <c r="AI137" s="316"/>
      <c r="AJ137" s="211" t="s">
        <v>1363</v>
      </c>
    </row>
    <row r="138" spans="1:36" s="1" customFormat="1" outlineLevel="1" x14ac:dyDescent="0.2">
      <c r="A138" t="s">
        <v>1376</v>
      </c>
      <c r="B138" s="302" t="s">
        <v>462</v>
      </c>
      <c r="C138" s="296">
        <v>0.8</v>
      </c>
      <c r="D138" s="317">
        <f t="shared" si="91"/>
        <v>0.80333333333333334</v>
      </c>
      <c r="E138" s="317">
        <f t="shared" si="91"/>
        <v>0.80666666666666664</v>
      </c>
      <c r="F138" s="317">
        <f t="shared" si="91"/>
        <v>0.80999999999999994</v>
      </c>
      <c r="G138" s="317">
        <f t="shared" si="91"/>
        <v>0.81333333333333324</v>
      </c>
      <c r="H138" s="317">
        <f t="shared" si="91"/>
        <v>0.81666666666666654</v>
      </c>
      <c r="I138" s="317">
        <f t="shared" si="91"/>
        <v>0.81999999999999984</v>
      </c>
      <c r="J138" s="317">
        <f t="shared" si="91"/>
        <v>0.82333333333333314</v>
      </c>
      <c r="K138" s="317">
        <f t="shared" si="91"/>
        <v>0.82666666666666644</v>
      </c>
      <c r="L138" s="317">
        <f t="shared" si="91"/>
        <v>0.82999999999999974</v>
      </c>
      <c r="M138" s="317">
        <f t="shared" si="91"/>
        <v>0.83333333333333304</v>
      </c>
      <c r="N138" s="317">
        <f t="shared" si="91"/>
        <v>0.83666666666666634</v>
      </c>
      <c r="O138" s="317">
        <f t="shared" si="91"/>
        <v>0.83999999999999964</v>
      </c>
      <c r="P138" s="317">
        <f t="shared" si="91"/>
        <v>0.84333333333333294</v>
      </c>
      <c r="Q138" s="317">
        <f t="shared" si="91"/>
        <v>0.84666666666666623</v>
      </c>
      <c r="R138" s="317">
        <f t="shared" si="91"/>
        <v>0.84999999999999953</v>
      </c>
      <c r="S138" s="317">
        <f t="shared" si="91"/>
        <v>0.85333333333333283</v>
      </c>
      <c r="T138" s="317">
        <f t="shared" si="92"/>
        <v>0.85666666666666613</v>
      </c>
      <c r="U138" s="317">
        <f t="shared" si="92"/>
        <v>0.85999999999999943</v>
      </c>
      <c r="V138" s="317">
        <f t="shared" si="92"/>
        <v>0.86333333333333273</v>
      </c>
      <c r="W138" s="317">
        <f t="shared" si="92"/>
        <v>0.86666666666666603</v>
      </c>
      <c r="X138" s="317">
        <f t="shared" si="92"/>
        <v>0.86999999999999933</v>
      </c>
      <c r="Y138" s="317">
        <f t="shared" si="92"/>
        <v>0.87333333333333263</v>
      </c>
      <c r="Z138" s="317">
        <f t="shared" si="92"/>
        <v>0.87666666666666593</v>
      </c>
      <c r="AA138" s="317">
        <f t="shared" si="92"/>
        <v>0.87999999999999923</v>
      </c>
      <c r="AB138" s="317">
        <f t="shared" si="92"/>
        <v>0.88333333333333253</v>
      </c>
      <c r="AC138" s="317">
        <f t="shared" si="92"/>
        <v>0.88666666666666583</v>
      </c>
      <c r="AD138" s="317">
        <f t="shared" si="92"/>
        <v>0.88999999999999913</v>
      </c>
      <c r="AE138" s="317">
        <f t="shared" si="92"/>
        <v>0.89333333333333242</v>
      </c>
      <c r="AF138" s="317">
        <f t="shared" si="92"/>
        <v>0.89666666666666572</v>
      </c>
      <c r="AG138" s="296">
        <v>0.9</v>
      </c>
      <c r="AI138" s="316"/>
      <c r="AJ138" s="211" t="s">
        <v>1363</v>
      </c>
    </row>
    <row r="139" spans="1:36" s="1" customFormat="1" outlineLevel="1" x14ac:dyDescent="0.2">
      <c r="A139" t="s">
        <v>1377</v>
      </c>
      <c r="B139" s="302" t="s">
        <v>462</v>
      </c>
      <c r="C139" s="296">
        <v>0.2</v>
      </c>
      <c r="D139" s="317">
        <f t="shared" si="91"/>
        <v>0.19666666666666668</v>
      </c>
      <c r="E139" s="317">
        <f t="shared" si="91"/>
        <v>0.19333333333333336</v>
      </c>
      <c r="F139" s="317">
        <f t="shared" si="91"/>
        <v>0.19000000000000003</v>
      </c>
      <c r="G139" s="317">
        <f t="shared" si="91"/>
        <v>0.1866666666666667</v>
      </c>
      <c r="H139" s="317">
        <f t="shared" si="91"/>
        <v>0.18333333333333338</v>
      </c>
      <c r="I139" s="317">
        <f t="shared" si="91"/>
        <v>0.18000000000000005</v>
      </c>
      <c r="J139" s="317">
        <f t="shared" si="91"/>
        <v>0.17666666666666672</v>
      </c>
      <c r="K139" s="317">
        <f t="shared" si="91"/>
        <v>0.17333333333333339</v>
      </c>
      <c r="L139" s="317">
        <f t="shared" si="91"/>
        <v>0.17000000000000007</v>
      </c>
      <c r="M139" s="317">
        <f t="shared" si="91"/>
        <v>0.16666666666666674</v>
      </c>
      <c r="N139" s="317">
        <f t="shared" si="91"/>
        <v>0.16333333333333341</v>
      </c>
      <c r="O139" s="317">
        <f t="shared" si="91"/>
        <v>0.16000000000000009</v>
      </c>
      <c r="P139" s="317">
        <f t="shared" si="91"/>
        <v>0.15666666666666676</v>
      </c>
      <c r="Q139" s="317">
        <f t="shared" si="91"/>
        <v>0.15333333333333343</v>
      </c>
      <c r="R139" s="317">
        <f t="shared" si="91"/>
        <v>0.15000000000000011</v>
      </c>
      <c r="S139" s="317">
        <f t="shared" si="91"/>
        <v>0.14666666666666678</v>
      </c>
      <c r="T139" s="317">
        <f t="shared" si="92"/>
        <v>0.14333333333333345</v>
      </c>
      <c r="U139" s="317">
        <f t="shared" si="92"/>
        <v>0.14000000000000012</v>
      </c>
      <c r="V139" s="317">
        <f t="shared" si="92"/>
        <v>0.1366666666666668</v>
      </c>
      <c r="W139" s="317">
        <f t="shared" si="92"/>
        <v>0.13333333333333347</v>
      </c>
      <c r="X139" s="317">
        <f t="shared" si="92"/>
        <v>0.13000000000000014</v>
      </c>
      <c r="Y139" s="317">
        <f t="shared" si="92"/>
        <v>0.12666666666666682</v>
      </c>
      <c r="Z139" s="317">
        <f t="shared" si="92"/>
        <v>0.12333333333333349</v>
      </c>
      <c r="AA139" s="317">
        <f t="shared" si="92"/>
        <v>0.12000000000000016</v>
      </c>
      <c r="AB139" s="317">
        <f t="shared" si="92"/>
        <v>0.11666666666666684</v>
      </c>
      <c r="AC139" s="317">
        <f t="shared" si="92"/>
        <v>0.11333333333333351</v>
      </c>
      <c r="AD139" s="317">
        <f t="shared" si="92"/>
        <v>0.11000000000000018</v>
      </c>
      <c r="AE139" s="317">
        <f t="shared" si="92"/>
        <v>0.10666666666666685</v>
      </c>
      <c r="AF139" s="317">
        <f t="shared" si="92"/>
        <v>0.10333333333333353</v>
      </c>
      <c r="AG139" s="296">
        <v>0.1</v>
      </c>
      <c r="AI139" s="316"/>
      <c r="AJ139" s="211" t="s">
        <v>1363</v>
      </c>
    </row>
    <row r="140" spans="1:36" s="1" customFormat="1" outlineLevel="1" x14ac:dyDescent="0.2">
      <c r="A140" t="s">
        <v>1378</v>
      </c>
      <c r="B140" s="302" t="s">
        <v>462</v>
      </c>
      <c r="C140" s="296">
        <v>0.95</v>
      </c>
      <c r="D140" s="317">
        <f t="shared" si="91"/>
        <v>0.94866666666666666</v>
      </c>
      <c r="E140" s="317">
        <f t="shared" si="91"/>
        <v>0.94733333333333336</v>
      </c>
      <c r="F140" s="317">
        <f t="shared" si="91"/>
        <v>0.94600000000000006</v>
      </c>
      <c r="G140" s="317">
        <f t="shared" si="91"/>
        <v>0.94466666666666677</v>
      </c>
      <c r="H140" s="317">
        <f t="shared" si="91"/>
        <v>0.94333333333333347</v>
      </c>
      <c r="I140" s="317">
        <f t="shared" si="91"/>
        <v>0.94200000000000017</v>
      </c>
      <c r="J140" s="317">
        <f t="shared" si="91"/>
        <v>0.94066666666666687</v>
      </c>
      <c r="K140" s="317">
        <f t="shared" si="91"/>
        <v>0.93933333333333358</v>
      </c>
      <c r="L140" s="317">
        <f t="shared" si="91"/>
        <v>0.93800000000000028</v>
      </c>
      <c r="M140" s="317">
        <f t="shared" si="91"/>
        <v>0.93666666666666698</v>
      </c>
      <c r="N140" s="317">
        <f t="shared" si="91"/>
        <v>0.93533333333333368</v>
      </c>
      <c r="O140" s="317">
        <f t="shared" si="91"/>
        <v>0.93400000000000039</v>
      </c>
      <c r="P140" s="317">
        <f t="shared" si="91"/>
        <v>0.93266666666666709</v>
      </c>
      <c r="Q140" s="317">
        <f t="shared" si="91"/>
        <v>0.93133333333333379</v>
      </c>
      <c r="R140" s="317">
        <f t="shared" si="91"/>
        <v>0.93000000000000049</v>
      </c>
      <c r="S140" s="317">
        <f t="shared" si="91"/>
        <v>0.9286666666666672</v>
      </c>
      <c r="T140" s="317">
        <f t="shared" si="92"/>
        <v>0.9273333333333339</v>
      </c>
      <c r="U140" s="317">
        <f t="shared" si="92"/>
        <v>0.9260000000000006</v>
      </c>
      <c r="V140" s="317">
        <f t="shared" si="92"/>
        <v>0.9246666666666673</v>
      </c>
      <c r="W140" s="317">
        <f t="shared" si="92"/>
        <v>0.92333333333333401</v>
      </c>
      <c r="X140" s="317">
        <f t="shared" si="92"/>
        <v>0.92200000000000071</v>
      </c>
      <c r="Y140" s="317">
        <f t="shared" si="92"/>
        <v>0.92066666666666741</v>
      </c>
      <c r="Z140" s="317">
        <f t="shared" si="92"/>
        <v>0.91933333333333411</v>
      </c>
      <c r="AA140" s="317">
        <f t="shared" si="92"/>
        <v>0.91800000000000082</v>
      </c>
      <c r="AB140" s="317">
        <f t="shared" si="92"/>
        <v>0.91666666666666752</v>
      </c>
      <c r="AC140" s="317">
        <f t="shared" si="92"/>
        <v>0.91533333333333422</v>
      </c>
      <c r="AD140" s="317">
        <f t="shared" si="92"/>
        <v>0.91400000000000092</v>
      </c>
      <c r="AE140" s="317">
        <f t="shared" si="92"/>
        <v>0.91266666666666763</v>
      </c>
      <c r="AF140" s="317">
        <f t="shared" si="92"/>
        <v>0.91133333333333433</v>
      </c>
      <c r="AG140" s="296">
        <v>0.91</v>
      </c>
      <c r="AI140" s="316"/>
      <c r="AJ140" s="211" t="s">
        <v>1363</v>
      </c>
    </row>
    <row r="141" spans="1:36" s="1" customFormat="1" outlineLevel="1" x14ac:dyDescent="0.2">
      <c r="A141" t="s">
        <v>1379</v>
      </c>
      <c r="B141" s="302" t="s">
        <v>462</v>
      </c>
      <c r="C141" s="296">
        <v>0.05</v>
      </c>
      <c r="D141" s="317">
        <f t="shared" si="91"/>
        <v>5.1333333333333335E-2</v>
      </c>
      <c r="E141" s="317">
        <f t="shared" si="91"/>
        <v>5.2666666666666667E-2</v>
      </c>
      <c r="F141" s="317">
        <f t="shared" si="91"/>
        <v>5.3999999999999999E-2</v>
      </c>
      <c r="G141" s="317">
        <f t="shared" si="91"/>
        <v>5.5333333333333332E-2</v>
      </c>
      <c r="H141" s="317">
        <f t="shared" si="91"/>
        <v>5.6666666666666664E-2</v>
      </c>
      <c r="I141" s="317">
        <f t="shared" si="91"/>
        <v>5.7999999999999996E-2</v>
      </c>
      <c r="J141" s="317">
        <f t="shared" si="91"/>
        <v>5.9333333333333328E-2</v>
      </c>
      <c r="K141" s="317">
        <f t="shared" si="91"/>
        <v>6.066666666666666E-2</v>
      </c>
      <c r="L141" s="317">
        <f t="shared" si="91"/>
        <v>6.1999999999999993E-2</v>
      </c>
      <c r="M141" s="317">
        <f t="shared" si="91"/>
        <v>6.3333333333333325E-2</v>
      </c>
      <c r="N141" s="317">
        <f t="shared" si="91"/>
        <v>6.4666666666666664E-2</v>
      </c>
      <c r="O141" s="317">
        <f t="shared" si="91"/>
        <v>6.6000000000000003E-2</v>
      </c>
      <c r="P141" s="317">
        <f t="shared" si="91"/>
        <v>6.7333333333333342E-2</v>
      </c>
      <c r="Q141" s="317">
        <f t="shared" si="91"/>
        <v>6.8666666666666681E-2</v>
      </c>
      <c r="R141" s="317">
        <f t="shared" si="91"/>
        <v>7.0000000000000021E-2</v>
      </c>
      <c r="S141" s="317">
        <f t="shared" si="91"/>
        <v>7.133333333333336E-2</v>
      </c>
      <c r="T141" s="317">
        <f t="shared" si="92"/>
        <v>7.2666666666666699E-2</v>
      </c>
      <c r="U141" s="317">
        <f t="shared" si="92"/>
        <v>7.4000000000000038E-2</v>
      </c>
      <c r="V141" s="317">
        <f t="shared" si="92"/>
        <v>7.5333333333333377E-2</v>
      </c>
      <c r="W141" s="317">
        <f t="shared" si="92"/>
        <v>7.6666666666666716E-2</v>
      </c>
      <c r="X141" s="317">
        <f t="shared" si="92"/>
        <v>7.8000000000000055E-2</v>
      </c>
      <c r="Y141" s="317">
        <f t="shared" si="92"/>
        <v>7.9333333333333395E-2</v>
      </c>
      <c r="Z141" s="317">
        <f t="shared" si="92"/>
        <v>8.0666666666666734E-2</v>
      </c>
      <c r="AA141" s="317">
        <f t="shared" si="92"/>
        <v>8.2000000000000073E-2</v>
      </c>
      <c r="AB141" s="317">
        <f t="shared" si="92"/>
        <v>8.3333333333333412E-2</v>
      </c>
      <c r="AC141" s="317">
        <f t="shared" si="92"/>
        <v>8.4666666666666751E-2</v>
      </c>
      <c r="AD141" s="317">
        <f t="shared" si="92"/>
        <v>8.600000000000009E-2</v>
      </c>
      <c r="AE141" s="317">
        <f t="shared" si="92"/>
        <v>8.7333333333333429E-2</v>
      </c>
      <c r="AF141" s="317">
        <f t="shared" si="92"/>
        <v>8.8666666666666769E-2</v>
      </c>
      <c r="AG141" s="296">
        <v>0.09</v>
      </c>
      <c r="AI141" s="316"/>
      <c r="AJ141" s="211" t="s">
        <v>1363</v>
      </c>
    </row>
    <row r="142" spans="1:36" s="1" customFormat="1" outlineLevel="1" x14ac:dyDescent="0.2">
      <c r="A142" t="s">
        <v>1380</v>
      </c>
      <c r="B142" s="302"/>
      <c r="C142" s="296">
        <v>0.27</v>
      </c>
      <c r="D142" s="317">
        <f t="shared" si="91"/>
        <v>0.26600000000000001</v>
      </c>
      <c r="E142" s="317">
        <f t="shared" si="91"/>
        <v>0.26200000000000001</v>
      </c>
      <c r="F142" s="317">
        <f t="shared" si="91"/>
        <v>0.25800000000000001</v>
      </c>
      <c r="G142" s="317">
        <f t="shared" si="91"/>
        <v>0.254</v>
      </c>
      <c r="H142" s="317">
        <f t="shared" si="91"/>
        <v>0.25</v>
      </c>
      <c r="I142" s="317">
        <f t="shared" si="91"/>
        <v>0.246</v>
      </c>
      <c r="J142" s="317">
        <f t="shared" si="91"/>
        <v>0.24199999999999999</v>
      </c>
      <c r="K142" s="317">
        <f t="shared" si="91"/>
        <v>0.23799999999999999</v>
      </c>
      <c r="L142" s="317">
        <f t="shared" si="91"/>
        <v>0.23399999999999999</v>
      </c>
      <c r="M142" s="317">
        <f t="shared" si="91"/>
        <v>0.22999999999999998</v>
      </c>
      <c r="N142" s="317">
        <f t="shared" si="91"/>
        <v>0.22599999999999998</v>
      </c>
      <c r="O142" s="317">
        <f t="shared" si="91"/>
        <v>0.22199999999999998</v>
      </c>
      <c r="P142" s="317">
        <f t="shared" si="91"/>
        <v>0.21799999999999997</v>
      </c>
      <c r="Q142" s="317">
        <f t="shared" si="91"/>
        <v>0.21399999999999997</v>
      </c>
      <c r="R142" s="317">
        <f t="shared" si="91"/>
        <v>0.20999999999999996</v>
      </c>
      <c r="S142" s="317">
        <f t="shared" si="91"/>
        <v>0.20599999999999996</v>
      </c>
      <c r="T142" s="317">
        <f t="shared" si="92"/>
        <v>0.20199999999999996</v>
      </c>
      <c r="U142" s="317">
        <f t="shared" si="92"/>
        <v>0.19799999999999995</v>
      </c>
      <c r="V142" s="317">
        <f t="shared" si="92"/>
        <v>0.19399999999999995</v>
      </c>
      <c r="W142" s="317">
        <f t="shared" si="92"/>
        <v>0.18999999999999995</v>
      </c>
      <c r="X142" s="317">
        <f t="shared" si="92"/>
        <v>0.18599999999999994</v>
      </c>
      <c r="Y142" s="317">
        <f t="shared" si="92"/>
        <v>0.18199999999999994</v>
      </c>
      <c r="Z142" s="317">
        <f t="shared" si="92"/>
        <v>0.17799999999999994</v>
      </c>
      <c r="AA142" s="317">
        <f t="shared" si="92"/>
        <v>0.17399999999999993</v>
      </c>
      <c r="AB142" s="317">
        <f t="shared" si="92"/>
        <v>0.16999999999999993</v>
      </c>
      <c r="AC142" s="317">
        <f t="shared" si="92"/>
        <v>0.16599999999999993</v>
      </c>
      <c r="AD142" s="317">
        <f t="shared" si="92"/>
        <v>0.16199999999999992</v>
      </c>
      <c r="AE142" s="317">
        <f t="shared" si="92"/>
        <v>0.15799999999999992</v>
      </c>
      <c r="AF142" s="317">
        <f t="shared" si="92"/>
        <v>0.15399999999999991</v>
      </c>
      <c r="AG142" s="296">
        <v>0.15</v>
      </c>
      <c r="AI142" s="316"/>
      <c r="AJ142" s="211"/>
    </row>
    <row r="143" spans="1:36" s="67" customFormat="1" outlineLevel="1" x14ac:dyDescent="0.2">
      <c r="A143" s="345" t="s">
        <v>1381</v>
      </c>
      <c r="B143" s="308" t="s">
        <v>462</v>
      </c>
      <c r="C143" s="337">
        <v>0.16</v>
      </c>
      <c r="D143" s="338">
        <f t="shared" si="91"/>
        <v>0.16533333333333333</v>
      </c>
      <c r="E143" s="338">
        <f t="shared" si="91"/>
        <v>0.17066666666666666</v>
      </c>
      <c r="F143" s="338">
        <f t="shared" si="91"/>
        <v>0.17599999999999999</v>
      </c>
      <c r="G143" s="338">
        <f t="shared" si="91"/>
        <v>0.18133333333333332</v>
      </c>
      <c r="H143" s="338">
        <f t="shared" si="91"/>
        <v>0.18666666666666665</v>
      </c>
      <c r="I143" s="338">
        <f t="shared" si="91"/>
        <v>0.19199999999999998</v>
      </c>
      <c r="J143" s="338">
        <f t="shared" si="91"/>
        <v>0.19733333333333331</v>
      </c>
      <c r="K143" s="338">
        <f t="shared" si="91"/>
        <v>0.20266666666666663</v>
      </c>
      <c r="L143" s="338">
        <f t="shared" si="91"/>
        <v>0.20799999999999996</v>
      </c>
      <c r="M143" s="338">
        <f t="shared" si="91"/>
        <v>0.21333333333333329</v>
      </c>
      <c r="N143" s="338">
        <f t="shared" si="91"/>
        <v>0.21866666666666662</v>
      </c>
      <c r="O143" s="338">
        <f t="shared" si="91"/>
        <v>0.22399999999999995</v>
      </c>
      <c r="P143" s="338">
        <f t="shared" si="91"/>
        <v>0.22933333333333328</v>
      </c>
      <c r="Q143" s="338">
        <f t="shared" si="91"/>
        <v>0.23466666666666661</v>
      </c>
      <c r="R143" s="338">
        <f t="shared" si="91"/>
        <v>0.23999999999999994</v>
      </c>
      <c r="S143" s="338">
        <f t="shared" si="91"/>
        <v>0.24533333333333326</v>
      </c>
      <c r="T143" s="338">
        <f t="shared" si="92"/>
        <v>0.25066666666666659</v>
      </c>
      <c r="U143" s="338">
        <f t="shared" si="92"/>
        <v>0.25599999999999995</v>
      </c>
      <c r="V143" s="338">
        <f t="shared" si="92"/>
        <v>0.26133333333333331</v>
      </c>
      <c r="W143" s="338">
        <f t="shared" si="92"/>
        <v>0.26666666666666666</v>
      </c>
      <c r="X143" s="338">
        <f t="shared" si="92"/>
        <v>0.27200000000000002</v>
      </c>
      <c r="Y143" s="338">
        <f t="shared" si="92"/>
        <v>0.27733333333333338</v>
      </c>
      <c r="Z143" s="338">
        <f t="shared" si="92"/>
        <v>0.28266666666666673</v>
      </c>
      <c r="AA143" s="338">
        <f t="shared" si="92"/>
        <v>0.28800000000000009</v>
      </c>
      <c r="AB143" s="338">
        <f t="shared" si="92"/>
        <v>0.29333333333333345</v>
      </c>
      <c r="AC143" s="338">
        <f t="shared" si="92"/>
        <v>0.2986666666666668</v>
      </c>
      <c r="AD143" s="338">
        <f t="shared" si="92"/>
        <v>0.30400000000000016</v>
      </c>
      <c r="AE143" s="338">
        <f t="shared" si="92"/>
        <v>0.30933333333333352</v>
      </c>
      <c r="AF143" s="338">
        <f t="shared" si="92"/>
        <v>0.31466666666666687</v>
      </c>
      <c r="AG143" s="337">
        <v>0.32</v>
      </c>
      <c r="AI143" s="337"/>
      <c r="AJ143" s="339" t="s">
        <v>1363</v>
      </c>
    </row>
    <row r="144" spans="1:36" outlineLevel="1" x14ac:dyDescent="0.2">
      <c r="A144" s="346" t="s">
        <v>1382</v>
      </c>
      <c r="B144" s="302" t="s">
        <v>462</v>
      </c>
      <c r="C144" s="296">
        <v>0.37</v>
      </c>
      <c r="D144" s="317">
        <f t="shared" si="91"/>
        <v>0.37166666666666665</v>
      </c>
      <c r="E144" s="317">
        <f t="shared" si="91"/>
        <v>0.37333333333333329</v>
      </c>
      <c r="F144" s="317">
        <f t="shared" si="91"/>
        <v>0.37499999999999994</v>
      </c>
      <c r="G144" s="317">
        <f t="shared" si="91"/>
        <v>0.37666666666666659</v>
      </c>
      <c r="H144" s="317">
        <f t="shared" si="91"/>
        <v>0.37833333333333324</v>
      </c>
      <c r="I144" s="317">
        <f t="shared" si="91"/>
        <v>0.37999999999999989</v>
      </c>
      <c r="J144" s="317">
        <f t="shared" si="91"/>
        <v>0.38166666666666654</v>
      </c>
      <c r="K144" s="317">
        <f t="shared" si="91"/>
        <v>0.38333333333333319</v>
      </c>
      <c r="L144" s="317">
        <f t="shared" si="91"/>
        <v>0.38499999999999984</v>
      </c>
      <c r="M144" s="317">
        <f t="shared" si="91"/>
        <v>0.38666666666666649</v>
      </c>
      <c r="N144" s="317">
        <f t="shared" si="91"/>
        <v>0.38833333333333314</v>
      </c>
      <c r="O144" s="317">
        <f t="shared" si="91"/>
        <v>0.38999999999999979</v>
      </c>
      <c r="P144" s="317">
        <f t="shared" si="91"/>
        <v>0.39166666666666644</v>
      </c>
      <c r="Q144" s="317">
        <f t="shared" si="91"/>
        <v>0.39333333333333309</v>
      </c>
      <c r="R144" s="317">
        <f t="shared" si="91"/>
        <v>0.39499999999999974</v>
      </c>
      <c r="S144" s="317">
        <f t="shared" si="91"/>
        <v>0.39666666666666639</v>
      </c>
      <c r="T144" s="317">
        <f t="shared" si="92"/>
        <v>0.39833333333333304</v>
      </c>
      <c r="U144" s="317">
        <f t="shared" si="92"/>
        <v>0.39999999999999969</v>
      </c>
      <c r="V144" s="317">
        <f t="shared" si="92"/>
        <v>0.40166666666666634</v>
      </c>
      <c r="W144" s="317">
        <f t="shared" si="92"/>
        <v>0.40333333333333299</v>
      </c>
      <c r="X144" s="317">
        <f t="shared" si="92"/>
        <v>0.40499999999999964</v>
      </c>
      <c r="Y144" s="317">
        <f t="shared" si="92"/>
        <v>0.40666666666666629</v>
      </c>
      <c r="Z144" s="317">
        <f t="shared" si="92"/>
        <v>0.40833333333333294</v>
      </c>
      <c r="AA144" s="317">
        <f t="shared" si="92"/>
        <v>0.40999999999999959</v>
      </c>
      <c r="AB144" s="317">
        <f t="shared" si="92"/>
        <v>0.41166666666666624</v>
      </c>
      <c r="AC144" s="317">
        <f t="shared" si="92"/>
        <v>0.41333333333333289</v>
      </c>
      <c r="AD144" s="317">
        <f t="shared" si="92"/>
        <v>0.41499999999999954</v>
      </c>
      <c r="AE144" s="317">
        <f t="shared" si="92"/>
        <v>0.41666666666666619</v>
      </c>
      <c r="AF144" s="317">
        <f t="shared" si="92"/>
        <v>0.41833333333333284</v>
      </c>
      <c r="AG144" s="296">
        <v>0.42</v>
      </c>
      <c r="AI144" s="296"/>
      <c r="AJ144" s="211" t="s">
        <v>1363</v>
      </c>
    </row>
    <row r="145" spans="1:36" outlineLevel="1" x14ac:dyDescent="0.2">
      <c r="A145" s="346" t="s">
        <v>1383</v>
      </c>
      <c r="B145" s="302" t="s">
        <v>462</v>
      </c>
      <c r="C145" s="296">
        <v>0.08</v>
      </c>
      <c r="D145" s="317">
        <f t="shared" si="91"/>
        <v>7.7666666666666662E-2</v>
      </c>
      <c r="E145" s="317">
        <f t="shared" si="91"/>
        <v>7.5333333333333322E-2</v>
      </c>
      <c r="F145" s="317">
        <f t="shared" si="91"/>
        <v>7.2999999999999982E-2</v>
      </c>
      <c r="G145" s="317">
        <f t="shared" si="91"/>
        <v>7.0666666666666642E-2</v>
      </c>
      <c r="H145" s="317">
        <f t="shared" si="91"/>
        <v>6.8333333333333302E-2</v>
      </c>
      <c r="I145" s="317">
        <f t="shared" si="91"/>
        <v>6.5999999999999961E-2</v>
      </c>
      <c r="J145" s="317">
        <f t="shared" si="91"/>
        <v>6.3666666666666621E-2</v>
      </c>
      <c r="K145" s="317">
        <f t="shared" si="91"/>
        <v>6.1333333333333288E-2</v>
      </c>
      <c r="L145" s="317">
        <f t="shared" si="91"/>
        <v>5.8999999999999955E-2</v>
      </c>
      <c r="M145" s="317">
        <f t="shared" si="91"/>
        <v>5.6666666666666622E-2</v>
      </c>
      <c r="N145" s="317">
        <f t="shared" si="91"/>
        <v>5.4333333333333289E-2</v>
      </c>
      <c r="O145" s="317">
        <f t="shared" si="91"/>
        <v>5.1999999999999956E-2</v>
      </c>
      <c r="P145" s="317">
        <f t="shared" si="91"/>
        <v>4.9666666666666623E-2</v>
      </c>
      <c r="Q145" s="317">
        <f t="shared" si="91"/>
        <v>4.733333333333329E-2</v>
      </c>
      <c r="R145" s="317">
        <f t="shared" si="91"/>
        <v>4.4999999999999957E-2</v>
      </c>
      <c r="S145" s="317">
        <f t="shared" si="91"/>
        <v>4.2666666666666624E-2</v>
      </c>
      <c r="T145" s="317">
        <f t="shared" si="92"/>
        <v>4.0333333333333291E-2</v>
      </c>
      <c r="U145" s="317">
        <f t="shared" si="92"/>
        <v>3.7999999999999957E-2</v>
      </c>
      <c r="V145" s="317">
        <f t="shared" si="92"/>
        <v>3.5666666666666624E-2</v>
      </c>
      <c r="W145" s="317">
        <f t="shared" si="92"/>
        <v>3.3333333333333291E-2</v>
      </c>
      <c r="X145" s="317">
        <f t="shared" si="92"/>
        <v>3.0999999999999958E-2</v>
      </c>
      <c r="Y145" s="317">
        <f t="shared" si="92"/>
        <v>2.8666666666666625E-2</v>
      </c>
      <c r="Z145" s="317">
        <f t="shared" si="92"/>
        <v>2.6333333333333292E-2</v>
      </c>
      <c r="AA145" s="317">
        <f t="shared" si="92"/>
        <v>2.3999999999999959E-2</v>
      </c>
      <c r="AB145" s="317">
        <f t="shared" si="92"/>
        <v>2.1666666666666626E-2</v>
      </c>
      <c r="AC145" s="317">
        <f t="shared" si="92"/>
        <v>1.9333333333333293E-2</v>
      </c>
      <c r="AD145" s="317">
        <f t="shared" si="92"/>
        <v>1.699999999999996E-2</v>
      </c>
      <c r="AE145" s="317">
        <f t="shared" si="92"/>
        <v>1.4666666666666626E-2</v>
      </c>
      <c r="AF145" s="317">
        <f t="shared" si="92"/>
        <v>1.2333333333333293E-2</v>
      </c>
      <c r="AG145" s="296">
        <v>0.01</v>
      </c>
      <c r="AI145" s="296"/>
      <c r="AJ145" s="211" t="s">
        <v>1363</v>
      </c>
    </row>
    <row r="146" spans="1:36" outlineLevel="1" x14ac:dyDescent="0.2">
      <c r="A146" s="346" t="s">
        <v>1384</v>
      </c>
      <c r="B146" s="302" t="s">
        <v>462</v>
      </c>
      <c r="C146" s="296">
        <v>0.27</v>
      </c>
      <c r="D146" s="317">
        <f t="shared" si="91"/>
        <v>0.26633333333333337</v>
      </c>
      <c r="E146" s="317">
        <f t="shared" si="91"/>
        <v>0.26266666666666671</v>
      </c>
      <c r="F146" s="317">
        <f t="shared" si="91"/>
        <v>0.25900000000000006</v>
      </c>
      <c r="G146" s="317">
        <f t="shared" si="91"/>
        <v>0.25533333333333341</v>
      </c>
      <c r="H146" s="317">
        <f t="shared" si="91"/>
        <v>0.25166666666666676</v>
      </c>
      <c r="I146" s="317">
        <f t="shared" si="91"/>
        <v>0.24800000000000008</v>
      </c>
      <c r="J146" s="317">
        <f t="shared" si="91"/>
        <v>0.2443333333333334</v>
      </c>
      <c r="K146" s="317">
        <f t="shared" si="91"/>
        <v>0.24066666666666672</v>
      </c>
      <c r="L146" s="317">
        <f t="shared" si="91"/>
        <v>0.23700000000000004</v>
      </c>
      <c r="M146" s="317">
        <f t="shared" si="91"/>
        <v>0.23333333333333336</v>
      </c>
      <c r="N146" s="317">
        <f t="shared" si="91"/>
        <v>0.22966666666666669</v>
      </c>
      <c r="O146" s="317">
        <f t="shared" si="91"/>
        <v>0.22600000000000001</v>
      </c>
      <c r="P146" s="317">
        <f t="shared" si="91"/>
        <v>0.22233333333333333</v>
      </c>
      <c r="Q146" s="317">
        <f t="shared" si="91"/>
        <v>0.21866666666666665</v>
      </c>
      <c r="R146" s="317">
        <f t="shared" si="91"/>
        <v>0.21499999999999997</v>
      </c>
      <c r="S146" s="317">
        <f t="shared" si="91"/>
        <v>0.21133333333333329</v>
      </c>
      <c r="T146" s="317">
        <f t="shared" si="92"/>
        <v>0.20766666666666661</v>
      </c>
      <c r="U146" s="317">
        <f t="shared" si="92"/>
        <v>0.20399999999999993</v>
      </c>
      <c r="V146" s="317">
        <f t="shared" si="92"/>
        <v>0.20033333333333325</v>
      </c>
      <c r="W146" s="317">
        <f t="shared" si="92"/>
        <v>0.19666666666666657</v>
      </c>
      <c r="X146" s="317">
        <f t="shared" si="92"/>
        <v>0.19299999999999989</v>
      </c>
      <c r="Y146" s="317">
        <f t="shared" si="92"/>
        <v>0.18933333333333321</v>
      </c>
      <c r="Z146" s="317">
        <f t="shared" si="92"/>
        <v>0.18566666666666654</v>
      </c>
      <c r="AA146" s="317">
        <f t="shared" si="92"/>
        <v>0.18199999999999986</v>
      </c>
      <c r="AB146" s="317">
        <f t="shared" si="92"/>
        <v>0.17833333333333318</v>
      </c>
      <c r="AC146" s="317">
        <f t="shared" si="92"/>
        <v>0.1746666666666665</v>
      </c>
      <c r="AD146" s="317">
        <f t="shared" si="92"/>
        <v>0.17099999999999982</v>
      </c>
      <c r="AE146" s="317">
        <f t="shared" si="92"/>
        <v>0.16733333333333314</v>
      </c>
      <c r="AF146" s="317">
        <f t="shared" si="92"/>
        <v>0.16366666666666646</v>
      </c>
      <c r="AG146" s="296">
        <v>0.16</v>
      </c>
      <c r="AI146" s="296"/>
      <c r="AJ146" s="211" t="s">
        <v>1363</v>
      </c>
    </row>
    <row r="147" spans="1:36" outlineLevel="1" x14ac:dyDescent="0.2">
      <c r="A147" s="346" t="s">
        <v>1385</v>
      </c>
      <c r="B147" s="302" t="s">
        <v>462</v>
      </c>
      <c r="C147" s="296">
        <v>7.0000000000000007E-2</v>
      </c>
      <c r="D147" s="317">
        <f t="shared" si="91"/>
        <v>6.9666666666666668E-2</v>
      </c>
      <c r="E147" s="317">
        <f t="shared" si="91"/>
        <v>6.933333333333333E-2</v>
      </c>
      <c r="F147" s="317">
        <f t="shared" si="91"/>
        <v>6.8999999999999992E-2</v>
      </c>
      <c r="G147" s="317">
        <f t="shared" si="91"/>
        <v>6.8666666666666654E-2</v>
      </c>
      <c r="H147" s="317">
        <f t="shared" si="91"/>
        <v>6.8333333333333315E-2</v>
      </c>
      <c r="I147" s="317">
        <f t="shared" si="91"/>
        <v>6.7999999999999977E-2</v>
      </c>
      <c r="J147" s="317">
        <f t="shared" si="91"/>
        <v>6.7666666666666639E-2</v>
      </c>
      <c r="K147" s="317">
        <f t="shared" si="91"/>
        <v>6.7333333333333301E-2</v>
      </c>
      <c r="L147" s="317">
        <f t="shared" si="91"/>
        <v>6.6999999999999962E-2</v>
      </c>
      <c r="M147" s="317">
        <f t="shared" si="91"/>
        <v>6.6666666666666624E-2</v>
      </c>
      <c r="N147" s="317">
        <f t="shared" si="91"/>
        <v>6.6333333333333286E-2</v>
      </c>
      <c r="O147" s="317">
        <f t="shared" si="91"/>
        <v>6.5999999999999948E-2</v>
      </c>
      <c r="P147" s="317">
        <f t="shared" si="91"/>
        <v>6.5666666666666609E-2</v>
      </c>
      <c r="Q147" s="317">
        <f t="shared" si="91"/>
        <v>6.5333333333333271E-2</v>
      </c>
      <c r="R147" s="317">
        <f t="shared" si="91"/>
        <v>6.4999999999999933E-2</v>
      </c>
      <c r="S147" s="317">
        <f t="shared" ref="S147:AF147" si="93">-($C147-$AG147)/30+R147</f>
        <v>6.4666666666666595E-2</v>
      </c>
      <c r="T147" s="317">
        <f t="shared" si="93"/>
        <v>6.4333333333333256E-2</v>
      </c>
      <c r="U147" s="317">
        <f t="shared" si="93"/>
        <v>6.3999999999999918E-2</v>
      </c>
      <c r="V147" s="317">
        <f t="shared" si="93"/>
        <v>6.366666666666658E-2</v>
      </c>
      <c r="W147" s="317">
        <f t="shared" si="93"/>
        <v>6.3333333333333242E-2</v>
      </c>
      <c r="X147" s="317">
        <f t="shared" si="93"/>
        <v>6.2999999999999903E-2</v>
      </c>
      <c r="Y147" s="317">
        <f t="shared" si="93"/>
        <v>6.2666666666666565E-2</v>
      </c>
      <c r="Z147" s="317">
        <f t="shared" si="93"/>
        <v>6.2333333333333234E-2</v>
      </c>
      <c r="AA147" s="317">
        <f t="shared" si="93"/>
        <v>6.1999999999999902E-2</v>
      </c>
      <c r="AB147" s="317">
        <f t="shared" si="93"/>
        <v>6.1666666666666571E-2</v>
      </c>
      <c r="AC147" s="317">
        <f t="shared" si="93"/>
        <v>6.133333333333324E-2</v>
      </c>
      <c r="AD147" s="317">
        <f t="shared" si="93"/>
        <v>6.0999999999999908E-2</v>
      </c>
      <c r="AE147" s="317">
        <f t="shared" si="93"/>
        <v>6.0666666666666577E-2</v>
      </c>
      <c r="AF147" s="317">
        <f t="shared" si="93"/>
        <v>6.0333333333333246E-2</v>
      </c>
      <c r="AG147" s="296">
        <v>0.06</v>
      </c>
      <c r="AI147" s="296"/>
      <c r="AJ147" s="211" t="s">
        <v>1363</v>
      </c>
    </row>
    <row r="148" spans="1:36" s="68" customFormat="1" outlineLevel="1" x14ac:dyDescent="0.2">
      <c r="A148" s="347" t="s">
        <v>1386</v>
      </c>
      <c r="B148" s="312" t="s">
        <v>462</v>
      </c>
      <c r="C148" s="314">
        <v>0.05</v>
      </c>
      <c r="D148" s="340">
        <f t="shared" ref="D148:AF148" si="94">-($C148-$AG148)/30+C148</f>
        <v>4.9333333333333333E-2</v>
      </c>
      <c r="E148" s="340">
        <f t="shared" si="94"/>
        <v>4.8666666666666664E-2</v>
      </c>
      <c r="F148" s="340">
        <f t="shared" si="94"/>
        <v>4.7999999999999994E-2</v>
      </c>
      <c r="G148" s="340">
        <f t="shared" si="94"/>
        <v>4.7333333333333324E-2</v>
      </c>
      <c r="H148" s="340">
        <f t="shared" si="94"/>
        <v>4.6666666666666655E-2</v>
      </c>
      <c r="I148" s="340">
        <f t="shared" si="94"/>
        <v>4.5999999999999985E-2</v>
      </c>
      <c r="J148" s="340">
        <f t="shared" si="94"/>
        <v>4.5333333333333316E-2</v>
      </c>
      <c r="K148" s="340">
        <f t="shared" si="94"/>
        <v>4.4666666666666646E-2</v>
      </c>
      <c r="L148" s="340">
        <f t="shared" si="94"/>
        <v>4.3999999999999977E-2</v>
      </c>
      <c r="M148" s="340">
        <f t="shared" si="94"/>
        <v>4.3333333333333307E-2</v>
      </c>
      <c r="N148" s="340">
        <f t="shared" si="94"/>
        <v>4.2666666666666637E-2</v>
      </c>
      <c r="O148" s="340">
        <f t="shared" si="94"/>
        <v>4.1999999999999968E-2</v>
      </c>
      <c r="P148" s="340">
        <f t="shared" si="94"/>
        <v>4.1333333333333298E-2</v>
      </c>
      <c r="Q148" s="340">
        <f t="shared" si="94"/>
        <v>4.0666666666666629E-2</v>
      </c>
      <c r="R148" s="340">
        <f t="shared" si="94"/>
        <v>3.9999999999999959E-2</v>
      </c>
      <c r="S148" s="340">
        <f t="shared" si="94"/>
        <v>3.933333333333329E-2</v>
      </c>
      <c r="T148" s="340">
        <f t="shared" si="94"/>
        <v>3.866666666666662E-2</v>
      </c>
      <c r="U148" s="340">
        <f t="shared" si="94"/>
        <v>3.799999999999995E-2</v>
      </c>
      <c r="V148" s="340">
        <f t="shared" si="94"/>
        <v>3.7333333333333281E-2</v>
      </c>
      <c r="W148" s="340">
        <f t="shared" si="94"/>
        <v>3.6666666666666611E-2</v>
      </c>
      <c r="X148" s="340">
        <f t="shared" si="94"/>
        <v>3.5999999999999942E-2</v>
      </c>
      <c r="Y148" s="340">
        <f t="shared" si="94"/>
        <v>3.5333333333333272E-2</v>
      </c>
      <c r="Z148" s="340">
        <f t="shared" si="94"/>
        <v>3.4666666666666603E-2</v>
      </c>
      <c r="AA148" s="340">
        <f t="shared" si="94"/>
        <v>3.3999999999999933E-2</v>
      </c>
      <c r="AB148" s="340">
        <f t="shared" si="94"/>
        <v>3.3333333333333263E-2</v>
      </c>
      <c r="AC148" s="340">
        <f t="shared" si="94"/>
        <v>3.2666666666666594E-2</v>
      </c>
      <c r="AD148" s="340">
        <f t="shared" si="94"/>
        <v>3.1999999999999924E-2</v>
      </c>
      <c r="AE148" s="340">
        <f t="shared" si="94"/>
        <v>3.1333333333333255E-2</v>
      </c>
      <c r="AF148" s="340">
        <f t="shared" si="94"/>
        <v>3.0666666666666589E-2</v>
      </c>
      <c r="AG148" s="314">
        <v>0.03</v>
      </c>
      <c r="AI148" s="314"/>
      <c r="AJ148" s="341" t="s">
        <v>1363</v>
      </c>
    </row>
    <row r="149" spans="1:36" s="58" customFormat="1" outlineLevel="1" x14ac:dyDescent="0.2">
      <c r="A149" s="58" t="s">
        <v>1361</v>
      </c>
      <c r="B149" s="303"/>
      <c r="C149" s="304">
        <f>C32</f>
        <v>91.132618550548131</v>
      </c>
      <c r="D149" s="304">
        <f t="shared" ref="D149:AG149" si="95">D32</f>
        <v>94.187520588827709</v>
      </c>
      <c r="E149" s="304">
        <f t="shared" si="95"/>
        <v>97.090361356727982</v>
      </c>
      <c r="F149" s="304">
        <f t="shared" si="95"/>
        <v>99.821216818932996</v>
      </c>
      <c r="G149" s="304">
        <f t="shared" si="95"/>
        <v>102.36096024167153</v>
      </c>
      <c r="H149" s="304">
        <f t="shared" si="95"/>
        <v>104.69148533711844</v>
      </c>
      <c r="I149" s="304">
        <f t="shared" si="95"/>
        <v>107.02632892810098</v>
      </c>
      <c r="J149" s="304">
        <f t="shared" si="95"/>
        <v>109.36337703012953</v>
      </c>
      <c r="K149" s="304">
        <f t="shared" si="95"/>
        <v>111.70046198886772</v>
      </c>
      <c r="L149" s="304">
        <f t="shared" si="95"/>
        <v>114.03536529910819</v>
      </c>
      <c r="M149" s="304">
        <f t="shared" si="95"/>
        <v>116.36582061426857</v>
      </c>
      <c r="N149" s="304">
        <f t="shared" si="95"/>
        <v>118.51969709126692</v>
      </c>
      <c r="O149" s="304">
        <f t="shared" si="95"/>
        <v>120.48504894393488</v>
      </c>
      <c r="P149" s="304">
        <f t="shared" si="95"/>
        <v>122.25077413732228</v>
      </c>
      <c r="Q149" s="304">
        <f t="shared" si="95"/>
        <v>123.80671757237687</v>
      </c>
      <c r="R149" s="304">
        <f t="shared" si="95"/>
        <v>125.14376728836976</v>
      </c>
      <c r="S149" s="304">
        <f t="shared" si="95"/>
        <v>126.48141034426163</v>
      </c>
      <c r="T149" s="304">
        <f t="shared" si="95"/>
        <v>127.81934871649334</v>
      </c>
      <c r="U149" s="304">
        <f t="shared" si="95"/>
        <v>129.15728080358821</v>
      </c>
      <c r="V149" s="304">
        <f t="shared" si="95"/>
        <v>130.49490152130187</v>
      </c>
      <c r="W149" s="304">
        <f t="shared" si="95"/>
        <v>131.83190240093236</v>
      </c>
      <c r="X149" s="304">
        <f t="shared" si="95"/>
        <v>133.16943845763501</v>
      </c>
      <c r="Y149" s="304">
        <f t="shared" si="95"/>
        <v>134.50724115984161</v>
      </c>
      <c r="Z149" s="304">
        <f t="shared" si="95"/>
        <v>135.8450389413012</v>
      </c>
      <c r="AA149" s="304">
        <f t="shared" si="95"/>
        <v>137.18255727867347</v>
      </c>
      <c r="AB149" s="304">
        <f t="shared" si="95"/>
        <v>138.51951877153829</v>
      </c>
      <c r="AC149" s="304">
        <f t="shared" si="95"/>
        <v>139.85696545319368</v>
      </c>
      <c r="AD149" s="304">
        <f t="shared" si="95"/>
        <v>141.19465408701572</v>
      </c>
      <c r="AE149" s="304">
        <f t="shared" si="95"/>
        <v>142.53233883967283</v>
      </c>
      <c r="AF149" s="304">
        <f t="shared" si="95"/>
        <v>143.86977134503567</v>
      </c>
      <c r="AG149" s="304">
        <f t="shared" si="95"/>
        <v>145.20670076995904</v>
      </c>
      <c r="AI149" s="305"/>
      <c r="AJ149" s="306"/>
    </row>
    <row r="150" spans="1:36" s="58" customFormat="1" outlineLevel="1" x14ac:dyDescent="0.2">
      <c r="A150" s="307" t="s">
        <v>3</v>
      </c>
      <c r="B150" s="308" t="s">
        <v>704</v>
      </c>
      <c r="C150" s="309">
        <v>0</v>
      </c>
      <c r="D150" s="309">
        <v>0</v>
      </c>
      <c r="E150" s="309">
        <v>0</v>
      </c>
      <c r="F150" s="309">
        <v>0</v>
      </c>
      <c r="G150" s="309">
        <v>0</v>
      </c>
      <c r="H150" s="309">
        <v>0</v>
      </c>
      <c r="I150" s="309">
        <v>0</v>
      </c>
      <c r="J150" s="309">
        <v>0</v>
      </c>
      <c r="K150" s="309">
        <v>0</v>
      </c>
      <c r="L150" s="309">
        <v>0</v>
      </c>
      <c r="M150" s="309">
        <v>0</v>
      </c>
      <c r="N150" s="309">
        <v>0</v>
      </c>
      <c r="O150" s="309">
        <v>0</v>
      </c>
      <c r="P150" s="309">
        <v>0</v>
      </c>
      <c r="Q150" s="309">
        <v>0</v>
      </c>
      <c r="R150" s="309">
        <v>0</v>
      </c>
      <c r="S150" s="309">
        <v>0</v>
      </c>
      <c r="T150" s="309">
        <v>0</v>
      </c>
      <c r="U150" s="309">
        <v>0</v>
      </c>
      <c r="V150" s="309">
        <v>0</v>
      </c>
      <c r="W150" s="309">
        <v>0</v>
      </c>
      <c r="X150" s="309">
        <v>0</v>
      </c>
      <c r="Y150" s="309">
        <v>0</v>
      </c>
      <c r="Z150" s="309">
        <v>0</v>
      </c>
      <c r="AA150" s="309">
        <v>0</v>
      </c>
      <c r="AB150" s="309">
        <v>0</v>
      </c>
      <c r="AC150" s="309">
        <v>0</v>
      </c>
      <c r="AD150" s="309">
        <v>0</v>
      </c>
      <c r="AE150" s="309">
        <v>0</v>
      </c>
      <c r="AF150" s="309">
        <v>0</v>
      </c>
      <c r="AG150" s="309">
        <v>0</v>
      </c>
      <c r="AI150" s="305"/>
      <c r="AJ150" s="306"/>
    </row>
    <row r="151" spans="1:36" outlineLevel="1" x14ac:dyDescent="0.2">
      <c r="A151" s="310" t="s">
        <v>51</v>
      </c>
      <c r="B151" s="302" t="s">
        <v>704</v>
      </c>
      <c r="C151" s="249">
        <f>C217</f>
        <v>4.8226258181960828</v>
      </c>
      <c r="D151" s="249">
        <f t="shared" ref="D151:AG151" si="96">D217</f>
        <v>4.903163669359957</v>
      </c>
      <c r="E151" s="249">
        <f t="shared" si="96"/>
        <v>4.9850465026382675</v>
      </c>
      <c r="F151" s="249">
        <f t="shared" si="96"/>
        <v>5.0682967792323259</v>
      </c>
      <c r="G151" s="249">
        <f t="shared" si="96"/>
        <v>5.1529373354455057</v>
      </c>
      <c r="H151" s="249">
        <f t="shared" si="96"/>
        <v>5.2389913889474453</v>
      </c>
      <c r="I151" s="249">
        <f t="shared" si="96"/>
        <v>5.3264825451428672</v>
      </c>
      <c r="J151" s="249">
        <f t="shared" si="96"/>
        <v>5.415434803646753</v>
      </c>
      <c r="K151" s="249">
        <f t="shared" si="96"/>
        <v>5.5058725648676532</v>
      </c>
      <c r="L151" s="249">
        <f t="shared" si="96"/>
        <v>5.5978206367009431</v>
      </c>
      <c r="M151" s="249">
        <f t="shared" si="96"/>
        <v>5.6913042413338486</v>
      </c>
      <c r="N151" s="249">
        <f t="shared" si="96"/>
        <v>5.7863490221641234</v>
      </c>
      <c r="O151" s="249">
        <f t="shared" si="96"/>
        <v>5.8829810508342639</v>
      </c>
      <c r="P151" s="249">
        <f t="shared" si="96"/>
        <v>5.9812268343831958</v>
      </c>
      <c r="Q151" s="249">
        <f t="shared" si="96"/>
        <v>6.0811133225173952</v>
      </c>
      <c r="R151" s="249">
        <f t="shared" si="96"/>
        <v>6.1826679150034352</v>
      </c>
      <c r="S151" s="249">
        <f t="shared" si="96"/>
        <v>6.2859184691839918</v>
      </c>
      <c r="T151" s="249">
        <f t="shared" si="96"/>
        <v>6.3908933076193639</v>
      </c>
      <c r="U151" s="249">
        <f t="shared" si="96"/>
        <v>6.4976212258566068</v>
      </c>
      <c r="V151" s="249">
        <f t="shared" si="96"/>
        <v>6.606131500328412</v>
      </c>
      <c r="W151" s="249">
        <f t="shared" si="96"/>
        <v>6.7164538963838964</v>
      </c>
      <c r="X151" s="249">
        <f t="shared" si="96"/>
        <v>6.8286186764535071</v>
      </c>
      <c r="Y151" s="249">
        <f t="shared" si="96"/>
        <v>6.9426566083502799</v>
      </c>
      <c r="Z151" s="249">
        <f t="shared" si="96"/>
        <v>7.0585989737097288</v>
      </c>
      <c r="AA151" s="249">
        <f t="shared" si="96"/>
        <v>7.1764775765706812</v>
      </c>
      <c r="AB151" s="249">
        <f t="shared" si="96"/>
        <v>7.2963247520994114</v>
      </c>
      <c r="AC151" s="249">
        <f t="shared" si="96"/>
        <v>7.418173375459471</v>
      </c>
      <c r="AD151" s="249">
        <f t="shared" si="96"/>
        <v>7.5420568708296436</v>
      </c>
      <c r="AE151" s="249">
        <f t="shared" si="96"/>
        <v>7.6680092205724986</v>
      </c>
      <c r="AF151" s="249">
        <f t="shared" si="96"/>
        <v>7.7960649745560584</v>
      </c>
      <c r="AG151" s="249">
        <f t="shared" si="96"/>
        <v>7.9262592596311441</v>
      </c>
      <c r="AI151" s="296"/>
    </row>
    <row r="152" spans="1:36" s="68" customFormat="1" outlineLevel="1" x14ac:dyDescent="0.2">
      <c r="A152" s="311" t="s">
        <v>1387</v>
      </c>
      <c r="B152" s="312" t="s">
        <v>704</v>
      </c>
      <c r="C152" s="313">
        <f>C149-C150-C151</f>
        <v>86.309992732352043</v>
      </c>
      <c r="D152" s="313">
        <f t="shared" ref="D152:AF152" si="97">D149-D150-D151</f>
        <v>89.284356919467754</v>
      </c>
      <c r="E152" s="313">
        <f t="shared" si="97"/>
        <v>92.105314854089713</v>
      </c>
      <c r="F152" s="313">
        <f t="shared" si="97"/>
        <v>94.752920039700669</v>
      </c>
      <c r="G152" s="313">
        <f t="shared" si="97"/>
        <v>97.208022906226034</v>
      </c>
      <c r="H152" s="313">
        <f t="shared" si="97"/>
        <v>99.452493948170996</v>
      </c>
      <c r="I152" s="313">
        <f t="shared" si="97"/>
        <v>101.69984638295811</v>
      </c>
      <c r="J152" s="313">
        <f t="shared" si="97"/>
        <v>103.94794222648278</v>
      </c>
      <c r="K152" s="313">
        <f t="shared" si="97"/>
        <v>106.19458942400006</v>
      </c>
      <c r="L152" s="313">
        <f t="shared" si="97"/>
        <v>108.43754466240725</v>
      </c>
      <c r="M152" s="313">
        <f t="shared" si="97"/>
        <v>110.67451637293472</v>
      </c>
      <c r="N152" s="313">
        <f t="shared" si="97"/>
        <v>112.7333480691028</v>
      </c>
      <c r="O152" s="313">
        <f t="shared" si="97"/>
        <v>114.60206789310062</v>
      </c>
      <c r="P152" s="313">
        <f t="shared" si="97"/>
        <v>116.26954730293909</v>
      </c>
      <c r="Q152" s="313">
        <f t="shared" si="97"/>
        <v>117.72560424985947</v>
      </c>
      <c r="R152" s="313">
        <f t="shared" si="97"/>
        <v>118.96109937336632</v>
      </c>
      <c r="S152" s="313">
        <f t="shared" si="97"/>
        <v>120.19549187507764</v>
      </c>
      <c r="T152" s="313">
        <f t="shared" si="97"/>
        <v>121.42845540887397</v>
      </c>
      <c r="U152" s="313">
        <f t="shared" si="97"/>
        <v>122.6596595777316</v>
      </c>
      <c r="V152" s="313">
        <f t="shared" si="97"/>
        <v>123.88877002097345</v>
      </c>
      <c r="W152" s="313">
        <f t="shared" si="97"/>
        <v>125.11544850454847</v>
      </c>
      <c r="X152" s="313">
        <f t="shared" si="97"/>
        <v>126.34081978118151</v>
      </c>
      <c r="Y152" s="313">
        <f t="shared" si="97"/>
        <v>127.56458455149134</v>
      </c>
      <c r="Z152" s="313">
        <f t="shared" si="97"/>
        <v>128.78643996759146</v>
      </c>
      <c r="AA152" s="313">
        <f t="shared" si="97"/>
        <v>130.0060797021028</v>
      </c>
      <c r="AB152" s="313">
        <f t="shared" si="97"/>
        <v>131.22319401943886</v>
      </c>
      <c r="AC152" s="313">
        <f t="shared" si="97"/>
        <v>132.43879207773421</v>
      </c>
      <c r="AD152" s="313">
        <f t="shared" si="97"/>
        <v>133.65259721618608</v>
      </c>
      <c r="AE152" s="313">
        <f t="shared" si="97"/>
        <v>134.86432961910035</v>
      </c>
      <c r="AF152" s="313">
        <f t="shared" si="97"/>
        <v>136.07370637047961</v>
      </c>
      <c r="AG152" s="313">
        <f>AG149-AG150-AG151</f>
        <v>137.2804415103279</v>
      </c>
      <c r="AI152" s="314"/>
      <c r="AJ152" s="315"/>
    </row>
    <row r="153" spans="1:36" outlineLevel="1" x14ac:dyDescent="0.2">
      <c r="A153" s="112" t="s">
        <v>90</v>
      </c>
      <c r="B153" s="302" t="s">
        <v>704</v>
      </c>
      <c r="C153" s="230">
        <f>C122*C$152</f>
        <v>13.809598837176328</v>
      </c>
      <c r="D153" s="230">
        <f t="shared" ref="D153:AG158" si="98">D122*D$152</f>
        <v>14.470018111415074</v>
      </c>
      <c r="E153" s="230">
        <f t="shared" si="98"/>
        <v>15.117552344717923</v>
      </c>
      <c r="F153" s="230">
        <f t="shared" si="98"/>
        <v>15.747935310598249</v>
      </c>
      <c r="G153" s="230">
        <f t="shared" si="98"/>
        <v>16.356869987687631</v>
      </c>
      <c r="H153" s="230">
        <f t="shared" si="98"/>
        <v>16.940074802505123</v>
      </c>
      <c r="I153" s="230">
        <f t="shared" si="98"/>
        <v>17.533053516421976</v>
      </c>
      <c r="J153" s="230">
        <f t="shared" si="98"/>
        <v>18.135450987113693</v>
      </c>
      <c r="K153" s="230">
        <f t="shared" si="98"/>
        <v>18.746884852983474</v>
      </c>
      <c r="L153" s="230">
        <f t="shared" si="98"/>
        <v>19.366945476705929</v>
      </c>
      <c r="M153" s="230">
        <f t="shared" si="98"/>
        <v>19.995195958043535</v>
      </c>
      <c r="N153" s="230">
        <f t="shared" si="98"/>
        <v>20.600140470494047</v>
      </c>
      <c r="O153" s="230">
        <f t="shared" si="98"/>
        <v>21.178462146644989</v>
      </c>
      <c r="P153" s="230">
        <f t="shared" si="98"/>
        <v>21.726902739342542</v>
      </c>
      <c r="Q153" s="230">
        <f t="shared" si="98"/>
        <v>22.242290829606773</v>
      </c>
      <c r="R153" s="230">
        <f t="shared" si="98"/>
        <v>22.721569980312957</v>
      </c>
      <c r="S153" s="230">
        <f t="shared" si="98"/>
        <v>23.205742964681644</v>
      </c>
      <c r="T153" s="230">
        <f t="shared" si="98"/>
        <v>23.694739265451595</v>
      </c>
      <c r="U153" s="230">
        <f t="shared" si="98"/>
        <v>24.188484868728661</v>
      </c>
      <c r="V153" s="230">
        <f t="shared" si="98"/>
        <v>24.68690223951263</v>
      </c>
      <c r="W153" s="230">
        <f t="shared" si="98"/>
        <v>25.189910298915745</v>
      </c>
      <c r="X153" s="230">
        <f t="shared" si="98"/>
        <v>25.697722743492303</v>
      </c>
      <c r="Y153" s="230">
        <f t="shared" si="98"/>
        <v>26.210269972513071</v>
      </c>
      <c r="Z153" s="230">
        <f t="shared" si="98"/>
        <v>26.727479174607467</v>
      </c>
      <c r="AA153" s="230">
        <f t="shared" si="98"/>
        <v>27.249274305560728</v>
      </c>
      <c r="AB153" s="230">
        <f t="shared" si="98"/>
        <v>27.775576067447876</v>
      </c>
      <c r="AC153" s="230">
        <f t="shared" si="98"/>
        <v>28.306584493414373</v>
      </c>
      <c r="AD153" s="230">
        <f t="shared" si="98"/>
        <v>28.842230479252937</v>
      </c>
      <c r="AE153" s="230">
        <f t="shared" si="98"/>
        <v>29.382441946347974</v>
      </c>
      <c r="AF153" s="230">
        <f t="shared" si="98"/>
        <v>29.927143821080794</v>
      </c>
      <c r="AG153" s="230">
        <f t="shared" si="98"/>
        <v>30.476258015292796</v>
      </c>
      <c r="AI153" s="214"/>
    </row>
    <row r="154" spans="1:36" outlineLevel="1" x14ac:dyDescent="0.2">
      <c r="A154" s="112" t="s">
        <v>33</v>
      </c>
      <c r="B154" s="302" t="s">
        <v>704</v>
      </c>
      <c r="C154" s="230">
        <f t="shared" ref="C154:R158" si="99">C123*C$152</f>
        <v>31.934697310970254</v>
      </c>
      <c r="D154" s="230">
        <f t="shared" si="99"/>
        <v>32.383436254690956</v>
      </c>
      <c r="E154" s="230">
        <f t="shared" si="99"/>
        <v>32.734228899143488</v>
      </c>
      <c r="F154" s="230">
        <f t="shared" si="99"/>
        <v>32.98349146581981</v>
      </c>
      <c r="G154" s="230">
        <f t="shared" si="99"/>
        <v>33.128494206441843</v>
      </c>
      <c r="H154" s="230">
        <f t="shared" si="99"/>
        <v>33.16740673171504</v>
      </c>
      <c r="I154" s="230">
        <f t="shared" si="99"/>
        <v>33.174489890120952</v>
      </c>
      <c r="J154" s="230">
        <f t="shared" si="99"/>
        <v>33.14899877602538</v>
      </c>
      <c r="K154" s="230">
        <f t="shared" si="99"/>
        <v>33.090234064518441</v>
      </c>
      <c r="L154" s="230">
        <f t="shared" si="99"/>
        <v>32.997544840770551</v>
      </c>
      <c r="M154" s="230">
        <f t="shared" si="99"/>
        <v>32.87033136276164</v>
      </c>
      <c r="N154" s="230">
        <f t="shared" si="99"/>
        <v>32.658850935619114</v>
      </c>
      <c r="O154" s="230">
        <f t="shared" si="99"/>
        <v>32.363623973011656</v>
      </c>
      <c r="P154" s="230">
        <f t="shared" si="99"/>
        <v>31.985752463038583</v>
      </c>
      <c r="Q154" s="230">
        <f t="shared" si="99"/>
        <v>31.526916818112412</v>
      </c>
      <c r="R154" s="230">
        <f t="shared" si="99"/>
        <v>30.989366386761976</v>
      </c>
      <c r="S154" s="230">
        <f t="shared" si="98"/>
        <v>30.433498542769708</v>
      </c>
      <c r="T154" s="230">
        <f t="shared" si="98"/>
        <v>29.859257185042161</v>
      </c>
      <c r="U154" s="230">
        <f t="shared" si="98"/>
        <v>29.266594775246812</v>
      </c>
      <c r="V154" s="230">
        <f t="shared" si="98"/>
        <v>28.655472505851211</v>
      </c>
      <c r="W154" s="230">
        <f t="shared" si="98"/>
        <v>28.025860465018908</v>
      </c>
      <c r="X154" s="230">
        <f t="shared" si="98"/>
        <v>27.378055646582087</v>
      </c>
      <c r="Y154" s="230">
        <f t="shared" si="98"/>
        <v>26.712024005082338</v>
      </c>
      <c r="Z154" s="230">
        <f t="shared" si="98"/>
        <v>26.027739517450289</v>
      </c>
      <c r="AA154" s="230">
        <f t="shared" si="98"/>
        <v>25.32518432596968</v>
      </c>
      <c r="AB154" s="230">
        <f t="shared" si="98"/>
        <v>24.604348878644842</v>
      </c>
      <c r="AC154" s="230">
        <f t="shared" si="98"/>
        <v>23.86547033240776</v>
      </c>
      <c r="AD154" s="230">
        <f t="shared" si="98"/>
        <v>23.108534058678629</v>
      </c>
      <c r="AE154" s="230">
        <f t="shared" si="98"/>
        <v>22.333532984923075</v>
      </c>
      <c r="AF154" s="230">
        <f t="shared" si="98"/>
        <v>21.54046771844698</v>
      </c>
      <c r="AG154" s="230">
        <f t="shared" si="98"/>
        <v>20.729346668059513</v>
      </c>
      <c r="AI154" s="214"/>
    </row>
    <row r="155" spans="1:36" outlineLevel="1" x14ac:dyDescent="0.2">
      <c r="A155" s="112" t="s">
        <v>451</v>
      </c>
      <c r="B155" s="302" t="s">
        <v>704</v>
      </c>
      <c r="C155" s="230">
        <f t="shared" si="99"/>
        <v>6.9047994185881638</v>
      </c>
      <c r="D155" s="230">
        <f t="shared" si="98"/>
        <v>7.1516769892493679</v>
      </c>
      <c r="E155" s="230">
        <f t="shared" si="98"/>
        <v>7.386846251297996</v>
      </c>
      <c r="F155" s="230">
        <f t="shared" si="98"/>
        <v>7.6086594791879643</v>
      </c>
      <c r="G155" s="230">
        <f t="shared" si="98"/>
        <v>7.8155250416605746</v>
      </c>
      <c r="H155" s="230">
        <f t="shared" si="98"/>
        <v>8.0059257628277667</v>
      </c>
      <c r="I155" s="230">
        <f t="shared" si="98"/>
        <v>8.1970076184664258</v>
      </c>
      <c r="J155" s="230">
        <f t="shared" si="98"/>
        <v>8.3885989376771626</v>
      </c>
      <c r="K155" s="230">
        <f t="shared" si="98"/>
        <v>8.580522825459207</v>
      </c>
      <c r="L155" s="230">
        <f t="shared" si="98"/>
        <v>8.7725973631887495</v>
      </c>
      <c r="M155" s="230">
        <f t="shared" si="98"/>
        <v>8.964635826207715</v>
      </c>
      <c r="N155" s="230">
        <f t="shared" si="98"/>
        <v>9.1426745284042408</v>
      </c>
      <c r="O155" s="230">
        <f t="shared" si="98"/>
        <v>9.3056879129197743</v>
      </c>
      <c r="P155" s="230">
        <f t="shared" si="98"/>
        <v>9.4527141957289516</v>
      </c>
      <c r="Q155" s="230">
        <f t="shared" si="98"/>
        <v>9.5828641859385666</v>
      </c>
      <c r="R155" s="230">
        <f t="shared" si="98"/>
        <v>9.6953295989293604</v>
      </c>
      <c r="S155" s="230">
        <f t="shared" si="98"/>
        <v>9.8079521370063407</v>
      </c>
      <c r="T155" s="230">
        <f t="shared" si="98"/>
        <v>9.9207048069050092</v>
      </c>
      <c r="U155" s="230">
        <f t="shared" si="98"/>
        <v>10.033560153458451</v>
      </c>
      <c r="V155" s="230">
        <f t="shared" si="98"/>
        <v>10.146490264717732</v>
      </c>
      <c r="W155" s="230">
        <f t="shared" si="98"/>
        <v>10.259466777372982</v>
      </c>
      <c r="X155" s="230">
        <f t="shared" si="98"/>
        <v>10.372581304035009</v>
      </c>
      <c r="Y155" s="230">
        <f t="shared" si="98"/>
        <v>10.485808850132596</v>
      </c>
      <c r="Z155" s="230">
        <f t="shared" si="98"/>
        <v>10.599124009332787</v>
      </c>
      <c r="AA155" s="230">
        <f t="shared" si="98"/>
        <v>10.712500967453279</v>
      </c>
      <c r="AB155" s="230">
        <f t="shared" si="98"/>
        <v>10.825913506603715</v>
      </c>
      <c r="AC155" s="230">
        <f t="shared" si="98"/>
        <v>10.939444225620855</v>
      </c>
      <c r="AD155" s="230">
        <f t="shared" si="98"/>
        <v>11.053069789778599</v>
      </c>
      <c r="AE155" s="230">
        <f t="shared" si="98"/>
        <v>11.16676649246152</v>
      </c>
      <c r="AF155" s="230">
        <f t="shared" si="98"/>
        <v>11.280510258112772</v>
      </c>
      <c r="AG155" s="230">
        <f t="shared" si="98"/>
        <v>11.394276645357216</v>
      </c>
      <c r="AI155" s="214"/>
    </row>
    <row r="156" spans="1:36" outlineLevel="1" x14ac:dyDescent="0.2">
      <c r="A156" s="112" t="s">
        <v>452</v>
      </c>
      <c r="B156" s="302" t="s">
        <v>704</v>
      </c>
      <c r="C156" s="230">
        <f t="shared" si="99"/>
        <v>23.303698037735053</v>
      </c>
      <c r="D156" s="230">
        <f t="shared" si="98"/>
        <v>24.386534019937294</v>
      </c>
      <c r="E156" s="230">
        <f t="shared" si="98"/>
        <v>25.445628317023186</v>
      </c>
      <c r="F156" s="230">
        <f t="shared" si="98"/>
        <v>26.473965859092367</v>
      </c>
      <c r="G156" s="230">
        <f t="shared" si="98"/>
        <v>27.464506738439059</v>
      </c>
      <c r="H156" s="230">
        <f t="shared" si="98"/>
        <v>28.410262437860844</v>
      </c>
      <c r="I156" s="230">
        <f t="shared" si="98"/>
        <v>29.370915635398298</v>
      </c>
      <c r="J156" s="230">
        <f t="shared" si="98"/>
        <v>30.345869267317866</v>
      </c>
      <c r="K156" s="230">
        <f t="shared" si="98"/>
        <v>31.334483519374942</v>
      </c>
      <c r="L156" s="230">
        <f t="shared" si="98"/>
        <v>32.336075818329832</v>
      </c>
      <c r="M156" s="230">
        <f t="shared" si="98"/>
        <v>33.349920933710983</v>
      </c>
      <c r="N156" s="230">
        <f t="shared" si="98"/>
        <v>34.323546708772824</v>
      </c>
      <c r="O156" s="230">
        <f t="shared" si="98"/>
        <v>35.25159608391774</v>
      </c>
      <c r="P156" s="230">
        <f t="shared" si="98"/>
        <v>36.12882399859992</v>
      </c>
      <c r="Q156" s="230">
        <f t="shared" si="98"/>
        <v>36.950142987222542</v>
      </c>
      <c r="R156" s="230">
        <f t="shared" si="98"/>
        <v>37.710668501357105</v>
      </c>
      <c r="S156" s="230">
        <f t="shared" si="98"/>
        <v>38.478583465608168</v>
      </c>
      <c r="T156" s="230">
        <f t="shared" si="98"/>
        <v>39.253772018508634</v>
      </c>
      <c r="U156" s="230">
        <f t="shared" si="98"/>
        <v>40.036112886171573</v>
      </c>
      <c r="V156" s="230">
        <f t="shared" si="98"/>
        <v>40.825479347578096</v>
      </c>
      <c r="W156" s="230">
        <f t="shared" si="98"/>
        <v>41.621739202513098</v>
      </c>
      <c r="X156" s="230">
        <f t="shared" si="98"/>
        <v>42.425247282520722</v>
      </c>
      <c r="Y156" s="230">
        <f t="shared" si="98"/>
        <v>43.235889857318767</v>
      </c>
      <c r="Z156" s="230">
        <f t="shared" si="98"/>
        <v>44.053548231580756</v>
      </c>
      <c r="AA156" s="230">
        <f t="shared" si="98"/>
        <v>44.878098713165848</v>
      </c>
      <c r="AB156" s="230">
        <f t="shared" si="98"/>
        <v>45.709412583437832</v>
      </c>
      <c r="AC156" s="230">
        <f t="shared" si="98"/>
        <v>46.547820788920944</v>
      </c>
      <c r="AD156" s="230">
        <f t="shared" si="98"/>
        <v>47.393210972859542</v>
      </c>
      <c r="AE156" s="230">
        <f t="shared" si="98"/>
        <v>48.245466182406119</v>
      </c>
      <c r="AF156" s="230">
        <f t="shared" si="98"/>
        <v>49.104464838893698</v>
      </c>
      <c r="AG156" s="230">
        <f t="shared" si="98"/>
        <v>49.970080709759358</v>
      </c>
      <c r="AI156" s="214"/>
    </row>
    <row r="157" spans="1:36" outlineLevel="1" x14ac:dyDescent="0.2">
      <c r="A157" s="112" t="s">
        <v>1364</v>
      </c>
      <c r="B157" s="302" t="s">
        <v>704</v>
      </c>
      <c r="C157" s="230">
        <f t="shared" si="99"/>
        <v>6.0416994912646436</v>
      </c>
      <c r="D157" s="230">
        <f t="shared" si="98"/>
        <v>6.3629985031274021</v>
      </c>
      <c r="E157" s="230">
        <f t="shared" si="98"/>
        <v>6.6807055040833072</v>
      </c>
      <c r="F157" s="230">
        <f t="shared" si="98"/>
        <v>6.9927654989299102</v>
      </c>
      <c r="G157" s="230">
        <f t="shared" si="98"/>
        <v>7.2970822528273684</v>
      </c>
      <c r="H157" s="230">
        <f t="shared" si="98"/>
        <v>7.5915403713770528</v>
      </c>
      <c r="I157" s="230">
        <f t="shared" si="98"/>
        <v>7.8919080793175498</v>
      </c>
      <c r="J157" s="230">
        <f t="shared" si="98"/>
        <v>8.1980277102619414</v>
      </c>
      <c r="K157" s="230">
        <f t="shared" si="98"/>
        <v>8.509726432509872</v>
      </c>
      <c r="L157" s="230">
        <f t="shared" si="98"/>
        <v>8.8268161355199499</v>
      </c>
      <c r="M157" s="230">
        <f t="shared" si="98"/>
        <v>9.1490933534959371</v>
      </c>
      <c r="N157" s="230">
        <f t="shared" si="98"/>
        <v>9.4620856812666947</v>
      </c>
      <c r="O157" s="230">
        <f t="shared" si="98"/>
        <v>9.764096184492173</v>
      </c>
      <c r="P157" s="230">
        <f t="shared" si="98"/>
        <v>10.053440190127466</v>
      </c>
      <c r="Q157" s="230">
        <f t="shared" si="98"/>
        <v>10.328459679521004</v>
      </c>
      <c r="R157" s="230">
        <f t="shared" si="98"/>
        <v>10.587537844229603</v>
      </c>
      <c r="S157" s="230">
        <f t="shared" si="98"/>
        <v>10.849646399923675</v>
      </c>
      <c r="T157" s="230">
        <f t="shared" si="98"/>
        <v>11.114751285092263</v>
      </c>
      <c r="U157" s="230">
        <f t="shared" si="98"/>
        <v>11.382816408813492</v>
      </c>
      <c r="V157" s="230">
        <f t="shared" si="98"/>
        <v>11.653803633306236</v>
      </c>
      <c r="W157" s="230">
        <f t="shared" si="98"/>
        <v>11.927672757433619</v>
      </c>
      <c r="X157" s="230">
        <f t="shared" si="98"/>
        <v>12.204523190862133</v>
      </c>
      <c r="Y157" s="230">
        <f t="shared" si="98"/>
        <v>12.484320674772617</v>
      </c>
      <c r="Z157" s="230">
        <f t="shared" si="98"/>
        <v>12.767029082120565</v>
      </c>
      <c r="AA157" s="230">
        <f t="shared" si="98"/>
        <v>13.052610402091119</v>
      </c>
      <c r="AB157" s="230">
        <f t="shared" si="98"/>
        <v>13.341024725309616</v>
      </c>
      <c r="AC157" s="230">
        <f t="shared" si="98"/>
        <v>13.632366331201439</v>
      </c>
      <c r="AD157" s="230">
        <f t="shared" si="98"/>
        <v>13.926600629926588</v>
      </c>
      <c r="AE157" s="230">
        <f t="shared" si="98"/>
        <v>14.223691297161114</v>
      </c>
      <c r="AF157" s="230">
        <f t="shared" si="98"/>
        <v>14.523600259942523</v>
      </c>
      <c r="AG157" s="230">
        <f t="shared" si="98"/>
        <v>14.826287683115414</v>
      </c>
      <c r="AI157" s="214"/>
    </row>
    <row r="158" spans="1:36" outlineLevel="1" x14ac:dyDescent="0.2">
      <c r="A158" s="112" t="s">
        <v>1365</v>
      </c>
      <c r="B158" s="302" t="s">
        <v>704</v>
      </c>
      <c r="C158" s="230">
        <f t="shared" si="99"/>
        <v>4.3154996366176022</v>
      </c>
      <c r="D158" s="230">
        <f t="shared" si="98"/>
        <v>4.5296930410476648</v>
      </c>
      <c r="E158" s="230">
        <f t="shared" si="98"/>
        <v>4.7403535378238182</v>
      </c>
      <c r="F158" s="230">
        <f t="shared" si="98"/>
        <v>4.9461024260723763</v>
      </c>
      <c r="G158" s="230">
        <f t="shared" si="98"/>
        <v>5.145544679169566</v>
      </c>
      <c r="H158" s="230">
        <f t="shared" si="98"/>
        <v>5.3372838418851787</v>
      </c>
      <c r="I158" s="230">
        <f t="shared" si="98"/>
        <v>5.5324716432329231</v>
      </c>
      <c r="J158" s="230">
        <f t="shared" si="98"/>
        <v>5.7309965480867531</v>
      </c>
      <c r="K158" s="230">
        <f t="shared" si="98"/>
        <v>5.9327377291541392</v>
      </c>
      <c r="L158" s="230">
        <f t="shared" si="98"/>
        <v>6.1375650278922533</v>
      </c>
      <c r="M158" s="230">
        <f t="shared" si="98"/>
        <v>6.345338938714927</v>
      </c>
      <c r="N158" s="230">
        <f t="shared" si="98"/>
        <v>6.5460497445459058</v>
      </c>
      <c r="O158" s="230">
        <f t="shared" si="98"/>
        <v>6.7386015921143203</v>
      </c>
      <c r="P158" s="230">
        <f t="shared" si="98"/>
        <v>6.9219137161016446</v>
      </c>
      <c r="Q158" s="230">
        <f t="shared" si="98"/>
        <v>7.0949297494582018</v>
      </c>
      <c r="R158" s="230">
        <f t="shared" si="98"/>
        <v>7.2566270617753501</v>
      </c>
      <c r="S158" s="230">
        <f t="shared" si="98"/>
        <v>7.4200683650881309</v>
      </c>
      <c r="T158" s="230">
        <f t="shared" si="98"/>
        <v>7.5852308478743327</v>
      </c>
      <c r="U158" s="230">
        <f t="shared" si="98"/>
        <v>7.7520904853126433</v>
      </c>
      <c r="V158" s="230">
        <f t="shared" si="98"/>
        <v>7.9206220300075758</v>
      </c>
      <c r="W158" s="230">
        <f t="shared" si="98"/>
        <v>8.0907990032941406</v>
      </c>
      <c r="X158" s="230">
        <f t="shared" si="98"/>
        <v>8.2626896136892771</v>
      </c>
      <c r="Y158" s="230">
        <f t="shared" si="98"/>
        <v>8.4362711916719686</v>
      </c>
      <c r="Z158" s="230">
        <f t="shared" si="98"/>
        <v>8.6115199524996235</v>
      </c>
      <c r="AA158" s="230">
        <f t="shared" si="98"/>
        <v>8.7884109878621572</v>
      </c>
      <c r="AB158" s="230">
        <f t="shared" si="98"/>
        <v>8.9669182579949975</v>
      </c>
      <c r="AC158" s="230">
        <f t="shared" si="98"/>
        <v>9.1471059061688518</v>
      </c>
      <c r="AD158" s="230">
        <f t="shared" si="98"/>
        <v>9.3289512856897971</v>
      </c>
      <c r="AE158" s="230">
        <f t="shared" si="98"/>
        <v>9.512430715800555</v>
      </c>
      <c r="AF158" s="230">
        <f t="shared" si="98"/>
        <v>9.6975194740028581</v>
      </c>
      <c r="AG158" s="230">
        <f t="shared" si="98"/>
        <v>9.8841917887436086</v>
      </c>
      <c r="AI158" s="214"/>
    </row>
    <row r="159" spans="1:36" s="58" customFormat="1" x14ac:dyDescent="0.2">
      <c r="A159" s="58" t="s">
        <v>1366</v>
      </c>
      <c r="B159" s="303"/>
      <c r="C159" s="304">
        <f>C50</f>
        <v>91.132618550548131</v>
      </c>
      <c r="D159" s="304">
        <f t="shared" ref="D159:AG159" si="100">D50</f>
        <v>93.965828939970734</v>
      </c>
      <c r="E159" s="304">
        <f t="shared" si="100"/>
        <v>96.633313073415479</v>
      </c>
      <c r="F159" s="304">
        <f t="shared" si="100"/>
        <v>99.116361334602828</v>
      </c>
      <c r="G159" s="304">
        <f t="shared" si="100"/>
        <v>101.3972414851869</v>
      </c>
      <c r="H159" s="304">
        <f t="shared" si="100"/>
        <v>103.45940979990421</v>
      </c>
      <c r="I159" s="304">
        <f t="shared" si="100"/>
        <v>105.23876826359825</v>
      </c>
      <c r="J159" s="304">
        <f t="shared" si="100"/>
        <v>106.99724595424271</v>
      </c>
      <c r="K159" s="304">
        <f t="shared" si="100"/>
        <v>108.73270018233656</v>
      </c>
      <c r="L159" s="304">
        <f t="shared" si="100"/>
        <v>110.44298178533927</v>
      </c>
      <c r="M159" s="304">
        <f t="shared" si="100"/>
        <v>112.12593928186031</v>
      </c>
      <c r="N159" s="304">
        <f t="shared" si="100"/>
        <v>113.43801919790522</v>
      </c>
      <c r="O159" s="304">
        <f t="shared" si="100"/>
        <v>114.57465673184237</v>
      </c>
      <c r="P159" s="304">
        <f t="shared" si="100"/>
        <v>115.40493039324002</v>
      </c>
      <c r="Q159" s="304">
        <f t="shared" si="100"/>
        <v>116.01399884052056</v>
      </c>
      <c r="R159" s="304">
        <f t="shared" si="100"/>
        <v>116.39775439076379</v>
      </c>
      <c r="S159" s="304">
        <f t="shared" si="100"/>
        <v>116.76337857604184</v>
      </c>
      <c r="T159" s="304">
        <f t="shared" si="100"/>
        <v>117.11058377871365</v>
      </c>
      <c r="U159" s="304">
        <f t="shared" si="100"/>
        <v>117.43908745743661</v>
      </c>
      <c r="V159" s="304">
        <f t="shared" si="100"/>
        <v>117.74861235982497</v>
      </c>
      <c r="W159" s="304">
        <f t="shared" si="100"/>
        <v>118.03888673395839</v>
      </c>
      <c r="X159" s="304">
        <f t="shared" si="100"/>
        <v>118.01505164051324</v>
      </c>
      <c r="Y159" s="304">
        <f t="shared" si="100"/>
        <v>118.2750419329324</v>
      </c>
      <c r="Z159" s="304">
        <f t="shared" si="100"/>
        <v>118.3949934743091</v>
      </c>
      <c r="AA159" s="304">
        <f t="shared" si="100"/>
        <v>118.49345070873713</v>
      </c>
      <c r="AB159" s="304">
        <f t="shared" si="100"/>
        <v>118.57019899036877</v>
      </c>
      <c r="AC159" s="304">
        <f t="shared" si="100"/>
        <v>118.61521956063555</v>
      </c>
      <c r="AD159" s="304">
        <f t="shared" si="100"/>
        <v>118.63903910327632</v>
      </c>
      <c r="AE159" s="304">
        <f t="shared" si="100"/>
        <v>118.64146695998812</v>
      </c>
      <c r="AF159" s="304">
        <f t="shared" si="100"/>
        <v>118.62231925357364</v>
      </c>
      <c r="AG159" s="304">
        <f t="shared" si="100"/>
        <v>118.58141904674841</v>
      </c>
      <c r="AI159" s="305"/>
      <c r="AJ159" s="306"/>
    </row>
    <row r="160" spans="1:36" s="58" customFormat="1" x14ac:dyDescent="0.2">
      <c r="A160" s="307" t="s">
        <v>3</v>
      </c>
      <c r="B160" s="308" t="s">
        <v>704</v>
      </c>
      <c r="C160" s="309">
        <f>C159-C149</f>
        <v>0</v>
      </c>
      <c r="D160" s="309">
        <f t="shared" ref="D160:AG160" si="101">D159-D149</f>
        <v>-0.22169164885697512</v>
      </c>
      <c r="E160" s="309">
        <f t="shared" si="101"/>
        <v>-0.45704828331250269</v>
      </c>
      <c r="F160" s="309">
        <f t="shared" si="101"/>
        <v>-0.70485548433016731</v>
      </c>
      <c r="G160" s="309">
        <f t="shared" si="101"/>
        <v>-0.96371875648463856</v>
      </c>
      <c r="H160" s="309">
        <f t="shared" si="101"/>
        <v>-1.2320755372142287</v>
      </c>
      <c r="I160" s="309">
        <f t="shared" si="101"/>
        <v>-1.7875606645027347</v>
      </c>
      <c r="J160" s="309">
        <f t="shared" si="101"/>
        <v>-2.3661310758868126</v>
      </c>
      <c r="K160" s="309">
        <f t="shared" si="101"/>
        <v>-2.9677618065311577</v>
      </c>
      <c r="L160" s="309">
        <f t="shared" si="101"/>
        <v>-3.5923835137689224</v>
      </c>
      <c r="M160" s="309">
        <f t="shared" si="101"/>
        <v>-4.2398813324082596</v>
      </c>
      <c r="N160" s="309">
        <f t="shared" si="101"/>
        <v>-5.0816778933617002</v>
      </c>
      <c r="O160" s="309">
        <f t="shared" si="101"/>
        <v>-5.9103922120925176</v>
      </c>
      <c r="P160" s="309">
        <f t="shared" si="101"/>
        <v>-6.8458437440822593</v>
      </c>
      <c r="Q160" s="309">
        <f t="shared" si="101"/>
        <v>-7.7927187318563114</v>
      </c>
      <c r="R160" s="309">
        <f t="shared" si="101"/>
        <v>-8.746012897605965</v>
      </c>
      <c r="S160" s="309">
        <f t="shared" si="101"/>
        <v>-9.7180317682197881</v>
      </c>
      <c r="T160" s="309">
        <f t="shared" si="101"/>
        <v>-10.708764937779691</v>
      </c>
      <c r="U160" s="309">
        <f t="shared" si="101"/>
        <v>-11.718193346151594</v>
      </c>
      <c r="V160" s="309">
        <f t="shared" si="101"/>
        <v>-12.746289161476895</v>
      </c>
      <c r="W160" s="309">
        <f t="shared" si="101"/>
        <v>-13.793015666973972</v>
      </c>
      <c r="X160" s="309">
        <f t="shared" si="101"/>
        <v>-15.154386817121775</v>
      </c>
      <c r="Y160" s="309">
        <f t="shared" si="101"/>
        <v>-16.232199226909216</v>
      </c>
      <c r="Z160" s="309">
        <f t="shared" si="101"/>
        <v>-17.450045466992094</v>
      </c>
      <c r="AA160" s="309">
        <f t="shared" si="101"/>
        <v>-18.689106569936342</v>
      </c>
      <c r="AB160" s="309">
        <f t="shared" si="101"/>
        <v>-19.949319781169521</v>
      </c>
      <c r="AC160" s="309">
        <f t="shared" si="101"/>
        <v>-21.241745892558129</v>
      </c>
      <c r="AD160" s="309">
        <f t="shared" si="101"/>
        <v>-22.555614983739403</v>
      </c>
      <c r="AE160" s="309">
        <f t="shared" si="101"/>
        <v>-23.89087187968471</v>
      </c>
      <c r="AF160" s="309">
        <f t="shared" si="101"/>
        <v>-25.247452091462037</v>
      </c>
      <c r="AG160" s="309">
        <f t="shared" si="101"/>
        <v>-26.625281723210634</v>
      </c>
      <c r="AI160" s="305"/>
      <c r="AJ160" s="306"/>
    </row>
    <row r="161" spans="1:36" x14ac:dyDescent="0.2">
      <c r="A161" s="310" t="s">
        <v>51</v>
      </c>
      <c r="B161" s="302" t="s">
        <v>704</v>
      </c>
      <c r="C161" s="249">
        <f>C216</f>
        <v>4.8226258181960828</v>
      </c>
      <c r="D161" s="249">
        <f t="shared" ref="D161:AG161" si="102">D216</f>
        <v>5.3423153258457976</v>
      </c>
      <c r="E161" s="249">
        <f t="shared" si="102"/>
        <v>5.880991111691559</v>
      </c>
      <c r="F161" s="249">
        <f t="shared" si="102"/>
        <v>6.4359498279922605</v>
      </c>
      <c r="G161" s="249">
        <f t="shared" si="102"/>
        <v>7.0041700145154167</v>
      </c>
      <c r="H161" s="249">
        <f t="shared" si="102"/>
        <v>7.5823362785741857</v>
      </c>
      <c r="I161" s="249">
        <f t="shared" si="102"/>
        <v>8.1669385876453848</v>
      </c>
      <c r="J161" s="249">
        <f t="shared" si="102"/>
        <v>8.7735785580571175</v>
      </c>
      <c r="K161" s="249">
        <f t="shared" si="102"/>
        <v>9.4022195651994167</v>
      </c>
      <c r="L161" s="249">
        <f t="shared" si="102"/>
        <v>10.052776426784835</v>
      </c>
      <c r="M161" s="249">
        <f t="shared" si="102"/>
        <v>10.725113966264903</v>
      </c>
      <c r="N161" s="249">
        <f t="shared" si="102"/>
        <v>11.829721736590145</v>
      </c>
      <c r="O161" s="249">
        <f t="shared" si="102"/>
        <v>12.956320937231716</v>
      </c>
      <c r="P161" s="249">
        <f t="shared" si="102"/>
        <v>14.081815871349141</v>
      </c>
      <c r="Q161" s="249">
        <f t="shared" si="102"/>
        <v>15.211006661054896</v>
      </c>
      <c r="R161" s="249">
        <f t="shared" si="102"/>
        <v>16.337493831767105</v>
      </c>
      <c r="S161" s="249">
        <f t="shared" si="102"/>
        <v>17.486159364118933</v>
      </c>
      <c r="T161" s="249">
        <f t="shared" si="102"/>
        <v>18.656539415537008</v>
      </c>
      <c r="U161" s="249">
        <f t="shared" si="102"/>
        <v>19.848140320708453</v>
      </c>
      <c r="V161" s="249">
        <f t="shared" si="102"/>
        <v>21.060438448936367</v>
      </c>
      <c r="W161" s="249">
        <f t="shared" si="102"/>
        <v>22.29288008905484</v>
      </c>
      <c r="X161" s="249">
        <f t="shared" si="102"/>
        <v>24.132496948620126</v>
      </c>
      <c r="Y161" s="249">
        <f t="shared" si="102"/>
        <v>26.077785394866098</v>
      </c>
      <c r="Z161" s="249">
        <f t="shared" si="102"/>
        <v>28.018154032436328</v>
      </c>
      <c r="AA161" s="249">
        <f t="shared" si="102"/>
        <v>29.984613092558</v>
      </c>
      <c r="AB161" s="249">
        <f t="shared" si="102"/>
        <v>31.976045841194392</v>
      </c>
      <c r="AC161" s="249">
        <f t="shared" si="102"/>
        <v>33.989775543433908</v>
      </c>
      <c r="AD161" s="249">
        <f t="shared" si="102"/>
        <v>36.026283722665468</v>
      </c>
      <c r="AE161" s="249">
        <f t="shared" si="102"/>
        <v>38.084378438630978</v>
      </c>
      <c r="AF161" s="249">
        <f t="shared" si="102"/>
        <v>40.162826182020765</v>
      </c>
      <c r="AG161" s="249">
        <f t="shared" si="102"/>
        <v>42.260352059497436</v>
      </c>
      <c r="AI161" s="296"/>
    </row>
    <row r="162" spans="1:36" s="68" customFormat="1" x14ac:dyDescent="0.2">
      <c r="A162" s="311" t="s">
        <v>1387</v>
      </c>
      <c r="B162" s="312" t="s">
        <v>704</v>
      </c>
      <c r="C162" s="313">
        <f>C159-C161</f>
        <v>86.309992732352043</v>
      </c>
      <c r="D162" s="313">
        <f t="shared" ref="D162:AG162" si="103">D159-D161</f>
        <v>88.623513614124931</v>
      </c>
      <c r="E162" s="313">
        <f t="shared" si="103"/>
        <v>90.752321961723922</v>
      </c>
      <c r="F162" s="313">
        <f t="shared" si="103"/>
        <v>92.680411506610568</v>
      </c>
      <c r="G162" s="313">
        <f t="shared" si="103"/>
        <v>94.393071470671487</v>
      </c>
      <c r="H162" s="313">
        <f t="shared" si="103"/>
        <v>95.877073521330018</v>
      </c>
      <c r="I162" s="313">
        <f t="shared" si="103"/>
        <v>97.071829675952856</v>
      </c>
      <c r="J162" s="313">
        <f t="shared" si="103"/>
        <v>98.22366739618559</v>
      </c>
      <c r="K162" s="313">
        <f t="shared" si="103"/>
        <v>99.330480617137141</v>
      </c>
      <c r="L162" s="313">
        <f t="shared" si="103"/>
        <v>100.39020535855444</v>
      </c>
      <c r="M162" s="313">
        <f t="shared" si="103"/>
        <v>101.40082531559541</v>
      </c>
      <c r="N162" s="313">
        <f t="shared" si="103"/>
        <v>101.60829746131508</v>
      </c>
      <c r="O162" s="313">
        <f t="shared" si="103"/>
        <v>101.61833579461066</v>
      </c>
      <c r="P162" s="313">
        <f t="shared" si="103"/>
        <v>101.32311452189089</v>
      </c>
      <c r="Q162" s="313">
        <f t="shared" si="103"/>
        <v>100.80299217946566</v>
      </c>
      <c r="R162" s="313">
        <f t="shared" si="103"/>
        <v>100.06026055899669</v>
      </c>
      <c r="S162" s="313">
        <f t="shared" si="103"/>
        <v>99.277219211922912</v>
      </c>
      <c r="T162" s="313">
        <f t="shared" si="103"/>
        <v>98.454044363176635</v>
      </c>
      <c r="U162" s="313">
        <f t="shared" si="103"/>
        <v>97.590947136728161</v>
      </c>
      <c r="V162" s="313">
        <f t="shared" si="103"/>
        <v>96.688173910888608</v>
      </c>
      <c r="W162" s="313">
        <f t="shared" si="103"/>
        <v>95.746006644903559</v>
      </c>
      <c r="X162" s="313">
        <f t="shared" si="103"/>
        <v>93.882554691893105</v>
      </c>
      <c r="Y162" s="313">
        <f t="shared" si="103"/>
        <v>92.197256538066299</v>
      </c>
      <c r="Z162" s="313">
        <f t="shared" si="103"/>
        <v>90.376839441872775</v>
      </c>
      <c r="AA162" s="313">
        <f t="shared" si="103"/>
        <v>88.508837616179136</v>
      </c>
      <c r="AB162" s="313">
        <f t="shared" si="103"/>
        <v>86.594153149174375</v>
      </c>
      <c r="AC162" s="313">
        <f t="shared" si="103"/>
        <v>84.625444017201644</v>
      </c>
      <c r="AD162" s="313">
        <f t="shared" si="103"/>
        <v>82.612755380610849</v>
      </c>
      <c r="AE162" s="313">
        <f t="shared" si="103"/>
        <v>80.557088521357144</v>
      </c>
      <c r="AF162" s="313">
        <f t="shared" si="103"/>
        <v>78.45949307155287</v>
      </c>
      <c r="AG162" s="313">
        <f t="shared" si="103"/>
        <v>76.321066987250973</v>
      </c>
      <c r="AI162" s="314"/>
      <c r="AJ162" s="315"/>
    </row>
    <row r="163" spans="1:36" s="58" customFormat="1" outlineLevel="1" x14ac:dyDescent="0.2">
      <c r="A163" s="307" t="s">
        <v>1367</v>
      </c>
      <c r="B163" s="308" t="s">
        <v>462</v>
      </c>
      <c r="C163" s="309">
        <f>C159*C129</f>
        <v>76.551399582460434</v>
      </c>
      <c r="D163" s="309">
        <f t="shared" ref="D163:AG163" si="104">D159*D129</f>
        <v>79.307159625335302</v>
      </c>
      <c r="E163" s="309">
        <f t="shared" si="104"/>
        <v>81.945049486256323</v>
      </c>
      <c r="F163" s="309">
        <f t="shared" si="104"/>
        <v>84.447139857081609</v>
      </c>
      <c r="G163" s="309">
        <f t="shared" si="104"/>
        <v>86.79603871131998</v>
      </c>
      <c r="H163" s="309">
        <f t="shared" si="104"/>
        <v>88.975092427917616</v>
      </c>
      <c r="I163" s="309">
        <f t="shared" si="104"/>
        <v>90.926295779748884</v>
      </c>
      <c r="J163" s="309">
        <f t="shared" si="104"/>
        <v>92.873609488282682</v>
      </c>
      <c r="K163" s="309">
        <f t="shared" si="104"/>
        <v>94.814914558997472</v>
      </c>
      <c r="L163" s="309">
        <f t="shared" si="104"/>
        <v>96.748052043957202</v>
      </c>
      <c r="M163" s="309">
        <f t="shared" si="104"/>
        <v>98.670826568037072</v>
      </c>
      <c r="N163" s="309">
        <f t="shared" si="104"/>
        <v>100.27920897094822</v>
      </c>
      <c r="O163" s="309">
        <f t="shared" si="104"/>
        <v>101.74229517787602</v>
      </c>
      <c r="P163" s="309">
        <f t="shared" si="104"/>
        <v>102.9411979107701</v>
      </c>
      <c r="Q163" s="309">
        <f t="shared" si="104"/>
        <v>103.94854296110643</v>
      </c>
      <c r="R163" s="309">
        <f t="shared" si="104"/>
        <v>104.75797895168742</v>
      </c>
      <c r="S163" s="309">
        <f t="shared" si="104"/>
        <v>105.55409423274183</v>
      </c>
      <c r="T163" s="309">
        <f t="shared" si="104"/>
        <v>106.336410071072</v>
      </c>
      <c r="U163" s="309">
        <f t="shared" si="104"/>
        <v>107.1044477611822</v>
      </c>
      <c r="V163" s="309">
        <f t="shared" si="104"/>
        <v>107.85772892159969</v>
      </c>
      <c r="W163" s="309">
        <f t="shared" si="104"/>
        <v>108.59577579524172</v>
      </c>
      <c r="X163" s="309">
        <f t="shared" si="104"/>
        <v>109.04590771583423</v>
      </c>
      <c r="Y163" s="309">
        <f t="shared" si="104"/>
        <v>109.75923891376127</v>
      </c>
      <c r="Z163" s="309">
        <f t="shared" si="104"/>
        <v>110.34413391805609</v>
      </c>
      <c r="AA163" s="309">
        <f t="shared" si="104"/>
        <v>110.90986986337796</v>
      </c>
      <c r="AB163" s="309">
        <f t="shared" si="104"/>
        <v>111.45598705094665</v>
      </c>
      <c r="AC163" s="309">
        <f t="shared" si="104"/>
        <v>111.97276726523997</v>
      </c>
      <c r="AD163" s="309">
        <f t="shared" si="104"/>
        <v>112.46980906990596</v>
      </c>
      <c r="AE163" s="309">
        <f t="shared" si="104"/>
        <v>112.9466765459087</v>
      </c>
      <c r="AF163" s="309">
        <f t="shared" si="104"/>
        <v>113.40293720641641</v>
      </c>
      <c r="AG163" s="309">
        <f t="shared" si="104"/>
        <v>113.83816228487846</v>
      </c>
      <c r="AI163" s="305"/>
      <c r="AJ163" s="339" t="s">
        <v>1363</v>
      </c>
    </row>
    <row r="164" spans="1:36" s="58" customFormat="1" outlineLevel="1" x14ac:dyDescent="0.2">
      <c r="A164" s="307" t="s">
        <v>1368</v>
      </c>
      <c r="B164" s="308" t="s">
        <v>462</v>
      </c>
      <c r="C164" s="309">
        <f>C163*C130</f>
        <v>16.841307908141296</v>
      </c>
      <c r="D164" s="309">
        <f t="shared" ref="D164:AG164" si="105">D163*D130</f>
        <v>17.976289515076001</v>
      </c>
      <c r="E164" s="309">
        <f t="shared" si="105"/>
        <v>19.120511546793139</v>
      </c>
      <c r="F164" s="309">
        <f t="shared" si="105"/>
        <v>20.267313565699585</v>
      </c>
      <c r="G164" s="309">
        <f t="shared" si="105"/>
        <v>21.409689548792258</v>
      </c>
      <c r="H164" s="309">
        <f t="shared" si="105"/>
        <v>22.540356748405792</v>
      </c>
      <c r="I164" s="309">
        <f t="shared" si="105"/>
        <v>23.640836902734705</v>
      </c>
      <c r="J164" s="309">
        <f t="shared" si="105"/>
        <v>24.766295863542044</v>
      </c>
      <c r="K164" s="309">
        <f t="shared" si="105"/>
        <v>25.916076646125969</v>
      </c>
      <c r="L164" s="309">
        <f t="shared" si="105"/>
        <v>27.089454572308007</v>
      </c>
      <c r="M164" s="309">
        <f t="shared" si="105"/>
        <v>28.285636949503949</v>
      </c>
      <c r="N164" s="309">
        <f t="shared" si="105"/>
        <v>29.415234631478132</v>
      </c>
      <c r="O164" s="309">
        <f t="shared" si="105"/>
        <v>30.522688553362794</v>
      </c>
      <c r="P164" s="309">
        <f t="shared" si="105"/>
        <v>31.568634025969484</v>
      </c>
      <c r="Q164" s="309">
        <f t="shared" si="105"/>
        <v>32.570543461146663</v>
      </c>
      <c r="R164" s="309">
        <f t="shared" si="105"/>
        <v>33.522553264539958</v>
      </c>
      <c r="S164" s="309">
        <f t="shared" si="105"/>
        <v>34.481004116028977</v>
      </c>
      <c r="T164" s="309">
        <f t="shared" si="105"/>
        <v>35.445470023690646</v>
      </c>
      <c r="U164" s="309">
        <f t="shared" si="105"/>
        <v>36.415512238801924</v>
      </c>
      <c r="V164" s="309">
        <f t="shared" si="105"/>
        <v>37.390679359487869</v>
      </c>
      <c r="W164" s="309">
        <f t="shared" si="105"/>
        <v>38.370507447652052</v>
      </c>
      <c r="X164" s="309">
        <f t="shared" si="105"/>
        <v>39.256526777700302</v>
      </c>
      <c r="Y164" s="309">
        <f t="shared" si="105"/>
        <v>40.245054268379107</v>
      </c>
      <c r="Z164" s="309">
        <f t="shared" si="105"/>
        <v>41.195143329407578</v>
      </c>
      <c r="AA164" s="309">
        <f t="shared" si="105"/>
        <v>42.145750548083598</v>
      </c>
      <c r="AB164" s="309">
        <f t="shared" si="105"/>
        <v>43.096314993032671</v>
      </c>
      <c r="AC164" s="309">
        <f t="shared" si="105"/>
        <v>44.042621790994353</v>
      </c>
      <c r="AD164" s="309">
        <f t="shared" si="105"/>
        <v>44.987923627962353</v>
      </c>
      <c r="AE164" s="309">
        <f t="shared" si="105"/>
        <v>45.931648462002833</v>
      </c>
      <c r="AF164" s="309">
        <f t="shared" si="105"/>
        <v>46.873214045318747</v>
      </c>
      <c r="AG164" s="309">
        <f t="shared" si="105"/>
        <v>47.812028159648953</v>
      </c>
      <c r="AI164" s="305"/>
      <c r="AJ164" s="339" t="s">
        <v>1363</v>
      </c>
    </row>
    <row r="165" spans="1:36" s="62" customFormat="1" outlineLevel="1" x14ac:dyDescent="0.2">
      <c r="A165" s="311" t="s">
        <v>1369</v>
      </c>
      <c r="B165" s="312" t="s">
        <v>462</v>
      </c>
      <c r="C165" s="313">
        <f>C163*C131</f>
        <v>59.710091674319138</v>
      </c>
      <c r="D165" s="313">
        <f t="shared" ref="D165:AG165" si="106">D163*D131</f>
        <v>61.330870110259298</v>
      </c>
      <c r="E165" s="313">
        <f t="shared" si="106"/>
        <v>62.824537939463184</v>
      </c>
      <c r="F165" s="313">
        <f t="shared" si="106"/>
        <v>64.179826291382028</v>
      </c>
      <c r="G165" s="313">
        <f t="shared" si="106"/>
        <v>65.386349162527722</v>
      </c>
      <c r="H165" s="313">
        <f t="shared" si="106"/>
        <v>66.434735679511817</v>
      </c>
      <c r="I165" s="313">
        <f t="shared" si="106"/>
        <v>67.285458877014179</v>
      </c>
      <c r="J165" s="313">
        <f t="shared" si="106"/>
        <v>68.107313624740641</v>
      </c>
      <c r="K165" s="313">
        <f t="shared" si="106"/>
        <v>68.898837912871514</v>
      </c>
      <c r="L165" s="313">
        <f t="shared" si="106"/>
        <v>69.658597471649188</v>
      </c>
      <c r="M165" s="313">
        <f t="shared" si="106"/>
        <v>70.385189618533119</v>
      </c>
      <c r="N165" s="313">
        <f t="shared" si="106"/>
        <v>70.86397433947009</v>
      </c>
      <c r="O165" s="313">
        <f t="shared" si="106"/>
        <v>71.219606624513233</v>
      </c>
      <c r="P165" s="313">
        <f t="shared" si="106"/>
        <v>71.372563884800613</v>
      </c>
      <c r="Q165" s="313">
        <f t="shared" si="106"/>
        <v>71.377999499959756</v>
      </c>
      <c r="R165" s="313">
        <f t="shared" si="106"/>
        <v>71.235425687147469</v>
      </c>
      <c r="S165" s="313">
        <f t="shared" si="106"/>
        <v>71.073090116712862</v>
      </c>
      <c r="T165" s="313">
        <f t="shared" si="106"/>
        <v>70.890940047381349</v>
      </c>
      <c r="U165" s="313">
        <f t="shared" si="106"/>
        <v>70.688935522380262</v>
      </c>
      <c r="V165" s="313">
        <f t="shared" si="106"/>
        <v>70.467049562111825</v>
      </c>
      <c r="W165" s="313">
        <f t="shared" si="106"/>
        <v>70.225268347589676</v>
      </c>
      <c r="X165" s="313">
        <f t="shared" si="106"/>
        <v>69.789380938133931</v>
      </c>
      <c r="Y165" s="313">
        <f t="shared" si="106"/>
        <v>69.514184645382159</v>
      </c>
      <c r="Z165" s="313">
        <f t="shared" si="106"/>
        <v>69.148990588648516</v>
      </c>
      <c r="AA165" s="313">
        <f t="shared" si="106"/>
        <v>68.76411931529438</v>
      </c>
      <c r="AB165" s="313">
        <f t="shared" si="106"/>
        <v>68.359672057913969</v>
      </c>
      <c r="AC165" s="313">
        <f t="shared" si="106"/>
        <v>67.930145474245606</v>
      </c>
      <c r="AD165" s="313">
        <f t="shared" si="106"/>
        <v>67.481885441943618</v>
      </c>
      <c r="AE165" s="313">
        <f t="shared" si="106"/>
        <v>67.015028083905875</v>
      </c>
      <c r="AF165" s="313">
        <f t="shared" si="106"/>
        <v>66.529723161097664</v>
      </c>
      <c r="AG165" s="313">
        <f t="shared" si="106"/>
        <v>66.026134125229518</v>
      </c>
      <c r="AI165" s="342"/>
      <c r="AJ165" s="341" t="s">
        <v>1363</v>
      </c>
    </row>
    <row r="166" spans="1:36" s="1" customFormat="1" outlineLevel="1" x14ac:dyDescent="0.2">
      <c r="A166" t="s">
        <v>1370</v>
      </c>
      <c r="B166" s="302" t="s">
        <v>704</v>
      </c>
      <c r="C166" s="249">
        <f>C132*C163</f>
        <v>72.723829603337407</v>
      </c>
      <c r="D166" s="249">
        <f t="shared" ref="D166:AG166" si="107">D132*D163</f>
        <v>74.945265845941861</v>
      </c>
      <c r="E166" s="249">
        <f t="shared" si="107"/>
        <v>77.028346517080934</v>
      </c>
      <c r="F166" s="249">
        <f t="shared" si="107"/>
        <v>78.958075766371294</v>
      </c>
      <c r="G166" s="249">
        <f t="shared" si="107"/>
        <v>80.720316001527578</v>
      </c>
      <c r="H166" s="249">
        <f t="shared" si="107"/>
        <v>82.301960495823792</v>
      </c>
      <c r="I166" s="249">
        <f t="shared" si="107"/>
        <v>83.652192117368969</v>
      </c>
      <c r="J166" s="249">
        <f t="shared" si="107"/>
        <v>84.97935268177865</v>
      </c>
      <c r="K166" s="249">
        <f t="shared" si="107"/>
        <v>86.281572248687695</v>
      </c>
      <c r="L166" s="249">
        <f t="shared" si="107"/>
        <v>87.556987099781253</v>
      </c>
      <c r="M166" s="249">
        <f t="shared" si="107"/>
        <v>88.803743911233354</v>
      </c>
      <c r="N166" s="249">
        <f t="shared" si="107"/>
        <v>89.749892028998644</v>
      </c>
      <c r="O166" s="249">
        <f t="shared" si="107"/>
        <v>90.550642708309638</v>
      </c>
      <c r="P166" s="249">
        <f t="shared" si="107"/>
        <v>91.102960151031525</v>
      </c>
      <c r="Q166" s="249">
        <f t="shared" si="107"/>
        <v>91.474717805773651</v>
      </c>
      <c r="R166" s="249">
        <f t="shared" si="107"/>
        <v>91.663231582726482</v>
      </c>
      <c r="S166" s="249">
        <f t="shared" si="107"/>
        <v>91.832061982485385</v>
      </c>
      <c r="T166" s="249">
        <f t="shared" si="107"/>
        <v>91.980994711477265</v>
      </c>
      <c r="U166" s="249">
        <f t="shared" si="107"/>
        <v>92.10982507461668</v>
      </c>
      <c r="V166" s="249">
        <f t="shared" si="107"/>
        <v>92.218358227967713</v>
      </c>
      <c r="W166" s="249">
        <f t="shared" si="107"/>
        <v>92.306409425955451</v>
      </c>
      <c r="X166" s="249">
        <f t="shared" si="107"/>
        <v>92.143792019879911</v>
      </c>
      <c r="Y166" s="249">
        <f t="shared" si="107"/>
        <v>92.197760687559452</v>
      </c>
      <c r="Z166" s="249">
        <f t="shared" si="107"/>
        <v>92.137351821576814</v>
      </c>
      <c r="AA166" s="249">
        <f t="shared" si="107"/>
        <v>92.055191986603688</v>
      </c>
      <c r="AB166" s="249">
        <f t="shared" si="107"/>
        <v>91.951189317030966</v>
      </c>
      <c r="AC166" s="249">
        <f t="shared" si="107"/>
        <v>91.817669157496752</v>
      </c>
      <c r="AD166" s="249">
        <f t="shared" si="107"/>
        <v>91.662894391973339</v>
      </c>
      <c r="AE166" s="249">
        <f t="shared" si="107"/>
        <v>91.486808002186024</v>
      </c>
      <c r="AF166" s="249">
        <f t="shared" si="107"/>
        <v>91.289364451165184</v>
      </c>
      <c r="AG166" s="249">
        <f t="shared" si="107"/>
        <v>91.070529827902774</v>
      </c>
      <c r="AI166" s="316"/>
      <c r="AJ166" s="211" t="s">
        <v>1363</v>
      </c>
    </row>
    <row r="167" spans="1:36" s="1" customFormat="1" outlineLevel="1" x14ac:dyDescent="0.2">
      <c r="A167" t="s">
        <v>1371</v>
      </c>
      <c r="B167" s="302" t="s">
        <v>704</v>
      </c>
      <c r="C167" s="249">
        <f>C133*C163</f>
        <v>3.8275699791230218</v>
      </c>
      <c r="D167" s="249">
        <f t="shared" ref="D167:AG167" si="108">D133*D163</f>
        <v>4.3618937793934425</v>
      </c>
      <c r="E167" s="249">
        <f t="shared" si="108"/>
        <v>4.9167029691753807</v>
      </c>
      <c r="F167" s="249">
        <f t="shared" si="108"/>
        <v>5.4890640907103059</v>
      </c>
      <c r="G167" s="249">
        <f t="shared" si="108"/>
        <v>6.0757227097924007</v>
      </c>
      <c r="H167" s="249">
        <f t="shared" si="108"/>
        <v>6.6731319320938232</v>
      </c>
      <c r="I167" s="249">
        <f t="shared" si="108"/>
        <v>7.2741036623799138</v>
      </c>
      <c r="J167" s="249">
        <f t="shared" si="108"/>
        <v>7.8942568065040311</v>
      </c>
      <c r="K167" s="249">
        <f t="shared" si="108"/>
        <v>8.5333423103097754</v>
      </c>
      <c r="L167" s="249">
        <f t="shared" si="108"/>
        <v>9.1910649441759382</v>
      </c>
      <c r="M167" s="249">
        <f t="shared" si="108"/>
        <v>9.8670826568037118</v>
      </c>
      <c r="N167" s="249">
        <f t="shared" si="108"/>
        <v>10.529316941949569</v>
      </c>
      <c r="O167" s="249">
        <f t="shared" si="108"/>
        <v>11.191652469566368</v>
      </c>
      <c r="P167" s="249">
        <f t="shared" si="108"/>
        <v>11.838237759738568</v>
      </c>
      <c r="Q167" s="249">
        <f t="shared" si="108"/>
        <v>12.473825155332777</v>
      </c>
      <c r="R167" s="249">
        <f t="shared" si="108"/>
        <v>13.094747368960933</v>
      </c>
      <c r="S167" s="249">
        <f t="shared" si="108"/>
        <v>13.722032250256445</v>
      </c>
      <c r="T167" s="249">
        <f t="shared" si="108"/>
        <v>14.355415359594726</v>
      </c>
      <c r="U167" s="249">
        <f t="shared" si="108"/>
        <v>14.994622686565515</v>
      </c>
      <c r="V167" s="249">
        <f t="shared" si="108"/>
        <v>15.639370693631962</v>
      </c>
      <c r="W167" s="249">
        <f t="shared" si="108"/>
        <v>16.289366369286267</v>
      </c>
      <c r="X167" s="249">
        <f t="shared" si="108"/>
        <v>16.902115695954315</v>
      </c>
      <c r="Y167" s="249">
        <f t="shared" si="108"/>
        <v>17.56147822620181</v>
      </c>
      <c r="Z167" s="249">
        <f t="shared" si="108"/>
        <v>18.206782096479266</v>
      </c>
      <c r="AA167" s="249">
        <f t="shared" si="108"/>
        <v>18.854677876774264</v>
      </c>
      <c r="AB167" s="249">
        <f t="shared" si="108"/>
        <v>19.504797733915673</v>
      </c>
      <c r="AC167" s="249">
        <f t="shared" si="108"/>
        <v>20.155098107743207</v>
      </c>
      <c r="AD167" s="249">
        <f t="shared" si="108"/>
        <v>20.806914677932614</v>
      </c>
      <c r="AE167" s="249">
        <f t="shared" si="108"/>
        <v>21.459868543722667</v>
      </c>
      <c r="AF167" s="249">
        <f t="shared" si="108"/>
        <v>22.113572755251212</v>
      </c>
      <c r="AG167" s="249">
        <f t="shared" si="108"/>
        <v>22.767632456975694</v>
      </c>
      <c r="AI167" s="316"/>
      <c r="AJ167" s="211" t="s">
        <v>1363</v>
      </c>
    </row>
    <row r="168" spans="1:36" s="1" customFormat="1" outlineLevel="1" x14ac:dyDescent="0.2">
      <c r="A168" t="s">
        <v>1372</v>
      </c>
      <c r="B168" s="302" t="s">
        <v>704</v>
      </c>
      <c r="C168" s="249">
        <f>C166*C134</f>
        <v>10.90857444050061</v>
      </c>
      <c r="D168" s="249">
        <f t="shared" ref="D168:AG168" si="109">D166*D134</f>
        <v>11.716443227248911</v>
      </c>
      <c r="E168" s="249">
        <f t="shared" si="109"/>
        <v>12.529944366778498</v>
      </c>
      <c r="F168" s="249">
        <f t="shared" si="109"/>
        <v>13.343914804516748</v>
      </c>
      <c r="G168" s="249">
        <f t="shared" si="109"/>
        <v>14.152962072267833</v>
      </c>
      <c r="H168" s="249">
        <f t="shared" si="109"/>
        <v>14.951522823407988</v>
      </c>
      <c r="I168" s="249">
        <f t="shared" si="109"/>
        <v>15.726612118065363</v>
      </c>
      <c r="J168" s="249">
        <f t="shared" si="109"/>
        <v>16.514320871158983</v>
      </c>
      <c r="K168" s="249">
        <f t="shared" si="109"/>
        <v>17.313835497903327</v>
      </c>
      <c r="L168" s="249">
        <f t="shared" si="109"/>
        <v>18.124296329654715</v>
      </c>
      <c r="M168" s="249">
        <f t="shared" si="109"/>
        <v>18.94479870106311</v>
      </c>
      <c r="N168" s="249">
        <f t="shared" si="109"/>
        <v>19.715059615703364</v>
      </c>
      <c r="O168" s="249">
        <f t="shared" si="109"/>
        <v>20.464445252077972</v>
      </c>
      <c r="P168" s="249">
        <f t="shared" si="109"/>
        <v>21.166254408422986</v>
      </c>
      <c r="Q168" s="249">
        <f t="shared" si="109"/>
        <v>21.831965982977973</v>
      </c>
      <c r="R168" s="249">
        <f t="shared" si="109"/>
        <v>22.457491737767981</v>
      </c>
      <c r="S168" s="249">
        <f t="shared" si="109"/>
        <v>23.080458244931325</v>
      </c>
      <c r="T168" s="249">
        <f t="shared" si="109"/>
        <v>23.700436303990642</v>
      </c>
      <c r="U168" s="249">
        <f t="shared" si="109"/>
        <v>24.316993819698805</v>
      </c>
      <c r="V168" s="249">
        <f t="shared" si="109"/>
        <v>24.929696174293941</v>
      </c>
      <c r="W168" s="249">
        <f t="shared" si="109"/>
        <v>25.538106607847681</v>
      </c>
      <c r="X168" s="249">
        <f t="shared" si="109"/>
        <v>26.076693141626023</v>
      </c>
      <c r="Y168" s="249">
        <f t="shared" si="109"/>
        <v>26.675885425600544</v>
      </c>
      <c r="Z168" s="249">
        <f t="shared" si="109"/>
        <v>27.241943688579557</v>
      </c>
      <c r="AA168" s="249">
        <f t="shared" si="109"/>
        <v>27.80066797995433</v>
      </c>
      <c r="AB168" s="249">
        <f t="shared" si="109"/>
        <v>28.351616706084563</v>
      </c>
      <c r="AC168" s="249">
        <f t="shared" si="109"/>
        <v>28.891959894892331</v>
      </c>
      <c r="AD168" s="249">
        <f t="shared" si="109"/>
        <v>29.423789099823463</v>
      </c>
      <c r="AE168" s="249">
        <f t="shared" si="109"/>
        <v>29.946681819382249</v>
      </c>
      <c r="AF168" s="249">
        <f t="shared" si="109"/>
        <v>30.460217938538808</v>
      </c>
      <c r="AG168" s="249">
        <f t="shared" si="109"/>
        <v>30.963980141486946</v>
      </c>
      <c r="AI168" s="316"/>
      <c r="AJ168" s="211" t="s">
        <v>1363</v>
      </c>
    </row>
    <row r="169" spans="1:36" s="1" customFormat="1" outlineLevel="1" x14ac:dyDescent="0.2">
      <c r="A169" t="s">
        <v>1373</v>
      </c>
      <c r="B169" s="302" t="s">
        <v>704</v>
      </c>
      <c r="C169" s="249">
        <f>C166*C135</f>
        <v>61.815255162836792</v>
      </c>
      <c r="D169" s="249">
        <f t="shared" ref="D169:AG169" si="110">D166*D135</f>
        <v>63.228822618692952</v>
      </c>
      <c r="E169" s="249">
        <f t="shared" si="110"/>
        <v>64.498402150302439</v>
      </c>
      <c r="F169" s="249">
        <f t="shared" si="110"/>
        <v>65.614160961854552</v>
      </c>
      <c r="G169" s="249">
        <f t="shared" si="110"/>
        <v>66.567353929259752</v>
      </c>
      <c r="H169" s="249">
        <f t="shared" si="110"/>
        <v>67.350437672415808</v>
      </c>
      <c r="I169" s="249">
        <f t="shared" si="110"/>
        <v>67.925579999303622</v>
      </c>
      <c r="J169" s="249">
        <f t="shared" si="110"/>
        <v>68.465031810619678</v>
      </c>
      <c r="K169" s="249">
        <f t="shared" si="110"/>
        <v>68.967736750784383</v>
      </c>
      <c r="L169" s="249">
        <f t="shared" si="110"/>
        <v>69.432690770126555</v>
      </c>
      <c r="M169" s="249">
        <f t="shared" si="110"/>
        <v>69.858945210170262</v>
      </c>
      <c r="N169" s="249">
        <f t="shared" si="110"/>
        <v>70.034832413295305</v>
      </c>
      <c r="O169" s="249">
        <f t="shared" si="110"/>
        <v>70.086197456231687</v>
      </c>
      <c r="P169" s="249">
        <f t="shared" si="110"/>
        <v>69.936705742608567</v>
      </c>
      <c r="Q169" s="249">
        <f t="shared" si="110"/>
        <v>69.642751822795717</v>
      </c>
      <c r="R169" s="249">
        <f t="shared" si="110"/>
        <v>69.205739844958529</v>
      </c>
      <c r="S169" s="249">
        <f t="shared" si="110"/>
        <v>68.751603737554106</v>
      </c>
      <c r="T169" s="249">
        <f t="shared" si="110"/>
        <v>68.280558407486666</v>
      </c>
      <c r="U169" s="249">
        <f t="shared" si="110"/>
        <v>67.792831254917928</v>
      </c>
      <c r="V169" s="249">
        <f t="shared" si="110"/>
        <v>67.288662053673832</v>
      </c>
      <c r="W169" s="249">
        <f t="shared" si="110"/>
        <v>66.768302818107827</v>
      </c>
      <c r="X169" s="249">
        <f t="shared" si="110"/>
        <v>66.067098878253958</v>
      </c>
      <c r="Y169" s="249">
        <f t="shared" si="110"/>
        <v>65.521875261958982</v>
      </c>
      <c r="Z169" s="249">
        <f t="shared" si="110"/>
        <v>64.895408132997332</v>
      </c>
      <c r="AA169" s="249">
        <f t="shared" si="110"/>
        <v>64.254524006649447</v>
      </c>
      <c r="AB169" s="249">
        <f t="shared" si="110"/>
        <v>63.599572610946488</v>
      </c>
      <c r="AC169" s="249">
        <f t="shared" si="110"/>
        <v>62.925709262604514</v>
      </c>
      <c r="AD169" s="249">
        <f t="shared" si="110"/>
        <v>62.239105292149972</v>
      </c>
      <c r="AE169" s="249">
        <f t="shared" si="110"/>
        <v>61.540126182803874</v>
      </c>
      <c r="AF169" s="249">
        <f t="shared" si="110"/>
        <v>60.82914651262648</v>
      </c>
      <c r="AG169" s="249">
        <f t="shared" si="110"/>
        <v>60.106549686415832</v>
      </c>
      <c r="AI169" s="316"/>
      <c r="AJ169" s="211" t="s">
        <v>1363</v>
      </c>
    </row>
    <row r="170" spans="1:36" s="1" customFormat="1" outlineLevel="1" x14ac:dyDescent="0.2">
      <c r="A170" t="s">
        <v>1374</v>
      </c>
      <c r="B170" s="302" t="s">
        <v>704</v>
      </c>
      <c r="C170" s="249">
        <f>C136*C169</f>
        <v>0</v>
      </c>
      <c r="D170" s="249">
        <f t="shared" ref="D170:AG170" si="111">D136*D169</f>
        <v>0</v>
      </c>
      <c r="E170" s="249">
        <f t="shared" si="111"/>
        <v>0</v>
      </c>
      <c r="F170" s="249">
        <f t="shared" si="111"/>
        <v>0</v>
      </c>
      <c r="G170" s="249">
        <f t="shared" si="111"/>
        <v>0</v>
      </c>
      <c r="H170" s="249">
        <f t="shared" si="111"/>
        <v>0</v>
      </c>
      <c r="I170" s="249">
        <f t="shared" si="111"/>
        <v>0</v>
      </c>
      <c r="J170" s="249">
        <f t="shared" si="111"/>
        <v>0</v>
      </c>
      <c r="K170" s="249">
        <f t="shared" si="111"/>
        <v>0</v>
      </c>
      <c r="L170" s="249">
        <f t="shared" si="111"/>
        <v>0</v>
      </c>
      <c r="M170" s="249">
        <f t="shared" si="111"/>
        <v>0</v>
      </c>
      <c r="N170" s="249">
        <f t="shared" si="111"/>
        <v>0</v>
      </c>
      <c r="O170" s="249">
        <f t="shared" si="111"/>
        <v>0</v>
      </c>
      <c r="P170" s="249">
        <f t="shared" si="111"/>
        <v>0</v>
      </c>
      <c r="Q170" s="249">
        <f t="shared" si="111"/>
        <v>0</v>
      </c>
      <c r="R170" s="249">
        <f t="shared" si="111"/>
        <v>0</v>
      </c>
      <c r="S170" s="249">
        <f t="shared" si="111"/>
        <v>0</v>
      </c>
      <c r="T170" s="249">
        <f t="shared" si="111"/>
        <v>0</v>
      </c>
      <c r="U170" s="249">
        <f t="shared" si="111"/>
        <v>0</v>
      </c>
      <c r="V170" s="249">
        <f t="shared" si="111"/>
        <v>0</v>
      </c>
      <c r="W170" s="249">
        <f t="shared" si="111"/>
        <v>0</v>
      </c>
      <c r="X170" s="249">
        <f t="shared" si="111"/>
        <v>0</v>
      </c>
      <c r="Y170" s="249">
        <f t="shared" si="111"/>
        <v>0</v>
      </c>
      <c r="Z170" s="249">
        <f t="shared" si="111"/>
        <v>0</v>
      </c>
      <c r="AA170" s="249">
        <f t="shared" si="111"/>
        <v>0</v>
      </c>
      <c r="AB170" s="249">
        <f t="shared" si="111"/>
        <v>0</v>
      </c>
      <c r="AC170" s="249">
        <f t="shared" si="111"/>
        <v>0</v>
      </c>
      <c r="AD170" s="249">
        <f t="shared" si="111"/>
        <v>0</v>
      </c>
      <c r="AE170" s="249">
        <f t="shared" si="111"/>
        <v>0</v>
      </c>
      <c r="AF170" s="249">
        <f t="shared" si="111"/>
        <v>0</v>
      </c>
      <c r="AG170" s="249">
        <f t="shared" si="111"/>
        <v>0</v>
      </c>
      <c r="AI170" s="316"/>
      <c r="AJ170" s="211" t="s">
        <v>1363</v>
      </c>
    </row>
    <row r="171" spans="1:36" s="1" customFormat="1" outlineLevel="1" x14ac:dyDescent="0.2">
      <c r="A171" t="s">
        <v>1388</v>
      </c>
      <c r="B171" s="302" t="s">
        <v>704</v>
      </c>
      <c r="C171" s="249">
        <f>C137*C169</f>
        <v>61.815255162836792</v>
      </c>
      <c r="D171" s="249">
        <f t="shared" ref="D171:AG171" si="112">D137*D169</f>
        <v>63.228822618692952</v>
      </c>
      <c r="E171" s="249">
        <f t="shared" si="112"/>
        <v>64.498402150302439</v>
      </c>
      <c r="F171" s="249">
        <f t="shared" si="112"/>
        <v>65.614160961854552</v>
      </c>
      <c r="G171" s="249">
        <f t="shared" si="112"/>
        <v>66.567353929259752</v>
      </c>
      <c r="H171" s="249">
        <f t="shared" si="112"/>
        <v>67.350437672415808</v>
      </c>
      <c r="I171" s="249">
        <f t="shared" si="112"/>
        <v>67.925579999303622</v>
      </c>
      <c r="J171" s="249">
        <f t="shared" si="112"/>
        <v>68.465031810619678</v>
      </c>
      <c r="K171" s="249">
        <f t="shared" si="112"/>
        <v>68.967736750784383</v>
      </c>
      <c r="L171" s="249">
        <f t="shared" si="112"/>
        <v>69.432690770126555</v>
      </c>
      <c r="M171" s="249">
        <f t="shared" si="112"/>
        <v>69.858945210170262</v>
      </c>
      <c r="N171" s="249">
        <f t="shared" si="112"/>
        <v>70.034832413295305</v>
      </c>
      <c r="O171" s="249">
        <f t="shared" si="112"/>
        <v>70.086197456231687</v>
      </c>
      <c r="P171" s="249">
        <f t="shared" si="112"/>
        <v>69.936705742608567</v>
      </c>
      <c r="Q171" s="249">
        <f t="shared" si="112"/>
        <v>69.642751822795717</v>
      </c>
      <c r="R171" s="249">
        <f t="shared" si="112"/>
        <v>69.205739844958529</v>
      </c>
      <c r="S171" s="249">
        <f t="shared" si="112"/>
        <v>68.751603737554106</v>
      </c>
      <c r="T171" s="249">
        <f t="shared" si="112"/>
        <v>68.280558407486666</v>
      </c>
      <c r="U171" s="249">
        <f t="shared" si="112"/>
        <v>67.792831254917928</v>
      </c>
      <c r="V171" s="249">
        <f t="shared" si="112"/>
        <v>67.288662053673832</v>
      </c>
      <c r="W171" s="249">
        <f t="shared" si="112"/>
        <v>66.768302818107827</v>
      </c>
      <c r="X171" s="249">
        <f t="shared" si="112"/>
        <v>66.067098878253958</v>
      </c>
      <c r="Y171" s="249">
        <f t="shared" si="112"/>
        <v>65.521875261958982</v>
      </c>
      <c r="Z171" s="249">
        <f t="shared" si="112"/>
        <v>64.895408132997332</v>
      </c>
      <c r="AA171" s="249">
        <f t="shared" si="112"/>
        <v>64.254524006649447</v>
      </c>
      <c r="AB171" s="249">
        <f t="shared" si="112"/>
        <v>63.599572610946488</v>
      </c>
      <c r="AC171" s="249">
        <f t="shared" si="112"/>
        <v>62.925709262604514</v>
      </c>
      <c r="AD171" s="249">
        <f t="shared" si="112"/>
        <v>62.239105292149972</v>
      </c>
      <c r="AE171" s="249">
        <f t="shared" si="112"/>
        <v>61.540126182803874</v>
      </c>
      <c r="AF171" s="249">
        <f t="shared" si="112"/>
        <v>60.82914651262648</v>
      </c>
      <c r="AG171" s="249">
        <f t="shared" si="112"/>
        <v>60.106549686415832</v>
      </c>
      <c r="AI171" s="316"/>
      <c r="AJ171" s="211" t="s">
        <v>1363</v>
      </c>
    </row>
    <row r="172" spans="1:36" s="1" customFormat="1" outlineLevel="1" x14ac:dyDescent="0.2">
      <c r="A172" t="s">
        <v>1376</v>
      </c>
      <c r="B172" s="302" t="s">
        <v>704</v>
      </c>
      <c r="C172" s="249">
        <f>C138*(C170+C168)</f>
        <v>8.7268595524004891</v>
      </c>
      <c r="D172" s="249">
        <f t="shared" ref="D172:AG172" si="113">D138*(D170+D168)</f>
        <v>9.4122093925566261</v>
      </c>
      <c r="E172" s="249">
        <f t="shared" si="113"/>
        <v>10.107488455867989</v>
      </c>
      <c r="F172" s="249">
        <f t="shared" si="113"/>
        <v>10.808570991658565</v>
      </c>
      <c r="G172" s="249">
        <f t="shared" si="113"/>
        <v>11.511075818777837</v>
      </c>
      <c r="H172" s="249">
        <f t="shared" si="113"/>
        <v>12.210410305783189</v>
      </c>
      <c r="I172" s="249">
        <f t="shared" si="113"/>
        <v>12.895821936813595</v>
      </c>
      <c r="J172" s="249">
        <f t="shared" si="113"/>
        <v>13.59679085058756</v>
      </c>
      <c r="K172" s="249">
        <f t="shared" si="113"/>
        <v>14.312770678266746</v>
      </c>
      <c r="L172" s="249">
        <f t="shared" si="113"/>
        <v>15.043165953613409</v>
      </c>
      <c r="M172" s="249">
        <f t="shared" si="113"/>
        <v>15.787332250885919</v>
      </c>
      <c r="N172" s="249">
        <f t="shared" si="113"/>
        <v>16.49493321180514</v>
      </c>
      <c r="O172" s="249">
        <f t="shared" si="113"/>
        <v>17.190134011745489</v>
      </c>
      <c r="P172" s="249">
        <f t="shared" si="113"/>
        <v>17.85020788443671</v>
      </c>
      <c r="Q172" s="249">
        <f t="shared" si="113"/>
        <v>18.484397865588008</v>
      </c>
      <c r="R172" s="249">
        <f t="shared" si="113"/>
        <v>19.088867977102772</v>
      </c>
      <c r="S172" s="249">
        <f t="shared" si="113"/>
        <v>19.695324369008052</v>
      </c>
      <c r="T172" s="249">
        <f t="shared" si="113"/>
        <v>20.303373767085304</v>
      </c>
      <c r="U172" s="249">
        <f t="shared" si="113"/>
        <v>20.912614684940959</v>
      </c>
      <c r="V172" s="249">
        <f t="shared" si="113"/>
        <v>21.522637697140421</v>
      </c>
      <c r="W172" s="249">
        <f t="shared" si="113"/>
        <v>22.133025726801307</v>
      </c>
      <c r="X172" s="249">
        <f t="shared" si="113"/>
        <v>22.686723033214623</v>
      </c>
      <c r="Y172" s="249">
        <f t="shared" si="113"/>
        <v>23.296939938357792</v>
      </c>
      <c r="Z172" s="249">
        <f t="shared" si="113"/>
        <v>23.882103966988058</v>
      </c>
      <c r="AA172" s="249">
        <f t="shared" si="113"/>
        <v>24.464587822359789</v>
      </c>
      <c r="AB172" s="249">
        <f t="shared" si="113"/>
        <v>25.043928090374674</v>
      </c>
      <c r="AC172" s="249">
        <f t="shared" si="113"/>
        <v>25.617537773471177</v>
      </c>
      <c r="AD172" s="249">
        <f t="shared" si="113"/>
        <v>26.187172298842857</v>
      </c>
      <c r="AE172" s="249">
        <f t="shared" si="113"/>
        <v>26.75236909198145</v>
      </c>
      <c r="AF172" s="249">
        <f t="shared" si="113"/>
        <v>27.312662084889769</v>
      </c>
      <c r="AG172" s="249">
        <f t="shared" si="113"/>
        <v>27.867582127338252</v>
      </c>
      <c r="AH172" s="249"/>
      <c r="AI172" s="316"/>
      <c r="AJ172" s="211" t="s">
        <v>1363</v>
      </c>
    </row>
    <row r="173" spans="1:36" s="1" customFormat="1" outlineLevel="1" x14ac:dyDescent="0.2">
      <c r="A173" t="s">
        <v>1377</v>
      </c>
      <c r="B173" s="302" t="s">
        <v>704</v>
      </c>
      <c r="C173" s="249">
        <f>C139*(C170+C168)</f>
        <v>2.1817148881001223</v>
      </c>
      <c r="D173" s="249">
        <f t="shared" ref="D173:AG173" si="114">D139*(D170+D168)</f>
        <v>2.3042338346922859</v>
      </c>
      <c r="E173" s="249">
        <f t="shared" si="114"/>
        <v>2.4224559109105099</v>
      </c>
      <c r="F173" s="249">
        <f t="shared" si="114"/>
        <v>2.5353438128581827</v>
      </c>
      <c r="G173" s="249">
        <f t="shared" si="114"/>
        <v>2.6418862534899961</v>
      </c>
      <c r="H173" s="249">
        <f t="shared" si="114"/>
        <v>2.7411125176247984</v>
      </c>
      <c r="I173" s="249">
        <f t="shared" si="114"/>
        <v>2.830790181251766</v>
      </c>
      <c r="J173" s="249">
        <f t="shared" si="114"/>
        <v>2.9175300205714212</v>
      </c>
      <c r="K173" s="249">
        <f t="shared" si="114"/>
        <v>3.0010648196365777</v>
      </c>
      <c r="L173" s="249">
        <f t="shared" si="114"/>
        <v>3.0811303760413029</v>
      </c>
      <c r="M173" s="249">
        <f t="shared" si="114"/>
        <v>3.1574664501771865</v>
      </c>
      <c r="N173" s="249">
        <f t="shared" si="114"/>
        <v>3.2201264038982176</v>
      </c>
      <c r="O173" s="249">
        <f t="shared" si="114"/>
        <v>3.2743112403324774</v>
      </c>
      <c r="P173" s="249">
        <f t="shared" si="114"/>
        <v>3.31604652398627</v>
      </c>
      <c r="Q173" s="249">
        <f t="shared" si="114"/>
        <v>3.3475681173899581</v>
      </c>
      <c r="R173" s="249">
        <f t="shared" si="114"/>
        <v>3.3686237606651996</v>
      </c>
      <c r="S173" s="249">
        <f t="shared" si="114"/>
        <v>3.3851338759232634</v>
      </c>
      <c r="T173" s="249">
        <f t="shared" si="114"/>
        <v>3.3970625369053282</v>
      </c>
      <c r="U173" s="249">
        <f t="shared" si="114"/>
        <v>3.4043791347578356</v>
      </c>
      <c r="V173" s="249">
        <f t="shared" si="114"/>
        <v>3.4070584771535084</v>
      </c>
      <c r="W173" s="249">
        <f t="shared" si="114"/>
        <v>3.4050808810463611</v>
      </c>
      <c r="X173" s="249">
        <f t="shared" si="114"/>
        <v>3.3899701084113869</v>
      </c>
      <c r="Y173" s="249">
        <f t="shared" si="114"/>
        <v>3.3789454872427398</v>
      </c>
      <c r="Z173" s="249">
        <f t="shared" si="114"/>
        <v>3.359839721591483</v>
      </c>
      <c r="AA173" s="249">
        <f t="shared" si="114"/>
        <v>3.336080157594524</v>
      </c>
      <c r="AB173" s="249">
        <f t="shared" si="114"/>
        <v>3.3076886157098704</v>
      </c>
      <c r="AC173" s="249">
        <f t="shared" si="114"/>
        <v>3.2744221214211358</v>
      </c>
      <c r="AD173" s="249">
        <f t="shared" si="114"/>
        <v>3.236616800980586</v>
      </c>
      <c r="AE173" s="249">
        <f t="shared" si="114"/>
        <v>3.1943127274007788</v>
      </c>
      <c r="AF173" s="249">
        <f t="shared" si="114"/>
        <v>3.147555853649016</v>
      </c>
      <c r="AG173" s="249">
        <f t="shared" si="114"/>
        <v>3.0963980141486949</v>
      </c>
      <c r="AI173" s="316"/>
      <c r="AJ173" s="211" t="s">
        <v>1363</v>
      </c>
    </row>
    <row r="174" spans="1:36" s="1" customFormat="1" outlineLevel="1" x14ac:dyDescent="0.2">
      <c r="A174" t="s">
        <v>1378</v>
      </c>
      <c r="B174" s="302" t="s">
        <v>704</v>
      </c>
      <c r="C174" s="249">
        <f>C167*C140</f>
        <v>3.6361914801668704</v>
      </c>
      <c r="D174" s="249">
        <f t="shared" ref="D174:AG174" si="115">D167*D140</f>
        <v>4.137983232051246</v>
      </c>
      <c r="E174" s="249">
        <f t="shared" si="115"/>
        <v>4.6577566127988108</v>
      </c>
      <c r="F174" s="249">
        <f t="shared" si="115"/>
        <v>5.1926546298119494</v>
      </c>
      <c r="G174" s="249">
        <f t="shared" si="115"/>
        <v>5.7395327198505548</v>
      </c>
      <c r="H174" s="249">
        <f t="shared" si="115"/>
        <v>6.294987789275174</v>
      </c>
      <c r="I174" s="249">
        <f t="shared" si="115"/>
        <v>6.8522056499618804</v>
      </c>
      <c r="J174" s="249">
        <f t="shared" si="115"/>
        <v>7.4258642359847933</v>
      </c>
      <c r="K174" s="249">
        <f t="shared" si="115"/>
        <v>8.0156528768176507</v>
      </c>
      <c r="L174" s="249">
        <f t="shared" si="115"/>
        <v>8.621218917637032</v>
      </c>
      <c r="M174" s="249">
        <f t="shared" si="115"/>
        <v>9.2421674218728125</v>
      </c>
      <c r="N174" s="249">
        <f t="shared" si="115"/>
        <v>9.8484211130368333</v>
      </c>
      <c r="O174" s="249">
        <f t="shared" si="115"/>
        <v>10.453003406574991</v>
      </c>
      <c r="P174" s="249">
        <f t="shared" si="115"/>
        <v>11.041129750582844</v>
      </c>
      <c r="Q174" s="249">
        <f t="shared" si="115"/>
        <v>11.617289161333266</v>
      </c>
      <c r="R174" s="249">
        <f t="shared" si="115"/>
        <v>12.178115053133673</v>
      </c>
      <c r="S174" s="249">
        <f t="shared" si="115"/>
        <v>12.74319394973816</v>
      </c>
      <c r="T174" s="249">
        <f t="shared" si="115"/>
        <v>13.312255176797517</v>
      </c>
      <c r="U174" s="249">
        <f t="shared" si="115"/>
        <v>13.885020607759676</v>
      </c>
      <c r="V174" s="249">
        <f t="shared" si="115"/>
        <v>14.461204768045031</v>
      </c>
      <c r="W174" s="249">
        <f t="shared" si="115"/>
        <v>15.040514947640997</v>
      </c>
      <c r="X174" s="249">
        <f t="shared" si="115"/>
        <v>15.58375067166989</v>
      </c>
      <c r="Y174" s="249">
        <f t="shared" si="115"/>
        <v>16.168267620256479</v>
      </c>
      <c r="Z174" s="249">
        <f t="shared" si="115"/>
        <v>16.738101674029952</v>
      </c>
      <c r="AA174" s="249">
        <f t="shared" si="115"/>
        <v>17.308594290878791</v>
      </c>
      <c r="AB174" s="249">
        <f t="shared" si="115"/>
        <v>17.879397922756052</v>
      </c>
      <c r="AC174" s="249">
        <f t="shared" si="115"/>
        <v>18.448633134620966</v>
      </c>
      <c r="AD174" s="249">
        <f t="shared" si="115"/>
        <v>19.017520015630428</v>
      </c>
      <c r="AE174" s="249">
        <f t="shared" si="115"/>
        <v>19.585706690904242</v>
      </c>
      <c r="AF174" s="249">
        <f t="shared" si="115"/>
        <v>20.152835970952292</v>
      </c>
      <c r="AG174" s="249">
        <f t="shared" si="115"/>
        <v>20.718545535847881</v>
      </c>
      <c r="AI174" s="316"/>
      <c r="AJ174" s="211" t="s">
        <v>1363</v>
      </c>
    </row>
    <row r="175" spans="1:36" s="1" customFormat="1" outlineLevel="1" x14ac:dyDescent="0.2">
      <c r="A175" t="s">
        <v>1389</v>
      </c>
      <c r="B175" s="302" t="s">
        <v>704</v>
      </c>
      <c r="C175" s="249">
        <f>C167*C141</f>
        <v>0.19137849895615111</v>
      </c>
      <c r="D175" s="249">
        <f t="shared" ref="D175:AG175" si="116">D167*D141</f>
        <v>0.22391054734219673</v>
      </c>
      <c r="E175" s="249">
        <f t="shared" si="116"/>
        <v>0.25894635637657004</v>
      </c>
      <c r="F175" s="249">
        <f t="shared" si="116"/>
        <v>0.29640946089835651</v>
      </c>
      <c r="G175" s="249">
        <f t="shared" si="116"/>
        <v>0.33618998994184618</v>
      </c>
      <c r="H175" s="249">
        <f t="shared" si="116"/>
        <v>0.37814414281864994</v>
      </c>
      <c r="I175" s="249">
        <f t="shared" si="116"/>
        <v>0.42189801241803498</v>
      </c>
      <c r="J175" s="249">
        <f t="shared" si="116"/>
        <v>0.46839257051923916</v>
      </c>
      <c r="K175" s="249">
        <f t="shared" si="116"/>
        <v>0.51768943349212637</v>
      </c>
      <c r="L175" s="249">
        <f t="shared" si="116"/>
        <v>0.56984602653890815</v>
      </c>
      <c r="M175" s="249">
        <f t="shared" si="116"/>
        <v>0.62491523493090162</v>
      </c>
      <c r="N175" s="249">
        <f t="shared" si="116"/>
        <v>0.6808958289127387</v>
      </c>
      <c r="O175" s="249">
        <f t="shared" si="116"/>
        <v>0.73864906299138033</v>
      </c>
      <c r="P175" s="249">
        <f t="shared" si="116"/>
        <v>0.79710800915573032</v>
      </c>
      <c r="Q175" s="249">
        <f t="shared" si="116"/>
        <v>0.85653599399951752</v>
      </c>
      <c r="R175" s="249">
        <f t="shared" si="116"/>
        <v>0.91663231582726556</v>
      </c>
      <c r="S175" s="249">
        <f t="shared" si="116"/>
        <v>0.97883830051829346</v>
      </c>
      <c r="T175" s="249">
        <f t="shared" si="116"/>
        <v>1.0431601827972172</v>
      </c>
      <c r="U175" s="249">
        <f t="shared" si="116"/>
        <v>1.1096020788058487</v>
      </c>
      <c r="V175" s="249">
        <f t="shared" si="116"/>
        <v>1.1781659255869419</v>
      </c>
      <c r="W175" s="249">
        <f t="shared" si="116"/>
        <v>1.2488514216452813</v>
      </c>
      <c r="X175" s="249">
        <f t="shared" si="116"/>
        <v>1.3183650242844376</v>
      </c>
      <c r="Y175" s="249">
        <f t="shared" si="116"/>
        <v>1.3932106059453446</v>
      </c>
      <c r="Z175" s="249">
        <f t="shared" si="116"/>
        <v>1.4686804224493286</v>
      </c>
      <c r="AA175" s="249">
        <f t="shared" si="116"/>
        <v>1.5460835858954911</v>
      </c>
      <c r="AB175" s="249">
        <f t="shared" si="116"/>
        <v>1.6253998111596411</v>
      </c>
      <c r="AC175" s="249">
        <f t="shared" si="116"/>
        <v>1.7064649731222599</v>
      </c>
      <c r="AD175" s="249">
        <f t="shared" si="116"/>
        <v>1.7893946623022068</v>
      </c>
      <c r="AE175" s="249">
        <f t="shared" si="116"/>
        <v>1.8741618528184483</v>
      </c>
      <c r="AF175" s="249">
        <f t="shared" si="116"/>
        <v>1.9607367842989432</v>
      </c>
      <c r="AG175" s="249">
        <f t="shared" si="116"/>
        <v>2.0490869211278122</v>
      </c>
      <c r="AI175" s="316"/>
      <c r="AJ175" s="211" t="s">
        <v>1363</v>
      </c>
    </row>
    <row r="176" spans="1:36" s="1" customFormat="1" outlineLevel="1" x14ac:dyDescent="0.2">
      <c r="A176" t="s">
        <v>1380</v>
      </c>
      <c r="B176" s="302" t="s">
        <v>704</v>
      </c>
      <c r="C176" s="249">
        <f t="shared" ref="C176:AG176" si="117">C172*C142</f>
        <v>2.3562520791481321</v>
      </c>
      <c r="D176" s="249">
        <f t="shared" si="117"/>
        <v>2.5036476984200626</v>
      </c>
      <c r="E176" s="249">
        <f t="shared" si="117"/>
        <v>2.6481619754374131</v>
      </c>
      <c r="F176" s="249">
        <f t="shared" si="117"/>
        <v>2.7886113158479096</v>
      </c>
      <c r="G176" s="249">
        <f t="shared" si="117"/>
        <v>2.9238132579695706</v>
      </c>
      <c r="H176" s="249">
        <f t="shared" si="117"/>
        <v>3.0526025764457971</v>
      </c>
      <c r="I176" s="249">
        <f t="shared" si="117"/>
        <v>3.1723721964561444</v>
      </c>
      <c r="J176" s="249">
        <f t="shared" si="117"/>
        <v>3.2904233858421894</v>
      </c>
      <c r="K176" s="249">
        <f t="shared" si="117"/>
        <v>3.4064394214274856</v>
      </c>
      <c r="L176" s="249">
        <f t="shared" si="117"/>
        <v>3.5201008331455372</v>
      </c>
      <c r="M176" s="249">
        <f t="shared" si="117"/>
        <v>3.6310864177037612</v>
      </c>
      <c r="N176" s="249">
        <f t="shared" si="117"/>
        <v>3.7278549058679613</v>
      </c>
      <c r="O176" s="249">
        <f t="shared" si="117"/>
        <v>3.8162097506074981</v>
      </c>
      <c r="P176" s="249">
        <f t="shared" si="117"/>
        <v>3.8913453188072022</v>
      </c>
      <c r="Q176" s="249">
        <f t="shared" si="117"/>
        <v>3.9556611432358331</v>
      </c>
      <c r="R176" s="249">
        <f t="shared" si="117"/>
        <v>4.0086622751915817</v>
      </c>
      <c r="S176" s="249">
        <f t="shared" si="117"/>
        <v>4.0572368200156577</v>
      </c>
      <c r="T176" s="249">
        <f t="shared" si="117"/>
        <v>4.1012815009512309</v>
      </c>
      <c r="U176" s="249">
        <f t="shared" si="117"/>
        <v>4.1406977076183091</v>
      </c>
      <c r="V176" s="249">
        <f t="shared" si="117"/>
        <v>4.1753917132452409</v>
      </c>
      <c r="W176" s="249">
        <f t="shared" si="117"/>
        <v>4.205274888092247</v>
      </c>
      <c r="X176" s="249">
        <f t="shared" si="117"/>
        <v>4.2197304841779184</v>
      </c>
      <c r="Y176" s="249">
        <f t="shared" si="117"/>
        <v>4.2400430687811168</v>
      </c>
      <c r="Z176" s="249">
        <f t="shared" si="117"/>
        <v>4.2510145061238731</v>
      </c>
      <c r="AA176" s="249">
        <f t="shared" si="117"/>
        <v>4.2568382810906016</v>
      </c>
      <c r="AB176" s="249">
        <f t="shared" si="117"/>
        <v>4.2574677753636925</v>
      </c>
      <c r="AC176" s="249">
        <f t="shared" si="117"/>
        <v>4.2525112703962131</v>
      </c>
      <c r="AD176" s="249">
        <f t="shared" si="117"/>
        <v>4.2423219124125406</v>
      </c>
      <c r="AE176" s="249">
        <f t="shared" si="117"/>
        <v>4.2268743165330669</v>
      </c>
      <c r="AF176" s="249">
        <f t="shared" si="117"/>
        <v>4.206149961073022</v>
      </c>
      <c r="AG176" s="249">
        <f t="shared" si="117"/>
        <v>4.180137319100738</v>
      </c>
      <c r="AI176" s="316"/>
      <c r="AJ176" s="211"/>
    </row>
    <row r="177" spans="1:36" s="67" customFormat="1" x14ac:dyDescent="0.2">
      <c r="A177" s="345" t="s">
        <v>1381</v>
      </c>
      <c r="B177" s="308" t="s">
        <v>704</v>
      </c>
      <c r="C177" s="309">
        <f>C143*C$162</f>
        <v>13.809598837176328</v>
      </c>
      <c r="D177" s="309">
        <f t="shared" ref="D177:AF177" si="118">D143*D$162</f>
        <v>14.652420917535322</v>
      </c>
      <c r="E177" s="309">
        <f t="shared" si="118"/>
        <v>15.48839628146755</v>
      </c>
      <c r="F177" s="309">
        <f t="shared" si="118"/>
        <v>16.311752425163458</v>
      </c>
      <c r="G177" s="309">
        <f t="shared" si="118"/>
        <v>17.11661029334843</v>
      </c>
      <c r="H177" s="309">
        <f t="shared" si="118"/>
        <v>17.897053723981603</v>
      </c>
      <c r="I177" s="309">
        <f t="shared" si="118"/>
        <v>18.637791297782947</v>
      </c>
      <c r="J177" s="309">
        <f t="shared" si="118"/>
        <v>19.382803699513953</v>
      </c>
      <c r="K177" s="309">
        <f t="shared" si="118"/>
        <v>20.130977405073125</v>
      </c>
      <c r="L177" s="309">
        <f t="shared" si="118"/>
        <v>20.881162714579318</v>
      </c>
      <c r="M177" s="309">
        <f t="shared" si="118"/>
        <v>21.632176067327016</v>
      </c>
      <c r="N177" s="309">
        <f t="shared" si="118"/>
        <v>22.218347711540893</v>
      </c>
      <c r="O177" s="309">
        <f t="shared" si="118"/>
        <v>22.762507217992781</v>
      </c>
      <c r="P177" s="309">
        <f t="shared" si="118"/>
        <v>23.236767597020304</v>
      </c>
      <c r="Q177" s="309">
        <f t="shared" si="118"/>
        <v>23.655102164781269</v>
      </c>
      <c r="R177" s="309">
        <f t="shared" si="118"/>
        <v>24.0144625341592</v>
      </c>
      <c r="S177" s="309">
        <f t="shared" si="118"/>
        <v>24.356011113325081</v>
      </c>
      <c r="T177" s="309">
        <f t="shared" si="118"/>
        <v>24.679147120369603</v>
      </c>
      <c r="U177" s="309">
        <f t="shared" si="118"/>
        <v>24.983282467002404</v>
      </c>
      <c r="V177" s="309">
        <f t="shared" si="118"/>
        <v>25.267842782045555</v>
      </c>
      <c r="W177" s="309">
        <f t="shared" si="118"/>
        <v>25.532268438640948</v>
      </c>
      <c r="X177" s="309">
        <f t="shared" si="118"/>
        <v>25.536054876194928</v>
      </c>
      <c r="Y177" s="309">
        <f t="shared" si="118"/>
        <v>25.56937247989039</v>
      </c>
      <c r="Z177" s="309">
        <f t="shared" si="118"/>
        <v>25.546519948902709</v>
      </c>
      <c r="AA177" s="309">
        <f t="shared" si="118"/>
        <v>25.490545233459599</v>
      </c>
      <c r="AB177" s="309">
        <f t="shared" si="118"/>
        <v>25.400951590424494</v>
      </c>
      <c r="AC177" s="309">
        <f t="shared" si="118"/>
        <v>25.274799279804235</v>
      </c>
      <c r="AD177" s="309">
        <f t="shared" si="118"/>
        <v>25.114277635705712</v>
      </c>
      <c r="AE177" s="309">
        <f t="shared" si="118"/>
        <v>24.918992715939826</v>
      </c>
      <c r="AF177" s="309">
        <f t="shared" si="118"/>
        <v>24.688587153181984</v>
      </c>
      <c r="AG177" s="309">
        <f>AG143*AG$162</f>
        <v>24.422741435920312</v>
      </c>
      <c r="AI177" s="337"/>
      <c r="AJ177" s="348"/>
    </row>
    <row r="178" spans="1:36" x14ac:dyDescent="0.2">
      <c r="A178" s="346" t="s">
        <v>1382</v>
      </c>
      <c r="B178" s="302" t="s">
        <v>704</v>
      </c>
      <c r="C178" s="249">
        <f t="shared" ref="C178:AG178" si="119">C144*C$162</f>
        <v>31.934697310970254</v>
      </c>
      <c r="D178" s="249">
        <f t="shared" si="119"/>
        <v>32.938405893249765</v>
      </c>
      <c r="E178" s="249">
        <f t="shared" si="119"/>
        <v>33.88086686571026</v>
      </c>
      <c r="F178" s="249">
        <f t="shared" si="119"/>
        <v>34.755154314978959</v>
      </c>
      <c r="G178" s="249">
        <f t="shared" si="119"/>
        <v>35.554723587286254</v>
      </c>
      <c r="H178" s="249">
        <f t="shared" si="119"/>
        <v>36.273492815569846</v>
      </c>
      <c r="I178" s="249">
        <f t="shared" si="119"/>
        <v>36.887295276862076</v>
      </c>
      <c r="J178" s="249">
        <f t="shared" si="119"/>
        <v>37.488699722877485</v>
      </c>
      <c r="K178" s="249">
        <f t="shared" si="119"/>
        <v>38.076684236569221</v>
      </c>
      <c r="L178" s="249">
        <f t="shared" si="119"/>
        <v>38.65022906304344</v>
      </c>
      <c r="M178" s="249">
        <f t="shared" si="119"/>
        <v>39.208319122030211</v>
      </c>
      <c r="N178" s="249">
        <f t="shared" si="119"/>
        <v>39.457888847477335</v>
      </c>
      <c r="O178" s="249">
        <f t="shared" si="119"/>
        <v>39.631150959898136</v>
      </c>
      <c r="P178" s="249">
        <f t="shared" si="119"/>
        <v>39.684886521073906</v>
      </c>
      <c r="Q178" s="249">
        <f t="shared" si="119"/>
        <v>39.649176923923136</v>
      </c>
      <c r="R178" s="249">
        <f t="shared" si="119"/>
        <v>39.523802920803668</v>
      </c>
      <c r="S178" s="249">
        <f t="shared" si="119"/>
        <v>39.379963620729391</v>
      </c>
      <c r="T178" s="249">
        <f t="shared" si="119"/>
        <v>39.217527671332</v>
      </c>
      <c r="U178" s="249">
        <f t="shared" si="119"/>
        <v>39.036378854691236</v>
      </c>
      <c r="V178" s="249">
        <f t="shared" si="119"/>
        <v>38.836416520873556</v>
      </c>
      <c r="W178" s="249">
        <f t="shared" si="119"/>
        <v>38.6175560134444</v>
      </c>
      <c r="X178" s="249">
        <f t="shared" si="119"/>
        <v>38.022434650216674</v>
      </c>
      <c r="Y178" s="249">
        <f t="shared" si="119"/>
        <v>37.493550992146929</v>
      </c>
      <c r="Z178" s="249">
        <f t="shared" si="119"/>
        <v>36.903876105431344</v>
      </c>
      <c r="AA178" s="249">
        <f t="shared" si="119"/>
        <v>36.288623422633407</v>
      </c>
      <c r="AB178" s="249">
        <f t="shared" si="119"/>
        <v>35.647926379743417</v>
      </c>
      <c r="AC178" s="249">
        <f t="shared" si="119"/>
        <v>34.978516860443307</v>
      </c>
      <c r="AD178" s="249">
        <f t="shared" si="119"/>
        <v>34.284293482953466</v>
      </c>
      <c r="AE178" s="249">
        <f t="shared" si="119"/>
        <v>33.565453550565437</v>
      </c>
      <c r="AF178" s="249">
        <f t="shared" si="119"/>
        <v>32.822221268266247</v>
      </c>
      <c r="AG178" s="249">
        <f t="shared" si="119"/>
        <v>32.054848134645404</v>
      </c>
      <c r="AI178" s="296"/>
    </row>
    <row r="179" spans="1:36" x14ac:dyDescent="0.2">
      <c r="A179" s="346" t="s">
        <v>1383</v>
      </c>
      <c r="B179" s="302" t="s">
        <v>704</v>
      </c>
      <c r="C179" s="249">
        <f t="shared" ref="C179:AG179" si="120">C145*C$162</f>
        <v>6.9047994185881638</v>
      </c>
      <c r="D179" s="249">
        <f t="shared" si="120"/>
        <v>6.8830928906970357</v>
      </c>
      <c r="E179" s="249">
        <f t="shared" si="120"/>
        <v>6.8366749211165345</v>
      </c>
      <c r="F179" s="249">
        <f t="shared" si="120"/>
        <v>6.7656700399825693</v>
      </c>
      <c r="G179" s="249">
        <f t="shared" si="120"/>
        <v>6.6704437172607829</v>
      </c>
      <c r="H179" s="249">
        <f t="shared" si="120"/>
        <v>6.5516000239575485</v>
      </c>
      <c r="I179" s="249">
        <f t="shared" si="120"/>
        <v>6.4067407586128846</v>
      </c>
      <c r="J179" s="249">
        <f t="shared" si="120"/>
        <v>6.2535734908904779</v>
      </c>
      <c r="K179" s="249">
        <f t="shared" si="120"/>
        <v>6.0922694778510733</v>
      </c>
      <c r="L179" s="249">
        <f t="shared" si="120"/>
        <v>5.9230221161547076</v>
      </c>
      <c r="M179" s="249">
        <f t="shared" si="120"/>
        <v>5.7460467678837359</v>
      </c>
      <c r="N179" s="249">
        <f t="shared" si="120"/>
        <v>5.5207174953981148</v>
      </c>
      <c r="O179" s="249">
        <f t="shared" si="120"/>
        <v>5.2841534613197494</v>
      </c>
      <c r="P179" s="249">
        <f t="shared" si="120"/>
        <v>5.0323813545872431</v>
      </c>
      <c r="Q179" s="249">
        <f t="shared" si="120"/>
        <v>4.7713416298280373</v>
      </c>
      <c r="R179" s="249">
        <f t="shared" si="120"/>
        <v>4.502711725154847</v>
      </c>
      <c r="S179" s="249">
        <f t="shared" si="120"/>
        <v>4.2358280197087064</v>
      </c>
      <c r="T179" s="249">
        <f t="shared" si="120"/>
        <v>3.9709797893147867</v>
      </c>
      <c r="U179" s="249">
        <f t="shared" si="120"/>
        <v>3.7084559911956658</v>
      </c>
      <c r="V179" s="249">
        <f t="shared" si="120"/>
        <v>3.4485448694883565</v>
      </c>
      <c r="W179" s="249">
        <f t="shared" si="120"/>
        <v>3.1915335548301145</v>
      </c>
      <c r="X179" s="249">
        <f t="shared" si="120"/>
        <v>2.9103591954486823</v>
      </c>
      <c r="Y179" s="249">
        <f t="shared" si="120"/>
        <v>2.6429880207578966</v>
      </c>
      <c r="Z179" s="249">
        <f t="shared" si="120"/>
        <v>2.3799234386359793</v>
      </c>
      <c r="AA179" s="249">
        <f t="shared" si="120"/>
        <v>2.1242121027882956</v>
      </c>
      <c r="AB179" s="249">
        <f t="shared" si="120"/>
        <v>1.8762066515654412</v>
      </c>
      <c r="AC179" s="249">
        <f t="shared" si="120"/>
        <v>1.636091917665895</v>
      </c>
      <c r="AD179" s="249">
        <f t="shared" si="120"/>
        <v>1.404416841470381</v>
      </c>
      <c r="AE179" s="249">
        <f t="shared" si="120"/>
        <v>1.1815039649799015</v>
      </c>
      <c r="AF179" s="249">
        <f t="shared" si="120"/>
        <v>0.96766708121581557</v>
      </c>
      <c r="AG179" s="249">
        <f t="shared" si="120"/>
        <v>0.76321066987250974</v>
      </c>
      <c r="AI179" s="296"/>
    </row>
    <row r="180" spans="1:36" x14ac:dyDescent="0.2">
      <c r="A180" s="346" t="s">
        <v>1384</v>
      </c>
      <c r="B180" s="302" t="s">
        <v>704</v>
      </c>
      <c r="C180" s="249">
        <f t="shared" ref="C180:AG180" si="121">C146*C$162</f>
        <v>23.303698037735053</v>
      </c>
      <c r="D180" s="249">
        <f t="shared" si="121"/>
        <v>23.603395792561944</v>
      </c>
      <c r="E180" s="249">
        <f t="shared" si="121"/>
        <v>23.837609901946156</v>
      </c>
      <c r="F180" s="249">
        <f t="shared" si="121"/>
        <v>24.004226580212144</v>
      </c>
      <c r="G180" s="249">
        <f t="shared" si="121"/>
        <v>24.101697582178126</v>
      </c>
      <c r="H180" s="249">
        <f t="shared" si="121"/>
        <v>24.129063502868064</v>
      </c>
      <c r="I180" s="249">
        <f t="shared" si="121"/>
        <v>24.073813759636316</v>
      </c>
      <c r="J180" s="249">
        <f t="shared" si="121"/>
        <v>23.999316067134686</v>
      </c>
      <c r="K180" s="249">
        <f t="shared" si="121"/>
        <v>23.905535668524344</v>
      </c>
      <c r="L180" s="249">
        <f t="shared" si="121"/>
        <v>23.792478669977406</v>
      </c>
      <c r="M180" s="249">
        <f t="shared" si="121"/>
        <v>23.660192573638934</v>
      </c>
      <c r="N180" s="249">
        <f t="shared" si="121"/>
        <v>23.336038983615364</v>
      </c>
      <c r="O180" s="249">
        <f t="shared" si="121"/>
        <v>22.965743889582008</v>
      </c>
      <c r="P180" s="249">
        <f t="shared" si="121"/>
        <v>22.527505795367073</v>
      </c>
      <c r="Q180" s="249">
        <f t="shared" si="121"/>
        <v>22.042254289909824</v>
      </c>
      <c r="R180" s="249">
        <f t="shared" si="121"/>
        <v>21.512956020184284</v>
      </c>
      <c r="S180" s="249">
        <f t="shared" si="121"/>
        <v>20.980585660119704</v>
      </c>
      <c r="T180" s="249">
        <f t="shared" si="121"/>
        <v>20.445623212753009</v>
      </c>
      <c r="U180" s="249">
        <f t="shared" si="121"/>
        <v>19.908553215892539</v>
      </c>
      <c r="V180" s="249">
        <f t="shared" si="121"/>
        <v>19.369864173481343</v>
      </c>
      <c r="W180" s="249">
        <f t="shared" si="121"/>
        <v>18.830047973497692</v>
      </c>
      <c r="X180" s="249">
        <f t="shared" si="121"/>
        <v>18.11933305553536</v>
      </c>
      <c r="Y180" s="249">
        <f t="shared" si="121"/>
        <v>17.456013904540541</v>
      </c>
      <c r="Z180" s="249">
        <f t="shared" si="121"/>
        <v>16.779966523041033</v>
      </c>
      <c r="AA180" s="249">
        <f t="shared" si="121"/>
        <v>16.10860844614459</v>
      </c>
      <c r="AB180" s="249">
        <f t="shared" si="121"/>
        <v>15.442623978269417</v>
      </c>
      <c r="AC180" s="249">
        <f t="shared" si="121"/>
        <v>14.781244221671207</v>
      </c>
      <c r="AD180" s="249">
        <f t="shared" si="121"/>
        <v>14.12678117008444</v>
      </c>
      <c r="AE180" s="249">
        <f t="shared" si="121"/>
        <v>13.479886145907081</v>
      </c>
      <c r="AF180" s="249">
        <f t="shared" si="121"/>
        <v>12.84120369937747</v>
      </c>
      <c r="AG180" s="249">
        <f t="shared" si="121"/>
        <v>12.211370717960156</v>
      </c>
      <c r="AI180" s="296"/>
    </row>
    <row r="181" spans="1:36" x14ac:dyDescent="0.2">
      <c r="A181" s="346" t="s">
        <v>1385</v>
      </c>
      <c r="B181" s="302" t="s">
        <v>704</v>
      </c>
      <c r="C181" s="249">
        <f t="shared" ref="C181:AG181" si="122">C147*C$162</f>
        <v>6.0416994912646436</v>
      </c>
      <c r="D181" s="249">
        <f t="shared" si="122"/>
        <v>6.1741047817840373</v>
      </c>
      <c r="E181" s="249">
        <f t="shared" si="122"/>
        <v>6.2921609893461916</v>
      </c>
      <c r="F181" s="249">
        <f t="shared" si="122"/>
        <v>6.3949483939561285</v>
      </c>
      <c r="G181" s="249">
        <f t="shared" si="122"/>
        <v>6.4816575743194411</v>
      </c>
      <c r="H181" s="249">
        <f t="shared" si="122"/>
        <v>6.5516000239575494</v>
      </c>
      <c r="I181" s="249">
        <f t="shared" si="122"/>
        <v>6.6008844179647923</v>
      </c>
      <c r="J181" s="249">
        <f t="shared" si="122"/>
        <v>6.646468160475222</v>
      </c>
      <c r="K181" s="249">
        <f t="shared" si="122"/>
        <v>6.6882523615538974</v>
      </c>
      <c r="L181" s="249">
        <f t="shared" si="122"/>
        <v>6.7261437590231434</v>
      </c>
      <c r="M181" s="249">
        <f t="shared" si="122"/>
        <v>6.7600550210396895</v>
      </c>
      <c r="N181" s="249">
        <f t="shared" si="122"/>
        <v>6.7400170649338955</v>
      </c>
      <c r="O181" s="249">
        <f t="shared" si="122"/>
        <v>6.706810162444298</v>
      </c>
      <c r="P181" s="249">
        <f t="shared" si="122"/>
        <v>6.6535511869374959</v>
      </c>
      <c r="Q181" s="249">
        <f t="shared" si="122"/>
        <v>6.5857954890584169</v>
      </c>
      <c r="R181" s="249">
        <f t="shared" si="122"/>
        <v>6.503916936334778</v>
      </c>
      <c r="S181" s="249">
        <f t="shared" si="122"/>
        <v>6.4199268423710079</v>
      </c>
      <c r="T181" s="249">
        <f t="shared" si="122"/>
        <v>6.3338768540310229</v>
      </c>
      <c r="U181" s="249">
        <f t="shared" si="122"/>
        <v>6.2458206167505947</v>
      </c>
      <c r="V181" s="249">
        <f t="shared" si="122"/>
        <v>6.155813738993233</v>
      </c>
      <c r="W181" s="249">
        <f t="shared" si="122"/>
        <v>6.063913754177217</v>
      </c>
      <c r="X181" s="249">
        <f t="shared" si="122"/>
        <v>5.9146009455892568</v>
      </c>
      <c r="Y181" s="249">
        <f t="shared" si="122"/>
        <v>5.7776947430521455</v>
      </c>
      <c r="Z181" s="249">
        <f t="shared" si="122"/>
        <v>5.633489658543394</v>
      </c>
      <c r="AA181" s="249">
        <f t="shared" si="122"/>
        <v>5.487547932203098</v>
      </c>
      <c r="AB181" s="249">
        <f t="shared" si="122"/>
        <v>5.3399727775324113</v>
      </c>
      <c r="AC181" s="249">
        <f t="shared" si="122"/>
        <v>5.1903605663883594</v>
      </c>
      <c r="AD181" s="249">
        <f t="shared" si="122"/>
        <v>5.0393780782172541</v>
      </c>
      <c r="AE181" s="249">
        <f t="shared" si="122"/>
        <v>4.8871300369623265</v>
      </c>
      <c r="AF181" s="249">
        <f t="shared" si="122"/>
        <v>4.7337227486503499</v>
      </c>
      <c r="AG181" s="249">
        <f t="shared" si="122"/>
        <v>4.5792640192350582</v>
      </c>
      <c r="AI181" s="296"/>
    </row>
    <row r="182" spans="1:36" s="68" customFormat="1" x14ac:dyDescent="0.2">
      <c r="A182" s="347" t="s">
        <v>1386</v>
      </c>
      <c r="B182" s="312" t="s">
        <v>704</v>
      </c>
      <c r="C182" s="313">
        <f t="shared" ref="C182:AG182" si="123">C148*C$162</f>
        <v>4.3154996366176022</v>
      </c>
      <c r="D182" s="313">
        <f t="shared" si="123"/>
        <v>4.3720933382968301</v>
      </c>
      <c r="E182" s="313">
        <f t="shared" si="123"/>
        <v>4.4166130021372307</v>
      </c>
      <c r="F182" s="313">
        <f t="shared" si="123"/>
        <v>4.4486597523173064</v>
      </c>
      <c r="G182" s="313">
        <f t="shared" si="123"/>
        <v>4.4679387162784492</v>
      </c>
      <c r="H182" s="313">
        <f t="shared" si="123"/>
        <v>4.4742634309953999</v>
      </c>
      <c r="I182" s="313">
        <f t="shared" si="123"/>
        <v>4.4653041650938299</v>
      </c>
      <c r="J182" s="313">
        <f t="shared" si="123"/>
        <v>4.4528062552937451</v>
      </c>
      <c r="K182" s="313">
        <f t="shared" si="123"/>
        <v>4.4367614675654572</v>
      </c>
      <c r="L182" s="313">
        <f t="shared" si="123"/>
        <v>4.4171690357763929</v>
      </c>
      <c r="M182" s="313">
        <f t="shared" si="123"/>
        <v>4.3940357636757987</v>
      </c>
      <c r="N182" s="313">
        <f t="shared" si="123"/>
        <v>4.33528735834944</v>
      </c>
      <c r="O182" s="313">
        <f t="shared" si="123"/>
        <v>4.2679701033736448</v>
      </c>
      <c r="P182" s="313">
        <f t="shared" si="123"/>
        <v>4.1880220669048196</v>
      </c>
      <c r="Q182" s="313">
        <f t="shared" si="123"/>
        <v>4.0993216819649332</v>
      </c>
      <c r="R182" s="313">
        <f t="shared" si="123"/>
        <v>4.0024104223598638</v>
      </c>
      <c r="S182" s="313">
        <f t="shared" si="123"/>
        <v>3.9049039556689635</v>
      </c>
      <c r="T182" s="313">
        <f t="shared" si="123"/>
        <v>3.8068897153761587</v>
      </c>
      <c r="U182" s="313">
        <f t="shared" si="123"/>
        <v>3.7084559911956654</v>
      </c>
      <c r="V182" s="313">
        <f t="shared" si="123"/>
        <v>3.609691826006503</v>
      </c>
      <c r="W182" s="313">
        <f t="shared" si="123"/>
        <v>3.5106869103131251</v>
      </c>
      <c r="X182" s="313">
        <f t="shared" si="123"/>
        <v>3.3797719689081465</v>
      </c>
      <c r="Y182" s="313">
        <f t="shared" si="123"/>
        <v>3.2576363976783371</v>
      </c>
      <c r="Z182" s="313">
        <f t="shared" si="123"/>
        <v>3.1330637673182502</v>
      </c>
      <c r="AA182" s="313">
        <f t="shared" si="123"/>
        <v>3.0093004789500846</v>
      </c>
      <c r="AB182" s="313">
        <f t="shared" si="123"/>
        <v>2.8864717716391399</v>
      </c>
      <c r="AC182" s="313">
        <f t="shared" si="123"/>
        <v>2.7644311712285807</v>
      </c>
      <c r="AD182" s="313">
        <f t="shared" si="123"/>
        <v>2.6436081721795408</v>
      </c>
      <c r="AE182" s="313">
        <f t="shared" si="123"/>
        <v>2.5241221070025177</v>
      </c>
      <c r="AF182" s="313">
        <f t="shared" si="123"/>
        <v>2.4060911208609488</v>
      </c>
      <c r="AG182" s="313">
        <f t="shared" si="123"/>
        <v>2.2896320096175291</v>
      </c>
      <c r="AI182" s="314"/>
      <c r="AJ182" s="315"/>
    </row>
    <row r="183" spans="1:36" s="181" customFormat="1" x14ac:dyDescent="0.2">
      <c r="B183" s="176"/>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J183" s="323"/>
    </row>
    <row r="184" spans="1:36" s="181" customFormat="1" x14ac:dyDescent="0.2">
      <c r="A184" s="181" t="s">
        <v>1507</v>
      </c>
      <c r="B184" s="350" t="s">
        <v>704</v>
      </c>
      <c r="C184" s="230">
        <f>C216</f>
        <v>4.8226258181960828</v>
      </c>
      <c r="D184" s="230">
        <f t="shared" ref="D184:AG184" si="124">D216</f>
        <v>5.3423153258457976</v>
      </c>
      <c r="E184" s="230">
        <f t="shared" si="124"/>
        <v>5.880991111691559</v>
      </c>
      <c r="F184" s="230">
        <f t="shared" si="124"/>
        <v>6.4359498279922605</v>
      </c>
      <c r="G184" s="230">
        <f t="shared" si="124"/>
        <v>7.0041700145154167</v>
      </c>
      <c r="H184" s="230">
        <f t="shared" si="124"/>
        <v>7.5823362785741857</v>
      </c>
      <c r="I184" s="230">
        <f t="shared" si="124"/>
        <v>8.1669385876453848</v>
      </c>
      <c r="J184" s="230">
        <f t="shared" si="124"/>
        <v>8.7735785580571175</v>
      </c>
      <c r="K184" s="230">
        <f t="shared" si="124"/>
        <v>9.4022195651994167</v>
      </c>
      <c r="L184" s="230">
        <f t="shared" si="124"/>
        <v>10.052776426784835</v>
      </c>
      <c r="M184" s="230">
        <f t="shared" si="124"/>
        <v>10.725113966264903</v>
      </c>
      <c r="N184" s="230">
        <f t="shared" si="124"/>
        <v>11.829721736590145</v>
      </c>
      <c r="O184" s="230">
        <f t="shared" si="124"/>
        <v>12.956320937231716</v>
      </c>
      <c r="P184" s="230">
        <f t="shared" si="124"/>
        <v>14.081815871349141</v>
      </c>
      <c r="Q184" s="230">
        <f t="shared" si="124"/>
        <v>15.211006661054896</v>
      </c>
      <c r="R184" s="230">
        <f t="shared" si="124"/>
        <v>16.337493831767105</v>
      </c>
      <c r="S184" s="230">
        <f t="shared" si="124"/>
        <v>17.486159364118933</v>
      </c>
      <c r="T184" s="230">
        <f t="shared" si="124"/>
        <v>18.656539415537008</v>
      </c>
      <c r="U184" s="230">
        <f t="shared" si="124"/>
        <v>19.848140320708453</v>
      </c>
      <c r="V184" s="230">
        <f t="shared" si="124"/>
        <v>21.060438448936367</v>
      </c>
      <c r="W184" s="230">
        <f t="shared" si="124"/>
        <v>22.29288008905484</v>
      </c>
      <c r="X184" s="230">
        <f t="shared" si="124"/>
        <v>24.132496948620126</v>
      </c>
      <c r="Y184" s="230">
        <f t="shared" si="124"/>
        <v>26.077785394866098</v>
      </c>
      <c r="Z184" s="230">
        <f t="shared" si="124"/>
        <v>28.018154032436328</v>
      </c>
      <c r="AA184" s="230">
        <f t="shared" si="124"/>
        <v>29.984613092558</v>
      </c>
      <c r="AB184" s="230">
        <f t="shared" si="124"/>
        <v>31.976045841194392</v>
      </c>
      <c r="AC184" s="230">
        <f t="shared" si="124"/>
        <v>33.989775543433908</v>
      </c>
      <c r="AD184" s="230">
        <f t="shared" si="124"/>
        <v>36.026283722665468</v>
      </c>
      <c r="AE184" s="230">
        <f t="shared" si="124"/>
        <v>38.084378438630978</v>
      </c>
      <c r="AF184" s="230">
        <f t="shared" si="124"/>
        <v>40.162826182020765</v>
      </c>
      <c r="AG184" s="230">
        <f t="shared" si="124"/>
        <v>42.260352059497436</v>
      </c>
      <c r="AI184" s="694" t="s">
        <v>1391</v>
      </c>
      <c r="AJ184" s="323"/>
    </row>
    <row r="185" spans="1:36" s="181" customFormat="1" x14ac:dyDescent="0.2">
      <c r="A185" s="181" t="s">
        <v>1508</v>
      </c>
      <c r="B185" s="349" t="s">
        <v>704</v>
      </c>
      <c r="C185" s="249">
        <f>C184/(1-C142)</f>
        <v>6.6063367372549084</v>
      </c>
      <c r="D185" s="249">
        <f t="shared" ref="D185:AG185" si="125">D184/(1-D142)</f>
        <v>7.2783587545583073</v>
      </c>
      <c r="E185" s="249">
        <f t="shared" si="125"/>
        <v>7.9688226445685082</v>
      </c>
      <c r="F185" s="249">
        <f t="shared" si="125"/>
        <v>8.6737868301782495</v>
      </c>
      <c r="G185" s="249">
        <f t="shared" si="125"/>
        <v>9.3889678478758931</v>
      </c>
      <c r="H185" s="249">
        <f t="shared" si="125"/>
        <v>10.109781704765581</v>
      </c>
      <c r="I185" s="249">
        <f t="shared" si="125"/>
        <v>10.831483537991227</v>
      </c>
      <c r="J185" s="249">
        <f t="shared" si="125"/>
        <v>11.574641897172977</v>
      </c>
      <c r="K185" s="249">
        <f t="shared" si="125"/>
        <v>12.338870820471675</v>
      </c>
      <c r="L185" s="249">
        <f t="shared" si="125"/>
        <v>13.123729016690385</v>
      </c>
      <c r="M185" s="249">
        <f t="shared" si="125"/>
        <v>13.928719436707667</v>
      </c>
      <c r="N185" s="249">
        <f t="shared" si="125"/>
        <v>15.283878212648766</v>
      </c>
      <c r="O185" s="249">
        <f t="shared" si="125"/>
        <v>16.653368813922512</v>
      </c>
      <c r="P185" s="249">
        <f t="shared" si="125"/>
        <v>18.007437175638287</v>
      </c>
      <c r="Q185" s="249">
        <f t="shared" si="125"/>
        <v>19.35242577742353</v>
      </c>
      <c r="R185" s="249">
        <f t="shared" si="125"/>
        <v>20.680371938945701</v>
      </c>
      <c r="S185" s="249">
        <f t="shared" si="125"/>
        <v>22.02287073566616</v>
      </c>
      <c r="T185" s="249">
        <f t="shared" si="125"/>
        <v>23.379122074607778</v>
      </c>
      <c r="U185" s="249">
        <f t="shared" si="125"/>
        <v>24.748304639287348</v>
      </c>
      <c r="V185" s="249">
        <f t="shared" si="125"/>
        <v>26.129576239375144</v>
      </c>
      <c r="W185" s="249">
        <f t="shared" si="125"/>
        <v>27.522074184018319</v>
      </c>
      <c r="X185" s="249">
        <f t="shared" si="125"/>
        <v>29.646802148181973</v>
      </c>
      <c r="Y185" s="249">
        <f t="shared" si="125"/>
        <v>31.879933245557574</v>
      </c>
      <c r="Z185" s="249">
        <f t="shared" si="125"/>
        <v>34.085345538243708</v>
      </c>
      <c r="AA185" s="249">
        <f t="shared" si="125"/>
        <v>36.300984373556901</v>
      </c>
      <c r="AB185" s="249">
        <f t="shared" si="125"/>
        <v>38.525356435173961</v>
      </c>
      <c r="AC185" s="249">
        <f t="shared" si="125"/>
        <v>40.755126550879979</v>
      </c>
      <c r="AD185" s="249">
        <f t="shared" si="125"/>
        <v>42.990792031820362</v>
      </c>
      <c r="AE185" s="249">
        <f t="shared" si="125"/>
        <v>45.230853252530849</v>
      </c>
      <c r="AF185" s="249">
        <f t="shared" si="125"/>
        <v>47.473789813263309</v>
      </c>
      <c r="AG185" s="249">
        <f t="shared" si="125"/>
        <v>49.71806124646757</v>
      </c>
      <c r="AI185" s="694"/>
      <c r="AJ185" s="323"/>
    </row>
    <row r="186" spans="1:36" s="181" customFormat="1" x14ac:dyDescent="0.2">
      <c r="A186" s="181" t="s">
        <v>1509</v>
      </c>
      <c r="B186" s="349" t="s">
        <v>704</v>
      </c>
      <c r="C186" s="249">
        <f>C174</f>
        <v>3.6361914801668704</v>
      </c>
      <c r="D186" s="249">
        <f t="shared" ref="D186:AG186" si="126">D174</f>
        <v>4.137983232051246</v>
      </c>
      <c r="E186" s="249">
        <f t="shared" si="126"/>
        <v>4.6577566127988108</v>
      </c>
      <c r="F186" s="249">
        <f t="shared" si="126"/>
        <v>5.1926546298119494</v>
      </c>
      <c r="G186" s="249">
        <f t="shared" si="126"/>
        <v>5.7395327198505548</v>
      </c>
      <c r="H186" s="249">
        <f t="shared" si="126"/>
        <v>6.294987789275174</v>
      </c>
      <c r="I186" s="249">
        <f t="shared" si="126"/>
        <v>6.8522056499618804</v>
      </c>
      <c r="J186" s="249">
        <f t="shared" si="126"/>
        <v>7.4258642359847933</v>
      </c>
      <c r="K186" s="249">
        <f t="shared" si="126"/>
        <v>8.0156528768176507</v>
      </c>
      <c r="L186" s="249">
        <f t="shared" si="126"/>
        <v>8.621218917637032</v>
      </c>
      <c r="M186" s="249">
        <f t="shared" si="126"/>
        <v>9.2421674218728125</v>
      </c>
      <c r="N186" s="249">
        <f t="shared" si="126"/>
        <v>9.8484211130368333</v>
      </c>
      <c r="O186" s="249">
        <f t="shared" si="126"/>
        <v>10.453003406574991</v>
      </c>
      <c r="P186" s="249">
        <f t="shared" si="126"/>
        <v>11.041129750582844</v>
      </c>
      <c r="Q186" s="249">
        <f t="shared" si="126"/>
        <v>11.617289161333266</v>
      </c>
      <c r="R186" s="249">
        <f t="shared" si="126"/>
        <v>12.178115053133673</v>
      </c>
      <c r="S186" s="249">
        <f t="shared" si="126"/>
        <v>12.74319394973816</v>
      </c>
      <c r="T186" s="249">
        <f t="shared" si="126"/>
        <v>13.312255176797517</v>
      </c>
      <c r="U186" s="249">
        <f t="shared" si="126"/>
        <v>13.885020607759676</v>
      </c>
      <c r="V186" s="249">
        <f t="shared" si="126"/>
        <v>14.461204768045031</v>
      </c>
      <c r="W186" s="249">
        <f t="shared" si="126"/>
        <v>15.040514947640997</v>
      </c>
      <c r="X186" s="249">
        <f t="shared" si="126"/>
        <v>15.58375067166989</v>
      </c>
      <c r="Y186" s="249">
        <f t="shared" si="126"/>
        <v>16.168267620256479</v>
      </c>
      <c r="Z186" s="249">
        <f t="shared" si="126"/>
        <v>16.738101674029952</v>
      </c>
      <c r="AA186" s="249">
        <f t="shared" si="126"/>
        <v>17.308594290878791</v>
      </c>
      <c r="AB186" s="249">
        <f t="shared" si="126"/>
        <v>17.879397922756052</v>
      </c>
      <c r="AC186" s="249">
        <f t="shared" si="126"/>
        <v>18.448633134620966</v>
      </c>
      <c r="AD186" s="249">
        <f t="shared" si="126"/>
        <v>19.017520015630428</v>
      </c>
      <c r="AE186" s="249">
        <f t="shared" si="126"/>
        <v>19.585706690904242</v>
      </c>
      <c r="AF186" s="249">
        <f t="shared" si="126"/>
        <v>20.152835970952292</v>
      </c>
      <c r="AG186" s="249">
        <f t="shared" si="126"/>
        <v>20.718545535847881</v>
      </c>
      <c r="AI186" s="694"/>
      <c r="AJ186" s="323"/>
    </row>
    <row r="187" spans="1:36" s="181" customFormat="1" x14ac:dyDescent="0.2">
      <c r="A187" s="181" t="s">
        <v>1510</v>
      </c>
      <c r="B187" s="349" t="s">
        <v>704</v>
      </c>
      <c r="C187" s="249">
        <f>C185-C186</f>
        <v>2.970145257088038</v>
      </c>
      <c r="D187" s="249">
        <f t="shared" ref="D187:AG187" si="127">D185-D186</f>
        <v>3.1403755225070613</v>
      </c>
      <c r="E187" s="249">
        <f t="shared" si="127"/>
        <v>3.3110660317696974</v>
      </c>
      <c r="F187" s="249">
        <f t="shared" si="127"/>
        <v>3.4811322003663001</v>
      </c>
      <c r="G187" s="249">
        <f t="shared" si="127"/>
        <v>3.6494351280253383</v>
      </c>
      <c r="H187" s="249">
        <f t="shared" si="127"/>
        <v>3.8147939154904069</v>
      </c>
      <c r="I187" s="249">
        <f t="shared" si="127"/>
        <v>3.9792778880293467</v>
      </c>
      <c r="J187" s="249">
        <f t="shared" si="127"/>
        <v>4.1487776611881841</v>
      </c>
      <c r="K187" s="249">
        <f t="shared" si="127"/>
        <v>4.3232179436540239</v>
      </c>
      <c r="L187" s="249">
        <f t="shared" si="127"/>
        <v>4.5025100990533531</v>
      </c>
      <c r="M187" s="249">
        <f t="shared" si="127"/>
        <v>4.6865520148348541</v>
      </c>
      <c r="N187" s="249">
        <f t="shared" si="127"/>
        <v>5.4354570996119325</v>
      </c>
      <c r="O187" s="249">
        <f t="shared" si="127"/>
        <v>6.2003654073475207</v>
      </c>
      <c r="P187" s="249">
        <f t="shared" si="127"/>
        <v>6.9663074250554438</v>
      </c>
      <c r="Q187" s="249">
        <f t="shared" si="127"/>
        <v>7.7351366160902639</v>
      </c>
      <c r="R187" s="249">
        <f t="shared" si="127"/>
        <v>8.5022568858120273</v>
      </c>
      <c r="S187" s="249">
        <f t="shared" si="127"/>
        <v>9.2796767859280003</v>
      </c>
      <c r="T187" s="249">
        <f t="shared" si="127"/>
        <v>10.066866897810261</v>
      </c>
      <c r="U187" s="249">
        <f t="shared" si="127"/>
        <v>10.863284031527671</v>
      </c>
      <c r="V187" s="249">
        <f t="shared" si="127"/>
        <v>11.668371471330113</v>
      </c>
      <c r="W187" s="249">
        <f t="shared" si="127"/>
        <v>12.481559236377322</v>
      </c>
      <c r="X187" s="249">
        <f t="shared" si="127"/>
        <v>14.063051476512083</v>
      </c>
      <c r="Y187" s="249">
        <f t="shared" si="127"/>
        <v>15.711665625301094</v>
      </c>
      <c r="Z187" s="249">
        <f t="shared" si="127"/>
        <v>17.347243864213755</v>
      </c>
      <c r="AA187" s="249">
        <f t="shared" si="127"/>
        <v>18.99239008267811</v>
      </c>
      <c r="AB187" s="249">
        <f t="shared" si="127"/>
        <v>20.645958512417909</v>
      </c>
      <c r="AC187" s="249">
        <f t="shared" si="127"/>
        <v>22.306493416259013</v>
      </c>
      <c r="AD187" s="249">
        <f t="shared" si="127"/>
        <v>23.973272016189934</v>
      </c>
      <c r="AE187" s="249">
        <f t="shared" si="127"/>
        <v>25.645146561626607</v>
      </c>
      <c r="AF187" s="249">
        <f t="shared" si="127"/>
        <v>27.320953842311017</v>
      </c>
      <c r="AG187" s="249">
        <f t="shared" si="127"/>
        <v>28.99951571061969</v>
      </c>
      <c r="AI187" s="694"/>
      <c r="AJ187" s="323"/>
    </row>
    <row r="188" spans="1:36" s="181" customFormat="1" x14ac:dyDescent="0.2">
      <c r="A188" s="181" t="s">
        <v>1511</v>
      </c>
      <c r="B188" s="349" t="s">
        <v>704</v>
      </c>
      <c r="C188" s="249">
        <f>(C187)/(1-C139)</f>
        <v>3.7126815713600472</v>
      </c>
      <c r="D188" s="249">
        <f t="shared" ref="D188:AG188" si="128">(D185-D174)/(1-D139)</f>
        <v>3.9091811483490391</v>
      </c>
      <c r="E188" s="249">
        <f t="shared" si="128"/>
        <v>4.1046273121111954</v>
      </c>
      <c r="F188" s="249">
        <f t="shared" si="128"/>
        <v>4.297694074526297</v>
      </c>
      <c r="G188" s="249">
        <f t="shared" si="128"/>
        <v>4.487010403309843</v>
      </c>
      <c r="H188" s="249">
        <f t="shared" si="128"/>
        <v>4.6711762230494775</v>
      </c>
      <c r="I188" s="249">
        <f t="shared" si="128"/>
        <v>4.8527779122309109</v>
      </c>
      <c r="J188" s="249">
        <f t="shared" si="128"/>
        <v>5.0390012079208724</v>
      </c>
      <c r="K188" s="249">
        <f t="shared" si="128"/>
        <v>5.2296991253879321</v>
      </c>
      <c r="L188" s="249">
        <f t="shared" si="128"/>
        <v>5.4247109627148831</v>
      </c>
      <c r="M188" s="249">
        <f t="shared" si="128"/>
        <v>5.6238624178018251</v>
      </c>
      <c r="N188" s="249">
        <f t="shared" si="128"/>
        <v>6.4965622704525101</v>
      </c>
      <c r="O188" s="249">
        <f t="shared" si="128"/>
        <v>7.3813873896994311</v>
      </c>
      <c r="P188" s="249">
        <f t="shared" si="128"/>
        <v>8.2604435870222659</v>
      </c>
      <c r="Q188" s="249">
        <f t="shared" si="128"/>
        <v>9.1359881292404701</v>
      </c>
      <c r="R188" s="249">
        <f t="shared" si="128"/>
        <v>10.002655159778858</v>
      </c>
      <c r="S188" s="249">
        <f t="shared" si="128"/>
        <v>10.874621233509377</v>
      </c>
      <c r="T188" s="249">
        <f t="shared" si="128"/>
        <v>11.75120649549836</v>
      </c>
      <c r="U188" s="249">
        <f t="shared" si="128"/>
        <v>12.631725618055434</v>
      </c>
      <c r="V188" s="249">
        <f t="shared" si="128"/>
        <v>13.515488190729863</v>
      </c>
      <c r="W188" s="249">
        <f t="shared" si="128"/>
        <v>14.401799118896912</v>
      </c>
      <c r="X188" s="249">
        <f t="shared" si="128"/>
        <v>16.16442698449665</v>
      </c>
      <c r="Y188" s="249">
        <f t="shared" si="128"/>
        <v>17.990456822863852</v>
      </c>
      <c r="Z188" s="249">
        <f t="shared" si="128"/>
        <v>19.787730643589839</v>
      </c>
      <c r="AA188" s="249">
        <f t="shared" si="128"/>
        <v>21.582261457588764</v>
      </c>
      <c r="AB188" s="249">
        <f t="shared" si="128"/>
        <v>23.372783221605182</v>
      </c>
      <c r="AC188" s="249">
        <f t="shared" si="128"/>
        <v>25.157699341645507</v>
      </c>
      <c r="AD188" s="249">
        <f t="shared" si="128"/>
        <v>26.936260692348249</v>
      </c>
      <c r="AE188" s="249">
        <f t="shared" si="128"/>
        <v>28.707253613761136</v>
      </c>
      <c r="AF188" s="249">
        <f t="shared" si="128"/>
        <v>30.469465251647978</v>
      </c>
      <c r="AG188" s="249">
        <f t="shared" si="128"/>
        <v>32.221684122910766</v>
      </c>
      <c r="AI188" s="694"/>
      <c r="AJ188" s="323"/>
    </row>
    <row r="189" spans="1:36" s="181" customFormat="1" x14ac:dyDescent="0.2">
      <c r="A189" s="181" t="s">
        <v>1512</v>
      </c>
      <c r="B189" s="349" t="s">
        <v>704</v>
      </c>
      <c r="C189" s="249">
        <f>IF(C168&gt;C188,C188,C168)</f>
        <v>3.7126815713600472</v>
      </c>
      <c r="D189" s="249">
        <f t="shared" ref="D189:AG189" si="129">IF(D168&gt;D188,D188,D168)</f>
        <v>3.9091811483490391</v>
      </c>
      <c r="E189" s="249">
        <f t="shared" si="129"/>
        <v>4.1046273121111954</v>
      </c>
      <c r="F189" s="249">
        <f t="shared" si="129"/>
        <v>4.297694074526297</v>
      </c>
      <c r="G189" s="249">
        <f t="shared" si="129"/>
        <v>4.487010403309843</v>
      </c>
      <c r="H189" s="249">
        <f t="shared" si="129"/>
        <v>4.6711762230494775</v>
      </c>
      <c r="I189" s="249">
        <f t="shared" si="129"/>
        <v>4.8527779122309109</v>
      </c>
      <c r="J189" s="249">
        <f t="shared" si="129"/>
        <v>5.0390012079208724</v>
      </c>
      <c r="K189" s="249">
        <f t="shared" si="129"/>
        <v>5.2296991253879321</v>
      </c>
      <c r="L189" s="249">
        <f t="shared" si="129"/>
        <v>5.4247109627148831</v>
      </c>
      <c r="M189" s="249">
        <f t="shared" si="129"/>
        <v>5.6238624178018251</v>
      </c>
      <c r="N189" s="249">
        <f t="shared" si="129"/>
        <v>6.4965622704525101</v>
      </c>
      <c r="O189" s="249">
        <f t="shared" si="129"/>
        <v>7.3813873896994311</v>
      </c>
      <c r="P189" s="249">
        <f t="shared" si="129"/>
        <v>8.2604435870222659</v>
      </c>
      <c r="Q189" s="249">
        <f t="shared" si="129"/>
        <v>9.1359881292404701</v>
      </c>
      <c r="R189" s="249">
        <f t="shared" si="129"/>
        <v>10.002655159778858</v>
      </c>
      <c r="S189" s="249">
        <f t="shared" si="129"/>
        <v>10.874621233509377</v>
      </c>
      <c r="T189" s="249">
        <f t="shared" si="129"/>
        <v>11.75120649549836</v>
      </c>
      <c r="U189" s="249">
        <f t="shared" si="129"/>
        <v>12.631725618055434</v>
      </c>
      <c r="V189" s="249">
        <f t="shared" si="129"/>
        <v>13.515488190729863</v>
      </c>
      <c r="W189" s="249">
        <f t="shared" si="129"/>
        <v>14.401799118896912</v>
      </c>
      <c r="X189" s="249">
        <f t="shared" si="129"/>
        <v>16.16442698449665</v>
      </c>
      <c r="Y189" s="249">
        <f t="shared" si="129"/>
        <v>17.990456822863852</v>
      </c>
      <c r="Z189" s="249">
        <f t="shared" si="129"/>
        <v>19.787730643589839</v>
      </c>
      <c r="AA189" s="249">
        <f t="shared" si="129"/>
        <v>21.582261457588764</v>
      </c>
      <c r="AB189" s="249">
        <f t="shared" si="129"/>
        <v>23.372783221605182</v>
      </c>
      <c r="AC189" s="249">
        <f t="shared" si="129"/>
        <v>25.157699341645507</v>
      </c>
      <c r="AD189" s="249">
        <f t="shared" si="129"/>
        <v>26.936260692348249</v>
      </c>
      <c r="AE189" s="249">
        <f t="shared" si="129"/>
        <v>28.707253613761136</v>
      </c>
      <c r="AF189" s="249">
        <f t="shared" si="129"/>
        <v>30.460217938538808</v>
      </c>
      <c r="AG189" s="249">
        <f t="shared" si="129"/>
        <v>30.963980141486946</v>
      </c>
      <c r="AI189" s="694"/>
      <c r="AJ189" s="323"/>
    </row>
    <row r="190" spans="1:36" s="181" customFormat="1" x14ac:dyDescent="0.2">
      <c r="A190" s="181" t="s">
        <v>1513</v>
      </c>
      <c r="B190" s="349" t="s">
        <v>704</v>
      </c>
      <c r="C190" s="249">
        <f>IF(C188-C189&lt;0,0,C188-C189)</f>
        <v>0</v>
      </c>
      <c r="D190" s="249">
        <f t="shared" ref="D190:AG190" si="130">IF(D188-D189&lt;0,0,D188-D189)</f>
        <v>0</v>
      </c>
      <c r="E190" s="249">
        <f t="shared" si="130"/>
        <v>0</v>
      </c>
      <c r="F190" s="249">
        <f t="shared" si="130"/>
        <v>0</v>
      </c>
      <c r="G190" s="249">
        <f t="shared" si="130"/>
        <v>0</v>
      </c>
      <c r="H190" s="249">
        <f t="shared" si="130"/>
        <v>0</v>
      </c>
      <c r="I190" s="249">
        <f t="shared" si="130"/>
        <v>0</v>
      </c>
      <c r="J190" s="249">
        <f t="shared" si="130"/>
        <v>0</v>
      </c>
      <c r="K190" s="249">
        <f t="shared" si="130"/>
        <v>0</v>
      </c>
      <c r="L190" s="249">
        <f t="shared" si="130"/>
        <v>0</v>
      </c>
      <c r="M190" s="249">
        <f t="shared" si="130"/>
        <v>0</v>
      </c>
      <c r="N190" s="249">
        <f t="shared" si="130"/>
        <v>0</v>
      </c>
      <c r="O190" s="249">
        <f t="shared" si="130"/>
        <v>0</v>
      </c>
      <c r="P190" s="249">
        <f t="shared" si="130"/>
        <v>0</v>
      </c>
      <c r="Q190" s="249">
        <f t="shared" si="130"/>
        <v>0</v>
      </c>
      <c r="R190" s="249">
        <f t="shared" si="130"/>
        <v>0</v>
      </c>
      <c r="S190" s="249">
        <f t="shared" si="130"/>
        <v>0</v>
      </c>
      <c r="T190" s="249">
        <f t="shared" si="130"/>
        <v>0</v>
      </c>
      <c r="U190" s="249">
        <f t="shared" si="130"/>
        <v>0</v>
      </c>
      <c r="V190" s="249">
        <f t="shared" si="130"/>
        <v>0</v>
      </c>
      <c r="W190" s="249">
        <f t="shared" si="130"/>
        <v>0</v>
      </c>
      <c r="X190" s="249">
        <f t="shared" si="130"/>
        <v>0</v>
      </c>
      <c r="Y190" s="249">
        <f t="shared" si="130"/>
        <v>0</v>
      </c>
      <c r="Z190" s="249">
        <f t="shared" si="130"/>
        <v>0</v>
      </c>
      <c r="AA190" s="249">
        <f t="shared" si="130"/>
        <v>0</v>
      </c>
      <c r="AB190" s="249">
        <f t="shared" si="130"/>
        <v>0</v>
      </c>
      <c r="AC190" s="249">
        <f t="shared" si="130"/>
        <v>0</v>
      </c>
      <c r="AD190" s="249">
        <f t="shared" si="130"/>
        <v>0</v>
      </c>
      <c r="AE190" s="249">
        <f t="shared" si="130"/>
        <v>0</v>
      </c>
      <c r="AF190" s="249">
        <f t="shared" si="130"/>
        <v>9.2473131091708183E-3</v>
      </c>
      <c r="AG190" s="249">
        <f t="shared" si="130"/>
        <v>1.2577039814238198</v>
      </c>
      <c r="AI190" s="694"/>
      <c r="AJ190" s="323"/>
    </row>
    <row r="191" spans="1:36" s="181" customFormat="1" x14ac:dyDescent="0.2">
      <c r="A191" s="181" t="s">
        <v>1514</v>
      </c>
      <c r="B191" s="349" t="s">
        <v>704</v>
      </c>
      <c r="C191" s="249">
        <f>C185*C142+C139*C188+C175+IF(C168&gt;C188,C168-C188,0)</f>
        <v>9.9135186014275476</v>
      </c>
      <c r="D191" s="249">
        <f t="shared" ref="D191:AG191" si="131">D185*D142+D139*D188+D175+IF(D168&gt;D188,D168-D188,0)</f>
        <v>10.736021680796556</v>
      </c>
      <c r="E191" s="249">
        <f t="shared" si="131"/>
        <v>11.56565622426232</v>
      </c>
      <c r="F191" s="249">
        <f t="shared" si="131"/>
        <v>12.397029067234794</v>
      </c>
      <c r="G191" s="249">
        <f t="shared" si="131"/>
        <v>13.224514767544818</v>
      </c>
      <c r="H191" s="249">
        <f t="shared" si="131"/>
        <v>14.042318476927626</v>
      </c>
      <c r="I191" s="249">
        <f t="shared" si="131"/>
        <v>14.833777192799893</v>
      </c>
      <c r="J191" s="249">
        <f t="shared" si="131"/>
        <v>15.634999119605897</v>
      </c>
      <c r="K191" s="249">
        <f t="shared" si="131"/>
        <v>16.444958243013687</v>
      </c>
      <c r="L191" s="249">
        <f t="shared" si="131"/>
        <v>17.262584847045822</v>
      </c>
      <c r="M191" s="249">
        <f t="shared" si="131"/>
        <v>18.086767391601924</v>
      </c>
      <c r="N191" s="249">
        <f t="shared" si="131"/>
        <v>18.41465482106279</v>
      </c>
      <c r="O191" s="249">
        <f t="shared" si="131"/>
        <v>18.699776784412631</v>
      </c>
      <c r="P191" s="249">
        <f t="shared" si="131"/>
        <v>18.922676296812419</v>
      </c>
      <c r="Q191" s="249">
        <f t="shared" si="131"/>
        <v>19.09478447725586</v>
      </c>
      <c r="R191" s="249">
        <f t="shared" si="131"/>
        <v>19.214745274961814</v>
      </c>
      <c r="S191" s="249">
        <f t="shared" si="131"/>
        <v>19.316331131068846</v>
      </c>
      <c r="T191" s="249">
        <f t="shared" si="131"/>
        <v>19.399312248048368</v>
      </c>
      <c r="U191" s="249">
        <f t="shared" si="131"/>
        <v>19.463476185555876</v>
      </c>
      <c r="V191" s="249">
        <f t="shared" si="131"/>
        <v>19.508628418989545</v>
      </c>
      <c r="W191" s="249">
        <f t="shared" si="131"/>
        <v>19.534592888079118</v>
      </c>
      <c r="X191" s="249">
        <f t="shared" si="131"/>
        <v>18.846311888960223</v>
      </c>
      <c r="Y191" s="249">
        <f t="shared" si="131"/>
        <v>18.159578256936271</v>
      </c>
      <c r="Z191" s="249">
        <f t="shared" si="131"/>
        <v>17.430571752622505</v>
      </c>
      <c r="AA191" s="249">
        <f t="shared" si="131"/>
        <v>16.670732764170609</v>
      </c>
      <c r="AB191" s="249">
        <f t="shared" si="131"/>
        <v>15.880368598805868</v>
      </c>
      <c r="AC191" s="249">
        <f t="shared" si="131"/>
        <v>15.057282459201652</v>
      </c>
      <c r="AD191" s="249">
        <f t="shared" si="131"/>
        <v>14.204420055090628</v>
      </c>
      <c r="AE191" s="249">
        <f t="shared" si="131"/>
        <v>13.322171924473958</v>
      </c>
      <c r="AF191" s="249">
        <f t="shared" si="131"/>
        <v>12.420211824878452</v>
      </c>
      <c r="AG191" s="249">
        <f t="shared" si="131"/>
        <v>12.728964520389024</v>
      </c>
      <c r="AI191" s="694"/>
      <c r="AJ191" s="323"/>
    </row>
    <row r="192" spans="1:36" s="181" customFormat="1" x14ac:dyDescent="0.2">
      <c r="A192" s="181" t="s">
        <v>1515</v>
      </c>
      <c r="B192" s="349" t="s">
        <v>704</v>
      </c>
      <c r="C192" s="249">
        <f>C171-C190</f>
        <v>61.815255162836792</v>
      </c>
      <c r="D192" s="249">
        <f t="shared" ref="D192:AF192" si="132">D171-D190</f>
        <v>63.228822618692952</v>
      </c>
      <c r="E192" s="249">
        <f t="shared" si="132"/>
        <v>64.498402150302439</v>
      </c>
      <c r="F192" s="249">
        <f t="shared" si="132"/>
        <v>65.614160961854552</v>
      </c>
      <c r="G192" s="249">
        <f t="shared" si="132"/>
        <v>66.567353929259752</v>
      </c>
      <c r="H192" s="249">
        <f t="shared" si="132"/>
        <v>67.350437672415808</v>
      </c>
      <c r="I192" s="249">
        <f t="shared" si="132"/>
        <v>67.925579999303622</v>
      </c>
      <c r="J192" s="249">
        <f t="shared" si="132"/>
        <v>68.465031810619678</v>
      </c>
      <c r="K192" s="249">
        <f t="shared" si="132"/>
        <v>68.967736750784383</v>
      </c>
      <c r="L192" s="249">
        <f t="shared" si="132"/>
        <v>69.432690770126555</v>
      </c>
      <c r="M192" s="249">
        <f t="shared" si="132"/>
        <v>69.858945210170262</v>
      </c>
      <c r="N192" s="249">
        <f t="shared" si="132"/>
        <v>70.034832413295305</v>
      </c>
      <c r="O192" s="249">
        <f t="shared" si="132"/>
        <v>70.086197456231687</v>
      </c>
      <c r="P192" s="249">
        <f t="shared" si="132"/>
        <v>69.936705742608567</v>
      </c>
      <c r="Q192" s="249">
        <f t="shared" si="132"/>
        <v>69.642751822795717</v>
      </c>
      <c r="R192" s="249">
        <f t="shared" si="132"/>
        <v>69.205739844958529</v>
      </c>
      <c r="S192" s="249">
        <f t="shared" si="132"/>
        <v>68.751603737554106</v>
      </c>
      <c r="T192" s="249">
        <f t="shared" si="132"/>
        <v>68.280558407486666</v>
      </c>
      <c r="U192" s="249">
        <f t="shared" si="132"/>
        <v>67.792831254917928</v>
      </c>
      <c r="V192" s="249">
        <f t="shared" si="132"/>
        <v>67.288662053673832</v>
      </c>
      <c r="W192" s="249">
        <f t="shared" si="132"/>
        <v>66.768302818107827</v>
      </c>
      <c r="X192" s="249">
        <f t="shared" si="132"/>
        <v>66.067098878253958</v>
      </c>
      <c r="Y192" s="249">
        <f t="shared" si="132"/>
        <v>65.521875261958982</v>
      </c>
      <c r="Z192" s="249">
        <f t="shared" si="132"/>
        <v>64.895408132997332</v>
      </c>
      <c r="AA192" s="249">
        <f t="shared" si="132"/>
        <v>64.254524006649447</v>
      </c>
      <c r="AB192" s="249">
        <f t="shared" si="132"/>
        <v>63.599572610946488</v>
      </c>
      <c r="AC192" s="249">
        <f t="shared" si="132"/>
        <v>62.925709262604514</v>
      </c>
      <c r="AD192" s="249">
        <f t="shared" si="132"/>
        <v>62.239105292149972</v>
      </c>
      <c r="AE192" s="249">
        <f t="shared" si="132"/>
        <v>61.540126182803874</v>
      </c>
      <c r="AF192" s="249">
        <f t="shared" si="132"/>
        <v>60.819899199517309</v>
      </c>
      <c r="AG192" s="249">
        <f>AG171-AG190</f>
        <v>58.848845704992016</v>
      </c>
      <c r="AI192" s="694"/>
      <c r="AJ192" s="323"/>
    </row>
    <row r="193" spans="1:37" s="181" customFormat="1" x14ac:dyDescent="0.2">
      <c r="B193" s="350"/>
      <c r="C193" s="327"/>
      <c r="D193" s="327"/>
      <c r="E193" s="327"/>
      <c r="F193" s="327"/>
      <c r="G193" s="327"/>
      <c r="H193" s="327"/>
      <c r="I193" s="327"/>
      <c r="J193" s="327"/>
      <c r="K193" s="327"/>
      <c r="L193" s="327"/>
      <c r="M193" s="327"/>
      <c r="N193" s="327"/>
      <c r="O193" s="327"/>
      <c r="P193" s="327"/>
      <c r="Q193" s="327"/>
      <c r="R193" s="327"/>
      <c r="S193" s="327"/>
      <c r="T193" s="327"/>
      <c r="U193" s="327"/>
      <c r="V193" s="327"/>
      <c r="W193" s="327"/>
      <c r="X193" s="327"/>
      <c r="Y193" s="327"/>
      <c r="Z193" s="327"/>
      <c r="AA193" s="327"/>
      <c r="AB193" s="327"/>
      <c r="AC193" s="327"/>
      <c r="AD193" s="327"/>
      <c r="AE193" s="327"/>
      <c r="AF193" s="327"/>
      <c r="AG193" s="327"/>
      <c r="AJ193" s="323"/>
    </row>
    <row r="194" spans="1:37" s="181" customFormat="1" x14ac:dyDescent="0.2">
      <c r="A194" s="181" t="s">
        <v>1400</v>
      </c>
      <c r="B194" s="350" t="s">
        <v>462</v>
      </c>
      <c r="C194" s="296">
        <v>0.8</v>
      </c>
      <c r="D194" s="317">
        <f>C194</f>
        <v>0.8</v>
      </c>
      <c r="E194" s="317">
        <f t="shared" ref="E194:AG194" si="133">D194</f>
        <v>0.8</v>
      </c>
      <c r="F194" s="317">
        <f t="shared" si="133"/>
        <v>0.8</v>
      </c>
      <c r="G194" s="317">
        <f t="shared" si="133"/>
        <v>0.8</v>
      </c>
      <c r="H194" s="317">
        <f t="shared" si="133"/>
        <v>0.8</v>
      </c>
      <c r="I194" s="317">
        <f t="shared" si="133"/>
        <v>0.8</v>
      </c>
      <c r="J194" s="317">
        <f t="shared" si="133"/>
        <v>0.8</v>
      </c>
      <c r="K194" s="317">
        <f t="shared" si="133"/>
        <v>0.8</v>
      </c>
      <c r="L194" s="317">
        <f t="shared" si="133"/>
        <v>0.8</v>
      </c>
      <c r="M194" s="317">
        <f t="shared" si="133"/>
        <v>0.8</v>
      </c>
      <c r="N194" s="317">
        <f t="shared" si="133"/>
        <v>0.8</v>
      </c>
      <c r="O194" s="317">
        <f t="shared" si="133"/>
        <v>0.8</v>
      </c>
      <c r="P194" s="317">
        <f t="shared" si="133"/>
        <v>0.8</v>
      </c>
      <c r="Q194" s="317">
        <f t="shared" si="133"/>
        <v>0.8</v>
      </c>
      <c r="R194" s="317">
        <f t="shared" si="133"/>
        <v>0.8</v>
      </c>
      <c r="S194" s="317">
        <f t="shared" si="133"/>
        <v>0.8</v>
      </c>
      <c r="T194" s="317">
        <f t="shared" si="133"/>
        <v>0.8</v>
      </c>
      <c r="U194" s="317">
        <f t="shared" si="133"/>
        <v>0.8</v>
      </c>
      <c r="V194" s="317">
        <f t="shared" si="133"/>
        <v>0.8</v>
      </c>
      <c r="W194" s="317">
        <f t="shared" si="133"/>
        <v>0.8</v>
      </c>
      <c r="X194" s="317">
        <f t="shared" si="133"/>
        <v>0.8</v>
      </c>
      <c r="Y194" s="317">
        <f t="shared" si="133"/>
        <v>0.8</v>
      </c>
      <c r="Z194" s="317">
        <f t="shared" si="133"/>
        <v>0.8</v>
      </c>
      <c r="AA194" s="317">
        <f t="shared" si="133"/>
        <v>0.8</v>
      </c>
      <c r="AB194" s="317">
        <f t="shared" si="133"/>
        <v>0.8</v>
      </c>
      <c r="AC194" s="317">
        <f t="shared" si="133"/>
        <v>0.8</v>
      </c>
      <c r="AD194" s="317">
        <f t="shared" si="133"/>
        <v>0.8</v>
      </c>
      <c r="AE194" s="317">
        <f t="shared" si="133"/>
        <v>0.8</v>
      </c>
      <c r="AF194" s="317">
        <f t="shared" si="133"/>
        <v>0.8</v>
      </c>
      <c r="AG194" s="317">
        <f t="shared" si="133"/>
        <v>0.8</v>
      </c>
      <c r="AJ194" s="323" t="s">
        <v>1401</v>
      </c>
    </row>
    <row r="195" spans="1:37" s="181" customFormat="1" x14ac:dyDescent="0.2">
      <c r="B195" s="350"/>
      <c r="C195" s="327"/>
      <c r="D195" s="327"/>
      <c r="E195" s="327"/>
      <c r="F195" s="327"/>
      <c r="G195" s="327"/>
      <c r="H195" s="327"/>
      <c r="I195" s="327"/>
      <c r="J195" s="327"/>
      <c r="K195" s="327"/>
      <c r="L195" s="327"/>
      <c r="M195" s="327"/>
      <c r="N195" s="327"/>
      <c r="O195" s="327"/>
      <c r="P195" s="327"/>
      <c r="Q195" s="327"/>
      <c r="R195" s="327"/>
      <c r="S195" s="327"/>
      <c r="T195" s="327"/>
      <c r="U195" s="327"/>
      <c r="V195" s="327"/>
      <c r="W195" s="327"/>
      <c r="X195" s="327"/>
      <c r="Y195" s="327"/>
      <c r="Z195" s="327"/>
      <c r="AA195" s="327"/>
      <c r="AB195" s="327"/>
      <c r="AC195" s="327"/>
      <c r="AD195" s="327"/>
      <c r="AE195" s="327"/>
      <c r="AF195" s="327"/>
      <c r="AG195" s="327"/>
      <c r="AJ195" s="323"/>
    </row>
    <row r="196" spans="1:37" s="181" customFormat="1" x14ac:dyDescent="0.2">
      <c r="A196" s="181" t="s">
        <v>1402</v>
      </c>
      <c r="B196" s="350" t="s">
        <v>704</v>
      </c>
      <c r="C196" s="327">
        <f>C130*C191*C194</f>
        <v>1.7447792738512484</v>
      </c>
      <c r="D196" s="327">
        <f t="shared" ref="D196:AG196" si="134">D130*D191*D194</f>
        <v>1.9467985981177756</v>
      </c>
      <c r="E196" s="327">
        <f t="shared" si="134"/>
        <v>2.158922495195633</v>
      </c>
      <c r="F196" s="327">
        <f t="shared" si="134"/>
        <v>2.3802295809090803</v>
      </c>
      <c r="G196" s="327">
        <f t="shared" si="134"/>
        <v>2.6096375807955106</v>
      </c>
      <c r="H196" s="327">
        <f t="shared" si="134"/>
        <v>2.8459098779906653</v>
      </c>
      <c r="I196" s="327">
        <f t="shared" si="134"/>
        <v>3.0854256561023772</v>
      </c>
      <c r="J196" s="327">
        <f t="shared" si="134"/>
        <v>3.3354664788492574</v>
      </c>
      <c r="K196" s="327">
        <f t="shared" si="134"/>
        <v>3.5959642024723255</v>
      </c>
      <c r="L196" s="327">
        <f t="shared" si="134"/>
        <v>3.8668190057382632</v>
      </c>
      <c r="M196" s="327">
        <f t="shared" si="134"/>
        <v>4.1478986551407067</v>
      </c>
      <c r="N196" s="327">
        <f t="shared" si="134"/>
        <v>4.3213056646760668</v>
      </c>
      <c r="O196" s="327">
        <f t="shared" si="134"/>
        <v>4.48794642825903</v>
      </c>
      <c r="P196" s="327">
        <f t="shared" si="134"/>
        <v>4.6423632514846451</v>
      </c>
      <c r="Q196" s="327">
        <f t="shared" si="134"/>
        <v>4.7864259756321337</v>
      </c>
      <c r="R196" s="327">
        <f t="shared" si="134"/>
        <v>4.9189747903902221</v>
      </c>
      <c r="S196" s="327">
        <f t="shared" si="134"/>
        <v>5.0480012022526566</v>
      </c>
      <c r="T196" s="327">
        <f t="shared" si="134"/>
        <v>5.1731499328128958</v>
      </c>
      <c r="U196" s="327">
        <f t="shared" si="134"/>
        <v>5.2940655224711959</v>
      </c>
      <c r="V196" s="327">
        <f t="shared" si="134"/>
        <v>5.4103929481997639</v>
      </c>
      <c r="W196" s="327">
        <f t="shared" si="134"/>
        <v>5.5217782563636941</v>
      </c>
      <c r="X196" s="327">
        <f t="shared" si="134"/>
        <v>5.4277378240205412</v>
      </c>
      <c r="Y196" s="327">
        <f t="shared" si="134"/>
        <v>5.3268096220346361</v>
      </c>
      <c r="Z196" s="327">
        <f t="shared" si="134"/>
        <v>5.2059307634499179</v>
      </c>
      <c r="AA196" s="327">
        <f t="shared" si="134"/>
        <v>5.0679027603078621</v>
      </c>
      <c r="AB196" s="327">
        <f t="shared" si="134"/>
        <v>4.9123273532306122</v>
      </c>
      <c r="AC196" s="327">
        <f t="shared" si="134"/>
        <v>4.7380248804954501</v>
      </c>
      <c r="AD196" s="327">
        <f t="shared" si="134"/>
        <v>4.5454144176289972</v>
      </c>
      <c r="AE196" s="327">
        <f t="shared" si="134"/>
        <v>4.3341465994288582</v>
      </c>
      <c r="AF196" s="327">
        <f t="shared" si="134"/>
        <v>4.1069500434264716</v>
      </c>
      <c r="AG196" s="327">
        <f t="shared" si="134"/>
        <v>4.2769320788507121</v>
      </c>
      <c r="AJ196" s="323"/>
    </row>
    <row r="197" spans="1:37" s="181" customFormat="1" x14ac:dyDescent="0.2">
      <c r="A197" s="181" t="s">
        <v>1403</v>
      </c>
      <c r="B197" s="350" t="s">
        <v>704</v>
      </c>
      <c r="C197" s="327">
        <f>C191*C194-C196</f>
        <v>6.1860356072907896</v>
      </c>
      <c r="D197" s="327">
        <f t="shared" ref="D197:AG197" si="135">D191*D194-D196</f>
        <v>6.6420187465194704</v>
      </c>
      <c r="E197" s="327">
        <f t="shared" si="135"/>
        <v>7.0936024842142231</v>
      </c>
      <c r="F197" s="327">
        <f t="shared" si="135"/>
        <v>7.5373936728787552</v>
      </c>
      <c r="G197" s="327">
        <f t="shared" si="135"/>
        <v>7.9699742332403449</v>
      </c>
      <c r="H197" s="327">
        <f t="shared" si="135"/>
        <v>8.3879449035514355</v>
      </c>
      <c r="I197" s="327">
        <f t="shared" si="135"/>
        <v>8.7815960981375376</v>
      </c>
      <c r="J197" s="327">
        <f t="shared" si="135"/>
        <v>9.1725328168354618</v>
      </c>
      <c r="K197" s="327">
        <f t="shared" si="135"/>
        <v>9.5600023919386246</v>
      </c>
      <c r="L197" s="327">
        <f t="shared" si="135"/>
        <v>9.9432488718983958</v>
      </c>
      <c r="M197" s="327">
        <f t="shared" si="135"/>
        <v>10.321515258140835</v>
      </c>
      <c r="N197" s="327">
        <f t="shared" si="135"/>
        <v>10.410418192174166</v>
      </c>
      <c r="O197" s="327">
        <f t="shared" si="135"/>
        <v>10.471874999271076</v>
      </c>
      <c r="P197" s="327">
        <f t="shared" si="135"/>
        <v>10.495777785965291</v>
      </c>
      <c r="Q197" s="327">
        <f t="shared" si="135"/>
        <v>10.489401606172557</v>
      </c>
      <c r="R197" s="327">
        <f t="shared" si="135"/>
        <v>10.452821429579231</v>
      </c>
      <c r="S197" s="327">
        <f t="shared" si="135"/>
        <v>10.405063702602421</v>
      </c>
      <c r="T197" s="327">
        <f t="shared" si="135"/>
        <v>10.346299865625799</v>
      </c>
      <c r="U197" s="327">
        <f t="shared" si="135"/>
        <v>10.276715425973507</v>
      </c>
      <c r="V197" s="327">
        <f t="shared" si="135"/>
        <v>10.196509786991873</v>
      </c>
      <c r="W197" s="327">
        <f t="shared" si="135"/>
        <v>10.105896054099601</v>
      </c>
      <c r="X197" s="327">
        <f t="shared" si="135"/>
        <v>9.6493116871476374</v>
      </c>
      <c r="Y197" s="327">
        <f t="shared" si="135"/>
        <v>9.2008529835143822</v>
      </c>
      <c r="Z197" s="327">
        <f t="shared" si="135"/>
        <v>8.7385266386480858</v>
      </c>
      <c r="AA197" s="327">
        <f t="shared" si="135"/>
        <v>8.2686834510286253</v>
      </c>
      <c r="AB197" s="327">
        <f t="shared" si="135"/>
        <v>7.7919675258140835</v>
      </c>
      <c r="AC197" s="327">
        <f t="shared" si="135"/>
        <v>7.3078010868658723</v>
      </c>
      <c r="AD197" s="327">
        <f t="shared" si="135"/>
        <v>6.8181216264435065</v>
      </c>
      <c r="AE197" s="327">
        <f t="shared" si="135"/>
        <v>6.3235909401503081</v>
      </c>
      <c r="AF197" s="327">
        <f t="shared" si="135"/>
        <v>5.8292194164762909</v>
      </c>
      <c r="AG197" s="327">
        <f t="shared" si="135"/>
        <v>5.9062395374605083</v>
      </c>
      <c r="AJ197" s="323"/>
    </row>
    <row r="198" spans="1:37" s="181" customFormat="1" x14ac:dyDescent="0.2">
      <c r="B198" s="176"/>
      <c r="C198" s="327"/>
      <c r="D198" s="327"/>
      <c r="E198" s="327"/>
      <c r="F198" s="327"/>
      <c r="G198" s="327"/>
      <c r="H198" s="327"/>
      <c r="I198" s="327"/>
      <c r="J198" s="327"/>
      <c r="K198" s="327"/>
      <c r="L198" s="327"/>
      <c r="M198" s="327"/>
      <c r="N198" s="327"/>
      <c r="O198" s="327"/>
      <c r="P198" s="327"/>
      <c r="Q198" s="327"/>
      <c r="R198" s="327"/>
      <c r="S198" s="327"/>
      <c r="T198" s="327"/>
      <c r="U198" s="327"/>
      <c r="V198" s="327"/>
      <c r="W198" s="327"/>
      <c r="X198" s="327"/>
      <c r="Y198" s="327"/>
      <c r="Z198" s="327"/>
      <c r="AA198" s="327"/>
      <c r="AB198" s="327"/>
      <c r="AC198" s="327"/>
      <c r="AD198" s="327"/>
      <c r="AE198" s="327"/>
      <c r="AF198" s="327"/>
      <c r="AG198" s="327"/>
      <c r="AJ198" s="323"/>
    </row>
    <row r="199" spans="1:37" s="181" customFormat="1" x14ac:dyDescent="0.2">
      <c r="B199" s="210" t="s">
        <v>492</v>
      </c>
      <c r="C199" s="331">
        <v>0</v>
      </c>
      <c r="D199" s="331">
        <f>C199+1</f>
        <v>1</v>
      </c>
      <c r="E199" s="331">
        <f t="shared" ref="E199:AG199" si="136">D199+1</f>
        <v>2</v>
      </c>
      <c r="F199" s="331">
        <f t="shared" si="136"/>
        <v>3</v>
      </c>
      <c r="G199" s="331">
        <f t="shared" si="136"/>
        <v>4</v>
      </c>
      <c r="H199" s="331">
        <f t="shared" si="136"/>
        <v>5</v>
      </c>
      <c r="I199" s="331">
        <f t="shared" si="136"/>
        <v>6</v>
      </c>
      <c r="J199" s="331">
        <f t="shared" si="136"/>
        <v>7</v>
      </c>
      <c r="K199" s="331">
        <f t="shared" si="136"/>
        <v>8</v>
      </c>
      <c r="L199" s="331">
        <f t="shared" si="136"/>
        <v>9</v>
      </c>
      <c r="M199" s="331">
        <f t="shared" si="136"/>
        <v>10</v>
      </c>
      <c r="N199" s="331">
        <f t="shared" si="136"/>
        <v>11</v>
      </c>
      <c r="O199" s="331">
        <f t="shared" si="136"/>
        <v>12</v>
      </c>
      <c r="P199" s="331">
        <f t="shared" si="136"/>
        <v>13</v>
      </c>
      <c r="Q199" s="331">
        <f t="shared" si="136"/>
        <v>14</v>
      </c>
      <c r="R199" s="331">
        <f t="shared" si="136"/>
        <v>15</v>
      </c>
      <c r="S199" s="331">
        <f t="shared" si="136"/>
        <v>16</v>
      </c>
      <c r="T199" s="331">
        <f t="shared" si="136"/>
        <v>17</v>
      </c>
      <c r="U199" s="331">
        <f t="shared" si="136"/>
        <v>18</v>
      </c>
      <c r="V199" s="331">
        <f t="shared" si="136"/>
        <v>19</v>
      </c>
      <c r="W199" s="331">
        <f t="shared" si="136"/>
        <v>20</v>
      </c>
      <c r="X199" s="331">
        <f t="shared" si="136"/>
        <v>21</v>
      </c>
      <c r="Y199" s="331">
        <f t="shared" si="136"/>
        <v>22</v>
      </c>
      <c r="Z199" s="331">
        <f t="shared" si="136"/>
        <v>23</v>
      </c>
      <c r="AA199" s="331">
        <f t="shared" si="136"/>
        <v>24</v>
      </c>
      <c r="AB199" s="331">
        <f t="shared" si="136"/>
        <v>25</v>
      </c>
      <c r="AC199" s="331">
        <f t="shared" si="136"/>
        <v>26</v>
      </c>
      <c r="AD199" s="331">
        <f t="shared" si="136"/>
        <v>27</v>
      </c>
      <c r="AE199" s="331">
        <f t="shared" si="136"/>
        <v>28</v>
      </c>
      <c r="AF199" s="331">
        <f t="shared" si="136"/>
        <v>29</v>
      </c>
      <c r="AG199" s="331">
        <f t="shared" si="136"/>
        <v>30</v>
      </c>
      <c r="AJ199" s="323" t="s">
        <v>493</v>
      </c>
      <c r="AK199" s="181">
        <f>'Ethylene Recycling HC'!AK306</f>
        <v>1.9</v>
      </c>
    </row>
    <row r="200" spans="1:37" s="181" customFormat="1" x14ac:dyDescent="0.2">
      <c r="A200" s="181" t="s">
        <v>1404</v>
      </c>
      <c r="B200" s="176"/>
      <c r="C200" s="333">
        <f>$AK$201/((1+EXP(-$AK$200*(C199-$AK$202)))^$AK$199)</f>
        <v>4.6088632748610021E-5</v>
      </c>
      <c r="D200" s="333">
        <f t="shared" ref="D200:AG200" si="137">$AK$201/((1+EXP(-$AK$200*(D199-$AK$202)))^$AK$199)</f>
        <v>8.924759460408035E-5</v>
      </c>
      <c r="E200" s="333">
        <f t="shared" si="137"/>
        <v>1.7252431976790472E-4</v>
      </c>
      <c r="F200" s="333">
        <f t="shared" si="137"/>
        <v>3.3269643715580369E-4</v>
      </c>
      <c r="G200" s="333">
        <f t="shared" si="137"/>
        <v>6.393827369910735E-4</v>
      </c>
      <c r="H200" s="333">
        <f t="shared" si="137"/>
        <v>1.2229053771654547E-3</v>
      </c>
      <c r="I200" s="333">
        <f t="shared" si="137"/>
        <v>2.3234018804222717E-3</v>
      </c>
      <c r="J200" s="333">
        <f t="shared" si="137"/>
        <v>4.3736281679830789E-3</v>
      </c>
      <c r="K200" s="333">
        <f t="shared" si="137"/>
        <v>8.1294184230466908E-3</v>
      </c>
      <c r="L200" s="333">
        <f t="shared" si="137"/>
        <v>1.4853985082038716E-2</v>
      </c>
      <c r="M200" s="333">
        <f t="shared" si="137"/>
        <v>2.6531412096832362E-2</v>
      </c>
      <c r="N200" s="333">
        <f t="shared" si="137"/>
        <v>4.6014759335105015E-2</v>
      </c>
      <c r="O200" s="333">
        <f t="shared" si="137"/>
        <v>7.6910635328419796E-2</v>
      </c>
      <c r="P200" s="333">
        <f t="shared" si="137"/>
        <v>0.12294065829885638</v>
      </c>
      <c r="Q200" s="333">
        <f t="shared" si="137"/>
        <v>0.18666754187878853</v>
      </c>
      <c r="R200" s="333">
        <f t="shared" si="137"/>
        <v>0.26794336563407328</v>
      </c>
      <c r="S200" s="333">
        <f t="shared" si="137"/>
        <v>0.36297326582455031</v>
      </c>
      <c r="T200" s="333">
        <f t="shared" si="137"/>
        <v>0.46484396312424381</v>
      </c>
      <c r="U200" s="333">
        <f t="shared" si="137"/>
        <v>0.56546260593861253</v>
      </c>
      <c r="V200" s="333">
        <f t="shared" si="137"/>
        <v>0.6578403022607352</v>
      </c>
      <c r="W200" s="333">
        <f t="shared" si="137"/>
        <v>0.73754668886795227</v>
      </c>
      <c r="X200" s="333">
        <f t="shared" si="137"/>
        <v>0.80293052021410605</v>
      </c>
      <c r="Y200" s="333">
        <f t="shared" si="137"/>
        <v>0.85447682949112158</v>
      </c>
      <c r="Z200" s="333">
        <f t="shared" si="137"/>
        <v>0.89389910336617451</v>
      </c>
      <c r="AA200" s="333">
        <f t="shared" si="137"/>
        <v>0.92337223319290385</v>
      </c>
      <c r="AB200" s="333">
        <f t="shared" si="137"/>
        <v>0.94504210708611314</v>
      </c>
      <c r="AC200" s="333">
        <f t="shared" si="137"/>
        <v>0.96078240575184182</v>
      </c>
      <c r="AD200" s="333">
        <f t="shared" si="137"/>
        <v>0.97211605463477313</v>
      </c>
      <c r="AE200" s="333">
        <f t="shared" si="137"/>
        <v>0.98022577885232642</v>
      </c>
      <c r="AF200" s="333">
        <f t="shared" si="137"/>
        <v>0.98600279580400285</v>
      </c>
      <c r="AG200" s="333">
        <f t="shared" si="137"/>
        <v>0.9901050637460882</v>
      </c>
      <c r="AI200" s="176" t="s">
        <v>494</v>
      </c>
      <c r="AJ200" s="323" t="s">
        <v>495</v>
      </c>
      <c r="AK200" s="181">
        <f>'Ethylene Recycling HC'!AK307</f>
        <v>0.35</v>
      </c>
    </row>
    <row r="201" spans="1:37" s="181" customFormat="1" x14ac:dyDescent="0.2">
      <c r="B201" s="176"/>
      <c r="C201" s="329">
        <v>0</v>
      </c>
      <c r="D201" s="329">
        <v>0</v>
      </c>
      <c r="E201" s="329">
        <v>0</v>
      </c>
      <c r="F201" s="329">
        <v>0</v>
      </c>
      <c r="G201" s="329">
        <v>0</v>
      </c>
      <c r="H201" s="329">
        <v>0</v>
      </c>
      <c r="I201" s="329">
        <v>0</v>
      </c>
      <c r="J201" s="329">
        <v>0</v>
      </c>
      <c r="K201" s="329">
        <v>0</v>
      </c>
      <c r="L201" s="329">
        <v>0</v>
      </c>
      <c r="M201" s="329">
        <f>C200</f>
        <v>4.6088632748610021E-5</v>
      </c>
      <c r="N201" s="329">
        <v>0</v>
      </c>
      <c r="O201" s="329">
        <v>0</v>
      </c>
      <c r="P201" s="329">
        <v>0</v>
      </c>
      <c r="Q201" s="329">
        <v>0</v>
      </c>
      <c r="R201" s="329">
        <f t="shared" ref="R201:AG201" si="138">C200</f>
        <v>4.6088632748610021E-5</v>
      </c>
      <c r="S201" s="329">
        <f t="shared" si="138"/>
        <v>8.924759460408035E-5</v>
      </c>
      <c r="T201" s="329">
        <f t="shared" si="138"/>
        <v>1.7252431976790472E-4</v>
      </c>
      <c r="U201" s="329">
        <f t="shared" si="138"/>
        <v>3.3269643715580369E-4</v>
      </c>
      <c r="V201" s="329">
        <f t="shared" si="138"/>
        <v>6.393827369910735E-4</v>
      </c>
      <c r="W201" s="329">
        <f t="shared" si="138"/>
        <v>1.2229053771654547E-3</v>
      </c>
      <c r="X201" s="329">
        <f t="shared" si="138"/>
        <v>2.3234018804222717E-3</v>
      </c>
      <c r="Y201" s="329">
        <f t="shared" si="138"/>
        <v>4.3736281679830789E-3</v>
      </c>
      <c r="Z201" s="329">
        <f t="shared" si="138"/>
        <v>8.1294184230466908E-3</v>
      </c>
      <c r="AA201" s="329">
        <f t="shared" si="138"/>
        <v>1.4853985082038716E-2</v>
      </c>
      <c r="AB201" s="329">
        <f t="shared" si="138"/>
        <v>2.6531412096832362E-2</v>
      </c>
      <c r="AC201" s="329">
        <f t="shared" si="138"/>
        <v>4.6014759335105015E-2</v>
      </c>
      <c r="AD201" s="329">
        <f t="shared" si="138"/>
        <v>7.6910635328419796E-2</v>
      </c>
      <c r="AE201" s="329">
        <f t="shared" si="138"/>
        <v>0.12294065829885638</v>
      </c>
      <c r="AF201" s="329">
        <f t="shared" si="138"/>
        <v>0.18666754187878853</v>
      </c>
      <c r="AG201" s="329">
        <f t="shared" si="138"/>
        <v>0.26794336563407328</v>
      </c>
      <c r="AI201" s="176" t="s">
        <v>496</v>
      </c>
      <c r="AJ201" s="323" t="s">
        <v>497</v>
      </c>
      <c r="AK201" s="181">
        <f>'Ethylene Recycling HC'!AK308</f>
        <v>1</v>
      </c>
    </row>
    <row r="202" spans="1:37" s="181" customFormat="1" x14ac:dyDescent="0.2">
      <c r="B202" s="176"/>
      <c r="C202" s="327"/>
      <c r="D202" s="327"/>
      <c r="E202" s="327"/>
      <c r="F202" s="327"/>
      <c r="G202" s="327"/>
      <c r="H202" s="327"/>
      <c r="I202" s="327"/>
      <c r="J202" s="327"/>
      <c r="K202" s="327"/>
      <c r="L202" s="327"/>
      <c r="M202" s="327"/>
      <c r="N202" s="327"/>
      <c r="O202" s="327"/>
      <c r="P202" s="327"/>
      <c r="Q202" s="327"/>
      <c r="R202" s="327"/>
      <c r="S202" s="327"/>
      <c r="T202" s="327"/>
      <c r="U202" s="327"/>
      <c r="V202" s="327"/>
      <c r="W202" s="327"/>
      <c r="X202" s="327"/>
      <c r="Y202" s="327"/>
      <c r="Z202" s="327"/>
      <c r="AA202" s="327"/>
      <c r="AB202" s="327"/>
      <c r="AC202" s="327"/>
      <c r="AD202" s="327"/>
      <c r="AE202" s="327"/>
      <c r="AF202" s="327"/>
      <c r="AG202" s="327"/>
      <c r="AJ202" s="323" t="s">
        <v>498</v>
      </c>
      <c r="AK202" s="181">
        <f>'Ethylene Recycling HC'!AK309</f>
        <v>15</v>
      </c>
    </row>
    <row r="203" spans="1:37" s="181" customFormat="1" x14ac:dyDescent="0.2">
      <c r="A203" s="181" t="s">
        <v>1460</v>
      </c>
      <c r="B203" s="176" t="s">
        <v>462</v>
      </c>
      <c r="C203" s="328">
        <v>0</v>
      </c>
      <c r="D203" s="328">
        <f>C203</f>
        <v>0</v>
      </c>
      <c r="E203" s="328">
        <f t="shared" ref="E203:AG203" si="139">D203</f>
        <v>0</v>
      </c>
      <c r="F203" s="328">
        <f t="shared" si="139"/>
        <v>0</v>
      </c>
      <c r="G203" s="328">
        <f t="shared" si="139"/>
        <v>0</v>
      </c>
      <c r="H203" s="328">
        <f t="shared" si="139"/>
        <v>0</v>
      </c>
      <c r="I203" s="328">
        <f t="shared" si="139"/>
        <v>0</v>
      </c>
      <c r="J203" s="328">
        <f t="shared" si="139"/>
        <v>0</v>
      </c>
      <c r="K203" s="328">
        <f t="shared" si="139"/>
        <v>0</v>
      </c>
      <c r="L203" s="328">
        <f t="shared" si="139"/>
        <v>0</v>
      </c>
      <c r="M203" s="328">
        <f t="shared" si="139"/>
        <v>0</v>
      </c>
      <c r="N203" s="328">
        <f t="shared" si="139"/>
        <v>0</v>
      </c>
      <c r="O203" s="328">
        <f t="shared" si="139"/>
        <v>0</v>
      </c>
      <c r="P203" s="328">
        <f t="shared" si="139"/>
        <v>0</v>
      </c>
      <c r="Q203" s="328">
        <f t="shared" si="139"/>
        <v>0</v>
      </c>
      <c r="R203" s="328">
        <f t="shared" si="139"/>
        <v>0</v>
      </c>
      <c r="S203" s="328">
        <f t="shared" si="139"/>
        <v>0</v>
      </c>
      <c r="T203" s="328">
        <f t="shared" si="139"/>
        <v>0</v>
      </c>
      <c r="U203" s="328">
        <f t="shared" si="139"/>
        <v>0</v>
      </c>
      <c r="V203" s="328">
        <f t="shared" si="139"/>
        <v>0</v>
      </c>
      <c r="W203" s="328">
        <f t="shared" si="139"/>
        <v>0</v>
      </c>
      <c r="X203" s="328">
        <f t="shared" si="139"/>
        <v>0</v>
      </c>
      <c r="Y203" s="328">
        <f t="shared" si="139"/>
        <v>0</v>
      </c>
      <c r="Z203" s="328">
        <f t="shared" si="139"/>
        <v>0</v>
      </c>
      <c r="AA203" s="328">
        <f t="shared" si="139"/>
        <v>0</v>
      </c>
      <c r="AB203" s="328">
        <f t="shared" si="139"/>
        <v>0</v>
      </c>
      <c r="AC203" s="328">
        <f t="shared" si="139"/>
        <v>0</v>
      </c>
      <c r="AD203" s="328">
        <f t="shared" si="139"/>
        <v>0</v>
      </c>
      <c r="AE203" s="328">
        <f t="shared" si="139"/>
        <v>0</v>
      </c>
      <c r="AF203" s="328">
        <f t="shared" si="139"/>
        <v>0</v>
      </c>
      <c r="AG203" s="328">
        <f t="shared" si="139"/>
        <v>0</v>
      </c>
      <c r="AI203" s="176" t="s">
        <v>1516</v>
      </c>
      <c r="AJ203" s="323"/>
    </row>
    <row r="204" spans="1:37" s="300" customFormat="1" ht="16" thickBot="1" x14ac:dyDescent="0.25">
      <c r="A204" s="334" t="s">
        <v>1407</v>
      </c>
      <c r="B204" s="335" t="s">
        <v>704</v>
      </c>
      <c r="C204" s="336">
        <f>C203*(C196*C200+C197*C201)</f>
        <v>0</v>
      </c>
      <c r="D204" s="336">
        <f t="shared" ref="D204:AG204" si="140">D203*(D196*D200+D197*D201)</f>
        <v>0</v>
      </c>
      <c r="E204" s="336">
        <f t="shared" si="140"/>
        <v>0</v>
      </c>
      <c r="F204" s="336">
        <f t="shared" si="140"/>
        <v>0</v>
      </c>
      <c r="G204" s="336">
        <f t="shared" si="140"/>
        <v>0</v>
      </c>
      <c r="H204" s="336">
        <f t="shared" si="140"/>
        <v>0</v>
      </c>
      <c r="I204" s="336">
        <f t="shared" si="140"/>
        <v>0</v>
      </c>
      <c r="J204" s="336">
        <f t="shared" si="140"/>
        <v>0</v>
      </c>
      <c r="K204" s="336">
        <f t="shared" si="140"/>
        <v>0</v>
      </c>
      <c r="L204" s="336">
        <f t="shared" si="140"/>
        <v>0</v>
      </c>
      <c r="M204" s="336">
        <f t="shared" si="140"/>
        <v>0</v>
      </c>
      <c r="N204" s="336">
        <f t="shared" si="140"/>
        <v>0</v>
      </c>
      <c r="O204" s="336">
        <f t="shared" si="140"/>
        <v>0</v>
      </c>
      <c r="P204" s="336">
        <f t="shared" si="140"/>
        <v>0</v>
      </c>
      <c r="Q204" s="336">
        <f t="shared" si="140"/>
        <v>0</v>
      </c>
      <c r="R204" s="336">
        <f t="shared" si="140"/>
        <v>0</v>
      </c>
      <c r="S204" s="336">
        <f t="shared" si="140"/>
        <v>0</v>
      </c>
      <c r="T204" s="336">
        <f t="shared" si="140"/>
        <v>0</v>
      </c>
      <c r="U204" s="336">
        <f t="shared" si="140"/>
        <v>0</v>
      </c>
      <c r="V204" s="336">
        <f t="shared" si="140"/>
        <v>0</v>
      </c>
      <c r="W204" s="336">
        <f t="shared" si="140"/>
        <v>0</v>
      </c>
      <c r="X204" s="336">
        <f t="shared" si="140"/>
        <v>0</v>
      </c>
      <c r="Y204" s="336">
        <f t="shared" si="140"/>
        <v>0</v>
      </c>
      <c r="Z204" s="336">
        <f t="shared" si="140"/>
        <v>0</v>
      </c>
      <c r="AA204" s="336">
        <f t="shared" si="140"/>
        <v>0</v>
      </c>
      <c r="AB204" s="336">
        <f t="shared" si="140"/>
        <v>0</v>
      </c>
      <c r="AC204" s="336">
        <f t="shared" si="140"/>
        <v>0</v>
      </c>
      <c r="AD204" s="336">
        <f t="shared" si="140"/>
        <v>0</v>
      </c>
      <c r="AE204" s="336">
        <f t="shared" si="140"/>
        <v>0</v>
      </c>
      <c r="AF204" s="336">
        <f t="shared" si="140"/>
        <v>0</v>
      </c>
      <c r="AG204" s="336">
        <f t="shared" si="140"/>
        <v>0</v>
      </c>
      <c r="AJ204" s="326"/>
    </row>
    <row r="205" spans="1:37" s="230" customFormat="1" x14ac:dyDescent="0.2">
      <c r="A205" s="325" t="s">
        <v>1408</v>
      </c>
      <c r="B205" s="324" t="s">
        <v>462</v>
      </c>
      <c r="C205" s="330">
        <v>0.5</v>
      </c>
      <c r="D205" s="330">
        <v>0.5</v>
      </c>
      <c r="E205" s="330">
        <v>0.5</v>
      </c>
      <c r="F205" s="330">
        <v>0.5</v>
      </c>
      <c r="G205" s="330">
        <v>0.5</v>
      </c>
      <c r="H205" s="330">
        <v>0.5</v>
      </c>
      <c r="I205" s="330">
        <v>0.5</v>
      </c>
      <c r="J205" s="330">
        <v>0.5</v>
      </c>
      <c r="K205" s="330">
        <v>0.5</v>
      </c>
      <c r="L205" s="330">
        <v>0.5</v>
      </c>
      <c r="M205" s="330">
        <v>0.5</v>
      </c>
      <c r="N205" s="330">
        <v>0.5</v>
      </c>
      <c r="O205" s="330">
        <v>0.5</v>
      </c>
      <c r="P205" s="330">
        <v>0.5</v>
      </c>
      <c r="Q205" s="330">
        <v>0.5</v>
      </c>
      <c r="R205" s="330">
        <v>0.5</v>
      </c>
      <c r="S205" s="330">
        <v>0.5</v>
      </c>
      <c r="T205" s="330">
        <v>0.5</v>
      </c>
      <c r="U205" s="330">
        <v>0.5</v>
      </c>
      <c r="V205" s="330">
        <v>0.5</v>
      </c>
      <c r="W205" s="330">
        <v>0.5</v>
      </c>
      <c r="X205" s="330">
        <v>0.5</v>
      </c>
      <c r="Y205" s="330">
        <v>0.5</v>
      </c>
      <c r="Z205" s="330">
        <v>0.5</v>
      </c>
      <c r="AA205" s="330">
        <v>0.5</v>
      </c>
      <c r="AB205" s="330">
        <v>0.5</v>
      </c>
      <c r="AC205" s="330">
        <v>0.5</v>
      </c>
      <c r="AD205" s="330">
        <v>0.5</v>
      </c>
      <c r="AE205" s="330">
        <v>0.5</v>
      </c>
      <c r="AF205" s="330">
        <v>0.5</v>
      </c>
      <c r="AG205" s="330">
        <v>0.5</v>
      </c>
      <c r="AJ205" s="230" t="s">
        <v>1410</v>
      </c>
    </row>
    <row r="206" spans="1:37" s="230" customFormat="1" ht="16" thickBot="1" x14ac:dyDescent="0.25">
      <c r="A206" s="301" t="s">
        <v>1411</v>
      </c>
      <c r="B206" s="335" t="s">
        <v>704</v>
      </c>
      <c r="C206" s="336">
        <f>C205*(C196*C200+C197*C201)</f>
        <v>4.0207245589958333E-5</v>
      </c>
      <c r="D206" s="336">
        <f t="shared" ref="D206:AG206" si="141">D205*(D196*D200+D197*D201)</f>
        <v>8.6873546030303593E-5</v>
      </c>
      <c r="E206" s="336">
        <f t="shared" si="141"/>
        <v>1.8623331745762706E-4</v>
      </c>
      <c r="F206" s="336">
        <f t="shared" si="141"/>
        <v>3.9594695059065138E-4</v>
      </c>
      <c r="G206" s="336">
        <f t="shared" si="141"/>
        <v>8.3427860948189858E-4</v>
      </c>
      <c r="H206" s="336">
        <f t="shared" si="141"/>
        <v>1.740139246361534E-3</v>
      </c>
      <c r="I206" s="336">
        <f t="shared" si="141"/>
        <v>3.5843418856456922E-3</v>
      </c>
      <c r="J206" s="336">
        <f t="shared" si="141"/>
        <v>7.2940450726292246E-3</v>
      </c>
      <c r="K206" s="336">
        <f t="shared" si="141"/>
        <v>1.4616548818097461E-2</v>
      </c>
      <c r="L206" s="336">
        <f t="shared" si="141"/>
        <v>2.871883591308997E-2</v>
      </c>
      <c r="M206" s="336">
        <f t="shared" si="141"/>
        <v>5.5262656540788227E-2</v>
      </c>
      <c r="N206" s="336">
        <f t="shared" si="141"/>
        <v>9.942192008674762E-2</v>
      </c>
      <c r="O206" s="336">
        <f t="shared" si="141"/>
        <v>0.1725854055586572</v>
      </c>
      <c r="P206" s="336">
        <f t="shared" si="141"/>
        <v>0.28536759709997078</v>
      </c>
      <c r="Q206" s="336">
        <f t="shared" si="141"/>
        <v>0.44673518562801628</v>
      </c>
      <c r="R206" s="336">
        <f t="shared" si="141"/>
        <v>0.65924420852718546</v>
      </c>
      <c r="S206" s="336">
        <f t="shared" si="141"/>
        <v>0.91660905458753128</v>
      </c>
      <c r="T206" s="336">
        <f t="shared" si="141"/>
        <v>1.203246252475547</v>
      </c>
      <c r="U206" s="336">
        <f t="shared" si="141"/>
        <v>1.4985075564771051</v>
      </c>
      <c r="V206" s="336">
        <f t="shared" si="141"/>
        <v>1.7828470023642231</v>
      </c>
      <c r="W206" s="336">
        <f t="shared" si="141"/>
        <v>2.0424639121348656</v>
      </c>
      <c r="X206" s="336">
        <f t="shared" si="141"/>
        <v>2.190257791772646</v>
      </c>
      <c r="Y206" s="336">
        <f t="shared" si="141"/>
        <v>2.2959382534585626</v>
      </c>
      <c r="Z206" s="336">
        <f t="shared" si="141"/>
        <v>2.3623079905403879</v>
      </c>
      <c r="AA206" s="336">
        <f t="shared" si="141"/>
        <v>2.4011917950098161</v>
      </c>
      <c r="AB206" s="336">
        <f t="shared" si="141"/>
        <v>2.4245440470331578</v>
      </c>
      <c r="AC206" s="336">
        <f t="shared" si="141"/>
        <v>2.444238825737727</v>
      </c>
      <c r="AD206" s="336">
        <f t="shared" si="141"/>
        <v>2.4715281981908626</v>
      </c>
      <c r="AE206" s="336">
        <f t="shared" si="141"/>
        <v>2.5129343295400388</v>
      </c>
      <c r="AF206" s="336">
        <f t="shared" si="141"/>
        <v>2.5687951422958037</v>
      </c>
      <c r="AG206" s="336">
        <f t="shared" si="141"/>
        <v>2.9085749042381877</v>
      </c>
      <c r="AJ206" s="325"/>
    </row>
    <row r="207" spans="1:37" s="230" customFormat="1" x14ac:dyDescent="0.2">
      <c r="A207" s="326"/>
      <c r="B207" s="324"/>
      <c r="AJ207" s="325"/>
    </row>
    <row r="208" spans="1:37" s="230" customFormat="1" x14ac:dyDescent="0.2">
      <c r="A208" s="326" t="s">
        <v>1412</v>
      </c>
      <c r="B208" s="324" t="s">
        <v>704</v>
      </c>
      <c r="C208" s="230">
        <f>SUM(C177:C178)-SUM(C204,C206)</f>
        <v>45.744255940900992</v>
      </c>
      <c r="D208" s="230">
        <f t="shared" ref="D208:AG208" si="142">SUM(D177:D178)-SUM(D204,D206)</f>
        <v>47.590739937239057</v>
      </c>
      <c r="E208" s="230">
        <f t="shared" si="142"/>
        <v>49.369076913860354</v>
      </c>
      <c r="F208" s="230">
        <f t="shared" si="142"/>
        <v>51.066510793191824</v>
      </c>
      <c r="G208" s="230">
        <f t="shared" si="142"/>
        <v>52.670499602025203</v>
      </c>
      <c r="H208" s="230">
        <f t="shared" si="142"/>
        <v>54.168806400305094</v>
      </c>
      <c r="I208" s="230">
        <f t="shared" si="142"/>
        <v>55.521502232759374</v>
      </c>
      <c r="J208" s="230">
        <f t="shared" si="142"/>
        <v>56.864209377318815</v>
      </c>
      <c r="K208" s="230">
        <f t="shared" si="142"/>
        <v>58.193045092824249</v>
      </c>
      <c r="L208" s="230">
        <f t="shared" si="142"/>
        <v>59.502672941709669</v>
      </c>
      <c r="M208" s="230">
        <f t="shared" si="142"/>
        <v>60.785232532816437</v>
      </c>
      <c r="N208" s="230">
        <f t="shared" si="142"/>
        <v>61.576814638931481</v>
      </c>
      <c r="O208" s="230">
        <f t="shared" si="142"/>
        <v>62.221072772332256</v>
      </c>
      <c r="P208" s="230">
        <f t="shared" si="142"/>
        <v>62.63628652099424</v>
      </c>
      <c r="Q208" s="230">
        <f t="shared" si="142"/>
        <v>62.85754390307639</v>
      </c>
      <c r="R208" s="230">
        <f t="shared" si="142"/>
        <v>62.879021246435684</v>
      </c>
      <c r="S208" s="230">
        <f t="shared" si="142"/>
        <v>62.819365679466941</v>
      </c>
      <c r="T208" s="230">
        <f t="shared" si="142"/>
        <v>62.693428539226055</v>
      </c>
      <c r="U208" s="230">
        <f t="shared" si="142"/>
        <v>62.521153765216525</v>
      </c>
      <c r="V208" s="230">
        <f t="shared" si="142"/>
        <v>62.321412300554883</v>
      </c>
      <c r="W208" s="230">
        <f t="shared" si="142"/>
        <v>62.107360539950477</v>
      </c>
      <c r="X208" s="230">
        <f t="shared" si="142"/>
        <v>61.368231734638961</v>
      </c>
      <c r="Y208" s="230">
        <f t="shared" si="142"/>
        <v>60.766985218578753</v>
      </c>
      <c r="Z208" s="230">
        <f t="shared" si="142"/>
        <v>60.088088063793663</v>
      </c>
      <c r="AA208" s="230">
        <f t="shared" si="142"/>
        <v>59.377976861083191</v>
      </c>
      <c r="AB208" s="230">
        <f t="shared" si="142"/>
        <v>58.624333923134749</v>
      </c>
      <c r="AC208" s="230">
        <f t="shared" si="142"/>
        <v>57.809077314509814</v>
      </c>
      <c r="AD208" s="230">
        <f t="shared" si="142"/>
        <v>56.927042920468317</v>
      </c>
      <c r="AE208" s="230">
        <f t="shared" si="142"/>
        <v>55.971511936965221</v>
      </c>
      <c r="AF208" s="230">
        <f t="shared" si="142"/>
        <v>54.942013279152427</v>
      </c>
      <c r="AG208" s="230">
        <f t="shared" si="142"/>
        <v>53.569014666327526</v>
      </c>
      <c r="AJ208" s="325"/>
    </row>
    <row r="209" spans="1:36" s="230" customFormat="1" x14ac:dyDescent="0.2">
      <c r="A209" s="326"/>
      <c r="B209" s="324"/>
      <c r="AJ209" s="325"/>
    </row>
    <row r="210" spans="1:36" s="230" customFormat="1" x14ac:dyDescent="0.2">
      <c r="A210" s="325" t="s">
        <v>1413</v>
      </c>
      <c r="B210" s="324" t="s">
        <v>704</v>
      </c>
      <c r="C210" s="327">
        <f>C130*C129*C50</f>
        <v>16.841307908141292</v>
      </c>
      <c r="D210" s="327">
        <f t="shared" ref="D210:AG210" si="143">D130*D129*D50</f>
        <v>17.976289515076001</v>
      </c>
      <c r="E210" s="327">
        <f t="shared" si="143"/>
        <v>19.120511546793139</v>
      </c>
      <c r="F210" s="327">
        <f t="shared" si="143"/>
        <v>20.267313565699585</v>
      </c>
      <c r="G210" s="327">
        <f t="shared" si="143"/>
        <v>21.409689548792258</v>
      </c>
      <c r="H210" s="327">
        <f t="shared" si="143"/>
        <v>22.540356748405792</v>
      </c>
      <c r="I210" s="327">
        <f t="shared" si="143"/>
        <v>23.640836902734705</v>
      </c>
      <c r="J210" s="327">
        <f t="shared" si="143"/>
        <v>24.766295863542041</v>
      </c>
      <c r="K210" s="327">
        <f t="shared" si="143"/>
        <v>25.916076646125969</v>
      </c>
      <c r="L210" s="327">
        <f t="shared" si="143"/>
        <v>27.089454572308007</v>
      </c>
      <c r="M210" s="327">
        <f t="shared" si="143"/>
        <v>28.285636949503953</v>
      </c>
      <c r="N210" s="327">
        <f t="shared" si="143"/>
        <v>29.415234631478132</v>
      </c>
      <c r="O210" s="327">
        <f t="shared" si="143"/>
        <v>30.522688553362798</v>
      </c>
      <c r="P210" s="327">
        <f t="shared" si="143"/>
        <v>31.568634025969484</v>
      </c>
      <c r="Q210" s="327">
        <f t="shared" si="143"/>
        <v>32.570543461146663</v>
      </c>
      <c r="R210" s="327">
        <f t="shared" si="143"/>
        <v>33.522553264539958</v>
      </c>
      <c r="S210" s="327">
        <f t="shared" si="143"/>
        <v>34.481004116028977</v>
      </c>
      <c r="T210" s="327">
        <f t="shared" si="143"/>
        <v>35.445470023690646</v>
      </c>
      <c r="U210" s="327">
        <f t="shared" si="143"/>
        <v>36.415512238801931</v>
      </c>
      <c r="V210" s="327">
        <f t="shared" si="143"/>
        <v>37.390679359487862</v>
      </c>
      <c r="W210" s="327">
        <f t="shared" si="143"/>
        <v>38.370507447652052</v>
      </c>
      <c r="X210" s="327">
        <f t="shared" si="143"/>
        <v>39.256526777700302</v>
      </c>
      <c r="Y210" s="327">
        <f t="shared" si="143"/>
        <v>40.2450542683791</v>
      </c>
      <c r="Z210" s="327">
        <f t="shared" si="143"/>
        <v>41.195143329407578</v>
      </c>
      <c r="AA210" s="327">
        <f t="shared" si="143"/>
        <v>42.145750548083598</v>
      </c>
      <c r="AB210" s="327">
        <f t="shared" si="143"/>
        <v>43.096314993032671</v>
      </c>
      <c r="AC210" s="327">
        <f t="shared" si="143"/>
        <v>44.042621790994353</v>
      </c>
      <c r="AD210" s="327">
        <f t="shared" si="143"/>
        <v>44.987923627962346</v>
      </c>
      <c r="AE210" s="327">
        <f t="shared" si="143"/>
        <v>45.931648462002833</v>
      </c>
      <c r="AF210" s="327">
        <f t="shared" si="143"/>
        <v>46.87321404531874</v>
      </c>
      <c r="AG210" s="327">
        <f t="shared" si="143"/>
        <v>47.812028159648953</v>
      </c>
      <c r="AJ210" s="325"/>
    </row>
    <row r="211" spans="1:36" s="230" customFormat="1" x14ac:dyDescent="0.2">
      <c r="A211" s="230" t="s">
        <v>1414</v>
      </c>
      <c r="B211" s="324" t="s">
        <v>704</v>
      </c>
      <c r="C211" s="327">
        <f>C131*C129*C50</f>
        <v>59.710091674319138</v>
      </c>
      <c r="D211" s="327">
        <f t="shared" ref="D211:AG211" si="144">D131*D129*D50</f>
        <v>61.330870110259298</v>
      </c>
      <c r="E211" s="327">
        <f t="shared" si="144"/>
        <v>62.824537939463184</v>
      </c>
      <c r="F211" s="327">
        <f t="shared" si="144"/>
        <v>64.179826291382028</v>
      </c>
      <c r="G211" s="327">
        <f t="shared" si="144"/>
        <v>65.386349162527722</v>
      </c>
      <c r="H211" s="327">
        <f t="shared" si="144"/>
        <v>66.434735679511817</v>
      </c>
      <c r="I211" s="327">
        <f t="shared" si="144"/>
        <v>67.285458877014179</v>
      </c>
      <c r="J211" s="327">
        <f t="shared" si="144"/>
        <v>68.107313624740641</v>
      </c>
      <c r="K211" s="327">
        <f t="shared" si="144"/>
        <v>68.898837912871514</v>
      </c>
      <c r="L211" s="327">
        <f t="shared" si="144"/>
        <v>69.658597471649188</v>
      </c>
      <c r="M211" s="327">
        <f t="shared" si="144"/>
        <v>70.385189618533119</v>
      </c>
      <c r="N211" s="327">
        <f t="shared" si="144"/>
        <v>70.863974339470076</v>
      </c>
      <c r="O211" s="327">
        <f t="shared" si="144"/>
        <v>71.219606624513233</v>
      </c>
      <c r="P211" s="327">
        <f t="shared" si="144"/>
        <v>71.372563884800613</v>
      </c>
      <c r="Q211" s="327">
        <f t="shared" si="144"/>
        <v>71.377999499959756</v>
      </c>
      <c r="R211" s="327">
        <f t="shared" si="144"/>
        <v>71.235425687147469</v>
      </c>
      <c r="S211" s="327">
        <f t="shared" si="144"/>
        <v>71.073090116712848</v>
      </c>
      <c r="T211" s="327">
        <f t="shared" si="144"/>
        <v>70.890940047381349</v>
      </c>
      <c r="U211" s="327">
        <f t="shared" si="144"/>
        <v>70.688935522380262</v>
      </c>
      <c r="V211" s="327">
        <f t="shared" si="144"/>
        <v>70.467049562111811</v>
      </c>
      <c r="W211" s="327">
        <f t="shared" si="144"/>
        <v>70.22526834758969</v>
      </c>
      <c r="X211" s="327">
        <f t="shared" si="144"/>
        <v>69.789380938133931</v>
      </c>
      <c r="Y211" s="327">
        <f t="shared" si="144"/>
        <v>69.514184645382159</v>
      </c>
      <c r="Z211" s="327">
        <f t="shared" si="144"/>
        <v>69.148990588648516</v>
      </c>
      <c r="AA211" s="327">
        <f t="shared" si="144"/>
        <v>68.76411931529438</v>
      </c>
      <c r="AB211" s="327">
        <f t="shared" si="144"/>
        <v>68.359672057913983</v>
      </c>
      <c r="AC211" s="327">
        <f t="shared" si="144"/>
        <v>67.930145474245606</v>
      </c>
      <c r="AD211" s="327">
        <f t="shared" si="144"/>
        <v>67.481885441943604</v>
      </c>
      <c r="AE211" s="327">
        <f t="shared" si="144"/>
        <v>67.015028083905875</v>
      </c>
      <c r="AF211" s="327">
        <f t="shared" si="144"/>
        <v>66.52972316109765</v>
      </c>
      <c r="AG211" s="327">
        <f t="shared" si="144"/>
        <v>66.026134125229518</v>
      </c>
      <c r="AJ211" s="325"/>
    </row>
    <row r="212" spans="1:36" s="230" customFormat="1" x14ac:dyDescent="0.2">
      <c r="B212" s="324"/>
      <c r="C212" s="317"/>
      <c r="D212" s="317"/>
      <c r="E212" s="317"/>
      <c r="F212" s="317"/>
      <c r="G212" s="317"/>
      <c r="H212" s="317"/>
      <c r="I212" s="317"/>
      <c r="J212" s="317"/>
      <c r="K212" s="317"/>
      <c r="L212" s="317"/>
      <c r="M212" s="317"/>
      <c r="N212" s="317"/>
      <c r="O212" s="317"/>
      <c r="P212" s="317"/>
      <c r="Q212" s="317"/>
      <c r="R212" s="317"/>
      <c r="S212" s="317"/>
      <c r="T212" s="317"/>
      <c r="U212" s="317"/>
      <c r="V212" s="317"/>
      <c r="W212" s="317"/>
      <c r="X212" s="317"/>
      <c r="Y212" s="317"/>
      <c r="Z212" s="317"/>
      <c r="AA212" s="317"/>
      <c r="AB212" s="317"/>
      <c r="AC212" s="317"/>
      <c r="AD212" s="317"/>
      <c r="AE212" s="317"/>
      <c r="AF212" s="317"/>
      <c r="AG212" s="317"/>
      <c r="AJ212" s="325"/>
    </row>
    <row r="213" spans="1:36" s="230" customFormat="1" x14ac:dyDescent="0.2">
      <c r="A213" s="351" t="s">
        <v>233</v>
      </c>
      <c r="B213" s="352" t="s">
        <v>704</v>
      </c>
      <c r="C213" s="304">
        <f>C191-C204-C206</f>
        <v>9.9134783941819578</v>
      </c>
      <c r="D213" s="353">
        <f t="shared" ref="D213:AG213" si="145">D191-D204-D206</f>
        <v>10.735934807250526</v>
      </c>
      <c r="E213" s="353">
        <f t="shared" si="145"/>
        <v>11.565469990944862</v>
      </c>
      <c r="F213" s="353">
        <f t="shared" si="145"/>
        <v>12.396633120284203</v>
      </c>
      <c r="G213" s="353">
        <f t="shared" si="145"/>
        <v>13.223680488935337</v>
      </c>
      <c r="H213" s="353">
        <f t="shared" si="145"/>
        <v>14.040578337681264</v>
      </c>
      <c r="I213" s="353">
        <f t="shared" si="145"/>
        <v>14.830192850914248</v>
      </c>
      <c r="J213" s="353">
        <f t="shared" si="145"/>
        <v>15.627705074533267</v>
      </c>
      <c r="K213" s="353">
        <f t="shared" si="145"/>
        <v>16.43034169419559</v>
      </c>
      <c r="L213" s="353">
        <f t="shared" si="145"/>
        <v>17.233866011132733</v>
      </c>
      <c r="M213" s="353">
        <f t="shared" si="145"/>
        <v>18.031504735061137</v>
      </c>
      <c r="N213" s="353">
        <f t="shared" si="145"/>
        <v>18.315232900976042</v>
      </c>
      <c r="O213" s="353">
        <f t="shared" si="145"/>
        <v>18.527191378853974</v>
      </c>
      <c r="P213" s="353">
        <f t="shared" si="145"/>
        <v>18.637308699712449</v>
      </c>
      <c r="Q213" s="353">
        <f t="shared" si="145"/>
        <v>18.648049291627846</v>
      </c>
      <c r="R213" s="353">
        <f t="shared" si="145"/>
        <v>18.55550106643463</v>
      </c>
      <c r="S213" s="353">
        <f t="shared" si="145"/>
        <v>18.399722076481314</v>
      </c>
      <c r="T213" s="353">
        <f t="shared" si="145"/>
        <v>18.19606599557282</v>
      </c>
      <c r="U213" s="353">
        <f t="shared" si="145"/>
        <v>17.964968629078772</v>
      </c>
      <c r="V213" s="353">
        <f t="shared" si="145"/>
        <v>17.72578141662532</v>
      </c>
      <c r="W213" s="353">
        <f t="shared" si="145"/>
        <v>17.492128975944251</v>
      </c>
      <c r="X213" s="353">
        <f t="shared" si="145"/>
        <v>16.656054097187578</v>
      </c>
      <c r="Y213" s="353">
        <f t="shared" si="145"/>
        <v>15.863640003477709</v>
      </c>
      <c r="Z213" s="353">
        <f t="shared" si="145"/>
        <v>15.068263762082118</v>
      </c>
      <c r="AA213" s="353">
        <f t="shared" si="145"/>
        <v>14.269540969160794</v>
      </c>
      <c r="AB213" s="353">
        <f t="shared" si="145"/>
        <v>13.455824551772711</v>
      </c>
      <c r="AC213" s="353">
        <f t="shared" si="145"/>
        <v>12.613043633463924</v>
      </c>
      <c r="AD213" s="353">
        <f t="shared" si="145"/>
        <v>11.732891856899766</v>
      </c>
      <c r="AE213" s="353">
        <f t="shared" si="145"/>
        <v>10.809237594933919</v>
      </c>
      <c r="AF213" s="353">
        <f t="shared" si="145"/>
        <v>9.8514166825826486</v>
      </c>
      <c r="AG213" s="354">
        <f t="shared" si="145"/>
        <v>9.8203896161508357</v>
      </c>
      <c r="AI213" s="230" t="s">
        <v>1415</v>
      </c>
      <c r="AJ213" s="325"/>
    </row>
    <row r="214" spans="1:36" s="230" customFormat="1" x14ac:dyDescent="0.2">
      <c r="A214" s="355" t="s">
        <v>234</v>
      </c>
      <c r="B214" s="356" t="s">
        <v>704</v>
      </c>
      <c r="C214" s="357">
        <f>C192+C213</f>
        <v>71.728733557018757</v>
      </c>
      <c r="D214" s="357">
        <f t="shared" ref="D214:AG214" si="146">D192+D213</f>
        <v>73.964757425943475</v>
      </c>
      <c r="E214" s="357">
        <f t="shared" si="146"/>
        <v>76.063872141247302</v>
      </c>
      <c r="F214" s="357">
        <f t="shared" si="146"/>
        <v>78.010794082138759</v>
      </c>
      <c r="G214" s="357">
        <f t="shared" si="146"/>
        <v>79.791034418195096</v>
      </c>
      <c r="H214" s="357">
        <f t="shared" si="146"/>
        <v>81.391016010097076</v>
      </c>
      <c r="I214" s="357">
        <f t="shared" si="146"/>
        <v>82.755772850217866</v>
      </c>
      <c r="J214" s="357">
        <f t="shared" si="146"/>
        <v>84.092736885152945</v>
      </c>
      <c r="K214" s="357">
        <f t="shared" si="146"/>
        <v>85.398078444979973</v>
      </c>
      <c r="L214" s="357">
        <f t="shared" si="146"/>
        <v>86.666556781259288</v>
      </c>
      <c r="M214" s="357">
        <f t="shared" si="146"/>
        <v>87.890449945231396</v>
      </c>
      <c r="N214" s="357">
        <f t="shared" si="146"/>
        <v>88.350065314271347</v>
      </c>
      <c r="O214" s="357">
        <f t="shared" si="146"/>
        <v>88.613388835085658</v>
      </c>
      <c r="P214" s="357">
        <f t="shared" si="146"/>
        <v>88.574014442321015</v>
      </c>
      <c r="Q214" s="357">
        <f t="shared" si="146"/>
        <v>88.290801114423559</v>
      </c>
      <c r="R214" s="357">
        <f t="shared" si="146"/>
        <v>87.761240911393159</v>
      </c>
      <c r="S214" s="357">
        <f t="shared" si="146"/>
        <v>87.151325814035417</v>
      </c>
      <c r="T214" s="357">
        <f t="shared" si="146"/>
        <v>86.476624403059489</v>
      </c>
      <c r="U214" s="357">
        <f t="shared" si="146"/>
        <v>85.757799883996697</v>
      </c>
      <c r="V214" s="357">
        <f t="shared" si="146"/>
        <v>85.014443470299156</v>
      </c>
      <c r="W214" s="357">
        <f t="shared" si="146"/>
        <v>84.260431794052082</v>
      </c>
      <c r="X214" s="357">
        <f t="shared" si="146"/>
        <v>82.723152975441536</v>
      </c>
      <c r="Y214" s="357">
        <f t="shared" si="146"/>
        <v>81.385515265436695</v>
      </c>
      <c r="Z214" s="357">
        <f t="shared" si="146"/>
        <v>79.963671895079443</v>
      </c>
      <c r="AA214" s="357">
        <f t="shared" si="146"/>
        <v>78.524064975810234</v>
      </c>
      <c r="AB214" s="357">
        <f t="shared" si="146"/>
        <v>77.055397162719203</v>
      </c>
      <c r="AC214" s="357">
        <f t="shared" si="146"/>
        <v>75.538752896068445</v>
      </c>
      <c r="AD214" s="357">
        <f t="shared" si="146"/>
        <v>73.971997149049741</v>
      </c>
      <c r="AE214" s="357">
        <f t="shared" si="146"/>
        <v>72.349363777737793</v>
      </c>
      <c r="AF214" s="357">
        <f t="shared" si="146"/>
        <v>70.671315882099961</v>
      </c>
      <c r="AG214" s="358">
        <f t="shared" si="146"/>
        <v>68.66923532114285</v>
      </c>
      <c r="AI214" s="230" t="s">
        <v>1416</v>
      </c>
      <c r="AJ214" s="325"/>
    </row>
    <row r="215" spans="1:36" s="230" customFormat="1" x14ac:dyDescent="0.2">
      <c r="A215" s="433"/>
      <c r="B215" s="434"/>
      <c r="C215" s="433"/>
      <c r="D215" s="433"/>
      <c r="E215" s="433"/>
      <c r="F215" s="433"/>
      <c r="G215" s="433"/>
      <c r="H215" s="433"/>
      <c r="I215" s="433"/>
      <c r="J215" s="433"/>
      <c r="K215" s="433"/>
      <c r="L215" s="433"/>
      <c r="M215" s="433"/>
      <c r="N215" s="433"/>
      <c r="O215" s="433"/>
      <c r="P215" s="433"/>
      <c r="Q215" s="433"/>
      <c r="R215" s="433"/>
      <c r="S215" s="433"/>
      <c r="T215" s="433"/>
      <c r="U215" s="433"/>
      <c r="V215" s="433"/>
      <c r="W215" s="433"/>
      <c r="X215" s="433"/>
      <c r="Y215" s="433"/>
      <c r="Z215" s="433"/>
      <c r="AA215" s="433"/>
      <c r="AB215" s="433"/>
      <c r="AC215" s="433"/>
      <c r="AD215" s="433"/>
      <c r="AE215" s="433"/>
      <c r="AF215" s="433"/>
      <c r="AG215" s="433"/>
      <c r="AJ215" s="325"/>
    </row>
    <row r="216" spans="1:36" x14ac:dyDescent="0.2">
      <c r="A216" t="s">
        <v>1505</v>
      </c>
      <c r="B216" s="130"/>
      <c r="C216" s="230">
        <f>(C45*C65+C46*C86+C47*C111+C48*C94+C49*C114)</f>
        <v>4.8226258181960828</v>
      </c>
      <c r="D216" s="230">
        <f t="shared" ref="D216:AG216" si="147">(D45*D65+D46*D86+D47*D111+D48*D94+D49*D114)</f>
        <v>5.3423153258457976</v>
      </c>
      <c r="E216" s="230">
        <f t="shared" si="147"/>
        <v>5.880991111691559</v>
      </c>
      <c r="F216" s="230">
        <f t="shared" si="147"/>
        <v>6.4359498279922605</v>
      </c>
      <c r="G216" s="230">
        <f t="shared" si="147"/>
        <v>7.0041700145154167</v>
      </c>
      <c r="H216" s="230">
        <f t="shared" si="147"/>
        <v>7.5823362785741857</v>
      </c>
      <c r="I216" s="230">
        <f t="shared" si="147"/>
        <v>8.1669385876453848</v>
      </c>
      <c r="J216" s="230">
        <f t="shared" si="147"/>
        <v>8.7735785580571175</v>
      </c>
      <c r="K216" s="230">
        <f t="shared" si="147"/>
        <v>9.4022195651994167</v>
      </c>
      <c r="L216" s="230">
        <f t="shared" si="147"/>
        <v>10.052776426784835</v>
      </c>
      <c r="M216" s="230">
        <f t="shared" si="147"/>
        <v>10.725113966264903</v>
      </c>
      <c r="N216" s="230">
        <f t="shared" si="147"/>
        <v>11.829721736590145</v>
      </c>
      <c r="O216" s="230">
        <f t="shared" si="147"/>
        <v>12.956320937231716</v>
      </c>
      <c r="P216" s="230">
        <f t="shared" si="147"/>
        <v>14.081815871349141</v>
      </c>
      <c r="Q216" s="230">
        <f t="shared" si="147"/>
        <v>15.211006661054896</v>
      </c>
      <c r="R216" s="230">
        <f t="shared" si="147"/>
        <v>16.337493831767105</v>
      </c>
      <c r="S216" s="230">
        <f t="shared" si="147"/>
        <v>17.486159364118933</v>
      </c>
      <c r="T216" s="230">
        <f t="shared" si="147"/>
        <v>18.656539415537008</v>
      </c>
      <c r="U216" s="230">
        <f t="shared" si="147"/>
        <v>19.848140320708453</v>
      </c>
      <c r="V216" s="230">
        <f t="shared" si="147"/>
        <v>21.060438448936367</v>
      </c>
      <c r="W216" s="230">
        <f t="shared" si="147"/>
        <v>22.29288008905484</v>
      </c>
      <c r="X216" s="230">
        <f t="shared" si="147"/>
        <v>24.132496948620126</v>
      </c>
      <c r="Y216" s="230">
        <f t="shared" si="147"/>
        <v>26.077785394866098</v>
      </c>
      <c r="Z216" s="230">
        <f t="shared" si="147"/>
        <v>28.018154032436328</v>
      </c>
      <c r="AA216" s="230">
        <f t="shared" si="147"/>
        <v>29.984613092558</v>
      </c>
      <c r="AB216" s="230">
        <f t="shared" si="147"/>
        <v>31.976045841194392</v>
      </c>
      <c r="AC216" s="230">
        <f t="shared" si="147"/>
        <v>33.989775543433908</v>
      </c>
      <c r="AD216" s="230">
        <f t="shared" si="147"/>
        <v>36.026283722665468</v>
      </c>
      <c r="AE216" s="230">
        <f t="shared" si="147"/>
        <v>38.084378438630978</v>
      </c>
      <c r="AF216" s="230">
        <f t="shared" si="147"/>
        <v>40.162826182020765</v>
      </c>
      <c r="AG216" s="230">
        <f t="shared" si="147"/>
        <v>42.260352059497436</v>
      </c>
      <c r="AI216" s="23">
        <f>(AG216/C216)^(1/30)-1</f>
        <v>7.5032642522154136E-2</v>
      </c>
    </row>
    <row r="217" spans="1:36" x14ac:dyDescent="0.2">
      <c r="A217" t="s">
        <v>1359</v>
      </c>
      <c r="B217" s="130"/>
      <c r="C217" s="230">
        <f>C216</f>
        <v>4.8226258181960828</v>
      </c>
      <c r="D217" s="230">
        <f>C217*(1+$AI$217)</f>
        <v>4.903163669359957</v>
      </c>
      <c r="E217" s="230">
        <f t="shared" ref="E217:AG217" si="148">D217*(1+$AI$217)</f>
        <v>4.9850465026382675</v>
      </c>
      <c r="F217" s="230">
        <f t="shared" si="148"/>
        <v>5.0682967792323259</v>
      </c>
      <c r="G217" s="230">
        <f t="shared" si="148"/>
        <v>5.1529373354455057</v>
      </c>
      <c r="H217" s="230">
        <f t="shared" si="148"/>
        <v>5.2389913889474453</v>
      </c>
      <c r="I217" s="230">
        <f t="shared" si="148"/>
        <v>5.3264825451428672</v>
      </c>
      <c r="J217" s="230">
        <f t="shared" si="148"/>
        <v>5.415434803646753</v>
      </c>
      <c r="K217" s="230">
        <f t="shared" si="148"/>
        <v>5.5058725648676532</v>
      </c>
      <c r="L217" s="230">
        <f t="shared" si="148"/>
        <v>5.5978206367009431</v>
      </c>
      <c r="M217" s="230">
        <f t="shared" si="148"/>
        <v>5.6913042413338486</v>
      </c>
      <c r="N217" s="230">
        <f t="shared" si="148"/>
        <v>5.7863490221641234</v>
      </c>
      <c r="O217" s="230">
        <f t="shared" si="148"/>
        <v>5.8829810508342639</v>
      </c>
      <c r="P217" s="230">
        <f t="shared" si="148"/>
        <v>5.9812268343831958</v>
      </c>
      <c r="Q217" s="230">
        <f t="shared" si="148"/>
        <v>6.0811133225173952</v>
      </c>
      <c r="R217" s="230">
        <f t="shared" si="148"/>
        <v>6.1826679150034352</v>
      </c>
      <c r="S217" s="230">
        <f t="shared" si="148"/>
        <v>6.2859184691839918</v>
      </c>
      <c r="T217" s="230">
        <f t="shared" si="148"/>
        <v>6.3908933076193639</v>
      </c>
      <c r="U217" s="230">
        <f t="shared" si="148"/>
        <v>6.4976212258566068</v>
      </c>
      <c r="V217" s="230">
        <f t="shared" si="148"/>
        <v>6.606131500328412</v>
      </c>
      <c r="W217" s="230">
        <f t="shared" si="148"/>
        <v>6.7164538963838964</v>
      </c>
      <c r="X217" s="230">
        <f t="shared" si="148"/>
        <v>6.8286186764535071</v>
      </c>
      <c r="Y217" s="230">
        <f t="shared" si="148"/>
        <v>6.9426566083502799</v>
      </c>
      <c r="Z217" s="230">
        <f t="shared" si="148"/>
        <v>7.0585989737097288</v>
      </c>
      <c r="AA217" s="230">
        <f t="shared" si="148"/>
        <v>7.1764775765706812</v>
      </c>
      <c r="AB217" s="230">
        <f t="shared" si="148"/>
        <v>7.2963247520994114</v>
      </c>
      <c r="AC217" s="230">
        <f t="shared" si="148"/>
        <v>7.418173375459471</v>
      </c>
      <c r="AD217" s="230">
        <f t="shared" si="148"/>
        <v>7.5420568708296436</v>
      </c>
      <c r="AE217" s="230">
        <f t="shared" si="148"/>
        <v>7.6680092205724986</v>
      </c>
      <c r="AF217" s="230">
        <f t="shared" si="148"/>
        <v>7.7960649745560584</v>
      </c>
      <c r="AG217" s="230">
        <f t="shared" si="148"/>
        <v>7.9262592596311441</v>
      </c>
      <c r="AI217" s="214">
        <v>1.67E-2</v>
      </c>
      <c r="AJ217" s="3" t="s">
        <v>1360</v>
      </c>
    </row>
    <row r="218" spans="1:36" x14ac:dyDescent="0.2">
      <c r="B218" s="130"/>
      <c r="C218" s="113"/>
      <c r="D218" s="23"/>
      <c r="E218" s="23"/>
      <c r="F218" s="23"/>
      <c r="G218" s="23"/>
      <c r="H218" s="23"/>
      <c r="I218" s="23"/>
      <c r="J218" s="23"/>
      <c r="K218" s="23"/>
      <c r="L218" s="23"/>
      <c r="M218" s="126"/>
      <c r="N218" s="110"/>
      <c r="O218" s="110"/>
      <c r="P218" s="110"/>
      <c r="Q218" s="110"/>
      <c r="R218" s="110"/>
      <c r="S218" s="110"/>
      <c r="T218" s="110"/>
      <c r="U218" s="110"/>
      <c r="V218" s="110"/>
      <c r="W218" s="126"/>
      <c r="X218" s="110"/>
      <c r="Y218" s="110"/>
      <c r="Z218" s="110"/>
      <c r="AA218" s="110"/>
      <c r="AB218" s="110"/>
      <c r="AC218" s="110"/>
      <c r="AD218" s="110"/>
      <c r="AE218" s="110"/>
      <c r="AF218" s="110"/>
      <c r="AG218" s="113"/>
    </row>
    <row r="219" spans="1:36" x14ac:dyDescent="0.2">
      <c r="B219" s="51"/>
    </row>
    <row r="220" spans="1:36" x14ac:dyDescent="0.2">
      <c r="B220" s="51"/>
      <c r="C220" s="107" t="s">
        <v>1528</v>
      </c>
      <c r="AG220" s="107" t="s">
        <v>1528</v>
      </c>
    </row>
    <row r="221" spans="1:36" x14ac:dyDescent="0.2">
      <c r="A221" s="112"/>
      <c r="B221"/>
      <c r="C221" s="2">
        <f>(C63*C45+C90*C46)/(C63*C45+C90*C46+'Yearly HC Propylene'!D46)</f>
        <v>1.9579744014429752E-2</v>
      </c>
      <c r="W221" s="107" t="s">
        <v>309</v>
      </c>
      <c r="AG221" s="2">
        <f>(AG63*AG45+AG90*AG46)/(AG63*AG45+AG90*AG46+'Yearly HC Propylene'!AH46)</f>
        <v>0.18926297310572768</v>
      </c>
    </row>
    <row r="222" spans="1:36" x14ac:dyDescent="0.2">
      <c r="C222" s="2" t="e">
        <f>(C111*C47+C45*C67+C46*C89+C104*C48)/(C111*C47+C45*C67+C46*C89+C104*C48+'Yearly HC Propylene'!D110)</f>
        <v>#VALUE!</v>
      </c>
      <c r="W222" s="107" t="s">
        <v>811</v>
      </c>
      <c r="AG222" s="2">
        <f>(AG111*AG47+AG45*AG67+AG46*AG89+AG104*AG48)/(AG111*AG47+AG45*AG67+AG46*AG89+AG104*AG48+'Yearly HC Propylene'!AH110)</f>
        <v>1</v>
      </c>
      <c r="AH222" s="245">
        <f>AG111*AG52+AG50*AG75+AG51*AG89+AG104*AG53</f>
        <v>0.26650569620253167</v>
      </c>
    </row>
    <row r="223" spans="1:36" x14ac:dyDescent="0.2">
      <c r="C223" s="2">
        <f>(C87*C46)/(C87*C46+'Yearly HC Propylene'!D120)</f>
        <v>1.1870743613630443E-5</v>
      </c>
      <c r="W223" s="107" t="s">
        <v>1462</v>
      </c>
      <c r="AG223" s="2">
        <f>(AG87*AG46)/(AG87*AG46+'Yearly HC Propylene'!AH120)</f>
        <v>2.7048753133732208E-3</v>
      </c>
    </row>
    <row r="224" spans="1:36" x14ac:dyDescent="0.2">
      <c r="C224" s="2">
        <v>0</v>
      </c>
      <c r="W224" s="107" t="s">
        <v>320</v>
      </c>
      <c r="AG224" s="2">
        <v>0</v>
      </c>
    </row>
    <row r="225" spans="3:33" x14ac:dyDescent="0.2">
      <c r="C225" s="2">
        <f>(C66*C45+C114*C49+C91*C46+C105*C48)/(C66*C45+C114*C49+C91*C46+C105*C48+'Yearly HC Propylene'!D144)</f>
        <v>1</v>
      </c>
      <c r="W225" s="107" t="s">
        <v>248</v>
      </c>
      <c r="AG225" s="2">
        <f>(AG66*AG45+AG114*AG49+AG91*AG46+AG105*AG48)/(AG66*AG45+AG114*AG49+AG91*AG46+AG105*AG48+'Yearly HC Propylene'!AH144)</f>
        <v>1</v>
      </c>
    </row>
    <row r="226" spans="3:33" x14ac:dyDescent="0.2">
      <c r="C226" s="2">
        <f>C216/('Yearly HC Propylene'!D68+C216)</f>
        <v>4.1308807989993312E-2</v>
      </c>
      <c r="AG226" s="2">
        <f>AG216/('Yearly HC Propylene'!AH68+AG216)</f>
        <v>0.35924852271096419</v>
      </c>
    </row>
  </sheetData>
  <mergeCells count="4">
    <mergeCell ref="BD72:BE72"/>
    <mergeCell ref="BD77:BE77"/>
    <mergeCell ref="BD82:BE82"/>
    <mergeCell ref="AI184:AI192"/>
  </mergeCells>
  <hyperlinks>
    <hyperlink ref="AJ76" r:id="rId1" xr:uid="{5643A94E-3FEB-4642-A955-E7E7C583E415}"/>
    <hyperlink ref="AJ77" r:id="rId2" xr:uid="{3E71DC36-B15E-40E9-8EC0-B1624633191C}"/>
  </hyperlinks>
  <pageMargins left="0.7" right="0.7" top="0.75" bottom="0.75" header="0.3" footer="0.3"/>
  <pageSetup orientation="portrait" r:id="rId3"/>
  <drawing r:id="rId4"/>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8D0B1-24AB-4236-9352-14534FA37B8C}">
  <sheetPr>
    <tabColor theme="4"/>
  </sheetPr>
  <dimension ref="A1:BL349"/>
  <sheetViews>
    <sheetView zoomScale="70" zoomScaleNormal="70" workbookViewId="0">
      <pane xSplit="2" ySplit="6" topLeftCell="C264" activePane="bottomRight" state="frozen"/>
      <selection pane="topRight" activeCell="C1" sqref="C1"/>
      <selection pane="bottomLeft" activeCell="A4" sqref="A4"/>
      <selection pane="bottomRight" activeCell="W42" sqref="W42"/>
    </sheetView>
  </sheetViews>
  <sheetFormatPr baseColWidth="10" defaultColWidth="8.83203125" defaultRowHeight="15" outlineLevelRow="2" outlineLevelCol="1" x14ac:dyDescent="0.2"/>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x14ac:dyDescent="0.2">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x14ac:dyDescent="0.2">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x14ac:dyDescent="0.2">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x14ac:dyDescent="0.2">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x14ac:dyDescent="0.25">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x14ac:dyDescent="0.2">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x14ac:dyDescent="0.2">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x14ac:dyDescent="0.2">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x14ac:dyDescent="0.2">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x14ac:dyDescent="0.2">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x14ac:dyDescent="0.2">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x14ac:dyDescent="0.25">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x14ac:dyDescent="0.2">
      <c r="AM13" s="26"/>
      <c r="AN13" s="2"/>
      <c r="AO13" s="26"/>
      <c r="AR13" s="2"/>
    </row>
    <row r="14" spans="1:47" outlineLevel="1" x14ac:dyDescent="0.2">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x14ac:dyDescent="0.2">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x14ac:dyDescent="0.2">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x14ac:dyDescent="0.2">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x14ac:dyDescent="0.2">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x14ac:dyDescent="0.25">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x14ac:dyDescent="0.2">
      <c r="AL20" s="114"/>
      <c r="AM20" s="115"/>
      <c r="AN20" s="115"/>
      <c r="AO20" s="115"/>
      <c r="AP20" s="115"/>
      <c r="AQ20" s="115"/>
    </row>
    <row r="21" spans="1:64" outlineLevel="1" x14ac:dyDescent="0.2">
      <c r="A21" t="s">
        <v>1529</v>
      </c>
      <c r="B21" s="54" t="s">
        <v>462</v>
      </c>
      <c r="C21" s="159">
        <f>'Overall recycling rates'!E76</f>
        <v>1.1134731521823905E-2</v>
      </c>
      <c r="D21" s="159">
        <f>C21</f>
        <v>1.1134731521823905E-2</v>
      </c>
      <c r="E21" s="159">
        <f t="shared" ref="E21:AF22" si="10">D21</f>
        <v>1.1134731521823905E-2</v>
      </c>
      <c r="F21" s="159">
        <f t="shared" si="10"/>
        <v>1.1134731521823905E-2</v>
      </c>
      <c r="G21" s="159">
        <f t="shared" si="10"/>
        <v>1.1134731521823905E-2</v>
      </c>
      <c r="H21" s="159">
        <f t="shared" si="10"/>
        <v>1.1134731521823905E-2</v>
      </c>
      <c r="I21" s="159">
        <f t="shared" si="10"/>
        <v>1.1134731521823905E-2</v>
      </c>
      <c r="J21" s="159">
        <f t="shared" si="10"/>
        <v>1.1134731521823905E-2</v>
      </c>
      <c r="K21" s="159">
        <f t="shared" si="10"/>
        <v>1.1134731521823905E-2</v>
      </c>
      <c r="L21" s="159">
        <f t="shared" si="10"/>
        <v>1.1134731521823905E-2</v>
      </c>
      <c r="M21" s="159">
        <f t="shared" si="10"/>
        <v>1.1134731521823905E-2</v>
      </c>
      <c r="N21" s="159">
        <f t="shared" si="10"/>
        <v>1.1134731521823905E-2</v>
      </c>
      <c r="O21" s="159">
        <f t="shared" si="10"/>
        <v>1.1134731521823905E-2</v>
      </c>
      <c r="P21" s="159">
        <f t="shared" si="10"/>
        <v>1.1134731521823905E-2</v>
      </c>
      <c r="Q21" s="159">
        <f t="shared" si="10"/>
        <v>1.1134731521823905E-2</v>
      </c>
      <c r="R21" s="159">
        <f t="shared" si="10"/>
        <v>1.1134731521823905E-2</v>
      </c>
      <c r="S21" s="159">
        <f t="shared" si="10"/>
        <v>1.1134731521823905E-2</v>
      </c>
      <c r="T21" s="159">
        <f t="shared" si="10"/>
        <v>1.1134731521823905E-2</v>
      </c>
      <c r="U21" s="159">
        <f t="shared" si="10"/>
        <v>1.1134731521823905E-2</v>
      </c>
      <c r="V21" s="159">
        <f t="shared" si="10"/>
        <v>1.1134731521823905E-2</v>
      </c>
      <c r="W21" s="159">
        <f t="shared" si="10"/>
        <v>1.1134731521823905E-2</v>
      </c>
      <c r="X21" s="159">
        <f t="shared" si="10"/>
        <v>1.1134731521823905E-2</v>
      </c>
      <c r="Y21" s="159">
        <f t="shared" si="10"/>
        <v>1.1134731521823905E-2</v>
      </c>
      <c r="Z21" s="159">
        <f t="shared" si="10"/>
        <v>1.1134731521823905E-2</v>
      </c>
      <c r="AA21" s="159">
        <f t="shared" si="10"/>
        <v>1.1134731521823905E-2</v>
      </c>
      <c r="AB21" s="159">
        <f t="shared" si="10"/>
        <v>1.1134731521823905E-2</v>
      </c>
      <c r="AC21" s="159">
        <f t="shared" si="10"/>
        <v>1.1134731521823905E-2</v>
      </c>
      <c r="AD21" s="159">
        <f t="shared" si="10"/>
        <v>1.1134731521823905E-2</v>
      </c>
      <c r="AE21" s="159">
        <f t="shared" si="10"/>
        <v>1.1134731521823905E-2</v>
      </c>
      <c r="AF21" s="159">
        <f t="shared" si="10"/>
        <v>1.1134731521823905E-2</v>
      </c>
      <c r="AG21" s="159">
        <f>AF21</f>
        <v>1.1134731521823905E-2</v>
      </c>
      <c r="AI21" s="54" t="s">
        <v>1263</v>
      </c>
      <c r="AJ21" s="211"/>
      <c r="AM21" s="115"/>
      <c r="AN21" s="115"/>
      <c r="AO21" s="115"/>
      <c r="AP21" s="115"/>
      <c r="AQ21" s="115"/>
    </row>
    <row r="22" spans="1:64" outlineLevel="1" x14ac:dyDescent="0.2">
      <c r="A22" t="s">
        <v>1530</v>
      </c>
      <c r="B22" s="54" t="s">
        <v>462</v>
      </c>
      <c r="C22" s="159">
        <f>'Overall recycling rates'!E78</f>
        <v>3.2359877891023306E-2</v>
      </c>
      <c r="D22" s="159">
        <f t="shared" ref="D22:S25" si="11">C22</f>
        <v>3.2359877891023306E-2</v>
      </c>
      <c r="E22" s="159">
        <f t="shared" si="11"/>
        <v>3.2359877891023306E-2</v>
      </c>
      <c r="F22" s="159">
        <f t="shared" si="11"/>
        <v>3.2359877891023306E-2</v>
      </c>
      <c r="G22" s="159">
        <f t="shared" si="11"/>
        <v>3.2359877891023306E-2</v>
      </c>
      <c r="H22" s="159">
        <f t="shared" si="11"/>
        <v>3.2359877891023306E-2</v>
      </c>
      <c r="I22" s="159">
        <f t="shared" si="11"/>
        <v>3.2359877891023306E-2</v>
      </c>
      <c r="J22" s="159">
        <f t="shared" si="11"/>
        <v>3.2359877891023306E-2</v>
      </c>
      <c r="K22" s="159">
        <f t="shared" si="11"/>
        <v>3.2359877891023306E-2</v>
      </c>
      <c r="L22" s="159">
        <f t="shared" si="11"/>
        <v>3.2359877891023306E-2</v>
      </c>
      <c r="M22" s="159">
        <f t="shared" si="11"/>
        <v>3.2359877891023306E-2</v>
      </c>
      <c r="N22" s="159">
        <f t="shared" si="11"/>
        <v>3.2359877891023306E-2</v>
      </c>
      <c r="O22" s="159">
        <f t="shared" si="11"/>
        <v>3.2359877891023306E-2</v>
      </c>
      <c r="P22" s="159">
        <f t="shared" si="11"/>
        <v>3.2359877891023306E-2</v>
      </c>
      <c r="Q22" s="159">
        <f t="shared" si="11"/>
        <v>3.2359877891023306E-2</v>
      </c>
      <c r="R22" s="159">
        <f t="shared" si="11"/>
        <v>3.2359877891023306E-2</v>
      </c>
      <c r="S22" s="159">
        <f t="shared" si="11"/>
        <v>3.2359877891023306E-2</v>
      </c>
      <c r="T22" s="159">
        <f t="shared" si="10"/>
        <v>3.2359877891023306E-2</v>
      </c>
      <c r="U22" s="159">
        <f t="shared" si="10"/>
        <v>3.2359877891023306E-2</v>
      </c>
      <c r="V22" s="159">
        <f t="shared" si="10"/>
        <v>3.2359877891023306E-2</v>
      </c>
      <c r="W22" s="159">
        <f t="shared" si="10"/>
        <v>3.2359877891023306E-2</v>
      </c>
      <c r="X22" s="159">
        <f t="shared" si="10"/>
        <v>3.2359877891023306E-2</v>
      </c>
      <c r="Y22" s="159">
        <f t="shared" si="10"/>
        <v>3.2359877891023306E-2</v>
      </c>
      <c r="Z22" s="159">
        <f t="shared" si="10"/>
        <v>3.2359877891023306E-2</v>
      </c>
      <c r="AA22" s="159">
        <f t="shared" si="10"/>
        <v>3.2359877891023306E-2</v>
      </c>
      <c r="AB22" s="159">
        <f t="shared" si="10"/>
        <v>3.2359877891023306E-2</v>
      </c>
      <c r="AC22" s="159">
        <f t="shared" si="10"/>
        <v>3.2359877891023306E-2</v>
      </c>
      <c r="AD22" s="159">
        <f t="shared" si="10"/>
        <v>3.2359877891023306E-2</v>
      </c>
      <c r="AE22" s="159">
        <f t="shared" si="10"/>
        <v>3.2359877891023306E-2</v>
      </c>
      <c r="AF22" s="159">
        <f t="shared" si="10"/>
        <v>3.2359877891023306E-2</v>
      </c>
      <c r="AG22" s="159">
        <f t="shared" ref="T22:AG25" si="12">AF22</f>
        <v>3.2359877891023306E-2</v>
      </c>
      <c r="AI22" s="54" t="s">
        <v>1263</v>
      </c>
      <c r="AJ22" s="211"/>
      <c r="AM22" s="120"/>
      <c r="AN22" s="115"/>
      <c r="AO22" s="116"/>
      <c r="AP22" s="117"/>
      <c r="AQ22" s="116"/>
    </row>
    <row r="23" spans="1:64" outlineLevel="1" x14ac:dyDescent="0.2">
      <c r="A23" t="s">
        <v>1531</v>
      </c>
      <c r="B23" s="54" t="s">
        <v>462</v>
      </c>
      <c r="C23" s="159">
        <f>'Overall recycling rates'!E77</f>
        <v>1.9137757510057262E-2</v>
      </c>
      <c r="D23" s="159">
        <f t="shared" si="11"/>
        <v>1.9137757510057262E-2</v>
      </c>
      <c r="E23" s="159">
        <f t="shared" si="11"/>
        <v>1.9137757510057262E-2</v>
      </c>
      <c r="F23" s="159">
        <f t="shared" si="11"/>
        <v>1.9137757510057262E-2</v>
      </c>
      <c r="G23" s="159">
        <f t="shared" si="11"/>
        <v>1.9137757510057262E-2</v>
      </c>
      <c r="H23" s="159">
        <f t="shared" si="11"/>
        <v>1.9137757510057262E-2</v>
      </c>
      <c r="I23" s="159">
        <f t="shared" si="11"/>
        <v>1.9137757510057262E-2</v>
      </c>
      <c r="J23" s="159">
        <f t="shared" si="11"/>
        <v>1.9137757510057262E-2</v>
      </c>
      <c r="K23" s="159">
        <f t="shared" si="11"/>
        <v>1.9137757510057262E-2</v>
      </c>
      <c r="L23" s="159">
        <f t="shared" si="11"/>
        <v>1.9137757510057262E-2</v>
      </c>
      <c r="M23" s="159">
        <f t="shared" si="11"/>
        <v>1.9137757510057262E-2</v>
      </c>
      <c r="N23" s="159">
        <f t="shared" si="11"/>
        <v>1.9137757510057262E-2</v>
      </c>
      <c r="O23" s="159">
        <f t="shared" si="11"/>
        <v>1.9137757510057262E-2</v>
      </c>
      <c r="P23" s="159">
        <f t="shared" si="11"/>
        <v>1.9137757510057262E-2</v>
      </c>
      <c r="Q23" s="159">
        <f t="shared" si="11"/>
        <v>1.9137757510057262E-2</v>
      </c>
      <c r="R23" s="159">
        <f t="shared" si="11"/>
        <v>1.9137757510057262E-2</v>
      </c>
      <c r="S23" s="159">
        <f t="shared" si="11"/>
        <v>1.9137757510057262E-2</v>
      </c>
      <c r="T23" s="159">
        <f t="shared" si="12"/>
        <v>1.9137757510057262E-2</v>
      </c>
      <c r="U23" s="159">
        <f t="shared" si="12"/>
        <v>1.9137757510057262E-2</v>
      </c>
      <c r="V23" s="159">
        <f t="shared" si="12"/>
        <v>1.9137757510057262E-2</v>
      </c>
      <c r="W23" s="159">
        <f t="shared" si="12"/>
        <v>1.9137757510057262E-2</v>
      </c>
      <c r="X23" s="159">
        <f t="shared" si="12"/>
        <v>1.9137757510057262E-2</v>
      </c>
      <c r="Y23" s="159">
        <f t="shared" si="12"/>
        <v>1.9137757510057262E-2</v>
      </c>
      <c r="Z23" s="159">
        <f t="shared" si="12"/>
        <v>1.9137757510057262E-2</v>
      </c>
      <c r="AA23" s="159">
        <f t="shared" si="12"/>
        <v>1.9137757510057262E-2</v>
      </c>
      <c r="AB23" s="159">
        <f t="shared" si="12"/>
        <v>1.9137757510057262E-2</v>
      </c>
      <c r="AC23" s="159">
        <f t="shared" si="12"/>
        <v>1.9137757510057262E-2</v>
      </c>
      <c r="AD23" s="159">
        <f t="shared" si="12"/>
        <v>1.9137757510057262E-2</v>
      </c>
      <c r="AE23" s="159">
        <f t="shared" si="12"/>
        <v>1.9137757510057262E-2</v>
      </c>
      <c r="AF23" s="159">
        <f t="shared" si="12"/>
        <v>1.9137757510057262E-2</v>
      </c>
      <c r="AG23" s="159">
        <f t="shared" si="12"/>
        <v>1.9137757510057262E-2</v>
      </c>
      <c r="AI23" s="54" t="s">
        <v>1263</v>
      </c>
      <c r="AJ23" s="211"/>
      <c r="AM23" s="120"/>
      <c r="AN23" s="115"/>
      <c r="AO23" s="116"/>
      <c r="AP23" s="117"/>
      <c r="AQ23" s="116"/>
    </row>
    <row r="24" spans="1:64" outlineLevel="1" x14ac:dyDescent="0.2">
      <c r="A24" t="s">
        <v>1532</v>
      </c>
      <c r="B24" s="54" t="s">
        <v>462</v>
      </c>
      <c r="C24" s="159">
        <f>'Overall recycling rates'!E79</f>
        <v>9.1850242717443825E-2</v>
      </c>
      <c r="D24" s="159">
        <f t="shared" si="11"/>
        <v>9.1850242717443825E-2</v>
      </c>
      <c r="E24" s="159">
        <f t="shared" si="11"/>
        <v>9.1850242717443825E-2</v>
      </c>
      <c r="F24" s="159">
        <f t="shared" si="11"/>
        <v>9.1850242717443825E-2</v>
      </c>
      <c r="G24" s="159">
        <f t="shared" si="11"/>
        <v>9.1850242717443825E-2</v>
      </c>
      <c r="H24" s="159">
        <f t="shared" si="11"/>
        <v>9.1850242717443825E-2</v>
      </c>
      <c r="I24" s="159">
        <f t="shared" si="11"/>
        <v>9.1850242717443825E-2</v>
      </c>
      <c r="J24" s="159">
        <f t="shared" si="11"/>
        <v>9.1850242717443825E-2</v>
      </c>
      <c r="K24" s="159">
        <f t="shared" si="11"/>
        <v>9.1850242717443825E-2</v>
      </c>
      <c r="L24" s="159">
        <f t="shared" si="11"/>
        <v>9.1850242717443825E-2</v>
      </c>
      <c r="M24" s="159">
        <f t="shared" si="11"/>
        <v>9.1850242717443825E-2</v>
      </c>
      <c r="N24" s="159">
        <f t="shared" si="11"/>
        <v>9.1850242717443825E-2</v>
      </c>
      <c r="O24" s="159">
        <f t="shared" si="11"/>
        <v>9.1850242717443825E-2</v>
      </c>
      <c r="P24" s="159">
        <f t="shared" si="11"/>
        <v>9.1850242717443825E-2</v>
      </c>
      <c r="Q24" s="159">
        <f t="shared" si="11"/>
        <v>9.1850242717443825E-2</v>
      </c>
      <c r="R24" s="159">
        <f t="shared" si="11"/>
        <v>9.1850242717443825E-2</v>
      </c>
      <c r="S24" s="159">
        <f t="shared" si="11"/>
        <v>9.1850242717443825E-2</v>
      </c>
      <c r="T24" s="159">
        <f t="shared" si="12"/>
        <v>9.1850242717443825E-2</v>
      </c>
      <c r="U24" s="159">
        <f t="shared" si="12"/>
        <v>9.1850242717443825E-2</v>
      </c>
      <c r="V24" s="159">
        <f t="shared" si="12"/>
        <v>9.1850242717443825E-2</v>
      </c>
      <c r="W24" s="159">
        <f t="shared" si="12"/>
        <v>9.1850242717443825E-2</v>
      </c>
      <c r="X24" s="159">
        <f t="shared" si="12"/>
        <v>9.1850242717443825E-2</v>
      </c>
      <c r="Y24" s="159">
        <f t="shared" si="12"/>
        <v>9.1850242717443825E-2</v>
      </c>
      <c r="Z24" s="159">
        <f t="shared" si="12"/>
        <v>9.1850242717443825E-2</v>
      </c>
      <c r="AA24" s="159">
        <f t="shared" si="12"/>
        <v>9.1850242717443825E-2</v>
      </c>
      <c r="AB24" s="159">
        <f t="shared" si="12"/>
        <v>9.1850242717443825E-2</v>
      </c>
      <c r="AC24" s="159">
        <f t="shared" si="12"/>
        <v>9.1850242717443825E-2</v>
      </c>
      <c r="AD24" s="159">
        <f t="shared" si="12"/>
        <v>9.1850242717443825E-2</v>
      </c>
      <c r="AE24" s="159">
        <f t="shared" si="12"/>
        <v>9.1850242717443825E-2</v>
      </c>
      <c r="AF24" s="159">
        <f t="shared" si="12"/>
        <v>9.1850242717443825E-2</v>
      </c>
      <c r="AG24" s="159">
        <f t="shared" si="12"/>
        <v>9.1850242717443825E-2</v>
      </c>
      <c r="AI24" s="54" t="s">
        <v>1263</v>
      </c>
      <c r="AJ24" s="211"/>
      <c r="AM24" s="120"/>
      <c r="AN24" s="115"/>
      <c r="AO24" s="477"/>
      <c r="AP24" s="478"/>
      <c r="AQ24" s="477"/>
    </row>
    <row r="25" spans="1:64" outlineLevel="1" x14ac:dyDescent="0.2">
      <c r="A25" t="s">
        <v>1533</v>
      </c>
      <c r="B25" s="54" t="s">
        <v>462</v>
      </c>
      <c r="C25" s="159">
        <f>'Overall recycling rates'!E80</f>
        <v>6.1083152357585872E-2</v>
      </c>
      <c r="D25" s="159">
        <f>C25</f>
        <v>6.1083152357585872E-2</v>
      </c>
      <c r="E25" s="159">
        <f t="shared" si="11"/>
        <v>6.1083152357585872E-2</v>
      </c>
      <c r="F25" s="159">
        <f t="shared" si="11"/>
        <v>6.1083152357585872E-2</v>
      </c>
      <c r="G25" s="159">
        <f t="shared" si="11"/>
        <v>6.1083152357585872E-2</v>
      </c>
      <c r="H25" s="159">
        <f t="shared" si="11"/>
        <v>6.1083152357585872E-2</v>
      </c>
      <c r="I25" s="159">
        <f t="shared" si="11"/>
        <v>6.1083152357585872E-2</v>
      </c>
      <c r="J25" s="159">
        <f t="shared" si="11"/>
        <v>6.1083152357585872E-2</v>
      </c>
      <c r="K25" s="159">
        <f t="shared" si="11"/>
        <v>6.1083152357585872E-2</v>
      </c>
      <c r="L25" s="159">
        <f t="shared" si="11"/>
        <v>6.1083152357585872E-2</v>
      </c>
      <c r="M25" s="159">
        <f t="shared" si="11"/>
        <v>6.1083152357585872E-2</v>
      </c>
      <c r="N25" s="159">
        <f t="shared" si="11"/>
        <v>6.1083152357585872E-2</v>
      </c>
      <c r="O25" s="159">
        <f t="shared" si="11"/>
        <v>6.1083152357585872E-2</v>
      </c>
      <c r="P25" s="159">
        <f t="shared" si="11"/>
        <v>6.1083152357585872E-2</v>
      </c>
      <c r="Q25" s="159">
        <f t="shared" si="11"/>
        <v>6.1083152357585872E-2</v>
      </c>
      <c r="R25" s="159">
        <f t="shared" si="11"/>
        <v>6.1083152357585872E-2</v>
      </c>
      <c r="S25" s="159">
        <f t="shared" si="11"/>
        <v>6.1083152357585872E-2</v>
      </c>
      <c r="T25" s="159">
        <f t="shared" si="12"/>
        <v>6.1083152357585872E-2</v>
      </c>
      <c r="U25" s="159">
        <f t="shared" si="12"/>
        <v>6.1083152357585872E-2</v>
      </c>
      <c r="V25" s="159">
        <f t="shared" si="12"/>
        <v>6.1083152357585872E-2</v>
      </c>
      <c r="W25" s="159">
        <f t="shared" si="12"/>
        <v>6.1083152357585872E-2</v>
      </c>
      <c r="X25" s="159">
        <f t="shared" si="12"/>
        <v>6.1083152357585872E-2</v>
      </c>
      <c r="Y25" s="159">
        <f t="shared" si="12"/>
        <v>6.1083152357585872E-2</v>
      </c>
      <c r="Z25" s="159">
        <f t="shared" si="12"/>
        <v>6.1083152357585872E-2</v>
      </c>
      <c r="AA25" s="159">
        <f t="shared" si="12"/>
        <v>6.1083152357585872E-2</v>
      </c>
      <c r="AB25" s="159">
        <f t="shared" si="12"/>
        <v>6.1083152357585872E-2</v>
      </c>
      <c r="AC25" s="159">
        <f t="shared" si="12"/>
        <v>6.1083152357585872E-2</v>
      </c>
      <c r="AD25" s="159">
        <f t="shared" si="12"/>
        <v>6.1083152357585872E-2</v>
      </c>
      <c r="AE25" s="159">
        <f t="shared" si="12"/>
        <v>6.1083152357585872E-2</v>
      </c>
      <c r="AF25" s="159">
        <f t="shared" si="12"/>
        <v>6.1083152357585872E-2</v>
      </c>
      <c r="AG25" s="159">
        <f t="shared" si="12"/>
        <v>6.1083152357585872E-2</v>
      </c>
      <c r="AI25" s="54" t="s">
        <v>1263</v>
      </c>
      <c r="AJ25" s="211"/>
      <c r="AM25" s="120"/>
      <c r="AN25" s="115"/>
      <c r="AO25" s="116"/>
      <c r="AP25" s="117"/>
      <c r="AQ25" s="116"/>
    </row>
    <row r="26" spans="1:64" outlineLevel="1" x14ac:dyDescent="0.2">
      <c r="AI26" s="54"/>
      <c r="AM26" s="120"/>
      <c r="AN26" s="115"/>
      <c r="AO26" s="116"/>
      <c r="AP26" s="117"/>
      <c r="AQ26" s="116"/>
      <c r="BD26" s="23"/>
      <c r="BE26" s="23"/>
      <c r="BF26" s="23"/>
      <c r="BG26" s="23"/>
      <c r="BH26" s="23"/>
      <c r="BI26" s="23"/>
      <c r="BJ26" s="23"/>
      <c r="BK26" s="23"/>
      <c r="BL26" s="23"/>
    </row>
    <row r="27" spans="1:64" outlineLevel="1" x14ac:dyDescent="0.2">
      <c r="A27" t="s">
        <v>1534</v>
      </c>
      <c r="B27" s="54" t="s">
        <v>1535</v>
      </c>
      <c r="C27" s="204">
        <f>C14*C21</f>
        <v>2.137941716225618</v>
      </c>
      <c r="D27" s="204">
        <f t="shared" ref="D27:AG27" si="13">D14*D21</f>
        <v>2.2096087286575932</v>
      </c>
      <c r="E27" s="204">
        <f t="shared" si="13"/>
        <v>2.2777084329343018</v>
      </c>
      <c r="F27" s="204">
        <f t="shared" si="13"/>
        <v>2.3417734176399954</v>
      </c>
      <c r="G27" s="204">
        <f t="shared" si="13"/>
        <v>2.4013549757949453</v>
      </c>
      <c r="H27" s="204">
        <f t="shared" si="13"/>
        <v>2.4560283397508269</v>
      </c>
      <c r="I27" s="204">
        <f t="shared" si="13"/>
        <v>2.5108030142133506</v>
      </c>
      <c r="J27" s="204">
        <f t="shared" si="13"/>
        <v>2.5656294057910416</v>
      </c>
      <c r="K27" s="204">
        <f t="shared" si="13"/>
        <v>2.6204566620152048</v>
      </c>
      <c r="L27" s="204">
        <f t="shared" si="13"/>
        <v>2.6752327374721778</v>
      </c>
      <c r="M27" s="204">
        <f>M14*M21</f>
        <v>2.7299044644051373</v>
      </c>
      <c r="N27" s="204">
        <f t="shared" si="13"/>
        <v>2.7804337089831113</v>
      </c>
      <c r="O27" s="204">
        <f t="shared" si="13"/>
        <v>2.8265402269314515</v>
      </c>
      <c r="P27" s="204">
        <f t="shared" si="13"/>
        <v>2.867963568105826</v>
      </c>
      <c r="Q27" s="204">
        <f t="shared" si="13"/>
        <v>2.9044654971713828</v>
      </c>
      <c r="R27" s="204">
        <f t="shared" si="13"/>
        <v>2.935832250480499</v>
      </c>
      <c r="S27" s="204">
        <f t="shared" si="13"/>
        <v>2.9672129233514815</v>
      </c>
      <c r="T27" s="204">
        <f t="shared" si="13"/>
        <v>2.9986005242481526</v>
      </c>
      <c r="U27" s="204">
        <f t="shared" si="13"/>
        <v>3.0299879776975489</v>
      </c>
      <c r="V27" s="204">
        <f t="shared" si="13"/>
        <v>3.0613681265221042</v>
      </c>
      <c r="W27" s="204">
        <f t="shared" si="13"/>
        <v>3.092733734145976</v>
      </c>
      <c r="X27" s="204">
        <f t="shared" si="13"/>
        <v>3.1241118968506316</v>
      </c>
      <c r="Y27" s="204">
        <f t="shared" si="13"/>
        <v>3.1554963149724538</v>
      </c>
      <c r="Z27" s="204">
        <f t="shared" si="13"/>
        <v>3.1868806176551439</v>
      </c>
      <c r="AA27" s="204">
        <f t="shared" si="13"/>
        <v>3.2182583646700484</v>
      </c>
      <c r="AB27" s="204">
        <f t="shared" si="13"/>
        <v>3.2496230482931523</v>
      </c>
      <c r="AC27" s="204">
        <f t="shared" si="13"/>
        <v>3.2809991142881461</v>
      </c>
      <c r="AD27" s="204">
        <f t="shared" si="13"/>
        <v>3.3123808564026085</v>
      </c>
      <c r="AE27" s="204">
        <f t="shared" si="13"/>
        <v>3.3437625074661987</v>
      </c>
      <c r="AF27" s="204">
        <f t="shared" si="13"/>
        <v>3.3751382408899606</v>
      </c>
      <c r="AG27" s="204">
        <f t="shared" si="13"/>
        <v>3.4065021722095441</v>
      </c>
      <c r="AI27" s="245"/>
      <c r="AM27" s="120"/>
      <c r="AN27" s="115"/>
      <c r="AO27" s="115"/>
      <c r="AP27" s="115"/>
      <c r="AQ27" s="115"/>
      <c r="BD27" s="205"/>
      <c r="BE27" s="205"/>
      <c r="BF27" s="205"/>
      <c r="BG27" s="205"/>
      <c r="BH27" s="205"/>
      <c r="BI27" s="205"/>
      <c r="BJ27" s="205"/>
      <c r="BK27" s="205"/>
      <c r="BL27" s="205"/>
    </row>
    <row r="28" spans="1:64" outlineLevel="1" x14ac:dyDescent="0.2">
      <c r="A28" t="s">
        <v>1536</v>
      </c>
      <c r="B28" s="54" t="s">
        <v>1535</v>
      </c>
      <c r="C28" s="204">
        <f t="shared" ref="C28:AG31" si="14">C15*C22</f>
        <v>0.58649688544622769</v>
      </c>
      <c r="D28" s="204">
        <f t="shared" si="14"/>
        <v>0.60615714056992442</v>
      </c>
      <c r="E28" s="204">
        <f t="shared" si="14"/>
        <v>0.62483878383221614</v>
      </c>
      <c r="F28" s="204">
        <f t="shared" si="14"/>
        <v>0.64241359127943864</v>
      </c>
      <c r="G28" s="204">
        <f t="shared" si="14"/>
        <v>0.65875847010504252</v>
      </c>
      <c r="H28" s="204">
        <f t="shared" si="14"/>
        <v>0.67375689472702072</v>
      </c>
      <c r="I28" s="204">
        <f t="shared" si="14"/>
        <v>0.68878311163919914</v>
      </c>
      <c r="J28" s="204">
        <f t="shared" si="14"/>
        <v>0.70382351599472071</v>
      </c>
      <c r="K28" s="204">
        <f t="shared" si="14"/>
        <v>0.71886415754682209</v>
      </c>
      <c r="L28" s="204">
        <f t="shared" si="14"/>
        <v>0.73389075879075039</v>
      </c>
      <c r="M28" s="204">
        <f t="shared" si="14"/>
        <v>0.74888873433180292</v>
      </c>
      <c r="N28" s="204">
        <f t="shared" si="14"/>
        <v>0.76275031172842678</v>
      </c>
      <c r="O28" s="204">
        <f t="shared" si="14"/>
        <v>0.7753986121803268</v>
      </c>
      <c r="P28" s="204">
        <f t="shared" si="14"/>
        <v>0.78676218696778055</v>
      </c>
      <c r="Q28" s="204">
        <f t="shared" si="14"/>
        <v>0.7967756815112722</v>
      </c>
      <c r="R28" s="204">
        <f t="shared" si="14"/>
        <v>0.80538045449583906</v>
      </c>
      <c r="S28" s="204">
        <f t="shared" si="14"/>
        <v>0.81398904600343625</v>
      </c>
      <c r="T28" s="204">
        <f t="shared" si="14"/>
        <v>0.82259953806120234</v>
      </c>
      <c r="U28" s="204">
        <f t="shared" si="14"/>
        <v>0.83120998967007897</v>
      </c>
      <c r="V28" s="204">
        <f t="shared" si="14"/>
        <v>0.83981843741716355</v>
      </c>
      <c r="W28" s="204">
        <f t="shared" si="14"/>
        <v>0.8484228961083975</v>
      </c>
      <c r="X28" s="204">
        <f t="shared" si="14"/>
        <v>0.85703079900754442</v>
      </c>
      <c r="Y28" s="204">
        <f t="shared" si="14"/>
        <v>0.8656404179416316</v>
      </c>
      <c r="Z28" s="204">
        <f t="shared" si="14"/>
        <v>0.87425000520755336</v>
      </c>
      <c r="AA28" s="204">
        <f t="shared" si="14"/>
        <v>0.88285779407143816</v>
      </c>
      <c r="AB28" s="204">
        <f t="shared" si="14"/>
        <v>0.89146199928355774</v>
      </c>
      <c r="AC28" s="204">
        <f t="shared" si="14"/>
        <v>0.90006932699691888</v>
      </c>
      <c r="AD28" s="204">
        <f t="shared" si="14"/>
        <v>0.90867821182774677</v>
      </c>
      <c r="AE28" s="204">
        <f t="shared" si="14"/>
        <v>0.91728707168078771</v>
      </c>
      <c r="AF28" s="204">
        <f t="shared" si="14"/>
        <v>0.92589430816060814</v>
      </c>
      <c r="AG28" s="204">
        <f t="shared" si="14"/>
        <v>0.93449830699494496</v>
      </c>
      <c r="AM28" s="206"/>
      <c r="BD28" s="205"/>
      <c r="BE28" s="205"/>
      <c r="BF28" s="205"/>
      <c r="BG28" s="205"/>
      <c r="BH28" s="205"/>
      <c r="BI28" s="205"/>
      <c r="BJ28" s="205"/>
      <c r="BK28" s="205"/>
      <c r="BL28" s="205"/>
    </row>
    <row r="29" spans="1:64" outlineLevel="1" x14ac:dyDescent="0.2">
      <c r="A29" t="s">
        <v>1537</v>
      </c>
      <c r="B29" s="54" t="s">
        <v>1535</v>
      </c>
      <c r="C29" s="204">
        <f t="shared" si="14"/>
        <v>0.27288082766179111</v>
      </c>
      <c r="D29" s="204">
        <f t="shared" si="14"/>
        <v>0.28202820222306357</v>
      </c>
      <c r="E29" s="204">
        <f t="shared" si="14"/>
        <v>0.29072025567125509</v>
      </c>
      <c r="F29" s="204">
        <f t="shared" si="14"/>
        <v>0.29889732893660731</v>
      </c>
      <c r="G29" s="204">
        <f t="shared" si="14"/>
        <v>0.30650215033061867</v>
      </c>
      <c r="H29" s="204">
        <f t="shared" si="14"/>
        <v>0.31348050371327035</v>
      </c>
      <c r="I29" s="204">
        <f t="shared" si="14"/>
        <v>0.32047178808215687</v>
      </c>
      <c r="J29" s="204">
        <f t="shared" si="14"/>
        <v>0.32746967347720052</v>
      </c>
      <c r="K29" s="204">
        <f t="shared" si="14"/>
        <v>0.33446766923327187</v>
      </c>
      <c r="L29" s="204">
        <f t="shared" si="14"/>
        <v>0.34145913242112341</v>
      </c>
      <c r="M29" s="204">
        <f t="shared" si="14"/>
        <v>0.34843727685880416</v>
      </c>
      <c r="N29" s="204">
        <f t="shared" si="14"/>
        <v>0.3548866865770004</v>
      </c>
      <c r="O29" s="204">
        <f t="shared" si="14"/>
        <v>0.36077159198993103</v>
      </c>
      <c r="P29" s="204">
        <f t="shared" si="14"/>
        <v>0.36605874997856686</v>
      </c>
      <c r="Q29" s="204">
        <f t="shared" si="14"/>
        <v>0.37071775285926561</v>
      </c>
      <c r="R29" s="204">
        <f t="shared" si="14"/>
        <v>0.37472131644525791</v>
      </c>
      <c r="S29" s="204">
        <f t="shared" si="14"/>
        <v>0.37872665668471733</v>
      </c>
      <c r="T29" s="204">
        <f t="shared" si="14"/>
        <v>0.38273288119776105</v>
      </c>
      <c r="U29" s="204">
        <f t="shared" si="14"/>
        <v>0.38673908689105191</v>
      </c>
      <c r="V29" s="204">
        <f t="shared" si="14"/>
        <v>0.3907443602427092</v>
      </c>
      <c r="W29" s="204">
        <f t="shared" si="14"/>
        <v>0.39474777759668062</v>
      </c>
      <c r="X29" s="204">
        <f t="shared" si="14"/>
        <v>0.39875279744561698</v>
      </c>
      <c r="Y29" s="204">
        <f t="shared" si="14"/>
        <v>0.40275861571829003</v>
      </c>
      <c r="Z29" s="204">
        <f t="shared" si="14"/>
        <v>0.40676441925663909</v>
      </c>
      <c r="AA29" s="204">
        <f t="shared" si="14"/>
        <v>0.41076938604811258</v>
      </c>
      <c r="AB29" s="204">
        <f t="shared" si="14"/>
        <v>0.4147726854652421</v>
      </c>
      <c r="AC29" s="204">
        <f t="shared" si="14"/>
        <v>0.41877743769609355</v>
      </c>
      <c r="AD29" s="204">
        <f t="shared" si="14"/>
        <v>0.4227829144107636</v>
      </c>
      <c r="AE29" s="204">
        <f t="shared" si="14"/>
        <v>0.42678837950395809</v>
      </c>
      <c r="AF29" s="204">
        <f t="shared" si="14"/>
        <v>0.43079308928635907</v>
      </c>
      <c r="AG29" s="204">
        <f t="shared" si="14"/>
        <v>0.43479629268159714</v>
      </c>
      <c r="BD29" s="205"/>
      <c r="BE29" s="205"/>
      <c r="BF29" s="205"/>
      <c r="BG29" s="205"/>
      <c r="BH29" s="205"/>
      <c r="BI29" s="205"/>
      <c r="BJ29" s="205"/>
      <c r="BK29" s="205"/>
      <c r="BL29" s="205"/>
    </row>
    <row r="30" spans="1:64" outlineLevel="1" x14ac:dyDescent="0.2">
      <c r="A30" t="s">
        <v>1538</v>
      </c>
      <c r="B30" s="54" t="s">
        <v>1535</v>
      </c>
      <c r="C30" s="204">
        <f t="shared" si="14"/>
        <v>3.3569388624573886</v>
      </c>
      <c r="D30" s="204">
        <f t="shared" si="14"/>
        <v>3.4694684872657979</v>
      </c>
      <c r="E30" s="204">
        <f t="shared" si="14"/>
        <v>3.5763968202850558</v>
      </c>
      <c r="F30" s="204">
        <f t="shared" si="14"/>
        <v>3.6769899446200638</v>
      </c>
      <c r="G30" s="204">
        <f t="shared" si="14"/>
        <v>3.7705433125805432</v>
      </c>
      <c r="H30" s="204">
        <f t="shared" si="14"/>
        <v>3.8563899653736766</v>
      </c>
      <c r="I30" s="204">
        <f t="shared" si="14"/>
        <v>3.9423956932128412</v>
      </c>
      <c r="J30" s="204">
        <f t="shared" si="14"/>
        <v>4.0284826258820736</v>
      </c>
      <c r="K30" s="204">
        <f t="shared" si="14"/>
        <v>4.1145709161960546</v>
      </c>
      <c r="L30" s="204">
        <f t="shared" si="14"/>
        <v>4.2005788438392075</v>
      </c>
      <c r="M30" s="204">
        <f t="shared" si="14"/>
        <v>4.2864229262227624</v>
      </c>
      <c r="N30" s="204">
        <f t="shared" si="14"/>
        <v>4.3657625936828621</v>
      </c>
      <c r="O30" s="204">
        <f t="shared" si="14"/>
        <v>4.4381578141599762</v>
      </c>
      <c r="P30" s="204">
        <f t="shared" si="14"/>
        <v>4.5031996358082207</v>
      </c>
      <c r="Q30" s="204">
        <f t="shared" si="14"/>
        <v>4.5605139878809968</v>
      </c>
      <c r="R30" s="204">
        <f t="shared" si="14"/>
        <v>4.6097652244200269</v>
      </c>
      <c r="S30" s="204">
        <f t="shared" si="14"/>
        <v>4.6590383170825511</v>
      </c>
      <c r="T30" s="204">
        <f t="shared" si="14"/>
        <v>4.7083222879455908</v>
      </c>
      <c r="U30" s="204">
        <f t="shared" si="14"/>
        <v>4.7576060272908638</v>
      </c>
      <c r="V30" s="204">
        <f t="shared" si="14"/>
        <v>4.8068782971097157</v>
      </c>
      <c r="W30" s="204">
        <f t="shared" si="14"/>
        <v>4.8561277347244367</v>
      </c>
      <c r="X30" s="204">
        <f t="shared" si="14"/>
        <v>4.905396885990978</v>
      </c>
      <c r="Y30" s="204">
        <f t="shared" si="14"/>
        <v>4.9546758593461337</v>
      </c>
      <c r="Z30" s="204">
        <f t="shared" si="14"/>
        <v>5.0039546514418518</v>
      </c>
      <c r="AA30" s="204">
        <f t="shared" si="14"/>
        <v>5.0532231500034728</v>
      </c>
      <c r="AB30" s="204">
        <f t="shared" si="14"/>
        <v>5.1024711367769191</v>
      </c>
      <c r="AC30" s="204">
        <f t="shared" si="14"/>
        <v>5.1517369958460666</v>
      </c>
      <c r="AD30" s="204">
        <f t="shared" si="14"/>
        <v>5.2010117674060865</v>
      </c>
      <c r="AE30" s="204">
        <f t="shared" si="14"/>
        <v>5.2502863960004644</v>
      </c>
      <c r="AF30" s="204">
        <f t="shared" si="14"/>
        <v>5.2995517328751651</v>
      </c>
      <c r="AG30" s="204">
        <f t="shared" si="14"/>
        <v>5.3487985384017573</v>
      </c>
      <c r="BD30" s="205"/>
      <c r="BE30" s="205"/>
      <c r="BF30" s="205"/>
      <c r="BG30" s="205"/>
      <c r="BH30" s="205"/>
      <c r="BI30" s="205"/>
      <c r="BJ30" s="205"/>
      <c r="BK30" s="205"/>
      <c r="BL30" s="205"/>
    </row>
    <row r="31" spans="1:64" outlineLevel="1" x14ac:dyDescent="0.2">
      <c r="A31" s="181" t="s">
        <v>1539</v>
      </c>
      <c r="B31" s="176" t="s">
        <v>1535</v>
      </c>
      <c r="C31" s="204">
        <f t="shared" si="14"/>
        <v>6.3196211155477018</v>
      </c>
      <c r="D31" s="204">
        <f t="shared" si="14"/>
        <v>6.5314642923827124</v>
      </c>
      <c r="E31" s="204">
        <f t="shared" si="14"/>
        <v>6.7327627308964706</v>
      </c>
      <c r="F31" s="204">
        <f t="shared" si="14"/>
        <v>6.9221347923706755</v>
      </c>
      <c r="G31" s="204">
        <f t="shared" si="14"/>
        <v>7.0982541272223267</v>
      </c>
      <c r="H31" s="204">
        <f t="shared" si="14"/>
        <v>7.25986514902492</v>
      </c>
      <c r="I31" s="204">
        <f t="shared" si="14"/>
        <v>7.4217756383069799</v>
      </c>
      <c r="J31" s="204">
        <f t="shared" si="14"/>
        <v>7.5838390001255389</v>
      </c>
      <c r="K31" s="204">
        <f t="shared" si="14"/>
        <v>7.7459049177846335</v>
      </c>
      <c r="L31" s="204">
        <f t="shared" si="14"/>
        <v>7.9078195483180842</v>
      </c>
      <c r="M31" s="204">
        <f t="shared" si="14"/>
        <v>8.0694257311839817</v>
      </c>
      <c r="N31" s="204">
        <f t="shared" si="14"/>
        <v>8.2187869970052905</v>
      </c>
      <c r="O31" s="204">
        <f t="shared" si="14"/>
        <v>8.355074961349386</v>
      </c>
      <c r="P31" s="204">
        <f t="shared" si="14"/>
        <v>8.477519749986687</v>
      </c>
      <c r="Q31" s="204">
        <f t="shared" si="14"/>
        <v>8.5854171542658655</v>
      </c>
      <c r="R31" s="204">
        <f t="shared" si="14"/>
        <v>8.6781353023023904</v>
      </c>
      <c r="S31" s="204">
        <f t="shared" si="14"/>
        <v>8.7708945956874604</v>
      </c>
      <c r="T31" s="204">
        <f t="shared" si="14"/>
        <v>8.8636743678803036</v>
      </c>
      <c r="U31" s="204">
        <f t="shared" si="14"/>
        <v>8.9564537042282826</v>
      </c>
      <c r="V31" s="204">
        <f t="shared" si="14"/>
        <v>9.0492114485651083</v>
      </c>
      <c r="W31" s="204">
        <f t="shared" si="14"/>
        <v>9.1419262100281777</v>
      </c>
      <c r="X31" s="204">
        <f t="shared" si="14"/>
        <v>9.2346780835196203</v>
      </c>
      <c r="Y31" s="204">
        <f t="shared" si="14"/>
        <v>9.3274484476303847</v>
      </c>
      <c r="Z31" s="204">
        <f t="shared" si="14"/>
        <v>9.420218470510342</v>
      </c>
      <c r="AA31" s="204">
        <f t="shared" si="14"/>
        <v>9.5129691152490494</v>
      </c>
      <c r="AB31" s="204">
        <f t="shared" si="14"/>
        <v>9.6056811454240218</v>
      </c>
      <c r="AC31" s="204">
        <f t="shared" si="14"/>
        <v>9.6984268211737046</v>
      </c>
      <c r="AD31" s="204">
        <f t="shared" si="14"/>
        <v>9.7911892751751886</v>
      </c>
      <c r="AE31" s="204">
        <f t="shared" si="14"/>
        <v>9.883951460036025</v>
      </c>
      <c r="AF31" s="204">
        <f t="shared" si="14"/>
        <v>9.9766961527260829</v>
      </c>
      <c r="AG31" s="204">
        <f t="shared" si="14"/>
        <v>10.06940595913921</v>
      </c>
      <c r="AL31" s="108"/>
      <c r="AM31" s="207"/>
      <c r="AN31" s="207"/>
      <c r="AO31" s="207"/>
    </row>
    <row r="32" spans="1:64" s="1" customFormat="1" ht="16" thickBot="1" x14ac:dyDescent="0.25">
      <c r="A32" s="200" t="s">
        <v>1540</v>
      </c>
      <c r="B32" s="219" t="s">
        <v>1535</v>
      </c>
      <c r="C32" s="216">
        <f>SUM(C27:C31)</f>
        <v>12.673879407338728</v>
      </c>
      <c r="D32" s="216">
        <f t="shared" ref="D32:AG32" si="15">SUM(D27:D31)</f>
        <v>13.098726851099091</v>
      </c>
      <c r="E32" s="216">
        <f t="shared" si="15"/>
        <v>13.502427023619299</v>
      </c>
      <c r="F32" s="216">
        <f t="shared" si="15"/>
        <v>13.882209074846781</v>
      </c>
      <c r="G32" s="216">
        <f t="shared" si="15"/>
        <v>14.235413036033478</v>
      </c>
      <c r="H32" s="216">
        <f t="shared" si="15"/>
        <v>14.559520852589715</v>
      </c>
      <c r="I32" s="216">
        <f t="shared" si="15"/>
        <v>14.884229245454527</v>
      </c>
      <c r="J32" s="216">
        <f t="shared" si="15"/>
        <v>15.209244221270575</v>
      </c>
      <c r="K32" s="216">
        <f t="shared" si="15"/>
        <v>15.534264322775988</v>
      </c>
      <c r="L32" s="216">
        <f t="shared" si="15"/>
        <v>15.858981020841343</v>
      </c>
      <c r="M32" s="216">
        <f t="shared" si="15"/>
        <v>16.183079133002487</v>
      </c>
      <c r="N32" s="216">
        <f t="shared" si="15"/>
        <v>16.482620297976691</v>
      </c>
      <c r="O32" s="216">
        <f t="shared" si="15"/>
        <v>16.755943206611072</v>
      </c>
      <c r="P32" s="216">
        <f t="shared" si="15"/>
        <v>17.001503890847083</v>
      </c>
      <c r="Q32" s="216">
        <f t="shared" si="15"/>
        <v>17.217890073688782</v>
      </c>
      <c r="R32" s="216">
        <f t="shared" si="15"/>
        <v>17.403834548144012</v>
      </c>
      <c r="S32" s="216">
        <f t="shared" si="15"/>
        <v>17.589861538809647</v>
      </c>
      <c r="T32" s="216">
        <f t="shared" si="15"/>
        <v>17.775929599333011</v>
      </c>
      <c r="U32" s="216">
        <f t="shared" si="15"/>
        <v>17.961996785777828</v>
      </c>
      <c r="V32" s="216">
        <f t="shared" si="15"/>
        <v>18.148020669856798</v>
      </c>
      <c r="W32" s="216">
        <f t="shared" si="15"/>
        <v>18.33395835260367</v>
      </c>
      <c r="X32" s="216">
        <f t="shared" si="15"/>
        <v>18.519970462814392</v>
      </c>
      <c r="Y32" s="216">
        <f t="shared" si="15"/>
        <v>18.706019655608895</v>
      </c>
      <c r="Z32" s="216">
        <f t="shared" si="15"/>
        <v>18.892068164071532</v>
      </c>
      <c r="AA32" s="216">
        <f t="shared" si="15"/>
        <v>19.078077810042121</v>
      </c>
      <c r="AB32" s="216">
        <f t="shared" si="15"/>
        <v>19.264010015242892</v>
      </c>
      <c r="AC32" s="216">
        <f t="shared" si="15"/>
        <v>19.450009696000929</v>
      </c>
      <c r="AD32" s="216">
        <f t="shared" si="15"/>
        <v>19.636043025222392</v>
      </c>
      <c r="AE32" s="216">
        <f t="shared" si="15"/>
        <v>19.822075814687434</v>
      </c>
      <c r="AF32" s="216">
        <f t="shared" si="15"/>
        <v>20.008073523938176</v>
      </c>
      <c r="AG32" s="216">
        <f t="shared" si="15"/>
        <v>20.194001269427055</v>
      </c>
      <c r="AJ32" s="162"/>
      <c r="AL32" s="221"/>
      <c r="AM32" s="124"/>
      <c r="AN32" s="124"/>
      <c r="AO32" s="124"/>
    </row>
    <row r="33" spans="1:64" ht="16" outlineLevel="1" thickTop="1" x14ac:dyDescent="0.2">
      <c r="AL33" s="108"/>
      <c r="AM33" s="2"/>
      <c r="AN33" s="2"/>
      <c r="AO33" s="2"/>
    </row>
    <row r="34" spans="1:64" outlineLevel="1" x14ac:dyDescent="0.2">
      <c r="A34" t="s">
        <v>1541</v>
      </c>
      <c r="B34" s="176" t="s">
        <v>1535</v>
      </c>
      <c r="C34" s="107">
        <f>C32</f>
        <v>12.673879407338728</v>
      </c>
      <c r="D34" s="107">
        <f t="shared" ref="D34:AG34" si="16">D32</f>
        <v>13.098726851099091</v>
      </c>
      <c r="E34" s="107">
        <f t="shared" si="16"/>
        <v>13.502427023619299</v>
      </c>
      <c r="F34" s="107">
        <f t="shared" si="16"/>
        <v>13.882209074846781</v>
      </c>
      <c r="G34" s="107">
        <f t="shared" si="16"/>
        <v>14.235413036033478</v>
      </c>
      <c r="H34" s="107">
        <f t="shared" si="16"/>
        <v>14.559520852589715</v>
      </c>
      <c r="I34" s="107">
        <f t="shared" si="16"/>
        <v>14.884229245454527</v>
      </c>
      <c r="J34" s="107">
        <f t="shared" si="16"/>
        <v>15.209244221270575</v>
      </c>
      <c r="K34" s="107">
        <f t="shared" si="16"/>
        <v>15.534264322775988</v>
      </c>
      <c r="L34" s="107">
        <f t="shared" si="16"/>
        <v>15.858981020841343</v>
      </c>
      <c r="M34" s="107">
        <f t="shared" si="16"/>
        <v>16.183079133002487</v>
      </c>
      <c r="N34" s="107">
        <f t="shared" si="16"/>
        <v>16.482620297976691</v>
      </c>
      <c r="O34" s="107">
        <f t="shared" si="16"/>
        <v>16.755943206611072</v>
      </c>
      <c r="P34" s="107">
        <f t="shared" si="16"/>
        <v>17.001503890847083</v>
      </c>
      <c r="Q34" s="107">
        <f t="shared" si="16"/>
        <v>17.217890073688782</v>
      </c>
      <c r="R34" s="107">
        <f t="shared" si="16"/>
        <v>17.403834548144012</v>
      </c>
      <c r="S34" s="107">
        <f t="shared" si="16"/>
        <v>17.589861538809647</v>
      </c>
      <c r="T34" s="107">
        <f t="shared" si="16"/>
        <v>17.775929599333011</v>
      </c>
      <c r="U34" s="107">
        <f t="shared" si="16"/>
        <v>17.961996785777828</v>
      </c>
      <c r="V34" s="107">
        <f t="shared" si="16"/>
        <v>18.148020669856798</v>
      </c>
      <c r="W34" s="107">
        <f t="shared" si="16"/>
        <v>18.33395835260367</v>
      </c>
      <c r="X34" s="107">
        <f t="shared" si="16"/>
        <v>18.519970462814392</v>
      </c>
      <c r="Y34" s="107">
        <f t="shared" si="16"/>
        <v>18.706019655608895</v>
      </c>
      <c r="Z34" s="107">
        <f t="shared" si="16"/>
        <v>18.892068164071532</v>
      </c>
      <c r="AA34" s="107">
        <f t="shared" si="16"/>
        <v>19.078077810042121</v>
      </c>
      <c r="AB34" s="107">
        <f t="shared" si="16"/>
        <v>19.264010015242892</v>
      </c>
      <c r="AC34" s="107">
        <f t="shared" si="16"/>
        <v>19.450009696000929</v>
      </c>
      <c r="AD34" s="107">
        <f t="shared" si="16"/>
        <v>19.636043025222392</v>
      </c>
      <c r="AE34" s="107">
        <f t="shared" si="16"/>
        <v>19.822075814687434</v>
      </c>
      <c r="AF34" s="107">
        <f t="shared" si="16"/>
        <v>20.008073523938176</v>
      </c>
      <c r="AG34" s="107">
        <f t="shared" si="16"/>
        <v>20.194001269427055</v>
      </c>
      <c r="AL34" s="108"/>
      <c r="AM34" s="2"/>
      <c r="AN34" s="2"/>
      <c r="AO34" s="2"/>
    </row>
    <row r="35" spans="1:64" outlineLevel="1" x14ac:dyDescent="0.2">
      <c r="AL35" s="108"/>
      <c r="AM35" s="2"/>
      <c r="AN35" s="2"/>
      <c r="AO35" s="2"/>
    </row>
    <row r="36" spans="1:64" outlineLevel="1" x14ac:dyDescent="0.2">
      <c r="A36" t="s">
        <v>1542</v>
      </c>
      <c r="B36" s="54" t="s">
        <v>462</v>
      </c>
      <c r="C36" s="205">
        <f>'Yearly Methanol'!AJ36/'Yearly Methanol'!AJ29</f>
        <v>1</v>
      </c>
      <c r="D36" s="205">
        <f>'Yearly Methanol'!AK36/'Yearly Methanol'!AK29</f>
        <v>0.99859108000000008</v>
      </c>
      <c r="E36" s="205">
        <f>'Yearly Methanol'!AL36/'Yearly Methanol'!AL29</f>
        <v>0.99718216000000004</v>
      </c>
      <c r="F36" s="205">
        <f>'Yearly Methanol'!AM36/'Yearly Methanol'!AM29</f>
        <v>0.99577324</v>
      </c>
      <c r="G36" s="205">
        <f>'Yearly Methanol'!AN36/'Yearly Methanol'!AN29</f>
        <v>0.99436431999999997</v>
      </c>
      <c r="H36" s="205">
        <f>'Yearly Methanol'!AO36/'Yearly Methanol'!AO29</f>
        <v>0.99295539999999993</v>
      </c>
      <c r="I36" s="205">
        <f>'Yearly Methanol'!AP36/'Yearly Methanol'!AP29</f>
        <v>0.9915464799999999</v>
      </c>
      <c r="J36" s="205">
        <f>'Yearly Methanol'!AQ36/'Yearly Methanol'!AQ29</f>
        <v>0.99013755999999997</v>
      </c>
      <c r="K36" s="205">
        <f>'Yearly Methanol'!AR36/'Yearly Methanol'!AR29</f>
        <v>0.98872864000000005</v>
      </c>
      <c r="L36" s="205">
        <f>'Yearly Methanol'!AS36/'Yearly Methanol'!AS29</f>
        <v>0.98731972000000012</v>
      </c>
      <c r="M36" s="205">
        <f>'Yearly Methanol'!AT36/'Yearly Methanol'!AT29</f>
        <v>0.98591080000000009</v>
      </c>
      <c r="N36" s="205">
        <f>'Yearly Methanol'!AU36/'Yearly Methanol'!AU29</f>
        <v>0.98272557999999988</v>
      </c>
      <c r="O36" s="205">
        <f>'Yearly Methanol'!AV36/'Yearly Methanol'!AV29</f>
        <v>0.97954036</v>
      </c>
      <c r="P36" s="205">
        <f>'Yearly Methanol'!AW36/'Yearly Methanol'!AW29</f>
        <v>0.9763551399999999</v>
      </c>
      <c r="Q36" s="205">
        <f>'Yearly Methanol'!AX36/'Yearly Methanol'!AX29</f>
        <v>0.97316992000000002</v>
      </c>
      <c r="R36" s="205">
        <f>'Yearly Methanol'!AY36/'Yearly Methanol'!AY29</f>
        <v>0.96998469999999992</v>
      </c>
      <c r="S36" s="205">
        <f>'Yearly Methanol'!AZ36/'Yearly Methanol'!AZ29</f>
        <v>0.96679947999999993</v>
      </c>
      <c r="T36" s="205">
        <f>'Yearly Methanol'!BA36/'Yearly Methanol'!BA29</f>
        <v>0.96361425999999994</v>
      </c>
      <c r="U36" s="205">
        <f>'Yearly Methanol'!BB36/'Yearly Methanol'!BB29</f>
        <v>0.96042904000000007</v>
      </c>
      <c r="V36" s="205">
        <f>'Yearly Methanol'!BC36/'Yearly Methanol'!BC29</f>
        <v>0.95724381999999997</v>
      </c>
      <c r="W36" s="205">
        <f>'Yearly Methanol'!BD36/'Yearly Methanol'!BD29</f>
        <v>0.95405859999999998</v>
      </c>
      <c r="X36" s="205">
        <f>'Yearly Methanol'!BE36/'Yearly Methanol'!BE29</f>
        <v>0.95087873999999994</v>
      </c>
      <c r="Y36" s="205">
        <f>'Yearly Methanol'!BF36/'Yearly Methanol'!BF29</f>
        <v>0.94769888000000002</v>
      </c>
      <c r="Z36" s="205">
        <f>'Yearly Methanol'!BG36/'Yearly Methanol'!BG29</f>
        <v>0.94451901999999999</v>
      </c>
      <c r="AA36" s="205">
        <f>'Yearly Methanol'!BH36/'Yearly Methanol'!BH29</f>
        <v>0.94133916000000006</v>
      </c>
      <c r="AB36" s="205">
        <f>'Yearly Methanol'!BI36/'Yearly Methanol'!BI29</f>
        <v>0.93815930000000003</v>
      </c>
      <c r="AC36" s="205">
        <f>'Yearly Methanol'!BJ36/'Yearly Methanol'!BJ29</f>
        <v>0.93497943999999988</v>
      </c>
      <c r="AD36" s="205">
        <f>'Yearly Methanol'!BK36/'Yearly Methanol'!BK29</f>
        <v>0.93179957999999996</v>
      </c>
      <c r="AE36" s="205">
        <f>'Yearly Methanol'!BL36/'Yearly Methanol'!BL29</f>
        <v>0.92861971999999993</v>
      </c>
      <c r="AF36" s="205">
        <f>'Yearly Methanol'!BM36/'Yearly Methanol'!BM29</f>
        <v>0.92543986000000011</v>
      </c>
      <c r="AG36" s="205">
        <f>'Yearly Methanol'!BN36/'Yearly Methanol'!BN29</f>
        <v>0.92225999999999997</v>
      </c>
      <c r="AL36" s="108"/>
      <c r="AM36" s="207"/>
      <c r="AN36" s="207"/>
      <c r="AO36" s="207"/>
      <c r="BC36" s="1"/>
      <c r="BD36" s="578"/>
      <c r="BE36" s="578"/>
      <c r="BF36" s="578"/>
      <c r="BG36" s="578"/>
      <c r="BH36" s="578"/>
      <c r="BI36" s="578"/>
      <c r="BJ36" s="578"/>
      <c r="BK36" s="578"/>
    </row>
    <row r="37" spans="1:64" outlineLevel="1" x14ac:dyDescent="0.2">
      <c r="A37" t="s">
        <v>1543</v>
      </c>
      <c r="B37" s="54" t="s">
        <v>462</v>
      </c>
      <c r="C37" s="205">
        <f>'Yearly Methanol'!AJ25/'Yearly Methanol'!AJ18</f>
        <v>1</v>
      </c>
      <c r="D37" s="205">
        <f>'Yearly Methanol'!AK25/'Yearly Methanol'!AK18</f>
        <v>0.99929460000000003</v>
      </c>
      <c r="E37" s="205">
        <f>'Yearly Methanol'!AL25/'Yearly Methanol'!AL18</f>
        <v>0.99857839999999987</v>
      </c>
      <c r="F37" s="205">
        <f>'Yearly Methanol'!AM25/'Yearly Methanol'!AM18</f>
        <v>0.99785140000000006</v>
      </c>
      <c r="G37" s="205">
        <f>'Yearly Methanol'!AN25/'Yearly Methanol'!AN18</f>
        <v>0.99711360000000004</v>
      </c>
      <c r="H37" s="205">
        <f>'Yearly Methanol'!AO25/'Yearly Methanol'!AO18</f>
        <v>0.99636500000000006</v>
      </c>
      <c r="I37" s="205">
        <f>'Yearly Methanol'!AP25/'Yearly Methanol'!AP18</f>
        <v>0.99560559999999998</v>
      </c>
      <c r="J37" s="205">
        <f>'Yearly Methanol'!AQ25/'Yearly Methanol'!AQ18</f>
        <v>0.99483540000000015</v>
      </c>
      <c r="K37" s="205">
        <f>'Yearly Methanol'!AR25/'Yearly Methanol'!AR18</f>
        <v>0.9940544</v>
      </c>
      <c r="L37" s="205">
        <f>'Yearly Methanol'!AS25/'Yearly Methanol'!AS18</f>
        <v>0.99326260000000022</v>
      </c>
      <c r="M37" s="205">
        <f>'Yearly Methanol'!AT25/'Yearly Methanol'!AT18</f>
        <v>0.99246000000000012</v>
      </c>
      <c r="N37" s="205">
        <f>'Yearly Methanol'!AU25/'Yearly Methanol'!AU18</f>
        <v>0.98902250000000003</v>
      </c>
      <c r="O37" s="205">
        <f>'Yearly Methanol'!AV25/'Yearly Methanol'!AV18</f>
        <v>0.98550400000000005</v>
      </c>
      <c r="P37" s="205">
        <f>'Yearly Methanol'!AW25/'Yearly Methanol'!AW18</f>
        <v>0.98190449999999985</v>
      </c>
      <c r="Q37" s="205">
        <f>'Yearly Methanol'!AX25/'Yearly Methanol'!AX18</f>
        <v>0.97822400000000009</v>
      </c>
      <c r="R37" s="205">
        <f>'Yearly Methanol'!AY25/'Yearly Methanol'!AY18</f>
        <v>0.97446250000000001</v>
      </c>
      <c r="S37" s="205">
        <f>'Yearly Methanol'!AZ25/'Yearly Methanol'!AZ18</f>
        <v>0.97062000000000004</v>
      </c>
      <c r="T37" s="205">
        <f>'Yearly Methanol'!BA25/'Yearly Methanol'!BA18</f>
        <v>0.96669650000000007</v>
      </c>
      <c r="U37" s="205">
        <f>'Yearly Methanol'!BB25/'Yearly Methanol'!BB18</f>
        <v>0.9626920000000001</v>
      </c>
      <c r="V37" s="205">
        <f>'Yearly Methanol'!BC25/'Yearly Methanol'!BC18</f>
        <v>0.95860650000000014</v>
      </c>
      <c r="W37" s="205">
        <f>'Yearly Methanol'!BD25/'Yearly Methanol'!BD18</f>
        <v>0.95443999999999996</v>
      </c>
      <c r="X37" s="205">
        <f>'Yearly Methanol'!BE25/'Yearly Methanol'!BE18</f>
        <v>0.93973339999999994</v>
      </c>
      <c r="Y37" s="205">
        <f>'Yearly Methanol'!BF25/'Yearly Methanol'!BF18</f>
        <v>0.92492960000000002</v>
      </c>
      <c r="Z37" s="205">
        <f>'Yearly Methanol'!BG25/'Yearly Methanol'!BG18</f>
        <v>0.91002859999999985</v>
      </c>
      <c r="AA37" s="205">
        <f>'Yearly Methanol'!BH25/'Yearly Methanol'!BH18</f>
        <v>0.8950304</v>
      </c>
      <c r="AB37" s="205">
        <f>'Yearly Methanol'!BI25/'Yearly Methanol'!BI18</f>
        <v>0.87993500000000002</v>
      </c>
      <c r="AC37" s="205">
        <f>'Yearly Methanol'!BJ25/'Yearly Methanol'!BJ18</f>
        <v>0.86474240000000002</v>
      </c>
      <c r="AD37" s="205">
        <f>'Yearly Methanol'!BK25/'Yearly Methanol'!BK18</f>
        <v>0.84945260000000011</v>
      </c>
      <c r="AE37" s="205">
        <f>'Yearly Methanol'!BL25/'Yearly Methanol'!BL18</f>
        <v>0.83406559999999996</v>
      </c>
      <c r="AF37" s="205">
        <f>'Yearly Methanol'!BM25/'Yearly Methanol'!BM18</f>
        <v>0.81858140000000001</v>
      </c>
      <c r="AG37" s="205">
        <f>'Yearly Methanol'!BN25/'Yearly Methanol'!BN18</f>
        <v>0.80299999999999994</v>
      </c>
      <c r="AL37" s="108"/>
      <c r="AM37" s="207"/>
      <c r="AN37" s="207"/>
      <c r="AO37" s="207"/>
      <c r="BL37" s="1"/>
    </row>
    <row r="38" spans="1:64" outlineLevel="1" x14ac:dyDescent="0.2">
      <c r="A38" t="s">
        <v>1544</v>
      </c>
      <c r="B38" s="54" t="s">
        <v>462</v>
      </c>
      <c r="C38" s="205">
        <f>'Yearly Methanol'!AJ43/'Yearly Methanol'!AJ40</f>
        <v>1</v>
      </c>
      <c r="D38" s="205">
        <f>'Yearly Methanol'!AK43/'Yearly Methanol'!AK40</f>
        <v>0.98978437759336091</v>
      </c>
      <c r="E38" s="205">
        <f>'Yearly Methanol'!AL43/'Yearly Methanol'!AL40</f>
        <v>0.97956875518672204</v>
      </c>
      <c r="F38" s="205">
        <f>'Yearly Methanol'!AM43/'Yearly Methanol'!AM40</f>
        <v>0.96935313278008295</v>
      </c>
      <c r="G38" s="205">
        <f>'Yearly Methanol'!AN43/'Yearly Methanol'!AN40</f>
        <v>0.95913751037344397</v>
      </c>
      <c r="H38" s="205">
        <f>'Yearly Methanol'!AO43/'Yearly Methanol'!AO40</f>
        <v>0.94892188796680488</v>
      </c>
      <c r="I38" s="205">
        <f>'Yearly Methanol'!AP43/'Yearly Methanol'!AP40</f>
        <v>0.9387062655601659</v>
      </c>
      <c r="J38" s="205">
        <f>'Yearly Methanol'!AQ43/'Yearly Methanol'!AQ40</f>
        <v>0.92849064315352703</v>
      </c>
      <c r="K38" s="205">
        <f>'Yearly Methanol'!AR43/'Yearly Methanol'!AR40</f>
        <v>0.91827502074688805</v>
      </c>
      <c r="L38" s="205">
        <f>'Yearly Methanol'!AS43/'Yearly Methanol'!AS40</f>
        <v>0.90805939834024896</v>
      </c>
      <c r="M38" s="205">
        <f>'Yearly Methanol'!AT43/'Yearly Methanol'!AT40</f>
        <v>0.89784377593360998</v>
      </c>
      <c r="N38" s="205">
        <f>'Yearly Methanol'!AU43/'Yearly Methanol'!AU40</f>
        <v>0.88762815352697089</v>
      </c>
      <c r="O38" s="205">
        <f>'Yearly Methanol'!AV43/'Yearly Methanol'!AV40</f>
        <v>0.87741253112033191</v>
      </c>
      <c r="P38" s="205">
        <f>'Yearly Methanol'!AW43/'Yearly Methanol'!AW40</f>
        <v>0.86719690871369282</v>
      </c>
      <c r="Q38" s="205">
        <f>'Yearly Methanol'!AX43/'Yearly Methanol'!AX40</f>
        <v>0.85698128630705395</v>
      </c>
      <c r="R38" s="205">
        <f>'Yearly Methanol'!AY43/'Yearly Methanol'!AY40</f>
        <v>0.84676566390041497</v>
      </c>
      <c r="S38" s="205">
        <f>'Yearly Methanol'!AZ43/'Yearly Methanol'!AZ40</f>
        <v>0.83655004149377588</v>
      </c>
      <c r="T38" s="205">
        <f>'Yearly Methanol'!BA43/'Yearly Methanol'!BA40</f>
        <v>0.8263344190871369</v>
      </c>
      <c r="U38" s="205">
        <f>'Yearly Methanol'!BB43/'Yearly Methanol'!BB40</f>
        <v>0.81611879668049792</v>
      </c>
      <c r="V38" s="205">
        <f>'Yearly Methanol'!BC43/'Yearly Methanol'!BC40</f>
        <v>0.80590317427385894</v>
      </c>
      <c r="W38" s="205">
        <f>'Yearly Methanol'!BD43/'Yearly Methanol'!BD40</f>
        <v>0.79568755186721984</v>
      </c>
      <c r="X38" s="205">
        <f>'Yearly Methanol'!BE43/'Yearly Methanol'!BE40</f>
        <v>0.78516236514522819</v>
      </c>
      <c r="Y38" s="205">
        <f>'Yearly Methanol'!BF43/'Yearly Methanol'!BF40</f>
        <v>0.77463717842323643</v>
      </c>
      <c r="Z38" s="205">
        <f>'Yearly Methanol'!BG43/'Yearly Methanol'!BG40</f>
        <v>0.76411199170124477</v>
      </c>
      <c r="AA38" s="205">
        <f>'Yearly Methanol'!BH43/'Yearly Methanol'!BH40</f>
        <v>0.75358680497925312</v>
      </c>
      <c r="AB38" s="205">
        <f>'Yearly Methanol'!BI43/'Yearly Methanol'!BI40</f>
        <v>0.74306161825726147</v>
      </c>
      <c r="AC38" s="205">
        <f>'Yearly Methanol'!BJ43/'Yearly Methanol'!BJ40</f>
        <v>0.73253643153526971</v>
      </c>
      <c r="AD38" s="205">
        <f>'Yearly Methanol'!BK43/'Yearly Methanol'!BK40</f>
        <v>0.72201124481327794</v>
      </c>
      <c r="AE38" s="205">
        <f>'Yearly Methanol'!BL43/'Yearly Methanol'!BL40</f>
        <v>0.71148605809128618</v>
      </c>
      <c r="AF38" s="205">
        <f>'Yearly Methanol'!BM43/'Yearly Methanol'!BM40</f>
        <v>0.70096087136929464</v>
      </c>
      <c r="AG38" s="205">
        <f>'Yearly Methanol'!BN43/'Yearly Methanol'!BN40</f>
        <v>0.69043568464730287</v>
      </c>
      <c r="AL38" s="108"/>
      <c r="AM38" s="207"/>
      <c r="AN38" s="207"/>
      <c r="AO38" s="207"/>
      <c r="BD38" s="41"/>
      <c r="BE38" s="41"/>
      <c r="BF38" s="41"/>
      <c r="BG38" s="41"/>
      <c r="BH38" s="41"/>
      <c r="BI38" s="41"/>
      <c r="BJ38" s="41"/>
      <c r="BK38" s="41"/>
      <c r="BL38" s="118"/>
    </row>
    <row r="39" spans="1:64" outlineLevel="1" x14ac:dyDescent="0.2">
      <c r="A39" t="s">
        <v>1545</v>
      </c>
      <c r="B39" s="54" t="s">
        <v>462</v>
      </c>
      <c r="C39" s="205">
        <f>'Yearly Methanol'!AJ52/'Yearly Methanol'!AJ47</f>
        <v>1</v>
      </c>
      <c r="D39" s="205">
        <f>'Yearly Methanol'!AK52/'Yearly Methanol'!AK47</f>
        <v>0.98454999999999993</v>
      </c>
      <c r="E39" s="205">
        <f>'Yearly Methanol'!AL52/'Yearly Methanol'!AL47</f>
        <v>0.96909999999999996</v>
      </c>
      <c r="F39" s="205">
        <f>'Yearly Methanol'!AM52/'Yearly Methanol'!AM47</f>
        <v>0.95365</v>
      </c>
      <c r="G39" s="205">
        <f>'Yearly Methanol'!AN52/'Yearly Methanol'!AN47</f>
        <v>0.93820000000000003</v>
      </c>
      <c r="H39" s="205">
        <f>'Yearly Methanol'!AO52/'Yearly Methanol'!AO47</f>
        <v>0.92275000000000007</v>
      </c>
      <c r="I39" s="205">
        <f>'Yearly Methanol'!AP52/'Yearly Methanol'!AP47</f>
        <v>0.9073</v>
      </c>
      <c r="J39" s="205">
        <f>'Yearly Methanol'!AQ52/'Yearly Methanol'!AQ47</f>
        <v>0.89184999999999992</v>
      </c>
      <c r="K39" s="205">
        <f>'Yearly Methanol'!AR52/'Yearly Methanol'!AR47</f>
        <v>0.87639999999999996</v>
      </c>
      <c r="L39" s="205">
        <f>'Yearly Methanol'!AS52/'Yearly Methanol'!AS47</f>
        <v>0.86094999999999988</v>
      </c>
      <c r="M39" s="205">
        <f>'Yearly Methanol'!AT52/'Yearly Methanol'!AT47</f>
        <v>0.84550000000000003</v>
      </c>
      <c r="N39" s="205">
        <f>'Yearly Methanol'!AU52/'Yearly Methanol'!AU47</f>
        <v>0.83460000000000012</v>
      </c>
      <c r="O39" s="205">
        <f>'Yearly Methanol'!AV52/'Yearly Methanol'!AV47</f>
        <v>0.82369999999999988</v>
      </c>
      <c r="P39" s="205">
        <f>'Yearly Methanol'!AW52/'Yearly Methanol'!AW47</f>
        <v>0.81279999999999997</v>
      </c>
      <c r="Q39" s="205">
        <f>'Yearly Methanol'!AX52/'Yearly Methanol'!AX47</f>
        <v>0.80189999999999995</v>
      </c>
      <c r="R39" s="205">
        <f>'Yearly Methanol'!AY52/'Yearly Methanol'!AY47</f>
        <v>0.79099999999999993</v>
      </c>
      <c r="S39" s="205">
        <f>'Yearly Methanol'!AZ52/'Yearly Methanol'!AZ47</f>
        <v>0.7800999999999999</v>
      </c>
      <c r="T39" s="205">
        <f>'Yearly Methanol'!BA52/'Yearly Methanol'!BA47</f>
        <v>0.76919999999999999</v>
      </c>
      <c r="U39" s="205">
        <f>'Yearly Methanol'!BB52/'Yearly Methanol'!BB47</f>
        <v>0.75829999999999986</v>
      </c>
      <c r="V39" s="205">
        <f>'Yearly Methanol'!BC52/'Yearly Methanol'!BC47</f>
        <v>0.74740000000000018</v>
      </c>
      <c r="W39" s="205">
        <f>'Yearly Methanol'!BD52/'Yearly Methanol'!BD47</f>
        <v>0.73649999999999993</v>
      </c>
      <c r="X39" s="205">
        <f>'Yearly Methanol'!BE52/'Yearly Methanol'!BE47</f>
        <v>0.72334999999999983</v>
      </c>
      <c r="Y39" s="205">
        <f>'Yearly Methanol'!BF52/'Yearly Methanol'!BF47</f>
        <v>0.71020000000000005</v>
      </c>
      <c r="Z39" s="205">
        <f>'Yearly Methanol'!BG52/'Yearly Methanol'!BG47</f>
        <v>0.69705000000000017</v>
      </c>
      <c r="AA39" s="205">
        <f>'Yearly Methanol'!BH52/'Yearly Methanol'!BH47</f>
        <v>0.68389999999999995</v>
      </c>
      <c r="AB39" s="205">
        <f>'Yearly Methanol'!BI52/'Yearly Methanol'!BI47</f>
        <v>0.67074999999999985</v>
      </c>
      <c r="AC39" s="205">
        <f>'Yearly Methanol'!BJ52/'Yearly Methanol'!BJ47</f>
        <v>0.65759999999999996</v>
      </c>
      <c r="AD39" s="205">
        <f>'Yearly Methanol'!BK52/'Yearly Methanol'!BK47</f>
        <v>0.64445000000000008</v>
      </c>
      <c r="AE39" s="205">
        <f>'Yearly Methanol'!BL52/'Yearly Methanol'!BL47</f>
        <v>0.63130000000000008</v>
      </c>
      <c r="AF39" s="205">
        <f>'Yearly Methanol'!BM52/'Yearly Methanol'!BM47</f>
        <v>0.61814999999999998</v>
      </c>
      <c r="AG39" s="205">
        <f>'Yearly Methanol'!BN52/'Yearly Methanol'!BN47</f>
        <v>0.60500000000000009</v>
      </c>
      <c r="AL39" s="108"/>
      <c r="AM39" s="207"/>
      <c r="AN39" s="207"/>
      <c r="AO39" s="207"/>
      <c r="BD39" s="41"/>
      <c r="BE39" s="41"/>
      <c r="BF39" s="41"/>
      <c r="BG39" s="41"/>
      <c r="BH39" s="41"/>
      <c r="BI39" s="41"/>
      <c r="BJ39" s="41"/>
      <c r="BK39" s="41"/>
      <c r="BL39" s="118"/>
    </row>
    <row r="40" spans="1:64" outlineLevel="1" x14ac:dyDescent="0.2">
      <c r="A40" t="s">
        <v>1546</v>
      </c>
      <c r="B40" s="176" t="s">
        <v>462</v>
      </c>
      <c r="C40" s="159">
        <f>'Yearly Methanol'!AJ59/'Yearly Methanol'!AJ56</f>
        <v>1</v>
      </c>
      <c r="D40" s="159">
        <f>'Yearly Methanol'!AK59/'Yearly Methanol'!AK56</f>
        <v>0.99670000000000003</v>
      </c>
      <c r="E40" s="159">
        <f>'Yearly Methanol'!AL59/'Yearly Methanol'!AL56</f>
        <v>0.99339999999999984</v>
      </c>
      <c r="F40" s="159">
        <f>'Yearly Methanol'!AM59/'Yearly Methanol'!AM56</f>
        <v>0.99010000000000009</v>
      </c>
      <c r="G40" s="159">
        <f>'Yearly Methanol'!AN59/'Yearly Methanol'!AN56</f>
        <v>0.9867999999999999</v>
      </c>
      <c r="H40" s="159">
        <f>'Yearly Methanol'!AO59/'Yearly Methanol'!AO56</f>
        <v>0.98349999999999993</v>
      </c>
      <c r="I40" s="159">
        <f>'Yearly Methanol'!AP59/'Yearly Methanol'!AP56</f>
        <v>0.98019999999999996</v>
      </c>
      <c r="J40" s="159">
        <f>'Yearly Methanol'!AQ59/'Yearly Methanol'!AQ56</f>
        <v>0.97689999999999999</v>
      </c>
      <c r="K40" s="159">
        <f>'Yearly Methanol'!AR59/'Yearly Methanol'!AR56</f>
        <v>0.97359999999999991</v>
      </c>
      <c r="L40" s="159">
        <f>'Yearly Methanol'!AS59/'Yearly Methanol'!AS56</f>
        <v>0.97030000000000005</v>
      </c>
      <c r="M40" s="159">
        <f>'Yearly Methanol'!AT59/'Yearly Methanol'!AT56</f>
        <v>0.96700000000000008</v>
      </c>
      <c r="N40" s="159">
        <f>'Yearly Methanol'!AU59/'Yearly Methanol'!AU56</f>
        <v>0.9637</v>
      </c>
      <c r="O40" s="159">
        <f>'Yearly Methanol'!AV59/'Yearly Methanol'!AV56</f>
        <v>0.96040000000000003</v>
      </c>
      <c r="P40" s="159">
        <f>'Yearly Methanol'!AW59/'Yearly Methanol'!AW56</f>
        <v>0.95710000000000006</v>
      </c>
      <c r="Q40" s="159">
        <f>'Yearly Methanol'!AX59/'Yearly Methanol'!AX56</f>
        <v>0.95379999999999998</v>
      </c>
      <c r="R40" s="159">
        <f>'Yearly Methanol'!AY59/'Yearly Methanol'!AY56</f>
        <v>0.95050000000000001</v>
      </c>
      <c r="S40" s="159">
        <f>'Yearly Methanol'!AZ59/'Yearly Methanol'!AZ56</f>
        <v>0.94719999999999993</v>
      </c>
      <c r="T40" s="159">
        <f>'Yearly Methanol'!BA59/'Yearly Methanol'!BA56</f>
        <v>0.94389999999999996</v>
      </c>
      <c r="U40" s="159">
        <f>'Yearly Methanol'!BB59/'Yearly Methanol'!BB56</f>
        <v>0.9406000000000001</v>
      </c>
      <c r="V40" s="159">
        <f>'Yearly Methanol'!BC59/'Yearly Methanol'!BC56</f>
        <v>0.93730000000000002</v>
      </c>
      <c r="W40" s="159">
        <f>'Yearly Methanol'!BD59/'Yearly Methanol'!BD56</f>
        <v>0.93399999999999994</v>
      </c>
      <c r="X40" s="159">
        <f>'Yearly Methanol'!BE59/'Yearly Methanol'!BE56</f>
        <v>0.93059999999999998</v>
      </c>
      <c r="Y40" s="159">
        <f>'Yearly Methanol'!BF59/'Yearly Methanol'!BF56</f>
        <v>0.92720000000000002</v>
      </c>
      <c r="Z40" s="159">
        <f>'Yearly Methanol'!BG59/'Yearly Methanol'!BG56</f>
        <v>0.92379999999999995</v>
      </c>
      <c r="AA40" s="159">
        <f>'Yearly Methanol'!BH59/'Yearly Methanol'!BH56</f>
        <v>0.92040000000000011</v>
      </c>
      <c r="AB40" s="159">
        <f>'Yearly Methanol'!BI59/'Yearly Methanol'!BI56</f>
        <v>0.91700000000000004</v>
      </c>
      <c r="AC40" s="159">
        <f>'Yearly Methanol'!BJ59/'Yearly Methanol'!BJ56</f>
        <v>0.91359999999999997</v>
      </c>
      <c r="AD40" s="159">
        <f>'Yearly Methanol'!BK59/'Yearly Methanol'!BK56</f>
        <v>0.91020000000000001</v>
      </c>
      <c r="AE40" s="159">
        <f>'Yearly Methanol'!BL59/'Yearly Methanol'!BL56</f>
        <v>0.90680000000000005</v>
      </c>
      <c r="AF40" s="159">
        <f>'Yearly Methanol'!BM59/'Yearly Methanol'!BM56</f>
        <v>0.90339999999999998</v>
      </c>
      <c r="AG40" s="159">
        <f>'Yearly Methanol'!BN59/'Yearly Methanol'!BN56</f>
        <v>0.9</v>
      </c>
      <c r="AI40" s="131"/>
      <c r="AL40" s="108"/>
      <c r="AM40" s="207"/>
      <c r="AN40" s="207"/>
      <c r="AO40" s="207"/>
      <c r="BD40" s="41"/>
      <c r="BE40" s="41"/>
      <c r="BF40" s="41"/>
      <c r="BG40" s="41"/>
      <c r="BH40" s="41"/>
      <c r="BI40" s="41"/>
      <c r="BJ40" s="41"/>
      <c r="BK40" s="41"/>
      <c r="BL40" s="118"/>
    </row>
    <row r="41" spans="1:64" outlineLevel="1" x14ac:dyDescent="0.2">
      <c r="AI41" t="s">
        <v>1299</v>
      </c>
      <c r="BD41" s="41"/>
      <c r="BE41" s="41"/>
      <c r="BF41" s="41"/>
      <c r="BG41" s="41"/>
      <c r="BH41" s="41"/>
      <c r="BI41" s="41"/>
      <c r="BJ41" s="41"/>
      <c r="BK41" s="41"/>
      <c r="BL41" s="118"/>
    </row>
    <row r="42" spans="1:64" outlineLevel="1" x14ac:dyDescent="0.2">
      <c r="A42" t="s">
        <v>1547</v>
      </c>
      <c r="B42" s="54" t="s">
        <v>1535</v>
      </c>
      <c r="C42" s="107">
        <f>C27*C36</f>
        <v>2.137941716225618</v>
      </c>
      <c r="D42" s="107">
        <f t="shared" ref="D42:AF42" si="17">D27*D36</f>
        <v>2.2064955667276132</v>
      </c>
      <c r="E42" s="107">
        <f t="shared" si="17"/>
        <v>2.2712902150036425</v>
      </c>
      <c r="F42" s="107">
        <f t="shared" si="17"/>
        <v>2.3318753034292512</v>
      </c>
      <c r="G42" s="107">
        <f t="shared" si="17"/>
        <v>2.387821707584957</v>
      </c>
      <c r="H42" s="107">
        <f t="shared" si="17"/>
        <v>2.4387266025086181</v>
      </c>
      <c r="I42" s="107">
        <f t="shared" si="17"/>
        <v>2.4895778907166375</v>
      </c>
      <c r="J42" s="107">
        <f t="shared" si="17"/>
        <v>2.5403260397141918</v>
      </c>
      <c r="K42" s="107">
        <f t="shared" si="17"/>
        <v>2.590920551613233</v>
      </c>
      <c r="L42" s="107">
        <f t="shared" si="17"/>
        <v>2.6413100372958644</v>
      </c>
      <c r="M42" s="107">
        <f t="shared" si="17"/>
        <v>2.6914422944252405</v>
      </c>
      <c r="N42" s="107">
        <f t="shared" si="17"/>
        <v>2.7324033293119787</v>
      </c>
      <c r="O42" s="107">
        <f t="shared" si="17"/>
        <v>2.7687102314429155</v>
      </c>
      <c r="P42" s="107">
        <f t="shared" si="17"/>
        <v>2.8001509710528629</v>
      </c>
      <c r="Q42" s="107">
        <f t="shared" si="17"/>
        <v>2.8265384555250348</v>
      </c>
      <c r="R42" s="107">
        <f t="shared" si="17"/>
        <v>2.8477123647326517</v>
      </c>
      <c r="S42" s="107">
        <f t="shared" si="17"/>
        <v>2.8686999113454918</v>
      </c>
      <c r="T42" s="107">
        <f t="shared" si="17"/>
        <v>2.8894942252089955</v>
      </c>
      <c r="U42" s="107">
        <f t="shared" si="17"/>
        <v>2.9100884446315987</v>
      </c>
      <c r="V42" s="107">
        <f t="shared" si="17"/>
        <v>2.9304757198582623</v>
      </c>
      <c r="W42" s="107">
        <f t="shared" si="17"/>
        <v>2.9506492165720819</v>
      </c>
      <c r="X42" s="107">
        <f t="shared" si="17"/>
        <v>2.9706515840963386</v>
      </c>
      <c r="Y42" s="107">
        <f t="shared" si="17"/>
        <v>2.9904603235435219</v>
      </c>
      <c r="Z42" s="107">
        <f t="shared" si="17"/>
        <v>3.0100693578446309</v>
      </c>
      <c r="AA42" s="107">
        <f t="shared" si="17"/>
        <v>3.0294726256614775</v>
      </c>
      <c r="AB42" s="107">
        <f t="shared" si="17"/>
        <v>3.0486640842505701</v>
      </c>
      <c r="AC42" s="107">
        <f t="shared" si="17"/>
        <v>3.0676667145176264</v>
      </c>
      <c r="AD42" s="107">
        <f t="shared" si="17"/>
        <v>3.0864750907959908</v>
      </c>
      <c r="AE42" s="107">
        <f t="shared" si="17"/>
        <v>3.1050838034297592</v>
      </c>
      <c r="AF42" s="107">
        <f t="shared" si="17"/>
        <v>3.123487461129852</v>
      </c>
      <c r="AG42" s="107">
        <f>AG27*AG36</f>
        <v>3.1416806933419741</v>
      </c>
      <c r="AI42" s="210" t="s">
        <v>1301</v>
      </c>
      <c r="AJ42" s="211" t="s">
        <v>1302</v>
      </c>
      <c r="BD42" s="41"/>
      <c r="BE42" s="41"/>
      <c r="BF42" s="41"/>
      <c r="BG42" s="41"/>
      <c r="BH42" s="41"/>
      <c r="BI42" s="41"/>
      <c r="BJ42" s="41"/>
      <c r="BK42" s="41"/>
      <c r="BL42" s="118"/>
    </row>
    <row r="43" spans="1:64" outlineLevel="1" x14ac:dyDescent="0.2">
      <c r="A43" t="s">
        <v>1548</v>
      </c>
      <c r="B43" s="54" t="s">
        <v>1535</v>
      </c>
      <c r="C43" s="107">
        <f t="shared" ref="C43:O43" si="18">C28*$C$37</f>
        <v>0.58649688544622769</v>
      </c>
      <c r="D43" s="107">
        <f t="shared" si="18"/>
        <v>0.60615714056992442</v>
      </c>
      <c r="E43" s="107">
        <f t="shared" si="18"/>
        <v>0.62483878383221614</v>
      </c>
      <c r="F43" s="107">
        <f t="shared" si="18"/>
        <v>0.64241359127943864</v>
      </c>
      <c r="G43" s="107">
        <f t="shared" si="18"/>
        <v>0.65875847010504252</v>
      </c>
      <c r="H43" s="107">
        <f t="shared" si="18"/>
        <v>0.67375689472702072</v>
      </c>
      <c r="I43" s="107">
        <f t="shared" si="18"/>
        <v>0.68878311163919914</v>
      </c>
      <c r="J43" s="107">
        <f t="shared" si="18"/>
        <v>0.70382351599472071</v>
      </c>
      <c r="K43" s="107">
        <f t="shared" si="18"/>
        <v>0.71886415754682209</v>
      </c>
      <c r="L43" s="107">
        <f t="shared" si="18"/>
        <v>0.73389075879075039</v>
      </c>
      <c r="M43" s="107">
        <f t="shared" si="18"/>
        <v>0.74888873433180292</v>
      </c>
      <c r="N43" s="107">
        <f t="shared" si="18"/>
        <v>0.76275031172842678</v>
      </c>
      <c r="O43" s="107">
        <f t="shared" si="18"/>
        <v>0.7753986121803268</v>
      </c>
      <c r="P43" s="107">
        <f t="shared" ref="P43:AG43" si="19">D37*P28</f>
        <v>0.78620720492109353</v>
      </c>
      <c r="Q43" s="107">
        <f t="shared" si="19"/>
        <v>0.7956429852024357</v>
      </c>
      <c r="R43" s="107">
        <f t="shared" si="19"/>
        <v>0.80365001405130931</v>
      </c>
      <c r="S43" s="107">
        <f t="shared" si="19"/>
        <v>0.81163954802105198</v>
      </c>
      <c r="T43" s="107">
        <f t="shared" si="19"/>
        <v>0.81960938874034994</v>
      </c>
      <c r="U43" s="107">
        <f t="shared" si="19"/>
        <v>0.82755732049147279</v>
      </c>
      <c r="V43" s="107">
        <f t="shared" si="19"/>
        <v>0.83548111111527901</v>
      </c>
      <c r="W43" s="107">
        <f t="shared" si="19"/>
        <v>0.84337851293729538</v>
      </c>
      <c r="X43" s="107">
        <f t="shared" si="19"/>
        <v>0.85125663970231114</v>
      </c>
      <c r="Y43" s="107">
        <f t="shared" si="19"/>
        <v>0.8591134891903518</v>
      </c>
      <c r="Z43" s="107">
        <f t="shared" si="19"/>
        <v>0.86465292577538744</v>
      </c>
      <c r="AA43" s="107">
        <f t="shared" si="19"/>
        <v>0.87005988748857865</v>
      </c>
      <c r="AB43" s="107">
        <f t="shared" si="19"/>
        <v>0.87533054867552196</v>
      </c>
      <c r="AC43" s="107">
        <f t="shared" si="19"/>
        <v>0.88046941733223405</v>
      </c>
      <c r="AD43" s="107">
        <f t="shared" si="19"/>
        <v>0.88547284199319565</v>
      </c>
      <c r="AE43" s="107">
        <f t="shared" si="19"/>
        <v>0.89033717751480623</v>
      </c>
      <c r="AF43" s="107">
        <f t="shared" si="19"/>
        <v>0.89505878706878139</v>
      </c>
      <c r="AG43" s="107">
        <f t="shared" si="19"/>
        <v>0.89963404415757764</v>
      </c>
      <c r="AI43" s="210" t="s">
        <v>1304</v>
      </c>
      <c r="AJ43" s="211" t="s">
        <v>1302</v>
      </c>
      <c r="BD43" s="41"/>
      <c r="BE43" s="41"/>
      <c r="BF43" s="41"/>
      <c r="BG43" s="41"/>
      <c r="BH43" s="41"/>
      <c r="BI43" s="41"/>
      <c r="BJ43" s="41"/>
      <c r="BK43" s="41"/>
      <c r="BL43" s="118"/>
    </row>
    <row r="44" spans="1:64" outlineLevel="1" x14ac:dyDescent="0.2">
      <c r="A44" t="s">
        <v>1549</v>
      </c>
      <c r="B44" s="54" t="s">
        <v>1535</v>
      </c>
      <c r="C44" s="107">
        <f t="shared" ref="C44:AG44" si="20">C29</f>
        <v>0.27288082766179111</v>
      </c>
      <c r="D44" s="107">
        <f t="shared" si="20"/>
        <v>0.28202820222306357</v>
      </c>
      <c r="E44" s="107">
        <f t="shared" si="20"/>
        <v>0.29072025567125509</v>
      </c>
      <c r="F44" s="107">
        <f t="shared" si="20"/>
        <v>0.29889732893660731</v>
      </c>
      <c r="G44" s="107">
        <f t="shared" si="20"/>
        <v>0.30650215033061867</v>
      </c>
      <c r="H44" s="107">
        <f t="shared" si="20"/>
        <v>0.31348050371327035</v>
      </c>
      <c r="I44" s="107">
        <f t="shared" si="20"/>
        <v>0.32047178808215687</v>
      </c>
      <c r="J44" s="107">
        <f t="shared" si="20"/>
        <v>0.32746967347720052</v>
      </c>
      <c r="K44" s="107">
        <f t="shared" si="20"/>
        <v>0.33446766923327187</v>
      </c>
      <c r="L44" s="107">
        <f t="shared" si="20"/>
        <v>0.34145913242112341</v>
      </c>
      <c r="M44" s="107">
        <f t="shared" si="20"/>
        <v>0.34843727685880416</v>
      </c>
      <c r="N44" s="107">
        <f t="shared" si="20"/>
        <v>0.3548866865770004</v>
      </c>
      <c r="O44" s="107">
        <f t="shared" si="20"/>
        <v>0.36077159198993103</v>
      </c>
      <c r="P44" s="107">
        <f t="shared" si="20"/>
        <v>0.36605874997856686</v>
      </c>
      <c r="Q44" s="107">
        <f t="shared" si="20"/>
        <v>0.37071775285926561</v>
      </c>
      <c r="R44" s="107">
        <f t="shared" si="20"/>
        <v>0.37472131644525791</v>
      </c>
      <c r="S44" s="107">
        <f t="shared" si="20"/>
        <v>0.37872665668471733</v>
      </c>
      <c r="T44" s="107">
        <f t="shared" si="20"/>
        <v>0.38273288119776105</v>
      </c>
      <c r="U44" s="107">
        <f t="shared" si="20"/>
        <v>0.38673908689105191</v>
      </c>
      <c r="V44" s="107">
        <f t="shared" si="20"/>
        <v>0.3907443602427092</v>
      </c>
      <c r="W44" s="107">
        <f t="shared" si="20"/>
        <v>0.39474777759668062</v>
      </c>
      <c r="X44" s="107">
        <f t="shared" si="20"/>
        <v>0.39875279744561698</v>
      </c>
      <c r="Y44" s="107">
        <f t="shared" si="20"/>
        <v>0.40275861571829003</v>
      </c>
      <c r="Z44" s="107">
        <f t="shared" si="20"/>
        <v>0.40676441925663909</v>
      </c>
      <c r="AA44" s="107">
        <f t="shared" si="20"/>
        <v>0.41076938604811258</v>
      </c>
      <c r="AB44" s="107">
        <f t="shared" si="20"/>
        <v>0.4147726854652421</v>
      </c>
      <c r="AC44" s="107">
        <f t="shared" si="20"/>
        <v>0.41877743769609355</v>
      </c>
      <c r="AD44" s="107">
        <f t="shared" si="20"/>
        <v>0.4227829144107636</v>
      </c>
      <c r="AE44" s="107">
        <f t="shared" si="20"/>
        <v>0.42678837950395809</v>
      </c>
      <c r="AF44" s="107">
        <f t="shared" si="20"/>
        <v>0.43079308928635907</v>
      </c>
      <c r="AG44" s="107">
        <f t="shared" si="20"/>
        <v>0.43479629268159714</v>
      </c>
      <c r="AI44" s="210" t="s">
        <v>1306</v>
      </c>
      <c r="AJ44" s="211" t="s">
        <v>1302</v>
      </c>
      <c r="BD44" s="41"/>
      <c r="BE44" s="41"/>
      <c r="BF44" s="41"/>
      <c r="BG44" s="41"/>
      <c r="BH44" s="41"/>
      <c r="BI44" s="41"/>
      <c r="BJ44" s="41"/>
      <c r="BK44" s="41"/>
      <c r="BL44" s="118"/>
    </row>
    <row r="45" spans="1:64" outlineLevel="1" x14ac:dyDescent="0.2">
      <c r="A45" t="s">
        <v>1550</v>
      </c>
      <c r="B45" s="54" t="s">
        <v>1535</v>
      </c>
      <c r="C45" s="262">
        <f t="shared" ref="C45:H45" si="21">C30*$C$39</f>
        <v>3.3569388624573886</v>
      </c>
      <c r="D45" s="262">
        <f t="shared" si="21"/>
        <v>3.4694684872657979</v>
      </c>
      <c r="E45" s="262">
        <f t="shared" si="21"/>
        <v>3.5763968202850558</v>
      </c>
      <c r="F45" s="262">
        <f t="shared" si="21"/>
        <v>3.6769899446200638</v>
      </c>
      <c r="G45" s="262">
        <f t="shared" si="21"/>
        <v>3.7705433125805432</v>
      </c>
      <c r="H45" s="262">
        <f t="shared" si="21"/>
        <v>3.8563899653736766</v>
      </c>
      <c r="I45" s="262">
        <f t="shared" ref="I45:AG46" si="22">I30*D39</f>
        <v>3.8814856797527026</v>
      </c>
      <c r="J45" s="262">
        <f t="shared" si="22"/>
        <v>3.9040025127423172</v>
      </c>
      <c r="K45" s="262">
        <f t="shared" si="22"/>
        <v>3.9238605542303673</v>
      </c>
      <c r="L45" s="262">
        <f t="shared" si="22"/>
        <v>3.9409830712899447</v>
      </c>
      <c r="M45" s="262">
        <f t="shared" si="22"/>
        <v>3.9552967551720544</v>
      </c>
      <c r="N45" s="262">
        <f t="shared" si="22"/>
        <v>3.9610564012484608</v>
      </c>
      <c r="O45" s="262">
        <f t="shared" si="22"/>
        <v>3.9581710465585744</v>
      </c>
      <c r="P45" s="262">
        <f t="shared" si="22"/>
        <v>3.9466041608223246</v>
      </c>
      <c r="Q45" s="262">
        <f t="shared" si="22"/>
        <v>3.9263745178661438</v>
      </c>
      <c r="R45" s="262">
        <f t="shared" si="22"/>
        <v>3.897556497247133</v>
      </c>
      <c r="S45" s="262">
        <f t="shared" si="22"/>
        <v>3.8884333794370978</v>
      </c>
      <c r="T45" s="262">
        <f t="shared" si="22"/>
        <v>3.8782450685807826</v>
      </c>
      <c r="U45" s="262">
        <f t="shared" si="22"/>
        <v>3.8669821789820138</v>
      </c>
      <c r="V45" s="262">
        <f t="shared" si="22"/>
        <v>3.8546357064522807</v>
      </c>
      <c r="W45" s="262">
        <f t="shared" si="22"/>
        <v>3.8411970381670293</v>
      </c>
      <c r="X45" s="262">
        <f t="shared" si="22"/>
        <v>3.8267001107615615</v>
      </c>
      <c r="Y45" s="262">
        <f t="shared" si="22"/>
        <v>3.811136671009046</v>
      </c>
      <c r="Z45" s="262">
        <f t="shared" si="22"/>
        <v>3.7944988121883556</v>
      </c>
      <c r="AA45" s="262">
        <f t="shared" si="22"/>
        <v>3.7767789823125963</v>
      </c>
      <c r="AB45" s="262">
        <f t="shared" si="22"/>
        <v>3.7579699922362004</v>
      </c>
      <c r="AC45" s="262">
        <f t="shared" si="22"/>
        <v>3.7265089559452513</v>
      </c>
      <c r="AD45" s="262">
        <f t="shared" si="22"/>
        <v>3.6937585572118028</v>
      </c>
      <c r="AE45" s="262">
        <f t="shared" si="22"/>
        <v>3.6597121323321247</v>
      </c>
      <c r="AF45" s="262">
        <f t="shared" si="22"/>
        <v>3.6243634301133252</v>
      </c>
      <c r="AG45" s="262">
        <f t="shared" si="22"/>
        <v>3.5877066196329781</v>
      </c>
      <c r="AI45" s="210" t="s">
        <v>1308</v>
      </c>
      <c r="AJ45" s="211" t="s">
        <v>1302</v>
      </c>
      <c r="AL45" s="5"/>
      <c r="AM45" s="109"/>
      <c r="AN45" s="109"/>
      <c r="AO45" s="109"/>
      <c r="BC45" s="1"/>
      <c r="BD45" s="118"/>
      <c r="BE45" s="118"/>
      <c r="BF45" s="118"/>
      <c r="BG45" s="118"/>
      <c r="BH45" s="118"/>
      <c r="BI45" s="118"/>
      <c r="BJ45" s="118"/>
      <c r="BK45" s="118"/>
      <c r="BL45" s="118"/>
    </row>
    <row r="46" spans="1:64" outlineLevel="1" x14ac:dyDescent="0.2">
      <c r="A46" s="181" t="s">
        <v>1551</v>
      </c>
      <c r="B46" s="176" t="s">
        <v>1535</v>
      </c>
      <c r="C46" s="107">
        <f t="shared" ref="C46:H46" si="23">C31*$C$40</f>
        <v>6.3196211155477018</v>
      </c>
      <c r="D46" s="107">
        <f t="shared" si="23"/>
        <v>6.5314642923827124</v>
      </c>
      <c r="E46" s="107">
        <f t="shared" si="23"/>
        <v>6.7327627308964706</v>
      </c>
      <c r="F46" s="107">
        <f t="shared" si="23"/>
        <v>6.9221347923706755</v>
      </c>
      <c r="G46" s="107">
        <f t="shared" si="23"/>
        <v>7.0982541272223267</v>
      </c>
      <c r="H46" s="107">
        <f t="shared" si="23"/>
        <v>7.25986514902492</v>
      </c>
      <c r="I46" s="107">
        <f t="shared" si="22"/>
        <v>7.397283778700567</v>
      </c>
      <c r="J46" s="107">
        <f t="shared" si="22"/>
        <v>7.5337856627247088</v>
      </c>
      <c r="K46" s="107">
        <f t="shared" si="22"/>
        <v>7.6692204590985664</v>
      </c>
      <c r="L46" s="107">
        <f t="shared" si="22"/>
        <v>7.8034363302802845</v>
      </c>
      <c r="M46" s="107">
        <f t="shared" si="22"/>
        <v>7.9362802066194451</v>
      </c>
      <c r="N46" s="107">
        <f t="shared" si="22"/>
        <v>8.0560550144645848</v>
      </c>
      <c r="O46" s="107">
        <f t="shared" si="22"/>
        <v>8.1620727297422153</v>
      </c>
      <c r="P46" s="107">
        <f t="shared" si="22"/>
        <v>8.2537132285870385</v>
      </c>
      <c r="Q46" s="107">
        <f t="shared" si="22"/>
        <v>8.3304302647841695</v>
      </c>
      <c r="R46" s="107">
        <f t="shared" si="22"/>
        <v>8.3917568373264118</v>
      </c>
      <c r="S46" s="107">
        <f t="shared" si="22"/>
        <v>8.4525111218640063</v>
      </c>
      <c r="T46" s="107">
        <f t="shared" si="22"/>
        <v>8.5126728629122432</v>
      </c>
      <c r="U46" s="107">
        <f t="shared" si="22"/>
        <v>8.5722218403168906</v>
      </c>
      <c r="V46" s="107">
        <f t="shared" si="22"/>
        <v>8.6311378796414004</v>
      </c>
      <c r="W46" s="107">
        <f t="shared" si="22"/>
        <v>8.6894008626317838</v>
      </c>
      <c r="X46" s="107">
        <f t="shared" si="22"/>
        <v>8.7470870807097842</v>
      </c>
      <c r="Y46" s="107">
        <f t="shared" si="22"/>
        <v>8.8041785897183189</v>
      </c>
      <c r="Z46" s="107">
        <f t="shared" si="22"/>
        <v>8.8606574933620283</v>
      </c>
      <c r="AA46" s="107">
        <f t="shared" si="22"/>
        <v>8.9165059517229341</v>
      </c>
      <c r="AB46" s="107">
        <f t="shared" si="22"/>
        <v>8.9717061898260351</v>
      </c>
      <c r="AC46" s="107">
        <f t="shared" si="22"/>
        <v>9.0253559997842494</v>
      </c>
      <c r="AD46" s="107">
        <f t="shared" si="22"/>
        <v>9.078390695942435</v>
      </c>
      <c r="AE46" s="107">
        <f t="shared" si="22"/>
        <v>9.1307943587812801</v>
      </c>
      <c r="AF46" s="107">
        <f t="shared" si="22"/>
        <v>9.182551138969087</v>
      </c>
      <c r="AG46" s="107">
        <f t="shared" si="22"/>
        <v>9.2336452645306561</v>
      </c>
      <c r="AI46" s="210" t="s">
        <v>1308</v>
      </c>
      <c r="AJ46" s="211" t="s">
        <v>1302</v>
      </c>
      <c r="AL46" s="108"/>
      <c r="AM46" s="2"/>
      <c r="AN46" s="2"/>
      <c r="AO46" s="2"/>
    </row>
    <row r="47" spans="1:64" s="1" customFormat="1" ht="16" thickBot="1" x14ac:dyDescent="0.25">
      <c r="A47" s="200" t="s">
        <v>1552</v>
      </c>
      <c r="B47" s="215" t="s">
        <v>1535</v>
      </c>
      <c r="C47" s="216">
        <f>SUM(C42:C46)</f>
        <v>12.673879407338728</v>
      </c>
      <c r="D47" s="216">
        <f t="shared" ref="D47:AF47" si="24">SUM(D42:D46)</f>
        <v>13.095613689169113</v>
      </c>
      <c r="E47" s="216">
        <f t="shared" si="24"/>
        <v>13.496008805688639</v>
      </c>
      <c r="F47" s="216">
        <f t="shared" si="24"/>
        <v>13.872310960636037</v>
      </c>
      <c r="G47" s="216">
        <f t="shared" si="24"/>
        <v>14.221879767823488</v>
      </c>
      <c r="H47" s="216">
        <f t="shared" si="24"/>
        <v>14.542219115347505</v>
      </c>
      <c r="I47" s="216">
        <f t="shared" si="24"/>
        <v>14.777602248891263</v>
      </c>
      <c r="J47" s="216">
        <f t="shared" si="24"/>
        <v>15.009407404653139</v>
      </c>
      <c r="K47" s="216">
        <f t="shared" si="24"/>
        <v>15.237333391722261</v>
      </c>
      <c r="L47" s="216">
        <f t="shared" si="24"/>
        <v>15.461079330077968</v>
      </c>
      <c r="M47" s="216">
        <f t="shared" si="24"/>
        <v>15.680345267407347</v>
      </c>
      <c r="N47" s="216">
        <f t="shared" si="24"/>
        <v>15.867151743330451</v>
      </c>
      <c r="O47" s="216">
        <f t="shared" si="24"/>
        <v>16.025124211913962</v>
      </c>
      <c r="P47" s="216">
        <f t="shared" si="24"/>
        <v>16.152734315361887</v>
      </c>
      <c r="Q47" s="216">
        <f t="shared" si="24"/>
        <v>16.249703976237051</v>
      </c>
      <c r="R47" s="216">
        <f t="shared" si="24"/>
        <v>16.315397029802764</v>
      </c>
      <c r="S47" s="216">
        <f t="shared" si="24"/>
        <v>16.400010617352365</v>
      </c>
      <c r="T47" s="216">
        <f t="shared" si="24"/>
        <v>16.482754426640131</v>
      </c>
      <c r="U47" s="216">
        <f t="shared" si="24"/>
        <v>16.56358887131303</v>
      </c>
      <c r="V47" s="216">
        <f t="shared" si="24"/>
        <v>16.642474777309932</v>
      </c>
      <c r="W47" s="216">
        <f t="shared" si="24"/>
        <v>16.719373407904872</v>
      </c>
      <c r="X47" s="216">
        <f t="shared" si="24"/>
        <v>16.794448212715615</v>
      </c>
      <c r="Y47" s="216">
        <f t="shared" si="24"/>
        <v>16.867647689179528</v>
      </c>
      <c r="Z47" s="216">
        <f t="shared" si="24"/>
        <v>16.936643008427041</v>
      </c>
      <c r="AA47" s="216">
        <f t="shared" si="24"/>
        <v>17.003586833233697</v>
      </c>
      <c r="AB47" s="216">
        <f t="shared" si="24"/>
        <v>17.068443500453569</v>
      </c>
      <c r="AC47" s="216">
        <f t="shared" si="24"/>
        <v>17.118778525275452</v>
      </c>
      <c r="AD47" s="216">
        <f t="shared" si="24"/>
        <v>17.166880100354188</v>
      </c>
      <c r="AE47" s="216">
        <f t="shared" si="24"/>
        <v>17.212715851561928</v>
      </c>
      <c r="AF47" s="216">
        <f t="shared" si="24"/>
        <v>17.256253906567405</v>
      </c>
      <c r="AG47" s="216">
        <f>SUM(AG42:AG46)</f>
        <v>17.297462914344784</v>
      </c>
      <c r="AJ47" s="162"/>
      <c r="AL47" s="221"/>
      <c r="AM47" s="124"/>
      <c r="AN47" s="124"/>
      <c r="AO47" s="124"/>
    </row>
    <row r="48" spans="1:64" ht="16" thickTop="1" x14ac:dyDescent="0.2">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x14ac:dyDescent="0.25">
      <c r="A49" s="200" t="s">
        <v>1311</v>
      </c>
      <c r="B49" s="215" t="s">
        <v>462</v>
      </c>
      <c r="C49" s="222">
        <f>C52</f>
        <v>0.14200000000000002</v>
      </c>
      <c r="D49" s="222">
        <f t="shared" ref="D49:AG49" si="25">D52</f>
        <v>0.14849999999999999</v>
      </c>
      <c r="E49" s="222">
        <f t="shared" si="25"/>
        <v>0.155</v>
      </c>
      <c r="F49" s="222">
        <f t="shared" si="25"/>
        <v>0.16149999999999998</v>
      </c>
      <c r="G49" s="222">
        <f t="shared" si="25"/>
        <v>0.16800000000000001</v>
      </c>
      <c r="H49" s="222">
        <f t="shared" si="25"/>
        <v>0.17449999999999999</v>
      </c>
      <c r="I49" s="222">
        <f t="shared" si="25"/>
        <v>0.18099999999999999</v>
      </c>
      <c r="J49" s="222">
        <f t="shared" si="25"/>
        <v>0.1875</v>
      </c>
      <c r="K49" s="222">
        <f t="shared" si="25"/>
        <v>0.19400000000000001</v>
      </c>
      <c r="L49" s="222">
        <f t="shared" si="25"/>
        <v>0.20050000000000001</v>
      </c>
      <c r="M49" s="222">
        <f t="shared" si="25"/>
        <v>0.20700000000000002</v>
      </c>
      <c r="N49" s="222">
        <f t="shared" si="25"/>
        <v>0.22070000000000001</v>
      </c>
      <c r="O49" s="222">
        <f t="shared" si="25"/>
        <v>0.2344</v>
      </c>
      <c r="P49" s="222">
        <f t="shared" si="25"/>
        <v>0.24809999999999999</v>
      </c>
      <c r="Q49" s="222">
        <f t="shared" si="25"/>
        <v>0.26179999999999998</v>
      </c>
      <c r="R49" s="222">
        <f t="shared" si="25"/>
        <v>0.27549999999999997</v>
      </c>
      <c r="S49" s="222">
        <f t="shared" si="25"/>
        <v>0.28920000000000001</v>
      </c>
      <c r="T49" s="222">
        <f t="shared" si="25"/>
        <v>0.3029</v>
      </c>
      <c r="U49" s="222">
        <f t="shared" si="25"/>
        <v>0.31659999999999999</v>
      </c>
      <c r="V49" s="222">
        <f t="shared" si="25"/>
        <v>0.33030000000000004</v>
      </c>
      <c r="W49" s="222">
        <f t="shared" si="25"/>
        <v>0.34399999999999997</v>
      </c>
      <c r="X49" s="222">
        <f t="shared" si="25"/>
        <v>0.36692262658227848</v>
      </c>
      <c r="Y49" s="222">
        <f t="shared" si="25"/>
        <v>0.38984525316455698</v>
      </c>
      <c r="Z49" s="222">
        <f t="shared" si="25"/>
        <v>0.41276787974683543</v>
      </c>
      <c r="AA49" s="222">
        <f t="shared" si="25"/>
        <v>0.43569050632911388</v>
      </c>
      <c r="AB49" s="222">
        <f t="shared" si="25"/>
        <v>0.45861313291139238</v>
      </c>
      <c r="AC49" s="222">
        <f t="shared" si="25"/>
        <v>0.48153575949367089</v>
      </c>
      <c r="AD49" s="222">
        <f t="shared" si="25"/>
        <v>0.50445838607594939</v>
      </c>
      <c r="AE49" s="222">
        <f t="shared" si="25"/>
        <v>0.5273810126582279</v>
      </c>
      <c r="AF49" s="222">
        <f t="shared" si="25"/>
        <v>0.55030363924050629</v>
      </c>
      <c r="AG49" s="222">
        <f t="shared" si="25"/>
        <v>0.5732262658227848</v>
      </c>
      <c r="AJ49" s="231" t="s">
        <v>1312</v>
      </c>
      <c r="AL49" s="217"/>
      <c r="AM49" s="218"/>
      <c r="AN49" s="218"/>
      <c r="AO49" s="218"/>
    </row>
    <row r="50" spans="1:63" ht="16" outlineLevel="1" thickTop="1" x14ac:dyDescent="0.2">
      <c r="A50" t="s">
        <v>1313</v>
      </c>
      <c r="B50" s="54" t="s">
        <v>462</v>
      </c>
      <c r="C50" s="113">
        <v>4.7E-2</v>
      </c>
      <c r="D50" s="110">
        <f>$C50+($M50-$C50)/10*(D$1-$C$1)</f>
        <v>5.0200000000000002E-2</v>
      </c>
      <c r="E50" s="110">
        <f t="shared" ref="E50:L51" si="26">$C50+($M50-$C50)/10*(E$1-$C$1)</f>
        <v>5.3400000000000003E-2</v>
      </c>
      <c r="F50" s="110">
        <f t="shared" si="26"/>
        <v>5.6599999999999998E-2</v>
      </c>
      <c r="G50" s="110">
        <f t="shared" si="26"/>
        <v>5.9799999999999999E-2</v>
      </c>
      <c r="H50" s="110">
        <f t="shared" si="26"/>
        <v>6.3E-2</v>
      </c>
      <c r="I50" s="110">
        <f t="shared" si="26"/>
        <v>6.6200000000000009E-2</v>
      </c>
      <c r="J50" s="110">
        <f t="shared" si="26"/>
        <v>6.9400000000000003E-2</v>
      </c>
      <c r="K50" s="110">
        <f t="shared" si="26"/>
        <v>7.2599999999999998E-2</v>
      </c>
      <c r="L50" s="110">
        <f t="shared" si="26"/>
        <v>7.5800000000000006E-2</v>
      </c>
      <c r="M50" s="113">
        <v>7.9000000000000001E-2</v>
      </c>
      <c r="N50" s="110">
        <f>$M50+($W50-$M50)/10*(N$1-$M$1)</f>
        <v>8.5100000000000009E-2</v>
      </c>
      <c r="O50" s="110">
        <f t="shared" ref="O50:U51" si="27">$M50+($W50-$M50)/10*(O$1-$M$1)</f>
        <v>9.1200000000000003E-2</v>
      </c>
      <c r="P50" s="110">
        <f t="shared" si="27"/>
        <v>9.7299999999999998E-2</v>
      </c>
      <c r="Q50" s="110">
        <f t="shared" si="27"/>
        <v>0.10340000000000001</v>
      </c>
      <c r="R50" s="110">
        <f t="shared" si="27"/>
        <v>0.10950000000000001</v>
      </c>
      <c r="S50" s="110">
        <f t="shared" si="27"/>
        <v>0.11560000000000001</v>
      </c>
      <c r="T50" s="110">
        <f t="shared" si="27"/>
        <v>0.1217</v>
      </c>
      <c r="U50" s="110">
        <f t="shared" si="27"/>
        <v>0.12780000000000002</v>
      </c>
      <c r="V50" s="110">
        <f>$M50+($W50-$M50)/10*(V$1-$M$1)</f>
        <v>0.13390000000000002</v>
      </c>
      <c r="W50" s="113">
        <v>0.14000000000000001</v>
      </c>
      <c r="X50" s="110">
        <f>$W50+($AG50-$W50)/10*(X$1-$W$1)</f>
        <v>0.15081012658227849</v>
      </c>
      <c r="Y50" s="110">
        <f t="shared" ref="Y50:AF51" si="28">$W50+($AG50-$W50)/10*(Y$1-$W$1)</f>
        <v>0.16162025316455697</v>
      </c>
      <c r="Z50" s="110">
        <f t="shared" si="28"/>
        <v>0.17243037974683545</v>
      </c>
      <c r="AA50" s="110">
        <f t="shared" si="28"/>
        <v>0.18324050632911396</v>
      </c>
      <c r="AB50" s="110">
        <f t="shared" si="28"/>
        <v>0.19405063291139243</v>
      </c>
      <c r="AC50" s="110">
        <f t="shared" si="28"/>
        <v>0.20486075949367091</v>
      </c>
      <c r="AD50" s="110">
        <f t="shared" si="28"/>
        <v>0.21567088607594942</v>
      </c>
      <c r="AE50" s="110">
        <f t="shared" si="28"/>
        <v>0.2264810126582279</v>
      </c>
      <c r="AF50" s="110">
        <f t="shared" si="28"/>
        <v>0.23729113924050638</v>
      </c>
      <c r="AG50" s="110">
        <f>(W50/M50)*W50</f>
        <v>0.24810126582278486</v>
      </c>
      <c r="AI50" s="133"/>
      <c r="AJ50" s="211" t="s">
        <v>1431</v>
      </c>
      <c r="AL50" s="108"/>
      <c r="AM50" s="2"/>
      <c r="AN50" s="2"/>
      <c r="AO50" s="2"/>
      <c r="AV50" s="41"/>
    </row>
    <row r="51" spans="1:63" outlineLevel="1" x14ac:dyDescent="0.2">
      <c r="A51" t="s">
        <v>1315</v>
      </c>
      <c r="B51" s="54" t="s">
        <v>462</v>
      </c>
      <c r="C51" s="113">
        <v>9.5000000000000001E-2</v>
      </c>
      <c r="D51" s="110">
        <f>$C51+($M51-$C51)/10*(D$1-$C$1)</f>
        <v>9.8299999999999998E-2</v>
      </c>
      <c r="E51" s="110">
        <f t="shared" si="26"/>
        <v>0.1016</v>
      </c>
      <c r="F51" s="110">
        <f t="shared" si="26"/>
        <v>0.10489999999999999</v>
      </c>
      <c r="G51" s="110">
        <f t="shared" si="26"/>
        <v>0.1082</v>
      </c>
      <c r="H51" s="110">
        <f t="shared" si="26"/>
        <v>0.1115</v>
      </c>
      <c r="I51" s="110">
        <f t="shared" si="26"/>
        <v>0.1148</v>
      </c>
      <c r="J51" s="110">
        <f t="shared" si="26"/>
        <v>0.1181</v>
      </c>
      <c r="K51" s="110">
        <f t="shared" si="26"/>
        <v>0.12140000000000001</v>
      </c>
      <c r="L51" s="110">
        <f t="shared" si="26"/>
        <v>0.12470000000000001</v>
      </c>
      <c r="M51" s="113">
        <v>0.128</v>
      </c>
      <c r="N51" s="110">
        <f>$M51+($W51-$M51)/10*(N$1-$M$1)</f>
        <v>0.1356</v>
      </c>
      <c r="O51" s="110">
        <f t="shared" si="27"/>
        <v>0.14319999999999999</v>
      </c>
      <c r="P51" s="110">
        <f t="shared" si="27"/>
        <v>0.15079999999999999</v>
      </c>
      <c r="Q51" s="110">
        <f t="shared" si="27"/>
        <v>0.15839999999999999</v>
      </c>
      <c r="R51" s="110">
        <f t="shared" si="27"/>
        <v>0.16599999999999998</v>
      </c>
      <c r="S51" s="110">
        <f t="shared" si="27"/>
        <v>0.17359999999999998</v>
      </c>
      <c r="T51" s="110">
        <f t="shared" si="27"/>
        <v>0.1812</v>
      </c>
      <c r="U51" s="110">
        <f t="shared" si="27"/>
        <v>0.1888</v>
      </c>
      <c r="V51" s="110">
        <f>$M51+($W51-$M51)/10*(V$1-$M$1)</f>
        <v>0.19639999999999999</v>
      </c>
      <c r="W51" s="113">
        <v>0.20399999999999999</v>
      </c>
      <c r="X51" s="110">
        <f>$W51+($AG51-$W51)/10*(X$1-$W$1)</f>
        <v>0.21611249999999999</v>
      </c>
      <c r="Y51" s="110">
        <f t="shared" si="28"/>
        <v>0.22822499999999998</v>
      </c>
      <c r="Z51" s="110">
        <f t="shared" si="28"/>
        <v>0.24033749999999998</v>
      </c>
      <c r="AA51" s="110">
        <f t="shared" si="28"/>
        <v>0.25244999999999995</v>
      </c>
      <c r="AB51" s="110">
        <f t="shared" si="28"/>
        <v>0.26456249999999998</v>
      </c>
      <c r="AC51" s="110">
        <f t="shared" si="28"/>
        <v>0.27667499999999995</v>
      </c>
      <c r="AD51" s="110">
        <f t="shared" si="28"/>
        <v>0.28878749999999997</v>
      </c>
      <c r="AE51" s="110">
        <f t="shared" si="28"/>
        <v>0.30089999999999995</v>
      </c>
      <c r="AF51" s="110">
        <f t="shared" si="28"/>
        <v>0.31301249999999992</v>
      </c>
      <c r="AG51" s="110">
        <f>(W51/M51)*W51</f>
        <v>0.32512499999999994</v>
      </c>
      <c r="AI51" s="133"/>
      <c r="AJ51" s="211" t="s">
        <v>1431</v>
      </c>
      <c r="AL51" s="108"/>
      <c r="AM51" s="2"/>
      <c r="AN51" s="2"/>
      <c r="AO51" s="2"/>
      <c r="AV51" s="41"/>
    </row>
    <row r="52" spans="1:63" outlineLevel="1" x14ac:dyDescent="0.2">
      <c r="A52" t="s">
        <v>1316</v>
      </c>
      <c r="B52" s="176" t="s">
        <v>462</v>
      </c>
      <c r="C52" s="110">
        <f>C50+C51</f>
        <v>0.14200000000000002</v>
      </c>
      <c r="D52" s="110">
        <f t="shared" ref="D52:AF52" si="29">D50+D51</f>
        <v>0.14849999999999999</v>
      </c>
      <c r="E52" s="110">
        <f t="shared" si="29"/>
        <v>0.155</v>
      </c>
      <c r="F52" s="110">
        <f t="shared" si="29"/>
        <v>0.16149999999999998</v>
      </c>
      <c r="G52" s="110">
        <f t="shared" si="29"/>
        <v>0.16800000000000001</v>
      </c>
      <c r="H52" s="110">
        <f t="shared" si="29"/>
        <v>0.17449999999999999</v>
      </c>
      <c r="I52" s="110">
        <f t="shared" si="29"/>
        <v>0.18099999999999999</v>
      </c>
      <c r="J52" s="110">
        <f t="shared" si="29"/>
        <v>0.1875</v>
      </c>
      <c r="K52" s="110">
        <f t="shared" si="29"/>
        <v>0.19400000000000001</v>
      </c>
      <c r="L52" s="110">
        <f t="shared" si="29"/>
        <v>0.20050000000000001</v>
      </c>
      <c r="M52" s="110">
        <f t="shared" si="29"/>
        <v>0.20700000000000002</v>
      </c>
      <c r="N52" s="110">
        <f t="shared" si="29"/>
        <v>0.22070000000000001</v>
      </c>
      <c r="O52" s="110">
        <f t="shared" si="29"/>
        <v>0.2344</v>
      </c>
      <c r="P52" s="110">
        <f t="shared" si="29"/>
        <v>0.24809999999999999</v>
      </c>
      <c r="Q52" s="110">
        <f t="shared" si="29"/>
        <v>0.26179999999999998</v>
      </c>
      <c r="R52" s="110">
        <f t="shared" si="29"/>
        <v>0.27549999999999997</v>
      </c>
      <c r="S52" s="110">
        <f t="shared" si="29"/>
        <v>0.28920000000000001</v>
      </c>
      <c r="T52" s="110">
        <f t="shared" si="29"/>
        <v>0.3029</v>
      </c>
      <c r="U52" s="110">
        <f t="shared" si="29"/>
        <v>0.31659999999999999</v>
      </c>
      <c r="V52" s="110">
        <f t="shared" si="29"/>
        <v>0.33030000000000004</v>
      </c>
      <c r="W52" s="110">
        <f t="shared" si="29"/>
        <v>0.34399999999999997</v>
      </c>
      <c r="X52" s="110">
        <f t="shared" si="29"/>
        <v>0.36692262658227848</v>
      </c>
      <c r="Y52" s="110">
        <f t="shared" si="29"/>
        <v>0.38984525316455698</v>
      </c>
      <c r="Z52" s="110">
        <f t="shared" si="29"/>
        <v>0.41276787974683543</v>
      </c>
      <c r="AA52" s="110">
        <f t="shared" si="29"/>
        <v>0.43569050632911388</v>
      </c>
      <c r="AB52" s="110">
        <f t="shared" si="29"/>
        <v>0.45861313291139238</v>
      </c>
      <c r="AC52" s="110">
        <f t="shared" si="29"/>
        <v>0.48153575949367089</v>
      </c>
      <c r="AD52" s="110">
        <f t="shared" si="29"/>
        <v>0.50445838607594939</v>
      </c>
      <c r="AE52" s="110">
        <f t="shared" si="29"/>
        <v>0.5273810126582279</v>
      </c>
      <c r="AF52" s="110">
        <f t="shared" si="29"/>
        <v>0.55030363924050629</v>
      </c>
      <c r="AG52" s="110">
        <f>AG50+AG51</f>
        <v>0.5732262658227848</v>
      </c>
      <c r="AI52" s="133"/>
      <c r="AJ52" s="211"/>
      <c r="AL52" s="108"/>
      <c r="AM52" s="2"/>
      <c r="AN52" s="2"/>
      <c r="AO52" s="2"/>
    </row>
    <row r="53" spans="1:63" outlineLevel="1" x14ac:dyDescent="0.2">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x14ac:dyDescent="0.2">
      <c r="A54" t="s">
        <v>1317</v>
      </c>
      <c r="B54" s="54" t="s">
        <v>462</v>
      </c>
      <c r="C54" s="110">
        <f>'Ethylene Recycling HC'!C57</f>
        <v>0.11499935012302656</v>
      </c>
      <c r="D54" s="110">
        <f>'Ethylene Recycling HC'!D57</f>
        <v>0.11283270511892568</v>
      </c>
      <c r="E54" s="110">
        <f>'Ethylene Recycling HC'!E57</f>
        <v>0.1106660601148248</v>
      </c>
      <c r="F54" s="110">
        <f>'Ethylene Recycling HC'!F57</f>
        <v>0.10849941511072392</v>
      </c>
      <c r="G54" s="110">
        <f>'Ethylene Recycling HC'!G57</f>
        <v>0.10633277010662304</v>
      </c>
      <c r="H54" s="110">
        <f>'Ethylene Recycling HC'!H57</f>
        <v>0.10416612510252216</v>
      </c>
      <c r="I54" s="110">
        <f>'Ethylene Recycling HC'!I57</f>
        <v>0.10199948009842127</v>
      </c>
      <c r="J54" s="110">
        <f>'Ethylene Recycling HC'!J57</f>
        <v>9.9832835094320393E-2</v>
      </c>
      <c r="K54" s="110">
        <f>'Ethylene Recycling HC'!K57</f>
        <v>9.7666190090219512E-2</v>
      </c>
      <c r="L54" s="110">
        <f>'Ethylene Recycling HC'!L57</f>
        <v>9.5499545086118631E-2</v>
      </c>
      <c r="M54" s="110">
        <f>'Ethylene Recycling HC'!M57</f>
        <v>9.333290008201775E-2</v>
      </c>
      <c r="N54" s="110">
        <f>'Ethylene Recycling HC'!N57</f>
        <v>9.1166255077916869E-2</v>
      </c>
      <c r="O54" s="110">
        <f>'Ethylene Recycling HC'!O57</f>
        <v>8.8999610073815988E-2</v>
      </c>
      <c r="P54" s="110">
        <f>'Ethylene Recycling HC'!P57</f>
        <v>8.6832965069715107E-2</v>
      </c>
      <c r="Q54" s="110">
        <f>'Ethylene Recycling HC'!Q57</f>
        <v>8.4666320065614226E-2</v>
      </c>
      <c r="R54" s="110">
        <f>'Ethylene Recycling HC'!R57</f>
        <v>8.2499675061513345E-2</v>
      </c>
      <c r="S54" s="110">
        <f>'Ethylene Recycling HC'!S57</f>
        <v>8.0333030057412463E-2</v>
      </c>
      <c r="T54" s="110">
        <f>'Ethylene Recycling HC'!T57</f>
        <v>7.8166385053311582E-2</v>
      </c>
      <c r="U54" s="110">
        <f>'Ethylene Recycling HC'!U57</f>
        <v>7.5999740049210701E-2</v>
      </c>
      <c r="V54" s="110">
        <f>'Ethylene Recycling HC'!V57</f>
        <v>7.383309504510982E-2</v>
      </c>
      <c r="W54" s="110">
        <f>'Ethylene Recycling HC'!W57</f>
        <v>7.1666450041008939E-2</v>
      </c>
      <c r="X54" s="110">
        <f>'Ethylene Recycling HC'!X57</f>
        <v>6.9499805036908058E-2</v>
      </c>
      <c r="Y54" s="110">
        <f>'Ethylene Recycling HC'!Y57</f>
        <v>6.7333160032807177E-2</v>
      </c>
      <c r="Z54" s="110">
        <f>'Ethylene Recycling HC'!Z57</f>
        <v>6.5166515028706296E-2</v>
      </c>
      <c r="AA54" s="110">
        <f>'Ethylene Recycling HC'!AA57</f>
        <v>6.2999870024605414E-2</v>
      </c>
      <c r="AB54" s="110">
        <f>'Ethylene Recycling HC'!AB57</f>
        <v>6.0833225020504526E-2</v>
      </c>
      <c r="AC54" s="110">
        <f>'Ethylene Recycling HC'!AC57</f>
        <v>5.8666580016403638E-2</v>
      </c>
      <c r="AD54" s="110">
        <f>'Ethylene Recycling HC'!AD57</f>
        <v>5.649993501230275E-2</v>
      </c>
      <c r="AE54" s="110">
        <f>'Ethylene Recycling HC'!AE57</f>
        <v>5.4333290008201862E-2</v>
      </c>
      <c r="AF54" s="110">
        <f>'Ethylene Recycling HC'!AF57</f>
        <v>5.2166645004100974E-2</v>
      </c>
      <c r="AG54" s="110">
        <f>'Ethylene Recycling HC'!AG57</f>
        <v>0.05</v>
      </c>
      <c r="AI54" s="133"/>
      <c r="AJ54" s="211" t="s">
        <v>1432</v>
      </c>
      <c r="AL54" s="108"/>
      <c r="AM54" s="2"/>
      <c r="AN54" s="2"/>
      <c r="AO54" s="2"/>
      <c r="AV54" s="41"/>
    </row>
    <row r="55" spans="1:63" outlineLevel="1" x14ac:dyDescent="0.2">
      <c r="A55" t="s">
        <v>1318</v>
      </c>
      <c r="C55" s="110">
        <f>'Ethylene Recycling HC'!C58</f>
        <v>0.13791632052401978</v>
      </c>
      <c r="D55" s="110">
        <f>'Ethylene Recycling HC'!D58</f>
        <v>0.13791632052401978</v>
      </c>
      <c r="E55" s="110">
        <f>'Ethylene Recycling HC'!E58</f>
        <v>0.13791632052401978</v>
      </c>
      <c r="F55" s="110">
        <f>'Ethylene Recycling HC'!F58</f>
        <v>0.13791632052401978</v>
      </c>
      <c r="G55" s="110">
        <f>'Ethylene Recycling HC'!G58</f>
        <v>0.13791632052401978</v>
      </c>
      <c r="H55" s="110">
        <f>'Ethylene Recycling HC'!H58</f>
        <v>0.13791632052401978</v>
      </c>
      <c r="I55" s="110">
        <f>'Ethylene Recycling HC'!I58</f>
        <v>0.13791632052401978</v>
      </c>
      <c r="J55" s="110">
        <f>'Ethylene Recycling HC'!J58</f>
        <v>0.13791632052401978</v>
      </c>
      <c r="K55" s="110">
        <f>'Ethylene Recycling HC'!K58</f>
        <v>0.13791632052401978</v>
      </c>
      <c r="L55" s="110">
        <f>'Ethylene Recycling HC'!L58</f>
        <v>0.13791632052401978</v>
      </c>
      <c r="M55" s="110">
        <f>'Ethylene Recycling HC'!M58</f>
        <v>0.13791632052401978</v>
      </c>
      <c r="N55" s="110">
        <f>'Ethylene Recycling HC'!N58</f>
        <v>0.13791632052401978</v>
      </c>
      <c r="O55" s="110">
        <f>'Ethylene Recycling HC'!O58</f>
        <v>0.13791632052401978</v>
      </c>
      <c r="P55" s="110">
        <f>'Ethylene Recycling HC'!P58</f>
        <v>0.13791632052401978</v>
      </c>
      <c r="Q55" s="110">
        <f>'Ethylene Recycling HC'!Q58</f>
        <v>0.13791632052401978</v>
      </c>
      <c r="R55" s="110">
        <f>'Ethylene Recycling HC'!R58</f>
        <v>0.13791632052401978</v>
      </c>
      <c r="S55" s="110">
        <f>'Ethylene Recycling HC'!S58</f>
        <v>0.13791632052401978</v>
      </c>
      <c r="T55" s="110">
        <f>'Ethylene Recycling HC'!T58</f>
        <v>0.13791632052401978</v>
      </c>
      <c r="U55" s="110">
        <f>'Ethylene Recycling HC'!U58</f>
        <v>0.13791632052401978</v>
      </c>
      <c r="V55" s="110">
        <f>'Ethylene Recycling HC'!V58</f>
        <v>0.13791632052401978</v>
      </c>
      <c r="W55" s="110">
        <f>'Ethylene Recycling HC'!W58</f>
        <v>0.13791632052401978</v>
      </c>
      <c r="X55" s="110">
        <f>'Ethylene Recycling HC'!X58</f>
        <v>0.13791632052401978</v>
      </c>
      <c r="Y55" s="110">
        <f>'Ethylene Recycling HC'!Y58</f>
        <v>0.13791632052401978</v>
      </c>
      <c r="Z55" s="110">
        <f>'Ethylene Recycling HC'!Z58</f>
        <v>0.13791632052401978</v>
      </c>
      <c r="AA55" s="110">
        <f>'Ethylene Recycling HC'!AA58</f>
        <v>0.13791632052401978</v>
      </c>
      <c r="AB55" s="110">
        <f>'Ethylene Recycling HC'!AB58</f>
        <v>0.13791632052401978</v>
      </c>
      <c r="AC55" s="110">
        <f>'Ethylene Recycling HC'!AC58</f>
        <v>0.13791632052401978</v>
      </c>
      <c r="AD55" s="110">
        <f>'Ethylene Recycling HC'!AD58</f>
        <v>0.13791632052401978</v>
      </c>
      <c r="AE55" s="110">
        <f>'Ethylene Recycling HC'!AE58</f>
        <v>0.13791632052401978</v>
      </c>
      <c r="AF55" s="110">
        <f>'Ethylene Recycling HC'!AF58</f>
        <v>0.13791632052401978</v>
      </c>
      <c r="AG55" s="110">
        <f>'Ethylene Recycling HC'!AG58</f>
        <v>0.13791632052401978</v>
      </c>
      <c r="AI55" s="133"/>
      <c r="AJ55" s="211" t="s">
        <v>1432</v>
      </c>
      <c r="AL55" s="108"/>
      <c r="AM55" s="2"/>
      <c r="AN55" s="2"/>
      <c r="AO55" s="2"/>
      <c r="AV55" s="41"/>
    </row>
    <row r="56" spans="1:63" outlineLevel="1" x14ac:dyDescent="0.2">
      <c r="A56" t="s">
        <v>1433</v>
      </c>
      <c r="B56" s="54" t="s">
        <v>462</v>
      </c>
      <c r="C56" s="110">
        <f>'Ethylene Recycling HC'!C59</f>
        <v>0.10855071452136934</v>
      </c>
      <c r="D56" s="110">
        <f>'Ethylene Recycling HC'!D59</f>
        <v>0.10855071452136934</v>
      </c>
      <c r="E56" s="110">
        <f>'Ethylene Recycling HC'!E59</f>
        <v>0.10855071452136934</v>
      </c>
      <c r="F56" s="110">
        <f>'Ethylene Recycling HC'!F59</f>
        <v>0.10855071452136934</v>
      </c>
      <c r="G56" s="110">
        <f>'Ethylene Recycling HC'!G59</f>
        <v>0.10855071452136934</v>
      </c>
      <c r="H56" s="110">
        <f>'Ethylene Recycling HC'!H59</f>
        <v>0.10855071452136934</v>
      </c>
      <c r="I56" s="110">
        <f>'Ethylene Recycling HC'!I59</f>
        <v>0.10855071452136934</v>
      </c>
      <c r="J56" s="110">
        <f>'Ethylene Recycling HC'!J59</f>
        <v>0.10855071452136934</v>
      </c>
      <c r="K56" s="110">
        <f>'Ethylene Recycling HC'!K59</f>
        <v>0.10855071452136934</v>
      </c>
      <c r="L56" s="110">
        <f>'Ethylene Recycling HC'!L59</f>
        <v>0.10855071452136934</v>
      </c>
      <c r="M56" s="110">
        <f>'Ethylene Recycling HC'!M59</f>
        <v>0.10855071452136934</v>
      </c>
      <c r="N56" s="110">
        <f>'Ethylene Recycling HC'!N59</f>
        <v>0.10855071452136934</v>
      </c>
      <c r="O56" s="110">
        <f>'Ethylene Recycling HC'!O59</f>
        <v>0.10855071452136934</v>
      </c>
      <c r="P56" s="110">
        <f>'Ethylene Recycling HC'!P59</f>
        <v>0.10855071452136934</v>
      </c>
      <c r="Q56" s="110">
        <f>'Ethylene Recycling HC'!Q59</f>
        <v>0.10855071452136934</v>
      </c>
      <c r="R56" s="110">
        <f>'Ethylene Recycling HC'!R59</f>
        <v>0.10855071452136934</v>
      </c>
      <c r="S56" s="110">
        <f>'Ethylene Recycling HC'!S59</f>
        <v>0.10855071452136934</v>
      </c>
      <c r="T56" s="110">
        <f>'Ethylene Recycling HC'!T59</f>
        <v>0.10855071452136934</v>
      </c>
      <c r="U56" s="110">
        <f>'Ethylene Recycling HC'!U59</f>
        <v>0.10855071452136934</v>
      </c>
      <c r="V56" s="110">
        <f>'Ethylene Recycling HC'!V59</f>
        <v>0.10855071452136934</v>
      </c>
      <c r="W56" s="110">
        <f>'Ethylene Recycling HC'!W59</f>
        <v>0.10855071452136934</v>
      </c>
      <c r="X56" s="110">
        <f>'Ethylene Recycling HC'!X59</f>
        <v>0.10855071452136934</v>
      </c>
      <c r="Y56" s="110">
        <f>'Ethylene Recycling HC'!Y59</f>
        <v>0.10855071452136934</v>
      </c>
      <c r="Z56" s="110">
        <f>'Ethylene Recycling HC'!Z59</f>
        <v>0.10855071452136934</v>
      </c>
      <c r="AA56" s="110">
        <f>'Ethylene Recycling HC'!AA59</f>
        <v>0.10855071452136934</v>
      </c>
      <c r="AB56" s="110">
        <f>'Ethylene Recycling HC'!AB59</f>
        <v>0.10855071452136934</v>
      </c>
      <c r="AC56" s="110">
        <f>'Ethylene Recycling HC'!AC59</f>
        <v>0.10855071452136934</v>
      </c>
      <c r="AD56" s="110">
        <f>'Ethylene Recycling HC'!AD59</f>
        <v>0.10855071452136934</v>
      </c>
      <c r="AE56" s="110">
        <f>'Ethylene Recycling HC'!AE59</f>
        <v>0.10855071452136934</v>
      </c>
      <c r="AF56" s="110">
        <f>'Ethylene Recycling HC'!AF59</f>
        <v>0.10855071452136934</v>
      </c>
      <c r="AG56" s="110">
        <f>'Ethylene Recycling HC'!AG59</f>
        <v>0.10855071452136934</v>
      </c>
      <c r="AI56" s="133"/>
      <c r="AJ56" s="211" t="s">
        <v>1432</v>
      </c>
      <c r="AL56" s="108"/>
      <c r="AM56" s="2"/>
      <c r="AN56" s="2"/>
      <c r="AO56" s="2"/>
      <c r="AV56" s="41"/>
    </row>
    <row r="57" spans="1:63" outlineLevel="1" x14ac:dyDescent="0.2">
      <c r="A57" t="s">
        <v>1319</v>
      </c>
      <c r="B57" s="54" t="s">
        <v>462</v>
      </c>
      <c r="C57" s="110">
        <f>'Ethylene Recycling HC'!C60</f>
        <v>0.63853361483158433</v>
      </c>
      <c r="D57" s="110">
        <f>'Ethylene Recycling HC'!D60</f>
        <v>0.64070025983568524</v>
      </c>
      <c r="E57" s="110">
        <f>'Ethylene Recycling HC'!E60</f>
        <v>0.64286690483978604</v>
      </c>
      <c r="F57" s="110">
        <f>'Ethylene Recycling HC'!F60</f>
        <v>0.64503354984388694</v>
      </c>
      <c r="G57" s="110">
        <f>'Ethylene Recycling HC'!G60</f>
        <v>0.64720019484798785</v>
      </c>
      <c r="H57" s="110">
        <f>'Ethylene Recycling HC'!H60</f>
        <v>0.64936683985208865</v>
      </c>
      <c r="I57" s="110">
        <f>'Ethylene Recycling HC'!I60</f>
        <v>0.65153348485618956</v>
      </c>
      <c r="J57" s="110">
        <f>'Ethylene Recycling HC'!J60</f>
        <v>0.65370012986029047</v>
      </c>
      <c r="K57" s="110">
        <f>'Ethylene Recycling HC'!K60</f>
        <v>0.65586677486439138</v>
      </c>
      <c r="L57" s="110">
        <f>'Ethylene Recycling HC'!L60</f>
        <v>0.65803341986849229</v>
      </c>
      <c r="M57" s="110">
        <f>'Ethylene Recycling HC'!M60</f>
        <v>0.66020006487259308</v>
      </c>
      <c r="N57" s="110">
        <f>'Ethylene Recycling HC'!N60</f>
        <v>0.66236670987669399</v>
      </c>
      <c r="O57" s="110">
        <f>'Ethylene Recycling HC'!O60</f>
        <v>0.6645333548807949</v>
      </c>
      <c r="P57" s="110">
        <f>'Ethylene Recycling HC'!P60</f>
        <v>0.6666999998848957</v>
      </c>
      <c r="Q57" s="110">
        <f>'Ethylene Recycling HC'!Q60</f>
        <v>0.66886664488899661</v>
      </c>
      <c r="R57" s="110">
        <f>'Ethylene Recycling HC'!R60</f>
        <v>0.67103328989309752</v>
      </c>
      <c r="S57" s="110">
        <f>'Ethylene Recycling HC'!S60</f>
        <v>0.67319993489719843</v>
      </c>
      <c r="T57" s="110">
        <f>'Ethylene Recycling HC'!T60</f>
        <v>0.67536657990129934</v>
      </c>
      <c r="U57" s="110">
        <f>'Ethylene Recycling HC'!U60</f>
        <v>0.67753322490540013</v>
      </c>
      <c r="V57" s="110">
        <f>'Ethylene Recycling HC'!V60</f>
        <v>0.67969986990950104</v>
      </c>
      <c r="W57" s="110">
        <f>'Ethylene Recycling HC'!W60</f>
        <v>0.68186651491360195</v>
      </c>
      <c r="X57" s="110">
        <f>'Ethylene Recycling HC'!X60</f>
        <v>0.68403315991770275</v>
      </c>
      <c r="Y57" s="110">
        <f>'Ethylene Recycling HC'!Y60</f>
        <v>0.68619980492180366</v>
      </c>
      <c r="Z57" s="110">
        <f>'Ethylene Recycling HC'!Z60</f>
        <v>0.68836644992590457</v>
      </c>
      <c r="AA57" s="110">
        <f>'Ethylene Recycling HC'!AA60</f>
        <v>0.69053309493000548</v>
      </c>
      <c r="AB57" s="110">
        <f>'Ethylene Recycling HC'!AB60</f>
        <v>0.69269973993410638</v>
      </c>
      <c r="AC57" s="110">
        <f>'Ethylene Recycling HC'!AC60</f>
        <v>0.69486638493820718</v>
      </c>
      <c r="AD57" s="110">
        <f>'Ethylene Recycling HC'!AD60</f>
        <v>0.69703302994230809</v>
      </c>
      <c r="AE57" s="110">
        <f>'Ethylene Recycling HC'!AE60</f>
        <v>0.699199674946409</v>
      </c>
      <c r="AF57" s="110">
        <f>'Ethylene Recycling HC'!AF60</f>
        <v>0.70136631995050991</v>
      </c>
      <c r="AG57" s="110">
        <f>'Ethylene Recycling HC'!AG60</f>
        <v>0.70353296495461082</v>
      </c>
      <c r="AI57" s="133"/>
      <c r="AJ57" s="211" t="s">
        <v>1432</v>
      </c>
      <c r="AL57" s="108"/>
      <c r="AM57" s="2"/>
      <c r="AN57" s="2"/>
      <c r="AO57" s="2"/>
      <c r="AV57" s="41"/>
    </row>
    <row r="58" spans="1:63" outlineLevel="1" x14ac:dyDescent="0.2">
      <c r="A58" t="s">
        <v>1317</v>
      </c>
      <c r="B58" s="54" t="s">
        <v>462</v>
      </c>
      <c r="C58" s="110">
        <f>'Ethylene Recycling HC'!C61</f>
        <v>1.0924938261687523E-2</v>
      </c>
      <c r="D58" s="110">
        <f>'Ethylene Recycling HC'!D61</f>
        <v>1.1091454913190394E-2</v>
      </c>
      <c r="E58" s="110">
        <f>'Ethylene Recycling HC'!E61</f>
        <v>1.1243671707666198E-2</v>
      </c>
      <c r="F58" s="110">
        <f>'Ethylene Recycling HC'!F61</f>
        <v>1.1381588645114939E-2</v>
      </c>
      <c r="G58" s="110">
        <f>'Ethylene Recycling HC'!G61</f>
        <v>1.1505205725536613E-2</v>
      </c>
      <c r="H58" s="110">
        <f>'Ethylene Recycling HC'!H61</f>
        <v>1.161452294893122E-2</v>
      </c>
      <c r="I58" s="110">
        <f>'Ethylene Recycling HC'!I61</f>
        <v>1.1709540315298762E-2</v>
      </c>
      <c r="J58" s="110">
        <f>'Ethylene Recycling HC'!J61</f>
        <v>1.1790257824639237E-2</v>
      </c>
      <c r="K58" s="110">
        <f>'Ethylene Recycling HC'!K61</f>
        <v>1.185667547695265E-2</v>
      </c>
      <c r="L58" s="110">
        <f>'Ethylene Recycling HC'!L61</f>
        <v>1.1908793272238994E-2</v>
      </c>
      <c r="M58" s="110">
        <f>'Ethylene Recycling HC'!M61</f>
        <v>1.1946611210498273E-2</v>
      </c>
      <c r="N58" s="110">
        <f>'Ethylene Recycling HC'!N61</f>
        <v>1.2362144188565528E-2</v>
      </c>
      <c r="O58" s="110">
        <f>'Ethylene Recycling HC'!O61</f>
        <v>1.2744744162570449E-2</v>
      </c>
      <c r="P58" s="110">
        <f>'Ethylene Recycling HC'!P61</f>
        <v>1.3094411132513037E-2</v>
      </c>
      <c r="Q58" s="110">
        <f>'Ethylene Recycling HC'!Q61</f>
        <v>1.3411145098393293E-2</v>
      </c>
      <c r="R58" s="110">
        <f>'Ethylene Recycling HC'!R61</f>
        <v>1.3694946060211214E-2</v>
      </c>
      <c r="S58" s="110">
        <f>'Ethylene Recycling HC'!S61</f>
        <v>1.3945814017966802E-2</v>
      </c>
      <c r="T58" s="110">
        <f>'Ethylene Recycling HC'!T61</f>
        <v>1.4163748971660058E-2</v>
      </c>
      <c r="U58" s="110">
        <f>'Ethylene Recycling HC'!U61</f>
        <v>1.434875092129098E-2</v>
      </c>
      <c r="V58" s="110">
        <f>'Ethylene Recycling HC'!V61</f>
        <v>1.4500819866859568E-2</v>
      </c>
      <c r="W58" s="110">
        <f>'Ethylene Recycling HC'!W61</f>
        <v>1.4619955808365823E-2</v>
      </c>
      <c r="X58" s="110">
        <f>'Ethylene Recycling HC'!X61</f>
        <v>1.5019776616038791E-2</v>
      </c>
      <c r="Y58" s="110">
        <f>'Ethylene Recycling HC'!Y61</f>
        <v>1.5367110448487417E-2</v>
      </c>
      <c r="Z58" s="110">
        <f>'Ethylene Recycling HC'!Z61</f>
        <v>1.56619573057117E-2</v>
      </c>
      <c r="AA58" s="110">
        <f>'Ethylene Recycling HC'!AA61</f>
        <v>1.5904317187711636E-2</v>
      </c>
      <c r="AB58" s="110">
        <f>'Ethylene Recycling HC'!AB61</f>
        <v>1.6094190094487228E-2</v>
      </c>
      <c r="AC58" s="110">
        <f>'Ethylene Recycling HC'!AC61</f>
        <v>1.6231576026038474E-2</v>
      </c>
      <c r="AD58" s="110">
        <f>'Ethylene Recycling HC'!AD61</f>
        <v>1.6316474982365377E-2</v>
      </c>
      <c r="AE58" s="110">
        <f>'Ethylene Recycling HC'!AE61</f>
        <v>1.6348886963467937E-2</v>
      </c>
      <c r="AF58" s="110">
        <f>'Ethylene Recycling HC'!AF61</f>
        <v>1.6328811969346151E-2</v>
      </c>
      <c r="AG58" s="110">
        <f>'Ethylene Recycling HC'!AG61</f>
        <v>1.6256249999999996E-2</v>
      </c>
      <c r="AH58" s="271"/>
      <c r="AI58" s="133"/>
      <c r="AJ58" s="211"/>
      <c r="AL58" s="108"/>
      <c r="AM58" s="2"/>
      <c r="AN58" s="2"/>
      <c r="AO58" s="2"/>
    </row>
    <row r="59" spans="1:63" outlineLevel="1" x14ac:dyDescent="0.2">
      <c r="A59" t="s">
        <v>1318</v>
      </c>
      <c r="B59" s="54" t="s">
        <v>462</v>
      </c>
      <c r="C59" s="110">
        <f>'Ethylene Recycling HC'!C62</f>
        <v>1.3102050449781879E-2</v>
      </c>
      <c r="D59" s="110">
        <f>'Ethylene Recycling HC'!D62</f>
        <v>1.3557174307511145E-2</v>
      </c>
      <c r="E59" s="110">
        <f>'Ethylene Recycling HC'!E62</f>
        <v>1.4012298165240409E-2</v>
      </c>
      <c r="F59" s="110">
        <f>'Ethylene Recycling HC'!F62</f>
        <v>1.4467422022969674E-2</v>
      </c>
      <c r="G59" s="110">
        <f>'Ethylene Recycling HC'!G62</f>
        <v>1.4922545880698941E-2</v>
      </c>
      <c r="H59" s="110">
        <f>'Ethylene Recycling HC'!H62</f>
        <v>1.5377669738428206E-2</v>
      </c>
      <c r="I59" s="110">
        <f>'Ethylene Recycling HC'!I62</f>
        <v>1.5832793596157472E-2</v>
      </c>
      <c r="J59" s="110">
        <f>'Ethylene Recycling HC'!J62</f>
        <v>1.6287917453886736E-2</v>
      </c>
      <c r="K59" s="110">
        <f>'Ethylene Recycling HC'!K62</f>
        <v>1.6743041311616004E-2</v>
      </c>
      <c r="L59" s="110">
        <f>'Ethylene Recycling HC'!L62</f>
        <v>1.7198165169345268E-2</v>
      </c>
      <c r="M59" s="110">
        <f>'Ethylene Recycling HC'!M62</f>
        <v>1.7653289027074533E-2</v>
      </c>
      <c r="N59" s="110">
        <f>'Ethylene Recycling HC'!N62</f>
        <v>1.8701453063057084E-2</v>
      </c>
      <c r="O59" s="110">
        <f>'Ethylene Recycling HC'!O62</f>
        <v>1.9749617099039631E-2</v>
      </c>
      <c r="P59" s="110">
        <f>'Ethylene Recycling HC'!P62</f>
        <v>2.0797781135022182E-2</v>
      </c>
      <c r="Q59" s="110">
        <f>'Ethylene Recycling HC'!Q62</f>
        <v>2.184594517100473E-2</v>
      </c>
      <c r="R59" s="110">
        <f>'Ethylene Recycling HC'!R62</f>
        <v>2.2894109206987281E-2</v>
      </c>
      <c r="S59" s="110">
        <f>'Ethylene Recycling HC'!S62</f>
        <v>2.3942273242969832E-2</v>
      </c>
      <c r="T59" s="110">
        <f>'Ethylene Recycling HC'!T62</f>
        <v>2.4990437278952383E-2</v>
      </c>
      <c r="U59" s="110">
        <f>'Ethylene Recycling HC'!U62</f>
        <v>2.6038601314934934E-2</v>
      </c>
      <c r="V59" s="110">
        <f>'Ethylene Recycling HC'!V62</f>
        <v>2.7086765350917485E-2</v>
      </c>
      <c r="W59" s="110">
        <f>'Ethylene Recycling HC'!W62</f>
        <v>2.8134929386900032E-2</v>
      </c>
      <c r="X59" s="110">
        <f>'Ethylene Recycling HC'!X62</f>
        <v>2.9805440819247221E-2</v>
      </c>
      <c r="Y59" s="110">
        <f>'Ethylene Recycling HC'!Y62</f>
        <v>3.1475952251594413E-2</v>
      </c>
      <c r="Z59" s="110">
        <f>'Ethylene Recycling HC'!Z62</f>
        <v>3.3146463683941599E-2</v>
      </c>
      <c r="AA59" s="110">
        <f>'Ethylene Recycling HC'!AA62</f>
        <v>3.4816975116288784E-2</v>
      </c>
      <c r="AB59" s="110">
        <f>'Ethylene Recycling HC'!AB62</f>
        <v>3.6487486548635983E-2</v>
      </c>
      <c r="AC59" s="110">
        <f>'Ethylene Recycling HC'!AC62</f>
        <v>3.8157997980983169E-2</v>
      </c>
      <c r="AD59" s="110">
        <f>'Ethylene Recycling HC'!AD62</f>
        <v>3.9828509413330361E-2</v>
      </c>
      <c r="AE59" s="110">
        <f>'Ethylene Recycling HC'!AE62</f>
        <v>4.1499020845677546E-2</v>
      </c>
      <c r="AF59" s="110">
        <f>'Ethylene Recycling HC'!AF62</f>
        <v>4.3169532278024732E-2</v>
      </c>
      <c r="AG59" s="110">
        <f>'Ethylene Recycling HC'!AG62</f>
        <v>4.4840043710371924E-2</v>
      </c>
      <c r="AH59" s="271"/>
      <c r="AJ59" s="211"/>
      <c r="AL59" s="108"/>
      <c r="AM59" s="2"/>
      <c r="AN59" s="2"/>
      <c r="AO59" s="2"/>
      <c r="BC59" s="1"/>
      <c r="BD59" s="2"/>
      <c r="BE59" s="2"/>
      <c r="BF59" s="2"/>
      <c r="BG59" s="2"/>
      <c r="BH59" s="2"/>
      <c r="BI59" s="2"/>
      <c r="BJ59" s="2"/>
      <c r="BK59" s="2"/>
    </row>
    <row r="60" spans="1:63" outlineLevel="1" x14ac:dyDescent="0.2">
      <c r="A60" t="s">
        <v>1433</v>
      </c>
      <c r="C60" s="110">
        <f>'Ethylene Recycling HC'!C63</f>
        <v>1.0312317879530087E-2</v>
      </c>
      <c r="D60" s="110">
        <f>'Ethylene Recycling HC'!D63</f>
        <v>1.0670535237450606E-2</v>
      </c>
      <c r="E60" s="110">
        <f>'Ethylene Recycling HC'!E63</f>
        <v>1.1028752595371125E-2</v>
      </c>
      <c r="F60" s="110">
        <f>'Ethylene Recycling HC'!F63</f>
        <v>1.1386969953291644E-2</v>
      </c>
      <c r="G60" s="110">
        <f>'Ethylene Recycling HC'!G63</f>
        <v>1.1745187311212163E-2</v>
      </c>
      <c r="H60" s="110">
        <f>'Ethylene Recycling HC'!H63</f>
        <v>1.2103404669132681E-2</v>
      </c>
      <c r="I60" s="110">
        <f>'Ethylene Recycling HC'!I63</f>
        <v>1.24616220270532E-2</v>
      </c>
      <c r="J60" s="110">
        <f>'Ethylene Recycling HC'!J63</f>
        <v>1.2819839384973719E-2</v>
      </c>
      <c r="K60" s="110">
        <f>'Ethylene Recycling HC'!K63</f>
        <v>1.317805674289424E-2</v>
      </c>
      <c r="L60" s="110">
        <f>'Ethylene Recycling HC'!L63</f>
        <v>1.3536274100814759E-2</v>
      </c>
      <c r="M60" s="110">
        <f>'Ethylene Recycling HC'!M63</f>
        <v>1.3894491458735276E-2</v>
      </c>
      <c r="N60" s="110">
        <f>'Ethylene Recycling HC'!N63</f>
        <v>1.4719476889097683E-2</v>
      </c>
      <c r="O60" s="110">
        <f>'Ethylene Recycling HC'!O63</f>
        <v>1.5544462319460089E-2</v>
      </c>
      <c r="P60" s="110">
        <f>'Ethylene Recycling HC'!P63</f>
        <v>1.6369447749822495E-2</v>
      </c>
      <c r="Q60" s="110">
        <f>'Ethylene Recycling HC'!Q63</f>
        <v>1.7194433180184904E-2</v>
      </c>
      <c r="R60" s="110">
        <f>'Ethylene Recycling HC'!R63</f>
        <v>1.8019418610547309E-2</v>
      </c>
      <c r="S60" s="110">
        <f>'Ethylene Recycling HC'!S63</f>
        <v>1.8844404040909715E-2</v>
      </c>
      <c r="T60" s="110">
        <f>'Ethylene Recycling HC'!T63</f>
        <v>1.9669389471272124E-2</v>
      </c>
      <c r="U60" s="110">
        <f>'Ethylene Recycling HC'!U63</f>
        <v>2.049437490163453E-2</v>
      </c>
      <c r="V60" s="110">
        <f>'Ethylene Recycling HC'!V63</f>
        <v>2.1319360331996939E-2</v>
      </c>
      <c r="W60" s="110">
        <f>'Ethylene Recycling HC'!W63</f>
        <v>2.2144345762359345E-2</v>
      </c>
      <c r="X60" s="110">
        <f>'Ethylene Recycling HC'!X63</f>
        <v>2.3459166291999432E-2</v>
      </c>
      <c r="Y60" s="110">
        <f>'Ethylene Recycling HC'!Y63</f>
        <v>2.4773986821639518E-2</v>
      </c>
      <c r="Z60" s="110">
        <f>'Ethylene Recycling HC'!Z63</f>
        <v>2.6088807351279601E-2</v>
      </c>
      <c r="AA60" s="110">
        <f>'Ethylene Recycling HC'!AA63</f>
        <v>2.7403627880919684E-2</v>
      </c>
      <c r="AB60" s="110">
        <f>'Ethylene Recycling HC'!AB63</f>
        <v>2.8718448410559774E-2</v>
      </c>
      <c r="AC60" s="110">
        <f>'Ethylene Recycling HC'!AC63</f>
        <v>3.0033268940199857E-2</v>
      </c>
      <c r="AD60" s="110">
        <f>'Ethylene Recycling HC'!AD63</f>
        <v>3.1348089469839947E-2</v>
      </c>
      <c r="AE60" s="110">
        <f>'Ethylene Recycling HC'!AE63</f>
        <v>3.266290999948003E-2</v>
      </c>
      <c r="AF60" s="110">
        <f>'Ethylene Recycling HC'!AF63</f>
        <v>3.3977730529120113E-2</v>
      </c>
      <c r="AG60" s="110">
        <f>'Ethylene Recycling HC'!AG63</f>
        <v>3.5292551058760203E-2</v>
      </c>
      <c r="AH60" s="271"/>
      <c r="AJ60" s="211"/>
      <c r="AL60" s="108"/>
      <c r="AM60" s="2"/>
      <c r="AN60" s="2"/>
      <c r="AO60" s="2"/>
      <c r="BC60" s="1"/>
      <c r="BD60" s="2"/>
      <c r="BE60" s="2"/>
      <c r="BF60" s="2"/>
      <c r="BG60" s="2"/>
      <c r="BH60" s="2"/>
      <c r="BI60" s="2"/>
      <c r="BJ60" s="2"/>
      <c r="BK60" s="2"/>
    </row>
    <row r="61" spans="1:63" outlineLevel="1" x14ac:dyDescent="0.2">
      <c r="A61" t="s">
        <v>1319</v>
      </c>
      <c r="B61" s="54" t="s">
        <v>462</v>
      </c>
      <c r="C61" s="110">
        <f>'Ethylene Recycling HC'!C64</f>
        <v>6.0660693409000509E-2</v>
      </c>
      <c r="D61" s="110">
        <f>'Ethylene Recycling HC'!D64</f>
        <v>6.2980835541847857E-2</v>
      </c>
      <c r="E61" s="110">
        <f>'Ethylene Recycling HC'!E64</f>
        <v>6.5315277531722254E-2</v>
      </c>
      <c r="F61" s="110">
        <f>'Ethylene Recycling HC'!F64</f>
        <v>6.7664019378623735E-2</v>
      </c>
      <c r="G61" s="110">
        <f>'Ethylene Recycling HC'!G64</f>
        <v>7.0027061082552286E-2</v>
      </c>
      <c r="H61" s="110">
        <f>'Ethylene Recycling HC'!H64</f>
        <v>7.2404402643507892E-2</v>
      </c>
      <c r="I61" s="110">
        <f>'Ethylene Recycling HC'!I64</f>
        <v>7.4796044061490555E-2</v>
      </c>
      <c r="J61" s="110">
        <f>'Ethylene Recycling HC'!J64</f>
        <v>7.7201985336500301E-2</v>
      </c>
      <c r="K61" s="110">
        <f>'Ethylene Recycling HC'!K64</f>
        <v>7.9622226468537116E-2</v>
      </c>
      <c r="L61" s="110">
        <f>'Ethylene Recycling HC'!L64</f>
        <v>8.2056767457600988E-2</v>
      </c>
      <c r="M61" s="110">
        <f>'Ethylene Recycling HC'!M64</f>
        <v>8.4505608303691915E-2</v>
      </c>
      <c r="N61" s="110">
        <f>'Ethylene Recycling HC'!N64</f>
        <v>8.9816925859279709E-2</v>
      </c>
      <c r="O61" s="110">
        <f>'Ethylene Recycling HC'!O64</f>
        <v>9.5161176418929821E-2</v>
      </c>
      <c r="P61" s="110">
        <f>'Ethylene Recycling HC'!P64</f>
        <v>0.10053835998264227</v>
      </c>
      <c r="Q61" s="110">
        <f>'Ethylene Recycling HC'!Q64</f>
        <v>0.10594847655041706</v>
      </c>
      <c r="R61" s="110">
        <f>'Ethylene Recycling HC'!R64</f>
        <v>0.11139152612225417</v>
      </c>
      <c r="S61" s="110">
        <f>'Ethylene Recycling HC'!S64</f>
        <v>0.11686750869815363</v>
      </c>
      <c r="T61" s="110">
        <f>'Ethylene Recycling HC'!T64</f>
        <v>0.12237642427811544</v>
      </c>
      <c r="U61" s="110">
        <f>'Ethylene Recycling HC'!U64</f>
        <v>0.12791827286213955</v>
      </c>
      <c r="V61" s="110">
        <f>'Ethylene Recycling HC'!V64</f>
        <v>0.133493054450226</v>
      </c>
      <c r="W61" s="110">
        <f>'Ethylene Recycling HC'!W64</f>
        <v>0.13910076904237478</v>
      </c>
      <c r="X61" s="110">
        <f>'Ethylene Recycling HC'!X64</f>
        <v>0.14782811627271453</v>
      </c>
      <c r="Y61" s="110">
        <f>'Ethylene Recycling HC'!Y64</f>
        <v>0.15660795047827863</v>
      </c>
      <c r="Z61" s="110">
        <f>'Ethylene Recycling HC'!Z64</f>
        <v>0.16544027165906708</v>
      </c>
      <c r="AA61" s="110">
        <f>'Ethylene Recycling HC'!AA64</f>
        <v>0.17432507981507986</v>
      </c>
      <c r="AB61" s="110">
        <f>'Ethylene Recycling HC'!AB64</f>
        <v>0.183262374946317</v>
      </c>
      <c r="AC61" s="110">
        <f>'Ethylene Recycling HC'!AC64</f>
        <v>0.19225215705277843</v>
      </c>
      <c r="AD61" s="110">
        <f>'Ethylene Recycling HC'!AD64</f>
        <v>0.20129442613446427</v>
      </c>
      <c r="AE61" s="110">
        <f>'Ethylene Recycling HC'!AE64</f>
        <v>0.21038918219137442</v>
      </c>
      <c r="AF61" s="110">
        <f>'Ethylene Recycling HC'!AF64</f>
        <v>0.21953642522350891</v>
      </c>
      <c r="AG61" s="110">
        <f>'Ethylene Recycling HC'!AG64</f>
        <v>0.22873615523086779</v>
      </c>
      <c r="AH61" s="271"/>
      <c r="AI61" s="133"/>
      <c r="AJ61" s="211"/>
      <c r="AL61" s="108"/>
      <c r="AM61" s="2"/>
      <c r="AN61" s="2"/>
      <c r="AO61" s="2"/>
      <c r="BC61" s="1"/>
      <c r="BD61" s="2"/>
      <c r="BE61" s="2"/>
      <c r="BF61" s="2"/>
      <c r="BG61" s="2"/>
      <c r="BH61" s="2"/>
      <c r="BI61" s="2"/>
      <c r="BJ61" s="2"/>
      <c r="BK61" s="2"/>
    </row>
    <row r="62" spans="1:63" outlineLevel="1" x14ac:dyDescent="0.2">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x14ac:dyDescent="0.2">
      <c r="A63" t="s">
        <v>1553</v>
      </c>
      <c r="C63" s="382">
        <f>'Overall recycling rates'!E84</f>
        <v>1.4092948968207217</v>
      </c>
      <c r="D63" s="382">
        <f>C63-($C63-$AG63)/($AG$1-$C$1)</f>
        <v>1.3989850669266977</v>
      </c>
      <c r="E63" s="382">
        <f t="shared" ref="E63:AF63" si="30">D63-($C63-$AG63)/($AG$1-$C$1)</f>
        <v>1.3886752370326736</v>
      </c>
      <c r="F63" s="382">
        <f t="shared" si="30"/>
        <v>1.3783654071386495</v>
      </c>
      <c r="G63" s="382">
        <f t="shared" si="30"/>
        <v>1.3680555772446255</v>
      </c>
      <c r="H63" s="382">
        <f t="shared" si="30"/>
        <v>1.3577457473506014</v>
      </c>
      <c r="I63" s="382">
        <f t="shared" si="30"/>
        <v>1.3474359174565773</v>
      </c>
      <c r="J63" s="382">
        <f t="shared" si="30"/>
        <v>1.3371260875625532</v>
      </c>
      <c r="K63" s="382">
        <f t="shared" si="30"/>
        <v>1.3268162576685292</v>
      </c>
      <c r="L63" s="382">
        <f t="shared" si="30"/>
        <v>1.3165064277745051</v>
      </c>
      <c r="M63" s="382">
        <f t="shared" si="30"/>
        <v>1.306196597880481</v>
      </c>
      <c r="N63" s="382">
        <f t="shared" si="30"/>
        <v>1.295886767986457</v>
      </c>
      <c r="O63" s="382">
        <f t="shared" si="30"/>
        <v>1.2855769380924329</v>
      </c>
      <c r="P63" s="382">
        <f t="shared" si="30"/>
        <v>1.2752671081984088</v>
      </c>
      <c r="Q63" s="382">
        <f t="shared" si="30"/>
        <v>1.2649572783043848</v>
      </c>
      <c r="R63" s="382">
        <f t="shared" si="30"/>
        <v>1.2546474484103607</v>
      </c>
      <c r="S63" s="382">
        <f t="shared" si="30"/>
        <v>1.2443376185163366</v>
      </c>
      <c r="T63" s="382">
        <f t="shared" si="30"/>
        <v>1.2340277886223125</v>
      </c>
      <c r="U63" s="382">
        <f t="shared" si="30"/>
        <v>1.2237179587282885</v>
      </c>
      <c r="V63" s="382">
        <f t="shared" si="30"/>
        <v>1.2134081288342644</v>
      </c>
      <c r="W63" s="382">
        <f t="shared" si="30"/>
        <v>1.2030982989402403</v>
      </c>
      <c r="X63" s="382">
        <f t="shared" si="30"/>
        <v>1.1927884690462163</v>
      </c>
      <c r="Y63" s="382">
        <f t="shared" si="30"/>
        <v>1.1824786391521922</v>
      </c>
      <c r="Z63" s="382">
        <f t="shared" si="30"/>
        <v>1.1721688092581681</v>
      </c>
      <c r="AA63" s="382">
        <f t="shared" si="30"/>
        <v>1.1618589793641441</v>
      </c>
      <c r="AB63" s="382">
        <f t="shared" si="30"/>
        <v>1.15154914947012</v>
      </c>
      <c r="AC63" s="382">
        <f t="shared" si="30"/>
        <v>1.1412393195760959</v>
      </c>
      <c r="AD63" s="382">
        <f t="shared" si="30"/>
        <v>1.1309294896820719</v>
      </c>
      <c r="AE63" s="382">
        <f t="shared" si="30"/>
        <v>1.1206196597880478</v>
      </c>
      <c r="AF63" s="382">
        <f t="shared" si="30"/>
        <v>1.1103098298940237</v>
      </c>
      <c r="AG63" s="382">
        <f>'Overall recycling rates'!E93</f>
        <v>1.1000000000000001</v>
      </c>
      <c r="AI63" s="133"/>
      <c r="AJ63" s="211"/>
      <c r="AL63" s="108"/>
      <c r="AM63" s="2"/>
      <c r="AN63" s="2"/>
      <c r="AO63" s="2"/>
      <c r="BC63" s="1"/>
      <c r="BD63" s="2"/>
      <c r="BE63" s="2"/>
      <c r="BF63" s="2"/>
      <c r="BG63" s="2"/>
      <c r="BH63" s="2"/>
      <c r="BI63" s="2"/>
      <c r="BJ63" s="2"/>
      <c r="BK63" s="2"/>
    </row>
    <row r="64" spans="1:63" outlineLevel="1" x14ac:dyDescent="0.2">
      <c r="A64" t="s">
        <v>1554</v>
      </c>
      <c r="B64" s="54" t="s">
        <v>462</v>
      </c>
      <c r="C64" s="110">
        <f>C50*C$63</f>
        <v>6.6236860150573923E-2</v>
      </c>
      <c r="D64" s="110">
        <f t="shared" ref="D64:AG65" si="31">D50*D$63</f>
        <v>7.0229050359720227E-2</v>
      </c>
      <c r="E64" s="110">
        <f t="shared" si="31"/>
        <v>7.4155257657544771E-2</v>
      </c>
      <c r="F64" s="110">
        <f t="shared" si="31"/>
        <v>7.8015482044047554E-2</v>
      </c>
      <c r="G64" s="110">
        <f t="shared" si="31"/>
        <v>8.1809723519228605E-2</v>
      </c>
      <c r="H64" s="110">
        <f t="shared" si="31"/>
        <v>8.5537982083087882E-2</v>
      </c>
      <c r="I64" s="110">
        <f t="shared" si="31"/>
        <v>8.9200257735625427E-2</v>
      </c>
      <c r="J64" s="110">
        <f t="shared" si="31"/>
        <v>9.2796550476841197E-2</v>
      </c>
      <c r="K64" s="110">
        <f t="shared" si="31"/>
        <v>9.6326860306735221E-2</v>
      </c>
      <c r="L64" s="110">
        <f t="shared" si="31"/>
        <v>9.9791187225307498E-2</v>
      </c>
      <c r="M64" s="110">
        <f t="shared" si="31"/>
        <v>0.103189531232558</v>
      </c>
      <c r="N64" s="110">
        <f t="shared" si="31"/>
        <v>0.1102799639556475</v>
      </c>
      <c r="O64" s="110">
        <f t="shared" si="31"/>
        <v>0.11724461675402989</v>
      </c>
      <c r="P64" s="110">
        <f t="shared" si="31"/>
        <v>0.12408348962770517</v>
      </c>
      <c r="Q64" s="110">
        <f t="shared" si="31"/>
        <v>0.1307965825766734</v>
      </c>
      <c r="R64" s="110">
        <f t="shared" si="31"/>
        <v>0.1373838956009345</v>
      </c>
      <c r="S64" s="110">
        <f t="shared" si="31"/>
        <v>0.14384542870048853</v>
      </c>
      <c r="T64" s="110">
        <f t="shared" si="31"/>
        <v>0.15018118187533544</v>
      </c>
      <c r="U64" s="110">
        <f t="shared" si="31"/>
        <v>0.1563911551254753</v>
      </c>
      <c r="V64" s="110">
        <f t="shared" si="31"/>
        <v>0.16247534845090802</v>
      </c>
      <c r="W64" s="110">
        <f t="shared" si="31"/>
        <v>0.16843376185163367</v>
      </c>
      <c r="X64" s="110">
        <f t="shared" si="31"/>
        <v>0.17988458000274204</v>
      </c>
      <c r="Y64" s="110">
        <f t="shared" si="31"/>
        <v>0.19111249702145811</v>
      </c>
      <c r="Z64" s="110">
        <f t="shared" si="31"/>
        <v>0.20211751290778185</v>
      </c>
      <c r="AA64" s="110">
        <f t="shared" si="31"/>
        <v>0.21289962766171333</v>
      </c>
      <c r="AB64" s="110">
        <f t="shared" si="31"/>
        <v>0.22345884128325244</v>
      </c>
      <c r="AC64" s="110">
        <f t="shared" si="31"/>
        <v>0.23379515377239923</v>
      </c>
      <c r="AD64" s="110">
        <f t="shared" si="31"/>
        <v>0.24390856512915374</v>
      </c>
      <c r="AE64" s="110">
        <f t="shared" si="31"/>
        <v>0.25379907535351587</v>
      </c>
      <c r="AF64" s="110">
        <f t="shared" si="31"/>
        <v>0.26346668444548571</v>
      </c>
      <c r="AG64" s="110">
        <f t="shared" si="31"/>
        <v>0.27291139240506335</v>
      </c>
      <c r="AI64" s="133"/>
      <c r="AJ64" s="211"/>
      <c r="AL64" s="108"/>
      <c r="AM64" s="2"/>
      <c r="AN64" s="2"/>
      <c r="AO64" s="2"/>
      <c r="AV64" s="41"/>
    </row>
    <row r="65" spans="1:63" outlineLevel="1" x14ac:dyDescent="0.2">
      <c r="A65" t="s">
        <v>1555</v>
      </c>
      <c r="B65" s="54" t="s">
        <v>462</v>
      </c>
      <c r="C65" s="110">
        <f>C51*C$63</f>
        <v>0.13388301519796855</v>
      </c>
      <c r="D65" s="110">
        <f t="shared" si="31"/>
        <v>0.13752023207889438</v>
      </c>
      <c r="E65" s="110">
        <f t="shared" si="31"/>
        <v>0.14108940408251963</v>
      </c>
      <c r="F65" s="110">
        <f t="shared" si="31"/>
        <v>0.14459053120884433</v>
      </c>
      <c r="G65" s="110">
        <f t="shared" si="31"/>
        <v>0.14802361345786849</v>
      </c>
      <c r="H65" s="110">
        <f t="shared" si="31"/>
        <v>0.15138865082959205</v>
      </c>
      <c r="I65" s="110">
        <f t="shared" si="31"/>
        <v>0.15468564332401508</v>
      </c>
      <c r="J65" s="110">
        <f t="shared" si="31"/>
        <v>0.15791459094113752</v>
      </c>
      <c r="K65" s="110">
        <f t="shared" si="31"/>
        <v>0.16107549368095944</v>
      </c>
      <c r="L65" s="110">
        <f t="shared" si="31"/>
        <v>0.16416835154348081</v>
      </c>
      <c r="M65" s="110">
        <f t="shared" si="31"/>
        <v>0.16719316452870159</v>
      </c>
      <c r="N65" s="110">
        <f t="shared" si="31"/>
        <v>0.17572224573896356</v>
      </c>
      <c r="O65" s="110">
        <f t="shared" si="31"/>
        <v>0.18409461753483639</v>
      </c>
      <c r="P65" s="110">
        <f t="shared" si="31"/>
        <v>0.19231027991632005</v>
      </c>
      <c r="Q65" s="110">
        <f t="shared" si="31"/>
        <v>0.20036923288341452</v>
      </c>
      <c r="R65" s="110">
        <f t="shared" si="31"/>
        <v>0.20827147643611985</v>
      </c>
      <c r="S65" s="110">
        <f t="shared" si="31"/>
        <v>0.21601701057443601</v>
      </c>
      <c r="T65" s="110">
        <f t="shared" si="31"/>
        <v>0.22360583529836303</v>
      </c>
      <c r="U65" s="110">
        <f t="shared" si="31"/>
        <v>0.23103795060790086</v>
      </c>
      <c r="V65" s="110">
        <f t="shared" si="31"/>
        <v>0.23831335650304952</v>
      </c>
      <c r="W65" s="110">
        <f t="shared" si="31"/>
        <v>0.24543205298380902</v>
      </c>
      <c r="X65" s="110">
        <f t="shared" si="31"/>
        <v>0.2577764980167504</v>
      </c>
      <c r="Y65" s="110">
        <f t="shared" si="31"/>
        <v>0.26987118742050903</v>
      </c>
      <c r="Z65" s="110">
        <f t="shared" si="31"/>
        <v>0.28171612119508493</v>
      </c>
      <c r="AA65" s="110">
        <f t="shared" si="31"/>
        <v>0.29331129934047812</v>
      </c>
      <c r="AB65" s="110">
        <f t="shared" si="31"/>
        <v>0.30465672185668857</v>
      </c>
      <c r="AC65" s="110">
        <f t="shared" si="31"/>
        <v>0.31575238874371631</v>
      </c>
      <c r="AD65" s="110">
        <f t="shared" si="31"/>
        <v>0.32659830000156131</v>
      </c>
      <c r="AE65" s="110">
        <f t="shared" si="31"/>
        <v>0.33719445563022354</v>
      </c>
      <c r="AF65" s="110">
        <f t="shared" si="31"/>
        <v>0.34754085562970299</v>
      </c>
      <c r="AG65" s="110">
        <f t="shared" si="31"/>
        <v>0.35763749999999994</v>
      </c>
      <c r="AH65" s="245"/>
      <c r="AI65" s="133"/>
      <c r="AJ65" s="211"/>
      <c r="AL65" s="108"/>
      <c r="AM65" s="2"/>
      <c r="AN65" s="2"/>
      <c r="AO65" s="2"/>
      <c r="AV65" s="41"/>
    </row>
    <row r="66" spans="1:63" outlineLevel="1" x14ac:dyDescent="0.2">
      <c r="A66" t="s">
        <v>1556</v>
      </c>
      <c r="B66" s="176" t="s">
        <v>462</v>
      </c>
      <c r="C66" s="110">
        <f>SUM(C64:C65)</f>
        <v>0.20011987534854248</v>
      </c>
      <c r="D66" s="110">
        <f t="shared" ref="D66:AG66" si="32">SUM(D64:D65)</f>
        <v>0.20774928243861462</v>
      </c>
      <c r="E66" s="110">
        <f t="shared" si="32"/>
        <v>0.2152446617400644</v>
      </c>
      <c r="F66" s="110">
        <f t="shared" si="32"/>
        <v>0.22260601325289187</v>
      </c>
      <c r="G66" s="110">
        <f t="shared" si="32"/>
        <v>0.2298333369770971</v>
      </c>
      <c r="H66" s="110">
        <f t="shared" si="32"/>
        <v>0.23692663291267993</v>
      </c>
      <c r="I66" s="110">
        <f t="shared" si="32"/>
        <v>0.2438859010596405</v>
      </c>
      <c r="J66" s="110">
        <f t="shared" si="32"/>
        <v>0.25071114141797873</v>
      </c>
      <c r="K66" s="110">
        <f t="shared" si="32"/>
        <v>0.25740235398769468</v>
      </c>
      <c r="L66" s="110">
        <f t="shared" si="32"/>
        <v>0.2639595387687883</v>
      </c>
      <c r="M66" s="110">
        <f t="shared" si="32"/>
        <v>0.27038269576125962</v>
      </c>
      <c r="N66" s="110">
        <f t="shared" si="32"/>
        <v>0.28600220969461104</v>
      </c>
      <c r="O66" s="110">
        <f t="shared" si="32"/>
        <v>0.30133923428886628</v>
      </c>
      <c r="P66" s="110">
        <f t="shared" si="32"/>
        <v>0.31639376954402521</v>
      </c>
      <c r="Q66" s="110">
        <f t="shared" si="32"/>
        <v>0.33116581546008794</v>
      </c>
      <c r="R66" s="110">
        <f t="shared" si="32"/>
        <v>0.34565537203705432</v>
      </c>
      <c r="S66" s="110">
        <f t="shared" si="32"/>
        <v>0.35986243927492456</v>
      </c>
      <c r="T66" s="110">
        <f t="shared" si="32"/>
        <v>0.37378701717369844</v>
      </c>
      <c r="U66" s="110">
        <f t="shared" si="32"/>
        <v>0.38742910573337619</v>
      </c>
      <c r="V66" s="110">
        <f t="shared" si="32"/>
        <v>0.40078870495395758</v>
      </c>
      <c r="W66" s="110">
        <f t="shared" si="32"/>
        <v>0.41386581483544271</v>
      </c>
      <c r="X66" s="110">
        <f t="shared" si="32"/>
        <v>0.43766107801949244</v>
      </c>
      <c r="Y66" s="110">
        <f t="shared" si="32"/>
        <v>0.46098368444196713</v>
      </c>
      <c r="Z66" s="110">
        <f t="shared" si="32"/>
        <v>0.48383363410286678</v>
      </c>
      <c r="AA66" s="110">
        <f t="shared" si="32"/>
        <v>0.5062109270021915</v>
      </c>
      <c r="AB66" s="110">
        <f t="shared" si="32"/>
        <v>0.52811556313994101</v>
      </c>
      <c r="AC66" s="110">
        <f t="shared" si="32"/>
        <v>0.54954754251611559</v>
      </c>
      <c r="AD66" s="110">
        <f t="shared" si="32"/>
        <v>0.57050686513071502</v>
      </c>
      <c r="AE66" s="110">
        <f t="shared" si="32"/>
        <v>0.59099353098373941</v>
      </c>
      <c r="AF66" s="110">
        <f t="shared" si="32"/>
        <v>0.61100754007518865</v>
      </c>
      <c r="AG66" s="110">
        <f t="shared" si="32"/>
        <v>0.63054889240506329</v>
      </c>
      <c r="AI66" s="133"/>
      <c r="AJ66" s="211"/>
      <c r="AL66" s="108"/>
      <c r="AM66" s="2"/>
      <c r="AN66" s="2"/>
      <c r="AO66" s="2"/>
    </row>
    <row r="67" spans="1:63" outlineLevel="1" x14ac:dyDescent="0.2">
      <c r="A67" t="s">
        <v>1557</v>
      </c>
      <c r="B67" s="54" t="s">
        <v>462</v>
      </c>
      <c r="C67" s="110">
        <f>C$63*C58</f>
        <v>1.5396459740277672E-2</v>
      </c>
      <c r="D67" s="110">
        <f t="shared" ref="D67:AG70" si="33">D$63*D58</f>
        <v>1.5516779794044113E-2</v>
      </c>
      <c r="E67" s="110">
        <f t="shared" si="33"/>
        <v>1.5613808473760924E-2</v>
      </c>
      <c r="F67" s="110">
        <f t="shared" si="33"/>
        <v>1.5687988066708482E-2</v>
      </c>
      <c r="G67" s="110">
        <f t="shared" si="33"/>
        <v>1.5739760860167162E-2</v>
      </c>
      <c r="H67" s="110">
        <f t="shared" si="33"/>
        <v>1.576956914141733E-2</v>
      </c>
      <c r="I67" s="110">
        <f t="shared" si="33"/>
        <v>1.5777855197739367E-2</v>
      </c>
      <c r="J67" s="110">
        <f t="shared" si="33"/>
        <v>1.5765061316413642E-2</v>
      </c>
      <c r="K67" s="110">
        <f t="shared" si="33"/>
        <v>1.5731629784720539E-2</v>
      </c>
      <c r="L67" s="110">
        <f t="shared" si="33"/>
        <v>1.5678002889940416E-2</v>
      </c>
      <c r="M67" s="110">
        <f t="shared" si="33"/>
        <v>1.5604622919353659E-2</v>
      </c>
      <c r="N67" s="110">
        <f t="shared" si="33"/>
        <v>1.6019939077902744E-2</v>
      </c>
      <c r="O67" s="110">
        <f t="shared" si="33"/>
        <v>1.6384349177288725E-2</v>
      </c>
      <c r="P67" s="110">
        <f t="shared" si="33"/>
        <v>1.6698871818520953E-2</v>
      </c>
      <c r="Q67" s="110">
        <f t="shared" si="33"/>
        <v>1.696452560260877E-2</v>
      </c>
      <c r="R67" s="110">
        <f t="shared" si="33"/>
        <v>1.7182329130561523E-2</v>
      </c>
      <c r="S67" s="110">
        <f t="shared" si="33"/>
        <v>1.7353301003388555E-2</v>
      </c>
      <c r="T67" s="110">
        <f t="shared" si="33"/>
        <v>1.7478459822099217E-2</v>
      </c>
      <c r="U67" s="110">
        <f t="shared" si="33"/>
        <v>1.7558824187702847E-2</v>
      </c>
      <c r="V67" s="110">
        <f t="shared" si="33"/>
        <v>1.7595412701208797E-2</v>
      </c>
      <c r="W67" s="110">
        <f t="shared" si="33"/>
        <v>1.7589243963626409E-2</v>
      </c>
      <c r="X67" s="110">
        <f t="shared" si="33"/>
        <v>1.7915416355261071E-2</v>
      </c>
      <c r="Y67" s="110">
        <f t="shared" si="33"/>
        <v>1.8171279850828836E-2</v>
      </c>
      <c r="Z67" s="110">
        <f t="shared" si="33"/>
        <v>1.8358457845688351E-2</v>
      </c>
      <c r="AA67" s="110">
        <f t="shared" si="33"/>
        <v>1.8478573735198255E-2</v>
      </c>
      <c r="AB67" s="110">
        <f t="shared" si="33"/>
        <v>1.8533250914717199E-2</v>
      </c>
      <c r="AC67" s="110">
        <f t="shared" si="33"/>
        <v>1.8524112779603821E-2</v>
      </c>
      <c r="AD67" s="110">
        <f t="shared" si="33"/>
        <v>1.8452782725216769E-2</v>
      </c>
      <c r="AE67" s="110">
        <f t="shared" si="33"/>
        <v>1.8320884146914688E-2</v>
      </c>
      <c r="AF67" s="110">
        <f t="shared" si="33"/>
        <v>1.8130040440056224E-2</v>
      </c>
      <c r="AG67" s="110">
        <f t="shared" si="33"/>
        <v>1.7881874999999998E-2</v>
      </c>
      <c r="AI67" s="133"/>
      <c r="AJ67" s="211"/>
      <c r="AL67" s="108"/>
      <c r="AM67" s="2"/>
      <c r="AN67" s="2"/>
      <c r="AO67" s="2"/>
    </row>
    <row r="68" spans="1:63" outlineLevel="1" x14ac:dyDescent="0.2">
      <c r="A68" t="s">
        <v>1558</v>
      </c>
      <c r="B68" s="54" t="s">
        <v>462</v>
      </c>
      <c r="C68" s="110">
        <f t="shared" ref="C68:R70" si="34">C$63*C59</f>
        <v>1.8464652836765245E-2</v>
      </c>
      <c r="D68" s="110">
        <f t="shared" si="34"/>
        <v>1.8966284405930386E-2</v>
      </c>
      <c r="E68" s="110">
        <f t="shared" si="34"/>
        <v>1.9458531475987723E-2</v>
      </c>
      <c r="F68" s="110">
        <f t="shared" si="34"/>
        <v>1.9941394046937257E-2</v>
      </c>
      <c r="G68" s="110">
        <f t="shared" si="34"/>
        <v>2.0414872118778998E-2</v>
      </c>
      <c r="H68" s="110">
        <f t="shared" si="34"/>
        <v>2.087896569151293E-2</v>
      </c>
      <c r="I68" s="110">
        <f t="shared" si="34"/>
        <v>2.1333674765139064E-2</v>
      </c>
      <c r="J68" s="110">
        <f t="shared" si="34"/>
        <v>2.1778999339657396E-2</v>
      </c>
      <c r="K68" s="110">
        <f t="shared" si="34"/>
        <v>2.2214939415067927E-2</v>
      </c>
      <c r="L68" s="110">
        <f t="shared" si="34"/>
        <v>2.2641494991370657E-2</v>
      </c>
      <c r="M68" s="110">
        <f t="shared" si="34"/>
        <v>2.3058666068565582E-2</v>
      </c>
      <c r="N68" s="110">
        <f t="shared" si="34"/>
        <v>2.4234965566535469E-2</v>
      </c>
      <c r="O68" s="110">
        <f t="shared" si="34"/>
        <v>2.5389652278681327E-2</v>
      </c>
      <c r="P68" s="110">
        <f t="shared" si="34"/>
        <v>2.652272620500316E-2</v>
      </c>
      <c r="Q68" s="110">
        <f t="shared" si="34"/>
        <v>2.7634187345500959E-2</v>
      </c>
      <c r="R68" s="110">
        <f t="shared" si="34"/>
        <v>2.872403570017474E-2</v>
      </c>
      <c r="S68" s="110">
        <f t="shared" si="33"/>
        <v>2.9792271269024489E-2</v>
      </c>
      <c r="T68" s="110">
        <f t="shared" si="33"/>
        <v>3.083889405205021E-2</v>
      </c>
      <c r="U68" s="110">
        <f t="shared" si="33"/>
        <v>3.1863904049251907E-2</v>
      </c>
      <c r="V68" s="110">
        <f t="shared" si="33"/>
        <v>3.2867301260629575E-2</v>
      </c>
      <c r="W68" s="110">
        <f t="shared" si="33"/>
        <v>3.3849085686183208E-2</v>
      </c>
      <c r="X68" s="110">
        <f t="shared" si="33"/>
        <v>3.5551586124037492E-2</v>
      </c>
      <c r="Y68" s="110">
        <f t="shared" si="33"/>
        <v>3.7219641184484745E-2</v>
      </c>
      <c r="Z68" s="110">
        <f t="shared" si="33"/>
        <v>3.885325086752494E-2</v>
      </c>
      <c r="AA68" s="110">
        <f t="shared" si="33"/>
        <v>4.0452415173158091E-2</v>
      </c>
      <c r="AB68" s="110">
        <f t="shared" si="33"/>
        <v>4.2017134101384211E-2</v>
      </c>
      <c r="AC68" s="110">
        <f t="shared" si="33"/>
        <v>4.3547407652203274E-2</v>
      </c>
      <c r="AD68" s="110">
        <f t="shared" si="33"/>
        <v>4.5043235825615299E-2</v>
      </c>
      <c r="AE68" s="110">
        <f t="shared" si="33"/>
        <v>4.6504618621620274E-2</v>
      </c>
      <c r="AF68" s="110">
        <f t="shared" si="33"/>
        <v>4.7931556040218204E-2</v>
      </c>
      <c r="AG68" s="110">
        <f t="shared" si="33"/>
        <v>4.9324048081409118E-2</v>
      </c>
      <c r="AI68" s="133"/>
      <c r="AJ68" s="211"/>
      <c r="AL68" s="108"/>
      <c r="AM68" s="2"/>
      <c r="AN68" s="2"/>
      <c r="AO68" s="2"/>
      <c r="BC68" s="1"/>
      <c r="BD68" s="2"/>
      <c r="BE68" s="2"/>
      <c r="BF68" s="2"/>
      <c r="BG68" s="2"/>
      <c r="BH68" s="2"/>
      <c r="BI68" s="2"/>
      <c r="BJ68" s="2"/>
      <c r="BK68" s="2"/>
    </row>
    <row r="69" spans="1:63" outlineLevel="1" x14ac:dyDescent="0.2">
      <c r="A69" t="s">
        <v>1559</v>
      </c>
      <c r="C69" s="110">
        <f t="shared" si="34"/>
        <v>1.4533096962014838E-2</v>
      </c>
      <c r="D69" s="110">
        <f t="shared" si="33"/>
        <v>1.4927919453308522E-2</v>
      </c>
      <c r="E69" s="110">
        <f t="shared" si="33"/>
        <v>1.5315355624551712E-2</v>
      </c>
      <c r="F69" s="110">
        <f t="shared" si="33"/>
        <v>1.5695405475744405E-2</v>
      </c>
      <c r="G69" s="110">
        <f t="shared" si="33"/>
        <v>1.6068069006886607E-2</v>
      </c>
      <c r="H69" s="110">
        <f t="shared" si="33"/>
        <v>1.643334621797831E-2</v>
      </c>
      <c r="I69" s="110">
        <f t="shared" si="33"/>
        <v>1.6791237109019523E-2</v>
      </c>
      <c r="J69" s="110">
        <f t="shared" si="33"/>
        <v>1.7141741680010238E-2</v>
      </c>
      <c r="K69" s="110">
        <f t="shared" si="33"/>
        <v>1.7484859930950461E-2</v>
      </c>
      <c r="L69" s="110">
        <f t="shared" si="33"/>
        <v>1.782059186184019E-2</v>
      </c>
      <c r="M69" s="110">
        <f t="shared" si="33"/>
        <v>1.814893747267942E-2</v>
      </c>
      <c r="N69" s="110">
        <f t="shared" si="33"/>
        <v>1.9074775332264145E-2</v>
      </c>
      <c r="O69" s="110">
        <f t="shared" si="33"/>
        <v>1.9983602272944698E-2</v>
      </c>
      <c r="P69" s="110">
        <f t="shared" si="33"/>
        <v>2.0875418294721084E-2</v>
      </c>
      <c r="Q69" s="110">
        <f t="shared" si="33"/>
        <v>2.1750223397593301E-2</v>
      </c>
      <c r="R69" s="110">
        <f t="shared" si="33"/>
        <v>2.2608017581561349E-2</v>
      </c>
      <c r="S69" s="110">
        <f t="shared" si="33"/>
        <v>2.3448800846625227E-2</v>
      </c>
      <c r="T69" s="110">
        <f t="shared" si="33"/>
        <v>2.4272573192784936E-2</v>
      </c>
      <c r="U69" s="110">
        <f t="shared" si="33"/>
        <v>2.5079334620040476E-2</v>
      </c>
      <c r="V69" s="110">
        <f t="shared" si="33"/>
        <v>2.5869085128391849E-2</v>
      </c>
      <c r="W69" s="110">
        <f t="shared" si="33"/>
        <v>2.6641824717839047E-2</v>
      </c>
      <c r="X69" s="110">
        <f t="shared" si="33"/>
        <v>2.7981823046534605E-2</v>
      </c>
      <c r="Y69" s="110">
        <f t="shared" si="33"/>
        <v>2.929471022322664E-2</v>
      </c>
      <c r="Z69" s="110">
        <f t="shared" si="33"/>
        <v>3.0580486247915154E-2</v>
      </c>
      <c r="AA69" s="110">
        <f t="shared" si="33"/>
        <v>3.1839151120600144E-2</v>
      </c>
      <c r="AB69" s="110">
        <f t="shared" si="33"/>
        <v>3.3070704841281627E-2</v>
      </c>
      <c r="AC69" s="110">
        <f t="shared" si="33"/>
        <v>3.4275147409959579E-2</v>
      </c>
      <c r="AD69" s="110">
        <f t="shared" si="33"/>
        <v>3.5452478826634021E-2</v>
      </c>
      <c r="AE69" s="110">
        <f t="shared" si="33"/>
        <v>3.6602699091304938E-2</v>
      </c>
      <c r="AF69" s="110">
        <f t="shared" si="33"/>
        <v>3.7725808203972332E-2</v>
      </c>
      <c r="AG69" s="110">
        <f t="shared" si="33"/>
        <v>3.8821806164636229E-2</v>
      </c>
      <c r="AI69" s="133"/>
      <c r="AJ69" s="211"/>
      <c r="AL69" s="108"/>
      <c r="AM69" s="2"/>
      <c r="AN69" s="2"/>
      <c r="AO69" s="2"/>
      <c r="BC69" s="1"/>
      <c r="BD69" s="2"/>
      <c r="BE69" s="2"/>
      <c r="BF69" s="2"/>
      <c r="BG69" s="2"/>
      <c r="BH69" s="2"/>
      <c r="BI69" s="2"/>
      <c r="BJ69" s="2"/>
      <c r="BK69" s="2"/>
    </row>
    <row r="70" spans="1:63" outlineLevel="1" x14ac:dyDescent="0.2">
      <c r="A70" t="s">
        <v>1560</v>
      </c>
      <c r="B70" s="54" t="s">
        <v>462</v>
      </c>
      <c r="C70" s="110">
        <f t="shared" si="34"/>
        <v>8.5488805658910802E-2</v>
      </c>
      <c r="D70" s="110">
        <f t="shared" si="33"/>
        <v>8.8109248425611367E-2</v>
      </c>
      <c r="E70" s="110">
        <f t="shared" si="33"/>
        <v>9.0701708508219264E-2</v>
      </c>
      <c r="F70" s="110">
        <f t="shared" si="33"/>
        <v>9.3265743619454181E-2</v>
      </c>
      <c r="G70" s="110">
        <f t="shared" si="33"/>
        <v>9.5800911472035719E-2</v>
      </c>
      <c r="H70" s="110">
        <f t="shared" si="33"/>
        <v>9.8306769778683481E-2</v>
      </c>
      <c r="I70" s="110">
        <f t="shared" si="33"/>
        <v>0.10078287625211711</v>
      </c>
      <c r="J70" s="110">
        <f t="shared" si="33"/>
        <v>0.10322878860505626</v>
      </c>
      <c r="K70" s="110">
        <f t="shared" si="33"/>
        <v>0.10564406455022053</v>
      </c>
      <c r="L70" s="110">
        <f t="shared" si="33"/>
        <v>0.10802826180032954</v>
      </c>
      <c r="M70" s="110">
        <f t="shared" si="33"/>
        <v>0.11038093806810291</v>
      </c>
      <c r="N70" s="110">
        <f t="shared" si="33"/>
        <v>0.11639256576226122</v>
      </c>
      <c r="O70" s="110">
        <f t="shared" si="33"/>
        <v>0.12233701380592163</v>
      </c>
      <c r="P70" s="110">
        <f t="shared" si="33"/>
        <v>0.12821326359807483</v>
      </c>
      <c r="Q70" s="110">
        <f t="shared" si="33"/>
        <v>0.1340202965377115</v>
      </c>
      <c r="R70" s="110">
        <f t="shared" si="33"/>
        <v>0.13975709402382222</v>
      </c>
      <c r="S70" s="110">
        <f t="shared" si="33"/>
        <v>0.14542263745539774</v>
      </c>
      <c r="T70" s="110">
        <f t="shared" si="33"/>
        <v>0.15101590823142869</v>
      </c>
      <c r="U70" s="110">
        <f t="shared" si="33"/>
        <v>0.15653588775090563</v>
      </c>
      <c r="V70" s="110">
        <f t="shared" si="33"/>
        <v>0.1619815574128193</v>
      </c>
      <c r="W70" s="110">
        <f t="shared" si="33"/>
        <v>0.16735189861616034</v>
      </c>
      <c r="X70" s="110">
        <f t="shared" si="33"/>
        <v>0.17632767249091721</v>
      </c>
      <c r="Y70" s="110">
        <f t="shared" si="33"/>
        <v>0.18518555616196883</v>
      </c>
      <c r="Z70" s="110">
        <f t="shared" si="33"/>
        <v>0.19392392623395652</v>
      </c>
      <c r="AA70" s="110">
        <f t="shared" si="33"/>
        <v>0.20254115931152164</v>
      </c>
      <c r="AB70" s="110">
        <f t="shared" si="33"/>
        <v>0.21103563199930558</v>
      </c>
      <c r="AC70" s="110">
        <f t="shared" si="33"/>
        <v>0.2194057209019496</v>
      </c>
      <c r="AD70" s="110">
        <f t="shared" si="33"/>
        <v>0.22764980262409518</v>
      </c>
      <c r="AE70" s="110">
        <f t="shared" si="33"/>
        <v>0.2357662537703836</v>
      </c>
      <c r="AF70" s="110">
        <f t="shared" si="33"/>
        <v>0.24375345094545625</v>
      </c>
      <c r="AG70" s="110">
        <f t="shared" si="33"/>
        <v>0.25160977075395458</v>
      </c>
      <c r="AH70" s="245"/>
      <c r="AI70" s="133"/>
      <c r="AJ70" s="211"/>
      <c r="AL70" s="108"/>
      <c r="AM70" s="2"/>
      <c r="AN70" s="2"/>
      <c r="AO70" s="2"/>
      <c r="BC70" s="1"/>
      <c r="BD70" s="2"/>
      <c r="BE70" s="2"/>
      <c r="BF70" s="2"/>
      <c r="BG70" s="2"/>
      <c r="BH70" s="2"/>
      <c r="BI70" s="2"/>
      <c r="BJ70" s="2"/>
      <c r="BK70" s="2"/>
    </row>
    <row r="71" spans="1:63" outlineLevel="1" x14ac:dyDescent="0.2">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x14ac:dyDescent="0.2">
      <c r="A72" s="1" t="s">
        <v>228</v>
      </c>
      <c r="B72" s="65"/>
      <c r="C72" s="300">
        <f>C42*C64</f>
        <v>0.14161054646771426</v>
      </c>
      <c r="D72" s="300">
        <f t="shared" ref="D72:AG72" si="35">D42*D64</f>
        <v>0.15496008827421295</v>
      </c>
      <c r="E72" s="300">
        <f t="shared" si="35"/>
        <v>0.16842811110865535</v>
      </c>
      <c r="F72" s="300">
        <f t="shared" si="35"/>
        <v>0.18192237586364268</v>
      </c>
      <c r="G72" s="300">
        <f t="shared" si="35"/>
        <v>0.19534703371073767</v>
      </c>
      <c r="H72" s="300">
        <f t="shared" si="35"/>
        <v>0.20860375243093196</v>
      </c>
      <c r="I72" s="300">
        <f t="shared" si="35"/>
        <v>0.22207098950483878</v>
      </c>
      <c r="J72" s="300">
        <f t="shared" si="35"/>
        <v>0.2357334935719721</v>
      </c>
      <c r="K72" s="300">
        <f t="shared" si="35"/>
        <v>0.24957524204109727</v>
      </c>
      <c r="L72" s="300">
        <f t="shared" si="35"/>
        <v>0.26357946445187552</v>
      </c>
      <c r="M72" s="300">
        <f t="shared" si="35"/>
        <v>0.27772866870122093</v>
      </c>
      <c r="N72" s="300">
        <f t="shared" si="35"/>
        <v>0.30132934066881623</v>
      </c>
      <c r="O72" s="300">
        <f t="shared" si="35"/>
        <v>0.32461636998848603</v>
      </c>
      <c r="P72" s="300">
        <f t="shared" si="35"/>
        <v>0.34745250397264649</v>
      </c>
      <c r="Q72" s="300">
        <f t="shared" si="35"/>
        <v>0.36970157050422309</v>
      </c>
      <c r="R72" s="300">
        <f t="shared" si="35"/>
        <v>0.39122981821792091</v>
      </c>
      <c r="S72" s="300">
        <f t="shared" si="35"/>
        <v>0.41264936856054568</v>
      </c>
      <c r="T72" s="300">
        <f t="shared" si="35"/>
        <v>0.43394765776384359</v>
      </c>
      <c r="U72" s="300">
        <f t="shared" si="35"/>
        <v>0.45511209337323349</v>
      </c>
      <c r="V72" s="300">
        <f t="shared" si="35"/>
        <v>0.47613006371089667</v>
      </c>
      <c r="W72" s="300">
        <f t="shared" si="35"/>
        <v>0.49698894745181149</v>
      </c>
      <c r="X72" s="300">
        <f t="shared" si="35"/>
        <v>0.53437441253965023</v>
      </c>
      <c r="Y72" s="300">
        <f t="shared" si="35"/>
        <v>0.57151433967599996</v>
      </c>
      <c r="Z72" s="300">
        <f t="shared" si="35"/>
        <v>0.60838773228748078</v>
      </c>
      <c r="AA72" s="300">
        <f t="shared" si="35"/>
        <v>0.64497359401468157</v>
      </c>
      <c r="AB72" s="300">
        <f t="shared" si="35"/>
        <v>0.68125094372850026</v>
      </c>
      <c r="AC72" s="300">
        <f t="shared" si="35"/>
        <v>0.71720561124311921</v>
      </c>
      <c r="AD72" s="300">
        <f t="shared" si="35"/>
        <v>0.75281771070292458</v>
      </c>
      <c r="AE72" s="300">
        <f t="shared" si="35"/>
        <v>0.78806739820565108</v>
      </c>
      <c r="AF72" s="300">
        <f t="shared" si="35"/>
        <v>0.82293488529093006</v>
      </c>
      <c r="AG72" s="300">
        <f t="shared" si="35"/>
        <v>0.85740045251206298</v>
      </c>
      <c r="AH72" s="245"/>
      <c r="AI72" s="423"/>
      <c r="AJ72" s="424"/>
      <c r="AL72" s="221"/>
      <c r="AM72" s="124"/>
      <c r="AN72" s="124"/>
      <c r="AO72" s="124"/>
      <c r="BD72" s="124"/>
      <c r="BE72" s="124"/>
      <c r="BF72" s="124"/>
      <c r="BG72" s="124"/>
      <c r="BH72" s="124"/>
      <c r="BI72" s="124"/>
      <c r="BJ72" s="124"/>
      <c r="BK72" s="124"/>
    </row>
    <row r="73" spans="1:63" outlineLevel="1" x14ac:dyDescent="0.2">
      <c r="A73" s="4" t="s">
        <v>474</v>
      </c>
      <c r="C73" s="230">
        <f>C$72*'Methanol recycling rates'!E33</f>
        <v>0.14161054646771426</v>
      </c>
      <c r="D73" s="230">
        <f>D$72*'Methanol recycling rates'!F33</f>
        <v>0.1531730074670124</v>
      </c>
      <c r="E73" s="230">
        <f>E$72*'Methanol recycling rates'!G33</f>
        <v>0.16454330892368643</v>
      </c>
      <c r="F73" s="230">
        <f>F$72*'Methanol recycling rates'!H33</f>
        <v>0.17562830382366806</v>
      </c>
      <c r="G73" s="230">
        <f>G$72*'Methanol recycling rates'!I33</f>
        <v>0.18633565694718654</v>
      </c>
      <c r="H73" s="230">
        <f>H$72*'Methanol recycling rates'!J33</f>
        <v>0.19657511439803241</v>
      </c>
      <c r="I73" s="230">
        <f>I$72*'Methanol recycling rates'!K33</f>
        <v>0.20670475652446532</v>
      </c>
      <c r="J73" s="230">
        <f>J$72*'Methanol recycling rates'!L33</f>
        <v>0.21670327974930501</v>
      </c>
      <c r="K73" s="230">
        <f>K$72*'Methanol recycling rates'!M33</f>
        <v>0.22654938396518659</v>
      </c>
      <c r="L73" s="230">
        <f>L$72*'Methanol recycling rates'!N33</f>
        <v>0.23622183794261911</v>
      </c>
      <c r="M73" s="230">
        <f>M$72*'Methanol recycling rates'!O33</f>
        <v>0.24569954565587054</v>
      </c>
      <c r="N73" s="230">
        <f>N$72*'Methanol recycling rates'!P33</f>
        <v>0.26310337706178755</v>
      </c>
      <c r="O73" s="230">
        <f>O$72*'Methanol recycling rates'!Q33</f>
        <v>0.27969262032079251</v>
      </c>
      <c r="P73" s="230">
        <f>P$72*'Methanol recycling rates'!R33</f>
        <v>0.29536145132598868</v>
      </c>
      <c r="Q73" s="230">
        <f>Q$72*'Methanol recycling rates'!S33</f>
        <v>0.31001128355632118</v>
      </c>
      <c r="R73" s="230">
        <f>R$72*'Methanol recycling rates'!T33</f>
        <v>0.32355181411425182</v>
      </c>
      <c r="S73" s="230">
        <f>S$72*'Methanol recycling rates'!U33</f>
        <v>0.33650715414951321</v>
      </c>
      <c r="T73" s="230">
        <f>T$72*'Methanol recycling rates'!V33</f>
        <v>0.34887096372182264</v>
      </c>
      <c r="U73" s="230">
        <f>U$72*'Methanol recycling rates'!W33</f>
        <v>0.36063745972722716</v>
      </c>
      <c r="V73" s="230">
        <f>V$72*'Methanol recycling rates'!X33</f>
        <v>0.37180142494178858</v>
      </c>
      <c r="W73" s="230">
        <f>W$72*'Methanol recycling rates'!Y33</f>
        <v>0.38235821649736418</v>
      </c>
      <c r="X73" s="230">
        <f>X$72*'Methanol recycling rates'!Z33</f>
        <v>0.40495802145451743</v>
      </c>
      <c r="Y73" s="230">
        <f>Y$72*'Methanol recycling rates'!AA33</f>
        <v>0.426512287762569</v>
      </c>
      <c r="Z73" s="230">
        <f>Z$72*'Methanol recycling rates'!AB33</f>
        <v>0.44701408316426006</v>
      </c>
      <c r="AA73" s="230">
        <f>AA$72*'Methanol recycling rates'!AC33</f>
        <v>0.46645744413095341</v>
      </c>
      <c r="AB73" s="230">
        <f>AB$72*'Methanol recycling rates'!AD33</f>
        <v>0.48483738653722852</v>
      </c>
      <c r="AC73" s="230">
        <f>AC$72*'Methanol recycling rates'!AE33</f>
        <v>0.50215466283098797</v>
      </c>
      <c r="AD73" s="230">
        <f>AD$72*'Methanol recycling rates'!AF33</f>
        <v>0.51840674319686897</v>
      </c>
      <c r="AE73" s="230">
        <f>AE$72*'Methanol recycling rates'!AG33</f>
        <v>0.53359204356203616</v>
      </c>
      <c r="AF73" s="230">
        <f>AF$72*'Methanol recycling rates'!AH33</f>
        <v>0.54770993215443731</v>
      </c>
      <c r="AG73" s="230">
        <f>AG$72*'Methanol recycling rates'!AI33</f>
        <v>0.56076073518214709</v>
      </c>
      <c r="AH73" s="245"/>
      <c r="AI73" s="133"/>
      <c r="AJ73" s="211"/>
      <c r="AL73" s="108"/>
      <c r="AM73" s="2"/>
      <c r="AN73" s="2"/>
      <c r="AO73" s="2"/>
      <c r="BC73" s="1"/>
      <c r="BD73" s="2"/>
      <c r="BE73" s="2"/>
      <c r="BF73" s="2"/>
      <c r="BG73" s="2"/>
      <c r="BH73" s="2"/>
      <c r="BI73" s="2"/>
      <c r="BJ73" s="2"/>
      <c r="BK73" s="2"/>
    </row>
    <row r="74" spans="1:63" outlineLevel="1" x14ac:dyDescent="0.2">
      <c r="A74" s="4" t="s">
        <v>745</v>
      </c>
      <c r="C74" s="230">
        <f>C$72*'Methanol recycling rates'!E34</f>
        <v>0</v>
      </c>
      <c r="D74" s="230">
        <f>D$72*'Methanol recycling rates'!F34</f>
        <v>1.058100843824255E-3</v>
      </c>
      <c r="E74" s="230">
        <f>E$72*'Methanol recycling rates'!G34</f>
        <v>2.3001268064900856E-3</v>
      </c>
      <c r="F74" s="230">
        <f>F$72*'Methanol recycling rates'!H34</f>
        <v>3.7266154444466665E-3</v>
      </c>
      <c r="G74" s="230">
        <f>G$72*'Methanol recycling rates'!I34</f>
        <v>5.3354864084003834E-3</v>
      </c>
      <c r="H74" s="230">
        <f>H$72*'Methanol recycling rates'!J34</f>
        <v>7.1219566576875117E-3</v>
      </c>
      <c r="I74" s="230">
        <f>I$72*'Methanol recycling rates'!K34</f>
        <v>9.0980911536971288E-3</v>
      </c>
      <c r="J74" s="230">
        <f>J$72*'Methanol recycling rates'!L34</f>
        <v>1.1267473313343211E-2</v>
      </c>
      <c r="K74" s="230">
        <f>K$72*'Methanol recycling rates'!M34</f>
        <v>1.3633227866211677E-2</v>
      </c>
      <c r="L74" s="230">
        <f>L$72*'Methanol recycling rates'!N34</f>
        <v>1.6197995959577487E-2</v>
      </c>
      <c r="M74" s="230">
        <f>M$72*'Methanol recycling rates'!O34</f>
        <v>1.8963911416140504E-2</v>
      </c>
      <c r="N74" s="230">
        <f>N$72*'Methanol recycling rates'!P34</f>
        <v>2.2632957718320593E-2</v>
      </c>
      <c r="O74" s="230">
        <f>O$72*'Methanol recycling rates'!Q34</f>
        <v>2.6598605524502026E-2</v>
      </c>
      <c r="P74" s="230">
        <f>P$72*'Methanol recycling rates'!R34</f>
        <v>3.084224649441767E-2</v>
      </c>
      <c r="Q74" s="230">
        <f>Q$72*'Methanol recycling rates'!S34</f>
        <v>3.534162682135452E-2</v>
      </c>
      <c r="R74" s="230">
        <f>R$72*'Methanol recycling rates'!T34</f>
        <v>4.0071021389687676E-2</v>
      </c>
      <c r="S74" s="230">
        <f>S$72*'Methanol recycling rates'!U34</f>
        <v>4.5082539633541842E-2</v>
      </c>
      <c r="T74" s="230">
        <f>T$72*'Methanol recycling rates'!V34</f>
        <v>5.0372496527818174E-2</v>
      </c>
      <c r="U74" s="230">
        <f>U$72*'Methanol recycling rates'!W34</f>
        <v>5.5936860369184431E-2</v>
      </c>
      <c r="V74" s="230">
        <f>V$72*'Methanol recycling rates'!X34</f>
        <v>6.1771253024397128E-2</v>
      </c>
      <c r="W74" s="230">
        <f>W$72*'Methanol recycling rates'!Y34</f>
        <v>6.7870950581744027E-2</v>
      </c>
      <c r="X74" s="230">
        <f>X$72*'Methanol recycling rates'!Z34</f>
        <v>7.6625294200533323E-2</v>
      </c>
      <c r="Y74" s="230">
        <f>Y$72*'Methanol recycling rates'!AA34</f>
        <v>8.5853304935993149E-2</v>
      </c>
      <c r="Z74" s="230">
        <f>Z$72*'Methanol recycling rates'!AB34</f>
        <v>9.5546655540303754E-2</v>
      </c>
      <c r="AA74" s="230">
        <f>AA$72*'Methanol recycling rates'!AC34</f>
        <v>0.10569644532421658</v>
      </c>
      <c r="AB74" s="230">
        <f>AB$72*'Methanol recycling rates'!AD34</f>
        <v>0.11629320272772946</v>
      </c>
      <c r="AC74" s="230">
        <f>AC$72*'Methanol recycling rates'!AE34</f>
        <v>0.12732809230743786</v>
      </c>
      <c r="AD74" s="230">
        <f>AD$72*'Methanol recycling rates'!AF34</f>
        <v>0.13879083784037458</v>
      </c>
      <c r="AE74" s="230">
        <f>AE$72*'Methanol recycling rates'!AG34</f>
        <v>0.15067062798502104</v>
      </c>
      <c r="AF74" s="230">
        <f>AF$72*'Methanol recycling rates'!AH34</f>
        <v>0.16295612038461835</v>
      </c>
      <c r="AG74" s="230">
        <f>AG$72*'Methanol recycling rates'!AI34</f>
        <v>0.17563544634014303</v>
      </c>
      <c r="AH74" s="245"/>
      <c r="AI74" s="133"/>
      <c r="AJ74" s="211"/>
      <c r="AL74" s="108"/>
      <c r="AM74" s="2"/>
      <c r="AN74" s="2"/>
      <c r="AO74" s="2"/>
      <c r="BC74" s="1"/>
      <c r="BD74" s="2"/>
      <c r="BE74" s="2"/>
      <c r="BF74" s="2"/>
      <c r="BG74" s="2"/>
      <c r="BH74" s="2"/>
      <c r="BI74" s="2"/>
      <c r="BJ74" s="2"/>
      <c r="BK74" s="2"/>
    </row>
    <row r="75" spans="1:63" outlineLevel="1" x14ac:dyDescent="0.2">
      <c r="A75" s="4" t="s">
        <v>1561</v>
      </c>
      <c r="C75" s="230">
        <f>C$72*'Methanol recycling rates'!E35</f>
        <v>0</v>
      </c>
      <c r="D75" s="230">
        <f>D$72*'Methanol recycling rates'!F35</f>
        <v>7.2897996337629859E-4</v>
      </c>
      <c r="E75" s="230">
        <f>E$72*'Methanol recycling rates'!G35</f>
        <v>1.5846753784788438E-3</v>
      </c>
      <c r="F75" s="230">
        <f>F$72*'Methanol recycling rates'!H35</f>
        <v>2.5674565955279565E-3</v>
      </c>
      <c r="G75" s="230">
        <f>G$72*'Methanol recycling rates'!I35</f>
        <v>3.6758903551507511E-3</v>
      </c>
      <c r="H75" s="230">
        <f>H$72*'Methanol recycling rates'!J35</f>
        <v>4.9066813752120519E-3</v>
      </c>
      <c r="I75" s="230">
        <f>I$72*'Methanol recycling rates'!K35</f>
        <v>6.2681418266763555E-3</v>
      </c>
      <c r="J75" s="230">
        <f>J$72*'Methanol recycling rates'!L35</f>
        <v>7.7627405093239092E-3</v>
      </c>
      <c r="K75" s="230">
        <f>K$72*'Methanol recycling rates'!M35</f>
        <v>9.3926302096990193E-3</v>
      </c>
      <c r="L75" s="230">
        <f>L$72*'Methanol recycling rates'!N35</f>
        <v>1.1159630549678948E-2</v>
      </c>
      <c r="M75" s="230">
        <f>M$72*'Methanol recycling rates'!O35</f>
        <v>1.3065211629209915E-2</v>
      </c>
      <c r="N75" s="230">
        <f>N$72*'Methanol recycling rates'!P35</f>
        <v>1.5593005888708145E-2</v>
      </c>
      <c r="O75" s="230">
        <f>O$72*'Methanol recycling rates'!Q35</f>
        <v>1.8325144143191575E-2</v>
      </c>
      <c r="P75" s="230">
        <f>P$72*'Methanol recycling rates'!R35</f>
        <v>2.1248806152240198E-2</v>
      </c>
      <c r="Q75" s="230">
        <f>Q$72*'Methanol recycling rates'!S35</f>
        <v>2.4348660126547444E-2</v>
      </c>
      <c r="R75" s="230">
        <f>R$72*'Methanol recycling rates'!T35</f>
        <v>2.760698271398147E-2</v>
      </c>
      <c r="S75" s="230">
        <f>S$72*'Methanol recycling rates'!U35</f>
        <v>3.1059674777490737E-2</v>
      </c>
      <c r="T75" s="230">
        <f>T$72*'Methanol recycling rates'!V35</f>
        <v>3.4704197514202839E-2</v>
      </c>
      <c r="U75" s="230">
        <f>U$72*'Methanol recycling rates'!W35</f>
        <v>3.8537773276822035E-2</v>
      </c>
      <c r="V75" s="230">
        <f>V$72*'Methanol recycling rates'!X35</f>
        <v>4.2557385744711081E-2</v>
      </c>
      <c r="W75" s="230">
        <f>W$72*'Methanol recycling rates'!Y35</f>
        <v>4.6759780372703445E-2</v>
      </c>
      <c r="X75" s="230">
        <f>X$72*'Methanol recycling rates'!Z35</f>
        <v>5.2791096884599667E-2</v>
      </c>
      <c r="Y75" s="230">
        <f>Y$72*'Methanol recycling rates'!AA35</f>
        <v>5.9148746977438008E-2</v>
      </c>
      <c r="Z75" s="230">
        <f>Z$72*'Methanol recycling rates'!AB35</f>
        <v>6.5826993582917173E-2</v>
      </c>
      <c r="AA75" s="230">
        <f>AA$72*'Methanol recycling rates'!AC35</f>
        <v>7.2819704559511811E-2</v>
      </c>
      <c r="AB75" s="230">
        <f>AB$72*'Methanol recycling rates'!AD35</f>
        <v>8.0120354463542501E-2</v>
      </c>
      <c r="AC75" s="230">
        <f>AC$72*'Methanol recycling rates'!AE35</f>
        <v>8.7722856104693658E-2</v>
      </c>
      <c r="AD75" s="230">
        <f>AD$72*'Methanol recycling rates'!AF35</f>
        <v>9.5620129665681342E-2</v>
      </c>
      <c r="AE75" s="230">
        <f>AE$72*'Methanol recycling rates'!AG35</f>
        <v>0.10380472665859414</v>
      </c>
      <c r="AF75" s="230">
        <f>AF$72*'Methanol recycling rates'!AH35</f>
        <v>0.11226883275187474</v>
      </c>
      <c r="AG75" s="230">
        <f>AG$72*'Methanol recycling rates'!AI35</f>
        <v>0.12100427098977271</v>
      </c>
      <c r="AH75" s="245"/>
      <c r="AI75" s="133"/>
      <c r="AJ75" s="211"/>
      <c r="AL75" s="108"/>
      <c r="AM75" s="2"/>
      <c r="AN75" s="2"/>
      <c r="AO75" s="2"/>
      <c r="BC75" s="1"/>
      <c r="BD75" s="2"/>
      <c r="BE75" s="2"/>
      <c r="BF75" s="2"/>
      <c r="BG75" s="2"/>
      <c r="BH75" s="2"/>
      <c r="BI75" s="2"/>
      <c r="BJ75" s="2"/>
      <c r="BK75" s="2"/>
    </row>
    <row r="76" spans="1:63" s="1" customFormat="1" outlineLevel="1" x14ac:dyDescent="0.2">
      <c r="A76" s="1" t="s">
        <v>1562</v>
      </c>
      <c r="B76" s="65"/>
      <c r="C76" s="300">
        <f>C72-$C72</f>
        <v>0</v>
      </c>
      <c r="D76" s="300">
        <f t="shared" ref="D76:AG79" si="36">D72-$C72</f>
        <v>1.3349541806498694E-2</v>
      </c>
      <c r="E76" s="300">
        <f t="shared" si="36"/>
        <v>2.6817564640941094E-2</v>
      </c>
      <c r="F76" s="300">
        <f t="shared" si="36"/>
        <v>4.0311829395928422E-2</v>
      </c>
      <c r="G76" s="300">
        <f t="shared" si="36"/>
        <v>5.3736487243023406E-2</v>
      </c>
      <c r="H76" s="300">
        <f t="shared" si="36"/>
        <v>6.69932059632177E-2</v>
      </c>
      <c r="I76" s="300">
        <f t="shared" si="36"/>
        <v>8.0460443037124518E-2</v>
      </c>
      <c r="J76" s="300">
        <f t="shared" si="36"/>
        <v>9.4122947104257837E-2</v>
      </c>
      <c r="K76" s="300">
        <f t="shared" si="36"/>
        <v>0.10796469557338301</v>
      </c>
      <c r="L76" s="300">
        <f t="shared" si="36"/>
        <v>0.12196891798416126</v>
      </c>
      <c r="M76" s="300">
        <f t="shared" si="36"/>
        <v>0.13611812223350667</v>
      </c>
      <c r="N76" s="300">
        <f t="shared" si="36"/>
        <v>0.15971879420110197</v>
      </c>
      <c r="O76" s="300">
        <f t="shared" si="36"/>
        <v>0.18300582352077177</v>
      </c>
      <c r="P76" s="300">
        <f t="shared" si="36"/>
        <v>0.20584195750493223</v>
      </c>
      <c r="Q76" s="300">
        <f t="shared" si="36"/>
        <v>0.22809102403650883</v>
      </c>
      <c r="R76" s="300">
        <f t="shared" si="36"/>
        <v>0.24961927175020665</v>
      </c>
      <c r="S76" s="300">
        <f t="shared" si="36"/>
        <v>0.27103882209283142</v>
      </c>
      <c r="T76" s="300">
        <f t="shared" si="36"/>
        <v>0.29233711129612933</v>
      </c>
      <c r="U76" s="300">
        <f t="shared" si="36"/>
        <v>0.31350154690551923</v>
      </c>
      <c r="V76" s="300">
        <f t="shared" si="36"/>
        <v>0.33451951724318241</v>
      </c>
      <c r="W76" s="300">
        <f t="shared" si="36"/>
        <v>0.35537840098409723</v>
      </c>
      <c r="X76" s="300">
        <f t="shared" si="36"/>
        <v>0.39276386607193597</v>
      </c>
      <c r="Y76" s="300">
        <f t="shared" si="36"/>
        <v>0.4299037932082857</v>
      </c>
      <c r="Z76" s="300">
        <f t="shared" si="36"/>
        <v>0.46677718581976652</v>
      </c>
      <c r="AA76" s="300">
        <f t="shared" si="36"/>
        <v>0.50336304754696726</v>
      </c>
      <c r="AB76" s="300">
        <f t="shared" si="36"/>
        <v>0.53964039726078594</v>
      </c>
      <c r="AC76" s="300">
        <f t="shared" si="36"/>
        <v>0.5755950647754049</v>
      </c>
      <c r="AD76" s="300">
        <f t="shared" si="36"/>
        <v>0.61120716423521038</v>
      </c>
      <c r="AE76" s="300">
        <f t="shared" si="36"/>
        <v>0.64645685173793677</v>
      </c>
      <c r="AF76" s="300">
        <f t="shared" si="36"/>
        <v>0.68132433882321575</v>
      </c>
      <c r="AG76" s="300">
        <f t="shared" si="36"/>
        <v>0.71578990604434867</v>
      </c>
      <c r="AH76" s="245"/>
      <c r="AI76" s="423"/>
      <c r="AJ76" s="424"/>
      <c r="AL76" s="221"/>
      <c r="AM76" s="124"/>
      <c r="AN76" s="124"/>
      <c r="AO76" s="124"/>
      <c r="BD76" s="124"/>
      <c r="BE76" s="124"/>
      <c r="BF76" s="124"/>
      <c r="BG76" s="124"/>
      <c r="BH76" s="124"/>
      <c r="BI76" s="124"/>
      <c r="BJ76" s="124"/>
      <c r="BK76" s="124"/>
    </row>
    <row r="77" spans="1:63" outlineLevel="1" x14ac:dyDescent="0.2">
      <c r="A77" s="4" t="s">
        <v>474</v>
      </c>
      <c r="C77" s="230">
        <f t="shared" ref="C77:R79" si="37">C73-$C73</f>
        <v>0</v>
      </c>
      <c r="D77" s="230">
        <f t="shared" si="37"/>
        <v>1.1562460999298141E-2</v>
      </c>
      <c r="E77" s="230">
        <f t="shared" si="37"/>
        <v>2.2932762455972172E-2</v>
      </c>
      <c r="F77" s="230">
        <f t="shared" si="37"/>
        <v>3.4017757355953804E-2</v>
      </c>
      <c r="G77" s="230">
        <f t="shared" si="37"/>
        <v>4.472511047947228E-2</v>
      </c>
      <c r="H77" s="230">
        <f t="shared" si="37"/>
        <v>5.4964567930318148E-2</v>
      </c>
      <c r="I77" s="230">
        <f t="shared" si="37"/>
        <v>6.5094210056751062E-2</v>
      </c>
      <c r="J77" s="230">
        <f t="shared" si="37"/>
        <v>7.5092733281590746E-2</v>
      </c>
      <c r="K77" s="230">
        <f t="shared" si="37"/>
        <v>8.493883749747233E-2</v>
      </c>
      <c r="L77" s="230">
        <f t="shared" si="37"/>
        <v>9.4611291474904852E-2</v>
      </c>
      <c r="M77" s="230">
        <f t="shared" si="37"/>
        <v>0.10408899918815628</v>
      </c>
      <c r="N77" s="230">
        <f t="shared" si="37"/>
        <v>0.12149283059407329</v>
      </c>
      <c r="O77" s="230">
        <f t="shared" si="37"/>
        <v>0.13808207385307825</v>
      </c>
      <c r="P77" s="230">
        <f t="shared" si="37"/>
        <v>0.15375090485827442</v>
      </c>
      <c r="Q77" s="230">
        <f t="shared" si="37"/>
        <v>0.16840073708860692</v>
      </c>
      <c r="R77" s="230">
        <f t="shared" si="37"/>
        <v>0.18194126764653756</v>
      </c>
      <c r="S77" s="230">
        <f t="shared" si="36"/>
        <v>0.19489660768179895</v>
      </c>
      <c r="T77" s="230">
        <f t="shared" si="36"/>
        <v>0.20726041725410838</v>
      </c>
      <c r="U77" s="230">
        <f t="shared" si="36"/>
        <v>0.2190269132595129</v>
      </c>
      <c r="V77" s="230">
        <f t="shared" si="36"/>
        <v>0.23019087847407432</v>
      </c>
      <c r="W77" s="230">
        <f t="shared" si="36"/>
        <v>0.24074767002964992</v>
      </c>
      <c r="X77" s="230">
        <f t="shared" si="36"/>
        <v>0.26334747498680317</v>
      </c>
      <c r="Y77" s="230">
        <f t="shared" si="36"/>
        <v>0.28490174129485474</v>
      </c>
      <c r="Z77" s="230">
        <f t="shared" si="36"/>
        <v>0.3054035366965458</v>
      </c>
      <c r="AA77" s="230">
        <f t="shared" si="36"/>
        <v>0.32484689766323915</v>
      </c>
      <c r="AB77" s="230">
        <f t="shared" si="36"/>
        <v>0.34322684006951426</v>
      </c>
      <c r="AC77" s="230">
        <f t="shared" si="36"/>
        <v>0.36054411636327371</v>
      </c>
      <c r="AD77" s="230">
        <f t="shared" si="36"/>
        <v>0.37679619672915471</v>
      </c>
      <c r="AE77" s="230">
        <f t="shared" si="36"/>
        <v>0.3919814970943219</v>
      </c>
      <c r="AF77" s="230">
        <f t="shared" si="36"/>
        <v>0.40609938568672305</v>
      </c>
      <c r="AG77" s="230">
        <f>AG73-$C73</f>
        <v>0.41915018871443283</v>
      </c>
      <c r="AH77" s="245"/>
      <c r="AI77" s="133"/>
      <c r="AJ77" s="211"/>
      <c r="AL77" s="108"/>
      <c r="AM77" s="2"/>
      <c r="AN77" s="2"/>
      <c r="AO77" s="2"/>
      <c r="BC77" s="1"/>
      <c r="BD77" s="2"/>
      <c r="BE77" s="2"/>
      <c r="BF77" s="2"/>
      <c r="BG77" s="2"/>
      <c r="BH77" s="2"/>
      <c r="BI77" s="2"/>
      <c r="BJ77" s="2"/>
      <c r="BK77" s="2"/>
    </row>
    <row r="78" spans="1:63" outlineLevel="1" x14ac:dyDescent="0.2">
      <c r="A78" s="4" t="s">
        <v>745</v>
      </c>
      <c r="C78" s="230">
        <f t="shared" si="37"/>
        <v>0</v>
      </c>
      <c r="D78" s="230">
        <f t="shared" si="36"/>
        <v>1.058100843824255E-3</v>
      </c>
      <c r="E78" s="230">
        <f t="shared" si="36"/>
        <v>2.3001268064900856E-3</v>
      </c>
      <c r="F78" s="230">
        <f t="shared" si="36"/>
        <v>3.7266154444466665E-3</v>
      </c>
      <c r="G78" s="230">
        <f t="shared" si="36"/>
        <v>5.3354864084003834E-3</v>
      </c>
      <c r="H78" s="230">
        <f t="shared" si="36"/>
        <v>7.1219566576875117E-3</v>
      </c>
      <c r="I78" s="230">
        <f t="shared" si="36"/>
        <v>9.0980911536971288E-3</v>
      </c>
      <c r="J78" s="230">
        <f t="shared" si="36"/>
        <v>1.1267473313343211E-2</v>
      </c>
      <c r="K78" s="230">
        <f t="shared" si="36"/>
        <v>1.3633227866211677E-2</v>
      </c>
      <c r="L78" s="230">
        <f t="shared" si="36"/>
        <v>1.6197995959577487E-2</v>
      </c>
      <c r="M78" s="230">
        <f t="shared" si="36"/>
        <v>1.8963911416140504E-2</v>
      </c>
      <c r="N78" s="230">
        <f t="shared" si="36"/>
        <v>2.2632957718320593E-2</v>
      </c>
      <c r="O78" s="230">
        <f t="shared" si="36"/>
        <v>2.6598605524502026E-2</v>
      </c>
      <c r="P78" s="230">
        <f t="shared" si="36"/>
        <v>3.084224649441767E-2</v>
      </c>
      <c r="Q78" s="230">
        <f t="shared" si="36"/>
        <v>3.534162682135452E-2</v>
      </c>
      <c r="R78" s="230">
        <f t="shared" si="36"/>
        <v>4.0071021389687676E-2</v>
      </c>
      <c r="S78" s="230">
        <f t="shared" si="36"/>
        <v>4.5082539633541842E-2</v>
      </c>
      <c r="T78" s="230">
        <f t="shared" si="36"/>
        <v>5.0372496527818174E-2</v>
      </c>
      <c r="U78" s="230">
        <f t="shared" si="36"/>
        <v>5.5936860369184431E-2</v>
      </c>
      <c r="V78" s="230">
        <f t="shared" si="36"/>
        <v>6.1771253024397128E-2</v>
      </c>
      <c r="W78" s="230">
        <f t="shared" si="36"/>
        <v>6.7870950581744027E-2</v>
      </c>
      <c r="X78" s="230">
        <f t="shared" si="36"/>
        <v>7.6625294200533323E-2</v>
      </c>
      <c r="Y78" s="230">
        <f t="shared" si="36"/>
        <v>8.5853304935993149E-2</v>
      </c>
      <c r="Z78" s="230">
        <f t="shared" si="36"/>
        <v>9.5546655540303754E-2</v>
      </c>
      <c r="AA78" s="230">
        <f t="shared" si="36"/>
        <v>0.10569644532421658</v>
      </c>
      <c r="AB78" s="230">
        <f t="shared" si="36"/>
        <v>0.11629320272772946</v>
      </c>
      <c r="AC78" s="230">
        <f t="shared" si="36"/>
        <v>0.12732809230743786</v>
      </c>
      <c r="AD78" s="230">
        <f t="shared" si="36"/>
        <v>0.13879083784037458</v>
      </c>
      <c r="AE78" s="230">
        <f t="shared" si="36"/>
        <v>0.15067062798502104</v>
      </c>
      <c r="AF78" s="230">
        <f t="shared" si="36"/>
        <v>0.16295612038461835</v>
      </c>
      <c r="AG78" s="230">
        <f t="shared" si="36"/>
        <v>0.17563544634014303</v>
      </c>
      <c r="AH78" s="245"/>
      <c r="AI78" s="133"/>
      <c r="AJ78" s="211"/>
      <c r="AL78" s="108"/>
      <c r="AM78" s="2"/>
      <c r="AN78" s="2"/>
      <c r="AO78" s="2"/>
      <c r="BC78" s="1"/>
      <c r="BD78" s="2"/>
      <c r="BE78" s="2"/>
      <c r="BF78" s="2"/>
      <c r="BG78" s="2"/>
      <c r="BH78" s="2"/>
      <c r="BI78" s="2"/>
      <c r="BJ78" s="2"/>
      <c r="BK78" s="2"/>
    </row>
    <row r="79" spans="1:63" outlineLevel="1" x14ac:dyDescent="0.2">
      <c r="A79" s="4" t="s">
        <v>1561</v>
      </c>
      <c r="C79" s="230">
        <f t="shared" si="37"/>
        <v>0</v>
      </c>
      <c r="D79" s="230">
        <f t="shared" si="36"/>
        <v>7.2897996337629859E-4</v>
      </c>
      <c r="E79" s="230">
        <f t="shared" si="36"/>
        <v>1.5846753784788438E-3</v>
      </c>
      <c r="F79" s="230">
        <f t="shared" si="36"/>
        <v>2.5674565955279565E-3</v>
      </c>
      <c r="G79" s="230">
        <f t="shared" si="36"/>
        <v>3.6758903551507511E-3</v>
      </c>
      <c r="H79" s="230">
        <f t="shared" si="36"/>
        <v>4.9066813752120519E-3</v>
      </c>
      <c r="I79" s="230">
        <f t="shared" si="36"/>
        <v>6.2681418266763555E-3</v>
      </c>
      <c r="J79" s="230">
        <f t="shared" si="36"/>
        <v>7.7627405093239092E-3</v>
      </c>
      <c r="K79" s="230">
        <f t="shared" si="36"/>
        <v>9.3926302096990193E-3</v>
      </c>
      <c r="L79" s="230">
        <f t="shared" si="36"/>
        <v>1.1159630549678948E-2</v>
      </c>
      <c r="M79" s="230">
        <f t="shared" si="36"/>
        <v>1.3065211629209915E-2</v>
      </c>
      <c r="N79" s="230">
        <f t="shared" si="36"/>
        <v>1.5593005888708145E-2</v>
      </c>
      <c r="O79" s="230">
        <f t="shared" si="36"/>
        <v>1.8325144143191575E-2</v>
      </c>
      <c r="P79" s="230">
        <f t="shared" si="36"/>
        <v>2.1248806152240198E-2</v>
      </c>
      <c r="Q79" s="230">
        <f t="shared" si="36"/>
        <v>2.4348660126547444E-2</v>
      </c>
      <c r="R79" s="230">
        <f t="shared" si="36"/>
        <v>2.760698271398147E-2</v>
      </c>
      <c r="S79" s="230">
        <f t="shared" si="36"/>
        <v>3.1059674777490737E-2</v>
      </c>
      <c r="T79" s="230">
        <f t="shared" si="36"/>
        <v>3.4704197514202839E-2</v>
      </c>
      <c r="U79" s="230">
        <f t="shared" si="36"/>
        <v>3.8537773276822035E-2</v>
      </c>
      <c r="V79" s="230">
        <f t="shared" si="36"/>
        <v>4.2557385744711081E-2</v>
      </c>
      <c r="W79" s="230">
        <f t="shared" si="36"/>
        <v>4.6759780372703445E-2</v>
      </c>
      <c r="X79" s="230">
        <f t="shared" si="36"/>
        <v>5.2791096884599667E-2</v>
      </c>
      <c r="Y79" s="230">
        <f t="shared" si="36"/>
        <v>5.9148746977438008E-2</v>
      </c>
      <c r="Z79" s="230">
        <f t="shared" si="36"/>
        <v>6.5826993582917173E-2</v>
      </c>
      <c r="AA79" s="230">
        <f t="shared" si="36"/>
        <v>7.2819704559511811E-2</v>
      </c>
      <c r="AB79" s="230">
        <f t="shared" si="36"/>
        <v>8.0120354463542501E-2</v>
      </c>
      <c r="AC79" s="230">
        <f t="shared" si="36"/>
        <v>8.7722856104693658E-2</v>
      </c>
      <c r="AD79" s="230">
        <f t="shared" si="36"/>
        <v>9.5620129665681342E-2</v>
      </c>
      <c r="AE79" s="230">
        <f t="shared" si="36"/>
        <v>0.10380472665859414</v>
      </c>
      <c r="AF79" s="230">
        <f t="shared" si="36"/>
        <v>0.11226883275187474</v>
      </c>
      <c r="AG79" s="230">
        <f t="shared" si="36"/>
        <v>0.12100427098977271</v>
      </c>
      <c r="AH79" s="245"/>
      <c r="AI79" s="133"/>
      <c r="AJ79" s="211"/>
      <c r="AL79" s="108"/>
      <c r="AM79" s="2"/>
      <c r="AN79" s="2"/>
      <c r="AO79" s="2"/>
      <c r="BC79" s="1"/>
      <c r="BD79" s="2"/>
      <c r="BE79" s="2"/>
      <c r="BF79" s="2"/>
      <c r="BG79" s="2"/>
      <c r="BH79" s="2"/>
      <c r="BI79" s="2"/>
      <c r="BJ79" s="2"/>
      <c r="BK79" s="2"/>
    </row>
    <row r="80" spans="1:63" s="1" customFormat="1" outlineLevel="1" x14ac:dyDescent="0.2">
      <c r="A80" s="1" t="s">
        <v>1563</v>
      </c>
      <c r="B80" s="65"/>
      <c r="C80" s="300">
        <f>C42*C67</f>
        <v>3.2916733560927877E-2</v>
      </c>
      <c r="D80" s="300">
        <f t="shared" ref="D80:AG80" si="38">D42*D67</f>
        <v>3.423770582544694E-2</v>
      </c>
      <c r="E80" s="300">
        <f t="shared" si="38"/>
        <v>3.5463490405394142E-2</v>
      </c>
      <c r="F80" s="300">
        <f t="shared" si="38"/>
        <v>3.6582431933250316E-2</v>
      </c>
      <c r="G80" s="300">
        <f t="shared" si="38"/>
        <v>3.7583742654103226E-2</v>
      </c>
      <c r="H80" s="300">
        <f t="shared" si="38"/>
        <v>3.845766777527343E-2</v>
      </c>
      <c r="I80" s="300">
        <f t="shared" si="38"/>
        <v>3.9280199463220505E-2</v>
      </c>
      <c r="J80" s="300">
        <f t="shared" si="38"/>
        <v>4.0048395779776473E-2</v>
      </c>
      <c r="K80" s="300">
        <f t="shared" si="38"/>
        <v>4.0759402919603303E-2</v>
      </c>
      <c r="L80" s="300">
        <f t="shared" si="38"/>
        <v>4.1410466397953191E-2</v>
      </c>
      <c r="M80" s="300">
        <f t="shared" si="38"/>
        <v>4.199894211370591E-2</v>
      </c>
      <c r="N80" s="300">
        <f t="shared" si="38"/>
        <v>4.3772934871836526E-2</v>
      </c>
      <c r="O80" s="300">
        <f t="shared" si="38"/>
        <v>4.5363515202692606E-2</v>
      </c>
      <c r="P80" s="300">
        <f t="shared" si="38"/>
        <v>4.675936213811873E-2</v>
      </c>
      <c r="Q80" s="300">
        <f t="shared" si="38"/>
        <v>4.79508839955127E-2</v>
      </c>
      <c r="R80" s="300">
        <f t="shared" si="38"/>
        <v>4.8930331120006082E-2</v>
      </c>
      <c r="S80" s="300">
        <f t="shared" si="38"/>
        <v>4.9781413049972384E-2</v>
      </c>
      <c r="T80" s="300">
        <f t="shared" si="38"/>
        <v>5.0503908721503135E-2</v>
      </c>
      <c r="U80" s="300">
        <f t="shared" si="38"/>
        <v>5.1097731369951875E-2</v>
      </c>
      <c r="V80" s="300">
        <f t="shared" si="38"/>
        <v>5.156292970177806E-2</v>
      </c>
      <c r="W80" s="300">
        <f t="shared" si="38"/>
        <v>5.1899688921369487E-2</v>
      </c>
      <c r="X80" s="300">
        <f t="shared" si="38"/>
        <v>5.3220459975501754E-2</v>
      </c>
      <c r="Y80" s="300">
        <f t="shared" si="38"/>
        <v>5.4340491421909484E-2</v>
      </c>
      <c r="Z80" s="300">
        <f t="shared" si="38"/>
        <v>5.5260231418588858E-2</v>
      </c>
      <c r="AA80" s="300">
        <f t="shared" si="38"/>
        <v>5.5980333292050273E-2</v>
      </c>
      <c r="AB80" s="300">
        <f t="shared" si="38"/>
        <v>5.650165642810235E-2</v>
      </c>
      <c r="AC80" s="300">
        <f t="shared" si="38"/>
        <v>5.6825804189961228E-2</v>
      </c>
      <c r="AD80" s="300">
        <f t="shared" si="38"/>
        <v>5.6954054237252118E-2</v>
      </c>
      <c r="AE80" s="300">
        <f t="shared" si="38"/>
        <v>5.6887880629097838E-2</v>
      </c>
      <c r="AF80" s="300">
        <f t="shared" si="38"/>
        <v>5.6628953984292761E-2</v>
      </c>
      <c r="AG80" s="300">
        <f t="shared" si="38"/>
        <v>5.6179141448254505E-2</v>
      </c>
      <c r="AH80" s="245"/>
      <c r="AI80" s="423"/>
      <c r="AJ80" s="424"/>
      <c r="AL80" s="221"/>
      <c r="AM80" s="124"/>
      <c r="AN80" s="124"/>
      <c r="AO80" s="124"/>
      <c r="BD80" s="124"/>
      <c r="BE80" s="124"/>
      <c r="BF80" s="124"/>
      <c r="BG80" s="124"/>
      <c r="BH80" s="124"/>
      <c r="BI80" s="124"/>
      <c r="BJ80" s="124"/>
      <c r="BK80" s="124"/>
    </row>
    <row r="81" spans="1:63" outlineLevel="1" x14ac:dyDescent="0.2">
      <c r="A81" s="4" t="s">
        <v>474</v>
      </c>
      <c r="C81" s="230">
        <f>C$80*'Methanol recycling rates'!E36</f>
        <v>3.2916733560927877E-2</v>
      </c>
      <c r="D81" s="230">
        <f>D$80*'Methanol recycling rates'!F36</f>
        <v>3.3842858690002857E-2</v>
      </c>
      <c r="E81" s="230">
        <f>E$80*'Methanol recycling rates'!G36</f>
        <v>3.4645523356386369E-2</v>
      </c>
      <c r="F81" s="230">
        <f>F$80*'Methanol recycling rates'!H36</f>
        <v>3.5316768702478046E-2</v>
      </c>
      <c r="G81" s="230">
        <f>G$80*'Methanol recycling rates'!I36</f>
        <v>3.5850001123418011E-2</v>
      </c>
      <c r="H81" s="230">
        <f>H$80*'Methanol recycling rates'!J36</f>
        <v>3.6240098053408373E-2</v>
      </c>
      <c r="I81" s="230">
        <f>I$80*'Methanol recycling rates'!K36</f>
        <v>3.6562200602526296E-2</v>
      </c>
      <c r="J81" s="230">
        <f>J$80*'Methanol recycling rates'!L36</f>
        <v>3.681538241627131E-2</v>
      </c>
      <c r="K81" s="230">
        <f>K$80*'Methanol recycling rates'!M36</f>
        <v>3.6998932853701899E-2</v>
      </c>
      <c r="L81" s="230">
        <f>L$80*'Methanol recycling rates'!N36</f>
        <v>3.7112361932018369E-2</v>
      </c>
      <c r="M81" s="230">
        <f>M$80*'Methanol recycling rates'!O36</f>
        <v>3.7155404386667791E-2</v>
      </c>
      <c r="N81" s="230">
        <f>N$80*'Methanol recycling rates'!P36</f>
        <v>3.8219998633799546E-2</v>
      </c>
      <c r="O81" s="230">
        <f>O$80*'Methanol recycling rates'!Q36</f>
        <v>3.9085645725301009E-2</v>
      </c>
      <c r="P81" s="230">
        <f>P$80*'Methanol recycling rates'!R36</f>
        <v>3.9749067588471056E-2</v>
      </c>
      <c r="Q81" s="230">
        <f>Q$80*'Methanol recycling rates'!S36</f>
        <v>4.0208958471111889E-2</v>
      </c>
      <c r="R81" s="230">
        <f>R$80*'Methanol recycling rates'!T36</f>
        <v>4.0465978465554019E-2</v>
      </c>
      <c r="S81" s="230">
        <f>S$80*'Methanol recycling rates'!U36</f>
        <v>4.0595728265435956E-2</v>
      </c>
      <c r="T81" s="230">
        <f>T$80*'Methanol recycling rates'!V36</f>
        <v>4.0602471270805421E-2</v>
      </c>
      <c r="U81" s="230">
        <f>U$80*'Methanol recycling rates'!W36</f>
        <v>4.0490587500102412E-2</v>
      </c>
      <c r="V81" s="230">
        <f>V$80*'Methanol recycling rates'!X36</f>
        <v>4.0264566761184346E-2</v>
      </c>
      <c r="W81" s="230">
        <f>W$80*'Methanol recycling rates'!Y36</f>
        <v>3.9929001629693116E-2</v>
      </c>
      <c r="X81" s="230">
        <f>X$80*'Methanol recycling rates'!Z36</f>
        <v>4.0331370040999813E-2</v>
      </c>
      <c r="Y81" s="230">
        <f>Y$80*'Methanol recycling rates'!AA36</f>
        <v>4.055346595089844E-2</v>
      </c>
      <c r="Z81" s="230">
        <f>Z$80*'Methanol recycling rates'!AB36</f>
        <v>4.0602563746885152E-2</v>
      </c>
      <c r="AA81" s="230">
        <f>AA$80*'Methanol recycling rates'!AC36</f>
        <v>4.048606552474502E-2</v>
      </c>
      <c r="AB81" s="230">
        <f>AB$80*'Methanol recycling rates'!AD36</f>
        <v>4.0211489891958156E-2</v>
      </c>
      <c r="AC81" s="230">
        <f>AC$80*'Methanol recycling rates'!AE36</f>
        <v>3.9786836711511418E-2</v>
      </c>
      <c r="AD81" s="230">
        <f>AD$80*'Methanol recycling rates'!AF36</f>
        <v>3.921980759648061E-2</v>
      </c>
      <c r="AE81" s="230">
        <f>AE$80*'Methanol recycling rates'!AG36</f>
        <v>3.8518178201393104E-2</v>
      </c>
      <c r="AF81" s="230">
        <f>AF$80*'Methanol recycling rates'!AH36</f>
        <v>3.7689787003923947E-2</v>
      </c>
      <c r="AG81" s="230">
        <f>AG$80*'Methanol recycling rates'!AI36</f>
        <v>3.6742523949136595E-2</v>
      </c>
      <c r="AH81" s="245"/>
      <c r="AI81" s="133"/>
      <c r="AJ81" s="211"/>
      <c r="AL81" s="108"/>
      <c r="AM81" s="2"/>
      <c r="AN81" s="2"/>
      <c r="AO81" s="2"/>
      <c r="BC81" s="1"/>
      <c r="BD81" s="2"/>
      <c r="BE81" s="2"/>
      <c r="BF81" s="2"/>
      <c r="BG81" s="2"/>
      <c r="BH81" s="2"/>
      <c r="BI81" s="2"/>
      <c r="BJ81" s="2"/>
      <c r="BK81" s="2"/>
    </row>
    <row r="82" spans="1:63" outlineLevel="1" x14ac:dyDescent="0.2">
      <c r="A82" s="4" t="s">
        <v>745</v>
      </c>
      <c r="C82" s="230">
        <f>C$80*'Methanol recycling rates'!E37</f>
        <v>0</v>
      </c>
      <c r="D82" s="230">
        <f>D$80*'Methanol recycling rates'!F37</f>
        <v>2.3378242635229947E-4</v>
      </c>
      <c r="E82" s="230">
        <f>E$80*'Methanol recycling rates'!G37</f>
        <v>4.843046947224191E-4</v>
      </c>
      <c r="F82" s="230">
        <f>F$80*'Methanol recycling rates'!H37</f>
        <v>7.493781630251616E-4</v>
      </c>
      <c r="G82" s="230">
        <f>G$80*'Methanol recycling rates'!I37</f>
        <v>1.0265195447232587E-3</v>
      </c>
      <c r="H82" s="230">
        <f>H$80*'Methanol recycling rates'!J37</f>
        <v>1.3129861752699222E-3</v>
      </c>
      <c r="I82" s="230">
        <f>I$80*'Methanol recycling rates'!K37</f>
        <v>1.6092819510042226E-3</v>
      </c>
      <c r="J82" s="230">
        <f>J$80*'Methanol recycling rates'!L37</f>
        <v>1.9142134783365788E-3</v>
      </c>
      <c r="K82" s="230">
        <f>K$80*'Methanol recycling rates'!M37</f>
        <v>2.2265118252482023E-3</v>
      </c>
      <c r="L82" s="230">
        <f>L$80*'Methanol recycling rates'!N37</f>
        <v>2.5448362177727009E-3</v>
      </c>
      <c r="M82" s="230">
        <f>M$80*'Methanol recycling rates'!O37</f>
        <v>2.8677781863159541E-3</v>
      </c>
      <c r="N82" s="230">
        <f>N$80*'Methanol recycling rates'!P37</f>
        <v>3.2878012541431986E-3</v>
      </c>
      <c r="O82" s="230">
        <f>O$80*'Methanol recycling rates'!Q37</f>
        <v>3.7170221764354304E-3</v>
      </c>
      <c r="P82" s="230">
        <f>P$80*'Methanol recycling rates'!R37</f>
        <v>4.1506788884708521E-3</v>
      </c>
      <c r="Q82" s="230">
        <f>Q$80*'Methanol recycling rates'!S37</f>
        <v>4.5838654285730515E-3</v>
      </c>
      <c r="R82" s="230">
        <f>R$80*'Methanol recycling rates'!T37</f>
        <v>5.0116025251994763E-3</v>
      </c>
      <c r="S82" s="230">
        <f>S$80*'Methanol recycling rates'!U37</f>
        <v>5.4386912905449118E-3</v>
      </c>
      <c r="T82" s="230">
        <f>T$80*'Methanol recycling rates'!V37</f>
        <v>5.8624765480347956E-3</v>
      </c>
      <c r="U82" s="230">
        <f>U$80*'Methanol recycling rates'!W37</f>
        <v>6.2803135896436612E-3</v>
      </c>
      <c r="V82" s="230">
        <f>V$80*'Methanol recycling rates'!X37</f>
        <v>6.6895729130469535E-3</v>
      </c>
      <c r="W82" s="230">
        <f>W$80*'Methanol recycling rates'!Y37</f>
        <v>7.0876449869777015E-3</v>
      </c>
      <c r="X82" s="230">
        <f>X$80*'Methanol recycling rates'!Z37</f>
        <v>7.6314159275130758E-3</v>
      </c>
      <c r="Y82" s="230">
        <f>Y$80*'Methanol recycling rates'!AA37</f>
        <v>8.1630686345713546E-3</v>
      </c>
      <c r="Z82" s="230">
        <f>Z$80*'Methanol recycling rates'!AB37</f>
        <v>8.6785614111207308E-3</v>
      </c>
      <c r="AA82" s="230">
        <f>AA$80*'Methanol recycling rates'!AC37</f>
        <v>9.1738984230413708E-3</v>
      </c>
      <c r="AB82" s="230">
        <f>AB$80*'Methanol recycling rates'!AD37</f>
        <v>9.6451368558609692E-3</v>
      </c>
      <c r="AC82" s="230">
        <f>AC$80*'Methanol recycling rates'!AE37</f>
        <v>1.0088489448378098E-2</v>
      </c>
      <c r="AD82" s="230">
        <f>AD$80*'Methanol recycling rates'!AF37</f>
        <v>1.0500152684523777E-2</v>
      </c>
      <c r="AE82" s="230">
        <f>AE$80*'Methanol recycling rates'!AG37</f>
        <v>1.087639549439443E-2</v>
      </c>
      <c r="AF82" s="230">
        <f>AF$80*'Methanol recycling rates'!AH37</f>
        <v>1.1213565991259515E-2</v>
      </c>
      <c r="AG82" s="230">
        <f>AG$80*'Methanol recycling rates'!AI37</f>
        <v>1.1508098175550459E-2</v>
      </c>
      <c r="AH82" s="245"/>
      <c r="AI82" s="133"/>
      <c r="AJ82" s="211"/>
      <c r="AL82" s="108"/>
      <c r="AM82" s="2"/>
      <c r="AN82" s="2"/>
      <c r="AO82" s="2"/>
      <c r="BC82" s="1"/>
      <c r="BD82" s="2"/>
      <c r="BE82" s="2"/>
      <c r="BF82" s="2"/>
      <c r="BG82" s="2"/>
      <c r="BH82" s="2"/>
      <c r="BI82" s="2"/>
      <c r="BJ82" s="2"/>
      <c r="BK82" s="2"/>
    </row>
    <row r="83" spans="1:63" outlineLevel="1" x14ac:dyDescent="0.2">
      <c r="A83" s="4" t="s">
        <v>1561</v>
      </c>
      <c r="C83" s="230">
        <f>C$80*'Methanol recycling rates'!E38</f>
        <v>0</v>
      </c>
      <c r="D83" s="230">
        <f>D$80*'Methanol recycling rates'!F38</f>
        <v>1.6106470909178089E-4</v>
      </c>
      <c r="E83" s="230">
        <f>E$80*'Methanol recycling rates'!G38</f>
        <v>3.3366235428535206E-4</v>
      </c>
      <c r="F83" s="230">
        <f>F$80*'Methanol recycling rates'!H38</f>
        <v>5.1628506774711045E-4</v>
      </c>
      <c r="G83" s="230">
        <f>G$80*'Methanol recycling rates'!I38</f>
        <v>7.0722198596196058E-4</v>
      </c>
      <c r="H83" s="230">
        <f>H$80*'Methanol recycling rates'!J38</f>
        <v>9.045835465951393E-4</v>
      </c>
      <c r="I83" s="230">
        <f>I$80*'Methanol recycling rates'!K38</f>
        <v>1.1087169096899879E-3</v>
      </c>
      <c r="J83" s="230">
        <f>J$80*'Methanol recycling rates'!L38</f>
        <v>1.3187998851685908E-3</v>
      </c>
      <c r="K83" s="230">
        <f>K$80*'Methanol recycling rates'!M38</f>
        <v>1.5339582406532091E-3</v>
      </c>
      <c r="L83" s="230">
        <f>L$80*'Methanol recycling rates'!N38</f>
        <v>1.7532682481621292E-3</v>
      </c>
      <c r="M83" s="230">
        <f>M$80*'Methanol recycling rates'!O38</f>
        <v>1.975759540722172E-3</v>
      </c>
      <c r="N83" s="230">
        <f>N$80*'Methanol recycling rates'!P38</f>
        <v>2.2651349838937892E-3</v>
      </c>
      <c r="O83" s="230">
        <f>O$80*'Methanol recycling rates'!Q38</f>
        <v>2.5608473009561712E-3</v>
      </c>
      <c r="P83" s="230">
        <f>P$80*'Methanol recycling rates'!R38</f>
        <v>2.8596156611768301E-3</v>
      </c>
      <c r="Q83" s="230">
        <f>Q$80*'Methanol recycling rates'!S38</f>
        <v>3.1580600958277653E-3</v>
      </c>
      <c r="R83" s="230">
        <f>R$80*'Methanol recycling rates'!T38</f>
        <v>3.4527501292525996E-3</v>
      </c>
      <c r="S83" s="230">
        <f>S$80*'Methanol recycling rates'!U38</f>
        <v>3.7469934939915244E-3</v>
      </c>
      <c r="T83" s="230">
        <f>T$80*'Methanol recycling rates'!V38</f>
        <v>4.0389609026629265E-3</v>
      </c>
      <c r="U83" s="230">
        <f>U$80*'Methanol recycling rates'!W38</f>
        <v>4.3268302802058137E-3</v>
      </c>
      <c r="V83" s="230">
        <f>V$80*'Methanol recycling rates'!X38</f>
        <v>4.6087900275467702E-3</v>
      </c>
      <c r="W83" s="230">
        <f>W$80*'Methanol recycling rates'!Y38</f>
        <v>4.8830423046986853E-3</v>
      </c>
      <c r="X83" s="230">
        <f>X$80*'Methanol recycling rates'!Z38</f>
        <v>5.2576740069888803E-3</v>
      </c>
      <c r="Y83" s="230">
        <f>Y$80*'Methanol recycling rates'!AA38</f>
        <v>5.6239568364397068E-3</v>
      </c>
      <c r="Z83" s="230">
        <f>Z$80*'Methanol recycling rates'!AB38</f>
        <v>5.9791062605829941E-3</v>
      </c>
      <c r="AA83" s="230">
        <f>AA$80*'Methanol recycling rates'!AC38</f>
        <v>6.3203693442638997E-3</v>
      </c>
      <c r="AB83" s="230">
        <f>AB$80*'Methanol recycling rates'!AD38</f>
        <v>6.6450296802832449E-3</v>
      </c>
      <c r="AC83" s="230">
        <f>AC$80*'Methanol recycling rates'!AE38</f>
        <v>6.9504780300717311E-3</v>
      </c>
      <c r="AD83" s="230">
        <f>AD$80*'Methanol recycling rates'!AF38</f>
        <v>7.2340939562477516E-3</v>
      </c>
      <c r="AE83" s="230">
        <f>AE$80*'Methanol recycling rates'!AG38</f>
        <v>7.4933069333103239E-3</v>
      </c>
      <c r="AF83" s="230">
        <f>AF$80*'Methanol recycling rates'!AH38</f>
        <v>7.7256009891093205E-3</v>
      </c>
      <c r="AG83" s="230">
        <f>AG$80*'Methanol recycling rates'!AI38</f>
        <v>7.9285193235674421E-3</v>
      </c>
      <c r="AH83" s="245"/>
      <c r="AI83" s="133"/>
      <c r="AJ83" s="211"/>
      <c r="AL83" s="108"/>
      <c r="AM83" s="2"/>
      <c r="AN83" s="2"/>
      <c r="AO83" s="2"/>
      <c r="BC83" s="1"/>
      <c r="BD83" s="2"/>
      <c r="BE83" s="2"/>
      <c r="BF83" s="2"/>
      <c r="BG83" s="2"/>
      <c r="BH83" s="2"/>
      <c r="BI83" s="2"/>
      <c r="BJ83" s="2"/>
      <c r="BK83" s="2"/>
    </row>
    <row r="84" spans="1:63" s="1" customFormat="1" outlineLevel="1" x14ac:dyDescent="0.2">
      <c r="A84" s="1" t="s">
        <v>1564</v>
      </c>
      <c r="B84" s="65"/>
      <c r="C84" s="300">
        <f>C80-$C80</f>
        <v>0</v>
      </c>
      <c r="D84" s="300">
        <f t="shared" ref="D84:AG84" si="39">D80-$C80</f>
        <v>1.320972264519063E-3</v>
      </c>
      <c r="E84" s="300">
        <f t="shared" si="39"/>
        <v>2.546756844466265E-3</v>
      </c>
      <c r="F84" s="300">
        <f t="shared" si="39"/>
        <v>3.6656983723224387E-3</v>
      </c>
      <c r="G84" s="300">
        <f t="shared" si="39"/>
        <v>4.6670090931753491E-3</v>
      </c>
      <c r="H84" s="300">
        <f t="shared" si="39"/>
        <v>5.5409342143455526E-3</v>
      </c>
      <c r="I84" s="300">
        <f t="shared" si="39"/>
        <v>6.3634659022926282E-3</v>
      </c>
      <c r="J84" s="300">
        <f t="shared" si="39"/>
        <v>7.1316622188485959E-3</v>
      </c>
      <c r="K84" s="300">
        <f t="shared" si="39"/>
        <v>7.8426693586754262E-3</v>
      </c>
      <c r="L84" s="300">
        <f t="shared" si="39"/>
        <v>8.493732837025314E-3</v>
      </c>
      <c r="M84" s="300">
        <f t="shared" si="39"/>
        <v>9.082208552778033E-3</v>
      </c>
      <c r="N84" s="300">
        <f t="shared" si="39"/>
        <v>1.0856201310908649E-2</v>
      </c>
      <c r="O84" s="300">
        <f t="shared" si="39"/>
        <v>1.2446781641764729E-2</v>
      </c>
      <c r="P84" s="300">
        <f t="shared" si="39"/>
        <v>1.3842628577190853E-2</v>
      </c>
      <c r="Q84" s="300">
        <f t="shared" si="39"/>
        <v>1.5034150434584823E-2</v>
      </c>
      <c r="R84" s="300">
        <f t="shared" si="39"/>
        <v>1.6013597559078205E-2</v>
      </c>
      <c r="S84" s="300">
        <f t="shared" si="39"/>
        <v>1.6864679489044507E-2</v>
      </c>
      <c r="T84" s="300">
        <f t="shared" si="39"/>
        <v>1.7587175160575258E-2</v>
      </c>
      <c r="U84" s="300">
        <f t="shared" si="39"/>
        <v>1.8180997809023998E-2</v>
      </c>
      <c r="V84" s="300">
        <f t="shared" si="39"/>
        <v>1.8646196140850183E-2</v>
      </c>
      <c r="W84" s="300">
        <f t="shared" si="39"/>
        <v>1.898295536044161E-2</v>
      </c>
      <c r="X84" s="300">
        <f t="shared" si="39"/>
        <v>2.0303726414573876E-2</v>
      </c>
      <c r="Y84" s="300">
        <f t="shared" si="39"/>
        <v>2.1423757860981607E-2</v>
      </c>
      <c r="Z84" s="300">
        <f t="shared" si="39"/>
        <v>2.2343497857660981E-2</v>
      </c>
      <c r="AA84" s="300">
        <f t="shared" si="39"/>
        <v>2.3063599731122396E-2</v>
      </c>
      <c r="AB84" s="300">
        <f t="shared" si="39"/>
        <v>2.3584922867174472E-2</v>
      </c>
      <c r="AC84" s="300">
        <f t="shared" si="39"/>
        <v>2.3909070629033351E-2</v>
      </c>
      <c r="AD84" s="300">
        <f t="shared" si="39"/>
        <v>2.4037320676324241E-2</v>
      </c>
      <c r="AE84" s="300">
        <f t="shared" si="39"/>
        <v>2.3971147068169961E-2</v>
      </c>
      <c r="AF84" s="300">
        <f t="shared" si="39"/>
        <v>2.3712220423364884E-2</v>
      </c>
      <c r="AG84" s="300">
        <f t="shared" si="39"/>
        <v>2.3262407887326628E-2</v>
      </c>
      <c r="AH84" s="245"/>
      <c r="AI84" s="423"/>
      <c r="AJ84" s="424"/>
      <c r="AL84" s="221"/>
      <c r="AM84" s="124"/>
      <c r="AN84" s="124"/>
      <c r="AO84" s="124"/>
      <c r="BD84" s="124"/>
      <c r="BE84" s="124"/>
      <c r="BF84" s="124"/>
      <c r="BG84" s="124"/>
      <c r="BH84" s="124"/>
      <c r="BI84" s="124"/>
      <c r="BJ84" s="124"/>
      <c r="BK84" s="124"/>
    </row>
    <row r="85" spans="1:63" outlineLevel="1" x14ac:dyDescent="0.2">
      <c r="A85" s="4" t="s">
        <v>474</v>
      </c>
      <c r="C85" s="230">
        <f t="shared" ref="C85:AF87" si="40">C81-$C81</f>
        <v>0</v>
      </c>
      <c r="D85" s="230">
        <f t="shared" si="40"/>
        <v>9.2612512907497974E-4</v>
      </c>
      <c r="E85" s="230">
        <f t="shared" si="40"/>
        <v>1.7287897954584922E-3</v>
      </c>
      <c r="F85" s="230">
        <f t="shared" si="40"/>
        <v>2.4000351415501692E-3</v>
      </c>
      <c r="G85" s="230">
        <f t="shared" si="40"/>
        <v>2.9332675624901342E-3</v>
      </c>
      <c r="H85" s="230">
        <f t="shared" si="40"/>
        <v>3.3233644924804961E-3</v>
      </c>
      <c r="I85" s="230">
        <f t="shared" si="40"/>
        <v>3.6454670415984186E-3</v>
      </c>
      <c r="J85" s="230">
        <f t="shared" si="40"/>
        <v>3.8986488553434326E-3</v>
      </c>
      <c r="K85" s="230">
        <f t="shared" si="40"/>
        <v>4.0821992927740219E-3</v>
      </c>
      <c r="L85" s="230">
        <f t="shared" si="40"/>
        <v>4.1956283710904915E-3</v>
      </c>
      <c r="M85" s="230">
        <f t="shared" si="40"/>
        <v>4.2386708257399139E-3</v>
      </c>
      <c r="N85" s="230">
        <f t="shared" si="40"/>
        <v>5.3032650728716685E-3</v>
      </c>
      <c r="O85" s="230">
        <f t="shared" si="40"/>
        <v>6.1689121643731318E-3</v>
      </c>
      <c r="P85" s="230">
        <f t="shared" si="40"/>
        <v>6.8323340275431785E-3</v>
      </c>
      <c r="Q85" s="230">
        <f t="shared" si="40"/>
        <v>7.2922249101840114E-3</v>
      </c>
      <c r="R85" s="230">
        <f t="shared" si="40"/>
        <v>7.5492449046261415E-3</v>
      </c>
      <c r="S85" s="230">
        <f t="shared" si="40"/>
        <v>7.6789947045080784E-3</v>
      </c>
      <c r="T85" s="230">
        <f t="shared" si="40"/>
        <v>7.6857377098775437E-3</v>
      </c>
      <c r="U85" s="230">
        <f t="shared" si="40"/>
        <v>7.5738539391745352E-3</v>
      </c>
      <c r="V85" s="230">
        <f t="shared" si="40"/>
        <v>7.3478332002564692E-3</v>
      </c>
      <c r="W85" s="230">
        <f t="shared" si="40"/>
        <v>7.0122680687652386E-3</v>
      </c>
      <c r="X85" s="230">
        <f t="shared" si="40"/>
        <v>7.4146364800719358E-3</v>
      </c>
      <c r="Y85" s="230">
        <f t="shared" si="40"/>
        <v>7.636732389970563E-3</v>
      </c>
      <c r="Z85" s="230">
        <f t="shared" si="40"/>
        <v>7.685830185957275E-3</v>
      </c>
      <c r="AA85" s="230">
        <f t="shared" si="40"/>
        <v>7.5693319638171427E-3</v>
      </c>
      <c r="AB85" s="230">
        <f t="shared" si="40"/>
        <v>7.294756331030279E-3</v>
      </c>
      <c r="AC85" s="230">
        <f t="shared" si="40"/>
        <v>6.8701031505835411E-3</v>
      </c>
      <c r="AD85" s="230">
        <f t="shared" si="40"/>
        <v>6.3030740355527332E-3</v>
      </c>
      <c r="AE85" s="230">
        <f t="shared" si="40"/>
        <v>5.6014446404652266E-3</v>
      </c>
      <c r="AF85" s="230">
        <f t="shared" si="40"/>
        <v>4.7730534429960697E-3</v>
      </c>
      <c r="AG85" s="230">
        <f>AG81-$C81</f>
        <v>3.8257903882087177E-3</v>
      </c>
      <c r="AH85" s="245"/>
      <c r="AI85" s="133"/>
      <c r="AJ85" s="211"/>
      <c r="AL85" s="108"/>
      <c r="AM85" s="2"/>
      <c r="AN85" s="2"/>
      <c r="AO85" s="2"/>
      <c r="BC85" s="1"/>
      <c r="BD85" s="2"/>
      <c r="BE85" s="2"/>
      <c r="BF85" s="2"/>
      <c r="BG85" s="2"/>
      <c r="BH85" s="2"/>
      <c r="BI85" s="2"/>
      <c r="BJ85" s="2"/>
      <c r="BK85" s="2"/>
    </row>
    <row r="86" spans="1:63" outlineLevel="1" x14ac:dyDescent="0.2">
      <c r="A86" s="4" t="s">
        <v>745</v>
      </c>
      <c r="C86" s="230">
        <f t="shared" si="40"/>
        <v>0</v>
      </c>
      <c r="D86" s="230">
        <f t="shared" si="40"/>
        <v>2.3378242635229947E-4</v>
      </c>
      <c r="E86" s="230">
        <f t="shared" si="40"/>
        <v>4.843046947224191E-4</v>
      </c>
      <c r="F86" s="230">
        <f t="shared" si="40"/>
        <v>7.493781630251616E-4</v>
      </c>
      <c r="G86" s="230">
        <f t="shared" si="40"/>
        <v>1.0265195447232587E-3</v>
      </c>
      <c r="H86" s="230">
        <f t="shared" si="40"/>
        <v>1.3129861752699222E-3</v>
      </c>
      <c r="I86" s="230">
        <f t="shared" si="40"/>
        <v>1.6092819510042226E-3</v>
      </c>
      <c r="J86" s="230">
        <f t="shared" si="40"/>
        <v>1.9142134783365788E-3</v>
      </c>
      <c r="K86" s="230">
        <f t="shared" si="40"/>
        <v>2.2265118252482023E-3</v>
      </c>
      <c r="L86" s="230">
        <f t="shared" si="40"/>
        <v>2.5448362177727009E-3</v>
      </c>
      <c r="M86" s="230">
        <f t="shared" si="40"/>
        <v>2.8677781863159541E-3</v>
      </c>
      <c r="N86" s="230">
        <f t="shared" si="40"/>
        <v>3.2878012541431986E-3</v>
      </c>
      <c r="O86" s="230">
        <f t="shared" si="40"/>
        <v>3.7170221764354304E-3</v>
      </c>
      <c r="P86" s="230">
        <f t="shared" si="40"/>
        <v>4.1506788884708521E-3</v>
      </c>
      <c r="Q86" s="230">
        <f t="shared" si="40"/>
        <v>4.5838654285730515E-3</v>
      </c>
      <c r="R86" s="230">
        <f t="shared" si="40"/>
        <v>5.0116025251994763E-3</v>
      </c>
      <c r="S86" s="230">
        <f t="shared" si="40"/>
        <v>5.4386912905449118E-3</v>
      </c>
      <c r="T86" s="230">
        <f t="shared" si="40"/>
        <v>5.8624765480347956E-3</v>
      </c>
      <c r="U86" s="230">
        <f t="shared" si="40"/>
        <v>6.2803135896436612E-3</v>
      </c>
      <c r="V86" s="230">
        <f t="shared" si="40"/>
        <v>6.6895729130469535E-3</v>
      </c>
      <c r="W86" s="230">
        <f t="shared" si="40"/>
        <v>7.0876449869777015E-3</v>
      </c>
      <c r="X86" s="230">
        <f t="shared" si="40"/>
        <v>7.6314159275130758E-3</v>
      </c>
      <c r="Y86" s="230">
        <f t="shared" si="40"/>
        <v>8.1630686345713546E-3</v>
      </c>
      <c r="Z86" s="230">
        <f t="shared" si="40"/>
        <v>8.6785614111207308E-3</v>
      </c>
      <c r="AA86" s="230">
        <f t="shared" si="40"/>
        <v>9.1738984230413708E-3</v>
      </c>
      <c r="AB86" s="230">
        <f t="shared" si="40"/>
        <v>9.6451368558609692E-3</v>
      </c>
      <c r="AC86" s="230">
        <f t="shared" si="40"/>
        <v>1.0088489448378098E-2</v>
      </c>
      <c r="AD86" s="230">
        <f t="shared" si="40"/>
        <v>1.0500152684523777E-2</v>
      </c>
      <c r="AE86" s="230">
        <f t="shared" si="40"/>
        <v>1.087639549439443E-2</v>
      </c>
      <c r="AF86" s="230">
        <f t="shared" si="40"/>
        <v>1.1213565991259515E-2</v>
      </c>
      <c r="AG86" s="230">
        <f t="shared" ref="AG86:AG87" si="41">AG82-$C82</f>
        <v>1.1508098175550459E-2</v>
      </c>
      <c r="AH86" s="245"/>
      <c r="AI86" s="133"/>
      <c r="AJ86" s="211"/>
      <c r="AL86" s="108"/>
      <c r="AM86" s="2"/>
      <c r="AN86" s="2"/>
      <c r="AO86" s="2"/>
      <c r="BC86" s="1"/>
      <c r="BD86" s="2"/>
      <c r="BE86" s="2"/>
      <c r="BF86" s="2"/>
      <c r="BG86" s="2"/>
      <c r="BH86" s="2"/>
      <c r="BI86" s="2"/>
      <c r="BJ86" s="2"/>
      <c r="BK86" s="2"/>
    </row>
    <row r="87" spans="1:63" outlineLevel="1" x14ac:dyDescent="0.2">
      <c r="A87" s="4" t="s">
        <v>1561</v>
      </c>
      <c r="C87" s="230">
        <f t="shared" si="40"/>
        <v>0</v>
      </c>
      <c r="D87" s="230">
        <f t="shared" si="40"/>
        <v>1.6106470909178089E-4</v>
      </c>
      <c r="E87" s="230">
        <f t="shared" si="40"/>
        <v>3.3366235428535206E-4</v>
      </c>
      <c r="F87" s="230">
        <f t="shared" si="40"/>
        <v>5.1628506774711045E-4</v>
      </c>
      <c r="G87" s="230">
        <f t="shared" si="40"/>
        <v>7.0722198596196058E-4</v>
      </c>
      <c r="H87" s="230">
        <f t="shared" si="40"/>
        <v>9.045835465951393E-4</v>
      </c>
      <c r="I87" s="230">
        <f t="shared" si="40"/>
        <v>1.1087169096899879E-3</v>
      </c>
      <c r="J87" s="230">
        <f t="shared" si="40"/>
        <v>1.3187998851685908E-3</v>
      </c>
      <c r="K87" s="230">
        <f t="shared" si="40"/>
        <v>1.5339582406532091E-3</v>
      </c>
      <c r="L87" s="230">
        <f t="shared" si="40"/>
        <v>1.7532682481621292E-3</v>
      </c>
      <c r="M87" s="230">
        <f t="shared" si="40"/>
        <v>1.975759540722172E-3</v>
      </c>
      <c r="N87" s="230">
        <f t="shared" si="40"/>
        <v>2.2651349838937892E-3</v>
      </c>
      <c r="O87" s="230">
        <f t="shared" si="40"/>
        <v>2.5608473009561712E-3</v>
      </c>
      <c r="P87" s="230">
        <f t="shared" si="40"/>
        <v>2.8596156611768301E-3</v>
      </c>
      <c r="Q87" s="230">
        <f t="shared" si="40"/>
        <v>3.1580600958277653E-3</v>
      </c>
      <c r="R87" s="230">
        <f t="shared" si="40"/>
        <v>3.4527501292525996E-3</v>
      </c>
      <c r="S87" s="230">
        <f t="shared" si="40"/>
        <v>3.7469934939915244E-3</v>
      </c>
      <c r="T87" s="230">
        <f t="shared" si="40"/>
        <v>4.0389609026629265E-3</v>
      </c>
      <c r="U87" s="230">
        <f t="shared" si="40"/>
        <v>4.3268302802058137E-3</v>
      </c>
      <c r="V87" s="230">
        <f t="shared" si="40"/>
        <v>4.6087900275467702E-3</v>
      </c>
      <c r="W87" s="230">
        <f t="shared" si="40"/>
        <v>4.8830423046986853E-3</v>
      </c>
      <c r="X87" s="230">
        <f t="shared" si="40"/>
        <v>5.2576740069888803E-3</v>
      </c>
      <c r="Y87" s="230">
        <f t="shared" si="40"/>
        <v>5.6239568364397068E-3</v>
      </c>
      <c r="Z87" s="230">
        <f t="shared" si="40"/>
        <v>5.9791062605829941E-3</v>
      </c>
      <c r="AA87" s="230">
        <f t="shared" si="40"/>
        <v>6.3203693442638997E-3</v>
      </c>
      <c r="AB87" s="230">
        <f t="shared" si="40"/>
        <v>6.6450296802832449E-3</v>
      </c>
      <c r="AC87" s="230">
        <f t="shared" si="40"/>
        <v>6.9504780300717311E-3</v>
      </c>
      <c r="AD87" s="230">
        <f t="shared" si="40"/>
        <v>7.2340939562477516E-3</v>
      </c>
      <c r="AE87" s="230">
        <f t="shared" si="40"/>
        <v>7.4933069333103239E-3</v>
      </c>
      <c r="AF87" s="230">
        <f t="shared" si="40"/>
        <v>7.7256009891093205E-3</v>
      </c>
      <c r="AG87" s="230">
        <f t="shared" si="41"/>
        <v>7.9285193235674421E-3</v>
      </c>
      <c r="AH87" s="245"/>
      <c r="AI87" s="133"/>
      <c r="AJ87" s="211"/>
      <c r="AL87" s="108"/>
      <c r="AM87" s="2"/>
      <c r="AN87" s="2"/>
      <c r="AO87" s="2"/>
      <c r="BC87" s="1"/>
      <c r="BD87" s="2"/>
      <c r="BE87" s="2"/>
      <c r="BF87" s="2"/>
      <c r="BG87" s="2"/>
      <c r="BH87" s="2"/>
      <c r="BI87" s="2"/>
      <c r="BJ87" s="2"/>
      <c r="BK87" s="2"/>
    </row>
    <row r="88" spans="1:63" s="1" customFormat="1" outlineLevel="1" x14ac:dyDescent="0.2">
      <c r="A88" s="1" t="s">
        <v>1565</v>
      </c>
      <c r="B88" s="65"/>
      <c r="C88" s="300">
        <f>C50*C69</f>
        <v>6.8305555721469736E-4</v>
      </c>
      <c r="D88" s="300">
        <f t="shared" ref="D88:AG88" si="42">D50*D69</f>
        <v>7.4938155655608781E-4</v>
      </c>
      <c r="E88" s="300">
        <f t="shared" si="42"/>
        <v>8.1783999035106147E-4</v>
      </c>
      <c r="F88" s="300">
        <f t="shared" si="42"/>
        <v>8.8835994992713329E-4</v>
      </c>
      <c r="G88" s="300">
        <f t="shared" si="42"/>
        <v>9.608705266118191E-4</v>
      </c>
      <c r="H88" s="300">
        <f t="shared" si="42"/>
        <v>1.0353008117326336E-3</v>
      </c>
      <c r="I88" s="300">
        <f t="shared" si="42"/>
        <v>1.1115798966170925E-3</v>
      </c>
      <c r="J88" s="300">
        <f t="shared" si="42"/>
        <v>1.1896368725927105E-3</v>
      </c>
      <c r="K88" s="300">
        <f t="shared" si="42"/>
        <v>1.2694008309870033E-3</v>
      </c>
      <c r="L88" s="300">
        <f t="shared" si="42"/>
        <v>1.3508008631274865E-3</v>
      </c>
      <c r="M88" s="300">
        <f t="shared" si="42"/>
        <v>1.4337660603416743E-3</v>
      </c>
      <c r="N88" s="300">
        <f t="shared" si="42"/>
        <v>1.623263380775679E-3</v>
      </c>
      <c r="O88" s="300">
        <f t="shared" si="42"/>
        <v>1.8225045272925566E-3</v>
      </c>
      <c r="P88" s="300">
        <f t="shared" si="42"/>
        <v>2.0311782000763615E-3</v>
      </c>
      <c r="Q88" s="300">
        <f t="shared" si="42"/>
        <v>2.2489730993111474E-3</v>
      </c>
      <c r="R88" s="300">
        <f t="shared" si="42"/>
        <v>2.4755779251809679E-3</v>
      </c>
      <c r="S88" s="300">
        <f t="shared" si="42"/>
        <v>2.7106813778698764E-3</v>
      </c>
      <c r="T88" s="300">
        <f t="shared" si="42"/>
        <v>2.9539721575619266E-3</v>
      </c>
      <c r="U88" s="300">
        <f t="shared" si="42"/>
        <v>3.2051389644411734E-3</v>
      </c>
      <c r="V88" s="300">
        <f t="shared" si="42"/>
        <v>3.4638704986916691E-3</v>
      </c>
      <c r="W88" s="300">
        <f t="shared" si="42"/>
        <v>3.7298554604974668E-3</v>
      </c>
      <c r="X88" s="300">
        <f t="shared" si="42"/>
        <v>4.2199422756508016E-3</v>
      </c>
      <c r="Y88" s="300">
        <f t="shared" si="42"/>
        <v>4.7346184826602246E-3</v>
      </c>
      <c r="Z88" s="300">
        <f t="shared" si="42"/>
        <v>5.2730048565708893E-3</v>
      </c>
      <c r="AA88" s="300">
        <f t="shared" si="42"/>
        <v>5.8342221724279461E-3</v>
      </c>
      <c r="AB88" s="300">
        <f t="shared" si="42"/>
        <v>6.4173912052765498E-3</v>
      </c>
      <c r="AC88" s="300">
        <f t="shared" si="42"/>
        <v>7.0216327301618467E-3</v>
      </c>
      <c r="AD88" s="300">
        <f t="shared" si="42"/>
        <v>7.6460675221289949E-3</v>
      </c>
      <c r="AE88" s="300">
        <f t="shared" si="42"/>
        <v>8.2898163562231397E-3</v>
      </c>
      <c r="AF88" s="300">
        <f t="shared" si="42"/>
        <v>8.952000007489436E-3</v>
      </c>
      <c r="AG88" s="300">
        <f t="shared" si="42"/>
        <v>9.6317392509730412E-3</v>
      </c>
      <c r="AH88" s="245"/>
      <c r="AI88" s="423"/>
      <c r="AJ88" s="424"/>
      <c r="AL88" s="221"/>
      <c r="AM88" s="124"/>
      <c r="AN88" s="124"/>
      <c r="AO88" s="124"/>
      <c r="BD88" s="124"/>
      <c r="BE88" s="124"/>
      <c r="BF88" s="124"/>
      <c r="BG88" s="124"/>
      <c r="BH88" s="124"/>
      <c r="BI88" s="124"/>
      <c r="BJ88" s="124"/>
      <c r="BK88" s="124"/>
    </row>
    <row r="89" spans="1:63" outlineLevel="1" x14ac:dyDescent="0.2">
      <c r="A89" s="4" t="s">
        <v>474</v>
      </c>
      <c r="C89" s="230">
        <f>C$88*'Methanol recycling rates'!E44</f>
        <v>0</v>
      </c>
      <c r="D89" s="230">
        <f>D$88*'Methanol recycling rates'!F44</f>
        <v>1.2489692609268131E-5</v>
      </c>
      <c r="E89" s="230">
        <f>E$88*'Methanol recycling rates'!G44</f>
        <v>2.7261333011702048E-5</v>
      </c>
      <c r="F89" s="230">
        <f>F$88*'Methanol recycling rates'!H44</f>
        <v>4.4417997496356664E-5</v>
      </c>
      <c r="G89" s="230">
        <f>G$88*'Methanol recycling rates'!I44</f>
        <v>6.4058035107454611E-5</v>
      </c>
      <c r="H89" s="230">
        <f>H$88*'Methanol recycling rates'!J44</f>
        <v>8.6275067644386128E-5</v>
      </c>
      <c r="I89" s="230">
        <f>I$88*'Methanol recycling rates'!K44</f>
        <v>1.1115798966170925E-4</v>
      </c>
      <c r="J89" s="230">
        <f>J$88*'Methanol recycling rates'!L44</f>
        <v>1.3879096846914954E-4</v>
      </c>
      <c r="K89" s="230">
        <f>K$88*'Methanol recycling rates'!M44</f>
        <v>1.6925344413160043E-4</v>
      </c>
      <c r="L89" s="230">
        <f>L$88*'Methanol recycling rates'!N44</f>
        <v>2.0262012946912296E-4</v>
      </c>
      <c r="M89" s="230">
        <f>M$88*'Methanol recycling rates'!O44</f>
        <v>2.3896101005694572E-4</v>
      </c>
      <c r="N89" s="230">
        <f>N$88*'Methanol recycling rates'!P44</f>
        <v>2.9759828647554114E-4</v>
      </c>
      <c r="O89" s="230">
        <f>O$88*'Methanol recycling rates'!Q44</f>
        <v>3.6450090545851131E-4</v>
      </c>
      <c r="P89" s="230">
        <f>P$88*'Methanol recycling rates'!R44</f>
        <v>4.4008861001654497E-4</v>
      </c>
      <c r="Q89" s="230">
        <f>Q$88*'Methanol recycling rates'!S44</f>
        <v>5.2476038983926773E-4</v>
      </c>
      <c r="R89" s="230">
        <f>R$88*'Methanol recycling rates'!T44</f>
        <v>6.1889448129524187E-4</v>
      </c>
      <c r="S89" s="230">
        <f>S$88*'Methanol recycling rates'!U44</f>
        <v>7.2284836743196702E-4</v>
      </c>
      <c r="T89" s="230">
        <f>T$88*'Methanol recycling rates'!V44</f>
        <v>8.369587779758792E-4</v>
      </c>
      <c r="U89" s="230">
        <f>U$88*'Methanol recycling rates'!W44</f>
        <v>9.6154168933235194E-4</v>
      </c>
      <c r="V89" s="230">
        <f>V$88*'Methanol recycling rates'!X44</f>
        <v>1.0968923245856953E-3</v>
      </c>
      <c r="W89" s="230">
        <f>W$88*'Methanol recycling rates'!Y44</f>
        <v>1.2432851534991555E-3</v>
      </c>
      <c r="X89" s="230">
        <f>X$88*'Methanol recycling rates'!Z44</f>
        <v>1.4769797964777804E-3</v>
      </c>
      <c r="Y89" s="230">
        <f>Y$88*'Methanol recycling rates'!AA44</f>
        <v>1.7360267769754155E-3</v>
      </c>
      <c r="Z89" s="230">
        <f>Z$88*'Methanol recycling rates'!AB44</f>
        <v>2.0213185283521739E-3</v>
      </c>
      <c r="AA89" s="230">
        <f>AA$88*'Methanol recycling rates'!AC44</f>
        <v>2.3336888689711784E-3</v>
      </c>
      <c r="AB89" s="230">
        <f>AB$88*'Methanol recycling rates'!AD44</f>
        <v>2.6739130021985621E-3</v>
      </c>
      <c r="AC89" s="230">
        <f>AC$88*'Methanol recycling rates'!AE44</f>
        <v>3.0427075164034664E-3</v>
      </c>
      <c r="AD89" s="230">
        <f>AD$88*'Methanol recycling rates'!AF44</f>
        <v>3.4407303849580476E-3</v>
      </c>
      <c r="AE89" s="230">
        <f>AE$88*'Methanol recycling rates'!AG44</f>
        <v>3.868580966237465E-3</v>
      </c>
      <c r="AF89" s="230">
        <f>AF$88*'Methanol recycling rates'!AH44</f>
        <v>4.3268000036198939E-3</v>
      </c>
      <c r="AG89" s="230">
        <f>AG$88*'Methanol recycling rates'!AI44</f>
        <v>4.8158696254865206E-3</v>
      </c>
      <c r="AH89" s="245"/>
      <c r="AI89" s="133"/>
      <c r="AJ89" s="211"/>
      <c r="AL89" s="108"/>
      <c r="AM89" s="2"/>
      <c r="AN89" s="2"/>
      <c r="AO89" s="2"/>
      <c r="BC89" s="1"/>
      <c r="BD89" s="2"/>
      <c r="BE89" s="2"/>
      <c r="BF89" s="2"/>
      <c r="BG89" s="2"/>
      <c r="BH89" s="2"/>
      <c r="BI89" s="2"/>
      <c r="BJ89" s="2"/>
      <c r="BK89" s="2"/>
    </row>
    <row r="90" spans="1:63" outlineLevel="1" x14ac:dyDescent="0.2">
      <c r="A90" s="4" t="s">
        <v>745</v>
      </c>
      <c r="C90" s="230">
        <f>C$88*'Methanol recycling rates'!E45</f>
        <v>6.8305555721469736E-4</v>
      </c>
      <c r="D90" s="230">
        <f>D$88*'Methanol recycling rates'!F45</f>
        <v>7.4073929639796479E-4</v>
      </c>
      <c r="E90" s="230">
        <f>E$88*'Methanol recycling rates'!G45</f>
        <v>7.9897647308807237E-4</v>
      </c>
      <c r="F90" s="230">
        <f>F$88*'Methanol recycling rates'!H45</f>
        <v>8.5762485483107667E-4</v>
      </c>
      <c r="G90" s="230">
        <f>G$88*'Methanol recycling rates'!I45</f>
        <v>9.1654548019666623E-4</v>
      </c>
      <c r="H90" s="230">
        <f>H$88*'Methanol recycling rates'!J45</f>
        <v>9.7560265877815995E-4</v>
      </c>
      <c r="I90" s="230">
        <f>I$88*'Methanol recycling rates'!K45</f>
        <v>1.0346639711925089E-3</v>
      </c>
      <c r="J90" s="230">
        <f>J$88*'Methanol recycling rates'!L45</f>
        <v>1.093600269080294E-3</v>
      </c>
      <c r="K90" s="230">
        <f>K$88*'Methanol recycling rates'!M45</f>
        <v>1.1522856751057292E-3</v>
      </c>
      <c r="L90" s="230">
        <f>L$88*'Methanol recycling rates'!N45</f>
        <v>1.210597582956659E-3</v>
      </c>
      <c r="M90" s="230">
        <f>M$88*'Methanol recycling rates'!O45</f>
        <v>1.2684166573445582E-3</v>
      </c>
      <c r="N90" s="230">
        <f>N$88*'Methanol recycling rates'!P45</f>
        <v>1.4173398328714874E-3</v>
      </c>
      <c r="O90" s="230">
        <f>O$88*'Methanol recycling rates'!Q45</f>
        <v>1.5702876192073821E-3</v>
      </c>
      <c r="P90" s="230">
        <f>P$88*'Methanol recycling rates'!R45</f>
        <v>1.7266582747767266E-3</v>
      </c>
      <c r="Q90" s="230">
        <f>Q$88*'Methanol recycling rates'!S45</f>
        <v>1.8858644182933556E-3</v>
      </c>
      <c r="R90" s="230">
        <f>R$88*'Methanol recycling rates'!T45</f>
        <v>2.0473330287604538E-3</v>
      </c>
      <c r="S90" s="230">
        <f>S$88*'Methanol recycling rates'!U45</f>
        <v>2.2105054454705573E-3</v>
      </c>
      <c r="T90" s="230">
        <f>T$88*'Methanol recycling rates'!V45</f>
        <v>2.3748373680055538E-3</v>
      </c>
      <c r="U90" s="230">
        <f>U$88*'Methanol recycling rates'!W45</f>
        <v>2.5397988562366812E-3</v>
      </c>
      <c r="V90" s="230">
        <f>V$88*'Methanol recycling rates'!X45</f>
        <v>2.7048743303245281E-3</v>
      </c>
      <c r="W90" s="230">
        <f>W$88*'Methanol recycling rates'!Y45</f>
        <v>2.8695625707190323E-3</v>
      </c>
      <c r="X90" s="230">
        <f>X$88*'Methanol recycling rates'!Z45</f>
        <v>3.1979440528938558E-3</v>
      </c>
      <c r="Y90" s="230">
        <f>Y$88*'Methanol recycling rates'!AA45</f>
        <v>3.5333723417459101E-3</v>
      </c>
      <c r="Z90" s="230">
        <f>Z$88*'Methanol recycling rates'!AB45</f>
        <v>3.8743506918165883E-3</v>
      </c>
      <c r="AA90" s="230">
        <f>AA$88*'Methanol recycling rates'!AC45</f>
        <v>4.219422916375907E-3</v>
      </c>
      <c r="AB90" s="230">
        <f>AB$88*'Methanol recycling rates'!AD45</f>
        <v>4.5671733874225115E-3</v>
      </c>
      <c r="AC90" s="230">
        <f>AC$88*'Methanol recycling rates'!AE45</f>
        <v>4.9162270356836657E-3</v>
      </c>
      <c r="AD90" s="230">
        <f>AD$88*'Methanol recycling rates'!AF45</f>
        <v>5.2652493506152673E-3</v>
      </c>
      <c r="AE90" s="230">
        <f>AE$88*'Methanol recycling rates'!AG45</f>
        <v>5.6129463804018313E-3</v>
      </c>
      <c r="AF90" s="230">
        <f>AF$88*'Methanol recycling rates'!AH45</f>
        <v>5.9580647319565031E-3</v>
      </c>
      <c r="AG90" s="230">
        <f>AG$88*'Methanol recycling rates'!AI45</f>
        <v>6.2993915709210523E-3</v>
      </c>
      <c r="AH90" s="245"/>
      <c r="AI90" s="133"/>
      <c r="AJ90" s="211"/>
      <c r="AL90" s="108"/>
      <c r="AM90" s="2"/>
      <c r="AN90" s="2"/>
      <c r="AO90" s="2"/>
      <c r="BC90" s="1"/>
      <c r="BD90" s="2"/>
      <c r="BE90" s="2"/>
      <c r="BF90" s="2"/>
      <c r="BG90" s="2"/>
      <c r="BH90" s="2"/>
      <c r="BI90" s="2"/>
      <c r="BJ90" s="2"/>
      <c r="BK90" s="2"/>
    </row>
    <row r="91" spans="1:63" outlineLevel="1" x14ac:dyDescent="0.2">
      <c r="A91" s="4" t="s">
        <v>1561</v>
      </c>
      <c r="C91" s="230">
        <f>C$88*'Methanol recycling rates'!E46</f>
        <v>0</v>
      </c>
      <c r="D91" s="230">
        <f>D$88*'Methanol recycling rates'!F46</f>
        <v>5.1169386012171037E-6</v>
      </c>
      <c r="E91" s="230">
        <f>E$88*'Methanol recycling rates'!G46</f>
        <v>1.1168775050932693E-5</v>
      </c>
      <c r="F91" s="230">
        <f>F$88*'Methanol recycling rates'!H46</f>
        <v>1.8197738974713682E-5</v>
      </c>
      <c r="G91" s="230">
        <f>G$88*'Methanol recycling rates'!I46</f>
        <v>2.6244123279400883E-5</v>
      </c>
      <c r="H91" s="230">
        <f>H$88*'Methanol recycling rates'!J46</f>
        <v>3.5346284153108958E-5</v>
      </c>
      <c r="I91" s="230">
        <f>I$88*'Methanol recycling rates'!K46</f>
        <v>4.5540641065226471E-5</v>
      </c>
      <c r="J91" s="230">
        <f>J$88*'Methanol recycling rates'!L46</f>
        <v>5.686167676641584E-5</v>
      </c>
      <c r="K91" s="230">
        <f>K$88*'Methanol recycling rates'!M46</f>
        <v>6.934193728861338E-5</v>
      </c>
      <c r="L91" s="230">
        <f>L$88*'Methanol recycling rates'!N46</f>
        <v>8.3012031945029301E-5</v>
      </c>
      <c r="M91" s="230">
        <f>M$88*'Methanol recycling rates'!O46</f>
        <v>9.7900633330147611E-5</v>
      </c>
      <c r="N91" s="230">
        <f>N$88*'Methanol recycling rates'!P46</f>
        <v>1.2192391016835398E-4</v>
      </c>
      <c r="O91" s="230">
        <f>O$88*'Methanol recycling rates'!Q46</f>
        <v>1.4933343931420703E-4</v>
      </c>
      <c r="P91" s="230">
        <f>P$88*'Methanol recycling rates'!R46</f>
        <v>1.8030118650627029E-4</v>
      </c>
      <c r="Q91" s="230">
        <f>Q$88*'Methanol recycling rates'!S46</f>
        <v>2.1499061499445735E-4</v>
      </c>
      <c r="R91" s="230">
        <f>R$88*'Methanol recycling rates'!T46</f>
        <v>2.5355668554003191E-4</v>
      </c>
      <c r="S91" s="230">
        <f>S$88*'Methanol recycling rates'!U46</f>
        <v>2.9614585641560764E-4</v>
      </c>
      <c r="T91" s="230">
        <f>T$88*'Methanol recycling rates'!V46</f>
        <v>3.4289608340514843E-4</v>
      </c>
      <c r="U91" s="230">
        <f>U$88*'Methanol recycling rates'!W46</f>
        <v>3.9393681980396837E-4</v>
      </c>
      <c r="V91" s="230">
        <f>V$88*'Methanol recycling rates'!X46</f>
        <v>4.4938901641873135E-4</v>
      </c>
      <c r="W91" s="230">
        <f>W$88*'Methanol recycling rates'!Y46</f>
        <v>5.0936512156745143E-4</v>
      </c>
      <c r="X91" s="230">
        <f>X$88*'Methanol recycling rates'!Z46</f>
        <v>6.0510816160573198E-4</v>
      </c>
      <c r="Y91" s="230">
        <f>Y$88*'Methanol recycling rates'!AA46</f>
        <v>7.1123787476243998E-4</v>
      </c>
      <c r="Z91" s="230">
        <f>Z$88*'Methanol recycling rates'!AB46</f>
        <v>8.2811988466437224E-4</v>
      </c>
      <c r="AA91" s="230">
        <f>AA$88*'Methanol recycling rates'!AC46</f>
        <v>9.5609580078921111E-4</v>
      </c>
      <c r="AB91" s="230">
        <f>AB$88*'Methanol recycling rates'!AD46</f>
        <v>1.0954832184655254E-3</v>
      </c>
      <c r="AC91" s="230">
        <f>AC$88*'Methanol recycling rates'!AE46</f>
        <v>1.2465757188727682E-3</v>
      </c>
      <c r="AD91" s="230">
        <f>AD$88*'Methanol recycling rates'!AF46</f>
        <v>1.4096428690412814E-3</v>
      </c>
      <c r="AE91" s="230">
        <f>AE$88*'Methanol recycling rates'!AG46</f>
        <v>1.5849302218522898E-3</v>
      </c>
      <c r="AF91" s="230">
        <f>AF$88*'Methanol recycling rates'!AH46</f>
        <v>1.7726593160379061E-3</v>
      </c>
      <c r="AG91" s="230">
        <f>AG$88*'Methanol recycling rates'!AI46</f>
        <v>1.9730276761811302E-3</v>
      </c>
      <c r="AH91" s="245"/>
      <c r="AI91" s="133"/>
      <c r="AJ91" s="211"/>
      <c r="AL91" s="108"/>
      <c r="AM91" s="2"/>
      <c r="AN91" s="2"/>
      <c r="AO91" s="2"/>
      <c r="BC91" s="1"/>
      <c r="BD91" s="2"/>
      <c r="BE91" s="2"/>
      <c r="BF91" s="2"/>
      <c r="BG91" s="2"/>
      <c r="BH91" s="2"/>
      <c r="BI91" s="2"/>
      <c r="BJ91" s="2"/>
      <c r="BK91" s="2"/>
    </row>
    <row r="92" spans="1:63" s="1" customFormat="1" outlineLevel="1" x14ac:dyDescent="0.2">
      <c r="A92" s="1" t="s">
        <v>1566</v>
      </c>
      <c r="B92" s="65"/>
      <c r="C92" s="300">
        <f>C88-$C88</f>
        <v>0</v>
      </c>
      <c r="D92" s="300">
        <f t="shared" ref="D92:AG92" si="43">D88-$C88</f>
        <v>6.6325999341390455E-5</v>
      </c>
      <c r="E92" s="300">
        <f t="shared" si="43"/>
        <v>1.3478443313636411E-4</v>
      </c>
      <c r="F92" s="300">
        <f t="shared" si="43"/>
        <v>2.0530439271243593E-4</v>
      </c>
      <c r="G92" s="300">
        <f t="shared" si="43"/>
        <v>2.7781496939712175E-4</v>
      </c>
      <c r="H92" s="300">
        <f t="shared" si="43"/>
        <v>3.5224525451793629E-4</v>
      </c>
      <c r="I92" s="300">
        <f t="shared" si="43"/>
        <v>4.2852433940239519E-4</v>
      </c>
      <c r="J92" s="300">
        <f t="shared" si="43"/>
        <v>5.0658131537801318E-4</v>
      </c>
      <c r="K92" s="300">
        <f t="shared" si="43"/>
        <v>5.8634527377230598E-4</v>
      </c>
      <c r="L92" s="300">
        <f t="shared" si="43"/>
        <v>6.677453059127891E-4</v>
      </c>
      <c r="M92" s="300">
        <f t="shared" si="43"/>
        <v>7.5071050312697696E-4</v>
      </c>
      <c r="N92" s="300">
        <f t="shared" si="43"/>
        <v>9.4020782356098165E-4</v>
      </c>
      <c r="O92" s="300">
        <f t="shared" si="43"/>
        <v>1.1394489700778591E-3</v>
      </c>
      <c r="P92" s="300">
        <f t="shared" si="43"/>
        <v>1.3481226428616643E-3</v>
      </c>
      <c r="Q92" s="300">
        <f t="shared" si="43"/>
        <v>1.5659175420964502E-3</v>
      </c>
      <c r="R92" s="300">
        <f t="shared" si="43"/>
        <v>1.7925223679662707E-3</v>
      </c>
      <c r="S92" s="300">
        <f t="shared" si="43"/>
        <v>2.0276258206551791E-3</v>
      </c>
      <c r="T92" s="300">
        <f t="shared" si="43"/>
        <v>2.2709166003472294E-3</v>
      </c>
      <c r="U92" s="300">
        <f t="shared" si="43"/>
        <v>2.5220834072264761E-3</v>
      </c>
      <c r="V92" s="300">
        <f t="shared" si="43"/>
        <v>2.7808149414769718E-3</v>
      </c>
      <c r="W92" s="300">
        <f t="shared" si="43"/>
        <v>3.0467999032827695E-3</v>
      </c>
      <c r="X92" s="300">
        <f t="shared" si="43"/>
        <v>3.5368867184361044E-3</v>
      </c>
      <c r="Y92" s="300">
        <f t="shared" si="43"/>
        <v>4.0515629254455274E-3</v>
      </c>
      <c r="Z92" s="300">
        <f t="shared" si="43"/>
        <v>4.589949299356192E-3</v>
      </c>
      <c r="AA92" s="300">
        <f t="shared" si="43"/>
        <v>5.1511666152132488E-3</v>
      </c>
      <c r="AB92" s="300">
        <f t="shared" si="43"/>
        <v>5.7343356480618526E-3</v>
      </c>
      <c r="AC92" s="300">
        <f t="shared" si="43"/>
        <v>6.3385771729471494E-3</v>
      </c>
      <c r="AD92" s="300">
        <f t="shared" si="43"/>
        <v>6.9630119649142976E-3</v>
      </c>
      <c r="AE92" s="300">
        <f t="shared" si="43"/>
        <v>7.6067607990084425E-3</v>
      </c>
      <c r="AF92" s="300">
        <f t="shared" si="43"/>
        <v>8.2689444502747379E-3</v>
      </c>
      <c r="AG92" s="300">
        <f t="shared" si="43"/>
        <v>8.9486836937583431E-3</v>
      </c>
      <c r="AH92" s="245"/>
      <c r="AI92" s="423"/>
      <c r="AJ92" s="424"/>
      <c r="AL92" s="221"/>
      <c r="AM92" s="124"/>
      <c r="AN92" s="124"/>
      <c r="AO92" s="124"/>
      <c r="BD92" s="124"/>
      <c r="BE92" s="124"/>
      <c r="BF92" s="124"/>
      <c r="BG92" s="124"/>
      <c r="BH92" s="124"/>
      <c r="BI92" s="124"/>
      <c r="BJ92" s="124"/>
      <c r="BK92" s="124"/>
    </row>
    <row r="93" spans="1:63" outlineLevel="1" x14ac:dyDescent="0.2">
      <c r="A93" s="4" t="s">
        <v>474</v>
      </c>
      <c r="C93" s="230">
        <f t="shared" ref="C93:AF95" si="44">C89-$C89</f>
        <v>0</v>
      </c>
      <c r="D93" s="230">
        <f t="shared" si="44"/>
        <v>1.2489692609268131E-5</v>
      </c>
      <c r="E93" s="230">
        <f t="shared" si="44"/>
        <v>2.7261333011702048E-5</v>
      </c>
      <c r="F93" s="230">
        <f t="shared" si="44"/>
        <v>4.4417997496356664E-5</v>
      </c>
      <c r="G93" s="230">
        <f t="shared" si="44"/>
        <v>6.4058035107454611E-5</v>
      </c>
      <c r="H93" s="230">
        <f t="shared" si="44"/>
        <v>8.6275067644386128E-5</v>
      </c>
      <c r="I93" s="230">
        <f t="shared" si="44"/>
        <v>1.1115798966170925E-4</v>
      </c>
      <c r="J93" s="230">
        <f t="shared" si="44"/>
        <v>1.3879096846914954E-4</v>
      </c>
      <c r="K93" s="230">
        <f t="shared" si="44"/>
        <v>1.6925344413160043E-4</v>
      </c>
      <c r="L93" s="230">
        <f t="shared" si="44"/>
        <v>2.0262012946912296E-4</v>
      </c>
      <c r="M93" s="230">
        <f t="shared" si="44"/>
        <v>2.3896101005694572E-4</v>
      </c>
      <c r="N93" s="230">
        <f t="shared" si="44"/>
        <v>2.9759828647554114E-4</v>
      </c>
      <c r="O93" s="230">
        <f t="shared" si="44"/>
        <v>3.6450090545851131E-4</v>
      </c>
      <c r="P93" s="230">
        <f t="shared" si="44"/>
        <v>4.4008861001654497E-4</v>
      </c>
      <c r="Q93" s="230">
        <f t="shared" si="44"/>
        <v>5.2476038983926773E-4</v>
      </c>
      <c r="R93" s="230">
        <f t="shared" si="44"/>
        <v>6.1889448129524187E-4</v>
      </c>
      <c r="S93" s="230">
        <f t="shared" si="44"/>
        <v>7.2284836743196702E-4</v>
      </c>
      <c r="T93" s="230">
        <f t="shared" si="44"/>
        <v>8.369587779758792E-4</v>
      </c>
      <c r="U93" s="230">
        <f t="shared" si="44"/>
        <v>9.6154168933235194E-4</v>
      </c>
      <c r="V93" s="230">
        <f t="shared" si="44"/>
        <v>1.0968923245856953E-3</v>
      </c>
      <c r="W93" s="230">
        <f t="shared" si="44"/>
        <v>1.2432851534991555E-3</v>
      </c>
      <c r="X93" s="230">
        <f t="shared" si="44"/>
        <v>1.4769797964777804E-3</v>
      </c>
      <c r="Y93" s="230">
        <f t="shared" si="44"/>
        <v>1.7360267769754155E-3</v>
      </c>
      <c r="Z93" s="230">
        <f t="shared" si="44"/>
        <v>2.0213185283521739E-3</v>
      </c>
      <c r="AA93" s="230">
        <f t="shared" si="44"/>
        <v>2.3336888689711784E-3</v>
      </c>
      <c r="AB93" s="230">
        <f t="shared" si="44"/>
        <v>2.6739130021985621E-3</v>
      </c>
      <c r="AC93" s="230">
        <f t="shared" si="44"/>
        <v>3.0427075164034664E-3</v>
      </c>
      <c r="AD93" s="230">
        <f t="shared" si="44"/>
        <v>3.4407303849580476E-3</v>
      </c>
      <c r="AE93" s="230">
        <f t="shared" si="44"/>
        <v>3.868580966237465E-3</v>
      </c>
      <c r="AF93" s="230">
        <f t="shared" si="44"/>
        <v>4.3268000036198939E-3</v>
      </c>
      <c r="AG93" s="230">
        <f>AG89-$C89</f>
        <v>4.8158696254865206E-3</v>
      </c>
      <c r="AH93" s="245"/>
      <c r="AI93" s="133"/>
      <c r="AJ93" s="211"/>
      <c r="AL93" s="108"/>
      <c r="AM93" s="2"/>
      <c r="AN93" s="2"/>
      <c r="AO93" s="2"/>
      <c r="BC93" s="1"/>
      <c r="BD93" s="2"/>
      <c r="BE93" s="2"/>
      <c r="BF93" s="2"/>
      <c r="BG93" s="2"/>
      <c r="BH93" s="2"/>
      <c r="BI93" s="2"/>
      <c r="BJ93" s="2"/>
      <c r="BK93" s="2"/>
    </row>
    <row r="94" spans="1:63" outlineLevel="1" x14ac:dyDescent="0.2">
      <c r="A94" s="4" t="s">
        <v>745</v>
      </c>
      <c r="C94" s="230">
        <f t="shared" si="44"/>
        <v>0</v>
      </c>
      <c r="D94" s="230">
        <f t="shared" si="44"/>
        <v>5.7683739183267435E-5</v>
      </c>
      <c r="E94" s="230">
        <f t="shared" si="44"/>
        <v>1.1592091587337501E-4</v>
      </c>
      <c r="F94" s="230">
        <f t="shared" si="44"/>
        <v>1.7456929761637931E-4</v>
      </c>
      <c r="G94" s="230">
        <f t="shared" si="44"/>
        <v>2.3348992298196888E-4</v>
      </c>
      <c r="H94" s="230">
        <f t="shared" si="44"/>
        <v>2.925471015634626E-4</v>
      </c>
      <c r="I94" s="230">
        <f t="shared" si="44"/>
        <v>3.5160841397781156E-4</v>
      </c>
      <c r="J94" s="230">
        <f t="shared" si="44"/>
        <v>4.1054471186559663E-4</v>
      </c>
      <c r="K94" s="230">
        <f t="shared" si="44"/>
        <v>4.6923011789103185E-4</v>
      </c>
      <c r="L94" s="230">
        <f t="shared" si="44"/>
        <v>5.2754202574196161E-4</v>
      </c>
      <c r="M94" s="230">
        <f t="shared" si="44"/>
        <v>5.8536110012986085E-4</v>
      </c>
      <c r="N94" s="230">
        <f t="shared" si="44"/>
        <v>7.3428427565679002E-4</v>
      </c>
      <c r="O94" s="230">
        <f t="shared" si="44"/>
        <v>8.872320619926847E-4</v>
      </c>
      <c r="P94" s="230">
        <f t="shared" si="44"/>
        <v>1.0436027175620291E-3</v>
      </c>
      <c r="Q94" s="230">
        <f t="shared" si="44"/>
        <v>1.2028088610786581E-3</v>
      </c>
      <c r="R94" s="230">
        <f t="shared" si="44"/>
        <v>1.3642774715457565E-3</v>
      </c>
      <c r="S94" s="230">
        <f t="shared" si="44"/>
        <v>1.5274498882558601E-3</v>
      </c>
      <c r="T94" s="230">
        <f t="shared" si="44"/>
        <v>1.6917818107908566E-3</v>
      </c>
      <c r="U94" s="230">
        <f t="shared" si="44"/>
        <v>1.8567432990219839E-3</v>
      </c>
      <c r="V94" s="230">
        <f t="shared" si="44"/>
        <v>2.0218187731098308E-3</v>
      </c>
      <c r="W94" s="230">
        <f t="shared" si="44"/>
        <v>2.1865070135043351E-3</v>
      </c>
      <c r="X94" s="230">
        <f t="shared" si="44"/>
        <v>2.5148884956791586E-3</v>
      </c>
      <c r="Y94" s="230">
        <f t="shared" si="44"/>
        <v>2.8503167845312129E-3</v>
      </c>
      <c r="Z94" s="230">
        <f t="shared" si="44"/>
        <v>3.1912951346018911E-3</v>
      </c>
      <c r="AA94" s="230">
        <f t="shared" si="44"/>
        <v>3.5363673591612098E-3</v>
      </c>
      <c r="AB94" s="230">
        <f t="shared" si="44"/>
        <v>3.8841178302078143E-3</v>
      </c>
      <c r="AC94" s="230">
        <f t="shared" si="44"/>
        <v>4.2331714784689684E-3</v>
      </c>
      <c r="AD94" s="230">
        <f t="shared" si="44"/>
        <v>4.5821937934005701E-3</v>
      </c>
      <c r="AE94" s="230">
        <f t="shared" si="44"/>
        <v>4.929890823187134E-3</v>
      </c>
      <c r="AF94" s="230">
        <f t="shared" si="44"/>
        <v>5.2750091747418059E-3</v>
      </c>
      <c r="AG94" s="230">
        <f t="shared" ref="AG94:AG95" si="45">AG90-$C90</f>
        <v>5.616336013706355E-3</v>
      </c>
      <c r="AH94" s="245"/>
      <c r="AI94" s="133"/>
      <c r="AJ94" s="211"/>
      <c r="AL94" s="108"/>
      <c r="AM94" s="2"/>
      <c r="AN94" s="2"/>
      <c r="AO94" s="2"/>
      <c r="BC94" s="1"/>
      <c r="BD94" s="2"/>
      <c r="BE94" s="2"/>
      <c r="BF94" s="2"/>
      <c r="BG94" s="2"/>
      <c r="BH94" s="2"/>
      <c r="BI94" s="2"/>
      <c r="BJ94" s="2"/>
      <c r="BK94" s="2"/>
    </row>
    <row r="95" spans="1:63" outlineLevel="1" x14ac:dyDescent="0.2">
      <c r="A95" s="4" t="s">
        <v>1561</v>
      </c>
      <c r="C95" s="230">
        <f t="shared" si="44"/>
        <v>0</v>
      </c>
      <c r="D95" s="230">
        <f t="shared" si="44"/>
        <v>5.1169386012171037E-6</v>
      </c>
      <c r="E95" s="230">
        <f t="shared" si="44"/>
        <v>1.1168775050932693E-5</v>
      </c>
      <c r="F95" s="230">
        <f t="shared" si="44"/>
        <v>1.8197738974713682E-5</v>
      </c>
      <c r="G95" s="230">
        <f t="shared" si="44"/>
        <v>2.6244123279400883E-5</v>
      </c>
      <c r="H95" s="230">
        <f t="shared" si="44"/>
        <v>3.5346284153108958E-5</v>
      </c>
      <c r="I95" s="230">
        <f t="shared" si="44"/>
        <v>4.5540641065226471E-5</v>
      </c>
      <c r="J95" s="230">
        <f t="shared" si="44"/>
        <v>5.686167676641584E-5</v>
      </c>
      <c r="K95" s="230">
        <f t="shared" si="44"/>
        <v>6.934193728861338E-5</v>
      </c>
      <c r="L95" s="230">
        <f t="shared" si="44"/>
        <v>8.3012031945029301E-5</v>
      </c>
      <c r="M95" s="230">
        <f t="shared" si="44"/>
        <v>9.7900633330147611E-5</v>
      </c>
      <c r="N95" s="230">
        <f t="shared" si="44"/>
        <v>1.2192391016835398E-4</v>
      </c>
      <c r="O95" s="230">
        <f t="shared" si="44"/>
        <v>1.4933343931420703E-4</v>
      </c>
      <c r="P95" s="230">
        <f t="shared" si="44"/>
        <v>1.8030118650627029E-4</v>
      </c>
      <c r="Q95" s="230">
        <f t="shared" si="44"/>
        <v>2.1499061499445735E-4</v>
      </c>
      <c r="R95" s="230">
        <f t="shared" si="44"/>
        <v>2.5355668554003191E-4</v>
      </c>
      <c r="S95" s="230">
        <f t="shared" si="44"/>
        <v>2.9614585641560764E-4</v>
      </c>
      <c r="T95" s="230">
        <f t="shared" si="44"/>
        <v>3.4289608340514843E-4</v>
      </c>
      <c r="U95" s="230">
        <f t="shared" si="44"/>
        <v>3.9393681980396837E-4</v>
      </c>
      <c r="V95" s="230">
        <f t="shared" si="44"/>
        <v>4.4938901641873135E-4</v>
      </c>
      <c r="W95" s="230">
        <f t="shared" si="44"/>
        <v>5.0936512156745143E-4</v>
      </c>
      <c r="X95" s="230">
        <f t="shared" si="44"/>
        <v>6.0510816160573198E-4</v>
      </c>
      <c r="Y95" s="230">
        <f t="shared" si="44"/>
        <v>7.1123787476243998E-4</v>
      </c>
      <c r="Z95" s="230">
        <f t="shared" si="44"/>
        <v>8.2811988466437224E-4</v>
      </c>
      <c r="AA95" s="230">
        <f t="shared" si="44"/>
        <v>9.5609580078921111E-4</v>
      </c>
      <c r="AB95" s="230">
        <f t="shared" si="44"/>
        <v>1.0954832184655254E-3</v>
      </c>
      <c r="AC95" s="230">
        <f t="shared" si="44"/>
        <v>1.2465757188727682E-3</v>
      </c>
      <c r="AD95" s="230">
        <f t="shared" si="44"/>
        <v>1.4096428690412814E-3</v>
      </c>
      <c r="AE95" s="230">
        <f t="shared" si="44"/>
        <v>1.5849302218522898E-3</v>
      </c>
      <c r="AF95" s="230">
        <f t="shared" si="44"/>
        <v>1.7726593160379061E-3</v>
      </c>
      <c r="AG95" s="230">
        <f t="shared" si="45"/>
        <v>1.9730276761811302E-3</v>
      </c>
      <c r="AH95" s="245"/>
      <c r="AI95" s="133"/>
      <c r="AJ95" s="211"/>
      <c r="AL95" s="108"/>
      <c r="AM95" s="2"/>
      <c r="AN95" s="2"/>
      <c r="AO95" s="2"/>
      <c r="BC95" s="1"/>
      <c r="BD95" s="2"/>
      <c r="BE95" s="2"/>
      <c r="BF95" s="2"/>
      <c r="BG95" s="2"/>
      <c r="BH95" s="2"/>
      <c r="BI95" s="2"/>
      <c r="BJ95" s="2"/>
      <c r="BK95" s="2"/>
    </row>
    <row r="96" spans="1:63" s="1" customFormat="1" outlineLevel="1" x14ac:dyDescent="0.2">
      <c r="A96" s="1" t="s">
        <v>1567</v>
      </c>
      <c r="B96" s="65"/>
      <c r="C96" s="300">
        <f>C42*C68</f>
        <v>3.9476351575344112E-2</v>
      </c>
      <c r="D96" s="300">
        <f t="shared" ref="D96:AG96" si="46">D42*D68</f>
        <v>4.1849022458980457E-2</v>
      </c>
      <c r="E96" s="300">
        <f t="shared" si="46"/>
        <v>4.4195972139751301E-2</v>
      </c>
      <c r="F96" s="300">
        <f t="shared" si="46"/>
        <v>4.6500844294004078E-2</v>
      </c>
      <c r="G96" s="300">
        <f t="shared" si="46"/>
        <v>4.8747074802791397E-2</v>
      </c>
      <c r="H96" s="300">
        <f t="shared" si="46"/>
        <v>5.0918089064757324E-2</v>
      </c>
      <c r="I96" s="300">
        <f t="shared" si="46"/>
        <v>5.3111845023029666E-2</v>
      </c>
      <c r="J96" s="300">
        <f t="shared" si="46"/>
        <v>5.5325759141449875E-2</v>
      </c>
      <c r="K96" s="300">
        <f t="shared" si="46"/>
        <v>5.7557143083342345E-2</v>
      </c>
      <c r="L96" s="300">
        <f t="shared" si="46"/>
        <v>5.9803207980091359E-2</v>
      </c>
      <c r="M96" s="300">
        <f t="shared" si="46"/>
        <v>6.2061069109965589E-2</v>
      </c>
      <c r="N96" s="300">
        <f t="shared" si="46"/>
        <v>6.6219700599762676E-2</v>
      </c>
      <c r="O96" s="300">
        <f t="shared" si="46"/>
        <v>7.0296590036762918E-2</v>
      </c>
      <c r="P96" s="300">
        <f t="shared" si="46"/>
        <v>7.4267637537908812E-2</v>
      </c>
      <c r="Q96" s="300">
        <f t="shared" si="46"/>
        <v>7.810909321924174E-2</v>
      </c>
      <c r="R96" s="300">
        <f t="shared" si="46"/>
        <v>8.1797791628409722E-2</v>
      </c>
      <c r="S96" s="300">
        <f t="shared" si="46"/>
        <v>8.5465085948231392E-2</v>
      </c>
      <c r="T96" s="300">
        <f t="shared" si="46"/>
        <v>8.9108806275231114E-2</v>
      </c>
      <c r="U96" s="300">
        <f t="shared" si="46"/>
        <v>9.2726778974577984E-2</v>
      </c>
      <c r="V96" s="300">
        <f t="shared" si="46"/>
        <v>9.6316828321541828E-2</v>
      </c>
      <c r="W96" s="300">
        <f t="shared" si="46"/>
        <v>9.987677816161776E-2</v>
      </c>
      <c r="X96" s="300">
        <f t="shared" si="46"/>
        <v>0.10561137563650938</v>
      </c>
      <c r="Y96" s="300">
        <f t="shared" si="46"/>
        <v>0.11130386021872804</v>
      </c>
      <c r="Z96" s="300">
        <f t="shared" si="46"/>
        <v>0.11695097988898714</v>
      </c>
      <c r="AA96" s="300">
        <f t="shared" si="46"/>
        <v>0.12254948440897544</v>
      </c>
      <c r="AB96" s="300">
        <f t="shared" si="46"/>
        <v>0.12809612765802988</v>
      </c>
      <c r="AC96" s="300">
        <f t="shared" si="46"/>
        <v>0.13358893295819416</v>
      </c>
      <c r="AD96" s="300">
        <f t="shared" si="46"/>
        <v>0.13902482538461119</v>
      </c>
      <c r="AE96" s="300">
        <f t="shared" si="46"/>
        <v>0.14440073806667109</v>
      </c>
      <c r="AF96" s="300">
        <f t="shared" si="46"/>
        <v>0.14971361428406438</v>
      </c>
      <c r="AG96" s="300">
        <f t="shared" si="46"/>
        <v>0.15496040957483426</v>
      </c>
      <c r="AH96" s="245"/>
      <c r="AI96" s="423"/>
      <c r="AJ96" s="424"/>
      <c r="AL96" s="221"/>
      <c r="AM96" s="124"/>
      <c r="AN96" s="124"/>
      <c r="AO96" s="124"/>
      <c r="BD96" s="124"/>
      <c r="BE96" s="124"/>
      <c r="BF96" s="124"/>
      <c r="BG96" s="124"/>
      <c r="BH96" s="124"/>
      <c r="BI96" s="124"/>
      <c r="BJ96" s="124"/>
      <c r="BK96" s="124"/>
    </row>
    <row r="97" spans="1:63" outlineLevel="1" x14ac:dyDescent="0.2">
      <c r="A97" s="4" t="s">
        <v>474</v>
      </c>
      <c r="C97" s="230">
        <f>C$96*'Methanol recycling rates'!E45</f>
        <v>3.9476351575344112E-2</v>
      </c>
      <c r="D97" s="230">
        <f>D$96*'Methanol recycling rates'!F45</f>
        <v>4.1366397638167199E-2</v>
      </c>
      <c r="E97" s="230">
        <f>E$96*'Methanol recycling rates'!G45</f>
        <v>4.317658999501793E-2</v>
      </c>
      <c r="F97" s="230">
        <f>F$96*'Methanol recycling rates'!H45</f>
        <v>4.4892028102391242E-2</v>
      </c>
      <c r="G97" s="230">
        <f>G$96*'Methanol recycling rates'!I45</f>
        <v>4.6498367725828924E-2</v>
      </c>
      <c r="H97" s="230">
        <f>H$96*'Methanol recycling rates'!J45</f>
        <v>4.7982018857248974E-2</v>
      </c>
      <c r="I97" s="230">
        <f>I$96*'Methanol recycling rates'!K45</f>
        <v>4.9436763525616968E-2</v>
      </c>
      <c r="J97" s="230">
        <f>J$96*'Methanol recycling rates'!L45</f>
        <v>5.085943995019028E-2</v>
      </c>
      <c r="K97" s="230">
        <f>K$96*'Methanol recycling rates'!M45</f>
        <v>5.2246910397386707E-2</v>
      </c>
      <c r="L97" s="230">
        <f>L$96*'Methanol recycling rates'!N45</f>
        <v>5.3596071049386212E-2</v>
      </c>
      <c r="M97" s="230">
        <f>M$96*'Methanol recycling rates'!O45</f>
        <v>5.4903861940303514E-2</v>
      </c>
      <c r="N97" s="230">
        <f>N$96*'Methanol recycling rates'!P45</f>
        <v>5.7819218059375191E-2</v>
      </c>
      <c r="O97" s="230">
        <f>O$96*'Methanol recycling rates'!Q45</f>
        <v>6.0568225403100022E-2</v>
      </c>
      <c r="P97" s="230">
        <f>P$96*'Methanol recycling rates'!R45</f>
        <v>6.313322528674635E-2</v>
      </c>
      <c r="Q97" s="230">
        <f>Q$96*'Methanol recycling rates'!S45</f>
        <v>6.549796424530166E-2</v>
      </c>
      <c r="R97" s="230">
        <f>R$96*'Methanol recycling rates'!T45</f>
        <v>6.7647767730141833E-2</v>
      </c>
      <c r="S97" s="230">
        <f>S$96*'Methanol recycling rates'!U45</f>
        <v>6.9695036616451683E-2</v>
      </c>
      <c r="T97" s="230">
        <f>T$96*'Methanol recycling rates'!V45</f>
        <v>7.1638766946079555E-2</v>
      </c>
      <c r="U97" s="230">
        <f>U$96*'Methanol recycling rates'!W45</f>
        <v>7.3478051901941857E-2</v>
      </c>
      <c r="V97" s="230">
        <f>V$96*'Methanol recycling rates'!X45</f>
        <v>7.5212083304966301E-2</v>
      </c>
      <c r="W97" s="230">
        <f>W$96*'Methanol recycling rates'!Y45</f>
        <v>7.6840153011816972E-2</v>
      </c>
      <c r="X97" s="230">
        <f>X$96*'Methanol recycling rates'!Z45</f>
        <v>8.0034097286941649E-2</v>
      </c>
      <c r="Y97" s="230">
        <f>Y$96*'Methanol recycling rates'!AA45</f>
        <v>8.306434460700976E-2</v>
      </c>
      <c r="Z97" s="230">
        <f>Z$96*'Methanol recycling rates'!AB45</f>
        <v>8.5929962548183317E-2</v>
      </c>
      <c r="AA97" s="230">
        <f>AA$96*'Methanol recycling rates'!AC45</f>
        <v>8.8630169990611393E-2</v>
      </c>
      <c r="AB97" s="230">
        <f>AB$96*'Methanol recycling rates'!AD45</f>
        <v>9.1164338678713819E-2</v>
      </c>
      <c r="AC97" s="230">
        <f>AC$96*'Methanol recycling rates'!AE45</f>
        <v>9.3532878906651226E-2</v>
      </c>
      <c r="AD97" s="230">
        <f>AD$96*'Methanol recycling rates'!AF45</f>
        <v>9.5735535876081898E-2</v>
      </c>
      <c r="AE97" s="230">
        <f>AE$96*'Methanol recycling rates'!AG45</f>
        <v>9.7772202088677665E-2</v>
      </c>
      <c r="AF97" s="230">
        <f>AF$96*'Methanol recycling rates'!AH45</f>
        <v>9.9642918276737505E-2</v>
      </c>
      <c r="AG97" s="230">
        <f>AG$96*'Methanol recycling rates'!AI45</f>
        <v>0.10134787419661191</v>
      </c>
      <c r="AH97" s="245"/>
      <c r="AI97" s="133"/>
      <c r="AJ97" s="211"/>
      <c r="AL97" s="108"/>
      <c r="AM97" s="2"/>
      <c r="AN97" s="2"/>
      <c r="AO97" s="2"/>
      <c r="BC97" s="1"/>
      <c r="BD97" s="2"/>
      <c r="BE97" s="2"/>
      <c r="BF97" s="2"/>
      <c r="BG97" s="2"/>
      <c r="BH97" s="2"/>
      <c r="BI97" s="2"/>
      <c r="BJ97" s="2"/>
      <c r="BK97" s="2"/>
    </row>
    <row r="98" spans="1:63" outlineLevel="1" x14ac:dyDescent="0.2">
      <c r="A98" s="4" t="s">
        <v>745</v>
      </c>
      <c r="C98" s="230">
        <f>C$96*'Methanol recycling rates'!E46</f>
        <v>0</v>
      </c>
      <c r="D98" s="230">
        <f>D$96*'Methanol recycling rates'!F46</f>
        <v>2.8575413495318832E-4</v>
      </c>
      <c r="E98" s="230">
        <f>E$96*'Methanol recycling rates'!G46</f>
        <v>6.0355922528841405E-4</v>
      </c>
      <c r="F98" s="230">
        <f>F$96*'Methanol recycling rates'!H46</f>
        <v>9.5255332777608869E-4</v>
      </c>
      <c r="G98" s="230">
        <f>G$96*'Methanol recycling rates'!I46</f>
        <v>1.3314220857056911E-3</v>
      </c>
      <c r="H98" s="230">
        <f>H$96*'Methanol recycling rates'!J46</f>
        <v>1.738398371005056E-3</v>
      </c>
      <c r="I98" s="230">
        <f>I$96*'Methanol recycling rates'!K46</f>
        <v>2.1759546730440002E-3</v>
      </c>
      <c r="J98" s="230">
        <f>J$96*'Methanol recycling rates'!L46</f>
        <v>2.6444333608300562E-3</v>
      </c>
      <c r="K98" s="230">
        <f>K$96*'Methanol recycling rates'!M46</f>
        <v>3.144100514802432E-3</v>
      </c>
      <c r="L98" s="230">
        <f>L$96*'Methanol recycling rates'!N46</f>
        <v>3.6751426111504078E-3</v>
      </c>
      <c r="M98" s="230">
        <f>M$96*'Methanol recycling rates'!O46</f>
        <v>4.2376634090248938E-3</v>
      </c>
      <c r="N98" s="230">
        <f>N$96*'Methanol recycling rates'!P46</f>
        <v>4.9737860922130202E-3</v>
      </c>
      <c r="O98" s="230">
        <f>O$96*'Methanol recycling rates'!Q46</f>
        <v>5.760003009619684E-3</v>
      </c>
      <c r="P98" s="230">
        <f>P$96*'Methanol recycling rates'!R46</f>
        <v>6.5925004347718794E-3</v>
      </c>
      <c r="Q98" s="230">
        <f>Q$96*'Methanol recycling rates'!S46</f>
        <v>7.4668398626056183E-3</v>
      </c>
      <c r="R98" s="230">
        <f>R$96*'Methanol recycling rates'!T46</f>
        <v>8.3779939701464218E-3</v>
      </c>
      <c r="S98" s="230">
        <f>S$96*'Methanol recycling rates'!U46</f>
        <v>9.3371841037480606E-3</v>
      </c>
      <c r="T98" s="230">
        <f>T$96*'Methanol recycling rates'!V46</f>
        <v>1.0343719926562751E-2</v>
      </c>
      <c r="U98" s="230">
        <f>U$96*'Methanol recycling rates'!W46</f>
        <v>1.1396851376857413E-2</v>
      </c>
      <c r="V98" s="230">
        <f>V$96*'Methanol recycling rates'!X46</f>
        <v>1.2495768753577274E-2</v>
      </c>
      <c r="W98" s="230">
        <f>W$96*'Methanol recycling rates'!Y46</f>
        <v>1.3639602871708211E-2</v>
      </c>
      <c r="X98" s="230">
        <f>X$96*'Methanol recycling rates'!Z46</f>
        <v>1.5143881404445258E-2</v>
      </c>
      <c r="Y98" s="230">
        <f>Y$96*'Methanol recycling rates'!AA46</f>
        <v>1.6720147839735647E-2</v>
      </c>
      <c r="Z98" s="230">
        <f>Z$96*'Methanol recycling rates'!AB46</f>
        <v>1.8367028783666989E-2</v>
      </c>
      <c r="AA98" s="230">
        <f>AA$96*'Methanol recycling rates'!AC46</f>
        <v>2.0083062312236853E-2</v>
      </c>
      <c r="AB98" s="230">
        <f>AB$96*'Methanol recycling rates'!AD46</f>
        <v>2.1866698431039805E-2</v>
      </c>
      <c r="AC98" s="230">
        <f>AC$96*'Methanol recycling rates'!AE46</f>
        <v>2.3716523853557988E-2</v>
      </c>
      <c r="AD98" s="230">
        <f>AD$96*'Methanol recycling rates'!AF46</f>
        <v>2.5630868829753482E-2</v>
      </c>
      <c r="AE98" s="230">
        <f>AE$96*'Methanol recycling rates'!AG46</f>
        <v>2.760798116448443E-2</v>
      </c>
      <c r="AF98" s="230">
        <f>AF$96*'Methanol recycling rates'!AH46</f>
        <v>2.9646026907542498E-2</v>
      </c>
      <c r="AG98" s="230">
        <f>AG$96*'Methanol recycling rates'!AI46</f>
        <v>3.1743091132022082E-2</v>
      </c>
      <c r="AH98" s="245"/>
      <c r="AI98" s="133"/>
      <c r="AJ98" s="211"/>
      <c r="AL98" s="108"/>
      <c r="AM98" s="2"/>
      <c r="AN98" s="2"/>
      <c r="AO98" s="2"/>
      <c r="BC98" s="1"/>
      <c r="BD98" s="2"/>
      <c r="BE98" s="2"/>
      <c r="BF98" s="2"/>
      <c r="BG98" s="2"/>
      <c r="BH98" s="2"/>
      <c r="BI98" s="2"/>
      <c r="BJ98" s="2"/>
      <c r="BK98" s="2"/>
    </row>
    <row r="99" spans="1:63" outlineLevel="1" x14ac:dyDescent="0.2">
      <c r="A99" s="4" t="s">
        <v>1561</v>
      </c>
      <c r="C99" s="230">
        <f>C$96*'Methanol recycling rates'!E47</f>
        <v>0</v>
      </c>
      <c r="D99" s="230">
        <f>D$96*'Methanol recycling rates'!F47</f>
        <v>1.9687068586007113E-4</v>
      </c>
      <c r="E99" s="230">
        <f>E$96*'Methanol recycling rates'!G47</f>
        <v>4.1582291944495799E-4</v>
      </c>
      <c r="F99" s="230">
        <f>F$96*'Methanol recycling rates'!H47</f>
        <v>6.5626286383674737E-4</v>
      </c>
      <c r="G99" s="230">
        <f>G$96*'Methanol recycling rates'!I47</f>
        <v>9.1728499125678616E-4</v>
      </c>
      <c r="H99" s="230">
        <f>H$96*'Methanol recycling rates'!J47</f>
        <v>1.1976718365032961E-3</v>
      </c>
      <c r="I99" s="230">
        <f>I$96*'Methanol recycling rates'!K47</f>
        <v>1.4991268243687037E-3</v>
      </c>
      <c r="J99" s="230">
        <f>J$96*'Methanol recycling rates'!L47</f>
        <v>1.8218858304295464E-3</v>
      </c>
      <c r="K99" s="230">
        <f>K$96*'Methanol recycling rates'!M47</f>
        <v>2.1661321711532117E-3</v>
      </c>
      <c r="L99" s="230">
        <f>L$96*'Methanol recycling rates'!N47</f>
        <v>2.5319943195547482E-3</v>
      </c>
      <c r="M99" s="230">
        <f>M$96*'Methanol recycling rates'!O47</f>
        <v>2.9195437606371897E-3</v>
      </c>
      <c r="N99" s="230">
        <f>N$96*'Methanol recycling rates'!P47</f>
        <v>3.4266964481744775E-3</v>
      </c>
      <c r="O99" s="230">
        <f>O$96*'Methanol recycling rates'!Q47</f>
        <v>3.9683616240432261E-3</v>
      </c>
      <c r="P99" s="230">
        <f>P$96*'Methanol recycling rates'!R47</f>
        <v>4.5419118163905915E-3</v>
      </c>
      <c r="Q99" s="230">
        <f>Q$96*'Methanol recycling rates'!S47</f>
        <v>5.1442891113344727E-3</v>
      </c>
      <c r="R99" s="230">
        <f>R$96*'Methanol recycling rates'!T47</f>
        <v>5.7720299281214787E-3</v>
      </c>
      <c r="S99" s="230">
        <f>S$96*'Methanol recycling rates'!U47</f>
        <v>6.4328652280316728E-3</v>
      </c>
      <c r="T99" s="230">
        <f>T$96*'Methanol recycling rates'!V47</f>
        <v>7.1263194025888354E-3</v>
      </c>
      <c r="U99" s="230">
        <f>U$96*'Methanol recycling rates'!W47</f>
        <v>7.8518756957787362E-3</v>
      </c>
      <c r="V99" s="230">
        <f>V$96*'Methanol recycling rates'!X47</f>
        <v>8.6089762629982802E-3</v>
      </c>
      <c r="W99" s="230">
        <f>W$96*'Methanol recycling rates'!Y47</f>
        <v>9.3970222780926111E-3</v>
      </c>
      <c r="X99" s="230">
        <f>X$96*'Methanol recycling rates'!Z47</f>
        <v>1.0433396945122497E-2</v>
      </c>
      <c r="Y99" s="230">
        <f>Y$96*'Methanol recycling rates'!AA47</f>
        <v>1.1519367771982675E-2</v>
      </c>
      <c r="Z99" s="230">
        <f>Z$96*'Methanol recycling rates'!AB47</f>
        <v>1.2653988557136873E-2</v>
      </c>
      <c r="AA99" s="230">
        <f>AA$96*'Methanol recycling rates'!AC47</f>
        <v>1.3836252106127234E-2</v>
      </c>
      <c r="AB99" s="230">
        <f>AB$96*'Methanol recycling rates'!AD47</f>
        <v>1.5065090548276308E-2</v>
      </c>
      <c r="AC99" s="230">
        <f>AC$96*'Methanol recycling rates'!AE47</f>
        <v>1.6339530197984998E-2</v>
      </c>
      <c r="AD99" s="230">
        <f>AD$96*'Methanol recycling rates'!AF47</f>
        <v>1.7658420678775863E-2</v>
      </c>
      <c r="AE99" s="230">
        <f>AE$96*'Methanol recycling rates'!AG47</f>
        <v>1.902055481350904E-2</v>
      </c>
      <c r="AF99" s="230">
        <f>AF$96*'Methanol recycling rates'!AH47</f>
        <v>2.0424669099784437E-2</v>
      </c>
      <c r="AG99" s="230">
        <f>AG$96*'Methanol recycling rates'!AI47</f>
        <v>2.1869444246200236E-2</v>
      </c>
      <c r="AH99" s="245"/>
      <c r="AI99" s="133"/>
      <c r="AJ99" s="211"/>
      <c r="AL99" s="108"/>
      <c r="AM99" s="2"/>
      <c r="AN99" s="2"/>
      <c r="AO99" s="2"/>
      <c r="BC99" s="1"/>
      <c r="BD99" s="2"/>
      <c r="BE99" s="2"/>
      <c r="BF99" s="2"/>
      <c r="BG99" s="2"/>
      <c r="BH99" s="2"/>
      <c r="BI99" s="2"/>
      <c r="BJ99" s="2"/>
      <c r="BK99" s="2"/>
    </row>
    <row r="100" spans="1:63" s="1" customFormat="1" outlineLevel="1" x14ac:dyDescent="0.2">
      <c r="A100" s="1" t="s">
        <v>1568</v>
      </c>
      <c r="B100" s="65"/>
      <c r="C100" s="300">
        <f>C96-$C96</f>
        <v>0</v>
      </c>
      <c r="D100" s="300">
        <f t="shared" ref="D100:AG100" si="47">D96-$C96</f>
        <v>2.372670883636345E-3</v>
      </c>
      <c r="E100" s="300">
        <f t="shared" si="47"/>
        <v>4.7196205644071884E-3</v>
      </c>
      <c r="F100" s="300">
        <f t="shared" si="47"/>
        <v>7.0244927186599651E-3</v>
      </c>
      <c r="G100" s="300">
        <f t="shared" si="47"/>
        <v>9.2707232274472848E-3</v>
      </c>
      <c r="H100" s="300">
        <f t="shared" si="47"/>
        <v>1.1441737489413212E-2</v>
      </c>
      <c r="I100" s="300">
        <f t="shared" si="47"/>
        <v>1.3635493447685554E-2</v>
      </c>
      <c r="J100" s="300">
        <f t="shared" si="47"/>
        <v>1.5849407566105762E-2</v>
      </c>
      <c r="K100" s="300">
        <f t="shared" si="47"/>
        <v>1.8080791507998233E-2</v>
      </c>
      <c r="L100" s="300">
        <f t="shared" si="47"/>
        <v>2.0326856404747247E-2</v>
      </c>
      <c r="M100" s="300">
        <f t="shared" si="47"/>
        <v>2.2584717534621476E-2</v>
      </c>
      <c r="N100" s="300">
        <f t="shared" si="47"/>
        <v>2.6743349024418564E-2</v>
      </c>
      <c r="O100" s="300">
        <f t="shared" si="47"/>
        <v>3.0820238461418806E-2</v>
      </c>
      <c r="P100" s="300">
        <f t="shared" si="47"/>
        <v>3.47912859625647E-2</v>
      </c>
      <c r="Q100" s="300">
        <f t="shared" si="47"/>
        <v>3.8632741643897628E-2</v>
      </c>
      <c r="R100" s="300">
        <f t="shared" si="47"/>
        <v>4.2321440053065609E-2</v>
      </c>
      <c r="S100" s="300">
        <f t="shared" si="47"/>
        <v>4.598873437288728E-2</v>
      </c>
      <c r="T100" s="300">
        <f t="shared" si="47"/>
        <v>4.9632454699887002E-2</v>
      </c>
      <c r="U100" s="300">
        <f t="shared" si="47"/>
        <v>5.3250427399233871E-2</v>
      </c>
      <c r="V100" s="300">
        <f t="shared" si="47"/>
        <v>5.6840476746197716E-2</v>
      </c>
      <c r="W100" s="300">
        <f t="shared" si="47"/>
        <v>6.0400426586273648E-2</v>
      </c>
      <c r="X100" s="300">
        <f t="shared" si="47"/>
        <v>6.6135024061165268E-2</v>
      </c>
      <c r="Y100" s="300">
        <f t="shared" si="47"/>
        <v>7.1827508643383928E-2</v>
      </c>
      <c r="Z100" s="300">
        <f t="shared" si="47"/>
        <v>7.7474628313643032E-2</v>
      </c>
      <c r="AA100" s="300">
        <f t="shared" si="47"/>
        <v>8.3073132833631325E-2</v>
      </c>
      <c r="AB100" s="300">
        <f t="shared" si="47"/>
        <v>8.8619776082685772E-2</v>
      </c>
      <c r="AC100" s="300">
        <f t="shared" si="47"/>
        <v>9.4112581382850044E-2</v>
      </c>
      <c r="AD100" s="300">
        <f t="shared" si="47"/>
        <v>9.9548473809267082E-2</v>
      </c>
      <c r="AE100" s="300">
        <f t="shared" si="47"/>
        <v>0.10492438649132697</v>
      </c>
      <c r="AF100" s="300">
        <f t="shared" si="47"/>
        <v>0.11023726270872027</v>
      </c>
      <c r="AG100" s="300">
        <f t="shared" si="47"/>
        <v>0.11548405799949014</v>
      </c>
      <c r="AH100" s="245"/>
      <c r="AI100" s="423"/>
      <c r="AJ100" s="424"/>
      <c r="AL100" s="221"/>
      <c r="AM100" s="124"/>
      <c r="AN100" s="124"/>
      <c r="AO100" s="124"/>
      <c r="BD100" s="124"/>
      <c r="BE100" s="124"/>
      <c r="BF100" s="124"/>
      <c r="BG100" s="124"/>
      <c r="BH100" s="124"/>
      <c r="BI100" s="124"/>
      <c r="BJ100" s="124"/>
      <c r="BK100" s="124"/>
    </row>
    <row r="101" spans="1:63" outlineLevel="1" x14ac:dyDescent="0.2">
      <c r="A101" s="4" t="s">
        <v>474</v>
      </c>
      <c r="C101" s="230">
        <f t="shared" ref="C101:AF103" si="48">C97-$C97</f>
        <v>0</v>
      </c>
      <c r="D101" s="230">
        <f t="shared" si="48"/>
        <v>1.8900460628230864E-3</v>
      </c>
      <c r="E101" s="230">
        <f t="shared" si="48"/>
        <v>3.7002384196738181E-3</v>
      </c>
      <c r="F101" s="230">
        <f t="shared" si="48"/>
        <v>5.4156765270471294E-3</v>
      </c>
      <c r="G101" s="230">
        <f t="shared" si="48"/>
        <v>7.0220161504848111E-3</v>
      </c>
      <c r="H101" s="230">
        <f t="shared" si="48"/>
        <v>8.505667281904862E-3</v>
      </c>
      <c r="I101" s="230">
        <f t="shared" si="48"/>
        <v>9.9604119502728558E-3</v>
      </c>
      <c r="J101" s="230">
        <f t="shared" si="48"/>
        <v>1.1383088374846168E-2</v>
      </c>
      <c r="K101" s="230">
        <f t="shared" si="48"/>
        <v>1.2770558822042595E-2</v>
      </c>
      <c r="L101" s="230">
        <f t="shared" si="48"/>
        <v>1.41197194740421E-2</v>
      </c>
      <c r="M101" s="230">
        <f t="shared" si="48"/>
        <v>1.5427510364959401E-2</v>
      </c>
      <c r="N101" s="230">
        <f t="shared" si="48"/>
        <v>1.8342866484031078E-2</v>
      </c>
      <c r="O101" s="230">
        <f t="shared" si="48"/>
        <v>2.109187382775591E-2</v>
      </c>
      <c r="P101" s="230">
        <f t="shared" si="48"/>
        <v>2.3656873711402238E-2</v>
      </c>
      <c r="Q101" s="230">
        <f t="shared" si="48"/>
        <v>2.6021612669957547E-2</v>
      </c>
      <c r="R101" s="230">
        <f t="shared" si="48"/>
        <v>2.8171416154797721E-2</v>
      </c>
      <c r="S101" s="230">
        <f t="shared" si="48"/>
        <v>3.0218685041107571E-2</v>
      </c>
      <c r="T101" s="230">
        <f t="shared" si="48"/>
        <v>3.2162415370735442E-2</v>
      </c>
      <c r="U101" s="230">
        <f t="shared" si="48"/>
        <v>3.4001700326597745E-2</v>
      </c>
      <c r="V101" s="230">
        <f t="shared" si="48"/>
        <v>3.5735731729622189E-2</v>
      </c>
      <c r="W101" s="230">
        <f t="shared" si="48"/>
        <v>3.736380143647286E-2</v>
      </c>
      <c r="X101" s="230">
        <f t="shared" si="48"/>
        <v>4.0557745711597537E-2</v>
      </c>
      <c r="Y101" s="230">
        <f t="shared" si="48"/>
        <v>4.3587993031665648E-2</v>
      </c>
      <c r="Z101" s="230">
        <f t="shared" si="48"/>
        <v>4.6453610972839204E-2</v>
      </c>
      <c r="AA101" s="230">
        <f t="shared" si="48"/>
        <v>4.9153818415267281E-2</v>
      </c>
      <c r="AB101" s="230">
        <f t="shared" si="48"/>
        <v>5.1687987103369706E-2</v>
      </c>
      <c r="AC101" s="230">
        <f t="shared" si="48"/>
        <v>5.4056527331307114E-2</v>
      </c>
      <c r="AD101" s="230">
        <f t="shared" si="48"/>
        <v>5.6259184300737786E-2</v>
      </c>
      <c r="AE101" s="230">
        <f t="shared" si="48"/>
        <v>5.8295850513333553E-2</v>
      </c>
      <c r="AF101" s="230">
        <f t="shared" si="48"/>
        <v>6.0166566701393392E-2</v>
      </c>
      <c r="AG101" s="230">
        <f>AG97-$C97</f>
        <v>6.1871522621267799E-2</v>
      </c>
      <c r="AH101" s="245"/>
      <c r="AI101" s="133"/>
      <c r="AJ101" s="211"/>
      <c r="AL101" s="108"/>
      <c r="AM101" s="2"/>
      <c r="AN101" s="2"/>
      <c r="AO101" s="2"/>
      <c r="BC101" s="1"/>
      <c r="BD101" s="2"/>
      <c r="BE101" s="2"/>
      <c r="BF101" s="2"/>
      <c r="BG101" s="2"/>
      <c r="BH101" s="2"/>
      <c r="BI101" s="2"/>
      <c r="BJ101" s="2"/>
      <c r="BK101" s="2"/>
    </row>
    <row r="102" spans="1:63" outlineLevel="1" x14ac:dyDescent="0.2">
      <c r="A102" s="4" t="s">
        <v>745</v>
      </c>
      <c r="C102" s="230">
        <f t="shared" si="48"/>
        <v>0</v>
      </c>
      <c r="D102" s="230">
        <f t="shared" si="48"/>
        <v>2.8575413495318832E-4</v>
      </c>
      <c r="E102" s="230">
        <f t="shared" si="48"/>
        <v>6.0355922528841405E-4</v>
      </c>
      <c r="F102" s="230">
        <f t="shared" si="48"/>
        <v>9.5255332777608869E-4</v>
      </c>
      <c r="G102" s="230">
        <f t="shared" si="48"/>
        <v>1.3314220857056911E-3</v>
      </c>
      <c r="H102" s="230">
        <f t="shared" si="48"/>
        <v>1.738398371005056E-3</v>
      </c>
      <c r="I102" s="230">
        <f t="shared" si="48"/>
        <v>2.1759546730440002E-3</v>
      </c>
      <c r="J102" s="230">
        <f t="shared" si="48"/>
        <v>2.6444333608300562E-3</v>
      </c>
      <c r="K102" s="230">
        <f t="shared" si="48"/>
        <v>3.144100514802432E-3</v>
      </c>
      <c r="L102" s="230">
        <f t="shared" si="48"/>
        <v>3.6751426111504078E-3</v>
      </c>
      <c r="M102" s="230">
        <f t="shared" si="48"/>
        <v>4.2376634090248938E-3</v>
      </c>
      <c r="N102" s="230">
        <f t="shared" si="48"/>
        <v>4.9737860922130202E-3</v>
      </c>
      <c r="O102" s="230">
        <f t="shared" si="48"/>
        <v>5.760003009619684E-3</v>
      </c>
      <c r="P102" s="230">
        <f t="shared" si="48"/>
        <v>6.5925004347718794E-3</v>
      </c>
      <c r="Q102" s="230">
        <f t="shared" si="48"/>
        <v>7.4668398626056183E-3</v>
      </c>
      <c r="R102" s="230">
        <f t="shared" si="48"/>
        <v>8.3779939701464218E-3</v>
      </c>
      <c r="S102" s="230">
        <f t="shared" si="48"/>
        <v>9.3371841037480606E-3</v>
      </c>
      <c r="T102" s="230">
        <f t="shared" si="48"/>
        <v>1.0343719926562751E-2</v>
      </c>
      <c r="U102" s="230">
        <f t="shared" si="48"/>
        <v>1.1396851376857413E-2</v>
      </c>
      <c r="V102" s="230">
        <f t="shared" si="48"/>
        <v>1.2495768753577274E-2</v>
      </c>
      <c r="W102" s="230">
        <f t="shared" si="48"/>
        <v>1.3639602871708211E-2</v>
      </c>
      <c r="X102" s="230">
        <f t="shared" si="48"/>
        <v>1.5143881404445258E-2</v>
      </c>
      <c r="Y102" s="230">
        <f t="shared" si="48"/>
        <v>1.6720147839735647E-2</v>
      </c>
      <c r="Z102" s="230">
        <f t="shared" si="48"/>
        <v>1.8367028783666989E-2</v>
      </c>
      <c r="AA102" s="230">
        <f t="shared" si="48"/>
        <v>2.0083062312236853E-2</v>
      </c>
      <c r="AB102" s="230">
        <f t="shared" si="48"/>
        <v>2.1866698431039805E-2</v>
      </c>
      <c r="AC102" s="230">
        <f t="shared" si="48"/>
        <v>2.3716523853557988E-2</v>
      </c>
      <c r="AD102" s="230">
        <f t="shared" si="48"/>
        <v>2.5630868829753482E-2</v>
      </c>
      <c r="AE102" s="230">
        <f t="shared" si="48"/>
        <v>2.760798116448443E-2</v>
      </c>
      <c r="AF102" s="230">
        <f t="shared" si="48"/>
        <v>2.9646026907542498E-2</v>
      </c>
      <c r="AG102" s="230">
        <f t="shared" ref="AG102:AG103" si="49">AG98-$C98</f>
        <v>3.1743091132022082E-2</v>
      </c>
      <c r="AH102" s="245"/>
      <c r="AI102" s="133"/>
      <c r="AJ102" s="211"/>
      <c r="AL102" s="108"/>
      <c r="AM102" s="2"/>
      <c r="AN102" s="2"/>
      <c r="AO102" s="2"/>
      <c r="BC102" s="1"/>
      <c r="BD102" s="2"/>
      <c r="BE102" s="2"/>
      <c r="BF102" s="2"/>
      <c r="BG102" s="2"/>
      <c r="BH102" s="2"/>
      <c r="BI102" s="2"/>
      <c r="BJ102" s="2"/>
      <c r="BK102" s="2"/>
    </row>
    <row r="103" spans="1:63" outlineLevel="1" x14ac:dyDescent="0.2">
      <c r="A103" s="4" t="s">
        <v>1561</v>
      </c>
      <c r="C103" s="230">
        <f t="shared" si="48"/>
        <v>0</v>
      </c>
      <c r="D103" s="230">
        <f t="shared" si="48"/>
        <v>1.9687068586007113E-4</v>
      </c>
      <c r="E103" s="230">
        <f t="shared" si="48"/>
        <v>4.1582291944495799E-4</v>
      </c>
      <c r="F103" s="230">
        <f t="shared" si="48"/>
        <v>6.5626286383674737E-4</v>
      </c>
      <c r="G103" s="230">
        <f t="shared" si="48"/>
        <v>9.1728499125678616E-4</v>
      </c>
      <c r="H103" s="230">
        <f t="shared" si="48"/>
        <v>1.1976718365032961E-3</v>
      </c>
      <c r="I103" s="230">
        <f t="shared" si="48"/>
        <v>1.4991268243687037E-3</v>
      </c>
      <c r="J103" s="230">
        <f t="shared" si="48"/>
        <v>1.8218858304295464E-3</v>
      </c>
      <c r="K103" s="230">
        <f t="shared" si="48"/>
        <v>2.1661321711532117E-3</v>
      </c>
      <c r="L103" s="230">
        <f t="shared" si="48"/>
        <v>2.5319943195547482E-3</v>
      </c>
      <c r="M103" s="230">
        <f t="shared" si="48"/>
        <v>2.9195437606371897E-3</v>
      </c>
      <c r="N103" s="230">
        <f t="shared" si="48"/>
        <v>3.4266964481744775E-3</v>
      </c>
      <c r="O103" s="230">
        <f t="shared" si="48"/>
        <v>3.9683616240432261E-3</v>
      </c>
      <c r="P103" s="230">
        <f t="shared" si="48"/>
        <v>4.5419118163905915E-3</v>
      </c>
      <c r="Q103" s="230">
        <f t="shared" si="48"/>
        <v>5.1442891113344727E-3</v>
      </c>
      <c r="R103" s="230">
        <f t="shared" si="48"/>
        <v>5.7720299281214787E-3</v>
      </c>
      <c r="S103" s="230">
        <f t="shared" si="48"/>
        <v>6.4328652280316728E-3</v>
      </c>
      <c r="T103" s="230">
        <f t="shared" si="48"/>
        <v>7.1263194025888354E-3</v>
      </c>
      <c r="U103" s="230">
        <f t="shared" si="48"/>
        <v>7.8518756957787362E-3</v>
      </c>
      <c r="V103" s="230">
        <f t="shared" si="48"/>
        <v>8.6089762629982802E-3</v>
      </c>
      <c r="W103" s="230">
        <f t="shared" si="48"/>
        <v>9.3970222780926111E-3</v>
      </c>
      <c r="X103" s="230">
        <f t="shared" si="48"/>
        <v>1.0433396945122497E-2</v>
      </c>
      <c r="Y103" s="230">
        <f t="shared" si="48"/>
        <v>1.1519367771982675E-2</v>
      </c>
      <c r="Z103" s="230">
        <f t="shared" si="48"/>
        <v>1.2653988557136873E-2</v>
      </c>
      <c r="AA103" s="230">
        <f t="shared" si="48"/>
        <v>1.3836252106127234E-2</v>
      </c>
      <c r="AB103" s="230">
        <f t="shared" si="48"/>
        <v>1.5065090548276308E-2</v>
      </c>
      <c r="AC103" s="230">
        <f t="shared" si="48"/>
        <v>1.6339530197984998E-2</v>
      </c>
      <c r="AD103" s="230">
        <f t="shared" si="48"/>
        <v>1.7658420678775863E-2</v>
      </c>
      <c r="AE103" s="230">
        <f t="shared" si="48"/>
        <v>1.902055481350904E-2</v>
      </c>
      <c r="AF103" s="230">
        <f t="shared" si="48"/>
        <v>2.0424669099784437E-2</v>
      </c>
      <c r="AG103" s="230">
        <f t="shared" si="49"/>
        <v>2.1869444246200236E-2</v>
      </c>
      <c r="AH103" s="245"/>
      <c r="AI103" s="133"/>
      <c r="AJ103" s="211"/>
      <c r="AL103" s="108"/>
      <c r="AM103" s="2"/>
      <c r="AN103" s="2"/>
      <c r="AO103" s="2"/>
      <c r="BC103" s="1"/>
      <c r="BD103" s="2"/>
      <c r="BE103" s="2"/>
      <c r="BF103" s="2"/>
      <c r="BG103" s="2"/>
      <c r="BH103" s="2"/>
      <c r="BI103" s="2"/>
      <c r="BJ103" s="2"/>
      <c r="BK103" s="2"/>
    </row>
    <row r="104" spans="1:63" s="1" customFormat="1" outlineLevel="1" x14ac:dyDescent="0.2">
      <c r="A104" s="1" t="s">
        <v>1569</v>
      </c>
      <c r="B104" s="65"/>
      <c r="C104" s="300">
        <f>C42*C70</f>
        <v>0.18277008388849009</v>
      </c>
      <c r="D104" s="300">
        <f t="shared" ref="D104:AG104" si="50">D42*D70</f>
        <v>0.19441266603881341</v>
      </c>
      <c r="E104" s="300">
        <f t="shared" si="50"/>
        <v>0.20600990301883104</v>
      </c>
      <c r="F104" s="300">
        <f t="shared" si="50"/>
        <v>0.21748408420216947</v>
      </c>
      <c r="G104" s="300">
        <f t="shared" si="50"/>
        <v>0.22875549601935163</v>
      </c>
      <c r="H104" s="300">
        <f t="shared" si="50"/>
        <v>0.23974333466596565</v>
      </c>
      <c r="I104" s="300">
        <f t="shared" si="50"/>
        <v>0.2509068204801016</v>
      </c>
      <c r="J104" s="300">
        <f t="shared" si="50"/>
        <v>0.26223477974157605</v>
      </c>
      <c r="K104" s="300">
        <f t="shared" si="50"/>
        <v>0.27371537799912138</v>
      </c>
      <c r="L104" s="300">
        <f t="shared" si="50"/>
        <v>0.28533613220483584</v>
      </c>
      <c r="M104" s="300">
        <f t="shared" si="50"/>
        <v>0.2970839252148253</v>
      </c>
      <c r="N104" s="300">
        <f t="shared" si="50"/>
        <v>0.31803143419596597</v>
      </c>
      <c r="O104" s="300">
        <f t="shared" si="50"/>
        <v>0.3387157418086284</v>
      </c>
      <c r="P104" s="300">
        <f t="shared" si="50"/>
        <v>0.35901649456600593</v>
      </c>
      <c r="Q104" s="300">
        <f t="shared" si="50"/>
        <v>0.37881352198471024</v>
      </c>
      <c r="R104" s="300">
        <f t="shared" si="50"/>
        <v>0.3979880047107423</v>
      </c>
      <c r="S104" s="300">
        <f t="shared" si="50"/>
        <v>0.41717390717592712</v>
      </c>
      <c r="T104" s="300">
        <f t="shared" si="50"/>
        <v>0.43635959474940478</v>
      </c>
      <c r="U104" s="300">
        <f t="shared" si="50"/>
        <v>0.45553327811405947</v>
      </c>
      <c r="V104" s="300">
        <f t="shared" si="50"/>
        <v>0.47468302106309407</v>
      </c>
      <c r="W104" s="300">
        <f t="shared" si="50"/>
        <v>0.49379674854362399</v>
      </c>
      <c r="X104" s="300">
        <f t="shared" si="50"/>
        <v>0.52380807960516362</v>
      </c>
      <c r="Y104" s="300">
        <f t="shared" si="50"/>
        <v>0.55379005819570837</v>
      </c>
      <c r="Z104" s="300">
        <f t="shared" si="50"/>
        <v>0.58372446810975509</v>
      </c>
      <c r="AA104" s="300">
        <f t="shared" si="50"/>
        <v>0.61359289770399505</v>
      </c>
      <c r="AB104" s="300">
        <f t="shared" si="50"/>
        <v>0.64337675177340325</v>
      </c>
      <c r="AC104" s="300">
        <f t="shared" si="50"/>
        <v>0.67306362698565503</v>
      </c>
      <c r="AD104" s="300">
        <f t="shared" si="50"/>
        <v>0.70263544522389354</v>
      </c>
      <c r="AE104" s="300">
        <f t="shared" si="50"/>
        <v>0.7320739759777285</v>
      </c>
      <c r="AF104" s="300">
        <f t="shared" si="50"/>
        <v>0.76136084763526302</v>
      </c>
      <c r="AG104" s="300">
        <f t="shared" si="50"/>
        <v>0.79047755903389916</v>
      </c>
      <c r="AH104" s="245"/>
      <c r="AI104" s="423"/>
      <c r="AJ104" s="424"/>
      <c r="AL104" s="221"/>
      <c r="AM104" s="124"/>
      <c r="AN104" s="124"/>
      <c r="AO104" s="124"/>
      <c r="BD104" s="124"/>
      <c r="BE104" s="124"/>
      <c r="BF104" s="124"/>
      <c r="BG104" s="124"/>
      <c r="BH104" s="124"/>
      <c r="BI104" s="124"/>
      <c r="BJ104" s="124"/>
      <c r="BK104" s="124"/>
    </row>
    <row r="105" spans="1:63" outlineLevel="1" x14ac:dyDescent="0.2">
      <c r="A105" s="4" t="s">
        <v>474</v>
      </c>
      <c r="C105" s="230">
        <f>C$104*'Methanol recycling rates'!E42</f>
        <v>0.18277008388849009</v>
      </c>
      <c r="D105" s="230">
        <f>D$104*'Methanol recycling rates'!F42</f>
        <v>0.18793224383751964</v>
      </c>
      <c r="E105" s="230">
        <f>E$104*'Methanol recycling rates'!G42</f>
        <v>0.19227590948424231</v>
      </c>
      <c r="F105" s="230">
        <f>F$104*'Methanol recycling rates'!H42</f>
        <v>0.19573567578195253</v>
      </c>
      <c r="G105" s="230">
        <f>G$104*'Methanol recycling rates'!I42</f>
        <v>0.19825476321677143</v>
      </c>
      <c r="H105" s="230">
        <f>H$104*'Methanol recycling rates'!J42</f>
        <v>0.19978611222163806</v>
      </c>
      <c r="I105" s="230">
        <f>I$104*'Methanol recycling rates'!K42</f>
        <v>0.20072545638408129</v>
      </c>
      <c r="J105" s="230">
        <f>J$104*'Methanol recycling rates'!L42</f>
        <v>0.20104666446854166</v>
      </c>
      <c r="K105" s="230">
        <f>K$104*'Methanol recycling rates'!M42</f>
        <v>0.20072461053268903</v>
      </c>
      <c r="L105" s="230">
        <f>L$104*'Methanol recycling rates'!N42</f>
        <v>0.1997352925433851</v>
      </c>
      <c r="M105" s="230">
        <f>M$104*'Methanol recycling rates'!O42</f>
        <v>0.19805595014321689</v>
      </c>
      <c r="N105" s="230">
        <f>N$104*'Methanol recycling rates'!P42</f>
        <v>0.2014199083241118</v>
      </c>
      <c r="O105" s="230">
        <f>O$104*'Methanol recycling rates'!Q42</f>
        <v>0.20322944508517707</v>
      </c>
      <c r="P105" s="230">
        <f>P$104*'Methanol recycling rates'!R42</f>
        <v>0.20344268025407006</v>
      </c>
      <c r="Q105" s="230">
        <f>Q$104*'Methanol recycling rates'!S42</f>
        <v>0.2020338783918455</v>
      </c>
      <c r="R105" s="230">
        <f>R$104*'Methanol recycling rates'!T42</f>
        <v>0.19899400235537121</v>
      </c>
      <c r="S105" s="230">
        <f>S$104*'Methanol recycling rates'!U42</f>
        <v>0.19468115668209937</v>
      </c>
      <c r="T105" s="230">
        <f>T$104*'Methanol recycling rates'!V42</f>
        <v>0.18908915772474214</v>
      </c>
      <c r="U105" s="230">
        <f>U$104*'Methanol recycling rates'!W42</f>
        <v>0.18221331124562384</v>
      </c>
      <c r="V105" s="230">
        <f>V$104*'Methanol recycling rates'!X42</f>
        <v>0.17405044105646789</v>
      </c>
      <c r="W105" s="230">
        <f>W$104*'Methanol recycling rates'!Y42</f>
        <v>0.16459891618120806</v>
      </c>
      <c r="X105" s="230">
        <f>X$104*'Methanol recycling rates'!Z42</f>
        <v>0.15714242388154917</v>
      </c>
      <c r="Y105" s="230">
        <f>Y$104*'Methanol recycling rates'!AA42</f>
        <v>0.147677348852189</v>
      </c>
      <c r="Z105" s="230">
        <f>Z$104*'Methanol recycling rates'!AB42</f>
        <v>0.1362023758922763</v>
      </c>
      <c r="AA105" s="230">
        <f>AA$104*'Methanol recycling rates'!AC42</f>
        <v>0.12271857954079912</v>
      </c>
      <c r="AB105" s="230">
        <f>AB$104*'Methanol recycling rates'!AD42</f>
        <v>0.10722945862890067</v>
      </c>
      <c r="AC105" s="230">
        <f>AC$104*'Methanol recycling rates'!AE42</f>
        <v>8.9741816931420804E-2</v>
      </c>
      <c r="AD105" s="230">
        <f>AD$104*'Methanol recycling rates'!AF42</f>
        <v>7.026354452238949E-2</v>
      </c>
      <c r="AE105" s="230">
        <f>AE$104*'Methanol recycling rates'!AG42</f>
        <v>4.8804931731848716E-2</v>
      </c>
      <c r="AF105" s="230">
        <f>AF$104*'Methanol recycling rates'!AH42</f>
        <v>2.5378694921175591E-2</v>
      </c>
      <c r="AG105" s="230">
        <f>AG$104*'Methanol recycling rates'!AI42</f>
        <v>0</v>
      </c>
      <c r="AH105" s="245"/>
      <c r="AI105" s="133"/>
      <c r="AJ105" s="211"/>
      <c r="AL105" s="108"/>
      <c r="AM105" s="2"/>
      <c r="AN105" s="2"/>
      <c r="AO105" s="2"/>
      <c r="BC105" s="1"/>
      <c r="BD105" s="2"/>
      <c r="BE105" s="2"/>
      <c r="BF105" s="2"/>
      <c r="BG105" s="2"/>
      <c r="BH105" s="2"/>
      <c r="BI105" s="2"/>
      <c r="BJ105" s="2"/>
      <c r="BK105" s="2"/>
    </row>
    <row r="106" spans="1:63" outlineLevel="1" x14ac:dyDescent="0.2">
      <c r="A106" s="4" t="s">
        <v>745</v>
      </c>
      <c r="C106" s="230">
        <f>C$104*'Methanol recycling rates'!E43</f>
        <v>0</v>
      </c>
      <c r="D106" s="230">
        <f>D$104*'Methanol recycling rates'!F43</f>
        <v>3.2402111006468899E-3</v>
      </c>
      <c r="E106" s="230">
        <f>E$104*'Methanol recycling rates'!G43</f>
        <v>6.866996767294368E-3</v>
      </c>
      <c r="F106" s="230">
        <f>F$104*'Methanol recycling rates'!H43</f>
        <v>1.0874204210108474E-2</v>
      </c>
      <c r="G106" s="230">
        <f>G$104*'Methanol recycling rates'!I43</f>
        <v>1.5250366401290108E-2</v>
      </c>
      <c r="H106" s="230">
        <f>H$104*'Methanol recycling rates'!J43</f>
        <v>1.9978611222163802E-2</v>
      </c>
      <c r="I106" s="230">
        <f>I$104*'Methanol recycling rates'!K43</f>
        <v>2.5090682048010158E-2</v>
      </c>
      <c r="J106" s="230">
        <f>J$104*'Methanol recycling rates'!L43</f>
        <v>3.0594057636517204E-2</v>
      </c>
      <c r="K106" s="230">
        <f>K$104*'Methanol recycling rates'!M43</f>
        <v>3.6495383733216182E-2</v>
      </c>
      <c r="L106" s="230">
        <f>L$104*'Methanol recycling rates'!N43</f>
        <v>4.2800419830725377E-2</v>
      </c>
      <c r="M106" s="230">
        <f>M$104*'Methanol recycling rates'!O43</f>
        <v>4.9513987535804216E-2</v>
      </c>
      <c r="N106" s="230">
        <f>N$104*'Methanol recycling rates'!P43</f>
        <v>5.830576293592709E-2</v>
      </c>
      <c r="O106" s="230">
        <f>O$104*'Methanol recycling rates'!Q43</f>
        <v>6.774314836172568E-2</v>
      </c>
      <c r="P106" s="230">
        <f>P$104*'Methanol recycling rates'!R43</f>
        <v>7.7786907155967949E-2</v>
      </c>
      <c r="Q106" s="230">
        <f>Q$104*'Methanol recycling rates'!S43</f>
        <v>8.8389821796432386E-2</v>
      </c>
      <c r="R106" s="230">
        <f>R$104*'Methanol recycling rates'!T43</f>
        <v>9.9497001177685562E-2</v>
      </c>
      <c r="S106" s="230">
        <f>S$104*'Methanol recycling rates'!U43</f>
        <v>0.1112463752469139</v>
      </c>
      <c r="T106" s="230">
        <f>T$104*'Methanol recycling rates'!V43</f>
        <v>0.12363521851233135</v>
      </c>
      <c r="U106" s="230">
        <f>U$104*'Methanol recycling rates'!W43</f>
        <v>0.13665998343421784</v>
      </c>
      <c r="V106" s="230">
        <f>V$104*'Methanol recycling rates'!X43</f>
        <v>0.15031629000331312</v>
      </c>
      <c r="W106" s="230">
        <f>W$104*'Methanol recycling rates'!Y43</f>
        <v>0.16459891618120798</v>
      </c>
      <c r="X106" s="230">
        <f>X$104*'Methanol recycling rates'!Z43</f>
        <v>0.18333282786180727</v>
      </c>
      <c r="Y106" s="230">
        <f>Y$104*'Methanol recycling rates'!AA43</f>
        <v>0.20305635467175973</v>
      </c>
      <c r="Z106" s="230">
        <f>Z$104*'Methanol recycling rates'!AB43</f>
        <v>0.22376104610873943</v>
      </c>
      <c r="AA106" s="230">
        <f>AA$104*'Methanol recycling rates'!AC43</f>
        <v>0.24543715908159799</v>
      </c>
      <c r="AB106" s="230">
        <f>AB$104*'Methanol recycling rates'!AD43</f>
        <v>0.26807364657225136</v>
      </c>
      <c r="AC106" s="230">
        <f>AC$104*'Methanol recycling rates'!AE43</f>
        <v>0.29166090502711717</v>
      </c>
      <c r="AD106" s="230">
        <f>AD$104*'Methanol recycling rates'!AF43</f>
        <v>0.31618595035075209</v>
      </c>
      <c r="AE106" s="230">
        <f>AE$104*'Methanol recycling rates'!AG43</f>
        <v>0.34163452212293993</v>
      </c>
      <c r="AF106" s="230">
        <f>AF$104*'Methanol recycling rates'!AH43</f>
        <v>0.36799107635704376</v>
      </c>
      <c r="AG106" s="230">
        <f>AG$104*'Methanol recycling rates'!AI43</f>
        <v>0.39523877951694958</v>
      </c>
      <c r="AH106" s="245"/>
      <c r="AI106" s="133"/>
      <c r="AJ106" s="211"/>
      <c r="AL106" s="108"/>
      <c r="AM106" s="2"/>
      <c r="AN106" s="2"/>
      <c r="AO106" s="2"/>
      <c r="BC106" s="1"/>
      <c r="BD106" s="2"/>
      <c r="BE106" s="2"/>
      <c r="BF106" s="2"/>
      <c r="BG106" s="2"/>
      <c r="BH106" s="2"/>
      <c r="BI106" s="2"/>
      <c r="BJ106" s="2"/>
      <c r="BK106" s="2"/>
    </row>
    <row r="107" spans="1:63" outlineLevel="1" x14ac:dyDescent="0.2">
      <c r="A107" s="4" t="s">
        <v>1561</v>
      </c>
      <c r="C107" s="230">
        <f>C$104*'Methanol recycling rates'!E44</f>
        <v>0</v>
      </c>
      <c r="D107" s="230">
        <f>D$104*'Methanol recycling rates'!F44</f>
        <v>3.2402111006468899E-3</v>
      </c>
      <c r="E107" s="230">
        <f>E$104*'Methanol recycling rates'!G44</f>
        <v>6.866996767294368E-3</v>
      </c>
      <c r="F107" s="230">
        <f>F$104*'Methanol recycling rates'!H44</f>
        <v>1.0874204210108474E-2</v>
      </c>
      <c r="G107" s="230">
        <f>G$104*'Methanol recycling rates'!I44</f>
        <v>1.5250366401290108E-2</v>
      </c>
      <c r="H107" s="230">
        <f>H$104*'Methanol recycling rates'!J44</f>
        <v>1.9978611222163802E-2</v>
      </c>
      <c r="I107" s="230">
        <f>I$104*'Methanol recycling rates'!K44</f>
        <v>2.5090682048010158E-2</v>
      </c>
      <c r="J107" s="230">
        <f>J$104*'Methanol recycling rates'!L44</f>
        <v>3.0594057636517204E-2</v>
      </c>
      <c r="K107" s="230">
        <f>K$104*'Methanol recycling rates'!M44</f>
        <v>3.6495383733216182E-2</v>
      </c>
      <c r="L107" s="230">
        <f>L$104*'Methanol recycling rates'!N44</f>
        <v>4.2800419830725377E-2</v>
      </c>
      <c r="M107" s="230">
        <f>M$104*'Methanol recycling rates'!O44</f>
        <v>4.9513987535804216E-2</v>
      </c>
      <c r="N107" s="230">
        <f>N$104*'Methanol recycling rates'!P44</f>
        <v>5.830576293592709E-2</v>
      </c>
      <c r="O107" s="230">
        <f>O$104*'Methanol recycling rates'!Q44</f>
        <v>6.774314836172568E-2</v>
      </c>
      <c r="P107" s="230">
        <f>P$104*'Methanol recycling rates'!R44</f>
        <v>7.7786907155967949E-2</v>
      </c>
      <c r="Q107" s="230">
        <f>Q$104*'Methanol recycling rates'!S44</f>
        <v>8.8389821796432386E-2</v>
      </c>
      <c r="R107" s="230">
        <f>R$104*'Methanol recycling rates'!T44</f>
        <v>9.9497001177685562E-2</v>
      </c>
      <c r="S107" s="230">
        <f>S$104*'Methanol recycling rates'!U44</f>
        <v>0.1112463752469139</v>
      </c>
      <c r="T107" s="230">
        <f>T$104*'Methanol recycling rates'!V44</f>
        <v>0.12363521851233135</v>
      </c>
      <c r="U107" s="230">
        <f>U$104*'Methanol recycling rates'!W44</f>
        <v>0.13665998343421784</v>
      </c>
      <c r="V107" s="230">
        <f>V$104*'Methanol recycling rates'!X44</f>
        <v>0.15031629000331312</v>
      </c>
      <c r="W107" s="230">
        <f>W$104*'Methanol recycling rates'!Y44</f>
        <v>0.16459891618120798</v>
      </c>
      <c r="X107" s="230">
        <f>X$104*'Methanol recycling rates'!Z44</f>
        <v>0.18333282786180727</v>
      </c>
      <c r="Y107" s="230">
        <f>Y$104*'Methanol recycling rates'!AA44</f>
        <v>0.20305635467175973</v>
      </c>
      <c r="Z107" s="230">
        <f>Z$104*'Methanol recycling rates'!AB44</f>
        <v>0.22376104610873943</v>
      </c>
      <c r="AA107" s="230">
        <f>AA$104*'Methanol recycling rates'!AC44</f>
        <v>0.24543715908159799</v>
      </c>
      <c r="AB107" s="230">
        <f>AB$104*'Methanol recycling rates'!AD44</f>
        <v>0.26807364657225136</v>
      </c>
      <c r="AC107" s="230">
        <f>AC$104*'Methanol recycling rates'!AE44</f>
        <v>0.29166090502711717</v>
      </c>
      <c r="AD107" s="230">
        <f>AD$104*'Methanol recycling rates'!AF44</f>
        <v>0.31618595035075209</v>
      </c>
      <c r="AE107" s="230">
        <f>AE$104*'Methanol recycling rates'!AG44</f>
        <v>0.34163452212293993</v>
      </c>
      <c r="AF107" s="230">
        <f>AF$104*'Methanol recycling rates'!AH44</f>
        <v>0.36799107635704376</v>
      </c>
      <c r="AG107" s="230">
        <f>AG$104*'Methanol recycling rates'!AI44</f>
        <v>0.39523877951694958</v>
      </c>
      <c r="AH107" s="245"/>
      <c r="AI107" s="133"/>
      <c r="AJ107" s="211"/>
      <c r="AL107" s="108"/>
      <c r="AM107" s="2"/>
      <c r="AN107" s="2"/>
      <c r="AO107" s="2"/>
      <c r="BC107" s="1"/>
      <c r="BD107" s="2"/>
      <c r="BE107" s="2"/>
      <c r="BF107" s="2"/>
      <c r="BG107" s="2"/>
      <c r="BH107" s="2"/>
      <c r="BI107" s="2"/>
      <c r="BJ107" s="2"/>
      <c r="BK107" s="2"/>
    </row>
    <row r="108" spans="1:63" s="1" customFormat="1" outlineLevel="1" x14ac:dyDescent="0.2">
      <c r="A108" s="1" t="s">
        <v>1570</v>
      </c>
      <c r="B108" s="65"/>
      <c r="C108" s="300">
        <f>C104-$C104</f>
        <v>0</v>
      </c>
      <c r="D108" s="300">
        <f t="shared" ref="D108:AG108" si="51">D104-$C104</f>
        <v>1.1642582150323322E-2</v>
      </c>
      <c r="E108" s="300">
        <f t="shared" si="51"/>
        <v>2.3239819130340955E-2</v>
      </c>
      <c r="F108" s="300">
        <f t="shared" si="51"/>
        <v>3.4714000313679383E-2</v>
      </c>
      <c r="G108" s="300">
        <f t="shared" si="51"/>
        <v>4.5985412130861547E-2</v>
      </c>
      <c r="H108" s="300">
        <f t="shared" si="51"/>
        <v>5.6973250777475559E-2</v>
      </c>
      <c r="I108" s="300">
        <f t="shared" si="51"/>
        <v>6.8136736591611513E-2</v>
      </c>
      <c r="J108" s="300">
        <f t="shared" si="51"/>
        <v>7.9464695853085965E-2</v>
      </c>
      <c r="K108" s="300">
        <f t="shared" si="51"/>
        <v>9.0945294110631292E-2</v>
      </c>
      <c r="L108" s="300">
        <f t="shared" si="51"/>
        <v>0.10256604831634575</v>
      </c>
      <c r="M108" s="300">
        <f t="shared" si="51"/>
        <v>0.11431384132633521</v>
      </c>
      <c r="N108" s="300">
        <f t="shared" si="51"/>
        <v>0.13526135030747588</v>
      </c>
      <c r="O108" s="300">
        <f t="shared" si="51"/>
        <v>0.15594565792013831</v>
      </c>
      <c r="P108" s="300">
        <f t="shared" si="51"/>
        <v>0.17624641067751584</v>
      </c>
      <c r="Q108" s="300">
        <f t="shared" si="51"/>
        <v>0.19604343809622016</v>
      </c>
      <c r="R108" s="300">
        <f t="shared" si="51"/>
        <v>0.21521792082225222</v>
      </c>
      <c r="S108" s="300">
        <f t="shared" si="51"/>
        <v>0.23440382328743703</v>
      </c>
      <c r="T108" s="300">
        <f t="shared" si="51"/>
        <v>0.25358951086091469</v>
      </c>
      <c r="U108" s="300">
        <f t="shared" si="51"/>
        <v>0.27276319422556938</v>
      </c>
      <c r="V108" s="300">
        <f t="shared" si="51"/>
        <v>0.29191293717460398</v>
      </c>
      <c r="W108" s="300">
        <f t="shared" si="51"/>
        <v>0.3110266646551339</v>
      </c>
      <c r="X108" s="300">
        <f t="shared" si="51"/>
        <v>0.34103799571667354</v>
      </c>
      <c r="Y108" s="300">
        <f t="shared" si="51"/>
        <v>0.37101997430721828</v>
      </c>
      <c r="Z108" s="300">
        <f t="shared" si="51"/>
        <v>0.400954384221265</v>
      </c>
      <c r="AA108" s="300">
        <f t="shared" si="51"/>
        <v>0.43082281381550497</v>
      </c>
      <c r="AB108" s="300">
        <f t="shared" si="51"/>
        <v>0.46060666788491317</v>
      </c>
      <c r="AC108" s="300">
        <f t="shared" si="51"/>
        <v>0.49029354309716494</v>
      </c>
      <c r="AD108" s="300">
        <f t="shared" si="51"/>
        <v>0.5198653613354034</v>
      </c>
      <c r="AE108" s="300">
        <f t="shared" si="51"/>
        <v>0.54930389208923835</v>
      </c>
      <c r="AF108" s="300">
        <f t="shared" si="51"/>
        <v>0.57859076374677287</v>
      </c>
      <c r="AG108" s="300">
        <f t="shared" si="51"/>
        <v>0.60770747514540902</v>
      </c>
      <c r="AH108" s="245"/>
      <c r="AI108" s="423"/>
      <c r="AJ108" s="424"/>
      <c r="AL108" s="221"/>
      <c r="AM108" s="124"/>
      <c r="AN108" s="124"/>
      <c r="AO108" s="124"/>
      <c r="BD108" s="124"/>
      <c r="BE108" s="124"/>
      <c r="BF108" s="124"/>
      <c r="BG108" s="124"/>
      <c r="BH108" s="124"/>
      <c r="BI108" s="124"/>
      <c r="BJ108" s="124"/>
      <c r="BK108" s="124"/>
    </row>
    <row r="109" spans="1:63" outlineLevel="1" x14ac:dyDescent="0.2">
      <c r="A109" s="4" t="s">
        <v>474</v>
      </c>
      <c r="C109" s="230">
        <f t="shared" ref="C109:AF111" si="52">C105-$C105</f>
        <v>0</v>
      </c>
      <c r="D109" s="230">
        <f t="shared" si="52"/>
        <v>5.1621599490295489E-3</v>
      </c>
      <c r="E109" s="230">
        <f t="shared" si="52"/>
        <v>9.5058255957522209E-3</v>
      </c>
      <c r="F109" s="230">
        <f t="shared" si="52"/>
        <v>1.2965591893462441E-2</v>
      </c>
      <c r="G109" s="230">
        <f t="shared" si="52"/>
        <v>1.5484679328281348E-2</v>
      </c>
      <c r="H109" s="230">
        <f t="shared" si="52"/>
        <v>1.701602833314797E-2</v>
      </c>
      <c r="I109" s="230">
        <f t="shared" si="52"/>
        <v>1.7955372495591204E-2</v>
      </c>
      <c r="J109" s="230">
        <f t="shared" si="52"/>
        <v>1.8276580580051577E-2</v>
      </c>
      <c r="K109" s="230">
        <f t="shared" si="52"/>
        <v>1.7954526644198943E-2</v>
      </c>
      <c r="L109" s="230">
        <f t="shared" si="52"/>
        <v>1.6965208654895009E-2</v>
      </c>
      <c r="M109" s="230">
        <f t="shared" si="52"/>
        <v>1.5285866254726804E-2</v>
      </c>
      <c r="N109" s="230">
        <f t="shared" si="52"/>
        <v>1.8649824435621715E-2</v>
      </c>
      <c r="O109" s="230">
        <f t="shared" si="52"/>
        <v>2.0459361196686981E-2</v>
      </c>
      <c r="P109" s="230">
        <f t="shared" si="52"/>
        <v>2.067259636557997E-2</v>
      </c>
      <c r="Q109" s="230">
        <f t="shared" si="52"/>
        <v>1.9263794503355414E-2</v>
      </c>
      <c r="R109" s="230">
        <f t="shared" si="52"/>
        <v>1.6223918466881121E-2</v>
      </c>
      <c r="S109" s="230">
        <f t="shared" si="52"/>
        <v>1.1911072793609284E-2</v>
      </c>
      <c r="T109" s="230">
        <f t="shared" si="52"/>
        <v>6.3190738362520482E-3</v>
      </c>
      <c r="U109" s="230">
        <f t="shared" si="52"/>
        <v>-5.5677264286624339E-4</v>
      </c>
      <c r="V109" s="230">
        <f t="shared" si="52"/>
        <v>-8.7196428320222008E-3</v>
      </c>
      <c r="W109" s="230">
        <f t="shared" si="52"/>
        <v>-1.8171167707282027E-2</v>
      </c>
      <c r="X109" s="230">
        <f t="shared" si="52"/>
        <v>-2.5627660006940917E-2</v>
      </c>
      <c r="Y109" s="230">
        <f t="shared" si="52"/>
        <v>-3.5092735036301087E-2</v>
      </c>
      <c r="Z109" s="230">
        <f t="shared" si="52"/>
        <v>-4.6567707996213792E-2</v>
      </c>
      <c r="AA109" s="230">
        <f t="shared" si="52"/>
        <v>-6.0051504347690965E-2</v>
      </c>
      <c r="AB109" s="230">
        <f t="shared" si="52"/>
        <v>-7.554062525958942E-2</v>
      </c>
      <c r="AC109" s="230">
        <f t="shared" si="52"/>
        <v>-9.3028266957069283E-2</v>
      </c>
      <c r="AD109" s="230">
        <f t="shared" si="52"/>
        <v>-0.1125065393661006</v>
      </c>
      <c r="AE109" s="230">
        <f t="shared" si="52"/>
        <v>-0.13396515215664137</v>
      </c>
      <c r="AF109" s="230">
        <f t="shared" si="52"/>
        <v>-0.1573913889673145</v>
      </c>
      <c r="AG109" s="230">
        <f>AG105-$C105</f>
        <v>-0.18277008388849009</v>
      </c>
      <c r="AH109" s="245"/>
      <c r="AI109" s="133"/>
      <c r="AJ109" s="211"/>
      <c r="AL109" s="108"/>
      <c r="AM109" s="2"/>
      <c r="AN109" s="2"/>
      <c r="AO109" s="2"/>
      <c r="BC109" s="1"/>
      <c r="BD109" s="2"/>
      <c r="BE109" s="2"/>
      <c r="BF109" s="2"/>
      <c r="BG109" s="2"/>
      <c r="BH109" s="2"/>
      <c r="BI109" s="2"/>
      <c r="BJ109" s="2"/>
      <c r="BK109" s="2"/>
    </row>
    <row r="110" spans="1:63" outlineLevel="1" x14ac:dyDescent="0.2">
      <c r="A110" s="4" t="s">
        <v>745</v>
      </c>
      <c r="C110" s="230">
        <f t="shared" si="52"/>
        <v>0</v>
      </c>
      <c r="D110" s="230">
        <f t="shared" si="52"/>
        <v>3.2402111006468899E-3</v>
      </c>
      <c r="E110" s="230">
        <f t="shared" si="52"/>
        <v>6.866996767294368E-3</v>
      </c>
      <c r="F110" s="230">
        <f t="shared" si="52"/>
        <v>1.0874204210108474E-2</v>
      </c>
      <c r="G110" s="230">
        <f t="shared" si="52"/>
        <v>1.5250366401290108E-2</v>
      </c>
      <c r="H110" s="230">
        <f t="shared" si="52"/>
        <v>1.9978611222163802E-2</v>
      </c>
      <c r="I110" s="230">
        <f t="shared" si="52"/>
        <v>2.5090682048010158E-2</v>
      </c>
      <c r="J110" s="230">
        <f t="shared" si="52"/>
        <v>3.0594057636517204E-2</v>
      </c>
      <c r="K110" s="230">
        <f t="shared" si="52"/>
        <v>3.6495383733216182E-2</v>
      </c>
      <c r="L110" s="230">
        <f t="shared" si="52"/>
        <v>4.2800419830725377E-2</v>
      </c>
      <c r="M110" s="230">
        <f t="shared" si="52"/>
        <v>4.9513987535804216E-2</v>
      </c>
      <c r="N110" s="230">
        <f t="shared" si="52"/>
        <v>5.830576293592709E-2</v>
      </c>
      <c r="O110" s="230">
        <f t="shared" si="52"/>
        <v>6.774314836172568E-2</v>
      </c>
      <c r="P110" s="230">
        <f t="shared" si="52"/>
        <v>7.7786907155967949E-2</v>
      </c>
      <c r="Q110" s="230">
        <f t="shared" si="52"/>
        <v>8.8389821796432386E-2</v>
      </c>
      <c r="R110" s="230">
        <f t="shared" si="52"/>
        <v>9.9497001177685562E-2</v>
      </c>
      <c r="S110" s="230">
        <f t="shared" si="52"/>
        <v>0.1112463752469139</v>
      </c>
      <c r="T110" s="230">
        <f t="shared" si="52"/>
        <v>0.12363521851233135</v>
      </c>
      <c r="U110" s="230">
        <f t="shared" si="52"/>
        <v>0.13665998343421784</v>
      </c>
      <c r="V110" s="230">
        <f t="shared" si="52"/>
        <v>0.15031629000331312</v>
      </c>
      <c r="W110" s="230">
        <f t="shared" si="52"/>
        <v>0.16459891618120798</v>
      </c>
      <c r="X110" s="230">
        <f t="shared" si="52"/>
        <v>0.18333282786180727</v>
      </c>
      <c r="Y110" s="230">
        <f t="shared" si="52"/>
        <v>0.20305635467175973</v>
      </c>
      <c r="Z110" s="230">
        <f t="shared" si="52"/>
        <v>0.22376104610873943</v>
      </c>
      <c r="AA110" s="230">
        <f t="shared" si="52"/>
        <v>0.24543715908159799</v>
      </c>
      <c r="AB110" s="230">
        <f t="shared" si="52"/>
        <v>0.26807364657225136</v>
      </c>
      <c r="AC110" s="230">
        <f t="shared" si="52"/>
        <v>0.29166090502711717</v>
      </c>
      <c r="AD110" s="230">
        <f t="shared" si="52"/>
        <v>0.31618595035075209</v>
      </c>
      <c r="AE110" s="230">
        <f t="shared" si="52"/>
        <v>0.34163452212293993</v>
      </c>
      <c r="AF110" s="230">
        <f t="shared" si="52"/>
        <v>0.36799107635704376</v>
      </c>
      <c r="AG110" s="230">
        <f t="shared" ref="AG110:AG111" si="53">AG106-$C106</f>
        <v>0.39523877951694958</v>
      </c>
      <c r="AH110" s="245"/>
      <c r="AI110" s="133"/>
      <c r="AJ110" s="211"/>
      <c r="AL110" s="108"/>
      <c r="AM110" s="2"/>
      <c r="AN110" s="2"/>
      <c r="AO110" s="2"/>
      <c r="BC110" s="1"/>
      <c r="BD110" s="2"/>
      <c r="BE110" s="2"/>
      <c r="BF110" s="2"/>
      <c r="BG110" s="2"/>
      <c r="BH110" s="2"/>
      <c r="BI110" s="2"/>
      <c r="BJ110" s="2"/>
      <c r="BK110" s="2"/>
    </row>
    <row r="111" spans="1:63" outlineLevel="1" x14ac:dyDescent="0.2">
      <c r="A111" s="4" t="s">
        <v>1561</v>
      </c>
      <c r="C111" s="230">
        <f t="shared" si="52"/>
        <v>0</v>
      </c>
      <c r="D111" s="230">
        <f t="shared" si="52"/>
        <v>3.2402111006468899E-3</v>
      </c>
      <c r="E111" s="230">
        <f t="shared" si="52"/>
        <v>6.866996767294368E-3</v>
      </c>
      <c r="F111" s="230">
        <f t="shared" si="52"/>
        <v>1.0874204210108474E-2</v>
      </c>
      <c r="G111" s="230">
        <f t="shared" si="52"/>
        <v>1.5250366401290108E-2</v>
      </c>
      <c r="H111" s="230">
        <f t="shared" si="52"/>
        <v>1.9978611222163802E-2</v>
      </c>
      <c r="I111" s="230">
        <f t="shared" si="52"/>
        <v>2.5090682048010158E-2</v>
      </c>
      <c r="J111" s="230">
        <f t="shared" si="52"/>
        <v>3.0594057636517204E-2</v>
      </c>
      <c r="K111" s="230">
        <f t="shared" si="52"/>
        <v>3.6495383733216182E-2</v>
      </c>
      <c r="L111" s="230">
        <f t="shared" si="52"/>
        <v>4.2800419830725377E-2</v>
      </c>
      <c r="M111" s="230">
        <f t="shared" si="52"/>
        <v>4.9513987535804216E-2</v>
      </c>
      <c r="N111" s="230">
        <f t="shared" si="52"/>
        <v>5.830576293592709E-2</v>
      </c>
      <c r="O111" s="230">
        <f t="shared" si="52"/>
        <v>6.774314836172568E-2</v>
      </c>
      <c r="P111" s="230">
        <f t="shared" si="52"/>
        <v>7.7786907155967949E-2</v>
      </c>
      <c r="Q111" s="230">
        <f t="shared" si="52"/>
        <v>8.8389821796432386E-2</v>
      </c>
      <c r="R111" s="230">
        <f t="shared" si="52"/>
        <v>9.9497001177685562E-2</v>
      </c>
      <c r="S111" s="230">
        <f t="shared" si="52"/>
        <v>0.1112463752469139</v>
      </c>
      <c r="T111" s="230">
        <f t="shared" si="52"/>
        <v>0.12363521851233135</v>
      </c>
      <c r="U111" s="230">
        <f t="shared" si="52"/>
        <v>0.13665998343421784</v>
      </c>
      <c r="V111" s="230">
        <f t="shared" si="52"/>
        <v>0.15031629000331312</v>
      </c>
      <c r="W111" s="230">
        <f t="shared" si="52"/>
        <v>0.16459891618120798</v>
      </c>
      <c r="X111" s="230">
        <f t="shared" si="52"/>
        <v>0.18333282786180727</v>
      </c>
      <c r="Y111" s="230">
        <f t="shared" si="52"/>
        <v>0.20305635467175973</v>
      </c>
      <c r="Z111" s="230">
        <f t="shared" si="52"/>
        <v>0.22376104610873943</v>
      </c>
      <c r="AA111" s="230">
        <f t="shared" si="52"/>
        <v>0.24543715908159799</v>
      </c>
      <c r="AB111" s="230">
        <f t="shared" si="52"/>
        <v>0.26807364657225136</v>
      </c>
      <c r="AC111" s="230">
        <f t="shared" si="52"/>
        <v>0.29166090502711717</v>
      </c>
      <c r="AD111" s="230">
        <f t="shared" si="52"/>
        <v>0.31618595035075209</v>
      </c>
      <c r="AE111" s="230">
        <f t="shared" si="52"/>
        <v>0.34163452212293993</v>
      </c>
      <c r="AF111" s="230">
        <f t="shared" si="52"/>
        <v>0.36799107635704376</v>
      </c>
      <c r="AG111" s="230">
        <f t="shared" si="53"/>
        <v>0.39523877951694958</v>
      </c>
      <c r="AH111" s="245"/>
      <c r="AI111" s="133"/>
      <c r="AJ111" s="211"/>
      <c r="AL111" s="108"/>
      <c r="AM111" s="2"/>
      <c r="AN111" s="2"/>
      <c r="AO111" s="2"/>
      <c r="BC111" s="1"/>
      <c r="BD111" s="2"/>
      <c r="BE111" s="2"/>
      <c r="BF111" s="2"/>
      <c r="BG111" s="2"/>
      <c r="BH111" s="2"/>
      <c r="BI111" s="2"/>
      <c r="BJ111" s="2"/>
      <c r="BK111" s="2"/>
    </row>
    <row r="112" spans="1:63" outlineLevel="1" x14ac:dyDescent="0.2">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I112" s="134"/>
      <c r="AJ112" s="211"/>
      <c r="AL112" s="108"/>
      <c r="AM112" s="132"/>
      <c r="AN112" s="2"/>
      <c r="AO112" s="2"/>
    </row>
    <row r="113" spans="1:62" s="200" customFormat="1" ht="16" thickBot="1" x14ac:dyDescent="0.25">
      <c r="A113" s="200" t="s">
        <v>1330</v>
      </c>
      <c r="B113" s="215"/>
      <c r="C113" s="222">
        <f>C114</f>
        <v>2.5000000000000001E-2</v>
      </c>
      <c r="D113" s="222">
        <f t="shared" ref="D113:AG113" si="54">D114</f>
        <v>3.1255416735465176E-2</v>
      </c>
      <c r="E113" s="222">
        <f t="shared" si="54"/>
        <v>3.7510833470930344E-2</v>
      </c>
      <c r="F113" s="222">
        <f t="shared" si="54"/>
        <v>4.3766250206395518E-2</v>
      </c>
      <c r="G113" s="222">
        <f t="shared" si="54"/>
        <v>5.0021666941860693E-2</v>
      </c>
      <c r="H113" s="222">
        <f t="shared" si="54"/>
        <v>5.6277083677325861E-2</v>
      </c>
      <c r="I113" s="222">
        <f t="shared" si="54"/>
        <v>6.2532500412791042E-2</v>
      </c>
      <c r="J113" s="222">
        <f t="shared" si="54"/>
        <v>6.8787917148256203E-2</v>
      </c>
      <c r="K113" s="222">
        <f t="shared" si="54"/>
        <v>7.5043333883721378E-2</v>
      </c>
      <c r="L113" s="222">
        <f t="shared" si="54"/>
        <v>8.1298750619186552E-2</v>
      </c>
      <c r="M113" s="222">
        <f t="shared" si="54"/>
        <v>8.7554167354651713E-2</v>
      </c>
      <c r="N113" s="222">
        <f t="shared" si="54"/>
        <v>0.10073866108940137</v>
      </c>
      <c r="O113" s="222">
        <f t="shared" si="54"/>
        <v>0.11392315482415102</v>
      </c>
      <c r="P113" s="222">
        <f t="shared" si="54"/>
        <v>0.12710764855890069</v>
      </c>
      <c r="Q113" s="222">
        <f t="shared" si="54"/>
        <v>0.14029214229365033</v>
      </c>
      <c r="R113" s="222">
        <f t="shared" si="54"/>
        <v>0.1534766360284</v>
      </c>
      <c r="S113" s="222">
        <f t="shared" si="54"/>
        <v>0.16666112976314967</v>
      </c>
      <c r="T113" s="222">
        <f t="shared" si="54"/>
        <v>0.17984562349789934</v>
      </c>
      <c r="U113" s="222">
        <f t="shared" si="54"/>
        <v>0.19303011723264898</v>
      </c>
      <c r="V113" s="222">
        <f t="shared" si="54"/>
        <v>0.20621461096739863</v>
      </c>
      <c r="W113" s="222">
        <f t="shared" si="54"/>
        <v>0.2193991047021483</v>
      </c>
      <c r="X113" s="222">
        <f t="shared" si="54"/>
        <v>0.24145919423193346</v>
      </c>
      <c r="Y113" s="222">
        <f t="shared" si="54"/>
        <v>0.26351928376171863</v>
      </c>
      <c r="Z113" s="222">
        <f t="shared" si="54"/>
        <v>0.28557937329150385</v>
      </c>
      <c r="AA113" s="222">
        <f t="shared" si="54"/>
        <v>0.30763946282128896</v>
      </c>
      <c r="AB113" s="222">
        <f t="shared" si="54"/>
        <v>0.32969955235107418</v>
      </c>
      <c r="AC113" s="222">
        <f t="shared" si="54"/>
        <v>0.35175964188085934</v>
      </c>
      <c r="AD113" s="222">
        <f t="shared" si="54"/>
        <v>0.37381973141064451</v>
      </c>
      <c r="AE113" s="222">
        <f t="shared" si="54"/>
        <v>0.39587982094042967</v>
      </c>
      <c r="AF113" s="222">
        <f t="shared" si="54"/>
        <v>0.41793991047021484</v>
      </c>
      <c r="AG113" s="222">
        <f t="shared" si="54"/>
        <v>0.44</v>
      </c>
      <c r="AJ113" s="231" t="s">
        <v>1331</v>
      </c>
      <c r="AL113" s="217"/>
      <c r="AM113" s="218"/>
      <c r="AN113" s="218"/>
      <c r="AO113" s="218"/>
    </row>
    <row r="114" spans="1:62" ht="16" outlineLevel="1" thickTop="1" x14ac:dyDescent="0.2">
      <c r="A114" t="s">
        <v>1332</v>
      </c>
      <c r="B114" s="54" t="s">
        <v>462</v>
      </c>
      <c r="C114" s="214">
        <v>2.5000000000000001E-2</v>
      </c>
      <c r="D114" s="110">
        <f>$C114+($M114-$C114)/10*(D$1-$C$1)</f>
        <v>3.1255416735465176E-2</v>
      </c>
      <c r="E114" s="110">
        <f t="shared" ref="E114:L114" si="55">$C114+($M114-$C114)/10*(E$1-$C$1)</f>
        <v>3.7510833470930344E-2</v>
      </c>
      <c r="F114" s="110">
        <f t="shared" si="55"/>
        <v>4.3766250206395518E-2</v>
      </c>
      <c r="G114" s="110">
        <f t="shared" si="55"/>
        <v>5.0021666941860693E-2</v>
      </c>
      <c r="H114" s="110">
        <f t="shared" si="55"/>
        <v>5.6277083677325861E-2</v>
      </c>
      <c r="I114" s="110">
        <f t="shared" si="55"/>
        <v>6.2532500412791042E-2</v>
      </c>
      <c r="J114" s="110">
        <f t="shared" si="55"/>
        <v>6.8787917148256203E-2</v>
      </c>
      <c r="K114" s="110">
        <f t="shared" si="55"/>
        <v>7.5043333883721378E-2</v>
      </c>
      <c r="L114" s="110">
        <f t="shared" si="55"/>
        <v>8.1298750619186552E-2</v>
      </c>
      <c r="M114" s="121">
        <f>(M$52-$C$52)/($AG$52-$C$52)*($AG114-$C114)+$C114</f>
        <v>8.7554167354651713E-2</v>
      </c>
      <c r="N114" s="121">
        <f>$M114+($W114-$M114)/10*(N$1-$M$1)</f>
        <v>0.10073866108940137</v>
      </c>
      <c r="O114" s="121">
        <f t="shared" ref="O114:U114" si="56">$M114+($W114-$M114)/10*(O$1-$M$1)</f>
        <v>0.11392315482415102</v>
      </c>
      <c r="P114" s="121">
        <f t="shared" si="56"/>
        <v>0.12710764855890069</v>
      </c>
      <c r="Q114" s="121">
        <f t="shared" si="56"/>
        <v>0.14029214229365033</v>
      </c>
      <c r="R114" s="121">
        <f t="shared" si="56"/>
        <v>0.1534766360284</v>
      </c>
      <c r="S114" s="121">
        <f t="shared" si="56"/>
        <v>0.16666112976314967</v>
      </c>
      <c r="T114" s="121">
        <f t="shared" si="56"/>
        <v>0.17984562349789934</v>
      </c>
      <c r="U114" s="121">
        <f t="shared" si="56"/>
        <v>0.19303011723264898</v>
      </c>
      <c r="V114" s="121">
        <f>$M114+($W114-$M114)/10*(V$1-$M$1)</f>
        <v>0.20621461096739863</v>
      </c>
      <c r="W114" s="121">
        <f>(W$52-$C$52)/($AG$52-$C$52)*($AG114-$C114)+$C114</f>
        <v>0.2193991047021483</v>
      </c>
      <c r="X114" s="110">
        <f>$W114+($AG114-$W114)/10*(X$1-$W$1)</f>
        <v>0.24145919423193346</v>
      </c>
      <c r="Y114" s="110">
        <f t="shared" ref="Y114:AF114" si="57">$W114+($AG114-$W114)/10*(Y$1-$W$1)</f>
        <v>0.26351928376171863</v>
      </c>
      <c r="Z114" s="110">
        <f t="shared" si="57"/>
        <v>0.28557937329150385</v>
      </c>
      <c r="AA114" s="110">
        <f t="shared" si="57"/>
        <v>0.30763946282128896</v>
      </c>
      <c r="AB114" s="110">
        <f t="shared" si="57"/>
        <v>0.32969955235107418</v>
      </c>
      <c r="AC114" s="110">
        <f t="shared" si="57"/>
        <v>0.35175964188085934</v>
      </c>
      <c r="AD114" s="110">
        <f t="shared" si="57"/>
        <v>0.37381973141064451</v>
      </c>
      <c r="AE114" s="110">
        <f t="shared" si="57"/>
        <v>0.39587982094042967</v>
      </c>
      <c r="AF114" s="110">
        <f t="shared" si="57"/>
        <v>0.41793991047021484</v>
      </c>
      <c r="AG114" s="214">
        <v>0.44</v>
      </c>
      <c r="AJ114" s="211" t="s">
        <v>1436</v>
      </c>
    </row>
    <row r="115" spans="1:62" outlineLevel="1" x14ac:dyDescent="0.2">
      <c r="A115" t="s">
        <v>1437</v>
      </c>
      <c r="B115" s="54" t="s">
        <v>462</v>
      </c>
      <c r="C115" s="214">
        <v>0.08</v>
      </c>
      <c r="D115" s="110">
        <f t="shared" ref="D115:AF115" si="58">C115-($C$115-$AG$115)/($AG$1-$C$1)</f>
        <v>0.10400000000000001</v>
      </c>
      <c r="E115" s="110">
        <f t="shared" si="58"/>
        <v>0.128</v>
      </c>
      <c r="F115" s="110">
        <f t="shared" si="58"/>
        <v>0.152</v>
      </c>
      <c r="G115" s="110">
        <f t="shared" si="58"/>
        <v>0.17599999999999999</v>
      </c>
      <c r="H115" s="110">
        <f t="shared" si="58"/>
        <v>0.19999999999999998</v>
      </c>
      <c r="I115" s="110">
        <f t="shared" si="58"/>
        <v>0.22399999999999998</v>
      </c>
      <c r="J115" s="110">
        <f t="shared" si="58"/>
        <v>0.24799999999999997</v>
      </c>
      <c r="K115" s="110">
        <f t="shared" si="58"/>
        <v>0.27199999999999996</v>
      </c>
      <c r="L115" s="110">
        <f t="shared" si="58"/>
        <v>0.29599999999999999</v>
      </c>
      <c r="M115" s="110">
        <f t="shared" si="58"/>
        <v>0.32</v>
      </c>
      <c r="N115" s="110">
        <f t="shared" si="58"/>
        <v>0.34400000000000003</v>
      </c>
      <c r="O115" s="110">
        <f t="shared" si="58"/>
        <v>0.36800000000000005</v>
      </c>
      <c r="P115" s="110">
        <f t="shared" si="58"/>
        <v>0.39200000000000007</v>
      </c>
      <c r="Q115" s="110">
        <f t="shared" si="58"/>
        <v>0.41600000000000009</v>
      </c>
      <c r="R115" s="110">
        <f t="shared" si="58"/>
        <v>0.44000000000000011</v>
      </c>
      <c r="S115" s="110">
        <f t="shared" si="58"/>
        <v>0.46400000000000013</v>
      </c>
      <c r="T115" s="110">
        <f t="shared" si="58"/>
        <v>0.48800000000000016</v>
      </c>
      <c r="U115" s="110">
        <f t="shared" si="58"/>
        <v>0.51200000000000012</v>
      </c>
      <c r="V115" s="110">
        <f t="shared" si="58"/>
        <v>0.53600000000000014</v>
      </c>
      <c r="W115" s="110">
        <f t="shared" si="58"/>
        <v>0.56000000000000016</v>
      </c>
      <c r="X115" s="110">
        <f t="shared" si="58"/>
        <v>0.58400000000000019</v>
      </c>
      <c r="Y115" s="110">
        <f t="shared" si="58"/>
        <v>0.60800000000000021</v>
      </c>
      <c r="Z115" s="110">
        <f t="shared" si="58"/>
        <v>0.63200000000000023</v>
      </c>
      <c r="AA115" s="110">
        <f t="shared" si="58"/>
        <v>0.65600000000000025</v>
      </c>
      <c r="AB115" s="110">
        <f t="shared" si="58"/>
        <v>0.68000000000000027</v>
      </c>
      <c r="AC115" s="110">
        <f t="shared" si="58"/>
        <v>0.70400000000000029</v>
      </c>
      <c r="AD115" s="110">
        <f t="shared" si="58"/>
        <v>0.72800000000000031</v>
      </c>
      <c r="AE115" s="110">
        <f t="shared" si="58"/>
        <v>0.75200000000000033</v>
      </c>
      <c r="AF115" s="110">
        <f t="shared" si="58"/>
        <v>0.77600000000000036</v>
      </c>
      <c r="AG115" s="214">
        <v>0.8</v>
      </c>
      <c r="AI115" s="134"/>
      <c r="AJ115" s="211" t="s">
        <v>1438</v>
      </c>
      <c r="AL115" s="54" t="s">
        <v>1439</v>
      </c>
    </row>
    <row r="116" spans="1:62" outlineLevel="1" x14ac:dyDescent="0.2">
      <c r="A116" t="s">
        <v>1440</v>
      </c>
      <c r="B116" s="176" t="s">
        <v>462</v>
      </c>
      <c r="C116" s="110">
        <f>1-C115</f>
        <v>0.92</v>
      </c>
      <c r="D116" s="110">
        <f t="shared" ref="D116:AG116" si="59">1-D115</f>
        <v>0.89600000000000002</v>
      </c>
      <c r="E116" s="110">
        <f t="shared" si="59"/>
        <v>0.872</v>
      </c>
      <c r="F116" s="110">
        <f t="shared" si="59"/>
        <v>0.84799999999999998</v>
      </c>
      <c r="G116" s="110">
        <f t="shared" si="59"/>
        <v>0.82400000000000007</v>
      </c>
      <c r="H116" s="110">
        <f t="shared" si="59"/>
        <v>0.8</v>
      </c>
      <c r="I116" s="110">
        <f t="shared" si="59"/>
        <v>0.77600000000000002</v>
      </c>
      <c r="J116" s="110">
        <f t="shared" si="59"/>
        <v>0.752</v>
      </c>
      <c r="K116" s="110">
        <f t="shared" si="59"/>
        <v>0.72799999999999998</v>
      </c>
      <c r="L116" s="110">
        <f t="shared" si="59"/>
        <v>0.70399999999999996</v>
      </c>
      <c r="M116" s="110">
        <f t="shared" si="59"/>
        <v>0.67999999999999994</v>
      </c>
      <c r="N116" s="110">
        <f t="shared" si="59"/>
        <v>0.65599999999999992</v>
      </c>
      <c r="O116" s="110">
        <f t="shared" si="59"/>
        <v>0.6319999999999999</v>
      </c>
      <c r="P116" s="110">
        <f t="shared" si="59"/>
        <v>0.60799999999999987</v>
      </c>
      <c r="Q116" s="110">
        <f t="shared" si="59"/>
        <v>0.58399999999999985</v>
      </c>
      <c r="R116" s="110">
        <f t="shared" si="59"/>
        <v>0.55999999999999983</v>
      </c>
      <c r="S116" s="110">
        <f t="shared" si="59"/>
        <v>0.53599999999999981</v>
      </c>
      <c r="T116" s="110">
        <f t="shared" si="59"/>
        <v>0.51199999999999979</v>
      </c>
      <c r="U116" s="110">
        <f t="shared" si="59"/>
        <v>0.48799999999999988</v>
      </c>
      <c r="V116" s="110">
        <f t="shared" si="59"/>
        <v>0.46399999999999986</v>
      </c>
      <c r="W116" s="110">
        <f t="shared" si="59"/>
        <v>0.43999999999999984</v>
      </c>
      <c r="X116" s="110">
        <f t="shared" si="59"/>
        <v>0.41599999999999981</v>
      </c>
      <c r="Y116" s="110">
        <f t="shared" si="59"/>
        <v>0.39199999999999979</v>
      </c>
      <c r="Z116" s="110">
        <f t="shared" si="59"/>
        <v>0.36799999999999977</v>
      </c>
      <c r="AA116" s="110">
        <f t="shared" si="59"/>
        <v>0.34399999999999975</v>
      </c>
      <c r="AB116" s="110">
        <f t="shared" si="59"/>
        <v>0.31999999999999973</v>
      </c>
      <c r="AC116" s="110">
        <f t="shared" si="59"/>
        <v>0.29599999999999971</v>
      </c>
      <c r="AD116" s="110">
        <f t="shared" si="59"/>
        <v>0.27199999999999969</v>
      </c>
      <c r="AE116" s="110">
        <f t="shared" si="59"/>
        <v>0.24799999999999967</v>
      </c>
      <c r="AF116" s="110">
        <f t="shared" si="59"/>
        <v>0.22399999999999964</v>
      </c>
      <c r="AG116" s="110">
        <f t="shared" si="59"/>
        <v>0.19999999999999996</v>
      </c>
      <c r="AI116" s="134"/>
      <c r="AJ116" s="211"/>
      <c r="BD116" s="686"/>
      <c r="BE116" s="686"/>
    </row>
    <row r="117" spans="1:62" outlineLevel="1" x14ac:dyDescent="0.2">
      <c r="A117" t="s">
        <v>1333</v>
      </c>
      <c r="B117" s="54" t="s">
        <v>462</v>
      </c>
      <c r="C117" s="110">
        <f>C114*C115</f>
        <v>2E-3</v>
      </c>
      <c r="D117" s="110">
        <f t="shared" ref="D117:AG117" si="60">D114*D115</f>
        <v>3.2505633404883785E-3</v>
      </c>
      <c r="E117" s="110">
        <f t="shared" si="60"/>
        <v>4.8013866842790843E-3</v>
      </c>
      <c r="F117" s="110">
        <f t="shared" si="60"/>
        <v>6.652470031372119E-3</v>
      </c>
      <c r="G117" s="110">
        <f t="shared" si="60"/>
        <v>8.8038133817674811E-3</v>
      </c>
      <c r="H117" s="110">
        <f t="shared" si="60"/>
        <v>1.125541673546517E-2</v>
      </c>
      <c r="I117" s="110">
        <f t="shared" si="60"/>
        <v>1.4007280092465192E-2</v>
      </c>
      <c r="J117" s="110">
        <f t="shared" si="60"/>
        <v>1.7059403452767536E-2</v>
      </c>
      <c r="K117" s="110">
        <f t="shared" si="60"/>
        <v>2.0411786816372211E-2</v>
      </c>
      <c r="L117" s="110">
        <f t="shared" si="60"/>
        <v>2.4064430183279219E-2</v>
      </c>
      <c r="M117" s="110">
        <f t="shared" si="60"/>
        <v>2.8017333553488549E-2</v>
      </c>
      <c r="N117" s="110">
        <f t="shared" si="60"/>
        <v>3.4654099414754072E-2</v>
      </c>
      <c r="O117" s="110">
        <f t="shared" si="60"/>
        <v>4.1923720975287584E-2</v>
      </c>
      <c r="P117" s="110">
        <f t="shared" si="60"/>
        <v>4.9826198235089082E-2</v>
      </c>
      <c r="Q117" s="110">
        <f t="shared" si="60"/>
        <v>5.8361531194158552E-2</v>
      </c>
      <c r="R117" s="110">
        <f t="shared" si="60"/>
        <v>6.752971985249602E-2</v>
      </c>
      <c r="S117" s="110">
        <f t="shared" si="60"/>
        <v>7.7330764210101474E-2</v>
      </c>
      <c r="T117" s="110">
        <f t="shared" si="60"/>
        <v>8.7764664266974907E-2</v>
      </c>
      <c r="U117" s="110">
        <f t="shared" si="60"/>
        <v>9.8831420023116304E-2</v>
      </c>
      <c r="V117" s="110">
        <f t="shared" si="60"/>
        <v>0.11053103147852569</v>
      </c>
      <c r="W117" s="110">
        <f t="shared" si="60"/>
        <v>0.12286349863320307</v>
      </c>
      <c r="X117" s="110">
        <f t="shared" si="60"/>
        <v>0.14101216943144917</v>
      </c>
      <c r="Y117" s="110">
        <f t="shared" si="60"/>
        <v>0.16021972452712499</v>
      </c>
      <c r="Z117" s="110">
        <f t="shared" si="60"/>
        <v>0.18048616392023051</v>
      </c>
      <c r="AA117" s="110">
        <f t="shared" si="60"/>
        <v>0.20181148761076564</v>
      </c>
      <c r="AB117" s="110">
        <f t="shared" si="60"/>
        <v>0.22419569559873054</v>
      </c>
      <c r="AC117" s="110">
        <f t="shared" si="60"/>
        <v>0.24763878788412508</v>
      </c>
      <c r="AD117" s="110">
        <f t="shared" si="60"/>
        <v>0.27214076446694929</v>
      </c>
      <c r="AE117" s="110">
        <f t="shared" si="60"/>
        <v>0.29770162534720324</v>
      </c>
      <c r="AF117" s="110">
        <f t="shared" si="60"/>
        <v>0.32432137052488685</v>
      </c>
      <c r="AG117" s="110">
        <f t="shared" si="60"/>
        <v>0.35200000000000004</v>
      </c>
      <c r="AI117" s="134"/>
      <c r="AJ117" s="211"/>
      <c r="BD117" s="203"/>
      <c r="BE117" s="203"/>
    </row>
    <row r="118" spans="1:62" outlineLevel="1" x14ac:dyDescent="0.2">
      <c r="A118" t="s">
        <v>1334</v>
      </c>
      <c r="B118" s="54" t="s">
        <v>462</v>
      </c>
      <c r="C118" s="110">
        <f>C114*C116</f>
        <v>2.3000000000000003E-2</v>
      </c>
      <c r="D118" s="110">
        <f t="shared" ref="D118:AG118" si="61">D114*D116</f>
        <v>2.8004853394976797E-2</v>
      </c>
      <c r="E118" s="110">
        <f t="shared" si="61"/>
        <v>3.2709446786651261E-2</v>
      </c>
      <c r="F118" s="110">
        <f t="shared" si="61"/>
        <v>3.7113780175023398E-2</v>
      </c>
      <c r="G118" s="110">
        <f t="shared" si="61"/>
        <v>4.1217853560093214E-2</v>
      </c>
      <c r="H118" s="110">
        <f t="shared" si="61"/>
        <v>4.5021666941860689E-2</v>
      </c>
      <c r="I118" s="110">
        <f t="shared" si="61"/>
        <v>4.852522032032585E-2</v>
      </c>
      <c r="J118" s="110">
        <f t="shared" si="61"/>
        <v>5.1728513695488663E-2</v>
      </c>
      <c r="K118" s="110">
        <f t="shared" si="61"/>
        <v>5.4631547067349163E-2</v>
      </c>
      <c r="L118" s="110">
        <f t="shared" si="61"/>
        <v>5.7234320435907329E-2</v>
      </c>
      <c r="M118" s="110">
        <f t="shared" si="61"/>
        <v>5.9536833801163161E-2</v>
      </c>
      <c r="N118" s="110">
        <f t="shared" si="61"/>
        <v>6.6084561674647282E-2</v>
      </c>
      <c r="O118" s="110">
        <f t="shared" si="61"/>
        <v>7.1999433848863439E-2</v>
      </c>
      <c r="P118" s="110">
        <f t="shared" si="61"/>
        <v>7.7281450323811604E-2</v>
      </c>
      <c r="Q118" s="110">
        <f t="shared" si="61"/>
        <v>8.1930611099491776E-2</v>
      </c>
      <c r="R118" s="110">
        <f t="shared" si="61"/>
        <v>8.594691617590397E-2</v>
      </c>
      <c r="S118" s="110">
        <f t="shared" si="61"/>
        <v>8.9330365553048199E-2</v>
      </c>
      <c r="T118" s="110">
        <f t="shared" si="61"/>
        <v>9.2080959230924422E-2</v>
      </c>
      <c r="U118" s="110">
        <f t="shared" si="61"/>
        <v>9.4198697209532681E-2</v>
      </c>
      <c r="V118" s="110">
        <f t="shared" si="61"/>
        <v>9.5683579488872933E-2</v>
      </c>
      <c r="W118" s="110">
        <f t="shared" si="61"/>
        <v>9.6535606068945221E-2</v>
      </c>
      <c r="X118" s="110">
        <f t="shared" si="61"/>
        <v>0.10044702480048427</v>
      </c>
      <c r="Y118" s="110">
        <f t="shared" si="61"/>
        <v>0.10329955923459365</v>
      </c>
      <c r="Z118" s="110">
        <f t="shared" si="61"/>
        <v>0.10509320937127335</v>
      </c>
      <c r="AA118" s="110">
        <f t="shared" si="61"/>
        <v>0.10582797521052333</v>
      </c>
      <c r="AB118" s="110">
        <f t="shared" si="61"/>
        <v>0.10550385675234365</v>
      </c>
      <c r="AC118" s="110">
        <f t="shared" si="61"/>
        <v>0.10412085399673426</v>
      </c>
      <c r="AD118" s="110">
        <f t="shared" si="61"/>
        <v>0.10167896694369519</v>
      </c>
      <c r="AE118" s="110">
        <f t="shared" si="61"/>
        <v>9.8178195593226422E-2</v>
      </c>
      <c r="AF118" s="110">
        <f t="shared" si="61"/>
        <v>9.3618539945327969E-2</v>
      </c>
      <c r="AG118" s="110">
        <f t="shared" si="61"/>
        <v>8.7999999999999981E-2</v>
      </c>
      <c r="AI118" s="134"/>
      <c r="AJ118" s="211"/>
      <c r="BD118" s="203"/>
      <c r="BE118" s="203"/>
    </row>
    <row r="119" spans="1:62" outlineLevel="1" x14ac:dyDescent="0.2">
      <c r="B119" s="176"/>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c r="AG119" s="110"/>
      <c r="AI119" s="134"/>
      <c r="AJ119" s="211"/>
      <c r="BD119" s="203"/>
      <c r="BE119" s="203"/>
    </row>
    <row r="120" spans="1:62" ht="16" outlineLevel="1" x14ac:dyDescent="0.2">
      <c r="A120" t="s">
        <v>1441</v>
      </c>
      <c r="B120" s="54" t="s">
        <v>462</v>
      </c>
      <c r="C120" s="214">
        <v>0.52</v>
      </c>
      <c r="D120" s="110">
        <f>C120</f>
        <v>0.52</v>
      </c>
      <c r="E120" s="110">
        <f t="shared" ref="E120:T120" si="62">D120</f>
        <v>0.52</v>
      </c>
      <c r="F120" s="110">
        <f t="shared" si="62"/>
        <v>0.52</v>
      </c>
      <c r="G120" s="110">
        <f t="shared" si="62"/>
        <v>0.52</v>
      </c>
      <c r="H120" s="110">
        <f t="shared" si="62"/>
        <v>0.52</v>
      </c>
      <c r="I120" s="110">
        <f t="shared" si="62"/>
        <v>0.52</v>
      </c>
      <c r="J120" s="110">
        <f t="shared" si="62"/>
        <v>0.52</v>
      </c>
      <c r="K120" s="110">
        <f t="shared" si="62"/>
        <v>0.52</v>
      </c>
      <c r="L120" s="110">
        <f t="shared" si="62"/>
        <v>0.52</v>
      </c>
      <c r="M120" s="110">
        <f t="shared" si="62"/>
        <v>0.52</v>
      </c>
      <c r="N120" s="110">
        <f t="shared" si="62"/>
        <v>0.52</v>
      </c>
      <c r="O120" s="110">
        <f t="shared" si="62"/>
        <v>0.52</v>
      </c>
      <c r="P120" s="110">
        <f t="shared" si="62"/>
        <v>0.52</v>
      </c>
      <c r="Q120" s="110">
        <f t="shared" si="62"/>
        <v>0.52</v>
      </c>
      <c r="R120" s="110">
        <f t="shared" si="62"/>
        <v>0.52</v>
      </c>
      <c r="S120" s="110">
        <f t="shared" si="62"/>
        <v>0.52</v>
      </c>
      <c r="T120" s="110">
        <f t="shared" si="62"/>
        <v>0.52</v>
      </c>
      <c r="U120" s="110">
        <f t="shared" ref="T120:AG122" si="63">T120</f>
        <v>0.52</v>
      </c>
      <c r="V120" s="110">
        <f t="shared" si="63"/>
        <v>0.52</v>
      </c>
      <c r="W120" s="110">
        <f t="shared" si="63"/>
        <v>0.52</v>
      </c>
      <c r="X120" s="110">
        <f t="shared" si="63"/>
        <v>0.52</v>
      </c>
      <c r="Y120" s="110">
        <f t="shared" si="63"/>
        <v>0.52</v>
      </c>
      <c r="Z120" s="110">
        <f t="shared" si="63"/>
        <v>0.52</v>
      </c>
      <c r="AA120" s="110">
        <f t="shared" si="63"/>
        <v>0.52</v>
      </c>
      <c r="AB120" s="110">
        <f t="shared" si="63"/>
        <v>0.52</v>
      </c>
      <c r="AC120" s="110">
        <f t="shared" si="63"/>
        <v>0.52</v>
      </c>
      <c r="AD120" s="110">
        <f t="shared" si="63"/>
        <v>0.52</v>
      </c>
      <c r="AE120" s="110">
        <f t="shared" si="63"/>
        <v>0.52</v>
      </c>
      <c r="AF120" s="110">
        <f t="shared" si="63"/>
        <v>0.52</v>
      </c>
      <c r="AG120" s="110">
        <f t="shared" si="63"/>
        <v>0.52</v>
      </c>
      <c r="AI120" s="133" t="s">
        <v>1442</v>
      </c>
      <c r="AJ120" s="232" t="s">
        <v>1443</v>
      </c>
      <c r="BD120" s="203"/>
      <c r="BE120" s="203"/>
    </row>
    <row r="121" spans="1:62" ht="16" outlineLevel="1" x14ac:dyDescent="0.2">
      <c r="A121" t="s">
        <v>1444</v>
      </c>
      <c r="B121" s="54" t="s">
        <v>462</v>
      </c>
      <c r="C121" s="214">
        <v>0.12</v>
      </c>
      <c r="D121" s="110">
        <f t="shared" ref="D121:S122" si="64">C121</f>
        <v>0.12</v>
      </c>
      <c r="E121" s="110">
        <f t="shared" si="64"/>
        <v>0.12</v>
      </c>
      <c r="F121" s="110">
        <f t="shared" si="64"/>
        <v>0.12</v>
      </c>
      <c r="G121" s="110">
        <f t="shared" si="64"/>
        <v>0.12</v>
      </c>
      <c r="H121" s="110">
        <f t="shared" si="64"/>
        <v>0.12</v>
      </c>
      <c r="I121" s="110">
        <f t="shared" si="64"/>
        <v>0.12</v>
      </c>
      <c r="J121" s="110">
        <f t="shared" si="64"/>
        <v>0.12</v>
      </c>
      <c r="K121" s="110">
        <f t="shared" si="64"/>
        <v>0.12</v>
      </c>
      <c r="L121" s="110">
        <f t="shared" si="64"/>
        <v>0.12</v>
      </c>
      <c r="M121" s="110">
        <f t="shared" si="64"/>
        <v>0.12</v>
      </c>
      <c r="N121" s="110">
        <f t="shared" si="64"/>
        <v>0.12</v>
      </c>
      <c r="O121" s="110">
        <f t="shared" si="64"/>
        <v>0.12</v>
      </c>
      <c r="P121" s="110">
        <f t="shared" si="64"/>
        <v>0.12</v>
      </c>
      <c r="Q121" s="110">
        <f t="shared" si="64"/>
        <v>0.12</v>
      </c>
      <c r="R121" s="110">
        <f t="shared" si="64"/>
        <v>0.12</v>
      </c>
      <c r="S121" s="110">
        <f t="shared" si="64"/>
        <v>0.12</v>
      </c>
      <c r="T121" s="110">
        <f t="shared" si="63"/>
        <v>0.12</v>
      </c>
      <c r="U121" s="110">
        <f t="shared" si="63"/>
        <v>0.12</v>
      </c>
      <c r="V121" s="110">
        <f t="shared" si="63"/>
        <v>0.12</v>
      </c>
      <c r="W121" s="110">
        <f t="shared" si="63"/>
        <v>0.12</v>
      </c>
      <c r="X121" s="110">
        <f t="shared" si="63"/>
        <v>0.12</v>
      </c>
      <c r="Y121" s="110">
        <f t="shared" si="63"/>
        <v>0.12</v>
      </c>
      <c r="Z121" s="110">
        <f t="shared" si="63"/>
        <v>0.12</v>
      </c>
      <c r="AA121" s="110">
        <f t="shared" si="63"/>
        <v>0.12</v>
      </c>
      <c r="AB121" s="110">
        <f t="shared" si="63"/>
        <v>0.12</v>
      </c>
      <c r="AC121" s="110">
        <f t="shared" si="63"/>
        <v>0.12</v>
      </c>
      <c r="AD121" s="110">
        <f t="shared" si="63"/>
        <v>0.12</v>
      </c>
      <c r="AE121" s="110">
        <f t="shared" si="63"/>
        <v>0.12</v>
      </c>
      <c r="AF121" s="110">
        <f t="shared" si="63"/>
        <v>0.12</v>
      </c>
      <c r="AG121" s="110">
        <f t="shared" si="63"/>
        <v>0.12</v>
      </c>
      <c r="AI121" s="133" t="s">
        <v>1442</v>
      </c>
      <c r="AJ121" s="232" t="s">
        <v>1443</v>
      </c>
      <c r="AL121" s="1"/>
      <c r="BC121" s="1"/>
      <c r="BD121" s="693"/>
      <c r="BE121" s="686"/>
      <c r="BF121" s="6"/>
      <c r="BG121" s="6"/>
      <c r="BH121" s="6"/>
      <c r="BI121" s="6"/>
      <c r="BJ121" s="6"/>
    </row>
    <row r="122" spans="1:62" outlineLevel="1" x14ac:dyDescent="0.2">
      <c r="A122" t="s">
        <v>1445</v>
      </c>
      <c r="B122" s="54" t="s">
        <v>462</v>
      </c>
      <c r="C122" s="121">
        <f>1-C120-C121</f>
        <v>0.36</v>
      </c>
      <c r="D122" s="110">
        <f t="shared" si="64"/>
        <v>0.36</v>
      </c>
      <c r="E122" s="110">
        <f t="shared" si="64"/>
        <v>0.36</v>
      </c>
      <c r="F122" s="110">
        <f t="shared" si="64"/>
        <v>0.36</v>
      </c>
      <c r="G122" s="110">
        <f t="shared" si="64"/>
        <v>0.36</v>
      </c>
      <c r="H122" s="110">
        <f t="shared" si="64"/>
        <v>0.36</v>
      </c>
      <c r="I122" s="110">
        <f t="shared" si="64"/>
        <v>0.36</v>
      </c>
      <c r="J122" s="110">
        <f t="shared" si="64"/>
        <v>0.36</v>
      </c>
      <c r="K122" s="110">
        <f t="shared" si="64"/>
        <v>0.36</v>
      </c>
      <c r="L122" s="110">
        <f t="shared" si="64"/>
        <v>0.36</v>
      </c>
      <c r="M122" s="110">
        <f t="shared" si="64"/>
        <v>0.36</v>
      </c>
      <c r="N122" s="110">
        <f t="shared" si="64"/>
        <v>0.36</v>
      </c>
      <c r="O122" s="110">
        <f t="shared" si="64"/>
        <v>0.36</v>
      </c>
      <c r="P122" s="110">
        <f t="shared" si="64"/>
        <v>0.36</v>
      </c>
      <c r="Q122" s="110">
        <f t="shared" si="64"/>
        <v>0.36</v>
      </c>
      <c r="R122" s="110">
        <f t="shared" si="64"/>
        <v>0.36</v>
      </c>
      <c r="S122" s="110">
        <f t="shared" si="64"/>
        <v>0.36</v>
      </c>
      <c r="T122" s="110">
        <f t="shared" si="63"/>
        <v>0.36</v>
      </c>
      <c r="U122" s="110">
        <f t="shared" si="63"/>
        <v>0.36</v>
      </c>
      <c r="V122" s="110">
        <f t="shared" si="63"/>
        <v>0.36</v>
      </c>
      <c r="W122" s="110">
        <f t="shared" si="63"/>
        <v>0.36</v>
      </c>
      <c r="X122" s="110">
        <f t="shared" si="63"/>
        <v>0.36</v>
      </c>
      <c r="Y122" s="110">
        <f t="shared" si="63"/>
        <v>0.36</v>
      </c>
      <c r="Z122" s="110">
        <f t="shared" si="63"/>
        <v>0.36</v>
      </c>
      <c r="AA122" s="110">
        <f t="shared" si="63"/>
        <v>0.36</v>
      </c>
      <c r="AB122" s="110">
        <f t="shared" si="63"/>
        <v>0.36</v>
      </c>
      <c r="AC122" s="110">
        <f t="shared" si="63"/>
        <v>0.36</v>
      </c>
      <c r="AD122" s="110">
        <f t="shared" si="63"/>
        <v>0.36</v>
      </c>
      <c r="AE122" s="110">
        <f t="shared" si="63"/>
        <v>0.36</v>
      </c>
      <c r="AF122" s="110">
        <f t="shared" si="63"/>
        <v>0.36</v>
      </c>
      <c r="AG122" s="110">
        <f t="shared" si="63"/>
        <v>0.36</v>
      </c>
      <c r="AI122" s="133"/>
      <c r="AJ122" s="223"/>
      <c r="BC122" s="1"/>
      <c r="BD122" s="41"/>
      <c r="BF122" s="6"/>
      <c r="BG122" s="6"/>
      <c r="BH122" s="6"/>
      <c r="BI122" s="6"/>
      <c r="BJ122" s="6"/>
    </row>
    <row r="123" spans="1:62" outlineLevel="1" x14ac:dyDescent="0.2">
      <c r="A123" t="s">
        <v>1268</v>
      </c>
      <c r="B123" s="54" t="s">
        <v>462</v>
      </c>
      <c r="C123" s="110">
        <f>SUM(C120:C122)</f>
        <v>1</v>
      </c>
      <c r="D123" s="110">
        <f t="shared" ref="D123:AG123" si="65">SUM(D120:D122)</f>
        <v>1</v>
      </c>
      <c r="E123" s="110">
        <f t="shared" si="65"/>
        <v>1</v>
      </c>
      <c r="F123" s="110">
        <f t="shared" si="65"/>
        <v>1</v>
      </c>
      <c r="G123" s="110">
        <f t="shared" si="65"/>
        <v>1</v>
      </c>
      <c r="H123" s="110">
        <f t="shared" si="65"/>
        <v>1</v>
      </c>
      <c r="I123" s="110">
        <f t="shared" si="65"/>
        <v>1</v>
      </c>
      <c r="J123" s="110">
        <f t="shared" si="65"/>
        <v>1</v>
      </c>
      <c r="K123" s="110">
        <f t="shared" si="65"/>
        <v>1</v>
      </c>
      <c r="L123" s="110">
        <f t="shared" si="65"/>
        <v>1</v>
      </c>
      <c r="M123" s="110">
        <f t="shared" si="65"/>
        <v>1</v>
      </c>
      <c r="N123" s="110">
        <f t="shared" si="65"/>
        <v>1</v>
      </c>
      <c r="O123" s="110">
        <f t="shared" si="65"/>
        <v>1</v>
      </c>
      <c r="P123" s="110">
        <f t="shared" si="65"/>
        <v>1</v>
      </c>
      <c r="Q123" s="110">
        <f t="shared" si="65"/>
        <v>1</v>
      </c>
      <c r="R123" s="110">
        <f t="shared" si="65"/>
        <v>1</v>
      </c>
      <c r="S123" s="110">
        <f t="shared" si="65"/>
        <v>1</v>
      </c>
      <c r="T123" s="110">
        <f t="shared" si="65"/>
        <v>1</v>
      </c>
      <c r="U123" s="110">
        <f t="shared" si="65"/>
        <v>1</v>
      </c>
      <c r="V123" s="110">
        <f t="shared" si="65"/>
        <v>1</v>
      </c>
      <c r="W123" s="110">
        <f t="shared" si="65"/>
        <v>1</v>
      </c>
      <c r="X123" s="110">
        <f t="shared" si="65"/>
        <v>1</v>
      </c>
      <c r="Y123" s="110">
        <f t="shared" si="65"/>
        <v>1</v>
      </c>
      <c r="Z123" s="110">
        <f t="shared" si="65"/>
        <v>1</v>
      </c>
      <c r="AA123" s="110">
        <f t="shared" si="65"/>
        <v>1</v>
      </c>
      <c r="AB123" s="110">
        <f t="shared" si="65"/>
        <v>1</v>
      </c>
      <c r="AC123" s="110">
        <f t="shared" si="65"/>
        <v>1</v>
      </c>
      <c r="AD123" s="110">
        <f t="shared" si="65"/>
        <v>1</v>
      </c>
      <c r="AE123" s="110">
        <f t="shared" si="65"/>
        <v>1</v>
      </c>
      <c r="AF123" s="110">
        <f t="shared" si="65"/>
        <v>1</v>
      </c>
      <c r="AG123" s="110">
        <f t="shared" si="65"/>
        <v>1</v>
      </c>
      <c r="AI123" s="133"/>
      <c r="AJ123" s="211"/>
      <c r="BC123" s="1"/>
      <c r="BD123" s="41"/>
      <c r="BF123" s="6"/>
      <c r="BG123" s="6"/>
      <c r="BH123" s="6"/>
      <c r="BI123" s="6"/>
      <c r="BJ123" s="6"/>
    </row>
    <row r="124" spans="1:62" outlineLevel="1" x14ac:dyDescent="0.2">
      <c r="C124" s="214"/>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c r="AG124" s="110"/>
      <c r="AI124" s="133"/>
      <c r="AJ124" s="211"/>
      <c r="BC124" s="1"/>
      <c r="BD124" s="41"/>
      <c r="BF124" s="6"/>
      <c r="BG124" s="6"/>
      <c r="BH124" s="6"/>
      <c r="BI124" s="6"/>
      <c r="BJ124" s="6"/>
    </row>
    <row r="125" spans="1:62" outlineLevel="1" x14ac:dyDescent="0.2">
      <c r="A125" t="s">
        <v>1335</v>
      </c>
      <c r="B125" s="54" t="s">
        <v>462</v>
      </c>
      <c r="C125" s="110">
        <f>C120*C118</f>
        <v>1.1960000000000002E-2</v>
      </c>
      <c r="D125" s="110">
        <f t="shared" ref="D125:AG125" si="66">D120*D118</f>
        <v>1.4562523765387934E-2</v>
      </c>
      <c r="E125" s="110">
        <f t="shared" si="66"/>
        <v>1.7008912329058656E-2</v>
      </c>
      <c r="F125" s="110">
        <f t="shared" si="66"/>
        <v>1.9299165691012168E-2</v>
      </c>
      <c r="G125" s="110">
        <f t="shared" si="66"/>
        <v>2.1433283851248472E-2</v>
      </c>
      <c r="H125" s="110">
        <f t="shared" si="66"/>
        <v>2.3411266809767559E-2</v>
      </c>
      <c r="I125" s="110">
        <f t="shared" si="66"/>
        <v>2.5233114566569442E-2</v>
      </c>
      <c r="J125" s="110">
        <f t="shared" si="66"/>
        <v>2.6898827121654107E-2</v>
      </c>
      <c r="K125" s="110">
        <f t="shared" si="66"/>
        <v>2.8408404475021565E-2</v>
      </c>
      <c r="L125" s="110">
        <f t="shared" si="66"/>
        <v>2.9761846626671813E-2</v>
      </c>
      <c r="M125" s="110">
        <f t="shared" si="66"/>
        <v>3.0959153576604843E-2</v>
      </c>
      <c r="N125" s="110">
        <f t="shared" si="66"/>
        <v>3.4363972070816588E-2</v>
      </c>
      <c r="O125" s="110">
        <f t="shared" si="66"/>
        <v>3.7439705601408989E-2</v>
      </c>
      <c r="P125" s="110">
        <f t="shared" si="66"/>
        <v>4.0186354168382038E-2</v>
      </c>
      <c r="Q125" s="110">
        <f t="shared" si="66"/>
        <v>4.2603917771735722E-2</v>
      </c>
      <c r="R125" s="110">
        <f t="shared" si="66"/>
        <v>4.4692396411470069E-2</v>
      </c>
      <c r="S125" s="110">
        <f t="shared" si="66"/>
        <v>4.6451790087585064E-2</v>
      </c>
      <c r="T125" s="110">
        <f t="shared" si="66"/>
        <v>4.7882098800080701E-2</v>
      </c>
      <c r="U125" s="110">
        <f t="shared" si="66"/>
        <v>4.8983322548956994E-2</v>
      </c>
      <c r="V125" s="110">
        <f t="shared" si="66"/>
        <v>4.9755461334213928E-2</v>
      </c>
      <c r="W125" s="110">
        <f t="shared" si="66"/>
        <v>5.0198515155851518E-2</v>
      </c>
      <c r="X125" s="110">
        <f t="shared" si="66"/>
        <v>5.2232452896251821E-2</v>
      </c>
      <c r="Y125" s="110">
        <f t="shared" si="66"/>
        <v>5.3715770801988701E-2</v>
      </c>
      <c r="Z125" s="110">
        <f t="shared" si="66"/>
        <v>5.4648468873062142E-2</v>
      </c>
      <c r="AA125" s="110">
        <f t="shared" si="66"/>
        <v>5.5030547109472132E-2</v>
      </c>
      <c r="AB125" s="110">
        <f t="shared" si="66"/>
        <v>5.4862005511218705E-2</v>
      </c>
      <c r="AC125" s="110">
        <f t="shared" si="66"/>
        <v>5.4142844078301819E-2</v>
      </c>
      <c r="AD125" s="110">
        <f t="shared" si="66"/>
        <v>5.2873062810721502E-2</v>
      </c>
      <c r="AE125" s="110">
        <f t="shared" si="66"/>
        <v>5.1052661708477741E-2</v>
      </c>
      <c r="AF125" s="110">
        <f t="shared" si="66"/>
        <v>4.8681640771570549E-2</v>
      </c>
      <c r="AG125" s="110">
        <f t="shared" si="66"/>
        <v>4.5759999999999995E-2</v>
      </c>
      <c r="AI125" s="133"/>
      <c r="AJ125" s="211"/>
      <c r="BD125" s="203"/>
      <c r="BE125" s="203"/>
    </row>
    <row r="126" spans="1:62" outlineLevel="1" x14ac:dyDescent="0.2">
      <c r="A126" t="s">
        <v>1336</v>
      </c>
      <c r="B126" s="54" t="s">
        <v>462</v>
      </c>
      <c r="C126" s="110">
        <f>C118*C121</f>
        <v>2.7600000000000003E-3</v>
      </c>
      <c r="D126" s="110">
        <f t="shared" ref="D126:AG126" si="67">D118*D121</f>
        <v>3.3605824073972158E-3</v>
      </c>
      <c r="E126" s="110">
        <f t="shared" si="67"/>
        <v>3.9251336143981512E-3</v>
      </c>
      <c r="F126" s="110">
        <f t="shared" si="67"/>
        <v>4.4536536210028075E-3</v>
      </c>
      <c r="G126" s="110">
        <f t="shared" si="67"/>
        <v>4.9461424272111854E-3</v>
      </c>
      <c r="H126" s="110">
        <f t="shared" si="67"/>
        <v>5.4026000330232825E-3</v>
      </c>
      <c r="I126" s="110">
        <f t="shared" si="67"/>
        <v>5.8230264384391021E-3</v>
      </c>
      <c r="J126" s="110">
        <f t="shared" si="67"/>
        <v>6.2074216434586391E-3</v>
      </c>
      <c r="K126" s="110">
        <f t="shared" si="67"/>
        <v>6.5557856480818995E-3</v>
      </c>
      <c r="L126" s="110">
        <f t="shared" si="67"/>
        <v>6.868118452308879E-3</v>
      </c>
      <c r="M126" s="110">
        <f t="shared" si="67"/>
        <v>7.1444200561395794E-3</v>
      </c>
      <c r="N126" s="110">
        <f t="shared" si="67"/>
        <v>7.9301474009576736E-3</v>
      </c>
      <c r="O126" s="110">
        <f t="shared" si="67"/>
        <v>8.6399320618636127E-3</v>
      </c>
      <c r="P126" s="110">
        <f t="shared" si="67"/>
        <v>9.2737740388573915E-3</v>
      </c>
      <c r="Q126" s="110">
        <f t="shared" si="67"/>
        <v>9.8316733319390136E-3</v>
      </c>
      <c r="R126" s="110">
        <f t="shared" si="67"/>
        <v>1.0313629941108475E-2</v>
      </c>
      <c r="S126" s="110">
        <f t="shared" si="67"/>
        <v>1.0719643866365784E-2</v>
      </c>
      <c r="T126" s="110">
        <f t="shared" si="67"/>
        <v>1.104971510771093E-2</v>
      </c>
      <c r="U126" s="110">
        <f t="shared" si="67"/>
        <v>1.1303843665143922E-2</v>
      </c>
      <c r="V126" s="110">
        <f t="shared" si="67"/>
        <v>1.1482029538664751E-2</v>
      </c>
      <c r="W126" s="110">
        <f t="shared" si="67"/>
        <v>1.1584272728273426E-2</v>
      </c>
      <c r="X126" s="110">
        <f t="shared" si="67"/>
        <v>1.2053642976058113E-2</v>
      </c>
      <c r="Y126" s="110">
        <f t="shared" si="67"/>
        <v>1.2395947108151237E-2</v>
      </c>
      <c r="Z126" s="110">
        <f t="shared" si="67"/>
        <v>1.2611185124552803E-2</v>
      </c>
      <c r="AA126" s="110">
        <f t="shared" si="67"/>
        <v>1.2699357025262798E-2</v>
      </c>
      <c r="AB126" s="110">
        <f t="shared" si="67"/>
        <v>1.2660462810281237E-2</v>
      </c>
      <c r="AC126" s="110">
        <f t="shared" si="67"/>
        <v>1.2494502479608111E-2</v>
      </c>
      <c r="AD126" s="110">
        <f t="shared" si="67"/>
        <v>1.2201476033243421E-2</v>
      </c>
      <c r="AE126" s="110">
        <f t="shared" si="67"/>
        <v>1.178138347118717E-2</v>
      </c>
      <c r="AF126" s="110">
        <f t="shared" si="67"/>
        <v>1.1234224793439355E-2</v>
      </c>
      <c r="AG126" s="110">
        <f t="shared" si="67"/>
        <v>1.0559999999999996E-2</v>
      </c>
      <c r="AI126" s="133"/>
      <c r="AJ126" s="211"/>
      <c r="AL126" s="1"/>
      <c r="BC126" s="1"/>
      <c r="BD126" s="693"/>
      <c r="BE126" s="686"/>
      <c r="BF126" s="6"/>
      <c r="BG126" s="6"/>
      <c r="BH126" s="6"/>
      <c r="BI126" s="6"/>
      <c r="BJ126" s="6"/>
    </row>
    <row r="127" spans="1:62" outlineLevel="1" x14ac:dyDescent="0.2">
      <c r="A127" t="s">
        <v>1337</v>
      </c>
      <c r="B127" s="54" t="s">
        <v>462</v>
      </c>
      <c r="C127" s="110">
        <f>C118*C122</f>
        <v>8.2800000000000009E-3</v>
      </c>
      <c r="D127" s="110">
        <f t="shared" ref="D127:AG127" si="68">D118*D122</f>
        <v>1.0081747222191647E-2</v>
      </c>
      <c r="E127" s="110">
        <f t="shared" si="68"/>
        <v>1.1775400843194454E-2</v>
      </c>
      <c r="F127" s="110">
        <f t="shared" si="68"/>
        <v>1.3360960863008423E-2</v>
      </c>
      <c r="G127" s="110">
        <f t="shared" si="68"/>
        <v>1.4838427281633556E-2</v>
      </c>
      <c r="H127" s="110">
        <f t="shared" si="68"/>
        <v>1.6207800099069847E-2</v>
      </c>
      <c r="I127" s="110">
        <f t="shared" si="68"/>
        <v>1.7469079315317305E-2</v>
      </c>
      <c r="J127" s="110">
        <f t="shared" si="68"/>
        <v>1.8622264930375918E-2</v>
      </c>
      <c r="K127" s="110">
        <f t="shared" si="68"/>
        <v>1.9667356944245699E-2</v>
      </c>
      <c r="L127" s="110">
        <f t="shared" si="68"/>
        <v>2.0604355356926639E-2</v>
      </c>
      <c r="M127" s="110">
        <f t="shared" si="68"/>
        <v>2.1433260168418736E-2</v>
      </c>
      <c r="N127" s="110">
        <f t="shared" si="68"/>
        <v>2.3790442202873022E-2</v>
      </c>
      <c r="O127" s="110">
        <f t="shared" si="68"/>
        <v>2.5919796185590836E-2</v>
      </c>
      <c r="P127" s="110">
        <f t="shared" si="68"/>
        <v>2.7821322116572178E-2</v>
      </c>
      <c r="Q127" s="110">
        <f t="shared" si="68"/>
        <v>2.9495019995817037E-2</v>
      </c>
      <c r="R127" s="110">
        <f t="shared" si="68"/>
        <v>3.0940889823325428E-2</v>
      </c>
      <c r="S127" s="110">
        <f t="shared" si="68"/>
        <v>3.215893159909735E-2</v>
      </c>
      <c r="T127" s="110">
        <f t="shared" si="68"/>
        <v>3.3149145323132789E-2</v>
      </c>
      <c r="U127" s="110">
        <f t="shared" si="68"/>
        <v>3.3911530995431767E-2</v>
      </c>
      <c r="V127" s="110">
        <f t="shared" si="68"/>
        <v>3.4446088615994255E-2</v>
      </c>
      <c r="W127" s="110">
        <f t="shared" si="68"/>
        <v>3.4752818184820275E-2</v>
      </c>
      <c r="X127" s="110">
        <f t="shared" si="68"/>
        <v>3.6160928928174338E-2</v>
      </c>
      <c r="Y127" s="110">
        <f t="shared" si="68"/>
        <v>3.7187841324453713E-2</v>
      </c>
      <c r="Z127" s="110">
        <f t="shared" si="68"/>
        <v>3.7833555373658408E-2</v>
      </c>
      <c r="AA127" s="110">
        <f t="shared" si="68"/>
        <v>3.8098071075788394E-2</v>
      </c>
      <c r="AB127" s="110">
        <f t="shared" si="68"/>
        <v>3.7981388430843713E-2</v>
      </c>
      <c r="AC127" s="110">
        <f t="shared" si="68"/>
        <v>3.748350743882433E-2</v>
      </c>
      <c r="AD127" s="110">
        <f t="shared" si="68"/>
        <v>3.6604428099730267E-2</v>
      </c>
      <c r="AE127" s="110">
        <f t="shared" si="68"/>
        <v>3.5344150413561509E-2</v>
      </c>
      <c r="AF127" s="110">
        <f t="shared" si="68"/>
        <v>3.3702674380318071E-2</v>
      </c>
      <c r="AG127" s="110">
        <f t="shared" si="68"/>
        <v>3.1679999999999993E-2</v>
      </c>
      <c r="AI127" s="134"/>
      <c r="AJ127" s="211"/>
      <c r="BC127" s="1"/>
      <c r="BD127" s="41"/>
      <c r="BF127" s="6"/>
      <c r="BG127" s="6"/>
      <c r="BH127" s="6"/>
      <c r="BI127" s="6"/>
      <c r="BJ127" s="6"/>
    </row>
    <row r="128" spans="1:62" outlineLevel="1" x14ac:dyDescent="0.2">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c r="AI128" s="134"/>
      <c r="AJ128" s="211"/>
      <c r="BC128" s="1"/>
      <c r="BD128" s="41"/>
      <c r="BF128" s="6"/>
      <c r="BG128" s="6"/>
      <c r="BH128" s="6"/>
      <c r="BI128" s="6"/>
      <c r="BJ128" s="6"/>
    </row>
    <row r="129" spans="1:63" outlineLevel="1" x14ac:dyDescent="0.2">
      <c r="A129" t="s">
        <v>1553</v>
      </c>
      <c r="C129" s="230">
        <f>'Overall recycling rates'!E86</f>
        <v>0.57160689689087107</v>
      </c>
      <c r="D129" s="230">
        <f>C129-($C129-$AG129)/($AG$1-$C$1)</f>
        <v>0.58255333366117534</v>
      </c>
      <c r="E129" s="230">
        <f t="shared" ref="E129:AF129" si="69">D129-($C129-$AG129)/($AG$1-$C$1)</f>
        <v>0.59349977043147961</v>
      </c>
      <c r="F129" s="230">
        <f t="shared" si="69"/>
        <v>0.60444620720178388</v>
      </c>
      <c r="G129" s="230">
        <f t="shared" si="69"/>
        <v>0.61539264397208815</v>
      </c>
      <c r="H129" s="230">
        <f t="shared" si="69"/>
        <v>0.62633908074239242</v>
      </c>
      <c r="I129" s="230">
        <f t="shared" si="69"/>
        <v>0.63728551751269669</v>
      </c>
      <c r="J129" s="230">
        <f t="shared" si="69"/>
        <v>0.64823195428300096</v>
      </c>
      <c r="K129" s="230">
        <f t="shared" si="69"/>
        <v>0.65917839105330522</v>
      </c>
      <c r="L129" s="230">
        <f t="shared" si="69"/>
        <v>0.67012482782360949</v>
      </c>
      <c r="M129" s="230">
        <f t="shared" si="69"/>
        <v>0.68107126459391376</v>
      </c>
      <c r="N129" s="230">
        <f t="shared" si="69"/>
        <v>0.69201770136421803</v>
      </c>
      <c r="O129" s="230">
        <f t="shared" si="69"/>
        <v>0.7029641381345223</v>
      </c>
      <c r="P129" s="230">
        <f t="shared" si="69"/>
        <v>0.71391057490482657</v>
      </c>
      <c r="Q129" s="230">
        <f t="shared" si="69"/>
        <v>0.72485701167513084</v>
      </c>
      <c r="R129" s="230">
        <f t="shared" si="69"/>
        <v>0.7358034484454351</v>
      </c>
      <c r="S129" s="230">
        <f t="shared" si="69"/>
        <v>0.74674988521573937</v>
      </c>
      <c r="T129" s="230">
        <f t="shared" si="69"/>
        <v>0.75769632198604364</v>
      </c>
      <c r="U129" s="230">
        <f t="shared" si="69"/>
        <v>0.76864275875634791</v>
      </c>
      <c r="V129" s="230">
        <f t="shared" si="69"/>
        <v>0.77958919552665218</v>
      </c>
      <c r="W129" s="230">
        <f t="shared" si="69"/>
        <v>0.79053563229695645</v>
      </c>
      <c r="X129" s="230">
        <f t="shared" si="69"/>
        <v>0.80148206906726072</v>
      </c>
      <c r="Y129" s="230">
        <f t="shared" si="69"/>
        <v>0.81242850583756498</v>
      </c>
      <c r="Z129" s="230">
        <f t="shared" si="69"/>
        <v>0.82337494260786925</v>
      </c>
      <c r="AA129" s="230">
        <f t="shared" si="69"/>
        <v>0.83432137937817352</v>
      </c>
      <c r="AB129" s="230">
        <f t="shared" si="69"/>
        <v>0.84526781614847779</v>
      </c>
      <c r="AC129" s="230">
        <f t="shared" si="69"/>
        <v>0.85621425291878206</v>
      </c>
      <c r="AD129" s="230">
        <f t="shared" si="69"/>
        <v>0.86716068968908633</v>
      </c>
      <c r="AE129" s="230">
        <f t="shared" si="69"/>
        <v>0.8781071264593906</v>
      </c>
      <c r="AF129" s="230">
        <f t="shared" si="69"/>
        <v>0.88905356322969487</v>
      </c>
      <c r="AG129" s="230">
        <f>'Overall recycling rates'!E95</f>
        <v>0.9</v>
      </c>
      <c r="AI129" s="133"/>
      <c r="AJ129" s="211" t="s">
        <v>1571</v>
      </c>
      <c r="AL129" s="108"/>
      <c r="AM129" s="207"/>
      <c r="AN129" s="207"/>
      <c r="AO129" s="207"/>
      <c r="BC129" s="1"/>
      <c r="BD129" s="207"/>
      <c r="BE129" s="207"/>
      <c r="BF129" s="207"/>
      <c r="BG129" s="207"/>
      <c r="BH129" s="207"/>
      <c r="BI129" s="207"/>
      <c r="BJ129" s="207"/>
      <c r="BK129" s="207"/>
    </row>
    <row r="130" spans="1:63" outlineLevel="1" x14ac:dyDescent="0.2">
      <c r="A130" t="s">
        <v>1572</v>
      </c>
      <c r="B130" s="54" t="s">
        <v>462</v>
      </c>
      <c r="C130" s="110">
        <f>C117*C$129</f>
        <v>1.1432137937817421E-3</v>
      </c>
      <c r="D130" s="110">
        <f t="shared" ref="D130:AG131" si="70">D117*D$129</f>
        <v>1.8936265102783112E-3</v>
      </c>
      <c r="E130" s="110">
        <f t="shared" si="70"/>
        <v>2.8496218948723998E-3</v>
      </c>
      <c r="F130" s="110">
        <f t="shared" si="70"/>
        <v>4.0210602789864094E-3</v>
      </c>
      <c r="G130" s="110">
        <f t="shared" si="70"/>
        <v>5.4178019940427412E-3</v>
      </c>
      <c r="H130" s="110">
        <f t="shared" si="70"/>
        <v>7.0497073714637943E-3</v>
      </c>
      <c r="I130" s="110">
        <f t="shared" si="70"/>
        <v>8.9266367426719742E-3</v>
      </c>
      <c r="J130" s="110">
        <f t="shared" si="70"/>
        <v>1.1058450439089674E-2</v>
      </c>
      <c r="K130" s="110">
        <f t="shared" si="70"/>
        <v>1.3455008792139301E-2</v>
      </c>
      <c r="L130" s="110">
        <f t="shared" si="70"/>
        <v>1.6126172133243258E-2</v>
      </c>
      <c r="M130" s="110">
        <f t="shared" si="70"/>
        <v>1.9081800793823937E-2</v>
      </c>
      <c r="N130" s="110">
        <f t="shared" si="70"/>
        <v>2.3981250219845207E-2</v>
      </c>
      <c r="O130" s="110">
        <f t="shared" si="70"/>
        <v>2.9470872382785233E-2</v>
      </c>
      <c r="P130" s="110">
        <f t="shared" si="70"/>
        <v>3.5571449827334303E-2</v>
      </c>
      <c r="Q130" s="110">
        <f t="shared" si="70"/>
        <v>4.2303765098182698E-2</v>
      </c>
      <c r="R130" s="110">
        <f t="shared" si="70"/>
        <v>4.9688600740020732E-2</v>
      </c>
      <c r="S130" s="110">
        <f t="shared" si="70"/>
        <v>5.774673929753868E-2</v>
      </c>
      <c r="T130" s="110">
        <f t="shared" si="70"/>
        <v>6.6498963315426832E-2</v>
      </c>
      <c r="U130" s="110">
        <f t="shared" si="70"/>
        <v>7.5966055338375471E-2</v>
      </c>
      <c r="V130" s="110">
        <f t="shared" si="70"/>
        <v>8.6168797911074915E-2</v>
      </c>
      <c r="W130" s="110">
        <f t="shared" si="70"/>
        <v>9.712797357821544E-2</v>
      </c>
      <c r="X130" s="110">
        <f t="shared" si="70"/>
        <v>0.11301872531958101</v>
      </c>
      <c r="Y130" s="110">
        <f t="shared" si="70"/>
        <v>0.13016707140327841</v>
      </c>
      <c r="Z130" s="110">
        <f t="shared" si="70"/>
        <v>0.14860778485933426</v>
      </c>
      <c r="AA130" s="110">
        <f t="shared" si="70"/>
        <v>0.16837563871777517</v>
      </c>
      <c r="AB130" s="110">
        <f t="shared" si="70"/>
        <v>0.18950540600862786</v>
      </c>
      <c r="AC130" s="110">
        <f t="shared" si="70"/>
        <v>0.21203185976191888</v>
      </c>
      <c r="AD130" s="110">
        <f t="shared" si="70"/>
        <v>0.23598977300767496</v>
      </c>
      <c r="AE130" s="110">
        <f t="shared" si="70"/>
        <v>0.26141391877592274</v>
      </c>
      <c r="AF130" s="110">
        <f t="shared" si="70"/>
        <v>0.2883390700966888</v>
      </c>
      <c r="AG130" s="110">
        <f t="shared" si="70"/>
        <v>0.31680000000000003</v>
      </c>
      <c r="AI130" s="133"/>
      <c r="AJ130"/>
      <c r="AL130" s="108"/>
      <c r="AM130" s="2"/>
      <c r="AN130" s="2"/>
      <c r="AO130" s="2"/>
      <c r="AV130" s="41"/>
    </row>
    <row r="131" spans="1:63" outlineLevel="1" x14ac:dyDescent="0.2">
      <c r="A131" t="s">
        <v>1573</v>
      </c>
      <c r="B131" s="54" t="s">
        <v>462</v>
      </c>
      <c r="C131" s="110">
        <f>C118*C$129</f>
        <v>1.3146958628490036E-2</v>
      </c>
      <c r="D131" s="110">
        <f t="shared" si="70"/>
        <v>1.6314320703936219E-2</v>
      </c>
      <c r="E131" s="110">
        <f t="shared" si="70"/>
        <v>1.9413049158818221E-2</v>
      </c>
      <c r="F131" s="110">
        <f t="shared" si="70"/>
        <v>2.2433283661713651E-2</v>
      </c>
      <c r="G131" s="110">
        <f t="shared" si="70"/>
        <v>2.5365163881200109E-2</v>
      </c>
      <c r="H131" s="110">
        <f t="shared" si="70"/>
        <v>2.8198829485855181E-2</v>
      </c>
      <c r="I131" s="110">
        <f t="shared" si="70"/>
        <v>3.0924420144256486E-2</v>
      </c>
      <c r="J131" s="110">
        <f t="shared" si="70"/>
        <v>3.3532075524981594E-2</v>
      </c>
      <c r="K131" s="110">
        <f t="shared" si="70"/>
        <v>3.6011935296608136E-2</v>
      </c>
      <c r="L131" s="110">
        <f t="shared" si="70"/>
        <v>3.8354139127713696E-2</v>
      </c>
      <c r="M131" s="110">
        <f t="shared" si="70"/>
        <v>4.0548826686875865E-2</v>
      </c>
      <c r="N131" s="110">
        <f t="shared" si="70"/>
        <v>4.5731686465751313E-2</v>
      </c>
      <c r="O131" s="110">
        <f t="shared" si="70"/>
        <v>5.0613019961739843E-2</v>
      </c>
      <c r="P131" s="110">
        <f t="shared" si="70"/>
        <v>5.5172044630151136E-2</v>
      </c>
      <c r="Q131" s="110">
        <f t="shared" si="70"/>
        <v>5.9387977926294917E-2</v>
      </c>
      <c r="R131" s="110">
        <f t="shared" si="70"/>
        <v>6.324003730548089E-2</v>
      </c>
      <c r="S131" s="110">
        <f t="shared" si="70"/>
        <v>6.6707440223018777E-2</v>
      </c>
      <c r="T131" s="110">
        <f t="shared" si="70"/>
        <v>6.9769404134218269E-2</v>
      </c>
      <c r="U131" s="110">
        <f t="shared" si="70"/>
        <v>7.2405146494389089E-2</v>
      </c>
      <c r="V131" s="110">
        <f t="shared" si="70"/>
        <v>7.4593884758840934E-2</v>
      </c>
      <c r="W131" s="110">
        <f t="shared" si="70"/>
        <v>7.6314836382883514E-2</v>
      </c>
      <c r="X131" s="110">
        <f t="shared" si="70"/>
        <v>8.0506489268742584E-2</v>
      </c>
      <c r="Y131" s="110">
        <f t="shared" si="70"/>
        <v>8.3923506562639957E-2</v>
      </c>
      <c r="Z131" s="110">
        <f t="shared" si="70"/>
        <v>8.6531115234548983E-2</v>
      </c>
      <c r="AA131" s="110">
        <f t="shared" si="70"/>
        <v>8.829454225444297E-2</v>
      </c>
      <c r="AB131" s="110">
        <f t="shared" si="70"/>
        <v>8.9179014592295353E-2</v>
      </c>
      <c r="AC131" s="110">
        <f t="shared" si="70"/>
        <v>8.9149759218079411E-2</v>
      </c>
      <c r="AD131" s="110">
        <f t="shared" si="70"/>
        <v>8.8172003101768523E-2</v>
      </c>
      <c r="AE131" s="110">
        <f t="shared" si="70"/>
        <v>8.6210973213336053E-2</v>
      </c>
      <c r="AF131" s="110">
        <f t="shared" si="70"/>
        <v>8.3231896522755353E-2</v>
      </c>
      <c r="AG131" s="110">
        <f t="shared" si="70"/>
        <v>7.9199999999999979E-2</v>
      </c>
      <c r="AH131" s="245"/>
      <c r="AI131" s="133"/>
      <c r="AJ131" s="211"/>
      <c r="AL131" s="108"/>
      <c r="AM131" s="2"/>
      <c r="AN131" s="2"/>
      <c r="AO131" s="2"/>
      <c r="AV131" s="41"/>
    </row>
    <row r="132" spans="1:63" outlineLevel="1" x14ac:dyDescent="0.2">
      <c r="A132" t="s">
        <v>1574</v>
      </c>
      <c r="B132" s="176" t="s">
        <v>462</v>
      </c>
      <c r="C132" s="110">
        <f>SUM(C130:C131)</f>
        <v>1.4290172422271779E-2</v>
      </c>
      <c r="D132" s="110">
        <f t="shared" ref="D132:AG132" si="71">SUM(D130:D131)</f>
        <v>1.820794721421453E-2</v>
      </c>
      <c r="E132" s="110">
        <f t="shared" si="71"/>
        <v>2.2262671053690619E-2</v>
      </c>
      <c r="F132" s="110">
        <f t="shared" si="71"/>
        <v>2.6454343940700061E-2</v>
      </c>
      <c r="G132" s="110">
        <f t="shared" si="71"/>
        <v>3.0782965875242849E-2</v>
      </c>
      <c r="H132" s="110">
        <f t="shared" si="71"/>
        <v>3.5248536857318977E-2</v>
      </c>
      <c r="I132" s="110">
        <f t="shared" si="71"/>
        <v>3.9851056886928457E-2</v>
      </c>
      <c r="J132" s="110">
        <f t="shared" si="71"/>
        <v>4.4590525964071266E-2</v>
      </c>
      <c r="K132" s="110">
        <f t="shared" si="71"/>
        <v>4.9466944088747439E-2</v>
      </c>
      <c r="L132" s="110">
        <f t="shared" si="71"/>
        <v>5.4480311260956954E-2</v>
      </c>
      <c r="M132" s="110">
        <f t="shared" si="71"/>
        <v>5.9630627480699805E-2</v>
      </c>
      <c r="N132" s="110">
        <f t="shared" si="71"/>
        <v>6.9712936685596527E-2</v>
      </c>
      <c r="O132" s="110">
        <f t="shared" si="71"/>
        <v>8.0083892344525079E-2</v>
      </c>
      <c r="P132" s="110">
        <f t="shared" si="71"/>
        <v>9.0743494457485446E-2</v>
      </c>
      <c r="Q132" s="110">
        <f t="shared" si="71"/>
        <v>0.10169174302447762</v>
      </c>
      <c r="R132" s="110">
        <f t="shared" si="71"/>
        <v>0.11292863804550163</v>
      </c>
      <c r="S132" s="110">
        <f t="shared" si="71"/>
        <v>0.12445417952055746</v>
      </c>
      <c r="T132" s="110">
        <f t="shared" si="71"/>
        <v>0.1362683674496451</v>
      </c>
      <c r="U132" s="110">
        <f t="shared" si="71"/>
        <v>0.14837120183276456</v>
      </c>
      <c r="V132" s="110">
        <f t="shared" si="71"/>
        <v>0.16076268266991584</v>
      </c>
      <c r="W132" s="110">
        <f t="shared" si="71"/>
        <v>0.17344280996109895</v>
      </c>
      <c r="X132" s="110">
        <f t="shared" si="71"/>
        <v>0.19352521458832361</v>
      </c>
      <c r="Y132" s="110">
        <f t="shared" si="71"/>
        <v>0.21409057796591835</v>
      </c>
      <c r="Z132" s="110">
        <f t="shared" si="71"/>
        <v>0.23513890009388325</v>
      </c>
      <c r="AA132" s="110">
        <f t="shared" si="71"/>
        <v>0.25667018097221816</v>
      </c>
      <c r="AB132" s="110">
        <f t="shared" si="71"/>
        <v>0.27868442060092324</v>
      </c>
      <c r="AC132" s="110">
        <f t="shared" si="71"/>
        <v>0.30118161897999829</v>
      </c>
      <c r="AD132" s="110">
        <f t="shared" si="71"/>
        <v>0.32416177610944347</v>
      </c>
      <c r="AE132" s="110">
        <f t="shared" si="71"/>
        <v>0.34762489198925878</v>
      </c>
      <c r="AF132" s="110">
        <f t="shared" si="71"/>
        <v>0.37157096661944417</v>
      </c>
      <c r="AG132" s="110">
        <f t="shared" si="71"/>
        <v>0.39600000000000002</v>
      </c>
      <c r="AI132" s="133"/>
      <c r="AJ132" s="211"/>
      <c r="AL132" s="108"/>
      <c r="AM132" s="2"/>
      <c r="AN132" s="2"/>
      <c r="AO132" s="2"/>
    </row>
    <row r="133" spans="1:63" outlineLevel="1" x14ac:dyDescent="0.2">
      <c r="A133" t="s">
        <v>1575</v>
      </c>
      <c r="B133" s="54" t="s">
        <v>462</v>
      </c>
      <c r="C133" s="110">
        <f>C120*C131</f>
        <v>6.8364184868148188E-3</v>
      </c>
      <c r="D133" s="110">
        <f t="shared" ref="D133:AG133" si="72">D120*D131</f>
        <v>8.483446766046834E-3</v>
      </c>
      <c r="E133" s="110">
        <f t="shared" si="72"/>
        <v>1.0094785562585475E-2</v>
      </c>
      <c r="F133" s="110">
        <f t="shared" si="72"/>
        <v>1.1665307504091098E-2</v>
      </c>
      <c r="G133" s="110">
        <f t="shared" si="72"/>
        <v>1.3189885218224057E-2</v>
      </c>
      <c r="H133" s="110">
        <f t="shared" si="72"/>
        <v>1.4663391332644694E-2</v>
      </c>
      <c r="I133" s="110">
        <f t="shared" si="72"/>
        <v>1.6080698475013373E-2</v>
      </c>
      <c r="J133" s="110">
        <f t="shared" si="72"/>
        <v>1.7436679272990429E-2</v>
      </c>
      <c r="K133" s="110">
        <f t="shared" si="72"/>
        <v>1.8726206354236233E-2</v>
      </c>
      <c r="L133" s="110">
        <f t="shared" si="72"/>
        <v>1.9944152346411122E-2</v>
      </c>
      <c r="M133" s="110">
        <f t="shared" si="72"/>
        <v>2.108538987717545E-2</v>
      </c>
      <c r="N133" s="110">
        <f t="shared" si="72"/>
        <v>2.3780476962190683E-2</v>
      </c>
      <c r="O133" s="110">
        <f t="shared" si="72"/>
        <v>2.631877038010472E-2</v>
      </c>
      <c r="P133" s="110">
        <f t="shared" si="72"/>
        <v>2.8689463207678591E-2</v>
      </c>
      <c r="Q133" s="110">
        <f t="shared" si="72"/>
        <v>3.0881748521673358E-2</v>
      </c>
      <c r="R133" s="110">
        <f t="shared" si="72"/>
        <v>3.2884819398850067E-2</v>
      </c>
      <c r="S133" s="110">
        <f t="shared" si="72"/>
        <v>3.4687868915969762E-2</v>
      </c>
      <c r="T133" s="110">
        <f t="shared" si="72"/>
        <v>3.6280090149793498E-2</v>
      </c>
      <c r="U133" s="110">
        <f t="shared" si="72"/>
        <v>3.7650676177082329E-2</v>
      </c>
      <c r="V133" s="110">
        <f t="shared" si="72"/>
        <v>3.8788820074597288E-2</v>
      </c>
      <c r="W133" s="110">
        <f t="shared" si="72"/>
        <v>3.968371491909943E-2</v>
      </c>
      <c r="X133" s="110">
        <f t="shared" si="72"/>
        <v>4.1863374419746142E-2</v>
      </c>
      <c r="Y133" s="110">
        <f t="shared" si="72"/>
        <v>4.364022341257278E-2</v>
      </c>
      <c r="Z133" s="110">
        <f t="shared" si="72"/>
        <v>4.4996179921965473E-2</v>
      </c>
      <c r="AA133" s="110">
        <f t="shared" si="72"/>
        <v>4.5913161972310344E-2</v>
      </c>
      <c r="AB133" s="110">
        <f t="shared" si="72"/>
        <v>4.6373087587993585E-2</v>
      </c>
      <c r="AC133" s="110">
        <f t="shared" si="72"/>
        <v>4.6357874793401296E-2</v>
      </c>
      <c r="AD133" s="110">
        <f t="shared" si="72"/>
        <v>4.5849441612919636E-2</v>
      </c>
      <c r="AE133" s="110">
        <f t="shared" si="72"/>
        <v>4.4829706070934748E-2</v>
      </c>
      <c r="AF133" s="110">
        <f t="shared" si="72"/>
        <v>4.3280586191832782E-2</v>
      </c>
      <c r="AG133" s="110">
        <f t="shared" si="72"/>
        <v>4.1183999999999991E-2</v>
      </c>
      <c r="AI133" s="133"/>
      <c r="AJ133" s="211"/>
      <c r="BD133" s="203"/>
      <c r="BE133" s="203"/>
    </row>
    <row r="134" spans="1:63" outlineLevel="1" x14ac:dyDescent="0.2">
      <c r="A134" t="s">
        <v>1576</v>
      </c>
      <c r="B134" s="54" t="s">
        <v>462</v>
      </c>
      <c r="C134" s="110">
        <f>C121*C131</f>
        <v>1.5776350354188044E-3</v>
      </c>
      <c r="D134" s="110">
        <f t="shared" ref="D134:AG134" si="73">D121*D131</f>
        <v>1.9577184844723461E-3</v>
      </c>
      <c r="E134" s="110">
        <f t="shared" si="73"/>
        <v>2.3295658990581864E-3</v>
      </c>
      <c r="F134" s="110">
        <f t="shared" si="73"/>
        <v>2.6919940394056381E-3</v>
      </c>
      <c r="G134" s="110">
        <f t="shared" si="73"/>
        <v>3.043819665744013E-3</v>
      </c>
      <c r="H134" s="110">
        <f t="shared" si="73"/>
        <v>3.3838595383026216E-3</v>
      </c>
      <c r="I134" s="110">
        <f t="shared" si="73"/>
        <v>3.7109304173107783E-3</v>
      </c>
      <c r="J134" s="110">
        <f t="shared" si="73"/>
        <v>4.0238490629977914E-3</v>
      </c>
      <c r="K134" s="110">
        <f t="shared" si="73"/>
        <v>4.3214322355929757E-3</v>
      </c>
      <c r="L134" s="110">
        <f t="shared" si="73"/>
        <v>4.6024966953256436E-3</v>
      </c>
      <c r="M134" s="110">
        <f t="shared" si="73"/>
        <v>4.8658592024251037E-3</v>
      </c>
      <c r="N134" s="110">
        <f t="shared" si="73"/>
        <v>5.4878023758901575E-3</v>
      </c>
      <c r="O134" s="110">
        <f t="shared" si="73"/>
        <v>6.0735623954087806E-3</v>
      </c>
      <c r="P134" s="110">
        <f t="shared" si="73"/>
        <v>6.6206453556181362E-3</v>
      </c>
      <c r="Q134" s="110">
        <f t="shared" si="73"/>
        <v>7.1265573511553899E-3</v>
      </c>
      <c r="R134" s="110">
        <f t="shared" si="73"/>
        <v>7.5888044766577066E-3</v>
      </c>
      <c r="S134" s="110">
        <f t="shared" si="73"/>
        <v>8.0048928267622537E-3</v>
      </c>
      <c r="T134" s="110">
        <f t="shared" si="73"/>
        <v>8.3723284961061926E-3</v>
      </c>
      <c r="U134" s="110">
        <f t="shared" si="73"/>
        <v>8.68861757932669E-3</v>
      </c>
      <c r="V134" s="110">
        <f t="shared" si="73"/>
        <v>8.9512661710609114E-3</v>
      </c>
      <c r="W134" s="110">
        <f t="shared" si="73"/>
        <v>9.1577803659460208E-3</v>
      </c>
      <c r="X134" s="110">
        <f t="shared" si="73"/>
        <v>9.6607787122491105E-3</v>
      </c>
      <c r="Y134" s="110">
        <f t="shared" si="73"/>
        <v>1.0070820787516794E-2</v>
      </c>
      <c r="Z134" s="110">
        <f t="shared" si="73"/>
        <v>1.0383733828145877E-2</v>
      </c>
      <c r="AA134" s="110">
        <f t="shared" si="73"/>
        <v>1.0595345070533157E-2</v>
      </c>
      <c r="AB134" s="110">
        <f t="shared" si="73"/>
        <v>1.0701481751075442E-2</v>
      </c>
      <c r="AC134" s="110">
        <f t="shared" si="73"/>
        <v>1.0697971106169529E-2</v>
      </c>
      <c r="AD134" s="110">
        <f t="shared" si="73"/>
        <v>1.0580640372212222E-2</v>
      </c>
      <c r="AE134" s="110">
        <f t="shared" si="73"/>
        <v>1.0345316785600326E-2</v>
      </c>
      <c r="AF134" s="110">
        <f t="shared" si="73"/>
        <v>9.9878275827306427E-3</v>
      </c>
      <c r="AG134" s="110">
        <f t="shared" si="73"/>
        <v>9.5039999999999968E-3</v>
      </c>
      <c r="AI134" s="133"/>
      <c r="AJ134" s="211"/>
      <c r="AL134" s="1"/>
      <c r="BC134" s="1"/>
      <c r="BD134" s="693"/>
      <c r="BE134" s="686"/>
      <c r="BF134" s="6"/>
      <c r="BG134" s="6"/>
      <c r="BH134" s="6"/>
      <c r="BI134" s="6"/>
      <c r="BJ134" s="6"/>
    </row>
    <row r="135" spans="1:63" outlineLevel="1" x14ac:dyDescent="0.2">
      <c r="A135" t="s">
        <v>1577</v>
      </c>
      <c r="B135" s="54" t="s">
        <v>462</v>
      </c>
      <c r="C135" s="110">
        <f>C122*C131</f>
        <v>4.7329051062564133E-3</v>
      </c>
      <c r="D135" s="110">
        <f t="shared" ref="D135:AG135" si="74">D122*D131</f>
        <v>5.8731554534170389E-3</v>
      </c>
      <c r="E135" s="110">
        <f t="shared" si="74"/>
        <v>6.9886976971745588E-3</v>
      </c>
      <c r="F135" s="110">
        <f t="shared" si="74"/>
        <v>8.0759821182169143E-3</v>
      </c>
      <c r="G135" s="110">
        <f t="shared" si="74"/>
        <v>9.1314589972320385E-3</v>
      </c>
      <c r="H135" s="110">
        <f t="shared" si="74"/>
        <v>1.0151578614907864E-2</v>
      </c>
      <c r="I135" s="110">
        <f t="shared" si="74"/>
        <v>1.1132791251932334E-2</v>
      </c>
      <c r="J135" s="110">
        <f t="shared" si="74"/>
        <v>1.2071547188993373E-2</v>
      </c>
      <c r="K135" s="110">
        <f t="shared" si="74"/>
        <v>1.2964296706778929E-2</v>
      </c>
      <c r="L135" s="110">
        <f t="shared" si="74"/>
        <v>1.3807490085976931E-2</v>
      </c>
      <c r="M135" s="110">
        <f t="shared" si="74"/>
        <v>1.459757760727531E-2</v>
      </c>
      <c r="N135" s="110">
        <f t="shared" si="74"/>
        <v>1.6463407127670471E-2</v>
      </c>
      <c r="O135" s="110">
        <f t="shared" si="74"/>
        <v>1.8220687186226343E-2</v>
      </c>
      <c r="P135" s="110">
        <f t="shared" si="74"/>
        <v>1.9861936066854408E-2</v>
      </c>
      <c r="Q135" s="110">
        <f t="shared" si="74"/>
        <v>2.1379672053466168E-2</v>
      </c>
      <c r="R135" s="110">
        <f t="shared" si="74"/>
        <v>2.2766413429973119E-2</v>
      </c>
      <c r="S135" s="110">
        <f t="shared" si="74"/>
        <v>2.4014678480286759E-2</v>
      </c>
      <c r="T135" s="110">
        <f t="shared" si="74"/>
        <v>2.5116985488318574E-2</v>
      </c>
      <c r="U135" s="110">
        <f t="shared" si="74"/>
        <v>2.606585273798007E-2</v>
      </c>
      <c r="V135" s="110">
        <f t="shared" si="74"/>
        <v>2.6853798513182734E-2</v>
      </c>
      <c r="W135" s="110">
        <f t="shared" si="74"/>
        <v>2.7473341097838062E-2</v>
      </c>
      <c r="X135" s="110">
        <f t="shared" si="74"/>
        <v>2.898233613674733E-2</v>
      </c>
      <c r="Y135" s="110">
        <f t="shared" si="74"/>
        <v>3.0212462362550385E-2</v>
      </c>
      <c r="Z135" s="110">
        <f t="shared" si="74"/>
        <v>3.1151201484437632E-2</v>
      </c>
      <c r="AA135" s="110">
        <f t="shared" si="74"/>
        <v>3.1786035211599471E-2</v>
      </c>
      <c r="AB135" s="110">
        <f t="shared" si="74"/>
        <v>3.2104445253226324E-2</v>
      </c>
      <c r="AC135" s="110">
        <f t="shared" si="74"/>
        <v>3.2093913318508589E-2</v>
      </c>
      <c r="AD135" s="110">
        <f t="shared" si="74"/>
        <v>3.1741921116636665E-2</v>
      </c>
      <c r="AE135" s="110">
        <f t="shared" si="74"/>
        <v>3.1035950356800977E-2</v>
      </c>
      <c r="AF135" s="110">
        <f t="shared" si="74"/>
        <v>2.9963482748191925E-2</v>
      </c>
      <c r="AG135" s="110">
        <f t="shared" si="74"/>
        <v>2.8511999999999992E-2</v>
      </c>
      <c r="AI135" s="134"/>
      <c r="AJ135" s="211"/>
      <c r="BC135" s="1"/>
      <c r="BD135" s="41"/>
      <c r="BF135" s="6"/>
      <c r="BG135" s="6"/>
      <c r="BH135" s="6"/>
      <c r="BI135" s="6"/>
      <c r="BJ135" s="6"/>
    </row>
    <row r="136" spans="1:63" outlineLevel="1" x14ac:dyDescent="0.2">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I136" s="134"/>
      <c r="AJ136" s="211"/>
      <c r="BC136" s="1"/>
      <c r="BD136" s="41"/>
      <c r="BF136" s="6"/>
      <c r="BG136" s="6"/>
      <c r="BH136" s="6"/>
      <c r="BI136" s="6"/>
      <c r="BJ136" s="6"/>
    </row>
    <row r="137" spans="1:63" s="1" customFormat="1" outlineLevel="1" x14ac:dyDescent="0.2">
      <c r="A137" s="1" t="s">
        <v>228</v>
      </c>
      <c r="B137" s="65"/>
      <c r="C137" s="300">
        <f>C43*C130</f>
        <v>6.7049132945215778E-4</v>
      </c>
      <c r="D137" s="300">
        <f t="shared" ref="D137:AG137" si="75">D43*D130</f>
        <v>1.1478352307777058E-3</v>
      </c>
      <c r="E137" s="300">
        <f t="shared" si="75"/>
        <v>1.7805542791737255E-3</v>
      </c>
      <c r="F137" s="300">
        <f t="shared" si="75"/>
        <v>2.5831837745747608E-3</v>
      </c>
      <c r="G137" s="300">
        <f t="shared" si="75"/>
        <v>3.569022952927645E-3</v>
      </c>
      <c r="H137" s="300">
        <f t="shared" si="75"/>
        <v>4.7497889473316337E-3</v>
      </c>
      <c r="I137" s="300">
        <f t="shared" si="75"/>
        <v>6.1485166320904075E-3</v>
      </c>
      <c r="J137" s="300">
        <f t="shared" si="75"/>
        <v>7.7831974694934566E-3</v>
      </c>
      <c r="K137" s="300">
        <f t="shared" si="75"/>
        <v>9.6723235601463026E-3</v>
      </c>
      <c r="L137" s="300">
        <f t="shared" si="75"/>
        <v>1.1834848703256148E-2</v>
      </c>
      <c r="M137" s="300">
        <f t="shared" si="75"/>
        <v>1.4290145645258399E-2</v>
      </c>
      <c r="N137" s="300">
        <f t="shared" si="75"/>
        <v>1.8291706080824335E-2</v>
      </c>
      <c r="O137" s="300">
        <f t="shared" si="75"/>
        <v>2.2851673545355191E-2</v>
      </c>
      <c r="P137" s="300">
        <f t="shared" si="75"/>
        <v>2.7966530143739416E-2</v>
      </c>
      <c r="Q137" s="300">
        <f t="shared" si="75"/>
        <v>3.3658693948020693E-2</v>
      </c>
      <c r="R137" s="300">
        <f t="shared" si="75"/>
        <v>3.9932244682907563E-2</v>
      </c>
      <c r="S137" s="300">
        <f t="shared" si="75"/>
        <v>4.6869537383143818E-2</v>
      </c>
      <c r="T137" s="300">
        <f t="shared" si="75"/>
        <v>5.4503174674823941E-2</v>
      </c>
      <c r="U137" s="300">
        <f t="shared" si="75"/>
        <v>6.2866265204132951E-2</v>
      </c>
      <c r="V137" s="300">
        <f t="shared" si="75"/>
        <v>7.1992403022212798E-2</v>
      </c>
      <c r="W137" s="300">
        <f t="shared" si="75"/>
        <v>8.1915645921008251E-2</v>
      </c>
      <c r="X137" s="300">
        <f t="shared" si="75"/>
        <v>9.620794033898504E-2</v>
      </c>
      <c r="Y137" s="300">
        <f t="shared" si="75"/>
        <v>0.11182828689096018</v>
      </c>
      <c r="Z137" s="300">
        <f t="shared" si="75"/>
        <v>0.1284941559716227</v>
      </c>
      <c r="AA137" s="300">
        <f t="shared" si="75"/>
        <v>0.14649688927860502</v>
      </c>
      <c r="AB137" s="300">
        <f t="shared" si="75"/>
        <v>0.16587987101850979</v>
      </c>
      <c r="AC137" s="300">
        <f t="shared" si="75"/>
        <v>0.18668756802044667</v>
      </c>
      <c r="AD137" s="300">
        <f t="shared" si="75"/>
        <v>0.20896253498643508</v>
      </c>
      <c r="AE137" s="300">
        <f t="shared" si="75"/>
        <v>0.23274653060603986</v>
      </c>
      <c r="AF137" s="300">
        <f t="shared" si="75"/>
        <v>0.25808041834528261</v>
      </c>
      <c r="AG137" s="300">
        <f t="shared" si="75"/>
        <v>0.28500406518912064</v>
      </c>
      <c r="AH137" s="245"/>
      <c r="AI137" s="423"/>
      <c r="AJ137" s="424"/>
      <c r="AL137" s="221"/>
      <c r="AM137" s="124"/>
      <c r="AN137" s="124"/>
      <c r="AO137" s="124"/>
      <c r="BD137" s="124"/>
      <c r="BE137" s="124"/>
      <c r="BF137" s="124"/>
      <c r="BG137" s="124"/>
      <c r="BH137" s="124"/>
      <c r="BI137" s="124"/>
      <c r="BJ137" s="124"/>
      <c r="BK137" s="124"/>
    </row>
    <row r="138" spans="1:63" outlineLevel="1" x14ac:dyDescent="0.2">
      <c r="A138" s="4" t="s">
        <v>474</v>
      </c>
      <c r="C138" s="230">
        <f>C$137*'Methanol recycling rates'!E48</f>
        <v>0</v>
      </c>
      <c r="D138" s="230">
        <f>D$137*'Methanol recycling rates'!F48</f>
        <v>0</v>
      </c>
      <c r="E138" s="230">
        <f>E$137*'Methanol recycling rates'!G48</f>
        <v>0</v>
      </c>
      <c r="F138" s="230">
        <f>F$137*'Methanol recycling rates'!H48</f>
        <v>0</v>
      </c>
      <c r="G138" s="230">
        <f>G$137*'Methanol recycling rates'!I48</f>
        <v>0</v>
      </c>
      <c r="H138" s="230">
        <f>H$137*'Methanol recycling rates'!J48</f>
        <v>0</v>
      </c>
      <c r="I138" s="230">
        <f>I$137*'Methanol recycling rates'!K48</f>
        <v>0</v>
      </c>
      <c r="J138" s="230">
        <f>J$137*'Methanol recycling rates'!L48</f>
        <v>0</v>
      </c>
      <c r="K138" s="230">
        <f>K$137*'Methanol recycling rates'!M48</f>
        <v>0</v>
      </c>
      <c r="L138" s="230">
        <f>L$137*'Methanol recycling rates'!N48</f>
        <v>0</v>
      </c>
      <c r="M138" s="230">
        <f>M$137*'Methanol recycling rates'!O48</f>
        <v>0</v>
      </c>
      <c r="N138" s="230">
        <f>N$137*'Methanol recycling rates'!P48</f>
        <v>0</v>
      </c>
      <c r="O138" s="230">
        <f>O$137*'Methanol recycling rates'!Q48</f>
        <v>0</v>
      </c>
      <c r="P138" s="230">
        <f>P$137*'Methanol recycling rates'!R48</f>
        <v>0</v>
      </c>
      <c r="Q138" s="230">
        <f>Q$137*'Methanol recycling rates'!S48</f>
        <v>0</v>
      </c>
      <c r="R138" s="230">
        <f>R$137*'Methanol recycling rates'!T48</f>
        <v>0</v>
      </c>
      <c r="S138" s="230">
        <f>S$137*'Methanol recycling rates'!U48</f>
        <v>0</v>
      </c>
      <c r="T138" s="230">
        <f>T$137*'Methanol recycling rates'!V48</f>
        <v>0</v>
      </c>
      <c r="U138" s="230">
        <f>U$137*'Methanol recycling rates'!W48</f>
        <v>0</v>
      </c>
      <c r="V138" s="230">
        <f>V$137*'Methanol recycling rates'!X48</f>
        <v>0</v>
      </c>
      <c r="W138" s="230">
        <f>W$137*'Methanol recycling rates'!Y48</f>
        <v>0</v>
      </c>
      <c r="X138" s="230">
        <f>X$137*'Methanol recycling rates'!Z48</f>
        <v>0</v>
      </c>
      <c r="Y138" s="230">
        <f>Y$137*'Methanol recycling rates'!AA48</f>
        <v>0</v>
      </c>
      <c r="Z138" s="230">
        <f>Z$137*'Methanol recycling rates'!AB48</f>
        <v>0</v>
      </c>
      <c r="AA138" s="230">
        <f>AA$137*'Methanol recycling rates'!AC48</f>
        <v>0</v>
      </c>
      <c r="AB138" s="230">
        <f>AB$137*'Methanol recycling rates'!AD48</f>
        <v>0</v>
      </c>
      <c r="AC138" s="230">
        <f>AC$137*'Methanol recycling rates'!AE48</f>
        <v>0</v>
      </c>
      <c r="AD138" s="230">
        <f>AD$137*'Methanol recycling rates'!AF48</f>
        <v>0</v>
      </c>
      <c r="AE138" s="230">
        <f>AE$137*'Methanol recycling rates'!AG48</f>
        <v>0</v>
      </c>
      <c r="AF138" s="230">
        <f>AF$137*'Methanol recycling rates'!AH48</f>
        <v>0</v>
      </c>
      <c r="AG138" s="230">
        <f>AG$137*'Methanol recycling rates'!AI48</f>
        <v>0</v>
      </c>
      <c r="AH138" s="245"/>
      <c r="AI138" s="133"/>
      <c r="AJ138" s="211"/>
      <c r="AL138" s="108"/>
      <c r="AM138" s="2"/>
      <c r="AN138" s="2"/>
      <c r="AO138" s="2"/>
      <c r="BC138" s="1"/>
      <c r="BD138" s="2"/>
      <c r="BE138" s="2"/>
      <c r="BF138" s="2"/>
      <c r="BG138" s="2"/>
      <c r="BH138" s="2"/>
      <c r="BI138" s="2"/>
      <c r="BJ138" s="2"/>
      <c r="BK138" s="2"/>
    </row>
    <row r="139" spans="1:63" outlineLevel="1" x14ac:dyDescent="0.2">
      <c r="A139" s="4" t="s">
        <v>745</v>
      </c>
      <c r="C139" s="230">
        <f>C$137*'Methanol recycling rates'!E49</f>
        <v>0</v>
      </c>
      <c r="D139" s="230">
        <f>D$137*'Methanol recycling rates'!F49</f>
        <v>4.4601425719494335E-6</v>
      </c>
      <c r="E139" s="230">
        <f>E$137*'Methanol recycling rates'!G49</f>
        <v>1.383739709196547E-5</v>
      </c>
      <c r="F139" s="230">
        <f>F$137*'Methanol recycling rates'!H49</f>
        <v>3.0112426283545198E-5</v>
      </c>
      <c r="G139" s="230">
        <f>G$137*'Methanol recycling rates'!I49</f>
        <v>5.547260019831218E-5</v>
      </c>
      <c r="H139" s="230">
        <f>H$137*'Methanol recycling rates'!J49</f>
        <v>9.2281258336247311E-5</v>
      </c>
      <c r="I139" s="230">
        <f>I$137*'Methanol recycling rates'!K49</f>
        <v>1.4334772125723229E-4</v>
      </c>
      <c r="J139" s="230">
        <f>J$137*'Methanol recycling rates'!L49</f>
        <v>2.117021556241971E-4</v>
      </c>
      <c r="K139" s="230">
        <f>K$137*'Methanol recycling rates'!M49</f>
        <v>3.0066992839067287E-4</v>
      </c>
      <c r="L139" s="230">
        <f>L$137*'Methanol recycling rates'!N49</f>
        <v>4.1387997167841137E-4</v>
      </c>
      <c r="M139" s="230">
        <f>M$137*'Methanol recycling rates'!O49</f>
        <v>5.5527209169726349E-4</v>
      </c>
      <c r="N139" s="230">
        <f>N$137*'Methanol recycling rates'!P49</f>
        <v>7.8183676802056441E-4</v>
      </c>
      <c r="O139" s="230">
        <f>O$137*'Methanol recycling rates'!Q49</f>
        <v>1.0655367873753775E-3</v>
      </c>
      <c r="P139" s="230">
        <f>P$137*'Methanol recycling rates'!R49</f>
        <v>1.4127038519202119E-3</v>
      </c>
      <c r="Q139" s="230">
        <f>Q$137*'Methanol recycling rates'!S49</f>
        <v>1.8310258970610038E-3</v>
      </c>
      <c r="R139" s="230">
        <f>R$137*'Methanol recycling rates'!T49</f>
        <v>2.3274704381969296E-3</v>
      </c>
      <c r="S139" s="230">
        <f>S$137*'Methanol recycling rates'!U49</f>
        <v>2.9139348701607442E-3</v>
      </c>
      <c r="T139" s="230">
        <f>T$137*'Methanol recycling rates'!V49</f>
        <v>3.6003101260891342E-3</v>
      </c>
      <c r="U139" s="230">
        <f>U$137*'Methanol recycling rates'!W49</f>
        <v>4.3970292674811035E-3</v>
      </c>
      <c r="V139" s="230">
        <f>V$137*'Methanol recycling rates'!X49</f>
        <v>5.3150757934275691E-3</v>
      </c>
      <c r="W139" s="230">
        <f>W$137*'Methanol recycling rates'!Y49</f>
        <v>6.3659913876921393E-3</v>
      </c>
      <c r="X139" s="230">
        <f>X$137*'Methanol recycling rates'!Z49</f>
        <v>7.8505376888193552E-3</v>
      </c>
      <c r="Y139" s="230">
        <f>Y$137*'Methanol recycling rates'!AA49</f>
        <v>9.5596841551878406E-3</v>
      </c>
      <c r="Z139" s="230">
        <f>Z$137*'Methanol recycling rates'!AB49</f>
        <v>1.1483662043437381E-2</v>
      </c>
      <c r="AA139" s="230">
        <f>AA$137*'Methanol recycling rates'!AC49</f>
        <v>1.3661828701744204E-2</v>
      </c>
      <c r="AB139" s="230">
        <f>AB$137*'Methanol recycling rates'!AD49</f>
        <v>1.6113982536889435E-2</v>
      </c>
      <c r="AC139" s="230">
        <f>AC$137*'Methanol recycling rates'!AE49</f>
        <v>1.8860705642965936E-2</v>
      </c>
      <c r="AD139" s="230">
        <f>AD$137*'Methanol recycling rates'!AF49</f>
        <v>2.1923070644301476E-2</v>
      </c>
      <c r="AE139" s="230">
        <f>AE$137*'Methanol recycling rates'!AG49</f>
        <v>2.532272497850863E-2</v>
      </c>
      <c r="AF139" s="230">
        <f>AF$137*'Methanol recycling rates'!AH49</f>
        <v>2.9081864251530219E-2</v>
      </c>
      <c r="AG139" s="230">
        <f>AG$137*'Methanol recycling rates'!AI49</f>
        <v>3.3223203041103364E-2</v>
      </c>
      <c r="AH139" s="245"/>
      <c r="AI139" s="133"/>
      <c r="AJ139" s="211"/>
      <c r="AL139" s="108"/>
      <c r="AM139" s="2"/>
      <c r="AN139" s="2"/>
      <c r="AO139" s="2"/>
      <c r="BC139" s="1"/>
      <c r="BD139" s="2"/>
      <c r="BE139" s="2"/>
      <c r="BF139" s="2"/>
      <c r="BG139" s="2"/>
      <c r="BH139" s="2"/>
      <c r="BI139" s="2"/>
      <c r="BJ139" s="2"/>
      <c r="BK139" s="2"/>
    </row>
    <row r="140" spans="1:63" outlineLevel="1" x14ac:dyDescent="0.2">
      <c r="A140" s="4" t="s">
        <v>1561</v>
      </c>
      <c r="C140" s="230">
        <f>C$137*'Methanol recycling rates'!E50</f>
        <v>6.7049132945215778E-4</v>
      </c>
      <c r="D140" s="230">
        <f>D$137*'Methanol recycling rates'!F50</f>
        <v>1.1433750882057564E-3</v>
      </c>
      <c r="E140" s="230">
        <f>E$137*'Methanol recycling rates'!G50</f>
        <v>1.7667168820817603E-3</v>
      </c>
      <c r="F140" s="230">
        <f>F$137*'Methanol recycling rates'!H50</f>
        <v>2.5530713482912158E-3</v>
      </c>
      <c r="G140" s="230">
        <f>G$137*'Methanol recycling rates'!I50</f>
        <v>3.5135503527293334E-3</v>
      </c>
      <c r="H140" s="230">
        <f>H$137*'Methanol recycling rates'!J50</f>
        <v>4.6575076889953876E-3</v>
      </c>
      <c r="I140" s="230">
        <f>I$137*'Methanol recycling rates'!K50</f>
        <v>6.0051689108331771E-3</v>
      </c>
      <c r="J140" s="230">
        <f>J$137*'Methanol recycling rates'!L50</f>
        <v>7.5714953138692623E-3</v>
      </c>
      <c r="K140" s="230">
        <f>K$137*'Methanol recycling rates'!M50</f>
        <v>9.3716536317556328E-3</v>
      </c>
      <c r="L140" s="230">
        <f>L$137*'Methanol recycling rates'!N50</f>
        <v>1.1420968731577741E-2</v>
      </c>
      <c r="M140" s="230">
        <f>M$137*'Methanol recycling rates'!O50</f>
        <v>1.3734873553561143E-2</v>
      </c>
      <c r="N140" s="230">
        <f>N$137*'Methanol recycling rates'!P50</f>
        <v>1.750986931280378E-2</v>
      </c>
      <c r="O140" s="230">
        <f>O$137*'Methanol recycling rates'!Q50</f>
        <v>2.1786136757979826E-2</v>
      </c>
      <c r="P140" s="230">
        <f>P$137*'Methanol recycling rates'!R50</f>
        <v>2.6553826291819221E-2</v>
      </c>
      <c r="Q140" s="230">
        <f>Q$137*'Methanol recycling rates'!S50</f>
        <v>3.1827668050959712E-2</v>
      </c>
      <c r="R140" s="230">
        <f>R$137*'Methanol recycling rates'!T50</f>
        <v>3.7604774244710662E-2</v>
      </c>
      <c r="S140" s="230">
        <f>S$137*'Methanol recycling rates'!U50</f>
        <v>4.3955602512983104E-2</v>
      </c>
      <c r="T140" s="230">
        <f>T$137*'Methanol recycling rates'!V50</f>
        <v>5.0902864548734848E-2</v>
      </c>
      <c r="U140" s="230">
        <f>U$137*'Methanol recycling rates'!W50</f>
        <v>5.8469235936651896E-2</v>
      </c>
      <c r="V140" s="230">
        <f>V$137*'Methanol recycling rates'!X50</f>
        <v>6.6677327228785291E-2</v>
      </c>
      <c r="W140" s="230">
        <f>W$137*'Methanol recycling rates'!Y50</f>
        <v>7.5549654533316177E-2</v>
      </c>
      <c r="X140" s="230">
        <f>X$137*'Methanol recycling rates'!Z50</f>
        <v>8.835740265016577E-2</v>
      </c>
      <c r="Y140" s="230">
        <f>Y$137*'Methanol recycling rates'!AA50</f>
        <v>0.10226860273577244</v>
      </c>
      <c r="Z140" s="230">
        <f>Z$137*'Methanol recycling rates'!AB50</f>
        <v>0.11701049392818544</v>
      </c>
      <c r="AA140" s="230">
        <f>AA$137*'Methanol recycling rates'!AC50</f>
        <v>0.13283506057686095</v>
      </c>
      <c r="AB140" s="230">
        <f>AB$137*'Methanol recycling rates'!AD50</f>
        <v>0.14976588848162053</v>
      </c>
      <c r="AC140" s="230">
        <f>AC$137*'Methanol recycling rates'!AE50</f>
        <v>0.16782686237748093</v>
      </c>
      <c r="AD140" s="230">
        <f>AD$137*'Methanol recycling rates'!AF50</f>
        <v>0.18703946434213384</v>
      </c>
      <c r="AE140" s="230">
        <f>AE$137*'Methanol recycling rates'!AG50</f>
        <v>0.20742380562753152</v>
      </c>
      <c r="AF140" s="230">
        <f>AF$137*'Methanol recycling rates'!AH50</f>
        <v>0.22899855409375272</v>
      </c>
      <c r="AG140" s="230">
        <f>AG$137*'Methanol recycling rates'!AI50</f>
        <v>0.25178086214801726</v>
      </c>
      <c r="AH140" s="245"/>
      <c r="AI140" s="133"/>
      <c r="AJ140" s="211"/>
      <c r="AL140" s="108"/>
      <c r="AM140" s="2"/>
      <c r="AN140" s="2"/>
      <c r="AO140" s="2"/>
      <c r="BC140" s="1"/>
      <c r="BD140" s="2"/>
      <c r="BE140" s="2"/>
      <c r="BF140" s="2"/>
      <c r="BG140" s="2"/>
      <c r="BH140" s="2"/>
      <c r="BI140" s="2"/>
      <c r="BJ140" s="2"/>
      <c r="BK140" s="2"/>
    </row>
    <row r="141" spans="1:63" s="1" customFormat="1" outlineLevel="1" x14ac:dyDescent="0.2">
      <c r="A141" s="1" t="s">
        <v>1562</v>
      </c>
      <c r="B141" s="65"/>
      <c r="C141" s="300">
        <f>C137-$C137</f>
        <v>0</v>
      </c>
      <c r="D141" s="300">
        <f t="shared" ref="D141:AG142" si="76">D137-$C137</f>
        <v>4.7734390132554802E-4</v>
      </c>
      <c r="E141" s="300">
        <f t="shared" si="76"/>
        <v>1.1100629497215676E-3</v>
      </c>
      <c r="F141" s="300">
        <f t="shared" si="76"/>
        <v>1.912692445122603E-3</v>
      </c>
      <c r="G141" s="300">
        <f t="shared" si="76"/>
        <v>2.8985316234754871E-3</v>
      </c>
      <c r="H141" s="300">
        <f t="shared" si="76"/>
        <v>4.0792976178794758E-3</v>
      </c>
      <c r="I141" s="300">
        <f t="shared" si="76"/>
        <v>5.4780253026382496E-3</v>
      </c>
      <c r="J141" s="300">
        <f t="shared" si="76"/>
        <v>7.1127061400412988E-3</v>
      </c>
      <c r="K141" s="300">
        <f t="shared" si="76"/>
        <v>9.0018322306941456E-3</v>
      </c>
      <c r="L141" s="300">
        <f t="shared" si="76"/>
        <v>1.1164357373803991E-2</v>
      </c>
      <c r="M141" s="300">
        <f t="shared" si="76"/>
        <v>1.3619654315806242E-2</v>
      </c>
      <c r="N141" s="300">
        <f t="shared" si="76"/>
        <v>1.7621214751372176E-2</v>
      </c>
      <c r="O141" s="300">
        <f t="shared" si="76"/>
        <v>2.2181182215903032E-2</v>
      </c>
      <c r="P141" s="300">
        <f t="shared" si="76"/>
        <v>2.7296038814287257E-2</v>
      </c>
      <c r="Q141" s="300">
        <f t="shared" si="76"/>
        <v>3.2988202618568538E-2</v>
      </c>
      <c r="R141" s="300">
        <f t="shared" si="76"/>
        <v>3.9261753353455407E-2</v>
      </c>
      <c r="S141" s="300">
        <f t="shared" si="76"/>
        <v>4.6199046053691663E-2</v>
      </c>
      <c r="T141" s="300">
        <f t="shared" si="76"/>
        <v>5.3832683345371786E-2</v>
      </c>
      <c r="U141" s="300">
        <f t="shared" si="76"/>
        <v>6.2195773874680796E-2</v>
      </c>
      <c r="V141" s="300">
        <f t="shared" si="76"/>
        <v>7.1321911692760642E-2</v>
      </c>
      <c r="W141" s="300">
        <f t="shared" si="76"/>
        <v>8.1245154591556096E-2</v>
      </c>
      <c r="X141" s="300">
        <f t="shared" si="76"/>
        <v>9.5537449009532885E-2</v>
      </c>
      <c r="Y141" s="300">
        <f t="shared" si="76"/>
        <v>0.11115779556150802</v>
      </c>
      <c r="Z141" s="300">
        <f t="shared" si="76"/>
        <v>0.12782366464217054</v>
      </c>
      <c r="AA141" s="300">
        <f t="shared" si="76"/>
        <v>0.14582639794915286</v>
      </c>
      <c r="AB141" s="300">
        <f t="shared" si="76"/>
        <v>0.16520937968905763</v>
      </c>
      <c r="AC141" s="300">
        <f t="shared" si="76"/>
        <v>0.18601707669099452</v>
      </c>
      <c r="AD141" s="300">
        <f t="shared" si="76"/>
        <v>0.20829204365698292</v>
      </c>
      <c r="AE141" s="300">
        <f t="shared" si="76"/>
        <v>0.23207603927658771</v>
      </c>
      <c r="AF141" s="300">
        <f t="shared" si="76"/>
        <v>0.25740992701583043</v>
      </c>
      <c r="AG141" s="300">
        <f t="shared" si="76"/>
        <v>0.28433357385966845</v>
      </c>
      <c r="AH141" s="245"/>
      <c r="AI141" s="423"/>
      <c r="AJ141" s="424"/>
      <c r="AL141" s="221"/>
      <c r="AM141" s="124"/>
      <c r="AN141" s="124"/>
      <c r="AO141" s="124"/>
      <c r="BD141" s="124"/>
      <c r="BE141" s="124"/>
      <c r="BF141" s="124"/>
      <c r="BG141" s="124"/>
      <c r="BH141" s="124"/>
      <c r="BI141" s="124"/>
      <c r="BJ141" s="124"/>
      <c r="BK141" s="124"/>
    </row>
    <row r="142" spans="1:63" outlineLevel="1" x14ac:dyDescent="0.2">
      <c r="A142" s="4" t="s">
        <v>474</v>
      </c>
      <c r="C142" s="230">
        <f>C138-$C138</f>
        <v>0</v>
      </c>
      <c r="D142" s="230">
        <f t="shared" si="76"/>
        <v>0</v>
      </c>
      <c r="E142" s="230">
        <f t="shared" si="76"/>
        <v>0</v>
      </c>
      <c r="F142" s="230">
        <f t="shared" si="76"/>
        <v>0</v>
      </c>
      <c r="G142" s="230">
        <f t="shared" si="76"/>
        <v>0</v>
      </c>
      <c r="H142" s="230">
        <f t="shared" si="76"/>
        <v>0</v>
      </c>
      <c r="I142" s="230">
        <f t="shared" si="76"/>
        <v>0</v>
      </c>
      <c r="J142" s="230">
        <f t="shared" si="76"/>
        <v>0</v>
      </c>
      <c r="K142" s="230">
        <f t="shared" si="76"/>
        <v>0</v>
      </c>
      <c r="L142" s="230">
        <f t="shared" si="76"/>
        <v>0</v>
      </c>
      <c r="M142" s="230">
        <f t="shared" si="76"/>
        <v>0</v>
      </c>
      <c r="N142" s="230">
        <f t="shared" si="76"/>
        <v>0</v>
      </c>
      <c r="O142" s="230">
        <f t="shared" si="76"/>
        <v>0</v>
      </c>
      <c r="P142" s="230">
        <f t="shared" si="76"/>
        <v>0</v>
      </c>
      <c r="Q142" s="230">
        <f t="shared" si="76"/>
        <v>0</v>
      </c>
      <c r="R142" s="230">
        <f t="shared" si="76"/>
        <v>0</v>
      </c>
      <c r="S142" s="230">
        <f t="shared" si="76"/>
        <v>0</v>
      </c>
      <c r="T142" s="230">
        <f t="shared" si="76"/>
        <v>0</v>
      </c>
      <c r="U142" s="230">
        <f t="shared" si="76"/>
        <v>0</v>
      </c>
      <c r="V142" s="230">
        <f t="shared" si="76"/>
        <v>0</v>
      </c>
      <c r="W142" s="230">
        <f t="shared" si="76"/>
        <v>0</v>
      </c>
      <c r="X142" s="230">
        <f t="shared" si="76"/>
        <v>0</v>
      </c>
      <c r="Y142" s="230">
        <f t="shared" si="76"/>
        <v>0</v>
      </c>
      <c r="Z142" s="230">
        <f t="shared" si="76"/>
        <v>0</v>
      </c>
      <c r="AA142" s="230">
        <f t="shared" si="76"/>
        <v>0</v>
      </c>
      <c r="AB142" s="230">
        <f t="shared" si="76"/>
        <v>0</v>
      </c>
      <c r="AC142" s="230">
        <f t="shared" si="76"/>
        <v>0</v>
      </c>
      <c r="AD142" s="230">
        <f t="shared" si="76"/>
        <v>0</v>
      </c>
      <c r="AE142" s="230">
        <f t="shared" si="76"/>
        <v>0</v>
      </c>
      <c r="AF142" s="230">
        <f t="shared" si="76"/>
        <v>0</v>
      </c>
      <c r="AG142" s="230">
        <f>AG138-$C138</f>
        <v>0</v>
      </c>
      <c r="AH142" s="245"/>
      <c r="AI142" s="133"/>
      <c r="AJ142" s="211"/>
      <c r="AL142" s="108"/>
      <c r="AM142" s="2"/>
      <c r="AN142" s="2"/>
      <c r="AO142" s="2"/>
      <c r="BC142" s="1"/>
      <c r="BD142" s="2"/>
      <c r="BE142" s="2"/>
      <c r="BF142" s="2"/>
      <c r="BG142" s="2"/>
      <c r="BH142" s="2"/>
      <c r="BI142" s="2"/>
      <c r="BJ142" s="2"/>
      <c r="BK142" s="2"/>
    </row>
    <row r="143" spans="1:63" outlineLevel="1" x14ac:dyDescent="0.2">
      <c r="A143" s="4" t="s">
        <v>745</v>
      </c>
      <c r="C143" s="230">
        <f t="shared" ref="C143:AG144" si="77">C139-$C139</f>
        <v>0</v>
      </c>
      <c r="D143" s="230">
        <f t="shared" si="77"/>
        <v>4.4601425719494335E-6</v>
      </c>
      <c r="E143" s="230">
        <f t="shared" si="77"/>
        <v>1.383739709196547E-5</v>
      </c>
      <c r="F143" s="230">
        <f t="shared" si="77"/>
        <v>3.0112426283545198E-5</v>
      </c>
      <c r="G143" s="230">
        <f t="shared" si="77"/>
        <v>5.547260019831218E-5</v>
      </c>
      <c r="H143" s="230">
        <f t="shared" si="77"/>
        <v>9.2281258336247311E-5</v>
      </c>
      <c r="I143" s="230">
        <f t="shared" si="77"/>
        <v>1.4334772125723229E-4</v>
      </c>
      <c r="J143" s="230">
        <f t="shared" si="77"/>
        <v>2.117021556241971E-4</v>
      </c>
      <c r="K143" s="230">
        <f t="shared" si="77"/>
        <v>3.0066992839067287E-4</v>
      </c>
      <c r="L143" s="230">
        <f t="shared" si="77"/>
        <v>4.1387997167841137E-4</v>
      </c>
      <c r="M143" s="230">
        <f t="shared" si="77"/>
        <v>5.5527209169726349E-4</v>
      </c>
      <c r="N143" s="230">
        <f t="shared" si="77"/>
        <v>7.8183676802056441E-4</v>
      </c>
      <c r="O143" s="230">
        <f t="shared" si="77"/>
        <v>1.0655367873753775E-3</v>
      </c>
      <c r="P143" s="230">
        <f t="shared" si="77"/>
        <v>1.4127038519202119E-3</v>
      </c>
      <c r="Q143" s="230">
        <f t="shared" si="77"/>
        <v>1.8310258970610038E-3</v>
      </c>
      <c r="R143" s="230">
        <f t="shared" si="77"/>
        <v>2.3274704381969296E-3</v>
      </c>
      <c r="S143" s="230">
        <f t="shared" si="77"/>
        <v>2.9139348701607442E-3</v>
      </c>
      <c r="T143" s="230">
        <f t="shared" si="77"/>
        <v>3.6003101260891342E-3</v>
      </c>
      <c r="U143" s="230">
        <f t="shared" si="77"/>
        <v>4.3970292674811035E-3</v>
      </c>
      <c r="V143" s="230">
        <f t="shared" si="77"/>
        <v>5.3150757934275691E-3</v>
      </c>
      <c r="W143" s="230">
        <f t="shared" si="77"/>
        <v>6.3659913876921393E-3</v>
      </c>
      <c r="X143" s="230">
        <f t="shared" si="77"/>
        <v>7.8505376888193552E-3</v>
      </c>
      <c r="Y143" s="230">
        <f t="shared" si="77"/>
        <v>9.5596841551878406E-3</v>
      </c>
      <c r="Z143" s="230">
        <f t="shared" si="77"/>
        <v>1.1483662043437381E-2</v>
      </c>
      <c r="AA143" s="230">
        <f t="shared" si="77"/>
        <v>1.3661828701744204E-2</v>
      </c>
      <c r="AB143" s="230">
        <f t="shared" si="77"/>
        <v>1.6113982536889435E-2</v>
      </c>
      <c r="AC143" s="230">
        <f t="shared" si="77"/>
        <v>1.8860705642965936E-2</v>
      </c>
      <c r="AD143" s="230">
        <f t="shared" si="77"/>
        <v>2.1923070644301476E-2</v>
      </c>
      <c r="AE143" s="230">
        <f t="shared" si="77"/>
        <v>2.532272497850863E-2</v>
      </c>
      <c r="AF143" s="230">
        <f t="shared" si="77"/>
        <v>2.9081864251530219E-2</v>
      </c>
      <c r="AG143" s="230">
        <f t="shared" si="77"/>
        <v>3.3223203041103364E-2</v>
      </c>
      <c r="AH143" s="245"/>
      <c r="AI143" s="133"/>
      <c r="AJ143" s="211"/>
      <c r="AL143" s="108"/>
      <c r="AM143" s="2"/>
      <c r="AN143" s="2"/>
      <c r="AO143" s="2"/>
      <c r="BC143" s="1"/>
      <c r="BD143" s="2"/>
      <c r="BE143" s="2"/>
      <c r="BF143" s="2"/>
      <c r="BG143" s="2"/>
      <c r="BH143" s="2"/>
      <c r="BI143" s="2"/>
      <c r="BJ143" s="2"/>
      <c r="BK143" s="2"/>
    </row>
    <row r="144" spans="1:63" outlineLevel="1" x14ac:dyDescent="0.2">
      <c r="A144" s="4" t="s">
        <v>1561</v>
      </c>
      <c r="C144" s="230">
        <f t="shared" si="77"/>
        <v>0</v>
      </c>
      <c r="D144" s="230">
        <f t="shared" si="77"/>
        <v>4.7288375875359858E-4</v>
      </c>
      <c r="E144" s="230">
        <f t="shared" si="77"/>
        <v>1.0962255526296024E-3</v>
      </c>
      <c r="F144" s="230">
        <f t="shared" si="77"/>
        <v>1.8825800188390579E-3</v>
      </c>
      <c r="G144" s="230">
        <f t="shared" si="77"/>
        <v>2.8430590232771755E-3</v>
      </c>
      <c r="H144" s="230">
        <f t="shared" si="77"/>
        <v>3.9870163595432297E-3</v>
      </c>
      <c r="I144" s="230">
        <f t="shared" si="77"/>
        <v>5.3346775813810192E-3</v>
      </c>
      <c r="J144" s="230">
        <f t="shared" si="77"/>
        <v>6.9010039844171044E-3</v>
      </c>
      <c r="K144" s="230">
        <f t="shared" si="77"/>
        <v>8.7011623023034758E-3</v>
      </c>
      <c r="L144" s="230">
        <f t="shared" si="77"/>
        <v>1.0750477402125584E-2</v>
      </c>
      <c r="M144" s="230">
        <f t="shared" si="77"/>
        <v>1.3064382224108986E-2</v>
      </c>
      <c r="N144" s="230">
        <f t="shared" si="77"/>
        <v>1.6839377983351621E-2</v>
      </c>
      <c r="O144" s="230">
        <f t="shared" si="77"/>
        <v>2.1115645428527667E-2</v>
      </c>
      <c r="P144" s="230">
        <f t="shared" si="77"/>
        <v>2.5883334962367062E-2</v>
      </c>
      <c r="Q144" s="230">
        <f t="shared" si="77"/>
        <v>3.1157176721507553E-2</v>
      </c>
      <c r="R144" s="230">
        <f t="shared" si="77"/>
        <v>3.6934282915258507E-2</v>
      </c>
      <c r="S144" s="230">
        <f t="shared" si="77"/>
        <v>4.3285111183530948E-2</v>
      </c>
      <c r="T144" s="230">
        <f t="shared" si="77"/>
        <v>5.0232373219282693E-2</v>
      </c>
      <c r="U144" s="230">
        <f t="shared" si="77"/>
        <v>5.7798744607199741E-2</v>
      </c>
      <c r="V144" s="230">
        <f t="shared" si="77"/>
        <v>6.6006835899333136E-2</v>
      </c>
      <c r="W144" s="230">
        <f t="shared" si="77"/>
        <v>7.4879163203864021E-2</v>
      </c>
      <c r="X144" s="230">
        <f t="shared" si="77"/>
        <v>8.7686911320713615E-2</v>
      </c>
      <c r="Y144" s="230">
        <f t="shared" si="77"/>
        <v>0.10159811140632029</v>
      </c>
      <c r="Z144" s="230">
        <f t="shared" si="77"/>
        <v>0.11634000259873328</v>
      </c>
      <c r="AA144" s="230">
        <f t="shared" si="77"/>
        <v>0.1321645692474088</v>
      </c>
      <c r="AB144" s="230">
        <f t="shared" si="77"/>
        <v>0.14909539715216838</v>
      </c>
      <c r="AC144" s="230">
        <f t="shared" si="77"/>
        <v>0.16715637104802877</v>
      </c>
      <c r="AD144" s="230">
        <f t="shared" si="77"/>
        <v>0.18636897301268168</v>
      </c>
      <c r="AE144" s="230">
        <f t="shared" si="77"/>
        <v>0.20675331429807936</v>
      </c>
      <c r="AF144" s="230">
        <f t="shared" si="77"/>
        <v>0.22832806276430057</v>
      </c>
      <c r="AG144" s="230">
        <f t="shared" si="77"/>
        <v>0.25111037081856508</v>
      </c>
      <c r="AH144" s="245"/>
      <c r="AI144" s="133"/>
      <c r="AJ144" s="211"/>
      <c r="AL144" s="108"/>
      <c r="AM144" s="2"/>
      <c r="AN144" s="2"/>
      <c r="AO144" s="2"/>
      <c r="BC144" s="1"/>
      <c r="BD144" s="2"/>
      <c r="BE144" s="2"/>
      <c r="BF144" s="2"/>
      <c r="BG144" s="2"/>
      <c r="BH144" s="2"/>
      <c r="BI144" s="2"/>
      <c r="BJ144" s="2"/>
      <c r="BK144" s="2"/>
    </row>
    <row r="145" spans="1:63" s="1" customFormat="1" outlineLevel="1" x14ac:dyDescent="0.2">
      <c r="A145" s="1" t="s">
        <v>1569</v>
      </c>
      <c r="B145" s="65"/>
      <c r="C145" s="300">
        <f>C43*C133</f>
        <v>4.0095381501239038E-3</v>
      </c>
      <c r="D145" s="300">
        <f t="shared" ref="D145:AG145" si="78">D43*D133</f>
        <v>5.1423018338841216E-3</v>
      </c>
      <c r="E145" s="300">
        <f t="shared" si="78"/>
        <v>6.3076135339729215E-3</v>
      </c>
      <c r="F145" s="300">
        <f t="shared" si="78"/>
        <v>7.4939520870821478E-3</v>
      </c>
      <c r="G145" s="300">
        <f t="shared" si="78"/>
        <v>8.6889486072183938E-3</v>
      </c>
      <c r="H145" s="300">
        <f t="shared" si="78"/>
        <v>9.8795610104497993E-3</v>
      </c>
      <c r="I145" s="300">
        <f t="shared" si="78"/>
        <v>1.1076113532951435E-2</v>
      </c>
      <c r="J145" s="300">
        <f t="shared" si="78"/>
        <v>1.2272344913188394E-2</v>
      </c>
      <c r="K145" s="300">
        <f t="shared" si="78"/>
        <v>1.3461598554885976E-2</v>
      </c>
      <c r="L145" s="300">
        <f t="shared" si="78"/>
        <v>1.4636829098945982E-2</v>
      </c>
      <c r="M145" s="300">
        <f t="shared" si="78"/>
        <v>1.579061093801053E-2</v>
      </c>
      <c r="N145" s="300">
        <f t="shared" si="78"/>
        <v>1.8138566215961615E-2</v>
      </c>
      <c r="O145" s="300">
        <f t="shared" si="78"/>
        <v>2.0407538027025891E-2</v>
      </c>
      <c r="P145" s="300">
        <f t="shared" si="78"/>
        <v>2.2555862679195536E-2</v>
      </c>
      <c r="Q145" s="300">
        <f t="shared" si="78"/>
        <v>2.4570846582055095E-2</v>
      </c>
      <c r="R145" s="300">
        <f t="shared" si="78"/>
        <v>2.6427885571960626E-2</v>
      </c>
      <c r="S145" s="300">
        <f t="shared" si="78"/>
        <v>2.8154046248771197E-2</v>
      </c>
      <c r="T145" s="300">
        <f t="shared" si="78"/>
        <v>2.9735502511117042E-2</v>
      </c>
      <c r="U145" s="300">
        <f t="shared" si="78"/>
        <v>3.1158092691798381E-2</v>
      </c>
      <c r="V145" s="300">
        <f t="shared" si="78"/>
        <v>3.2407326494775179E-2</v>
      </c>
      <c r="W145" s="300">
        <f t="shared" si="78"/>
        <v>3.346839247629764E-2</v>
      </c>
      <c r="X145" s="300">
        <f t="shared" si="78"/>
        <v>3.563647543515279E-2</v>
      </c>
      <c r="Y145" s="300">
        <f t="shared" si="78"/>
        <v>3.7491904605021879E-2</v>
      </c>
      <c r="Z145" s="300">
        <f t="shared" si="78"/>
        <v>3.8906078618243189E-2</v>
      </c>
      <c r="AA145" s="300">
        <f t="shared" si="78"/>
        <v>3.9947200539873225E-2</v>
      </c>
      <c r="AB145" s="300">
        <f t="shared" si="78"/>
        <v>4.0591780202176464E-2</v>
      </c>
      <c r="AC145" s="300">
        <f t="shared" si="78"/>
        <v>4.0816691008106698E-2</v>
      </c>
      <c r="AD145" s="300">
        <f t="shared" si="78"/>
        <v>4.059843536879304E-2</v>
      </c>
      <c r="AE145" s="300">
        <f t="shared" si="78"/>
        <v>3.9913553972014418E-2</v>
      </c>
      <c r="AF145" s="300">
        <f t="shared" si="78"/>
        <v>3.8738668980487695E-2</v>
      </c>
      <c r="AG145" s="300">
        <f t="shared" si="78"/>
        <v>3.7050528474585669E-2</v>
      </c>
      <c r="AH145" s="245"/>
      <c r="AI145" s="423"/>
      <c r="AJ145" s="424"/>
      <c r="AL145" s="221"/>
      <c r="AM145" s="124"/>
      <c r="AN145" s="124"/>
      <c r="AO145" s="124"/>
      <c r="BD145" s="124"/>
      <c r="BE145" s="124"/>
      <c r="BF145" s="124"/>
      <c r="BG145" s="124"/>
      <c r="BH145" s="124"/>
      <c r="BI145" s="124"/>
      <c r="BJ145" s="124"/>
      <c r="BK145" s="124"/>
    </row>
    <row r="146" spans="1:63" outlineLevel="1" x14ac:dyDescent="0.2">
      <c r="A146" s="4" t="s">
        <v>474</v>
      </c>
      <c r="C146" s="230">
        <f>C$145*'Methanol recycling rates'!E51</f>
        <v>0</v>
      </c>
      <c r="D146" s="230">
        <f>D$145*'Methanol recycling rates'!F51</f>
        <v>0</v>
      </c>
      <c r="E146" s="230">
        <f>E$145*'Methanol recycling rates'!G51</f>
        <v>0</v>
      </c>
      <c r="F146" s="230">
        <f>F$145*'Methanol recycling rates'!H51</f>
        <v>0</v>
      </c>
      <c r="G146" s="230">
        <f>G$145*'Methanol recycling rates'!I51</f>
        <v>0</v>
      </c>
      <c r="H146" s="230">
        <f>H$145*'Methanol recycling rates'!J51</f>
        <v>0</v>
      </c>
      <c r="I146" s="230">
        <f>I$145*'Methanol recycling rates'!K51</f>
        <v>0</v>
      </c>
      <c r="J146" s="230">
        <f>J$145*'Methanol recycling rates'!L51</f>
        <v>0</v>
      </c>
      <c r="K146" s="230">
        <f>K$145*'Methanol recycling rates'!M51</f>
        <v>0</v>
      </c>
      <c r="L146" s="230">
        <f>L$145*'Methanol recycling rates'!N51</f>
        <v>0</v>
      </c>
      <c r="M146" s="230">
        <f>M$145*'Methanol recycling rates'!O51</f>
        <v>0</v>
      </c>
      <c r="N146" s="230">
        <f>N$145*'Methanol recycling rates'!P51</f>
        <v>0</v>
      </c>
      <c r="O146" s="230">
        <f>O$145*'Methanol recycling rates'!Q51</f>
        <v>0</v>
      </c>
      <c r="P146" s="230">
        <f>P$145*'Methanol recycling rates'!R51</f>
        <v>0</v>
      </c>
      <c r="Q146" s="230">
        <f>Q$145*'Methanol recycling rates'!S51</f>
        <v>0</v>
      </c>
      <c r="R146" s="230">
        <f>R$145*'Methanol recycling rates'!T51</f>
        <v>0</v>
      </c>
      <c r="S146" s="230">
        <f>S$145*'Methanol recycling rates'!U51</f>
        <v>0</v>
      </c>
      <c r="T146" s="230">
        <f>T$145*'Methanol recycling rates'!V51</f>
        <v>0</v>
      </c>
      <c r="U146" s="230">
        <f>U$145*'Methanol recycling rates'!W51</f>
        <v>0</v>
      </c>
      <c r="V146" s="230">
        <f>V$145*'Methanol recycling rates'!X51</f>
        <v>0</v>
      </c>
      <c r="W146" s="230">
        <f>W$145*'Methanol recycling rates'!Y51</f>
        <v>0</v>
      </c>
      <c r="X146" s="230">
        <f>X$145*'Methanol recycling rates'!Z51</f>
        <v>0</v>
      </c>
      <c r="Y146" s="230">
        <f>Y$145*'Methanol recycling rates'!AA51</f>
        <v>0</v>
      </c>
      <c r="Z146" s="230">
        <f>Z$145*'Methanol recycling rates'!AB51</f>
        <v>0</v>
      </c>
      <c r="AA146" s="230">
        <f>AA$145*'Methanol recycling rates'!AC51</f>
        <v>0</v>
      </c>
      <c r="AB146" s="230">
        <f>AB$145*'Methanol recycling rates'!AD51</f>
        <v>0</v>
      </c>
      <c r="AC146" s="230">
        <f>AC$145*'Methanol recycling rates'!AE51</f>
        <v>0</v>
      </c>
      <c r="AD146" s="230">
        <f>AD$145*'Methanol recycling rates'!AF51</f>
        <v>0</v>
      </c>
      <c r="AE146" s="230">
        <f>AE$145*'Methanol recycling rates'!AG51</f>
        <v>0</v>
      </c>
      <c r="AF146" s="230">
        <f>AF$145*'Methanol recycling rates'!AH51</f>
        <v>0</v>
      </c>
      <c r="AG146" s="230">
        <f>AG$145*'Methanol recycling rates'!AI51</f>
        <v>0</v>
      </c>
      <c r="AH146" s="245"/>
      <c r="AI146" s="133"/>
      <c r="AJ146" s="211"/>
      <c r="AL146" s="108"/>
      <c r="AM146" s="2"/>
      <c r="AN146" s="2"/>
      <c r="AO146" s="2"/>
      <c r="BC146" s="1"/>
      <c r="BD146" s="2"/>
      <c r="BE146" s="2"/>
      <c r="BF146" s="2"/>
      <c r="BG146" s="2"/>
      <c r="BH146" s="2"/>
      <c r="BI146" s="2"/>
      <c r="BJ146" s="2"/>
      <c r="BK146" s="2"/>
    </row>
    <row r="147" spans="1:63" outlineLevel="1" x14ac:dyDescent="0.2">
      <c r="A147" s="4" t="s">
        <v>745</v>
      </c>
      <c r="C147" s="230">
        <f>C$145*'Methanol recycling rates'!E52</f>
        <v>0</v>
      </c>
      <c r="D147" s="230">
        <f>D$145*'Methanol recycling rates'!F52</f>
        <v>1.998143872233346E-5</v>
      </c>
      <c r="E147" s="230">
        <f>E$145*'Methanol recycling rates'!G52</f>
        <v>4.9018979198287664E-5</v>
      </c>
      <c r="F147" s="230">
        <f>F$145*'Methanol recycling rates'!H52</f>
        <v>8.7357733513105857E-5</v>
      </c>
      <c r="G147" s="230">
        <f>G$145*'Methanol recycling rates'!I52</f>
        <v>1.350505666646182E-4</v>
      </c>
      <c r="H147" s="230">
        <f>H$145*'Methanol recycling rates'!J52</f>
        <v>1.9194501733939441E-4</v>
      </c>
      <c r="I147" s="230">
        <f>I$145*'Methanol recycling rates'!K52</f>
        <v>2.5823068072195702E-4</v>
      </c>
      <c r="J147" s="230">
        <f>J$145*'Methanol recycling rates'!L52</f>
        <v>3.3380649570679855E-4</v>
      </c>
      <c r="K147" s="230">
        <f>K$145*'Methanol recycling rates'!M52</f>
        <v>4.1846179445431301E-4</v>
      </c>
      <c r="L147" s="230">
        <f>L$145*'Methanol recycling rates'!N52</f>
        <v>5.1186885145957034E-4</v>
      </c>
      <c r="M147" s="230">
        <f>M$145*'Methanol recycling rates'!O52</f>
        <v>6.1357566132547614E-4</v>
      </c>
      <c r="N147" s="230">
        <f>N$145*'Methanol recycling rates'!P52</f>
        <v>7.7529115786969442E-4</v>
      </c>
      <c r="O147" s="230">
        <f>O$145*'Methanol recycling rates'!Q52</f>
        <v>9.515706788126195E-4</v>
      </c>
      <c r="P147" s="230">
        <f>P$145*'Methanol recycling rates'!R52</f>
        <v>1.1393889026099337E-3</v>
      </c>
      <c r="Q147" s="230">
        <f>Q$145*'Methanol recycling rates'!S52</f>
        <v>1.3366489048545322E-3</v>
      </c>
      <c r="R147" s="230">
        <f>R$145*'Methanol recycling rates'!T52</f>
        <v>1.5403622536430579E-3</v>
      </c>
      <c r="S147" s="230">
        <f>S$145*'Methanol recycling rates'!U52</f>
        <v>1.7503705323517285E-3</v>
      </c>
      <c r="T147" s="230">
        <f>T$145*'Methanol recycling rates'!V52</f>
        <v>1.9642347704302674E-3</v>
      </c>
      <c r="U147" s="230">
        <f>U$145*'Methanol recycling rates'!W52</f>
        <v>2.1792776306953209E-3</v>
      </c>
      <c r="V147" s="230">
        <f>V$145*'Methanol recycling rates'!X52</f>
        <v>2.3925774019369467E-3</v>
      </c>
      <c r="W147" s="230">
        <f>W$145*'Methanol recycling rates'!Y52</f>
        <v>2.6009621955427869E-3</v>
      </c>
      <c r="X147" s="230">
        <f>X$145*'Methanol recycling rates'!Z52</f>
        <v>2.9079251932284276E-3</v>
      </c>
      <c r="Y147" s="230">
        <f>Y$145*'Methanol recycling rates'!AA52</f>
        <v>3.2050098983445519E-3</v>
      </c>
      <c r="Z147" s="230">
        <f>Z$145*'Methanol recycling rates'!AB52</f>
        <v>3.4770784313800239E-3</v>
      </c>
      <c r="AA147" s="230">
        <f>AA$145*'Methanol recycling rates'!AC52</f>
        <v>3.7253474362317078E-3</v>
      </c>
      <c r="AB147" s="230">
        <f>AB$145*'Methanol recycling rates'!AD52</f>
        <v>3.9431863149094097E-3</v>
      </c>
      <c r="AC147" s="230">
        <f>AC$145*'Methanol recycling rates'!AE52</f>
        <v>4.1236360973939106E-3</v>
      </c>
      <c r="AD147" s="230">
        <f>AD$145*'Methanol recycling rates'!AF52</f>
        <v>4.2593394394642801E-3</v>
      </c>
      <c r="AE147" s="230">
        <f>AE$145*'Methanol recycling rates'!AG52</f>
        <v>4.342577943122961E-3</v>
      </c>
      <c r="AF147" s="230">
        <f>AF$145*'Methanol recycling rates'!AH52</f>
        <v>4.3652777680647323E-3</v>
      </c>
      <c r="AG147" s="230">
        <f>AG$145*'Methanol recycling rates'!AI52</f>
        <v>4.3190163953434352E-3</v>
      </c>
      <c r="AH147" s="245"/>
      <c r="AI147" s="133"/>
      <c r="AJ147" s="211"/>
      <c r="AL147" s="108"/>
      <c r="AM147" s="2"/>
      <c r="AN147" s="2"/>
      <c r="AO147" s="2"/>
      <c r="BC147" s="1"/>
      <c r="BD147" s="2"/>
      <c r="BE147" s="2"/>
      <c r="BF147" s="2"/>
      <c r="BG147" s="2"/>
      <c r="BH147" s="2"/>
      <c r="BI147" s="2"/>
      <c r="BJ147" s="2"/>
      <c r="BK147" s="2"/>
    </row>
    <row r="148" spans="1:63" outlineLevel="1" x14ac:dyDescent="0.2">
      <c r="A148" s="4" t="s">
        <v>1561</v>
      </c>
      <c r="C148" s="230">
        <f>C$145*'Methanol recycling rates'!E53</f>
        <v>4.0095381501239038E-3</v>
      </c>
      <c r="D148" s="230">
        <f>D$145*'Methanol recycling rates'!F53</f>
        <v>5.1223203951617884E-3</v>
      </c>
      <c r="E148" s="230">
        <f>E$145*'Methanol recycling rates'!G53</f>
        <v>6.2585945547746344E-3</v>
      </c>
      <c r="F148" s="230">
        <f>F$145*'Methanol recycling rates'!H53</f>
        <v>7.4065943535690428E-3</v>
      </c>
      <c r="G148" s="230">
        <f>G$145*'Methanol recycling rates'!I53</f>
        <v>8.5538980405537764E-3</v>
      </c>
      <c r="H148" s="230">
        <f>H$145*'Methanol recycling rates'!J53</f>
        <v>9.6876159931104065E-3</v>
      </c>
      <c r="I148" s="230">
        <f>I$145*'Methanol recycling rates'!K53</f>
        <v>1.0817882852229481E-2</v>
      </c>
      <c r="J148" s="230">
        <f>J$145*'Methanol recycling rates'!L53</f>
        <v>1.19385384174816E-2</v>
      </c>
      <c r="K148" s="230">
        <f>K$145*'Methanol recycling rates'!M53</f>
        <v>1.3043136760431668E-2</v>
      </c>
      <c r="L148" s="230">
        <f>L$145*'Methanol recycling rates'!N53</f>
        <v>1.4124960247486417E-2</v>
      </c>
      <c r="M148" s="230">
        <f>M$145*'Methanol recycling rates'!O53</f>
        <v>1.517703527668506E-2</v>
      </c>
      <c r="N148" s="230">
        <f>N$145*'Methanol recycling rates'!P53</f>
        <v>1.7363275058091928E-2</v>
      </c>
      <c r="O148" s="230">
        <f>O$145*'Methanol recycling rates'!Q53</f>
        <v>1.9455967348213282E-2</v>
      </c>
      <c r="P148" s="230">
        <f>P$145*'Methanol recycling rates'!R53</f>
        <v>2.1416473776585614E-2</v>
      </c>
      <c r="Q148" s="230">
        <f>Q$145*'Methanol recycling rates'!S53</f>
        <v>2.3234197677200578E-2</v>
      </c>
      <c r="R148" s="230">
        <f>R$145*'Methanol recycling rates'!T53</f>
        <v>2.4887523318317586E-2</v>
      </c>
      <c r="S148" s="230">
        <f>S$145*'Methanol recycling rates'!U53</f>
        <v>2.6403675716419488E-2</v>
      </c>
      <c r="T148" s="230">
        <f>T$145*'Methanol recycling rates'!V53</f>
        <v>2.7771267740686795E-2</v>
      </c>
      <c r="U148" s="230">
        <f>U$145*'Methanol recycling rates'!W53</f>
        <v>2.8978815061103082E-2</v>
      </c>
      <c r="V148" s="230">
        <f>V$145*'Methanol recycling rates'!X53</f>
        <v>3.0014749092838258E-2</v>
      </c>
      <c r="W148" s="230">
        <f>W$145*'Methanol recycling rates'!Y53</f>
        <v>3.0867430280754882E-2</v>
      </c>
      <c r="X148" s="230">
        <f>X$145*'Methanol recycling rates'!Z53</f>
        <v>3.2728550241924392E-2</v>
      </c>
      <c r="Y148" s="230">
        <f>Y$145*'Methanol recycling rates'!AA53</f>
        <v>3.4286894706677361E-2</v>
      </c>
      <c r="Z148" s="230">
        <f>Z$145*'Methanol recycling rates'!AB53</f>
        <v>3.5429000186863201E-2</v>
      </c>
      <c r="AA148" s="230">
        <f>AA$145*'Methanol recycling rates'!AC53</f>
        <v>3.6221853103641559E-2</v>
      </c>
      <c r="AB148" s="230">
        <f>AB$145*'Methanol recycling rates'!AD53</f>
        <v>3.66485938872671E-2</v>
      </c>
      <c r="AC148" s="230">
        <f>AC$145*'Methanol recycling rates'!AE53</f>
        <v>3.6693054910712834E-2</v>
      </c>
      <c r="AD148" s="230">
        <f>AD$145*'Methanol recycling rates'!AF53</f>
        <v>3.6339095929328803E-2</v>
      </c>
      <c r="AE148" s="230">
        <f>AE$145*'Methanol recycling rates'!AG53</f>
        <v>3.5570976028891504E-2</v>
      </c>
      <c r="AF148" s="230">
        <f>AF$145*'Methanol recycling rates'!AH53</f>
        <v>3.4373391212423013E-2</v>
      </c>
      <c r="AG148" s="230">
        <f>AG$145*'Methanol recycling rates'!AI53</f>
        <v>3.2731512079242235E-2</v>
      </c>
      <c r="AH148" s="245"/>
      <c r="AI148" s="133"/>
      <c r="AJ148" s="211"/>
      <c r="AL148" s="108"/>
      <c r="AM148" s="2"/>
      <c r="AN148" s="2"/>
      <c r="AO148" s="2"/>
      <c r="BC148" s="1"/>
      <c r="BD148" s="2"/>
      <c r="BE148" s="2"/>
      <c r="BF148" s="2"/>
      <c r="BG148" s="2"/>
      <c r="BH148" s="2"/>
      <c r="BI148" s="2"/>
      <c r="BJ148" s="2"/>
      <c r="BK148" s="2"/>
    </row>
    <row r="149" spans="1:63" s="1" customFormat="1" outlineLevel="1" x14ac:dyDescent="0.2">
      <c r="A149" s="1" t="s">
        <v>1570</v>
      </c>
      <c r="B149" s="65"/>
      <c r="C149" s="300">
        <f>C145-$C145</f>
        <v>0</v>
      </c>
      <c r="D149" s="300">
        <f t="shared" ref="D149:AG152" si="79">D145-$C145</f>
        <v>1.1327636837602179E-3</v>
      </c>
      <c r="E149" s="300">
        <f t="shared" si="79"/>
        <v>2.2980753838490178E-3</v>
      </c>
      <c r="F149" s="300">
        <f t="shared" si="79"/>
        <v>3.4844139369582441E-3</v>
      </c>
      <c r="G149" s="300">
        <f t="shared" si="79"/>
        <v>4.67941045709449E-3</v>
      </c>
      <c r="H149" s="300">
        <f t="shared" si="79"/>
        <v>5.8700228603258955E-3</v>
      </c>
      <c r="I149" s="300">
        <f t="shared" si="79"/>
        <v>7.0665753828275312E-3</v>
      </c>
      <c r="J149" s="300">
        <f t="shared" si="79"/>
        <v>8.2628067630644911E-3</v>
      </c>
      <c r="K149" s="300">
        <f t="shared" si="79"/>
        <v>9.4520604047620728E-3</v>
      </c>
      <c r="L149" s="300">
        <f t="shared" si="79"/>
        <v>1.0627290948822078E-2</v>
      </c>
      <c r="M149" s="300">
        <f t="shared" si="79"/>
        <v>1.1781072787886628E-2</v>
      </c>
      <c r="N149" s="300">
        <f t="shared" si="79"/>
        <v>1.4129028065837712E-2</v>
      </c>
      <c r="O149" s="300">
        <f t="shared" si="79"/>
        <v>1.6397999876901988E-2</v>
      </c>
      <c r="P149" s="300">
        <f t="shared" si="79"/>
        <v>1.8546324529071633E-2</v>
      </c>
      <c r="Q149" s="300">
        <f t="shared" si="79"/>
        <v>2.0561308431931193E-2</v>
      </c>
      <c r="R149" s="300">
        <f t="shared" si="79"/>
        <v>2.2418347421836723E-2</v>
      </c>
      <c r="S149" s="300">
        <f t="shared" si="79"/>
        <v>2.4144508098647294E-2</v>
      </c>
      <c r="T149" s="300">
        <f t="shared" si="79"/>
        <v>2.5725964360993139E-2</v>
      </c>
      <c r="U149" s="300">
        <f t="shared" si="79"/>
        <v>2.7148554541674478E-2</v>
      </c>
      <c r="V149" s="300">
        <f t="shared" si="79"/>
        <v>2.8397788344651276E-2</v>
      </c>
      <c r="W149" s="300">
        <f t="shared" si="79"/>
        <v>2.9458854326173737E-2</v>
      </c>
      <c r="X149" s="300">
        <f t="shared" si="79"/>
        <v>3.1626937285028883E-2</v>
      </c>
      <c r="Y149" s="300">
        <f t="shared" si="79"/>
        <v>3.3482366454897973E-2</v>
      </c>
      <c r="Z149" s="300">
        <f t="shared" si="79"/>
        <v>3.4896540468119283E-2</v>
      </c>
      <c r="AA149" s="300">
        <f t="shared" si="79"/>
        <v>3.5937662389749318E-2</v>
      </c>
      <c r="AB149" s="300">
        <f t="shared" si="79"/>
        <v>3.6582242052052558E-2</v>
      </c>
      <c r="AC149" s="300">
        <f t="shared" si="79"/>
        <v>3.6807152857982792E-2</v>
      </c>
      <c r="AD149" s="300">
        <f t="shared" si="79"/>
        <v>3.6588897218669134E-2</v>
      </c>
      <c r="AE149" s="300">
        <f t="shared" si="79"/>
        <v>3.5904015821890511E-2</v>
      </c>
      <c r="AF149" s="300">
        <f t="shared" si="79"/>
        <v>3.4729130830363789E-2</v>
      </c>
      <c r="AG149" s="300">
        <f t="shared" si="79"/>
        <v>3.3040990324461762E-2</v>
      </c>
      <c r="AH149" s="245"/>
      <c r="AI149" s="423"/>
      <c r="AJ149" s="424"/>
      <c r="AL149" s="221"/>
      <c r="AM149" s="124"/>
      <c r="AN149" s="124"/>
      <c r="AO149" s="124"/>
      <c r="BD149" s="124"/>
      <c r="BE149" s="124"/>
      <c r="BF149" s="124"/>
      <c r="BG149" s="124"/>
      <c r="BH149" s="124"/>
      <c r="BI149" s="124"/>
      <c r="BJ149" s="124"/>
      <c r="BK149" s="124"/>
    </row>
    <row r="150" spans="1:63" outlineLevel="1" x14ac:dyDescent="0.2">
      <c r="A150" s="4" t="s">
        <v>474</v>
      </c>
      <c r="C150" s="230">
        <f t="shared" ref="C150:C152" si="80">C146-$C146</f>
        <v>0</v>
      </c>
      <c r="D150" s="230">
        <f t="shared" si="79"/>
        <v>0</v>
      </c>
      <c r="E150" s="230">
        <f t="shared" si="79"/>
        <v>0</v>
      </c>
      <c r="F150" s="230">
        <f t="shared" si="79"/>
        <v>0</v>
      </c>
      <c r="G150" s="230">
        <f t="shared" si="79"/>
        <v>0</v>
      </c>
      <c r="H150" s="230">
        <f t="shared" si="79"/>
        <v>0</v>
      </c>
      <c r="I150" s="230">
        <f t="shared" si="79"/>
        <v>0</v>
      </c>
      <c r="J150" s="230">
        <f t="shared" si="79"/>
        <v>0</v>
      </c>
      <c r="K150" s="230">
        <f t="shared" si="79"/>
        <v>0</v>
      </c>
      <c r="L150" s="230">
        <f t="shared" si="79"/>
        <v>0</v>
      </c>
      <c r="M150" s="230">
        <f t="shared" si="79"/>
        <v>0</v>
      </c>
      <c r="N150" s="230">
        <f t="shared" si="79"/>
        <v>0</v>
      </c>
      <c r="O150" s="230">
        <f t="shared" si="79"/>
        <v>0</v>
      </c>
      <c r="P150" s="230">
        <f t="shared" si="79"/>
        <v>0</v>
      </c>
      <c r="Q150" s="230">
        <f t="shared" si="79"/>
        <v>0</v>
      </c>
      <c r="R150" s="230">
        <f t="shared" si="79"/>
        <v>0</v>
      </c>
      <c r="S150" s="230">
        <f t="shared" si="79"/>
        <v>0</v>
      </c>
      <c r="T150" s="230">
        <f t="shared" si="79"/>
        <v>0</v>
      </c>
      <c r="U150" s="230">
        <f t="shared" si="79"/>
        <v>0</v>
      </c>
      <c r="V150" s="230">
        <f t="shared" si="79"/>
        <v>0</v>
      </c>
      <c r="W150" s="230">
        <f t="shared" si="79"/>
        <v>0</v>
      </c>
      <c r="X150" s="230">
        <f t="shared" si="79"/>
        <v>0</v>
      </c>
      <c r="Y150" s="230">
        <f t="shared" si="79"/>
        <v>0</v>
      </c>
      <c r="Z150" s="230">
        <f t="shared" si="79"/>
        <v>0</v>
      </c>
      <c r="AA150" s="230">
        <f t="shared" si="79"/>
        <v>0</v>
      </c>
      <c r="AB150" s="230">
        <f t="shared" si="79"/>
        <v>0</v>
      </c>
      <c r="AC150" s="230">
        <f t="shared" si="79"/>
        <v>0</v>
      </c>
      <c r="AD150" s="230">
        <f t="shared" si="79"/>
        <v>0</v>
      </c>
      <c r="AE150" s="230">
        <f t="shared" si="79"/>
        <v>0</v>
      </c>
      <c r="AF150" s="230">
        <f t="shared" si="79"/>
        <v>0</v>
      </c>
      <c r="AG150" s="230">
        <f t="shared" si="79"/>
        <v>0</v>
      </c>
      <c r="AH150" s="245"/>
      <c r="AI150" s="133"/>
      <c r="AJ150" s="211"/>
      <c r="AL150" s="108"/>
      <c r="AM150" s="2"/>
      <c r="AN150" s="2"/>
      <c r="AO150" s="2"/>
      <c r="BC150" s="1"/>
      <c r="BD150" s="2"/>
      <c r="BE150" s="2"/>
      <c r="BF150" s="2"/>
      <c r="BG150" s="2"/>
      <c r="BH150" s="2"/>
      <c r="BI150" s="2"/>
      <c r="BJ150" s="2"/>
      <c r="BK150" s="2"/>
    </row>
    <row r="151" spans="1:63" outlineLevel="1" x14ac:dyDescent="0.2">
      <c r="A151" s="4" t="s">
        <v>745</v>
      </c>
      <c r="C151" s="230">
        <f t="shared" si="80"/>
        <v>0</v>
      </c>
      <c r="D151" s="230">
        <f t="shared" si="79"/>
        <v>1.998143872233346E-5</v>
      </c>
      <c r="E151" s="230">
        <f t="shared" si="79"/>
        <v>4.9018979198287664E-5</v>
      </c>
      <c r="F151" s="230">
        <f t="shared" si="79"/>
        <v>8.7357733513105857E-5</v>
      </c>
      <c r="G151" s="230">
        <f t="shared" si="79"/>
        <v>1.350505666646182E-4</v>
      </c>
      <c r="H151" s="230">
        <f t="shared" si="79"/>
        <v>1.9194501733939441E-4</v>
      </c>
      <c r="I151" s="230">
        <f t="shared" si="79"/>
        <v>2.5823068072195702E-4</v>
      </c>
      <c r="J151" s="230">
        <f t="shared" si="79"/>
        <v>3.3380649570679855E-4</v>
      </c>
      <c r="K151" s="230">
        <f t="shared" si="79"/>
        <v>4.1846179445431301E-4</v>
      </c>
      <c r="L151" s="230">
        <f t="shared" si="79"/>
        <v>5.1186885145957034E-4</v>
      </c>
      <c r="M151" s="230">
        <f t="shared" si="79"/>
        <v>6.1357566132547614E-4</v>
      </c>
      <c r="N151" s="230">
        <f t="shared" si="79"/>
        <v>7.7529115786969442E-4</v>
      </c>
      <c r="O151" s="230">
        <f t="shared" si="79"/>
        <v>9.515706788126195E-4</v>
      </c>
      <c r="P151" s="230">
        <f t="shared" si="79"/>
        <v>1.1393889026099337E-3</v>
      </c>
      <c r="Q151" s="230">
        <f t="shared" si="79"/>
        <v>1.3366489048545322E-3</v>
      </c>
      <c r="R151" s="230">
        <f t="shared" si="79"/>
        <v>1.5403622536430579E-3</v>
      </c>
      <c r="S151" s="230">
        <f t="shared" si="79"/>
        <v>1.7503705323517285E-3</v>
      </c>
      <c r="T151" s="230">
        <f t="shared" si="79"/>
        <v>1.9642347704302674E-3</v>
      </c>
      <c r="U151" s="230">
        <f t="shared" si="79"/>
        <v>2.1792776306953209E-3</v>
      </c>
      <c r="V151" s="230">
        <f t="shared" si="79"/>
        <v>2.3925774019369467E-3</v>
      </c>
      <c r="W151" s="230">
        <f t="shared" si="79"/>
        <v>2.6009621955427869E-3</v>
      </c>
      <c r="X151" s="230">
        <f t="shared" si="79"/>
        <v>2.9079251932284276E-3</v>
      </c>
      <c r="Y151" s="230">
        <f t="shared" si="79"/>
        <v>3.2050098983445519E-3</v>
      </c>
      <c r="Z151" s="230">
        <f t="shared" si="79"/>
        <v>3.4770784313800239E-3</v>
      </c>
      <c r="AA151" s="230">
        <f t="shared" si="79"/>
        <v>3.7253474362317078E-3</v>
      </c>
      <c r="AB151" s="230">
        <f t="shared" si="79"/>
        <v>3.9431863149094097E-3</v>
      </c>
      <c r="AC151" s="230">
        <f t="shared" si="79"/>
        <v>4.1236360973939106E-3</v>
      </c>
      <c r="AD151" s="230">
        <f t="shared" si="79"/>
        <v>4.2593394394642801E-3</v>
      </c>
      <c r="AE151" s="230">
        <f t="shared" si="79"/>
        <v>4.342577943122961E-3</v>
      </c>
      <c r="AF151" s="230">
        <f t="shared" si="79"/>
        <v>4.3652777680647323E-3</v>
      </c>
      <c r="AG151" s="230">
        <f t="shared" si="79"/>
        <v>4.3190163953434352E-3</v>
      </c>
      <c r="AH151" s="245"/>
      <c r="AI151" s="133"/>
      <c r="AJ151" s="211"/>
      <c r="AL151" s="108"/>
      <c r="AM151" s="2"/>
      <c r="AN151" s="2"/>
      <c r="AO151" s="2"/>
      <c r="BC151" s="1"/>
      <c r="BD151" s="2"/>
      <c r="BE151" s="2"/>
      <c r="BF151" s="2"/>
      <c r="BG151" s="2"/>
      <c r="BH151" s="2"/>
      <c r="BI151" s="2"/>
      <c r="BJ151" s="2"/>
      <c r="BK151" s="2"/>
    </row>
    <row r="152" spans="1:63" outlineLevel="1" x14ac:dyDescent="0.2">
      <c r="A152" s="4" t="s">
        <v>1561</v>
      </c>
      <c r="C152" s="230">
        <f t="shared" si="80"/>
        <v>0</v>
      </c>
      <c r="D152" s="230">
        <f t="shared" si="79"/>
        <v>1.1127822450378846E-3</v>
      </c>
      <c r="E152" s="230">
        <f t="shared" si="79"/>
        <v>2.2490564046507306E-3</v>
      </c>
      <c r="F152" s="230">
        <f t="shared" si="79"/>
        <v>3.3970562034451391E-3</v>
      </c>
      <c r="G152" s="230">
        <f t="shared" si="79"/>
        <v>4.5443598904298726E-3</v>
      </c>
      <c r="H152" s="230">
        <f t="shared" si="79"/>
        <v>5.6780778429865028E-3</v>
      </c>
      <c r="I152" s="230">
        <f t="shared" si="79"/>
        <v>6.8083447021055768E-3</v>
      </c>
      <c r="J152" s="230">
        <f t="shared" si="79"/>
        <v>7.929000267357697E-3</v>
      </c>
      <c r="K152" s="230">
        <f t="shared" si="79"/>
        <v>9.033598610307763E-3</v>
      </c>
      <c r="L152" s="230">
        <f t="shared" si="79"/>
        <v>1.0115422097362513E-2</v>
      </c>
      <c r="M152" s="230">
        <f t="shared" si="79"/>
        <v>1.1167497126561156E-2</v>
      </c>
      <c r="N152" s="230">
        <f t="shared" si="79"/>
        <v>1.3353736907968025E-2</v>
      </c>
      <c r="O152" s="230">
        <f t="shared" si="79"/>
        <v>1.5446429198089379E-2</v>
      </c>
      <c r="P152" s="230">
        <f t="shared" si="79"/>
        <v>1.7406935626461711E-2</v>
      </c>
      <c r="Q152" s="230">
        <f t="shared" si="79"/>
        <v>1.9224659527076676E-2</v>
      </c>
      <c r="R152" s="230">
        <f t="shared" si="79"/>
        <v>2.0877985168193683E-2</v>
      </c>
      <c r="S152" s="230">
        <f t="shared" si="79"/>
        <v>2.2394137566295585E-2</v>
      </c>
      <c r="T152" s="230">
        <f t="shared" si="79"/>
        <v>2.3761729590562893E-2</v>
      </c>
      <c r="U152" s="230">
        <f t="shared" si="79"/>
        <v>2.496927691097918E-2</v>
      </c>
      <c r="V152" s="230">
        <f t="shared" si="79"/>
        <v>2.6005210942714355E-2</v>
      </c>
      <c r="W152" s="230">
        <f t="shared" si="79"/>
        <v>2.685789213063098E-2</v>
      </c>
      <c r="X152" s="230">
        <f t="shared" si="79"/>
        <v>2.8719012091800489E-2</v>
      </c>
      <c r="Y152" s="230">
        <f t="shared" si="79"/>
        <v>3.0277356556553458E-2</v>
      </c>
      <c r="Z152" s="230">
        <f t="shared" si="79"/>
        <v>3.1419462036739294E-2</v>
      </c>
      <c r="AA152" s="230">
        <f t="shared" si="79"/>
        <v>3.2212314953517653E-2</v>
      </c>
      <c r="AB152" s="230">
        <f t="shared" si="79"/>
        <v>3.2639055737143194E-2</v>
      </c>
      <c r="AC152" s="230">
        <f t="shared" si="79"/>
        <v>3.2683516760588928E-2</v>
      </c>
      <c r="AD152" s="230">
        <f t="shared" si="79"/>
        <v>3.2329557779204897E-2</v>
      </c>
      <c r="AE152" s="230">
        <f t="shared" si="79"/>
        <v>3.1561437878767598E-2</v>
      </c>
      <c r="AF152" s="230">
        <f t="shared" si="79"/>
        <v>3.036385306229911E-2</v>
      </c>
      <c r="AG152" s="230">
        <f t="shared" si="79"/>
        <v>2.8721973929118332E-2</v>
      </c>
      <c r="AH152" s="245"/>
      <c r="AI152" s="133"/>
      <c r="AJ152" s="211"/>
      <c r="AL152" s="108"/>
      <c r="AM152" s="2"/>
      <c r="AN152" s="2"/>
      <c r="AO152" s="2"/>
      <c r="BC152" s="1"/>
      <c r="BD152" s="2"/>
      <c r="BE152" s="2"/>
      <c r="BF152" s="2"/>
      <c r="BG152" s="2"/>
      <c r="BH152" s="2"/>
      <c r="BI152" s="2"/>
      <c r="BJ152" s="2"/>
      <c r="BK152" s="2"/>
    </row>
    <row r="153" spans="1:63" s="1" customFormat="1" outlineLevel="1" x14ac:dyDescent="0.2">
      <c r="A153" s="1" t="s">
        <v>1578</v>
      </c>
      <c r="B153" s="65"/>
      <c r="C153" s="300">
        <f>C43*C134</f>
        <v>9.2527803464397787E-4</v>
      </c>
      <c r="D153" s="300">
        <f t="shared" ref="D153:AG153" si="81">D43*D134</f>
        <v>1.1866850385886434E-3</v>
      </c>
      <c r="E153" s="300">
        <f t="shared" si="81"/>
        <v>1.4556031232245204E-3</v>
      </c>
      <c r="F153" s="300">
        <f t="shared" si="81"/>
        <v>1.7293735585574186E-3</v>
      </c>
      <c r="G153" s="300">
        <f t="shared" si="81"/>
        <v>2.0051419862811681E-3</v>
      </c>
      <c r="H153" s="300">
        <f t="shared" si="81"/>
        <v>2.2798986947191843E-3</v>
      </c>
      <c r="I153" s="300">
        <f t="shared" si="81"/>
        <v>2.5560261999118695E-3</v>
      </c>
      <c r="J153" s="300">
        <f t="shared" si="81"/>
        <v>2.832079595351168E-3</v>
      </c>
      <c r="K153" s="300">
        <f t="shared" si="81"/>
        <v>3.1065227434352244E-3</v>
      </c>
      <c r="L153" s="300">
        <f t="shared" si="81"/>
        <v>3.3777297920644577E-3</v>
      </c>
      <c r="M153" s="300">
        <f t="shared" si="81"/>
        <v>3.6439871395408919E-3</v>
      </c>
      <c r="N153" s="300">
        <f t="shared" si="81"/>
        <v>4.1858229729142184E-3</v>
      </c>
      <c r="O153" s="300">
        <f t="shared" si="81"/>
        <v>4.7094318523905896E-3</v>
      </c>
      <c r="P153" s="300">
        <f t="shared" si="81"/>
        <v>5.2051990798143537E-3</v>
      </c>
      <c r="Q153" s="300">
        <f t="shared" si="81"/>
        <v>5.6701953650896376E-3</v>
      </c>
      <c r="R153" s="300">
        <f t="shared" si="81"/>
        <v>6.0987428242986049E-3</v>
      </c>
      <c r="S153" s="300">
        <f t="shared" si="81"/>
        <v>6.4970875958702771E-3</v>
      </c>
      <c r="T153" s="300">
        <f t="shared" si="81"/>
        <v>6.8620390410270102E-3</v>
      </c>
      <c r="U153" s="300">
        <f t="shared" si="81"/>
        <v>7.1903290827227025E-3</v>
      </c>
      <c r="V153" s="300">
        <f t="shared" si="81"/>
        <v>7.4786138064865792E-3</v>
      </c>
      <c r="W153" s="300">
        <f t="shared" si="81"/>
        <v>7.7234751868379154E-3</v>
      </c>
      <c r="X153" s="300">
        <f t="shared" si="81"/>
        <v>8.2238020234967988E-3</v>
      </c>
      <c r="Y153" s="300">
        <f t="shared" si="81"/>
        <v>8.6519779857742798E-3</v>
      </c>
      <c r="Z153" s="300">
        <f t="shared" si="81"/>
        <v>8.9783258349791974E-3</v>
      </c>
      <c r="AA153" s="300">
        <f t="shared" si="81"/>
        <v>9.2185847399707446E-3</v>
      </c>
      <c r="AB153" s="300">
        <f t="shared" si="81"/>
        <v>9.367333892809953E-3</v>
      </c>
      <c r="AC153" s="300">
        <f t="shared" si="81"/>
        <v>9.41923638648616E-3</v>
      </c>
      <c r="AD153" s="300">
        <f t="shared" si="81"/>
        <v>9.3688697004906986E-3</v>
      </c>
      <c r="AE153" s="300">
        <f t="shared" si="81"/>
        <v>9.2108201473879419E-3</v>
      </c>
      <c r="AF153" s="300">
        <f t="shared" si="81"/>
        <v>8.9396928416510084E-3</v>
      </c>
      <c r="AG153" s="300">
        <f t="shared" si="81"/>
        <v>8.5501219556736157E-3</v>
      </c>
      <c r="AH153" s="245"/>
      <c r="AI153" s="423"/>
      <c r="AJ153" s="424"/>
      <c r="AL153" s="221"/>
      <c r="AM153" s="124"/>
      <c r="AN153" s="124"/>
      <c r="AO153" s="124"/>
      <c r="BD153" s="124"/>
      <c r="BE153" s="124"/>
      <c r="BF153" s="124"/>
      <c r="BG153" s="124"/>
      <c r="BH153" s="124"/>
      <c r="BI153" s="124"/>
      <c r="BJ153" s="124"/>
      <c r="BK153" s="124"/>
    </row>
    <row r="154" spans="1:63" outlineLevel="1" x14ac:dyDescent="0.2">
      <c r="A154" s="4" t="s">
        <v>474</v>
      </c>
      <c r="C154" s="230">
        <f>C$153*'Methanol recycling rates'!E54</f>
        <v>0</v>
      </c>
      <c r="D154" s="230">
        <f>D$153*'Methanol recycling rates'!F54</f>
        <v>0</v>
      </c>
      <c r="E154" s="230">
        <f>E$153*'Methanol recycling rates'!G54</f>
        <v>0</v>
      </c>
      <c r="F154" s="230">
        <f>F$153*'Methanol recycling rates'!H54</f>
        <v>0</v>
      </c>
      <c r="G154" s="230">
        <f>G$153*'Methanol recycling rates'!I54</f>
        <v>0</v>
      </c>
      <c r="H154" s="230">
        <f>H$153*'Methanol recycling rates'!J54</f>
        <v>0</v>
      </c>
      <c r="I154" s="230">
        <f>I$153*'Methanol recycling rates'!K54</f>
        <v>0</v>
      </c>
      <c r="J154" s="230">
        <f>J$153*'Methanol recycling rates'!L54</f>
        <v>0</v>
      </c>
      <c r="K154" s="230">
        <f>K$153*'Methanol recycling rates'!M54</f>
        <v>0</v>
      </c>
      <c r="L154" s="230">
        <f>L$153*'Methanol recycling rates'!N54</f>
        <v>0</v>
      </c>
      <c r="M154" s="230">
        <f>M$153*'Methanol recycling rates'!O54</f>
        <v>0</v>
      </c>
      <c r="N154" s="230">
        <f>N$153*'Methanol recycling rates'!P54</f>
        <v>0</v>
      </c>
      <c r="O154" s="230">
        <f>O$153*'Methanol recycling rates'!Q54</f>
        <v>0</v>
      </c>
      <c r="P154" s="230">
        <f>P$153*'Methanol recycling rates'!R54</f>
        <v>0</v>
      </c>
      <c r="Q154" s="230">
        <f>Q$153*'Methanol recycling rates'!S54</f>
        <v>0</v>
      </c>
      <c r="R154" s="230">
        <f>R$153*'Methanol recycling rates'!T54</f>
        <v>0</v>
      </c>
      <c r="S154" s="230">
        <f>S$153*'Methanol recycling rates'!U54</f>
        <v>0</v>
      </c>
      <c r="T154" s="230">
        <f>T$153*'Methanol recycling rates'!V54</f>
        <v>0</v>
      </c>
      <c r="U154" s="230">
        <f>U$153*'Methanol recycling rates'!W54</f>
        <v>0</v>
      </c>
      <c r="V154" s="230">
        <f>V$153*'Methanol recycling rates'!X54</f>
        <v>0</v>
      </c>
      <c r="W154" s="230">
        <f>W$153*'Methanol recycling rates'!Y54</f>
        <v>0</v>
      </c>
      <c r="X154" s="230">
        <f>X$153*'Methanol recycling rates'!Z54</f>
        <v>0</v>
      </c>
      <c r="Y154" s="230">
        <f>Y$153*'Methanol recycling rates'!AA54</f>
        <v>0</v>
      </c>
      <c r="Z154" s="230">
        <f>Z$153*'Methanol recycling rates'!AB54</f>
        <v>0</v>
      </c>
      <c r="AA154" s="230">
        <f>AA$153*'Methanol recycling rates'!AC54</f>
        <v>0</v>
      </c>
      <c r="AB154" s="230">
        <f>AB$153*'Methanol recycling rates'!AD54</f>
        <v>0</v>
      </c>
      <c r="AC154" s="230">
        <f>AC$153*'Methanol recycling rates'!AE54</f>
        <v>0</v>
      </c>
      <c r="AD154" s="230">
        <f>AD$153*'Methanol recycling rates'!AF54</f>
        <v>0</v>
      </c>
      <c r="AE154" s="230">
        <f>AE$153*'Methanol recycling rates'!AG54</f>
        <v>0</v>
      </c>
      <c r="AF154" s="230">
        <f>AF$153*'Methanol recycling rates'!AH54</f>
        <v>0</v>
      </c>
      <c r="AG154" s="230">
        <f>AG$153*'Methanol recycling rates'!AI54</f>
        <v>0</v>
      </c>
      <c r="AH154" s="245"/>
      <c r="AI154" s="133"/>
      <c r="AJ154" s="211"/>
      <c r="AL154" s="108"/>
      <c r="AM154" s="2"/>
      <c r="AN154" s="2"/>
      <c r="AO154" s="2"/>
      <c r="BC154" s="1"/>
      <c r="BD154" s="2"/>
      <c r="BE154" s="2"/>
      <c r="BF154" s="2"/>
      <c r="BG154" s="2"/>
      <c r="BH154" s="2"/>
      <c r="BI154" s="2"/>
      <c r="BJ154" s="2"/>
      <c r="BK154" s="2"/>
    </row>
    <row r="155" spans="1:63" outlineLevel="1" x14ac:dyDescent="0.2">
      <c r="A155" s="4" t="s">
        <v>745</v>
      </c>
      <c r="C155" s="230">
        <f>C$153*'Methanol recycling rates'!E55</f>
        <v>0</v>
      </c>
      <c r="D155" s="230">
        <f>D$153*'Methanol recycling rates'!F55</f>
        <v>4.6111012436154136E-6</v>
      </c>
      <c r="E155" s="230">
        <f>E$153*'Methanol recycling rates'!G55</f>
        <v>1.1312072122681768E-5</v>
      </c>
      <c r="F155" s="230">
        <f>F$153*'Methanol recycling rates'!H55</f>
        <v>2.0159476964562889E-5</v>
      </c>
      <c r="G155" s="230">
        <f>G$153*'Methanol recycling rates'!I55</f>
        <v>3.1165515384142668E-5</v>
      </c>
      <c r="H155" s="230">
        <f>H$153*'Methanol recycling rates'!J55</f>
        <v>4.4295004001398708E-5</v>
      </c>
      <c r="I155" s="230">
        <f>I$153*'Methanol recycling rates'!K55</f>
        <v>5.9591695551220853E-5</v>
      </c>
      <c r="J155" s="230">
        <f>J$153*'Methanol recycling rates'!L55</f>
        <v>7.7032268240030438E-5</v>
      </c>
      <c r="K155" s="230">
        <f>K$153*'Methanol recycling rates'!M55</f>
        <v>9.6568106412533747E-5</v>
      </c>
      <c r="L155" s="230">
        <f>L$153*'Methanol recycling rates'!N55</f>
        <v>1.1812358110605471E-4</v>
      </c>
      <c r="M155" s="230">
        <f>M$153*'Methanol recycling rates'!O55</f>
        <v>1.4159438338280219E-4</v>
      </c>
      <c r="N155" s="230">
        <f>N$153*'Methanol recycling rates'!P55</f>
        <v>1.7891334412377562E-4</v>
      </c>
      <c r="O155" s="230">
        <f>O$153*'Methanol recycling rates'!Q55</f>
        <v>2.1959323357214293E-4</v>
      </c>
      <c r="P155" s="230">
        <f>P$153*'Methanol recycling rates'!R55</f>
        <v>2.6293590060229234E-4</v>
      </c>
      <c r="Q155" s="230">
        <f>Q$153*'Methanol recycling rates'!S55</f>
        <v>3.0845743958181517E-4</v>
      </c>
      <c r="R155" s="230">
        <f>R$153*'Methanol recycling rates'!T55</f>
        <v>3.5546821237916716E-4</v>
      </c>
      <c r="S155" s="230">
        <f>S$153*'Methanol recycling rates'!U55</f>
        <v>4.039316613119374E-4</v>
      </c>
      <c r="T155" s="230">
        <f>T$153*'Methanol recycling rates'!V55</f>
        <v>4.5328494702236941E-4</v>
      </c>
      <c r="U155" s="230">
        <f>U$153*'Methanol recycling rates'!W55</f>
        <v>5.0291022246815096E-4</v>
      </c>
      <c r="V155" s="230">
        <f>V$153*'Methanol recycling rates'!X55</f>
        <v>5.5213324660083384E-4</v>
      </c>
      <c r="W155" s="230">
        <f>W$153*'Methanol recycling rates'!Y55</f>
        <v>6.0022204512525843E-4</v>
      </c>
      <c r="X155" s="230">
        <f>X$153*'Methanol recycling rates'!Z55</f>
        <v>6.7105965997579114E-4</v>
      </c>
      <c r="Y155" s="230">
        <f>Y$153*'Methanol recycling rates'!AA55</f>
        <v>7.3961766884874281E-4</v>
      </c>
      <c r="Z155" s="230">
        <f>Z$153*'Methanol recycling rates'!AB55</f>
        <v>8.0240271493385161E-4</v>
      </c>
      <c r="AA155" s="230">
        <f>AA$153*'Methanol recycling rates'!AC55</f>
        <v>8.5969556220731721E-4</v>
      </c>
      <c r="AB155" s="230">
        <f>AB$153*'Methanol recycling rates'!AD55</f>
        <v>9.0996607267140222E-4</v>
      </c>
      <c r="AC155" s="230">
        <f>AC$153*'Methanol recycling rates'!AE55</f>
        <v>9.5160833016782553E-4</v>
      </c>
      <c r="AD155" s="230">
        <f>AD$153*'Methanol recycling rates'!AF55</f>
        <v>9.8292448603021828E-4</v>
      </c>
      <c r="AE155" s="230">
        <f>AE$153*'Methanol recycling rates'!AG55</f>
        <v>1.002133371489914E-3</v>
      </c>
      <c r="AF155" s="230">
        <f>AF$153*'Methanol recycling rates'!AH55</f>
        <v>1.0073717926303231E-3</v>
      </c>
      <c r="AG155" s="230">
        <f>AG$153*'Methanol recycling rates'!AI55</f>
        <v>9.9669609123310054E-4</v>
      </c>
      <c r="AH155" s="245"/>
      <c r="AI155" s="133"/>
      <c r="AJ155" s="211"/>
      <c r="AL155" s="108"/>
      <c r="AM155" s="2"/>
      <c r="AN155" s="2"/>
      <c r="AO155" s="2"/>
      <c r="BC155" s="1"/>
      <c r="BD155" s="2"/>
      <c r="BE155" s="2"/>
      <c r="BF155" s="2"/>
      <c r="BG155" s="2"/>
      <c r="BH155" s="2"/>
      <c r="BI155" s="2"/>
      <c r="BJ155" s="2"/>
      <c r="BK155" s="2"/>
    </row>
    <row r="156" spans="1:63" outlineLevel="1" x14ac:dyDescent="0.2">
      <c r="A156" s="4" t="s">
        <v>1561</v>
      </c>
      <c r="C156" s="230">
        <f>C$153*'Methanol recycling rates'!E56</f>
        <v>9.2527803464397787E-4</v>
      </c>
      <c r="D156" s="230">
        <f>D$153*'Methanol recycling rates'!F56</f>
        <v>1.182073937345028E-3</v>
      </c>
      <c r="E156" s="230">
        <f>E$153*'Methanol recycling rates'!G56</f>
        <v>1.4442910511018388E-3</v>
      </c>
      <c r="F156" s="230">
        <f>F$153*'Methanol recycling rates'!H56</f>
        <v>1.7092140815928559E-3</v>
      </c>
      <c r="G156" s="230">
        <f>G$153*'Methanol recycling rates'!I56</f>
        <v>1.9739764708970259E-3</v>
      </c>
      <c r="H156" s="230">
        <f>H$153*'Methanol recycling rates'!J56</f>
        <v>2.235603690717786E-3</v>
      </c>
      <c r="I156" s="230">
        <f>I$153*'Methanol recycling rates'!K56</f>
        <v>2.4964345043606492E-3</v>
      </c>
      <c r="J156" s="230">
        <f>J$153*'Methanol recycling rates'!L56</f>
        <v>2.7550473271111386E-3</v>
      </c>
      <c r="K156" s="230">
        <f>K$153*'Methanol recycling rates'!M56</f>
        <v>3.009954637022692E-3</v>
      </c>
      <c r="L156" s="230">
        <f>L$153*'Methanol recycling rates'!N56</f>
        <v>3.2596062109584044E-3</v>
      </c>
      <c r="M156" s="230">
        <f>M$153*'Methanol recycling rates'!O56</f>
        <v>3.5023927561580914E-3</v>
      </c>
      <c r="N156" s="230">
        <f>N$153*'Methanol recycling rates'!P56</f>
        <v>4.0069096287904445E-3</v>
      </c>
      <c r="O156" s="230">
        <f>O$153*'Methanol recycling rates'!Q56</f>
        <v>4.4898386188184491E-3</v>
      </c>
      <c r="P156" s="230">
        <f>P$153*'Methanol recycling rates'!R56</f>
        <v>4.9422631792120642E-3</v>
      </c>
      <c r="Q156" s="230">
        <f>Q$153*'Methanol recycling rates'!S56</f>
        <v>5.3617379255078259E-3</v>
      </c>
      <c r="R156" s="230">
        <f>R$153*'Methanol recycling rates'!T56</f>
        <v>5.7432746119194418E-3</v>
      </c>
      <c r="S156" s="230">
        <f>S$153*'Methanol recycling rates'!U56</f>
        <v>6.0931559345583442E-3</v>
      </c>
      <c r="T156" s="230">
        <f>T$153*'Methanol recycling rates'!V56</f>
        <v>6.4087540940046461E-3</v>
      </c>
      <c r="U156" s="230">
        <f>U$153*'Methanol recycling rates'!W56</f>
        <v>6.6874188602545574E-3</v>
      </c>
      <c r="V156" s="230">
        <f>V$153*'Methanol recycling rates'!X56</f>
        <v>6.9264805598857511E-3</v>
      </c>
      <c r="W156" s="230">
        <f>W$153*'Methanol recycling rates'!Y56</f>
        <v>7.1232531417126637E-3</v>
      </c>
      <c r="X156" s="230">
        <f>X$153*'Methanol recycling rates'!Z56</f>
        <v>7.5527423635210148E-3</v>
      </c>
      <c r="Y156" s="230">
        <f>Y$153*'Methanol recycling rates'!AA56</f>
        <v>7.9123603169255451E-3</v>
      </c>
      <c r="Z156" s="230">
        <f>Z$153*'Methanol recycling rates'!AB56</f>
        <v>8.1759231200453555E-3</v>
      </c>
      <c r="AA156" s="230">
        <f>AA$153*'Methanol recycling rates'!AC56</f>
        <v>8.3588891777634372E-3</v>
      </c>
      <c r="AB156" s="230">
        <f>AB$153*'Methanol recycling rates'!AD56</f>
        <v>8.4573678201385616E-3</v>
      </c>
      <c r="AC156" s="230">
        <f>AC$153*'Methanol recycling rates'!AE56</f>
        <v>8.4676280563183454E-3</v>
      </c>
      <c r="AD156" s="230">
        <f>AD$153*'Methanol recycling rates'!AF56</f>
        <v>8.3859452144604916E-3</v>
      </c>
      <c r="AE156" s="230">
        <f>AE$153*'Methanol recycling rates'!AG56</f>
        <v>8.2086867758980383E-3</v>
      </c>
      <c r="AF156" s="230">
        <f>AF$153*'Methanol recycling rates'!AH56</f>
        <v>7.9323210490206963E-3</v>
      </c>
      <c r="AG156" s="230">
        <f>AG$153*'Methanol recycling rates'!AI56</f>
        <v>7.5534258644405156E-3</v>
      </c>
      <c r="AH156" s="245"/>
      <c r="AI156" s="133"/>
      <c r="AJ156" s="211"/>
      <c r="AL156" s="108"/>
      <c r="AM156" s="2"/>
      <c r="AN156" s="2"/>
      <c r="AO156" s="2"/>
      <c r="BC156" s="1"/>
      <c r="BD156" s="2"/>
      <c r="BE156" s="2"/>
      <c r="BF156" s="2"/>
      <c r="BG156" s="2"/>
      <c r="BH156" s="2"/>
      <c r="BI156" s="2"/>
      <c r="BJ156" s="2"/>
      <c r="BK156" s="2"/>
    </row>
    <row r="157" spans="1:63" s="1" customFormat="1" outlineLevel="1" x14ac:dyDescent="0.2">
      <c r="A157" s="1" t="s">
        <v>1579</v>
      </c>
      <c r="B157" s="65"/>
      <c r="C157" s="300">
        <f>C153-$C153</f>
        <v>0</v>
      </c>
      <c r="D157" s="300">
        <f t="shared" ref="D157:AG160" si="82">D153-$C153</f>
        <v>2.6140700394466552E-4</v>
      </c>
      <c r="E157" s="300">
        <f t="shared" si="82"/>
        <v>5.3032508858054253E-4</v>
      </c>
      <c r="F157" s="300">
        <f t="shared" si="82"/>
        <v>8.0409552391344074E-4</v>
      </c>
      <c r="G157" s="300">
        <f t="shared" si="82"/>
        <v>1.0798639516371902E-3</v>
      </c>
      <c r="H157" s="300">
        <f t="shared" si="82"/>
        <v>1.3546206600752065E-3</v>
      </c>
      <c r="I157" s="300">
        <f t="shared" si="82"/>
        <v>1.6307481652678916E-3</v>
      </c>
      <c r="J157" s="300">
        <f t="shared" si="82"/>
        <v>1.9068015607071902E-3</v>
      </c>
      <c r="K157" s="300">
        <f t="shared" si="82"/>
        <v>2.1812447087912468E-3</v>
      </c>
      <c r="L157" s="300">
        <f t="shared" si="82"/>
        <v>2.4524517574204801E-3</v>
      </c>
      <c r="M157" s="300">
        <f t="shared" si="82"/>
        <v>2.7187091048969138E-3</v>
      </c>
      <c r="N157" s="300">
        <f t="shared" si="82"/>
        <v>3.2605449382702408E-3</v>
      </c>
      <c r="O157" s="300">
        <f t="shared" si="82"/>
        <v>3.7841538177466119E-3</v>
      </c>
      <c r="P157" s="300">
        <f t="shared" si="82"/>
        <v>4.279921045170376E-3</v>
      </c>
      <c r="Q157" s="300">
        <f t="shared" si="82"/>
        <v>4.74491733044566E-3</v>
      </c>
      <c r="R157" s="300">
        <f t="shared" si="82"/>
        <v>5.1734647896546273E-3</v>
      </c>
      <c r="S157" s="300">
        <f t="shared" si="82"/>
        <v>5.5718095612262994E-3</v>
      </c>
      <c r="T157" s="300">
        <f t="shared" si="82"/>
        <v>5.9367610063830326E-3</v>
      </c>
      <c r="U157" s="300">
        <f t="shared" si="82"/>
        <v>6.2650510480787248E-3</v>
      </c>
      <c r="V157" s="300">
        <f t="shared" si="82"/>
        <v>6.5533357718426015E-3</v>
      </c>
      <c r="W157" s="300">
        <f t="shared" si="82"/>
        <v>6.7981971521939378E-3</v>
      </c>
      <c r="X157" s="300">
        <f t="shared" si="82"/>
        <v>7.2985239888528211E-3</v>
      </c>
      <c r="Y157" s="300">
        <f t="shared" si="82"/>
        <v>7.7266999511303022E-3</v>
      </c>
      <c r="Z157" s="300">
        <f t="shared" si="82"/>
        <v>8.0530478003352189E-3</v>
      </c>
      <c r="AA157" s="300">
        <f t="shared" si="82"/>
        <v>8.293306705326766E-3</v>
      </c>
      <c r="AB157" s="300">
        <f t="shared" si="82"/>
        <v>8.4420558581659744E-3</v>
      </c>
      <c r="AC157" s="300">
        <f t="shared" si="82"/>
        <v>8.4939583518421815E-3</v>
      </c>
      <c r="AD157" s="300">
        <f t="shared" si="82"/>
        <v>8.4435916658467201E-3</v>
      </c>
      <c r="AE157" s="300">
        <f t="shared" si="82"/>
        <v>8.2855421127439634E-3</v>
      </c>
      <c r="AF157" s="300">
        <f t="shared" si="82"/>
        <v>8.0144148070070299E-3</v>
      </c>
      <c r="AG157" s="300">
        <f t="shared" si="82"/>
        <v>7.624843921029638E-3</v>
      </c>
      <c r="AH157" s="245"/>
      <c r="AI157" s="423"/>
      <c r="AJ157" s="424"/>
      <c r="AL157" s="221"/>
      <c r="AM157" s="124"/>
      <c r="AN157" s="124"/>
      <c r="AO157" s="124"/>
      <c r="BD157" s="124"/>
      <c r="BE157" s="124"/>
      <c r="BF157" s="124"/>
      <c r="BG157" s="124"/>
      <c r="BH157" s="124"/>
      <c r="BI157" s="124"/>
      <c r="BJ157" s="124"/>
      <c r="BK157" s="124"/>
    </row>
    <row r="158" spans="1:63" outlineLevel="1" x14ac:dyDescent="0.2">
      <c r="A158" s="4" t="s">
        <v>474</v>
      </c>
      <c r="C158" s="230">
        <f t="shared" ref="C158:C160" si="83">C154-$C154</f>
        <v>0</v>
      </c>
      <c r="D158" s="230">
        <f t="shared" si="82"/>
        <v>0</v>
      </c>
      <c r="E158" s="230">
        <f t="shared" si="82"/>
        <v>0</v>
      </c>
      <c r="F158" s="230">
        <f t="shared" si="82"/>
        <v>0</v>
      </c>
      <c r="G158" s="230">
        <f t="shared" si="82"/>
        <v>0</v>
      </c>
      <c r="H158" s="230">
        <f t="shared" si="82"/>
        <v>0</v>
      </c>
      <c r="I158" s="230">
        <f t="shared" si="82"/>
        <v>0</v>
      </c>
      <c r="J158" s="230">
        <f t="shared" si="82"/>
        <v>0</v>
      </c>
      <c r="K158" s="230">
        <f t="shared" si="82"/>
        <v>0</v>
      </c>
      <c r="L158" s="230">
        <f t="shared" si="82"/>
        <v>0</v>
      </c>
      <c r="M158" s="230">
        <f t="shared" si="82"/>
        <v>0</v>
      </c>
      <c r="N158" s="230">
        <f t="shared" si="82"/>
        <v>0</v>
      </c>
      <c r="O158" s="230">
        <f t="shared" si="82"/>
        <v>0</v>
      </c>
      <c r="P158" s="230">
        <f t="shared" si="82"/>
        <v>0</v>
      </c>
      <c r="Q158" s="230">
        <f t="shared" si="82"/>
        <v>0</v>
      </c>
      <c r="R158" s="230">
        <f t="shared" si="82"/>
        <v>0</v>
      </c>
      <c r="S158" s="230">
        <f t="shared" si="82"/>
        <v>0</v>
      </c>
      <c r="T158" s="230">
        <f t="shared" si="82"/>
        <v>0</v>
      </c>
      <c r="U158" s="230">
        <f t="shared" si="82"/>
        <v>0</v>
      </c>
      <c r="V158" s="230">
        <f t="shared" si="82"/>
        <v>0</v>
      </c>
      <c r="W158" s="230">
        <f t="shared" si="82"/>
        <v>0</v>
      </c>
      <c r="X158" s="230">
        <f t="shared" si="82"/>
        <v>0</v>
      </c>
      <c r="Y158" s="230">
        <f t="shared" si="82"/>
        <v>0</v>
      </c>
      <c r="Z158" s="230">
        <f t="shared" si="82"/>
        <v>0</v>
      </c>
      <c r="AA158" s="230">
        <f t="shared" si="82"/>
        <v>0</v>
      </c>
      <c r="AB158" s="230">
        <f t="shared" si="82"/>
        <v>0</v>
      </c>
      <c r="AC158" s="230">
        <f t="shared" si="82"/>
        <v>0</v>
      </c>
      <c r="AD158" s="230">
        <f t="shared" si="82"/>
        <v>0</v>
      </c>
      <c r="AE158" s="230">
        <f t="shared" si="82"/>
        <v>0</v>
      </c>
      <c r="AF158" s="230">
        <f t="shared" si="82"/>
        <v>0</v>
      </c>
      <c r="AG158" s="230">
        <f t="shared" si="82"/>
        <v>0</v>
      </c>
      <c r="AH158" s="245"/>
      <c r="AI158" s="133"/>
      <c r="AJ158" s="211"/>
      <c r="AL158" s="108"/>
      <c r="AM158" s="2"/>
      <c r="AN158" s="2"/>
      <c r="AO158" s="2"/>
      <c r="BC158" s="1"/>
      <c r="BD158" s="2"/>
      <c r="BE158" s="2"/>
      <c r="BF158" s="2"/>
      <c r="BG158" s="2"/>
      <c r="BH158" s="2"/>
      <c r="BI158" s="2"/>
      <c r="BJ158" s="2"/>
      <c r="BK158" s="2"/>
    </row>
    <row r="159" spans="1:63" outlineLevel="1" x14ac:dyDescent="0.2">
      <c r="A159" s="4" t="s">
        <v>745</v>
      </c>
      <c r="C159" s="230">
        <f t="shared" si="83"/>
        <v>0</v>
      </c>
      <c r="D159" s="230">
        <f t="shared" si="82"/>
        <v>4.6111012436154136E-6</v>
      </c>
      <c r="E159" s="230">
        <f t="shared" si="82"/>
        <v>1.1312072122681768E-5</v>
      </c>
      <c r="F159" s="230">
        <f t="shared" si="82"/>
        <v>2.0159476964562889E-5</v>
      </c>
      <c r="G159" s="230">
        <f t="shared" si="82"/>
        <v>3.1165515384142668E-5</v>
      </c>
      <c r="H159" s="230">
        <f t="shared" si="82"/>
        <v>4.4295004001398708E-5</v>
      </c>
      <c r="I159" s="230">
        <f t="shared" si="82"/>
        <v>5.9591695551220853E-5</v>
      </c>
      <c r="J159" s="230">
        <f t="shared" si="82"/>
        <v>7.7032268240030438E-5</v>
      </c>
      <c r="K159" s="230">
        <f t="shared" si="82"/>
        <v>9.6568106412533747E-5</v>
      </c>
      <c r="L159" s="230">
        <f t="shared" si="82"/>
        <v>1.1812358110605471E-4</v>
      </c>
      <c r="M159" s="230">
        <f t="shared" si="82"/>
        <v>1.4159438338280219E-4</v>
      </c>
      <c r="N159" s="230">
        <f t="shared" si="82"/>
        <v>1.7891334412377562E-4</v>
      </c>
      <c r="O159" s="230">
        <f t="shared" si="82"/>
        <v>2.1959323357214293E-4</v>
      </c>
      <c r="P159" s="230">
        <f t="shared" si="82"/>
        <v>2.6293590060229234E-4</v>
      </c>
      <c r="Q159" s="230">
        <f t="shared" si="82"/>
        <v>3.0845743958181517E-4</v>
      </c>
      <c r="R159" s="230">
        <f t="shared" si="82"/>
        <v>3.5546821237916716E-4</v>
      </c>
      <c r="S159" s="230">
        <f t="shared" si="82"/>
        <v>4.039316613119374E-4</v>
      </c>
      <c r="T159" s="230">
        <f t="shared" si="82"/>
        <v>4.5328494702236941E-4</v>
      </c>
      <c r="U159" s="230">
        <f t="shared" si="82"/>
        <v>5.0291022246815096E-4</v>
      </c>
      <c r="V159" s="230">
        <f t="shared" si="82"/>
        <v>5.5213324660083384E-4</v>
      </c>
      <c r="W159" s="230">
        <f t="shared" si="82"/>
        <v>6.0022204512525843E-4</v>
      </c>
      <c r="X159" s="230">
        <f t="shared" si="82"/>
        <v>6.7105965997579114E-4</v>
      </c>
      <c r="Y159" s="230">
        <f t="shared" si="82"/>
        <v>7.3961766884874281E-4</v>
      </c>
      <c r="Z159" s="230">
        <f t="shared" si="82"/>
        <v>8.0240271493385161E-4</v>
      </c>
      <c r="AA159" s="230">
        <f t="shared" si="82"/>
        <v>8.5969556220731721E-4</v>
      </c>
      <c r="AB159" s="230">
        <f t="shared" si="82"/>
        <v>9.0996607267140222E-4</v>
      </c>
      <c r="AC159" s="230">
        <f t="shared" si="82"/>
        <v>9.5160833016782553E-4</v>
      </c>
      <c r="AD159" s="230">
        <f t="shared" si="82"/>
        <v>9.8292448603021828E-4</v>
      </c>
      <c r="AE159" s="230">
        <f t="shared" si="82"/>
        <v>1.002133371489914E-3</v>
      </c>
      <c r="AF159" s="230">
        <f t="shared" si="82"/>
        <v>1.0073717926303231E-3</v>
      </c>
      <c r="AG159" s="230">
        <f t="shared" si="82"/>
        <v>9.9669609123310054E-4</v>
      </c>
      <c r="AH159" s="245"/>
      <c r="AI159" s="133"/>
      <c r="AJ159" s="211"/>
      <c r="AL159" s="108"/>
      <c r="AM159" s="2"/>
      <c r="AN159" s="2"/>
      <c r="AO159" s="2"/>
      <c r="BC159" s="1"/>
      <c r="BD159" s="2"/>
      <c r="BE159" s="2"/>
      <c r="BF159" s="2"/>
      <c r="BG159" s="2"/>
      <c r="BH159" s="2"/>
      <c r="BI159" s="2"/>
      <c r="BJ159" s="2"/>
      <c r="BK159" s="2"/>
    </row>
    <row r="160" spans="1:63" outlineLevel="1" x14ac:dyDescent="0.2">
      <c r="A160" s="4" t="s">
        <v>1561</v>
      </c>
      <c r="C160" s="230">
        <f t="shared" si="83"/>
        <v>0</v>
      </c>
      <c r="D160" s="230">
        <f t="shared" si="82"/>
        <v>2.5679590270105018E-4</v>
      </c>
      <c r="E160" s="230">
        <f t="shared" si="82"/>
        <v>5.1901301645786093E-4</v>
      </c>
      <c r="F160" s="230">
        <f t="shared" si="82"/>
        <v>7.83936046948878E-4</v>
      </c>
      <c r="G160" s="230">
        <f t="shared" si="82"/>
        <v>1.048698436253048E-3</v>
      </c>
      <c r="H160" s="230">
        <f t="shared" si="82"/>
        <v>1.3103256560738081E-3</v>
      </c>
      <c r="I160" s="230">
        <f t="shared" si="82"/>
        <v>1.5711564697166714E-3</v>
      </c>
      <c r="J160" s="230">
        <f t="shared" si="82"/>
        <v>1.8297692924671607E-3</v>
      </c>
      <c r="K160" s="230">
        <f t="shared" si="82"/>
        <v>2.0846766023787143E-3</v>
      </c>
      <c r="L160" s="230">
        <f t="shared" si="82"/>
        <v>2.3343281763144267E-3</v>
      </c>
      <c r="M160" s="230">
        <f t="shared" si="82"/>
        <v>2.5771147215141134E-3</v>
      </c>
      <c r="N160" s="230">
        <f t="shared" si="82"/>
        <v>3.0816315941464669E-3</v>
      </c>
      <c r="O160" s="230">
        <f t="shared" si="82"/>
        <v>3.5645605841744714E-3</v>
      </c>
      <c r="P160" s="230">
        <f t="shared" si="82"/>
        <v>4.0169851445680865E-3</v>
      </c>
      <c r="Q160" s="230">
        <f t="shared" si="82"/>
        <v>4.4364598908638482E-3</v>
      </c>
      <c r="R160" s="230">
        <f t="shared" si="82"/>
        <v>4.8179965772754641E-3</v>
      </c>
      <c r="S160" s="230">
        <f t="shared" si="82"/>
        <v>5.1678778999143665E-3</v>
      </c>
      <c r="T160" s="230">
        <f t="shared" si="82"/>
        <v>5.4834760593606684E-3</v>
      </c>
      <c r="U160" s="230">
        <f t="shared" si="82"/>
        <v>5.7621408256105797E-3</v>
      </c>
      <c r="V160" s="230">
        <f t="shared" si="82"/>
        <v>6.0012025252417734E-3</v>
      </c>
      <c r="W160" s="230">
        <f t="shared" si="82"/>
        <v>6.197975107068686E-3</v>
      </c>
      <c r="X160" s="230">
        <f t="shared" si="82"/>
        <v>6.6274643288770372E-3</v>
      </c>
      <c r="Y160" s="230">
        <f t="shared" si="82"/>
        <v>6.9870822822815674E-3</v>
      </c>
      <c r="Z160" s="230">
        <f t="shared" si="82"/>
        <v>7.2506450854013778E-3</v>
      </c>
      <c r="AA160" s="230">
        <f t="shared" si="82"/>
        <v>7.4336111431194596E-3</v>
      </c>
      <c r="AB160" s="230">
        <f t="shared" si="82"/>
        <v>7.5320897854945839E-3</v>
      </c>
      <c r="AC160" s="230">
        <f t="shared" si="82"/>
        <v>7.5423500216743678E-3</v>
      </c>
      <c r="AD160" s="230">
        <f t="shared" si="82"/>
        <v>7.4606671798165139E-3</v>
      </c>
      <c r="AE160" s="230">
        <f t="shared" si="82"/>
        <v>7.2834087412540606E-3</v>
      </c>
      <c r="AF160" s="230">
        <f t="shared" si="82"/>
        <v>7.0070430143767187E-3</v>
      </c>
      <c r="AG160" s="230">
        <f t="shared" si="82"/>
        <v>6.6281478297965379E-3</v>
      </c>
      <c r="AH160" s="245"/>
      <c r="AI160" s="133"/>
      <c r="AJ160" s="211"/>
      <c r="AL160" s="108"/>
      <c r="AM160" s="2"/>
      <c r="AN160" s="2"/>
      <c r="AO160" s="2"/>
      <c r="BC160" s="1"/>
      <c r="BD160" s="2"/>
      <c r="BE160" s="2"/>
      <c r="BF160" s="2"/>
      <c r="BG160" s="2"/>
      <c r="BH160" s="2"/>
      <c r="BI160" s="2"/>
      <c r="BJ160" s="2"/>
      <c r="BK160" s="2"/>
    </row>
    <row r="161" spans="1:63" s="1" customFormat="1" outlineLevel="1" x14ac:dyDescent="0.2">
      <c r="A161" s="1" t="s">
        <v>1567</v>
      </c>
      <c r="B161" s="65"/>
      <c r="C161" s="300">
        <f>C43*C135</f>
        <v>2.7758341039319338E-3</v>
      </c>
      <c r="D161" s="300">
        <f t="shared" ref="D161:AG161" si="84">D43*D135</f>
        <v>3.5600551157659302E-3</v>
      </c>
      <c r="E161" s="300">
        <f t="shared" si="84"/>
        <v>4.366809369673561E-3</v>
      </c>
      <c r="F161" s="300">
        <f t="shared" si="84"/>
        <v>5.1881206756722561E-3</v>
      </c>
      <c r="G161" s="300">
        <f t="shared" si="84"/>
        <v>6.0154259588435033E-3</v>
      </c>
      <c r="H161" s="300">
        <f t="shared" si="84"/>
        <v>6.8396960841575526E-3</v>
      </c>
      <c r="I161" s="300">
        <f t="shared" si="84"/>
        <v>7.6680785997356084E-3</v>
      </c>
      <c r="J161" s="300">
        <f t="shared" si="84"/>
        <v>8.4962387860535032E-3</v>
      </c>
      <c r="K161" s="300">
        <f t="shared" si="84"/>
        <v>9.3195682303056741E-3</v>
      </c>
      <c r="L161" s="300">
        <f t="shared" si="84"/>
        <v>1.0133189376193372E-2</v>
      </c>
      <c r="M161" s="300">
        <f t="shared" si="84"/>
        <v>1.0931961418622675E-2</v>
      </c>
      <c r="N161" s="300">
        <f t="shared" si="84"/>
        <v>1.2557468918742655E-2</v>
      </c>
      <c r="O161" s="300">
        <f t="shared" si="84"/>
        <v>1.412829555717177E-2</v>
      </c>
      <c r="P161" s="300">
        <f t="shared" si="84"/>
        <v>1.5615597239443061E-2</v>
      </c>
      <c r="Q161" s="300">
        <f t="shared" si="84"/>
        <v>1.7010586095268912E-2</v>
      </c>
      <c r="R161" s="300">
        <f t="shared" si="84"/>
        <v>1.8296228472895814E-2</v>
      </c>
      <c r="S161" s="300">
        <f t="shared" si="84"/>
        <v>1.949126278761083E-2</v>
      </c>
      <c r="T161" s="300">
        <f t="shared" si="84"/>
        <v>2.0586117123081026E-2</v>
      </c>
      <c r="U161" s="300">
        <f t="shared" si="84"/>
        <v>2.1570987248168107E-2</v>
      </c>
      <c r="V161" s="300">
        <f t="shared" si="84"/>
        <v>2.2435841419459739E-2</v>
      </c>
      <c r="W161" s="300">
        <f t="shared" si="84"/>
        <v>2.3170425560513748E-2</v>
      </c>
      <c r="X161" s="300">
        <f t="shared" si="84"/>
        <v>2.4671406070490395E-2</v>
      </c>
      <c r="Y161" s="300">
        <f t="shared" si="84"/>
        <v>2.595593395732284E-2</v>
      </c>
      <c r="Z161" s="300">
        <f t="shared" si="84"/>
        <v>2.6934977504937591E-2</v>
      </c>
      <c r="AA161" s="300">
        <f t="shared" si="84"/>
        <v>2.7655754219912235E-2</v>
      </c>
      <c r="AB161" s="300">
        <f t="shared" si="84"/>
        <v>2.8102001678429855E-2</v>
      </c>
      <c r="AC161" s="300">
        <f t="shared" si="84"/>
        <v>2.8257709159458484E-2</v>
      </c>
      <c r="AD161" s="300">
        <f t="shared" si="84"/>
        <v>2.8106609101472099E-2</v>
      </c>
      <c r="AE161" s="300">
        <f t="shared" si="84"/>
        <v>2.7632460442163824E-2</v>
      </c>
      <c r="AF161" s="300">
        <f t="shared" si="84"/>
        <v>2.6819078524953022E-2</v>
      </c>
      <c r="AG161" s="300">
        <f t="shared" si="84"/>
        <v>2.5650365867020845E-2</v>
      </c>
      <c r="AH161" s="245"/>
      <c r="AI161" s="423"/>
      <c r="AJ161" s="424"/>
      <c r="AL161" s="221"/>
      <c r="AM161" s="124"/>
      <c r="AN161" s="124"/>
      <c r="AO161" s="124"/>
      <c r="BD161" s="124"/>
      <c r="BE161" s="124"/>
      <c r="BF161" s="124"/>
      <c r="BG161" s="124"/>
      <c r="BH161" s="124"/>
      <c r="BI161" s="124"/>
      <c r="BJ161" s="124"/>
      <c r="BK161" s="124"/>
    </row>
    <row r="162" spans="1:63" outlineLevel="1" x14ac:dyDescent="0.2">
      <c r="A162" s="4" t="s">
        <v>474</v>
      </c>
      <c r="C162" s="230">
        <f>C$161*'Methanol recycling rates'!E57</f>
        <v>0</v>
      </c>
      <c r="D162" s="230">
        <f>D$161*'Methanol recycling rates'!F57</f>
        <v>0</v>
      </c>
      <c r="E162" s="230">
        <f>E$161*'Methanol recycling rates'!G57</f>
        <v>0</v>
      </c>
      <c r="F162" s="230">
        <f>F$161*'Methanol recycling rates'!H57</f>
        <v>0</v>
      </c>
      <c r="G162" s="230">
        <f>G$161*'Methanol recycling rates'!I57</f>
        <v>0</v>
      </c>
      <c r="H162" s="230">
        <f>H$161*'Methanol recycling rates'!J57</f>
        <v>0</v>
      </c>
      <c r="I162" s="230">
        <f>I$161*'Methanol recycling rates'!K57</f>
        <v>0</v>
      </c>
      <c r="J162" s="230">
        <f>J$161*'Methanol recycling rates'!L57</f>
        <v>0</v>
      </c>
      <c r="K162" s="230">
        <f>K$161*'Methanol recycling rates'!M57</f>
        <v>0</v>
      </c>
      <c r="L162" s="230">
        <f>L$161*'Methanol recycling rates'!N57</f>
        <v>0</v>
      </c>
      <c r="M162" s="230">
        <f>M$161*'Methanol recycling rates'!O57</f>
        <v>0</v>
      </c>
      <c r="N162" s="230">
        <f>N$161*'Methanol recycling rates'!P57</f>
        <v>0</v>
      </c>
      <c r="O162" s="230">
        <f>O$161*'Methanol recycling rates'!Q57</f>
        <v>0</v>
      </c>
      <c r="P162" s="230">
        <f>P$161*'Methanol recycling rates'!R57</f>
        <v>0</v>
      </c>
      <c r="Q162" s="230">
        <f>Q$161*'Methanol recycling rates'!S57</f>
        <v>0</v>
      </c>
      <c r="R162" s="230">
        <f>R$161*'Methanol recycling rates'!T57</f>
        <v>0</v>
      </c>
      <c r="S162" s="230">
        <f>S$161*'Methanol recycling rates'!U57</f>
        <v>0</v>
      </c>
      <c r="T162" s="230">
        <f>T$161*'Methanol recycling rates'!V57</f>
        <v>0</v>
      </c>
      <c r="U162" s="230">
        <f>U$161*'Methanol recycling rates'!W57</f>
        <v>0</v>
      </c>
      <c r="V162" s="230">
        <f>V$161*'Methanol recycling rates'!X57</f>
        <v>0</v>
      </c>
      <c r="W162" s="230">
        <f>W$161*'Methanol recycling rates'!Y57</f>
        <v>0</v>
      </c>
      <c r="X162" s="230">
        <f>X$161*'Methanol recycling rates'!Z57</f>
        <v>0</v>
      </c>
      <c r="Y162" s="230">
        <f>Y$161*'Methanol recycling rates'!AA57</f>
        <v>0</v>
      </c>
      <c r="Z162" s="230">
        <f>Z$161*'Methanol recycling rates'!AB57</f>
        <v>0</v>
      </c>
      <c r="AA162" s="230">
        <f>AA$161*'Methanol recycling rates'!AC57</f>
        <v>0</v>
      </c>
      <c r="AB162" s="230">
        <f>AB$161*'Methanol recycling rates'!AD57</f>
        <v>0</v>
      </c>
      <c r="AC162" s="230">
        <f>AC$161*'Methanol recycling rates'!AE57</f>
        <v>0</v>
      </c>
      <c r="AD162" s="230">
        <f>AD$161*'Methanol recycling rates'!AF57</f>
        <v>0</v>
      </c>
      <c r="AE162" s="230">
        <f>AE$161*'Methanol recycling rates'!AG57</f>
        <v>0</v>
      </c>
      <c r="AF162" s="230">
        <f>AF$161*'Methanol recycling rates'!AH57</f>
        <v>0</v>
      </c>
      <c r="AG162" s="230">
        <f>AG$161*'Methanol recycling rates'!AI57</f>
        <v>0</v>
      </c>
      <c r="AH162" s="245"/>
      <c r="AI162" s="133"/>
      <c r="AJ162" s="211"/>
      <c r="AL162" s="108"/>
      <c r="AM162" s="2"/>
      <c r="AN162" s="2"/>
      <c r="AO162" s="2"/>
      <c r="BC162" s="1"/>
      <c r="BD162" s="2"/>
      <c r="BE162" s="2"/>
      <c r="BF162" s="2"/>
      <c r="BG162" s="2"/>
      <c r="BH162" s="2"/>
      <c r="BI162" s="2"/>
      <c r="BJ162" s="2"/>
      <c r="BK162" s="2"/>
    </row>
    <row r="163" spans="1:63" outlineLevel="1" x14ac:dyDescent="0.2">
      <c r="A163" s="4" t="s">
        <v>745</v>
      </c>
      <c r="C163" s="230">
        <f>C$161*'Methanol recycling rates'!E58</f>
        <v>0</v>
      </c>
      <c r="D163" s="230">
        <f>D$161*'Methanol recycling rates'!F58</f>
        <v>1.3833303730846241E-5</v>
      </c>
      <c r="E163" s="230">
        <f>E$161*'Methanol recycling rates'!G58</f>
        <v>3.3936216368045308E-5</v>
      </c>
      <c r="F163" s="230">
        <f>F$161*'Methanol recycling rates'!H58</f>
        <v>6.0478430893688663E-5</v>
      </c>
      <c r="G163" s="230">
        <f>G$161*'Methanol recycling rates'!I58</f>
        <v>9.3496546152427984E-5</v>
      </c>
      <c r="H163" s="230">
        <f>H$161*'Methanol recycling rates'!J58</f>
        <v>1.3288501200419613E-4</v>
      </c>
      <c r="I163" s="230">
        <f>I$161*'Methanol recycling rates'!K58</f>
        <v>1.7877508665366257E-4</v>
      </c>
      <c r="J163" s="230">
        <f>J$161*'Methanol recycling rates'!L58</f>
        <v>2.3109680472009131E-4</v>
      </c>
      <c r="K163" s="230">
        <f>K$161*'Methanol recycling rates'!M58</f>
        <v>2.8970431923760131E-4</v>
      </c>
      <c r="L163" s="230">
        <f>L$161*'Methanol recycling rates'!N58</f>
        <v>3.5437074331816408E-4</v>
      </c>
      <c r="M163" s="230">
        <f>M$161*'Methanol recycling rates'!O58</f>
        <v>4.247831501484066E-4</v>
      </c>
      <c r="N163" s="230">
        <f>N$161*'Methanol recycling rates'!P58</f>
        <v>5.3674003237132682E-4</v>
      </c>
      <c r="O163" s="230">
        <f>O$161*'Methanol recycling rates'!Q58</f>
        <v>6.5877970071642885E-4</v>
      </c>
      <c r="P163" s="230">
        <f>P$161*'Methanol recycling rates'!R58</f>
        <v>7.8880770180687703E-4</v>
      </c>
      <c r="Q163" s="230">
        <f>Q$161*'Methanol recycling rates'!S58</f>
        <v>9.2537231874544545E-4</v>
      </c>
      <c r="R163" s="230">
        <f>R$161*'Methanol recycling rates'!T58</f>
        <v>1.0664046371375014E-3</v>
      </c>
      <c r="S163" s="230">
        <f>S$161*'Methanol recycling rates'!U58</f>
        <v>1.2117949839358119E-3</v>
      </c>
      <c r="T163" s="230">
        <f>T$161*'Methanol recycling rates'!V58</f>
        <v>1.3598548410671079E-3</v>
      </c>
      <c r="U163" s="230">
        <f>U$161*'Methanol recycling rates'!W58</f>
        <v>1.5087306674044527E-3</v>
      </c>
      <c r="V163" s="230">
        <f>V$161*'Methanol recycling rates'!X58</f>
        <v>1.6563997398025016E-3</v>
      </c>
      <c r="W163" s="230">
        <f>W$161*'Methanol recycling rates'!Y58</f>
        <v>1.8006661353757753E-3</v>
      </c>
      <c r="X163" s="230">
        <f>X$161*'Methanol recycling rates'!Z58</f>
        <v>2.0131789799273732E-3</v>
      </c>
      <c r="Y163" s="230">
        <f>Y$161*'Methanol recycling rates'!AA58</f>
        <v>2.2188530065462282E-3</v>
      </c>
      <c r="Z163" s="230">
        <f>Z$161*'Methanol recycling rates'!AB58</f>
        <v>2.407208144801555E-3</v>
      </c>
      <c r="AA163" s="230">
        <f>AA$161*'Methanol recycling rates'!AC58</f>
        <v>2.579086686621952E-3</v>
      </c>
      <c r="AB163" s="230">
        <f>AB$161*'Methanol recycling rates'!AD58</f>
        <v>2.7298982180142062E-3</v>
      </c>
      <c r="AC163" s="230">
        <f>AC$161*'Methanol recycling rates'!AE58</f>
        <v>2.8548249905034767E-3</v>
      </c>
      <c r="AD163" s="230">
        <f>AD$161*'Methanol recycling rates'!AF58</f>
        <v>2.9487734580906548E-3</v>
      </c>
      <c r="AE163" s="230">
        <f>AE$161*'Methanol recycling rates'!AG58</f>
        <v>3.0064001144697416E-3</v>
      </c>
      <c r="AF163" s="230">
        <f>AF$161*'Methanol recycling rates'!AH58</f>
        <v>3.0221153778909691E-3</v>
      </c>
      <c r="AG163" s="230">
        <f>AG$161*'Methanol recycling rates'!AI58</f>
        <v>2.9900882736993012E-3</v>
      </c>
      <c r="AH163" s="245"/>
      <c r="AI163" s="133"/>
      <c r="AJ163" s="211"/>
      <c r="AL163" s="108"/>
      <c r="AM163" s="2"/>
      <c r="AN163" s="2"/>
      <c r="AO163" s="2"/>
      <c r="BC163" s="1"/>
      <c r="BD163" s="2"/>
      <c r="BE163" s="2"/>
      <c r="BF163" s="2"/>
      <c r="BG163" s="2"/>
      <c r="BH163" s="2"/>
      <c r="BI163" s="2"/>
      <c r="BJ163" s="2"/>
      <c r="BK163" s="2"/>
    </row>
    <row r="164" spans="1:63" outlineLevel="1" x14ac:dyDescent="0.2">
      <c r="A164" s="4" t="s">
        <v>1561</v>
      </c>
      <c r="C164" s="230">
        <f>C$161*'Methanol recycling rates'!E59</f>
        <v>2.7758341039319338E-3</v>
      </c>
      <c r="D164" s="230">
        <f>D$161*'Methanol recycling rates'!F59</f>
        <v>3.5462218120350841E-3</v>
      </c>
      <c r="E164" s="230">
        <f>E$161*'Methanol recycling rates'!G59</f>
        <v>4.332873153305516E-3</v>
      </c>
      <c r="F164" s="230">
        <f>F$161*'Methanol recycling rates'!H59</f>
        <v>5.127642244778568E-3</v>
      </c>
      <c r="G164" s="230">
        <f>G$161*'Methanol recycling rates'!I59</f>
        <v>5.921929412691076E-3</v>
      </c>
      <c r="H164" s="230">
        <f>H$161*'Methanol recycling rates'!J59</f>
        <v>6.706811072153358E-3</v>
      </c>
      <c r="I164" s="230">
        <f>I$161*'Methanol recycling rates'!K59</f>
        <v>7.4893035130819477E-3</v>
      </c>
      <c r="J164" s="230">
        <f>J$161*'Methanol recycling rates'!L59</f>
        <v>8.265141981333414E-3</v>
      </c>
      <c r="K164" s="230">
        <f>K$161*'Methanol recycling rates'!M59</f>
        <v>9.029863911068076E-3</v>
      </c>
      <c r="L164" s="230">
        <f>L$161*'Methanol recycling rates'!N59</f>
        <v>9.7788186328752122E-3</v>
      </c>
      <c r="M164" s="230">
        <f>M$161*'Methanol recycling rates'!O59</f>
        <v>1.0507178268474273E-2</v>
      </c>
      <c r="N164" s="230">
        <f>N$161*'Methanol recycling rates'!P59</f>
        <v>1.2020728886371335E-2</v>
      </c>
      <c r="O164" s="230">
        <f>O$161*'Methanol recycling rates'!Q59</f>
        <v>1.3469515856455349E-2</v>
      </c>
      <c r="P164" s="230">
        <f>P$161*'Methanol recycling rates'!R59</f>
        <v>1.4826789537636192E-2</v>
      </c>
      <c r="Q164" s="230">
        <f>Q$161*'Methanol recycling rates'!S59</f>
        <v>1.6085213776523478E-2</v>
      </c>
      <c r="R164" s="230">
        <f>R$161*'Methanol recycling rates'!T59</f>
        <v>1.7229823835758325E-2</v>
      </c>
      <c r="S164" s="230">
        <f>S$161*'Methanol recycling rates'!U59</f>
        <v>1.827946780367503E-2</v>
      </c>
      <c r="T164" s="230">
        <f>T$161*'Methanol recycling rates'!V59</f>
        <v>1.9226262282013934E-2</v>
      </c>
      <c r="U164" s="230">
        <f>U$161*'Methanol recycling rates'!W59</f>
        <v>2.006225658076367E-2</v>
      </c>
      <c r="V164" s="230">
        <f>V$161*'Methanol recycling rates'!X59</f>
        <v>2.0779441679657257E-2</v>
      </c>
      <c r="W164" s="230">
        <f>W$161*'Methanol recycling rates'!Y59</f>
        <v>2.1369759425137993E-2</v>
      </c>
      <c r="X164" s="230">
        <f>X$161*'Methanol recycling rates'!Z59</f>
        <v>2.2658227090563043E-2</v>
      </c>
      <c r="Y164" s="230">
        <f>Y$161*'Methanol recycling rates'!AA59</f>
        <v>2.3737080950776635E-2</v>
      </c>
      <c r="Z164" s="230">
        <f>Z$161*'Methanol recycling rates'!AB59</f>
        <v>2.4527769360136061E-2</v>
      </c>
      <c r="AA164" s="230">
        <f>AA$161*'Methanol recycling rates'!AC59</f>
        <v>2.5076667533290312E-2</v>
      </c>
      <c r="AB164" s="230">
        <f>AB$161*'Methanol recycling rates'!AD59</f>
        <v>2.5372103460415678E-2</v>
      </c>
      <c r="AC164" s="230">
        <f>AC$161*'Methanol recycling rates'!AE59</f>
        <v>2.5402884168955038E-2</v>
      </c>
      <c r="AD164" s="230">
        <f>AD$161*'Methanol recycling rates'!AF59</f>
        <v>2.5157835643381476E-2</v>
      </c>
      <c r="AE164" s="230">
        <f>AE$161*'Methanol recycling rates'!AG59</f>
        <v>2.4626060327694117E-2</v>
      </c>
      <c r="AF164" s="230">
        <f>AF$161*'Methanol recycling rates'!AH59</f>
        <v>2.3796963147062086E-2</v>
      </c>
      <c r="AG164" s="230">
        <f>AG$161*'Methanol recycling rates'!AI59</f>
        <v>2.2660277593321544E-2</v>
      </c>
      <c r="AH164" s="245"/>
      <c r="AI164" s="133"/>
      <c r="AJ164" s="211"/>
      <c r="AL164" s="108"/>
      <c r="AM164" s="2"/>
      <c r="AN164" s="2"/>
      <c r="AO164" s="2"/>
      <c r="BC164" s="1"/>
      <c r="BD164" s="2"/>
      <c r="BE164" s="2"/>
      <c r="BF164" s="2"/>
      <c r="BG164" s="2"/>
      <c r="BH164" s="2"/>
      <c r="BI164" s="2"/>
      <c r="BJ164" s="2"/>
      <c r="BK164" s="2"/>
    </row>
    <row r="165" spans="1:63" s="1" customFormat="1" outlineLevel="1" x14ac:dyDescent="0.2">
      <c r="A165" s="1" t="s">
        <v>1568</v>
      </c>
      <c r="B165" s="65"/>
      <c r="C165" s="300">
        <f>C161-$C161</f>
        <v>0</v>
      </c>
      <c r="D165" s="300">
        <f t="shared" ref="D165:AG168" si="85">D161-$C161</f>
        <v>7.8422101183399633E-4</v>
      </c>
      <c r="E165" s="300">
        <f t="shared" si="85"/>
        <v>1.5909752657416272E-3</v>
      </c>
      <c r="F165" s="300">
        <f t="shared" si="85"/>
        <v>2.4122865717403222E-3</v>
      </c>
      <c r="G165" s="300">
        <f t="shared" si="85"/>
        <v>3.2395918549115695E-3</v>
      </c>
      <c r="H165" s="300">
        <f t="shared" si="85"/>
        <v>4.0638619802256188E-3</v>
      </c>
      <c r="I165" s="300">
        <f t="shared" si="85"/>
        <v>4.8922444958036746E-3</v>
      </c>
      <c r="J165" s="300">
        <f t="shared" si="85"/>
        <v>5.7204046821215694E-3</v>
      </c>
      <c r="K165" s="300">
        <f t="shared" si="85"/>
        <v>6.5437341263737403E-3</v>
      </c>
      <c r="L165" s="300">
        <f t="shared" si="85"/>
        <v>7.3573552722614385E-3</v>
      </c>
      <c r="M165" s="300">
        <f t="shared" si="85"/>
        <v>8.1561273146907413E-3</v>
      </c>
      <c r="N165" s="300">
        <f t="shared" si="85"/>
        <v>9.7816348148107215E-3</v>
      </c>
      <c r="O165" s="300">
        <f t="shared" si="85"/>
        <v>1.1352461453239836E-2</v>
      </c>
      <c r="P165" s="300">
        <f t="shared" si="85"/>
        <v>1.2839763135511127E-2</v>
      </c>
      <c r="Q165" s="300">
        <f t="shared" si="85"/>
        <v>1.4234751991336978E-2</v>
      </c>
      <c r="R165" s="300">
        <f t="shared" si="85"/>
        <v>1.552039436896388E-2</v>
      </c>
      <c r="S165" s="300">
        <f t="shared" si="85"/>
        <v>1.6715428683678896E-2</v>
      </c>
      <c r="T165" s="300">
        <f t="shared" si="85"/>
        <v>1.7810283019149092E-2</v>
      </c>
      <c r="U165" s="300">
        <f t="shared" si="85"/>
        <v>1.8795153144236174E-2</v>
      </c>
      <c r="V165" s="300">
        <f t="shared" si="85"/>
        <v>1.9660007315527805E-2</v>
      </c>
      <c r="W165" s="300">
        <f t="shared" si="85"/>
        <v>2.0394591456581814E-2</v>
      </c>
      <c r="X165" s="300">
        <f t="shared" si="85"/>
        <v>2.1895571966558461E-2</v>
      </c>
      <c r="Y165" s="300">
        <f t="shared" si="85"/>
        <v>2.3180099853390906E-2</v>
      </c>
      <c r="Z165" s="300">
        <f t="shared" si="85"/>
        <v>2.4159143401005657E-2</v>
      </c>
      <c r="AA165" s="300">
        <f t="shared" si="85"/>
        <v>2.4879920115980302E-2</v>
      </c>
      <c r="AB165" s="300">
        <f t="shared" si="85"/>
        <v>2.5326167574497922E-2</v>
      </c>
      <c r="AC165" s="300">
        <f t="shared" si="85"/>
        <v>2.548187505552655E-2</v>
      </c>
      <c r="AD165" s="300">
        <f t="shared" si="85"/>
        <v>2.5330774997540165E-2</v>
      </c>
      <c r="AE165" s="300">
        <f t="shared" si="85"/>
        <v>2.485662633823189E-2</v>
      </c>
      <c r="AF165" s="300">
        <f t="shared" si="85"/>
        <v>2.4043244421021088E-2</v>
      </c>
      <c r="AG165" s="300">
        <f t="shared" si="85"/>
        <v>2.2874531763088912E-2</v>
      </c>
      <c r="AH165" s="245"/>
      <c r="AI165" s="423"/>
      <c r="AJ165" s="424"/>
      <c r="AL165" s="221"/>
      <c r="AM165" s="124"/>
      <c r="AN165" s="124"/>
      <c r="AO165" s="124"/>
      <c r="BD165" s="124"/>
      <c r="BE165" s="124"/>
      <c r="BF165" s="124"/>
      <c r="BG165" s="124"/>
      <c r="BH165" s="124"/>
      <c r="BI165" s="124"/>
      <c r="BJ165" s="124"/>
      <c r="BK165" s="124"/>
    </row>
    <row r="166" spans="1:63" outlineLevel="1" x14ac:dyDescent="0.2">
      <c r="A166" s="4" t="s">
        <v>474</v>
      </c>
      <c r="C166" s="230">
        <f t="shared" ref="C166:C168" si="86">C162-$C162</f>
        <v>0</v>
      </c>
      <c r="D166" s="230">
        <f t="shared" si="85"/>
        <v>0</v>
      </c>
      <c r="E166" s="230">
        <f t="shared" si="85"/>
        <v>0</v>
      </c>
      <c r="F166" s="230">
        <f t="shared" si="85"/>
        <v>0</v>
      </c>
      <c r="G166" s="230">
        <f t="shared" si="85"/>
        <v>0</v>
      </c>
      <c r="H166" s="230">
        <f t="shared" si="85"/>
        <v>0</v>
      </c>
      <c r="I166" s="230">
        <f t="shared" si="85"/>
        <v>0</v>
      </c>
      <c r="J166" s="230">
        <f t="shared" si="85"/>
        <v>0</v>
      </c>
      <c r="K166" s="230">
        <f t="shared" si="85"/>
        <v>0</v>
      </c>
      <c r="L166" s="230">
        <f t="shared" si="85"/>
        <v>0</v>
      </c>
      <c r="M166" s="230">
        <f t="shared" si="85"/>
        <v>0</v>
      </c>
      <c r="N166" s="230">
        <f t="shared" si="85"/>
        <v>0</v>
      </c>
      <c r="O166" s="230">
        <f t="shared" si="85"/>
        <v>0</v>
      </c>
      <c r="P166" s="230">
        <f t="shared" si="85"/>
        <v>0</v>
      </c>
      <c r="Q166" s="230">
        <f t="shared" si="85"/>
        <v>0</v>
      </c>
      <c r="R166" s="230">
        <f t="shared" si="85"/>
        <v>0</v>
      </c>
      <c r="S166" s="230">
        <f t="shared" si="85"/>
        <v>0</v>
      </c>
      <c r="T166" s="230">
        <f t="shared" si="85"/>
        <v>0</v>
      </c>
      <c r="U166" s="230">
        <f t="shared" si="85"/>
        <v>0</v>
      </c>
      <c r="V166" s="230">
        <f t="shared" si="85"/>
        <v>0</v>
      </c>
      <c r="W166" s="230">
        <f t="shared" si="85"/>
        <v>0</v>
      </c>
      <c r="X166" s="230">
        <f t="shared" si="85"/>
        <v>0</v>
      </c>
      <c r="Y166" s="230">
        <f t="shared" si="85"/>
        <v>0</v>
      </c>
      <c r="Z166" s="230">
        <f t="shared" si="85"/>
        <v>0</v>
      </c>
      <c r="AA166" s="230">
        <f t="shared" si="85"/>
        <v>0</v>
      </c>
      <c r="AB166" s="230">
        <f t="shared" si="85"/>
        <v>0</v>
      </c>
      <c r="AC166" s="230">
        <f t="shared" si="85"/>
        <v>0</v>
      </c>
      <c r="AD166" s="230">
        <f t="shared" si="85"/>
        <v>0</v>
      </c>
      <c r="AE166" s="230">
        <f t="shared" si="85"/>
        <v>0</v>
      </c>
      <c r="AF166" s="230">
        <f t="shared" si="85"/>
        <v>0</v>
      </c>
      <c r="AG166" s="230">
        <f t="shared" si="85"/>
        <v>0</v>
      </c>
      <c r="AH166" s="245"/>
      <c r="AI166" s="133"/>
      <c r="AJ166" s="211"/>
      <c r="AL166" s="108"/>
      <c r="AM166" s="2"/>
      <c r="AN166" s="2"/>
      <c r="AO166" s="2"/>
      <c r="BC166" s="1"/>
      <c r="BD166" s="2"/>
      <c r="BE166" s="2"/>
      <c r="BF166" s="2"/>
      <c r="BG166" s="2"/>
      <c r="BH166" s="2"/>
      <c r="BI166" s="2"/>
      <c r="BJ166" s="2"/>
      <c r="BK166" s="2"/>
    </row>
    <row r="167" spans="1:63" outlineLevel="1" x14ac:dyDescent="0.2">
      <c r="A167" s="4" t="s">
        <v>745</v>
      </c>
      <c r="C167" s="230">
        <f t="shared" si="86"/>
        <v>0</v>
      </c>
      <c r="D167" s="230">
        <f t="shared" si="85"/>
        <v>1.3833303730846241E-5</v>
      </c>
      <c r="E167" s="230">
        <f t="shared" si="85"/>
        <v>3.3936216368045308E-5</v>
      </c>
      <c r="F167" s="230">
        <f t="shared" si="85"/>
        <v>6.0478430893688663E-5</v>
      </c>
      <c r="G167" s="230">
        <f t="shared" si="85"/>
        <v>9.3496546152427984E-5</v>
      </c>
      <c r="H167" s="230">
        <f t="shared" si="85"/>
        <v>1.3288501200419613E-4</v>
      </c>
      <c r="I167" s="230">
        <f t="shared" si="85"/>
        <v>1.7877508665366257E-4</v>
      </c>
      <c r="J167" s="230">
        <f t="shared" si="85"/>
        <v>2.3109680472009131E-4</v>
      </c>
      <c r="K167" s="230">
        <f t="shared" si="85"/>
        <v>2.8970431923760131E-4</v>
      </c>
      <c r="L167" s="230">
        <f t="shared" si="85"/>
        <v>3.5437074331816408E-4</v>
      </c>
      <c r="M167" s="230">
        <f t="shared" si="85"/>
        <v>4.247831501484066E-4</v>
      </c>
      <c r="N167" s="230">
        <f t="shared" si="85"/>
        <v>5.3674003237132682E-4</v>
      </c>
      <c r="O167" s="230">
        <f t="shared" si="85"/>
        <v>6.5877970071642885E-4</v>
      </c>
      <c r="P167" s="230">
        <f t="shared" si="85"/>
        <v>7.8880770180687703E-4</v>
      </c>
      <c r="Q167" s="230">
        <f t="shared" si="85"/>
        <v>9.2537231874544545E-4</v>
      </c>
      <c r="R167" s="230">
        <f t="shared" si="85"/>
        <v>1.0664046371375014E-3</v>
      </c>
      <c r="S167" s="230">
        <f t="shared" si="85"/>
        <v>1.2117949839358119E-3</v>
      </c>
      <c r="T167" s="230">
        <f t="shared" si="85"/>
        <v>1.3598548410671079E-3</v>
      </c>
      <c r="U167" s="230">
        <f t="shared" si="85"/>
        <v>1.5087306674044527E-3</v>
      </c>
      <c r="V167" s="230">
        <f t="shared" si="85"/>
        <v>1.6563997398025016E-3</v>
      </c>
      <c r="W167" s="230">
        <f t="shared" si="85"/>
        <v>1.8006661353757753E-3</v>
      </c>
      <c r="X167" s="230">
        <f t="shared" si="85"/>
        <v>2.0131789799273732E-3</v>
      </c>
      <c r="Y167" s="230">
        <f t="shared" si="85"/>
        <v>2.2188530065462282E-3</v>
      </c>
      <c r="Z167" s="230">
        <f t="shared" si="85"/>
        <v>2.407208144801555E-3</v>
      </c>
      <c r="AA167" s="230">
        <f t="shared" si="85"/>
        <v>2.579086686621952E-3</v>
      </c>
      <c r="AB167" s="230">
        <f t="shared" si="85"/>
        <v>2.7298982180142062E-3</v>
      </c>
      <c r="AC167" s="230">
        <f t="shared" si="85"/>
        <v>2.8548249905034767E-3</v>
      </c>
      <c r="AD167" s="230">
        <f t="shared" si="85"/>
        <v>2.9487734580906548E-3</v>
      </c>
      <c r="AE167" s="230">
        <f t="shared" si="85"/>
        <v>3.0064001144697416E-3</v>
      </c>
      <c r="AF167" s="230">
        <f t="shared" si="85"/>
        <v>3.0221153778909691E-3</v>
      </c>
      <c r="AG167" s="230">
        <f t="shared" si="85"/>
        <v>2.9900882736993012E-3</v>
      </c>
      <c r="AH167" s="245"/>
      <c r="AI167" s="133"/>
      <c r="AJ167" s="211"/>
      <c r="AL167" s="108"/>
      <c r="AM167" s="2"/>
      <c r="AN167" s="2"/>
      <c r="AO167" s="2"/>
      <c r="BC167" s="1"/>
      <c r="BD167" s="2"/>
      <c r="BE167" s="2"/>
      <c r="BF167" s="2"/>
      <c r="BG167" s="2"/>
      <c r="BH167" s="2"/>
      <c r="BI167" s="2"/>
      <c r="BJ167" s="2"/>
      <c r="BK167" s="2"/>
    </row>
    <row r="168" spans="1:63" outlineLevel="1" x14ac:dyDescent="0.2">
      <c r="A168" s="4" t="s">
        <v>1561</v>
      </c>
      <c r="C168" s="230">
        <f t="shared" si="86"/>
        <v>0</v>
      </c>
      <c r="D168" s="230">
        <f t="shared" si="85"/>
        <v>7.7038770810315032E-4</v>
      </c>
      <c r="E168" s="230">
        <f t="shared" si="85"/>
        <v>1.5570390493735821E-3</v>
      </c>
      <c r="F168" s="230">
        <f t="shared" si="85"/>
        <v>2.3518081408466342E-3</v>
      </c>
      <c r="G168" s="230">
        <f t="shared" si="85"/>
        <v>3.1460953087591422E-3</v>
      </c>
      <c r="H168" s="230">
        <f t="shared" si="85"/>
        <v>3.9309769682214241E-3</v>
      </c>
      <c r="I168" s="230">
        <f t="shared" si="85"/>
        <v>4.7134694091500139E-3</v>
      </c>
      <c r="J168" s="230">
        <f t="shared" si="85"/>
        <v>5.4893078774014802E-3</v>
      </c>
      <c r="K168" s="230">
        <f t="shared" si="85"/>
        <v>6.2540298071361421E-3</v>
      </c>
      <c r="L168" s="230">
        <f t="shared" si="85"/>
        <v>7.0029845289432784E-3</v>
      </c>
      <c r="M168" s="230">
        <f t="shared" si="85"/>
        <v>7.7313441645423392E-3</v>
      </c>
      <c r="N168" s="230">
        <f t="shared" si="85"/>
        <v>9.2448947824394015E-3</v>
      </c>
      <c r="O168" s="230">
        <f t="shared" si="85"/>
        <v>1.0693681752523415E-2</v>
      </c>
      <c r="P168" s="230">
        <f t="shared" si="85"/>
        <v>1.2050955433704259E-2</v>
      </c>
      <c r="Q168" s="230">
        <f t="shared" si="85"/>
        <v>1.3309379672591545E-2</v>
      </c>
      <c r="R168" s="230">
        <f t="shared" si="85"/>
        <v>1.4453989731826392E-2</v>
      </c>
      <c r="S168" s="230">
        <f t="shared" si="85"/>
        <v>1.5503633699743096E-2</v>
      </c>
      <c r="T168" s="230">
        <f t="shared" si="85"/>
        <v>1.6450428178082E-2</v>
      </c>
      <c r="U168" s="230">
        <f t="shared" si="85"/>
        <v>1.7286422476831736E-2</v>
      </c>
      <c r="V168" s="230">
        <f t="shared" si="85"/>
        <v>1.8003607575725323E-2</v>
      </c>
      <c r="W168" s="230">
        <f t="shared" si="85"/>
        <v>1.8593925321206059E-2</v>
      </c>
      <c r="X168" s="230">
        <f t="shared" si="85"/>
        <v>1.9882392986631109E-2</v>
      </c>
      <c r="Y168" s="230">
        <f t="shared" si="85"/>
        <v>2.0961246846844701E-2</v>
      </c>
      <c r="Z168" s="230">
        <f t="shared" si="85"/>
        <v>2.1751935256204127E-2</v>
      </c>
      <c r="AA168" s="230">
        <f t="shared" si="85"/>
        <v>2.2300833429358378E-2</v>
      </c>
      <c r="AB168" s="230">
        <f t="shared" si="85"/>
        <v>2.2596269356483744E-2</v>
      </c>
      <c r="AC168" s="230">
        <f t="shared" si="85"/>
        <v>2.2627050065023104E-2</v>
      </c>
      <c r="AD168" s="230">
        <f t="shared" si="85"/>
        <v>2.2382001539449543E-2</v>
      </c>
      <c r="AE168" s="230">
        <f t="shared" si="85"/>
        <v>2.1850226223762183E-2</v>
      </c>
      <c r="AF168" s="230">
        <f t="shared" si="85"/>
        <v>2.1021129043130152E-2</v>
      </c>
      <c r="AG168" s="230">
        <f t="shared" si="85"/>
        <v>1.988444348938961E-2</v>
      </c>
      <c r="AH168" s="245"/>
      <c r="AI168" s="133"/>
      <c r="AJ168" s="211"/>
      <c r="AL168" s="108"/>
      <c r="AM168" s="2"/>
      <c r="AN168" s="2"/>
      <c r="AO168" s="2"/>
      <c r="BC168" s="1"/>
      <c r="BD168" s="2"/>
      <c r="BE168" s="2"/>
      <c r="BF168" s="2"/>
      <c r="BG168" s="2"/>
      <c r="BH168" s="2"/>
      <c r="BI168" s="2"/>
      <c r="BJ168" s="2"/>
      <c r="BK168" s="2"/>
    </row>
    <row r="169" spans="1:63" outlineLevel="1" x14ac:dyDescent="0.2">
      <c r="C169" s="110"/>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J169" s="211"/>
      <c r="AM169" s="123"/>
      <c r="AN169" s="123"/>
    </row>
    <row r="170" spans="1:63" s="200" customFormat="1" ht="16" thickBot="1" x14ac:dyDescent="0.25">
      <c r="A170" s="200" t="s">
        <v>1339</v>
      </c>
      <c r="B170" s="215"/>
      <c r="C170" s="224">
        <f>C171</f>
        <v>0.13</v>
      </c>
      <c r="D170" s="224">
        <f t="shared" ref="D170:AG170" si="87">D171</f>
        <v>0.13557711853523402</v>
      </c>
      <c r="E170" s="224">
        <f t="shared" si="87"/>
        <v>0.14115423707046801</v>
      </c>
      <c r="F170" s="224">
        <f t="shared" si="87"/>
        <v>0.14673135560570202</v>
      </c>
      <c r="G170" s="224">
        <f t="shared" si="87"/>
        <v>0.15230847414093604</v>
      </c>
      <c r="H170" s="224">
        <f t="shared" si="87"/>
        <v>0.15788559267617003</v>
      </c>
      <c r="I170" s="224">
        <f t="shared" si="87"/>
        <v>0.16346271121140404</v>
      </c>
      <c r="J170" s="224">
        <f t="shared" si="87"/>
        <v>0.16903982974663806</v>
      </c>
      <c r="K170" s="224">
        <f t="shared" si="87"/>
        <v>0.17461694828187208</v>
      </c>
      <c r="L170" s="224">
        <f t="shared" si="87"/>
        <v>0.18019406681710606</v>
      </c>
      <c r="M170" s="224">
        <f t="shared" si="87"/>
        <v>0.18577118535234008</v>
      </c>
      <c r="N170" s="224">
        <f t="shared" si="87"/>
        <v>0.19752603518814099</v>
      </c>
      <c r="O170" s="224">
        <f t="shared" si="87"/>
        <v>0.20928088502394188</v>
      </c>
      <c r="P170" s="224">
        <f t="shared" si="87"/>
        <v>0.22103573485974279</v>
      </c>
      <c r="Q170" s="224">
        <f t="shared" si="87"/>
        <v>0.2327905846955437</v>
      </c>
      <c r="R170" s="224">
        <f t="shared" si="87"/>
        <v>0.24454543453134459</v>
      </c>
      <c r="S170" s="224">
        <f t="shared" si="87"/>
        <v>0.25630028436714547</v>
      </c>
      <c r="T170" s="224">
        <f t="shared" si="87"/>
        <v>0.26805513420294641</v>
      </c>
      <c r="U170" s="224">
        <f t="shared" si="87"/>
        <v>0.27980998403874729</v>
      </c>
      <c r="V170" s="224">
        <f t="shared" si="87"/>
        <v>0.29156483387454823</v>
      </c>
      <c r="W170" s="224">
        <f t="shared" si="87"/>
        <v>0.30331968371034912</v>
      </c>
      <c r="X170" s="224">
        <f t="shared" si="87"/>
        <v>0.3229877153393142</v>
      </c>
      <c r="Y170" s="224">
        <f t="shared" si="87"/>
        <v>0.34265574696827927</v>
      </c>
      <c r="Z170" s="224">
        <f t="shared" si="87"/>
        <v>0.36232377859724441</v>
      </c>
      <c r="AA170" s="224">
        <f t="shared" si="87"/>
        <v>0.38199181022620948</v>
      </c>
      <c r="AB170" s="224">
        <f t="shared" si="87"/>
        <v>0.40165984185517456</v>
      </c>
      <c r="AC170" s="224">
        <f t="shared" si="87"/>
        <v>0.42132787348413964</v>
      </c>
      <c r="AD170" s="224">
        <f t="shared" si="87"/>
        <v>0.44099590511310471</v>
      </c>
      <c r="AE170" s="224">
        <f t="shared" si="87"/>
        <v>0.46066393674206985</v>
      </c>
      <c r="AF170" s="224">
        <f t="shared" si="87"/>
        <v>0.48033196837103487</v>
      </c>
      <c r="AG170" s="224">
        <f t="shared" si="87"/>
        <v>0.5</v>
      </c>
      <c r="AJ170" s="231" t="s">
        <v>1340</v>
      </c>
      <c r="AL170" s="217"/>
      <c r="AM170" s="225"/>
      <c r="AN170" s="225"/>
      <c r="AO170" s="225"/>
    </row>
    <row r="171" spans="1:63" ht="16" outlineLevel="1" thickTop="1" x14ac:dyDescent="0.2">
      <c r="A171" t="s">
        <v>1341</v>
      </c>
      <c r="B171" s="54" t="s">
        <v>462</v>
      </c>
      <c r="C171" s="214">
        <v>0.13</v>
      </c>
      <c r="D171" s="110">
        <f>$C171+($M171-$C171)/10*(D$1-$C$1)</f>
        <v>0.13557711853523402</v>
      </c>
      <c r="E171" s="110">
        <f t="shared" ref="E171:L171" si="88">$C171+($M171-$C171)/10*(E$1-$C$1)</f>
        <v>0.14115423707046801</v>
      </c>
      <c r="F171" s="110">
        <f t="shared" si="88"/>
        <v>0.14673135560570202</v>
      </c>
      <c r="G171" s="110">
        <f t="shared" si="88"/>
        <v>0.15230847414093604</v>
      </c>
      <c r="H171" s="110">
        <f t="shared" si="88"/>
        <v>0.15788559267617003</v>
      </c>
      <c r="I171" s="110">
        <f t="shared" si="88"/>
        <v>0.16346271121140404</v>
      </c>
      <c r="J171" s="110">
        <f t="shared" si="88"/>
        <v>0.16903982974663806</v>
      </c>
      <c r="K171" s="110">
        <f t="shared" si="88"/>
        <v>0.17461694828187208</v>
      </c>
      <c r="L171" s="110">
        <f t="shared" si="88"/>
        <v>0.18019406681710606</v>
      </c>
      <c r="M171" s="121">
        <f>(M$52-$C$52)/($AG$52-$C$52)*($AG171-$C171)+$C171</f>
        <v>0.18577118535234008</v>
      </c>
      <c r="N171" s="121">
        <f>$M171+($W171-$M171)/10*(N$1-$M$1)</f>
        <v>0.19752603518814099</v>
      </c>
      <c r="O171" s="121">
        <f t="shared" ref="O171:U171" si="89">$M171+($W171-$M171)/10*(O$1-$M$1)</f>
        <v>0.20928088502394188</v>
      </c>
      <c r="P171" s="121">
        <f t="shared" si="89"/>
        <v>0.22103573485974279</v>
      </c>
      <c r="Q171" s="121">
        <f t="shared" si="89"/>
        <v>0.2327905846955437</v>
      </c>
      <c r="R171" s="121">
        <f t="shared" si="89"/>
        <v>0.24454543453134459</v>
      </c>
      <c r="S171" s="121">
        <f t="shared" si="89"/>
        <v>0.25630028436714547</v>
      </c>
      <c r="T171" s="121">
        <f t="shared" si="89"/>
        <v>0.26805513420294641</v>
      </c>
      <c r="U171" s="121">
        <f t="shared" si="89"/>
        <v>0.27980998403874729</v>
      </c>
      <c r="V171" s="121">
        <f>$M171+($W171-$M171)/10*(V$1-$M$1)</f>
        <v>0.29156483387454823</v>
      </c>
      <c r="W171" s="121">
        <f>(W$52-$C$52)/($AG$52-$C$52)*($AG171-$C171)+$C171</f>
        <v>0.30331968371034912</v>
      </c>
      <c r="X171" s="110">
        <f>$W171+($AG171-$W171)/10*(X$1-$W$1)</f>
        <v>0.3229877153393142</v>
      </c>
      <c r="Y171" s="110">
        <f t="shared" ref="Y171:AF171" si="90">$W171+($AG171-$W171)/10*(Y$1-$W$1)</f>
        <v>0.34265574696827927</v>
      </c>
      <c r="Z171" s="110">
        <f t="shared" si="90"/>
        <v>0.36232377859724441</v>
      </c>
      <c r="AA171" s="110">
        <f t="shared" si="90"/>
        <v>0.38199181022620948</v>
      </c>
      <c r="AB171" s="110">
        <f t="shared" si="90"/>
        <v>0.40165984185517456</v>
      </c>
      <c r="AC171" s="110">
        <f t="shared" si="90"/>
        <v>0.42132787348413964</v>
      </c>
      <c r="AD171" s="110">
        <f t="shared" si="90"/>
        <v>0.44099590511310471</v>
      </c>
      <c r="AE171" s="110">
        <f t="shared" si="90"/>
        <v>0.46066393674206985</v>
      </c>
      <c r="AF171" s="110">
        <f t="shared" si="90"/>
        <v>0.48033196837103487</v>
      </c>
      <c r="AG171" s="214">
        <v>0.5</v>
      </c>
      <c r="AJ171" s="211" t="s">
        <v>1342</v>
      </c>
    </row>
    <row r="172" spans="1:63" outlineLevel="1" x14ac:dyDescent="0.2">
      <c r="A172" t="s">
        <v>1453</v>
      </c>
      <c r="B172" s="54" t="s">
        <v>462</v>
      </c>
      <c r="C172" s="214">
        <v>0.05</v>
      </c>
      <c r="D172" s="110">
        <f t="shared" ref="D172:AF172" si="91">C172-($C$172-$AG$172)/($AG$1-$C$1)</f>
        <v>5.8333333333333334E-2</v>
      </c>
      <c r="E172" s="110">
        <f t="shared" si="91"/>
        <v>6.6666666666666666E-2</v>
      </c>
      <c r="F172" s="110">
        <f t="shared" si="91"/>
        <v>7.4999999999999997E-2</v>
      </c>
      <c r="G172" s="110">
        <f t="shared" si="91"/>
        <v>8.3333333333333329E-2</v>
      </c>
      <c r="H172" s="110">
        <f t="shared" si="91"/>
        <v>9.166666666666666E-2</v>
      </c>
      <c r="I172" s="110">
        <f t="shared" si="91"/>
        <v>9.9999999999999992E-2</v>
      </c>
      <c r="J172" s="110">
        <f t="shared" si="91"/>
        <v>0.10833333333333332</v>
      </c>
      <c r="K172" s="110">
        <f t="shared" si="91"/>
        <v>0.11666666666666665</v>
      </c>
      <c r="L172" s="110">
        <f t="shared" si="91"/>
        <v>0.12499999999999999</v>
      </c>
      <c r="M172" s="110">
        <f t="shared" si="91"/>
        <v>0.13333333333333333</v>
      </c>
      <c r="N172" s="110">
        <f t="shared" si="91"/>
        <v>0.14166666666666666</v>
      </c>
      <c r="O172" s="110">
        <f t="shared" si="91"/>
        <v>0.15</v>
      </c>
      <c r="P172" s="110">
        <f t="shared" si="91"/>
        <v>0.15833333333333333</v>
      </c>
      <c r="Q172" s="110">
        <f t="shared" si="91"/>
        <v>0.16666666666666666</v>
      </c>
      <c r="R172" s="110">
        <f t="shared" si="91"/>
        <v>0.17499999999999999</v>
      </c>
      <c r="S172" s="110">
        <f t="shared" si="91"/>
        <v>0.18333333333333332</v>
      </c>
      <c r="T172" s="110">
        <f t="shared" si="91"/>
        <v>0.19166666666666665</v>
      </c>
      <c r="U172" s="110">
        <f t="shared" si="91"/>
        <v>0.19999999999999998</v>
      </c>
      <c r="V172" s="110">
        <f t="shared" si="91"/>
        <v>0.20833333333333331</v>
      </c>
      <c r="W172" s="110">
        <f t="shared" si="91"/>
        <v>0.21666666666666665</v>
      </c>
      <c r="X172" s="110">
        <f t="shared" si="91"/>
        <v>0.22499999999999998</v>
      </c>
      <c r="Y172" s="110">
        <f t="shared" si="91"/>
        <v>0.23333333333333331</v>
      </c>
      <c r="Z172" s="110">
        <f t="shared" si="91"/>
        <v>0.24166666666666664</v>
      </c>
      <c r="AA172" s="110">
        <f t="shared" si="91"/>
        <v>0.24999999999999997</v>
      </c>
      <c r="AB172" s="110">
        <f t="shared" si="91"/>
        <v>0.2583333333333333</v>
      </c>
      <c r="AC172" s="110">
        <f t="shared" si="91"/>
        <v>0.26666666666666666</v>
      </c>
      <c r="AD172" s="110">
        <f t="shared" si="91"/>
        <v>0.27500000000000002</v>
      </c>
      <c r="AE172" s="110">
        <f t="shared" si="91"/>
        <v>0.28333333333333338</v>
      </c>
      <c r="AF172" s="110">
        <f t="shared" si="91"/>
        <v>0.29166666666666674</v>
      </c>
      <c r="AG172" s="214">
        <v>0.3</v>
      </c>
      <c r="AI172" s="135"/>
      <c r="AJ172" s="211" t="s">
        <v>1454</v>
      </c>
      <c r="AM172" s="123"/>
      <c r="AN172" s="123"/>
    </row>
    <row r="173" spans="1:63" ht="14.5" customHeight="1" outlineLevel="1" x14ac:dyDescent="0.2">
      <c r="A173" t="s">
        <v>1455</v>
      </c>
      <c r="B173" s="176" t="s">
        <v>462</v>
      </c>
      <c r="C173" s="110">
        <f>1-C172</f>
        <v>0.95</v>
      </c>
      <c r="D173" s="110">
        <f t="shared" ref="D173:AG173" si="92">1-D172</f>
        <v>0.94166666666666665</v>
      </c>
      <c r="E173" s="110">
        <f t="shared" si="92"/>
        <v>0.93333333333333335</v>
      </c>
      <c r="F173" s="110">
        <f t="shared" si="92"/>
        <v>0.92500000000000004</v>
      </c>
      <c r="G173" s="110">
        <f t="shared" si="92"/>
        <v>0.91666666666666663</v>
      </c>
      <c r="H173" s="110">
        <f t="shared" si="92"/>
        <v>0.90833333333333333</v>
      </c>
      <c r="I173" s="110">
        <f t="shared" si="92"/>
        <v>0.9</v>
      </c>
      <c r="J173" s="110">
        <f t="shared" si="92"/>
        <v>0.89166666666666672</v>
      </c>
      <c r="K173" s="110">
        <f t="shared" si="92"/>
        <v>0.8833333333333333</v>
      </c>
      <c r="L173" s="110">
        <f t="shared" si="92"/>
        <v>0.875</v>
      </c>
      <c r="M173" s="110">
        <f t="shared" si="92"/>
        <v>0.8666666666666667</v>
      </c>
      <c r="N173" s="110">
        <f t="shared" si="92"/>
        <v>0.85833333333333339</v>
      </c>
      <c r="O173" s="110">
        <f t="shared" si="92"/>
        <v>0.85</v>
      </c>
      <c r="P173" s="110">
        <f t="shared" si="92"/>
        <v>0.84166666666666667</v>
      </c>
      <c r="Q173" s="110">
        <f t="shared" si="92"/>
        <v>0.83333333333333337</v>
      </c>
      <c r="R173" s="110">
        <f t="shared" si="92"/>
        <v>0.82499999999999996</v>
      </c>
      <c r="S173" s="110">
        <f t="shared" si="92"/>
        <v>0.81666666666666665</v>
      </c>
      <c r="T173" s="110">
        <f t="shared" si="92"/>
        <v>0.80833333333333335</v>
      </c>
      <c r="U173" s="110">
        <f t="shared" si="92"/>
        <v>0.8</v>
      </c>
      <c r="V173" s="110">
        <f t="shared" si="92"/>
        <v>0.79166666666666674</v>
      </c>
      <c r="W173" s="110">
        <f t="shared" si="92"/>
        <v>0.78333333333333333</v>
      </c>
      <c r="X173" s="110">
        <f t="shared" si="92"/>
        <v>0.77500000000000002</v>
      </c>
      <c r="Y173" s="110">
        <f t="shared" si="92"/>
        <v>0.76666666666666672</v>
      </c>
      <c r="Z173" s="110">
        <f t="shared" si="92"/>
        <v>0.7583333333333333</v>
      </c>
      <c r="AA173" s="110">
        <f t="shared" si="92"/>
        <v>0.75</v>
      </c>
      <c r="AB173" s="110">
        <f t="shared" si="92"/>
        <v>0.7416666666666667</v>
      </c>
      <c r="AC173" s="110">
        <f t="shared" si="92"/>
        <v>0.73333333333333339</v>
      </c>
      <c r="AD173" s="110">
        <f t="shared" si="92"/>
        <v>0.72499999999999998</v>
      </c>
      <c r="AE173" s="110">
        <f t="shared" si="92"/>
        <v>0.71666666666666656</v>
      </c>
      <c r="AF173" s="110">
        <f t="shared" si="92"/>
        <v>0.70833333333333326</v>
      </c>
      <c r="AG173" s="110">
        <f t="shared" si="92"/>
        <v>0.7</v>
      </c>
      <c r="AI173" s="135" t="s">
        <v>1456</v>
      </c>
      <c r="AJ173" s="211"/>
    </row>
    <row r="174" spans="1:63" outlineLevel="1" x14ac:dyDescent="0.2">
      <c r="A174" t="s">
        <v>1343</v>
      </c>
      <c r="B174" s="54" t="s">
        <v>462</v>
      </c>
      <c r="C174" s="110">
        <f>C171*C172</f>
        <v>6.5000000000000006E-3</v>
      </c>
      <c r="D174" s="110">
        <f t="shared" ref="D174:AG174" si="93">D171*D172</f>
        <v>7.9086652478886511E-3</v>
      </c>
      <c r="E174" s="110">
        <f t="shared" si="93"/>
        <v>9.4102824713645332E-3</v>
      </c>
      <c r="F174" s="110">
        <f t="shared" si="93"/>
        <v>1.1004851670427652E-2</v>
      </c>
      <c r="G174" s="110">
        <f t="shared" si="93"/>
        <v>1.2692372845078003E-2</v>
      </c>
      <c r="H174" s="110">
        <f t="shared" si="93"/>
        <v>1.4472845995315585E-2</v>
      </c>
      <c r="I174" s="110">
        <f t="shared" si="93"/>
        <v>1.6346271121140402E-2</v>
      </c>
      <c r="J174" s="110">
        <f t="shared" si="93"/>
        <v>1.8312648222552456E-2</v>
      </c>
      <c r="K174" s="110">
        <f t="shared" si="93"/>
        <v>2.037197729955174E-2</v>
      </c>
      <c r="L174" s="110">
        <f t="shared" si="93"/>
        <v>2.2524258352138254E-2</v>
      </c>
      <c r="M174" s="110">
        <f t="shared" si="93"/>
        <v>2.4769491380312009E-2</v>
      </c>
      <c r="N174" s="110">
        <f t="shared" si="93"/>
        <v>2.7982854984986639E-2</v>
      </c>
      <c r="O174" s="110">
        <f t="shared" si="93"/>
        <v>3.1392132753591283E-2</v>
      </c>
      <c r="P174" s="110">
        <f t="shared" si="93"/>
        <v>3.4997324686125937E-2</v>
      </c>
      <c r="Q174" s="110">
        <f t="shared" si="93"/>
        <v>3.8798430782590612E-2</v>
      </c>
      <c r="R174" s="110">
        <f t="shared" si="93"/>
        <v>4.2795451042985301E-2</v>
      </c>
      <c r="S174" s="110">
        <f t="shared" si="93"/>
        <v>4.6988385467309997E-2</v>
      </c>
      <c r="T174" s="110">
        <f t="shared" si="93"/>
        <v>5.1377234055564727E-2</v>
      </c>
      <c r="U174" s="110">
        <f t="shared" si="93"/>
        <v>5.5961996807749458E-2</v>
      </c>
      <c r="V174" s="110">
        <f t="shared" si="93"/>
        <v>6.0742673723864209E-2</v>
      </c>
      <c r="W174" s="110">
        <f t="shared" si="93"/>
        <v>6.5719264803908967E-2</v>
      </c>
      <c r="X174" s="110">
        <f t="shared" si="93"/>
        <v>7.2672235951345684E-2</v>
      </c>
      <c r="Y174" s="110">
        <f t="shared" si="93"/>
        <v>7.9953007625931827E-2</v>
      </c>
      <c r="Z174" s="110">
        <f t="shared" si="93"/>
        <v>8.7561579827667393E-2</v>
      </c>
      <c r="AA174" s="110">
        <f t="shared" si="93"/>
        <v>9.5497952556552357E-2</v>
      </c>
      <c r="AB174" s="110">
        <f t="shared" si="93"/>
        <v>0.10376212581258674</v>
      </c>
      <c r="AC174" s="110">
        <f t="shared" si="93"/>
        <v>0.11235409959577057</v>
      </c>
      <c r="AD174" s="110">
        <f t="shared" si="93"/>
        <v>0.12127387390610381</v>
      </c>
      <c r="AE174" s="110">
        <f t="shared" si="93"/>
        <v>0.13052144874358648</v>
      </c>
      <c r="AF174" s="110">
        <f t="shared" si="93"/>
        <v>0.14009682410821853</v>
      </c>
      <c r="AG174" s="110">
        <f t="shared" si="93"/>
        <v>0.15</v>
      </c>
      <c r="AI174" s="134"/>
      <c r="AJ174" s="211"/>
      <c r="BD174" s="203"/>
      <c r="BE174" s="203"/>
    </row>
    <row r="175" spans="1:63" outlineLevel="1" x14ac:dyDescent="0.2">
      <c r="A175" t="s">
        <v>1344</v>
      </c>
      <c r="B175" s="54" t="s">
        <v>462</v>
      </c>
      <c r="C175" s="110">
        <f>C171*C173</f>
        <v>0.1235</v>
      </c>
      <c r="D175" s="110">
        <f t="shared" ref="D175:AG175" si="94">D171*D173</f>
        <v>0.12766845328734536</v>
      </c>
      <c r="E175" s="110">
        <f t="shared" si="94"/>
        <v>0.13174395459910349</v>
      </c>
      <c r="F175" s="110">
        <f t="shared" si="94"/>
        <v>0.13572650393527438</v>
      </c>
      <c r="G175" s="110">
        <f t="shared" si="94"/>
        <v>0.13961610129585802</v>
      </c>
      <c r="H175" s="110">
        <f t="shared" si="94"/>
        <v>0.14341274668085444</v>
      </c>
      <c r="I175" s="110">
        <f t="shared" si="94"/>
        <v>0.14711644009026364</v>
      </c>
      <c r="J175" s="110">
        <f t="shared" si="94"/>
        <v>0.15072718152408562</v>
      </c>
      <c r="K175" s="110">
        <f t="shared" si="94"/>
        <v>0.15424497098232032</v>
      </c>
      <c r="L175" s="110">
        <f t="shared" si="94"/>
        <v>0.15766980846496781</v>
      </c>
      <c r="M175" s="110">
        <f t="shared" si="94"/>
        <v>0.16100169397202807</v>
      </c>
      <c r="N175" s="110">
        <f t="shared" si="94"/>
        <v>0.16954318020315437</v>
      </c>
      <c r="O175" s="110">
        <f t="shared" si="94"/>
        <v>0.17788875227035059</v>
      </c>
      <c r="P175" s="110">
        <f t="shared" si="94"/>
        <v>0.18603841017361686</v>
      </c>
      <c r="Q175" s="110">
        <f t="shared" si="94"/>
        <v>0.1939921539129531</v>
      </c>
      <c r="R175" s="110">
        <f t="shared" si="94"/>
        <v>0.20174998348835926</v>
      </c>
      <c r="S175" s="110">
        <f t="shared" si="94"/>
        <v>0.20931189889983545</v>
      </c>
      <c r="T175" s="110">
        <f t="shared" si="94"/>
        <v>0.2166779001473817</v>
      </c>
      <c r="U175" s="110">
        <f t="shared" si="94"/>
        <v>0.22384798723099786</v>
      </c>
      <c r="V175" s="110">
        <f t="shared" si="94"/>
        <v>0.23082216015068405</v>
      </c>
      <c r="W175" s="110">
        <f t="shared" si="94"/>
        <v>0.23760041890644015</v>
      </c>
      <c r="X175" s="110">
        <f t="shared" si="94"/>
        <v>0.2503154793879685</v>
      </c>
      <c r="Y175" s="110">
        <f t="shared" si="94"/>
        <v>0.26270273934234745</v>
      </c>
      <c r="Z175" s="110">
        <f t="shared" si="94"/>
        <v>0.27476219876957697</v>
      </c>
      <c r="AA175" s="110">
        <f t="shared" si="94"/>
        <v>0.28649385766965713</v>
      </c>
      <c r="AB175" s="110">
        <f t="shared" si="94"/>
        <v>0.2978977160425878</v>
      </c>
      <c r="AC175" s="110">
        <f t="shared" si="94"/>
        <v>0.30897377388836911</v>
      </c>
      <c r="AD175" s="110">
        <f t="shared" si="94"/>
        <v>0.31972203120700093</v>
      </c>
      <c r="AE175" s="110">
        <f t="shared" si="94"/>
        <v>0.33014248799848334</v>
      </c>
      <c r="AF175" s="110">
        <f t="shared" si="94"/>
        <v>0.34023514426281631</v>
      </c>
      <c r="AG175" s="110">
        <f t="shared" si="94"/>
        <v>0.35</v>
      </c>
      <c r="AI175" s="134"/>
      <c r="AJ175" s="211"/>
      <c r="BD175" s="203"/>
      <c r="BE175" s="203"/>
    </row>
    <row r="176" spans="1:63" outlineLevel="1" x14ac:dyDescent="0.2">
      <c r="C176" s="110"/>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J176" s="211"/>
    </row>
    <row r="177" spans="1:63" outlineLevel="1" x14ac:dyDescent="0.2">
      <c r="A177" t="s">
        <v>1441</v>
      </c>
      <c r="B177" s="54" t="s">
        <v>462</v>
      </c>
      <c r="C177" s="106">
        <v>0.5</v>
      </c>
      <c r="D177" s="110">
        <f>C177</f>
        <v>0.5</v>
      </c>
      <c r="E177" s="110">
        <f t="shared" ref="E177:AG177" si="95">D177</f>
        <v>0.5</v>
      </c>
      <c r="F177" s="110">
        <f t="shared" si="95"/>
        <v>0.5</v>
      </c>
      <c r="G177" s="110">
        <f t="shared" si="95"/>
        <v>0.5</v>
      </c>
      <c r="H177" s="110">
        <f t="shared" si="95"/>
        <v>0.5</v>
      </c>
      <c r="I177" s="110">
        <f t="shared" si="95"/>
        <v>0.5</v>
      </c>
      <c r="J177" s="110">
        <f t="shared" si="95"/>
        <v>0.5</v>
      </c>
      <c r="K177" s="110">
        <f t="shared" si="95"/>
        <v>0.5</v>
      </c>
      <c r="L177" s="110">
        <f t="shared" si="95"/>
        <v>0.5</v>
      </c>
      <c r="M177" s="110">
        <f t="shared" si="95"/>
        <v>0.5</v>
      </c>
      <c r="N177" s="110">
        <f t="shared" si="95"/>
        <v>0.5</v>
      </c>
      <c r="O177" s="110">
        <f t="shared" si="95"/>
        <v>0.5</v>
      </c>
      <c r="P177" s="110">
        <f t="shared" si="95"/>
        <v>0.5</v>
      </c>
      <c r="Q177" s="110">
        <f t="shared" si="95"/>
        <v>0.5</v>
      </c>
      <c r="R177" s="110">
        <f t="shared" si="95"/>
        <v>0.5</v>
      </c>
      <c r="S177" s="110">
        <f t="shared" si="95"/>
        <v>0.5</v>
      </c>
      <c r="T177" s="110">
        <f t="shared" si="95"/>
        <v>0.5</v>
      </c>
      <c r="U177" s="110">
        <f t="shared" si="95"/>
        <v>0.5</v>
      </c>
      <c r="V177" s="110">
        <f t="shared" si="95"/>
        <v>0.5</v>
      </c>
      <c r="W177" s="110">
        <f t="shared" si="95"/>
        <v>0.5</v>
      </c>
      <c r="X177" s="110">
        <f t="shared" si="95"/>
        <v>0.5</v>
      </c>
      <c r="Y177" s="110">
        <f t="shared" si="95"/>
        <v>0.5</v>
      </c>
      <c r="Z177" s="110">
        <f t="shared" si="95"/>
        <v>0.5</v>
      </c>
      <c r="AA177" s="110">
        <f t="shared" si="95"/>
        <v>0.5</v>
      </c>
      <c r="AB177" s="110">
        <f t="shared" si="95"/>
        <v>0.5</v>
      </c>
      <c r="AC177" s="110">
        <f t="shared" si="95"/>
        <v>0.5</v>
      </c>
      <c r="AD177" s="110">
        <f t="shared" si="95"/>
        <v>0.5</v>
      </c>
      <c r="AE177" s="110">
        <f t="shared" si="95"/>
        <v>0.5</v>
      </c>
      <c r="AF177" s="110">
        <f t="shared" si="95"/>
        <v>0.5</v>
      </c>
      <c r="AG177" s="110">
        <f t="shared" si="95"/>
        <v>0.5</v>
      </c>
      <c r="AI177" s="54"/>
      <c r="AJ177" s="211" t="s">
        <v>1457</v>
      </c>
    </row>
    <row r="178" spans="1:63" outlineLevel="1" x14ac:dyDescent="0.2">
      <c r="A178" t="s">
        <v>1445</v>
      </c>
      <c r="B178" s="54" t="s">
        <v>462</v>
      </c>
      <c r="C178" s="121">
        <f>1-C177</f>
        <v>0.5</v>
      </c>
      <c r="D178" s="110">
        <f t="shared" ref="D178:AG178" si="96">C178</f>
        <v>0.5</v>
      </c>
      <c r="E178" s="110">
        <f t="shared" si="96"/>
        <v>0.5</v>
      </c>
      <c r="F178" s="110">
        <f t="shared" si="96"/>
        <v>0.5</v>
      </c>
      <c r="G178" s="110">
        <f t="shared" si="96"/>
        <v>0.5</v>
      </c>
      <c r="H178" s="110">
        <f t="shared" si="96"/>
        <v>0.5</v>
      </c>
      <c r="I178" s="110">
        <f t="shared" si="96"/>
        <v>0.5</v>
      </c>
      <c r="J178" s="110">
        <f t="shared" si="96"/>
        <v>0.5</v>
      </c>
      <c r="K178" s="110">
        <f t="shared" si="96"/>
        <v>0.5</v>
      </c>
      <c r="L178" s="110">
        <f t="shared" si="96"/>
        <v>0.5</v>
      </c>
      <c r="M178" s="110">
        <f t="shared" si="96"/>
        <v>0.5</v>
      </c>
      <c r="N178" s="110">
        <f t="shared" si="96"/>
        <v>0.5</v>
      </c>
      <c r="O178" s="110">
        <f t="shared" si="96"/>
        <v>0.5</v>
      </c>
      <c r="P178" s="110">
        <f t="shared" si="96"/>
        <v>0.5</v>
      </c>
      <c r="Q178" s="110">
        <f t="shared" si="96"/>
        <v>0.5</v>
      </c>
      <c r="R178" s="110">
        <f t="shared" si="96"/>
        <v>0.5</v>
      </c>
      <c r="S178" s="110">
        <f t="shared" si="96"/>
        <v>0.5</v>
      </c>
      <c r="T178" s="110">
        <f t="shared" si="96"/>
        <v>0.5</v>
      </c>
      <c r="U178" s="110">
        <f t="shared" si="96"/>
        <v>0.5</v>
      </c>
      <c r="V178" s="110">
        <f t="shared" si="96"/>
        <v>0.5</v>
      </c>
      <c r="W178" s="110">
        <f t="shared" si="96"/>
        <v>0.5</v>
      </c>
      <c r="X178" s="110">
        <f t="shared" si="96"/>
        <v>0.5</v>
      </c>
      <c r="Y178" s="110">
        <f t="shared" si="96"/>
        <v>0.5</v>
      </c>
      <c r="Z178" s="110">
        <f t="shared" si="96"/>
        <v>0.5</v>
      </c>
      <c r="AA178" s="110">
        <f t="shared" si="96"/>
        <v>0.5</v>
      </c>
      <c r="AB178" s="110">
        <f t="shared" si="96"/>
        <v>0.5</v>
      </c>
      <c r="AC178" s="110">
        <f t="shared" si="96"/>
        <v>0.5</v>
      </c>
      <c r="AD178" s="110">
        <f t="shared" si="96"/>
        <v>0.5</v>
      </c>
      <c r="AE178" s="110">
        <f t="shared" si="96"/>
        <v>0.5</v>
      </c>
      <c r="AF178" s="110">
        <f t="shared" si="96"/>
        <v>0.5</v>
      </c>
      <c r="AG178" s="110">
        <f t="shared" si="96"/>
        <v>0.5</v>
      </c>
      <c r="AJ178" s="223"/>
    </row>
    <row r="179" spans="1:63" outlineLevel="1" x14ac:dyDescent="0.2">
      <c r="A179" t="s">
        <v>1268</v>
      </c>
      <c r="B179" s="54" t="s">
        <v>462</v>
      </c>
      <c r="C179" s="110">
        <f t="shared" ref="C179:AG179" si="97">SUM(C177:C178)</f>
        <v>1</v>
      </c>
      <c r="D179" s="110">
        <f t="shared" si="97"/>
        <v>1</v>
      </c>
      <c r="E179" s="110">
        <f t="shared" si="97"/>
        <v>1</v>
      </c>
      <c r="F179" s="110">
        <f t="shared" si="97"/>
        <v>1</v>
      </c>
      <c r="G179" s="110">
        <f t="shared" si="97"/>
        <v>1</v>
      </c>
      <c r="H179" s="110">
        <f t="shared" si="97"/>
        <v>1</v>
      </c>
      <c r="I179" s="110">
        <f t="shared" si="97"/>
        <v>1</v>
      </c>
      <c r="J179" s="110">
        <f t="shared" si="97"/>
        <v>1</v>
      </c>
      <c r="K179" s="110">
        <f t="shared" si="97"/>
        <v>1</v>
      </c>
      <c r="L179" s="110">
        <f t="shared" si="97"/>
        <v>1</v>
      </c>
      <c r="M179" s="110">
        <f t="shared" si="97"/>
        <v>1</v>
      </c>
      <c r="N179" s="110">
        <f t="shared" si="97"/>
        <v>1</v>
      </c>
      <c r="O179" s="110">
        <f t="shared" si="97"/>
        <v>1</v>
      </c>
      <c r="P179" s="110">
        <f t="shared" si="97"/>
        <v>1</v>
      </c>
      <c r="Q179" s="110">
        <f t="shared" si="97"/>
        <v>1</v>
      </c>
      <c r="R179" s="110">
        <f t="shared" si="97"/>
        <v>1</v>
      </c>
      <c r="S179" s="110">
        <f t="shared" si="97"/>
        <v>1</v>
      </c>
      <c r="T179" s="110">
        <f t="shared" si="97"/>
        <v>1</v>
      </c>
      <c r="U179" s="110">
        <f t="shared" si="97"/>
        <v>1</v>
      </c>
      <c r="V179" s="110">
        <f t="shared" si="97"/>
        <v>1</v>
      </c>
      <c r="W179" s="110">
        <f t="shared" si="97"/>
        <v>1</v>
      </c>
      <c r="X179" s="110">
        <f t="shared" si="97"/>
        <v>1</v>
      </c>
      <c r="Y179" s="110">
        <f t="shared" si="97"/>
        <v>1</v>
      </c>
      <c r="Z179" s="110">
        <f t="shared" si="97"/>
        <v>1</v>
      </c>
      <c r="AA179" s="110">
        <f t="shared" si="97"/>
        <v>1</v>
      </c>
      <c r="AB179" s="110">
        <f t="shared" si="97"/>
        <v>1</v>
      </c>
      <c r="AC179" s="110">
        <f t="shared" si="97"/>
        <v>1</v>
      </c>
      <c r="AD179" s="110">
        <f t="shared" si="97"/>
        <v>1</v>
      </c>
      <c r="AE179" s="110">
        <f t="shared" si="97"/>
        <v>1</v>
      </c>
      <c r="AF179" s="110">
        <f t="shared" si="97"/>
        <v>1</v>
      </c>
      <c r="AG179" s="110">
        <f t="shared" si="97"/>
        <v>1</v>
      </c>
      <c r="AH179" s="131"/>
      <c r="AI179" s="54"/>
      <c r="AJ179" s="223"/>
    </row>
    <row r="180" spans="1:63" outlineLevel="1" x14ac:dyDescent="0.2">
      <c r="C180" s="214"/>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31"/>
      <c r="AI180" s="131"/>
      <c r="AJ180" s="223"/>
    </row>
    <row r="181" spans="1:63" outlineLevel="1" x14ac:dyDescent="0.2">
      <c r="A181" t="s">
        <v>1345</v>
      </c>
      <c r="B181" s="54" t="s">
        <v>462</v>
      </c>
      <c r="C181" s="110">
        <f>C177*C175</f>
        <v>6.1749999999999999E-2</v>
      </c>
      <c r="D181" s="110">
        <f t="shared" ref="D181:AG181" si="98">D177*D175</f>
        <v>6.3834226643672679E-2</v>
      </c>
      <c r="E181" s="110">
        <f t="shared" si="98"/>
        <v>6.5871977299551743E-2</v>
      </c>
      <c r="F181" s="110">
        <f t="shared" si="98"/>
        <v>6.7863251967637192E-2</v>
      </c>
      <c r="G181" s="110">
        <f t="shared" si="98"/>
        <v>6.9808050647929012E-2</v>
      </c>
      <c r="H181" s="110">
        <f t="shared" si="98"/>
        <v>7.1706373340427218E-2</v>
      </c>
      <c r="I181" s="110">
        <f t="shared" si="98"/>
        <v>7.3558220045131822E-2</v>
      </c>
      <c r="J181" s="110">
        <f t="shared" si="98"/>
        <v>7.5363590762042812E-2</v>
      </c>
      <c r="K181" s="110">
        <f t="shared" si="98"/>
        <v>7.7122485491160159E-2</v>
      </c>
      <c r="L181" s="110">
        <f t="shared" si="98"/>
        <v>7.8834904232483904E-2</v>
      </c>
      <c r="M181" s="110">
        <f t="shared" si="98"/>
        <v>8.0500846986014035E-2</v>
      </c>
      <c r="N181" s="110">
        <f t="shared" si="98"/>
        <v>8.4771590101577185E-2</v>
      </c>
      <c r="O181" s="110">
        <f t="shared" si="98"/>
        <v>8.8944376135175293E-2</v>
      </c>
      <c r="P181" s="110">
        <f t="shared" si="98"/>
        <v>9.3019205086808429E-2</v>
      </c>
      <c r="Q181" s="110">
        <f t="shared" si="98"/>
        <v>9.6996076956476551E-2</v>
      </c>
      <c r="R181" s="110">
        <f t="shared" si="98"/>
        <v>0.10087499174417963</v>
      </c>
      <c r="S181" s="110">
        <f t="shared" si="98"/>
        <v>0.10465594944991773</v>
      </c>
      <c r="T181" s="110">
        <f t="shared" si="98"/>
        <v>0.10833895007369085</v>
      </c>
      <c r="U181" s="110">
        <f t="shared" si="98"/>
        <v>0.11192399361549893</v>
      </c>
      <c r="V181" s="110">
        <f t="shared" si="98"/>
        <v>0.11541108007534202</v>
      </c>
      <c r="W181" s="110">
        <f t="shared" si="98"/>
        <v>0.11880020945322008</v>
      </c>
      <c r="X181" s="110">
        <f t="shared" si="98"/>
        <v>0.12515773969398425</v>
      </c>
      <c r="Y181" s="110">
        <f t="shared" si="98"/>
        <v>0.13135136967117372</v>
      </c>
      <c r="Z181" s="110">
        <f t="shared" si="98"/>
        <v>0.13738109938478849</v>
      </c>
      <c r="AA181" s="110">
        <f t="shared" si="98"/>
        <v>0.14324692883482856</v>
      </c>
      <c r="AB181" s="110">
        <f t="shared" si="98"/>
        <v>0.1489488580212939</v>
      </c>
      <c r="AC181" s="110">
        <f t="shared" si="98"/>
        <v>0.15448688694418455</v>
      </c>
      <c r="AD181" s="110">
        <f t="shared" si="98"/>
        <v>0.15986101560350047</v>
      </c>
      <c r="AE181" s="110">
        <f t="shared" si="98"/>
        <v>0.16507124399924167</v>
      </c>
      <c r="AF181" s="110">
        <f t="shared" si="98"/>
        <v>0.17011757213140816</v>
      </c>
      <c r="AG181" s="110">
        <f t="shared" si="98"/>
        <v>0.17499999999999999</v>
      </c>
      <c r="AH181" s="131"/>
      <c r="AI181" s="131"/>
      <c r="AJ181" s="211"/>
    </row>
    <row r="182" spans="1:63" outlineLevel="1" x14ac:dyDescent="0.2">
      <c r="A182" t="s">
        <v>1346</v>
      </c>
      <c r="B182" s="54" t="s">
        <v>462</v>
      </c>
      <c r="C182" s="110">
        <f>C175*C178</f>
        <v>6.1749999999999999E-2</v>
      </c>
      <c r="D182" s="110">
        <f t="shared" ref="D182:AG182" si="99">D175*D178</f>
        <v>6.3834226643672679E-2</v>
      </c>
      <c r="E182" s="110">
        <f t="shared" si="99"/>
        <v>6.5871977299551743E-2</v>
      </c>
      <c r="F182" s="110">
        <f t="shared" si="99"/>
        <v>6.7863251967637192E-2</v>
      </c>
      <c r="G182" s="110">
        <f t="shared" si="99"/>
        <v>6.9808050647929012E-2</v>
      </c>
      <c r="H182" s="110">
        <f t="shared" si="99"/>
        <v>7.1706373340427218E-2</v>
      </c>
      <c r="I182" s="110">
        <f t="shared" si="99"/>
        <v>7.3558220045131822E-2</v>
      </c>
      <c r="J182" s="110">
        <f t="shared" si="99"/>
        <v>7.5363590762042812E-2</v>
      </c>
      <c r="K182" s="110">
        <f t="shared" si="99"/>
        <v>7.7122485491160159E-2</v>
      </c>
      <c r="L182" s="110">
        <f t="shared" si="99"/>
        <v>7.8834904232483904E-2</v>
      </c>
      <c r="M182" s="110">
        <f t="shared" si="99"/>
        <v>8.0500846986014035E-2</v>
      </c>
      <c r="N182" s="110">
        <f t="shared" si="99"/>
        <v>8.4771590101577185E-2</v>
      </c>
      <c r="O182" s="110">
        <f t="shared" si="99"/>
        <v>8.8944376135175293E-2</v>
      </c>
      <c r="P182" s="110">
        <f t="shared" si="99"/>
        <v>9.3019205086808429E-2</v>
      </c>
      <c r="Q182" s="110">
        <f t="shared" si="99"/>
        <v>9.6996076956476551E-2</v>
      </c>
      <c r="R182" s="110">
        <f t="shared" si="99"/>
        <v>0.10087499174417963</v>
      </c>
      <c r="S182" s="110">
        <f t="shared" si="99"/>
        <v>0.10465594944991773</v>
      </c>
      <c r="T182" s="110">
        <f t="shared" si="99"/>
        <v>0.10833895007369085</v>
      </c>
      <c r="U182" s="110">
        <f t="shared" si="99"/>
        <v>0.11192399361549893</v>
      </c>
      <c r="V182" s="110">
        <f t="shared" si="99"/>
        <v>0.11541108007534202</v>
      </c>
      <c r="W182" s="110">
        <f t="shared" si="99"/>
        <v>0.11880020945322008</v>
      </c>
      <c r="X182" s="110">
        <f t="shared" si="99"/>
        <v>0.12515773969398425</v>
      </c>
      <c r="Y182" s="110">
        <f t="shared" si="99"/>
        <v>0.13135136967117372</v>
      </c>
      <c r="Z182" s="110">
        <f t="shared" si="99"/>
        <v>0.13738109938478849</v>
      </c>
      <c r="AA182" s="110">
        <f t="shared" si="99"/>
        <v>0.14324692883482856</v>
      </c>
      <c r="AB182" s="110">
        <f t="shared" si="99"/>
        <v>0.1489488580212939</v>
      </c>
      <c r="AC182" s="110">
        <f t="shared" si="99"/>
        <v>0.15448688694418455</v>
      </c>
      <c r="AD182" s="110">
        <f t="shared" si="99"/>
        <v>0.15986101560350047</v>
      </c>
      <c r="AE182" s="110">
        <f t="shared" si="99"/>
        <v>0.16507124399924167</v>
      </c>
      <c r="AF182" s="110">
        <f t="shared" si="99"/>
        <v>0.17011757213140816</v>
      </c>
      <c r="AG182" s="110">
        <f t="shared" si="99"/>
        <v>0.17499999999999999</v>
      </c>
      <c r="AJ182" s="211"/>
    </row>
    <row r="183" spans="1:63" outlineLevel="1" x14ac:dyDescent="0.2">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J183" s="211"/>
    </row>
    <row r="184" spans="1:63" outlineLevel="1" x14ac:dyDescent="0.2">
      <c r="A184" t="s">
        <v>1553</v>
      </c>
      <c r="C184" s="230">
        <f>'Overall recycling rates'!E87</f>
        <v>0.99999999999999978</v>
      </c>
      <c r="D184" s="230">
        <f>C184-($C184-$AG184)/($AG$1-$C$1)</f>
        <v>0.99999999999999978</v>
      </c>
      <c r="E184" s="230">
        <f t="shared" ref="E184:AF184" si="100">D184-($C184-$AG184)/($AG$1-$C$1)</f>
        <v>0.99999999999999978</v>
      </c>
      <c r="F184" s="230">
        <f t="shared" si="100"/>
        <v>0.99999999999999978</v>
      </c>
      <c r="G184" s="230">
        <f t="shared" si="100"/>
        <v>0.99999999999999978</v>
      </c>
      <c r="H184" s="230">
        <f t="shared" si="100"/>
        <v>0.99999999999999978</v>
      </c>
      <c r="I184" s="230">
        <f t="shared" si="100"/>
        <v>0.99999999999999978</v>
      </c>
      <c r="J184" s="230">
        <f t="shared" si="100"/>
        <v>0.99999999999999978</v>
      </c>
      <c r="K184" s="230">
        <f t="shared" si="100"/>
        <v>0.99999999999999978</v>
      </c>
      <c r="L184" s="230">
        <f t="shared" si="100"/>
        <v>0.99999999999999978</v>
      </c>
      <c r="M184" s="230">
        <f t="shared" si="100"/>
        <v>0.99999999999999978</v>
      </c>
      <c r="N184" s="230">
        <f t="shared" si="100"/>
        <v>0.99999999999999978</v>
      </c>
      <c r="O184" s="230">
        <f t="shared" si="100"/>
        <v>0.99999999999999978</v>
      </c>
      <c r="P184" s="230">
        <f t="shared" si="100"/>
        <v>0.99999999999999978</v>
      </c>
      <c r="Q184" s="230">
        <f t="shared" si="100"/>
        <v>0.99999999999999978</v>
      </c>
      <c r="R184" s="230">
        <f t="shared" si="100"/>
        <v>0.99999999999999978</v>
      </c>
      <c r="S184" s="230">
        <f t="shared" si="100"/>
        <v>0.99999999999999978</v>
      </c>
      <c r="T184" s="230">
        <f t="shared" si="100"/>
        <v>0.99999999999999978</v>
      </c>
      <c r="U184" s="230">
        <f t="shared" si="100"/>
        <v>0.99999999999999978</v>
      </c>
      <c r="V184" s="230">
        <f t="shared" si="100"/>
        <v>0.99999999999999978</v>
      </c>
      <c r="W184" s="230">
        <f t="shared" si="100"/>
        <v>0.99999999999999978</v>
      </c>
      <c r="X184" s="230">
        <f t="shared" si="100"/>
        <v>0.99999999999999978</v>
      </c>
      <c r="Y184" s="230">
        <f t="shared" si="100"/>
        <v>0.99999999999999978</v>
      </c>
      <c r="Z184" s="230">
        <f t="shared" si="100"/>
        <v>0.99999999999999978</v>
      </c>
      <c r="AA184" s="230">
        <f t="shared" si="100"/>
        <v>0.99999999999999978</v>
      </c>
      <c r="AB184" s="230">
        <f t="shared" si="100"/>
        <v>0.99999999999999978</v>
      </c>
      <c r="AC184" s="230">
        <f t="shared" si="100"/>
        <v>0.99999999999999978</v>
      </c>
      <c r="AD184" s="230">
        <f t="shared" si="100"/>
        <v>0.99999999999999978</v>
      </c>
      <c r="AE184" s="230">
        <f t="shared" si="100"/>
        <v>0.99999999999999978</v>
      </c>
      <c r="AF184" s="230">
        <f t="shared" si="100"/>
        <v>0.99999999999999978</v>
      </c>
      <c r="AG184" s="230">
        <f>'Overall recycling rates'!E96</f>
        <v>1</v>
      </c>
      <c r="AI184" s="133"/>
      <c r="AJ184" s="211" t="s">
        <v>1571</v>
      </c>
      <c r="AL184" s="108"/>
      <c r="AM184" s="207"/>
      <c r="AN184" s="207"/>
      <c r="AO184" s="207"/>
      <c r="BC184" s="1"/>
      <c r="BD184" s="207"/>
      <c r="BE184" s="207"/>
      <c r="BF184" s="207"/>
      <c r="BG184" s="207"/>
      <c r="BH184" s="207"/>
      <c r="BI184" s="207"/>
      <c r="BJ184" s="207"/>
      <c r="BK184" s="207"/>
    </row>
    <row r="185" spans="1:63" outlineLevel="1" x14ac:dyDescent="0.2">
      <c r="A185" t="s">
        <v>1572</v>
      </c>
      <c r="B185" s="54" t="s">
        <v>462</v>
      </c>
      <c r="C185" s="110">
        <f t="shared" ref="C185:AG185" si="101">C174*C$184</f>
        <v>6.4999999999999988E-3</v>
      </c>
      <c r="D185" s="110">
        <f t="shared" si="101"/>
        <v>7.9086652478886493E-3</v>
      </c>
      <c r="E185" s="110">
        <f t="shared" si="101"/>
        <v>9.4102824713645315E-3</v>
      </c>
      <c r="F185" s="110">
        <f t="shared" si="101"/>
        <v>1.100485167042765E-2</v>
      </c>
      <c r="G185" s="110">
        <f t="shared" si="101"/>
        <v>1.2692372845077999E-2</v>
      </c>
      <c r="H185" s="110">
        <f t="shared" si="101"/>
        <v>1.4472845995315581E-2</v>
      </c>
      <c r="I185" s="110">
        <f t="shared" si="101"/>
        <v>1.6346271121140399E-2</v>
      </c>
      <c r="J185" s="110">
        <f t="shared" si="101"/>
        <v>1.8312648222552453E-2</v>
      </c>
      <c r="K185" s="110">
        <f t="shared" si="101"/>
        <v>2.0371977299551737E-2</v>
      </c>
      <c r="L185" s="110">
        <f t="shared" si="101"/>
        <v>2.2524258352138251E-2</v>
      </c>
      <c r="M185" s="110">
        <f t="shared" si="101"/>
        <v>2.4769491380312002E-2</v>
      </c>
      <c r="N185" s="110">
        <f t="shared" si="101"/>
        <v>2.7982854984986632E-2</v>
      </c>
      <c r="O185" s="110">
        <f t="shared" si="101"/>
        <v>3.1392132753591276E-2</v>
      </c>
      <c r="P185" s="110">
        <f t="shared" si="101"/>
        <v>3.499732468612593E-2</v>
      </c>
      <c r="Q185" s="110">
        <f t="shared" si="101"/>
        <v>3.8798430782590605E-2</v>
      </c>
      <c r="R185" s="110">
        <f t="shared" si="101"/>
        <v>4.2795451042985294E-2</v>
      </c>
      <c r="S185" s="110">
        <f t="shared" si="101"/>
        <v>4.6988385467309983E-2</v>
      </c>
      <c r="T185" s="110">
        <f t="shared" si="101"/>
        <v>5.1377234055564713E-2</v>
      </c>
      <c r="U185" s="110">
        <f t="shared" si="101"/>
        <v>5.5961996807749444E-2</v>
      </c>
      <c r="V185" s="110">
        <f t="shared" si="101"/>
        <v>6.0742673723864195E-2</v>
      </c>
      <c r="W185" s="110">
        <f t="shared" si="101"/>
        <v>6.5719264803908953E-2</v>
      </c>
      <c r="X185" s="110">
        <f t="shared" si="101"/>
        <v>7.2672235951345671E-2</v>
      </c>
      <c r="Y185" s="110">
        <f t="shared" si="101"/>
        <v>7.9953007625931813E-2</v>
      </c>
      <c r="Z185" s="110">
        <f t="shared" si="101"/>
        <v>8.756157982766738E-2</v>
      </c>
      <c r="AA185" s="110">
        <f t="shared" si="101"/>
        <v>9.5497952556552329E-2</v>
      </c>
      <c r="AB185" s="110">
        <f t="shared" si="101"/>
        <v>0.10376212581258672</v>
      </c>
      <c r="AC185" s="110">
        <f t="shared" si="101"/>
        <v>0.11235409959577054</v>
      </c>
      <c r="AD185" s="110">
        <f t="shared" si="101"/>
        <v>0.12127387390610378</v>
      </c>
      <c r="AE185" s="110">
        <f t="shared" si="101"/>
        <v>0.13052144874358645</v>
      </c>
      <c r="AF185" s="110">
        <f t="shared" si="101"/>
        <v>0.1400968241082185</v>
      </c>
      <c r="AG185" s="110">
        <f t="shared" si="101"/>
        <v>0.15</v>
      </c>
      <c r="AI185" s="133"/>
      <c r="AJ185"/>
      <c r="AL185" s="108"/>
      <c r="AM185" s="2"/>
      <c r="AN185" s="2"/>
      <c r="AO185" s="2"/>
      <c r="AV185" s="41"/>
    </row>
    <row r="186" spans="1:63" outlineLevel="1" x14ac:dyDescent="0.2">
      <c r="A186" t="s">
        <v>1573</v>
      </c>
      <c r="B186" s="54" t="s">
        <v>462</v>
      </c>
      <c r="C186" s="110">
        <f t="shared" ref="C186:AG186" si="102">C175*C$184</f>
        <v>0.12349999999999997</v>
      </c>
      <c r="D186" s="110">
        <f t="shared" si="102"/>
        <v>0.12766845328734533</v>
      </c>
      <c r="E186" s="110">
        <f t="shared" si="102"/>
        <v>0.13174395459910346</v>
      </c>
      <c r="F186" s="110">
        <f t="shared" si="102"/>
        <v>0.13572650393527436</v>
      </c>
      <c r="G186" s="110">
        <f t="shared" si="102"/>
        <v>0.139616101295858</v>
      </c>
      <c r="H186" s="110">
        <f t="shared" si="102"/>
        <v>0.14341274668085441</v>
      </c>
      <c r="I186" s="110">
        <f t="shared" si="102"/>
        <v>0.14711644009026362</v>
      </c>
      <c r="J186" s="110">
        <f t="shared" si="102"/>
        <v>0.1507271815240856</v>
      </c>
      <c r="K186" s="110">
        <f t="shared" si="102"/>
        <v>0.15424497098232029</v>
      </c>
      <c r="L186" s="110">
        <f t="shared" si="102"/>
        <v>0.15766980846496778</v>
      </c>
      <c r="M186" s="110">
        <f t="shared" si="102"/>
        <v>0.16100169397202804</v>
      </c>
      <c r="N186" s="110">
        <f t="shared" si="102"/>
        <v>0.16954318020315434</v>
      </c>
      <c r="O186" s="110">
        <f t="shared" si="102"/>
        <v>0.17788875227035056</v>
      </c>
      <c r="P186" s="110">
        <f t="shared" si="102"/>
        <v>0.18603841017361683</v>
      </c>
      <c r="Q186" s="110">
        <f t="shared" si="102"/>
        <v>0.19399215391295305</v>
      </c>
      <c r="R186" s="110">
        <f t="shared" si="102"/>
        <v>0.20174998348835921</v>
      </c>
      <c r="S186" s="110">
        <f t="shared" si="102"/>
        <v>0.2093118988998354</v>
      </c>
      <c r="T186" s="110">
        <f t="shared" si="102"/>
        <v>0.21667790014738164</v>
      </c>
      <c r="U186" s="110">
        <f t="shared" si="102"/>
        <v>0.2238479872309978</v>
      </c>
      <c r="V186" s="110">
        <f t="shared" si="102"/>
        <v>0.23082216015068399</v>
      </c>
      <c r="W186" s="110">
        <f t="shared" si="102"/>
        <v>0.2376004189064401</v>
      </c>
      <c r="X186" s="110">
        <f t="shared" si="102"/>
        <v>0.25031547938796844</v>
      </c>
      <c r="Y186" s="110">
        <f t="shared" si="102"/>
        <v>0.26270273934234739</v>
      </c>
      <c r="Z186" s="110">
        <f t="shared" si="102"/>
        <v>0.27476219876957692</v>
      </c>
      <c r="AA186" s="110">
        <f t="shared" si="102"/>
        <v>0.28649385766965707</v>
      </c>
      <c r="AB186" s="110">
        <f t="shared" si="102"/>
        <v>0.29789771604258775</v>
      </c>
      <c r="AC186" s="110">
        <f t="shared" si="102"/>
        <v>0.30897377388836905</v>
      </c>
      <c r="AD186" s="110">
        <f t="shared" si="102"/>
        <v>0.31972203120700088</v>
      </c>
      <c r="AE186" s="110">
        <f t="shared" si="102"/>
        <v>0.33014248799848328</v>
      </c>
      <c r="AF186" s="110">
        <f t="shared" si="102"/>
        <v>0.34023514426281626</v>
      </c>
      <c r="AG186" s="110">
        <f t="shared" si="102"/>
        <v>0.35</v>
      </c>
      <c r="AH186" s="245"/>
      <c r="AI186" s="133"/>
      <c r="AJ186" s="211"/>
      <c r="AL186" s="108"/>
      <c r="AM186" s="2"/>
      <c r="AN186" s="2"/>
      <c r="AO186" s="2"/>
      <c r="AV186" s="41"/>
    </row>
    <row r="187" spans="1:63" outlineLevel="1" x14ac:dyDescent="0.2">
      <c r="A187" t="s">
        <v>1574</v>
      </c>
      <c r="B187" s="176" t="s">
        <v>462</v>
      </c>
      <c r="C187" s="110">
        <f>SUM(C185:C186)</f>
        <v>0.12999999999999998</v>
      </c>
      <c r="D187" s="110">
        <f t="shared" ref="D187:AG187" si="103">SUM(D185:D186)</f>
        <v>0.13557711853523396</v>
      </c>
      <c r="E187" s="110">
        <f t="shared" si="103"/>
        <v>0.14115423707046798</v>
      </c>
      <c r="F187" s="110">
        <f t="shared" si="103"/>
        <v>0.146731355605702</v>
      </c>
      <c r="G187" s="110">
        <f t="shared" si="103"/>
        <v>0.15230847414093598</v>
      </c>
      <c r="H187" s="110">
        <f t="shared" si="103"/>
        <v>0.15788559267617</v>
      </c>
      <c r="I187" s="110">
        <f t="shared" si="103"/>
        <v>0.16346271121140402</v>
      </c>
      <c r="J187" s="110">
        <f t="shared" si="103"/>
        <v>0.16903982974663806</v>
      </c>
      <c r="K187" s="110">
        <f t="shared" si="103"/>
        <v>0.17461694828187202</v>
      </c>
      <c r="L187" s="110">
        <f t="shared" si="103"/>
        <v>0.18019406681710604</v>
      </c>
      <c r="M187" s="110">
        <f t="shared" si="103"/>
        <v>0.18577118535234005</v>
      </c>
      <c r="N187" s="110">
        <f t="shared" si="103"/>
        <v>0.19752603518814096</v>
      </c>
      <c r="O187" s="110">
        <f t="shared" si="103"/>
        <v>0.20928088502394182</v>
      </c>
      <c r="P187" s="110">
        <f t="shared" si="103"/>
        <v>0.22103573485974276</v>
      </c>
      <c r="Q187" s="110">
        <f t="shared" si="103"/>
        <v>0.23279058469554365</v>
      </c>
      <c r="R187" s="110">
        <f t="shared" si="103"/>
        <v>0.2445454345313445</v>
      </c>
      <c r="S187" s="110">
        <f t="shared" si="103"/>
        <v>0.25630028436714536</v>
      </c>
      <c r="T187" s="110">
        <f t="shared" si="103"/>
        <v>0.26805513420294635</v>
      </c>
      <c r="U187" s="110">
        <f t="shared" si="103"/>
        <v>0.27980998403874724</v>
      </c>
      <c r="V187" s="110">
        <f t="shared" si="103"/>
        <v>0.29156483387454818</v>
      </c>
      <c r="W187" s="110">
        <f t="shared" si="103"/>
        <v>0.30331968371034906</v>
      </c>
      <c r="X187" s="110">
        <f t="shared" si="103"/>
        <v>0.32298771533931414</v>
      </c>
      <c r="Y187" s="110">
        <f t="shared" si="103"/>
        <v>0.34265574696827922</v>
      </c>
      <c r="Z187" s="110">
        <f t="shared" si="103"/>
        <v>0.36232377859724429</v>
      </c>
      <c r="AA187" s="110">
        <f t="shared" si="103"/>
        <v>0.38199181022620943</v>
      </c>
      <c r="AB187" s="110">
        <f t="shared" si="103"/>
        <v>0.40165984185517445</v>
      </c>
      <c r="AC187" s="110">
        <f t="shared" si="103"/>
        <v>0.42132787348413958</v>
      </c>
      <c r="AD187" s="110">
        <f t="shared" si="103"/>
        <v>0.44099590511310466</v>
      </c>
      <c r="AE187" s="110">
        <f t="shared" si="103"/>
        <v>0.46066393674206974</v>
      </c>
      <c r="AF187" s="110">
        <f t="shared" si="103"/>
        <v>0.48033196837103476</v>
      </c>
      <c r="AG187" s="110">
        <f t="shared" si="103"/>
        <v>0.5</v>
      </c>
      <c r="AI187" s="133"/>
      <c r="AJ187" s="211"/>
      <c r="AL187" s="108"/>
      <c r="AM187" s="2"/>
      <c r="AN187" s="2"/>
      <c r="AO187" s="2"/>
    </row>
    <row r="188" spans="1:63" outlineLevel="1" x14ac:dyDescent="0.2">
      <c r="A188" t="s">
        <v>1580</v>
      </c>
      <c r="B188" s="54" t="s">
        <v>462</v>
      </c>
      <c r="C188" s="110">
        <f>C177*C186</f>
        <v>6.1749999999999985E-2</v>
      </c>
      <c r="D188" s="110">
        <f t="shared" ref="D188:AG188" si="104">D174*D186</f>
        <v>1.0096870597653235E-3</v>
      </c>
      <c r="E188" s="110">
        <f t="shared" si="104"/>
        <v>1.2397478266721882E-3</v>
      </c>
      <c r="F188" s="110">
        <f t="shared" si="104"/>
        <v>1.4936500435534094E-3</v>
      </c>
      <c r="G188" s="110">
        <f t="shared" si="104"/>
        <v>1.7720596128232079E-3</v>
      </c>
      <c r="H188" s="110">
        <f t="shared" si="104"/>
        <v>2.0755905964772122E-3</v>
      </c>
      <c r="I188" s="110">
        <f t="shared" si="104"/>
        <v>2.4048052160924585E-3</v>
      </c>
      <c r="J188" s="110">
        <f t="shared" si="104"/>
        <v>2.7602138528273873E-3</v>
      </c>
      <c r="K188" s="110">
        <f t="shared" si="104"/>
        <v>3.1422750474218459E-3</v>
      </c>
      <c r="L188" s="110">
        <f t="shared" si="104"/>
        <v>3.5513955001970892E-3</v>
      </c>
      <c r="M188" s="110">
        <f t="shared" si="104"/>
        <v>3.9879300710557808E-3</v>
      </c>
      <c r="N188" s="110">
        <f t="shared" si="104"/>
        <v>4.7443022253183254E-3</v>
      </c>
      <c r="O188" s="110">
        <f t="shared" si="104"/>
        <v>5.5843073266415577E-3</v>
      </c>
      <c r="P188" s="110">
        <f t="shared" si="104"/>
        <v>6.5108466449367427E-3</v>
      </c>
      <c r="Q188" s="110">
        <f t="shared" si="104"/>
        <v>7.5265911559573738E-3</v>
      </c>
      <c r="R188" s="110">
        <f t="shared" si="104"/>
        <v>8.6339815412991693E-3</v>
      </c>
      <c r="S188" s="110">
        <f t="shared" si="104"/>
        <v>9.8352281884000851E-3</v>
      </c>
      <c r="T188" s="110">
        <f t="shared" si="104"/>
        <v>1.113231119054031E-2</v>
      </c>
      <c r="U188" s="110">
        <f t="shared" si="104"/>
        <v>1.2526980346842241E-2</v>
      </c>
      <c r="V188" s="110">
        <f t="shared" si="104"/>
        <v>1.4020755162270528E-2</v>
      </c>
      <c r="W188" s="110">
        <f t="shared" si="104"/>
        <v>1.5614924847632035E-2</v>
      </c>
      <c r="X188" s="110">
        <f t="shared" si="104"/>
        <v>1.8190985580356651E-2</v>
      </c>
      <c r="Y188" s="110">
        <f t="shared" si="104"/>
        <v>2.1003874121991881E-2</v>
      </c>
      <c r="Z188" s="110">
        <f t="shared" si="104"/>
        <v>2.4058612201187726E-2</v>
      </c>
      <c r="AA188" s="110">
        <f t="shared" si="104"/>
        <v>2.7359576827480574E-2</v>
      </c>
      <c r="AB188" s="110">
        <f t="shared" si="104"/>
        <v>3.091050029129323E-2</v>
      </c>
      <c r="AC188" s="110">
        <f t="shared" si="104"/>
        <v>3.4714470163934912E-2</v>
      </c>
      <c r="AD188" s="110">
        <f t="shared" si="104"/>
        <v>3.8773929297601213E-2</v>
      </c>
      <c r="AE188" s="110">
        <f t="shared" si="104"/>
        <v>4.3090675825374153E-2</v>
      </c>
      <c r="AF188" s="110">
        <f t="shared" si="104"/>
        <v>4.7665863161222122E-2</v>
      </c>
      <c r="AG188" s="110">
        <f t="shared" si="104"/>
        <v>5.2499999999999998E-2</v>
      </c>
      <c r="AI188" s="133"/>
      <c r="AJ188" s="211"/>
      <c r="BD188" s="203"/>
      <c r="BE188" s="203"/>
    </row>
    <row r="189" spans="1:63" outlineLevel="1" x14ac:dyDescent="0.2">
      <c r="A189" t="s">
        <v>1581</v>
      </c>
      <c r="B189" s="54" t="s">
        <v>462</v>
      </c>
      <c r="C189" s="110">
        <f>C178*C186</f>
        <v>6.1749999999999985E-2</v>
      </c>
      <c r="D189" s="110">
        <f t="shared" ref="D189:AG189" si="105">D176*D186</f>
        <v>0</v>
      </c>
      <c r="E189" s="110">
        <f t="shared" si="105"/>
        <v>0</v>
      </c>
      <c r="F189" s="110">
        <f t="shared" si="105"/>
        <v>0</v>
      </c>
      <c r="G189" s="110">
        <f t="shared" si="105"/>
        <v>0</v>
      </c>
      <c r="H189" s="110">
        <f t="shared" si="105"/>
        <v>0</v>
      </c>
      <c r="I189" s="110">
        <f t="shared" si="105"/>
        <v>0</v>
      </c>
      <c r="J189" s="110">
        <f t="shared" si="105"/>
        <v>0</v>
      </c>
      <c r="K189" s="110">
        <f t="shared" si="105"/>
        <v>0</v>
      </c>
      <c r="L189" s="110">
        <f t="shared" si="105"/>
        <v>0</v>
      </c>
      <c r="M189" s="110">
        <f t="shared" si="105"/>
        <v>0</v>
      </c>
      <c r="N189" s="110">
        <f t="shared" si="105"/>
        <v>0</v>
      </c>
      <c r="O189" s="110">
        <f t="shared" si="105"/>
        <v>0</v>
      </c>
      <c r="P189" s="110">
        <f t="shared" si="105"/>
        <v>0</v>
      </c>
      <c r="Q189" s="110">
        <f t="shared" si="105"/>
        <v>0</v>
      </c>
      <c r="R189" s="110">
        <f t="shared" si="105"/>
        <v>0</v>
      </c>
      <c r="S189" s="110">
        <f t="shared" si="105"/>
        <v>0</v>
      </c>
      <c r="T189" s="110">
        <f t="shared" si="105"/>
        <v>0</v>
      </c>
      <c r="U189" s="110">
        <f t="shared" si="105"/>
        <v>0</v>
      </c>
      <c r="V189" s="110">
        <f t="shared" si="105"/>
        <v>0</v>
      </c>
      <c r="W189" s="110">
        <f t="shared" si="105"/>
        <v>0</v>
      </c>
      <c r="X189" s="110">
        <f t="shared" si="105"/>
        <v>0</v>
      </c>
      <c r="Y189" s="110">
        <f t="shared" si="105"/>
        <v>0</v>
      </c>
      <c r="Z189" s="110">
        <f t="shared" si="105"/>
        <v>0</v>
      </c>
      <c r="AA189" s="110">
        <f t="shared" si="105"/>
        <v>0</v>
      </c>
      <c r="AB189" s="110">
        <f t="shared" si="105"/>
        <v>0</v>
      </c>
      <c r="AC189" s="110">
        <f t="shared" si="105"/>
        <v>0</v>
      </c>
      <c r="AD189" s="110">
        <f t="shared" si="105"/>
        <v>0</v>
      </c>
      <c r="AE189" s="110">
        <f t="shared" si="105"/>
        <v>0</v>
      </c>
      <c r="AF189" s="110">
        <f t="shared" si="105"/>
        <v>0</v>
      </c>
      <c r="AG189" s="110">
        <f t="shared" si="105"/>
        <v>0</v>
      </c>
      <c r="AI189" s="134"/>
      <c r="AJ189" s="211"/>
      <c r="BC189" s="1"/>
      <c r="BD189" s="41"/>
      <c r="BF189" s="6"/>
      <c r="BG189" s="6"/>
      <c r="BH189" s="6"/>
      <c r="BI189" s="6"/>
      <c r="BJ189" s="6"/>
    </row>
    <row r="190" spans="1:63" outlineLevel="1" x14ac:dyDescent="0.2">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I190" s="134"/>
      <c r="AJ190" s="211"/>
      <c r="BC190" s="1"/>
      <c r="BD190" s="41"/>
      <c r="BF190" s="6"/>
      <c r="BG190" s="6"/>
      <c r="BH190" s="6"/>
      <c r="BI190" s="6"/>
      <c r="BJ190" s="6"/>
    </row>
    <row r="191" spans="1:63" s="1" customFormat="1" outlineLevel="1" x14ac:dyDescent="0.2">
      <c r="A191" s="1" t="s">
        <v>228</v>
      </c>
      <c r="B191" s="65"/>
      <c r="C191" s="300">
        <f>C185*C45</f>
        <v>2.1820102605973023E-2</v>
      </c>
      <c r="D191" s="300">
        <f t="shared" ref="D191:AG191" si="106">D185*D45</f>
        <v>2.7438864853883818E-2</v>
      </c>
      <c r="E191" s="300">
        <f t="shared" si="106"/>
        <v>3.3654904308572306E-2</v>
      </c>
      <c r="F191" s="300">
        <f t="shared" si="106"/>
        <v>4.046472893419778E-2</v>
      </c>
      <c r="G191" s="300">
        <f t="shared" si="106"/>
        <v>4.7857141551787732E-2</v>
      </c>
      <c r="H191" s="300">
        <f t="shared" si="106"/>
        <v>5.5812938066733611E-2</v>
      </c>
      <c r="I191" s="300">
        <f t="shared" si="106"/>
        <v>6.344781727406161E-2</v>
      </c>
      <c r="J191" s="300">
        <f t="shared" si="106"/>
        <v>7.1492624675810912E-2</v>
      </c>
      <c r="K191" s="300">
        <f t="shared" si="106"/>
        <v>7.9936798137387535E-2</v>
      </c>
      <c r="L191" s="300">
        <f t="shared" si="106"/>
        <v>8.8767720859137991E-2</v>
      </c>
      <c r="M191" s="300">
        <f t="shared" si="106"/>
        <v>9.7970688883810234E-2</v>
      </c>
      <c r="N191" s="300">
        <f t="shared" si="106"/>
        <v>0.1108416668634887</v>
      </c>
      <c r="O191" s="300">
        <f t="shared" si="106"/>
        <v>0.12425543095498809</v>
      </c>
      <c r="P191" s="300">
        <f t="shared" si="106"/>
        <v>0.13812058722391446</v>
      </c>
      <c r="Q191" s="300">
        <f t="shared" si="106"/>
        <v>0.15233716995795715</v>
      </c>
      <c r="R191" s="300">
        <f t="shared" si="106"/>
        <v>0.16679768826520894</v>
      </c>
      <c r="S191" s="300">
        <f t="shared" si="106"/>
        <v>0.18271120649694517</v>
      </c>
      <c r="T191" s="300">
        <f t="shared" si="106"/>
        <v>0.19925350461331448</v>
      </c>
      <c r="U191" s="300">
        <f t="shared" si="106"/>
        <v>0.21640404435581545</v>
      </c>
      <c r="V191" s="300">
        <f t="shared" si="106"/>
        <v>0.23414087904138764</v>
      </c>
      <c r="W191" s="300">
        <f t="shared" si="106"/>
        <v>0.25244064531528976</v>
      </c>
      <c r="X191" s="300">
        <f t="shared" si="106"/>
        <v>0.27809485336430478</v>
      </c>
      <c r="Y191" s="300">
        <f t="shared" si="106"/>
        <v>0.30471183932065465</v>
      </c>
      <c r="Z191" s="300">
        <f t="shared" si="106"/>
        <v>0.33225231064941974</v>
      </c>
      <c r="AA191" s="300">
        <f t="shared" si="106"/>
        <v>0.3606746600694723</v>
      </c>
      <c r="AB191" s="300">
        <f t="shared" si="106"/>
        <v>0.38993495513433818</v>
      </c>
      <c r="AC191" s="300">
        <f t="shared" si="106"/>
        <v>0.41868855838080365</v>
      </c>
      <c r="AD191" s="300">
        <f t="shared" si="106"/>
        <v>0.44795640950689597</v>
      </c>
      <c r="AE191" s="300">
        <f t="shared" si="106"/>
        <v>0.47767092949646889</v>
      </c>
      <c r="AF191" s="300">
        <f t="shared" si="106"/>
        <v>0.50776180597284604</v>
      </c>
      <c r="AG191" s="300">
        <f t="shared" si="106"/>
        <v>0.53815599294494665</v>
      </c>
      <c r="AH191" s="245"/>
      <c r="AI191" s="423"/>
      <c r="AJ191" s="424"/>
      <c r="AL191" s="221"/>
      <c r="AM191" s="124"/>
      <c r="AN191" s="124"/>
      <c r="AO191" s="124"/>
      <c r="BD191" s="124"/>
      <c r="BE191" s="124"/>
      <c r="BF191" s="124"/>
      <c r="BG191" s="124"/>
      <c r="BH191" s="124"/>
      <c r="BI191" s="124"/>
      <c r="BJ191" s="124"/>
      <c r="BK191" s="124"/>
    </row>
    <row r="192" spans="1:63" outlineLevel="1" x14ac:dyDescent="0.2">
      <c r="A192" s="4" t="s">
        <v>474</v>
      </c>
      <c r="C192" s="230">
        <f>C$191*'Methanol recycling rates'!E60</f>
        <v>7.8930651746296609E-3</v>
      </c>
      <c r="D192" s="230">
        <f>D$191*'Methanol recycling rates'!F60</f>
        <v>9.9255605035640185E-3</v>
      </c>
      <c r="E192" s="230">
        <f>E$191*'Methanol recycling rates'!G60</f>
        <v>1.2174111091520237E-2</v>
      </c>
      <c r="F192" s="230">
        <f>F$191*'Methanol recycling rates'!H60</f>
        <v>1.4637453751657238E-2</v>
      </c>
      <c r="G192" s="230">
        <f>G$191*'Methanol recycling rates'!I60</f>
        <v>1.7311538087650222E-2</v>
      </c>
      <c r="H192" s="230">
        <f>H$191*'Methanol recycling rates'!J60</f>
        <v>2.0189417332423788E-2</v>
      </c>
      <c r="I192" s="230">
        <f>I$191*'Methanol recycling rates'!K60</f>
        <v>2.2951209990876662E-2</v>
      </c>
      <c r="J192" s="230">
        <f>J$191*'Methanol recycling rates'!L60</f>
        <v>2.5861287467871127E-2</v>
      </c>
      <c r="K192" s="230">
        <f>K$191*'Methanol recycling rates'!M60</f>
        <v>2.8915829083997972E-2</v>
      </c>
      <c r="L192" s="230">
        <f>L$191*'Methanol recycling rates'!N60</f>
        <v>3.2110270918373852E-2</v>
      </c>
      <c r="M192" s="230">
        <f>M$191*'Methanol recycling rates'!O60</f>
        <v>3.5439294054996795E-2</v>
      </c>
      <c r="N192" s="230">
        <f>N$191*'Methanol recycling rates'!P60</f>
        <v>4.0095159789881825E-2</v>
      </c>
      <c r="O192" s="230">
        <f>O$191*'Methanol recycling rates'!Q60</f>
        <v>4.4947369521578011E-2</v>
      </c>
      <c r="P192" s="230">
        <f>P$191*'Methanol recycling rates'!R60</f>
        <v>4.996286298938156E-2</v>
      </c>
      <c r="Q192" s="230">
        <f>Q$191*'Methanol recycling rates'!S60</f>
        <v>5.5105479232148299E-2</v>
      </c>
      <c r="R192" s="230">
        <f>R$191*'Methanol recycling rates'!T60</f>
        <v>6.0336335178115284E-2</v>
      </c>
      <c r="S192" s="230">
        <f>S$191*'Methanol recycling rates'!U60</f>
        <v>6.6092790077936336E-2</v>
      </c>
      <c r="T192" s="230">
        <f>T$191*'Methanol recycling rates'!V60</f>
        <v>7.2076695815158409E-2</v>
      </c>
      <c r="U192" s="230">
        <f>U$191*'Methanol recycling rates'!W60</f>
        <v>7.8280623010742734E-2</v>
      </c>
      <c r="V192" s="230">
        <f>V$191*'Methanol recycling rates'!X60</f>
        <v>8.4696632811105926E-2</v>
      </c>
      <c r="W192" s="230">
        <f>W$191*'Methanol recycling rates'!Y60</f>
        <v>9.1316273904858622E-2</v>
      </c>
      <c r="X192" s="230">
        <f>X$191*'Methanol recycling rates'!Z60</f>
        <v>0.10059626400348239</v>
      </c>
      <c r="Y192" s="230">
        <f>Y$191*'Methanol recycling rates'!AA60</f>
        <v>0.11022452326052924</v>
      </c>
      <c r="Z192" s="230">
        <f>Z$191*'Methanol recycling rates'!AB60</f>
        <v>0.12018683824425701</v>
      </c>
      <c r="AA192" s="230">
        <f>AA$191*'Methanol recycling rates'!AC60</f>
        <v>0.13046815820134841</v>
      </c>
      <c r="AB192" s="230">
        <f>AB$191*'Methanol recycling rates'!AD60</f>
        <v>0.14105259128795819</v>
      </c>
      <c r="AC192" s="230">
        <f>AC$191*'Methanol recycling rates'!AE60</f>
        <v>0.15145373689795494</v>
      </c>
      <c r="AD192" s="230">
        <f>AD$191*'Methanol recycling rates'!AF60</f>
        <v>0.1620409032661079</v>
      </c>
      <c r="AE192" s="230">
        <f>AE$191*'Methanol recycling rates'!AG60</f>
        <v>0.17278964478881426</v>
      </c>
      <c r="AF192" s="230">
        <f>AF$191*'Methanol recycling rates'!AH60</f>
        <v>0.18367452711401283</v>
      </c>
      <c r="AG192" s="230">
        <f>AG$191*'Methanol recycling rates'!AI60</f>
        <v>0.19466912704934947</v>
      </c>
      <c r="AH192" s="245"/>
      <c r="AI192" s="133"/>
      <c r="AJ192" s="211"/>
      <c r="AL192" s="108"/>
      <c r="AM192" s="2"/>
      <c r="AN192" s="2"/>
      <c r="AO192" s="2"/>
      <c r="BC192" s="1"/>
      <c r="BD192" s="2"/>
      <c r="BE192" s="2"/>
      <c r="BF192" s="2"/>
      <c r="BG192" s="2"/>
      <c r="BH192" s="2"/>
      <c r="BI192" s="2"/>
      <c r="BJ192" s="2"/>
      <c r="BK192" s="2"/>
    </row>
    <row r="193" spans="1:63" outlineLevel="1" x14ac:dyDescent="0.2">
      <c r="A193" s="4" t="s">
        <v>745</v>
      </c>
      <c r="C193" s="230">
        <f>C$191*'Methanol recycling rates'!E61</f>
        <v>0</v>
      </c>
      <c r="D193" s="230">
        <f>D$191*'Methanol recycling rates'!F61</f>
        <v>0</v>
      </c>
      <c r="E193" s="230">
        <f>E$191*'Methanol recycling rates'!G61</f>
        <v>0</v>
      </c>
      <c r="F193" s="230">
        <f>F$191*'Methanol recycling rates'!H61</f>
        <v>0</v>
      </c>
      <c r="G193" s="230">
        <f>G$191*'Methanol recycling rates'!I61</f>
        <v>0</v>
      </c>
      <c r="H193" s="230">
        <f>H$191*'Methanol recycling rates'!J61</f>
        <v>0</v>
      </c>
      <c r="I193" s="230">
        <f>I$191*'Methanol recycling rates'!K61</f>
        <v>0</v>
      </c>
      <c r="J193" s="230">
        <f>J$191*'Methanol recycling rates'!L61</f>
        <v>0</v>
      </c>
      <c r="K193" s="230">
        <f>K$191*'Methanol recycling rates'!M61</f>
        <v>0</v>
      </c>
      <c r="L193" s="230">
        <f>L$191*'Methanol recycling rates'!N61</f>
        <v>0</v>
      </c>
      <c r="M193" s="230">
        <f>M$191*'Methanol recycling rates'!O61</f>
        <v>0</v>
      </c>
      <c r="N193" s="230">
        <f>N$191*'Methanol recycling rates'!P61</f>
        <v>0</v>
      </c>
      <c r="O193" s="230">
        <f>O$191*'Methanol recycling rates'!Q61</f>
        <v>0</v>
      </c>
      <c r="P193" s="230">
        <f>P$191*'Methanol recycling rates'!R61</f>
        <v>0</v>
      </c>
      <c r="Q193" s="230">
        <f>Q$191*'Methanol recycling rates'!S61</f>
        <v>0</v>
      </c>
      <c r="R193" s="230">
        <f>R$191*'Methanol recycling rates'!T61</f>
        <v>0</v>
      </c>
      <c r="S193" s="230">
        <f>S$191*'Methanol recycling rates'!U61</f>
        <v>0</v>
      </c>
      <c r="T193" s="230">
        <f>T$191*'Methanol recycling rates'!V61</f>
        <v>0</v>
      </c>
      <c r="U193" s="230">
        <f>U$191*'Methanol recycling rates'!W61</f>
        <v>0</v>
      </c>
      <c r="V193" s="230">
        <f>V$191*'Methanol recycling rates'!X61</f>
        <v>0</v>
      </c>
      <c r="W193" s="230">
        <f>W$191*'Methanol recycling rates'!Y61</f>
        <v>0</v>
      </c>
      <c r="X193" s="230">
        <f>X$191*'Methanol recycling rates'!Z61</f>
        <v>0</v>
      </c>
      <c r="Y193" s="230">
        <f>Y$191*'Methanol recycling rates'!AA61</f>
        <v>0</v>
      </c>
      <c r="Z193" s="230">
        <f>Z$191*'Methanol recycling rates'!AB61</f>
        <v>0</v>
      </c>
      <c r="AA193" s="230">
        <f>AA$191*'Methanol recycling rates'!AC61</f>
        <v>0</v>
      </c>
      <c r="AB193" s="230">
        <f>AB$191*'Methanol recycling rates'!AD61</f>
        <v>0</v>
      </c>
      <c r="AC193" s="230">
        <f>AC$191*'Methanol recycling rates'!AE61</f>
        <v>0</v>
      </c>
      <c r="AD193" s="230">
        <f>AD$191*'Methanol recycling rates'!AF61</f>
        <v>0</v>
      </c>
      <c r="AE193" s="230">
        <f>AE$191*'Methanol recycling rates'!AG61</f>
        <v>0</v>
      </c>
      <c r="AF193" s="230">
        <f>AF$191*'Methanol recycling rates'!AH61</f>
        <v>0</v>
      </c>
      <c r="AG193" s="230">
        <f>AG$191*'Methanol recycling rates'!AI61</f>
        <v>0</v>
      </c>
      <c r="AH193" s="245"/>
      <c r="AI193" s="133"/>
      <c r="AJ193" s="211"/>
      <c r="AL193" s="108"/>
      <c r="AM193" s="2"/>
      <c r="AN193" s="2"/>
      <c r="AO193" s="2"/>
      <c r="BC193" s="1"/>
      <c r="BD193" s="2"/>
      <c r="BE193" s="2"/>
      <c r="BF193" s="2"/>
      <c r="BG193" s="2"/>
      <c r="BH193" s="2"/>
      <c r="BI193" s="2"/>
      <c r="BJ193" s="2"/>
      <c r="BK193" s="2"/>
    </row>
    <row r="194" spans="1:63" outlineLevel="1" x14ac:dyDescent="0.2">
      <c r="A194" s="4" t="s">
        <v>1561</v>
      </c>
      <c r="C194" s="230">
        <f>C$191*'Methanol recycling rates'!E62</f>
        <v>1.3927037431343362E-2</v>
      </c>
      <c r="D194" s="230">
        <f>D$191*'Methanol recycling rates'!F62</f>
        <v>1.7513304350319801E-2</v>
      </c>
      <c r="E194" s="230">
        <f>E$191*'Methanol recycling rates'!G62</f>
        <v>2.1480793217052069E-2</v>
      </c>
      <c r="F194" s="230">
        <f>F$191*'Methanol recycling rates'!H62</f>
        <v>2.5827275182540542E-2</v>
      </c>
      <c r="G194" s="230">
        <f>G$191*'Methanol recycling rates'!I62</f>
        <v>3.0545603464137511E-2</v>
      </c>
      <c r="H194" s="230">
        <f>H$191*'Methanol recycling rates'!J62</f>
        <v>3.5623520734309827E-2</v>
      </c>
      <c r="I194" s="230">
        <f>I$191*'Methanol recycling rates'!K62</f>
        <v>4.0496607283184952E-2</v>
      </c>
      <c r="J194" s="230">
        <f>J$191*'Methanol recycling rates'!L62</f>
        <v>4.5631337207939784E-2</v>
      </c>
      <c r="K194" s="230">
        <f>K$191*'Methanol recycling rates'!M62</f>
        <v>5.1020969053389563E-2</v>
      </c>
      <c r="L194" s="230">
        <f>L$191*'Methanol recycling rates'!N62</f>
        <v>5.6657449940764139E-2</v>
      </c>
      <c r="M194" s="230">
        <f>M$191*'Methanol recycling rates'!O62</f>
        <v>6.2531394828813439E-2</v>
      </c>
      <c r="N194" s="230">
        <f>N$191*'Methanol recycling rates'!P62</f>
        <v>7.0746507073606885E-2</v>
      </c>
      <c r="O194" s="230">
        <f>O$191*'Methanol recycling rates'!Q62</f>
        <v>7.9308061433410071E-2</v>
      </c>
      <c r="P194" s="230">
        <f>P$191*'Methanol recycling rates'!R62</f>
        <v>8.81577242345329E-2</v>
      </c>
      <c r="Q194" s="230">
        <f>Q$191*'Methanol recycling rates'!S62</f>
        <v>9.7231690725808853E-2</v>
      </c>
      <c r="R194" s="230">
        <f>R$191*'Methanol recycling rates'!T62</f>
        <v>0.10646135308709365</v>
      </c>
      <c r="S194" s="230">
        <f>S$191*'Methanol recycling rates'!U62</f>
        <v>0.11661841641900883</v>
      </c>
      <c r="T194" s="230">
        <f>T$191*'Methanol recycling rates'!V62</f>
        <v>0.12717680879815607</v>
      </c>
      <c r="U194" s="230">
        <f>U$191*'Methanol recycling rates'!W62</f>
        <v>0.13812342134507272</v>
      </c>
      <c r="V194" s="230">
        <f>V$191*'Methanol recycling rates'!X62</f>
        <v>0.14944424623028171</v>
      </c>
      <c r="W194" s="230">
        <f>W$191*'Methanol recycling rates'!Y62</f>
        <v>0.16112437141043115</v>
      </c>
      <c r="X194" s="230">
        <f>X$191*'Methanol recycling rates'!Z62</f>
        <v>0.17749858936082238</v>
      </c>
      <c r="Y194" s="230">
        <f>Y$191*'Methanol recycling rates'!AA62</f>
        <v>0.1944873160601254</v>
      </c>
      <c r="Z194" s="230">
        <f>Z$191*'Methanol recycling rates'!AB62</f>
        <v>0.21206547240516271</v>
      </c>
      <c r="AA194" s="230">
        <f>AA$191*'Methanol recycling rates'!AC62</f>
        <v>0.23020650186812389</v>
      </c>
      <c r="AB194" s="230">
        <f>AB$191*'Methanol recycling rates'!AD62</f>
        <v>0.24888236384637999</v>
      </c>
      <c r="AC194" s="230">
        <f>AC$191*'Methanol recycling rates'!AE62</f>
        <v>0.26723482148284872</v>
      </c>
      <c r="AD194" s="230">
        <f>AD$191*'Methanol recycling rates'!AF62</f>
        <v>0.28591550624078804</v>
      </c>
      <c r="AE194" s="230">
        <f>AE$191*'Methanol recycling rates'!AG62</f>
        <v>0.30488128470765463</v>
      </c>
      <c r="AF194" s="230">
        <f>AF$191*'Methanol recycling rates'!AH62</f>
        <v>0.32408727885883321</v>
      </c>
      <c r="AG194" s="230">
        <f>AG$191*'Methanol recycling rates'!AI62</f>
        <v>0.34348686589559718</v>
      </c>
      <c r="AH194" s="245"/>
      <c r="AI194" s="133"/>
      <c r="AJ194" s="211"/>
      <c r="AL194" s="108"/>
      <c r="AM194" s="2"/>
      <c r="AN194" s="2"/>
      <c r="AO194" s="2"/>
      <c r="BC194" s="1"/>
      <c r="BD194" s="2"/>
      <c r="BE194" s="2"/>
      <c r="BF194" s="2"/>
      <c r="BG194" s="2"/>
      <c r="BH194" s="2"/>
      <c r="BI194" s="2"/>
      <c r="BJ194" s="2"/>
      <c r="BK194" s="2"/>
    </row>
    <row r="195" spans="1:63" s="1" customFormat="1" outlineLevel="1" x14ac:dyDescent="0.2">
      <c r="A195" s="1" t="s">
        <v>1562</v>
      </c>
      <c r="B195" s="65"/>
      <c r="C195" s="300">
        <f>C191-$C191</f>
        <v>0</v>
      </c>
      <c r="D195" s="300">
        <f t="shared" ref="D195:AG196" si="107">D191-$C191</f>
        <v>5.6187622479107954E-3</v>
      </c>
      <c r="E195" s="300">
        <f t="shared" si="107"/>
        <v>1.1834801702599283E-2</v>
      </c>
      <c r="F195" s="300">
        <f t="shared" si="107"/>
        <v>1.8644626328224757E-2</v>
      </c>
      <c r="G195" s="300">
        <f t="shared" si="107"/>
        <v>2.603703894581471E-2</v>
      </c>
      <c r="H195" s="300">
        <f t="shared" si="107"/>
        <v>3.3992835460760588E-2</v>
      </c>
      <c r="I195" s="300">
        <f t="shared" si="107"/>
        <v>4.1627714668088588E-2</v>
      </c>
      <c r="J195" s="300">
        <f t="shared" si="107"/>
        <v>4.9672522069837889E-2</v>
      </c>
      <c r="K195" s="300">
        <f t="shared" si="107"/>
        <v>5.8116695531414513E-2</v>
      </c>
      <c r="L195" s="300">
        <f t="shared" si="107"/>
        <v>6.6947618253164975E-2</v>
      </c>
      <c r="M195" s="300">
        <f t="shared" si="107"/>
        <v>7.6150586277837218E-2</v>
      </c>
      <c r="N195" s="300">
        <f t="shared" si="107"/>
        <v>8.9021564257515673E-2</v>
      </c>
      <c r="O195" s="300">
        <f t="shared" si="107"/>
        <v>0.10243532834901506</v>
      </c>
      <c r="P195" s="300">
        <f t="shared" si="107"/>
        <v>0.11630048461794143</v>
      </c>
      <c r="Q195" s="300">
        <f t="shared" si="107"/>
        <v>0.13051706735198412</v>
      </c>
      <c r="R195" s="300">
        <f t="shared" si="107"/>
        <v>0.14497758565923591</v>
      </c>
      <c r="S195" s="300">
        <f t="shared" si="107"/>
        <v>0.16089110389097214</v>
      </c>
      <c r="T195" s="300">
        <f t="shared" si="107"/>
        <v>0.17743340200734145</v>
      </c>
      <c r="U195" s="300">
        <f t="shared" si="107"/>
        <v>0.19458394174984242</v>
      </c>
      <c r="V195" s="300">
        <f t="shared" si="107"/>
        <v>0.21232077643541461</v>
      </c>
      <c r="W195" s="300">
        <f t="shared" si="107"/>
        <v>0.23062054270931673</v>
      </c>
      <c r="X195" s="300">
        <f t="shared" si="107"/>
        <v>0.25627475075833178</v>
      </c>
      <c r="Y195" s="300">
        <f t="shared" si="107"/>
        <v>0.28289173671468165</v>
      </c>
      <c r="Z195" s="300">
        <f t="shared" si="107"/>
        <v>0.31043220804344673</v>
      </c>
      <c r="AA195" s="300">
        <f t="shared" si="107"/>
        <v>0.3388545574634993</v>
      </c>
      <c r="AB195" s="300">
        <f t="shared" si="107"/>
        <v>0.36811485252836518</v>
      </c>
      <c r="AC195" s="300">
        <f t="shared" si="107"/>
        <v>0.39686845577483065</v>
      </c>
      <c r="AD195" s="300">
        <f t="shared" si="107"/>
        <v>0.42613630690092297</v>
      </c>
      <c r="AE195" s="300">
        <f t="shared" si="107"/>
        <v>0.45585082689049589</v>
      </c>
      <c r="AF195" s="300">
        <f t="shared" si="107"/>
        <v>0.48594170336687303</v>
      </c>
      <c r="AG195" s="300">
        <f t="shared" si="107"/>
        <v>0.51633589033897365</v>
      </c>
      <c r="AH195" s="245"/>
      <c r="AI195" s="423"/>
      <c r="AJ195" s="424"/>
      <c r="AL195" s="221"/>
      <c r="AM195" s="124"/>
      <c r="AN195" s="124"/>
      <c r="AO195" s="124"/>
      <c r="BD195" s="124"/>
      <c r="BE195" s="124"/>
      <c r="BF195" s="124"/>
      <c r="BG195" s="124"/>
      <c r="BH195" s="124"/>
      <c r="BI195" s="124"/>
      <c r="BJ195" s="124"/>
      <c r="BK195" s="124"/>
    </row>
    <row r="196" spans="1:63" outlineLevel="1" x14ac:dyDescent="0.2">
      <c r="A196" s="4" t="s">
        <v>474</v>
      </c>
      <c r="C196" s="230">
        <f>C192-$C192</f>
        <v>0</v>
      </c>
      <c r="D196" s="230">
        <f t="shared" si="107"/>
        <v>2.0324953289343577E-3</v>
      </c>
      <c r="E196" s="230">
        <f t="shared" si="107"/>
        <v>4.2810459168905763E-3</v>
      </c>
      <c r="F196" s="230">
        <f t="shared" si="107"/>
        <v>6.7443885770275772E-3</v>
      </c>
      <c r="G196" s="230">
        <f t="shared" si="107"/>
        <v>9.4184729130205608E-3</v>
      </c>
      <c r="H196" s="230">
        <f t="shared" si="107"/>
        <v>1.2296352157794127E-2</v>
      </c>
      <c r="I196" s="230">
        <f t="shared" si="107"/>
        <v>1.5058144816247001E-2</v>
      </c>
      <c r="J196" s="230">
        <f t="shared" si="107"/>
        <v>1.7968222293241465E-2</v>
      </c>
      <c r="K196" s="230">
        <f t="shared" si="107"/>
        <v>2.102276390936831E-2</v>
      </c>
      <c r="L196" s="230">
        <f t="shared" si="107"/>
        <v>2.421720574374419E-2</v>
      </c>
      <c r="M196" s="230">
        <f t="shared" si="107"/>
        <v>2.7546228880367132E-2</v>
      </c>
      <c r="N196" s="230">
        <f t="shared" si="107"/>
        <v>3.2202094615252162E-2</v>
      </c>
      <c r="O196" s="230">
        <f t="shared" si="107"/>
        <v>3.7054304346948348E-2</v>
      </c>
      <c r="P196" s="230">
        <f t="shared" si="107"/>
        <v>4.2069797814751897E-2</v>
      </c>
      <c r="Q196" s="230">
        <f t="shared" si="107"/>
        <v>4.7212414057518637E-2</v>
      </c>
      <c r="R196" s="230">
        <f t="shared" si="107"/>
        <v>5.2443270003485622E-2</v>
      </c>
      <c r="S196" s="230">
        <f t="shared" si="107"/>
        <v>5.8199724903306674E-2</v>
      </c>
      <c r="T196" s="230">
        <f t="shared" si="107"/>
        <v>6.4183630640528747E-2</v>
      </c>
      <c r="U196" s="230">
        <f t="shared" si="107"/>
        <v>7.0387557836113071E-2</v>
      </c>
      <c r="V196" s="230">
        <f t="shared" si="107"/>
        <v>7.6803567636476264E-2</v>
      </c>
      <c r="W196" s="230">
        <f t="shared" si="107"/>
        <v>8.3423208730228959E-2</v>
      </c>
      <c r="X196" s="230">
        <f t="shared" si="107"/>
        <v>9.2703198828852723E-2</v>
      </c>
      <c r="Y196" s="230">
        <f t="shared" si="107"/>
        <v>0.10233145808589958</v>
      </c>
      <c r="Z196" s="230">
        <f t="shared" si="107"/>
        <v>0.11229377306962735</v>
      </c>
      <c r="AA196" s="230">
        <f t="shared" si="107"/>
        <v>0.12257509302671875</v>
      </c>
      <c r="AB196" s="230">
        <f t="shared" si="107"/>
        <v>0.13315952611332854</v>
      </c>
      <c r="AC196" s="230">
        <f t="shared" si="107"/>
        <v>0.14356067172332529</v>
      </c>
      <c r="AD196" s="230">
        <f t="shared" si="107"/>
        <v>0.15414783809147825</v>
      </c>
      <c r="AE196" s="230">
        <f t="shared" si="107"/>
        <v>0.16489657961418461</v>
      </c>
      <c r="AF196" s="230">
        <f t="shared" si="107"/>
        <v>0.17578146193938318</v>
      </c>
      <c r="AG196" s="230">
        <f>AG192-$C192</f>
        <v>0.18677606187471982</v>
      </c>
      <c r="AH196" s="245"/>
      <c r="AI196" s="133"/>
      <c r="AJ196" s="211"/>
      <c r="AL196" s="108"/>
      <c r="AM196" s="2"/>
      <c r="AN196" s="2"/>
      <c r="AO196" s="2"/>
      <c r="BC196" s="1"/>
      <c r="BD196" s="2"/>
      <c r="BE196" s="2"/>
      <c r="BF196" s="2"/>
      <c r="BG196" s="2"/>
      <c r="BH196" s="2"/>
      <c r="BI196" s="2"/>
      <c r="BJ196" s="2"/>
      <c r="BK196" s="2"/>
    </row>
    <row r="197" spans="1:63" outlineLevel="1" x14ac:dyDescent="0.2">
      <c r="A197" s="4" t="s">
        <v>745</v>
      </c>
      <c r="C197" s="230">
        <f t="shared" ref="C197:AG198" si="108">C193-$C193</f>
        <v>0</v>
      </c>
      <c r="D197" s="230">
        <f t="shared" si="108"/>
        <v>0</v>
      </c>
      <c r="E197" s="230">
        <f t="shared" si="108"/>
        <v>0</v>
      </c>
      <c r="F197" s="230">
        <f t="shared" si="108"/>
        <v>0</v>
      </c>
      <c r="G197" s="230">
        <f t="shared" si="108"/>
        <v>0</v>
      </c>
      <c r="H197" s="230">
        <f t="shared" si="108"/>
        <v>0</v>
      </c>
      <c r="I197" s="230">
        <f t="shared" si="108"/>
        <v>0</v>
      </c>
      <c r="J197" s="230">
        <f t="shared" si="108"/>
        <v>0</v>
      </c>
      <c r="K197" s="230">
        <f t="shared" si="108"/>
        <v>0</v>
      </c>
      <c r="L197" s="230">
        <f t="shared" si="108"/>
        <v>0</v>
      </c>
      <c r="M197" s="230">
        <f t="shared" si="108"/>
        <v>0</v>
      </c>
      <c r="N197" s="230">
        <f t="shared" si="108"/>
        <v>0</v>
      </c>
      <c r="O197" s="230">
        <f t="shared" si="108"/>
        <v>0</v>
      </c>
      <c r="P197" s="230">
        <f t="shared" si="108"/>
        <v>0</v>
      </c>
      <c r="Q197" s="230">
        <f t="shared" si="108"/>
        <v>0</v>
      </c>
      <c r="R197" s="230">
        <f t="shared" si="108"/>
        <v>0</v>
      </c>
      <c r="S197" s="230">
        <f t="shared" si="108"/>
        <v>0</v>
      </c>
      <c r="T197" s="230">
        <f t="shared" si="108"/>
        <v>0</v>
      </c>
      <c r="U197" s="230">
        <f t="shared" si="108"/>
        <v>0</v>
      </c>
      <c r="V197" s="230">
        <f t="shared" si="108"/>
        <v>0</v>
      </c>
      <c r="W197" s="230">
        <f t="shared" si="108"/>
        <v>0</v>
      </c>
      <c r="X197" s="230">
        <f t="shared" si="108"/>
        <v>0</v>
      </c>
      <c r="Y197" s="230">
        <f t="shared" si="108"/>
        <v>0</v>
      </c>
      <c r="Z197" s="230">
        <f t="shared" si="108"/>
        <v>0</v>
      </c>
      <c r="AA197" s="230">
        <f t="shared" si="108"/>
        <v>0</v>
      </c>
      <c r="AB197" s="230">
        <f t="shared" si="108"/>
        <v>0</v>
      </c>
      <c r="AC197" s="230">
        <f t="shared" si="108"/>
        <v>0</v>
      </c>
      <c r="AD197" s="230">
        <f t="shared" si="108"/>
        <v>0</v>
      </c>
      <c r="AE197" s="230">
        <f t="shared" si="108"/>
        <v>0</v>
      </c>
      <c r="AF197" s="230">
        <f t="shared" si="108"/>
        <v>0</v>
      </c>
      <c r="AG197" s="230">
        <f t="shared" si="108"/>
        <v>0</v>
      </c>
      <c r="AH197" s="245"/>
      <c r="AI197" s="133"/>
      <c r="AJ197" s="211"/>
      <c r="AL197" s="108"/>
      <c r="AM197" s="2"/>
      <c r="AN197" s="2"/>
      <c r="AO197" s="2"/>
      <c r="BC197" s="1"/>
      <c r="BD197" s="2"/>
      <c r="BE197" s="2"/>
      <c r="BF197" s="2"/>
      <c r="BG197" s="2"/>
      <c r="BH197" s="2"/>
      <c r="BI197" s="2"/>
      <c r="BJ197" s="2"/>
      <c r="BK197" s="2"/>
    </row>
    <row r="198" spans="1:63" outlineLevel="1" x14ac:dyDescent="0.2">
      <c r="A198" s="4" t="s">
        <v>1561</v>
      </c>
      <c r="C198" s="230">
        <f t="shared" si="108"/>
        <v>0</v>
      </c>
      <c r="D198" s="230">
        <f t="shared" si="108"/>
        <v>3.5862669189764395E-3</v>
      </c>
      <c r="E198" s="230">
        <f t="shared" si="108"/>
        <v>7.553755785708707E-3</v>
      </c>
      <c r="F198" s="230">
        <f t="shared" si="108"/>
        <v>1.190023775119718E-2</v>
      </c>
      <c r="G198" s="230">
        <f t="shared" si="108"/>
        <v>1.6618566032794151E-2</v>
      </c>
      <c r="H198" s="230">
        <f t="shared" si="108"/>
        <v>2.1696483302966467E-2</v>
      </c>
      <c r="I198" s="230">
        <f t="shared" si="108"/>
        <v>2.6569569851841592E-2</v>
      </c>
      <c r="J198" s="230">
        <f t="shared" si="108"/>
        <v>3.1704299776596424E-2</v>
      </c>
      <c r="K198" s="230">
        <f t="shared" si="108"/>
        <v>3.7093931622046203E-2</v>
      </c>
      <c r="L198" s="230">
        <f t="shared" si="108"/>
        <v>4.2730412509420779E-2</v>
      </c>
      <c r="M198" s="230">
        <f t="shared" si="108"/>
        <v>4.8604357397470078E-2</v>
      </c>
      <c r="N198" s="230">
        <f t="shared" si="108"/>
        <v>5.6819469642263525E-2</v>
      </c>
      <c r="O198" s="230">
        <f t="shared" si="108"/>
        <v>6.5381024002066704E-2</v>
      </c>
      <c r="P198" s="230">
        <f t="shared" si="108"/>
        <v>7.4230686803189533E-2</v>
      </c>
      <c r="Q198" s="230">
        <f t="shared" si="108"/>
        <v>8.3304653294465486E-2</v>
      </c>
      <c r="R198" s="230">
        <f t="shared" si="108"/>
        <v>9.2534315655750279E-2</v>
      </c>
      <c r="S198" s="230">
        <f t="shared" si="108"/>
        <v>0.10269137898766546</v>
      </c>
      <c r="T198" s="230">
        <f t="shared" si="108"/>
        <v>0.1132497713668127</v>
      </c>
      <c r="U198" s="230">
        <f t="shared" si="108"/>
        <v>0.12419638391372935</v>
      </c>
      <c r="V198" s="230">
        <f t="shared" si="108"/>
        <v>0.13551720879893836</v>
      </c>
      <c r="W198" s="230">
        <f t="shared" si="108"/>
        <v>0.1471973339790878</v>
      </c>
      <c r="X198" s="230">
        <f t="shared" si="108"/>
        <v>0.16357155192947903</v>
      </c>
      <c r="Y198" s="230">
        <f t="shared" si="108"/>
        <v>0.18056027862878204</v>
      </c>
      <c r="Z198" s="230">
        <f t="shared" si="108"/>
        <v>0.19813843497381936</v>
      </c>
      <c r="AA198" s="230">
        <f t="shared" si="108"/>
        <v>0.21627946443678053</v>
      </c>
      <c r="AB198" s="230">
        <f t="shared" si="108"/>
        <v>0.23495532641503664</v>
      </c>
      <c r="AC198" s="230">
        <f t="shared" si="108"/>
        <v>0.25330778405150534</v>
      </c>
      <c r="AD198" s="230">
        <f t="shared" si="108"/>
        <v>0.27198846880944466</v>
      </c>
      <c r="AE198" s="230">
        <f t="shared" si="108"/>
        <v>0.29095424727631125</v>
      </c>
      <c r="AF198" s="230">
        <f t="shared" si="108"/>
        <v>0.31016024142748982</v>
      </c>
      <c r="AG198" s="230">
        <f t="shared" si="108"/>
        <v>0.3295598284642538</v>
      </c>
      <c r="AH198" s="245"/>
      <c r="AI198" s="133"/>
      <c r="AJ198" s="211"/>
      <c r="AL198" s="108"/>
      <c r="AM198" s="2"/>
      <c r="AN198" s="2"/>
      <c r="AO198" s="2"/>
      <c r="BC198" s="1"/>
      <c r="BD198" s="2"/>
      <c r="BE198" s="2"/>
      <c r="BF198" s="2"/>
      <c r="BG198" s="2"/>
      <c r="BH198" s="2"/>
      <c r="BI198" s="2"/>
      <c r="BJ198" s="2"/>
      <c r="BK198" s="2"/>
    </row>
    <row r="199" spans="1:63" s="1" customFormat="1" outlineLevel="1" x14ac:dyDescent="0.2">
      <c r="A199" s="1" t="s">
        <v>1569</v>
      </c>
      <c r="B199" s="65"/>
      <c r="C199" s="300">
        <f>C185*C45</f>
        <v>2.1820102605973023E-2</v>
      </c>
      <c r="D199" s="300">
        <f t="shared" ref="D199:AG199" si="109">D185*D45</f>
        <v>2.7438864853883818E-2</v>
      </c>
      <c r="E199" s="300">
        <f t="shared" si="109"/>
        <v>3.3654904308572306E-2</v>
      </c>
      <c r="F199" s="300">
        <f t="shared" si="109"/>
        <v>4.046472893419778E-2</v>
      </c>
      <c r="G199" s="300">
        <f t="shared" si="109"/>
        <v>4.7857141551787732E-2</v>
      </c>
      <c r="H199" s="300">
        <f t="shared" si="109"/>
        <v>5.5812938066733611E-2</v>
      </c>
      <c r="I199" s="300">
        <f t="shared" si="109"/>
        <v>6.344781727406161E-2</v>
      </c>
      <c r="J199" s="300">
        <f t="shared" si="109"/>
        <v>7.1492624675810912E-2</v>
      </c>
      <c r="K199" s="300">
        <f t="shared" si="109"/>
        <v>7.9936798137387535E-2</v>
      </c>
      <c r="L199" s="300">
        <f t="shared" si="109"/>
        <v>8.8767720859137991E-2</v>
      </c>
      <c r="M199" s="300">
        <f t="shared" si="109"/>
        <v>9.7970688883810234E-2</v>
      </c>
      <c r="N199" s="300">
        <f t="shared" si="109"/>
        <v>0.1108416668634887</v>
      </c>
      <c r="O199" s="300">
        <f t="shared" si="109"/>
        <v>0.12425543095498809</v>
      </c>
      <c r="P199" s="300">
        <f t="shared" si="109"/>
        <v>0.13812058722391446</v>
      </c>
      <c r="Q199" s="300">
        <f t="shared" si="109"/>
        <v>0.15233716995795715</v>
      </c>
      <c r="R199" s="300">
        <f t="shared" si="109"/>
        <v>0.16679768826520894</v>
      </c>
      <c r="S199" s="300">
        <f t="shared" si="109"/>
        <v>0.18271120649694517</v>
      </c>
      <c r="T199" s="300">
        <f t="shared" si="109"/>
        <v>0.19925350461331448</v>
      </c>
      <c r="U199" s="300">
        <f t="shared" si="109"/>
        <v>0.21640404435581545</v>
      </c>
      <c r="V199" s="300">
        <f t="shared" si="109"/>
        <v>0.23414087904138764</v>
      </c>
      <c r="W199" s="300">
        <f t="shared" si="109"/>
        <v>0.25244064531528976</v>
      </c>
      <c r="X199" s="300">
        <f t="shared" si="109"/>
        <v>0.27809485336430478</v>
      </c>
      <c r="Y199" s="300">
        <f t="shared" si="109"/>
        <v>0.30471183932065465</v>
      </c>
      <c r="Z199" s="300">
        <f t="shared" si="109"/>
        <v>0.33225231064941974</v>
      </c>
      <c r="AA199" s="300">
        <f t="shared" si="109"/>
        <v>0.3606746600694723</v>
      </c>
      <c r="AB199" s="300">
        <f t="shared" si="109"/>
        <v>0.38993495513433818</v>
      </c>
      <c r="AC199" s="300">
        <f t="shared" si="109"/>
        <v>0.41868855838080365</v>
      </c>
      <c r="AD199" s="300">
        <f t="shared" si="109"/>
        <v>0.44795640950689597</v>
      </c>
      <c r="AE199" s="300">
        <f t="shared" si="109"/>
        <v>0.47767092949646889</v>
      </c>
      <c r="AF199" s="300">
        <f t="shared" si="109"/>
        <v>0.50776180597284604</v>
      </c>
      <c r="AG199" s="300">
        <f t="shared" si="109"/>
        <v>0.53815599294494665</v>
      </c>
      <c r="AH199" s="245"/>
      <c r="AI199" s="423"/>
      <c r="AJ199" s="424"/>
      <c r="AL199" s="221"/>
      <c r="AM199" s="124"/>
      <c r="AN199" s="124"/>
      <c r="AO199" s="124"/>
      <c r="BD199" s="124"/>
      <c r="BE199" s="124"/>
      <c r="BF199" s="124"/>
      <c r="BG199" s="124"/>
      <c r="BH199" s="124"/>
      <c r="BI199" s="124"/>
      <c r="BJ199" s="124"/>
      <c r="BK199" s="124"/>
    </row>
    <row r="200" spans="1:63" outlineLevel="1" x14ac:dyDescent="0.2">
      <c r="A200" s="4" t="s">
        <v>474</v>
      </c>
      <c r="C200" s="230">
        <f>C$199*'Methanol recycling rates'!E63</f>
        <v>7.8930651746296609E-3</v>
      </c>
      <c r="D200" s="230">
        <f>D$199*'Methanol recycling rates'!F63</f>
        <v>9.9255605035640185E-3</v>
      </c>
      <c r="E200" s="230">
        <f>E$199*'Methanol recycling rates'!G63</f>
        <v>1.2174111091520237E-2</v>
      </c>
      <c r="F200" s="230">
        <f>F$199*'Methanol recycling rates'!H63</f>
        <v>1.4637453751657238E-2</v>
      </c>
      <c r="G200" s="230">
        <f>G$199*'Methanol recycling rates'!I63</f>
        <v>1.7311538087650222E-2</v>
      </c>
      <c r="H200" s="230">
        <f>H$199*'Methanol recycling rates'!J63</f>
        <v>2.0189417332423788E-2</v>
      </c>
      <c r="I200" s="230">
        <f>I$199*'Methanol recycling rates'!K63</f>
        <v>2.2951209990876662E-2</v>
      </c>
      <c r="J200" s="230">
        <f>J$199*'Methanol recycling rates'!L63</f>
        <v>2.5861287467871127E-2</v>
      </c>
      <c r="K200" s="230">
        <f>K$199*'Methanol recycling rates'!M63</f>
        <v>2.8915829083997972E-2</v>
      </c>
      <c r="L200" s="230">
        <f>L$199*'Methanol recycling rates'!N63</f>
        <v>3.2110270918373852E-2</v>
      </c>
      <c r="M200" s="230">
        <f>M$199*'Methanol recycling rates'!O63</f>
        <v>3.5439294054996795E-2</v>
      </c>
      <c r="N200" s="230">
        <f>N$199*'Methanol recycling rates'!P63</f>
        <v>4.0095159789881825E-2</v>
      </c>
      <c r="O200" s="230">
        <f>O$199*'Methanol recycling rates'!Q63</f>
        <v>4.4947369521578011E-2</v>
      </c>
      <c r="P200" s="230">
        <f>P$199*'Methanol recycling rates'!R63</f>
        <v>4.996286298938156E-2</v>
      </c>
      <c r="Q200" s="230">
        <f>Q$199*'Methanol recycling rates'!S63</f>
        <v>5.5105479232148299E-2</v>
      </c>
      <c r="R200" s="230">
        <f>R$199*'Methanol recycling rates'!T63</f>
        <v>6.0336335178115284E-2</v>
      </c>
      <c r="S200" s="230">
        <f>S$199*'Methanol recycling rates'!U63</f>
        <v>6.6092790077936336E-2</v>
      </c>
      <c r="T200" s="230">
        <f>T$199*'Methanol recycling rates'!V63</f>
        <v>7.2076695815158409E-2</v>
      </c>
      <c r="U200" s="230">
        <f>U$199*'Methanol recycling rates'!W63</f>
        <v>7.8280623010742734E-2</v>
      </c>
      <c r="V200" s="230">
        <f>V$199*'Methanol recycling rates'!X63</f>
        <v>8.4696632811105926E-2</v>
      </c>
      <c r="W200" s="230">
        <f>W$199*'Methanol recycling rates'!Y63</f>
        <v>9.1316273904858622E-2</v>
      </c>
      <c r="X200" s="230">
        <f>X$199*'Methanol recycling rates'!Z63</f>
        <v>0.10059626400348239</v>
      </c>
      <c r="Y200" s="230">
        <f>Y$199*'Methanol recycling rates'!AA63</f>
        <v>0.11022452326052924</v>
      </c>
      <c r="Z200" s="230">
        <f>Z$199*'Methanol recycling rates'!AB63</f>
        <v>0.12018683824425701</v>
      </c>
      <c r="AA200" s="230">
        <f>AA$199*'Methanol recycling rates'!AC63</f>
        <v>0.13046815820134841</v>
      </c>
      <c r="AB200" s="230">
        <f>AB$199*'Methanol recycling rates'!AD63</f>
        <v>0.14105259128795819</v>
      </c>
      <c r="AC200" s="230">
        <f>AC$199*'Methanol recycling rates'!AE63</f>
        <v>0.15145373689795494</v>
      </c>
      <c r="AD200" s="230">
        <f>AD$199*'Methanol recycling rates'!AF63</f>
        <v>0.1620409032661079</v>
      </c>
      <c r="AE200" s="230">
        <f>AE$199*'Methanol recycling rates'!AG63</f>
        <v>0.17278964478881426</v>
      </c>
      <c r="AF200" s="230">
        <f>AF$199*'Methanol recycling rates'!AH63</f>
        <v>0.18367452711401283</v>
      </c>
      <c r="AG200" s="230">
        <f>AG$199*'Methanol recycling rates'!AI63</f>
        <v>0.19466912704934947</v>
      </c>
      <c r="AH200" s="245"/>
      <c r="AI200" s="133"/>
      <c r="AJ200" s="211"/>
      <c r="AL200" s="108"/>
      <c r="AM200" s="2"/>
      <c r="AN200" s="2"/>
      <c r="AO200" s="2"/>
      <c r="BC200" s="1"/>
      <c r="BD200" s="2"/>
      <c r="BE200" s="2"/>
      <c r="BF200" s="2"/>
      <c r="BG200" s="2"/>
      <c r="BH200" s="2"/>
      <c r="BI200" s="2"/>
      <c r="BJ200" s="2"/>
      <c r="BK200" s="2"/>
    </row>
    <row r="201" spans="1:63" outlineLevel="1" x14ac:dyDescent="0.2">
      <c r="A201" s="4" t="s">
        <v>745</v>
      </c>
      <c r="C201" s="230">
        <f>C$199*'Methanol recycling rates'!E64</f>
        <v>0</v>
      </c>
      <c r="D201" s="230">
        <f>D$199*'Methanol recycling rates'!F64</f>
        <v>0</v>
      </c>
      <c r="E201" s="230">
        <f>E$199*'Methanol recycling rates'!G64</f>
        <v>0</v>
      </c>
      <c r="F201" s="230">
        <f>F$199*'Methanol recycling rates'!H64</f>
        <v>0</v>
      </c>
      <c r="G201" s="230">
        <f>G$199*'Methanol recycling rates'!I64</f>
        <v>0</v>
      </c>
      <c r="H201" s="230">
        <f>H$199*'Methanol recycling rates'!J64</f>
        <v>0</v>
      </c>
      <c r="I201" s="230">
        <f>I$199*'Methanol recycling rates'!K64</f>
        <v>0</v>
      </c>
      <c r="J201" s="230">
        <f>J$199*'Methanol recycling rates'!L64</f>
        <v>0</v>
      </c>
      <c r="K201" s="230">
        <f>K$199*'Methanol recycling rates'!M64</f>
        <v>0</v>
      </c>
      <c r="L201" s="230">
        <f>L$199*'Methanol recycling rates'!N64</f>
        <v>0</v>
      </c>
      <c r="M201" s="230">
        <f>M$199*'Methanol recycling rates'!O64</f>
        <v>0</v>
      </c>
      <c r="N201" s="230">
        <f>N$199*'Methanol recycling rates'!P64</f>
        <v>0</v>
      </c>
      <c r="O201" s="230">
        <f>O$199*'Methanol recycling rates'!Q64</f>
        <v>0</v>
      </c>
      <c r="P201" s="230">
        <f>P$199*'Methanol recycling rates'!R64</f>
        <v>0</v>
      </c>
      <c r="Q201" s="230">
        <f>Q$199*'Methanol recycling rates'!S64</f>
        <v>0</v>
      </c>
      <c r="R201" s="230">
        <f>R$199*'Methanol recycling rates'!T64</f>
        <v>0</v>
      </c>
      <c r="S201" s="230">
        <f>S$199*'Methanol recycling rates'!U64</f>
        <v>0</v>
      </c>
      <c r="T201" s="230">
        <f>T$199*'Methanol recycling rates'!V64</f>
        <v>0</v>
      </c>
      <c r="U201" s="230">
        <f>U$199*'Methanol recycling rates'!W64</f>
        <v>0</v>
      </c>
      <c r="V201" s="230">
        <f>V$199*'Methanol recycling rates'!X64</f>
        <v>0</v>
      </c>
      <c r="W201" s="230">
        <f>W$199*'Methanol recycling rates'!Y64</f>
        <v>0</v>
      </c>
      <c r="X201" s="230">
        <f>X$199*'Methanol recycling rates'!Z64</f>
        <v>0</v>
      </c>
      <c r="Y201" s="230">
        <f>Y$199*'Methanol recycling rates'!AA64</f>
        <v>0</v>
      </c>
      <c r="Z201" s="230">
        <f>Z$199*'Methanol recycling rates'!AB64</f>
        <v>0</v>
      </c>
      <c r="AA201" s="230">
        <f>AA$199*'Methanol recycling rates'!AC64</f>
        <v>0</v>
      </c>
      <c r="AB201" s="230">
        <f>AB$199*'Methanol recycling rates'!AD64</f>
        <v>0</v>
      </c>
      <c r="AC201" s="230">
        <f>AC$199*'Methanol recycling rates'!AE64</f>
        <v>0</v>
      </c>
      <c r="AD201" s="230">
        <f>AD$199*'Methanol recycling rates'!AF64</f>
        <v>0</v>
      </c>
      <c r="AE201" s="230">
        <f>AE$199*'Methanol recycling rates'!AG64</f>
        <v>0</v>
      </c>
      <c r="AF201" s="230">
        <f>AF$199*'Methanol recycling rates'!AH64</f>
        <v>0</v>
      </c>
      <c r="AG201" s="230">
        <f>AG$199*'Methanol recycling rates'!AI64</f>
        <v>0</v>
      </c>
      <c r="AH201" s="245"/>
      <c r="AI201" s="133"/>
      <c r="AJ201" s="211"/>
      <c r="AL201" s="108"/>
      <c r="AM201" s="2"/>
      <c r="AN201" s="2"/>
      <c r="AO201" s="2"/>
      <c r="BC201" s="1"/>
      <c r="BD201" s="2"/>
      <c r="BE201" s="2"/>
      <c r="BF201" s="2"/>
      <c r="BG201" s="2"/>
      <c r="BH201" s="2"/>
      <c r="BI201" s="2"/>
      <c r="BJ201" s="2"/>
      <c r="BK201" s="2"/>
    </row>
    <row r="202" spans="1:63" outlineLevel="1" x14ac:dyDescent="0.2">
      <c r="A202" s="4" t="s">
        <v>1561</v>
      </c>
      <c r="C202" s="230">
        <f>C$199*'Methanol recycling rates'!E65</f>
        <v>1.3927037431343362E-2</v>
      </c>
      <c r="D202" s="230">
        <f>D$199*'Methanol recycling rates'!F65</f>
        <v>1.7513304350319801E-2</v>
      </c>
      <c r="E202" s="230">
        <f>E$199*'Methanol recycling rates'!G65</f>
        <v>2.1480793217052069E-2</v>
      </c>
      <c r="F202" s="230">
        <f>F$199*'Methanol recycling rates'!H65</f>
        <v>2.5827275182540542E-2</v>
      </c>
      <c r="G202" s="230">
        <f>G$199*'Methanol recycling rates'!I65</f>
        <v>3.0545603464137511E-2</v>
      </c>
      <c r="H202" s="230">
        <f>H$199*'Methanol recycling rates'!J65</f>
        <v>3.5623520734309827E-2</v>
      </c>
      <c r="I202" s="230">
        <f>I$199*'Methanol recycling rates'!K65</f>
        <v>4.0496607283184952E-2</v>
      </c>
      <c r="J202" s="230">
        <f>J$199*'Methanol recycling rates'!L65</f>
        <v>4.5631337207939784E-2</v>
      </c>
      <c r="K202" s="230">
        <f>K$199*'Methanol recycling rates'!M65</f>
        <v>5.1020969053389563E-2</v>
      </c>
      <c r="L202" s="230">
        <f>L$199*'Methanol recycling rates'!N65</f>
        <v>5.6657449940764139E-2</v>
      </c>
      <c r="M202" s="230">
        <f>M$199*'Methanol recycling rates'!O65</f>
        <v>6.2531394828813439E-2</v>
      </c>
      <c r="N202" s="230">
        <f>N$199*'Methanol recycling rates'!P65</f>
        <v>7.0746507073606885E-2</v>
      </c>
      <c r="O202" s="230">
        <f>O$199*'Methanol recycling rates'!Q65</f>
        <v>7.9308061433410071E-2</v>
      </c>
      <c r="P202" s="230">
        <f>P$199*'Methanol recycling rates'!R65</f>
        <v>8.81577242345329E-2</v>
      </c>
      <c r="Q202" s="230">
        <f>Q$199*'Methanol recycling rates'!S65</f>
        <v>9.7231690725808853E-2</v>
      </c>
      <c r="R202" s="230">
        <f>R$199*'Methanol recycling rates'!T65</f>
        <v>0.10646135308709365</v>
      </c>
      <c r="S202" s="230">
        <f>S$199*'Methanol recycling rates'!U65</f>
        <v>0.11661841641900883</v>
      </c>
      <c r="T202" s="230">
        <f>T$199*'Methanol recycling rates'!V65</f>
        <v>0.12717680879815607</v>
      </c>
      <c r="U202" s="230">
        <f>U$199*'Methanol recycling rates'!W65</f>
        <v>0.13812342134507272</v>
      </c>
      <c r="V202" s="230">
        <f>V$199*'Methanol recycling rates'!X65</f>
        <v>0.14944424623028171</v>
      </c>
      <c r="W202" s="230">
        <f>W$199*'Methanol recycling rates'!Y65</f>
        <v>0.16112437141043115</v>
      </c>
      <c r="X202" s="230">
        <f>X$199*'Methanol recycling rates'!Z65</f>
        <v>0.17749858936082238</v>
      </c>
      <c r="Y202" s="230">
        <f>Y$199*'Methanol recycling rates'!AA65</f>
        <v>0.1944873160601254</v>
      </c>
      <c r="Z202" s="230">
        <f>Z$199*'Methanol recycling rates'!AB65</f>
        <v>0.21206547240516271</v>
      </c>
      <c r="AA202" s="230">
        <f>AA$199*'Methanol recycling rates'!AC65</f>
        <v>0.23020650186812389</v>
      </c>
      <c r="AB202" s="230">
        <f>AB$199*'Methanol recycling rates'!AD65</f>
        <v>0.24888236384637999</v>
      </c>
      <c r="AC202" s="230">
        <f>AC$199*'Methanol recycling rates'!AE65</f>
        <v>0.26723482148284872</v>
      </c>
      <c r="AD202" s="230">
        <f>AD$199*'Methanol recycling rates'!AF65</f>
        <v>0.28591550624078804</v>
      </c>
      <c r="AE202" s="230">
        <f>AE$199*'Methanol recycling rates'!AG65</f>
        <v>0.30488128470765463</v>
      </c>
      <c r="AF202" s="230">
        <f>AF$199*'Methanol recycling rates'!AH65</f>
        <v>0.32408727885883321</v>
      </c>
      <c r="AG202" s="230">
        <f>AG$199*'Methanol recycling rates'!AI65</f>
        <v>0.34348686589559718</v>
      </c>
      <c r="AH202" s="245"/>
      <c r="AI202" s="133"/>
      <c r="AJ202" s="211"/>
      <c r="AL202" s="108"/>
      <c r="AM202" s="2"/>
      <c r="AN202" s="2"/>
      <c r="AO202" s="2"/>
      <c r="BC202" s="1"/>
      <c r="BD202" s="2"/>
      <c r="BE202" s="2"/>
      <c r="BF202" s="2"/>
      <c r="BG202" s="2"/>
      <c r="BH202" s="2"/>
      <c r="BI202" s="2"/>
      <c r="BJ202" s="2"/>
      <c r="BK202" s="2"/>
    </row>
    <row r="203" spans="1:63" s="1" customFormat="1" outlineLevel="1" x14ac:dyDescent="0.2">
      <c r="A203" s="1" t="s">
        <v>1570</v>
      </c>
      <c r="B203" s="65"/>
      <c r="C203" s="300">
        <f>C199-$C199</f>
        <v>0</v>
      </c>
      <c r="D203" s="300">
        <f t="shared" ref="D203:AG206" si="110">D199-$C199</f>
        <v>5.6187622479107954E-3</v>
      </c>
      <c r="E203" s="300">
        <f t="shared" si="110"/>
        <v>1.1834801702599283E-2</v>
      </c>
      <c r="F203" s="300">
        <f t="shared" si="110"/>
        <v>1.8644626328224757E-2</v>
      </c>
      <c r="G203" s="300">
        <f t="shared" si="110"/>
        <v>2.603703894581471E-2</v>
      </c>
      <c r="H203" s="300">
        <f t="shared" si="110"/>
        <v>3.3992835460760588E-2</v>
      </c>
      <c r="I203" s="300">
        <f t="shared" si="110"/>
        <v>4.1627714668088588E-2</v>
      </c>
      <c r="J203" s="300">
        <f t="shared" si="110"/>
        <v>4.9672522069837889E-2</v>
      </c>
      <c r="K203" s="300">
        <f t="shared" si="110"/>
        <v>5.8116695531414513E-2</v>
      </c>
      <c r="L203" s="300">
        <f t="shared" si="110"/>
        <v>6.6947618253164975E-2</v>
      </c>
      <c r="M203" s="300">
        <f t="shared" si="110"/>
        <v>7.6150586277837218E-2</v>
      </c>
      <c r="N203" s="300">
        <f t="shared" si="110"/>
        <v>8.9021564257515673E-2</v>
      </c>
      <c r="O203" s="300">
        <f t="shared" si="110"/>
        <v>0.10243532834901506</v>
      </c>
      <c r="P203" s="300">
        <f t="shared" si="110"/>
        <v>0.11630048461794143</v>
      </c>
      <c r="Q203" s="300">
        <f t="shared" si="110"/>
        <v>0.13051706735198412</v>
      </c>
      <c r="R203" s="300">
        <f t="shared" si="110"/>
        <v>0.14497758565923591</v>
      </c>
      <c r="S203" s="300">
        <f t="shared" si="110"/>
        <v>0.16089110389097214</v>
      </c>
      <c r="T203" s="300">
        <f t="shared" si="110"/>
        <v>0.17743340200734145</v>
      </c>
      <c r="U203" s="300">
        <f t="shared" si="110"/>
        <v>0.19458394174984242</v>
      </c>
      <c r="V203" s="300">
        <f t="shared" si="110"/>
        <v>0.21232077643541461</v>
      </c>
      <c r="W203" s="300">
        <f t="shared" si="110"/>
        <v>0.23062054270931673</v>
      </c>
      <c r="X203" s="300">
        <f t="shared" si="110"/>
        <v>0.25627475075833178</v>
      </c>
      <c r="Y203" s="300">
        <f t="shared" si="110"/>
        <v>0.28289173671468165</v>
      </c>
      <c r="Z203" s="300">
        <f t="shared" si="110"/>
        <v>0.31043220804344673</v>
      </c>
      <c r="AA203" s="300">
        <f t="shared" si="110"/>
        <v>0.3388545574634993</v>
      </c>
      <c r="AB203" s="300">
        <f t="shared" si="110"/>
        <v>0.36811485252836518</v>
      </c>
      <c r="AC203" s="300">
        <f t="shared" si="110"/>
        <v>0.39686845577483065</v>
      </c>
      <c r="AD203" s="300">
        <f t="shared" si="110"/>
        <v>0.42613630690092297</v>
      </c>
      <c r="AE203" s="300">
        <f t="shared" si="110"/>
        <v>0.45585082689049589</v>
      </c>
      <c r="AF203" s="300">
        <f t="shared" si="110"/>
        <v>0.48594170336687303</v>
      </c>
      <c r="AG203" s="300">
        <f t="shared" si="110"/>
        <v>0.51633589033897365</v>
      </c>
      <c r="AH203" s="245"/>
      <c r="AI203" s="423"/>
      <c r="AJ203" s="424"/>
      <c r="AL203" s="221"/>
      <c r="AM203" s="124"/>
      <c r="AN203" s="124"/>
      <c r="AO203" s="124"/>
      <c r="BD203" s="124"/>
      <c r="BE203" s="124"/>
      <c r="BF203" s="124"/>
      <c r="BG203" s="124"/>
      <c r="BH203" s="124"/>
      <c r="BI203" s="124"/>
      <c r="BJ203" s="124"/>
      <c r="BK203" s="124"/>
    </row>
    <row r="204" spans="1:63" outlineLevel="1" x14ac:dyDescent="0.2">
      <c r="A204" s="4" t="s">
        <v>474</v>
      </c>
      <c r="C204" s="230">
        <f t="shared" ref="C204:C206" si="111">C200-$C200</f>
        <v>0</v>
      </c>
      <c r="D204" s="230">
        <f t="shared" si="110"/>
        <v>2.0324953289343577E-3</v>
      </c>
      <c r="E204" s="230">
        <f t="shared" si="110"/>
        <v>4.2810459168905763E-3</v>
      </c>
      <c r="F204" s="230">
        <f t="shared" si="110"/>
        <v>6.7443885770275772E-3</v>
      </c>
      <c r="G204" s="230">
        <f t="shared" si="110"/>
        <v>9.4184729130205608E-3</v>
      </c>
      <c r="H204" s="230">
        <f t="shared" si="110"/>
        <v>1.2296352157794127E-2</v>
      </c>
      <c r="I204" s="230">
        <f t="shared" si="110"/>
        <v>1.5058144816247001E-2</v>
      </c>
      <c r="J204" s="230">
        <f t="shared" si="110"/>
        <v>1.7968222293241465E-2</v>
      </c>
      <c r="K204" s="230">
        <f t="shared" si="110"/>
        <v>2.102276390936831E-2</v>
      </c>
      <c r="L204" s="230">
        <f t="shared" si="110"/>
        <v>2.421720574374419E-2</v>
      </c>
      <c r="M204" s="230">
        <f t="shared" si="110"/>
        <v>2.7546228880367132E-2</v>
      </c>
      <c r="N204" s="230">
        <f t="shared" si="110"/>
        <v>3.2202094615252162E-2</v>
      </c>
      <c r="O204" s="230">
        <f t="shared" si="110"/>
        <v>3.7054304346948348E-2</v>
      </c>
      <c r="P204" s="230">
        <f t="shared" si="110"/>
        <v>4.2069797814751897E-2</v>
      </c>
      <c r="Q204" s="230">
        <f t="shared" si="110"/>
        <v>4.7212414057518637E-2</v>
      </c>
      <c r="R204" s="230">
        <f t="shared" si="110"/>
        <v>5.2443270003485622E-2</v>
      </c>
      <c r="S204" s="230">
        <f t="shared" si="110"/>
        <v>5.8199724903306674E-2</v>
      </c>
      <c r="T204" s="230">
        <f t="shared" si="110"/>
        <v>6.4183630640528747E-2</v>
      </c>
      <c r="U204" s="230">
        <f t="shared" si="110"/>
        <v>7.0387557836113071E-2</v>
      </c>
      <c r="V204" s="230">
        <f t="shared" si="110"/>
        <v>7.6803567636476264E-2</v>
      </c>
      <c r="W204" s="230">
        <f t="shared" si="110"/>
        <v>8.3423208730228959E-2</v>
      </c>
      <c r="X204" s="230">
        <f t="shared" si="110"/>
        <v>9.2703198828852723E-2</v>
      </c>
      <c r="Y204" s="230">
        <f t="shared" si="110"/>
        <v>0.10233145808589958</v>
      </c>
      <c r="Z204" s="230">
        <f t="shared" si="110"/>
        <v>0.11229377306962735</v>
      </c>
      <c r="AA204" s="230">
        <f t="shared" si="110"/>
        <v>0.12257509302671875</v>
      </c>
      <c r="AB204" s="230">
        <f t="shared" si="110"/>
        <v>0.13315952611332854</v>
      </c>
      <c r="AC204" s="230">
        <f t="shared" si="110"/>
        <v>0.14356067172332529</v>
      </c>
      <c r="AD204" s="230">
        <f t="shared" si="110"/>
        <v>0.15414783809147825</v>
      </c>
      <c r="AE204" s="230">
        <f t="shared" si="110"/>
        <v>0.16489657961418461</v>
      </c>
      <c r="AF204" s="230">
        <f t="shared" si="110"/>
        <v>0.17578146193938318</v>
      </c>
      <c r="AG204" s="230">
        <f t="shared" si="110"/>
        <v>0.18677606187471982</v>
      </c>
      <c r="AH204" s="245"/>
      <c r="AI204" s="133"/>
      <c r="AJ204" s="211"/>
      <c r="AL204" s="108"/>
      <c r="AM204" s="2"/>
      <c r="AN204" s="2"/>
      <c r="AO204" s="2"/>
      <c r="BC204" s="1"/>
      <c r="BD204" s="2"/>
      <c r="BE204" s="2"/>
      <c r="BF204" s="2"/>
      <c r="BG204" s="2"/>
      <c r="BH204" s="2"/>
      <c r="BI204" s="2"/>
      <c r="BJ204" s="2"/>
      <c r="BK204" s="2"/>
    </row>
    <row r="205" spans="1:63" outlineLevel="1" x14ac:dyDescent="0.2">
      <c r="A205" s="4" t="s">
        <v>745</v>
      </c>
      <c r="C205" s="230">
        <f t="shared" si="111"/>
        <v>0</v>
      </c>
      <c r="D205" s="230">
        <f t="shared" si="110"/>
        <v>0</v>
      </c>
      <c r="E205" s="230">
        <f t="shared" si="110"/>
        <v>0</v>
      </c>
      <c r="F205" s="230">
        <f t="shared" si="110"/>
        <v>0</v>
      </c>
      <c r="G205" s="230">
        <f t="shared" si="110"/>
        <v>0</v>
      </c>
      <c r="H205" s="230">
        <f t="shared" si="110"/>
        <v>0</v>
      </c>
      <c r="I205" s="230">
        <f t="shared" si="110"/>
        <v>0</v>
      </c>
      <c r="J205" s="230">
        <f t="shared" si="110"/>
        <v>0</v>
      </c>
      <c r="K205" s="230">
        <f t="shared" si="110"/>
        <v>0</v>
      </c>
      <c r="L205" s="230">
        <f t="shared" si="110"/>
        <v>0</v>
      </c>
      <c r="M205" s="230">
        <f t="shared" si="110"/>
        <v>0</v>
      </c>
      <c r="N205" s="230">
        <f t="shared" si="110"/>
        <v>0</v>
      </c>
      <c r="O205" s="230">
        <f t="shared" si="110"/>
        <v>0</v>
      </c>
      <c r="P205" s="230">
        <f t="shared" si="110"/>
        <v>0</v>
      </c>
      <c r="Q205" s="230">
        <f t="shared" si="110"/>
        <v>0</v>
      </c>
      <c r="R205" s="230">
        <f t="shared" si="110"/>
        <v>0</v>
      </c>
      <c r="S205" s="230">
        <f t="shared" si="110"/>
        <v>0</v>
      </c>
      <c r="T205" s="230">
        <f t="shared" si="110"/>
        <v>0</v>
      </c>
      <c r="U205" s="230">
        <f t="shared" si="110"/>
        <v>0</v>
      </c>
      <c r="V205" s="230">
        <f t="shared" si="110"/>
        <v>0</v>
      </c>
      <c r="W205" s="230">
        <f t="shared" si="110"/>
        <v>0</v>
      </c>
      <c r="X205" s="230">
        <f t="shared" si="110"/>
        <v>0</v>
      </c>
      <c r="Y205" s="230">
        <f t="shared" si="110"/>
        <v>0</v>
      </c>
      <c r="Z205" s="230">
        <f t="shared" si="110"/>
        <v>0</v>
      </c>
      <c r="AA205" s="230">
        <f t="shared" si="110"/>
        <v>0</v>
      </c>
      <c r="AB205" s="230">
        <f t="shared" si="110"/>
        <v>0</v>
      </c>
      <c r="AC205" s="230">
        <f t="shared" si="110"/>
        <v>0</v>
      </c>
      <c r="AD205" s="230">
        <f t="shared" si="110"/>
        <v>0</v>
      </c>
      <c r="AE205" s="230">
        <f t="shared" si="110"/>
        <v>0</v>
      </c>
      <c r="AF205" s="230">
        <f t="shared" si="110"/>
        <v>0</v>
      </c>
      <c r="AG205" s="230">
        <f t="shared" si="110"/>
        <v>0</v>
      </c>
      <c r="AH205" s="245"/>
      <c r="AI205" s="133"/>
      <c r="AJ205" s="211"/>
      <c r="AL205" s="108"/>
      <c r="AM205" s="2"/>
      <c r="AN205" s="2"/>
      <c r="AO205" s="2"/>
      <c r="BC205" s="1"/>
      <c r="BD205" s="2"/>
      <c r="BE205" s="2"/>
      <c r="BF205" s="2"/>
      <c r="BG205" s="2"/>
      <c r="BH205" s="2"/>
      <c r="BI205" s="2"/>
      <c r="BJ205" s="2"/>
      <c r="BK205" s="2"/>
    </row>
    <row r="206" spans="1:63" outlineLevel="1" x14ac:dyDescent="0.2">
      <c r="A206" s="4" t="s">
        <v>1561</v>
      </c>
      <c r="C206" s="230">
        <f t="shared" si="111"/>
        <v>0</v>
      </c>
      <c r="D206" s="230">
        <f t="shared" si="110"/>
        <v>3.5862669189764395E-3</v>
      </c>
      <c r="E206" s="230">
        <f t="shared" si="110"/>
        <v>7.553755785708707E-3</v>
      </c>
      <c r="F206" s="230">
        <f t="shared" si="110"/>
        <v>1.190023775119718E-2</v>
      </c>
      <c r="G206" s="230">
        <f t="shared" si="110"/>
        <v>1.6618566032794151E-2</v>
      </c>
      <c r="H206" s="230">
        <f t="shared" si="110"/>
        <v>2.1696483302966467E-2</v>
      </c>
      <c r="I206" s="230">
        <f t="shared" si="110"/>
        <v>2.6569569851841592E-2</v>
      </c>
      <c r="J206" s="230">
        <f t="shared" si="110"/>
        <v>3.1704299776596424E-2</v>
      </c>
      <c r="K206" s="230">
        <f t="shared" si="110"/>
        <v>3.7093931622046203E-2</v>
      </c>
      <c r="L206" s="230">
        <f t="shared" si="110"/>
        <v>4.2730412509420779E-2</v>
      </c>
      <c r="M206" s="230">
        <f t="shared" si="110"/>
        <v>4.8604357397470078E-2</v>
      </c>
      <c r="N206" s="230">
        <f t="shared" si="110"/>
        <v>5.6819469642263525E-2</v>
      </c>
      <c r="O206" s="230">
        <f t="shared" si="110"/>
        <v>6.5381024002066704E-2</v>
      </c>
      <c r="P206" s="230">
        <f t="shared" si="110"/>
        <v>7.4230686803189533E-2</v>
      </c>
      <c r="Q206" s="230">
        <f t="shared" si="110"/>
        <v>8.3304653294465486E-2</v>
      </c>
      <c r="R206" s="230">
        <f t="shared" si="110"/>
        <v>9.2534315655750279E-2</v>
      </c>
      <c r="S206" s="230">
        <f t="shared" si="110"/>
        <v>0.10269137898766546</v>
      </c>
      <c r="T206" s="230">
        <f t="shared" si="110"/>
        <v>0.1132497713668127</v>
      </c>
      <c r="U206" s="230">
        <f t="shared" si="110"/>
        <v>0.12419638391372935</v>
      </c>
      <c r="V206" s="230">
        <f t="shared" si="110"/>
        <v>0.13551720879893836</v>
      </c>
      <c r="W206" s="230">
        <f t="shared" si="110"/>
        <v>0.1471973339790878</v>
      </c>
      <c r="X206" s="230">
        <f t="shared" si="110"/>
        <v>0.16357155192947903</v>
      </c>
      <c r="Y206" s="230">
        <f t="shared" si="110"/>
        <v>0.18056027862878204</v>
      </c>
      <c r="Z206" s="230">
        <f t="shared" si="110"/>
        <v>0.19813843497381936</v>
      </c>
      <c r="AA206" s="230">
        <f t="shared" si="110"/>
        <v>0.21627946443678053</v>
      </c>
      <c r="AB206" s="230">
        <f t="shared" si="110"/>
        <v>0.23495532641503664</v>
      </c>
      <c r="AC206" s="230">
        <f t="shared" si="110"/>
        <v>0.25330778405150534</v>
      </c>
      <c r="AD206" s="230">
        <f t="shared" si="110"/>
        <v>0.27198846880944466</v>
      </c>
      <c r="AE206" s="230">
        <f t="shared" si="110"/>
        <v>0.29095424727631125</v>
      </c>
      <c r="AF206" s="230">
        <f t="shared" si="110"/>
        <v>0.31016024142748982</v>
      </c>
      <c r="AG206" s="230">
        <f t="shared" si="110"/>
        <v>0.3295598284642538</v>
      </c>
      <c r="AH206" s="245"/>
      <c r="AI206" s="133"/>
      <c r="AJ206" s="211"/>
      <c r="AL206" s="108"/>
      <c r="AM206" s="2"/>
      <c r="AN206" s="2"/>
      <c r="AO206" s="2"/>
      <c r="BC206" s="1"/>
      <c r="BD206" s="2"/>
      <c r="BE206" s="2"/>
      <c r="BF206" s="2"/>
      <c r="BG206" s="2"/>
      <c r="BH206" s="2"/>
      <c r="BI206" s="2"/>
      <c r="BJ206" s="2"/>
      <c r="BK206" s="2"/>
    </row>
    <row r="207" spans="1:63" s="1" customFormat="1" outlineLevel="1" x14ac:dyDescent="0.2">
      <c r="A207" s="1" t="s">
        <v>1567</v>
      </c>
      <c r="B207" s="65"/>
      <c r="C207" s="300">
        <f>C185*C45</f>
        <v>2.1820102605973023E-2</v>
      </c>
      <c r="D207" s="300">
        <f t="shared" ref="D207:AG207" si="112">D185*D45</f>
        <v>2.7438864853883818E-2</v>
      </c>
      <c r="E207" s="300">
        <f t="shared" si="112"/>
        <v>3.3654904308572306E-2</v>
      </c>
      <c r="F207" s="300">
        <f t="shared" si="112"/>
        <v>4.046472893419778E-2</v>
      </c>
      <c r="G207" s="300">
        <f t="shared" si="112"/>
        <v>4.7857141551787732E-2</v>
      </c>
      <c r="H207" s="300">
        <f t="shared" si="112"/>
        <v>5.5812938066733611E-2</v>
      </c>
      <c r="I207" s="300">
        <f t="shared" si="112"/>
        <v>6.344781727406161E-2</v>
      </c>
      <c r="J207" s="300">
        <f t="shared" si="112"/>
        <v>7.1492624675810912E-2</v>
      </c>
      <c r="K207" s="300">
        <f t="shared" si="112"/>
        <v>7.9936798137387535E-2</v>
      </c>
      <c r="L207" s="300">
        <f t="shared" si="112"/>
        <v>8.8767720859137991E-2</v>
      </c>
      <c r="M207" s="300">
        <f t="shared" si="112"/>
        <v>9.7970688883810234E-2</v>
      </c>
      <c r="N207" s="300">
        <f t="shared" si="112"/>
        <v>0.1108416668634887</v>
      </c>
      <c r="O207" s="300">
        <f t="shared" si="112"/>
        <v>0.12425543095498809</v>
      </c>
      <c r="P207" s="300">
        <f t="shared" si="112"/>
        <v>0.13812058722391446</v>
      </c>
      <c r="Q207" s="300">
        <f t="shared" si="112"/>
        <v>0.15233716995795715</v>
      </c>
      <c r="R207" s="300">
        <f t="shared" si="112"/>
        <v>0.16679768826520894</v>
      </c>
      <c r="S207" s="300">
        <f t="shared" si="112"/>
        <v>0.18271120649694517</v>
      </c>
      <c r="T207" s="300">
        <f t="shared" si="112"/>
        <v>0.19925350461331448</v>
      </c>
      <c r="U207" s="300">
        <f t="shared" si="112"/>
        <v>0.21640404435581545</v>
      </c>
      <c r="V207" s="300">
        <f t="shared" si="112"/>
        <v>0.23414087904138764</v>
      </c>
      <c r="W207" s="300">
        <f t="shared" si="112"/>
        <v>0.25244064531528976</v>
      </c>
      <c r="X207" s="300">
        <f t="shared" si="112"/>
        <v>0.27809485336430478</v>
      </c>
      <c r="Y207" s="300">
        <f t="shared" si="112"/>
        <v>0.30471183932065465</v>
      </c>
      <c r="Z207" s="300">
        <f t="shared" si="112"/>
        <v>0.33225231064941974</v>
      </c>
      <c r="AA207" s="300">
        <f t="shared" si="112"/>
        <v>0.3606746600694723</v>
      </c>
      <c r="AB207" s="300">
        <f t="shared" si="112"/>
        <v>0.38993495513433818</v>
      </c>
      <c r="AC207" s="300">
        <f t="shared" si="112"/>
        <v>0.41868855838080365</v>
      </c>
      <c r="AD207" s="300">
        <f t="shared" si="112"/>
        <v>0.44795640950689597</v>
      </c>
      <c r="AE207" s="300">
        <f t="shared" si="112"/>
        <v>0.47767092949646889</v>
      </c>
      <c r="AF207" s="300">
        <f t="shared" si="112"/>
        <v>0.50776180597284604</v>
      </c>
      <c r="AG207" s="300">
        <f t="shared" si="112"/>
        <v>0.53815599294494665</v>
      </c>
      <c r="AH207" s="245"/>
      <c r="AI207" s="423"/>
      <c r="AJ207" s="424"/>
      <c r="AL207" s="221"/>
      <c r="AM207" s="124"/>
      <c r="AN207" s="124"/>
      <c r="AO207" s="124"/>
      <c r="BD207" s="124"/>
      <c r="BE207" s="124"/>
      <c r="BF207" s="124"/>
      <c r="BG207" s="124"/>
      <c r="BH207" s="124"/>
      <c r="BI207" s="124"/>
      <c r="BJ207" s="124"/>
      <c r="BK207" s="124"/>
    </row>
    <row r="208" spans="1:63" outlineLevel="1" x14ac:dyDescent="0.2">
      <c r="A208" s="4" t="s">
        <v>474</v>
      </c>
      <c r="C208" s="230">
        <f>C$207*'Methanol recycling rates'!E66</f>
        <v>7.8930651746296609E-3</v>
      </c>
      <c r="D208" s="230">
        <f>D$207*'Methanol recycling rates'!F66</f>
        <v>9.9255605035640185E-3</v>
      </c>
      <c r="E208" s="230">
        <f>E$207*'Methanol recycling rates'!G66</f>
        <v>1.2174111091520237E-2</v>
      </c>
      <c r="F208" s="230">
        <f>F$207*'Methanol recycling rates'!H66</f>
        <v>1.4637453751657238E-2</v>
      </c>
      <c r="G208" s="230">
        <f>G$207*'Methanol recycling rates'!I66</f>
        <v>1.7311538087650222E-2</v>
      </c>
      <c r="H208" s="230">
        <f>H$207*'Methanol recycling rates'!J66</f>
        <v>2.0189417332423788E-2</v>
      </c>
      <c r="I208" s="230">
        <f>I$207*'Methanol recycling rates'!K66</f>
        <v>2.2951209990876662E-2</v>
      </c>
      <c r="J208" s="230">
        <f>J$207*'Methanol recycling rates'!L66</f>
        <v>2.5861287467871127E-2</v>
      </c>
      <c r="K208" s="230">
        <f>K$207*'Methanol recycling rates'!M66</f>
        <v>2.8915829083997972E-2</v>
      </c>
      <c r="L208" s="230">
        <f>L$207*'Methanol recycling rates'!N66</f>
        <v>3.2110270918373852E-2</v>
      </c>
      <c r="M208" s="230">
        <f>M$207*'Methanol recycling rates'!O66</f>
        <v>3.5439294054996795E-2</v>
      </c>
      <c r="N208" s="230">
        <f>N$207*'Methanol recycling rates'!P66</f>
        <v>4.0095159789881825E-2</v>
      </c>
      <c r="O208" s="230">
        <f>O$207*'Methanol recycling rates'!Q66</f>
        <v>4.4947369521578011E-2</v>
      </c>
      <c r="P208" s="230">
        <f>P$207*'Methanol recycling rates'!R66</f>
        <v>4.996286298938156E-2</v>
      </c>
      <c r="Q208" s="230">
        <f>Q$207*'Methanol recycling rates'!S66</f>
        <v>5.5105479232148299E-2</v>
      </c>
      <c r="R208" s="230">
        <f>R$207*'Methanol recycling rates'!T66</f>
        <v>6.0336335178115284E-2</v>
      </c>
      <c r="S208" s="230">
        <f>S$207*'Methanol recycling rates'!U66</f>
        <v>6.6092790077936336E-2</v>
      </c>
      <c r="T208" s="230">
        <f>T$207*'Methanol recycling rates'!V66</f>
        <v>7.2076695815158409E-2</v>
      </c>
      <c r="U208" s="230">
        <f>U$207*'Methanol recycling rates'!W66</f>
        <v>7.8280623010742734E-2</v>
      </c>
      <c r="V208" s="230">
        <f>V$207*'Methanol recycling rates'!X66</f>
        <v>8.4696632811105926E-2</v>
      </c>
      <c r="W208" s="230">
        <f>W$207*'Methanol recycling rates'!Y66</f>
        <v>9.1316273904858622E-2</v>
      </c>
      <c r="X208" s="230">
        <f>X$207*'Methanol recycling rates'!Z66</f>
        <v>0.10059626400348239</v>
      </c>
      <c r="Y208" s="230">
        <f>Y$207*'Methanol recycling rates'!AA66</f>
        <v>0.11022452326052924</v>
      </c>
      <c r="Z208" s="230">
        <f>Z$207*'Methanol recycling rates'!AB66</f>
        <v>0.12018683824425701</v>
      </c>
      <c r="AA208" s="230">
        <f>AA$207*'Methanol recycling rates'!AC66</f>
        <v>0.13046815820134841</v>
      </c>
      <c r="AB208" s="230">
        <f>AB$207*'Methanol recycling rates'!AD66</f>
        <v>0.14105259128795819</v>
      </c>
      <c r="AC208" s="230">
        <f>AC$207*'Methanol recycling rates'!AE66</f>
        <v>0.15145373689795494</v>
      </c>
      <c r="AD208" s="230">
        <f>AD$207*'Methanol recycling rates'!AF66</f>
        <v>0.1620409032661079</v>
      </c>
      <c r="AE208" s="230">
        <f>AE$207*'Methanol recycling rates'!AG66</f>
        <v>0.17278964478881426</v>
      </c>
      <c r="AF208" s="230">
        <f>AF$207*'Methanol recycling rates'!AH66</f>
        <v>0.18367452711401283</v>
      </c>
      <c r="AG208" s="230">
        <f>AG$207*'Methanol recycling rates'!AI66</f>
        <v>0.19466912704934947</v>
      </c>
      <c r="AH208" s="245"/>
      <c r="AI208" s="133"/>
      <c r="AJ208" s="211"/>
      <c r="AL208" s="108"/>
      <c r="AM208" s="2"/>
      <c r="AN208" s="2"/>
      <c r="AO208" s="2"/>
      <c r="BC208" s="1"/>
      <c r="BD208" s="2"/>
      <c r="BE208" s="2"/>
      <c r="BF208" s="2"/>
      <c r="BG208" s="2"/>
      <c r="BH208" s="2"/>
      <c r="BI208" s="2"/>
      <c r="BJ208" s="2"/>
      <c r="BK208" s="2"/>
    </row>
    <row r="209" spans="1:63" outlineLevel="1" x14ac:dyDescent="0.2">
      <c r="A209" s="4" t="s">
        <v>745</v>
      </c>
      <c r="C209" s="230">
        <f>C$207*'Methanol recycling rates'!E67</f>
        <v>0</v>
      </c>
      <c r="D209" s="230">
        <f>D$207*'Methanol recycling rates'!F67</f>
        <v>0</v>
      </c>
      <c r="E209" s="230">
        <f>E$207*'Methanol recycling rates'!G67</f>
        <v>0</v>
      </c>
      <c r="F209" s="230">
        <f>F$207*'Methanol recycling rates'!H67</f>
        <v>0</v>
      </c>
      <c r="G209" s="230">
        <f>G$207*'Methanol recycling rates'!I67</f>
        <v>0</v>
      </c>
      <c r="H209" s="230">
        <f>H$207*'Methanol recycling rates'!J67</f>
        <v>0</v>
      </c>
      <c r="I209" s="230">
        <f>I$207*'Methanol recycling rates'!K67</f>
        <v>0</v>
      </c>
      <c r="J209" s="230">
        <f>J$207*'Methanol recycling rates'!L67</f>
        <v>0</v>
      </c>
      <c r="K209" s="230">
        <f>K$207*'Methanol recycling rates'!M67</f>
        <v>0</v>
      </c>
      <c r="L209" s="230">
        <f>L$207*'Methanol recycling rates'!N67</f>
        <v>0</v>
      </c>
      <c r="M209" s="230">
        <f>M$207*'Methanol recycling rates'!O67</f>
        <v>0</v>
      </c>
      <c r="N209" s="230">
        <f>N$207*'Methanol recycling rates'!P67</f>
        <v>0</v>
      </c>
      <c r="O209" s="230">
        <f>O$207*'Methanol recycling rates'!Q67</f>
        <v>0</v>
      </c>
      <c r="P209" s="230">
        <f>P$207*'Methanol recycling rates'!R67</f>
        <v>0</v>
      </c>
      <c r="Q209" s="230">
        <f>Q$207*'Methanol recycling rates'!S67</f>
        <v>0</v>
      </c>
      <c r="R209" s="230">
        <f>R$207*'Methanol recycling rates'!T67</f>
        <v>0</v>
      </c>
      <c r="S209" s="230">
        <f>S$207*'Methanol recycling rates'!U67</f>
        <v>0</v>
      </c>
      <c r="T209" s="230">
        <f>T$207*'Methanol recycling rates'!V67</f>
        <v>0</v>
      </c>
      <c r="U209" s="230">
        <f>U$207*'Methanol recycling rates'!W67</f>
        <v>0</v>
      </c>
      <c r="V209" s="230">
        <f>V$207*'Methanol recycling rates'!X67</f>
        <v>0</v>
      </c>
      <c r="W209" s="230">
        <f>W$207*'Methanol recycling rates'!Y67</f>
        <v>0</v>
      </c>
      <c r="X209" s="230">
        <f>X$207*'Methanol recycling rates'!Z67</f>
        <v>0</v>
      </c>
      <c r="Y209" s="230">
        <f>Y$207*'Methanol recycling rates'!AA67</f>
        <v>0</v>
      </c>
      <c r="Z209" s="230">
        <f>Z$207*'Methanol recycling rates'!AB67</f>
        <v>0</v>
      </c>
      <c r="AA209" s="230">
        <f>AA$207*'Methanol recycling rates'!AC67</f>
        <v>0</v>
      </c>
      <c r="AB209" s="230">
        <f>AB$207*'Methanol recycling rates'!AD67</f>
        <v>0</v>
      </c>
      <c r="AC209" s="230">
        <f>AC$207*'Methanol recycling rates'!AE67</f>
        <v>0</v>
      </c>
      <c r="AD209" s="230">
        <f>AD$207*'Methanol recycling rates'!AF67</f>
        <v>0</v>
      </c>
      <c r="AE209" s="230">
        <f>AE$207*'Methanol recycling rates'!AG67</f>
        <v>0</v>
      </c>
      <c r="AF209" s="230">
        <f>AF$207*'Methanol recycling rates'!AH67</f>
        <v>0</v>
      </c>
      <c r="AG209" s="230">
        <f>AG$207*'Methanol recycling rates'!AI67</f>
        <v>0</v>
      </c>
      <c r="AH209" s="245"/>
      <c r="AI209" s="133"/>
      <c r="AJ209" s="211"/>
      <c r="AL209" s="108"/>
      <c r="AM209" s="2"/>
      <c r="AN209" s="2"/>
      <c r="AO209" s="2"/>
      <c r="BC209" s="1"/>
      <c r="BD209" s="2"/>
      <c r="BE209" s="2"/>
      <c r="BF209" s="2"/>
      <c r="BG209" s="2"/>
      <c r="BH209" s="2"/>
      <c r="BI209" s="2"/>
      <c r="BJ209" s="2"/>
      <c r="BK209" s="2"/>
    </row>
    <row r="210" spans="1:63" outlineLevel="1" x14ac:dyDescent="0.2">
      <c r="A210" s="4" t="s">
        <v>1561</v>
      </c>
      <c r="C210" s="230">
        <f>C$207*'Methanol recycling rates'!E68</f>
        <v>1.3927037431343362E-2</v>
      </c>
      <c r="D210" s="230">
        <f>D$207*'Methanol recycling rates'!F68</f>
        <v>1.7513304350319801E-2</v>
      </c>
      <c r="E210" s="230">
        <f>E$207*'Methanol recycling rates'!G68</f>
        <v>2.1480793217052069E-2</v>
      </c>
      <c r="F210" s="230">
        <f>F$207*'Methanol recycling rates'!H68</f>
        <v>2.5827275182540542E-2</v>
      </c>
      <c r="G210" s="230">
        <f>G$207*'Methanol recycling rates'!I68</f>
        <v>3.0545603464137511E-2</v>
      </c>
      <c r="H210" s="230">
        <f>H$207*'Methanol recycling rates'!J68</f>
        <v>3.5623520734309827E-2</v>
      </c>
      <c r="I210" s="230">
        <f>I$207*'Methanol recycling rates'!K68</f>
        <v>4.0496607283184952E-2</v>
      </c>
      <c r="J210" s="230">
        <f>J$207*'Methanol recycling rates'!L68</f>
        <v>4.5631337207939784E-2</v>
      </c>
      <c r="K210" s="230">
        <f>K$207*'Methanol recycling rates'!M68</f>
        <v>5.1020969053389563E-2</v>
      </c>
      <c r="L210" s="230">
        <f>L$207*'Methanol recycling rates'!N68</f>
        <v>5.6657449940764139E-2</v>
      </c>
      <c r="M210" s="230">
        <f>M$207*'Methanol recycling rates'!O68</f>
        <v>6.2531394828813439E-2</v>
      </c>
      <c r="N210" s="230">
        <f>N$207*'Methanol recycling rates'!P68</f>
        <v>7.0746507073606885E-2</v>
      </c>
      <c r="O210" s="230">
        <f>O$207*'Methanol recycling rates'!Q68</f>
        <v>7.9308061433410071E-2</v>
      </c>
      <c r="P210" s="230">
        <f>P$207*'Methanol recycling rates'!R68</f>
        <v>8.81577242345329E-2</v>
      </c>
      <c r="Q210" s="230">
        <f>Q$207*'Methanol recycling rates'!S68</f>
        <v>9.7231690725808853E-2</v>
      </c>
      <c r="R210" s="230">
        <f>R$207*'Methanol recycling rates'!T68</f>
        <v>0.10646135308709365</v>
      </c>
      <c r="S210" s="230">
        <f>S$207*'Methanol recycling rates'!U68</f>
        <v>0.11661841641900883</v>
      </c>
      <c r="T210" s="230">
        <f>T$207*'Methanol recycling rates'!V68</f>
        <v>0.12717680879815607</v>
      </c>
      <c r="U210" s="230">
        <f>U$207*'Methanol recycling rates'!W68</f>
        <v>0.13812342134507272</v>
      </c>
      <c r="V210" s="230">
        <f>V$207*'Methanol recycling rates'!X68</f>
        <v>0.14944424623028171</v>
      </c>
      <c r="W210" s="230">
        <f>W$207*'Methanol recycling rates'!Y68</f>
        <v>0.16112437141043115</v>
      </c>
      <c r="X210" s="230">
        <f>X$207*'Methanol recycling rates'!Z68</f>
        <v>0.17749858936082238</v>
      </c>
      <c r="Y210" s="230">
        <f>Y$207*'Methanol recycling rates'!AA68</f>
        <v>0.1944873160601254</v>
      </c>
      <c r="Z210" s="230">
        <f>Z$207*'Methanol recycling rates'!AB68</f>
        <v>0.21206547240516271</v>
      </c>
      <c r="AA210" s="230">
        <f>AA$207*'Methanol recycling rates'!AC68</f>
        <v>0.23020650186812389</v>
      </c>
      <c r="AB210" s="230">
        <f>AB$207*'Methanol recycling rates'!AD68</f>
        <v>0.24888236384637999</v>
      </c>
      <c r="AC210" s="230">
        <f>AC$207*'Methanol recycling rates'!AE68</f>
        <v>0.26723482148284872</v>
      </c>
      <c r="AD210" s="230">
        <f>AD$207*'Methanol recycling rates'!AF68</f>
        <v>0.28591550624078804</v>
      </c>
      <c r="AE210" s="230">
        <f>AE$207*'Methanol recycling rates'!AG68</f>
        <v>0.30488128470765463</v>
      </c>
      <c r="AF210" s="230">
        <f>AF$207*'Methanol recycling rates'!AH68</f>
        <v>0.32408727885883321</v>
      </c>
      <c r="AG210" s="230">
        <f>AG$207*'Methanol recycling rates'!AI68</f>
        <v>0.34348686589559718</v>
      </c>
      <c r="AH210" s="245"/>
      <c r="AI210" s="133"/>
      <c r="AJ210" s="211"/>
      <c r="AL210" s="108"/>
      <c r="AM210" s="2"/>
      <c r="AN210" s="2"/>
      <c r="AO210" s="2"/>
      <c r="BC210" s="1"/>
      <c r="BD210" s="2"/>
      <c r="BE210" s="2"/>
      <c r="BF210" s="2"/>
      <c r="BG210" s="2"/>
      <c r="BH210" s="2"/>
      <c r="BI210" s="2"/>
      <c r="BJ210" s="2"/>
      <c r="BK210" s="2"/>
    </row>
    <row r="211" spans="1:63" s="1" customFormat="1" outlineLevel="1" x14ac:dyDescent="0.2">
      <c r="A211" s="1" t="s">
        <v>1568</v>
      </c>
      <c r="B211" s="65"/>
      <c r="C211" s="300">
        <f>C207-$C207</f>
        <v>0</v>
      </c>
      <c r="D211" s="300">
        <f t="shared" ref="D211:AG214" si="113">D207-$C207</f>
        <v>5.6187622479107954E-3</v>
      </c>
      <c r="E211" s="300">
        <f t="shared" si="113"/>
        <v>1.1834801702599283E-2</v>
      </c>
      <c r="F211" s="300">
        <f t="shared" si="113"/>
        <v>1.8644626328224757E-2</v>
      </c>
      <c r="G211" s="300">
        <f t="shared" si="113"/>
        <v>2.603703894581471E-2</v>
      </c>
      <c r="H211" s="300">
        <f t="shared" si="113"/>
        <v>3.3992835460760588E-2</v>
      </c>
      <c r="I211" s="300">
        <f t="shared" si="113"/>
        <v>4.1627714668088588E-2</v>
      </c>
      <c r="J211" s="300">
        <f t="shared" si="113"/>
        <v>4.9672522069837889E-2</v>
      </c>
      <c r="K211" s="300">
        <f t="shared" si="113"/>
        <v>5.8116695531414513E-2</v>
      </c>
      <c r="L211" s="300">
        <f t="shared" si="113"/>
        <v>6.6947618253164975E-2</v>
      </c>
      <c r="M211" s="300">
        <f t="shared" si="113"/>
        <v>7.6150586277837218E-2</v>
      </c>
      <c r="N211" s="300">
        <f t="shared" si="113"/>
        <v>8.9021564257515673E-2</v>
      </c>
      <c r="O211" s="300">
        <f t="shared" si="113"/>
        <v>0.10243532834901506</v>
      </c>
      <c r="P211" s="300">
        <f t="shared" si="113"/>
        <v>0.11630048461794143</v>
      </c>
      <c r="Q211" s="300">
        <f t="shared" si="113"/>
        <v>0.13051706735198412</v>
      </c>
      <c r="R211" s="300">
        <f t="shared" si="113"/>
        <v>0.14497758565923591</v>
      </c>
      <c r="S211" s="300">
        <f t="shared" si="113"/>
        <v>0.16089110389097214</v>
      </c>
      <c r="T211" s="300">
        <f t="shared" si="113"/>
        <v>0.17743340200734145</v>
      </c>
      <c r="U211" s="300">
        <f t="shared" si="113"/>
        <v>0.19458394174984242</v>
      </c>
      <c r="V211" s="300">
        <f t="shared" si="113"/>
        <v>0.21232077643541461</v>
      </c>
      <c r="W211" s="300">
        <f t="shared" si="113"/>
        <v>0.23062054270931673</v>
      </c>
      <c r="X211" s="300">
        <f t="shared" si="113"/>
        <v>0.25627475075833178</v>
      </c>
      <c r="Y211" s="300">
        <f t="shared" si="113"/>
        <v>0.28289173671468165</v>
      </c>
      <c r="Z211" s="300">
        <f t="shared" si="113"/>
        <v>0.31043220804344673</v>
      </c>
      <c r="AA211" s="300">
        <f t="shared" si="113"/>
        <v>0.3388545574634993</v>
      </c>
      <c r="AB211" s="300">
        <f t="shared" si="113"/>
        <v>0.36811485252836518</v>
      </c>
      <c r="AC211" s="300">
        <f t="shared" si="113"/>
        <v>0.39686845577483065</v>
      </c>
      <c r="AD211" s="300">
        <f t="shared" si="113"/>
        <v>0.42613630690092297</v>
      </c>
      <c r="AE211" s="300">
        <f t="shared" si="113"/>
        <v>0.45585082689049589</v>
      </c>
      <c r="AF211" s="300">
        <f t="shared" si="113"/>
        <v>0.48594170336687303</v>
      </c>
      <c r="AG211" s="300">
        <f t="shared" si="113"/>
        <v>0.51633589033897365</v>
      </c>
      <c r="AH211" s="245"/>
      <c r="AI211" s="423"/>
      <c r="AJ211" s="424"/>
      <c r="AL211" s="221"/>
      <c r="AM211" s="124"/>
      <c r="AN211" s="124"/>
      <c r="AO211" s="124"/>
      <c r="BD211" s="124"/>
      <c r="BE211" s="124"/>
      <c r="BF211" s="124"/>
      <c r="BG211" s="124"/>
      <c r="BH211" s="124"/>
      <c r="BI211" s="124"/>
      <c r="BJ211" s="124"/>
      <c r="BK211" s="124"/>
    </row>
    <row r="212" spans="1:63" outlineLevel="1" x14ac:dyDescent="0.2">
      <c r="A212" s="4" t="s">
        <v>474</v>
      </c>
      <c r="C212" s="230">
        <f t="shared" ref="C212:C214" si="114">C208-$C208</f>
        <v>0</v>
      </c>
      <c r="D212" s="230">
        <f t="shared" si="113"/>
        <v>2.0324953289343577E-3</v>
      </c>
      <c r="E212" s="230">
        <f t="shared" si="113"/>
        <v>4.2810459168905763E-3</v>
      </c>
      <c r="F212" s="230">
        <f t="shared" si="113"/>
        <v>6.7443885770275772E-3</v>
      </c>
      <c r="G212" s="230">
        <f t="shared" si="113"/>
        <v>9.4184729130205608E-3</v>
      </c>
      <c r="H212" s="230">
        <f t="shared" si="113"/>
        <v>1.2296352157794127E-2</v>
      </c>
      <c r="I212" s="230">
        <f t="shared" si="113"/>
        <v>1.5058144816247001E-2</v>
      </c>
      <c r="J212" s="230">
        <f t="shared" si="113"/>
        <v>1.7968222293241465E-2</v>
      </c>
      <c r="K212" s="230">
        <f t="shared" si="113"/>
        <v>2.102276390936831E-2</v>
      </c>
      <c r="L212" s="230">
        <f t="shared" si="113"/>
        <v>2.421720574374419E-2</v>
      </c>
      <c r="M212" s="230">
        <f t="shared" si="113"/>
        <v>2.7546228880367132E-2</v>
      </c>
      <c r="N212" s="230">
        <f t="shared" si="113"/>
        <v>3.2202094615252162E-2</v>
      </c>
      <c r="O212" s="230">
        <f t="shared" si="113"/>
        <v>3.7054304346948348E-2</v>
      </c>
      <c r="P212" s="230">
        <f t="shared" si="113"/>
        <v>4.2069797814751897E-2</v>
      </c>
      <c r="Q212" s="230">
        <f t="shared" si="113"/>
        <v>4.7212414057518637E-2</v>
      </c>
      <c r="R212" s="230">
        <f t="shared" si="113"/>
        <v>5.2443270003485622E-2</v>
      </c>
      <c r="S212" s="230">
        <f t="shared" si="113"/>
        <v>5.8199724903306674E-2</v>
      </c>
      <c r="T212" s="230">
        <f t="shared" si="113"/>
        <v>6.4183630640528747E-2</v>
      </c>
      <c r="U212" s="230">
        <f t="shared" si="113"/>
        <v>7.0387557836113071E-2</v>
      </c>
      <c r="V212" s="230">
        <f t="shared" si="113"/>
        <v>7.6803567636476264E-2</v>
      </c>
      <c r="W212" s="230">
        <f t="shared" si="113"/>
        <v>8.3423208730228959E-2</v>
      </c>
      <c r="X212" s="230">
        <f t="shared" si="113"/>
        <v>9.2703198828852723E-2</v>
      </c>
      <c r="Y212" s="230">
        <f t="shared" si="113"/>
        <v>0.10233145808589958</v>
      </c>
      <c r="Z212" s="230">
        <f t="shared" si="113"/>
        <v>0.11229377306962735</v>
      </c>
      <c r="AA212" s="230">
        <f t="shared" si="113"/>
        <v>0.12257509302671875</v>
      </c>
      <c r="AB212" s="230">
        <f t="shared" si="113"/>
        <v>0.13315952611332854</v>
      </c>
      <c r="AC212" s="230">
        <f t="shared" si="113"/>
        <v>0.14356067172332529</v>
      </c>
      <c r="AD212" s="230">
        <f t="shared" si="113"/>
        <v>0.15414783809147825</v>
      </c>
      <c r="AE212" s="230">
        <f t="shared" si="113"/>
        <v>0.16489657961418461</v>
      </c>
      <c r="AF212" s="230">
        <f t="shared" si="113"/>
        <v>0.17578146193938318</v>
      </c>
      <c r="AG212" s="230">
        <f t="shared" si="113"/>
        <v>0.18677606187471982</v>
      </c>
      <c r="AH212" s="245"/>
      <c r="AI212" s="133"/>
      <c r="AJ212" s="211"/>
      <c r="AL212" s="108"/>
      <c r="AM212" s="2"/>
      <c r="AN212" s="2"/>
      <c r="AO212" s="2"/>
      <c r="BC212" s="1"/>
      <c r="BD212" s="2"/>
      <c r="BE212" s="2"/>
      <c r="BF212" s="2"/>
      <c r="BG212" s="2"/>
      <c r="BH212" s="2"/>
      <c r="BI212" s="2"/>
      <c r="BJ212" s="2"/>
      <c r="BK212" s="2"/>
    </row>
    <row r="213" spans="1:63" outlineLevel="1" x14ac:dyDescent="0.2">
      <c r="A213" s="4" t="s">
        <v>745</v>
      </c>
      <c r="C213" s="230">
        <f t="shared" si="114"/>
        <v>0</v>
      </c>
      <c r="D213" s="230">
        <f t="shared" si="113"/>
        <v>0</v>
      </c>
      <c r="E213" s="230">
        <f t="shared" si="113"/>
        <v>0</v>
      </c>
      <c r="F213" s="230">
        <f t="shared" si="113"/>
        <v>0</v>
      </c>
      <c r="G213" s="230">
        <f t="shared" si="113"/>
        <v>0</v>
      </c>
      <c r="H213" s="230">
        <f t="shared" si="113"/>
        <v>0</v>
      </c>
      <c r="I213" s="230">
        <f t="shared" si="113"/>
        <v>0</v>
      </c>
      <c r="J213" s="230">
        <f t="shared" si="113"/>
        <v>0</v>
      </c>
      <c r="K213" s="230">
        <f t="shared" si="113"/>
        <v>0</v>
      </c>
      <c r="L213" s="230">
        <f t="shared" si="113"/>
        <v>0</v>
      </c>
      <c r="M213" s="230">
        <f t="shared" si="113"/>
        <v>0</v>
      </c>
      <c r="N213" s="230">
        <f t="shared" si="113"/>
        <v>0</v>
      </c>
      <c r="O213" s="230">
        <f t="shared" si="113"/>
        <v>0</v>
      </c>
      <c r="P213" s="230">
        <f t="shared" si="113"/>
        <v>0</v>
      </c>
      <c r="Q213" s="230">
        <f t="shared" si="113"/>
        <v>0</v>
      </c>
      <c r="R213" s="230">
        <f t="shared" si="113"/>
        <v>0</v>
      </c>
      <c r="S213" s="230">
        <f t="shared" si="113"/>
        <v>0</v>
      </c>
      <c r="T213" s="230">
        <f t="shared" si="113"/>
        <v>0</v>
      </c>
      <c r="U213" s="230">
        <f t="shared" si="113"/>
        <v>0</v>
      </c>
      <c r="V213" s="230">
        <f t="shared" si="113"/>
        <v>0</v>
      </c>
      <c r="W213" s="230">
        <f t="shared" si="113"/>
        <v>0</v>
      </c>
      <c r="X213" s="230">
        <f t="shared" si="113"/>
        <v>0</v>
      </c>
      <c r="Y213" s="230">
        <f t="shared" si="113"/>
        <v>0</v>
      </c>
      <c r="Z213" s="230">
        <f t="shared" si="113"/>
        <v>0</v>
      </c>
      <c r="AA213" s="230">
        <f t="shared" si="113"/>
        <v>0</v>
      </c>
      <c r="AB213" s="230">
        <f t="shared" si="113"/>
        <v>0</v>
      </c>
      <c r="AC213" s="230">
        <f t="shared" si="113"/>
        <v>0</v>
      </c>
      <c r="AD213" s="230">
        <f t="shared" si="113"/>
        <v>0</v>
      </c>
      <c r="AE213" s="230">
        <f t="shared" si="113"/>
        <v>0</v>
      </c>
      <c r="AF213" s="230">
        <f t="shared" si="113"/>
        <v>0</v>
      </c>
      <c r="AG213" s="230">
        <f t="shared" si="113"/>
        <v>0</v>
      </c>
      <c r="AH213" s="245"/>
      <c r="AI213" s="133"/>
      <c r="AJ213" s="211"/>
      <c r="AL213" s="108"/>
      <c r="AM213" s="2"/>
      <c r="AN213" s="2"/>
      <c r="AO213" s="2"/>
      <c r="BC213" s="1"/>
      <c r="BD213" s="2"/>
      <c r="BE213" s="2"/>
      <c r="BF213" s="2"/>
      <c r="BG213" s="2"/>
      <c r="BH213" s="2"/>
      <c r="BI213" s="2"/>
      <c r="BJ213" s="2"/>
      <c r="BK213" s="2"/>
    </row>
    <row r="214" spans="1:63" outlineLevel="1" x14ac:dyDescent="0.2">
      <c r="A214" s="4" t="s">
        <v>1561</v>
      </c>
      <c r="C214" s="230">
        <f t="shared" si="114"/>
        <v>0</v>
      </c>
      <c r="D214" s="230">
        <f t="shared" si="113"/>
        <v>3.5862669189764395E-3</v>
      </c>
      <c r="E214" s="230">
        <f t="shared" si="113"/>
        <v>7.553755785708707E-3</v>
      </c>
      <c r="F214" s="230">
        <f t="shared" si="113"/>
        <v>1.190023775119718E-2</v>
      </c>
      <c r="G214" s="230">
        <f t="shared" si="113"/>
        <v>1.6618566032794151E-2</v>
      </c>
      <c r="H214" s="230">
        <f t="shared" si="113"/>
        <v>2.1696483302966467E-2</v>
      </c>
      <c r="I214" s="230">
        <f t="shared" si="113"/>
        <v>2.6569569851841592E-2</v>
      </c>
      <c r="J214" s="230">
        <f t="shared" si="113"/>
        <v>3.1704299776596424E-2</v>
      </c>
      <c r="K214" s="230">
        <f t="shared" si="113"/>
        <v>3.7093931622046203E-2</v>
      </c>
      <c r="L214" s="230">
        <f t="shared" si="113"/>
        <v>4.2730412509420779E-2</v>
      </c>
      <c r="M214" s="230">
        <f t="shared" si="113"/>
        <v>4.8604357397470078E-2</v>
      </c>
      <c r="N214" s="230">
        <f t="shared" si="113"/>
        <v>5.6819469642263525E-2</v>
      </c>
      <c r="O214" s="230">
        <f t="shared" si="113"/>
        <v>6.5381024002066704E-2</v>
      </c>
      <c r="P214" s="230">
        <f t="shared" si="113"/>
        <v>7.4230686803189533E-2</v>
      </c>
      <c r="Q214" s="230">
        <f t="shared" si="113"/>
        <v>8.3304653294465486E-2</v>
      </c>
      <c r="R214" s="230">
        <f t="shared" si="113"/>
        <v>9.2534315655750279E-2</v>
      </c>
      <c r="S214" s="230">
        <f t="shared" si="113"/>
        <v>0.10269137898766546</v>
      </c>
      <c r="T214" s="230">
        <f t="shared" si="113"/>
        <v>0.1132497713668127</v>
      </c>
      <c r="U214" s="230">
        <f t="shared" si="113"/>
        <v>0.12419638391372935</v>
      </c>
      <c r="V214" s="230">
        <f t="shared" si="113"/>
        <v>0.13551720879893836</v>
      </c>
      <c r="W214" s="230">
        <f t="shared" si="113"/>
        <v>0.1471973339790878</v>
      </c>
      <c r="X214" s="230">
        <f t="shared" si="113"/>
        <v>0.16357155192947903</v>
      </c>
      <c r="Y214" s="230">
        <f t="shared" si="113"/>
        <v>0.18056027862878204</v>
      </c>
      <c r="Z214" s="230">
        <f t="shared" si="113"/>
        <v>0.19813843497381936</v>
      </c>
      <c r="AA214" s="230">
        <f t="shared" si="113"/>
        <v>0.21627946443678053</v>
      </c>
      <c r="AB214" s="230">
        <f t="shared" si="113"/>
        <v>0.23495532641503664</v>
      </c>
      <c r="AC214" s="230">
        <f t="shared" si="113"/>
        <v>0.25330778405150534</v>
      </c>
      <c r="AD214" s="230">
        <f t="shared" si="113"/>
        <v>0.27198846880944466</v>
      </c>
      <c r="AE214" s="230">
        <f t="shared" si="113"/>
        <v>0.29095424727631125</v>
      </c>
      <c r="AF214" s="230">
        <f t="shared" si="113"/>
        <v>0.31016024142748982</v>
      </c>
      <c r="AG214" s="230">
        <f t="shared" si="113"/>
        <v>0.3295598284642538</v>
      </c>
      <c r="AH214" s="245"/>
      <c r="AI214" s="133"/>
      <c r="AJ214" s="211"/>
      <c r="AL214" s="108"/>
      <c r="AM214" s="2"/>
      <c r="AN214" s="2"/>
      <c r="AO214" s="2"/>
      <c r="BC214" s="1"/>
      <c r="BD214" s="2"/>
      <c r="BE214" s="2"/>
      <c r="BF214" s="2"/>
      <c r="BG214" s="2"/>
      <c r="BH214" s="2"/>
      <c r="BI214" s="2"/>
      <c r="BJ214" s="2"/>
      <c r="BK214" s="2"/>
    </row>
    <row r="215" spans="1:63" outlineLevel="1" x14ac:dyDescent="0.2">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c r="AJ215" s="211"/>
    </row>
    <row r="216" spans="1:63" s="200" customFormat="1" ht="16" thickBot="1" x14ac:dyDescent="0.25">
      <c r="A216" s="200" t="s">
        <v>1347</v>
      </c>
      <c r="B216" s="215"/>
      <c r="C216" s="224">
        <f>C217</f>
        <v>1.6E-2</v>
      </c>
      <c r="D216" s="224">
        <f t="shared" ref="D216:AG216" si="115">D217</f>
        <v>2.329547397581962E-2</v>
      </c>
      <c r="E216" s="224">
        <f t="shared" si="115"/>
        <v>3.059094795163924E-2</v>
      </c>
      <c r="F216" s="224">
        <f t="shared" si="115"/>
        <v>3.7886421927458863E-2</v>
      </c>
      <c r="G216" s="224">
        <f t="shared" si="115"/>
        <v>4.5181895903278479E-2</v>
      </c>
      <c r="H216" s="224">
        <f t="shared" si="115"/>
        <v>5.2477369879098103E-2</v>
      </c>
      <c r="I216" s="224">
        <f t="shared" si="115"/>
        <v>5.9772843854917726E-2</v>
      </c>
      <c r="J216" s="224">
        <f t="shared" si="115"/>
        <v>6.7068317830737342E-2</v>
      </c>
      <c r="K216" s="224">
        <f t="shared" si="115"/>
        <v>7.4363791806556973E-2</v>
      </c>
      <c r="L216" s="224">
        <f t="shared" si="115"/>
        <v>8.1659265782376589E-2</v>
      </c>
      <c r="M216" s="224">
        <f t="shared" si="115"/>
        <v>8.8954739758196205E-2</v>
      </c>
      <c r="N216" s="224">
        <f t="shared" si="115"/>
        <v>0.10433135413800063</v>
      </c>
      <c r="O216" s="224">
        <f t="shared" si="115"/>
        <v>0.11970796851780505</v>
      </c>
      <c r="P216" s="224">
        <f t="shared" si="115"/>
        <v>0.1350845828976095</v>
      </c>
      <c r="Q216" s="224">
        <f t="shared" si="115"/>
        <v>0.15046119727741392</v>
      </c>
      <c r="R216" s="224">
        <f t="shared" si="115"/>
        <v>0.16583781165721834</v>
      </c>
      <c r="S216" s="224">
        <f t="shared" si="115"/>
        <v>0.18121442603702276</v>
      </c>
      <c r="T216" s="224">
        <f t="shared" si="115"/>
        <v>0.19659104041682718</v>
      </c>
      <c r="U216" s="224">
        <f t="shared" si="115"/>
        <v>0.2119676547966316</v>
      </c>
      <c r="V216" s="224">
        <f t="shared" si="115"/>
        <v>0.22734426917643602</v>
      </c>
      <c r="W216" s="224">
        <f t="shared" si="115"/>
        <v>0.24272088355624044</v>
      </c>
      <c r="X216" s="224">
        <f t="shared" si="115"/>
        <v>0.26844879520061637</v>
      </c>
      <c r="Y216" s="224">
        <f t="shared" si="115"/>
        <v>0.29417670684499236</v>
      </c>
      <c r="Z216" s="224">
        <f t="shared" si="115"/>
        <v>0.3199046184893683</v>
      </c>
      <c r="AA216" s="224">
        <f t="shared" si="115"/>
        <v>0.34563253013374429</v>
      </c>
      <c r="AB216" s="224">
        <f t="shared" si="115"/>
        <v>0.37136044177812022</v>
      </c>
      <c r="AC216" s="224">
        <f t="shared" si="115"/>
        <v>0.39708835342249615</v>
      </c>
      <c r="AD216" s="224">
        <f t="shared" si="115"/>
        <v>0.42281626506687209</v>
      </c>
      <c r="AE216" s="224">
        <f t="shared" si="115"/>
        <v>0.44854417671124808</v>
      </c>
      <c r="AF216" s="224">
        <f t="shared" si="115"/>
        <v>0.47427208835562407</v>
      </c>
      <c r="AG216" s="224">
        <f t="shared" si="115"/>
        <v>0.5</v>
      </c>
      <c r="AJ216" s="231" t="s">
        <v>1312</v>
      </c>
      <c r="AL216" s="217"/>
      <c r="AM216" s="225"/>
      <c r="AN216" s="225"/>
      <c r="AO216" s="225"/>
    </row>
    <row r="217" spans="1:63" ht="16" outlineLevel="1" thickTop="1" x14ac:dyDescent="0.2">
      <c r="A217" t="s">
        <v>1348</v>
      </c>
      <c r="B217" s="54" t="s">
        <v>462</v>
      </c>
      <c r="C217" s="113">
        <v>1.6E-2</v>
      </c>
      <c r="D217" s="110">
        <f>$C217+($M217-$C217)/10*(D$1-$C$1)</f>
        <v>2.329547397581962E-2</v>
      </c>
      <c r="E217" s="110">
        <f t="shared" ref="E217:L217" si="116">$C217+($M217-$C217)/10*(E$1-$C$1)</f>
        <v>3.059094795163924E-2</v>
      </c>
      <c r="F217" s="110">
        <f t="shared" si="116"/>
        <v>3.7886421927458863E-2</v>
      </c>
      <c r="G217" s="110">
        <f t="shared" si="116"/>
        <v>4.5181895903278479E-2</v>
      </c>
      <c r="H217" s="110">
        <f t="shared" si="116"/>
        <v>5.2477369879098103E-2</v>
      </c>
      <c r="I217" s="110">
        <f t="shared" si="116"/>
        <v>5.9772843854917726E-2</v>
      </c>
      <c r="J217" s="110">
        <f t="shared" si="116"/>
        <v>6.7068317830737342E-2</v>
      </c>
      <c r="K217" s="110">
        <f t="shared" si="116"/>
        <v>7.4363791806556973E-2</v>
      </c>
      <c r="L217" s="110">
        <f t="shared" si="116"/>
        <v>8.1659265782376589E-2</v>
      </c>
      <c r="M217" s="121">
        <f>(M$52-$C$52)/($AG$52-$C$52)*($AG217-$C217)+$C217</f>
        <v>8.8954739758196205E-2</v>
      </c>
      <c r="N217" s="121">
        <f>$M217+($W217-$M217)/10*(N$1-$M$1)</f>
        <v>0.10433135413800063</v>
      </c>
      <c r="O217" s="121">
        <f t="shared" ref="O217:U217" si="117">$M217+($W217-$M217)/10*(O$1-$M$1)</f>
        <v>0.11970796851780505</v>
      </c>
      <c r="P217" s="121">
        <f t="shared" si="117"/>
        <v>0.1350845828976095</v>
      </c>
      <c r="Q217" s="121">
        <f t="shared" si="117"/>
        <v>0.15046119727741392</v>
      </c>
      <c r="R217" s="121">
        <f t="shared" si="117"/>
        <v>0.16583781165721834</v>
      </c>
      <c r="S217" s="121">
        <f t="shared" si="117"/>
        <v>0.18121442603702276</v>
      </c>
      <c r="T217" s="121">
        <f t="shared" si="117"/>
        <v>0.19659104041682718</v>
      </c>
      <c r="U217" s="121">
        <f t="shared" si="117"/>
        <v>0.2119676547966316</v>
      </c>
      <c r="V217" s="121">
        <f>$M217+($W217-$M217)/10*(V$1-$M$1)</f>
        <v>0.22734426917643602</v>
      </c>
      <c r="W217" s="121">
        <f>(W$52-$C$52)/($AG$52-$C$52)*($AG217-$C217)+$C217</f>
        <v>0.24272088355624044</v>
      </c>
      <c r="X217" s="23">
        <f t="shared" ref="X217:AF217" si="118">$W217+($AG217-$W217)/10*(X$1-$W$1)</f>
        <v>0.26844879520061637</v>
      </c>
      <c r="Y217" s="23">
        <f t="shared" si="118"/>
        <v>0.29417670684499236</v>
      </c>
      <c r="Z217" s="23">
        <f t="shared" si="118"/>
        <v>0.3199046184893683</v>
      </c>
      <c r="AA217" s="23">
        <f t="shared" si="118"/>
        <v>0.34563253013374429</v>
      </c>
      <c r="AB217" s="23">
        <f t="shared" si="118"/>
        <v>0.37136044177812022</v>
      </c>
      <c r="AC217" s="23">
        <f t="shared" si="118"/>
        <v>0.39708835342249615</v>
      </c>
      <c r="AD217" s="23">
        <f t="shared" si="118"/>
        <v>0.42281626506687209</v>
      </c>
      <c r="AE217" s="23">
        <f t="shared" si="118"/>
        <v>0.44854417671124808</v>
      </c>
      <c r="AF217" s="23">
        <f t="shared" si="118"/>
        <v>0.47427208835562407</v>
      </c>
      <c r="AG217" s="106">
        <v>0.5</v>
      </c>
      <c r="AJ217" s="211" t="s">
        <v>1349</v>
      </c>
    </row>
    <row r="218" spans="1:63" outlineLevel="1" x14ac:dyDescent="0.2">
      <c r="C218" s="113"/>
      <c r="D218" s="110"/>
      <c r="E218" s="110"/>
      <c r="F218" s="110"/>
      <c r="G218" s="110"/>
      <c r="H218" s="110"/>
      <c r="I218" s="110"/>
      <c r="J218" s="110"/>
      <c r="K218" s="110"/>
      <c r="L218" s="110"/>
      <c r="M218" s="121"/>
      <c r="N218" s="121"/>
      <c r="O218" s="121"/>
      <c r="P218" s="121"/>
      <c r="Q218" s="121"/>
      <c r="R218" s="121"/>
      <c r="S218" s="121"/>
      <c r="T218" s="121"/>
      <c r="U218" s="121"/>
      <c r="V218" s="121"/>
      <c r="W218" s="121"/>
      <c r="X218" s="23"/>
      <c r="Y218" s="23"/>
      <c r="Z218" s="23"/>
      <c r="AA218" s="23"/>
      <c r="AB218" s="23"/>
      <c r="AC218" s="23"/>
      <c r="AD218" s="23"/>
      <c r="AE218" s="23"/>
      <c r="AF218" s="23"/>
      <c r="AG218" s="106"/>
      <c r="AJ218" s="211"/>
    </row>
    <row r="219" spans="1:63" outlineLevel="1" x14ac:dyDescent="0.2">
      <c r="A219" t="s">
        <v>1553</v>
      </c>
      <c r="C219" s="504">
        <f>'Overall recycling rates'!E85</f>
        <v>0.29641108292007839</v>
      </c>
      <c r="D219" s="504">
        <f>C219-($C219-$AG219)/($AG$1-$C$1)</f>
        <v>0.31319738015607579</v>
      </c>
      <c r="E219" s="504">
        <f t="shared" ref="E219:AF219" si="119">D219-($C219-$AG219)/($AG$1-$C$1)</f>
        <v>0.32998367739207318</v>
      </c>
      <c r="F219" s="504">
        <f t="shared" si="119"/>
        <v>0.34676997462807058</v>
      </c>
      <c r="G219" s="504">
        <f t="shared" si="119"/>
        <v>0.36355627186406797</v>
      </c>
      <c r="H219" s="504">
        <f t="shared" si="119"/>
        <v>0.38034256910006536</v>
      </c>
      <c r="I219" s="504">
        <f t="shared" si="119"/>
        <v>0.39712886633606276</v>
      </c>
      <c r="J219" s="504">
        <f t="shared" si="119"/>
        <v>0.41391516357206015</v>
      </c>
      <c r="K219" s="504">
        <f t="shared" si="119"/>
        <v>0.43070146080805755</v>
      </c>
      <c r="L219" s="504">
        <f t="shared" si="119"/>
        <v>0.44748775804405494</v>
      </c>
      <c r="M219" s="504">
        <f t="shared" si="119"/>
        <v>0.46427405528005233</v>
      </c>
      <c r="N219" s="504">
        <f t="shared" si="119"/>
        <v>0.48106035251604973</v>
      </c>
      <c r="O219" s="504">
        <f t="shared" si="119"/>
        <v>0.49784664975204712</v>
      </c>
      <c r="P219" s="504">
        <f t="shared" si="119"/>
        <v>0.51463294698804452</v>
      </c>
      <c r="Q219" s="504">
        <f t="shared" si="119"/>
        <v>0.53141924422404185</v>
      </c>
      <c r="R219" s="504">
        <f t="shared" si="119"/>
        <v>0.54820554146003919</v>
      </c>
      <c r="S219" s="504">
        <f t="shared" si="119"/>
        <v>0.56499183869603653</v>
      </c>
      <c r="T219" s="504">
        <f t="shared" si="119"/>
        <v>0.58177813593203387</v>
      </c>
      <c r="U219" s="504">
        <f t="shared" si="119"/>
        <v>0.59856443316803121</v>
      </c>
      <c r="V219" s="504">
        <f t="shared" si="119"/>
        <v>0.61535073040402855</v>
      </c>
      <c r="W219" s="504">
        <f t="shared" si="119"/>
        <v>0.63213702764002588</v>
      </c>
      <c r="X219" s="504">
        <f t="shared" si="119"/>
        <v>0.64892332487602322</v>
      </c>
      <c r="Y219" s="504">
        <f t="shared" si="119"/>
        <v>0.66570962211202056</v>
      </c>
      <c r="Z219" s="504">
        <f t="shared" si="119"/>
        <v>0.6824959193480179</v>
      </c>
      <c r="AA219" s="504">
        <f t="shared" si="119"/>
        <v>0.69928221658401524</v>
      </c>
      <c r="AB219" s="504">
        <f t="shared" si="119"/>
        <v>0.71606851382001258</v>
      </c>
      <c r="AC219" s="504">
        <f t="shared" si="119"/>
        <v>0.73285481105600991</v>
      </c>
      <c r="AD219" s="504">
        <f t="shared" si="119"/>
        <v>0.74964110829200725</v>
      </c>
      <c r="AE219" s="504">
        <f t="shared" si="119"/>
        <v>0.76642740552800459</v>
      </c>
      <c r="AF219" s="504">
        <f t="shared" si="119"/>
        <v>0.78321370276400193</v>
      </c>
      <c r="AG219" s="504">
        <f>'Overall recycling rates'!E94</f>
        <v>0.8</v>
      </c>
      <c r="AI219" s="133"/>
      <c r="AJ219" s="211" t="s">
        <v>1582</v>
      </c>
      <c r="AL219" s="108"/>
      <c r="AM219" s="207"/>
      <c r="AN219" s="207"/>
      <c r="AO219" s="207"/>
      <c r="BC219" s="1"/>
      <c r="BD219" s="207"/>
      <c r="BE219" s="207"/>
      <c r="BF219" s="207"/>
      <c r="BG219" s="207"/>
      <c r="BH219" s="207"/>
      <c r="BI219" s="207"/>
      <c r="BJ219" s="207"/>
      <c r="BK219" s="207"/>
    </row>
    <row r="220" spans="1:63" outlineLevel="1" x14ac:dyDescent="0.2">
      <c r="A220" t="s">
        <v>1583</v>
      </c>
      <c r="B220" s="54" t="s">
        <v>462</v>
      </c>
      <c r="C220" s="110">
        <f>C217*C219</f>
        <v>4.7425773267212546E-3</v>
      </c>
      <c r="D220" s="110">
        <f t="shared" ref="D220:AG220" si="120">D217*D219</f>
        <v>7.2960814187207476E-3</v>
      </c>
      <c r="E220" s="110">
        <f t="shared" si="120"/>
        <v>1.0094513499991424E-2</v>
      </c>
      <c r="F220" s="110">
        <f t="shared" si="120"/>
        <v>1.3137873570533287E-2</v>
      </c>
      <c r="G220" s="110">
        <f t="shared" si="120"/>
        <v>1.6426161630346329E-2</v>
      </c>
      <c r="H220" s="110">
        <f t="shared" si="120"/>
        <v>1.9959377679430557E-2</v>
      </c>
      <c r="I220" s="110">
        <f t="shared" si="120"/>
        <v>2.3737521717785971E-2</v>
      </c>
      <c r="J220" s="110">
        <f t="shared" si="120"/>
        <v>2.7760593745412565E-2</v>
      </c>
      <c r="K220" s="110">
        <f t="shared" si="120"/>
        <v>3.2028593762310348E-2</v>
      </c>
      <c r="L220" s="110">
        <f t="shared" si="120"/>
        <v>3.6541521768479308E-2</v>
      </c>
      <c r="M220" s="110">
        <f t="shared" si="120"/>
        <v>4.1299377763919454E-2</v>
      </c>
      <c r="N220" s="110">
        <f t="shared" si="120"/>
        <v>5.0189678000103405E-2</v>
      </c>
      <c r="O220" s="110">
        <f t="shared" si="120"/>
        <v>5.959621107521277E-2</v>
      </c>
      <c r="P220" s="110">
        <f t="shared" si="120"/>
        <v>6.9518976989247569E-2</v>
      </c>
      <c r="Q220" s="110">
        <f t="shared" si="120"/>
        <v>7.9957975742207768E-2</v>
      </c>
      <c r="R220" s="110">
        <f t="shared" si="120"/>
        <v>9.0913207334093374E-2</v>
      </c>
      <c r="S220" s="110">
        <f t="shared" si="120"/>
        <v>0.1023846717649044</v>
      </c>
      <c r="T220" s="110">
        <f t="shared" si="120"/>
        <v>0.11437236903464085</v>
      </c>
      <c r="U220" s="110">
        <f t="shared" si="120"/>
        <v>0.1268762991433027</v>
      </c>
      <c r="V220" s="110">
        <f t="shared" si="120"/>
        <v>0.13989646209088999</v>
      </c>
      <c r="W220" s="110">
        <f t="shared" si="120"/>
        <v>0.15343285787740266</v>
      </c>
      <c r="X220" s="110">
        <f t="shared" si="120"/>
        <v>0.17420268474054659</v>
      </c>
      <c r="Y220" s="110">
        <f t="shared" si="120"/>
        <v>0.19583626434793852</v>
      </c>
      <c r="Z220" s="110">
        <f t="shared" si="120"/>
        <v>0.21833359669957833</v>
      </c>
      <c r="AA220" s="110">
        <f t="shared" si="120"/>
        <v>0.24169468179546613</v>
      </c>
      <c r="AB220" s="110">
        <f t="shared" si="120"/>
        <v>0.26591951963560184</v>
      </c>
      <c r="AC220" s="110">
        <f t="shared" si="120"/>
        <v>0.29100811021998552</v>
      </c>
      <c r="AD220" s="110">
        <f t="shared" si="120"/>
        <v>0.31696045354861713</v>
      </c>
      <c r="AE220" s="110">
        <f t="shared" si="120"/>
        <v>0.34377654962149667</v>
      </c>
      <c r="AF220" s="110">
        <f t="shared" si="120"/>
        <v>0.37145639843862421</v>
      </c>
      <c r="AG220" s="110">
        <f t="shared" si="120"/>
        <v>0.4</v>
      </c>
      <c r="AJ220" s="211" t="s">
        <v>1349</v>
      </c>
    </row>
    <row r="221" spans="1:63" outlineLevel="1" x14ac:dyDescent="0.2">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I221" s="134"/>
      <c r="AJ221" s="211"/>
      <c r="BC221" s="1"/>
      <c r="BD221" s="41"/>
      <c r="BF221" s="6"/>
      <c r="BG221" s="6"/>
      <c r="BH221" s="6"/>
      <c r="BI221" s="6"/>
      <c r="BJ221" s="6"/>
    </row>
    <row r="222" spans="1:63" s="1" customFormat="1" outlineLevel="1" x14ac:dyDescent="0.2">
      <c r="A222" s="1" t="s">
        <v>228</v>
      </c>
      <c r="B222" s="65"/>
      <c r="C222" s="300">
        <f>C220*C44</f>
        <v>1.2941584261657406E-3</v>
      </c>
      <c r="D222" s="300">
        <f t="shared" ref="D222:AG222" si="121">D220*D44</f>
        <v>2.0577007257949116E-3</v>
      </c>
      <c r="E222" s="300">
        <f t="shared" si="121"/>
        <v>2.9346795455944428E-3</v>
      </c>
      <c r="F222" s="300">
        <f t="shared" si="121"/>
        <v>3.9268753181392474E-3</v>
      </c>
      <c r="G222" s="300">
        <f t="shared" si="121"/>
        <v>5.0346538613794505E-3</v>
      </c>
      <c r="H222" s="300">
        <f t="shared" si="121"/>
        <v>6.2568757687512964E-3</v>
      </c>
      <c r="I222" s="300">
        <f t="shared" si="121"/>
        <v>7.6072060295379017E-3</v>
      </c>
      <c r="J222" s="300">
        <f t="shared" si="121"/>
        <v>9.090752569343467E-3</v>
      </c>
      <c r="K222" s="300">
        <f t="shared" si="121"/>
        <v>1.0712529104499251E-2</v>
      </c>
      <c r="L222" s="300">
        <f t="shared" si="121"/>
        <v>1.247743632041254E-2</v>
      </c>
      <c r="M222" s="300">
        <f t="shared" si="121"/>
        <v>1.4390242724023143E-2</v>
      </c>
      <c r="N222" s="300">
        <f t="shared" si="121"/>
        <v>1.781164852582327E-2</v>
      </c>
      <c r="O222" s="300">
        <f t="shared" si="121"/>
        <v>2.1500619946172469E-2</v>
      </c>
      <c r="P222" s="300">
        <f t="shared" si="121"/>
        <v>2.544802981647272E-2</v>
      </c>
      <c r="Q222" s="300">
        <f t="shared" si="121"/>
        <v>2.9641841090326936E-2</v>
      </c>
      <c r="R222" s="300">
        <f t="shared" si="121"/>
        <v>3.4067116734492142E-2</v>
      </c>
      <c r="S222" s="300">
        <f t="shared" si="121"/>
        <v>3.8775804433284419E-2</v>
      </c>
      <c r="T222" s="300">
        <f t="shared" si="121"/>
        <v>4.3774066330041682E-2</v>
      </c>
      <c r="U222" s="300">
        <f t="shared" si="121"/>
        <v>4.9068024078796839E-2</v>
      </c>
      <c r="V222" s="300">
        <f t="shared" si="121"/>
        <v>5.466375357992323E-2</v>
      </c>
      <c r="W222" s="300">
        <f t="shared" si="121"/>
        <v>6.056727965741205E-2</v>
      </c>
      <c r="X222" s="300">
        <f t="shared" si="121"/>
        <v>6.9463807862829852E-2</v>
      </c>
      <c r="Y222" s="300">
        <f t="shared" si="121"/>
        <v>7.8874742736216835E-2</v>
      </c>
      <c r="Z222" s="300">
        <f t="shared" si="121"/>
        <v>8.8810338665717234E-2</v>
      </c>
      <c r="AA222" s="300">
        <f t="shared" si="121"/>
        <v>9.9280776052217551E-2</v>
      </c>
      <c r="AB222" s="300">
        <f t="shared" si="121"/>
        <v>0.11029615327688576</v>
      </c>
      <c r="AC222" s="300">
        <f t="shared" si="121"/>
        <v>0.12186763074670791</v>
      </c>
      <c r="AD222" s="300">
        <f t="shared" si="121"/>
        <v>0.13400546430424182</v>
      </c>
      <c r="AE222" s="300">
        <f t="shared" si="121"/>
        <v>0.14671983652442061</v>
      </c>
      <c r="AF222" s="300">
        <f t="shared" si="121"/>
        <v>0.1600208494185596</v>
      </c>
      <c r="AG222" s="300">
        <f t="shared" si="121"/>
        <v>0.17391851707263886</v>
      </c>
      <c r="AH222" s="245"/>
      <c r="AI222" s="423"/>
      <c r="AJ222" s="424"/>
      <c r="AL222" s="221"/>
      <c r="AM222" s="124"/>
      <c r="AN222" s="124"/>
      <c r="AO222" s="124"/>
      <c r="BD222" s="124"/>
      <c r="BE222" s="124"/>
      <c r="BF222" s="124"/>
      <c r="BG222" s="124"/>
      <c r="BH222" s="124"/>
      <c r="BI222" s="124"/>
      <c r="BJ222" s="124"/>
      <c r="BK222" s="124"/>
    </row>
    <row r="223" spans="1:63" outlineLevel="1" x14ac:dyDescent="0.2">
      <c r="A223" s="4" t="s">
        <v>474</v>
      </c>
      <c r="C223" s="230">
        <f>C$222*'Methanol recycling rates'!E69</f>
        <v>0</v>
      </c>
      <c r="D223" s="230">
        <f>D$222*'Methanol recycling rates'!F69</f>
        <v>4.4859542912567576E-5</v>
      </c>
      <c r="E223" s="230">
        <f>E$222*'Methanol recycling rates'!G69</f>
        <v>1.2795678337467763E-4</v>
      </c>
      <c r="F223" s="230">
        <f>F$222*'Methanol recycling rates'!H69</f>
        <v>2.5682719013230416E-4</v>
      </c>
      <c r="G223" s="230">
        <f>G$222*'Methanol recycling rates'!I69</f>
        <v>4.3903813244217305E-4</v>
      </c>
      <c r="H223" s="230">
        <f>H$222*'Methanol recycling rates'!J69</f>
        <v>6.8202480450229978E-4</v>
      </c>
      <c r="I223" s="230">
        <f>I$222*'Methanol recycling rates'!K69</f>
        <v>9.9505952750724011E-4</v>
      </c>
      <c r="J223" s="230">
        <f>J$222*'Methanol recycling rates'!L69</f>
        <v>1.387300397554751E-3</v>
      </c>
      <c r="K223" s="230">
        <f>K$222*'Methanol recycling rates'!M69</f>
        <v>1.8683345077006501E-3</v>
      </c>
      <c r="L223" s="230">
        <f>L$222*'Methanol recycling rates'!N69</f>
        <v>2.4481639858212655E-3</v>
      </c>
      <c r="M223" s="230">
        <f>M$222*'Methanol recycling rates'!O69</f>
        <v>3.1371894994652381E-3</v>
      </c>
      <c r="N223" s="230">
        <f>N$222*'Methanol recycling rates'!P69</f>
        <v>4.271392051859127E-3</v>
      </c>
      <c r="O223" s="230">
        <f>O$222*'Methanol recycling rates'!Q69</f>
        <v>5.6247712081621444E-3</v>
      </c>
      <c r="P223" s="230">
        <f>P$222*'Methanol recycling rates'!R69</f>
        <v>7.2122396744393209E-3</v>
      </c>
      <c r="Q223" s="230">
        <f>Q$222*'Methanol recycling rates'!S69</f>
        <v>9.0470261103663841E-3</v>
      </c>
      <c r="R223" s="230">
        <f>R$222*'Methanol recycling rates'!T69</f>
        <v>1.1140361175224057E-2</v>
      </c>
      <c r="S223" s="230">
        <f>S$222*'Methanol recycling rates'!U69</f>
        <v>1.3525503227081983E-2</v>
      </c>
      <c r="T223" s="230">
        <f>T$222*'Methanol recycling rates'!V69</f>
        <v>1.622327187834148E-2</v>
      </c>
      <c r="U223" s="230">
        <f>U$222*'Methanol recycling rates'!W69</f>
        <v>1.9255008211678755E-2</v>
      </c>
      <c r="V223" s="230">
        <f>V$222*'Methanol recycling rates'!X69</f>
        <v>2.264256818596995E-2</v>
      </c>
      <c r="W223" s="230">
        <f>W$222*'Methanol recycling rates'!Y69</f>
        <v>2.6408315328163616E-2</v>
      </c>
      <c r="X223" s="230">
        <f>X$222*'Methanol recycling rates'!Z69</f>
        <v>3.1801713068975439E-2</v>
      </c>
      <c r="Y223" s="230">
        <f>Y$222*'Methanol recycling rates'!AA69</f>
        <v>3.7829732461592908E-2</v>
      </c>
      <c r="Z223" s="230">
        <f>Z$222*'Methanol recycling rates'!AB69</f>
        <v>4.4531158693669082E-2</v>
      </c>
      <c r="AA223" s="230">
        <f>AA$222*'Methanol recycling rates'!AC69</f>
        <v>5.1945632457162591E-2</v>
      </c>
      <c r="AB223" s="230">
        <f>AB$222*'Methanol recycling rates'!AD69</f>
        <v>6.011363750557297E-2</v>
      </c>
      <c r="AC223" s="230">
        <f>AC$222*'Methanol recycling rates'!AE69</f>
        <v>6.9077140182567984E-2</v>
      </c>
      <c r="AD223" s="230">
        <f>AD$222*'Methanol recycling rates'!AF69</f>
        <v>7.8878547609062488E-2</v>
      </c>
      <c r="AE223" s="230">
        <f>AE$222*'Methanol recycling rates'!AG69</f>
        <v>8.9561116524458126E-2</v>
      </c>
      <c r="AF223" s="230">
        <f>AF$222*'Methanol recycling rates'!AH69</f>
        <v>0.10116894068747725</v>
      </c>
      <c r="AG223" s="230">
        <f>AG$222*'Methanol recycling rates'!AI69</f>
        <v>0.11374693727966005</v>
      </c>
      <c r="AH223" s="245"/>
      <c r="AI223" s="133"/>
      <c r="AJ223" s="211"/>
      <c r="AL223" s="108"/>
      <c r="AM223" s="2"/>
      <c r="AN223" s="2"/>
      <c r="AO223" s="2"/>
      <c r="BC223" s="1"/>
      <c r="BD223" s="2"/>
      <c r="BE223" s="2"/>
      <c r="BF223" s="2"/>
      <c r="BG223" s="2"/>
      <c r="BH223" s="2"/>
      <c r="BI223" s="2"/>
      <c r="BJ223" s="2"/>
      <c r="BK223" s="2"/>
    </row>
    <row r="224" spans="1:63" outlineLevel="1" x14ac:dyDescent="0.2">
      <c r="A224" s="4" t="s">
        <v>745</v>
      </c>
      <c r="C224" s="230">
        <f>C$222*'Methanol recycling rates'!E70</f>
        <v>8.2214406611183359E-4</v>
      </c>
      <c r="D224" s="230">
        <f>D$222*'Methanol recycling rates'!F70</f>
        <v>1.2776789925903272E-3</v>
      </c>
      <c r="E224" s="230">
        <f>E$222*'Methanol recycling rates'!G70</f>
        <v>1.780112087004004E-3</v>
      </c>
      <c r="F224" s="230">
        <f>F$222*'Methanol recycling rates'!H70</f>
        <v>2.3256151654423088E-3</v>
      </c>
      <c r="G224" s="230">
        <f>G$222*'Methanol recycling rates'!I70</f>
        <v>2.9094403829696136E-3</v>
      </c>
      <c r="H224" s="230">
        <f>H$222*'Methanol recycling rates'!J70</f>
        <v>3.5259706530592337E-3</v>
      </c>
      <c r="I224" s="230">
        <f>I$222*'Methanol recycling rates'!K70</f>
        <v>4.1777846734292433E-3</v>
      </c>
      <c r="J224" s="230">
        <f>J$222*'Methanol recycling rates'!L70</f>
        <v>4.8621002430774603E-3</v>
      </c>
      <c r="K224" s="230">
        <f>K$222*'Methanol recycling rates'!M70</f>
        <v>5.5757929807802647E-3</v>
      </c>
      <c r="L224" s="230">
        <f>L$222*'Methanol recycling rates'!N70</f>
        <v>6.3153935569695624E-3</v>
      </c>
      <c r="M224" s="230">
        <f>M$222*'Methanol recycling rates'!O70</f>
        <v>7.0770863856047216E-3</v>
      </c>
      <c r="N224" s="230">
        <f>N$222*'Methanol recycling rates'!P70</f>
        <v>8.5041718248119753E-3</v>
      </c>
      <c r="O224" s="230">
        <f>O$222*'Methanol recycling rates'!Q70</f>
        <v>9.9569899402808491E-3</v>
      </c>
      <c r="P224" s="230">
        <f>P$222*'Methanol recycling rates'!R70</f>
        <v>1.1419928132668598E-2</v>
      </c>
      <c r="Q224" s="230">
        <f>Q$222*'Methanol recycling rates'!S70</f>
        <v>1.2876633540570719E-2</v>
      </c>
      <c r="R224" s="230">
        <f>R$222*'Methanol recycling rates'!T70</f>
        <v>1.4310225943478881E-2</v>
      </c>
      <c r="S224" s="230">
        <f>S$222*'Methanol recycling rates'!U70</f>
        <v>1.5731818308835951E-2</v>
      </c>
      <c r="T224" s="230">
        <f>T$222*'Methanol recycling rates'!V70</f>
        <v>1.7131623471344514E-2</v>
      </c>
      <c r="U224" s="230">
        <f>U$222*'Methanol recycling rates'!W70</f>
        <v>1.8499485353771498E-2</v>
      </c>
      <c r="V224" s="230">
        <f>V$222*'Methanol recycling rates'!X70</f>
        <v>1.9824879962339725E-2</v>
      </c>
      <c r="W224" s="230">
        <f>W$222*'Methanol recycling rates'!Y70</f>
        <v>2.1096916814972323E-2</v>
      </c>
      <c r="X224" s="230">
        <f>X$222*'Methanol recycling rates'!Z70</f>
        <v>2.3199137595518581E-2</v>
      </c>
      <c r="Y224" s="230">
        <f>Y$222*'Methanol recycling rates'!AA70</f>
        <v>2.5210489721600376E-2</v>
      </c>
      <c r="Z224" s="230">
        <f>Z$222*'Methanol recycling rates'!AB70</f>
        <v>2.711196221147243E-2</v>
      </c>
      <c r="AA224" s="230">
        <f>AA$222*'Methanol recycling rates'!AC70</f>
        <v>2.8883934056531696E-2</v>
      </c>
      <c r="AB224" s="230">
        <f>AB$222*'Methanol recycling rates'!AD70</f>
        <v>3.0506177307346768E-2</v>
      </c>
      <c r="AC224" s="230">
        <f>AC$222*'Methanol recycling rates'!AE70</f>
        <v>3.1958162968274251E-2</v>
      </c>
      <c r="AD224" s="230">
        <f>AD$222*'Methanol recycling rates'!AF70</f>
        <v>3.321849731375117E-2</v>
      </c>
      <c r="AE224" s="230">
        <f>AE$222*'Methanol recycling rates'!AG70</f>
        <v>3.4265180922097065E-2</v>
      </c>
      <c r="AF224" s="230">
        <f>AF$222*'Methanol recycling rates'!AH70</f>
        <v>3.5075612332332494E-2</v>
      </c>
      <c r="AG224" s="230">
        <f>AG$222*'Methanol recycling rates'!AI70</f>
        <v>3.5626592315612229E-2</v>
      </c>
      <c r="AH224" s="245"/>
      <c r="AI224" s="133"/>
      <c r="AJ224" s="211"/>
      <c r="AL224" s="108"/>
      <c r="AM224" s="2"/>
      <c r="AN224" s="2"/>
      <c r="AO224" s="2"/>
      <c r="BC224" s="1"/>
      <c r="BD224" s="2"/>
      <c r="BE224" s="2"/>
      <c r="BF224" s="2"/>
      <c r="BG224" s="2"/>
      <c r="BH224" s="2"/>
      <c r="BI224" s="2"/>
      <c r="BJ224" s="2"/>
      <c r="BK224" s="2"/>
    </row>
    <row r="225" spans="1:63" outlineLevel="1" x14ac:dyDescent="0.2">
      <c r="A225" s="4" t="s">
        <v>1561</v>
      </c>
      <c r="C225" s="230">
        <f>C$222*'Methanol recycling rates'!E71</f>
        <v>4.7201436005390703E-4</v>
      </c>
      <c r="D225" s="230">
        <f>D$222*'Methanol recycling rates'!F71</f>
        <v>7.3516219029201677E-4</v>
      </c>
      <c r="E225" s="230">
        <f>E$222*'Methanol recycling rates'!G71</f>
        <v>1.026610675215761E-3</v>
      </c>
      <c r="F225" s="230">
        <f>F$222*'Methanol recycling rates'!H71</f>
        <v>1.3444329625646339E-3</v>
      </c>
      <c r="G225" s="230">
        <f>G$222*'Methanol recycling rates'!I71</f>
        <v>1.6861753459676628E-3</v>
      </c>
      <c r="H225" s="230">
        <f>H$222*'Methanol recycling rates'!J71</f>
        <v>2.0488803111897613E-3</v>
      </c>
      <c r="I225" s="230">
        <f>I$222*'Methanol recycling rates'!K71</f>
        <v>2.4343618286014152E-3</v>
      </c>
      <c r="J225" s="230">
        <f>J$222*'Methanol recycling rates'!L71</f>
        <v>2.8413519287112518E-3</v>
      </c>
      <c r="K225" s="230">
        <f>K$222*'Methanol recycling rates'!M71</f>
        <v>3.2684016160183316E-3</v>
      </c>
      <c r="L225" s="230">
        <f>L$222*'Methanol recycling rates'!N71</f>
        <v>3.7138787776217061E-3</v>
      </c>
      <c r="M225" s="230">
        <f>M$222*'Methanol recycling rates'!O71</f>
        <v>4.1759668389531757E-3</v>
      </c>
      <c r="N225" s="230">
        <f>N$222*'Methanol recycling rates'!P71</f>
        <v>5.0360846491521597E-3</v>
      </c>
      <c r="O225" s="230">
        <f>O$222*'Methanol recycling rates'!Q71</f>
        <v>5.918858797729464E-3</v>
      </c>
      <c r="P225" s="230">
        <f>P$222*'Methanol recycling rates'!R71</f>
        <v>6.8158620093647891E-3</v>
      </c>
      <c r="Q225" s="230">
        <f>Q$222*'Methanol recycling rates'!S71</f>
        <v>7.7181814393898172E-3</v>
      </c>
      <c r="R225" s="230">
        <f>R$222*'Methanol recycling rates'!T71</f>
        <v>8.6165296157891882E-3</v>
      </c>
      <c r="S225" s="230">
        <f>S$222*'Methanol recycling rates'!U71</f>
        <v>9.5184828973664676E-3</v>
      </c>
      <c r="T225" s="230">
        <f>T$222*'Methanol recycling rates'!V71</f>
        <v>1.0419170980355668E-2</v>
      </c>
      <c r="U225" s="230">
        <f>U$222*'Methanol recycling rates'!W71</f>
        <v>1.1313530513346565E-2</v>
      </c>
      <c r="V225" s="230">
        <f>V$222*'Methanol recycling rates'!X71</f>
        <v>1.2196305431613532E-2</v>
      </c>
      <c r="W225" s="230">
        <f>W$222*'Methanol recycling rates'!Y71</f>
        <v>1.3062047514276091E-2</v>
      </c>
      <c r="X225" s="230">
        <f>X$222*'Methanol recycling rates'!Z71</f>
        <v>1.4462957198335812E-2</v>
      </c>
      <c r="Y225" s="230">
        <f>Y$222*'Methanol recycling rates'!AA71</f>
        <v>1.5834520553023528E-2</v>
      </c>
      <c r="Z225" s="230">
        <f>Z$222*'Methanol recycling rates'!AB71</f>
        <v>1.7167217760575691E-2</v>
      </c>
      <c r="AA225" s="230">
        <f>AA$222*'Methanol recycling rates'!AC71</f>
        <v>1.8451209538523236E-2</v>
      </c>
      <c r="AB225" s="230">
        <f>AB$222*'Methanol recycling rates'!AD71</f>
        <v>1.9676338463965989E-2</v>
      </c>
      <c r="AC225" s="230">
        <f>AC$222*'Methanol recycling rates'!AE71</f>
        <v>2.0832327595865643E-2</v>
      </c>
      <c r="AD225" s="230">
        <f>AD$222*'Methanol recycling rates'!AF71</f>
        <v>2.1908419381428134E-2</v>
      </c>
      <c r="AE225" s="230">
        <f>AE$222*'Methanol recycling rates'!AG71</f>
        <v>2.2893539077865385E-2</v>
      </c>
      <c r="AF225" s="230">
        <f>AF$222*'Methanol recycling rates'!AH71</f>
        <v>2.3776296398749803E-2</v>
      </c>
      <c r="AG225" s="230">
        <f>AG$222*'Methanol recycling rates'!AI71</f>
        <v>2.4544987477366553E-2</v>
      </c>
      <c r="AH225" s="245"/>
      <c r="AI225" s="133"/>
      <c r="AJ225" s="211"/>
      <c r="AL225" s="108"/>
      <c r="AM225" s="2"/>
      <c r="AN225" s="2"/>
      <c r="AO225" s="2"/>
      <c r="BC225" s="1"/>
      <c r="BD225" s="2"/>
      <c r="BE225" s="2"/>
      <c r="BF225" s="2"/>
      <c r="BG225" s="2"/>
      <c r="BH225" s="2"/>
      <c r="BI225" s="2"/>
      <c r="BJ225" s="2"/>
      <c r="BK225" s="2"/>
    </row>
    <row r="226" spans="1:63" s="1" customFormat="1" outlineLevel="1" x14ac:dyDescent="0.2">
      <c r="A226" s="1" t="s">
        <v>1562</v>
      </c>
      <c r="B226" s="65"/>
      <c r="C226" s="300">
        <f>C222-$C222</f>
        <v>0</v>
      </c>
      <c r="D226" s="300">
        <f t="shared" ref="D226:AG227" si="122">D222-$C222</f>
        <v>7.6354229962917095E-4</v>
      </c>
      <c r="E226" s="300">
        <f t="shared" si="122"/>
        <v>1.6405211194287022E-3</v>
      </c>
      <c r="F226" s="300">
        <f t="shared" si="122"/>
        <v>2.6327168919735066E-3</v>
      </c>
      <c r="G226" s="300">
        <f t="shared" si="122"/>
        <v>3.7404954352137096E-3</v>
      </c>
      <c r="H226" s="300">
        <f t="shared" si="122"/>
        <v>4.9627173425855556E-3</v>
      </c>
      <c r="I226" s="300">
        <f t="shared" si="122"/>
        <v>6.3130476033721608E-3</v>
      </c>
      <c r="J226" s="300">
        <f t="shared" si="122"/>
        <v>7.7965941431777262E-3</v>
      </c>
      <c r="K226" s="300">
        <f t="shared" si="122"/>
        <v>9.4183706783335115E-3</v>
      </c>
      <c r="L226" s="300">
        <f t="shared" si="122"/>
        <v>1.11832778942468E-2</v>
      </c>
      <c r="M226" s="300">
        <f t="shared" si="122"/>
        <v>1.3096084297857403E-2</v>
      </c>
      <c r="N226" s="300">
        <f t="shared" si="122"/>
        <v>1.6517490099657528E-2</v>
      </c>
      <c r="O226" s="300">
        <f t="shared" si="122"/>
        <v>2.0206461520006727E-2</v>
      </c>
      <c r="P226" s="300">
        <f t="shared" si="122"/>
        <v>2.4153871390306978E-2</v>
      </c>
      <c r="Q226" s="300">
        <f t="shared" si="122"/>
        <v>2.8347682664161194E-2</v>
      </c>
      <c r="R226" s="300">
        <f t="shared" si="122"/>
        <v>3.2772958308326404E-2</v>
      </c>
      <c r="S226" s="300">
        <f t="shared" si="122"/>
        <v>3.7481646007118681E-2</v>
      </c>
      <c r="T226" s="300">
        <f t="shared" si="122"/>
        <v>4.2479907903875944E-2</v>
      </c>
      <c r="U226" s="300">
        <f t="shared" si="122"/>
        <v>4.7773865652631101E-2</v>
      </c>
      <c r="V226" s="300">
        <f t="shared" si="122"/>
        <v>5.3369595153757492E-2</v>
      </c>
      <c r="W226" s="300">
        <f t="shared" si="122"/>
        <v>5.9273121231246312E-2</v>
      </c>
      <c r="X226" s="300">
        <f t="shared" si="122"/>
        <v>6.8169649436664106E-2</v>
      </c>
      <c r="Y226" s="300">
        <f t="shared" si="122"/>
        <v>7.758058431005109E-2</v>
      </c>
      <c r="Z226" s="300">
        <f t="shared" si="122"/>
        <v>8.7516180239551489E-2</v>
      </c>
      <c r="AA226" s="300">
        <f t="shared" si="122"/>
        <v>9.7986617626051806E-2</v>
      </c>
      <c r="AB226" s="300">
        <f t="shared" si="122"/>
        <v>0.10900199485072001</v>
      </c>
      <c r="AC226" s="300">
        <f t="shared" si="122"/>
        <v>0.12057347232054216</v>
      </c>
      <c r="AD226" s="300">
        <f t="shared" si="122"/>
        <v>0.13271130587807609</v>
      </c>
      <c r="AE226" s="300">
        <f t="shared" si="122"/>
        <v>0.14542567809825488</v>
      </c>
      <c r="AF226" s="300">
        <f t="shared" si="122"/>
        <v>0.15872669099239387</v>
      </c>
      <c r="AG226" s="300">
        <f t="shared" si="122"/>
        <v>0.17262435864647313</v>
      </c>
      <c r="AH226" s="245"/>
      <c r="AI226" s="423"/>
      <c r="AJ226" s="424"/>
      <c r="AL226" s="221"/>
      <c r="AM226" s="124"/>
      <c r="AN226" s="124"/>
      <c r="AO226" s="124"/>
      <c r="BD226" s="124"/>
      <c r="BE226" s="124"/>
      <c r="BF226" s="124"/>
      <c r="BG226" s="124"/>
      <c r="BH226" s="124"/>
      <c r="BI226" s="124"/>
      <c r="BJ226" s="124"/>
      <c r="BK226" s="124"/>
    </row>
    <row r="227" spans="1:63" outlineLevel="1" x14ac:dyDescent="0.2">
      <c r="A227" s="4" t="s">
        <v>474</v>
      </c>
      <c r="C227" s="230">
        <f>C223-$C223</f>
        <v>0</v>
      </c>
      <c r="D227" s="230">
        <f t="shared" si="122"/>
        <v>4.4859542912567576E-5</v>
      </c>
      <c r="E227" s="230">
        <f t="shared" si="122"/>
        <v>1.2795678337467763E-4</v>
      </c>
      <c r="F227" s="230">
        <f t="shared" si="122"/>
        <v>2.5682719013230416E-4</v>
      </c>
      <c r="G227" s="230">
        <f t="shared" si="122"/>
        <v>4.3903813244217305E-4</v>
      </c>
      <c r="H227" s="230">
        <f t="shared" si="122"/>
        <v>6.8202480450229978E-4</v>
      </c>
      <c r="I227" s="230">
        <f t="shared" si="122"/>
        <v>9.9505952750724011E-4</v>
      </c>
      <c r="J227" s="230">
        <f t="shared" si="122"/>
        <v>1.387300397554751E-3</v>
      </c>
      <c r="K227" s="230">
        <f t="shared" si="122"/>
        <v>1.8683345077006501E-3</v>
      </c>
      <c r="L227" s="230">
        <f t="shared" si="122"/>
        <v>2.4481639858212655E-3</v>
      </c>
      <c r="M227" s="230">
        <f t="shared" si="122"/>
        <v>3.1371894994652381E-3</v>
      </c>
      <c r="N227" s="230">
        <f t="shared" si="122"/>
        <v>4.271392051859127E-3</v>
      </c>
      <c r="O227" s="230">
        <f t="shared" si="122"/>
        <v>5.6247712081621444E-3</v>
      </c>
      <c r="P227" s="230">
        <f t="shared" si="122"/>
        <v>7.2122396744393209E-3</v>
      </c>
      <c r="Q227" s="230">
        <f t="shared" si="122"/>
        <v>9.0470261103663841E-3</v>
      </c>
      <c r="R227" s="230">
        <f t="shared" si="122"/>
        <v>1.1140361175224057E-2</v>
      </c>
      <c r="S227" s="230">
        <f t="shared" si="122"/>
        <v>1.3525503227081983E-2</v>
      </c>
      <c r="T227" s="230">
        <f t="shared" si="122"/>
        <v>1.622327187834148E-2</v>
      </c>
      <c r="U227" s="230">
        <f t="shared" si="122"/>
        <v>1.9255008211678755E-2</v>
      </c>
      <c r="V227" s="230">
        <f t="shared" si="122"/>
        <v>2.264256818596995E-2</v>
      </c>
      <c r="W227" s="230">
        <f t="shared" si="122"/>
        <v>2.6408315328163616E-2</v>
      </c>
      <c r="X227" s="230">
        <f t="shared" si="122"/>
        <v>3.1801713068975439E-2</v>
      </c>
      <c r="Y227" s="230">
        <f t="shared" si="122"/>
        <v>3.7829732461592908E-2</v>
      </c>
      <c r="Z227" s="230">
        <f t="shared" si="122"/>
        <v>4.4531158693669082E-2</v>
      </c>
      <c r="AA227" s="230">
        <f t="shared" si="122"/>
        <v>5.1945632457162591E-2</v>
      </c>
      <c r="AB227" s="230">
        <f t="shared" si="122"/>
        <v>6.011363750557297E-2</v>
      </c>
      <c r="AC227" s="230">
        <f t="shared" si="122"/>
        <v>6.9077140182567984E-2</v>
      </c>
      <c r="AD227" s="230">
        <f t="shared" si="122"/>
        <v>7.8878547609062488E-2</v>
      </c>
      <c r="AE227" s="230">
        <f t="shared" si="122"/>
        <v>8.9561116524458126E-2</v>
      </c>
      <c r="AF227" s="230">
        <f t="shared" si="122"/>
        <v>0.10116894068747725</v>
      </c>
      <c r="AG227" s="230">
        <f>AG223-$C223</f>
        <v>0.11374693727966005</v>
      </c>
      <c r="AH227" s="245"/>
      <c r="AI227" s="133"/>
      <c r="AJ227" s="211"/>
      <c r="AL227" s="108"/>
      <c r="AM227" s="2"/>
      <c r="AN227" s="2"/>
      <c r="AO227" s="2"/>
      <c r="BC227" s="1"/>
      <c r="BD227" s="2"/>
      <c r="BE227" s="2"/>
      <c r="BF227" s="2"/>
      <c r="BG227" s="2"/>
      <c r="BH227" s="2"/>
      <c r="BI227" s="2"/>
      <c r="BJ227" s="2"/>
      <c r="BK227" s="2"/>
    </row>
    <row r="228" spans="1:63" outlineLevel="1" x14ac:dyDescent="0.2">
      <c r="A228" s="4" t="s">
        <v>745</v>
      </c>
      <c r="C228" s="230">
        <f t="shared" ref="C228:AG229" si="123">C224-$C224</f>
        <v>0</v>
      </c>
      <c r="D228" s="230">
        <f t="shared" si="123"/>
        <v>4.5553492647849359E-4</v>
      </c>
      <c r="E228" s="230">
        <f t="shared" si="123"/>
        <v>9.5796802089217039E-4</v>
      </c>
      <c r="F228" s="230">
        <f t="shared" si="123"/>
        <v>1.5034710993304752E-3</v>
      </c>
      <c r="G228" s="230">
        <f t="shared" si="123"/>
        <v>2.0872963168577802E-3</v>
      </c>
      <c r="H228" s="230">
        <f t="shared" si="123"/>
        <v>2.7038265869473999E-3</v>
      </c>
      <c r="I228" s="230">
        <f t="shared" si="123"/>
        <v>3.3556406073174099E-3</v>
      </c>
      <c r="J228" s="230">
        <f t="shared" si="123"/>
        <v>4.039956176965627E-3</v>
      </c>
      <c r="K228" s="230">
        <f t="shared" si="123"/>
        <v>4.7536489146684313E-3</v>
      </c>
      <c r="L228" s="230">
        <f t="shared" si="123"/>
        <v>5.493249490857729E-3</v>
      </c>
      <c r="M228" s="230">
        <f t="shared" si="123"/>
        <v>6.2549423194928882E-3</v>
      </c>
      <c r="N228" s="230">
        <f t="shared" si="123"/>
        <v>7.6820277587001419E-3</v>
      </c>
      <c r="O228" s="230">
        <f t="shared" si="123"/>
        <v>9.1348458741690158E-3</v>
      </c>
      <c r="P228" s="230">
        <f t="shared" si="123"/>
        <v>1.0597784066556764E-2</v>
      </c>
      <c r="Q228" s="230">
        <f t="shared" si="123"/>
        <v>1.2054489474458885E-2</v>
      </c>
      <c r="R228" s="230">
        <f t="shared" si="123"/>
        <v>1.3488081877367048E-2</v>
      </c>
      <c r="S228" s="230">
        <f t="shared" si="123"/>
        <v>1.4909674242724118E-2</v>
      </c>
      <c r="T228" s="230">
        <f t="shared" si="123"/>
        <v>1.6309479405232679E-2</v>
      </c>
      <c r="U228" s="230">
        <f t="shared" si="123"/>
        <v>1.7677341287659663E-2</v>
      </c>
      <c r="V228" s="230">
        <f t="shared" si="123"/>
        <v>1.900273589622789E-2</v>
      </c>
      <c r="W228" s="230">
        <f t="shared" si="123"/>
        <v>2.0274772748860487E-2</v>
      </c>
      <c r="X228" s="230">
        <f t="shared" si="123"/>
        <v>2.2376993529406745E-2</v>
      </c>
      <c r="Y228" s="230">
        <f t="shared" si="123"/>
        <v>2.4388345655488541E-2</v>
      </c>
      <c r="Z228" s="230">
        <f t="shared" si="123"/>
        <v>2.6289818145360595E-2</v>
      </c>
      <c r="AA228" s="230">
        <f t="shared" si="123"/>
        <v>2.8061789990419861E-2</v>
      </c>
      <c r="AB228" s="230">
        <f t="shared" si="123"/>
        <v>2.9684033241234933E-2</v>
      </c>
      <c r="AC228" s="230">
        <f t="shared" si="123"/>
        <v>3.1136018902162416E-2</v>
      </c>
      <c r="AD228" s="230">
        <f t="shared" si="123"/>
        <v>3.2396353247639335E-2</v>
      </c>
      <c r="AE228" s="230">
        <f t="shared" si="123"/>
        <v>3.344303685598523E-2</v>
      </c>
      <c r="AF228" s="230">
        <f t="shared" si="123"/>
        <v>3.4253468266220659E-2</v>
      </c>
      <c r="AG228" s="230">
        <f t="shared" si="123"/>
        <v>3.4804448249500394E-2</v>
      </c>
      <c r="AH228" s="245"/>
      <c r="AI228" s="133"/>
      <c r="AJ228" s="211"/>
      <c r="AL228" s="108"/>
      <c r="AM228" s="2"/>
      <c r="AN228" s="2"/>
      <c r="AO228" s="2"/>
      <c r="BC228" s="1"/>
      <c r="BD228" s="2"/>
      <c r="BE228" s="2"/>
      <c r="BF228" s="2"/>
      <c r="BG228" s="2"/>
      <c r="BH228" s="2"/>
      <c r="BI228" s="2"/>
      <c r="BJ228" s="2"/>
      <c r="BK228" s="2"/>
    </row>
    <row r="229" spans="1:63" outlineLevel="1" x14ac:dyDescent="0.2">
      <c r="A229" s="4" t="s">
        <v>1561</v>
      </c>
      <c r="C229" s="230">
        <f t="shared" si="123"/>
        <v>0</v>
      </c>
      <c r="D229" s="230">
        <f t="shared" si="123"/>
        <v>2.6314783023810974E-4</v>
      </c>
      <c r="E229" s="230">
        <f t="shared" si="123"/>
        <v>5.5459631516185394E-4</v>
      </c>
      <c r="F229" s="230">
        <f t="shared" si="123"/>
        <v>8.7241860251072688E-4</v>
      </c>
      <c r="G229" s="230">
        <f t="shared" si="123"/>
        <v>1.2141609859137557E-3</v>
      </c>
      <c r="H229" s="230">
        <f t="shared" si="123"/>
        <v>1.5768659511358543E-3</v>
      </c>
      <c r="I229" s="230">
        <f t="shared" si="123"/>
        <v>1.9623474685475082E-3</v>
      </c>
      <c r="J229" s="230">
        <f t="shared" si="123"/>
        <v>2.3693375686573447E-3</v>
      </c>
      <c r="K229" s="230">
        <f t="shared" si="123"/>
        <v>2.7963872559644246E-3</v>
      </c>
      <c r="L229" s="230">
        <f t="shared" si="123"/>
        <v>3.241864417567799E-3</v>
      </c>
      <c r="M229" s="230">
        <f t="shared" si="123"/>
        <v>3.7039524788992687E-3</v>
      </c>
      <c r="N229" s="230">
        <f t="shared" si="123"/>
        <v>4.5640702890982522E-3</v>
      </c>
      <c r="O229" s="230">
        <f t="shared" si="123"/>
        <v>5.4468444376755566E-3</v>
      </c>
      <c r="P229" s="230">
        <f t="shared" si="123"/>
        <v>6.3438476493108825E-3</v>
      </c>
      <c r="Q229" s="230">
        <f t="shared" si="123"/>
        <v>7.2461670793359106E-3</v>
      </c>
      <c r="R229" s="230">
        <f t="shared" si="123"/>
        <v>8.1445152557352817E-3</v>
      </c>
      <c r="S229" s="230">
        <f t="shared" si="123"/>
        <v>9.046468537312561E-3</v>
      </c>
      <c r="T229" s="230">
        <f t="shared" si="123"/>
        <v>9.9471566203017617E-3</v>
      </c>
      <c r="U229" s="230">
        <f t="shared" si="123"/>
        <v>1.0841516153292659E-2</v>
      </c>
      <c r="V229" s="230">
        <f t="shared" si="123"/>
        <v>1.1724291071559626E-2</v>
      </c>
      <c r="W229" s="230">
        <f t="shared" si="123"/>
        <v>1.2590033154222184E-2</v>
      </c>
      <c r="X229" s="230">
        <f t="shared" si="123"/>
        <v>1.3990942838281905E-2</v>
      </c>
      <c r="Y229" s="230">
        <f t="shared" si="123"/>
        <v>1.5362506192969621E-2</v>
      </c>
      <c r="Z229" s="230">
        <f t="shared" si="123"/>
        <v>1.6695203400521785E-2</v>
      </c>
      <c r="AA229" s="230">
        <f t="shared" si="123"/>
        <v>1.7979195178469329E-2</v>
      </c>
      <c r="AB229" s="230">
        <f t="shared" si="123"/>
        <v>1.9204324103912082E-2</v>
      </c>
      <c r="AC229" s="230">
        <f t="shared" si="123"/>
        <v>2.0360313235811736E-2</v>
      </c>
      <c r="AD229" s="230">
        <f t="shared" si="123"/>
        <v>2.1436405021374227E-2</v>
      </c>
      <c r="AE229" s="230">
        <f t="shared" si="123"/>
        <v>2.2421524717811479E-2</v>
      </c>
      <c r="AF229" s="230">
        <f t="shared" si="123"/>
        <v>2.3304282038695896E-2</v>
      </c>
      <c r="AG229" s="230">
        <f t="shared" si="123"/>
        <v>2.4072973117312647E-2</v>
      </c>
      <c r="AH229" s="245"/>
      <c r="AI229" s="133"/>
      <c r="AJ229" s="211"/>
      <c r="AL229" s="108"/>
      <c r="AM229" s="2"/>
      <c r="AN229" s="2"/>
      <c r="AO229" s="2"/>
      <c r="BC229" s="1"/>
      <c r="BD229" s="2"/>
      <c r="BE229" s="2"/>
      <c r="BF229" s="2"/>
      <c r="BG229" s="2"/>
      <c r="BH229" s="2"/>
      <c r="BI229" s="2"/>
      <c r="BJ229" s="2"/>
      <c r="BK229" s="2"/>
    </row>
    <row r="230" spans="1:63" outlineLevel="1" x14ac:dyDescent="0.2">
      <c r="AJ230" s="211"/>
    </row>
    <row r="231" spans="1:63" s="200" customFormat="1" ht="16" thickBot="1" x14ac:dyDescent="0.25">
      <c r="A231" s="200" t="s">
        <v>1351</v>
      </c>
      <c r="B231" s="215"/>
      <c r="C231" s="224">
        <f>C232</f>
        <v>0.05</v>
      </c>
      <c r="D231" s="224">
        <f t="shared" ref="D231:AG231" si="124">D232</f>
        <v>5.2260994000770548E-2</v>
      </c>
      <c r="E231" s="224">
        <f t="shared" si="124"/>
        <v>5.4521988001541094E-2</v>
      </c>
      <c r="F231" s="224">
        <f t="shared" si="124"/>
        <v>5.6782982002311633E-2</v>
      </c>
      <c r="G231" s="224">
        <f t="shared" si="124"/>
        <v>5.9043976003082178E-2</v>
      </c>
      <c r="H231" s="224">
        <f t="shared" si="124"/>
        <v>6.1304970003852724E-2</v>
      </c>
      <c r="I231" s="224">
        <f t="shared" si="124"/>
        <v>6.3565964004623277E-2</v>
      </c>
      <c r="J231" s="224">
        <f t="shared" si="124"/>
        <v>6.5826958005393815E-2</v>
      </c>
      <c r="K231" s="224">
        <f t="shared" si="124"/>
        <v>6.8087952006164354E-2</v>
      </c>
      <c r="L231" s="224">
        <f t="shared" si="124"/>
        <v>7.0348946006934907E-2</v>
      </c>
      <c r="M231" s="224">
        <f t="shared" si="124"/>
        <v>7.2609940007705445E-2</v>
      </c>
      <c r="N231" s="224">
        <f t="shared" si="124"/>
        <v>7.7375419670867973E-2</v>
      </c>
      <c r="O231" s="224">
        <f t="shared" si="124"/>
        <v>8.2140899334030501E-2</v>
      </c>
      <c r="P231" s="224">
        <f t="shared" si="124"/>
        <v>8.6906378997193029E-2</v>
      </c>
      <c r="Q231" s="224">
        <f t="shared" si="124"/>
        <v>9.1671858660355557E-2</v>
      </c>
      <c r="R231" s="224">
        <f t="shared" si="124"/>
        <v>9.6437338323518085E-2</v>
      </c>
      <c r="S231" s="224">
        <f t="shared" si="124"/>
        <v>0.10120281798668061</v>
      </c>
      <c r="T231" s="224">
        <f t="shared" si="124"/>
        <v>0.10596829764984314</v>
      </c>
      <c r="U231" s="224">
        <f t="shared" si="124"/>
        <v>0.11073377731300567</v>
      </c>
      <c r="V231" s="224">
        <f t="shared" si="124"/>
        <v>0.1154992569761682</v>
      </c>
      <c r="W231" s="224">
        <f t="shared" si="124"/>
        <v>0.12026473663933072</v>
      </c>
      <c r="X231" s="224">
        <f t="shared" si="124"/>
        <v>0.12823826297539764</v>
      </c>
      <c r="Y231" s="224">
        <f t="shared" si="124"/>
        <v>0.13621178931146458</v>
      </c>
      <c r="Z231" s="224">
        <f t="shared" si="124"/>
        <v>0.14418531564753151</v>
      </c>
      <c r="AA231" s="224">
        <f t="shared" si="124"/>
        <v>0.15215884198359844</v>
      </c>
      <c r="AB231" s="224">
        <f t="shared" si="124"/>
        <v>0.16013236831966537</v>
      </c>
      <c r="AC231" s="224">
        <f t="shared" si="124"/>
        <v>0.16810589465573231</v>
      </c>
      <c r="AD231" s="224">
        <f t="shared" si="124"/>
        <v>0.17607942099179924</v>
      </c>
      <c r="AE231" s="224">
        <f t="shared" si="124"/>
        <v>0.18405294732786615</v>
      </c>
      <c r="AF231" s="224">
        <f t="shared" si="124"/>
        <v>0.19202647366393311</v>
      </c>
      <c r="AG231" s="224">
        <f t="shared" si="124"/>
        <v>0.2</v>
      </c>
      <c r="AJ231" s="231" t="s">
        <v>1331</v>
      </c>
      <c r="AL231" s="217"/>
      <c r="AM231" s="225"/>
      <c r="AN231" s="225"/>
      <c r="AO231" s="225"/>
    </row>
    <row r="232" spans="1:63" ht="16" outlineLevel="2" thickTop="1" x14ac:dyDescent="0.2">
      <c r="A232" t="s">
        <v>1352</v>
      </c>
      <c r="B232" s="54" t="s">
        <v>462</v>
      </c>
      <c r="C232" s="113">
        <v>0.05</v>
      </c>
      <c r="D232" s="110">
        <f>$C232+($M232-$C232)/10*(D$1-$C$1)</f>
        <v>5.2260994000770548E-2</v>
      </c>
      <c r="E232" s="110">
        <f t="shared" ref="E232:L232" si="125">$C232+($M232-$C232)/10*(E$1-$C$1)</f>
        <v>5.4521988001541094E-2</v>
      </c>
      <c r="F232" s="110">
        <f t="shared" si="125"/>
        <v>5.6782982002311633E-2</v>
      </c>
      <c r="G232" s="110">
        <f t="shared" si="125"/>
        <v>5.9043976003082178E-2</v>
      </c>
      <c r="H232" s="110">
        <f t="shared" si="125"/>
        <v>6.1304970003852724E-2</v>
      </c>
      <c r="I232" s="110">
        <f t="shared" si="125"/>
        <v>6.3565964004623277E-2</v>
      </c>
      <c r="J232" s="110">
        <f t="shared" si="125"/>
        <v>6.5826958005393815E-2</v>
      </c>
      <c r="K232" s="110">
        <f t="shared" si="125"/>
        <v>6.8087952006164354E-2</v>
      </c>
      <c r="L232" s="110">
        <f t="shared" si="125"/>
        <v>7.0348946006934907E-2</v>
      </c>
      <c r="M232" s="121">
        <f>(M$52-$C$52)/($AG$52-$C$52)*($AG232-$C232)+$C232</f>
        <v>7.2609940007705445E-2</v>
      </c>
      <c r="N232" s="121">
        <f>$M232+($W232-$M232)/10*(N$1-$M$1)</f>
        <v>7.7375419670867973E-2</v>
      </c>
      <c r="O232" s="121">
        <f t="shared" ref="O232:U232" si="126">$M232+($W232-$M232)/10*(O$1-$M$1)</f>
        <v>8.2140899334030501E-2</v>
      </c>
      <c r="P232" s="121">
        <f t="shared" si="126"/>
        <v>8.6906378997193029E-2</v>
      </c>
      <c r="Q232" s="121">
        <f t="shared" si="126"/>
        <v>9.1671858660355557E-2</v>
      </c>
      <c r="R232" s="121">
        <f t="shared" si="126"/>
        <v>9.6437338323518085E-2</v>
      </c>
      <c r="S232" s="121">
        <f t="shared" si="126"/>
        <v>0.10120281798668061</v>
      </c>
      <c r="T232" s="121">
        <f t="shared" si="126"/>
        <v>0.10596829764984314</v>
      </c>
      <c r="U232" s="121">
        <f t="shared" si="126"/>
        <v>0.11073377731300567</v>
      </c>
      <c r="V232" s="121">
        <f>$M232+($W232-$M232)/10*(V$1-$M$1)</f>
        <v>0.1154992569761682</v>
      </c>
      <c r="W232" s="121">
        <f>(W$52-$C$52)/($AG$52-$C$52)*($AG232-$C232)+$C232</f>
        <v>0.12026473663933072</v>
      </c>
      <c r="X232" s="23">
        <f t="shared" ref="X232:AF232" si="127">$W232+($AG232-$W232)/10*(X$1-$W$1)</f>
        <v>0.12823826297539764</v>
      </c>
      <c r="Y232" s="23">
        <f t="shared" si="127"/>
        <v>0.13621178931146458</v>
      </c>
      <c r="Z232" s="23">
        <f t="shared" si="127"/>
        <v>0.14418531564753151</v>
      </c>
      <c r="AA232" s="23">
        <f t="shared" si="127"/>
        <v>0.15215884198359844</v>
      </c>
      <c r="AB232" s="23">
        <f t="shared" si="127"/>
        <v>0.16013236831966537</v>
      </c>
      <c r="AC232" s="23">
        <f t="shared" si="127"/>
        <v>0.16810589465573231</v>
      </c>
      <c r="AD232" s="23">
        <f t="shared" si="127"/>
        <v>0.17607942099179924</v>
      </c>
      <c r="AE232" s="23">
        <f t="shared" si="127"/>
        <v>0.18405294732786615</v>
      </c>
      <c r="AF232" s="23">
        <f t="shared" si="127"/>
        <v>0.19202647366393311</v>
      </c>
      <c r="AG232" s="106">
        <v>0.2</v>
      </c>
      <c r="AJ232" s="211" t="s">
        <v>1353</v>
      </c>
    </row>
    <row r="233" spans="1:63" outlineLevel="2" x14ac:dyDescent="0.2">
      <c r="C233" s="113"/>
      <c r="D233" s="110"/>
      <c r="E233" s="110"/>
      <c r="F233" s="110"/>
      <c r="G233" s="110"/>
      <c r="H233" s="110"/>
      <c r="I233" s="110"/>
      <c r="J233" s="110"/>
      <c r="K233" s="110"/>
      <c r="L233" s="110"/>
      <c r="M233" s="121"/>
      <c r="N233" s="121"/>
      <c r="O233" s="121"/>
      <c r="P233" s="121"/>
      <c r="Q233" s="121"/>
      <c r="R233" s="121"/>
      <c r="S233" s="121"/>
      <c r="T233" s="121"/>
      <c r="U233" s="121"/>
      <c r="V233" s="121"/>
      <c r="W233" s="121"/>
      <c r="X233" s="23"/>
      <c r="Y233" s="23"/>
      <c r="Z233" s="23"/>
      <c r="AA233" s="23"/>
      <c r="AB233" s="23"/>
      <c r="AC233" s="23"/>
      <c r="AD233" s="23"/>
      <c r="AE233" s="23"/>
      <c r="AF233" s="23"/>
      <c r="AG233" s="106"/>
      <c r="AJ233" s="211"/>
    </row>
    <row r="234" spans="1:63" outlineLevel="1" x14ac:dyDescent="0.2">
      <c r="A234" t="s">
        <v>1553</v>
      </c>
      <c r="C234" s="504">
        <f>'Overall recycling rates'!E88</f>
        <v>1.0000000000000004</v>
      </c>
      <c r="D234" s="504">
        <f>C234-($C234-$AG234)/($AG$1-$C$1)</f>
        <v>1.0000000000000004</v>
      </c>
      <c r="E234" s="504">
        <f t="shared" ref="E234:AF234" si="128">D234-($C234-$AG234)/($AG$1-$C$1)</f>
        <v>1.0000000000000004</v>
      </c>
      <c r="F234" s="504">
        <f t="shared" si="128"/>
        <v>1.0000000000000004</v>
      </c>
      <c r="G234" s="504">
        <f t="shared" si="128"/>
        <v>1.0000000000000004</v>
      </c>
      <c r="H234" s="504">
        <f t="shared" si="128"/>
        <v>1.0000000000000004</v>
      </c>
      <c r="I234" s="504">
        <f t="shared" si="128"/>
        <v>1.0000000000000004</v>
      </c>
      <c r="J234" s="504">
        <f t="shared" si="128"/>
        <v>1.0000000000000004</v>
      </c>
      <c r="K234" s="504">
        <f t="shared" si="128"/>
        <v>1.0000000000000004</v>
      </c>
      <c r="L234" s="504">
        <f t="shared" si="128"/>
        <v>1.0000000000000004</v>
      </c>
      <c r="M234" s="504">
        <f t="shared" si="128"/>
        <v>1.0000000000000004</v>
      </c>
      <c r="N234" s="504">
        <f t="shared" si="128"/>
        <v>1.0000000000000004</v>
      </c>
      <c r="O234" s="504">
        <f t="shared" si="128"/>
        <v>1.0000000000000004</v>
      </c>
      <c r="P234" s="504">
        <f t="shared" si="128"/>
        <v>1.0000000000000004</v>
      </c>
      <c r="Q234" s="504">
        <f t="shared" si="128"/>
        <v>1.0000000000000004</v>
      </c>
      <c r="R234" s="504">
        <f t="shared" si="128"/>
        <v>1.0000000000000004</v>
      </c>
      <c r="S234" s="504">
        <f t="shared" si="128"/>
        <v>1.0000000000000004</v>
      </c>
      <c r="T234" s="504">
        <f t="shared" si="128"/>
        <v>1.0000000000000004</v>
      </c>
      <c r="U234" s="504">
        <f t="shared" si="128"/>
        <v>1.0000000000000004</v>
      </c>
      <c r="V234" s="504">
        <f t="shared" si="128"/>
        <v>1.0000000000000004</v>
      </c>
      <c r="W234" s="504">
        <f t="shared" si="128"/>
        <v>1.0000000000000004</v>
      </c>
      <c r="X234" s="504">
        <f t="shared" si="128"/>
        <v>1.0000000000000004</v>
      </c>
      <c r="Y234" s="504">
        <f t="shared" si="128"/>
        <v>1.0000000000000004</v>
      </c>
      <c r="Z234" s="504">
        <f t="shared" si="128"/>
        <v>1.0000000000000004</v>
      </c>
      <c r="AA234" s="504">
        <f t="shared" si="128"/>
        <v>1.0000000000000004</v>
      </c>
      <c r="AB234" s="504">
        <f t="shared" si="128"/>
        <v>1.0000000000000004</v>
      </c>
      <c r="AC234" s="504">
        <f t="shared" si="128"/>
        <v>1.0000000000000004</v>
      </c>
      <c r="AD234" s="504">
        <f t="shared" si="128"/>
        <v>1.0000000000000004</v>
      </c>
      <c r="AE234" s="504">
        <f t="shared" si="128"/>
        <v>1.0000000000000004</v>
      </c>
      <c r="AF234" s="504">
        <f t="shared" si="128"/>
        <v>1.0000000000000004</v>
      </c>
      <c r="AG234" s="504">
        <f>'Overall recycling rates'!E97</f>
        <v>1</v>
      </c>
      <c r="AI234" s="133"/>
      <c r="AJ234" s="211" t="s">
        <v>1582</v>
      </c>
      <c r="AL234" s="108"/>
      <c r="AM234" s="207"/>
      <c r="AN234" s="207"/>
      <c r="AO234" s="207"/>
      <c r="BC234" s="1"/>
      <c r="BD234" s="207"/>
      <c r="BE234" s="207"/>
      <c r="BF234" s="207"/>
      <c r="BG234" s="207"/>
      <c r="BH234" s="207"/>
      <c r="BI234" s="207"/>
      <c r="BJ234" s="207"/>
      <c r="BK234" s="207"/>
    </row>
    <row r="235" spans="1:63" outlineLevel="1" x14ac:dyDescent="0.2">
      <c r="A235" t="s">
        <v>1583</v>
      </c>
      <c r="B235" s="54" t="s">
        <v>462</v>
      </c>
      <c r="C235" s="110">
        <f>C232*C234</f>
        <v>5.0000000000000024E-2</v>
      </c>
      <c r="D235" s="110">
        <f t="shared" ref="D235:AG235" si="129">D232*D234</f>
        <v>5.2260994000770569E-2</v>
      </c>
      <c r="E235" s="110">
        <f t="shared" si="129"/>
        <v>5.4521988001541115E-2</v>
      </c>
      <c r="F235" s="110">
        <f t="shared" si="129"/>
        <v>5.678298200231166E-2</v>
      </c>
      <c r="G235" s="110">
        <f t="shared" si="129"/>
        <v>5.9043976003082206E-2</v>
      </c>
      <c r="H235" s="110">
        <f t="shared" si="129"/>
        <v>6.1304970003852752E-2</v>
      </c>
      <c r="I235" s="110">
        <f t="shared" si="129"/>
        <v>6.3565964004623304E-2</v>
      </c>
      <c r="J235" s="110">
        <f t="shared" si="129"/>
        <v>6.5826958005393843E-2</v>
      </c>
      <c r="K235" s="110">
        <f t="shared" si="129"/>
        <v>6.8087952006164382E-2</v>
      </c>
      <c r="L235" s="110">
        <f t="shared" si="129"/>
        <v>7.0348946006934934E-2</v>
      </c>
      <c r="M235" s="110">
        <f t="shared" si="129"/>
        <v>7.2609940007705473E-2</v>
      </c>
      <c r="N235" s="110">
        <f t="shared" si="129"/>
        <v>7.7375419670868001E-2</v>
      </c>
      <c r="O235" s="110">
        <f t="shared" si="129"/>
        <v>8.2140899334030543E-2</v>
      </c>
      <c r="P235" s="110">
        <f t="shared" si="129"/>
        <v>8.6906378997193071E-2</v>
      </c>
      <c r="Q235" s="110">
        <f t="shared" si="129"/>
        <v>9.1671858660355598E-2</v>
      </c>
      <c r="R235" s="110">
        <f t="shared" si="129"/>
        <v>9.6437338323518126E-2</v>
      </c>
      <c r="S235" s="110">
        <f t="shared" si="129"/>
        <v>0.10120281798668065</v>
      </c>
      <c r="T235" s="110">
        <f t="shared" si="129"/>
        <v>0.10596829764984318</v>
      </c>
      <c r="U235" s="110">
        <f t="shared" si="129"/>
        <v>0.11073377731300572</v>
      </c>
      <c r="V235" s="110">
        <f t="shared" si="129"/>
        <v>0.11549925697616825</v>
      </c>
      <c r="W235" s="110">
        <f t="shared" si="129"/>
        <v>0.12026473663933078</v>
      </c>
      <c r="X235" s="110">
        <f t="shared" si="129"/>
        <v>0.1282382629753977</v>
      </c>
      <c r="Y235" s="110">
        <f t="shared" si="129"/>
        <v>0.13621178931146463</v>
      </c>
      <c r="Z235" s="110">
        <f t="shared" si="129"/>
        <v>0.14418531564753156</v>
      </c>
      <c r="AA235" s="110">
        <f t="shared" si="129"/>
        <v>0.1521588419835985</v>
      </c>
      <c r="AB235" s="110">
        <f t="shared" si="129"/>
        <v>0.16013236831966546</v>
      </c>
      <c r="AC235" s="110">
        <f t="shared" si="129"/>
        <v>0.16810589465573239</v>
      </c>
      <c r="AD235" s="110">
        <f t="shared" si="129"/>
        <v>0.17607942099179932</v>
      </c>
      <c r="AE235" s="110">
        <f t="shared" si="129"/>
        <v>0.18405294732786623</v>
      </c>
      <c r="AF235" s="110">
        <f t="shared" si="129"/>
        <v>0.19202647366393319</v>
      </c>
      <c r="AG235" s="110">
        <f t="shared" si="129"/>
        <v>0.2</v>
      </c>
      <c r="AJ235" s="211" t="s">
        <v>1349</v>
      </c>
    </row>
    <row r="236" spans="1:63" outlineLevel="1" x14ac:dyDescent="0.2">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J236" s="211"/>
    </row>
    <row r="237" spans="1:63" s="1" customFormat="1" outlineLevel="1" x14ac:dyDescent="0.2">
      <c r="A237" s="1" t="s">
        <v>228</v>
      </c>
      <c r="B237" s="65"/>
      <c r="C237" s="300">
        <f>C235*C46</f>
        <v>0.31598105577738522</v>
      </c>
      <c r="D237" s="300">
        <f t="shared" ref="D237:AG237" si="130">D235*D46</f>
        <v>0.34134081620046014</v>
      </c>
      <c r="E237" s="300">
        <f t="shared" si="130"/>
        <v>0.36708360883116053</v>
      </c>
      <c r="F237" s="300">
        <f t="shared" si="130"/>
        <v>0.39305945533275943</v>
      </c>
      <c r="G237" s="300">
        <f t="shared" si="130"/>
        <v>0.41910914635149427</v>
      </c>
      <c r="H237" s="300">
        <f t="shared" si="130"/>
        <v>0.44506581519298871</v>
      </c>
      <c r="I237" s="300">
        <f t="shared" si="130"/>
        <v>0.47021547440886408</v>
      </c>
      <c r="J237" s="300">
        <f t="shared" si="130"/>
        <v>0.49592619244181763</v>
      </c>
      <c r="K237" s="300">
        <f t="shared" si="130"/>
        <v>0.52218151454379713</v>
      </c>
      <c r="L237" s="300">
        <f t="shared" si="130"/>
        <v>0.54896352106744217</v>
      </c>
      <c r="M237" s="300">
        <f t="shared" si="130"/>
        <v>0.57625282968697833</v>
      </c>
      <c r="N237" s="300">
        <f t="shared" si="130"/>
        <v>0.62334063763579783</v>
      </c>
      <c r="O237" s="300">
        <f t="shared" si="130"/>
        <v>0.67043999445079117</v>
      </c>
      <c r="P237" s="300">
        <f t="shared" si="130"/>
        <v>0.71730032997773119</v>
      </c>
      <c r="Q237" s="300">
        <f t="shared" si="130"/>
        <v>0.76366602581324305</v>
      </c>
      <c r="R237" s="300">
        <f t="shared" si="130"/>
        <v>0.80927869324994361</v>
      </c>
      <c r="S237" s="300">
        <f t="shared" si="130"/>
        <v>0.85541794459639697</v>
      </c>
      <c r="T237" s="300">
        <f t="shared" si="130"/>
        <v>0.90207345173282727</v>
      </c>
      <c r="U237" s="300">
        <f t="shared" si="130"/>
        <v>0.94923450434333467</v>
      </c>
      <c r="V237" s="300">
        <f t="shared" si="130"/>
        <v>0.99689001195744209</v>
      </c>
      <c r="W237" s="300">
        <f t="shared" si="130"/>
        <v>1.0450285062979852</v>
      </c>
      <c r="X237" s="300">
        <f t="shared" si="130"/>
        <v>1.1217112533247651</v>
      </c>
      <c r="Y237" s="300">
        <f t="shared" si="130"/>
        <v>1.1992329191232194</v>
      </c>
      <c r="Z237" s="300">
        <f t="shared" si="130"/>
        <v>1.27757669752507</v>
      </c>
      <c r="AA237" s="300">
        <f t="shared" si="130"/>
        <v>1.3567252201540254</v>
      </c>
      <c r="AB237" s="300">
        <f t="shared" si="130"/>
        <v>1.4366605600450451</v>
      </c>
      <c r="AC237" s="300">
        <f t="shared" si="130"/>
        <v>1.5172155449302134</v>
      </c>
      <c r="AD237" s="300">
        <f t="shared" si="130"/>
        <v>1.5985177772788821</v>
      </c>
      <c r="AE237" s="300">
        <f t="shared" si="130"/>
        <v>1.6805496131783491</v>
      </c>
      <c r="AF237" s="300">
        <f t="shared" si="130"/>
        <v>1.7632929144549672</v>
      </c>
      <c r="AG237" s="300">
        <f t="shared" si="130"/>
        <v>1.8467290529061313</v>
      </c>
      <c r="AH237" s="245"/>
      <c r="AI237" s="423"/>
      <c r="AJ237" s="424"/>
      <c r="AL237" s="221"/>
      <c r="AM237" s="124"/>
      <c r="AN237" s="124"/>
      <c r="AO237" s="124"/>
      <c r="BD237" s="124"/>
      <c r="BE237" s="124"/>
      <c r="BF237" s="124"/>
      <c r="BG237" s="124"/>
      <c r="BH237" s="124"/>
      <c r="BI237" s="124"/>
      <c r="BJ237" s="124"/>
      <c r="BK237" s="124"/>
    </row>
    <row r="238" spans="1:63" outlineLevel="1" x14ac:dyDescent="0.2">
      <c r="A238" s="4" t="s">
        <v>474</v>
      </c>
      <c r="C238" s="230">
        <f>C$237*'Methanol recycling rates'!E72</f>
        <v>0</v>
      </c>
      <c r="D238" s="230">
        <f>D$237*'Methanol recycling rates'!F72</f>
        <v>0</v>
      </c>
      <c r="E238" s="230">
        <f>E$237*'Methanol recycling rates'!G72</f>
        <v>0</v>
      </c>
      <c r="F238" s="230">
        <f>F$237*'Methanol recycling rates'!H72</f>
        <v>0</v>
      </c>
      <c r="G238" s="230">
        <f>G$237*'Methanol recycling rates'!I72</f>
        <v>0</v>
      </c>
      <c r="H238" s="230">
        <f>H$237*'Methanol recycling rates'!J72</f>
        <v>0</v>
      </c>
      <c r="I238" s="230">
        <f>I$237*'Methanol recycling rates'!K72</f>
        <v>0</v>
      </c>
      <c r="J238" s="230">
        <f>J$237*'Methanol recycling rates'!L72</f>
        <v>0</v>
      </c>
      <c r="K238" s="230">
        <f>K$237*'Methanol recycling rates'!M72</f>
        <v>0</v>
      </c>
      <c r="L238" s="230">
        <f>L$237*'Methanol recycling rates'!N72</f>
        <v>0</v>
      </c>
      <c r="M238" s="230">
        <f>M$237*'Methanol recycling rates'!O72</f>
        <v>0</v>
      </c>
      <c r="N238" s="230">
        <f>N$237*'Methanol recycling rates'!P72</f>
        <v>0</v>
      </c>
      <c r="O238" s="230">
        <f>O$237*'Methanol recycling rates'!Q72</f>
        <v>0</v>
      </c>
      <c r="P238" s="230">
        <f>P$237*'Methanol recycling rates'!R72</f>
        <v>0</v>
      </c>
      <c r="Q238" s="230">
        <f>Q$237*'Methanol recycling rates'!S72</f>
        <v>0</v>
      </c>
      <c r="R238" s="230">
        <f>R$237*'Methanol recycling rates'!T72</f>
        <v>0</v>
      </c>
      <c r="S238" s="230">
        <f>S$237*'Methanol recycling rates'!U72</f>
        <v>0</v>
      </c>
      <c r="T238" s="230">
        <f>T$237*'Methanol recycling rates'!V72</f>
        <v>0</v>
      </c>
      <c r="U238" s="230">
        <f>U$237*'Methanol recycling rates'!W72</f>
        <v>0</v>
      </c>
      <c r="V238" s="230">
        <f>V$237*'Methanol recycling rates'!X72</f>
        <v>0</v>
      </c>
      <c r="W238" s="230">
        <f>W$237*'Methanol recycling rates'!Y72</f>
        <v>0</v>
      </c>
      <c r="X238" s="230">
        <f>X$237*'Methanol recycling rates'!Z72</f>
        <v>0</v>
      </c>
      <c r="Y238" s="230">
        <f>Y$237*'Methanol recycling rates'!AA72</f>
        <v>0</v>
      </c>
      <c r="Z238" s="230">
        <f>Z$237*'Methanol recycling rates'!AB72</f>
        <v>0</v>
      </c>
      <c r="AA238" s="230">
        <f>AA$237*'Methanol recycling rates'!AC72</f>
        <v>0</v>
      </c>
      <c r="AB238" s="230">
        <f>AB$237*'Methanol recycling rates'!AD72</f>
        <v>0</v>
      </c>
      <c r="AC238" s="230">
        <f>AC$237*'Methanol recycling rates'!AE72</f>
        <v>0</v>
      </c>
      <c r="AD238" s="230">
        <f>AD$237*'Methanol recycling rates'!AF72</f>
        <v>0</v>
      </c>
      <c r="AE238" s="230">
        <f>AE$237*'Methanol recycling rates'!AG72</f>
        <v>0</v>
      </c>
      <c r="AF238" s="230">
        <f>AF$237*'Methanol recycling rates'!AH72</f>
        <v>0</v>
      </c>
      <c r="AG238" s="230">
        <f>AG$237*'Methanol recycling rates'!AI72</f>
        <v>0</v>
      </c>
      <c r="AH238" s="245"/>
      <c r="AI238" s="133"/>
      <c r="AJ238" s="211"/>
      <c r="AL238" s="108"/>
      <c r="AM238" s="2"/>
      <c r="AN238" s="2"/>
      <c r="AO238" s="2"/>
      <c r="BC238" s="1"/>
      <c r="BD238" s="2"/>
      <c r="BE238" s="2"/>
      <c r="BF238" s="2"/>
      <c r="BG238" s="2"/>
      <c r="BH238" s="2"/>
      <c r="BI238" s="2"/>
      <c r="BJ238" s="2"/>
      <c r="BK238" s="2"/>
    </row>
    <row r="239" spans="1:63" outlineLevel="1" x14ac:dyDescent="0.2">
      <c r="A239" s="4" t="s">
        <v>745</v>
      </c>
      <c r="C239" s="230">
        <f>C$237*'Methanol recycling rates'!E73</f>
        <v>9.7552363181015914E-2</v>
      </c>
      <c r="D239" s="230">
        <f>D$237*'Methanol recycling rates'!F73</f>
        <v>0.10538164444247948</v>
      </c>
      <c r="E239" s="230">
        <f>E$237*'Methanol recycling rates'!G73</f>
        <v>0.11332917866988867</v>
      </c>
      <c r="F239" s="230">
        <f>F$237*'Methanol recycling rates'!H73</f>
        <v>0.1213486632735592</v>
      </c>
      <c r="G239" s="230">
        <f>G$237*'Methanol recycling rates'!I73</f>
        <v>0.12939094578559435</v>
      </c>
      <c r="H239" s="230">
        <f>H$237*'Methanol recycling rates'!J73</f>
        <v>0.13740450969867515</v>
      </c>
      <c r="I239" s="230">
        <f>I$237*'Methanol recycling rates'!K73</f>
        <v>0.14516892672573367</v>
      </c>
      <c r="J239" s="230">
        <f>J$237*'Methanol recycling rates'!L73</f>
        <v>0.15310655861010339</v>
      </c>
      <c r="K239" s="230">
        <f>K$237*'Methanol recycling rates'!M73</f>
        <v>0.1612123253017981</v>
      </c>
      <c r="L239" s="230">
        <f>L$237*'Methanol recycling rates'!N73</f>
        <v>0.16948069449463865</v>
      </c>
      <c r="M239" s="230">
        <f>M$237*'Methanol recycling rates'!O73</f>
        <v>0.17790568231190623</v>
      </c>
      <c r="N239" s="230">
        <f>N$237*'Methanol recycling rates'!P73</f>
        <v>0.19244303149291977</v>
      </c>
      <c r="O239" s="230">
        <f>O$237*'Methanol recycling rates'!Q73</f>
        <v>0.20698394613827595</v>
      </c>
      <c r="P239" s="230">
        <f>P$237*'Methanol recycling rates'!R73</f>
        <v>0.22145106809551413</v>
      </c>
      <c r="Q239" s="230">
        <f>Q$237*'Methanol recycling rates'!S73</f>
        <v>0.23576548067369404</v>
      </c>
      <c r="R239" s="230">
        <f>R$237*'Methanol recycling rates'!T73</f>
        <v>0.24984741191002346</v>
      </c>
      <c r="S239" s="230">
        <f>S$237*'Methanol recycling rates'!U73</f>
        <v>0.26409191461660481</v>
      </c>
      <c r="T239" s="230">
        <f>T$237*'Methanol recycling rates'!V73</f>
        <v>0.27849580020832221</v>
      </c>
      <c r="U239" s="230">
        <f>U$237*'Methanol recycling rates'!W73</f>
        <v>0.29305576210521667</v>
      </c>
      <c r="V239" s="230">
        <f>V$237*'Methanol recycling rates'!X73</f>
        <v>0.30776837636276988</v>
      </c>
      <c r="W239" s="230">
        <f>W$237*'Methanol recycling rates'!Y73</f>
        <v>0.32263010239676471</v>
      </c>
      <c r="X239" s="230">
        <f>X$237*'Methanol recycling rates'!Z73</f>
        <v>0.3463042532703684</v>
      </c>
      <c r="Y239" s="230">
        <f>Y$237*'Methanol recycling rates'!AA73</f>
        <v>0.37023740229337826</v>
      </c>
      <c r="Z239" s="230">
        <f>Z$237*'Methanol recycling rates'!AB73</f>
        <v>0.39442436092236244</v>
      </c>
      <c r="AA239" s="230">
        <f>AA$237*'Methanol recycling rates'!AC73</f>
        <v>0.4188597670442421</v>
      </c>
      <c r="AB239" s="230">
        <f>AB$237*'Methanol recycling rates'!AD73</f>
        <v>0.44353808609366152</v>
      </c>
      <c r="AC239" s="230">
        <f>AC$237*'Methanol recycling rates'!AE73</f>
        <v>0.46840770722403563</v>
      </c>
      <c r="AD239" s="230">
        <f>AD$237*'Methanol recycling rates'!AF73</f>
        <v>0.49350802495666696</v>
      </c>
      <c r="AE239" s="230">
        <f>AE$237*'Methanol recycling rates'!AG73</f>
        <v>0.51883359211252877</v>
      </c>
      <c r="AF239" s="230">
        <f>AF$237*'Methanol recycling rates'!AH73</f>
        <v>0.54437880892014534</v>
      </c>
      <c r="AG239" s="230">
        <f>AG$237*'Methanol recycling rates'!AI73</f>
        <v>0.5701379243221264</v>
      </c>
      <c r="AH239" s="245"/>
      <c r="AI239" s="133"/>
      <c r="AJ239" s="211"/>
      <c r="AL239" s="108"/>
      <c r="AM239" s="2"/>
      <c r="AN239" s="2"/>
      <c r="AO239" s="2"/>
      <c r="BC239" s="1"/>
      <c r="BD239" s="2"/>
      <c r="BE239" s="2"/>
      <c r="BF239" s="2"/>
      <c r="BG239" s="2"/>
      <c r="BH239" s="2"/>
      <c r="BI239" s="2"/>
      <c r="BJ239" s="2"/>
      <c r="BK239" s="2"/>
    </row>
    <row r="240" spans="1:63" outlineLevel="1" x14ac:dyDescent="0.2">
      <c r="A240" s="4" t="s">
        <v>1561</v>
      </c>
      <c r="C240" s="230">
        <f>C$237*'Methanol recycling rates'!E74</f>
        <v>0.21842869259636932</v>
      </c>
      <c r="D240" s="230">
        <f>D$237*'Methanol recycling rates'!F74</f>
        <v>0.23595917175798065</v>
      </c>
      <c r="E240" s="230">
        <f>E$237*'Methanol recycling rates'!G74</f>
        <v>0.25375443016127186</v>
      </c>
      <c r="F240" s="230">
        <f>F$237*'Methanol recycling rates'!H74</f>
        <v>0.27171079205920023</v>
      </c>
      <c r="G240" s="230">
        <f>G$237*'Methanol recycling rates'!I74</f>
        <v>0.28971820056589992</v>
      </c>
      <c r="H240" s="230">
        <f>H$237*'Methanol recycling rates'!J74</f>
        <v>0.30766130549431353</v>
      </c>
      <c r="I240" s="230">
        <f>I$237*'Methanol recycling rates'!K74</f>
        <v>0.3250465476831304</v>
      </c>
      <c r="J240" s="230">
        <f>J$237*'Methanol recycling rates'!L74</f>
        <v>0.34281963383171421</v>
      </c>
      <c r="K240" s="230">
        <f>K$237*'Methanol recycling rates'!M74</f>
        <v>0.360969189241999</v>
      </c>
      <c r="L240" s="230">
        <f>L$237*'Methanol recycling rates'!N74</f>
        <v>0.37948282657280352</v>
      </c>
      <c r="M240" s="230">
        <f>M$237*'Methanol recycling rates'!O74</f>
        <v>0.3983471473750721</v>
      </c>
      <c r="N240" s="230">
        <f>N$237*'Methanol recycling rates'!P74</f>
        <v>0.43089760614287809</v>
      </c>
      <c r="O240" s="230">
        <f>O$237*'Methanol recycling rates'!Q74</f>
        <v>0.46345604831251525</v>
      </c>
      <c r="P240" s="230">
        <f>P$237*'Methanol recycling rates'!R74</f>
        <v>0.49584926188221706</v>
      </c>
      <c r="Q240" s="230">
        <f>Q$237*'Methanol recycling rates'!S74</f>
        <v>0.52790054513954898</v>
      </c>
      <c r="R240" s="230">
        <f>R$237*'Methanol recycling rates'!T74</f>
        <v>0.55943128133992015</v>
      </c>
      <c r="S240" s="230">
        <f>S$237*'Methanol recycling rates'!U74</f>
        <v>0.59132602997979211</v>
      </c>
      <c r="T240" s="230">
        <f>T$237*'Methanol recycling rates'!V74</f>
        <v>0.62357765152450506</v>
      </c>
      <c r="U240" s="230">
        <f>U$237*'Methanol recycling rates'!W74</f>
        <v>0.65617874223811801</v>
      </c>
      <c r="V240" s="230">
        <f>V$237*'Methanol recycling rates'!X74</f>
        <v>0.68912163559467221</v>
      </c>
      <c r="W240" s="230">
        <f>W$237*'Methanol recycling rates'!Y74</f>
        <v>0.72239840390122045</v>
      </c>
      <c r="X240" s="230">
        <f>X$237*'Methanol recycling rates'!Z74</f>
        <v>0.77540700005439667</v>
      </c>
      <c r="Y240" s="230">
        <f>Y$237*'Methanol recycling rates'!AA74</f>
        <v>0.82899551682984107</v>
      </c>
      <c r="Z240" s="230">
        <f>Z$237*'Methanol recycling rates'!AB74</f>
        <v>0.88315233660270753</v>
      </c>
      <c r="AA240" s="230">
        <f>AA$237*'Methanol recycling rates'!AC74</f>
        <v>0.93786545310978331</v>
      </c>
      <c r="AB240" s="230">
        <f>AB$237*'Methanol recycling rates'!AD74</f>
        <v>0.99312247395138353</v>
      </c>
      <c r="AC240" s="230">
        <f>AC$237*'Methanol recycling rates'!AE74</f>
        <v>1.0488078377061778</v>
      </c>
      <c r="AD240" s="230">
        <f>AD$237*'Methanol recycling rates'!AF74</f>
        <v>1.1050097523222151</v>
      </c>
      <c r="AE240" s="230">
        <f>AE$237*'Methanol recycling rates'!AG74</f>
        <v>1.1617160210658202</v>
      </c>
      <c r="AF240" s="230">
        <f>AF$237*'Methanol recycling rates'!AH74</f>
        <v>1.2189141055348218</v>
      </c>
      <c r="AG240" s="230">
        <f>AG$237*'Methanol recycling rates'!AI74</f>
        <v>1.2765911285840048</v>
      </c>
      <c r="AH240" s="245"/>
      <c r="AI240" s="133"/>
      <c r="AJ240" s="211"/>
      <c r="AL240" s="108"/>
      <c r="AM240" s="2"/>
      <c r="AN240" s="2"/>
      <c r="AO240" s="2"/>
      <c r="BC240" s="1"/>
      <c r="BD240" s="2"/>
      <c r="BE240" s="2"/>
      <c r="BF240" s="2"/>
      <c r="BG240" s="2"/>
      <c r="BH240" s="2"/>
      <c r="BI240" s="2"/>
      <c r="BJ240" s="2"/>
      <c r="BK240" s="2"/>
    </row>
    <row r="241" spans="1:63" s="1" customFormat="1" outlineLevel="1" x14ac:dyDescent="0.2">
      <c r="A241" s="1" t="s">
        <v>1562</v>
      </c>
      <c r="B241" s="65"/>
      <c r="C241" s="300">
        <f>C237-$C237</f>
        <v>0</v>
      </c>
      <c r="D241" s="300">
        <f t="shared" ref="D241:AG242" si="131">D237-$C237</f>
        <v>2.5359760423074917E-2</v>
      </c>
      <c r="E241" s="300">
        <f t="shared" si="131"/>
        <v>5.1102553053775313E-2</v>
      </c>
      <c r="F241" s="300">
        <f t="shared" si="131"/>
        <v>7.7078399555374211E-2</v>
      </c>
      <c r="G241" s="300">
        <f t="shared" si="131"/>
        <v>0.10312809057410904</v>
      </c>
      <c r="H241" s="300">
        <f t="shared" si="131"/>
        <v>0.12908475941560349</v>
      </c>
      <c r="I241" s="300">
        <f t="shared" si="131"/>
        <v>0.15423441863147885</v>
      </c>
      <c r="J241" s="300">
        <f t="shared" si="131"/>
        <v>0.1799451366644324</v>
      </c>
      <c r="K241" s="300">
        <f t="shared" si="131"/>
        <v>0.20620045876641191</v>
      </c>
      <c r="L241" s="300">
        <f t="shared" si="131"/>
        <v>0.23298246529005695</v>
      </c>
      <c r="M241" s="300">
        <f t="shared" si="131"/>
        <v>0.26027177390959311</v>
      </c>
      <c r="N241" s="300">
        <f t="shared" si="131"/>
        <v>0.30735958185841261</v>
      </c>
      <c r="O241" s="300">
        <f t="shared" si="131"/>
        <v>0.35445893867340594</v>
      </c>
      <c r="P241" s="300">
        <f t="shared" si="131"/>
        <v>0.40131927420034597</v>
      </c>
      <c r="Q241" s="300">
        <f t="shared" si="131"/>
        <v>0.44768497003585783</v>
      </c>
      <c r="R241" s="300">
        <f t="shared" si="131"/>
        <v>0.49329763747255839</v>
      </c>
      <c r="S241" s="300">
        <f t="shared" si="131"/>
        <v>0.53943688881901175</v>
      </c>
      <c r="T241" s="300">
        <f t="shared" si="131"/>
        <v>0.58609239595544205</v>
      </c>
      <c r="U241" s="300">
        <f t="shared" si="131"/>
        <v>0.63325344856594945</v>
      </c>
      <c r="V241" s="300">
        <f t="shared" si="131"/>
        <v>0.68090895618005687</v>
      </c>
      <c r="W241" s="300">
        <f t="shared" si="131"/>
        <v>0.72904745052059994</v>
      </c>
      <c r="X241" s="300">
        <f t="shared" si="131"/>
        <v>0.80573019754737984</v>
      </c>
      <c r="Y241" s="300">
        <f t="shared" si="131"/>
        <v>0.88325186334583417</v>
      </c>
      <c r="Z241" s="300">
        <f t="shared" si="131"/>
        <v>0.96159564174768475</v>
      </c>
      <c r="AA241" s="300">
        <f t="shared" si="131"/>
        <v>1.0407441643766402</v>
      </c>
      <c r="AB241" s="300">
        <f t="shared" si="131"/>
        <v>1.1206795042676598</v>
      </c>
      <c r="AC241" s="300">
        <f t="shared" si="131"/>
        <v>1.2012344891528282</v>
      </c>
      <c r="AD241" s="300">
        <f t="shared" si="131"/>
        <v>1.2825367215014969</v>
      </c>
      <c r="AE241" s="300">
        <f t="shared" si="131"/>
        <v>1.3645685574009638</v>
      </c>
      <c r="AF241" s="300">
        <f t="shared" si="131"/>
        <v>1.4473118586775819</v>
      </c>
      <c r="AG241" s="300">
        <f t="shared" si="131"/>
        <v>1.5307479971287461</v>
      </c>
      <c r="AH241" s="245"/>
      <c r="AI241" s="423"/>
      <c r="AJ241" s="424"/>
      <c r="AL241" s="221"/>
      <c r="AM241" s="124"/>
      <c r="AN241" s="124"/>
      <c r="AO241" s="124"/>
      <c r="BD241" s="124"/>
      <c r="BE241" s="124"/>
      <c r="BF241" s="124"/>
      <c r="BG241" s="124"/>
      <c r="BH241" s="124"/>
      <c r="BI241" s="124"/>
      <c r="BJ241" s="124"/>
      <c r="BK241" s="124"/>
    </row>
    <row r="242" spans="1:63" outlineLevel="1" x14ac:dyDescent="0.2">
      <c r="A242" s="4" t="s">
        <v>474</v>
      </c>
      <c r="C242" s="230">
        <f>C238-$C238</f>
        <v>0</v>
      </c>
      <c r="D242" s="230">
        <f t="shared" si="131"/>
        <v>0</v>
      </c>
      <c r="E242" s="230">
        <f t="shared" si="131"/>
        <v>0</v>
      </c>
      <c r="F242" s="230">
        <f t="shared" si="131"/>
        <v>0</v>
      </c>
      <c r="G242" s="230">
        <f t="shared" si="131"/>
        <v>0</v>
      </c>
      <c r="H242" s="230">
        <f t="shared" si="131"/>
        <v>0</v>
      </c>
      <c r="I242" s="230">
        <f t="shared" si="131"/>
        <v>0</v>
      </c>
      <c r="J242" s="230">
        <f t="shared" si="131"/>
        <v>0</v>
      </c>
      <c r="K242" s="230">
        <f t="shared" si="131"/>
        <v>0</v>
      </c>
      <c r="L242" s="230">
        <f t="shared" si="131"/>
        <v>0</v>
      </c>
      <c r="M242" s="230">
        <f t="shared" si="131"/>
        <v>0</v>
      </c>
      <c r="N242" s="230">
        <f t="shared" si="131"/>
        <v>0</v>
      </c>
      <c r="O242" s="230">
        <f t="shared" si="131"/>
        <v>0</v>
      </c>
      <c r="P242" s="230">
        <f t="shared" si="131"/>
        <v>0</v>
      </c>
      <c r="Q242" s="230">
        <f t="shared" si="131"/>
        <v>0</v>
      </c>
      <c r="R242" s="230">
        <f t="shared" si="131"/>
        <v>0</v>
      </c>
      <c r="S242" s="230">
        <f t="shared" si="131"/>
        <v>0</v>
      </c>
      <c r="T242" s="230">
        <f t="shared" si="131"/>
        <v>0</v>
      </c>
      <c r="U242" s="230">
        <f t="shared" si="131"/>
        <v>0</v>
      </c>
      <c r="V242" s="230">
        <f t="shared" si="131"/>
        <v>0</v>
      </c>
      <c r="W242" s="230">
        <f t="shared" si="131"/>
        <v>0</v>
      </c>
      <c r="X242" s="230">
        <f t="shared" si="131"/>
        <v>0</v>
      </c>
      <c r="Y242" s="230">
        <f t="shared" si="131"/>
        <v>0</v>
      </c>
      <c r="Z242" s="230">
        <f t="shared" si="131"/>
        <v>0</v>
      </c>
      <c r="AA242" s="230">
        <f t="shared" si="131"/>
        <v>0</v>
      </c>
      <c r="AB242" s="230">
        <f t="shared" si="131"/>
        <v>0</v>
      </c>
      <c r="AC242" s="230">
        <f t="shared" si="131"/>
        <v>0</v>
      </c>
      <c r="AD242" s="230">
        <f t="shared" si="131"/>
        <v>0</v>
      </c>
      <c r="AE242" s="230">
        <f t="shared" si="131"/>
        <v>0</v>
      </c>
      <c r="AF242" s="230">
        <f t="shared" si="131"/>
        <v>0</v>
      </c>
      <c r="AG242" s="230">
        <f>AG238-$C238</f>
        <v>0</v>
      </c>
      <c r="AH242" s="245"/>
      <c r="AI242" s="133"/>
      <c r="AJ242" s="211"/>
      <c r="AL242" s="108"/>
      <c r="AM242" s="2"/>
      <c r="AN242" s="2"/>
      <c r="AO242" s="2"/>
      <c r="BC242" s="1"/>
      <c r="BD242" s="2"/>
      <c r="BE242" s="2"/>
      <c r="BF242" s="2"/>
      <c r="BG242" s="2"/>
      <c r="BH242" s="2"/>
      <c r="BI242" s="2"/>
      <c r="BJ242" s="2"/>
      <c r="BK242" s="2"/>
    </row>
    <row r="243" spans="1:63" outlineLevel="1" x14ac:dyDescent="0.2">
      <c r="A243" s="4" t="s">
        <v>745</v>
      </c>
      <c r="C243" s="230">
        <f t="shared" ref="C243:AG244" si="132">C239-$C239</f>
        <v>0</v>
      </c>
      <c r="D243" s="230">
        <f t="shared" si="132"/>
        <v>7.8292812614635665E-3</v>
      </c>
      <c r="E243" s="230">
        <f t="shared" si="132"/>
        <v>1.5776815488872761E-2</v>
      </c>
      <c r="F243" s="230">
        <f t="shared" si="132"/>
        <v>2.3796300092543285E-2</v>
      </c>
      <c r="G243" s="230">
        <f t="shared" si="132"/>
        <v>3.1838582604578433E-2</v>
      </c>
      <c r="H243" s="230">
        <f t="shared" si="132"/>
        <v>3.985214651765924E-2</v>
      </c>
      <c r="I243" s="230">
        <f t="shared" si="132"/>
        <v>4.7616563544717758E-2</v>
      </c>
      <c r="J243" s="230">
        <f t="shared" si="132"/>
        <v>5.5554195429087475E-2</v>
      </c>
      <c r="K243" s="230">
        <f t="shared" si="132"/>
        <v>6.365996212078219E-2</v>
      </c>
      <c r="L243" s="230">
        <f t="shared" si="132"/>
        <v>7.1928331313622737E-2</v>
      </c>
      <c r="M243" s="230">
        <f t="shared" si="132"/>
        <v>8.0353319130890319E-2</v>
      </c>
      <c r="N243" s="230">
        <f t="shared" si="132"/>
        <v>9.4890668311903861E-2</v>
      </c>
      <c r="O243" s="230">
        <f t="shared" si="132"/>
        <v>0.10943158295726003</v>
      </c>
      <c r="P243" s="230">
        <f t="shared" si="132"/>
        <v>0.12389870491449821</v>
      </c>
      <c r="Q243" s="230">
        <f t="shared" si="132"/>
        <v>0.13821311749267812</v>
      </c>
      <c r="R243" s="230">
        <f t="shared" si="132"/>
        <v>0.15229504872900756</v>
      </c>
      <c r="S243" s="230">
        <f t="shared" si="132"/>
        <v>0.16653955143558891</v>
      </c>
      <c r="T243" s="230">
        <f t="shared" si="132"/>
        <v>0.18094343702730631</v>
      </c>
      <c r="U243" s="230">
        <f t="shared" si="132"/>
        <v>0.19550339892420077</v>
      </c>
      <c r="V243" s="230">
        <f t="shared" si="132"/>
        <v>0.21021601318175398</v>
      </c>
      <c r="W243" s="230">
        <f t="shared" si="132"/>
        <v>0.22507773921574881</v>
      </c>
      <c r="X243" s="230">
        <f t="shared" si="132"/>
        <v>0.2487518900893525</v>
      </c>
      <c r="Y243" s="230">
        <f t="shared" si="132"/>
        <v>0.27268503911236236</v>
      </c>
      <c r="Z243" s="230">
        <f t="shared" si="132"/>
        <v>0.29687199774134654</v>
      </c>
      <c r="AA243" s="230">
        <f t="shared" si="132"/>
        <v>0.3213074038632262</v>
      </c>
      <c r="AB243" s="230">
        <f t="shared" si="132"/>
        <v>0.34598572291264562</v>
      </c>
      <c r="AC243" s="230">
        <f t="shared" si="132"/>
        <v>0.37085534404301973</v>
      </c>
      <c r="AD243" s="230">
        <f t="shared" si="132"/>
        <v>0.39595566177565106</v>
      </c>
      <c r="AE243" s="230">
        <f t="shared" si="132"/>
        <v>0.42128122893151287</v>
      </c>
      <c r="AF243" s="230">
        <f t="shared" si="132"/>
        <v>0.44682644573912944</v>
      </c>
      <c r="AG243" s="230">
        <f t="shared" si="132"/>
        <v>0.4725855611411105</v>
      </c>
      <c r="AH243" s="245"/>
      <c r="AI243" s="133"/>
      <c r="AJ243" s="211"/>
      <c r="AL243" s="108"/>
      <c r="AM243" s="2"/>
      <c r="AN243" s="2"/>
      <c r="AO243" s="2"/>
      <c r="BC243" s="1"/>
      <c r="BD243" s="2"/>
      <c r="BE243" s="2"/>
      <c r="BF243" s="2"/>
      <c r="BG243" s="2"/>
      <c r="BH243" s="2"/>
      <c r="BI243" s="2"/>
      <c r="BJ243" s="2"/>
      <c r="BK243" s="2"/>
    </row>
    <row r="244" spans="1:63" outlineLevel="1" x14ac:dyDescent="0.2">
      <c r="A244" s="4" t="s">
        <v>1561</v>
      </c>
      <c r="C244" s="230">
        <f t="shared" si="132"/>
        <v>0</v>
      </c>
      <c r="D244" s="230">
        <f t="shared" si="132"/>
        <v>1.7530479161611323E-2</v>
      </c>
      <c r="E244" s="230">
        <f t="shared" si="132"/>
        <v>3.5325737564902537E-2</v>
      </c>
      <c r="F244" s="230">
        <f t="shared" si="132"/>
        <v>5.3282099462830912E-2</v>
      </c>
      <c r="G244" s="230">
        <f t="shared" si="132"/>
        <v>7.1289507969530597E-2</v>
      </c>
      <c r="H244" s="230">
        <f t="shared" si="132"/>
        <v>8.9232612897944208E-2</v>
      </c>
      <c r="I244" s="230">
        <f t="shared" si="132"/>
        <v>0.10661785508676108</v>
      </c>
      <c r="J244" s="230">
        <f t="shared" si="132"/>
        <v>0.12439094123534489</v>
      </c>
      <c r="K244" s="230">
        <f t="shared" si="132"/>
        <v>0.14254049664562968</v>
      </c>
      <c r="L244" s="230">
        <f t="shared" si="132"/>
        <v>0.1610541339764342</v>
      </c>
      <c r="M244" s="230">
        <f t="shared" si="132"/>
        <v>0.17991845477870277</v>
      </c>
      <c r="N244" s="230">
        <f t="shared" si="132"/>
        <v>0.21246891354650876</v>
      </c>
      <c r="O244" s="230">
        <f t="shared" si="132"/>
        <v>0.24502735571614592</v>
      </c>
      <c r="P244" s="230">
        <f t="shared" si="132"/>
        <v>0.27742056928584774</v>
      </c>
      <c r="Q244" s="230">
        <f t="shared" si="132"/>
        <v>0.30947185254317966</v>
      </c>
      <c r="R244" s="230">
        <f t="shared" si="132"/>
        <v>0.34100258874355083</v>
      </c>
      <c r="S244" s="230">
        <f t="shared" si="132"/>
        <v>0.37289733738342279</v>
      </c>
      <c r="T244" s="230">
        <f t="shared" si="132"/>
        <v>0.40514895892813574</v>
      </c>
      <c r="U244" s="230">
        <f t="shared" si="132"/>
        <v>0.43775004964174868</v>
      </c>
      <c r="V244" s="230">
        <f t="shared" si="132"/>
        <v>0.47069294299830289</v>
      </c>
      <c r="W244" s="230">
        <f t="shared" si="132"/>
        <v>0.50396971130485113</v>
      </c>
      <c r="X244" s="230">
        <f t="shared" si="132"/>
        <v>0.55697830745802734</v>
      </c>
      <c r="Y244" s="230">
        <f t="shared" si="132"/>
        <v>0.61056682423347175</v>
      </c>
      <c r="Z244" s="230">
        <f t="shared" si="132"/>
        <v>0.66472364400633821</v>
      </c>
      <c r="AA244" s="230">
        <f t="shared" si="132"/>
        <v>0.71943676051341399</v>
      </c>
      <c r="AB244" s="230">
        <f t="shared" si="132"/>
        <v>0.77469378135501421</v>
      </c>
      <c r="AC244" s="230">
        <f t="shared" si="132"/>
        <v>0.83037914510980848</v>
      </c>
      <c r="AD244" s="230">
        <f t="shared" si="132"/>
        <v>0.88658105972584578</v>
      </c>
      <c r="AE244" s="230">
        <f t="shared" si="132"/>
        <v>0.94328732846945085</v>
      </c>
      <c r="AF244" s="230">
        <f t="shared" si="132"/>
        <v>1.0004854129384526</v>
      </c>
      <c r="AG244" s="230">
        <f t="shared" si="132"/>
        <v>1.0581624359876356</v>
      </c>
      <c r="AH244" s="245"/>
      <c r="AI244" s="133"/>
      <c r="AJ244" s="211"/>
      <c r="AL244" s="108"/>
      <c r="AM244" s="2"/>
      <c r="AN244" s="2"/>
      <c r="AO244" s="2"/>
      <c r="BC244" s="1"/>
      <c r="BD244" s="2"/>
      <c r="BE244" s="2"/>
      <c r="BF244" s="2"/>
      <c r="BG244" s="2"/>
      <c r="BH244" s="2"/>
      <c r="BI244" s="2"/>
      <c r="BJ244" s="2"/>
      <c r="BK244" s="2"/>
    </row>
    <row r="245" spans="1:63" outlineLevel="2" x14ac:dyDescent="0.2">
      <c r="C245" s="113"/>
      <c r="D245" s="110"/>
      <c r="E245" s="110"/>
      <c r="F245" s="110"/>
      <c r="G245" s="110"/>
      <c r="H245" s="110"/>
      <c r="I245" s="110"/>
      <c r="J245" s="110"/>
      <c r="K245" s="110"/>
      <c r="L245" s="110"/>
      <c r="M245" s="121"/>
      <c r="N245" s="121"/>
      <c r="O245" s="121"/>
      <c r="P245" s="121"/>
      <c r="Q245" s="121"/>
      <c r="R245" s="121"/>
      <c r="S245" s="121"/>
      <c r="T245" s="121"/>
      <c r="U245" s="121"/>
      <c r="V245" s="121"/>
      <c r="W245" s="121"/>
      <c r="X245" s="23"/>
      <c r="Y245" s="23"/>
      <c r="Z245" s="23"/>
      <c r="AA245" s="23"/>
      <c r="AB245" s="23"/>
      <c r="AC245" s="23"/>
      <c r="AD245" s="23"/>
      <c r="AE245" s="23"/>
      <c r="AF245" s="23"/>
      <c r="AG245" s="106"/>
      <c r="AJ245" s="211"/>
    </row>
    <row r="246" spans="1:63" s="200" customFormat="1" ht="16" thickBot="1" x14ac:dyDescent="0.25">
      <c r="A246" s="227" t="s">
        <v>1584</v>
      </c>
      <c r="B246" s="228"/>
      <c r="C246" s="229">
        <f>(C42*C66+C43*C132+C45*C187+C44*C220+C46*C235)/C47</f>
        <v>9.388625214515435E-2</v>
      </c>
      <c r="D246" s="229">
        <f t="shared" ref="D246:AG246" si="133">(D42*D66+D43*D132+D45*D187+D44*D220+D46*D235)/D47</f>
        <v>9.7988061930271264E-2</v>
      </c>
      <c r="E246" s="229">
        <f t="shared" si="133"/>
        <v>0.10207725463047126</v>
      </c>
      <c r="F246" s="229">
        <f t="shared" si="133"/>
        <v>0.10615391687421975</v>
      </c>
      <c r="G246" s="229">
        <f t="shared" si="133"/>
        <v>0.11021813537241631</v>
      </c>
      <c r="H246" s="229">
        <f t="shared" si="133"/>
        <v>0.1142699969184925</v>
      </c>
      <c r="I246" s="229">
        <f t="shared" si="133"/>
        <v>0.11821420727509176</v>
      </c>
      <c r="J246" s="229">
        <f t="shared" si="133"/>
        <v>0.12213811761028548</v>
      </c>
      <c r="K246" s="229">
        <f t="shared" si="133"/>
        <v>0.12604145435474109</v>
      </c>
      <c r="L246" s="229">
        <f t="shared" si="133"/>
        <v>0.1299239372320895</v>
      </c>
      <c r="M246" s="229">
        <f t="shared" si="133"/>
        <v>0.1337852790521134</v>
      </c>
      <c r="N246" s="229">
        <f t="shared" si="133"/>
        <v>0.14231987208130317</v>
      </c>
      <c r="O246" s="229">
        <f t="shared" si="133"/>
        <v>0.15080869778175299</v>
      </c>
      <c r="P246" s="229">
        <f t="shared" si="133"/>
        <v>0.15925368241843849</v>
      </c>
      <c r="Q246" s="229">
        <f t="shared" si="133"/>
        <v>0.16765192308603882</v>
      </c>
      <c r="R246" s="229">
        <f t="shared" si="133"/>
        <v>0.17600292719858882</v>
      </c>
      <c r="S246" s="229">
        <f t="shared" si="133"/>
        <v>0.18439924717989456</v>
      </c>
      <c r="T246" s="229">
        <f t="shared" si="133"/>
        <v>0.19275742385566755</v>
      </c>
      <c r="U246" s="229">
        <f t="shared" si="133"/>
        <v>0.20107727944787263</v>
      </c>
      <c r="V246" s="229">
        <f t="shared" si="133"/>
        <v>0.20935863115083891</v>
      </c>
      <c r="W246" s="229">
        <f t="shared" si="133"/>
        <v>0.21760129098953329</v>
      </c>
      <c r="X246" s="229">
        <f t="shared" si="133"/>
        <v>0.23174505863720088</v>
      </c>
      <c r="Y246" s="229">
        <f t="shared" si="133"/>
        <v>0.24582544896796002</v>
      </c>
      <c r="Z246" s="229">
        <f t="shared" si="133"/>
        <v>0.25984550278076546</v>
      </c>
      <c r="AA246" s="229">
        <f t="shared" si="133"/>
        <v>0.27379959634910561</v>
      </c>
      <c r="AB246" s="229">
        <f t="shared" si="133"/>
        <v>0.28768705725510102</v>
      </c>
      <c r="AC246" s="229">
        <f t="shared" si="133"/>
        <v>0.3014336081737497</v>
      </c>
      <c r="AD246" s="229">
        <f t="shared" si="133"/>
        <v>0.31510369302280283</v>
      </c>
      <c r="AE246" s="229">
        <f t="shared" si="133"/>
        <v>0.32869622103063878</v>
      </c>
      <c r="AF246" s="229">
        <f t="shared" si="133"/>
        <v>0.3422100570088068</v>
      </c>
      <c r="AG246" s="229">
        <f t="shared" si="133"/>
        <v>0.35564401977455179</v>
      </c>
      <c r="AJ246" s="479" t="s">
        <v>1585</v>
      </c>
      <c r="AL246" s="217"/>
      <c r="AM246" s="225"/>
      <c r="AN246" s="225"/>
      <c r="AO246" s="225"/>
    </row>
    <row r="247" spans="1:63" s="200" customFormat="1" ht="17" thickTop="1" thickBot="1" x14ac:dyDescent="0.25">
      <c r="A247" s="227" t="s">
        <v>1356</v>
      </c>
      <c r="B247" s="228"/>
      <c r="C247" s="229">
        <f t="shared" ref="C247:AG247" si="134">(C14*C49+C113*C15+C17*C170+C216*C16+C231*C18)/C19</f>
        <v>0.10392620862112158</v>
      </c>
      <c r="D247" s="229">
        <f t="shared" si="134"/>
        <v>0.10914907209487128</v>
      </c>
      <c r="E247" s="229">
        <f t="shared" si="134"/>
        <v>0.11437193556862101</v>
      </c>
      <c r="F247" s="229">
        <f t="shared" si="134"/>
        <v>0.11959479904237068</v>
      </c>
      <c r="G247" s="229">
        <f t="shared" si="134"/>
        <v>0.12481766251612042</v>
      </c>
      <c r="H247" s="229">
        <f t="shared" si="134"/>
        <v>0.13004052598987015</v>
      </c>
      <c r="I247" s="229">
        <f t="shared" si="134"/>
        <v>0.13526338946361988</v>
      </c>
      <c r="J247" s="229">
        <f t="shared" si="134"/>
        <v>0.14048625293736958</v>
      </c>
      <c r="K247" s="229">
        <f t="shared" si="134"/>
        <v>0.1457091164111193</v>
      </c>
      <c r="L247" s="229">
        <f t="shared" si="134"/>
        <v>0.15093197988486898</v>
      </c>
      <c r="M247" s="229">
        <f t="shared" si="134"/>
        <v>0.15615484335861871</v>
      </c>
      <c r="N247" s="229">
        <f t="shared" si="134"/>
        <v>0.16716303252636805</v>
      </c>
      <c r="O247" s="229">
        <f t="shared" si="134"/>
        <v>0.17817122169411745</v>
      </c>
      <c r="P247" s="229">
        <f t="shared" si="134"/>
        <v>0.18917941086186682</v>
      </c>
      <c r="Q247" s="229">
        <f t="shared" si="134"/>
        <v>0.20018760002961619</v>
      </c>
      <c r="R247" s="229">
        <f t="shared" si="134"/>
        <v>0.21119578919736562</v>
      </c>
      <c r="S247" s="229">
        <f t="shared" si="134"/>
        <v>0.22220397836511507</v>
      </c>
      <c r="T247" s="229">
        <f t="shared" si="134"/>
        <v>0.23321216753286442</v>
      </c>
      <c r="U247" s="229">
        <f t="shared" si="134"/>
        <v>0.24422035670061382</v>
      </c>
      <c r="V247" s="229">
        <f t="shared" si="134"/>
        <v>0.25522854586836319</v>
      </c>
      <c r="W247" s="229">
        <f t="shared" si="134"/>
        <v>0.26623673503611256</v>
      </c>
      <c r="X247" s="229">
        <f t="shared" si="134"/>
        <v>0.28465546566672584</v>
      </c>
      <c r="Y247" s="229">
        <f t="shared" si="134"/>
        <v>0.30307419629733917</v>
      </c>
      <c r="Z247" s="229">
        <f t="shared" si="134"/>
        <v>0.32149292692795245</v>
      </c>
      <c r="AA247" s="229">
        <f t="shared" si="134"/>
        <v>0.33991165755856578</v>
      </c>
      <c r="AB247" s="229">
        <f t="shared" si="134"/>
        <v>0.35833038818917906</v>
      </c>
      <c r="AC247" s="229">
        <f t="shared" si="134"/>
        <v>0.37674911881979239</v>
      </c>
      <c r="AD247" s="229">
        <f t="shared" si="134"/>
        <v>0.39516784945040562</v>
      </c>
      <c r="AE247" s="229">
        <f t="shared" si="134"/>
        <v>0.4135865800810189</v>
      </c>
      <c r="AF247" s="229">
        <f t="shared" si="134"/>
        <v>0.43200531071163223</v>
      </c>
      <c r="AG247" s="229">
        <f t="shared" si="134"/>
        <v>0.45042404134224556</v>
      </c>
      <c r="AJ247" s="226" t="s">
        <v>1357</v>
      </c>
      <c r="AL247" s="217"/>
      <c r="AM247" s="225"/>
      <c r="AN247" s="225"/>
      <c r="AO247" s="225"/>
    </row>
    <row r="248" spans="1:63" ht="16" thickTop="1" x14ac:dyDescent="0.2">
      <c r="B248" s="130"/>
      <c r="C248" s="113"/>
      <c r="D248" s="23"/>
      <c r="E248" s="23"/>
      <c r="F248" s="23"/>
      <c r="G248" s="23"/>
      <c r="H248" s="23"/>
      <c r="I248" s="23"/>
      <c r="J248" s="23"/>
      <c r="K248" s="23"/>
      <c r="L248" s="23"/>
      <c r="M248" s="126"/>
      <c r="N248" s="110"/>
      <c r="O248" s="110"/>
      <c r="P248" s="110"/>
      <c r="Q248" s="110"/>
      <c r="R248" s="110"/>
      <c r="S248" s="110"/>
      <c r="T248" s="110"/>
      <c r="U248" s="110"/>
      <c r="V248" s="110"/>
      <c r="W248" s="126"/>
      <c r="X248" s="110"/>
      <c r="Y248" s="110"/>
      <c r="Z248" s="110"/>
      <c r="AA248" s="110"/>
      <c r="AB248" s="110"/>
      <c r="AC248" s="110"/>
      <c r="AD248" s="110"/>
      <c r="AE248" s="110"/>
      <c r="AF248" s="110"/>
      <c r="AG248" s="113"/>
    </row>
    <row r="249" spans="1:63" x14ac:dyDescent="0.2">
      <c r="A249" t="s">
        <v>1586</v>
      </c>
      <c r="B249" s="130"/>
      <c r="C249" s="230">
        <f>(C42*C66+C43*C132+C45*C187+C44*C220+C46*C235)</f>
        <v>1.1899030376946831</v>
      </c>
      <c r="D249" s="230">
        <f t="shared" ref="D249:AG249" si="135">(D42*D66+D43*D132+D45*D187+D44*D220+D46*D235)</f>
        <v>1.2832138051892112</v>
      </c>
      <c r="E249" s="230">
        <f t="shared" si="135"/>
        <v>1.3776355273533616</v>
      </c>
      <c r="F249" s="230">
        <f t="shared" si="135"/>
        <v>1.4726001445686854</v>
      </c>
      <c r="G249" s="230">
        <f t="shared" si="135"/>
        <v>1.5675090695001979</v>
      </c>
      <c r="H249" s="230">
        <f t="shared" si="135"/>
        <v>1.6617393334988022</v>
      </c>
      <c r="I249" s="230">
        <f t="shared" si="135"/>
        <v>1.7469225352792939</v>
      </c>
      <c r="J249" s="230">
        <f t="shared" si="135"/>
        <v>1.8332207668502147</v>
      </c>
      <c r="K249" s="230">
        <f t="shared" si="135"/>
        <v>1.9205356611807338</v>
      </c>
      <c r="L249" s="230">
        <f t="shared" si="135"/>
        <v>2.0087643004214062</v>
      </c>
      <c r="M249" s="230">
        <f t="shared" si="135"/>
        <v>2.0977993672335775</v>
      </c>
      <c r="N249" s="230">
        <f t="shared" si="135"/>
        <v>2.2582110064054164</v>
      </c>
      <c r="O249" s="230">
        <f t="shared" si="135"/>
        <v>2.4167281141895853</v>
      </c>
      <c r="P249" s="230">
        <f t="shared" si="135"/>
        <v>2.5723824208480552</v>
      </c>
      <c r="Q249" s="230">
        <f t="shared" si="135"/>
        <v>2.7242941211949931</v>
      </c>
      <c r="R249" s="230">
        <f t="shared" si="135"/>
        <v>2.8715576356524481</v>
      </c>
      <c r="S249" s="230">
        <f t="shared" si="135"/>
        <v>3.0241496115820539</v>
      </c>
      <c r="T249" s="230">
        <f t="shared" si="135"/>
        <v>3.1771732813247522</v>
      </c>
      <c r="U249" s="230">
        <f t="shared" si="135"/>
        <v>3.3305613881366831</v>
      </c>
      <c r="V249" s="230">
        <f t="shared" si="135"/>
        <v>3.4842457383399701</v>
      </c>
      <c r="W249" s="230">
        <f t="shared" si="135"/>
        <v>3.6381572380961731</v>
      </c>
      <c r="X249" s="230">
        <f t="shared" si="135"/>
        <v>3.8920303858352137</v>
      </c>
      <c r="Y249" s="230">
        <f t="shared" si="135"/>
        <v>4.1464970662259306</v>
      </c>
      <c r="Z249" s="230">
        <f t="shared" si="135"/>
        <v>4.4009105179430605</v>
      </c>
      <c r="AA249" s="230">
        <f t="shared" si="135"/>
        <v>4.6555752114263536</v>
      </c>
      <c r="AB249" s="230">
        <f t="shared" si="135"/>
        <v>4.9103702825704429</v>
      </c>
      <c r="AC249" s="230">
        <f t="shared" si="135"/>
        <v>5.1601751784010812</v>
      </c>
      <c r="AD249" s="230">
        <f t="shared" si="135"/>
        <v>5.4093473173012692</v>
      </c>
      <c r="AE249" s="230">
        <f t="shared" si="135"/>
        <v>5.6577546540825789</v>
      </c>
      <c r="AF249" s="230">
        <f t="shared" si="135"/>
        <v>5.9052636331248767</v>
      </c>
      <c r="AG249" s="230">
        <f t="shared" si="135"/>
        <v>6.1517392427588131</v>
      </c>
      <c r="AI249" s="23">
        <f>(AG249/C249)^(1/30)-1</f>
        <v>5.6289294357042996E-2</v>
      </c>
    </row>
    <row r="250" spans="1:63" x14ac:dyDescent="0.2">
      <c r="A250" t="s">
        <v>1587</v>
      </c>
      <c r="B250" s="130"/>
      <c r="C250" s="230">
        <f>C249</f>
        <v>1.1899030376946831</v>
      </c>
      <c r="D250" s="230">
        <f>C250*(1+$AI$250)</f>
        <v>1.2097744184241843</v>
      </c>
      <c r="E250" s="230">
        <f t="shared" ref="E250:AG250" si="136">D250*(1+$AI$250)</f>
        <v>1.2299776512118681</v>
      </c>
      <c r="F250" s="230">
        <f t="shared" si="136"/>
        <v>1.2505182779871062</v>
      </c>
      <c r="G250" s="230">
        <f t="shared" si="136"/>
        <v>1.2714019332294908</v>
      </c>
      <c r="H250" s="230">
        <f t="shared" si="136"/>
        <v>1.2926343455144231</v>
      </c>
      <c r="I250" s="230">
        <f t="shared" si="136"/>
        <v>1.3142213390845139</v>
      </c>
      <c r="J250" s="230">
        <f t="shared" si="136"/>
        <v>1.3361688354472252</v>
      </c>
      <c r="K250" s="230">
        <f t="shared" si="136"/>
        <v>1.3584828549991939</v>
      </c>
      <c r="L250" s="230">
        <f t="shared" si="136"/>
        <v>1.3811695186776802</v>
      </c>
      <c r="M250" s="230">
        <f>L250*(1+$AI$250)</f>
        <v>1.4042350496395974</v>
      </c>
      <c r="N250" s="230">
        <f t="shared" si="136"/>
        <v>1.4276857749685787</v>
      </c>
      <c r="O250" s="230">
        <f t="shared" si="136"/>
        <v>1.4515281274105538</v>
      </c>
      <c r="P250" s="230">
        <f t="shared" si="136"/>
        <v>1.47576864713831</v>
      </c>
      <c r="Q250" s="230">
        <f t="shared" si="136"/>
        <v>1.5004139835455197</v>
      </c>
      <c r="R250" s="230">
        <f t="shared" si="136"/>
        <v>1.5254708970707298</v>
      </c>
      <c r="S250" s="230">
        <f t="shared" si="136"/>
        <v>1.550946261051811</v>
      </c>
      <c r="T250" s="230">
        <f t="shared" si="136"/>
        <v>1.5768470636113761</v>
      </c>
      <c r="U250" s="230">
        <f t="shared" si="136"/>
        <v>1.6031804095736859</v>
      </c>
      <c r="V250" s="230">
        <f t="shared" si="136"/>
        <v>1.6299535224135664</v>
      </c>
      <c r="W250" s="230">
        <f t="shared" si="136"/>
        <v>1.6571737462378728</v>
      </c>
      <c r="X250" s="230">
        <f t="shared" si="136"/>
        <v>1.6848485478000452</v>
      </c>
      <c r="Y250" s="230">
        <f t="shared" si="136"/>
        <v>1.7129855185483058</v>
      </c>
      <c r="Z250" s="230">
        <f t="shared" si="136"/>
        <v>1.7415923767080623</v>
      </c>
      <c r="AA250" s="230">
        <f t="shared" si="136"/>
        <v>1.7706769693990869</v>
      </c>
      <c r="AB250" s="230">
        <f t="shared" si="136"/>
        <v>1.8002472747880516</v>
      </c>
      <c r="AC250" s="230">
        <f t="shared" si="136"/>
        <v>1.8303114042770119</v>
      </c>
      <c r="AD250" s="230">
        <f t="shared" si="136"/>
        <v>1.8608776047284379</v>
      </c>
      <c r="AE250" s="230">
        <f t="shared" si="136"/>
        <v>1.8919542607274027</v>
      </c>
      <c r="AF250" s="230">
        <f t="shared" si="136"/>
        <v>1.9235498968815501</v>
      </c>
      <c r="AG250" s="230">
        <f t="shared" si="136"/>
        <v>1.9556731801594718</v>
      </c>
      <c r="AI250" s="214">
        <v>1.67E-2</v>
      </c>
      <c r="AJ250" s="3" t="s">
        <v>1360</v>
      </c>
    </row>
    <row r="251" spans="1:63" x14ac:dyDescent="0.2">
      <c r="B251" s="51"/>
    </row>
    <row r="252" spans="1:63" s="58" customFormat="1" x14ac:dyDescent="0.2">
      <c r="A252" s="58" t="s">
        <v>1361</v>
      </c>
      <c r="B252" s="303"/>
      <c r="C252" s="304"/>
      <c r="D252" s="304"/>
      <c r="E252" s="304"/>
      <c r="F252" s="304"/>
      <c r="G252" s="304"/>
      <c r="H252" s="304"/>
      <c r="I252" s="304"/>
      <c r="J252" s="304"/>
      <c r="K252" s="304"/>
      <c r="L252" s="304"/>
      <c r="M252" s="304"/>
      <c r="N252" s="304"/>
      <c r="O252" s="304"/>
      <c r="P252" s="304"/>
      <c r="Q252" s="304"/>
      <c r="R252" s="304"/>
      <c r="S252" s="304"/>
      <c r="T252" s="304"/>
      <c r="U252" s="304"/>
      <c r="V252" s="304"/>
      <c r="W252" s="304"/>
      <c r="X252" s="304"/>
      <c r="Y252" s="304"/>
      <c r="Z252" s="304"/>
      <c r="AA252" s="304"/>
      <c r="AB252" s="304"/>
      <c r="AC252" s="304"/>
      <c r="AD252" s="304"/>
      <c r="AE252" s="304"/>
      <c r="AF252" s="304"/>
      <c r="AG252" s="304"/>
      <c r="AI252" s="305"/>
      <c r="AJ252" s="306"/>
    </row>
    <row r="253" spans="1:63" s="190" customFormat="1" outlineLevel="1" x14ac:dyDescent="0.2">
      <c r="A253" s="344" t="s">
        <v>1362</v>
      </c>
      <c r="B253" s="318" t="s">
        <v>462</v>
      </c>
      <c r="C253" s="319">
        <v>0.84</v>
      </c>
      <c r="D253" s="320">
        <f>-($C253-$AG253)/30+C253</f>
        <v>0.83566666666666667</v>
      </c>
      <c r="E253" s="320">
        <f t="shared" ref="E253:T253" si="137">-($C253-$AG253)/30+D253</f>
        <v>0.83133333333333337</v>
      </c>
      <c r="F253" s="320">
        <f t="shared" si="137"/>
        <v>0.82700000000000007</v>
      </c>
      <c r="G253" s="320">
        <f t="shared" si="137"/>
        <v>0.82266666666666677</v>
      </c>
      <c r="H253" s="320">
        <f t="shared" si="137"/>
        <v>0.81833333333333347</v>
      </c>
      <c r="I253" s="320">
        <f t="shared" si="137"/>
        <v>0.81400000000000017</v>
      </c>
      <c r="J253" s="320">
        <f t="shared" si="137"/>
        <v>0.80966666666666687</v>
      </c>
      <c r="K253" s="320">
        <f t="shared" si="137"/>
        <v>0.80533333333333357</v>
      </c>
      <c r="L253" s="320">
        <f t="shared" si="137"/>
        <v>0.80100000000000027</v>
      </c>
      <c r="M253" s="320">
        <f t="shared" si="137"/>
        <v>0.79666666666666697</v>
      </c>
      <c r="N253" s="320">
        <f t="shared" si="137"/>
        <v>0.79233333333333367</v>
      </c>
      <c r="O253" s="320">
        <f t="shared" si="137"/>
        <v>0.78800000000000037</v>
      </c>
      <c r="P253" s="320">
        <f t="shared" si="137"/>
        <v>0.78366666666666707</v>
      </c>
      <c r="Q253" s="320">
        <f t="shared" si="137"/>
        <v>0.77933333333333377</v>
      </c>
      <c r="R253" s="320">
        <f t="shared" si="137"/>
        <v>0.77500000000000047</v>
      </c>
      <c r="S253" s="320">
        <f t="shared" si="137"/>
        <v>0.77066666666666717</v>
      </c>
      <c r="T253" s="320">
        <f t="shared" si="137"/>
        <v>0.76633333333333387</v>
      </c>
      <c r="U253" s="320">
        <f t="shared" ref="T253:AF259" si="138">-($C253-$AG253)/30+T253</f>
        <v>0.76200000000000057</v>
      </c>
      <c r="V253" s="320">
        <f t="shared" si="138"/>
        <v>0.75766666666666727</v>
      </c>
      <c r="W253" s="320">
        <f t="shared" si="138"/>
        <v>0.75333333333333397</v>
      </c>
      <c r="X253" s="320">
        <f t="shared" si="138"/>
        <v>0.74900000000000067</v>
      </c>
      <c r="Y253" s="320">
        <f t="shared" si="138"/>
        <v>0.74466666666666737</v>
      </c>
      <c r="Z253" s="320">
        <f t="shared" si="138"/>
        <v>0.74033333333333406</v>
      </c>
      <c r="AA253" s="320">
        <f t="shared" si="138"/>
        <v>0.73600000000000076</v>
      </c>
      <c r="AB253" s="320">
        <f t="shared" si="138"/>
        <v>0.73166666666666746</v>
      </c>
      <c r="AC253" s="320">
        <f t="shared" si="138"/>
        <v>0.72733333333333416</v>
      </c>
      <c r="AD253" s="320">
        <f t="shared" si="138"/>
        <v>0.72300000000000086</v>
      </c>
      <c r="AE253" s="320">
        <f t="shared" si="138"/>
        <v>0.71866666666666756</v>
      </c>
      <c r="AF253" s="320">
        <f t="shared" si="138"/>
        <v>0.71433333333333426</v>
      </c>
      <c r="AG253" s="319">
        <v>0.71</v>
      </c>
      <c r="AI253" s="321"/>
      <c r="AJ253" s="322" t="s">
        <v>1363</v>
      </c>
    </row>
    <row r="254" spans="1:63" outlineLevel="1" x14ac:dyDescent="0.2">
      <c r="A254" s="3" t="s">
        <v>90</v>
      </c>
      <c r="B254" s="302" t="s">
        <v>462</v>
      </c>
      <c r="C254" s="296">
        <v>0.16</v>
      </c>
      <c r="D254" s="317">
        <f t="shared" ref="D254:S259" si="139">-($C254-$AG254)/30+C254</f>
        <v>0.16206666666666666</v>
      </c>
      <c r="E254" s="317">
        <f t="shared" si="139"/>
        <v>0.16413333333333333</v>
      </c>
      <c r="F254" s="317">
        <f t="shared" si="139"/>
        <v>0.16619999999999999</v>
      </c>
      <c r="G254" s="317">
        <f t="shared" si="139"/>
        <v>0.16826666666666665</v>
      </c>
      <c r="H254" s="317">
        <f t="shared" si="139"/>
        <v>0.17033333333333331</v>
      </c>
      <c r="I254" s="317">
        <f t="shared" si="139"/>
        <v>0.17239999999999997</v>
      </c>
      <c r="J254" s="317">
        <f t="shared" si="139"/>
        <v>0.17446666666666663</v>
      </c>
      <c r="K254" s="317">
        <f t="shared" si="139"/>
        <v>0.17653333333333329</v>
      </c>
      <c r="L254" s="317">
        <f t="shared" si="139"/>
        <v>0.17859999999999995</v>
      </c>
      <c r="M254" s="317">
        <f t="shared" si="139"/>
        <v>0.18066666666666661</v>
      </c>
      <c r="N254" s="317">
        <f t="shared" si="139"/>
        <v>0.18273333333333328</v>
      </c>
      <c r="O254" s="317">
        <f t="shared" si="139"/>
        <v>0.18479999999999994</v>
      </c>
      <c r="P254" s="317">
        <f t="shared" si="139"/>
        <v>0.1868666666666666</v>
      </c>
      <c r="Q254" s="317">
        <f t="shared" si="139"/>
        <v>0.18893333333333326</v>
      </c>
      <c r="R254" s="317">
        <f t="shared" si="139"/>
        <v>0.19099999999999992</v>
      </c>
      <c r="S254" s="317">
        <f t="shared" si="139"/>
        <v>0.19306666666666658</v>
      </c>
      <c r="T254" s="317">
        <f t="shared" si="138"/>
        <v>0.19513333333333324</v>
      </c>
      <c r="U254" s="317">
        <f t="shared" si="138"/>
        <v>0.1971999999999999</v>
      </c>
      <c r="V254" s="317">
        <f t="shared" si="138"/>
        <v>0.19926666666666656</v>
      </c>
      <c r="W254" s="317">
        <f t="shared" si="138"/>
        <v>0.20133333333333323</v>
      </c>
      <c r="X254" s="317">
        <f t="shared" si="138"/>
        <v>0.20339999999999989</v>
      </c>
      <c r="Y254" s="317">
        <f t="shared" si="138"/>
        <v>0.20546666666666655</v>
      </c>
      <c r="Z254" s="317">
        <f t="shared" si="138"/>
        <v>0.20753333333333321</v>
      </c>
      <c r="AA254" s="317">
        <f t="shared" si="138"/>
        <v>0.20959999999999987</v>
      </c>
      <c r="AB254" s="317">
        <f t="shared" si="138"/>
        <v>0.21166666666666653</v>
      </c>
      <c r="AC254" s="317">
        <f t="shared" si="138"/>
        <v>0.21373333333333319</v>
      </c>
      <c r="AD254" s="317">
        <f t="shared" si="138"/>
        <v>0.21579999999999985</v>
      </c>
      <c r="AE254" s="317">
        <f t="shared" si="138"/>
        <v>0.21786666666666651</v>
      </c>
      <c r="AF254" s="317">
        <f t="shared" si="138"/>
        <v>0.21993333333333318</v>
      </c>
      <c r="AG254" s="296">
        <v>0.222</v>
      </c>
      <c r="AI254" s="214"/>
      <c r="AJ254" s="211" t="s">
        <v>1363</v>
      </c>
    </row>
    <row r="255" spans="1:63" outlineLevel="1" x14ac:dyDescent="0.2">
      <c r="A255" s="3" t="s">
        <v>33</v>
      </c>
      <c r="B255" s="302" t="s">
        <v>462</v>
      </c>
      <c r="C255" s="296">
        <v>0.37</v>
      </c>
      <c r="D255" s="317">
        <f t="shared" si="139"/>
        <v>0.36270000000000002</v>
      </c>
      <c r="E255" s="317">
        <f t="shared" si="139"/>
        <v>0.35540000000000005</v>
      </c>
      <c r="F255" s="317">
        <f t="shared" si="139"/>
        <v>0.34810000000000008</v>
      </c>
      <c r="G255" s="317">
        <f t="shared" si="139"/>
        <v>0.3408000000000001</v>
      </c>
      <c r="H255" s="317">
        <f t="shared" si="139"/>
        <v>0.33350000000000013</v>
      </c>
      <c r="I255" s="317">
        <f t="shared" si="139"/>
        <v>0.32620000000000016</v>
      </c>
      <c r="J255" s="317">
        <f t="shared" si="139"/>
        <v>0.31890000000000018</v>
      </c>
      <c r="K255" s="317">
        <f t="shared" si="139"/>
        <v>0.31160000000000021</v>
      </c>
      <c r="L255" s="317">
        <f t="shared" si="139"/>
        <v>0.30430000000000024</v>
      </c>
      <c r="M255" s="317">
        <f t="shared" si="139"/>
        <v>0.29700000000000026</v>
      </c>
      <c r="N255" s="317">
        <f t="shared" si="139"/>
        <v>0.28970000000000029</v>
      </c>
      <c r="O255" s="317">
        <f t="shared" si="139"/>
        <v>0.28240000000000032</v>
      </c>
      <c r="P255" s="317">
        <f t="shared" si="139"/>
        <v>0.27510000000000034</v>
      </c>
      <c r="Q255" s="317">
        <f t="shared" si="139"/>
        <v>0.26780000000000037</v>
      </c>
      <c r="R255" s="317">
        <f t="shared" si="139"/>
        <v>0.2605000000000004</v>
      </c>
      <c r="S255" s="317">
        <f t="shared" si="139"/>
        <v>0.25320000000000042</v>
      </c>
      <c r="T255" s="317">
        <f t="shared" si="138"/>
        <v>0.24590000000000042</v>
      </c>
      <c r="U255" s="317">
        <f t="shared" si="138"/>
        <v>0.23860000000000042</v>
      </c>
      <c r="V255" s="317">
        <f t="shared" si="138"/>
        <v>0.23130000000000042</v>
      </c>
      <c r="W255" s="317">
        <f t="shared" si="138"/>
        <v>0.22400000000000042</v>
      </c>
      <c r="X255" s="317">
        <f t="shared" si="138"/>
        <v>0.21670000000000042</v>
      </c>
      <c r="Y255" s="317">
        <f t="shared" si="138"/>
        <v>0.20940000000000042</v>
      </c>
      <c r="Z255" s="317">
        <f t="shared" si="138"/>
        <v>0.20210000000000042</v>
      </c>
      <c r="AA255" s="317">
        <f t="shared" si="138"/>
        <v>0.19480000000000042</v>
      </c>
      <c r="AB255" s="317">
        <f t="shared" si="138"/>
        <v>0.18750000000000042</v>
      </c>
      <c r="AC255" s="317">
        <f t="shared" si="138"/>
        <v>0.18020000000000042</v>
      </c>
      <c r="AD255" s="317">
        <f t="shared" si="138"/>
        <v>0.17290000000000041</v>
      </c>
      <c r="AE255" s="317">
        <f t="shared" si="138"/>
        <v>0.16560000000000041</v>
      </c>
      <c r="AF255" s="317">
        <f t="shared" si="138"/>
        <v>0.15830000000000041</v>
      </c>
      <c r="AG255" s="296">
        <v>0.151</v>
      </c>
      <c r="AI255" s="214"/>
      <c r="AJ255" s="211" t="s">
        <v>1363</v>
      </c>
    </row>
    <row r="256" spans="1:63" outlineLevel="1" x14ac:dyDescent="0.2">
      <c r="A256" s="3" t="s">
        <v>451</v>
      </c>
      <c r="B256" s="302" t="s">
        <v>462</v>
      </c>
      <c r="C256" s="296">
        <v>0.08</v>
      </c>
      <c r="D256" s="317">
        <f t="shared" si="139"/>
        <v>8.0100000000000005E-2</v>
      </c>
      <c r="E256" s="317">
        <f t="shared" si="139"/>
        <v>8.0200000000000007E-2</v>
      </c>
      <c r="F256" s="317">
        <f t="shared" si="139"/>
        <v>8.030000000000001E-2</v>
      </c>
      <c r="G256" s="317">
        <f t="shared" si="139"/>
        <v>8.0400000000000013E-2</v>
      </c>
      <c r="H256" s="317">
        <f t="shared" si="139"/>
        <v>8.0500000000000016E-2</v>
      </c>
      <c r="I256" s="317">
        <f t="shared" si="139"/>
        <v>8.0600000000000019E-2</v>
      </c>
      <c r="J256" s="317">
        <f t="shared" si="139"/>
        <v>8.0700000000000022E-2</v>
      </c>
      <c r="K256" s="317">
        <f t="shared" si="139"/>
        <v>8.0800000000000025E-2</v>
      </c>
      <c r="L256" s="317">
        <f t="shared" si="139"/>
        <v>8.0900000000000027E-2</v>
      </c>
      <c r="M256" s="317">
        <f t="shared" si="139"/>
        <v>8.100000000000003E-2</v>
      </c>
      <c r="N256" s="317">
        <f t="shared" si="139"/>
        <v>8.1100000000000033E-2</v>
      </c>
      <c r="O256" s="317">
        <f t="shared" si="139"/>
        <v>8.1200000000000036E-2</v>
      </c>
      <c r="P256" s="317">
        <f t="shared" si="139"/>
        <v>8.1300000000000039E-2</v>
      </c>
      <c r="Q256" s="317">
        <f t="shared" si="139"/>
        <v>8.1400000000000042E-2</v>
      </c>
      <c r="R256" s="317">
        <f t="shared" si="139"/>
        <v>8.1500000000000045E-2</v>
      </c>
      <c r="S256" s="317">
        <f t="shared" si="139"/>
        <v>8.1600000000000047E-2</v>
      </c>
      <c r="T256" s="317">
        <f t="shared" si="138"/>
        <v>8.170000000000005E-2</v>
      </c>
      <c r="U256" s="317">
        <f t="shared" si="138"/>
        <v>8.1800000000000053E-2</v>
      </c>
      <c r="V256" s="317">
        <f t="shared" si="138"/>
        <v>8.1900000000000056E-2</v>
      </c>
      <c r="W256" s="317">
        <f t="shared" si="138"/>
        <v>8.2000000000000059E-2</v>
      </c>
      <c r="X256" s="317">
        <f t="shared" si="138"/>
        <v>8.2100000000000062E-2</v>
      </c>
      <c r="Y256" s="317">
        <f t="shared" si="138"/>
        <v>8.2200000000000065E-2</v>
      </c>
      <c r="Z256" s="317">
        <f t="shared" si="138"/>
        <v>8.2300000000000068E-2</v>
      </c>
      <c r="AA256" s="317">
        <f t="shared" si="138"/>
        <v>8.240000000000007E-2</v>
      </c>
      <c r="AB256" s="317">
        <f t="shared" si="138"/>
        <v>8.2500000000000073E-2</v>
      </c>
      <c r="AC256" s="317">
        <f t="shared" si="138"/>
        <v>8.2600000000000076E-2</v>
      </c>
      <c r="AD256" s="317">
        <f t="shared" si="138"/>
        <v>8.2700000000000079E-2</v>
      </c>
      <c r="AE256" s="317">
        <f t="shared" si="138"/>
        <v>8.2800000000000082E-2</v>
      </c>
      <c r="AF256" s="317">
        <f t="shared" si="138"/>
        <v>8.2900000000000085E-2</v>
      </c>
      <c r="AG256" s="296">
        <v>8.3000000000000004E-2</v>
      </c>
      <c r="AI256" s="214"/>
      <c r="AJ256" s="211" t="s">
        <v>1363</v>
      </c>
    </row>
    <row r="257" spans="1:36" outlineLevel="1" x14ac:dyDescent="0.2">
      <c r="A257" s="3" t="s">
        <v>452</v>
      </c>
      <c r="B257" s="302" t="s">
        <v>462</v>
      </c>
      <c r="C257" s="296">
        <v>0.27</v>
      </c>
      <c r="D257" s="317">
        <f t="shared" si="139"/>
        <v>0.27313333333333334</v>
      </c>
      <c r="E257" s="317">
        <f t="shared" si="139"/>
        <v>0.27626666666666666</v>
      </c>
      <c r="F257" s="317">
        <f t="shared" si="139"/>
        <v>0.27939999999999998</v>
      </c>
      <c r="G257" s="317">
        <f t="shared" si="139"/>
        <v>0.2825333333333333</v>
      </c>
      <c r="H257" s="317">
        <f t="shared" si="139"/>
        <v>0.28566666666666662</v>
      </c>
      <c r="I257" s="317">
        <f t="shared" si="139"/>
        <v>0.28879999999999995</v>
      </c>
      <c r="J257" s="317">
        <f t="shared" si="139"/>
        <v>0.29193333333333327</v>
      </c>
      <c r="K257" s="317">
        <f t="shared" si="139"/>
        <v>0.29506666666666659</v>
      </c>
      <c r="L257" s="317">
        <f t="shared" si="139"/>
        <v>0.29819999999999991</v>
      </c>
      <c r="M257" s="317">
        <f t="shared" si="139"/>
        <v>0.30133333333333323</v>
      </c>
      <c r="N257" s="317">
        <f t="shared" si="139"/>
        <v>0.30446666666666655</v>
      </c>
      <c r="O257" s="317">
        <f t="shared" si="139"/>
        <v>0.30759999999999987</v>
      </c>
      <c r="P257" s="317">
        <f t="shared" si="139"/>
        <v>0.31073333333333319</v>
      </c>
      <c r="Q257" s="317">
        <f t="shared" si="139"/>
        <v>0.31386666666666652</v>
      </c>
      <c r="R257" s="317">
        <f t="shared" si="139"/>
        <v>0.31699999999999984</v>
      </c>
      <c r="S257" s="317">
        <f t="shared" si="139"/>
        <v>0.32013333333333316</v>
      </c>
      <c r="T257" s="317">
        <f t="shared" si="138"/>
        <v>0.32326666666666648</v>
      </c>
      <c r="U257" s="317">
        <f t="shared" si="138"/>
        <v>0.3263999999999998</v>
      </c>
      <c r="V257" s="317">
        <f t="shared" si="138"/>
        <v>0.32953333333333312</v>
      </c>
      <c r="W257" s="317">
        <f t="shared" si="138"/>
        <v>0.33266666666666644</v>
      </c>
      <c r="X257" s="317">
        <f t="shared" si="138"/>
        <v>0.33579999999999977</v>
      </c>
      <c r="Y257" s="317">
        <f t="shared" si="138"/>
        <v>0.33893333333333309</v>
      </c>
      <c r="Z257" s="317">
        <f t="shared" si="138"/>
        <v>0.34206666666666641</v>
      </c>
      <c r="AA257" s="317">
        <f t="shared" si="138"/>
        <v>0.34519999999999973</v>
      </c>
      <c r="AB257" s="317">
        <f t="shared" si="138"/>
        <v>0.34833333333333305</v>
      </c>
      <c r="AC257" s="317">
        <f t="shared" si="138"/>
        <v>0.35146666666666637</v>
      </c>
      <c r="AD257" s="317">
        <f t="shared" si="138"/>
        <v>0.35459999999999969</v>
      </c>
      <c r="AE257" s="317">
        <f t="shared" si="138"/>
        <v>0.35773333333333301</v>
      </c>
      <c r="AF257" s="317">
        <f t="shared" si="138"/>
        <v>0.36086666666666634</v>
      </c>
      <c r="AG257" s="296">
        <v>0.36399999999999999</v>
      </c>
      <c r="AI257" s="214"/>
      <c r="AJ257" s="211" t="s">
        <v>1363</v>
      </c>
    </row>
    <row r="258" spans="1:36" outlineLevel="1" x14ac:dyDescent="0.2">
      <c r="A258" s="3" t="s">
        <v>1364</v>
      </c>
      <c r="B258" s="302" t="s">
        <v>462</v>
      </c>
      <c r="C258" s="296">
        <v>7.0000000000000007E-2</v>
      </c>
      <c r="D258" s="317">
        <f t="shared" si="139"/>
        <v>7.1266666666666673E-2</v>
      </c>
      <c r="E258" s="317">
        <f t="shared" si="139"/>
        <v>7.2533333333333339E-2</v>
      </c>
      <c r="F258" s="317">
        <f t="shared" si="139"/>
        <v>7.3800000000000004E-2</v>
      </c>
      <c r="G258" s="317">
        <f t="shared" si="139"/>
        <v>7.506666666666667E-2</v>
      </c>
      <c r="H258" s="317">
        <f t="shared" si="139"/>
        <v>7.6333333333333336E-2</v>
      </c>
      <c r="I258" s="317">
        <f t="shared" si="139"/>
        <v>7.7600000000000002E-2</v>
      </c>
      <c r="J258" s="317">
        <f t="shared" si="139"/>
        <v>7.8866666666666668E-2</v>
      </c>
      <c r="K258" s="317">
        <f t="shared" si="139"/>
        <v>8.0133333333333334E-2</v>
      </c>
      <c r="L258" s="317">
        <f t="shared" si="139"/>
        <v>8.14E-2</v>
      </c>
      <c r="M258" s="317">
        <f t="shared" si="139"/>
        <v>8.2666666666666666E-2</v>
      </c>
      <c r="N258" s="317">
        <f t="shared" si="139"/>
        <v>8.3933333333333332E-2</v>
      </c>
      <c r="O258" s="317">
        <f t="shared" si="139"/>
        <v>8.5199999999999998E-2</v>
      </c>
      <c r="P258" s="317">
        <f t="shared" si="139"/>
        <v>8.6466666666666664E-2</v>
      </c>
      <c r="Q258" s="317">
        <f t="shared" si="139"/>
        <v>8.773333333333333E-2</v>
      </c>
      <c r="R258" s="317">
        <f t="shared" si="139"/>
        <v>8.8999999999999996E-2</v>
      </c>
      <c r="S258" s="317">
        <f t="shared" si="139"/>
        <v>9.0266666666666662E-2</v>
      </c>
      <c r="T258" s="317">
        <f t="shared" si="138"/>
        <v>9.1533333333333328E-2</v>
      </c>
      <c r="U258" s="317">
        <f t="shared" si="138"/>
        <v>9.2799999999999994E-2</v>
      </c>
      <c r="V258" s="317">
        <f t="shared" si="138"/>
        <v>9.406666666666666E-2</v>
      </c>
      <c r="W258" s="317">
        <f t="shared" si="138"/>
        <v>9.5333333333333325E-2</v>
      </c>
      <c r="X258" s="317">
        <f t="shared" si="138"/>
        <v>9.6599999999999991E-2</v>
      </c>
      <c r="Y258" s="317">
        <f t="shared" si="138"/>
        <v>9.7866666666666657E-2</v>
      </c>
      <c r="Z258" s="317">
        <f t="shared" si="138"/>
        <v>9.9133333333333323E-2</v>
      </c>
      <c r="AA258" s="317">
        <f t="shared" si="138"/>
        <v>0.10039999999999999</v>
      </c>
      <c r="AB258" s="317">
        <f t="shared" si="138"/>
        <v>0.10166666666666666</v>
      </c>
      <c r="AC258" s="317">
        <f t="shared" si="138"/>
        <v>0.10293333333333332</v>
      </c>
      <c r="AD258" s="317">
        <f t="shared" si="138"/>
        <v>0.10419999999999999</v>
      </c>
      <c r="AE258" s="317">
        <f t="shared" si="138"/>
        <v>0.10546666666666665</v>
      </c>
      <c r="AF258" s="317">
        <f t="shared" si="138"/>
        <v>0.10673333333333332</v>
      </c>
      <c r="AG258" s="296">
        <v>0.108</v>
      </c>
      <c r="AI258" s="214"/>
      <c r="AJ258" s="211" t="s">
        <v>1363</v>
      </c>
    </row>
    <row r="259" spans="1:36" outlineLevel="1" x14ac:dyDescent="0.2">
      <c r="A259" s="3" t="s">
        <v>1365</v>
      </c>
      <c r="B259" s="302" t="s">
        <v>462</v>
      </c>
      <c r="C259" s="296">
        <v>0.05</v>
      </c>
      <c r="D259" s="317">
        <f t="shared" si="139"/>
        <v>5.0733333333333339E-2</v>
      </c>
      <c r="E259" s="317">
        <f t="shared" si="139"/>
        <v>5.1466666666666674E-2</v>
      </c>
      <c r="F259" s="317">
        <f t="shared" si="139"/>
        <v>5.220000000000001E-2</v>
      </c>
      <c r="G259" s="317">
        <f t="shared" si="139"/>
        <v>5.2933333333333346E-2</v>
      </c>
      <c r="H259" s="317">
        <f t="shared" si="139"/>
        <v>5.3666666666666682E-2</v>
      </c>
      <c r="I259" s="317">
        <f t="shared" si="139"/>
        <v>5.4400000000000018E-2</v>
      </c>
      <c r="J259" s="317">
        <f t="shared" si="139"/>
        <v>5.5133333333333354E-2</v>
      </c>
      <c r="K259" s="317">
        <f t="shared" si="139"/>
        <v>5.5866666666666689E-2</v>
      </c>
      <c r="L259" s="317">
        <f t="shared" si="139"/>
        <v>5.6600000000000025E-2</v>
      </c>
      <c r="M259" s="317">
        <f t="shared" si="139"/>
        <v>5.7333333333333361E-2</v>
      </c>
      <c r="N259" s="317">
        <f t="shared" si="139"/>
        <v>5.8066666666666697E-2</v>
      </c>
      <c r="O259" s="317">
        <f t="shared" si="139"/>
        <v>5.8800000000000033E-2</v>
      </c>
      <c r="P259" s="317">
        <f t="shared" si="139"/>
        <v>5.9533333333333369E-2</v>
      </c>
      <c r="Q259" s="317">
        <f t="shared" si="139"/>
        <v>6.0266666666666704E-2</v>
      </c>
      <c r="R259" s="317">
        <f t="shared" si="139"/>
        <v>6.100000000000004E-2</v>
      </c>
      <c r="S259" s="317">
        <f t="shared" si="139"/>
        <v>6.1733333333333376E-2</v>
      </c>
      <c r="T259" s="317">
        <f t="shared" si="138"/>
        <v>6.2466666666666712E-2</v>
      </c>
      <c r="U259" s="317">
        <f t="shared" si="138"/>
        <v>6.3200000000000048E-2</v>
      </c>
      <c r="V259" s="317">
        <f t="shared" si="138"/>
        <v>6.3933333333333384E-2</v>
      </c>
      <c r="W259" s="317">
        <f t="shared" si="138"/>
        <v>6.4666666666666719E-2</v>
      </c>
      <c r="X259" s="317">
        <f t="shared" si="138"/>
        <v>6.5400000000000055E-2</v>
      </c>
      <c r="Y259" s="317">
        <f t="shared" si="138"/>
        <v>6.6133333333333391E-2</v>
      </c>
      <c r="Z259" s="317">
        <f t="shared" si="138"/>
        <v>6.6866666666666727E-2</v>
      </c>
      <c r="AA259" s="317">
        <f t="shared" si="138"/>
        <v>6.7600000000000063E-2</v>
      </c>
      <c r="AB259" s="317">
        <f t="shared" si="138"/>
        <v>6.8333333333333399E-2</v>
      </c>
      <c r="AC259" s="317">
        <f t="shared" si="138"/>
        <v>6.9066666666666734E-2</v>
      </c>
      <c r="AD259" s="317">
        <f t="shared" si="138"/>
        <v>6.980000000000007E-2</v>
      </c>
      <c r="AE259" s="317">
        <f t="shared" si="138"/>
        <v>7.0533333333333406E-2</v>
      </c>
      <c r="AF259" s="317">
        <f t="shared" si="138"/>
        <v>7.1266666666666742E-2</v>
      </c>
      <c r="AG259" s="296">
        <v>7.1999999999999995E-2</v>
      </c>
      <c r="AI259" s="214"/>
      <c r="AJ259" s="211" t="s">
        <v>1363</v>
      </c>
    </row>
    <row r="260" spans="1:36" s="58" customFormat="1" outlineLevel="1" x14ac:dyDescent="0.2">
      <c r="A260" s="306" t="s">
        <v>1366</v>
      </c>
      <c r="B260" s="303"/>
      <c r="C260" s="304"/>
      <c r="D260" s="304"/>
      <c r="E260" s="304"/>
      <c r="F260" s="304"/>
      <c r="G260" s="304"/>
      <c r="H260" s="304"/>
      <c r="I260" s="304"/>
      <c r="J260" s="304"/>
      <c r="K260" s="304"/>
      <c r="L260" s="304"/>
      <c r="M260" s="304"/>
      <c r="N260" s="304"/>
      <c r="O260" s="304"/>
      <c r="P260" s="304"/>
      <c r="Q260" s="304"/>
      <c r="R260" s="304"/>
      <c r="S260" s="304"/>
      <c r="T260" s="304"/>
      <c r="U260" s="304"/>
      <c r="V260" s="304"/>
      <c r="W260" s="304"/>
      <c r="X260" s="304"/>
      <c r="Y260" s="304"/>
      <c r="Z260" s="304"/>
      <c r="AA260" s="304"/>
      <c r="AB260" s="304"/>
      <c r="AC260" s="304"/>
      <c r="AD260" s="304"/>
      <c r="AE260" s="304"/>
      <c r="AF260" s="304"/>
      <c r="AG260" s="304"/>
      <c r="AI260" s="305"/>
      <c r="AJ260" s="306"/>
    </row>
    <row r="261" spans="1:36" s="58" customFormat="1" outlineLevel="1" x14ac:dyDescent="0.2">
      <c r="A261" s="307" t="s">
        <v>1367</v>
      </c>
      <c r="B261" s="308" t="s">
        <v>462</v>
      </c>
      <c r="C261" s="337">
        <v>0.84</v>
      </c>
      <c r="D261" s="338">
        <f>-($C261-$AG261)/30+C261</f>
        <v>0.84399999999999997</v>
      </c>
      <c r="E261" s="338">
        <f t="shared" ref="E261:T262" si="140">-($C261-$AG261)/30+D261</f>
        <v>0.84799999999999998</v>
      </c>
      <c r="F261" s="338">
        <f t="shared" si="140"/>
        <v>0.85199999999999998</v>
      </c>
      <c r="G261" s="338">
        <f t="shared" si="140"/>
        <v>0.85599999999999998</v>
      </c>
      <c r="H261" s="338">
        <f t="shared" si="140"/>
        <v>0.86</v>
      </c>
      <c r="I261" s="338">
        <f t="shared" si="140"/>
        <v>0.86399999999999999</v>
      </c>
      <c r="J261" s="338">
        <f t="shared" si="140"/>
        <v>0.86799999999999999</v>
      </c>
      <c r="K261" s="338">
        <f t="shared" si="140"/>
        <v>0.872</v>
      </c>
      <c r="L261" s="338">
        <f t="shared" si="140"/>
        <v>0.876</v>
      </c>
      <c r="M261" s="338">
        <f t="shared" si="140"/>
        <v>0.88</v>
      </c>
      <c r="N261" s="338">
        <f t="shared" si="140"/>
        <v>0.88400000000000001</v>
      </c>
      <c r="O261" s="338">
        <f t="shared" si="140"/>
        <v>0.88800000000000001</v>
      </c>
      <c r="P261" s="338">
        <f t="shared" si="140"/>
        <v>0.89200000000000002</v>
      </c>
      <c r="Q261" s="338">
        <f t="shared" si="140"/>
        <v>0.89600000000000002</v>
      </c>
      <c r="R261" s="338">
        <f t="shared" si="140"/>
        <v>0.9</v>
      </c>
      <c r="S261" s="338">
        <f t="shared" si="140"/>
        <v>0.90400000000000003</v>
      </c>
      <c r="T261" s="338">
        <f t="shared" si="140"/>
        <v>0.90800000000000003</v>
      </c>
      <c r="U261" s="338">
        <f t="shared" ref="U261:AF262" si="141">-($C261-$AG261)/30+T261</f>
        <v>0.91200000000000003</v>
      </c>
      <c r="V261" s="338">
        <f t="shared" si="141"/>
        <v>0.91600000000000004</v>
      </c>
      <c r="W261" s="338">
        <f t="shared" si="141"/>
        <v>0.92</v>
      </c>
      <c r="X261" s="338">
        <f t="shared" si="141"/>
        <v>0.92400000000000004</v>
      </c>
      <c r="Y261" s="338">
        <f t="shared" si="141"/>
        <v>0.92800000000000005</v>
      </c>
      <c r="Z261" s="338">
        <f t="shared" si="141"/>
        <v>0.93200000000000005</v>
      </c>
      <c r="AA261" s="338">
        <f t="shared" si="141"/>
        <v>0.93600000000000005</v>
      </c>
      <c r="AB261" s="338">
        <f t="shared" si="141"/>
        <v>0.94000000000000006</v>
      </c>
      <c r="AC261" s="338">
        <f t="shared" si="141"/>
        <v>0.94400000000000006</v>
      </c>
      <c r="AD261" s="338">
        <f t="shared" si="141"/>
        <v>0.94800000000000006</v>
      </c>
      <c r="AE261" s="338">
        <f t="shared" si="141"/>
        <v>0.95200000000000007</v>
      </c>
      <c r="AF261" s="338">
        <f t="shared" si="141"/>
        <v>0.95600000000000007</v>
      </c>
      <c r="AG261" s="337">
        <v>0.96</v>
      </c>
      <c r="AI261" s="305"/>
      <c r="AJ261" s="339" t="s">
        <v>1363</v>
      </c>
    </row>
    <row r="262" spans="1:36" s="58" customFormat="1" outlineLevel="1" x14ac:dyDescent="0.2">
      <c r="A262" s="307" t="s">
        <v>1368</v>
      </c>
      <c r="B262" s="308" t="s">
        <v>462</v>
      </c>
      <c r="C262" s="337">
        <v>0.22</v>
      </c>
      <c r="D262" s="338">
        <f>-($C262-$AG262)/30+C262</f>
        <v>0.22666666666666666</v>
      </c>
      <c r="E262" s="338">
        <f t="shared" si="140"/>
        <v>0.23333333333333331</v>
      </c>
      <c r="F262" s="338">
        <f t="shared" si="140"/>
        <v>0.23999999999999996</v>
      </c>
      <c r="G262" s="338">
        <f t="shared" si="140"/>
        <v>0.24666666666666662</v>
      </c>
      <c r="H262" s="338">
        <f t="shared" si="140"/>
        <v>0.2533333333333333</v>
      </c>
      <c r="I262" s="338">
        <f t="shared" si="140"/>
        <v>0.25999999999999995</v>
      </c>
      <c r="J262" s="338">
        <f t="shared" si="140"/>
        <v>0.26666666666666661</v>
      </c>
      <c r="K262" s="338">
        <f t="shared" si="140"/>
        <v>0.27333333333333326</v>
      </c>
      <c r="L262" s="338">
        <f t="shared" si="140"/>
        <v>0.27999999999999992</v>
      </c>
      <c r="M262" s="338">
        <f t="shared" si="140"/>
        <v>0.28666666666666657</v>
      </c>
      <c r="N262" s="338">
        <f t="shared" si="140"/>
        <v>0.29333333333333322</v>
      </c>
      <c r="O262" s="338">
        <f t="shared" si="140"/>
        <v>0.29999999999999988</v>
      </c>
      <c r="P262" s="338">
        <f t="shared" si="140"/>
        <v>0.30666666666666653</v>
      </c>
      <c r="Q262" s="338">
        <f t="shared" si="140"/>
        <v>0.31333333333333319</v>
      </c>
      <c r="R262" s="338">
        <f t="shared" si="140"/>
        <v>0.31999999999999984</v>
      </c>
      <c r="S262" s="338">
        <f t="shared" si="140"/>
        <v>0.32666666666666649</v>
      </c>
      <c r="T262" s="338">
        <f t="shared" si="140"/>
        <v>0.33333333333333315</v>
      </c>
      <c r="U262" s="338">
        <f t="shared" si="141"/>
        <v>0.3399999999999998</v>
      </c>
      <c r="V262" s="338">
        <f t="shared" si="141"/>
        <v>0.34666666666666646</v>
      </c>
      <c r="W262" s="338">
        <f t="shared" si="141"/>
        <v>0.35333333333333311</v>
      </c>
      <c r="X262" s="338">
        <f t="shared" si="141"/>
        <v>0.35999999999999976</v>
      </c>
      <c r="Y262" s="338">
        <f t="shared" si="141"/>
        <v>0.36666666666666642</v>
      </c>
      <c r="Z262" s="338">
        <f t="shared" si="141"/>
        <v>0.37333333333333307</v>
      </c>
      <c r="AA262" s="338">
        <f t="shared" si="141"/>
        <v>0.37999999999999973</v>
      </c>
      <c r="AB262" s="338">
        <f t="shared" si="141"/>
        <v>0.38666666666666638</v>
      </c>
      <c r="AC262" s="338">
        <f t="shared" si="141"/>
        <v>0.39333333333333304</v>
      </c>
      <c r="AD262" s="338">
        <f t="shared" si="141"/>
        <v>0.39999999999999969</v>
      </c>
      <c r="AE262" s="338">
        <f t="shared" si="141"/>
        <v>0.40666666666666634</v>
      </c>
      <c r="AF262" s="338">
        <f t="shared" si="141"/>
        <v>0.413333333333333</v>
      </c>
      <c r="AG262" s="337">
        <v>0.42</v>
      </c>
      <c r="AI262" s="305"/>
      <c r="AJ262" s="339" t="s">
        <v>1363</v>
      </c>
    </row>
    <row r="263" spans="1:36" s="62" customFormat="1" outlineLevel="1" x14ac:dyDescent="0.2">
      <c r="A263" s="311" t="s">
        <v>1369</v>
      </c>
      <c r="B263" s="312" t="s">
        <v>462</v>
      </c>
      <c r="C263" s="340">
        <f>1-C262</f>
        <v>0.78</v>
      </c>
      <c r="D263" s="340">
        <f t="shared" ref="D263:AG263" si="142">1-D262</f>
        <v>0.77333333333333332</v>
      </c>
      <c r="E263" s="340">
        <f t="shared" si="142"/>
        <v>0.76666666666666672</v>
      </c>
      <c r="F263" s="340">
        <f t="shared" si="142"/>
        <v>0.76</v>
      </c>
      <c r="G263" s="340">
        <f t="shared" si="142"/>
        <v>0.75333333333333341</v>
      </c>
      <c r="H263" s="340">
        <f t="shared" si="142"/>
        <v>0.7466666666666667</v>
      </c>
      <c r="I263" s="340">
        <f t="shared" si="142"/>
        <v>0.74</v>
      </c>
      <c r="J263" s="340">
        <f t="shared" si="142"/>
        <v>0.73333333333333339</v>
      </c>
      <c r="K263" s="340">
        <f t="shared" si="142"/>
        <v>0.72666666666666679</v>
      </c>
      <c r="L263" s="340">
        <f t="shared" si="142"/>
        <v>0.72000000000000008</v>
      </c>
      <c r="M263" s="340">
        <f t="shared" si="142"/>
        <v>0.71333333333333337</v>
      </c>
      <c r="N263" s="340">
        <f t="shared" si="142"/>
        <v>0.70666666666666678</v>
      </c>
      <c r="O263" s="340">
        <f t="shared" si="142"/>
        <v>0.70000000000000018</v>
      </c>
      <c r="P263" s="340">
        <f t="shared" si="142"/>
        <v>0.69333333333333347</v>
      </c>
      <c r="Q263" s="340">
        <f t="shared" si="142"/>
        <v>0.68666666666666676</v>
      </c>
      <c r="R263" s="340">
        <f t="shared" si="142"/>
        <v>0.68000000000000016</v>
      </c>
      <c r="S263" s="340">
        <f t="shared" si="142"/>
        <v>0.67333333333333356</v>
      </c>
      <c r="T263" s="340">
        <f t="shared" si="142"/>
        <v>0.66666666666666685</v>
      </c>
      <c r="U263" s="340">
        <f t="shared" si="142"/>
        <v>0.66000000000000014</v>
      </c>
      <c r="V263" s="340">
        <f t="shared" si="142"/>
        <v>0.65333333333333354</v>
      </c>
      <c r="W263" s="340">
        <f t="shared" si="142"/>
        <v>0.64666666666666694</v>
      </c>
      <c r="X263" s="340">
        <f t="shared" si="142"/>
        <v>0.64000000000000024</v>
      </c>
      <c r="Y263" s="340">
        <f t="shared" si="142"/>
        <v>0.63333333333333353</v>
      </c>
      <c r="Z263" s="340">
        <f t="shared" si="142"/>
        <v>0.62666666666666693</v>
      </c>
      <c r="AA263" s="340">
        <f t="shared" si="142"/>
        <v>0.62000000000000033</v>
      </c>
      <c r="AB263" s="340">
        <f t="shared" si="142"/>
        <v>0.61333333333333362</v>
      </c>
      <c r="AC263" s="340">
        <f t="shared" si="142"/>
        <v>0.60666666666666691</v>
      </c>
      <c r="AD263" s="340">
        <f t="shared" si="142"/>
        <v>0.60000000000000031</v>
      </c>
      <c r="AE263" s="340">
        <f t="shared" si="142"/>
        <v>0.59333333333333371</v>
      </c>
      <c r="AF263" s="340">
        <f t="shared" si="142"/>
        <v>0.586666666666667</v>
      </c>
      <c r="AG263" s="340">
        <f t="shared" si="142"/>
        <v>0.58000000000000007</v>
      </c>
      <c r="AI263" s="342"/>
      <c r="AJ263" s="341" t="s">
        <v>1363</v>
      </c>
    </row>
    <row r="264" spans="1:36" s="1" customFormat="1" outlineLevel="1" x14ac:dyDescent="0.2">
      <c r="A264" t="s">
        <v>1370</v>
      </c>
      <c r="B264" s="302" t="s">
        <v>462</v>
      </c>
      <c r="C264" s="296">
        <v>0.95</v>
      </c>
      <c r="D264" s="317">
        <f t="shared" ref="D264:S279" si="143">-($C264-$AG264)/30+C264</f>
        <v>0.94499999999999995</v>
      </c>
      <c r="E264" s="317">
        <f t="shared" si="143"/>
        <v>0.94</v>
      </c>
      <c r="F264" s="317">
        <f t="shared" si="143"/>
        <v>0.93499999999999994</v>
      </c>
      <c r="G264" s="317">
        <f t="shared" si="143"/>
        <v>0.92999999999999994</v>
      </c>
      <c r="H264" s="317">
        <f t="shared" si="143"/>
        <v>0.92499999999999993</v>
      </c>
      <c r="I264" s="317">
        <f t="shared" si="143"/>
        <v>0.91999999999999993</v>
      </c>
      <c r="J264" s="317">
        <f t="shared" si="143"/>
        <v>0.91499999999999992</v>
      </c>
      <c r="K264" s="317">
        <f t="shared" si="143"/>
        <v>0.90999999999999992</v>
      </c>
      <c r="L264" s="317">
        <f t="shared" si="143"/>
        <v>0.90499999999999992</v>
      </c>
      <c r="M264" s="317">
        <f t="shared" si="143"/>
        <v>0.89999999999999991</v>
      </c>
      <c r="N264" s="317">
        <f t="shared" si="143"/>
        <v>0.89499999999999991</v>
      </c>
      <c r="O264" s="317">
        <f t="shared" si="143"/>
        <v>0.8899999999999999</v>
      </c>
      <c r="P264" s="317">
        <f t="shared" si="143"/>
        <v>0.8849999999999999</v>
      </c>
      <c r="Q264" s="317">
        <f t="shared" si="143"/>
        <v>0.87999999999999989</v>
      </c>
      <c r="R264" s="317">
        <f t="shared" si="143"/>
        <v>0.87499999999999989</v>
      </c>
      <c r="S264" s="317">
        <f t="shared" si="143"/>
        <v>0.86999999999999988</v>
      </c>
      <c r="T264" s="317">
        <f t="shared" ref="T264:AF278" si="144">-($C264-$AG264)/30+S264</f>
        <v>0.86499999999999988</v>
      </c>
      <c r="U264" s="317">
        <f t="shared" si="144"/>
        <v>0.85999999999999988</v>
      </c>
      <c r="V264" s="317">
        <f t="shared" si="144"/>
        <v>0.85499999999999987</v>
      </c>
      <c r="W264" s="317">
        <f t="shared" si="144"/>
        <v>0.84999999999999987</v>
      </c>
      <c r="X264" s="317">
        <f t="shared" si="144"/>
        <v>0.84499999999999986</v>
      </c>
      <c r="Y264" s="317">
        <f t="shared" si="144"/>
        <v>0.83999999999999986</v>
      </c>
      <c r="Z264" s="317">
        <f t="shared" si="144"/>
        <v>0.83499999999999985</v>
      </c>
      <c r="AA264" s="317">
        <f t="shared" si="144"/>
        <v>0.82999999999999985</v>
      </c>
      <c r="AB264" s="317">
        <f t="shared" si="144"/>
        <v>0.82499999999999984</v>
      </c>
      <c r="AC264" s="317">
        <f t="shared" si="144"/>
        <v>0.81999999999999984</v>
      </c>
      <c r="AD264" s="317">
        <f t="shared" si="144"/>
        <v>0.81499999999999984</v>
      </c>
      <c r="AE264" s="317">
        <f t="shared" si="144"/>
        <v>0.80999999999999983</v>
      </c>
      <c r="AF264" s="317">
        <f t="shared" si="144"/>
        <v>0.80499999999999983</v>
      </c>
      <c r="AG264" s="296">
        <v>0.8</v>
      </c>
      <c r="AI264" s="316"/>
      <c r="AJ264" s="211" t="s">
        <v>1363</v>
      </c>
    </row>
    <row r="265" spans="1:36" s="1" customFormat="1" outlineLevel="1" x14ac:dyDescent="0.2">
      <c r="A265" t="s">
        <v>1371</v>
      </c>
      <c r="B265" s="302" t="s">
        <v>462</v>
      </c>
      <c r="C265" s="296">
        <v>0.05</v>
      </c>
      <c r="D265" s="317">
        <f t="shared" si="143"/>
        <v>5.5000000000000007E-2</v>
      </c>
      <c r="E265" s="317">
        <f t="shared" si="143"/>
        <v>6.0000000000000012E-2</v>
      </c>
      <c r="F265" s="317">
        <f t="shared" si="143"/>
        <v>6.5000000000000016E-2</v>
      </c>
      <c r="G265" s="317">
        <f t="shared" si="143"/>
        <v>7.0000000000000021E-2</v>
      </c>
      <c r="H265" s="317">
        <f t="shared" si="143"/>
        <v>7.5000000000000025E-2</v>
      </c>
      <c r="I265" s="317">
        <f t="shared" si="143"/>
        <v>8.0000000000000029E-2</v>
      </c>
      <c r="J265" s="317">
        <f t="shared" si="143"/>
        <v>8.5000000000000034E-2</v>
      </c>
      <c r="K265" s="317">
        <f t="shared" si="143"/>
        <v>9.0000000000000038E-2</v>
      </c>
      <c r="L265" s="317">
        <f t="shared" si="143"/>
        <v>9.5000000000000043E-2</v>
      </c>
      <c r="M265" s="317">
        <f t="shared" si="143"/>
        <v>0.10000000000000005</v>
      </c>
      <c r="N265" s="317">
        <f t="shared" si="143"/>
        <v>0.10500000000000005</v>
      </c>
      <c r="O265" s="317">
        <f t="shared" si="143"/>
        <v>0.11000000000000006</v>
      </c>
      <c r="P265" s="317">
        <f t="shared" si="143"/>
        <v>0.11500000000000006</v>
      </c>
      <c r="Q265" s="317">
        <f t="shared" si="143"/>
        <v>0.12000000000000006</v>
      </c>
      <c r="R265" s="317">
        <f t="shared" si="143"/>
        <v>0.12500000000000006</v>
      </c>
      <c r="S265" s="317">
        <f t="shared" si="143"/>
        <v>0.13000000000000006</v>
      </c>
      <c r="T265" s="317">
        <f t="shared" si="144"/>
        <v>0.13500000000000006</v>
      </c>
      <c r="U265" s="317">
        <f t="shared" si="144"/>
        <v>0.14000000000000007</v>
      </c>
      <c r="V265" s="317">
        <f t="shared" si="144"/>
        <v>0.14500000000000007</v>
      </c>
      <c r="W265" s="317">
        <f t="shared" si="144"/>
        <v>0.15000000000000008</v>
      </c>
      <c r="X265" s="317">
        <f t="shared" si="144"/>
        <v>0.15500000000000008</v>
      </c>
      <c r="Y265" s="317">
        <f t="shared" si="144"/>
        <v>0.16000000000000009</v>
      </c>
      <c r="Z265" s="317">
        <f t="shared" si="144"/>
        <v>0.16500000000000009</v>
      </c>
      <c r="AA265" s="317">
        <f t="shared" si="144"/>
        <v>0.1700000000000001</v>
      </c>
      <c r="AB265" s="317">
        <f t="shared" si="144"/>
        <v>0.1750000000000001</v>
      </c>
      <c r="AC265" s="317">
        <f t="shared" si="144"/>
        <v>0.1800000000000001</v>
      </c>
      <c r="AD265" s="317">
        <f t="shared" si="144"/>
        <v>0.18500000000000011</v>
      </c>
      <c r="AE265" s="317">
        <f t="shared" si="144"/>
        <v>0.19000000000000011</v>
      </c>
      <c r="AF265" s="317">
        <f t="shared" si="144"/>
        <v>0.19500000000000012</v>
      </c>
      <c r="AG265" s="296">
        <v>0.2</v>
      </c>
      <c r="AI265" s="435" t="s">
        <v>1506</v>
      </c>
      <c r="AJ265" s="211" t="s">
        <v>1363</v>
      </c>
    </row>
    <row r="266" spans="1:36" s="1" customFormat="1" outlineLevel="1" x14ac:dyDescent="0.2">
      <c r="A266" t="s">
        <v>1372</v>
      </c>
      <c r="B266" s="302" t="s">
        <v>462</v>
      </c>
      <c r="C266" s="296">
        <v>0.15</v>
      </c>
      <c r="D266" s="317">
        <f t="shared" si="143"/>
        <v>0.15633333333333332</v>
      </c>
      <c r="E266" s="317">
        <f t="shared" si="143"/>
        <v>0.16266666666666665</v>
      </c>
      <c r="F266" s="317">
        <f t="shared" si="143"/>
        <v>0.16899999999999998</v>
      </c>
      <c r="G266" s="317">
        <f t="shared" si="143"/>
        <v>0.17533333333333331</v>
      </c>
      <c r="H266" s="317">
        <f t="shared" si="143"/>
        <v>0.18166666666666664</v>
      </c>
      <c r="I266" s="317">
        <f t="shared" si="143"/>
        <v>0.18799999999999997</v>
      </c>
      <c r="J266" s="317">
        <f t="shared" si="143"/>
        <v>0.1943333333333333</v>
      </c>
      <c r="K266" s="317">
        <f t="shared" si="143"/>
        <v>0.20066666666666663</v>
      </c>
      <c r="L266" s="317">
        <f t="shared" si="143"/>
        <v>0.20699999999999996</v>
      </c>
      <c r="M266" s="317">
        <f t="shared" si="143"/>
        <v>0.21333333333333329</v>
      </c>
      <c r="N266" s="317">
        <f t="shared" si="143"/>
        <v>0.21966666666666662</v>
      </c>
      <c r="O266" s="317">
        <f t="shared" si="143"/>
        <v>0.22599999999999995</v>
      </c>
      <c r="P266" s="317">
        <f t="shared" si="143"/>
        <v>0.23233333333333328</v>
      </c>
      <c r="Q266" s="317">
        <f t="shared" si="143"/>
        <v>0.23866666666666661</v>
      </c>
      <c r="R266" s="317">
        <f t="shared" si="143"/>
        <v>0.24499999999999994</v>
      </c>
      <c r="S266" s="317">
        <f t="shared" si="143"/>
        <v>0.2513333333333333</v>
      </c>
      <c r="T266" s="317">
        <f t="shared" si="144"/>
        <v>0.25766666666666665</v>
      </c>
      <c r="U266" s="317">
        <f t="shared" si="144"/>
        <v>0.26400000000000001</v>
      </c>
      <c r="V266" s="317">
        <f t="shared" si="144"/>
        <v>0.27033333333333337</v>
      </c>
      <c r="W266" s="317">
        <f t="shared" si="144"/>
        <v>0.27666666666666673</v>
      </c>
      <c r="X266" s="317">
        <f t="shared" si="144"/>
        <v>0.28300000000000008</v>
      </c>
      <c r="Y266" s="317">
        <f t="shared" si="144"/>
        <v>0.28933333333333344</v>
      </c>
      <c r="Z266" s="317">
        <f t="shared" si="144"/>
        <v>0.2956666666666668</v>
      </c>
      <c r="AA266" s="317">
        <f t="shared" si="144"/>
        <v>0.30200000000000016</v>
      </c>
      <c r="AB266" s="317">
        <f t="shared" si="144"/>
        <v>0.30833333333333351</v>
      </c>
      <c r="AC266" s="317">
        <f t="shared" si="144"/>
        <v>0.31466666666666687</v>
      </c>
      <c r="AD266" s="317">
        <f t="shared" si="144"/>
        <v>0.32100000000000023</v>
      </c>
      <c r="AE266" s="317">
        <f t="shared" si="144"/>
        <v>0.32733333333333359</v>
      </c>
      <c r="AF266" s="317">
        <f t="shared" si="144"/>
        <v>0.33366666666666694</v>
      </c>
      <c r="AG266" s="296">
        <v>0.34</v>
      </c>
      <c r="AI266" s="316"/>
      <c r="AJ266" s="211" t="s">
        <v>1363</v>
      </c>
    </row>
    <row r="267" spans="1:36" s="1" customFormat="1" outlineLevel="1" x14ac:dyDescent="0.2">
      <c r="A267" t="s">
        <v>1373</v>
      </c>
      <c r="B267" s="302" t="s">
        <v>462</v>
      </c>
      <c r="C267" s="296">
        <v>0.85</v>
      </c>
      <c r="D267" s="317">
        <f t="shared" si="143"/>
        <v>0.84366666666666668</v>
      </c>
      <c r="E267" s="317">
        <f t="shared" si="143"/>
        <v>0.83733333333333337</v>
      </c>
      <c r="F267" s="317">
        <f t="shared" si="143"/>
        <v>0.83100000000000007</v>
      </c>
      <c r="G267" s="317">
        <f t="shared" si="143"/>
        <v>0.82466666666666677</v>
      </c>
      <c r="H267" s="317">
        <f t="shared" si="143"/>
        <v>0.81833333333333347</v>
      </c>
      <c r="I267" s="317">
        <f t="shared" si="143"/>
        <v>0.81200000000000017</v>
      </c>
      <c r="J267" s="317">
        <f t="shared" si="143"/>
        <v>0.80566666666666686</v>
      </c>
      <c r="K267" s="317">
        <f t="shared" si="143"/>
        <v>0.79933333333333356</v>
      </c>
      <c r="L267" s="317">
        <f t="shared" si="143"/>
        <v>0.79300000000000026</v>
      </c>
      <c r="M267" s="317">
        <f t="shared" si="143"/>
        <v>0.78666666666666696</v>
      </c>
      <c r="N267" s="317">
        <f t="shared" si="143"/>
        <v>0.78033333333333366</v>
      </c>
      <c r="O267" s="317">
        <f t="shared" si="143"/>
        <v>0.77400000000000035</v>
      </c>
      <c r="P267" s="317">
        <f t="shared" si="143"/>
        <v>0.76766666666666705</v>
      </c>
      <c r="Q267" s="317">
        <f t="shared" si="143"/>
        <v>0.76133333333333375</v>
      </c>
      <c r="R267" s="317">
        <f t="shared" si="143"/>
        <v>0.75500000000000045</v>
      </c>
      <c r="S267" s="317">
        <f t="shared" si="143"/>
        <v>0.74866666666666715</v>
      </c>
      <c r="T267" s="317">
        <f t="shared" si="144"/>
        <v>0.74233333333333384</v>
      </c>
      <c r="U267" s="317">
        <f t="shared" si="144"/>
        <v>0.73600000000000054</v>
      </c>
      <c r="V267" s="317">
        <f t="shared" si="144"/>
        <v>0.72966666666666724</v>
      </c>
      <c r="W267" s="317">
        <f t="shared" si="144"/>
        <v>0.72333333333333394</v>
      </c>
      <c r="X267" s="317">
        <f t="shared" si="144"/>
        <v>0.71700000000000064</v>
      </c>
      <c r="Y267" s="317">
        <f t="shared" si="144"/>
        <v>0.71066666666666733</v>
      </c>
      <c r="Z267" s="317">
        <f t="shared" si="144"/>
        <v>0.70433333333333403</v>
      </c>
      <c r="AA267" s="317">
        <f t="shared" si="144"/>
        <v>0.69800000000000073</v>
      </c>
      <c r="AB267" s="317">
        <f t="shared" si="144"/>
        <v>0.69166666666666743</v>
      </c>
      <c r="AC267" s="317">
        <f t="shared" si="144"/>
        <v>0.68533333333333413</v>
      </c>
      <c r="AD267" s="317">
        <f t="shared" si="144"/>
        <v>0.67900000000000083</v>
      </c>
      <c r="AE267" s="317">
        <f t="shared" si="144"/>
        <v>0.67266666666666752</v>
      </c>
      <c r="AF267" s="317">
        <f t="shared" si="144"/>
        <v>0.66633333333333422</v>
      </c>
      <c r="AG267" s="296">
        <v>0.66</v>
      </c>
      <c r="AI267" s="316"/>
      <c r="AJ267" s="211" t="s">
        <v>1363</v>
      </c>
    </row>
    <row r="268" spans="1:36" s="1" customFormat="1" outlineLevel="1" x14ac:dyDescent="0.2">
      <c r="A268" t="s">
        <v>1374</v>
      </c>
      <c r="B268" s="302" t="s">
        <v>462</v>
      </c>
      <c r="C268" s="296">
        <v>0</v>
      </c>
      <c r="D268" s="317">
        <f t="shared" si="143"/>
        <v>0</v>
      </c>
      <c r="E268" s="317">
        <f t="shared" si="143"/>
        <v>0</v>
      </c>
      <c r="F268" s="317">
        <f t="shared" si="143"/>
        <v>0</v>
      </c>
      <c r="G268" s="317">
        <f t="shared" si="143"/>
        <v>0</v>
      </c>
      <c r="H268" s="317">
        <f t="shared" si="143"/>
        <v>0</v>
      </c>
      <c r="I268" s="317">
        <f t="shared" si="143"/>
        <v>0</v>
      </c>
      <c r="J268" s="317">
        <f t="shared" si="143"/>
        <v>0</v>
      </c>
      <c r="K268" s="317">
        <f t="shared" si="143"/>
        <v>0</v>
      </c>
      <c r="L268" s="317">
        <f t="shared" si="143"/>
        <v>0</v>
      </c>
      <c r="M268" s="317">
        <f t="shared" si="143"/>
        <v>0</v>
      </c>
      <c r="N268" s="317">
        <f t="shared" si="143"/>
        <v>0</v>
      </c>
      <c r="O268" s="317">
        <f t="shared" si="143"/>
        <v>0</v>
      </c>
      <c r="P268" s="317">
        <f t="shared" si="143"/>
        <v>0</v>
      </c>
      <c r="Q268" s="317">
        <f t="shared" si="143"/>
        <v>0</v>
      </c>
      <c r="R268" s="317">
        <f t="shared" si="143"/>
        <v>0</v>
      </c>
      <c r="S268" s="317">
        <f t="shared" si="143"/>
        <v>0</v>
      </c>
      <c r="T268" s="317">
        <f t="shared" si="144"/>
        <v>0</v>
      </c>
      <c r="U268" s="317">
        <f t="shared" si="144"/>
        <v>0</v>
      </c>
      <c r="V268" s="317">
        <f t="shared" si="144"/>
        <v>0</v>
      </c>
      <c r="W268" s="317">
        <f t="shared" si="144"/>
        <v>0</v>
      </c>
      <c r="X268" s="317">
        <f t="shared" si="144"/>
        <v>0</v>
      </c>
      <c r="Y268" s="317">
        <f t="shared" si="144"/>
        <v>0</v>
      </c>
      <c r="Z268" s="317">
        <f t="shared" si="144"/>
        <v>0</v>
      </c>
      <c r="AA268" s="317">
        <f t="shared" si="144"/>
        <v>0</v>
      </c>
      <c r="AB268" s="317">
        <f t="shared" si="144"/>
        <v>0</v>
      </c>
      <c r="AC268" s="317">
        <f t="shared" si="144"/>
        <v>0</v>
      </c>
      <c r="AD268" s="317">
        <f t="shared" si="144"/>
        <v>0</v>
      </c>
      <c r="AE268" s="317">
        <f t="shared" si="144"/>
        <v>0</v>
      </c>
      <c r="AF268" s="317">
        <f t="shared" si="144"/>
        <v>0</v>
      </c>
      <c r="AG268" s="296">
        <v>0</v>
      </c>
      <c r="AI268" s="316"/>
      <c r="AJ268" s="211" t="s">
        <v>1363</v>
      </c>
    </row>
    <row r="269" spans="1:36" s="1" customFormat="1" outlineLevel="1" x14ac:dyDescent="0.2">
      <c r="A269" t="s">
        <v>1375</v>
      </c>
      <c r="B269" s="302" t="s">
        <v>462</v>
      </c>
      <c r="C269" s="296">
        <v>1</v>
      </c>
      <c r="D269" s="317">
        <f t="shared" si="143"/>
        <v>1</v>
      </c>
      <c r="E269" s="317">
        <f t="shared" si="143"/>
        <v>1</v>
      </c>
      <c r="F269" s="317">
        <f t="shared" si="143"/>
        <v>1</v>
      </c>
      <c r="G269" s="317">
        <f t="shared" si="143"/>
        <v>1</v>
      </c>
      <c r="H269" s="317">
        <f t="shared" si="143"/>
        <v>1</v>
      </c>
      <c r="I269" s="317">
        <f t="shared" si="143"/>
        <v>1</v>
      </c>
      <c r="J269" s="317">
        <f t="shared" si="143"/>
        <v>1</v>
      </c>
      <c r="K269" s="317">
        <f t="shared" si="143"/>
        <v>1</v>
      </c>
      <c r="L269" s="317">
        <f t="shared" si="143"/>
        <v>1</v>
      </c>
      <c r="M269" s="317">
        <f t="shared" si="143"/>
        <v>1</v>
      </c>
      <c r="N269" s="317">
        <f t="shared" si="143"/>
        <v>1</v>
      </c>
      <c r="O269" s="317">
        <f t="shared" si="143"/>
        <v>1</v>
      </c>
      <c r="P269" s="317">
        <f t="shared" si="143"/>
        <v>1</v>
      </c>
      <c r="Q269" s="317">
        <f t="shared" si="143"/>
        <v>1</v>
      </c>
      <c r="R269" s="317">
        <f t="shared" si="143"/>
        <v>1</v>
      </c>
      <c r="S269" s="317">
        <f t="shared" si="143"/>
        <v>1</v>
      </c>
      <c r="T269" s="317">
        <f t="shared" si="144"/>
        <v>1</v>
      </c>
      <c r="U269" s="317">
        <f t="shared" si="144"/>
        <v>1</v>
      </c>
      <c r="V269" s="317">
        <f t="shared" si="144"/>
        <v>1</v>
      </c>
      <c r="W269" s="317">
        <f t="shared" si="144"/>
        <v>1</v>
      </c>
      <c r="X269" s="317">
        <f t="shared" si="144"/>
        <v>1</v>
      </c>
      <c r="Y269" s="317">
        <f t="shared" si="144"/>
        <v>1</v>
      </c>
      <c r="Z269" s="317">
        <f t="shared" si="144"/>
        <v>1</v>
      </c>
      <c r="AA269" s="317">
        <f t="shared" si="144"/>
        <v>1</v>
      </c>
      <c r="AB269" s="317">
        <f t="shared" si="144"/>
        <v>1</v>
      </c>
      <c r="AC269" s="317">
        <f t="shared" si="144"/>
        <v>1</v>
      </c>
      <c r="AD269" s="317">
        <f t="shared" si="144"/>
        <v>1</v>
      </c>
      <c r="AE269" s="317">
        <f t="shared" si="144"/>
        <v>1</v>
      </c>
      <c r="AF269" s="317">
        <f t="shared" si="144"/>
        <v>1</v>
      </c>
      <c r="AG269" s="296">
        <v>1</v>
      </c>
      <c r="AI269" s="316"/>
      <c r="AJ269" s="211" t="s">
        <v>1363</v>
      </c>
    </row>
    <row r="270" spans="1:36" s="1" customFormat="1" outlineLevel="1" x14ac:dyDescent="0.2">
      <c r="A270" t="s">
        <v>1376</v>
      </c>
      <c r="B270" s="302" t="s">
        <v>462</v>
      </c>
      <c r="C270" s="296">
        <v>0.8</v>
      </c>
      <c r="D270" s="317">
        <f t="shared" si="143"/>
        <v>0.80333333333333334</v>
      </c>
      <c r="E270" s="317">
        <f t="shared" si="143"/>
        <v>0.80666666666666664</v>
      </c>
      <c r="F270" s="317">
        <f t="shared" si="143"/>
        <v>0.80999999999999994</v>
      </c>
      <c r="G270" s="317">
        <f t="shared" si="143"/>
        <v>0.81333333333333324</v>
      </c>
      <c r="H270" s="317">
        <f t="shared" si="143"/>
        <v>0.81666666666666654</v>
      </c>
      <c r="I270" s="317">
        <f t="shared" si="143"/>
        <v>0.81999999999999984</v>
      </c>
      <c r="J270" s="317">
        <f t="shared" si="143"/>
        <v>0.82333333333333314</v>
      </c>
      <c r="K270" s="317">
        <f t="shared" si="143"/>
        <v>0.82666666666666644</v>
      </c>
      <c r="L270" s="317">
        <f t="shared" si="143"/>
        <v>0.82999999999999974</v>
      </c>
      <c r="M270" s="317">
        <f t="shared" si="143"/>
        <v>0.83333333333333304</v>
      </c>
      <c r="N270" s="317">
        <f t="shared" si="143"/>
        <v>0.83666666666666634</v>
      </c>
      <c r="O270" s="317">
        <f t="shared" si="143"/>
        <v>0.83999999999999964</v>
      </c>
      <c r="P270" s="317">
        <f t="shared" si="143"/>
        <v>0.84333333333333294</v>
      </c>
      <c r="Q270" s="317">
        <f t="shared" si="143"/>
        <v>0.84666666666666623</v>
      </c>
      <c r="R270" s="317">
        <f t="shared" si="143"/>
        <v>0.84999999999999953</v>
      </c>
      <c r="S270" s="317">
        <f t="shared" si="143"/>
        <v>0.85333333333333283</v>
      </c>
      <c r="T270" s="317">
        <f t="shared" si="144"/>
        <v>0.85666666666666613</v>
      </c>
      <c r="U270" s="317">
        <f t="shared" si="144"/>
        <v>0.85999999999999943</v>
      </c>
      <c r="V270" s="317">
        <f t="shared" si="144"/>
        <v>0.86333333333333273</v>
      </c>
      <c r="W270" s="317">
        <f t="shared" si="144"/>
        <v>0.86666666666666603</v>
      </c>
      <c r="X270" s="317">
        <f t="shared" si="144"/>
        <v>0.86999999999999933</v>
      </c>
      <c r="Y270" s="317">
        <f t="shared" si="144"/>
        <v>0.87333333333333263</v>
      </c>
      <c r="Z270" s="317">
        <f t="shared" si="144"/>
        <v>0.87666666666666593</v>
      </c>
      <c r="AA270" s="317">
        <f t="shared" si="144"/>
        <v>0.87999999999999923</v>
      </c>
      <c r="AB270" s="317">
        <f t="shared" si="144"/>
        <v>0.88333333333333253</v>
      </c>
      <c r="AC270" s="317">
        <f t="shared" si="144"/>
        <v>0.88666666666666583</v>
      </c>
      <c r="AD270" s="317">
        <f t="shared" si="144"/>
        <v>0.88999999999999913</v>
      </c>
      <c r="AE270" s="317">
        <f t="shared" si="144"/>
        <v>0.89333333333333242</v>
      </c>
      <c r="AF270" s="317">
        <f t="shared" si="144"/>
        <v>0.89666666666666572</v>
      </c>
      <c r="AG270" s="296">
        <v>0.9</v>
      </c>
      <c r="AI270" s="316"/>
      <c r="AJ270" s="211" t="s">
        <v>1363</v>
      </c>
    </row>
    <row r="271" spans="1:36" s="1" customFormat="1" outlineLevel="1" x14ac:dyDescent="0.2">
      <c r="A271" t="s">
        <v>1377</v>
      </c>
      <c r="B271" s="302" t="s">
        <v>462</v>
      </c>
      <c r="C271" s="296">
        <v>0.2</v>
      </c>
      <c r="D271" s="317">
        <f t="shared" si="143"/>
        <v>0.19666666666666668</v>
      </c>
      <c r="E271" s="317">
        <f t="shared" si="143"/>
        <v>0.19333333333333336</v>
      </c>
      <c r="F271" s="317">
        <f t="shared" si="143"/>
        <v>0.19000000000000003</v>
      </c>
      <c r="G271" s="317">
        <f t="shared" si="143"/>
        <v>0.1866666666666667</v>
      </c>
      <c r="H271" s="317">
        <f t="shared" si="143"/>
        <v>0.18333333333333338</v>
      </c>
      <c r="I271" s="317">
        <f t="shared" si="143"/>
        <v>0.18000000000000005</v>
      </c>
      <c r="J271" s="317">
        <f t="shared" si="143"/>
        <v>0.17666666666666672</v>
      </c>
      <c r="K271" s="317">
        <f t="shared" si="143"/>
        <v>0.17333333333333339</v>
      </c>
      <c r="L271" s="317">
        <f t="shared" si="143"/>
        <v>0.17000000000000007</v>
      </c>
      <c r="M271" s="317">
        <f t="shared" si="143"/>
        <v>0.16666666666666674</v>
      </c>
      <c r="N271" s="317">
        <f t="shared" si="143"/>
        <v>0.16333333333333341</v>
      </c>
      <c r="O271" s="317">
        <f t="shared" si="143"/>
        <v>0.16000000000000009</v>
      </c>
      <c r="P271" s="317">
        <f t="shared" si="143"/>
        <v>0.15666666666666676</v>
      </c>
      <c r="Q271" s="317">
        <f t="shared" si="143"/>
        <v>0.15333333333333343</v>
      </c>
      <c r="R271" s="317">
        <f t="shared" si="143"/>
        <v>0.15000000000000011</v>
      </c>
      <c r="S271" s="317">
        <f t="shared" si="143"/>
        <v>0.14666666666666678</v>
      </c>
      <c r="T271" s="317">
        <f t="shared" si="144"/>
        <v>0.14333333333333345</v>
      </c>
      <c r="U271" s="317">
        <f t="shared" si="144"/>
        <v>0.14000000000000012</v>
      </c>
      <c r="V271" s="317">
        <f t="shared" si="144"/>
        <v>0.1366666666666668</v>
      </c>
      <c r="W271" s="317">
        <f t="shared" si="144"/>
        <v>0.13333333333333347</v>
      </c>
      <c r="X271" s="317">
        <f t="shared" si="144"/>
        <v>0.13000000000000014</v>
      </c>
      <c r="Y271" s="317">
        <f t="shared" si="144"/>
        <v>0.12666666666666682</v>
      </c>
      <c r="Z271" s="317">
        <f t="shared" si="144"/>
        <v>0.12333333333333349</v>
      </c>
      <c r="AA271" s="317">
        <f t="shared" si="144"/>
        <v>0.12000000000000016</v>
      </c>
      <c r="AB271" s="317">
        <f t="shared" si="144"/>
        <v>0.11666666666666684</v>
      </c>
      <c r="AC271" s="317">
        <f t="shared" si="144"/>
        <v>0.11333333333333351</v>
      </c>
      <c r="AD271" s="317">
        <f t="shared" si="144"/>
        <v>0.11000000000000018</v>
      </c>
      <c r="AE271" s="317">
        <f t="shared" si="144"/>
        <v>0.10666666666666685</v>
      </c>
      <c r="AF271" s="317">
        <f t="shared" si="144"/>
        <v>0.10333333333333353</v>
      </c>
      <c r="AG271" s="296">
        <v>0.1</v>
      </c>
      <c r="AI271" s="316"/>
      <c r="AJ271" s="211" t="s">
        <v>1363</v>
      </c>
    </row>
    <row r="272" spans="1:36" s="1" customFormat="1" outlineLevel="1" x14ac:dyDescent="0.2">
      <c r="A272" t="s">
        <v>1378</v>
      </c>
      <c r="B272" s="302" t="s">
        <v>462</v>
      </c>
      <c r="C272" s="296">
        <v>0.95</v>
      </c>
      <c r="D272" s="317">
        <f t="shared" si="143"/>
        <v>0.94866666666666666</v>
      </c>
      <c r="E272" s="317">
        <f t="shared" si="143"/>
        <v>0.94733333333333336</v>
      </c>
      <c r="F272" s="317">
        <f t="shared" si="143"/>
        <v>0.94600000000000006</v>
      </c>
      <c r="G272" s="317">
        <f t="shared" si="143"/>
        <v>0.94466666666666677</v>
      </c>
      <c r="H272" s="317">
        <f t="shared" si="143"/>
        <v>0.94333333333333347</v>
      </c>
      <c r="I272" s="317">
        <f t="shared" si="143"/>
        <v>0.94200000000000017</v>
      </c>
      <c r="J272" s="317">
        <f t="shared" si="143"/>
        <v>0.94066666666666687</v>
      </c>
      <c r="K272" s="317">
        <f t="shared" si="143"/>
        <v>0.93933333333333358</v>
      </c>
      <c r="L272" s="317">
        <f t="shared" si="143"/>
        <v>0.93800000000000028</v>
      </c>
      <c r="M272" s="317">
        <f t="shared" si="143"/>
        <v>0.93666666666666698</v>
      </c>
      <c r="N272" s="317">
        <f t="shared" si="143"/>
        <v>0.93533333333333368</v>
      </c>
      <c r="O272" s="317">
        <f t="shared" si="143"/>
        <v>0.93400000000000039</v>
      </c>
      <c r="P272" s="317">
        <f t="shared" si="143"/>
        <v>0.93266666666666709</v>
      </c>
      <c r="Q272" s="317">
        <f t="shared" si="143"/>
        <v>0.93133333333333379</v>
      </c>
      <c r="R272" s="317">
        <f t="shared" si="143"/>
        <v>0.93000000000000049</v>
      </c>
      <c r="S272" s="317">
        <f t="shared" si="143"/>
        <v>0.9286666666666672</v>
      </c>
      <c r="T272" s="317">
        <f t="shared" si="144"/>
        <v>0.9273333333333339</v>
      </c>
      <c r="U272" s="317">
        <f t="shared" si="144"/>
        <v>0.9260000000000006</v>
      </c>
      <c r="V272" s="317">
        <f t="shared" si="144"/>
        <v>0.9246666666666673</v>
      </c>
      <c r="W272" s="317">
        <f t="shared" si="144"/>
        <v>0.92333333333333401</v>
      </c>
      <c r="X272" s="317">
        <f t="shared" si="144"/>
        <v>0.92200000000000071</v>
      </c>
      <c r="Y272" s="317">
        <f t="shared" si="144"/>
        <v>0.92066666666666741</v>
      </c>
      <c r="Z272" s="317">
        <f t="shared" si="144"/>
        <v>0.91933333333333411</v>
      </c>
      <c r="AA272" s="317">
        <f t="shared" si="144"/>
        <v>0.91800000000000082</v>
      </c>
      <c r="AB272" s="317">
        <f t="shared" si="144"/>
        <v>0.91666666666666752</v>
      </c>
      <c r="AC272" s="317">
        <f t="shared" si="144"/>
        <v>0.91533333333333422</v>
      </c>
      <c r="AD272" s="317">
        <f t="shared" si="144"/>
        <v>0.91400000000000092</v>
      </c>
      <c r="AE272" s="317">
        <f t="shared" si="144"/>
        <v>0.91266666666666763</v>
      </c>
      <c r="AF272" s="317">
        <f t="shared" si="144"/>
        <v>0.91133333333333433</v>
      </c>
      <c r="AG272" s="296">
        <v>0.91</v>
      </c>
      <c r="AI272" s="316"/>
      <c r="AJ272" s="211" t="s">
        <v>1363</v>
      </c>
    </row>
    <row r="273" spans="1:36" s="1" customFormat="1" outlineLevel="1" x14ac:dyDescent="0.2">
      <c r="A273" t="s">
        <v>1379</v>
      </c>
      <c r="B273" s="302" t="s">
        <v>462</v>
      </c>
      <c r="C273" s="296">
        <v>0.05</v>
      </c>
      <c r="D273" s="317">
        <f t="shared" si="143"/>
        <v>5.1333333333333335E-2</v>
      </c>
      <c r="E273" s="317">
        <f t="shared" si="143"/>
        <v>5.2666666666666667E-2</v>
      </c>
      <c r="F273" s="317">
        <f t="shared" si="143"/>
        <v>5.3999999999999999E-2</v>
      </c>
      <c r="G273" s="317">
        <f t="shared" si="143"/>
        <v>5.5333333333333332E-2</v>
      </c>
      <c r="H273" s="317">
        <f t="shared" si="143"/>
        <v>5.6666666666666664E-2</v>
      </c>
      <c r="I273" s="317">
        <f t="shared" si="143"/>
        <v>5.7999999999999996E-2</v>
      </c>
      <c r="J273" s="317">
        <f t="shared" si="143"/>
        <v>5.9333333333333328E-2</v>
      </c>
      <c r="K273" s="317">
        <f t="shared" si="143"/>
        <v>6.066666666666666E-2</v>
      </c>
      <c r="L273" s="317">
        <f t="shared" si="143"/>
        <v>6.1999999999999993E-2</v>
      </c>
      <c r="M273" s="317">
        <f t="shared" si="143"/>
        <v>6.3333333333333325E-2</v>
      </c>
      <c r="N273" s="317">
        <f t="shared" si="143"/>
        <v>6.4666666666666664E-2</v>
      </c>
      <c r="O273" s="317">
        <f t="shared" si="143"/>
        <v>6.6000000000000003E-2</v>
      </c>
      <c r="P273" s="317">
        <f t="shared" si="143"/>
        <v>6.7333333333333342E-2</v>
      </c>
      <c r="Q273" s="317">
        <f t="shared" si="143"/>
        <v>6.8666666666666681E-2</v>
      </c>
      <c r="R273" s="317">
        <f t="shared" si="143"/>
        <v>7.0000000000000021E-2</v>
      </c>
      <c r="S273" s="317">
        <f t="shared" si="143"/>
        <v>7.133333333333336E-2</v>
      </c>
      <c r="T273" s="317">
        <f t="shared" si="144"/>
        <v>7.2666666666666699E-2</v>
      </c>
      <c r="U273" s="317">
        <f t="shared" si="144"/>
        <v>7.4000000000000038E-2</v>
      </c>
      <c r="V273" s="317">
        <f t="shared" si="144"/>
        <v>7.5333333333333377E-2</v>
      </c>
      <c r="W273" s="317">
        <f t="shared" si="144"/>
        <v>7.6666666666666716E-2</v>
      </c>
      <c r="X273" s="317">
        <f t="shared" si="144"/>
        <v>7.8000000000000055E-2</v>
      </c>
      <c r="Y273" s="317">
        <f t="shared" si="144"/>
        <v>7.9333333333333395E-2</v>
      </c>
      <c r="Z273" s="317">
        <f t="shared" si="144"/>
        <v>8.0666666666666734E-2</v>
      </c>
      <c r="AA273" s="317">
        <f t="shared" si="144"/>
        <v>8.2000000000000073E-2</v>
      </c>
      <c r="AB273" s="317">
        <f t="shared" si="144"/>
        <v>8.3333333333333412E-2</v>
      </c>
      <c r="AC273" s="317">
        <f t="shared" si="144"/>
        <v>8.4666666666666751E-2</v>
      </c>
      <c r="AD273" s="317">
        <f t="shared" si="144"/>
        <v>8.600000000000009E-2</v>
      </c>
      <c r="AE273" s="317">
        <f t="shared" si="144"/>
        <v>8.7333333333333429E-2</v>
      </c>
      <c r="AF273" s="317">
        <f t="shared" si="144"/>
        <v>8.8666666666666769E-2</v>
      </c>
      <c r="AG273" s="296">
        <v>0.09</v>
      </c>
      <c r="AI273" s="316"/>
      <c r="AJ273" s="211" t="s">
        <v>1363</v>
      </c>
    </row>
    <row r="274" spans="1:36" s="1" customFormat="1" outlineLevel="1" x14ac:dyDescent="0.2">
      <c r="A274" t="s">
        <v>1380</v>
      </c>
      <c r="B274" s="302"/>
      <c r="C274" s="296">
        <v>0.27</v>
      </c>
      <c r="D274" s="317">
        <f t="shared" si="143"/>
        <v>0.26600000000000001</v>
      </c>
      <c r="E274" s="317">
        <f t="shared" si="143"/>
        <v>0.26200000000000001</v>
      </c>
      <c r="F274" s="317">
        <f t="shared" si="143"/>
        <v>0.25800000000000001</v>
      </c>
      <c r="G274" s="317">
        <f t="shared" si="143"/>
        <v>0.254</v>
      </c>
      <c r="H274" s="317">
        <f t="shared" si="143"/>
        <v>0.25</v>
      </c>
      <c r="I274" s="317">
        <f t="shared" si="143"/>
        <v>0.246</v>
      </c>
      <c r="J274" s="317">
        <f t="shared" si="143"/>
        <v>0.24199999999999999</v>
      </c>
      <c r="K274" s="317">
        <f t="shared" si="143"/>
        <v>0.23799999999999999</v>
      </c>
      <c r="L274" s="317">
        <f t="shared" si="143"/>
        <v>0.23399999999999999</v>
      </c>
      <c r="M274" s="317">
        <f t="shared" si="143"/>
        <v>0.22999999999999998</v>
      </c>
      <c r="N274" s="317">
        <f t="shared" si="143"/>
        <v>0.22599999999999998</v>
      </c>
      <c r="O274" s="317">
        <f t="shared" si="143"/>
        <v>0.22199999999999998</v>
      </c>
      <c r="P274" s="317">
        <f t="shared" si="143"/>
        <v>0.21799999999999997</v>
      </c>
      <c r="Q274" s="317">
        <f t="shared" si="143"/>
        <v>0.21399999999999997</v>
      </c>
      <c r="R274" s="317">
        <f t="shared" si="143"/>
        <v>0.20999999999999996</v>
      </c>
      <c r="S274" s="317">
        <f t="shared" si="143"/>
        <v>0.20599999999999996</v>
      </c>
      <c r="T274" s="317">
        <f t="shared" si="144"/>
        <v>0.20199999999999996</v>
      </c>
      <c r="U274" s="317">
        <f t="shared" si="144"/>
        <v>0.19799999999999995</v>
      </c>
      <c r="V274" s="317">
        <f t="shared" si="144"/>
        <v>0.19399999999999995</v>
      </c>
      <c r="W274" s="317">
        <f t="shared" si="144"/>
        <v>0.18999999999999995</v>
      </c>
      <c r="X274" s="317">
        <f t="shared" si="144"/>
        <v>0.18599999999999994</v>
      </c>
      <c r="Y274" s="317">
        <f t="shared" si="144"/>
        <v>0.18199999999999994</v>
      </c>
      <c r="Z274" s="317">
        <f t="shared" si="144"/>
        <v>0.17799999999999994</v>
      </c>
      <c r="AA274" s="317">
        <f t="shared" si="144"/>
        <v>0.17399999999999993</v>
      </c>
      <c r="AB274" s="317">
        <f t="shared" si="144"/>
        <v>0.16999999999999993</v>
      </c>
      <c r="AC274" s="317">
        <f t="shared" si="144"/>
        <v>0.16599999999999993</v>
      </c>
      <c r="AD274" s="317">
        <f t="shared" si="144"/>
        <v>0.16199999999999992</v>
      </c>
      <c r="AE274" s="317">
        <f t="shared" si="144"/>
        <v>0.15799999999999992</v>
      </c>
      <c r="AF274" s="317">
        <f t="shared" si="144"/>
        <v>0.15399999999999991</v>
      </c>
      <c r="AG274" s="296">
        <v>0.15</v>
      </c>
      <c r="AI274" s="316"/>
      <c r="AJ274" s="211"/>
    </row>
    <row r="275" spans="1:36" s="67" customFormat="1" outlineLevel="1" x14ac:dyDescent="0.2">
      <c r="A275" s="345" t="s">
        <v>1381</v>
      </c>
      <c r="B275" s="308" t="s">
        <v>462</v>
      </c>
      <c r="C275" s="337">
        <v>0.16</v>
      </c>
      <c r="D275" s="338">
        <f t="shared" si="143"/>
        <v>0.16533333333333333</v>
      </c>
      <c r="E275" s="338">
        <f t="shared" si="143"/>
        <v>0.17066666666666666</v>
      </c>
      <c r="F275" s="338">
        <f t="shared" si="143"/>
        <v>0.17599999999999999</v>
      </c>
      <c r="G275" s="338">
        <f t="shared" si="143"/>
        <v>0.18133333333333332</v>
      </c>
      <c r="H275" s="338">
        <f t="shared" si="143"/>
        <v>0.18666666666666665</v>
      </c>
      <c r="I275" s="338">
        <f t="shared" si="143"/>
        <v>0.19199999999999998</v>
      </c>
      <c r="J275" s="338">
        <f t="shared" si="143"/>
        <v>0.19733333333333331</v>
      </c>
      <c r="K275" s="338">
        <f t="shared" si="143"/>
        <v>0.20266666666666663</v>
      </c>
      <c r="L275" s="338">
        <f t="shared" si="143"/>
        <v>0.20799999999999996</v>
      </c>
      <c r="M275" s="338">
        <f t="shared" si="143"/>
        <v>0.21333333333333329</v>
      </c>
      <c r="N275" s="338">
        <f t="shared" si="143"/>
        <v>0.21866666666666662</v>
      </c>
      <c r="O275" s="338">
        <f t="shared" si="143"/>
        <v>0.22399999999999995</v>
      </c>
      <c r="P275" s="338">
        <f t="shared" si="143"/>
        <v>0.22933333333333328</v>
      </c>
      <c r="Q275" s="338">
        <f t="shared" si="143"/>
        <v>0.23466666666666661</v>
      </c>
      <c r="R275" s="338">
        <f t="shared" si="143"/>
        <v>0.23999999999999994</v>
      </c>
      <c r="S275" s="338">
        <f t="shared" si="143"/>
        <v>0.24533333333333326</v>
      </c>
      <c r="T275" s="338">
        <f t="shared" si="144"/>
        <v>0.25066666666666659</v>
      </c>
      <c r="U275" s="338">
        <f t="shared" si="144"/>
        <v>0.25599999999999995</v>
      </c>
      <c r="V275" s="338">
        <f t="shared" si="144"/>
        <v>0.26133333333333331</v>
      </c>
      <c r="W275" s="338">
        <f t="shared" si="144"/>
        <v>0.26666666666666666</v>
      </c>
      <c r="X275" s="338">
        <f t="shared" si="144"/>
        <v>0.27200000000000002</v>
      </c>
      <c r="Y275" s="338">
        <f t="shared" si="144"/>
        <v>0.27733333333333338</v>
      </c>
      <c r="Z275" s="338">
        <f t="shared" si="144"/>
        <v>0.28266666666666673</v>
      </c>
      <c r="AA275" s="338">
        <f t="shared" si="144"/>
        <v>0.28800000000000009</v>
      </c>
      <c r="AB275" s="338">
        <f t="shared" si="144"/>
        <v>0.29333333333333345</v>
      </c>
      <c r="AC275" s="338">
        <f t="shared" si="144"/>
        <v>0.2986666666666668</v>
      </c>
      <c r="AD275" s="338">
        <f t="shared" si="144"/>
        <v>0.30400000000000016</v>
      </c>
      <c r="AE275" s="338">
        <f t="shared" si="144"/>
        <v>0.30933333333333352</v>
      </c>
      <c r="AF275" s="338">
        <f t="shared" si="144"/>
        <v>0.31466666666666687</v>
      </c>
      <c r="AG275" s="337">
        <v>0.32</v>
      </c>
      <c r="AI275" s="337"/>
      <c r="AJ275" s="339" t="s">
        <v>1363</v>
      </c>
    </row>
    <row r="276" spans="1:36" outlineLevel="1" x14ac:dyDescent="0.2">
      <c r="A276" s="346" t="s">
        <v>1382</v>
      </c>
      <c r="B276" s="302" t="s">
        <v>462</v>
      </c>
      <c r="C276" s="296">
        <v>0.37</v>
      </c>
      <c r="D276" s="317">
        <f t="shared" si="143"/>
        <v>0.37166666666666665</v>
      </c>
      <c r="E276" s="317">
        <f t="shared" si="143"/>
        <v>0.37333333333333329</v>
      </c>
      <c r="F276" s="317">
        <f t="shared" si="143"/>
        <v>0.37499999999999994</v>
      </c>
      <c r="G276" s="317">
        <f t="shared" si="143"/>
        <v>0.37666666666666659</v>
      </c>
      <c r="H276" s="317">
        <f t="shared" si="143"/>
        <v>0.37833333333333324</v>
      </c>
      <c r="I276" s="317">
        <f t="shared" si="143"/>
        <v>0.37999999999999989</v>
      </c>
      <c r="J276" s="317">
        <f t="shared" si="143"/>
        <v>0.38166666666666654</v>
      </c>
      <c r="K276" s="317">
        <f t="shared" si="143"/>
        <v>0.38333333333333319</v>
      </c>
      <c r="L276" s="317">
        <f t="shared" si="143"/>
        <v>0.38499999999999984</v>
      </c>
      <c r="M276" s="317">
        <f t="shared" si="143"/>
        <v>0.38666666666666649</v>
      </c>
      <c r="N276" s="317">
        <f t="shared" si="143"/>
        <v>0.38833333333333314</v>
      </c>
      <c r="O276" s="317">
        <f t="shared" si="143"/>
        <v>0.38999999999999979</v>
      </c>
      <c r="P276" s="317">
        <f t="shared" si="143"/>
        <v>0.39166666666666644</v>
      </c>
      <c r="Q276" s="317">
        <f t="shared" si="143"/>
        <v>0.39333333333333309</v>
      </c>
      <c r="R276" s="317">
        <f t="shared" si="143"/>
        <v>0.39499999999999974</v>
      </c>
      <c r="S276" s="317">
        <f t="shared" si="143"/>
        <v>0.39666666666666639</v>
      </c>
      <c r="T276" s="317">
        <f t="shared" si="144"/>
        <v>0.39833333333333304</v>
      </c>
      <c r="U276" s="317">
        <f t="shared" si="144"/>
        <v>0.39999999999999969</v>
      </c>
      <c r="V276" s="317">
        <f t="shared" si="144"/>
        <v>0.40166666666666634</v>
      </c>
      <c r="W276" s="317">
        <f t="shared" si="144"/>
        <v>0.40333333333333299</v>
      </c>
      <c r="X276" s="317">
        <f t="shared" si="144"/>
        <v>0.40499999999999964</v>
      </c>
      <c r="Y276" s="317">
        <f t="shared" si="144"/>
        <v>0.40666666666666629</v>
      </c>
      <c r="Z276" s="317">
        <f t="shared" si="144"/>
        <v>0.40833333333333294</v>
      </c>
      <c r="AA276" s="317">
        <f t="shared" si="144"/>
        <v>0.40999999999999959</v>
      </c>
      <c r="AB276" s="317">
        <f t="shared" si="144"/>
        <v>0.41166666666666624</v>
      </c>
      <c r="AC276" s="317">
        <f t="shared" si="144"/>
        <v>0.41333333333333289</v>
      </c>
      <c r="AD276" s="317">
        <f t="shared" si="144"/>
        <v>0.41499999999999954</v>
      </c>
      <c r="AE276" s="317">
        <f t="shared" si="144"/>
        <v>0.41666666666666619</v>
      </c>
      <c r="AF276" s="317">
        <f t="shared" si="144"/>
        <v>0.41833333333333284</v>
      </c>
      <c r="AG276" s="296">
        <v>0.42</v>
      </c>
      <c r="AI276" s="296"/>
      <c r="AJ276" s="211" t="s">
        <v>1363</v>
      </c>
    </row>
    <row r="277" spans="1:36" outlineLevel="1" x14ac:dyDescent="0.2">
      <c r="A277" s="346" t="s">
        <v>1383</v>
      </c>
      <c r="B277" s="302" t="s">
        <v>462</v>
      </c>
      <c r="C277" s="296">
        <v>0.08</v>
      </c>
      <c r="D277" s="317">
        <f t="shared" si="143"/>
        <v>7.7666666666666662E-2</v>
      </c>
      <c r="E277" s="317">
        <f t="shared" si="143"/>
        <v>7.5333333333333322E-2</v>
      </c>
      <c r="F277" s="317">
        <f t="shared" si="143"/>
        <v>7.2999999999999982E-2</v>
      </c>
      <c r="G277" s="317">
        <f t="shared" si="143"/>
        <v>7.0666666666666642E-2</v>
      </c>
      <c r="H277" s="317">
        <f t="shared" si="143"/>
        <v>6.8333333333333302E-2</v>
      </c>
      <c r="I277" s="317">
        <f t="shared" si="143"/>
        <v>6.5999999999999961E-2</v>
      </c>
      <c r="J277" s="317">
        <f t="shared" si="143"/>
        <v>6.3666666666666621E-2</v>
      </c>
      <c r="K277" s="317">
        <f t="shared" si="143"/>
        <v>6.1333333333333288E-2</v>
      </c>
      <c r="L277" s="317">
        <f t="shared" si="143"/>
        <v>5.8999999999999955E-2</v>
      </c>
      <c r="M277" s="317">
        <f t="shared" si="143"/>
        <v>5.6666666666666622E-2</v>
      </c>
      <c r="N277" s="317">
        <f t="shared" si="143"/>
        <v>5.4333333333333289E-2</v>
      </c>
      <c r="O277" s="317">
        <f t="shared" si="143"/>
        <v>5.1999999999999956E-2</v>
      </c>
      <c r="P277" s="317">
        <f t="shared" si="143"/>
        <v>4.9666666666666623E-2</v>
      </c>
      <c r="Q277" s="317">
        <f t="shared" si="143"/>
        <v>4.733333333333329E-2</v>
      </c>
      <c r="R277" s="317">
        <f t="shared" si="143"/>
        <v>4.4999999999999957E-2</v>
      </c>
      <c r="S277" s="317">
        <f t="shared" si="143"/>
        <v>4.2666666666666624E-2</v>
      </c>
      <c r="T277" s="317">
        <f t="shared" si="144"/>
        <v>4.0333333333333291E-2</v>
      </c>
      <c r="U277" s="317">
        <f t="shared" si="144"/>
        <v>3.7999999999999957E-2</v>
      </c>
      <c r="V277" s="317">
        <f t="shared" si="144"/>
        <v>3.5666666666666624E-2</v>
      </c>
      <c r="W277" s="317">
        <f t="shared" si="144"/>
        <v>3.3333333333333291E-2</v>
      </c>
      <c r="X277" s="317">
        <f t="shared" si="144"/>
        <v>3.0999999999999958E-2</v>
      </c>
      <c r="Y277" s="317">
        <f t="shared" si="144"/>
        <v>2.8666666666666625E-2</v>
      </c>
      <c r="Z277" s="317">
        <f t="shared" si="144"/>
        <v>2.6333333333333292E-2</v>
      </c>
      <c r="AA277" s="317">
        <f t="shared" si="144"/>
        <v>2.3999999999999959E-2</v>
      </c>
      <c r="AB277" s="317">
        <f t="shared" si="144"/>
        <v>2.1666666666666626E-2</v>
      </c>
      <c r="AC277" s="317">
        <f t="shared" si="144"/>
        <v>1.9333333333333293E-2</v>
      </c>
      <c r="AD277" s="317">
        <f t="shared" si="144"/>
        <v>1.699999999999996E-2</v>
      </c>
      <c r="AE277" s="317">
        <f t="shared" si="144"/>
        <v>1.4666666666666626E-2</v>
      </c>
      <c r="AF277" s="317">
        <f t="shared" si="144"/>
        <v>1.2333333333333293E-2</v>
      </c>
      <c r="AG277" s="296">
        <v>0.01</v>
      </c>
      <c r="AI277" s="296"/>
      <c r="AJ277" s="211" t="s">
        <v>1363</v>
      </c>
    </row>
    <row r="278" spans="1:36" outlineLevel="1" x14ac:dyDescent="0.2">
      <c r="A278" s="346" t="s">
        <v>1384</v>
      </c>
      <c r="B278" s="302" t="s">
        <v>462</v>
      </c>
      <c r="C278" s="296">
        <v>0.27</v>
      </c>
      <c r="D278" s="317">
        <f t="shared" si="143"/>
        <v>0.26633333333333337</v>
      </c>
      <c r="E278" s="317">
        <f t="shared" si="143"/>
        <v>0.26266666666666671</v>
      </c>
      <c r="F278" s="317">
        <f t="shared" si="143"/>
        <v>0.25900000000000006</v>
      </c>
      <c r="G278" s="317">
        <f t="shared" si="143"/>
        <v>0.25533333333333341</v>
      </c>
      <c r="H278" s="317">
        <f t="shared" si="143"/>
        <v>0.25166666666666676</v>
      </c>
      <c r="I278" s="317">
        <f t="shared" si="143"/>
        <v>0.24800000000000008</v>
      </c>
      <c r="J278" s="317">
        <f t="shared" si="143"/>
        <v>0.2443333333333334</v>
      </c>
      <c r="K278" s="317">
        <f t="shared" si="143"/>
        <v>0.24066666666666672</v>
      </c>
      <c r="L278" s="317">
        <f t="shared" si="143"/>
        <v>0.23700000000000004</v>
      </c>
      <c r="M278" s="317">
        <f t="shared" si="143"/>
        <v>0.23333333333333336</v>
      </c>
      <c r="N278" s="317">
        <f t="shared" si="143"/>
        <v>0.22966666666666669</v>
      </c>
      <c r="O278" s="317">
        <f t="shared" si="143"/>
        <v>0.22600000000000001</v>
      </c>
      <c r="P278" s="317">
        <f t="shared" si="143"/>
        <v>0.22233333333333333</v>
      </c>
      <c r="Q278" s="317">
        <f t="shared" si="143"/>
        <v>0.21866666666666665</v>
      </c>
      <c r="R278" s="317">
        <f t="shared" si="143"/>
        <v>0.21499999999999997</v>
      </c>
      <c r="S278" s="317">
        <f t="shared" si="143"/>
        <v>0.21133333333333329</v>
      </c>
      <c r="T278" s="317">
        <f t="shared" si="144"/>
        <v>0.20766666666666661</v>
      </c>
      <c r="U278" s="317">
        <f t="shared" si="144"/>
        <v>0.20399999999999993</v>
      </c>
      <c r="V278" s="317">
        <f t="shared" si="144"/>
        <v>0.20033333333333325</v>
      </c>
      <c r="W278" s="317">
        <f t="shared" si="144"/>
        <v>0.19666666666666657</v>
      </c>
      <c r="X278" s="317">
        <f t="shared" si="144"/>
        <v>0.19299999999999989</v>
      </c>
      <c r="Y278" s="317">
        <f t="shared" si="144"/>
        <v>0.18933333333333321</v>
      </c>
      <c r="Z278" s="317">
        <f t="shared" si="144"/>
        <v>0.18566666666666654</v>
      </c>
      <c r="AA278" s="317">
        <f t="shared" si="144"/>
        <v>0.18199999999999986</v>
      </c>
      <c r="AB278" s="317">
        <f t="shared" si="144"/>
        <v>0.17833333333333318</v>
      </c>
      <c r="AC278" s="317">
        <f t="shared" si="144"/>
        <v>0.1746666666666665</v>
      </c>
      <c r="AD278" s="317">
        <f t="shared" si="144"/>
        <v>0.17099999999999982</v>
      </c>
      <c r="AE278" s="317">
        <f t="shared" si="144"/>
        <v>0.16733333333333314</v>
      </c>
      <c r="AF278" s="317">
        <f t="shared" si="144"/>
        <v>0.16366666666666646</v>
      </c>
      <c r="AG278" s="296">
        <v>0.16</v>
      </c>
      <c r="AI278" s="296"/>
      <c r="AJ278" s="211" t="s">
        <v>1363</v>
      </c>
    </row>
    <row r="279" spans="1:36" outlineLevel="1" x14ac:dyDescent="0.2">
      <c r="A279" s="346" t="s">
        <v>1385</v>
      </c>
      <c r="B279" s="302" t="s">
        <v>462</v>
      </c>
      <c r="C279" s="296">
        <v>7.0000000000000007E-2</v>
      </c>
      <c r="D279" s="317">
        <f t="shared" si="143"/>
        <v>6.9666666666666668E-2</v>
      </c>
      <c r="E279" s="317">
        <f t="shared" si="143"/>
        <v>6.933333333333333E-2</v>
      </c>
      <c r="F279" s="317">
        <f t="shared" si="143"/>
        <v>6.8999999999999992E-2</v>
      </c>
      <c r="G279" s="317">
        <f t="shared" si="143"/>
        <v>6.8666666666666654E-2</v>
      </c>
      <c r="H279" s="317">
        <f t="shared" si="143"/>
        <v>6.8333333333333315E-2</v>
      </c>
      <c r="I279" s="317">
        <f t="shared" si="143"/>
        <v>6.7999999999999977E-2</v>
      </c>
      <c r="J279" s="317">
        <f t="shared" si="143"/>
        <v>6.7666666666666639E-2</v>
      </c>
      <c r="K279" s="317">
        <f t="shared" si="143"/>
        <v>6.7333333333333301E-2</v>
      </c>
      <c r="L279" s="317">
        <f t="shared" si="143"/>
        <v>6.6999999999999962E-2</v>
      </c>
      <c r="M279" s="317">
        <f t="shared" si="143"/>
        <v>6.6666666666666624E-2</v>
      </c>
      <c r="N279" s="317">
        <f t="shared" si="143"/>
        <v>6.6333333333333286E-2</v>
      </c>
      <c r="O279" s="317">
        <f t="shared" si="143"/>
        <v>6.5999999999999948E-2</v>
      </c>
      <c r="P279" s="317">
        <f t="shared" si="143"/>
        <v>6.5666666666666609E-2</v>
      </c>
      <c r="Q279" s="317">
        <f t="shared" si="143"/>
        <v>6.5333333333333271E-2</v>
      </c>
      <c r="R279" s="317">
        <f t="shared" si="143"/>
        <v>6.4999999999999933E-2</v>
      </c>
      <c r="S279" s="317">
        <f t="shared" ref="S279:AF279" si="145">-($C279-$AG279)/30+R279</f>
        <v>6.4666666666666595E-2</v>
      </c>
      <c r="T279" s="317">
        <f t="shared" si="145"/>
        <v>6.4333333333333256E-2</v>
      </c>
      <c r="U279" s="317">
        <f t="shared" si="145"/>
        <v>6.3999999999999918E-2</v>
      </c>
      <c r="V279" s="317">
        <f t="shared" si="145"/>
        <v>6.366666666666658E-2</v>
      </c>
      <c r="W279" s="317">
        <f t="shared" si="145"/>
        <v>6.3333333333333242E-2</v>
      </c>
      <c r="X279" s="317">
        <f t="shared" si="145"/>
        <v>6.2999999999999903E-2</v>
      </c>
      <c r="Y279" s="317">
        <f t="shared" si="145"/>
        <v>6.2666666666666565E-2</v>
      </c>
      <c r="Z279" s="317">
        <f t="shared" si="145"/>
        <v>6.2333333333333234E-2</v>
      </c>
      <c r="AA279" s="317">
        <f t="shared" si="145"/>
        <v>6.1999999999999902E-2</v>
      </c>
      <c r="AB279" s="317">
        <f t="shared" si="145"/>
        <v>6.1666666666666571E-2</v>
      </c>
      <c r="AC279" s="317">
        <f t="shared" si="145"/>
        <v>6.133333333333324E-2</v>
      </c>
      <c r="AD279" s="317">
        <f t="shared" si="145"/>
        <v>6.0999999999999908E-2</v>
      </c>
      <c r="AE279" s="317">
        <f t="shared" si="145"/>
        <v>6.0666666666666577E-2</v>
      </c>
      <c r="AF279" s="317">
        <f t="shared" si="145"/>
        <v>6.0333333333333246E-2</v>
      </c>
      <c r="AG279" s="296">
        <v>0.06</v>
      </c>
      <c r="AI279" s="296"/>
      <c r="AJ279" s="211" t="s">
        <v>1363</v>
      </c>
    </row>
    <row r="280" spans="1:36" s="68" customFormat="1" outlineLevel="1" x14ac:dyDescent="0.2">
      <c r="A280" s="347" t="s">
        <v>1386</v>
      </c>
      <c r="B280" s="312" t="s">
        <v>462</v>
      </c>
      <c r="C280" s="314">
        <v>0.05</v>
      </c>
      <c r="D280" s="340">
        <f t="shared" ref="D280:AF280" si="146">-($C280-$AG280)/30+C280</f>
        <v>4.9333333333333333E-2</v>
      </c>
      <c r="E280" s="340">
        <f t="shared" si="146"/>
        <v>4.8666666666666664E-2</v>
      </c>
      <c r="F280" s="340">
        <f t="shared" si="146"/>
        <v>4.7999999999999994E-2</v>
      </c>
      <c r="G280" s="340">
        <f t="shared" si="146"/>
        <v>4.7333333333333324E-2</v>
      </c>
      <c r="H280" s="340">
        <f t="shared" si="146"/>
        <v>4.6666666666666655E-2</v>
      </c>
      <c r="I280" s="340">
        <f t="shared" si="146"/>
        <v>4.5999999999999985E-2</v>
      </c>
      <c r="J280" s="340">
        <f t="shared" si="146"/>
        <v>4.5333333333333316E-2</v>
      </c>
      <c r="K280" s="340">
        <f t="shared" si="146"/>
        <v>4.4666666666666646E-2</v>
      </c>
      <c r="L280" s="340">
        <f t="shared" si="146"/>
        <v>4.3999999999999977E-2</v>
      </c>
      <c r="M280" s="340">
        <f t="shared" si="146"/>
        <v>4.3333333333333307E-2</v>
      </c>
      <c r="N280" s="340">
        <f t="shared" si="146"/>
        <v>4.2666666666666637E-2</v>
      </c>
      <c r="O280" s="340">
        <f t="shared" si="146"/>
        <v>4.1999999999999968E-2</v>
      </c>
      <c r="P280" s="340">
        <f t="shared" si="146"/>
        <v>4.1333333333333298E-2</v>
      </c>
      <c r="Q280" s="340">
        <f t="shared" si="146"/>
        <v>4.0666666666666629E-2</v>
      </c>
      <c r="R280" s="340">
        <f t="shared" si="146"/>
        <v>3.9999999999999959E-2</v>
      </c>
      <c r="S280" s="340">
        <f t="shared" si="146"/>
        <v>3.933333333333329E-2</v>
      </c>
      <c r="T280" s="340">
        <f t="shared" si="146"/>
        <v>3.866666666666662E-2</v>
      </c>
      <c r="U280" s="340">
        <f t="shared" si="146"/>
        <v>3.799999999999995E-2</v>
      </c>
      <c r="V280" s="340">
        <f t="shared" si="146"/>
        <v>3.7333333333333281E-2</v>
      </c>
      <c r="W280" s="340">
        <f t="shared" si="146"/>
        <v>3.6666666666666611E-2</v>
      </c>
      <c r="X280" s="340">
        <f t="shared" si="146"/>
        <v>3.5999999999999942E-2</v>
      </c>
      <c r="Y280" s="340">
        <f t="shared" si="146"/>
        <v>3.5333333333333272E-2</v>
      </c>
      <c r="Z280" s="340">
        <f t="shared" si="146"/>
        <v>3.4666666666666603E-2</v>
      </c>
      <c r="AA280" s="340">
        <f t="shared" si="146"/>
        <v>3.3999999999999933E-2</v>
      </c>
      <c r="AB280" s="340">
        <f t="shared" si="146"/>
        <v>3.3333333333333263E-2</v>
      </c>
      <c r="AC280" s="340">
        <f t="shared" si="146"/>
        <v>3.2666666666666594E-2</v>
      </c>
      <c r="AD280" s="340">
        <f t="shared" si="146"/>
        <v>3.1999999999999924E-2</v>
      </c>
      <c r="AE280" s="340">
        <f t="shared" si="146"/>
        <v>3.1333333333333255E-2</v>
      </c>
      <c r="AF280" s="340">
        <f t="shared" si="146"/>
        <v>3.0666666666666589E-2</v>
      </c>
      <c r="AG280" s="314">
        <v>0.03</v>
      </c>
      <c r="AI280" s="314"/>
      <c r="AJ280" s="341" t="s">
        <v>1363</v>
      </c>
    </row>
    <row r="281" spans="1:36" s="58" customFormat="1" outlineLevel="1" x14ac:dyDescent="0.2">
      <c r="A281" s="58" t="s">
        <v>1361</v>
      </c>
      <c r="B281" s="303"/>
      <c r="C281" s="304">
        <f>C32</f>
        <v>12.673879407338728</v>
      </c>
      <c r="D281" s="304">
        <f t="shared" ref="D281:AG281" si="147">D32</f>
        <v>13.098726851099091</v>
      </c>
      <c r="E281" s="304">
        <f t="shared" si="147"/>
        <v>13.502427023619299</v>
      </c>
      <c r="F281" s="304">
        <f t="shared" si="147"/>
        <v>13.882209074846781</v>
      </c>
      <c r="G281" s="304">
        <f t="shared" si="147"/>
        <v>14.235413036033478</v>
      </c>
      <c r="H281" s="304">
        <f t="shared" si="147"/>
        <v>14.559520852589715</v>
      </c>
      <c r="I281" s="304">
        <f t="shared" si="147"/>
        <v>14.884229245454527</v>
      </c>
      <c r="J281" s="304">
        <f t="shared" si="147"/>
        <v>15.209244221270575</v>
      </c>
      <c r="K281" s="304">
        <f t="shared" si="147"/>
        <v>15.534264322775988</v>
      </c>
      <c r="L281" s="304">
        <f t="shared" si="147"/>
        <v>15.858981020841343</v>
      </c>
      <c r="M281" s="304">
        <f t="shared" si="147"/>
        <v>16.183079133002487</v>
      </c>
      <c r="N281" s="304">
        <f t="shared" si="147"/>
        <v>16.482620297976691</v>
      </c>
      <c r="O281" s="304">
        <f t="shared" si="147"/>
        <v>16.755943206611072</v>
      </c>
      <c r="P281" s="304">
        <f t="shared" si="147"/>
        <v>17.001503890847083</v>
      </c>
      <c r="Q281" s="304">
        <f t="shared" si="147"/>
        <v>17.217890073688782</v>
      </c>
      <c r="R281" s="304">
        <f t="shared" si="147"/>
        <v>17.403834548144012</v>
      </c>
      <c r="S281" s="304">
        <f t="shared" si="147"/>
        <v>17.589861538809647</v>
      </c>
      <c r="T281" s="304">
        <f t="shared" si="147"/>
        <v>17.775929599333011</v>
      </c>
      <c r="U281" s="304">
        <f t="shared" si="147"/>
        <v>17.961996785777828</v>
      </c>
      <c r="V281" s="304">
        <f t="shared" si="147"/>
        <v>18.148020669856798</v>
      </c>
      <c r="W281" s="304">
        <f t="shared" si="147"/>
        <v>18.33395835260367</v>
      </c>
      <c r="X281" s="304">
        <f t="shared" si="147"/>
        <v>18.519970462814392</v>
      </c>
      <c r="Y281" s="304">
        <f t="shared" si="147"/>
        <v>18.706019655608895</v>
      </c>
      <c r="Z281" s="304">
        <f t="shared" si="147"/>
        <v>18.892068164071532</v>
      </c>
      <c r="AA281" s="304">
        <f t="shared" si="147"/>
        <v>19.078077810042121</v>
      </c>
      <c r="AB281" s="304">
        <f t="shared" si="147"/>
        <v>19.264010015242892</v>
      </c>
      <c r="AC281" s="304">
        <f t="shared" si="147"/>
        <v>19.450009696000929</v>
      </c>
      <c r="AD281" s="304">
        <f t="shared" si="147"/>
        <v>19.636043025222392</v>
      </c>
      <c r="AE281" s="304">
        <f t="shared" si="147"/>
        <v>19.822075814687434</v>
      </c>
      <c r="AF281" s="304">
        <f t="shared" si="147"/>
        <v>20.008073523938176</v>
      </c>
      <c r="AG281" s="304">
        <f t="shared" si="147"/>
        <v>20.194001269427055</v>
      </c>
      <c r="AI281" s="305"/>
      <c r="AJ281" s="306"/>
    </row>
    <row r="282" spans="1:36" s="58" customFormat="1" outlineLevel="1" x14ac:dyDescent="0.2">
      <c r="A282" s="307" t="s">
        <v>3</v>
      </c>
      <c r="B282" s="308" t="s">
        <v>704</v>
      </c>
      <c r="C282" s="309">
        <v>0</v>
      </c>
      <c r="D282" s="309">
        <v>0</v>
      </c>
      <c r="E282" s="309">
        <v>0</v>
      </c>
      <c r="F282" s="309">
        <v>0</v>
      </c>
      <c r="G282" s="309">
        <v>0</v>
      </c>
      <c r="H282" s="309">
        <v>0</v>
      </c>
      <c r="I282" s="309">
        <v>0</v>
      </c>
      <c r="J282" s="309">
        <v>0</v>
      </c>
      <c r="K282" s="309">
        <v>0</v>
      </c>
      <c r="L282" s="309">
        <v>0</v>
      </c>
      <c r="M282" s="309">
        <v>0</v>
      </c>
      <c r="N282" s="309">
        <v>0</v>
      </c>
      <c r="O282" s="309">
        <v>0</v>
      </c>
      <c r="P282" s="309">
        <v>0</v>
      </c>
      <c r="Q282" s="309">
        <v>0</v>
      </c>
      <c r="R282" s="309">
        <v>0</v>
      </c>
      <c r="S282" s="309">
        <v>0</v>
      </c>
      <c r="T282" s="309">
        <v>0</v>
      </c>
      <c r="U282" s="309">
        <v>0</v>
      </c>
      <c r="V282" s="309">
        <v>0</v>
      </c>
      <c r="W282" s="309">
        <v>0</v>
      </c>
      <c r="X282" s="309">
        <v>0</v>
      </c>
      <c r="Y282" s="309">
        <v>0</v>
      </c>
      <c r="Z282" s="309">
        <v>0</v>
      </c>
      <c r="AA282" s="309">
        <v>0</v>
      </c>
      <c r="AB282" s="309">
        <v>0</v>
      </c>
      <c r="AC282" s="309">
        <v>0</v>
      </c>
      <c r="AD282" s="309">
        <v>0</v>
      </c>
      <c r="AE282" s="309">
        <v>0</v>
      </c>
      <c r="AF282" s="309">
        <v>0</v>
      </c>
      <c r="AG282" s="309">
        <v>0</v>
      </c>
      <c r="AI282" s="305"/>
      <c r="AJ282" s="306"/>
    </row>
    <row r="283" spans="1:36" outlineLevel="1" x14ac:dyDescent="0.2">
      <c r="A283" s="310" t="s">
        <v>51</v>
      </c>
      <c r="B283" s="302" t="s">
        <v>704</v>
      </c>
      <c r="C283" s="249">
        <f t="shared" ref="C283:AG283" si="148">C250</f>
        <v>1.1899030376946831</v>
      </c>
      <c r="D283" s="249">
        <f t="shared" si="148"/>
        <v>1.2097744184241843</v>
      </c>
      <c r="E283" s="249">
        <f t="shared" si="148"/>
        <v>1.2299776512118681</v>
      </c>
      <c r="F283" s="249">
        <f t="shared" si="148"/>
        <v>1.2505182779871062</v>
      </c>
      <c r="G283" s="249">
        <f t="shared" si="148"/>
        <v>1.2714019332294908</v>
      </c>
      <c r="H283" s="249">
        <f t="shared" si="148"/>
        <v>1.2926343455144231</v>
      </c>
      <c r="I283" s="249">
        <f t="shared" si="148"/>
        <v>1.3142213390845139</v>
      </c>
      <c r="J283" s="249">
        <f t="shared" si="148"/>
        <v>1.3361688354472252</v>
      </c>
      <c r="K283" s="249">
        <f t="shared" si="148"/>
        <v>1.3584828549991939</v>
      </c>
      <c r="L283" s="249">
        <f t="shared" si="148"/>
        <v>1.3811695186776802</v>
      </c>
      <c r="M283" s="249">
        <f t="shared" si="148"/>
        <v>1.4042350496395974</v>
      </c>
      <c r="N283" s="249">
        <f t="shared" si="148"/>
        <v>1.4276857749685787</v>
      </c>
      <c r="O283" s="249">
        <f t="shared" si="148"/>
        <v>1.4515281274105538</v>
      </c>
      <c r="P283" s="249">
        <f t="shared" si="148"/>
        <v>1.47576864713831</v>
      </c>
      <c r="Q283" s="249">
        <f t="shared" si="148"/>
        <v>1.5004139835455197</v>
      </c>
      <c r="R283" s="249">
        <f t="shared" si="148"/>
        <v>1.5254708970707298</v>
      </c>
      <c r="S283" s="249">
        <f t="shared" si="148"/>
        <v>1.550946261051811</v>
      </c>
      <c r="T283" s="249">
        <f t="shared" si="148"/>
        <v>1.5768470636113761</v>
      </c>
      <c r="U283" s="249">
        <f t="shared" si="148"/>
        <v>1.6031804095736859</v>
      </c>
      <c r="V283" s="249">
        <f t="shared" si="148"/>
        <v>1.6299535224135664</v>
      </c>
      <c r="W283" s="249">
        <f t="shared" si="148"/>
        <v>1.6571737462378728</v>
      </c>
      <c r="X283" s="249">
        <f t="shared" si="148"/>
        <v>1.6848485478000452</v>
      </c>
      <c r="Y283" s="249">
        <f t="shared" si="148"/>
        <v>1.7129855185483058</v>
      </c>
      <c r="Z283" s="249">
        <f t="shared" si="148"/>
        <v>1.7415923767080623</v>
      </c>
      <c r="AA283" s="249">
        <f t="shared" si="148"/>
        <v>1.7706769693990869</v>
      </c>
      <c r="AB283" s="249">
        <f t="shared" si="148"/>
        <v>1.8002472747880516</v>
      </c>
      <c r="AC283" s="249">
        <f t="shared" si="148"/>
        <v>1.8303114042770119</v>
      </c>
      <c r="AD283" s="249">
        <f t="shared" si="148"/>
        <v>1.8608776047284379</v>
      </c>
      <c r="AE283" s="249">
        <f t="shared" si="148"/>
        <v>1.8919542607274027</v>
      </c>
      <c r="AF283" s="249">
        <f t="shared" si="148"/>
        <v>1.9235498968815501</v>
      </c>
      <c r="AG283" s="249">
        <f t="shared" si="148"/>
        <v>1.9556731801594718</v>
      </c>
      <c r="AI283" s="296"/>
    </row>
    <row r="284" spans="1:36" s="68" customFormat="1" outlineLevel="1" x14ac:dyDescent="0.2">
      <c r="A284" s="311" t="s">
        <v>1387</v>
      </c>
      <c r="B284" s="312" t="s">
        <v>704</v>
      </c>
      <c r="C284" s="313">
        <f>C281-C282-C283</f>
        <v>11.483976369644044</v>
      </c>
      <c r="D284" s="313">
        <f t="shared" ref="D284:AG284" si="149">D281-D282-D283</f>
        <v>11.888952432674907</v>
      </c>
      <c r="E284" s="313">
        <f t="shared" si="149"/>
        <v>12.272449372407431</v>
      </c>
      <c r="F284" s="313">
        <f t="shared" si="149"/>
        <v>12.631690796859674</v>
      </c>
      <c r="G284" s="313">
        <f t="shared" si="149"/>
        <v>12.964011102803987</v>
      </c>
      <c r="H284" s="313">
        <f t="shared" si="149"/>
        <v>13.266886507075291</v>
      </c>
      <c r="I284" s="313">
        <f t="shared" si="149"/>
        <v>13.570007906370014</v>
      </c>
      <c r="J284" s="313">
        <f t="shared" si="149"/>
        <v>13.87307538582335</v>
      </c>
      <c r="K284" s="313">
        <f t="shared" si="149"/>
        <v>14.175781467776794</v>
      </c>
      <c r="L284" s="313">
        <f t="shared" si="149"/>
        <v>14.477811502163663</v>
      </c>
      <c r="M284" s="313">
        <f t="shared" si="149"/>
        <v>14.778844083362889</v>
      </c>
      <c r="N284" s="313">
        <f t="shared" si="149"/>
        <v>15.054934523008113</v>
      </c>
      <c r="O284" s="313">
        <f t="shared" si="149"/>
        <v>15.304415079200517</v>
      </c>
      <c r="P284" s="313">
        <f t="shared" si="149"/>
        <v>15.525735243708773</v>
      </c>
      <c r="Q284" s="313">
        <f t="shared" si="149"/>
        <v>15.717476090143261</v>
      </c>
      <c r="R284" s="313">
        <f t="shared" si="149"/>
        <v>15.878363651073283</v>
      </c>
      <c r="S284" s="313">
        <f t="shared" si="149"/>
        <v>16.038915277757837</v>
      </c>
      <c r="T284" s="313">
        <f t="shared" si="149"/>
        <v>16.199082535721637</v>
      </c>
      <c r="U284" s="313">
        <f t="shared" si="149"/>
        <v>16.358816376204143</v>
      </c>
      <c r="V284" s="313">
        <f t="shared" si="149"/>
        <v>16.518067147443233</v>
      </c>
      <c r="W284" s="313">
        <f t="shared" si="149"/>
        <v>16.676784606365796</v>
      </c>
      <c r="X284" s="313">
        <f t="shared" si="149"/>
        <v>16.835121915014348</v>
      </c>
      <c r="Y284" s="313">
        <f t="shared" si="149"/>
        <v>16.99303413706059</v>
      </c>
      <c r="Z284" s="313">
        <f t="shared" si="149"/>
        <v>17.150475787363469</v>
      </c>
      <c r="AA284" s="313">
        <f t="shared" si="149"/>
        <v>17.307400840643034</v>
      </c>
      <c r="AB284" s="313">
        <f t="shared" si="149"/>
        <v>17.46376274045484</v>
      </c>
      <c r="AC284" s="313">
        <f t="shared" si="149"/>
        <v>17.619698291723918</v>
      </c>
      <c r="AD284" s="313">
        <f t="shared" si="149"/>
        <v>17.775165420493956</v>
      </c>
      <c r="AE284" s="313">
        <f t="shared" si="149"/>
        <v>17.930121553960031</v>
      </c>
      <c r="AF284" s="313">
        <f t="shared" si="149"/>
        <v>18.084523627056626</v>
      </c>
      <c r="AG284" s="313">
        <f t="shared" si="149"/>
        <v>18.238328089267583</v>
      </c>
      <c r="AI284" s="314"/>
      <c r="AJ284" s="315"/>
    </row>
    <row r="285" spans="1:36" outlineLevel="1" x14ac:dyDescent="0.2">
      <c r="A285" s="112" t="s">
        <v>90</v>
      </c>
      <c r="B285" s="302" t="s">
        <v>704</v>
      </c>
      <c r="C285" s="230">
        <f>C254*C$284</f>
        <v>1.8374362191430471</v>
      </c>
      <c r="D285" s="230">
        <f t="shared" ref="D285:AG285" si="150">D254*D$284</f>
        <v>1.9268028909221799</v>
      </c>
      <c r="E285" s="230">
        <f t="shared" si="150"/>
        <v>2.0143180236578062</v>
      </c>
      <c r="F285" s="230">
        <f t="shared" si="150"/>
        <v>2.0993870104380776</v>
      </c>
      <c r="G285" s="230">
        <f t="shared" si="150"/>
        <v>2.181410934898484</v>
      </c>
      <c r="H285" s="230">
        <f t="shared" si="150"/>
        <v>2.2597930017051575</v>
      </c>
      <c r="I285" s="230">
        <f t="shared" si="150"/>
        <v>2.33946936305819</v>
      </c>
      <c r="J285" s="230">
        <f t="shared" si="150"/>
        <v>2.4203892189799801</v>
      </c>
      <c r="K285" s="230">
        <f t="shared" si="150"/>
        <v>2.5024979551115294</v>
      </c>
      <c r="L285" s="230">
        <f t="shared" si="150"/>
        <v>2.5857371342864295</v>
      </c>
      <c r="M285" s="230">
        <f t="shared" si="150"/>
        <v>2.6700444977275613</v>
      </c>
      <c r="N285" s="230">
        <f t="shared" si="150"/>
        <v>2.7510383685043482</v>
      </c>
      <c r="O285" s="230">
        <f t="shared" si="150"/>
        <v>2.8282559066362545</v>
      </c>
      <c r="P285" s="230">
        <f t="shared" si="150"/>
        <v>2.9012423925410449</v>
      </c>
      <c r="Q285" s="230">
        <f t="shared" si="150"/>
        <v>2.9695551492977321</v>
      </c>
      <c r="R285" s="230">
        <f t="shared" si="150"/>
        <v>3.0327674573549959</v>
      </c>
      <c r="S285" s="230">
        <f t="shared" si="150"/>
        <v>3.0965799096257784</v>
      </c>
      <c r="T285" s="230">
        <f t="shared" si="150"/>
        <v>3.1609809721371471</v>
      </c>
      <c r="U285" s="230">
        <f t="shared" si="150"/>
        <v>3.2259585893874552</v>
      </c>
      <c r="V285" s="230">
        <f t="shared" si="150"/>
        <v>3.2915001802471866</v>
      </c>
      <c r="W285" s="230">
        <f t="shared" si="150"/>
        <v>3.3575926340816453</v>
      </c>
      <c r="X285" s="230">
        <f t="shared" si="150"/>
        <v>3.4242637975139165</v>
      </c>
      <c r="Y285" s="230">
        <f t="shared" si="150"/>
        <v>3.4915020806947137</v>
      </c>
      <c r="Z285" s="230">
        <f t="shared" si="150"/>
        <v>3.559295408404163</v>
      </c>
      <c r="AA285" s="230">
        <f t="shared" si="150"/>
        <v>3.6276312161987776</v>
      </c>
      <c r="AB285" s="230">
        <f t="shared" si="150"/>
        <v>3.6964964467296055</v>
      </c>
      <c r="AC285" s="230">
        <f t="shared" si="150"/>
        <v>3.7659168482177896</v>
      </c>
      <c r="AD285" s="230">
        <f t="shared" si="150"/>
        <v>3.835880697742593</v>
      </c>
      <c r="AE285" s="230">
        <f t="shared" si="150"/>
        <v>3.9063758158894228</v>
      </c>
      <c r="AF285" s="230">
        <f t="shared" si="150"/>
        <v>3.9773895630439844</v>
      </c>
      <c r="AG285" s="230">
        <f t="shared" si="150"/>
        <v>4.0489088358174037</v>
      </c>
      <c r="AI285" s="214"/>
    </row>
    <row r="286" spans="1:36" outlineLevel="1" x14ac:dyDescent="0.2">
      <c r="A286" s="112" t="s">
        <v>33</v>
      </c>
      <c r="B286" s="302" t="s">
        <v>704</v>
      </c>
      <c r="C286" s="230">
        <f t="shared" ref="C286:AG286" si="151">C255*C$284</f>
        <v>4.2490712567682962</v>
      </c>
      <c r="D286" s="230">
        <f t="shared" si="151"/>
        <v>4.3121230473311893</v>
      </c>
      <c r="E286" s="230">
        <f t="shared" si="151"/>
        <v>4.3616285069536014</v>
      </c>
      <c r="F286" s="230">
        <f t="shared" si="151"/>
        <v>4.3970915663868535</v>
      </c>
      <c r="G286" s="230">
        <f t="shared" si="151"/>
        <v>4.4181349838355999</v>
      </c>
      <c r="H286" s="230">
        <f t="shared" si="151"/>
        <v>4.4245066501096115</v>
      </c>
      <c r="I286" s="230">
        <f t="shared" si="151"/>
        <v>4.4265365790579008</v>
      </c>
      <c r="J286" s="230">
        <f t="shared" si="151"/>
        <v>4.424123740539069</v>
      </c>
      <c r="K286" s="230">
        <f t="shared" si="151"/>
        <v>4.4171735053592522</v>
      </c>
      <c r="L286" s="230">
        <f t="shared" si="151"/>
        <v>4.4055980401084058</v>
      </c>
      <c r="M286" s="230">
        <f t="shared" si="151"/>
        <v>4.3893166927587819</v>
      </c>
      <c r="N286" s="230">
        <f t="shared" si="151"/>
        <v>4.3614145313154546</v>
      </c>
      <c r="O286" s="230">
        <f t="shared" si="151"/>
        <v>4.3219668183662305</v>
      </c>
      <c r="P286" s="230">
        <f t="shared" si="151"/>
        <v>4.2711297655442886</v>
      </c>
      <c r="Q286" s="230">
        <f t="shared" si="151"/>
        <v>4.2091400969403709</v>
      </c>
      <c r="R286" s="230">
        <f t="shared" si="151"/>
        <v>4.1363137311045968</v>
      </c>
      <c r="S286" s="230">
        <f t="shared" si="151"/>
        <v>4.0610533483282909</v>
      </c>
      <c r="T286" s="230">
        <f t="shared" si="151"/>
        <v>3.9833543955339574</v>
      </c>
      <c r="U286" s="230">
        <f t="shared" si="151"/>
        <v>3.9032135873623153</v>
      </c>
      <c r="V286" s="230">
        <f t="shared" si="151"/>
        <v>3.8206289312036268</v>
      </c>
      <c r="W286" s="230">
        <f t="shared" si="151"/>
        <v>3.7355997518259452</v>
      </c>
      <c r="X286" s="230">
        <f t="shared" si="151"/>
        <v>3.6481709189836162</v>
      </c>
      <c r="Y286" s="230">
        <f t="shared" si="151"/>
        <v>3.5583413483004946</v>
      </c>
      <c r="Z286" s="230">
        <f t="shared" si="151"/>
        <v>3.4661111566261642</v>
      </c>
      <c r="AA286" s="230">
        <f t="shared" si="151"/>
        <v>3.3714816837572701</v>
      </c>
      <c r="AB286" s="230">
        <f t="shared" si="151"/>
        <v>3.2744555138352895</v>
      </c>
      <c r="AC286" s="230">
        <f t="shared" si="151"/>
        <v>3.1750696321686571</v>
      </c>
      <c r="AD286" s="230">
        <f t="shared" si="151"/>
        <v>3.0733261012034121</v>
      </c>
      <c r="AE286" s="230">
        <f t="shared" si="151"/>
        <v>2.9692281293357885</v>
      </c>
      <c r="AF286" s="230">
        <f t="shared" si="151"/>
        <v>2.8627800901630716</v>
      </c>
      <c r="AG286" s="230">
        <f t="shared" si="151"/>
        <v>2.7539875414794048</v>
      </c>
      <c r="AI286" s="214"/>
    </row>
    <row r="287" spans="1:36" outlineLevel="1" x14ac:dyDescent="0.2">
      <c r="A287" s="112" t="s">
        <v>451</v>
      </c>
      <c r="B287" s="302" t="s">
        <v>704</v>
      </c>
      <c r="C287" s="230">
        <f t="shared" ref="C287:AG287" si="152">C256*C$284</f>
        <v>0.91871810957152356</v>
      </c>
      <c r="D287" s="230">
        <f t="shared" si="152"/>
        <v>0.95230508985726015</v>
      </c>
      <c r="E287" s="230">
        <f t="shared" si="152"/>
        <v>0.98425043966707604</v>
      </c>
      <c r="F287" s="230">
        <f t="shared" si="152"/>
        <v>1.014324770987832</v>
      </c>
      <c r="G287" s="230">
        <f t="shared" si="152"/>
        <v>1.0423064926654406</v>
      </c>
      <c r="H287" s="230">
        <f t="shared" si="152"/>
        <v>1.0679843638195612</v>
      </c>
      <c r="I287" s="230">
        <f t="shared" si="152"/>
        <v>1.0937426372534234</v>
      </c>
      <c r="J287" s="230">
        <f t="shared" si="152"/>
        <v>1.1195571836359446</v>
      </c>
      <c r="K287" s="230">
        <f t="shared" si="152"/>
        <v>1.1454031425963653</v>
      </c>
      <c r="L287" s="230">
        <f t="shared" si="152"/>
        <v>1.1712549505250407</v>
      </c>
      <c r="M287" s="230">
        <f t="shared" si="152"/>
        <v>1.1970863707523944</v>
      </c>
      <c r="N287" s="230">
        <f t="shared" si="152"/>
        <v>1.2209551898159585</v>
      </c>
      <c r="O287" s="230">
        <f t="shared" si="152"/>
        <v>1.2427185044310824</v>
      </c>
      <c r="P287" s="230">
        <f t="shared" si="152"/>
        <v>1.2622422753135238</v>
      </c>
      <c r="Q287" s="230">
        <f t="shared" si="152"/>
        <v>1.2794025537376621</v>
      </c>
      <c r="R287" s="230">
        <f t="shared" si="152"/>
        <v>1.2940866375624733</v>
      </c>
      <c r="S287" s="230">
        <f t="shared" si="152"/>
        <v>1.3087754866650403</v>
      </c>
      <c r="T287" s="230">
        <f t="shared" si="152"/>
        <v>1.3234650431684585</v>
      </c>
      <c r="U287" s="230">
        <f t="shared" si="152"/>
        <v>1.3381511795734997</v>
      </c>
      <c r="V287" s="230">
        <f t="shared" si="152"/>
        <v>1.3528296993756017</v>
      </c>
      <c r="W287" s="230">
        <f t="shared" si="152"/>
        <v>1.3674963377219962</v>
      </c>
      <c r="X287" s="230">
        <f t="shared" si="152"/>
        <v>1.3821635092226789</v>
      </c>
      <c r="Y287" s="230">
        <f t="shared" si="152"/>
        <v>1.3968274060663817</v>
      </c>
      <c r="Z287" s="230">
        <f t="shared" si="152"/>
        <v>1.4114841573000145</v>
      </c>
      <c r="AA287" s="230">
        <f t="shared" si="152"/>
        <v>1.4261298292689872</v>
      </c>
      <c r="AB287" s="230">
        <f t="shared" si="152"/>
        <v>1.4407604260875255</v>
      </c>
      <c r="AC287" s="230">
        <f t="shared" si="152"/>
        <v>1.455387078896397</v>
      </c>
      <c r="AD287" s="230">
        <f t="shared" si="152"/>
        <v>1.4700061802748516</v>
      </c>
      <c r="AE287" s="230">
        <f t="shared" si="152"/>
        <v>1.484614064667892</v>
      </c>
      <c r="AF287" s="230">
        <f t="shared" si="152"/>
        <v>1.4992070086829958</v>
      </c>
      <c r="AG287" s="230">
        <f t="shared" si="152"/>
        <v>1.5137812314092094</v>
      </c>
      <c r="AI287" s="214"/>
    </row>
    <row r="288" spans="1:36" outlineLevel="1" x14ac:dyDescent="0.2">
      <c r="A288" s="112" t="s">
        <v>452</v>
      </c>
      <c r="B288" s="302" t="s">
        <v>704</v>
      </c>
      <c r="C288" s="230">
        <f t="shared" ref="C288:AG288" si="153">C257*C$284</f>
        <v>3.1006736198038918</v>
      </c>
      <c r="D288" s="230">
        <f t="shared" si="153"/>
        <v>3.2472692077779399</v>
      </c>
      <c r="E288" s="230">
        <f t="shared" si="153"/>
        <v>3.390468679950426</v>
      </c>
      <c r="F288" s="230">
        <f t="shared" si="153"/>
        <v>3.5292944086425928</v>
      </c>
      <c r="G288" s="230">
        <f t="shared" si="153"/>
        <v>3.6627652702455529</v>
      </c>
      <c r="H288" s="230">
        <f t="shared" si="153"/>
        <v>3.7899072455211744</v>
      </c>
      <c r="I288" s="230">
        <f t="shared" si="153"/>
        <v>3.9190182833596592</v>
      </c>
      <c r="J288" s="230">
        <f t="shared" si="153"/>
        <v>4.0500131409680291</v>
      </c>
      <c r="K288" s="230">
        <f t="shared" si="153"/>
        <v>4.1828005850920045</v>
      </c>
      <c r="L288" s="230">
        <f t="shared" si="153"/>
        <v>4.317283389945203</v>
      </c>
      <c r="M288" s="230">
        <f t="shared" si="153"/>
        <v>4.4533583504533487</v>
      </c>
      <c r="N288" s="230">
        <f t="shared" si="153"/>
        <v>4.5837257311052015</v>
      </c>
      <c r="O288" s="230">
        <f t="shared" si="153"/>
        <v>4.707638078362077</v>
      </c>
      <c r="P288" s="230">
        <f t="shared" si="153"/>
        <v>4.824363464728437</v>
      </c>
      <c r="Q288" s="230">
        <f t="shared" si="153"/>
        <v>4.9331918288262955</v>
      </c>
      <c r="R288" s="230">
        <f t="shared" si="153"/>
        <v>5.033441277390228</v>
      </c>
      <c r="S288" s="230">
        <f t="shared" si="153"/>
        <v>5.1345914109195396</v>
      </c>
      <c r="T288" s="230">
        <f t="shared" si="153"/>
        <v>5.2366234143809445</v>
      </c>
      <c r="U288" s="230">
        <f t="shared" si="153"/>
        <v>5.3395176651930285</v>
      </c>
      <c r="V288" s="230">
        <f t="shared" si="153"/>
        <v>5.4432537273207897</v>
      </c>
      <c r="W288" s="230">
        <f t="shared" si="153"/>
        <v>5.5478103457176848</v>
      </c>
      <c r="X288" s="230">
        <f t="shared" si="153"/>
        <v>5.6532339390618143</v>
      </c>
      <c r="Y288" s="230">
        <f t="shared" si="153"/>
        <v>5.7595057035210653</v>
      </c>
      <c r="Z288" s="230">
        <f t="shared" si="153"/>
        <v>5.866606084330793</v>
      </c>
      <c r="AA288" s="230">
        <f t="shared" si="153"/>
        <v>5.9745147701899706</v>
      </c>
      <c r="AB288" s="230">
        <f t="shared" si="153"/>
        <v>6.0832106879250976</v>
      </c>
      <c r="AC288" s="230">
        <f t="shared" si="153"/>
        <v>6.1927366262645611</v>
      </c>
      <c r="AD288" s="230">
        <f t="shared" si="153"/>
        <v>6.3030736581071514</v>
      </c>
      <c r="AE288" s="230">
        <f t="shared" si="153"/>
        <v>6.4142021505699631</v>
      </c>
      <c r="AF288" s="230">
        <f t="shared" si="153"/>
        <v>6.5261017595504951</v>
      </c>
      <c r="AG288" s="230">
        <f t="shared" si="153"/>
        <v>6.6387514244933996</v>
      </c>
      <c r="AI288" s="214"/>
    </row>
    <row r="289" spans="1:36" outlineLevel="1" x14ac:dyDescent="0.2">
      <c r="A289" s="112" t="s">
        <v>1364</v>
      </c>
      <c r="B289" s="302" t="s">
        <v>704</v>
      </c>
      <c r="C289" s="230">
        <f t="shared" ref="C289:AG289" si="154">C258*C$284</f>
        <v>0.80387834587508311</v>
      </c>
      <c r="D289" s="230">
        <f t="shared" si="154"/>
        <v>0.84728601003529846</v>
      </c>
      <c r="E289" s="230">
        <f t="shared" si="154"/>
        <v>0.89016166114528572</v>
      </c>
      <c r="F289" s="230">
        <f t="shared" si="154"/>
        <v>0.93221878080824405</v>
      </c>
      <c r="G289" s="230">
        <f t="shared" si="154"/>
        <v>0.97316510011715263</v>
      </c>
      <c r="H289" s="230">
        <f t="shared" si="154"/>
        <v>1.0127056700400807</v>
      </c>
      <c r="I289" s="230">
        <f t="shared" si="154"/>
        <v>1.0530326135343131</v>
      </c>
      <c r="J289" s="230">
        <f t="shared" si="154"/>
        <v>1.0941232120952682</v>
      </c>
      <c r="K289" s="230">
        <f t="shared" si="154"/>
        <v>1.135952621617847</v>
      </c>
      <c r="L289" s="230">
        <f t="shared" si="154"/>
        <v>1.1784938562761222</v>
      </c>
      <c r="M289" s="230">
        <f t="shared" si="154"/>
        <v>1.2217177775579988</v>
      </c>
      <c r="N289" s="230">
        <f t="shared" si="154"/>
        <v>1.2636108376311477</v>
      </c>
      <c r="O289" s="230">
        <f t="shared" si="154"/>
        <v>1.303936164747884</v>
      </c>
      <c r="P289" s="230">
        <f t="shared" si="154"/>
        <v>1.3424585740726853</v>
      </c>
      <c r="Q289" s="230">
        <f t="shared" si="154"/>
        <v>1.3789465689752354</v>
      </c>
      <c r="R289" s="230">
        <f t="shared" si="154"/>
        <v>1.4131743649455222</v>
      </c>
      <c r="S289" s="230">
        <f t="shared" si="154"/>
        <v>1.4477794190722741</v>
      </c>
      <c r="T289" s="230">
        <f t="shared" si="154"/>
        <v>1.4827560214363871</v>
      </c>
      <c r="U289" s="230">
        <f t="shared" si="154"/>
        <v>1.5180981597117442</v>
      </c>
      <c r="V289" s="230">
        <f t="shared" si="154"/>
        <v>1.55379951633616</v>
      </c>
      <c r="W289" s="230">
        <f t="shared" si="154"/>
        <v>1.5898534658068724</v>
      </c>
      <c r="X289" s="230">
        <f t="shared" si="154"/>
        <v>1.6262727769903857</v>
      </c>
      <c r="Y289" s="230">
        <f t="shared" si="154"/>
        <v>1.6630516075469963</v>
      </c>
      <c r="Z289" s="230">
        <f t="shared" si="154"/>
        <v>1.7001838330539651</v>
      </c>
      <c r="AA289" s="230">
        <f t="shared" si="154"/>
        <v>1.7376630444005603</v>
      </c>
      <c r="AB289" s="230">
        <f t="shared" si="154"/>
        <v>1.7754825452795753</v>
      </c>
      <c r="AC289" s="230">
        <f t="shared" si="154"/>
        <v>1.8136542774947817</v>
      </c>
      <c r="AD289" s="230">
        <f t="shared" si="154"/>
        <v>1.8521722368154698</v>
      </c>
      <c r="AE289" s="230">
        <f t="shared" si="154"/>
        <v>1.8910301532243177</v>
      </c>
      <c r="AF289" s="230">
        <f t="shared" si="154"/>
        <v>1.930221488461177</v>
      </c>
      <c r="AG289" s="230">
        <f t="shared" si="154"/>
        <v>1.9697394336408989</v>
      </c>
      <c r="AI289" s="214"/>
    </row>
    <row r="290" spans="1:36" outlineLevel="1" x14ac:dyDescent="0.2">
      <c r="A290" s="112" t="s">
        <v>1365</v>
      </c>
      <c r="B290" s="302" t="s">
        <v>704</v>
      </c>
      <c r="C290" s="230">
        <f t="shared" ref="C290:AG290" si="155">C259*C$284</f>
        <v>0.57419881848220222</v>
      </c>
      <c r="D290" s="230">
        <f t="shared" si="155"/>
        <v>0.60316618675104039</v>
      </c>
      <c r="E290" s="230">
        <f t="shared" si="155"/>
        <v>0.63162206103323593</v>
      </c>
      <c r="F290" s="230">
        <f t="shared" si="155"/>
        <v>0.6593742595960751</v>
      </c>
      <c r="G290" s="230">
        <f t="shared" si="155"/>
        <v>0.6862283210417579</v>
      </c>
      <c r="H290" s="230">
        <f t="shared" si="155"/>
        <v>0.71198957587970746</v>
      </c>
      <c r="I290" s="230">
        <f t="shared" si="155"/>
        <v>0.73820843010652903</v>
      </c>
      <c r="J290" s="230">
        <f t="shared" si="155"/>
        <v>0.76486888960506094</v>
      </c>
      <c r="K290" s="230">
        <f t="shared" si="155"/>
        <v>0.79195365799979722</v>
      </c>
      <c r="L290" s="230">
        <f t="shared" si="155"/>
        <v>0.81944413102246372</v>
      </c>
      <c r="M290" s="230">
        <f t="shared" si="155"/>
        <v>0.84732039411280602</v>
      </c>
      <c r="N290" s="230">
        <f t="shared" si="155"/>
        <v>0.8741898646360049</v>
      </c>
      <c r="O290" s="230">
        <f t="shared" si="155"/>
        <v>0.89989960665699087</v>
      </c>
      <c r="P290" s="230">
        <f t="shared" si="155"/>
        <v>0.92429877150879614</v>
      </c>
      <c r="Q290" s="230">
        <f t="shared" si="155"/>
        <v>0.94723989236596784</v>
      </c>
      <c r="R290" s="230">
        <f t="shared" si="155"/>
        <v>0.96858018271547086</v>
      </c>
      <c r="S290" s="230">
        <f t="shared" si="155"/>
        <v>0.9901357031469179</v>
      </c>
      <c r="T290" s="230">
        <f t="shared" si="155"/>
        <v>1.0119026890647456</v>
      </c>
      <c r="U290" s="230">
        <f t="shared" si="155"/>
        <v>1.0338771949761025</v>
      </c>
      <c r="V290" s="230">
        <f t="shared" si="155"/>
        <v>1.0560550929598715</v>
      </c>
      <c r="W290" s="230">
        <f t="shared" si="155"/>
        <v>1.0784320712116557</v>
      </c>
      <c r="X290" s="230">
        <f t="shared" si="155"/>
        <v>1.1010169732419393</v>
      </c>
      <c r="Y290" s="230">
        <f t="shared" si="155"/>
        <v>1.1238059909309412</v>
      </c>
      <c r="Z290" s="230">
        <f t="shared" si="155"/>
        <v>1.1467951476483715</v>
      </c>
      <c r="AA290" s="230">
        <f t="shared" si="155"/>
        <v>1.1699802968274702</v>
      </c>
      <c r="AB290" s="230">
        <f t="shared" si="155"/>
        <v>1.1933571205977485</v>
      </c>
      <c r="AC290" s="230">
        <f t="shared" si="155"/>
        <v>1.2169338286817331</v>
      </c>
      <c r="AD290" s="230">
        <f t="shared" si="155"/>
        <v>1.2407065463504794</v>
      </c>
      <c r="AE290" s="230">
        <f t="shared" si="155"/>
        <v>1.2646712402726488</v>
      </c>
      <c r="AF290" s="230">
        <f t="shared" si="155"/>
        <v>1.2888237171549035</v>
      </c>
      <c r="AG290" s="230">
        <f t="shared" si="155"/>
        <v>1.3131596224272659</v>
      </c>
      <c r="AI290" s="214"/>
    </row>
    <row r="291" spans="1:36" s="58" customFormat="1" x14ac:dyDescent="0.2">
      <c r="A291" s="58" t="s">
        <v>1366</v>
      </c>
      <c r="B291" s="303"/>
      <c r="C291" s="304">
        <f>C47</f>
        <v>12.673879407338728</v>
      </c>
      <c r="D291" s="304">
        <f t="shared" ref="D291:AG291" si="156">D47</f>
        <v>13.095613689169113</v>
      </c>
      <c r="E291" s="304">
        <f t="shared" si="156"/>
        <v>13.496008805688639</v>
      </c>
      <c r="F291" s="304">
        <f t="shared" si="156"/>
        <v>13.872310960636037</v>
      </c>
      <c r="G291" s="304">
        <f t="shared" si="156"/>
        <v>14.221879767823488</v>
      </c>
      <c r="H291" s="304">
        <f t="shared" si="156"/>
        <v>14.542219115347505</v>
      </c>
      <c r="I291" s="304">
        <f t="shared" si="156"/>
        <v>14.777602248891263</v>
      </c>
      <c r="J291" s="304">
        <f t="shared" si="156"/>
        <v>15.009407404653139</v>
      </c>
      <c r="K291" s="304">
        <f t="shared" si="156"/>
        <v>15.237333391722261</v>
      </c>
      <c r="L291" s="304">
        <f t="shared" si="156"/>
        <v>15.461079330077968</v>
      </c>
      <c r="M291" s="304">
        <f t="shared" si="156"/>
        <v>15.680345267407347</v>
      </c>
      <c r="N291" s="304">
        <f t="shared" si="156"/>
        <v>15.867151743330451</v>
      </c>
      <c r="O291" s="304">
        <f t="shared" si="156"/>
        <v>16.025124211913962</v>
      </c>
      <c r="P291" s="304">
        <f t="shared" si="156"/>
        <v>16.152734315361887</v>
      </c>
      <c r="Q291" s="304">
        <f t="shared" si="156"/>
        <v>16.249703976237051</v>
      </c>
      <c r="R291" s="304">
        <f t="shared" si="156"/>
        <v>16.315397029802764</v>
      </c>
      <c r="S291" s="304">
        <f t="shared" si="156"/>
        <v>16.400010617352365</v>
      </c>
      <c r="T291" s="304">
        <f t="shared" si="156"/>
        <v>16.482754426640131</v>
      </c>
      <c r="U291" s="304">
        <f t="shared" si="156"/>
        <v>16.56358887131303</v>
      </c>
      <c r="V291" s="304">
        <f t="shared" si="156"/>
        <v>16.642474777309932</v>
      </c>
      <c r="W291" s="304">
        <f t="shared" si="156"/>
        <v>16.719373407904872</v>
      </c>
      <c r="X291" s="304">
        <f t="shared" si="156"/>
        <v>16.794448212715615</v>
      </c>
      <c r="Y291" s="304">
        <f t="shared" si="156"/>
        <v>16.867647689179528</v>
      </c>
      <c r="Z291" s="304">
        <f t="shared" si="156"/>
        <v>16.936643008427041</v>
      </c>
      <c r="AA291" s="304">
        <f t="shared" si="156"/>
        <v>17.003586833233697</v>
      </c>
      <c r="AB291" s="304">
        <f t="shared" si="156"/>
        <v>17.068443500453569</v>
      </c>
      <c r="AC291" s="304">
        <f t="shared" si="156"/>
        <v>17.118778525275452</v>
      </c>
      <c r="AD291" s="304">
        <f t="shared" si="156"/>
        <v>17.166880100354188</v>
      </c>
      <c r="AE291" s="304">
        <f t="shared" si="156"/>
        <v>17.212715851561928</v>
      </c>
      <c r="AF291" s="304">
        <f t="shared" si="156"/>
        <v>17.256253906567405</v>
      </c>
      <c r="AG291" s="304">
        <f t="shared" si="156"/>
        <v>17.297462914344784</v>
      </c>
      <c r="AI291" s="305"/>
      <c r="AJ291" s="306"/>
    </row>
    <row r="292" spans="1:36" s="58" customFormat="1" x14ac:dyDescent="0.2">
      <c r="A292" s="307" t="s">
        <v>3</v>
      </c>
      <c r="B292" s="308" t="s">
        <v>704</v>
      </c>
      <c r="C292" s="309">
        <f>C291-C281</f>
        <v>0</v>
      </c>
      <c r="D292" s="309">
        <f t="shared" ref="D292:AF292" si="157">D291-D281</f>
        <v>-3.1131619299777924E-3</v>
      </c>
      <c r="E292" s="309">
        <f t="shared" si="157"/>
        <v>-6.4182179306602194E-3</v>
      </c>
      <c r="F292" s="309">
        <f t="shared" si="157"/>
        <v>-9.8981142107437137E-3</v>
      </c>
      <c r="G292" s="309">
        <f t="shared" si="157"/>
        <v>-1.3533268209990013E-2</v>
      </c>
      <c r="H292" s="309">
        <f t="shared" si="157"/>
        <v>-1.730173724221018E-2</v>
      </c>
      <c r="I292" s="309">
        <f t="shared" si="157"/>
        <v>-0.10662699656326424</v>
      </c>
      <c r="J292" s="309">
        <f t="shared" si="157"/>
        <v>-0.19983681661743624</v>
      </c>
      <c r="K292" s="309">
        <f t="shared" si="157"/>
        <v>-0.29693093105372625</v>
      </c>
      <c r="L292" s="309">
        <f t="shared" si="157"/>
        <v>-0.39790169076337456</v>
      </c>
      <c r="M292" s="309">
        <f t="shared" si="157"/>
        <v>-0.50273386559513966</v>
      </c>
      <c r="N292" s="309">
        <f t="shared" si="157"/>
        <v>-0.61546855464623995</v>
      </c>
      <c r="O292" s="309">
        <f t="shared" si="157"/>
        <v>-0.73081899469710976</v>
      </c>
      <c r="P292" s="309">
        <f t="shared" si="157"/>
        <v>-0.84876957548519627</v>
      </c>
      <c r="Q292" s="309">
        <f t="shared" si="157"/>
        <v>-0.96818609745173134</v>
      </c>
      <c r="R292" s="309">
        <f t="shared" si="157"/>
        <v>-1.088437518341248</v>
      </c>
      <c r="S292" s="309">
        <f t="shared" si="157"/>
        <v>-1.1898509214572819</v>
      </c>
      <c r="T292" s="309">
        <f t="shared" si="157"/>
        <v>-1.2931751726928802</v>
      </c>
      <c r="U292" s="309">
        <f t="shared" si="157"/>
        <v>-1.3984079144647978</v>
      </c>
      <c r="V292" s="309">
        <f t="shared" si="157"/>
        <v>-1.5055458925468663</v>
      </c>
      <c r="W292" s="309">
        <f t="shared" si="157"/>
        <v>-1.6145849446987981</v>
      </c>
      <c r="X292" s="309">
        <f t="shared" si="157"/>
        <v>-1.725522250098777</v>
      </c>
      <c r="Y292" s="309">
        <f t="shared" si="157"/>
        <v>-1.8383719664293672</v>
      </c>
      <c r="Z292" s="309">
        <f t="shared" si="157"/>
        <v>-1.955425155644491</v>
      </c>
      <c r="AA292" s="309">
        <f t="shared" si="157"/>
        <v>-2.0744909768084234</v>
      </c>
      <c r="AB292" s="309">
        <f t="shared" si="157"/>
        <v>-2.1955665147893235</v>
      </c>
      <c r="AC292" s="309">
        <f t="shared" si="157"/>
        <v>-2.3312311707254771</v>
      </c>
      <c r="AD292" s="309">
        <f t="shared" si="157"/>
        <v>-2.4691629248682041</v>
      </c>
      <c r="AE292" s="309">
        <f t="shared" si="157"/>
        <v>-2.609359963125506</v>
      </c>
      <c r="AF292" s="309">
        <f t="shared" si="157"/>
        <v>-2.7518196173707707</v>
      </c>
      <c r="AG292" s="309">
        <f>AG291-AG281</f>
        <v>-2.8965383550822708</v>
      </c>
      <c r="AI292" s="305"/>
      <c r="AJ292" s="306"/>
    </row>
    <row r="293" spans="1:36" x14ac:dyDescent="0.2">
      <c r="A293" s="310" t="s">
        <v>51</v>
      </c>
      <c r="B293" s="302" t="s">
        <v>704</v>
      </c>
      <c r="C293" s="249">
        <f>C249</f>
        <v>1.1899030376946831</v>
      </c>
      <c r="D293" s="249">
        <f t="shared" ref="D293:AG293" si="158">D249</f>
        <v>1.2832138051892112</v>
      </c>
      <c r="E293" s="249">
        <f t="shared" si="158"/>
        <v>1.3776355273533616</v>
      </c>
      <c r="F293" s="249">
        <f t="shared" si="158"/>
        <v>1.4726001445686854</v>
      </c>
      <c r="G293" s="249">
        <f t="shared" si="158"/>
        <v>1.5675090695001979</v>
      </c>
      <c r="H293" s="249">
        <f t="shared" si="158"/>
        <v>1.6617393334988022</v>
      </c>
      <c r="I293" s="249">
        <f t="shared" si="158"/>
        <v>1.7469225352792939</v>
      </c>
      <c r="J293" s="249">
        <f t="shared" si="158"/>
        <v>1.8332207668502147</v>
      </c>
      <c r="K293" s="249">
        <f t="shared" si="158"/>
        <v>1.9205356611807338</v>
      </c>
      <c r="L293" s="249">
        <f t="shared" si="158"/>
        <v>2.0087643004214062</v>
      </c>
      <c r="M293" s="249">
        <f t="shared" si="158"/>
        <v>2.0977993672335775</v>
      </c>
      <c r="N293" s="249">
        <f t="shared" si="158"/>
        <v>2.2582110064054164</v>
      </c>
      <c r="O293" s="249">
        <f t="shared" si="158"/>
        <v>2.4167281141895853</v>
      </c>
      <c r="P293" s="249">
        <f t="shared" si="158"/>
        <v>2.5723824208480552</v>
      </c>
      <c r="Q293" s="249">
        <f t="shared" si="158"/>
        <v>2.7242941211949931</v>
      </c>
      <c r="R293" s="249">
        <f t="shared" si="158"/>
        <v>2.8715576356524481</v>
      </c>
      <c r="S293" s="249">
        <f t="shared" si="158"/>
        <v>3.0241496115820539</v>
      </c>
      <c r="T293" s="249">
        <f t="shared" si="158"/>
        <v>3.1771732813247522</v>
      </c>
      <c r="U293" s="249">
        <f t="shared" si="158"/>
        <v>3.3305613881366831</v>
      </c>
      <c r="V293" s="249">
        <f t="shared" si="158"/>
        <v>3.4842457383399701</v>
      </c>
      <c r="W293" s="249">
        <f t="shared" si="158"/>
        <v>3.6381572380961731</v>
      </c>
      <c r="X293" s="249">
        <f t="shared" si="158"/>
        <v>3.8920303858352137</v>
      </c>
      <c r="Y293" s="249">
        <f t="shared" si="158"/>
        <v>4.1464970662259306</v>
      </c>
      <c r="Z293" s="249">
        <f t="shared" si="158"/>
        <v>4.4009105179430605</v>
      </c>
      <c r="AA293" s="249">
        <f t="shared" si="158"/>
        <v>4.6555752114263536</v>
      </c>
      <c r="AB293" s="249">
        <f t="shared" si="158"/>
        <v>4.9103702825704429</v>
      </c>
      <c r="AC293" s="249">
        <f t="shared" si="158"/>
        <v>5.1601751784010812</v>
      </c>
      <c r="AD293" s="249">
        <f t="shared" si="158"/>
        <v>5.4093473173012692</v>
      </c>
      <c r="AE293" s="249">
        <f t="shared" si="158"/>
        <v>5.6577546540825789</v>
      </c>
      <c r="AF293" s="249">
        <f t="shared" si="158"/>
        <v>5.9052636331248767</v>
      </c>
      <c r="AG293" s="249">
        <f t="shared" si="158"/>
        <v>6.1517392427588131</v>
      </c>
      <c r="AI293" s="296"/>
    </row>
    <row r="294" spans="1:36" s="68" customFormat="1" x14ac:dyDescent="0.2">
      <c r="A294" s="311" t="s">
        <v>1387</v>
      </c>
      <c r="B294" s="312" t="s">
        <v>704</v>
      </c>
      <c r="C294" s="313">
        <f>C291-C293</f>
        <v>11.483976369644044</v>
      </c>
      <c r="D294" s="313">
        <f t="shared" ref="D294:AG294" si="159">D291-D293</f>
        <v>11.812399883979902</v>
      </c>
      <c r="E294" s="313">
        <f t="shared" si="159"/>
        <v>12.118373278335277</v>
      </c>
      <c r="F294" s="313">
        <f t="shared" si="159"/>
        <v>12.399710816067351</v>
      </c>
      <c r="G294" s="313">
        <f t="shared" si="159"/>
        <v>12.654370698323291</v>
      </c>
      <c r="H294" s="313">
        <f t="shared" si="159"/>
        <v>12.880479781848702</v>
      </c>
      <c r="I294" s="313">
        <f t="shared" si="159"/>
        <v>13.030679713611969</v>
      </c>
      <c r="J294" s="313">
        <f t="shared" si="159"/>
        <v>13.176186637802925</v>
      </c>
      <c r="K294" s="313">
        <f t="shared" si="159"/>
        <v>13.316797730541527</v>
      </c>
      <c r="L294" s="313">
        <f t="shared" si="159"/>
        <v>13.452315029656562</v>
      </c>
      <c r="M294" s="313">
        <f t="shared" si="159"/>
        <v>13.58254590017377</v>
      </c>
      <c r="N294" s="313">
        <f t="shared" si="159"/>
        <v>13.608940736925035</v>
      </c>
      <c r="O294" s="313">
        <f t="shared" si="159"/>
        <v>13.608396097724377</v>
      </c>
      <c r="P294" s="313">
        <f t="shared" si="159"/>
        <v>13.580351894513832</v>
      </c>
      <c r="Q294" s="313">
        <f t="shared" si="159"/>
        <v>13.525409855042057</v>
      </c>
      <c r="R294" s="313">
        <f t="shared" si="159"/>
        <v>13.443839394150316</v>
      </c>
      <c r="S294" s="313">
        <f t="shared" si="159"/>
        <v>13.375861005770311</v>
      </c>
      <c r="T294" s="313">
        <f t="shared" si="159"/>
        <v>13.305581145315379</v>
      </c>
      <c r="U294" s="313">
        <f t="shared" si="159"/>
        <v>13.233027483176347</v>
      </c>
      <c r="V294" s="313">
        <f t="shared" si="159"/>
        <v>13.158229038969962</v>
      </c>
      <c r="W294" s="313">
        <f t="shared" si="159"/>
        <v>13.081216169808698</v>
      </c>
      <c r="X294" s="313">
        <f t="shared" si="159"/>
        <v>12.902417826880402</v>
      </c>
      <c r="Y294" s="313">
        <f t="shared" si="159"/>
        <v>12.721150622953598</v>
      </c>
      <c r="Z294" s="313">
        <f t="shared" si="159"/>
        <v>12.53573249048398</v>
      </c>
      <c r="AA294" s="313">
        <f t="shared" si="159"/>
        <v>12.348011621807345</v>
      </c>
      <c r="AB294" s="313">
        <f t="shared" si="159"/>
        <v>12.158073217883125</v>
      </c>
      <c r="AC294" s="313">
        <f t="shared" si="159"/>
        <v>11.958603346874371</v>
      </c>
      <c r="AD294" s="313">
        <f t="shared" si="159"/>
        <v>11.75753278305292</v>
      </c>
      <c r="AE294" s="313">
        <f t="shared" si="159"/>
        <v>11.554961197479349</v>
      </c>
      <c r="AF294" s="313">
        <f t="shared" si="159"/>
        <v>11.350990273442529</v>
      </c>
      <c r="AG294" s="313">
        <f t="shared" si="159"/>
        <v>11.145723671585971</v>
      </c>
      <c r="AI294" s="314"/>
      <c r="AJ294" s="315"/>
    </row>
    <row r="295" spans="1:36" s="58" customFormat="1" outlineLevel="1" x14ac:dyDescent="0.2">
      <c r="A295" s="307" t="s">
        <v>1367</v>
      </c>
      <c r="B295" s="308" t="s">
        <v>462</v>
      </c>
      <c r="C295" s="309">
        <f>C291*C261</f>
        <v>10.646058702164531</v>
      </c>
      <c r="D295" s="309">
        <f t="shared" ref="D295:AG295" si="160">D291*D261</f>
        <v>11.052697953658731</v>
      </c>
      <c r="E295" s="309">
        <f t="shared" si="160"/>
        <v>11.444615467223965</v>
      </c>
      <c r="F295" s="309">
        <f t="shared" si="160"/>
        <v>11.819208938461903</v>
      </c>
      <c r="G295" s="309">
        <f t="shared" si="160"/>
        <v>12.173929081256905</v>
      </c>
      <c r="H295" s="309">
        <f t="shared" si="160"/>
        <v>12.506308439198854</v>
      </c>
      <c r="I295" s="309">
        <f t="shared" si="160"/>
        <v>12.767848343042051</v>
      </c>
      <c r="J295" s="309">
        <f t="shared" si="160"/>
        <v>13.028165627238925</v>
      </c>
      <c r="K295" s="309">
        <f t="shared" si="160"/>
        <v>13.286954717581812</v>
      </c>
      <c r="L295" s="309">
        <f t="shared" si="160"/>
        <v>13.5439054931483</v>
      </c>
      <c r="M295" s="309">
        <f t="shared" si="160"/>
        <v>13.798703835318465</v>
      </c>
      <c r="N295" s="309">
        <f t="shared" si="160"/>
        <v>14.026562141104119</v>
      </c>
      <c r="O295" s="309">
        <f t="shared" si="160"/>
        <v>14.230310300179598</v>
      </c>
      <c r="P295" s="309">
        <f t="shared" si="160"/>
        <v>14.408239009302804</v>
      </c>
      <c r="Q295" s="309">
        <f t="shared" si="160"/>
        <v>14.559734762708398</v>
      </c>
      <c r="R295" s="309">
        <f t="shared" si="160"/>
        <v>14.683857326822487</v>
      </c>
      <c r="S295" s="309">
        <f t="shared" si="160"/>
        <v>14.825609598086539</v>
      </c>
      <c r="T295" s="309">
        <f t="shared" si="160"/>
        <v>14.96634101938924</v>
      </c>
      <c r="U295" s="309">
        <f t="shared" si="160"/>
        <v>15.105993050637483</v>
      </c>
      <c r="V295" s="309">
        <f t="shared" si="160"/>
        <v>15.244506896015899</v>
      </c>
      <c r="W295" s="309">
        <f t="shared" si="160"/>
        <v>15.381823535272483</v>
      </c>
      <c r="X295" s="309">
        <f t="shared" si="160"/>
        <v>15.51807014854923</v>
      </c>
      <c r="Y295" s="309">
        <f t="shared" si="160"/>
        <v>15.653177055558603</v>
      </c>
      <c r="Z295" s="309">
        <f t="shared" si="160"/>
        <v>15.784951283854003</v>
      </c>
      <c r="AA295" s="309">
        <f t="shared" si="160"/>
        <v>15.915357275906741</v>
      </c>
      <c r="AB295" s="309">
        <f t="shared" si="160"/>
        <v>16.044336890426354</v>
      </c>
      <c r="AC295" s="309">
        <f t="shared" si="160"/>
        <v>16.160126927860027</v>
      </c>
      <c r="AD295" s="309">
        <f t="shared" si="160"/>
        <v>16.274202335135772</v>
      </c>
      <c r="AE295" s="309">
        <f t="shared" si="160"/>
        <v>16.386505490686957</v>
      </c>
      <c r="AF295" s="309">
        <f t="shared" si="160"/>
        <v>16.496978734678439</v>
      </c>
      <c r="AG295" s="309">
        <f t="shared" si="160"/>
        <v>16.605564397770991</v>
      </c>
      <c r="AI295" s="305"/>
      <c r="AJ295" s="339" t="s">
        <v>1363</v>
      </c>
    </row>
    <row r="296" spans="1:36" s="58" customFormat="1" outlineLevel="1" x14ac:dyDescent="0.2">
      <c r="A296" s="307" t="s">
        <v>1368</v>
      </c>
      <c r="B296" s="308" t="s">
        <v>462</v>
      </c>
      <c r="C296" s="309">
        <f>C295*C262</f>
        <v>2.3421329144761969</v>
      </c>
      <c r="D296" s="309">
        <f t="shared" ref="D296:AG296" si="161">D295*D262</f>
        <v>2.5052782028293121</v>
      </c>
      <c r="E296" s="309">
        <f t="shared" si="161"/>
        <v>2.6704102756855916</v>
      </c>
      <c r="F296" s="309">
        <f t="shared" si="161"/>
        <v>2.8366101452308565</v>
      </c>
      <c r="G296" s="309">
        <f t="shared" si="161"/>
        <v>3.0029025067100359</v>
      </c>
      <c r="H296" s="309">
        <f t="shared" si="161"/>
        <v>3.1682648045970425</v>
      </c>
      <c r="I296" s="309">
        <f t="shared" si="161"/>
        <v>3.3196405691909328</v>
      </c>
      <c r="J296" s="309">
        <f t="shared" si="161"/>
        <v>3.4741775005970461</v>
      </c>
      <c r="K296" s="309">
        <f t="shared" si="161"/>
        <v>3.6317676228056945</v>
      </c>
      <c r="L296" s="309">
        <f t="shared" si="161"/>
        <v>3.7922935380815228</v>
      </c>
      <c r="M296" s="309">
        <f t="shared" si="161"/>
        <v>3.9556284327912921</v>
      </c>
      <c r="N296" s="309">
        <f t="shared" si="161"/>
        <v>4.1144582280572068</v>
      </c>
      <c r="O296" s="309">
        <f t="shared" si="161"/>
        <v>4.2690930900538779</v>
      </c>
      <c r="P296" s="309">
        <f t="shared" si="161"/>
        <v>4.4185266295195245</v>
      </c>
      <c r="Q296" s="309">
        <f t="shared" si="161"/>
        <v>4.5620502256486297</v>
      </c>
      <c r="R296" s="309">
        <f t="shared" si="161"/>
        <v>4.6988343445831937</v>
      </c>
      <c r="S296" s="309">
        <f t="shared" si="161"/>
        <v>4.8430324687082669</v>
      </c>
      <c r="T296" s="309">
        <f t="shared" si="161"/>
        <v>4.9887803397964108</v>
      </c>
      <c r="U296" s="309">
        <f t="shared" si="161"/>
        <v>5.1360376372167416</v>
      </c>
      <c r="V296" s="309">
        <f t="shared" si="161"/>
        <v>5.2847623906188419</v>
      </c>
      <c r="W296" s="309">
        <f t="shared" si="161"/>
        <v>5.4349109824629407</v>
      </c>
      <c r="X296" s="309">
        <f t="shared" si="161"/>
        <v>5.5865052534777186</v>
      </c>
      <c r="Y296" s="309">
        <f t="shared" si="161"/>
        <v>5.7394982537048174</v>
      </c>
      <c r="Z296" s="309">
        <f t="shared" si="161"/>
        <v>5.8930484793054907</v>
      </c>
      <c r="AA296" s="309">
        <f t="shared" si="161"/>
        <v>6.0478357648445575</v>
      </c>
      <c r="AB296" s="309">
        <f t="shared" si="161"/>
        <v>6.2038102642981858</v>
      </c>
      <c r="AC296" s="309">
        <f t="shared" si="161"/>
        <v>6.3563165916249389</v>
      </c>
      <c r="AD296" s="309">
        <f t="shared" si="161"/>
        <v>6.5096809340543036</v>
      </c>
      <c r="AE296" s="309">
        <f t="shared" si="161"/>
        <v>6.6638455662126903</v>
      </c>
      <c r="AF296" s="309">
        <f t="shared" si="161"/>
        <v>6.8187512103337493</v>
      </c>
      <c r="AG296" s="309">
        <f t="shared" si="161"/>
        <v>6.9743370470638162</v>
      </c>
      <c r="AI296" s="305"/>
      <c r="AJ296" s="339" t="s">
        <v>1363</v>
      </c>
    </row>
    <row r="297" spans="1:36" s="62" customFormat="1" outlineLevel="1" x14ac:dyDescent="0.2">
      <c r="A297" s="311" t="s">
        <v>1369</v>
      </c>
      <c r="B297" s="312" t="s">
        <v>462</v>
      </c>
      <c r="C297" s="313">
        <f>C295*C263</f>
        <v>8.3039257876883337</v>
      </c>
      <c r="D297" s="313">
        <f t="shared" ref="D297:AG297" si="162">D295*D263</f>
        <v>8.5474197508294179</v>
      </c>
      <c r="E297" s="313">
        <f t="shared" si="162"/>
        <v>8.774205191538373</v>
      </c>
      <c r="F297" s="313">
        <f t="shared" si="162"/>
        <v>8.9825987932310465</v>
      </c>
      <c r="G297" s="313">
        <f t="shared" si="162"/>
        <v>9.1710265745468682</v>
      </c>
      <c r="H297" s="313">
        <f t="shared" si="162"/>
        <v>9.3380436346018119</v>
      </c>
      <c r="I297" s="313">
        <f t="shared" si="162"/>
        <v>9.4482077738511165</v>
      </c>
      <c r="J297" s="313">
        <f t="shared" si="162"/>
        <v>9.5539881266418796</v>
      </c>
      <c r="K297" s="313">
        <f t="shared" si="162"/>
        <v>9.6551870947761191</v>
      </c>
      <c r="L297" s="313">
        <f t="shared" si="162"/>
        <v>9.7516119550667764</v>
      </c>
      <c r="M297" s="313">
        <f t="shared" si="162"/>
        <v>9.8430754025271714</v>
      </c>
      <c r="N297" s="313">
        <f t="shared" si="162"/>
        <v>9.9121039130469129</v>
      </c>
      <c r="O297" s="313">
        <f t="shared" si="162"/>
        <v>9.9612172101257208</v>
      </c>
      <c r="P297" s="313">
        <f t="shared" si="162"/>
        <v>9.9897123797832794</v>
      </c>
      <c r="Q297" s="313">
        <f t="shared" si="162"/>
        <v>9.9976845370597687</v>
      </c>
      <c r="R297" s="313">
        <f t="shared" si="162"/>
        <v>9.9850229822392933</v>
      </c>
      <c r="S297" s="313">
        <f t="shared" si="162"/>
        <v>9.9825771293782726</v>
      </c>
      <c r="T297" s="313">
        <f t="shared" si="162"/>
        <v>9.9775606795928304</v>
      </c>
      <c r="U297" s="313">
        <f t="shared" si="162"/>
        <v>9.9699554134207418</v>
      </c>
      <c r="V297" s="313">
        <f t="shared" si="162"/>
        <v>9.9597445053970581</v>
      </c>
      <c r="W297" s="313">
        <f t="shared" si="162"/>
        <v>9.9469125528095432</v>
      </c>
      <c r="X297" s="313">
        <f t="shared" si="162"/>
        <v>9.9315648950715101</v>
      </c>
      <c r="Y297" s="313">
        <f t="shared" si="162"/>
        <v>9.9136788018537843</v>
      </c>
      <c r="Z297" s="313">
        <f t="shared" si="162"/>
        <v>9.8919028045485131</v>
      </c>
      <c r="AA297" s="313">
        <f t="shared" si="162"/>
        <v>9.8675215110621846</v>
      </c>
      <c r="AB297" s="313">
        <f t="shared" si="162"/>
        <v>9.8405266261281685</v>
      </c>
      <c r="AC297" s="313">
        <f t="shared" si="162"/>
        <v>9.8038103362350864</v>
      </c>
      <c r="AD297" s="313">
        <f t="shared" si="162"/>
        <v>9.7645214010814687</v>
      </c>
      <c r="AE297" s="313">
        <f t="shared" si="162"/>
        <v>9.722659924474268</v>
      </c>
      <c r="AF297" s="313">
        <f t="shared" si="162"/>
        <v>9.67822752434469</v>
      </c>
      <c r="AG297" s="313">
        <f t="shared" si="162"/>
        <v>9.6312273507071762</v>
      </c>
      <c r="AI297" s="342"/>
      <c r="AJ297" s="341" t="s">
        <v>1363</v>
      </c>
    </row>
    <row r="298" spans="1:36" s="1" customFormat="1" outlineLevel="1" x14ac:dyDescent="0.2">
      <c r="A298" t="s">
        <v>1370</v>
      </c>
      <c r="B298" s="302" t="s">
        <v>704</v>
      </c>
      <c r="C298" s="249">
        <f>C264*C295</f>
        <v>10.113755767056304</v>
      </c>
      <c r="D298" s="249">
        <f t="shared" ref="D298:AG298" si="163">D264*D295</f>
        <v>10.4447995662075</v>
      </c>
      <c r="E298" s="249">
        <f t="shared" si="163"/>
        <v>10.757938539190526</v>
      </c>
      <c r="F298" s="249">
        <f t="shared" si="163"/>
        <v>11.050960357461879</v>
      </c>
      <c r="G298" s="249">
        <f t="shared" si="163"/>
        <v>11.32175404556892</v>
      </c>
      <c r="H298" s="249">
        <f t="shared" si="163"/>
        <v>11.568335306258939</v>
      </c>
      <c r="I298" s="249">
        <f t="shared" si="163"/>
        <v>11.746420475598686</v>
      </c>
      <c r="J298" s="249">
        <f t="shared" si="163"/>
        <v>11.920771548923616</v>
      </c>
      <c r="K298" s="249">
        <f t="shared" si="163"/>
        <v>12.091128792999449</v>
      </c>
      <c r="L298" s="249">
        <f t="shared" si="163"/>
        <v>12.25723447129921</v>
      </c>
      <c r="M298" s="249">
        <f t="shared" si="163"/>
        <v>12.418833451786616</v>
      </c>
      <c r="N298" s="249">
        <f t="shared" si="163"/>
        <v>12.553773116288186</v>
      </c>
      <c r="O298" s="249">
        <f t="shared" si="163"/>
        <v>12.664976167159841</v>
      </c>
      <c r="P298" s="249">
        <f t="shared" si="163"/>
        <v>12.751291523232981</v>
      </c>
      <c r="Q298" s="249">
        <f t="shared" si="163"/>
        <v>12.812566591183389</v>
      </c>
      <c r="R298" s="249">
        <f t="shared" si="163"/>
        <v>12.848375160969674</v>
      </c>
      <c r="S298" s="249">
        <f t="shared" si="163"/>
        <v>12.898280350335288</v>
      </c>
      <c r="T298" s="249">
        <f t="shared" si="163"/>
        <v>12.945884981771691</v>
      </c>
      <c r="U298" s="249">
        <f t="shared" si="163"/>
        <v>12.991154023548233</v>
      </c>
      <c r="V298" s="249">
        <f t="shared" si="163"/>
        <v>13.034053396093592</v>
      </c>
      <c r="W298" s="249">
        <f t="shared" si="163"/>
        <v>13.074550004981608</v>
      </c>
      <c r="X298" s="249">
        <f t="shared" si="163"/>
        <v>13.112769275524096</v>
      </c>
      <c r="Y298" s="249">
        <f t="shared" si="163"/>
        <v>13.148668726669223</v>
      </c>
      <c r="Z298" s="249">
        <f t="shared" si="163"/>
        <v>13.18043432201809</v>
      </c>
      <c r="AA298" s="249">
        <f t="shared" si="163"/>
        <v>13.209746539002593</v>
      </c>
      <c r="AB298" s="249">
        <f t="shared" si="163"/>
        <v>13.23657793460174</v>
      </c>
      <c r="AC298" s="249">
        <f t="shared" si="163"/>
        <v>13.25130408084522</v>
      </c>
      <c r="AD298" s="249">
        <f t="shared" si="163"/>
        <v>13.263474903135652</v>
      </c>
      <c r="AE298" s="249">
        <f t="shared" si="163"/>
        <v>13.273069447456432</v>
      </c>
      <c r="AF298" s="249">
        <f t="shared" si="163"/>
        <v>13.280067881416141</v>
      </c>
      <c r="AG298" s="249">
        <f t="shared" si="163"/>
        <v>13.284451518216793</v>
      </c>
      <c r="AI298" s="316"/>
      <c r="AJ298" s="211" t="s">
        <v>1363</v>
      </c>
    </row>
    <row r="299" spans="1:36" s="1" customFormat="1" outlineLevel="1" x14ac:dyDescent="0.2">
      <c r="A299" t="s">
        <v>1371</v>
      </c>
      <c r="B299" s="302" t="s">
        <v>704</v>
      </c>
      <c r="C299" s="249">
        <f>C265*C295</f>
        <v>0.53230293510822657</v>
      </c>
      <c r="D299" s="249">
        <f t="shared" ref="D299:AG299" si="164">D265*D295</f>
        <v>0.60789838745123026</v>
      </c>
      <c r="E299" s="249">
        <f t="shared" si="164"/>
        <v>0.68667692803343805</v>
      </c>
      <c r="F299" s="249">
        <f t="shared" si="164"/>
        <v>0.76824858100002391</v>
      </c>
      <c r="G299" s="249">
        <f t="shared" si="164"/>
        <v>0.85217503568798358</v>
      </c>
      <c r="H299" s="249">
        <f t="shared" si="164"/>
        <v>0.93797313293991436</v>
      </c>
      <c r="I299" s="249">
        <f t="shared" si="164"/>
        <v>1.0214278674433643</v>
      </c>
      <c r="J299" s="249">
        <f t="shared" si="164"/>
        <v>1.1073940783153091</v>
      </c>
      <c r="K299" s="249">
        <f t="shared" si="164"/>
        <v>1.1958259245823637</v>
      </c>
      <c r="L299" s="249">
        <f t="shared" si="164"/>
        <v>1.2866710218490891</v>
      </c>
      <c r="M299" s="249">
        <f t="shared" si="164"/>
        <v>1.3798703835318471</v>
      </c>
      <c r="N299" s="249">
        <f t="shared" si="164"/>
        <v>1.4727890248159332</v>
      </c>
      <c r="O299" s="249">
        <f t="shared" si="164"/>
        <v>1.5653341330197565</v>
      </c>
      <c r="P299" s="249">
        <f t="shared" si="164"/>
        <v>1.6569474860698232</v>
      </c>
      <c r="Q299" s="249">
        <f t="shared" si="164"/>
        <v>1.7471681715250087</v>
      </c>
      <c r="R299" s="249">
        <f t="shared" si="164"/>
        <v>1.8354821658528118</v>
      </c>
      <c r="S299" s="249">
        <f t="shared" si="164"/>
        <v>1.9273292477512509</v>
      </c>
      <c r="T299" s="249">
        <f t="shared" si="164"/>
        <v>2.0204560376175484</v>
      </c>
      <c r="U299" s="249">
        <f t="shared" si="164"/>
        <v>2.1148390270892485</v>
      </c>
      <c r="V299" s="249">
        <f t="shared" si="164"/>
        <v>2.2104534999223064</v>
      </c>
      <c r="W299" s="249">
        <f t="shared" si="164"/>
        <v>2.3072735302908738</v>
      </c>
      <c r="X299" s="249">
        <f t="shared" si="164"/>
        <v>2.4053008730251317</v>
      </c>
      <c r="Y299" s="249">
        <f t="shared" si="164"/>
        <v>2.5045083288893779</v>
      </c>
      <c r="Z299" s="249">
        <f t="shared" si="164"/>
        <v>2.6045169618359121</v>
      </c>
      <c r="AA299" s="249">
        <f t="shared" si="164"/>
        <v>2.7056107369041476</v>
      </c>
      <c r="AB299" s="249">
        <f t="shared" si="164"/>
        <v>2.8077589558246134</v>
      </c>
      <c r="AC299" s="249">
        <f t="shared" si="164"/>
        <v>2.9088228470148065</v>
      </c>
      <c r="AD299" s="249">
        <f t="shared" si="164"/>
        <v>3.0107274320001198</v>
      </c>
      <c r="AE299" s="249">
        <f t="shared" si="164"/>
        <v>3.1134360432305237</v>
      </c>
      <c r="AF299" s="249">
        <f t="shared" si="164"/>
        <v>3.2169108532622976</v>
      </c>
      <c r="AG299" s="249">
        <f t="shared" si="164"/>
        <v>3.3211128795541982</v>
      </c>
      <c r="AI299" s="316"/>
      <c r="AJ299" s="211" t="s">
        <v>1363</v>
      </c>
    </row>
    <row r="300" spans="1:36" s="1" customFormat="1" outlineLevel="1" x14ac:dyDescent="0.2">
      <c r="A300" t="s">
        <v>1372</v>
      </c>
      <c r="B300" s="302" t="s">
        <v>704</v>
      </c>
      <c r="C300" s="249">
        <f>C298*C266</f>
        <v>1.5170633650584455</v>
      </c>
      <c r="D300" s="249">
        <f t="shared" ref="D300:AG300" si="165">D298*D266</f>
        <v>1.6328703321837725</v>
      </c>
      <c r="E300" s="249">
        <f t="shared" si="165"/>
        <v>1.7499580023749921</v>
      </c>
      <c r="F300" s="249">
        <f t="shared" si="165"/>
        <v>1.8676123004110574</v>
      </c>
      <c r="G300" s="249">
        <f t="shared" si="165"/>
        <v>1.9850808759897502</v>
      </c>
      <c r="H300" s="249">
        <f t="shared" si="165"/>
        <v>2.1015809139703738</v>
      </c>
      <c r="I300" s="249">
        <f t="shared" si="165"/>
        <v>2.2083270494125529</v>
      </c>
      <c r="J300" s="249">
        <f t="shared" si="165"/>
        <v>2.3166032710074891</v>
      </c>
      <c r="K300" s="249">
        <f t="shared" si="165"/>
        <v>2.4262865111285556</v>
      </c>
      <c r="L300" s="249">
        <f t="shared" si="165"/>
        <v>2.5372475355589361</v>
      </c>
      <c r="M300" s="249">
        <f t="shared" si="165"/>
        <v>2.6493511363811444</v>
      </c>
      <c r="N300" s="249">
        <f t="shared" si="165"/>
        <v>2.7576454945446374</v>
      </c>
      <c r="O300" s="249">
        <f t="shared" si="165"/>
        <v>2.8622846137781233</v>
      </c>
      <c r="P300" s="249">
        <f t="shared" si="165"/>
        <v>2.9625500638977953</v>
      </c>
      <c r="Q300" s="249">
        <f t="shared" si="165"/>
        <v>3.0579325597624347</v>
      </c>
      <c r="R300" s="249">
        <f t="shared" si="165"/>
        <v>3.1478519144375694</v>
      </c>
      <c r="S300" s="249">
        <f t="shared" si="165"/>
        <v>3.2417677947176018</v>
      </c>
      <c r="T300" s="249">
        <f t="shared" si="165"/>
        <v>3.3357230303031722</v>
      </c>
      <c r="U300" s="249">
        <f t="shared" si="165"/>
        <v>3.4296646622167337</v>
      </c>
      <c r="V300" s="249">
        <f t="shared" si="165"/>
        <v>3.523539101410635</v>
      </c>
      <c r="W300" s="249">
        <f t="shared" si="165"/>
        <v>3.6172921680449126</v>
      </c>
      <c r="X300" s="249">
        <f t="shared" si="165"/>
        <v>3.7109137049733203</v>
      </c>
      <c r="Y300" s="249">
        <f t="shared" si="165"/>
        <v>3.8043481515829636</v>
      </c>
      <c r="Z300" s="249">
        <f t="shared" si="165"/>
        <v>3.8970150812100171</v>
      </c>
      <c r="AA300" s="249">
        <f t="shared" si="165"/>
        <v>3.9893434547787852</v>
      </c>
      <c r="AB300" s="249">
        <f t="shared" si="165"/>
        <v>4.0812781965022058</v>
      </c>
      <c r="AC300" s="249">
        <f t="shared" si="165"/>
        <v>4.1697436841059652</v>
      </c>
      <c r="AD300" s="249">
        <f t="shared" si="165"/>
        <v>4.2575754439065472</v>
      </c>
      <c r="AE300" s="249">
        <f t="shared" si="165"/>
        <v>4.344718065800742</v>
      </c>
      <c r="AF300" s="249">
        <f t="shared" si="165"/>
        <v>4.4311159830991897</v>
      </c>
      <c r="AG300" s="249">
        <f t="shared" si="165"/>
        <v>4.5167135161937102</v>
      </c>
      <c r="AI300" s="316"/>
      <c r="AJ300" s="211" t="s">
        <v>1363</v>
      </c>
    </row>
    <row r="301" spans="1:36" s="1" customFormat="1" outlineLevel="1" x14ac:dyDescent="0.2">
      <c r="A301" t="s">
        <v>1373</v>
      </c>
      <c r="B301" s="302" t="s">
        <v>704</v>
      </c>
      <c r="C301" s="249">
        <f>C298*C267</f>
        <v>8.5966924019978581</v>
      </c>
      <c r="D301" s="249">
        <f t="shared" ref="D301:AG301" si="166">D298*D267</f>
        <v>8.8119292340237276</v>
      </c>
      <c r="E301" s="249">
        <f t="shared" si="166"/>
        <v>9.0079805368155341</v>
      </c>
      <c r="F301" s="249">
        <f t="shared" si="166"/>
        <v>9.1833480570508215</v>
      </c>
      <c r="G301" s="249">
        <f t="shared" si="166"/>
        <v>9.3366731695791696</v>
      </c>
      <c r="H301" s="249">
        <f t="shared" si="166"/>
        <v>9.4667543922885677</v>
      </c>
      <c r="I301" s="249">
        <f t="shared" si="166"/>
        <v>9.5380934261861352</v>
      </c>
      <c r="J301" s="249">
        <f t="shared" si="166"/>
        <v>9.6041682779161288</v>
      </c>
      <c r="K301" s="249">
        <f t="shared" si="166"/>
        <v>9.6648422818708948</v>
      </c>
      <c r="L301" s="249">
        <f t="shared" si="166"/>
        <v>9.7199869357402768</v>
      </c>
      <c r="M301" s="249">
        <f t="shared" si="166"/>
        <v>9.769482315405476</v>
      </c>
      <c r="N301" s="249">
        <f t="shared" si="166"/>
        <v>9.7961276217435511</v>
      </c>
      <c r="O301" s="249">
        <f t="shared" si="166"/>
        <v>9.802691553381722</v>
      </c>
      <c r="P301" s="249">
        <f t="shared" si="166"/>
        <v>9.7887414593351902</v>
      </c>
      <c r="Q301" s="249">
        <f t="shared" si="166"/>
        <v>9.7546340314209594</v>
      </c>
      <c r="R301" s="249">
        <f t="shared" si="166"/>
        <v>9.700523246532109</v>
      </c>
      <c r="S301" s="249">
        <f t="shared" si="166"/>
        <v>9.6565125556176916</v>
      </c>
      <c r="T301" s="249">
        <f t="shared" si="166"/>
        <v>9.610161951468525</v>
      </c>
      <c r="U301" s="249">
        <f t="shared" si="166"/>
        <v>9.5614893613315068</v>
      </c>
      <c r="V301" s="249">
        <f t="shared" si="166"/>
        <v>9.5105142946829648</v>
      </c>
      <c r="W301" s="249">
        <f t="shared" si="166"/>
        <v>9.4572578369367051</v>
      </c>
      <c r="X301" s="249">
        <f t="shared" si="166"/>
        <v>9.4018555705507847</v>
      </c>
      <c r="Y301" s="249">
        <f t="shared" si="166"/>
        <v>9.3443205750862699</v>
      </c>
      <c r="Z301" s="249">
        <f t="shared" si="166"/>
        <v>9.2834192408080849</v>
      </c>
      <c r="AA301" s="249">
        <f t="shared" si="166"/>
        <v>9.22040308422382</v>
      </c>
      <c r="AB301" s="249">
        <f t="shared" si="166"/>
        <v>9.1552997380995471</v>
      </c>
      <c r="AC301" s="249">
        <f t="shared" si="166"/>
        <v>9.0815603967392668</v>
      </c>
      <c r="AD301" s="249">
        <f t="shared" si="166"/>
        <v>9.0058994592291182</v>
      </c>
      <c r="AE301" s="249">
        <f t="shared" si="166"/>
        <v>8.9283513816557054</v>
      </c>
      <c r="AF301" s="249">
        <f t="shared" si="166"/>
        <v>8.848951898316967</v>
      </c>
      <c r="AG301" s="249">
        <f t="shared" si="166"/>
        <v>8.7677380020230835</v>
      </c>
      <c r="AI301" s="316"/>
      <c r="AJ301" s="211" t="s">
        <v>1363</v>
      </c>
    </row>
    <row r="302" spans="1:36" s="1" customFormat="1" outlineLevel="1" x14ac:dyDescent="0.2">
      <c r="A302" t="s">
        <v>1374</v>
      </c>
      <c r="B302" s="302" t="s">
        <v>704</v>
      </c>
      <c r="C302" s="249">
        <f>C268*C301</f>
        <v>0</v>
      </c>
      <c r="D302" s="249">
        <f t="shared" ref="D302:AG302" si="167">D268*D301</f>
        <v>0</v>
      </c>
      <c r="E302" s="249">
        <f t="shared" si="167"/>
        <v>0</v>
      </c>
      <c r="F302" s="249">
        <f t="shared" si="167"/>
        <v>0</v>
      </c>
      <c r="G302" s="249">
        <f t="shared" si="167"/>
        <v>0</v>
      </c>
      <c r="H302" s="249">
        <f t="shared" si="167"/>
        <v>0</v>
      </c>
      <c r="I302" s="249">
        <f t="shared" si="167"/>
        <v>0</v>
      </c>
      <c r="J302" s="249">
        <f t="shared" si="167"/>
        <v>0</v>
      </c>
      <c r="K302" s="249">
        <f t="shared" si="167"/>
        <v>0</v>
      </c>
      <c r="L302" s="249">
        <f t="shared" si="167"/>
        <v>0</v>
      </c>
      <c r="M302" s="249">
        <f t="shared" si="167"/>
        <v>0</v>
      </c>
      <c r="N302" s="249">
        <f t="shared" si="167"/>
        <v>0</v>
      </c>
      <c r="O302" s="249">
        <f t="shared" si="167"/>
        <v>0</v>
      </c>
      <c r="P302" s="249">
        <f t="shared" si="167"/>
        <v>0</v>
      </c>
      <c r="Q302" s="249">
        <f t="shared" si="167"/>
        <v>0</v>
      </c>
      <c r="R302" s="249">
        <f t="shared" si="167"/>
        <v>0</v>
      </c>
      <c r="S302" s="249">
        <f t="shared" si="167"/>
        <v>0</v>
      </c>
      <c r="T302" s="249">
        <f t="shared" si="167"/>
        <v>0</v>
      </c>
      <c r="U302" s="249">
        <f t="shared" si="167"/>
        <v>0</v>
      </c>
      <c r="V302" s="249">
        <f t="shared" si="167"/>
        <v>0</v>
      </c>
      <c r="W302" s="249">
        <f t="shared" si="167"/>
        <v>0</v>
      </c>
      <c r="X302" s="249">
        <f t="shared" si="167"/>
        <v>0</v>
      </c>
      <c r="Y302" s="249">
        <f t="shared" si="167"/>
        <v>0</v>
      </c>
      <c r="Z302" s="249">
        <f t="shared" si="167"/>
        <v>0</v>
      </c>
      <c r="AA302" s="249">
        <f t="shared" si="167"/>
        <v>0</v>
      </c>
      <c r="AB302" s="249">
        <f t="shared" si="167"/>
        <v>0</v>
      </c>
      <c r="AC302" s="249">
        <f t="shared" si="167"/>
        <v>0</v>
      </c>
      <c r="AD302" s="249">
        <f t="shared" si="167"/>
        <v>0</v>
      </c>
      <c r="AE302" s="249">
        <f t="shared" si="167"/>
        <v>0</v>
      </c>
      <c r="AF302" s="249">
        <f t="shared" si="167"/>
        <v>0</v>
      </c>
      <c r="AG302" s="249">
        <f t="shared" si="167"/>
        <v>0</v>
      </c>
      <c r="AI302" s="316"/>
      <c r="AJ302" s="211" t="s">
        <v>1363</v>
      </c>
    </row>
    <row r="303" spans="1:36" s="1" customFormat="1" outlineLevel="1" x14ac:dyDescent="0.2">
      <c r="A303" t="s">
        <v>1388</v>
      </c>
      <c r="B303" s="302" t="s">
        <v>704</v>
      </c>
      <c r="C303" s="249">
        <f>C269*C301</f>
        <v>8.5966924019978581</v>
      </c>
      <c r="D303" s="249">
        <f t="shared" ref="D303:AG303" si="168">D269*D301</f>
        <v>8.8119292340237276</v>
      </c>
      <c r="E303" s="249">
        <f t="shared" si="168"/>
        <v>9.0079805368155341</v>
      </c>
      <c r="F303" s="249">
        <f t="shared" si="168"/>
        <v>9.1833480570508215</v>
      </c>
      <c r="G303" s="249">
        <f t="shared" si="168"/>
        <v>9.3366731695791696</v>
      </c>
      <c r="H303" s="249">
        <f t="shared" si="168"/>
        <v>9.4667543922885677</v>
      </c>
      <c r="I303" s="249">
        <f t="shared" si="168"/>
        <v>9.5380934261861352</v>
      </c>
      <c r="J303" s="249">
        <f t="shared" si="168"/>
        <v>9.6041682779161288</v>
      </c>
      <c r="K303" s="249">
        <f t="shared" si="168"/>
        <v>9.6648422818708948</v>
      </c>
      <c r="L303" s="249">
        <f t="shared" si="168"/>
        <v>9.7199869357402768</v>
      </c>
      <c r="M303" s="249">
        <f t="shared" si="168"/>
        <v>9.769482315405476</v>
      </c>
      <c r="N303" s="249">
        <f t="shared" si="168"/>
        <v>9.7961276217435511</v>
      </c>
      <c r="O303" s="249">
        <f t="shared" si="168"/>
        <v>9.802691553381722</v>
      </c>
      <c r="P303" s="249">
        <f t="shared" si="168"/>
        <v>9.7887414593351902</v>
      </c>
      <c r="Q303" s="249">
        <f t="shared" si="168"/>
        <v>9.7546340314209594</v>
      </c>
      <c r="R303" s="249">
        <f t="shared" si="168"/>
        <v>9.700523246532109</v>
      </c>
      <c r="S303" s="249">
        <f t="shared" si="168"/>
        <v>9.6565125556176916</v>
      </c>
      <c r="T303" s="249">
        <f t="shared" si="168"/>
        <v>9.610161951468525</v>
      </c>
      <c r="U303" s="249">
        <f t="shared" si="168"/>
        <v>9.5614893613315068</v>
      </c>
      <c r="V303" s="249">
        <f t="shared" si="168"/>
        <v>9.5105142946829648</v>
      </c>
      <c r="W303" s="249">
        <f t="shared" si="168"/>
        <v>9.4572578369367051</v>
      </c>
      <c r="X303" s="249">
        <f t="shared" si="168"/>
        <v>9.4018555705507847</v>
      </c>
      <c r="Y303" s="249">
        <f t="shared" si="168"/>
        <v>9.3443205750862699</v>
      </c>
      <c r="Z303" s="249">
        <f t="shared" si="168"/>
        <v>9.2834192408080849</v>
      </c>
      <c r="AA303" s="249">
        <f t="shared" si="168"/>
        <v>9.22040308422382</v>
      </c>
      <c r="AB303" s="249">
        <f t="shared" si="168"/>
        <v>9.1552997380995471</v>
      </c>
      <c r="AC303" s="249">
        <f t="shared" si="168"/>
        <v>9.0815603967392668</v>
      </c>
      <c r="AD303" s="249">
        <f t="shared" si="168"/>
        <v>9.0058994592291182</v>
      </c>
      <c r="AE303" s="249">
        <f t="shared" si="168"/>
        <v>8.9283513816557054</v>
      </c>
      <c r="AF303" s="249">
        <f t="shared" si="168"/>
        <v>8.848951898316967</v>
      </c>
      <c r="AG303" s="249">
        <f t="shared" si="168"/>
        <v>8.7677380020230835</v>
      </c>
      <c r="AI303" s="316"/>
      <c r="AJ303" s="211" t="s">
        <v>1363</v>
      </c>
    </row>
    <row r="304" spans="1:36" s="1" customFormat="1" outlineLevel="1" x14ac:dyDescent="0.2">
      <c r="A304" t="s">
        <v>1376</v>
      </c>
      <c r="B304" s="302" t="s">
        <v>704</v>
      </c>
      <c r="C304" s="249">
        <f>C270*(C302+C300)</f>
        <v>1.2136506920467565</v>
      </c>
      <c r="D304" s="249">
        <f t="shared" ref="D304:AG304" si="169">D270*(D302+D300)</f>
        <v>1.3117391668542973</v>
      </c>
      <c r="E304" s="249">
        <f t="shared" si="169"/>
        <v>1.4116327885824935</v>
      </c>
      <c r="F304" s="249">
        <f t="shared" si="169"/>
        <v>1.5127659633329564</v>
      </c>
      <c r="G304" s="249">
        <f t="shared" si="169"/>
        <v>1.6145324458049968</v>
      </c>
      <c r="H304" s="249">
        <f t="shared" si="169"/>
        <v>1.7162910797424717</v>
      </c>
      <c r="I304" s="249">
        <f t="shared" si="169"/>
        <v>1.8108281805182931</v>
      </c>
      <c r="J304" s="249">
        <f t="shared" si="169"/>
        <v>1.9073366931294988</v>
      </c>
      <c r="K304" s="249">
        <f t="shared" si="169"/>
        <v>2.0057301825329388</v>
      </c>
      <c r="L304" s="249">
        <f t="shared" si="169"/>
        <v>2.1059154545139163</v>
      </c>
      <c r="M304" s="249">
        <f t="shared" si="169"/>
        <v>2.2077926136509527</v>
      </c>
      <c r="N304" s="249">
        <f t="shared" si="169"/>
        <v>2.3072300637690124</v>
      </c>
      <c r="O304" s="249">
        <f t="shared" si="169"/>
        <v>2.4043190755736226</v>
      </c>
      <c r="P304" s="249">
        <f t="shared" si="169"/>
        <v>2.4984172205538062</v>
      </c>
      <c r="Q304" s="249">
        <f t="shared" si="169"/>
        <v>2.5890495672655267</v>
      </c>
      <c r="R304" s="249">
        <f t="shared" si="169"/>
        <v>2.6756741272719324</v>
      </c>
      <c r="S304" s="249">
        <f t="shared" si="169"/>
        <v>2.7663085181590188</v>
      </c>
      <c r="T304" s="249">
        <f t="shared" si="169"/>
        <v>2.857602729293049</v>
      </c>
      <c r="U304" s="249">
        <f t="shared" si="169"/>
        <v>2.9495116095063891</v>
      </c>
      <c r="V304" s="249">
        <f t="shared" si="169"/>
        <v>3.0419887575511795</v>
      </c>
      <c r="W304" s="249">
        <f t="shared" si="169"/>
        <v>3.1349865456389221</v>
      </c>
      <c r="X304" s="249">
        <f t="shared" si="169"/>
        <v>3.2284949233267861</v>
      </c>
      <c r="Y304" s="249">
        <f t="shared" si="169"/>
        <v>3.3224640523824522</v>
      </c>
      <c r="Z304" s="249">
        <f t="shared" si="169"/>
        <v>3.4163832211941121</v>
      </c>
      <c r="AA304" s="249">
        <f t="shared" si="169"/>
        <v>3.5106222402053278</v>
      </c>
      <c r="AB304" s="249">
        <f t="shared" si="169"/>
        <v>3.6051290735769452</v>
      </c>
      <c r="AC304" s="249">
        <f t="shared" si="169"/>
        <v>3.697172733240619</v>
      </c>
      <c r="AD304" s="249">
        <f t="shared" si="169"/>
        <v>3.7892421450768232</v>
      </c>
      <c r="AE304" s="249">
        <f t="shared" si="169"/>
        <v>3.8812814721153255</v>
      </c>
      <c r="AF304" s="249">
        <f t="shared" si="169"/>
        <v>3.973233998178936</v>
      </c>
      <c r="AG304" s="249">
        <f t="shared" si="169"/>
        <v>4.0650421645743391</v>
      </c>
      <c r="AH304" s="249"/>
      <c r="AI304" s="316"/>
      <c r="AJ304" s="211" t="s">
        <v>1363</v>
      </c>
    </row>
    <row r="305" spans="1:36" s="1" customFormat="1" outlineLevel="1" x14ac:dyDescent="0.2">
      <c r="A305" t="s">
        <v>1377</v>
      </c>
      <c r="B305" s="302" t="s">
        <v>704</v>
      </c>
      <c r="C305" s="249">
        <f>C271*(C302+C300)</f>
        <v>0.30341267301168912</v>
      </c>
      <c r="D305" s="249">
        <f t="shared" ref="D305:AG305" si="170">D271*(D302+D300)</f>
        <v>0.32113116532947528</v>
      </c>
      <c r="E305" s="249">
        <f t="shared" si="170"/>
        <v>0.33832521379249852</v>
      </c>
      <c r="F305" s="249">
        <f t="shared" si="170"/>
        <v>0.35484633707810098</v>
      </c>
      <c r="G305" s="249">
        <f t="shared" si="170"/>
        <v>0.37054843018475347</v>
      </c>
      <c r="H305" s="249">
        <f t="shared" si="170"/>
        <v>0.38528983422790197</v>
      </c>
      <c r="I305" s="249">
        <f t="shared" si="170"/>
        <v>0.39749886889425962</v>
      </c>
      <c r="J305" s="249">
        <f t="shared" si="170"/>
        <v>0.40926657787798987</v>
      </c>
      <c r="K305" s="249">
        <f t="shared" si="170"/>
        <v>0.42055632859561648</v>
      </c>
      <c r="L305" s="249">
        <f t="shared" si="170"/>
        <v>0.4313320810450193</v>
      </c>
      <c r="M305" s="249">
        <f t="shared" si="170"/>
        <v>0.44155852273019092</v>
      </c>
      <c r="N305" s="249">
        <f t="shared" si="170"/>
        <v>0.45041543077562435</v>
      </c>
      <c r="O305" s="249">
        <f t="shared" si="170"/>
        <v>0.45796553820449998</v>
      </c>
      <c r="P305" s="249">
        <f t="shared" si="170"/>
        <v>0.46413284334398819</v>
      </c>
      <c r="Q305" s="249">
        <f t="shared" si="170"/>
        <v>0.46888299249690696</v>
      </c>
      <c r="R305" s="249">
        <f t="shared" si="170"/>
        <v>0.47217778716563574</v>
      </c>
      <c r="S305" s="249">
        <f t="shared" si="170"/>
        <v>0.47545927655858194</v>
      </c>
      <c r="T305" s="249">
        <f t="shared" si="170"/>
        <v>0.47812030101012176</v>
      </c>
      <c r="U305" s="249">
        <f t="shared" si="170"/>
        <v>0.48015305271034314</v>
      </c>
      <c r="V305" s="249">
        <f t="shared" si="170"/>
        <v>0.48155034385945389</v>
      </c>
      <c r="W305" s="249">
        <f t="shared" si="170"/>
        <v>0.48230562240598884</v>
      </c>
      <c r="X305" s="249">
        <f t="shared" si="170"/>
        <v>0.48241878164653218</v>
      </c>
      <c r="Y305" s="249">
        <f t="shared" si="170"/>
        <v>0.48188409920050929</v>
      </c>
      <c r="Z305" s="249">
        <f t="shared" si="170"/>
        <v>0.48063186001590269</v>
      </c>
      <c r="AA305" s="249">
        <f t="shared" si="170"/>
        <v>0.47872121457345485</v>
      </c>
      <c r="AB305" s="249">
        <f t="shared" si="170"/>
        <v>0.47614912292525802</v>
      </c>
      <c r="AC305" s="249">
        <f t="shared" si="170"/>
        <v>0.47257095086534345</v>
      </c>
      <c r="AD305" s="249">
        <f t="shared" si="170"/>
        <v>0.46833329882972097</v>
      </c>
      <c r="AE305" s="249">
        <f t="shared" si="170"/>
        <v>0.46343659368541329</v>
      </c>
      <c r="AF305" s="249">
        <f t="shared" si="170"/>
        <v>0.45788198492025045</v>
      </c>
      <c r="AG305" s="249">
        <f t="shared" si="170"/>
        <v>0.45167135161937105</v>
      </c>
      <c r="AI305" s="316"/>
      <c r="AJ305" s="211" t="s">
        <v>1363</v>
      </c>
    </row>
    <row r="306" spans="1:36" s="1" customFormat="1" outlineLevel="1" x14ac:dyDescent="0.2">
      <c r="A306" t="s">
        <v>1378</v>
      </c>
      <c r="B306" s="302" t="s">
        <v>704</v>
      </c>
      <c r="C306" s="249">
        <f>C299*C272</f>
        <v>0.50568778835281525</v>
      </c>
      <c r="D306" s="249">
        <f t="shared" ref="D306:AG306" si="171">D299*D272</f>
        <v>0.57669293689540047</v>
      </c>
      <c r="E306" s="249">
        <f t="shared" si="171"/>
        <v>0.65051194315701033</v>
      </c>
      <c r="F306" s="249">
        <f t="shared" si="171"/>
        <v>0.72676315762602262</v>
      </c>
      <c r="G306" s="249">
        <f t="shared" si="171"/>
        <v>0.80502135037991529</v>
      </c>
      <c r="H306" s="249">
        <f t="shared" si="171"/>
        <v>0.88482132207331932</v>
      </c>
      <c r="I306" s="249">
        <f t="shared" si="171"/>
        <v>0.96218505113164943</v>
      </c>
      <c r="J306" s="249">
        <f t="shared" si="171"/>
        <v>1.0416886963352676</v>
      </c>
      <c r="K306" s="249">
        <f t="shared" si="171"/>
        <v>1.1232791518243672</v>
      </c>
      <c r="L306" s="249">
        <f t="shared" si="171"/>
        <v>1.2068974184944459</v>
      </c>
      <c r="M306" s="249">
        <f t="shared" si="171"/>
        <v>1.2924785925748306</v>
      </c>
      <c r="N306" s="249">
        <f t="shared" si="171"/>
        <v>1.3775486678778368</v>
      </c>
      <c r="O306" s="249">
        <f t="shared" si="171"/>
        <v>1.4620220802404533</v>
      </c>
      <c r="P306" s="249">
        <f t="shared" si="171"/>
        <v>1.5453796886744557</v>
      </c>
      <c r="Q306" s="249">
        <f t="shared" si="171"/>
        <v>1.6271959570802923</v>
      </c>
      <c r="R306" s="249">
        <f t="shared" si="171"/>
        <v>1.7069984142431158</v>
      </c>
      <c r="S306" s="249">
        <f t="shared" si="171"/>
        <v>1.7898464280783293</v>
      </c>
      <c r="T306" s="249">
        <f t="shared" si="171"/>
        <v>1.873636232217341</v>
      </c>
      <c r="U306" s="249">
        <f t="shared" si="171"/>
        <v>1.9583409390846453</v>
      </c>
      <c r="V306" s="249">
        <f t="shared" si="171"/>
        <v>2.0439326695948274</v>
      </c>
      <c r="W306" s="249">
        <f t="shared" si="171"/>
        <v>2.1303825596352417</v>
      </c>
      <c r="X306" s="249">
        <f t="shared" si="171"/>
        <v>2.217687404929173</v>
      </c>
      <c r="Y306" s="249">
        <f t="shared" si="171"/>
        <v>2.3058173347974891</v>
      </c>
      <c r="Z306" s="249">
        <f t="shared" si="171"/>
        <v>2.3944192602478171</v>
      </c>
      <c r="AA306" s="249">
        <f t="shared" si="171"/>
        <v>2.4837506564780099</v>
      </c>
      <c r="AB306" s="249">
        <f t="shared" si="171"/>
        <v>2.5737790428392313</v>
      </c>
      <c r="AC306" s="249">
        <f t="shared" si="171"/>
        <v>2.6625425126342224</v>
      </c>
      <c r="AD306" s="249">
        <f t="shared" si="171"/>
        <v>2.7518048728481124</v>
      </c>
      <c r="AE306" s="249">
        <f t="shared" si="171"/>
        <v>2.8415292954550608</v>
      </c>
      <c r="AF306" s="249">
        <f t="shared" si="171"/>
        <v>2.9316780909397107</v>
      </c>
      <c r="AG306" s="249">
        <f t="shared" si="171"/>
        <v>3.0222127203943203</v>
      </c>
      <c r="AI306" s="316"/>
      <c r="AJ306" s="211" t="s">
        <v>1363</v>
      </c>
    </row>
    <row r="307" spans="1:36" s="1" customFormat="1" outlineLevel="1" x14ac:dyDescent="0.2">
      <c r="A307" t="s">
        <v>1389</v>
      </c>
      <c r="B307" s="302" t="s">
        <v>704</v>
      </c>
      <c r="C307" s="249">
        <f>C299*C273</f>
        <v>2.661514675541133E-2</v>
      </c>
      <c r="D307" s="249">
        <f t="shared" ref="D307:AG307" si="172">D299*D273</f>
        <v>3.1205450555829822E-2</v>
      </c>
      <c r="E307" s="249">
        <f t="shared" si="172"/>
        <v>3.616498487642774E-2</v>
      </c>
      <c r="F307" s="249">
        <f t="shared" si="172"/>
        <v>4.1485423374001289E-2</v>
      </c>
      <c r="G307" s="249">
        <f t="shared" si="172"/>
        <v>4.7153685308068426E-2</v>
      </c>
      <c r="H307" s="249">
        <f t="shared" si="172"/>
        <v>5.3151810866595144E-2</v>
      </c>
      <c r="I307" s="249">
        <f t="shared" si="172"/>
        <v>5.924281631171513E-2</v>
      </c>
      <c r="J307" s="249">
        <f t="shared" si="172"/>
        <v>6.5705381980041666E-2</v>
      </c>
      <c r="K307" s="249">
        <f t="shared" si="172"/>
        <v>7.254677275799673E-2</v>
      </c>
      <c r="L307" s="249">
        <f t="shared" si="172"/>
        <v>7.9773603354643521E-2</v>
      </c>
      <c r="M307" s="249">
        <f t="shared" si="172"/>
        <v>8.7391790957016977E-2</v>
      </c>
      <c r="N307" s="249">
        <f t="shared" si="172"/>
        <v>9.5240356938097015E-2</v>
      </c>
      <c r="O307" s="249">
        <f t="shared" si="172"/>
        <v>0.10331205277930394</v>
      </c>
      <c r="P307" s="249">
        <f t="shared" si="172"/>
        <v>0.11156779739536811</v>
      </c>
      <c r="Q307" s="249">
        <f t="shared" si="172"/>
        <v>0.11997221444471728</v>
      </c>
      <c r="R307" s="249">
        <f t="shared" si="172"/>
        <v>0.12848375160969686</v>
      </c>
      <c r="S307" s="249">
        <f t="shared" si="172"/>
        <v>0.13748281967292261</v>
      </c>
      <c r="T307" s="249">
        <f t="shared" si="172"/>
        <v>0.14681980540020859</v>
      </c>
      <c r="U307" s="249">
        <f t="shared" si="172"/>
        <v>0.15649808800460446</v>
      </c>
      <c r="V307" s="249">
        <f t="shared" si="172"/>
        <v>0.16652083032748052</v>
      </c>
      <c r="W307" s="249">
        <f t="shared" si="172"/>
        <v>0.17689097065563378</v>
      </c>
      <c r="X307" s="249">
        <f t="shared" si="172"/>
        <v>0.18761346809596041</v>
      </c>
      <c r="Y307" s="249">
        <f t="shared" si="172"/>
        <v>0.19869099409189081</v>
      </c>
      <c r="Z307" s="249">
        <f t="shared" si="172"/>
        <v>0.21009770158809707</v>
      </c>
      <c r="AA307" s="249">
        <f t="shared" si="172"/>
        <v>0.2218600804261403</v>
      </c>
      <c r="AB307" s="249">
        <f t="shared" si="172"/>
        <v>0.23397991298538467</v>
      </c>
      <c r="AC307" s="249">
        <f t="shared" si="172"/>
        <v>0.24628033438058719</v>
      </c>
      <c r="AD307" s="249">
        <f t="shared" si="172"/>
        <v>0.25892255915201057</v>
      </c>
      <c r="AE307" s="249">
        <f t="shared" si="172"/>
        <v>0.27190674777546603</v>
      </c>
      <c r="AF307" s="249">
        <f t="shared" si="172"/>
        <v>0.2852327623225907</v>
      </c>
      <c r="AG307" s="249">
        <f t="shared" si="172"/>
        <v>0.29890015915987783</v>
      </c>
      <c r="AI307" s="316"/>
      <c r="AJ307" s="211" t="s">
        <v>1363</v>
      </c>
    </row>
    <row r="308" spans="1:36" s="1" customFormat="1" outlineLevel="1" x14ac:dyDescent="0.2">
      <c r="A308" t="s">
        <v>1380</v>
      </c>
      <c r="B308" s="302" t="s">
        <v>704</v>
      </c>
      <c r="C308" s="249">
        <f t="shared" ref="C308:AG308" si="173">C304*C274</f>
        <v>0.32768568685262428</v>
      </c>
      <c r="D308" s="249">
        <f t="shared" si="173"/>
        <v>0.34892261838324307</v>
      </c>
      <c r="E308" s="249">
        <f t="shared" si="173"/>
        <v>0.36984779060861334</v>
      </c>
      <c r="F308" s="249">
        <f t="shared" si="173"/>
        <v>0.39029361853990274</v>
      </c>
      <c r="G308" s="249">
        <f t="shared" si="173"/>
        <v>0.41009124123446916</v>
      </c>
      <c r="H308" s="249">
        <f t="shared" si="173"/>
        <v>0.42907276993561794</v>
      </c>
      <c r="I308" s="249">
        <f t="shared" si="173"/>
        <v>0.44546373240750009</v>
      </c>
      <c r="J308" s="249">
        <f t="shared" si="173"/>
        <v>0.4615754797373387</v>
      </c>
      <c r="K308" s="249">
        <f t="shared" si="173"/>
        <v>0.47736378344283942</v>
      </c>
      <c r="L308" s="249">
        <f t="shared" si="173"/>
        <v>0.49278421635625635</v>
      </c>
      <c r="M308" s="249">
        <f t="shared" si="173"/>
        <v>0.50779230113971907</v>
      </c>
      <c r="N308" s="249">
        <f t="shared" si="173"/>
        <v>0.52143399441179672</v>
      </c>
      <c r="O308" s="249">
        <f t="shared" si="173"/>
        <v>0.5337588347773442</v>
      </c>
      <c r="P308" s="249">
        <f t="shared" si="173"/>
        <v>0.54465495408072973</v>
      </c>
      <c r="Q308" s="249">
        <f t="shared" si="173"/>
        <v>0.55405660739482265</v>
      </c>
      <c r="R308" s="249">
        <f t="shared" si="173"/>
        <v>0.56189156672710572</v>
      </c>
      <c r="S308" s="249">
        <f t="shared" si="173"/>
        <v>0.56985955474075778</v>
      </c>
      <c r="T308" s="249">
        <f t="shared" si="173"/>
        <v>0.57723575131719573</v>
      </c>
      <c r="U308" s="249">
        <f t="shared" si="173"/>
        <v>0.58400329868226486</v>
      </c>
      <c r="V308" s="249">
        <f t="shared" si="173"/>
        <v>0.59014581896492868</v>
      </c>
      <c r="W308" s="249">
        <f t="shared" si="173"/>
        <v>0.59564744367139499</v>
      </c>
      <c r="X308" s="249">
        <f t="shared" si="173"/>
        <v>0.60050005573878207</v>
      </c>
      <c r="Y308" s="249">
        <f t="shared" si="173"/>
        <v>0.60468845753360612</v>
      </c>
      <c r="Z308" s="249">
        <f t="shared" si="173"/>
        <v>0.60811621337255173</v>
      </c>
      <c r="AA308" s="249">
        <f t="shared" si="173"/>
        <v>0.61084826979572682</v>
      </c>
      <c r="AB308" s="249">
        <f t="shared" si="173"/>
        <v>0.61287194250808041</v>
      </c>
      <c r="AC308" s="249">
        <f t="shared" si="173"/>
        <v>0.61373067371794243</v>
      </c>
      <c r="AD308" s="249">
        <f t="shared" si="173"/>
        <v>0.61385722750244509</v>
      </c>
      <c r="AE308" s="249">
        <f t="shared" si="173"/>
        <v>0.61324247259422116</v>
      </c>
      <c r="AF308" s="249">
        <f t="shared" si="173"/>
        <v>0.61187803571955579</v>
      </c>
      <c r="AG308" s="249">
        <f t="shared" si="173"/>
        <v>0.60975632468615082</v>
      </c>
      <c r="AI308" s="316"/>
      <c r="AJ308" s="211"/>
    </row>
    <row r="309" spans="1:36" s="67" customFormat="1" x14ac:dyDescent="0.2">
      <c r="A309" s="345" t="s">
        <v>1381</v>
      </c>
      <c r="B309" s="308" t="s">
        <v>704</v>
      </c>
      <c r="C309" s="309">
        <f>C275*C$294</f>
        <v>1.8374362191430471</v>
      </c>
      <c r="D309" s="309">
        <f t="shared" ref="D309:AG314" si="174">D275*D$294</f>
        <v>1.952983447484677</v>
      </c>
      <c r="E309" s="309">
        <f t="shared" si="174"/>
        <v>2.0682023728358874</v>
      </c>
      <c r="F309" s="309">
        <f t="shared" si="174"/>
        <v>2.1823491036278537</v>
      </c>
      <c r="G309" s="309">
        <f t="shared" si="174"/>
        <v>2.294659219962623</v>
      </c>
      <c r="H309" s="309">
        <f t="shared" si="174"/>
        <v>2.404356225945091</v>
      </c>
      <c r="I309" s="309">
        <f t="shared" si="174"/>
        <v>2.5018905050134976</v>
      </c>
      <c r="J309" s="309">
        <f t="shared" si="174"/>
        <v>2.6001008298597768</v>
      </c>
      <c r="K309" s="309">
        <f t="shared" si="174"/>
        <v>2.6988710067230826</v>
      </c>
      <c r="L309" s="309">
        <f t="shared" si="174"/>
        <v>2.7980815261685645</v>
      </c>
      <c r="M309" s="309">
        <f t="shared" si="174"/>
        <v>2.8976097920370703</v>
      </c>
      <c r="N309" s="309">
        <f t="shared" si="174"/>
        <v>2.975821707807607</v>
      </c>
      <c r="O309" s="309">
        <f t="shared" si="174"/>
        <v>3.0482807258902596</v>
      </c>
      <c r="P309" s="309">
        <f t="shared" si="174"/>
        <v>3.1144273678085046</v>
      </c>
      <c r="Q309" s="309">
        <f t="shared" si="174"/>
        <v>3.1739628459832017</v>
      </c>
      <c r="R309" s="309">
        <f t="shared" si="174"/>
        <v>3.226521454596075</v>
      </c>
      <c r="S309" s="309">
        <f t="shared" si="174"/>
        <v>3.2815445667489822</v>
      </c>
      <c r="T309" s="309">
        <f t="shared" si="174"/>
        <v>3.335265673759054</v>
      </c>
      <c r="U309" s="309">
        <f t="shared" si="174"/>
        <v>3.3876550356931441</v>
      </c>
      <c r="V309" s="309">
        <f t="shared" si="174"/>
        <v>3.4386838555174832</v>
      </c>
      <c r="W309" s="309">
        <f t="shared" si="174"/>
        <v>3.4883243119489862</v>
      </c>
      <c r="X309" s="309">
        <f t="shared" si="174"/>
        <v>3.5094576489114697</v>
      </c>
      <c r="Y309" s="309">
        <f t="shared" si="174"/>
        <v>3.5279991060991316</v>
      </c>
      <c r="Z309" s="309">
        <f t="shared" si="174"/>
        <v>3.5434337173101391</v>
      </c>
      <c r="AA309" s="309">
        <f t="shared" si="174"/>
        <v>3.5562273470805166</v>
      </c>
      <c r="AB309" s="309">
        <f t="shared" si="174"/>
        <v>3.5663681439123844</v>
      </c>
      <c r="AC309" s="309">
        <f t="shared" si="174"/>
        <v>3.5716361995998138</v>
      </c>
      <c r="AD309" s="309">
        <f t="shared" si="174"/>
        <v>3.5742899660480894</v>
      </c>
      <c r="AE309" s="309">
        <f t="shared" si="174"/>
        <v>3.5743346637536142</v>
      </c>
      <c r="AF309" s="309">
        <f t="shared" si="174"/>
        <v>3.5717782727099179</v>
      </c>
      <c r="AG309" s="309">
        <f t="shared" si="174"/>
        <v>3.566631574907511</v>
      </c>
      <c r="AI309" s="337"/>
      <c r="AJ309" s="348"/>
    </row>
    <row r="310" spans="1:36" x14ac:dyDescent="0.2">
      <c r="A310" s="346" t="s">
        <v>1382</v>
      </c>
      <c r="B310" s="302" t="s">
        <v>704</v>
      </c>
      <c r="C310" s="249">
        <f t="shared" ref="C310:R314" si="175">C276*C$294</f>
        <v>4.2490712567682962</v>
      </c>
      <c r="D310" s="249">
        <f t="shared" si="175"/>
        <v>4.3902752902125295</v>
      </c>
      <c r="E310" s="249">
        <f t="shared" si="175"/>
        <v>4.524192690578503</v>
      </c>
      <c r="F310" s="249">
        <f t="shared" si="175"/>
        <v>4.6498915560252563</v>
      </c>
      <c r="G310" s="249">
        <f t="shared" si="175"/>
        <v>4.766479629701772</v>
      </c>
      <c r="H310" s="249">
        <f t="shared" si="175"/>
        <v>4.8731148507994249</v>
      </c>
      <c r="I310" s="249">
        <f t="shared" si="175"/>
        <v>4.9516582911725466</v>
      </c>
      <c r="J310" s="249">
        <f t="shared" si="175"/>
        <v>5.028911233428115</v>
      </c>
      <c r="K310" s="249">
        <f t="shared" si="175"/>
        <v>5.1047724633742497</v>
      </c>
      <c r="L310" s="249">
        <f t="shared" si="175"/>
        <v>5.1791412864177744</v>
      </c>
      <c r="M310" s="249">
        <f t="shared" si="175"/>
        <v>5.2519177480671884</v>
      </c>
      <c r="N310" s="249">
        <f t="shared" si="175"/>
        <v>5.2848053195058862</v>
      </c>
      <c r="O310" s="249">
        <f t="shared" si="175"/>
        <v>5.3072744781125039</v>
      </c>
      <c r="P310" s="249">
        <f t="shared" si="175"/>
        <v>5.3189711586845814</v>
      </c>
      <c r="Q310" s="249">
        <f t="shared" si="175"/>
        <v>5.3199945429832054</v>
      </c>
      <c r="R310" s="249">
        <f t="shared" si="175"/>
        <v>5.3103165606893716</v>
      </c>
      <c r="S310" s="249">
        <f t="shared" si="174"/>
        <v>5.3057581989555533</v>
      </c>
      <c r="T310" s="249">
        <f t="shared" si="174"/>
        <v>5.3000564895506219</v>
      </c>
      <c r="U310" s="249">
        <f t="shared" si="174"/>
        <v>5.2932109932705345</v>
      </c>
      <c r="V310" s="249">
        <f t="shared" si="174"/>
        <v>5.2852219973195966</v>
      </c>
      <c r="W310" s="249">
        <f t="shared" si="174"/>
        <v>5.2760905218228373</v>
      </c>
      <c r="X310" s="249">
        <f t="shared" si="174"/>
        <v>5.2254792198865578</v>
      </c>
      <c r="Y310" s="249">
        <f t="shared" si="174"/>
        <v>5.1732679200011251</v>
      </c>
      <c r="Z310" s="249">
        <f t="shared" si="174"/>
        <v>5.1187574336142871</v>
      </c>
      <c r="AA310" s="249">
        <f t="shared" si="174"/>
        <v>5.0626847649410065</v>
      </c>
      <c r="AB310" s="249">
        <f t="shared" si="174"/>
        <v>5.0050734746952141</v>
      </c>
      <c r="AC310" s="249">
        <f t="shared" si="174"/>
        <v>4.9428893833747347</v>
      </c>
      <c r="AD310" s="249">
        <f t="shared" si="174"/>
        <v>4.8793761049669566</v>
      </c>
      <c r="AE310" s="249">
        <f t="shared" si="174"/>
        <v>4.8145671656163902</v>
      </c>
      <c r="AF310" s="249">
        <f t="shared" si="174"/>
        <v>4.7484975977234525</v>
      </c>
      <c r="AG310" s="249">
        <f t="shared" si="174"/>
        <v>4.6812039420661078</v>
      </c>
      <c r="AI310" s="296"/>
    </row>
    <row r="311" spans="1:36" x14ac:dyDescent="0.2">
      <c r="A311" s="346" t="s">
        <v>1383</v>
      </c>
      <c r="B311" s="302" t="s">
        <v>704</v>
      </c>
      <c r="C311" s="249">
        <f t="shared" si="175"/>
        <v>0.91871810957152356</v>
      </c>
      <c r="D311" s="249">
        <f t="shared" si="174"/>
        <v>0.91742972432243897</v>
      </c>
      <c r="E311" s="249">
        <f t="shared" si="174"/>
        <v>0.91291745363459065</v>
      </c>
      <c r="F311" s="249">
        <f t="shared" si="174"/>
        <v>0.90517888957291637</v>
      </c>
      <c r="G311" s="249">
        <f t="shared" si="174"/>
        <v>0.89424219601484556</v>
      </c>
      <c r="H311" s="249">
        <f t="shared" si="174"/>
        <v>0.88016611842632764</v>
      </c>
      <c r="I311" s="249">
        <f t="shared" si="174"/>
        <v>0.86002486109838938</v>
      </c>
      <c r="J311" s="249">
        <f t="shared" si="174"/>
        <v>0.83888388260678559</v>
      </c>
      <c r="K311" s="249">
        <f t="shared" si="174"/>
        <v>0.81676359413987976</v>
      </c>
      <c r="L311" s="249">
        <f t="shared" si="174"/>
        <v>0.79368658674973658</v>
      </c>
      <c r="M311" s="249">
        <f t="shared" si="174"/>
        <v>0.76967760100984639</v>
      </c>
      <c r="N311" s="249">
        <f t="shared" si="174"/>
        <v>0.73941911337292632</v>
      </c>
      <c r="O311" s="249">
        <f t="shared" si="174"/>
        <v>0.70763659708166704</v>
      </c>
      <c r="P311" s="249">
        <f t="shared" si="174"/>
        <v>0.67449081076085304</v>
      </c>
      <c r="Q311" s="249">
        <f t="shared" si="174"/>
        <v>0.64020273313865672</v>
      </c>
      <c r="R311" s="249">
        <f t="shared" si="174"/>
        <v>0.60497277273676364</v>
      </c>
      <c r="S311" s="249">
        <f t="shared" si="174"/>
        <v>0.57070340291286603</v>
      </c>
      <c r="T311" s="249">
        <f t="shared" si="174"/>
        <v>0.53665843952771974</v>
      </c>
      <c r="U311" s="249">
        <f t="shared" si="174"/>
        <v>0.50285504436070061</v>
      </c>
      <c r="V311" s="249">
        <f t="shared" si="174"/>
        <v>0.46931016905659473</v>
      </c>
      <c r="W311" s="249">
        <f t="shared" si="174"/>
        <v>0.43604053899362272</v>
      </c>
      <c r="X311" s="249">
        <f t="shared" si="174"/>
        <v>0.39997495263329191</v>
      </c>
      <c r="Y311" s="249">
        <f t="shared" si="174"/>
        <v>0.36467298452466929</v>
      </c>
      <c r="Z311" s="249">
        <f t="shared" si="174"/>
        <v>0.33010762224941098</v>
      </c>
      <c r="AA311" s="249">
        <f t="shared" si="174"/>
        <v>0.29635227892337579</v>
      </c>
      <c r="AB311" s="249">
        <f t="shared" si="174"/>
        <v>0.26342491972080057</v>
      </c>
      <c r="AC311" s="249">
        <f t="shared" si="174"/>
        <v>0.23119966470623735</v>
      </c>
      <c r="AD311" s="249">
        <f t="shared" si="174"/>
        <v>0.19987805731189917</v>
      </c>
      <c r="AE311" s="249">
        <f t="shared" si="174"/>
        <v>0.16947276422969665</v>
      </c>
      <c r="AF311" s="249">
        <f t="shared" si="174"/>
        <v>0.13999554670579073</v>
      </c>
      <c r="AG311" s="249">
        <f t="shared" si="174"/>
        <v>0.11145723671585972</v>
      </c>
      <c r="AI311" s="296"/>
    </row>
    <row r="312" spans="1:36" x14ac:dyDescent="0.2">
      <c r="A312" s="346" t="s">
        <v>1384</v>
      </c>
      <c r="B312" s="302" t="s">
        <v>704</v>
      </c>
      <c r="C312" s="249">
        <f t="shared" si="175"/>
        <v>3.1006736198038918</v>
      </c>
      <c r="D312" s="249">
        <f t="shared" si="174"/>
        <v>3.1460358357666474</v>
      </c>
      <c r="E312" s="249">
        <f t="shared" si="174"/>
        <v>3.1830927144427332</v>
      </c>
      <c r="F312" s="249">
        <f t="shared" si="174"/>
        <v>3.211525101361445</v>
      </c>
      <c r="G312" s="249">
        <f t="shared" si="174"/>
        <v>3.2310826516385478</v>
      </c>
      <c r="H312" s="249">
        <f t="shared" si="174"/>
        <v>3.2415874117652579</v>
      </c>
      <c r="I312" s="249">
        <f t="shared" si="174"/>
        <v>3.2316085689757692</v>
      </c>
      <c r="J312" s="249">
        <f t="shared" si="174"/>
        <v>3.2193816018365156</v>
      </c>
      <c r="K312" s="249">
        <f t="shared" si="174"/>
        <v>3.2049093204836616</v>
      </c>
      <c r="L312" s="249">
        <f t="shared" si="174"/>
        <v>3.188198662028606</v>
      </c>
      <c r="M312" s="249">
        <f t="shared" si="174"/>
        <v>3.1692607100405468</v>
      </c>
      <c r="N312" s="249">
        <f t="shared" si="174"/>
        <v>3.1255200559137832</v>
      </c>
      <c r="O312" s="249">
        <f t="shared" si="174"/>
        <v>3.0754975180857094</v>
      </c>
      <c r="P312" s="249">
        <f t="shared" si="174"/>
        <v>3.0193649045469084</v>
      </c>
      <c r="Q312" s="249">
        <f t="shared" si="174"/>
        <v>2.9575562883025293</v>
      </c>
      <c r="R312" s="249">
        <f t="shared" si="174"/>
        <v>2.8904254697423175</v>
      </c>
      <c r="S312" s="249">
        <f t="shared" si="174"/>
        <v>2.8267652925527917</v>
      </c>
      <c r="T312" s="249">
        <f t="shared" si="174"/>
        <v>2.7631256845104932</v>
      </c>
      <c r="U312" s="249">
        <f t="shared" si="174"/>
        <v>2.6995376065679739</v>
      </c>
      <c r="V312" s="249">
        <f t="shared" si="174"/>
        <v>2.6360318841403148</v>
      </c>
      <c r="W312" s="249">
        <f t="shared" si="174"/>
        <v>2.5726391800623762</v>
      </c>
      <c r="X312" s="249">
        <f t="shared" si="174"/>
        <v>2.4901666405879164</v>
      </c>
      <c r="Y312" s="249">
        <f t="shared" si="174"/>
        <v>2.4085378512792128</v>
      </c>
      <c r="Z312" s="249">
        <f t="shared" si="174"/>
        <v>2.3274676657331907</v>
      </c>
      <c r="AA312" s="249">
        <f t="shared" si="174"/>
        <v>2.2473381151689349</v>
      </c>
      <c r="AB312" s="249">
        <f t="shared" si="174"/>
        <v>2.1681897238558219</v>
      </c>
      <c r="AC312" s="249">
        <f t="shared" si="174"/>
        <v>2.0887693845873883</v>
      </c>
      <c r="AD312" s="249">
        <f t="shared" si="174"/>
        <v>2.0105381059020471</v>
      </c>
      <c r="AE312" s="249">
        <f t="shared" si="174"/>
        <v>1.9335301737115422</v>
      </c>
      <c r="AF312" s="249">
        <f t="shared" si="174"/>
        <v>1.8577787414200915</v>
      </c>
      <c r="AG312" s="249">
        <f t="shared" si="174"/>
        <v>1.7833157874537555</v>
      </c>
      <c r="AI312" s="296"/>
    </row>
    <row r="313" spans="1:36" x14ac:dyDescent="0.2">
      <c r="A313" s="346" t="s">
        <v>1385</v>
      </c>
      <c r="B313" s="302" t="s">
        <v>704</v>
      </c>
      <c r="C313" s="249">
        <f t="shared" si="175"/>
        <v>0.80387834587508311</v>
      </c>
      <c r="D313" s="249">
        <f t="shared" si="174"/>
        <v>0.82293052525059984</v>
      </c>
      <c r="E313" s="249">
        <f t="shared" si="174"/>
        <v>0.84020721396457909</v>
      </c>
      <c r="F313" s="249">
        <f t="shared" si="174"/>
        <v>0.85558004630864715</v>
      </c>
      <c r="G313" s="249">
        <f t="shared" si="174"/>
        <v>0.86893345461819915</v>
      </c>
      <c r="H313" s="249">
        <f t="shared" si="174"/>
        <v>0.88016611842632775</v>
      </c>
      <c r="I313" s="249">
        <f t="shared" si="174"/>
        <v>0.88608622052561359</v>
      </c>
      <c r="J313" s="249">
        <f t="shared" si="174"/>
        <v>0.89158862915799753</v>
      </c>
      <c r="K313" s="249">
        <f t="shared" si="174"/>
        <v>0.89666438052312902</v>
      </c>
      <c r="L313" s="249">
        <f t="shared" si="174"/>
        <v>0.90130510698698918</v>
      </c>
      <c r="M313" s="249">
        <f t="shared" si="174"/>
        <v>0.90550306001158409</v>
      </c>
      <c r="N313" s="249">
        <f t="shared" si="174"/>
        <v>0.90272640221602674</v>
      </c>
      <c r="O313" s="249">
        <f t="shared" si="174"/>
        <v>0.89815414244980818</v>
      </c>
      <c r="P313" s="249">
        <f t="shared" si="174"/>
        <v>0.89177644107307419</v>
      </c>
      <c r="Q313" s="249">
        <f t="shared" si="174"/>
        <v>0.88366011052941351</v>
      </c>
      <c r="R313" s="249">
        <f t="shared" si="174"/>
        <v>0.87384956061976971</v>
      </c>
      <c r="S313" s="249">
        <f t="shared" si="174"/>
        <v>0.86497234503981246</v>
      </c>
      <c r="T313" s="249">
        <f t="shared" si="174"/>
        <v>0.85599238701528835</v>
      </c>
      <c r="U313" s="249">
        <f t="shared" si="174"/>
        <v>0.84691375892328513</v>
      </c>
      <c r="V313" s="249">
        <f t="shared" si="174"/>
        <v>0.83774058214775304</v>
      </c>
      <c r="W313" s="249">
        <f t="shared" si="174"/>
        <v>0.82847702408788304</v>
      </c>
      <c r="X313" s="249">
        <f t="shared" si="174"/>
        <v>0.81285232309346411</v>
      </c>
      <c r="Y313" s="249">
        <f t="shared" si="174"/>
        <v>0.7971921057050908</v>
      </c>
      <c r="Z313" s="249">
        <f t="shared" si="174"/>
        <v>0.78139399190683345</v>
      </c>
      <c r="AA313" s="249">
        <f t="shared" si="174"/>
        <v>0.76557672055205417</v>
      </c>
      <c r="AB313" s="249">
        <f t="shared" si="174"/>
        <v>0.74974784843612485</v>
      </c>
      <c r="AC313" s="249">
        <f t="shared" si="174"/>
        <v>0.73346100527496028</v>
      </c>
      <c r="AD313" s="249">
        <f t="shared" si="174"/>
        <v>0.71720949976622705</v>
      </c>
      <c r="AE313" s="249">
        <f t="shared" si="174"/>
        <v>0.70100097931374616</v>
      </c>
      <c r="AF313" s="249">
        <f t="shared" si="174"/>
        <v>0.68484307983103154</v>
      </c>
      <c r="AG313" s="249">
        <f t="shared" si="174"/>
        <v>0.66874342029515821</v>
      </c>
      <c r="AI313" s="296"/>
    </row>
    <row r="314" spans="1:36" s="68" customFormat="1" x14ac:dyDescent="0.2">
      <c r="A314" s="347" t="s">
        <v>1386</v>
      </c>
      <c r="B314" s="312" t="s">
        <v>704</v>
      </c>
      <c r="C314" s="313">
        <f t="shared" si="175"/>
        <v>0.57419881848220222</v>
      </c>
      <c r="D314" s="313">
        <f t="shared" si="174"/>
        <v>0.58274506094300849</v>
      </c>
      <c r="E314" s="313">
        <f t="shared" si="174"/>
        <v>0.5897608328789834</v>
      </c>
      <c r="F314" s="313">
        <f t="shared" si="174"/>
        <v>0.59518611917123276</v>
      </c>
      <c r="G314" s="313">
        <f t="shared" si="174"/>
        <v>0.59897354638730227</v>
      </c>
      <c r="H314" s="313">
        <f t="shared" si="174"/>
        <v>0.60108905648627264</v>
      </c>
      <c r="I314" s="313">
        <f t="shared" si="174"/>
        <v>0.59941126682615042</v>
      </c>
      <c r="J314" s="313">
        <f t="shared" si="174"/>
        <v>0.59732046091373237</v>
      </c>
      <c r="K314" s="313">
        <f t="shared" si="174"/>
        <v>0.59481696529752126</v>
      </c>
      <c r="L314" s="313">
        <f t="shared" si="174"/>
        <v>0.59190186130488842</v>
      </c>
      <c r="M314" s="313">
        <f t="shared" si="174"/>
        <v>0.58857698900752964</v>
      </c>
      <c r="N314" s="313">
        <f t="shared" si="174"/>
        <v>0.58064813810880112</v>
      </c>
      <c r="O314" s="313">
        <f t="shared" si="174"/>
        <v>0.57155263610442342</v>
      </c>
      <c r="P314" s="313">
        <f t="shared" si="174"/>
        <v>0.56132121163990456</v>
      </c>
      <c r="Q314" s="313">
        <f t="shared" si="174"/>
        <v>0.55003333410504307</v>
      </c>
      <c r="R314" s="313">
        <f t="shared" si="174"/>
        <v>0.53775357576601213</v>
      </c>
      <c r="S314" s="313">
        <f t="shared" si="174"/>
        <v>0.52611719956029834</v>
      </c>
      <c r="T314" s="313">
        <f t="shared" si="174"/>
        <v>0.51448247095219402</v>
      </c>
      <c r="U314" s="313">
        <f t="shared" si="174"/>
        <v>0.5028550443607005</v>
      </c>
      <c r="V314" s="313">
        <f t="shared" si="174"/>
        <v>0.49124055078821122</v>
      </c>
      <c r="W314" s="313">
        <f t="shared" si="174"/>
        <v>0.47964459289298489</v>
      </c>
      <c r="X314" s="313">
        <f t="shared" si="174"/>
        <v>0.46448704176769373</v>
      </c>
      <c r="Y314" s="313">
        <f t="shared" si="174"/>
        <v>0.44948065534435966</v>
      </c>
      <c r="Z314" s="313">
        <f t="shared" si="174"/>
        <v>0.43457205967011048</v>
      </c>
      <c r="AA314" s="313">
        <f t="shared" si="174"/>
        <v>0.41983239514144888</v>
      </c>
      <c r="AB314" s="313">
        <f t="shared" si="174"/>
        <v>0.40526910726276999</v>
      </c>
      <c r="AC314" s="313">
        <f t="shared" si="174"/>
        <v>0.39064770933122861</v>
      </c>
      <c r="AD314" s="313">
        <f t="shared" si="174"/>
        <v>0.37624104905769257</v>
      </c>
      <c r="AE314" s="313">
        <f t="shared" si="174"/>
        <v>0.36205545085435203</v>
      </c>
      <c r="AF314" s="313">
        <f t="shared" si="174"/>
        <v>0.34809703505223666</v>
      </c>
      <c r="AG314" s="313">
        <f t="shared" si="174"/>
        <v>0.3343717101475791</v>
      </c>
      <c r="AI314" s="314"/>
      <c r="AJ314" s="315"/>
    </row>
    <row r="315" spans="1:36" s="181" customFormat="1" x14ac:dyDescent="0.2">
      <c r="B315" s="176"/>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J315" s="323"/>
    </row>
    <row r="316" spans="1:36" s="181" customFormat="1" x14ac:dyDescent="0.2">
      <c r="A316" s="181" t="s">
        <v>1588</v>
      </c>
      <c r="B316" s="350" t="s">
        <v>704</v>
      </c>
      <c r="C316" s="230">
        <f>C249</f>
        <v>1.1899030376946831</v>
      </c>
      <c r="D316" s="230">
        <f t="shared" ref="D316:AG316" si="176">D249</f>
        <v>1.2832138051892112</v>
      </c>
      <c r="E316" s="230">
        <f t="shared" si="176"/>
        <v>1.3776355273533616</v>
      </c>
      <c r="F316" s="230">
        <f t="shared" si="176"/>
        <v>1.4726001445686854</v>
      </c>
      <c r="G316" s="230">
        <f t="shared" si="176"/>
        <v>1.5675090695001979</v>
      </c>
      <c r="H316" s="230">
        <f t="shared" si="176"/>
        <v>1.6617393334988022</v>
      </c>
      <c r="I316" s="230">
        <f t="shared" si="176"/>
        <v>1.7469225352792939</v>
      </c>
      <c r="J316" s="230">
        <f t="shared" si="176"/>
        <v>1.8332207668502147</v>
      </c>
      <c r="K316" s="230">
        <f t="shared" si="176"/>
        <v>1.9205356611807338</v>
      </c>
      <c r="L316" s="230">
        <f t="shared" si="176"/>
        <v>2.0087643004214062</v>
      </c>
      <c r="M316" s="230">
        <f t="shared" si="176"/>
        <v>2.0977993672335775</v>
      </c>
      <c r="N316" s="230">
        <f t="shared" si="176"/>
        <v>2.2582110064054164</v>
      </c>
      <c r="O316" s="230">
        <f t="shared" si="176"/>
        <v>2.4167281141895853</v>
      </c>
      <c r="P316" s="230">
        <f t="shared" si="176"/>
        <v>2.5723824208480552</v>
      </c>
      <c r="Q316" s="230">
        <f t="shared" si="176"/>
        <v>2.7242941211949931</v>
      </c>
      <c r="R316" s="230">
        <f t="shared" si="176"/>
        <v>2.8715576356524481</v>
      </c>
      <c r="S316" s="230">
        <f t="shared" si="176"/>
        <v>3.0241496115820539</v>
      </c>
      <c r="T316" s="230">
        <f t="shared" si="176"/>
        <v>3.1771732813247522</v>
      </c>
      <c r="U316" s="230">
        <f t="shared" si="176"/>
        <v>3.3305613881366831</v>
      </c>
      <c r="V316" s="230">
        <f t="shared" si="176"/>
        <v>3.4842457383399701</v>
      </c>
      <c r="W316" s="230">
        <f t="shared" si="176"/>
        <v>3.6381572380961731</v>
      </c>
      <c r="X316" s="230">
        <f t="shared" si="176"/>
        <v>3.8920303858352137</v>
      </c>
      <c r="Y316" s="230">
        <f t="shared" si="176"/>
        <v>4.1464970662259306</v>
      </c>
      <c r="Z316" s="230">
        <f t="shared" si="176"/>
        <v>4.4009105179430605</v>
      </c>
      <c r="AA316" s="230">
        <f t="shared" si="176"/>
        <v>4.6555752114263536</v>
      </c>
      <c r="AB316" s="230">
        <f t="shared" si="176"/>
        <v>4.9103702825704429</v>
      </c>
      <c r="AC316" s="230">
        <f t="shared" si="176"/>
        <v>5.1601751784010812</v>
      </c>
      <c r="AD316" s="230">
        <f t="shared" si="176"/>
        <v>5.4093473173012692</v>
      </c>
      <c r="AE316" s="230">
        <f t="shared" si="176"/>
        <v>5.6577546540825789</v>
      </c>
      <c r="AF316" s="230">
        <f t="shared" si="176"/>
        <v>5.9052636331248767</v>
      </c>
      <c r="AG316" s="230">
        <f t="shared" si="176"/>
        <v>6.1517392427588131</v>
      </c>
      <c r="AI316" s="694" t="s">
        <v>1391</v>
      </c>
      <c r="AJ316" s="323"/>
    </row>
    <row r="317" spans="1:36" s="181" customFormat="1" x14ac:dyDescent="0.2">
      <c r="A317" s="181" t="s">
        <v>1589</v>
      </c>
      <c r="B317" s="349" t="s">
        <v>704</v>
      </c>
      <c r="C317" s="249">
        <f>C316/(1-C274)</f>
        <v>1.6300041612255933</v>
      </c>
      <c r="D317" s="249">
        <f t="shared" ref="D317:AG317" si="177">D316/(1-D274)</f>
        <v>1.7482476909934759</v>
      </c>
      <c r="E317" s="249">
        <f t="shared" si="177"/>
        <v>1.8667148067118722</v>
      </c>
      <c r="F317" s="249">
        <f t="shared" si="177"/>
        <v>1.9846363134348859</v>
      </c>
      <c r="G317" s="249">
        <f t="shared" si="177"/>
        <v>2.1012185918233217</v>
      </c>
      <c r="H317" s="249">
        <f t="shared" si="177"/>
        <v>2.2156524446650696</v>
      </c>
      <c r="I317" s="249">
        <f t="shared" si="177"/>
        <v>2.3168733889645807</v>
      </c>
      <c r="J317" s="249">
        <f t="shared" si="177"/>
        <v>2.418497053892104</v>
      </c>
      <c r="K317" s="249">
        <f t="shared" si="177"/>
        <v>2.5203880067988633</v>
      </c>
      <c r="L317" s="249">
        <f t="shared" si="177"/>
        <v>2.6224077029000079</v>
      </c>
      <c r="M317" s="249">
        <f t="shared" si="177"/>
        <v>2.7244147626410098</v>
      </c>
      <c r="N317" s="249">
        <f t="shared" si="177"/>
        <v>2.9175852795935611</v>
      </c>
      <c r="O317" s="249">
        <f t="shared" si="177"/>
        <v>3.1063343370046081</v>
      </c>
      <c r="P317" s="249">
        <f t="shared" si="177"/>
        <v>3.2894915867622188</v>
      </c>
      <c r="Q317" s="249">
        <f t="shared" si="177"/>
        <v>3.4660230549554618</v>
      </c>
      <c r="R317" s="249">
        <f t="shared" si="177"/>
        <v>3.6348830831043646</v>
      </c>
      <c r="S317" s="249">
        <f t="shared" si="177"/>
        <v>3.8087526594232415</v>
      </c>
      <c r="T317" s="249">
        <f t="shared" si="177"/>
        <v>3.9814201520360299</v>
      </c>
      <c r="U317" s="249">
        <f t="shared" si="177"/>
        <v>4.1528196859559641</v>
      </c>
      <c r="V317" s="249">
        <f t="shared" si="177"/>
        <v>4.3228855314391685</v>
      </c>
      <c r="W317" s="249">
        <f t="shared" si="177"/>
        <v>4.4915521457977441</v>
      </c>
      <c r="X317" s="249">
        <f t="shared" si="177"/>
        <v>4.7813641103626701</v>
      </c>
      <c r="Y317" s="249">
        <f t="shared" si="177"/>
        <v>5.0690673181246089</v>
      </c>
      <c r="Z317" s="249">
        <f t="shared" si="177"/>
        <v>5.3539057395900977</v>
      </c>
      <c r="AA317" s="249">
        <f t="shared" si="177"/>
        <v>5.6362896022110816</v>
      </c>
      <c r="AB317" s="249">
        <f t="shared" si="177"/>
        <v>5.9161087741812564</v>
      </c>
      <c r="AC317" s="249">
        <f t="shared" si="177"/>
        <v>6.1872604057566916</v>
      </c>
      <c r="AD317" s="249">
        <f t="shared" si="177"/>
        <v>6.4550683977342107</v>
      </c>
      <c r="AE317" s="249">
        <f t="shared" si="177"/>
        <v>6.7194235796705204</v>
      </c>
      <c r="AF317" s="249">
        <f t="shared" si="177"/>
        <v>6.9802170604312952</v>
      </c>
      <c r="AG317" s="249">
        <f t="shared" si="177"/>
        <v>7.237340285598604</v>
      </c>
      <c r="AI317" s="694"/>
      <c r="AJ317" s="323"/>
    </row>
    <row r="318" spans="1:36" s="181" customFormat="1" x14ac:dyDescent="0.2">
      <c r="A318" s="181" t="s">
        <v>1590</v>
      </c>
      <c r="B318" s="349" t="s">
        <v>704</v>
      </c>
      <c r="C318" s="249">
        <f>C306</f>
        <v>0.50568778835281525</v>
      </c>
      <c r="D318" s="249">
        <f t="shared" ref="D318:AG318" si="178">D306</f>
        <v>0.57669293689540047</v>
      </c>
      <c r="E318" s="249">
        <f t="shared" si="178"/>
        <v>0.65051194315701033</v>
      </c>
      <c r="F318" s="249">
        <f t="shared" si="178"/>
        <v>0.72676315762602262</v>
      </c>
      <c r="G318" s="249">
        <f t="shared" si="178"/>
        <v>0.80502135037991529</v>
      </c>
      <c r="H318" s="249">
        <f t="shared" si="178"/>
        <v>0.88482132207331932</v>
      </c>
      <c r="I318" s="249">
        <f t="shared" si="178"/>
        <v>0.96218505113164943</v>
      </c>
      <c r="J318" s="249">
        <f t="shared" si="178"/>
        <v>1.0416886963352676</v>
      </c>
      <c r="K318" s="249">
        <f t="shared" si="178"/>
        <v>1.1232791518243672</v>
      </c>
      <c r="L318" s="249">
        <f t="shared" si="178"/>
        <v>1.2068974184944459</v>
      </c>
      <c r="M318" s="249">
        <f t="shared" si="178"/>
        <v>1.2924785925748306</v>
      </c>
      <c r="N318" s="249">
        <f t="shared" si="178"/>
        <v>1.3775486678778368</v>
      </c>
      <c r="O318" s="249">
        <f t="shared" si="178"/>
        <v>1.4620220802404533</v>
      </c>
      <c r="P318" s="249">
        <f t="shared" si="178"/>
        <v>1.5453796886744557</v>
      </c>
      <c r="Q318" s="249">
        <f t="shared" si="178"/>
        <v>1.6271959570802923</v>
      </c>
      <c r="R318" s="249">
        <f t="shared" si="178"/>
        <v>1.7069984142431158</v>
      </c>
      <c r="S318" s="249">
        <f t="shared" si="178"/>
        <v>1.7898464280783293</v>
      </c>
      <c r="T318" s="249">
        <f t="shared" si="178"/>
        <v>1.873636232217341</v>
      </c>
      <c r="U318" s="249">
        <f t="shared" si="178"/>
        <v>1.9583409390846453</v>
      </c>
      <c r="V318" s="249">
        <f t="shared" si="178"/>
        <v>2.0439326695948274</v>
      </c>
      <c r="W318" s="249">
        <f t="shared" si="178"/>
        <v>2.1303825596352417</v>
      </c>
      <c r="X318" s="249">
        <f t="shared" si="178"/>
        <v>2.217687404929173</v>
      </c>
      <c r="Y318" s="249">
        <f t="shared" si="178"/>
        <v>2.3058173347974891</v>
      </c>
      <c r="Z318" s="249">
        <f t="shared" si="178"/>
        <v>2.3944192602478171</v>
      </c>
      <c r="AA318" s="249">
        <f t="shared" si="178"/>
        <v>2.4837506564780099</v>
      </c>
      <c r="AB318" s="249">
        <f t="shared" si="178"/>
        <v>2.5737790428392313</v>
      </c>
      <c r="AC318" s="249">
        <f t="shared" si="178"/>
        <v>2.6625425126342224</v>
      </c>
      <c r="AD318" s="249">
        <f t="shared" si="178"/>
        <v>2.7518048728481124</v>
      </c>
      <c r="AE318" s="249">
        <f t="shared" si="178"/>
        <v>2.8415292954550608</v>
      </c>
      <c r="AF318" s="249">
        <f t="shared" si="178"/>
        <v>2.9316780909397107</v>
      </c>
      <c r="AG318" s="249">
        <f t="shared" si="178"/>
        <v>3.0222127203943203</v>
      </c>
      <c r="AI318" s="694"/>
      <c r="AJ318" s="323"/>
    </row>
    <row r="319" spans="1:36" s="181" customFormat="1" x14ac:dyDescent="0.2">
      <c r="A319" s="181" t="s">
        <v>1591</v>
      </c>
      <c r="B319" s="349" t="s">
        <v>704</v>
      </c>
      <c r="C319" s="249">
        <f>C317-C318</f>
        <v>1.1243163728727781</v>
      </c>
      <c r="D319" s="249">
        <f t="shared" ref="D319:AG319" si="179">D317-D318</f>
        <v>1.1715547540980755</v>
      </c>
      <c r="E319" s="249">
        <f t="shared" si="179"/>
        <v>1.2162028635548618</v>
      </c>
      <c r="F319" s="249">
        <f t="shared" si="179"/>
        <v>1.2578731558088632</v>
      </c>
      <c r="G319" s="249">
        <f t="shared" si="179"/>
        <v>1.2961972414434064</v>
      </c>
      <c r="H319" s="249">
        <f t="shared" si="179"/>
        <v>1.3308311225917504</v>
      </c>
      <c r="I319" s="249">
        <f t="shared" si="179"/>
        <v>1.3546883378329313</v>
      </c>
      <c r="J319" s="249">
        <f t="shared" si="179"/>
        <v>1.3768083575568364</v>
      </c>
      <c r="K319" s="249">
        <f t="shared" si="179"/>
        <v>1.3971088549744961</v>
      </c>
      <c r="L319" s="249">
        <f t="shared" si="179"/>
        <v>1.415510284405562</v>
      </c>
      <c r="M319" s="249">
        <f t="shared" si="179"/>
        <v>1.4319361700661792</v>
      </c>
      <c r="N319" s="249">
        <f t="shared" si="179"/>
        <v>1.5400366117157243</v>
      </c>
      <c r="O319" s="249">
        <f t="shared" si="179"/>
        <v>1.6443122567641548</v>
      </c>
      <c r="P319" s="249">
        <f t="shared" si="179"/>
        <v>1.744111898087763</v>
      </c>
      <c r="Q319" s="249">
        <f t="shared" si="179"/>
        <v>1.8388270978751695</v>
      </c>
      <c r="R319" s="249">
        <f t="shared" si="179"/>
        <v>1.9278846688612488</v>
      </c>
      <c r="S319" s="249">
        <f t="shared" si="179"/>
        <v>2.0189062313449124</v>
      </c>
      <c r="T319" s="249">
        <f t="shared" si="179"/>
        <v>2.1077839198186892</v>
      </c>
      <c r="U319" s="249">
        <f t="shared" si="179"/>
        <v>2.1944787468713187</v>
      </c>
      <c r="V319" s="249">
        <f t="shared" si="179"/>
        <v>2.2789528618443411</v>
      </c>
      <c r="W319" s="249">
        <f t="shared" si="179"/>
        <v>2.3611695861625024</v>
      </c>
      <c r="X319" s="249">
        <f t="shared" si="179"/>
        <v>2.563676705433497</v>
      </c>
      <c r="Y319" s="249">
        <f t="shared" si="179"/>
        <v>2.7632499833271198</v>
      </c>
      <c r="Z319" s="249">
        <f t="shared" si="179"/>
        <v>2.9594864793422806</v>
      </c>
      <c r="AA319" s="249">
        <f t="shared" si="179"/>
        <v>3.1525389457330717</v>
      </c>
      <c r="AB319" s="249">
        <f t="shared" si="179"/>
        <v>3.342329731342025</v>
      </c>
      <c r="AC319" s="249">
        <f t="shared" si="179"/>
        <v>3.5247178931224692</v>
      </c>
      <c r="AD319" s="249">
        <f t="shared" si="179"/>
        <v>3.7032635248860983</v>
      </c>
      <c r="AE319" s="249">
        <f t="shared" si="179"/>
        <v>3.8778942842154596</v>
      </c>
      <c r="AF319" s="249">
        <f t="shared" si="179"/>
        <v>4.0485389694915845</v>
      </c>
      <c r="AG319" s="249">
        <f t="shared" si="179"/>
        <v>4.2151275652042841</v>
      </c>
      <c r="AI319" s="694"/>
      <c r="AJ319" s="323"/>
    </row>
    <row r="320" spans="1:36" s="181" customFormat="1" x14ac:dyDescent="0.2">
      <c r="A320" s="181" t="s">
        <v>1592</v>
      </c>
      <c r="B320" s="349" t="s">
        <v>704</v>
      </c>
      <c r="C320" s="249">
        <f>(C319)/(1-C271)</f>
        <v>1.4053954660909724</v>
      </c>
      <c r="D320" s="249">
        <f t="shared" ref="D320:AG320" si="180">(D317-D306)/(1-D271)</f>
        <v>1.4583669138150317</v>
      </c>
      <c r="E320" s="249">
        <f t="shared" si="180"/>
        <v>1.5076895002746222</v>
      </c>
      <c r="F320" s="249">
        <f t="shared" si="180"/>
        <v>1.5529298219862508</v>
      </c>
      <c r="G320" s="249">
        <f t="shared" si="180"/>
        <v>1.5936851329222212</v>
      </c>
      <c r="H320" s="249">
        <f t="shared" si="180"/>
        <v>1.6295891297041842</v>
      </c>
      <c r="I320" s="249">
        <f t="shared" si="180"/>
        <v>1.6520589485767456</v>
      </c>
      <c r="J320" s="249">
        <f t="shared" si="180"/>
        <v>1.6722368715265221</v>
      </c>
      <c r="K320" s="249">
        <f t="shared" si="180"/>
        <v>1.6900510342433421</v>
      </c>
      <c r="L320" s="249">
        <f t="shared" si="180"/>
        <v>1.7054340775970627</v>
      </c>
      <c r="M320" s="249">
        <f t="shared" si="180"/>
        <v>1.7183234040794153</v>
      </c>
      <c r="N320" s="249">
        <f t="shared" si="180"/>
        <v>1.8406812092219815</v>
      </c>
      <c r="O320" s="249">
        <f t="shared" si="180"/>
        <v>1.9575145913858989</v>
      </c>
      <c r="P320" s="249">
        <f t="shared" si="180"/>
        <v>2.0681168752028811</v>
      </c>
      <c r="Q320" s="249">
        <f t="shared" si="180"/>
        <v>2.1718430289864208</v>
      </c>
      <c r="R320" s="249">
        <f t="shared" si="180"/>
        <v>2.2680996104249989</v>
      </c>
      <c r="S320" s="249">
        <f t="shared" si="180"/>
        <v>2.3659057398573196</v>
      </c>
      <c r="T320" s="249">
        <f t="shared" si="180"/>
        <v>2.4604481554303765</v>
      </c>
      <c r="U320" s="249">
        <f t="shared" si="180"/>
        <v>2.5517194731061847</v>
      </c>
      <c r="V320" s="249">
        <f t="shared" si="180"/>
        <v>2.6397137395880406</v>
      </c>
      <c r="W320" s="249">
        <f t="shared" si="180"/>
        <v>2.7244264455721185</v>
      </c>
      <c r="X320" s="249">
        <f t="shared" si="180"/>
        <v>2.9467548338316063</v>
      </c>
      <c r="Y320" s="249">
        <f t="shared" si="180"/>
        <v>3.1640266984661682</v>
      </c>
      <c r="Z320" s="249">
        <f t="shared" si="180"/>
        <v>3.3758400905045032</v>
      </c>
      <c r="AA320" s="249">
        <f t="shared" si="180"/>
        <v>3.5824306201512184</v>
      </c>
      <c r="AB320" s="249">
        <f t="shared" si="180"/>
        <v>3.7837695071796515</v>
      </c>
      <c r="AC320" s="249">
        <f t="shared" si="180"/>
        <v>3.9752457441230864</v>
      </c>
      <c r="AD320" s="249">
        <f t="shared" si="180"/>
        <v>4.1609702526810102</v>
      </c>
      <c r="AE320" s="249">
        <f t="shared" si="180"/>
        <v>4.3409264375546197</v>
      </c>
      <c r="AF320" s="249">
        <f t="shared" si="180"/>
        <v>4.5150992224813216</v>
      </c>
      <c r="AG320" s="249">
        <f t="shared" si="180"/>
        <v>4.6834750724492045</v>
      </c>
      <c r="AI320" s="694"/>
      <c r="AJ320" s="323"/>
    </row>
    <row r="321" spans="1:37" s="181" customFormat="1" x14ac:dyDescent="0.2">
      <c r="A321" s="181" t="s">
        <v>1593</v>
      </c>
      <c r="B321" s="349" t="s">
        <v>704</v>
      </c>
      <c r="C321" s="249">
        <f>IF(C300&gt;C320,C320,C300)</f>
        <v>1.4053954660909724</v>
      </c>
      <c r="D321" s="249">
        <f t="shared" ref="D321:AG321" si="181">IF(D300&gt;D320,D320,D300)</f>
        <v>1.4583669138150317</v>
      </c>
      <c r="E321" s="249">
        <f t="shared" si="181"/>
        <v>1.5076895002746222</v>
      </c>
      <c r="F321" s="249">
        <f t="shared" si="181"/>
        <v>1.5529298219862508</v>
      </c>
      <c r="G321" s="249">
        <f t="shared" si="181"/>
        <v>1.5936851329222212</v>
      </c>
      <c r="H321" s="249">
        <f t="shared" si="181"/>
        <v>1.6295891297041842</v>
      </c>
      <c r="I321" s="249">
        <f t="shared" si="181"/>
        <v>1.6520589485767456</v>
      </c>
      <c r="J321" s="249">
        <f t="shared" si="181"/>
        <v>1.6722368715265221</v>
      </c>
      <c r="K321" s="249">
        <f t="shared" si="181"/>
        <v>1.6900510342433421</v>
      </c>
      <c r="L321" s="249">
        <f t="shared" si="181"/>
        <v>1.7054340775970627</v>
      </c>
      <c r="M321" s="249">
        <f t="shared" si="181"/>
        <v>1.7183234040794153</v>
      </c>
      <c r="N321" s="249">
        <f t="shared" si="181"/>
        <v>1.8406812092219815</v>
      </c>
      <c r="O321" s="249">
        <f t="shared" si="181"/>
        <v>1.9575145913858989</v>
      </c>
      <c r="P321" s="249">
        <f t="shared" si="181"/>
        <v>2.0681168752028811</v>
      </c>
      <c r="Q321" s="249">
        <f t="shared" si="181"/>
        <v>2.1718430289864208</v>
      </c>
      <c r="R321" s="249">
        <f t="shared" si="181"/>
        <v>2.2680996104249989</v>
      </c>
      <c r="S321" s="249">
        <f t="shared" si="181"/>
        <v>2.3659057398573196</v>
      </c>
      <c r="T321" s="249">
        <f t="shared" si="181"/>
        <v>2.4604481554303765</v>
      </c>
      <c r="U321" s="249">
        <f t="shared" si="181"/>
        <v>2.5517194731061847</v>
      </c>
      <c r="V321" s="249">
        <f t="shared" si="181"/>
        <v>2.6397137395880406</v>
      </c>
      <c r="W321" s="249">
        <f t="shared" si="181"/>
        <v>2.7244264455721185</v>
      </c>
      <c r="X321" s="249">
        <f t="shared" si="181"/>
        <v>2.9467548338316063</v>
      </c>
      <c r="Y321" s="249">
        <f t="shared" si="181"/>
        <v>3.1640266984661682</v>
      </c>
      <c r="Z321" s="249">
        <f t="shared" si="181"/>
        <v>3.3758400905045032</v>
      </c>
      <c r="AA321" s="249">
        <f t="shared" si="181"/>
        <v>3.5824306201512184</v>
      </c>
      <c r="AB321" s="249">
        <f t="shared" si="181"/>
        <v>3.7837695071796515</v>
      </c>
      <c r="AC321" s="249">
        <f t="shared" si="181"/>
        <v>3.9752457441230864</v>
      </c>
      <c r="AD321" s="249">
        <f t="shared" si="181"/>
        <v>4.1609702526810102</v>
      </c>
      <c r="AE321" s="249">
        <f t="shared" si="181"/>
        <v>4.3409264375546197</v>
      </c>
      <c r="AF321" s="249">
        <f t="shared" si="181"/>
        <v>4.4311159830991897</v>
      </c>
      <c r="AG321" s="249">
        <f t="shared" si="181"/>
        <v>4.5167135161937102</v>
      </c>
      <c r="AI321" s="694"/>
      <c r="AJ321" s="323"/>
    </row>
    <row r="322" spans="1:37" s="181" customFormat="1" x14ac:dyDescent="0.2">
      <c r="A322" s="181" t="s">
        <v>1594</v>
      </c>
      <c r="B322" s="349" t="s">
        <v>704</v>
      </c>
      <c r="C322" s="249">
        <f>IF(C320-C321&lt;0,0,C320-C321)</f>
        <v>0</v>
      </c>
      <c r="D322" s="249">
        <f t="shared" ref="D322:AG322" si="182">IF(D320-D321&lt;0,0,D320-D321)</f>
        <v>0</v>
      </c>
      <c r="E322" s="249">
        <f t="shared" si="182"/>
        <v>0</v>
      </c>
      <c r="F322" s="249">
        <f t="shared" si="182"/>
        <v>0</v>
      </c>
      <c r="G322" s="249">
        <f t="shared" si="182"/>
        <v>0</v>
      </c>
      <c r="H322" s="249">
        <f t="shared" si="182"/>
        <v>0</v>
      </c>
      <c r="I322" s="249">
        <f t="shared" si="182"/>
        <v>0</v>
      </c>
      <c r="J322" s="249">
        <f t="shared" si="182"/>
        <v>0</v>
      </c>
      <c r="K322" s="249">
        <f t="shared" si="182"/>
        <v>0</v>
      </c>
      <c r="L322" s="249">
        <f t="shared" si="182"/>
        <v>0</v>
      </c>
      <c r="M322" s="249">
        <f t="shared" si="182"/>
        <v>0</v>
      </c>
      <c r="N322" s="249">
        <f t="shared" si="182"/>
        <v>0</v>
      </c>
      <c r="O322" s="249">
        <f t="shared" si="182"/>
        <v>0</v>
      </c>
      <c r="P322" s="249">
        <f t="shared" si="182"/>
        <v>0</v>
      </c>
      <c r="Q322" s="249">
        <f t="shared" si="182"/>
        <v>0</v>
      </c>
      <c r="R322" s="249">
        <f t="shared" si="182"/>
        <v>0</v>
      </c>
      <c r="S322" s="249">
        <f t="shared" si="182"/>
        <v>0</v>
      </c>
      <c r="T322" s="249">
        <f t="shared" si="182"/>
        <v>0</v>
      </c>
      <c r="U322" s="249">
        <f t="shared" si="182"/>
        <v>0</v>
      </c>
      <c r="V322" s="249">
        <f t="shared" si="182"/>
        <v>0</v>
      </c>
      <c r="W322" s="249">
        <f t="shared" si="182"/>
        <v>0</v>
      </c>
      <c r="X322" s="249">
        <f t="shared" si="182"/>
        <v>0</v>
      </c>
      <c r="Y322" s="249">
        <f t="shared" si="182"/>
        <v>0</v>
      </c>
      <c r="Z322" s="249">
        <f t="shared" si="182"/>
        <v>0</v>
      </c>
      <c r="AA322" s="249">
        <f t="shared" si="182"/>
        <v>0</v>
      </c>
      <c r="AB322" s="249">
        <f t="shared" si="182"/>
        <v>0</v>
      </c>
      <c r="AC322" s="249">
        <f t="shared" si="182"/>
        <v>0</v>
      </c>
      <c r="AD322" s="249">
        <f t="shared" si="182"/>
        <v>0</v>
      </c>
      <c r="AE322" s="249">
        <f t="shared" si="182"/>
        <v>0</v>
      </c>
      <c r="AF322" s="249">
        <f t="shared" si="182"/>
        <v>8.3983239382131813E-2</v>
      </c>
      <c r="AG322" s="249">
        <f t="shared" si="182"/>
        <v>0.16676155625549427</v>
      </c>
      <c r="AI322" s="694"/>
      <c r="AJ322" s="323"/>
    </row>
    <row r="323" spans="1:37" s="181" customFormat="1" x14ac:dyDescent="0.2">
      <c r="A323" s="181" t="s">
        <v>1595</v>
      </c>
      <c r="B323" s="349" t="s">
        <v>704</v>
      </c>
      <c r="C323" s="249">
        <f>C317*C274+C271*C320+C307+IF(C300&gt;C320,C300-C320,0)</f>
        <v>0.85946326247198923</v>
      </c>
      <c r="D323" s="249">
        <f t="shared" ref="D323:AG323" si="183">D317*D274+D271*D320+D307+IF(D300&gt;D320,D300-D320,0)</f>
        <v>0.95755491444579155</v>
      </c>
      <c r="E323" s="249">
        <f t="shared" si="183"/>
        <v>1.0589994030550685</v>
      </c>
      <c r="F323" s="249">
        <f t="shared" si="183"/>
        <v>1.1632607368423962</v>
      </c>
      <c r="G323" s="249">
        <f t="shared" si="183"/>
        <v>1.2697468421775358</v>
      </c>
      <c r="H323" s="249">
        <f t="shared" si="183"/>
        <v>1.377814713411486</v>
      </c>
      <c r="I323" s="249">
        <f t="shared" si="183"/>
        <v>1.4828323815766236</v>
      </c>
      <c r="J323" s="249">
        <f t="shared" si="183"/>
        <v>1.5907765824725835</v>
      </c>
      <c r="K323" s="249">
        <f t="shared" si="183"/>
        <v>1.7015767745301857</v>
      </c>
      <c r="L323" s="249">
        <f t="shared" si="183"/>
        <v>1.8151542569866197</v>
      </c>
      <c r="M323" s="249">
        <f t="shared" si="183"/>
        <v>1.9314221526794142</v>
      </c>
      <c r="N323" s="249">
        <f t="shared" si="183"/>
        <v>1.9722235129551549</v>
      </c>
      <c r="O323" s="249">
        <f t="shared" si="183"/>
        <v>2.0108906326082954</v>
      </c>
      <c r="P323" s="249">
        <f t="shared" si="183"/>
        <v>2.0471151291195642</v>
      </c>
      <c r="Q323" s="249">
        <f t="shared" si="183"/>
        <v>2.0808066100924512</v>
      </c>
      <c r="R323" s="249">
        <f t="shared" si="183"/>
        <v>2.1117764446379339</v>
      </c>
      <c r="S323" s="249">
        <f t="shared" si="183"/>
        <v>2.1449474308867993</v>
      </c>
      <c r="T323" s="249">
        <f t="shared" si="183"/>
        <v>2.1790057865959698</v>
      </c>
      <c r="U323" s="249">
        <f t="shared" si="183"/>
        <v>2.2139423011693005</v>
      </c>
      <c r="V323" s="249">
        <f t="shared" si="183"/>
        <v>2.2497468629929727</v>
      </c>
      <c r="W323" s="249">
        <f t="shared" si="183"/>
        <v>2.2864084602396151</v>
      </c>
      <c r="X323" s="249">
        <f t="shared" si="183"/>
        <v>2.2241841921632401</v>
      </c>
      <c r="Y323" s="249">
        <f t="shared" si="183"/>
        <v>2.1623594142464131</v>
      </c>
      <c r="Z323" s="249">
        <f t="shared" si="183"/>
        <v>2.1006215251028708</v>
      </c>
      <c r="AA323" s="249">
        <f t="shared" si="183"/>
        <v>2.0393789802565818</v>
      </c>
      <c r="AB323" s="249">
        <f t="shared" si="183"/>
        <v>1.978666869756379</v>
      </c>
      <c r="AC323" s="249">
        <f t="shared" si="183"/>
        <v>1.9183913527196936</v>
      </c>
      <c r="AD323" s="249">
        <f t="shared" si="183"/>
        <v>1.858955558605401</v>
      </c>
      <c r="AE323" s="249">
        <f t="shared" si="183"/>
        <v>1.8003994549486904</v>
      </c>
      <c r="AF323" s="249">
        <f t="shared" si="183"/>
        <v>1.8267464426187472</v>
      </c>
      <c r="AG323" s="249">
        <f t="shared" si="183"/>
        <v>1.8528487092445891</v>
      </c>
      <c r="AI323" s="694"/>
      <c r="AJ323" s="323"/>
    </row>
    <row r="324" spans="1:37" s="181" customFormat="1" x14ac:dyDescent="0.2">
      <c r="A324" s="181" t="s">
        <v>1596</v>
      </c>
      <c r="B324" s="349" t="s">
        <v>704</v>
      </c>
      <c r="C324" s="249">
        <f>C303-C322</f>
        <v>8.5966924019978581</v>
      </c>
      <c r="D324" s="249">
        <f t="shared" ref="D324:AF324" si="184">D303-D322</f>
        <v>8.8119292340237276</v>
      </c>
      <c r="E324" s="249">
        <f t="shared" si="184"/>
        <v>9.0079805368155341</v>
      </c>
      <c r="F324" s="249">
        <f t="shared" si="184"/>
        <v>9.1833480570508215</v>
      </c>
      <c r="G324" s="249">
        <f t="shared" si="184"/>
        <v>9.3366731695791696</v>
      </c>
      <c r="H324" s="249">
        <f t="shared" si="184"/>
        <v>9.4667543922885677</v>
      </c>
      <c r="I324" s="249">
        <f t="shared" si="184"/>
        <v>9.5380934261861352</v>
      </c>
      <c r="J324" s="249">
        <f t="shared" si="184"/>
        <v>9.6041682779161288</v>
      </c>
      <c r="K324" s="249">
        <f t="shared" si="184"/>
        <v>9.6648422818708948</v>
      </c>
      <c r="L324" s="249">
        <f t="shared" si="184"/>
        <v>9.7199869357402768</v>
      </c>
      <c r="M324" s="249">
        <f t="shared" si="184"/>
        <v>9.769482315405476</v>
      </c>
      <c r="N324" s="249">
        <f t="shared" si="184"/>
        <v>9.7961276217435511</v>
      </c>
      <c r="O324" s="249">
        <f t="shared" si="184"/>
        <v>9.802691553381722</v>
      </c>
      <c r="P324" s="249">
        <f t="shared" si="184"/>
        <v>9.7887414593351902</v>
      </c>
      <c r="Q324" s="249">
        <f t="shared" si="184"/>
        <v>9.7546340314209594</v>
      </c>
      <c r="R324" s="249">
        <f t="shared" si="184"/>
        <v>9.700523246532109</v>
      </c>
      <c r="S324" s="249">
        <f t="shared" si="184"/>
        <v>9.6565125556176916</v>
      </c>
      <c r="T324" s="249">
        <f t="shared" si="184"/>
        <v>9.610161951468525</v>
      </c>
      <c r="U324" s="249">
        <f t="shared" si="184"/>
        <v>9.5614893613315068</v>
      </c>
      <c r="V324" s="249">
        <f t="shared" si="184"/>
        <v>9.5105142946829648</v>
      </c>
      <c r="W324" s="249">
        <f t="shared" si="184"/>
        <v>9.4572578369367051</v>
      </c>
      <c r="X324" s="249">
        <f t="shared" si="184"/>
        <v>9.4018555705507847</v>
      </c>
      <c r="Y324" s="249">
        <f t="shared" si="184"/>
        <v>9.3443205750862699</v>
      </c>
      <c r="Z324" s="249">
        <f t="shared" si="184"/>
        <v>9.2834192408080849</v>
      </c>
      <c r="AA324" s="249">
        <f t="shared" si="184"/>
        <v>9.22040308422382</v>
      </c>
      <c r="AB324" s="249">
        <f t="shared" si="184"/>
        <v>9.1552997380995471</v>
      </c>
      <c r="AC324" s="249">
        <f t="shared" si="184"/>
        <v>9.0815603967392668</v>
      </c>
      <c r="AD324" s="249">
        <f t="shared" si="184"/>
        <v>9.0058994592291182</v>
      </c>
      <c r="AE324" s="249">
        <f t="shared" si="184"/>
        <v>8.9283513816557054</v>
      </c>
      <c r="AF324" s="249">
        <f t="shared" si="184"/>
        <v>8.7649686589348352</v>
      </c>
      <c r="AG324" s="249">
        <f>AG303-AG322</f>
        <v>8.6009764457675892</v>
      </c>
      <c r="AI324" s="694"/>
      <c r="AJ324" s="323"/>
    </row>
    <row r="325" spans="1:37" s="181" customFormat="1" x14ac:dyDescent="0.2">
      <c r="B325" s="350"/>
      <c r="C325" s="327"/>
      <c r="D325" s="327"/>
      <c r="E325" s="327"/>
      <c r="F325" s="327"/>
      <c r="G325" s="327"/>
      <c r="H325" s="327"/>
      <c r="I325" s="327"/>
      <c r="J325" s="327"/>
      <c r="K325" s="327"/>
      <c r="L325" s="327"/>
      <c r="M325" s="327"/>
      <c r="N325" s="327"/>
      <c r="O325" s="327"/>
      <c r="P325" s="327"/>
      <c r="Q325" s="327"/>
      <c r="R325" s="327"/>
      <c r="S325" s="327"/>
      <c r="T325" s="327"/>
      <c r="U325" s="327"/>
      <c r="V325" s="327"/>
      <c r="W325" s="327"/>
      <c r="X325" s="327"/>
      <c r="Y325" s="327"/>
      <c r="Z325" s="327"/>
      <c r="AA325" s="327"/>
      <c r="AB325" s="327"/>
      <c r="AC325" s="327"/>
      <c r="AD325" s="327"/>
      <c r="AE325" s="327"/>
      <c r="AF325" s="327"/>
      <c r="AG325" s="327"/>
      <c r="AJ325" s="323"/>
    </row>
    <row r="326" spans="1:37" s="181" customFormat="1" x14ac:dyDescent="0.2">
      <c r="A326" s="181" t="s">
        <v>1400</v>
      </c>
      <c r="B326" s="350" t="s">
        <v>462</v>
      </c>
      <c r="C326" s="296">
        <v>0.8</v>
      </c>
      <c r="D326" s="317">
        <f>C326</f>
        <v>0.8</v>
      </c>
      <c r="E326" s="317">
        <f t="shared" ref="E326:AG326" si="185">D326</f>
        <v>0.8</v>
      </c>
      <c r="F326" s="317">
        <f t="shared" si="185"/>
        <v>0.8</v>
      </c>
      <c r="G326" s="317">
        <f t="shared" si="185"/>
        <v>0.8</v>
      </c>
      <c r="H326" s="317">
        <f t="shared" si="185"/>
        <v>0.8</v>
      </c>
      <c r="I326" s="317">
        <f t="shared" si="185"/>
        <v>0.8</v>
      </c>
      <c r="J326" s="317">
        <f t="shared" si="185"/>
        <v>0.8</v>
      </c>
      <c r="K326" s="317">
        <f t="shared" si="185"/>
        <v>0.8</v>
      </c>
      <c r="L326" s="317">
        <f t="shared" si="185"/>
        <v>0.8</v>
      </c>
      <c r="M326" s="317">
        <f t="shared" si="185"/>
        <v>0.8</v>
      </c>
      <c r="N326" s="317">
        <f t="shared" si="185"/>
        <v>0.8</v>
      </c>
      <c r="O326" s="317">
        <f t="shared" si="185"/>
        <v>0.8</v>
      </c>
      <c r="P326" s="317">
        <f t="shared" si="185"/>
        <v>0.8</v>
      </c>
      <c r="Q326" s="317">
        <f t="shared" si="185"/>
        <v>0.8</v>
      </c>
      <c r="R326" s="317">
        <f t="shared" si="185"/>
        <v>0.8</v>
      </c>
      <c r="S326" s="317">
        <f t="shared" si="185"/>
        <v>0.8</v>
      </c>
      <c r="T326" s="317">
        <f t="shared" si="185"/>
        <v>0.8</v>
      </c>
      <c r="U326" s="317">
        <f t="shared" si="185"/>
        <v>0.8</v>
      </c>
      <c r="V326" s="317">
        <f t="shared" si="185"/>
        <v>0.8</v>
      </c>
      <c r="W326" s="317">
        <f t="shared" si="185"/>
        <v>0.8</v>
      </c>
      <c r="X326" s="317">
        <f t="shared" si="185"/>
        <v>0.8</v>
      </c>
      <c r="Y326" s="317">
        <f t="shared" si="185"/>
        <v>0.8</v>
      </c>
      <c r="Z326" s="317">
        <f t="shared" si="185"/>
        <v>0.8</v>
      </c>
      <c r="AA326" s="317">
        <f t="shared" si="185"/>
        <v>0.8</v>
      </c>
      <c r="AB326" s="317">
        <f t="shared" si="185"/>
        <v>0.8</v>
      </c>
      <c r="AC326" s="317">
        <f t="shared" si="185"/>
        <v>0.8</v>
      </c>
      <c r="AD326" s="317">
        <f t="shared" si="185"/>
        <v>0.8</v>
      </c>
      <c r="AE326" s="317">
        <f t="shared" si="185"/>
        <v>0.8</v>
      </c>
      <c r="AF326" s="317">
        <f t="shared" si="185"/>
        <v>0.8</v>
      </c>
      <c r="AG326" s="317">
        <f t="shared" si="185"/>
        <v>0.8</v>
      </c>
      <c r="AJ326" s="323" t="s">
        <v>1401</v>
      </c>
    </row>
    <row r="327" spans="1:37" s="181" customFormat="1" x14ac:dyDescent="0.2">
      <c r="B327" s="350"/>
      <c r="C327" s="327"/>
      <c r="D327" s="327"/>
      <c r="E327" s="327"/>
      <c r="F327" s="327"/>
      <c r="G327" s="327"/>
      <c r="H327" s="327"/>
      <c r="I327" s="327"/>
      <c r="J327" s="327"/>
      <c r="K327" s="327"/>
      <c r="L327" s="327"/>
      <c r="M327" s="327"/>
      <c r="N327" s="327"/>
      <c r="O327" s="327"/>
      <c r="P327" s="327"/>
      <c r="Q327" s="327"/>
      <c r="R327" s="327"/>
      <c r="S327" s="327"/>
      <c r="T327" s="327"/>
      <c r="U327" s="327"/>
      <c r="V327" s="327"/>
      <c r="W327" s="327"/>
      <c r="X327" s="327"/>
      <c r="Y327" s="327"/>
      <c r="Z327" s="327"/>
      <c r="AA327" s="327"/>
      <c r="AB327" s="327"/>
      <c r="AC327" s="327"/>
      <c r="AD327" s="327"/>
      <c r="AE327" s="327"/>
      <c r="AF327" s="327"/>
      <c r="AG327" s="327"/>
      <c r="AJ327" s="323"/>
    </row>
    <row r="328" spans="1:37" s="181" customFormat="1" x14ac:dyDescent="0.2">
      <c r="A328" s="181" t="s">
        <v>1402</v>
      </c>
      <c r="B328" s="350" t="s">
        <v>704</v>
      </c>
      <c r="C328" s="327">
        <f>C262*C323*C326</f>
        <v>0.15126553419507011</v>
      </c>
      <c r="D328" s="327">
        <f t="shared" ref="D328:AG328" si="186">D262*D323*D326</f>
        <v>0.1736366244861702</v>
      </c>
      <c r="E328" s="327">
        <f t="shared" si="186"/>
        <v>0.19767988857027943</v>
      </c>
      <c r="F328" s="327">
        <f t="shared" si="186"/>
        <v>0.22334606147374003</v>
      </c>
      <c r="G328" s="327">
        <f t="shared" si="186"/>
        <v>0.25056337685636704</v>
      </c>
      <c r="H328" s="327">
        <f t="shared" si="186"/>
        <v>0.2792371152513945</v>
      </c>
      <c r="I328" s="327">
        <f t="shared" si="186"/>
        <v>0.30842913536793765</v>
      </c>
      <c r="J328" s="327">
        <f t="shared" si="186"/>
        <v>0.33936567092748443</v>
      </c>
      <c r="K328" s="327">
        <f t="shared" si="186"/>
        <v>0.37207812136393387</v>
      </c>
      <c r="L328" s="327">
        <f t="shared" si="186"/>
        <v>0.40659455356500268</v>
      </c>
      <c r="M328" s="327">
        <f t="shared" si="186"/>
        <v>0.44293948034781216</v>
      </c>
      <c r="N328" s="327">
        <f t="shared" si="186"/>
        <v>0.46281511770680955</v>
      </c>
      <c r="O328" s="327">
        <f t="shared" si="186"/>
        <v>0.48261375182599076</v>
      </c>
      <c r="P328" s="327">
        <f t="shared" si="186"/>
        <v>0.5022255783439995</v>
      </c>
      <c r="Q328" s="327">
        <f t="shared" si="186"/>
        <v>0.52158885692984081</v>
      </c>
      <c r="R328" s="327">
        <f t="shared" si="186"/>
        <v>0.54061476982731083</v>
      </c>
      <c r="S328" s="327">
        <f t="shared" si="186"/>
        <v>0.56054626193841661</v>
      </c>
      <c r="T328" s="327">
        <f t="shared" si="186"/>
        <v>0.58106820975892493</v>
      </c>
      <c r="U328" s="327">
        <f t="shared" si="186"/>
        <v>0.6021923059180494</v>
      </c>
      <c r="V328" s="327">
        <f t="shared" si="186"/>
        <v>0.62392979667005077</v>
      </c>
      <c r="W328" s="327">
        <f t="shared" si="186"/>
        <v>0.64629145809439748</v>
      </c>
      <c r="X328" s="327">
        <f t="shared" si="186"/>
        <v>0.64056504734301278</v>
      </c>
      <c r="Y328" s="327">
        <f t="shared" si="186"/>
        <v>0.63429209484561411</v>
      </c>
      <c r="Z328" s="327">
        <f t="shared" si="186"/>
        <v>0.62738562883072369</v>
      </c>
      <c r="AA328" s="327">
        <f t="shared" si="186"/>
        <v>0.61997120999800048</v>
      </c>
      <c r="AB328" s="327">
        <f t="shared" si="186"/>
        <v>0.61206761837797286</v>
      </c>
      <c r="AC328" s="327">
        <f t="shared" si="186"/>
        <v>0.60365381232246318</v>
      </c>
      <c r="AD328" s="327">
        <f t="shared" si="186"/>
        <v>0.59486577875372793</v>
      </c>
      <c r="AE328" s="327">
        <f t="shared" si="186"/>
        <v>0.58572995600997346</v>
      </c>
      <c r="AF328" s="327">
        <f t="shared" si="186"/>
        <v>0.60404415702593195</v>
      </c>
      <c r="AG328" s="327">
        <f t="shared" si="186"/>
        <v>0.62255716630618196</v>
      </c>
      <c r="AJ328" s="323"/>
    </row>
    <row r="329" spans="1:37" s="181" customFormat="1" x14ac:dyDescent="0.2">
      <c r="A329" s="181" t="s">
        <v>1403</v>
      </c>
      <c r="B329" s="350" t="s">
        <v>704</v>
      </c>
      <c r="C329" s="327">
        <f>C323*C326-C328</f>
        <v>0.5363050757825214</v>
      </c>
      <c r="D329" s="327">
        <f t="shared" ref="D329:AG329" si="187">D323*D326-D328</f>
        <v>0.59240730707046307</v>
      </c>
      <c r="E329" s="327">
        <f t="shared" si="187"/>
        <v>0.64951963387377543</v>
      </c>
      <c r="F329" s="327">
        <f t="shared" si="187"/>
        <v>0.70726252800017697</v>
      </c>
      <c r="G329" s="327">
        <f t="shared" si="187"/>
        <v>0.76523409688566146</v>
      </c>
      <c r="H329" s="327">
        <f t="shared" si="187"/>
        <v>0.82301465547779429</v>
      </c>
      <c r="I329" s="327">
        <f t="shared" si="187"/>
        <v>0.87783676989336135</v>
      </c>
      <c r="J329" s="327">
        <f t="shared" si="187"/>
        <v>0.93325559505058253</v>
      </c>
      <c r="K329" s="327">
        <f t="shared" si="187"/>
        <v>0.98918329826021467</v>
      </c>
      <c r="L329" s="327">
        <f t="shared" si="187"/>
        <v>1.0455288520242931</v>
      </c>
      <c r="M329" s="327">
        <f t="shared" si="187"/>
        <v>1.1021982417957192</v>
      </c>
      <c r="N329" s="327">
        <f t="shared" si="187"/>
        <v>1.1149636926573143</v>
      </c>
      <c r="O329" s="327">
        <f t="shared" si="187"/>
        <v>1.1260987542606455</v>
      </c>
      <c r="P329" s="327">
        <f t="shared" si="187"/>
        <v>1.135466524951652</v>
      </c>
      <c r="Q329" s="327">
        <f t="shared" si="187"/>
        <v>1.1430564311441203</v>
      </c>
      <c r="R329" s="327">
        <f t="shared" si="187"/>
        <v>1.1488063858830362</v>
      </c>
      <c r="S329" s="327">
        <f t="shared" si="187"/>
        <v>1.1554116827710228</v>
      </c>
      <c r="T329" s="327">
        <f t="shared" si="187"/>
        <v>1.162136419517851</v>
      </c>
      <c r="U329" s="327">
        <f t="shared" si="187"/>
        <v>1.168961535017391</v>
      </c>
      <c r="V329" s="327">
        <f t="shared" si="187"/>
        <v>1.1758676937243275</v>
      </c>
      <c r="W329" s="327">
        <f t="shared" si="187"/>
        <v>1.1828353100972946</v>
      </c>
      <c r="X329" s="327">
        <f t="shared" si="187"/>
        <v>1.1387823063875793</v>
      </c>
      <c r="Y329" s="327">
        <f t="shared" si="187"/>
        <v>1.0955954365515164</v>
      </c>
      <c r="Z329" s="327">
        <f t="shared" si="187"/>
        <v>1.0531115912515729</v>
      </c>
      <c r="AA329" s="327">
        <f t="shared" si="187"/>
        <v>1.0115319742072653</v>
      </c>
      <c r="AB329" s="327">
        <f t="shared" si="187"/>
        <v>0.97086587742713049</v>
      </c>
      <c r="AC329" s="327">
        <f t="shared" si="187"/>
        <v>0.9310592698532919</v>
      </c>
      <c r="AD329" s="327">
        <f t="shared" si="187"/>
        <v>0.89229866813059289</v>
      </c>
      <c r="AE329" s="327">
        <f t="shared" si="187"/>
        <v>0.85458960794897887</v>
      </c>
      <c r="AF329" s="327">
        <f t="shared" si="187"/>
        <v>0.85735299706906598</v>
      </c>
      <c r="AG329" s="327">
        <f t="shared" si="187"/>
        <v>0.85972180108948937</v>
      </c>
      <c r="AJ329" s="323"/>
    </row>
    <row r="330" spans="1:37" s="181" customFormat="1" x14ac:dyDescent="0.2">
      <c r="B330" s="176"/>
      <c r="C330" s="327"/>
      <c r="D330" s="327"/>
      <c r="E330" s="327"/>
      <c r="F330" s="327"/>
      <c r="G330" s="327"/>
      <c r="H330" s="327"/>
      <c r="I330" s="327"/>
      <c r="J330" s="327"/>
      <c r="K330" s="327"/>
      <c r="L330" s="327"/>
      <c r="M330" s="327"/>
      <c r="N330" s="327"/>
      <c r="O330" s="327"/>
      <c r="P330" s="327"/>
      <c r="Q330" s="327"/>
      <c r="R330" s="327"/>
      <c r="S330" s="327"/>
      <c r="T330" s="327"/>
      <c r="U330" s="327"/>
      <c r="V330" s="327"/>
      <c r="W330" s="327"/>
      <c r="X330" s="327"/>
      <c r="Y330" s="327"/>
      <c r="Z330" s="327"/>
      <c r="AA330" s="327"/>
      <c r="AB330" s="327"/>
      <c r="AC330" s="327"/>
      <c r="AD330" s="327"/>
      <c r="AE330" s="327"/>
      <c r="AF330" s="327"/>
      <c r="AG330" s="327"/>
      <c r="AJ330" s="323"/>
    </row>
    <row r="331" spans="1:37" s="181" customFormat="1" x14ac:dyDescent="0.2">
      <c r="B331" s="210" t="s">
        <v>492</v>
      </c>
      <c r="C331" s="331">
        <v>0</v>
      </c>
      <c r="D331" s="331">
        <f>C331+1</f>
        <v>1</v>
      </c>
      <c r="E331" s="331">
        <f t="shared" ref="E331:AG331" si="188">D331+1</f>
        <v>2</v>
      </c>
      <c r="F331" s="331">
        <f t="shared" si="188"/>
        <v>3</v>
      </c>
      <c r="G331" s="331">
        <f t="shared" si="188"/>
        <v>4</v>
      </c>
      <c r="H331" s="331">
        <f t="shared" si="188"/>
        <v>5</v>
      </c>
      <c r="I331" s="331">
        <f t="shared" si="188"/>
        <v>6</v>
      </c>
      <c r="J331" s="331">
        <f t="shared" si="188"/>
        <v>7</v>
      </c>
      <c r="K331" s="331">
        <f t="shared" si="188"/>
        <v>8</v>
      </c>
      <c r="L331" s="331">
        <f t="shared" si="188"/>
        <v>9</v>
      </c>
      <c r="M331" s="331">
        <f t="shared" si="188"/>
        <v>10</v>
      </c>
      <c r="N331" s="331">
        <f t="shared" si="188"/>
        <v>11</v>
      </c>
      <c r="O331" s="331">
        <f t="shared" si="188"/>
        <v>12</v>
      </c>
      <c r="P331" s="331">
        <f t="shared" si="188"/>
        <v>13</v>
      </c>
      <c r="Q331" s="331">
        <f t="shared" si="188"/>
        <v>14</v>
      </c>
      <c r="R331" s="331">
        <f t="shared" si="188"/>
        <v>15</v>
      </c>
      <c r="S331" s="331">
        <f t="shared" si="188"/>
        <v>16</v>
      </c>
      <c r="T331" s="331">
        <f t="shared" si="188"/>
        <v>17</v>
      </c>
      <c r="U331" s="331">
        <f t="shared" si="188"/>
        <v>18</v>
      </c>
      <c r="V331" s="331">
        <f t="shared" si="188"/>
        <v>19</v>
      </c>
      <c r="W331" s="331">
        <f t="shared" si="188"/>
        <v>20</v>
      </c>
      <c r="X331" s="331">
        <f t="shared" si="188"/>
        <v>21</v>
      </c>
      <c r="Y331" s="331">
        <f t="shared" si="188"/>
        <v>22</v>
      </c>
      <c r="Z331" s="331">
        <f t="shared" si="188"/>
        <v>23</v>
      </c>
      <c r="AA331" s="331">
        <f t="shared" si="188"/>
        <v>24</v>
      </c>
      <c r="AB331" s="331">
        <f t="shared" si="188"/>
        <v>25</v>
      </c>
      <c r="AC331" s="331">
        <f t="shared" si="188"/>
        <v>26</v>
      </c>
      <c r="AD331" s="331">
        <f t="shared" si="188"/>
        <v>27</v>
      </c>
      <c r="AE331" s="331">
        <f t="shared" si="188"/>
        <v>28</v>
      </c>
      <c r="AF331" s="331">
        <f t="shared" si="188"/>
        <v>29</v>
      </c>
      <c r="AG331" s="331">
        <f t="shared" si="188"/>
        <v>30</v>
      </c>
      <c r="AJ331" s="323" t="s">
        <v>493</v>
      </c>
      <c r="AK331" s="181">
        <f>'Propylene Recycling HC'!AK199</f>
        <v>1.9</v>
      </c>
    </row>
    <row r="332" spans="1:37" s="181" customFormat="1" x14ac:dyDescent="0.2">
      <c r="A332" s="181" t="s">
        <v>1404</v>
      </c>
      <c r="B332" s="176"/>
      <c r="C332" s="333">
        <f>$AK$333/((1+EXP(-$AK$332*(C331-$AK$334)))^$AK$331)</f>
        <v>4.6088632748610021E-5</v>
      </c>
      <c r="D332" s="333">
        <f t="shared" ref="D332:AG332" si="189">$AK$333/((1+EXP(-$AK$332*(D331-$AK$334)))^$AK$331)</f>
        <v>8.924759460408035E-5</v>
      </c>
      <c r="E332" s="333">
        <f t="shared" si="189"/>
        <v>1.7252431976790472E-4</v>
      </c>
      <c r="F332" s="333">
        <f t="shared" si="189"/>
        <v>3.3269643715580369E-4</v>
      </c>
      <c r="G332" s="333">
        <f t="shared" si="189"/>
        <v>6.393827369910735E-4</v>
      </c>
      <c r="H332" s="333">
        <f t="shared" si="189"/>
        <v>1.2229053771654547E-3</v>
      </c>
      <c r="I332" s="333">
        <f t="shared" si="189"/>
        <v>2.3234018804222717E-3</v>
      </c>
      <c r="J332" s="333">
        <f t="shared" si="189"/>
        <v>4.3736281679830789E-3</v>
      </c>
      <c r="K332" s="333">
        <f t="shared" si="189"/>
        <v>8.1294184230466908E-3</v>
      </c>
      <c r="L332" s="333">
        <f t="shared" si="189"/>
        <v>1.4853985082038716E-2</v>
      </c>
      <c r="M332" s="333">
        <f t="shared" si="189"/>
        <v>2.6531412096832362E-2</v>
      </c>
      <c r="N332" s="333">
        <f t="shared" si="189"/>
        <v>4.6014759335105015E-2</v>
      </c>
      <c r="O332" s="333">
        <f t="shared" si="189"/>
        <v>7.6910635328419796E-2</v>
      </c>
      <c r="P332" s="333">
        <f t="shared" si="189"/>
        <v>0.12294065829885638</v>
      </c>
      <c r="Q332" s="333">
        <f t="shared" si="189"/>
        <v>0.18666754187878853</v>
      </c>
      <c r="R332" s="333">
        <f t="shared" si="189"/>
        <v>0.26794336563407328</v>
      </c>
      <c r="S332" s="333">
        <f t="shared" si="189"/>
        <v>0.36297326582455031</v>
      </c>
      <c r="T332" s="333">
        <f t="shared" si="189"/>
        <v>0.46484396312424381</v>
      </c>
      <c r="U332" s="333">
        <f t="shared" si="189"/>
        <v>0.56546260593861253</v>
      </c>
      <c r="V332" s="333">
        <f t="shared" si="189"/>
        <v>0.6578403022607352</v>
      </c>
      <c r="W332" s="333">
        <f t="shared" si="189"/>
        <v>0.73754668886795227</v>
      </c>
      <c r="X332" s="333">
        <f t="shared" si="189"/>
        <v>0.80293052021410605</v>
      </c>
      <c r="Y332" s="333">
        <f t="shared" si="189"/>
        <v>0.85447682949112158</v>
      </c>
      <c r="Z332" s="333">
        <f t="shared" si="189"/>
        <v>0.89389910336617451</v>
      </c>
      <c r="AA332" s="333">
        <f t="shared" si="189"/>
        <v>0.92337223319290385</v>
      </c>
      <c r="AB332" s="333">
        <f t="shared" si="189"/>
        <v>0.94504210708611314</v>
      </c>
      <c r="AC332" s="333">
        <f t="shared" si="189"/>
        <v>0.96078240575184182</v>
      </c>
      <c r="AD332" s="333">
        <f t="shared" si="189"/>
        <v>0.97211605463477313</v>
      </c>
      <c r="AE332" s="333">
        <f t="shared" si="189"/>
        <v>0.98022577885232642</v>
      </c>
      <c r="AF332" s="333">
        <f t="shared" si="189"/>
        <v>0.98600279580400285</v>
      </c>
      <c r="AG332" s="333">
        <f t="shared" si="189"/>
        <v>0.9901050637460882</v>
      </c>
      <c r="AI332" s="176" t="s">
        <v>494</v>
      </c>
      <c r="AJ332" s="323" t="s">
        <v>495</v>
      </c>
      <c r="AK332" s="181">
        <f>'Propylene Recycling HC'!AK200</f>
        <v>0.35</v>
      </c>
    </row>
    <row r="333" spans="1:37" s="181" customFormat="1" x14ac:dyDescent="0.2">
      <c r="B333" s="176"/>
      <c r="C333" s="329">
        <v>0</v>
      </c>
      <c r="D333" s="329">
        <v>0</v>
      </c>
      <c r="E333" s="329">
        <v>0</v>
      </c>
      <c r="F333" s="329">
        <v>0</v>
      </c>
      <c r="G333" s="329">
        <v>0</v>
      </c>
      <c r="H333" s="329">
        <v>0</v>
      </c>
      <c r="I333" s="329">
        <v>0</v>
      </c>
      <c r="J333" s="329">
        <v>0</v>
      </c>
      <c r="K333" s="329">
        <v>0</v>
      </c>
      <c r="L333" s="329">
        <v>0</v>
      </c>
      <c r="M333" s="329">
        <f>C332</f>
        <v>4.6088632748610021E-5</v>
      </c>
      <c r="N333" s="329">
        <v>0</v>
      </c>
      <c r="O333" s="329">
        <v>0</v>
      </c>
      <c r="P333" s="329">
        <v>0</v>
      </c>
      <c r="Q333" s="329">
        <v>0</v>
      </c>
      <c r="R333" s="329">
        <f t="shared" ref="R333:AG333" si="190">C332</f>
        <v>4.6088632748610021E-5</v>
      </c>
      <c r="S333" s="329">
        <f t="shared" si="190"/>
        <v>8.924759460408035E-5</v>
      </c>
      <c r="T333" s="329">
        <f t="shared" si="190"/>
        <v>1.7252431976790472E-4</v>
      </c>
      <c r="U333" s="329">
        <f t="shared" si="190"/>
        <v>3.3269643715580369E-4</v>
      </c>
      <c r="V333" s="329">
        <f t="shared" si="190"/>
        <v>6.393827369910735E-4</v>
      </c>
      <c r="W333" s="329">
        <f t="shared" si="190"/>
        <v>1.2229053771654547E-3</v>
      </c>
      <c r="X333" s="329">
        <f t="shared" si="190"/>
        <v>2.3234018804222717E-3</v>
      </c>
      <c r="Y333" s="329">
        <f t="shared" si="190"/>
        <v>4.3736281679830789E-3</v>
      </c>
      <c r="Z333" s="329">
        <f t="shared" si="190"/>
        <v>8.1294184230466908E-3</v>
      </c>
      <c r="AA333" s="329">
        <f t="shared" si="190"/>
        <v>1.4853985082038716E-2</v>
      </c>
      <c r="AB333" s="329">
        <f t="shared" si="190"/>
        <v>2.6531412096832362E-2</v>
      </c>
      <c r="AC333" s="329">
        <f t="shared" si="190"/>
        <v>4.6014759335105015E-2</v>
      </c>
      <c r="AD333" s="329">
        <f t="shared" si="190"/>
        <v>7.6910635328419796E-2</v>
      </c>
      <c r="AE333" s="329">
        <f t="shared" si="190"/>
        <v>0.12294065829885638</v>
      </c>
      <c r="AF333" s="329">
        <f t="shared" si="190"/>
        <v>0.18666754187878853</v>
      </c>
      <c r="AG333" s="329">
        <f t="shared" si="190"/>
        <v>0.26794336563407328</v>
      </c>
      <c r="AI333" s="176" t="s">
        <v>496</v>
      </c>
      <c r="AJ333" s="323" t="s">
        <v>497</v>
      </c>
      <c r="AK333" s="181">
        <f>'Propylene Recycling HC'!AK201</f>
        <v>1</v>
      </c>
    </row>
    <row r="334" spans="1:37" s="181" customFormat="1" x14ac:dyDescent="0.2">
      <c r="B334" s="176"/>
      <c r="C334" s="327"/>
      <c r="D334" s="327"/>
      <c r="E334" s="327"/>
      <c r="F334" s="327"/>
      <c r="G334" s="327"/>
      <c r="H334" s="327"/>
      <c r="I334" s="327"/>
      <c r="J334" s="327"/>
      <c r="K334" s="327"/>
      <c r="L334" s="327"/>
      <c r="M334" s="327"/>
      <c r="N334" s="327"/>
      <c r="O334" s="327"/>
      <c r="P334" s="327"/>
      <c r="Q334" s="327"/>
      <c r="R334" s="327"/>
      <c r="S334" s="327"/>
      <c r="T334" s="327"/>
      <c r="U334" s="327"/>
      <c r="V334" s="327"/>
      <c r="W334" s="327"/>
      <c r="X334" s="327"/>
      <c r="Y334" s="327"/>
      <c r="Z334" s="327"/>
      <c r="AA334" s="327"/>
      <c r="AB334" s="327"/>
      <c r="AC334" s="327"/>
      <c r="AD334" s="327"/>
      <c r="AE334" s="327"/>
      <c r="AF334" s="327"/>
      <c r="AG334" s="327"/>
      <c r="AJ334" s="323" t="s">
        <v>498</v>
      </c>
      <c r="AK334" s="181">
        <f>'Propylene Recycling HC'!AK202</f>
        <v>15</v>
      </c>
    </row>
    <row r="335" spans="1:37" s="181" customFormat="1" x14ac:dyDescent="0.2">
      <c r="A335" s="181" t="s">
        <v>1460</v>
      </c>
      <c r="B335" s="176" t="s">
        <v>462</v>
      </c>
      <c r="C335" s="328">
        <f>('Overall recycling rates'!G12+'Overall recycling rates'!G15)*'Overall recycling rates'!G57/(SUMPRODUCT('Overall recycling rates'!C57:I57,'Overall recycling rates'!C12:I12)+SUMPRODUCT('Overall recycling rates'!C15:I15,'Overall recycling rates'!C57:I57))</f>
        <v>8.5469247930390777E-2</v>
      </c>
      <c r="D335" s="328">
        <f>C335</f>
        <v>8.5469247930390777E-2</v>
      </c>
      <c r="E335" s="328">
        <f t="shared" ref="E335:AG335" si="191">D335</f>
        <v>8.5469247930390777E-2</v>
      </c>
      <c r="F335" s="328">
        <f t="shared" si="191"/>
        <v>8.5469247930390777E-2</v>
      </c>
      <c r="G335" s="328">
        <f t="shared" si="191"/>
        <v>8.5469247930390777E-2</v>
      </c>
      <c r="H335" s="328">
        <f t="shared" si="191"/>
        <v>8.5469247930390777E-2</v>
      </c>
      <c r="I335" s="328">
        <f t="shared" si="191"/>
        <v>8.5469247930390777E-2</v>
      </c>
      <c r="J335" s="328">
        <f t="shared" si="191"/>
        <v>8.5469247930390777E-2</v>
      </c>
      <c r="K335" s="328">
        <f t="shared" si="191"/>
        <v>8.5469247930390777E-2</v>
      </c>
      <c r="L335" s="328">
        <f t="shared" si="191"/>
        <v>8.5469247930390777E-2</v>
      </c>
      <c r="M335" s="328">
        <f t="shared" si="191"/>
        <v>8.5469247930390777E-2</v>
      </c>
      <c r="N335" s="328">
        <f t="shared" si="191"/>
        <v>8.5469247930390777E-2</v>
      </c>
      <c r="O335" s="328">
        <f t="shared" si="191"/>
        <v>8.5469247930390777E-2</v>
      </c>
      <c r="P335" s="328">
        <f t="shared" si="191"/>
        <v>8.5469247930390777E-2</v>
      </c>
      <c r="Q335" s="328">
        <f t="shared" si="191"/>
        <v>8.5469247930390777E-2</v>
      </c>
      <c r="R335" s="328">
        <f t="shared" si="191"/>
        <v>8.5469247930390777E-2</v>
      </c>
      <c r="S335" s="328">
        <f t="shared" si="191"/>
        <v>8.5469247930390777E-2</v>
      </c>
      <c r="T335" s="328">
        <f t="shared" si="191"/>
        <v>8.5469247930390777E-2</v>
      </c>
      <c r="U335" s="328">
        <f t="shared" si="191"/>
        <v>8.5469247930390777E-2</v>
      </c>
      <c r="V335" s="328">
        <f t="shared" si="191"/>
        <v>8.5469247930390777E-2</v>
      </c>
      <c r="W335" s="328">
        <f t="shared" si="191"/>
        <v>8.5469247930390777E-2</v>
      </c>
      <c r="X335" s="328">
        <f t="shared" si="191"/>
        <v>8.5469247930390777E-2</v>
      </c>
      <c r="Y335" s="328">
        <f t="shared" si="191"/>
        <v>8.5469247930390777E-2</v>
      </c>
      <c r="Z335" s="328">
        <f t="shared" si="191"/>
        <v>8.5469247930390777E-2</v>
      </c>
      <c r="AA335" s="328">
        <f t="shared" si="191"/>
        <v>8.5469247930390777E-2</v>
      </c>
      <c r="AB335" s="328">
        <f t="shared" si="191"/>
        <v>8.5469247930390777E-2</v>
      </c>
      <c r="AC335" s="328">
        <f t="shared" si="191"/>
        <v>8.5469247930390777E-2</v>
      </c>
      <c r="AD335" s="328">
        <f t="shared" si="191"/>
        <v>8.5469247930390777E-2</v>
      </c>
      <c r="AE335" s="328">
        <f t="shared" si="191"/>
        <v>8.5469247930390777E-2</v>
      </c>
      <c r="AF335" s="328">
        <f t="shared" si="191"/>
        <v>8.5469247930390777E-2</v>
      </c>
      <c r="AG335" s="328">
        <f t="shared" si="191"/>
        <v>8.5469247930390777E-2</v>
      </c>
      <c r="AI335" s="176" t="s">
        <v>1516</v>
      </c>
      <c r="AJ335" s="323"/>
    </row>
    <row r="336" spans="1:37" s="300" customFormat="1" ht="16" thickBot="1" x14ac:dyDescent="0.25">
      <c r="A336" s="334" t="s">
        <v>1407</v>
      </c>
      <c r="B336" s="335" t="s">
        <v>704</v>
      </c>
      <c r="C336" s="336">
        <f>C335*(C328*C332+C329*C333)</f>
        <v>5.9585925954046229E-7</v>
      </c>
      <c r="D336" s="336">
        <f t="shared" ref="D336:AG336" si="192">D335*(D328*D332+D329*D333)</f>
        <v>1.3244871124406746E-6</v>
      </c>
      <c r="E336" s="336">
        <f t="shared" si="192"/>
        <v>2.9148935136075948E-6</v>
      </c>
      <c r="F336" s="336">
        <f t="shared" si="192"/>
        <v>6.3509154496039498E-6</v>
      </c>
      <c r="G336" s="336">
        <f t="shared" si="192"/>
        <v>1.3692677589077414E-5</v>
      </c>
      <c r="H336" s="336">
        <f t="shared" si="192"/>
        <v>2.9186087478955064E-5</v>
      </c>
      <c r="I336" s="336">
        <f t="shared" si="192"/>
        <v>6.1247676147560865E-5</v>
      </c>
      <c r="J336" s="336">
        <f t="shared" si="192"/>
        <v>1.2685852248206752E-4</v>
      </c>
      <c r="K336" s="336">
        <f t="shared" si="192"/>
        <v>2.5852556360454266E-4</v>
      </c>
      <c r="L336" s="336">
        <f t="shared" si="192"/>
        <v>5.1619574788485452E-4</v>
      </c>
      <c r="M336" s="336">
        <f t="shared" si="192"/>
        <v>1.0087600889532855E-3</v>
      </c>
      <c r="N336" s="336">
        <f t="shared" si="192"/>
        <v>1.8201809889452662E-3</v>
      </c>
      <c r="O336" s="336">
        <f t="shared" si="192"/>
        <v>3.1724586788591091E-3</v>
      </c>
      <c r="P336" s="336">
        <f t="shared" si="192"/>
        <v>5.2772083909398259E-3</v>
      </c>
      <c r="Q336" s="336">
        <f t="shared" si="192"/>
        <v>8.3216030518453617E-3</v>
      </c>
      <c r="R336" s="336">
        <f t="shared" si="192"/>
        <v>1.238509981871895E-2</v>
      </c>
      <c r="S336" s="336">
        <f t="shared" si="192"/>
        <v>1.7398669253328738E-2</v>
      </c>
      <c r="T336" s="336">
        <f t="shared" si="192"/>
        <v>2.3102897219939723E-2</v>
      </c>
      <c r="U336" s="336">
        <f t="shared" si="192"/>
        <v>2.913699139368461E-2</v>
      </c>
      <c r="V336" s="336">
        <f t="shared" si="192"/>
        <v>3.5144783428882692E-2</v>
      </c>
      <c r="W336" s="336">
        <f t="shared" si="192"/>
        <v>4.0864267987597944E-2</v>
      </c>
      <c r="X336" s="336">
        <f t="shared" si="192"/>
        <v>4.418547091423343E-2</v>
      </c>
      <c r="Y336" s="336">
        <f t="shared" si="192"/>
        <v>4.6732843352665386E-2</v>
      </c>
      <c r="Z336" s="336">
        <f t="shared" si="192"/>
        <v>4.8664534732060699E-2</v>
      </c>
      <c r="AA336" s="336">
        <f t="shared" si="192"/>
        <v>5.0212284154755253E-2</v>
      </c>
      <c r="AB336" s="336">
        <f t="shared" si="192"/>
        <v>5.1639503749314725E-2</v>
      </c>
      <c r="AC336" s="336">
        <f t="shared" si="192"/>
        <v>5.3232164709651288E-2</v>
      </c>
      <c r="AD336" s="336">
        <f t="shared" si="192"/>
        <v>5.5290554887092863E-2</v>
      </c>
      <c r="AE336" s="336">
        <f t="shared" si="192"/>
        <v>5.8051688509860082E-2</v>
      </c>
      <c r="AF336" s="336">
        <f t="shared" si="192"/>
        <v>6.4583059788832206E-2</v>
      </c>
      <c r="AG336" s="336">
        <f t="shared" si="192"/>
        <v>7.2371406683970213E-2</v>
      </c>
      <c r="AJ336" s="326"/>
    </row>
    <row r="337" spans="1:36" s="230" customFormat="1" x14ac:dyDescent="0.2">
      <c r="A337" s="325" t="s">
        <v>1408</v>
      </c>
      <c r="B337" s="324" t="s">
        <v>462</v>
      </c>
      <c r="C337" s="330">
        <v>0.25</v>
      </c>
      <c r="D337" s="330">
        <v>0.25</v>
      </c>
      <c r="E337" s="330">
        <v>0.25</v>
      </c>
      <c r="F337" s="330">
        <v>0.25</v>
      </c>
      <c r="G337" s="330">
        <v>0.25</v>
      </c>
      <c r="H337" s="330">
        <v>0.25</v>
      </c>
      <c r="I337" s="330">
        <v>0.25</v>
      </c>
      <c r="J337" s="330">
        <v>0.25</v>
      </c>
      <c r="K337" s="330">
        <v>0.25</v>
      </c>
      <c r="L337" s="330">
        <v>0.25</v>
      </c>
      <c r="M337" s="330">
        <v>0.25</v>
      </c>
      <c r="N337" s="330">
        <v>0.25</v>
      </c>
      <c r="O337" s="330">
        <v>0.25</v>
      </c>
      <c r="P337" s="330">
        <v>0.25</v>
      </c>
      <c r="Q337" s="330">
        <v>0.25</v>
      </c>
      <c r="R337" s="330">
        <v>0.25</v>
      </c>
      <c r="S337" s="330">
        <v>0.25</v>
      </c>
      <c r="T337" s="330">
        <v>0.25</v>
      </c>
      <c r="U337" s="330">
        <v>0.25</v>
      </c>
      <c r="V337" s="330">
        <v>0.25</v>
      </c>
      <c r="W337" s="330">
        <v>0.25</v>
      </c>
      <c r="X337" s="330">
        <v>0.25</v>
      </c>
      <c r="Y337" s="330">
        <v>0.25</v>
      </c>
      <c r="Z337" s="330">
        <v>0.25</v>
      </c>
      <c r="AA337" s="330">
        <v>0.25</v>
      </c>
      <c r="AB337" s="330">
        <v>0.25</v>
      </c>
      <c r="AC337" s="330">
        <v>0.25</v>
      </c>
      <c r="AD337" s="330">
        <v>0.25</v>
      </c>
      <c r="AE337" s="330">
        <v>0.25</v>
      </c>
      <c r="AF337" s="330">
        <v>0.25</v>
      </c>
      <c r="AG337" s="330">
        <v>0.25</v>
      </c>
      <c r="AJ337" s="230" t="s">
        <v>1410</v>
      </c>
    </row>
    <row r="338" spans="1:36" s="230" customFormat="1" ht="16" thickBot="1" x14ac:dyDescent="0.25">
      <c r="A338" s="301" t="s">
        <v>1411</v>
      </c>
      <c r="B338" s="335" t="s">
        <v>704</v>
      </c>
      <c r="C338" s="336">
        <f>C337*(C328*C332+C329*C333)</f>
        <v>1.7429054132597244E-6</v>
      </c>
      <c r="D338" s="336">
        <f t="shared" ref="D338:AG338" si="193">D337*(D328*D332+D329*D333)</f>
        <v>3.8741627676406621E-6</v>
      </c>
      <c r="E338" s="336">
        <f t="shared" si="193"/>
        <v>8.5261470768456646E-6</v>
      </c>
      <c r="F338" s="336">
        <f t="shared" si="193"/>
        <v>1.8576609726273604E-5</v>
      </c>
      <c r="G338" s="336">
        <f t="shared" si="193"/>
        <v>4.0051474421037442E-5</v>
      </c>
      <c r="H338" s="336">
        <f t="shared" si="193"/>
        <v>8.5370142436275032E-5</v>
      </c>
      <c r="I338" s="336">
        <f t="shared" si="193"/>
        <v>1.7915120827272042E-4</v>
      </c>
      <c r="J338" s="336">
        <f t="shared" si="193"/>
        <v>3.7106481440373054E-4</v>
      </c>
      <c r="K338" s="336">
        <f t="shared" si="193"/>
        <v>7.561946836571416E-4</v>
      </c>
      <c r="L338" s="336">
        <f t="shared" si="193"/>
        <v>1.5098873582731853E-3</v>
      </c>
      <c r="M338" s="336">
        <f t="shared" si="193"/>
        <v>2.9506521742617177E-3</v>
      </c>
      <c r="N338" s="336">
        <f t="shared" si="193"/>
        <v>5.3240815644817856E-3</v>
      </c>
      <c r="O338" s="336">
        <f t="shared" si="193"/>
        <v>9.2795325677923167E-3</v>
      </c>
      <c r="P338" s="336">
        <f t="shared" si="193"/>
        <v>1.5435985804033792E-2</v>
      </c>
      <c r="Q338" s="336">
        <f t="shared" si="193"/>
        <v>2.4340927448615126E-2</v>
      </c>
      <c r="R338" s="336">
        <f t="shared" si="193"/>
        <v>3.6226771963659435E-2</v>
      </c>
      <c r="S338" s="336">
        <f t="shared" si="193"/>
        <v>5.0891606263748917E-2</v>
      </c>
      <c r="T338" s="336">
        <f t="shared" si="193"/>
        <v>6.7576636566275716E-2</v>
      </c>
      <c r="U338" s="336">
        <f t="shared" si="193"/>
        <v>8.5226534979618698E-2</v>
      </c>
      <c r="V338" s="336">
        <f t="shared" si="193"/>
        <v>0.10279949888381452</v>
      </c>
      <c r="W338" s="336">
        <f t="shared" si="193"/>
        <v>0.11952915515554574</v>
      </c>
      <c r="X338" s="336">
        <f t="shared" si="193"/>
        <v>0.12924376891153783</v>
      </c>
      <c r="Y338" s="336">
        <f t="shared" si="193"/>
        <v>0.13669490630924439</v>
      </c>
      <c r="Z338" s="336">
        <f t="shared" si="193"/>
        <v>0.142345158962013</v>
      </c>
      <c r="AA338" s="336">
        <f t="shared" si="193"/>
        <v>0.14687237038651008</v>
      </c>
      <c r="AB338" s="336">
        <f t="shared" si="193"/>
        <v>0.1510470286089676</v>
      </c>
      <c r="AC338" s="336">
        <f t="shared" si="193"/>
        <v>0.15570560756836621</v>
      </c>
      <c r="AD338" s="336">
        <f t="shared" si="193"/>
        <v>0.16172645783698564</v>
      </c>
      <c r="AE338" s="336">
        <f t="shared" si="193"/>
        <v>0.16980285282590604</v>
      </c>
      <c r="AF338" s="336">
        <f t="shared" si="193"/>
        <v>0.18890730102548395</v>
      </c>
      <c r="AG338" s="336">
        <f t="shared" si="193"/>
        <v>0.21168843893101785</v>
      </c>
      <c r="AJ338" s="325"/>
    </row>
    <row r="339" spans="1:36" s="230" customFormat="1" x14ac:dyDescent="0.2">
      <c r="A339" s="326"/>
      <c r="B339" s="324"/>
      <c r="AJ339" s="325"/>
    </row>
    <row r="340" spans="1:36" s="230" customFormat="1" x14ac:dyDescent="0.2">
      <c r="A340" s="326" t="s">
        <v>1412</v>
      </c>
      <c r="B340" s="324" t="s">
        <v>704</v>
      </c>
      <c r="C340" s="230">
        <f>SUM(C309:C310)-SUM(C336,C338)</f>
        <v>6.0865051371466707</v>
      </c>
      <c r="D340" s="230">
        <f t="shared" ref="D340:AG340" si="194">SUM(D309:D310)-SUM(D336,D338)</f>
        <v>6.3432535390473266</v>
      </c>
      <c r="E340" s="230">
        <f t="shared" si="194"/>
        <v>6.5923836223737995</v>
      </c>
      <c r="F340" s="230">
        <f t="shared" si="194"/>
        <v>6.832215732127934</v>
      </c>
      <c r="G340" s="230">
        <f t="shared" si="194"/>
        <v>7.0610851055123849</v>
      </c>
      <c r="H340" s="230">
        <f t="shared" si="194"/>
        <v>7.2773565205146005</v>
      </c>
      <c r="I340" s="230">
        <f t="shared" si="194"/>
        <v>7.4533083973016243</v>
      </c>
      <c r="J340" s="230">
        <f t="shared" si="194"/>
        <v>7.6285141399510064</v>
      </c>
      <c r="K340" s="230">
        <f t="shared" si="194"/>
        <v>7.8026287498500713</v>
      </c>
      <c r="L340" s="230">
        <f t="shared" si="194"/>
        <v>7.9751967294801807</v>
      </c>
      <c r="M340" s="230">
        <f t="shared" si="194"/>
        <v>8.1455681278410434</v>
      </c>
      <c r="N340" s="230">
        <f t="shared" si="194"/>
        <v>8.2534827647600668</v>
      </c>
      <c r="O340" s="230">
        <f t="shared" si="194"/>
        <v>8.3431032127561124</v>
      </c>
      <c r="P340" s="230">
        <f t="shared" si="194"/>
        <v>8.4126853322981123</v>
      </c>
      <c r="Q340" s="230">
        <f t="shared" si="194"/>
        <v>8.4612948584659478</v>
      </c>
      <c r="R340" s="230">
        <f t="shared" si="194"/>
        <v>8.4882261435030681</v>
      </c>
      <c r="S340" s="230">
        <f t="shared" si="194"/>
        <v>8.5190124901874587</v>
      </c>
      <c r="T340" s="230">
        <f t="shared" si="194"/>
        <v>8.5446426295234605</v>
      </c>
      <c r="U340" s="230">
        <f t="shared" si="194"/>
        <v>8.5665025025903745</v>
      </c>
      <c r="V340" s="230">
        <f t="shared" si="194"/>
        <v>8.5859615705243826</v>
      </c>
      <c r="W340" s="230">
        <f t="shared" si="194"/>
        <v>8.604021410628679</v>
      </c>
      <c r="X340" s="230">
        <f t="shared" si="194"/>
        <v>8.5615076289722563</v>
      </c>
      <c r="Y340" s="230">
        <f t="shared" si="194"/>
        <v>8.5178392764383482</v>
      </c>
      <c r="Z340" s="230">
        <f t="shared" si="194"/>
        <v>8.4711814572303528</v>
      </c>
      <c r="AA340" s="230">
        <f t="shared" si="194"/>
        <v>8.4218274574802567</v>
      </c>
      <c r="AB340" s="230">
        <f t="shared" si="194"/>
        <v>8.3687550862493172</v>
      </c>
      <c r="AC340" s="230">
        <f t="shared" si="194"/>
        <v>8.3055878106965313</v>
      </c>
      <c r="AD340" s="230">
        <f t="shared" si="194"/>
        <v>8.2366490582909684</v>
      </c>
      <c r="AE340" s="230">
        <f t="shared" si="194"/>
        <v>8.1610472880342382</v>
      </c>
      <c r="AF340" s="230">
        <f t="shared" si="194"/>
        <v>8.0667855096190539</v>
      </c>
      <c r="AG340" s="230">
        <f t="shared" si="194"/>
        <v>7.9637756713586318</v>
      </c>
      <c r="AJ340" s="325"/>
    </row>
    <row r="341" spans="1:36" s="230" customFormat="1" x14ac:dyDescent="0.2">
      <c r="A341" s="326"/>
      <c r="B341" s="324"/>
      <c r="AJ341" s="325"/>
    </row>
    <row r="342" spans="1:36" s="230" customFormat="1" x14ac:dyDescent="0.2">
      <c r="A342" s="325" t="s">
        <v>1413</v>
      </c>
      <c r="B342" s="324" t="s">
        <v>704</v>
      </c>
      <c r="C342" s="327">
        <f>C262*C261*C182</f>
        <v>1.1411399999999999E-2</v>
      </c>
      <c r="D342" s="327">
        <f t="shared" ref="D342:AG342" si="195">D262*D261*D182</f>
        <v>1.2211913118445541E-2</v>
      </c>
      <c r="E342" s="327">
        <f t="shared" si="195"/>
        <v>1.3033868575004636E-2</v>
      </c>
      <c r="F342" s="327">
        <f t="shared" si="195"/>
        <v>1.387667776234245E-2</v>
      </c>
      <c r="G342" s="327">
        <f t="shared" si="195"/>
        <v>1.4739737200808048E-2</v>
      </c>
      <c r="H342" s="327">
        <f t="shared" si="195"/>
        <v>1.5622428538434407E-2</v>
      </c>
      <c r="I342" s="327">
        <f t="shared" si="195"/>
        <v>1.652411855093841E-2</v>
      </c>
      <c r="J342" s="327">
        <f t="shared" si="195"/>
        <v>1.7444159141720841E-2</v>
      </c>
      <c r="K342" s="327">
        <f t="shared" si="195"/>
        <v>1.8381887341866382E-2</v>
      </c>
      <c r="L342" s="327">
        <f t="shared" si="195"/>
        <v>1.9336625310143647E-2</v>
      </c>
      <c r="M342" s="327">
        <f t="shared" si="195"/>
        <v>2.0307680333005135E-2</v>
      </c>
      <c r="N342" s="327">
        <f t="shared" si="195"/>
        <v>2.1981838457272966E-2</v>
      </c>
      <c r="O342" s="327">
        <f t="shared" si="195"/>
        <v>2.3694781802410692E-2</v>
      </c>
      <c r="P342" s="327">
        <f t="shared" si="195"/>
        <v>2.5445093487479479E-2</v>
      </c>
      <c r="Q342" s="327">
        <f t="shared" si="195"/>
        <v>2.7231325285274256E-2</v>
      </c>
      <c r="R342" s="327">
        <f t="shared" si="195"/>
        <v>2.905199762232372E-2</v>
      </c>
      <c r="S342" s="327">
        <f t="shared" si="195"/>
        <v>3.0905599578890351E-2</v>
      </c>
      <c r="T342" s="327">
        <f t="shared" si="195"/>
        <v>3.2790588888970414E-2</v>
      </c>
      <c r="U342" s="327">
        <f t="shared" si="195"/>
        <v>3.4705391940293893E-2</v>
      </c>
      <c r="V342" s="327">
        <f t="shared" si="195"/>
        <v>3.6648403774324587E-2</v>
      </c>
      <c r="W342" s="327">
        <f t="shared" si="195"/>
        <v>3.8617988086260047E-2</v>
      </c>
      <c r="X342" s="327">
        <f t="shared" si="195"/>
        <v>4.1632470531806902E-2</v>
      </c>
      <c r="Y342" s="327">
        <f t="shared" si="195"/>
        <v>4.4694492720111348E-2</v>
      </c>
      <c r="Z342" s="327">
        <f t="shared" si="195"/>
        <v>4.7801295593939176E-2</v>
      </c>
      <c r="AA342" s="327">
        <f t="shared" si="195"/>
        <v>5.0950067647971789E-2</v>
      </c>
      <c r="AB342" s="327">
        <f t="shared" si="195"/>
        <v>5.4137944928806254E-2</v>
      </c>
      <c r="AC342" s="327">
        <f t="shared" si="195"/>
        <v>5.7362011034955314E-2</v>
      </c>
      <c r="AD342" s="327">
        <f t="shared" si="195"/>
        <v>6.0619297116847333E-2</v>
      </c>
      <c r="AE342" s="327">
        <f t="shared" si="195"/>
        <v>6.3906781876826357E-2</v>
      </c>
      <c r="AF342" s="327">
        <f t="shared" si="195"/>
        <v>6.7221391569152106E-2</v>
      </c>
      <c r="AG342" s="327">
        <f t="shared" si="195"/>
        <v>7.0559999999999984E-2</v>
      </c>
      <c r="AJ342" s="325"/>
    </row>
    <row r="343" spans="1:36" s="230" customFormat="1" x14ac:dyDescent="0.2">
      <c r="A343" s="230" t="s">
        <v>1414</v>
      </c>
      <c r="B343" s="324" t="s">
        <v>704</v>
      </c>
      <c r="C343" s="327">
        <f>C263*C261*C182</f>
        <v>4.0458599999999997E-2</v>
      </c>
      <c r="D343" s="327">
        <f t="shared" ref="D343:AG343" si="196">D263*D261*D182</f>
        <v>4.1664174168814197E-2</v>
      </c>
      <c r="E343" s="327">
        <f t="shared" si="196"/>
        <v>4.282556817501524E-2</v>
      </c>
      <c r="F343" s="327">
        <f t="shared" si="196"/>
        <v>4.3942812914084431E-2</v>
      </c>
      <c r="G343" s="327">
        <f t="shared" si="196"/>
        <v>4.501595415381919E-2</v>
      </c>
      <c r="H343" s="327">
        <f t="shared" si="196"/>
        <v>4.6045052534332997E-2</v>
      </c>
      <c r="I343" s="327">
        <f t="shared" si="196"/>
        <v>4.7030183568055488E-2</v>
      </c>
      <c r="J343" s="327">
        <f t="shared" si="196"/>
        <v>4.7971437639732321E-2</v>
      </c>
      <c r="K343" s="327">
        <f t="shared" si="196"/>
        <v>4.886892000642528E-2</v>
      </c>
      <c r="L343" s="327">
        <f t="shared" si="196"/>
        <v>4.9722750797512254E-2</v>
      </c>
      <c r="M343" s="327">
        <f t="shared" si="196"/>
        <v>5.0533065014687212E-2</v>
      </c>
      <c r="N343" s="327">
        <f t="shared" si="196"/>
        <v>5.2956247192521268E-2</v>
      </c>
      <c r="O343" s="327">
        <f t="shared" si="196"/>
        <v>5.5287824205624975E-2</v>
      </c>
      <c r="P343" s="327">
        <f t="shared" si="196"/>
        <v>5.7528037449953634E-2</v>
      </c>
      <c r="Q343" s="327">
        <f t="shared" si="196"/>
        <v>5.9677159667728727E-2</v>
      </c>
      <c r="R343" s="327">
        <f t="shared" si="196"/>
        <v>6.1735494947437956E-2</v>
      </c>
      <c r="S343" s="327">
        <f t="shared" si="196"/>
        <v>6.3703378723835274E-2</v>
      </c>
      <c r="T343" s="327">
        <f t="shared" si="196"/>
        <v>6.5581177777940883E-2</v>
      </c>
      <c r="U343" s="327">
        <f t="shared" si="196"/>
        <v>6.7369290237041135E-2</v>
      </c>
      <c r="V343" s="327">
        <f t="shared" si="196"/>
        <v>6.9068145574688711E-2</v>
      </c>
      <c r="W343" s="327">
        <f t="shared" si="196"/>
        <v>7.0678204610702441E-2</v>
      </c>
      <c r="X343" s="327">
        <f t="shared" si="196"/>
        <v>7.4013280945434551E-2</v>
      </c>
      <c r="Y343" s="327">
        <f t="shared" si="196"/>
        <v>7.7199578334737867E-2</v>
      </c>
      <c r="Z343" s="327">
        <f t="shared" si="196"/>
        <v>8.023788903268371E-2</v>
      </c>
      <c r="AA343" s="327">
        <f t="shared" si="196"/>
        <v>8.3129057741427773E-2</v>
      </c>
      <c r="AB343" s="327">
        <f t="shared" si="196"/>
        <v>8.5873981611210029E-2</v>
      </c>
      <c r="AC343" s="327">
        <f t="shared" si="196"/>
        <v>8.8473610240354911E-2</v>
      </c>
      <c r="AD343" s="327">
        <f t="shared" si="196"/>
        <v>9.0928945675271114E-2</v>
      </c>
      <c r="AE343" s="327">
        <f t="shared" si="196"/>
        <v>9.3241042410451724E-2</v>
      </c>
      <c r="AF343" s="327">
        <f t="shared" si="196"/>
        <v>9.5411007388474092E-2</v>
      </c>
      <c r="AG343" s="327">
        <f t="shared" si="196"/>
        <v>9.7440000000000013E-2</v>
      </c>
      <c r="AJ343" s="325"/>
    </row>
    <row r="344" spans="1:36" s="230" customFormat="1" x14ac:dyDescent="0.2">
      <c r="B344" s="324"/>
      <c r="C344" s="317"/>
      <c r="D344" s="317"/>
      <c r="E344" s="317"/>
      <c r="F344" s="317"/>
      <c r="G344" s="317"/>
      <c r="H344" s="317"/>
      <c r="I344" s="317"/>
      <c r="J344" s="317"/>
      <c r="K344" s="317"/>
      <c r="L344" s="317"/>
      <c r="M344" s="317"/>
      <c r="N344" s="317"/>
      <c r="O344" s="317"/>
      <c r="P344" s="317"/>
      <c r="Q344" s="317"/>
      <c r="R344" s="317"/>
      <c r="S344" s="317"/>
      <c r="T344" s="317"/>
      <c r="U344" s="317"/>
      <c r="V344" s="317"/>
      <c r="W344" s="317"/>
      <c r="X344" s="317"/>
      <c r="Y344" s="317"/>
      <c r="Z344" s="317"/>
      <c r="AA344" s="317"/>
      <c r="AB344" s="317"/>
      <c r="AC344" s="317"/>
      <c r="AD344" s="317"/>
      <c r="AE344" s="317"/>
      <c r="AF344" s="317"/>
      <c r="AG344" s="317"/>
      <c r="AJ344" s="325"/>
    </row>
    <row r="345" spans="1:36" s="230" customFormat="1" x14ac:dyDescent="0.2">
      <c r="A345" s="351" t="s">
        <v>233</v>
      </c>
      <c r="B345" s="352" t="s">
        <v>704</v>
      </c>
      <c r="C345" s="304">
        <f>C323-C336-C338</f>
        <v>0.85946092370731653</v>
      </c>
      <c r="D345" s="353">
        <f t="shared" ref="D345:AG345" si="197">D323-D336-D338</f>
        <v>0.95754971579591153</v>
      </c>
      <c r="E345" s="353">
        <f t="shared" si="197"/>
        <v>1.058987962014478</v>
      </c>
      <c r="F345" s="353">
        <f t="shared" si="197"/>
        <v>1.1632358093172204</v>
      </c>
      <c r="G345" s="353">
        <f t="shared" si="197"/>
        <v>1.2696930980255257</v>
      </c>
      <c r="H345" s="353">
        <f t="shared" si="197"/>
        <v>1.3777001571815706</v>
      </c>
      <c r="I345" s="353">
        <f t="shared" si="197"/>
        <v>1.4825919826922034</v>
      </c>
      <c r="J345" s="353">
        <f t="shared" si="197"/>
        <v>1.5902786591356977</v>
      </c>
      <c r="K345" s="353">
        <f t="shared" si="197"/>
        <v>1.7005620542829241</v>
      </c>
      <c r="L345" s="353">
        <f t="shared" si="197"/>
        <v>1.8131281738804617</v>
      </c>
      <c r="M345" s="353">
        <f t="shared" si="197"/>
        <v>1.9274627404161992</v>
      </c>
      <c r="N345" s="353">
        <f t="shared" si="197"/>
        <v>1.9650792504017278</v>
      </c>
      <c r="O345" s="353">
        <f t="shared" si="197"/>
        <v>1.998438641361644</v>
      </c>
      <c r="P345" s="353">
        <f t="shared" si="197"/>
        <v>2.0264019349245905</v>
      </c>
      <c r="Q345" s="353">
        <f t="shared" si="197"/>
        <v>2.0481440795919905</v>
      </c>
      <c r="R345" s="353">
        <f t="shared" si="197"/>
        <v>2.0631645728555554</v>
      </c>
      <c r="S345" s="353">
        <f t="shared" si="197"/>
        <v>2.0766571553697215</v>
      </c>
      <c r="T345" s="353">
        <f t="shared" si="197"/>
        <v>2.0883262528097544</v>
      </c>
      <c r="U345" s="353">
        <f t="shared" si="197"/>
        <v>2.0995787747959969</v>
      </c>
      <c r="V345" s="353">
        <f t="shared" si="197"/>
        <v>2.1118025806802758</v>
      </c>
      <c r="W345" s="353">
        <f t="shared" si="197"/>
        <v>2.1260150370964714</v>
      </c>
      <c r="X345" s="353">
        <f t="shared" si="197"/>
        <v>2.0507549523374689</v>
      </c>
      <c r="Y345" s="353">
        <f t="shared" si="197"/>
        <v>1.9789316645845032</v>
      </c>
      <c r="Z345" s="353">
        <f t="shared" si="197"/>
        <v>1.9096118314087969</v>
      </c>
      <c r="AA345" s="353">
        <f t="shared" si="197"/>
        <v>1.8422943257153166</v>
      </c>
      <c r="AB345" s="353">
        <f t="shared" si="197"/>
        <v>1.7759803373980967</v>
      </c>
      <c r="AC345" s="353">
        <f t="shared" si="197"/>
        <v>1.7094535804416762</v>
      </c>
      <c r="AD345" s="353">
        <f t="shared" si="197"/>
        <v>1.6419385458813225</v>
      </c>
      <c r="AE345" s="353">
        <f t="shared" si="197"/>
        <v>1.5725449136129241</v>
      </c>
      <c r="AF345" s="353">
        <f t="shared" si="197"/>
        <v>1.573256081804431</v>
      </c>
      <c r="AG345" s="354">
        <f t="shared" si="197"/>
        <v>1.568788863629601</v>
      </c>
      <c r="AI345" s="230" t="s">
        <v>1415</v>
      </c>
      <c r="AJ345" s="325"/>
    </row>
    <row r="346" spans="1:36" s="230" customFormat="1" x14ac:dyDescent="0.2">
      <c r="A346" s="355" t="s">
        <v>234</v>
      </c>
      <c r="B346" s="356" t="s">
        <v>704</v>
      </c>
      <c r="C346" s="357">
        <f>C324+C345</f>
        <v>9.4561533257051753</v>
      </c>
      <c r="D346" s="357">
        <f t="shared" ref="D346:AF346" si="198">D324+D345</f>
        <v>9.7694789498196393</v>
      </c>
      <c r="E346" s="357">
        <f t="shared" si="198"/>
        <v>10.066968498830011</v>
      </c>
      <c r="F346" s="357">
        <f t="shared" si="198"/>
        <v>10.346583866368041</v>
      </c>
      <c r="G346" s="357">
        <f t="shared" si="198"/>
        <v>10.606366267604695</v>
      </c>
      <c r="H346" s="357">
        <f t="shared" si="198"/>
        <v>10.844454549470138</v>
      </c>
      <c r="I346" s="357">
        <f t="shared" si="198"/>
        <v>11.020685408878339</v>
      </c>
      <c r="J346" s="357">
        <f t="shared" si="198"/>
        <v>11.194446937051826</v>
      </c>
      <c r="K346" s="357">
        <f t="shared" si="198"/>
        <v>11.365404336153819</v>
      </c>
      <c r="L346" s="357">
        <f t="shared" si="198"/>
        <v>11.533115109620738</v>
      </c>
      <c r="M346" s="357">
        <f t="shared" si="198"/>
        <v>11.696945055821676</v>
      </c>
      <c r="N346" s="357">
        <f t="shared" si="198"/>
        <v>11.761206872145278</v>
      </c>
      <c r="O346" s="357">
        <f t="shared" si="198"/>
        <v>11.801130194743365</v>
      </c>
      <c r="P346" s="357">
        <f t="shared" si="198"/>
        <v>11.815143394259781</v>
      </c>
      <c r="Q346" s="357">
        <f t="shared" si="198"/>
        <v>11.80277811101295</v>
      </c>
      <c r="R346" s="357">
        <f t="shared" si="198"/>
        <v>11.763687819387664</v>
      </c>
      <c r="S346" s="357">
        <f t="shared" si="198"/>
        <v>11.733169710987413</v>
      </c>
      <c r="T346" s="357">
        <f t="shared" si="198"/>
        <v>11.698488204278279</v>
      </c>
      <c r="U346" s="357">
        <f t="shared" si="198"/>
        <v>11.661068136127504</v>
      </c>
      <c r="V346" s="357">
        <f t="shared" si="198"/>
        <v>11.622316875363241</v>
      </c>
      <c r="W346" s="357">
        <f t="shared" si="198"/>
        <v>11.583272874033177</v>
      </c>
      <c r="X346" s="357">
        <f t="shared" si="198"/>
        <v>11.452610522888254</v>
      </c>
      <c r="Y346" s="357">
        <f t="shared" si="198"/>
        <v>11.323252239670772</v>
      </c>
      <c r="Z346" s="357">
        <f t="shared" si="198"/>
        <v>11.193031072216883</v>
      </c>
      <c r="AA346" s="357">
        <f t="shared" si="198"/>
        <v>11.062697409939137</v>
      </c>
      <c r="AB346" s="357">
        <f t="shared" si="198"/>
        <v>10.931280075497643</v>
      </c>
      <c r="AC346" s="357">
        <f t="shared" si="198"/>
        <v>10.791013977180944</v>
      </c>
      <c r="AD346" s="357">
        <f t="shared" si="198"/>
        <v>10.64783800511044</v>
      </c>
      <c r="AE346" s="357">
        <f t="shared" si="198"/>
        <v>10.50089629526863</v>
      </c>
      <c r="AF346" s="357">
        <f t="shared" si="198"/>
        <v>10.338224740739266</v>
      </c>
      <c r="AG346" s="358">
        <f>AG324+AG345</f>
        <v>10.16976530939719</v>
      </c>
      <c r="AI346" s="230" t="s">
        <v>1416</v>
      </c>
      <c r="AJ346" s="325"/>
    </row>
    <row r="347" spans="1:36" s="230" customFormat="1" x14ac:dyDescent="0.2">
      <c r="A347" s="433"/>
      <c r="B347" s="434"/>
      <c r="C347" s="433"/>
      <c r="D347" s="433"/>
      <c r="E347" s="433"/>
      <c r="F347" s="433"/>
      <c r="G347" s="433"/>
      <c r="H347" s="433"/>
      <c r="I347" s="433"/>
      <c r="J347" s="433"/>
      <c r="K347" s="433"/>
      <c r="L347" s="433"/>
      <c r="M347" s="433"/>
      <c r="N347" s="433"/>
      <c r="O347" s="433"/>
      <c r="P347" s="433"/>
      <c r="Q347" s="433"/>
      <c r="R347" s="433"/>
      <c r="S347" s="433"/>
      <c r="T347" s="433"/>
      <c r="U347" s="433"/>
      <c r="V347" s="433"/>
      <c r="W347" s="433"/>
      <c r="X347" s="433"/>
      <c r="Y347" s="433"/>
      <c r="Z347" s="433"/>
      <c r="AA347" s="433"/>
      <c r="AB347" s="433"/>
      <c r="AC347" s="433"/>
      <c r="AD347" s="433"/>
      <c r="AE347" s="433"/>
      <c r="AF347" s="433"/>
      <c r="AG347" s="433"/>
      <c r="AJ347" s="325"/>
    </row>
    <row r="348" spans="1:36" x14ac:dyDescent="0.2">
      <c r="B348" s="130"/>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c r="AA348" s="230"/>
      <c r="AB348" s="230"/>
      <c r="AC348" s="230"/>
      <c r="AD348" s="230"/>
      <c r="AE348" s="230"/>
      <c r="AF348" s="230"/>
      <c r="AG348" s="230"/>
      <c r="AI348" s="23"/>
    </row>
    <row r="349" spans="1:36" x14ac:dyDescent="0.2">
      <c r="B349" s="130"/>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c r="AA349" s="230"/>
      <c r="AB349" s="230"/>
      <c r="AC349" s="230"/>
      <c r="AD349" s="230"/>
      <c r="AE349" s="230"/>
      <c r="AF349" s="230"/>
      <c r="AG349" s="230"/>
      <c r="AI349" s="214"/>
    </row>
  </sheetData>
  <mergeCells count="5">
    <mergeCell ref="BD116:BE116"/>
    <mergeCell ref="BD121:BE121"/>
    <mergeCell ref="BD126:BE126"/>
    <mergeCell ref="BD134:BE134"/>
    <mergeCell ref="AI316:AI324"/>
  </mergeCells>
  <hyperlinks>
    <hyperlink ref="AJ120" r:id="rId1" xr:uid="{F0C84D4B-5052-453B-9EA4-1E35A779DD2D}"/>
    <hyperlink ref="AJ121" r:id="rId2" xr:uid="{50DDC5C2-C3BE-4A74-9075-F8F14D5B2262}"/>
  </hyperlinks>
  <pageMargins left="0.7" right="0.7" top="0.75" bottom="0.75" header="0.3" footer="0.3"/>
  <drawing r:id="rId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0E4A05-261D-4640-B6A7-76D6FB48F244}">
  <sheetPr>
    <tabColor theme="4"/>
  </sheetPr>
  <dimension ref="A1:BL349"/>
  <sheetViews>
    <sheetView zoomScale="70" zoomScaleNormal="70" workbookViewId="0">
      <pane xSplit="2" ySplit="6" topLeftCell="C325" activePane="bottomRight" state="frozen"/>
      <selection pane="topRight" activeCell="C1" sqref="C1"/>
      <selection pane="bottomLeft" activeCell="A4" sqref="A4"/>
      <selection pane="bottomRight" activeCell="AG333" sqref="AG333"/>
    </sheetView>
  </sheetViews>
  <sheetFormatPr baseColWidth="10" defaultColWidth="8.83203125" defaultRowHeight="15" outlineLevelRow="2" outlineLevelCol="1" x14ac:dyDescent="0.2"/>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x14ac:dyDescent="0.2">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x14ac:dyDescent="0.2">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x14ac:dyDescent="0.2">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x14ac:dyDescent="0.2">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x14ac:dyDescent="0.25">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x14ac:dyDescent="0.2">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x14ac:dyDescent="0.2">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x14ac:dyDescent="0.2">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x14ac:dyDescent="0.2">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x14ac:dyDescent="0.2">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x14ac:dyDescent="0.2">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x14ac:dyDescent="0.25">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x14ac:dyDescent="0.2">
      <c r="AM13" s="26"/>
      <c r="AN13" s="2"/>
      <c r="AO13" s="26"/>
      <c r="AR13" s="2"/>
    </row>
    <row r="14" spans="1:47" outlineLevel="1" x14ac:dyDescent="0.2">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x14ac:dyDescent="0.2">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x14ac:dyDescent="0.2">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x14ac:dyDescent="0.2">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x14ac:dyDescent="0.2">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x14ac:dyDescent="0.25">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x14ac:dyDescent="0.2">
      <c r="AL20" s="114"/>
      <c r="AM20" s="115"/>
      <c r="AN20" s="115"/>
      <c r="AO20" s="115"/>
      <c r="AP20" s="115"/>
      <c r="AQ20" s="115"/>
    </row>
    <row r="21" spans="1:64" outlineLevel="1" x14ac:dyDescent="0.2">
      <c r="A21" t="s">
        <v>1529</v>
      </c>
      <c r="B21" s="54" t="s">
        <v>462</v>
      </c>
      <c r="C21" s="159">
        <f>'Overall recycling rates'!E76</f>
        <v>1.1134731521823905E-2</v>
      </c>
      <c r="D21" s="159">
        <f>C21</f>
        <v>1.1134731521823905E-2</v>
      </c>
      <c r="E21" s="159">
        <f t="shared" ref="E21:T21" si="10">D21</f>
        <v>1.1134731521823905E-2</v>
      </c>
      <c r="F21" s="159">
        <f t="shared" si="10"/>
        <v>1.1134731521823905E-2</v>
      </c>
      <c r="G21" s="159">
        <f t="shared" si="10"/>
        <v>1.1134731521823905E-2</v>
      </c>
      <c r="H21" s="159">
        <f t="shared" si="10"/>
        <v>1.1134731521823905E-2</v>
      </c>
      <c r="I21" s="159">
        <f t="shared" si="10"/>
        <v>1.1134731521823905E-2</v>
      </c>
      <c r="J21" s="159">
        <f t="shared" si="10"/>
        <v>1.1134731521823905E-2</v>
      </c>
      <c r="K21" s="159">
        <f t="shared" si="10"/>
        <v>1.1134731521823905E-2</v>
      </c>
      <c r="L21" s="159">
        <f t="shared" si="10"/>
        <v>1.1134731521823905E-2</v>
      </c>
      <c r="M21" s="159">
        <f t="shared" si="10"/>
        <v>1.1134731521823905E-2</v>
      </c>
      <c r="N21" s="159">
        <f t="shared" si="10"/>
        <v>1.1134731521823905E-2</v>
      </c>
      <c r="O21" s="159">
        <f t="shared" si="10"/>
        <v>1.1134731521823905E-2</v>
      </c>
      <c r="P21" s="159">
        <f t="shared" si="10"/>
        <v>1.1134731521823905E-2</v>
      </c>
      <c r="Q21" s="159">
        <f t="shared" si="10"/>
        <v>1.1134731521823905E-2</v>
      </c>
      <c r="R21" s="159">
        <f t="shared" si="10"/>
        <v>1.1134731521823905E-2</v>
      </c>
      <c r="S21" s="159">
        <f t="shared" si="10"/>
        <v>1.1134731521823905E-2</v>
      </c>
      <c r="T21" s="159">
        <f t="shared" si="10"/>
        <v>1.1134731521823905E-2</v>
      </c>
      <c r="U21" s="159">
        <f t="shared" ref="T21:AG25" si="11">T21</f>
        <v>1.1134731521823905E-2</v>
      </c>
      <c r="V21" s="159">
        <f t="shared" si="11"/>
        <v>1.1134731521823905E-2</v>
      </c>
      <c r="W21" s="159">
        <f t="shared" si="11"/>
        <v>1.1134731521823905E-2</v>
      </c>
      <c r="X21" s="159">
        <f t="shared" si="11"/>
        <v>1.1134731521823905E-2</v>
      </c>
      <c r="Y21" s="159">
        <f t="shared" si="11"/>
        <v>1.1134731521823905E-2</v>
      </c>
      <c r="Z21" s="159">
        <f t="shared" si="11"/>
        <v>1.1134731521823905E-2</v>
      </c>
      <c r="AA21" s="159">
        <f t="shared" si="11"/>
        <v>1.1134731521823905E-2</v>
      </c>
      <c r="AB21" s="159">
        <f t="shared" si="11"/>
        <v>1.1134731521823905E-2</v>
      </c>
      <c r="AC21" s="159">
        <f t="shared" si="11"/>
        <v>1.1134731521823905E-2</v>
      </c>
      <c r="AD21" s="159">
        <f t="shared" si="11"/>
        <v>1.1134731521823905E-2</v>
      </c>
      <c r="AE21" s="159">
        <f t="shared" si="11"/>
        <v>1.1134731521823905E-2</v>
      </c>
      <c r="AF21" s="159">
        <f t="shared" si="11"/>
        <v>1.1134731521823905E-2</v>
      </c>
      <c r="AG21" s="159">
        <f>AF21</f>
        <v>1.1134731521823905E-2</v>
      </c>
      <c r="AI21" s="54" t="s">
        <v>1263</v>
      </c>
      <c r="AJ21" s="211"/>
      <c r="AM21" s="115"/>
      <c r="AN21" s="115"/>
      <c r="AO21" s="115"/>
      <c r="AP21" s="115"/>
      <c r="AQ21" s="115"/>
    </row>
    <row r="22" spans="1:64" outlineLevel="1" x14ac:dyDescent="0.2">
      <c r="A22" t="s">
        <v>1530</v>
      </c>
      <c r="B22" s="54" t="s">
        <v>462</v>
      </c>
      <c r="C22" s="159">
        <f>'Overall recycling rates'!E78</f>
        <v>3.2359877891023306E-2</v>
      </c>
      <c r="D22" s="159">
        <f t="shared" ref="D22:S25" si="12">C22</f>
        <v>3.2359877891023306E-2</v>
      </c>
      <c r="E22" s="159">
        <f t="shared" si="12"/>
        <v>3.2359877891023306E-2</v>
      </c>
      <c r="F22" s="159">
        <f t="shared" si="12"/>
        <v>3.2359877891023306E-2</v>
      </c>
      <c r="G22" s="159">
        <f t="shared" si="12"/>
        <v>3.2359877891023306E-2</v>
      </c>
      <c r="H22" s="159">
        <f t="shared" si="12"/>
        <v>3.2359877891023306E-2</v>
      </c>
      <c r="I22" s="159">
        <f t="shared" si="12"/>
        <v>3.2359877891023306E-2</v>
      </c>
      <c r="J22" s="159">
        <f t="shared" si="12"/>
        <v>3.2359877891023306E-2</v>
      </c>
      <c r="K22" s="159">
        <f t="shared" si="12"/>
        <v>3.2359877891023306E-2</v>
      </c>
      <c r="L22" s="159">
        <f t="shared" si="12"/>
        <v>3.2359877891023306E-2</v>
      </c>
      <c r="M22" s="159">
        <f t="shared" si="12"/>
        <v>3.2359877891023306E-2</v>
      </c>
      <c r="N22" s="159">
        <f t="shared" si="12"/>
        <v>3.2359877891023306E-2</v>
      </c>
      <c r="O22" s="159">
        <f t="shared" si="12"/>
        <v>3.2359877891023306E-2</v>
      </c>
      <c r="P22" s="159">
        <f t="shared" si="12"/>
        <v>3.2359877891023306E-2</v>
      </c>
      <c r="Q22" s="159">
        <f t="shared" si="12"/>
        <v>3.2359877891023306E-2</v>
      </c>
      <c r="R22" s="159">
        <f t="shared" si="12"/>
        <v>3.2359877891023306E-2</v>
      </c>
      <c r="S22" s="159">
        <f t="shared" si="12"/>
        <v>3.2359877891023306E-2</v>
      </c>
      <c r="T22" s="159">
        <f t="shared" si="11"/>
        <v>3.2359877891023306E-2</v>
      </c>
      <c r="U22" s="159">
        <f t="shared" si="11"/>
        <v>3.2359877891023306E-2</v>
      </c>
      <c r="V22" s="159">
        <f t="shared" si="11"/>
        <v>3.2359877891023306E-2</v>
      </c>
      <c r="W22" s="159">
        <f t="shared" si="11"/>
        <v>3.2359877891023306E-2</v>
      </c>
      <c r="X22" s="159">
        <f t="shared" si="11"/>
        <v>3.2359877891023306E-2</v>
      </c>
      <c r="Y22" s="159">
        <f t="shared" si="11"/>
        <v>3.2359877891023306E-2</v>
      </c>
      <c r="Z22" s="159">
        <f t="shared" si="11"/>
        <v>3.2359877891023306E-2</v>
      </c>
      <c r="AA22" s="159">
        <f t="shared" si="11"/>
        <v>3.2359877891023306E-2</v>
      </c>
      <c r="AB22" s="159">
        <f t="shared" si="11"/>
        <v>3.2359877891023306E-2</v>
      </c>
      <c r="AC22" s="159">
        <f t="shared" si="11"/>
        <v>3.2359877891023306E-2</v>
      </c>
      <c r="AD22" s="159">
        <f t="shared" si="11"/>
        <v>3.2359877891023306E-2</v>
      </c>
      <c r="AE22" s="159">
        <f t="shared" si="11"/>
        <v>3.2359877891023306E-2</v>
      </c>
      <c r="AF22" s="159">
        <f t="shared" si="11"/>
        <v>3.2359877891023306E-2</v>
      </c>
      <c r="AG22" s="159">
        <f t="shared" si="11"/>
        <v>3.2359877891023306E-2</v>
      </c>
      <c r="AI22" s="54" t="s">
        <v>1263</v>
      </c>
      <c r="AJ22" s="211"/>
      <c r="AM22" s="120"/>
      <c r="AN22" s="115"/>
      <c r="AO22" s="116"/>
      <c r="AP22" s="117"/>
      <c r="AQ22" s="116"/>
    </row>
    <row r="23" spans="1:64" outlineLevel="1" x14ac:dyDescent="0.2">
      <c r="A23" t="s">
        <v>1531</v>
      </c>
      <c r="B23" s="54" t="s">
        <v>462</v>
      </c>
      <c r="C23" s="159">
        <f>'Overall recycling rates'!E77</f>
        <v>1.9137757510057262E-2</v>
      </c>
      <c r="D23" s="159">
        <f t="shared" si="12"/>
        <v>1.9137757510057262E-2</v>
      </c>
      <c r="E23" s="159">
        <f t="shared" si="12"/>
        <v>1.9137757510057262E-2</v>
      </c>
      <c r="F23" s="159">
        <f t="shared" si="12"/>
        <v>1.9137757510057262E-2</v>
      </c>
      <c r="G23" s="159">
        <f t="shared" si="12"/>
        <v>1.9137757510057262E-2</v>
      </c>
      <c r="H23" s="159">
        <f t="shared" si="12"/>
        <v>1.9137757510057262E-2</v>
      </c>
      <c r="I23" s="159">
        <f t="shared" si="12"/>
        <v>1.9137757510057262E-2</v>
      </c>
      <c r="J23" s="159">
        <f t="shared" si="12"/>
        <v>1.9137757510057262E-2</v>
      </c>
      <c r="K23" s="159">
        <f t="shared" si="12"/>
        <v>1.9137757510057262E-2</v>
      </c>
      <c r="L23" s="159">
        <f t="shared" si="12"/>
        <v>1.9137757510057262E-2</v>
      </c>
      <c r="M23" s="159">
        <f t="shared" si="12"/>
        <v>1.9137757510057262E-2</v>
      </c>
      <c r="N23" s="159">
        <f t="shared" si="12"/>
        <v>1.9137757510057262E-2</v>
      </c>
      <c r="O23" s="159">
        <f t="shared" si="12"/>
        <v>1.9137757510057262E-2</v>
      </c>
      <c r="P23" s="159">
        <f t="shared" si="12"/>
        <v>1.9137757510057262E-2</v>
      </c>
      <c r="Q23" s="159">
        <f t="shared" si="12"/>
        <v>1.9137757510057262E-2</v>
      </c>
      <c r="R23" s="159">
        <f t="shared" si="12"/>
        <v>1.9137757510057262E-2</v>
      </c>
      <c r="S23" s="159">
        <f t="shared" si="12"/>
        <v>1.9137757510057262E-2</v>
      </c>
      <c r="T23" s="159">
        <f t="shared" si="11"/>
        <v>1.9137757510057262E-2</v>
      </c>
      <c r="U23" s="159">
        <f t="shared" si="11"/>
        <v>1.9137757510057262E-2</v>
      </c>
      <c r="V23" s="159">
        <f t="shared" si="11"/>
        <v>1.9137757510057262E-2</v>
      </c>
      <c r="W23" s="159">
        <f t="shared" si="11"/>
        <v>1.9137757510057262E-2</v>
      </c>
      <c r="X23" s="159">
        <f t="shared" si="11"/>
        <v>1.9137757510057262E-2</v>
      </c>
      <c r="Y23" s="159">
        <f t="shared" si="11"/>
        <v>1.9137757510057262E-2</v>
      </c>
      <c r="Z23" s="159">
        <f t="shared" si="11"/>
        <v>1.9137757510057262E-2</v>
      </c>
      <c r="AA23" s="159">
        <f t="shared" si="11"/>
        <v>1.9137757510057262E-2</v>
      </c>
      <c r="AB23" s="159">
        <f t="shared" si="11"/>
        <v>1.9137757510057262E-2</v>
      </c>
      <c r="AC23" s="159">
        <f t="shared" si="11"/>
        <v>1.9137757510057262E-2</v>
      </c>
      <c r="AD23" s="159">
        <f t="shared" si="11"/>
        <v>1.9137757510057262E-2</v>
      </c>
      <c r="AE23" s="159">
        <f t="shared" si="11"/>
        <v>1.9137757510057262E-2</v>
      </c>
      <c r="AF23" s="159">
        <f t="shared" si="11"/>
        <v>1.9137757510057262E-2</v>
      </c>
      <c r="AG23" s="159">
        <f t="shared" si="11"/>
        <v>1.9137757510057262E-2</v>
      </c>
      <c r="AI23" s="54" t="s">
        <v>1263</v>
      </c>
      <c r="AJ23" s="211"/>
      <c r="AM23" s="120"/>
      <c r="AN23" s="115"/>
      <c r="AO23" s="116"/>
      <c r="AP23" s="117"/>
      <c r="AQ23" s="116"/>
    </row>
    <row r="24" spans="1:64" outlineLevel="1" x14ac:dyDescent="0.2">
      <c r="A24" t="s">
        <v>1532</v>
      </c>
      <c r="B24" s="54" t="s">
        <v>462</v>
      </c>
      <c r="C24" s="159">
        <f>'Overall recycling rates'!E79</f>
        <v>9.1850242717443825E-2</v>
      </c>
      <c r="D24" s="159">
        <f t="shared" si="12"/>
        <v>9.1850242717443825E-2</v>
      </c>
      <c r="E24" s="159">
        <f t="shared" si="12"/>
        <v>9.1850242717443825E-2</v>
      </c>
      <c r="F24" s="159">
        <f t="shared" si="12"/>
        <v>9.1850242717443825E-2</v>
      </c>
      <c r="G24" s="159">
        <f t="shared" si="12"/>
        <v>9.1850242717443825E-2</v>
      </c>
      <c r="H24" s="159">
        <f t="shared" si="12"/>
        <v>9.1850242717443825E-2</v>
      </c>
      <c r="I24" s="159">
        <f t="shared" si="12"/>
        <v>9.1850242717443825E-2</v>
      </c>
      <c r="J24" s="159">
        <f t="shared" si="12"/>
        <v>9.1850242717443825E-2</v>
      </c>
      <c r="K24" s="159">
        <f t="shared" si="12"/>
        <v>9.1850242717443825E-2</v>
      </c>
      <c r="L24" s="159">
        <f t="shared" si="12"/>
        <v>9.1850242717443825E-2</v>
      </c>
      <c r="M24" s="159">
        <f t="shared" si="12"/>
        <v>9.1850242717443825E-2</v>
      </c>
      <c r="N24" s="159">
        <f t="shared" si="12"/>
        <v>9.1850242717443825E-2</v>
      </c>
      <c r="O24" s="159">
        <f t="shared" si="12"/>
        <v>9.1850242717443825E-2</v>
      </c>
      <c r="P24" s="159">
        <f t="shared" si="12"/>
        <v>9.1850242717443825E-2</v>
      </c>
      <c r="Q24" s="159">
        <f t="shared" si="12"/>
        <v>9.1850242717443825E-2</v>
      </c>
      <c r="R24" s="159">
        <f t="shared" si="12"/>
        <v>9.1850242717443825E-2</v>
      </c>
      <c r="S24" s="159">
        <f t="shared" si="12"/>
        <v>9.1850242717443825E-2</v>
      </c>
      <c r="T24" s="159">
        <f t="shared" si="11"/>
        <v>9.1850242717443825E-2</v>
      </c>
      <c r="U24" s="159">
        <f t="shared" si="11"/>
        <v>9.1850242717443825E-2</v>
      </c>
      <c r="V24" s="159">
        <f t="shared" si="11"/>
        <v>9.1850242717443825E-2</v>
      </c>
      <c r="W24" s="159">
        <f t="shared" si="11"/>
        <v>9.1850242717443825E-2</v>
      </c>
      <c r="X24" s="159">
        <f t="shared" si="11"/>
        <v>9.1850242717443825E-2</v>
      </c>
      <c r="Y24" s="159">
        <f t="shared" si="11"/>
        <v>9.1850242717443825E-2</v>
      </c>
      <c r="Z24" s="159">
        <f t="shared" si="11"/>
        <v>9.1850242717443825E-2</v>
      </c>
      <c r="AA24" s="159">
        <f t="shared" si="11"/>
        <v>9.1850242717443825E-2</v>
      </c>
      <c r="AB24" s="159">
        <f t="shared" si="11"/>
        <v>9.1850242717443825E-2</v>
      </c>
      <c r="AC24" s="159">
        <f t="shared" si="11"/>
        <v>9.1850242717443825E-2</v>
      </c>
      <c r="AD24" s="159">
        <f t="shared" si="11"/>
        <v>9.1850242717443825E-2</v>
      </c>
      <c r="AE24" s="159">
        <f t="shared" si="11"/>
        <v>9.1850242717443825E-2</v>
      </c>
      <c r="AF24" s="159">
        <f t="shared" si="11"/>
        <v>9.1850242717443825E-2</v>
      </c>
      <c r="AG24" s="159">
        <f t="shared" si="11"/>
        <v>9.1850242717443825E-2</v>
      </c>
      <c r="AI24" s="54" t="s">
        <v>1263</v>
      </c>
      <c r="AJ24" s="211"/>
      <c r="AM24" s="120"/>
      <c r="AN24" s="115"/>
      <c r="AO24" s="477"/>
      <c r="AP24" s="478"/>
      <c r="AQ24" s="477"/>
    </row>
    <row r="25" spans="1:64" outlineLevel="1" x14ac:dyDescent="0.2">
      <c r="A25" t="s">
        <v>1533</v>
      </c>
      <c r="B25" s="54" t="s">
        <v>462</v>
      </c>
      <c r="C25" s="159">
        <f>'Overall recycling rates'!E80</f>
        <v>6.1083152357585872E-2</v>
      </c>
      <c r="D25" s="159">
        <f>C25</f>
        <v>6.1083152357585872E-2</v>
      </c>
      <c r="E25" s="159">
        <f t="shared" si="12"/>
        <v>6.1083152357585872E-2</v>
      </c>
      <c r="F25" s="159">
        <f t="shared" si="12"/>
        <v>6.1083152357585872E-2</v>
      </c>
      <c r="G25" s="159">
        <f t="shared" si="12"/>
        <v>6.1083152357585872E-2</v>
      </c>
      <c r="H25" s="159">
        <f t="shared" si="12"/>
        <v>6.1083152357585872E-2</v>
      </c>
      <c r="I25" s="159">
        <f t="shared" si="12"/>
        <v>6.1083152357585872E-2</v>
      </c>
      <c r="J25" s="159">
        <f t="shared" si="12"/>
        <v>6.1083152357585872E-2</v>
      </c>
      <c r="K25" s="159">
        <f t="shared" si="12"/>
        <v>6.1083152357585872E-2</v>
      </c>
      <c r="L25" s="159">
        <f t="shared" si="12"/>
        <v>6.1083152357585872E-2</v>
      </c>
      <c r="M25" s="159">
        <f t="shared" si="12"/>
        <v>6.1083152357585872E-2</v>
      </c>
      <c r="N25" s="159">
        <f t="shared" si="12"/>
        <v>6.1083152357585872E-2</v>
      </c>
      <c r="O25" s="159">
        <f t="shared" si="12"/>
        <v>6.1083152357585872E-2</v>
      </c>
      <c r="P25" s="159">
        <f t="shared" si="12"/>
        <v>6.1083152357585872E-2</v>
      </c>
      <c r="Q25" s="159">
        <f t="shared" si="12"/>
        <v>6.1083152357585872E-2</v>
      </c>
      <c r="R25" s="159">
        <f t="shared" si="12"/>
        <v>6.1083152357585872E-2</v>
      </c>
      <c r="S25" s="159">
        <f t="shared" si="12"/>
        <v>6.1083152357585872E-2</v>
      </c>
      <c r="T25" s="159">
        <f t="shared" si="11"/>
        <v>6.1083152357585872E-2</v>
      </c>
      <c r="U25" s="159">
        <f t="shared" si="11"/>
        <v>6.1083152357585872E-2</v>
      </c>
      <c r="V25" s="159">
        <f t="shared" si="11"/>
        <v>6.1083152357585872E-2</v>
      </c>
      <c r="W25" s="159">
        <f t="shared" si="11"/>
        <v>6.1083152357585872E-2</v>
      </c>
      <c r="X25" s="159">
        <f t="shared" si="11"/>
        <v>6.1083152357585872E-2</v>
      </c>
      <c r="Y25" s="159">
        <f t="shared" si="11"/>
        <v>6.1083152357585872E-2</v>
      </c>
      <c r="Z25" s="159">
        <f t="shared" si="11"/>
        <v>6.1083152357585872E-2</v>
      </c>
      <c r="AA25" s="159">
        <f t="shared" si="11"/>
        <v>6.1083152357585872E-2</v>
      </c>
      <c r="AB25" s="159">
        <f t="shared" si="11"/>
        <v>6.1083152357585872E-2</v>
      </c>
      <c r="AC25" s="159">
        <f t="shared" si="11"/>
        <v>6.1083152357585872E-2</v>
      </c>
      <c r="AD25" s="159">
        <f t="shared" si="11"/>
        <v>6.1083152357585872E-2</v>
      </c>
      <c r="AE25" s="159">
        <f t="shared" si="11"/>
        <v>6.1083152357585872E-2</v>
      </c>
      <c r="AF25" s="159">
        <f t="shared" si="11"/>
        <v>6.1083152357585872E-2</v>
      </c>
      <c r="AG25" s="159">
        <f t="shared" si="11"/>
        <v>6.1083152357585872E-2</v>
      </c>
      <c r="AI25" s="54" t="s">
        <v>1263</v>
      </c>
      <c r="AJ25" s="211"/>
      <c r="AM25" s="120"/>
      <c r="AN25" s="115"/>
      <c r="AO25" s="116"/>
      <c r="AP25" s="117"/>
      <c r="AQ25" s="116"/>
    </row>
    <row r="26" spans="1:64" outlineLevel="1" x14ac:dyDescent="0.2">
      <c r="AI26" s="54"/>
      <c r="AM26" s="120"/>
      <c r="AN26" s="115"/>
      <c r="AO26" s="116"/>
      <c r="AP26" s="117"/>
      <c r="AQ26" s="116"/>
      <c r="BD26" s="23"/>
      <c r="BE26" s="23"/>
      <c r="BF26" s="23"/>
      <c r="BG26" s="23"/>
      <c r="BH26" s="23"/>
      <c r="BI26" s="23"/>
      <c r="BJ26" s="23"/>
      <c r="BK26" s="23"/>
      <c r="BL26" s="23"/>
    </row>
    <row r="27" spans="1:64" outlineLevel="1" x14ac:dyDescent="0.2">
      <c r="A27" t="s">
        <v>1534</v>
      </c>
      <c r="B27" s="54" t="s">
        <v>1535</v>
      </c>
      <c r="C27" s="204">
        <f>C14*C21</f>
        <v>2.137941716225618</v>
      </c>
      <c r="D27" s="204">
        <f t="shared" ref="D27:AG27" si="13">D14*D21</f>
        <v>2.2096087286575932</v>
      </c>
      <c r="E27" s="204">
        <f t="shared" si="13"/>
        <v>2.2777084329343018</v>
      </c>
      <c r="F27" s="204">
        <f t="shared" si="13"/>
        <v>2.3417734176399954</v>
      </c>
      <c r="G27" s="204">
        <f t="shared" si="13"/>
        <v>2.4013549757949453</v>
      </c>
      <c r="H27" s="204">
        <f t="shared" si="13"/>
        <v>2.4560283397508269</v>
      </c>
      <c r="I27" s="204">
        <f t="shared" si="13"/>
        <v>2.5108030142133506</v>
      </c>
      <c r="J27" s="204">
        <f t="shared" si="13"/>
        <v>2.5656294057910416</v>
      </c>
      <c r="K27" s="204">
        <f t="shared" si="13"/>
        <v>2.6204566620152048</v>
      </c>
      <c r="L27" s="204">
        <f t="shared" si="13"/>
        <v>2.6752327374721778</v>
      </c>
      <c r="M27" s="204">
        <f>M14*M21</f>
        <v>2.7299044644051373</v>
      </c>
      <c r="N27" s="204">
        <f t="shared" si="13"/>
        <v>2.7804337089831113</v>
      </c>
      <c r="O27" s="204">
        <f t="shared" si="13"/>
        <v>2.8265402269314515</v>
      </c>
      <c r="P27" s="204">
        <f t="shared" si="13"/>
        <v>2.867963568105826</v>
      </c>
      <c r="Q27" s="204">
        <f t="shared" si="13"/>
        <v>2.9044654971713828</v>
      </c>
      <c r="R27" s="204">
        <f t="shared" si="13"/>
        <v>2.935832250480499</v>
      </c>
      <c r="S27" s="204">
        <f t="shared" si="13"/>
        <v>2.9672129233514815</v>
      </c>
      <c r="T27" s="204">
        <f t="shared" si="13"/>
        <v>2.9986005242481526</v>
      </c>
      <c r="U27" s="204">
        <f t="shared" si="13"/>
        <v>3.0299879776975489</v>
      </c>
      <c r="V27" s="204">
        <f t="shared" si="13"/>
        <v>3.0613681265221042</v>
      </c>
      <c r="W27" s="204">
        <f t="shared" si="13"/>
        <v>3.092733734145976</v>
      </c>
      <c r="X27" s="204">
        <f t="shared" si="13"/>
        <v>3.1241118968506316</v>
      </c>
      <c r="Y27" s="204">
        <f t="shared" si="13"/>
        <v>3.1554963149724538</v>
      </c>
      <c r="Z27" s="204">
        <f t="shared" si="13"/>
        <v>3.1868806176551439</v>
      </c>
      <c r="AA27" s="204">
        <f t="shared" si="13"/>
        <v>3.2182583646700484</v>
      </c>
      <c r="AB27" s="204">
        <f t="shared" si="13"/>
        <v>3.2496230482931523</v>
      </c>
      <c r="AC27" s="204">
        <f t="shared" si="13"/>
        <v>3.2809991142881461</v>
      </c>
      <c r="AD27" s="204">
        <f t="shared" si="13"/>
        <v>3.3123808564026085</v>
      </c>
      <c r="AE27" s="204">
        <f t="shared" si="13"/>
        <v>3.3437625074661987</v>
      </c>
      <c r="AF27" s="204">
        <f t="shared" si="13"/>
        <v>3.3751382408899606</v>
      </c>
      <c r="AG27" s="204">
        <f t="shared" si="13"/>
        <v>3.4065021722095441</v>
      </c>
      <c r="AI27" s="245"/>
      <c r="AM27" s="120"/>
      <c r="AN27" s="115"/>
      <c r="AO27" s="115"/>
      <c r="AP27" s="115"/>
      <c r="AQ27" s="115"/>
      <c r="BD27" s="205"/>
      <c r="BE27" s="205"/>
      <c r="BF27" s="205"/>
      <c r="BG27" s="205"/>
      <c r="BH27" s="205"/>
      <c r="BI27" s="205"/>
      <c r="BJ27" s="205"/>
      <c r="BK27" s="205"/>
      <c r="BL27" s="205"/>
    </row>
    <row r="28" spans="1:64" outlineLevel="1" x14ac:dyDescent="0.2">
      <c r="A28" t="s">
        <v>1536</v>
      </c>
      <c r="B28" s="54" t="s">
        <v>1535</v>
      </c>
      <c r="C28" s="204">
        <f t="shared" ref="C28:AG31" si="14">C15*C22</f>
        <v>0.58649688544622769</v>
      </c>
      <c r="D28" s="204">
        <f t="shared" si="14"/>
        <v>0.60615714056992442</v>
      </c>
      <c r="E28" s="204">
        <f t="shared" si="14"/>
        <v>0.62483878383221614</v>
      </c>
      <c r="F28" s="204">
        <f t="shared" si="14"/>
        <v>0.64241359127943864</v>
      </c>
      <c r="G28" s="204">
        <f t="shared" si="14"/>
        <v>0.65875847010504252</v>
      </c>
      <c r="H28" s="204">
        <f t="shared" si="14"/>
        <v>0.67375689472702072</v>
      </c>
      <c r="I28" s="204">
        <f t="shared" si="14"/>
        <v>0.68878311163919914</v>
      </c>
      <c r="J28" s="204">
        <f t="shared" si="14"/>
        <v>0.70382351599472071</v>
      </c>
      <c r="K28" s="204">
        <f t="shared" si="14"/>
        <v>0.71886415754682209</v>
      </c>
      <c r="L28" s="204">
        <f t="shared" si="14"/>
        <v>0.73389075879075039</v>
      </c>
      <c r="M28" s="204">
        <f t="shared" si="14"/>
        <v>0.74888873433180292</v>
      </c>
      <c r="N28" s="204">
        <f t="shared" si="14"/>
        <v>0.76275031172842678</v>
      </c>
      <c r="O28" s="204">
        <f t="shared" si="14"/>
        <v>0.7753986121803268</v>
      </c>
      <c r="P28" s="204">
        <f t="shared" si="14"/>
        <v>0.78676218696778055</v>
      </c>
      <c r="Q28" s="204">
        <f t="shared" si="14"/>
        <v>0.7967756815112722</v>
      </c>
      <c r="R28" s="204">
        <f t="shared" si="14"/>
        <v>0.80538045449583906</v>
      </c>
      <c r="S28" s="204">
        <f t="shared" si="14"/>
        <v>0.81398904600343625</v>
      </c>
      <c r="T28" s="204">
        <f t="shared" si="14"/>
        <v>0.82259953806120234</v>
      </c>
      <c r="U28" s="204">
        <f t="shared" si="14"/>
        <v>0.83120998967007897</v>
      </c>
      <c r="V28" s="204">
        <f t="shared" si="14"/>
        <v>0.83981843741716355</v>
      </c>
      <c r="W28" s="204">
        <f t="shared" si="14"/>
        <v>0.8484228961083975</v>
      </c>
      <c r="X28" s="204">
        <f t="shared" si="14"/>
        <v>0.85703079900754442</v>
      </c>
      <c r="Y28" s="204">
        <f t="shared" si="14"/>
        <v>0.8656404179416316</v>
      </c>
      <c r="Z28" s="204">
        <f t="shared" si="14"/>
        <v>0.87425000520755336</v>
      </c>
      <c r="AA28" s="204">
        <f t="shared" si="14"/>
        <v>0.88285779407143816</v>
      </c>
      <c r="AB28" s="204">
        <f t="shared" si="14"/>
        <v>0.89146199928355774</v>
      </c>
      <c r="AC28" s="204">
        <f t="shared" si="14"/>
        <v>0.90006932699691888</v>
      </c>
      <c r="AD28" s="204">
        <f t="shared" si="14"/>
        <v>0.90867821182774677</v>
      </c>
      <c r="AE28" s="204">
        <f t="shared" si="14"/>
        <v>0.91728707168078771</v>
      </c>
      <c r="AF28" s="204">
        <f t="shared" si="14"/>
        <v>0.92589430816060814</v>
      </c>
      <c r="AG28" s="204">
        <f t="shared" si="14"/>
        <v>0.93449830699494496</v>
      </c>
      <c r="AM28" s="206"/>
      <c r="BD28" s="205"/>
      <c r="BE28" s="205"/>
      <c r="BF28" s="205"/>
      <c r="BG28" s="205"/>
      <c r="BH28" s="205"/>
      <c r="BI28" s="205"/>
      <c r="BJ28" s="205"/>
      <c r="BK28" s="205"/>
      <c r="BL28" s="205"/>
    </row>
    <row r="29" spans="1:64" outlineLevel="1" x14ac:dyDescent="0.2">
      <c r="A29" t="s">
        <v>1537</v>
      </c>
      <c r="B29" s="54" t="s">
        <v>1535</v>
      </c>
      <c r="C29" s="204">
        <f t="shared" si="14"/>
        <v>0.27288082766179111</v>
      </c>
      <c r="D29" s="204">
        <f t="shared" si="14"/>
        <v>0.28202820222306357</v>
      </c>
      <c r="E29" s="204">
        <f t="shared" si="14"/>
        <v>0.29072025567125509</v>
      </c>
      <c r="F29" s="204">
        <f t="shared" si="14"/>
        <v>0.29889732893660731</v>
      </c>
      <c r="G29" s="204">
        <f t="shared" si="14"/>
        <v>0.30650215033061867</v>
      </c>
      <c r="H29" s="204">
        <f t="shared" si="14"/>
        <v>0.31348050371327035</v>
      </c>
      <c r="I29" s="204">
        <f t="shared" si="14"/>
        <v>0.32047178808215687</v>
      </c>
      <c r="J29" s="204">
        <f t="shared" si="14"/>
        <v>0.32746967347720052</v>
      </c>
      <c r="K29" s="204">
        <f t="shared" si="14"/>
        <v>0.33446766923327187</v>
      </c>
      <c r="L29" s="204">
        <f t="shared" si="14"/>
        <v>0.34145913242112341</v>
      </c>
      <c r="M29" s="204">
        <f t="shared" si="14"/>
        <v>0.34843727685880416</v>
      </c>
      <c r="N29" s="204">
        <f t="shared" si="14"/>
        <v>0.3548866865770004</v>
      </c>
      <c r="O29" s="204">
        <f t="shared" si="14"/>
        <v>0.36077159198993103</v>
      </c>
      <c r="P29" s="204">
        <f t="shared" si="14"/>
        <v>0.36605874997856686</v>
      </c>
      <c r="Q29" s="204">
        <f t="shared" si="14"/>
        <v>0.37071775285926561</v>
      </c>
      <c r="R29" s="204">
        <f t="shared" si="14"/>
        <v>0.37472131644525791</v>
      </c>
      <c r="S29" s="204">
        <f t="shared" si="14"/>
        <v>0.37872665668471733</v>
      </c>
      <c r="T29" s="204">
        <f t="shared" si="14"/>
        <v>0.38273288119776105</v>
      </c>
      <c r="U29" s="204">
        <f t="shared" si="14"/>
        <v>0.38673908689105191</v>
      </c>
      <c r="V29" s="204">
        <f t="shared" si="14"/>
        <v>0.3907443602427092</v>
      </c>
      <c r="W29" s="204">
        <f t="shared" si="14"/>
        <v>0.39474777759668062</v>
      </c>
      <c r="X29" s="204">
        <f t="shared" si="14"/>
        <v>0.39875279744561698</v>
      </c>
      <c r="Y29" s="204">
        <f t="shared" si="14"/>
        <v>0.40275861571829003</v>
      </c>
      <c r="Z29" s="204">
        <f t="shared" si="14"/>
        <v>0.40676441925663909</v>
      </c>
      <c r="AA29" s="204">
        <f t="shared" si="14"/>
        <v>0.41076938604811258</v>
      </c>
      <c r="AB29" s="204">
        <f t="shared" si="14"/>
        <v>0.4147726854652421</v>
      </c>
      <c r="AC29" s="204">
        <f t="shared" si="14"/>
        <v>0.41877743769609355</v>
      </c>
      <c r="AD29" s="204">
        <f t="shared" si="14"/>
        <v>0.4227829144107636</v>
      </c>
      <c r="AE29" s="204">
        <f t="shared" si="14"/>
        <v>0.42678837950395809</v>
      </c>
      <c r="AF29" s="204">
        <f t="shared" si="14"/>
        <v>0.43079308928635907</v>
      </c>
      <c r="AG29" s="204">
        <f t="shared" si="14"/>
        <v>0.43479629268159714</v>
      </c>
      <c r="BD29" s="205"/>
      <c r="BE29" s="205"/>
      <c r="BF29" s="205"/>
      <c r="BG29" s="205"/>
      <c r="BH29" s="205"/>
      <c r="BI29" s="205"/>
      <c r="BJ29" s="205"/>
      <c r="BK29" s="205"/>
      <c r="BL29" s="205"/>
    </row>
    <row r="30" spans="1:64" outlineLevel="1" x14ac:dyDescent="0.2">
      <c r="A30" t="s">
        <v>1538</v>
      </c>
      <c r="B30" s="54" t="s">
        <v>1535</v>
      </c>
      <c r="C30" s="204">
        <f t="shared" si="14"/>
        <v>3.3569388624573886</v>
      </c>
      <c r="D30" s="204">
        <f t="shared" si="14"/>
        <v>3.4694684872657979</v>
      </c>
      <c r="E30" s="204">
        <f t="shared" si="14"/>
        <v>3.5763968202850558</v>
      </c>
      <c r="F30" s="204">
        <f t="shared" si="14"/>
        <v>3.6769899446200638</v>
      </c>
      <c r="G30" s="204">
        <f t="shared" si="14"/>
        <v>3.7705433125805432</v>
      </c>
      <c r="H30" s="204">
        <f t="shared" si="14"/>
        <v>3.8563899653736766</v>
      </c>
      <c r="I30" s="204">
        <f t="shared" si="14"/>
        <v>3.9423956932128412</v>
      </c>
      <c r="J30" s="204">
        <f t="shared" si="14"/>
        <v>4.0284826258820736</v>
      </c>
      <c r="K30" s="204">
        <f t="shared" si="14"/>
        <v>4.1145709161960546</v>
      </c>
      <c r="L30" s="204">
        <f t="shared" si="14"/>
        <v>4.2005788438392075</v>
      </c>
      <c r="M30" s="204">
        <f t="shared" si="14"/>
        <v>4.2864229262227624</v>
      </c>
      <c r="N30" s="204">
        <f t="shared" si="14"/>
        <v>4.3657625936828621</v>
      </c>
      <c r="O30" s="204">
        <f t="shared" si="14"/>
        <v>4.4381578141599762</v>
      </c>
      <c r="P30" s="204">
        <f t="shared" si="14"/>
        <v>4.5031996358082207</v>
      </c>
      <c r="Q30" s="204">
        <f t="shared" si="14"/>
        <v>4.5605139878809968</v>
      </c>
      <c r="R30" s="204">
        <f t="shared" si="14"/>
        <v>4.6097652244200269</v>
      </c>
      <c r="S30" s="204">
        <f t="shared" si="14"/>
        <v>4.6590383170825511</v>
      </c>
      <c r="T30" s="204">
        <f t="shared" si="14"/>
        <v>4.7083222879455908</v>
      </c>
      <c r="U30" s="204">
        <f t="shared" si="14"/>
        <v>4.7576060272908638</v>
      </c>
      <c r="V30" s="204">
        <f t="shared" si="14"/>
        <v>4.8068782971097157</v>
      </c>
      <c r="W30" s="204">
        <f t="shared" si="14"/>
        <v>4.8561277347244367</v>
      </c>
      <c r="X30" s="204">
        <f t="shared" si="14"/>
        <v>4.905396885990978</v>
      </c>
      <c r="Y30" s="204">
        <f t="shared" si="14"/>
        <v>4.9546758593461337</v>
      </c>
      <c r="Z30" s="204">
        <f t="shared" si="14"/>
        <v>5.0039546514418518</v>
      </c>
      <c r="AA30" s="204">
        <f t="shared" si="14"/>
        <v>5.0532231500034728</v>
      </c>
      <c r="AB30" s="204">
        <f t="shared" si="14"/>
        <v>5.1024711367769191</v>
      </c>
      <c r="AC30" s="204">
        <f t="shared" si="14"/>
        <v>5.1517369958460666</v>
      </c>
      <c r="AD30" s="204">
        <f t="shared" si="14"/>
        <v>5.2010117674060865</v>
      </c>
      <c r="AE30" s="204">
        <f t="shared" si="14"/>
        <v>5.2502863960004644</v>
      </c>
      <c r="AF30" s="204">
        <f t="shared" si="14"/>
        <v>5.2995517328751651</v>
      </c>
      <c r="AG30" s="204">
        <f t="shared" si="14"/>
        <v>5.3487985384017573</v>
      </c>
      <c r="BD30" s="205"/>
      <c r="BE30" s="205"/>
      <c r="BF30" s="205"/>
      <c r="BG30" s="205"/>
      <c r="BH30" s="205"/>
      <c r="BI30" s="205"/>
      <c r="BJ30" s="205"/>
      <c r="BK30" s="205"/>
      <c r="BL30" s="205"/>
    </row>
    <row r="31" spans="1:64" outlineLevel="1" x14ac:dyDescent="0.2">
      <c r="A31" s="181" t="s">
        <v>1539</v>
      </c>
      <c r="B31" s="176" t="s">
        <v>1535</v>
      </c>
      <c r="C31" s="204">
        <f t="shared" si="14"/>
        <v>6.3196211155477018</v>
      </c>
      <c r="D31" s="204">
        <f t="shared" si="14"/>
        <v>6.5314642923827124</v>
      </c>
      <c r="E31" s="204">
        <f t="shared" si="14"/>
        <v>6.7327627308964706</v>
      </c>
      <c r="F31" s="204">
        <f t="shared" si="14"/>
        <v>6.9221347923706755</v>
      </c>
      <c r="G31" s="204">
        <f t="shared" si="14"/>
        <v>7.0982541272223267</v>
      </c>
      <c r="H31" s="204">
        <f t="shared" si="14"/>
        <v>7.25986514902492</v>
      </c>
      <c r="I31" s="204">
        <f t="shared" si="14"/>
        <v>7.4217756383069799</v>
      </c>
      <c r="J31" s="204">
        <f t="shared" si="14"/>
        <v>7.5838390001255389</v>
      </c>
      <c r="K31" s="204">
        <f t="shared" si="14"/>
        <v>7.7459049177846335</v>
      </c>
      <c r="L31" s="204">
        <f t="shared" si="14"/>
        <v>7.9078195483180842</v>
      </c>
      <c r="M31" s="204">
        <f t="shared" si="14"/>
        <v>8.0694257311839817</v>
      </c>
      <c r="N31" s="204">
        <f t="shared" si="14"/>
        <v>8.2187869970052905</v>
      </c>
      <c r="O31" s="204">
        <f t="shared" si="14"/>
        <v>8.355074961349386</v>
      </c>
      <c r="P31" s="204">
        <f t="shared" si="14"/>
        <v>8.477519749986687</v>
      </c>
      <c r="Q31" s="204">
        <f t="shared" si="14"/>
        <v>8.5854171542658655</v>
      </c>
      <c r="R31" s="204">
        <f t="shared" si="14"/>
        <v>8.6781353023023904</v>
      </c>
      <c r="S31" s="204">
        <f t="shared" si="14"/>
        <v>8.7708945956874604</v>
      </c>
      <c r="T31" s="204">
        <f t="shared" si="14"/>
        <v>8.8636743678803036</v>
      </c>
      <c r="U31" s="204">
        <f t="shared" si="14"/>
        <v>8.9564537042282826</v>
      </c>
      <c r="V31" s="204">
        <f t="shared" si="14"/>
        <v>9.0492114485651083</v>
      </c>
      <c r="W31" s="204">
        <f t="shared" si="14"/>
        <v>9.1419262100281777</v>
      </c>
      <c r="X31" s="204">
        <f t="shared" si="14"/>
        <v>9.2346780835196203</v>
      </c>
      <c r="Y31" s="204">
        <f t="shared" si="14"/>
        <v>9.3274484476303847</v>
      </c>
      <c r="Z31" s="204">
        <f t="shared" si="14"/>
        <v>9.420218470510342</v>
      </c>
      <c r="AA31" s="204">
        <f t="shared" si="14"/>
        <v>9.5129691152490494</v>
      </c>
      <c r="AB31" s="204">
        <f t="shared" si="14"/>
        <v>9.6056811454240218</v>
      </c>
      <c r="AC31" s="204">
        <f t="shared" si="14"/>
        <v>9.6984268211737046</v>
      </c>
      <c r="AD31" s="204">
        <f t="shared" si="14"/>
        <v>9.7911892751751886</v>
      </c>
      <c r="AE31" s="204">
        <f t="shared" si="14"/>
        <v>9.883951460036025</v>
      </c>
      <c r="AF31" s="204">
        <f t="shared" si="14"/>
        <v>9.9766961527260829</v>
      </c>
      <c r="AG31" s="204">
        <f t="shared" si="14"/>
        <v>10.06940595913921</v>
      </c>
      <c r="AL31" s="108"/>
      <c r="AM31" s="207"/>
      <c r="AN31" s="207"/>
      <c r="AO31" s="207"/>
    </row>
    <row r="32" spans="1:64" s="1" customFormat="1" ht="16" thickBot="1" x14ac:dyDescent="0.25">
      <c r="A32" s="200" t="s">
        <v>1540</v>
      </c>
      <c r="B32" s="219" t="s">
        <v>1535</v>
      </c>
      <c r="C32" s="216">
        <f>SUM(C27:C31)</f>
        <v>12.673879407338728</v>
      </c>
      <c r="D32" s="216">
        <f t="shared" ref="D32:AG32" si="15">SUM(D27:D31)</f>
        <v>13.098726851099091</v>
      </c>
      <c r="E32" s="216">
        <f t="shared" si="15"/>
        <v>13.502427023619299</v>
      </c>
      <c r="F32" s="216">
        <f t="shared" si="15"/>
        <v>13.882209074846781</v>
      </c>
      <c r="G32" s="216">
        <f t="shared" si="15"/>
        <v>14.235413036033478</v>
      </c>
      <c r="H32" s="216">
        <f t="shared" si="15"/>
        <v>14.559520852589715</v>
      </c>
      <c r="I32" s="216">
        <f t="shared" si="15"/>
        <v>14.884229245454527</v>
      </c>
      <c r="J32" s="216">
        <f t="shared" si="15"/>
        <v>15.209244221270575</v>
      </c>
      <c r="K32" s="216">
        <f t="shared" si="15"/>
        <v>15.534264322775988</v>
      </c>
      <c r="L32" s="216">
        <f t="shared" si="15"/>
        <v>15.858981020841343</v>
      </c>
      <c r="M32" s="216">
        <f t="shared" si="15"/>
        <v>16.183079133002487</v>
      </c>
      <c r="N32" s="216">
        <f t="shared" si="15"/>
        <v>16.482620297976691</v>
      </c>
      <c r="O32" s="216">
        <f t="shared" si="15"/>
        <v>16.755943206611072</v>
      </c>
      <c r="P32" s="216">
        <f t="shared" si="15"/>
        <v>17.001503890847083</v>
      </c>
      <c r="Q32" s="216">
        <f t="shared" si="15"/>
        <v>17.217890073688782</v>
      </c>
      <c r="R32" s="216">
        <f t="shared" si="15"/>
        <v>17.403834548144012</v>
      </c>
      <c r="S32" s="216">
        <f t="shared" si="15"/>
        <v>17.589861538809647</v>
      </c>
      <c r="T32" s="216">
        <f t="shared" si="15"/>
        <v>17.775929599333011</v>
      </c>
      <c r="U32" s="216">
        <f t="shared" si="15"/>
        <v>17.961996785777828</v>
      </c>
      <c r="V32" s="216">
        <f t="shared" si="15"/>
        <v>18.148020669856798</v>
      </c>
      <c r="W32" s="216">
        <f t="shared" si="15"/>
        <v>18.33395835260367</v>
      </c>
      <c r="X32" s="216">
        <f t="shared" si="15"/>
        <v>18.519970462814392</v>
      </c>
      <c r="Y32" s="216">
        <f t="shared" si="15"/>
        <v>18.706019655608895</v>
      </c>
      <c r="Z32" s="216">
        <f t="shared" si="15"/>
        <v>18.892068164071532</v>
      </c>
      <c r="AA32" s="216">
        <f t="shared" si="15"/>
        <v>19.078077810042121</v>
      </c>
      <c r="AB32" s="216">
        <f t="shared" si="15"/>
        <v>19.264010015242892</v>
      </c>
      <c r="AC32" s="216">
        <f t="shared" si="15"/>
        <v>19.450009696000929</v>
      </c>
      <c r="AD32" s="216">
        <f t="shared" si="15"/>
        <v>19.636043025222392</v>
      </c>
      <c r="AE32" s="216">
        <f t="shared" si="15"/>
        <v>19.822075814687434</v>
      </c>
      <c r="AF32" s="216">
        <f t="shared" si="15"/>
        <v>20.008073523938176</v>
      </c>
      <c r="AG32" s="216">
        <f t="shared" si="15"/>
        <v>20.194001269427055</v>
      </c>
      <c r="AJ32" s="162"/>
      <c r="AL32" s="221"/>
      <c r="AM32" s="124"/>
      <c r="AN32" s="124"/>
      <c r="AO32" s="124"/>
    </row>
    <row r="33" spans="1:64" ht="16" outlineLevel="1" thickTop="1" x14ac:dyDescent="0.2">
      <c r="AL33" s="108"/>
      <c r="AM33" s="2"/>
      <c r="AN33" s="2"/>
      <c r="AO33" s="2"/>
    </row>
    <row r="34" spans="1:64" outlineLevel="1" x14ac:dyDescent="0.2">
      <c r="A34" t="s">
        <v>1541</v>
      </c>
      <c r="B34" s="176" t="s">
        <v>1535</v>
      </c>
      <c r="C34" s="107">
        <f>C32</f>
        <v>12.673879407338728</v>
      </c>
      <c r="D34" s="107">
        <f t="shared" ref="D34:AG34" si="16">D32</f>
        <v>13.098726851099091</v>
      </c>
      <c r="E34" s="107">
        <f t="shared" si="16"/>
        <v>13.502427023619299</v>
      </c>
      <c r="F34" s="107">
        <f t="shared" si="16"/>
        <v>13.882209074846781</v>
      </c>
      <c r="G34" s="107">
        <f t="shared" si="16"/>
        <v>14.235413036033478</v>
      </c>
      <c r="H34" s="107">
        <f t="shared" si="16"/>
        <v>14.559520852589715</v>
      </c>
      <c r="I34" s="107">
        <f t="shared" si="16"/>
        <v>14.884229245454527</v>
      </c>
      <c r="J34" s="107">
        <f t="shared" si="16"/>
        <v>15.209244221270575</v>
      </c>
      <c r="K34" s="107">
        <f t="shared" si="16"/>
        <v>15.534264322775988</v>
      </c>
      <c r="L34" s="107">
        <f t="shared" si="16"/>
        <v>15.858981020841343</v>
      </c>
      <c r="M34" s="107">
        <f t="shared" si="16"/>
        <v>16.183079133002487</v>
      </c>
      <c r="N34" s="107">
        <f t="shared" si="16"/>
        <v>16.482620297976691</v>
      </c>
      <c r="O34" s="107">
        <f t="shared" si="16"/>
        <v>16.755943206611072</v>
      </c>
      <c r="P34" s="107">
        <f t="shared" si="16"/>
        <v>17.001503890847083</v>
      </c>
      <c r="Q34" s="107">
        <f t="shared" si="16"/>
        <v>17.217890073688782</v>
      </c>
      <c r="R34" s="107">
        <f t="shared" si="16"/>
        <v>17.403834548144012</v>
      </c>
      <c r="S34" s="107">
        <f t="shared" si="16"/>
        <v>17.589861538809647</v>
      </c>
      <c r="T34" s="107">
        <f t="shared" si="16"/>
        <v>17.775929599333011</v>
      </c>
      <c r="U34" s="107">
        <f t="shared" si="16"/>
        <v>17.961996785777828</v>
      </c>
      <c r="V34" s="107">
        <f t="shared" si="16"/>
        <v>18.148020669856798</v>
      </c>
      <c r="W34" s="107">
        <f t="shared" si="16"/>
        <v>18.33395835260367</v>
      </c>
      <c r="X34" s="107">
        <f t="shared" si="16"/>
        <v>18.519970462814392</v>
      </c>
      <c r="Y34" s="107">
        <f t="shared" si="16"/>
        <v>18.706019655608895</v>
      </c>
      <c r="Z34" s="107">
        <f t="shared" si="16"/>
        <v>18.892068164071532</v>
      </c>
      <c r="AA34" s="107">
        <f t="shared" si="16"/>
        <v>19.078077810042121</v>
      </c>
      <c r="AB34" s="107">
        <f t="shared" si="16"/>
        <v>19.264010015242892</v>
      </c>
      <c r="AC34" s="107">
        <f t="shared" si="16"/>
        <v>19.450009696000929</v>
      </c>
      <c r="AD34" s="107">
        <f t="shared" si="16"/>
        <v>19.636043025222392</v>
      </c>
      <c r="AE34" s="107">
        <f t="shared" si="16"/>
        <v>19.822075814687434</v>
      </c>
      <c r="AF34" s="107">
        <f t="shared" si="16"/>
        <v>20.008073523938176</v>
      </c>
      <c r="AG34" s="107">
        <f t="shared" si="16"/>
        <v>20.194001269427055</v>
      </c>
      <c r="AL34" s="108"/>
      <c r="AM34" s="2"/>
      <c r="AN34" s="2"/>
      <c r="AO34" s="2"/>
    </row>
    <row r="35" spans="1:64" outlineLevel="1" x14ac:dyDescent="0.2">
      <c r="AL35" s="108"/>
      <c r="AM35" s="2"/>
      <c r="AN35" s="2"/>
      <c r="AO35" s="2"/>
    </row>
    <row r="36" spans="1:64" outlineLevel="1" x14ac:dyDescent="0.2">
      <c r="A36" t="s">
        <v>1542</v>
      </c>
      <c r="B36" s="54" t="s">
        <v>462</v>
      </c>
      <c r="C36" s="205">
        <f>'Yearly Methanol'!D36/'Yearly Methanol'!D29</f>
        <v>1</v>
      </c>
      <c r="D36" s="205">
        <f>'Yearly Methanol'!E36/'Yearly Methanol'!E29</f>
        <v>0.99818899999999999</v>
      </c>
      <c r="E36" s="205">
        <f>'Yearly Methanol'!F36/'Yearly Methanol'!F29</f>
        <v>0.99637799999999999</v>
      </c>
      <c r="F36" s="205">
        <f>'Yearly Methanol'!G36/'Yearly Methanol'!G29</f>
        <v>0.99456699999999987</v>
      </c>
      <c r="G36" s="205">
        <f>'Yearly Methanol'!H36/'Yearly Methanol'!H29</f>
        <v>0.99275599999999997</v>
      </c>
      <c r="H36" s="205">
        <f>'Yearly Methanol'!I36/'Yearly Methanol'!I29</f>
        <v>0.99094500000000008</v>
      </c>
      <c r="I36" s="205">
        <f>'Yearly Methanol'!J36/'Yearly Methanol'!J29</f>
        <v>0.98913400000000007</v>
      </c>
      <c r="J36" s="205">
        <f>'Yearly Methanol'!K36/'Yearly Methanol'!K29</f>
        <v>0.98732300000000006</v>
      </c>
      <c r="K36" s="205">
        <f>'Yearly Methanol'!L36/'Yearly Methanol'!L29</f>
        <v>0.98551200000000005</v>
      </c>
      <c r="L36" s="205">
        <f>'Yearly Methanol'!M36/'Yearly Methanol'!M29</f>
        <v>0.98370099999999994</v>
      </c>
      <c r="M36" s="205">
        <f>'Yearly Methanol'!N36/'Yearly Methanol'!N29</f>
        <v>0.98189000000000004</v>
      </c>
      <c r="N36" s="205">
        <f>'Yearly Methanol'!O36/'Yearly Methanol'!O29</f>
        <v>0.97769899999999998</v>
      </c>
      <c r="O36" s="205">
        <f>'Yearly Methanol'!P36/'Yearly Methanol'!P29</f>
        <v>0.97350800000000004</v>
      </c>
      <c r="P36" s="205">
        <f>'Yearly Methanol'!Q36/'Yearly Methanol'!Q29</f>
        <v>0.9693170000000001</v>
      </c>
      <c r="Q36" s="205">
        <f>'Yearly Methanol'!R36/'Yearly Methanol'!R29</f>
        <v>0.96512600000000004</v>
      </c>
      <c r="R36" s="205">
        <f>'Yearly Methanol'!S36/'Yearly Methanol'!S29</f>
        <v>0.96093499999999998</v>
      </c>
      <c r="S36" s="205">
        <f>'Yearly Methanol'!T36/'Yearly Methanol'!T29</f>
        <v>0.95674400000000004</v>
      </c>
      <c r="T36" s="205">
        <f>'Yearly Methanol'!U36/'Yearly Methanol'!U29</f>
        <v>0.95255299999999987</v>
      </c>
      <c r="U36" s="205">
        <f>'Yearly Methanol'!V36/'Yearly Methanol'!V29</f>
        <v>0.94836199999999993</v>
      </c>
      <c r="V36" s="205">
        <f>'Yearly Methanol'!W36/'Yearly Methanol'!W29</f>
        <v>0.94417100000000009</v>
      </c>
      <c r="W36" s="205">
        <f>'Yearly Methanol'!X36/'Yearly Methanol'!X29</f>
        <v>0.93998000000000004</v>
      </c>
      <c r="X36" s="205">
        <f>'Yearly Methanol'!Y36/'Yearly Methanol'!Y29</f>
        <v>0.935782</v>
      </c>
      <c r="Y36" s="205">
        <f>'Yearly Methanol'!Z36/'Yearly Methanol'!Z29</f>
        <v>0.93158399999999997</v>
      </c>
      <c r="Z36" s="205">
        <f>'Yearly Methanol'!AA36/'Yearly Methanol'!AA29</f>
        <v>0.92738599999999993</v>
      </c>
      <c r="AA36" s="205">
        <f>'Yearly Methanol'!AB36/'Yearly Methanol'!AB29</f>
        <v>0.92318800000000012</v>
      </c>
      <c r="AB36" s="205">
        <f>'Yearly Methanol'!AC36/'Yearly Methanol'!AC29</f>
        <v>0.91898999999999997</v>
      </c>
      <c r="AC36" s="205">
        <f>'Yearly Methanol'!AD36/'Yearly Methanol'!AD29</f>
        <v>0.91479200000000005</v>
      </c>
      <c r="AD36" s="205">
        <f>'Yearly Methanol'!AE36/'Yearly Methanol'!AE29</f>
        <v>0.91059400000000001</v>
      </c>
      <c r="AE36" s="205">
        <f>'Yearly Methanol'!AF36/'Yearly Methanol'!AF29</f>
        <v>0.90639599999999998</v>
      </c>
      <c r="AF36" s="205">
        <f>'Yearly Methanol'!AG36/'Yearly Methanol'!AG29</f>
        <v>0.90219800000000006</v>
      </c>
      <c r="AG36" s="205">
        <f>'Yearly Methanol'!AH36/'Yearly Methanol'!AH29</f>
        <v>0.89799999999999991</v>
      </c>
      <c r="AL36" s="108"/>
      <c r="AM36" s="207"/>
      <c r="AN36" s="207"/>
      <c r="AO36" s="207"/>
      <c r="BC36" s="1"/>
      <c r="BD36" s="578"/>
      <c r="BE36" s="578"/>
      <c r="BF36" s="578"/>
      <c r="BG36" s="578"/>
      <c r="BH36" s="578"/>
      <c r="BI36" s="578"/>
      <c r="BJ36" s="578"/>
      <c r="BK36" s="578"/>
    </row>
    <row r="37" spans="1:64" outlineLevel="1" x14ac:dyDescent="0.2">
      <c r="A37" t="s">
        <v>1543</v>
      </c>
      <c r="B37" s="54" t="s">
        <v>462</v>
      </c>
      <c r="C37" s="205">
        <f>'Yearly Methanol'!D25/'Yearly Methanol'!D18</f>
        <v>1</v>
      </c>
      <c r="D37" s="205">
        <f>'Yearly Methanol'!E25/'Yearly Methanol'!E18</f>
        <v>0.99658919999999995</v>
      </c>
      <c r="E37" s="205">
        <f>'Yearly Methanol'!F25/'Yearly Methanol'!F18</f>
        <v>0.99315679999999995</v>
      </c>
      <c r="F37" s="205">
        <f>'Yearly Methanol'!G25/'Yearly Methanol'!G18</f>
        <v>0.98970279999999999</v>
      </c>
      <c r="G37" s="205">
        <f>'Yearly Methanol'!H25/'Yearly Methanol'!H18</f>
        <v>0.98622719999999997</v>
      </c>
      <c r="H37" s="205">
        <f>'Yearly Methanol'!I25/'Yearly Methanol'!I18</f>
        <v>0.9827300000000001</v>
      </c>
      <c r="I37" s="205">
        <f>'Yearly Methanol'!J25/'Yearly Methanol'!J18</f>
        <v>0.97921119999999995</v>
      </c>
      <c r="J37" s="205">
        <f>'Yearly Methanol'!K25/'Yearly Methanol'!K18</f>
        <v>0.97567080000000017</v>
      </c>
      <c r="K37" s="205">
        <f>'Yearly Methanol'!L25/'Yearly Methanol'!L18</f>
        <v>0.9721088</v>
      </c>
      <c r="L37" s="205">
        <f>'Yearly Methanol'!M25/'Yearly Methanol'!M18</f>
        <v>0.96852520000000009</v>
      </c>
      <c r="M37" s="205">
        <f>'Yearly Methanol'!N25/'Yearly Methanol'!N18</f>
        <v>0.96492</v>
      </c>
      <c r="N37" s="205">
        <f>'Yearly Methanol'!O25/'Yearly Methanol'!O18</f>
        <v>0.95304500000000014</v>
      </c>
      <c r="O37" s="205">
        <f>'Yearly Methanol'!P25/'Yearly Methanol'!P18</f>
        <v>0.94100799999999984</v>
      </c>
      <c r="P37" s="205">
        <f>'Yearly Methanol'!Q25/'Yearly Methanol'!Q18</f>
        <v>0.92880899999999988</v>
      </c>
      <c r="Q37" s="205">
        <f>'Yearly Methanol'!R25/'Yearly Methanol'!R18</f>
        <v>0.91644800000000004</v>
      </c>
      <c r="R37" s="205">
        <f>'Yearly Methanol'!S25/'Yearly Methanol'!S18</f>
        <v>0.90392499999999998</v>
      </c>
      <c r="S37" s="205">
        <f>'Yearly Methanol'!T25/'Yearly Methanol'!T18</f>
        <v>0.89123999999999992</v>
      </c>
      <c r="T37" s="205">
        <f>'Yearly Methanol'!U25/'Yearly Methanol'!U18</f>
        <v>0.87839299999999998</v>
      </c>
      <c r="U37" s="205">
        <f>'Yearly Methanol'!V25/'Yearly Methanol'!V18</f>
        <v>0.86538399999999993</v>
      </c>
      <c r="V37" s="205">
        <f>'Yearly Methanol'!W25/'Yearly Methanol'!W18</f>
        <v>0.85221300000000011</v>
      </c>
      <c r="W37" s="205">
        <f>'Yearly Methanol'!X25/'Yearly Methanol'!X18</f>
        <v>0.83887999999999996</v>
      </c>
      <c r="X37" s="205">
        <f>'Yearly Methanol'!Y25/'Yearly Methanol'!Y18</f>
        <v>0.80646680000000004</v>
      </c>
      <c r="Y37" s="205">
        <f>'Yearly Methanol'!Z25/'Yearly Methanol'!Z18</f>
        <v>0.77385919999999997</v>
      </c>
      <c r="Z37" s="205">
        <f>'Yearly Methanol'!AA25/'Yearly Methanol'!AA18</f>
        <v>0.74105719999999986</v>
      </c>
      <c r="AA37" s="205">
        <f>'Yearly Methanol'!AB25/'Yearly Methanol'!AB18</f>
        <v>0.70806079999999993</v>
      </c>
      <c r="AB37" s="205">
        <f>'Yearly Methanol'!AC25/'Yearly Methanol'!AC18</f>
        <v>0.67487000000000008</v>
      </c>
      <c r="AC37" s="205">
        <f>'Yearly Methanol'!AD25/'Yearly Methanol'!AD18</f>
        <v>0.64148479999999997</v>
      </c>
      <c r="AD37" s="205">
        <f>'Yearly Methanol'!AE25/'Yearly Methanol'!AE18</f>
        <v>0.60790519999999992</v>
      </c>
      <c r="AE37" s="205">
        <f>'Yearly Methanol'!AF25/'Yearly Methanol'!AF18</f>
        <v>0.57413120000000006</v>
      </c>
      <c r="AF37" s="205">
        <f>'Yearly Methanol'!AG25/'Yearly Methanol'!AG18</f>
        <v>0.54016280000000005</v>
      </c>
      <c r="AG37" s="205">
        <f>'Yearly Methanol'!AH25/'Yearly Methanol'!AH18</f>
        <v>0.50600000000000001</v>
      </c>
      <c r="AL37" s="108"/>
      <c r="AM37" s="207"/>
      <c r="AN37" s="207"/>
      <c r="AO37" s="207"/>
      <c r="BL37" s="1"/>
    </row>
    <row r="38" spans="1:64" outlineLevel="1" x14ac:dyDescent="0.2">
      <c r="A38" t="s">
        <v>1544</v>
      </c>
      <c r="B38" s="54" t="s">
        <v>462</v>
      </c>
      <c r="C38" s="205">
        <f>'Yearly Methanol'!D43/'Yearly Methanol'!D40</f>
        <v>1</v>
      </c>
      <c r="D38" s="205">
        <f>'Yearly Methanol'!E43/'Yearly Methanol'!E40</f>
        <v>0.97593875518672213</v>
      </c>
      <c r="E38" s="205">
        <f>'Yearly Methanol'!F43/'Yearly Methanol'!F40</f>
        <v>0.95187751037344392</v>
      </c>
      <c r="F38" s="205">
        <f>'Yearly Methanol'!G43/'Yearly Methanol'!G40</f>
        <v>0.92781626556016605</v>
      </c>
      <c r="G38" s="205">
        <f>'Yearly Methanol'!H43/'Yearly Methanol'!H40</f>
        <v>0.90375502074688796</v>
      </c>
      <c r="H38" s="205">
        <f>'Yearly Methanol'!I43/'Yearly Methanol'!I40</f>
        <v>0.87969377593360998</v>
      </c>
      <c r="I38" s="205">
        <f>'Yearly Methanol'!J43/'Yearly Methanol'!J40</f>
        <v>0.85563253112033189</v>
      </c>
      <c r="J38" s="205">
        <f>'Yearly Methanol'!K43/'Yearly Methanol'!K40</f>
        <v>0.8315712863070539</v>
      </c>
      <c r="K38" s="205">
        <f>'Yearly Methanol'!L43/'Yearly Methanol'!L40</f>
        <v>0.80751004149377581</v>
      </c>
      <c r="L38" s="205">
        <f>'Yearly Methanol'!M43/'Yearly Methanol'!M40</f>
        <v>0.78344879668049794</v>
      </c>
      <c r="M38" s="205">
        <f>'Yearly Methanol'!N43/'Yearly Methanol'!N40</f>
        <v>0.75938755186721985</v>
      </c>
      <c r="N38" s="205">
        <f>'Yearly Methanol'!O43/'Yearly Methanol'!O40</f>
        <v>0.73532630705394197</v>
      </c>
      <c r="O38" s="205">
        <f>'Yearly Methanol'!P43/'Yearly Methanol'!P40</f>
        <v>0.71126506224066388</v>
      </c>
      <c r="P38" s="205">
        <f>'Yearly Methanol'!Q43/'Yearly Methanol'!Q40</f>
        <v>0.6872038174273859</v>
      </c>
      <c r="Q38" s="205">
        <f>'Yearly Methanol'!R43/'Yearly Methanol'!R40</f>
        <v>0.66314257261410792</v>
      </c>
      <c r="R38" s="205">
        <f>'Yearly Methanol'!S43/'Yearly Methanol'!S40</f>
        <v>0.63908132780082982</v>
      </c>
      <c r="S38" s="205">
        <f>'Yearly Methanol'!T43/'Yearly Methanol'!T40</f>
        <v>0.61502008298755173</v>
      </c>
      <c r="T38" s="205">
        <f>'Yearly Methanol'!U43/'Yearly Methanol'!U40</f>
        <v>0.59095883817427386</v>
      </c>
      <c r="U38" s="205">
        <f>'Yearly Methanol'!V43/'Yearly Methanol'!V40</f>
        <v>0.56689759336099566</v>
      </c>
      <c r="V38" s="205">
        <f>'Yearly Methanol'!W43/'Yearly Methanol'!W40</f>
        <v>0.54283634854771778</v>
      </c>
      <c r="W38" s="205">
        <f>'Yearly Methanol'!X43/'Yearly Methanol'!X40</f>
        <v>0.5187751037344398</v>
      </c>
      <c r="X38" s="205">
        <f>'Yearly Methanol'!Y43/'Yearly Methanol'!Y40</f>
        <v>0.49398473029045631</v>
      </c>
      <c r="Y38" s="205">
        <f>'Yearly Methanol'!Z43/'Yearly Methanol'!Z40</f>
        <v>0.46919435684647304</v>
      </c>
      <c r="Z38" s="205">
        <f>'Yearly Methanol'!AA43/'Yearly Methanol'!AA40</f>
        <v>0.44440398340248954</v>
      </c>
      <c r="AA38" s="205">
        <f>'Yearly Methanol'!AB43/'Yearly Methanol'!AB40</f>
        <v>0.41961360995850616</v>
      </c>
      <c r="AB38" s="205">
        <f>'Yearly Methanol'!AC43/'Yearly Methanol'!AC40</f>
        <v>0.39482323651452272</v>
      </c>
      <c r="AC38" s="205">
        <f>'Yearly Methanol'!AD43/'Yearly Methanol'!AD40</f>
        <v>0.37003286307053923</v>
      </c>
      <c r="AD38" s="205">
        <f>'Yearly Methanol'!AE43/'Yearly Methanol'!AE40</f>
        <v>0.34524248962655585</v>
      </c>
      <c r="AE38" s="205">
        <f>'Yearly Methanol'!AF43/'Yearly Methanol'!AF40</f>
        <v>0.32045211618257252</v>
      </c>
      <c r="AF38" s="205">
        <f>'Yearly Methanol'!AG43/'Yearly Methanol'!AG40</f>
        <v>0.29566174273858919</v>
      </c>
      <c r="AG38" s="205">
        <f>'Yearly Methanol'!AH43/'Yearly Methanol'!AH40</f>
        <v>0.27087136929460576</v>
      </c>
      <c r="AL38" s="108"/>
      <c r="AM38" s="207"/>
      <c r="AN38" s="207"/>
      <c r="AO38" s="207"/>
      <c r="BD38" s="41"/>
      <c r="BE38" s="41"/>
      <c r="BF38" s="41"/>
      <c r="BG38" s="41"/>
      <c r="BH38" s="41"/>
      <c r="BI38" s="41"/>
      <c r="BJ38" s="41"/>
      <c r="BK38" s="41"/>
      <c r="BL38" s="118"/>
    </row>
    <row r="39" spans="1:64" outlineLevel="1" x14ac:dyDescent="0.2">
      <c r="A39" t="s">
        <v>1545</v>
      </c>
      <c r="B39" s="54" t="s">
        <v>462</v>
      </c>
      <c r="C39" s="205">
        <f>'Yearly Methanol'!D52/'Yearly Methanol'!D47</f>
        <v>1</v>
      </c>
      <c r="D39" s="205">
        <f>'Yearly Methanol'!E52/'Yearly Methanol'!E47</f>
        <v>0.96909999999999996</v>
      </c>
      <c r="E39" s="205">
        <f>'Yearly Methanol'!F52/'Yearly Methanol'!F47</f>
        <v>0.93819999999999992</v>
      </c>
      <c r="F39" s="205">
        <f>'Yearly Methanol'!G52/'Yearly Methanol'!G47</f>
        <v>0.9073</v>
      </c>
      <c r="G39" s="205">
        <f>'Yearly Methanol'!H52/'Yearly Methanol'!H47</f>
        <v>0.87640000000000007</v>
      </c>
      <c r="H39" s="205">
        <f>'Yearly Methanol'!I52/'Yearly Methanol'!I47</f>
        <v>0.84549999999999992</v>
      </c>
      <c r="I39" s="205">
        <f>'Yearly Methanol'!J52/'Yearly Methanol'!J47</f>
        <v>0.81459999999999999</v>
      </c>
      <c r="J39" s="205">
        <f>'Yearly Methanol'!K52/'Yearly Methanol'!K47</f>
        <v>0.78370000000000006</v>
      </c>
      <c r="K39" s="205">
        <f>'Yearly Methanol'!L52/'Yearly Methanol'!L47</f>
        <v>0.75279999999999991</v>
      </c>
      <c r="L39" s="205">
        <f>'Yearly Methanol'!M52/'Yearly Methanol'!M47</f>
        <v>0.72189999999999999</v>
      </c>
      <c r="M39" s="205">
        <f>'Yearly Methanol'!N52/'Yearly Methanol'!N47</f>
        <v>0.69099999999999995</v>
      </c>
      <c r="N39" s="205">
        <f>'Yearly Methanol'!O52/'Yearly Methanol'!O47</f>
        <v>0.66919999999999991</v>
      </c>
      <c r="O39" s="205">
        <f>'Yearly Methanol'!P52/'Yearly Methanol'!P47</f>
        <v>0.64739999999999998</v>
      </c>
      <c r="P39" s="205">
        <f>'Yearly Methanol'!Q52/'Yearly Methanol'!Q47</f>
        <v>0.62559999999999993</v>
      </c>
      <c r="Q39" s="205">
        <f>'Yearly Methanol'!R52/'Yearly Methanol'!R47</f>
        <v>0.6038</v>
      </c>
      <c r="R39" s="205">
        <f>'Yearly Methanol'!S52/'Yearly Methanol'!S47</f>
        <v>0.58199999999999996</v>
      </c>
      <c r="S39" s="205">
        <f>'Yearly Methanol'!T52/'Yearly Methanol'!T47</f>
        <v>0.56019999999999992</v>
      </c>
      <c r="T39" s="205">
        <f>'Yearly Methanol'!U52/'Yearly Methanol'!U47</f>
        <v>0.53839999999999999</v>
      </c>
      <c r="U39" s="205">
        <f>'Yearly Methanol'!V52/'Yearly Methanol'!V47</f>
        <v>0.51659999999999995</v>
      </c>
      <c r="V39" s="205">
        <f>'Yearly Methanol'!W52/'Yearly Methanol'!W47</f>
        <v>0.49479999999999996</v>
      </c>
      <c r="W39" s="205">
        <f>'Yearly Methanol'!X52/'Yearly Methanol'!X47</f>
        <v>0.47299999999999998</v>
      </c>
      <c r="X39" s="205">
        <f>'Yearly Methanol'!Y52/'Yearly Methanol'!Y47</f>
        <v>0.44669999999999993</v>
      </c>
      <c r="Y39" s="205">
        <f>'Yearly Methanol'!Z52/'Yearly Methanol'!Z47</f>
        <v>0.4204</v>
      </c>
      <c r="Z39" s="205">
        <f>'Yearly Methanol'!AA52/'Yearly Methanol'!AA47</f>
        <v>0.39409999999999995</v>
      </c>
      <c r="AA39" s="205">
        <f>'Yearly Methanol'!AB52/'Yearly Methanol'!AB47</f>
        <v>0.3677999999999999</v>
      </c>
      <c r="AB39" s="205">
        <f>'Yearly Methanol'!AC52/'Yearly Methanol'!AC47</f>
        <v>0.34149999999999991</v>
      </c>
      <c r="AC39" s="205">
        <f>'Yearly Methanol'!AD52/'Yearly Methanol'!AD47</f>
        <v>0.31520000000000004</v>
      </c>
      <c r="AD39" s="205">
        <f>'Yearly Methanol'!AE52/'Yearly Methanol'!AE47</f>
        <v>0.28889999999999993</v>
      </c>
      <c r="AE39" s="205">
        <f>'Yearly Methanol'!AF52/'Yearly Methanol'!AF47</f>
        <v>0.26259999999999994</v>
      </c>
      <c r="AF39" s="205">
        <f>'Yearly Methanol'!AG52/'Yearly Methanol'!AG47</f>
        <v>0.23629999999999998</v>
      </c>
      <c r="AG39" s="205">
        <f>'Yearly Methanol'!AH52/'Yearly Methanol'!AH47</f>
        <v>0.20999999999999994</v>
      </c>
      <c r="AL39" s="108"/>
      <c r="AM39" s="207"/>
      <c r="AN39" s="207"/>
      <c r="AO39" s="207"/>
      <c r="BD39" s="41"/>
      <c r="BE39" s="41"/>
      <c r="BF39" s="41"/>
      <c r="BG39" s="41"/>
      <c r="BH39" s="41"/>
      <c r="BI39" s="41"/>
      <c r="BJ39" s="41"/>
      <c r="BK39" s="41"/>
      <c r="BL39" s="118"/>
    </row>
    <row r="40" spans="1:64" outlineLevel="1" x14ac:dyDescent="0.2">
      <c r="A40" t="s">
        <v>1546</v>
      </c>
      <c r="B40" s="176" t="s">
        <v>462</v>
      </c>
      <c r="C40" s="159">
        <f>'Yearly Methanol'!D59/'Yearly Methanol'!D56</f>
        <v>1</v>
      </c>
      <c r="D40" s="159">
        <f>'Yearly Methanol'!E59/'Yearly Methanol'!E56</f>
        <v>0.99340000000000006</v>
      </c>
      <c r="E40" s="159">
        <f>'Yearly Methanol'!F59/'Yearly Methanol'!F56</f>
        <v>0.98680000000000001</v>
      </c>
      <c r="F40" s="159">
        <f>'Yearly Methanol'!G59/'Yearly Methanol'!G56</f>
        <v>0.98019999999999996</v>
      </c>
      <c r="G40" s="159">
        <f>'Yearly Methanol'!H59/'Yearly Methanol'!H56</f>
        <v>0.97360000000000002</v>
      </c>
      <c r="H40" s="159">
        <f>'Yearly Methanol'!I59/'Yearly Methanol'!I56</f>
        <v>0.96699999999999997</v>
      </c>
      <c r="I40" s="159">
        <f>'Yearly Methanol'!J59/'Yearly Methanol'!J56</f>
        <v>0.96040000000000003</v>
      </c>
      <c r="J40" s="159">
        <f>'Yearly Methanol'!K59/'Yearly Methanol'!K56</f>
        <v>0.95380000000000009</v>
      </c>
      <c r="K40" s="159">
        <f>'Yearly Methanol'!L59/'Yearly Methanol'!L56</f>
        <v>0.94720000000000004</v>
      </c>
      <c r="L40" s="159">
        <f>'Yearly Methanol'!M59/'Yearly Methanol'!M56</f>
        <v>0.94059999999999988</v>
      </c>
      <c r="M40" s="159">
        <f>'Yearly Methanol'!N59/'Yearly Methanol'!N56</f>
        <v>0.93400000000000005</v>
      </c>
      <c r="N40" s="159">
        <f>'Yearly Methanol'!O59/'Yearly Methanol'!O56</f>
        <v>0.92739999999999989</v>
      </c>
      <c r="O40" s="159">
        <f>'Yearly Methanol'!P59/'Yearly Methanol'!P56</f>
        <v>0.92080000000000006</v>
      </c>
      <c r="P40" s="159">
        <f>'Yearly Methanol'!Q59/'Yearly Methanol'!Q56</f>
        <v>0.9141999999999999</v>
      </c>
      <c r="Q40" s="159">
        <f>'Yearly Methanol'!R59/'Yearly Methanol'!R56</f>
        <v>0.90759999999999996</v>
      </c>
      <c r="R40" s="159">
        <f>'Yearly Methanol'!S59/'Yearly Methanol'!S56</f>
        <v>0.90099999999999991</v>
      </c>
      <c r="S40" s="159">
        <f>'Yearly Methanol'!T59/'Yearly Methanol'!T56</f>
        <v>0.89439999999999997</v>
      </c>
      <c r="T40" s="159">
        <f>'Yearly Methanol'!U59/'Yearly Methanol'!U56</f>
        <v>0.88780000000000003</v>
      </c>
      <c r="U40" s="159">
        <f>'Yearly Methanol'!V59/'Yearly Methanol'!V56</f>
        <v>0.88119999999999998</v>
      </c>
      <c r="V40" s="159">
        <f>'Yearly Methanol'!W59/'Yearly Methanol'!W56</f>
        <v>0.87459999999999993</v>
      </c>
      <c r="W40" s="159">
        <f>'Yearly Methanol'!X59/'Yearly Methanol'!X56</f>
        <v>0.86799999999999999</v>
      </c>
      <c r="X40" s="159">
        <f>'Yearly Methanol'!Y59/'Yearly Methanol'!Y56</f>
        <v>0.86119999999999997</v>
      </c>
      <c r="Y40" s="159">
        <f>'Yearly Methanol'!Z59/'Yearly Methanol'!Z56</f>
        <v>0.85439999999999994</v>
      </c>
      <c r="Z40" s="159">
        <f>'Yearly Methanol'!AA59/'Yearly Methanol'!AA56</f>
        <v>0.84760000000000002</v>
      </c>
      <c r="AA40" s="159">
        <f>'Yearly Methanol'!AB59/'Yearly Methanol'!AB56</f>
        <v>0.84079999999999999</v>
      </c>
      <c r="AB40" s="159">
        <f>'Yearly Methanol'!AC59/'Yearly Methanol'!AC56</f>
        <v>0.83399999999999996</v>
      </c>
      <c r="AC40" s="159">
        <f>'Yearly Methanol'!AD59/'Yearly Methanol'!AD56</f>
        <v>0.82719999999999994</v>
      </c>
      <c r="AD40" s="159">
        <f>'Yearly Methanol'!AE59/'Yearly Methanol'!AE56</f>
        <v>0.82040000000000002</v>
      </c>
      <c r="AE40" s="159">
        <f>'Yearly Methanol'!AF59/'Yearly Methanol'!AF56</f>
        <v>0.81359999999999999</v>
      </c>
      <c r="AF40" s="159">
        <f>'Yearly Methanol'!AG59/'Yearly Methanol'!AG56</f>
        <v>0.80679999999999996</v>
      </c>
      <c r="AG40" s="159">
        <f>'Yearly Methanol'!AH59/'Yearly Methanol'!AH56</f>
        <v>0.8</v>
      </c>
      <c r="AI40" s="131"/>
      <c r="AL40" s="108"/>
      <c r="AM40" s="207"/>
      <c r="AN40" s="207"/>
      <c r="AO40" s="207"/>
      <c r="BD40" s="41"/>
      <c r="BE40" s="41"/>
      <c r="BF40" s="41"/>
      <c r="BG40" s="41"/>
      <c r="BH40" s="41"/>
      <c r="BI40" s="41"/>
      <c r="BJ40" s="41"/>
      <c r="BK40" s="41"/>
      <c r="BL40" s="118"/>
    </row>
    <row r="41" spans="1:64" outlineLevel="1" x14ac:dyDescent="0.2">
      <c r="AI41" t="s">
        <v>1299</v>
      </c>
      <c r="BD41" s="41"/>
      <c r="BE41" s="41"/>
      <c r="BF41" s="41"/>
      <c r="BG41" s="41"/>
      <c r="BH41" s="41"/>
      <c r="BI41" s="41"/>
      <c r="BJ41" s="41"/>
      <c r="BK41" s="41"/>
      <c r="BL41" s="118"/>
    </row>
    <row r="42" spans="1:64" outlineLevel="1" x14ac:dyDescent="0.2">
      <c r="A42" t="s">
        <v>1547</v>
      </c>
      <c r="B42" s="54" t="s">
        <v>1535</v>
      </c>
      <c r="C42" s="107">
        <f>C27*C36</f>
        <v>2.137941716225618</v>
      </c>
      <c r="D42" s="107">
        <f t="shared" ref="D42:AF42" si="17">D27*D36</f>
        <v>2.2056071272499942</v>
      </c>
      <c r="E42" s="107">
        <f t="shared" si="17"/>
        <v>2.2694585729902137</v>
      </c>
      <c r="F42" s="107">
        <f t="shared" si="17"/>
        <v>2.3290505626619571</v>
      </c>
      <c r="G42" s="107">
        <f t="shared" si="17"/>
        <v>2.3839595603502866</v>
      </c>
      <c r="H42" s="107">
        <f t="shared" si="17"/>
        <v>2.4337890031343834</v>
      </c>
      <c r="I42" s="107">
        <f t="shared" si="17"/>
        <v>2.4835206286609086</v>
      </c>
      <c r="J42" s="107">
        <f t="shared" si="17"/>
        <v>2.5331049218138286</v>
      </c>
      <c r="K42" s="107">
        <f t="shared" si="17"/>
        <v>2.5824914858959285</v>
      </c>
      <c r="L42" s="107">
        <f t="shared" si="17"/>
        <v>2.6316291190841188</v>
      </c>
      <c r="M42" s="107">
        <f t="shared" si="17"/>
        <v>2.6804658945547604</v>
      </c>
      <c r="N42" s="107">
        <f t="shared" si="17"/>
        <v>2.718427256839079</v>
      </c>
      <c r="O42" s="107">
        <f t="shared" si="17"/>
        <v>2.7516595232395837</v>
      </c>
      <c r="P42" s="107">
        <f t="shared" si="17"/>
        <v>2.7799658419456352</v>
      </c>
      <c r="Q42" s="107">
        <f t="shared" si="17"/>
        <v>2.8031751674230283</v>
      </c>
      <c r="R42" s="107">
        <f t="shared" si="17"/>
        <v>2.8211439636154783</v>
      </c>
      <c r="S42" s="107">
        <f t="shared" si="17"/>
        <v>2.8388631611389901</v>
      </c>
      <c r="T42" s="107">
        <f t="shared" si="17"/>
        <v>2.8563259251741502</v>
      </c>
      <c r="U42" s="107">
        <f t="shared" si="17"/>
        <v>2.8735254585052026</v>
      </c>
      <c r="V42" s="107">
        <f t="shared" si="17"/>
        <v>2.8904550053865021</v>
      </c>
      <c r="W42" s="107">
        <f t="shared" si="17"/>
        <v>2.9071078554225345</v>
      </c>
      <c r="X42" s="107">
        <f t="shared" si="17"/>
        <v>2.9234876790586779</v>
      </c>
      <c r="Y42" s="107">
        <f t="shared" si="17"/>
        <v>2.9396098790872984</v>
      </c>
      <c r="Z42" s="107">
        <f t="shared" si="17"/>
        <v>2.955468468484733</v>
      </c>
      <c r="AA42" s="107">
        <f t="shared" si="17"/>
        <v>2.9710575031630131</v>
      </c>
      <c r="AB42" s="107">
        <f t="shared" si="17"/>
        <v>2.9863710851509238</v>
      </c>
      <c r="AC42" s="107">
        <f t="shared" si="17"/>
        <v>3.001431741757882</v>
      </c>
      <c r="AD42" s="107">
        <f t="shared" si="17"/>
        <v>3.0162341335550771</v>
      </c>
      <c r="AE42" s="107">
        <f t="shared" si="17"/>
        <v>3.0307729617173327</v>
      </c>
      <c r="AF42" s="107">
        <f t="shared" si="17"/>
        <v>3.0450429706544409</v>
      </c>
      <c r="AG42" s="107">
        <f>AG27*AG36</f>
        <v>3.0590389506441702</v>
      </c>
      <c r="AI42" s="210" t="s">
        <v>1301</v>
      </c>
      <c r="AJ42" s="211" t="s">
        <v>1302</v>
      </c>
      <c r="BD42" s="41"/>
      <c r="BE42" s="41"/>
      <c r="BF42" s="41"/>
      <c r="BG42" s="41"/>
      <c r="BH42" s="41"/>
      <c r="BI42" s="41"/>
      <c r="BJ42" s="41"/>
      <c r="BK42" s="41"/>
      <c r="BL42" s="118"/>
    </row>
    <row r="43" spans="1:64" outlineLevel="1" x14ac:dyDescent="0.2">
      <c r="A43" t="s">
        <v>1548</v>
      </c>
      <c r="B43" s="54" t="s">
        <v>1535</v>
      </c>
      <c r="C43" s="107">
        <f t="shared" ref="C43:O43" si="18">C28*$C$37</f>
        <v>0.58649688544622769</v>
      </c>
      <c r="D43" s="107">
        <f t="shared" si="18"/>
        <v>0.60615714056992442</v>
      </c>
      <c r="E43" s="107">
        <f t="shared" si="18"/>
        <v>0.62483878383221614</v>
      </c>
      <c r="F43" s="107">
        <f t="shared" si="18"/>
        <v>0.64241359127943864</v>
      </c>
      <c r="G43" s="107">
        <f t="shared" si="18"/>
        <v>0.65875847010504252</v>
      </c>
      <c r="H43" s="107">
        <f t="shared" si="18"/>
        <v>0.67375689472702072</v>
      </c>
      <c r="I43" s="107">
        <f t="shared" si="18"/>
        <v>0.68878311163919914</v>
      </c>
      <c r="J43" s="107">
        <f t="shared" si="18"/>
        <v>0.70382351599472071</v>
      </c>
      <c r="K43" s="107">
        <f t="shared" si="18"/>
        <v>0.71886415754682209</v>
      </c>
      <c r="L43" s="107">
        <f t="shared" si="18"/>
        <v>0.73389075879075039</v>
      </c>
      <c r="M43" s="107">
        <f t="shared" si="18"/>
        <v>0.74888873433180292</v>
      </c>
      <c r="N43" s="107">
        <f t="shared" si="18"/>
        <v>0.76275031172842678</v>
      </c>
      <c r="O43" s="107">
        <f t="shared" si="18"/>
        <v>0.7753986121803268</v>
      </c>
      <c r="P43" s="107">
        <f t="shared" ref="P43:AG43" si="19">D37*P28</f>
        <v>0.78407869850047085</v>
      </c>
      <c r="Q43" s="107">
        <f t="shared" si="19"/>
        <v>0.79132318616755426</v>
      </c>
      <c r="R43" s="107">
        <f t="shared" si="19"/>
        <v>0.79708729087980446</v>
      </c>
      <c r="S43" s="107">
        <f t="shared" si="19"/>
        <v>0.8027781376706401</v>
      </c>
      <c r="T43" s="107">
        <f t="shared" si="19"/>
        <v>0.80839324403888546</v>
      </c>
      <c r="U43" s="107">
        <f t="shared" si="19"/>
        <v>0.81393013143682558</v>
      </c>
      <c r="V43" s="107">
        <f t="shared" si="19"/>
        <v>0.81938632668955402</v>
      </c>
      <c r="W43" s="107">
        <f t="shared" si="19"/>
        <v>0.8247593634284589</v>
      </c>
      <c r="X43" s="107">
        <f t="shared" si="19"/>
        <v>0.83005592601494183</v>
      </c>
      <c r="Y43" s="107">
        <f t="shared" si="19"/>
        <v>0.83527375208023913</v>
      </c>
      <c r="Z43" s="107">
        <f t="shared" si="19"/>
        <v>0.83319959621303286</v>
      </c>
      <c r="AA43" s="107">
        <f t="shared" si="19"/>
        <v>0.83077624708357578</v>
      </c>
      <c r="AB43" s="107">
        <f t="shared" si="19"/>
        <v>0.8279979280925619</v>
      </c>
      <c r="AC43" s="107">
        <f t="shared" si="19"/>
        <v>0.82486673458767235</v>
      </c>
      <c r="AD43" s="107">
        <f t="shared" si="19"/>
        <v>0.82137695262639598</v>
      </c>
      <c r="AE43" s="107">
        <f t="shared" si="19"/>
        <v>0.81752292976478513</v>
      </c>
      <c r="AF43" s="107">
        <f t="shared" si="19"/>
        <v>0.81329907902812104</v>
      </c>
      <c r="AG43" s="107">
        <f t="shared" si="19"/>
        <v>0.80869988290051342</v>
      </c>
      <c r="AI43" s="210" t="s">
        <v>1304</v>
      </c>
      <c r="AJ43" s="211" t="s">
        <v>1302</v>
      </c>
      <c r="BD43" s="41"/>
      <c r="BE43" s="41"/>
      <c r="BF43" s="41"/>
      <c r="BG43" s="41"/>
      <c r="BH43" s="41"/>
      <c r="BI43" s="41"/>
      <c r="BJ43" s="41"/>
      <c r="BK43" s="41"/>
      <c r="BL43" s="118"/>
    </row>
    <row r="44" spans="1:64" outlineLevel="1" x14ac:dyDescent="0.2">
      <c r="A44" t="s">
        <v>1549</v>
      </c>
      <c r="B44" s="54" t="s">
        <v>1535</v>
      </c>
      <c r="C44" s="107">
        <f t="shared" ref="C44:AG44" si="20">C29</f>
        <v>0.27288082766179111</v>
      </c>
      <c r="D44" s="107">
        <f t="shared" si="20"/>
        <v>0.28202820222306357</v>
      </c>
      <c r="E44" s="107">
        <f t="shared" si="20"/>
        <v>0.29072025567125509</v>
      </c>
      <c r="F44" s="107">
        <f t="shared" si="20"/>
        <v>0.29889732893660731</v>
      </c>
      <c r="G44" s="107">
        <f t="shared" si="20"/>
        <v>0.30650215033061867</v>
      </c>
      <c r="H44" s="107">
        <f t="shared" si="20"/>
        <v>0.31348050371327035</v>
      </c>
      <c r="I44" s="107">
        <f t="shared" si="20"/>
        <v>0.32047178808215687</v>
      </c>
      <c r="J44" s="107">
        <f t="shared" si="20"/>
        <v>0.32746967347720052</v>
      </c>
      <c r="K44" s="107">
        <f t="shared" si="20"/>
        <v>0.33446766923327187</v>
      </c>
      <c r="L44" s="107">
        <f t="shared" si="20"/>
        <v>0.34145913242112341</v>
      </c>
      <c r="M44" s="107">
        <f t="shared" si="20"/>
        <v>0.34843727685880416</v>
      </c>
      <c r="N44" s="107">
        <f t="shared" si="20"/>
        <v>0.3548866865770004</v>
      </c>
      <c r="O44" s="107">
        <f t="shared" si="20"/>
        <v>0.36077159198993103</v>
      </c>
      <c r="P44" s="107">
        <f t="shared" si="20"/>
        <v>0.36605874997856686</v>
      </c>
      <c r="Q44" s="107">
        <f t="shared" si="20"/>
        <v>0.37071775285926561</v>
      </c>
      <c r="R44" s="107">
        <f t="shared" si="20"/>
        <v>0.37472131644525791</v>
      </c>
      <c r="S44" s="107">
        <f t="shared" si="20"/>
        <v>0.37872665668471733</v>
      </c>
      <c r="T44" s="107">
        <f t="shared" si="20"/>
        <v>0.38273288119776105</v>
      </c>
      <c r="U44" s="107">
        <f t="shared" si="20"/>
        <v>0.38673908689105191</v>
      </c>
      <c r="V44" s="107">
        <f t="shared" si="20"/>
        <v>0.3907443602427092</v>
      </c>
      <c r="W44" s="107">
        <f t="shared" si="20"/>
        <v>0.39474777759668062</v>
      </c>
      <c r="X44" s="107">
        <f t="shared" si="20"/>
        <v>0.39875279744561698</v>
      </c>
      <c r="Y44" s="107">
        <f t="shared" si="20"/>
        <v>0.40275861571829003</v>
      </c>
      <c r="Z44" s="107">
        <f t="shared" si="20"/>
        <v>0.40676441925663909</v>
      </c>
      <c r="AA44" s="107">
        <f t="shared" si="20"/>
        <v>0.41076938604811258</v>
      </c>
      <c r="AB44" s="107">
        <f t="shared" si="20"/>
        <v>0.4147726854652421</v>
      </c>
      <c r="AC44" s="107">
        <f t="shared" si="20"/>
        <v>0.41877743769609355</v>
      </c>
      <c r="AD44" s="107">
        <f t="shared" si="20"/>
        <v>0.4227829144107636</v>
      </c>
      <c r="AE44" s="107">
        <f t="shared" si="20"/>
        <v>0.42678837950395809</v>
      </c>
      <c r="AF44" s="107">
        <f t="shared" si="20"/>
        <v>0.43079308928635907</v>
      </c>
      <c r="AG44" s="107">
        <f t="shared" si="20"/>
        <v>0.43479629268159714</v>
      </c>
      <c r="AI44" s="210" t="s">
        <v>1306</v>
      </c>
      <c r="AJ44" s="211" t="s">
        <v>1302</v>
      </c>
      <c r="BD44" s="41"/>
      <c r="BE44" s="41"/>
      <c r="BF44" s="41"/>
      <c r="BG44" s="41"/>
      <c r="BH44" s="41"/>
      <c r="BI44" s="41"/>
      <c r="BJ44" s="41"/>
      <c r="BK44" s="41"/>
      <c r="BL44" s="118"/>
    </row>
    <row r="45" spans="1:64" outlineLevel="1" x14ac:dyDescent="0.2">
      <c r="A45" t="s">
        <v>1550</v>
      </c>
      <c r="B45" s="54" t="s">
        <v>1535</v>
      </c>
      <c r="C45" s="262">
        <f t="shared" ref="C45:H45" si="21">C30*$C$39</f>
        <v>3.3569388624573886</v>
      </c>
      <c r="D45" s="262">
        <f t="shared" si="21"/>
        <v>3.4694684872657979</v>
      </c>
      <c r="E45" s="262">
        <f t="shared" si="21"/>
        <v>3.5763968202850558</v>
      </c>
      <c r="F45" s="262">
        <f t="shared" si="21"/>
        <v>3.6769899446200638</v>
      </c>
      <c r="G45" s="262">
        <f t="shared" si="21"/>
        <v>3.7705433125805432</v>
      </c>
      <c r="H45" s="262">
        <f t="shared" si="21"/>
        <v>3.8563899653736766</v>
      </c>
      <c r="I45" s="262">
        <f t="shared" ref="I45:AG46" si="22">I30*D39</f>
        <v>3.8205756662925641</v>
      </c>
      <c r="J45" s="262">
        <f t="shared" si="22"/>
        <v>3.7795223996025613</v>
      </c>
      <c r="K45" s="262">
        <f t="shared" si="22"/>
        <v>3.7331501922646804</v>
      </c>
      <c r="L45" s="262">
        <f t="shared" si="22"/>
        <v>3.6813872987406819</v>
      </c>
      <c r="M45" s="262">
        <f t="shared" si="22"/>
        <v>3.6241705841213454</v>
      </c>
      <c r="N45" s="262">
        <f t="shared" si="22"/>
        <v>3.5563502088140595</v>
      </c>
      <c r="O45" s="262">
        <f t="shared" si="22"/>
        <v>3.4781842789571735</v>
      </c>
      <c r="P45" s="262">
        <f t="shared" si="22"/>
        <v>3.390008685836428</v>
      </c>
      <c r="Q45" s="262">
        <f t="shared" si="22"/>
        <v>3.2922350478512916</v>
      </c>
      <c r="R45" s="262">
        <f t="shared" si="22"/>
        <v>3.1853477700742383</v>
      </c>
      <c r="S45" s="262">
        <f t="shared" si="22"/>
        <v>3.1178284417916426</v>
      </c>
      <c r="T45" s="262">
        <f t="shared" si="22"/>
        <v>3.0481678492159752</v>
      </c>
      <c r="U45" s="262">
        <f t="shared" si="22"/>
        <v>2.9763583306731642</v>
      </c>
      <c r="V45" s="262">
        <f t="shared" si="22"/>
        <v>2.9023931157948462</v>
      </c>
      <c r="W45" s="262">
        <f t="shared" si="22"/>
        <v>2.8262663416096219</v>
      </c>
      <c r="X45" s="262">
        <f t="shared" si="22"/>
        <v>2.7480033355321454</v>
      </c>
      <c r="Y45" s="262">
        <f t="shared" si="22"/>
        <v>2.6675974826719582</v>
      </c>
      <c r="Z45" s="262">
        <f t="shared" si="22"/>
        <v>2.5850429729348603</v>
      </c>
      <c r="AA45" s="262">
        <f t="shared" si="22"/>
        <v>2.5003348146217181</v>
      </c>
      <c r="AB45" s="262">
        <f t="shared" si="22"/>
        <v>2.4134688476954826</v>
      </c>
      <c r="AC45" s="262">
        <f t="shared" si="22"/>
        <v>2.3012809160444374</v>
      </c>
      <c r="AD45" s="262">
        <f t="shared" si="22"/>
        <v>2.1865053470175186</v>
      </c>
      <c r="AE45" s="262">
        <f t="shared" si="22"/>
        <v>2.0691378686637827</v>
      </c>
      <c r="AF45" s="262">
        <f t="shared" si="22"/>
        <v>1.9491751273514852</v>
      </c>
      <c r="AG45" s="262">
        <f t="shared" si="22"/>
        <v>1.8266147008641997</v>
      </c>
      <c r="AI45" s="210" t="s">
        <v>1308</v>
      </c>
      <c r="AJ45" s="211" t="s">
        <v>1302</v>
      </c>
      <c r="AL45" s="5"/>
      <c r="AM45" s="109"/>
      <c r="AN45" s="109"/>
      <c r="AO45" s="109"/>
      <c r="BC45" s="1"/>
      <c r="BD45" s="118"/>
      <c r="BE45" s="118"/>
      <c r="BF45" s="118"/>
      <c r="BG45" s="118"/>
      <c r="BH45" s="118"/>
      <c r="BI45" s="118"/>
      <c r="BJ45" s="118"/>
      <c r="BK45" s="118"/>
      <c r="BL45" s="118"/>
    </row>
    <row r="46" spans="1:64" outlineLevel="1" x14ac:dyDescent="0.2">
      <c r="A46" s="181" t="s">
        <v>1551</v>
      </c>
      <c r="B46" s="176" t="s">
        <v>1535</v>
      </c>
      <c r="C46" s="107">
        <f t="shared" ref="C46:H46" si="23">C31*$C$40</f>
        <v>6.3196211155477018</v>
      </c>
      <c r="D46" s="107">
        <f t="shared" si="23"/>
        <v>6.5314642923827124</v>
      </c>
      <c r="E46" s="107">
        <f t="shared" si="23"/>
        <v>6.7327627308964706</v>
      </c>
      <c r="F46" s="107">
        <f t="shared" si="23"/>
        <v>6.9221347923706755</v>
      </c>
      <c r="G46" s="107">
        <f t="shared" si="23"/>
        <v>7.0982541272223267</v>
      </c>
      <c r="H46" s="107">
        <f t="shared" si="23"/>
        <v>7.25986514902492</v>
      </c>
      <c r="I46" s="107">
        <f t="shared" si="22"/>
        <v>7.372791919094154</v>
      </c>
      <c r="J46" s="107">
        <f t="shared" si="22"/>
        <v>7.4837323253238814</v>
      </c>
      <c r="K46" s="107">
        <f t="shared" si="22"/>
        <v>7.5925360004124975</v>
      </c>
      <c r="L46" s="107">
        <f t="shared" si="22"/>
        <v>7.6990531122424866</v>
      </c>
      <c r="M46" s="107">
        <f t="shared" si="22"/>
        <v>7.8031346820549103</v>
      </c>
      <c r="N46" s="107">
        <f t="shared" si="22"/>
        <v>7.893323031923881</v>
      </c>
      <c r="O46" s="107">
        <f t="shared" si="22"/>
        <v>7.9690704981350455</v>
      </c>
      <c r="P46" s="107">
        <f t="shared" si="22"/>
        <v>8.02990670718739</v>
      </c>
      <c r="Q46" s="107">
        <f t="shared" si="22"/>
        <v>8.0754433753024717</v>
      </c>
      <c r="R46" s="107">
        <f t="shared" si="22"/>
        <v>8.1053783723504331</v>
      </c>
      <c r="S46" s="107">
        <f t="shared" si="22"/>
        <v>8.1341276480405504</v>
      </c>
      <c r="T46" s="107">
        <f t="shared" si="22"/>
        <v>8.1616713579441846</v>
      </c>
      <c r="U46" s="107">
        <f t="shared" si="22"/>
        <v>8.1879899764054951</v>
      </c>
      <c r="V46" s="107">
        <f t="shared" si="22"/>
        <v>8.2130643107176926</v>
      </c>
      <c r="W46" s="107">
        <f t="shared" si="22"/>
        <v>8.2368755152353881</v>
      </c>
      <c r="X46" s="107">
        <f t="shared" si="22"/>
        <v>8.2594960778999482</v>
      </c>
      <c r="Y46" s="107">
        <f t="shared" si="22"/>
        <v>8.2809087318062566</v>
      </c>
      <c r="Z46" s="107">
        <f t="shared" si="22"/>
        <v>8.3010965162137129</v>
      </c>
      <c r="AA46" s="107">
        <f t="shared" si="22"/>
        <v>8.3200427881968189</v>
      </c>
      <c r="AB46" s="107">
        <f t="shared" si="22"/>
        <v>8.3377312342280501</v>
      </c>
      <c r="AC46" s="107">
        <f t="shared" si="22"/>
        <v>8.3522851783947942</v>
      </c>
      <c r="AD46" s="107">
        <f t="shared" si="22"/>
        <v>8.3655921167096796</v>
      </c>
      <c r="AE46" s="107">
        <f t="shared" si="22"/>
        <v>8.3776372575265352</v>
      </c>
      <c r="AF46" s="107">
        <f t="shared" si="22"/>
        <v>8.3884061252120912</v>
      </c>
      <c r="AG46" s="107">
        <f t="shared" si="22"/>
        <v>8.3978845699221019</v>
      </c>
      <c r="AI46" s="210" t="s">
        <v>1308</v>
      </c>
      <c r="AJ46" s="211" t="s">
        <v>1302</v>
      </c>
      <c r="AL46" s="108"/>
      <c r="AM46" s="2"/>
      <c r="AN46" s="2"/>
      <c r="AO46" s="2"/>
    </row>
    <row r="47" spans="1:64" s="1" customFormat="1" ht="16" thickBot="1" x14ac:dyDescent="0.25">
      <c r="A47" s="200" t="s">
        <v>1552</v>
      </c>
      <c r="B47" s="215" t="s">
        <v>1535</v>
      </c>
      <c r="C47" s="216">
        <f>SUM(C42:C46)</f>
        <v>12.673879407338728</v>
      </c>
      <c r="D47" s="216">
        <f t="shared" ref="D47:AF47" si="24">SUM(D42:D46)</f>
        <v>13.094725249691493</v>
      </c>
      <c r="E47" s="216">
        <f t="shared" si="24"/>
        <v>13.494177163675211</v>
      </c>
      <c r="F47" s="216">
        <f t="shared" si="24"/>
        <v>13.869486219868742</v>
      </c>
      <c r="G47" s="216">
        <f t="shared" si="24"/>
        <v>14.218017620588817</v>
      </c>
      <c r="H47" s="216">
        <f t="shared" si="24"/>
        <v>14.537281515973271</v>
      </c>
      <c r="I47" s="216">
        <f t="shared" si="24"/>
        <v>14.686143113768981</v>
      </c>
      <c r="J47" s="216">
        <f t="shared" si="24"/>
        <v>14.827652836212192</v>
      </c>
      <c r="K47" s="216">
        <f t="shared" si="24"/>
        <v>14.961509505353201</v>
      </c>
      <c r="L47" s="216">
        <f t="shared" si="24"/>
        <v>15.087419421279161</v>
      </c>
      <c r="M47" s="216">
        <f t="shared" si="24"/>
        <v>15.205097171921622</v>
      </c>
      <c r="N47" s="216">
        <f t="shared" si="24"/>
        <v>15.285737495882447</v>
      </c>
      <c r="O47" s="216">
        <f t="shared" si="24"/>
        <v>15.33508450450206</v>
      </c>
      <c r="P47" s="216">
        <f t="shared" si="24"/>
        <v>15.350018683448491</v>
      </c>
      <c r="Q47" s="216">
        <f t="shared" si="24"/>
        <v>15.33289452960361</v>
      </c>
      <c r="R47" s="216">
        <f t="shared" si="24"/>
        <v>15.283678713365212</v>
      </c>
      <c r="S47" s="216">
        <f t="shared" si="24"/>
        <v>15.272324045326542</v>
      </c>
      <c r="T47" s="216">
        <f t="shared" si="24"/>
        <v>15.257291257570955</v>
      </c>
      <c r="U47" s="216">
        <f t="shared" si="24"/>
        <v>15.238542983911739</v>
      </c>
      <c r="V47" s="216">
        <f t="shared" si="24"/>
        <v>15.216043118831305</v>
      </c>
      <c r="W47" s="216">
        <f t="shared" si="24"/>
        <v>15.189756853292685</v>
      </c>
      <c r="X47" s="216">
        <f t="shared" si="24"/>
        <v>15.15979581595133</v>
      </c>
      <c r="Y47" s="216">
        <f t="shared" si="24"/>
        <v>15.126148461364043</v>
      </c>
      <c r="Z47" s="216">
        <f t="shared" si="24"/>
        <v>15.081571973102978</v>
      </c>
      <c r="AA47" s="216">
        <f t="shared" si="24"/>
        <v>15.032980739113238</v>
      </c>
      <c r="AB47" s="216">
        <f t="shared" si="24"/>
        <v>14.98034178063226</v>
      </c>
      <c r="AC47" s="216">
        <f t="shared" si="24"/>
        <v>14.898642008480879</v>
      </c>
      <c r="AD47" s="216">
        <f t="shared" si="24"/>
        <v>14.812491464319434</v>
      </c>
      <c r="AE47" s="216">
        <f t="shared" si="24"/>
        <v>14.721859397176393</v>
      </c>
      <c r="AF47" s="216">
        <f t="shared" si="24"/>
        <v>14.626716391532497</v>
      </c>
      <c r="AG47" s="216">
        <f>SUM(AG42:AG46)</f>
        <v>14.527034397012581</v>
      </c>
      <c r="AJ47" s="162"/>
      <c r="AL47" s="221"/>
      <c r="AM47" s="124"/>
      <c r="AN47" s="124"/>
      <c r="AO47" s="124"/>
    </row>
    <row r="48" spans="1:64" ht="16" thickTop="1" x14ac:dyDescent="0.2">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x14ac:dyDescent="0.25">
      <c r="A49" s="200" t="s">
        <v>1311</v>
      </c>
      <c r="B49" s="215" t="s">
        <v>462</v>
      </c>
      <c r="C49" s="222">
        <f>C52</f>
        <v>0.14200000000000002</v>
      </c>
      <c r="D49" s="222">
        <f t="shared" ref="D49:AG49" si="25">D52</f>
        <v>0.14849999999999999</v>
      </c>
      <c r="E49" s="222">
        <f t="shared" si="25"/>
        <v>0.155</v>
      </c>
      <c r="F49" s="222">
        <f t="shared" si="25"/>
        <v>0.16149999999999998</v>
      </c>
      <c r="G49" s="222">
        <f t="shared" si="25"/>
        <v>0.16800000000000001</v>
      </c>
      <c r="H49" s="222">
        <f t="shared" si="25"/>
        <v>0.17449999999999999</v>
      </c>
      <c r="I49" s="222">
        <f t="shared" si="25"/>
        <v>0.18099999999999999</v>
      </c>
      <c r="J49" s="222">
        <f t="shared" si="25"/>
        <v>0.1875</v>
      </c>
      <c r="K49" s="222">
        <f t="shared" si="25"/>
        <v>0.19400000000000001</v>
      </c>
      <c r="L49" s="222">
        <f t="shared" si="25"/>
        <v>0.20050000000000001</v>
      </c>
      <c r="M49" s="222">
        <f t="shared" si="25"/>
        <v>0.20700000000000002</v>
      </c>
      <c r="N49" s="222">
        <f t="shared" si="25"/>
        <v>0.22070000000000001</v>
      </c>
      <c r="O49" s="222">
        <f t="shared" si="25"/>
        <v>0.2344</v>
      </c>
      <c r="P49" s="222">
        <f t="shared" si="25"/>
        <v>0.24809999999999999</v>
      </c>
      <c r="Q49" s="222">
        <f t="shared" si="25"/>
        <v>0.26179999999999998</v>
      </c>
      <c r="R49" s="222">
        <f t="shared" si="25"/>
        <v>0.27549999999999997</v>
      </c>
      <c r="S49" s="222">
        <f t="shared" si="25"/>
        <v>0.28920000000000001</v>
      </c>
      <c r="T49" s="222">
        <f t="shared" si="25"/>
        <v>0.3029</v>
      </c>
      <c r="U49" s="222">
        <f t="shared" si="25"/>
        <v>0.31659999999999999</v>
      </c>
      <c r="V49" s="222">
        <f t="shared" si="25"/>
        <v>0.33030000000000004</v>
      </c>
      <c r="W49" s="222">
        <f t="shared" si="25"/>
        <v>0.34399999999999997</v>
      </c>
      <c r="X49" s="222">
        <f t="shared" si="25"/>
        <v>0.36692262658227848</v>
      </c>
      <c r="Y49" s="222">
        <f t="shared" si="25"/>
        <v>0.38984525316455698</v>
      </c>
      <c r="Z49" s="222">
        <f t="shared" si="25"/>
        <v>0.41276787974683543</v>
      </c>
      <c r="AA49" s="222">
        <f t="shared" si="25"/>
        <v>0.43569050632911388</v>
      </c>
      <c r="AB49" s="222">
        <f t="shared" si="25"/>
        <v>0.45861313291139238</v>
      </c>
      <c r="AC49" s="222">
        <f t="shared" si="25"/>
        <v>0.48153575949367089</v>
      </c>
      <c r="AD49" s="222">
        <f t="shared" si="25"/>
        <v>0.50445838607594939</v>
      </c>
      <c r="AE49" s="222">
        <f t="shared" si="25"/>
        <v>0.5273810126582279</v>
      </c>
      <c r="AF49" s="222">
        <f t="shared" si="25"/>
        <v>0.55030363924050629</v>
      </c>
      <c r="AG49" s="222">
        <f t="shared" si="25"/>
        <v>0.5732262658227848</v>
      </c>
      <c r="AJ49" s="231" t="s">
        <v>1312</v>
      </c>
      <c r="AL49" s="217"/>
      <c r="AM49" s="218"/>
      <c r="AN49" s="218"/>
      <c r="AO49" s="218"/>
    </row>
    <row r="50" spans="1:63" ht="16" outlineLevel="1" thickTop="1" x14ac:dyDescent="0.2">
      <c r="A50" t="s">
        <v>1313</v>
      </c>
      <c r="B50" s="54" t="s">
        <v>462</v>
      </c>
      <c r="C50" s="113">
        <v>4.7E-2</v>
      </c>
      <c r="D50" s="110">
        <f>$C50+($M50-$C50)/10*(D$1-$C$1)</f>
        <v>5.0200000000000002E-2</v>
      </c>
      <c r="E50" s="110">
        <f t="shared" ref="E50:L51" si="26">$C50+($M50-$C50)/10*(E$1-$C$1)</f>
        <v>5.3400000000000003E-2</v>
      </c>
      <c r="F50" s="110">
        <f t="shared" si="26"/>
        <v>5.6599999999999998E-2</v>
      </c>
      <c r="G50" s="110">
        <f t="shared" si="26"/>
        <v>5.9799999999999999E-2</v>
      </c>
      <c r="H50" s="110">
        <f t="shared" si="26"/>
        <v>6.3E-2</v>
      </c>
      <c r="I50" s="110">
        <f t="shared" si="26"/>
        <v>6.6200000000000009E-2</v>
      </c>
      <c r="J50" s="110">
        <f t="shared" si="26"/>
        <v>6.9400000000000003E-2</v>
      </c>
      <c r="K50" s="110">
        <f t="shared" si="26"/>
        <v>7.2599999999999998E-2</v>
      </c>
      <c r="L50" s="110">
        <f t="shared" si="26"/>
        <v>7.5800000000000006E-2</v>
      </c>
      <c r="M50" s="113">
        <v>7.9000000000000001E-2</v>
      </c>
      <c r="N50" s="110">
        <f>$M50+($W50-$M50)/10*(N$1-$M$1)</f>
        <v>8.5100000000000009E-2</v>
      </c>
      <c r="O50" s="110">
        <f t="shared" ref="O50:U51" si="27">$M50+($W50-$M50)/10*(O$1-$M$1)</f>
        <v>9.1200000000000003E-2</v>
      </c>
      <c r="P50" s="110">
        <f t="shared" si="27"/>
        <v>9.7299999999999998E-2</v>
      </c>
      <c r="Q50" s="110">
        <f t="shared" si="27"/>
        <v>0.10340000000000001</v>
      </c>
      <c r="R50" s="110">
        <f t="shared" si="27"/>
        <v>0.10950000000000001</v>
      </c>
      <c r="S50" s="110">
        <f t="shared" si="27"/>
        <v>0.11560000000000001</v>
      </c>
      <c r="T50" s="110">
        <f t="shared" si="27"/>
        <v>0.1217</v>
      </c>
      <c r="U50" s="110">
        <f t="shared" si="27"/>
        <v>0.12780000000000002</v>
      </c>
      <c r="V50" s="110">
        <f>$M50+($W50-$M50)/10*(V$1-$M$1)</f>
        <v>0.13390000000000002</v>
      </c>
      <c r="W50" s="113">
        <v>0.14000000000000001</v>
      </c>
      <c r="X50" s="110">
        <f>$W50+($AG50-$W50)/10*(X$1-$W$1)</f>
        <v>0.15081012658227849</v>
      </c>
      <c r="Y50" s="110">
        <f t="shared" ref="Y50:AF51" si="28">$W50+($AG50-$W50)/10*(Y$1-$W$1)</f>
        <v>0.16162025316455697</v>
      </c>
      <c r="Z50" s="110">
        <f t="shared" si="28"/>
        <v>0.17243037974683545</v>
      </c>
      <c r="AA50" s="110">
        <f t="shared" si="28"/>
        <v>0.18324050632911396</v>
      </c>
      <c r="AB50" s="110">
        <f t="shared" si="28"/>
        <v>0.19405063291139243</v>
      </c>
      <c r="AC50" s="110">
        <f t="shared" si="28"/>
        <v>0.20486075949367091</v>
      </c>
      <c r="AD50" s="110">
        <f t="shared" si="28"/>
        <v>0.21567088607594942</v>
      </c>
      <c r="AE50" s="110">
        <f t="shared" si="28"/>
        <v>0.2264810126582279</v>
      </c>
      <c r="AF50" s="110">
        <f t="shared" si="28"/>
        <v>0.23729113924050638</v>
      </c>
      <c r="AG50" s="110">
        <f>(W50/M50)*W50</f>
        <v>0.24810126582278486</v>
      </c>
      <c r="AI50" s="133"/>
      <c r="AJ50" s="211" t="s">
        <v>1431</v>
      </c>
      <c r="AL50" s="108"/>
      <c r="AM50" s="2"/>
      <c r="AN50" s="2"/>
      <c r="AO50" s="2"/>
      <c r="AV50" s="41"/>
    </row>
    <row r="51" spans="1:63" outlineLevel="1" x14ac:dyDescent="0.2">
      <c r="A51" t="s">
        <v>1315</v>
      </c>
      <c r="B51" s="54" t="s">
        <v>462</v>
      </c>
      <c r="C51" s="113">
        <v>9.5000000000000001E-2</v>
      </c>
      <c r="D51" s="110">
        <f>$C51+($M51-$C51)/10*(D$1-$C$1)</f>
        <v>9.8299999999999998E-2</v>
      </c>
      <c r="E51" s="110">
        <f t="shared" si="26"/>
        <v>0.1016</v>
      </c>
      <c r="F51" s="110">
        <f t="shared" si="26"/>
        <v>0.10489999999999999</v>
      </c>
      <c r="G51" s="110">
        <f t="shared" si="26"/>
        <v>0.1082</v>
      </c>
      <c r="H51" s="110">
        <f t="shared" si="26"/>
        <v>0.1115</v>
      </c>
      <c r="I51" s="110">
        <f t="shared" si="26"/>
        <v>0.1148</v>
      </c>
      <c r="J51" s="110">
        <f t="shared" si="26"/>
        <v>0.1181</v>
      </c>
      <c r="K51" s="110">
        <f t="shared" si="26"/>
        <v>0.12140000000000001</v>
      </c>
      <c r="L51" s="110">
        <f t="shared" si="26"/>
        <v>0.12470000000000001</v>
      </c>
      <c r="M51" s="113">
        <v>0.128</v>
      </c>
      <c r="N51" s="110">
        <f>$M51+($W51-$M51)/10*(N$1-$M$1)</f>
        <v>0.1356</v>
      </c>
      <c r="O51" s="110">
        <f t="shared" si="27"/>
        <v>0.14319999999999999</v>
      </c>
      <c r="P51" s="110">
        <f t="shared" si="27"/>
        <v>0.15079999999999999</v>
      </c>
      <c r="Q51" s="110">
        <f t="shared" si="27"/>
        <v>0.15839999999999999</v>
      </c>
      <c r="R51" s="110">
        <f t="shared" si="27"/>
        <v>0.16599999999999998</v>
      </c>
      <c r="S51" s="110">
        <f t="shared" si="27"/>
        <v>0.17359999999999998</v>
      </c>
      <c r="T51" s="110">
        <f t="shared" si="27"/>
        <v>0.1812</v>
      </c>
      <c r="U51" s="110">
        <f t="shared" si="27"/>
        <v>0.1888</v>
      </c>
      <c r="V51" s="110">
        <f>$M51+($W51-$M51)/10*(V$1-$M$1)</f>
        <v>0.19639999999999999</v>
      </c>
      <c r="W51" s="113">
        <v>0.20399999999999999</v>
      </c>
      <c r="X51" s="110">
        <f>$W51+($AG51-$W51)/10*(X$1-$W$1)</f>
        <v>0.21611249999999999</v>
      </c>
      <c r="Y51" s="110">
        <f t="shared" si="28"/>
        <v>0.22822499999999998</v>
      </c>
      <c r="Z51" s="110">
        <f t="shared" si="28"/>
        <v>0.24033749999999998</v>
      </c>
      <c r="AA51" s="110">
        <f t="shared" si="28"/>
        <v>0.25244999999999995</v>
      </c>
      <c r="AB51" s="110">
        <f t="shared" si="28"/>
        <v>0.26456249999999998</v>
      </c>
      <c r="AC51" s="110">
        <f t="shared" si="28"/>
        <v>0.27667499999999995</v>
      </c>
      <c r="AD51" s="110">
        <f t="shared" si="28"/>
        <v>0.28878749999999997</v>
      </c>
      <c r="AE51" s="110">
        <f t="shared" si="28"/>
        <v>0.30089999999999995</v>
      </c>
      <c r="AF51" s="110">
        <f t="shared" si="28"/>
        <v>0.31301249999999992</v>
      </c>
      <c r="AG51" s="110">
        <f>(W51/M51)*W51</f>
        <v>0.32512499999999994</v>
      </c>
      <c r="AI51" s="133"/>
      <c r="AJ51" s="211" t="s">
        <v>1431</v>
      </c>
      <c r="AL51" s="108"/>
      <c r="AM51" s="2"/>
      <c r="AN51" s="2"/>
      <c r="AO51" s="2"/>
      <c r="AV51" s="41"/>
    </row>
    <row r="52" spans="1:63" outlineLevel="1" x14ac:dyDescent="0.2">
      <c r="A52" t="s">
        <v>1316</v>
      </c>
      <c r="B52" s="176" t="s">
        <v>462</v>
      </c>
      <c r="C52" s="110">
        <f>C50+C51</f>
        <v>0.14200000000000002</v>
      </c>
      <c r="D52" s="110">
        <f t="shared" ref="D52:AF52" si="29">D50+D51</f>
        <v>0.14849999999999999</v>
      </c>
      <c r="E52" s="110">
        <f t="shared" si="29"/>
        <v>0.155</v>
      </c>
      <c r="F52" s="110">
        <f t="shared" si="29"/>
        <v>0.16149999999999998</v>
      </c>
      <c r="G52" s="110">
        <f t="shared" si="29"/>
        <v>0.16800000000000001</v>
      </c>
      <c r="H52" s="110">
        <f t="shared" si="29"/>
        <v>0.17449999999999999</v>
      </c>
      <c r="I52" s="110">
        <f t="shared" si="29"/>
        <v>0.18099999999999999</v>
      </c>
      <c r="J52" s="110">
        <f t="shared" si="29"/>
        <v>0.1875</v>
      </c>
      <c r="K52" s="110">
        <f t="shared" si="29"/>
        <v>0.19400000000000001</v>
      </c>
      <c r="L52" s="110">
        <f t="shared" si="29"/>
        <v>0.20050000000000001</v>
      </c>
      <c r="M52" s="110">
        <f t="shared" si="29"/>
        <v>0.20700000000000002</v>
      </c>
      <c r="N52" s="110">
        <f t="shared" si="29"/>
        <v>0.22070000000000001</v>
      </c>
      <c r="O52" s="110">
        <f t="shared" si="29"/>
        <v>0.2344</v>
      </c>
      <c r="P52" s="110">
        <f t="shared" si="29"/>
        <v>0.24809999999999999</v>
      </c>
      <c r="Q52" s="110">
        <f t="shared" si="29"/>
        <v>0.26179999999999998</v>
      </c>
      <c r="R52" s="110">
        <f t="shared" si="29"/>
        <v>0.27549999999999997</v>
      </c>
      <c r="S52" s="110">
        <f t="shared" si="29"/>
        <v>0.28920000000000001</v>
      </c>
      <c r="T52" s="110">
        <f t="shared" si="29"/>
        <v>0.3029</v>
      </c>
      <c r="U52" s="110">
        <f t="shared" si="29"/>
        <v>0.31659999999999999</v>
      </c>
      <c r="V52" s="110">
        <f t="shared" si="29"/>
        <v>0.33030000000000004</v>
      </c>
      <c r="W52" s="110">
        <f t="shared" si="29"/>
        <v>0.34399999999999997</v>
      </c>
      <c r="X52" s="110">
        <f t="shared" si="29"/>
        <v>0.36692262658227848</v>
      </c>
      <c r="Y52" s="110">
        <f t="shared" si="29"/>
        <v>0.38984525316455698</v>
      </c>
      <c r="Z52" s="110">
        <f t="shared" si="29"/>
        <v>0.41276787974683543</v>
      </c>
      <c r="AA52" s="110">
        <f t="shared" si="29"/>
        <v>0.43569050632911388</v>
      </c>
      <c r="AB52" s="110">
        <f t="shared" si="29"/>
        <v>0.45861313291139238</v>
      </c>
      <c r="AC52" s="110">
        <f t="shared" si="29"/>
        <v>0.48153575949367089</v>
      </c>
      <c r="AD52" s="110">
        <f t="shared" si="29"/>
        <v>0.50445838607594939</v>
      </c>
      <c r="AE52" s="110">
        <f t="shared" si="29"/>
        <v>0.5273810126582279</v>
      </c>
      <c r="AF52" s="110">
        <f t="shared" si="29"/>
        <v>0.55030363924050629</v>
      </c>
      <c r="AG52" s="110">
        <f>AG50+AG51</f>
        <v>0.5732262658227848</v>
      </c>
      <c r="AI52" s="133"/>
      <c r="AJ52" s="211"/>
      <c r="AL52" s="108"/>
      <c r="AM52" s="2"/>
      <c r="AN52" s="2"/>
      <c r="AO52" s="2"/>
    </row>
    <row r="53" spans="1:63" outlineLevel="1" x14ac:dyDescent="0.2">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x14ac:dyDescent="0.2">
      <c r="A54" t="s">
        <v>1317</v>
      </c>
      <c r="B54" s="54" t="s">
        <v>462</v>
      </c>
      <c r="C54" s="110">
        <f>'Ethylene Recycling HC'!C57</f>
        <v>0.11499935012302656</v>
      </c>
      <c r="D54" s="110">
        <f>'Ethylene Recycling HC'!D57</f>
        <v>0.11283270511892568</v>
      </c>
      <c r="E54" s="110">
        <f>'Ethylene Recycling HC'!E57</f>
        <v>0.1106660601148248</v>
      </c>
      <c r="F54" s="110">
        <f>'Ethylene Recycling HC'!F57</f>
        <v>0.10849941511072392</v>
      </c>
      <c r="G54" s="110">
        <f>'Ethylene Recycling HC'!G57</f>
        <v>0.10633277010662304</v>
      </c>
      <c r="H54" s="110">
        <f>'Ethylene Recycling HC'!H57</f>
        <v>0.10416612510252216</v>
      </c>
      <c r="I54" s="110">
        <f>'Ethylene Recycling HC'!I57</f>
        <v>0.10199948009842127</v>
      </c>
      <c r="J54" s="110">
        <f>'Ethylene Recycling HC'!J57</f>
        <v>9.9832835094320393E-2</v>
      </c>
      <c r="K54" s="110">
        <f>'Ethylene Recycling HC'!K57</f>
        <v>9.7666190090219512E-2</v>
      </c>
      <c r="L54" s="110">
        <f>'Ethylene Recycling HC'!L57</f>
        <v>9.5499545086118631E-2</v>
      </c>
      <c r="M54" s="110">
        <f>'Ethylene Recycling HC'!M57</f>
        <v>9.333290008201775E-2</v>
      </c>
      <c r="N54" s="110">
        <f>'Ethylene Recycling HC'!N57</f>
        <v>9.1166255077916869E-2</v>
      </c>
      <c r="O54" s="110">
        <f>'Ethylene Recycling HC'!O57</f>
        <v>8.8999610073815988E-2</v>
      </c>
      <c r="P54" s="110">
        <f>'Ethylene Recycling HC'!P57</f>
        <v>8.6832965069715107E-2</v>
      </c>
      <c r="Q54" s="110">
        <f>'Ethylene Recycling HC'!Q57</f>
        <v>8.4666320065614226E-2</v>
      </c>
      <c r="R54" s="110">
        <f>'Ethylene Recycling HC'!R57</f>
        <v>8.2499675061513345E-2</v>
      </c>
      <c r="S54" s="110">
        <f>'Ethylene Recycling HC'!S57</f>
        <v>8.0333030057412463E-2</v>
      </c>
      <c r="T54" s="110">
        <f>'Ethylene Recycling HC'!T57</f>
        <v>7.8166385053311582E-2</v>
      </c>
      <c r="U54" s="110">
        <f>'Ethylene Recycling HC'!U57</f>
        <v>7.5999740049210701E-2</v>
      </c>
      <c r="V54" s="110">
        <f>'Ethylene Recycling HC'!V57</f>
        <v>7.383309504510982E-2</v>
      </c>
      <c r="W54" s="110">
        <f>'Ethylene Recycling HC'!W57</f>
        <v>7.1666450041008939E-2</v>
      </c>
      <c r="X54" s="110">
        <f>'Ethylene Recycling HC'!X57</f>
        <v>6.9499805036908058E-2</v>
      </c>
      <c r="Y54" s="110">
        <f>'Ethylene Recycling HC'!Y57</f>
        <v>6.7333160032807177E-2</v>
      </c>
      <c r="Z54" s="110">
        <f>'Ethylene Recycling HC'!Z57</f>
        <v>6.5166515028706296E-2</v>
      </c>
      <c r="AA54" s="110">
        <f>'Ethylene Recycling HC'!AA57</f>
        <v>6.2999870024605414E-2</v>
      </c>
      <c r="AB54" s="110">
        <f>'Ethylene Recycling HC'!AB57</f>
        <v>6.0833225020504526E-2</v>
      </c>
      <c r="AC54" s="110">
        <f>'Ethylene Recycling HC'!AC57</f>
        <v>5.8666580016403638E-2</v>
      </c>
      <c r="AD54" s="110">
        <f>'Ethylene Recycling HC'!AD57</f>
        <v>5.649993501230275E-2</v>
      </c>
      <c r="AE54" s="110">
        <f>'Ethylene Recycling HC'!AE57</f>
        <v>5.4333290008201862E-2</v>
      </c>
      <c r="AF54" s="110">
        <f>'Ethylene Recycling HC'!AF57</f>
        <v>5.2166645004100974E-2</v>
      </c>
      <c r="AG54" s="110">
        <f>'Ethylene Recycling HC'!AG57</f>
        <v>0.05</v>
      </c>
      <c r="AI54" s="133"/>
      <c r="AJ54" s="211" t="s">
        <v>1432</v>
      </c>
      <c r="AL54" s="108"/>
      <c r="AM54" s="2"/>
      <c r="AN54" s="2"/>
      <c r="AO54" s="2"/>
      <c r="AV54" s="41"/>
    </row>
    <row r="55" spans="1:63" outlineLevel="1" x14ac:dyDescent="0.2">
      <c r="A55" t="s">
        <v>1318</v>
      </c>
      <c r="C55" s="110">
        <f>'Ethylene Recycling HC'!C58</f>
        <v>0.13791632052401978</v>
      </c>
      <c r="D55" s="110">
        <f>'Ethylene Recycling HC'!D58</f>
        <v>0.13791632052401978</v>
      </c>
      <c r="E55" s="110">
        <f>'Ethylene Recycling HC'!E58</f>
        <v>0.13791632052401978</v>
      </c>
      <c r="F55" s="110">
        <f>'Ethylene Recycling HC'!F58</f>
        <v>0.13791632052401978</v>
      </c>
      <c r="G55" s="110">
        <f>'Ethylene Recycling HC'!G58</f>
        <v>0.13791632052401978</v>
      </c>
      <c r="H55" s="110">
        <f>'Ethylene Recycling HC'!H58</f>
        <v>0.13791632052401978</v>
      </c>
      <c r="I55" s="110">
        <f>'Ethylene Recycling HC'!I58</f>
        <v>0.13791632052401978</v>
      </c>
      <c r="J55" s="110">
        <f>'Ethylene Recycling HC'!J58</f>
        <v>0.13791632052401978</v>
      </c>
      <c r="K55" s="110">
        <f>'Ethylene Recycling HC'!K58</f>
        <v>0.13791632052401978</v>
      </c>
      <c r="L55" s="110">
        <f>'Ethylene Recycling HC'!L58</f>
        <v>0.13791632052401978</v>
      </c>
      <c r="M55" s="110">
        <f>'Ethylene Recycling HC'!M58</f>
        <v>0.13791632052401978</v>
      </c>
      <c r="N55" s="110">
        <f>'Ethylene Recycling HC'!N58</f>
        <v>0.13791632052401978</v>
      </c>
      <c r="O55" s="110">
        <f>'Ethylene Recycling HC'!O58</f>
        <v>0.13791632052401978</v>
      </c>
      <c r="P55" s="110">
        <f>'Ethylene Recycling HC'!P58</f>
        <v>0.13791632052401978</v>
      </c>
      <c r="Q55" s="110">
        <f>'Ethylene Recycling HC'!Q58</f>
        <v>0.13791632052401978</v>
      </c>
      <c r="R55" s="110">
        <f>'Ethylene Recycling HC'!R58</f>
        <v>0.13791632052401978</v>
      </c>
      <c r="S55" s="110">
        <f>'Ethylene Recycling HC'!S58</f>
        <v>0.13791632052401978</v>
      </c>
      <c r="T55" s="110">
        <f>'Ethylene Recycling HC'!T58</f>
        <v>0.13791632052401978</v>
      </c>
      <c r="U55" s="110">
        <f>'Ethylene Recycling HC'!U58</f>
        <v>0.13791632052401978</v>
      </c>
      <c r="V55" s="110">
        <f>'Ethylene Recycling HC'!V58</f>
        <v>0.13791632052401978</v>
      </c>
      <c r="W55" s="110">
        <f>'Ethylene Recycling HC'!W58</f>
        <v>0.13791632052401978</v>
      </c>
      <c r="X55" s="110">
        <f>'Ethylene Recycling HC'!X58</f>
        <v>0.13791632052401978</v>
      </c>
      <c r="Y55" s="110">
        <f>'Ethylene Recycling HC'!Y58</f>
        <v>0.13791632052401978</v>
      </c>
      <c r="Z55" s="110">
        <f>'Ethylene Recycling HC'!Z58</f>
        <v>0.13791632052401978</v>
      </c>
      <c r="AA55" s="110">
        <f>'Ethylene Recycling HC'!AA58</f>
        <v>0.13791632052401978</v>
      </c>
      <c r="AB55" s="110">
        <f>'Ethylene Recycling HC'!AB58</f>
        <v>0.13791632052401978</v>
      </c>
      <c r="AC55" s="110">
        <f>'Ethylene Recycling HC'!AC58</f>
        <v>0.13791632052401978</v>
      </c>
      <c r="AD55" s="110">
        <f>'Ethylene Recycling HC'!AD58</f>
        <v>0.13791632052401978</v>
      </c>
      <c r="AE55" s="110">
        <f>'Ethylene Recycling HC'!AE58</f>
        <v>0.13791632052401978</v>
      </c>
      <c r="AF55" s="110">
        <f>'Ethylene Recycling HC'!AF58</f>
        <v>0.13791632052401978</v>
      </c>
      <c r="AG55" s="110">
        <f>'Ethylene Recycling HC'!AG58</f>
        <v>0.13791632052401978</v>
      </c>
      <c r="AI55" s="133"/>
      <c r="AJ55" s="211" t="s">
        <v>1432</v>
      </c>
      <c r="AL55" s="108"/>
      <c r="AM55" s="2"/>
      <c r="AN55" s="2"/>
      <c r="AO55" s="2"/>
      <c r="AV55" s="41"/>
    </row>
    <row r="56" spans="1:63" outlineLevel="1" x14ac:dyDescent="0.2">
      <c r="A56" t="s">
        <v>1433</v>
      </c>
      <c r="B56" s="54" t="s">
        <v>462</v>
      </c>
      <c r="C56" s="110">
        <f>'Ethylene Recycling HC'!C59</f>
        <v>0.10855071452136934</v>
      </c>
      <c r="D56" s="110">
        <f>'Ethylene Recycling HC'!D59</f>
        <v>0.10855071452136934</v>
      </c>
      <c r="E56" s="110">
        <f>'Ethylene Recycling HC'!E59</f>
        <v>0.10855071452136934</v>
      </c>
      <c r="F56" s="110">
        <f>'Ethylene Recycling HC'!F59</f>
        <v>0.10855071452136934</v>
      </c>
      <c r="G56" s="110">
        <f>'Ethylene Recycling HC'!G59</f>
        <v>0.10855071452136934</v>
      </c>
      <c r="H56" s="110">
        <f>'Ethylene Recycling HC'!H59</f>
        <v>0.10855071452136934</v>
      </c>
      <c r="I56" s="110">
        <f>'Ethylene Recycling HC'!I59</f>
        <v>0.10855071452136934</v>
      </c>
      <c r="J56" s="110">
        <f>'Ethylene Recycling HC'!J59</f>
        <v>0.10855071452136934</v>
      </c>
      <c r="K56" s="110">
        <f>'Ethylene Recycling HC'!K59</f>
        <v>0.10855071452136934</v>
      </c>
      <c r="L56" s="110">
        <f>'Ethylene Recycling HC'!L59</f>
        <v>0.10855071452136934</v>
      </c>
      <c r="M56" s="110">
        <f>'Ethylene Recycling HC'!M59</f>
        <v>0.10855071452136934</v>
      </c>
      <c r="N56" s="110">
        <f>'Ethylene Recycling HC'!N59</f>
        <v>0.10855071452136934</v>
      </c>
      <c r="O56" s="110">
        <f>'Ethylene Recycling HC'!O59</f>
        <v>0.10855071452136934</v>
      </c>
      <c r="P56" s="110">
        <f>'Ethylene Recycling HC'!P59</f>
        <v>0.10855071452136934</v>
      </c>
      <c r="Q56" s="110">
        <f>'Ethylene Recycling HC'!Q59</f>
        <v>0.10855071452136934</v>
      </c>
      <c r="R56" s="110">
        <f>'Ethylene Recycling HC'!R59</f>
        <v>0.10855071452136934</v>
      </c>
      <c r="S56" s="110">
        <f>'Ethylene Recycling HC'!S59</f>
        <v>0.10855071452136934</v>
      </c>
      <c r="T56" s="110">
        <f>'Ethylene Recycling HC'!T59</f>
        <v>0.10855071452136934</v>
      </c>
      <c r="U56" s="110">
        <f>'Ethylene Recycling HC'!U59</f>
        <v>0.10855071452136934</v>
      </c>
      <c r="V56" s="110">
        <f>'Ethylene Recycling HC'!V59</f>
        <v>0.10855071452136934</v>
      </c>
      <c r="W56" s="110">
        <f>'Ethylene Recycling HC'!W59</f>
        <v>0.10855071452136934</v>
      </c>
      <c r="X56" s="110">
        <f>'Ethylene Recycling HC'!X59</f>
        <v>0.10855071452136934</v>
      </c>
      <c r="Y56" s="110">
        <f>'Ethylene Recycling HC'!Y59</f>
        <v>0.10855071452136934</v>
      </c>
      <c r="Z56" s="110">
        <f>'Ethylene Recycling HC'!Z59</f>
        <v>0.10855071452136934</v>
      </c>
      <c r="AA56" s="110">
        <f>'Ethylene Recycling HC'!AA59</f>
        <v>0.10855071452136934</v>
      </c>
      <c r="AB56" s="110">
        <f>'Ethylene Recycling HC'!AB59</f>
        <v>0.10855071452136934</v>
      </c>
      <c r="AC56" s="110">
        <f>'Ethylene Recycling HC'!AC59</f>
        <v>0.10855071452136934</v>
      </c>
      <c r="AD56" s="110">
        <f>'Ethylene Recycling HC'!AD59</f>
        <v>0.10855071452136934</v>
      </c>
      <c r="AE56" s="110">
        <f>'Ethylene Recycling HC'!AE59</f>
        <v>0.10855071452136934</v>
      </c>
      <c r="AF56" s="110">
        <f>'Ethylene Recycling HC'!AF59</f>
        <v>0.10855071452136934</v>
      </c>
      <c r="AG56" s="110">
        <f>'Ethylene Recycling HC'!AG59</f>
        <v>0.10855071452136934</v>
      </c>
      <c r="AI56" s="133"/>
      <c r="AJ56" s="211" t="s">
        <v>1432</v>
      </c>
      <c r="AL56" s="108"/>
      <c r="AM56" s="2"/>
      <c r="AN56" s="2"/>
      <c r="AO56" s="2"/>
      <c r="AV56" s="41"/>
    </row>
    <row r="57" spans="1:63" outlineLevel="1" x14ac:dyDescent="0.2">
      <c r="A57" t="s">
        <v>1319</v>
      </c>
      <c r="B57" s="54" t="s">
        <v>462</v>
      </c>
      <c r="C57" s="110">
        <f>'Ethylene Recycling HC'!C60</f>
        <v>0.63853361483158433</v>
      </c>
      <c r="D57" s="110">
        <f>'Ethylene Recycling HC'!D60</f>
        <v>0.64070025983568524</v>
      </c>
      <c r="E57" s="110">
        <f>'Ethylene Recycling HC'!E60</f>
        <v>0.64286690483978604</v>
      </c>
      <c r="F57" s="110">
        <f>'Ethylene Recycling HC'!F60</f>
        <v>0.64503354984388694</v>
      </c>
      <c r="G57" s="110">
        <f>'Ethylene Recycling HC'!G60</f>
        <v>0.64720019484798785</v>
      </c>
      <c r="H57" s="110">
        <f>'Ethylene Recycling HC'!H60</f>
        <v>0.64936683985208865</v>
      </c>
      <c r="I57" s="110">
        <f>'Ethylene Recycling HC'!I60</f>
        <v>0.65153348485618956</v>
      </c>
      <c r="J57" s="110">
        <f>'Ethylene Recycling HC'!J60</f>
        <v>0.65370012986029047</v>
      </c>
      <c r="K57" s="110">
        <f>'Ethylene Recycling HC'!K60</f>
        <v>0.65586677486439138</v>
      </c>
      <c r="L57" s="110">
        <f>'Ethylene Recycling HC'!L60</f>
        <v>0.65803341986849229</v>
      </c>
      <c r="M57" s="110">
        <f>'Ethylene Recycling HC'!M60</f>
        <v>0.66020006487259308</v>
      </c>
      <c r="N57" s="110">
        <f>'Ethylene Recycling HC'!N60</f>
        <v>0.66236670987669399</v>
      </c>
      <c r="O57" s="110">
        <f>'Ethylene Recycling HC'!O60</f>
        <v>0.6645333548807949</v>
      </c>
      <c r="P57" s="110">
        <f>'Ethylene Recycling HC'!P60</f>
        <v>0.6666999998848957</v>
      </c>
      <c r="Q57" s="110">
        <f>'Ethylene Recycling HC'!Q60</f>
        <v>0.66886664488899661</v>
      </c>
      <c r="R57" s="110">
        <f>'Ethylene Recycling HC'!R60</f>
        <v>0.67103328989309752</v>
      </c>
      <c r="S57" s="110">
        <f>'Ethylene Recycling HC'!S60</f>
        <v>0.67319993489719843</v>
      </c>
      <c r="T57" s="110">
        <f>'Ethylene Recycling HC'!T60</f>
        <v>0.67536657990129934</v>
      </c>
      <c r="U57" s="110">
        <f>'Ethylene Recycling HC'!U60</f>
        <v>0.67753322490540013</v>
      </c>
      <c r="V57" s="110">
        <f>'Ethylene Recycling HC'!V60</f>
        <v>0.67969986990950104</v>
      </c>
      <c r="W57" s="110">
        <f>'Ethylene Recycling HC'!W60</f>
        <v>0.68186651491360195</v>
      </c>
      <c r="X57" s="110">
        <f>'Ethylene Recycling HC'!X60</f>
        <v>0.68403315991770275</v>
      </c>
      <c r="Y57" s="110">
        <f>'Ethylene Recycling HC'!Y60</f>
        <v>0.68619980492180366</v>
      </c>
      <c r="Z57" s="110">
        <f>'Ethylene Recycling HC'!Z60</f>
        <v>0.68836644992590457</v>
      </c>
      <c r="AA57" s="110">
        <f>'Ethylene Recycling HC'!AA60</f>
        <v>0.69053309493000548</v>
      </c>
      <c r="AB57" s="110">
        <f>'Ethylene Recycling HC'!AB60</f>
        <v>0.69269973993410638</v>
      </c>
      <c r="AC57" s="110">
        <f>'Ethylene Recycling HC'!AC60</f>
        <v>0.69486638493820718</v>
      </c>
      <c r="AD57" s="110">
        <f>'Ethylene Recycling HC'!AD60</f>
        <v>0.69703302994230809</v>
      </c>
      <c r="AE57" s="110">
        <f>'Ethylene Recycling HC'!AE60</f>
        <v>0.699199674946409</v>
      </c>
      <c r="AF57" s="110">
        <f>'Ethylene Recycling HC'!AF60</f>
        <v>0.70136631995050991</v>
      </c>
      <c r="AG57" s="110">
        <f>'Ethylene Recycling HC'!AG60</f>
        <v>0.70353296495461082</v>
      </c>
      <c r="AI57" s="133"/>
      <c r="AJ57" s="211" t="s">
        <v>1432</v>
      </c>
      <c r="AL57" s="108"/>
      <c r="AM57" s="2"/>
      <c r="AN57" s="2"/>
      <c r="AO57" s="2"/>
      <c r="AV57" s="41"/>
    </row>
    <row r="58" spans="1:63" outlineLevel="1" x14ac:dyDescent="0.2">
      <c r="A58" t="s">
        <v>1317</v>
      </c>
      <c r="B58" s="54" t="s">
        <v>462</v>
      </c>
      <c r="C58" s="110">
        <f>'Ethylene Recycling HC'!C61</f>
        <v>1.0924938261687523E-2</v>
      </c>
      <c r="D58" s="110">
        <f>'Ethylene Recycling HC'!D61</f>
        <v>1.1091454913190394E-2</v>
      </c>
      <c r="E58" s="110">
        <f>'Ethylene Recycling HC'!E61</f>
        <v>1.1243671707666198E-2</v>
      </c>
      <c r="F58" s="110">
        <f>'Ethylene Recycling HC'!F61</f>
        <v>1.1381588645114939E-2</v>
      </c>
      <c r="G58" s="110">
        <f>'Ethylene Recycling HC'!G61</f>
        <v>1.1505205725536613E-2</v>
      </c>
      <c r="H58" s="110">
        <f>'Ethylene Recycling HC'!H61</f>
        <v>1.161452294893122E-2</v>
      </c>
      <c r="I58" s="110">
        <f>'Ethylene Recycling HC'!I61</f>
        <v>1.1709540315298762E-2</v>
      </c>
      <c r="J58" s="110">
        <f>'Ethylene Recycling HC'!J61</f>
        <v>1.1790257824639237E-2</v>
      </c>
      <c r="K58" s="110">
        <f>'Ethylene Recycling HC'!K61</f>
        <v>1.185667547695265E-2</v>
      </c>
      <c r="L58" s="110">
        <f>'Ethylene Recycling HC'!L61</f>
        <v>1.1908793272238994E-2</v>
      </c>
      <c r="M58" s="110">
        <f>'Ethylene Recycling HC'!M61</f>
        <v>1.1946611210498273E-2</v>
      </c>
      <c r="N58" s="110">
        <f>'Ethylene Recycling HC'!N61</f>
        <v>1.2362144188565528E-2</v>
      </c>
      <c r="O58" s="110">
        <f>'Ethylene Recycling HC'!O61</f>
        <v>1.2744744162570449E-2</v>
      </c>
      <c r="P58" s="110">
        <f>'Ethylene Recycling HC'!P61</f>
        <v>1.3094411132513037E-2</v>
      </c>
      <c r="Q58" s="110">
        <f>'Ethylene Recycling HC'!Q61</f>
        <v>1.3411145098393293E-2</v>
      </c>
      <c r="R58" s="110">
        <f>'Ethylene Recycling HC'!R61</f>
        <v>1.3694946060211214E-2</v>
      </c>
      <c r="S58" s="110">
        <f>'Ethylene Recycling HC'!S61</f>
        <v>1.3945814017966802E-2</v>
      </c>
      <c r="T58" s="110">
        <f>'Ethylene Recycling HC'!T61</f>
        <v>1.4163748971660058E-2</v>
      </c>
      <c r="U58" s="110">
        <f>'Ethylene Recycling HC'!U61</f>
        <v>1.434875092129098E-2</v>
      </c>
      <c r="V58" s="110">
        <f>'Ethylene Recycling HC'!V61</f>
        <v>1.4500819866859568E-2</v>
      </c>
      <c r="W58" s="110">
        <f>'Ethylene Recycling HC'!W61</f>
        <v>1.4619955808365823E-2</v>
      </c>
      <c r="X58" s="110">
        <f>'Ethylene Recycling HC'!X61</f>
        <v>1.5019776616038791E-2</v>
      </c>
      <c r="Y58" s="110">
        <f>'Ethylene Recycling HC'!Y61</f>
        <v>1.5367110448487417E-2</v>
      </c>
      <c r="Z58" s="110">
        <f>'Ethylene Recycling HC'!Z61</f>
        <v>1.56619573057117E-2</v>
      </c>
      <c r="AA58" s="110">
        <f>'Ethylene Recycling HC'!AA61</f>
        <v>1.5904317187711636E-2</v>
      </c>
      <c r="AB58" s="110">
        <f>'Ethylene Recycling HC'!AB61</f>
        <v>1.6094190094487228E-2</v>
      </c>
      <c r="AC58" s="110">
        <f>'Ethylene Recycling HC'!AC61</f>
        <v>1.6231576026038474E-2</v>
      </c>
      <c r="AD58" s="110">
        <f>'Ethylene Recycling HC'!AD61</f>
        <v>1.6316474982365377E-2</v>
      </c>
      <c r="AE58" s="110">
        <f>'Ethylene Recycling HC'!AE61</f>
        <v>1.6348886963467937E-2</v>
      </c>
      <c r="AF58" s="110">
        <f>'Ethylene Recycling HC'!AF61</f>
        <v>1.6328811969346151E-2</v>
      </c>
      <c r="AG58" s="110">
        <f>'Ethylene Recycling HC'!AG61</f>
        <v>1.6256249999999996E-2</v>
      </c>
      <c r="AH58" s="271"/>
      <c r="AI58" s="133"/>
      <c r="AJ58" s="211"/>
      <c r="AL58" s="108"/>
      <c r="AM58" s="2"/>
      <c r="AN58" s="2"/>
      <c r="AO58" s="2"/>
    </row>
    <row r="59" spans="1:63" outlineLevel="1" x14ac:dyDescent="0.2">
      <c r="A59" t="s">
        <v>1318</v>
      </c>
      <c r="B59" s="54" t="s">
        <v>462</v>
      </c>
      <c r="C59" s="110">
        <f>'Ethylene Recycling HC'!C62</f>
        <v>1.3102050449781879E-2</v>
      </c>
      <c r="D59" s="110">
        <f>'Ethylene Recycling HC'!D62</f>
        <v>1.3557174307511145E-2</v>
      </c>
      <c r="E59" s="110">
        <f>'Ethylene Recycling HC'!E62</f>
        <v>1.4012298165240409E-2</v>
      </c>
      <c r="F59" s="110">
        <f>'Ethylene Recycling HC'!F62</f>
        <v>1.4467422022969674E-2</v>
      </c>
      <c r="G59" s="110">
        <f>'Ethylene Recycling HC'!G62</f>
        <v>1.4922545880698941E-2</v>
      </c>
      <c r="H59" s="110">
        <f>'Ethylene Recycling HC'!H62</f>
        <v>1.5377669738428206E-2</v>
      </c>
      <c r="I59" s="110">
        <f>'Ethylene Recycling HC'!I62</f>
        <v>1.5832793596157472E-2</v>
      </c>
      <c r="J59" s="110">
        <f>'Ethylene Recycling HC'!J62</f>
        <v>1.6287917453886736E-2</v>
      </c>
      <c r="K59" s="110">
        <f>'Ethylene Recycling HC'!K62</f>
        <v>1.6743041311616004E-2</v>
      </c>
      <c r="L59" s="110">
        <f>'Ethylene Recycling HC'!L62</f>
        <v>1.7198165169345268E-2</v>
      </c>
      <c r="M59" s="110">
        <f>'Ethylene Recycling HC'!M62</f>
        <v>1.7653289027074533E-2</v>
      </c>
      <c r="N59" s="110">
        <f>'Ethylene Recycling HC'!N62</f>
        <v>1.8701453063057084E-2</v>
      </c>
      <c r="O59" s="110">
        <f>'Ethylene Recycling HC'!O62</f>
        <v>1.9749617099039631E-2</v>
      </c>
      <c r="P59" s="110">
        <f>'Ethylene Recycling HC'!P62</f>
        <v>2.0797781135022182E-2</v>
      </c>
      <c r="Q59" s="110">
        <f>'Ethylene Recycling HC'!Q62</f>
        <v>2.184594517100473E-2</v>
      </c>
      <c r="R59" s="110">
        <f>'Ethylene Recycling HC'!R62</f>
        <v>2.2894109206987281E-2</v>
      </c>
      <c r="S59" s="110">
        <f>'Ethylene Recycling HC'!S62</f>
        <v>2.3942273242969832E-2</v>
      </c>
      <c r="T59" s="110">
        <f>'Ethylene Recycling HC'!T62</f>
        <v>2.4990437278952383E-2</v>
      </c>
      <c r="U59" s="110">
        <f>'Ethylene Recycling HC'!U62</f>
        <v>2.6038601314934934E-2</v>
      </c>
      <c r="V59" s="110">
        <f>'Ethylene Recycling HC'!V62</f>
        <v>2.7086765350917485E-2</v>
      </c>
      <c r="W59" s="110">
        <f>'Ethylene Recycling HC'!W62</f>
        <v>2.8134929386900032E-2</v>
      </c>
      <c r="X59" s="110">
        <f>'Ethylene Recycling HC'!X62</f>
        <v>2.9805440819247221E-2</v>
      </c>
      <c r="Y59" s="110">
        <f>'Ethylene Recycling HC'!Y62</f>
        <v>3.1475952251594413E-2</v>
      </c>
      <c r="Z59" s="110">
        <f>'Ethylene Recycling HC'!Z62</f>
        <v>3.3146463683941599E-2</v>
      </c>
      <c r="AA59" s="110">
        <f>'Ethylene Recycling HC'!AA62</f>
        <v>3.4816975116288784E-2</v>
      </c>
      <c r="AB59" s="110">
        <f>'Ethylene Recycling HC'!AB62</f>
        <v>3.6487486548635983E-2</v>
      </c>
      <c r="AC59" s="110">
        <f>'Ethylene Recycling HC'!AC62</f>
        <v>3.8157997980983169E-2</v>
      </c>
      <c r="AD59" s="110">
        <f>'Ethylene Recycling HC'!AD62</f>
        <v>3.9828509413330361E-2</v>
      </c>
      <c r="AE59" s="110">
        <f>'Ethylene Recycling HC'!AE62</f>
        <v>4.1499020845677546E-2</v>
      </c>
      <c r="AF59" s="110">
        <f>'Ethylene Recycling HC'!AF62</f>
        <v>4.3169532278024732E-2</v>
      </c>
      <c r="AG59" s="110">
        <f>'Ethylene Recycling HC'!AG62</f>
        <v>4.4840043710371924E-2</v>
      </c>
      <c r="AH59" s="271"/>
      <c r="AJ59" s="211"/>
      <c r="AL59" s="108"/>
      <c r="AM59" s="2"/>
      <c r="AN59" s="2"/>
      <c r="AO59" s="2"/>
      <c r="BC59" s="1"/>
      <c r="BD59" s="2"/>
      <c r="BE59" s="2"/>
      <c r="BF59" s="2"/>
      <c r="BG59" s="2"/>
      <c r="BH59" s="2"/>
      <c r="BI59" s="2"/>
      <c r="BJ59" s="2"/>
      <c r="BK59" s="2"/>
    </row>
    <row r="60" spans="1:63" outlineLevel="1" x14ac:dyDescent="0.2">
      <c r="A60" t="s">
        <v>1433</v>
      </c>
      <c r="C60" s="110">
        <f>'Ethylene Recycling HC'!C63</f>
        <v>1.0312317879530087E-2</v>
      </c>
      <c r="D60" s="110">
        <f>'Ethylene Recycling HC'!D63</f>
        <v>1.0670535237450606E-2</v>
      </c>
      <c r="E60" s="110">
        <f>'Ethylene Recycling HC'!E63</f>
        <v>1.1028752595371125E-2</v>
      </c>
      <c r="F60" s="110">
        <f>'Ethylene Recycling HC'!F63</f>
        <v>1.1386969953291644E-2</v>
      </c>
      <c r="G60" s="110">
        <f>'Ethylene Recycling HC'!G63</f>
        <v>1.1745187311212163E-2</v>
      </c>
      <c r="H60" s="110">
        <f>'Ethylene Recycling HC'!H63</f>
        <v>1.2103404669132681E-2</v>
      </c>
      <c r="I60" s="110">
        <f>'Ethylene Recycling HC'!I63</f>
        <v>1.24616220270532E-2</v>
      </c>
      <c r="J60" s="110">
        <f>'Ethylene Recycling HC'!J63</f>
        <v>1.2819839384973719E-2</v>
      </c>
      <c r="K60" s="110">
        <f>'Ethylene Recycling HC'!K63</f>
        <v>1.317805674289424E-2</v>
      </c>
      <c r="L60" s="110">
        <f>'Ethylene Recycling HC'!L63</f>
        <v>1.3536274100814759E-2</v>
      </c>
      <c r="M60" s="110">
        <f>'Ethylene Recycling HC'!M63</f>
        <v>1.3894491458735276E-2</v>
      </c>
      <c r="N60" s="110">
        <f>'Ethylene Recycling HC'!N63</f>
        <v>1.4719476889097683E-2</v>
      </c>
      <c r="O60" s="110">
        <f>'Ethylene Recycling HC'!O63</f>
        <v>1.5544462319460089E-2</v>
      </c>
      <c r="P60" s="110">
        <f>'Ethylene Recycling HC'!P63</f>
        <v>1.6369447749822495E-2</v>
      </c>
      <c r="Q60" s="110">
        <f>'Ethylene Recycling HC'!Q63</f>
        <v>1.7194433180184904E-2</v>
      </c>
      <c r="R60" s="110">
        <f>'Ethylene Recycling HC'!R63</f>
        <v>1.8019418610547309E-2</v>
      </c>
      <c r="S60" s="110">
        <f>'Ethylene Recycling HC'!S63</f>
        <v>1.8844404040909715E-2</v>
      </c>
      <c r="T60" s="110">
        <f>'Ethylene Recycling HC'!T63</f>
        <v>1.9669389471272124E-2</v>
      </c>
      <c r="U60" s="110">
        <f>'Ethylene Recycling HC'!U63</f>
        <v>2.049437490163453E-2</v>
      </c>
      <c r="V60" s="110">
        <f>'Ethylene Recycling HC'!V63</f>
        <v>2.1319360331996939E-2</v>
      </c>
      <c r="W60" s="110">
        <f>'Ethylene Recycling HC'!W63</f>
        <v>2.2144345762359345E-2</v>
      </c>
      <c r="X60" s="110">
        <f>'Ethylene Recycling HC'!X63</f>
        <v>2.3459166291999432E-2</v>
      </c>
      <c r="Y60" s="110">
        <f>'Ethylene Recycling HC'!Y63</f>
        <v>2.4773986821639518E-2</v>
      </c>
      <c r="Z60" s="110">
        <f>'Ethylene Recycling HC'!Z63</f>
        <v>2.6088807351279601E-2</v>
      </c>
      <c r="AA60" s="110">
        <f>'Ethylene Recycling HC'!AA63</f>
        <v>2.7403627880919684E-2</v>
      </c>
      <c r="AB60" s="110">
        <f>'Ethylene Recycling HC'!AB63</f>
        <v>2.8718448410559774E-2</v>
      </c>
      <c r="AC60" s="110">
        <f>'Ethylene Recycling HC'!AC63</f>
        <v>3.0033268940199857E-2</v>
      </c>
      <c r="AD60" s="110">
        <f>'Ethylene Recycling HC'!AD63</f>
        <v>3.1348089469839947E-2</v>
      </c>
      <c r="AE60" s="110">
        <f>'Ethylene Recycling HC'!AE63</f>
        <v>3.266290999948003E-2</v>
      </c>
      <c r="AF60" s="110">
        <f>'Ethylene Recycling HC'!AF63</f>
        <v>3.3977730529120113E-2</v>
      </c>
      <c r="AG60" s="110">
        <f>'Ethylene Recycling HC'!AG63</f>
        <v>3.5292551058760203E-2</v>
      </c>
      <c r="AH60" s="271"/>
      <c r="AJ60" s="211"/>
      <c r="AL60" s="108"/>
      <c r="AM60" s="2"/>
      <c r="AN60" s="2"/>
      <c r="AO60" s="2"/>
      <c r="BC60" s="1"/>
      <c r="BD60" s="2"/>
      <c r="BE60" s="2"/>
      <c r="BF60" s="2"/>
      <c r="BG60" s="2"/>
      <c r="BH60" s="2"/>
      <c r="BI60" s="2"/>
      <c r="BJ60" s="2"/>
      <c r="BK60" s="2"/>
    </row>
    <row r="61" spans="1:63" outlineLevel="1" x14ac:dyDescent="0.2">
      <c r="A61" t="s">
        <v>1319</v>
      </c>
      <c r="B61" s="54" t="s">
        <v>462</v>
      </c>
      <c r="C61" s="110">
        <f>'Ethylene Recycling HC'!C64</f>
        <v>6.0660693409000509E-2</v>
      </c>
      <c r="D61" s="110">
        <f>'Ethylene Recycling HC'!D64</f>
        <v>6.2980835541847857E-2</v>
      </c>
      <c r="E61" s="110">
        <f>'Ethylene Recycling HC'!E64</f>
        <v>6.5315277531722254E-2</v>
      </c>
      <c r="F61" s="110">
        <f>'Ethylene Recycling HC'!F64</f>
        <v>6.7664019378623735E-2</v>
      </c>
      <c r="G61" s="110">
        <f>'Ethylene Recycling HC'!G64</f>
        <v>7.0027061082552286E-2</v>
      </c>
      <c r="H61" s="110">
        <f>'Ethylene Recycling HC'!H64</f>
        <v>7.2404402643507892E-2</v>
      </c>
      <c r="I61" s="110">
        <f>'Ethylene Recycling HC'!I64</f>
        <v>7.4796044061490555E-2</v>
      </c>
      <c r="J61" s="110">
        <f>'Ethylene Recycling HC'!J64</f>
        <v>7.7201985336500301E-2</v>
      </c>
      <c r="K61" s="110">
        <f>'Ethylene Recycling HC'!K64</f>
        <v>7.9622226468537116E-2</v>
      </c>
      <c r="L61" s="110">
        <f>'Ethylene Recycling HC'!L64</f>
        <v>8.2056767457600988E-2</v>
      </c>
      <c r="M61" s="110">
        <f>'Ethylene Recycling HC'!M64</f>
        <v>8.4505608303691915E-2</v>
      </c>
      <c r="N61" s="110">
        <f>'Ethylene Recycling HC'!N64</f>
        <v>8.9816925859279709E-2</v>
      </c>
      <c r="O61" s="110">
        <f>'Ethylene Recycling HC'!O64</f>
        <v>9.5161176418929821E-2</v>
      </c>
      <c r="P61" s="110">
        <f>'Ethylene Recycling HC'!P64</f>
        <v>0.10053835998264227</v>
      </c>
      <c r="Q61" s="110">
        <f>'Ethylene Recycling HC'!Q64</f>
        <v>0.10594847655041706</v>
      </c>
      <c r="R61" s="110">
        <f>'Ethylene Recycling HC'!R64</f>
        <v>0.11139152612225417</v>
      </c>
      <c r="S61" s="110">
        <f>'Ethylene Recycling HC'!S64</f>
        <v>0.11686750869815363</v>
      </c>
      <c r="T61" s="110">
        <f>'Ethylene Recycling HC'!T64</f>
        <v>0.12237642427811544</v>
      </c>
      <c r="U61" s="110">
        <f>'Ethylene Recycling HC'!U64</f>
        <v>0.12791827286213955</v>
      </c>
      <c r="V61" s="110">
        <f>'Ethylene Recycling HC'!V64</f>
        <v>0.133493054450226</v>
      </c>
      <c r="W61" s="110">
        <f>'Ethylene Recycling HC'!W64</f>
        <v>0.13910076904237478</v>
      </c>
      <c r="X61" s="110">
        <f>'Ethylene Recycling HC'!X64</f>
        <v>0.14782811627271453</v>
      </c>
      <c r="Y61" s="110">
        <f>'Ethylene Recycling HC'!Y64</f>
        <v>0.15660795047827863</v>
      </c>
      <c r="Z61" s="110">
        <f>'Ethylene Recycling HC'!Z64</f>
        <v>0.16544027165906708</v>
      </c>
      <c r="AA61" s="110">
        <f>'Ethylene Recycling HC'!AA64</f>
        <v>0.17432507981507986</v>
      </c>
      <c r="AB61" s="110">
        <f>'Ethylene Recycling HC'!AB64</f>
        <v>0.183262374946317</v>
      </c>
      <c r="AC61" s="110">
        <f>'Ethylene Recycling HC'!AC64</f>
        <v>0.19225215705277843</v>
      </c>
      <c r="AD61" s="110">
        <f>'Ethylene Recycling HC'!AD64</f>
        <v>0.20129442613446427</v>
      </c>
      <c r="AE61" s="110">
        <f>'Ethylene Recycling HC'!AE64</f>
        <v>0.21038918219137442</v>
      </c>
      <c r="AF61" s="110">
        <f>'Ethylene Recycling HC'!AF64</f>
        <v>0.21953642522350891</v>
      </c>
      <c r="AG61" s="110">
        <f>'Ethylene Recycling HC'!AG64</f>
        <v>0.22873615523086779</v>
      </c>
      <c r="AH61" s="271"/>
      <c r="AI61" s="133"/>
      <c r="AJ61" s="211"/>
      <c r="AL61" s="108"/>
      <c r="AM61" s="2"/>
      <c r="AN61" s="2"/>
      <c r="AO61" s="2"/>
      <c r="BC61" s="1"/>
      <c r="BD61" s="2"/>
      <c r="BE61" s="2"/>
      <c r="BF61" s="2"/>
      <c r="BG61" s="2"/>
      <c r="BH61" s="2"/>
      <c r="BI61" s="2"/>
      <c r="BJ61" s="2"/>
      <c r="BK61" s="2"/>
    </row>
    <row r="62" spans="1:63" outlineLevel="1" x14ac:dyDescent="0.2">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x14ac:dyDescent="0.2">
      <c r="A63" t="s">
        <v>1553</v>
      </c>
      <c r="C63" s="382">
        <f>'Overall recycling rates'!E84</f>
        <v>1.4092948968207217</v>
      </c>
      <c r="D63" s="382">
        <f>C63-($C63-$AG63)/($AG$1-$C$1)</f>
        <v>1.3989850669266977</v>
      </c>
      <c r="E63" s="382">
        <f t="shared" ref="E63:AF63" si="30">D63-($C63-$AG63)/($AG$1-$C$1)</f>
        <v>1.3886752370326736</v>
      </c>
      <c r="F63" s="382">
        <f t="shared" si="30"/>
        <v>1.3783654071386495</v>
      </c>
      <c r="G63" s="382">
        <f t="shared" si="30"/>
        <v>1.3680555772446255</v>
      </c>
      <c r="H63" s="382">
        <f t="shared" si="30"/>
        <v>1.3577457473506014</v>
      </c>
      <c r="I63" s="382">
        <f t="shared" si="30"/>
        <v>1.3474359174565773</v>
      </c>
      <c r="J63" s="382">
        <f t="shared" si="30"/>
        <v>1.3371260875625532</v>
      </c>
      <c r="K63" s="382">
        <f t="shared" si="30"/>
        <v>1.3268162576685292</v>
      </c>
      <c r="L63" s="382">
        <f t="shared" si="30"/>
        <v>1.3165064277745051</v>
      </c>
      <c r="M63" s="382">
        <f t="shared" si="30"/>
        <v>1.306196597880481</v>
      </c>
      <c r="N63" s="382">
        <f t="shared" si="30"/>
        <v>1.295886767986457</v>
      </c>
      <c r="O63" s="382">
        <f t="shared" si="30"/>
        <v>1.2855769380924329</v>
      </c>
      <c r="P63" s="382">
        <f t="shared" si="30"/>
        <v>1.2752671081984088</v>
      </c>
      <c r="Q63" s="382">
        <f t="shared" si="30"/>
        <v>1.2649572783043848</v>
      </c>
      <c r="R63" s="382">
        <f t="shared" si="30"/>
        <v>1.2546474484103607</v>
      </c>
      <c r="S63" s="382">
        <f t="shared" si="30"/>
        <v>1.2443376185163366</v>
      </c>
      <c r="T63" s="382">
        <f t="shared" si="30"/>
        <v>1.2340277886223125</v>
      </c>
      <c r="U63" s="382">
        <f t="shared" si="30"/>
        <v>1.2237179587282885</v>
      </c>
      <c r="V63" s="382">
        <f t="shared" si="30"/>
        <v>1.2134081288342644</v>
      </c>
      <c r="W63" s="382">
        <f t="shared" si="30"/>
        <v>1.2030982989402403</v>
      </c>
      <c r="X63" s="382">
        <f t="shared" si="30"/>
        <v>1.1927884690462163</v>
      </c>
      <c r="Y63" s="382">
        <f t="shared" si="30"/>
        <v>1.1824786391521922</v>
      </c>
      <c r="Z63" s="382">
        <f t="shared" si="30"/>
        <v>1.1721688092581681</v>
      </c>
      <c r="AA63" s="382">
        <f t="shared" si="30"/>
        <v>1.1618589793641441</v>
      </c>
      <c r="AB63" s="382">
        <f t="shared" si="30"/>
        <v>1.15154914947012</v>
      </c>
      <c r="AC63" s="382">
        <f t="shared" si="30"/>
        <v>1.1412393195760959</v>
      </c>
      <c r="AD63" s="382">
        <f t="shared" si="30"/>
        <v>1.1309294896820719</v>
      </c>
      <c r="AE63" s="382">
        <f t="shared" si="30"/>
        <v>1.1206196597880478</v>
      </c>
      <c r="AF63" s="382">
        <f t="shared" si="30"/>
        <v>1.1103098298940237</v>
      </c>
      <c r="AG63" s="382">
        <f>'Overall recycling rates'!E93</f>
        <v>1.1000000000000001</v>
      </c>
      <c r="AI63" s="133"/>
      <c r="AJ63" s="211"/>
      <c r="AL63" s="108"/>
      <c r="AM63" s="2"/>
      <c r="AN63" s="2"/>
      <c r="AO63" s="2"/>
      <c r="BC63" s="1"/>
      <c r="BD63" s="2"/>
      <c r="BE63" s="2"/>
      <c r="BF63" s="2"/>
      <c r="BG63" s="2"/>
      <c r="BH63" s="2"/>
      <c r="BI63" s="2"/>
      <c r="BJ63" s="2"/>
      <c r="BK63" s="2"/>
    </row>
    <row r="64" spans="1:63" outlineLevel="1" x14ac:dyDescent="0.2">
      <c r="A64" t="s">
        <v>1554</v>
      </c>
      <c r="B64" s="54" t="s">
        <v>462</v>
      </c>
      <c r="C64" s="110">
        <f>C50*C$63</f>
        <v>6.6236860150573923E-2</v>
      </c>
      <c r="D64" s="110">
        <f t="shared" ref="D64:AG64" si="31">D50*D$63</f>
        <v>7.0229050359720227E-2</v>
      </c>
      <c r="E64" s="110">
        <f t="shared" si="31"/>
        <v>7.4155257657544771E-2</v>
      </c>
      <c r="F64" s="110">
        <f t="shared" si="31"/>
        <v>7.8015482044047554E-2</v>
      </c>
      <c r="G64" s="110">
        <f t="shared" si="31"/>
        <v>8.1809723519228605E-2</v>
      </c>
      <c r="H64" s="110">
        <f t="shared" si="31"/>
        <v>8.5537982083087882E-2</v>
      </c>
      <c r="I64" s="110">
        <f t="shared" si="31"/>
        <v>8.9200257735625427E-2</v>
      </c>
      <c r="J64" s="110">
        <f t="shared" si="31"/>
        <v>9.2796550476841197E-2</v>
      </c>
      <c r="K64" s="110">
        <f t="shared" si="31"/>
        <v>9.6326860306735221E-2</v>
      </c>
      <c r="L64" s="110">
        <f t="shared" si="31"/>
        <v>9.9791187225307498E-2</v>
      </c>
      <c r="M64" s="110">
        <f t="shared" si="31"/>
        <v>0.103189531232558</v>
      </c>
      <c r="N64" s="110">
        <f t="shared" si="31"/>
        <v>0.1102799639556475</v>
      </c>
      <c r="O64" s="110">
        <f t="shared" si="31"/>
        <v>0.11724461675402989</v>
      </c>
      <c r="P64" s="110">
        <f t="shared" si="31"/>
        <v>0.12408348962770517</v>
      </c>
      <c r="Q64" s="110">
        <f t="shared" si="31"/>
        <v>0.1307965825766734</v>
      </c>
      <c r="R64" s="110">
        <f t="shared" si="31"/>
        <v>0.1373838956009345</v>
      </c>
      <c r="S64" s="110">
        <f t="shared" si="31"/>
        <v>0.14384542870048853</v>
      </c>
      <c r="T64" s="110">
        <f t="shared" si="31"/>
        <v>0.15018118187533544</v>
      </c>
      <c r="U64" s="110">
        <f t="shared" si="31"/>
        <v>0.1563911551254753</v>
      </c>
      <c r="V64" s="110">
        <f t="shared" si="31"/>
        <v>0.16247534845090802</v>
      </c>
      <c r="W64" s="110">
        <f t="shared" si="31"/>
        <v>0.16843376185163367</v>
      </c>
      <c r="X64" s="110">
        <f t="shared" si="31"/>
        <v>0.17988458000274204</v>
      </c>
      <c r="Y64" s="110">
        <f t="shared" si="31"/>
        <v>0.19111249702145811</v>
      </c>
      <c r="Z64" s="110">
        <f t="shared" si="31"/>
        <v>0.20211751290778185</v>
      </c>
      <c r="AA64" s="110">
        <f t="shared" si="31"/>
        <v>0.21289962766171333</v>
      </c>
      <c r="AB64" s="110">
        <f t="shared" si="31"/>
        <v>0.22345884128325244</v>
      </c>
      <c r="AC64" s="110">
        <f t="shared" si="31"/>
        <v>0.23379515377239923</v>
      </c>
      <c r="AD64" s="110">
        <f t="shared" si="31"/>
        <v>0.24390856512915374</v>
      </c>
      <c r="AE64" s="110">
        <f t="shared" si="31"/>
        <v>0.25379907535351587</v>
      </c>
      <c r="AF64" s="110">
        <f t="shared" si="31"/>
        <v>0.26346668444548571</v>
      </c>
      <c r="AG64" s="110">
        <f t="shared" si="31"/>
        <v>0.27291139240506335</v>
      </c>
      <c r="AI64" s="133"/>
      <c r="AJ64" s="211"/>
      <c r="AL64" s="108"/>
      <c r="AM64" s="2"/>
      <c r="AN64" s="2"/>
      <c r="AO64" s="2"/>
      <c r="AV64" s="41"/>
    </row>
    <row r="65" spans="1:63" outlineLevel="1" x14ac:dyDescent="0.2">
      <c r="A65" t="s">
        <v>1555</v>
      </c>
      <c r="B65" s="54" t="s">
        <v>462</v>
      </c>
      <c r="C65" s="110">
        <f>C51*C$63</f>
        <v>0.13388301519796855</v>
      </c>
      <c r="D65" s="110">
        <f t="shared" ref="D65:AG65" si="32">D51*D$63</f>
        <v>0.13752023207889438</v>
      </c>
      <c r="E65" s="110">
        <f t="shared" si="32"/>
        <v>0.14108940408251963</v>
      </c>
      <c r="F65" s="110">
        <f t="shared" si="32"/>
        <v>0.14459053120884433</v>
      </c>
      <c r="G65" s="110">
        <f t="shared" si="32"/>
        <v>0.14802361345786849</v>
      </c>
      <c r="H65" s="110">
        <f t="shared" si="32"/>
        <v>0.15138865082959205</v>
      </c>
      <c r="I65" s="110">
        <f t="shared" si="32"/>
        <v>0.15468564332401508</v>
      </c>
      <c r="J65" s="110">
        <f t="shared" si="32"/>
        <v>0.15791459094113752</v>
      </c>
      <c r="K65" s="110">
        <f t="shared" si="32"/>
        <v>0.16107549368095944</v>
      </c>
      <c r="L65" s="110">
        <f t="shared" si="32"/>
        <v>0.16416835154348081</v>
      </c>
      <c r="M65" s="110">
        <f t="shared" si="32"/>
        <v>0.16719316452870159</v>
      </c>
      <c r="N65" s="110">
        <f t="shared" si="32"/>
        <v>0.17572224573896356</v>
      </c>
      <c r="O65" s="110">
        <f t="shared" si="32"/>
        <v>0.18409461753483639</v>
      </c>
      <c r="P65" s="110">
        <f t="shared" si="32"/>
        <v>0.19231027991632005</v>
      </c>
      <c r="Q65" s="110">
        <f t="shared" si="32"/>
        <v>0.20036923288341452</v>
      </c>
      <c r="R65" s="110">
        <f t="shared" si="32"/>
        <v>0.20827147643611985</v>
      </c>
      <c r="S65" s="110">
        <f t="shared" si="32"/>
        <v>0.21601701057443601</v>
      </c>
      <c r="T65" s="110">
        <f t="shared" si="32"/>
        <v>0.22360583529836303</v>
      </c>
      <c r="U65" s="110">
        <f t="shared" si="32"/>
        <v>0.23103795060790086</v>
      </c>
      <c r="V65" s="110">
        <f t="shared" si="32"/>
        <v>0.23831335650304952</v>
      </c>
      <c r="W65" s="110">
        <f t="shared" si="32"/>
        <v>0.24543205298380902</v>
      </c>
      <c r="X65" s="110">
        <f t="shared" si="32"/>
        <v>0.2577764980167504</v>
      </c>
      <c r="Y65" s="110">
        <f t="shared" si="32"/>
        <v>0.26987118742050903</v>
      </c>
      <c r="Z65" s="110">
        <f t="shared" si="32"/>
        <v>0.28171612119508493</v>
      </c>
      <c r="AA65" s="110">
        <f t="shared" si="32"/>
        <v>0.29331129934047812</v>
      </c>
      <c r="AB65" s="110">
        <f t="shared" si="32"/>
        <v>0.30465672185668857</v>
      </c>
      <c r="AC65" s="110">
        <f t="shared" si="32"/>
        <v>0.31575238874371631</v>
      </c>
      <c r="AD65" s="110">
        <f t="shared" si="32"/>
        <v>0.32659830000156131</v>
      </c>
      <c r="AE65" s="110">
        <f t="shared" si="32"/>
        <v>0.33719445563022354</v>
      </c>
      <c r="AF65" s="110">
        <f t="shared" si="32"/>
        <v>0.34754085562970299</v>
      </c>
      <c r="AG65" s="110">
        <f t="shared" si="32"/>
        <v>0.35763749999999994</v>
      </c>
      <c r="AH65" s="245"/>
      <c r="AI65" s="133"/>
      <c r="AJ65" s="211"/>
      <c r="AL65" s="108"/>
      <c r="AM65" s="2"/>
      <c r="AN65" s="2"/>
      <c r="AO65" s="2"/>
      <c r="AV65" s="41"/>
    </row>
    <row r="66" spans="1:63" outlineLevel="1" x14ac:dyDescent="0.2">
      <c r="A66" t="s">
        <v>1556</v>
      </c>
      <c r="B66" s="176" t="s">
        <v>462</v>
      </c>
      <c r="C66" s="110">
        <f>SUM(C64:C65)</f>
        <v>0.20011987534854248</v>
      </c>
      <c r="D66" s="110">
        <f t="shared" ref="D66:AG66" si="33">SUM(D64:D65)</f>
        <v>0.20774928243861462</v>
      </c>
      <c r="E66" s="110">
        <f t="shared" si="33"/>
        <v>0.2152446617400644</v>
      </c>
      <c r="F66" s="110">
        <f t="shared" si="33"/>
        <v>0.22260601325289187</v>
      </c>
      <c r="G66" s="110">
        <f t="shared" si="33"/>
        <v>0.2298333369770971</v>
      </c>
      <c r="H66" s="110">
        <f t="shared" si="33"/>
        <v>0.23692663291267993</v>
      </c>
      <c r="I66" s="110">
        <f t="shared" si="33"/>
        <v>0.2438859010596405</v>
      </c>
      <c r="J66" s="110">
        <f t="shared" si="33"/>
        <v>0.25071114141797873</v>
      </c>
      <c r="K66" s="110">
        <f t="shared" si="33"/>
        <v>0.25740235398769468</v>
      </c>
      <c r="L66" s="110">
        <f t="shared" si="33"/>
        <v>0.2639595387687883</v>
      </c>
      <c r="M66" s="110">
        <f t="shared" si="33"/>
        <v>0.27038269576125962</v>
      </c>
      <c r="N66" s="110">
        <f t="shared" si="33"/>
        <v>0.28600220969461104</v>
      </c>
      <c r="O66" s="110">
        <f t="shared" si="33"/>
        <v>0.30133923428886628</v>
      </c>
      <c r="P66" s="110">
        <f t="shared" si="33"/>
        <v>0.31639376954402521</v>
      </c>
      <c r="Q66" s="110">
        <f t="shared" si="33"/>
        <v>0.33116581546008794</v>
      </c>
      <c r="R66" s="110">
        <f t="shared" si="33"/>
        <v>0.34565537203705432</v>
      </c>
      <c r="S66" s="110">
        <f t="shared" si="33"/>
        <v>0.35986243927492456</v>
      </c>
      <c r="T66" s="110">
        <f t="shared" si="33"/>
        <v>0.37378701717369844</v>
      </c>
      <c r="U66" s="110">
        <f t="shared" si="33"/>
        <v>0.38742910573337619</v>
      </c>
      <c r="V66" s="110">
        <f t="shared" si="33"/>
        <v>0.40078870495395758</v>
      </c>
      <c r="W66" s="110">
        <f t="shared" si="33"/>
        <v>0.41386581483544271</v>
      </c>
      <c r="X66" s="110">
        <f t="shared" si="33"/>
        <v>0.43766107801949244</v>
      </c>
      <c r="Y66" s="110">
        <f t="shared" si="33"/>
        <v>0.46098368444196713</v>
      </c>
      <c r="Z66" s="110">
        <f t="shared" si="33"/>
        <v>0.48383363410286678</v>
      </c>
      <c r="AA66" s="110">
        <f t="shared" si="33"/>
        <v>0.5062109270021915</v>
      </c>
      <c r="AB66" s="110">
        <f t="shared" si="33"/>
        <v>0.52811556313994101</v>
      </c>
      <c r="AC66" s="110">
        <f t="shared" si="33"/>
        <v>0.54954754251611559</v>
      </c>
      <c r="AD66" s="110">
        <f t="shared" si="33"/>
        <v>0.57050686513071502</v>
      </c>
      <c r="AE66" s="110">
        <f t="shared" si="33"/>
        <v>0.59099353098373941</v>
      </c>
      <c r="AF66" s="110">
        <f t="shared" si="33"/>
        <v>0.61100754007518865</v>
      </c>
      <c r="AG66" s="110">
        <f t="shared" si="33"/>
        <v>0.63054889240506329</v>
      </c>
      <c r="AI66" s="133"/>
      <c r="AJ66" s="211"/>
      <c r="AL66" s="108"/>
      <c r="AM66" s="2"/>
      <c r="AN66" s="2"/>
      <c r="AO66" s="2"/>
    </row>
    <row r="67" spans="1:63" outlineLevel="1" x14ac:dyDescent="0.2">
      <c r="A67" t="s">
        <v>1557</v>
      </c>
      <c r="B67" s="54" t="s">
        <v>462</v>
      </c>
      <c r="C67" s="110">
        <f>C$63*C58</f>
        <v>1.5396459740277672E-2</v>
      </c>
      <c r="D67" s="110">
        <f t="shared" ref="D67:AG70" si="34">D$63*D58</f>
        <v>1.5516779794044113E-2</v>
      </c>
      <c r="E67" s="110">
        <f t="shared" si="34"/>
        <v>1.5613808473760924E-2</v>
      </c>
      <c r="F67" s="110">
        <f t="shared" si="34"/>
        <v>1.5687988066708482E-2</v>
      </c>
      <c r="G67" s="110">
        <f t="shared" si="34"/>
        <v>1.5739760860167162E-2</v>
      </c>
      <c r="H67" s="110">
        <f t="shared" si="34"/>
        <v>1.576956914141733E-2</v>
      </c>
      <c r="I67" s="110">
        <f t="shared" si="34"/>
        <v>1.5777855197739367E-2</v>
      </c>
      <c r="J67" s="110">
        <f t="shared" si="34"/>
        <v>1.5765061316413642E-2</v>
      </c>
      <c r="K67" s="110">
        <f t="shared" si="34"/>
        <v>1.5731629784720539E-2</v>
      </c>
      <c r="L67" s="110">
        <f t="shared" si="34"/>
        <v>1.5678002889940416E-2</v>
      </c>
      <c r="M67" s="110">
        <f t="shared" si="34"/>
        <v>1.5604622919353659E-2</v>
      </c>
      <c r="N67" s="110">
        <f t="shared" si="34"/>
        <v>1.6019939077902744E-2</v>
      </c>
      <c r="O67" s="110">
        <f t="shared" si="34"/>
        <v>1.6384349177288725E-2</v>
      </c>
      <c r="P67" s="110">
        <f t="shared" si="34"/>
        <v>1.6698871818520953E-2</v>
      </c>
      <c r="Q67" s="110">
        <f t="shared" si="34"/>
        <v>1.696452560260877E-2</v>
      </c>
      <c r="R67" s="110">
        <f t="shared" si="34"/>
        <v>1.7182329130561523E-2</v>
      </c>
      <c r="S67" s="110">
        <f t="shared" si="34"/>
        <v>1.7353301003388555E-2</v>
      </c>
      <c r="T67" s="110">
        <f t="shared" si="34"/>
        <v>1.7478459822099217E-2</v>
      </c>
      <c r="U67" s="110">
        <f t="shared" si="34"/>
        <v>1.7558824187702847E-2</v>
      </c>
      <c r="V67" s="110">
        <f t="shared" si="34"/>
        <v>1.7595412701208797E-2</v>
      </c>
      <c r="W67" s="110">
        <f t="shared" si="34"/>
        <v>1.7589243963626409E-2</v>
      </c>
      <c r="X67" s="110">
        <f t="shared" si="34"/>
        <v>1.7915416355261071E-2</v>
      </c>
      <c r="Y67" s="110">
        <f t="shared" si="34"/>
        <v>1.8171279850828836E-2</v>
      </c>
      <c r="Z67" s="110">
        <f t="shared" si="34"/>
        <v>1.8358457845688351E-2</v>
      </c>
      <c r="AA67" s="110">
        <f t="shared" si="34"/>
        <v>1.8478573735198255E-2</v>
      </c>
      <c r="AB67" s="110">
        <f t="shared" si="34"/>
        <v>1.8533250914717199E-2</v>
      </c>
      <c r="AC67" s="110">
        <f t="shared" si="34"/>
        <v>1.8524112779603821E-2</v>
      </c>
      <c r="AD67" s="110">
        <f t="shared" si="34"/>
        <v>1.8452782725216769E-2</v>
      </c>
      <c r="AE67" s="110">
        <f t="shared" si="34"/>
        <v>1.8320884146914688E-2</v>
      </c>
      <c r="AF67" s="110">
        <f t="shared" si="34"/>
        <v>1.8130040440056224E-2</v>
      </c>
      <c r="AG67" s="110">
        <f t="shared" si="34"/>
        <v>1.7881874999999998E-2</v>
      </c>
      <c r="AI67" s="133"/>
      <c r="AJ67" s="211"/>
      <c r="AL67" s="108"/>
      <c r="AM67" s="2"/>
      <c r="AN67" s="2"/>
      <c r="AO67" s="2"/>
    </row>
    <row r="68" spans="1:63" outlineLevel="1" x14ac:dyDescent="0.2">
      <c r="A68" t="s">
        <v>1558</v>
      </c>
      <c r="B68" s="54" t="s">
        <v>462</v>
      </c>
      <c r="C68" s="110">
        <f t="shared" ref="C68:R70" si="35">C$63*C59</f>
        <v>1.8464652836765245E-2</v>
      </c>
      <c r="D68" s="110">
        <f t="shared" si="35"/>
        <v>1.8966284405930386E-2</v>
      </c>
      <c r="E68" s="110">
        <f t="shared" si="35"/>
        <v>1.9458531475987723E-2</v>
      </c>
      <c r="F68" s="110">
        <f t="shared" si="35"/>
        <v>1.9941394046937257E-2</v>
      </c>
      <c r="G68" s="110">
        <f t="shared" si="35"/>
        <v>2.0414872118778998E-2</v>
      </c>
      <c r="H68" s="110">
        <f t="shared" si="35"/>
        <v>2.087896569151293E-2</v>
      </c>
      <c r="I68" s="110">
        <f t="shared" si="35"/>
        <v>2.1333674765139064E-2</v>
      </c>
      <c r="J68" s="110">
        <f t="shared" si="35"/>
        <v>2.1778999339657396E-2</v>
      </c>
      <c r="K68" s="110">
        <f t="shared" si="35"/>
        <v>2.2214939415067927E-2</v>
      </c>
      <c r="L68" s="110">
        <f t="shared" si="35"/>
        <v>2.2641494991370657E-2</v>
      </c>
      <c r="M68" s="110">
        <f t="shared" si="35"/>
        <v>2.3058666068565582E-2</v>
      </c>
      <c r="N68" s="110">
        <f t="shared" si="35"/>
        <v>2.4234965566535469E-2</v>
      </c>
      <c r="O68" s="110">
        <f t="shared" si="35"/>
        <v>2.5389652278681327E-2</v>
      </c>
      <c r="P68" s="110">
        <f t="shared" si="35"/>
        <v>2.652272620500316E-2</v>
      </c>
      <c r="Q68" s="110">
        <f t="shared" si="35"/>
        <v>2.7634187345500959E-2</v>
      </c>
      <c r="R68" s="110">
        <f t="shared" si="35"/>
        <v>2.872403570017474E-2</v>
      </c>
      <c r="S68" s="110">
        <f t="shared" si="34"/>
        <v>2.9792271269024489E-2</v>
      </c>
      <c r="T68" s="110">
        <f t="shared" si="34"/>
        <v>3.083889405205021E-2</v>
      </c>
      <c r="U68" s="110">
        <f t="shared" si="34"/>
        <v>3.1863904049251907E-2</v>
      </c>
      <c r="V68" s="110">
        <f t="shared" si="34"/>
        <v>3.2867301260629575E-2</v>
      </c>
      <c r="W68" s="110">
        <f t="shared" si="34"/>
        <v>3.3849085686183208E-2</v>
      </c>
      <c r="X68" s="110">
        <f t="shared" si="34"/>
        <v>3.5551586124037492E-2</v>
      </c>
      <c r="Y68" s="110">
        <f t="shared" si="34"/>
        <v>3.7219641184484745E-2</v>
      </c>
      <c r="Z68" s="110">
        <f t="shared" si="34"/>
        <v>3.885325086752494E-2</v>
      </c>
      <c r="AA68" s="110">
        <f t="shared" si="34"/>
        <v>4.0452415173158091E-2</v>
      </c>
      <c r="AB68" s="110">
        <f t="shared" si="34"/>
        <v>4.2017134101384211E-2</v>
      </c>
      <c r="AC68" s="110">
        <f t="shared" si="34"/>
        <v>4.3547407652203274E-2</v>
      </c>
      <c r="AD68" s="110">
        <f t="shared" si="34"/>
        <v>4.5043235825615299E-2</v>
      </c>
      <c r="AE68" s="110">
        <f t="shared" si="34"/>
        <v>4.6504618621620274E-2</v>
      </c>
      <c r="AF68" s="110">
        <f t="shared" si="34"/>
        <v>4.7931556040218204E-2</v>
      </c>
      <c r="AG68" s="110">
        <f t="shared" si="34"/>
        <v>4.9324048081409118E-2</v>
      </c>
      <c r="AI68" s="133"/>
      <c r="AJ68" s="211"/>
      <c r="AL68" s="108"/>
      <c r="AM68" s="2"/>
      <c r="AN68" s="2"/>
      <c r="AO68" s="2"/>
      <c r="BC68" s="1"/>
      <c r="BD68" s="2"/>
      <c r="BE68" s="2"/>
      <c r="BF68" s="2"/>
      <c r="BG68" s="2"/>
      <c r="BH68" s="2"/>
      <c r="BI68" s="2"/>
      <c r="BJ68" s="2"/>
      <c r="BK68" s="2"/>
    </row>
    <row r="69" spans="1:63" outlineLevel="1" x14ac:dyDescent="0.2">
      <c r="A69" t="s">
        <v>1559</v>
      </c>
      <c r="C69" s="110">
        <f t="shared" si="35"/>
        <v>1.4533096962014838E-2</v>
      </c>
      <c r="D69" s="110">
        <f t="shared" si="34"/>
        <v>1.4927919453308522E-2</v>
      </c>
      <c r="E69" s="110">
        <f t="shared" si="34"/>
        <v>1.5315355624551712E-2</v>
      </c>
      <c r="F69" s="110">
        <f t="shared" si="34"/>
        <v>1.5695405475744405E-2</v>
      </c>
      <c r="G69" s="110">
        <f t="shared" si="34"/>
        <v>1.6068069006886607E-2</v>
      </c>
      <c r="H69" s="110">
        <f t="shared" si="34"/>
        <v>1.643334621797831E-2</v>
      </c>
      <c r="I69" s="110">
        <f t="shared" si="34"/>
        <v>1.6791237109019523E-2</v>
      </c>
      <c r="J69" s="110">
        <f t="shared" si="34"/>
        <v>1.7141741680010238E-2</v>
      </c>
      <c r="K69" s="110">
        <f t="shared" si="34"/>
        <v>1.7484859930950461E-2</v>
      </c>
      <c r="L69" s="110">
        <f t="shared" si="34"/>
        <v>1.782059186184019E-2</v>
      </c>
      <c r="M69" s="110">
        <f t="shared" si="34"/>
        <v>1.814893747267942E-2</v>
      </c>
      <c r="N69" s="110">
        <f t="shared" si="34"/>
        <v>1.9074775332264145E-2</v>
      </c>
      <c r="O69" s="110">
        <f t="shared" si="34"/>
        <v>1.9983602272944698E-2</v>
      </c>
      <c r="P69" s="110">
        <f t="shared" si="34"/>
        <v>2.0875418294721084E-2</v>
      </c>
      <c r="Q69" s="110">
        <f t="shared" si="34"/>
        <v>2.1750223397593301E-2</v>
      </c>
      <c r="R69" s="110">
        <f t="shared" si="34"/>
        <v>2.2608017581561349E-2</v>
      </c>
      <c r="S69" s="110">
        <f t="shared" si="34"/>
        <v>2.3448800846625227E-2</v>
      </c>
      <c r="T69" s="110">
        <f t="shared" si="34"/>
        <v>2.4272573192784936E-2</v>
      </c>
      <c r="U69" s="110">
        <f t="shared" si="34"/>
        <v>2.5079334620040476E-2</v>
      </c>
      <c r="V69" s="110">
        <f t="shared" si="34"/>
        <v>2.5869085128391849E-2</v>
      </c>
      <c r="W69" s="110">
        <f t="shared" si="34"/>
        <v>2.6641824717839047E-2</v>
      </c>
      <c r="X69" s="110">
        <f t="shared" si="34"/>
        <v>2.7981823046534605E-2</v>
      </c>
      <c r="Y69" s="110">
        <f t="shared" si="34"/>
        <v>2.929471022322664E-2</v>
      </c>
      <c r="Z69" s="110">
        <f t="shared" si="34"/>
        <v>3.0580486247915154E-2</v>
      </c>
      <c r="AA69" s="110">
        <f t="shared" si="34"/>
        <v>3.1839151120600144E-2</v>
      </c>
      <c r="AB69" s="110">
        <f t="shared" si="34"/>
        <v>3.3070704841281627E-2</v>
      </c>
      <c r="AC69" s="110">
        <f t="shared" si="34"/>
        <v>3.4275147409959579E-2</v>
      </c>
      <c r="AD69" s="110">
        <f t="shared" si="34"/>
        <v>3.5452478826634021E-2</v>
      </c>
      <c r="AE69" s="110">
        <f t="shared" si="34"/>
        <v>3.6602699091304938E-2</v>
      </c>
      <c r="AF69" s="110">
        <f t="shared" si="34"/>
        <v>3.7725808203972332E-2</v>
      </c>
      <c r="AG69" s="110">
        <f t="shared" si="34"/>
        <v>3.8821806164636229E-2</v>
      </c>
      <c r="AI69" s="133"/>
      <c r="AJ69" s="211"/>
      <c r="AL69" s="108"/>
      <c r="AM69" s="2"/>
      <c r="AN69" s="2"/>
      <c r="AO69" s="2"/>
      <c r="BC69" s="1"/>
      <c r="BD69" s="2"/>
      <c r="BE69" s="2"/>
      <c r="BF69" s="2"/>
      <c r="BG69" s="2"/>
      <c r="BH69" s="2"/>
      <c r="BI69" s="2"/>
      <c r="BJ69" s="2"/>
      <c r="BK69" s="2"/>
    </row>
    <row r="70" spans="1:63" outlineLevel="1" x14ac:dyDescent="0.2">
      <c r="A70" t="s">
        <v>1560</v>
      </c>
      <c r="B70" s="54" t="s">
        <v>462</v>
      </c>
      <c r="C70" s="110">
        <f t="shared" si="35"/>
        <v>8.5488805658910802E-2</v>
      </c>
      <c r="D70" s="110">
        <f t="shared" si="34"/>
        <v>8.8109248425611367E-2</v>
      </c>
      <c r="E70" s="110">
        <f t="shared" si="34"/>
        <v>9.0701708508219264E-2</v>
      </c>
      <c r="F70" s="110">
        <f t="shared" si="34"/>
        <v>9.3265743619454181E-2</v>
      </c>
      <c r="G70" s="110">
        <f t="shared" si="34"/>
        <v>9.5800911472035719E-2</v>
      </c>
      <c r="H70" s="110">
        <f t="shared" si="34"/>
        <v>9.8306769778683481E-2</v>
      </c>
      <c r="I70" s="110">
        <f t="shared" si="34"/>
        <v>0.10078287625211711</v>
      </c>
      <c r="J70" s="110">
        <f t="shared" si="34"/>
        <v>0.10322878860505626</v>
      </c>
      <c r="K70" s="110">
        <f t="shared" si="34"/>
        <v>0.10564406455022053</v>
      </c>
      <c r="L70" s="110">
        <f t="shared" si="34"/>
        <v>0.10802826180032954</v>
      </c>
      <c r="M70" s="110">
        <f t="shared" si="34"/>
        <v>0.11038093806810291</v>
      </c>
      <c r="N70" s="110">
        <f t="shared" si="34"/>
        <v>0.11639256576226122</v>
      </c>
      <c r="O70" s="110">
        <f t="shared" si="34"/>
        <v>0.12233701380592163</v>
      </c>
      <c r="P70" s="110">
        <f t="shared" si="34"/>
        <v>0.12821326359807483</v>
      </c>
      <c r="Q70" s="110">
        <f t="shared" si="34"/>
        <v>0.1340202965377115</v>
      </c>
      <c r="R70" s="110">
        <f t="shared" si="34"/>
        <v>0.13975709402382222</v>
      </c>
      <c r="S70" s="110">
        <f t="shared" si="34"/>
        <v>0.14542263745539774</v>
      </c>
      <c r="T70" s="110">
        <f t="shared" si="34"/>
        <v>0.15101590823142869</v>
      </c>
      <c r="U70" s="110">
        <f t="shared" si="34"/>
        <v>0.15653588775090563</v>
      </c>
      <c r="V70" s="110">
        <f t="shared" si="34"/>
        <v>0.1619815574128193</v>
      </c>
      <c r="W70" s="110">
        <f t="shared" si="34"/>
        <v>0.16735189861616034</v>
      </c>
      <c r="X70" s="110">
        <f t="shared" si="34"/>
        <v>0.17632767249091721</v>
      </c>
      <c r="Y70" s="110">
        <f t="shared" si="34"/>
        <v>0.18518555616196883</v>
      </c>
      <c r="Z70" s="110">
        <f t="shared" si="34"/>
        <v>0.19392392623395652</v>
      </c>
      <c r="AA70" s="110">
        <f t="shared" si="34"/>
        <v>0.20254115931152164</v>
      </c>
      <c r="AB70" s="110">
        <f t="shared" si="34"/>
        <v>0.21103563199930558</v>
      </c>
      <c r="AC70" s="110">
        <f t="shared" si="34"/>
        <v>0.2194057209019496</v>
      </c>
      <c r="AD70" s="110">
        <f t="shared" si="34"/>
        <v>0.22764980262409518</v>
      </c>
      <c r="AE70" s="110">
        <f t="shared" si="34"/>
        <v>0.2357662537703836</v>
      </c>
      <c r="AF70" s="110">
        <f t="shared" si="34"/>
        <v>0.24375345094545625</v>
      </c>
      <c r="AG70" s="110">
        <f t="shared" si="34"/>
        <v>0.25160977075395458</v>
      </c>
      <c r="AH70" s="245"/>
      <c r="AI70" s="133"/>
      <c r="AJ70" s="211"/>
      <c r="AL70" s="108"/>
      <c r="AM70" s="2"/>
      <c r="AN70" s="2"/>
      <c r="AO70" s="2"/>
      <c r="BC70" s="1"/>
      <c r="BD70" s="2"/>
      <c r="BE70" s="2"/>
      <c r="BF70" s="2"/>
      <c r="BG70" s="2"/>
      <c r="BH70" s="2"/>
      <c r="BI70" s="2"/>
      <c r="BJ70" s="2"/>
      <c r="BK70" s="2"/>
    </row>
    <row r="71" spans="1:63" outlineLevel="1" x14ac:dyDescent="0.2">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x14ac:dyDescent="0.2">
      <c r="A72" s="1" t="s">
        <v>228</v>
      </c>
      <c r="B72" s="65"/>
      <c r="C72" s="300">
        <f>C42*C64</f>
        <v>0.14161054646771426</v>
      </c>
      <c r="D72" s="300">
        <f t="shared" ref="D72:AG72" si="36">D42*D64</f>
        <v>0.1548976940133977</v>
      </c>
      <c r="E72" s="300">
        <f t="shared" si="36"/>
        <v>0.16829228522321318</v>
      </c>
      <c r="F72" s="300">
        <f t="shared" si="36"/>
        <v>0.18170200235103276</v>
      </c>
      <c r="G72" s="300">
        <f t="shared" si="36"/>
        <v>0.19503107251327872</v>
      </c>
      <c r="H72" s="300">
        <f t="shared" si="36"/>
        <v>0.2081814001441252</v>
      </c>
      <c r="I72" s="300">
        <f t="shared" si="36"/>
        <v>0.22153068016829552</v>
      </c>
      <c r="J72" s="300">
        <f t="shared" si="36"/>
        <v>0.23506339874023183</v>
      </c>
      <c r="K72" s="300">
        <f t="shared" si="36"/>
        <v>0.24876329660523017</v>
      </c>
      <c r="L72" s="300">
        <f t="shared" si="36"/>
        <v>0.26261339413009432</v>
      </c>
      <c r="M72" s="300">
        <f t="shared" si="36"/>
        <v>0.27659601914396498</v>
      </c>
      <c r="N72" s="300">
        <f t="shared" si="36"/>
        <v>0.29978805990026336</v>
      </c>
      <c r="O72" s="300">
        <f t="shared" si="36"/>
        <v>0.32261726623980158</v>
      </c>
      <c r="P72" s="300">
        <f t="shared" si="36"/>
        <v>0.34494786271443589</v>
      </c>
      <c r="Q72" s="300">
        <f t="shared" si="36"/>
        <v>0.3666457322627264</v>
      </c>
      <c r="R72" s="300">
        <f t="shared" si="36"/>
        <v>0.38757974777255544</v>
      </c>
      <c r="S72" s="300">
        <f t="shared" si="36"/>
        <v>0.40835748843606207</v>
      </c>
      <c r="T72" s="300">
        <f t="shared" si="36"/>
        <v>0.4289664032638148</v>
      </c>
      <c r="U72" s="300">
        <f t="shared" si="36"/>
        <v>0.44939396573808965</v>
      </c>
      <c r="V72" s="300">
        <f t="shared" si="36"/>
        <v>0.46962768418184314</v>
      </c>
      <c r="W72" s="300">
        <f t="shared" si="36"/>
        <v>0.48965511219725266</v>
      </c>
      <c r="X72" s="300">
        <f t="shared" si="36"/>
        <v>0.52589035329066136</v>
      </c>
      <c r="Y72" s="300">
        <f t="shared" si="36"/>
        <v>0.56179618426132016</v>
      </c>
      <c r="Z72" s="300">
        <f t="shared" si="36"/>
        <v>0.59735193632750527</v>
      </c>
      <c r="AA72" s="300">
        <f t="shared" si="36"/>
        <v>0.63253703618494517</v>
      </c>
      <c r="AB72" s="300">
        <f t="shared" si="36"/>
        <v>0.66733102232963459</v>
      </c>
      <c r="AC72" s="300">
        <f t="shared" si="36"/>
        <v>0.70172019560164411</v>
      </c>
      <c r="AD72" s="300">
        <f t="shared" si="36"/>
        <v>0.73568533960899507</v>
      </c>
      <c r="AE72" s="300">
        <f t="shared" si="36"/>
        <v>0.76920737529029581</v>
      </c>
      <c r="AF72" s="300">
        <f t="shared" si="36"/>
        <v>0.80226737547235794</v>
      </c>
      <c r="AG72" s="300">
        <f t="shared" si="36"/>
        <v>0.83484657944162433</v>
      </c>
      <c r="AH72" s="245"/>
      <c r="AI72" s="423"/>
      <c r="AJ72" s="424"/>
      <c r="AL72" s="221"/>
      <c r="AM72" s="124"/>
      <c r="AN72" s="124"/>
      <c r="AO72" s="124"/>
      <c r="BD72" s="124"/>
      <c r="BE72" s="124"/>
      <c r="BF72" s="124"/>
      <c r="BG72" s="124"/>
      <c r="BH72" s="124"/>
      <c r="BI72" s="124"/>
      <c r="BJ72" s="124"/>
      <c r="BK72" s="124"/>
    </row>
    <row r="73" spans="1:63" outlineLevel="1" x14ac:dyDescent="0.2">
      <c r="A73" s="4" t="s">
        <v>474</v>
      </c>
      <c r="C73" s="230">
        <f>C$72*'Methanol recycling rates'!E33</f>
        <v>0.14161054646771426</v>
      </c>
      <c r="D73" s="230">
        <f>D$72*'Methanol recycling rates'!F33</f>
        <v>0.15311133276945518</v>
      </c>
      <c r="E73" s="230">
        <f>E$72*'Methanol recycling rates'!G33</f>
        <v>0.16441061586858396</v>
      </c>
      <c r="F73" s="230">
        <f>F$72*'Methanol recycling rates'!H33</f>
        <v>0.17541555469897352</v>
      </c>
      <c r="G73" s="230">
        <f>G$72*'Methanol recycling rates'!I33</f>
        <v>0.1860342710690395</v>
      </c>
      <c r="H73" s="230">
        <f>H$72*'Methanol recycling rates'!J33</f>
        <v>0.19617711604887617</v>
      </c>
      <c r="I73" s="230">
        <f>I$72*'Methanol recycling rates'!K33</f>
        <v>0.20620183396755187</v>
      </c>
      <c r="J73" s="230">
        <f>J$72*'Methanol recycling rates'!L33</f>
        <v>0.21608728010673897</v>
      </c>
      <c r="K73" s="230">
        <f>K$72*'Methanol recycling rates'!M33</f>
        <v>0.22581234876568251</v>
      </c>
      <c r="L73" s="230">
        <f>L$72*'Methanol recycling rates'!N33</f>
        <v>0.23535603867609606</v>
      </c>
      <c r="M73" s="230">
        <f>M$72*'Methanol recycling rates'!O33</f>
        <v>0.24469751917114888</v>
      </c>
      <c r="N73" s="230">
        <f>N$72*'Methanol recycling rates'!P33</f>
        <v>0.26175761971102113</v>
      </c>
      <c r="O73" s="230">
        <f>O$72*'Methanol recycling rates'!Q33</f>
        <v>0.27797017309552624</v>
      </c>
      <c r="P73" s="230">
        <f>P$72*'Methanol recycling rates'!R33</f>
        <v>0.29323231290097312</v>
      </c>
      <c r="Q73" s="230">
        <f>Q$72*'Methanol recycling rates'!S33</f>
        <v>0.30744882666901385</v>
      </c>
      <c r="R73" s="230">
        <f>R$72*'Methanol recycling rates'!T33</f>
        <v>0.32053316149819538</v>
      </c>
      <c r="S73" s="230">
        <f>S$72*'Methanol recycling rates'!U33</f>
        <v>0.33300721333613248</v>
      </c>
      <c r="T73" s="230">
        <f>T$72*'Methanol recycling rates'!V33</f>
        <v>0.34486629858104562</v>
      </c>
      <c r="U73" s="230">
        <f>U$72*'Methanol recycling rates'!W33</f>
        <v>0.35610633200119862</v>
      </c>
      <c r="V73" s="230">
        <f>V$72*'Methanol recycling rates'!X33</f>
        <v>0.36672383342074072</v>
      </c>
      <c r="W73" s="230">
        <f>W$72*'Methanol recycling rates'!Y33</f>
        <v>0.37671593374158818</v>
      </c>
      <c r="X73" s="230">
        <f>X$72*'Methanol recycling rates'!Z33</f>
        <v>0.39852865701125167</v>
      </c>
      <c r="Y73" s="230">
        <f>Y$72*'Methanol recycling rates'!AA33</f>
        <v>0.41925977910093665</v>
      </c>
      <c r="Z73" s="230">
        <f>Z$72*'Methanol recycling rates'!AB33</f>
        <v>0.43890551037222147</v>
      </c>
      <c r="AA73" s="230">
        <f>AA$72*'Methanol recycling rates'!AC33</f>
        <v>0.45746308369065047</v>
      </c>
      <c r="AB73" s="230">
        <f>AB$72*'Methanol recycling rates'!AD33</f>
        <v>0.47493076053698724</v>
      </c>
      <c r="AC73" s="230">
        <f>AC$72*'Methanol recycling rates'!AE33</f>
        <v>0.49131248096801494</v>
      </c>
      <c r="AD73" s="230">
        <f>AD$72*'Methanol recycling rates'!AF33</f>
        <v>0.50660901769735689</v>
      </c>
      <c r="AE73" s="230">
        <f>AE$72*'Methanol recycling rates'!AG33</f>
        <v>0.52082212287765695</v>
      </c>
      <c r="AF73" s="230">
        <f>AF$72*'Methanol recycling rates'!AH33</f>
        <v>0.5339545298706595</v>
      </c>
      <c r="AG73" s="230">
        <f>AG$72*'Methanol recycling rates'!AI33</f>
        <v>0.54600995401900554</v>
      </c>
      <c r="AH73" s="245"/>
      <c r="AI73" s="133"/>
      <c r="AJ73" s="211"/>
      <c r="AL73" s="108"/>
      <c r="AM73" s="2"/>
      <c r="AN73" s="2"/>
      <c r="AO73" s="2"/>
      <c r="BC73" s="1"/>
      <c r="BD73" s="2"/>
      <c r="BE73" s="2"/>
      <c r="BF73" s="2"/>
      <c r="BG73" s="2"/>
      <c r="BH73" s="2"/>
      <c r="BI73" s="2"/>
      <c r="BJ73" s="2"/>
      <c r="BK73" s="2"/>
    </row>
    <row r="74" spans="1:63" outlineLevel="1" x14ac:dyDescent="0.2">
      <c r="A74" s="4" t="s">
        <v>745</v>
      </c>
      <c r="C74" s="230">
        <f>C$72*'Methanol recycling rates'!E34</f>
        <v>0</v>
      </c>
      <c r="D74" s="230">
        <f>D$72*'Methanol recycling rates'!F34</f>
        <v>1.0576748023786566E-3</v>
      </c>
      <c r="E74" s="230">
        <f>E$72*'Methanol recycling rates'!G34</f>
        <v>2.29827190971505E-3</v>
      </c>
      <c r="F74" s="230">
        <f>F$72*'Methanol recycling rates'!H34</f>
        <v>3.7221011710828738E-3</v>
      </c>
      <c r="G74" s="230">
        <f>G$72*'Methanol recycling rates'!I34</f>
        <v>5.3268566040844375E-3</v>
      </c>
      <c r="H74" s="230">
        <f>H$72*'Methanol recycling rates'!J34</f>
        <v>7.1075370959784818E-3</v>
      </c>
      <c r="I74" s="230">
        <f>I$72*'Methanol recycling rates'!K34</f>
        <v>9.0759550628640804E-3</v>
      </c>
      <c r="J74" s="230">
        <f>J$72*'Methanol recycling rates'!L34</f>
        <v>1.1235444450920496E-2</v>
      </c>
      <c r="K74" s="230">
        <f>K$72*'Methanol recycling rates'!M34</f>
        <v>1.3588874760304305E-2</v>
      </c>
      <c r="L74" s="230">
        <f>L$72*'Methanol recycling rates'!N34</f>
        <v>1.6138627134310992E-2</v>
      </c>
      <c r="M74" s="230">
        <f>M$72*'Methanol recycling rates'!O34</f>
        <v>1.8886571665909534E-2</v>
      </c>
      <c r="N74" s="230">
        <f>N$72*'Methanol recycling rates'!P34</f>
        <v>2.2517191552339905E-2</v>
      </c>
      <c r="O74" s="230">
        <f>O$72*'Methanol recycling rates'!Q34</f>
        <v>2.6434801795146984E-2</v>
      </c>
      <c r="P74" s="230">
        <f>P$72*'Methanol recycling rates'!R34</f>
        <v>3.0619917507915671E-2</v>
      </c>
      <c r="Q74" s="230">
        <f>Q$72*'Methanol recycling rates'!S34</f>
        <v>3.5049503921767956E-2</v>
      </c>
      <c r="R74" s="230">
        <f>R$72*'Methanol recycling rates'!T34</f>
        <v>3.9697169387413571E-2</v>
      </c>
      <c r="S74" s="230">
        <f>S$72*'Methanol recycling rates'!U34</f>
        <v>4.4613645529839721E-2</v>
      </c>
      <c r="T74" s="230">
        <f>T$72*'Methanol recycling rates'!V34</f>
        <v>4.9794274199577312E-2</v>
      </c>
      <c r="U74" s="230">
        <f>U$72*'Methanol recycling rates'!W34</f>
        <v>5.5234057451491132E-2</v>
      </c>
      <c r="V74" s="230">
        <f>V$72*'Methanol recycling rates'!X34</f>
        <v>6.0927659725500315E-2</v>
      </c>
      <c r="W74" s="230">
        <f>W$72*'Methanol recycling rates'!Y34</f>
        <v>6.68694104616087E-2</v>
      </c>
      <c r="X74" s="230">
        <f>X$72*'Methanol recycling rates'!Z34</f>
        <v>7.5408743556053703E-2</v>
      </c>
      <c r="Y74" s="230">
        <f>Y$72*'Methanol recycling rates'!AA34</f>
        <v>8.4393436473716457E-2</v>
      </c>
      <c r="Z74" s="230">
        <f>Z$72*'Methanol recycling rates'!AB34</f>
        <v>9.3813495354386989E-2</v>
      </c>
      <c r="AA74" s="230">
        <f>AA$72*'Methanol recycling rates'!AC34</f>
        <v>0.10365837746086423</v>
      </c>
      <c r="AB74" s="230">
        <f>AB$72*'Methanol recycling rates'!AD34</f>
        <v>0.11391699722505132</v>
      </c>
      <c r="AC74" s="230">
        <f>AC$72*'Methanol recycling rates'!AE34</f>
        <v>0.12457891075990475</v>
      </c>
      <c r="AD74" s="230">
        <f>AD$72*'Methanol recycling rates'!AF34</f>
        <v>0.13563228284822587</v>
      </c>
      <c r="AE74" s="230">
        <f>AE$72*'Methanol recycling rates'!AG34</f>
        <v>0.14706477967440876</v>
      </c>
      <c r="AF74" s="230">
        <f>AF$72*'Methanol recycling rates'!AH34</f>
        <v>0.15886357639572804</v>
      </c>
      <c r="AG74" s="230">
        <f>AG$72*'Methanol recycling rates'!AI34</f>
        <v>0.17101536531287101</v>
      </c>
      <c r="AH74" s="245"/>
      <c r="AI74" s="133"/>
      <c r="AJ74" s="211"/>
      <c r="AL74" s="108"/>
      <c r="AM74" s="2"/>
      <c r="AN74" s="2"/>
      <c r="AO74" s="2"/>
      <c r="BC74" s="1"/>
      <c r="BD74" s="2"/>
      <c r="BE74" s="2"/>
      <c r="BF74" s="2"/>
      <c r="BG74" s="2"/>
      <c r="BH74" s="2"/>
      <c r="BI74" s="2"/>
      <c r="BJ74" s="2"/>
      <c r="BK74" s="2"/>
    </row>
    <row r="75" spans="1:63" outlineLevel="1" x14ac:dyDescent="0.2">
      <c r="A75" s="4" t="s">
        <v>1561</v>
      </c>
      <c r="C75" s="230">
        <f>C$72*'Methanol recycling rates'!E35</f>
        <v>0</v>
      </c>
      <c r="D75" s="230">
        <f>D$72*'Methanol recycling rates'!F35</f>
        <v>7.2868644156387225E-4</v>
      </c>
      <c r="E75" s="230">
        <f>E$72*'Methanol recycling rates'!G35</f>
        <v>1.5833974449141702E-3</v>
      </c>
      <c r="F75" s="230">
        <f>F$72*'Methanol recycling rates'!H35</f>
        <v>2.5643464809763849E-3</v>
      </c>
      <c r="G75" s="230">
        <f>G$72*'Methanol recycling rates'!I35</f>
        <v>3.669944840154803E-3</v>
      </c>
      <c r="H75" s="230">
        <f>H$72*'Methanol recycling rates'!J35</f>
        <v>4.8967469992705686E-3</v>
      </c>
      <c r="I75" s="230">
        <f>I$72*'Methanol recycling rates'!K35</f>
        <v>6.2528911378795793E-3</v>
      </c>
      <c r="J75" s="230">
        <f>J$72*'Methanol recycling rates'!L35</f>
        <v>7.7406741825723794E-3</v>
      </c>
      <c r="K75" s="230">
        <f>K$72*'Methanol recycling rates'!M35</f>
        <v>9.3620730792433604E-3</v>
      </c>
      <c r="L75" s="230">
        <f>L$72*'Methanol recycling rates'!N35</f>
        <v>1.1118728319687295E-2</v>
      </c>
      <c r="M75" s="230">
        <f>M$72*'Methanol recycling rates'!O35</f>
        <v>1.3011928306906593E-2</v>
      </c>
      <c r="N75" s="230">
        <f>N$72*'Methanol recycling rates'!P35</f>
        <v>1.5513248636902349E-2</v>
      </c>
      <c r="O75" s="230">
        <f>O$72*'Methanol recycling rates'!Q35</f>
        <v>1.8212291349128426E-2</v>
      </c>
      <c r="P75" s="230">
        <f>P$72*'Methanol recycling rates'!R35</f>
        <v>2.1095632305547157E-2</v>
      </c>
      <c r="Q75" s="230">
        <f>Q$72*'Methanol recycling rates'!S35</f>
        <v>2.4147401671944641E-2</v>
      </c>
      <c r="R75" s="230">
        <f>R$72*'Methanol recycling rates'!T35</f>
        <v>2.7349416886946552E-2</v>
      </c>
      <c r="S75" s="230">
        <f>S$72*'Methanol recycling rates'!U35</f>
        <v>3.0736629570089966E-2</v>
      </c>
      <c r="T75" s="230">
        <f>T$72*'Methanol recycling rates'!V35</f>
        <v>3.4305830483191954E-2</v>
      </c>
      <c r="U75" s="230">
        <f>U$72*'Methanol recycling rates'!W35</f>
        <v>3.8053576285400001E-2</v>
      </c>
      <c r="V75" s="230">
        <f>V$72*'Methanol recycling rates'!X35</f>
        <v>4.1976191035602205E-2</v>
      </c>
      <c r="W75" s="230">
        <f>W$72*'Methanol recycling rates'!Y35</f>
        <v>4.6069767994055905E-2</v>
      </c>
      <c r="X75" s="230">
        <f>X$72*'Methanol recycling rates'!Z35</f>
        <v>5.1952952723356129E-2</v>
      </c>
      <c r="Y75" s="230">
        <f>Y$72*'Methanol recycling rates'!AA35</f>
        <v>5.8142968686667233E-2</v>
      </c>
      <c r="Z75" s="230">
        <f>Z$72*'Methanol recycling rates'!AB35</f>
        <v>6.463293060089699E-2</v>
      </c>
      <c r="AA75" s="230">
        <f>AA$72*'Methanol recycling rates'!AC35</f>
        <v>7.1415575033430656E-2</v>
      </c>
      <c r="AB75" s="230">
        <f>AB$72*'Methanol recycling rates'!AD35</f>
        <v>7.8483264567596259E-2</v>
      </c>
      <c r="AC75" s="230">
        <f>AC$72*'Methanol recycling rates'!AE35</f>
        <v>8.5828803873724699E-2</v>
      </c>
      <c r="AD75" s="230">
        <f>AD$72*'Methanol recycling rates'!AF35</f>
        <v>9.3444039063412587E-2</v>
      </c>
      <c r="AE75" s="230">
        <f>AE$72*'Methanol recycling rates'!AG35</f>
        <v>0.10132047273823035</v>
      </c>
      <c r="AF75" s="230">
        <f>AF$72*'Methanol recycling rates'!AH35</f>
        <v>0.10944926920597073</v>
      </c>
      <c r="AG75" s="230">
        <f>AG$72*'Methanol recycling rates'!AI35</f>
        <v>0.11782126010974765</v>
      </c>
      <c r="AH75" s="245"/>
      <c r="AI75" s="133"/>
      <c r="AJ75" s="211"/>
      <c r="AL75" s="108"/>
      <c r="AM75" s="2"/>
      <c r="AN75" s="2"/>
      <c r="AO75" s="2"/>
      <c r="BC75" s="1"/>
      <c r="BD75" s="2"/>
      <c r="BE75" s="2"/>
      <c r="BF75" s="2"/>
      <c r="BG75" s="2"/>
      <c r="BH75" s="2"/>
      <c r="BI75" s="2"/>
      <c r="BJ75" s="2"/>
      <c r="BK75" s="2"/>
    </row>
    <row r="76" spans="1:63" s="1" customFormat="1" outlineLevel="1" x14ac:dyDescent="0.2">
      <c r="A76" s="1" t="s">
        <v>1562</v>
      </c>
      <c r="B76" s="65"/>
      <c r="C76" s="300">
        <f>C72-$C72</f>
        <v>0</v>
      </c>
      <c r="D76" s="300">
        <f t="shared" ref="D76:AG79" si="37">D72-$C72</f>
        <v>1.3287147545683442E-2</v>
      </c>
      <c r="E76" s="300">
        <f t="shared" si="37"/>
        <v>2.6681738755498924E-2</v>
      </c>
      <c r="F76" s="300">
        <f t="shared" si="37"/>
        <v>4.00914558833185E-2</v>
      </c>
      <c r="G76" s="300">
        <f t="shared" si="37"/>
        <v>5.3420526045564465E-2</v>
      </c>
      <c r="H76" s="300">
        <f t="shared" si="37"/>
        <v>6.657085367641094E-2</v>
      </c>
      <c r="I76" s="300">
        <f t="shared" si="37"/>
        <v>7.9920133700581264E-2</v>
      </c>
      <c r="J76" s="300">
        <f t="shared" si="37"/>
        <v>9.3452852272517567E-2</v>
      </c>
      <c r="K76" s="300">
        <f t="shared" si="37"/>
        <v>0.10715275013751591</v>
      </c>
      <c r="L76" s="300">
        <f t="shared" si="37"/>
        <v>0.12100284766238006</v>
      </c>
      <c r="M76" s="300">
        <f t="shared" si="37"/>
        <v>0.13498547267625072</v>
      </c>
      <c r="N76" s="300">
        <f t="shared" si="37"/>
        <v>0.1581775134325491</v>
      </c>
      <c r="O76" s="300">
        <f t="shared" si="37"/>
        <v>0.18100671977208732</v>
      </c>
      <c r="P76" s="300">
        <f t="shared" si="37"/>
        <v>0.20333731624672163</v>
      </c>
      <c r="Q76" s="300">
        <f t="shared" si="37"/>
        <v>0.22503518579501214</v>
      </c>
      <c r="R76" s="300">
        <f t="shared" si="37"/>
        <v>0.24596920130484118</v>
      </c>
      <c r="S76" s="300">
        <f t="shared" si="37"/>
        <v>0.26674694196834781</v>
      </c>
      <c r="T76" s="300">
        <f t="shared" si="37"/>
        <v>0.28735585679610054</v>
      </c>
      <c r="U76" s="300">
        <f t="shared" si="37"/>
        <v>0.30778341927037539</v>
      </c>
      <c r="V76" s="300">
        <f t="shared" si="37"/>
        <v>0.32801713771412888</v>
      </c>
      <c r="W76" s="300">
        <f t="shared" si="37"/>
        <v>0.3480445657295384</v>
      </c>
      <c r="X76" s="300">
        <f t="shared" si="37"/>
        <v>0.3842798068229471</v>
      </c>
      <c r="Y76" s="300">
        <f t="shared" si="37"/>
        <v>0.4201856377936059</v>
      </c>
      <c r="Z76" s="300">
        <f t="shared" si="37"/>
        <v>0.45574138985979101</v>
      </c>
      <c r="AA76" s="300">
        <f t="shared" si="37"/>
        <v>0.49092648971723091</v>
      </c>
      <c r="AB76" s="300">
        <f t="shared" si="37"/>
        <v>0.52572047586192028</v>
      </c>
      <c r="AC76" s="300">
        <f t="shared" si="37"/>
        <v>0.56010964913392991</v>
      </c>
      <c r="AD76" s="300">
        <f t="shared" si="37"/>
        <v>0.59407479314128087</v>
      </c>
      <c r="AE76" s="300">
        <f t="shared" si="37"/>
        <v>0.6275968288225815</v>
      </c>
      <c r="AF76" s="300">
        <f t="shared" si="37"/>
        <v>0.66065682900464373</v>
      </c>
      <c r="AG76" s="300">
        <f t="shared" si="37"/>
        <v>0.69323603297391001</v>
      </c>
      <c r="AH76" s="245"/>
      <c r="AI76" s="423"/>
      <c r="AJ76" s="424"/>
      <c r="AL76" s="221"/>
      <c r="AM76" s="124"/>
      <c r="AN76" s="124"/>
      <c r="AO76" s="124"/>
      <c r="BD76" s="124"/>
      <c r="BE76" s="124"/>
      <c r="BF76" s="124"/>
      <c r="BG76" s="124"/>
      <c r="BH76" s="124"/>
      <c r="BI76" s="124"/>
      <c r="BJ76" s="124"/>
      <c r="BK76" s="124"/>
    </row>
    <row r="77" spans="1:63" outlineLevel="1" x14ac:dyDescent="0.2">
      <c r="A77" s="4" t="s">
        <v>474</v>
      </c>
      <c r="C77" s="230">
        <f t="shared" ref="C77:R79" si="38">C73-$C73</f>
        <v>0</v>
      </c>
      <c r="D77" s="230">
        <f t="shared" si="38"/>
        <v>1.1500786301740923E-2</v>
      </c>
      <c r="E77" s="230">
        <f t="shared" si="38"/>
        <v>2.2800069400869705E-2</v>
      </c>
      <c r="F77" s="230">
        <f t="shared" si="38"/>
        <v>3.3805008231259259E-2</v>
      </c>
      <c r="G77" s="230">
        <f t="shared" si="38"/>
        <v>4.4423724601325237E-2</v>
      </c>
      <c r="H77" s="230">
        <f t="shared" si="38"/>
        <v>5.4566569581161906E-2</v>
      </c>
      <c r="I77" s="230">
        <f t="shared" si="38"/>
        <v>6.4591287499837613E-2</v>
      </c>
      <c r="J77" s="230">
        <f t="shared" si="38"/>
        <v>7.4476733639024711E-2</v>
      </c>
      <c r="K77" s="230">
        <f t="shared" si="38"/>
        <v>8.4201802297968253E-2</v>
      </c>
      <c r="L77" s="230">
        <f t="shared" si="38"/>
        <v>9.3745492208381798E-2</v>
      </c>
      <c r="M77" s="230">
        <f t="shared" si="38"/>
        <v>0.10308697270343462</v>
      </c>
      <c r="N77" s="230">
        <f t="shared" si="38"/>
        <v>0.12014707324330687</v>
      </c>
      <c r="O77" s="230">
        <f t="shared" si="38"/>
        <v>0.13635962662781198</v>
      </c>
      <c r="P77" s="230">
        <f t="shared" si="38"/>
        <v>0.15162176643325886</v>
      </c>
      <c r="Q77" s="230">
        <f t="shared" si="38"/>
        <v>0.16583828020129959</v>
      </c>
      <c r="R77" s="230">
        <f t="shared" si="38"/>
        <v>0.17892261503048112</v>
      </c>
      <c r="S77" s="230">
        <f t="shared" si="37"/>
        <v>0.19139666686841822</v>
      </c>
      <c r="T77" s="230">
        <f t="shared" si="37"/>
        <v>0.20325575211333136</v>
      </c>
      <c r="U77" s="230">
        <f t="shared" si="37"/>
        <v>0.21449578553348436</v>
      </c>
      <c r="V77" s="230">
        <f t="shared" si="37"/>
        <v>0.22511328695302646</v>
      </c>
      <c r="W77" s="230">
        <f t="shared" si="37"/>
        <v>0.23510538727387392</v>
      </c>
      <c r="X77" s="230">
        <f t="shared" si="37"/>
        <v>0.25691811054353741</v>
      </c>
      <c r="Y77" s="230">
        <f t="shared" si="37"/>
        <v>0.27764923263322239</v>
      </c>
      <c r="Z77" s="230">
        <f t="shared" si="37"/>
        <v>0.29729496390450721</v>
      </c>
      <c r="AA77" s="230">
        <f t="shared" si="37"/>
        <v>0.31585253722293621</v>
      </c>
      <c r="AB77" s="230">
        <f t="shared" si="37"/>
        <v>0.33332021406927298</v>
      </c>
      <c r="AC77" s="230">
        <f t="shared" si="37"/>
        <v>0.34970193450030068</v>
      </c>
      <c r="AD77" s="230">
        <f t="shared" si="37"/>
        <v>0.36499847122964263</v>
      </c>
      <c r="AE77" s="230">
        <f t="shared" si="37"/>
        <v>0.37921157640994269</v>
      </c>
      <c r="AF77" s="230">
        <f t="shared" si="37"/>
        <v>0.39234398340294524</v>
      </c>
      <c r="AG77" s="230">
        <f>AG73-$C73</f>
        <v>0.40439940755129128</v>
      </c>
      <c r="AH77" s="245"/>
      <c r="AI77" s="133"/>
      <c r="AJ77" s="211"/>
      <c r="AL77" s="108"/>
      <c r="AM77" s="2"/>
      <c r="AN77" s="2"/>
      <c r="AO77" s="2"/>
      <c r="BC77" s="1"/>
      <c r="BD77" s="2"/>
      <c r="BE77" s="2"/>
      <c r="BF77" s="2"/>
      <c r="BG77" s="2"/>
      <c r="BH77" s="2"/>
      <c r="BI77" s="2"/>
      <c r="BJ77" s="2"/>
      <c r="BK77" s="2"/>
    </row>
    <row r="78" spans="1:63" outlineLevel="1" x14ac:dyDescent="0.2">
      <c r="A78" s="4" t="s">
        <v>745</v>
      </c>
      <c r="C78" s="230">
        <f t="shared" si="38"/>
        <v>0</v>
      </c>
      <c r="D78" s="230">
        <f t="shared" si="37"/>
        <v>1.0576748023786566E-3</v>
      </c>
      <c r="E78" s="230">
        <f t="shared" si="37"/>
        <v>2.29827190971505E-3</v>
      </c>
      <c r="F78" s="230">
        <f t="shared" si="37"/>
        <v>3.7221011710828738E-3</v>
      </c>
      <c r="G78" s="230">
        <f t="shared" si="37"/>
        <v>5.3268566040844375E-3</v>
      </c>
      <c r="H78" s="230">
        <f t="shared" si="37"/>
        <v>7.1075370959784818E-3</v>
      </c>
      <c r="I78" s="230">
        <f t="shared" si="37"/>
        <v>9.0759550628640804E-3</v>
      </c>
      <c r="J78" s="230">
        <f t="shared" si="37"/>
        <v>1.1235444450920496E-2</v>
      </c>
      <c r="K78" s="230">
        <f t="shared" si="37"/>
        <v>1.3588874760304305E-2</v>
      </c>
      <c r="L78" s="230">
        <f t="shared" si="37"/>
        <v>1.6138627134310992E-2</v>
      </c>
      <c r="M78" s="230">
        <f t="shared" si="37"/>
        <v>1.8886571665909534E-2</v>
      </c>
      <c r="N78" s="230">
        <f t="shared" si="37"/>
        <v>2.2517191552339905E-2</v>
      </c>
      <c r="O78" s="230">
        <f t="shared" si="37"/>
        <v>2.6434801795146984E-2</v>
      </c>
      <c r="P78" s="230">
        <f t="shared" si="37"/>
        <v>3.0619917507915671E-2</v>
      </c>
      <c r="Q78" s="230">
        <f t="shared" si="37"/>
        <v>3.5049503921767956E-2</v>
      </c>
      <c r="R78" s="230">
        <f t="shared" si="37"/>
        <v>3.9697169387413571E-2</v>
      </c>
      <c r="S78" s="230">
        <f t="shared" si="37"/>
        <v>4.4613645529839721E-2</v>
      </c>
      <c r="T78" s="230">
        <f t="shared" si="37"/>
        <v>4.9794274199577312E-2</v>
      </c>
      <c r="U78" s="230">
        <f t="shared" si="37"/>
        <v>5.5234057451491132E-2</v>
      </c>
      <c r="V78" s="230">
        <f t="shared" si="37"/>
        <v>6.0927659725500315E-2</v>
      </c>
      <c r="W78" s="230">
        <f t="shared" si="37"/>
        <v>6.68694104616087E-2</v>
      </c>
      <c r="X78" s="230">
        <f t="shared" si="37"/>
        <v>7.5408743556053703E-2</v>
      </c>
      <c r="Y78" s="230">
        <f t="shared" si="37"/>
        <v>8.4393436473716457E-2</v>
      </c>
      <c r="Z78" s="230">
        <f t="shared" si="37"/>
        <v>9.3813495354386989E-2</v>
      </c>
      <c r="AA78" s="230">
        <f t="shared" si="37"/>
        <v>0.10365837746086423</v>
      </c>
      <c r="AB78" s="230">
        <f t="shared" si="37"/>
        <v>0.11391699722505132</v>
      </c>
      <c r="AC78" s="230">
        <f t="shared" si="37"/>
        <v>0.12457891075990475</v>
      </c>
      <c r="AD78" s="230">
        <f t="shared" si="37"/>
        <v>0.13563228284822587</v>
      </c>
      <c r="AE78" s="230">
        <f t="shared" si="37"/>
        <v>0.14706477967440876</v>
      </c>
      <c r="AF78" s="230">
        <f t="shared" si="37"/>
        <v>0.15886357639572804</v>
      </c>
      <c r="AG78" s="230">
        <f t="shared" si="37"/>
        <v>0.17101536531287101</v>
      </c>
      <c r="AH78" s="245"/>
      <c r="AI78" s="133"/>
      <c r="AJ78" s="211"/>
      <c r="AL78" s="108"/>
      <c r="AM78" s="2"/>
      <c r="AN78" s="2"/>
      <c r="AO78" s="2"/>
      <c r="BC78" s="1"/>
      <c r="BD78" s="2"/>
      <c r="BE78" s="2"/>
      <c r="BF78" s="2"/>
      <c r="BG78" s="2"/>
      <c r="BH78" s="2"/>
      <c r="BI78" s="2"/>
      <c r="BJ78" s="2"/>
      <c r="BK78" s="2"/>
    </row>
    <row r="79" spans="1:63" outlineLevel="1" x14ac:dyDescent="0.2">
      <c r="A79" s="4" t="s">
        <v>1561</v>
      </c>
      <c r="C79" s="230">
        <f t="shared" si="38"/>
        <v>0</v>
      </c>
      <c r="D79" s="230">
        <f t="shared" si="37"/>
        <v>7.2868644156387225E-4</v>
      </c>
      <c r="E79" s="230">
        <f t="shared" si="37"/>
        <v>1.5833974449141702E-3</v>
      </c>
      <c r="F79" s="230">
        <f t="shared" si="37"/>
        <v>2.5643464809763849E-3</v>
      </c>
      <c r="G79" s="230">
        <f t="shared" si="37"/>
        <v>3.669944840154803E-3</v>
      </c>
      <c r="H79" s="230">
        <f t="shared" si="37"/>
        <v>4.8967469992705686E-3</v>
      </c>
      <c r="I79" s="230">
        <f t="shared" si="37"/>
        <v>6.2528911378795793E-3</v>
      </c>
      <c r="J79" s="230">
        <f t="shared" si="37"/>
        <v>7.7406741825723794E-3</v>
      </c>
      <c r="K79" s="230">
        <f t="shared" si="37"/>
        <v>9.3620730792433604E-3</v>
      </c>
      <c r="L79" s="230">
        <f t="shared" si="37"/>
        <v>1.1118728319687295E-2</v>
      </c>
      <c r="M79" s="230">
        <f t="shared" si="37"/>
        <v>1.3011928306906593E-2</v>
      </c>
      <c r="N79" s="230">
        <f t="shared" si="37"/>
        <v>1.5513248636902349E-2</v>
      </c>
      <c r="O79" s="230">
        <f t="shared" si="37"/>
        <v>1.8212291349128426E-2</v>
      </c>
      <c r="P79" s="230">
        <f t="shared" si="37"/>
        <v>2.1095632305547157E-2</v>
      </c>
      <c r="Q79" s="230">
        <f t="shared" si="37"/>
        <v>2.4147401671944641E-2</v>
      </c>
      <c r="R79" s="230">
        <f t="shared" si="37"/>
        <v>2.7349416886946552E-2</v>
      </c>
      <c r="S79" s="230">
        <f t="shared" si="37"/>
        <v>3.0736629570089966E-2</v>
      </c>
      <c r="T79" s="230">
        <f t="shared" si="37"/>
        <v>3.4305830483191954E-2</v>
      </c>
      <c r="U79" s="230">
        <f t="shared" si="37"/>
        <v>3.8053576285400001E-2</v>
      </c>
      <c r="V79" s="230">
        <f t="shared" si="37"/>
        <v>4.1976191035602205E-2</v>
      </c>
      <c r="W79" s="230">
        <f t="shared" si="37"/>
        <v>4.6069767994055905E-2</v>
      </c>
      <c r="X79" s="230">
        <f t="shared" si="37"/>
        <v>5.1952952723356129E-2</v>
      </c>
      <c r="Y79" s="230">
        <f t="shared" si="37"/>
        <v>5.8142968686667233E-2</v>
      </c>
      <c r="Z79" s="230">
        <f t="shared" si="37"/>
        <v>6.463293060089699E-2</v>
      </c>
      <c r="AA79" s="230">
        <f t="shared" si="37"/>
        <v>7.1415575033430656E-2</v>
      </c>
      <c r="AB79" s="230">
        <f t="shared" si="37"/>
        <v>7.8483264567596259E-2</v>
      </c>
      <c r="AC79" s="230">
        <f t="shared" si="37"/>
        <v>8.5828803873724699E-2</v>
      </c>
      <c r="AD79" s="230">
        <f t="shared" si="37"/>
        <v>9.3444039063412587E-2</v>
      </c>
      <c r="AE79" s="230">
        <f t="shared" si="37"/>
        <v>0.10132047273823035</v>
      </c>
      <c r="AF79" s="230">
        <f t="shared" si="37"/>
        <v>0.10944926920597073</v>
      </c>
      <c r="AG79" s="230">
        <f t="shared" si="37"/>
        <v>0.11782126010974765</v>
      </c>
      <c r="AH79" s="245"/>
      <c r="AI79" s="133"/>
      <c r="AJ79" s="211"/>
      <c r="AL79" s="108"/>
      <c r="AM79" s="2"/>
      <c r="AN79" s="2"/>
      <c r="AO79" s="2"/>
      <c r="BC79" s="1"/>
      <c r="BD79" s="2"/>
      <c r="BE79" s="2"/>
      <c r="BF79" s="2"/>
      <c r="BG79" s="2"/>
      <c r="BH79" s="2"/>
      <c r="BI79" s="2"/>
      <c r="BJ79" s="2"/>
      <c r="BK79" s="2"/>
    </row>
    <row r="80" spans="1:63" s="1" customFormat="1" outlineLevel="1" x14ac:dyDescent="0.2">
      <c r="A80" s="1" t="s">
        <v>1563</v>
      </c>
      <c r="B80" s="65"/>
      <c r="C80" s="300">
        <f>C42*C67</f>
        <v>3.2916733560927877E-2</v>
      </c>
      <c r="D80" s="300">
        <f t="shared" ref="D80:AG80" si="39">D42*D67</f>
        <v>3.4223920105712395E-2</v>
      </c>
      <c r="E80" s="300">
        <f t="shared" si="39"/>
        <v>3.5434891497803975E-2</v>
      </c>
      <c r="F80" s="300">
        <f t="shared" si="39"/>
        <v>3.6538117433801462E-2</v>
      </c>
      <c r="G80" s="300">
        <f t="shared" si="39"/>
        <v>3.7522953380222754E-2</v>
      </c>
      <c r="H80" s="300">
        <f t="shared" si="39"/>
        <v>3.8379803960548818E-2</v>
      </c>
      <c r="I80" s="300">
        <f t="shared" si="39"/>
        <v>3.9184628859610458E-2</v>
      </c>
      <c r="J80" s="300">
        <f t="shared" si="39"/>
        <v>3.9934554413304194E-2</v>
      </c>
      <c r="K80" s="300">
        <f t="shared" si="39"/>
        <v>4.0626799978307593E-2</v>
      </c>
      <c r="L80" s="300">
        <f t="shared" si="39"/>
        <v>4.1258688934252163E-2</v>
      </c>
      <c r="M80" s="300">
        <f t="shared" si="39"/>
        <v>4.1827659532715021E-2</v>
      </c>
      <c r="N80" s="300">
        <f t="shared" si="39"/>
        <v>4.3549039042272322E-2</v>
      </c>
      <c r="O80" s="300">
        <f t="shared" si="39"/>
        <v>4.5084150445769161E-2</v>
      </c>
      <c r="P80" s="300">
        <f t="shared" si="39"/>
        <v>4.6422293254516842E-2</v>
      </c>
      <c r="Q80" s="300">
        <f t="shared" si="39"/>
        <v>4.755453689634509E-2</v>
      </c>
      <c r="R80" s="300">
        <f t="shared" si="39"/>
        <v>4.8473824107538033E-2</v>
      </c>
      <c r="S80" s="300">
        <f t="shared" si="39"/>
        <v>4.9263646942676043E-2</v>
      </c>
      <c r="T80" s="300">
        <f t="shared" si="39"/>
        <v>4.9924177921976759E-2</v>
      </c>
      <c r="U80" s="300">
        <f t="shared" si="39"/>
        <v>5.0455728324781061E-2</v>
      </c>
      <c r="V80" s="300">
        <f t="shared" si="39"/>
        <v>5.0858748714050203E-2</v>
      </c>
      <c r="W80" s="300">
        <f t="shared" si="39"/>
        <v>5.1133829297601727E-2</v>
      </c>
      <c r="X80" s="300">
        <f t="shared" si="39"/>
        <v>5.2375498979812064E-2</v>
      </c>
      <c r="Y80" s="300">
        <f t="shared" si="39"/>
        <v>5.3416473765156416E-2</v>
      </c>
      <c r="Z80" s="300">
        <f t="shared" si="39"/>
        <v>5.4257843292938084E-2</v>
      </c>
      <c r="AA80" s="300">
        <f t="shared" si="39"/>
        <v>5.4900905143711758E-2</v>
      </c>
      <c r="AB80" s="300">
        <f t="shared" si="39"/>
        <v>5.5347164645558354E-2</v>
      </c>
      <c r="AC80" s="300">
        <f t="shared" si="39"/>
        <v>5.5598860084605739E-2</v>
      </c>
      <c r="AD80" s="300">
        <f t="shared" si="39"/>
        <v>5.5657913114874294E-2</v>
      </c>
      <c r="AE80" s="300">
        <f t="shared" si="39"/>
        <v>5.5526440307224756E-2</v>
      </c>
      <c r="AF80" s="300">
        <f t="shared" si="39"/>
        <v>5.5206752199673949E-2</v>
      </c>
      <c r="AG80" s="300">
        <f t="shared" si="39"/>
        <v>5.4701352135550219E-2</v>
      </c>
      <c r="AH80" s="245"/>
      <c r="AI80" s="423"/>
      <c r="AJ80" s="424"/>
      <c r="AL80" s="221"/>
      <c r="AM80" s="124"/>
      <c r="AN80" s="124"/>
      <c r="AO80" s="124"/>
      <c r="BD80" s="124"/>
      <c r="BE80" s="124"/>
      <c r="BF80" s="124"/>
      <c r="BG80" s="124"/>
      <c r="BH80" s="124"/>
      <c r="BI80" s="124"/>
      <c r="BJ80" s="124"/>
      <c r="BK80" s="124"/>
    </row>
    <row r="81" spans="1:63" outlineLevel="1" x14ac:dyDescent="0.2">
      <c r="A81" s="4" t="s">
        <v>474</v>
      </c>
      <c r="C81" s="230">
        <f>C$80*'Methanol recycling rates'!E36</f>
        <v>3.2916733560927877E-2</v>
      </c>
      <c r="D81" s="230">
        <f>D$80*'Methanol recycling rates'!F36</f>
        <v>3.3829231954400456E-2</v>
      </c>
      <c r="E81" s="230">
        <f>E$80*'Methanol recycling rates'!G36</f>
        <v>3.4617584083924582E-2</v>
      </c>
      <c r="F81" s="230">
        <f>F$80*'Methanol recycling rates'!H36</f>
        <v>3.5273987377003102E-2</v>
      </c>
      <c r="G81" s="230">
        <f>G$80*'Methanol recycling rates'!I36</f>
        <v>3.5792016064373634E-2</v>
      </c>
      <c r="H81" s="230">
        <f>H$80*'Methanol recycling rates'!J36</f>
        <v>3.6166724069917708E-2</v>
      </c>
      <c r="I81" s="230">
        <f>I$80*'Methanol recycling rates'!K36</f>
        <v>3.6473243020114662E-2</v>
      </c>
      <c r="J81" s="230">
        <f>J$80*'Methanol recycling rates'!L36</f>
        <v>3.6710731197168438E-2</v>
      </c>
      <c r="K81" s="230">
        <f>K$80*'Methanol recycling rates'!M36</f>
        <v>3.6878563884340874E-2</v>
      </c>
      <c r="L81" s="230">
        <f>L$80*'Methanol recycling rates'!N36</f>
        <v>3.697633786235769E-2</v>
      </c>
      <c r="M81" s="230">
        <f>M$80*'Methanol recycling rates'!O36</f>
        <v>3.7003875009002062E-2</v>
      </c>
      <c r="N81" s="230">
        <f>N$80*'Methanol recycling rates'!P36</f>
        <v>3.8024505726478794E-2</v>
      </c>
      <c r="O81" s="230">
        <f>O$80*'Methanol recycling rates'!Q36</f>
        <v>3.8844942334735802E-2</v>
      </c>
      <c r="P81" s="230">
        <f>P$80*'Methanol recycling rates'!R36</f>
        <v>3.9462533016064227E-2</v>
      </c>
      <c r="Q81" s="230">
        <f>Q$80*'Methanol recycling rates'!S36</f>
        <v>3.9876603721362806E-2</v>
      </c>
      <c r="R81" s="230">
        <f>R$80*'Methanol recycling rates'!T36</f>
        <v>4.0088441618509191E-2</v>
      </c>
      <c r="S81" s="230">
        <f>S$80*'Methanol recycling rates'!U36</f>
        <v>4.0173500552137524E-2</v>
      </c>
      <c r="T81" s="230">
        <f>T$80*'Methanol recycling rates'!V36</f>
        <v>4.0136398372124044E-2</v>
      </c>
      <c r="U81" s="230">
        <f>U$80*'Methanol recycling rates'!W36</f>
        <v>3.9981854924724176E-2</v>
      </c>
      <c r="V81" s="230">
        <f>V$80*'Methanol recycling rates'!X36</f>
        <v>3.9714684460928878E-2</v>
      </c>
      <c r="W81" s="230">
        <f>W$80*'Methanol recycling rates'!Y36</f>
        <v>3.9339787882923472E-2</v>
      </c>
      <c r="X81" s="230">
        <f>X$80*'Methanol recycling rates'!Z36</f>
        <v>3.9691044222638618E-2</v>
      </c>
      <c r="Y81" s="230">
        <f>Y$80*'Methanol recycling rates'!AA36</f>
        <v>3.986388590477364E-2</v>
      </c>
      <c r="Z81" s="230">
        <f>Z$80*'Methanol recycling rates'!AB36</f>
        <v>3.9866057099590048E-2</v>
      </c>
      <c r="AA81" s="230">
        <f>AA$80*'Methanol recycling rates'!AC36</f>
        <v>3.9705402099343562E-2</v>
      </c>
      <c r="AB81" s="230">
        <f>AB$80*'Methanol recycling rates'!AD36</f>
        <v>3.9389853189975968E-2</v>
      </c>
      <c r="AC81" s="230">
        <f>AC$80*'Methanol recycling rates'!AE36</f>
        <v>3.8927786400305191E-2</v>
      </c>
      <c r="AD81" s="230">
        <f>AD$80*'Methanol recycling rates'!AF36</f>
        <v>3.8327256467007277E-2</v>
      </c>
      <c r="AE81" s="230">
        <f>AE$80*'Methanol recycling rates'!AG36</f>
        <v>3.7596361456797303E-2</v>
      </c>
      <c r="AF81" s="230">
        <f>AF$80*'Methanol recycling rates'!AH36</f>
        <v>3.674323089494564E-2</v>
      </c>
      <c r="AG81" s="230">
        <f>AG$80*'Methanol recycling rates'!AI36</f>
        <v>3.5776013820749748E-2</v>
      </c>
      <c r="AH81" s="245"/>
      <c r="AI81" s="133"/>
      <c r="AJ81" s="211"/>
      <c r="AL81" s="108"/>
      <c r="AM81" s="2"/>
      <c r="AN81" s="2"/>
      <c r="AO81" s="2"/>
      <c r="BC81" s="1"/>
      <c r="BD81" s="2"/>
      <c r="BE81" s="2"/>
      <c r="BF81" s="2"/>
      <c r="BG81" s="2"/>
      <c r="BH81" s="2"/>
      <c r="BI81" s="2"/>
      <c r="BJ81" s="2"/>
      <c r="BK81" s="2"/>
    </row>
    <row r="82" spans="1:63" outlineLevel="1" x14ac:dyDescent="0.2">
      <c r="A82" s="4" t="s">
        <v>745</v>
      </c>
      <c r="C82" s="230">
        <f>C$80*'Methanol recycling rates'!E37</f>
        <v>0</v>
      </c>
      <c r="D82" s="230">
        <f>D$80*'Methanol recycling rates'!F37</f>
        <v>2.3368829449004838E-4</v>
      </c>
      <c r="E82" s="230">
        <f>E$80*'Methanol recycling rates'!G37</f>
        <v>4.8391413572634965E-4</v>
      </c>
      <c r="F82" s="230">
        <f>F$80*'Methanol recycling rates'!H37</f>
        <v>7.484703961972767E-4</v>
      </c>
      <c r="G82" s="230">
        <f>G$80*'Methanol recycling rates'!I37</f>
        <v>1.0248592157261671E-3</v>
      </c>
      <c r="H82" s="230">
        <f>H$80*'Methanol recycling rates'!J37</f>
        <v>1.3103278208193975E-3</v>
      </c>
      <c r="I82" s="230">
        <f>I$80*'Methanol recycling rates'!K37</f>
        <v>1.6053664910641518E-3</v>
      </c>
      <c r="J82" s="230">
        <f>J$80*'Methanol recycling rates'!L37</f>
        <v>1.9087721448237012E-3</v>
      </c>
      <c r="K82" s="230">
        <f>K$80*'Methanol recycling rates'!M37</f>
        <v>2.219268293800012E-3</v>
      </c>
      <c r="L82" s="230">
        <f>L$80*'Methanol recycling rates'!N37</f>
        <v>2.5355088949901897E-3</v>
      </c>
      <c r="M82" s="230">
        <f>M$80*'Methanol recycling rates'!O37</f>
        <v>2.856082642934606E-3</v>
      </c>
      <c r="N82" s="230">
        <f>N$80*'Methanol recycling rates'!P37</f>
        <v>3.2709843559527085E-3</v>
      </c>
      <c r="O82" s="230">
        <f>O$80*'Methanol recycling rates'!Q37</f>
        <v>3.6941314239847187E-3</v>
      </c>
      <c r="P82" s="230">
        <f>P$80*'Methanol recycling rates'!R37</f>
        <v>4.1207583627161553E-3</v>
      </c>
      <c r="Q82" s="230">
        <f>Q$80*'Methanol recycling rates'!S37</f>
        <v>4.545976622065134E-3</v>
      </c>
      <c r="R82" s="230">
        <f>R$80*'Methanol recycling rates'!T37</f>
        <v>4.9648456027734855E-3</v>
      </c>
      <c r="S82" s="230">
        <f>S$80*'Methanol recycling rates'!U37</f>
        <v>5.3821245953515635E-3</v>
      </c>
      <c r="T82" s="230">
        <f>T$80*'Methanol recycling rates'!V37</f>
        <v>5.7951815939919658E-3</v>
      </c>
      <c r="U82" s="230">
        <f>U$80*'Methanol recycling rates'!W37</f>
        <v>6.2014063594970428E-3</v>
      </c>
      <c r="V82" s="230">
        <f>V$80*'Methanol recycling rates'!X37</f>
        <v>6.5982152247109375E-3</v>
      </c>
      <c r="W82" s="230">
        <f>W$80*'Methanol recycling rates'!Y37</f>
        <v>6.9830558991442453E-3</v>
      </c>
      <c r="X82" s="230">
        <f>X$80*'Methanol recycling rates'!Z37</f>
        <v>7.5102548401492723E-3</v>
      </c>
      <c r="Y82" s="230">
        <f>Y$80*'Methanol recycling rates'!AA37</f>
        <v>8.0242620217811384E-3</v>
      </c>
      <c r="Z82" s="230">
        <f>Z$80*'Methanol recycling rates'!AB37</f>
        <v>8.5211374068609128E-3</v>
      </c>
      <c r="AA82" s="230">
        <f>AA$80*'Methanol recycling rates'!AC37</f>
        <v>8.9970047961998277E-3</v>
      </c>
      <c r="AB82" s="230">
        <f>AB$80*'Methanol recycling rates'!AD37</f>
        <v>9.4480588948675035E-3</v>
      </c>
      <c r="AC82" s="230">
        <f>AC$80*'Methanol recycling rates'!AE37</f>
        <v>9.8706656474293157E-3</v>
      </c>
      <c r="AD82" s="230">
        <f>AD$80*'Methanol recycling rates'!AF37</f>
        <v>1.0261193757579548E-2</v>
      </c>
      <c r="AE82" s="230">
        <f>AE$80*'Methanol recycling rates'!AG37</f>
        <v>1.0616101681038105E-2</v>
      </c>
      <c r="AF82" s="230">
        <f>AF$80*'Methanol recycling rates'!AH37</f>
        <v>1.0931944092166454E-2</v>
      </c>
      <c r="AG82" s="230">
        <f>AG$80*'Methanol recycling rates'!AI37</f>
        <v>1.1205378268215375E-2</v>
      </c>
      <c r="AH82" s="245"/>
      <c r="AI82" s="133"/>
      <c r="AJ82" s="211"/>
      <c r="AL82" s="108"/>
      <c r="AM82" s="2"/>
      <c r="AN82" s="2"/>
      <c r="AO82" s="2"/>
      <c r="BC82" s="1"/>
      <c r="BD82" s="2"/>
      <c r="BE82" s="2"/>
      <c r="BF82" s="2"/>
      <c r="BG82" s="2"/>
      <c r="BH82" s="2"/>
      <c r="BI82" s="2"/>
      <c r="BJ82" s="2"/>
      <c r="BK82" s="2"/>
    </row>
    <row r="83" spans="1:63" outlineLevel="1" x14ac:dyDescent="0.2">
      <c r="A83" s="4" t="s">
        <v>1561</v>
      </c>
      <c r="C83" s="230">
        <f>C$80*'Methanol recycling rates'!E38</f>
        <v>0</v>
      </c>
      <c r="D83" s="230">
        <f>D$80*'Methanol recycling rates'!F38</f>
        <v>1.6099985682188915E-4</v>
      </c>
      <c r="E83" s="230">
        <f>E$80*'Methanol recycling rates'!G38</f>
        <v>3.3339327815304126E-4</v>
      </c>
      <c r="F83" s="230">
        <f>F$80*'Methanol recycling rates'!H38</f>
        <v>5.1565966060108264E-4</v>
      </c>
      <c r="G83" s="230">
        <f>G$80*'Methanol recycling rates'!I38</f>
        <v>7.0607810012295296E-4</v>
      </c>
      <c r="H83" s="230">
        <f>H$80*'Methanol recycling rates'!J38</f>
        <v>9.0275206981171602E-4</v>
      </c>
      <c r="I83" s="230">
        <f>I$80*'Methanol recycling rates'!K38</f>
        <v>1.1060193484316507E-3</v>
      </c>
      <c r="J83" s="230">
        <f>J$80*'Methanol recycling rates'!L38</f>
        <v>1.3150510713120594E-3</v>
      </c>
      <c r="K83" s="230">
        <f>K$80*'Methanol recycling rates'!M38</f>
        <v>1.5289678001667128E-3</v>
      </c>
      <c r="L83" s="230">
        <f>L$80*'Methanol recycling rates'!N38</f>
        <v>1.7468421769042902E-3</v>
      </c>
      <c r="M83" s="230">
        <f>M$80*'Methanol recycling rates'!O38</f>
        <v>1.9677018807783557E-3</v>
      </c>
      <c r="N83" s="230">
        <f>N$80*'Methanol recycling rates'!P38</f>
        <v>2.2535489598408277E-3</v>
      </c>
      <c r="O83" s="230">
        <f>O$80*'Methanol recycling rates'!Q38</f>
        <v>2.5450766870486492E-3</v>
      </c>
      <c r="P83" s="230">
        <f>P$80*'Methanol recycling rates'!R38</f>
        <v>2.8390018757364684E-3</v>
      </c>
      <c r="Q83" s="230">
        <f>Q$80*'Methanol recycling rates'!S38</f>
        <v>3.1319565529171599E-3</v>
      </c>
      <c r="R83" s="230">
        <f>R$80*'Methanol recycling rates'!T38</f>
        <v>3.4205368862553678E-3</v>
      </c>
      <c r="S83" s="230">
        <f>S$80*'Methanol recycling rates'!U38</f>
        <v>3.7080217951869685E-3</v>
      </c>
      <c r="T83" s="230">
        <f>T$80*'Methanol recycling rates'!V38</f>
        <v>3.9925979558607591E-3</v>
      </c>
      <c r="U83" s="230">
        <f>U$80*'Methanol recycling rates'!W38</f>
        <v>4.272467040559857E-3</v>
      </c>
      <c r="V83" s="230">
        <f>V$80*'Methanol recycling rates'!X38</f>
        <v>4.5458490284104027E-3</v>
      </c>
      <c r="W83" s="230">
        <f>W$80*'Methanol recycling rates'!Y38</f>
        <v>4.8109855155340246E-3</v>
      </c>
      <c r="X83" s="230">
        <f>X$80*'Methanol recycling rates'!Z38</f>
        <v>5.1741999170241927E-3</v>
      </c>
      <c r="Y83" s="230">
        <f>Y$80*'Methanol recycling rates'!AA38</f>
        <v>5.5283258386016531E-3</v>
      </c>
      <c r="Z83" s="230">
        <f>Z$80*'Methanol recycling rates'!AB38</f>
        <v>5.8706487864871384E-3</v>
      </c>
      <c r="AA83" s="230">
        <f>AA$80*'Methanol recycling rates'!AC38</f>
        <v>6.1984982481683871E-3</v>
      </c>
      <c r="AB83" s="230">
        <f>AB$80*'Methanol recycling rates'!AD38</f>
        <v>6.5092525607149008E-3</v>
      </c>
      <c r="AC83" s="230">
        <f>AC$80*'Methanol recycling rates'!AE38</f>
        <v>6.80040803687125E-3</v>
      </c>
      <c r="AD83" s="230">
        <f>AD$80*'Methanol recycling rates'!AF38</f>
        <v>7.0694628902874864E-3</v>
      </c>
      <c r="AE83" s="230">
        <f>AE$80*'Methanol recycling rates'!AG38</f>
        <v>7.3139771693893655E-3</v>
      </c>
      <c r="AF83" s="230">
        <f>AF$80*'Methanol recycling rates'!AH38</f>
        <v>7.5315772125618729E-3</v>
      </c>
      <c r="AG83" s="230">
        <f>AG$80*'Methanol recycling rates'!AI38</f>
        <v>7.719960046585087E-3</v>
      </c>
      <c r="AH83" s="245"/>
      <c r="AI83" s="133"/>
      <c r="AJ83" s="211"/>
      <c r="AL83" s="108"/>
      <c r="AM83" s="2"/>
      <c r="AN83" s="2"/>
      <c r="AO83" s="2"/>
      <c r="BC83" s="1"/>
      <c r="BD83" s="2"/>
      <c r="BE83" s="2"/>
      <c r="BF83" s="2"/>
      <c r="BG83" s="2"/>
      <c r="BH83" s="2"/>
      <c r="BI83" s="2"/>
      <c r="BJ83" s="2"/>
      <c r="BK83" s="2"/>
    </row>
    <row r="84" spans="1:63" s="1" customFormat="1" outlineLevel="1" x14ac:dyDescent="0.2">
      <c r="A84" s="1" t="s">
        <v>1564</v>
      </c>
      <c r="B84" s="65"/>
      <c r="C84" s="300">
        <f>C80-$C80</f>
        <v>0</v>
      </c>
      <c r="D84" s="300">
        <f t="shared" ref="D84:AG84" si="40">D80-$C80</f>
        <v>1.307186544784518E-3</v>
      </c>
      <c r="E84" s="300">
        <f t="shared" si="40"/>
        <v>2.5181579368760976E-3</v>
      </c>
      <c r="F84" s="300">
        <f t="shared" si="40"/>
        <v>3.6213838728735848E-3</v>
      </c>
      <c r="G84" s="300">
        <f t="shared" si="40"/>
        <v>4.6062198192948767E-3</v>
      </c>
      <c r="H84" s="300">
        <f t="shared" si="40"/>
        <v>5.4630703996209409E-3</v>
      </c>
      <c r="I84" s="300">
        <f t="shared" si="40"/>
        <v>6.2678952986825812E-3</v>
      </c>
      <c r="J84" s="300">
        <f t="shared" si="40"/>
        <v>7.0178208523763164E-3</v>
      </c>
      <c r="K84" s="300">
        <f t="shared" si="40"/>
        <v>7.7100664173797157E-3</v>
      </c>
      <c r="L84" s="300">
        <f t="shared" si="40"/>
        <v>8.3419553733242863E-3</v>
      </c>
      <c r="M84" s="300">
        <f t="shared" si="40"/>
        <v>8.9109259717871439E-3</v>
      </c>
      <c r="N84" s="300">
        <f t="shared" si="40"/>
        <v>1.0632305481344445E-2</v>
      </c>
      <c r="O84" s="300">
        <f t="shared" si="40"/>
        <v>1.2167416884841284E-2</v>
      </c>
      <c r="P84" s="300">
        <f t="shared" si="40"/>
        <v>1.3505559693588964E-2</v>
      </c>
      <c r="Q84" s="300">
        <f t="shared" si="40"/>
        <v>1.4637803335417213E-2</v>
      </c>
      <c r="R84" s="300">
        <f t="shared" si="40"/>
        <v>1.5557090546610156E-2</v>
      </c>
      <c r="S84" s="300">
        <f t="shared" si="40"/>
        <v>1.6346913381748165E-2</v>
      </c>
      <c r="T84" s="300">
        <f t="shared" si="40"/>
        <v>1.7007444361048882E-2</v>
      </c>
      <c r="U84" s="300">
        <f t="shared" si="40"/>
        <v>1.7538994763853184E-2</v>
      </c>
      <c r="V84" s="300">
        <f t="shared" si="40"/>
        <v>1.7942015153122326E-2</v>
      </c>
      <c r="W84" s="300">
        <f t="shared" si="40"/>
        <v>1.821709573667385E-2</v>
      </c>
      <c r="X84" s="300">
        <f t="shared" si="40"/>
        <v>1.9458765418884187E-2</v>
      </c>
      <c r="Y84" s="300">
        <f t="shared" si="40"/>
        <v>2.0499740204228539E-2</v>
      </c>
      <c r="Z84" s="300">
        <f t="shared" si="40"/>
        <v>2.1341109732010206E-2</v>
      </c>
      <c r="AA84" s="300">
        <f t="shared" si="40"/>
        <v>2.198417158278388E-2</v>
      </c>
      <c r="AB84" s="300">
        <f t="shared" si="40"/>
        <v>2.2430431084630477E-2</v>
      </c>
      <c r="AC84" s="300">
        <f t="shared" si="40"/>
        <v>2.2682126523677862E-2</v>
      </c>
      <c r="AD84" s="300">
        <f t="shared" si="40"/>
        <v>2.2741179553946417E-2</v>
      </c>
      <c r="AE84" s="300">
        <f t="shared" si="40"/>
        <v>2.2609706746296879E-2</v>
      </c>
      <c r="AF84" s="300">
        <f t="shared" si="40"/>
        <v>2.2290018638746072E-2</v>
      </c>
      <c r="AG84" s="300">
        <f t="shared" si="40"/>
        <v>2.1784618574622341E-2</v>
      </c>
      <c r="AH84" s="245"/>
      <c r="AI84" s="423"/>
      <c r="AJ84" s="424"/>
      <c r="AL84" s="221"/>
      <c r="AM84" s="124"/>
      <c r="AN84" s="124"/>
      <c r="AO84" s="124"/>
      <c r="BD84" s="124"/>
      <c r="BE84" s="124"/>
      <c r="BF84" s="124"/>
      <c r="BG84" s="124"/>
      <c r="BH84" s="124"/>
      <c r="BI84" s="124"/>
      <c r="BJ84" s="124"/>
      <c r="BK84" s="124"/>
    </row>
    <row r="85" spans="1:63" outlineLevel="1" x14ac:dyDescent="0.2">
      <c r="A85" s="4" t="s">
        <v>474</v>
      </c>
      <c r="C85" s="230">
        <f t="shared" ref="C85:AF85" si="41">C81-$C81</f>
        <v>0</v>
      </c>
      <c r="D85" s="230">
        <f t="shared" si="41"/>
        <v>9.1249839347257861E-4</v>
      </c>
      <c r="E85" s="230">
        <f t="shared" si="41"/>
        <v>1.7008505229967052E-3</v>
      </c>
      <c r="F85" s="230">
        <f t="shared" si="41"/>
        <v>2.3572538160752249E-3</v>
      </c>
      <c r="G85" s="230">
        <f t="shared" si="41"/>
        <v>2.8752825034457571E-3</v>
      </c>
      <c r="H85" s="230">
        <f t="shared" si="41"/>
        <v>3.2499905089898307E-3</v>
      </c>
      <c r="I85" s="230">
        <f t="shared" si="41"/>
        <v>3.5565094591867852E-3</v>
      </c>
      <c r="J85" s="230">
        <f t="shared" si="41"/>
        <v>3.7939976362405606E-3</v>
      </c>
      <c r="K85" s="230">
        <f t="shared" si="41"/>
        <v>3.9618303234129973E-3</v>
      </c>
      <c r="L85" s="230">
        <f t="shared" si="41"/>
        <v>4.059604301429813E-3</v>
      </c>
      <c r="M85" s="230">
        <f t="shared" si="41"/>
        <v>4.0871414480741844E-3</v>
      </c>
      <c r="N85" s="230">
        <f t="shared" si="41"/>
        <v>5.1077721655509167E-3</v>
      </c>
      <c r="O85" s="230">
        <f t="shared" si="41"/>
        <v>5.9282087738079248E-3</v>
      </c>
      <c r="P85" s="230">
        <f t="shared" si="41"/>
        <v>6.5457994551363502E-3</v>
      </c>
      <c r="Q85" s="230">
        <f t="shared" si="41"/>
        <v>6.9598701604349292E-3</v>
      </c>
      <c r="R85" s="230">
        <f t="shared" si="41"/>
        <v>7.1717080575813136E-3</v>
      </c>
      <c r="S85" s="230">
        <f t="shared" si="41"/>
        <v>7.2567669912096469E-3</v>
      </c>
      <c r="T85" s="230">
        <f t="shared" si="41"/>
        <v>7.2196648111961664E-3</v>
      </c>
      <c r="U85" s="230">
        <f t="shared" si="41"/>
        <v>7.0651213637962992E-3</v>
      </c>
      <c r="V85" s="230">
        <f t="shared" si="41"/>
        <v>6.7979509000010013E-3</v>
      </c>
      <c r="W85" s="230">
        <f t="shared" si="41"/>
        <v>6.4230543219955943E-3</v>
      </c>
      <c r="X85" s="230">
        <f t="shared" si="41"/>
        <v>6.7743106617107404E-3</v>
      </c>
      <c r="Y85" s="230">
        <f t="shared" si="41"/>
        <v>6.9471523438457625E-3</v>
      </c>
      <c r="Z85" s="230">
        <f t="shared" si="41"/>
        <v>6.9493235386621707E-3</v>
      </c>
      <c r="AA85" s="230">
        <f t="shared" si="41"/>
        <v>6.7886685384156847E-3</v>
      </c>
      <c r="AB85" s="230">
        <f t="shared" si="41"/>
        <v>6.4731196290480908E-3</v>
      </c>
      <c r="AC85" s="230">
        <f t="shared" si="41"/>
        <v>6.0110528393773136E-3</v>
      </c>
      <c r="AD85" s="230">
        <f t="shared" si="41"/>
        <v>5.4105229060794E-3</v>
      </c>
      <c r="AE85" s="230">
        <f t="shared" si="41"/>
        <v>4.679627895869426E-3</v>
      </c>
      <c r="AF85" s="230">
        <f t="shared" si="41"/>
        <v>3.826497334017763E-3</v>
      </c>
      <c r="AG85" s="230">
        <f>AG81-$C81</f>
        <v>2.8592802598218711E-3</v>
      </c>
      <c r="AH85" s="245"/>
      <c r="AI85" s="133"/>
      <c r="AJ85" s="211"/>
      <c r="AL85" s="108"/>
      <c r="AM85" s="2"/>
      <c r="AN85" s="2"/>
      <c r="AO85" s="2"/>
      <c r="BC85" s="1"/>
      <c r="BD85" s="2"/>
      <c r="BE85" s="2"/>
      <c r="BF85" s="2"/>
      <c r="BG85" s="2"/>
      <c r="BH85" s="2"/>
      <c r="BI85" s="2"/>
      <c r="BJ85" s="2"/>
      <c r="BK85" s="2"/>
    </row>
    <row r="86" spans="1:63" outlineLevel="1" x14ac:dyDescent="0.2">
      <c r="A86" s="4" t="s">
        <v>745</v>
      </c>
      <c r="C86" s="230">
        <f t="shared" ref="C86:AG86" si="42">C82-$C82</f>
        <v>0</v>
      </c>
      <c r="D86" s="230">
        <f t="shared" si="42"/>
        <v>2.3368829449004838E-4</v>
      </c>
      <c r="E86" s="230">
        <f t="shared" si="42"/>
        <v>4.8391413572634965E-4</v>
      </c>
      <c r="F86" s="230">
        <f t="shared" si="42"/>
        <v>7.484703961972767E-4</v>
      </c>
      <c r="G86" s="230">
        <f t="shared" si="42"/>
        <v>1.0248592157261671E-3</v>
      </c>
      <c r="H86" s="230">
        <f t="shared" si="42"/>
        <v>1.3103278208193975E-3</v>
      </c>
      <c r="I86" s="230">
        <f t="shared" si="42"/>
        <v>1.6053664910641518E-3</v>
      </c>
      <c r="J86" s="230">
        <f t="shared" si="42"/>
        <v>1.9087721448237012E-3</v>
      </c>
      <c r="K86" s="230">
        <f t="shared" si="42"/>
        <v>2.219268293800012E-3</v>
      </c>
      <c r="L86" s="230">
        <f t="shared" si="42"/>
        <v>2.5355088949901897E-3</v>
      </c>
      <c r="M86" s="230">
        <f t="shared" si="42"/>
        <v>2.856082642934606E-3</v>
      </c>
      <c r="N86" s="230">
        <f t="shared" si="42"/>
        <v>3.2709843559527085E-3</v>
      </c>
      <c r="O86" s="230">
        <f t="shared" si="42"/>
        <v>3.6941314239847187E-3</v>
      </c>
      <c r="P86" s="230">
        <f t="shared" si="42"/>
        <v>4.1207583627161553E-3</v>
      </c>
      <c r="Q86" s="230">
        <f t="shared" si="42"/>
        <v>4.545976622065134E-3</v>
      </c>
      <c r="R86" s="230">
        <f t="shared" si="42"/>
        <v>4.9648456027734855E-3</v>
      </c>
      <c r="S86" s="230">
        <f t="shared" si="42"/>
        <v>5.3821245953515635E-3</v>
      </c>
      <c r="T86" s="230">
        <f t="shared" si="42"/>
        <v>5.7951815939919658E-3</v>
      </c>
      <c r="U86" s="230">
        <f t="shared" si="42"/>
        <v>6.2014063594970428E-3</v>
      </c>
      <c r="V86" s="230">
        <f t="shared" si="42"/>
        <v>6.5982152247109375E-3</v>
      </c>
      <c r="W86" s="230">
        <f t="shared" si="42"/>
        <v>6.9830558991442453E-3</v>
      </c>
      <c r="X86" s="230">
        <f t="shared" si="42"/>
        <v>7.5102548401492723E-3</v>
      </c>
      <c r="Y86" s="230">
        <f t="shared" si="42"/>
        <v>8.0242620217811384E-3</v>
      </c>
      <c r="Z86" s="230">
        <f t="shared" si="42"/>
        <v>8.5211374068609128E-3</v>
      </c>
      <c r="AA86" s="230">
        <f t="shared" si="42"/>
        <v>8.9970047961998277E-3</v>
      </c>
      <c r="AB86" s="230">
        <f t="shared" si="42"/>
        <v>9.4480588948675035E-3</v>
      </c>
      <c r="AC86" s="230">
        <f t="shared" si="42"/>
        <v>9.8706656474293157E-3</v>
      </c>
      <c r="AD86" s="230">
        <f t="shared" si="42"/>
        <v>1.0261193757579548E-2</v>
      </c>
      <c r="AE86" s="230">
        <f t="shared" si="42"/>
        <v>1.0616101681038105E-2</v>
      </c>
      <c r="AF86" s="230">
        <f t="shared" si="42"/>
        <v>1.0931944092166454E-2</v>
      </c>
      <c r="AG86" s="230">
        <f t="shared" si="42"/>
        <v>1.1205378268215375E-2</v>
      </c>
      <c r="AH86" s="245"/>
      <c r="AI86" s="133"/>
      <c r="AJ86" s="211"/>
      <c r="AL86" s="108"/>
      <c r="AM86" s="2"/>
      <c r="AN86" s="2"/>
      <c r="AO86" s="2"/>
      <c r="BC86" s="1"/>
      <c r="BD86" s="2"/>
      <c r="BE86" s="2"/>
      <c r="BF86" s="2"/>
      <c r="BG86" s="2"/>
      <c r="BH86" s="2"/>
      <c r="BI86" s="2"/>
      <c r="BJ86" s="2"/>
      <c r="BK86" s="2"/>
    </row>
    <row r="87" spans="1:63" outlineLevel="1" x14ac:dyDescent="0.2">
      <c r="A87" s="4" t="s">
        <v>1561</v>
      </c>
      <c r="C87" s="230">
        <f t="shared" ref="C87:AG87" si="43">C83-$C83</f>
        <v>0</v>
      </c>
      <c r="D87" s="230">
        <f t="shared" si="43"/>
        <v>1.6099985682188915E-4</v>
      </c>
      <c r="E87" s="230">
        <f t="shared" si="43"/>
        <v>3.3339327815304126E-4</v>
      </c>
      <c r="F87" s="230">
        <f t="shared" si="43"/>
        <v>5.1565966060108264E-4</v>
      </c>
      <c r="G87" s="230">
        <f t="shared" si="43"/>
        <v>7.0607810012295296E-4</v>
      </c>
      <c r="H87" s="230">
        <f t="shared" si="43"/>
        <v>9.0275206981171602E-4</v>
      </c>
      <c r="I87" s="230">
        <f t="shared" si="43"/>
        <v>1.1060193484316507E-3</v>
      </c>
      <c r="J87" s="230">
        <f t="shared" si="43"/>
        <v>1.3150510713120594E-3</v>
      </c>
      <c r="K87" s="230">
        <f t="shared" si="43"/>
        <v>1.5289678001667128E-3</v>
      </c>
      <c r="L87" s="230">
        <f t="shared" si="43"/>
        <v>1.7468421769042902E-3</v>
      </c>
      <c r="M87" s="230">
        <f t="shared" si="43"/>
        <v>1.9677018807783557E-3</v>
      </c>
      <c r="N87" s="230">
        <f t="shared" si="43"/>
        <v>2.2535489598408277E-3</v>
      </c>
      <c r="O87" s="230">
        <f t="shared" si="43"/>
        <v>2.5450766870486492E-3</v>
      </c>
      <c r="P87" s="230">
        <f t="shared" si="43"/>
        <v>2.8390018757364684E-3</v>
      </c>
      <c r="Q87" s="230">
        <f t="shared" si="43"/>
        <v>3.1319565529171599E-3</v>
      </c>
      <c r="R87" s="230">
        <f t="shared" si="43"/>
        <v>3.4205368862553678E-3</v>
      </c>
      <c r="S87" s="230">
        <f t="shared" si="43"/>
        <v>3.7080217951869685E-3</v>
      </c>
      <c r="T87" s="230">
        <f t="shared" si="43"/>
        <v>3.9925979558607591E-3</v>
      </c>
      <c r="U87" s="230">
        <f t="shared" si="43"/>
        <v>4.272467040559857E-3</v>
      </c>
      <c r="V87" s="230">
        <f t="shared" si="43"/>
        <v>4.5458490284104027E-3</v>
      </c>
      <c r="W87" s="230">
        <f t="shared" si="43"/>
        <v>4.8109855155340246E-3</v>
      </c>
      <c r="X87" s="230">
        <f t="shared" si="43"/>
        <v>5.1741999170241927E-3</v>
      </c>
      <c r="Y87" s="230">
        <f t="shared" si="43"/>
        <v>5.5283258386016531E-3</v>
      </c>
      <c r="Z87" s="230">
        <f t="shared" si="43"/>
        <v>5.8706487864871384E-3</v>
      </c>
      <c r="AA87" s="230">
        <f t="shared" si="43"/>
        <v>6.1984982481683871E-3</v>
      </c>
      <c r="AB87" s="230">
        <f t="shared" si="43"/>
        <v>6.5092525607149008E-3</v>
      </c>
      <c r="AC87" s="230">
        <f t="shared" si="43"/>
        <v>6.80040803687125E-3</v>
      </c>
      <c r="AD87" s="230">
        <f t="shared" si="43"/>
        <v>7.0694628902874864E-3</v>
      </c>
      <c r="AE87" s="230">
        <f t="shared" si="43"/>
        <v>7.3139771693893655E-3</v>
      </c>
      <c r="AF87" s="230">
        <f t="shared" si="43"/>
        <v>7.5315772125618729E-3</v>
      </c>
      <c r="AG87" s="230">
        <f t="shared" si="43"/>
        <v>7.719960046585087E-3</v>
      </c>
      <c r="AH87" s="245"/>
      <c r="AI87" s="133"/>
      <c r="AJ87" s="211"/>
      <c r="AL87" s="108"/>
      <c r="AM87" s="2"/>
      <c r="AN87" s="2"/>
      <c r="AO87" s="2"/>
      <c r="BC87" s="1"/>
      <c r="BD87" s="2"/>
      <c r="BE87" s="2"/>
      <c r="BF87" s="2"/>
      <c r="BG87" s="2"/>
      <c r="BH87" s="2"/>
      <c r="BI87" s="2"/>
      <c r="BJ87" s="2"/>
      <c r="BK87" s="2"/>
    </row>
    <row r="88" spans="1:63" s="1" customFormat="1" outlineLevel="1" x14ac:dyDescent="0.2">
      <c r="A88" s="1" t="s">
        <v>1565</v>
      </c>
      <c r="B88" s="65"/>
      <c r="C88" s="300">
        <f>C50*C69</f>
        <v>6.8305555721469736E-4</v>
      </c>
      <c r="D88" s="300">
        <f t="shared" ref="D88:AG88" si="44">D50*D69</f>
        <v>7.4938155655608781E-4</v>
      </c>
      <c r="E88" s="300">
        <f t="shared" si="44"/>
        <v>8.1783999035106147E-4</v>
      </c>
      <c r="F88" s="300">
        <f t="shared" si="44"/>
        <v>8.8835994992713329E-4</v>
      </c>
      <c r="G88" s="300">
        <f t="shared" si="44"/>
        <v>9.608705266118191E-4</v>
      </c>
      <c r="H88" s="300">
        <f t="shared" si="44"/>
        <v>1.0353008117326336E-3</v>
      </c>
      <c r="I88" s="300">
        <f t="shared" si="44"/>
        <v>1.1115798966170925E-3</v>
      </c>
      <c r="J88" s="300">
        <f t="shared" si="44"/>
        <v>1.1896368725927105E-3</v>
      </c>
      <c r="K88" s="300">
        <f t="shared" si="44"/>
        <v>1.2694008309870033E-3</v>
      </c>
      <c r="L88" s="300">
        <f t="shared" si="44"/>
        <v>1.3508008631274865E-3</v>
      </c>
      <c r="M88" s="300">
        <f t="shared" si="44"/>
        <v>1.4337660603416743E-3</v>
      </c>
      <c r="N88" s="300">
        <f t="shared" si="44"/>
        <v>1.623263380775679E-3</v>
      </c>
      <c r="O88" s="300">
        <f t="shared" si="44"/>
        <v>1.8225045272925566E-3</v>
      </c>
      <c r="P88" s="300">
        <f t="shared" si="44"/>
        <v>2.0311782000763615E-3</v>
      </c>
      <c r="Q88" s="300">
        <f t="shared" si="44"/>
        <v>2.2489730993111474E-3</v>
      </c>
      <c r="R88" s="300">
        <f t="shared" si="44"/>
        <v>2.4755779251809679E-3</v>
      </c>
      <c r="S88" s="300">
        <f t="shared" si="44"/>
        <v>2.7106813778698764E-3</v>
      </c>
      <c r="T88" s="300">
        <f t="shared" si="44"/>
        <v>2.9539721575619266E-3</v>
      </c>
      <c r="U88" s="300">
        <f t="shared" si="44"/>
        <v>3.2051389644411734E-3</v>
      </c>
      <c r="V88" s="300">
        <f t="shared" si="44"/>
        <v>3.4638704986916691E-3</v>
      </c>
      <c r="W88" s="300">
        <f t="shared" si="44"/>
        <v>3.7298554604974668E-3</v>
      </c>
      <c r="X88" s="300">
        <f t="shared" si="44"/>
        <v>4.2199422756508016E-3</v>
      </c>
      <c r="Y88" s="300">
        <f t="shared" si="44"/>
        <v>4.7346184826602246E-3</v>
      </c>
      <c r="Z88" s="300">
        <f t="shared" si="44"/>
        <v>5.2730048565708893E-3</v>
      </c>
      <c r="AA88" s="300">
        <f t="shared" si="44"/>
        <v>5.8342221724279461E-3</v>
      </c>
      <c r="AB88" s="300">
        <f t="shared" si="44"/>
        <v>6.4173912052765498E-3</v>
      </c>
      <c r="AC88" s="300">
        <f t="shared" si="44"/>
        <v>7.0216327301618467E-3</v>
      </c>
      <c r="AD88" s="300">
        <f t="shared" si="44"/>
        <v>7.6460675221289949E-3</v>
      </c>
      <c r="AE88" s="300">
        <f t="shared" si="44"/>
        <v>8.2898163562231397E-3</v>
      </c>
      <c r="AF88" s="300">
        <f t="shared" si="44"/>
        <v>8.952000007489436E-3</v>
      </c>
      <c r="AG88" s="300">
        <f t="shared" si="44"/>
        <v>9.6317392509730412E-3</v>
      </c>
      <c r="AH88" s="245"/>
      <c r="AI88" s="423"/>
      <c r="AJ88" s="424"/>
      <c r="AL88" s="221"/>
      <c r="AM88" s="124"/>
      <c r="AN88" s="124"/>
      <c r="AO88" s="124"/>
      <c r="BD88" s="124"/>
      <c r="BE88" s="124"/>
      <c r="BF88" s="124"/>
      <c r="BG88" s="124"/>
      <c r="BH88" s="124"/>
      <c r="BI88" s="124"/>
      <c r="BJ88" s="124"/>
      <c r="BK88" s="124"/>
    </row>
    <row r="89" spans="1:63" outlineLevel="1" x14ac:dyDescent="0.2">
      <c r="A89" s="4" t="s">
        <v>474</v>
      </c>
      <c r="C89" s="230">
        <f>C$88*'Methanol recycling rates'!E44</f>
        <v>0</v>
      </c>
      <c r="D89" s="230">
        <f>D$88*'Methanol recycling rates'!F44</f>
        <v>1.2489692609268131E-5</v>
      </c>
      <c r="E89" s="230">
        <f>E$88*'Methanol recycling rates'!G44</f>
        <v>2.7261333011702048E-5</v>
      </c>
      <c r="F89" s="230">
        <f>F$88*'Methanol recycling rates'!H44</f>
        <v>4.4417997496356664E-5</v>
      </c>
      <c r="G89" s="230">
        <f>G$88*'Methanol recycling rates'!I44</f>
        <v>6.4058035107454611E-5</v>
      </c>
      <c r="H89" s="230">
        <f>H$88*'Methanol recycling rates'!J44</f>
        <v>8.6275067644386128E-5</v>
      </c>
      <c r="I89" s="230">
        <f>I$88*'Methanol recycling rates'!K44</f>
        <v>1.1115798966170925E-4</v>
      </c>
      <c r="J89" s="230">
        <f>J$88*'Methanol recycling rates'!L44</f>
        <v>1.3879096846914954E-4</v>
      </c>
      <c r="K89" s="230">
        <f>K$88*'Methanol recycling rates'!M44</f>
        <v>1.6925344413160043E-4</v>
      </c>
      <c r="L89" s="230">
        <f>L$88*'Methanol recycling rates'!N44</f>
        <v>2.0262012946912296E-4</v>
      </c>
      <c r="M89" s="230">
        <f>M$88*'Methanol recycling rates'!O44</f>
        <v>2.3896101005694572E-4</v>
      </c>
      <c r="N89" s="230">
        <f>N$88*'Methanol recycling rates'!P44</f>
        <v>2.9759828647554114E-4</v>
      </c>
      <c r="O89" s="230">
        <f>O$88*'Methanol recycling rates'!Q44</f>
        <v>3.6450090545851131E-4</v>
      </c>
      <c r="P89" s="230">
        <f>P$88*'Methanol recycling rates'!R44</f>
        <v>4.4008861001654497E-4</v>
      </c>
      <c r="Q89" s="230">
        <f>Q$88*'Methanol recycling rates'!S44</f>
        <v>5.2476038983926773E-4</v>
      </c>
      <c r="R89" s="230">
        <f>R$88*'Methanol recycling rates'!T44</f>
        <v>6.1889448129524187E-4</v>
      </c>
      <c r="S89" s="230">
        <f>S$88*'Methanol recycling rates'!U44</f>
        <v>7.2284836743196702E-4</v>
      </c>
      <c r="T89" s="230">
        <f>T$88*'Methanol recycling rates'!V44</f>
        <v>8.369587779758792E-4</v>
      </c>
      <c r="U89" s="230">
        <f>U$88*'Methanol recycling rates'!W44</f>
        <v>9.6154168933235194E-4</v>
      </c>
      <c r="V89" s="230">
        <f>V$88*'Methanol recycling rates'!X44</f>
        <v>1.0968923245856953E-3</v>
      </c>
      <c r="W89" s="230">
        <f>W$88*'Methanol recycling rates'!Y44</f>
        <v>1.2432851534991555E-3</v>
      </c>
      <c r="X89" s="230">
        <f>X$88*'Methanol recycling rates'!Z44</f>
        <v>1.4769797964777804E-3</v>
      </c>
      <c r="Y89" s="230">
        <f>Y$88*'Methanol recycling rates'!AA44</f>
        <v>1.7360267769754155E-3</v>
      </c>
      <c r="Z89" s="230">
        <f>Z$88*'Methanol recycling rates'!AB44</f>
        <v>2.0213185283521739E-3</v>
      </c>
      <c r="AA89" s="230">
        <f>AA$88*'Methanol recycling rates'!AC44</f>
        <v>2.3336888689711784E-3</v>
      </c>
      <c r="AB89" s="230">
        <f>AB$88*'Methanol recycling rates'!AD44</f>
        <v>2.6739130021985621E-3</v>
      </c>
      <c r="AC89" s="230">
        <f>AC$88*'Methanol recycling rates'!AE44</f>
        <v>3.0427075164034664E-3</v>
      </c>
      <c r="AD89" s="230">
        <f>AD$88*'Methanol recycling rates'!AF44</f>
        <v>3.4407303849580476E-3</v>
      </c>
      <c r="AE89" s="230">
        <f>AE$88*'Methanol recycling rates'!AG44</f>
        <v>3.868580966237465E-3</v>
      </c>
      <c r="AF89" s="230">
        <f>AF$88*'Methanol recycling rates'!AH44</f>
        <v>4.3268000036198939E-3</v>
      </c>
      <c r="AG89" s="230">
        <f>AG$88*'Methanol recycling rates'!AI44</f>
        <v>4.8158696254865206E-3</v>
      </c>
      <c r="AH89" s="245"/>
      <c r="AI89" s="133"/>
      <c r="AJ89" s="211"/>
      <c r="AL89" s="108"/>
      <c r="AM89" s="2"/>
      <c r="AN89" s="2"/>
      <c r="AO89" s="2"/>
      <c r="BC89" s="1"/>
      <c r="BD89" s="2"/>
      <c r="BE89" s="2"/>
      <c r="BF89" s="2"/>
      <c r="BG89" s="2"/>
      <c r="BH89" s="2"/>
      <c r="BI89" s="2"/>
      <c r="BJ89" s="2"/>
      <c r="BK89" s="2"/>
    </row>
    <row r="90" spans="1:63" outlineLevel="1" x14ac:dyDescent="0.2">
      <c r="A90" s="4" t="s">
        <v>745</v>
      </c>
      <c r="C90" s="230">
        <f>C$88*'Methanol recycling rates'!E45</f>
        <v>6.8305555721469736E-4</v>
      </c>
      <c r="D90" s="230">
        <f>D$88*'Methanol recycling rates'!F45</f>
        <v>7.4073929639796479E-4</v>
      </c>
      <c r="E90" s="230">
        <f>E$88*'Methanol recycling rates'!G45</f>
        <v>7.9897647308807237E-4</v>
      </c>
      <c r="F90" s="230">
        <f>F$88*'Methanol recycling rates'!H45</f>
        <v>8.5762485483107667E-4</v>
      </c>
      <c r="G90" s="230">
        <f>G$88*'Methanol recycling rates'!I45</f>
        <v>9.1654548019666623E-4</v>
      </c>
      <c r="H90" s="230">
        <f>H$88*'Methanol recycling rates'!J45</f>
        <v>9.7560265877815995E-4</v>
      </c>
      <c r="I90" s="230">
        <f>I$88*'Methanol recycling rates'!K45</f>
        <v>1.0346639711925089E-3</v>
      </c>
      <c r="J90" s="230">
        <f>J$88*'Methanol recycling rates'!L45</f>
        <v>1.093600269080294E-3</v>
      </c>
      <c r="K90" s="230">
        <f>K$88*'Methanol recycling rates'!M45</f>
        <v>1.1522856751057292E-3</v>
      </c>
      <c r="L90" s="230">
        <f>L$88*'Methanol recycling rates'!N45</f>
        <v>1.210597582956659E-3</v>
      </c>
      <c r="M90" s="230">
        <f>M$88*'Methanol recycling rates'!O45</f>
        <v>1.2684166573445582E-3</v>
      </c>
      <c r="N90" s="230">
        <f>N$88*'Methanol recycling rates'!P45</f>
        <v>1.4173398328714874E-3</v>
      </c>
      <c r="O90" s="230">
        <f>O$88*'Methanol recycling rates'!Q45</f>
        <v>1.5702876192073821E-3</v>
      </c>
      <c r="P90" s="230">
        <f>P$88*'Methanol recycling rates'!R45</f>
        <v>1.7266582747767266E-3</v>
      </c>
      <c r="Q90" s="230">
        <f>Q$88*'Methanol recycling rates'!S45</f>
        <v>1.8858644182933556E-3</v>
      </c>
      <c r="R90" s="230">
        <f>R$88*'Methanol recycling rates'!T45</f>
        <v>2.0473330287604538E-3</v>
      </c>
      <c r="S90" s="230">
        <f>S$88*'Methanol recycling rates'!U45</f>
        <v>2.2105054454705573E-3</v>
      </c>
      <c r="T90" s="230">
        <f>T$88*'Methanol recycling rates'!V45</f>
        <v>2.3748373680055538E-3</v>
      </c>
      <c r="U90" s="230">
        <f>U$88*'Methanol recycling rates'!W45</f>
        <v>2.5397988562366812E-3</v>
      </c>
      <c r="V90" s="230">
        <f>V$88*'Methanol recycling rates'!X45</f>
        <v>2.7048743303245281E-3</v>
      </c>
      <c r="W90" s="230">
        <f>W$88*'Methanol recycling rates'!Y45</f>
        <v>2.8695625707190323E-3</v>
      </c>
      <c r="X90" s="230">
        <f>X$88*'Methanol recycling rates'!Z45</f>
        <v>3.1979440528938558E-3</v>
      </c>
      <c r="Y90" s="230">
        <f>Y$88*'Methanol recycling rates'!AA45</f>
        <v>3.5333723417459101E-3</v>
      </c>
      <c r="Z90" s="230">
        <f>Z$88*'Methanol recycling rates'!AB45</f>
        <v>3.8743506918165883E-3</v>
      </c>
      <c r="AA90" s="230">
        <f>AA$88*'Methanol recycling rates'!AC45</f>
        <v>4.219422916375907E-3</v>
      </c>
      <c r="AB90" s="230">
        <f>AB$88*'Methanol recycling rates'!AD45</f>
        <v>4.5671733874225115E-3</v>
      </c>
      <c r="AC90" s="230">
        <f>AC$88*'Methanol recycling rates'!AE45</f>
        <v>4.9162270356836657E-3</v>
      </c>
      <c r="AD90" s="230">
        <f>AD$88*'Methanol recycling rates'!AF45</f>
        <v>5.2652493506152673E-3</v>
      </c>
      <c r="AE90" s="230">
        <f>AE$88*'Methanol recycling rates'!AG45</f>
        <v>5.6129463804018313E-3</v>
      </c>
      <c r="AF90" s="230">
        <f>AF$88*'Methanol recycling rates'!AH45</f>
        <v>5.9580647319565031E-3</v>
      </c>
      <c r="AG90" s="230">
        <f>AG$88*'Methanol recycling rates'!AI45</f>
        <v>6.2993915709210523E-3</v>
      </c>
      <c r="AH90" s="245"/>
      <c r="AI90" s="133"/>
      <c r="AJ90" s="211"/>
      <c r="AL90" s="108"/>
      <c r="AM90" s="2"/>
      <c r="AN90" s="2"/>
      <c r="AO90" s="2"/>
      <c r="BC90" s="1"/>
      <c r="BD90" s="2"/>
      <c r="BE90" s="2"/>
      <c r="BF90" s="2"/>
      <c r="BG90" s="2"/>
      <c r="BH90" s="2"/>
      <c r="BI90" s="2"/>
      <c r="BJ90" s="2"/>
      <c r="BK90" s="2"/>
    </row>
    <row r="91" spans="1:63" outlineLevel="1" x14ac:dyDescent="0.2">
      <c r="A91" s="4" t="s">
        <v>1561</v>
      </c>
      <c r="C91" s="230">
        <f>C$88*'Methanol recycling rates'!E46</f>
        <v>0</v>
      </c>
      <c r="D91" s="230">
        <f>D$88*'Methanol recycling rates'!F46</f>
        <v>5.1169386012171037E-6</v>
      </c>
      <c r="E91" s="230">
        <f>E$88*'Methanol recycling rates'!G46</f>
        <v>1.1168775050932693E-5</v>
      </c>
      <c r="F91" s="230">
        <f>F$88*'Methanol recycling rates'!H46</f>
        <v>1.8197738974713682E-5</v>
      </c>
      <c r="G91" s="230">
        <f>G$88*'Methanol recycling rates'!I46</f>
        <v>2.6244123279400883E-5</v>
      </c>
      <c r="H91" s="230">
        <f>H$88*'Methanol recycling rates'!J46</f>
        <v>3.5346284153108958E-5</v>
      </c>
      <c r="I91" s="230">
        <f>I$88*'Methanol recycling rates'!K46</f>
        <v>4.5540641065226471E-5</v>
      </c>
      <c r="J91" s="230">
        <f>J$88*'Methanol recycling rates'!L46</f>
        <v>5.686167676641584E-5</v>
      </c>
      <c r="K91" s="230">
        <f>K$88*'Methanol recycling rates'!M46</f>
        <v>6.934193728861338E-5</v>
      </c>
      <c r="L91" s="230">
        <f>L$88*'Methanol recycling rates'!N46</f>
        <v>8.3012031945029301E-5</v>
      </c>
      <c r="M91" s="230">
        <f>M$88*'Methanol recycling rates'!O46</f>
        <v>9.7900633330147611E-5</v>
      </c>
      <c r="N91" s="230">
        <f>N$88*'Methanol recycling rates'!P46</f>
        <v>1.2192391016835398E-4</v>
      </c>
      <c r="O91" s="230">
        <f>O$88*'Methanol recycling rates'!Q46</f>
        <v>1.4933343931420703E-4</v>
      </c>
      <c r="P91" s="230">
        <f>P$88*'Methanol recycling rates'!R46</f>
        <v>1.8030118650627029E-4</v>
      </c>
      <c r="Q91" s="230">
        <f>Q$88*'Methanol recycling rates'!S46</f>
        <v>2.1499061499445735E-4</v>
      </c>
      <c r="R91" s="230">
        <f>R$88*'Methanol recycling rates'!T46</f>
        <v>2.5355668554003191E-4</v>
      </c>
      <c r="S91" s="230">
        <f>S$88*'Methanol recycling rates'!U46</f>
        <v>2.9614585641560764E-4</v>
      </c>
      <c r="T91" s="230">
        <f>T$88*'Methanol recycling rates'!V46</f>
        <v>3.4289608340514843E-4</v>
      </c>
      <c r="U91" s="230">
        <f>U$88*'Methanol recycling rates'!W46</f>
        <v>3.9393681980396837E-4</v>
      </c>
      <c r="V91" s="230">
        <f>V$88*'Methanol recycling rates'!X46</f>
        <v>4.4938901641873135E-4</v>
      </c>
      <c r="W91" s="230">
        <f>W$88*'Methanol recycling rates'!Y46</f>
        <v>5.0936512156745143E-4</v>
      </c>
      <c r="X91" s="230">
        <f>X$88*'Methanol recycling rates'!Z46</f>
        <v>6.0510816160573198E-4</v>
      </c>
      <c r="Y91" s="230">
        <f>Y$88*'Methanol recycling rates'!AA46</f>
        <v>7.1123787476243998E-4</v>
      </c>
      <c r="Z91" s="230">
        <f>Z$88*'Methanol recycling rates'!AB46</f>
        <v>8.2811988466437224E-4</v>
      </c>
      <c r="AA91" s="230">
        <f>AA$88*'Methanol recycling rates'!AC46</f>
        <v>9.5609580078921111E-4</v>
      </c>
      <c r="AB91" s="230">
        <f>AB$88*'Methanol recycling rates'!AD46</f>
        <v>1.0954832184655254E-3</v>
      </c>
      <c r="AC91" s="230">
        <f>AC$88*'Methanol recycling rates'!AE46</f>
        <v>1.2465757188727682E-3</v>
      </c>
      <c r="AD91" s="230">
        <f>AD$88*'Methanol recycling rates'!AF46</f>
        <v>1.4096428690412814E-3</v>
      </c>
      <c r="AE91" s="230">
        <f>AE$88*'Methanol recycling rates'!AG46</f>
        <v>1.5849302218522898E-3</v>
      </c>
      <c r="AF91" s="230">
        <f>AF$88*'Methanol recycling rates'!AH46</f>
        <v>1.7726593160379061E-3</v>
      </c>
      <c r="AG91" s="230">
        <f>AG$88*'Methanol recycling rates'!AI46</f>
        <v>1.9730276761811302E-3</v>
      </c>
      <c r="AH91" s="245"/>
      <c r="AI91" s="133"/>
      <c r="AJ91" s="211"/>
      <c r="AL91" s="108"/>
      <c r="AM91" s="2"/>
      <c r="AN91" s="2"/>
      <c r="AO91" s="2"/>
      <c r="BC91" s="1"/>
      <c r="BD91" s="2"/>
      <c r="BE91" s="2"/>
      <c r="BF91" s="2"/>
      <c r="BG91" s="2"/>
      <c r="BH91" s="2"/>
      <c r="BI91" s="2"/>
      <c r="BJ91" s="2"/>
      <c r="BK91" s="2"/>
    </row>
    <row r="92" spans="1:63" s="1" customFormat="1" outlineLevel="1" x14ac:dyDescent="0.2">
      <c r="A92" s="1" t="s">
        <v>1566</v>
      </c>
      <c r="B92" s="65"/>
      <c r="C92" s="300">
        <f>C88-$C88</f>
        <v>0</v>
      </c>
      <c r="D92" s="300">
        <f t="shared" ref="D92:AG92" si="45">D88-$C88</f>
        <v>6.6325999341390455E-5</v>
      </c>
      <c r="E92" s="300">
        <f t="shared" si="45"/>
        <v>1.3478443313636411E-4</v>
      </c>
      <c r="F92" s="300">
        <f t="shared" si="45"/>
        <v>2.0530439271243593E-4</v>
      </c>
      <c r="G92" s="300">
        <f t="shared" si="45"/>
        <v>2.7781496939712175E-4</v>
      </c>
      <c r="H92" s="300">
        <f t="shared" si="45"/>
        <v>3.5224525451793629E-4</v>
      </c>
      <c r="I92" s="300">
        <f t="shared" si="45"/>
        <v>4.2852433940239519E-4</v>
      </c>
      <c r="J92" s="300">
        <f t="shared" si="45"/>
        <v>5.0658131537801318E-4</v>
      </c>
      <c r="K92" s="300">
        <f t="shared" si="45"/>
        <v>5.8634527377230598E-4</v>
      </c>
      <c r="L92" s="300">
        <f t="shared" si="45"/>
        <v>6.677453059127891E-4</v>
      </c>
      <c r="M92" s="300">
        <f t="shared" si="45"/>
        <v>7.5071050312697696E-4</v>
      </c>
      <c r="N92" s="300">
        <f t="shared" si="45"/>
        <v>9.4020782356098165E-4</v>
      </c>
      <c r="O92" s="300">
        <f t="shared" si="45"/>
        <v>1.1394489700778591E-3</v>
      </c>
      <c r="P92" s="300">
        <f t="shared" si="45"/>
        <v>1.3481226428616643E-3</v>
      </c>
      <c r="Q92" s="300">
        <f t="shared" si="45"/>
        <v>1.5659175420964502E-3</v>
      </c>
      <c r="R92" s="300">
        <f t="shared" si="45"/>
        <v>1.7925223679662707E-3</v>
      </c>
      <c r="S92" s="300">
        <f t="shared" si="45"/>
        <v>2.0276258206551791E-3</v>
      </c>
      <c r="T92" s="300">
        <f t="shared" si="45"/>
        <v>2.2709166003472294E-3</v>
      </c>
      <c r="U92" s="300">
        <f t="shared" si="45"/>
        <v>2.5220834072264761E-3</v>
      </c>
      <c r="V92" s="300">
        <f t="shared" si="45"/>
        <v>2.7808149414769718E-3</v>
      </c>
      <c r="W92" s="300">
        <f t="shared" si="45"/>
        <v>3.0467999032827695E-3</v>
      </c>
      <c r="X92" s="300">
        <f t="shared" si="45"/>
        <v>3.5368867184361044E-3</v>
      </c>
      <c r="Y92" s="300">
        <f t="shared" si="45"/>
        <v>4.0515629254455274E-3</v>
      </c>
      <c r="Z92" s="300">
        <f t="shared" si="45"/>
        <v>4.589949299356192E-3</v>
      </c>
      <c r="AA92" s="300">
        <f t="shared" si="45"/>
        <v>5.1511666152132488E-3</v>
      </c>
      <c r="AB92" s="300">
        <f t="shared" si="45"/>
        <v>5.7343356480618526E-3</v>
      </c>
      <c r="AC92" s="300">
        <f t="shared" si="45"/>
        <v>6.3385771729471494E-3</v>
      </c>
      <c r="AD92" s="300">
        <f t="shared" si="45"/>
        <v>6.9630119649142976E-3</v>
      </c>
      <c r="AE92" s="300">
        <f t="shared" si="45"/>
        <v>7.6067607990084425E-3</v>
      </c>
      <c r="AF92" s="300">
        <f t="shared" si="45"/>
        <v>8.2689444502747379E-3</v>
      </c>
      <c r="AG92" s="300">
        <f t="shared" si="45"/>
        <v>8.9486836937583431E-3</v>
      </c>
      <c r="AH92" s="245"/>
      <c r="AI92" s="423"/>
      <c r="AJ92" s="424"/>
      <c r="AL92" s="221"/>
      <c r="AM92" s="124"/>
      <c r="AN92" s="124"/>
      <c r="AO92" s="124"/>
      <c r="BD92" s="124"/>
      <c r="BE92" s="124"/>
      <c r="BF92" s="124"/>
      <c r="BG92" s="124"/>
      <c r="BH92" s="124"/>
      <c r="BI92" s="124"/>
      <c r="BJ92" s="124"/>
      <c r="BK92" s="124"/>
    </row>
    <row r="93" spans="1:63" outlineLevel="1" x14ac:dyDescent="0.2">
      <c r="A93" s="4" t="s">
        <v>474</v>
      </c>
      <c r="C93" s="230">
        <f t="shared" ref="C93:AF93" si="46">C89-$C89</f>
        <v>0</v>
      </c>
      <c r="D93" s="230">
        <f t="shared" si="46"/>
        <v>1.2489692609268131E-5</v>
      </c>
      <c r="E93" s="230">
        <f t="shared" si="46"/>
        <v>2.7261333011702048E-5</v>
      </c>
      <c r="F93" s="230">
        <f t="shared" si="46"/>
        <v>4.4417997496356664E-5</v>
      </c>
      <c r="G93" s="230">
        <f t="shared" si="46"/>
        <v>6.4058035107454611E-5</v>
      </c>
      <c r="H93" s="230">
        <f t="shared" si="46"/>
        <v>8.6275067644386128E-5</v>
      </c>
      <c r="I93" s="230">
        <f t="shared" si="46"/>
        <v>1.1115798966170925E-4</v>
      </c>
      <c r="J93" s="230">
        <f t="shared" si="46"/>
        <v>1.3879096846914954E-4</v>
      </c>
      <c r="K93" s="230">
        <f t="shared" si="46"/>
        <v>1.6925344413160043E-4</v>
      </c>
      <c r="L93" s="230">
        <f t="shared" si="46"/>
        <v>2.0262012946912296E-4</v>
      </c>
      <c r="M93" s="230">
        <f t="shared" si="46"/>
        <v>2.3896101005694572E-4</v>
      </c>
      <c r="N93" s="230">
        <f t="shared" si="46"/>
        <v>2.9759828647554114E-4</v>
      </c>
      <c r="O93" s="230">
        <f t="shared" si="46"/>
        <v>3.6450090545851131E-4</v>
      </c>
      <c r="P93" s="230">
        <f t="shared" si="46"/>
        <v>4.4008861001654497E-4</v>
      </c>
      <c r="Q93" s="230">
        <f t="shared" si="46"/>
        <v>5.2476038983926773E-4</v>
      </c>
      <c r="R93" s="230">
        <f t="shared" si="46"/>
        <v>6.1889448129524187E-4</v>
      </c>
      <c r="S93" s="230">
        <f t="shared" si="46"/>
        <v>7.2284836743196702E-4</v>
      </c>
      <c r="T93" s="230">
        <f t="shared" si="46"/>
        <v>8.369587779758792E-4</v>
      </c>
      <c r="U93" s="230">
        <f t="shared" si="46"/>
        <v>9.6154168933235194E-4</v>
      </c>
      <c r="V93" s="230">
        <f t="shared" si="46"/>
        <v>1.0968923245856953E-3</v>
      </c>
      <c r="W93" s="230">
        <f t="shared" si="46"/>
        <v>1.2432851534991555E-3</v>
      </c>
      <c r="X93" s="230">
        <f t="shared" si="46"/>
        <v>1.4769797964777804E-3</v>
      </c>
      <c r="Y93" s="230">
        <f t="shared" si="46"/>
        <v>1.7360267769754155E-3</v>
      </c>
      <c r="Z93" s="230">
        <f t="shared" si="46"/>
        <v>2.0213185283521739E-3</v>
      </c>
      <c r="AA93" s="230">
        <f t="shared" si="46"/>
        <v>2.3336888689711784E-3</v>
      </c>
      <c r="AB93" s="230">
        <f t="shared" si="46"/>
        <v>2.6739130021985621E-3</v>
      </c>
      <c r="AC93" s="230">
        <f t="shared" si="46"/>
        <v>3.0427075164034664E-3</v>
      </c>
      <c r="AD93" s="230">
        <f t="shared" si="46"/>
        <v>3.4407303849580476E-3</v>
      </c>
      <c r="AE93" s="230">
        <f t="shared" si="46"/>
        <v>3.868580966237465E-3</v>
      </c>
      <c r="AF93" s="230">
        <f t="shared" si="46"/>
        <v>4.3268000036198939E-3</v>
      </c>
      <c r="AG93" s="230">
        <f>AG89-$C89</f>
        <v>4.8158696254865206E-3</v>
      </c>
      <c r="AH93" s="245"/>
      <c r="AI93" s="133"/>
      <c r="AJ93" s="211"/>
      <c r="AL93" s="108"/>
      <c r="AM93" s="2"/>
      <c r="AN93" s="2"/>
      <c r="AO93" s="2"/>
      <c r="BC93" s="1"/>
      <c r="BD93" s="2"/>
      <c r="BE93" s="2"/>
      <c r="BF93" s="2"/>
      <c r="BG93" s="2"/>
      <c r="BH93" s="2"/>
      <c r="BI93" s="2"/>
      <c r="BJ93" s="2"/>
      <c r="BK93" s="2"/>
    </row>
    <row r="94" spans="1:63" outlineLevel="1" x14ac:dyDescent="0.2">
      <c r="A94" s="4" t="s">
        <v>745</v>
      </c>
      <c r="C94" s="230">
        <f t="shared" ref="C94:AG94" si="47">C90-$C90</f>
        <v>0</v>
      </c>
      <c r="D94" s="230">
        <f t="shared" si="47"/>
        <v>5.7683739183267435E-5</v>
      </c>
      <c r="E94" s="230">
        <f t="shared" si="47"/>
        <v>1.1592091587337501E-4</v>
      </c>
      <c r="F94" s="230">
        <f t="shared" si="47"/>
        <v>1.7456929761637931E-4</v>
      </c>
      <c r="G94" s="230">
        <f t="shared" si="47"/>
        <v>2.3348992298196888E-4</v>
      </c>
      <c r="H94" s="230">
        <f t="shared" si="47"/>
        <v>2.925471015634626E-4</v>
      </c>
      <c r="I94" s="230">
        <f t="shared" si="47"/>
        <v>3.5160841397781156E-4</v>
      </c>
      <c r="J94" s="230">
        <f t="shared" si="47"/>
        <v>4.1054471186559663E-4</v>
      </c>
      <c r="K94" s="230">
        <f t="shared" si="47"/>
        <v>4.6923011789103185E-4</v>
      </c>
      <c r="L94" s="230">
        <f t="shared" si="47"/>
        <v>5.2754202574196161E-4</v>
      </c>
      <c r="M94" s="230">
        <f t="shared" si="47"/>
        <v>5.8536110012986085E-4</v>
      </c>
      <c r="N94" s="230">
        <f t="shared" si="47"/>
        <v>7.3428427565679002E-4</v>
      </c>
      <c r="O94" s="230">
        <f t="shared" si="47"/>
        <v>8.872320619926847E-4</v>
      </c>
      <c r="P94" s="230">
        <f t="shared" si="47"/>
        <v>1.0436027175620291E-3</v>
      </c>
      <c r="Q94" s="230">
        <f t="shared" si="47"/>
        <v>1.2028088610786581E-3</v>
      </c>
      <c r="R94" s="230">
        <f t="shared" si="47"/>
        <v>1.3642774715457565E-3</v>
      </c>
      <c r="S94" s="230">
        <f t="shared" si="47"/>
        <v>1.5274498882558601E-3</v>
      </c>
      <c r="T94" s="230">
        <f t="shared" si="47"/>
        <v>1.6917818107908566E-3</v>
      </c>
      <c r="U94" s="230">
        <f t="shared" si="47"/>
        <v>1.8567432990219839E-3</v>
      </c>
      <c r="V94" s="230">
        <f t="shared" si="47"/>
        <v>2.0218187731098308E-3</v>
      </c>
      <c r="W94" s="230">
        <f t="shared" si="47"/>
        <v>2.1865070135043351E-3</v>
      </c>
      <c r="X94" s="230">
        <f t="shared" si="47"/>
        <v>2.5148884956791586E-3</v>
      </c>
      <c r="Y94" s="230">
        <f t="shared" si="47"/>
        <v>2.8503167845312129E-3</v>
      </c>
      <c r="Z94" s="230">
        <f t="shared" si="47"/>
        <v>3.1912951346018911E-3</v>
      </c>
      <c r="AA94" s="230">
        <f t="shared" si="47"/>
        <v>3.5363673591612098E-3</v>
      </c>
      <c r="AB94" s="230">
        <f t="shared" si="47"/>
        <v>3.8841178302078143E-3</v>
      </c>
      <c r="AC94" s="230">
        <f t="shared" si="47"/>
        <v>4.2331714784689684E-3</v>
      </c>
      <c r="AD94" s="230">
        <f t="shared" si="47"/>
        <v>4.5821937934005701E-3</v>
      </c>
      <c r="AE94" s="230">
        <f t="shared" si="47"/>
        <v>4.929890823187134E-3</v>
      </c>
      <c r="AF94" s="230">
        <f t="shared" si="47"/>
        <v>5.2750091747418059E-3</v>
      </c>
      <c r="AG94" s="230">
        <f t="shared" si="47"/>
        <v>5.616336013706355E-3</v>
      </c>
      <c r="AH94" s="245"/>
      <c r="AI94" s="133"/>
      <c r="AJ94" s="211"/>
      <c r="AL94" s="108"/>
      <c r="AM94" s="2"/>
      <c r="AN94" s="2"/>
      <c r="AO94" s="2"/>
      <c r="BC94" s="1"/>
      <c r="BD94" s="2"/>
      <c r="BE94" s="2"/>
      <c r="BF94" s="2"/>
      <c r="BG94" s="2"/>
      <c r="BH94" s="2"/>
      <c r="BI94" s="2"/>
      <c r="BJ94" s="2"/>
      <c r="BK94" s="2"/>
    </row>
    <row r="95" spans="1:63" outlineLevel="1" x14ac:dyDescent="0.2">
      <c r="A95" s="4" t="s">
        <v>1561</v>
      </c>
      <c r="C95" s="230">
        <f t="shared" ref="C95:AG95" si="48">C91-$C91</f>
        <v>0</v>
      </c>
      <c r="D95" s="230">
        <f t="shared" si="48"/>
        <v>5.1169386012171037E-6</v>
      </c>
      <c r="E95" s="230">
        <f t="shared" si="48"/>
        <v>1.1168775050932693E-5</v>
      </c>
      <c r="F95" s="230">
        <f t="shared" si="48"/>
        <v>1.8197738974713682E-5</v>
      </c>
      <c r="G95" s="230">
        <f t="shared" si="48"/>
        <v>2.6244123279400883E-5</v>
      </c>
      <c r="H95" s="230">
        <f t="shared" si="48"/>
        <v>3.5346284153108958E-5</v>
      </c>
      <c r="I95" s="230">
        <f t="shared" si="48"/>
        <v>4.5540641065226471E-5</v>
      </c>
      <c r="J95" s="230">
        <f t="shared" si="48"/>
        <v>5.686167676641584E-5</v>
      </c>
      <c r="K95" s="230">
        <f t="shared" si="48"/>
        <v>6.934193728861338E-5</v>
      </c>
      <c r="L95" s="230">
        <f t="shared" si="48"/>
        <v>8.3012031945029301E-5</v>
      </c>
      <c r="M95" s="230">
        <f t="shared" si="48"/>
        <v>9.7900633330147611E-5</v>
      </c>
      <c r="N95" s="230">
        <f t="shared" si="48"/>
        <v>1.2192391016835398E-4</v>
      </c>
      <c r="O95" s="230">
        <f t="shared" si="48"/>
        <v>1.4933343931420703E-4</v>
      </c>
      <c r="P95" s="230">
        <f t="shared" si="48"/>
        <v>1.8030118650627029E-4</v>
      </c>
      <c r="Q95" s="230">
        <f t="shared" si="48"/>
        <v>2.1499061499445735E-4</v>
      </c>
      <c r="R95" s="230">
        <f t="shared" si="48"/>
        <v>2.5355668554003191E-4</v>
      </c>
      <c r="S95" s="230">
        <f t="shared" si="48"/>
        <v>2.9614585641560764E-4</v>
      </c>
      <c r="T95" s="230">
        <f t="shared" si="48"/>
        <v>3.4289608340514843E-4</v>
      </c>
      <c r="U95" s="230">
        <f t="shared" si="48"/>
        <v>3.9393681980396837E-4</v>
      </c>
      <c r="V95" s="230">
        <f t="shared" si="48"/>
        <v>4.4938901641873135E-4</v>
      </c>
      <c r="W95" s="230">
        <f t="shared" si="48"/>
        <v>5.0936512156745143E-4</v>
      </c>
      <c r="X95" s="230">
        <f t="shared" si="48"/>
        <v>6.0510816160573198E-4</v>
      </c>
      <c r="Y95" s="230">
        <f t="shared" si="48"/>
        <v>7.1123787476243998E-4</v>
      </c>
      <c r="Z95" s="230">
        <f t="shared" si="48"/>
        <v>8.2811988466437224E-4</v>
      </c>
      <c r="AA95" s="230">
        <f t="shared" si="48"/>
        <v>9.5609580078921111E-4</v>
      </c>
      <c r="AB95" s="230">
        <f t="shared" si="48"/>
        <v>1.0954832184655254E-3</v>
      </c>
      <c r="AC95" s="230">
        <f t="shared" si="48"/>
        <v>1.2465757188727682E-3</v>
      </c>
      <c r="AD95" s="230">
        <f t="shared" si="48"/>
        <v>1.4096428690412814E-3</v>
      </c>
      <c r="AE95" s="230">
        <f t="shared" si="48"/>
        <v>1.5849302218522898E-3</v>
      </c>
      <c r="AF95" s="230">
        <f t="shared" si="48"/>
        <v>1.7726593160379061E-3</v>
      </c>
      <c r="AG95" s="230">
        <f t="shared" si="48"/>
        <v>1.9730276761811302E-3</v>
      </c>
      <c r="AH95" s="245"/>
      <c r="AI95" s="133"/>
      <c r="AJ95" s="211"/>
      <c r="AL95" s="108"/>
      <c r="AM95" s="2"/>
      <c r="AN95" s="2"/>
      <c r="AO95" s="2"/>
      <c r="BC95" s="1"/>
      <c r="BD95" s="2"/>
      <c r="BE95" s="2"/>
      <c r="BF95" s="2"/>
      <c r="BG95" s="2"/>
      <c r="BH95" s="2"/>
      <c r="BI95" s="2"/>
      <c r="BJ95" s="2"/>
      <c r="BK95" s="2"/>
    </row>
    <row r="96" spans="1:63" s="1" customFormat="1" outlineLevel="1" x14ac:dyDescent="0.2">
      <c r="A96" s="1" t="s">
        <v>1567</v>
      </c>
      <c r="B96" s="65"/>
      <c r="C96" s="300">
        <f>C42*C68</f>
        <v>3.9476351575344112E-2</v>
      </c>
      <c r="D96" s="300">
        <f t="shared" ref="D96:AG96" si="49">D42*D68</f>
        <v>4.1832172063170484E-2</v>
      </c>
      <c r="E96" s="300">
        <f t="shared" si="49"/>
        <v>4.4160331075980254E-2</v>
      </c>
      <c r="F96" s="300">
        <f t="shared" si="49"/>
        <v>4.6444515025283017E-2</v>
      </c>
      <c r="G96" s="300">
        <f t="shared" si="49"/>
        <v>4.8668229560891701E-2</v>
      </c>
      <c r="H96" s="300">
        <f t="shared" si="49"/>
        <v>5.0814997096824244E-2</v>
      </c>
      <c r="I96" s="300">
        <f t="shared" si="49"/>
        <v>5.2982621364365531E-2</v>
      </c>
      <c r="J96" s="300">
        <f t="shared" si="49"/>
        <v>5.5168490419466275E-2</v>
      </c>
      <c r="K96" s="300">
        <f t="shared" si="49"/>
        <v>5.7369891899106802E-2</v>
      </c>
      <c r="L96" s="300">
        <f t="shared" si="49"/>
        <v>5.9584017518888248E-2</v>
      </c>
      <c r="M96" s="300">
        <f t="shared" si="49"/>
        <v>6.1807967970717144E-2</v>
      </c>
      <c r="N96" s="300">
        <f t="shared" si="49"/>
        <v>6.5880990964626546E-2</v>
      </c>
      <c r="O96" s="300">
        <f t="shared" si="49"/>
        <v>6.9863678484375066E-2</v>
      </c>
      <c r="P96" s="300">
        <f t="shared" si="49"/>
        <v>7.3732272885185177E-2</v>
      </c>
      <c r="Q96" s="300">
        <f t="shared" si="49"/>
        <v>7.7463467738823982E-2</v>
      </c>
      <c r="R96" s="300">
        <f t="shared" si="49"/>
        <v>8.1034639926223465E-2</v>
      </c>
      <c r="S96" s="300">
        <f t="shared" si="49"/>
        <v>8.457618139229317E-2</v>
      </c>
      <c r="T96" s="300">
        <f t="shared" si="49"/>
        <v>8.8085932584569912E-2</v>
      </c>
      <c r="U96" s="300">
        <f t="shared" si="49"/>
        <v>9.1561739492892369E-2</v>
      </c>
      <c r="V96" s="300">
        <f t="shared" si="49"/>
        <v>9.5001455442332849E-2</v>
      </c>
      <c r="W96" s="300">
        <f t="shared" si="49"/>
        <v>9.8402942897173676E-2</v>
      </c>
      <c r="X96" s="300">
        <f t="shared" si="49"/>
        <v>0.10393462400461706</v>
      </c>
      <c r="Y96" s="300">
        <f t="shared" si="49"/>
        <v>0.10941122492199583</v>
      </c>
      <c r="Z96" s="300">
        <f t="shared" si="49"/>
        <v>0.11482955783709706</v>
      </c>
      <c r="AA96" s="300">
        <f t="shared" si="49"/>
        <v>0.12018645162127667</v>
      </c>
      <c r="AB96" s="300">
        <f t="shared" si="49"/>
        <v>0.12547875436128264</v>
      </c>
      <c r="AC96" s="300">
        <f t="shared" si="49"/>
        <v>0.130704571598593</v>
      </c>
      <c r="AD96" s="300">
        <f t="shared" si="49"/>
        <v>0.13586094538299176</v>
      </c>
      <c r="AE96" s="300">
        <f t="shared" si="49"/>
        <v>0.14094494071338309</v>
      </c>
      <c r="AF96" s="300">
        <f t="shared" si="49"/>
        <v>0.14595364779279585</v>
      </c>
      <c r="AG96" s="300">
        <f t="shared" si="49"/>
        <v>0.15088418428447634</v>
      </c>
      <c r="AH96" s="245"/>
      <c r="AI96" s="423"/>
      <c r="AJ96" s="424"/>
      <c r="AL96" s="221"/>
      <c r="AM96" s="124"/>
      <c r="AN96" s="124"/>
      <c r="AO96" s="124"/>
      <c r="BD96" s="124"/>
      <c r="BE96" s="124"/>
      <c r="BF96" s="124"/>
      <c r="BG96" s="124"/>
      <c r="BH96" s="124"/>
      <c r="BI96" s="124"/>
      <c r="BJ96" s="124"/>
      <c r="BK96" s="124"/>
    </row>
    <row r="97" spans="1:63" outlineLevel="1" x14ac:dyDescent="0.2">
      <c r="A97" s="4" t="s">
        <v>474</v>
      </c>
      <c r="C97" s="230">
        <f>C$96*'Methanol recycling rates'!E45</f>
        <v>3.9476351575344112E-2</v>
      </c>
      <c r="D97" s="230">
        <f>D$96*'Methanol recycling rates'!F45</f>
        <v>4.134974156993719E-2</v>
      </c>
      <c r="E97" s="230">
        <f>E$96*'Methanol recycling rates'!G45</f>
        <v>4.3141770994033796E-2</v>
      </c>
      <c r="F97" s="230">
        <f>F$96*'Methanol recycling rates'!H45</f>
        <v>4.4837647689458845E-2</v>
      </c>
      <c r="G97" s="230">
        <f>G$96*'Methanol recycling rates'!I45</f>
        <v>4.6423159622242902E-2</v>
      </c>
      <c r="H97" s="230">
        <f>H$96*'Methanol recycling rates'!J45</f>
        <v>4.7884871441855895E-2</v>
      </c>
      <c r="I97" s="230">
        <f>I$96*'Methanol recycling rates'!K45</f>
        <v>4.9316481515972531E-2</v>
      </c>
      <c r="J97" s="230">
        <f>J$96*'Methanol recycling rates'!L45</f>
        <v>5.0714867164459165E-2</v>
      </c>
      <c r="K97" s="230">
        <f>K$96*'Methanol recycling rates'!M45</f>
        <v>5.207693504210556E-2</v>
      </c>
      <c r="L97" s="230">
        <f>L$96*'Methanol recycling rates'!N45</f>
        <v>5.3399630959819436E-2</v>
      </c>
      <c r="M97" s="230">
        <f>M$96*'Methanol recycling rates'!O45</f>
        <v>5.4679949748562058E-2</v>
      </c>
      <c r="N97" s="230">
        <f>N$96*'Methanol recycling rates'!P45</f>
        <v>5.7523476368075283E-2</v>
      </c>
      <c r="O97" s="230">
        <f>O$96*'Methanol recycling rates'!Q45</f>
        <v>6.0195224600772042E-2</v>
      </c>
      <c r="P97" s="230">
        <f>P$96*'Methanol recycling rates'!R45</f>
        <v>6.2678124002371854E-2</v>
      </c>
      <c r="Q97" s="230">
        <f>Q$96*'Methanol recycling rates'!S45</f>
        <v>6.495657843618001E-2</v>
      </c>
      <c r="R97" s="230">
        <f>R$96*'Methanol recycling rates'!T45</f>
        <v>6.7016631998178783E-2</v>
      </c>
      <c r="S97" s="230">
        <f>S$96*'Methanol recycling rates'!U45</f>
        <v>6.8970153058595413E-2</v>
      </c>
      <c r="T97" s="230">
        <f>T$96*'Methanol recycling rates'!V45</f>
        <v>7.0816430602416477E-2</v>
      </c>
      <c r="U97" s="230">
        <f>U$96*'Methanol recycling rates'!W45</f>
        <v>7.2554857626784555E-2</v>
      </c>
      <c r="V97" s="230">
        <f>V$96*'Methanol recycling rates'!X45</f>
        <v>7.4184932221482869E-2</v>
      </c>
      <c r="W97" s="230">
        <f>W$96*'Methanol recycling rates'!Y45</f>
        <v>7.5706258533854959E-2</v>
      </c>
      <c r="X97" s="230">
        <f>X$96*'Methanol recycling rates'!Z45</f>
        <v>7.8763426372713774E-2</v>
      </c>
      <c r="Y97" s="230">
        <f>Y$96*'Methanol recycling rates'!AA45</f>
        <v>8.1651900239004788E-2</v>
      </c>
      <c r="Z97" s="230">
        <f>Z$96*'Methanol recycling rates'!AB45</f>
        <v>8.4371243522136305E-2</v>
      </c>
      <c r="AA97" s="230">
        <f>AA$96*'Methanol recycling rates'!AC45</f>
        <v>8.6921178731470761E-2</v>
      </c>
      <c r="AB97" s="230">
        <f>AB$96*'Methanol recycling rates'!AD45</f>
        <v>8.9301588336171911E-2</v>
      </c>
      <c r="AC97" s="230">
        <f>AC$96*'Methanol recycling rates'!AE45</f>
        <v>9.1513380615913131E-2</v>
      </c>
      <c r="AD97" s="230">
        <f>AD$96*'Methanol recycling rates'!AF45</f>
        <v>9.3556818898270944E-2</v>
      </c>
      <c r="AE97" s="230">
        <f>AE$96*'Methanol recycling rates'!AG45</f>
        <v>9.5432318499944296E-2</v>
      </c>
      <c r="AF97" s="230">
        <f>AF$96*'Methanol recycling rates'!AH45</f>
        <v>9.7140446904281835E-2</v>
      </c>
      <c r="AG97" s="230">
        <f>AG$96*'Methanol recycling rates'!AI45</f>
        <v>9.868192378348567E-2</v>
      </c>
      <c r="AH97" s="245"/>
      <c r="AI97" s="133"/>
      <c r="AJ97" s="211"/>
      <c r="AL97" s="108"/>
      <c r="AM97" s="2"/>
      <c r="AN97" s="2"/>
      <c r="AO97" s="2"/>
      <c r="BC97" s="1"/>
      <c r="BD97" s="2"/>
      <c r="BE97" s="2"/>
      <c r="BF97" s="2"/>
      <c r="BG97" s="2"/>
      <c r="BH97" s="2"/>
      <c r="BI97" s="2"/>
      <c r="BJ97" s="2"/>
      <c r="BK97" s="2"/>
    </row>
    <row r="98" spans="1:63" outlineLevel="1" x14ac:dyDescent="0.2">
      <c r="A98" s="4" t="s">
        <v>745</v>
      </c>
      <c r="C98" s="230">
        <f>C$96*'Methanol recycling rates'!E46</f>
        <v>0</v>
      </c>
      <c r="D98" s="230">
        <f>D$96*'Methanol recycling rates'!F46</f>
        <v>2.8563907682290537E-4</v>
      </c>
      <c r="E98" s="230">
        <f>E$96*'Methanol recycling rates'!G46</f>
        <v>6.0307249557535133E-4</v>
      </c>
      <c r="F98" s="230">
        <f>F$96*'Methanol recycling rates'!H46</f>
        <v>9.513994426545156E-4</v>
      </c>
      <c r="G98" s="230">
        <f>G$96*'Methanol recycling rates'!I46</f>
        <v>1.3292685965611065E-3</v>
      </c>
      <c r="H98" s="230">
        <f>H$96*'Methanol recycling rates'!J46</f>
        <v>1.7348787002473681E-3</v>
      </c>
      <c r="I98" s="230">
        <f>I$96*'Methanol recycling rates'!K46</f>
        <v>2.1706604712738273E-3</v>
      </c>
      <c r="J98" s="230">
        <f>J$96*'Methanol recycling rates'!L46</f>
        <v>2.6369163079873604E-3</v>
      </c>
      <c r="K98" s="230">
        <f>K$96*'Methanol recycling rates'!M46</f>
        <v>3.1338717836108952E-3</v>
      </c>
      <c r="L98" s="230">
        <f>L$96*'Methanol recycling rates'!N46</f>
        <v>3.6616724942263551E-3</v>
      </c>
      <c r="M98" s="230">
        <f>M$96*'Methanol recycling rates'!O46</f>
        <v>4.2203811183399694E-3</v>
      </c>
      <c r="N98" s="230">
        <f>N$96*'Methanol recycling rates'!P46</f>
        <v>4.9483454868149241E-3</v>
      </c>
      <c r="O98" s="230">
        <f>O$96*'Methanol recycling rates'!Q46</f>
        <v>5.7245308502539291E-3</v>
      </c>
      <c r="P98" s="230">
        <f>P$96*'Methanol recycling rates'!R46</f>
        <v>6.5449778283870929E-3</v>
      </c>
      <c r="Q98" s="230">
        <f>Q$96*'Methanol recycling rates'!S46</f>
        <v>7.4051212857433072E-3</v>
      </c>
      <c r="R98" s="230">
        <f>R$96*'Methanol recycling rates'!T46</f>
        <v>8.2998295083444619E-3</v>
      </c>
      <c r="S98" s="230">
        <f>S$96*'Methanol recycling rates'!U46</f>
        <v>9.2400699968894651E-3</v>
      </c>
      <c r="T98" s="230">
        <f>T$96*'Methanol recycling rates'!V46</f>
        <v>1.0224985096429693E-2</v>
      </c>
      <c r="U98" s="230">
        <f>U$96*'Methanol recycling rates'!W46</f>
        <v>1.1253658849652492E-2</v>
      </c>
      <c r="V98" s="230">
        <f>V$96*'Methanol recycling rates'!X46</f>
        <v>1.2325117418709281E-2</v>
      </c>
      <c r="W98" s="230">
        <f>W$96*'Methanol recycling rates'!Y46</f>
        <v>1.3438329582007106E-2</v>
      </c>
      <c r="X98" s="230">
        <f>X$96*'Methanol recycling rates'!Z46</f>
        <v>1.490344776076768E-2</v>
      </c>
      <c r="Y98" s="230">
        <f>Y$96*'Methanol recycling rates'!AA46</f>
        <v>1.6435834771834162E-2</v>
      </c>
      <c r="Z98" s="230">
        <f>Z$96*'Methanol recycling rates'!AB46</f>
        <v>1.8033861674452884E-2</v>
      </c>
      <c r="AA98" s="230">
        <f>AA$96*'Methanol recycling rates'!AC46</f>
        <v>1.9695815193653814E-2</v>
      </c>
      <c r="AB98" s="230">
        <f>AB$96*'Methanol recycling rates'!AD46</f>
        <v>2.1419898722041412E-2</v>
      </c>
      <c r="AC98" s="230">
        <f>AC$96*'Methanol recycling rates'!AE46</f>
        <v>2.3204452804913039E-2</v>
      </c>
      <c r="AD98" s="230">
        <f>AD$96*'Methanol recycling rates'!AF46</f>
        <v>2.5047570177226895E-2</v>
      </c>
      <c r="AE98" s="230">
        <f>AE$96*'Methanol recycling rates'!AG46</f>
        <v>2.6947267171500547E-2</v>
      </c>
      <c r="AF98" s="230">
        <f>AF$96*'Methanol recycling rates'!AH46</f>
        <v>2.8901484947850661E-2</v>
      </c>
      <c r="AG98" s="230">
        <f>AG$96*'Methanol recycling rates'!AI46</f>
        <v>3.0908090816641542E-2</v>
      </c>
      <c r="AH98" s="245"/>
      <c r="AI98" s="133"/>
      <c r="AJ98" s="211"/>
      <c r="AL98" s="108"/>
      <c r="AM98" s="2"/>
      <c r="AN98" s="2"/>
      <c r="AO98" s="2"/>
      <c r="BC98" s="1"/>
      <c r="BD98" s="2"/>
      <c r="BE98" s="2"/>
      <c r="BF98" s="2"/>
      <c r="BG98" s="2"/>
      <c r="BH98" s="2"/>
      <c r="BI98" s="2"/>
      <c r="BJ98" s="2"/>
      <c r="BK98" s="2"/>
    </row>
    <row r="99" spans="1:63" outlineLevel="1" x14ac:dyDescent="0.2">
      <c r="A99" s="4" t="s">
        <v>1561</v>
      </c>
      <c r="C99" s="230">
        <f>C$96*'Methanol recycling rates'!E47</f>
        <v>0</v>
      </c>
      <c r="D99" s="230">
        <f>D$96*'Methanol recycling rates'!F47</f>
        <v>1.9679141641038746E-4</v>
      </c>
      <c r="E99" s="230">
        <f>E$96*'Methanol recycling rates'!G47</f>
        <v>4.1548758637110822E-4</v>
      </c>
      <c r="F99" s="230">
        <f>F$96*'Methanol recycling rates'!H47</f>
        <v>6.5546789316965604E-4</v>
      </c>
      <c r="G99" s="230">
        <f>G$96*'Methanol recycling rates'!I47</f>
        <v>9.1580134208769871E-4</v>
      </c>
      <c r="H99" s="230">
        <f>H$96*'Methanol recycling rates'!J47</f>
        <v>1.1952469547209864E-3</v>
      </c>
      <c r="I99" s="230">
        <f>I$96*'Methanol recycling rates'!K47</f>
        <v>1.4954793771191782E-3</v>
      </c>
      <c r="J99" s="230">
        <f>J$96*'Methanol recycling rates'!L47</f>
        <v>1.8167069470197566E-3</v>
      </c>
      <c r="K99" s="230">
        <f>K$96*'Methanol recycling rates'!M47</f>
        <v>2.1590850733903531E-3</v>
      </c>
      <c r="L99" s="230">
        <f>L$96*'Methanol recycling rates'!N47</f>
        <v>2.5227140648424653E-3</v>
      </c>
      <c r="M99" s="230">
        <f>M$96*'Methanol recycling rates'!O47</f>
        <v>2.9076371038151221E-3</v>
      </c>
      <c r="N99" s="230">
        <f>N$96*'Methanol recycling rates'!P47</f>
        <v>3.4091691097363512E-3</v>
      </c>
      <c r="O99" s="230">
        <f>O$96*'Methanol recycling rates'!Q47</f>
        <v>3.9439230333491041E-3</v>
      </c>
      <c r="P99" s="230">
        <f>P$96*'Methanol recycling rates'!R47</f>
        <v>4.5091710544262406E-3</v>
      </c>
      <c r="Q99" s="230">
        <f>Q$96*'Methanol recycling rates'!S47</f>
        <v>5.1017680169006818E-3</v>
      </c>
      <c r="R99" s="230">
        <f>R$96*'Methanol recycling rates'!T47</f>
        <v>5.7181784197002416E-3</v>
      </c>
      <c r="S99" s="230">
        <f>S$96*'Methanol recycling rates'!U47</f>
        <v>6.3659583368083066E-3</v>
      </c>
      <c r="T99" s="230">
        <f>T$96*'Methanol recycling rates'!V47</f>
        <v>7.0445168857237572E-3</v>
      </c>
      <c r="U99" s="230">
        <f>U$96*'Methanol recycling rates'!W47</f>
        <v>7.753223016455345E-3</v>
      </c>
      <c r="V99" s="230">
        <f>V$96*'Methanol recycling rates'!X47</f>
        <v>8.4914058021407241E-3</v>
      </c>
      <c r="W99" s="230">
        <f>W$96*'Methanol recycling rates'!Y47</f>
        <v>9.258354781311642E-3</v>
      </c>
      <c r="X99" s="230">
        <f>X$96*'Methanol recycling rates'!Z47</f>
        <v>1.0267749871135641E-2</v>
      </c>
      <c r="Y99" s="230">
        <f>Y$96*'Methanol recycling rates'!AA47</f>
        <v>1.1323489911156913E-2</v>
      </c>
      <c r="Z99" s="230">
        <f>Z$96*'Methanol recycling rates'!AB47</f>
        <v>1.2424452640507901E-2</v>
      </c>
      <c r="AA99" s="230">
        <f>AA$96*'Methanol recycling rates'!AC47</f>
        <v>1.3569457696152138E-2</v>
      </c>
      <c r="AB99" s="230">
        <f>AB$96*'Methanol recycling rates'!AD47</f>
        <v>1.4757267303069364E-2</v>
      </c>
      <c r="AC99" s="230">
        <f>AC$96*'Methanol recycling rates'!AE47</f>
        <v>1.5986738177766878E-2</v>
      </c>
      <c r="AD99" s="230">
        <f>AD$96*'Methanol recycling rates'!AF47</f>
        <v>1.7256556307493967E-2</v>
      </c>
      <c r="AE99" s="230">
        <f>AE$96*'Methanol recycling rates'!AG47</f>
        <v>1.8565355041938306E-2</v>
      </c>
      <c r="AF99" s="230">
        <f>AF$96*'Methanol recycling rates'!AH47</f>
        <v>1.9911715940663412E-2</v>
      </c>
      <c r="AG99" s="230">
        <f>AG$96*'Methanol recycling rates'!AI47</f>
        <v>2.1294169684349107E-2</v>
      </c>
      <c r="AH99" s="245"/>
      <c r="AI99" s="133"/>
      <c r="AJ99" s="211"/>
      <c r="AL99" s="108"/>
      <c r="AM99" s="2"/>
      <c r="AN99" s="2"/>
      <c r="AO99" s="2"/>
      <c r="BC99" s="1"/>
      <c r="BD99" s="2"/>
      <c r="BE99" s="2"/>
      <c r="BF99" s="2"/>
      <c r="BG99" s="2"/>
      <c r="BH99" s="2"/>
      <c r="BI99" s="2"/>
      <c r="BJ99" s="2"/>
      <c r="BK99" s="2"/>
    </row>
    <row r="100" spans="1:63" s="1" customFormat="1" outlineLevel="1" x14ac:dyDescent="0.2">
      <c r="A100" s="1" t="s">
        <v>1568</v>
      </c>
      <c r="B100" s="65"/>
      <c r="C100" s="300">
        <f>C96-$C96</f>
        <v>0</v>
      </c>
      <c r="D100" s="300">
        <f t="shared" ref="D100:AG100" si="50">D96-$C96</f>
        <v>2.3558204878263711E-3</v>
      </c>
      <c r="E100" s="300">
        <f t="shared" si="50"/>
        <v>4.6839795006361415E-3</v>
      </c>
      <c r="F100" s="300">
        <f t="shared" si="50"/>
        <v>6.968163449938905E-3</v>
      </c>
      <c r="G100" s="300">
        <f t="shared" si="50"/>
        <v>9.1918779855475891E-3</v>
      </c>
      <c r="H100" s="300">
        <f t="shared" si="50"/>
        <v>1.1338645521480131E-2</v>
      </c>
      <c r="I100" s="300">
        <f t="shared" si="50"/>
        <v>1.3506269789021419E-2</v>
      </c>
      <c r="J100" s="300">
        <f t="shared" si="50"/>
        <v>1.5692138844122162E-2</v>
      </c>
      <c r="K100" s="300">
        <f t="shared" si="50"/>
        <v>1.789354032376269E-2</v>
      </c>
      <c r="L100" s="300">
        <f t="shared" si="50"/>
        <v>2.0107665943544135E-2</v>
      </c>
      <c r="M100" s="300">
        <f t="shared" si="50"/>
        <v>2.2331616395373032E-2</v>
      </c>
      <c r="N100" s="300">
        <f t="shared" si="50"/>
        <v>2.6404639389282433E-2</v>
      </c>
      <c r="O100" s="300">
        <f t="shared" si="50"/>
        <v>3.0387326909030954E-2</v>
      </c>
      <c r="P100" s="300">
        <f t="shared" si="50"/>
        <v>3.4255921309841064E-2</v>
      </c>
      <c r="Q100" s="300">
        <f t="shared" si="50"/>
        <v>3.798711616347987E-2</v>
      </c>
      <c r="R100" s="300">
        <f t="shared" si="50"/>
        <v>4.1558288350879352E-2</v>
      </c>
      <c r="S100" s="300">
        <f t="shared" si="50"/>
        <v>4.5099829816949058E-2</v>
      </c>
      <c r="T100" s="300">
        <f t="shared" si="50"/>
        <v>4.86095810092258E-2</v>
      </c>
      <c r="U100" s="300">
        <f t="shared" si="50"/>
        <v>5.2085387917548256E-2</v>
      </c>
      <c r="V100" s="300">
        <f t="shared" si="50"/>
        <v>5.5525103866988737E-2</v>
      </c>
      <c r="W100" s="300">
        <f t="shared" si="50"/>
        <v>5.8926591321829563E-2</v>
      </c>
      <c r="X100" s="300">
        <f t="shared" si="50"/>
        <v>6.4458272429272948E-2</v>
      </c>
      <c r="Y100" s="300">
        <f t="shared" si="50"/>
        <v>6.9934873346651716E-2</v>
      </c>
      <c r="Z100" s="300">
        <f t="shared" si="50"/>
        <v>7.5353206261752945E-2</v>
      </c>
      <c r="AA100" s="300">
        <f t="shared" si="50"/>
        <v>8.0710100045932556E-2</v>
      </c>
      <c r="AB100" s="300">
        <f t="shared" si="50"/>
        <v>8.6002402785938528E-2</v>
      </c>
      <c r="AC100" s="300">
        <f t="shared" si="50"/>
        <v>9.1228220023248888E-2</v>
      </c>
      <c r="AD100" s="300">
        <f t="shared" si="50"/>
        <v>9.6384593807647648E-2</v>
      </c>
      <c r="AE100" s="300">
        <f t="shared" si="50"/>
        <v>0.10146858913803898</v>
      </c>
      <c r="AF100" s="300">
        <f t="shared" si="50"/>
        <v>0.10647729621745174</v>
      </c>
      <c r="AG100" s="300">
        <f t="shared" si="50"/>
        <v>0.11140783270913222</v>
      </c>
      <c r="AH100" s="245"/>
      <c r="AI100" s="423"/>
      <c r="AJ100" s="424"/>
      <c r="AL100" s="221"/>
      <c r="AM100" s="124"/>
      <c r="AN100" s="124"/>
      <c r="AO100" s="124"/>
      <c r="BD100" s="124"/>
      <c r="BE100" s="124"/>
      <c r="BF100" s="124"/>
      <c r="BG100" s="124"/>
      <c r="BH100" s="124"/>
      <c r="BI100" s="124"/>
      <c r="BJ100" s="124"/>
      <c r="BK100" s="124"/>
    </row>
    <row r="101" spans="1:63" outlineLevel="1" x14ac:dyDescent="0.2">
      <c r="A101" s="4" t="s">
        <v>474</v>
      </c>
      <c r="C101" s="230">
        <f t="shared" ref="C101:AF101" si="51">C97-$C97</f>
        <v>0</v>
      </c>
      <c r="D101" s="230">
        <f t="shared" si="51"/>
        <v>1.8733899945930776E-3</v>
      </c>
      <c r="E101" s="230">
        <f t="shared" si="51"/>
        <v>3.6654194186896832E-3</v>
      </c>
      <c r="F101" s="230">
        <f t="shared" si="51"/>
        <v>5.3612961141147331E-3</v>
      </c>
      <c r="G101" s="230">
        <f t="shared" si="51"/>
        <v>6.9468080468987892E-3</v>
      </c>
      <c r="H101" s="230">
        <f t="shared" si="51"/>
        <v>8.4085198665117822E-3</v>
      </c>
      <c r="I101" s="230">
        <f t="shared" si="51"/>
        <v>9.8401299406284184E-3</v>
      </c>
      <c r="J101" s="230">
        <f t="shared" si="51"/>
        <v>1.1238515589115053E-2</v>
      </c>
      <c r="K101" s="230">
        <f t="shared" si="51"/>
        <v>1.2600583466761447E-2</v>
      </c>
      <c r="L101" s="230">
        <f t="shared" si="51"/>
        <v>1.3923279384475323E-2</v>
      </c>
      <c r="M101" s="230">
        <f t="shared" si="51"/>
        <v>1.5203598173217946E-2</v>
      </c>
      <c r="N101" s="230">
        <f t="shared" si="51"/>
        <v>1.804712479273117E-2</v>
      </c>
      <c r="O101" s="230">
        <f t="shared" si="51"/>
        <v>2.0718873025427929E-2</v>
      </c>
      <c r="P101" s="230">
        <f t="shared" si="51"/>
        <v>2.3201772427027742E-2</v>
      </c>
      <c r="Q101" s="230">
        <f t="shared" si="51"/>
        <v>2.5480226860835897E-2</v>
      </c>
      <c r="R101" s="230">
        <f t="shared" si="51"/>
        <v>2.754028042283467E-2</v>
      </c>
      <c r="S101" s="230">
        <f t="shared" si="51"/>
        <v>2.94938014832513E-2</v>
      </c>
      <c r="T101" s="230">
        <f t="shared" si="51"/>
        <v>3.1340079027072365E-2</v>
      </c>
      <c r="U101" s="230">
        <f t="shared" si="51"/>
        <v>3.3078506051440443E-2</v>
      </c>
      <c r="V101" s="230">
        <f t="shared" si="51"/>
        <v>3.4708580646138756E-2</v>
      </c>
      <c r="W101" s="230">
        <f t="shared" si="51"/>
        <v>3.6229906958510846E-2</v>
      </c>
      <c r="X101" s="230">
        <f t="shared" si="51"/>
        <v>3.9287074797369662E-2</v>
      </c>
      <c r="Y101" s="230">
        <f t="shared" si="51"/>
        <v>4.2175548663660675E-2</v>
      </c>
      <c r="Z101" s="230">
        <f t="shared" si="51"/>
        <v>4.4894891946792193E-2</v>
      </c>
      <c r="AA101" s="230">
        <f t="shared" si="51"/>
        <v>4.7444827156126648E-2</v>
      </c>
      <c r="AB101" s="230">
        <f t="shared" si="51"/>
        <v>4.9825236760827799E-2</v>
      </c>
      <c r="AC101" s="230">
        <f t="shared" si="51"/>
        <v>5.2037029040569019E-2</v>
      </c>
      <c r="AD101" s="230">
        <f t="shared" si="51"/>
        <v>5.4080467322926831E-2</v>
      </c>
      <c r="AE101" s="230">
        <f t="shared" si="51"/>
        <v>5.5955966924600184E-2</v>
      </c>
      <c r="AF101" s="230">
        <f t="shared" si="51"/>
        <v>5.7664095328937723E-2</v>
      </c>
      <c r="AG101" s="230">
        <f>AG97-$C97</f>
        <v>5.9205572208141558E-2</v>
      </c>
      <c r="AH101" s="245"/>
      <c r="AI101" s="133"/>
      <c r="AJ101" s="211"/>
      <c r="AL101" s="108"/>
      <c r="AM101" s="2"/>
      <c r="AN101" s="2"/>
      <c r="AO101" s="2"/>
      <c r="BC101" s="1"/>
      <c r="BD101" s="2"/>
      <c r="BE101" s="2"/>
      <c r="BF101" s="2"/>
      <c r="BG101" s="2"/>
      <c r="BH101" s="2"/>
      <c r="BI101" s="2"/>
      <c r="BJ101" s="2"/>
      <c r="BK101" s="2"/>
    </row>
    <row r="102" spans="1:63" outlineLevel="1" x14ac:dyDescent="0.2">
      <c r="A102" s="4" t="s">
        <v>745</v>
      </c>
      <c r="C102" s="230">
        <f t="shared" ref="C102:AG102" si="52">C98-$C98</f>
        <v>0</v>
      </c>
      <c r="D102" s="230">
        <f t="shared" si="52"/>
        <v>2.8563907682290537E-4</v>
      </c>
      <c r="E102" s="230">
        <f t="shared" si="52"/>
        <v>6.0307249557535133E-4</v>
      </c>
      <c r="F102" s="230">
        <f t="shared" si="52"/>
        <v>9.513994426545156E-4</v>
      </c>
      <c r="G102" s="230">
        <f t="shared" si="52"/>
        <v>1.3292685965611065E-3</v>
      </c>
      <c r="H102" s="230">
        <f t="shared" si="52"/>
        <v>1.7348787002473681E-3</v>
      </c>
      <c r="I102" s="230">
        <f t="shared" si="52"/>
        <v>2.1706604712738273E-3</v>
      </c>
      <c r="J102" s="230">
        <f t="shared" si="52"/>
        <v>2.6369163079873604E-3</v>
      </c>
      <c r="K102" s="230">
        <f t="shared" si="52"/>
        <v>3.1338717836108952E-3</v>
      </c>
      <c r="L102" s="230">
        <f t="shared" si="52"/>
        <v>3.6616724942263551E-3</v>
      </c>
      <c r="M102" s="230">
        <f t="shared" si="52"/>
        <v>4.2203811183399694E-3</v>
      </c>
      <c r="N102" s="230">
        <f t="shared" si="52"/>
        <v>4.9483454868149241E-3</v>
      </c>
      <c r="O102" s="230">
        <f t="shared" si="52"/>
        <v>5.7245308502539291E-3</v>
      </c>
      <c r="P102" s="230">
        <f t="shared" si="52"/>
        <v>6.5449778283870929E-3</v>
      </c>
      <c r="Q102" s="230">
        <f t="shared" si="52"/>
        <v>7.4051212857433072E-3</v>
      </c>
      <c r="R102" s="230">
        <f t="shared" si="52"/>
        <v>8.2998295083444619E-3</v>
      </c>
      <c r="S102" s="230">
        <f t="shared" si="52"/>
        <v>9.2400699968894651E-3</v>
      </c>
      <c r="T102" s="230">
        <f t="shared" si="52"/>
        <v>1.0224985096429693E-2</v>
      </c>
      <c r="U102" s="230">
        <f t="shared" si="52"/>
        <v>1.1253658849652492E-2</v>
      </c>
      <c r="V102" s="230">
        <f t="shared" si="52"/>
        <v>1.2325117418709281E-2</v>
      </c>
      <c r="W102" s="230">
        <f t="shared" si="52"/>
        <v>1.3438329582007106E-2</v>
      </c>
      <c r="X102" s="230">
        <f t="shared" si="52"/>
        <v>1.490344776076768E-2</v>
      </c>
      <c r="Y102" s="230">
        <f t="shared" si="52"/>
        <v>1.6435834771834162E-2</v>
      </c>
      <c r="Z102" s="230">
        <f t="shared" si="52"/>
        <v>1.8033861674452884E-2</v>
      </c>
      <c r="AA102" s="230">
        <f t="shared" si="52"/>
        <v>1.9695815193653814E-2</v>
      </c>
      <c r="AB102" s="230">
        <f t="shared" si="52"/>
        <v>2.1419898722041412E-2</v>
      </c>
      <c r="AC102" s="230">
        <f t="shared" si="52"/>
        <v>2.3204452804913039E-2</v>
      </c>
      <c r="AD102" s="230">
        <f t="shared" si="52"/>
        <v>2.5047570177226895E-2</v>
      </c>
      <c r="AE102" s="230">
        <f t="shared" si="52"/>
        <v>2.6947267171500547E-2</v>
      </c>
      <c r="AF102" s="230">
        <f t="shared" si="52"/>
        <v>2.8901484947850661E-2</v>
      </c>
      <c r="AG102" s="230">
        <f t="shared" si="52"/>
        <v>3.0908090816641542E-2</v>
      </c>
      <c r="AH102" s="245"/>
      <c r="AI102" s="133"/>
      <c r="AJ102" s="211"/>
      <c r="AL102" s="108"/>
      <c r="AM102" s="2"/>
      <c r="AN102" s="2"/>
      <c r="AO102" s="2"/>
      <c r="BC102" s="1"/>
      <c r="BD102" s="2"/>
      <c r="BE102" s="2"/>
      <c r="BF102" s="2"/>
      <c r="BG102" s="2"/>
      <c r="BH102" s="2"/>
      <c r="BI102" s="2"/>
      <c r="BJ102" s="2"/>
      <c r="BK102" s="2"/>
    </row>
    <row r="103" spans="1:63" outlineLevel="1" x14ac:dyDescent="0.2">
      <c r="A103" s="4" t="s">
        <v>1561</v>
      </c>
      <c r="C103" s="230">
        <f t="shared" ref="C103:AG103" si="53">C99-$C99</f>
        <v>0</v>
      </c>
      <c r="D103" s="230">
        <f t="shared" si="53"/>
        <v>1.9679141641038746E-4</v>
      </c>
      <c r="E103" s="230">
        <f t="shared" si="53"/>
        <v>4.1548758637110822E-4</v>
      </c>
      <c r="F103" s="230">
        <f t="shared" si="53"/>
        <v>6.5546789316965604E-4</v>
      </c>
      <c r="G103" s="230">
        <f t="shared" si="53"/>
        <v>9.1580134208769871E-4</v>
      </c>
      <c r="H103" s="230">
        <f t="shared" si="53"/>
        <v>1.1952469547209864E-3</v>
      </c>
      <c r="I103" s="230">
        <f t="shared" si="53"/>
        <v>1.4954793771191782E-3</v>
      </c>
      <c r="J103" s="230">
        <f t="shared" si="53"/>
        <v>1.8167069470197566E-3</v>
      </c>
      <c r="K103" s="230">
        <f t="shared" si="53"/>
        <v>2.1590850733903531E-3</v>
      </c>
      <c r="L103" s="230">
        <f t="shared" si="53"/>
        <v>2.5227140648424653E-3</v>
      </c>
      <c r="M103" s="230">
        <f t="shared" si="53"/>
        <v>2.9076371038151221E-3</v>
      </c>
      <c r="N103" s="230">
        <f t="shared" si="53"/>
        <v>3.4091691097363512E-3</v>
      </c>
      <c r="O103" s="230">
        <f t="shared" si="53"/>
        <v>3.9439230333491041E-3</v>
      </c>
      <c r="P103" s="230">
        <f t="shared" si="53"/>
        <v>4.5091710544262406E-3</v>
      </c>
      <c r="Q103" s="230">
        <f t="shared" si="53"/>
        <v>5.1017680169006818E-3</v>
      </c>
      <c r="R103" s="230">
        <f t="shared" si="53"/>
        <v>5.7181784197002416E-3</v>
      </c>
      <c r="S103" s="230">
        <f t="shared" si="53"/>
        <v>6.3659583368083066E-3</v>
      </c>
      <c r="T103" s="230">
        <f t="shared" si="53"/>
        <v>7.0445168857237572E-3</v>
      </c>
      <c r="U103" s="230">
        <f t="shared" si="53"/>
        <v>7.753223016455345E-3</v>
      </c>
      <c r="V103" s="230">
        <f t="shared" si="53"/>
        <v>8.4914058021407241E-3</v>
      </c>
      <c r="W103" s="230">
        <f t="shared" si="53"/>
        <v>9.258354781311642E-3</v>
      </c>
      <c r="X103" s="230">
        <f t="shared" si="53"/>
        <v>1.0267749871135641E-2</v>
      </c>
      <c r="Y103" s="230">
        <f t="shared" si="53"/>
        <v>1.1323489911156913E-2</v>
      </c>
      <c r="Z103" s="230">
        <f t="shared" si="53"/>
        <v>1.2424452640507901E-2</v>
      </c>
      <c r="AA103" s="230">
        <f t="shared" si="53"/>
        <v>1.3569457696152138E-2</v>
      </c>
      <c r="AB103" s="230">
        <f t="shared" si="53"/>
        <v>1.4757267303069364E-2</v>
      </c>
      <c r="AC103" s="230">
        <f t="shared" si="53"/>
        <v>1.5986738177766878E-2</v>
      </c>
      <c r="AD103" s="230">
        <f t="shared" si="53"/>
        <v>1.7256556307493967E-2</v>
      </c>
      <c r="AE103" s="230">
        <f t="shared" si="53"/>
        <v>1.8565355041938306E-2</v>
      </c>
      <c r="AF103" s="230">
        <f t="shared" si="53"/>
        <v>1.9911715940663412E-2</v>
      </c>
      <c r="AG103" s="230">
        <f t="shared" si="53"/>
        <v>2.1294169684349107E-2</v>
      </c>
      <c r="AH103" s="245"/>
      <c r="AI103" s="133"/>
      <c r="AJ103" s="211"/>
      <c r="AL103" s="108"/>
      <c r="AM103" s="2"/>
      <c r="AN103" s="2"/>
      <c r="AO103" s="2"/>
      <c r="BC103" s="1"/>
      <c r="BD103" s="2"/>
      <c r="BE103" s="2"/>
      <c r="BF103" s="2"/>
      <c r="BG103" s="2"/>
      <c r="BH103" s="2"/>
      <c r="BI103" s="2"/>
      <c r="BJ103" s="2"/>
      <c r="BK103" s="2"/>
    </row>
    <row r="104" spans="1:63" s="1" customFormat="1" outlineLevel="1" x14ac:dyDescent="0.2">
      <c r="A104" s="1" t="s">
        <v>1569</v>
      </c>
      <c r="B104" s="65"/>
      <c r="C104" s="300">
        <f>C42*C70</f>
        <v>0.18277008388849009</v>
      </c>
      <c r="D104" s="300">
        <f t="shared" ref="D104:AG104" si="54">D42*D70</f>
        <v>0.19433438630416877</v>
      </c>
      <c r="E104" s="300">
        <f t="shared" si="54"/>
        <v>0.2058437699588376</v>
      </c>
      <c r="F104" s="300">
        <f t="shared" si="54"/>
        <v>0.21722063265397559</v>
      </c>
      <c r="G104" s="300">
        <f t="shared" si="54"/>
        <v>0.228385498794031</v>
      </c>
      <c r="H104" s="300">
        <f t="shared" si="54"/>
        <v>0.2392579352210234</v>
      </c>
      <c r="I104" s="300">
        <f t="shared" si="54"/>
        <v>0.25029635218791246</v>
      </c>
      <c r="J104" s="300">
        <f t="shared" si="54"/>
        <v>0.26148935248834726</v>
      </c>
      <c r="K104" s="300">
        <f t="shared" si="54"/>
        <v>0.27282489723638442</v>
      </c>
      <c r="L104" s="300">
        <f t="shared" si="54"/>
        <v>0.28429031943778976</v>
      </c>
      <c r="M104" s="300">
        <f t="shared" si="54"/>
        <v>0.29587233990051109</v>
      </c>
      <c r="N104" s="300">
        <f t="shared" si="54"/>
        <v>0.31640472326156588</v>
      </c>
      <c r="O104" s="300">
        <f t="shared" si="54"/>
        <v>0.33662980908375667</v>
      </c>
      <c r="P104" s="300">
        <f t="shared" si="54"/>
        <v>0.35642849328701975</v>
      </c>
      <c r="Q104" s="300">
        <f t="shared" si="54"/>
        <v>0.37568236718518333</v>
      </c>
      <c r="R104" s="300">
        <f t="shared" si="54"/>
        <v>0.39427488217774687</v>
      </c>
      <c r="S104" s="300">
        <f t="shared" si="54"/>
        <v>0.41283496826779975</v>
      </c>
      <c r="T104" s="300">
        <f t="shared" si="54"/>
        <v>0.43135065379515009</v>
      </c>
      <c r="U104" s="300">
        <f t="shared" si="54"/>
        <v>0.44980985862194001</v>
      </c>
      <c r="V104" s="300">
        <f t="shared" si="54"/>
        <v>0.46820040340418462</v>
      </c>
      <c r="W104" s="300">
        <f t="shared" si="54"/>
        <v>0.48651001908691532</v>
      </c>
      <c r="X104" s="300">
        <f t="shared" si="54"/>
        <v>0.51549177800429025</v>
      </c>
      <c r="Y104" s="300">
        <f t="shared" si="54"/>
        <v>0.54437329035799931</v>
      </c>
      <c r="Z104" s="300">
        <f t="shared" si="54"/>
        <v>0.5731360492692178</v>
      </c>
      <c r="AA104" s="300">
        <f t="shared" si="54"/>
        <v>0.60176143107183155</v>
      </c>
      <c r="AB104" s="300">
        <f t="shared" si="54"/>
        <v>0.63023070933927727</v>
      </c>
      <c r="AC104" s="300">
        <f t="shared" si="54"/>
        <v>0.65853129503838226</v>
      </c>
      <c r="AD104" s="300">
        <f t="shared" si="54"/>
        <v>0.68664510517187205</v>
      </c>
      <c r="AE104" s="300">
        <f t="shared" si="54"/>
        <v>0.71455398721266572</v>
      </c>
      <c r="AF104" s="300">
        <f t="shared" si="54"/>
        <v>0.74223973237422358</v>
      </c>
      <c r="AG104" s="300">
        <f t="shared" si="54"/>
        <v>0.76968408909899744</v>
      </c>
      <c r="AH104" s="245"/>
      <c r="AI104" s="423"/>
      <c r="AJ104" s="424"/>
      <c r="AL104" s="221"/>
      <c r="AM104" s="124"/>
      <c r="AN104" s="124"/>
      <c r="AO104" s="124"/>
      <c r="BD104" s="124"/>
      <c r="BE104" s="124"/>
      <c r="BF104" s="124"/>
      <c r="BG104" s="124"/>
      <c r="BH104" s="124"/>
      <c r="BI104" s="124"/>
      <c r="BJ104" s="124"/>
      <c r="BK104" s="124"/>
    </row>
    <row r="105" spans="1:63" outlineLevel="1" x14ac:dyDescent="0.2">
      <c r="A105" s="4" t="s">
        <v>474</v>
      </c>
      <c r="C105" s="230">
        <f>C$104*'Methanol recycling rates'!E42</f>
        <v>0.18277008388849009</v>
      </c>
      <c r="D105" s="230">
        <f>D$104*'Methanol recycling rates'!F42</f>
        <v>0.18785657342736314</v>
      </c>
      <c r="E105" s="230">
        <f>E$104*'Methanol recycling rates'!G42</f>
        <v>0.19212085196158177</v>
      </c>
      <c r="F105" s="230">
        <f>F$104*'Methanol recycling rates'!H42</f>
        <v>0.19549856938857804</v>
      </c>
      <c r="G105" s="230">
        <f>G$104*'Methanol recycling rates'!I42</f>
        <v>0.19793409895482689</v>
      </c>
      <c r="H105" s="230">
        <f>H$104*'Methanol recycling rates'!J42</f>
        <v>0.19938161268418617</v>
      </c>
      <c r="I105" s="230">
        <f>I$104*'Methanol recycling rates'!K42</f>
        <v>0.20023708175032998</v>
      </c>
      <c r="J105" s="230">
        <f>J$104*'Methanol recycling rates'!L42</f>
        <v>0.20047517024106626</v>
      </c>
      <c r="K105" s="230">
        <f>K$104*'Methanol recycling rates'!M42</f>
        <v>0.20007159130668192</v>
      </c>
      <c r="L105" s="230">
        <f>L$104*'Methanol recycling rates'!N42</f>
        <v>0.19900322360645284</v>
      </c>
      <c r="M105" s="230">
        <f>M$104*'Methanol recycling rates'!O42</f>
        <v>0.19724822660034075</v>
      </c>
      <c r="N105" s="230">
        <f>N$104*'Methanol recycling rates'!P42</f>
        <v>0.20038965806565842</v>
      </c>
      <c r="O105" s="230">
        <f>O$104*'Methanol recycling rates'!Q42</f>
        <v>0.20197788545025402</v>
      </c>
      <c r="P105" s="230">
        <f>P$104*'Methanol recycling rates'!R42</f>
        <v>0.2019761461959779</v>
      </c>
      <c r="Q105" s="230">
        <f>Q$104*'Methanol recycling rates'!S42</f>
        <v>0.20036392916543114</v>
      </c>
      <c r="R105" s="230">
        <f>R$104*'Methanol recycling rates'!T42</f>
        <v>0.19713744108887349</v>
      </c>
      <c r="S105" s="230">
        <f>S$104*'Methanol recycling rates'!U42</f>
        <v>0.19265631852497325</v>
      </c>
      <c r="T105" s="230">
        <f>T$104*'Methanol recycling rates'!V42</f>
        <v>0.18691861664456508</v>
      </c>
      <c r="U105" s="230">
        <f>U$104*'Methanol recycling rates'!W42</f>
        <v>0.17992394344877607</v>
      </c>
      <c r="V105" s="230">
        <f>V$104*'Methanol recycling rates'!X42</f>
        <v>0.17167348124820109</v>
      </c>
      <c r="W105" s="230">
        <f>W$104*'Methanol recycling rates'!Y42</f>
        <v>0.16217000636230519</v>
      </c>
      <c r="X105" s="230">
        <f>X$104*'Methanol recycling rates'!Z42</f>
        <v>0.15464753340128715</v>
      </c>
      <c r="Y105" s="230">
        <f>Y$104*'Methanol recycling rates'!AA42</f>
        <v>0.14516621076213324</v>
      </c>
      <c r="Z105" s="230">
        <f>Z$104*'Methanol recycling rates'!AB42</f>
        <v>0.13373174482948424</v>
      </c>
      <c r="AA105" s="230">
        <f>AA$104*'Methanol recycling rates'!AC42</f>
        <v>0.12035228621436642</v>
      </c>
      <c r="AB105" s="230">
        <f>AB$104*'Methanol recycling rates'!AD42</f>
        <v>0.10503845155654633</v>
      </c>
      <c r="AC105" s="230">
        <f>AC$104*'Methanol recycling rates'!AE42</f>
        <v>8.7804172671784433E-2</v>
      </c>
      <c r="AD105" s="230">
        <f>AD$104*'Methanol recycling rates'!AF42</f>
        <v>6.8664510517187347E-2</v>
      </c>
      <c r="AE105" s="230">
        <f>AE$104*'Methanol recycling rates'!AG42</f>
        <v>4.7636932480844531E-2</v>
      </c>
      <c r="AF105" s="230">
        <f>AF$104*'Methanol recycling rates'!AH42</f>
        <v>2.4741324412474272E-2</v>
      </c>
      <c r="AG105" s="230">
        <f>AG$104*'Methanol recycling rates'!AI42</f>
        <v>0</v>
      </c>
      <c r="AH105" s="245"/>
      <c r="AI105" s="133"/>
      <c r="AJ105" s="211"/>
      <c r="AL105" s="108"/>
      <c r="AM105" s="2"/>
      <c r="AN105" s="2"/>
      <c r="AO105" s="2"/>
      <c r="BC105" s="1"/>
      <c r="BD105" s="2"/>
      <c r="BE105" s="2"/>
      <c r="BF105" s="2"/>
      <c r="BG105" s="2"/>
      <c r="BH105" s="2"/>
      <c r="BI105" s="2"/>
      <c r="BJ105" s="2"/>
      <c r="BK105" s="2"/>
    </row>
    <row r="106" spans="1:63" outlineLevel="1" x14ac:dyDescent="0.2">
      <c r="A106" s="4" t="s">
        <v>745</v>
      </c>
      <c r="C106" s="230">
        <f>C$104*'Methanol recycling rates'!E43</f>
        <v>0</v>
      </c>
      <c r="D106" s="230">
        <f>D$104*'Methanol recycling rates'!F43</f>
        <v>3.2389064384028129E-3</v>
      </c>
      <c r="E106" s="230">
        <f>E$104*'Methanol recycling rates'!G43</f>
        <v>6.8614589986279199E-3</v>
      </c>
      <c r="F106" s="230">
        <f>F$104*'Methanol recycling rates'!H43</f>
        <v>1.0861031632698781E-2</v>
      </c>
      <c r="G106" s="230">
        <f>G$104*'Methanol recycling rates'!I43</f>
        <v>1.5225699919602067E-2</v>
      </c>
      <c r="H106" s="230">
        <f>H$104*'Methanol recycling rates'!J43</f>
        <v>1.9938161268418617E-2</v>
      </c>
      <c r="I106" s="230">
        <f>I$104*'Methanol recycling rates'!K43</f>
        <v>2.5029635218791244E-2</v>
      </c>
      <c r="J106" s="230">
        <f>J$104*'Methanol recycling rates'!L43</f>
        <v>3.0507091123640511E-2</v>
      </c>
      <c r="K106" s="230">
        <f>K$104*'Methanol recycling rates'!M43</f>
        <v>3.6376652964851257E-2</v>
      </c>
      <c r="L106" s="230">
        <f>L$104*'Methanol recycling rates'!N43</f>
        <v>4.2643547915668462E-2</v>
      </c>
      <c r="M106" s="230">
        <f>M$104*'Methanol recycling rates'!O43</f>
        <v>4.931205665008518E-2</v>
      </c>
      <c r="N106" s="230">
        <f>N$104*'Methanol recycling rates'!P43</f>
        <v>5.8007532597953743E-2</v>
      </c>
      <c r="O106" s="230">
        <f>O$104*'Methanol recycling rates'!Q43</f>
        <v>6.7325961816751323E-2</v>
      </c>
      <c r="P106" s="230">
        <f>P$104*'Methanol recycling rates'!R43</f>
        <v>7.7226173545520943E-2</v>
      </c>
      <c r="Q106" s="230">
        <f>Q$104*'Methanol recycling rates'!S43</f>
        <v>8.7659219009876096E-2</v>
      </c>
      <c r="R106" s="230">
        <f>R$104*'Methanol recycling rates'!T43</f>
        <v>9.8568720544436703E-2</v>
      </c>
      <c r="S106" s="230">
        <f>S$104*'Methanol recycling rates'!U43</f>
        <v>0.11008932487141326</v>
      </c>
      <c r="T106" s="230">
        <f>T$104*'Methanol recycling rates'!V43</f>
        <v>0.12221601857529252</v>
      </c>
      <c r="U106" s="230">
        <f>U$104*'Methanol recycling rates'!W43</f>
        <v>0.13494295758658201</v>
      </c>
      <c r="V106" s="230">
        <f>V$104*'Methanol recycling rates'!X43</f>
        <v>0.14826346107799179</v>
      </c>
      <c r="W106" s="230">
        <f>W$104*'Methanol recycling rates'!Y43</f>
        <v>0.16217000636230511</v>
      </c>
      <c r="X106" s="230">
        <f>X$104*'Methanol recycling rates'!Z43</f>
        <v>0.18042212230150156</v>
      </c>
      <c r="Y106" s="230">
        <f>Y$104*'Methanol recycling rates'!AA43</f>
        <v>0.19960353979793308</v>
      </c>
      <c r="Z106" s="230">
        <f>Z$104*'Methanol recycling rates'!AB43</f>
        <v>0.2197021522198668</v>
      </c>
      <c r="AA106" s="230">
        <f>AA$104*'Methanol recycling rates'!AC43</f>
        <v>0.24070457242873261</v>
      </c>
      <c r="AB106" s="230">
        <f>AB$104*'Methanol recycling rates'!AD43</f>
        <v>0.26259612889136552</v>
      </c>
      <c r="AC106" s="230">
        <f>AC$104*'Methanol recycling rates'!AE43</f>
        <v>0.28536356118329897</v>
      </c>
      <c r="AD106" s="230">
        <f>AD$104*'Methanol recycling rates'!AF43</f>
        <v>0.3089902973273424</v>
      </c>
      <c r="AE106" s="230">
        <f>AE$104*'Methanol recycling rates'!AG43</f>
        <v>0.33345852736591064</v>
      </c>
      <c r="AF106" s="230">
        <f>AF$104*'Methanol recycling rates'!AH43</f>
        <v>0.35874920398087468</v>
      </c>
      <c r="AG106" s="230">
        <f>AG$104*'Methanol recycling rates'!AI43</f>
        <v>0.38484204454949872</v>
      </c>
      <c r="AH106" s="245"/>
      <c r="AI106" s="133"/>
      <c r="AJ106" s="211"/>
      <c r="AL106" s="108"/>
      <c r="AM106" s="2"/>
      <c r="AN106" s="2"/>
      <c r="AO106" s="2"/>
      <c r="BC106" s="1"/>
      <c r="BD106" s="2"/>
      <c r="BE106" s="2"/>
      <c r="BF106" s="2"/>
      <c r="BG106" s="2"/>
      <c r="BH106" s="2"/>
      <c r="BI106" s="2"/>
      <c r="BJ106" s="2"/>
      <c r="BK106" s="2"/>
    </row>
    <row r="107" spans="1:63" outlineLevel="1" x14ac:dyDescent="0.2">
      <c r="A107" s="4" t="s">
        <v>1561</v>
      </c>
      <c r="C107" s="230">
        <f>C$104*'Methanol recycling rates'!E44</f>
        <v>0</v>
      </c>
      <c r="D107" s="230">
        <f>D$104*'Methanol recycling rates'!F44</f>
        <v>3.2389064384028129E-3</v>
      </c>
      <c r="E107" s="230">
        <f>E$104*'Methanol recycling rates'!G44</f>
        <v>6.8614589986279199E-3</v>
      </c>
      <c r="F107" s="230">
        <f>F$104*'Methanol recycling rates'!H44</f>
        <v>1.0861031632698781E-2</v>
      </c>
      <c r="G107" s="230">
        <f>G$104*'Methanol recycling rates'!I44</f>
        <v>1.5225699919602067E-2</v>
      </c>
      <c r="H107" s="230">
        <f>H$104*'Methanol recycling rates'!J44</f>
        <v>1.9938161268418617E-2</v>
      </c>
      <c r="I107" s="230">
        <f>I$104*'Methanol recycling rates'!K44</f>
        <v>2.5029635218791244E-2</v>
      </c>
      <c r="J107" s="230">
        <f>J$104*'Methanol recycling rates'!L44</f>
        <v>3.0507091123640511E-2</v>
      </c>
      <c r="K107" s="230">
        <f>K$104*'Methanol recycling rates'!M44</f>
        <v>3.6376652964851257E-2</v>
      </c>
      <c r="L107" s="230">
        <f>L$104*'Methanol recycling rates'!N44</f>
        <v>4.2643547915668462E-2</v>
      </c>
      <c r="M107" s="230">
        <f>M$104*'Methanol recycling rates'!O44</f>
        <v>4.931205665008518E-2</v>
      </c>
      <c r="N107" s="230">
        <f>N$104*'Methanol recycling rates'!P44</f>
        <v>5.8007532597953743E-2</v>
      </c>
      <c r="O107" s="230">
        <f>O$104*'Methanol recycling rates'!Q44</f>
        <v>6.7325961816751323E-2</v>
      </c>
      <c r="P107" s="230">
        <f>P$104*'Methanol recycling rates'!R44</f>
        <v>7.7226173545520943E-2</v>
      </c>
      <c r="Q107" s="230">
        <f>Q$104*'Methanol recycling rates'!S44</f>
        <v>8.7659219009876096E-2</v>
      </c>
      <c r="R107" s="230">
        <f>R$104*'Methanol recycling rates'!T44</f>
        <v>9.8568720544436703E-2</v>
      </c>
      <c r="S107" s="230">
        <f>S$104*'Methanol recycling rates'!U44</f>
        <v>0.11008932487141326</v>
      </c>
      <c r="T107" s="230">
        <f>T$104*'Methanol recycling rates'!V44</f>
        <v>0.12221601857529252</v>
      </c>
      <c r="U107" s="230">
        <f>U$104*'Methanol recycling rates'!W44</f>
        <v>0.13494295758658201</v>
      </c>
      <c r="V107" s="230">
        <f>V$104*'Methanol recycling rates'!X44</f>
        <v>0.14826346107799179</v>
      </c>
      <c r="W107" s="230">
        <f>W$104*'Methanol recycling rates'!Y44</f>
        <v>0.16217000636230511</v>
      </c>
      <c r="X107" s="230">
        <f>X$104*'Methanol recycling rates'!Z44</f>
        <v>0.18042212230150156</v>
      </c>
      <c r="Y107" s="230">
        <f>Y$104*'Methanol recycling rates'!AA44</f>
        <v>0.19960353979793308</v>
      </c>
      <c r="Z107" s="230">
        <f>Z$104*'Methanol recycling rates'!AB44</f>
        <v>0.2197021522198668</v>
      </c>
      <c r="AA107" s="230">
        <f>AA$104*'Methanol recycling rates'!AC44</f>
        <v>0.24070457242873261</v>
      </c>
      <c r="AB107" s="230">
        <f>AB$104*'Methanol recycling rates'!AD44</f>
        <v>0.26259612889136552</v>
      </c>
      <c r="AC107" s="230">
        <f>AC$104*'Methanol recycling rates'!AE44</f>
        <v>0.28536356118329897</v>
      </c>
      <c r="AD107" s="230">
        <f>AD$104*'Methanol recycling rates'!AF44</f>
        <v>0.3089902973273424</v>
      </c>
      <c r="AE107" s="230">
        <f>AE$104*'Methanol recycling rates'!AG44</f>
        <v>0.33345852736591064</v>
      </c>
      <c r="AF107" s="230">
        <f>AF$104*'Methanol recycling rates'!AH44</f>
        <v>0.35874920398087468</v>
      </c>
      <c r="AG107" s="230">
        <f>AG$104*'Methanol recycling rates'!AI44</f>
        <v>0.38484204454949872</v>
      </c>
      <c r="AH107" s="245"/>
      <c r="AI107" s="133"/>
      <c r="AJ107" s="211"/>
      <c r="AL107" s="108"/>
      <c r="AM107" s="2"/>
      <c r="AN107" s="2"/>
      <c r="AO107" s="2"/>
      <c r="BC107" s="1"/>
      <c r="BD107" s="2"/>
      <c r="BE107" s="2"/>
      <c r="BF107" s="2"/>
      <c r="BG107" s="2"/>
      <c r="BH107" s="2"/>
      <c r="BI107" s="2"/>
      <c r="BJ107" s="2"/>
      <c r="BK107" s="2"/>
    </row>
    <row r="108" spans="1:63" s="1" customFormat="1" outlineLevel="1" x14ac:dyDescent="0.2">
      <c r="A108" s="1" t="s">
        <v>1570</v>
      </c>
      <c r="B108" s="65"/>
      <c r="C108" s="300">
        <f>C104-$C104</f>
        <v>0</v>
      </c>
      <c r="D108" s="300">
        <f t="shared" ref="D108:AG108" si="55">D104-$C104</f>
        <v>1.1564302415678684E-2</v>
      </c>
      <c r="E108" s="300">
        <f t="shared" si="55"/>
        <v>2.3073686070347516E-2</v>
      </c>
      <c r="F108" s="300">
        <f t="shared" si="55"/>
        <v>3.4450548765485506E-2</v>
      </c>
      <c r="G108" s="300">
        <f t="shared" si="55"/>
        <v>4.5615414905540913E-2</v>
      </c>
      <c r="H108" s="300">
        <f t="shared" si="55"/>
        <v>5.6487851332533312E-2</v>
      </c>
      <c r="I108" s="300">
        <f t="shared" si="55"/>
        <v>6.7526268299422376E-2</v>
      </c>
      <c r="J108" s="300">
        <f t="shared" si="55"/>
        <v>7.8719268599857173E-2</v>
      </c>
      <c r="K108" s="300">
        <f t="shared" si="55"/>
        <v>9.0054813347894336E-2</v>
      </c>
      <c r="L108" s="300">
        <f t="shared" si="55"/>
        <v>0.10152023554929968</v>
      </c>
      <c r="M108" s="300">
        <f t="shared" si="55"/>
        <v>0.11310225601202101</v>
      </c>
      <c r="N108" s="300">
        <f t="shared" si="55"/>
        <v>0.13363463937307579</v>
      </c>
      <c r="O108" s="300">
        <f t="shared" si="55"/>
        <v>0.15385972519526658</v>
      </c>
      <c r="P108" s="300">
        <f t="shared" si="55"/>
        <v>0.17365840939852967</v>
      </c>
      <c r="Q108" s="300">
        <f t="shared" si="55"/>
        <v>0.19291228329669324</v>
      </c>
      <c r="R108" s="300">
        <f t="shared" si="55"/>
        <v>0.21150479828925678</v>
      </c>
      <c r="S108" s="300">
        <f t="shared" si="55"/>
        <v>0.23006488437930966</v>
      </c>
      <c r="T108" s="300">
        <f t="shared" si="55"/>
        <v>0.24858056990666</v>
      </c>
      <c r="U108" s="300">
        <f t="shared" si="55"/>
        <v>0.26703977473344992</v>
      </c>
      <c r="V108" s="300">
        <f t="shared" si="55"/>
        <v>0.28543031951569453</v>
      </c>
      <c r="W108" s="300">
        <f t="shared" si="55"/>
        <v>0.30373993519842524</v>
      </c>
      <c r="X108" s="300">
        <f t="shared" si="55"/>
        <v>0.33272169411580016</v>
      </c>
      <c r="Y108" s="300">
        <f t="shared" si="55"/>
        <v>0.36160320646950922</v>
      </c>
      <c r="Z108" s="300">
        <f t="shared" si="55"/>
        <v>0.39036596538072771</v>
      </c>
      <c r="AA108" s="300">
        <f t="shared" si="55"/>
        <v>0.41899134718334147</v>
      </c>
      <c r="AB108" s="300">
        <f t="shared" si="55"/>
        <v>0.44746062545078719</v>
      </c>
      <c r="AC108" s="300">
        <f t="shared" si="55"/>
        <v>0.47576121114989217</v>
      </c>
      <c r="AD108" s="300">
        <f t="shared" si="55"/>
        <v>0.50387502128338202</v>
      </c>
      <c r="AE108" s="300">
        <f t="shared" si="55"/>
        <v>0.53178390332417558</v>
      </c>
      <c r="AF108" s="300">
        <f t="shared" si="55"/>
        <v>0.55946964848573355</v>
      </c>
      <c r="AG108" s="300">
        <f t="shared" si="55"/>
        <v>0.58691400521050729</v>
      </c>
      <c r="AH108" s="245"/>
      <c r="AI108" s="423"/>
      <c r="AJ108" s="424"/>
      <c r="AL108" s="221"/>
      <c r="AM108" s="124"/>
      <c r="AN108" s="124"/>
      <c r="AO108" s="124"/>
      <c r="BD108" s="124"/>
      <c r="BE108" s="124"/>
      <c r="BF108" s="124"/>
      <c r="BG108" s="124"/>
      <c r="BH108" s="124"/>
      <c r="BI108" s="124"/>
      <c r="BJ108" s="124"/>
      <c r="BK108" s="124"/>
    </row>
    <row r="109" spans="1:63" outlineLevel="1" x14ac:dyDescent="0.2">
      <c r="A109" s="4" t="s">
        <v>474</v>
      </c>
      <c r="C109" s="230">
        <f t="shared" ref="C109:AF109" si="56">C105-$C105</f>
        <v>0</v>
      </c>
      <c r="D109" s="230">
        <f t="shared" si="56"/>
        <v>5.0864895388730569E-3</v>
      </c>
      <c r="E109" s="230">
        <f t="shared" si="56"/>
        <v>9.3507680730916809E-3</v>
      </c>
      <c r="F109" s="230">
        <f t="shared" si="56"/>
        <v>1.2728485500087955E-2</v>
      </c>
      <c r="G109" s="230">
        <f t="shared" si="56"/>
        <v>1.51640150663368E-2</v>
      </c>
      <c r="H109" s="230">
        <f t="shared" si="56"/>
        <v>1.6611528795696079E-2</v>
      </c>
      <c r="I109" s="230">
        <f t="shared" si="56"/>
        <v>1.7466997861839889E-2</v>
      </c>
      <c r="J109" s="230">
        <f t="shared" si="56"/>
        <v>1.7705086352576171E-2</v>
      </c>
      <c r="K109" s="230">
        <f t="shared" si="56"/>
        <v>1.7301507418191836E-2</v>
      </c>
      <c r="L109" s="230">
        <f t="shared" si="56"/>
        <v>1.6233139717962752E-2</v>
      </c>
      <c r="M109" s="230">
        <f t="shared" si="56"/>
        <v>1.4478142711850661E-2</v>
      </c>
      <c r="N109" s="230">
        <f t="shared" si="56"/>
        <v>1.7619574177168335E-2</v>
      </c>
      <c r="O109" s="230">
        <f t="shared" si="56"/>
        <v>1.9207801561763937E-2</v>
      </c>
      <c r="P109" s="230">
        <f t="shared" si="56"/>
        <v>1.9206062307487809E-2</v>
      </c>
      <c r="Q109" s="230">
        <f t="shared" si="56"/>
        <v>1.759384527694105E-2</v>
      </c>
      <c r="R109" s="230">
        <f t="shared" si="56"/>
        <v>1.4367357200383402E-2</v>
      </c>
      <c r="S109" s="230">
        <f t="shared" si="56"/>
        <v>9.8862346364831655E-3</v>
      </c>
      <c r="T109" s="230">
        <f t="shared" si="56"/>
        <v>4.1485327560749907E-3</v>
      </c>
      <c r="U109" s="230">
        <f t="shared" si="56"/>
        <v>-2.8461404397140122E-3</v>
      </c>
      <c r="V109" s="230">
        <f t="shared" si="56"/>
        <v>-1.1096602640288999E-2</v>
      </c>
      <c r="W109" s="230">
        <f t="shared" si="56"/>
        <v>-2.0600077526184896E-2</v>
      </c>
      <c r="X109" s="230">
        <f t="shared" si="56"/>
        <v>-2.8122550487202941E-2</v>
      </c>
      <c r="Y109" s="230">
        <f t="shared" si="56"/>
        <v>-3.7603873126356852E-2</v>
      </c>
      <c r="Z109" s="230">
        <f t="shared" si="56"/>
        <v>-4.9038339059005842E-2</v>
      </c>
      <c r="AA109" s="230">
        <f t="shared" si="56"/>
        <v>-6.2417797674123671E-2</v>
      </c>
      <c r="AB109" s="230">
        <f t="shared" si="56"/>
        <v>-7.7731632331943759E-2</v>
      </c>
      <c r="AC109" s="230">
        <f t="shared" si="56"/>
        <v>-9.4965911216705653E-2</v>
      </c>
      <c r="AD109" s="230">
        <f t="shared" si="56"/>
        <v>-0.11410557337130274</v>
      </c>
      <c r="AE109" s="230">
        <f t="shared" si="56"/>
        <v>-0.13513315140764556</v>
      </c>
      <c r="AF109" s="230">
        <f t="shared" si="56"/>
        <v>-0.1580287594760158</v>
      </c>
      <c r="AG109" s="230">
        <f>AG105-$C105</f>
        <v>-0.18277008388849009</v>
      </c>
      <c r="AH109" s="245"/>
      <c r="AI109" s="133"/>
      <c r="AJ109" s="211"/>
      <c r="AL109" s="108"/>
      <c r="AM109" s="2"/>
      <c r="AN109" s="2"/>
      <c r="AO109" s="2"/>
      <c r="BC109" s="1"/>
      <c r="BD109" s="2"/>
      <c r="BE109" s="2"/>
      <c r="BF109" s="2"/>
      <c r="BG109" s="2"/>
      <c r="BH109" s="2"/>
      <c r="BI109" s="2"/>
      <c r="BJ109" s="2"/>
      <c r="BK109" s="2"/>
    </row>
    <row r="110" spans="1:63" outlineLevel="1" x14ac:dyDescent="0.2">
      <c r="A110" s="4" t="s">
        <v>745</v>
      </c>
      <c r="C110" s="230">
        <f t="shared" ref="C110:AG110" si="57">C106-$C106</f>
        <v>0</v>
      </c>
      <c r="D110" s="230">
        <f t="shared" si="57"/>
        <v>3.2389064384028129E-3</v>
      </c>
      <c r="E110" s="230">
        <f t="shared" si="57"/>
        <v>6.8614589986279199E-3</v>
      </c>
      <c r="F110" s="230">
        <f t="shared" si="57"/>
        <v>1.0861031632698781E-2</v>
      </c>
      <c r="G110" s="230">
        <f t="shared" si="57"/>
        <v>1.5225699919602067E-2</v>
      </c>
      <c r="H110" s="230">
        <f t="shared" si="57"/>
        <v>1.9938161268418617E-2</v>
      </c>
      <c r="I110" s="230">
        <f t="shared" si="57"/>
        <v>2.5029635218791244E-2</v>
      </c>
      <c r="J110" s="230">
        <f t="shared" si="57"/>
        <v>3.0507091123640511E-2</v>
      </c>
      <c r="K110" s="230">
        <f t="shared" si="57"/>
        <v>3.6376652964851257E-2</v>
      </c>
      <c r="L110" s="230">
        <f t="shared" si="57"/>
        <v>4.2643547915668462E-2</v>
      </c>
      <c r="M110" s="230">
        <f t="shared" si="57"/>
        <v>4.931205665008518E-2</v>
      </c>
      <c r="N110" s="230">
        <f t="shared" si="57"/>
        <v>5.8007532597953743E-2</v>
      </c>
      <c r="O110" s="230">
        <f t="shared" si="57"/>
        <v>6.7325961816751323E-2</v>
      </c>
      <c r="P110" s="230">
        <f t="shared" si="57"/>
        <v>7.7226173545520943E-2</v>
      </c>
      <c r="Q110" s="230">
        <f t="shared" si="57"/>
        <v>8.7659219009876096E-2</v>
      </c>
      <c r="R110" s="230">
        <f t="shared" si="57"/>
        <v>9.8568720544436703E-2</v>
      </c>
      <c r="S110" s="230">
        <f t="shared" si="57"/>
        <v>0.11008932487141326</v>
      </c>
      <c r="T110" s="230">
        <f t="shared" si="57"/>
        <v>0.12221601857529252</v>
      </c>
      <c r="U110" s="230">
        <f t="shared" si="57"/>
        <v>0.13494295758658201</v>
      </c>
      <c r="V110" s="230">
        <f t="shared" si="57"/>
        <v>0.14826346107799179</v>
      </c>
      <c r="W110" s="230">
        <f t="shared" si="57"/>
        <v>0.16217000636230511</v>
      </c>
      <c r="X110" s="230">
        <f t="shared" si="57"/>
        <v>0.18042212230150156</v>
      </c>
      <c r="Y110" s="230">
        <f t="shared" si="57"/>
        <v>0.19960353979793308</v>
      </c>
      <c r="Z110" s="230">
        <f t="shared" si="57"/>
        <v>0.2197021522198668</v>
      </c>
      <c r="AA110" s="230">
        <f t="shared" si="57"/>
        <v>0.24070457242873261</v>
      </c>
      <c r="AB110" s="230">
        <f t="shared" si="57"/>
        <v>0.26259612889136552</v>
      </c>
      <c r="AC110" s="230">
        <f t="shared" si="57"/>
        <v>0.28536356118329897</v>
      </c>
      <c r="AD110" s="230">
        <f t="shared" si="57"/>
        <v>0.3089902973273424</v>
      </c>
      <c r="AE110" s="230">
        <f t="shared" si="57"/>
        <v>0.33345852736591064</v>
      </c>
      <c r="AF110" s="230">
        <f t="shared" si="57"/>
        <v>0.35874920398087468</v>
      </c>
      <c r="AG110" s="230">
        <f t="shared" si="57"/>
        <v>0.38484204454949872</v>
      </c>
      <c r="AH110" s="245"/>
      <c r="AI110" s="133"/>
      <c r="AJ110" s="211"/>
      <c r="AL110" s="108"/>
      <c r="AM110" s="2"/>
      <c r="AN110" s="2"/>
      <c r="AO110" s="2"/>
      <c r="BC110" s="1"/>
      <c r="BD110" s="2"/>
      <c r="BE110" s="2"/>
      <c r="BF110" s="2"/>
      <c r="BG110" s="2"/>
      <c r="BH110" s="2"/>
      <c r="BI110" s="2"/>
      <c r="BJ110" s="2"/>
      <c r="BK110" s="2"/>
    </row>
    <row r="111" spans="1:63" outlineLevel="1" x14ac:dyDescent="0.2">
      <c r="A111" s="4" t="s">
        <v>1561</v>
      </c>
      <c r="C111" s="230">
        <f t="shared" ref="C111:AG111" si="58">C107-$C107</f>
        <v>0</v>
      </c>
      <c r="D111" s="230">
        <f t="shared" si="58"/>
        <v>3.2389064384028129E-3</v>
      </c>
      <c r="E111" s="230">
        <f t="shared" si="58"/>
        <v>6.8614589986279199E-3</v>
      </c>
      <c r="F111" s="230">
        <f t="shared" si="58"/>
        <v>1.0861031632698781E-2</v>
      </c>
      <c r="G111" s="230">
        <f t="shared" si="58"/>
        <v>1.5225699919602067E-2</v>
      </c>
      <c r="H111" s="230">
        <f t="shared" si="58"/>
        <v>1.9938161268418617E-2</v>
      </c>
      <c r="I111" s="230">
        <f t="shared" si="58"/>
        <v>2.5029635218791244E-2</v>
      </c>
      <c r="J111" s="230">
        <f t="shared" si="58"/>
        <v>3.0507091123640511E-2</v>
      </c>
      <c r="K111" s="230">
        <f t="shared" si="58"/>
        <v>3.6376652964851257E-2</v>
      </c>
      <c r="L111" s="230">
        <f t="shared" si="58"/>
        <v>4.2643547915668462E-2</v>
      </c>
      <c r="M111" s="230">
        <f t="shared" si="58"/>
        <v>4.931205665008518E-2</v>
      </c>
      <c r="N111" s="230">
        <f t="shared" si="58"/>
        <v>5.8007532597953743E-2</v>
      </c>
      <c r="O111" s="230">
        <f t="shared" si="58"/>
        <v>6.7325961816751323E-2</v>
      </c>
      <c r="P111" s="230">
        <f t="shared" si="58"/>
        <v>7.7226173545520943E-2</v>
      </c>
      <c r="Q111" s="230">
        <f t="shared" si="58"/>
        <v>8.7659219009876096E-2</v>
      </c>
      <c r="R111" s="230">
        <f t="shared" si="58"/>
        <v>9.8568720544436703E-2</v>
      </c>
      <c r="S111" s="230">
        <f t="shared" si="58"/>
        <v>0.11008932487141326</v>
      </c>
      <c r="T111" s="230">
        <f t="shared" si="58"/>
        <v>0.12221601857529252</v>
      </c>
      <c r="U111" s="230">
        <f t="shared" si="58"/>
        <v>0.13494295758658201</v>
      </c>
      <c r="V111" s="230">
        <f t="shared" si="58"/>
        <v>0.14826346107799179</v>
      </c>
      <c r="W111" s="230">
        <f t="shared" si="58"/>
        <v>0.16217000636230511</v>
      </c>
      <c r="X111" s="230">
        <f t="shared" si="58"/>
        <v>0.18042212230150156</v>
      </c>
      <c r="Y111" s="230">
        <f t="shared" si="58"/>
        <v>0.19960353979793308</v>
      </c>
      <c r="Z111" s="230">
        <f t="shared" si="58"/>
        <v>0.2197021522198668</v>
      </c>
      <c r="AA111" s="230">
        <f t="shared" si="58"/>
        <v>0.24070457242873261</v>
      </c>
      <c r="AB111" s="230">
        <f t="shared" si="58"/>
        <v>0.26259612889136552</v>
      </c>
      <c r="AC111" s="230">
        <f t="shared" si="58"/>
        <v>0.28536356118329897</v>
      </c>
      <c r="AD111" s="230">
        <f t="shared" si="58"/>
        <v>0.3089902973273424</v>
      </c>
      <c r="AE111" s="230">
        <f t="shared" si="58"/>
        <v>0.33345852736591064</v>
      </c>
      <c r="AF111" s="230">
        <f t="shared" si="58"/>
        <v>0.35874920398087468</v>
      </c>
      <c r="AG111" s="230">
        <f t="shared" si="58"/>
        <v>0.38484204454949872</v>
      </c>
      <c r="AH111" s="245"/>
      <c r="AI111" s="133"/>
      <c r="AJ111" s="211"/>
      <c r="AL111" s="108"/>
      <c r="AM111" s="2"/>
      <c r="AN111" s="2"/>
      <c r="AO111" s="2"/>
      <c r="BC111" s="1"/>
      <c r="BD111" s="2"/>
      <c r="BE111" s="2"/>
      <c r="BF111" s="2"/>
      <c r="BG111" s="2"/>
      <c r="BH111" s="2"/>
      <c r="BI111" s="2"/>
      <c r="BJ111" s="2"/>
      <c r="BK111" s="2"/>
    </row>
    <row r="112" spans="1:63" outlineLevel="1" x14ac:dyDescent="0.2">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c r="AD112" s="23"/>
      <c r="AE112" s="23"/>
      <c r="AF112" s="23"/>
      <c r="AG112" s="23"/>
      <c r="AI112" s="134"/>
      <c r="AJ112" s="211"/>
      <c r="AL112" s="108"/>
      <c r="AM112" s="132"/>
      <c r="AN112" s="2"/>
      <c r="AO112" s="2"/>
    </row>
    <row r="113" spans="1:62" s="200" customFormat="1" ht="16" thickBot="1" x14ac:dyDescent="0.25">
      <c r="A113" s="200" t="s">
        <v>1330</v>
      </c>
      <c r="B113" s="215"/>
      <c r="C113" s="222">
        <f>C114</f>
        <v>2.5000000000000001E-2</v>
      </c>
      <c r="D113" s="222">
        <f t="shared" ref="D113:AG113" si="59">D114</f>
        <v>3.1255416735465176E-2</v>
      </c>
      <c r="E113" s="222">
        <f t="shared" si="59"/>
        <v>3.7510833470930344E-2</v>
      </c>
      <c r="F113" s="222">
        <f t="shared" si="59"/>
        <v>4.3766250206395518E-2</v>
      </c>
      <c r="G113" s="222">
        <f t="shared" si="59"/>
        <v>5.0021666941860693E-2</v>
      </c>
      <c r="H113" s="222">
        <f t="shared" si="59"/>
        <v>5.6277083677325861E-2</v>
      </c>
      <c r="I113" s="222">
        <f t="shared" si="59"/>
        <v>6.2532500412791042E-2</v>
      </c>
      <c r="J113" s="222">
        <f t="shared" si="59"/>
        <v>6.8787917148256203E-2</v>
      </c>
      <c r="K113" s="222">
        <f t="shared" si="59"/>
        <v>7.5043333883721378E-2</v>
      </c>
      <c r="L113" s="222">
        <f t="shared" si="59"/>
        <v>8.1298750619186552E-2</v>
      </c>
      <c r="M113" s="222">
        <f t="shared" si="59"/>
        <v>8.7554167354651713E-2</v>
      </c>
      <c r="N113" s="222">
        <f t="shared" si="59"/>
        <v>0.10073866108940137</v>
      </c>
      <c r="O113" s="222">
        <f t="shared" si="59"/>
        <v>0.11392315482415102</v>
      </c>
      <c r="P113" s="222">
        <f t="shared" si="59"/>
        <v>0.12710764855890069</v>
      </c>
      <c r="Q113" s="222">
        <f t="shared" si="59"/>
        <v>0.14029214229365033</v>
      </c>
      <c r="R113" s="222">
        <f t="shared" si="59"/>
        <v>0.1534766360284</v>
      </c>
      <c r="S113" s="222">
        <f t="shared" si="59"/>
        <v>0.16666112976314967</v>
      </c>
      <c r="T113" s="222">
        <f t="shared" si="59"/>
        <v>0.17984562349789934</v>
      </c>
      <c r="U113" s="222">
        <f t="shared" si="59"/>
        <v>0.19303011723264898</v>
      </c>
      <c r="V113" s="222">
        <f t="shared" si="59"/>
        <v>0.20621461096739863</v>
      </c>
      <c r="W113" s="222">
        <f t="shared" si="59"/>
        <v>0.2193991047021483</v>
      </c>
      <c r="X113" s="222">
        <f t="shared" si="59"/>
        <v>0.24145919423193346</v>
      </c>
      <c r="Y113" s="222">
        <f t="shared" si="59"/>
        <v>0.26351928376171863</v>
      </c>
      <c r="Z113" s="222">
        <f t="shared" si="59"/>
        <v>0.28557937329150385</v>
      </c>
      <c r="AA113" s="222">
        <f t="shared" si="59"/>
        <v>0.30763946282128896</v>
      </c>
      <c r="AB113" s="222">
        <f t="shared" si="59"/>
        <v>0.32969955235107418</v>
      </c>
      <c r="AC113" s="222">
        <f t="shared" si="59"/>
        <v>0.35175964188085934</v>
      </c>
      <c r="AD113" s="222">
        <f t="shared" si="59"/>
        <v>0.37381973141064451</v>
      </c>
      <c r="AE113" s="222">
        <f t="shared" si="59"/>
        <v>0.39587982094042967</v>
      </c>
      <c r="AF113" s="222">
        <f t="shared" si="59"/>
        <v>0.41793991047021484</v>
      </c>
      <c r="AG113" s="222">
        <f t="shared" si="59"/>
        <v>0.44</v>
      </c>
      <c r="AJ113" s="231" t="s">
        <v>1331</v>
      </c>
      <c r="AL113" s="217"/>
      <c r="AM113" s="218"/>
      <c r="AN113" s="218"/>
      <c r="AO113" s="218"/>
    </row>
    <row r="114" spans="1:62" ht="16" outlineLevel="1" thickTop="1" x14ac:dyDescent="0.2">
      <c r="A114" t="s">
        <v>1332</v>
      </c>
      <c r="B114" s="54" t="s">
        <v>462</v>
      </c>
      <c r="C114" s="214">
        <v>2.5000000000000001E-2</v>
      </c>
      <c r="D114" s="110">
        <f>$C114+($M114-$C114)/10*(D$1-$C$1)</f>
        <v>3.1255416735465176E-2</v>
      </c>
      <c r="E114" s="110">
        <f t="shared" ref="E114:L114" si="60">$C114+($M114-$C114)/10*(E$1-$C$1)</f>
        <v>3.7510833470930344E-2</v>
      </c>
      <c r="F114" s="110">
        <f t="shared" si="60"/>
        <v>4.3766250206395518E-2</v>
      </c>
      <c r="G114" s="110">
        <f t="shared" si="60"/>
        <v>5.0021666941860693E-2</v>
      </c>
      <c r="H114" s="110">
        <f t="shared" si="60"/>
        <v>5.6277083677325861E-2</v>
      </c>
      <c r="I114" s="110">
        <f t="shared" si="60"/>
        <v>6.2532500412791042E-2</v>
      </c>
      <c r="J114" s="110">
        <f t="shared" si="60"/>
        <v>6.8787917148256203E-2</v>
      </c>
      <c r="K114" s="110">
        <f t="shared" si="60"/>
        <v>7.5043333883721378E-2</v>
      </c>
      <c r="L114" s="110">
        <f t="shared" si="60"/>
        <v>8.1298750619186552E-2</v>
      </c>
      <c r="M114" s="121">
        <f>(M$52-$C$52)/($AG$52-$C$52)*($AG114-$C114)+$C114</f>
        <v>8.7554167354651713E-2</v>
      </c>
      <c r="N114" s="121">
        <f>$M114+($W114-$M114)/10*(N$1-$M$1)</f>
        <v>0.10073866108940137</v>
      </c>
      <c r="O114" s="121">
        <f t="shared" ref="O114:U114" si="61">$M114+($W114-$M114)/10*(O$1-$M$1)</f>
        <v>0.11392315482415102</v>
      </c>
      <c r="P114" s="121">
        <f t="shared" si="61"/>
        <v>0.12710764855890069</v>
      </c>
      <c r="Q114" s="121">
        <f t="shared" si="61"/>
        <v>0.14029214229365033</v>
      </c>
      <c r="R114" s="121">
        <f t="shared" si="61"/>
        <v>0.1534766360284</v>
      </c>
      <c r="S114" s="121">
        <f t="shared" si="61"/>
        <v>0.16666112976314967</v>
      </c>
      <c r="T114" s="121">
        <f t="shared" si="61"/>
        <v>0.17984562349789934</v>
      </c>
      <c r="U114" s="121">
        <f t="shared" si="61"/>
        <v>0.19303011723264898</v>
      </c>
      <c r="V114" s="121">
        <f>$M114+($W114-$M114)/10*(V$1-$M$1)</f>
        <v>0.20621461096739863</v>
      </c>
      <c r="W114" s="121">
        <f>(W$52-$C$52)/($AG$52-$C$52)*($AG114-$C114)+$C114</f>
        <v>0.2193991047021483</v>
      </c>
      <c r="X114" s="110">
        <f>$W114+($AG114-$W114)/10*(X$1-$W$1)</f>
        <v>0.24145919423193346</v>
      </c>
      <c r="Y114" s="110">
        <f t="shared" ref="Y114:AF114" si="62">$W114+($AG114-$W114)/10*(Y$1-$W$1)</f>
        <v>0.26351928376171863</v>
      </c>
      <c r="Z114" s="110">
        <f t="shared" si="62"/>
        <v>0.28557937329150385</v>
      </c>
      <c r="AA114" s="110">
        <f t="shared" si="62"/>
        <v>0.30763946282128896</v>
      </c>
      <c r="AB114" s="110">
        <f t="shared" si="62"/>
        <v>0.32969955235107418</v>
      </c>
      <c r="AC114" s="110">
        <f t="shared" si="62"/>
        <v>0.35175964188085934</v>
      </c>
      <c r="AD114" s="110">
        <f t="shared" si="62"/>
        <v>0.37381973141064451</v>
      </c>
      <c r="AE114" s="110">
        <f t="shared" si="62"/>
        <v>0.39587982094042967</v>
      </c>
      <c r="AF114" s="110">
        <f t="shared" si="62"/>
        <v>0.41793991047021484</v>
      </c>
      <c r="AG114" s="214">
        <v>0.44</v>
      </c>
      <c r="AJ114" s="211" t="s">
        <v>1436</v>
      </c>
    </row>
    <row r="115" spans="1:62" outlineLevel="1" x14ac:dyDescent="0.2">
      <c r="A115" t="s">
        <v>1437</v>
      </c>
      <c r="B115" s="54" t="s">
        <v>462</v>
      </c>
      <c r="C115" s="214">
        <v>0.08</v>
      </c>
      <c r="D115" s="110">
        <f t="shared" ref="D115:AF115" si="63">C115-($C$115-$AG$115)/($AG$1-$C$1)</f>
        <v>0.10400000000000001</v>
      </c>
      <c r="E115" s="110">
        <f t="shared" si="63"/>
        <v>0.128</v>
      </c>
      <c r="F115" s="110">
        <f t="shared" si="63"/>
        <v>0.152</v>
      </c>
      <c r="G115" s="110">
        <f t="shared" si="63"/>
        <v>0.17599999999999999</v>
      </c>
      <c r="H115" s="110">
        <f t="shared" si="63"/>
        <v>0.19999999999999998</v>
      </c>
      <c r="I115" s="110">
        <f t="shared" si="63"/>
        <v>0.22399999999999998</v>
      </c>
      <c r="J115" s="110">
        <f t="shared" si="63"/>
        <v>0.24799999999999997</v>
      </c>
      <c r="K115" s="110">
        <f t="shared" si="63"/>
        <v>0.27199999999999996</v>
      </c>
      <c r="L115" s="110">
        <f t="shared" si="63"/>
        <v>0.29599999999999999</v>
      </c>
      <c r="M115" s="110">
        <f t="shared" si="63"/>
        <v>0.32</v>
      </c>
      <c r="N115" s="110">
        <f t="shared" si="63"/>
        <v>0.34400000000000003</v>
      </c>
      <c r="O115" s="110">
        <f t="shared" si="63"/>
        <v>0.36800000000000005</v>
      </c>
      <c r="P115" s="110">
        <f t="shared" si="63"/>
        <v>0.39200000000000007</v>
      </c>
      <c r="Q115" s="110">
        <f t="shared" si="63"/>
        <v>0.41600000000000009</v>
      </c>
      <c r="R115" s="110">
        <f t="shared" si="63"/>
        <v>0.44000000000000011</v>
      </c>
      <c r="S115" s="110">
        <f t="shared" si="63"/>
        <v>0.46400000000000013</v>
      </c>
      <c r="T115" s="110">
        <f t="shared" si="63"/>
        <v>0.48800000000000016</v>
      </c>
      <c r="U115" s="110">
        <f t="shared" si="63"/>
        <v>0.51200000000000012</v>
      </c>
      <c r="V115" s="110">
        <f t="shared" si="63"/>
        <v>0.53600000000000014</v>
      </c>
      <c r="W115" s="110">
        <f t="shared" si="63"/>
        <v>0.56000000000000016</v>
      </c>
      <c r="X115" s="110">
        <f t="shared" si="63"/>
        <v>0.58400000000000019</v>
      </c>
      <c r="Y115" s="110">
        <f t="shared" si="63"/>
        <v>0.60800000000000021</v>
      </c>
      <c r="Z115" s="110">
        <f t="shared" si="63"/>
        <v>0.63200000000000023</v>
      </c>
      <c r="AA115" s="110">
        <f t="shared" si="63"/>
        <v>0.65600000000000025</v>
      </c>
      <c r="AB115" s="110">
        <f t="shared" si="63"/>
        <v>0.68000000000000027</v>
      </c>
      <c r="AC115" s="110">
        <f t="shared" si="63"/>
        <v>0.70400000000000029</v>
      </c>
      <c r="AD115" s="110">
        <f t="shared" si="63"/>
        <v>0.72800000000000031</v>
      </c>
      <c r="AE115" s="110">
        <f t="shared" si="63"/>
        <v>0.75200000000000033</v>
      </c>
      <c r="AF115" s="110">
        <f t="shared" si="63"/>
        <v>0.77600000000000036</v>
      </c>
      <c r="AG115" s="214">
        <v>0.8</v>
      </c>
      <c r="AI115" s="134"/>
      <c r="AJ115" s="211" t="s">
        <v>1438</v>
      </c>
      <c r="AL115" s="54" t="s">
        <v>1439</v>
      </c>
    </row>
    <row r="116" spans="1:62" outlineLevel="1" x14ac:dyDescent="0.2">
      <c r="A116" t="s">
        <v>1440</v>
      </c>
      <c r="B116" s="176" t="s">
        <v>462</v>
      </c>
      <c r="C116" s="110">
        <f>1-C115</f>
        <v>0.92</v>
      </c>
      <c r="D116" s="110">
        <f t="shared" ref="D116:AG116" si="64">1-D115</f>
        <v>0.89600000000000002</v>
      </c>
      <c r="E116" s="110">
        <f t="shared" si="64"/>
        <v>0.872</v>
      </c>
      <c r="F116" s="110">
        <f t="shared" si="64"/>
        <v>0.84799999999999998</v>
      </c>
      <c r="G116" s="110">
        <f t="shared" si="64"/>
        <v>0.82400000000000007</v>
      </c>
      <c r="H116" s="110">
        <f t="shared" si="64"/>
        <v>0.8</v>
      </c>
      <c r="I116" s="110">
        <f t="shared" si="64"/>
        <v>0.77600000000000002</v>
      </c>
      <c r="J116" s="110">
        <f t="shared" si="64"/>
        <v>0.752</v>
      </c>
      <c r="K116" s="110">
        <f t="shared" si="64"/>
        <v>0.72799999999999998</v>
      </c>
      <c r="L116" s="110">
        <f t="shared" si="64"/>
        <v>0.70399999999999996</v>
      </c>
      <c r="M116" s="110">
        <f t="shared" si="64"/>
        <v>0.67999999999999994</v>
      </c>
      <c r="N116" s="110">
        <f t="shared" si="64"/>
        <v>0.65599999999999992</v>
      </c>
      <c r="O116" s="110">
        <f t="shared" si="64"/>
        <v>0.6319999999999999</v>
      </c>
      <c r="P116" s="110">
        <f t="shared" si="64"/>
        <v>0.60799999999999987</v>
      </c>
      <c r="Q116" s="110">
        <f t="shared" si="64"/>
        <v>0.58399999999999985</v>
      </c>
      <c r="R116" s="110">
        <f t="shared" si="64"/>
        <v>0.55999999999999983</v>
      </c>
      <c r="S116" s="110">
        <f t="shared" si="64"/>
        <v>0.53599999999999981</v>
      </c>
      <c r="T116" s="110">
        <f t="shared" si="64"/>
        <v>0.51199999999999979</v>
      </c>
      <c r="U116" s="110">
        <f t="shared" si="64"/>
        <v>0.48799999999999988</v>
      </c>
      <c r="V116" s="110">
        <f t="shared" si="64"/>
        <v>0.46399999999999986</v>
      </c>
      <c r="W116" s="110">
        <f t="shared" si="64"/>
        <v>0.43999999999999984</v>
      </c>
      <c r="X116" s="110">
        <f t="shared" si="64"/>
        <v>0.41599999999999981</v>
      </c>
      <c r="Y116" s="110">
        <f t="shared" si="64"/>
        <v>0.39199999999999979</v>
      </c>
      <c r="Z116" s="110">
        <f t="shared" si="64"/>
        <v>0.36799999999999977</v>
      </c>
      <c r="AA116" s="110">
        <f t="shared" si="64"/>
        <v>0.34399999999999975</v>
      </c>
      <c r="AB116" s="110">
        <f t="shared" si="64"/>
        <v>0.31999999999999973</v>
      </c>
      <c r="AC116" s="110">
        <f t="shared" si="64"/>
        <v>0.29599999999999971</v>
      </c>
      <c r="AD116" s="110">
        <f t="shared" si="64"/>
        <v>0.27199999999999969</v>
      </c>
      <c r="AE116" s="110">
        <f t="shared" si="64"/>
        <v>0.24799999999999967</v>
      </c>
      <c r="AF116" s="110">
        <f t="shared" si="64"/>
        <v>0.22399999999999964</v>
      </c>
      <c r="AG116" s="110">
        <f t="shared" si="64"/>
        <v>0.19999999999999996</v>
      </c>
      <c r="AI116" s="134"/>
      <c r="AJ116" s="211"/>
      <c r="BD116" s="686"/>
      <c r="BE116" s="686"/>
    </row>
    <row r="117" spans="1:62" outlineLevel="1" x14ac:dyDescent="0.2">
      <c r="A117" t="s">
        <v>1333</v>
      </c>
      <c r="B117" s="54" t="s">
        <v>462</v>
      </c>
      <c r="C117" s="110">
        <f>C114*C115</f>
        <v>2E-3</v>
      </c>
      <c r="D117" s="110">
        <f t="shared" ref="D117:AG117" si="65">D114*D115</f>
        <v>3.2505633404883785E-3</v>
      </c>
      <c r="E117" s="110">
        <f t="shared" si="65"/>
        <v>4.8013866842790843E-3</v>
      </c>
      <c r="F117" s="110">
        <f t="shared" si="65"/>
        <v>6.652470031372119E-3</v>
      </c>
      <c r="G117" s="110">
        <f t="shared" si="65"/>
        <v>8.8038133817674811E-3</v>
      </c>
      <c r="H117" s="110">
        <f t="shared" si="65"/>
        <v>1.125541673546517E-2</v>
      </c>
      <c r="I117" s="110">
        <f t="shared" si="65"/>
        <v>1.4007280092465192E-2</v>
      </c>
      <c r="J117" s="110">
        <f t="shared" si="65"/>
        <v>1.7059403452767536E-2</v>
      </c>
      <c r="K117" s="110">
        <f t="shared" si="65"/>
        <v>2.0411786816372211E-2</v>
      </c>
      <c r="L117" s="110">
        <f t="shared" si="65"/>
        <v>2.4064430183279219E-2</v>
      </c>
      <c r="M117" s="110">
        <f t="shared" si="65"/>
        <v>2.8017333553488549E-2</v>
      </c>
      <c r="N117" s="110">
        <f t="shared" si="65"/>
        <v>3.4654099414754072E-2</v>
      </c>
      <c r="O117" s="110">
        <f t="shared" si="65"/>
        <v>4.1923720975287584E-2</v>
      </c>
      <c r="P117" s="110">
        <f t="shared" si="65"/>
        <v>4.9826198235089082E-2</v>
      </c>
      <c r="Q117" s="110">
        <f t="shared" si="65"/>
        <v>5.8361531194158552E-2</v>
      </c>
      <c r="R117" s="110">
        <f t="shared" si="65"/>
        <v>6.752971985249602E-2</v>
      </c>
      <c r="S117" s="110">
        <f t="shared" si="65"/>
        <v>7.7330764210101474E-2</v>
      </c>
      <c r="T117" s="110">
        <f t="shared" si="65"/>
        <v>8.7764664266974907E-2</v>
      </c>
      <c r="U117" s="110">
        <f t="shared" si="65"/>
        <v>9.8831420023116304E-2</v>
      </c>
      <c r="V117" s="110">
        <f t="shared" si="65"/>
        <v>0.11053103147852569</v>
      </c>
      <c r="W117" s="110">
        <f t="shared" si="65"/>
        <v>0.12286349863320307</v>
      </c>
      <c r="X117" s="110">
        <f t="shared" si="65"/>
        <v>0.14101216943144917</v>
      </c>
      <c r="Y117" s="110">
        <f t="shared" si="65"/>
        <v>0.16021972452712499</v>
      </c>
      <c r="Z117" s="110">
        <f t="shared" si="65"/>
        <v>0.18048616392023051</v>
      </c>
      <c r="AA117" s="110">
        <f t="shared" si="65"/>
        <v>0.20181148761076564</v>
      </c>
      <c r="AB117" s="110">
        <f t="shared" si="65"/>
        <v>0.22419569559873054</v>
      </c>
      <c r="AC117" s="110">
        <f t="shared" si="65"/>
        <v>0.24763878788412508</v>
      </c>
      <c r="AD117" s="110">
        <f t="shared" si="65"/>
        <v>0.27214076446694929</v>
      </c>
      <c r="AE117" s="110">
        <f t="shared" si="65"/>
        <v>0.29770162534720324</v>
      </c>
      <c r="AF117" s="110">
        <f t="shared" si="65"/>
        <v>0.32432137052488685</v>
      </c>
      <c r="AG117" s="110">
        <f t="shared" si="65"/>
        <v>0.35200000000000004</v>
      </c>
      <c r="AI117" s="134"/>
      <c r="AJ117" s="211"/>
      <c r="BD117" s="203"/>
      <c r="BE117" s="203"/>
    </row>
    <row r="118" spans="1:62" outlineLevel="1" x14ac:dyDescent="0.2">
      <c r="A118" t="s">
        <v>1334</v>
      </c>
      <c r="B118" s="54" t="s">
        <v>462</v>
      </c>
      <c r="C118" s="110">
        <f>C114*C116</f>
        <v>2.3000000000000003E-2</v>
      </c>
      <c r="D118" s="110">
        <f t="shared" ref="D118:AG118" si="66">D114*D116</f>
        <v>2.8004853394976797E-2</v>
      </c>
      <c r="E118" s="110">
        <f t="shared" si="66"/>
        <v>3.2709446786651261E-2</v>
      </c>
      <c r="F118" s="110">
        <f t="shared" si="66"/>
        <v>3.7113780175023398E-2</v>
      </c>
      <c r="G118" s="110">
        <f t="shared" si="66"/>
        <v>4.1217853560093214E-2</v>
      </c>
      <c r="H118" s="110">
        <f t="shared" si="66"/>
        <v>4.5021666941860689E-2</v>
      </c>
      <c r="I118" s="110">
        <f t="shared" si="66"/>
        <v>4.852522032032585E-2</v>
      </c>
      <c r="J118" s="110">
        <f t="shared" si="66"/>
        <v>5.1728513695488663E-2</v>
      </c>
      <c r="K118" s="110">
        <f t="shared" si="66"/>
        <v>5.4631547067349163E-2</v>
      </c>
      <c r="L118" s="110">
        <f t="shared" si="66"/>
        <v>5.7234320435907329E-2</v>
      </c>
      <c r="M118" s="110">
        <f t="shared" si="66"/>
        <v>5.9536833801163161E-2</v>
      </c>
      <c r="N118" s="110">
        <f t="shared" si="66"/>
        <v>6.6084561674647282E-2</v>
      </c>
      <c r="O118" s="110">
        <f t="shared" si="66"/>
        <v>7.1999433848863439E-2</v>
      </c>
      <c r="P118" s="110">
        <f t="shared" si="66"/>
        <v>7.7281450323811604E-2</v>
      </c>
      <c r="Q118" s="110">
        <f t="shared" si="66"/>
        <v>8.1930611099491776E-2</v>
      </c>
      <c r="R118" s="110">
        <f t="shared" si="66"/>
        <v>8.594691617590397E-2</v>
      </c>
      <c r="S118" s="110">
        <f t="shared" si="66"/>
        <v>8.9330365553048199E-2</v>
      </c>
      <c r="T118" s="110">
        <f t="shared" si="66"/>
        <v>9.2080959230924422E-2</v>
      </c>
      <c r="U118" s="110">
        <f t="shared" si="66"/>
        <v>9.4198697209532681E-2</v>
      </c>
      <c r="V118" s="110">
        <f t="shared" si="66"/>
        <v>9.5683579488872933E-2</v>
      </c>
      <c r="W118" s="110">
        <f t="shared" si="66"/>
        <v>9.6535606068945221E-2</v>
      </c>
      <c r="X118" s="110">
        <f t="shared" si="66"/>
        <v>0.10044702480048427</v>
      </c>
      <c r="Y118" s="110">
        <f t="shared" si="66"/>
        <v>0.10329955923459365</v>
      </c>
      <c r="Z118" s="110">
        <f t="shared" si="66"/>
        <v>0.10509320937127335</v>
      </c>
      <c r="AA118" s="110">
        <f t="shared" si="66"/>
        <v>0.10582797521052333</v>
      </c>
      <c r="AB118" s="110">
        <f t="shared" si="66"/>
        <v>0.10550385675234365</v>
      </c>
      <c r="AC118" s="110">
        <f t="shared" si="66"/>
        <v>0.10412085399673426</v>
      </c>
      <c r="AD118" s="110">
        <f t="shared" si="66"/>
        <v>0.10167896694369519</v>
      </c>
      <c r="AE118" s="110">
        <f t="shared" si="66"/>
        <v>9.8178195593226422E-2</v>
      </c>
      <c r="AF118" s="110">
        <f t="shared" si="66"/>
        <v>9.3618539945327969E-2</v>
      </c>
      <c r="AG118" s="110">
        <f t="shared" si="66"/>
        <v>8.7999999999999981E-2</v>
      </c>
      <c r="AI118" s="134"/>
      <c r="AJ118" s="211"/>
      <c r="BD118" s="203"/>
      <c r="BE118" s="203"/>
    </row>
    <row r="119" spans="1:62" outlineLevel="1" x14ac:dyDescent="0.2">
      <c r="B119" s="176"/>
      <c r="C119" s="110"/>
      <c r="D119" s="110"/>
      <c r="E119" s="110"/>
      <c r="F119" s="110"/>
      <c r="G119" s="110"/>
      <c r="H119" s="110"/>
      <c r="I119" s="110"/>
      <c r="J119" s="110"/>
      <c r="K119" s="110"/>
      <c r="L119" s="110"/>
      <c r="M119" s="110"/>
      <c r="N119" s="110"/>
      <c r="O119" s="110"/>
      <c r="P119" s="110"/>
      <c r="Q119" s="110"/>
      <c r="R119" s="110"/>
      <c r="S119" s="110"/>
      <c r="T119" s="110"/>
      <c r="U119" s="110"/>
      <c r="V119" s="110"/>
      <c r="W119" s="110"/>
      <c r="X119" s="110"/>
      <c r="Y119" s="110"/>
      <c r="Z119" s="110"/>
      <c r="AA119" s="110"/>
      <c r="AB119" s="110"/>
      <c r="AC119" s="110"/>
      <c r="AD119" s="110"/>
      <c r="AE119" s="110"/>
      <c r="AF119" s="110"/>
      <c r="AG119" s="110"/>
      <c r="AI119" s="134"/>
      <c r="AJ119" s="211"/>
      <c r="BD119" s="203"/>
      <c r="BE119" s="203"/>
    </row>
    <row r="120" spans="1:62" ht="16" outlineLevel="1" x14ac:dyDescent="0.2">
      <c r="A120" t="s">
        <v>1441</v>
      </c>
      <c r="B120" s="54" t="s">
        <v>462</v>
      </c>
      <c r="C120" s="214">
        <v>0.52</v>
      </c>
      <c r="D120" s="110">
        <f>C120</f>
        <v>0.52</v>
      </c>
      <c r="E120" s="110">
        <f t="shared" ref="E120:AG122" si="67">D120</f>
        <v>0.52</v>
      </c>
      <c r="F120" s="110">
        <f t="shared" si="67"/>
        <v>0.52</v>
      </c>
      <c r="G120" s="110">
        <f t="shared" si="67"/>
        <v>0.52</v>
      </c>
      <c r="H120" s="110">
        <f t="shared" si="67"/>
        <v>0.52</v>
      </c>
      <c r="I120" s="110">
        <f t="shared" si="67"/>
        <v>0.52</v>
      </c>
      <c r="J120" s="110">
        <f t="shared" si="67"/>
        <v>0.52</v>
      </c>
      <c r="K120" s="110">
        <f t="shared" si="67"/>
        <v>0.52</v>
      </c>
      <c r="L120" s="110">
        <f t="shared" si="67"/>
        <v>0.52</v>
      </c>
      <c r="M120" s="110">
        <f t="shared" si="67"/>
        <v>0.52</v>
      </c>
      <c r="N120" s="110">
        <f t="shared" si="67"/>
        <v>0.52</v>
      </c>
      <c r="O120" s="110">
        <f t="shared" si="67"/>
        <v>0.52</v>
      </c>
      <c r="P120" s="110">
        <f t="shared" si="67"/>
        <v>0.52</v>
      </c>
      <c r="Q120" s="110">
        <f t="shared" si="67"/>
        <v>0.52</v>
      </c>
      <c r="R120" s="110">
        <f t="shared" si="67"/>
        <v>0.52</v>
      </c>
      <c r="S120" s="110">
        <f t="shared" si="67"/>
        <v>0.52</v>
      </c>
      <c r="T120" s="110">
        <f t="shared" si="67"/>
        <v>0.52</v>
      </c>
      <c r="U120" s="110">
        <f t="shared" si="67"/>
        <v>0.52</v>
      </c>
      <c r="V120" s="110">
        <f t="shared" si="67"/>
        <v>0.52</v>
      </c>
      <c r="W120" s="110">
        <f t="shared" si="67"/>
        <v>0.52</v>
      </c>
      <c r="X120" s="110">
        <f t="shared" si="67"/>
        <v>0.52</v>
      </c>
      <c r="Y120" s="110">
        <f t="shared" si="67"/>
        <v>0.52</v>
      </c>
      <c r="Z120" s="110">
        <f t="shared" si="67"/>
        <v>0.52</v>
      </c>
      <c r="AA120" s="110">
        <f t="shared" si="67"/>
        <v>0.52</v>
      </c>
      <c r="AB120" s="110">
        <f t="shared" si="67"/>
        <v>0.52</v>
      </c>
      <c r="AC120" s="110">
        <f t="shared" si="67"/>
        <v>0.52</v>
      </c>
      <c r="AD120" s="110">
        <f t="shared" si="67"/>
        <v>0.52</v>
      </c>
      <c r="AE120" s="110">
        <f t="shared" si="67"/>
        <v>0.52</v>
      </c>
      <c r="AF120" s="110">
        <f t="shared" si="67"/>
        <v>0.52</v>
      </c>
      <c r="AG120" s="110">
        <f t="shared" si="67"/>
        <v>0.52</v>
      </c>
      <c r="AI120" s="133" t="s">
        <v>1442</v>
      </c>
      <c r="AJ120" s="232" t="s">
        <v>1443</v>
      </c>
      <c r="BD120" s="203"/>
      <c r="BE120" s="203"/>
    </row>
    <row r="121" spans="1:62" ht="16" outlineLevel="1" x14ac:dyDescent="0.2">
      <c r="A121" t="s">
        <v>1444</v>
      </c>
      <c r="B121" s="54" t="s">
        <v>462</v>
      </c>
      <c r="C121" s="214">
        <v>0.12</v>
      </c>
      <c r="D121" s="110">
        <f t="shared" ref="D121:S122" si="68">C121</f>
        <v>0.12</v>
      </c>
      <c r="E121" s="110">
        <f t="shared" si="68"/>
        <v>0.12</v>
      </c>
      <c r="F121" s="110">
        <f t="shared" si="68"/>
        <v>0.12</v>
      </c>
      <c r="G121" s="110">
        <f t="shared" si="68"/>
        <v>0.12</v>
      </c>
      <c r="H121" s="110">
        <f t="shared" si="68"/>
        <v>0.12</v>
      </c>
      <c r="I121" s="110">
        <f t="shared" si="68"/>
        <v>0.12</v>
      </c>
      <c r="J121" s="110">
        <f t="shared" si="68"/>
        <v>0.12</v>
      </c>
      <c r="K121" s="110">
        <f t="shared" si="68"/>
        <v>0.12</v>
      </c>
      <c r="L121" s="110">
        <f t="shared" si="68"/>
        <v>0.12</v>
      </c>
      <c r="M121" s="110">
        <f t="shared" si="68"/>
        <v>0.12</v>
      </c>
      <c r="N121" s="110">
        <f t="shared" si="68"/>
        <v>0.12</v>
      </c>
      <c r="O121" s="110">
        <f t="shared" si="68"/>
        <v>0.12</v>
      </c>
      <c r="P121" s="110">
        <f t="shared" si="68"/>
        <v>0.12</v>
      </c>
      <c r="Q121" s="110">
        <f t="shared" si="68"/>
        <v>0.12</v>
      </c>
      <c r="R121" s="110">
        <f t="shared" si="68"/>
        <v>0.12</v>
      </c>
      <c r="S121" s="110">
        <f t="shared" si="68"/>
        <v>0.12</v>
      </c>
      <c r="T121" s="110">
        <f t="shared" si="67"/>
        <v>0.12</v>
      </c>
      <c r="U121" s="110">
        <f t="shared" si="67"/>
        <v>0.12</v>
      </c>
      <c r="V121" s="110">
        <f t="shared" si="67"/>
        <v>0.12</v>
      </c>
      <c r="W121" s="110">
        <f t="shared" si="67"/>
        <v>0.12</v>
      </c>
      <c r="X121" s="110">
        <f t="shared" si="67"/>
        <v>0.12</v>
      </c>
      <c r="Y121" s="110">
        <f t="shared" si="67"/>
        <v>0.12</v>
      </c>
      <c r="Z121" s="110">
        <f t="shared" si="67"/>
        <v>0.12</v>
      </c>
      <c r="AA121" s="110">
        <f t="shared" si="67"/>
        <v>0.12</v>
      </c>
      <c r="AB121" s="110">
        <f t="shared" si="67"/>
        <v>0.12</v>
      </c>
      <c r="AC121" s="110">
        <f t="shared" si="67"/>
        <v>0.12</v>
      </c>
      <c r="AD121" s="110">
        <f t="shared" si="67"/>
        <v>0.12</v>
      </c>
      <c r="AE121" s="110">
        <f t="shared" si="67"/>
        <v>0.12</v>
      </c>
      <c r="AF121" s="110">
        <f t="shared" si="67"/>
        <v>0.12</v>
      </c>
      <c r="AG121" s="110">
        <f t="shared" si="67"/>
        <v>0.12</v>
      </c>
      <c r="AI121" s="133" t="s">
        <v>1442</v>
      </c>
      <c r="AJ121" s="232" t="s">
        <v>1443</v>
      </c>
      <c r="AL121" s="1"/>
      <c r="BC121" s="1"/>
      <c r="BD121" s="693"/>
      <c r="BE121" s="686"/>
      <c r="BF121" s="6"/>
      <c r="BG121" s="6"/>
      <c r="BH121" s="6"/>
      <c r="BI121" s="6"/>
      <c r="BJ121" s="6"/>
    </row>
    <row r="122" spans="1:62" outlineLevel="1" x14ac:dyDescent="0.2">
      <c r="A122" t="s">
        <v>1445</v>
      </c>
      <c r="B122" s="54" t="s">
        <v>462</v>
      </c>
      <c r="C122" s="121">
        <f>1-C120-C121</f>
        <v>0.36</v>
      </c>
      <c r="D122" s="110">
        <f t="shared" si="68"/>
        <v>0.36</v>
      </c>
      <c r="E122" s="110">
        <f t="shared" si="68"/>
        <v>0.36</v>
      </c>
      <c r="F122" s="110">
        <f t="shared" si="68"/>
        <v>0.36</v>
      </c>
      <c r="G122" s="110">
        <f t="shared" si="68"/>
        <v>0.36</v>
      </c>
      <c r="H122" s="110">
        <f t="shared" si="68"/>
        <v>0.36</v>
      </c>
      <c r="I122" s="110">
        <f t="shared" si="68"/>
        <v>0.36</v>
      </c>
      <c r="J122" s="110">
        <f t="shared" si="68"/>
        <v>0.36</v>
      </c>
      <c r="K122" s="110">
        <f t="shared" si="68"/>
        <v>0.36</v>
      </c>
      <c r="L122" s="110">
        <f t="shared" si="68"/>
        <v>0.36</v>
      </c>
      <c r="M122" s="110">
        <f t="shared" si="68"/>
        <v>0.36</v>
      </c>
      <c r="N122" s="110">
        <f t="shared" si="68"/>
        <v>0.36</v>
      </c>
      <c r="O122" s="110">
        <f t="shared" si="68"/>
        <v>0.36</v>
      </c>
      <c r="P122" s="110">
        <f t="shared" si="68"/>
        <v>0.36</v>
      </c>
      <c r="Q122" s="110">
        <f t="shared" si="68"/>
        <v>0.36</v>
      </c>
      <c r="R122" s="110">
        <f t="shared" si="68"/>
        <v>0.36</v>
      </c>
      <c r="S122" s="110">
        <f t="shared" si="68"/>
        <v>0.36</v>
      </c>
      <c r="T122" s="110">
        <f t="shared" si="67"/>
        <v>0.36</v>
      </c>
      <c r="U122" s="110">
        <f t="shared" si="67"/>
        <v>0.36</v>
      </c>
      <c r="V122" s="110">
        <f t="shared" si="67"/>
        <v>0.36</v>
      </c>
      <c r="W122" s="110">
        <f t="shared" si="67"/>
        <v>0.36</v>
      </c>
      <c r="X122" s="110">
        <f t="shared" si="67"/>
        <v>0.36</v>
      </c>
      <c r="Y122" s="110">
        <f t="shared" si="67"/>
        <v>0.36</v>
      </c>
      <c r="Z122" s="110">
        <f t="shared" si="67"/>
        <v>0.36</v>
      </c>
      <c r="AA122" s="110">
        <f t="shared" si="67"/>
        <v>0.36</v>
      </c>
      <c r="AB122" s="110">
        <f t="shared" si="67"/>
        <v>0.36</v>
      </c>
      <c r="AC122" s="110">
        <f t="shared" si="67"/>
        <v>0.36</v>
      </c>
      <c r="AD122" s="110">
        <f t="shared" si="67"/>
        <v>0.36</v>
      </c>
      <c r="AE122" s="110">
        <f t="shared" si="67"/>
        <v>0.36</v>
      </c>
      <c r="AF122" s="110">
        <f t="shared" si="67"/>
        <v>0.36</v>
      </c>
      <c r="AG122" s="110">
        <f t="shared" si="67"/>
        <v>0.36</v>
      </c>
      <c r="AI122" s="133"/>
      <c r="AJ122" s="223"/>
      <c r="BC122" s="1"/>
      <c r="BD122" s="41"/>
      <c r="BF122" s="6"/>
      <c r="BG122" s="6"/>
      <c r="BH122" s="6"/>
      <c r="BI122" s="6"/>
      <c r="BJ122" s="6"/>
    </row>
    <row r="123" spans="1:62" outlineLevel="1" x14ac:dyDescent="0.2">
      <c r="A123" t="s">
        <v>1268</v>
      </c>
      <c r="B123" s="54" t="s">
        <v>462</v>
      </c>
      <c r="C123" s="110">
        <f>SUM(C120:C122)</f>
        <v>1</v>
      </c>
      <c r="D123" s="110">
        <f t="shared" ref="D123:AG123" si="69">SUM(D120:D122)</f>
        <v>1</v>
      </c>
      <c r="E123" s="110">
        <f t="shared" si="69"/>
        <v>1</v>
      </c>
      <c r="F123" s="110">
        <f t="shared" si="69"/>
        <v>1</v>
      </c>
      <c r="G123" s="110">
        <f t="shared" si="69"/>
        <v>1</v>
      </c>
      <c r="H123" s="110">
        <f t="shared" si="69"/>
        <v>1</v>
      </c>
      <c r="I123" s="110">
        <f t="shared" si="69"/>
        <v>1</v>
      </c>
      <c r="J123" s="110">
        <f t="shared" si="69"/>
        <v>1</v>
      </c>
      <c r="K123" s="110">
        <f t="shared" si="69"/>
        <v>1</v>
      </c>
      <c r="L123" s="110">
        <f t="shared" si="69"/>
        <v>1</v>
      </c>
      <c r="M123" s="110">
        <f t="shared" si="69"/>
        <v>1</v>
      </c>
      <c r="N123" s="110">
        <f t="shared" si="69"/>
        <v>1</v>
      </c>
      <c r="O123" s="110">
        <f t="shared" si="69"/>
        <v>1</v>
      </c>
      <c r="P123" s="110">
        <f t="shared" si="69"/>
        <v>1</v>
      </c>
      <c r="Q123" s="110">
        <f t="shared" si="69"/>
        <v>1</v>
      </c>
      <c r="R123" s="110">
        <f t="shared" si="69"/>
        <v>1</v>
      </c>
      <c r="S123" s="110">
        <f t="shared" si="69"/>
        <v>1</v>
      </c>
      <c r="T123" s="110">
        <f t="shared" si="69"/>
        <v>1</v>
      </c>
      <c r="U123" s="110">
        <f t="shared" si="69"/>
        <v>1</v>
      </c>
      <c r="V123" s="110">
        <f t="shared" si="69"/>
        <v>1</v>
      </c>
      <c r="W123" s="110">
        <f t="shared" si="69"/>
        <v>1</v>
      </c>
      <c r="X123" s="110">
        <f t="shared" si="69"/>
        <v>1</v>
      </c>
      <c r="Y123" s="110">
        <f t="shared" si="69"/>
        <v>1</v>
      </c>
      <c r="Z123" s="110">
        <f t="shared" si="69"/>
        <v>1</v>
      </c>
      <c r="AA123" s="110">
        <f t="shared" si="69"/>
        <v>1</v>
      </c>
      <c r="AB123" s="110">
        <f t="shared" si="69"/>
        <v>1</v>
      </c>
      <c r="AC123" s="110">
        <f t="shared" si="69"/>
        <v>1</v>
      </c>
      <c r="AD123" s="110">
        <f t="shared" si="69"/>
        <v>1</v>
      </c>
      <c r="AE123" s="110">
        <f t="shared" si="69"/>
        <v>1</v>
      </c>
      <c r="AF123" s="110">
        <f t="shared" si="69"/>
        <v>1</v>
      </c>
      <c r="AG123" s="110">
        <f t="shared" si="69"/>
        <v>1</v>
      </c>
      <c r="AI123" s="133"/>
      <c r="AJ123" s="211"/>
      <c r="BC123" s="1"/>
      <c r="BD123" s="41"/>
      <c r="BF123" s="6"/>
      <c r="BG123" s="6"/>
      <c r="BH123" s="6"/>
      <c r="BI123" s="6"/>
      <c r="BJ123" s="6"/>
    </row>
    <row r="124" spans="1:62" outlineLevel="1" x14ac:dyDescent="0.2">
      <c r="C124" s="214"/>
      <c r="D124" s="110"/>
      <c r="E124" s="110"/>
      <c r="F124" s="110"/>
      <c r="G124" s="110"/>
      <c r="H124" s="110"/>
      <c r="I124" s="110"/>
      <c r="J124" s="110"/>
      <c r="K124" s="110"/>
      <c r="L124" s="110"/>
      <c r="M124" s="110"/>
      <c r="N124" s="110"/>
      <c r="O124" s="110"/>
      <c r="P124" s="110"/>
      <c r="Q124" s="110"/>
      <c r="R124" s="110"/>
      <c r="S124" s="110"/>
      <c r="T124" s="110"/>
      <c r="U124" s="110"/>
      <c r="V124" s="110"/>
      <c r="W124" s="110"/>
      <c r="X124" s="110"/>
      <c r="Y124" s="110"/>
      <c r="Z124" s="110"/>
      <c r="AA124" s="110"/>
      <c r="AB124" s="110"/>
      <c r="AC124" s="110"/>
      <c r="AD124" s="110"/>
      <c r="AE124" s="110"/>
      <c r="AF124" s="110"/>
      <c r="AG124" s="110"/>
      <c r="AI124" s="133"/>
      <c r="AJ124" s="211"/>
      <c r="BC124" s="1"/>
      <c r="BD124" s="41"/>
      <c r="BF124" s="6"/>
      <c r="BG124" s="6"/>
      <c r="BH124" s="6"/>
      <c r="BI124" s="6"/>
      <c r="BJ124" s="6"/>
    </row>
    <row r="125" spans="1:62" outlineLevel="1" x14ac:dyDescent="0.2">
      <c r="A125" t="s">
        <v>1335</v>
      </c>
      <c r="B125" s="54" t="s">
        <v>462</v>
      </c>
      <c r="C125" s="110">
        <f>C120*C118</f>
        <v>1.1960000000000002E-2</v>
      </c>
      <c r="D125" s="110">
        <f t="shared" ref="D125:AG125" si="70">D120*D118</f>
        <v>1.4562523765387934E-2</v>
      </c>
      <c r="E125" s="110">
        <f t="shared" si="70"/>
        <v>1.7008912329058656E-2</v>
      </c>
      <c r="F125" s="110">
        <f t="shared" si="70"/>
        <v>1.9299165691012168E-2</v>
      </c>
      <c r="G125" s="110">
        <f t="shared" si="70"/>
        <v>2.1433283851248472E-2</v>
      </c>
      <c r="H125" s="110">
        <f t="shared" si="70"/>
        <v>2.3411266809767559E-2</v>
      </c>
      <c r="I125" s="110">
        <f t="shared" si="70"/>
        <v>2.5233114566569442E-2</v>
      </c>
      <c r="J125" s="110">
        <f t="shared" si="70"/>
        <v>2.6898827121654107E-2</v>
      </c>
      <c r="K125" s="110">
        <f t="shared" si="70"/>
        <v>2.8408404475021565E-2</v>
      </c>
      <c r="L125" s="110">
        <f t="shared" si="70"/>
        <v>2.9761846626671813E-2</v>
      </c>
      <c r="M125" s="110">
        <f t="shared" si="70"/>
        <v>3.0959153576604843E-2</v>
      </c>
      <c r="N125" s="110">
        <f t="shared" si="70"/>
        <v>3.4363972070816588E-2</v>
      </c>
      <c r="O125" s="110">
        <f t="shared" si="70"/>
        <v>3.7439705601408989E-2</v>
      </c>
      <c r="P125" s="110">
        <f t="shared" si="70"/>
        <v>4.0186354168382038E-2</v>
      </c>
      <c r="Q125" s="110">
        <f t="shared" si="70"/>
        <v>4.2603917771735722E-2</v>
      </c>
      <c r="R125" s="110">
        <f t="shared" si="70"/>
        <v>4.4692396411470069E-2</v>
      </c>
      <c r="S125" s="110">
        <f t="shared" si="70"/>
        <v>4.6451790087585064E-2</v>
      </c>
      <c r="T125" s="110">
        <f t="shared" si="70"/>
        <v>4.7882098800080701E-2</v>
      </c>
      <c r="U125" s="110">
        <f t="shared" si="70"/>
        <v>4.8983322548956994E-2</v>
      </c>
      <c r="V125" s="110">
        <f t="shared" si="70"/>
        <v>4.9755461334213928E-2</v>
      </c>
      <c r="W125" s="110">
        <f t="shared" si="70"/>
        <v>5.0198515155851518E-2</v>
      </c>
      <c r="X125" s="110">
        <f t="shared" si="70"/>
        <v>5.2232452896251821E-2</v>
      </c>
      <c r="Y125" s="110">
        <f t="shared" si="70"/>
        <v>5.3715770801988701E-2</v>
      </c>
      <c r="Z125" s="110">
        <f t="shared" si="70"/>
        <v>5.4648468873062142E-2</v>
      </c>
      <c r="AA125" s="110">
        <f t="shared" si="70"/>
        <v>5.5030547109472132E-2</v>
      </c>
      <c r="AB125" s="110">
        <f t="shared" si="70"/>
        <v>5.4862005511218705E-2</v>
      </c>
      <c r="AC125" s="110">
        <f t="shared" si="70"/>
        <v>5.4142844078301819E-2</v>
      </c>
      <c r="AD125" s="110">
        <f t="shared" si="70"/>
        <v>5.2873062810721502E-2</v>
      </c>
      <c r="AE125" s="110">
        <f t="shared" si="70"/>
        <v>5.1052661708477741E-2</v>
      </c>
      <c r="AF125" s="110">
        <f t="shared" si="70"/>
        <v>4.8681640771570549E-2</v>
      </c>
      <c r="AG125" s="110">
        <f t="shared" si="70"/>
        <v>4.5759999999999995E-2</v>
      </c>
      <c r="AI125" s="133"/>
      <c r="AJ125" s="211"/>
      <c r="BD125" s="203"/>
      <c r="BE125" s="203"/>
    </row>
    <row r="126" spans="1:62" outlineLevel="1" x14ac:dyDescent="0.2">
      <c r="A126" t="s">
        <v>1336</v>
      </c>
      <c r="B126" s="54" t="s">
        <v>462</v>
      </c>
      <c r="C126" s="110">
        <f>C118*C121</f>
        <v>2.7600000000000003E-3</v>
      </c>
      <c r="D126" s="110">
        <f t="shared" ref="D126:AG126" si="71">D118*D121</f>
        <v>3.3605824073972158E-3</v>
      </c>
      <c r="E126" s="110">
        <f t="shared" si="71"/>
        <v>3.9251336143981512E-3</v>
      </c>
      <c r="F126" s="110">
        <f t="shared" si="71"/>
        <v>4.4536536210028075E-3</v>
      </c>
      <c r="G126" s="110">
        <f t="shared" si="71"/>
        <v>4.9461424272111854E-3</v>
      </c>
      <c r="H126" s="110">
        <f t="shared" si="71"/>
        <v>5.4026000330232825E-3</v>
      </c>
      <c r="I126" s="110">
        <f t="shared" si="71"/>
        <v>5.8230264384391021E-3</v>
      </c>
      <c r="J126" s="110">
        <f t="shared" si="71"/>
        <v>6.2074216434586391E-3</v>
      </c>
      <c r="K126" s="110">
        <f t="shared" si="71"/>
        <v>6.5557856480818995E-3</v>
      </c>
      <c r="L126" s="110">
        <f t="shared" si="71"/>
        <v>6.868118452308879E-3</v>
      </c>
      <c r="M126" s="110">
        <f t="shared" si="71"/>
        <v>7.1444200561395794E-3</v>
      </c>
      <c r="N126" s="110">
        <f t="shared" si="71"/>
        <v>7.9301474009576736E-3</v>
      </c>
      <c r="O126" s="110">
        <f t="shared" si="71"/>
        <v>8.6399320618636127E-3</v>
      </c>
      <c r="P126" s="110">
        <f t="shared" si="71"/>
        <v>9.2737740388573915E-3</v>
      </c>
      <c r="Q126" s="110">
        <f t="shared" si="71"/>
        <v>9.8316733319390136E-3</v>
      </c>
      <c r="R126" s="110">
        <f t="shared" si="71"/>
        <v>1.0313629941108475E-2</v>
      </c>
      <c r="S126" s="110">
        <f t="shared" si="71"/>
        <v>1.0719643866365784E-2</v>
      </c>
      <c r="T126" s="110">
        <f t="shared" si="71"/>
        <v>1.104971510771093E-2</v>
      </c>
      <c r="U126" s="110">
        <f t="shared" si="71"/>
        <v>1.1303843665143922E-2</v>
      </c>
      <c r="V126" s="110">
        <f t="shared" si="71"/>
        <v>1.1482029538664751E-2</v>
      </c>
      <c r="W126" s="110">
        <f t="shared" si="71"/>
        <v>1.1584272728273426E-2</v>
      </c>
      <c r="X126" s="110">
        <f t="shared" si="71"/>
        <v>1.2053642976058113E-2</v>
      </c>
      <c r="Y126" s="110">
        <f t="shared" si="71"/>
        <v>1.2395947108151237E-2</v>
      </c>
      <c r="Z126" s="110">
        <f t="shared" si="71"/>
        <v>1.2611185124552803E-2</v>
      </c>
      <c r="AA126" s="110">
        <f t="shared" si="71"/>
        <v>1.2699357025262798E-2</v>
      </c>
      <c r="AB126" s="110">
        <f t="shared" si="71"/>
        <v>1.2660462810281237E-2</v>
      </c>
      <c r="AC126" s="110">
        <f t="shared" si="71"/>
        <v>1.2494502479608111E-2</v>
      </c>
      <c r="AD126" s="110">
        <f t="shared" si="71"/>
        <v>1.2201476033243421E-2</v>
      </c>
      <c r="AE126" s="110">
        <f t="shared" si="71"/>
        <v>1.178138347118717E-2</v>
      </c>
      <c r="AF126" s="110">
        <f t="shared" si="71"/>
        <v>1.1234224793439355E-2</v>
      </c>
      <c r="AG126" s="110">
        <f t="shared" si="71"/>
        <v>1.0559999999999996E-2</v>
      </c>
      <c r="AI126" s="133"/>
      <c r="AJ126" s="211"/>
      <c r="AL126" s="1"/>
      <c r="BC126" s="1"/>
      <c r="BD126" s="693"/>
      <c r="BE126" s="686"/>
      <c r="BF126" s="6"/>
      <c r="BG126" s="6"/>
      <c r="BH126" s="6"/>
      <c r="BI126" s="6"/>
      <c r="BJ126" s="6"/>
    </row>
    <row r="127" spans="1:62" outlineLevel="1" x14ac:dyDescent="0.2">
      <c r="A127" t="s">
        <v>1337</v>
      </c>
      <c r="B127" s="54" t="s">
        <v>462</v>
      </c>
      <c r="C127" s="110">
        <f>C118*C122</f>
        <v>8.2800000000000009E-3</v>
      </c>
      <c r="D127" s="110">
        <f t="shared" ref="D127:AG127" si="72">D118*D122</f>
        <v>1.0081747222191647E-2</v>
      </c>
      <c r="E127" s="110">
        <f t="shared" si="72"/>
        <v>1.1775400843194454E-2</v>
      </c>
      <c r="F127" s="110">
        <f t="shared" si="72"/>
        <v>1.3360960863008423E-2</v>
      </c>
      <c r="G127" s="110">
        <f t="shared" si="72"/>
        <v>1.4838427281633556E-2</v>
      </c>
      <c r="H127" s="110">
        <f t="shared" si="72"/>
        <v>1.6207800099069847E-2</v>
      </c>
      <c r="I127" s="110">
        <f t="shared" si="72"/>
        <v>1.7469079315317305E-2</v>
      </c>
      <c r="J127" s="110">
        <f t="shared" si="72"/>
        <v>1.8622264930375918E-2</v>
      </c>
      <c r="K127" s="110">
        <f t="shared" si="72"/>
        <v>1.9667356944245699E-2</v>
      </c>
      <c r="L127" s="110">
        <f t="shared" si="72"/>
        <v>2.0604355356926639E-2</v>
      </c>
      <c r="M127" s="110">
        <f t="shared" si="72"/>
        <v>2.1433260168418736E-2</v>
      </c>
      <c r="N127" s="110">
        <f t="shared" si="72"/>
        <v>2.3790442202873022E-2</v>
      </c>
      <c r="O127" s="110">
        <f t="shared" si="72"/>
        <v>2.5919796185590836E-2</v>
      </c>
      <c r="P127" s="110">
        <f t="shared" si="72"/>
        <v>2.7821322116572178E-2</v>
      </c>
      <c r="Q127" s="110">
        <f t="shared" si="72"/>
        <v>2.9495019995817037E-2</v>
      </c>
      <c r="R127" s="110">
        <f t="shared" si="72"/>
        <v>3.0940889823325428E-2</v>
      </c>
      <c r="S127" s="110">
        <f t="shared" si="72"/>
        <v>3.215893159909735E-2</v>
      </c>
      <c r="T127" s="110">
        <f t="shared" si="72"/>
        <v>3.3149145323132789E-2</v>
      </c>
      <c r="U127" s="110">
        <f t="shared" si="72"/>
        <v>3.3911530995431767E-2</v>
      </c>
      <c r="V127" s="110">
        <f t="shared" si="72"/>
        <v>3.4446088615994255E-2</v>
      </c>
      <c r="W127" s="110">
        <f t="shared" si="72"/>
        <v>3.4752818184820275E-2</v>
      </c>
      <c r="X127" s="110">
        <f t="shared" si="72"/>
        <v>3.6160928928174338E-2</v>
      </c>
      <c r="Y127" s="110">
        <f t="shared" si="72"/>
        <v>3.7187841324453713E-2</v>
      </c>
      <c r="Z127" s="110">
        <f t="shared" si="72"/>
        <v>3.7833555373658408E-2</v>
      </c>
      <c r="AA127" s="110">
        <f t="shared" si="72"/>
        <v>3.8098071075788394E-2</v>
      </c>
      <c r="AB127" s="110">
        <f t="shared" si="72"/>
        <v>3.7981388430843713E-2</v>
      </c>
      <c r="AC127" s="110">
        <f t="shared" si="72"/>
        <v>3.748350743882433E-2</v>
      </c>
      <c r="AD127" s="110">
        <f t="shared" si="72"/>
        <v>3.6604428099730267E-2</v>
      </c>
      <c r="AE127" s="110">
        <f t="shared" si="72"/>
        <v>3.5344150413561509E-2</v>
      </c>
      <c r="AF127" s="110">
        <f t="shared" si="72"/>
        <v>3.3702674380318071E-2</v>
      </c>
      <c r="AG127" s="110">
        <f t="shared" si="72"/>
        <v>3.1679999999999993E-2</v>
      </c>
      <c r="AI127" s="134"/>
      <c r="AJ127" s="211"/>
      <c r="BC127" s="1"/>
      <c r="BD127" s="41"/>
      <c r="BF127" s="6"/>
      <c r="BG127" s="6"/>
      <c r="BH127" s="6"/>
      <c r="BI127" s="6"/>
      <c r="BJ127" s="6"/>
    </row>
    <row r="128" spans="1:62" outlineLevel="1" x14ac:dyDescent="0.2">
      <c r="C128" s="110"/>
      <c r="D128" s="110"/>
      <c r="E128" s="110"/>
      <c r="F128" s="110"/>
      <c r="G128" s="110"/>
      <c r="H128" s="110"/>
      <c r="I128" s="110"/>
      <c r="J128" s="110"/>
      <c r="K128" s="110"/>
      <c r="L128" s="110"/>
      <c r="M128" s="110"/>
      <c r="N128" s="110"/>
      <c r="O128" s="110"/>
      <c r="P128" s="110"/>
      <c r="Q128" s="110"/>
      <c r="R128" s="110"/>
      <c r="S128" s="110"/>
      <c r="T128" s="110"/>
      <c r="U128" s="110"/>
      <c r="V128" s="110"/>
      <c r="W128" s="110"/>
      <c r="X128" s="110"/>
      <c r="Y128" s="110"/>
      <c r="Z128" s="110"/>
      <c r="AA128" s="110"/>
      <c r="AB128" s="110"/>
      <c r="AC128" s="110"/>
      <c r="AD128" s="110"/>
      <c r="AE128" s="110"/>
      <c r="AF128" s="110"/>
      <c r="AG128" s="110"/>
      <c r="AI128" s="134"/>
      <c r="AJ128" s="211"/>
      <c r="BC128" s="1"/>
      <c r="BD128" s="41"/>
      <c r="BF128" s="6"/>
      <c r="BG128" s="6"/>
      <c r="BH128" s="6"/>
      <c r="BI128" s="6"/>
      <c r="BJ128" s="6"/>
    </row>
    <row r="129" spans="1:63" outlineLevel="1" x14ac:dyDescent="0.2">
      <c r="A129" t="s">
        <v>1553</v>
      </c>
      <c r="C129" s="230">
        <f>'Overall recycling rates'!E86</f>
        <v>0.57160689689087107</v>
      </c>
      <c r="D129" s="230">
        <f>C129-($C129-$AG129)/($AG$1-$C$1)</f>
        <v>0.58255333366117534</v>
      </c>
      <c r="E129" s="230">
        <f t="shared" ref="E129:AF129" si="73">D129-($C129-$AG129)/($AG$1-$C$1)</f>
        <v>0.59349977043147961</v>
      </c>
      <c r="F129" s="230">
        <f t="shared" si="73"/>
        <v>0.60444620720178388</v>
      </c>
      <c r="G129" s="230">
        <f t="shared" si="73"/>
        <v>0.61539264397208815</v>
      </c>
      <c r="H129" s="230">
        <f t="shared" si="73"/>
        <v>0.62633908074239242</v>
      </c>
      <c r="I129" s="230">
        <f t="shared" si="73"/>
        <v>0.63728551751269669</v>
      </c>
      <c r="J129" s="230">
        <f t="shared" si="73"/>
        <v>0.64823195428300096</v>
      </c>
      <c r="K129" s="230">
        <f t="shared" si="73"/>
        <v>0.65917839105330522</v>
      </c>
      <c r="L129" s="230">
        <f t="shared" si="73"/>
        <v>0.67012482782360949</v>
      </c>
      <c r="M129" s="230">
        <f t="shared" si="73"/>
        <v>0.68107126459391376</v>
      </c>
      <c r="N129" s="230">
        <f t="shared" si="73"/>
        <v>0.69201770136421803</v>
      </c>
      <c r="O129" s="230">
        <f t="shared" si="73"/>
        <v>0.7029641381345223</v>
      </c>
      <c r="P129" s="230">
        <f t="shared" si="73"/>
        <v>0.71391057490482657</v>
      </c>
      <c r="Q129" s="230">
        <f t="shared" si="73"/>
        <v>0.72485701167513084</v>
      </c>
      <c r="R129" s="230">
        <f t="shared" si="73"/>
        <v>0.7358034484454351</v>
      </c>
      <c r="S129" s="230">
        <f t="shared" si="73"/>
        <v>0.74674988521573937</v>
      </c>
      <c r="T129" s="230">
        <f t="shared" si="73"/>
        <v>0.75769632198604364</v>
      </c>
      <c r="U129" s="230">
        <f t="shared" si="73"/>
        <v>0.76864275875634791</v>
      </c>
      <c r="V129" s="230">
        <f t="shared" si="73"/>
        <v>0.77958919552665218</v>
      </c>
      <c r="W129" s="230">
        <f t="shared" si="73"/>
        <v>0.79053563229695645</v>
      </c>
      <c r="X129" s="230">
        <f t="shared" si="73"/>
        <v>0.80148206906726072</v>
      </c>
      <c r="Y129" s="230">
        <f t="shared" si="73"/>
        <v>0.81242850583756498</v>
      </c>
      <c r="Z129" s="230">
        <f t="shared" si="73"/>
        <v>0.82337494260786925</v>
      </c>
      <c r="AA129" s="230">
        <f t="shared" si="73"/>
        <v>0.83432137937817352</v>
      </c>
      <c r="AB129" s="230">
        <f t="shared" si="73"/>
        <v>0.84526781614847779</v>
      </c>
      <c r="AC129" s="230">
        <f t="shared" si="73"/>
        <v>0.85621425291878206</v>
      </c>
      <c r="AD129" s="230">
        <f t="shared" si="73"/>
        <v>0.86716068968908633</v>
      </c>
      <c r="AE129" s="230">
        <f t="shared" si="73"/>
        <v>0.8781071264593906</v>
      </c>
      <c r="AF129" s="230">
        <f t="shared" si="73"/>
        <v>0.88905356322969487</v>
      </c>
      <c r="AG129" s="230">
        <f>'Overall recycling rates'!E95</f>
        <v>0.9</v>
      </c>
      <c r="AI129" s="133"/>
      <c r="AJ129" s="211" t="s">
        <v>1571</v>
      </c>
      <c r="AL129" s="108"/>
      <c r="AM129" s="207"/>
      <c r="AN129" s="207"/>
      <c r="AO129" s="207"/>
      <c r="BC129" s="1"/>
      <c r="BD129" s="207"/>
      <c r="BE129" s="207"/>
      <c r="BF129" s="207"/>
      <c r="BG129" s="207"/>
      <c r="BH129" s="207"/>
      <c r="BI129" s="207"/>
      <c r="BJ129" s="207"/>
      <c r="BK129" s="207"/>
    </row>
    <row r="130" spans="1:63" outlineLevel="1" x14ac:dyDescent="0.2">
      <c r="A130" t="s">
        <v>1572</v>
      </c>
      <c r="B130" s="54" t="s">
        <v>462</v>
      </c>
      <c r="C130" s="110">
        <f>C117*C$129</f>
        <v>1.1432137937817421E-3</v>
      </c>
      <c r="D130" s="110">
        <f t="shared" ref="D130:AG130" si="74">D117*D$129</f>
        <v>1.8936265102783112E-3</v>
      </c>
      <c r="E130" s="110">
        <f t="shared" si="74"/>
        <v>2.8496218948723998E-3</v>
      </c>
      <c r="F130" s="110">
        <f t="shared" si="74"/>
        <v>4.0210602789864094E-3</v>
      </c>
      <c r="G130" s="110">
        <f t="shared" si="74"/>
        <v>5.4178019940427412E-3</v>
      </c>
      <c r="H130" s="110">
        <f t="shared" si="74"/>
        <v>7.0497073714637943E-3</v>
      </c>
      <c r="I130" s="110">
        <f t="shared" si="74"/>
        <v>8.9266367426719742E-3</v>
      </c>
      <c r="J130" s="110">
        <f t="shared" si="74"/>
        <v>1.1058450439089674E-2</v>
      </c>
      <c r="K130" s="110">
        <f t="shared" si="74"/>
        <v>1.3455008792139301E-2</v>
      </c>
      <c r="L130" s="110">
        <f t="shared" si="74"/>
        <v>1.6126172133243258E-2</v>
      </c>
      <c r="M130" s="110">
        <f t="shared" si="74"/>
        <v>1.9081800793823937E-2</v>
      </c>
      <c r="N130" s="110">
        <f t="shared" si="74"/>
        <v>2.3981250219845207E-2</v>
      </c>
      <c r="O130" s="110">
        <f t="shared" si="74"/>
        <v>2.9470872382785233E-2</v>
      </c>
      <c r="P130" s="110">
        <f t="shared" si="74"/>
        <v>3.5571449827334303E-2</v>
      </c>
      <c r="Q130" s="110">
        <f t="shared" si="74"/>
        <v>4.2303765098182698E-2</v>
      </c>
      <c r="R130" s="110">
        <f t="shared" si="74"/>
        <v>4.9688600740020732E-2</v>
      </c>
      <c r="S130" s="110">
        <f t="shared" si="74"/>
        <v>5.774673929753868E-2</v>
      </c>
      <c r="T130" s="110">
        <f t="shared" si="74"/>
        <v>6.6498963315426832E-2</v>
      </c>
      <c r="U130" s="110">
        <f t="shared" si="74"/>
        <v>7.5966055338375471E-2</v>
      </c>
      <c r="V130" s="110">
        <f t="shared" si="74"/>
        <v>8.6168797911074915E-2</v>
      </c>
      <c r="W130" s="110">
        <f t="shared" si="74"/>
        <v>9.712797357821544E-2</v>
      </c>
      <c r="X130" s="110">
        <f t="shared" si="74"/>
        <v>0.11301872531958101</v>
      </c>
      <c r="Y130" s="110">
        <f t="shared" si="74"/>
        <v>0.13016707140327841</v>
      </c>
      <c r="Z130" s="110">
        <f t="shared" si="74"/>
        <v>0.14860778485933426</v>
      </c>
      <c r="AA130" s="110">
        <f t="shared" si="74"/>
        <v>0.16837563871777517</v>
      </c>
      <c r="AB130" s="110">
        <f t="shared" si="74"/>
        <v>0.18950540600862786</v>
      </c>
      <c r="AC130" s="110">
        <f t="shared" si="74"/>
        <v>0.21203185976191888</v>
      </c>
      <c r="AD130" s="110">
        <f t="shared" si="74"/>
        <v>0.23598977300767496</v>
      </c>
      <c r="AE130" s="110">
        <f t="shared" si="74"/>
        <v>0.26141391877592274</v>
      </c>
      <c r="AF130" s="110">
        <f t="shared" si="74"/>
        <v>0.2883390700966888</v>
      </c>
      <c r="AG130" s="110">
        <f t="shared" si="74"/>
        <v>0.31680000000000003</v>
      </c>
      <c r="AI130" s="133"/>
      <c r="AJ130"/>
      <c r="AL130" s="108"/>
      <c r="AM130" s="2"/>
      <c r="AN130" s="2"/>
      <c r="AO130" s="2"/>
      <c r="AV130" s="41"/>
    </row>
    <row r="131" spans="1:63" outlineLevel="1" x14ac:dyDescent="0.2">
      <c r="A131" t="s">
        <v>1573</v>
      </c>
      <c r="B131" s="54" t="s">
        <v>462</v>
      </c>
      <c r="C131" s="110">
        <f>C118*C$129</f>
        <v>1.3146958628490036E-2</v>
      </c>
      <c r="D131" s="110">
        <f t="shared" ref="D131:AG131" si="75">D118*D$129</f>
        <v>1.6314320703936219E-2</v>
      </c>
      <c r="E131" s="110">
        <f t="shared" si="75"/>
        <v>1.9413049158818221E-2</v>
      </c>
      <c r="F131" s="110">
        <f t="shared" si="75"/>
        <v>2.2433283661713651E-2</v>
      </c>
      <c r="G131" s="110">
        <f t="shared" si="75"/>
        <v>2.5365163881200109E-2</v>
      </c>
      <c r="H131" s="110">
        <f t="shared" si="75"/>
        <v>2.8198829485855181E-2</v>
      </c>
      <c r="I131" s="110">
        <f t="shared" si="75"/>
        <v>3.0924420144256486E-2</v>
      </c>
      <c r="J131" s="110">
        <f t="shared" si="75"/>
        <v>3.3532075524981594E-2</v>
      </c>
      <c r="K131" s="110">
        <f t="shared" si="75"/>
        <v>3.6011935296608136E-2</v>
      </c>
      <c r="L131" s="110">
        <f t="shared" si="75"/>
        <v>3.8354139127713696E-2</v>
      </c>
      <c r="M131" s="110">
        <f t="shared" si="75"/>
        <v>4.0548826686875865E-2</v>
      </c>
      <c r="N131" s="110">
        <f t="shared" si="75"/>
        <v>4.5731686465751313E-2</v>
      </c>
      <c r="O131" s="110">
        <f t="shared" si="75"/>
        <v>5.0613019961739843E-2</v>
      </c>
      <c r="P131" s="110">
        <f t="shared" si="75"/>
        <v>5.5172044630151136E-2</v>
      </c>
      <c r="Q131" s="110">
        <f t="shared" si="75"/>
        <v>5.9387977926294917E-2</v>
      </c>
      <c r="R131" s="110">
        <f t="shared" si="75"/>
        <v>6.324003730548089E-2</v>
      </c>
      <c r="S131" s="110">
        <f t="shared" si="75"/>
        <v>6.6707440223018777E-2</v>
      </c>
      <c r="T131" s="110">
        <f t="shared" si="75"/>
        <v>6.9769404134218269E-2</v>
      </c>
      <c r="U131" s="110">
        <f t="shared" si="75"/>
        <v>7.2405146494389089E-2</v>
      </c>
      <c r="V131" s="110">
        <f t="shared" si="75"/>
        <v>7.4593884758840934E-2</v>
      </c>
      <c r="W131" s="110">
        <f t="shared" si="75"/>
        <v>7.6314836382883514E-2</v>
      </c>
      <c r="X131" s="110">
        <f t="shared" si="75"/>
        <v>8.0506489268742584E-2</v>
      </c>
      <c r="Y131" s="110">
        <f t="shared" si="75"/>
        <v>8.3923506562639957E-2</v>
      </c>
      <c r="Z131" s="110">
        <f t="shared" si="75"/>
        <v>8.6531115234548983E-2</v>
      </c>
      <c r="AA131" s="110">
        <f t="shared" si="75"/>
        <v>8.829454225444297E-2</v>
      </c>
      <c r="AB131" s="110">
        <f t="shared" si="75"/>
        <v>8.9179014592295353E-2</v>
      </c>
      <c r="AC131" s="110">
        <f t="shared" si="75"/>
        <v>8.9149759218079411E-2</v>
      </c>
      <c r="AD131" s="110">
        <f t="shared" si="75"/>
        <v>8.8172003101768523E-2</v>
      </c>
      <c r="AE131" s="110">
        <f t="shared" si="75"/>
        <v>8.6210973213336053E-2</v>
      </c>
      <c r="AF131" s="110">
        <f t="shared" si="75"/>
        <v>8.3231896522755353E-2</v>
      </c>
      <c r="AG131" s="110">
        <f t="shared" si="75"/>
        <v>7.9199999999999979E-2</v>
      </c>
      <c r="AH131" s="245"/>
      <c r="AI131" s="133"/>
      <c r="AJ131" s="211"/>
      <c r="AL131" s="108"/>
      <c r="AM131" s="2"/>
      <c r="AN131" s="2"/>
      <c r="AO131" s="2"/>
      <c r="AV131" s="41"/>
    </row>
    <row r="132" spans="1:63" outlineLevel="1" x14ac:dyDescent="0.2">
      <c r="A132" t="s">
        <v>1574</v>
      </c>
      <c r="B132" s="176" t="s">
        <v>462</v>
      </c>
      <c r="C132" s="110">
        <f>SUM(C130:C131)</f>
        <v>1.4290172422271779E-2</v>
      </c>
      <c r="D132" s="110">
        <f t="shared" ref="D132:AG132" si="76">SUM(D130:D131)</f>
        <v>1.820794721421453E-2</v>
      </c>
      <c r="E132" s="110">
        <f t="shared" si="76"/>
        <v>2.2262671053690619E-2</v>
      </c>
      <c r="F132" s="110">
        <f t="shared" si="76"/>
        <v>2.6454343940700061E-2</v>
      </c>
      <c r="G132" s="110">
        <f t="shared" si="76"/>
        <v>3.0782965875242849E-2</v>
      </c>
      <c r="H132" s="110">
        <f t="shared" si="76"/>
        <v>3.5248536857318977E-2</v>
      </c>
      <c r="I132" s="110">
        <f t="shared" si="76"/>
        <v>3.9851056886928457E-2</v>
      </c>
      <c r="J132" s="110">
        <f t="shared" si="76"/>
        <v>4.4590525964071266E-2</v>
      </c>
      <c r="K132" s="110">
        <f t="shared" si="76"/>
        <v>4.9466944088747439E-2</v>
      </c>
      <c r="L132" s="110">
        <f t="shared" si="76"/>
        <v>5.4480311260956954E-2</v>
      </c>
      <c r="M132" s="110">
        <f t="shared" si="76"/>
        <v>5.9630627480699805E-2</v>
      </c>
      <c r="N132" s="110">
        <f t="shared" si="76"/>
        <v>6.9712936685596527E-2</v>
      </c>
      <c r="O132" s="110">
        <f t="shared" si="76"/>
        <v>8.0083892344525079E-2</v>
      </c>
      <c r="P132" s="110">
        <f t="shared" si="76"/>
        <v>9.0743494457485446E-2</v>
      </c>
      <c r="Q132" s="110">
        <f t="shared" si="76"/>
        <v>0.10169174302447762</v>
      </c>
      <c r="R132" s="110">
        <f t="shared" si="76"/>
        <v>0.11292863804550163</v>
      </c>
      <c r="S132" s="110">
        <f t="shared" si="76"/>
        <v>0.12445417952055746</v>
      </c>
      <c r="T132" s="110">
        <f t="shared" si="76"/>
        <v>0.1362683674496451</v>
      </c>
      <c r="U132" s="110">
        <f t="shared" si="76"/>
        <v>0.14837120183276456</v>
      </c>
      <c r="V132" s="110">
        <f t="shared" si="76"/>
        <v>0.16076268266991584</v>
      </c>
      <c r="W132" s="110">
        <f t="shared" si="76"/>
        <v>0.17344280996109895</v>
      </c>
      <c r="X132" s="110">
        <f t="shared" si="76"/>
        <v>0.19352521458832361</v>
      </c>
      <c r="Y132" s="110">
        <f t="shared" si="76"/>
        <v>0.21409057796591835</v>
      </c>
      <c r="Z132" s="110">
        <f t="shared" si="76"/>
        <v>0.23513890009388325</v>
      </c>
      <c r="AA132" s="110">
        <f t="shared" si="76"/>
        <v>0.25667018097221816</v>
      </c>
      <c r="AB132" s="110">
        <f t="shared" si="76"/>
        <v>0.27868442060092324</v>
      </c>
      <c r="AC132" s="110">
        <f t="shared" si="76"/>
        <v>0.30118161897999829</v>
      </c>
      <c r="AD132" s="110">
        <f t="shared" si="76"/>
        <v>0.32416177610944347</v>
      </c>
      <c r="AE132" s="110">
        <f t="shared" si="76"/>
        <v>0.34762489198925878</v>
      </c>
      <c r="AF132" s="110">
        <f t="shared" si="76"/>
        <v>0.37157096661944417</v>
      </c>
      <c r="AG132" s="110">
        <f t="shared" si="76"/>
        <v>0.39600000000000002</v>
      </c>
      <c r="AI132" s="133"/>
      <c r="AJ132" s="211"/>
      <c r="AL132" s="108"/>
      <c r="AM132" s="2"/>
      <c r="AN132" s="2"/>
      <c r="AO132" s="2"/>
    </row>
    <row r="133" spans="1:63" outlineLevel="1" x14ac:dyDescent="0.2">
      <c r="A133" t="s">
        <v>1575</v>
      </c>
      <c r="B133" s="54" t="s">
        <v>462</v>
      </c>
      <c r="C133" s="110">
        <f>C120*C131</f>
        <v>6.8364184868148188E-3</v>
      </c>
      <c r="D133" s="110">
        <f t="shared" ref="D133:AG133" si="77">D120*D131</f>
        <v>8.483446766046834E-3</v>
      </c>
      <c r="E133" s="110">
        <f t="shared" si="77"/>
        <v>1.0094785562585475E-2</v>
      </c>
      <c r="F133" s="110">
        <f t="shared" si="77"/>
        <v>1.1665307504091098E-2</v>
      </c>
      <c r="G133" s="110">
        <f t="shared" si="77"/>
        <v>1.3189885218224057E-2</v>
      </c>
      <c r="H133" s="110">
        <f t="shared" si="77"/>
        <v>1.4663391332644694E-2</v>
      </c>
      <c r="I133" s="110">
        <f t="shared" si="77"/>
        <v>1.6080698475013373E-2</v>
      </c>
      <c r="J133" s="110">
        <f t="shared" si="77"/>
        <v>1.7436679272990429E-2</v>
      </c>
      <c r="K133" s="110">
        <f t="shared" si="77"/>
        <v>1.8726206354236233E-2</v>
      </c>
      <c r="L133" s="110">
        <f t="shared" si="77"/>
        <v>1.9944152346411122E-2</v>
      </c>
      <c r="M133" s="110">
        <f t="shared" si="77"/>
        <v>2.108538987717545E-2</v>
      </c>
      <c r="N133" s="110">
        <f t="shared" si="77"/>
        <v>2.3780476962190683E-2</v>
      </c>
      <c r="O133" s="110">
        <f t="shared" si="77"/>
        <v>2.631877038010472E-2</v>
      </c>
      <c r="P133" s="110">
        <f t="shared" si="77"/>
        <v>2.8689463207678591E-2</v>
      </c>
      <c r="Q133" s="110">
        <f t="shared" si="77"/>
        <v>3.0881748521673358E-2</v>
      </c>
      <c r="R133" s="110">
        <f t="shared" si="77"/>
        <v>3.2884819398850067E-2</v>
      </c>
      <c r="S133" s="110">
        <f t="shared" si="77"/>
        <v>3.4687868915969762E-2</v>
      </c>
      <c r="T133" s="110">
        <f t="shared" si="77"/>
        <v>3.6280090149793498E-2</v>
      </c>
      <c r="U133" s="110">
        <f t="shared" si="77"/>
        <v>3.7650676177082329E-2</v>
      </c>
      <c r="V133" s="110">
        <f t="shared" si="77"/>
        <v>3.8788820074597288E-2</v>
      </c>
      <c r="W133" s="110">
        <f t="shared" si="77"/>
        <v>3.968371491909943E-2</v>
      </c>
      <c r="X133" s="110">
        <f t="shared" si="77"/>
        <v>4.1863374419746142E-2</v>
      </c>
      <c r="Y133" s="110">
        <f t="shared" si="77"/>
        <v>4.364022341257278E-2</v>
      </c>
      <c r="Z133" s="110">
        <f t="shared" si="77"/>
        <v>4.4996179921965473E-2</v>
      </c>
      <c r="AA133" s="110">
        <f t="shared" si="77"/>
        <v>4.5913161972310344E-2</v>
      </c>
      <c r="AB133" s="110">
        <f t="shared" si="77"/>
        <v>4.6373087587993585E-2</v>
      </c>
      <c r="AC133" s="110">
        <f t="shared" si="77"/>
        <v>4.6357874793401296E-2</v>
      </c>
      <c r="AD133" s="110">
        <f t="shared" si="77"/>
        <v>4.5849441612919636E-2</v>
      </c>
      <c r="AE133" s="110">
        <f t="shared" si="77"/>
        <v>4.4829706070934748E-2</v>
      </c>
      <c r="AF133" s="110">
        <f t="shared" si="77"/>
        <v>4.3280586191832782E-2</v>
      </c>
      <c r="AG133" s="110">
        <f t="shared" si="77"/>
        <v>4.1183999999999991E-2</v>
      </c>
      <c r="AI133" s="133"/>
      <c r="AJ133" s="211"/>
      <c r="BD133" s="203"/>
      <c r="BE133" s="203"/>
    </row>
    <row r="134" spans="1:63" outlineLevel="1" x14ac:dyDescent="0.2">
      <c r="A134" t="s">
        <v>1576</v>
      </c>
      <c r="B134" s="54" t="s">
        <v>462</v>
      </c>
      <c r="C134" s="110">
        <f>C121*C131</f>
        <v>1.5776350354188044E-3</v>
      </c>
      <c r="D134" s="110">
        <f t="shared" ref="D134:AG134" si="78">D121*D131</f>
        <v>1.9577184844723461E-3</v>
      </c>
      <c r="E134" s="110">
        <f t="shared" si="78"/>
        <v>2.3295658990581864E-3</v>
      </c>
      <c r="F134" s="110">
        <f t="shared" si="78"/>
        <v>2.6919940394056381E-3</v>
      </c>
      <c r="G134" s="110">
        <f t="shared" si="78"/>
        <v>3.043819665744013E-3</v>
      </c>
      <c r="H134" s="110">
        <f t="shared" si="78"/>
        <v>3.3838595383026216E-3</v>
      </c>
      <c r="I134" s="110">
        <f t="shared" si="78"/>
        <v>3.7109304173107783E-3</v>
      </c>
      <c r="J134" s="110">
        <f t="shared" si="78"/>
        <v>4.0238490629977914E-3</v>
      </c>
      <c r="K134" s="110">
        <f t="shared" si="78"/>
        <v>4.3214322355929757E-3</v>
      </c>
      <c r="L134" s="110">
        <f t="shared" si="78"/>
        <v>4.6024966953256436E-3</v>
      </c>
      <c r="M134" s="110">
        <f t="shared" si="78"/>
        <v>4.8658592024251037E-3</v>
      </c>
      <c r="N134" s="110">
        <f t="shared" si="78"/>
        <v>5.4878023758901575E-3</v>
      </c>
      <c r="O134" s="110">
        <f t="shared" si="78"/>
        <v>6.0735623954087806E-3</v>
      </c>
      <c r="P134" s="110">
        <f t="shared" si="78"/>
        <v>6.6206453556181362E-3</v>
      </c>
      <c r="Q134" s="110">
        <f t="shared" si="78"/>
        <v>7.1265573511553899E-3</v>
      </c>
      <c r="R134" s="110">
        <f t="shared" si="78"/>
        <v>7.5888044766577066E-3</v>
      </c>
      <c r="S134" s="110">
        <f t="shared" si="78"/>
        <v>8.0048928267622537E-3</v>
      </c>
      <c r="T134" s="110">
        <f t="shared" si="78"/>
        <v>8.3723284961061926E-3</v>
      </c>
      <c r="U134" s="110">
        <f t="shared" si="78"/>
        <v>8.68861757932669E-3</v>
      </c>
      <c r="V134" s="110">
        <f t="shared" si="78"/>
        <v>8.9512661710609114E-3</v>
      </c>
      <c r="W134" s="110">
        <f t="shared" si="78"/>
        <v>9.1577803659460208E-3</v>
      </c>
      <c r="X134" s="110">
        <f t="shared" si="78"/>
        <v>9.6607787122491105E-3</v>
      </c>
      <c r="Y134" s="110">
        <f t="shared" si="78"/>
        <v>1.0070820787516794E-2</v>
      </c>
      <c r="Z134" s="110">
        <f t="shared" si="78"/>
        <v>1.0383733828145877E-2</v>
      </c>
      <c r="AA134" s="110">
        <f t="shared" si="78"/>
        <v>1.0595345070533157E-2</v>
      </c>
      <c r="AB134" s="110">
        <f t="shared" si="78"/>
        <v>1.0701481751075442E-2</v>
      </c>
      <c r="AC134" s="110">
        <f t="shared" si="78"/>
        <v>1.0697971106169529E-2</v>
      </c>
      <c r="AD134" s="110">
        <f t="shared" si="78"/>
        <v>1.0580640372212222E-2</v>
      </c>
      <c r="AE134" s="110">
        <f t="shared" si="78"/>
        <v>1.0345316785600326E-2</v>
      </c>
      <c r="AF134" s="110">
        <f t="shared" si="78"/>
        <v>9.9878275827306427E-3</v>
      </c>
      <c r="AG134" s="110">
        <f t="shared" si="78"/>
        <v>9.5039999999999968E-3</v>
      </c>
      <c r="AI134" s="133"/>
      <c r="AJ134" s="211"/>
      <c r="AL134" s="1"/>
      <c r="BC134" s="1"/>
      <c r="BD134" s="693"/>
      <c r="BE134" s="686"/>
      <c r="BF134" s="6"/>
      <c r="BG134" s="6"/>
      <c r="BH134" s="6"/>
      <c r="BI134" s="6"/>
      <c r="BJ134" s="6"/>
    </row>
    <row r="135" spans="1:63" outlineLevel="1" x14ac:dyDescent="0.2">
      <c r="A135" t="s">
        <v>1577</v>
      </c>
      <c r="B135" s="54" t="s">
        <v>462</v>
      </c>
      <c r="C135" s="110">
        <f>C122*C131</f>
        <v>4.7329051062564133E-3</v>
      </c>
      <c r="D135" s="110">
        <f t="shared" ref="D135:AG135" si="79">D122*D131</f>
        <v>5.8731554534170389E-3</v>
      </c>
      <c r="E135" s="110">
        <f t="shared" si="79"/>
        <v>6.9886976971745588E-3</v>
      </c>
      <c r="F135" s="110">
        <f t="shared" si="79"/>
        <v>8.0759821182169143E-3</v>
      </c>
      <c r="G135" s="110">
        <f t="shared" si="79"/>
        <v>9.1314589972320385E-3</v>
      </c>
      <c r="H135" s="110">
        <f t="shared" si="79"/>
        <v>1.0151578614907864E-2</v>
      </c>
      <c r="I135" s="110">
        <f t="shared" si="79"/>
        <v>1.1132791251932334E-2</v>
      </c>
      <c r="J135" s="110">
        <f t="shared" si="79"/>
        <v>1.2071547188993373E-2</v>
      </c>
      <c r="K135" s="110">
        <f t="shared" si="79"/>
        <v>1.2964296706778929E-2</v>
      </c>
      <c r="L135" s="110">
        <f t="shared" si="79"/>
        <v>1.3807490085976931E-2</v>
      </c>
      <c r="M135" s="110">
        <f t="shared" si="79"/>
        <v>1.459757760727531E-2</v>
      </c>
      <c r="N135" s="110">
        <f t="shared" si="79"/>
        <v>1.6463407127670471E-2</v>
      </c>
      <c r="O135" s="110">
        <f t="shared" si="79"/>
        <v>1.8220687186226343E-2</v>
      </c>
      <c r="P135" s="110">
        <f t="shared" si="79"/>
        <v>1.9861936066854408E-2</v>
      </c>
      <c r="Q135" s="110">
        <f t="shared" si="79"/>
        <v>2.1379672053466168E-2</v>
      </c>
      <c r="R135" s="110">
        <f t="shared" si="79"/>
        <v>2.2766413429973119E-2</v>
      </c>
      <c r="S135" s="110">
        <f t="shared" si="79"/>
        <v>2.4014678480286759E-2</v>
      </c>
      <c r="T135" s="110">
        <f t="shared" si="79"/>
        <v>2.5116985488318574E-2</v>
      </c>
      <c r="U135" s="110">
        <f t="shared" si="79"/>
        <v>2.606585273798007E-2</v>
      </c>
      <c r="V135" s="110">
        <f t="shared" si="79"/>
        <v>2.6853798513182734E-2</v>
      </c>
      <c r="W135" s="110">
        <f t="shared" si="79"/>
        <v>2.7473341097838062E-2</v>
      </c>
      <c r="X135" s="110">
        <f t="shared" si="79"/>
        <v>2.898233613674733E-2</v>
      </c>
      <c r="Y135" s="110">
        <f t="shared" si="79"/>
        <v>3.0212462362550385E-2</v>
      </c>
      <c r="Z135" s="110">
        <f t="shared" si="79"/>
        <v>3.1151201484437632E-2</v>
      </c>
      <c r="AA135" s="110">
        <f t="shared" si="79"/>
        <v>3.1786035211599471E-2</v>
      </c>
      <c r="AB135" s="110">
        <f t="shared" si="79"/>
        <v>3.2104445253226324E-2</v>
      </c>
      <c r="AC135" s="110">
        <f t="shared" si="79"/>
        <v>3.2093913318508589E-2</v>
      </c>
      <c r="AD135" s="110">
        <f t="shared" si="79"/>
        <v>3.1741921116636665E-2</v>
      </c>
      <c r="AE135" s="110">
        <f t="shared" si="79"/>
        <v>3.1035950356800977E-2</v>
      </c>
      <c r="AF135" s="110">
        <f t="shared" si="79"/>
        <v>2.9963482748191925E-2</v>
      </c>
      <c r="AG135" s="110">
        <f t="shared" si="79"/>
        <v>2.8511999999999992E-2</v>
      </c>
      <c r="AI135" s="134"/>
      <c r="AJ135" s="211"/>
      <c r="BC135" s="1"/>
      <c r="BD135" s="41"/>
      <c r="BF135" s="6"/>
      <c r="BG135" s="6"/>
      <c r="BH135" s="6"/>
      <c r="BI135" s="6"/>
      <c r="BJ135" s="6"/>
    </row>
    <row r="136" spans="1:63" outlineLevel="1" x14ac:dyDescent="0.2">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I136" s="134"/>
      <c r="AJ136" s="211"/>
      <c r="BC136" s="1"/>
      <c r="BD136" s="41"/>
      <c r="BF136" s="6"/>
      <c r="BG136" s="6"/>
      <c r="BH136" s="6"/>
      <c r="BI136" s="6"/>
      <c r="BJ136" s="6"/>
    </row>
    <row r="137" spans="1:63" s="1" customFormat="1" outlineLevel="1" x14ac:dyDescent="0.2">
      <c r="A137" s="1" t="s">
        <v>228</v>
      </c>
      <c r="B137" s="65"/>
      <c r="C137" s="300">
        <f>C43*C130</f>
        <v>6.7049132945215778E-4</v>
      </c>
      <c r="D137" s="300">
        <f t="shared" ref="D137:AG137" si="80">D43*D130</f>
        <v>1.1478352307777058E-3</v>
      </c>
      <c r="E137" s="300">
        <f t="shared" si="80"/>
        <v>1.7805542791737255E-3</v>
      </c>
      <c r="F137" s="300">
        <f t="shared" si="80"/>
        <v>2.5831837745747608E-3</v>
      </c>
      <c r="G137" s="300">
        <f t="shared" si="80"/>
        <v>3.569022952927645E-3</v>
      </c>
      <c r="H137" s="300">
        <f t="shared" si="80"/>
        <v>4.7497889473316337E-3</v>
      </c>
      <c r="I137" s="300">
        <f t="shared" si="80"/>
        <v>6.1485166320904075E-3</v>
      </c>
      <c r="J137" s="300">
        <f t="shared" si="80"/>
        <v>7.7831974694934566E-3</v>
      </c>
      <c r="K137" s="300">
        <f t="shared" si="80"/>
        <v>9.6723235601463026E-3</v>
      </c>
      <c r="L137" s="300">
        <f t="shared" si="80"/>
        <v>1.1834848703256148E-2</v>
      </c>
      <c r="M137" s="300">
        <f t="shared" si="80"/>
        <v>1.4290145645258399E-2</v>
      </c>
      <c r="N137" s="300">
        <f t="shared" si="80"/>
        <v>1.8291706080824335E-2</v>
      </c>
      <c r="O137" s="300">
        <f t="shared" si="80"/>
        <v>2.2851673545355191E-2</v>
      </c>
      <c r="P137" s="300">
        <f t="shared" si="80"/>
        <v>2.789081608439108E-2</v>
      </c>
      <c r="Q137" s="300">
        <f t="shared" si="80"/>
        <v>3.3475950184377712E-2</v>
      </c>
      <c r="R137" s="300">
        <f t="shared" si="80"/>
        <v>3.9606152151471369E-2</v>
      </c>
      <c r="S137" s="300">
        <f t="shared" si="80"/>
        <v>4.6357819829830067E-2</v>
      </c>
      <c r="T137" s="300">
        <f t="shared" si="80"/>
        <v>5.3757312679780733E-2</v>
      </c>
      <c r="U137" s="300">
        <f t="shared" si="80"/>
        <v>6.183106140630111E-2</v>
      </c>
      <c r="V137" s="300">
        <f t="shared" si="80"/>
        <v>7.0605534795610186E-2</v>
      </c>
      <c r="W137" s="300">
        <f t="shared" si="80"/>
        <v>8.0107205659465136E-2</v>
      </c>
      <c r="X137" s="300">
        <f t="shared" si="80"/>
        <v>9.3811862702173177E-2</v>
      </c>
      <c r="Y137" s="300">
        <f t="shared" si="80"/>
        <v>0.10872513812831275</v>
      </c>
      <c r="Z137" s="300">
        <f t="shared" si="80"/>
        <v>0.12381994633891057</v>
      </c>
      <c r="AA137" s="300">
        <f t="shared" si="80"/>
        <v>0.13988248123425326</v>
      </c>
      <c r="AB137" s="300">
        <f t="shared" si="80"/>
        <v>0.15691008353748359</v>
      </c>
      <c r="AC137" s="300">
        <f t="shared" si="80"/>
        <v>0.17489802779036531</v>
      </c>
      <c r="AD137" s="300">
        <f t="shared" si="80"/>
        <v>0.19383656060403898</v>
      </c>
      <c r="AE137" s="300">
        <f t="shared" si="80"/>
        <v>0.21371187275898593</v>
      </c>
      <c r="AF137" s="300">
        <f t="shared" si="80"/>
        <v>0.23450590015746184</v>
      </c>
      <c r="AG137" s="300">
        <f t="shared" si="80"/>
        <v>0.25619612290288268</v>
      </c>
      <c r="AH137" s="245"/>
      <c r="AI137" s="423"/>
      <c r="AJ137" s="424"/>
      <c r="AL137" s="221"/>
      <c r="AM137" s="124"/>
      <c r="AN137" s="124"/>
      <c r="AO137" s="124"/>
      <c r="BD137" s="124"/>
      <c r="BE137" s="124"/>
      <c r="BF137" s="124"/>
      <c r="BG137" s="124"/>
      <c r="BH137" s="124"/>
      <c r="BI137" s="124"/>
      <c r="BJ137" s="124"/>
      <c r="BK137" s="124"/>
    </row>
    <row r="138" spans="1:63" outlineLevel="1" x14ac:dyDescent="0.2">
      <c r="A138" s="4" t="s">
        <v>474</v>
      </c>
      <c r="C138" s="230">
        <f>C$137*'Methanol recycling rates'!E48</f>
        <v>0</v>
      </c>
      <c r="D138" s="230">
        <f>D$137*'Methanol recycling rates'!F48</f>
        <v>0</v>
      </c>
      <c r="E138" s="230">
        <f>E$137*'Methanol recycling rates'!G48</f>
        <v>0</v>
      </c>
      <c r="F138" s="230">
        <f>F$137*'Methanol recycling rates'!H48</f>
        <v>0</v>
      </c>
      <c r="G138" s="230">
        <f>G$137*'Methanol recycling rates'!I48</f>
        <v>0</v>
      </c>
      <c r="H138" s="230">
        <f>H$137*'Methanol recycling rates'!J48</f>
        <v>0</v>
      </c>
      <c r="I138" s="230">
        <f>I$137*'Methanol recycling rates'!K48</f>
        <v>0</v>
      </c>
      <c r="J138" s="230">
        <f>J$137*'Methanol recycling rates'!L48</f>
        <v>0</v>
      </c>
      <c r="K138" s="230">
        <f>K$137*'Methanol recycling rates'!M48</f>
        <v>0</v>
      </c>
      <c r="L138" s="230">
        <f>L$137*'Methanol recycling rates'!N48</f>
        <v>0</v>
      </c>
      <c r="M138" s="230">
        <f>M$137*'Methanol recycling rates'!O48</f>
        <v>0</v>
      </c>
      <c r="N138" s="230">
        <f>N$137*'Methanol recycling rates'!P48</f>
        <v>0</v>
      </c>
      <c r="O138" s="230">
        <f>O$137*'Methanol recycling rates'!Q48</f>
        <v>0</v>
      </c>
      <c r="P138" s="230">
        <f>P$137*'Methanol recycling rates'!R48</f>
        <v>0</v>
      </c>
      <c r="Q138" s="230">
        <f>Q$137*'Methanol recycling rates'!S48</f>
        <v>0</v>
      </c>
      <c r="R138" s="230">
        <f>R$137*'Methanol recycling rates'!T48</f>
        <v>0</v>
      </c>
      <c r="S138" s="230">
        <f>S$137*'Methanol recycling rates'!U48</f>
        <v>0</v>
      </c>
      <c r="T138" s="230">
        <f>T$137*'Methanol recycling rates'!V48</f>
        <v>0</v>
      </c>
      <c r="U138" s="230">
        <f>U$137*'Methanol recycling rates'!W48</f>
        <v>0</v>
      </c>
      <c r="V138" s="230">
        <f>V$137*'Methanol recycling rates'!X48</f>
        <v>0</v>
      </c>
      <c r="W138" s="230">
        <f>W$137*'Methanol recycling rates'!Y48</f>
        <v>0</v>
      </c>
      <c r="X138" s="230">
        <f>X$137*'Methanol recycling rates'!Z48</f>
        <v>0</v>
      </c>
      <c r="Y138" s="230">
        <f>Y$137*'Methanol recycling rates'!AA48</f>
        <v>0</v>
      </c>
      <c r="Z138" s="230">
        <f>Z$137*'Methanol recycling rates'!AB48</f>
        <v>0</v>
      </c>
      <c r="AA138" s="230">
        <f>AA$137*'Methanol recycling rates'!AC48</f>
        <v>0</v>
      </c>
      <c r="AB138" s="230">
        <f>AB$137*'Methanol recycling rates'!AD48</f>
        <v>0</v>
      </c>
      <c r="AC138" s="230">
        <f>AC$137*'Methanol recycling rates'!AE48</f>
        <v>0</v>
      </c>
      <c r="AD138" s="230">
        <f>AD$137*'Methanol recycling rates'!AF48</f>
        <v>0</v>
      </c>
      <c r="AE138" s="230">
        <f>AE$137*'Methanol recycling rates'!AG48</f>
        <v>0</v>
      </c>
      <c r="AF138" s="230">
        <f>AF$137*'Methanol recycling rates'!AH48</f>
        <v>0</v>
      </c>
      <c r="AG138" s="230">
        <f>AG$137*'Methanol recycling rates'!AI48</f>
        <v>0</v>
      </c>
      <c r="AH138" s="245"/>
      <c r="AI138" s="133"/>
      <c r="AJ138" s="211"/>
      <c r="AL138" s="108"/>
      <c r="AM138" s="2"/>
      <c r="AN138" s="2"/>
      <c r="AO138" s="2"/>
      <c r="BC138" s="1"/>
      <c r="BD138" s="2"/>
      <c r="BE138" s="2"/>
      <c r="BF138" s="2"/>
      <c r="BG138" s="2"/>
      <c r="BH138" s="2"/>
      <c r="BI138" s="2"/>
      <c r="BJ138" s="2"/>
      <c r="BK138" s="2"/>
    </row>
    <row r="139" spans="1:63" outlineLevel="1" x14ac:dyDescent="0.2">
      <c r="A139" s="4" t="s">
        <v>745</v>
      </c>
      <c r="C139" s="230">
        <f>C$137*'Methanol recycling rates'!E49</f>
        <v>0</v>
      </c>
      <c r="D139" s="230">
        <f>D$137*'Methanol recycling rates'!F49</f>
        <v>4.4601425719494335E-6</v>
      </c>
      <c r="E139" s="230">
        <f>E$137*'Methanol recycling rates'!G49</f>
        <v>1.383739709196547E-5</v>
      </c>
      <c r="F139" s="230">
        <f>F$137*'Methanol recycling rates'!H49</f>
        <v>3.0112426283545198E-5</v>
      </c>
      <c r="G139" s="230">
        <f>G$137*'Methanol recycling rates'!I49</f>
        <v>5.547260019831218E-5</v>
      </c>
      <c r="H139" s="230">
        <f>H$137*'Methanol recycling rates'!J49</f>
        <v>9.2281258336247311E-5</v>
      </c>
      <c r="I139" s="230">
        <f>I$137*'Methanol recycling rates'!K49</f>
        <v>1.4334772125723229E-4</v>
      </c>
      <c r="J139" s="230">
        <f>J$137*'Methanol recycling rates'!L49</f>
        <v>2.117021556241971E-4</v>
      </c>
      <c r="K139" s="230">
        <f>K$137*'Methanol recycling rates'!M49</f>
        <v>3.0066992839067287E-4</v>
      </c>
      <c r="L139" s="230">
        <f>L$137*'Methanol recycling rates'!N49</f>
        <v>4.1387997167841137E-4</v>
      </c>
      <c r="M139" s="230">
        <f>M$137*'Methanol recycling rates'!O49</f>
        <v>5.5527209169726349E-4</v>
      </c>
      <c r="N139" s="230">
        <f>N$137*'Methanol recycling rates'!P49</f>
        <v>7.8183676802056441E-4</v>
      </c>
      <c r="O139" s="230">
        <f>O$137*'Methanol recycling rates'!Q49</f>
        <v>1.0655367873753775E-3</v>
      </c>
      <c r="P139" s="230">
        <f>P$137*'Methanol recycling rates'!R49</f>
        <v>1.4088792250274167E-3</v>
      </c>
      <c r="Q139" s="230">
        <f>Q$137*'Methanol recycling rates'!S49</f>
        <v>1.8210846746156699E-3</v>
      </c>
      <c r="R139" s="230">
        <f>R$137*'Methanol recycling rates'!T49</f>
        <v>2.308463975298053E-3</v>
      </c>
      <c r="S139" s="230">
        <f>S$137*'Methanol recycling rates'!U49</f>
        <v>2.8821207814044392E-3</v>
      </c>
      <c r="T139" s="230">
        <f>T$137*'Methanol recycling rates'!V49</f>
        <v>3.5510408035324152E-3</v>
      </c>
      <c r="U139" s="230">
        <f>U$137*'Methanol recycling rates'!W49</f>
        <v>4.3246244350627306E-3</v>
      </c>
      <c r="V139" s="230">
        <f>V$137*'Methanol recycling rates'!X49</f>
        <v>5.2126856879380363E-3</v>
      </c>
      <c r="W139" s="230">
        <f>W$137*'Methanol recycling rates'!Y49</f>
        <v>6.2254502859197041E-3</v>
      </c>
      <c r="X139" s="230">
        <f>X$137*'Methanol recycling rates'!Z49</f>
        <v>7.6550185068594186E-3</v>
      </c>
      <c r="Y139" s="230">
        <f>Y$137*'Methanol recycling rates'!AA49</f>
        <v>9.2944102885998917E-3</v>
      </c>
      <c r="Z139" s="230">
        <f>Z$137*'Methanol recycling rates'!AB49</f>
        <v>1.1065922860387687E-2</v>
      </c>
      <c r="AA139" s="230">
        <f>AA$137*'Methanol recycling rates'!AC49</f>
        <v>1.3044990282100231E-2</v>
      </c>
      <c r="AB139" s="230">
        <f>AB$137*'Methanol recycling rates'!AD49</f>
        <v>1.5242635109733928E-2</v>
      </c>
      <c r="AC139" s="230">
        <f>AC$137*'Methanol recycling rates'!AE49</f>
        <v>1.7669629824135214E-2</v>
      </c>
      <c r="AD139" s="230">
        <f>AD$137*'Methanol recycling rates'!AF49</f>
        <v>2.0336145959593325E-2</v>
      </c>
      <c r="AE139" s="230">
        <f>AE$137*'Methanol recycling rates'!AG49</f>
        <v>2.3251762182775984E-2</v>
      </c>
      <c r="AF139" s="230">
        <f>AF$137*'Methanol recycling rates'!AH49</f>
        <v>2.6425363064306515E-2</v>
      </c>
      <c r="AG139" s="230">
        <f>AG$137*'Methanol recycling rates'!AI49</f>
        <v>2.9865032991363998E-2</v>
      </c>
      <c r="AH139" s="245"/>
      <c r="AI139" s="133"/>
      <c r="AJ139" s="211"/>
      <c r="AL139" s="108"/>
      <c r="AM139" s="2"/>
      <c r="AN139" s="2"/>
      <c r="AO139" s="2"/>
      <c r="BC139" s="1"/>
      <c r="BD139" s="2"/>
      <c r="BE139" s="2"/>
      <c r="BF139" s="2"/>
      <c r="BG139" s="2"/>
      <c r="BH139" s="2"/>
      <c r="BI139" s="2"/>
      <c r="BJ139" s="2"/>
      <c r="BK139" s="2"/>
    </row>
    <row r="140" spans="1:63" outlineLevel="1" x14ac:dyDescent="0.2">
      <c r="A140" s="4" t="s">
        <v>1561</v>
      </c>
      <c r="C140" s="230">
        <f>C$137*'Methanol recycling rates'!E50</f>
        <v>6.7049132945215778E-4</v>
      </c>
      <c r="D140" s="230">
        <f>D$137*'Methanol recycling rates'!F50</f>
        <v>1.1433750882057564E-3</v>
      </c>
      <c r="E140" s="230">
        <f>E$137*'Methanol recycling rates'!G50</f>
        <v>1.7667168820817603E-3</v>
      </c>
      <c r="F140" s="230">
        <f>F$137*'Methanol recycling rates'!H50</f>
        <v>2.5530713482912158E-3</v>
      </c>
      <c r="G140" s="230">
        <f>G$137*'Methanol recycling rates'!I50</f>
        <v>3.5135503527293334E-3</v>
      </c>
      <c r="H140" s="230">
        <f>H$137*'Methanol recycling rates'!J50</f>
        <v>4.6575076889953876E-3</v>
      </c>
      <c r="I140" s="230">
        <f>I$137*'Methanol recycling rates'!K50</f>
        <v>6.0051689108331771E-3</v>
      </c>
      <c r="J140" s="230">
        <f>J$137*'Methanol recycling rates'!L50</f>
        <v>7.5714953138692623E-3</v>
      </c>
      <c r="K140" s="230">
        <f>K$137*'Methanol recycling rates'!M50</f>
        <v>9.3716536317556328E-3</v>
      </c>
      <c r="L140" s="230">
        <f>L$137*'Methanol recycling rates'!N50</f>
        <v>1.1420968731577741E-2</v>
      </c>
      <c r="M140" s="230">
        <f>M$137*'Methanol recycling rates'!O50</f>
        <v>1.3734873553561143E-2</v>
      </c>
      <c r="N140" s="230">
        <f>N$137*'Methanol recycling rates'!P50</f>
        <v>1.750986931280378E-2</v>
      </c>
      <c r="O140" s="230">
        <f>O$137*'Methanol recycling rates'!Q50</f>
        <v>2.1786136757979826E-2</v>
      </c>
      <c r="P140" s="230">
        <f>P$137*'Methanol recycling rates'!R50</f>
        <v>2.6481936859363678E-2</v>
      </c>
      <c r="Q140" s="230">
        <f>Q$137*'Methanol recycling rates'!S50</f>
        <v>3.1654865509762063E-2</v>
      </c>
      <c r="R140" s="230">
        <f>R$137*'Methanol recycling rates'!T50</f>
        <v>3.7297688176173342E-2</v>
      </c>
      <c r="S140" s="230">
        <f>S$137*'Methanol recycling rates'!U50</f>
        <v>4.3475699048425659E-2</v>
      </c>
      <c r="T140" s="230">
        <f>T$137*'Methanol recycling rates'!V50</f>
        <v>5.0206271876248355E-2</v>
      </c>
      <c r="U140" s="230">
        <f>U$137*'Methanol recycling rates'!W50</f>
        <v>5.7506436971238431E-2</v>
      </c>
      <c r="V140" s="230">
        <f>V$137*'Methanol recycling rates'!X50</f>
        <v>6.5392849107672207E-2</v>
      </c>
      <c r="W140" s="230">
        <f>W$137*'Methanol recycling rates'!Y50</f>
        <v>7.3881755373545507E-2</v>
      </c>
      <c r="X140" s="230">
        <f>X$137*'Methanol recycling rates'!Z50</f>
        <v>8.6156844195313845E-2</v>
      </c>
      <c r="Y140" s="230">
        <f>Y$137*'Methanol recycling rates'!AA50</f>
        <v>9.9430727839712962E-2</v>
      </c>
      <c r="Z140" s="230">
        <f>Z$137*'Methanol recycling rates'!AB50</f>
        <v>0.11275402347852301</v>
      </c>
      <c r="AA140" s="230">
        <f>AA$137*'Methanol recycling rates'!AC50</f>
        <v>0.12683749095215316</v>
      </c>
      <c r="AB140" s="230">
        <f>AB$137*'Methanol recycling rates'!AD50</f>
        <v>0.14166744842774984</v>
      </c>
      <c r="AC140" s="230">
        <f>AC$137*'Methanol recycling rates'!AE50</f>
        <v>0.15722839796623028</v>
      </c>
      <c r="AD140" s="230">
        <f>AD$137*'Methanol recycling rates'!AF50</f>
        <v>0.17350041464444588</v>
      </c>
      <c r="AE140" s="230">
        <f>AE$137*'Methanol recycling rates'!AG50</f>
        <v>0.19046011057621021</v>
      </c>
      <c r="AF140" s="230">
        <f>AF$137*'Methanol recycling rates'!AH50</f>
        <v>0.2080805370931556</v>
      </c>
      <c r="AG140" s="230">
        <f>AG$137*'Methanol recycling rates'!AI50</f>
        <v>0.22633108991151868</v>
      </c>
      <c r="AH140" s="245"/>
      <c r="AI140" s="133"/>
      <c r="AJ140" s="211"/>
      <c r="AL140" s="108"/>
      <c r="AM140" s="2"/>
      <c r="AN140" s="2"/>
      <c r="AO140" s="2"/>
      <c r="BC140" s="1"/>
      <c r="BD140" s="2"/>
      <c r="BE140" s="2"/>
      <c r="BF140" s="2"/>
      <c r="BG140" s="2"/>
      <c r="BH140" s="2"/>
      <c r="BI140" s="2"/>
      <c r="BJ140" s="2"/>
      <c r="BK140" s="2"/>
    </row>
    <row r="141" spans="1:63" s="1" customFormat="1" outlineLevel="1" x14ac:dyDescent="0.2">
      <c r="A141" s="1" t="s">
        <v>1562</v>
      </c>
      <c r="B141" s="65"/>
      <c r="C141" s="300">
        <f>C137-$C137</f>
        <v>0</v>
      </c>
      <c r="D141" s="300">
        <f t="shared" ref="D141:AG141" si="81">D137-$C137</f>
        <v>4.7734390132554802E-4</v>
      </c>
      <c r="E141" s="300">
        <f t="shared" si="81"/>
        <v>1.1100629497215676E-3</v>
      </c>
      <c r="F141" s="300">
        <f t="shared" si="81"/>
        <v>1.912692445122603E-3</v>
      </c>
      <c r="G141" s="300">
        <f t="shared" si="81"/>
        <v>2.8985316234754871E-3</v>
      </c>
      <c r="H141" s="300">
        <f t="shared" si="81"/>
        <v>4.0792976178794758E-3</v>
      </c>
      <c r="I141" s="300">
        <f t="shared" si="81"/>
        <v>5.4780253026382496E-3</v>
      </c>
      <c r="J141" s="300">
        <f t="shared" si="81"/>
        <v>7.1127061400412988E-3</v>
      </c>
      <c r="K141" s="300">
        <f t="shared" si="81"/>
        <v>9.0018322306941456E-3</v>
      </c>
      <c r="L141" s="300">
        <f t="shared" si="81"/>
        <v>1.1164357373803991E-2</v>
      </c>
      <c r="M141" s="300">
        <f t="shared" si="81"/>
        <v>1.3619654315806242E-2</v>
      </c>
      <c r="N141" s="300">
        <f t="shared" si="81"/>
        <v>1.7621214751372176E-2</v>
      </c>
      <c r="O141" s="300">
        <f t="shared" si="81"/>
        <v>2.2181182215903032E-2</v>
      </c>
      <c r="P141" s="300">
        <f t="shared" si="81"/>
        <v>2.7220324754938921E-2</v>
      </c>
      <c r="Q141" s="300">
        <f t="shared" si="81"/>
        <v>3.2805458854925557E-2</v>
      </c>
      <c r="R141" s="300">
        <f t="shared" si="81"/>
        <v>3.8935660822019214E-2</v>
      </c>
      <c r="S141" s="300">
        <f t="shared" si="81"/>
        <v>4.5687328500377912E-2</v>
      </c>
      <c r="T141" s="300">
        <f t="shared" si="81"/>
        <v>5.3086821350328578E-2</v>
      </c>
      <c r="U141" s="300">
        <f t="shared" si="81"/>
        <v>6.1160570076848955E-2</v>
      </c>
      <c r="V141" s="300">
        <f t="shared" si="81"/>
        <v>6.9935043466158031E-2</v>
      </c>
      <c r="W141" s="300">
        <f t="shared" si="81"/>
        <v>7.9436714330012981E-2</v>
      </c>
      <c r="X141" s="300">
        <f t="shared" si="81"/>
        <v>9.3141371372721021E-2</v>
      </c>
      <c r="Y141" s="300">
        <f t="shared" si="81"/>
        <v>0.10805464679886059</v>
      </c>
      <c r="Z141" s="300">
        <f t="shared" si="81"/>
        <v>0.12314945500945841</v>
      </c>
      <c r="AA141" s="300">
        <f t="shared" si="81"/>
        <v>0.1392119899048011</v>
      </c>
      <c r="AB141" s="300">
        <f t="shared" si="81"/>
        <v>0.15623959220803144</v>
      </c>
      <c r="AC141" s="300">
        <f t="shared" si="81"/>
        <v>0.17422753646091316</v>
      </c>
      <c r="AD141" s="300">
        <f t="shared" si="81"/>
        <v>0.19316606927458682</v>
      </c>
      <c r="AE141" s="300">
        <f t="shared" si="81"/>
        <v>0.21304138142953377</v>
      </c>
      <c r="AF141" s="300">
        <f t="shared" si="81"/>
        <v>0.23383540882800968</v>
      </c>
      <c r="AG141" s="300">
        <f t="shared" si="81"/>
        <v>0.2555256315734305</v>
      </c>
      <c r="AH141" s="245"/>
      <c r="AI141" s="423"/>
      <c r="AJ141" s="424"/>
      <c r="AL141" s="221"/>
      <c r="AM141" s="124"/>
      <c r="AN141" s="124"/>
      <c r="AO141" s="124"/>
      <c r="BD141" s="124"/>
      <c r="BE141" s="124"/>
      <c r="BF141" s="124"/>
      <c r="BG141" s="124"/>
      <c r="BH141" s="124"/>
      <c r="BI141" s="124"/>
      <c r="BJ141" s="124"/>
      <c r="BK141" s="124"/>
    </row>
    <row r="142" spans="1:63" outlineLevel="1" x14ac:dyDescent="0.2">
      <c r="A142" s="4" t="s">
        <v>474</v>
      </c>
      <c r="C142" s="230">
        <f>C138-$C138</f>
        <v>0</v>
      </c>
      <c r="D142" s="230">
        <f t="shared" ref="D142:AF142" si="82">D138-$C138</f>
        <v>0</v>
      </c>
      <c r="E142" s="230">
        <f t="shared" si="82"/>
        <v>0</v>
      </c>
      <c r="F142" s="230">
        <f t="shared" si="82"/>
        <v>0</v>
      </c>
      <c r="G142" s="230">
        <f t="shared" si="82"/>
        <v>0</v>
      </c>
      <c r="H142" s="230">
        <f t="shared" si="82"/>
        <v>0</v>
      </c>
      <c r="I142" s="230">
        <f t="shared" si="82"/>
        <v>0</v>
      </c>
      <c r="J142" s="230">
        <f t="shared" si="82"/>
        <v>0</v>
      </c>
      <c r="K142" s="230">
        <f t="shared" si="82"/>
        <v>0</v>
      </c>
      <c r="L142" s="230">
        <f t="shared" si="82"/>
        <v>0</v>
      </c>
      <c r="M142" s="230">
        <f t="shared" si="82"/>
        <v>0</v>
      </c>
      <c r="N142" s="230">
        <f t="shared" si="82"/>
        <v>0</v>
      </c>
      <c r="O142" s="230">
        <f t="shared" si="82"/>
        <v>0</v>
      </c>
      <c r="P142" s="230">
        <f t="shared" si="82"/>
        <v>0</v>
      </c>
      <c r="Q142" s="230">
        <f t="shared" si="82"/>
        <v>0</v>
      </c>
      <c r="R142" s="230">
        <f t="shared" si="82"/>
        <v>0</v>
      </c>
      <c r="S142" s="230">
        <f t="shared" si="82"/>
        <v>0</v>
      </c>
      <c r="T142" s="230">
        <f t="shared" si="82"/>
        <v>0</v>
      </c>
      <c r="U142" s="230">
        <f t="shared" si="82"/>
        <v>0</v>
      </c>
      <c r="V142" s="230">
        <f t="shared" si="82"/>
        <v>0</v>
      </c>
      <c r="W142" s="230">
        <f t="shared" si="82"/>
        <v>0</v>
      </c>
      <c r="X142" s="230">
        <f t="shared" si="82"/>
        <v>0</v>
      </c>
      <c r="Y142" s="230">
        <f t="shared" si="82"/>
        <v>0</v>
      </c>
      <c r="Z142" s="230">
        <f t="shared" si="82"/>
        <v>0</v>
      </c>
      <c r="AA142" s="230">
        <f t="shared" si="82"/>
        <v>0</v>
      </c>
      <c r="AB142" s="230">
        <f t="shared" si="82"/>
        <v>0</v>
      </c>
      <c r="AC142" s="230">
        <f t="shared" si="82"/>
        <v>0</v>
      </c>
      <c r="AD142" s="230">
        <f t="shared" si="82"/>
        <v>0</v>
      </c>
      <c r="AE142" s="230">
        <f t="shared" si="82"/>
        <v>0</v>
      </c>
      <c r="AF142" s="230">
        <f t="shared" si="82"/>
        <v>0</v>
      </c>
      <c r="AG142" s="230">
        <f>AG138-$C138</f>
        <v>0</v>
      </c>
      <c r="AH142" s="245"/>
      <c r="AI142" s="133"/>
      <c r="AJ142" s="211"/>
      <c r="AL142" s="108"/>
      <c r="AM142" s="2"/>
      <c r="AN142" s="2"/>
      <c r="AO142" s="2"/>
      <c r="BC142" s="1"/>
      <c r="BD142" s="2"/>
      <c r="BE142" s="2"/>
      <c r="BF142" s="2"/>
      <c r="BG142" s="2"/>
      <c r="BH142" s="2"/>
      <c r="BI142" s="2"/>
      <c r="BJ142" s="2"/>
      <c r="BK142" s="2"/>
    </row>
    <row r="143" spans="1:63" outlineLevel="1" x14ac:dyDescent="0.2">
      <c r="A143" s="4" t="s">
        <v>745</v>
      </c>
      <c r="C143" s="230">
        <f t="shared" ref="C143:AG143" si="83">C139-$C139</f>
        <v>0</v>
      </c>
      <c r="D143" s="230">
        <f t="shared" si="83"/>
        <v>4.4601425719494335E-6</v>
      </c>
      <c r="E143" s="230">
        <f t="shared" si="83"/>
        <v>1.383739709196547E-5</v>
      </c>
      <c r="F143" s="230">
        <f t="shared" si="83"/>
        <v>3.0112426283545198E-5</v>
      </c>
      <c r="G143" s="230">
        <f t="shared" si="83"/>
        <v>5.547260019831218E-5</v>
      </c>
      <c r="H143" s="230">
        <f t="shared" si="83"/>
        <v>9.2281258336247311E-5</v>
      </c>
      <c r="I143" s="230">
        <f t="shared" si="83"/>
        <v>1.4334772125723229E-4</v>
      </c>
      <c r="J143" s="230">
        <f t="shared" si="83"/>
        <v>2.117021556241971E-4</v>
      </c>
      <c r="K143" s="230">
        <f t="shared" si="83"/>
        <v>3.0066992839067287E-4</v>
      </c>
      <c r="L143" s="230">
        <f t="shared" si="83"/>
        <v>4.1387997167841137E-4</v>
      </c>
      <c r="M143" s="230">
        <f t="shared" si="83"/>
        <v>5.5527209169726349E-4</v>
      </c>
      <c r="N143" s="230">
        <f t="shared" si="83"/>
        <v>7.8183676802056441E-4</v>
      </c>
      <c r="O143" s="230">
        <f t="shared" si="83"/>
        <v>1.0655367873753775E-3</v>
      </c>
      <c r="P143" s="230">
        <f t="shared" si="83"/>
        <v>1.4088792250274167E-3</v>
      </c>
      <c r="Q143" s="230">
        <f t="shared" si="83"/>
        <v>1.8210846746156699E-3</v>
      </c>
      <c r="R143" s="230">
        <f t="shared" si="83"/>
        <v>2.308463975298053E-3</v>
      </c>
      <c r="S143" s="230">
        <f t="shared" si="83"/>
        <v>2.8821207814044392E-3</v>
      </c>
      <c r="T143" s="230">
        <f t="shared" si="83"/>
        <v>3.5510408035324152E-3</v>
      </c>
      <c r="U143" s="230">
        <f t="shared" si="83"/>
        <v>4.3246244350627306E-3</v>
      </c>
      <c r="V143" s="230">
        <f t="shared" si="83"/>
        <v>5.2126856879380363E-3</v>
      </c>
      <c r="W143" s="230">
        <f t="shared" si="83"/>
        <v>6.2254502859197041E-3</v>
      </c>
      <c r="X143" s="230">
        <f t="shared" si="83"/>
        <v>7.6550185068594186E-3</v>
      </c>
      <c r="Y143" s="230">
        <f t="shared" si="83"/>
        <v>9.2944102885998917E-3</v>
      </c>
      <c r="Z143" s="230">
        <f t="shared" si="83"/>
        <v>1.1065922860387687E-2</v>
      </c>
      <c r="AA143" s="230">
        <f t="shared" si="83"/>
        <v>1.3044990282100231E-2</v>
      </c>
      <c r="AB143" s="230">
        <f t="shared" si="83"/>
        <v>1.5242635109733928E-2</v>
      </c>
      <c r="AC143" s="230">
        <f t="shared" si="83"/>
        <v>1.7669629824135214E-2</v>
      </c>
      <c r="AD143" s="230">
        <f t="shared" si="83"/>
        <v>2.0336145959593325E-2</v>
      </c>
      <c r="AE143" s="230">
        <f t="shared" si="83"/>
        <v>2.3251762182775984E-2</v>
      </c>
      <c r="AF143" s="230">
        <f t="shared" si="83"/>
        <v>2.6425363064306515E-2</v>
      </c>
      <c r="AG143" s="230">
        <f t="shared" si="83"/>
        <v>2.9865032991363998E-2</v>
      </c>
      <c r="AH143" s="245"/>
      <c r="AI143" s="133"/>
      <c r="AJ143" s="211"/>
      <c r="AL143" s="108"/>
      <c r="AM143" s="2"/>
      <c r="AN143" s="2"/>
      <c r="AO143" s="2"/>
      <c r="BC143" s="1"/>
      <c r="BD143" s="2"/>
      <c r="BE143" s="2"/>
      <c r="BF143" s="2"/>
      <c r="BG143" s="2"/>
      <c r="BH143" s="2"/>
      <c r="BI143" s="2"/>
      <c r="BJ143" s="2"/>
      <c r="BK143" s="2"/>
    </row>
    <row r="144" spans="1:63" outlineLevel="1" x14ac:dyDescent="0.2">
      <c r="A144" s="4" t="s">
        <v>1561</v>
      </c>
      <c r="C144" s="230">
        <f t="shared" ref="C144:AG144" si="84">C140-$C140</f>
        <v>0</v>
      </c>
      <c r="D144" s="230">
        <f t="shared" si="84"/>
        <v>4.7288375875359858E-4</v>
      </c>
      <c r="E144" s="230">
        <f t="shared" si="84"/>
        <v>1.0962255526296024E-3</v>
      </c>
      <c r="F144" s="230">
        <f t="shared" si="84"/>
        <v>1.8825800188390579E-3</v>
      </c>
      <c r="G144" s="230">
        <f t="shared" si="84"/>
        <v>2.8430590232771755E-3</v>
      </c>
      <c r="H144" s="230">
        <f t="shared" si="84"/>
        <v>3.9870163595432297E-3</v>
      </c>
      <c r="I144" s="230">
        <f t="shared" si="84"/>
        <v>5.3346775813810192E-3</v>
      </c>
      <c r="J144" s="230">
        <f t="shared" si="84"/>
        <v>6.9010039844171044E-3</v>
      </c>
      <c r="K144" s="230">
        <f t="shared" si="84"/>
        <v>8.7011623023034758E-3</v>
      </c>
      <c r="L144" s="230">
        <f t="shared" si="84"/>
        <v>1.0750477402125584E-2</v>
      </c>
      <c r="M144" s="230">
        <f t="shared" si="84"/>
        <v>1.3064382224108986E-2</v>
      </c>
      <c r="N144" s="230">
        <f t="shared" si="84"/>
        <v>1.6839377983351621E-2</v>
      </c>
      <c r="O144" s="230">
        <f t="shared" si="84"/>
        <v>2.1115645428527667E-2</v>
      </c>
      <c r="P144" s="230">
        <f t="shared" si="84"/>
        <v>2.581144552991152E-2</v>
      </c>
      <c r="Q144" s="230">
        <f t="shared" si="84"/>
        <v>3.0984374180309904E-2</v>
      </c>
      <c r="R144" s="230">
        <f t="shared" si="84"/>
        <v>3.6627196846721187E-2</v>
      </c>
      <c r="S144" s="230">
        <f t="shared" si="84"/>
        <v>4.2805207718973504E-2</v>
      </c>
      <c r="T144" s="230">
        <f t="shared" si="84"/>
        <v>4.95357805467962E-2</v>
      </c>
      <c r="U144" s="230">
        <f t="shared" si="84"/>
        <v>5.6835945641786276E-2</v>
      </c>
      <c r="V144" s="230">
        <f t="shared" si="84"/>
        <v>6.4722357778220052E-2</v>
      </c>
      <c r="W144" s="230">
        <f t="shared" si="84"/>
        <v>7.3211264044093352E-2</v>
      </c>
      <c r="X144" s="230">
        <f t="shared" si="84"/>
        <v>8.5486352865861689E-2</v>
      </c>
      <c r="Y144" s="230">
        <f t="shared" si="84"/>
        <v>9.8760236510260807E-2</v>
      </c>
      <c r="Z144" s="230">
        <f t="shared" si="84"/>
        <v>0.11208353214907085</v>
      </c>
      <c r="AA144" s="230">
        <f t="shared" si="84"/>
        <v>0.126166999622701</v>
      </c>
      <c r="AB144" s="230">
        <f t="shared" si="84"/>
        <v>0.14099695709829768</v>
      </c>
      <c r="AC144" s="230">
        <f t="shared" si="84"/>
        <v>0.15655790663677813</v>
      </c>
      <c r="AD144" s="230">
        <f t="shared" si="84"/>
        <v>0.17282992331499372</v>
      </c>
      <c r="AE144" s="230">
        <f t="shared" si="84"/>
        <v>0.18978961924675805</v>
      </c>
      <c r="AF144" s="230">
        <f t="shared" si="84"/>
        <v>0.20741004576370345</v>
      </c>
      <c r="AG144" s="230">
        <f t="shared" si="84"/>
        <v>0.22566059858206652</v>
      </c>
      <c r="AH144" s="245"/>
      <c r="AI144" s="133"/>
      <c r="AJ144" s="211"/>
      <c r="AL144" s="108"/>
      <c r="AM144" s="2"/>
      <c r="AN144" s="2"/>
      <c r="AO144" s="2"/>
      <c r="BC144" s="1"/>
      <c r="BD144" s="2"/>
      <c r="BE144" s="2"/>
      <c r="BF144" s="2"/>
      <c r="BG144" s="2"/>
      <c r="BH144" s="2"/>
      <c r="BI144" s="2"/>
      <c r="BJ144" s="2"/>
      <c r="BK144" s="2"/>
    </row>
    <row r="145" spans="1:63" s="1" customFormat="1" outlineLevel="1" x14ac:dyDescent="0.2">
      <c r="A145" s="1" t="s">
        <v>1569</v>
      </c>
      <c r="B145" s="65"/>
      <c r="C145" s="300">
        <f>C43*C133</f>
        <v>4.0095381501239038E-3</v>
      </c>
      <c r="D145" s="300">
        <f t="shared" ref="D145:AG145" si="85">D43*D133</f>
        <v>5.1423018338841216E-3</v>
      </c>
      <c r="E145" s="300">
        <f t="shared" si="85"/>
        <v>6.3076135339729215E-3</v>
      </c>
      <c r="F145" s="300">
        <f t="shared" si="85"/>
        <v>7.4939520870821478E-3</v>
      </c>
      <c r="G145" s="300">
        <f t="shared" si="85"/>
        <v>8.6889486072183938E-3</v>
      </c>
      <c r="H145" s="300">
        <f t="shared" si="85"/>
        <v>9.8795610104497993E-3</v>
      </c>
      <c r="I145" s="300">
        <f t="shared" si="85"/>
        <v>1.1076113532951435E-2</v>
      </c>
      <c r="J145" s="300">
        <f t="shared" si="85"/>
        <v>1.2272344913188394E-2</v>
      </c>
      <c r="K145" s="300">
        <f t="shared" si="85"/>
        <v>1.3461598554885976E-2</v>
      </c>
      <c r="L145" s="300">
        <f t="shared" si="85"/>
        <v>1.4636829098945982E-2</v>
      </c>
      <c r="M145" s="300">
        <f t="shared" si="85"/>
        <v>1.579061093801053E-2</v>
      </c>
      <c r="N145" s="300">
        <f t="shared" si="85"/>
        <v>1.8138566215961615E-2</v>
      </c>
      <c r="O145" s="300">
        <f t="shared" si="85"/>
        <v>2.0407538027025891E-2</v>
      </c>
      <c r="P145" s="300">
        <f t="shared" si="85"/>
        <v>2.2494796972553775E-2</v>
      </c>
      <c r="Q145" s="300">
        <f t="shared" si="85"/>
        <v>2.4437443634595719E-2</v>
      </c>
      <c r="R145" s="300">
        <f t="shared" si="85"/>
        <v>2.6212071605701038E-2</v>
      </c>
      <c r="S145" s="300">
        <f t="shared" si="85"/>
        <v>2.7846662808125491E-2</v>
      </c>
      <c r="T145" s="300">
        <f t="shared" si="85"/>
        <v>2.9328579770214781E-2</v>
      </c>
      <c r="U145" s="300">
        <f t="shared" si="85"/>
        <v>3.0645019809497978E-2</v>
      </c>
      <c r="V145" s="300">
        <f t="shared" si="85"/>
        <v>3.1783028797546305E-2</v>
      </c>
      <c r="W145" s="300">
        <f t="shared" si="85"/>
        <v>3.2729515455152881E-2</v>
      </c>
      <c r="X145" s="300">
        <f t="shared" si="85"/>
        <v>3.4748942020092613E-2</v>
      </c>
      <c r="Y145" s="300">
        <f t="shared" si="85"/>
        <v>3.6451533151439564E-2</v>
      </c>
      <c r="Z145" s="300">
        <f t="shared" si="85"/>
        <v>3.7490798942110611E-2</v>
      </c>
      <c r="AA145" s="300">
        <f t="shared" si="85"/>
        <v>3.8143564395096335E-2</v>
      </c>
      <c r="AB145" s="300">
        <f t="shared" si="85"/>
        <v>3.8396820442113587E-2</v>
      </c>
      <c r="AC145" s="300">
        <f t="shared" si="85"/>
        <v>3.8239068803257094E-2</v>
      </c>
      <c r="AD145" s="300">
        <f t="shared" si="85"/>
        <v>3.7659674631641799E-2</v>
      </c>
      <c r="AE145" s="300">
        <f t="shared" si="85"/>
        <v>3.6649312647604751E-2</v>
      </c>
      <c r="AF145" s="300">
        <f t="shared" si="85"/>
        <v>3.5200060889614811E-2</v>
      </c>
      <c r="AG145" s="300">
        <f t="shared" si="85"/>
        <v>3.3305495977374741E-2</v>
      </c>
      <c r="AH145" s="245"/>
      <c r="AI145" s="423"/>
      <c r="AJ145" s="424"/>
      <c r="AL145" s="221"/>
      <c r="AM145" s="124"/>
      <c r="AN145" s="124"/>
      <c r="AO145" s="124"/>
      <c r="BD145" s="124"/>
      <c r="BE145" s="124"/>
      <c r="BF145" s="124"/>
      <c r="BG145" s="124"/>
      <c r="BH145" s="124"/>
      <c r="BI145" s="124"/>
      <c r="BJ145" s="124"/>
      <c r="BK145" s="124"/>
    </row>
    <row r="146" spans="1:63" outlineLevel="1" x14ac:dyDescent="0.2">
      <c r="A146" s="4" t="s">
        <v>474</v>
      </c>
      <c r="C146" s="230">
        <f>C$145*'Methanol recycling rates'!E51</f>
        <v>0</v>
      </c>
      <c r="D146" s="230">
        <f>D$145*'Methanol recycling rates'!F51</f>
        <v>0</v>
      </c>
      <c r="E146" s="230">
        <f>E$145*'Methanol recycling rates'!G51</f>
        <v>0</v>
      </c>
      <c r="F146" s="230">
        <f>F$145*'Methanol recycling rates'!H51</f>
        <v>0</v>
      </c>
      <c r="G146" s="230">
        <f>G$145*'Methanol recycling rates'!I51</f>
        <v>0</v>
      </c>
      <c r="H146" s="230">
        <f>H$145*'Methanol recycling rates'!J51</f>
        <v>0</v>
      </c>
      <c r="I146" s="230">
        <f>I$145*'Methanol recycling rates'!K51</f>
        <v>0</v>
      </c>
      <c r="J146" s="230">
        <f>J$145*'Methanol recycling rates'!L51</f>
        <v>0</v>
      </c>
      <c r="K146" s="230">
        <f>K$145*'Methanol recycling rates'!M51</f>
        <v>0</v>
      </c>
      <c r="L146" s="230">
        <f>L$145*'Methanol recycling rates'!N51</f>
        <v>0</v>
      </c>
      <c r="M146" s="230">
        <f>M$145*'Methanol recycling rates'!O51</f>
        <v>0</v>
      </c>
      <c r="N146" s="230">
        <f>N$145*'Methanol recycling rates'!P51</f>
        <v>0</v>
      </c>
      <c r="O146" s="230">
        <f>O$145*'Methanol recycling rates'!Q51</f>
        <v>0</v>
      </c>
      <c r="P146" s="230">
        <f>P$145*'Methanol recycling rates'!R51</f>
        <v>0</v>
      </c>
      <c r="Q146" s="230">
        <f>Q$145*'Methanol recycling rates'!S51</f>
        <v>0</v>
      </c>
      <c r="R146" s="230">
        <f>R$145*'Methanol recycling rates'!T51</f>
        <v>0</v>
      </c>
      <c r="S146" s="230">
        <f>S$145*'Methanol recycling rates'!U51</f>
        <v>0</v>
      </c>
      <c r="T146" s="230">
        <f>T$145*'Methanol recycling rates'!V51</f>
        <v>0</v>
      </c>
      <c r="U146" s="230">
        <f>U$145*'Methanol recycling rates'!W51</f>
        <v>0</v>
      </c>
      <c r="V146" s="230">
        <f>V$145*'Methanol recycling rates'!X51</f>
        <v>0</v>
      </c>
      <c r="W146" s="230">
        <f>W$145*'Methanol recycling rates'!Y51</f>
        <v>0</v>
      </c>
      <c r="X146" s="230">
        <f>X$145*'Methanol recycling rates'!Z51</f>
        <v>0</v>
      </c>
      <c r="Y146" s="230">
        <f>Y$145*'Methanol recycling rates'!AA51</f>
        <v>0</v>
      </c>
      <c r="Z146" s="230">
        <f>Z$145*'Methanol recycling rates'!AB51</f>
        <v>0</v>
      </c>
      <c r="AA146" s="230">
        <f>AA$145*'Methanol recycling rates'!AC51</f>
        <v>0</v>
      </c>
      <c r="AB146" s="230">
        <f>AB$145*'Methanol recycling rates'!AD51</f>
        <v>0</v>
      </c>
      <c r="AC146" s="230">
        <f>AC$145*'Methanol recycling rates'!AE51</f>
        <v>0</v>
      </c>
      <c r="AD146" s="230">
        <f>AD$145*'Methanol recycling rates'!AF51</f>
        <v>0</v>
      </c>
      <c r="AE146" s="230">
        <f>AE$145*'Methanol recycling rates'!AG51</f>
        <v>0</v>
      </c>
      <c r="AF146" s="230">
        <f>AF$145*'Methanol recycling rates'!AH51</f>
        <v>0</v>
      </c>
      <c r="AG146" s="230">
        <f>AG$145*'Methanol recycling rates'!AI51</f>
        <v>0</v>
      </c>
      <c r="AH146" s="245"/>
      <c r="AI146" s="133"/>
      <c r="AJ146" s="211"/>
      <c r="AL146" s="108"/>
      <c r="AM146" s="2"/>
      <c r="AN146" s="2"/>
      <c r="AO146" s="2"/>
      <c r="BC146" s="1"/>
      <c r="BD146" s="2"/>
      <c r="BE146" s="2"/>
      <c r="BF146" s="2"/>
      <c r="BG146" s="2"/>
      <c r="BH146" s="2"/>
      <c r="BI146" s="2"/>
      <c r="BJ146" s="2"/>
      <c r="BK146" s="2"/>
    </row>
    <row r="147" spans="1:63" outlineLevel="1" x14ac:dyDescent="0.2">
      <c r="A147" s="4" t="s">
        <v>745</v>
      </c>
      <c r="C147" s="230">
        <f>C$145*'Methanol recycling rates'!E52</f>
        <v>0</v>
      </c>
      <c r="D147" s="230">
        <f>D$145*'Methanol recycling rates'!F52</f>
        <v>1.998143872233346E-5</v>
      </c>
      <c r="E147" s="230">
        <f>E$145*'Methanol recycling rates'!G52</f>
        <v>4.9018979198287664E-5</v>
      </c>
      <c r="F147" s="230">
        <f>F$145*'Methanol recycling rates'!H52</f>
        <v>8.7357733513105857E-5</v>
      </c>
      <c r="G147" s="230">
        <f>G$145*'Methanol recycling rates'!I52</f>
        <v>1.350505666646182E-4</v>
      </c>
      <c r="H147" s="230">
        <f>H$145*'Methanol recycling rates'!J52</f>
        <v>1.9194501733939441E-4</v>
      </c>
      <c r="I147" s="230">
        <f>I$145*'Methanol recycling rates'!K52</f>
        <v>2.5823068072195702E-4</v>
      </c>
      <c r="J147" s="230">
        <f>J$145*'Methanol recycling rates'!L52</f>
        <v>3.3380649570679855E-4</v>
      </c>
      <c r="K147" s="230">
        <f>K$145*'Methanol recycling rates'!M52</f>
        <v>4.1846179445431301E-4</v>
      </c>
      <c r="L147" s="230">
        <f>L$145*'Methanol recycling rates'!N52</f>
        <v>5.1186885145957034E-4</v>
      </c>
      <c r="M147" s="230">
        <f>M$145*'Methanol recycling rates'!O52</f>
        <v>6.1357566132547614E-4</v>
      </c>
      <c r="N147" s="230">
        <f>N$145*'Methanol recycling rates'!P52</f>
        <v>7.7529115786969442E-4</v>
      </c>
      <c r="O147" s="230">
        <f>O$145*'Methanol recycling rates'!Q52</f>
        <v>9.515706788126195E-4</v>
      </c>
      <c r="P147" s="230">
        <f>P$145*'Methanol recycling rates'!R52</f>
        <v>1.1363042239404793E-3</v>
      </c>
      <c r="Q147" s="230">
        <f>Q$145*'Methanol recycling rates'!S52</f>
        <v>1.3293918124694384E-3</v>
      </c>
      <c r="R147" s="230">
        <f>R$145*'Methanol recycling rates'!T52</f>
        <v>1.5277834309245287E-3</v>
      </c>
      <c r="S147" s="230">
        <f>S$145*'Methanol recycling rates'!U52</f>
        <v>1.7312601383470793E-3</v>
      </c>
      <c r="T147" s="230">
        <f>T$145*'Methanol recycling rates'!V52</f>
        <v>1.9373547203534213E-3</v>
      </c>
      <c r="U147" s="230">
        <f>U$145*'Methanol recycling rates'!W52</f>
        <v>2.1433919856279652E-3</v>
      </c>
      <c r="V147" s="230">
        <f>V$145*'Methanol recycling rates'!X52</f>
        <v>2.3464865723613598E-3</v>
      </c>
      <c r="W147" s="230">
        <f>W$145*'Methanol recycling rates'!Y52</f>
        <v>2.5435411168186206E-3</v>
      </c>
      <c r="X147" s="230">
        <f>X$145*'Methanol recycling rates'!Z52</f>
        <v>2.8355027455545002E-3</v>
      </c>
      <c r="Y147" s="230">
        <f>Y$145*'Methanol recycling rates'!AA52</f>
        <v>3.1160733441253298E-3</v>
      </c>
      <c r="Z147" s="230">
        <f>Z$145*'Methanol recycling rates'!AB52</f>
        <v>3.350593352157889E-3</v>
      </c>
      <c r="AA147" s="230">
        <f>AA$145*'Methanol recycling rates'!AC52</f>
        <v>3.5571461305824495E-3</v>
      </c>
      <c r="AB147" s="230">
        <f>AB$145*'Methanol recycling rates'!AD52</f>
        <v>3.7299624739113566E-3</v>
      </c>
      <c r="AC147" s="230">
        <f>AC$145*'Methanol recycling rates'!AE52</f>
        <v>3.8632236115495582E-3</v>
      </c>
      <c r="AD147" s="230">
        <f>AD$145*'Methanol recycling rates'!AF52</f>
        <v>3.9510226435781259E-3</v>
      </c>
      <c r="AE147" s="230">
        <f>AE$145*'Methanol recycling rates'!AG52</f>
        <v>3.9874298551739167E-3</v>
      </c>
      <c r="AF147" s="230">
        <f>AF$145*'Methanol recycling rates'!AH52</f>
        <v>3.9665287238794021E-3</v>
      </c>
      <c r="AG147" s="230">
        <f>AG$145*'Methanol recycling rates'!AI52</f>
        <v>3.8824542888773188E-3</v>
      </c>
      <c r="AH147" s="245"/>
      <c r="AI147" s="133"/>
      <c r="AJ147" s="211"/>
      <c r="AL147" s="108"/>
      <c r="AM147" s="2"/>
      <c r="AN147" s="2"/>
      <c r="AO147" s="2"/>
      <c r="BC147" s="1"/>
      <c r="BD147" s="2"/>
      <c r="BE147" s="2"/>
      <c r="BF147" s="2"/>
      <c r="BG147" s="2"/>
      <c r="BH147" s="2"/>
      <c r="BI147" s="2"/>
      <c r="BJ147" s="2"/>
      <c r="BK147" s="2"/>
    </row>
    <row r="148" spans="1:63" outlineLevel="1" x14ac:dyDescent="0.2">
      <c r="A148" s="4" t="s">
        <v>1561</v>
      </c>
      <c r="C148" s="230">
        <f>C$145*'Methanol recycling rates'!E53</f>
        <v>4.0095381501239038E-3</v>
      </c>
      <c r="D148" s="230">
        <f>D$145*'Methanol recycling rates'!F53</f>
        <v>5.1223203951617884E-3</v>
      </c>
      <c r="E148" s="230">
        <f>E$145*'Methanol recycling rates'!G53</f>
        <v>6.2585945547746344E-3</v>
      </c>
      <c r="F148" s="230">
        <f>F$145*'Methanol recycling rates'!H53</f>
        <v>7.4065943535690428E-3</v>
      </c>
      <c r="G148" s="230">
        <f>G$145*'Methanol recycling rates'!I53</f>
        <v>8.5538980405537764E-3</v>
      </c>
      <c r="H148" s="230">
        <f>H$145*'Methanol recycling rates'!J53</f>
        <v>9.6876159931104065E-3</v>
      </c>
      <c r="I148" s="230">
        <f>I$145*'Methanol recycling rates'!K53</f>
        <v>1.0817882852229481E-2</v>
      </c>
      <c r="J148" s="230">
        <f>J$145*'Methanol recycling rates'!L53</f>
        <v>1.19385384174816E-2</v>
      </c>
      <c r="K148" s="230">
        <f>K$145*'Methanol recycling rates'!M53</f>
        <v>1.3043136760431668E-2</v>
      </c>
      <c r="L148" s="230">
        <f>L$145*'Methanol recycling rates'!N53</f>
        <v>1.4124960247486417E-2</v>
      </c>
      <c r="M148" s="230">
        <f>M$145*'Methanol recycling rates'!O53</f>
        <v>1.517703527668506E-2</v>
      </c>
      <c r="N148" s="230">
        <f>N$145*'Methanol recycling rates'!P53</f>
        <v>1.7363275058091928E-2</v>
      </c>
      <c r="O148" s="230">
        <f>O$145*'Methanol recycling rates'!Q53</f>
        <v>1.9455967348213282E-2</v>
      </c>
      <c r="P148" s="230">
        <f>P$145*'Methanol recycling rates'!R53</f>
        <v>2.1358492748613307E-2</v>
      </c>
      <c r="Q148" s="230">
        <f>Q$145*'Methanol recycling rates'!S53</f>
        <v>2.3108051822126295E-2</v>
      </c>
      <c r="R148" s="230">
        <f>R$145*'Methanol recycling rates'!T53</f>
        <v>2.4684288174776525E-2</v>
      </c>
      <c r="S148" s="230">
        <f>S$145*'Methanol recycling rates'!U53</f>
        <v>2.611540266977843E-2</v>
      </c>
      <c r="T148" s="230">
        <f>T$145*'Methanol recycling rates'!V53</f>
        <v>2.7391225049861381E-2</v>
      </c>
      <c r="U148" s="230">
        <f>U$145*'Methanol recycling rates'!W53</f>
        <v>2.8501627823870036E-2</v>
      </c>
      <c r="V148" s="230">
        <f>V$145*'Methanol recycling rates'!X53</f>
        <v>2.9436542225184971E-2</v>
      </c>
      <c r="W148" s="230">
        <f>W$145*'Methanol recycling rates'!Y53</f>
        <v>3.0185974338334289E-2</v>
      </c>
      <c r="X148" s="230">
        <f>X$145*'Methanol recycling rates'!Z53</f>
        <v>3.1913439274538144E-2</v>
      </c>
      <c r="Y148" s="230">
        <f>Y$145*'Methanol recycling rates'!AA53</f>
        <v>3.3335459807314269E-2</v>
      </c>
      <c r="Z148" s="230">
        <f>Z$145*'Methanol recycling rates'!AB53</f>
        <v>3.414020558995276E-2</v>
      </c>
      <c r="AA148" s="230">
        <f>AA$145*'Methanol recycling rates'!AC53</f>
        <v>3.4586418264513925E-2</v>
      </c>
      <c r="AB148" s="230">
        <f>AB$145*'Methanol recycling rates'!AD53</f>
        <v>3.4666857968202271E-2</v>
      </c>
      <c r="AC148" s="230">
        <f>AC$145*'Methanol recycling rates'!AE53</f>
        <v>3.4375845191707576E-2</v>
      </c>
      <c r="AD148" s="230">
        <f>AD$145*'Methanol recycling rates'!AF53</f>
        <v>3.3708651988063713E-2</v>
      </c>
      <c r="AE148" s="230">
        <f>AE$145*'Methanol recycling rates'!AG53</f>
        <v>3.2661882792430881E-2</v>
      </c>
      <c r="AF148" s="230">
        <f>AF$145*'Methanol recycling rates'!AH53</f>
        <v>3.1233532165735451E-2</v>
      </c>
      <c r="AG148" s="230">
        <f>AG$145*'Methanol recycling rates'!AI53</f>
        <v>2.9423041688497423E-2</v>
      </c>
      <c r="AH148" s="245"/>
      <c r="AI148" s="133"/>
      <c r="AJ148" s="211"/>
      <c r="AL148" s="108"/>
      <c r="AM148" s="2"/>
      <c r="AN148" s="2"/>
      <c r="AO148" s="2"/>
      <c r="BC148" s="1"/>
      <c r="BD148" s="2"/>
      <c r="BE148" s="2"/>
      <c r="BF148" s="2"/>
      <c r="BG148" s="2"/>
      <c r="BH148" s="2"/>
      <c r="BI148" s="2"/>
      <c r="BJ148" s="2"/>
      <c r="BK148" s="2"/>
    </row>
    <row r="149" spans="1:63" s="1" customFormat="1" outlineLevel="1" x14ac:dyDescent="0.2">
      <c r="A149" s="1" t="s">
        <v>1570</v>
      </c>
      <c r="B149" s="65"/>
      <c r="C149" s="300">
        <f>C145-$C145</f>
        <v>0</v>
      </c>
      <c r="D149" s="300">
        <f t="shared" ref="D149:AG149" si="86">D145-$C145</f>
        <v>1.1327636837602179E-3</v>
      </c>
      <c r="E149" s="300">
        <f t="shared" si="86"/>
        <v>2.2980753838490178E-3</v>
      </c>
      <c r="F149" s="300">
        <f t="shared" si="86"/>
        <v>3.4844139369582441E-3</v>
      </c>
      <c r="G149" s="300">
        <f t="shared" si="86"/>
        <v>4.67941045709449E-3</v>
      </c>
      <c r="H149" s="300">
        <f t="shared" si="86"/>
        <v>5.8700228603258955E-3</v>
      </c>
      <c r="I149" s="300">
        <f t="shared" si="86"/>
        <v>7.0665753828275312E-3</v>
      </c>
      <c r="J149" s="300">
        <f t="shared" si="86"/>
        <v>8.2628067630644911E-3</v>
      </c>
      <c r="K149" s="300">
        <f t="shared" si="86"/>
        <v>9.4520604047620728E-3</v>
      </c>
      <c r="L149" s="300">
        <f t="shared" si="86"/>
        <v>1.0627290948822078E-2</v>
      </c>
      <c r="M149" s="300">
        <f t="shared" si="86"/>
        <v>1.1781072787886628E-2</v>
      </c>
      <c r="N149" s="300">
        <f t="shared" si="86"/>
        <v>1.4129028065837712E-2</v>
      </c>
      <c r="O149" s="300">
        <f t="shared" si="86"/>
        <v>1.6397999876901988E-2</v>
      </c>
      <c r="P149" s="300">
        <f t="shared" si="86"/>
        <v>1.8485258822429872E-2</v>
      </c>
      <c r="Q149" s="300">
        <f t="shared" si="86"/>
        <v>2.0427905484471817E-2</v>
      </c>
      <c r="R149" s="300">
        <f t="shared" si="86"/>
        <v>2.2202533455577135E-2</v>
      </c>
      <c r="S149" s="300">
        <f t="shared" si="86"/>
        <v>2.3837124658001588E-2</v>
      </c>
      <c r="T149" s="300">
        <f t="shared" si="86"/>
        <v>2.5319041620090878E-2</v>
      </c>
      <c r="U149" s="300">
        <f t="shared" si="86"/>
        <v>2.6635481659374075E-2</v>
      </c>
      <c r="V149" s="300">
        <f t="shared" si="86"/>
        <v>2.7773490647422402E-2</v>
      </c>
      <c r="W149" s="300">
        <f t="shared" si="86"/>
        <v>2.8719977305028978E-2</v>
      </c>
      <c r="X149" s="300">
        <f t="shared" si="86"/>
        <v>3.073940386996871E-2</v>
      </c>
      <c r="Y149" s="300">
        <f t="shared" si="86"/>
        <v>3.2441995001315657E-2</v>
      </c>
      <c r="Z149" s="300">
        <f t="shared" si="86"/>
        <v>3.3481260791986704E-2</v>
      </c>
      <c r="AA149" s="300">
        <f t="shared" si="86"/>
        <v>3.4134026244972429E-2</v>
      </c>
      <c r="AB149" s="300">
        <f t="shared" si="86"/>
        <v>3.4387282291989681E-2</v>
      </c>
      <c r="AC149" s="300">
        <f t="shared" si="86"/>
        <v>3.4229530653133187E-2</v>
      </c>
      <c r="AD149" s="300">
        <f t="shared" si="86"/>
        <v>3.3650136481517892E-2</v>
      </c>
      <c r="AE149" s="300">
        <f t="shared" si="86"/>
        <v>3.2639774497480845E-2</v>
      </c>
      <c r="AF149" s="300">
        <f t="shared" si="86"/>
        <v>3.1190522739490908E-2</v>
      </c>
      <c r="AG149" s="300">
        <f t="shared" si="86"/>
        <v>2.9295957827250838E-2</v>
      </c>
      <c r="AH149" s="245"/>
      <c r="AI149" s="423"/>
      <c r="AJ149" s="424"/>
      <c r="AL149" s="221"/>
      <c r="AM149" s="124"/>
      <c r="AN149" s="124"/>
      <c r="AO149" s="124"/>
      <c r="BD149" s="124"/>
      <c r="BE149" s="124"/>
      <c r="BF149" s="124"/>
      <c r="BG149" s="124"/>
      <c r="BH149" s="124"/>
      <c r="BI149" s="124"/>
      <c r="BJ149" s="124"/>
      <c r="BK149" s="124"/>
    </row>
    <row r="150" spans="1:63" outlineLevel="1" x14ac:dyDescent="0.2">
      <c r="A150" s="4" t="s">
        <v>474</v>
      </c>
      <c r="C150" s="230">
        <f t="shared" ref="C150" si="87">C146-$C146</f>
        <v>0</v>
      </c>
      <c r="D150" s="230">
        <f t="shared" ref="D150:AG150" si="88">D146-$C146</f>
        <v>0</v>
      </c>
      <c r="E150" s="230">
        <f t="shared" si="88"/>
        <v>0</v>
      </c>
      <c r="F150" s="230">
        <f t="shared" si="88"/>
        <v>0</v>
      </c>
      <c r="G150" s="230">
        <f t="shared" si="88"/>
        <v>0</v>
      </c>
      <c r="H150" s="230">
        <f t="shared" si="88"/>
        <v>0</v>
      </c>
      <c r="I150" s="230">
        <f t="shared" si="88"/>
        <v>0</v>
      </c>
      <c r="J150" s="230">
        <f t="shared" si="88"/>
        <v>0</v>
      </c>
      <c r="K150" s="230">
        <f t="shared" si="88"/>
        <v>0</v>
      </c>
      <c r="L150" s="230">
        <f t="shared" si="88"/>
        <v>0</v>
      </c>
      <c r="M150" s="230">
        <f t="shared" si="88"/>
        <v>0</v>
      </c>
      <c r="N150" s="230">
        <f t="shared" si="88"/>
        <v>0</v>
      </c>
      <c r="O150" s="230">
        <f t="shared" si="88"/>
        <v>0</v>
      </c>
      <c r="P150" s="230">
        <f t="shared" si="88"/>
        <v>0</v>
      </c>
      <c r="Q150" s="230">
        <f t="shared" si="88"/>
        <v>0</v>
      </c>
      <c r="R150" s="230">
        <f t="shared" si="88"/>
        <v>0</v>
      </c>
      <c r="S150" s="230">
        <f t="shared" si="88"/>
        <v>0</v>
      </c>
      <c r="T150" s="230">
        <f t="shared" si="88"/>
        <v>0</v>
      </c>
      <c r="U150" s="230">
        <f t="shared" si="88"/>
        <v>0</v>
      </c>
      <c r="V150" s="230">
        <f t="shared" si="88"/>
        <v>0</v>
      </c>
      <c r="W150" s="230">
        <f t="shared" si="88"/>
        <v>0</v>
      </c>
      <c r="X150" s="230">
        <f t="shared" si="88"/>
        <v>0</v>
      </c>
      <c r="Y150" s="230">
        <f t="shared" si="88"/>
        <v>0</v>
      </c>
      <c r="Z150" s="230">
        <f t="shared" si="88"/>
        <v>0</v>
      </c>
      <c r="AA150" s="230">
        <f t="shared" si="88"/>
        <v>0</v>
      </c>
      <c r="AB150" s="230">
        <f t="shared" si="88"/>
        <v>0</v>
      </c>
      <c r="AC150" s="230">
        <f t="shared" si="88"/>
        <v>0</v>
      </c>
      <c r="AD150" s="230">
        <f t="shared" si="88"/>
        <v>0</v>
      </c>
      <c r="AE150" s="230">
        <f t="shared" si="88"/>
        <v>0</v>
      </c>
      <c r="AF150" s="230">
        <f t="shared" si="88"/>
        <v>0</v>
      </c>
      <c r="AG150" s="230">
        <f t="shared" si="88"/>
        <v>0</v>
      </c>
      <c r="AH150" s="245"/>
      <c r="AI150" s="133"/>
      <c r="AJ150" s="211"/>
      <c r="AL150" s="108"/>
      <c r="AM150" s="2"/>
      <c r="AN150" s="2"/>
      <c r="AO150" s="2"/>
      <c r="BC150" s="1"/>
      <c r="BD150" s="2"/>
      <c r="BE150" s="2"/>
      <c r="BF150" s="2"/>
      <c r="BG150" s="2"/>
      <c r="BH150" s="2"/>
      <c r="BI150" s="2"/>
      <c r="BJ150" s="2"/>
      <c r="BK150" s="2"/>
    </row>
    <row r="151" spans="1:63" outlineLevel="1" x14ac:dyDescent="0.2">
      <c r="A151" s="4" t="s">
        <v>745</v>
      </c>
      <c r="C151" s="230">
        <f t="shared" ref="C151" si="89">C147-$C147</f>
        <v>0</v>
      </c>
      <c r="D151" s="230">
        <f t="shared" ref="D151:AG151" si="90">D147-$C147</f>
        <v>1.998143872233346E-5</v>
      </c>
      <c r="E151" s="230">
        <f t="shared" si="90"/>
        <v>4.9018979198287664E-5</v>
      </c>
      <c r="F151" s="230">
        <f t="shared" si="90"/>
        <v>8.7357733513105857E-5</v>
      </c>
      <c r="G151" s="230">
        <f t="shared" si="90"/>
        <v>1.350505666646182E-4</v>
      </c>
      <c r="H151" s="230">
        <f t="shared" si="90"/>
        <v>1.9194501733939441E-4</v>
      </c>
      <c r="I151" s="230">
        <f t="shared" si="90"/>
        <v>2.5823068072195702E-4</v>
      </c>
      <c r="J151" s="230">
        <f t="shared" si="90"/>
        <v>3.3380649570679855E-4</v>
      </c>
      <c r="K151" s="230">
        <f t="shared" si="90"/>
        <v>4.1846179445431301E-4</v>
      </c>
      <c r="L151" s="230">
        <f t="shared" si="90"/>
        <v>5.1186885145957034E-4</v>
      </c>
      <c r="M151" s="230">
        <f t="shared" si="90"/>
        <v>6.1357566132547614E-4</v>
      </c>
      <c r="N151" s="230">
        <f t="shared" si="90"/>
        <v>7.7529115786969442E-4</v>
      </c>
      <c r="O151" s="230">
        <f t="shared" si="90"/>
        <v>9.515706788126195E-4</v>
      </c>
      <c r="P151" s="230">
        <f t="shared" si="90"/>
        <v>1.1363042239404793E-3</v>
      </c>
      <c r="Q151" s="230">
        <f t="shared" si="90"/>
        <v>1.3293918124694384E-3</v>
      </c>
      <c r="R151" s="230">
        <f t="shared" si="90"/>
        <v>1.5277834309245287E-3</v>
      </c>
      <c r="S151" s="230">
        <f t="shared" si="90"/>
        <v>1.7312601383470793E-3</v>
      </c>
      <c r="T151" s="230">
        <f t="shared" si="90"/>
        <v>1.9373547203534213E-3</v>
      </c>
      <c r="U151" s="230">
        <f t="shared" si="90"/>
        <v>2.1433919856279652E-3</v>
      </c>
      <c r="V151" s="230">
        <f t="shared" si="90"/>
        <v>2.3464865723613598E-3</v>
      </c>
      <c r="W151" s="230">
        <f t="shared" si="90"/>
        <v>2.5435411168186206E-3</v>
      </c>
      <c r="X151" s="230">
        <f t="shared" si="90"/>
        <v>2.8355027455545002E-3</v>
      </c>
      <c r="Y151" s="230">
        <f t="shared" si="90"/>
        <v>3.1160733441253298E-3</v>
      </c>
      <c r="Z151" s="230">
        <f t="shared" si="90"/>
        <v>3.350593352157889E-3</v>
      </c>
      <c r="AA151" s="230">
        <f t="shared" si="90"/>
        <v>3.5571461305824495E-3</v>
      </c>
      <c r="AB151" s="230">
        <f t="shared" si="90"/>
        <v>3.7299624739113566E-3</v>
      </c>
      <c r="AC151" s="230">
        <f t="shared" si="90"/>
        <v>3.8632236115495582E-3</v>
      </c>
      <c r="AD151" s="230">
        <f t="shared" si="90"/>
        <v>3.9510226435781259E-3</v>
      </c>
      <c r="AE151" s="230">
        <f t="shared" si="90"/>
        <v>3.9874298551739167E-3</v>
      </c>
      <c r="AF151" s="230">
        <f t="shared" si="90"/>
        <v>3.9665287238794021E-3</v>
      </c>
      <c r="AG151" s="230">
        <f t="shared" si="90"/>
        <v>3.8824542888773188E-3</v>
      </c>
      <c r="AH151" s="245"/>
      <c r="AI151" s="133"/>
      <c r="AJ151" s="211"/>
      <c r="AL151" s="108"/>
      <c r="AM151" s="2"/>
      <c r="AN151" s="2"/>
      <c r="AO151" s="2"/>
      <c r="BC151" s="1"/>
      <c r="BD151" s="2"/>
      <c r="BE151" s="2"/>
      <c r="BF151" s="2"/>
      <c r="BG151" s="2"/>
      <c r="BH151" s="2"/>
      <c r="BI151" s="2"/>
      <c r="BJ151" s="2"/>
      <c r="BK151" s="2"/>
    </row>
    <row r="152" spans="1:63" outlineLevel="1" x14ac:dyDescent="0.2">
      <c r="A152" s="4" t="s">
        <v>1561</v>
      </c>
      <c r="C152" s="230">
        <f t="shared" ref="C152" si="91">C148-$C148</f>
        <v>0</v>
      </c>
      <c r="D152" s="230">
        <f t="shared" ref="D152:AG152" si="92">D148-$C148</f>
        <v>1.1127822450378846E-3</v>
      </c>
      <c r="E152" s="230">
        <f t="shared" si="92"/>
        <v>2.2490564046507306E-3</v>
      </c>
      <c r="F152" s="230">
        <f t="shared" si="92"/>
        <v>3.3970562034451391E-3</v>
      </c>
      <c r="G152" s="230">
        <f t="shared" si="92"/>
        <v>4.5443598904298726E-3</v>
      </c>
      <c r="H152" s="230">
        <f t="shared" si="92"/>
        <v>5.6780778429865028E-3</v>
      </c>
      <c r="I152" s="230">
        <f t="shared" si="92"/>
        <v>6.8083447021055768E-3</v>
      </c>
      <c r="J152" s="230">
        <f t="shared" si="92"/>
        <v>7.929000267357697E-3</v>
      </c>
      <c r="K152" s="230">
        <f t="shared" si="92"/>
        <v>9.033598610307763E-3</v>
      </c>
      <c r="L152" s="230">
        <f t="shared" si="92"/>
        <v>1.0115422097362513E-2</v>
      </c>
      <c r="M152" s="230">
        <f t="shared" si="92"/>
        <v>1.1167497126561156E-2</v>
      </c>
      <c r="N152" s="230">
        <f t="shared" si="92"/>
        <v>1.3353736907968025E-2</v>
      </c>
      <c r="O152" s="230">
        <f t="shared" si="92"/>
        <v>1.5446429198089379E-2</v>
      </c>
      <c r="P152" s="230">
        <f t="shared" si="92"/>
        <v>1.7348954598489404E-2</v>
      </c>
      <c r="Q152" s="230">
        <f t="shared" si="92"/>
        <v>1.9098513672002392E-2</v>
      </c>
      <c r="R152" s="230">
        <f t="shared" si="92"/>
        <v>2.0674750024652622E-2</v>
      </c>
      <c r="S152" s="230">
        <f t="shared" si="92"/>
        <v>2.2105864519654527E-2</v>
      </c>
      <c r="T152" s="230">
        <f t="shared" si="92"/>
        <v>2.3381686899737478E-2</v>
      </c>
      <c r="U152" s="230">
        <f t="shared" si="92"/>
        <v>2.4492089673746133E-2</v>
      </c>
      <c r="V152" s="230">
        <f t="shared" si="92"/>
        <v>2.5427004075061068E-2</v>
      </c>
      <c r="W152" s="230">
        <f t="shared" si="92"/>
        <v>2.6176436188210386E-2</v>
      </c>
      <c r="X152" s="230">
        <f t="shared" si="92"/>
        <v>2.7903901124414241E-2</v>
      </c>
      <c r="Y152" s="230">
        <f t="shared" si="92"/>
        <v>2.9325921657190366E-2</v>
      </c>
      <c r="Z152" s="230">
        <f t="shared" si="92"/>
        <v>3.0130667439828857E-2</v>
      </c>
      <c r="AA152" s="230">
        <f t="shared" si="92"/>
        <v>3.0576880114390022E-2</v>
      </c>
      <c r="AB152" s="230">
        <f t="shared" si="92"/>
        <v>3.0657319818078368E-2</v>
      </c>
      <c r="AC152" s="230">
        <f t="shared" si="92"/>
        <v>3.0366307041583673E-2</v>
      </c>
      <c r="AD152" s="230">
        <f t="shared" si="92"/>
        <v>2.969911383793981E-2</v>
      </c>
      <c r="AE152" s="230">
        <f t="shared" si="92"/>
        <v>2.8652344642306978E-2</v>
      </c>
      <c r="AF152" s="230">
        <f t="shared" si="92"/>
        <v>2.7223994015611548E-2</v>
      </c>
      <c r="AG152" s="230">
        <f t="shared" si="92"/>
        <v>2.541350353837352E-2</v>
      </c>
      <c r="AH152" s="245"/>
      <c r="AI152" s="133"/>
      <c r="AJ152" s="211"/>
      <c r="AL152" s="108"/>
      <c r="AM152" s="2"/>
      <c r="AN152" s="2"/>
      <c r="AO152" s="2"/>
      <c r="BC152" s="1"/>
      <c r="BD152" s="2"/>
      <c r="BE152" s="2"/>
      <c r="BF152" s="2"/>
      <c r="BG152" s="2"/>
      <c r="BH152" s="2"/>
      <c r="BI152" s="2"/>
      <c r="BJ152" s="2"/>
      <c r="BK152" s="2"/>
    </row>
    <row r="153" spans="1:63" s="1" customFormat="1" outlineLevel="1" x14ac:dyDescent="0.2">
      <c r="A153" s="1" t="s">
        <v>1578</v>
      </c>
      <c r="B153" s="65"/>
      <c r="C153" s="300">
        <f>C43*C134</f>
        <v>9.2527803464397787E-4</v>
      </c>
      <c r="D153" s="300">
        <f t="shared" ref="D153:AG153" si="93">D43*D134</f>
        <v>1.1866850385886434E-3</v>
      </c>
      <c r="E153" s="300">
        <f t="shared" si="93"/>
        <v>1.4556031232245204E-3</v>
      </c>
      <c r="F153" s="300">
        <f t="shared" si="93"/>
        <v>1.7293735585574186E-3</v>
      </c>
      <c r="G153" s="300">
        <f t="shared" si="93"/>
        <v>2.0051419862811681E-3</v>
      </c>
      <c r="H153" s="300">
        <f t="shared" si="93"/>
        <v>2.2798986947191843E-3</v>
      </c>
      <c r="I153" s="300">
        <f t="shared" si="93"/>
        <v>2.5560261999118695E-3</v>
      </c>
      <c r="J153" s="300">
        <f t="shared" si="93"/>
        <v>2.832079595351168E-3</v>
      </c>
      <c r="K153" s="300">
        <f t="shared" si="93"/>
        <v>3.1065227434352244E-3</v>
      </c>
      <c r="L153" s="300">
        <f t="shared" si="93"/>
        <v>3.3777297920644577E-3</v>
      </c>
      <c r="M153" s="300">
        <f t="shared" si="93"/>
        <v>3.6439871395408919E-3</v>
      </c>
      <c r="N153" s="300">
        <f t="shared" si="93"/>
        <v>4.1858229729142184E-3</v>
      </c>
      <c r="O153" s="300">
        <f t="shared" si="93"/>
        <v>4.7094318523905896E-3</v>
      </c>
      <c r="P153" s="300">
        <f t="shared" si="93"/>
        <v>5.1911069936662552E-3</v>
      </c>
      <c r="Q153" s="300">
        <f t="shared" si="93"/>
        <v>5.6394100695220887E-3</v>
      </c>
      <c r="R153" s="300">
        <f t="shared" si="93"/>
        <v>6.0489396013156237E-3</v>
      </c>
      <c r="S153" s="300">
        <f t="shared" si="93"/>
        <v>6.4261529557212678E-3</v>
      </c>
      <c r="T153" s="300">
        <f t="shared" si="93"/>
        <v>6.7681337931264881E-3</v>
      </c>
      <c r="U153" s="300">
        <f t="shared" si="93"/>
        <v>7.0719276483456857E-3</v>
      </c>
      <c r="V153" s="300">
        <f t="shared" si="93"/>
        <v>7.3345451071260689E-3</v>
      </c>
      <c r="W153" s="300">
        <f t="shared" si="93"/>
        <v>7.5529651050352791E-3</v>
      </c>
      <c r="X153" s="300">
        <f t="shared" si="93"/>
        <v>8.0189866200213733E-3</v>
      </c>
      <c r="Y153" s="300">
        <f t="shared" si="93"/>
        <v>8.4118922657168207E-3</v>
      </c>
      <c r="Z153" s="300">
        <f t="shared" si="93"/>
        <v>8.6517228327947556E-3</v>
      </c>
      <c r="AA153" s="300">
        <f t="shared" si="93"/>
        <v>8.8023610142529997E-3</v>
      </c>
      <c r="AB153" s="300">
        <f t="shared" si="93"/>
        <v>8.8608047174108268E-3</v>
      </c>
      <c r="AC153" s="300">
        <f t="shared" si="93"/>
        <v>8.8244004930593273E-3</v>
      </c>
      <c r="AD153" s="300">
        <f t="shared" si="93"/>
        <v>8.6906941457634904E-3</v>
      </c>
      <c r="AE153" s="300">
        <f t="shared" si="93"/>
        <v>8.4575336879087887E-3</v>
      </c>
      <c r="AF153" s="300">
        <f t="shared" si="93"/>
        <v>8.1230909745264954E-3</v>
      </c>
      <c r="AG153" s="300">
        <f t="shared" si="93"/>
        <v>7.6858836870864772E-3</v>
      </c>
      <c r="AH153" s="245"/>
      <c r="AI153" s="423"/>
      <c r="AJ153" s="424"/>
      <c r="AL153" s="221"/>
      <c r="AM153" s="124"/>
      <c r="AN153" s="124"/>
      <c r="AO153" s="124"/>
      <c r="BD153" s="124"/>
      <c r="BE153" s="124"/>
      <c r="BF153" s="124"/>
      <c r="BG153" s="124"/>
      <c r="BH153" s="124"/>
      <c r="BI153" s="124"/>
      <c r="BJ153" s="124"/>
      <c r="BK153" s="124"/>
    </row>
    <row r="154" spans="1:63" outlineLevel="1" x14ac:dyDescent="0.2">
      <c r="A154" s="4" t="s">
        <v>474</v>
      </c>
      <c r="C154" s="230">
        <f>C$153*'Methanol recycling rates'!E54</f>
        <v>0</v>
      </c>
      <c r="D154" s="230">
        <f>D$153*'Methanol recycling rates'!F54</f>
        <v>0</v>
      </c>
      <c r="E154" s="230">
        <f>E$153*'Methanol recycling rates'!G54</f>
        <v>0</v>
      </c>
      <c r="F154" s="230">
        <f>F$153*'Methanol recycling rates'!H54</f>
        <v>0</v>
      </c>
      <c r="G154" s="230">
        <f>G$153*'Methanol recycling rates'!I54</f>
        <v>0</v>
      </c>
      <c r="H154" s="230">
        <f>H$153*'Methanol recycling rates'!J54</f>
        <v>0</v>
      </c>
      <c r="I154" s="230">
        <f>I$153*'Methanol recycling rates'!K54</f>
        <v>0</v>
      </c>
      <c r="J154" s="230">
        <f>J$153*'Methanol recycling rates'!L54</f>
        <v>0</v>
      </c>
      <c r="K154" s="230">
        <f>K$153*'Methanol recycling rates'!M54</f>
        <v>0</v>
      </c>
      <c r="L154" s="230">
        <f>L$153*'Methanol recycling rates'!N54</f>
        <v>0</v>
      </c>
      <c r="M154" s="230">
        <f>M$153*'Methanol recycling rates'!O54</f>
        <v>0</v>
      </c>
      <c r="N154" s="230">
        <f>N$153*'Methanol recycling rates'!P54</f>
        <v>0</v>
      </c>
      <c r="O154" s="230">
        <f>O$153*'Methanol recycling rates'!Q54</f>
        <v>0</v>
      </c>
      <c r="P154" s="230">
        <f>P$153*'Methanol recycling rates'!R54</f>
        <v>0</v>
      </c>
      <c r="Q154" s="230">
        <f>Q$153*'Methanol recycling rates'!S54</f>
        <v>0</v>
      </c>
      <c r="R154" s="230">
        <f>R$153*'Methanol recycling rates'!T54</f>
        <v>0</v>
      </c>
      <c r="S154" s="230">
        <f>S$153*'Methanol recycling rates'!U54</f>
        <v>0</v>
      </c>
      <c r="T154" s="230">
        <f>T$153*'Methanol recycling rates'!V54</f>
        <v>0</v>
      </c>
      <c r="U154" s="230">
        <f>U$153*'Methanol recycling rates'!W54</f>
        <v>0</v>
      </c>
      <c r="V154" s="230">
        <f>V$153*'Methanol recycling rates'!X54</f>
        <v>0</v>
      </c>
      <c r="W154" s="230">
        <f>W$153*'Methanol recycling rates'!Y54</f>
        <v>0</v>
      </c>
      <c r="X154" s="230">
        <f>X$153*'Methanol recycling rates'!Z54</f>
        <v>0</v>
      </c>
      <c r="Y154" s="230">
        <f>Y$153*'Methanol recycling rates'!AA54</f>
        <v>0</v>
      </c>
      <c r="Z154" s="230">
        <f>Z$153*'Methanol recycling rates'!AB54</f>
        <v>0</v>
      </c>
      <c r="AA154" s="230">
        <f>AA$153*'Methanol recycling rates'!AC54</f>
        <v>0</v>
      </c>
      <c r="AB154" s="230">
        <f>AB$153*'Methanol recycling rates'!AD54</f>
        <v>0</v>
      </c>
      <c r="AC154" s="230">
        <f>AC$153*'Methanol recycling rates'!AE54</f>
        <v>0</v>
      </c>
      <c r="AD154" s="230">
        <f>AD$153*'Methanol recycling rates'!AF54</f>
        <v>0</v>
      </c>
      <c r="AE154" s="230">
        <f>AE$153*'Methanol recycling rates'!AG54</f>
        <v>0</v>
      </c>
      <c r="AF154" s="230">
        <f>AF$153*'Methanol recycling rates'!AH54</f>
        <v>0</v>
      </c>
      <c r="AG154" s="230">
        <f>AG$153*'Methanol recycling rates'!AI54</f>
        <v>0</v>
      </c>
      <c r="AH154" s="245"/>
      <c r="AI154" s="133"/>
      <c r="AJ154" s="211"/>
      <c r="AL154" s="108"/>
      <c r="AM154" s="2"/>
      <c r="AN154" s="2"/>
      <c r="AO154" s="2"/>
      <c r="BC154" s="1"/>
      <c r="BD154" s="2"/>
      <c r="BE154" s="2"/>
      <c r="BF154" s="2"/>
      <c r="BG154" s="2"/>
      <c r="BH154" s="2"/>
      <c r="BI154" s="2"/>
      <c r="BJ154" s="2"/>
      <c r="BK154" s="2"/>
    </row>
    <row r="155" spans="1:63" outlineLevel="1" x14ac:dyDescent="0.2">
      <c r="A155" s="4" t="s">
        <v>745</v>
      </c>
      <c r="C155" s="230">
        <f>C$153*'Methanol recycling rates'!E55</f>
        <v>0</v>
      </c>
      <c r="D155" s="230">
        <f>D$153*'Methanol recycling rates'!F55</f>
        <v>4.6111012436154136E-6</v>
      </c>
      <c r="E155" s="230">
        <f>E$153*'Methanol recycling rates'!G55</f>
        <v>1.1312072122681768E-5</v>
      </c>
      <c r="F155" s="230">
        <f>F$153*'Methanol recycling rates'!H55</f>
        <v>2.0159476964562889E-5</v>
      </c>
      <c r="G155" s="230">
        <f>G$153*'Methanol recycling rates'!I55</f>
        <v>3.1165515384142668E-5</v>
      </c>
      <c r="H155" s="230">
        <f>H$153*'Methanol recycling rates'!J55</f>
        <v>4.4295004001398708E-5</v>
      </c>
      <c r="I155" s="230">
        <f>I$153*'Methanol recycling rates'!K55</f>
        <v>5.9591695551220853E-5</v>
      </c>
      <c r="J155" s="230">
        <f>J$153*'Methanol recycling rates'!L55</f>
        <v>7.7032268240030438E-5</v>
      </c>
      <c r="K155" s="230">
        <f>K$153*'Methanol recycling rates'!M55</f>
        <v>9.6568106412533747E-5</v>
      </c>
      <c r="L155" s="230">
        <f>L$153*'Methanol recycling rates'!N55</f>
        <v>1.1812358110605471E-4</v>
      </c>
      <c r="M155" s="230">
        <f>M$153*'Methanol recycling rates'!O55</f>
        <v>1.4159438338280219E-4</v>
      </c>
      <c r="N155" s="230">
        <f>N$153*'Methanol recycling rates'!P55</f>
        <v>1.7891334412377562E-4</v>
      </c>
      <c r="O155" s="230">
        <f>O$153*'Methanol recycling rates'!Q55</f>
        <v>2.1959323357214293E-4</v>
      </c>
      <c r="P155" s="230">
        <f>P$153*'Methanol recycling rates'!R55</f>
        <v>2.622240516785721E-4</v>
      </c>
      <c r="Q155" s="230">
        <f>Q$153*'Methanol recycling rates'!S55</f>
        <v>3.0678272595448578E-4</v>
      </c>
      <c r="R155" s="230">
        <f>R$153*'Methanol recycling rates'!T55</f>
        <v>3.5256540713642966E-4</v>
      </c>
      <c r="S155" s="230">
        <f>S$153*'Methanol recycling rates'!U55</f>
        <v>3.9952157038778758E-4</v>
      </c>
      <c r="T155" s="230">
        <f>T$153*'Methanol recycling rates'!V55</f>
        <v>4.4708185854309724E-4</v>
      </c>
      <c r="U155" s="230">
        <f>U$153*'Methanol recycling rates'!W55</f>
        <v>4.946289197602996E-4</v>
      </c>
      <c r="V155" s="230">
        <f>V$153*'Methanol recycling rates'!X55</f>
        <v>5.4149690131415984E-4</v>
      </c>
      <c r="W155" s="230">
        <f>W$153*'Methanol recycling rates'!Y55</f>
        <v>5.8697102695814312E-4</v>
      </c>
      <c r="X155" s="230">
        <f>X$153*'Methanol recycling rates'!Z55</f>
        <v>6.5434678743565399E-4</v>
      </c>
      <c r="Y155" s="230">
        <f>Y$153*'Methanol recycling rates'!AA55</f>
        <v>7.1909384864430681E-4</v>
      </c>
      <c r="Z155" s="230">
        <f>Z$153*'Methanol recycling rates'!AB55</f>
        <v>7.7321385049797437E-4</v>
      </c>
      <c r="AA155" s="230">
        <f>AA$153*'Methanol recycling rates'!AC55</f>
        <v>8.208798762882575E-4</v>
      </c>
      <c r="AB155" s="230">
        <f>AB$153*'Methanol recycling rates'!AD55</f>
        <v>8.6076057090262066E-4</v>
      </c>
      <c r="AC155" s="230">
        <f>AC$153*'Methanol recycling rates'!AE55</f>
        <v>8.9151314112682087E-4</v>
      </c>
      <c r="AD155" s="230">
        <f>AD$153*'Methanol recycling rates'!AF55</f>
        <v>9.117744562103365E-4</v>
      </c>
      <c r="AE155" s="230">
        <f>AE$153*'Methanol recycling rates'!AG55</f>
        <v>9.2017612042475001E-4</v>
      </c>
      <c r="AF155" s="230">
        <f>AF$153*'Methanol recycling rates'!AH55</f>
        <v>9.1535278243370824E-4</v>
      </c>
      <c r="AG155" s="230">
        <f>AG$153*'Methanol recycling rates'!AI55</f>
        <v>8.959509897409195E-4</v>
      </c>
      <c r="AH155" s="245"/>
      <c r="AI155" s="133"/>
      <c r="AJ155" s="211"/>
      <c r="AL155" s="108"/>
      <c r="AM155" s="2"/>
      <c r="AN155" s="2"/>
      <c r="AO155" s="2"/>
      <c r="BC155" s="1"/>
      <c r="BD155" s="2"/>
      <c r="BE155" s="2"/>
      <c r="BF155" s="2"/>
      <c r="BG155" s="2"/>
      <c r="BH155" s="2"/>
      <c r="BI155" s="2"/>
      <c r="BJ155" s="2"/>
      <c r="BK155" s="2"/>
    </row>
    <row r="156" spans="1:63" outlineLevel="1" x14ac:dyDescent="0.2">
      <c r="A156" s="4" t="s">
        <v>1561</v>
      </c>
      <c r="C156" s="230">
        <f>C$153*'Methanol recycling rates'!E56</f>
        <v>9.2527803464397787E-4</v>
      </c>
      <c r="D156" s="230">
        <f>D$153*'Methanol recycling rates'!F56</f>
        <v>1.182073937345028E-3</v>
      </c>
      <c r="E156" s="230">
        <f>E$153*'Methanol recycling rates'!G56</f>
        <v>1.4442910511018388E-3</v>
      </c>
      <c r="F156" s="230">
        <f>F$153*'Methanol recycling rates'!H56</f>
        <v>1.7092140815928559E-3</v>
      </c>
      <c r="G156" s="230">
        <f>G$153*'Methanol recycling rates'!I56</f>
        <v>1.9739764708970259E-3</v>
      </c>
      <c r="H156" s="230">
        <f>H$153*'Methanol recycling rates'!J56</f>
        <v>2.235603690717786E-3</v>
      </c>
      <c r="I156" s="230">
        <f>I$153*'Methanol recycling rates'!K56</f>
        <v>2.4964345043606492E-3</v>
      </c>
      <c r="J156" s="230">
        <f>J$153*'Methanol recycling rates'!L56</f>
        <v>2.7550473271111386E-3</v>
      </c>
      <c r="K156" s="230">
        <f>K$153*'Methanol recycling rates'!M56</f>
        <v>3.009954637022692E-3</v>
      </c>
      <c r="L156" s="230">
        <f>L$153*'Methanol recycling rates'!N56</f>
        <v>3.2596062109584044E-3</v>
      </c>
      <c r="M156" s="230">
        <f>M$153*'Methanol recycling rates'!O56</f>
        <v>3.5023927561580914E-3</v>
      </c>
      <c r="N156" s="230">
        <f>N$153*'Methanol recycling rates'!P56</f>
        <v>4.0069096287904445E-3</v>
      </c>
      <c r="O156" s="230">
        <f>O$153*'Methanol recycling rates'!Q56</f>
        <v>4.4898386188184491E-3</v>
      </c>
      <c r="P156" s="230">
        <f>P$153*'Methanol recycling rates'!R56</f>
        <v>4.9288829419876857E-3</v>
      </c>
      <c r="Q156" s="230">
        <f>Q$153*'Methanol recycling rates'!S56</f>
        <v>5.3326273435676062E-3</v>
      </c>
      <c r="R156" s="230">
        <f>R$153*'Methanol recycling rates'!T56</f>
        <v>5.6963741941791976E-3</v>
      </c>
      <c r="S156" s="230">
        <f>S$153*'Methanol recycling rates'!U56</f>
        <v>6.0266313853334849E-3</v>
      </c>
      <c r="T156" s="230">
        <f>T$153*'Methanol recycling rates'!V56</f>
        <v>6.3210519345833962E-3</v>
      </c>
      <c r="U156" s="230">
        <f>U$153*'Methanol recycling rates'!W56</f>
        <v>6.5772987285853913E-3</v>
      </c>
      <c r="V156" s="230">
        <f>V$153*'Methanol recycling rates'!X56</f>
        <v>6.7930482058119147E-3</v>
      </c>
      <c r="W156" s="230">
        <f>W$153*'Methanol recycling rates'!Y56</f>
        <v>6.9659940780771425E-3</v>
      </c>
      <c r="X156" s="230">
        <f>X$153*'Methanol recycling rates'!Z56</f>
        <v>7.3646398325857261E-3</v>
      </c>
      <c r="Y156" s="230">
        <f>Y$153*'Methanol recycling rates'!AA56</f>
        <v>7.6927984170725222E-3</v>
      </c>
      <c r="Z156" s="230">
        <f>Z$153*'Methanol recycling rates'!AB56</f>
        <v>7.8785089822967901E-3</v>
      </c>
      <c r="AA156" s="230">
        <f>AA$153*'Methanol recycling rates'!AC56</f>
        <v>7.9814811379647511E-3</v>
      </c>
      <c r="AB156" s="230">
        <f>AB$153*'Methanol recycling rates'!AD56</f>
        <v>8.0000441465082148E-3</v>
      </c>
      <c r="AC156" s="230">
        <f>AC$153*'Methanol recycling rates'!AE56</f>
        <v>7.9328873519325157E-3</v>
      </c>
      <c r="AD156" s="230">
        <f>AD$153*'Methanol recycling rates'!AF56</f>
        <v>7.7789196895531642E-3</v>
      </c>
      <c r="AE156" s="230">
        <f>AE$153*'Methanol recycling rates'!AG56</f>
        <v>7.5373575674840491E-3</v>
      </c>
      <c r="AF156" s="230">
        <f>AF$153*'Methanol recycling rates'!AH56</f>
        <v>7.2077381920927974E-3</v>
      </c>
      <c r="AG156" s="230">
        <f>AG$153*'Methanol recycling rates'!AI56</f>
        <v>6.7899326973455574E-3</v>
      </c>
      <c r="AH156" s="245"/>
      <c r="AI156" s="133"/>
      <c r="AJ156" s="211"/>
      <c r="AL156" s="108"/>
      <c r="AM156" s="2"/>
      <c r="AN156" s="2"/>
      <c r="AO156" s="2"/>
      <c r="BC156" s="1"/>
      <c r="BD156" s="2"/>
      <c r="BE156" s="2"/>
      <c r="BF156" s="2"/>
      <c r="BG156" s="2"/>
      <c r="BH156" s="2"/>
      <c r="BI156" s="2"/>
      <c r="BJ156" s="2"/>
      <c r="BK156" s="2"/>
    </row>
    <row r="157" spans="1:63" s="1" customFormat="1" outlineLevel="1" x14ac:dyDescent="0.2">
      <c r="A157" s="1" t="s">
        <v>1579</v>
      </c>
      <c r="B157" s="65"/>
      <c r="C157" s="300">
        <f>C153-$C153</f>
        <v>0</v>
      </c>
      <c r="D157" s="300">
        <f t="shared" ref="D157:AG157" si="94">D153-$C153</f>
        <v>2.6140700394466552E-4</v>
      </c>
      <c r="E157" s="300">
        <f t="shared" si="94"/>
        <v>5.3032508858054253E-4</v>
      </c>
      <c r="F157" s="300">
        <f t="shared" si="94"/>
        <v>8.0409552391344074E-4</v>
      </c>
      <c r="G157" s="300">
        <f t="shared" si="94"/>
        <v>1.0798639516371902E-3</v>
      </c>
      <c r="H157" s="300">
        <f t="shared" si="94"/>
        <v>1.3546206600752065E-3</v>
      </c>
      <c r="I157" s="300">
        <f t="shared" si="94"/>
        <v>1.6307481652678916E-3</v>
      </c>
      <c r="J157" s="300">
        <f t="shared" si="94"/>
        <v>1.9068015607071902E-3</v>
      </c>
      <c r="K157" s="300">
        <f t="shared" si="94"/>
        <v>2.1812447087912468E-3</v>
      </c>
      <c r="L157" s="300">
        <f t="shared" si="94"/>
        <v>2.4524517574204801E-3</v>
      </c>
      <c r="M157" s="300">
        <f t="shared" si="94"/>
        <v>2.7187091048969138E-3</v>
      </c>
      <c r="N157" s="300">
        <f t="shared" si="94"/>
        <v>3.2605449382702408E-3</v>
      </c>
      <c r="O157" s="300">
        <f t="shared" si="94"/>
        <v>3.7841538177466119E-3</v>
      </c>
      <c r="P157" s="300">
        <f t="shared" si="94"/>
        <v>4.2658289590222775E-3</v>
      </c>
      <c r="Q157" s="300">
        <f t="shared" si="94"/>
        <v>4.714132034878111E-3</v>
      </c>
      <c r="R157" s="300">
        <f t="shared" si="94"/>
        <v>5.1236615666716461E-3</v>
      </c>
      <c r="S157" s="300">
        <f t="shared" si="94"/>
        <v>5.5008749210772902E-3</v>
      </c>
      <c r="T157" s="300">
        <f t="shared" si="94"/>
        <v>5.8428557584825104E-3</v>
      </c>
      <c r="U157" s="300">
        <f t="shared" si="94"/>
        <v>6.1466496137017081E-3</v>
      </c>
      <c r="V157" s="300">
        <f t="shared" si="94"/>
        <v>6.4092670724820913E-3</v>
      </c>
      <c r="W157" s="300">
        <f t="shared" si="94"/>
        <v>6.6276870703913015E-3</v>
      </c>
      <c r="X157" s="300">
        <f t="shared" si="94"/>
        <v>7.0937085853773956E-3</v>
      </c>
      <c r="Y157" s="300">
        <f t="shared" si="94"/>
        <v>7.4866142310728431E-3</v>
      </c>
      <c r="Z157" s="300">
        <f t="shared" si="94"/>
        <v>7.726444798150778E-3</v>
      </c>
      <c r="AA157" s="300">
        <f t="shared" si="94"/>
        <v>7.8770829796090212E-3</v>
      </c>
      <c r="AB157" s="300">
        <f t="shared" si="94"/>
        <v>7.9355266827668483E-3</v>
      </c>
      <c r="AC157" s="300">
        <f t="shared" si="94"/>
        <v>7.8991224584153488E-3</v>
      </c>
      <c r="AD157" s="300">
        <f t="shared" si="94"/>
        <v>7.7654161111195127E-3</v>
      </c>
      <c r="AE157" s="300">
        <f t="shared" si="94"/>
        <v>7.532255653264811E-3</v>
      </c>
      <c r="AF157" s="300">
        <f t="shared" si="94"/>
        <v>7.1978129398825178E-3</v>
      </c>
      <c r="AG157" s="300">
        <f t="shared" si="94"/>
        <v>6.7606056524424996E-3</v>
      </c>
      <c r="AH157" s="245"/>
      <c r="AI157" s="423"/>
      <c r="AJ157" s="424"/>
      <c r="AL157" s="221"/>
      <c r="AM157" s="124"/>
      <c r="AN157" s="124"/>
      <c r="AO157" s="124"/>
      <c r="BD157" s="124"/>
      <c r="BE157" s="124"/>
      <c r="BF157" s="124"/>
      <c r="BG157" s="124"/>
      <c r="BH157" s="124"/>
      <c r="BI157" s="124"/>
      <c r="BJ157" s="124"/>
      <c r="BK157" s="124"/>
    </row>
    <row r="158" spans="1:63" outlineLevel="1" x14ac:dyDescent="0.2">
      <c r="A158" s="4" t="s">
        <v>474</v>
      </c>
      <c r="C158" s="230">
        <f t="shared" ref="C158" si="95">C154-$C154</f>
        <v>0</v>
      </c>
      <c r="D158" s="230">
        <f t="shared" ref="D158:AG158" si="96">D154-$C154</f>
        <v>0</v>
      </c>
      <c r="E158" s="230">
        <f t="shared" si="96"/>
        <v>0</v>
      </c>
      <c r="F158" s="230">
        <f t="shared" si="96"/>
        <v>0</v>
      </c>
      <c r="G158" s="230">
        <f t="shared" si="96"/>
        <v>0</v>
      </c>
      <c r="H158" s="230">
        <f t="shared" si="96"/>
        <v>0</v>
      </c>
      <c r="I158" s="230">
        <f t="shared" si="96"/>
        <v>0</v>
      </c>
      <c r="J158" s="230">
        <f t="shared" si="96"/>
        <v>0</v>
      </c>
      <c r="K158" s="230">
        <f t="shared" si="96"/>
        <v>0</v>
      </c>
      <c r="L158" s="230">
        <f t="shared" si="96"/>
        <v>0</v>
      </c>
      <c r="M158" s="230">
        <f t="shared" si="96"/>
        <v>0</v>
      </c>
      <c r="N158" s="230">
        <f t="shared" si="96"/>
        <v>0</v>
      </c>
      <c r="O158" s="230">
        <f t="shared" si="96"/>
        <v>0</v>
      </c>
      <c r="P158" s="230">
        <f t="shared" si="96"/>
        <v>0</v>
      </c>
      <c r="Q158" s="230">
        <f t="shared" si="96"/>
        <v>0</v>
      </c>
      <c r="R158" s="230">
        <f t="shared" si="96"/>
        <v>0</v>
      </c>
      <c r="S158" s="230">
        <f t="shared" si="96"/>
        <v>0</v>
      </c>
      <c r="T158" s="230">
        <f t="shared" si="96"/>
        <v>0</v>
      </c>
      <c r="U158" s="230">
        <f t="shared" si="96"/>
        <v>0</v>
      </c>
      <c r="V158" s="230">
        <f t="shared" si="96"/>
        <v>0</v>
      </c>
      <c r="W158" s="230">
        <f t="shared" si="96"/>
        <v>0</v>
      </c>
      <c r="X158" s="230">
        <f t="shared" si="96"/>
        <v>0</v>
      </c>
      <c r="Y158" s="230">
        <f t="shared" si="96"/>
        <v>0</v>
      </c>
      <c r="Z158" s="230">
        <f t="shared" si="96"/>
        <v>0</v>
      </c>
      <c r="AA158" s="230">
        <f t="shared" si="96"/>
        <v>0</v>
      </c>
      <c r="AB158" s="230">
        <f t="shared" si="96"/>
        <v>0</v>
      </c>
      <c r="AC158" s="230">
        <f t="shared" si="96"/>
        <v>0</v>
      </c>
      <c r="AD158" s="230">
        <f t="shared" si="96"/>
        <v>0</v>
      </c>
      <c r="AE158" s="230">
        <f t="shared" si="96"/>
        <v>0</v>
      </c>
      <c r="AF158" s="230">
        <f t="shared" si="96"/>
        <v>0</v>
      </c>
      <c r="AG158" s="230">
        <f t="shared" si="96"/>
        <v>0</v>
      </c>
      <c r="AH158" s="245"/>
      <c r="AI158" s="133"/>
      <c r="AJ158" s="211"/>
      <c r="AL158" s="108"/>
      <c r="AM158" s="2"/>
      <c r="AN158" s="2"/>
      <c r="AO158" s="2"/>
      <c r="BC158" s="1"/>
      <c r="BD158" s="2"/>
      <c r="BE158" s="2"/>
      <c r="BF158" s="2"/>
      <c r="BG158" s="2"/>
      <c r="BH158" s="2"/>
      <c r="BI158" s="2"/>
      <c r="BJ158" s="2"/>
      <c r="BK158" s="2"/>
    </row>
    <row r="159" spans="1:63" outlineLevel="1" x14ac:dyDescent="0.2">
      <c r="A159" s="4" t="s">
        <v>745</v>
      </c>
      <c r="C159" s="230">
        <f t="shared" ref="C159" si="97">C155-$C155</f>
        <v>0</v>
      </c>
      <c r="D159" s="230">
        <f t="shared" ref="D159:AG159" si="98">D155-$C155</f>
        <v>4.6111012436154136E-6</v>
      </c>
      <c r="E159" s="230">
        <f t="shared" si="98"/>
        <v>1.1312072122681768E-5</v>
      </c>
      <c r="F159" s="230">
        <f t="shared" si="98"/>
        <v>2.0159476964562889E-5</v>
      </c>
      <c r="G159" s="230">
        <f t="shared" si="98"/>
        <v>3.1165515384142668E-5</v>
      </c>
      <c r="H159" s="230">
        <f t="shared" si="98"/>
        <v>4.4295004001398708E-5</v>
      </c>
      <c r="I159" s="230">
        <f t="shared" si="98"/>
        <v>5.9591695551220853E-5</v>
      </c>
      <c r="J159" s="230">
        <f t="shared" si="98"/>
        <v>7.7032268240030438E-5</v>
      </c>
      <c r="K159" s="230">
        <f t="shared" si="98"/>
        <v>9.6568106412533747E-5</v>
      </c>
      <c r="L159" s="230">
        <f t="shared" si="98"/>
        <v>1.1812358110605471E-4</v>
      </c>
      <c r="M159" s="230">
        <f t="shared" si="98"/>
        <v>1.4159438338280219E-4</v>
      </c>
      <c r="N159" s="230">
        <f t="shared" si="98"/>
        <v>1.7891334412377562E-4</v>
      </c>
      <c r="O159" s="230">
        <f t="shared" si="98"/>
        <v>2.1959323357214293E-4</v>
      </c>
      <c r="P159" s="230">
        <f t="shared" si="98"/>
        <v>2.622240516785721E-4</v>
      </c>
      <c r="Q159" s="230">
        <f t="shared" si="98"/>
        <v>3.0678272595448578E-4</v>
      </c>
      <c r="R159" s="230">
        <f t="shared" si="98"/>
        <v>3.5256540713642966E-4</v>
      </c>
      <c r="S159" s="230">
        <f t="shared" si="98"/>
        <v>3.9952157038778758E-4</v>
      </c>
      <c r="T159" s="230">
        <f t="shared" si="98"/>
        <v>4.4708185854309724E-4</v>
      </c>
      <c r="U159" s="230">
        <f t="shared" si="98"/>
        <v>4.946289197602996E-4</v>
      </c>
      <c r="V159" s="230">
        <f t="shared" si="98"/>
        <v>5.4149690131415984E-4</v>
      </c>
      <c r="W159" s="230">
        <f t="shared" si="98"/>
        <v>5.8697102695814312E-4</v>
      </c>
      <c r="X159" s="230">
        <f t="shared" si="98"/>
        <v>6.5434678743565399E-4</v>
      </c>
      <c r="Y159" s="230">
        <f t="shared" si="98"/>
        <v>7.1909384864430681E-4</v>
      </c>
      <c r="Z159" s="230">
        <f t="shared" si="98"/>
        <v>7.7321385049797437E-4</v>
      </c>
      <c r="AA159" s="230">
        <f t="shared" si="98"/>
        <v>8.208798762882575E-4</v>
      </c>
      <c r="AB159" s="230">
        <f t="shared" si="98"/>
        <v>8.6076057090262066E-4</v>
      </c>
      <c r="AC159" s="230">
        <f t="shared" si="98"/>
        <v>8.9151314112682087E-4</v>
      </c>
      <c r="AD159" s="230">
        <f t="shared" si="98"/>
        <v>9.117744562103365E-4</v>
      </c>
      <c r="AE159" s="230">
        <f t="shared" si="98"/>
        <v>9.2017612042475001E-4</v>
      </c>
      <c r="AF159" s="230">
        <f t="shared" si="98"/>
        <v>9.1535278243370824E-4</v>
      </c>
      <c r="AG159" s="230">
        <f t="shared" si="98"/>
        <v>8.959509897409195E-4</v>
      </c>
      <c r="AH159" s="245"/>
      <c r="AI159" s="133"/>
      <c r="AJ159" s="211"/>
      <c r="AL159" s="108"/>
      <c r="AM159" s="2"/>
      <c r="AN159" s="2"/>
      <c r="AO159" s="2"/>
      <c r="BC159" s="1"/>
      <c r="BD159" s="2"/>
      <c r="BE159" s="2"/>
      <c r="BF159" s="2"/>
      <c r="BG159" s="2"/>
      <c r="BH159" s="2"/>
      <c r="BI159" s="2"/>
      <c r="BJ159" s="2"/>
      <c r="BK159" s="2"/>
    </row>
    <row r="160" spans="1:63" outlineLevel="1" x14ac:dyDescent="0.2">
      <c r="A160" s="4" t="s">
        <v>1561</v>
      </c>
      <c r="C160" s="230">
        <f t="shared" ref="C160" si="99">C156-$C156</f>
        <v>0</v>
      </c>
      <c r="D160" s="230">
        <f t="shared" ref="D160:AG160" si="100">D156-$C156</f>
        <v>2.5679590270105018E-4</v>
      </c>
      <c r="E160" s="230">
        <f t="shared" si="100"/>
        <v>5.1901301645786093E-4</v>
      </c>
      <c r="F160" s="230">
        <f t="shared" si="100"/>
        <v>7.83936046948878E-4</v>
      </c>
      <c r="G160" s="230">
        <f t="shared" si="100"/>
        <v>1.048698436253048E-3</v>
      </c>
      <c r="H160" s="230">
        <f t="shared" si="100"/>
        <v>1.3103256560738081E-3</v>
      </c>
      <c r="I160" s="230">
        <f t="shared" si="100"/>
        <v>1.5711564697166714E-3</v>
      </c>
      <c r="J160" s="230">
        <f t="shared" si="100"/>
        <v>1.8297692924671607E-3</v>
      </c>
      <c r="K160" s="230">
        <f t="shared" si="100"/>
        <v>2.0846766023787143E-3</v>
      </c>
      <c r="L160" s="230">
        <f t="shared" si="100"/>
        <v>2.3343281763144267E-3</v>
      </c>
      <c r="M160" s="230">
        <f t="shared" si="100"/>
        <v>2.5771147215141134E-3</v>
      </c>
      <c r="N160" s="230">
        <f t="shared" si="100"/>
        <v>3.0816315941464669E-3</v>
      </c>
      <c r="O160" s="230">
        <f t="shared" si="100"/>
        <v>3.5645605841744714E-3</v>
      </c>
      <c r="P160" s="230">
        <f t="shared" si="100"/>
        <v>4.003604907343708E-3</v>
      </c>
      <c r="Q160" s="230">
        <f t="shared" si="100"/>
        <v>4.4073493089236285E-3</v>
      </c>
      <c r="R160" s="230">
        <f t="shared" si="100"/>
        <v>4.7710961595352199E-3</v>
      </c>
      <c r="S160" s="230">
        <f t="shared" si="100"/>
        <v>5.1013533506895073E-3</v>
      </c>
      <c r="T160" s="230">
        <f t="shared" si="100"/>
        <v>5.3957738999394185E-3</v>
      </c>
      <c r="U160" s="230">
        <f t="shared" si="100"/>
        <v>5.6520206939414137E-3</v>
      </c>
      <c r="V160" s="230">
        <f t="shared" si="100"/>
        <v>5.867770171167937E-3</v>
      </c>
      <c r="W160" s="230">
        <f t="shared" si="100"/>
        <v>6.0407160434331648E-3</v>
      </c>
      <c r="X160" s="230">
        <f t="shared" si="100"/>
        <v>6.4393617979417485E-3</v>
      </c>
      <c r="Y160" s="230">
        <f t="shared" si="100"/>
        <v>6.7675203824285445E-3</v>
      </c>
      <c r="Z160" s="230">
        <f t="shared" si="100"/>
        <v>6.9532309476528125E-3</v>
      </c>
      <c r="AA160" s="230">
        <f t="shared" si="100"/>
        <v>7.0562031033207734E-3</v>
      </c>
      <c r="AB160" s="230">
        <f t="shared" si="100"/>
        <v>7.0747661118642372E-3</v>
      </c>
      <c r="AC160" s="230">
        <f t="shared" si="100"/>
        <v>7.007609317288538E-3</v>
      </c>
      <c r="AD160" s="230">
        <f t="shared" si="100"/>
        <v>6.8536416549091865E-3</v>
      </c>
      <c r="AE160" s="230">
        <f t="shared" si="100"/>
        <v>6.6120795328400714E-3</v>
      </c>
      <c r="AF160" s="230">
        <f t="shared" si="100"/>
        <v>6.2824601574488197E-3</v>
      </c>
      <c r="AG160" s="230">
        <f t="shared" si="100"/>
        <v>5.8646546627015798E-3</v>
      </c>
      <c r="AH160" s="245"/>
      <c r="AI160" s="133"/>
      <c r="AJ160" s="211"/>
      <c r="AL160" s="108"/>
      <c r="AM160" s="2"/>
      <c r="AN160" s="2"/>
      <c r="AO160" s="2"/>
      <c r="BC160" s="1"/>
      <c r="BD160" s="2"/>
      <c r="BE160" s="2"/>
      <c r="BF160" s="2"/>
      <c r="BG160" s="2"/>
      <c r="BH160" s="2"/>
      <c r="BI160" s="2"/>
      <c r="BJ160" s="2"/>
      <c r="BK160" s="2"/>
    </row>
    <row r="161" spans="1:63" s="1" customFormat="1" outlineLevel="1" x14ac:dyDescent="0.2">
      <c r="A161" s="1" t="s">
        <v>1567</v>
      </c>
      <c r="B161" s="65"/>
      <c r="C161" s="300">
        <f>C43*C135</f>
        <v>2.7758341039319338E-3</v>
      </c>
      <c r="D161" s="300">
        <f t="shared" ref="D161:AG161" si="101">D43*D135</f>
        <v>3.5600551157659302E-3</v>
      </c>
      <c r="E161" s="300">
        <f t="shared" si="101"/>
        <v>4.366809369673561E-3</v>
      </c>
      <c r="F161" s="300">
        <f t="shared" si="101"/>
        <v>5.1881206756722561E-3</v>
      </c>
      <c r="G161" s="300">
        <f t="shared" si="101"/>
        <v>6.0154259588435033E-3</v>
      </c>
      <c r="H161" s="300">
        <f t="shared" si="101"/>
        <v>6.8396960841575526E-3</v>
      </c>
      <c r="I161" s="300">
        <f t="shared" si="101"/>
        <v>7.6680785997356084E-3</v>
      </c>
      <c r="J161" s="300">
        <f t="shared" si="101"/>
        <v>8.4962387860535032E-3</v>
      </c>
      <c r="K161" s="300">
        <f t="shared" si="101"/>
        <v>9.3195682303056741E-3</v>
      </c>
      <c r="L161" s="300">
        <f t="shared" si="101"/>
        <v>1.0133189376193372E-2</v>
      </c>
      <c r="M161" s="300">
        <f t="shared" si="101"/>
        <v>1.0931961418622675E-2</v>
      </c>
      <c r="N161" s="300">
        <f t="shared" si="101"/>
        <v>1.2557468918742655E-2</v>
      </c>
      <c r="O161" s="300">
        <f t="shared" si="101"/>
        <v>1.412829555717177E-2</v>
      </c>
      <c r="P161" s="300">
        <f t="shared" si="101"/>
        <v>1.5573320980998765E-2</v>
      </c>
      <c r="Q161" s="300">
        <f t="shared" si="101"/>
        <v>1.6918230208566264E-2</v>
      </c>
      <c r="R161" s="300">
        <f t="shared" si="101"/>
        <v>1.8146818803946869E-2</v>
      </c>
      <c r="S161" s="300">
        <f t="shared" si="101"/>
        <v>1.9278458867163801E-2</v>
      </c>
      <c r="T161" s="300">
        <f t="shared" si="101"/>
        <v>2.0304401379379462E-2</v>
      </c>
      <c r="U161" s="300">
        <f t="shared" si="101"/>
        <v>2.1215782945037058E-2</v>
      </c>
      <c r="V161" s="300">
        <f t="shared" si="101"/>
        <v>2.2003635321378209E-2</v>
      </c>
      <c r="W161" s="300">
        <f t="shared" si="101"/>
        <v>2.2658895315105839E-2</v>
      </c>
      <c r="X161" s="300">
        <f t="shared" si="101"/>
        <v>2.4056959860064116E-2</v>
      </c>
      <c r="Y161" s="300">
        <f t="shared" si="101"/>
        <v>2.5235676797150466E-2</v>
      </c>
      <c r="Z161" s="300">
        <f t="shared" si="101"/>
        <v>2.5955168498384265E-2</v>
      </c>
      <c r="AA161" s="300">
        <f t="shared" si="101"/>
        <v>2.6407083042759003E-2</v>
      </c>
      <c r="AB161" s="300">
        <f t="shared" si="101"/>
        <v>2.6582414152232479E-2</v>
      </c>
      <c r="AC161" s="300">
        <f t="shared" si="101"/>
        <v>2.6473201479177987E-2</v>
      </c>
      <c r="AD161" s="300">
        <f t="shared" si="101"/>
        <v>2.6072082437290471E-2</v>
      </c>
      <c r="AE161" s="300">
        <f t="shared" si="101"/>
        <v>2.5372601063726363E-2</v>
      </c>
      <c r="AF161" s="300">
        <f t="shared" si="101"/>
        <v>2.4369272923579485E-2</v>
      </c>
      <c r="AG161" s="300">
        <f t="shared" si="101"/>
        <v>2.3057651061259433E-2</v>
      </c>
      <c r="AH161" s="245"/>
      <c r="AI161" s="423"/>
      <c r="AJ161" s="424"/>
      <c r="AL161" s="221"/>
      <c r="AM161" s="124"/>
      <c r="AN161" s="124"/>
      <c r="AO161" s="124"/>
      <c r="BD161" s="124"/>
      <c r="BE161" s="124"/>
      <c r="BF161" s="124"/>
      <c r="BG161" s="124"/>
      <c r="BH161" s="124"/>
      <c r="BI161" s="124"/>
      <c r="BJ161" s="124"/>
      <c r="BK161" s="124"/>
    </row>
    <row r="162" spans="1:63" outlineLevel="1" x14ac:dyDescent="0.2">
      <c r="A162" s="4" t="s">
        <v>474</v>
      </c>
      <c r="C162" s="230">
        <f>C$161*'Methanol recycling rates'!E57</f>
        <v>0</v>
      </c>
      <c r="D162" s="230">
        <f>D$161*'Methanol recycling rates'!F57</f>
        <v>0</v>
      </c>
      <c r="E162" s="230">
        <f>E$161*'Methanol recycling rates'!G57</f>
        <v>0</v>
      </c>
      <c r="F162" s="230">
        <f>F$161*'Methanol recycling rates'!H57</f>
        <v>0</v>
      </c>
      <c r="G162" s="230">
        <f>G$161*'Methanol recycling rates'!I57</f>
        <v>0</v>
      </c>
      <c r="H162" s="230">
        <f>H$161*'Methanol recycling rates'!J57</f>
        <v>0</v>
      </c>
      <c r="I162" s="230">
        <f>I$161*'Methanol recycling rates'!K57</f>
        <v>0</v>
      </c>
      <c r="J162" s="230">
        <f>J$161*'Methanol recycling rates'!L57</f>
        <v>0</v>
      </c>
      <c r="K162" s="230">
        <f>K$161*'Methanol recycling rates'!M57</f>
        <v>0</v>
      </c>
      <c r="L162" s="230">
        <f>L$161*'Methanol recycling rates'!N57</f>
        <v>0</v>
      </c>
      <c r="M162" s="230">
        <f>M$161*'Methanol recycling rates'!O57</f>
        <v>0</v>
      </c>
      <c r="N162" s="230">
        <f>N$161*'Methanol recycling rates'!P57</f>
        <v>0</v>
      </c>
      <c r="O162" s="230">
        <f>O$161*'Methanol recycling rates'!Q57</f>
        <v>0</v>
      </c>
      <c r="P162" s="230">
        <f>P$161*'Methanol recycling rates'!R57</f>
        <v>0</v>
      </c>
      <c r="Q162" s="230">
        <f>Q$161*'Methanol recycling rates'!S57</f>
        <v>0</v>
      </c>
      <c r="R162" s="230">
        <f>R$161*'Methanol recycling rates'!T57</f>
        <v>0</v>
      </c>
      <c r="S162" s="230">
        <f>S$161*'Methanol recycling rates'!U57</f>
        <v>0</v>
      </c>
      <c r="T162" s="230">
        <f>T$161*'Methanol recycling rates'!V57</f>
        <v>0</v>
      </c>
      <c r="U162" s="230">
        <f>U$161*'Methanol recycling rates'!W57</f>
        <v>0</v>
      </c>
      <c r="V162" s="230">
        <f>V$161*'Methanol recycling rates'!X57</f>
        <v>0</v>
      </c>
      <c r="W162" s="230">
        <f>W$161*'Methanol recycling rates'!Y57</f>
        <v>0</v>
      </c>
      <c r="X162" s="230">
        <f>X$161*'Methanol recycling rates'!Z57</f>
        <v>0</v>
      </c>
      <c r="Y162" s="230">
        <f>Y$161*'Methanol recycling rates'!AA57</f>
        <v>0</v>
      </c>
      <c r="Z162" s="230">
        <f>Z$161*'Methanol recycling rates'!AB57</f>
        <v>0</v>
      </c>
      <c r="AA162" s="230">
        <f>AA$161*'Methanol recycling rates'!AC57</f>
        <v>0</v>
      </c>
      <c r="AB162" s="230">
        <f>AB$161*'Methanol recycling rates'!AD57</f>
        <v>0</v>
      </c>
      <c r="AC162" s="230">
        <f>AC$161*'Methanol recycling rates'!AE57</f>
        <v>0</v>
      </c>
      <c r="AD162" s="230">
        <f>AD$161*'Methanol recycling rates'!AF57</f>
        <v>0</v>
      </c>
      <c r="AE162" s="230">
        <f>AE$161*'Methanol recycling rates'!AG57</f>
        <v>0</v>
      </c>
      <c r="AF162" s="230">
        <f>AF$161*'Methanol recycling rates'!AH57</f>
        <v>0</v>
      </c>
      <c r="AG162" s="230">
        <f>AG$161*'Methanol recycling rates'!AI57</f>
        <v>0</v>
      </c>
      <c r="AH162" s="245"/>
      <c r="AI162" s="133"/>
      <c r="AJ162" s="211"/>
      <c r="AL162" s="108"/>
      <c r="AM162" s="2"/>
      <c r="AN162" s="2"/>
      <c r="AO162" s="2"/>
      <c r="BC162" s="1"/>
      <c r="BD162" s="2"/>
      <c r="BE162" s="2"/>
      <c r="BF162" s="2"/>
      <c r="BG162" s="2"/>
      <c r="BH162" s="2"/>
      <c r="BI162" s="2"/>
      <c r="BJ162" s="2"/>
      <c r="BK162" s="2"/>
    </row>
    <row r="163" spans="1:63" outlineLevel="1" x14ac:dyDescent="0.2">
      <c r="A163" s="4" t="s">
        <v>745</v>
      </c>
      <c r="C163" s="230">
        <f>C$161*'Methanol recycling rates'!E58</f>
        <v>0</v>
      </c>
      <c r="D163" s="230">
        <f>D$161*'Methanol recycling rates'!F58</f>
        <v>1.3833303730846241E-5</v>
      </c>
      <c r="E163" s="230">
        <f>E$161*'Methanol recycling rates'!G58</f>
        <v>3.3936216368045308E-5</v>
      </c>
      <c r="F163" s="230">
        <f>F$161*'Methanol recycling rates'!H58</f>
        <v>6.0478430893688663E-5</v>
      </c>
      <c r="G163" s="230">
        <f>G$161*'Methanol recycling rates'!I58</f>
        <v>9.3496546152427984E-5</v>
      </c>
      <c r="H163" s="230">
        <f>H$161*'Methanol recycling rates'!J58</f>
        <v>1.3288501200419613E-4</v>
      </c>
      <c r="I163" s="230">
        <f>I$161*'Methanol recycling rates'!K58</f>
        <v>1.7877508665366257E-4</v>
      </c>
      <c r="J163" s="230">
        <f>J$161*'Methanol recycling rates'!L58</f>
        <v>2.3109680472009131E-4</v>
      </c>
      <c r="K163" s="230">
        <f>K$161*'Methanol recycling rates'!M58</f>
        <v>2.8970431923760131E-4</v>
      </c>
      <c r="L163" s="230">
        <f>L$161*'Methanol recycling rates'!N58</f>
        <v>3.5437074331816408E-4</v>
      </c>
      <c r="M163" s="230">
        <f>M$161*'Methanol recycling rates'!O58</f>
        <v>4.247831501484066E-4</v>
      </c>
      <c r="N163" s="230">
        <f>N$161*'Methanol recycling rates'!P58</f>
        <v>5.3674003237132682E-4</v>
      </c>
      <c r="O163" s="230">
        <f>O$161*'Methanol recycling rates'!Q58</f>
        <v>6.5877970071642885E-4</v>
      </c>
      <c r="P163" s="230">
        <f>P$161*'Methanol recycling rates'!R58</f>
        <v>7.8667215503571623E-4</v>
      </c>
      <c r="Q163" s="230">
        <f>Q$161*'Methanol recycling rates'!S58</f>
        <v>9.2034817786345723E-4</v>
      </c>
      <c r="R163" s="230">
        <f>R$161*'Methanol recycling rates'!T58</f>
        <v>1.057696221409289E-3</v>
      </c>
      <c r="S163" s="230">
        <f>S$161*'Methanol recycling rates'!U58</f>
        <v>1.1985647111633626E-3</v>
      </c>
      <c r="T163" s="230">
        <f>T$161*'Methanol recycling rates'!V58</f>
        <v>1.3412455756292917E-3</v>
      </c>
      <c r="U163" s="230">
        <f>U$161*'Methanol recycling rates'!W58</f>
        <v>1.4838867592808988E-3</v>
      </c>
      <c r="V163" s="230">
        <f>V$161*'Methanol recycling rates'!X58</f>
        <v>1.6244907039424797E-3</v>
      </c>
      <c r="W163" s="230">
        <f>W$161*'Methanol recycling rates'!Y58</f>
        <v>1.7609130808744294E-3</v>
      </c>
      <c r="X163" s="230">
        <f>X$161*'Methanol recycling rates'!Z58</f>
        <v>1.9630403623069619E-3</v>
      </c>
      <c r="Y163" s="230">
        <f>Y$161*'Methanol recycling rates'!AA58</f>
        <v>2.1572815459329204E-3</v>
      </c>
      <c r="Z163" s="230">
        <f>Z$161*'Methanol recycling rates'!AB58</f>
        <v>2.3196415514939229E-3</v>
      </c>
      <c r="AA163" s="230">
        <f>AA$161*'Methanol recycling rates'!AC58</f>
        <v>2.4626396288647727E-3</v>
      </c>
      <c r="AB163" s="230">
        <f>AB$161*'Methanol recycling rates'!AD58</f>
        <v>2.582281712707862E-3</v>
      </c>
      <c r="AC163" s="230">
        <f>AC$161*'Methanol recycling rates'!AE58</f>
        <v>2.6745394233804631E-3</v>
      </c>
      <c r="AD163" s="230">
        <f>AD$161*'Methanol recycling rates'!AF58</f>
        <v>2.7353233686310094E-3</v>
      </c>
      <c r="AE163" s="230">
        <f>AE$161*'Methanol recycling rates'!AG58</f>
        <v>2.7605283612742496E-3</v>
      </c>
      <c r="AF163" s="230">
        <f>AF$161*'Methanol recycling rates'!AH58</f>
        <v>2.7460583473011245E-3</v>
      </c>
      <c r="AG163" s="230">
        <f>AG$161*'Methanol recycling rates'!AI58</f>
        <v>2.6878529692227586E-3</v>
      </c>
      <c r="AH163" s="245"/>
      <c r="AI163" s="133"/>
      <c r="AJ163" s="211"/>
      <c r="AL163" s="108"/>
      <c r="AM163" s="2"/>
      <c r="AN163" s="2"/>
      <c r="AO163" s="2"/>
      <c r="BC163" s="1"/>
      <c r="BD163" s="2"/>
      <c r="BE163" s="2"/>
      <c r="BF163" s="2"/>
      <c r="BG163" s="2"/>
      <c r="BH163" s="2"/>
      <c r="BI163" s="2"/>
      <c r="BJ163" s="2"/>
      <c r="BK163" s="2"/>
    </row>
    <row r="164" spans="1:63" outlineLevel="1" x14ac:dyDescent="0.2">
      <c r="A164" s="4" t="s">
        <v>1561</v>
      </c>
      <c r="C164" s="230">
        <f>C$161*'Methanol recycling rates'!E59</f>
        <v>2.7758341039319338E-3</v>
      </c>
      <c r="D164" s="230">
        <f>D$161*'Methanol recycling rates'!F59</f>
        <v>3.5462218120350841E-3</v>
      </c>
      <c r="E164" s="230">
        <f>E$161*'Methanol recycling rates'!G59</f>
        <v>4.332873153305516E-3</v>
      </c>
      <c r="F164" s="230">
        <f>F$161*'Methanol recycling rates'!H59</f>
        <v>5.127642244778568E-3</v>
      </c>
      <c r="G164" s="230">
        <f>G$161*'Methanol recycling rates'!I59</f>
        <v>5.921929412691076E-3</v>
      </c>
      <c r="H164" s="230">
        <f>H$161*'Methanol recycling rates'!J59</f>
        <v>6.706811072153358E-3</v>
      </c>
      <c r="I164" s="230">
        <f>I$161*'Methanol recycling rates'!K59</f>
        <v>7.4893035130819477E-3</v>
      </c>
      <c r="J164" s="230">
        <f>J$161*'Methanol recycling rates'!L59</f>
        <v>8.265141981333414E-3</v>
      </c>
      <c r="K164" s="230">
        <f>K$161*'Methanol recycling rates'!M59</f>
        <v>9.029863911068076E-3</v>
      </c>
      <c r="L164" s="230">
        <f>L$161*'Methanol recycling rates'!N59</f>
        <v>9.7788186328752122E-3</v>
      </c>
      <c r="M164" s="230">
        <f>M$161*'Methanol recycling rates'!O59</f>
        <v>1.0507178268474273E-2</v>
      </c>
      <c r="N164" s="230">
        <f>N$161*'Methanol recycling rates'!P59</f>
        <v>1.2020728886371335E-2</v>
      </c>
      <c r="O164" s="230">
        <f>O$161*'Methanol recycling rates'!Q59</f>
        <v>1.3469515856455349E-2</v>
      </c>
      <c r="P164" s="230">
        <f>P$161*'Methanol recycling rates'!R59</f>
        <v>1.4786648825963058E-2</v>
      </c>
      <c r="Q164" s="230">
        <f>Q$161*'Methanol recycling rates'!S59</f>
        <v>1.5997882030702817E-2</v>
      </c>
      <c r="R164" s="230">
        <f>R$161*'Methanol recycling rates'!T59</f>
        <v>1.7089122582537593E-2</v>
      </c>
      <c r="S164" s="230">
        <f>S$161*'Methanol recycling rates'!U59</f>
        <v>1.8079894156000451E-2</v>
      </c>
      <c r="T164" s="230">
        <f>T$161*'Methanol recycling rates'!V59</f>
        <v>1.8963155803750183E-2</v>
      </c>
      <c r="U164" s="230">
        <f>U$161*'Methanol recycling rates'!W59</f>
        <v>1.9731896185756177E-2</v>
      </c>
      <c r="V164" s="230">
        <f>V$161*'Methanol recycling rates'!X59</f>
        <v>2.0379144617435747E-2</v>
      </c>
      <c r="W164" s="230">
        <f>W$161*'Methanol recycling rates'!Y59</f>
        <v>2.0897982234231428E-2</v>
      </c>
      <c r="X164" s="230">
        <f>X$161*'Methanol recycling rates'!Z59</f>
        <v>2.2093919497757176E-2</v>
      </c>
      <c r="Y164" s="230">
        <f>Y$161*'Methanol recycling rates'!AA59</f>
        <v>2.3078395251217569E-2</v>
      </c>
      <c r="Z164" s="230">
        <f>Z$161*'Methanol recycling rates'!AB59</f>
        <v>2.3635526946890369E-2</v>
      </c>
      <c r="AA164" s="230">
        <f>AA$161*'Methanol recycling rates'!AC59</f>
        <v>2.3944443413894258E-2</v>
      </c>
      <c r="AB164" s="230">
        <f>AB$161*'Methanol recycling rates'!AD59</f>
        <v>2.4000132439524646E-2</v>
      </c>
      <c r="AC164" s="230">
        <f>AC$161*'Methanol recycling rates'!AE59</f>
        <v>2.3798662055797552E-2</v>
      </c>
      <c r="AD164" s="230">
        <f>AD$161*'Methanol recycling rates'!AF59</f>
        <v>2.3336759068659493E-2</v>
      </c>
      <c r="AE164" s="230">
        <f>AE$161*'Methanol recycling rates'!AG59</f>
        <v>2.2612072702452142E-2</v>
      </c>
      <c r="AF164" s="230">
        <f>AF$161*'Methanol recycling rates'!AH59</f>
        <v>2.1623214576278391E-2</v>
      </c>
      <c r="AG164" s="230">
        <f>AG$161*'Methanol recycling rates'!AI59</f>
        <v>2.0369798092036675E-2</v>
      </c>
      <c r="AH164" s="245"/>
      <c r="AI164" s="133"/>
      <c r="AJ164" s="211"/>
      <c r="AL164" s="108"/>
      <c r="AM164" s="2"/>
      <c r="AN164" s="2"/>
      <c r="AO164" s="2"/>
      <c r="BC164" s="1"/>
      <c r="BD164" s="2"/>
      <c r="BE164" s="2"/>
      <c r="BF164" s="2"/>
      <c r="BG164" s="2"/>
      <c r="BH164" s="2"/>
      <c r="BI164" s="2"/>
      <c r="BJ164" s="2"/>
      <c r="BK164" s="2"/>
    </row>
    <row r="165" spans="1:63" s="1" customFormat="1" outlineLevel="1" x14ac:dyDescent="0.2">
      <c r="A165" s="1" t="s">
        <v>1568</v>
      </c>
      <c r="B165" s="65"/>
      <c r="C165" s="300">
        <f>C161-$C161</f>
        <v>0</v>
      </c>
      <c r="D165" s="300">
        <f t="shared" ref="D165:AG165" si="102">D161-$C161</f>
        <v>7.8422101183399633E-4</v>
      </c>
      <c r="E165" s="300">
        <f t="shared" si="102"/>
        <v>1.5909752657416272E-3</v>
      </c>
      <c r="F165" s="300">
        <f t="shared" si="102"/>
        <v>2.4122865717403222E-3</v>
      </c>
      <c r="G165" s="300">
        <f t="shared" si="102"/>
        <v>3.2395918549115695E-3</v>
      </c>
      <c r="H165" s="300">
        <f t="shared" si="102"/>
        <v>4.0638619802256188E-3</v>
      </c>
      <c r="I165" s="300">
        <f t="shared" si="102"/>
        <v>4.8922444958036746E-3</v>
      </c>
      <c r="J165" s="300">
        <f t="shared" si="102"/>
        <v>5.7204046821215694E-3</v>
      </c>
      <c r="K165" s="300">
        <f t="shared" si="102"/>
        <v>6.5437341263737403E-3</v>
      </c>
      <c r="L165" s="300">
        <f t="shared" si="102"/>
        <v>7.3573552722614385E-3</v>
      </c>
      <c r="M165" s="300">
        <f t="shared" si="102"/>
        <v>8.1561273146907413E-3</v>
      </c>
      <c r="N165" s="300">
        <f t="shared" si="102"/>
        <v>9.7816348148107215E-3</v>
      </c>
      <c r="O165" s="300">
        <f t="shared" si="102"/>
        <v>1.1352461453239836E-2</v>
      </c>
      <c r="P165" s="300">
        <f t="shared" si="102"/>
        <v>1.2797486877066831E-2</v>
      </c>
      <c r="Q165" s="300">
        <f t="shared" si="102"/>
        <v>1.4142396104634331E-2</v>
      </c>
      <c r="R165" s="300">
        <f t="shared" si="102"/>
        <v>1.5370984700014936E-2</v>
      </c>
      <c r="S165" s="300">
        <f t="shared" si="102"/>
        <v>1.6502624763231867E-2</v>
      </c>
      <c r="T165" s="300">
        <f t="shared" si="102"/>
        <v>1.7528567275447528E-2</v>
      </c>
      <c r="U165" s="300">
        <f t="shared" si="102"/>
        <v>1.8439948841105124E-2</v>
      </c>
      <c r="V165" s="300">
        <f t="shared" si="102"/>
        <v>1.9227801217446275E-2</v>
      </c>
      <c r="W165" s="300">
        <f t="shared" si="102"/>
        <v>1.9883061211173905E-2</v>
      </c>
      <c r="X165" s="300">
        <f t="shared" si="102"/>
        <v>2.1281125756132183E-2</v>
      </c>
      <c r="Y165" s="300">
        <f t="shared" si="102"/>
        <v>2.2459842693218532E-2</v>
      </c>
      <c r="Z165" s="300">
        <f t="shared" si="102"/>
        <v>2.3179334394452331E-2</v>
      </c>
      <c r="AA165" s="300">
        <f t="shared" si="102"/>
        <v>2.3631248938827069E-2</v>
      </c>
      <c r="AB165" s="300">
        <f t="shared" si="102"/>
        <v>2.3806580048300545E-2</v>
      </c>
      <c r="AC165" s="300">
        <f t="shared" si="102"/>
        <v>2.3697367375246053E-2</v>
      </c>
      <c r="AD165" s="300">
        <f t="shared" si="102"/>
        <v>2.3296248333358537E-2</v>
      </c>
      <c r="AE165" s="300">
        <f t="shared" si="102"/>
        <v>2.2596766959794429E-2</v>
      </c>
      <c r="AF165" s="300">
        <f t="shared" si="102"/>
        <v>2.1593438819647551E-2</v>
      </c>
      <c r="AG165" s="300">
        <f t="shared" si="102"/>
        <v>2.02818169573275E-2</v>
      </c>
      <c r="AH165" s="245"/>
      <c r="AI165" s="423"/>
      <c r="AJ165" s="424"/>
      <c r="AL165" s="221"/>
      <c r="AM165" s="124"/>
      <c r="AN165" s="124"/>
      <c r="AO165" s="124"/>
      <c r="BD165" s="124"/>
      <c r="BE165" s="124"/>
      <c r="BF165" s="124"/>
      <c r="BG165" s="124"/>
      <c r="BH165" s="124"/>
      <c r="BI165" s="124"/>
      <c r="BJ165" s="124"/>
      <c r="BK165" s="124"/>
    </row>
    <row r="166" spans="1:63" outlineLevel="1" x14ac:dyDescent="0.2">
      <c r="A166" s="4" t="s">
        <v>474</v>
      </c>
      <c r="C166" s="230">
        <f t="shared" ref="C166" si="103">C162-$C162</f>
        <v>0</v>
      </c>
      <c r="D166" s="230">
        <f t="shared" ref="D166:AG166" si="104">D162-$C162</f>
        <v>0</v>
      </c>
      <c r="E166" s="230">
        <f t="shared" si="104"/>
        <v>0</v>
      </c>
      <c r="F166" s="230">
        <f t="shared" si="104"/>
        <v>0</v>
      </c>
      <c r="G166" s="230">
        <f t="shared" si="104"/>
        <v>0</v>
      </c>
      <c r="H166" s="230">
        <f t="shared" si="104"/>
        <v>0</v>
      </c>
      <c r="I166" s="230">
        <f t="shared" si="104"/>
        <v>0</v>
      </c>
      <c r="J166" s="230">
        <f t="shared" si="104"/>
        <v>0</v>
      </c>
      <c r="K166" s="230">
        <f t="shared" si="104"/>
        <v>0</v>
      </c>
      <c r="L166" s="230">
        <f t="shared" si="104"/>
        <v>0</v>
      </c>
      <c r="M166" s="230">
        <f t="shared" si="104"/>
        <v>0</v>
      </c>
      <c r="N166" s="230">
        <f t="shared" si="104"/>
        <v>0</v>
      </c>
      <c r="O166" s="230">
        <f t="shared" si="104"/>
        <v>0</v>
      </c>
      <c r="P166" s="230">
        <f t="shared" si="104"/>
        <v>0</v>
      </c>
      <c r="Q166" s="230">
        <f t="shared" si="104"/>
        <v>0</v>
      </c>
      <c r="R166" s="230">
        <f t="shared" si="104"/>
        <v>0</v>
      </c>
      <c r="S166" s="230">
        <f t="shared" si="104"/>
        <v>0</v>
      </c>
      <c r="T166" s="230">
        <f t="shared" si="104"/>
        <v>0</v>
      </c>
      <c r="U166" s="230">
        <f t="shared" si="104"/>
        <v>0</v>
      </c>
      <c r="V166" s="230">
        <f t="shared" si="104"/>
        <v>0</v>
      </c>
      <c r="W166" s="230">
        <f t="shared" si="104"/>
        <v>0</v>
      </c>
      <c r="X166" s="230">
        <f t="shared" si="104"/>
        <v>0</v>
      </c>
      <c r="Y166" s="230">
        <f t="shared" si="104"/>
        <v>0</v>
      </c>
      <c r="Z166" s="230">
        <f t="shared" si="104"/>
        <v>0</v>
      </c>
      <c r="AA166" s="230">
        <f t="shared" si="104"/>
        <v>0</v>
      </c>
      <c r="AB166" s="230">
        <f t="shared" si="104"/>
        <v>0</v>
      </c>
      <c r="AC166" s="230">
        <f t="shared" si="104"/>
        <v>0</v>
      </c>
      <c r="AD166" s="230">
        <f t="shared" si="104"/>
        <v>0</v>
      </c>
      <c r="AE166" s="230">
        <f t="shared" si="104"/>
        <v>0</v>
      </c>
      <c r="AF166" s="230">
        <f t="shared" si="104"/>
        <v>0</v>
      </c>
      <c r="AG166" s="230">
        <f t="shared" si="104"/>
        <v>0</v>
      </c>
      <c r="AH166" s="245"/>
      <c r="AI166" s="133"/>
      <c r="AJ166" s="211"/>
      <c r="AL166" s="108"/>
      <c r="AM166" s="2"/>
      <c r="AN166" s="2"/>
      <c r="AO166" s="2"/>
      <c r="BC166" s="1"/>
      <c r="BD166" s="2"/>
      <c r="BE166" s="2"/>
      <c r="BF166" s="2"/>
      <c r="BG166" s="2"/>
      <c r="BH166" s="2"/>
      <c r="BI166" s="2"/>
      <c r="BJ166" s="2"/>
      <c r="BK166" s="2"/>
    </row>
    <row r="167" spans="1:63" outlineLevel="1" x14ac:dyDescent="0.2">
      <c r="A167" s="4" t="s">
        <v>745</v>
      </c>
      <c r="C167" s="230">
        <f t="shared" ref="C167" si="105">C163-$C163</f>
        <v>0</v>
      </c>
      <c r="D167" s="230">
        <f t="shared" ref="D167:AG167" si="106">D163-$C163</f>
        <v>1.3833303730846241E-5</v>
      </c>
      <c r="E167" s="230">
        <f t="shared" si="106"/>
        <v>3.3936216368045308E-5</v>
      </c>
      <c r="F167" s="230">
        <f t="shared" si="106"/>
        <v>6.0478430893688663E-5</v>
      </c>
      <c r="G167" s="230">
        <f t="shared" si="106"/>
        <v>9.3496546152427984E-5</v>
      </c>
      <c r="H167" s="230">
        <f t="shared" si="106"/>
        <v>1.3288501200419613E-4</v>
      </c>
      <c r="I167" s="230">
        <f t="shared" si="106"/>
        <v>1.7877508665366257E-4</v>
      </c>
      <c r="J167" s="230">
        <f t="shared" si="106"/>
        <v>2.3109680472009131E-4</v>
      </c>
      <c r="K167" s="230">
        <f t="shared" si="106"/>
        <v>2.8970431923760131E-4</v>
      </c>
      <c r="L167" s="230">
        <f t="shared" si="106"/>
        <v>3.5437074331816408E-4</v>
      </c>
      <c r="M167" s="230">
        <f t="shared" si="106"/>
        <v>4.247831501484066E-4</v>
      </c>
      <c r="N167" s="230">
        <f t="shared" si="106"/>
        <v>5.3674003237132682E-4</v>
      </c>
      <c r="O167" s="230">
        <f t="shared" si="106"/>
        <v>6.5877970071642885E-4</v>
      </c>
      <c r="P167" s="230">
        <f t="shared" si="106"/>
        <v>7.8667215503571623E-4</v>
      </c>
      <c r="Q167" s="230">
        <f t="shared" si="106"/>
        <v>9.2034817786345723E-4</v>
      </c>
      <c r="R167" s="230">
        <f t="shared" si="106"/>
        <v>1.057696221409289E-3</v>
      </c>
      <c r="S167" s="230">
        <f t="shared" si="106"/>
        <v>1.1985647111633626E-3</v>
      </c>
      <c r="T167" s="230">
        <f t="shared" si="106"/>
        <v>1.3412455756292917E-3</v>
      </c>
      <c r="U167" s="230">
        <f t="shared" si="106"/>
        <v>1.4838867592808988E-3</v>
      </c>
      <c r="V167" s="230">
        <f t="shared" si="106"/>
        <v>1.6244907039424797E-3</v>
      </c>
      <c r="W167" s="230">
        <f t="shared" si="106"/>
        <v>1.7609130808744294E-3</v>
      </c>
      <c r="X167" s="230">
        <f t="shared" si="106"/>
        <v>1.9630403623069619E-3</v>
      </c>
      <c r="Y167" s="230">
        <f t="shared" si="106"/>
        <v>2.1572815459329204E-3</v>
      </c>
      <c r="Z167" s="230">
        <f t="shared" si="106"/>
        <v>2.3196415514939229E-3</v>
      </c>
      <c r="AA167" s="230">
        <f t="shared" si="106"/>
        <v>2.4626396288647727E-3</v>
      </c>
      <c r="AB167" s="230">
        <f t="shared" si="106"/>
        <v>2.582281712707862E-3</v>
      </c>
      <c r="AC167" s="230">
        <f t="shared" si="106"/>
        <v>2.6745394233804631E-3</v>
      </c>
      <c r="AD167" s="230">
        <f t="shared" si="106"/>
        <v>2.7353233686310094E-3</v>
      </c>
      <c r="AE167" s="230">
        <f t="shared" si="106"/>
        <v>2.7605283612742496E-3</v>
      </c>
      <c r="AF167" s="230">
        <f t="shared" si="106"/>
        <v>2.7460583473011245E-3</v>
      </c>
      <c r="AG167" s="230">
        <f t="shared" si="106"/>
        <v>2.6878529692227586E-3</v>
      </c>
      <c r="AH167" s="245"/>
      <c r="AI167" s="133"/>
      <c r="AJ167" s="211"/>
      <c r="AL167" s="108"/>
      <c r="AM167" s="2"/>
      <c r="AN167" s="2"/>
      <c r="AO167" s="2"/>
      <c r="BC167" s="1"/>
      <c r="BD167" s="2"/>
      <c r="BE167" s="2"/>
      <c r="BF167" s="2"/>
      <c r="BG167" s="2"/>
      <c r="BH167" s="2"/>
      <c r="BI167" s="2"/>
      <c r="BJ167" s="2"/>
      <c r="BK167" s="2"/>
    </row>
    <row r="168" spans="1:63" outlineLevel="1" x14ac:dyDescent="0.2">
      <c r="A168" s="4" t="s">
        <v>1561</v>
      </c>
      <c r="C168" s="230">
        <f t="shared" ref="C168" si="107">C164-$C164</f>
        <v>0</v>
      </c>
      <c r="D168" s="230">
        <f t="shared" ref="D168:AG168" si="108">D164-$C164</f>
        <v>7.7038770810315032E-4</v>
      </c>
      <c r="E168" s="230">
        <f t="shared" si="108"/>
        <v>1.5570390493735821E-3</v>
      </c>
      <c r="F168" s="230">
        <f t="shared" si="108"/>
        <v>2.3518081408466342E-3</v>
      </c>
      <c r="G168" s="230">
        <f t="shared" si="108"/>
        <v>3.1460953087591422E-3</v>
      </c>
      <c r="H168" s="230">
        <f t="shared" si="108"/>
        <v>3.9309769682214241E-3</v>
      </c>
      <c r="I168" s="230">
        <f t="shared" si="108"/>
        <v>4.7134694091500139E-3</v>
      </c>
      <c r="J168" s="230">
        <f t="shared" si="108"/>
        <v>5.4893078774014802E-3</v>
      </c>
      <c r="K168" s="230">
        <f t="shared" si="108"/>
        <v>6.2540298071361421E-3</v>
      </c>
      <c r="L168" s="230">
        <f t="shared" si="108"/>
        <v>7.0029845289432784E-3</v>
      </c>
      <c r="M168" s="230">
        <f t="shared" si="108"/>
        <v>7.7313441645423392E-3</v>
      </c>
      <c r="N168" s="230">
        <f t="shared" si="108"/>
        <v>9.2448947824394015E-3</v>
      </c>
      <c r="O168" s="230">
        <f t="shared" si="108"/>
        <v>1.0693681752523415E-2</v>
      </c>
      <c r="P168" s="230">
        <f t="shared" si="108"/>
        <v>1.2010814722031124E-2</v>
      </c>
      <c r="Q168" s="230">
        <f t="shared" si="108"/>
        <v>1.3222047926770883E-2</v>
      </c>
      <c r="R168" s="230">
        <f t="shared" si="108"/>
        <v>1.4313288478605659E-2</v>
      </c>
      <c r="S168" s="230">
        <f t="shared" si="108"/>
        <v>1.5304060052068517E-2</v>
      </c>
      <c r="T168" s="230">
        <f t="shared" si="108"/>
        <v>1.618732169981825E-2</v>
      </c>
      <c r="U168" s="230">
        <f t="shared" si="108"/>
        <v>1.6956062081824243E-2</v>
      </c>
      <c r="V168" s="230">
        <f t="shared" si="108"/>
        <v>1.7603310513503813E-2</v>
      </c>
      <c r="W168" s="230">
        <f t="shared" si="108"/>
        <v>1.8122148130299495E-2</v>
      </c>
      <c r="X168" s="230">
        <f t="shared" si="108"/>
        <v>1.9318085393825242E-2</v>
      </c>
      <c r="Y168" s="230">
        <f t="shared" si="108"/>
        <v>2.0302561147285635E-2</v>
      </c>
      <c r="Z168" s="230">
        <f t="shared" si="108"/>
        <v>2.0859692842958435E-2</v>
      </c>
      <c r="AA168" s="230">
        <f t="shared" si="108"/>
        <v>2.1168609309962325E-2</v>
      </c>
      <c r="AB168" s="230">
        <f t="shared" si="108"/>
        <v>2.1224298335592712E-2</v>
      </c>
      <c r="AC168" s="230">
        <f t="shared" si="108"/>
        <v>2.1022827951865618E-2</v>
      </c>
      <c r="AD168" s="230">
        <f t="shared" si="108"/>
        <v>2.056092496472756E-2</v>
      </c>
      <c r="AE168" s="230">
        <f t="shared" si="108"/>
        <v>1.9836238598520208E-2</v>
      </c>
      <c r="AF168" s="230">
        <f t="shared" si="108"/>
        <v>1.8847380472346457E-2</v>
      </c>
      <c r="AG168" s="230">
        <f t="shared" si="108"/>
        <v>1.7593963988104741E-2</v>
      </c>
      <c r="AH168" s="245"/>
      <c r="AI168" s="133"/>
      <c r="AJ168" s="211"/>
      <c r="AL168" s="108"/>
      <c r="AM168" s="2"/>
      <c r="AN168" s="2"/>
      <c r="AO168" s="2"/>
      <c r="BC168" s="1"/>
      <c r="BD168" s="2"/>
      <c r="BE168" s="2"/>
      <c r="BF168" s="2"/>
      <c r="BG168" s="2"/>
      <c r="BH168" s="2"/>
      <c r="BI168" s="2"/>
      <c r="BJ168" s="2"/>
      <c r="BK168" s="2"/>
    </row>
    <row r="169" spans="1:63" outlineLevel="1" x14ac:dyDescent="0.2">
      <c r="C169" s="110"/>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c r="AD169" s="23"/>
      <c r="AE169" s="23"/>
      <c r="AF169" s="23"/>
      <c r="AG169" s="23"/>
      <c r="AJ169" s="211"/>
      <c r="AM169" s="123"/>
      <c r="AN169" s="123"/>
    </row>
    <row r="170" spans="1:63" s="200" customFormat="1" ht="16" thickBot="1" x14ac:dyDescent="0.25">
      <c r="A170" s="200" t="s">
        <v>1339</v>
      </c>
      <c r="B170" s="215"/>
      <c r="C170" s="224">
        <f>C171</f>
        <v>0.13</v>
      </c>
      <c r="D170" s="224">
        <f t="shared" ref="D170:AG170" si="109">D171</f>
        <v>0.13557711853523402</v>
      </c>
      <c r="E170" s="224">
        <f t="shared" si="109"/>
        <v>0.14115423707046801</v>
      </c>
      <c r="F170" s="224">
        <f t="shared" si="109"/>
        <v>0.14673135560570202</v>
      </c>
      <c r="G170" s="224">
        <f t="shared" si="109"/>
        <v>0.15230847414093604</v>
      </c>
      <c r="H170" s="224">
        <f t="shared" si="109"/>
        <v>0.15788559267617003</v>
      </c>
      <c r="I170" s="224">
        <f t="shared" si="109"/>
        <v>0.16346271121140404</v>
      </c>
      <c r="J170" s="224">
        <f t="shared" si="109"/>
        <v>0.16903982974663806</v>
      </c>
      <c r="K170" s="224">
        <f t="shared" si="109"/>
        <v>0.17461694828187208</v>
      </c>
      <c r="L170" s="224">
        <f t="shared" si="109"/>
        <v>0.18019406681710606</v>
      </c>
      <c r="M170" s="224">
        <f t="shared" si="109"/>
        <v>0.18577118535234008</v>
      </c>
      <c r="N170" s="224">
        <f t="shared" si="109"/>
        <v>0.19752603518814099</v>
      </c>
      <c r="O170" s="224">
        <f t="shared" si="109"/>
        <v>0.20928088502394188</v>
      </c>
      <c r="P170" s="224">
        <f t="shared" si="109"/>
        <v>0.22103573485974279</v>
      </c>
      <c r="Q170" s="224">
        <f t="shared" si="109"/>
        <v>0.2327905846955437</v>
      </c>
      <c r="R170" s="224">
        <f t="shared" si="109"/>
        <v>0.24454543453134459</v>
      </c>
      <c r="S170" s="224">
        <f t="shared" si="109"/>
        <v>0.25630028436714547</v>
      </c>
      <c r="T170" s="224">
        <f t="shared" si="109"/>
        <v>0.26805513420294641</v>
      </c>
      <c r="U170" s="224">
        <f t="shared" si="109"/>
        <v>0.27980998403874729</v>
      </c>
      <c r="V170" s="224">
        <f t="shared" si="109"/>
        <v>0.29156483387454823</v>
      </c>
      <c r="W170" s="224">
        <f t="shared" si="109"/>
        <v>0.30331968371034912</v>
      </c>
      <c r="X170" s="224">
        <f t="shared" si="109"/>
        <v>0.3229877153393142</v>
      </c>
      <c r="Y170" s="224">
        <f t="shared" si="109"/>
        <v>0.34265574696827927</v>
      </c>
      <c r="Z170" s="224">
        <f t="shared" si="109"/>
        <v>0.36232377859724441</v>
      </c>
      <c r="AA170" s="224">
        <f t="shared" si="109"/>
        <v>0.38199181022620948</v>
      </c>
      <c r="AB170" s="224">
        <f t="shared" si="109"/>
        <v>0.40165984185517456</v>
      </c>
      <c r="AC170" s="224">
        <f t="shared" si="109"/>
        <v>0.42132787348413964</v>
      </c>
      <c r="AD170" s="224">
        <f t="shared" si="109"/>
        <v>0.44099590511310471</v>
      </c>
      <c r="AE170" s="224">
        <f t="shared" si="109"/>
        <v>0.46066393674206985</v>
      </c>
      <c r="AF170" s="224">
        <f t="shared" si="109"/>
        <v>0.48033196837103487</v>
      </c>
      <c r="AG170" s="224">
        <f t="shared" si="109"/>
        <v>0.5</v>
      </c>
      <c r="AJ170" s="231" t="s">
        <v>1340</v>
      </c>
      <c r="AL170" s="217"/>
      <c r="AM170" s="225"/>
      <c r="AN170" s="225"/>
      <c r="AO170" s="225"/>
    </row>
    <row r="171" spans="1:63" ht="16" outlineLevel="1" thickTop="1" x14ac:dyDescent="0.2">
      <c r="A171" t="s">
        <v>1341</v>
      </c>
      <c r="B171" s="54" t="s">
        <v>462</v>
      </c>
      <c r="C171" s="214">
        <v>0.13</v>
      </c>
      <c r="D171" s="110">
        <f>$C171+($M171-$C171)/10*(D$1-$C$1)</f>
        <v>0.13557711853523402</v>
      </c>
      <c r="E171" s="110">
        <f t="shared" ref="E171:L171" si="110">$C171+($M171-$C171)/10*(E$1-$C$1)</f>
        <v>0.14115423707046801</v>
      </c>
      <c r="F171" s="110">
        <f t="shared" si="110"/>
        <v>0.14673135560570202</v>
      </c>
      <c r="G171" s="110">
        <f t="shared" si="110"/>
        <v>0.15230847414093604</v>
      </c>
      <c r="H171" s="110">
        <f t="shared" si="110"/>
        <v>0.15788559267617003</v>
      </c>
      <c r="I171" s="110">
        <f t="shared" si="110"/>
        <v>0.16346271121140404</v>
      </c>
      <c r="J171" s="110">
        <f t="shared" si="110"/>
        <v>0.16903982974663806</v>
      </c>
      <c r="K171" s="110">
        <f t="shared" si="110"/>
        <v>0.17461694828187208</v>
      </c>
      <c r="L171" s="110">
        <f t="shared" si="110"/>
        <v>0.18019406681710606</v>
      </c>
      <c r="M171" s="121">
        <f>(M$52-$C$52)/($AG$52-$C$52)*($AG171-$C171)+$C171</f>
        <v>0.18577118535234008</v>
      </c>
      <c r="N171" s="121">
        <f>$M171+($W171-$M171)/10*(N$1-$M$1)</f>
        <v>0.19752603518814099</v>
      </c>
      <c r="O171" s="121">
        <f t="shared" ref="O171:U171" si="111">$M171+($W171-$M171)/10*(O$1-$M$1)</f>
        <v>0.20928088502394188</v>
      </c>
      <c r="P171" s="121">
        <f t="shared" si="111"/>
        <v>0.22103573485974279</v>
      </c>
      <c r="Q171" s="121">
        <f t="shared" si="111"/>
        <v>0.2327905846955437</v>
      </c>
      <c r="R171" s="121">
        <f t="shared" si="111"/>
        <v>0.24454543453134459</v>
      </c>
      <c r="S171" s="121">
        <f t="shared" si="111"/>
        <v>0.25630028436714547</v>
      </c>
      <c r="T171" s="121">
        <f t="shared" si="111"/>
        <v>0.26805513420294641</v>
      </c>
      <c r="U171" s="121">
        <f t="shared" si="111"/>
        <v>0.27980998403874729</v>
      </c>
      <c r="V171" s="121">
        <f>$M171+($W171-$M171)/10*(V$1-$M$1)</f>
        <v>0.29156483387454823</v>
      </c>
      <c r="W171" s="121">
        <f>(W$52-$C$52)/($AG$52-$C$52)*($AG171-$C171)+$C171</f>
        <v>0.30331968371034912</v>
      </c>
      <c r="X171" s="110">
        <f>$W171+($AG171-$W171)/10*(X$1-$W$1)</f>
        <v>0.3229877153393142</v>
      </c>
      <c r="Y171" s="110">
        <f t="shared" ref="Y171:AF171" si="112">$W171+($AG171-$W171)/10*(Y$1-$W$1)</f>
        <v>0.34265574696827927</v>
      </c>
      <c r="Z171" s="110">
        <f t="shared" si="112"/>
        <v>0.36232377859724441</v>
      </c>
      <c r="AA171" s="110">
        <f t="shared" si="112"/>
        <v>0.38199181022620948</v>
      </c>
      <c r="AB171" s="110">
        <f t="shared" si="112"/>
        <v>0.40165984185517456</v>
      </c>
      <c r="AC171" s="110">
        <f t="shared" si="112"/>
        <v>0.42132787348413964</v>
      </c>
      <c r="AD171" s="110">
        <f t="shared" si="112"/>
        <v>0.44099590511310471</v>
      </c>
      <c r="AE171" s="110">
        <f t="shared" si="112"/>
        <v>0.46066393674206985</v>
      </c>
      <c r="AF171" s="110">
        <f t="shared" si="112"/>
        <v>0.48033196837103487</v>
      </c>
      <c r="AG171" s="214">
        <v>0.5</v>
      </c>
      <c r="AJ171" s="211" t="s">
        <v>1342</v>
      </c>
    </row>
    <row r="172" spans="1:63" outlineLevel="1" x14ac:dyDescent="0.2">
      <c r="A172" t="s">
        <v>1453</v>
      </c>
      <c r="B172" s="54" t="s">
        <v>462</v>
      </c>
      <c r="C172" s="214">
        <v>0.05</v>
      </c>
      <c r="D172" s="110">
        <f t="shared" ref="D172:AF172" si="113">C172-($C$172-$AG$172)/($AG$1-$C$1)</f>
        <v>5.8333333333333334E-2</v>
      </c>
      <c r="E172" s="110">
        <f t="shared" si="113"/>
        <v>6.6666666666666666E-2</v>
      </c>
      <c r="F172" s="110">
        <f t="shared" si="113"/>
        <v>7.4999999999999997E-2</v>
      </c>
      <c r="G172" s="110">
        <f t="shared" si="113"/>
        <v>8.3333333333333329E-2</v>
      </c>
      <c r="H172" s="110">
        <f t="shared" si="113"/>
        <v>9.166666666666666E-2</v>
      </c>
      <c r="I172" s="110">
        <f t="shared" si="113"/>
        <v>9.9999999999999992E-2</v>
      </c>
      <c r="J172" s="110">
        <f t="shared" si="113"/>
        <v>0.10833333333333332</v>
      </c>
      <c r="K172" s="110">
        <f t="shared" si="113"/>
        <v>0.11666666666666665</v>
      </c>
      <c r="L172" s="110">
        <f t="shared" si="113"/>
        <v>0.12499999999999999</v>
      </c>
      <c r="M172" s="110">
        <f t="shared" si="113"/>
        <v>0.13333333333333333</v>
      </c>
      <c r="N172" s="110">
        <f t="shared" si="113"/>
        <v>0.14166666666666666</v>
      </c>
      <c r="O172" s="110">
        <f t="shared" si="113"/>
        <v>0.15</v>
      </c>
      <c r="P172" s="110">
        <f t="shared" si="113"/>
        <v>0.15833333333333333</v>
      </c>
      <c r="Q172" s="110">
        <f t="shared" si="113"/>
        <v>0.16666666666666666</v>
      </c>
      <c r="R172" s="110">
        <f t="shared" si="113"/>
        <v>0.17499999999999999</v>
      </c>
      <c r="S172" s="110">
        <f t="shared" si="113"/>
        <v>0.18333333333333332</v>
      </c>
      <c r="T172" s="110">
        <f t="shared" si="113"/>
        <v>0.19166666666666665</v>
      </c>
      <c r="U172" s="110">
        <f t="shared" si="113"/>
        <v>0.19999999999999998</v>
      </c>
      <c r="V172" s="110">
        <f t="shared" si="113"/>
        <v>0.20833333333333331</v>
      </c>
      <c r="W172" s="110">
        <f t="shared" si="113"/>
        <v>0.21666666666666665</v>
      </c>
      <c r="X172" s="110">
        <f t="shared" si="113"/>
        <v>0.22499999999999998</v>
      </c>
      <c r="Y172" s="110">
        <f t="shared" si="113"/>
        <v>0.23333333333333331</v>
      </c>
      <c r="Z172" s="110">
        <f t="shared" si="113"/>
        <v>0.24166666666666664</v>
      </c>
      <c r="AA172" s="110">
        <f t="shared" si="113"/>
        <v>0.24999999999999997</v>
      </c>
      <c r="AB172" s="110">
        <f t="shared" si="113"/>
        <v>0.2583333333333333</v>
      </c>
      <c r="AC172" s="110">
        <f t="shared" si="113"/>
        <v>0.26666666666666666</v>
      </c>
      <c r="AD172" s="110">
        <f t="shared" si="113"/>
        <v>0.27500000000000002</v>
      </c>
      <c r="AE172" s="110">
        <f t="shared" si="113"/>
        <v>0.28333333333333338</v>
      </c>
      <c r="AF172" s="110">
        <f t="shared" si="113"/>
        <v>0.29166666666666674</v>
      </c>
      <c r="AG172" s="214">
        <v>0.3</v>
      </c>
      <c r="AI172" s="135"/>
      <c r="AJ172" s="211" t="s">
        <v>1454</v>
      </c>
      <c r="AM172" s="123"/>
      <c r="AN172" s="123"/>
    </row>
    <row r="173" spans="1:63" ht="14.5" customHeight="1" outlineLevel="1" x14ac:dyDescent="0.2">
      <c r="A173" t="s">
        <v>1455</v>
      </c>
      <c r="B173" s="176" t="s">
        <v>462</v>
      </c>
      <c r="C173" s="110">
        <f>1-C172</f>
        <v>0.95</v>
      </c>
      <c r="D173" s="110">
        <f t="shared" ref="D173:AG173" si="114">1-D172</f>
        <v>0.94166666666666665</v>
      </c>
      <c r="E173" s="110">
        <f t="shared" si="114"/>
        <v>0.93333333333333335</v>
      </c>
      <c r="F173" s="110">
        <f t="shared" si="114"/>
        <v>0.92500000000000004</v>
      </c>
      <c r="G173" s="110">
        <f t="shared" si="114"/>
        <v>0.91666666666666663</v>
      </c>
      <c r="H173" s="110">
        <f t="shared" si="114"/>
        <v>0.90833333333333333</v>
      </c>
      <c r="I173" s="110">
        <f t="shared" si="114"/>
        <v>0.9</v>
      </c>
      <c r="J173" s="110">
        <f t="shared" si="114"/>
        <v>0.89166666666666672</v>
      </c>
      <c r="K173" s="110">
        <f t="shared" si="114"/>
        <v>0.8833333333333333</v>
      </c>
      <c r="L173" s="110">
        <f t="shared" si="114"/>
        <v>0.875</v>
      </c>
      <c r="M173" s="110">
        <f t="shared" si="114"/>
        <v>0.8666666666666667</v>
      </c>
      <c r="N173" s="110">
        <f t="shared" si="114"/>
        <v>0.85833333333333339</v>
      </c>
      <c r="O173" s="110">
        <f t="shared" si="114"/>
        <v>0.85</v>
      </c>
      <c r="P173" s="110">
        <f t="shared" si="114"/>
        <v>0.84166666666666667</v>
      </c>
      <c r="Q173" s="110">
        <f t="shared" si="114"/>
        <v>0.83333333333333337</v>
      </c>
      <c r="R173" s="110">
        <f t="shared" si="114"/>
        <v>0.82499999999999996</v>
      </c>
      <c r="S173" s="110">
        <f t="shared" si="114"/>
        <v>0.81666666666666665</v>
      </c>
      <c r="T173" s="110">
        <f t="shared" si="114"/>
        <v>0.80833333333333335</v>
      </c>
      <c r="U173" s="110">
        <f t="shared" si="114"/>
        <v>0.8</v>
      </c>
      <c r="V173" s="110">
        <f t="shared" si="114"/>
        <v>0.79166666666666674</v>
      </c>
      <c r="W173" s="110">
        <f t="shared" si="114"/>
        <v>0.78333333333333333</v>
      </c>
      <c r="X173" s="110">
        <f t="shared" si="114"/>
        <v>0.77500000000000002</v>
      </c>
      <c r="Y173" s="110">
        <f t="shared" si="114"/>
        <v>0.76666666666666672</v>
      </c>
      <c r="Z173" s="110">
        <f t="shared" si="114"/>
        <v>0.7583333333333333</v>
      </c>
      <c r="AA173" s="110">
        <f t="shared" si="114"/>
        <v>0.75</v>
      </c>
      <c r="AB173" s="110">
        <f t="shared" si="114"/>
        <v>0.7416666666666667</v>
      </c>
      <c r="AC173" s="110">
        <f t="shared" si="114"/>
        <v>0.73333333333333339</v>
      </c>
      <c r="AD173" s="110">
        <f t="shared" si="114"/>
        <v>0.72499999999999998</v>
      </c>
      <c r="AE173" s="110">
        <f t="shared" si="114"/>
        <v>0.71666666666666656</v>
      </c>
      <c r="AF173" s="110">
        <f t="shared" si="114"/>
        <v>0.70833333333333326</v>
      </c>
      <c r="AG173" s="110">
        <f t="shared" si="114"/>
        <v>0.7</v>
      </c>
      <c r="AI173" s="135" t="s">
        <v>1456</v>
      </c>
      <c r="AJ173" s="211"/>
    </row>
    <row r="174" spans="1:63" outlineLevel="1" x14ac:dyDescent="0.2">
      <c r="A174" t="s">
        <v>1343</v>
      </c>
      <c r="B174" s="54" t="s">
        <v>462</v>
      </c>
      <c r="C174" s="110">
        <f>C171*C172</f>
        <v>6.5000000000000006E-3</v>
      </c>
      <c r="D174" s="110">
        <f t="shared" ref="D174:AG174" si="115">D171*D172</f>
        <v>7.9086652478886511E-3</v>
      </c>
      <c r="E174" s="110">
        <f t="shared" si="115"/>
        <v>9.4102824713645332E-3</v>
      </c>
      <c r="F174" s="110">
        <f t="shared" si="115"/>
        <v>1.1004851670427652E-2</v>
      </c>
      <c r="G174" s="110">
        <f t="shared" si="115"/>
        <v>1.2692372845078003E-2</v>
      </c>
      <c r="H174" s="110">
        <f t="shared" si="115"/>
        <v>1.4472845995315585E-2</v>
      </c>
      <c r="I174" s="110">
        <f t="shared" si="115"/>
        <v>1.6346271121140402E-2</v>
      </c>
      <c r="J174" s="110">
        <f t="shared" si="115"/>
        <v>1.8312648222552456E-2</v>
      </c>
      <c r="K174" s="110">
        <f t="shared" si="115"/>
        <v>2.037197729955174E-2</v>
      </c>
      <c r="L174" s="110">
        <f t="shared" si="115"/>
        <v>2.2524258352138254E-2</v>
      </c>
      <c r="M174" s="110">
        <f t="shared" si="115"/>
        <v>2.4769491380312009E-2</v>
      </c>
      <c r="N174" s="110">
        <f t="shared" si="115"/>
        <v>2.7982854984986639E-2</v>
      </c>
      <c r="O174" s="110">
        <f t="shared" si="115"/>
        <v>3.1392132753591283E-2</v>
      </c>
      <c r="P174" s="110">
        <f t="shared" si="115"/>
        <v>3.4997324686125937E-2</v>
      </c>
      <c r="Q174" s="110">
        <f t="shared" si="115"/>
        <v>3.8798430782590612E-2</v>
      </c>
      <c r="R174" s="110">
        <f t="shared" si="115"/>
        <v>4.2795451042985301E-2</v>
      </c>
      <c r="S174" s="110">
        <f t="shared" si="115"/>
        <v>4.6988385467309997E-2</v>
      </c>
      <c r="T174" s="110">
        <f t="shared" si="115"/>
        <v>5.1377234055564727E-2</v>
      </c>
      <c r="U174" s="110">
        <f t="shared" si="115"/>
        <v>5.5961996807749458E-2</v>
      </c>
      <c r="V174" s="110">
        <f t="shared" si="115"/>
        <v>6.0742673723864209E-2</v>
      </c>
      <c r="W174" s="110">
        <f t="shared" si="115"/>
        <v>6.5719264803908967E-2</v>
      </c>
      <c r="X174" s="110">
        <f t="shared" si="115"/>
        <v>7.2672235951345684E-2</v>
      </c>
      <c r="Y174" s="110">
        <f t="shared" si="115"/>
        <v>7.9953007625931827E-2</v>
      </c>
      <c r="Z174" s="110">
        <f t="shared" si="115"/>
        <v>8.7561579827667393E-2</v>
      </c>
      <c r="AA174" s="110">
        <f t="shared" si="115"/>
        <v>9.5497952556552357E-2</v>
      </c>
      <c r="AB174" s="110">
        <f t="shared" si="115"/>
        <v>0.10376212581258674</v>
      </c>
      <c r="AC174" s="110">
        <f t="shared" si="115"/>
        <v>0.11235409959577057</v>
      </c>
      <c r="AD174" s="110">
        <f t="shared" si="115"/>
        <v>0.12127387390610381</v>
      </c>
      <c r="AE174" s="110">
        <f t="shared" si="115"/>
        <v>0.13052144874358648</v>
      </c>
      <c r="AF174" s="110">
        <f t="shared" si="115"/>
        <v>0.14009682410821853</v>
      </c>
      <c r="AG174" s="110">
        <f t="shared" si="115"/>
        <v>0.15</v>
      </c>
      <c r="AI174" s="134"/>
      <c r="AJ174" s="211"/>
      <c r="BD174" s="203"/>
      <c r="BE174" s="203"/>
    </row>
    <row r="175" spans="1:63" outlineLevel="1" x14ac:dyDescent="0.2">
      <c r="A175" t="s">
        <v>1344</v>
      </c>
      <c r="B175" s="54" t="s">
        <v>462</v>
      </c>
      <c r="C175" s="110">
        <f>C171*C173</f>
        <v>0.1235</v>
      </c>
      <c r="D175" s="110">
        <f t="shared" ref="D175:AG175" si="116">D171*D173</f>
        <v>0.12766845328734536</v>
      </c>
      <c r="E175" s="110">
        <f t="shared" si="116"/>
        <v>0.13174395459910349</v>
      </c>
      <c r="F175" s="110">
        <f t="shared" si="116"/>
        <v>0.13572650393527438</v>
      </c>
      <c r="G175" s="110">
        <f t="shared" si="116"/>
        <v>0.13961610129585802</v>
      </c>
      <c r="H175" s="110">
        <f t="shared" si="116"/>
        <v>0.14341274668085444</v>
      </c>
      <c r="I175" s="110">
        <f t="shared" si="116"/>
        <v>0.14711644009026364</v>
      </c>
      <c r="J175" s="110">
        <f t="shared" si="116"/>
        <v>0.15072718152408562</v>
      </c>
      <c r="K175" s="110">
        <f t="shared" si="116"/>
        <v>0.15424497098232032</v>
      </c>
      <c r="L175" s="110">
        <f t="shared" si="116"/>
        <v>0.15766980846496781</v>
      </c>
      <c r="M175" s="110">
        <f t="shared" si="116"/>
        <v>0.16100169397202807</v>
      </c>
      <c r="N175" s="110">
        <f t="shared" si="116"/>
        <v>0.16954318020315437</v>
      </c>
      <c r="O175" s="110">
        <f t="shared" si="116"/>
        <v>0.17788875227035059</v>
      </c>
      <c r="P175" s="110">
        <f t="shared" si="116"/>
        <v>0.18603841017361686</v>
      </c>
      <c r="Q175" s="110">
        <f t="shared" si="116"/>
        <v>0.1939921539129531</v>
      </c>
      <c r="R175" s="110">
        <f t="shared" si="116"/>
        <v>0.20174998348835926</v>
      </c>
      <c r="S175" s="110">
        <f t="shared" si="116"/>
        <v>0.20931189889983545</v>
      </c>
      <c r="T175" s="110">
        <f t="shared" si="116"/>
        <v>0.2166779001473817</v>
      </c>
      <c r="U175" s="110">
        <f t="shared" si="116"/>
        <v>0.22384798723099786</v>
      </c>
      <c r="V175" s="110">
        <f t="shared" si="116"/>
        <v>0.23082216015068405</v>
      </c>
      <c r="W175" s="110">
        <f t="shared" si="116"/>
        <v>0.23760041890644015</v>
      </c>
      <c r="X175" s="110">
        <f t="shared" si="116"/>
        <v>0.2503154793879685</v>
      </c>
      <c r="Y175" s="110">
        <f t="shared" si="116"/>
        <v>0.26270273934234745</v>
      </c>
      <c r="Z175" s="110">
        <f t="shared" si="116"/>
        <v>0.27476219876957697</v>
      </c>
      <c r="AA175" s="110">
        <f t="shared" si="116"/>
        <v>0.28649385766965713</v>
      </c>
      <c r="AB175" s="110">
        <f t="shared" si="116"/>
        <v>0.2978977160425878</v>
      </c>
      <c r="AC175" s="110">
        <f t="shared" si="116"/>
        <v>0.30897377388836911</v>
      </c>
      <c r="AD175" s="110">
        <f t="shared" si="116"/>
        <v>0.31972203120700093</v>
      </c>
      <c r="AE175" s="110">
        <f t="shared" si="116"/>
        <v>0.33014248799848334</v>
      </c>
      <c r="AF175" s="110">
        <f t="shared" si="116"/>
        <v>0.34023514426281631</v>
      </c>
      <c r="AG175" s="110">
        <f t="shared" si="116"/>
        <v>0.35</v>
      </c>
      <c r="AI175" s="134"/>
      <c r="AJ175" s="211"/>
      <c r="BD175" s="203"/>
      <c r="BE175" s="203"/>
    </row>
    <row r="176" spans="1:63" outlineLevel="1" x14ac:dyDescent="0.2">
      <c r="C176" s="110"/>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c r="AD176" s="23"/>
      <c r="AE176" s="23"/>
      <c r="AF176" s="23"/>
      <c r="AG176" s="23"/>
      <c r="AJ176" s="211"/>
    </row>
    <row r="177" spans="1:63" outlineLevel="1" x14ac:dyDescent="0.2">
      <c r="A177" t="s">
        <v>1441</v>
      </c>
      <c r="B177" s="54" t="s">
        <v>462</v>
      </c>
      <c r="C177" s="106">
        <v>0.5</v>
      </c>
      <c r="D177" s="110">
        <f>C177</f>
        <v>0.5</v>
      </c>
      <c r="E177" s="110">
        <f t="shared" ref="E177:AG177" si="117">D177</f>
        <v>0.5</v>
      </c>
      <c r="F177" s="110">
        <f t="shared" si="117"/>
        <v>0.5</v>
      </c>
      <c r="G177" s="110">
        <f t="shared" si="117"/>
        <v>0.5</v>
      </c>
      <c r="H177" s="110">
        <f t="shared" si="117"/>
        <v>0.5</v>
      </c>
      <c r="I177" s="110">
        <f t="shared" si="117"/>
        <v>0.5</v>
      </c>
      <c r="J177" s="110">
        <f t="shared" si="117"/>
        <v>0.5</v>
      </c>
      <c r="K177" s="110">
        <f t="shared" si="117"/>
        <v>0.5</v>
      </c>
      <c r="L177" s="110">
        <f t="shared" si="117"/>
        <v>0.5</v>
      </c>
      <c r="M177" s="110">
        <f t="shared" si="117"/>
        <v>0.5</v>
      </c>
      <c r="N177" s="110">
        <f t="shared" si="117"/>
        <v>0.5</v>
      </c>
      <c r="O177" s="110">
        <f t="shared" si="117"/>
        <v>0.5</v>
      </c>
      <c r="P177" s="110">
        <f t="shared" si="117"/>
        <v>0.5</v>
      </c>
      <c r="Q177" s="110">
        <f t="shared" si="117"/>
        <v>0.5</v>
      </c>
      <c r="R177" s="110">
        <f t="shared" si="117"/>
        <v>0.5</v>
      </c>
      <c r="S177" s="110">
        <f t="shared" si="117"/>
        <v>0.5</v>
      </c>
      <c r="T177" s="110">
        <f t="shared" si="117"/>
        <v>0.5</v>
      </c>
      <c r="U177" s="110">
        <f t="shared" si="117"/>
        <v>0.5</v>
      </c>
      <c r="V177" s="110">
        <f t="shared" si="117"/>
        <v>0.5</v>
      </c>
      <c r="W177" s="110">
        <f t="shared" si="117"/>
        <v>0.5</v>
      </c>
      <c r="X177" s="110">
        <f t="shared" si="117"/>
        <v>0.5</v>
      </c>
      <c r="Y177" s="110">
        <f t="shared" si="117"/>
        <v>0.5</v>
      </c>
      <c r="Z177" s="110">
        <f t="shared" si="117"/>
        <v>0.5</v>
      </c>
      <c r="AA177" s="110">
        <f t="shared" si="117"/>
        <v>0.5</v>
      </c>
      <c r="AB177" s="110">
        <f t="shared" si="117"/>
        <v>0.5</v>
      </c>
      <c r="AC177" s="110">
        <f t="shared" si="117"/>
        <v>0.5</v>
      </c>
      <c r="AD177" s="110">
        <f t="shared" si="117"/>
        <v>0.5</v>
      </c>
      <c r="AE177" s="110">
        <f t="shared" si="117"/>
        <v>0.5</v>
      </c>
      <c r="AF177" s="110">
        <f t="shared" si="117"/>
        <v>0.5</v>
      </c>
      <c r="AG177" s="110">
        <f t="shared" si="117"/>
        <v>0.5</v>
      </c>
      <c r="AI177" s="54"/>
      <c r="AJ177" s="211" t="s">
        <v>1457</v>
      </c>
    </row>
    <row r="178" spans="1:63" outlineLevel="1" x14ac:dyDescent="0.2">
      <c r="A178" t="s">
        <v>1445</v>
      </c>
      <c r="B178" s="54" t="s">
        <v>462</v>
      </c>
      <c r="C178" s="121">
        <f>1-C177</f>
        <v>0.5</v>
      </c>
      <c r="D178" s="110">
        <f t="shared" ref="D178:AG178" si="118">C178</f>
        <v>0.5</v>
      </c>
      <c r="E178" s="110">
        <f t="shared" si="118"/>
        <v>0.5</v>
      </c>
      <c r="F178" s="110">
        <f t="shared" si="118"/>
        <v>0.5</v>
      </c>
      <c r="G178" s="110">
        <f t="shared" si="118"/>
        <v>0.5</v>
      </c>
      <c r="H178" s="110">
        <f t="shared" si="118"/>
        <v>0.5</v>
      </c>
      <c r="I178" s="110">
        <f t="shared" si="118"/>
        <v>0.5</v>
      </c>
      <c r="J178" s="110">
        <f t="shared" si="118"/>
        <v>0.5</v>
      </c>
      <c r="K178" s="110">
        <f t="shared" si="118"/>
        <v>0.5</v>
      </c>
      <c r="L178" s="110">
        <f t="shared" si="118"/>
        <v>0.5</v>
      </c>
      <c r="M178" s="110">
        <f t="shared" si="118"/>
        <v>0.5</v>
      </c>
      <c r="N178" s="110">
        <f t="shared" si="118"/>
        <v>0.5</v>
      </c>
      <c r="O178" s="110">
        <f t="shared" si="118"/>
        <v>0.5</v>
      </c>
      <c r="P178" s="110">
        <f t="shared" si="118"/>
        <v>0.5</v>
      </c>
      <c r="Q178" s="110">
        <f t="shared" si="118"/>
        <v>0.5</v>
      </c>
      <c r="R178" s="110">
        <f t="shared" si="118"/>
        <v>0.5</v>
      </c>
      <c r="S178" s="110">
        <f t="shared" si="118"/>
        <v>0.5</v>
      </c>
      <c r="T178" s="110">
        <f t="shared" si="118"/>
        <v>0.5</v>
      </c>
      <c r="U178" s="110">
        <f t="shared" si="118"/>
        <v>0.5</v>
      </c>
      <c r="V178" s="110">
        <f t="shared" si="118"/>
        <v>0.5</v>
      </c>
      <c r="W178" s="110">
        <f t="shared" si="118"/>
        <v>0.5</v>
      </c>
      <c r="X178" s="110">
        <f t="shared" si="118"/>
        <v>0.5</v>
      </c>
      <c r="Y178" s="110">
        <f t="shared" si="118"/>
        <v>0.5</v>
      </c>
      <c r="Z178" s="110">
        <f t="shared" si="118"/>
        <v>0.5</v>
      </c>
      <c r="AA178" s="110">
        <f t="shared" si="118"/>
        <v>0.5</v>
      </c>
      <c r="AB178" s="110">
        <f t="shared" si="118"/>
        <v>0.5</v>
      </c>
      <c r="AC178" s="110">
        <f t="shared" si="118"/>
        <v>0.5</v>
      </c>
      <c r="AD178" s="110">
        <f t="shared" si="118"/>
        <v>0.5</v>
      </c>
      <c r="AE178" s="110">
        <f t="shared" si="118"/>
        <v>0.5</v>
      </c>
      <c r="AF178" s="110">
        <f t="shared" si="118"/>
        <v>0.5</v>
      </c>
      <c r="AG178" s="110">
        <f t="shared" si="118"/>
        <v>0.5</v>
      </c>
      <c r="AJ178" s="223"/>
    </row>
    <row r="179" spans="1:63" outlineLevel="1" x14ac:dyDescent="0.2">
      <c r="A179" t="s">
        <v>1268</v>
      </c>
      <c r="B179" s="54" t="s">
        <v>462</v>
      </c>
      <c r="C179" s="110">
        <f t="shared" ref="C179:AG179" si="119">SUM(C177:C178)</f>
        <v>1</v>
      </c>
      <c r="D179" s="110">
        <f t="shared" si="119"/>
        <v>1</v>
      </c>
      <c r="E179" s="110">
        <f t="shared" si="119"/>
        <v>1</v>
      </c>
      <c r="F179" s="110">
        <f t="shared" si="119"/>
        <v>1</v>
      </c>
      <c r="G179" s="110">
        <f t="shared" si="119"/>
        <v>1</v>
      </c>
      <c r="H179" s="110">
        <f t="shared" si="119"/>
        <v>1</v>
      </c>
      <c r="I179" s="110">
        <f t="shared" si="119"/>
        <v>1</v>
      </c>
      <c r="J179" s="110">
        <f t="shared" si="119"/>
        <v>1</v>
      </c>
      <c r="K179" s="110">
        <f t="shared" si="119"/>
        <v>1</v>
      </c>
      <c r="L179" s="110">
        <f t="shared" si="119"/>
        <v>1</v>
      </c>
      <c r="M179" s="110">
        <f t="shared" si="119"/>
        <v>1</v>
      </c>
      <c r="N179" s="110">
        <f t="shared" si="119"/>
        <v>1</v>
      </c>
      <c r="O179" s="110">
        <f t="shared" si="119"/>
        <v>1</v>
      </c>
      <c r="P179" s="110">
        <f t="shared" si="119"/>
        <v>1</v>
      </c>
      <c r="Q179" s="110">
        <f t="shared" si="119"/>
        <v>1</v>
      </c>
      <c r="R179" s="110">
        <f t="shared" si="119"/>
        <v>1</v>
      </c>
      <c r="S179" s="110">
        <f t="shared" si="119"/>
        <v>1</v>
      </c>
      <c r="T179" s="110">
        <f t="shared" si="119"/>
        <v>1</v>
      </c>
      <c r="U179" s="110">
        <f t="shared" si="119"/>
        <v>1</v>
      </c>
      <c r="V179" s="110">
        <f t="shared" si="119"/>
        <v>1</v>
      </c>
      <c r="W179" s="110">
        <f t="shared" si="119"/>
        <v>1</v>
      </c>
      <c r="X179" s="110">
        <f t="shared" si="119"/>
        <v>1</v>
      </c>
      <c r="Y179" s="110">
        <f t="shared" si="119"/>
        <v>1</v>
      </c>
      <c r="Z179" s="110">
        <f t="shared" si="119"/>
        <v>1</v>
      </c>
      <c r="AA179" s="110">
        <f t="shared" si="119"/>
        <v>1</v>
      </c>
      <c r="AB179" s="110">
        <f t="shared" si="119"/>
        <v>1</v>
      </c>
      <c r="AC179" s="110">
        <f t="shared" si="119"/>
        <v>1</v>
      </c>
      <c r="AD179" s="110">
        <f t="shared" si="119"/>
        <v>1</v>
      </c>
      <c r="AE179" s="110">
        <f t="shared" si="119"/>
        <v>1</v>
      </c>
      <c r="AF179" s="110">
        <f t="shared" si="119"/>
        <v>1</v>
      </c>
      <c r="AG179" s="110">
        <f t="shared" si="119"/>
        <v>1</v>
      </c>
      <c r="AH179" s="131"/>
      <c r="AI179" s="54"/>
      <c r="AJ179" s="223"/>
    </row>
    <row r="180" spans="1:63" outlineLevel="1" x14ac:dyDescent="0.2">
      <c r="C180" s="214"/>
      <c r="D180" s="110"/>
      <c r="E180" s="110"/>
      <c r="F180" s="110"/>
      <c r="G180" s="110"/>
      <c r="H180" s="110"/>
      <c r="I180" s="110"/>
      <c r="J180" s="110"/>
      <c r="K180" s="110"/>
      <c r="L180" s="110"/>
      <c r="M180" s="110"/>
      <c r="N180" s="110"/>
      <c r="O180" s="110"/>
      <c r="P180" s="110"/>
      <c r="Q180" s="110"/>
      <c r="R180" s="110"/>
      <c r="S180" s="110"/>
      <c r="T180" s="110"/>
      <c r="U180" s="110"/>
      <c r="V180" s="110"/>
      <c r="W180" s="110"/>
      <c r="X180" s="110"/>
      <c r="Y180" s="110"/>
      <c r="Z180" s="110"/>
      <c r="AA180" s="110"/>
      <c r="AB180" s="110"/>
      <c r="AC180" s="110"/>
      <c r="AD180" s="110"/>
      <c r="AE180" s="110"/>
      <c r="AF180" s="110"/>
      <c r="AG180" s="110"/>
      <c r="AH180" s="131"/>
      <c r="AI180" s="131"/>
      <c r="AJ180" s="223"/>
    </row>
    <row r="181" spans="1:63" outlineLevel="1" x14ac:dyDescent="0.2">
      <c r="A181" t="s">
        <v>1345</v>
      </c>
      <c r="B181" s="54" t="s">
        <v>462</v>
      </c>
      <c r="C181" s="110">
        <f>C177*C175</f>
        <v>6.1749999999999999E-2</v>
      </c>
      <c r="D181" s="110">
        <f t="shared" ref="D181:AG181" si="120">D177*D175</f>
        <v>6.3834226643672679E-2</v>
      </c>
      <c r="E181" s="110">
        <f t="shared" si="120"/>
        <v>6.5871977299551743E-2</v>
      </c>
      <c r="F181" s="110">
        <f t="shared" si="120"/>
        <v>6.7863251967637192E-2</v>
      </c>
      <c r="G181" s="110">
        <f t="shared" si="120"/>
        <v>6.9808050647929012E-2</v>
      </c>
      <c r="H181" s="110">
        <f t="shared" si="120"/>
        <v>7.1706373340427218E-2</v>
      </c>
      <c r="I181" s="110">
        <f t="shared" si="120"/>
        <v>7.3558220045131822E-2</v>
      </c>
      <c r="J181" s="110">
        <f t="shared" si="120"/>
        <v>7.5363590762042812E-2</v>
      </c>
      <c r="K181" s="110">
        <f t="shared" si="120"/>
        <v>7.7122485491160159E-2</v>
      </c>
      <c r="L181" s="110">
        <f t="shared" si="120"/>
        <v>7.8834904232483904E-2</v>
      </c>
      <c r="M181" s="110">
        <f t="shared" si="120"/>
        <v>8.0500846986014035E-2</v>
      </c>
      <c r="N181" s="110">
        <f t="shared" si="120"/>
        <v>8.4771590101577185E-2</v>
      </c>
      <c r="O181" s="110">
        <f t="shared" si="120"/>
        <v>8.8944376135175293E-2</v>
      </c>
      <c r="P181" s="110">
        <f t="shared" si="120"/>
        <v>9.3019205086808429E-2</v>
      </c>
      <c r="Q181" s="110">
        <f t="shared" si="120"/>
        <v>9.6996076956476551E-2</v>
      </c>
      <c r="R181" s="110">
        <f t="shared" si="120"/>
        <v>0.10087499174417963</v>
      </c>
      <c r="S181" s="110">
        <f t="shared" si="120"/>
        <v>0.10465594944991773</v>
      </c>
      <c r="T181" s="110">
        <f t="shared" si="120"/>
        <v>0.10833895007369085</v>
      </c>
      <c r="U181" s="110">
        <f t="shared" si="120"/>
        <v>0.11192399361549893</v>
      </c>
      <c r="V181" s="110">
        <f t="shared" si="120"/>
        <v>0.11541108007534202</v>
      </c>
      <c r="W181" s="110">
        <f t="shared" si="120"/>
        <v>0.11880020945322008</v>
      </c>
      <c r="X181" s="110">
        <f t="shared" si="120"/>
        <v>0.12515773969398425</v>
      </c>
      <c r="Y181" s="110">
        <f t="shared" si="120"/>
        <v>0.13135136967117372</v>
      </c>
      <c r="Z181" s="110">
        <f t="shared" si="120"/>
        <v>0.13738109938478849</v>
      </c>
      <c r="AA181" s="110">
        <f t="shared" si="120"/>
        <v>0.14324692883482856</v>
      </c>
      <c r="AB181" s="110">
        <f t="shared" si="120"/>
        <v>0.1489488580212939</v>
      </c>
      <c r="AC181" s="110">
        <f t="shared" si="120"/>
        <v>0.15448688694418455</v>
      </c>
      <c r="AD181" s="110">
        <f t="shared" si="120"/>
        <v>0.15986101560350047</v>
      </c>
      <c r="AE181" s="110">
        <f t="shared" si="120"/>
        <v>0.16507124399924167</v>
      </c>
      <c r="AF181" s="110">
        <f t="shared" si="120"/>
        <v>0.17011757213140816</v>
      </c>
      <c r="AG181" s="110">
        <f t="shared" si="120"/>
        <v>0.17499999999999999</v>
      </c>
      <c r="AH181" s="131"/>
      <c r="AI181" s="131"/>
      <c r="AJ181" s="211"/>
    </row>
    <row r="182" spans="1:63" outlineLevel="1" x14ac:dyDescent="0.2">
      <c r="A182" t="s">
        <v>1346</v>
      </c>
      <c r="B182" s="54" t="s">
        <v>462</v>
      </c>
      <c r="C182" s="110">
        <f>C175*C178</f>
        <v>6.1749999999999999E-2</v>
      </c>
      <c r="D182" s="110">
        <f t="shared" ref="D182:AG182" si="121">D175*D178</f>
        <v>6.3834226643672679E-2</v>
      </c>
      <c r="E182" s="110">
        <f t="shared" si="121"/>
        <v>6.5871977299551743E-2</v>
      </c>
      <c r="F182" s="110">
        <f t="shared" si="121"/>
        <v>6.7863251967637192E-2</v>
      </c>
      <c r="G182" s="110">
        <f t="shared" si="121"/>
        <v>6.9808050647929012E-2</v>
      </c>
      <c r="H182" s="110">
        <f t="shared" si="121"/>
        <v>7.1706373340427218E-2</v>
      </c>
      <c r="I182" s="110">
        <f t="shared" si="121"/>
        <v>7.3558220045131822E-2</v>
      </c>
      <c r="J182" s="110">
        <f t="shared" si="121"/>
        <v>7.5363590762042812E-2</v>
      </c>
      <c r="K182" s="110">
        <f t="shared" si="121"/>
        <v>7.7122485491160159E-2</v>
      </c>
      <c r="L182" s="110">
        <f t="shared" si="121"/>
        <v>7.8834904232483904E-2</v>
      </c>
      <c r="M182" s="110">
        <f t="shared" si="121"/>
        <v>8.0500846986014035E-2</v>
      </c>
      <c r="N182" s="110">
        <f t="shared" si="121"/>
        <v>8.4771590101577185E-2</v>
      </c>
      <c r="O182" s="110">
        <f t="shared" si="121"/>
        <v>8.8944376135175293E-2</v>
      </c>
      <c r="P182" s="110">
        <f t="shared" si="121"/>
        <v>9.3019205086808429E-2</v>
      </c>
      <c r="Q182" s="110">
        <f t="shared" si="121"/>
        <v>9.6996076956476551E-2</v>
      </c>
      <c r="R182" s="110">
        <f t="shared" si="121"/>
        <v>0.10087499174417963</v>
      </c>
      <c r="S182" s="110">
        <f t="shared" si="121"/>
        <v>0.10465594944991773</v>
      </c>
      <c r="T182" s="110">
        <f t="shared" si="121"/>
        <v>0.10833895007369085</v>
      </c>
      <c r="U182" s="110">
        <f t="shared" si="121"/>
        <v>0.11192399361549893</v>
      </c>
      <c r="V182" s="110">
        <f t="shared" si="121"/>
        <v>0.11541108007534202</v>
      </c>
      <c r="W182" s="110">
        <f t="shared" si="121"/>
        <v>0.11880020945322008</v>
      </c>
      <c r="X182" s="110">
        <f t="shared" si="121"/>
        <v>0.12515773969398425</v>
      </c>
      <c r="Y182" s="110">
        <f t="shared" si="121"/>
        <v>0.13135136967117372</v>
      </c>
      <c r="Z182" s="110">
        <f t="shared" si="121"/>
        <v>0.13738109938478849</v>
      </c>
      <c r="AA182" s="110">
        <f t="shared" si="121"/>
        <v>0.14324692883482856</v>
      </c>
      <c r="AB182" s="110">
        <f t="shared" si="121"/>
        <v>0.1489488580212939</v>
      </c>
      <c r="AC182" s="110">
        <f t="shared" si="121"/>
        <v>0.15448688694418455</v>
      </c>
      <c r="AD182" s="110">
        <f t="shared" si="121"/>
        <v>0.15986101560350047</v>
      </c>
      <c r="AE182" s="110">
        <f t="shared" si="121"/>
        <v>0.16507124399924167</v>
      </c>
      <c r="AF182" s="110">
        <f t="shared" si="121"/>
        <v>0.17011757213140816</v>
      </c>
      <c r="AG182" s="110">
        <f t="shared" si="121"/>
        <v>0.17499999999999999</v>
      </c>
      <c r="AJ182" s="211"/>
    </row>
    <row r="183" spans="1:63" outlineLevel="1" x14ac:dyDescent="0.2">
      <c r="C183" s="110"/>
      <c r="D183" s="110"/>
      <c r="E183" s="110"/>
      <c r="F183" s="110"/>
      <c r="G183" s="110"/>
      <c r="H183" s="110"/>
      <c r="I183" s="110"/>
      <c r="J183" s="110"/>
      <c r="K183" s="110"/>
      <c r="L183" s="110"/>
      <c r="M183" s="110"/>
      <c r="N183" s="110"/>
      <c r="O183" s="110"/>
      <c r="P183" s="110"/>
      <c r="Q183" s="110"/>
      <c r="R183" s="110"/>
      <c r="S183" s="110"/>
      <c r="T183" s="110"/>
      <c r="U183" s="110"/>
      <c r="V183" s="110"/>
      <c r="W183" s="110"/>
      <c r="X183" s="110"/>
      <c r="Y183" s="110"/>
      <c r="Z183" s="110"/>
      <c r="AA183" s="110"/>
      <c r="AB183" s="110"/>
      <c r="AC183" s="110"/>
      <c r="AD183" s="110"/>
      <c r="AE183" s="110"/>
      <c r="AF183" s="110"/>
      <c r="AG183" s="110"/>
      <c r="AJ183" s="211"/>
    </row>
    <row r="184" spans="1:63" outlineLevel="1" x14ac:dyDescent="0.2">
      <c r="A184" t="s">
        <v>1553</v>
      </c>
      <c r="C184" s="230">
        <f>'Overall recycling rates'!E87</f>
        <v>0.99999999999999978</v>
      </c>
      <c r="D184" s="230">
        <f>C184-($C184-$AG184)/($AG$1-$C$1)</f>
        <v>0.99999999999999978</v>
      </c>
      <c r="E184" s="230">
        <f t="shared" ref="E184:AF184" si="122">D184-($C184-$AG184)/($AG$1-$C$1)</f>
        <v>0.99999999999999978</v>
      </c>
      <c r="F184" s="230">
        <f t="shared" si="122"/>
        <v>0.99999999999999978</v>
      </c>
      <c r="G184" s="230">
        <f t="shared" si="122"/>
        <v>0.99999999999999978</v>
      </c>
      <c r="H184" s="230">
        <f t="shared" si="122"/>
        <v>0.99999999999999978</v>
      </c>
      <c r="I184" s="230">
        <f t="shared" si="122"/>
        <v>0.99999999999999978</v>
      </c>
      <c r="J184" s="230">
        <f t="shared" si="122"/>
        <v>0.99999999999999978</v>
      </c>
      <c r="K184" s="230">
        <f t="shared" si="122"/>
        <v>0.99999999999999978</v>
      </c>
      <c r="L184" s="230">
        <f t="shared" si="122"/>
        <v>0.99999999999999978</v>
      </c>
      <c r="M184" s="230">
        <f t="shared" si="122"/>
        <v>0.99999999999999978</v>
      </c>
      <c r="N184" s="230">
        <f t="shared" si="122"/>
        <v>0.99999999999999978</v>
      </c>
      <c r="O184" s="230">
        <f t="shared" si="122"/>
        <v>0.99999999999999978</v>
      </c>
      <c r="P184" s="230">
        <f t="shared" si="122"/>
        <v>0.99999999999999978</v>
      </c>
      <c r="Q184" s="230">
        <f t="shared" si="122"/>
        <v>0.99999999999999978</v>
      </c>
      <c r="R184" s="230">
        <f t="shared" si="122"/>
        <v>0.99999999999999978</v>
      </c>
      <c r="S184" s="230">
        <f t="shared" si="122"/>
        <v>0.99999999999999978</v>
      </c>
      <c r="T184" s="230">
        <f t="shared" si="122"/>
        <v>0.99999999999999978</v>
      </c>
      <c r="U184" s="230">
        <f t="shared" si="122"/>
        <v>0.99999999999999978</v>
      </c>
      <c r="V184" s="230">
        <f t="shared" si="122"/>
        <v>0.99999999999999978</v>
      </c>
      <c r="W184" s="230">
        <f t="shared" si="122"/>
        <v>0.99999999999999978</v>
      </c>
      <c r="X184" s="230">
        <f t="shared" si="122"/>
        <v>0.99999999999999978</v>
      </c>
      <c r="Y184" s="230">
        <f t="shared" si="122"/>
        <v>0.99999999999999978</v>
      </c>
      <c r="Z184" s="230">
        <f t="shared" si="122"/>
        <v>0.99999999999999978</v>
      </c>
      <c r="AA184" s="230">
        <f t="shared" si="122"/>
        <v>0.99999999999999978</v>
      </c>
      <c r="AB184" s="230">
        <f t="shared" si="122"/>
        <v>0.99999999999999978</v>
      </c>
      <c r="AC184" s="230">
        <f t="shared" si="122"/>
        <v>0.99999999999999978</v>
      </c>
      <c r="AD184" s="230">
        <f t="shared" si="122"/>
        <v>0.99999999999999978</v>
      </c>
      <c r="AE184" s="230">
        <f t="shared" si="122"/>
        <v>0.99999999999999978</v>
      </c>
      <c r="AF184" s="230">
        <f t="shared" si="122"/>
        <v>0.99999999999999978</v>
      </c>
      <c r="AG184" s="230">
        <f>'Overall recycling rates'!E96</f>
        <v>1</v>
      </c>
      <c r="AI184" s="133"/>
      <c r="AJ184" s="211" t="s">
        <v>1571</v>
      </c>
      <c r="AL184" s="108"/>
      <c r="AM184" s="207"/>
      <c r="AN184" s="207"/>
      <c r="AO184" s="207"/>
      <c r="BC184" s="1"/>
      <c r="BD184" s="207"/>
      <c r="BE184" s="207"/>
      <c r="BF184" s="207"/>
      <c r="BG184" s="207"/>
      <c r="BH184" s="207"/>
      <c r="BI184" s="207"/>
      <c r="BJ184" s="207"/>
      <c r="BK184" s="207"/>
    </row>
    <row r="185" spans="1:63" outlineLevel="1" x14ac:dyDescent="0.2">
      <c r="A185" t="s">
        <v>1572</v>
      </c>
      <c r="B185" s="54" t="s">
        <v>462</v>
      </c>
      <c r="C185" s="110">
        <f>C174*C$184</f>
        <v>6.4999999999999988E-3</v>
      </c>
      <c r="D185" s="110">
        <f>D174*D$129</f>
        <v>4.6072193049678193E-3</v>
      </c>
      <c r="E185" s="110">
        <f t="shared" ref="E185:AG185" si="123">E174*E$129</f>
        <v>5.585000486450227E-3</v>
      </c>
      <c r="F185" s="110">
        <f t="shared" si="123"/>
        <v>6.6518408530082101E-3</v>
      </c>
      <c r="G185" s="110">
        <f t="shared" si="123"/>
        <v>7.810792883412087E-3</v>
      </c>
      <c r="H185" s="110">
        <f t="shared" si="123"/>
        <v>9.0649090564321796E-3</v>
      </c>
      <c r="I185" s="110">
        <f t="shared" si="123"/>
        <v>1.041724185083881E-2</v>
      </c>
      <c r="J185" s="110">
        <f t="shared" si="123"/>
        <v>1.1870843745402303E-2</v>
      </c>
      <c r="K185" s="110">
        <f t="shared" si="123"/>
        <v>1.3428767218892974E-2</v>
      </c>
      <c r="L185" s="110">
        <f t="shared" si="123"/>
        <v>1.5094064750081146E-2</v>
      </c>
      <c r="M185" s="110">
        <f t="shared" si="123"/>
        <v>1.6869788817737146E-2</v>
      </c>
      <c r="N185" s="110">
        <f t="shared" si="123"/>
        <v>1.9364630984318704E-2</v>
      </c>
      <c r="O185" s="110">
        <f t="shared" si="123"/>
        <v>2.2067543545332805E-2</v>
      </c>
      <c r="P185" s="110">
        <f t="shared" si="123"/>
        <v>2.4984960186803046E-2</v>
      </c>
      <c r="Q185" s="110">
        <f t="shared" si="123"/>
        <v>2.8123314594753038E-2</v>
      </c>
      <c r="R185" s="110">
        <f t="shared" si="123"/>
        <v>3.1489040455206375E-2</v>
      </c>
      <c r="S185" s="110">
        <f t="shared" si="123"/>
        <v>3.5088571454186659E-2</v>
      </c>
      <c r="T185" s="110">
        <f t="shared" si="123"/>
        <v>3.89283412777175E-2</v>
      </c>
      <c r="U185" s="110">
        <f t="shared" si="123"/>
        <v>4.3014783611822476E-2</v>
      </c>
      <c r="V185" s="110">
        <f t="shared" si="123"/>
        <v>4.7354332142525213E-2</v>
      </c>
      <c r="W185" s="110">
        <f t="shared" si="123"/>
        <v>5.195342055584929E-2</v>
      </c>
      <c r="X185" s="110">
        <f t="shared" si="123"/>
        <v>5.8245494034028712E-2</v>
      </c>
      <c r="Y185" s="110">
        <f t="shared" si="123"/>
        <v>6.495610252275523E-2</v>
      </c>
      <c r="Z185" s="110">
        <f t="shared" si="123"/>
        <v>7.2096010765259996E-2</v>
      </c>
      <c r="AA185" s="110">
        <f t="shared" si="123"/>
        <v>7.9675983504774131E-2</v>
      </c>
      <c r="AB185" s="110">
        <f t="shared" si="123"/>
        <v>8.7706785484528788E-2</v>
      </c>
      <c r="AC185" s="110">
        <f t="shared" si="123"/>
        <v>9.6199181447755133E-2</v>
      </c>
      <c r="AD185" s="110">
        <f t="shared" si="123"/>
        <v>0.10516393613768427</v>
      </c>
      <c r="AE185" s="110">
        <f t="shared" si="123"/>
        <v>0.11461181429754737</v>
      </c>
      <c r="AF185" s="110">
        <f t="shared" si="123"/>
        <v>0.12455358067057549</v>
      </c>
      <c r="AG185" s="110">
        <f t="shared" si="123"/>
        <v>0.13500000000000001</v>
      </c>
      <c r="AI185" s="133"/>
      <c r="AJ185"/>
      <c r="AL185" s="108"/>
      <c r="AM185" s="2"/>
      <c r="AN185" s="2"/>
      <c r="AO185" s="2"/>
      <c r="AV185" s="41"/>
    </row>
    <row r="186" spans="1:63" outlineLevel="1" x14ac:dyDescent="0.2">
      <c r="A186" t="s">
        <v>1573</v>
      </c>
      <c r="B186" s="54" t="s">
        <v>462</v>
      </c>
      <c r="C186" s="110">
        <f>C175*C$184</f>
        <v>0.12349999999999997</v>
      </c>
      <c r="D186" s="110">
        <f t="shared" ref="D186:AG186" si="124">D172*D$129</f>
        <v>3.3982277796901897E-2</v>
      </c>
      <c r="E186" s="110">
        <f t="shared" si="124"/>
        <v>3.9566651362098637E-2</v>
      </c>
      <c r="F186" s="110">
        <f t="shared" si="124"/>
        <v>4.5333465540133788E-2</v>
      </c>
      <c r="G186" s="110">
        <f t="shared" si="124"/>
        <v>5.1282720331007343E-2</v>
      </c>
      <c r="H186" s="110">
        <f t="shared" si="124"/>
        <v>5.7414415734719303E-2</v>
      </c>
      <c r="I186" s="110">
        <f t="shared" si="124"/>
        <v>6.3728551751269666E-2</v>
      </c>
      <c r="J186" s="110">
        <f t="shared" si="124"/>
        <v>7.0225128380658433E-2</v>
      </c>
      <c r="K186" s="110">
        <f t="shared" si="124"/>
        <v>7.6904145622885597E-2</v>
      </c>
      <c r="L186" s="110">
        <f t="shared" si="124"/>
        <v>8.3765603477951173E-2</v>
      </c>
      <c r="M186" s="110">
        <f t="shared" si="124"/>
        <v>9.0809501945855173E-2</v>
      </c>
      <c r="N186" s="110">
        <f t="shared" si="124"/>
        <v>9.8035841026597556E-2</v>
      </c>
      <c r="O186" s="110">
        <f t="shared" si="124"/>
        <v>0.10544462072017834</v>
      </c>
      <c r="P186" s="110">
        <f t="shared" si="124"/>
        <v>0.11303584102659753</v>
      </c>
      <c r="Q186" s="110">
        <f t="shared" si="124"/>
        <v>0.12080950194585513</v>
      </c>
      <c r="R186" s="110">
        <f t="shared" si="124"/>
        <v>0.12876560347795113</v>
      </c>
      <c r="S186" s="110">
        <f t="shared" si="124"/>
        <v>0.13690414562288555</v>
      </c>
      <c r="T186" s="110">
        <f t="shared" si="124"/>
        <v>0.14522512838065835</v>
      </c>
      <c r="U186" s="110">
        <f t="shared" si="124"/>
        <v>0.15372855175126957</v>
      </c>
      <c r="V186" s="110">
        <f t="shared" si="124"/>
        <v>0.16241441573471918</v>
      </c>
      <c r="W186" s="110">
        <f t="shared" si="124"/>
        <v>0.17128272033100722</v>
      </c>
      <c r="X186" s="110">
        <f t="shared" si="124"/>
        <v>0.18033346554013363</v>
      </c>
      <c r="Y186" s="110">
        <f t="shared" si="124"/>
        <v>0.18956665136209847</v>
      </c>
      <c r="Z186" s="110">
        <f t="shared" si="124"/>
        <v>0.19898227779690172</v>
      </c>
      <c r="AA186" s="110">
        <f t="shared" si="124"/>
        <v>0.20858034484454335</v>
      </c>
      <c r="AB186" s="110">
        <f t="shared" si="124"/>
        <v>0.21836085250502341</v>
      </c>
      <c r="AC186" s="110">
        <f t="shared" si="124"/>
        <v>0.22832380077834188</v>
      </c>
      <c r="AD186" s="110">
        <f t="shared" si="124"/>
        <v>0.23846918966449876</v>
      </c>
      <c r="AE186" s="110">
        <f t="shared" si="124"/>
        <v>0.24879701916349403</v>
      </c>
      <c r="AF186" s="110">
        <f t="shared" si="124"/>
        <v>0.25930728927532776</v>
      </c>
      <c r="AG186" s="110">
        <f t="shared" si="124"/>
        <v>0.27</v>
      </c>
      <c r="AH186" s="245"/>
      <c r="AI186" s="133"/>
      <c r="AJ186" s="211"/>
      <c r="AL186" s="108"/>
      <c r="AM186" s="2"/>
      <c r="AN186" s="2"/>
      <c r="AO186" s="2"/>
      <c r="AV186" s="41"/>
    </row>
    <row r="187" spans="1:63" outlineLevel="1" x14ac:dyDescent="0.2">
      <c r="A187" t="s">
        <v>1574</v>
      </c>
      <c r="B187" s="176" t="s">
        <v>462</v>
      </c>
      <c r="C187" s="110">
        <f>SUM(C185:C186)</f>
        <v>0.12999999999999998</v>
      </c>
      <c r="D187" s="110">
        <f t="shared" ref="D187" si="125">SUM(D185:D186)</f>
        <v>3.8589497101869714E-2</v>
      </c>
      <c r="E187" s="110">
        <f t="shared" ref="E187" si="126">SUM(E185:E186)</f>
        <v>4.5151651848548864E-2</v>
      </c>
      <c r="F187" s="110">
        <f t="shared" ref="F187" si="127">SUM(F185:F186)</f>
        <v>5.1985306393142E-2</v>
      </c>
      <c r="G187" s="110">
        <f t="shared" ref="G187" si="128">SUM(G185:G186)</f>
        <v>5.9093513214419427E-2</v>
      </c>
      <c r="H187" s="110">
        <f t="shared" ref="H187" si="129">SUM(H185:H186)</f>
        <v>6.6479324791151484E-2</v>
      </c>
      <c r="I187" s="110">
        <f t="shared" ref="I187" si="130">SUM(I185:I186)</f>
        <v>7.4145793602108476E-2</v>
      </c>
      <c r="J187" s="110">
        <f t="shared" ref="J187" si="131">SUM(J185:J186)</f>
        <v>8.2095972126060734E-2</v>
      </c>
      <c r="K187" s="110">
        <f t="shared" ref="K187" si="132">SUM(K185:K186)</f>
        <v>9.0332912841778579E-2</v>
      </c>
      <c r="L187" s="110">
        <f t="shared" ref="L187" si="133">SUM(L185:L186)</f>
        <v>9.8859668228032313E-2</v>
      </c>
      <c r="M187" s="110">
        <f t="shared" ref="M187" si="134">SUM(M185:M186)</f>
        <v>0.10767929076359231</v>
      </c>
      <c r="N187" s="110">
        <f t="shared" ref="N187" si="135">SUM(N185:N186)</f>
        <v>0.11740047201091626</v>
      </c>
      <c r="O187" s="110">
        <f t="shared" ref="O187" si="136">SUM(O185:O186)</f>
        <v>0.12751216426551115</v>
      </c>
      <c r="P187" s="110">
        <f t="shared" ref="P187" si="137">SUM(P185:P186)</f>
        <v>0.13802080121340057</v>
      </c>
      <c r="Q187" s="110">
        <f t="shared" ref="Q187" si="138">SUM(Q185:Q186)</f>
        <v>0.14893281654060816</v>
      </c>
      <c r="R187" s="110">
        <f t="shared" ref="R187" si="139">SUM(R185:R186)</f>
        <v>0.1602546439331575</v>
      </c>
      <c r="S187" s="110">
        <f t="shared" ref="S187" si="140">SUM(S185:S186)</f>
        <v>0.1719927170770722</v>
      </c>
      <c r="T187" s="110">
        <f t="shared" ref="T187" si="141">SUM(T185:T186)</f>
        <v>0.18415346965837584</v>
      </c>
      <c r="U187" s="110">
        <f t="shared" ref="U187" si="142">SUM(U185:U186)</f>
        <v>0.19674333536309205</v>
      </c>
      <c r="V187" s="110">
        <f t="shared" ref="V187" si="143">SUM(V185:V186)</f>
        <v>0.20976874787724439</v>
      </c>
      <c r="W187" s="110">
        <f t="shared" ref="W187" si="144">SUM(W185:W186)</f>
        <v>0.2232361408868565</v>
      </c>
      <c r="X187" s="110">
        <f t="shared" ref="X187" si="145">SUM(X185:X186)</f>
        <v>0.23857895957416234</v>
      </c>
      <c r="Y187" s="110">
        <f t="shared" ref="Y187" si="146">SUM(Y185:Y186)</f>
        <v>0.25452275388485368</v>
      </c>
      <c r="Z187" s="110">
        <f t="shared" ref="Z187" si="147">SUM(Z185:Z186)</f>
        <v>0.27107828856216171</v>
      </c>
      <c r="AA187" s="110">
        <f t="shared" ref="AA187" si="148">SUM(AA185:AA186)</f>
        <v>0.28825632834931747</v>
      </c>
      <c r="AB187" s="110">
        <f t="shared" ref="AB187" si="149">SUM(AB185:AB186)</f>
        <v>0.30606763798955217</v>
      </c>
      <c r="AC187" s="110">
        <f t="shared" ref="AC187" si="150">SUM(AC185:AC186)</f>
        <v>0.32452298222609699</v>
      </c>
      <c r="AD187" s="110">
        <f t="shared" ref="AD187" si="151">SUM(AD185:AD186)</f>
        <v>0.34363312580218303</v>
      </c>
      <c r="AE187" s="110">
        <f t="shared" ref="AE187" si="152">SUM(AE185:AE186)</f>
        <v>0.36340883346104141</v>
      </c>
      <c r="AF187" s="110">
        <f t="shared" ref="AF187" si="153">SUM(AF185:AF186)</f>
        <v>0.38386086994590324</v>
      </c>
      <c r="AG187" s="110">
        <f t="shared" ref="AG187" si="154">SUM(AG185:AG186)</f>
        <v>0.40500000000000003</v>
      </c>
      <c r="AI187" s="133"/>
      <c r="AJ187" s="211"/>
      <c r="AL187" s="108"/>
      <c r="AM187" s="2"/>
      <c r="AN187" s="2"/>
      <c r="AO187" s="2"/>
    </row>
    <row r="188" spans="1:63" outlineLevel="1" x14ac:dyDescent="0.2">
      <c r="A188" t="s">
        <v>1580</v>
      </c>
      <c r="B188" s="54" t="s">
        <v>462</v>
      </c>
      <c r="C188" s="110">
        <f>C177*C186</f>
        <v>6.1749999999999985E-2</v>
      </c>
      <c r="D188" s="110">
        <f t="shared" ref="D188:AG188" si="155">D174*D186</f>
        <v>2.6875445945645613E-4</v>
      </c>
      <c r="E188" s="110">
        <f t="shared" si="155"/>
        <v>3.7233336576334846E-4</v>
      </c>
      <c r="F188" s="110">
        <f t="shared" si="155"/>
        <v>4.9888806397561578E-4</v>
      </c>
      <c r="G188" s="110">
        <f t="shared" si="155"/>
        <v>6.5089940695100721E-4</v>
      </c>
      <c r="H188" s="110">
        <f t="shared" si="155"/>
        <v>8.3094999683961637E-4</v>
      </c>
      <c r="I188" s="110">
        <f t="shared" si="155"/>
        <v>1.0417241850838809E-3</v>
      </c>
      <c r="J188" s="110">
        <f t="shared" si="155"/>
        <v>1.2860080724185828E-3</v>
      </c>
      <c r="K188" s="110">
        <f t="shared" si="155"/>
        <v>1.5666895088708467E-3</v>
      </c>
      <c r="L188" s="110">
        <f t="shared" si="155"/>
        <v>1.886758093760143E-3</v>
      </c>
      <c r="M188" s="110">
        <f t="shared" si="155"/>
        <v>2.2493051756982863E-3</v>
      </c>
      <c r="N188" s="110">
        <f t="shared" si="155"/>
        <v>2.7433227227784832E-3</v>
      </c>
      <c r="O188" s="110">
        <f t="shared" si="155"/>
        <v>3.3101315317999205E-3</v>
      </c>
      <c r="P188" s="110">
        <f t="shared" si="155"/>
        <v>3.9559520295771484E-3</v>
      </c>
      <c r="Q188" s="110">
        <f t="shared" si="155"/>
        <v>4.6872190991255058E-3</v>
      </c>
      <c r="R188" s="110">
        <f t="shared" si="155"/>
        <v>5.5105820796611154E-3</v>
      </c>
      <c r="S188" s="110">
        <f t="shared" si="155"/>
        <v>6.4329047666008866E-3</v>
      </c>
      <c r="T188" s="110">
        <f t="shared" si="155"/>
        <v>7.4612654115625192E-3</v>
      </c>
      <c r="U188" s="110">
        <f t="shared" si="155"/>
        <v>8.6029567223644948E-3</v>
      </c>
      <c r="V188" s="110">
        <f t="shared" si="155"/>
        <v>9.8654858630260849E-3</v>
      </c>
      <c r="W188" s="110">
        <f t="shared" si="155"/>
        <v>1.1256574453767345E-2</v>
      </c>
      <c r="X188" s="110">
        <f t="shared" si="155"/>
        <v>1.3105236157656457E-2</v>
      </c>
      <c r="Y188" s="110">
        <f t="shared" si="155"/>
        <v>1.5156423921976218E-2</v>
      </c>
      <c r="Z188" s="110">
        <f t="shared" si="155"/>
        <v>1.7423202601604501E-2</v>
      </c>
      <c r="AA188" s="110">
        <f t="shared" si="155"/>
        <v>1.9918995876193533E-2</v>
      </c>
      <c r="AB188" s="110">
        <f t="shared" si="155"/>
        <v>2.2657586250169937E-2</v>
      </c>
      <c r="AC188" s="110">
        <f t="shared" si="155"/>
        <v>2.5653115052734703E-2</v>
      </c>
      <c r="AD188" s="110">
        <f t="shared" si="155"/>
        <v>2.8920082437863176E-2</v>
      </c>
      <c r="AE188" s="110">
        <f t="shared" si="155"/>
        <v>3.2473347384305087E-2</v>
      </c>
      <c r="AF188" s="110">
        <f t="shared" si="155"/>
        <v>3.6328127695584536E-2</v>
      </c>
      <c r="AG188" s="110">
        <f t="shared" si="155"/>
        <v>4.0500000000000001E-2</v>
      </c>
      <c r="AI188" s="133"/>
      <c r="AJ188" s="211"/>
      <c r="BD188" s="203"/>
      <c r="BE188" s="203"/>
    </row>
    <row r="189" spans="1:63" outlineLevel="1" x14ac:dyDescent="0.2">
      <c r="A189" t="s">
        <v>1581</v>
      </c>
      <c r="B189" s="54" t="s">
        <v>462</v>
      </c>
      <c r="C189" s="110">
        <f>C178*C186</f>
        <v>6.1749999999999985E-2</v>
      </c>
      <c r="D189" s="110">
        <f t="shared" ref="D189:AG189" si="156">D176*D186</f>
        <v>0</v>
      </c>
      <c r="E189" s="110">
        <f t="shared" si="156"/>
        <v>0</v>
      </c>
      <c r="F189" s="110">
        <f t="shared" si="156"/>
        <v>0</v>
      </c>
      <c r="G189" s="110">
        <f t="shared" si="156"/>
        <v>0</v>
      </c>
      <c r="H189" s="110">
        <f t="shared" si="156"/>
        <v>0</v>
      </c>
      <c r="I189" s="110">
        <f t="shared" si="156"/>
        <v>0</v>
      </c>
      <c r="J189" s="110">
        <f t="shared" si="156"/>
        <v>0</v>
      </c>
      <c r="K189" s="110">
        <f t="shared" si="156"/>
        <v>0</v>
      </c>
      <c r="L189" s="110">
        <f t="shared" si="156"/>
        <v>0</v>
      </c>
      <c r="M189" s="110">
        <f t="shared" si="156"/>
        <v>0</v>
      </c>
      <c r="N189" s="110">
        <f t="shared" si="156"/>
        <v>0</v>
      </c>
      <c r="O189" s="110">
        <f t="shared" si="156"/>
        <v>0</v>
      </c>
      <c r="P189" s="110">
        <f t="shared" si="156"/>
        <v>0</v>
      </c>
      <c r="Q189" s="110">
        <f t="shared" si="156"/>
        <v>0</v>
      </c>
      <c r="R189" s="110">
        <f t="shared" si="156"/>
        <v>0</v>
      </c>
      <c r="S189" s="110">
        <f t="shared" si="156"/>
        <v>0</v>
      </c>
      <c r="T189" s="110">
        <f t="shared" si="156"/>
        <v>0</v>
      </c>
      <c r="U189" s="110">
        <f t="shared" si="156"/>
        <v>0</v>
      </c>
      <c r="V189" s="110">
        <f t="shared" si="156"/>
        <v>0</v>
      </c>
      <c r="W189" s="110">
        <f t="shared" si="156"/>
        <v>0</v>
      </c>
      <c r="X189" s="110">
        <f t="shared" si="156"/>
        <v>0</v>
      </c>
      <c r="Y189" s="110">
        <f t="shared" si="156"/>
        <v>0</v>
      </c>
      <c r="Z189" s="110">
        <f t="shared" si="156"/>
        <v>0</v>
      </c>
      <c r="AA189" s="110">
        <f t="shared" si="156"/>
        <v>0</v>
      </c>
      <c r="AB189" s="110">
        <f t="shared" si="156"/>
        <v>0</v>
      </c>
      <c r="AC189" s="110">
        <f t="shared" si="156"/>
        <v>0</v>
      </c>
      <c r="AD189" s="110">
        <f t="shared" si="156"/>
        <v>0</v>
      </c>
      <c r="AE189" s="110">
        <f t="shared" si="156"/>
        <v>0</v>
      </c>
      <c r="AF189" s="110">
        <f t="shared" si="156"/>
        <v>0</v>
      </c>
      <c r="AG189" s="110">
        <f t="shared" si="156"/>
        <v>0</v>
      </c>
      <c r="AI189" s="134"/>
      <c r="AJ189" s="211"/>
      <c r="BC189" s="1"/>
      <c r="BD189" s="41"/>
      <c r="BF189" s="6"/>
      <c r="BG189" s="6"/>
      <c r="BH189" s="6"/>
      <c r="BI189" s="6"/>
      <c r="BJ189" s="6"/>
    </row>
    <row r="190" spans="1:63" outlineLevel="1" x14ac:dyDescent="0.2">
      <c r="C190" s="110"/>
      <c r="D190" s="110"/>
      <c r="E190" s="110"/>
      <c r="F190" s="110"/>
      <c r="G190" s="110"/>
      <c r="H190" s="110"/>
      <c r="I190" s="110"/>
      <c r="J190" s="110"/>
      <c r="K190" s="110"/>
      <c r="L190" s="110"/>
      <c r="M190" s="110"/>
      <c r="N190" s="110"/>
      <c r="O190" s="110"/>
      <c r="P190" s="110"/>
      <c r="Q190" s="110"/>
      <c r="R190" s="110"/>
      <c r="S190" s="110"/>
      <c r="T190" s="110"/>
      <c r="U190" s="110"/>
      <c r="V190" s="110"/>
      <c r="W190" s="110"/>
      <c r="X190" s="110"/>
      <c r="Y190" s="110"/>
      <c r="Z190" s="110"/>
      <c r="AA190" s="110"/>
      <c r="AB190" s="110"/>
      <c r="AC190" s="110"/>
      <c r="AD190" s="110"/>
      <c r="AE190" s="110"/>
      <c r="AF190" s="110"/>
      <c r="AG190" s="110"/>
      <c r="AI190" s="134"/>
      <c r="AJ190" s="211"/>
      <c r="BC190" s="1"/>
      <c r="BD190" s="41"/>
      <c r="BF190" s="6"/>
      <c r="BG190" s="6"/>
      <c r="BH190" s="6"/>
      <c r="BI190" s="6"/>
      <c r="BJ190" s="6"/>
    </row>
    <row r="191" spans="1:63" s="1" customFormat="1" outlineLevel="1" x14ac:dyDescent="0.2">
      <c r="A191" s="1" t="s">
        <v>228</v>
      </c>
      <c r="B191" s="65"/>
      <c r="C191" s="300">
        <f>C185*C45</f>
        <v>2.1820102605973023E-2</v>
      </c>
      <c r="D191" s="300">
        <f t="shared" ref="D191:AG191" si="157">D185*D45</f>
        <v>1.5984602192508482E-2</v>
      </c>
      <c r="E191" s="300">
        <f t="shared" si="157"/>
        <v>1.9974177981031082E-2</v>
      </c>
      <c r="F191" s="300">
        <f t="shared" si="157"/>
        <v>2.4458751929724135E-2</v>
      </c>
      <c r="G191" s="300">
        <f t="shared" si="157"/>
        <v>2.9450932872501143E-2</v>
      </c>
      <c r="H191" s="300">
        <f t="shared" si="157"/>
        <v>3.4957824322250024E-2</v>
      </c>
      <c r="I191" s="300">
        <f t="shared" si="157"/>
        <v>3.9799860725199268E-2</v>
      </c>
      <c r="J191" s="300">
        <f t="shared" si="157"/>
        <v>4.4866119837929971E-2</v>
      </c>
      <c r="K191" s="300">
        <f t="shared" si="157"/>
        <v>5.0131604925087947E-2</v>
      </c>
      <c r="L191" s="300">
        <f t="shared" si="157"/>
        <v>5.5567098257318176E-2</v>
      </c>
      <c r="M191" s="300">
        <f t="shared" si="157"/>
        <v>6.113899239358217E-2</v>
      </c>
      <c r="N191" s="300">
        <f t="shared" si="157"/>
        <v>6.8867409444689026E-2</v>
      </c>
      <c r="O191" s="300">
        <f t="shared" si="157"/>
        <v>7.6754983034579408E-2</v>
      </c>
      <c r="P191" s="300">
        <f t="shared" si="157"/>
        <v>8.4699232048539672E-2</v>
      </c>
      <c r="Q191" s="300">
        <f t="shared" si="157"/>
        <v>9.2588561970593702E-2</v>
      </c>
      <c r="R191" s="300">
        <f t="shared" si="157"/>
        <v>0.10030354479576911</v>
      </c>
      <c r="S191" s="300">
        <f t="shared" si="157"/>
        <v>0.10940014606170151</v>
      </c>
      <c r="T191" s="300">
        <f t="shared" si="157"/>
        <v>0.11866011830604561</v>
      </c>
      <c r="U191" s="300">
        <f t="shared" si="157"/>
        <v>0.12802740954515132</v>
      </c>
      <c r="V191" s="300">
        <f t="shared" si="157"/>
        <v>0.1374408876135278</v>
      </c>
      <c r="W191" s="300">
        <f t="shared" si="157"/>
        <v>0.14683420384848631</v>
      </c>
      <c r="X191" s="300">
        <f t="shared" si="157"/>
        <v>0.16005881188522858</v>
      </c>
      <c r="Y191" s="300">
        <f t="shared" si="157"/>
        <v>0.17327673557388348</v>
      </c>
      <c r="Z191" s="300">
        <f t="shared" si="157"/>
        <v>0.18637128600537139</v>
      </c>
      <c r="AA191" s="300">
        <f t="shared" si="157"/>
        <v>0.19921663544621249</v>
      </c>
      <c r="AB191" s="300">
        <f t="shared" si="157"/>
        <v>0.21167759449842058</v>
      </c>
      <c r="AC191" s="300">
        <f t="shared" si="157"/>
        <v>0.22138134040481497</v>
      </c>
      <c r="AD191" s="300">
        <f t="shared" si="157"/>
        <v>0.2299415086784555</v>
      </c>
      <c r="AE191" s="300">
        <f t="shared" si="157"/>
        <v>0.23714764515931641</v>
      </c>
      <c r="AF191" s="300">
        <f t="shared" si="157"/>
        <v>0.24277674146565248</v>
      </c>
      <c r="AG191" s="300">
        <f t="shared" si="157"/>
        <v>0.24659298461666698</v>
      </c>
      <c r="AH191" s="245"/>
      <c r="AI191" s="423"/>
      <c r="AJ191" s="424"/>
      <c r="AL191" s="221"/>
      <c r="AM191" s="124"/>
      <c r="AN191" s="124"/>
      <c r="AO191" s="124"/>
      <c r="BD191" s="124"/>
      <c r="BE191" s="124"/>
      <c r="BF191" s="124"/>
      <c r="BG191" s="124"/>
      <c r="BH191" s="124"/>
      <c r="BI191" s="124"/>
      <c r="BJ191" s="124"/>
      <c r="BK191" s="124"/>
    </row>
    <row r="192" spans="1:63" outlineLevel="1" x14ac:dyDescent="0.2">
      <c r="A192" s="4" t="s">
        <v>474</v>
      </c>
      <c r="C192" s="230">
        <f>C$191*'Methanol recycling rates'!E60</f>
        <v>7.8930651746296609E-3</v>
      </c>
      <c r="D192" s="230">
        <f>D$191*'Methanol recycling rates'!F60</f>
        <v>5.782168359806915E-3</v>
      </c>
      <c r="E192" s="230">
        <f>E$191*'Methanol recycling rates'!G60</f>
        <v>7.2253321380245919E-3</v>
      </c>
      <c r="F192" s="230">
        <f>F$191*'Methanol recycling rates'!H60</f>
        <v>8.8475534032807415E-3</v>
      </c>
      <c r="G192" s="230">
        <f>G$191*'Methanol recycling rates'!I60</f>
        <v>1.0653393194982579E-2</v>
      </c>
      <c r="H192" s="230">
        <f>H$191*'Methanol recycling rates'!J60</f>
        <v>1.2645421092714843E-2</v>
      </c>
      <c r="I192" s="230">
        <f>I$191*'Methanol recycling rates'!K60</f>
        <v>1.4396948553266099E-2</v>
      </c>
      <c r="J192" s="230">
        <f>J$191*'Methanol recycling rates'!L60</f>
        <v>1.6229584911144568E-2</v>
      </c>
      <c r="K192" s="230">
        <f>K$191*'Methanol recycling rates'!M60</f>
        <v>1.8134288006243744E-2</v>
      </c>
      <c r="L192" s="230">
        <f>L$191*'Methanol recycling rates'!N60</f>
        <v>2.0100488802926249E-2</v>
      </c>
      <c r="M192" s="230">
        <f>M$191*'Methanol recycling rates'!O60</f>
        <v>2.2116030359162087E-2</v>
      </c>
      <c r="N192" s="230">
        <f>N$191*'Methanol recycling rates'!P60</f>
        <v>2.4911658802467724E-2</v>
      </c>
      <c r="O192" s="230">
        <f>O$191*'Methanol recycling rates'!Q60</f>
        <v>2.7764859520123843E-2</v>
      </c>
      <c r="P192" s="230">
        <f>P$191*'Methanol recycling rates'!R60</f>
        <v>3.0638561645315091E-2</v>
      </c>
      <c r="Q192" s="230">
        <f>Q$191*'Methanol recycling rates'!S60</f>
        <v>3.3492397687400539E-2</v>
      </c>
      <c r="R192" s="230">
        <f>R$191*'Methanol recycling rates'!T60</f>
        <v>3.6283166519238602E-2</v>
      </c>
      <c r="S192" s="230">
        <f>S$191*'Methanol recycling rates'!U60</f>
        <v>3.9573713220882829E-2</v>
      </c>
      <c r="T192" s="230">
        <f>T$191*'Methanol recycling rates'!V60</f>
        <v>4.2923356701471328E-2</v>
      </c>
      <c r="U192" s="230">
        <f>U$191*'Methanol recycling rates'!W60</f>
        <v>4.6311821072842312E-2</v>
      </c>
      <c r="V192" s="230">
        <f>V$191*'Methanol recycling rates'!X60</f>
        <v>4.9716992774157011E-2</v>
      </c>
      <c r="W192" s="230">
        <f>W$191*'Methanol recycling rates'!Y60</f>
        <v>5.3114871262049126E-2</v>
      </c>
      <c r="X192" s="230">
        <f>X$191*'Methanol recycling rates'!Z60</f>
        <v>5.7898656885237001E-2</v>
      </c>
      <c r="Y192" s="230">
        <f>Y$191*'Methanol recycling rates'!AA60</f>
        <v>6.2680024554849847E-2</v>
      </c>
      <c r="Z192" s="230">
        <f>Z$191*'Methanol recycling rates'!AB60</f>
        <v>6.7416763966877929E-2</v>
      </c>
      <c r="AA192" s="230">
        <f>AA$191*'Methanol recycling rates'!AC60</f>
        <v>7.2063358997081731E-2</v>
      </c>
      <c r="AB192" s="230">
        <f>AB$191*'Methanol recycling rates'!AD60</f>
        <v>7.6570907092228926E-2</v>
      </c>
      <c r="AC192" s="230">
        <f>AC$191*'Methanol recycling rates'!AE60</f>
        <v>8.0081078435614378E-2</v>
      </c>
      <c r="AD192" s="230">
        <f>AD$191*'Methanol recycling rates'!AF60</f>
        <v>8.3177579277509878E-2</v>
      </c>
      <c r="AE192" s="230">
        <f>AE$191*'Methanol recycling rates'!AG60</f>
        <v>8.5784281268230206E-2</v>
      </c>
      <c r="AF192" s="230">
        <f>AF$191*'Methanol recycling rates'!AH60</f>
        <v>8.7820514773750719E-2</v>
      </c>
      <c r="AG192" s="230">
        <f>AG$191*'Methanol recycling rates'!AI60</f>
        <v>8.9200978305803313E-2</v>
      </c>
      <c r="AH192" s="245"/>
      <c r="AI192" s="133"/>
      <c r="AJ192" s="211"/>
      <c r="AL192" s="108"/>
      <c r="AM192" s="2"/>
      <c r="AN192" s="2"/>
      <c r="AO192" s="2"/>
      <c r="BC192" s="1"/>
      <c r="BD192" s="2"/>
      <c r="BE192" s="2"/>
      <c r="BF192" s="2"/>
      <c r="BG192" s="2"/>
      <c r="BH192" s="2"/>
      <c r="BI192" s="2"/>
      <c r="BJ192" s="2"/>
      <c r="BK192" s="2"/>
    </row>
    <row r="193" spans="1:63" outlineLevel="1" x14ac:dyDescent="0.2">
      <c r="A193" s="4" t="s">
        <v>745</v>
      </c>
      <c r="C193" s="230">
        <f>C$191*'Methanol recycling rates'!E61</f>
        <v>0</v>
      </c>
      <c r="D193" s="230">
        <f>D$191*'Methanol recycling rates'!F61</f>
        <v>0</v>
      </c>
      <c r="E193" s="230">
        <f>E$191*'Methanol recycling rates'!G61</f>
        <v>0</v>
      </c>
      <c r="F193" s="230">
        <f>F$191*'Methanol recycling rates'!H61</f>
        <v>0</v>
      </c>
      <c r="G193" s="230">
        <f>G$191*'Methanol recycling rates'!I61</f>
        <v>0</v>
      </c>
      <c r="H193" s="230">
        <f>H$191*'Methanol recycling rates'!J61</f>
        <v>0</v>
      </c>
      <c r="I193" s="230">
        <f>I$191*'Methanol recycling rates'!K61</f>
        <v>0</v>
      </c>
      <c r="J193" s="230">
        <f>J$191*'Methanol recycling rates'!L61</f>
        <v>0</v>
      </c>
      <c r="K193" s="230">
        <f>K$191*'Methanol recycling rates'!M61</f>
        <v>0</v>
      </c>
      <c r="L193" s="230">
        <f>L$191*'Methanol recycling rates'!N61</f>
        <v>0</v>
      </c>
      <c r="M193" s="230">
        <f>M$191*'Methanol recycling rates'!O61</f>
        <v>0</v>
      </c>
      <c r="N193" s="230">
        <f>N$191*'Methanol recycling rates'!P61</f>
        <v>0</v>
      </c>
      <c r="O193" s="230">
        <f>O$191*'Methanol recycling rates'!Q61</f>
        <v>0</v>
      </c>
      <c r="P193" s="230">
        <f>P$191*'Methanol recycling rates'!R61</f>
        <v>0</v>
      </c>
      <c r="Q193" s="230">
        <f>Q$191*'Methanol recycling rates'!S61</f>
        <v>0</v>
      </c>
      <c r="R193" s="230">
        <f>R$191*'Methanol recycling rates'!T61</f>
        <v>0</v>
      </c>
      <c r="S193" s="230">
        <f>S$191*'Methanol recycling rates'!U61</f>
        <v>0</v>
      </c>
      <c r="T193" s="230">
        <f>T$191*'Methanol recycling rates'!V61</f>
        <v>0</v>
      </c>
      <c r="U193" s="230">
        <f>U$191*'Methanol recycling rates'!W61</f>
        <v>0</v>
      </c>
      <c r="V193" s="230">
        <f>V$191*'Methanol recycling rates'!X61</f>
        <v>0</v>
      </c>
      <c r="W193" s="230">
        <f>W$191*'Methanol recycling rates'!Y61</f>
        <v>0</v>
      </c>
      <c r="X193" s="230">
        <f>X$191*'Methanol recycling rates'!Z61</f>
        <v>0</v>
      </c>
      <c r="Y193" s="230">
        <f>Y$191*'Methanol recycling rates'!AA61</f>
        <v>0</v>
      </c>
      <c r="Z193" s="230">
        <f>Z$191*'Methanol recycling rates'!AB61</f>
        <v>0</v>
      </c>
      <c r="AA193" s="230">
        <f>AA$191*'Methanol recycling rates'!AC61</f>
        <v>0</v>
      </c>
      <c r="AB193" s="230">
        <f>AB$191*'Methanol recycling rates'!AD61</f>
        <v>0</v>
      </c>
      <c r="AC193" s="230">
        <f>AC$191*'Methanol recycling rates'!AE61</f>
        <v>0</v>
      </c>
      <c r="AD193" s="230">
        <f>AD$191*'Methanol recycling rates'!AF61</f>
        <v>0</v>
      </c>
      <c r="AE193" s="230">
        <f>AE$191*'Methanol recycling rates'!AG61</f>
        <v>0</v>
      </c>
      <c r="AF193" s="230">
        <f>AF$191*'Methanol recycling rates'!AH61</f>
        <v>0</v>
      </c>
      <c r="AG193" s="230">
        <f>AG$191*'Methanol recycling rates'!AI61</f>
        <v>0</v>
      </c>
      <c r="AH193" s="245"/>
      <c r="AI193" s="133"/>
      <c r="AJ193" s="211"/>
      <c r="AL193" s="108"/>
      <c r="AM193" s="2"/>
      <c r="AN193" s="2"/>
      <c r="AO193" s="2"/>
      <c r="BC193" s="1"/>
      <c r="BD193" s="2"/>
      <c r="BE193" s="2"/>
      <c r="BF193" s="2"/>
      <c r="BG193" s="2"/>
      <c r="BH193" s="2"/>
      <c r="BI193" s="2"/>
      <c r="BJ193" s="2"/>
      <c r="BK193" s="2"/>
    </row>
    <row r="194" spans="1:63" outlineLevel="1" x14ac:dyDescent="0.2">
      <c r="A194" s="4" t="s">
        <v>1561</v>
      </c>
      <c r="C194" s="230">
        <f>C$191*'Methanol recycling rates'!E62</f>
        <v>1.3927037431343362E-2</v>
      </c>
      <c r="D194" s="230">
        <f>D$191*'Methanol recycling rates'!F62</f>
        <v>1.0202433832701568E-2</v>
      </c>
      <c r="E194" s="230">
        <f>E$191*'Methanol recycling rates'!G62</f>
        <v>1.2748845843006491E-2</v>
      </c>
      <c r="F194" s="230">
        <f>F$191*'Methanol recycling rates'!H62</f>
        <v>1.5611198526443394E-2</v>
      </c>
      <c r="G194" s="230">
        <f>G$191*'Methanol recycling rates'!I62</f>
        <v>1.8797539677518564E-2</v>
      </c>
      <c r="H194" s="230">
        <f>H$191*'Methanol recycling rates'!J62</f>
        <v>2.2312403229535181E-2</v>
      </c>
      <c r="I194" s="230">
        <f>I$191*'Methanol recycling rates'!K62</f>
        <v>2.5402912171933169E-2</v>
      </c>
      <c r="J194" s="230">
        <f>J$191*'Methanol recycling rates'!L62</f>
        <v>2.8636534926785404E-2</v>
      </c>
      <c r="K194" s="230">
        <f>K$191*'Methanol recycling rates'!M62</f>
        <v>3.19973169188442E-2</v>
      </c>
      <c r="L194" s="230">
        <f>L$191*'Methanol recycling rates'!N62</f>
        <v>3.546660945439193E-2</v>
      </c>
      <c r="M194" s="230">
        <f>M$191*'Methanol recycling rates'!O62</f>
        <v>3.9022962034420079E-2</v>
      </c>
      <c r="N194" s="230">
        <f>N$191*'Methanol recycling rates'!P62</f>
        <v>4.3955750642221306E-2</v>
      </c>
      <c r="O194" s="230">
        <f>O$191*'Methanol recycling rates'!Q62</f>
        <v>4.8990123514455565E-2</v>
      </c>
      <c r="P194" s="230">
        <f>P$191*'Methanol recycling rates'!R62</f>
        <v>5.4060670403224577E-2</v>
      </c>
      <c r="Q194" s="230">
        <f>Q$191*'Methanol recycling rates'!S62</f>
        <v>5.9096164283193163E-2</v>
      </c>
      <c r="R194" s="230">
        <f>R$191*'Methanol recycling rates'!T62</f>
        <v>6.402037827653051E-2</v>
      </c>
      <c r="S194" s="230">
        <f>S$191*'Methanol recycling rates'!U62</f>
        <v>6.9826432840818686E-2</v>
      </c>
      <c r="T194" s="230">
        <f>T$191*'Methanol recycling rates'!V62</f>
        <v>7.5736761604574279E-2</v>
      </c>
      <c r="U194" s="230">
        <f>U$191*'Methanol recycling rates'!W62</f>
        <v>8.1715588472309003E-2</v>
      </c>
      <c r="V194" s="230">
        <f>V$191*'Methanol recycling rates'!X62</f>
        <v>8.7723894839370778E-2</v>
      </c>
      <c r="W194" s="230">
        <f>W$191*'Methanol recycling rates'!Y62</f>
        <v>9.3719332586437179E-2</v>
      </c>
      <c r="X194" s="230">
        <f>X$191*'Methanol recycling rates'!Z62</f>
        <v>0.10216015499999158</v>
      </c>
      <c r="Y194" s="230">
        <f>Y$191*'Methanol recycling rates'!AA62</f>
        <v>0.11059671101903364</v>
      </c>
      <c r="Z194" s="230">
        <f>Z$191*'Methanol recycling rates'!AB62</f>
        <v>0.11895452203849347</v>
      </c>
      <c r="AA194" s="230">
        <f>AA$191*'Methanol recycling rates'!AC62</f>
        <v>0.12715327644913074</v>
      </c>
      <c r="AB194" s="230">
        <f>AB$191*'Methanol recycling rates'!AD62</f>
        <v>0.13510668740619167</v>
      </c>
      <c r="AC194" s="230">
        <f>AC$191*'Methanol recycling rates'!AE62</f>
        <v>0.14130026196920059</v>
      </c>
      <c r="AD194" s="230">
        <f>AD$191*'Methanol recycling rates'!AF62</f>
        <v>0.14676392940094563</v>
      </c>
      <c r="AE194" s="230">
        <f>AE$191*'Methanol recycling rates'!AG62</f>
        <v>0.15136336389108621</v>
      </c>
      <c r="AF194" s="230">
        <f>AF$191*'Methanol recycling rates'!AH62</f>
        <v>0.15495622669190176</v>
      </c>
      <c r="AG194" s="230">
        <f>AG$191*'Methanol recycling rates'!AI62</f>
        <v>0.15739200631086367</v>
      </c>
      <c r="AH194" s="245"/>
      <c r="AI194" s="133"/>
      <c r="AJ194" s="211"/>
      <c r="AL194" s="108"/>
      <c r="AM194" s="2"/>
      <c r="AN194" s="2"/>
      <c r="AO194" s="2"/>
      <c r="BC194" s="1"/>
      <c r="BD194" s="2"/>
      <c r="BE194" s="2"/>
      <c r="BF194" s="2"/>
      <c r="BG194" s="2"/>
      <c r="BH194" s="2"/>
      <c r="BI194" s="2"/>
      <c r="BJ194" s="2"/>
      <c r="BK194" s="2"/>
    </row>
    <row r="195" spans="1:63" s="1" customFormat="1" outlineLevel="1" x14ac:dyDescent="0.2">
      <c r="A195" s="1" t="s">
        <v>1562</v>
      </c>
      <c r="B195" s="65"/>
      <c r="C195" s="300">
        <f>C191-$C191</f>
        <v>0</v>
      </c>
      <c r="D195" s="300">
        <f t="shared" ref="D195:AG195" si="158">D191-$C191</f>
        <v>-5.8355004134645408E-3</v>
      </c>
      <c r="E195" s="300">
        <f t="shared" si="158"/>
        <v>-1.8459246249419407E-3</v>
      </c>
      <c r="F195" s="300">
        <f t="shared" si="158"/>
        <v>2.6386493237511126E-3</v>
      </c>
      <c r="G195" s="300">
        <f t="shared" si="158"/>
        <v>7.6308302665281207E-3</v>
      </c>
      <c r="H195" s="300">
        <f t="shared" si="158"/>
        <v>1.3137721716277001E-2</v>
      </c>
      <c r="I195" s="300">
        <f t="shared" si="158"/>
        <v>1.7979758119226245E-2</v>
      </c>
      <c r="J195" s="300">
        <f t="shared" si="158"/>
        <v>2.3046017231956949E-2</v>
      </c>
      <c r="K195" s="300">
        <f t="shared" si="158"/>
        <v>2.8311502319114924E-2</v>
      </c>
      <c r="L195" s="300">
        <f t="shared" si="158"/>
        <v>3.3746995651345153E-2</v>
      </c>
      <c r="M195" s="300">
        <f t="shared" si="158"/>
        <v>3.9318889787609147E-2</v>
      </c>
      <c r="N195" s="300">
        <f t="shared" si="158"/>
        <v>4.7047306838716003E-2</v>
      </c>
      <c r="O195" s="300">
        <f t="shared" si="158"/>
        <v>5.4934880428606385E-2</v>
      </c>
      <c r="P195" s="300">
        <f t="shared" si="158"/>
        <v>6.2879129442566656E-2</v>
      </c>
      <c r="Q195" s="300">
        <f t="shared" si="158"/>
        <v>7.0768459364620673E-2</v>
      </c>
      <c r="R195" s="300">
        <f t="shared" si="158"/>
        <v>7.8483442189796082E-2</v>
      </c>
      <c r="S195" s="300">
        <f t="shared" si="158"/>
        <v>8.7580043455728479E-2</v>
      </c>
      <c r="T195" s="300">
        <f t="shared" si="158"/>
        <v>9.6840015700072585E-2</v>
      </c>
      <c r="U195" s="300">
        <f t="shared" si="158"/>
        <v>0.10620730693917829</v>
      </c>
      <c r="V195" s="300">
        <f t="shared" si="158"/>
        <v>0.11562078500755477</v>
      </c>
      <c r="W195" s="300">
        <f t="shared" si="158"/>
        <v>0.12501410124251328</v>
      </c>
      <c r="X195" s="300">
        <f t="shared" si="158"/>
        <v>0.13823870927925555</v>
      </c>
      <c r="Y195" s="300">
        <f t="shared" si="158"/>
        <v>0.15145663296791045</v>
      </c>
      <c r="Z195" s="300">
        <f t="shared" si="158"/>
        <v>0.16455118339939837</v>
      </c>
      <c r="AA195" s="300">
        <f t="shared" si="158"/>
        <v>0.17739653284023946</v>
      </c>
      <c r="AB195" s="300">
        <f t="shared" si="158"/>
        <v>0.18985749189244755</v>
      </c>
      <c r="AC195" s="300">
        <f t="shared" si="158"/>
        <v>0.19956123779884194</v>
      </c>
      <c r="AD195" s="300">
        <f t="shared" si="158"/>
        <v>0.20812140607248247</v>
      </c>
      <c r="AE195" s="300">
        <f t="shared" si="158"/>
        <v>0.21532754255334338</v>
      </c>
      <c r="AF195" s="300">
        <f t="shared" si="158"/>
        <v>0.22095663885967945</v>
      </c>
      <c r="AG195" s="300">
        <f t="shared" si="158"/>
        <v>0.22477288201069395</v>
      </c>
      <c r="AH195" s="245"/>
      <c r="AI195" s="423"/>
      <c r="AJ195" s="424"/>
      <c r="AL195" s="221"/>
      <c r="AM195" s="124"/>
      <c r="AN195" s="124"/>
      <c r="AO195" s="124"/>
      <c r="BD195" s="124"/>
      <c r="BE195" s="124"/>
      <c r="BF195" s="124"/>
      <c r="BG195" s="124"/>
      <c r="BH195" s="124"/>
      <c r="BI195" s="124"/>
      <c r="BJ195" s="124"/>
      <c r="BK195" s="124"/>
    </row>
    <row r="196" spans="1:63" outlineLevel="1" x14ac:dyDescent="0.2">
      <c r="A196" s="4" t="s">
        <v>474</v>
      </c>
      <c r="C196" s="230">
        <f>C192-$C192</f>
        <v>0</v>
      </c>
      <c r="D196" s="230">
        <f t="shared" ref="D196:AF196" si="159">D192-$C192</f>
        <v>-2.1108968148227459E-3</v>
      </c>
      <c r="E196" s="230">
        <f t="shared" si="159"/>
        <v>-6.6773303660506902E-4</v>
      </c>
      <c r="F196" s="230">
        <f t="shared" si="159"/>
        <v>9.5448822865108057E-4</v>
      </c>
      <c r="G196" s="230">
        <f t="shared" si="159"/>
        <v>2.7603280203529184E-3</v>
      </c>
      <c r="H196" s="230">
        <f t="shared" si="159"/>
        <v>4.7523559180851823E-3</v>
      </c>
      <c r="I196" s="230">
        <f t="shared" si="159"/>
        <v>6.5038833786364384E-3</v>
      </c>
      <c r="J196" s="230">
        <f t="shared" si="159"/>
        <v>8.3365197365149069E-3</v>
      </c>
      <c r="K196" s="230">
        <f t="shared" si="159"/>
        <v>1.0241222831614083E-2</v>
      </c>
      <c r="L196" s="230">
        <f t="shared" si="159"/>
        <v>1.2207423628296589E-2</v>
      </c>
      <c r="M196" s="230">
        <f t="shared" si="159"/>
        <v>1.4222965184532426E-2</v>
      </c>
      <c r="N196" s="230">
        <f t="shared" si="159"/>
        <v>1.7018593627838065E-2</v>
      </c>
      <c r="O196" s="230">
        <f t="shared" si="159"/>
        <v>1.987179434549418E-2</v>
      </c>
      <c r="P196" s="230">
        <f t="shared" si="159"/>
        <v>2.2745496470685432E-2</v>
      </c>
      <c r="Q196" s="230">
        <f t="shared" si="159"/>
        <v>2.5599332512770877E-2</v>
      </c>
      <c r="R196" s="230">
        <f t="shared" si="159"/>
        <v>2.839010134460894E-2</v>
      </c>
      <c r="S196" s="230">
        <f t="shared" si="159"/>
        <v>3.1680648046253167E-2</v>
      </c>
      <c r="T196" s="230">
        <f t="shared" si="159"/>
        <v>3.5030291526841666E-2</v>
      </c>
      <c r="U196" s="230">
        <f t="shared" si="159"/>
        <v>3.8418755898212649E-2</v>
      </c>
      <c r="V196" s="230">
        <f t="shared" si="159"/>
        <v>4.1823927599527348E-2</v>
      </c>
      <c r="W196" s="230">
        <f t="shared" si="159"/>
        <v>4.5221806087419464E-2</v>
      </c>
      <c r="X196" s="230">
        <f t="shared" si="159"/>
        <v>5.0005591710607339E-2</v>
      </c>
      <c r="Y196" s="230">
        <f t="shared" si="159"/>
        <v>5.4786959380220185E-2</v>
      </c>
      <c r="Z196" s="230">
        <f t="shared" si="159"/>
        <v>5.9523698792248267E-2</v>
      </c>
      <c r="AA196" s="230">
        <f t="shared" si="159"/>
        <v>6.4170293822452068E-2</v>
      </c>
      <c r="AB196" s="230">
        <f t="shared" si="159"/>
        <v>6.8677841917599264E-2</v>
      </c>
      <c r="AC196" s="230">
        <f t="shared" si="159"/>
        <v>7.2188013260984715E-2</v>
      </c>
      <c r="AD196" s="230">
        <f t="shared" si="159"/>
        <v>7.5284514102880215E-2</v>
      </c>
      <c r="AE196" s="230">
        <f t="shared" si="159"/>
        <v>7.7891216093600543E-2</v>
      </c>
      <c r="AF196" s="230">
        <f t="shared" si="159"/>
        <v>7.9927449599121056E-2</v>
      </c>
      <c r="AG196" s="230">
        <f>AG192-$C192</f>
        <v>8.1307913131173651E-2</v>
      </c>
      <c r="AH196" s="245"/>
      <c r="AI196" s="133"/>
      <c r="AJ196" s="211"/>
      <c r="AL196" s="108"/>
      <c r="AM196" s="2"/>
      <c r="AN196" s="2"/>
      <c r="AO196" s="2"/>
      <c r="BC196" s="1"/>
      <c r="BD196" s="2"/>
      <c r="BE196" s="2"/>
      <c r="BF196" s="2"/>
      <c r="BG196" s="2"/>
      <c r="BH196" s="2"/>
      <c r="BI196" s="2"/>
      <c r="BJ196" s="2"/>
      <c r="BK196" s="2"/>
    </row>
    <row r="197" spans="1:63" outlineLevel="1" x14ac:dyDescent="0.2">
      <c r="A197" s="4" t="s">
        <v>745</v>
      </c>
      <c r="C197" s="230">
        <f t="shared" ref="C197:AG197" si="160">C193-$C193</f>
        <v>0</v>
      </c>
      <c r="D197" s="230">
        <f t="shared" si="160"/>
        <v>0</v>
      </c>
      <c r="E197" s="230">
        <f t="shared" si="160"/>
        <v>0</v>
      </c>
      <c r="F197" s="230">
        <f t="shared" si="160"/>
        <v>0</v>
      </c>
      <c r="G197" s="230">
        <f t="shared" si="160"/>
        <v>0</v>
      </c>
      <c r="H197" s="230">
        <f t="shared" si="160"/>
        <v>0</v>
      </c>
      <c r="I197" s="230">
        <f t="shared" si="160"/>
        <v>0</v>
      </c>
      <c r="J197" s="230">
        <f t="shared" si="160"/>
        <v>0</v>
      </c>
      <c r="K197" s="230">
        <f t="shared" si="160"/>
        <v>0</v>
      </c>
      <c r="L197" s="230">
        <f t="shared" si="160"/>
        <v>0</v>
      </c>
      <c r="M197" s="230">
        <f t="shared" si="160"/>
        <v>0</v>
      </c>
      <c r="N197" s="230">
        <f t="shared" si="160"/>
        <v>0</v>
      </c>
      <c r="O197" s="230">
        <f t="shared" si="160"/>
        <v>0</v>
      </c>
      <c r="P197" s="230">
        <f t="shared" si="160"/>
        <v>0</v>
      </c>
      <c r="Q197" s="230">
        <f t="shared" si="160"/>
        <v>0</v>
      </c>
      <c r="R197" s="230">
        <f t="shared" si="160"/>
        <v>0</v>
      </c>
      <c r="S197" s="230">
        <f t="shared" si="160"/>
        <v>0</v>
      </c>
      <c r="T197" s="230">
        <f t="shared" si="160"/>
        <v>0</v>
      </c>
      <c r="U197" s="230">
        <f t="shared" si="160"/>
        <v>0</v>
      </c>
      <c r="V197" s="230">
        <f t="shared" si="160"/>
        <v>0</v>
      </c>
      <c r="W197" s="230">
        <f t="shared" si="160"/>
        <v>0</v>
      </c>
      <c r="X197" s="230">
        <f t="shared" si="160"/>
        <v>0</v>
      </c>
      <c r="Y197" s="230">
        <f t="shared" si="160"/>
        <v>0</v>
      </c>
      <c r="Z197" s="230">
        <f t="shared" si="160"/>
        <v>0</v>
      </c>
      <c r="AA197" s="230">
        <f t="shared" si="160"/>
        <v>0</v>
      </c>
      <c r="AB197" s="230">
        <f t="shared" si="160"/>
        <v>0</v>
      </c>
      <c r="AC197" s="230">
        <f t="shared" si="160"/>
        <v>0</v>
      </c>
      <c r="AD197" s="230">
        <f t="shared" si="160"/>
        <v>0</v>
      </c>
      <c r="AE197" s="230">
        <f t="shared" si="160"/>
        <v>0</v>
      </c>
      <c r="AF197" s="230">
        <f t="shared" si="160"/>
        <v>0</v>
      </c>
      <c r="AG197" s="230">
        <f t="shared" si="160"/>
        <v>0</v>
      </c>
      <c r="AH197" s="245"/>
      <c r="AI197" s="133"/>
      <c r="AJ197" s="211"/>
      <c r="AL197" s="108"/>
      <c r="AM197" s="2"/>
      <c r="AN197" s="2"/>
      <c r="AO197" s="2"/>
      <c r="BC197" s="1"/>
      <c r="BD197" s="2"/>
      <c r="BE197" s="2"/>
      <c r="BF197" s="2"/>
      <c r="BG197" s="2"/>
      <c r="BH197" s="2"/>
      <c r="BI197" s="2"/>
      <c r="BJ197" s="2"/>
      <c r="BK197" s="2"/>
    </row>
    <row r="198" spans="1:63" outlineLevel="1" x14ac:dyDescent="0.2">
      <c r="A198" s="4" t="s">
        <v>1561</v>
      </c>
      <c r="C198" s="230">
        <f t="shared" ref="C198:AG198" si="161">C194-$C194</f>
        <v>0</v>
      </c>
      <c r="D198" s="230">
        <f t="shared" si="161"/>
        <v>-3.7246035986417941E-3</v>
      </c>
      <c r="E198" s="230">
        <f t="shared" si="161"/>
        <v>-1.1781915883368708E-3</v>
      </c>
      <c r="F198" s="230">
        <f t="shared" si="161"/>
        <v>1.684161095100032E-3</v>
      </c>
      <c r="G198" s="230">
        <f t="shared" si="161"/>
        <v>4.8705022461752023E-3</v>
      </c>
      <c r="H198" s="230">
        <f t="shared" si="161"/>
        <v>8.3853657981918187E-3</v>
      </c>
      <c r="I198" s="230">
        <f t="shared" si="161"/>
        <v>1.1475874740589807E-2</v>
      </c>
      <c r="J198" s="230">
        <f t="shared" si="161"/>
        <v>1.4709497495442042E-2</v>
      </c>
      <c r="K198" s="230">
        <f t="shared" si="161"/>
        <v>1.807027948750084E-2</v>
      </c>
      <c r="L198" s="230">
        <f t="shared" si="161"/>
        <v>2.153957202304857E-2</v>
      </c>
      <c r="M198" s="230">
        <f t="shared" si="161"/>
        <v>2.5095924603076719E-2</v>
      </c>
      <c r="N198" s="230">
        <f t="shared" si="161"/>
        <v>3.0028713210877946E-2</v>
      </c>
      <c r="O198" s="230">
        <f t="shared" si="161"/>
        <v>3.5063086083112205E-2</v>
      </c>
      <c r="P198" s="230">
        <f t="shared" si="161"/>
        <v>4.0133632971881217E-2</v>
      </c>
      <c r="Q198" s="230">
        <f t="shared" si="161"/>
        <v>4.5169126851849803E-2</v>
      </c>
      <c r="R198" s="230">
        <f t="shared" si="161"/>
        <v>5.009334084518715E-2</v>
      </c>
      <c r="S198" s="230">
        <f t="shared" si="161"/>
        <v>5.5899395409475326E-2</v>
      </c>
      <c r="T198" s="230">
        <f t="shared" si="161"/>
        <v>6.1809724173230919E-2</v>
      </c>
      <c r="U198" s="230">
        <f t="shared" si="161"/>
        <v>6.7788551040965636E-2</v>
      </c>
      <c r="V198" s="230">
        <f t="shared" si="161"/>
        <v>7.3796857408027411E-2</v>
      </c>
      <c r="W198" s="230">
        <f t="shared" si="161"/>
        <v>7.9792295155093812E-2</v>
      </c>
      <c r="X198" s="230">
        <f t="shared" si="161"/>
        <v>8.8233117568648212E-2</v>
      </c>
      <c r="Y198" s="230">
        <f t="shared" si="161"/>
        <v>9.6669673587690269E-2</v>
      </c>
      <c r="Z198" s="230">
        <f t="shared" si="161"/>
        <v>0.1050274846071501</v>
      </c>
      <c r="AA198" s="230">
        <f t="shared" si="161"/>
        <v>0.11322623901778738</v>
      </c>
      <c r="AB198" s="230">
        <f t="shared" si="161"/>
        <v>0.1211796499748483</v>
      </c>
      <c r="AC198" s="230">
        <f t="shared" si="161"/>
        <v>0.12737322453785724</v>
      </c>
      <c r="AD198" s="230">
        <f t="shared" si="161"/>
        <v>0.13283689196960227</v>
      </c>
      <c r="AE198" s="230">
        <f t="shared" si="161"/>
        <v>0.13743632645974285</v>
      </c>
      <c r="AF198" s="230">
        <f t="shared" si="161"/>
        <v>0.14102918926055841</v>
      </c>
      <c r="AG198" s="230">
        <f t="shared" si="161"/>
        <v>0.14346496887952032</v>
      </c>
      <c r="AH198" s="245"/>
      <c r="AI198" s="133"/>
      <c r="AJ198" s="211"/>
      <c r="AL198" s="108"/>
      <c r="AM198" s="2"/>
      <c r="AN198" s="2"/>
      <c r="AO198" s="2"/>
      <c r="BC198" s="1"/>
      <c r="BD198" s="2"/>
      <c r="BE198" s="2"/>
      <c r="BF198" s="2"/>
      <c r="BG198" s="2"/>
      <c r="BH198" s="2"/>
      <c r="BI198" s="2"/>
      <c r="BJ198" s="2"/>
      <c r="BK198" s="2"/>
    </row>
    <row r="199" spans="1:63" s="1" customFormat="1" outlineLevel="1" x14ac:dyDescent="0.2">
      <c r="A199" s="1" t="s">
        <v>1569</v>
      </c>
      <c r="B199" s="65"/>
      <c r="C199" s="300">
        <f>C185*C45</f>
        <v>2.1820102605973023E-2</v>
      </c>
      <c r="D199" s="300">
        <f t="shared" ref="D199:AG199" si="162">D185*D45</f>
        <v>1.5984602192508482E-2</v>
      </c>
      <c r="E199" s="300">
        <f t="shared" si="162"/>
        <v>1.9974177981031082E-2</v>
      </c>
      <c r="F199" s="300">
        <f t="shared" si="162"/>
        <v>2.4458751929724135E-2</v>
      </c>
      <c r="G199" s="300">
        <f t="shared" si="162"/>
        <v>2.9450932872501143E-2</v>
      </c>
      <c r="H199" s="300">
        <f t="shared" si="162"/>
        <v>3.4957824322250024E-2</v>
      </c>
      <c r="I199" s="300">
        <f t="shared" si="162"/>
        <v>3.9799860725199268E-2</v>
      </c>
      <c r="J199" s="300">
        <f t="shared" si="162"/>
        <v>4.4866119837929971E-2</v>
      </c>
      <c r="K199" s="300">
        <f t="shared" si="162"/>
        <v>5.0131604925087947E-2</v>
      </c>
      <c r="L199" s="300">
        <f t="shared" si="162"/>
        <v>5.5567098257318176E-2</v>
      </c>
      <c r="M199" s="300">
        <f t="shared" si="162"/>
        <v>6.113899239358217E-2</v>
      </c>
      <c r="N199" s="300">
        <f t="shared" si="162"/>
        <v>6.8867409444689026E-2</v>
      </c>
      <c r="O199" s="300">
        <f t="shared" si="162"/>
        <v>7.6754983034579408E-2</v>
      </c>
      <c r="P199" s="300">
        <f t="shared" si="162"/>
        <v>8.4699232048539672E-2</v>
      </c>
      <c r="Q199" s="300">
        <f t="shared" si="162"/>
        <v>9.2588561970593702E-2</v>
      </c>
      <c r="R199" s="300">
        <f t="shared" si="162"/>
        <v>0.10030354479576911</v>
      </c>
      <c r="S199" s="300">
        <f t="shared" si="162"/>
        <v>0.10940014606170151</v>
      </c>
      <c r="T199" s="300">
        <f t="shared" si="162"/>
        <v>0.11866011830604561</v>
      </c>
      <c r="U199" s="300">
        <f t="shared" si="162"/>
        <v>0.12802740954515132</v>
      </c>
      <c r="V199" s="300">
        <f t="shared" si="162"/>
        <v>0.1374408876135278</v>
      </c>
      <c r="W199" s="300">
        <f t="shared" si="162"/>
        <v>0.14683420384848631</v>
      </c>
      <c r="X199" s="300">
        <f t="shared" si="162"/>
        <v>0.16005881188522858</v>
      </c>
      <c r="Y199" s="300">
        <f t="shared" si="162"/>
        <v>0.17327673557388348</v>
      </c>
      <c r="Z199" s="300">
        <f t="shared" si="162"/>
        <v>0.18637128600537139</v>
      </c>
      <c r="AA199" s="300">
        <f t="shared" si="162"/>
        <v>0.19921663544621249</v>
      </c>
      <c r="AB199" s="300">
        <f t="shared" si="162"/>
        <v>0.21167759449842058</v>
      </c>
      <c r="AC199" s="300">
        <f t="shared" si="162"/>
        <v>0.22138134040481497</v>
      </c>
      <c r="AD199" s="300">
        <f t="shared" si="162"/>
        <v>0.2299415086784555</v>
      </c>
      <c r="AE199" s="300">
        <f t="shared" si="162"/>
        <v>0.23714764515931641</v>
      </c>
      <c r="AF199" s="300">
        <f t="shared" si="162"/>
        <v>0.24277674146565248</v>
      </c>
      <c r="AG199" s="300">
        <f t="shared" si="162"/>
        <v>0.24659298461666698</v>
      </c>
      <c r="AH199" s="245"/>
      <c r="AI199" s="423"/>
      <c r="AJ199" s="424"/>
      <c r="AL199" s="221"/>
      <c r="AM199" s="124"/>
      <c r="AN199" s="124"/>
      <c r="AO199" s="124"/>
      <c r="BD199" s="124"/>
      <c r="BE199" s="124"/>
      <c r="BF199" s="124"/>
      <c r="BG199" s="124"/>
      <c r="BH199" s="124"/>
      <c r="BI199" s="124"/>
      <c r="BJ199" s="124"/>
      <c r="BK199" s="124"/>
    </row>
    <row r="200" spans="1:63" outlineLevel="1" x14ac:dyDescent="0.2">
      <c r="A200" s="4" t="s">
        <v>474</v>
      </c>
      <c r="C200" s="230">
        <f>C$199*'Methanol recycling rates'!E63</f>
        <v>7.8930651746296609E-3</v>
      </c>
      <c r="D200" s="230">
        <f>D$199*'Methanol recycling rates'!F63</f>
        <v>5.782168359806915E-3</v>
      </c>
      <c r="E200" s="230">
        <f>E$199*'Methanol recycling rates'!G63</f>
        <v>7.2253321380245919E-3</v>
      </c>
      <c r="F200" s="230">
        <f>F$199*'Methanol recycling rates'!H63</f>
        <v>8.8475534032807415E-3</v>
      </c>
      <c r="G200" s="230">
        <f>G$199*'Methanol recycling rates'!I63</f>
        <v>1.0653393194982579E-2</v>
      </c>
      <c r="H200" s="230">
        <f>H$199*'Methanol recycling rates'!J63</f>
        <v>1.2645421092714843E-2</v>
      </c>
      <c r="I200" s="230">
        <f>I$199*'Methanol recycling rates'!K63</f>
        <v>1.4396948553266099E-2</v>
      </c>
      <c r="J200" s="230">
        <f>J$199*'Methanol recycling rates'!L63</f>
        <v>1.6229584911144568E-2</v>
      </c>
      <c r="K200" s="230">
        <f>K$199*'Methanol recycling rates'!M63</f>
        <v>1.8134288006243744E-2</v>
      </c>
      <c r="L200" s="230">
        <f>L$199*'Methanol recycling rates'!N63</f>
        <v>2.0100488802926249E-2</v>
      </c>
      <c r="M200" s="230">
        <f>M$199*'Methanol recycling rates'!O63</f>
        <v>2.2116030359162087E-2</v>
      </c>
      <c r="N200" s="230">
        <f>N$199*'Methanol recycling rates'!P63</f>
        <v>2.4911658802467724E-2</v>
      </c>
      <c r="O200" s="230">
        <f>O$199*'Methanol recycling rates'!Q63</f>
        <v>2.7764859520123843E-2</v>
      </c>
      <c r="P200" s="230">
        <f>P$199*'Methanol recycling rates'!R63</f>
        <v>3.0638561645315091E-2</v>
      </c>
      <c r="Q200" s="230">
        <f>Q$199*'Methanol recycling rates'!S63</f>
        <v>3.3492397687400539E-2</v>
      </c>
      <c r="R200" s="230">
        <f>R$199*'Methanol recycling rates'!T63</f>
        <v>3.6283166519238602E-2</v>
      </c>
      <c r="S200" s="230">
        <f>S$199*'Methanol recycling rates'!U63</f>
        <v>3.9573713220882829E-2</v>
      </c>
      <c r="T200" s="230">
        <f>T$199*'Methanol recycling rates'!V63</f>
        <v>4.2923356701471328E-2</v>
      </c>
      <c r="U200" s="230">
        <f>U$199*'Methanol recycling rates'!W63</f>
        <v>4.6311821072842312E-2</v>
      </c>
      <c r="V200" s="230">
        <f>V$199*'Methanol recycling rates'!X63</f>
        <v>4.9716992774157011E-2</v>
      </c>
      <c r="W200" s="230">
        <f>W$199*'Methanol recycling rates'!Y63</f>
        <v>5.3114871262049126E-2</v>
      </c>
      <c r="X200" s="230">
        <f>X$199*'Methanol recycling rates'!Z63</f>
        <v>5.7898656885237001E-2</v>
      </c>
      <c r="Y200" s="230">
        <f>Y$199*'Methanol recycling rates'!AA63</f>
        <v>6.2680024554849847E-2</v>
      </c>
      <c r="Z200" s="230">
        <f>Z$199*'Methanol recycling rates'!AB63</f>
        <v>6.7416763966877929E-2</v>
      </c>
      <c r="AA200" s="230">
        <f>AA$199*'Methanol recycling rates'!AC63</f>
        <v>7.2063358997081731E-2</v>
      </c>
      <c r="AB200" s="230">
        <f>AB$199*'Methanol recycling rates'!AD63</f>
        <v>7.6570907092228926E-2</v>
      </c>
      <c r="AC200" s="230">
        <f>AC$199*'Methanol recycling rates'!AE63</f>
        <v>8.0081078435614378E-2</v>
      </c>
      <c r="AD200" s="230">
        <f>AD$199*'Methanol recycling rates'!AF63</f>
        <v>8.3177579277509878E-2</v>
      </c>
      <c r="AE200" s="230">
        <f>AE$199*'Methanol recycling rates'!AG63</f>
        <v>8.5784281268230206E-2</v>
      </c>
      <c r="AF200" s="230">
        <f>AF$199*'Methanol recycling rates'!AH63</f>
        <v>8.7820514773750719E-2</v>
      </c>
      <c r="AG200" s="230">
        <f>AG$199*'Methanol recycling rates'!AI63</f>
        <v>8.9200978305803313E-2</v>
      </c>
      <c r="AH200" s="245"/>
      <c r="AI200" s="133"/>
      <c r="AJ200" s="211"/>
      <c r="AL200" s="108"/>
      <c r="AM200" s="2"/>
      <c r="AN200" s="2"/>
      <c r="AO200" s="2"/>
      <c r="BC200" s="1"/>
      <c r="BD200" s="2"/>
      <c r="BE200" s="2"/>
      <c r="BF200" s="2"/>
      <c r="BG200" s="2"/>
      <c r="BH200" s="2"/>
      <c r="BI200" s="2"/>
      <c r="BJ200" s="2"/>
      <c r="BK200" s="2"/>
    </row>
    <row r="201" spans="1:63" outlineLevel="1" x14ac:dyDescent="0.2">
      <c r="A201" s="4" t="s">
        <v>745</v>
      </c>
      <c r="C201" s="230">
        <f>C$199*'Methanol recycling rates'!E64</f>
        <v>0</v>
      </c>
      <c r="D201" s="230">
        <f>D$199*'Methanol recycling rates'!F64</f>
        <v>0</v>
      </c>
      <c r="E201" s="230">
        <f>E$199*'Methanol recycling rates'!G64</f>
        <v>0</v>
      </c>
      <c r="F201" s="230">
        <f>F$199*'Methanol recycling rates'!H64</f>
        <v>0</v>
      </c>
      <c r="G201" s="230">
        <f>G$199*'Methanol recycling rates'!I64</f>
        <v>0</v>
      </c>
      <c r="H201" s="230">
        <f>H$199*'Methanol recycling rates'!J64</f>
        <v>0</v>
      </c>
      <c r="I201" s="230">
        <f>I$199*'Methanol recycling rates'!K64</f>
        <v>0</v>
      </c>
      <c r="J201" s="230">
        <f>J$199*'Methanol recycling rates'!L64</f>
        <v>0</v>
      </c>
      <c r="K201" s="230">
        <f>K$199*'Methanol recycling rates'!M64</f>
        <v>0</v>
      </c>
      <c r="L201" s="230">
        <f>L$199*'Methanol recycling rates'!N64</f>
        <v>0</v>
      </c>
      <c r="M201" s="230">
        <f>M$199*'Methanol recycling rates'!O64</f>
        <v>0</v>
      </c>
      <c r="N201" s="230">
        <f>N$199*'Methanol recycling rates'!P64</f>
        <v>0</v>
      </c>
      <c r="O201" s="230">
        <f>O$199*'Methanol recycling rates'!Q64</f>
        <v>0</v>
      </c>
      <c r="P201" s="230">
        <f>P$199*'Methanol recycling rates'!R64</f>
        <v>0</v>
      </c>
      <c r="Q201" s="230">
        <f>Q$199*'Methanol recycling rates'!S64</f>
        <v>0</v>
      </c>
      <c r="R201" s="230">
        <f>R$199*'Methanol recycling rates'!T64</f>
        <v>0</v>
      </c>
      <c r="S201" s="230">
        <f>S$199*'Methanol recycling rates'!U64</f>
        <v>0</v>
      </c>
      <c r="T201" s="230">
        <f>T$199*'Methanol recycling rates'!V64</f>
        <v>0</v>
      </c>
      <c r="U201" s="230">
        <f>U$199*'Methanol recycling rates'!W64</f>
        <v>0</v>
      </c>
      <c r="V201" s="230">
        <f>V$199*'Methanol recycling rates'!X64</f>
        <v>0</v>
      </c>
      <c r="W201" s="230">
        <f>W$199*'Methanol recycling rates'!Y64</f>
        <v>0</v>
      </c>
      <c r="X201" s="230">
        <f>X$199*'Methanol recycling rates'!Z64</f>
        <v>0</v>
      </c>
      <c r="Y201" s="230">
        <f>Y$199*'Methanol recycling rates'!AA64</f>
        <v>0</v>
      </c>
      <c r="Z201" s="230">
        <f>Z$199*'Methanol recycling rates'!AB64</f>
        <v>0</v>
      </c>
      <c r="AA201" s="230">
        <f>AA$199*'Methanol recycling rates'!AC64</f>
        <v>0</v>
      </c>
      <c r="AB201" s="230">
        <f>AB$199*'Methanol recycling rates'!AD64</f>
        <v>0</v>
      </c>
      <c r="AC201" s="230">
        <f>AC$199*'Methanol recycling rates'!AE64</f>
        <v>0</v>
      </c>
      <c r="AD201" s="230">
        <f>AD$199*'Methanol recycling rates'!AF64</f>
        <v>0</v>
      </c>
      <c r="AE201" s="230">
        <f>AE$199*'Methanol recycling rates'!AG64</f>
        <v>0</v>
      </c>
      <c r="AF201" s="230">
        <f>AF$199*'Methanol recycling rates'!AH64</f>
        <v>0</v>
      </c>
      <c r="AG201" s="230">
        <f>AG$199*'Methanol recycling rates'!AI64</f>
        <v>0</v>
      </c>
      <c r="AH201" s="245"/>
      <c r="AI201" s="133"/>
      <c r="AJ201" s="211"/>
      <c r="AL201" s="108"/>
      <c r="AM201" s="2"/>
      <c r="AN201" s="2"/>
      <c r="AO201" s="2"/>
      <c r="BC201" s="1"/>
      <c r="BD201" s="2"/>
      <c r="BE201" s="2"/>
      <c r="BF201" s="2"/>
      <c r="BG201" s="2"/>
      <c r="BH201" s="2"/>
      <c r="BI201" s="2"/>
      <c r="BJ201" s="2"/>
      <c r="BK201" s="2"/>
    </row>
    <row r="202" spans="1:63" outlineLevel="1" x14ac:dyDescent="0.2">
      <c r="A202" s="4" t="s">
        <v>1561</v>
      </c>
      <c r="C202" s="230">
        <f>C$199*'Methanol recycling rates'!E65</f>
        <v>1.3927037431343362E-2</v>
      </c>
      <c r="D202" s="230">
        <f>D$199*'Methanol recycling rates'!F65</f>
        <v>1.0202433832701568E-2</v>
      </c>
      <c r="E202" s="230">
        <f>E$199*'Methanol recycling rates'!G65</f>
        <v>1.2748845843006491E-2</v>
      </c>
      <c r="F202" s="230">
        <f>F$199*'Methanol recycling rates'!H65</f>
        <v>1.5611198526443394E-2</v>
      </c>
      <c r="G202" s="230">
        <f>G$199*'Methanol recycling rates'!I65</f>
        <v>1.8797539677518564E-2</v>
      </c>
      <c r="H202" s="230">
        <f>H$199*'Methanol recycling rates'!J65</f>
        <v>2.2312403229535181E-2</v>
      </c>
      <c r="I202" s="230">
        <f>I$199*'Methanol recycling rates'!K65</f>
        <v>2.5402912171933169E-2</v>
      </c>
      <c r="J202" s="230">
        <f>J$199*'Methanol recycling rates'!L65</f>
        <v>2.8636534926785404E-2</v>
      </c>
      <c r="K202" s="230">
        <f>K$199*'Methanol recycling rates'!M65</f>
        <v>3.19973169188442E-2</v>
      </c>
      <c r="L202" s="230">
        <f>L$199*'Methanol recycling rates'!N65</f>
        <v>3.546660945439193E-2</v>
      </c>
      <c r="M202" s="230">
        <f>M$199*'Methanol recycling rates'!O65</f>
        <v>3.9022962034420079E-2</v>
      </c>
      <c r="N202" s="230">
        <f>N$199*'Methanol recycling rates'!P65</f>
        <v>4.3955750642221306E-2</v>
      </c>
      <c r="O202" s="230">
        <f>O$199*'Methanol recycling rates'!Q65</f>
        <v>4.8990123514455565E-2</v>
      </c>
      <c r="P202" s="230">
        <f>P$199*'Methanol recycling rates'!R65</f>
        <v>5.4060670403224577E-2</v>
      </c>
      <c r="Q202" s="230">
        <f>Q$199*'Methanol recycling rates'!S65</f>
        <v>5.9096164283193163E-2</v>
      </c>
      <c r="R202" s="230">
        <f>R$199*'Methanol recycling rates'!T65</f>
        <v>6.402037827653051E-2</v>
      </c>
      <c r="S202" s="230">
        <f>S$199*'Methanol recycling rates'!U65</f>
        <v>6.9826432840818686E-2</v>
      </c>
      <c r="T202" s="230">
        <f>T$199*'Methanol recycling rates'!V65</f>
        <v>7.5736761604574279E-2</v>
      </c>
      <c r="U202" s="230">
        <f>U$199*'Methanol recycling rates'!W65</f>
        <v>8.1715588472309003E-2</v>
      </c>
      <c r="V202" s="230">
        <f>V$199*'Methanol recycling rates'!X65</f>
        <v>8.7723894839370778E-2</v>
      </c>
      <c r="W202" s="230">
        <f>W$199*'Methanol recycling rates'!Y65</f>
        <v>9.3719332586437179E-2</v>
      </c>
      <c r="X202" s="230">
        <f>X$199*'Methanol recycling rates'!Z65</f>
        <v>0.10216015499999158</v>
      </c>
      <c r="Y202" s="230">
        <f>Y$199*'Methanol recycling rates'!AA65</f>
        <v>0.11059671101903364</v>
      </c>
      <c r="Z202" s="230">
        <f>Z$199*'Methanol recycling rates'!AB65</f>
        <v>0.11895452203849347</v>
      </c>
      <c r="AA202" s="230">
        <f>AA$199*'Methanol recycling rates'!AC65</f>
        <v>0.12715327644913074</v>
      </c>
      <c r="AB202" s="230">
        <f>AB$199*'Methanol recycling rates'!AD65</f>
        <v>0.13510668740619167</v>
      </c>
      <c r="AC202" s="230">
        <f>AC$199*'Methanol recycling rates'!AE65</f>
        <v>0.14130026196920059</v>
      </c>
      <c r="AD202" s="230">
        <f>AD$199*'Methanol recycling rates'!AF65</f>
        <v>0.14676392940094563</v>
      </c>
      <c r="AE202" s="230">
        <f>AE$199*'Methanol recycling rates'!AG65</f>
        <v>0.15136336389108621</v>
      </c>
      <c r="AF202" s="230">
        <f>AF$199*'Methanol recycling rates'!AH65</f>
        <v>0.15495622669190176</v>
      </c>
      <c r="AG202" s="230">
        <f>AG$199*'Methanol recycling rates'!AI65</f>
        <v>0.15739200631086367</v>
      </c>
      <c r="AH202" s="245"/>
      <c r="AI202" s="133"/>
      <c r="AJ202" s="211"/>
      <c r="AL202" s="108"/>
      <c r="AM202" s="2"/>
      <c r="AN202" s="2"/>
      <c r="AO202" s="2"/>
      <c r="BC202" s="1"/>
      <c r="BD202" s="2"/>
      <c r="BE202" s="2"/>
      <c r="BF202" s="2"/>
      <c r="BG202" s="2"/>
      <c r="BH202" s="2"/>
      <c r="BI202" s="2"/>
      <c r="BJ202" s="2"/>
      <c r="BK202" s="2"/>
    </row>
    <row r="203" spans="1:63" s="1" customFormat="1" outlineLevel="1" x14ac:dyDescent="0.2">
      <c r="A203" s="1" t="s">
        <v>1570</v>
      </c>
      <c r="B203" s="65"/>
      <c r="C203" s="300">
        <f>C199-$C199</f>
        <v>0</v>
      </c>
      <c r="D203" s="300">
        <f t="shared" ref="D203:AG203" si="163">D199-$C199</f>
        <v>-5.8355004134645408E-3</v>
      </c>
      <c r="E203" s="300">
        <f t="shared" si="163"/>
        <v>-1.8459246249419407E-3</v>
      </c>
      <c r="F203" s="300">
        <f t="shared" si="163"/>
        <v>2.6386493237511126E-3</v>
      </c>
      <c r="G203" s="300">
        <f t="shared" si="163"/>
        <v>7.6308302665281207E-3</v>
      </c>
      <c r="H203" s="300">
        <f t="shared" si="163"/>
        <v>1.3137721716277001E-2</v>
      </c>
      <c r="I203" s="300">
        <f t="shared" si="163"/>
        <v>1.7979758119226245E-2</v>
      </c>
      <c r="J203" s="300">
        <f t="shared" si="163"/>
        <v>2.3046017231956949E-2</v>
      </c>
      <c r="K203" s="300">
        <f t="shared" si="163"/>
        <v>2.8311502319114924E-2</v>
      </c>
      <c r="L203" s="300">
        <f t="shared" si="163"/>
        <v>3.3746995651345153E-2</v>
      </c>
      <c r="M203" s="300">
        <f t="shared" si="163"/>
        <v>3.9318889787609147E-2</v>
      </c>
      <c r="N203" s="300">
        <f t="shared" si="163"/>
        <v>4.7047306838716003E-2</v>
      </c>
      <c r="O203" s="300">
        <f t="shared" si="163"/>
        <v>5.4934880428606385E-2</v>
      </c>
      <c r="P203" s="300">
        <f t="shared" si="163"/>
        <v>6.2879129442566656E-2</v>
      </c>
      <c r="Q203" s="300">
        <f t="shared" si="163"/>
        <v>7.0768459364620673E-2</v>
      </c>
      <c r="R203" s="300">
        <f t="shared" si="163"/>
        <v>7.8483442189796082E-2</v>
      </c>
      <c r="S203" s="300">
        <f t="shared" si="163"/>
        <v>8.7580043455728479E-2</v>
      </c>
      <c r="T203" s="300">
        <f t="shared" si="163"/>
        <v>9.6840015700072585E-2</v>
      </c>
      <c r="U203" s="300">
        <f t="shared" si="163"/>
        <v>0.10620730693917829</v>
      </c>
      <c r="V203" s="300">
        <f t="shared" si="163"/>
        <v>0.11562078500755477</v>
      </c>
      <c r="W203" s="300">
        <f t="shared" si="163"/>
        <v>0.12501410124251328</v>
      </c>
      <c r="X203" s="300">
        <f t="shared" si="163"/>
        <v>0.13823870927925555</v>
      </c>
      <c r="Y203" s="300">
        <f t="shared" si="163"/>
        <v>0.15145663296791045</v>
      </c>
      <c r="Z203" s="300">
        <f t="shared" si="163"/>
        <v>0.16455118339939837</v>
      </c>
      <c r="AA203" s="300">
        <f t="shared" si="163"/>
        <v>0.17739653284023946</v>
      </c>
      <c r="AB203" s="300">
        <f t="shared" si="163"/>
        <v>0.18985749189244755</v>
      </c>
      <c r="AC203" s="300">
        <f t="shared" si="163"/>
        <v>0.19956123779884194</v>
      </c>
      <c r="AD203" s="300">
        <f t="shared" si="163"/>
        <v>0.20812140607248247</v>
      </c>
      <c r="AE203" s="300">
        <f t="shared" si="163"/>
        <v>0.21532754255334338</v>
      </c>
      <c r="AF203" s="300">
        <f t="shared" si="163"/>
        <v>0.22095663885967945</v>
      </c>
      <c r="AG203" s="300">
        <f t="shared" si="163"/>
        <v>0.22477288201069395</v>
      </c>
      <c r="AH203" s="245"/>
      <c r="AI203" s="423"/>
      <c r="AJ203" s="424"/>
      <c r="AL203" s="221"/>
      <c r="AM203" s="124"/>
      <c r="AN203" s="124"/>
      <c r="AO203" s="124"/>
      <c r="BD203" s="124"/>
      <c r="BE203" s="124"/>
      <c r="BF203" s="124"/>
      <c r="BG203" s="124"/>
      <c r="BH203" s="124"/>
      <c r="BI203" s="124"/>
      <c r="BJ203" s="124"/>
      <c r="BK203" s="124"/>
    </row>
    <row r="204" spans="1:63" outlineLevel="1" x14ac:dyDescent="0.2">
      <c r="A204" s="4" t="s">
        <v>474</v>
      </c>
      <c r="C204" s="230">
        <f t="shared" ref="C204:C206" si="164">C200-$C200</f>
        <v>0</v>
      </c>
      <c r="D204" s="230">
        <f t="shared" ref="D204:AG204" si="165">D200-$C200</f>
        <v>-2.1108968148227459E-3</v>
      </c>
      <c r="E204" s="230">
        <f t="shared" si="165"/>
        <v>-6.6773303660506902E-4</v>
      </c>
      <c r="F204" s="230">
        <f t="shared" si="165"/>
        <v>9.5448822865108057E-4</v>
      </c>
      <c r="G204" s="230">
        <f t="shared" si="165"/>
        <v>2.7603280203529184E-3</v>
      </c>
      <c r="H204" s="230">
        <f t="shared" si="165"/>
        <v>4.7523559180851823E-3</v>
      </c>
      <c r="I204" s="230">
        <f t="shared" si="165"/>
        <v>6.5038833786364384E-3</v>
      </c>
      <c r="J204" s="230">
        <f t="shared" si="165"/>
        <v>8.3365197365149069E-3</v>
      </c>
      <c r="K204" s="230">
        <f t="shared" si="165"/>
        <v>1.0241222831614083E-2</v>
      </c>
      <c r="L204" s="230">
        <f t="shared" si="165"/>
        <v>1.2207423628296589E-2</v>
      </c>
      <c r="M204" s="230">
        <f t="shared" si="165"/>
        <v>1.4222965184532426E-2</v>
      </c>
      <c r="N204" s="230">
        <f t="shared" si="165"/>
        <v>1.7018593627838065E-2</v>
      </c>
      <c r="O204" s="230">
        <f t="shared" si="165"/>
        <v>1.987179434549418E-2</v>
      </c>
      <c r="P204" s="230">
        <f t="shared" si="165"/>
        <v>2.2745496470685432E-2</v>
      </c>
      <c r="Q204" s="230">
        <f t="shared" si="165"/>
        <v>2.5599332512770877E-2</v>
      </c>
      <c r="R204" s="230">
        <f t="shared" si="165"/>
        <v>2.839010134460894E-2</v>
      </c>
      <c r="S204" s="230">
        <f t="shared" si="165"/>
        <v>3.1680648046253167E-2</v>
      </c>
      <c r="T204" s="230">
        <f t="shared" si="165"/>
        <v>3.5030291526841666E-2</v>
      </c>
      <c r="U204" s="230">
        <f t="shared" si="165"/>
        <v>3.8418755898212649E-2</v>
      </c>
      <c r="V204" s="230">
        <f t="shared" si="165"/>
        <v>4.1823927599527348E-2</v>
      </c>
      <c r="W204" s="230">
        <f t="shared" si="165"/>
        <v>4.5221806087419464E-2</v>
      </c>
      <c r="X204" s="230">
        <f t="shared" si="165"/>
        <v>5.0005591710607339E-2</v>
      </c>
      <c r="Y204" s="230">
        <f t="shared" si="165"/>
        <v>5.4786959380220185E-2</v>
      </c>
      <c r="Z204" s="230">
        <f t="shared" si="165"/>
        <v>5.9523698792248267E-2</v>
      </c>
      <c r="AA204" s="230">
        <f t="shared" si="165"/>
        <v>6.4170293822452068E-2</v>
      </c>
      <c r="AB204" s="230">
        <f t="shared" si="165"/>
        <v>6.8677841917599264E-2</v>
      </c>
      <c r="AC204" s="230">
        <f t="shared" si="165"/>
        <v>7.2188013260984715E-2</v>
      </c>
      <c r="AD204" s="230">
        <f t="shared" si="165"/>
        <v>7.5284514102880215E-2</v>
      </c>
      <c r="AE204" s="230">
        <f t="shared" si="165"/>
        <v>7.7891216093600543E-2</v>
      </c>
      <c r="AF204" s="230">
        <f t="shared" si="165"/>
        <v>7.9927449599121056E-2</v>
      </c>
      <c r="AG204" s="230">
        <f t="shared" si="165"/>
        <v>8.1307913131173651E-2</v>
      </c>
      <c r="AH204" s="245"/>
      <c r="AI204" s="133"/>
      <c r="AJ204" s="211"/>
      <c r="AL204" s="108"/>
      <c r="AM204" s="2"/>
      <c r="AN204" s="2"/>
      <c r="AO204" s="2"/>
      <c r="BC204" s="1"/>
      <c r="BD204" s="2"/>
      <c r="BE204" s="2"/>
      <c r="BF204" s="2"/>
      <c r="BG204" s="2"/>
      <c r="BH204" s="2"/>
      <c r="BI204" s="2"/>
      <c r="BJ204" s="2"/>
      <c r="BK204" s="2"/>
    </row>
    <row r="205" spans="1:63" outlineLevel="1" x14ac:dyDescent="0.2">
      <c r="A205" s="4" t="s">
        <v>745</v>
      </c>
      <c r="C205" s="230">
        <f t="shared" si="164"/>
        <v>0</v>
      </c>
      <c r="D205" s="230">
        <f t="shared" ref="D205:AG205" si="166">D201-$C201</f>
        <v>0</v>
      </c>
      <c r="E205" s="230">
        <f t="shared" si="166"/>
        <v>0</v>
      </c>
      <c r="F205" s="230">
        <f t="shared" si="166"/>
        <v>0</v>
      </c>
      <c r="G205" s="230">
        <f t="shared" si="166"/>
        <v>0</v>
      </c>
      <c r="H205" s="230">
        <f t="shared" si="166"/>
        <v>0</v>
      </c>
      <c r="I205" s="230">
        <f t="shared" si="166"/>
        <v>0</v>
      </c>
      <c r="J205" s="230">
        <f t="shared" si="166"/>
        <v>0</v>
      </c>
      <c r="K205" s="230">
        <f t="shared" si="166"/>
        <v>0</v>
      </c>
      <c r="L205" s="230">
        <f t="shared" si="166"/>
        <v>0</v>
      </c>
      <c r="M205" s="230">
        <f t="shared" si="166"/>
        <v>0</v>
      </c>
      <c r="N205" s="230">
        <f t="shared" si="166"/>
        <v>0</v>
      </c>
      <c r="O205" s="230">
        <f t="shared" si="166"/>
        <v>0</v>
      </c>
      <c r="P205" s="230">
        <f t="shared" si="166"/>
        <v>0</v>
      </c>
      <c r="Q205" s="230">
        <f t="shared" si="166"/>
        <v>0</v>
      </c>
      <c r="R205" s="230">
        <f t="shared" si="166"/>
        <v>0</v>
      </c>
      <c r="S205" s="230">
        <f t="shared" si="166"/>
        <v>0</v>
      </c>
      <c r="T205" s="230">
        <f t="shared" si="166"/>
        <v>0</v>
      </c>
      <c r="U205" s="230">
        <f t="shared" si="166"/>
        <v>0</v>
      </c>
      <c r="V205" s="230">
        <f t="shared" si="166"/>
        <v>0</v>
      </c>
      <c r="W205" s="230">
        <f t="shared" si="166"/>
        <v>0</v>
      </c>
      <c r="X205" s="230">
        <f t="shared" si="166"/>
        <v>0</v>
      </c>
      <c r="Y205" s="230">
        <f t="shared" si="166"/>
        <v>0</v>
      </c>
      <c r="Z205" s="230">
        <f t="shared" si="166"/>
        <v>0</v>
      </c>
      <c r="AA205" s="230">
        <f t="shared" si="166"/>
        <v>0</v>
      </c>
      <c r="AB205" s="230">
        <f t="shared" si="166"/>
        <v>0</v>
      </c>
      <c r="AC205" s="230">
        <f t="shared" si="166"/>
        <v>0</v>
      </c>
      <c r="AD205" s="230">
        <f t="shared" si="166"/>
        <v>0</v>
      </c>
      <c r="AE205" s="230">
        <f t="shared" si="166"/>
        <v>0</v>
      </c>
      <c r="AF205" s="230">
        <f t="shared" si="166"/>
        <v>0</v>
      </c>
      <c r="AG205" s="230">
        <f t="shared" si="166"/>
        <v>0</v>
      </c>
      <c r="AH205" s="245"/>
      <c r="AI205" s="133"/>
      <c r="AJ205" s="211"/>
      <c r="AL205" s="108"/>
      <c r="AM205" s="2"/>
      <c r="AN205" s="2"/>
      <c r="AO205" s="2"/>
      <c r="BC205" s="1"/>
      <c r="BD205" s="2"/>
      <c r="BE205" s="2"/>
      <c r="BF205" s="2"/>
      <c r="BG205" s="2"/>
      <c r="BH205" s="2"/>
      <c r="BI205" s="2"/>
      <c r="BJ205" s="2"/>
      <c r="BK205" s="2"/>
    </row>
    <row r="206" spans="1:63" outlineLevel="1" x14ac:dyDescent="0.2">
      <c r="A206" s="4" t="s">
        <v>1561</v>
      </c>
      <c r="C206" s="230">
        <f t="shared" si="164"/>
        <v>0</v>
      </c>
      <c r="D206" s="230">
        <f t="shared" ref="D206:AG206" si="167">D202-$C202</f>
        <v>-3.7246035986417941E-3</v>
      </c>
      <c r="E206" s="230">
        <f t="shared" si="167"/>
        <v>-1.1781915883368708E-3</v>
      </c>
      <c r="F206" s="230">
        <f t="shared" si="167"/>
        <v>1.684161095100032E-3</v>
      </c>
      <c r="G206" s="230">
        <f t="shared" si="167"/>
        <v>4.8705022461752023E-3</v>
      </c>
      <c r="H206" s="230">
        <f t="shared" si="167"/>
        <v>8.3853657981918187E-3</v>
      </c>
      <c r="I206" s="230">
        <f t="shared" si="167"/>
        <v>1.1475874740589807E-2</v>
      </c>
      <c r="J206" s="230">
        <f t="shared" si="167"/>
        <v>1.4709497495442042E-2</v>
      </c>
      <c r="K206" s="230">
        <f t="shared" si="167"/>
        <v>1.807027948750084E-2</v>
      </c>
      <c r="L206" s="230">
        <f t="shared" si="167"/>
        <v>2.153957202304857E-2</v>
      </c>
      <c r="M206" s="230">
        <f t="shared" si="167"/>
        <v>2.5095924603076719E-2</v>
      </c>
      <c r="N206" s="230">
        <f t="shared" si="167"/>
        <v>3.0028713210877946E-2</v>
      </c>
      <c r="O206" s="230">
        <f t="shared" si="167"/>
        <v>3.5063086083112205E-2</v>
      </c>
      <c r="P206" s="230">
        <f t="shared" si="167"/>
        <v>4.0133632971881217E-2</v>
      </c>
      <c r="Q206" s="230">
        <f t="shared" si="167"/>
        <v>4.5169126851849803E-2</v>
      </c>
      <c r="R206" s="230">
        <f t="shared" si="167"/>
        <v>5.009334084518715E-2</v>
      </c>
      <c r="S206" s="230">
        <f t="shared" si="167"/>
        <v>5.5899395409475326E-2</v>
      </c>
      <c r="T206" s="230">
        <f t="shared" si="167"/>
        <v>6.1809724173230919E-2</v>
      </c>
      <c r="U206" s="230">
        <f t="shared" si="167"/>
        <v>6.7788551040965636E-2</v>
      </c>
      <c r="V206" s="230">
        <f t="shared" si="167"/>
        <v>7.3796857408027411E-2</v>
      </c>
      <c r="W206" s="230">
        <f t="shared" si="167"/>
        <v>7.9792295155093812E-2</v>
      </c>
      <c r="X206" s="230">
        <f t="shared" si="167"/>
        <v>8.8233117568648212E-2</v>
      </c>
      <c r="Y206" s="230">
        <f t="shared" si="167"/>
        <v>9.6669673587690269E-2</v>
      </c>
      <c r="Z206" s="230">
        <f t="shared" si="167"/>
        <v>0.1050274846071501</v>
      </c>
      <c r="AA206" s="230">
        <f t="shared" si="167"/>
        <v>0.11322623901778738</v>
      </c>
      <c r="AB206" s="230">
        <f t="shared" si="167"/>
        <v>0.1211796499748483</v>
      </c>
      <c r="AC206" s="230">
        <f t="shared" si="167"/>
        <v>0.12737322453785724</v>
      </c>
      <c r="AD206" s="230">
        <f t="shared" si="167"/>
        <v>0.13283689196960227</v>
      </c>
      <c r="AE206" s="230">
        <f t="shared" si="167"/>
        <v>0.13743632645974285</v>
      </c>
      <c r="AF206" s="230">
        <f t="shared" si="167"/>
        <v>0.14102918926055841</v>
      </c>
      <c r="AG206" s="230">
        <f t="shared" si="167"/>
        <v>0.14346496887952032</v>
      </c>
      <c r="AH206" s="245"/>
      <c r="AI206" s="133"/>
      <c r="AJ206" s="211"/>
      <c r="AL206" s="108"/>
      <c r="AM206" s="2"/>
      <c r="AN206" s="2"/>
      <c r="AO206" s="2"/>
      <c r="BC206" s="1"/>
      <c r="BD206" s="2"/>
      <c r="BE206" s="2"/>
      <c r="BF206" s="2"/>
      <c r="BG206" s="2"/>
      <c r="BH206" s="2"/>
      <c r="BI206" s="2"/>
      <c r="BJ206" s="2"/>
      <c r="BK206" s="2"/>
    </row>
    <row r="207" spans="1:63" s="1" customFormat="1" outlineLevel="1" x14ac:dyDescent="0.2">
      <c r="A207" s="1" t="s">
        <v>1567</v>
      </c>
      <c r="B207" s="65"/>
      <c r="C207" s="300">
        <f>C185*C45</f>
        <v>2.1820102605973023E-2</v>
      </c>
      <c r="D207" s="300">
        <f t="shared" ref="D207:AG207" si="168">D185*D45</f>
        <v>1.5984602192508482E-2</v>
      </c>
      <c r="E207" s="300">
        <f t="shared" si="168"/>
        <v>1.9974177981031082E-2</v>
      </c>
      <c r="F207" s="300">
        <f t="shared" si="168"/>
        <v>2.4458751929724135E-2</v>
      </c>
      <c r="G207" s="300">
        <f t="shared" si="168"/>
        <v>2.9450932872501143E-2</v>
      </c>
      <c r="H207" s="300">
        <f t="shared" si="168"/>
        <v>3.4957824322250024E-2</v>
      </c>
      <c r="I207" s="300">
        <f t="shared" si="168"/>
        <v>3.9799860725199268E-2</v>
      </c>
      <c r="J207" s="300">
        <f t="shared" si="168"/>
        <v>4.4866119837929971E-2</v>
      </c>
      <c r="K207" s="300">
        <f t="shared" si="168"/>
        <v>5.0131604925087947E-2</v>
      </c>
      <c r="L207" s="300">
        <f t="shared" si="168"/>
        <v>5.5567098257318176E-2</v>
      </c>
      <c r="M207" s="300">
        <f t="shared" si="168"/>
        <v>6.113899239358217E-2</v>
      </c>
      <c r="N207" s="300">
        <f t="shared" si="168"/>
        <v>6.8867409444689026E-2</v>
      </c>
      <c r="O207" s="300">
        <f t="shared" si="168"/>
        <v>7.6754983034579408E-2</v>
      </c>
      <c r="P207" s="300">
        <f t="shared" si="168"/>
        <v>8.4699232048539672E-2</v>
      </c>
      <c r="Q207" s="300">
        <f t="shared" si="168"/>
        <v>9.2588561970593702E-2</v>
      </c>
      <c r="R207" s="300">
        <f t="shared" si="168"/>
        <v>0.10030354479576911</v>
      </c>
      <c r="S207" s="300">
        <f t="shared" si="168"/>
        <v>0.10940014606170151</v>
      </c>
      <c r="T207" s="300">
        <f t="shared" si="168"/>
        <v>0.11866011830604561</v>
      </c>
      <c r="U207" s="300">
        <f t="shared" si="168"/>
        <v>0.12802740954515132</v>
      </c>
      <c r="V207" s="300">
        <f t="shared" si="168"/>
        <v>0.1374408876135278</v>
      </c>
      <c r="W207" s="300">
        <f t="shared" si="168"/>
        <v>0.14683420384848631</v>
      </c>
      <c r="X207" s="300">
        <f t="shared" si="168"/>
        <v>0.16005881188522858</v>
      </c>
      <c r="Y207" s="300">
        <f t="shared" si="168"/>
        <v>0.17327673557388348</v>
      </c>
      <c r="Z207" s="300">
        <f t="shared" si="168"/>
        <v>0.18637128600537139</v>
      </c>
      <c r="AA207" s="300">
        <f t="shared" si="168"/>
        <v>0.19921663544621249</v>
      </c>
      <c r="AB207" s="300">
        <f t="shared" si="168"/>
        <v>0.21167759449842058</v>
      </c>
      <c r="AC207" s="300">
        <f t="shared" si="168"/>
        <v>0.22138134040481497</v>
      </c>
      <c r="AD207" s="300">
        <f t="shared" si="168"/>
        <v>0.2299415086784555</v>
      </c>
      <c r="AE207" s="300">
        <f t="shared" si="168"/>
        <v>0.23714764515931641</v>
      </c>
      <c r="AF207" s="300">
        <f t="shared" si="168"/>
        <v>0.24277674146565248</v>
      </c>
      <c r="AG207" s="300">
        <f t="shared" si="168"/>
        <v>0.24659298461666698</v>
      </c>
      <c r="AH207" s="245"/>
      <c r="AI207" s="423"/>
      <c r="AJ207" s="424"/>
      <c r="AL207" s="221"/>
      <c r="AM207" s="124"/>
      <c r="AN207" s="124"/>
      <c r="AO207" s="124"/>
      <c r="BD207" s="124"/>
      <c r="BE207" s="124"/>
      <c r="BF207" s="124"/>
      <c r="BG207" s="124"/>
      <c r="BH207" s="124"/>
      <c r="BI207" s="124"/>
      <c r="BJ207" s="124"/>
      <c r="BK207" s="124"/>
    </row>
    <row r="208" spans="1:63" outlineLevel="1" x14ac:dyDescent="0.2">
      <c r="A208" s="4" t="s">
        <v>474</v>
      </c>
      <c r="C208" s="230">
        <f>C$207*'Methanol recycling rates'!E66</f>
        <v>7.8930651746296609E-3</v>
      </c>
      <c r="D208" s="230">
        <f>D$207*'Methanol recycling rates'!F66</f>
        <v>5.782168359806915E-3</v>
      </c>
      <c r="E208" s="230">
        <f>E$207*'Methanol recycling rates'!G66</f>
        <v>7.2253321380245919E-3</v>
      </c>
      <c r="F208" s="230">
        <f>F$207*'Methanol recycling rates'!H66</f>
        <v>8.8475534032807415E-3</v>
      </c>
      <c r="G208" s="230">
        <f>G$207*'Methanol recycling rates'!I66</f>
        <v>1.0653393194982579E-2</v>
      </c>
      <c r="H208" s="230">
        <f>H$207*'Methanol recycling rates'!J66</f>
        <v>1.2645421092714843E-2</v>
      </c>
      <c r="I208" s="230">
        <f>I$207*'Methanol recycling rates'!K66</f>
        <v>1.4396948553266099E-2</v>
      </c>
      <c r="J208" s="230">
        <f>J$207*'Methanol recycling rates'!L66</f>
        <v>1.6229584911144568E-2</v>
      </c>
      <c r="K208" s="230">
        <f>K$207*'Methanol recycling rates'!M66</f>
        <v>1.8134288006243744E-2</v>
      </c>
      <c r="L208" s="230">
        <f>L$207*'Methanol recycling rates'!N66</f>
        <v>2.0100488802926249E-2</v>
      </c>
      <c r="M208" s="230">
        <f>M$207*'Methanol recycling rates'!O66</f>
        <v>2.2116030359162087E-2</v>
      </c>
      <c r="N208" s="230">
        <f>N$207*'Methanol recycling rates'!P66</f>
        <v>2.4911658802467724E-2</v>
      </c>
      <c r="O208" s="230">
        <f>O$207*'Methanol recycling rates'!Q66</f>
        <v>2.7764859520123843E-2</v>
      </c>
      <c r="P208" s="230">
        <f>P$207*'Methanol recycling rates'!R66</f>
        <v>3.0638561645315091E-2</v>
      </c>
      <c r="Q208" s="230">
        <f>Q$207*'Methanol recycling rates'!S66</f>
        <v>3.3492397687400539E-2</v>
      </c>
      <c r="R208" s="230">
        <f>R$207*'Methanol recycling rates'!T66</f>
        <v>3.6283166519238602E-2</v>
      </c>
      <c r="S208" s="230">
        <f>S$207*'Methanol recycling rates'!U66</f>
        <v>3.9573713220882829E-2</v>
      </c>
      <c r="T208" s="230">
        <f>T$207*'Methanol recycling rates'!V66</f>
        <v>4.2923356701471328E-2</v>
      </c>
      <c r="U208" s="230">
        <f>U$207*'Methanol recycling rates'!W66</f>
        <v>4.6311821072842312E-2</v>
      </c>
      <c r="V208" s="230">
        <f>V$207*'Methanol recycling rates'!X66</f>
        <v>4.9716992774157011E-2</v>
      </c>
      <c r="W208" s="230">
        <f>W$207*'Methanol recycling rates'!Y66</f>
        <v>5.3114871262049126E-2</v>
      </c>
      <c r="X208" s="230">
        <f>X$207*'Methanol recycling rates'!Z66</f>
        <v>5.7898656885237001E-2</v>
      </c>
      <c r="Y208" s="230">
        <f>Y$207*'Methanol recycling rates'!AA66</f>
        <v>6.2680024554849847E-2</v>
      </c>
      <c r="Z208" s="230">
        <f>Z$207*'Methanol recycling rates'!AB66</f>
        <v>6.7416763966877929E-2</v>
      </c>
      <c r="AA208" s="230">
        <f>AA$207*'Methanol recycling rates'!AC66</f>
        <v>7.2063358997081731E-2</v>
      </c>
      <c r="AB208" s="230">
        <f>AB$207*'Methanol recycling rates'!AD66</f>
        <v>7.6570907092228926E-2</v>
      </c>
      <c r="AC208" s="230">
        <f>AC$207*'Methanol recycling rates'!AE66</f>
        <v>8.0081078435614378E-2</v>
      </c>
      <c r="AD208" s="230">
        <f>AD$207*'Methanol recycling rates'!AF66</f>
        <v>8.3177579277509878E-2</v>
      </c>
      <c r="AE208" s="230">
        <f>AE$207*'Methanol recycling rates'!AG66</f>
        <v>8.5784281268230206E-2</v>
      </c>
      <c r="AF208" s="230">
        <f>AF$207*'Methanol recycling rates'!AH66</f>
        <v>8.7820514773750719E-2</v>
      </c>
      <c r="AG208" s="230">
        <f>AG$207*'Methanol recycling rates'!AI66</f>
        <v>8.9200978305803313E-2</v>
      </c>
      <c r="AH208" s="245"/>
      <c r="AI208" s="133"/>
      <c r="AJ208" s="211"/>
      <c r="AL208" s="108"/>
      <c r="AM208" s="2"/>
      <c r="AN208" s="2"/>
      <c r="AO208" s="2"/>
      <c r="BC208" s="1"/>
      <c r="BD208" s="2"/>
      <c r="BE208" s="2"/>
      <c r="BF208" s="2"/>
      <c r="BG208" s="2"/>
      <c r="BH208" s="2"/>
      <c r="BI208" s="2"/>
      <c r="BJ208" s="2"/>
      <c r="BK208" s="2"/>
    </row>
    <row r="209" spans="1:63" outlineLevel="1" x14ac:dyDescent="0.2">
      <c r="A209" s="4" t="s">
        <v>745</v>
      </c>
      <c r="C209" s="230">
        <f>C$207*'Methanol recycling rates'!E67</f>
        <v>0</v>
      </c>
      <c r="D209" s="230">
        <f>D$207*'Methanol recycling rates'!F67</f>
        <v>0</v>
      </c>
      <c r="E209" s="230">
        <f>E$207*'Methanol recycling rates'!G67</f>
        <v>0</v>
      </c>
      <c r="F209" s="230">
        <f>F$207*'Methanol recycling rates'!H67</f>
        <v>0</v>
      </c>
      <c r="G209" s="230">
        <f>G$207*'Methanol recycling rates'!I67</f>
        <v>0</v>
      </c>
      <c r="H209" s="230">
        <f>H$207*'Methanol recycling rates'!J67</f>
        <v>0</v>
      </c>
      <c r="I209" s="230">
        <f>I$207*'Methanol recycling rates'!K67</f>
        <v>0</v>
      </c>
      <c r="J209" s="230">
        <f>J$207*'Methanol recycling rates'!L67</f>
        <v>0</v>
      </c>
      <c r="K209" s="230">
        <f>K$207*'Methanol recycling rates'!M67</f>
        <v>0</v>
      </c>
      <c r="L209" s="230">
        <f>L$207*'Methanol recycling rates'!N67</f>
        <v>0</v>
      </c>
      <c r="M209" s="230">
        <f>M$207*'Methanol recycling rates'!O67</f>
        <v>0</v>
      </c>
      <c r="N209" s="230">
        <f>N$207*'Methanol recycling rates'!P67</f>
        <v>0</v>
      </c>
      <c r="O209" s="230">
        <f>O$207*'Methanol recycling rates'!Q67</f>
        <v>0</v>
      </c>
      <c r="P209" s="230">
        <f>P$207*'Methanol recycling rates'!R67</f>
        <v>0</v>
      </c>
      <c r="Q209" s="230">
        <f>Q$207*'Methanol recycling rates'!S67</f>
        <v>0</v>
      </c>
      <c r="R209" s="230">
        <f>R$207*'Methanol recycling rates'!T67</f>
        <v>0</v>
      </c>
      <c r="S209" s="230">
        <f>S$207*'Methanol recycling rates'!U67</f>
        <v>0</v>
      </c>
      <c r="T209" s="230">
        <f>T$207*'Methanol recycling rates'!V67</f>
        <v>0</v>
      </c>
      <c r="U209" s="230">
        <f>U$207*'Methanol recycling rates'!W67</f>
        <v>0</v>
      </c>
      <c r="V209" s="230">
        <f>V$207*'Methanol recycling rates'!X67</f>
        <v>0</v>
      </c>
      <c r="W209" s="230">
        <f>W$207*'Methanol recycling rates'!Y67</f>
        <v>0</v>
      </c>
      <c r="X209" s="230">
        <f>X$207*'Methanol recycling rates'!Z67</f>
        <v>0</v>
      </c>
      <c r="Y209" s="230">
        <f>Y$207*'Methanol recycling rates'!AA67</f>
        <v>0</v>
      </c>
      <c r="Z209" s="230">
        <f>Z$207*'Methanol recycling rates'!AB67</f>
        <v>0</v>
      </c>
      <c r="AA209" s="230">
        <f>AA$207*'Methanol recycling rates'!AC67</f>
        <v>0</v>
      </c>
      <c r="AB209" s="230">
        <f>AB$207*'Methanol recycling rates'!AD67</f>
        <v>0</v>
      </c>
      <c r="AC209" s="230">
        <f>AC$207*'Methanol recycling rates'!AE67</f>
        <v>0</v>
      </c>
      <c r="AD209" s="230">
        <f>AD$207*'Methanol recycling rates'!AF67</f>
        <v>0</v>
      </c>
      <c r="AE209" s="230">
        <f>AE$207*'Methanol recycling rates'!AG67</f>
        <v>0</v>
      </c>
      <c r="AF209" s="230">
        <f>AF$207*'Methanol recycling rates'!AH67</f>
        <v>0</v>
      </c>
      <c r="AG209" s="230">
        <f>AG$207*'Methanol recycling rates'!AI67</f>
        <v>0</v>
      </c>
      <c r="AH209" s="245"/>
      <c r="AI209" s="133"/>
      <c r="AJ209" s="211"/>
      <c r="AL209" s="108"/>
      <c r="AM209" s="2"/>
      <c r="AN209" s="2"/>
      <c r="AO209" s="2"/>
      <c r="BC209" s="1"/>
      <c r="BD209" s="2"/>
      <c r="BE209" s="2"/>
      <c r="BF209" s="2"/>
      <c r="BG209" s="2"/>
      <c r="BH209" s="2"/>
      <c r="BI209" s="2"/>
      <c r="BJ209" s="2"/>
      <c r="BK209" s="2"/>
    </row>
    <row r="210" spans="1:63" outlineLevel="1" x14ac:dyDescent="0.2">
      <c r="A210" s="4" t="s">
        <v>1561</v>
      </c>
      <c r="C210" s="230">
        <f>C$207*'Methanol recycling rates'!E68</f>
        <v>1.3927037431343362E-2</v>
      </c>
      <c r="D210" s="230">
        <f>D$207*'Methanol recycling rates'!F68</f>
        <v>1.0202433832701568E-2</v>
      </c>
      <c r="E210" s="230">
        <f>E$207*'Methanol recycling rates'!G68</f>
        <v>1.2748845843006491E-2</v>
      </c>
      <c r="F210" s="230">
        <f>F$207*'Methanol recycling rates'!H68</f>
        <v>1.5611198526443394E-2</v>
      </c>
      <c r="G210" s="230">
        <f>G$207*'Methanol recycling rates'!I68</f>
        <v>1.8797539677518564E-2</v>
      </c>
      <c r="H210" s="230">
        <f>H$207*'Methanol recycling rates'!J68</f>
        <v>2.2312403229535181E-2</v>
      </c>
      <c r="I210" s="230">
        <f>I$207*'Methanol recycling rates'!K68</f>
        <v>2.5402912171933169E-2</v>
      </c>
      <c r="J210" s="230">
        <f>J$207*'Methanol recycling rates'!L68</f>
        <v>2.8636534926785404E-2</v>
      </c>
      <c r="K210" s="230">
        <f>K$207*'Methanol recycling rates'!M68</f>
        <v>3.19973169188442E-2</v>
      </c>
      <c r="L210" s="230">
        <f>L$207*'Methanol recycling rates'!N68</f>
        <v>3.546660945439193E-2</v>
      </c>
      <c r="M210" s="230">
        <f>M$207*'Methanol recycling rates'!O68</f>
        <v>3.9022962034420079E-2</v>
      </c>
      <c r="N210" s="230">
        <f>N$207*'Methanol recycling rates'!P68</f>
        <v>4.3955750642221306E-2</v>
      </c>
      <c r="O210" s="230">
        <f>O$207*'Methanol recycling rates'!Q68</f>
        <v>4.8990123514455565E-2</v>
      </c>
      <c r="P210" s="230">
        <f>P$207*'Methanol recycling rates'!R68</f>
        <v>5.4060670403224577E-2</v>
      </c>
      <c r="Q210" s="230">
        <f>Q$207*'Methanol recycling rates'!S68</f>
        <v>5.9096164283193163E-2</v>
      </c>
      <c r="R210" s="230">
        <f>R$207*'Methanol recycling rates'!T68</f>
        <v>6.402037827653051E-2</v>
      </c>
      <c r="S210" s="230">
        <f>S$207*'Methanol recycling rates'!U68</f>
        <v>6.9826432840818686E-2</v>
      </c>
      <c r="T210" s="230">
        <f>T$207*'Methanol recycling rates'!V68</f>
        <v>7.5736761604574279E-2</v>
      </c>
      <c r="U210" s="230">
        <f>U$207*'Methanol recycling rates'!W68</f>
        <v>8.1715588472309003E-2</v>
      </c>
      <c r="V210" s="230">
        <f>V$207*'Methanol recycling rates'!X68</f>
        <v>8.7723894839370778E-2</v>
      </c>
      <c r="W210" s="230">
        <f>W$207*'Methanol recycling rates'!Y68</f>
        <v>9.3719332586437179E-2</v>
      </c>
      <c r="X210" s="230">
        <f>X$207*'Methanol recycling rates'!Z68</f>
        <v>0.10216015499999158</v>
      </c>
      <c r="Y210" s="230">
        <f>Y$207*'Methanol recycling rates'!AA68</f>
        <v>0.11059671101903364</v>
      </c>
      <c r="Z210" s="230">
        <f>Z$207*'Methanol recycling rates'!AB68</f>
        <v>0.11895452203849347</v>
      </c>
      <c r="AA210" s="230">
        <f>AA$207*'Methanol recycling rates'!AC68</f>
        <v>0.12715327644913074</v>
      </c>
      <c r="AB210" s="230">
        <f>AB$207*'Methanol recycling rates'!AD68</f>
        <v>0.13510668740619167</v>
      </c>
      <c r="AC210" s="230">
        <f>AC$207*'Methanol recycling rates'!AE68</f>
        <v>0.14130026196920059</v>
      </c>
      <c r="AD210" s="230">
        <f>AD$207*'Methanol recycling rates'!AF68</f>
        <v>0.14676392940094563</v>
      </c>
      <c r="AE210" s="230">
        <f>AE$207*'Methanol recycling rates'!AG68</f>
        <v>0.15136336389108621</v>
      </c>
      <c r="AF210" s="230">
        <f>AF$207*'Methanol recycling rates'!AH68</f>
        <v>0.15495622669190176</v>
      </c>
      <c r="AG210" s="230">
        <f>AG$207*'Methanol recycling rates'!AI68</f>
        <v>0.15739200631086367</v>
      </c>
      <c r="AH210" s="245"/>
      <c r="AI210" s="133"/>
      <c r="AJ210" s="211"/>
      <c r="AL210" s="108"/>
      <c r="AM210" s="2"/>
      <c r="AN210" s="2"/>
      <c r="AO210" s="2"/>
      <c r="BC210" s="1"/>
      <c r="BD210" s="2"/>
      <c r="BE210" s="2"/>
      <c r="BF210" s="2"/>
      <c r="BG210" s="2"/>
      <c r="BH210" s="2"/>
      <c r="BI210" s="2"/>
      <c r="BJ210" s="2"/>
      <c r="BK210" s="2"/>
    </row>
    <row r="211" spans="1:63" s="1" customFormat="1" outlineLevel="1" x14ac:dyDescent="0.2">
      <c r="A211" s="1" t="s">
        <v>1568</v>
      </c>
      <c r="B211" s="65"/>
      <c r="C211" s="300">
        <f>C207-$C207</f>
        <v>0</v>
      </c>
      <c r="D211" s="300">
        <f t="shared" ref="D211:AG211" si="169">D207-$C207</f>
        <v>-5.8355004134645408E-3</v>
      </c>
      <c r="E211" s="300">
        <f t="shared" si="169"/>
        <v>-1.8459246249419407E-3</v>
      </c>
      <c r="F211" s="300">
        <f t="shared" si="169"/>
        <v>2.6386493237511126E-3</v>
      </c>
      <c r="G211" s="300">
        <f t="shared" si="169"/>
        <v>7.6308302665281207E-3</v>
      </c>
      <c r="H211" s="300">
        <f t="shared" si="169"/>
        <v>1.3137721716277001E-2</v>
      </c>
      <c r="I211" s="300">
        <f t="shared" si="169"/>
        <v>1.7979758119226245E-2</v>
      </c>
      <c r="J211" s="300">
        <f t="shared" si="169"/>
        <v>2.3046017231956949E-2</v>
      </c>
      <c r="K211" s="300">
        <f t="shared" si="169"/>
        <v>2.8311502319114924E-2</v>
      </c>
      <c r="L211" s="300">
        <f t="shared" si="169"/>
        <v>3.3746995651345153E-2</v>
      </c>
      <c r="M211" s="300">
        <f t="shared" si="169"/>
        <v>3.9318889787609147E-2</v>
      </c>
      <c r="N211" s="300">
        <f t="shared" si="169"/>
        <v>4.7047306838716003E-2</v>
      </c>
      <c r="O211" s="300">
        <f t="shared" si="169"/>
        <v>5.4934880428606385E-2</v>
      </c>
      <c r="P211" s="300">
        <f t="shared" si="169"/>
        <v>6.2879129442566656E-2</v>
      </c>
      <c r="Q211" s="300">
        <f t="shared" si="169"/>
        <v>7.0768459364620673E-2</v>
      </c>
      <c r="R211" s="300">
        <f t="shared" si="169"/>
        <v>7.8483442189796082E-2</v>
      </c>
      <c r="S211" s="300">
        <f t="shared" si="169"/>
        <v>8.7580043455728479E-2</v>
      </c>
      <c r="T211" s="300">
        <f t="shared" si="169"/>
        <v>9.6840015700072585E-2</v>
      </c>
      <c r="U211" s="300">
        <f t="shared" si="169"/>
        <v>0.10620730693917829</v>
      </c>
      <c r="V211" s="300">
        <f t="shared" si="169"/>
        <v>0.11562078500755477</v>
      </c>
      <c r="W211" s="300">
        <f t="shared" si="169"/>
        <v>0.12501410124251328</v>
      </c>
      <c r="X211" s="300">
        <f t="shared" si="169"/>
        <v>0.13823870927925555</v>
      </c>
      <c r="Y211" s="300">
        <f t="shared" si="169"/>
        <v>0.15145663296791045</v>
      </c>
      <c r="Z211" s="300">
        <f t="shared" si="169"/>
        <v>0.16455118339939837</v>
      </c>
      <c r="AA211" s="300">
        <f t="shared" si="169"/>
        <v>0.17739653284023946</v>
      </c>
      <c r="AB211" s="300">
        <f t="shared" si="169"/>
        <v>0.18985749189244755</v>
      </c>
      <c r="AC211" s="300">
        <f t="shared" si="169"/>
        <v>0.19956123779884194</v>
      </c>
      <c r="AD211" s="300">
        <f t="shared" si="169"/>
        <v>0.20812140607248247</v>
      </c>
      <c r="AE211" s="300">
        <f t="shared" si="169"/>
        <v>0.21532754255334338</v>
      </c>
      <c r="AF211" s="300">
        <f t="shared" si="169"/>
        <v>0.22095663885967945</v>
      </c>
      <c r="AG211" s="300">
        <f t="shared" si="169"/>
        <v>0.22477288201069395</v>
      </c>
      <c r="AH211" s="245"/>
      <c r="AI211" s="423"/>
      <c r="AJ211" s="424"/>
      <c r="AL211" s="221"/>
      <c r="AM211" s="124"/>
      <c r="AN211" s="124"/>
      <c r="AO211" s="124"/>
      <c r="BD211" s="124"/>
      <c r="BE211" s="124"/>
      <c r="BF211" s="124"/>
      <c r="BG211" s="124"/>
      <c r="BH211" s="124"/>
      <c r="BI211" s="124"/>
      <c r="BJ211" s="124"/>
      <c r="BK211" s="124"/>
    </row>
    <row r="212" spans="1:63" outlineLevel="1" x14ac:dyDescent="0.2">
      <c r="A212" s="4" t="s">
        <v>474</v>
      </c>
      <c r="C212" s="230">
        <f t="shared" ref="C212:C214" si="170">C208-$C208</f>
        <v>0</v>
      </c>
      <c r="D212" s="230">
        <f t="shared" ref="D212:AG212" si="171">D208-$C208</f>
        <v>-2.1108968148227459E-3</v>
      </c>
      <c r="E212" s="230">
        <f t="shared" si="171"/>
        <v>-6.6773303660506902E-4</v>
      </c>
      <c r="F212" s="230">
        <f t="shared" si="171"/>
        <v>9.5448822865108057E-4</v>
      </c>
      <c r="G212" s="230">
        <f t="shared" si="171"/>
        <v>2.7603280203529184E-3</v>
      </c>
      <c r="H212" s="230">
        <f t="shared" si="171"/>
        <v>4.7523559180851823E-3</v>
      </c>
      <c r="I212" s="230">
        <f t="shared" si="171"/>
        <v>6.5038833786364384E-3</v>
      </c>
      <c r="J212" s="230">
        <f t="shared" si="171"/>
        <v>8.3365197365149069E-3</v>
      </c>
      <c r="K212" s="230">
        <f t="shared" si="171"/>
        <v>1.0241222831614083E-2</v>
      </c>
      <c r="L212" s="230">
        <f t="shared" si="171"/>
        <v>1.2207423628296589E-2</v>
      </c>
      <c r="M212" s="230">
        <f t="shared" si="171"/>
        <v>1.4222965184532426E-2</v>
      </c>
      <c r="N212" s="230">
        <f t="shared" si="171"/>
        <v>1.7018593627838065E-2</v>
      </c>
      <c r="O212" s="230">
        <f t="shared" si="171"/>
        <v>1.987179434549418E-2</v>
      </c>
      <c r="P212" s="230">
        <f t="shared" si="171"/>
        <v>2.2745496470685432E-2</v>
      </c>
      <c r="Q212" s="230">
        <f t="shared" si="171"/>
        <v>2.5599332512770877E-2</v>
      </c>
      <c r="R212" s="230">
        <f t="shared" si="171"/>
        <v>2.839010134460894E-2</v>
      </c>
      <c r="S212" s="230">
        <f t="shared" si="171"/>
        <v>3.1680648046253167E-2</v>
      </c>
      <c r="T212" s="230">
        <f t="shared" si="171"/>
        <v>3.5030291526841666E-2</v>
      </c>
      <c r="U212" s="230">
        <f t="shared" si="171"/>
        <v>3.8418755898212649E-2</v>
      </c>
      <c r="V212" s="230">
        <f t="shared" si="171"/>
        <v>4.1823927599527348E-2</v>
      </c>
      <c r="W212" s="230">
        <f t="shared" si="171"/>
        <v>4.5221806087419464E-2</v>
      </c>
      <c r="X212" s="230">
        <f t="shared" si="171"/>
        <v>5.0005591710607339E-2</v>
      </c>
      <c r="Y212" s="230">
        <f t="shared" si="171"/>
        <v>5.4786959380220185E-2</v>
      </c>
      <c r="Z212" s="230">
        <f t="shared" si="171"/>
        <v>5.9523698792248267E-2</v>
      </c>
      <c r="AA212" s="230">
        <f t="shared" si="171"/>
        <v>6.4170293822452068E-2</v>
      </c>
      <c r="AB212" s="230">
        <f t="shared" si="171"/>
        <v>6.8677841917599264E-2</v>
      </c>
      <c r="AC212" s="230">
        <f t="shared" si="171"/>
        <v>7.2188013260984715E-2</v>
      </c>
      <c r="AD212" s="230">
        <f t="shared" si="171"/>
        <v>7.5284514102880215E-2</v>
      </c>
      <c r="AE212" s="230">
        <f t="shared" si="171"/>
        <v>7.7891216093600543E-2</v>
      </c>
      <c r="AF212" s="230">
        <f t="shared" si="171"/>
        <v>7.9927449599121056E-2</v>
      </c>
      <c r="AG212" s="230">
        <f t="shared" si="171"/>
        <v>8.1307913131173651E-2</v>
      </c>
      <c r="AH212" s="245"/>
      <c r="AI212" s="133"/>
      <c r="AJ212" s="211"/>
      <c r="AL212" s="108"/>
      <c r="AM212" s="2"/>
      <c r="AN212" s="2"/>
      <c r="AO212" s="2"/>
      <c r="BC212" s="1"/>
      <c r="BD212" s="2"/>
      <c r="BE212" s="2"/>
      <c r="BF212" s="2"/>
      <c r="BG212" s="2"/>
      <c r="BH212" s="2"/>
      <c r="BI212" s="2"/>
      <c r="BJ212" s="2"/>
      <c r="BK212" s="2"/>
    </row>
    <row r="213" spans="1:63" outlineLevel="1" x14ac:dyDescent="0.2">
      <c r="A213" s="4" t="s">
        <v>745</v>
      </c>
      <c r="C213" s="230">
        <f t="shared" si="170"/>
        <v>0</v>
      </c>
      <c r="D213" s="230">
        <f t="shared" ref="D213:AG213" si="172">D209-$C209</f>
        <v>0</v>
      </c>
      <c r="E213" s="230">
        <f t="shared" si="172"/>
        <v>0</v>
      </c>
      <c r="F213" s="230">
        <f t="shared" si="172"/>
        <v>0</v>
      </c>
      <c r="G213" s="230">
        <f t="shared" si="172"/>
        <v>0</v>
      </c>
      <c r="H213" s="230">
        <f t="shared" si="172"/>
        <v>0</v>
      </c>
      <c r="I213" s="230">
        <f t="shared" si="172"/>
        <v>0</v>
      </c>
      <c r="J213" s="230">
        <f t="shared" si="172"/>
        <v>0</v>
      </c>
      <c r="K213" s="230">
        <f t="shared" si="172"/>
        <v>0</v>
      </c>
      <c r="L213" s="230">
        <f t="shared" si="172"/>
        <v>0</v>
      </c>
      <c r="M213" s="230">
        <f t="shared" si="172"/>
        <v>0</v>
      </c>
      <c r="N213" s="230">
        <f t="shared" si="172"/>
        <v>0</v>
      </c>
      <c r="O213" s="230">
        <f t="shared" si="172"/>
        <v>0</v>
      </c>
      <c r="P213" s="230">
        <f t="shared" si="172"/>
        <v>0</v>
      </c>
      <c r="Q213" s="230">
        <f t="shared" si="172"/>
        <v>0</v>
      </c>
      <c r="R213" s="230">
        <f t="shared" si="172"/>
        <v>0</v>
      </c>
      <c r="S213" s="230">
        <f t="shared" si="172"/>
        <v>0</v>
      </c>
      <c r="T213" s="230">
        <f t="shared" si="172"/>
        <v>0</v>
      </c>
      <c r="U213" s="230">
        <f t="shared" si="172"/>
        <v>0</v>
      </c>
      <c r="V213" s="230">
        <f t="shared" si="172"/>
        <v>0</v>
      </c>
      <c r="W213" s="230">
        <f t="shared" si="172"/>
        <v>0</v>
      </c>
      <c r="X213" s="230">
        <f t="shared" si="172"/>
        <v>0</v>
      </c>
      <c r="Y213" s="230">
        <f t="shared" si="172"/>
        <v>0</v>
      </c>
      <c r="Z213" s="230">
        <f t="shared" si="172"/>
        <v>0</v>
      </c>
      <c r="AA213" s="230">
        <f t="shared" si="172"/>
        <v>0</v>
      </c>
      <c r="AB213" s="230">
        <f t="shared" si="172"/>
        <v>0</v>
      </c>
      <c r="AC213" s="230">
        <f t="shared" si="172"/>
        <v>0</v>
      </c>
      <c r="AD213" s="230">
        <f t="shared" si="172"/>
        <v>0</v>
      </c>
      <c r="AE213" s="230">
        <f t="shared" si="172"/>
        <v>0</v>
      </c>
      <c r="AF213" s="230">
        <f t="shared" si="172"/>
        <v>0</v>
      </c>
      <c r="AG213" s="230">
        <f t="shared" si="172"/>
        <v>0</v>
      </c>
      <c r="AH213" s="245"/>
      <c r="AI213" s="133"/>
      <c r="AJ213" s="211"/>
      <c r="AL213" s="108"/>
      <c r="AM213" s="2"/>
      <c r="AN213" s="2"/>
      <c r="AO213" s="2"/>
      <c r="BC213" s="1"/>
      <c r="BD213" s="2"/>
      <c r="BE213" s="2"/>
      <c r="BF213" s="2"/>
      <c r="BG213" s="2"/>
      <c r="BH213" s="2"/>
      <c r="BI213" s="2"/>
      <c r="BJ213" s="2"/>
      <c r="BK213" s="2"/>
    </row>
    <row r="214" spans="1:63" outlineLevel="1" x14ac:dyDescent="0.2">
      <c r="A214" s="4" t="s">
        <v>1561</v>
      </c>
      <c r="C214" s="230">
        <f t="shared" si="170"/>
        <v>0</v>
      </c>
      <c r="D214" s="230">
        <f t="shared" ref="D214:AG214" si="173">D210-$C210</f>
        <v>-3.7246035986417941E-3</v>
      </c>
      <c r="E214" s="230">
        <f t="shared" si="173"/>
        <v>-1.1781915883368708E-3</v>
      </c>
      <c r="F214" s="230">
        <f t="shared" si="173"/>
        <v>1.684161095100032E-3</v>
      </c>
      <c r="G214" s="230">
        <f t="shared" si="173"/>
        <v>4.8705022461752023E-3</v>
      </c>
      <c r="H214" s="230">
        <f t="shared" si="173"/>
        <v>8.3853657981918187E-3</v>
      </c>
      <c r="I214" s="230">
        <f t="shared" si="173"/>
        <v>1.1475874740589807E-2</v>
      </c>
      <c r="J214" s="230">
        <f t="shared" si="173"/>
        <v>1.4709497495442042E-2</v>
      </c>
      <c r="K214" s="230">
        <f t="shared" si="173"/>
        <v>1.807027948750084E-2</v>
      </c>
      <c r="L214" s="230">
        <f t="shared" si="173"/>
        <v>2.153957202304857E-2</v>
      </c>
      <c r="M214" s="230">
        <f t="shared" si="173"/>
        <v>2.5095924603076719E-2</v>
      </c>
      <c r="N214" s="230">
        <f t="shared" si="173"/>
        <v>3.0028713210877946E-2</v>
      </c>
      <c r="O214" s="230">
        <f t="shared" si="173"/>
        <v>3.5063086083112205E-2</v>
      </c>
      <c r="P214" s="230">
        <f t="shared" si="173"/>
        <v>4.0133632971881217E-2</v>
      </c>
      <c r="Q214" s="230">
        <f t="shared" si="173"/>
        <v>4.5169126851849803E-2</v>
      </c>
      <c r="R214" s="230">
        <f t="shared" si="173"/>
        <v>5.009334084518715E-2</v>
      </c>
      <c r="S214" s="230">
        <f t="shared" si="173"/>
        <v>5.5899395409475326E-2</v>
      </c>
      <c r="T214" s="230">
        <f t="shared" si="173"/>
        <v>6.1809724173230919E-2</v>
      </c>
      <c r="U214" s="230">
        <f t="shared" si="173"/>
        <v>6.7788551040965636E-2</v>
      </c>
      <c r="V214" s="230">
        <f t="shared" si="173"/>
        <v>7.3796857408027411E-2</v>
      </c>
      <c r="W214" s="230">
        <f t="shared" si="173"/>
        <v>7.9792295155093812E-2</v>
      </c>
      <c r="X214" s="230">
        <f t="shared" si="173"/>
        <v>8.8233117568648212E-2</v>
      </c>
      <c r="Y214" s="230">
        <f t="shared" si="173"/>
        <v>9.6669673587690269E-2</v>
      </c>
      <c r="Z214" s="230">
        <f t="shared" si="173"/>
        <v>0.1050274846071501</v>
      </c>
      <c r="AA214" s="230">
        <f t="shared" si="173"/>
        <v>0.11322623901778738</v>
      </c>
      <c r="AB214" s="230">
        <f t="shared" si="173"/>
        <v>0.1211796499748483</v>
      </c>
      <c r="AC214" s="230">
        <f t="shared" si="173"/>
        <v>0.12737322453785724</v>
      </c>
      <c r="AD214" s="230">
        <f t="shared" si="173"/>
        <v>0.13283689196960227</v>
      </c>
      <c r="AE214" s="230">
        <f t="shared" si="173"/>
        <v>0.13743632645974285</v>
      </c>
      <c r="AF214" s="230">
        <f t="shared" si="173"/>
        <v>0.14102918926055841</v>
      </c>
      <c r="AG214" s="230">
        <f t="shared" si="173"/>
        <v>0.14346496887952032</v>
      </c>
      <c r="AH214" s="245"/>
      <c r="AI214" s="133"/>
      <c r="AJ214" s="211"/>
      <c r="AL214" s="108"/>
      <c r="AM214" s="2"/>
      <c r="AN214" s="2"/>
      <c r="AO214" s="2"/>
      <c r="BC214" s="1"/>
      <c r="BD214" s="2"/>
      <c r="BE214" s="2"/>
      <c r="BF214" s="2"/>
      <c r="BG214" s="2"/>
      <c r="BH214" s="2"/>
      <c r="BI214" s="2"/>
      <c r="BJ214" s="2"/>
      <c r="BK214" s="2"/>
    </row>
    <row r="215" spans="1:63" outlineLevel="1" x14ac:dyDescent="0.2">
      <c r="C215" s="110"/>
      <c r="D215" s="110"/>
      <c r="E215" s="110"/>
      <c r="F215" s="110"/>
      <c r="G215" s="110"/>
      <c r="H215" s="110"/>
      <c r="I215" s="110"/>
      <c r="J215" s="110"/>
      <c r="K215" s="110"/>
      <c r="L215" s="110"/>
      <c r="M215" s="110"/>
      <c r="N215" s="110"/>
      <c r="O215" s="110"/>
      <c r="P215" s="110"/>
      <c r="Q215" s="110"/>
      <c r="R215" s="110"/>
      <c r="S215" s="110"/>
      <c r="T215" s="110"/>
      <c r="U215" s="110"/>
      <c r="V215" s="110"/>
      <c r="W215" s="110"/>
      <c r="X215" s="110"/>
      <c r="Y215" s="110"/>
      <c r="Z215" s="110"/>
      <c r="AA215" s="110"/>
      <c r="AB215" s="110"/>
      <c r="AC215" s="110"/>
      <c r="AD215" s="110"/>
      <c r="AE215" s="110"/>
      <c r="AF215" s="110"/>
      <c r="AG215" s="110"/>
      <c r="AJ215" s="211"/>
    </row>
    <row r="216" spans="1:63" s="200" customFormat="1" ht="16" thickBot="1" x14ac:dyDescent="0.25">
      <c r="A216" s="200" t="s">
        <v>1347</v>
      </c>
      <c r="B216" s="215"/>
      <c r="C216" s="224">
        <f>C217</f>
        <v>1.6E-2</v>
      </c>
      <c r="D216" s="224">
        <f t="shared" ref="D216:AG216" si="174">D217</f>
        <v>2.329547397581962E-2</v>
      </c>
      <c r="E216" s="224">
        <f t="shared" si="174"/>
        <v>3.059094795163924E-2</v>
      </c>
      <c r="F216" s="224">
        <f t="shared" si="174"/>
        <v>3.7886421927458863E-2</v>
      </c>
      <c r="G216" s="224">
        <f t="shared" si="174"/>
        <v>4.5181895903278479E-2</v>
      </c>
      <c r="H216" s="224">
        <f t="shared" si="174"/>
        <v>5.2477369879098103E-2</v>
      </c>
      <c r="I216" s="224">
        <f t="shared" si="174"/>
        <v>5.9772843854917726E-2</v>
      </c>
      <c r="J216" s="224">
        <f t="shared" si="174"/>
        <v>6.7068317830737342E-2</v>
      </c>
      <c r="K216" s="224">
        <f t="shared" si="174"/>
        <v>7.4363791806556973E-2</v>
      </c>
      <c r="L216" s="224">
        <f t="shared" si="174"/>
        <v>8.1659265782376589E-2</v>
      </c>
      <c r="M216" s="224">
        <f t="shared" si="174"/>
        <v>8.8954739758196205E-2</v>
      </c>
      <c r="N216" s="224">
        <f t="shared" si="174"/>
        <v>0.10433135413800063</v>
      </c>
      <c r="O216" s="224">
        <f t="shared" si="174"/>
        <v>0.11970796851780505</v>
      </c>
      <c r="P216" s="224">
        <f t="shared" si="174"/>
        <v>0.1350845828976095</v>
      </c>
      <c r="Q216" s="224">
        <f t="shared" si="174"/>
        <v>0.15046119727741392</v>
      </c>
      <c r="R216" s="224">
        <f t="shared" si="174"/>
        <v>0.16583781165721834</v>
      </c>
      <c r="S216" s="224">
        <f t="shared" si="174"/>
        <v>0.18121442603702276</v>
      </c>
      <c r="T216" s="224">
        <f t="shared" si="174"/>
        <v>0.19659104041682718</v>
      </c>
      <c r="U216" s="224">
        <f t="shared" si="174"/>
        <v>0.2119676547966316</v>
      </c>
      <c r="V216" s="224">
        <f t="shared" si="174"/>
        <v>0.22734426917643602</v>
      </c>
      <c r="W216" s="224">
        <f t="shared" si="174"/>
        <v>0.24272088355624044</v>
      </c>
      <c r="X216" s="224">
        <f t="shared" si="174"/>
        <v>0.26844879520061637</v>
      </c>
      <c r="Y216" s="224">
        <f t="shared" si="174"/>
        <v>0.29417670684499236</v>
      </c>
      <c r="Z216" s="224">
        <f t="shared" si="174"/>
        <v>0.3199046184893683</v>
      </c>
      <c r="AA216" s="224">
        <f t="shared" si="174"/>
        <v>0.34563253013374429</v>
      </c>
      <c r="AB216" s="224">
        <f t="shared" si="174"/>
        <v>0.37136044177812022</v>
      </c>
      <c r="AC216" s="224">
        <f t="shared" si="174"/>
        <v>0.39708835342249615</v>
      </c>
      <c r="AD216" s="224">
        <f t="shared" si="174"/>
        <v>0.42281626506687209</v>
      </c>
      <c r="AE216" s="224">
        <f t="shared" si="174"/>
        <v>0.44854417671124808</v>
      </c>
      <c r="AF216" s="224">
        <f t="shared" si="174"/>
        <v>0.47427208835562407</v>
      </c>
      <c r="AG216" s="224">
        <f t="shared" si="174"/>
        <v>0.5</v>
      </c>
      <c r="AJ216" s="231" t="s">
        <v>1312</v>
      </c>
      <c r="AL216" s="217"/>
      <c r="AM216" s="225"/>
      <c r="AN216" s="225"/>
      <c r="AO216" s="225"/>
    </row>
    <row r="217" spans="1:63" ht="16" outlineLevel="1" thickTop="1" x14ac:dyDescent="0.2">
      <c r="A217" t="s">
        <v>1348</v>
      </c>
      <c r="B217" s="54" t="s">
        <v>462</v>
      </c>
      <c r="C217" s="113">
        <v>1.6E-2</v>
      </c>
      <c r="D217" s="110">
        <f>$C217+($M217-$C217)/10*(D$1-$C$1)</f>
        <v>2.329547397581962E-2</v>
      </c>
      <c r="E217" s="110">
        <f t="shared" ref="E217:L217" si="175">$C217+($M217-$C217)/10*(E$1-$C$1)</f>
        <v>3.059094795163924E-2</v>
      </c>
      <c r="F217" s="110">
        <f t="shared" si="175"/>
        <v>3.7886421927458863E-2</v>
      </c>
      <c r="G217" s="110">
        <f t="shared" si="175"/>
        <v>4.5181895903278479E-2</v>
      </c>
      <c r="H217" s="110">
        <f t="shared" si="175"/>
        <v>5.2477369879098103E-2</v>
      </c>
      <c r="I217" s="110">
        <f t="shared" si="175"/>
        <v>5.9772843854917726E-2</v>
      </c>
      <c r="J217" s="110">
        <f t="shared" si="175"/>
        <v>6.7068317830737342E-2</v>
      </c>
      <c r="K217" s="110">
        <f t="shared" si="175"/>
        <v>7.4363791806556973E-2</v>
      </c>
      <c r="L217" s="110">
        <f t="shared" si="175"/>
        <v>8.1659265782376589E-2</v>
      </c>
      <c r="M217" s="121">
        <f>(M$52-$C$52)/($AG$52-$C$52)*($AG217-$C217)+$C217</f>
        <v>8.8954739758196205E-2</v>
      </c>
      <c r="N217" s="121">
        <f>$M217+($W217-$M217)/10*(N$1-$M$1)</f>
        <v>0.10433135413800063</v>
      </c>
      <c r="O217" s="121">
        <f t="shared" ref="O217:U217" si="176">$M217+($W217-$M217)/10*(O$1-$M$1)</f>
        <v>0.11970796851780505</v>
      </c>
      <c r="P217" s="121">
        <f t="shared" si="176"/>
        <v>0.1350845828976095</v>
      </c>
      <c r="Q217" s="121">
        <f t="shared" si="176"/>
        <v>0.15046119727741392</v>
      </c>
      <c r="R217" s="121">
        <f t="shared" si="176"/>
        <v>0.16583781165721834</v>
      </c>
      <c r="S217" s="121">
        <f t="shared" si="176"/>
        <v>0.18121442603702276</v>
      </c>
      <c r="T217" s="121">
        <f t="shared" si="176"/>
        <v>0.19659104041682718</v>
      </c>
      <c r="U217" s="121">
        <f t="shared" si="176"/>
        <v>0.2119676547966316</v>
      </c>
      <c r="V217" s="121">
        <f>$M217+($W217-$M217)/10*(V$1-$M$1)</f>
        <v>0.22734426917643602</v>
      </c>
      <c r="W217" s="121">
        <f>(W$52-$C$52)/($AG$52-$C$52)*($AG217-$C217)+$C217</f>
        <v>0.24272088355624044</v>
      </c>
      <c r="X217" s="23">
        <f t="shared" ref="X217:AF217" si="177">$W217+($AG217-$W217)/10*(X$1-$W$1)</f>
        <v>0.26844879520061637</v>
      </c>
      <c r="Y217" s="23">
        <f t="shared" si="177"/>
        <v>0.29417670684499236</v>
      </c>
      <c r="Z217" s="23">
        <f t="shared" si="177"/>
        <v>0.3199046184893683</v>
      </c>
      <c r="AA217" s="23">
        <f t="shared" si="177"/>
        <v>0.34563253013374429</v>
      </c>
      <c r="AB217" s="23">
        <f t="shared" si="177"/>
        <v>0.37136044177812022</v>
      </c>
      <c r="AC217" s="23">
        <f t="shared" si="177"/>
        <v>0.39708835342249615</v>
      </c>
      <c r="AD217" s="23">
        <f t="shared" si="177"/>
        <v>0.42281626506687209</v>
      </c>
      <c r="AE217" s="23">
        <f t="shared" si="177"/>
        <v>0.44854417671124808</v>
      </c>
      <c r="AF217" s="23">
        <f t="shared" si="177"/>
        <v>0.47427208835562407</v>
      </c>
      <c r="AG217" s="106">
        <v>0.5</v>
      </c>
      <c r="AJ217" s="211" t="s">
        <v>1349</v>
      </c>
    </row>
    <row r="218" spans="1:63" outlineLevel="1" x14ac:dyDescent="0.2">
      <c r="C218" s="113"/>
      <c r="D218" s="110"/>
      <c r="E218" s="110"/>
      <c r="F218" s="110"/>
      <c r="G218" s="110"/>
      <c r="H218" s="110"/>
      <c r="I218" s="110"/>
      <c r="J218" s="110"/>
      <c r="K218" s="110"/>
      <c r="L218" s="110"/>
      <c r="M218" s="121"/>
      <c r="N218" s="121"/>
      <c r="O218" s="121"/>
      <c r="P218" s="121"/>
      <c r="Q218" s="121"/>
      <c r="R218" s="121"/>
      <c r="S218" s="121"/>
      <c r="T218" s="121"/>
      <c r="U218" s="121"/>
      <c r="V218" s="121"/>
      <c r="W218" s="121"/>
      <c r="X218" s="23"/>
      <c r="Y218" s="23"/>
      <c r="Z218" s="23"/>
      <c r="AA218" s="23"/>
      <c r="AB218" s="23"/>
      <c r="AC218" s="23"/>
      <c r="AD218" s="23"/>
      <c r="AE218" s="23"/>
      <c r="AF218" s="23"/>
      <c r="AG218" s="106"/>
      <c r="AJ218" s="211"/>
    </row>
    <row r="219" spans="1:63" outlineLevel="1" x14ac:dyDescent="0.2">
      <c r="A219" t="s">
        <v>1553</v>
      </c>
      <c r="C219" s="504">
        <f>'Overall recycling rates'!E85</f>
        <v>0.29641108292007839</v>
      </c>
      <c r="D219" s="504">
        <f>C219-($C219-$AG219)/($AG$1-$C$1)</f>
        <v>0.31319738015607579</v>
      </c>
      <c r="E219" s="504">
        <f t="shared" ref="E219:AF219" si="178">D219-($C219-$AG219)/($AG$1-$C$1)</f>
        <v>0.32998367739207318</v>
      </c>
      <c r="F219" s="504">
        <f t="shared" si="178"/>
        <v>0.34676997462807058</v>
      </c>
      <c r="G219" s="504">
        <f t="shared" si="178"/>
        <v>0.36355627186406797</v>
      </c>
      <c r="H219" s="504">
        <f t="shared" si="178"/>
        <v>0.38034256910006536</v>
      </c>
      <c r="I219" s="504">
        <f t="shared" si="178"/>
        <v>0.39712886633606276</v>
      </c>
      <c r="J219" s="504">
        <f t="shared" si="178"/>
        <v>0.41391516357206015</v>
      </c>
      <c r="K219" s="504">
        <f t="shared" si="178"/>
        <v>0.43070146080805755</v>
      </c>
      <c r="L219" s="504">
        <f t="shared" si="178"/>
        <v>0.44748775804405494</v>
      </c>
      <c r="M219" s="504">
        <f t="shared" si="178"/>
        <v>0.46427405528005233</v>
      </c>
      <c r="N219" s="504">
        <f t="shared" si="178"/>
        <v>0.48106035251604973</v>
      </c>
      <c r="O219" s="504">
        <f t="shared" si="178"/>
        <v>0.49784664975204712</v>
      </c>
      <c r="P219" s="504">
        <f t="shared" si="178"/>
        <v>0.51463294698804452</v>
      </c>
      <c r="Q219" s="504">
        <f t="shared" si="178"/>
        <v>0.53141924422404185</v>
      </c>
      <c r="R219" s="504">
        <f t="shared" si="178"/>
        <v>0.54820554146003919</v>
      </c>
      <c r="S219" s="504">
        <f t="shared" si="178"/>
        <v>0.56499183869603653</v>
      </c>
      <c r="T219" s="504">
        <f t="shared" si="178"/>
        <v>0.58177813593203387</v>
      </c>
      <c r="U219" s="504">
        <f t="shared" si="178"/>
        <v>0.59856443316803121</v>
      </c>
      <c r="V219" s="504">
        <f t="shared" si="178"/>
        <v>0.61535073040402855</v>
      </c>
      <c r="W219" s="504">
        <f t="shared" si="178"/>
        <v>0.63213702764002588</v>
      </c>
      <c r="X219" s="504">
        <f t="shared" si="178"/>
        <v>0.64892332487602322</v>
      </c>
      <c r="Y219" s="504">
        <f t="shared" si="178"/>
        <v>0.66570962211202056</v>
      </c>
      <c r="Z219" s="504">
        <f t="shared" si="178"/>
        <v>0.6824959193480179</v>
      </c>
      <c r="AA219" s="504">
        <f t="shared" si="178"/>
        <v>0.69928221658401524</v>
      </c>
      <c r="AB219" s="504">
        <f t="shared" si="178"/>
        <v>0.71606851382001258</v>
      </c>
      <c r="AC219" s="504">
        <f t="shared" si="178"/>
        <v>0.73285481105600991</v>
      </c>
      <c r="AD219" s="504">
        <f t="shared" si="178"/>
        <v>0.74964110829200725</v>
      </c>
      <c r="AE219" s="504">
        <f t="shared" si="178"/>
        <v>0.76642740552800459</v>
      </c>
      <c r="AF219" s="504">
        <f t="shared" si="178"/>
        <v>0.78321370276400193</v>
      </c>
      <c r="AG219" s="504">
        <f>'Overall recycling rates'!E94</f>
        <v>0.8</v>
      </c>
      <c r="AI219" s="133"/>
      <c r="AJ219" s="211" t="s">
        <v>1582</v>
      </c>
      <c r="AL219" s="108"/>
      <c r="AM219" s="207"/>
      <c r="AN219" s="207"/>
      <c r="AO219" s="207"/>
      <c r="BC219" s="1"/>
      <c r="BD219" s="207"/>
      <c r="BE219" s="207"/>
      <c r="BF219" s="207"/>
      <c r="BG219" s="207"/>
      <c r="BH219" s="207"/>
      <c r="BI219" s="207"/>
      <c r="BJ219" s="207"/>
      <c r="BK219" s="207"/>
    </row>
    <row r="220" spans="1:63" outlineLevel="1" x14ac:dyDescent="0.2">
      <c r="A220" t="s">
        <v>1583</v>
      </c>
      <c r="B220" s="54" t="s">
        <v>462</v>
      </c>
      <c r="C220" s="110">
        <f>C217*C219</f>
        <v>4.7425773267212546E-3</v>
      </c>
      <c r="D220" s="110">
        <f t="shared" ref="D220:AG220" si="179">D217*D219</f>
        <v>7.2960814187207476E-3</v>
      </c>
      <c r="E220" s="110">
        <f t="shared" si="179"/>
        <v>1.0094513499991424E-2</v>
      </c>
      <c r="F220" s="110">
        <f t="shared" si="179"/>
        <v>1.3137873570533287E-2</v>
      </c>
      <c r="G220" s="110">
        <f t="shared" si="179"/>
        <v>1.6426161630346329E-2</v>
      </c>
      <c r="H220" s="110">
        <f t="shared" si="179"/>
        <v>1.9959377679430557E-2</v>
      </c>
      <c r="I220" s="110">
        <f t="shared" si="179"/>
        <v>2.3737521717785971E-2</v>
      </c>
      <c r="J220" s="110">
        <f t="shared" si="179"/>
        <v>2.7760593745412565E-2</v>
      </c>
      <c r="K220" s="110">
        <f t="shared" si="179"/>
        <v>3.2028593762310348E-2</v>
      </c>
      <c r="L220" s="110">
        <f t="shared" si="179"/>
        <v>3.6541521768479308E-2</v>
      </c>
      <c r="M220" s="110">
        <f t="shared" si="179"/>
        <v>4.1299377763919454E-2</v>
      </c>
      <c r="N220" s="110">
        <f t="shared" si="179"/>
        <v>5.0189678000103405E-2</v>
      </c>
      <c r="O220" s="110">
        <f t="shared" si="179"/>
        <v>5.959621107521277E-2</v>
      </c>
      <c r="P220" s="110">
        <f t="shared" si="179"/>
        <v>6.9518976989247569E-2</v>
      </c>
      <c r="Q220" s="110">
        <f t="shared" si="179"/>
        <v>7.9957975742207768E-2</v>
      </c>
      <c r="R220" s="110">
        <f t="shared" si="179"/>
        <v>9.0913207334093374E-2</v>
      </c>
      <c r="S220" s="110">
        <f t="shared" si="179"/>
        <v>0.1023846717649044</v>
      </c>
      <c r="T220" s="110">
        <f t="shared" si="179"/>
        <v>0.11437236903464085</v>
      </c>
      <c r="U220" s="110">
        <f t="shared" si="179"/>
        <v>0.1268762991433027</v>
      </c>
      <c r="V220" s="110">
        <f t="shared" si="179"/>
        <v>0.13989646209088999</v>
      </c>
      <c r="W220" s="110">
        <f t="shared" si="179"/>
        <v>0.15343285787740266</v>
      </c>
      <c r="X220" s="110">
        <f t="shared" si="179"/>
        <v>0.17420268474054659</v>
      </c>
      <c r="Y220" s="110">
        <f t="shared" si="179"/>
        <v>0.19583626434793852</v>
      </c>
      <c r="Z220" s="110">
        <f t="shared" si="179"/>
        <v>0.21833359669957833</v>
      </c>
      <c r="AA220" s="110">
        <f t="shared" si="179"/>
        <v>0.24169468179546613</v>
      </c>
      <c r="AB220" s="110">
        <f t="shared" si="179"/>
        <v>0.26591951963560184</v>
      </c>
      <c r="AC220" s="110">
        <f t="shared" si="179"/>
        <v>0.29100811021998552</v>
      </c>
      <c r="AD220" s="110">
        <f t="shared" si="179"/>
        <v>0.31696045354861713</v>
      </c>
      <c r="AE220" s="110">
        <f t="shared" si="179"/>
        <v>0.34377654962149667</v>
      </c>
      <c r="AF220" s="110">
        <f t="shared" si="179"/>
        <v>0.37145639843862421</v>
      </c>
      <c r="AG220" s="110">
        <f t="shared" si="179"/>
        <v>0.4</v>
      </c>
      <c r="AJ220" s="211" t="s">
        <v>1349</v>
      </c>
    </row>
    <row r="221" spans="1:63" outlineLevel="1" x14ac:dyDescent="0.2">
      <c r="C221" s="110"/>
      <c r="D221" s="110"/>
      <c r="E221" s="110"/>
      <c r="F221" s="110"/>
      <c r="G221" s="110"/>
      <c r="H221" s="110"/>
      <c r="I221" s="110"/>
      <c r="J221" s="110"/>
      <c r="K221" s="110"/>
      <c r="L221" s="110"/>
      <c r="M221" s="110"/>
      <c r="N221" s="110"/>
      <c r="O221" s="110"/>
      <c r="P221" s="110"/>
      <c r="Q221" s="110"/>
      <c r="R221" s="110"/>
      <c r="S221" s="110"/>
      <c r="T221" s="110"/>
      <c r="U221" s="110"/>
      <c r="V221" s="110"/>
      <c r="W221" s="110"/>
      <c r="X221" s="110"/>
      <c r="Y221" s="110"/>
      <c r="Z221" s="110"/>
      <c r="AA221" s="110"/>
      <c r="AB221" s="110"/>
      <c r="AC221" s="110"/>
      <c r="AD221" s="110"/>
      <c r="AE221" s="110"/>
      <c r="AF221" s="110"/>
      <c r="AG221" s="110"/>
      <c r="AI221" s="134"/>
      <c r="AJ221" s="211"/>
      <c r="BC221" s="1"/>
      <c r="BD221" s="41"/>
      <c r="BF221" s="6"/>
      <c r="BG221" s="6"/>
      <c r="BH221" s="6"/>
      <c r="BI221" s="6"/>
      <c r="BJ221" s="6"/>
    </row>
    <row r="222" spans="1:63" s="1" customFormat="1" outlineLevel="1" x14ac:dyDescent="0.2">
      <c r="A222" s="1" t="s">
        <v>228</v>
      </c>
      <c r="B222" s="65"/>
      <c r="C222" s="300">
        <f>C220*C44</f>
        <v>1.2941584261657406E-3</v>
      </c>
      <c r="D222" s="300">
        <f t="shared" ref="D222:AG222" si="180">D220*D44</f>
        <v>2.0577007257949116E-3</v>
      </c>
      <c r="E222" s="300">
        <f t="shared" si="180"/>
        <v>2.9346795455944428E-3</v>
      </c>
      <c r="F222" s="300">
        <f t="shared" si="180"/>
        <v>3.9268753181392474E-3</v>
      </c>
      <c r="G222" s="300">
        <f t="shared" si="180"/>
        <v>5.0346538613794505E-3</v>
      </c>
      <c r="H222" s="300">
        <f t="shared" si="180"/>
        <v>6.2568757687512964E-3</v>
      </c>
      <c r="I222" s="300">
        <f t="shared" si="180"/>
        <v>7.6072060295379017E-3</v>
      </c>
      <c r="J222" s="300">
        <f t="shared" si="180"/>
        <v>9.090752569343467E-3</v>
      </c>
      <c r="K222" s="300">
        <f t="shared" si="180"/>
        <v>1.0712529104499251E-2</v>
      </c>
      <c r="L222" s="300">
        <f t="shared" si="180"/>
        <v>1.247743632041254E-2</v>
      </c>
      <c r="M222" s="300">
        <f t="shared" si="180"/>
        <v>1.4390242724023143E-2</v>
      </c>
      <c r="N222" s="300">
        <f t="shared" si="180"/>
        <v>1.781164852582327E-2</v>
      </c>
      <c r="O222" s="300">
        <f t="shared" si="180"/>
        <v>2.1500619946172469E-2</v>
      </c>
      <c r="P222" s="300">
        <f t="shared" si="180"/>
        <v>2.544802981647272E-2</v>
      </c>
      <c r="Q222" s="300">
        <f t="shared" si="180"/>
        <v>2.9641841090326936E-2</v>
      </c>
      <c r="R222" s="300">
        <f t="shared" si="180"/>
        <v>3.4067116734492142E-2</v>
      </c>
      <c r="S222" s="300">
        <f t="shared" si="180"/>
        <v>3.8775804433284419E-2</v>
      </c>
      <c r="T222" s="300">
        <f t="shared" si="180"/>
        <v>4.3774066330041682E-2</v>
      </c>
      <c r="U222" s="300">
        <f t="shared" si="180"/>
        <v>4.9068024078796839E-2</v>
      </c>
      <c r="V222" s="300">
        <f t="shared" si="180"/>
        <v>5.466375357992323E-2</v>
      </c>
      <c r="W222" s="300">
        <f t="shared" si="180"/>
        <v>6.056727965741205E-2</v>
      </c>
      <c r="X222" s="300">
        <f t="shared" si="180"/>
        <v>6.9463807862829852E-2</v>
      </c>
      <c r="Y222" s="300">
        <f t="shared" si="180"/>
        <v>7.8874742736216835E-2</v>
      </c>
      <c r="Z222" s="300">
        <f t="shared" si="180"/>
        <v>8.8810338665717234E-2</v>
      </c>
      <c r="AA222" s="300">
        <f t="shared" si="180"/>
        <v>9.9280776052217551E-2</v>
      </c>
      <c r="AB222" s="300">
        <f t="shared" si="180"/>
        <v>0.11029615327688576</v>
      </c>
      <c r="AC222" s="300">
        <f t="shared" si="180"/>
        <v>0.12186763074670791</v>
      </c>
      <c r="AD222" s="300">
        <f t="shared" si="180"/>
        <v>0.13400546430424182</v>
      </c>
      <c r="AE222" s="300">
        <f t="shared" si="180"/>
        <v>0.14671983652442061</v>
      </c>
      <c r="AF222" s="300">
        <f t="shared" si="180"/>
        <v>0.1600208494185596</v>
      </c>
      <c r="AG222" s="300">
        <f t="shared" si="180"/>
        <v>0.17391851707263886</v>
      </c>
      <c r="AH222" s="245"/>
      <c r="AI222" s="423"/>
      <c r="AJ222" s="424"/>
      <c r="AL222" s="221"/>
      <c r="AM222" s="124"/>
      <c r="AN222" s="124"/>
      <c r="AO222" s="124"/>
      <c r="BD222" s="124"/>
      <c r="BE222" s="124"/>
      <c r="BF222" s="124"/>
      <c r="BG222" s="124"/>
      <c r="BH222" s="124"/>
      <c r="BI222" s="124"/>
      <c r="BJ222" s="124"/>
      <c r="BK222" s="124"/>
    </row>
    <row r="223" spans="1:63" outlineLevel="1" x14ac:dyDescent="0.2">
      <c r="A223" s="4" t="s">
        <v>474</v>
      </c>
      <c r="C223" s="230">
        <f>C$222*'Methanol recycling rates'!E69</f>
        <v>0</v>
      </c>
      <c r="D223" s="230">
        <f>D$222*'Methanol recycling rates'!F69</f>
        <v>4.4859542912567576E-5</v>
      </c>
      <c r="E223" s="230">
        <f>E$222*'Methanol recycling rates'!G69</f>
        <v>1.2795678337467763E-4</v>
      </c>
      <c r="F223" s="230">
        <f>F$222*'Methanol recycling rates'!H69</f>
        <v>2.5682719013230416E-4</v>
      </c>
      <c r="G223" s="230">
        <f>G$222*'Methanol recycling rates'!I69</f>
        <v>4.3903813244217305E-4</v>
      </c>
      <c r="H223" s="230">
        <f>H$222*'Methanol recycling rates'!J69</f>
        <v>6.8202480450229978E-4</v>
      </c>
      <c r="I223" s="230">
        <f>I$222*'Methanol recycling rates'!K69</f>
        <v>9.9505952750724011E-4</v>
      </c>
      <c r="J223" s="230">
        <f>J$222*'Methanol recycling rates'!L69</f>
        <v>1.387300397554751E-3</v>
      </c>
      <c r="K223" s="230">
        <f>K$222*'Methanol recycling rates'!M69</f>
        <v>1.8683345077006501E-3</v>
      </c>
      <c r="L223" s="230">
        <f>L$222*'Methanol recycling rates'!N69</f>
        <v>2.4481639858212655E-3</v>
      </c>
      <c r="M223" s="230">
        <f>M$222*'Methanol recycling rates'!O69</f>
        <v>3.1371894994652381E-3</v>
      </c>
      <c r="N223" s="230">
        <f>N$222*'Methanol recycling rates'!P69</f>
        <v>4.271392051859127E-3</v>
      </c>
      <c r="O223" s="230">
        <f>O$222*'Methanol recycling rates'!Q69</f>
        <v>5.6247712081621444E-3</v>
      </c>
      <c r="P223" s="230">
        <f>P$222*'Methanol recycling rates'!R69</f>
        <v>7.2122396744393209E-3</v>
      </c>
      <c r="Q223" s="230">
        <f>Q$222*'Methanol recycling rates'!S69</f>
        <v>9.0470261103663841E-3</v>
      </c>
      <c r="R223" s="230">
        <f>R$222*'Methanol recycling rates'!T69</f>
        <v>1.1140361175224057E-2</v>
      </c>
      <c r="S223" s="230">
        <f>S$222*'Methanol recycling rates'!U69</f>
        <v>1.3525503227081983E-2</v>
      </c>
      <c r="T223" s="230">
        <f>T$222*'Methanol recycling rates'!V69</f>
        <v>1.622327187834148E-2</v>
      </c>
      <c r="U223" s="230">
        <f>U$222*'Methanol recycling rates'!W69</f>
        <v>1.9255008211678755E-2</v>
      </c>
      <c r="V223" s="230">
        <f>V$222*'Methanol recycling rates'!X69</f>
        <v>2.264256818596995E-2</v>
      </c>
      <c r="W223" s="230">
        <f>W$222*'Methanol recycling rates'!Y69</f>
        <v>2.6408315328163616E-2</v>
      </c>
      <c r="X223" s="230">
        <f>X$222*'Methanol recycling rates'!Z69</f>
        <v>3.1801713068975439E-2</v>
      </c>
      <c r="Y223" s="230">
        <f>Y$222*'Methanol recycling rates'!AA69</f>
        <v>3.7829732461592908E-2</v>
      </c>
      <c r="Z223" s="230">
        <f>Z$222*'Methanol recycling rates'!AB69</f>
        <v>4.4531158693669082E-2</v>
      </c>
      <c r="AA223" s="230">
        <f>AA$222*'Methanol recycling rates'!AC69</f>
        <v>5.1945632457162591E-2</v>
      </c>
      <c r="AB223" s="230">
        <f>AB$222*'Methanol recycling rates'!AD69</f>
        <v>6.011363750557297E-2</v>
      </c>
      <c r="AC223" s="230">
        <f>AC$222*'Methanol recycling rates'!AE69</f>
        <v>6.9077140182567984E-2</v>
      </c>
      <c r="AD223" s="230">
        <f>AD$222*'Methanol recycling rates'!AF69</f>
        <v>7.8878547609062488E-2</v>
      </c>
      <c r="AE223" s="230">
        <f>AE$222*'Methanol recycling rates'!AG69</f>
        <v>8.9561116524458126E-2</v>
      </c>
      <c r="AF223" s="230">
        <f>AF$222*'Methanol recycling rates'!AH69</f>
        <v>0.10116894068747725</v>
      </c>
      <c r="AG223" s="230">
        <f>AG$222*'Methanol recycling rates'!AI69</f>
        <v>0.11374693727966005</v>
      </c>
      <c r="AH223" s="245"/>
      <c r="AI223" s="133"/>
      <c r="AJ223" s="211"/>
      <c r="AL223" s="108"/>
      <c r="AM223" s="2"/>
      <c r="AN223" s="2"/>
      <c r="AO223" s="2"/>
      <c r="BC223" s="1"/>
      <c r="BD223" s="2"/>
      <c r="BE223" s="2"/>
      <c r="BF223" s="2"/>
      <c r="BG223" s="2"/>
      <c r="BH223" s="2"/>
      <c r="BI223" s="2"/>
      <c r="BJ223" s="2"/>
      <c r="BK223" s="2"/>
    </row>
    <row r="224" spans="1:63" outlineLevel="1" x14ac:dyDescent="0.2">
      <c r="A224" s="4" t="s">
        <v>745</v>
      </c>
      <c r="C224" s="230">
        <f>C$222*'Methanol recycling rates'!E70</f>
        <v>8.2214406611183359E-4</v>
      </c>
      <c r="D224" s="230">
        <f>D$222*'Methanol recycling rates'!F70</f>
        <v>1.2776789925903272E-3</v>
      </c>
      <c r="E224" s="230">
        <f>E$222*'Methanol recycling rates'!G70</f>
        <v>1.780112087004004E-3</v>
      </c>
      <c r="F224" s="230">
        <f>F$222*'Methanol recycling rates'!H70</f>
        <v>2.3256151654423088E-3</v>
      </c>
      <c r="G224" s="230">
        <f>G$222*'Methanol recycling rates'!I70</f>
        <v>2.9094403829696136E-3</v>
      </c>
      <c r="H224" s="230">
        <f>H$222*'Methanol recycling rates'!J70</f>
        <v>3.5259706530592337E-3</v>
      </c>
      <c r="I224" s="230">
        <f>I$222*'Methanol recycling rates'!K70</f>
        <v>4.1777846734292433E-3</v>
      </c>
      <c r="J224" s="230">
        <f>J$222*'Methanol recycling rates'!L70</f>
        <v>4.8621002430774603E-3</v>
      </c>
      <c r="K224" s="230">
        <f>K$222*'Methanol recycling rates'!M70</f>
        <v>5.5757929807802647E-3</v>
      </c>
      <c r="L224" s="230">
        <f>L$222*'Methanol recycling rates'!N70</f>
        <v>6.3153935569695624E-3</v>
      </c>
      <c r="M224" s="230">
        <f>M$222*'Methanol recycling rates'!O70</f>
        <v>7.0770863856047216E-3</v>
      </c>
      <c r="N224" s="230">
        <f>N$222*'Methanol recycling rates'!P70</f>
        <v>8.5041718248119753E-3</v>
      </c>
      <c r="O224" s="230">
        <f>O$222*'Methanol recycling rates'!Q70</f>
        <v>9.9569899402808491E-3</v>
      </c>
      <c r="P224" s="230">
        <f>P$222*'Methanol recycling rates'!R70</f>
        <v>1.1419928132668598E-2</v>
      </c>
      <c r="Q224" s="230">
        <f>Q$222*'Methanol recycling rates'!S70</f>
        <v>1.2876633540570719E-2</v>
      </c>
      <c r="R224" s="230">
        <f>R$222*'Methanol recycling rates'!T70</f>
        <v>1.4310225943478881E-2</v>
      </c>
      <c r="S224" s="230">
        <f>S$222*'Methanol recycling rates'!U70</f>
        <v>1.5731818308835951E-2</v>
      </c>
      <c r="T224" s="230">
        <f>T$222*'Methanol recycling rates'!V70</f>
        <v>1.7131623471344514E-2</v>
      </c>
      <c r="U224" s="230">
        <f>U$222*'Methanol recycling rates'!W70</f>
        <v>1.8499485353771498E-2</v>
      </c>
      <c r="V224" s="230">
        <f>V$222*'Methanol recycling rates'!X70</f>
        <v>1.9824879962339725E-2</v>
      </c>
      <c r="W224" s="230">
        <f>W$222*'Methanol recycling rates'!Y70</f>
        <v>2.1096916814972323E-2</v>
      </c>
      <c r="X224" s="230">
        <f>X$222*'Methanol recycling rates'!Z70</f>
        <v>2.3199137595518581E-2</v>
      </c>
      <c r="Y224" s="230">
        <f>Y$222*'Methanol recycling rates'!AA70</f>
        <v>2.5210489721600376E-2</v>
      </c>
      <c r="Z224" s="230">
        <f>Z$222*'Methanol recycling rates'!AB70</f>
        <v>2.711196221147243E-2</v>
      </c>
      <c r="AA224" s="230">
        <f>AA$222*'Methanol recycling rates'!AC70</f>
        <v>2.8883934056531696E-2</v>
      </c>
      <c r="AB224" s="230">
        <f>AB$222*'Methanol recycling rates'!AD70</f>
        <v>3.0506177307346768E-2</v>
      </c>
      <c r="AC224" s="230">
        <f>AC$222*'Methanol recycling rates'!AE70</f>
        <v>3.1958162968274251E-2</v>
      </c>
      <c r="AD224" s="230">
        <f>AD$222*'Methanol recycling rates'!AF70</f>
        <v>3.321849731375117E-2</v>
      </c>
      <c r="AE224" s="230">
        <f>AE$222*'Methanol recycling rates'!AG70</f>
        <v>3.4265180922097065E-2</v>
      </c>
      <c r="AF224" s="230">
        <f>AF$222*'Methanol recycling rates'!AH70</f>
        <v>3.5075612332332494E-2</v>
      </c>
      <c r="AG224" s="230">
        <f>AG$222*'Methanol recycling rates'!AI70</f>
        <v>3.5626592315612229E-2</v>
      </c>
      <c r="AH224" s="245"/>
      <c r="AI224" s="133"/>
      <c r="AJ224" s="211"/>
      <c r="AL224" s="108"/>
      <c r="AM224" s="2"/>
      <c r="AN224" s="2"/>
      <c r="AO224" s="2"/>
      <c r="BC224" s="1"/>
      <c r="BD224" s="2"/>
      <c r="BE224" s="2"/>
      <c r="BF224" s="2"/>
      <c r="BG224" s="2"/>
      <c r="BH224" s="2"/>
      <c r="BI224" s="2"/>
      <c r="BJ224" s="2"/>
      <c r="BK224" s="2"/>
    </row>
    <row r="225" spans="1:63" outlineLevel="1" x14ac:dyDescent="0.2">
      <c r="A225" s="4" t="s">
        <v>1561</v>
      </c>
      <c r="C225" s="230">
        <f>C$222*'Methanol recycling rates'!E71</f>
        <v>4.7201436005390703E-4</v>
      </c>
      <c r="D225" s="230">
        <f>D$222*'Methanol recycling rates'!F71</f>
        <v>7.3516219029201677E-4</v>
      </c>
      <c r="E225" s="230">
        <f>E$222*'Methanol recycling rates'!G71</f>
        <v>1.026610675215761E-3</v>
      </c>
      <c r="F225" s="230">
        <f>F$222*'Methanol recycling rates'!H71</f>
        <v>1.3444329625646339E-3</v>
      </c>
      <c r="G225" s="230">
        <f>G$222*'Methanol recycling rates'!I71</f>
        <v>1.6861753459676628E-3</v>
      </c>
      <c r="H225" s="230">
        <f>H$222*'Methanol recycling rates'!J71</f>
        <v>2.0488803111897613E-3</v>
      </c>
      <c r="I225" s="230">
        <f>I$222*'Methanol recycling rates'!K71</f>
        <v>2.4343618286014152E-3</v>
      </c>
      <c r="J225" s="230">
        <f>J$222*'Methanol recycling rates'!L71</f>
        <v>2.8413519287112518E-3</v>
      </c>
      <c r="K225" s="230">
        <f>K$222*'Methanol recycling rates'!M71</f>
        <v>3.2684016160183316E-3</v>
      </c>
      <c r="L225" s="230">
        <f>L$222*'Methanol recycling rates'!N71</f>
        <v>3.7138787776217061E-3</v>
      </c>
      <c r="M225" s="230">
        <f>M$222*'Methanol recycling rates'!O71</f>
        <v>4.1759668389531757E-3</v>
      </c>
      <c r="N225" s="230">
        <f>N$222*'Methanol recycling rates'!P71</f>
        <v>5.0360846491521597E-3</v>
      </c>
      <c r="O225" s="230">
        <f>O$222*'Methanol recycling rates'!Q71</f>
        <v>5.918858797729464E-3</v>
      </c>
      <c r="P225" s="230">
        <f>P$222*'Methanol recycling rates'!R71</f>
        <v>6.8158620093647891E-3</v>
      </c>
      <c r="Q225" s="230">
        <f>Q$222*'Methanol recycling rates'!S71</f>
        <v>7.7181814393898172E-3</v>
      </c>
      <c r="R225" s="230">
        <f>R$222*'Methanol recycling rates'!T71</f>
        <v>8.6165296157891882E-3</v>
      </c>
      <c r="S225" s="230">
        <f>S$222*'Methanol recycling rates'!U71</f>
        <v>9.5184828973664676E-3</v>
      </c>
      <c r="T225" s="230">
        <f>T$222*'Methanol recycling rates'!V71</f>
        <v>1.0419170980355668E-2</v>
      </c>
      <c r="U225" s="230">
        <f>U$222*'Methanol recycling rates'!W71</f>
        <v>1.1313530513346565E-2</v>
      </c>
      <c r="V225" s="230">
        <f>V$222*'Methanol recycling rates'!X71</f>
        <v>1.2196305431613532E-2</v>
      </c>
      <c r="W225" s="230">
        <f>W$222*'Methanol recycling rates'!Y71</f>
        <v>1.3062047514276091E-2</v>
      </c>
      <c r="X225" s="230">
        <f>X$222*'Methanol recycling rates'!Z71</f>
        <v>1.4462957198335812E-2</v>
      </c>
      <c r="Y225" s="230">
        <f>Y$222*'Methanol recycling rates'!AA71</f>
        <v>1.5834520553023528E-2</v>
      </c>
      <c r="Z225" s="230">
        <f>Z$222*'Methanol recycling rates'!AB71</f>
        <v>1.7167217760575691E-2</v>
      </c>
      <c r="AA225" s="230">
        <f>AA$222*'Methanol recycling rates'!AC71</f>
        <v>1.8451209538523236E-2</v>
      </c>
      <c r="AB225" s="230">
        <f>AB$222*'Methanol recycling rates'!AD71</f>
        <v>1.9676338463965989E-2</v>
      </c>
      <c r="AC225" s="230">
        <f>AC$222*'Methanol recycling rates'!AE71</f>
        <v>2.0832327595865643E-2</v>
      </c>
      <c r="AD225" s="230">
        <f>AD$222*'Methanol recycling rates'!AF71</f>
        <v>2.1908419381428134E-2</v>
      </c>
      <c r="AE225" s="230">
        <f>AE$222*'Methanol recycling rates'!AG71</f>
        <v>2.2893539077865385E-2</v>
      </c>
      <c r="AF225" s="230">
        <f>AF$222*'Methanol recycling rates'!AH71</f>
        <v>2.3776296398749803E-2</v>
      </c>
      <c r="AG225" s="230">
        <f>AG$222*'Methanol recycling rates'!AI71</f>
        <v>2.4544987477366553E-2</v>
      </c>
      <c r="AH225" s="245"/>
      <c r="AI225" s="133"/>
      <c r="AJ225" s="211"/>
      <c r="AL225" s="108"/>
      <c r="AM225" s="2"/>
      <c r="AN225" s="2"/>
      <c r="AO225" s="2"/>
      <c r="BC225" s="1"/>
      <c r="BD225" s="2"/>
      <c r="BE225" s="2"/>
      <c r="BF225" s="2"/>
      <c r="BG225" s="2"/>
      <c r="BH225" s="2"/>
      <c r="BI225" s="2"/>
      <c r="BJ225" s="2"/>
      <c r="BK225" s="2"/>
    </row>
    <row r="226" spans="1:63" s="1" customFormat="1" outlineLevel="1" x14ac:dyDescent="0.2">
      <c r="A226" s="1" t="s">
        <v>1562</v>
      </c>
      <c r="B226" s="65"/>
      <c r="C226" s="300">
        <f>C222-$C222</f>
        <v>0</v>
      </c>
      <c r="D226" s="300">
        <f t="shared" ref="D226:AG226" si="181">D222-$C222</f>
        <v>7.6354229962917095E-4</v>
      </c>
      <c r="E226" s="300">
        <f t="shared" si="181"/>
        <v>1.6405211194287022E-3</v>
      </c>
      <c r="F226" s="300">
        <f t="shared" si="181"/>
        <v>2.6327168919735066E-3</v>
      </c>
      <c r="G226" s="300">
        <f t="shared" si="181"/>
        <v>3.7404954352137096E-3</v>
      </c>
      <c r="H226" s="300">
        <f t="shared" si="181"/>
        <v>4.9627173425855556E-3</v>
      </c>
      <c r="I226" s="300">
        <f t="shared" si="181"/>
        <v>6.3130476033721608E-3</v>
      </c>
      <c r="J226" s="300">
        <f t="shared" si="181"/>
        <v>7.7965941431777262E-3</v>
      </c>
      <c r="K226" s="300">
        <f t="shared" si="181"/>
        <v>9.4183706783335115E-3</v>
      </c>
      <c r="L226" s="300">
        <f t="shared" si="181"/>
        <v>1.11832778942468E-2</v>
      </c>
      <c r="M226" s="300">
        <f t="shared" si="181"/>
        <v>1.3096084297857403E-2</v>
      </c>
      <c r="N226" s="300">
        <f t="shared" si="181"/>
        <v>1.6517490099657528E-2</v>
      </c>
      <c r="O226" s="300">
        <f t="shared" si="181"/>
        <v>2.0206461520006727E-2</v>
      </c>
      <c r="P226" s="300">
        <f t="shared" si="181"/>
        <v>2.4153871390306978E-2</v>
      </c>
      <c r="Q226" s="300">
        <f t="shared" si="181"/>
        <v>2.8347682664161194E-2</v>
      </c>
      <c r="R226" s="300">
        <f t="shared" si="181"/>
        <v>3.2772958308326404E-2</v>
      </c>
      <c r="S226" s="300">
        <f t="shared" si="181"/>
        <v>3.7481646007118681E-2</v>
      </c>
      <c r="T226" s="300">
        <f t="shared" si="181"/>
        <v>4.2479907903875944E-2</v>
      </c>
      <c r="U226" s="300">
        <f t="shared" si="181"/>
        <v>4.7773865652631101E-2</v>
      </c>
      <c r="V226" s="300">
        <f t="shared" si="181"/>
        <v>5.3369595153757492E-2</v>
      </c>
      <c r="W226" s="300">
        <f t="shared" si="181"/>
        <v>5.9273121231246312E-2</v>
      </c>
      <c r="X226" s="300">
        <f t="shared" si="181"/>
        <v>6.8169649436664106E-2</v>
      </c>
      <c r="Y226" s="300">
        <f t="shared" si="181"/>
        <v>7.758058431005109E-2</v>
      </c>
      <c r="Z226" s="300">
        <f t="shared" si="181"/>
        <v>8.7516180239551489E-2</v>
      </c>
      <c r="AA226" s="300">
        <f t="shared" si="181"/>
        <v>9.7986617626051806E-2</v>
      </c>
      <c r="AB226" s="300">
        <f t="shared" si="181"/>
        <v>0.10900199485072001</v>
      </c>
      <c r="AC226" s="300">
        <f t="shared" si="181"/>
        <v>0.12057347232054216</v>
      </c>
      <c r="AD226" s="300">
        <f t="shared" si="181"/>
        <v>0.13271130587807609</v>
      </c>
      <c r="AE226" s="300">
        <f t="shared" si="181"/>
        <v>0.14542567809825488</v>
      </c>
      <c r="AF226" s="300">
        <f t="shared" si="181"/>
        <v>0.15872669099239387</v>
      </c>
      <c r="AG226" s="300">
        <f t="shared" si="181"/>
        <v>0.17262435864647313</v>
      </c>
      <c r="AH226" s="245"/>
      <c r="AI226" s="423"/>
      <c r="AJ226" s="424"/>
      <c r="AL226" s="221"/>
      <c r="AM226" s="124"/>
      <c r="AN226" s="124"/>
      <c r="AO226" s="124"/>
      <c r="BD226" s="124"/>
      <c r="BE226" s="124"/>
      <c r="BF226" s="124"/>
      <c r="BG226" s="124"/>
      <c r="BH226" s="124"/>
      <c r="BI226" s="124"/>
      <c r="BJ226" s="124"/>
      <c r="BK226" s="124"/>
    </row>
    <row r="227" spans="1:63" outlineLevel="1" x14ac:dyDescent="0.2">
      <c r="A227" s="4" t="s">
        <v>474</v>
      </c>
      <c r="C227" s="230">
        <f>C223-$C223</f>
        <v>0</v>
      </c>
      <c r="D227" s="230">
        <f t="shared" ref="D227:AF227" si="182">D223-$C223</f>
        <v>4.4859542912567576E-5</v>
      </c>
      <c r="E227" s="230">
        <f t="shared" si="182"/>
        <v>1.2795678337467763E-4</v>
      </c>
      <c r="F227" s="230">
        <f t="shared" si="182"/>
        <v>2.5682719013230416E-4</v>
      </c>
      <c r="G227" s="230">
        <f t="shared" si="182"/>
        <v>4.3903813244217305E-4</v>
      </c>
      <c r="H227" s="230">
        <f t="shared" si="182"/>
        <v>6.8202480450229978E-4</v>
      </c>
      <c r="I227" s="230">
        <f t="shared" si="182"/>
        <v>9.9505952750724011E-4</v>
      </c>
      <c r="J227" s="230">
        <f t="shared" si="182"/>
        <v>1.387300397554751E-3</v>
      </c>
      <c r="K227" s="230">
        <f t="shared" si="182"/>
        <v>1.8683345077006501E-3</v>
      </c>
      <c r="L227" s="230">
        <f t="shared" si="182"/>
        <v>2.4481639858212655E-3</v>
      </c>
      <c r="M227" s="230">
        <f t="shared" si="182"/>
        <v>3.1371894994652381E-3</v>
      </c>
      <c r="N227" s="230">
        <f t="shared" si="182"/>
        <v>4.271392051859127E-3</v>
      </c>
      <c r="O227" s="230">
        <f t="shared" si="182"/>
        <v>5.6247712081621444E-3</v>
      </c>
      <c r="P227" s="230">
        <f t="shared" si="182"/>
        <v>7.2122396744393209E-3</v>
      </c>
      <c r="Q227" s="230">
        <f t="shared" si="182"/>
        <v>9.0470261103663841E-3</v>
      </c>
      <c r="R227" s="230">
        <f t="shared" si="182"/>
        <v>1.1140361175224057E-2</v>
      </c>
      <c r="S227" s="230">
        <f t="shared" si="182"/>
        <v>1.3525503227081983E-2</v>
      </c>
      <c r="T227" s="230">
        <f t="shared" si="182"/>
        <v>1.622327187834148E-2</v>
      </c>
      <c r="U227" s="230">
        <f t="shared" si="182"/>
        <v>1.9255008211678755E-2</v>
      </c>
      <c r="V227" s="230">
        <f t="shared" si="182"/>
        <v>2.264256818596995E-2</v>
      </c>
      <c r="W227" s="230">
        <f t="shared" si="182"/>
        <v>2.6408315328163616E-2</v>
      </c>
      <c r="X227" s="230">
        <f t="shared" si="182"/>
        <v>3.1801713068975439E-2</v>
      </c>
      <c r="Y227" s="230">
        <f t="shared" si="182"/>
        <v>3.7829732461592908E-2</v>
      </c>
      <c r="Z227" s="230">
        <f t="shared" si="182"/>
        <v>4.4531158693669082E-2</v>
      </c>
      <c r="AA227" s="230">
        <f t="shared" si="182"/>
        <v>5.1945632457162591E-2</v>
      </c>
      <c r="AB227" s="230">
        <f t="shared" si="182"/>
        <v>6.011363750557297E-2</v>
      </c>
      <c r="AC227" s="230">
        <f t="shared" si="182"/>
        <v>6.9077140182567984E-2</v>
      </c>
      <c r="AD227" s="230">
        <f t="shared" si="182"/>
        <v>7.8878547609062488E-2</v>
      </c>
      <c r="AE227" s="230">
        <f t="shared" si="182"/>
        <v>8.9561116524458126E-2</v>
      </c>
      <c r="AF227" s="230">
        <f t="shared" si="182"/>
        <v>0.10116894068747725</v>
      </c>
      <c r="AG227" s="230">
        <f>AG223-$C223</f>
        <v>0.11374693727966005</v>
      </c>
      <c r="AH227" s="245"/>
      <c r="AI227" s="133"/>
      <c r="AJ227" s="211"/>
      <c r="AL227" s="108"/>
      <c r="AM227" s="2"/>
      <c r="AN227" s="2"/>
      <c r="AO227" s="2"/>
      <c r="BC227" s="1"/>
      <c r="BD227" s="2"/>
      <c r="BE227" s="2"/>
      <c r="BF227" s="2"/>
      <c r="BG227" s="2"/>
      <c r="BH227" s="2"/>
      <c r="BI227" s="2"/>
      <c r="BJ227" s="2"/>
      <c r="BK227" s="2"/>
    </row>
    <row r="228" spans="1:63" outlineLevel="1" x14ac:dyDescent="0.2">
      <c r="A228" s="4" t="s">
        <v>745</v>
      </c>
      <c r="C228" s="230">
        <f t="shared" ref="C228:AG228" si="183">C224-$C224</f>
        <v>0</v>
      </c>
      <c r="D228" s="230">
        <f t="shared" si="183"/>
        <v>4.5553492647849359E-4</v>
      </c>
      <c r="E228" s="230">
        <f t="shared" si="183"/>
        <v>9.5796802089217039E-4</v>
      </c>
      <c r="F228" s="230">
        <f t="shared" si="183"/>
        <v>1.5034710993304752E-3</v>
      </c>
      <c r="G228" s="230">
        <f t="shared" si="183"/>
        <v>2.0872963168577802E-3</v>
      </c>
      <c r="H228" s="230">
        <f t="shared" si="183"/>
        <v>2.7038265869473999E-3</v>
      </c>
      <c r="I228" s="230">
        <f t="shared" si="183"/>
        <v>3.3556406073174099E-3</v>
      </c>
      <c r="J228" s="230">
        <f t="shared" si="183"/>
        <v>4.039956176965627E-3</v>
      </c>
      <c r="K228" s="230">
        <f t="shared" si="183"/>
        <v>4.7536489146684313E-3</v>
      </c>
      <c r="L228" s="230">
        <f t="shared" si="183"/>
        <v>5.493249490857729E-3</v>
      </c>
      <c r="M228" s="230">
        <f t="shared" si="183"/>
        <v>6.2549423194928882E-3</v>
      </c>
      <c r="N228" s="230">
        <f t="shared" si="183"/>
        <v>7.6820277587001419E-3</v>
      </c>
      <c r="O228" s="230">
        <f t="shared" si="183"/>
        <v>9.1348458741690158E-3</v>
      </c>
      <c r="P228" s="230">
        <f t="shared" si="183"/>
        <v>1.0597784066556764E-2</v>
      </c>
      <c r="Q228" s="230">
        <f t="shared" si="183"/>
        <v>1.2054489474458885E-2</v>
      </c>
      <c r="R228" s="230">
        <f t="shared" si="183"/>
        <v>1.3488081877367048E-2</v>
      </c>
      <c r="S228" s="230">
        <f t="shared" si="183"/>
        <v>1.4909674242724118E-2</v>
      </c>
      <c r="T228" s="230">
        <f t="shared" si="183"/>
        <v>1.6309479405232679E-2</v>
      </c>
      <c r="U228" s="230">
        <f t="shared" si="183"/>
        <v>1.7677341287659663E-2</v>
      </c>
      <c r="V228" s="230">
        <f t="shared" si="183"/>
        <v>1.900273589622789E-2</v>
      </c>
      <c r="W228" s="230">
        <f t="shared" si="183"/>
        <v>2.0274772748860487E-2</v>
      </c>
      <c r="X228" s="230">
        <f t="shared" si="183"/>
        <v>2.2376993529406745E-2</v>
      </c>
      <c r="Y228" s="230">
        <f t="shared" si="183"/>
        <v>2.4388345655488541E-2</v>
      </c>
      <c r="Z228" s="230">
        <f t="shared" si="183"/>
        <v>2.6289818145360595E-2</v>
      </c>
      <c r="AA228" s="230">
        <f t="shared" si="183"/>
        <v>2.8061789990419861E-2</v>
      </c>
      <c r="AB228" s="230">
        <f t="shared" si="183"/>
        <v>2.9684033241234933E-2</v>
      </c>
      <c r="AC228" s="230">
        <f t="shared" si="183"/>
        <v>3.1136018902162416E-2</v>
      </c>
      <c r="AD228" s="230">
        <f t="shared" si="183"/>
        <v>3.2396353247639335E-2</v>
      </c>
      <c r="AE228" s="230">
        <f t="shared" si="183"/>
        <v>3.344303685598523E-2</v>
      </c>
      <c r="AF228" s="230">
        <f t="shared" si="183"/>
        <v>3.4253468266220659E-2</v>
      </c>
      <c r="AG228" s="230">
        <f t="shared" si="183"/>
        <v>3.4804448249500394E-2</v>
      </c>
      <c r="AH228" s="245"/>
      <c r="AI228" s="133"/>
      <c r="AJ228" s="211"/>
      <c r="AL228" s="108"/>
      <c r="AM228" s="2"/>
      <c r="AN228" s="2"/>
      <c r="AO228" s="2"/>
      <c r="BC228" s="1"/>
      <c r="BD228" s="2"/>
      <c r="BE228" s="2"/>
      <c r="BF228" s="2"/>
      <c r="BG228" s="2"/>
      <c r="BH228" s="2"/>
      <c r="BI228" s="2"/>
      <c r="BJ228" s="2"/>
      <c r="BK228" s="2"/>
    </row>
    <row r="229" spans="1:63" outlineLevel="1" x14ac:dyDescent="0.2">
      <c r="A229" s="4" t="s">
        <v>1561</v>
      </c>
      <c r="C229" s="230">
        <f t="shared" ref="C229:AG229" si="184">C225-$C225</f>
        <v>0</v>
      </c>
      <c r="D229" s="230">
        <f t="shared" si="184"/>
        <v>2.6314783023810974E-4</v>
      </c>
      <c r="E229" s="230">
        <f t="shared" si="184"/>
        <v>5.5459631516185394E-4</v>
      </c>
      <c r="F229" s="230">
        <f t="shared" si="184"/>
        <v>8.7241860251072688E-4</v>
      </c>
      <c r="G229" s="230">
        <f t="shared" si="184"/>
        <v>1.2141609859137557E-3</v>
      </c>
      <c r="H229" s="230">
        <f t="shared" si="184"/>
        <v>1.5768659511358543E-3</v>
      </c>
      <c r="I229" s="230">
        <f t="shared" si="184"/>
        <v>1.9623474685475082E-3</v>
      </c>
      <c r="J229" s="230">
        <f t="shared" si="184"/>
        <v>2.3693375686573447E-3</v>
      </c>
      <c r="K229" s="230">
        <f t="shared" si="184"/>
        <v>2.7963872559644246E-3</v>
      </c>
      <c r="L229" s="230">
        <f t="shared" si="184"/>
        <v>3.241864417567799E-3</v>
      </c>
      <c r="M229" s="230">
        <f t="shared" si="184"/>
        <v>3.7039524788992687E-3</v>
      </c>
      <c r="N229" s="230">
        <f t="shared" si="184"/>
        <v>4.5640702890982522E-3</v>
      </c>
      <c r="O229" s="230">
        <f t="shared" si="184"/>
        <v>5.4468444376755566E-3</v>
      </c>
      <c r="P229" s="230">
        <f t="shared" si="184"/>
        <v>6.3438476493108825E-3</v>
      </c>
      <c r="Q229" s="230">
        <f t="shared" si="184"/>
        <v>7.2461670793359106E-3</v>
      </c>
      <c r="R229" s="230">
        <f t="shared" si="184"/>
        <v>8.1445152557352817E-3</v>
      </c>
      <c r="S229" s="230">
        <f t="shared" si="184"/>
        <v>9.046468537312561E-3</v>
      </c>
      <c r="T229" s="230">
        <f t="shared" si="184"/>
        <v>9.9471566203017617E-3</v>
      </c>
      <c r="U229" s="230">
        <f t="shared" si="184"/>
        <v>1.0841516153292659E-2</v>
      </c>
      <c r="V229" s="230">
        <f t="shared" si="184"/>
        <v>1.1724291071559626E-2</v>
      </c>
      <c r="W229" s="230">
        <f t="shared" si="184"/>
        <v>1.2590033154222184E-2</v>
      </c>
      <c r="X229" s="230">
        <f t="shared" si="184"/>
        <v>1.3990942838281905E-2</v>
      </c>
      <c r="Y229" s="230">
        <f t="shared" si="184"/>
        <v>1.5362506192969621E-2</v>
      </c>
      <c r="Z229" s="230">
        <f t="shared" si="184"/>
        <v>1.6695203400521785E-2</v>
      </c>
      <c r="AA229" s="230">
        <f t="shared" si="184"/>
        <v>1.7979195178469329E-2</v>
      </c>
      <c r="AB229" s="230">
        <f t="shared" si="184"/>
        <v>1.9204324103912082E-2</v>
      </c>
      <c r="AC229" s="230">
        <f t="shared" si="184"/>
        <v>2.0360313235811736E-2</v>
      </c>
      <c r="AD229" s="230">
        <f t="shared" si="184"/>
        <v>2.1436405021374227E-2</v>
      </c>
      <c r="AE229" s="230">
        <f t="shared" si="184"/>
        <v>2.2421524717811479E-2</v>
      </c>
      <c r="AF229" s="230">
        <f t="shared" si="184"/>
        <v>2.3304282038695896E-2</v>
      </c>
      <c r="AG229" s="230">
        <f t="shared" si="184"/>
        <v>2.4072973117312647E-2</v>
      </c>
      <c r="AH229" s="245"/>
      <c r="AI229" s="133"/>
      <c r="AJ229" s="211"/>
      <c r="AL229" s="108"/>
      <c r="AM229" s="2"/>
      <c r="AN229" s="2"/>
      <c r="AO229" s="2"/>
      <c r="BC229" s="1"/>
      <c r="BD229" s="2"/>
      <c r="BE229" s="2"/>
      <c r="BF229" s="2"/>
      <c r="BG229" s="2"/>
      <c r="BH229" s="2"/>
      <c r="BI229" s="2"/>
      <c r="BJ229" s="2"/>
      <c r="BK229" s="2"/>
    </row>
    <row r="230" spans="1:63" outlineLevel="1" x14ac:dyDescent="0.2">
      <c r="AJ230" s="211"/>
    </row>
    <row r="231" spans="1:63" s="200" customFormat="1" ht="16" thickBot="1" x14ac:dyDescent="0.25">
      <c r="A231" s="200" t="s">
        <v>1351</v>
      </c>
      <c r="B231" s="215"/>
      <c r="C231" s="224">
        <f>C232</f>
        <v>0.05</v>
      </c>
      <c r="D231" s="224">
        <f t="shared" ref="D231:AG231" si="185">D232</f>
        <v>5.2260994000770548E-2</v>
      </c>
      <c r="E231" s="224">
        <f t="shared" si="185"/>
        <v>5.4521988001541094E-2</v>
      </c>
      <c r="F231" s="224">
        <f t="shared" si="185"/>
        <v>5.6782982002311633E-2</v>
      </c>
      <c r="G231" s="224">
        <f t="shared" si="185"/>
        <v>5.9043976003082178E-2</v>
      </c>
      <c r="H231" s="224">
        <f t="shared" si="185"/>
        <v>6.1304970003852724E-2</v>
      </c>
      <c r="I231" s="224">
        <f t="shared" si="185"/>
        <v>6.3565964004623277E-2</v>
      </c>
      <c r="J231" s="224">
        <f t="shared" si="185"/>
        <v>6.5826958005393815E-2</v>
      </c>
      <c r="K231" s="224">
        <f t="shared" si="185"/>
        <v>6.8087952006164354E-2</v>
      </c>
      <c r="L231" s="224">
        <f t="shared" si="185"/>
        <v>7.0348946006934907E-2</v>
      </c>
      <c r="M231" s="224">
        <f t="shared" si="185"/>
        <v>7.2609940007705445E-2</v>
      </c>
      <c r="N231" s="224">
        <f t="shared" si="185"/>
        <v>7.7375419670867973E-2</v>
      </c>
      <c r="O231" s="224">
        <f t="shared" si="185"/>
        <v>8.2140899334030501E-2</v>
      </c>
      <c r="P231" s="224">
        <f t="shared" si="185"/>
        <v>8.6906378997193029E-2</v>
      </c>
      <c r="Q231" s="224">
        <f t="shared" si="185"/>
        <v>9.1671858660355557E-2</v>
      </c>
      <c r="R231" s="224">
        <f t="shared" si="185"/>
        <v>9.6437338323518085E-2</v>
      </c>
      <c r="S231" s="224">
        <f t="shared" si="185"/>
        <v>0.10120281798668061</v>
      </c>
      <c r="T231" s="224">
        <f t="shared" si="185"/>
        <v>0.10596829764984314</v>
      </c>
      <c r="U231" s="224">
        <f t="shared" si="185"/>
        <v>0.11073377731300567</v>
      </c>
      <c r="V231" s="224">
        <f t="shared" si="185"/>
        <v>0.1154992569761682</v>
      </c>
      <c r="W231" s="224">
        <f t="shared" si="185"/>
        <v>0.12026473663933072</v>
      </c>
      <c r="X231" s="224">
        <f t="shared" si="185"/>
        <v>0.12823826297539764</v>
      </c>
      <c r="Y231" s="224">
        <f t="shared" si="185"/>
        <v>0.13621178931146458</v>
      </c>
      <c r="Z231" s="224">
        <f t="shared" si="185"/>
        <v>0.14418531564753151</v>
      </c>
      <c r="AA231" s="224">
        <f t="shared" si="185"/>
        <v>0.15215884198359844</v>
      </c>
      <c r="AB231" s="224">
        <f t="shared" si="185"/>
        <v>0.16013236831966537</v>
      </c>
      <c r="AC231" s="224">
        <f t="shared" si="185"/>
        <v>0.16810589465573231</v>
      </c>
      <c r="AD231" s="224">
        <f t="shared" si="185"/>
        <v>0.17607942099179924</v>
      </c>
      <c r="AE231" s="224">
        <f t="shared" si="185"/>
        <v>0.18405294732786615</v>
      </c>
      <c r="AF231" s="224">
        <f t="shared" si="185"/>
        <v>0.19202647366393311</v>
      </c>
      <c r="AG231" s="224">
        <f t="shared" si="185"/>
        <v>0.2</v>
      </c>
      <c r="AJ231" s="231" t="s">
        <v>1331</v>
      </c>
      <c r="AL231" s="217"/>
      <c r="AM231" s="225"/>
      <c r="AN231" s="225"/>
      <c r="AO231" s="225"/>
    </row>
    <row r="232" spans="1:63" ht="16" outlineLevel="2" thickTop="1" x14ac:dyDescent="0.2">
      <c r="A232" t="s">
        <v>1352</v>
      </c>
      <c r="B232" s="54" t="s">
        <v>462</v>
      </c>
      <c r="C232" s="113">
        <v>0.05</v>
      </c>
      <c r="D232" s="110">
        <f>$C232+($M232-$C232)/10*(D$1-$C$1)</f>
        <v>5.2260994000770548E-2</v>
      </c>
      <c r="E232" s="110">
        <f t="shared" ref="E232:L232" si="186">$C232+($M232-$C232)/10*(E$1-$C$1)</f>
        <v>5.4521988001541094E-2</v>
      </c>
      <c r="F232" s="110">
        <f t="shared" si="186"/>
        <v>5.6782982002311633E-2</v>
      </c>
      <c r="G232" s="110">
        <f t="shared" si="186"/>
        <v>5.9043976003082178E-2</v>
      </c>
      <c r="H232" s="110">
        <f t="shared" si="186"/>
        <v>6.1304970003852724E-2</v>
      </c>
      <c r="I232" s="110">
        <f t="shared" si="186"/>
        <v>6.3565964004623277E-2</v>
      </c>
      <c r="J232" s="110">
        <f t="shared" si="186"/>
        <v>6.5826958005393815E-2</v>
      </c>
      <c r="K232" s="110">
        <f t="shared" si="186"/>
        <v>6.8087952006164354E-2</v>
      </c>
      <c r="L232" s="110">
        <f t="shared" si="186"/>
        <v>7.0348946006934907E-2</v>
      </c>
      <c r="M232" s="121">
        <f>(M$52-$C$52)/($AG$52-$C$52)*($AG232-$C232)+$C232</f>
        <v>7.2609940007705445E-2</v>
      </c>
      <c r="N232" s="121">
        <f>$M232+($W232-$M232)/10*(N$1-$M$1)</f>
        <v>7.7375419670867973E-2</v>
      </c>
      <c r="O232" s="121">
        <f t="shared" ref="O232:U232" si="187">$M232+($W232-$M232)/10*(O$1-$M$1)</f>
        <v>8.2140899334030501E-2</v>
      </c>
      <c r="P232" s="121">
        <f t="shared" si="187"/>
        <v>8.6906378997193029E-2</v>
      </c>
      <c r="Q232" s="121">
        <f t="shared" si="187"/>
        <v>9.1671858660355557E-2</v>
      </c>
      <c r="R232" s="121">
        <f t="shared" si="187"/>
        <v>9.6437338323518085E-2</v>
      </c>
      <c r="S232" s="121">
        <f t="shared" si="187"/>
        <v>0.10120281798668061</v>
      </c>
      <c r="T232" s="121">
        <f t="shared" si="187"/>
        <v>0.10596829764984314</v>
      </c>
      <c r="U232" s="121">
        <f t="shared" si="187"/>
        <v>0.11073377731300567</v>
      </c>
      <c r="V232" s="121">
        <f>$M232+($W232-$M232)/10*(V$1-$M$1)</f>
        <v>0.1154992569761682</v>
      </c>
      <c r="W232" s="121">
        <f>(W$52-$C$52)/($AG$52-$C$52)*($AG232-$C232)+$C232</f>
        <v>0.12026473663933072</v>
      </c>
      <c r="X232" s="23">
        <f t="shared" ref="X232:AF232" si="188">$W232+($AG232-$W232)/10*(X$1-$W$1)</f>
        <v>0.12823826297539764</v>
      </c>
      <c r="Y232" s="23">
        <f t="shared" si="188"/>
        <v>0.13621178931146458</v>
      </c>
      <c r="Z232" s="23">
        <f t="shared" si="188"/>
        <v>0.14418531564753151</v>
      </c>
      <c r="AA232" s="23">
        <f t="shared" si="188"/>
        <v>0.15215884198359844</v>
      </c>
      <c r="AB232" s="23">
        <f t="shared" si="188"/>
        <v>0.16013236831966537</v>
      </c>
      <c r="AC232" s="23">
        <f t="shared" si="188"/>
        <v>0.16810589465573231</v>
      </c>
      <c r="AD232" s="23">
        <f t="shared" si="188"/>
        <v>0.17607942099179924</v>
      </c>
      <c r="AE232" s="23">
        <f t="shared" si="188"/>
        <v>0.18405294732786615</v>
      </c>
      <c r="AF232" s="23">
        <f t="shared" si="188"/>
        <v>0.19202647366393311</v>
      </c>
      <c r="AG232" s="106">
        <v>0.2</v>
      </c>
      <c r="AJ232" s="211" t="s">
        <v>1353</v>
      </c>
    </row>
    <row r="233" spans="1:63" outlineLevel="2" x14ac:dyDescent="0.2">
      <c r="C233" s="113"/>
      <c r="D233" s="110"/>
      <c r="E233" s="110"/>
      <c r="F233" s="110"/>
      <c r="G233" s="110"/>
      <c r="H233" s="110"/>
      <c r="I233" s="110"/>
      <c r="J233" s="110"/>
      <c r="K233" s="110"/>
      <c r="L233" s="110"/>
      <c r="M233" s="121"/>
      <c r="N233" s="121"/>
      <c r="O233" s="121"/>
      <c r="P233" s="121"/>
      <c r="Q233" s="121"/>
      <c r="R233" s="121"/>
      <c r="S233" s="121"/>
      <c r="T233" s="121"/>
      <c r="U233" s="121"/>
      <c r="V233" s="121"/>
      <c r="W233" s="121"/>
      <c r="X233" s="23"/>
      <c r="Y233" s="23"/>
      <c r="Z233" s="23"/>
      <c r="AA233" s="23"/>
      <c r="AB233" s="23"/>
      <c r="AC233" s="23"/>
      <c r="AD233" s="23"/>
      <c r="AE233" s="23"/>
      <c r="AF233" s="23"/>
      <c r="AG233" s="106"/>
      <c r="AJ233" s="211"/>
    </row>
    <row r="234" spans="1:63" outlineLevel="1" x14ac:dyDescent="0.2">
      <c r="A234" t="s">
        <v>1553</v>
      </c>
      <c r="C234" s="504">
        <f>'Overall recycling rates'!E88</f>
        <v>1.0000000000000004</v>
      </c>
      <c r="D234" s="504">
        <f>C234-($C234-$AG234)/($AG$1-$C$1)</f>
        <v>1.0000000000000004</v>
      </c>
      <c r="E234" s="504">
        <f t="shared" ref="E234:AF234" si="189">D234-($C234-$AG234)/($AG$1-$C$1)</f>
        <v>1.0000000000000004</v>
      </c>
      <c r="F234" s="504">
        <f t="shared" si="189"/>
        <v>1.0000000000000004</v>
      </c>
      <c r="G234" s="504">
        <f t="shared" si="189"/>
        <v>1.0000000000000004</v>
      </c>
      <c r="H234" s="504">
        <f t="shared" si="189"/>
        <v>1.0000000000000004</v>
      </c>
      <c r="I234" s="504">
        <f t="shared" si="189"/>
        <v>1.0000000000000004</v>
      </c>
      <c r="J234" s="504">
        <f t="shared" si="189"/>
        <v>1.0000000000000004</v>
      </c>
      <c r="K234" s="504">
        <f t="shared" si="189"/>
        <v>1.0000000000000004</v>
      </c>
      <c r="L234" s="504">
        <f t="shared" si="189"/>
        <v>1.0000000000000004</v>
      </c>
      <c r="M234" s="504">
        <f t="shared" si="189"/>
        <v>1.0000000000000004</v>
      </c>
      <c r="N234" s="504">
        <f t="shared" si="189"/>
        <v>1.0000000000000004</v>
      </c>
      <c r="O234" s="504">
        <f t="shared" si="189"/>
        <v>1.0000000000000004</v>
      </c>
      <c r="P234" s="504">
        <f t="shared" si="189"/>
        <v>1.0000000000000004</v>
      </c>
      <c r="Q234" s="504">
        <f t="shared" si="189"/>
        <v>1.0000000000000004</v>
      </c>
      <c r="R234" s="504">
        <f t="shared" si="189"/>
        <v>1.0000000000000004</v>
      </c>
      <c r="S234" s="504">
        <f t="shared" si="189"/>
        <v>1.0000000000000004</v>
      </c>
      <c r="T234" s="504">
        <f t="shared" si="189"/>
        <v>1.0000000000000004</v>
      </c>
      <c r="U234" s="504">
        <f t="shared" si="189"/>
        <v>1.0000000000000004</v>
      </c>
      <c r="V234" s="504">
        <f t="shared" si="189"/>
        <v>1.0000000000000004</v>
      </c>
      <c r="W234" s="504">
        <f t="shared" si="189"/>
        <v>1.0000000000000004</v>
      </c>
      <c r="X234" s="504">
        <f t="shared" si="189"/>
        <v>1.0000000000000004</v>
      </c>
      <c r="Y234" s="504">
        <f t="shared" si="189"/>
        <v>1.0000000000000004</v>
      </c>
      <c r="Z234" s="504">
        <f t="shared" si="189"/>
        <v>1.0000000000000004</v>
      </c>
      <c r="AA234" s="504">
        <f t="shared" si="189"/>
        <v>1.0000000000000004</v>
      </c>
      <c r="AB234" s="504">
        <f t="shared" si="189"/>
        <v>1.0000000000000004</v>
      </c>
      <c r="AC234" s="504">
        <f t="shared" si="189"/>
        <v>1.0000000000000004</v>
      </c>
      <c r="AD234" s="504">
        <f t="shared" si="189"/>
        <v>1.0000000000000004</v>
      </c>
      <c r="AE234" s="504">
        <f t="shared" si="189"/>
        <v>1.0000000000000004</v>
      </c>
      <c r="AF234" s="504">
        <f t="shared" si="189"/>
        <v>1.0000000000000004</v>
      </c>
      <c r="AG234" s="504">
        <f>'Overall recycling rates'!E97</f>
        <v>1</v>
      </c>
      <c r="AI234" s="133"/>
      <c r="AJ234" s="211" t="s">
        <v>1582</v>
      </c>
      <c r="AL234" s="108"/>
      <c r="AM234" s="207"/>
      <c r="AN234" s="207"/>
      <c r="AO234" s="207"/>
      <c r="BC234" s="1"/>
      <c r="BD234" s="207"/>
      <c r="BE234" s="207"/>
      <c r="BF234" s="207"/>
      <c r="BG234" s="207"/>
      <c r="BH234" s="207"/>
      <c r="BI234" s="207"/>
      <c r="BJ234" s="207"/>
      <c r="BK234" s="207"/>
    </row>
    <row r="235" spans="1:63" outlineLevel="1" x14ac:dyDescent="0.2">
      <c r="A235" t="s">
        <v>1583</v>
      </c>
      <c r="B235" s="54" t="s">
        <v>462</v>
      </c>
      <c r="C235" s="110">
        <f>C232*C234</f>
        <v>5.0000000000000024E-2</v>
      </c>
      <c r="D235" s="110">
        <f t="shared" ref="D235:AG235" si="190">D232*D234</f>
        <v>5.2260994000770569E-2</v>
      </c>
      <c r="E235" s="110">
        <f t="shared" si="190"/>
        <v>5.4521988001541115E-2</v>
      </c>
      <c r="F235" s="110">
        <f t="shared" si="190"/>
        <v>5.678298200231166E-2</v>
      </c>
      <c r="G235" s="110">
        <f t="shared" si="190"/>
        <v>5.9043976003082206E-2</v>
      </c>
      <c r="H235" s="110">
        <f t="shared" si="190"/>
        <v>6.1304970003852752E-2</v>
      </c>
      <c r="I235" s="110">
        <f t="shared" si="190"/>
        <v>6.3565964004623304E-2</v>
      </c>
      <c r="J235" s="110">
        <f t="shared" si="190"/>
        <v>6.5826958005393843E-2</v>
      </c>
      <c r="K235" s="110">
        <f t="shared" si="190"/>
        <v>6.8087952006164382E-2</v>
      </c>
      <c r="L235" s="110">
        <f t="shared" si="190"/>
        <v>7.0348946006934934E-2</v>
      </c>
      <c r="M235" s="110">
        <f t="shared" si="190"/>
        <v>7.2609940007705473E-2</v>
      </c>
      <c r="N235" s="110">
        <f t="shared" si="190"/>
        <v>7.7375419670868001E-2</v>
      </c>
      <c r="O235" s="110">
        <f t="shared" si="190"/>
        <v>8.2140899334030543E-2</v>
      </c>
      <c r="P235" s="110">
        <f t="shared" si="190"/>
        <v>8.6906378997193071E-2</v>
      </c>
      <c r="Q235" s="110">
        <f t="shared" si="190"/>
        <v>9.1671858660355598E-2</v>
      </c>
      <c r="R235" s="110">
        <f t="shared" si="190"/>
        <v>9.6437338323518126E-2</v>
      </c>
      <c r="S235" s="110">
        <f t="shared" si="190"/>
        <v>0.10120281798668065</v>
      </c>
      <c r="T235" s="110">
        <f t="shared" si="190"/>
        <v>0.10596829764984318</v>
      </c>
      <c r="U235" s="110">
        <f t="shared" si="190"/>
        <v>0.11073377731300572</v>
      </c>
      <c r="V235" s="110">
        <f t="shared" si="190"/>
        <v>0.11549925697616825</v>
      </c>
      <c r="W235" s="110">
        <f t="shared" si="190"/>
        <v>0.12026473663933078</v>
      </c>
      <c r="X235" s="110">
        <f t="shared" si="190"/>
        <v>0.1282382629753977</v>
      </c>
      <c r="Y235" s="110">
        <f t="shared" si="190"/>
        <v>0.13621178931146463</v>
      </c>
      <c r="Z235" s="110">
        <f t="shared" si="190"/>
        <v>0.14418531564753156</v>
      </c>
      <c r="AA235" s="110">
        <f t="shared" si="190"/>
        <v>0.1521588419835985</v>
      </c>
      <c r="AB235" s="110">
        <f t="shared" si="190"/>
        <v>0.16013236831966546</v>
      </c>
      <c r="AC235" s="110">
        <f t="shared" si="190"/>
        <v>0.16810589465573239</v>
      </c>
      <c r="AD235" s="110">
        <f t="shared" si="190"/>
        <v>0.17607942099179932</v>
      </c>
      <c r="AE235" s="110">
        <f t="shared" si="190"/>
        <v>0.18405294732786623</v>
      </c>
      <c r="AF235" s="110">
        <f t="shared" si="190"/>
        <v>0.19202647366393319</v>
      </c>
      <c r="AG235" s="110">
        <f t="shared" si="190"/>
        <v>0.2</v>
      </c>
      <c r="AJ235" s="211" t="s">
        <v>1349</v>
      </c>
    </row>
    <row r="236" spans="1:63" outlineLevel="1" x14ac:dyDescent="0.2">
      <c r="C236" s="110"/>
      <c r="D236" s="110"/>
      <c r="E236" s="110"/>
      <c r="F236" s="110"/>
      <c r="G236" s="110"/>
      <c r="H236" s="110"/>
      <c r="I236" s="110"/>
      <c r="J236" s="110"/>
      <c r="K236" s="110"/>
      <c r="L236" s="110"/>
      <c r="M236" s="110"/>
      <c r="N236" s="110"/>
      <c r="O236" s="110"/>
      <c r="P236" s="110"/>
      <c r="Q236" s="110"/>
      <c r="R236" s="110"/>
      <c r="S236" s="110"/>
      <c r="T236" s="110"/>
      <c r="U236" s="110"/>
      <c r="V236" s="110"/>
      <c r="W236" s="110"/>
      <c r="X236" s="110"/>
      <c r="Y236" s="110"/>
      <c r="Z236" s="110"/>
      <c r="AA236" s="110"/>
      <c r="AB236" s="110"/>
      <c r="AC236" s="110"/>
      <c r="AD236" s="110"/>
      <c r="AE236" s="110"/>
      <c r="AF236" s="110"/>
      <c r="AG236" s="110"/>
      <c r="AJ236" s="211"/>
    </row>
    <row r="237" spans="1:63" s="1" customFormat="1" outlineLevel="1" x14ac:dyDescent="0.2">
      <c r="A237" s="1" t="s">
        <v>228</v>
      </c>
      <c r="B237" s="65"/>
      <c r="C237" s="300">
        <f>C235*C46</f>
        <v>0.31598105577738522</v>
      </c>
      <c r="D237" s="300">
        <f t="shared" ref="D237:AG237" si="191">D235*D46</f>
        <v>0.34134081620046014</v>
      </c>
      <c r="E237" s="300">
        <f t="shared" si="191"/>
        <v>0.36708360883116053</v>
      </c>
      <c r="F237" s="300">
        <f t="shared" si="191"/>
        <v>0.39305945533275943</v>
      </c>
      <c r="G237" s="300">
        <f t="shared" si="191"/>
        <v>0.41910914635149427</v>
      </c>
      <c r="H237" s="300">
        <f t="shared" si="191"/>
        <v>0.44506581519298871</v>
      </c>
      <c r="I237" s="300">
        <f t="shared" si="191"/>
        <v>0.46865862574271655</v>
      </c>
      <c r="J237" s="300">
        <f t="shared" si="191"/>
        <v>0.49263133350270355</v>
      </c>
      <c r="K237" s="300">
        <f t="shared" si="191"/>
        <v>0.51696022680116138</v>
      </c>
      <c r="L237" s="300">
        <f t="shared" si="191"/>
        <v>0.54162027169767102</v>
      </c>
      <c r="M237" s="300">
        <f t="shared" si="191"/>
        <v>0.56658514113605296</v>
      </c>
      <c r="N237" s="300">
        <f t="shared" si="191"/>
        <v>0.61074918219283847</v>
      </c>
      <c r="O237" s="300">
        <f t="shared" si="191"/>
        <v>0.65458661757310344</v>
      </c>
      <c r="P237" s="300">
        <f t="shared" si="191"/>
        <v>0.69785011560693</v>
      </c>
      <c r="Q237" s="300">
        <f t="shared" si="191"/>
        <v>0.74029090372043316</v>
      </c>
      <c r="R237" s="300">
        <f t="shared" si="191"/>
        <v>0.78166111633448543</v>
      </c>
      <c r="S237" s="300">
        <f t="shared" si="191"/>
        <v>0.82319663984507463</v>
      </c>
      <c r="T237" s="300">
        <f t="shared" si="191"/>
        <v>0.86487841977882918</v>
      </c>
      <c r="U237" s="300">
        <f t="shared" si="191"/>
        <v>0.90668705868840904</v>
      </c>
      <c r="V237" s="300">
        <f t="shared" si="191"/>
        <v>0.94860282538537899</v>
      </c>
      <c r="W237" s="300">
        <f t="shared" si="191"/>
        <v>0.99060566457073596</v>
      </c>
      <c r="X237" s="300">
        <f t="shared" si="191"/>
        <v>1.0591834300819993</v>
      </c>
      <c r="Y237" s="300">
        <f t="shared" si="191"/>
        <v>1.1279573954842617</v>
      </c>
      <c r="Z237" s="300">
        <f t="shared" si="191"/>
        <v>1.1968962214108989</v>
      </c>
      <c r="AA237" s="300">
        <f t="shared" si="191"/>
        <v>1.2659680759060181</v>
      </c>
      <c r="AB237" s="300">
        <f t="shared" si="191"/>
        <v>1.335140648949785</v>
      </c>
      <c r="AC237" s="300">
        <f t="shared" si="191"/>
        <v>1.4040683723338703</v>
      </c>
      <c r="AD237" s="300">
        <f t="shared" si="191"/>
        <v>1.4730086161638012</v>
      </c>
      <c r="AE237" s="300">
        <f t="shared" si="191"/>
        <v>1.5419288288915012</v>
      </c>
      <c r="AF237" s="300">
        <f t="shared" si="191"/>
        <v>1.6107960478854155</v>
      </c>
      <c r="AG237" s="300">
        <f t="shared" si="191"/>
        <v>1.6795769139844205</v>
      </c>
      <c r="AH237" s="245"/>
      <c r="AI237" s="423"/>
      <c r="AJ237" s="424"/>
      <c r="AL237" s="221"/>
      <c r="AM237" s="124"/>
      <c r="AN237" s="124"/>
      <c r="AO237" s="124"/>
      <c r="BD237" s="124"/>
      <c r="BE237" s="124"/>
      <c r="BF237" s="124"/>
      <c r="BG237" s="124"/>
      <c r="BH237" s="124"/>
      <c r="BI237" s="124"/>
      <c r="BJ237" s="124"/>
      <c r="BK237" s="124"/>
    </row>
    <row r="238" spans="1:63" outlineLevel="1" x14ac:dyDescent="0.2">
      <c r="A238" s="4" t="s">
        <v>474</v>
      </c>
      <c r="C238" s="230">
        <f>C$237*'Methanol recycling rates'!E72</f>
        <v>0</v>
      </c>
      <c r="D238" s="230">
        <f>D$237*'Methanol recycling rates'!F72</f>
        <v>0</v>
      </c>
      <c r="E238" s="230">
        <f>E$237*'Methanol recycling rates'!G72</f>
        <v>0</v>
      </c>
      <c r="F238" s="230">
        <f>F$237*'Methanol recycling rates'!H72</f>
        <v>0</v>
      </c>
      <c r="G238" s="230">
        <f>G$237*'Methanol recycling rates'!I72</f>
        <v>0</v>
      </c>
      <c r="H238" s="230">
        <f>H$237*'Methanol recycling rates'!J72</f>
        <v>0</v>
      </c>
      <c r="I238" s="230">
        <f>I$237*'Methanol recycling rates'!K72</f>
        <v>0</v>
      </c>
      <c r="J238" s="230">
        <f>J$237*'Methanol recycling rates'!L72</f>
        <v>0</v>
      </c>
      <c r="K238" s="230">
        <f>K$237*'Methanol recycling rates'!M72</f>
        <v>0</v>
      </c>
      <c r="L238" s="230">
        <f>L$237*'Methanol recycling rates'!N72</f>
        <v>0</v>
      </c>
      <c r="M238" s="230">
        <f>M$237*'Methanol recycling rates'!O72</f>
        <v>0</v>
      </c>
      <c r="N238" s="230">
        <f>N$237*'Methanol recycling rates'!P72</f>
        <v>0</v>
      </c>
      <c r="O238" s="230">
        <f>O$237*'Methanol recycling rates'!Q72</f>
        <v>0</v>
      </c>
      <c r="P238" s="230">
        <f>P$237*'Methanol recycling rates'!R72</f>
        <v>0</v>
      </c>
      <c r="Q238" s="230">
        <f>Q$237*'Methanol recycling rates'!S72</f>
        <v>0</v>
      </c>
      <c r="R238" s="230">
        <f>R$237*'Methanol recycling rates'!T72</f>
        <v>0</v>
      </c>
      <c r="S238" s="230">
        <f>S$237*'Methanol recycling rates'!U72</f>
        <v>0</v>
      </c>
      <c r="T238" s="230">
        <f>T$237*'Methanol recycling rates'!V72</f>
        <v>0</v>
      </c>
      <c r="U238" s="230">
        <f>U$237*'Methanol recycling rates'!W72</f>
        <v>0</v>
      </c>
      <c r="V238" s="230">
        <f>V$237*'Methanol recycling rates'!X72</f>
        <v>0</v>
      </c>
      <c r="W238" s="230">
        <f>W$237*'Methanol recycling rates'!Y72</f>
        <v>0</v>
      </c>
      <c r="X238" s="230">
        <f>X$237*'Methanol recycling rates'!Z72</f>
        <v>0</v>
      </c>
      <c r="Y238" s="230">
        <f>Y$237*'Methanol recycling rates'!AA72</f>
        <v>0</v>
      </c>
      <c r="Z238" s="230">
        <f>Z$237*'Methanol recycling rates'!AB72</f>
        <v>0</v>
      </c>
      <c r="AA238" s="230">
        <f>AA$237*'Methanol recycling rates'!AC72</f>
        <v>0</v>
      </c>
      <c r="AB238" s="230">
        <f>AB$237*'Methanol recycling rates'!AD72</f>
        <v>0</v>
      </c>
      <c r="AC238" s="230">
        <f>AC$237*'Methanol recycling rates'!AE72</f>
        <v>0</v>
      </c>
      <c r="AD238" s="230">
        <f>AD$237*'Methanol recycling rates'!AF72</f>
        <v>0</v>
      </c>
      <c r="AE238" s="230">
        <f>AE$237*'Methanol recycling rates'!AG72</f>
        <v>0</v>
      </c>
      <c r="AF238" s="230">
        <f>AF$237*'Methanol recycling rates'!AH72</f>
        <v>0</v>
      </c>
      <c r="AG238" s="230">
        <f>AG$237*'Methanol recycling rates'!AI72</f>
        <v>0</v>
      </c>
      <c r="AH238" s="245"/>
      <c r="AI238" s="133"/>
      <c r="AJ238" s="211"/>
      <c r="AL238" s="108"/>
      <c r="AM238" s="2"/>
      <c r="AN238" s="2"/>
      <c r="AO238" s="2"/>
      <c r="BC238" s="1"/>
      <c r="BD238" s="2"/>
      <c r="BE238" s="2"/>
      <c r="BF238" s="2"/>
      <c r="BG238" s="2"/>
      <c r="BH238" s="2"/>
      <c r="BI238" s="2"/>
      <c r="BJ238" s="2"/>
      <c r="BK238" s="2"/>
    </row>
    <row r="239" spans="1:63" outlineLevel="1" x14ac:dyDescent="0.2">
      <c r="A239" s="4" t="s">
        <v>745</v>
      </c>
      <c r="C239" s="230">
        <f>C$237*'Methanol recycling rates'!E73</f>
        <v>9.7552363181015914E-2</v>
      </c>
      <c r="D239" s="230">
        <f>D$237*'Methanol recycling rates'!F73</f>
        <v>0.10538164444247948</v>
      </c>
      <c r="E239" s="230">
        <f>E$237*'Methanol recycling rates'!G73</f>
        <v>0.11332917866988867</v>
      </c>
      <c r="F239" s="230">
        <f>F$237*'Methanol recycling rates'!H73</f>
        <v>0.1213486632735592</v>
      </c>
      <c r="G239" s="230">
        <f>G$237*'Methanol recycling rates'!I73</f>
        <v>0.12939094578559435</v>
      </c>
      <c r="H239" s="230">
        <f>H$237*'Methanol recycling rates'!J73</f>
        <v>0.13740450969867515</v>
      </c>
      <c r="I239" s="230">
        <f>I$237*'Methanol recycling rates'!K73</f>
        <v>0.14468828314371809</v>
      </c>
      <c r="J239" s="230">
        <f>J$237*'Methanol recycling rates'!L73</f>
        <v>0.1520893416916147</v>
      </c>
      <c r="K239" s="230">
        <f>K$237*'Methanol recycling rates'!M73</f>
        <v>0.15960036487306584</v>
      </c>
      <c r="L239" s="230">
        <f>L$237*'Methanol recycling rates'!N73</f>
        <v>0.16721362399673712</v>
      </c>
      <c r="M239" s="230">
        <f>M$237*'Methanol recycling rates'!O73</f>
        <v>0.17492099114958143</v>
      </c>
      <c r="N239" s="230">
        <f>N$237*'Methanol recycling rates'!P73</f>
        <v>0.18855569010997772</v>
      </c>
      <c r="O239" s="230">
        <f>O$237*'Methanol recycling rates'!Q73</f>
        <v>0.20208955658377278</v>
      </c>
      <c r="P239" s="230">
        <f>P$237*'Methanol recycling rates'!R73</f>
        <v>0.21544623223096859</v>
      </c>
      <c r="Q239" s="230">
        <f>Q$237*'Methanol recycling rates'!S73</f>
        <v>0.22854891386342016</v>
      </c>
      <c r="R239" s="230">
        <f>R$237*'Methanol recycling rates'!T73</f>
        <v>0.24132107830813024</v>
      </c>
      <c r="S239" s="230">
        <f>S$237*'Methanol recycling rates'!U73</f>
        <v>0.25414427894099745</v>
      </c>
      <c r="T239" s="230">
        <f>T$237*'Methanol recycling rates'!V73</f>
        <v>0.26701263310268963</v>
      </c>
      <c r="U239" s="230">
        <f>U$237*'Methanol recycling rates'!W73</f>
        <v>0.27992015224802946</v>
      </c>
      <c r="V239" s="230">
        <f>V$237*'Methanol recycling rates'!X73</f>
        <v>0.29286074479644575</v>
      </c>
      <c r="W239" s="230">
        <f>W$237*'Methanol recycling rates'!Y73</f>
        <v>0.30582821910519198</v>
      </c>
      <c r="X239" s="230">
        <f>X$237*'Methanol recycling rates'!Z73</f>
        <v>0.32700013104414849</v>
      </c>
      <c r="Y239" s="230">
        <f>Y$237*'Methanol recycling rates'!AA73</f>
        <v>0.3482326154847562</v>
      </c>
      <c r="Z239" s="230">
        <f>Z$237*'Methanol recycling rates'!AB73</f>
        <v>0.36951599707079075</v>
      </c>
      <c r="AA239" s="230">
        <f>AA$237*'Methanol recycling rates'!AC73</f>
        <v>0.39084044836967269</v>
      </c>
      <c r="AB239" s="230">
        <f>AB$237*'Methanol recycling rates'!AD73</f>
        <v>0.41219599435685034</v>
      </c>
      <c r="AC239" s="230">
        <f>AC$237*'Methanol recycling rates'!AE73</f>
        <v>0.43347594827137276</v>
      </c>
      <c r="AD239" s="230">
        <f>AD$237*'Methanol recycling rates'!AF73</f>
        <v>0.4547597676045903</v>
      </c>
      <c r="AE239" s="230">
        <f>AE$237*'Methanol recycling rates'!AG73</f>
        <v>0.47603740276529494</v>
      </c>
      <c r="AF239" s="230">
        <f>AF$237*'Methanol recycling rates'!AH73</f>
        <v>0.49729867724908539</v>
      </c>
      <c r="AG239" s="230">
        <f>AG$237*'Methanol recycling rates'!AI73</f>
        <v>0.51853329213157417</v>
      </c>
      <c r="AH239" s="245"/>
      <c r="AI239" s="133"/>
      <c r="AJ239" s="211"/>
      <c r="AL239" s="108"/>
      <c r="AM239" s="2"/>
      <c r="AN239" s="2"/>
      <c r="AO239" s="2"/>
      <c r="BC239" s="1"/>
      <c r="BD239" s="2"/>
      <c r="BE239" s="2"/>
      <c r="BF239" s="2"/>
      <c r="BG239" s="2"/>
      <c r="BH239" s="2"/>
      <c r="BI239" s="2"/>
      <c r="BJ239" s="2"/>
      <c r="BK239" s="2"/>
    </row>
    <row r="240" spans="1:63" outlineLevel="1" x14ac:dyDescent="0.2">
      <c r="A240" s="4" t="s">
        <v>1561</v>
      </c>
      <c r="C240" s="230">
        <f>C$237*'Methanol recycling rates'!E74</f>
        <v>0.21842869259636932</v>
      </c>
      <c r="D240" s="230">
        <f>D$237*'Methanol recycling rates'!F74</f>
        <v>0.23595917175798065</v>
      </c>
      <c r="E240" s="230">
        <f>E$237*'Methanol recycling rates'!G74</f>
        <v>0.25375443016127186</v>
      </c>
      <c r="F240" s="230">
        <f>F$237*'Methanol recycling rates'!H74</f>
        <v>0.27171079205920023</v>
      </c>
      <c r="G240" s="230">
        <f>G$237*'Methanol recycling rates'!I74</f>
        <v>0.28971820056589992</v>
      </c>
      <c r="H240" s="230">
        <f>H$237*'Methanol recycling rates'!J74</f>
        <v>0.30766130549431353</v>
      </c>
      <c r="I240" s="230">
        <f>I$237*'Methanol recycling rates'!K74</f>
        <v>0.32397034259899843</v>
      </c>
      <c r="J240" s="230">
        <f>J$237*'Methanol recycling rates'!L74</f>
        <v>0.34054199181108885</v>
      </c>
      <c r="K240" s="230">
        <f>K$237*'Methanol recycling rates'!M74</f>
        <v>0.35735986192809555</v>
      </c>
      <c r="L240" s="230">
        <f>L$237*'Methanol recycling rates'!N74</f>
        <v>0.3744066477009339</v>
      </c>
      <c r="M240" s="230">
        <f>M$237*'Methanol recycling rates'!O74</f>
        <v>0.39166414998647153</v>
      </c>
      <c r="N240" s="230">
        <f>N$237*'Methanol recycling rates'!P74</f>
        <v>0.42219349208286078</v>
      </c>
      <c r="O240" s="230">
        <f>O$237*'Methanol recycling rates'!Q74</f>
        <v>0.45249706098933062</v>
      </c>
      <c r="P240" s="230">
        <f>P$237*'Methanol recycling rates'!R74</f>
        <v>0.48240388337596141</v>
      </c>
      <c r="Q240" s="230">
        <f>Q$237*'Methanol recycling rates'!S74</f>
        <v>0.51174198985701302</v>
      </c>
      <c r="R240" s="230">
        <f>R$237*'Methanol recycling rates'!T74</f>
        <v>0.54034003802635522</v>
      </c>
      <c r="S240" s="230">
        <f>S$237*'Methanol recycling rates'!U74</f>
        <v>0.56905236090407718</v>
      </c>
      <c r="T240" s="230">
        <f>T$237*'Methanol recycling rates'!V74</f>
        <v>0.59786578667613954</v>
      </c>
      <c r="U240" s="230">
        <f>U$237*'Methanol recycling rates'!W74</f>
        <v>0.62676690644037958</v>
      </c>
      <c r="V240" s="230">
        <f>V$237*'Methanol recycling rates'!X74</f>
        <v>0.65574208058893324</v>
      </c>
      <c r="W240" s="230">
        <f>W$237*'Methanol recycling rates'!Y74</f>
        <v>0.68477744546554398</v>
      </c>
      <c r="X240" s="230">
        <f>X$237*'Methanol recycling rates'!Z74</f>
        <v>0.73218329903785084</v>
      </c>
      <c r="Y240" s="230">
        <f>Y$237*'Methanol recycling rates'!AA74</f>
        <v>0.77972477999950551</v>
      </c>
      <c r="Z240" s="230">
        <f>Z$237*'Methanol recycling rates'!AB74</f>
        <v>0.82738022434010816</v>
      </c>
      <c r="AA240" s="230">
        <f>AA$237*'Methanol recycling rates'!AC74</f>
        <v>0.87512762753634543</v>
      </c>
      <c r="AB240" s="230">
        <f>AB$237*'Methanol recycling rates'!AD74</f>
        <v>0.92294465459293462</v>
      </c>
      <c r="AC240" s="230">
        <f>AC$237*'Methanol recycling rates'!AE74</f>
        <v>0.97059242406249757</v>
      </c>
      <c r="AD240" s="230">
        <f>AD$237*'Methanol recycling rates'!AF74</f>
        <v>1.0182488485592109</v>
      </c>
      <c r="AE240" s="230">
        <f>AE$237*'Methanol recycling rates'!AG74</f>
        <v>1.0658914261262062</v>
      </c>
      <c r="AF240" s="230">
        <f>AF$237*'Methanol recycling rates'!AH74</f>
        <v>1.11349737063633</v>
      </c>
      <c r="AG240" s="230">
        <f>AG$237*'Methanol recycling rates'!AI74</f>
        <v>1.1610436218528464</v>
      </c>
      <c r="AH240" s="245"/>
      <c r="AI240" s="133"/>
      <c r="AJ240" s="211"/>
      <c r="AL240" s="108"/>
      <c r="AM240" s="2"/>
      <c r="AN240" s="2"/>
      <c r="AO240" s="2"/>
      <c r="BC240" s="1"/>
      <c r="BD240" s="2"/>
      <c r="BE240" s="2"/>
      <c r="BF240" s="2"/>
      <c r="BG240" s="2"/>
      <c r="BH240" s="2"/>
      <c r="BI240" s="2"/>
      <c r="BJ240" s="2"/>
      <c r="BK240" s="2"/>
    </row>
    <row r="241" spans="1:63" s="1" customFormat="1" outlineLevel="1" x14ac:dyDescent="0.2">
      <c r="A241" s="1" t="s">
        <v>1562</v>
      </c>
      <c r="B241" s="65"/>
      <c r="C241" s="300">
        <f>C237-$C237</f>
        <v>0</v>
      </c>
      <c r="D241" s="300">
        <f t="shared" ref="D241:AG241" si="192">D237-$C237</f>
        <v>2.5359760423074917E-2</v>
      </c>
      <c r="E241" s="300">
        <f t="shared" si="192"/>
        <v>5.1102553053775313E-2</v>
      </c>
      <c r="F241" s="300">
        <f t="shared" si="192"/>
        <v>7.7078399555374211E-2</v>
      </c>
      <c r="G241" s="300">
        <f t="shared" si="192"/>
        <v>0.10312809057410904</v>
      </c>
      <c r="H241" s="300">
        <f t="shared" si="192"/>
        <v>0.12908475941560349</v>
      </c>
      <c r="I241" s="300">
        <f t="shared" si="192"/>
        <v>0.15267756996533133</v>
      </c>
      <c r="J241" s="300">
        <f t="shared" si="192"/>
        <v>0.17665027772531833</v>
      </c>
      <c r="K241" s="300">
        <f t="shared" si="192"/>
        <v>0.20097917102377616</v>
      </c>
      <c r="L241" s="300">
        <f t="shared" si="192"/>
        <v>0.2256392159202858</v>
      </c>
      <c r="M241" s="300">
        <f t="shared" si="192"/>
        <v>0.25060408535866774</v>
      </c>
      <c r="N241" s="300">
        <f t="shared" si="192"/>
        <v>0.29476812641545325</v>
      </c>
      <c r="O241" s="300">
        <f t="shared" si="192"/>
        <v>0.33860556179571821</v>
      </c>
      <c r="P241" s="300">
        <f t="shared" si="192"/>
        <v>0.38186905982954478</v>
      </c>
      <c r="Q241" s="300">
        <f t="shared" si="192"/>
        <v>0.42430984794304794</v>
      </c>
      <c r="R241" s="300">
        <f t="shared" si="192"/>
        <v>0.46568006055710021</v>
      </c>
      <c r="S241" s="300">
        <f t="shared" si="192"/>
        <v>0.50721558406768941</v>
      </c>
      <c r="T241" s="300">
        <f t="shared" si="192"/>
        <v>0.54889736400144395</v>
      </c>
      <c r="U241" s="300">
        <f t="shared" si="192"/>
        <v>0.59070600291102382</v>
      </c>
      <c r="V241" s="300">
        <f t="shared" si="192"/>
        <v>0.63262176960799377</v>
      </c>
      <c r="W241" s="300">
        <f t="shared" si="192"/>
        <v>0.67462460879335073</v>
      </c>
      <c r="X241" s="300">
        <f t="shared" si="192"/>
        <v>0.74320237430461411</v>
      </c>
      <c r="Y241" s="300">
        <f t="shared" si="192"/>
        <v>0.81197633970687644</v>
      </c>
      <c r="Z241" s="300">
        <f t="shared" si="192"/>
        <v>0.88091516563351369</v>
      </c>
      <c r="AA241" s="300">
        <f t="shared" si="192"/>
        <v>0.9499870201286329</v>
      </c>
      <c r="AB241" s="300">
        <f t="shared" si="192"/>
        <v>1.0191595931723998</v>
      </c>
      <c r="AC241" s="300">
        <f t="shared" si="192"/>
        <v>1.0880873165564851</v>
      </c>
      <c r="AD241" s="300">
        <f t="shared" si="192"/>
        <v>1.157027560386416</v>
      </c>
      <c r="AE241" s="300">
        <f t="shared" si="192"/>
        <v>1.225947773114116</v>
      </c>
      <c r="AF241" s="300">
        <f t="shared" si="192"/>
        <v>1.2948149921080303</v>
      </c>
      <c r="AG241" s="300">
        <f t="shared" si="192"/>
        <v>1.3635958582070353</v>
      </c>
      <c r="AH241" s="245"/>
      <c r="AI241" s="423"/>
      <c r="AJ241" s="424"/>
      <c r="AL241" s="221"/>
      <c r="AM241" s="124"/>
      <c r="AN241" s="124"/>
      <c r="AO241" s="124"/>
      <c r="BD241" s="124"/>
      <c r="BE241" s="124"/>
      <c r="BF241" s="124"/>
      <c r="BG241" s="124"/>
      <c r="BH241" s="124"/>
      <c r="BI241" s="124"/>
      <c r="BJ241" s="124"/>
      <c r="BK241" s="124"/>
    </row>
    <row r="242" spans="1:63" outlineLevel="1" x14ac:dyDescent="0.2">
      <c r="A242" s="4" t="s">
        <v>474</v>
      </c>
      <c r="C242" s="230">
        <f>C238-$C238</f>
        <v>0</v>
      </c>
      <c r="D242" s="230">
        <f t="shared" ref="D242:AF242" si="193">D238-$C238</f>
        <v>0</v>
      </c>
      <c r="E242" s="230">
        <f t="shared" si="193"/>
        <v>0</v>
      </c>
      <c r="F242" s="230">
        <f t="shared" si="193"/>
        <v>0</v>
      </c>
      <c r="G242" s="230">
        <f t="shared" si="193"/>
        <v>0</v>
      </c>
      <c r="H242" s="230">
        <f t="shared" si="193"/>
        <v>0</v>
      </c>
      <c r="I242" s="230">
        <f t="shared" si="193"/>
        <v>0</v>
      </c>
      <c r="J242" s="230">
        <f t="shared" si="193"/>
        <v>0</v>
      </c>
      <c r="K242" s="230">
        <f t="shared" si="193"/>
        <v>0</v>
      </c>
      <c r="L242" s="230">
        <f t="shared" si="193"/>
        <v>0</v>
      </c>
      <c r="M242" s="230">
        <f t="shared" si="193"/>
        <v>0</v>
      </c>
      <c r="N242" s="230">
        <f t="shared" si="193"/>
        <v>0</v>
      </c>
      <c r="O242" s="230">
        <f t="shared" si="193"/>
        <v>0</v>
      </c>
      <c r="P242" s="230">
        <f t="shared" si="193"/>
        <v>0</v>
      </c>
      <c r="Q242" s="230">
        <f t="shared" si="193"/>
        <v>0</v>
      </c>
      <c r="R242" s="230">
        <f t="shared" si="193"/>
        <v>0</v>
      </c>
      <c r="S242" s="230">
        <f t="shared" si="193"/>
        <v>0</v>
      </c>
      <c r="T242" s="230">
        <f t="shared" si="193"/>
        <v>0</v>
      </c>
      <c r="U242" s="230">
        <f t="shared" si="193"/>
        <v>0</v>
      </c>
      <c r="V242" s="230">
        <f t="shared" si="193"/>
        <v>0</v>
      </c>
      <c r="W242" s="230">
        <f t="shared" si="193"/>
        <v>0</v>
      </c>
      <c r="X242" s="230">
        <f t="shared" si="193"/>
        <v>0</v>
      </c>
      <c r="Y242" s="230">
        <f t="shared" si="193"/>
        <v>0</v>
      </c>
      <c r="Z242" s="230">
        <f t="shared" si="193"/>
        <v>0</v>
      </c>
      <c r="AA242" s="230">
        <f t="shared" si="193"/>
        <v>0</v>
      </c>
      <c r="AB242" s="230">
        <f t="shared" si="193"/>
        <v>0</v>
      </c>
      <c r="AC242" s="230">
        <f t="shared" si="193"/>
        <v>0</v>
      </c>
      <c r="AD242" s="230">
        <f t="shared" si="193"/>
        <v>0</v>
      </c>
      <c r="AE242" s="230">
        <f t="shared" si="193"/>
        <v>0</v>
      </c>
      <c r="AF242" s="230">
        <f t="shared" si="193"/>
        <v>0</v>
      </c>
      <c r="AG242" s="230">
        <f>AG238-$C238</f>
        <v>0</v>
      </c>
      <c r="AH242" s="245"/>
      <c r="AI242" s="133"/>
      <c r="AJ242" s="211"/>
      <c r="AL242" s="108"/>
      <c r="AM242" s="2"/>
      <c r="AN242" s="2"/>
      <c r="AO242" s="2"/>
      <c r="BC242" s="1"/>
      <c r="BD242" s="2"/>
      <c r="BE242" s="2"/>
      <c r="BF242" s="2"/>
      <c r="BG242" s="2"/>
      <c r="BH242" s="2"/>
      <c r="BI242" s="2"/>
      <c r="BJ242" s="2"/>
      <c r="BK242" s="2"/>
    </row>
    <row r="243" spans="1:63" outlineLevel="1" x14ac:dyDescent="0.2">
      <c r="A243" s="4" t="s">
        <v>745</v>
      </c>
      <c r="C243" s="230">
        <f t="shared" ref="C243:AG243" si="194">C239-$C239</f>
        <v>0</v>
      </c>
      <c r="D243" s="230">
        <f t="shared" si="194"/>
        <v>7.8292812614635665E-3</v>
      </c>
      <c r="E243" s="230">
        <f t="shared" si="194"/>
        <v>1.5776815488872761E-2</v>
      </c>
      <c r="F243" s="230">
        <f t="shared" si="194"/>
        <v>2.3796300092543285E-2</v>
      </c>
      <c r="G243" s="230">
        <f t="shared" si="194"/>
        <v>3.1838582604578433E-2</v>
      </c>
      <c r="H243" s="230">
        <f t="shared" si="194"/>
        <v>3.985214651765924E-2</v>
      </c>
      <c r="I243" s="230">
        <f t="shared" si="194"/>
        <v>4.713591996270218E-2</v>
      </c>
      <c r="J243" s="230">
        <f t="shared" si="194"/>
        <v>5.4536978510598785E-2</v>
      </c>
      <c r="K243" s="230">
        <f t="shared" si="194"/>
        <v>6.2048001692049923E-2</v>
      </c>
      <c r="L243" s="230">
        <f t="shared" si="194"/>
        <v>6.9661260815721202E-2</v>
      </c>
      <c r="M243" s="230">
        <f t="shared" si="194"/>
        <v>7.7368627968565515E-2</v>
      </c>
      <c r="N243" s="230">
        <f t="shared" si="194"/>
        <v>9.1003326928961806E-2</v>
      </c>
      <c r="O243" s="230">
        <f t="shared" si="194"/>
        <v>0.10453719340275687</v>
      </c>
      <c r="P243" s="230">
        <f t="shared" si="194"/>
        <v>0.11789386904995268</v>
      </c>
      <c r="Q243" s="230">
        <f t="shared" si="194"/>
        <v>0.13099655068240423</v>
      </c>
      <c r="R243" s="230">
        <f t="shared" si="194"/>
        <v>0.14376871512711431</v>
      </c>
      <c r="S243" s="230">
        <f t="shared" si="194"/>
        <v>0.15659191575998155</v>
      </c>
      <c r="T243" s="230">
        <f t="shared" si="194"/>
        <v>0.16946026992167373</v>
      </c>
      <c r="U243" s="230">
        <f t="shared" si="194"/>
        <v>0.18236778906701356</v>
      </c>
      <c r="V243" s="230">
        <f t="shared" si="194"/>
        <v>0.19530838161542985</v>
      </c>
      <c r="W243" s="230">
        <f t="shared" si="194"/>
        <v>0.20827585592417608</v>
      </c>
      <c r="X243" s="230">
        <f t="shared" si="194"/>
        <v>0.22944776786313259</v>
      </c>
      <c r="Y243" s="230">
        <f t="shared" si="194"/>
        <v>0.2506802523037403</v>
      </c>
      <c r="Z243" s="230">
        <f t="shared" si="194"/>
        <v>0.27196363388977485</v>
      </c>
      <c r="AA243" s="230">
        <f t="shared" si="194"/>
        <v>0.29328808518865679</v>
      </c>
      <c r="AB243" s="230">
        <f t="shared" si="194"/>
        <v>0.31464363117583444</v>
      </c>
      <c r="AC243" s="230">
        <f t="shared" si="194"/>
        <v>0.33592358509035686</v>
      </c>
      <c r="AD243" s="230">
        <f t="shared" si="194"/>
        <v>0.3572074044235744</v>
      </c>
      <c r="AE243" s="230">
        <f t="shared" si="194"/>
        <v>0.37848503958427904</v>
      </c>
      <c r="AF243" s="230">
        <f t="shared" si="194"/>
        <v>0.39974631406806949</v>
      </c>
      <c r="AG243" s="230">
        <f t="shared" si="194"/>
        <v>0.42098092895055828</v>
      </c>
      <c r="AH243" s="245"/>
      <c r="AI243" s="133"/>
      <c r="AJ243" s="211"/>
      <c r="AL243" s="108"/>
      <c r="AM243" s="2"/>
      <c r="AN243" s="2"/>
      <c r="AO243" s="2"/>
      <c r="BC243" s="1"/>
      <c r="BD243" s="2"/>
      <c r="BE243" s="2"/>
      <c r="BF243" s="2"/>
      <c r="BG243" s="2"/>
      <c r="BH243" s="2"/>
      <c r="BI243" s="2"/>
      <c r="BJ243" s="2"/>
      <c r="BK243" s="2"/>
    </row>
    <row r="244" spans="1:63" outlineLevel="1" x14ac:dyDescent="0.2">
      <c r="A244" s="4" t="s">
        <v>1561</v>
      </c>
      <c r="C244" s="230">
        <f t="shared" ref="C244:AG244" si="195">C240-$C240</f>
        <v>0</v>
      </c>
      <c r="D244" s="230">
        <f t="shared" si="195"/>
        <v>1.7530479161611323E-2</v>
      </c>
      <c r="E244" s="230">
        <f t="shared" si="195"/>
        <v>3.5325737564902537E-2</v>
      </c>
      <c r="F244" s="230">
        <f t="shared" si="195"/>
        <v>5.3282099462830912E-2</v>
      </c>
      <c r="G244" s="230">
        <f t="shared" si="195"/>
        <v>7.1289507969530597E-2</v>
      </c>
      <c r="H244" s="230">
        <f t="shared" si="195"/>
        <v>8.9232612897944208E-2</v>
      </c>
      <c r="I244" s="230">
        <f t="shared" si="195"/>
        <v>0.10554165000262911</v>
      </c>
      <c r="J244" s="230">
        <f t="shared" si="195"/>
        <v>0.12211329921471953</v>
      </c>
      <c r="K244" s="230">
        <f t="shared" si="195"/>
        <v>0.13893116933172622</v>
      </c>
      <c r="L244" s="230">
        <f t="shared" si="195"/>
        <v>0.15597795510456458</v>
      </c>
      <c r="M244" s="230">
        <f t="shared" si="195"/>
        <v>0.17323545739010221</v>
      </c>
      <c r="N244" s="230">
        <f t="shared" si="195"/>
        <v>0.20376479948649145</v>
      </c>
      <c r="O244" s="230">
        <f t="shared" si="195"/>
        <v>0.2340683683929613</v>
      </c>
      <c r="P244" s="230">
        <f t="shared" si="195"/>
        <v>0.26397519077959208</v>
      </c>
      <c r="Q244" s="230">
        <f t="shared" si="195"/>
        <v>0.2933132972606437</v>
      </c>
      <c r="R244" s="230">
        <f t="shared" si="195"/>
        <v>0.3219113454299859</v>
      </c>
      <c r="S244" s="230">
        <f t="shared" si="195"/>
        <v>0.35062366830770786</v>
      </c>
      <c r="T244" s="230">
        <f t="shared" si="195"/>
        <v>0.37943709407977022</v>
      </c>
      <c r="U244" s="230">
        <f t="shared" si="195"/>
        <v>0.40833821384401026</v>
      </c>
      <c r="V244" s="230">
        <f t="shared" si="195"/>
        <v>0.43731338799256392</v>
      </c>
      <c r="W244" s="230">
        <f t="shared" si="195"/>
        <v>0.46634875286917465</v>
      </c>
      <c r="X244" s="230">
        <f t="shared" si="195"/>
        <v>0.51375460644148152</v>
      </c>
      <c r="Y244" s="230">
        <f t="shared" si="195"/>
        <v>0.56129608740313619</v>
      </c>
      <c r="Z244" s="230">
        <f t="shared" si="195"/>
        <v>0.60895153174373884</v>
      </c>
      <c r="AA244" s="230">
        <f t="shared" si="195"/>
        <v>0.65669893493997611</v>
      </c>
      <c r="AB244" s="230">
        <f t="shared" si="195"/>
        <v>0.7045159619965653</v>
      </c>
      <c r="AC244" s="230">
        <f t="shared" si="195"/>
        <v>0.75216373146612825</v>
      </c>
      <c r="AD244" s="230">
        <f t="shared" si="195"/>
        <v>0.79982015596284162</v>
      </c>
      <c r="AE244" s="230">
        <f t="shared" si="195"/>
        <v>0.84746273352983692</v>
      </c>
      <c r="AF244" s="230">
        <f t="shared" si="195"/>
        <v>0.89506867803996071</v>
      </c>
      <c r="AG244" s="230">
        <f t="shared" si="195"/>
        <v>0.94261492925647705</v>
      </c>
      <c r="AH244" s="245"/>
      <c r="AI244" s="133"/>
      <c r="AJ244" s="211"/>
      <c r="AL244" s="108"/>
      <c r="AM244" s="2"/>
      <c r="AN244" s="2"/>
      <c r="AO244" s="2"/>
      <c r="BC244" s="1"/>
      <c r="BD244" s="2"/>
      <c r="BE244" s="2"/>
      <c r="BF244" s="2"/>
      <c r="BG244" s="2"/>
      <c r="BH244" s="2"/>
      <c r="BI244" s="2"/>
      <c r="BJ244" s="2"/>
      <c r="BK244" s="2"/>
    </row>
    <row r="245" spans="1:63" outlineLevel="2" x14ac:dyDescent="0.2">
      <c r="C245" s="113"/>
      <c r="D245" s="110"/>
      <c r="E245" s="110"/>
      <c r="F245" s="110"/>
      <c r="G245" s="110"/>
      <c r="H245" s="110"/>
      <c r="I245" s="110"/>
      <c r="J245" s="110"/>
      <c r="K245" s="110"/>
      <c r="L245" s="110"/>
      <c r="M245" s="121"/>
      <c r="N245" s="121"/>
      <c r="O245" s="121"/>
      <c r="P245" s="121"/>
      <c r="Q245" s="121"/>
      <c r="R245" s="121"/>
      <c r="S245" s="121"/>
      <c r="T245" s="121"/>
      <c r="U245" s="121"/>
      <c r="V245" s="121"/>
      <c r="W245" s="121"/>
      <c r="X245" s="23"/>
      <c r="Y245" s="23"/>
      <c r="Z245" s="23"/>
      <c r="AA245" s="23"/>
      <c r="AB245" s="23"/>
      <c r="AC245" s="23"/>
      <c r="AD245" s="23"/>
      <c r="AE245" s="23"/>
      <c r="AF245" s="23"/>
      <c r="AG245" s="106"/>
      <c r="AJ245" s="211"/>
    </row>
    <row r="246" spans="1:63" s="200" customFormat="1" ht="16" thickBot="1" x14ac:dyDescent="0.25">
      <c r="A246" s="227" t="s">
        <v>1584</v>
      </c>
      <c r="B246" s="228"/>
      <c r="C246" s="229">
        <f>(C42*C66+C43*C132+C45*C187+C44*C220+C46*C235)/C47</f>
        <v>9.388625214515435E-2</v>
      </c>
      <c r="D246" s="229">
        <f t="shared" ref="D246:AG246" si="196">(D42*D66+D43*D132+D45*D187+D44*D220+D46*D235)/D47</f>
        <v>7.2283588869466633E-2</v>
      </c>
      <c r="E246" s="229">
        <f t="shared" si="196"/>
        <v>7.6618079273782697E-2</v>
      </c>
      <c r="F246" s="229">
        <f t="shared" si="196"/>
        <v>8.1011729795105403E-2</v>
      </c>
      <c r="G246" s="229">
        <f t="shared" si="196"/>
        <v>8.5465527205409356E-2</v>
      </c>
      <c r="H246" s="229">
        <f t="shared" si="196"/>
        <v>8.9980459484331171E-2</v>
      </c>
      <c r="I246" s="229">
        <f t="shared" si="196"/>
        <v>9.4830197218122275E-2</v>
      </c>
      <c r="J246" s="229">
        <f t="shared" si="196"/>
        <v>9.9710126411406808E-2</v>
      </c>
      <c r="K246" s="229">
        <f t="shared" si="196"/>
        <v>0.10461501140645696</v>
      </c>
      <c r="L246" s="229">
        <f t="shared" si="196"/>
        <v>0.10953925216090915</v>
      </c>
      <c r="M246" s="229">
        <f t="shared" si="196"/>
        <v>0.11447686140316987</v>
      </c>
      <c r="N246" s="229">
        <f t="shared" si="196"/>
        <v>0.12277639799280672</v>
      </c>
      <c r="O246" s="229">
        <f t="shared" si="196"/>
        <v>0.13112923862869202</v>
      </c>
      <c r="P246" s="229">
        <f t="shared" si="196"/>
        <v>0.13953753526312704</v>
      </c>
      <c r="Q246" s="229">
        <f t="shared" si="196"/>
        <v>0.14798519634464571</v>
      </c>
      <c r="R246" s="229">
        <f t="shared" si="196"/>
        <v>0.15646446114771792</v>
      </c>
      <c r="S246" s="229">
        <f t="shared" si="196"/>
        <v>0.16498638571837901</v>
      </c>
      <c r="T246" s="229">
        <f t="shared" si="196"/>
        <v>0.1735431999175126</v>
      </c>
      <c r="U246" s="229">
        <f t="shared" si="196"/>
        <v>0.18212928502479891</v>
      </c>
      <c r="V246" s="229">
        <f t="shared" si="196"/>
        <v>0.1907385769352524</v>
      </c>
      <c r="W246" s="229">
        <f t="shared" si="196"/>
        <v>0.19936453938199625</v>
      </c>
      <c r="X246" s="229">
        <f t="shared" si="196"/>
        <v>0.21269392900698184</v>
      </c>
      <c r="Y246" s="229">
        <f t="shared" si="196"/>
        <v>0.22608087165927185</v>
      </c>
      <c r="Z246" s="229">
        <f t="shared" si="196"/>
        <v>0.23951934703341271</v>
      </c>
      <c r="AA246" s="229">
        <f t="shared" si="196"/>
        <v>0.25299064196291471</v>
      </c>
      <c r="AB246" s="229">
        <f t="shared" si="196"/>
        <v>0.26648395213465303</v>
      </c>
      <c r="AC246" s="229">
        <f t="shared" si="196"/>
        <v>0.27993280748675053</v>
      </c>
      <c r="AD246" s="229">
        <f t="shared" si="196"/>
        <v>0.29336125187093981</v>
      </c>
      <c r="AE246" s="229">
        <f t="shared" si="196"/>
        <v>0.30675134554109623</v>
      </c>
      <c r="AF246" s="229">
        <f t="shared" si="196"/>
        <v>0.32008356297551094</v>
      </c>
      <c r="AG246" s="229">
        <f t="shared" si="196"/>
        <v>0.33333666241501492</v>
      </c>
      <c r="AJ246" s="479" t="s">
        <v>1585</v>
      </c>
      <c r="AL246" s="217"/>
      <c r="AM246" s="225"/>
      <c r="AN246" s="225"/>
      <c r="AO246" s="225"/>
    </row>
    <row r="247" spans="1:63" s="200" customFormat="1" ht="17" thickTop="1" thickBot="1" x14ac:dyDescent="0.25">
      <c r="A247" s="227" t="s">
        <v>1356</v>
      </c>
      <c r="B247" s="228"/>
      <c r="C247" s="229">
        <f t="shared" ref="C247:AG247" si="197">(C14*C49+C113*C15+C17*C170+C216*C16+C231*C18)/C19</f>
        <v>0.10392620862112158</v>
      </c>
      <c r="D247" s="229">
        <f t="shared" si="197"/>
        <v>0.10914907209487128</v>
      </c>
      <c r="E247" s="229">
        <f t="shared" si="197"/>
        <v>0.11437193556862101</v>
      </c>
      <c r="F247" s="229">
        <f t="shared" si="197"/>
        <v>0.11959479904237068</v>
      </c>
      <c r="G247" s="229">
        <f t="shared" si="197"/>
        <v>0.12481766251612042</v>
      </c>
      <c r="H247" s="229">
        <f t="shared" si="197"/>
        <v>0.13004052598987015</v>
      </c>
      <c r="I247" s="229">
        <f t="shared" si="197"/>
        <v>0.13526338946361988</v>
      </c>
      <c r="J247" s="229">
        <f t="shared" si="197"/>
        <v>0.14048625293736958</v>
      </c>
      <c r="K247" s="229">
        <f t="shared" si="197"/>
        <v>0.1457091164111193</v>
      </c>
      <c r="L247" s="229">
        <f t="shared" si="197"/>
        <v>0.15093197988486898</v>
      </c>
      <c r="M247" s="229">
        <f t="shared" si="197"/>
        <v>0.15615484335861871</v>
      </c>
      <c r="N247" s="229">
        <f t="shared" si="197"/>
        <v>0.16716303252636805</v>
      </c>
      <c r="O247" s="229">
        <f t="shared" si="197"/>
        <v>0.17817122169411745</v>
      </c>
      <c r="P247" s="229">
        <f t="shared" si="197"/>
        <v>0.18917941086186682</v>
      </c>
      <c r="Q247" s="229">
        <f t="shared" si="197"/>
        <v>0.20018760002961619</v>
      </c>
      <c r="R247" s="229">
        <f t="shared" si="197"/>
        <v>0.21119578919736562</v>
      </c>
      <c r="S247" s="229">
        <f t="shared" si="197"/>
        <v>0.22220397836511507</v>
      </c>
      <c r="T247" s="229">
        <f t="shared" si="197"/>
        <v>0.23321216753286442</v>
      </c>
      <c r="U247" s="229">
        <f t="shared" si="197"/>
        <v>0.24422035670061382</v>
      </c>
      <c r="V247" s="229">
        <f t="shared" si="197"/>
        <v>0.25522854586836319</v>
      </c>
      <c r="W247" s="229">
        <f t="shared" si="197"/>
        <v>0.26623673503611256</v>
      </c>
      <c r="X247" s="229">
        <f t="shared" si="197"/>
        <v>0.28465546566672584</v>
      </c>
      <c r="Y247" s="229">
        <f t="shared" si="197"/>
        <v>0.30307419629733917</v>
      </c>
      <c r="Z247" s="229">
        <f t="shared" si="197"/>
        <v>0.32149292692795245</v>
      </c>
      <c r="AA247" s="229">
        <f t="shared" si="197"/>
        <v>0.33991165755856578</v>
      </c>
      <c r="AB247" s="229">
        <f t="shared" si="197"/>
        <v>0.35833038818917906</v>
      </c>
      <c r="AC247" s="229">
        <f t="shared" si="197"/>
        <v>0.37674911881979239</v>
      </c>
      <c r="AD247" s="229">
        <f t="shared" si="197"/>
        <v>0.39516784945040562</v>
      </c>
      <c r="AE247" s="229">
        <f t="shared" si="197"/>
        <v>0.4135865800810189</v>
      </c>
      <c r="AF247" s="229">
        <f t="shared" si="197"/>
        <v>0.43200531071163223</v>
      </c>
      <c r="AG247" s="229">
        <f t="shared" si="197"/>
        <v>0.45042404134224556</v>
      </c>
      <c r="AJ247" s="226" t="s">
        <v>1357</v>
      </c>
      <c r="AL247" s="217"/>
      <c r="AM247" s="225"/>
      <c r="AN247" s="225"/>
      <c r="AO247" s="225"/>
    </row>
    <row r="248" spans="1:63" ht="16" thickTop="1" x14ac:dyDescent="0.2">
      <c r="B248" s="130"/>
      <c r="C248" s="113"/>
      <c r="D248" s="23"/>
      <c r="E248" s="23"/>
      <c r="F248" s="23"/>
      <c r="G248" s="23"/>
      <c r="H248" s="23"/>
      <c r="I248" s="23"/>
      <c r="J248" s="23"/>
      <c r="K248" s="23"/>
      <c r="L248" s="23"/>
      <c r="M248" s="126"/>
      <c r="N248" s="110"/>
      <c r="O248" s="110"/>
      <c r="P248" s="110"/>
      <c r="Q248" s="110"/>
      <c r="R248" s="110"/>
      <c r="S248" s="110"/>
      <c r="T248" s="110"/>
      <c r="U248" s="110"/>
      <c r="V248" s="110"/>
      <c r="W248" s="126"/>
      <c r="X248" s="110"/>
      <c r="Y248" s="110"/>
      <c r="Z248" s="110"/>
      <c r="AA248" s="110"/>
      <c r="AB248" s="110"/>
      <c r="AC248" s="110"/>
      <c r="AD248" s="110"/>
      <c r="AE248" s="110"/>
      <c r="AF248" s="110"/>
      <c r="AG248" s="113"/>
    </row>
    <row r="249" spans="1:63" x14ac:dyDescent="0.2">
      <c r="A249" t="s">
        <v>1586</v>
      </c>
      <c r="B249" s="130"/>
      <c r="C249" s="230">
        <f>(C42*C66+C43*C132+C45*C187+C44*C220+C46*C235)</f>
        <v>1.1899030376946831</v>
      </c>
      <c r="D249" s="230">
        <f t="shared" ref="D249:AG249" si="198">(D42*D66+D43*D132+D45*D187+D44*D220+D46*D235)</f>
        <v>0.94653373630732363</v>
      </c>
      <c r="E249" s="230">
        <f t="shared" si="198"/>
        <v>1.0338979356609355</v>
      </c>
      <c r="F249" s="230">
        <f t="shared" si="198"/>
        <v>1.1235910700409444</v>
      </c>
      <c r="G249" s="230">
        <f t="shared" si="198"/>
        <v>1.2151503717594232</v>
      </c>
      <c r="H249" s="230">
        <f t="shared" si="198"/>
        <v>1.3080712704603494</v>
      </c>
      <c r="I249" s="230">
        <f t="shared" si="198"/>
        <v>1.3926898478522809</v>
      </c>
      <c r="J249" s="230">
        <f t="shared" si="198"/>
        <v>1.4784671386831723</v>
      </c>
      <c r="K249" s="230">
        <f t="shared" si="198"/>
        <v>1.5651984875603393</v>
      </c>
      <c r="L249" s="230">
        <f t="shared" si="198"/>
        <v>1.6526646404448961</v>
      </c>
      <c r="M249" s="230">
        <f t="shared" si="198"/>
        <v>1.7406318015718016</v>
      </c>
      <c r="N249" s="230">
        <f t="shared" si="198"/>
        <v>1.8767277904080322</v>
      </c>
      <c r="O249" s="230">
        <f t="shared" si="198"/>
        <v>2.010877955382008</v>
      </c>
      <c r="P249" s="230">
        <f t="shared" si="198"/>
        <v>2.1419037733313528</v>
      </c>
      <c r="Q249" s="230">
        <f t="shared" si="198"/>
        <v>2.2690414074951346</v>
      </c>
      <c r="R249" s="230">
        <f t="shared" si="198"/>
        <v>2.3913525542415348</v>
      </c>
      <c r="S249" s="230">
        <f t="shared" si="198"/>
        <v>2.5197255457583192</v>
      </c>
      <c r="T249" s="230">
        <f t="shared" si="198"/>
        <v>2.6477991469123534</v>
      </c>
      <c r="U249" s="230">
        <f t="shared" si="198"/>
        <v>2.7753849384795108</v>
      </c>
      <c r="V249" s="230">
        <f t="shared" si="198"/>
        <v>2.9022864110713225</v>
      </c>
      <c r="W249" s="230">
        <f t="shared" si="198"/>
        <v>3.028298878381217</v>
      </c>
      <c r="X249" s="230">
        <f t="shared" si="198"/>
        <v>3.2243965350382924</v>
      </c>
      <c r="Y249" s="230">
        <f t="shared" si="198"/>
        <v>3.4197328289927365</v>
      </c>
      <c r="Z249" s="230">
        <f t="shared" si="198"/>
        <v>3.6123282712350431</v>
      </c>
      <c r="AA249" s="230">
        <f t="shared" si="198"/>
        <v>3.8032034478043899</v>
      </c>
      <c r="AB249" s="230">
        <f t="shared" si="198"/>
        <v>3.9920206820307507</v>
      </c>
      <c r="AC249" s="230">
        <f t="shared" si="198"/>
        <v>4.1706186851740918</v>
      </c>
      <c r="AD249" s="230">
        <f t="shared" si="198"/>
        <v>4.3454110393003598</v>
      </c>
      <c r="AE249" s="230">
        <f t="shared" si="198"/>
        <v>4.5159501789506908</v>
      </c>
      <c r="AF249" s="230">
        <f t="shared" si="198"/>
        <v>4.6817714972340303</v>
      </c>
      <c r="AG249" s="230">
        <f t="shared" si="198"/>
        <v>4.8423931606882924</v>
      </c>
      <c r="AI249" s="23">
        <f>(AG249/C249)^(1/30)-1</f>
        <v>4.7896241027930886E-2</v>
      </c>
      <c r="AJ249" s="517">
        <f>AG249-C249</f>
        <v>3.6524901229936093</v>
      </c>
    </row>
    <row r="250" spans="1:63" x14ac:dyDescent="0.2">
      <c r="A250" t="s">
        <v>1587</v>
      </c>
      <c r="B250" s="130"/>
      <c r="C250" s="230">
        <f>C249</f>
        <v>1.1899030376946831</v>
      </c>
      <c r="D250" s="230">
        <f>C250*(1+$AI$250)</f>
        <v>1.2097744184241843</v>
      </c>
      <c r="E250" s="230">
        <f t="shared" ref="E250:AG250" si="199">D250*(1+$AI$250)</f>
        <v>1.2299776512118681</v>
      </c>
      <c r="F250" s="230">
        <f t="shared" si="199"/>
        <v>1.2505182779871062</v>
      </c>
      <c r="G250" s="230">
        <f t="shared" si="199"/>
        <v>1.2714019332294908</v>
      </c>
      <c r="H250" s="230">
        <f t="shared" si="199"/>
        <v>1.2926343455144231</v>
      </c>
      <c r="I250" s="230">
        <f t="shared" si="199"/>
        <v>1.3142213390845139</v>
      </c>
      <c r="J250" s="230">
        <f t="shared" si="199"/>
        <v>1.3361688354472252</v>
      </c>
      <c r="K250" s="230">
        <f t="shared" si="199"/>
        <v>1.3584828549991939</v>
      </c>
      <c r="L250" s="230">
        <f t="shared" si="199"/>
        <v>1.3811695186776802</v>
      </c>
      <c r="M250" s="230">
        <f>L250*(1+$AI$250)</f>
        <v>1.4042350496395974</v>
      </c>
      <c r="N250" s="230">
        <f t="shared" si="199"/>
        <v>1.4276857749685787</v>
      </c>
      <c r="O250" s="230">
        <f t="shared" si="199"/>
        <v>1.4515281274105538</v>
      </c>
      <c r="P250" s="230">
        <f t="shared" si="199"/>
        <v>1.47576864713831</v>
      </c>
      <c r="Q250" s="230">
        <f t="shared" si="199"/>
        <v>1.5004139835455197</v>
      </c>
      <c r="R250" s="230">
        <f t="shared" si="199"/>
        <v>1.5254708970707298</v>
      </c>
      <c r="S250" s="230">
        <f t="shared" si="199"/>
        <v>1.550946261051811</v>
      </c>
      <c r="T250" s="230">
        <f t="shared" si="199"/>
        <v>1.5768470636113761</v>
      </c>
      <c r="U250" s="230">
        <f t="shared" si="199"/>
        <v>1.6031804095736859</v>
      </c>
      <c r="V250" s="230">
        <f t="shared" si="199"/>
        <v>1.6299535224135664</v>
      </c>
      <c r="W250" s="230">
        <f t="shared" si="199"/>
        <v>1.6571737462378728</v>
      </c>
      <c r="X250" s="230">
        <f t="shared" si="199"/>
        <v>1.6848485478000452</v>
      </c>
      <c r="Y250" s="230">
        <f t="shared" si="199"/>
        <v>1.7129855185483058</v>
      </c>
      <c r="Z250" s="230">
        <f t="shared" si="199"/>
        <v>1.7415923767080623</v>
      </c>
      <c r="AA250" s="230">
        <f t="shared" si="199"/>
        <v>1.7706769693990869</v>
      </c>
      <c r="AB250" s="230">
        <f t="shared" si="199"/>
        <v>1.8002472747880516</v>
      </c>
      <c r="AC250" s="230">
        <f t="shared" si="199"/>
        <v>1.8303114042770119</v>
      </c>
      <c r="AD250" s="230">
        <f t="shared" si="199"/>
        <v>1.8608776047284379</v>
      </c>
      <c r="AE250" s="230">
        <f t="shared" si="199"/>
        <v>1.8919542607274027</v>
      </c>
      <c r="AF250" s="230">
        <f t="shared" si="199"/>
        <v>1.9235498968815501</v>
      </c>
      <c r="AG250" s="230">
        <f t="shared" si="199"/>
        <v>1.9556731801594718</v>
      </c>
      <c r="AI250" s="214">
        <v>1.67E-2</v>
      </c>
      <c r="AJ250" s="3" t="s">
        <v>1360</v>
      </c>
    </row>
    <row r="251" spans="1:63" x14ac:dyDescent="0.2">
      <c r="B251" s="51"/>
    </row>
    <row r="252" spans="1:63" s="58" customFormat="1" x14ac:dyDescent="0.2">
      <c r="A252" s="58" t="s">
        <v>1361</v>
      </c>
      <c r="B252" s="303"/>
      <c r="C252" s="304"/>
      <c r="D252" s="304"/>
      <c r="E252" s="304"/>
      <c r="F252" s="304"/>
      <c r="G252" s="304"/>
      <c r="H252" s="304"/>
      <c r="I252" s="304"/>
      <c r="J252" s="304"/>
      <c r="K252" s="304"/>
      <c r="L252" s="304"/>
      <c r="M252" s="304"/>
      <c r="N252" s="304"/>
      <c r="O252" s="304"/>
      <c r="P252" s="304"/>
      <c r="Q252" s="304"/>
      <c r="R252" s="304"/>
      <c r="S252" s="304"/>
      <c r="T252" s="304"/>
      <c r="U252" s="304"/>
      <c r="V252" s="304"/>
      <c r="W252" s="304"/>
      <c r="X252" s="304"/>
      <c r="Y252" s="304"/>
      <c r="Z252" s="304"/>
      <c r="AA252" s="304"/>
      <c r="AB252" s="304"/>
      <c r="AC252" s="304"/>
      <c r="AD252" s="304"/>
      <c r="AE252" s="304"/>
      <c r="AF252" s="304"/>
      <c r="AG252" s="304"/>
      <c r="AI252" s="305"/>
      <c r="AJ252" s="306"/>
    </row>
    <row r="253" spans="1:63" s="190" customFormat="1" outlineLevel="1" x14ac:dyDescent="0.2">
      <c r="A253" s="344" t="s">
        <v>1362</v>
      </c>
      <c r="B253" s="318" t="s">
        <v>462</v>
      </c>
      <c r="C253" s="319">
        <v>0.84</v>
      </c>
      <c r="D253" s="320">
        <f>-($C253-$AG253)/30+C253</f>
        <v>0.83566666666666667</v>
      </c>
      <c r="E253" s="320">
        <f t="shared" ref="E253:AF259" si="200">-($C253-$AG253)/30+D253</f>
        <v>0.83133333333333337</v>
      </c>
      <c r="F253" s="320">
        <f t="shared" si="200"/>
        <v>0.82700000000000007</v>
      </c>
      <c r="G253" s="320">
        <f t="shared" si="200"/>
        <v>0.82266666666666677</v>
      </c>
      <c r="H253" s="320">
        <f t="shared" si="200"/>
        <v>0.81833333333333347</v>
      </c>
      <c r="I253" s="320">
        <f t="shared" si="200"/>
        <v>0.81400000000000017</v>
      </c>
      <c r="J253" s="320">
        <f t="shared" si="200"/>
        <v>0.80966666666666687</v>
      </c>
      <c r="K253" s="320">
        <f t="shared" si="200"/>
        <v>0.80533333333333357</v>
      </c>
      <c r="L253" s="320">
        <f t="shared" si="200"/>
        <v>0.80100000000000027</v>
      </c>
      <c r="M253" s="320">
        <f t="shared" si="200"/>
        <v>0.79666666666666697</v>
      </c>
      <c r="N253" s="320">
        <f t="shared" si="200"/>
        <v>0.79233333333333367</v>
      </c>
      <c r="O253" s="320">
        <f t="shared" si="200"/>
        <v>0.78800000000000037</v>
      </c>
      <c r="P253" s="320">
        <f t="shared" si="200"/>
        <v>0.78366666666666707</v>
      </c>
      <c r="Q253" s="320">
        <f t="shared" si="200"/>
        <v>0.77933333333333377</v>
      </c>
      <c r="R253" s="320">
        <f t="shared" si="200"/>
        <v>0.77500000000000047</v>
      </c>
      <c r="S253" s="320">
        <f t="shared" si="200"/>
        <v>0.77066666666666717</v>
      </c>
      <c r="T253" s="320">
        <f t="shared" si="200"/>
        <v>0.76633333333333387</v>
      </c>
      <c r="U253" s="320">
        <f t="shared" si="200"/>
        <v>0.76200000000000057</v>
      </c>
      <c r="V253" s="320">
        <f t="shared" si="200"/>
        <v>0.75766666666666727</v>
      </c>
      <c r="W253" s="320">
        <f t="shared" si="200"/>
        <v>0.75333333333333397</v>
      </c>
      <c r="X253" s="320">
        <f t="shared" si="200"/>
        <v>0.74900000000000067</v>
      </c>
      <c r="Y253" s="320">
        <f t="shared" si="200"/>
        <v>0.74466666666666737</v>
      </c>
      <c r="Z253" s="320">
        <f t="shared" si="200"/>
        <v>0.74033333333333406</v>
      </c>
      <c r="AA253" s="320">
        <f t="shared" si="200"/>
        <v>0.73600000000000076</v>
      </c>
      <c r="AB253" s="320">
        <f t="shared" si="200"/>
        <v>0.73166666666666746</v>
      </c>
      <c r="AC253" s="320">
        <f t="shared" si="200"/>
        <v>0.72733333333333416</v>
      </c>
      <c r="AD253" s="320">
        <f t="shared" si="200"/>
        <v>0.72300000000000086</v>
      </c>
      <c r="AE253" s="320">
        <f t="shared" si="200"/>
        <v>0.71866666666666756</v>
      </c>
      <c r="AF253" s="320">
        <f t="shared" si="200"/>
        <v>0.71433333333333426</v>
      </c>
      <c r="AG253" s="319">
        <v>0.71</v>
      </c>
      <c r="AI253" s="321"/>
      <c r="AJ253" s="322" t="s">
        <v>1363</v>
      </c>
    </row>
    <row r="254" spans="1:63" outlineLevel="1" x14ac:dyDescent="0.2">
      <c r="A254" s="3" t="s">
        <v>90</v>
      </c>
      <c r="B254" s="302" t="s">
        <v>462</v>
      </c>
      <c r="C254" s="296">
        <v>0.16</v>
      </c>
      <c r="D254" s="317">
        <f t="shared" ref="D254:S259" si="201">-($C254-$AG254)/30+C254</f>
        <v>0.16206666666666666</v>
      </c>
      <c r="E254" s="317">
        <f t="shared" si="201"/>
        <v>0.16413333333333333</v>
      </c>
      <c r="F254" s="317">
        <f t="shared" si="201"/>
        <v>0.16619999999999999</v>
      </c>
      <c r="G254" s="317">
        <f t="shared" si="201"/>
        <v>0.16826666666666665</v>
      </c>
      <c r="H254" s="317">
        <f t="shared" si="201"/>
        <v>0.17033333333333331</v>
      </c>
      <c r="I254" s="317">
        <f t="shared" si="201"/>
        <v>0.17239999999999997</v>
      </c>
      <c r="J254" s="317">
        <f t="shared" si="201"/>
        <v>0.17446666666666663</v>
      </c>
      <c r="K254" s="317">
        <f t="shared" si="201"/>
        <v>0.17653333333333329</v>
      </c>
      <c r="L254" s="317">
        <f t="shared" si="201"/>
        <v>0.17859999999999995</v>
      </c>
      <c r="M254" s="317">
        <f t="shared" si="201"/>
        <v>0.18066666666666661</v>
      </c>
      <c r="N254" s="317">
        <f t="shared" si="201"/>
        <v>0.18273333333333328</v>
      </c>
      <c r="O254" s="317">
        <f t="shared" si="201"/>
        <v>0.18479999999999994</v>
      </c>
      <c r="P254" s="317">
        <f t="shared" si="201"/>
        <v>0.1868666666666666</v>
      </c>
      <c r="Q254" s="317">
        <f t="shared" si="201"/>
        <v>0.18893333333333326</v>
      </c>
      <c r="R254" s="317">
        <f t="shared" si="201"/>
        <v>0.19099999999999992</v>
      </c>
      <c r="S254" s="317">
        <f t="shared" si="201"/>
        <v>0.19306666666666658</v>
      </c>
      <c r="T254" s="317">
        <f t="shared" si="200"/>
        <v>0.19513333333333324</v>
      </c>
      <c r="U254" s="317">
        <f t="shared" si="200"/>
        <v>0.1971999999999999</v>
      </c>
      <c r="V254" s="317">
        <f t="shared" si="200"/>
        <v>0.19926666666666656</v>
      </c>
      <c r="W254" s="317">
        <f t="shared" si="200"/>
        <v>0.20133333333333323</v>
      </c>
      <c r="X254" s="317">
        <f t="shared" si="200"/>
        <v>0.20339999999999989</v>
      </c>
      <c r="Y254" s="317">
        <f t="shared" si="200"/>
        <v>0.20546666666666655</v>
      </c>
      <c r="Z254" s="317">
        <f t="shared" si="200"/>
        <v>0.20753333333333321</v>
      </c>
      <c r="AA254" s="317">
        <f t="shared" si="200"/>
        <v>0.20959999999999987</v>
      </c>
      <c r="AB254" s="317">
        <f t="shared" si="200"/>
        <v>0.21166666666666653</v>
      </c>
      <c r="AC254" s="317">
        <f t="shared" si="200"/>
        <v>0.21373333333333319</v>
      </c>
      <c r="AD254" s="317">
        <f t="shared" si="200"/>
        <v>0.21579999999999985</v>
      </c>
      <c r="AE254" s="317">
        <f t="shared" si="200"/>
        <v>0.21786666666666651</v>
      </c>
      <c r="AF254" s="317">
        <f t="shared" si="200"/>
        <v>0.21993333333333318</v>
      </c>
      <c r="AG254" s="296">
        <v>0.222</v>
      </c>
      <c r="AI254" s="214"/>
      <c r="AJ254" s="211" t="s">
        <v>1363</v>
      </c>
    </row>
    <row r="255" spans="1:63" outlineLevel="1" x14ac:dyDescent="0.2">
      <c r="A255" s="3" t="s">
        <v>33</v>
      </c>
      <c r="B255" s="302" t="s">
        <v>462</v>
      </c>
      <c r="C255" s="296">
        <v>0.37</v>
      </c>
      <c r="D255" s="317">
        <f t="shared" si="201"/>
        <v>0.36270000000000002</v>
      </c>
      <c r="E255" s="317">
        <f t="shared" si="201"/>
        <v>0.35540000000000005</v>
      </c>
      <c r="F255" s="317">
        <f t="shared" si="201"/>
        <v>0.34810000000000008</v>
      </c>
      <c r="G255" s="317">
        <f t="shared" si="201"/>
        <v>0.3408000000000001</v>
      </c>
      <c r="H255" s="317">
        <f t="shared" si="201"/>
        <v>0.33350000000000013</v>
      </c>
      <c r="I255" s="317">
        <f t="shared" si="201"/>
        <v>0.32620000000000016</v>
      </c>
      <c r="J255" s="317">
        <f t="shared" si="201"/>
        <v>0.31890000000000018</v>
      </c>
      <c r="K255" s="317">
        <f t="shared" si="201"/>
        <v>0.31160000000000021</v>
      </c>
      <c r="L255" s="317">
        <f t="shared" si="201"/>
        <v>0.30430000000000024</v>
      </c>
      <c r="M255" s="317">
        <f t="shared" si="201"/>
        <v>0.29700000000000026</v>
      </c>
      <c r="N255" s="317">
        <f t="shared" si="201"/>
        <v>0.28970000000000029</v>
      </c>
      <c r="O255" s="317">
        <f t="shared" si="201"/>
        <v>0.28240000000000032</v>
      </c>
      <c r="P255" s="317">
        <f t="shared" si="201"/>
        <v>0.27510000000000034</v>
      </c>
      <c r="Q255" s="317">
        <f t="shared" si="201"/>
        <v>0.26780000000000037</v>
      </c>
      <c r="R255" s="317">
        <f t="shared" si="201"/>
        <v>0.2605000000000004</v>
      </c>
      <c r="S255" s="317">
        <f t="shared" si="201"/>
        <v>0.25320000000000042</v>
      </c>
      <c r="T255" s="317">
        <f t="shared" si="200"/>
        <v>0.24590000000000042</v>
      </c>
      <c r="U255" s="317">
        <f t="shared" si="200"/>
        <v>0.23860000000000042</v>
      </c>
      <c r="V255" s="317">
        <f t="shared" si="200"/>
        <v>0.23130000000000042</v>
      </c>
      <c r="W255" s="317">
        <f t="shared" si="200"/>
        <v>0.22400000000000042</v>
      </c>
      <c r="X255" s="317">
        <f t="shared" si="200"/>
        <v>0.21670000000000042</v>
      </c>
      <c r="Y255" s="317">
        <f t="shared" si="200"/>
        <v>0.20940000000000042</v>
      </c>
      <c r="Z255" s="317">
        <f t="shared" si="200"/>
        <v>0.20210000000000042</v>
      </c>
      <c r="AA255" s="317">
        <f t="shared" si="200"/>
        <v>0.19480000000000042</v>
      </c>
      <c r="AB255" s="317">
        <f t="shared" si="200"/>
        <v>0.18750000000000042</v>
      </c>
      <c r="AC255" s="317">
        <f t="shared" si="200"/>
        <v>0.18020000000000042</v>
      </c>
      <c r="AD255" s="317">
        <f t="shared" si="200"/>
        <v>0.17290000000000041</v>
      </c>
      <c r="AE255" s="317">
        <f t="shared" si="200"/>
        <v>0.16560000000000041</v>
      </c>
      <c r="AF255" s="317">
        <f t="shared" si="200"/>
        <v>0.15830000000000041</v>
      </c>
      <c r="AG255" s="296">
        <v>0.151</v>
      </c>
      <c r="AI255" s="214"/>
      <c r="AJ255" s="211" t="s">
        <v>1363</v>
      </c>
    </row>
    <row r="256" spans="1:63" outlineLevel="1" x14ac:dyDescent="0.2">
      <c r="A256" s="3" t="s">
        <v>451</v>
      </c>
      <c r="B256" s="302" t="s">
        <v>462</v>
      </c>
      <c r="C256" s="296">
        <v>0.08</v>
      </c>
      <c r="D256" s="317">
        <f t="shared" si="201"/>
        <v>8.0100000000000005E-2</v>
      </c>
      <c r="E256" s="317">
        <f t="shared" si="201"/>
        <v>8.0200000000000007E-2</v>
      </c>
      <c r="F256" s="317">
        <f t="shared" si="201"/>
        <v>8.030000000000001E-2</v>
      </c>
      <c r="G256" s="317">
        <f t="shared" si="201"/>
        <v>8.0400000000000013E-2</v>
      </c>
      <c r="H256" s="317">
        <f t="shared" si="201"/>
        <v>8.0500000000000016E-2</v>
      </c>
      <c r="I256" s="317">
        <f t="shared" si="201"/>
        <v>8.0600000000000019E-2</v>
      </c>
      <c r="J256" s="317">
        <f t="shared" si="201"/>
        <v>8.0700000000000022E-2</v>
      </c>
      <c r="K256" s="317">
        <f t="shared" si="201"/>
        <v>8.0800000000000025E-2</v>
      </c>
      <c r="L256" s="317">
        <f t="shared" si="201"/>
        <v>8.0900000000000027E-2</v>
      </c>
      <c r="M256" s="317">
        <f t="shared" si="201"/>
        <v>8.100000000000003E-2</v>
      </c>
      <c r="N256" s="317">
        <f t="shared" si="201"/>
        <v>8.1100000000000033E-2</v>
      </c>
      <c r="O256" s="317">
        <f t="shared" si="201"/>
        <v>8.1200000000000036E-2</v>
      </c>
      <c r="P256" s="317">
        <f t="shared" si="201"/>
        <v>8.1300000000000039E-2</v>
      </c>
      <c r="Q256" s="317">
        <f t="shared" si="201"/>
        <v>8.1400000000000042E-2</v>
      </c>
      <c r="R256" s="317">
        <f t="shared" si="201"/>
        <v>8.1500000000000045E-2</v>
      </c>
      <c r="S256" s="317">
        <f t="shared" si="201"/>
        <v>8.1600000000000047E-2</v>
      </c>
      <c r="T256" s="317">
        <f t="shared" si="200"/>
        <v>8.170000000000005E-2</v>
      </c>
      <c r="U256" s="317">
        <f t="shared" si="200"/>
        <v>8.1800000000000053E-2</v>
      </c>
      <c r="V256" s="317">
        <f t="shared" si="200"/>
        <v>8.1900000000000056E-2</v>
      </c>
      <c r="W256" s="317">
        <f t="shared" si="200"/>
        <v>8.2000000000000059E-2</v>
      </c>
      <c r="X256" s="317">
        <f t="shared" si="200"/>
        <v>8.2100000000000062E-2</v>
      </c>
      <c r="Y256" s="317">
        <f t="shared" si="200"/>
        <v>8.2200000000000065E-2</v>
      </c>
      <c r="Z256" s="317">
        <f t="shared" si="200"/>
        <v>8.2300000000000068E-2</v>
      </c>
      <c r="AA256" s="317">
        <f t="shared" si="200"/>
        <v>8.240000000000007E-2</v>
      </c>
      <c r="AB256" s="317">
        <f t="shared" si="200"/>
        <v>8.2500000000000073E-2</v>
      </c>
      <c r="AC256" s="317">
        <f t="shared" si="200"/>
        <v>8.2600000000000076E-2</v>
      </c>
      <c r="AD256" s="317">
        <f t="shared" si="200"/>
        <v>8.2700000000000079E-2</v>
      </c>
      <c r="AE256" s="317">
        <f t="shared" si="200"/>
        <v>8.2800000000000082E-2</v>
      </c>
      <c r="AF256" s="317">
        <f t="shared" si="200"/>
        <v>8.2900000000000085E-2</v>
      </c>
      <c r="AG256" s="296">
        <v>8.3000000000000004E-2</v>
      </c>
      <c r="AI256" s="214"/>
      <c r="AJ256" s="211" t="s">
        <v>1363</v>
      </c>
    </row>
    <row r="257" spans="1:36" outlineLevel="1" x14ac:dyDescent="0.2">
      <c r="A257" s="3" t="s">
        <v>452</v>
      </c>
      <c r="B257" s="302" t="s">
        <v>462</v>
      </c>
      <c r="C257" s="296">
        <v>0.27</v>
      </c>
      <c r="D257" s="317">
        <f t="shared" si="201"/>
        <v>0.27313333333333334</v>
      </c>
      <c r="E257" s="317">
        <f t="shared" si="201"/>
        <v>0.27626666666666666</v>
      </c>
      <c r="F257" s="317">
        <f t="shared" si="201"/>
        <v>0.27939999999999998</v>
      </c>
      <c r="G257" s="317">
        <f t="shared" si="201"/>
        <v>0.2825333333333333</v>
      </c>
      <c r="H257" s="317">
        <f t="shared" si="201"/>
        <v>0.28566666666666662</v>
      </c>
      <c r="I257" s="317">
        <f t="shared" si="201"/>
        <v>0.28879999999999995</v>
      </c>
      <c r="J257" s="317">
        <f t="shared" si="201"/>
        <v>0.29193333333333327</v>
      </c>
      <c r="K257" s="317">
        <f t="shared" si="201"/>
        <v>0.29506666666666659</v>
      </c>
      <c r="L257" s="317">
        <f t="shared" si="201"/>
        <v>0.29819999999999991</v>
      </c>
      <c r="M257" s="317">
        <f t="shared" si="201"/>
        <v>0.30133333333333323</v>
      </c>
      <c r="N257" s="317">
        <f t="shared" si="201"/>
        <v>0.30446666666666655</v>
      </c>
      <c r="O257" s="317">
        <f t="shared" si="201"/>
        <v>0.30759999999999987</v>
      </c>
      <c r="P257" s="317">
        <f t="shared" si="201"/>
        <v>0.31073333333333319</v>
      </c>
      <c r="Q257" s="317">
        <f t="shared" si="201"/>
        <v>0.31386666666666652</v>
      </c>
      <c r="R257" s="317">
        <f t="shared" si="201"/>
        <v>0.31699999999999984</v>
      </c>
      <c r="S257" s="317">
        <f t="shared" si="201"/>
        <v>0.32013333333333316</v>
      </c>
      <c r="T257" s="317">
        <f t="shared" si="200"/>
        <v>0.32326666666666648</v>
      </c>
      <c r="U257" s="317">
        <f t="shared" si="200"/>
        <v>0.3263999999999998</v>
      </c>
      <c r="V257" s="317">
        <f t="shared" si="200"/>
        <v>0.32953333333333312</v>
      </c>
      <c r="W257" s="317">
        <f t="shared" si="200"/>
        <v>0.33266666666666644</v>
      </c>
      <c r="X257" s="317">
        <f t="shared" si="200"/>
        <v>0.33579999999999977</v>
      </c>
      <c r="Y257" s="317">
        <f t="shared" si="200"/>
        <v>0.33893333333333309</v>
      </c>
      <c r="Z257" s="317">
        <f t="shared" si="200"/>
        <v>0.34206666666666641</v>
      </c>
      <c r="AA257" s="317">
        <f t="shared" si="200"/>
        <v>0.34519999999999973</v>
      </c>
      <c r="AB257" s="317">
        <f t="shared" si="200"/>
        <v>0.34833333333333305</v>
      </c>
      <c r="AC257" s="317">
        <f t="shared" si="200"/>
        <v>0.35146666666666637</v>
      </c>
      <c r="AD257" s="317">
        <f t="shared" si="200"/>
        <v>0.35459999999999969</v>
      </c>
      <c r="AE257" s="317">
        <f t="shared" si="200"/>
        <v>0.35773333333333301</v>
      </c>
      <c r="AF257" s="317">
        <f t="shared" si="200"/>
        <v>0.36086666666666634</v>
      </c>
      <c r="AG257" s="296">
        <v>0.36399999999999999</v>
      </c>
      <c r="AI257" s="214"/>
      <c r="AJ257" s="211" t="s">
        <v>1363</v>
      </c>
    </row>
    <row r="258" spans="1:36" outlineLevel="1" x14ac:dyDescent="0.2">
      <c r="A258" s="3" t="s">
        <v>1364</v>
      </c>
      <c r="B258" s="302" t="s">
        <v>462</v>
      </c>
      <c r="C258" s="296">
        <v>7.0000000000000007E-2</v>
      </c>
      <c r="D258" s="317">
        <f t="shared" si="201"/>
        <v>7.1266666666666673E-2</v>
      </c>
      <c r="E258" s="317">
        <f t="shared" si="201"/>
        <v>7.2533333333333339E-2</v>
      </c>
      <c r="F258" s="317">
        <f t="shared" si="201"/>
        <v>7.3800000000000004E-2</v>
      </c>
      <c r="G258" s="317">
        <f t="shared" si="201"/>
        <v>7.506666666666667E-2</v>
      </c>
      <c r="H258" s="317">
        <f t="shared" si="201"/>
        <v>7.6333333333333336E-2</v>
      </c>
      <c r="I258" s="317">
        <f t="shared" si="201"/>
        <v>7.7600000000000002E-2</v>
      </c>
      <c r="J258" s="317">
        <f t="shared" si="201"/>
        <v>7.8866666666666668E-2</v>
      </c>
      <c r="K258" s="317">
        <f t="shared" si="201"/>
        <v>8.0133333333333334E-2</v>
      </c>
      <c r="L258" s="317">
        <f t="shared" si="201"/>
        <v>8.14E-2</v>
      </c>
      <c r="M258" s="317">
        <f t="shared" si="201"/>
        <v>8.2666666666666666E-2</v>
      </c>
      <c r="N258" s="317">
        <f t="shared" si="201"/>
        <v>8.3933333333333332E-2</v>
      </c>
      <c r="O258" s="317">
        <f t="shared" si="201"/>
        <v>8.5199999999999998E-2</v>
      </c>
      <c r="P258" s="317">
        <f t="shared" si="201"/>
        <v>8.6466666666666664E-2</v>
      </c>
      <c r="Q258" s="317">
        <f t="shared" si="201"/>
        <v>8.773333333333333E-2</v>
      </c>
      <c r="R258" s="317">
        <f t="shared" si="201"/>
        <v>8.8999999999999996E-2</v>
      </c>
      <c r="S258" s="317">
        <f t="shared" si="201"/>
        <v>9.0266666666666662E-2</v>
      </c>
      <c r="T258" s="317">
        <f t="shared" si="200"/>
        <v>9.1533333333333328E-2</v>
      </c>
      <c r="U258" s="317">
        <f t="shared" si="200"/>
        <v>9.2799999999999994E-2</v>
      </c>
      <c r="V258" s="317">
        <f t="shared" si="200"/>
        <v>9.406666666666666E-2</v>
      </c>
      <c r="W258" s="317">
        <f t="shared" si="200"/>
        <v>9.5333333333333325E-2</v>
      </c>
      <c r="X258" s="317">
        <f t="shared" si="200"/>
        <v>9.6599999999999991E-2</v>
      </c>
      <c r="Y258" s="317">
        <f t="shared" si="200"/>
        <v>9.7866666666666657E-2</v>
      </c>
      <c r="Z258" s="317">
        <f t="shared" si="200"/>
        <v>9.9133333333333323E-2</v>
      </c>
      <c r="AA258" s="317">
        <f t="shared" si="200"/>
        <v>0.10039999999999999</v>
      </c>
      <c r="AB258" s="317">
        <f t="shared" si="200"/>
        <v>0.10166666666666666</v>
      </c>
      <c r="AC258" s="317">
        <f t="shared" si="200"/>
        <v>0.10293333333333332</v>
      </c>
      <c r="AD258" s="317">
        <f t="shared" si="200"/>
        <v>0.10419999999999999</v>
      </c>
      <c r="AE258" s="317">
        <f t="shared" si="200"/>
        <v>0.10546666666666665</v>
      </c>
      <c r="AF258" s="317">
        <f t="shared" si="200"/>
        <v>0.10673333333333332</v>
      </c>
      <c r="AG258" s="296">
        <v>0.108</v>
      </c>
      <c r="AI258" s="214"/>
      <c r="AJ258" s="211" t="s">
        <v>1363</v>
      </c>
    </row>
    <row r="259" spans="1:36" outlineLevel="1" x14ac:dyDescent="0.2">
      <c r="A259" s="3" t="s">
        <v>1365</v>
      </c>
      <c r="B259" s="302" t="s">
        <v>462</v>
      </c>
      <c r="C259" s="296">
        <v>0.05</v>
      </c>
      <c r="D259" s="317">
        <f t="shared" si="201"/>
        <v>5.0733333333333339E-2</v>
      </c>
      <c r="E259" s="317">
        <f t="shared" si="201"/>
        <v>5.1466666666666674E-2</v>
      </c>
      <c r="F259" s="317">
        <f t="shared" si="201"/>
        <v>5.220000000000001E-2</v>
      </c>
      <c r="G259" s="317">
        <f t="shared" si="201"/>
        <v>5.2933333333333346E-2</v>
      </c>
      <c r="H259" s="317">
        <f t="shared" si="201"/>
        <v>5.3666666666666682E-2</v>
      </c>
      <c r="I259" s="317">
        <f t="shared" si="201"/>
        <v>5.4400000000000018E-2</v>
      </c>
      <c r="J259" s="317">
        <f t="shared" si="201"/>
        <v>5.5133333333333354E-2</v>
      </c>
      <c r="K259" s="317">
        <f t="shared" si="201"/>
        <v>5.5866666666666689E-2</v>
      </c>
      <c r="L259" s="317">
        <f t="shared" si="201"/>
        <v>5.6600000000000025E-2</v>
      </c>
      <c r="M259" s="317">
        <f t="shared" si="201"/>
        <v>5.7333333333333361E-2</v>
      </c>
      <c r="N259" s="317">
        <f t="shared" si="201"/>
        <v>5.8066666666666697E-2</v>
      </c>
      <c r="O259" s="317">
        <f t="shared" si="201"/>
        <v>5.8800000000000033E-2</v>
      </c>
      <c r="P259" s="317">
        <f t="shared" si="201"/>
        <v>5.9533333333333369E-2</v>
      </c>
      <c r="Q259" s="317">
        <f t="shared" si="201"/>
        <v>6.0266666666666704E-2</v>
      </c>
      <c r="R259" s="317">
        <f t="shared" si="201"/>
        <v>6.100000000000004E-2</v>
      </c>
      <c r="S259" s="317">
        <f t="shared" si="201"/>
        <v>6.1733333333333376E-2</v>
      </c>
      <c r="T259" s="317">
        <f t="shared" si="200"/>
        <v>6.2466666666666712E-2</v>
      </c>
      <c r="U259" s="317">
        <f t="shared" si="200"/>
        <v>6.3200000000000048E-2</v>
      </c>
      <c r="V259" s="317">
        <f t="shared" si="200"/>
        <v>6.3933333333333384E-2</v>
      </c>
      <c r="W259" s="317">
        <f t="shared" si="200"/>
        <v>6.4666666666666719E-2</v>
      </c>
      <c r="X259" s="317">
        <f t="shared" si="200"/>
        <v>6.5400000000000055E-2</v>
      </c>
      <c r="Y259" s="317">
        <f t="shared" si="200"/>
        <v>6.6133333333333391E-2</v>
      </c>
      <c r="Z259" s="317">
        <f t="shared" si="200"/>
        <v>6.6866666666666727E-2</v>
      </c>
      <c r="AA259" s="317">
        <f t="shared" si="200"/>
        <v>6.7600000000000063E-2</v>
      </c>
      <c r="AB259" s="317">
        <f t="shared" si="200"/>
        <v>6.8333333333333399E-2</v>
      </c>
      <c r="AC259" s="317">
        <f t="shared" si="200"/>
        <v>6.9066666666666734E-2</v>
      </c>
      <c r="AD259" s="317">
        <f t="shared" si="200"/>
        <v>6.980000000000007E-2</v>
      </c>
      <c r="AE259" s="317">
        <f t="shared" si="200"/>
        <v>7.0533333333333406E-2</v>
      </c>
      <c r="AF259" s="317">
        <f t="shared" si="200"/>
        <v>7.1266666666666742E-2</v>
      </c>
      <c r="AG259" s="296">
        <v>7.1999999999999995E-2</v>
      </c>
      <c r="AI259" s="214"/>
      <c r="AJ259" s="211" t="s">
        <v>1363</v>
      </c>
    </row>
    <row r="260" spans="1:36" s="58" customFormat="1" outlineLevel="1" x14ac:dyDescent="0.2">
      <c r="A260" s="306" t="s">
        <v>1366</v>
      </c>
      <c r="B260" s="303"/>
      <c r="C260" s="304"/>
      <c r="D260" s="304"/>
      <c r="E260" s="304"/>
      <c r="F260" s="304"/>
      <c r="G260" s="304"/>
      <c r="H260" s="304"/>
      <c r="I260" s="304"/>
      <c r="J260" s="304"/>
      <c r="K260" s="304"/>
      <c r="L260" s="304"/>
      <c r="M260" s="304"/>
      <c r="N260" s="304"/>
      <c r="O260" s="304"/>
      <c r="P260" s="304"/>
      <c r="Q260" s="304"/>
      <c r="R260" s="304"/>
      <c r="S260" s="304"/>
      <c r="T260" s="304"/>
      <c r="U260" s="304"/>
      <c r="V260" s="304"/>
      <c r="W260" s="304"/>
      <c r="X260" s="304"/>
      <c r="Y260" s="304"/>
      <c r="Z260" s="304"/>
      <c r="AA260" s="304"/>
      <c r="AB260" s="304"/>
      <c r="AC260" s="304"/>
      <c r="AD260" s="304"/>
      <c r="AE260" s="304"/>
      <c r="AF260" s="304"/>
      <c r="AG260" s="304"/>
      <c r="AI260" s="305"/>
      <c r="AJ260" s="306"/>
    </row>
    <row r="261" spans="1:36" s="58" customFormat="1" outlineLevel="1" x14ac:dyDescent="0.2">
      <c r="A261" s="307" t="s">
        <v>1367</v>
      </c>
      <c r="B261" s="308" t="s">
        <v>462</v>
      </c>
      <c r="C261" s="337">
        <v>0.84</v>
      </c>
      <c r="D261" s="338">
        <f>-($C261-$AG261)/30+C261</f>
        <v>0.84399999999999997</v>
      </c>
      <c r="E261" s="338">
        <f t="shared" ref="E261:T262" si="202">-($C261-$AG261)/30+D261</f>
        <v>0.84799999999999998</v>
      </c>
      <c r="F261" s="338">
        <f t="shared" si="202"/>
        <v>0.85199999999999998</v>
      </c>
      <c r="G261" s="338">
        <f t="shared" si="202"/>
        <v>0.85599999999999998</v>
      </c>
      <c r="H261" s="338">
        <f t="shared" si="202"/>
        <v>0.86</v>
      </c>
      <c r="I261" s="338">
        <f t="shared" si="202"/>
        <v>0.86399999999999999</v>
      </c>
      <c r="J261" s="338">
        <f t="shared" si="202"/>
        <v>0.86799999999999999</v>
      </c>
      <c r="K261" s="338">
        <f t="shared" si="202"/>
        <v>0.872</v>
      </c>
      <c r="L261" s="338">
        <f t="shared" si="202"/>
        <v>0.876</v>
      </c>
      <c r="M261" s="338">
        <f t="shared" si="202"/>
        <v>0.88</v>
      </c>
      <c r="N261" s="338">
        <f t="shared" si="202"/>
        <v>0.88400000000000001</v>
      </c>
      <c r="O261" s="338">
        <f t="shared" si="202"/>
        <v>0.88800000000000001</v>
      </c>
      <c r="P261" s="338">
        <f t="shared" si="202"/>
        <v>0.89200000000000002</v>
      </c>
      <c r="Q261" s="338">
        <f t="shared" si="202"/>
        <v>0.89600000000000002</v>
      </c>
      <c r="R261" s="338">
        <f t="shared" si="202"/>
        <v>0.9</v>
      </c>
      <c r="S261" s="338">
        <f t="shared" si="202"/>
        <v>0.90400000000000003</v>
      </c>
      <c r="T261" s="338">
        <f t="shared" si="202"/>
        <v>0.90800000000000003</v>
      </c>
      <c r="U261" s="338">
        <f t="shared" ref="U261:AF262" si="203">-($C261-$AG261)/30+T261</f>
        <v>0.91200000000000003</v>
      </c>
      <c r="V261" s="338">
        <f t="shared" si="203"/>
        <v>0.91600000000000004</v>
      </c>
      <c r="W261" s="338">
        <f t="shared" si="203"/>
        <v>0.92</v>
      </c>
      <c r="X261" s="338">
        <f t="shared" si="203"/>
        <v>0.92400000000000004</v>
      </c>
      <c r="Y261" s="338">
        <f t="shared" si="203"/>
        <v>0.92800000000000005</v>
      </c>
      <c r="Z261" s="338">
        <f t="shared" si="203"/>
        <v>0.93200000000000005</v>
      </c>
      <c r="AA261" s="338">
        <f t="shared" si="203"/>
        <v>0.93600000000000005</v>
      </c>
      <c r="AB261" s="338">
        <f t="shared" si="203"/>
        <v>0.94000000000000006</v>
      </c>
      <c r="AC261" s="338">
        <f t="shared" si="203"/>
        <v>0.94400000000000006</v>
      </c>
      <c r="AD261" s="338">
        <f t="shared" si="203"/>
        <v>0.94800000000000006</v>
      </c>
      <c r="AE261" s="338">
        <f t="shared" si="203"/>
        <v>0.95200000000000007</v>
      </c>
      <c r="AF261" s="338">
        <f t="shared" si="203"/>
        <v>0.95600000000000007</v>
      </c>
      <c r="AG261" s="337">
        <v>0.96</v>
      </c>
      <c r="AI261" s="305"/>
      <c r="AJ261" s="339" t="s">
        <v>1363</v>
      </c>
    </row>
    <row r="262" spans="1:36" s="58" customFormat="1" outlineLevel="1" x14ac:dyDescent="0.2">
      <c r="A262" s="307" t="s">
        <v>1368</v>
      </c>
      <c r="B262" s="308" t="s">
        <v>462</v>
      </c>
      <c r="C262" s="337">
        <v>0.22</v>
      </c>
      <c r="D262" s="338">
        <f>-($C262-$AG262)/30+C262</f>
        <v>0.22666666666666666</v>
      </c>
      <c r="E262" s="338">
        <f t="shared" si="202"/>
        <v>0.23333333333333331</v>
      </c>
      <c r="F262" s="338">
        <f t="shared" si="202"/>
        <v>0.23999999999999996</v>
      </c>
      <c r="G262" s="338">
        <f t="shared" si="202"/>
        <v>0.24666666666666662</v>
      </c>
      <c r="H262" s="338">
        <f t="shared" si="202"/>
        <v>0.2533333333333333</v>
      </c>
      <c r="I262" s="338">
        <f t="shared" si="202"/>
        <v>0.25999999999999995</v>
      </c>
      <c r="J262" s="338">
        <f t="shared" si="202"/>
        <v>0.26666666666666661</v>
      </c>
      <c r="K262" s="338">
        <f t="shared" si="202"/>
        <v>0.27333333333333326</v>
      </c>
      <c r="L262" s="338">
        <f t="shared" si="202"/>
        <v>0.27999999999999992</v>
      </c>
      <c r="M262" s="338">
        <f t="shared" si="202"/>
        <v>0.28666666666666657</v>
      </c>
      <c r="N262" s="338">
        <f t="shared" si="202"/>
        <v>0.29333333333333322</v>
      </c>
      <c r="O262" s="338">
        <f t="shared" si="202"/>
        <v>0.29999999999999988</v>
      </c>
      <c r="P262" s="338">
        <f t="shared" si="202"/>
        <v>0.30666666666666653</v>
      </c>
      <c r="Q262" s="338">
        <f t="shared" si="202"/>
        <v>0.31333333333333319</v>
      </c>
      <c r="R262" s="338">
        <f t="shared" si="202"/>
        <v>0.31999999999999984</v>
      </c>
      <c r="S262" s="338">
        <f t="shared" si="202"/>
        <v>0.32666666666666649</v>
      </c>
      <c r="T262" s="338">
        <f t="shared" si="202"/>
        <v>0.33333333333333315</v>
      </c>
      <c r="U262" s="338">
        <f t="shared" si="203"/>
        <v>0.3399999999999998</v>
      </c>
      <c r="V262" s="338">
        <f t="shared" si="203"/>
        <v>0.34666666666666646</v>
      </c>
      <c r="W262" s="338">
        <f t="shared" si="203"/>
        <v>0.35333333333333311</v>
      </c>
      <c r="X262" s="338">
        <f t="shared" si="203"/>
        <v>0.35999999999999976</v>
      </c>
      <c r="Y262" s="338">
        <f t="shared" si="203"/>
        <v>0.36666666666666642</v>
      </c>
      <c r="Z262" s="338">
        <f t="shared" si="203"/>
        <v>0.37333333333333307</v>
      </c>
      <c r="AA262" s="338">
        <f t="shared" si="203"/>
        <v>0.37999999999999973</v>
      </c>
      <c r="AB262" s="338">
        <f t="shared" si="203"/>
        <v>0.38666666666666638</v>
      </c>
      <c r="AC262" s="338">
        <f t="shared" si="203"/>
        <v>0.39333333333333304</v>
      </c>
      <c r="AD262" s="338">
        <f t="shared" si="203"/>
        <v>0.39999999999999969</v>
      </c>
      <c r="AE262" s="338">
        <f t="shared" si="203"/>
        <v>0.40666666666666634</v>
      </c>
      <c r="AF262" s="338">
        <f t="shared" si="203"/>
        <v>0.413333333333333</v>
      </c>
      <c r="AG262" s="337">
        <v>0.42</v>
      </c>
      <c r="AI262" s="305"/>
      <c r="AJ262" s="339" t="s">
        <v>1363</v>
      </c>
    </row>
    <row r="263" spans="1:36" s="62" customFormat="1" outlineLevel="1" x14ac:dyDescent="0.2">
      <c r="A263" s="311" t="s">
        <v>1369</v>
      </c>
      <c r="B263" s="312" t="s">
        <v>462</v>
      </c>
      <c r="C263" s="340">
        <f>1-C262</f>
        <v>0.78</v>
      </c>
      <c r="D263" s="340">
        <f t="shared" ref="D263:AG263" si="204">1-D262</f>
        <v>0.77333333333333332</v>
      </c>
      <c r="E263" s="340">
        <f t="shared" si="204"/>
        <v>0.76666666666666672</v>
      </c>
      <c r="F263" s="340">
        <f t="shared" si="204"/>
        <v>0.76</v>
      </c>
      <c r="G263" s="340">
        <f t="shared" si="204"/>
        <v>0.75333333333333341</v>
      </c>
      <c r="H263" s="340">
        <f t="shared" si="204"/>
        <v>0.7466666666666667</v>
      </c>
      <c r="I263" s="340">
        <f t="shared" si="204"/>
        <v>0.74</v>
      </c>
      <c r="J263" s="340">
        <f t="shared" si="204"/>
        <v>0.73333333333333339</v>
      </c>
      <c r="K263" s="340">
        <f t="shared" si="204"/>
        <v>0.72666666666666679</v>
      </c>
      <c r="L263" s="340">
        <f t="shared" si="204"/>
        <v>0.72000000000000008</v>
      </c>
      <c r="M263" s="340">
        <f t="shared" si="204"/>
        <v>0.71333333333333337</v>
      </c>
      <c r="N263" s="340">
        <f t="shared" si="204"/>
        <v>0.70666666666666678</v>
      </c>
      <c r="O263" s="340">
        <f t="shared" si="204"/>
        <v>0.70000000000000018</v>
      </c>
      <c r="P263" s="340">
        <f t="shared" si="204"/>
        <v>0.69333333333333347</v>
      </c>
      <c r="Q263" s="340">
        <f t="shared" si="204"/>
        <v>0.68666666666666676</v>
      </c>
      <c r="R263" s="340">
        <f t="shared" si="204"/>
        <v>0.68000000000000016</v>
      </c>
      <c r="S263" s="340">
        <f t="shared" si="204"/>
        <v>0.67333333333333356</v>
      </c>
      <c r="T263" s="340">
        <f t="shared" si="204"/>
        <v>0.66666666666666685</v>
      </c>
      <c r="U263" s="340">
        <f t="shared" si="204"/>
        <v>0.66000000000000014</v>
      </c>
      <c r="V263" s="340">
        <f t="shared" si="204"/>
        <v>0.65333333333333354</v>
      </c>
      <c r="W263" s="340">
        <f t="shared" si="204"/>
        <v>0.64666666666666694</v>
      </c>
      <c r="X263" s="340">
        <f t="shared" si="204"/>
        <v>0.64000000000000024</v>
      </c>
      <c r="Y263" s="340">
        <f t="shared" si="204"/>
        <v>0.63333333333333353</v>
      </c>
      <c r="Z263" s="340">
        <f t="shared" si="204"/>
        <v>0.62666666666666693</v>
      </c>
      <c r="AA263" s="340">
        <f t="shared" si="204"/>
        <v>0.62000000000000033</v>
      </c>
      <c r="AB263" s="340">
        <f t="shared" si="204"/>
        <v>0.61333333333333362</v>
      </c>
      <c r="AC263" s="340">
        <f t="shared" si="204"/>
        <v>0.60666666666666691</v>
      </c>
      <c r="AD263" s="340">
        <f t="shared" si="204"/>
        <v>0.60000000000000031</v>
      </c>
      <c r="AE263" s="340">
        <f t="shared" si="204"/>
        <v>0.59333333333333371</v>
      </c>
      <c r="AF263" s="340">
        <f t="shared" si="204"/>
        <v>0.586666666666667</v>
      </c>
      <c r="AG263" s="340">
        <f t="shared" si="204"/>
        <v>0.58000000000000007</v>
      </c>
      <c r="AI263" s="342"/>
      <c r="AJ263" s="341" t="s">
        <v>1363</v>
      </c>
    </row>
    <row r="264" spans="1:36" s="1" customFormat="1" outlineLevel="1" x14ac:dyDescent="0.2">
      <c r="A264" t="s">
        <v>1370</v>
      </c>
      <c r="B264" s="302" t="s">
        <v>462</v>
      </c>
      <c r="C264" s="296">
        <v>0.95</v>
      </c>
      <c r="D264" s="317">
        <f t="shared" ref="D264:S279" si="205">-($C264-$AG264)/30+C264</f>
        <v>0.94499999999999995</v>
      </c>
      <c r="E264" s="317">
        <f t="shared" si="205"/>
        <v>0.94</v>
      </c>
      <c r="F264" s="317">
        <f t="shared" si="205"/>
        <v>0.93499999999999994</v>
      </c>
      <c r="G264" s="317">
        <f t="shared" si="205"/>
        <v>0.92999999999999994</v>
      </c>
      <c r="H264" s="317">
        <f t="shared" si="205"/>
        <v>0.92499999999999993</v>
      </c>
      <c r="I264" s="317">
        <f t="shared" si="205"/>
        <v>0.91999999999999993</v>
      </c>
      <c r="J264" s="317">
        <f t="shared" si="205"/>
        <v>0.91499999999999992</v>
      </c>
      <c r="K264" s="317">
        <f t="shared" si="205"/>
        <v>0.90999999999999992</v>
      </c>
      <c r="L264" s="317">
        <f t="shared" si="205"/>
        <v>0.90499999999999992</v>
      </c>
      <c r="M264" s="317">
        <f t="shared" si="205"/>
        <v>0.89999999999999991</v>
      </c>
      <c r="N264" s="317">
        <f t="shared" si="205"/>
        <v>0.89499999999999991</v>
      </c>
      <c r="O264" s="317">
        <f t="shared" si="205"/>
        <v>0.8899999999999999</v>
      </c>
      <c r="P264" s="317">
        <f t="shared" si="205"/>
        <v>0.8849999999999999</v>
      </c>
      <c r="Q264" s="317">
        <f t="shared" si="205"/>
        <v>0.87999999999999989</v>
      </c>
      <c r="R264" s="317">
        <f t="shared" si="205"/>
        <v>0.87499999999999989</v>
      </c>
      <c r="S264" s="317">
        <f t="shared" si="205"/>
        <v>0.86999999999999988</v>
      </c>
      <c r="T264" s="317">
        <f t="shared" ref="T264:AF278" si="206">-($C264-$AG264)/30+S264</f>
        <v>0.86499999999999988</v>
      </c>
      <c r="U264" s="317">
        <f t="shared" si="206"/>
        <v>0.85999999999999988</v>
      </c>
      <c r="V264" s="317">
        <f t="shared" si="206"/>
        <v>0.85499999999999987</v>
      </c>
      <c r="W264" s="317">
        <f t="shared" si="206"/>
        <v>0.84999999999999987</v>
      </c>
      <c r="X264" s="317">
        <f t="shared" si="206"/>
        <v>0.84499999999999986</v>
      </c>
      <c r="Y264" s="317">
        <f t="shared" si="206"/>
        <v>0.83999999999999986</v>
      </c>
      <c r="Z264" s="317">
        <f t="shared" si="206"/>
        <v>0.83499999999999985</v>
      </c>
      <c r="AA264" s="317">
        <f t="shared" si="206"/>
        <v>0.82999999999999985</v>
      </c>
      <c r="AB264" s="317">
        <f t="shared" si="206"/>
        <v>0.82499999999999984</v>
      </c>
      <c r="AC264" s="317">
        <f t="shared" si="206"/>
        <v>0.81999999999999984</v>
      </c>
      <c r="AD264" s="317">
        <f t="shared" si="206"/>
        <v>0.81499999999999984</v>
      </c>
      <c r="AE264" s="317">
        <f t="shared" si="206"/>
        <v>0.80999999999999983</v>
      </c>
      <c r="AF264" s="317">
        <f t="shared" si="206"/>
        <v>0.80499999999999983</v>
      </c>
      <c r="AG264" s="296">
        <v>0.8</v>
      </c>
      <c r="AI264" s="316"/>
      <c r="AJ264" s="211" t="s">
        <v>1363</v>
      </c>
    </row>
    <row r="265" spans="1:36" s="1" customFormat="1" outlineLevel="1" x14ac:dyDescent="0.2">
      <c r="A265" t="s">
        <v>1371</v>
      </c>
      <c r="B265" s="302" t="s">
        <v>462</v>
      </c>
      <c r="C265" s="296">
        <v>0.05</v>
      </c>
      <c r="D265" s="317">
        <f t="shared" si="205"/>
        <v>5.5000000000000007E-2</v>
      </c>
      <c r="E265" s="317">
        <f t="shared" si="205"/>
        <v>6.0000000000000012E-2</v>
      </c>
      <c r="F265" s="317">
        <f t="shared" si="205"/>
        <v>6.5000000000000016E-2</v>
      </c>
      <c r="G265" s="317">
        <f t="shared" si="205"/>
        <v>7.0000000000000021E-2</v>
      </c>
      <c r="H265" s="317">
        <f t="shared" si="205"/>
        <v>7.5000000000000025E-2</v>
      </c>
      <c r="I265" s="317">
        <f t="shared" si="205"/>
        <v>8.0000000000000029E-2</v>
      </c>
      <c r="J265" s="317">
        <f t="shared" si="205"/>
        <v>8.5000000000000034E-2</v>
      </c>
      <c r="K265" s="317">
        <f t="shared" si="205"/>
        <v>9.0000000000000038E-2</v>
      </c>
      <c r="L265" s="317">
        <f t="shared" si="205"/>
        <v>9.5000000000000043E-2</v>
      </c>
      <c r="M265" s="317">
        <f t="shared" si="205"/>
        <v>0.10000000000000005</v>
      </c>
      <c r="N265" s="317">
        <f t="shared" si="205"/>
        <v>0.10500000000000005</v>
      </c>
      <c r="O265" s="317">
        <f t="shared" si="205"/>
        <v>0.11000000000000006</v>
      </c>
      <c r="P265" s="317">
        <f t="shared" si="205"/>
        <v>0.11500000000000006</v>
      </c>
      <c r="Q265" s="317">
        <f t="shared" si="205"/>
        <v>0.12000000000000006</v>
      </c>
      <c r="R265" s="317">
        <f t="shared" si="205"/>
        <v>0.12500000000000006</v>
      </c>
      <c r="S265" s="317">
        <f t="shared" si="205"/>
        <v>0.13000000000000006</v>
      </c>
      <c r="T265" s="317">
        <f t="shared" si="206"/>
        <v>0.13500000000000006</v>
      </c>
      <c r="U265" s="317">
        <f t="shared" si="206"/>
        <v>0.14000000000000007</v>
      </c>
      <c r="V265" s="317">
        <f t="shared" si="206"/>
        <v>0.14500000000000007</v>
      </c>
      <c r="W265" s="317">
        <f t="shared" si="206"/>
        <v>0.15000000000000008</v>
      </c>
      <c r="X265" s="317">
        <f t="shared" si="206"/>
        <v>0.15500000000000008</v>
      </c>
      <c r="Y265" s="317">
        <f t="shared" si="206"/>
        <v>0.16000000000000009</v>
      </c>
      <c r="Z265" s="317">
        <f t="shared" si="206"/>
        <v>0.16500000000000009</v>
      </c>
      <c r="AA265" s="317">
        <f t="shared" si="206"/>
        <v>0.1700000000000001</v>
      </c>
      <c r="AB265" s="317">
        <f t="shared" si="206"/>
        <v>0.1750000000000001</v>
      </c>
      <c r="AC265" s="317">
        <f t="shared" si="206"/>
        <v>0.1800000000000001</v>
      </c>
      <c r="AD265" s="317">
        <f t="shared" si="206"/>
        <v>0.18500000000000011</v>
      </c>
      <c r="AE265" s="317">
        <f t="shared" si="206"/>
        <v>0.19000000000000011</v>
      </c>
      <c r="AF265" s="317">
        <f t="shared" si="206"/>
        <v>0.19500000000000012</v>
      </c>
      <c r="AG265" s="296">
        <v>0.2</v>
      </c>
      <c r="AI265" s="435" t="s">
        <v>1506</v>
      </c>
      <c r="AJ265" s="211" t="s">
        <v>1363</v>
      </c>
    </row>
    <row r="266" spans="1:36" s="1" customFormat="1" outlineLevel="1" x14ac:dyDescent="0.2">
      <c r="A266" t="s">
        <v>1372</v>
      </c>
      <c r="B266" s="302" t="s">
        <v>462</v>
      </c>
      <c r="C266" s="296">
        <v>0.15</v>
      </c>
      <c r="D266" s="317">
        <f t="shared" si="205"/>
        <v>0.15633333333333332</v>
      </c>
      <c r="E266" s="317">
        <f t="shared" si="205"/>
        <v>0.16266666666666665</v>
      </c>
      <c r="F266" s="317">
        <f t="shared" si="205"/>
        <v>0.16899999999999998</v>
      </c>
      <c r="G266" s="317">
        <f t="shared" si="205"/>
        <v>0.17533333333333331</v>
      </c>
      <c r="H266" s="317">
        <f t="shared" si="205"/>
        <v>0.18166666666666664</v>
      </c>
      <c r="I266" s="317">
        <f t="shared" si="205"/>
        <v>0.18799999999999997</v>
      </c>
      <c r="J266" s="317">
        <f t="shared" si="205"/>
        <v>0.1943333333333333</v>
      </c>
      <c r="K266" s="317">
        <f t="shared" si="205"/>
        <v>0.20066666666666663</v>
      </c>
      <c r="L266" s="317">
        <f t="shared" si="205"/>
        <v>0.20699999999999996</v>
      </c>
      <c r="M266" s="317">
        <f t="shared" si="205"/>
        <v>0.21333333333333329</v>
      </c>
      <c r="N266" s="317">
        <f t="shared" si="205"/>
        <v>0.21966666666666662</v>
      </c>
      <c r="O266" s="317">
        <f t="shared" si="205"/>
        <v>0.22599999999999995</v>
      </c>
      <c r="P266" s="317">
        <f t="shared" si="205"/>
        <v>0.23233333333333328</v>
      </c>
      <c r="Q266" s="317">
        <f t="shared" si="205"/>
        <v>0.23866666666666661</v>
      </c>
      <c r="R266" s="317">
        <f t="shared" si="205"/>
        <v>0.24499999999999994</v>
      </c>
      <c r="S266" s="317">
        <f t="shared" si="205"/>
        <v>0.2513333333333333</v>
      </c>
      <c r="T266" s="317">
        <f t="shared" si="206"/>
        <v>0.25766666666666665</v>
      </c>
      <c r="U266" s="317">
        <f t="shared" si="206"/>
        <v>0.26400000000000001</v>
      </c>
      <c r="V266" s="317">
        <f t="shared" si="206"/>
        <v>0.27033333333333337</v>
      </c>
      <c r="W266" s="317">
        <f t="shared" si="206"/>
        <v>0.27666666666666673</v>
      </c>
      <c r="X266" s="317">
        <f t="shared" si="206"/>
        <v>0.28300000000000008</v>
      </c>
      <c r="Y266" s="317">
        <f t="shared" si="206"/>
        <v>0.28933333333333344</v>
      </c>
      <c r="Z266" s="317">
        <f t="shared" si="206"/>
        <v>0.2956666666666668</v>
      </c>
      <c r="AA266" s="317">
        <f t="shared" si="206"/>
        <v>0.30200000000000016</v>
      </c>
      <c r="AB266" s="317">
        <f t="shared" si="206"/>
        <v>0.30833333333333351</v>
      </c>
      <c r="AC266" s="317">
        <f t="shared" si="206"/>
        <v>0.31466666666666687</v>
      </c>
      <c r="AD266" s="317">
        <f t="shared" si="206"/>
        <v>0.32100000000000023</v>
      </c>
      <c r="AE266" s="317">
        <f t="shared" si="206"/>
        <v>0.32733333333333359</v>
      </c>
      <c r="AF266" s="317">
        <f t="shared" si="206"/>
        <v>0.33366666666666694</v>
      </c>
      <c r="AG266" s="296">
        <v>0.34</v>
      </c>
      <c r="AI266" s="316"/>
      <c r="AJ266" s="211" t="s">
        <v>1363</v>
      </c>
    </row>
    <row r="267" spans="1:36" s="1" customFormat="1" outlineLevel="1" x14ac:dyDescent="0.2">
      <c r="A267" t="s">
        <v>1373</v>
      </c>
      <c r="B267" s="302" t="s">
        <v>462</v>
      </c>
      <c r="C267" s="296">
        <v>0.85</v>
      </c>
      <c r="D267" s="317">
        <f t="shared" si="205"/>
        <v>0.84366666666666668</v>
      </c>
      <c r="E267" s="317">
        <f t="shared" si="205"/>
        <v>0.83733333333333337</v>
      </c>
      <c r="F267" s="317">
        <f t="shared" si="205"/>
        <v>0.83100000000000007</v>
      </c>
      <c r="G267" s="317">
        <f t="shared" si="205"/>
        <v>0.82466666666666677</v>
      </c>
      <c r="H267" s="317">
        <f t="shared" si="205"/>
        <v>0.81833333333333347</v>
      </c>
      <c r="I267" s="317">
        <f t="shared" si="205"/>
        <v>0.81200000000000017</v>
      </c>
      <c r="J267" s="317">
        <f t="shared" si="205"/>
        <v>0.80566666666666686</v>
      </c>
      <c r="K267" s="317">
        <f t="shared" si="205"/>
        <v>0.79933333333333356</v>
      </c>
      <c r="L267" s="317">
        <f t="shared" si="205"/>
        <v>0.79300000000000026</v>
      </c>
      <c r="M267" s="317">
        <f t="shared" si="205"/>
        <v>0.78666666666666696</v>
      </c>
      <c r="N267" s="317">
        <f t="shared" si="205"/>
        <v>0.78033333333333366</v>
      </c>
      <c r="O267" s="317">
        <f t="shared" si="205"/>
        <v>0.77400000000000035</v>
      </c>
      <c r="P267" s="317">
        <f t="shared" si="205"/>
        <v>0.76766666666666705</v>
      </c>
      <c r="Q267" s="317">
        <f t="shared" si="205"/>
        <v>0.76133333333333375</v>
      </c>
      <c r="R267" s="317">
        <f t="shared" si="205"/>
        <v>0.75500000000000045</v>
      </c>
      <c r="S267" s="317">
        <f t="shared" si="205"/>
        <v>0.74866666666666715</v>
      </c>
      <c r="T267" s="317">
        <f t="shared" si="206"/>
        <v>0.74233333333333384</v>
      </c>
      <c r="U267" s="317">
        <f t="shared" si="206"/>
        <v>0.73600000000000054</v>
      </c>
      <c r="V267" s="317">
        <f t="shared" si="206"/>
        <v>0.72966666666666724</v>
      </c>
      <c r="W267" s="317">
        <f t="shared" si="206"/>
        <v>0.72333333333333394</v>
      </c>
      <c r="X267" s="317">
        <f t="shared" si="206"/>
        <v>0.71700000000000064</v>
      </c>
      <c r="Y267" s="317">
        <f t="shared" si="206"/>
        <v>0.71066666666666733</v>
      </c>
      <c r="Z267" s="317">
        <f t="shared" si="206"/>
        <v>0.70433333333333403</v>
      </c>
      <c r="AA267" s="317">
        <f t="shared" si="206"/>
        <v>0.69800000000000073</v>
      </c>
      <c r="AB267" s="317">
        <f t="shared" si="206"/>
        <v>0.69166666666666743</v>
      </c>
      <c r="AC267" s="317">
        <f t="shared" si="206"/>
        <v>0.68533333333333413</v>
      </c>
      <c r="AD267" s="317">
        <f t="shared" si="206"/>
        <v>0.67900000000000083</v>
      </c>
      <c r="AE267" s="317">
        <f t="shared" si="206"/>
        <v>0.67266666666666752</v>
      </c>
      <c r="AF267" s="317">
        <f t="shared" si="206"/>
        <v>0.66633333333333422</v>
      </c>
      <c r="AG267" s="296">
        <v>0.66</v>
      </c>
      <c r="AI267" s="316"/>
      <c r="AJ267" s="211" t="s">
        <v>1363</v>
      </c>
    </row>
    <row r="268" spans="1:36" s="1" customFormat="1" outlineLevel="1" x14ac:dyDescent="0.2">
      <c r="A268" t="s">
        <v>1374</v>
      </c>
      <c r="B268" s="302" t="s">
        <v>462</v>
      </c>
      <c r="C268" s="296">
        <v>0</v>
      </c>
      <c r="D268" s="317">
        <f t="shared" si="205"/>
        <v>0</v>
      </c>
      <c r="E268" s="317">
        <f t="shared" si="205"/>
        <v>0</v>
      </c>
      <c r="F268" s="317">
        <f t="shared" si="205"/>
        <v>0</v>
      </c>
      <c r="G268" s="317">
        <f t="shared" si="205"/>
        <v>0</v>
      </c>
      <c r="H268" s="317">
        <f t="shared" si="205"/>
        <v>0</v>
      </c>
      <c r="I268" s="317">
        <f t="shared" si="205"/>
        <v>0</v>
      </c>
      <c r="J268" s="317">
        <f t="shared" si="205"/>
        <v>0</v>
      </c>
      <c r="K268" s="317">
        <f t="shared" si="205"/>
        <v>0</v>
      </c>
      <c r="L268" s="317">
        <f t="shared" si="205"/>
        <v>0</v>
      </c>
      <c r="M268" s="317">
        <f t="shared" si="205"/>
        <v>0</v>
      </c>
      <c r="N268" s="317">
        <f t="shared" si="205"/>
        <v>0</v>
      </c>
      <c r="O268" s="317">
        <f t="shared" si="205"/>
        <v>0</v>
      </c>
      <c r="P268" s="317">
        <f t="shared" si="205"/>
        <v>0</v>
      </c>
      <c r="Q268" s="317">
        <f t="shared" si="205"/>
        <v>0</v>
      </c>
      <c r="R268" s="317">
        <f t="shared" si="205"/>
        <v>0</v>
      </c>
      <c r="S268" s="317">
        <f t="shared" si="205"/>
        <v>0</v>
      </c>
      <c r="T268" s="317">
        <f t="shared" si="206"/>
        <v>0</v>
      </c>
      <c r="U268" s="317">
        <f t="shared" si="206"/>
        <v>0</v>
      </c>
      <c r="V268" s="317">
        <f t="shared" si="206"/>
        <v>0</v>
      </c>
      <c r="W268" s="317">
        <f t="shared" si="206"/>
        <v>0</v>
      </c>
      <c r="X268" s="317">
        <f t="shared" si="206"/>
        <v>0</v>
      </c>
      <c r="Y268" s="317">
        <f t="shared" si="206"/>
        <v>0</v>
      </c>
      <c r="Z268" s="317">
        <f t="shared" si="206"/>
        <v>0</v>
      </c>
      <c r="AA268" s="317">
        <f t="shared" si="206"/>
        <v>0</v>
      </c>
      <c r="AB268" s="317">
        <f t="shared" si="206"/>
        <v>0</v>
      </c>
      <c r="AC268" s="317">
        <f t="shared" si="206"/>
        <v>0</v>
      </c>
      <c r="AD268" s="317">
        <f t="shared" si="206"/>
        <v>0</v>
      </c>
      <c r="AE268" s="317">
        <f t="shared" si="206"/>
        <v>0</v>
      </c>
      <c r="AF268" s="317">
        <f t="shared" si="206"/>
        <v>0</v>
      </c>
      <c r="AG268" s="296">
        <v>0</v>
      </c>
      <c r="AI268" s="316"/>
      <c r="AJ268" s="211" t="s">
        <v>1363</v>
      </c>
    </row>
    <row r="269" spans="1:36" s="1" customFormat="1" outlineLevel="1" x14ac:dyDescent="0.2">
      <c r="A269" t="s">
        <v>1375</v>
      </c>
      <c r="B269" s="302" t="s">
        <v>462</v>
      </c>
      <c r="C269" s="296">
        <v>1</v>
      </c>
      <c r="D269" s="317">
        <f t="shared" si="205"/>
        <v>1</v>
      </c>
      <c r="E269" s="317">
        <f t="shared" si="205"/>
        <v>1</v>
      </c>
      <c r="F269" s="317">
        <f t="shared" si="205"/>
        <v>1</v>
      </c>
      <c r="G269" s="317">
        <f t="shared" si="205"/>
        <v>1</v>
      </c>
      <c r="H269" s="317">
        <f t="shared" si="205"/>
        <v>1</v>
      </c>
      <c r="I269" s="317">
        <f t="shared" si="205"/>
        <v>1</v>
      </c>
      <c r="J269" s="317">
        <f t="shared" si="205"/>
        <v>1</v>
      </c>
      <c r="K269" s="317">
        <f t="shared" si="205"/>
        <v>1</v>
      </c>
      <c r="L269" s="317">
        <f t="shared" si="205"/>
        <v>1</v>
      </c>
      <c r="M269" s="317">
        <f t="shared" si="205"/>
        <v>1</v>
      </c>
      <c r="N269" s="317">
        <f t="shared" si="205"/>
        <v>1</v>
      </c>
      <c r="O269" s="317">
        <f t="shared" si="205"/>
        <v>1</v>
      </c>
      <c r="P269" s="317">
        <f t="shared" si="205"/>
        <v>1</v>
      </c>
      <c r="Q269" s="317">
        <f t="shared" si="205"/>
        <v>1</v>
      </c>
      <c r="R269" s="317">
        <f t="shared" si="205"/>
        <v>1</v>
      </c>
      <c r="S269" s="317">
        <f t="shared" si="205"/>
        <v>1</v>
      </c>
      <c r="T269" s="317">
        <f t="shared" si="206"/>
        <v>1</v>
      </c>
      <c r="U269" s="317">
        <f t="shared" si="206"/>
        <v>1</v>
      </c>
      <c r="V269" s="317">
        <f t="shared" si="206"/>
        <v>1</v>
      </c>
      <c r="W269" s="317">
        <f t="shared" si="206"/>
        <v>1</v>
      </c>
      <c r="X269" s="317">
        <f t="shared" si="206"/>
        <v>1</v>
      </c>
      <c r="Y269" s="317">
        <f t="shared" si="206"/>
        <v>1</v>
      </c>
      <c r="Z269" s="317">
        <f t="shared" si="206"/>
        <v>1</v>
      </c>
      <c r="AA269" s="317">
        <f t="shared" si="206"/>
        <v>1</v>
      </c>
      <c r="AB269" s="317">
        <f t="shared" si="206"/>
        <v>1</v>
      </c>
      <c r="AC269" s="317">
        <f t="shared" si="206"/>
        <v>1</v>
      </c>
      <c r="AD269" s="317">
        <f t="shared" si="206"/>
        <v>1</v>
      </c>
      <c r="AE269" s="317">
        <f t="shared" si="206"/>
        <v>1</v>
      </c>
      <c r="AF269" s="317">
        <f t="shared" si="206"/>
        <v>1</v>
      </c>
      <c r="AG269" s="296">
        <v>1</v>
      </c>
      <c r="AI269" s="316"/>
      <c r="AJ269" s="211" t="s">
        <v>1363</v>
      </c>
    </row>
    <row r="270" spans="1:36" s="1" customFormat="1" outlineLevel="1" x14ac:dyDescent="0.2">
      <c r="A270" t="s">
        <v>1376</v>
      </c>
      <c r="B270" s="302" t="s">
        <v>462</v>
      </c>
      <c r="C270" s="296">
        <v>0.8</v>
      </c>
      <c r="D270" s="317">
        <f t="shared" si="205"/>
        <v>0.80333333333333334</v>
      </c>
      <c r="E270" s="317">
        <f t="shared" si="205"/>
        <v>0.80666666666666664</v>
      </c>
      <c r="F270" s="317">
        <f t="shared" si="205"/>
        <v>0.80999999999999994</v>
      </c>
      <c r="G270" s="317">
        <f t="shared" si="205"/>
        <v>0.81333333333333324</v>
      </c>
      <c r="H270" s="317">
        <f t="shared" si="205"/>
        <v>0.81666666666666654</v>
      </c>
      <c r="I270" s="317">
        <f t="shared" si="205"/>
        <v>0.81999999999999984</v>
      </c>
      <c r="J270" s="317">
        <f t="shared" si="205"/>
        <v>0.82333333333333314</v>
      </c>
      <c r="K270" s="317">
        <f t="shared" si="205"/>
        <v>0.82666666666666644</v>
      </c>
      <c r="L270" s="317">
        <f t="shared" si="205"/>
        <v>0.82999999999999974</v>
      </c>
      <c r="M270" s="317">
        <f t="shared" si="205"/>
        <v>0.83333333333333304</v>
      </c>
      <c r="N270" s="317">
        <f t="shared" si="205"/>
        <v>0.83666666666666634</v>
      </c>
      <c r="O270" s="317">
        <f t="shared" si="205"/>
        <v>0.83999999999999964</v>
      </c>
      <c r="P270" s="317">
        <f t="shared" si="205"/>
        <v>0.84333333333333294</v>
      </c>
      <c r="Q270" s="317">
        <f t="shared" si="205"/>
        <v>0.84666666666666623</v>
      </c>
      <c r="R270" s="317">
        <f t="shared" si="205"/>
        <v>0.84999999999999953</v>
      </c>
      <c r="S270" s="317">
        <f t="shared" si="205"/>
        <v>0.85333333333333283</v>
      </c>
      <c r="T270" s="317">
        <f t="shared" si="206"/>
        <v>0.85666666666666613</v>
      </c>
      <c r="U270" s="317">
        <f t="shared" si="206"/>
        <v>0.85999999999999943</v>
      </c>
      <c r="V270" s="317">
        <f t="shared" si="206"/>
        <v>0.86333333333333273</v>
      </c>
      <c r="W270" s="317">
        <f t="shared" si="206"/>
        <v>0.86666666666666603</v>
      </c>
      <c r="X270" s="317">
        <f t="shared" si="206"/>
        <v>0.86999999999999933</v>
      </c>
      <c r="Y270" s="317">
        <f t="shared" si="206"/>
        <v>0.87333333333333263</v>
      </c>
      <c r="Z270" s="317">
        <f t="shared" si="206"/>
        <v>0.87666666666666593</v>
      </c>
      <c r="AA270" s="317">
        <f t="shared" si="206"/>
        <v>0.87999999999999923</v>
      </c>
      <c r="AB270" s="317">
        <f t="shared" si="206"/>
        <v>0.88333333333333253</v>
      </c>
      <c r="AC270" s="317">
        <f t="shared" si="206"/>
        <v>0.88666666666666583</v>
      </c>
      <c r="AD270" s="317">
        <f t="shared" si="206"/>
        <v>0.88999999999999913</v>
      </c>
      <c r="AE270" s="317">
        <f t="shared" si="206"/>
        <v>0.89333333333333242</v>
      </c>
      <c r="AF270" s="317">
        <f t="shared" si="206"/>
        <v>0.89666666666666572</v>
      </c>
      <c r="AG270" s="296">
        <v>0.9</v>
      </c>
      <c r="AI270" s="316"/>
      <c r="AJ270" s="211" t="s">
        <v>1363</v>
      </c>
    </row>
    <row r="271" spans="1:36" s="1" customFormat="1" outlineLevel="1" x14ac:dyDescent="0.2">
      <c r="A271" t="s">
        <v>1377</v>
      </c>
      <c r="B271" s="302" t="s">
        <v>462</v>
      </c>
      <c r="C271" s="296">
        <v>0.2</v>
      </c>
      <c r="D271" s="317">
        <f t="shared" si="205"/>
        <v>0.19666666666666668</v>
      </c>
      <c r="E271" s="317">
        <f t="shared" si="205"/>
        <v>0.19333333333333336</v>
      </c>
      <c r="F271" s="317">
        <f t="shared" si="205"/>
        <v>0.19000000000000003</v>
      </c>
      <c r="G271" s="317">
        <f t="shared" si="205"/>
        <v>0.1866666666666667</v>
      </c>
      <c r="H271" s="317">
        <f t="shared" si="205"/>
        <v>0.18333333333333338</v>
      </c>
      <c r="I271" s="317">
        <f t="shared" si="205"/>
        <v>0.18000000000000005</v>
      </c>
      <c r="J271" s="317">
        <f t="shared" si="205"/>
        <v>0.17666666666666672</v>
      </c>
      <c r="K271" s="317">
        <f t="shared" si="205"/>
        <v>0.17333333333333339</v>
      </c>
      <c r="L271" s="317">
        <f t="shared" si="205"/>
        <v>0.17000000000000007</v>
      </c>
      <c r="M271" s="317">
        <f t="shared" si="205"/>
        <v>0.16666666666666674</v>
      </c>
      <c r="N271" s="317">
        <f t="shared" si="205"/>
        <v>0.16333333333333341</v>
      </c>
      <c r="O271" s="317">
        <f t="shared" si="205"/>
        <v>0.16000000000000009</v>
      </c>
      <c r="P271" s="317">
        <f t="shared" si="205"/>
        <v>0.15666666666666676</v>
      </c>
      <c r="Q271" s="317">
        <f t="shared" si="205"/>
        <v>0.15333333333333343</v>
      </c>
      <c r="R271" s="317">
        <f t="shared" si="205"/>
        <v>0.15000000000000011</v>
      </c>
      <c r="S271" s="317">
        <f t="shared" si="205"/>
        <v>0.14666666666666678</v>
      </c>
      <c r="T271" s="317">
        <f t="shared" si="206"/>
        <v>0.14333333333333345</v>
      </c>
      <c r="U271" s="317">
        <f t="shared" si="206"/>
        <v>0.14000000000000012</v>
      </c>
      <c r="V271" s="317">
        <f t="shared" si="206"/>
        <v>0.1366666666666668</v>
      </c>
      <c r="W271" s="317">
        <f t="shared" si="206"/>
        <v>0.13333333333333347</v>
      </c>
      <c r="X271" s="317">
        <f t="shared" si="206"/>
        <v>0.13000000000000014</v>
      </c>
      <c r="Y271" s="317">
        <f t="shared" si="206"/>
        <v>0.12666666666666682</v>
      </c>
      <c r="Z271" s="317">
        <f t="shared" si="206"/>
        <v>0.12333333333333349</v>
      </c>
      <c r="AA271" s="317">
        <f t="shared" si="206"/>
        <v>0.12000000000000016</v>
      </c>
      <c r="AB271" s="317">
        <f t="shared" si="206"/>
        <v>0.11666666666666684</v>
      </c>
      <c r="AC271" s="317">
        <f t="shared" si="206"/>
        <v>0.11333333333333351</v>
      </c>
      <c r="AD271" s="317">
        <f t="shared" si="206"/>
        <v>0.11000000000000018</v>
      </c>
      <c r="AE271" s="317">
        <f t="shared" si="206"/>
        <v>0.10666666666666685</v>
      </c>
      <c r="AF271" s="317">
        <f t="shared" si="206"/>
        <v>0.10333333333333353</v>
      </c>
      <c r="AG271" s="296">
        <v>0.1</v>
      </c>
      <c r="AI271" s="316"/>
      <c r="AJ271" s="211" t="s">
        <v>1363</v>
      </c>
    </row>
    <row r="272" spans="1:36" s="1" customFormat="1" outlineLevel="1" x14ac:dyDescent="0.2">
      <c r="A272" t="s">
        <v>1378</v>
      </c>
      <c r="B272" s="302" t="s">
        <v>462</v>
      </c>
      <c r="C272" s="296">
        <v>0.95</v>
      </c>
      <c r="D272" s="317">
        <f t="shared" si="205"/>
        <v>0.94866666666666666</v>
      </c>
      <c r="E272" s="317">
        <f t="shared" si="205"/>
        <v>0.94733333333333336</v>
      </c>
      <c r="F272" s="317">
        <f t="shared" si="205"/>
        <v>0.94600000000000006</v>
      </c>
      <c r="G272" s="317">
        <f t="shared" si="205"/>
        <v>0.94466666666666677</v>
      </c>
      <c r="H272" s="317">
        <f t="shared" si="205"/>
        <v>0.94333333333333347</v>
      </c>
      <c r="I272" s="317">
        <f t="shared" si="205"/>
        <v>0.94200000000000017</v>
      </c>
      <c r="J272" s="317">
        <f t="shared" si="205"/>
        <v>0.94066666666666687</v>
      </c>
      <c r="K272" s="317">
        <f t="shared" si="205"/>
        <v>0.93933333333333358</v>
      </c>
      <c r="L272" s="317">
        <f t="shared" si="205"/>
        <v>0.93800000000000028</v>
      </c>
      <c r="M272" s="317">
        <f t="shared" si="205"/>
        <v>0.93666666666666698</v>
      </c>
      <c r="N272" s="317">
        <f t="shared" si="205"/>
        <v>0.93533333333333368</v>
      </c>
      <c r="O272" s="317">
        <f t="shared" si="205"/>
        <v>0.93400000000000039</v>
      </c>
      <c r="P272" s="317">
        <f t="shared" si="205"/>
        <v>0.93266666666666709</v>
      </c>
      <c r="Q272" s="317">
        <f t="shared" si="205"/>
        <v>0.93133333333333379</v>
      </c>
      <c r="R272" s="317">
        <f t="shared" si="205"/>
        <v>0.93000000000000049</v>
      </c>
      <c r="S272" s="317">
        <f t="shared" si="205"/>
        <v>0.9286666666666672</v>
      </c>
      <c r="T272" s="317">
        <f t="shared" si="206"/>
        <v>0.9273333333333339</v>
      </c>
      <c r="U272" s="317">
        <f t="shared" si="206"/>
        <v>0.9260000000000006</v>
      </c>
      <c r="V272" s="317">
        <f t="shared" si="206"/>
        <v>0.9246666666666673</v>
      </c>
      <c r="W272" s="317">
        <f t="shared" si="206"/>
        <v>0.92333333333333401</v>
      </c>
      <c r="X272" s="317">
        <f t="shared" si="206"/>
        <v>0.92200000000000071</v>
      </c>
      <c r="Y272" s="317">
        <f t="shared" si="206"/>
        <v>0.92066666666666741</v>
      </c>
      <c r="Z272" s="317">
        <f t="shared" si="206"/>
        <v>0.91933333333333411</v>
      </c>
      <c r="AA272" s="317">
        <f t="shared" si="206"/>
        <v>0.91800000000000082</v>
      </c>
      <c r="AB272" s="317">
        <f t="shared" si="206"/>
        <v>0.91666666666666752</v>
      </c>
      <c r="AC272" s="317">
        <f t="shared" si="206"/>
        <v>0.91533333333333422</v>
      </c>
      <c r="AD272" s="317">
        <f t="shared" si="206"/>
        <v>0.91400000000000092</v>
      </c>
      <c r="AE272" s="317">
        <f t="shared" si="206"/>
        <v>0.91266666666666763</v>
      </c>
      <c r="AF272" s="317">
        <f t="shared" si="206"/>
        <v>0.91133333333333433</v>
      </c>
      <c r="AG272" s="296">
        <v>0.91</v>
      </c>
      <c r="AI272" s="316"/>
      <c r="AJ272" s="211" t="s">
        <v>1363</v>
      </c>
    </row>
    <row r="273" spans="1:36" s="1" customFormat="1" outlineLevel="1" x14ac:dyDescent="0.2">
      <c r="A273" t="s">
        <v>1379</v>
      </c>
      <c r="B273" s="302" t="s">
        <v>462</v>
      </c>
      <c r="C273" s="296">
        <v>0.05</v>
      </c>
      <c r="D273" s="317">
        <f t="shared" si="205"/>
        <v>5.1333333333333335E-2</v>
      </c>
      <c r="E273" s="317">
        <f t="shared" si="205"/>
        <v>5.2666666666666667E-2</v>
      </c>
      <c r="F273" s="317">
        <f t="shared" si="205"/>
        <v>5.3999999999999999E-2</v>
      </c>
      <c r="G273" s="317">
        <f t="shared" si="205"/>
        <v>5.5333333333333332E-2</v>
      </c>
      <c r="H273" s="317">
        <f t="shared" si="205"/>
        <v>5.6666666666666664E-2</v>
      </c>
      <c r="I273" s="317">
        <f t="shared" si="205"/>
        <v>5.7999999999999996E-2</v>
      </c>
      <c r="J273" s="317">
        <f t="shared" si="205"/>
        <v>5.9333333333333328E-2</v>
      </c>
      <c r="K273" s="317">
        <f t="shared" si="205"/>
        <v>6.066666666666666E-2</v>
      </c>
      <c r="L273" s="317">
        <f t="shared" si="205"/>
        <v>6.1999999999999993E-2</v>
      </c>
      <c r="M273" s="317">
        <f t="shared" si="205"/>
        <v>6.3333333333333325E-2</v>
      </c>
      <c r="N273" s="317">
        <f t="shared" si="205"/>
        <v>6.4666666666666664E-2</v>
      </c>
      <c r="O273" s="317">
        <f t="shared" si="205"/>
        <v>6.6000000000000003E-2</v>
      </c>
      <c r="P273" s="317">
        <f t="shared" si="205"/>
        <v>6.7333333333333342E-2</v>
      </c>
      <c r="Q273" s="317">
        <f t="shared" si="205"/>
        <v>6.8666666666666681E-2</v>
      </c>
      <c r="R273" s="317">
        <f t="shared" si="205"/>
        <v>7.0000000000000021E-2</v>
      </c>
      <c r="S273" s="317">
        <f t="shared" si="205"/>
        <v>7.133333333333336E-2</v>
      </c>
      <c r="T273" s="317">
        <f t="shared" si="206"/>
        <v>7.2666666666666699E-2</v>
      </c>
      <c r="U273" s="317">
        <f t="shared" si="206"/>
        <v>7.4000000000000038E-2</v>
      </c>
      <c r="V273" s="317">
        <f t="shared" si="206"/>
        <v>7.5333333333333377E-2</v>
      </c>
      <c r="W273" s="317">
        <f t="shared" si="206"/>
        <v>7.6666666666666716E-2</v>
      </c>
      <c r="X273" s="317">
        <f t="shared" si="206"/>
        <v>7.8000000000000055E-2</v>
      </c>
      <c r="Y273" s="317">
        <f t="shared" si="206"/>
        <v>7.9333333333333395E-2</v>
      </c>
      <c r="Z273" s="317">
        <f t="shared" si="206"/>
        <v>8.0666666666666734E-2</v>
      </c>
      <c r="AA273" s="317">
        <f t="shared" si="206"/>
        <v>8.2000000000000073E-2</v>
      </c>
      <c r="AB273" s="317">
        <f t="shared" si="206"/>
        <v>8.3333333333333412E-2</v>
      </c>
      <c r="AC273" s="317">
        <f t="shared" si="206"/>
        <v>8.4666666666666751E-2</v>
      </c>
      <c r="AD273" s="317">
        <f t="shared" si="206"/>
        <v>8.600000000000009E-2</v>
      </c>
      <c r="AE273" s="317">
        <f t="shared" si="206"/>
        <v>8.7333333333333429E-2</v>
      </c>
      <c r="AF273" s="317">
        <f t="shared" si="206"/>
        <v>8.8666666666666769E-2</v>
      </c>
      <c r="AG273" s="296">
        <v>0.09</v>
      </c>
      <c r="AI273" s="316"/>
      <c r="AJ273" s="211" t="s">
        <v>1363</v>
      </c>
    </row>
    <row r="274" spans="1:36" s="1" customFormat="1" outlineLevel="1" x14ac:dyDescent="0.2">
      <c r="A274" t="s">
        <v>1380</v>
      </c>
      <c r="B274" s="302"/>
      <c r="C274" s="296">
        <v>0.27</v>
      </c>
      <c r="D274" s="317">
        <f t="shared" si="205"/>
        <v>0.26600000000000001</v>
      </c>
      <c r="E274" s="317">
        <f t="shared" si="205"/>
        <v>0.26200000000000001</v>
      </c>
      <c r="F274" s="317">
        <f t="shared" si="205"/>
        <v>0.25800000000000001</v>
      </c>
      <c r="G274" s="317">
        <f t="shared" si="205"/>
        <v>0.254</v>
      </c>
      <c r="H274" s="317">
        <f t="shared" si="205"/>
        <v>0.25</v>
      </c>
      <c r="I274" s="317">
        <f t="shared" si="205"/>
        <v>0.246</v>
      </c>
      <c r="J274" s="317">
        <f t="shared" si="205"/>
        <v>0.24199999999999999</v>
      </c>
      <c r="K274" s="317">
        <f t="shared" si="205"/>
        <v>0.23799999999999999</v>
      </c>
      <c r="L274" s="317">
        <f t="shared" si="205"/>
        <v>0.23399999999999999</v>
      </c>
      <c r="M274" s="317">
        <f t="shared" si="205"/>
        <v>0.22999999999999998</v>
      </c>
      <c r="N274" s="317">
        <f t="shared" si="205"/>
        <v>0.22599999999999998</v>
      </c>
      <c r="O274" s="317">
        <f t="shared" si="205"/>
        <v>0.22199999999999998</v>
      </c>
      <c r="P274" s="317">
        <f t="shared" si="205"/>
        <v>0.21799999999999997</v>
      </c>
      <c r="Q274" s="317">
        <f t="shared" si="205"/>
        <v>0.21399999999999997</v>
      </c>
      <c r="R274" s="317">
        <f t="shared" si="205"/>
        <v>0.20999999999999996</v>
      </c>
      <c r="S274" s="317">
        <f t="shared" si="205"/>
        <v>0.20599999999999996</v>
      </c>
      <c r="T274" s="317">
        <f t="shared" si="206"/>
        <v>0.20199999999999996</v>
      </c>
      <c r="U274" s="317">
        <f t="shared" si="206"/>
        <v>0.19799999999999995</v>
      </c>
      <c r="V274" s="317">
        <f t="shared" si="206"/>
        <v>0.19399999999999995</v>
      </c>
      <c r="W274" s="317">
        <f t="shared" si="206"/>
        <v>0.18999999999999995</v>
      </c>
      <c r="X274" s="317">
        <f t="shared" si="206"/>
        <v>0.18599999999999994</v>
      </c>
      <c r="Y274" s="317">
        <f t="shared" si="206"/>
        <v>0.18199999999999994</v>
      </c>
      <c r="Z274" s="317">
        <f t="shared" si="206"/>
        <v>0.17799999999999994</v>
      </c>
      <c r="AA274" s="317">
        <f t="shared" si="206"/>
        <v>0.17399999999999993</v>
      </c>
      <c r="AB274" s="317">
        <f t="shared" si="206"/>
        <v>0.16999999999999993</v>
      </c>
      <c r="AC274" s="317">
        <f t="shared" si="206"/>
        <v>0.16599999999999993</v>
      </c>
      <c r="AD274" s="317">
        <f t="shared" si="206"/>
        <v>0.16199999999999992</v>
      </c>
      <c r="AE274" s="317">
        <f t="shared" si="206"/>
        <v>0.15799999999999992</v>
      </c>
      <c r="AF274" s="317">
        <f t="shared" si="206"/>
        <v>0.15399999999999991</v>
      </c>
      <c r="AG274" s="296">
        <v>0.15</v>
      </c>
      <c r="AI274" s="316"/>
      <c r="AJ274" s="211"/>
    </row>
    <row r="275" spans="1:36" s="67" customFormat="1" outlineLevel="1" x14ac:dyDescent="0.2">
      <c r="A275" s="345" t="s">
        <v>1381</v>
      </c>
      <c r="B275" s="308" t="s">
        <v>462</v>
      </c>
      <c r="C275" s="337">
        <v>0.16</v>
      </c>
      <c r="D275" s="338">
        <f t="shared" si="205"/>
        <v>0.16533333333333333</v>
      </c>
      <c r="E275" s="338">
        <f t="shared" si="205"/>
        <v>0.17066666666666666</v>
      </c>
      <c r="F275" s="338">
        <f t="shared" si="205"/>
        <v>0.17599999999999999</v>
      </c>
      <c r="G275" s="338">
        <f t="shared" si="205"/>
        <v>0.18133333333333332</v>
      </c>
      <c r="H275" s="338">
        <f t="shared" si="205"/>
        <v>0.18666666666666665</v>
      </c>
      <c r="I275" s="338">
        <f t="shared" si="205"/>
        <v>0.19199999999999998</v>
      </c>
      <c r="J275" s="338">
        <f t="shared" si="205"/>
        <v>0.19733333333333331</v>
      </c>
      <c r="K275" s="338">
        <f t="shared" si="205"/>
        <v>0.20266666666666663</v>
      </c>
      <c r="L275" s="338">
        <f t="shared" si="205"/>
        <v>0.20799999999999996</v>
      </c>
      <c r="M275" s="338">
        <f t="shared" si="205"/>
        <v>0.21333333333333329</v>
      </c>
      <c r="N275" s="338">
        <f t="shared" si="205"/>
        <v>0.21866666666666662</v>
      </c>
      <c r="O275" s="338">
        <f t="shared" si="205"/>
        <v>0.22399999999999995</v>
      </c>
      <c r="P275" s="338">
        <f t="shared" si="205"/>
        <v>0.22933333333333328</v>
      </c>
      <c r="Q275" s="338">
        <f t="shared" si="205"/>
        <v>0.23466666666666661</v>
      </c>
      <c r="R275" s="338">
        <f t="shared" si="205"/>
        <v>0.23999999999999994</v>
      </c>
      <c r="S275" s="338">
        <f t="shared" si="205"/>
        <v>0.24533333333333326</v>
      </c>
      <c r="T275" s="338">
        <f t="shared" si="206"/>
        <v>0.25066666666666659</v>
      </c>
      <c r="U275" s="338">
        <f t="shared" si="206"/>
        <v>0.25599999999999995</v>
      </c>
      <c r="V275" s="338">
        <f t="shared" si="206"/>
        <v>0.26133333333333331</v>
      </c>
      <c r="W275" s="338">
        <f t="shared" si="206"/>
        <v>0.26666666666666666</v>
      </c>
      <c r="X275" s="338">
        <f t="shared" si="206"/>
        <v>0.27200000000000002</v>
      </c>
      <c r="Y275" s="338">
        <f t="shared" si="206"/>
        <v>0.27733333333333338</v>
      </c>
      <c r="Z275" s="338">
        <f t="shared" si="206"/>
        <v>0.28266666666666673</v>
      </c>
      <c r="AA275" s="338">
        <f t="shared" si="206"/>
        <v>0.28800000000000009</v>
      </c>
      <c r="AB275" s="338">
        <f t="shared" si="206"/>
        <v>0.29333333333333345</v>
      </c>
      <c r="AC275" s="338">
        <f t="shared" si="206"/>
        <v>0.2986666666666668</v>
      </c>
      <c r="AD275" s="338">
        <f t="shared" si="206"/>
        <v>0.30400000000000016</v>
      </c>
      <c r="AE275" s="338">
        <f t="shared" si="206"/>
        <v>0.30933333333333352</v>
      </c>
      <c r="AF275" s="338">
        <f t="shared" si="206"/>
        <v>0.31466666666666687</v>
      </c>
      <c r="AG275" s="337">
        <v>0.32</v>
      </c>
      <c r="AI275" s="337"/>
      <c r="AJ275" s="339" t="s">
        <v>1363</v>
      </c>
    </row>
    <row r="276" spans="1:36" outlineLevel="1" x14ac:dyDescent="0.2">
      <c r="A276" s="346" t="s">
        <v>1382</v>
      </c>
      <c r="B276" s="302" t="s">
        <v>462</v>
      </c>
      <c r="C276" s="296">
        <v>0.37</v>
      </c>
      <c r="D276" s="317">
        <f t="shared" si="205"/>
        <v>0.37166666666666665</v>
      </c>
      <c r="E276" s="317">
        <f t="shared" si="205"/>
        <v>0.37333333333333329</v>
      </c>
      <c r="F276" s="317">
        <f t="shared" si="205"/>
        <v>0.37499999999999994</v>
      </c>
      <c r="G276" s="317">
        <f t="shared" si="205"/>
        <v>0.37666666666666659</v>
      </c>
      <c r="H276" s="317">
        <f t="shared" si="205"/>
        <v>0.37833333333333324</v>
      </c>
      <c r="I276" s="317">
        <f t="shared" si="205"/>
        <v>0.37999999999999989</v>
      </c>
      <c r="J276" s="317">
        <f t="shared" si="205"/>
        <v>0.38166666666666654</v>
      </c>
      <c r="K276" s="317">
        <f t="shared" si="205"/>
        <v>0.38333333333333319</v>
      </c>
      <c r="L276" s="317">
        <f t="shared" si="205"/>
        <v>0.38499999999999984</v>
      </c>
      <c r="M276" s="317">
        <f t="shared" si="205"/>
        <v>0.38666666666666649</v>
      </c>
      <c r="N276" s="317">
        <f t="shared" si="205"/>
        <v>0.38833333333333314</v>
      </c>
      <c r="O276" s="317">
        <f t="shared" si="205"/>
        <v>0.38999999999999979</v>
      </c>
      <c r="P276" s="317">
        <f t="shared" si="205"/>
        <v>0.39166666666666644</v>
      </c>
      <c r="Q276" s="317">
        <f t="shared" si="205"/>
        <v>0.39333333333333309</v>
      </c>
      <c r="R276" s="317">
        <f t="shared" si="205"/>
        <v>0.39499999999999974</v>
      </c>
      <c r="S276" s="317">
        <f t="shared" si="205"/>
        <v>0.39666666666666639</v>
      </c>
      <c r="T276" s="317">
        <f t="shared" si="206"/>
        <v>0.39833333333333304</v>
      </c>
      <c r="U276" s="317">
        <f t="shared" si="206"/>
        <v>0.39999999999999969</v>
      </c>
      <c r="V276" s="317">
        <f t="shared" si="206"/>
        <v>0.40166666666666634</v>
      </c>
      <c r="W276" s="317">
        <f t="shared" si="206"/>
        <v>0.40333333333333299</v>
      </c>
      <c r="X276" s="317">
        <f t="shared" si="206"/>
        <v>0.40499999999999964</v>
      </c>
      <c r="Y276" s="317">
        <f t="shared" si="206"/>
        <v>0.40666666666666629</v>
      </c>
      <c r="Z276" s="317">
        <f t="shared" si="206"/>
        <v>0.40833333333333294</v>
      </c>
      <c r="AA276" s="317">
        <f t="shared" si="206"/>
        <v>0.40999999999999959</v>
      </c>
      <c r="AB276" s="317">
        <f t="shared" si="206"/>
        <v>0.41166666666666624</v>
      </c>
      <c r="AC276" s="317">
        <f t="shared" si="206"/>
        <v>0.41333333333333289</v>
      </c>
      <c r="AD276" s="317">
        <f t="shared" si="206"/>
        <v>0.41499999999999954</v>
      </c>
      <c r="AE276" s="317">
        <f t="shared" si="206"/>
        <v>0.41666666666666619</v>
      </c>
      <c r="AF276" s="317">
        <f t="shared" si="206"/>
        <v>0.41833333333333284</v>
      </c>
      <c r="AG276" s="296">
        <v>0.42</v>
      </c>
      <c r="AI276" s="296"/>
      <c r="AJ276" s="211" t="s">
        <v>1363</v>
      </c>
    </row>
    <row r="277" spans="1:36" outlineLevel="1" x14ac:dyDescent="0.2">
      <c r="A277" s="346" t="s">
        <v>1383</v>
      </c>
      <c r="B277" s="302" t="s">
        <v>462</v>
      </c>
      <c r="C277" s="296">
        <v>0.08</v>
      </c>
      <c r="D277" s="317">
        <f t="shared" si="205"/>
        <v>7.7666666666666662E-2</v>
      </c>
      <c r="E277" s="317">
        <f t="shared" si="205"/>
        <v>7.5333333333333322E-2</v>
      </c>
      <c r="F277" s="317">
        <f t="shared" si="205"/>
        <v>7.2999999999999982E-2</v>
      </c>
      <c r="G277" s="317">
        <f t="shared" si="205"/>
        <v>7.0666666666666642E-2</v>
      </c>
      <c r="H277" s="317">
        <f t="shared" si="205"/>
        <v>6.8333333333333302E-2</v>
      </c>
      <c r="I277" s="317">
        <f t="shared" si="205"/>
        <v>6.5999999999999961E-2</v>
      </c>
      <c r="J277" s="317">
        <f t="shared" si="205"/>
        <v>6.3666666666666621E-2</v>
      </c>
      <c r="K277" s="317">
        <f t="shared" si="205"/>
        <v>6.1333333333333288E-2</v>
      </c>
      <c r="L277" s="317">
        <f t="shared" si="205"/>
        <v>5.8999999999999955E-2</v>
      </c>
      <c r="M277" s="317">
        <f t="shared" si="205"/>
        <v>5.6666666666666622E-2</v>
      </c>
      <c r="N277" s="317">
        <f t="shared" si="205"/>
        <v>5.4333333333333289E-2</v>
      </c>
      <c r="O277" s="317">
        <f t="shared" si="205"/>
        <v>5.1999999999999956E-2</v>
      </c>
      <c r="P277" s="317">
        <f t="shared" si="205"/>
        <v>4.9666666666666623E-2</v>
      </c>
      <c r="Q277" s="317">
        <f t="shared" si="205"/>
        <v>4.733333333333329E-2</v>
      </c>
      <c r="R277" s="317">
        <f t="shared" si="205"/>
        <v>4.4999999999999957E-2</v>
      </c>
      <c r="S277" s="317">
        <f t="shared" si="205"/>
        <v>4.2666666666666624E-2</v>
      </c>
      <c r="T277" s="317">
        <f t="shared" si="206"/>
        <v>4.0333333333333291E-2</v>
      </c>
      <c r="U277" s="317">
        <f t="shared" si="206"/>
        <v>3.7999999999999957E-2</v>
      </c>
      <c r="V277" s="317">
        <f t="shared" si="206"/>
        <v>3.5666666666666624E-2</v>
      </c>
      <c r="W277" s="317">
        <f t="shared" si="206"/>
        <v>3.3333333333333291E-2</v>
      </c>
      <c r="X277" s="317">
        <f t="shared" si="206"/>
        <v>3.0999999999999958E-2</v>
      </c>
      <c r="Y277" s="317">
        <f t="shared" si="206"/>
        <v>2.8666666666666625E-2</v>
      </c>
      <c r="Z277" s="317">
        <f t="shared" si="206"/>
        <v>2.6333333333333292E-2</v>
      </c>
      <c r="AA277" s="317">
        <f t="shared" si="206"/>
        <v>2.3999999999999959E-2</v>
      </c>
      <c r="AB277" s="317">
        <f t="shared" si="206"/>
        <v>2.1666666666666626E-2</v>
      </c>
      <c r="AC277" s="317">
        <f t="shared" si="206"/>
        <v>1.9333333333333293E-2</v>
      </c>
      <c r="AD277" s="317">
        <f t="shared" si="206"/>
        <v>1.699999999999996E-2</v>
      </c>
      <c r="AE277" s="317">
        <f t="shared" si="206"/>
        <v>1.4666666666666626E-2</v>
      </c>
      <c r="AF277" s="317">
        <f t="shared" si="206"/>
        <v>1.2333333333333293E-2</v>
      </c>
      <c r="AG277" s="296">
        <v>0.01</v>
      </c>
      <c r="AI277" s="296"/>
      <c r="AJ277" s="211" t="s">
        <v>1363</v>
      </c>
    </row>
    <row r="278" spans="1:36" outlineLevel="1" x14ac:dyDescent="0.2">
      <c r="A278" s="346" t="s">
        <v>1384</v>
      </c>
      <c r="B278" s="302" t="s">
        <v>462</v>
      </c>
      <c r="C278" s="296">
        <v>0.27</v>
      </c>
      <c r="D278" s="317">
        <f t="shared" si="205"/>
        <v>0.26633333333333337</v>
      </c>
      <c r="E278" s="317">
        <f t="shared" si="205"/>
        <v>0.26266666666666671</v>
      </c>
      <c r="F278" s="317">
        <f t="shared" si="205"/>
        <v>0.25900000000000006</v>
      </c>
      <c r="G278" s="317">
        <f t="shared" si="205"/>
        <v>0.25533333333333341</v>
      </c>
      <c r="H278" s="317">
        <f t="shared" si="205"/>
        <v>0.25166666666666676</v>
      </c>
      <c r="I278" s="317">
        <f t="shared" si="205"/>
        <v>0.24800000000000008</v>
      </c>
      <c r="J278" s="317">
        <f t="shared" si="205"/>
        <v>0.2443333333333334</v>
      </c>
      <c r="K278" s="317">
        <f t="shared" si="205"/>
        <v>0.24066666666666672</v>
      </c>
      <c r="L278" s="317">
        <f t="shared" si="205"/>
        <v>0.23700000000000004</v>
      </c>
      <c r="M278" s="317">
        <f t="shared" si="205"/>
        <v>0.23333333333333336</v>
      </c>
      <c r="N278" s="317">
        <f t="shared" si="205"/>
        <v>0.22966666666666669</v>
      </c>
      <c r="O278" s="317">
        <f t="shared" si="205"/>
        <v>0.22600000000000001</v>
      </c>
      <c r="P278" s="317">
        <f t="shared" si="205"/>
        <v>0.22233333333333333</v>
      </c>
      <c r="Q278" s="317">
        <f t="shared" si="205"/>
        <v>0.21866666666666665</v>
      </c>
      <c r="R278" s="317">
        <f t="shared" si="205"/>
        <v>0.21499999999999997</v>
      </c>
      <c r="S278" s="317">
        <f t="shared" si="205"/>
        <v>0.21133333333333329</v>
      </c>
      <c r="T278" s="317">
        <f t="shared" si="206"/>
        <v>0.20766666666666661</v>
      </c>
      <c r="U278" s="317">
        <f t="shared" si="206"/>
        <v>0.20399999999999993</v>
      </c>
      <c r="V278" s="317">
        <f t="shared" si="206"/>
        <v>0.20033333333333325</v>
      </c>
      <c r="W278" s="317">
        <f t="shared" si="206"/>
        <v>0.19666666666666657</v>
      </c>
      <c r="X278" s="317">
        <f t="shared" si="206"/>
        <v>0.19299999999999989</v>
      </c>
      <c r="Y278" s="317">
        <f t="shared" si="206"/>
        <v>0.18933333333333321</v>
      </c>
      <c r="Z278" s="317">
        <f t="shared" si="206"/>
        <v>0.18566666666666654</v>
      </c>
      <c r="AA278" s="317">
        <f t="shared" si="206"/>
        <v>0.18199999999999986</v>
      </c>
      <c r="AB278" s="317">
        <f t="shared" si="206"/>
        <v>0.17833333333333318</v>
      </c>
      <c r="AC278" s="317">
        <f t="shared" si="206"/>
        <v>0.1746666666666665</v>
      </c>
      <c r="AD278" s="317">
        <f t="shared" si="206"/>
        <v>0.17099999999999982</v>
      </c>
      <c r="AE278" s="317">
        <f t="shared" si="206"/>
        <v>0.16733333333333314</v>
      </c>
      <c r="AF278" s="317">
        <f t="shared" si="206"/>
        <v>0.16366666666666646</v>
      </c>
      <c r="AG278" s="296">
        <v>0.16</v>
      </c>
      <c r="AI278" s="296"/>
      <c r="AJ278" s="211" t="s">
        <v>1363</v>
      </c>
    </row>
    <row r="279" spans="1:36" outlineLevel="1" x14ac:dyDescent="0.2">
      <c r="A279" s="346" t="s">
        <v>1385</v>
      </c>
      <c r="B279" s="302" t="s">
        <v>462</v>
      </c>
      <c r="C279" s="296">
        <v>7.0000000000000007E-2</v>
      </c>
      <c r="D279" s="317">
        <f t="shared" si="205"/>
        <v>6.9666666666666668E-2</v>
      </c>
      <c r="E279" s="317">
        <f t="shared" si="205"/>
        <v>6.933333333333333E-2</v>
      </c>
      <c r="F279" s="317">
        <f t="shared" si="205"/>
        <v>6.8999999999999992E-2</v>
      </c>
      <c r="G279" s="317">
        <f t="shared" si="205"/>
        <v>6.8666666666666654E-2</v>
      </c>
      <c r="H279" s="317">
        <f t="shared" si="205"/>
        <v>6.8333333333333315E-2</v>
      </c>
      <c r="I279" s="317">
        <f t="shared" si="205"/>
        <v>6.7999999999999977E-2</v>
      </c>
      <c r="J279" s="317">
        <f t="shared" si="205"/>
        <v>6.7666666666666639E-2</v>
      </c>
      <c r="K279" s="317">
        <f t="shared" si="205"/>
        <v>6.7333333333333301E-2</v>
      </c>
      <c r="L279" s="317">
        <f t="shared" si="205"/>
        <v>6.6999999999999962E-2</v>
      </c>
      <c r="M279" s="317">
        <f t="shared" si="205"/>
        <v>6.6666666666666624E-2</v>
      </c>
      <c r="N279" s="317">
        <f t="shared" si="205"/>
        <v>6.6333333333333286E-2</v>
      </c>
      <c r="O279" s="317">
        <f t="shared" si="205"/>
        <v>6.5999999999999948E-2</v>
      </c>
      <c r="P279" s="317">
        <f t="shared" si="205"/>
        <v>6.5666666666666609E-2</v>
      </c>
      <c r="Q279" s="317">
        <f t="shared" si="205"/>
        <v>6.5333333333333271E-2</v>
      </c>
      <c r="R279" s="317">
        <f t="shared" si="205"/>
        <v>6.4999999999999933E-2</v>
      </c>
      <c r="S279" s="317">
        <f t="shared" ref="S279:AF279" si="207">-($C279-$AG279)/30+R279</f>
        <v>6.4666666666666595E-2</v>
      </c>
      <c r="T279" s="317">
        <f t="shared" si="207"/>
        <v>6.4333333333333256E-2</v>
      </c>
      <c r="U279" s="317">
        <f t="shared" si="207"/>
        <v>6.3999999999999918E-2</v>
      </c>
      <c r="V279" s="317">
        <f t="shared" si="207"/>
        <v>6.366666666666658E-2</v>
      </c>
      <c r="W279" s="317">
        <f t="shared" si="207"/>
        <v>6.3333333333333242E-2</v>
      </c>
      <c r="X279" s="317">
        <f t="shared" si="207"/>
        <v>6.2999999999999903E-2</v>
      </c>
      <c r="Y279" s="317">
        <f t="shared" si="207"/>
        <v>6.2666666666666565E-2</v>
      </c>
      <c r="Z279" s="317">
        <f t="shared" si="207"/>
        <v>6.2333333333333234E-2</v>
      </c>
      <c r="AA279" s="317">
        <f t="shared" si="207"/>
        <v>6.1999999999999902E-2</v>
      </c>
      <c r="AB279" s="317">
        <f t="shared" si="207"/>
        <v>6.1666666666666571E-2</v>
      </c>
      <c r="AC279" s="317">
        <f t="shared" si="207"/>
        <v>6.133333333333324E-2</v>
      </c>
      <c r="AD279" s="317">
        <f t="shared" si="207"/>
        <v>6.0999999999999908E-2</v>
      </c>
      <c r="AE279" s="317">
        <f t="shared" si="207"/>
        <v>6.0666666666666577E-2</v>
      </c>
      <c r="AF279" s="317">
        <f t="shared" si="207"/>
        <v>6.0333333333333246E-2</v>
      </c>
      <c r="AG279" s="296">
        <v>0.06</v>
      </c>
      <c r="AI279" s="296"/>
      <c r="AJ279" s="211" t="s">
        <v>1363</v>
      </c>
    </row>
    <row r="280" spans="1:36" s="68" customFormat="1" outlineLevel="1" x14ac:dyDescent="0.2">
      <c r="A280" s="347" t="s">
        <v>1386</v>
      </c>
      <c r="B280" s="312" t="s">
        <v>462</v>
      </c>
      <c r="C280" s="314">
        <v>0.05</v>
      </c>
      <c r="D280" s="340">
        <f t="shared" ref="D280:AF280" si="208">-($C280-$AG280)/30+C280</f>
        <v>4.9333333333333333E-2</v>
      </c>
      <c r="E280" s="340">
        <f t="shared" si="208"/>
        <v>4.8666666666666664E-2</v>
      </c>
      <c r="F280" s="340">
        <f t="shared" si="208"/>
        <v>4.7999999999999994E-2</v>
      </c>
      <c r="G280" s="340">
        <f t="shared" si="208"/>
        <v>4.7333333333333324E-2</v>
      </c>
      <c r="H280" s="340">
        <f t="shared" si="208"/>
        <v>4.6666666666666655E-2</v>
      </c>
      <c r="I280" s="340">
        <f t="shared" si="208"/>
        <v>4.5999999999999985E-2</v>
      </c>
      <c r="J280" s="340">
        <f t="shared" si="208"/>
        <v>4.5333333333333316E-2</v>
      </c>
      <c r="K280" s="340">
        <f t="shared" si="208"/>
        <v>4.4666666666666646E-2</v>
      </c>
      <c r="L280" s="340">
        <f t="shared" si="208"/>
        <v>4.3999999999999977E-2</v>
      </c>
      <c r="M280" s="340">
        <f t="shared" si="208"/>
        <v>4.3333333333333307E-2</v>
      </c>
      <c r="N280" s="340">
        <f t="shared" si="208"/>
        <v>4.2666666666666637E-2</v>
      </c>
      <c r="O280" s="340">
        <f t="shared" si="208"/>
        <v>4.1999999999999968E-2</v>
      </c>
      <c r="P280" s="340">
        <f t="shared" si="208"/>
        <v>4.1333333333333298E-2</v>
      </c>
      <c r="Q280" s="340">
        <f t="shared" si="208"/>
        <v>4.0666666666666629E-2</v>
      </c>
      <c r="R280" s="340">
        <f t="shared" si="208"/>
        <v>3.9999999999999959E-2</v>
      </c>
      <c r="S280" s="340">
        <f t="shared" si="208"/>
        <v>3.933333333333329E-2</v>
      </c>
      <c r="T280" s="340">
        <f t="shared" si="208"/>
        <v>3.866666666666662E-2</v>
      </c>
      <c r="U280" s="340">
        <f t="shared" si="208"/>
        <v>3.799999999999995E-2</v>
      </c>
      <c r="V280" s="340">
        <f t="shared" si="208"/>
        <v>3.7333333333333281E-2</v>
      </c>
      <c r="W280" s="340">
        <f t="shared" si="208"/>
        <v>3.6666666666666611E-2</v>
      </c>
      <c r="X280" s="340">
        <f t="shared" si="208"/>
        <v>3.5999999999999942E-2</v>
      </c>
      <c r="Y280" s="340">
        <f t="shared" si="208"/>
        <v>3.5333333333333272E-2</v>
      </c>
      <c r="Z280" s="340">
        <f t="shared" si="208"/>
        <v>3.4666666666666603E-2</v>
      </c>
      <c r="AA280" s="340">
        <f t="shared" si="208"/>
        <v>3.3999999999999933E-2</v>
      </c>
      <c r="AB280" s="340">
        <f t="shared" si="208"/>
        <v>3.3333333333333263E-2</v>
      </c>
      <c r="AC280" s="340">
        <f t="shared" si="208"/>
        <v>3.2666666666666594E-2</v>
      </c>
      <c r="AD280" s="340">
        <f t="shared" si="208"/>
        <v>3.1999999999999924E-2</v>
      </c>
      <c r="AE280" s="340">
        <f t="shared" si="208"/>
        <v>3.1333333333333255E-2</v>
      </c>
      <c r="AF280" s="340">
        <f t="shared" si="208"/>
        <v>3.0666666666666589E-2</v>
      </c>
      <c r="AG280" s="314">
        <v>0.03</v>
      </c>
      <c r="AI280" s="314"/>
      <c r="AJ280" s="341" t="s">
        <v>1363</v>
      </c>
    </row>
    <row r="281" spans="1:36" s="58" customFormat="1" outlineLevel="1" x14ac:dyDescent="0.2">
      <c r="A281" s="58" t="s">
        <v>1361</v>
      </c>
      <c r="B281" s="303"/>
      <c r="C281" s="304">
        <f>C32</f>
        <v>12.673879407338728</v>
      </c>
      <c r="D281" s="304">
        <f t="shared" ref="D281:AG281" si="209">D32</f>
        <v>13.098726851099091</v>
      </c>
      <c r="E281" s="304">
        <f t="shared" si="209"/>
        <v>13.502427023619299</v>
      </c>
      <c r="F281" s="304">
        <f t="shared" si="209"/>
        <v>13.882209074846781</v>
      </c>
      <c r="G281" s="304">
        <f t="shared" si="209"/>
        <v>14.235413036033478</v>
      </c>
      <c r="H281" s="304">
        <f t="shared" si="209"/>
        <v>14.559520852589715</v>
      </c>
      <c r="I281" s="304">
        <f t="shared" si="209"/>
        <v>14.884229245454527</v>
      </c>
      <c r="J281" s="304">
        <f t="shared" si="209"/>
        <v>15.209244221270575</v>
      </c>
      <c r="K281" s="304">
        <f t="shared" si="209"/>
        <v>15.534264322775988</v>
      </c>
      <c r="L281" s="304">
        <f t="shared" si="209"/>
        <v>15.858981020841343</v>
      </c>
      <c r="M281" s="304">
        <f t="shared" si="209"/>
        <v>16.183079133002487</v>
      </c>
      <c r="N281" s="304">
        <f t="shared" si="209"/>
        <v>16.482620297976691</v>
      </c>
      <c r="O281" s="304">
        <f t="shared" si="209"/>
        <v>16.755943206611072</v>
      </c>
      <c r="P281" s="304">
        <f t="shared" si="209"/>
        <v>17.001503890847083</v>
      </c>
      <c r="Q281" s="304">
        <f t="shared" si="209"/>
        <v>17.217890073688782</v>
      </c>
      <c r="R281" s="304">
        <f t="shared" si="209"/>
        <v>17.403834548144012</v>
      </c>
      <c r="S281" s="304">
        <f t="shared" si="209"/>
        <v>17.589861538809647</v>
      </c>
      <c r="T281" s="304">
        <f t="shared" si="209"/>
        <v>17.775929599333011</v>
      </c>
      <c r="U281" s="304">
        <f t="shared" si="209"/>
        <v>17.961996785777828</v>
      </c>
      <c r="V281" s="304">
        <f t="shared" si="209"/>
        <v>18.148020669856798</v>
      </c>
      <c r="W281" s="304">
        <f t="shared" si="209"/>
        <v>18.33395835260367</v>
      </c>
      <c r="X281" s="304">
        <f t="shared" si="209"/>
        <v>18.519970462814392</v>
      </c>
      <c r="Y281" s="304">
        <f t="shared" si="209"/>
        <v>18.706019655608895</v>
      </c>
      <c r="Z281" s="304">
        <f t="shared" si="209"/>
        <v>18.892068164071532</v>
      </c>
      <c r="AA281" s="304">
        <f t="shared" si="209"/>
        <v>19.078077810042121</v>
      </c>
      <c r="AB281" s="304">
        <f t="shared" si="209"/>
        <v>19.264010015242892</v>
      </c>
      <c r="AC281" s="304">
        <f t="shared" si="209"/>
        <v>19.450009696000929</v>
      </c>
      <c r="AD281" s="304">
        <f t="shared" si="209"/>
        <v>19.636043025222392</v>
      </c>
      <c r="AE281" s="304">
        <f t="shared" si="209"/>
        <v>19.822075814687434</v>
      </c>
      <c r="AF281" s="304">
        <f t="shared" si="209"/>
        <v>20.008073523938176</v>
      </c>
      <c r="AG281" s="304">
        <f t="shared" si="209"/>
        <v>20.194001269427055</v>
      </c>
      <c r="AI281" s="305"/>
      <c r="AJ281" s="306"/>
    </row>
    <row r="282" spans="1:36" s="58" customFormat="1" outlineLevel="1" x14ac:dyDescent="0.2">
      <c r="A282" s="307" t="s">
        <v>3</v>
      </c>
      <c r="B282" s="308" t="s">
        <v>704</v>
      </c>
      <c r="C282" s="309">
        <v>0</v>
      </c>
      <c r="D282" s="309">
        <v>0</v>
      </c>
      <c r="E282" s="309">
        <v>0</v>
      </c>
      <c r="F282" s="309">
        <v>0</v>
      </c>
      <c r="G282" s="309">
        <v>0</v>
      </c>
      <c r="H282" s="309">
        <v>0</v>
      </c>
      <c r="I282" s="309">
        <v>0</v>
      </c>
      <c r="J282" s="309">
        <v>0</v>
      </c>
      <c r="K282" s="309">
        <v>0</v>
      </c>
      <c r="L282" s="309">
        <v>0</v>
      </c>
      <c r="M282" s="309">
        <v>0</v>
      </c>
      <c r="N282" s="309">
        <v>0</v>
      </c>
      <c r="O282" s="309">
        <v>0</v>
      </c>
      <c r="P282" s="309">
        <v>0</v>
      </c>
      <c r="Q282" s="309">
        <v>0</v>
      </c>
      <c r="R282" s="309">
        <v>0</v>
      </c>
      <c r="S282" s="309">
        <v>0</v>
      </c>
      <c r="T282" s="309">
        <v>0</v>
      </c>
      <c r="U282" s="309">
        <v>0</v>
      </c>
      <c r="V282" s="309">
        <v>0</v>
      </c>
      <c r="W282" s="309">
        <v>0</v>
      </c>
      <c r="X282" s="309">
        <v>0</v>
      </c>
      <c r="Y282" s="309">
        <v>0</v>
      </c>
      <c r="Z282" s="309">
        <v>0</v>
      </c>
      <c r="AA282" s="309">
        <v>0</v>
      </c>
      <c r="AB282" s="309">
        <v>0</v>
      </c>
      <c r="AC282" s="309">
        <v>0</v>
      </c>
      <c r="AD282" s="309">
        <v>0</v>
      </c>
      <c r="AE282" s="309">
        <v>0</v>
      </c>
      <c r="AF282" s="309">
        <v>0</v>
      </c>
      <c r="AG282" s="309">
        <v>0</v>
      </c>
      <c r="AI282" s="305"/>
      <c r="AJ282" s="306"/>
    </row>
    <row r="283" spans="1:36" outlineLevel="1" x14ac:dyDescent="0.2">
      <c r="A283" s="310" t="s">
        <v>51</v>
      </c>
      <c r="B283" s="302" t="s">
        <v>704</v>
      </c>
      <c r="C283" s="249">
        <f t="shared" ref="C283:AG283" si="210">C250</f>
        <v>1.1899030376946831</v>
      </c>
      <c r="D283" s="249">
        <f t="shared" si="210"/>
        <v>1.2097744184241843</v>
      </c>
      <c r="E283" s="249">
        <f t="shared" si="210"/>
        <v>1.2299776512118681</v>
      </c>
      <c r="F283" s="249">
        <f t="shared" si="210"/>
        <v>1.2505182779871062</v>
      </c>
      <c r="G283" s="249">
        <f t="shared" si="210"/>
        <v>1.2714019332294908</v>
      </c>
      <c r="H283" s="249">
        <f t="shared" si="210"/>
        <v>1.2926343455144231</v>
      </c>
      <c r="I283" s="249">
        <f t="shared" si="210"/>
        <v>1.3142213390845139</v>
      </c>
      <c r="J283" s="249">
        <f t="shared" si="210"/>
        <v>1.3361688354472252</v>
      </c>
      <c r="K283" s="249">
        <f t="shared" si="210"/>
        <v>1.3584828549991939</v>
      </c>
      <c r="L283" s="249">
        <f t="shared" si="210"/>
        <v>1.3811695186776802</v>
      </c>
      <c r="M283" s="249">
        <f t="shared" si="210"/>
        <v>1.4042350496395974</v>
      </c>
      <c r="N283" s="249">
        <f t="shared" si="210"/>
        <v>1.4276857749685787</v>
      </c>
      <c r="O283" s="249">
        <f t="shared" si="210"/>
        <v>1.4515281274105538</v>
      </c>
      <c r="P283" s="249">
        <f t="shared" si="210"/>
        <v>1.47576864713831</v>
      </c>
      <c r="Q283" s="249">
        <f t="shared" si="210"/>
        <v>1.5004139835455197</v>
      </c>
      <c r="R283" s="249">
        <f t="shared" si="210"/>
        <v>1.5254708970707298</v>
      </c>
      <c r="S283" s="249">
        <f t="shared" si="210"/>
        <v>1.550946261051811</v>
      </c>
      <c r="T283" s="249">
        <f t="shared" si="210"/>
        <v>1.5768470636113761</v>
      </c>
      <c r="U283" s="249">
        <f t="shared" si="210"/>
        <v>1.6031804095736859</v>
      </c>
      <c r="V283" s="249">
        <f t="shared" si="210"/>
        <v>1.6299535224135664</v>
      </c>
      <c r="W283" s="249">
        <f t="shared" si="210"/>
        <v>1.6571737462378728</v>
      </c>
      <c r="X283" s="249">
        <f t="shared" si="210"/>
        <v>1.6848485478000452</v>
      </c>
      <c r="Y283" s="249">
        <f t="shared" si="210"/>
        <v>1.7129855185483058</v>
      </c>
      <c r="Z283" s="249">
        <f t="shared" si="210"/>
        <v>1.7415923767080623</v>
      </c>
      <c r="AA283" s="249">
        <f t="shared" si="210"/>
        <v>1.7706769693990869</v>
      </c>
      <c r="AB283" s="249">
        <f t="shared" si="210"/>
        <v>1.8002472747880516</v>
      </c>
      <c r="AC283" s="249">
        <f t="shared" si="210"/>
        <v>1.8303114042770119</v>
      </c>
      <c r="AD283" s="249">
        <f t="shared" si="210"/>
        <v>1.8608776047284379</v>
      </c>
      <c r="AE283" s="249">
        <f t="shared" si="210"/>
        <v>1.8919542607274027</v>
      </c>
      <c r="AF283" s="249">
        <f t="shared" si="210"/>
        <v>1.9235498968815501</v>
      </c>
      <c r="AG283" s="249">
        <f t="shared" si="210"/>
        <v>1.9556731801594718</v>
      </c>
      <c r="AI283" s="296"/>
    </row>
    <row r="284" spans="1:36" s="68" customFormat="1" outlineLevel="1" x14ac:dyDescent="0.2">
      <c r="A284" s="311" t="s">
        <v>1387</v>
      </c>
      <c r="B284" s="312" t="s">
        <v>704</v>
      </c>
      <c r="C284" s="313">
        <f>C281-C282-C283</f>
        <v>11.483976369644044</v>
      </c>
      <c r="D284" s="313">
        <f t="shared" ref="D284:AG284" si="211">D281-D282-D283</f>
        <v>11.888952432674907</v>
      </c>
      <c r="E284" s="313">
        <f t="shared" si="211"/>
        <v>12.272449372407431</v>
      </c>
      <c r="F284" s="313">
        <f t="shared" si="211"/>
        <v>12.631690796859674</v>
      </c>
      <c r="G284" s="313">
        <f t="shared" si="211"/>
        <v>12.964011102803987</v>
      </c>
      <c r="H284" s="313">
        <f t="shared" si="211"/>
        <v>13.266886507075291</v>
      </c>
      <c r="I284" s="313">
        <f t="shared" si="211"/>
        <v>13.570007906370014</v>
      </c>
      <c r="J284" s="313">
        <f t="shared" si="211"/>
        <v>13.87307538582335</v>
      </c>
      <c r="K284" s="313">
        <f t="shared" si="211"/>
        <v>14.175781467776794</v>
      </c>
      <c r="L284" s="313">
        <f t="shared" si="211"/>
        <v>14.477811502163663</v>
      </c>
      <c r="M284" s="313">
        <f t="shared" si="211"/>
        <v>14.778844083362889</v>
      </c>
      <c r="N284" s="313">
        <f t="shared" si="211"/>
        <v>15.054934523008113</v>
      </c>
      <c r="O284" s="313">
        <f t="shared" si="211"/>
        <v>15.304415079200517</v>
      </c>
      <c r="P284" s="313">
        <f t="shared" si="211"/>
        <v>15.525735243708773</v>
      </c>
      <c r="Q284" s="313">
        <f t="shared" si="211"/>
        <v>15.717476090143261</v>
      </c>
      <c r="R284" s="313">
        <f t="shared" si="211"/>
        <v>15.878363651073283</v>
      </c>
      <c r="S284" s="313">
        <f t="shared" si="211"/>
        <v>16.038915277757837</v>
      </c>
      <c r="T284" s="313">
        <f t="shared" si="211"/>
        <v>16.199082535721637</v>
      </c>
      <c r="U284" s="313">
        <f t="shared" si="211"/>
        <v>16.358816376204143</v>
      </c>
      <c r="V284" s="313">
        <f t="shared" si="211"/>
        <v>16.518067147443233</v>
      </c>
      <c r="W284" s="313">
        <f t="shared" si="211"/>
        <v>16.676784606365796</v>
      </c>
      <c r="X284" s="313">
        <f t="shared" si="211"/>
        <v>16.835121915014348</v>
      </c>
      <c r="Y284" s="313">
        <f t="shared" si="211"/>
        <v>16.99303413706059</v>
      </c>
      <c r="Z284" s="313">
        <f t="shared" si="211"/>
        <v>17.150475787363469</v>
      </c>
      <c r="AA284" s="313">
        <f t="shared" si="211"/>
        <v>17.307400840643034</v>
      </c>
      <c r="AB284" s="313">
        <f t="shared" si="211"/>
        <v>17.46376274045484</v>
      </c>
      <c r="AC284" s="313">
        <f t="shared" si="211"/>
        <v>17.619698291723918</v>
      </c>
      <c r="AD284" s="313">
        <f t="shared" si="211"/>
        <v>17.775165420493956</v>
      </c>
      <c r="AE284" s="313">
        <f t="shared" si="211"/>
        <v>17.930121553960031</v>
      </c>
      <c r="AF284" s="313">
        <f t="shared" si="211"/>
        <v>18.084523627056626</v>
      </c>
      <c r="AG284" s="313">
        <f t="shared" si="211"/>
        <v>18.238328089267583</v>
      </c>
      <c r="AI284" s="314"/>
      <c r="AJ284" s="315"/>
    </row>
    <row r="285" spans="1:36" outlineLevel="1" x14ac:dyDescent="0.2">
      <c r="A285" s="112" t="s">
        <v>90</v>
      </c>
      <c r="B285" s="302" t="s">
        <v>704</v>
      </c>
      <c r="C285" s="230">
        <f>C254*C$284</f>
        <v>1.8374362191430471</v>
      </c>
      <c r="D285" s="230">
        <f t="shared" ref="D285:AG285" si="212">D254*D$284</f>
        <v>1.9268028909221799</v>
      </c>
      <c r="E285" s="230">
        <f t="shared" si="212"/>
        <v>2.0143180236578062</v>
      </c>
      <c r="F285" s="230">
        <f t="shared" si="212"/>
        <v>2.0993870104380776</v>
      </c>
      <c r="G285" s="230">
        <f t="shared" si="212"/>
        <v>2.181410934898484</v>
      </c>
      <c r="H285" s="230">
        <f t="shared" si="212"/>
        <v>2.2597930017051575</v>
      </c>
      <c r="I285" s="230">
        <f t="shared" si="212"/>
        <v>2.33946936305819</v>
      </c>
      <c r="J285" s="230">
        <f t="shared" si="212"/>
        <v>2.4203892189799801</v>
      </c>
      <c r="K285" s="230">
        <f t="shared" si="212"/>
        <v>2.5024979551115294</v>
      </c>
      <c r="L285" s="230">
        <f t="shared" si="212"/>
        <v>2.5857371342864295</v>
      </c>
      <c r="M285" s="230">
        <f t="shared" si="212"/>
        <v>2.6700444977275613</v>
      </c>
      <c r="N285" s="230">
        <f t="shared" si="212"/>
        <v>2.7510383685043482</v>
      </c>
      <c r="O285" s="230">
        <f t="shared" si="212"/>
        <v>2.8282559066362545</v>
      </c>
      <c r="P285" s="230">
        <f t="shared" si="212"/>
        <v>2.9012423925410449</v>
      </c>
      <c r="Q285" s="230">
        <f t="shared" si="212"/>
        <v>2.9695551492977321</v>
      </c>
      <c r="R285" s="230">
        <f t="shared" si="212"/>
        <v>3.0327674573549959</v>
      </c>
      <c r="S285" s="230">
        <f t="shared" si="212"/>
        <v>3.0965799096257784</v>
      </c>
      <c r="T285" s="230">
        <f t="shared" si="212"/>
        <v>3.1609809721371471</v>
      </c>
      <c r="U285" s="230">
        <f t="shared" si="212"/>
        <v>3.2259585893874552</v>
      </c>
      <c r="V285" s="230">
        <f t="shared" si="212"/>
        <v>3.2915001802471866</v>
      </c>
      <c r="W285" s="230">
        <f t="shared" si="212"/>
        <v>3.3575926340816453</v>
      </c>
      <c r="X285" s="230">
        <f t="shared" si="212"/>
        <v>3.4242637975139165</v>
      </c>
      <c r="Y285" s="230">
        <f t="shared" si="212"/>
        <v>3.4915020806947137</v>
      </c>
      <c r="Z285" s="230">
        <f t="shared" si="212"/>
        <v>3.559295408404163</v>
      </c>
      <c r="AA285" s="230">
        <f t="shared" si="212"/>
        <v>3.6276312161987776</v>
      </c>
      <c r="AB285" s="230">
        <f t="shared" si="212"/>
        <v>3.6964964467296055</v>
      </c>
      <c r="AC285" s="230">
        <f t="shared" si="212"/>
        <v>3.7659168482177896</v>
      </c>
      <c r="AD285" s="230">
        <f t="shared" si="212"/>
        <v>3.835880697742593</v>
      </c>
      <c r="AE285" s="230">
        <f t="shared" si="212"/>
        <v>3.9063758158894228</v>
      </c>
      <c r="AF285" s="230">
        <f t="shared" si="212"/>
        <v>3.9773895630439844</v>
      </c>
      <c r="AG285" s="230">
        <f t="shared" si="212"/>
        <v>4.0489088358174037</v>
      </c>
      <c r="AI285" s="214"/>
    </row>
    <row r="286" spans="1:36" outlineLevel="1" x14ac:dyDescent="0.2">
      <c r="A286" s="112" t="s">
        <v>33</v>
      </c>
      <c r="B286" s="302" t="s">
        <v>704</v>
      </c>
      <c r="C286" s="230">
        <f t="shared" ref="C286:AG286" si="213">C255*C$284</f>
        <v>4.2490712567682962</v>
      </c>
      <c r="D286" s="230">
        <f t="shared" si="213"/>
        <v>4.3121230473311893</v>
      </c>
      <c r="E286" s="230">
        <f t="shared" si="213"/>
        <v>4.3616285069536014</v>
      </c>
      <c r="F286" s="230">
        <f t="shared" si="213"/>
        <v>4.3970915663868535</v>
      </c>
      <c r="G286" s="230">
        <f t="shared" si="213"/>
        <v>4.4181349838355999</v>
      </c>
      <c r="H286" s="230">
        <f t="shared" si="213"/>
        <v>4.4245066501096115</v>
      </c>
      <c r="I286" s="230">
        <f t="shared" si="213"/>
        <v>4.4265365790579008</v>
      </c>
      <c r="J286" s="230">
        <f t="shared" si="213"/>
        <v>4.424123740539069</v>
      </c>
      <c r="K286" s="230">
        <f t="shared" si="213"/>
        <v>4.4171735053592522</v>
      </c>
      <c r="L286" s="230">
        <f t="shared" si="213"/>
        <v>4.4055980401084058</v>
      </c>
      <c r="M286" s="230">
        <f t="shared" si="213"/>
        <v>4.3893166927587819</v>
      </c>
      <c r="N286" s="230">
        <f t="shared" si="213"/>
        <v>4.3614145313154546</v>
      </c>
      <c r="O286" s="230">
        <f t="shared" si="213"/>
        <v>4.3219668183662305</v>
      </c>
      <c r="P286" s="230">
        <f t="shared" si="213"/>
        <v>4.2711297655442886</v>
      </c>
      <c r="Q286" s="230">
        <f t="shared" si="213"/>
        <v>4.2091400969403709</v>
      </c>
      <c r="R286" s="230">
        <f t="shared" si="213"/>
        <v>4.1363137311045968</v>
      </c>
      <c r="S286" s="230">
        <f t="shared" si="213"/>
        <v>4.0610533483282909</v>
      </c>
      <c r="T286" s="230">
        <f t="shared" si="213"/>
        <v>3.9833543955339574</v>
      </c>
      <c r="U286" s="230">
        <f t="shared" si="213"/>
        <v>3.9032135873623153</v>
      </c>
      <c r="V286" s="230">
        <f t="shared" si="213"/>
        <v>3.8206289312036268</v>
      </c>
      <c r="W286" s="230">
        <f t="shared" si="213"/>
        <v>3.7355997518259452</v>
      </c>
      <c r="X286" s="230">
        <f t="shared" si="213"/>
        <v>3.6481709189836162</v>
      </c>
      <c r="Y286" s="230">
        <f t="shared" si="213"/>
        <v>3.5583413483004946</v>
      </c>
      <c r="Z286" s="230">
        <f t="shared" si="213"/>
        <v>3.4661111566261642</v>
      </c>
      <c r="AA286" s="230">
        <f t="shared" si="213"/>
        <v>3.3714816837572701</v>
      </c>
      <c r="AB286" s="230">
        <f t="shared" si="213"/>
        <v>3.2744555138352895</v>
      </c>
      <c r="AC286" s="230">
        <f t="shared" si="213"/>
        <v>3.1750696321686571</v>
      </c>
      <c r="AD286" s="230">
        <f t="shared" si="213"/>
        <v>3.0733261012034121</v>
      </c>
      <c r="AE286" s="230">
        <f t="shared" si="213"/>
        <v>2.9692281293357885</v>
      </c>
      <c r="AF286" s="230">
        <f t="shared" si="213"/>
        <v>2.8627800901630716</v>
      </c>
      <c r="AG286" s="230">
        <f t="shared" si="213"/>
        <v>2.7539875414794048</v>
      </c>
      <c r="AI286" s="214"/>
    </row>
    <row r="287" spans="1:36" outlineLevel="1" x14ac:dyDescent="0.2">
      <c r="A287" s="112" t="s">
        <v>451</v>
      </c>
      <c r="B287" s="302" t="s">
        <v>704</v>
      </c>
      <c r="C287" s="230">
        <f t="shared" ref="C287:AG287" si="214">C256*C$284</f>
        <v>0.91871810957152356</v>
      </c>
      <c r="D287" s="230">
        <f t="shared" si="214"/>
        <v>0.95230508985726015</v>
      </c>
      <c r="E287" s="230">
        <f t="shared" si="214"/>
        <v>0.98425043966707604</v>
      </c>
      <c r="F287" s="230">
        <f t="shared" si="214"/>
        <v>1.014324770987832</v>
      </c>
      <c r="G287" s="230">
        <f t="shared" si="214"/>
        <v>1.0423064926654406</v>
      </c>
      <c r="H287" s="230">
        <f t="shared" si="214"/>
        <v>1.0679843638195612</v>
      </c>
      <c r="I287" s="230">
        <f t="shared" si="214"/>
        <v>1.0937426372534234</v>
      </c>
      <c r="J287" s="230">
        <f t="shared" si="214"/>
        <v>1.1195571836359446</v>
      </c>
      <c r="K287" s="230">
        <f t="shared" si="214"/>
        <v>1.1454031425963653</v>
      </c>
      <c r="L287" s="230">
        <f t="shared" si="214"/>
        <v>1.1712549505250407</v>
      </c>
      <c r="M287" s="230">
        <f t="shared" si="214"/>
        <v>1.1970863707523944</v>
      </c>
      <c r="N287" s="230">
        <f t="shared" si="214"/>
        <v>1.2209551898159585</v>
      </c>
      <c r="O287" s="230">
        <f t="shared" si="214"/>
        <v>1.2427185044310824</v>
      </c>
      <c r="P287" s="230">
        <f t="shared" si="214"/>
        <v>1.2622422753135238</v>
      </c>
      <c r="Q287" s="230">
        <f t="shared" si="214"/>
        <v>1.2794025537376621</v>
      </c>
      <c r="R287" s="230">
        <f t="shared" si="214"/>
        <v>1.2940866375624733</v>
      </c>
      <c r="S287" s="230">
        <f t="shared" si="214"/>
        <v>1.3087754866650403</v>
      </c>
      <c r="T287" s="230">
        <f t="shared" si="214"/>
        <v>1.3234650431684585</v>
      </c>
      <c r="U287" s="230">
        <f t="shared" si="214"/>
        <v>1.3381511795734997</v>
      </c>
      <c r="V287" s="230">
        <f t="shared" si="214"/>
        <v>1.3528296993756017</v>
      </c>
      <c r="W287" s="230">
        <f t="shared" si="214"/>
        <v>1.3674963377219962</v>
      </c>
      <c r="X287" s="230">
        <f t="shared" si="214"/>
        <v>1.3821635092226789</v>
      </c>
      <c r="Y287" s="230">
        <f t="shared" si="214"/>
        <v>1.3968274060663817</v>
      </c>
      <c r="Z287" s="230">
        <f t="shared" si="214"/>
        <v>1.4114841573000145</v>
      </c>
      <c r="AA287" s="230">
        <f t="shared" si="214"/>
        <v>1.4261298292689872</v>
      </c>
      <c r="AB287" s="230">
        <f t="shared" si="214"/>
        <v>1.4407604260875255</v>
      </c>
      <c r="AC287" s="230">
        <f t="shared" si="214"/>
        <v>1.455387078896397</v>
      </c>
      <c r="AD287" s="230">
        <f t="shared" si="214"/>
        <v>1.4700061802748516</v>
      </c>
      <c r="AE287" s="230">
        <f t="shared" si="214"/>
        <v>1.484614064667892</v>
      </c>
      <c r="AF287" s="230">
        <f t="shared" si="214"/>
        <v>1.4992070086829958</v>
      </c>
      <c r="AG287" s="230">
        <f t="shared" si="214"/>
        <v>1.5137812314092094</v>
      </c>
      <c r="AI287" s="214"/>
    </row>
    <row r="288" spans="1:36" outlineLevel="1" x14ac:dyDescent="0.2">
      <c r="A288" s="112" t="s">
        <v>452</v>
      </c>
      <c r="B288" s="302" t="s">
        <v>704</v>
      </c>
      <c r="C288" s="230">
        <f t="shared" ref="C288:AG288" si="215">C257*C$284</f>
        <v>3.1006736198038918</v>
      </c>
      <c r="D288" s="230">
        <f t="shared" si="215"/>
        <v>3.2472692077779399</v>
      </c>
      <c r="E288" s="230">
        <f t="shared" si="215"/>
        <v>3.390468679950426</v>
      </c>
      <c r="F288" s="230">
        <f t="shared" si="215"/>
        <v>3.5292944086425928</v>
      </c>
      <c r="G288" s="230">
        <f t="shared" si="215"/>
        <v>3.6627652702455529</v>
      </c>
      <c r="H288" s="230">
        <f t="shared" si="215"/>
        <v>3.7899072455211744</v>
      </c>
      <c r="I288" s="230">
        <f t="shared" si="215"/>
        <v>3.9190182833596592</v>
      </c>
      <c r="J288" s="230">
        <f t="shared" si="215"/>
        <v>4.0500131409680291</v>
      </c>
      <c r="K288" s="230">
        <f t="shared" si="215"/>
        <v>4.1828005850920045</v>
      </c>
      <c r="L288" s="230">
        <f t="shared" si="215"/>
        <v>4.317283389945203</v>
      </c>
      <c r="M288" s="230">
        <f t="shared" si="215"/>
        <v>4.4533583504533487</v>
      </c>
      <c r="N288" s="230">
        <f t="shared" si="215"/>
        <v>4.5837257311052015</v>
      </c>
      <c r="O288" s="230">
        <f t="shared" si="215"/>
        <v>4.707638078362077</v>
      </c>
      <c r="P288" s="230">
        <f t="shared" si="215"/>
        <v>4.824363464728437</v>
      </c>
      <c r="Q288" s="230">
        <f t="shared" si="215"/>
        <v>4.9331918288262955</v>
      </c>
      <c r="R288" s="230">
        <f t="shared" si="215"/>
        <v>5.033441277390228</v>
      </c>
      <c r="S288" s="230">
        <f t="shared" si="215"/>
        <v>5.1345914109195396</v>
      </c>
      <c r="T288" s="230">
        <f t="shared" si="215"/>
        <v>5.2366234143809445</v>
      </c>
      <c r="U288" s="230">
        <f t="shared" si="215"/>
        <v>5.3395176651930285</v>
      </c>
      <c r="V288" s="230">
        <f t="shared" si="215"/>
        <v>5.4432537273207897</v>
      </c>
      <c r="W288" s="230">
        <f t="shared" si="215"/>
        <v>5.5478103457176848</v>
      </c>
      <c r="X288" s="230">
        <f t="shared" si="215"/>
        <v>5.6532339390618143</v>
      </c>
      <c r="Y288" s="230">
        <f t="shared" si="215"/>
        <v>5.7595057035210653</v>
      </c>
      <c r="Z288" s="230">
        <f t="shared" si="215"/>
        <v>5.866606084330793</v>
      </c>
      <c r="AA288" s="230">
        <f t="shared" si="215"/>
        <v>5.9745147701899706</v>
      </c>
      <c r="AB288" s="230">
        <f t="shared" si="215"/>
        <v>6.0832106879250976</v>
      </c>
      <c r="AC288" s="230">
        <f t="shared" si="215"/>
        <v>6.1927366262645611</v>
      </c>
      <c r="AD288" s="230">
        <f t="shared" si="215"/>
        <v>6.3030736581071514</v>
      </c>
      <c r="AE288" s="230">
        <f t="shared" si="215"/>
        <v>6.4142021505699631</v>
      </c>
      <c r="AF288" s="230">
        <f t="shared" si="215"/>
        <v>6.5261017595504951</v>
      </c>
      <c r="AG288" s="230">
        <f t="shared" si="215"/>
        <v>6.6387514244933996</v>
      </c>
      <c r="AI288" s="214"/>
    </row>
    <row r="289" spans="1:36" outlineLevel="1" x14ac:dyDescent="0.2">
      <c r="A289" s="112" t="s">
        <v>1364</v>
      </c>
      <c r="B289" s="302" t="s">
        <v>704</v>
      </c>
      <c r="C289" s="230">
        <f t="shared" ref="C289:AG289" si="216">C258*C$284</f>
        <v>0.80387834587508311</v>
      </c>
      <c r="D289" s="230">
        <f t="shared" si="216"/>
        <v>0.84728601003529846</v>
      </c>
      <c r="E289" s="230">
        <f t="shared" si="216"/>
        <v>0.89016166114528572</v>
      </c>
      <c r="F289" s="230">
        <f t="shared" si="216"/>
        <v>0.93221878080824405</v>
      </c>
      <c r="G289" s="230">
        <f t="shared" si="216"/>
        <v>0.97316510011715263</v>
      </c>
      <c r="H289" s="230">
        <f t="shared" si="216"/>
        <v>1.0127056700400807</v>
      </c>
      <c r="I289" s="230">
        <f t="shared" si="216"/>
        <v>1.0530326135343131</v>
      </c>
      <c r="J289" s="230">
        <f t="shared" si="216"/>
        <v>1.0941232120952682</v>
      </c>
      <c r="K289" s="230">
        <f t="shared" si="216"/>
        <v>1.135952621617847</v>
      </c>
      <c r="L289" s="230">
        <f t="shared" si="216"/>
        <v>1.1784938562761222</v>
      </c>
      <c r="M289" s="230">
        <f t="shared" si="216"/>
        <v>1.2217177775579988</v>
      </c>
      <c r="N289" s="230">
        <f t="shared" si="216"/>
        <v>1.2636108376311477</v>
      </c>
      <c r="O289" s="230">
        <f t="shared" si="216"/>
        <v>1.303936164747884</v>
      </c>
      <c r="P289" s="230">
        <f t="shared" si="216"/>
        <v>1.3424585740726853</v>
      </c>
      <c r="Q289" s="230">
        <f t="shared" si="216"/>
        <v>1.3789465689752354</v>
      </c>
      <c r="R289" s="230">
        <f t="shared" si="216"/>
        <v>1.4131743649455222</v>
      </c>
      <c r="S289" s="230">
        <f t="shared" si="216"/>
        <v>1.4477794190722741</v>
      </c>
      <c r="T289" s="230">
        <f t="shared" si="216"/>
        <v>1.4827560214363871</v>
      </c>
      <c r="U289" s="230">
        <f t="shared" si="216"/>
        <v>1.5180981597117442</v>
      </c>
      <c r="V289" s="230">
        <f t="shared" si="216"/>
        <v>1.55379951633616</v>
      </c>
      <c r="W289" s="230">
        <f t="shared" si="216"/>
        <v>1.5898534658068724</v>
      </c>
      <c r="X289" s="230">
        <f t="shared" si="216"/>
        <v>1.6262727769903857</v>
      </c>
      <c r="Y289" s="230">
        <f t="shared" si="216"/>
        <v>1.6630516075469963</v>
      </c>
      <c r="Z289" s="230">
        <f t="shared" si="216"/>
        <v>1.7001838330539651</v>
      </c>
      <c r="AA289" s="230">
        <f t="shared" si="216"/>
        <v>1.7376630444005603</v>
      </c>
      <c r="AB289" s="230">
        <f t="shared" si="216"/>
        <v>1.7754825452795753</v>
      </c>
      <c r="AC289" s="230">
        <f t="shared" si="216"/>
        <v>1.8136542774947817</v>
      </c>
      <c r="AD289" s="230">
        <f t="shared" si="216"/>
        <v>1.8521722368154698</v>
      </c>
      <c r="AE289" s="230">
        <f t="shared" si="216"/>
        <v>1.8910301532243177</v>
      </c>
      <c r="AF289" s="230">
        <f t="shared" si="216"/>
        <v>1.930221488461177</v>
      </c>
      <c r="AG289" s="230">
        <f t="shared" si="216"/>
        <v>1.9697394336408989</v>
      </c>
      <c r="AI289" s="214"/>
    </row>
    <row r="290" spans="1:36" outlineLevel="1" x14ac:dyDescent="0.2">
      <c r="A290" s="112" t="s">
        <v>1365</v>
      </c>
      <c r="B290" s="302" t="s">
        <v>704</v>
      </c>
      <c r="C290" s="230">
        <f t="shared" ref="C290:AG290" si="217">C259*C$284</f>
        <v>0.57419881848220222</v>
      </c>
      <c r="D290" s="230">
        <f t="shared" si="217"/>
        <v>0.60316618675104039</v>
      </c>
      <c r="E290" s="230">
        <f t="shared" si="217"/>
        <v>0.63162206103323593</v>
      </c>
      <c r="F290" s="230">
        <f t="shared" si="217"/>
        <v>0.6593742595960751</v>
      </c>
      <c r="G290" s="230">
        <f t="shared" si="217"/>
        <v>0.6862283210417579</v>
      </c>
      <c r="H290" s="230">
        <f t="shared" si="217"/>
        <v>0.71198957587970746</v>
      </c>
      <c r="I290" s="230">
        <f t="shared" si="217"/>
        <v>0.73820843010652903</v>
      </c>
      <c r="J290" s="230">
        <f t="shared" si="217"/>
        <v>0.76486888960506094</v>
      </c>
      <c r="K290" s="230">
        <f t="shared" si="217"/>
        <v>0.79195365799979722</v>
      </c>
      <c r="L290" s="230">
        <f t="shared" si="217"/>
        <v>0.81944413102246372</v>
      </c>
      <c r="M290" s="230">
        <f t="shared" si="217"/>
        <v>0.84732039411280602</v>
      </c>
      <c r="N290" s="230">
        <f t="shared" si="217"/>
        <v>0.8741898646360049</v>
      </c>
      <c r="O290" s="230">
        <f t="shared" si="217"/>
        <v>0.89989960665699087</v>
      </c>
      <c r="P290" s="230">
        <f t="shared" si="217"/>
        <v>0.92429877150879614</v>
      </c>
      <c r="Q290" s="230">
        <f t="shared" si="217"/>
        <v>0.94723989236596784</v>
      </c>
      <c r="R290" s="230">
        <f t="shared" si="217"/>
        <v>0.96858018271547086</v>
      </c>
      <c r="S290" s="230">
        <f t="shared" si="217"/>
        <v>0.9901357031469179</v>
      </c>
      <c r="T290" s="230">
        <f t="shared" si="217"/>
        <v>1.0119026890647456</v>
      </c>
      <c r="U290" s="230">
        <f t="shared" si="217"/>
        <v>1.0338771949761025</v>
      </c>
      <c r="V290" s="230">
        <f t="shared" si="217"/>
        <v>1.0560550929598715</v>
      </c>
      <c r="W290" s="230">
        <f t="shared" si="217"/>
        <v>1.0784320712116557</v>
      </c>
      <c r="X290" s="230">
        <f t="shared" si="217"/>
        <v>1.1010169732419393</v>
      </c>
      <c r="Y290" s="230">
        <f t="shared" si="217"/>
        <v>1.1238059909309412</v>
      </c>
      <c r="Z290" s="230">
        <f t="shared" si="217"/>
        <v>1.1467951476483715</v>
      </c>
      <c r="AA290" s="230">
        <f t="shared" si="217"/>
        <v>1.1699802968274702</v>
      </c>
      <c r="AB290" s="230">
        <f t="shared" si="217"/>
        <v>1.1933571205977485</v>
      </c>
      <c r="AC290" s="230">
        <f t="shared" si="217"/>
        <v>1.2169338286817331</v>
      </c>
      <c r="AD290" s="230">
        <f t="shared" si="217"/>
        <v>1.2407065463504794</v>
      </c>
      <c r="AE290" s="230">
        <f t="shared" si="217"/>
        <v>1.2646712402726488</v>
      </c>
      <c r="AF290" s="230">
        <f t="shared" si="217"/>
        <v>1.2888237171549035</v>
      </c>
      <c r="AG290" s="230">
        <f t="shared" si="217"/>
        <v>1.3131596224272659</v>
      </c>
      <c r="AI290" s="214"/>
    </row>
    <row r="291" spans="1:36" s="58" customFormat="1" x14ac:dyDescent="0.2">
      <c r="A291" s="58" t="s">
        <v>1366</v>
      </c>
      <c r="B291" s="303"/>
      <c r="C291" s="304">
        <f>C47</f>
        <v>12.673879407338728</v>
      </c>
      <c r="D291" s="304">
        <f t="shared" ref="D291:AG291" si="218">D47</f>
        <v>13.094725249691493</v>
      </c>
      <c r="E291" s="304">
        <f t="shared" si="218"/>
        <v>13.494177163675211</v>
      </c>
      <c r="F291" s="304">
        <f t="shared" si="218"/>
        <v>13.869486219868742</v>
      </c>
      <c r="G291" s="304">
        <f t="shared" si="218"/>
        <v>14.218017620588817</v>
      </c>
      <c r="H291" s="304">
        <f t="shared" si="218"/>
        <v>14.537281515973271</v>
      </c>
      <c r="I291" s="304">
        <f t="shared" si="218"/>
        <v>14.686143113768981</v>
      </c>
      <c r="J291" s="304">
        <f t="shared" si="218"/>
        <v>14.827652836212192</v>
      </c>
      <c r="K291" s="304">
        <f t="shared" si="218"/>
        <v>14.961509505353201</v>
      </c>
      <c r="L291" s="304">
        <f t="shared" si="218"/>
        <v>15.087419421279161</v>
      </c>
      <c r="M291" s="304">
        <f t="shared" si="218"/>
        <v>15.205097171921622</v>
      </c>
      <c r="N291" s="304">
        <f t="shared" si="218"/>
        <v>15.285737495882447</v>
      </c>
      <c r="O291" s="304">
        <f t="shared" si="218"/>
        <v>15.33508450450206</v>
      </c>
      <c r="P291" s="304">
        <f t="shared" si="218"/>
        <v>15.350018683448491</v>
      </c>
      <c r="Q291" s="304">
        <f t="shared" si="218"/>
        <v>15.33289452960361</v>
      </c>
      <c r="R291" s="304">
        <f t="shared" si="218"/>
        <v>15.283678713365212</v>
      </c>
      <c r="S291" s="304">
        <f t="shared" si="218"/>
        <v>15.272324045326542</v>
      </c>
      <c r="T291" s="304">
        <f t="shared" si="218"/>
        <v>15.257291257570955</v>
      </c>
      <c r="U291" s="304">
        <f t="shared" si="218"/>
        <v>15.238542983911739</v>
      </c>
      <c r="V291" s="304">
        <f t="shared" si="218"/>
        <v>15.216043118831305</v>
      </c>
      <c r="W291" s="304">
        <f t="shared" si="218"/>
        <v>15.189756853292685</v>
      </c>
      <c r="X291" s="304">
        <f t="shared" si="218"/>
        <v>15.15979581595133</v>
      </c>
      <c r="Y291" s="304">
        <f t="shared" si="218"/>
        <v>15.126148461364043</v>
      </c>
      <c r="Z291" s="304">
        <f t="shared" si="218"/>
        <v>15.081571973102978</v>
      </c>
      <c r="AA291" s="304">
        <f t="shared" si="218"/>
        <v>15.032980739113238</v>
      </c>
      <c r="AB291" s="304">
        <f t="shared" si="218"/>
        <v>14.98034178063226</v>
      </c>
      <c r="AC291" s="304">
        <f t="shared" si="218"/>
        <v>14.898642008480879</v>
      </c>
      <c r="AD291" s="304">
        <f t="shared" si="218"/>
        <v>14.812491464319434</v>
      </c>
      <c r="AE291" s="304">
        <f t="shared" si="218"/>
        <v>14.721859397176393</v>
      </c>
      <c r="AF291" s="304">
        <f t="shared" si="218"/>
        <v>14.626716391532497</v>
      </c>
      <c r="AG291" s="304">
        <f t="shared" si="218"/>
        <v>14.527034397012581</v>
      </c>
      <c r="AI291" s="305"/>
      <c r="AJ291" s="306"/>
    </row>
    <row r="292" spans="1:36" s="58" customFormat="1" x14ac:dyDescent="0.2">
      <c r="A292" s="307" t="s">
        <v>3</v>
      </c>
      <c r="B292" s="308" t="s">
        <v>704</v>
      </c>
      <c r="C292" s="309">
        <f>C291-C281</f>
        <v>0</v>
      </c>
      <c r="D292" s="309">
        <f t="shared" ref="D292:AG292" si="219">D291-D281</f>
        <v>-4.0016014075980877E-3</v>
      </c>
      <c r="E292" s="309">
        <f t="shared" si="219"/>
        <v>-8.2498599440885556E-3</v>
      </c>
      <c r="F292" s="309">
        <f t="shared" si="219"/>
        <v>-1.2722854978038711E-2</v>
      </c>
      <c r="G292" s="309">
        <f t="shared" si="219"/>
        <v>-1.73954154446605E-2</v>
      </c>
      <c r="H292" s="309">
        <f t="shared" si="219"/>
        <v>-2.223933661644395E-2</v>
      </c>
      <c r="I292" s="309">
        <f t="shared" si="219"/>
        <v>-0.19808613168554601</v>
      </c>
      <c r="J292" s="309">
        <f t="shared" si="219"/>
        <v>-0.38159138505838364</v>
      </c>
      <c r="K292" s="309">
        <f t="shared" si="219"/>
        <v>-0.572754817422787</v>
      </c>
      <c r="L292" s="309">
        <f t="shared" si="219"/>
        <v>-0.7715615995621814</v>
      </c>
      <c r="M292" s="309">
        <f t="shared" si="219"/>
        <v>-0.97798196108086444</v>
      </c>
      <c r="N292" s="309">
        <f t="shared" si="219"/>
        <v>-1.1968828020942439</v>
      </c>
      <c r="O292" s="309">
        <f t="shared" si="219"/>
        <v>-1.4208587021090118</v>
      </c>
      <c r="P292" s="309">
        <f t="shared" si="219"/>
        <v>-1.6514852073985917</v>
      </c>
      <c r="Q292" s="309">
        <f t="shared" si="219"/>
        <v>-1.8849955440851716</v>
      </c>
      <c r="R292" s="309">
        <f t="shared" si="219"/>
        <v>-2.1201558347787994</v>
      </c>
      <c r="S292" s="309">
        <f t="shared" si="219"/>
        <v>-2.3175374934831048</v>
      </c>
      <c r="T292" s="309">
        <f t="shared" si="219"/>
        <v>-2.5186383417620561</v>
      </c>
      <c r="U292" s="309">
        <f t="shared" si="219"/>
        <v>-2.7234538018660892</v>
      </c>
      <c r="V292" s="309">
        <f t="shared" si="219"/>
        <v>-2.9319775510254935</v>
      </c>
      <c r="W292" s="309">
        <f t="shared" si="219"/>
        <v>-3.1442014993109844</v>
      </c>
      <c r="X292" s="309">
        <f t="shared" si="219"/>
        <v>-3.3601746468630616</v>
      </c>
      <c r="Y292" s="309">
        <f t="shared" si="219"/>
        <v>-3.579871194244852</v>
      </c>
      <c r="Z292" s="309">
        <f t="shared" si="219"/>
        <v>-3.8104961909685535</v>
      </c>
      <c r="AA292" s="309">
        <f t="shared" si="219"/>
        <v>-4.0450970709288825</v>
      </c>
      <c r="AB292" s="309">
        <f t="shared" si="219"/>
        <v>-4.2836682346106318</v>
      </c>
      <c r="AC292" s="309">
        <f t="shared" si="219"/>
        <v>-4.5513676875200506</v>
      </c>
      <c r="AD292" s="309">
        <f t="shared" si="219"/>
        <v>-4.823551560902958</v>
      </c>
      <c r="AE292" s="309">
        <f t="shared" si="219"/>
        <v>-5.1002164175110405</v>
      </c>
      <c r="AF292" s="309">
        <f t="shared" si="219"/>
        <v>-5.3813571324056788</v>
      </c>
      <c r="AG292" s="309">
        <f t="shared" si="219"/>
        <v>-5.6669668724144735</v>
      </c>
      <c r="AI292" s="305"/>
      <c r="AJ292" s="306"/>
    </row>
    <row r="293" spans="1:36" x14ac:dyDescent="0.2">
      <c r="A293" s="310" t="s">
        <v>51</v>
      </c>
      <c r="B293" s="302" t="s">
        <v>704</v>
      </c>
      <c r="C293" s="249">
        <f>C249</f>
        <v>1.1899030376946831</v>
      </c>
      <c r="D293" s="249">
        <f t="shared" ref="D293:AG293" si="220">D249</f>
        <v>0.94653373630732363</v>
      </c>
      <c r="E293" s="249">
        <f t="shared" si="220"/>
        <v>1.0338979356609355</v>
      </c>
      <c r="F293" s="249">
        <f t="shared" si="220"/>
        <v>1.1235910700409444</v>
      </c>
      <c r="G293" s="249">
        <f t="shared" si="220"/>
        <v>1.2151503717594232</v>
      </c>
      <c r="H293" s="249">
        <f t="shared" si="220"/>
        <v>1.3080712704603494</v>
      </c>
      <c r="I293" s="249">
        <f t="shared" si="220"/>
        <v>1.3926898478522809</v>
      </c>
      <c r="J293" s="249">
        <f t="shared" si="220"/>
        <v>1.4784671386831723</v>
      </c>
      <c r="K293" s="249">
        <f t="shared" si="220"/>
        <v>1.5651984875603393</v>
      </c>
      <c r="L293" s="249">
        <f t="shared" si="220"/>
        <v>1.6526646404448961</v>
      </c>
      <c r="M293" s="249">
        <f t="shared" si="220"/>
        <v>1.7406318015718016</v>
      </c>
      <c r="N293" s="249">
        <f t="shared" si="220"/>
        <v>1.8767277904080322</v>
      </c>
      <c r="O293" s="249">
        <f t="shared" si="220"/>
        <v>2.010877955382008</v>
      </c>
      <c r="P293" s="249">
        <f t="shared" si="220"/>
        <v>2.1419037733313528</v>
      </c>
      <c r="Q293" s="249">
        <f t="shared" si="220"/>
        <v>2.2690414074951346</v>
      </c>
      <c r="R293" s="249">
        <f t="shared" si="220"/>
        <v>2.3913525542415348</v>
      </c>
      <c r="S293" s="249">
        <f t="shared" si="220"/>
        <v>2.5197255457583192</v>
      </c>
      <c r="T293" s="249">
        <f t="shared" si="220"/>
        <v>2.6477991469123534</v>
      </c>
      <c r="U293" s="249">
        <f t="shared" si="220"/>
        <v>2.7753849384795108</v>
      </c>
      <c r="V293" s="249">
        <f t="shared" si="220"/>
        <v>2.9022864110713225</v>
      </c>
      <c r="W293" s="249">
        <f t="shared" si="220"/>
        <v>3.028298878381217</v>
      </c>
      <c r="X293" s="249">
        <f t="shared" si="220"/>
        <v>3.2243965350382924</v>
      </c>
      <c r="Y293" s="249">
        <f t="shared" si="220"/>
        <v>3.4197328289927365</v>
      </c>
      <c r="Z293" s="249">
        <f t="shared" si="220"/>
        <v>3.6123282712350431</v>
      </c>
      <c r="AA293" s="249">
        <f t="shared" si="220"/>
        <v>3.8032034478043899</v>
      </c>
      <c r="AB293" s="249">
        <f t="shared" si="220"/>
        <v>3.9920206820307507</v>
      </c>
      <c r="AC293" s="249">
        <f t="shared" si="220"/>
        <v>4.1706186851740918</v>
      </c>
      <c r="AD293" s="249">
        <f t="shared" si="220"/>
        <v>4.3454110393003598</v>
      </c>
      <c r="AE293" s="249">
        <f t="shared" si="220"/>
        <v>4.5159501789506908</v>
      </c>
      <c r="AF293" s="249">
        <f t="shared" si="220"/>
        <v>4.6817714972340303</v>
      </c>
      <c r="AG293" s="249">
        <f t="shared" si="220"/>
        <v>4.8423931606882924</v>
      </c>
      <c r="AI293" s="296"/>
    </row>
    <row r="294" spans="1:36" s="68" customFormat="1" x14ac:dyDescent="0.2">
      <c r="A294" s="311" t="s">
        <v>1387</v>
      </c>
      <c r="B294" s="312" t="s">
        <v>704</v>
      </c>
      <c r="C294" s="313">
        <f>C291-C293</f>
        <v>11.483976369644044</v>
      </c>
      <c r="D294" s="313">
        <f t="shared" ref="D294:AG294" si="221">D291-D293</f>
        <v>12.14819151338417</v>
      </c>
      <c r="E294" s="313">
        <f t="shared" si="221"/>
        <v>12.460279228014276</v>
      </c>
      <c r="F294" s="313">
        <f t="shared" si="221"/>
        <v>12.745895149827797</v>
      </c>
      <c r="G294" s="313">
        <f t="shared" si="221"/>
        <v>13.002867248829395</v>
      </c>
      <c r="H294" s="313">
        <f t="shared" si="221"/>
        <v>13.229210245512922</v>
      </c>
      <c r="I294" s="313">
        <f t="shared" si="221"/>
        <v>13.2934532659167</v>
      </c>
      <c r="J294" s="313">
        <f t="shared" si="221"/>
        <v>13.34918569752902</v>
      </c>
      <c r="K294" s="313">
        <f t="shared" si="221"/>
        <v>13.396311017792861</v>
      </c>
      <c r="L294" s="313">
        <f t="shared" si="221"/>
        <v>13.434754780834265</v>
      </c>
      <c r="M294" s="313">
        <f t="shared" si="221"/>
        <v>13.464465370349821</v>
      </c>
      <c r="N294" s="313">
        <f t="shared" si="221"/>
        <v>13.409009705474414</v>
      </c>
      <c r="O294" s="313">
        <f t="shared" si="221"/>
        <v>13.324206549120053</v>
      </c>
      <c r="P294" s="313">
        <f t="shared" si="221"/>
        <v>13.208114910117139</v>
      </c>
      <c r="Q294" s="313">
        <f t="shared" si="221"/>
        <v>13.063853122108476</v>
      </c>
      <c r="R294" s="313">
        <f t="shared" si="221"/>
        <v>12.892326159123677</v>
      </c>
      <c r="S294" s="313">
        <f t="shared" si="221"/>
        <v>12.752598499568222</v>
      </c>
      <c r="T294" s="313">
        <f t="shared" si="221"/>
        <v>12.609492110658602</v>
      </c>
      <c r="U294" s="313">
        <f t="shared" si="221"/>
        <v>12.463158045432227</v>
      </c>
      <c r="V294" s="313">
        <f t="shared" si="221"/>
        <v>12.313756707759982</v>
      </c>
      <c r="W294" s="313">
        <f t="shared" si="221"/>
        <v>12.161457974911468</v>
      </c>
      <c r="X294" s="313">
        <f t="shared" si="221"/>
        <v>11.935399280913039</v>
      </c>
      <c r="Y294" s="313">
        <f t="shared" si="221"/>
        <v>11.706415632371307</v>
      </c>
      <c r="Z294" s="313">
        <f t="shared" si="221"/>
        <v>11.469243701867935</v>
      </c>
      <c r="AA294" s="313">
        <f t="shared" si="221"/>
        <v>11.229777291308849</v>
      </c>
      <c r="AB294" s="313">
        <f t="shared" si="221"/>
        <v>10.98832109860151</v>
      </c>
      <c r="AC294" s="313">
        <f t="shared" si="221"/>
        <v>10.728023323306786</v>
      </c>
      <c r="AD294" s="313">
        <f t="shared" si="221"/>
        <v>10.467080425019073</v>
      </c>
      <c r="AE294" s="313">
        <f t="shared" si="221"/>
        <v>10.205909218225703</v>
      </c>
      <c r="AF294" s="313">
        <f t="shared" si="221"/>
        <v>9.944944894298466</v>
      </c>
      <c r="AG294" s="313">
        <f t="shared" si="221"/>
        <v>9.6846412363242891</v>
      </c>
      <c r="AI294" s="314"/>
      <c r="AJ294" s="315"/>
    </row>
    <row r="295" spans="1:36" s="58" customFormat="1" outlineLevel="1" x14ac:dyDescent="0.2">
      <c r="A295" s="307" t="s">
        <v>1367</v>
      </c>
      <c r="B295" s="308" t="s">
        <v>462</v>
      </c>
      <c r="C295" s="309">
        <f>C291*C261</f>
        <v>10.646058702164531</v>
      </c>
      <c r="D295" s="309">
        <f t="shared" ref="D295:AG295" si="222">D291*D261</f>
        <v>11.05194811073962</v>
      </c>
      <c r="E295" s="309">
        <f t="shared" si="222"/>
        <v>11.443062234796578</v>
      </c>
      <c r="F295" s="309">
        <f t="shared" si="222"/>
        <v>11.816802259328169</v>
      </c>
      <c r="G295" s="309">
        <f t="shared" si="222"/>
        <v>12.170623083224028</v>
      </c>
      <c r="H295" s="309">
        <f t="shared" si="222"/>
        <v>12.502062103737012</v>
      </c>
      <c r="I295" s="309">
        <f t="shared" si="222"/>
        <v>12.6888276502964</v>
      </c>
      <c r="J295" s="309">
        <f t="shared" si="222"/>
        <v>12.870402661832182</v>
      </c>
      <c r="K295" s="309">
        <f t="shared" si="222"/>
        <v>13.046436288667991</v>
      </c>
      <c r="L295" s="309">
        <f t="shared" si="222"/>
        <v>13.216579413040545</v>
      </c>
      <c r="M295" s="309">
        <f t="shared" si="222"/>
        <v>13.380485511291027</v>
      </c>
      <c r="N295" s="309">
        <f t="shared" si="222"/>
        <v>13.512591946360084</v>
      </c>
      <c r="O295" s="309">
        <f t="shared" si="222"/>
        <v>13.617555039997828</v>
      </c>
      <c r="P295" s="309">
        <f t="shared" si="222"/>
        <v>13.692216665636055</v>
      </c>
      <c r="Q295" s="309">
        <f t="shared" si="222"/>
        <v>13.738273498524835</v>
      </c>
      <c r="R295" s="309">
        <f t="shared" si="222"/>
        <v>13.755310842028692</v>
      </c>
      <c r="S295" s="309">
        <f t="shared" si="222"/>
        <v>13.806180936975194</v>
      </c>
      <c r="T295" s="309">
        <f t="shared" si="222"/>
        <v>13.853620461874428</v>
      </c>
      <c r="U295" s="309">
        <f t="shared" si="222"/>
        <v>13.897551201327506</v>
      </c>
      <c r="V295" s="309">
        <f t="shared" si="222"/>
        <v>13.937895496849476</v>
      </c>
      <c r="W295" s="309">
        <f t="shared" si="222"/>
        <v>13.974576305029272</v>
      </c>
      <c r="X295" s="309">
        <f t="shared" si="222"/>
        <v>14.00765133393903</v>
      </c>
      <c r="Y295" s="309">
        <f t="shared" si="222"/>
        <v>14.037065772145832</v>
      </c>
      <c r="Z295" s="309">
        <f t="shared" si="222"/>
        <v>14.056025078931976</v>
      </c>
      <c r="AA295" s="309">
        <f t="shared" si="222"/>
        <v>14.070869971809993</v>
      </c>
      <c r="AB295" s="309">
        <f t="shared" si="222"/>
        <v>14.081521273794326</v>
      </c>
      <c r="AC295" s="309">
        <f t="shared" si="222"/>
        <v>14.06431805600595</v>
      </c>
      <c r="AD295" s="309">
        <f t="shared" si="222"/>
        <v>14.042241908174825</v>
      </c>
      <c r="AE295" s="309">
        <f t="shared" si="222"/>
        <v>14.015210146111928</v>
      </c>
      <c r="AF295" s="309">
        <f t="shared" si="222"/>
        <v>13.983140870305068</v>
      </c>
      <c r="AG295" s="309">
        <f t="shared" si="222"/>
        <v>13.945953021132079</v>
      </c>
      <c r="AI295" s="305"/>
      <c r="AJ295" s="339" t="s">
        <v>1363</v>
      </c>
    </row>
    <row r="296" spans="1:36" s="58" customFormat="1" outlineLevel="1" x14ac:dyDescent="0.2">
      <c r="A296" s="307" t="s">
        <v>1368</v>
      </c>
      <c r="B296" s="308" t="s">
        <v>462</v>
      </c>
      <c r="C296" s="309">
        <f>C295*C262</f>
        <v>2.3421329144761969</v>
      </c>
      <c r="D296" s="309">
        <f t="shared" ref="D296:AG296" si="223">D295*D262</f>
        <v>2.5051082384343135</v>
      </c>
      <c r="E296" s="309">
        <f t="shared" si="223"/>
        <v>2.6700478547858681</v>
      </c>
      <c r="F296" s="309">
        <f t="shared" si="223"/>
        <v>2.83603254223876</v>
      </c>
      <c r="G296" s="309">
        <f t="shared" si="223"/>
        <v>3.0020870271952598</v>
      </c>
      <c r="H296" s="309">
        <f t="shared" si="223"/>
        <v>3.1671890662800428</v>
      </c>
      <c r="I296" s="309">
        <f t="shared" si="223"/>
        <v>3.2990951890770632</v>
      </c>
      <c r="J296" s="309">
        <f t="shared" si="223"/>
        <v>3.432107376488581</v>
      </c>
      <c r="K296" s="309">
        <f t="shared" si="223"/>
        <v>3.5660259189025831</v>
      </c>
      <c r="L296" s="309">
        <f t="shared" si="223"/>
        <v>3.7006422356513515</v>
      </c>
      <c r="M296" s="309">
        <f t="shared" si="223"/>
        <v>3.8357391799034266</v>
      </c>
      <c r="N296" s="309">
        <f t="shared" si="223"/>
        <v>3.9636936375989564</v>
      </c>
      <c r="O296" s="309">
        <f t="shared" si="223"/>
        <v>4.0852665119993468</v>
      </c>
      <c r="P296" s="309">
        <f t="shared" si="223"/>
        <v>4.1989464441283886</v>
      </c>
      <c r="Q296" s="309">
        <f t="shared" si="223"/>
        <v>4.3046590295377793</v>
      </c>
      <c r="R296" s="309">
        <f t="shared" si="223"/>
        <v>4.4016994694491789</v>
      </c>
      <c r="S296" s="309">
        <f t="shared" si="223"/>
        <v>4.5100191060785608</v>
      </c>
      <c r="T296" s="309">
        <f t="shared" si="223"/>
        <v>4.6178734872914733</v>
      </c>
      <c r="U296" s="309">
        <f t="shared" si="223"/>
        <v>4.7251674084513491</v>
      </c>
      <c r="V296" s="309">
        <f t="shared" si="223"/>
        <v>4.8318037722411491</v>
      </c>
      <c r="W296" s="309">
        <f t="shared" si="223"/>
        <v>4.9376836277770062</v>
      </c>
      <c r="X296" s="309">
        <f t="shared" si="223"/>
        <v>5.042754480218048</v>
      </c>
      <c r="Y296" s="309">
        <f t="shared" si="223"/>
        <v>5.1469241164534685</v>
      </c>
      <c r="Z296" s="309">
        <f t="shared" si="223"/>
        <v>5.2475826961346002</v>
      </c>
      <c r="AA296" s="309">
        <f t="shared" si="223"/>
        <v>5.3469305892877932</v>
      </c>
      <c r="AB296" s="309">
        <f t="shared" si="223"/>
        <v>5.4448548925338018</v>
      </c>
      <c r="AC296" s="309">
        <f t="shared" si="223"/>
        <v>5.5319651020290026</v>
      </c>
      <c r="AD296" s="309">
        <f t="shared" si="223"/>
        <v>5.6168967632699252</v>
      </c>
      <c r="AE296" s="309">
        <f t="shared" si="223"/>
        <v>5.6995187927521798</v>
      </c>
      <c r="AF296" s="309">
        <f t="shared" si="223"/>
        <v>5.7796982263927568</v>
      </c>
      <c r="AG296" s="309">
        <f t="shared" si="223"/>
        <v>5.8573002688754725</v>
      </c>
      <c r="AI296" s="305"/>
      <c r="AJ296" s="339" t="s">
        <v>1363</v>
      </c>
    </row>
    <row r="297" spans="1:36" s="62" customFormat="1" outlineLevel="1" x14ac:dyDescent="0.2">
      <c r="A297" s="311" t="s">
        <v>1369</v>
      </c>
      <c r="B297" s="312" t="s">
        <v>462</v>
      </c>
      <c r="C297" s="313">
        <f>C295*C263</f>
        <v>8.3039257876883337</v>
      </c>
      <c r="D297" s="313">
        <f t="shared" ref="D297:AG297" si="224">D295*D263</f>
        <v>8.5468398723053056</v>
      </c>
      <c r="E297" s="313">
        <f t="shared" si="224"/>
        <v>8.7730143800107108</v>
      </c>
      <c r="F297" s="313">
        <f t="shared" si="224"/>
        <v>8.9807697170894087</v>
      </c>
      <c r="G297" s="313">
        <f t="shared" si="224"/>
        <v>9.1685360560287688</v>
      </c>
      <c r="H297" s="313">
        <f t="shared" si="224"/>
        <v>9.3348730374569691</v>
      </c>
      <c r="I297" s="313">
        <f t="shared" si="224"/>
        <v>9.3897324612193351</v>
      </c>
      <c r="J297" s="313">
        <f t="shared" si="224"/>
        <v>9.4382952853436013</v>
      </c>
      <c r="K297" s="313">
        <f t="shared" si="224"/>
        <v>9.4804103697654085</v>
      </c>
      <c r="L297" s="313">
        <f t="shared" si="224"/>
        <v>9.5159371773891941</v>
      </c>
      <c r="M297" s="313">
        <f t="shared" si="224"/>
        <v>9.5447463313876</v>
      </c>
      <c r="N297" s="313">
        <f t="shared" si="224"/>
        <v>9.5488983087611281</v>
      </c>
      <c r="O297" s="313">
        <f t="shared" si="224"/>
        <v>9.5322885279984817</v>
      </c>
      <c r="P297" s="313">
        <f t="shared" si="224"/>
        <v>9.4932702215076663</v>
      </c>
      <c r="Q297" s="313">
        <f t="shared" si="224"/>
        <v>9.433614468987054</v>
      </c>
      <c r="R297" s="313">
        <f t="shared" si="224"/>
        <v>9.3536113725795129</v>
      </c>
      <c r="S297" s="313">
        <f t="shared" si="224"/>
        <v>9.2961618308966329</v>
      </c>
      <c r="T297" s="313">
        <f t="shared" si="224"/>
        <v>9.2357469745829537</v>
      </c>
      <c r="U297" s="313">
        <f t="shared" si="224"/>
        <v>9.1723837928761558</v>
      </c>
      <c r="V297" s="313">
        <f t="shared" si="224"/>
        <v>9.1060917246083282</v>
      </c>
      <c r="W297" s="313">
        <f t="shared" si="224"/>
        <v>9.0368926772522666</v>
      </c>
      <c r="X297" s="313">
        <f t="shared" si="224"/>
        <v>8.9648968537209832</v>
      </c>
      <c r="Y297" s="313">
        <f t="shared" si="224"/>
        <v>8.8901416556923625</v>
      </c>
      <c r="Z297" s="313">
        <f t="shared" si="224"/>
        <v>8.8084423827973755</v>
      </c>
      <c r="AA297" s="313">
        <f t="shared" si="224"/>
        <v>8.7239393825222002</v>
      </c>
      <c r="AB297" s="313">
        <f t="shared" si="224"/>
        <v>8.6366663812605236</v>
      </c>
      <c r="AC297" s="313">
        <f t="shared" si="224"/>
        <v>8.5323529539769467</v>
      </c>
      <c r="AD297" s="313">
        <f t="shared" si="224"/>
        <v>8.4253451449048988</v>
      </c>
      <c r="AE297" s="313">
        <f t="shared" si="224"/>
        <v>8.3156913533597496</v>
      </c>
      <c r="AF297" s="313">
        <f t="shared" si="224"/>
        <v>8.2034426439123109</v>
      </c>
      <c r="AG297" s="313">
        <f t="shared" si="224"/>
        <v>8.088652752256607</v>
      </c>
      <c r="AI297" s="342"/>
      <c r="AJ297" s="341" t="s">
        <v>1363</v>
      </c>
    </row>
    <row r="298" spans="1:36" s="1" customFormat="1" outlineLevel="1" x14ac:dyDescent="0.2">
      <c r="A298" t="s">
        <v>1370</v>
      </c>
      <c r="B298" s="302" t="s">
        <v>704</v>
      </c>
      <c r="C298" s="249">
        <f>C264*C295</f>
        <v>10.113755767056304</v>
      </c>
      <c r="D298" s="249">
        <f t="shared" ref="D298:AG298" si="225">D264*D295</f>
        <v>10.444090964648939</v>
      </c>
      <c r="E298" s="249">
        <f t="shared" si="225"/>
        <v>10.756478500708782</v>
      </c>
      <c r="F298" s="249">
        <f t="shared" si="225"/>
        <v>11.048710112471838</v>
      </c>
      <c r="G298" s="249">
        <f t="shared" si="225"/>
        <v>11.318679467398345</v>
      </c>
      <c r="H298" s="249">
        <f t="shared" si="225"/>
        <v>11.564407445956736</v>
      </c>
      <c r="I298" s="249">
        <f t="shared" si="225"/>
        <v>11.673721438272686</v>
      </c>
      <c r="J298" s="249">
        <f t="shared" si="225"/>
        <v>11.776418435576446</v>
      </c>
      <c r="K298" s="249">
        <f t="shared" si="225"/>
        <v>11.872257022687871</v>
      </c>
      <c r="L298" s="249">
        <f t="shared" si="225"/>
        <v>11.961004368801692</v>
      </c>
      <c r="M298" s="249">
        <f t="shared" si="225"/>
        <v>12.042436960161924</v>
      </c>
      <c r="N298" s="249">
        <f t="shared" si="225"/>
        <v>12.093769791992274</v>
      </c>
      <c r="O298" s="249">
        <f t="shared" si="225"/>
        <v>12.119623985598066</v>
      </c>
      <c r="P298" s="249">
        <f t="shared" si="225"/>
        <v>12.117611749087907</v>
      </c>
      <c r="Q298" s="249">
        <f t="shared" si="225"/>
        <v>12.089680678701853</v>
      </c>
      <c r="R298" s="249">
        <f t="shared" si="225"/>
        <v>12.035896986775104</v>
      </c>
      <c r="S298" s="249">
        <f t="shared" si="225"/>
        <v>12.011377415168417</v>
      </c>
      <c r="T298" s="249">
        <f t="shared" si="225"/>
        <v>11.983381699521379</v>
      </c>
      <c r="U298" s="249">
        <f t="shared" si="225"/>
        <v>11.951894033141654</v>
      </c>
      <c r="V298" s="249">
        <f t="shared" si="225"/>
        <v>11.916900649806301</v>
      </c>
      <c r="W298" s="249">
        <f t="shared" si="225"/>
        <v>11.878389859274879</v>
      </c>
      <c r="X298" s="249">
        <f t="shared" si="225"/>
        <v>11.836465377178479</v>
      </c>
      <c r="Y298" s="249">
        <f t="shared" si="225"/>
        <v>11.791135248602497</v>
      </c>
      <c r="Z298" s="249">
        <f t="shared" si="225"/>
        <v>11.736780940908197</v>
      </c>
      <c r="AA298" s="249">
        <f t="shared" si="225"/>
        <v>11.678822076602291</v>
      </c>
      <c r="AB298" s="249">
        <f t="shared" si="225"/>
        <v>11.617255050880317</v>
      </c>
      <c r="AC298" s="249">
        <f t="shared" si="225"/>
        <v>11.532740805924877</v>
      </c>
      <c r="AD298" s="249">
        <f t="shared" si="225"/>
        <v>11.444427155162479</v>
      </c>
      <c r="AE298" s="249">
        <f t="shared" si="225"/>
        <v>11.352320218350659</v>
      </c>
      <c r="AF298" s="249">
        <f t="shared" si="225"/>
        <v>11.256428400595578</v>
      </c>
      <c r="AG298" s="249">
        <f t="shared" si="225"/>
        <v>11.156762416905664</v>
      </c>
      <c r="AI298" s="316"/>
      <c r="AJ298" s="211" t="s">
        <v>1363</v>
      </c>
    </row>
    <row r="299" spans="1:36" s="1" customFormat="1" outlineLevel="1" x14ac:dyDescent="0.2">
      <c r="A299" t="s">
        <v>1371</v>
      </c>
      <c r="B299" s="302" t="s">
        <v>704</v>
      </c>
      <c r="C299" s="249">
        <f>C265*C295</f>
        <v>0.53230293510822657</v>
      </c>
      <c r="D299" s="249">
        <f t="shared" ref="D299:AG299" si="226">D265*D295</f>
        <v>0.6078571460906792</v>
      </c>
      <c r="E299" s="249">
        <f t="shared" si="226"/>
        <v>0.68658373408779483</v>
      </c>
      <c r="F299" s="249">
        <f t="shared" si="226"/>
        <v>0.7680921468563312</v>
      </c>
      <c r="G299" s="249">
        <f t="shared" si="226"/>
        <v>0.85194361582568223</v>
      </c>
      <c r="H299" s="249">
        <f t="shared" si="226"/>
        <v>0.93765465778027624</v>
      </c>
      <c r="I299" s="249">
        <f t="shared" si="226"/>
        <v>1.0151062120237124</v>
      </c>
      <c r="J299" s="249">
        <f t="shared" si="226"/>
        <v>1.093984226255736</v>
      </c>
      <c r="K299" s="249">
        <f t="shared" si="226"/>
        <v>1.1741792659801196</v>
      </c>
      <c r="L299" s="249">
        <f t="shared" si="226"/>
        <v>1.2555750442388525</v>
      </c>
      <c r="M299" s="249">
        <f t="shared" si="226"/>
        <v>1.3380485511291034</v>
      </c>
      <c r="N299" s="249">
        <f t="shared" si="226"/>
        <v>1.4188221543678095</v>
      </c>
      <c r="O299" s="249">
        <f t="shared" si="226"/>
        <v>1.4979310543997619</v>
      </c>
      <c r="P299" s="249">
        <f t="shared" si="226"/>
        <v>1.574604916548147</v>
      </c>
      <c r="Q299" s="249">
        <f t="shared" si="226"/>
        <v>1.6485928198229811</v>
      </c>
      <c r="R299" s="249">
        <f t="shared" si="226"/>
        <v>1.7194138552535871</v>
      </c>
      <c r="S299" s="249">
        <f t="shared" si="226"/>
        <v>1.7948035218067759</v>
      </c>
      <c r="T299" s="249">
        <f t="shared" si="226"/>
        <v>1.8702387623530488</v>
      </c>
      <c r="U299" s="249">
        <f t="shared" si="226"/>
        <v>1.9456571681858517</v>
      </c>
      <c r="V299" s="249">
        <f t="shared" si="226"/>
        <v>2.0209948470431751</v>
      </c>
      <c r="W299" s="249">
        <f t="shared" si="226"/>
        <v>2.0961864457543919</v>
      </c>
      <c r="X299" s="249">
        <f t="shared" si="226"/>
        <v>2.1711859567605507</v>
      </c>
      <c r="Y299" s="249">
        <f t="shared" si="226"/>
        <v>2.2459305235433344</v>
      </c>
      <c r="Z299" s="249">
        <f t="shared" si="226"/>
        <v>2.3192441380237772</v>
      </c>
      <c r="AA299" s="249">
        <f t="shared" si="226"/>
        <v>2.3920478952077002</v>
      </c>
      <c r="AB299" s="249">
        <f t="shared" si="226"/>
        <v>2.4642662229140084</v>
      </c>
      <c r="AC299" s="249">
        <f t="shared" si="226"/>
        <v>2.5315772500810727</v>
      </c>
      <c r="AD299" s="249">
        <f t="shared" si="226"/>
        <v>2.5978147530123441</v>
      </c>
      <c r="AE299" s="249">
        <f t="shared" si="226"/>
        <v>2.6628899277612676</v>
      </c>
      <c r="AF299" s="249">
        <f t="shared" si="226"/>
        <v>2.72671246970949</v>
      </c>
      <c r="AG299" s="249">
        <f t="shared" si="226"/>
        <v>2.7891906042264161</v>
      </c>
      <c r="AI299" s="316"/>
      <c r="AJ299" s="211" t="s">
        <v>1363</v>
      </c>
    </row>
    <row r="300" spans="1:36" s="1" customFormat="1" outlineLevel="1" x14ac:dyDescent="0.2">
      <c r="A300" t="s">
        <v>1372</v>
      </c>
      <c r="B300" s="302" t="s">
        <v>704</v>
      </c>
      <c r="C300" s="249">
        <f>C298*C266</f>
        <v>1.5170633650584455</v>
      </c>
      <c r="D300" s="249">
        <f t="shared" ref="D300:AG300" si="227">D298*D266</f>
        <v>1.6327595541401174</v>
      </c>
      <c r="E300" s="249">
        <f t="shared" si="227"/>
        <v>1.7497205027819618</v>
      </c>
      <c r="F300" s="249">
        <f t="shared" si="227"/>
        <v>1.8672320090077403</v>
      </c>
      <c r="G300" s="249">
        <f t="shared" si="227"/>
        <v>1.9845417999505097</v>
      </c>
      <c r="H300" s="249">
        <f t="shared" si="227"/>
        <v>2.10086735268214</v>
      </c>
      <c r="I300" s="249">
        <f t="shared" si="227"/>
        <v>2.1946596303952646</v>
      </c>
      <c r="J300" s="249">
        <f t="shared" si="227"/>
        <v>2.2885506493136889</v>
      </c>
      <c r="K300" s="249">
        <f t="shared" si="227"/>
        <v>2.382366242552699</v>
      </c>
      <c r="L300" s="249">
        <f t="shared" si="227"/>
        <v>2.4759279043419498</v>
      </c>
      <c r="M300" s="249">
        <f t="shared" si="227"/>
        <v>2.5690532181678765</v>
      </c>
      <c r="N300" s="249">
        <f t="shared" si="227"/>
        <v>2.6565980976409689</v>
      </c>
      <c r="O300" s="249">
        <f t="shared" si="227"/>
        <v>2.7390350207451624</v>
      </c>
      <c r="P300" s="249">
        <f t="shared" si="227"/>
        <v>2.8153251297047563</v>
      </c>
      <c r="Q300" s="249">
        <f t="shared" si="227"/>
        <v>2.8854037886501751</v>
      </c>
      <c r="R300" s="249">
        <f t="shared" si="227"/>
        <v>2.9487947617598995</v>
      </c>
      <c r="S300" s="249">
        <f t="shared" si="227"/>
        <v>3.0188595236789948</v>
      </c>
      <c r="T300" s="249">
        <f t="shared" si="227"/>
        <v>3.0877180179100083</v>
      </c>
      <c r="U300" s="249">
        <f t="shared" si="227"/>
        <v>3.1553000247493967</v>
      </c>
      <c r="V300" s="249">
        <f t="shared" si="227"/>
        <v>3.2215354756643038</v>
      </c>
      <c r="W300" s="249">
        <f t="shared" si="227"/>
        <v>3.2863545277327173</v>
      </c>
      <c r="X300" s="249">
        <f t="shared" si="227"/>
        <v>3.3497197017415106</v>
      </c>
      <c r="Y300" s="249">
        <f t="shared" si="227"/>
        <v>3.4115684652623237</v>
      </c>
      <c r="Z300" s="249">
        <f t="shared" si="227"/>
        <v>3.4701748981951916</v>
      </c>
      <c r="AA300" s="249">
        <f t="shared" si="227"/>
        <v>3.5270042671338939</v>
      </c>
      <c r="AB300" s="249">
        <f t="shared" si="227"/>
        <v>3.581986974021433</v>
      </c>
      <c r="AC300" s="249">
        <f t="shared" si="227"/>
        <v>3.6289691069310304</v>
      </c>
      <c r="AD300" s="249">
        <f t="shared" si="227"/>
        <v>3.6736611168071587</v>
      </c>
      <c r="AE300" s="249">
        <f t="shared" si="227"/>
        <v>3.7159928181401187</v>
      </c>
      <c r="AF300" s="249">
        <f t="shared" si="227"/>
        <v>3.7558949429987276</v>
      </c>
      <c r="AG300" s="249">
        <f t="shared" si="227"/>
        <v>3.793299221747926</v>
      </c>
      <c r="AI300" s="316"/>
      <c r="AJ300" s="211" t="s">
        <v>1363</v>
      </c>
    </row>
    <row r="301" spans="1:36" s="1" customFormat="1" outlineLevel="1" x14ac:dyDescent="0.2">
      <c r="A301" t="s">
        <v>1373</v>
      </c>
      <c r="B301" s="302" t="s">
        <v>704</v>
      </c>
      <c r="C301" s="249">
        <f>C298*C267</f>
        <v>8.5966924019978581</v>
      </c>
      <c r="D301" s="249">
        <f t="shared" ref="D301:AG301" si="228">D298*D267</f>
        <v>8.8113314105088225</v>
      </c>
      <c r="E301" s="249">
        <f t="shared" si="228"/>
        <v>9.0067579979268206</v>
      </c>
      <c r="F301" s="249">
        <f t="shared" si="228"/>
        <v>9.181478103464098</v>
      </c>
      <c r="G301" s="249">
        <f t="shared" si="228"/>
        <v>9.3341376674478358</v>
      </c>
      <c r="H301" s="249">
        <f t="shared" si="228"/>
        <v>9.463540093274597</v>
      </c>
      <c r="I301" s="249">
        <f t="shared" si="228"/>
        <v>9.4790618078774234</v>
      </c>
      <c r="J301" s="249">
        <f t="shared" si="228"/>
        <v>9.4878677862627594</v>
      </c>
      <c r="K301" s="249">
        <f t="shared" si="228"/>
        <v>9.4898907801351733</v>
      </c>
      <c r="L301" s="249">
        <f t="shared" si="228"/>
        <v>9.4850764644597447</v>
      </c>
      <c r="M301" s="249">
        <f t="shared" si="228"/>
        <v>9.4733837419940503</v>
      </c>
      <c r="N301" s="249">
        <f t="shared" si="228"/>
        <v>9.4371716943513082</v>
      </c>
      <c r="O301" s="249">
        <f t="shared" si="228"/>
        <v>9.3805889648529082</v>
      </c>
      <c r="P301" s="249">
        <f t="shared" si="228"/>
        <v>9.302286619383155</v>
      </c>
      <c r="Q301" s="249">
        <f t="shared" si="228"/>
        <v>9.2042768900516823</v>
      </c>
      <c r="R301" s="249">
        <f t="shared" si="228"/>
        <v>9.087102225015208</v>
      </c>
      <c r="S301" s="249">
        <f t="shared" si="228"/>
        <v>8.9925178914894275</v>
      </c>
      <c r="T301" s="249">
        <f t="shared" si="228"/>
        <v>8.8956636816113761</v>
      </c>
      <c r="U301" s="249">
        <f t="shared" si="228"/>
        <v>8.7965940083922636</v>
      </c>
      <c r="V301" s="249">
        <f t="shared" si="228"/>
        <v>8.6953651741420046</v>
      </c>
      <c r="W301" s="249">
        <f t="shared" si="228"/>
        <v>8.5920353315421689</v>
      </c>
      <c r="X301" s="249">
        <f t="shared" si="228"/>
        <v>8.4867456754369766</v>
      </c>
      <c r="Y301" s="249">
        <f t="shared" si="228"/>
        <v>8.3795667833401826</v>
      </c>
      <c r="Z301" s="249">
        <f t="shared" si="228"/>
        <v>8.2666060427130148</v>
      </c>
      <c r="AA301" s="249">
        <f t="shared" si="228"/>
        <v>8.1518178094684082</v>
      </c>
      <c r="AB301" s="249">
        <f t="shared" si="228"/>
        <v>8.0352680768588947</v>
      </c>
      <c r="AC301" s="249">
        <f t="shared" si="228"/>
        <v>7.9037716989938582</v>
      </c>
      <c r="AD301" s="249">
        <f t="shared" si="228"/>
        <v>7.7707660383553332</v>
      </c>
      <c r="AE301" s="249">
        <f t="shared" si="228"/>
        <v>7.6363274002105532</v>
      </c>
      <c r="AF301" s="249">
        <f t="shared" si="228"/>
        <v>7.5005334575968634</v>
      </c>
      <c r="AG301" s="249">
        <f t="shared" si="228"/>
        <v>7.3634631951577392</v>
      </c>
      <c r="AI301" s="316"/>
      <c r="AJ301" s="211" t="s">
        <v>1363</v>
      </c>
    </row>
    <row r="302" spans="1:36" s="1" customFormat="1" outlineLevel="1" x14ac:dyDescent="0.2">
      <c r="A302" t="s">
        <v>1374</v>
      </c>
      <c r="B302" s="302" t="s">
        <v>704</v>
      </c>
      <c r="C302" s="249">
        <f>C268*C301</f>
        <v>0</v>
      </c>
      <c r="D302" s="249">
        <f t="shared" ref="D302:AG302" si="229">D268*D301</f>
        <v>0</v>
      </c>
      <c r="E302" s="249">
        <f t="shared" si="229"/>
        <v>0</v>
      </c>
      <c r="F302" s="249">
        <f t="shared" si="229"/>
        <v>0</v>
      </c>
      <c r="G302" s="249">
        <f t="shared" si="229"/>
        <v>0</v>
      </c>
      <c r="H302" s="249">
        <f t="shared" si="229"/>
        <v>0</v>
      </c>
      <c r="I302" s="249">
        <f t="shared" si="229"/>
        <v>0</v>
      </c>
      <c r="J302" s="249">
        <f t="shared" si="229"/>
        <v>0</v>
      </c>
      <c r="K302" s="249">
        <f t="shared" si="229"/>
        <v>0</v>
      </c>
      <c r="L302" s="249">
        <f t="shared" si="229"/>
        <v>0</v>
      </c>
      <c r="M302" s="249">
        <f t="shared" si="229"/>
        <v>0</v>
      </c>
      <c r="N302" s="249">
        <f t="shared" si="229"/>
        <v>0</v>
      </c>
      <c r="O302" s="249">
        <f t="shared" si="229"/>
        <v>0</v>
      </c>
      <c r="P302" s="249">
        <f t="shared" si="229"/>
        <v>0</v>
      </c>
      <c r="Q302" s="249">
        <f t="shared" si="229"/>
        <v>0</v>
      </c>
      <c r="R302" s="249">
        <f t="shared" si="229"/>
        <v>0</v>
      </c>
      <c r="S302" s="249">
        <f t="shared" si="229"/>
        <v>0</v>
      </c>
      <c r="T302" s="249">
        <f t="shared" si="229"/>
        <v>0</v>
      </c>
      <c r="U302" s="249">
        <f t="shared" si="229"/>
        <v>0</v>
      </c>
      <c r="V302" s="249">
        <f t="shared" si="229"/>
        <v>0</v>
      </c>
      <c r="W302" s="249">
        <f t="shared" si="229"/>
        <v>0</v>
      </c>
      <c r="X302" s="249">
        <f t="shared" si="229"/>
        <v>0</v>
      </c>
      <c r="Y302" s="249">
        <f t="shared" si="229"/>
        <v>0</v>
      </c>
      <c r="Z302" s="249">
        <f t="shared" si="229"/>
        <v>0</v>
      </c>
      <c r="AA302" s="249">
        <f t="shared" si="229"/>
        <v>0</v>
      </c>
      <c r="AB302" s="249">
        <f t="shared" si="229"/>
        <v>0</v>
      </c>
      <c r="AC302" s="249">
        <f t="shared" si="229"/>
        <v>0</v>
      </c>
      <c r="AD302" s="249">
        <f t="shared" si="229"/>
        <v>0</v>
      </c>
      <c r="AE302" s="249">
        <f t="shared" si="229"/>
        <v>0</v>
      </c>
      <c r="AF302" s="249">
        <f t="shared" si="229"/>
        <v>0</v>
      </c>
      <c r="AG302" s="249">
        <f t="shared" si="229"/>
        <v>0</v>
      </c>
      <c r="AI302" s="316"/>
      <c r="AJ302" s="211" t="s">
        <v>1363</v>
      </c>
    </row>
    <row r="303" spans="1:36" s="1" customFormat="1" outlineLevel="1" x14ac:dyDescent="0.2">
      <c r="A303" t="s">
        <v>1388</v>
      </c>
      <c r="B303" s="302" t="s">
        <v>704</v>
      </c>
      <c r="C303" s="249">
        <f>C269*C301</f>
        <v>8.5966924019978581</v>
      </c>
      <c r="D303" s="249">
        <f t="shared" ref="D303:AG303" si="230">D269*D301</f>
        <v>8.8113314105088225</v>
      </c>
      <c r="E303" s="249">
        <f t="shared" si="230"/>
        <v>9.0067579979268206</v>
      </c>
      <c r="F303" s="249">
        <f t="shared" si="230"/>
        <v>9.181478103464098</v>
      </c>
      <c r="G303" s="249">
        <f t="shared" si="230"/>
        <v>9.3341376674478358</v>
      </c>
      <c r="H303" s="249">
        <f t="shared" si="230"/>
        <v>9.463540093274597</v>
      </c>
      <c r="I303" s="249">
        <f t="shared" si="230"/>
        <v>9.4790618078774234</v>
      </c>
      <c r="J303" s="249">
        <f t="shared" si="230"/>
        <v>9.4878677862627594</v>
      </c>
      <c r="K303" s="249">
        <f t="shared" si="230"/>
        <v>9.4898907801351733</v>
      </c>
      <c r="L303" s="249">
        <f t="shared" si="230"/>
        <v>9.4850764644597447</v>
      </c>
      <c r="M303" s="249">
        <f t="shared" si="230"/>
        <v>9.4733837419940503</v>
      </c>
      <c r="N303" s="249">
        <f t="shared" si="230"/>
        <v>9.4371716943513082</v>
      </c>
      <c r="O303" s="249">
        <f t="shared" si="230"/>
        <v>9.3805889648529082</v>
      </c>
      <c r="P303" s="249">
        <f t="shared" si="230"/>
        <v>9.302286619383155</v>
      </c>
      <c r="Q303" s="249">
        <f t="shared" si="230"/>
        <v>9.2042768900516823</v>
      </c>
      <c r="R303" s="249">
        <f t="shared" si="230"/>
        <v>9.087102225015208</v>
      </c>
      <c r="S303" s="249">
        <f t="shared" si="230"/>
        <v>8.9925178914894275</v>
      </c>
      <c r="T303" s="249">
        <f t="shared" si="230"/>
        <v>8.8956636816113761</v>
      </c>
      <c r="U303" s="249">
        <f t="shared" si="230"/>
        <v>8.7965940083922636</v>
      </c>
      <c r="V303" s="249">
        <f t="shared" si="230"/>
        <v>8.6953651741420046</v>
      </c>
      <c r="W303" s="249">
        <f t="shared" si="230"/>
        <v>8.5920353315421689</v>
      </c>
      <c r="X303" s="249">
        <f t="shared" si="230"/>
        <v>8.4867456754369766</v>
      </c>
      <c r="Y303" s="249">
        <f t="shared" si="230"/>
        <v>8.3795667833401826</v>
      </c>
      <c r="Z303" s="249">
        <f t="shared" si="230"/>
        <v>8.2666060427130148</v>
      </c>
      <c r="AA303" s="249">
        <f t="shared" si="230"/>
        <v>8.1518178094684082</v>
      </c>
      <c r="AB303" s="249">
        <f t="shared" si="230"/>
        <v>8.0352680768588947</v>
      </c>
      <c r="AC303" s="249">
        <f t="shared" si="230"/>
        <v>7.9037716989938582</v>
      </c>
      <c r="AD303" s="249">
        <f t="shared" si="230"/>
        <v>7.7707660383553332</v>
      </c>
      <c r="AE303" s="249">
        <f t="shared" si="230"/>
        <v>7.6363274002105532</v>
      </c>
      <c r="AF303" s="249">
        <f t="shared" si="230"/>
        <v>7.5005334575968634</v>
      </c>
      <c r="AG303" s="249">
        <f t="shared" si="230"/>
        <v>7.3634631951577392</v>
      </c>
      <c r="AI303" s="316"/>
      <c r="AJ303" s="211" t="s">
        <v>1363</v>
      </c>
    </row>
    <row r="304" spans="1:36" s="1" customFormat="1" outlineLevel="1" x14ac:dyDescent="0.2">
      <c r="A304" t="s">
        <v>1376</v>
      </c>
      <c r="B304" s="302" t="s">
        <v>704</v>
      </c>
      <c r="C304" s="249">
        <f>C270*(C302+C300)</f>
        <v>1.2136506920467565</v>
      </c>
      <c r="D304" s="249">
        <f t="shared" ref="D304:AG304" si="231">D270*(D302+D300)</f>
        <v>1.3116501751592278</v>
      </c>
      <c r="E304" s="249">
        <f t="shared" si="231"/>
        <v>1.4114412055774492</v>
      </c>
      <c r="F304" s="249">
        <f t="shared" si="231"/>
        <v>1.5124579272962695</v>
      </c>
      <c r="G304" s="249">
        <f t="shared" si="231"/>
        <v>1.614093997293081</v>
      </c>
      <c r="H304" s="249">
        <f t="shared" si="231"/>
        <v>1.7157083380237474</v>
      </c>
      <c r="I304" s="249">
        <f t="shared" si="231"/>
        <v>1.7996208969241165</v>
      </c>
      <c r="J304" s="249">
        <f t="shared" si="231"/>
        <v>1.8842400346016035</v>
      </c>
      <c r="K304" s="249">
        <f t="shared" si="231"/>
        <v>1.9694227605102306</v>
      </c>
      <c r="L304" s="249">
        <f t="shared" si="231"/>
        <v>2.0550201606038176</v>
      </c>
      <c r="M304" s="249">
        <f t="shared" si="231"/>
        <v>2.1408776818065629</v>
      </c>
      <c r="N304" s="249">
        <f t="shared" si="231"/>
        <v>2.2226870750262764</v>
      </c>
      <c r="O304" s="249">
        <f t="shared" si="231"/>
        <v>2.3007894174259356</v>
      </c>
      <c r="P304" s="249">
        <f t="shared" si="231"/>
        <v>2.3742575260510099</v>
      </c>
      <c r="Q304" s="249">
        <f t="shared" si="231"/>
        <v>2.4429752077238138</v>
      </c>
      <c r="R304" s="249">
        <f t="shared" si="231"/>
        <v>2.5064755474959131</v>
      </c>
      <c r="S304" s="249">
        <f t="shared" si="231"/>
        <v>2.5760934602060739</v>
      </c>
      <c r="T304" s="249">
        <f t="shared" si="231"/>
        <v>2.6451451020095722</v>
      </c>
      <c r="U304" s="249">
        <f t="shared" si="231"/>
        <v>2.7135580212844794</v>
      </c>
      <c r="V304" s="249">
        <f t="shared" si="231"/>
        <v>2.7812589606568472</v>
      </c>
      <c r="W304" s="249">
        <f t="shared" si="231"/>
        <v>2.8481739240350197</v>
      </c>
      <c r="X304" s="249">
        <f t="shared" si="231"/>
        <v>2.9142561405151119</v>
      </c>
      <c r="Y304" s="249">
        <f t="shared" si="231"/>
        <v>2.979436459662427</v>
      </c>
      <c r="Z304" s="249">
        <f t="shared" si="231"/>
        <v>3.0421866607511157</v>
      </c>
      <c r="AA304" s="249">
        <f t="shared" si="231"/>
        <v>3.1037637550778241</v>
      </c>
      <c r="AB304" s="249">
        <f t="shared" si="231"/>
        <v>3.1640884937189298</v>
      </c>
      <c r="AC304" s="249">
        <f t="shared" si="231"/>
        <v>3.2176859414788437</v>
      </c>
      <c r="AD304" s="249">
        <f t="shared" si="231"/>
        <v>3.2695583939583681</v>
      </c>
      <c r="AE304" s="249">
        <f t="shared" si="231"/>
        <v>3.3196202508718362</v>
      </c>
      <c r="AF304" s="249">
        <f t="shared" si="231"/>
        <v>3.3677857988888555</v>
      </c>
      <c r="AG304" s="249">
        <f t="shared" si="231"/>
        <v>3.4139692995731337</v>
      </c>
      <c r="AH304" s="249"/>
      <c r="AI304" s="316"/>
      <c r="AJ304" s="211" t="s">
        <v>1363</v>
      </c>
    </row>
    <row r="305" spans="1:36" s="1" customFormat="1" outlineLevel="1" x14ac:dyDescent="0.2">
      <c r="A305" t="s">
        <v>1377</v>
      </c>
      <c r="B305" s="302" t="s">
        <v>704</v>
      </c>
      <c r="C305" s="249">
        <f>C271*(C302+C300)</f>
        <v>0.30341267301168912</v>
      </c>
      <c r="D305" s="249">
        <f t="shared" ref="D305:AG305" si="232">D271*(D302+D300)</f>
        <v>0.32110937898088981</v>
      </c>
      <c r="E305" s="249">
        <f t="shared" si="232"/>
        <v>0.33827929720451266</v>
      </c>
      <c r="F305" s="249">
        <f t="shared" si="232"/>
        <v>0.35477408171147073</v>
      </c>
      <c r="G305" s="249">
        <f t="shared" si="232"/>
        <v>0.37044780265742855</v>
      </c>
      <c r="H305" s="249">
        <f t="shared" si="232"/>
        <v>0.38515901465839242</v>
      </c>
      <c r="I305" s="249">
        <f t="shared" si="232"/>
        <v>0.39503873347114771</v>
      </c>
      <c r="J305" s="249">
        <f t="shared" si="232"/>
        <v>0.40431061471208518</v>
      </c>
      <c r="K305" s="249">
        <f t="shared" si="232"/>
        <v>0.412943482042468</v>
      </c>
      <c r="L305" s="249">
        <f t="shared" si="232"/>
        <v>0.42090774373813161</v>
      </c>
      <c r="M305" s="249">
        <f t="shared" si="232"/>
        <v>0.42817553636131295</v>
      </c>
      <c r="N305" s="249">
        <f t="shared" si="232"/>
        <v>0.43391102261469178</v>
      </c>
      <c r="O305" s="249">
        <f t="shared" si="232"/>
        <v>0.43824560331922624</v>
      </c>
      <c r="P305" s="249">
        <f t="shared" si="232"/>
        <v>0.44106760365374542</v>
      </c>
      <c r="Q305" s="249">
        <f t="shared" si="232"/>
        <v>0.44242858092636045</v>
      </c>
      <c r="R305" s="249">
        <f t="shared" si="232"/>
        <v>0.44231921426398524</v>
      </c>
      <c r="S305" s="249">
        <f t="shared" si="232"/>
        <v>0.44276606347291958</v>
      </c>
      <c r="T305" s="249">
        <f t="shared" si="232"/>
        <v>0.4425729159004349</v>
      </c>
      <c r="U305" s="249">
        <f t="shared" si="232"/>
        <v>0.44174200346491593</v>
      </c>
      <c r="V305" s="249">
        <f t="shared" si="232"/>
        <v>0.44027651500745529</v>
      </c>
      <c r="W305" s="249">
        <f t="shared" si="232"/>
        <v>0.43818060369769607</v>
      </c>
      <c r="X305" s="249">
        <f t="shared" si="232"/>
        <v>0.43546356122639684</v>
      </c>
      <c r="Y305" s="249">
        <f t="shared" si="232"/>
        <v>0.43213200559989484</v>
      </c>
      <c r="Z305" s="249">
        <f t="shared" si="232"/>
        <v>0.42798823744407416</v>
      </c>
      <c r="AA305" s="249">
        <f t="shared" si="232"/>
        <v>0.42324051205606783</v>
      </c>
      <c r="AB305" s="249">
        <f t="shared" si="232"/>
        <v>0.4178984803025011</v>
      </c>
      <c r="AC305" s="249">
        <f t="shared" si="232"/>
        <v>0.41128316545218407</v>
      </c>
      <c r="AD305" s="249">
        <f t="shared" si="232"/>
        <v>0.40410272284878812</v>
      </c>
      <c r="AE305" s="249">
        <f t="shared" si="232"/>
        <v>0.39637256726828002</v>
      </c>
      <c r="AF305" s="249">
        <f t="shared" si="232"/>
        <v>0.38810914410986924</v>
      </c>
      <c r="AG305" s="249">
        <f t="shared" si="232"/>
        <v>0.37932992217479261</v>
      </c>
      <c r="AI305" s="316"/>
      <c r="AJ305" s="211" t="s">
        <v>1363</v>
      </c>
    </row>
    <row r="306" spans="1:36" s="1" customFormat="1" outlineLevel="1" x14ac:dyDescent="0.2">
      <c r="A306" t="s">
        <v>1378</v>
      </c>
      <c r="B306" s="302" t="s">
        <v>704</v>
      </c>
      <c r="C306" s="249">
        <f>C299*C272</f>
        <v>0.50568778835281525</v>
      </c>
      <c r="D306" s="249">
        <f t="shared" ref="D306:AG306" si="233">D299*D272</f>
        <v>0.57665381259135762</v>
      </c>
      <c r="E306" s="249">
        <f t="shared" si="233"/>
        <v>0.65042365742583763</v>
      </c>
      <c r="F306" s="249">
        <f t="shared" si="233"/>
        <v>0.7266151709260894</v>
      </c>
      <c r="G306" s="249">
        <f t="shared" si="233"/>
        <v>0.80480273574999461</v>
      </c>
      <c r="H306" s="249">
        <f t="shared" si="233"/>
        <v>0.88452089383939403</v>
      </c>
      <c r="I306" s="249">
        <f t="shared" si="233"/>
        <v>0.95623005172633724</v>
      </c>
      <c r="J306" s="249">
        <f t="shared" si="233"/>
        <v>1.0290744954978959</v>
      </c>
      <c r="K306" s="249">
        <f t="shared" si="233"/>
        <v>1.1029457238439926</v>
      </c>
      <c r="L306" s="249">
        <f t="shared" si="233"/>
        <v>1.1777293914960441</v>
      </c>
      <c r="M306" s="249">
        <f t="shared" si="233"/>
        <v>1.2533054762242606</v>
      </c>
      <c r="N306" s="249">
        <f t="shared" si="233"/>
        <v>1.327071655052025</v>
      </c>
      <c r="O306" s="249">
        <f t="shared" si="233"/>
        <v>1.3990676048093782</v>
      </c>
      <c r="P306" s="249">
        <f t="shared" si="233"/>
        <v>1.4685815188339058</v>
      </c>
      <c r="Q306" s="249">
        <f t="shared" si="233"/>
        <v>1.5353894461951372</v>
      </c>
      <c r="R306" s="249">
        <f t="shared" si="233"/>
        <v>1.5990548853858368</v>
      </c>
      <c r="S306" s="249">
        <f t="shared" si="233"/>
        <v>1.6667742039178934</v>
      </c>
      <c r="T306" s="249">
        <f t="shared" si="233"/>
        <v>1.7343347456220617</v>
      </c>
      <c r="U306" s="249">
        <f t="shared" si="233"/>
        <v>1.8016785377400999</v>
      </c>
      <c r="V306" s="249">
        <f t="shared" si="233"/>
        <v>1.8687465685659239</v>
      </c>
      <c r="W306" s="249">
        <f t="shared" si="233"/>
        <v>1.9354788182465565</v>
      </c>
      <c r="X306" s="249">
        <f t="shared" si="233"/>
        <v>2.0018334521332295</v>
      </c>
      <c r="Y306" s="249">
        <f t="shared" si="233"/>
        <v>2.0677533686755649</v>
      </c>
      <c r="Z306" s="249">
        <f t="shared" si="233"/>
        <v>2.1321584442231942</v>
      </c>
      <c r="AA306" s="249">
        <f t="shared" si="233"/>
        <v>2.1958999678006705</v>
      </c>
      <c r="AB306" s="249">
        <f t="shared" si="233"/>
        <v>2.2589107043378434</v>
      </c>
      <c r="AC306" s="249">
        <f t="shared" si="233"/>
        <v>2.3172370429075442</v>
      </c>
      <c r="AD306" s="249">
        <f t="shared" si="233"/>
        <v>2.374402684253285</v>
      </c>
      <c r="AE306" s="249">
        <f t="shared" si="233"/>
        <v>2.4303308740701195</v>
      </c>
      <c r="AF306" s="249">
        <f t="shared" si="233"/>
        <v>2.4849439640619178</v>
      </c>
      <c r="AG306" s="249">
        <f t="shared" si="233"/>
        <v>2.5381634498460386</v>
      </c>
      <c r="AI306" s="316"/>
      <c r="AJ306" s="211" t="s">
        <v>1363</v>
      </c>
    </row>
    <row r="307" spans="1:36" s="1" customFormat="1" outlineLevel="1" x14ac:dyDescent="0.2">
      <c r="A307" t="s">
        <v>1389</v>
      </c>
      <c r="B307" s="302" t="s">
        <v>704</v>
      </c>
      <c r="C307" s="249">
        <f>C299*C273</f>
        <v>2.661514675541133E-2</v>
      </c>
      <c r="D307" s="249">
        <f t="shared" ref="D307:AG307" si="234">D299*D273</f>
        <v>3.1203333499321532E-2</v>
      </c>
      <c r="E307" s="249">
        <f t="shared" si="234"/>
        <v>3.6160076661957197E-2</v>
      </c>
      <c r="F307" s="249">
        <f t="shared" si="234"/>
        <v>4.1476975930241883E-2</v>
      </c>
      <c r="G307" s="249">
        <f t="shared" si="234"/>
        <v>4.7140880075687751E-2</v>
      </c>
      <c r="H307" s="249">
        <f t="shared" si="234"/>
        <v>5.3133763940882317E-2</v>
      </c>
      <c r="I307" s="249">
        <f t="shared" si="234"/>
        <v>5.8876160297375316E-2</v>
      </c>
      <c r="J307" s="249">
        <f t="shared" si="234"/>
        <v>6.4909730757840331E-2</v>
      </c>
      <c r="K307" s="249">
        <f t="shared" si="234"/>
        <v>7.1233542136127245E-2</v>
      </c>
      <c r="L307" s="249">
        <f t="shared" si="234"/>
        <v>7.7845652742808844E-2</v>
      </c>
      <c r="M307" s="249">
        <f t="shared" si="234"/>
        <v>8.4743074904843202E-2</v>
      </c>
      <c r="N307" s="249">
        <f t="shared" si="234"/>
        <v>9.1750499315785009E-2</v>
      </c>
      <c r="O307" s="249">
        <f t="shared" si="234"/>
        <v>9.8863449590384289E-2</v>
      </c>
      <c r="P307" s="249">
        <f t="shared" si="234"/>
        <v>0.10602339771424192</v>
      </c>
      <c r="Q307" s="249">
        <f t="shared" si="234"/>
        <v>0.11320337362784473</v>
      </c>
      <c r="R307" s="249">
        <f t="shared" si="234"/>
        <v>0.12035896986775113</v>
      </c>
      <c r="S307" s="249">
        <f t="shared" si="234"/>
        <v>0.12802931788888339</v>
      </c>
      <c r="T307" s="249">
        <f t="shared" si="234"/>
        <v>0.13590401673098826</v>
      </c>
      <c r="U307" s="249">
        <f t="shared" si="234"/>
        <v>0.1439786304457531</v>
      </c>
      <c r="V307" s="249">
        <f t="shared" si="234"/>
        <v>0.15224827847725261</v>
      </c>
      <c r="W307" s="249">
        <f t="shared" si="234"/>
        <v>0.16070762750783682</v>
      </c>
      <c r="X307" s="249">
        <f t="shared" si="234"/>
        <v>0.16935250462732307</v>
      </c>
      <c r="Y307" s="249">
        <f t="shared" si="234"/>
        <v>0.17817715486777133</v>
      </c>
      <c r="Z307" s="249">
        <f t="shared" si="234"/>
        <v>0.18708569380058485</v>
      </c>
      <c r="AA307" s="249">
        <f t="shared" si="234"/>
        <v>0.1961479274070316</v>
      </c>
      <c r="AB307" s="249">
        <f t="shared" si="234"/>
        <v>0.20535551857616757</v>
      </c>
      <c r="AC307" s="249">
        <f t="shared" si="234"/>
        <v>0.21434020717353103</v>
      </c>
      <c r="AD307" s="249">
        <f t="shared" si="234"/>
        <v>0.22341206875906183</v>
      </c>
      <c r="AE307" s="249">
        <f t="shared" si="234"/>
        <v>0.23255905369115096</v>
      </c>
      <c r="AF307" s="249">
        <f t="shared" si="234"/>
        <v>0.24176850564757504</v>
      </c>
      <c r="AG307" s="249">
        <f t="shared" si="234"/>
        <v>0.25102715438037743</v>
      </c>
      <c r="AI307" s="316"/>
      <c r="AJ307" s="211" t="s">
        <v>1363</v>
      </c>
    </row>
    <row r="308" spans="1:36" s="1" customFormat="1" outlineLevel="1" x14ac:dyDescent="0.2">
      <c r="A308" t="s">
        <v>1380</v>
      </c>
      <c r="B308" s="302" t="s">
        <v>704</v>
      </c>
      <c r="C308" s="249">
        <f t="shared" ref="C308:AG308" si="235">C304*C274</f>
        <v>0.32768568685262428</v>
      </c>
      <c r="D308" s="249">
        <f t="shared" si="235"/>
        <v>0.3488989465923546</v>
      </c>
      <c r="E308" s="249">
        <f t="shared" si="235"/>
        <v>0.36979759586129174</v>
      </c>
      <c r="F308" s="249">
        <f t="shared" si="235"/>
        <v>0.39021414524243753</v>
      </c>
      <c r="G308" s="249">
        <f t="shared" si="235"/>
        <v>0.40997987531244257</v>
      </c>
      <c r="H308" s="249">
        <f t="shared" si="235"/>
        <v>0.42892708450593686</v>
      </c>
      <c r="I308" s="249">
        <f t="shared" si="235"/>
        <v>0.44270674064333265</v>
      </c>
      <c r="J308" s="249">
        <f t="shared" si="235"/>
        <v>0.45598608837358801</v>
      </c>
      <c r="K308" s="249">
        <f t="shared" si="235"/>
        <v>0.46872261700143486</v>
      </c>
      <c r="L308" s="249">
        <f t="shared" si="235"/>
        <v>0.4808747175812933</v>
      </c>
      <c r="M308" s="249">
        <f t="shared" si="235"/>
        <v>0.4924018668155094</v>
      </c>
      <c r="N308" s="249">
        <f t="shared" si="235"/>
        <v>0.50232727895593843</v>
      </c>
      <c r="O308" s="249">
        <f t="shared" si="235"/>
        <v>0.51077525066855767</v>
      </c>
      <c r="P308" s="249">
        <f t="shared" si="235"/>
        <v>0.51758814067912007</v>
      </c>
      <c r="Q308" s="249">
        <f t="shared" si="235"/>
        <v>0.52279669445289612</v>
      </c>
      <c r="R308" s="249">
        <f t="shared" si="235"/>
        <v>0.52635986497414167</v>
      </c>
      <c r="S308" s="249">
        <f t="shared" si="235"/>
        <v>0.53067525280245109</v>
      </c>
      <c r="T308" s="249">
        <f t="shared" si="235"/>
        <v>0.53431931060593352</v>
      </c>
      <c r="U308" s="249">
        <f t="shared" si="235"/>
        <v>0.53728448821432684</v>
      </c>
      <c r="V308" s="249">
        <f t="shared" si="235"/>
        <v>0.53956423836742817</v>
      </c>
      <c r="W308" s="249">
        <f t="shared" si="235"/>
        <v>0.54115304556665356</v>
      </c>
      <c r="X308" s="249">
        <f t="shared" si="235"/>
        <v>0.5420516421358107</v>
      </c>
      <c r="Y308" s="249">
        <f t="shared" si="235"/>
        <v>0.54225743565856155</v>
      </c>
      <c r="Z308" s="249">
        <f t="shared" si="235"/>
        <v>0.54150922561369841</v>
      </c>
      <c r="AA308" s="249">
        <f t="shared" si="235"/>
        <v>0.54005489338354118</v>
      </c>
      <c r="AB308" s="249">
        <f t="shared" si="235"/>
        <v>0.53789504393221788</v>
      </c>
      <c r="AC308" s="249">
        <f t="shared" si="235"/>
        <v>0.53413586628548781</v>
      </c>
      <c r="AD308" s="249">
        <f t="shared" si="235"/>
        <v>0.52966845982125543</v>
      </c>
      <c r="AE308" s="249">
        <f t="shared" si="235"/>
        <v>0.52449999963774985</v>
      </c>
      <c r="AF308" s="249">
        <f t="shared" si="235"/>
        <v>0.51863901302888349</v>
      </c>
      <c r="AG308" s="249">
        <f t="shared" si="235"/>
        <v>0.51209539493597001</v>
      </c>
      <c r="AI308" s="316"/>
      <c r="AJ308" s="211"/>
    </row>
    <row r="309" spans="1:36" s="67" customFormat="1" x14ac:dyDescent="0.2">
      <c r="A309" s="345" t="s">
        <v>1381</v>
      </c>
      <c r="B309" s="308" t="s">
        <v>704</v>
      </c>
      <c r="C309" s="309">
        <f>C275*C$294</f>
        <v>1.8374362191430471</v>
      </c>
      <c r="D309" s="309">
        <f t="shared" ref="D309:AG314" si="236">D275*D$294</f>
        <v>2.008500996879516</v>
      </c>
      <c r="E309" s="309">
        <f t="shared" si="236"/>
        <v>2.1265543215811031</v>
      </c>
      <c r="F309" s="309">
        <f t="shared" si="236"/>
        <v>2.2432775463696921</v>
      </c>
      <c r="G309" s="309">
        <f t="shared" si="236"/>
        <v>2.3578532611210634</v>
      </c>
      <c r="H309" s="309">
        <f t="shared" si="236"/>
        <v>2.4694525791624118</v>
      </c>
      <c r="I309" s="309">
        <f t="shared" si="236"/>
        <v>2.5523430270560059</v>
      </c>
      <c r="J309" s="309">
        <f t="shared" si="236"/>
        <v>2.6342393109790594</v>
      </c>
      <c r="K309" s="309">
        <f t="shared" si="236"/>
        <v>2.7149856996060193</v>
      </c>
      <c r="L309" s="309">
        <f t="shared" si="236"/>
        <v>2.7944289944135265</v>
      </c>
      <c r="M309" s="309">
        <f t="shared" si="236"/>
        <v>2.872419279007961</v>
      </c>
      <c r="N309" s="309">
        <f t="shared" si="236"/>
        <v>2.9321034555970713</v>
      </c>
      <c r="O309" s="309">
        <f t="shared" si="236"/>
        <v>2.9846222670028912</v>
      </c>
      <c r="P309" s="309">
        <f t="shared" si="236"/>
        <v>3.0290610193868632</v>
      </c>
      <c r="Q309" s="309">
        <f t="shared" si="236"/>
        <v>3.0656508659881214</v>
      </c>
      <c r="R309" s="309">
        <f t="shared" si="236"/>
        <v>3.0941582781896817</v>
      </c>
      <c r="S309" s="309">
        <f t="shared" si="236"/>
        <v>3.1286374985607361</v>
      </c>
      <c r="T309" s="309">
        <f t="shared" si="236"/>
        <v>3.1607793557384221</v>
      </c>
      <c r="U309" s="309">
        <f t="shared" si="236"/>
        <v>3.1905684596306494</v>
      </c>
      <c r="V309" s="309">
        <f t="shared" si="236"/>
        <v>3.2179950862946081</v>
      </c>
      <c r="W309" s="309">
        <f t="shared" si="236"/>
        <v>3.2430554599763912</v>
      </c>
      <c r="X309" s="309">
        <f t="shared" si="236"/>
        <v>3.2464286044083468</v>
      </c>
      <c r="Y309" s="309">
        <f t="shared" si="236"/>
        <v>3.2465792687109762</v>
      </c>
      <c r="Z309" s="309">
        <f t="shared" si="236"/>
        <v>3.2419728863946702</v>
      </c>
      <c r="AA309" s="309">
        <f t="shared" si="236"/>
        <v>3.2341758598969497</v>
      </c>
      <c r="AB309" s="309">
        <f t="shared" si="236"/>
        <v>3.2232408555897774</v>
      </c>
      <c r="AC309" s="309">
        <f t="shared" si="236"/>
        <v>3.204102965894295</v>
      </c>
      <c r="AD309" s="309">
        <f t="shared" si="236"/>
        <v>3.1819924492057998</v>
      </c>
      <c r="AE309" s="309">
        <f t="shared" si="236"/>
        <v>3.1570279181711527</v>
      </c>
      <c r="AF309" s="309">
        <f t="shared" si="236"/>
        <v>3.1293426600725862</v>
      </c>
      <c r="AG309" s="309">
        <f t="shared" si="236"/>
        <v>3.0990851956237724</v>
      </c>
      <c r="AI309" s="337"/>
      <c r="AJ309" s="348"/>
    </row>
    <row r="310" spans="1:36" x14ac:dyDescent="0.2">
      <c r="A310" s="346" t="s">
        <v>1382</v>
      </c>
      <c r="B310" s="302" t="s">
        <v>704</v>
      </c>
      <c r="C310" s="249">
        <f t="shared" ref="C310:R314" si="237">C276*C$294</f>
        <v>4.2490712567682962</v>
      </c>
      <c r="D310" s="249">
        <f t="shared" si="237"/>
        <v>4.5150778458077827</v>
      </c>
      <c r="E310" s="249">
        <f t="shared" si="237"/>
        <v>4.6518375784586627</v>
      </c>
      <c r="F310" s="249">
        <f t="shared" si="237"/>
        <v>4.7797106811854233</v>
      </c>
      <c r="G310" s="249">
        <f t="shared" si="237"/>
        <v>4.8977466637257381</v>
      </c>
      <c r="H310" s="249">
        <f t="shared" si="237"/>
        <v>5.0050512095523878</v>
      </c>
      <c r="I310" s="249">
        <f t="shared" si="237"/>
        <v>5.0515122410483446</v>
      </c>
      <c r="J310" s="249">
        <f t="shared" si="237"/>
        <v>5.0949392078902411</v>
      </c>
      <c r="K310" s="249">
        <f t="shared" si="237"/>
        <v>5.1352525568205953</v>
      </c>
      <c r="L310" s="249">
        <f t="shared" si="237"/>
        <v>5.1723805906211897</v>
      </c>
      <c r="M310" s="249">
        <f t="shared" si="237"/>
        <v>5.2062599432019283</v>
      </c>
      <c r="N310" s="249">
        <f t="shared" si="237"/>
        <v>5.2071654356258952</v>
      </c>
      <c r="O310" s="249">
        <f t="shared" si="237"/>
        <v>5.1964405541568182</v>
      </c>
      <c r="P310" s="249">
        <f t="shared" si="237"/>
        <v>5.1731783397958768</v>
      </c>
      <c r="Q310" s="249">
        <f t="shared" si="237"/>
        <v>5.1384488946959976</v>
      </c>
      <c r="R310" s="249">
        <f t="shared" si="237"/>
        <v>5.0924688328538492</v>
      </c>
      <c r="S310" s="249">
        <f t="shared" si="236"/>
        <v>5.0585307381620579</v>
      </c>
      <c r="T310" s="249">
        <f t="shared" si="236"/>
        <v>5.0227810240790056</v>
      </c>
      <c r="U310" s="249">
        <f t="shared" si="236"/>
        <v>4.9852632181728866</v>
      </c>
      <c r="V310" s="249">
        <f t="shared" si="236"/>
        <v>4.9460256109502554</v>
      </c>
      <c r="W310" s="249">
        <f t="shared" si="236"/>
        <v>4.9051213832142881</v>
      </c>
      <c r="X310" s="249">
        <f t="shared" si="236"/>
        <v>4.833836708769776</v>
      </c>
      <c r="Y310" s="249">
        <f t="shared" si="236"/>
        <v>4.7606090238309937</v>
      </c>
      <c r="Z310" s="249">
        <f t="shared" si="236"/>
        <v>4.6832745115960686</v>
      </c>
      <c r="AA310" s="249">
        <f t="shared" si="236"/>
        <v>4.6042086894366232</v>
      </c>
      <c r="AB310" s="249">
        <f t="shared" si="236"/>
        <v>4.5235255189242833</v>
      </c>
      <c r="AC310" s="249">
        <f t="shared" si="236"/>
        <v>4.4342496403001332</v>
      </c>
      <c r="AD310" s="249">
        <f t="shared" si="236"/>
        <v>4.3438383763829105</v>
      </c>
      <c r="AE310" s="249">
        <f t="shared" si="236"/>
        <v>4.2524621742607041</v>
      </c>
      <c r="AF310" s="249">
        <f t="shared" si="236"/>
        <v>4.160301947448187</v>
      </c>
      <c r="AG310" s="249">
        <f t="shared" si="236"/>
        <v>4.0675493192562016</v>
      </c>
      <c r="AI310" s="296"/>
    </row>
    <row r="311" spans="1:36" x14ac:dyDescent="0.2">
      <c r="A311" s="346" t="s">
        <v>1383</v>
      </c>
      <c r="B311" s="302" t="s">
        <v>704</v>
      </c>
      <c r="C311" s="249">
        <f t="shared" si="237"/>
        <v>0.91871810957152356</v>
      </c>
      <c r="D311" s="249">
        <f t="shared" si="236"/>
        <v>0.94350954087283712</v>
      </c>
      <c r="E311" s="249">
        <f t="shared" si="236"/>
        <v>0.93867436851040864</v>
      </c>
      <c r="F311" s="249">
        <f t="shared" si="236"/>
        <v>0.93045034593742892</v>
      </c>
      <c r="G311" s="249">
        <f t="shared" si="236"/>
        <v>0.91886928558394354</v>
      </c>
      <c r="H311" s="249">
        <f t="shared" si="236"/>
        <v>0.90399603344338264</v>
      </c>
      <c r="I311" s="249">
        <f t="shared" si="236"/>
        <v>0.87736791555050164</v>
      </c>
      <c r="J311" s="249">
        <f t="shared" si="236"/>
        <v>0.8498981560760136</v>
      </c>
      <c r="K311" s="249">
        <f t="shared" si="236"/>
        <v>0.82164040909129488</v>
      </c>
      <c r="L311" s="249">
        <f t="shared" si="236"/>
        <v>0.79265053206922098</v>
      </c>
      <c r="M311" s="249">
        <f t="shared" si="236"/>
        <v>0.76298637098648925</v>
      </c>
      <c r="N311" s="249">
        <f t="shared" si="236"/>
        <v>0.72855619399744254</v>
      </c>
      <c r="O311" s="249">
        <f t="shared" si="236"/>
        <v>0.69285874055424213</v>
      </c>
      <c r="P311" s="249">
        <f t="shared" si="236"/>
        <v>0.65600304053581737</v>
      </c>
      <c r="Q311" s="249">
        <f t="shared" si="236"/>
        <v>0.61835571444646731</v>
      </c>
      <c r="R311" s="249">
        <f t="shared" si="236"/>
        <v>0.5801546771605649</v>
      </c>
      <c r="S311" s="249">
        <f t="shared" si="236"/>
        <v>0.54411086931491026</v>
      </c>
      <c r="T311" s="249">
        <f t="shared" si="236"/>
        <v>0.50858284846322976</v>
      </c>
      <c r="U311" s="249">
        <f t="shared" si="236"/>
        <v>0.47360000572642408</v>
      </c>
      <c r="V311" s="249">
        <f t="shared" si="236"/>
        <v>0.43919065591010548</v>
      </c>
      <c r="W311" s="249">
        <f t="shared" si="236"/>
        <v>0.4053819324970484</v>
      </c>
      <c r="X311" s="249">
        <f t="shared" si="236"/>
        <v>0.36999737770830371</v>
      </c>
      <c r="Y311" s="249">
        <f t="shared" si="236"/>
        <v>0.33558391479464367</v>
      </c>
      <c r="Z311" s="249">
        <f t="shared" si="236"/>
        <v>0.30202341748252182</v>
      </c>
      <c r="AA311" s="249">
        <f t="shared" si="236"/>
        <v>0.26951465499141192</v>
      </c>
      <c r="AB311" s="249">
        <f t="shared" si="236"/>
        <v>0.23808029046969895</v>
      </c>
      <c r="AC311" s="249">
        <f t="shared" si="236"/>
        <v>0.20740845091726409</v>
      </c>
      <c r="AD311" s="249">
        <f t="shared" si="236"/>
        <v>0.17794036722532383</v>
      </c>
      <c r="AE311" s="249">
        <f t="shared" si="236"/>
        <v>0.14968666853397655</v>
      </c>
      <c r="AF311" s="249">
        <f t="shared" si="236"/>
        <v>0.12265432036301402</v>
      </c>
      <c r="AG311" s="249">
        <f t="shared" si="236"/>
        <v>9.6846412363242887E-2</v>
      </c>
      <c r="AI311" s="296"/>
    </row>
    <row r="312" spans="1:36" x14ac:dyDescent="0.2">
      <c r="A312" s="346" t="s">
        <v>1384</v>
      </c>
      <c r="B312" s="302" t="s">
        <v>704</v>
      </c>
      <c r="C312" s="249">
        <f t="shared" si="237"/>
        <v>3.1006736198038918</v>
      </c>
      <c r="D312" s="249">
        <f t="shared" si="236"/>
        <v>3.2354683397313178</v>
      </c>
      <c r="E312" s="249">
        <f t="shared" si="236"/>
        <v>3.2729000105584172</v>
      </c>
      <c r="F312" s="249">
        <f t="shared" si="236"/>
        <v>3.3011868438054002</v>
      </c>
      <c r="G312" s="249">
        <f t="shared" si="236"/>
        <v>3.3200654375344398</v>
      </c>
      <c r="H312" s="249">
        <f t="shared" si="236"/>
        <v>3.3293512451207534</v>
      </c>
      <c r="I312" s="249">
        <f t="shared" si="236"/>
        <v>3.2967764099473427</v>
      </c>
      <c r="J312" s="249">
        <f t="shared" si="236"/>
        <v>3.2616510387629249</v>
      </c>
      <c r="K312" s="249">
        <f t="shared" si="236"/>
        <v>3.2240455182821495</v>
      </c>
      <c r="L312" s="249">
        <f t="shared" si="236"/>
        <v>3.1840368830577215</v>
      </c>
      <c r="M312" s="249">
        <f t="shared" si="236"/>
        <v>3.1417085864149588</v>
      </c>
      <c r="N312" s="249">
        <f t="shared" si="236"/>
        <v>3.0796025623572909</v>
      </c>
      <c r="O312" s="249">
        <f t="shared" si="236"/>
        <v>3.011270680101132</v>
      </c>
      <c r="P312" s="249">
        <f t="shared" si="236"/>
        <v>2.9366042150160436</v>
      </c>
      <c r="Q312" s="249">
        <f t="shared" si="236"/>
        <v>2.8566292160343867</v>
      </c>
      <c r="R312" s="249">
        <f t="shared" si="236"/>
        <v>2.77185012421159</v>
      </c>
      <c r="S312" s="249">
        <f t="shared" si="236"/>
        <v>2.695049149575417</v>
      </c>
      <c r="T312" s="249">
        <f t="shared" si="236"/>
        <v>2.618571194980102</v>
      </c>
      <c r="U312" s="249">
        <f t="shared" si="236"/>
        <v>2.5424842412681734</v>
      </c>
      <c r="V312" s="249">
        <f t="shared" si="236"/>
        <v>2.4668559271212489</v>
      </c>
      <c r="W312" s="249">
        <f t="shared" si="236"/>
        <v>2.3917534017325877</v>
      </c>
      <c r="X312" s="249">
        <f t="shared" si="236"/>
        <v>2.3035320612162153</v>
      </c>
      <c r="Y312" s="249">
        <f t="shared" si="236"/>
        <v>2.2164146930622994</v>
      </c>
      <c r="Z312" s="249">
        <f t="shared" si="236"/>
        <v>2.1294562473134784</v>
      </c>
      <c r="AA312" s="249">
        <f t="shared" si="236"/>
        <v>2.043819467018209</v>
      </c>
      <c r="AB312" s="249">
        <f t="shared" si="236"/>
        <v>1.959583929250601</v>
      </c>
      <c r="AC312" s="249">
        <f t="shared" si="236"/>
        <v>1.8738280738042501</v>
      </c>
      <c r="AD312" s="249">
        <f t="shared" si="236"/>
        <v>1.7898707526782596</v>
      </c>
      <c r="AE312" s="249">
        <f t="shared" si="236"/>
        <v>1.7077888091830988</v>
      </c>
      <c r="AF312" s="249">
        <f t="shared" si="236"/>
        <v>1.6276559810335136</v>
      </c>
      <c r="AG312" s="249">
        <f t="shared" si="236"/>
        <v>1.5495425978118862</v>
      </c>
      <c r="AI312" s="296"/>
    </row>
    <row r="313" spans="1:36" x14ac:dyDescent="0.2">
      <c r="A313" s="346" t="s">
        <v>1385</v>
      </c>
      <c r="B313" s="302" t="s">
        <v>704</v>
      </c>
      <c r="C313" s="249">
        <f t="shared" si="237"/>
        <v>0.80387834587508311</v>
      </c>
      <c r="D313" s="249">
        <f t="shared" si="236"/>
        <v>0.84632400876576386</v>
      </c>
      <c r="E313" s="249">
        <f t="shared" si="236"/>
        <v>0.86391269314232311</v>
      </c>
      <c r="F313" s="249">
        <f t="shared" si="236"/>
        <v>0.87946676533811796</v>
      </c>
      <c r="G313" s="249">
        <f t="shared" si="236"/>
        <v>0.8928635510862849</v>
      </c>
      <c r="H313" s="249">
        <f t="shared" si="236"/>
        <v>0.90399603344338275</v>
      </c>
      <c r="I313" s="249">
        <f t="shared" si="236"/>
        <v>0.90395482208233524</v>
      </c>
      <c r="J313" s="249">
        <f t="shared" si="236"/>
        <v>0.90329489886613001</v>
      </c>
      <c r="K313" s="249">
        <f t="shared" si="236"/>
        <v>0.90201827519805222</v>
      </c>
      <c r="L313" s="249">
        <f t="shared" si="236"/>
        <v>0.90012857031589522</v>
      </c>
      <c r="M313" s="249">
        <f t="shared" si="236"/>
        <v>0.89763102468998746</v>
      </c>
      <c r="N313" s="249">
        <f t="shared" si="236"/>
        <v>0.88946431046313545</v>
      </c>
      <c r="O313" s="249">
        <f t="shared" si="236"/>
        <v>0.8793976322419228</v>
      </c>
      <c r="P313" s="249">
        <f t="shared" si="236"/>
        <v>0.86733287909769141</v>
      </c>
      <c r="Q313" s="249">
        <f t="shared" si="236"/>
        <v>0.85350507064441961</v>
      </c>
      <c r="R313" s="249">
        <f t="shared" si="236"/>
        <v>0.83800120034303816</v>
      </c>
      <c r="S313" s="249">
        <f t="shared" si="236"/>
        <v>0.82466803630541075</v>
      </c>
      <c r="T313" s="249">
        <f t="shared" si="236"/>
        <v>0.81121065911903578</v>
      </c>
      <c r="U313" s="249">
        <f t="shared" si="236"/>
        <v>0.79764211490766146</v>
      </c>
      <c r="V313" s="249">
        <f t="shared" si="236"/>
        <v>0.78397584372738449</v>
      </c>
      <c r="W313" s="249">
        <f t="shared" si="236"/>
        <v>0.77022567174439183</v>
      </c>
      <c r="X313" s="249">
        <f t="shared" si="236"/>
        <v>0.75193015469752034</v>
      </c>
      <c r="Y313" s="249">
        <f t="shared" si="236"/>
        <v>0.73360204629526737</v>
      </c>
      <c r="Z313" s="249">
        <f t="shared" si="236"/>
        <v>0.71491619074976676</v>
      </c>
      <c r="AA313" s="249">
        <f t="shared" si="236"/>
        <v>0.69624619206114757</v>
      </c>
      <c r="AB313" s="249">
        <f t="shared" si="236"/>
        <v>0.6776131344137587</v>
      </c>
      <c r="AC313" s="249">
        <f t="shared" si="236"/>
        <v>0.65798543049614855</v>
      </c>
      <c r="AD313" s="249">
        <f t="shared" si="236"/>
        <v>0.63849190592616256</v>
      </c>
      <c r="AE313" s="249">
        <f t="shared" si="236"/>
        <v>0.61915849257235833</v>
      </c>
      <c r="AF313" s="249">
        <f t="shared" si="236"/>
        <v>0.60001167528933996</v>
      </c>
      <c r="AG313" s="249">
        <f t="shared" si="236"/>
        <v>0.58107847417945735</v>
      </c>
      <c r="AI313" s="296"/>
    </row>
    <row r="314" spans="1:36" s="68" customFormat="1" x14ac:dyDescent="0.2">
      <c r="A314" s="347" t="s">
        <v>1386</v>
      </c>
      <c r="B314" s="312" t="s">
        <v>704</v>
      </c>
      <c r="C314" s="313">
        <f t="shared" si="237"/>
        <v>0.57419881848220222</v>
      </c>
      <c r="D314" s="313">
        <f t="shared" si="236"/>
        <v>0.59931078132695237</v>
      </c>
      <c r="E314" s="313">
        <f t="shared" si="236"/>
        <v>0.60640025576336143</v>
      </c>
      <c r="F314" s="313">
        <f t="shared" si="236"/>
        <v>0.61180296719173421</v>
      </c>
      <c r="G314" s="313">
        <f t="shared" si="236"/>
        <v>0.6154690497779246</v>
      </c>
      <c r="H314" s="313">
        <f t="shared" si="236"/>
        <v>0.61736314479060284</v>
      </c>
      <c r="I314" s="313">
        <f t="shared" si="236"/>
        <v>0.61149885023216799</v>
      </c>
      <c r="J314" s="313">
        <f t="shared" si="236"/>
        <v>0.60516308495464866</v>
      </c>
      <c r="K314" s="313">
        <f t="shared" si="236"/>
        <v>0.59836855879474748</v>
      </c>
      <c r="L314" s="313">
        <f t="shared" si="236"/>
        <v>0.59112921035670729</v>
      </c>
      <c r="M314" s="313">
        <f t="shared" si="236"/>
        <v>0.58346016604849182</v>
      </c>
      <c r="N314" s="313">
        <f t="shared" si="236"/>
        <v>0.57211774743357457</v>
      </c>
      <c r="O314" s="313">
        <f t="shared" si="236"/>
        <v>0.5596166750630418</v>
      </c>
      <c r="P314" s="313">
        <f t="shared" si="236"/>
        <v>0.54593541628484132</v>
      </c>
      <c r="Q314" s="313">
        <f t="shared" si="236"/>
        <v>0.5312633602990775</v>
      </c>
      <c r="R314" s="313">
        <f t="shared" si="236"/>
        <v>0.51569304636494651</v>
      </c>
      <c r="S314" s="313">
        <f t="shared" si="236"/>
        <v>0.50160220764968289</v>
      </c>
      <c r="T314" s="313">
        <f t="shared" si="236"/>
        <v>0.48756702827879866</v>
      </c>
      <c r="U314" s="313">
        <f t="shared" si="236"/>
        <v>0.47360000572642402</v>
      </c>
      <c r="V314" s="313">
        <f t="shared" si="236"/>
        <v>0.459713583756372</v>
      </c>
      <c r="W314" s="313">
        <f t="shared" si="236"/>
        <v>0.44592012574675316</v>
      </c>
      <c r="X314" s="313">
        <f t="shared" si="236"/>
        <v>0.42967437411286868</v>
      </c>
      <c r="Y314" s="313">
        <f t="shared" si="236"/>
        <v>0.4136266856771188</v>
      </c>
      <c r="Z314" s="313">
        <f t="shared" si="236"/>
        <v>0.397600448331421</v>
      </c>
      <c r="AA314" s="313">
        <f t="shared" si="236"/>
        <v>0.38181242790450015</v>
      </c>
      <c r="AB314" s="313">
        <f t="shared" si="236"/>
        <v>0.36627736995338289</v>
      </c>
      <c r="AC314" s="313">
        <f t="shared" si="236"/>
        <v>0.35044876189468754</v>
      </c>
      <c r="AD314" s="313">
        <f t="shared" si="236"/>
        <v>0.33494657360060953</v>
      </c>
      <c r="AE314" s="313">
        <f t="shared" si="236"/>
        <v>0.31978515550440456</v>
      </c>
      <c r="AF314" s="313">
        <f t="shared" si="236"/>
        <v>0.30497831009181886</v>
      </c>
      <c r="AG314" s="313">
        <f t="shared" si="236"/>
        <v>0.29053923708972867</v>
      </c>
      <c r="AI314" s="314"/>
      <c r="AJ314" s="315"/>
    </row>
    <row r="315" spans="1:36" s="181" customFormat="1" x14ac:dyDescent="0.2">
      <c r="B315" s="176"/>
      <c r="C315" s="110"/>
      <c r="D315" s="110"/>
      <c r="E315" s="110"/>
      <c r="F315" s="110"/>
      <c r="G315" s="110"/>
      <c r="H315" s="110"/>
      <c r="I315" s="110"/>
      <c r="J315" s="110"/>
      <c r="K315" s="110"/>
      <c r="L315" s="110"/>
      <c r="M315" s="110"/>
      <c r="N315" s="110"/>
      <c r="O315" s="110"/>
      <c r="P315" s="110"/>
      <c r="Q315" s="110"/>
      <c r="R315" s="110"/>
      <c r="S315" s="110"/>
      <c r="T315" s="110"/>
      <c r="U315" s="110"/>
      <c r="V315" s="110"/>
      <c r="W315" s="110"/>
      <c r="X315" s="110"/>
      <c r="Y315" s="110"/>
      <c r="Z315" s="110"/>
      <c r="AA315" s="110"/>
      <c r="AB315" s="110"/>
      <c r="AC315" s="110"/>
      <c r="AD315" s="110"/>
      <c r="AE315" s="110"/>
      <c r="AF315" s="110"/>
      <c r="AG315" s="110"/>
      <c r="AJ315" s="323"/>
    </row>
    <row r="316" spans="1:36" s="181" customFormat="1" x14ac:dyDescent="0.2">
      <c r="A316" s="181" t="s">
        <v>1588</v>
      </c>
      <c r="B316" s="350" t="s">
        <v>704</v>
      </c>
      <c r="C316" s="230">
        <f>C249</f>
        <v>1.1899030376946831</v>
      </c>
      <c r="D316" s="230">
        <f t="shared" ref="D316:AG316" si="238">D249</f>
        <v>0.94653373630732363</v>
      </c>
      <c r="E316" s="230">
        <f t="shared" si="238"/>
        <v>1.0338979356609355</v>
      </c>
      <c r="F316" s="230">
        <f t="shared" si="238"/>
        <v>1.1235910700409444</v>
      </c>
      <c r="G316" s="230">
        <f t="shared" si="238"/>
        <v>1.2151503717594232</v>
      </c>
      <c r="H316" s="230">
        <f t="shared" si="238"/>
        <v>1.3080712704603494</v>
      </c>
      <c r="I316" s="230">
        <f t="shared" si="238"/>
        <v>1.3926898478522809</v>
      </c>
      <c r="J316" s="230">
        <f t="shared" si="238"/>
        <v>1.4784671386831723</v>
      </c>
      <c r="K316" s="230">
        <f t="shared" si="238"/>
        <v>1.5651984875603393</v>
      </c>
      <c r="L316" s="230">
        <f t="shared" si="238"/>
        <v>1.6526646404448961</v>
      </c>
      <c r="M316" s="230">
        <f t="shared" si="238"/>
        <v>1.7406318015718016</v>
      </c>
      <c r="N316" s="230">
        <f t="shared" si="238"/>
        <v>1.8767277904080322</v>
      </c>
      <c r="O316" s="230">
        <f t="shared" si="238"/>
        <v>2.010877955382008</v>
      </c>
      <c r="P316" s="230">
        <f t="shared" si="238"/>
        <v>2.1419037733313528</v>
      </c>
      <c r="Q316" s="230">
        <f t="shared" si="238"/>
        <v>2.2690414074951346</v>
      </c>
      <c r="R316" s="230">
        <f t="shared" si="238"/>
        <v>2.3913525542415348</v>
      </c>
      <c r="S316" s="230">
        <f t="shared" si="238"/>
        <v>2.5197255457583192</v>
      </c>
      <c r="T316" s="230">
        <f t="shared" si="238"/>
        <v>2.6477991469123534</v>
      </c>
      <c r="U316" s="230">
        <f t="shared" si="238"/>
        <v>2.7753849384795108</v>
      </c>
      <c r="V316" s="230">
        <f t="shared" si="238"/>
        <v>2.9022864110713225</v>
      </c>
      <c r="W316" s="230">
        <f t="shared" si="238"/>
        <v>3.028298878381217</v>
      </c>
      <c r="X316" s="230">
        <f t="shared" si="238"/>
        <v>3.2243965350382924</v>
      </c>
      <c r="Y316" s="230">
        <f t="shared" si="238"/>
        <v>3.4197328289927365</v>
      </c>
      <c r="Z316" s="230">
        <f t="shared" si="238"/>
        <v>3.6123282712350431</v>
      </c>
      <c r="AA316" s="230">
        <f t="shared" si="238"/>
        <v>3.8032034478043899</v>
      </c>
      <c r="AB316" s="230">
        <f t="shared" si="238"/>
        <v>3.9920206820307507</v>
      </c>
      <c r="AC316" s="230">
        <f t="shared" si="238"/>
        <v>4.1706186851740918</v>
      </c>
      <c r="AD316" s="230">
        <f t="shared" si="238"/>
        <v>4.3454110393003598</v>
      </c>
      <c r="AE316" s="230">
        <f t="shared" si="238"/>
        <v>4.5159501789506908</v>
      </c>
      <c r="AF316" s="230">
        <f t="shared" si="238"/>
        <v>4.6817714972340303</v>
      </c>
      <c r="AG316" s="230">
        <f t="shared" si="238"/>
        <v>4.8423931606882924</v>
      </c>
      <c r="AI316" s="694" t="s">
        <v>1391</v>
      </c>
      <c r="AJ316" s="323"/>
    </row>
    <row r="317" spans="1:36" s="181" customFormat="1" x14ac:dyDescent="0.2">
      <c r="A317" s="181" t="s">
        <v>1589</v>
      </c>
      <c r="B317" s="349" t="s">
        <v>704</v>
      </c>
      <c r="C317" s="249">
        <f>C316/(1-C274)</f>
        <v>1.6300041612255933</v>
      </c>
      <c r="D317" s="249">
        <f t="shared" ref="D317:AG317" si="239">D316/(1-D274)</f>
        <v>1.2895554990562992</v>
      </c>
      <c r="E317" s="249">
        <f t="shared" si="239"/>
        <v>1.4009457122776903</v>
      </c>
      <c r="F317" s="249">
        <f t="shared" si="239"/>
        <v>1.5142736793004641</v>
      </c>
      <c r="G317" s="249">
        <f t="shared" si="239"/>
        <v>1.6288878978008354</v>
      </c>
      <c r="H317" s="249">
        <f t="shared" si="239"/>
        <v>1.7440950272804658</v>
      </c>
      <c r="I317" s="249">
        <f t="shared" si="239"/>
        <v>1.8470687637298155</v>
      </c>
      <c r="J317" s="249">
        <f t="shared" si="239"/>
        <v>1.9504843518247654</v>
      </c>
      <c r="K317" s="249">
        <f t="shared" si="239"/>
        <v>2.0540662566408652</v>
      </c>
      <c r="L317" s="249">
        <f t="shared" si="239"/>
        <v>2.1575256402674885</v>
      </c>
      <c r="M317" s="249">
        <f t="shared" si="239"/>
        <v>2.2605607812620798</v>
      </c>
      <c r="N317" s="249">
        <f t="shared" si="239"/>
        <v>2.4247129075039173</v>
      </c>
      <c r="O317" s="249">
        <f t="shared" si="239"/>
        <v>2.584676035195383</v>
      </c>
      <c r="P317" s="249">
        <f t="shared" si="239"/>
        <v>2.7390073827766659</v>
      </c>
      <c r="Q317" s="249">
        <f t="shared" si="239"/>
        <v>2.8868211291286698</v>
      </c>
      <c r="R317" s="249">
        <f t="shared" si="239"/>
        <v>3.0270285496728286</v>
      </c>
      <c r="S317" s="249">
        <f t="shared" si="239"/>
        <v>3.1734578661943567</v>
      </c>
      <c r="T317" s="249">
        <f t="shared" si="239"/>
        <v>3.3180440437498162</v>
      </c>
      <c r="U317" s="249">
        <f t="shared" si="239"/>
        <v>3.4605797237899134</v>
      </c>
      <c r="V317" s="249">
        <f t="shared" si="239"/>
        <v>3.6008516266393578</v>
      </c>
      <c r="W317" s="249">
        <f t="shared" si="239"/>
        <v>3.7386405905940947</v>
      </c>
      <c r="X317" s="249">
        <f t="shared" si="239"/>
        <v>3.9611751044696462</v>
      </c>
      <c r="Y317" s="249">
        <f t="shared" si="239"/>
        <v>4.1806024804312178</v>
      </c>
      <c r="Z317" s="249">
        <f t="shared" si="239"/>
        <v>4.3945599406752347</v>
      </c>
      <c r="AA317" s="249">
        <f t="shared" si="239"/>
        <v>4.6043625276082194</v>
      </c>
      <c r="AB317" s="249">
        <f t="shared" si="239"/>
        <v>4.8096634723262053</v>
      </c>
      <c r="AC317" s="249">
        <f t="shared" si="239"/>
        <v>5.0007418287459133</v>
      </c>
      <c r="AD317" s="249">
        <f t="shared" si="239"/>
        <v>5.1854547008357512</v>
      </c>
      <c r="AE317" s="249">
        <f t="shared" si="239"/>
        <v>5.3633612576611522</v>
      </c>
      <c r="AF317" s="249">
        <f t="shared" si="239"/>
        <v>5.5340088619787586</v>
      </c>
      <c r="AG317" s="249">
        <f t="shared" si="239"/>
        <v>5.6969331302215203</v>
      </c>
      <c r="AI317" s="694"/>
      <c r="AJ317" s="323"/>
    </row>
    <row r="318" spans="1:36" s="181" customFormat="1" x14ac:dyDescent="0.2">
      <c r="A318" s="181" t="s">
        <v>1590</v>
      </c>
      <c r="B318" s="349" t="s">
        <v>704</v>
      </c>
      <c r="C318" s="249">
        <f>C306</f>
        <v>0.50568778835281525</v>
      </c>
      <c r="D318" s="249">
        <f t="shared" ref="D318:AG318" si="240">D306</f>
        <v>0.57665381259135762</v>
      </c>
      <c r="E318" s="249">
        <f t="shared" si="240"/>
        <v>0.65042365742583763</v>
      </c>
      <c r="F318" s="249">
        <f t="shared" si="240"/>
        <v>0.7266151709260894</v>
      </c>
      <c r="G318" s="249">
        <f t="shared" si="240"/>
        <v>0.80480273574999461</v>
      </c>
      <c r="H318" s="249">
        <f t="shared" si="240"/>
        <v>0.88452089383939403</v>
      </c>
      <c r="I318" s="249">
        <f t="shared" si="240"/>
        <v>0.95623005172633724</v>
      </c>
      <c r="J318" s="249">
        <f t="shared" si="240"/>
        <v>1.0290744954978959</v>
      </c>
      <c r="K318" s="249">
        <f t="shared" si="240"/>
        <v>1.1029457238439926</v>
      </c>
      <c r="L318" s="249">
        <f t="shared" si="240"/>
        <v>1.1777293914960441</v>
      </c>
      <c r="M318" s="249">
        <f t="shared" si="240"/>
        <v>1.2533054762242606</v>
      </c>
      <c r="N318" s="249">
        <f t="shared" si="240"/>
        <v>1.327071655052025</v>
      </c>
      <c r="O318" s="249">
        <f t="shared" si="240"/>
        <v>1.3990676048093782</v>
      </c>
      <c r="P318" s="249">
        <f t="shared" si="240"/>
        <v>1.4685815188339058</v>
      </c>
      <c r="Q318" s="249">
        <f t="shared" si="240"/>
        <v>1.5353894461951372</v>
      </c>
      <c r="R318" s="249">
        <f t="shared" si="240"/>
        <v>1.5990548853858368</v>
      </c>
      <c r="S318" s="249">
        <f t="shared" si="240"/>
        <v>1.6667742039178934</v>
      </c>
      <c r="T318" s="249">
        <f t="shared" si="240"/>
        <v>1.7343347456220617</v>
      </c>
      <c r="U318" s="249">
        <f t="shared" si="240"/>
        <v>1.8016785377400999</v>
      </c>
      <c r="V318" s="249">
        <f t="shared" si="240"/>
        <v>1.8687465685659239</v>
      </c>
      <c r="W318" s="249">
        <f t="shared" si="240"/>
        <v>1.9354788182465565</v>
      </c>
      <c r="X318" s="249">
        <f t="shared" si="240"/>
        <v>2.0018334521332295</v>
      </c>
      <c r="Y318" s="249">
        <f t="shared" si="240"/>
        <v>2.0677533686755649</v>
      </c>
      <c r="Z318" s="249">
        <f t="shared" si="240"/>
        <v>2.1321584442231942</v>
      </c>
      <c r="AA318" s="249">
        <f t="shared" si="240"/>
        <v>2.1958999678006705</v>
      </c>
      <c r="AB318" s="249">
        <f t="shared" si="240"/>
        <v>2.2589107043378434</v>
      </c>
      <c r="AC318" s="249">
        <f t="shared" si="240"/>
        <v>2.3172370429075442</v>
      </c>
      <c r="AD318" s="249">
        <f t="shared" si="240"/>
        <v>2.374402684253285</v>
      </c>
      <c r="AE318" s="249">
        <f t="shared" si="240"/>
        <v>2.4303308740701195</v>
      </c>
      <c r="AF318" s="249">
        <f t="shared" si="240"/>
        <v>2.4849439640619178</v>
      </c>
      <c r="AG318" s="249">
        <f t="shared" si="240"/>
        <v>2.5381634498460386</v>
      </c>
      <c r="AI318" s="694"/>
      <c r="AJ318" s="323"/>
    </row>
    <row r="319" spans="1:36" s="181" customFormat="1" x14ac:dyDescent="0.2">
      <c r="A319" s="181" t="s">
        <v>1591</v>
      </c>
      <c r="B319" s="349" t="s">
        <v>704</v>
      </c>
      <c r="C319" s="249">
        <f>C317-C318</f>
        <v>1.1243163728727781</v>
      </c>
      <c r="D319" s="249">
        <f t="shared" ref="D319:AG319" si="241">D317-D318</f>
        <v>0.71290168646494156</v>
      </c>
      <c r="E319" s="249">
        <f t="shared" si="241"/>
        <v>0.75052205485185264</v>
      </c>
      <c r="F319" s="249">
        <f t="shared" si="241"/>
        <v>0.78765850837437468</v>
      </c>
      <c r="G319" s="249">
        <f t="shared" si="241"/>
        <v>0.82408516205084081</v>
      </c>
      <c r="H319" s="249">
        <f t="shared" si="241"/>
        <v>0.85957413344107181</v>
      </c>
      <c r="I319" s="249">
        <f t="shared" si="241"/>
        <v>0.89083871200347831</v>
      </c>
      <c r="J319" s="249">
        <f t="shared" si="241"/>
        <v>0.92140985632686956</v>
      </c>
      <c r="K319" s="249">
        <f t="shared" si="241"/>
        <v>0.95112053279687259</v>
      </c>
      <c r="L319" s="249">
        <f t="shared" si="241"/>
        <v>0.97979624877144444</v>
      </c>
      <c r="M319" s="249">
        <f t="shared" si="241"/>
        <v>1.0072553050378192</v>
      </c>
      <c r="N319" s="249">
        <f t="shared" si="241"/>
        <v>1.0976412524518924</v>
      </c>
      <c r="O319" s="249">
        <f t="shared" si="241"/>
        <v>1.1856084303860048</v>
      </c>
      <c r="P319" s="249">
        <f t="shared" si="241"/>
        <v>1.2704258639427601</v>
      </c>
      <c r="Q319" s="249">
        <f t="shared" si="241"/>
        <v>1.3514316829335327</v>
      </c>
      <c r="R319" s="249">
        <f t="shared" si="241"/>
        <v>1.4279736642869918</v>
      </c>
      <c r="S319" s="249">
        <f t="shared" si="241"/>
        <v>1.5066836622764632</v>
      </c>
      <c r="T319" s="249">
        <f t="shared" si="241"/>
        <v>1.5837092981277545</v>
      </c>
      <c r="U319" s="249">
        <f t="shared" si="241"/>
        <v>1.6589011860498135</v>
      </c>
      <c r="V319" s="249">
        <f t="shared" si="241"/>
        <v>1.7321050580734338</v>
      </c>
      <c r="W319" s="249">
        <f t="shared" si="241"/>
        <v>1.8031617723475382</v>
      </c>
      <c r="X319" s="249">
        <f t="shared" si="241"/>
        <v>1.9593416523364167</v>
      </c>
      <c r="Y319" s="249">
        <f t="shared" si="241"/>
        <v>2.1128491117556529</v>
      </c>
      <c r="Z319" s="249">
        <f t="shared" si="241"/>
        <v>2.2624014964520405</v>
      </c>
      <c r="AA319" s="249">
        <f t="shared" si="241"/>
        <v>2.4084625598075489</v>
      </c>
      <c r="AB319" s="249">
        <f t="shared" si="241"/>
        <v>2.5507527679883619</v>
      </c>
      <c r="AC319" s="249">
        <f t="shared" si="241"/>
        <v>2.6835047858383692</v>
      </c>
      <c r="AD319" s="249">
        <f t="shared" si="241"/>
        <v>2.8110520165824662</v>
      </c>
      <c r="AE319" s="249">
        <f t="shared" si="241"/>
        <v>2.9330303835910327</v>
      </c>
      <c r="AF319" s="249">
        <f t="shared" si="241"/>
        <v>3.0490648979168409</v>
      </c>
      <c r="AG319" s="249">
        <f t="shared" si="241"/>
        <v>3.1587696803754817</v>
      </c>
      <c r="AI319" s="694"/>
      <c r="AJ319" s="323"/>
    </row>
    <row r="320" spans="1:36" s="181" customFormat="1" x14ac:dyDescent="0.2">
      <c r="A320" s="181" t="s">
        <v>1592</v>
      </c>
      <c r="B320" s="349" t="s">
        <v>704</v>
      </c>
      <c r="C320" s="249">
        <f>(C319)/(1-C271)</f>
        <v>1.4053954660909724</v>
      </c>
      <c r="D320" s="249">
        <f t="shared" ref="D320:AG320" si="242">(D317-D306)/(1-D271)</f>
        <v>0.88742948522606835</v>
      </c>
      <c r="E320" s="249">
        <f t="shared" si="242"/>
        <v>0.93039924155188347</v>
      </c>
      <c r="F320" s="249">
        <f t="shared" si="242"/>
        <v>0.97241791157330215</v>
      </c>
      <c r="G320" s="249">
        <f t="shared" si="242"/>
        <v>1.0132194615379191</v>
      </c>
      <c r="H320" s="249">
        <f t="shared" si="242"/>
        <v>1.0525397552339655</v>
      </c>
      <c r="I320" s="249">
        <f t="shared" si="242"/>
        <v>1.0863886731749737</v>
      </c>
      <c r="J320" s="249">
        <f t="shared" si="242"/>
        <v>1.1191212829881008</v>
      </c>
      <c r="K320" s="249">
        <f t="shared" si="242"/>
        <v>1.15054903160912</v>
      </c>
      <c r="L320" s="249">
        <f t="shared" si="242"/>
        <v>1.1804774081583669</v>
      </c>
      <c r="M320" s="249">
        <f t="shared" si="242"/>
        <v>1.2087063660453832</v>
      </c>
      <c r="N320" s="249">
        <f t="shared" si="242"/>
        <v>1.3119218156795529</v>
      </c>
      <c r="O320" s="249">
        <f t="shared" si="242"/>
        <v>1.411438607602387</v>
      </c>
      <c r="P320" s="249">
        <f t="shared" si="242"/>
        <v>1.5064338307621663</v>
      </c>
      <c r="Q320" s="249">
        <f t="shared" si="242"/>
        <v>1.5961791530711018</v>
      </c>
      <c r="R320" s="249">
        <f t="shared" si="242"/>
        <v>1.679969016808226</v>
      </c>
      <c r="S320" s="249">
        <f t="shared" si="242"/>
        <v>1.7656449167302304</v>
      </c>
      <c r="T320" s="249">
        <f t="shared" si="242"/>
        <v>1.8486878966471845</v>
      </c>
      <c r="U320" s="249">
        <f t="shared" si="242"/>
        <v>1.9289548674997834</v>
      </c>
      <c r="V320" s="249">
        <f t="shared" si="242"/>
        <v>2.0062992950657539</v>
      </c>
      <c r="W320" s="249">
        <f t="shared" si="242"/>
        <v>2.0805712757856214</v>
      </c>
      <c r="X320" s="249">
        <f t="shared" si="242"/>
        <v>2.2521168417659965</v>
      </c>
      <c r="Y320" s="249">
        <f t="shared" si="242"/>
        <v>2.4192928760560917</v>
      </c>
      <c r="Z320" s="249">
        <f t="shared" si="242"/>
        <v>2.5806861176259024</v>
      </c>
      <c r="AA320" s="249">
        <f t="shared" si="242"/>
        <v>2.7368892725085785</v>
      </c>
      <c r="AB320" s="249">
        <f t="shared" si="242"/>
        <v>2.887644643005693</v>
      </c>
      <c r="AC320" s="249">
        <f t="shared" si="242"/>
        <v>3.0265091569605671</v>
      </c>
      <c r="AD320" s="249">
        <f t="shared" si="242"/>
        <v>3.1584854118904122</v>
      </c>
      <c r="AE320" s="249">
        <f t="shared" si="242"/>
        <v>3.2832429667063807</v>
      </c>
      <c r="AF320" s="249">
        <f t="shared" si="242"/>
        <v>3.4004441240708267</v>
      </c>
      <c r="AG320" s="249">
        <f t="shared" si="242"/>
        <v>3.5097440893060905</v>
      </c>
      <c r="AI320" s="694"/>
      <c r="AJ320" s="323"/>
    </row>
    <row r="321" spans="1:37" s="181" customFormat="1" x14ac:dyDescent="0.2">
      <c r="A321" s="181" t="s">
        <v>1593</v>
      </c>
      <c r="B321" s="349" t="s">
        <v>704</v>
      </c>
      <c r="C321" s="249">
        <f>IF(C300&gt;C320,C320,C300)</f>
        <v>1.4053954660909724</v>
      </c>
      <c r="D321" s="249">
        <f t="shared" ref="D321:AG321" si="243">IF(D300&gt;D320,D320,D300)</f>
        <v>0.88742948522606835</v>
      </c>
      <c r="E321" s="249">
        <f t="shared" si="243"/>
        <v>0.93039924155188347</v>
      </c>
      <c r="F321" s="249">
        <f t="shared" si="243"/>
        <v>0.97241791157330215</v>
      </c>
      <c r="G321" s="249">
        <f t="shared" si="243"/>
        <v>1.0132194615379191</v>
      </c>
      <c r="H321" s="249">
        <f t="shared" si="243"/>
        <v>1.0525397552339655</v>
      </c>
      <c r="I321" s="249">
        <f t="shared" si="243"/>
        <v>1.0863886731749737</v>
      </c>
      <c r="J321" s="249">
        <f t="shared" si="243"/>
        <v>1.1191212829881008</v>
      </c>
      <c r="K321" s="249">
        <f t="shared" si="243"/>
        <v>1.15054903160912</v>
      </c>
      <c r="L321" s="249">
        <f t="shared" si="243"/>
        <v>1.1804774081583669</v>
      </c>
      <c r="M321" s="249">
        <f t="shared" si="243"/>
        <v>1.2087063660453832</v>
      </c>
      <c r="N321" s="249">
        <f t="shared" si="243"/>
        <v>1.3119218156795529</v>
      </c>
      <c r="O321" s="249">
        <f t="shared" si="243"/>
        <v>1.411438607602387</v>
      </c>
      <c r="P321" s="249">
        <f t="shared" si="243"/>
        <v>1.5064338307621663</v>
      </c>
      <c r="Q321" s="249">
        <f t="shared" si="243"/>
        <v>1.5961791530711018</v>
      </c>
      <c r="R321" s="249">
        <f t="shared" si="243"/>
        <v>1.679969016808226</v>
      </c>
      <c r="S321" s="249">
        <f t="shared" si="243"/>
        <v>1.7656449167302304</v>
      </c>
      <c r="T321" s="249">
        <f t="shared" si="243"/>
        <v>1.8486878966471845</v>
      </c>
      <c r="U321" s="249">
        <f t="shared" si="243"/>
        <v>1.9289548674997834</v>
      </c>
      <c r="V321" s="249">
        <f t="shared" si="243"/>
        <v>2.0062992950657539</v>
      </c>
      <c r="W321" s="249">
        <f t="shared" si="243"/>
        <v>2.0805712757856214</v>
      </c>
      <c r="X321" s="249">
        <f t="shared" si="243"/>
        <v>2.2521168417659965</v>
      </c>
      <c r="Y321" s="249">
        <f t="shared" si="243"/>
        <v>2.4192928760560917</v>
      </c>
      <c r="Z321" s="249">
        <f t="shared" si="243"/>
        <v>2.5806861176259024</v>
      </c>
      <c r="AA321" s="249">
        <f t="shared" si="243"/>
        <v>2.7368892725085785</v>
      </c>
      <c r="AB321" s="249">
        <f t="shared" si="243"/>
        <v>2.887644643005693</v>
      </c>
      <c r="AC321" s="249">
        <f t="shared" si="243"/>
        <v>3.0265091569605671</v>
      </c>
      <c r="AD321" s="249">
        <f t="shared" si="243"/>
        <v>3.1584854118904122</v>
      </c>
      <c r="AE321" s="249">
        <f t="shared" si="243"/>
        <v>3.2832429667063807</v>
      </c>
      <c r="AF321" s="249">
        <f t="shared" si="243"/>
        <v>3.4004441240708267</v>
      </c>
      <c r="AG321" s="249">
        <f t="shared" si="243"/>
        <v>3.5097440893060905</v>
      </c>
      <c r="AI321" s="694"/>
      <c r="AJ321" s="323"/>
    </row>
    <row r="322" spans="1:37" s="181" customFormat="1" x14ac:dyDescent="0.2">
      <c r="A322" s="181" t="s">
        <v>1594</v>
      </c>
      <c r="B322" s="349" t="s">
        <v>704</v>
      </c>
      <c r="C322" s="249">
        <f>IF(C320-C321&lt;0,0,C320-C321)</f>
        <v>0</v>
      </c>
      <c r="D322" s="249">
        <f t="shared" ref="D322:AG322" si="244">IF(D320-D321&lt;0,0,D320-D321)</f>
        <v>0</v>
      </c>
      <c r="E322" s="249">
        <f t="shared" si="244"/>
        <v>0</v>
      </c>
      <c r="F322" s="249">
        <f t="shared" si="244"/>
        <v>0</v>
      </c>
      <c r="G322" s="249">
        <f t="shared" si="244"/>
        <v>0</v>
      </c>
      <c r="H322" s="249">
        <f t="shared" si="244"/>
        <v>0</v>
      </c>
      <c r="I322" s="249">
        <f t="shared" si="244"/>
        <v>0</v>
      </c>
      <c r="J322" s="249">
        <f t="shared" si="244"/>
        <v>0</v>
      </c>
      <c r="K322" s="249">
        <f t="shared" si="244"/>
        <v>0</v>
      </c>
      <c r="L322" s="249">
        <f t="shared" si="244"/>
        <v>0</v>
      </c>
      <c r="M322" s="249">
        <f t="shared" si="244"/>
        <v>0</v>
      </c>
      <c r="N322" s="249">
        <f t="shared" si="244"/>
        <v>0</v>
      </c>
      <c r="O322" s="249">
        <f t="shared" si="244"/>
        <v>0</v>
      </c>
      <c r="P322" s="249">
        <f t="shared" si="244"/>
        <v>0</v>
      </c>
      <c r="Q322" s="249">
        <f t="shared" si="244"/>
        <v>0</v>
      </c>
      <c r="R322" s="249">
        <f t="shared" si="244"/>
        <v>0</v>
      </c>
      <c r="S322" s="249">
        <f t="shared" si="244"/>
        <v>0</v>
      </c>
      <c r="T322" s="249">
        <f t="shared" si="244"/>
        <v>0</v>
      </c>
      <c r="U322" s="249">
        <f t="shared" si="244"/>
        <v>0</v>
      </c>
      <c r="V322" s="249">
        <f t="shared" si="244"/>
        <v>0</v>
      </c>
      <c r="W322" s="249">
        <f t="shared" si="244"/>
        <v>0</v>
      </c>
      <c r="X322" s="249">
        <f t="shared" si="244"/>
        <v>0</v>
      </c>
      <c r="Y322" s="249">
        <f t="shared" si="244"/>
        <v>0</v>
      </c>
      <c r="Z322" s="249">
        <f t="shared" si="244"/>
        <v>0</v>
      </c>
      <c r="AA322" s="249">
        <f t="shared" si="244"/>
        <v>0</v>
      </c>
      <c r="AB322" s="249">
        <f t="shared" si="244"/>
        <v>0</v>
      </c>
      <c r="AC322" s="249">
        <f t="shared" si="244"/>
        <v>0</v>
      </c>
      <c r="AD322" s="249">
        <f t="shared" si="244"/>
        <v>0</v>
      </c>
      <c r="AE322" s="249">
        <f t="shared" si="244"/>
        <v>0</v>
      </c>
      <c r="AF322" s="249">
        <f t="shared" si="244"/>
        <v>0</v>
      </c>
      <c r="AG322" s="249">
        <f t="shared" si="244"/>
        <v>0</v>
      </c>
      <c r="AI322" s="694"/>
      <c r="AJ322" s="323"/>
    </row>
    <row r="323" spans="1:37" s="181" customFormat="1" x14ac:dyDescent="0.2">
      <c r="A323" s="181" t="s">
        <v>1595</v>
      </c>
      <c r="B323" s="349" t="s">
        <v>704</v>
      </c>
      <c r="C323" s="249">
        <f>C317*C274+C271*C320+C307+IF(C300&gt;C320,C300-C320,0)</f>
        <v>0.85946326247198923</v>
      </c>
      <c r="D323" s="249">
        <f t="shared" ref="D323:AG323" si="245">D317*D274+D271*D320+D307+IF(D300&gt;D320,D300-D320,0)</f>
        <v>1.294082963923473</v>
      </c>
      <c r="E323" s="249">
        <f t="shared" si="245"/>
        <v>1.402406301208821</v>
      </c>
      <c r="F323" s="249">
        <f t="shared" si="245"/>
        <v>1.5117330858231273</v>
      </c>
      <c r="G323" s="249">
        <f t="shared" si="245"/>
        <v>1.6213350440167689</v>
      </c>
      <c r="H323" s="249">
        <f t="shared" si="245"/>
        <v>1.730450740002067</v>
      </c>
      <c r="I323" s="249">
        <f t="shared" si="245"/>
        <v>1.8170759945666961</v>
      </c>
      <c r="J323" s="249">
        <f t="shared" si="245"/>
        <v>1.9040677368862529</v>
      </c>
      <c r="K323" s="249">
        <f t="shared" si="245"/>
        <v>1.9913470209724795</v>
      </c>
      <c r="L323" s="249">
        <f t="shared" si="245"/>
        <v>2.0788383081359063</v>
      </c>
      <c r="M323" s="249">
        <f t="shared" si="245"/>
        <v>2.1664699677251789</v>
      </c>
      <c r="N323" s="249">
        <f t="shared" si="245"/>
        <v>2.1986924616007468</v>
      </c>
      <c r="O323" s="249">
        <f t="shared" si="245"/>
        <v>2.2260881197629168</v>
      </c>
      <c r="P323" s="249">
        <f t="shared" si="245"/>
        <v>2.2480262729215514</v>
      </c>
      <c r="Q323" s="249">
        <f t="shared" si="245"/>
        <v>2.2649552009780223</v>
      </c>
      <c r="R323" s="249">
        <f t="shared" si="245"/>
        <v>2.2768560627719525</v>
      </c>
      <c r="S323" s="249">
        <f t="shared" si="245"/>
        <v>2.2939374997274524</v>
      </c>
      <c r="T323" s="249">
        <f t="shared" si="245"/>
        <v>2.3101576333507046</v>
      </c>
      <c r="U323" s="249">
        <f t="shared" si="245"/>
        <v>2.3255722544557393</v>
      </c>
      <c r="V323" s="249">
        <f t="shared" si="245"/>
        <v>2.3402439116361577</v>
      </c>
      <c r="W323" s="249">
        <f t="shared" si="245"/>
        <v>2.3542420951058936</v>
      </c>
      <c r="X323" s="249">
        <f t="shared" si="245"/>
        <v>2.2965091234637711</v>
      </c>
      <c r="Y323" s="249">
        <f t="shared" si="245"/>
        <v>2.2377661598129235</v>
      </c>
      <c r="Z323" s="249">
        <f t="shared" si="245"/>
        <v>2.1770907649839275</v>
      </c>
      <c r="AA323" s="249">
        <f t="shared" si="245"/>
        <v>2.1158487145372069</v>
      </c>
      <c r="AB323" s="249">
        <f t="shared" si="245"/>
        <v>2.0542325149046929</v>
      </c>
      <c r="AC323" s="249">
        <f t="shared" si="245"/>
        <v>1.9899276718380137</v>
      </c>
      <c r="AD323" s="249">
        <f t="shared" si="245"/>
        <v>1.9260648305191457</v>
      </c>
      <c r="AE323" s="249">
        <f t="shared" si="245"/>
        <v>1.8629325669506984</v>
      </c>
      <c r="AF323" s="249">
        <f t="shared" si="245"/>
        <v>1.8008359154741904</v>
      </c>
      <c r="AG323" s="249">
        <f t="shared" si="245"/>
        <v>1.7400966652860501</v>
      </c>
      <c r="AI323" s="694"/>
      <c r="AJ323" s="323"/>
    </row>
    <row r="324" spans="1:37" s="181" customFormat="1" x14ac:dyDescent="0.2">
      <c r="A324" s="181" t="s">
        <v>1596</v>
      </c>
      <c r="B324" s="349" t="s">
        <v>704</v>
      </c>
      <c r="C324" s="249">
        <f>C303-C322</f>
        <v>8.5966924019978581</v>
      </c>
      <c r="D324" s="249">
        <f t="shared" ref="D324:AF324" si="246">D303-D322</f>
        <v>8.8113314105088225</v>
      </c>
      <c r="E324" s="249">
        <f t="shared" si="246"/>
        <v>9.0067579979268206</v>
      </c>
      <c r="F324" s="249">
        <f t="shared" si="246"/>
        <v>9.181478103464098</v>
      </c>
      <c r="G324" s="249">
        <f t="shared" si="246"/>
        <v>9.3341376674478358</v>
      </c>
      <c r="H324" s="249">
        <f t="shared" si="246"/>
        <v>9.463540093274597</v>
      </c>
      <c r="I324" s="249">
        <f t="shared" si="246"/>
        <v>9.4790618078774234</v>
      </c>
      <c r="J324" s="249">
        <f t="shared" si="246"/>
        <v>9.4878677862627594</v>
      </c>
      <c r="K324" s="249">
        <f t="shared" si="246"/>
        <v>9.4898907801351733</v>
      </c>
      <c r="L324" s="249">
        <f t="shared" si="246"/>
        <v>9.4850764644597447</v>
      </c>
      <c r="M324" s="249">
        <f t="shared" si="246"/>
        <v>9.4733837419940503</v>
      </c>
      <c r="N324" s="249">
        <f t="shared" si="246"/>
        <v>9.4371716943513082</v>
      </c>
      <c r="O324" s="249">
        <f t="shared" si="246"/>
        <v>9.3805889648529082</v>
      </c>
      <c r="P324" s="249">
        <f t="shared" si="246"/>
        <v>9.302286619383155</v>
      </c>
      <c r="Q324" s="249">
        <f t="shared" si="246"/>
        <v>9.2042768900516823</v>
      </c>
      <c r="R324" s="249">
        <f t="shared" si="246"/>
        <v>9.087102225015208</v>
      </c>
      <c r="S324" s="249">
        <f t="shared" si="246"/>
        <v>8.9925178914894275</v>
      </c>
      <c r="T324" s="249">
        <f t="shared" si="246"/>
        <v>8.8956636816113761</v>
      </c>
      <c r="U324" s="249">
        <f t="shared" si="246"/>
        <v>8.7965940083922636</v>
      </c>
      <c r="V324" s="249">
        <f t="shared" si="246"/>
        <v>8.6953651741420046</v>
      </c>
      <c r="W324" s="249">
        <f t="shared" si="246"/>
        <v>8.5920353315421689</v>
      </c>
      <c r="X324" s="249">
        <f t="shared" si="246"/>
        <v>8.4867456754369766</v>
      </c>
      <c r="Y324" s="249">
        <f t="shared" si="246"/>
        <v>8.3795667833401826</v>
      </c>
      <c r="Z324" s="249">
        <f t="shared" si="246"/>
        <v>8.2666060427130148</v>
      </c>
      <c r="AA324" s="249">
        <f t="shared" si="246"/>
        <v>8.1518178094684082</v>
      </c>
      <c r="AB324" s="249">
        <f t="shared" si="246"/>
        <v>8.0352680768588947</v>
      </c>
      <c r="AC324" s="249">
        <f t="shared" si="246"/>
        <v>7.9037716989938582</v>
      </c>
      <c r="AD324" s="249">
        <f t="shared" si="246"/>
        <v>7.7707660383553332</v>
      </c>
      <c r="AE324" s="249">
        <f t="shared" si="246"/>
        <v>7.6363274002105532</v>
      </c>
      <c r="AF324" s="249">
        <f t="shared" si="246"/>
        <v>7.5005334575968634</v>
      </c>
      <c r="AG324" s="249">
        <f>AG303-AG322</f>
        <v>7.3634631951577392</v>
      </c>
      <c r="AI324" s="694"/>
      <c r="AJ324" s="323"/>
    </row>
    <row r="325" spans="1:37" s="181" customFormat="1" x14ac:dyDescent="0.2">
      <c r="B325" s="350"/>
      <c r="C325" s="327"/>
      <c r="D325" s="327"/>
      <c r="E325" s="327"/>
      <c r="F325" s="327"/>
      <c r="G325" s="327"/>
      <c r="H325" s="327"/>
      <c r="I325" s="327"/>
      <c r="J325" s="327"/>
      <c r="K325" s="327"/>
      <c r="L325" s="327"/>
      <c r="M325" s="327"/>
      <c r="N325" s="327"/>
      <c r="O325" s="327"/>
      <c r="P325" s="327"/>
      <c r="Q325" s="327"/>
      <c r="R325" s="327"/>
      <c r="S325" s="327"/>
      <c r="T325" s="327"/>
      <c r="U325" s="327"/>
      <c r="V325" s="327"/>
      <c r="W325" s="327"/>
      <c r="X325" s="327"/>
      <c r="Y325" s="327"/>
      <c r="Z325" s="327"/>
      <c r="AA325" s="327"/>
      <c r="AB325" s="327"/>
      <c r="AC325" s="327"/>
      <c r="AD325" s="327"/>
      <c r="AE325" s="327"/>
      <c r="AF325" s="327"/>
      <c r="AG325" s="327"/>
      <c r="AJ325" s="323"/>
    </row>
    <row r="326" spans="1:37" s="181" customFormat="1" x14ac:dyDescent="0.2">
      <c r="A326" s="181" t="s">
        <v>1400</v>
      </c>
      <c r="B326" s="350" t="s">
        <v>462</v>
      </c>
      <c r="C326" s="296">
        <v>0.8</v>
      </c>
      <c r="D326" s="317">
        <f>C326</f>
        <v>0.8</v>
      </c>
      <c r="E326" s="317">
        <f t="shared" ref="E326:AG326" si="247">D326</f>
        <v>0.8</v>
      </c>
      <c r="F326" s="317">
        <f t="shared" si="247"/>
        <v>0.8</v>
      </c>
      <c r="G326" s="317">
        <f t="shared" si="247"/>
        <v>0.8</v>
      </c>
      <c r="H326" s="317">
        <f t="shared" si="247"/>
        <v>0.8</v>
      </c>
      <c r="I326" s="317">
        <f t="shared" si="247"/>
        <v>0.8</v>
      </c>
      <c r="J326" s="317">
        <f t="shared" si="247"/>
        <v>0.8</v>
      </c>
      <c r="K326" s="317">
        <f t="shared" si="247"/>
        <v>0.8</v>
      </c>
      <c r="L326" s="317">
        <f t="shared" si="247"/>
        <v>0.8</v>
      </c>
      <c r="M326" s="317">
        <f>L326</f>
        <v>0.8</v>
      </c>
      <c r="N326" s="317">
        <f t="shared" si="247"/>
        <v>0.8</v>
      </c>
      <c r="O326" s="317">
        <f t="shared" si="247"/>
        <v>0.8</v>
      </c>
      <c r="P326" s="317">
        <f t="shared" si="247"/>
        <v>0.8</v>
      </c>
      <c r="Q326" s="317">
        <f t="shared" si="247"/>
        <v>0.8</v>
      </c>
      <c r="R326" s="317">
        <f t="shared" si="247"/>
        <v>0.8</v>
      </c>
      <c r="S326" s="317">
        <f t="shared" si="247"/>
        <v>0.8</v>
      </c>
      <c r="T326" s="317">
        <f t="shared" si="247"/>
        <v>0.8</v>
      </c>
      <c r="U326" s="317">
        <f t="shared" si="247"/>
        <v>0.8</v>
      </c>
      <c r="V326" s="317">
        <f t="shared" si="247"/>
        <v>0.8</v>
      </c>
      <c r="W326" s="317">
        <f t="shared" si="247"/>
        <v>0.8</v>
      </c>
      <c r="X326" s="317">
        <f t="shared" si="247"/>
        <v>0.8</v>
      </c>
      <c r="Y326" s="317">
        <f t="shared" si="247"/>
        <v>0.8</v>
      </c>
      <c r="Z326" s="317">
        <f t="shared" si="247"/>
        <v>0.8</v>
      </c>
      <c r="AA326" s="317">
        <f t="shared" si="247"/>
        <v>0.8</v>
      </c>
      <c r="AB326" s="317">
        <f t="shared" si="247"/>
        <v>0.8</v>
      </c>
      <c r="AC326" s="317">
        <f t="shared" si="247"/>
        <v>0.8</v>
      </c>
      <c r="AD326" s="317">
        <f t="shared" si="247"/>
        <v>0.8</v>
      </c>
      <c r="AE326" s="317">
        <f t="shared" si="247"/>
        <v>0.8</v>
      </c>
      <c r="AF326" s="317">
        <f t="shared" si="247"/>
        <v>0.8</v>
      </c>
      <c r="AG326" s="317">
        <f t="shared" si="247"/>
        <v>0.8</v>
      </c>
      <c r="AJ326" s="323" t="s">
        <v>1401</v>
      </c>
    </row>
    <row r="327" spans="1:37" s="181" customFormat="1" x14ac:dyDescent="0.2">
      <c r="B327" s="350"/>
      <c r="C327" s="327"/>
      <c r="D327" s="327"/>
      <c r="E327" s="327"/>
      <c r="F327" s="327"/>
      <c r="G327" s="327"/>
      <c r="H327" s="327"/>
      <c r="I327" s="327"/>
      <c r="J327" s="327"/>
      <c r="K327" s="327"/>
      <c r="L327" s="327"/>
      <c r="M327" s="327"/>
      <c r="N327" s="327"/>
      <c r="O327" s="327"/>
      <c r="P327" s="327"/>
      <c r="Q327" s="327"/>
      <c r="R327" s="327"/>
      <c r="S327" s="327"/>
      <c r="T327" s="327"/>
      <c r="U327" s="327"/>
      <c r="V327" s="327"/>
      <c r="W327" s="327"/>
      <c r="X327" s="327"/>
      <c r="Y327" s="327"/>
      <c r="Z327" s="327"/>
      <c r="AA327" s="327"/>
      <c r="AB327" s="327"/>
      <c r="AC327" s="327"/>
      <c r="AD327" s="327"/>
      <c r="AE327" s="327"/>
      <c r="AF327" s="327"/>
      <c r="AG327" s="327"/>
      <c r="AJ327" s="323"/>
    </row>
    <row r="328" spans="1:37" s="181" customFormat="1" x14ac:dyDescent="0.2">
      <c r="A328" s="181" t="s">
        <v>1402</v>
      </c>
      <c r="B328" s="350" t="s">
        <v>704</v>
      </c>
      <c r="C328" s="327">
        <f>C262*C323*C326</f>
        <v>0.15126553419507011</v>
      </c>
      <c r="D328" s="327">
        <f t="shared" ref="D328:AG328" si="248">D262*D323*D326</f>
        <v>0.23466037745812307</v>
      </c>
      <c r="E328" s="327">
        <f t="shared" si="248"/>
        <v>0.26178250955897991</v>
      </c>
      <c r="F328" s="327">
        <f t="shared" si="248"/>
        <v>0.29025275247804044</v>
      </c>
      <c r="G328" s="327">
        <f t="shared" si="248"/>
        <v>0.31994344868597568</v>
      </c>
      <c r="H328" s="327">
        <f t="shared" si="248"/>
        <v>0.35070468330708554</v>
      </c>
      <c r="I328" s="327">
        <f t="shared" si="248"/>
        <v>0.37795180686987273</v>
      </c>
      <c r="J328" s="327">
        <f t="shared" si="248"/>
        <v>0.40620111720240049</v>
      </c>
      <c r="K328" s="327">
        <f t="shared" si="248"/>
        <v>0.43544121525264878</v>
      </c>
      <c r="L328" s="327">
        <f t="shared" si="248"/>
        <v>0.46565978102244288</v>
      </c>
      <c r="M328" s="327">
        <f t="shared" si="248"/>
        <v>0.49684377926497425</v>
      </c>
      <c r="N328" s="327">
        <f t="shared" si="248"/>
        <v>0.51595983098897502</v>
      </c>
      <c r="O328" s="327">
        <f t="shared" si="248"/>
        <v>0.53426114874309982</v>
      </c>
      <c r="P328" s="327">
        <f t="shared" si="248"/>
        <v>0.55151577895675374</v>
      </c>
      <c r="Q328" s="327">
        <f t="shared" si="248"/>
        <v>0.56774877037849059</v>
      </c>
      <c r="R328" s="327">
        <f t="shared" si="248"/>
        <v>0.5828751520696196</v>
      </c>
      <c r="S328" s="327">
        <f t="shared" si="248"/>
        <v>0.5994823332621072</v>
      </c>
      <c r="T328" s="327">
        <f t="shared" si="248"/>
        <v>0.61604203556018755</v>
      </c>
      <c r="U328" s="327">
        <f t="shared" si="248"/>
        <v>0.63255565321196083</v>
      </c>
      <c r="V328" s="327">
        <f t="shared" si="248"/>
        <v>0.64902764482709407</v>
      </c>
      <c r="W328" s="327">
        <f t="shared" si="248"/>
        <v>0.6654657655499322</v>
      </c>
      <c r="X328" s="327">
        <f t="shared" si="248"/>
        <v>0.66139462755756573</v>
      </c>
      <c r="Y328" s="327">
        <f t="shared" si="248"/>
        <v>0.65641140687845712</v>
      </c>
      <c r="Z328" s="327">
        <f t="shared" si="248"/>
        <v>0.65022444180853256</v>
      </c>
      <c r="AA328" s="327">
        <f t="shared" si="248"/>
        <v>0.64321800921931049</v>
      </c>
      <c r="AB328" s="327">
        <f t="shared" si="248"/>
        <v>0.63544259127718461</v>
      </c>
      <c r="AC328" s="327">
        <f t="shared" si="248"/>
        <v>0.62616390740502792</v>
      </c>
      <c r="AD328" s="327">
        <f t="shared" si="248"/>
        <v>0.61634074576612619</v>
      </c>
      <c r="AE328" s="327">
        <f t="shared" si="248"/>
        <v>0.60607406178129342</v>
      </c>
      <c r="AF328" s="327">
        <f t="shared" si="248"/>
        <v>0.59547640938346513</v>
      </c>
      <c r="AG328" s="327">
        <f t="shared" si="248"/>
        <v>0.58467247953611279</v>
      </c>
      <c r="AJ328" s="323"/>
    </row>
    <row r="329" spans="1:37" s="181" customFormat="1" x14ac:dyDescent="0.2">
      <c r="A329" s="181" t="s">
        <v>1403</v>
      </c>
      <c r="B329" s="350" t="s">
        <v>704</v>
      </c>
      <c r="C329" s="327">
        <f>C323*C326-C328</f>
        <v>0.5363050757825214</v>
      </c>
      <c r="D329" s="327">
        <f t="shared" ref="D329:AG329" si="249">D323*D326-D328</f>
        <v>0.80060599368065533</v>
      </c>
      <c r="E329" s="327">
        <f t="shared" si="249"/>
        <v>0.86014253140807706</v>
      </c>
      <c r="F329" s="327">
        <f t="shared" si="249"/>
        <v>0.91913371618046136</v>
      </c>
      <c r="G329" s="327">
        <f t="shared" si="249"/>
        <v>0.9771245865274395</v>
      </c>
      <c r="H329" s="327">
        <f t="shared" si="249"/>
        <v>1.0336559086945682</v>
      </c>
      <c r="I329" s="327">
        <f t="shared" si="249"/>
        <v>1.0757089887834841</v>
      </c>
      <c r="J329" s="327">
        <f t="shared" si="249"/>
        <v>1.1170530723066019</v>
      </c>
      <c r="K329" s="327">
        <f t="shared" si="249"/>
        <v>1.1576364015253349</v>
      </c>
      <c r="L329" s="327">
        <f t="shared" si="249"/>
        <v>1.1974108654862823</v>
      </c>
      <c r="M329" s="327">
        <f t="shared" si="249"/>
        <v>1.2363321949151689</v>
      </c>
      <c r="N329" s="327">
        <f t="shared" si="249"/>
        <v>1.2429941382916225</v>
      </c>
      <c r="O329" s="327">
        <f t="shared" si="249"/>
        <v>1.2466093470672335</v>
      </c>
      <c r="P329" s="327">
        <f t="shared" si="249"/>
        <v>1.2469052393804876</v>
      </c>
      <c r="Q329" s="327">
        <f t="shared" si="249"/>
        <v>1.2442153904039275</v>
      </c>
      <c r="R329" s="327">
        <f t="shared" si="249"/>
        <v>1.2386096981479424</v>
      </c>
      <c r="S329" s="327">
        <f t="shared" si="249"/>
        <v>1.2356676665198547</v>
      </c>
      <c r="T329" s="327">
        <f t="shared" si="249"/>
        <v>1.2320840711203762</v>
      </c>
      <c r="U329" s="327">
        <f t="shared" si="249"/>
        <v>1.2279021503526306</v>
      </c>
      <c r="V329" s="327">
        <f t="shared" si="249"/>
        <v>1.2231674844818321</v>
      </c>
      <c r="W329" s="327">
        <f t="shared" si="249"/>
        <v>1.2179279105347827</v>
      </c>
      <c r="X329" s="327">
        <f t="shared" si="249"/>
        <v>1.1758126712134513</v>
      </c>
      <c r="Y329" s="327">
        <f t="shared" si="249"/>
        <v>1.1338015209718817</v>
      </c>
      <c r="Z329" s="327">
        <f t="shared" si="249"/>
        <v>1.0914481701786096</v>
      </c>
      <c r="AA329" s="327">
        <f t="shared" si="249"/>
        <v>1.0494609624104552</v>
      </c>
      <c r="AB329" s="327">
        <f t="shared" si="249"/>
        <v>1.0079434206465698</v>
      </c>
      <c r="AC329" s="327">
        <f t="shared" si="249"/>
        <v>0.9657782300653831</v>
      </c>
      <c r="AD329" s="327">
        <f t="shared" si="249"/>
        <v>0.92451111864919044</v>
      </c>
      <c r="AE329" s="327">
        <f t="shared" si="249"/>
        <v>0.88427199177926541</v>
      </c>
      <c r="AF329" s="327">
        <f t="shared" si="249"/>
        <v>0.8451923229958872</v>
      </c>
      <c r="AG329" s="327">
        <f t="shared" si="249"/>
        <v>0.80740485269272744</v>
      </c>
      <c r="AJ329" s="323"/>
    </row>
    <row r="330" spans="1:37" s="181" customFormat="1" x14ac:dyDescent="0.2">
      <c r="B330" s="176"/>
      <c r="C330" s="327"/>
      <c r="D330" s="327"/>
      <c r="E330" s="327"/>
      <c r="F330" s="327"/>
      <c r="G330" s="327"/>
      <c r="H330" s="327"/>
      <c r="I330" s="327"/>
      <c r="J330" s="327"/>
      <c r="K330" s="327"/>
      <c r="L330" s="327"/>
      <c r="M330" s="327"/>
      <c r="N330" s="327"/>
      <c r="O330" s="327"/>
      <c r="P330" s="327"/>
      <c r="Q330" s="327"/>
      <c r="R330" s="327"/>
      <c r="S330" s="327"/>
      <c r="T330" s="327"/>
      <c r="U330" s="327"/>
      <c r="V330" s="327"/>
      <c r="W330" s="327"/>
      <c r="X330" s="327"/>
      <c r="Y330" s="327"/>
      <c r="Z330" s="327"/>
      <c r="AA330" s="327"/>
      <c r="AB330" s="327"/>
      <c r="AC330" s="327"/>
      <c r="AD330" s="327"/>
      <c r="AE330" s="327"/>
      <c r="AF330" s="327"/>
      <c r="AG330" s="327"/>
      <c r="AJ330" s="323"/>
    </row>
    <row r="331" spans="1:37" s="181" customFormat="1" x14ac:dyDescent="0.2">
      <c r="B331" s="210" t="s">
        <v>492</v>
      </c>
      <c r="C331" s="331">
        <v>0</v>
      </c>
      <c r="D331" s="331">
        <f>C331+1</f>
        <v>1</v>
      </c>
      <c r="E331" s="331">
        <f t="shared" ref="E331:AG331" si="250">D331+1</f>
        <v>2</v>
      </c>
      <c r="F331" s="331">
        <f t="shared" si="250"/>
        <v>3</v>
      </c>
      <c r="G331" s="331">
        <f t="shared" si="250"/>
        <v>4</v>
      </c>
      <c r="H331" s="331">
        <f t="shared" si="250"/>
        <v>5</v>
      </c>
      <c r="I331" s="331">
        <f t="shared" si="250"/>
        <v>6</v>
      </c>
      <c r="J331" s="331">
        <f t="shared" si="250"/>
        <v>7</v>
      </c>
      <c r="K331" s="331">
        <f t="shared" si="250"/>
        <v>8</v>
      </c>
      <c r="L331" s="331">
        <f t="shared" si="250"/>
        <v>9</v>
      </c>
      <c r="M331" s="331">
        <f t="shared" si="250"/>
        <v>10</v>
      </c>
      <c r="N331" s="331">
        <f t="shared" si="250"/>
        <v>11</v>
      </c>
      <c r="O331" s="331">
        <f t="shared" si="250"/>
        <v>12</v>
      </c>
      <c r="P331" s="331">
        <f t="shared" si="250"/>
        <v>13</v>
      </c>
      <c r="Q331" s="331">
        <f t="shared" si="250"/>
        <v>14</v>
      </c>
      <c r="R331" s="331">
        <f t="shared" si="250"/>
        <v>15</v>
      </c>
      <c r="S331" s="331">
        <f t="shared" si="250"/>
        <v>16</v>
      </c>
      <c r="T331" s="331">
        <f t="shared" si="250"/>
        <v>17</v>
      </c>
      <c r="U331" s="331">
        <f t="shared" si="250"/>
        <v>18</v>
      </c>
      <c r="V331" s="331">
        <f t="shared" si="250"/>
        <v>19</v>
      </c>
      <c r="W331" s="331">
        <f t="shared" si="250"/>
        <v>20</v>
      </c>
      <c r="X331" s="331">
        <f t="shared" si="250"/>
        <v>21</v>
      </c>
      <c r="Y331" s="331">
        <f t="shared" si="250"/>
        <v>22</v>
      </c>
      <c r="Z331" s="331">
        <f t="shared" si="250"/>
        <v>23</v>
      </c>
      <c r="AA331" s="331">
        <f t="shared" si="250"/>
        <v>24</v>
      </c>
      <c r="AB331" s="331">
        <f t="shared" si="250"/>
        <v>25</v>
      </c>
      <c r="AC331" s="331">
        <f t="shared" si="250"/>
        <v>26</v>
      </c>
      <c r="AD331" s="331">
        <f t="shared" si="250"/>
        <v>27</v>
      </c>
      <c r="AE331" s="331">
        <f t="shared" si="250"/>
        <v>28</v>
      </c>
      <c r="AF331" s="331">
        <f t="shared" si="250"/>
        <v>29</v>
      </c>
      <c r="AG331" s="331">
        <f t="shared" si="250"/>
        <v>30</v>
      </c>
      <c r="AJ331" s="323" t="s">
        <v>493</v>
      </c>
      <c r="AK331" s="181">
        <f>'Propylene Recycling HC'!AK199</f>
        <v>1.9</v>
      </c>
    </row>
    <row r="332" spans="1:37" s="181" customFormat="1" x14ac:dyDescent="0.2">
      <c r="A332" s="181" t="s">
        <v>1404</v>
      </c>
      <c r="B332" s="176"/>
      <c r="C332" s="333">
        <f>$AK$333/((1+EXP(-$AK$332*(C331-$AK$334)))^$AK$331)</f>
        <v>4.6088632748610021E-5</v>
      </c>
      <c r="D332" s="333">
        <f t="shared" ref="D332:AG332" si="251">$AK$333/((1+EXP(-$AK$332*(D331-$AK$334)))^$AK$331)</f>
        <v>8.924759460408035E-5</v>
      </c>
      <c r="E332" s="333">
        <f t="shared" si="251"/>
        <v>1.7252431976790472E-4</v>
      </c>
      <c r="F332" s="333">
        <f t="shared" si="251"/>
        <v>3.3269643715580369E-4</v>
      </c>
      <c r="G332" s="333">
        <f t="shared" si="251"/>
        <v>6.393827369910735E-4</v>
      </c>
      <c r="H332" s="333">
        <f t="shared" si="251"/>
        <v>1.2229053771654547E-3</v>
      </c>
      <c r="I332" s="333">
        <f t="shared" si="251"/>
        <v>2.3234018804222717E-3</v>
      </c>
      <c r="J332" s="333">
        <f t="shared" si="251"/>
        <v>4.3736281679830789E-3</v>
      </c>
      <c r="K332" s="333">
        <f t="shared" si="251"/>
        <v>8.1294184230466908E-3</v>
      </c>
      <c r="L332" s="333">
        <f t="shared" si="251"/>
        <v>1.4853985082038716E-2</v>
      </c>
      <c r="M332" s="333">
        <f t="shared" si="251"/>
        <v>2.6531412096832362E-2</v>
      </c>
      <c r="N332" s="333">
        <f t="shared" si="251"/>
        <v>4.6014759335105015E-2</v>
      </c>
      <c r="O332" s="333">
        <f t="shared" si="251"/>
        <v>7.6910635328419796E-2</v>
      </c>
      <c r="P332" s="333">
        <f t="shared" si="251"/>
        <v>0.12294065829885638</v>
      </c>
      <c r="Q332" s="333">
        <f t="shared" si="251"/>
        <v>0.18666754187878853</v>
      </c>
      <c r="R332" s="333">
        <f t="shared" si="251"/>
        <v>0.26794336563407328</v>
      </c>
      <c r="S332" s="333">
        <f t="shared" si="251"/>
        <v>0.36297326582455031</v>
      </c>
      <c r="T332" s="333">
        <f t="shared" si="251"/>
        <v>0.46484396312424381</v>
      </c>
      <c r="U332" s="333">
        <f t="shared" si="251"/>
        <v>0.56546260593861253</v>
      </c>
      <c r="V332" s="333">
        <f t="shared" si="251"/>
        <v>0.6578403022607352</v>
      </c>
      <c r="W332" s="333">
        <f t="shared" si="251"/>
        <v>0.73754668886795227</v>
      </c>
      <c r="X332" s="333">
        <f t="shared" si="251"/>
        <v>0.80293052021410605</v>
      </c>
      <c r="Y332" s="333">
        <f t="shared" si="251"/>
        <v>0.85447682949112158</v>
      </c>
      <c r="Z332" s="333">
        <f t="shared" si="251"/>
        <v>0.89389910336617451</v>
      </c>
      <c r="AA332" s="333">
        <f t="shared" si="251"/>
        <v>0.92337223319290385</v>
      </c>
      <c r="AB332" s="333">
        <f t="shared" si="251"/>
        <v>0.94504210708611314</v>
      </c>
      <c r="AC332" s="333">
        <f t="shared" si="251"/>
        <v>0.96078240575184182</v>
      </c>
      <c r="AD332" s="333">
        <f t="shared" si="251"/>
        <v>0.97211605463477313</v>
      </c>
      <c r="AE332" s="333">
        <f t="shared" si="251"/>
        <v>0.98022577885232642</v>
      </c>
      <c r="AF332" s="333">
        <f t="shared" si="251"/>
        <v>0.98600279580400285</v>
      </c>
      <c r="AG332" s="333">
        <f t="shared" si="251"/>
        <v>0.9901050637460882</v>
      </c>
      <c r="AI332" s="176" t="s">
        <v>494</v>
      </c>
      <c r="AJ332" s="323" t="s">
        <v>495</v>
      </c>
      <c r="AK332" s="181">
        <f>'Propylene Recycling HC'!AK200</f>
        <v>0.35</v>
      </c>
    </row>
    <row r="333" spans="1:37" s="181" customFormat="1" x14ac:dyDescent="0.2">
      <c r="B333" s="176"/>
      <c r="C333" s="329">
        <v>0</v>
      </c>
      <c r="D333" s="329">
        <v>0</v>
      </c>
      <c r="E333" s="329">
        <v>0</v>
      </c>
      <c r="F333" s="329">
        <v>0</v>
      </c>
      <c r="G333" s="329">
        <v>0</v>
      </c>
      <c r="H333" s="329">
        <v>0</v>
      </c>
      <c r="I333" s="329">
        <v>0</v>
      </c>
      <c r="J333" s="329">
        <v>0</v>
      </c>
      <c r="K333" s="329">
        <v>0</v>
      </c>
      <c r="L333" s="329">
        <v>0</v>
      </c>
      <c r="M333" s="329">
        <f>C332</f>
        <v>4.6088632748610021E-5</v>
      </c>
      <c r="N333" s="329">
        <v>0</v>
      </c>
      <c r="O333" s="329">
        <v>0</v>
      </c>
      <c r="P333" s="329">
        <v>0</v>
      </c>
      <c r="Q333" s="329">
        <v>0</v>
      </c>
      <c r="R333" s="329">
        <f t="shared" ref="R333:AG333" si="252">C332</f>
        <v>4.6088632748610021E-5</v>
      </c>
      <c r="S333" s="329">
        <f t="shared" si="252"/>
        <v>8.924759460408035E-5</v>
      </c>
      <c r="T333" s="329">
        <f t="shared" si="252"/>
        <v>1.7252431976790472E-4</v>
      </c>
      <c r="U333" s="329">
        <f t="shared" si="252"/>
        <v>3.3269643715580369E-4</v>
      </c>
      <c r="V333" s="329">
        <f t="shared" si="252"/>
        <v>6.393827369910735E-4</v>
      </c>
      <c r="W333" s="329">
        <f t="shared" si="252"/>
        <v>1.2229053771654547E-3</v>
      </c>
      <c r="X333" s="329">
        <f t="shared" si="252"/>
        <v>2.3234018804222717E-3</v>
      </c>
      <c r="Y333" s="329">
        <f t="shared" si="252"/>
        <v>4.3736281679830789E-3</v>
      </c>
      <c r="Z333" s="329">
        <f t="shared" si="252"/>
        <v>8.1294184230466908E-3</v>
      </c>
      <c r="AA333" s="329">
        <f t="shared" si="252"/>
        <v>1.4853985082038716E-2</v>
      </c>
      <c r="AB333" s="329">
        <f t="shared" si="252"/>
        <v>2.6531412096832362E-2</v>
      </c>
      <c r="AC333" s="329">
        <f t="shared" si="252"/>
        <v>4.6014759335105015E-2</v>
      </c>
      <c r="AD333" s="329">
        <f t="shared" si="252"/>
        <v>7.6910635328419796E-2</v>
      </c>
      <c r="AE333" s="329">
        <f t="shared" si="252"/>
        <v>0.12294065829885638</v>
      </c>
      <c r="AF333" s="329">
        <f t="shared" si="252"/>
        <v>0.18666754187878853</v>
      </c>
      <c r="AG333" s="329">
        <f t="shared" si="252"/>
        <v>0.26794336563407328</v>
      </c>
      <c r="AI333" s="176" t="s">
        <v>496</v>
      </c>
      <c r="AJ333" s="323" t="s">
        <v>497</v>
      </c>
      <c r="AK333" s="181">
        <f>'Propylene Recycling HC'!AK201</f>
        <v>1</v>
      </c>
    </row>
    <row r="334" spans="1:37" s="181" customFormat="1" x14ac:dyDescent="0.2">
      <c r="B334" s="176"/>
      <c r="C334" s="327"/>
      <c r="D334" s="327"/>
      <c r="E334" s="327"/>
      <c r="F334" s="327"/>
      <c r="G334" s="327"/>
      <c r="H334" s="327"/>
      <c r="I334" s="327"/>
      <c r="J334" s="327"/>
      <c r="K334" s="327"/>
      <c r="L334" s="327"/>
      <c r="M334" s="327"/>
      <c r="N334" s="327"/>
      <c r="O334" s="327"/>
      <c r="P334" s="327"/>
      <c r="Q334" s="327"/>
      <c r="R334" s="327"/>
      <c r="S334" s="327"/>
      <c r="T334" s="327"/>
      <c r="U334" s="327"/>
      <c r="V334" s="327"/>
      <c r="W334" s="327"/>
      <c r="X334" s="327"/>
      <c r="Y334" s="327"/>
      <c r="Z334" s="327"/>
      <c r="AA334" s="327"/>
      <c r="AB334" s="327"/>
      <c r="AC334" s="327"/>
      <c r="AD334" s="327"/>
      <c r="AE334" s="327"/>
      <c r="AF334" s="327"/>
      <c r="AG334" s="327"/>
      <c r="AJ334" s="323" t="s">
        <v>498</v>
      </c>
      <c r="AK334" s="181">
        <f>'Propylene Recycling HC'!AK202</f>
        <v>15</v>
      </c>
    </row>
    <row r="335" spans="1:37" s="181" customFormat="1" x14ac:dyDescent="0.2">
      <c r="A335" s="181" t="s">
        <v>1460</v>
      </c>
      <c r="B335" s="176" t="s">
        <v>462</v>
      </c>
      <c r="C335" s="328">
        <f>('Overall recycling rates'!G12+'Overall recycling rates'!G15)*'Overall recycling rates'!G57/(SUMPRODUCT('Overall recycling rates'!C57:I57,'Overall recycling rates'!C12:I12)+SUMPRODUCT('Overall recycling rates'!C15:I15,'Overall recycling rates'!C57:I57))</f>
        <v>8.5469247930390777E-2</v>
      </c>
      <c r="D335" s="328">
        <f>C335</f>
        <v>8.5469247930390777E-2</v>
      </c>
      <c r="E335" s="328">
        <f t="shared" ref="E335:AG335" si="253">D335</f>
        <v>8.5469247930390777E-2</v>
      </c>
      <c r="F335" s="328">
        <f t="shared" si="253"/>
        <v>8.5469247930390777E-2</v>
      </c>
      <c r="G335" s="328">
        <f t="shared" si="253"/>
        <v>8.5469247930390777E-2</v>
      </c>
      <c r="H335" s="328">
        <f t="shared" si="253"/>
        <v>8.5469247930390777E-2</v>
      </c>
      <c r="I335" s="328">
        <f t="shared" si="253"/>
        <v>8.5469247930390777E-2</v>
      </c>
      <c r="J335" s="328">
        <f t="shared" si="253"/>
        <v>8.5469247930390777E-2</v>
      </c>
      <c r="K335" s="328">
        <f t="shared" si="253"/>
        <v>8.5469247930390777E-2</v>
      </c>
      <c r="L335" s="328">
        <f t="shared" si="253"/>
        <v>8.5469247930390777E-2</v>
      </c>
      <c r="M335" s="328">
        <f t="shared" si="253"/>
        <v>8.5469247930390777E-2</v>
      </c>
      <c r="N335" s="328">
        <f t="shared" si="253"/>
        <v>8.5469247930390777E-2</v>
      </c>
      <c r="O335" s="328">
        <f t="shared" si="253"/>
        <v>8.5469247930390777E-2</v>
      </c>
      <c r="P335" s="328">
        <f t="shared" si="253"/>
        <v>8.5469247930390777E-2</v>
      </c>
      <c r="Q335" s="328">
        <f t="shared" si="253"/>
        <v>8.5469247930390777E-2</v>
      </c>
      <c r="R335" s="328">
        <f t="shared" si="253"/>
        <v>8.5469247930390777E-2</v>
      </c>
      <c r="S335" s="328">
        <f t="shared" si="253"/>
        <v>8.5469247930390777E-2</v>
      </c>
      <c r="T335" s="328">
        <f t="shared" si="253"/>
        <v>8.5469247930390777E-2</v>
      </c>
      <c r="U335" s="328">
        <f t="shared" si="253"/>
        <v>8.5469247930390777E-2</v>
      </c>
      <c r="V335" s="328">
        <f t="shared" si="253"/>
        <v>8.5469247930390777E-2</v>
      </c>
      <c r="W335" s="328">
        <f t="shared" si="253"/>
        <v>8.5469247930390777E-2</v>
      </c>
      <c r="X335" s="328">
        <f t="shared" si="253"/>
        <v>8.5469247930390777E-2</v>
      </c>
      <c r="Y335" s="328">
        <f t="shared" si="253"/>
        <v>8.5469247930390777E-2</v>
      </c>
      <c r="Z335" s="328">
        <f t="shared" si="253"/>
        <v>8.5469247930390777E-2</v>
      </c>
      <c r="AA335" s="328">
        <f t="shared" si="253"/>
        <v>8.5469247930390777E-2</v>
      </c>
      <c r="AB335" s="328">
        <f t="shared" si="253"/>
        <v>8.5469247930390777E-2</v>
      </c>
      <c r="AC335" s="328">
        <f t="shared" si="253"/>
        <v>8.5469247930390777E-2</v>
      </c>
      <c r="AD335" s="328">
        <f t="shared" si="253"/>
        <v>8.5469247930390777E-2</v>
      </c>
      <c r="AE335" s="328">
        <f t="shared" si="253"/>
        <v>8.5469247930390777E-2</v>
      </c>
      <c r="AF335" s="328">
        <f t="shared" si="253"/>
        <v>8.5469247930390777E-2</v>
      </c>
      <c r="AG335" s="328">
        <f t="shared" si="253"/>
        <v>8.5469247930390777E-2</v>
      </c>
      <c r="AI335" s="176" t="s">
        <v>1516</v>
      </c>
      <c r="AJ335" s="323"/>
    </row>
    <row r="336" spans="1:37" s="300" customFormat="1" ht="16" thickBot="1" x14ac:dyDescent="0.25">
      <c r="A336" s="334" t="s">
        <v>1407</v>
      </c>
      <c r="B336" s="335" t="s">
        <v>704</v>
      </c>
      <c r="C336" s="336">
        <f>C335*(C328*C332+C329*C333)</f>
        <v>5.9585925954046229E-7</v>
      </c>
      <c r="D336" s="336">
        <f t="shared" ref="D336:AG336" si="254">D335*(D328*D332+D329*D333)</f>
        <v>1.789971710539116E-6</v>
      </c>
      <c r="E336" s="336">
        <f t="shared" si="254"/>
        <v>3.8601202409020065E-6</v>
      </c>
      <c r="F336" s="336">
        <f t="shared" si="254"/>
        <v>8.2534282352661637E-6</v>
      </c>
      <c r="G336" s="336">
        <f t="shared" si="254"/>
        <v>1.7484129343075927E-5</v>
      </c>
      <c r="H336" s="336">
        <f t="shared" si="254"/>
        <v>3.6655935071756957E-5</v>
      </c>
      <c r="I336" s="336">
        <f t="shared" si="254"/>
        <v>7.5053447330572216E-5</v>
      </c>
      <c r="J336" s="336">
        <f t="shared" si="254"/>
        <v>1.518423281236145E-4</v>
      </c>
      <c r="K336" s="336">
        <f t="shared" si="254"/>
        <v>3.0255120934597862E-4</v>
      </c>
      <c r="L336" s="336">
        <f t="shared" si="254"/>
        <v>5.9118253507630682E-4</v>
      </c>
      <c r="M336" s="336">
        <f>M335*(M328*M332+M329*M333)</f>
        <v>1.1315229217627304E-3</v>
      </c>
      <c r="N336" s="336">
        <f t="shared" si="254"/>
        <v>2.0291910084503429E-3</v>
      </c>
      <c r="O336" s="336">
        <f t="shared" si="254"/>
        <v>3.511962540840317E-3</v>
      </c>
      <c r="P336" s="336">
        <f t="shared" si="254"/>
        <v>5.7951323507716146E-3</v>
      </c>
      <c r="Q336" s="336">
        <f t="shared" si="254"/>
        <v>9.0580537476831185E-3</v>
      </c>
      <c r="R336" s="336">
        <f t="shared" si="254"/>
        <v>1.3353255114615511E-2</v>
      </c>
      <c r="S336" s="336">
        <f t="shared" si="254"/>
        <v>1.8607197207189816E-2</v>
      </c>
      <c r="T336" s="336">
        <f t="shared" si="254"/>
        <v>2.4493433975013402E-2</v>
      </c>
      <c r="U336" s="336">
        <f t="shared" si="254"/>
        <v>3.0606117750982428E-2</v>
      </c>
      <c r="V336" s="336">
        <f t="shared" si="254"/>
        <v>3.6558497668397888E-2</v>
      </c>
      <c r="W336" s="336">
        <f t="shared" si="254"/>
        <v>4.207663746660957E-2</v>
      </c>
      <c r="X336" s="336">
        <f t="shared" si="254"/>
        <v>4.5622272398397105E-2</v>
      </c>
      <c r="Y336" s="336">
        <f t="shared" si="254"/>
        <v>4.8362531555781303E-2</v>
      </c>
      <c r="Z336" s="336">
        <f t="shared" si="254"/>
        <v>5.0436077075912349E-2</v>
      </c>
      <c r="AA336" s="336">
        <f t="shared" si="254"/>
        <v>5.2095073015535953E-2</v>
      </c>
      <c r="AB336" s="336">
        <f t="shared" si="254"/>
        <v>5.3611625724771968E-2</v>
      </c>
      <c r="AC336" s="336">
        <f t="shared" si="254"/>
        <v>5.5217178412215136E-2</v>
      </c>
      <c r="AD336" s="336">
        <f t="shared" si="254"/>
        <v>5.7286572954874639E-2</v>
      </c>
      <c r="AE336" s="336">
        <f t="shared" si="254"/>
        <v>6.0067992574780064E-2</v>
      </c>
      <c r="AF336" s="336">
        <f t="shared" si="254"/>
        <v>6.366701523842476E-2</v>
      </c>
      <c r="AG336" s="336">
        <f t="shared" si="254"/>
        <v>6.7967364418102111E-2</v>
      </c>
      <c r="AJ336" s="326"/>
    </row>
    <row r="337" spans="1:36" s="230" customFormat="1" x14ac:dyDescent="0.2">
      <c r="A337" s="325" t="s">
        <v>1408</v>
      </c>
      <c r="B337" s="324" t="s">
        <v>462</v>
      </c>
      <c r="C337" s="330">
        <v>0.5</v>
      </c>
      <c r="D337" s="330">
        <v>0.5</v>
      </c>
      <c r="E337" s="330">
        <v>0.5</v>
      </c>
      <c r="F337" s="330">
        <v>0.5</v>
      </c>
      <c r="G337" s="330">
        <v>0.5</v>
      </c>
      <c r="H337" s="330">
        <v>0.5</v>
      </c>
      <c r="I337" s="330">
        <v>0.5</v>
      </c>
      <c r="J337" s="330">
        <v>0.5</v>
      </c>
      <c r="K337" s="330">
        <v>0.5</v>
      </c>
      <c r="L337" s="330">
        <v>0.5</v>
      </c>
      <c r="M337" s="330">
        <v>0.5</v>
      </c>
      <c r="N337" s="330">
        <v>0.5</v>
      </c>
      <c r="O337" s="330">
        <v>0.5</v>
      </c>
      <c r="P337" s="330">
        <v>0.5</v>
      </c>
      <c r="Q337" s="330">
        <v>0.5</v>
      </c>
      <c r="R337" s="330">
        <v>0.5</v>
      </c>
      <c r="S337" s="330">
        <v>0.5</v>
      </c>
      <c r="T337" s="330">
        <v>0.5</v>
      </c>
      <c r="U337" s="330">
        <v>0.5</v>
      </c>
      <c r="V337" s="330">
        <v>0.5</v>
      </c>
      <c r="W337" s="330">
        <v>0.5</v>
      </c>
      <c r="X337" s="330">
        <v>0.5</v>
      </c>
      <c r="Y337" s="330">
        <v>0.5</v>
      </c>
      <c r="Z337" s="330">
        <v>0.5</v>
      </c>
      <c r="AA337" s="330">
        <v>0.5</v>
      </c>
      <c r="AB337" s="330">
        <v>0.5</v>
      </c>
      <c r="AC337" s="330">
        <v>0.5</v>
      </c>
      <c r="AD337" s="330">
        <v>0.5</v>
      </c>
      <c r="AE337" s="330">
        <v>0.5</v>
      </c>
      <c r="AF337" s="330">
        <v>0.5</v>
      </c>
      <c r="AG337" s="330">
        <v>0.5</v>
      </c>
      <c r="AJ337" s="230" t="s">
        <v>1410</v>
      </c>
    </row>
    <row r="338" spans="1:36" s="230" customFormat="1" ht="16" thickBot="1" x14ac:dyDescent="0.25">
      <c r="A338" s="301" t="s">
        <v>1411</v>
      </c>
      <c r="B338" s="335" t="s">
        <v>704</v>
      </c>
      <c r="C338" s="336">
        <f>C337*(C328*C332+C329*C333)</f>
        <v>3.4858108265194487E-6</v>
      </c>
      <c r="D338" s="336">
        <f t="shared" ref="D338:AG338" si="255">D337*(D328*D332+D329*D333)</f>
        <v>1.0471437118511521E-5</v>
      </c>
      <c r="E338" s="336">
        <f t="shared" si="255"/>
        <v>2.2581924694399013E-5</v>
      </c>
      <c r="F338" s="336">
        <f t="shared" si="255"/>
        <v>4.8283028312054712E-5</v>
      </c>
      <c r="G338" s="336">
        <f t="shared" si="255"/>
        <v>1.022831589516011E-4</v>
      </c>
      <c r="H338" s="336">
        <f t="shared" si="255"/>
        <v>2.1443932150667141E-4</v>
      </c>
      <c r="I338" s="336">
        <f t="shared" si="255"/>
        <v>4.390669693952288E-4</v>
      </c>
      <c r="J338" s="336">
        <f t="shared" si="255"/>
        <v>8.8828632403130739E-4</v>
      </c>
      <c r="K338" s="336">
        <f t="shared" si="255"/>
        <v>1.7699419187143614E-3</v>
      </c>
      <c r="L338" s="336">
        <f t="shared" si="255"/>
        <v>3.4584517203063909E-3</v>
      </c>
      <c r="M338" s="336">
        <f t="shared" si="255"/>
        <v>6.6194739579566869E-3</v>
      </c>
      <c r="N338" s="336">
        <f t="shared" si="255"/>
        <v>1.1870883724769573E-2</v>
      </c>
      <c r="O338" s="336">
        <f t="shared" si="255"/>
        <v>2.05451821905616E-2</v>
      </c>
      <c r="P338" s="336">
        <f t="shared" si="255"/>
        <v>3.3901856463574936E-2</v>
      </c>
      <c r="Q338" s="336">
        <f t="shared" si="255"/>
        <v>5.2990133685628792E-2</v>
      </c>
      <c r="R338" s="336">
        <f t="shared" si="255"/>
        <v>7.8117307908751474E-2</v>
      </c>
      <c r="S338" s="336">
        <f t="shared" si="255"/>
        <v>0.10885317033761772</v>
      </c>
      <c r="T338" s="336">
        <f t="shared" si="255"/>
        <v>0.14328799286359542</v>
      </c>
      <c r="U338" s="336">
        <f t="shared" si="255"/>
        <v>0.17904754336851747</v>
      </c>
      <c r="V338" s="336">
        <f t="shared" si="255"/>
        <v>0.21386930711132757</v>
      </c>
      <c r="W338" s="336">
        <f t="shared" si="255"/>
        <v>0.24615074126356121</v>
      </c>
      <c r="X338" s="336">
        <f t="shared" si="255"/>
        <v>0.26689290887146638</v>
      </c>
      <c r="Y338" s="336">
        <f t="shared" si="255"/>
        <v>0.28292358203016765</v>
      </c>
      <c r="Z338" s="336">
        <f t="shared" si="255"/>
        <v>0.29505394219093456</v>
      </c>
      <c r="AA338" s="336">
        <f t="shared" si="255"/>
        <v>0.30475916354127774</v>
      </c>
      <c r="AB338" s="336">
        <f t="shared" si="255"/>
        <v>0.31363108382815769</v>
      </c>
      <c r="AC338" s="336">
        <f t="shared" si="255"/>
        <v>0.32302365908955927</v>
      </c>
      <c r="AD338" s="336">
        <f t="shared" si="255"/>
        <v>0.33512973579415883</v>
      </c>
      <c r="AE338" s="336">
        <f t="shared" si="255"/>
        <v>0.3514012000181726</v>
      </c>
      <c r="AF338" s="336">
        <f t="shared" si="255"/>
        <v>0.37245568891794545</v>
      </c>
      <c r="AG338" s="336">
        <f t="shared" si="255"/>
        <v>0.39761297814072949</v>
      </c>
      <c r="AJ338" s="325"/>
    </row>
    <row r="339" spans="1:36" s="230" customFormat="1" x14ac:dyDescent="0.2">
      <c r="A339" s="326"/>
      <c r="B339" s="324"/>
      <c r="AJ339" s="325"/>
    </row>
    <row r="340" spans="1:36" s="230" customFormat="1" x14ac:dyDescent="0.2">
      <c r="A340" s="326" t="s">
        <v>1412</v>
      </c>
      <c r="B340" s="324" t="s">
        <v>704</v>
      </c>
      <c r="C340" s="230">
        <f>SUM(C309:C310)-SUM(C336,C338)</f>
        <v>6.086503394241257</v>
      </c>
      <c r="D340" s="230">
        <f t="shared" ref="D340:AG340" si="256">SUM(D309:D310)-SUM(D336,D338)</f>
        <v>6.5235665812784696</v>
      </c>
      <c r="E340" s="230">
        <f t="shared" si="256"/>
        <v>6.7783654579948314</v>
      </c>
      <c r="F340" s="230">
        <f t="shared" si="256"/>
        <v>7.0229316910985684</v>
      </c>
      <c r="G340" s="230">
        <f t="shared" si="256"/>
        <v>7.2554801575585071</v>
      </c>
      <c r="H340" s="230">
        <f t="shared" si="256"/>
        <v>7.4742526934582214</v>
      </c>
      <c r="I340" s="230">
        <f t="shared" si="256"/>
        <v>7.6033411476876251</v>
      </c>
      <c r="J340" s="230">
        <f t="shared" si="256"/>
        <v>7.7281383902171452</v>
      </c>
      <c r="K340" s="230">
        <f t="shared" si="256"/>
        <v>7.848165763298554</v>
      </c>
      <c r="L340" s="230">
        <f t="shared" si="256"/>
        <v>7.9627599507793336</v>
      </c>
      <c r="M340" s="230">
        <f t="shared" si="256"/>
        <v>8.0709282253301691</v>
      </c>
      <c r="N340" s="230">
        <f t="shared" si="256"/>
        <v>8.1253688164897468</v>
      </c>
      <c r="O340" s="230">
        <f t="shared" si="256"/>
        <v>8.1570056764283088</v>
      </c>
      <c r="P340" s="230">
        <f t="shared" si="256"/>
        <v>8.1625423703683939</v>
      </c>
      <c r="Q340" s="230">
        <f t="shared" si="256"/>
        <v>8.1420515732508072</v>
      </c>
      <c r="R340" s="230">
        <f t="shared" si="256"/>
        <v>8.0951565480201637</v>
      </c>
      <c r="S340" s="230">
        <f t="shared" si="256"/>
        <v>8.059707869177986</v>
      </c>
      <c r="T340" s="230">
        <f t="shared" si="256"/>
        <v>8.0157789529788186</v>
      </c>
      <c r="U340" s="230">
        <f t="shared" si="256"/>
        <v>7.9661780166840366</v>
      </c>
      <c r="V340" s="230">
        <f t="shared" si="256"/>
        <v>7.9135928924651378</v>
      </c>
      <c r="W340" s="230">
        <f t="shared" si="256"/>
        <v>7.8599494644605086</v>
      </c>
      <c r="X340" s="230">
        <f t="shared" si="256"/>
        <v>7.7677501319082589</v>
      </c>
      <c r="Y340" s="230">
        <f t="shared" si="256"/>
        <v>7.6759021789560213</v>
      </c>
      <c r="Z340" s="230">
        <f t="shared" si="256"/>
        <v>7.5797573787238921</v>
      </c>
      <c r="AA340" s="230">
        <f t="shared" si="256"/>
        <v>7.4815303127767594</v>
      </c>
      <c r="AB340" s="230">
        <f t="shared" si="256"/>
        <v>7.3795236649611313</v>
      </c>
      <c r="AC340" s="230">
        <f t="shared" si="256"/>
        <v>7.2601117686926537</v>
      </c>
      <c r="AD340" s="230">
        <f t="shared" si="256"/>
        <v>7.133414516839677</v>
      </c>
      <c r="AE340" s="230">
        <f t="shared" si="256"/>
        <v>6.9980208998389042</v>
      </c>
      <c r="AF340" s="230">
        <f t="shared" si="256"/>
        <v>6.8535219033644026</v>
      </c>
      <c r="AG340" s="230">
        <f t="shared" si="256"/>
        <v>6.7010541723211414</v>
      </c>
      <c r="AJ340" s="325"/>
    </row>
    <row r="341" spans="1:36" s="230" customFormat="1" x14ac:dyDescent="0.2">
      <c r="A341" s="326"/>
      <c r="B341" s="324"/>
      <c r="AJ341" s="325"/>
    </row>
    <row r="342" spans="1:36" s="230" customFormat="1" x14ac:dyDescent="0.2">
      <c r="A342" s="325" t="s">
        <v>1413</v>
      </c>
      <c r="B342" s="324" t="s">
        <v>704</v>
      </c>
      <c r="C342" s="327">
        <f>C262*C261*C182</f>
        <v>1.1411399999999999E-2</v>
      </c>
      <c r="D342" s="327">
        <f t="shared" ref="D342:AG342" si="257">D262*D261*D182</f>
        <v>1.2211913118445541E-2</v>
      </c>
      <c r="E342" s="327">
        <f t="shared" si="257"/>
        <v>1.3033868575004636E-2</v>
      </c>
      <c r="F342" s="327">
        <f t="shared" si="257"/>
        <v>1.387667776234245E-2</v>
      </c>
      <c r="G342" s="327">
        <f t="shared" si="257"/>
        <v>1.4739737200808048E-2</v>
      </c>
      <c r="H342" s="327">
        <f t="shared" si="257"/>
        <v>1.5622428538434407E-2</v>
      </c>
      <c r="I342" s="327">
        <f t="shared" si="257"/>
        <v>1.652411855093841E-2</v>
      </c>
      <c r="J342" s="327">
        <f t="shared" si="257"/>
        <v>1.7444159141720841E-2</v>
      </c>
      <c r="K342" s="327">
        <f t="shared" si="257"/>
        <v>1.8381887341866382E-2</v>
      </c>
      <c r="L342" s="327">
        <f t="shared" si="257"/>
        <v>1.9336625310143647E-2</v>
      </c>
      <c r="M342" s="327">
        <f t="shared" si="257"/>
        <v>2.0307680333005135E-2</v>
      </c>
      <c r="N342" s="327">
        <f t="shared" si="257"/>
        <v>2.1981838457272966E-2</v>
      </c>
      <c r="O342" s="327">
        <f t="shared" si="257"/>
        <v>2.3694781802410692E-2</v>
      </c>
      <c r="P342" s="327">
        <f t="shared" si="257"/>
        <v>2.5445093487479479E-2</v>
      </c>
      <c r="Q342" s="327">
        <f t="shared" si="257"/>
        <v>2.7231325285274256E-2</v>
      </c>
      <c r="R342" s="327">
        <f t="shared" si="257"/>
        <v>2.905199762232372E-2</v>
      </c>
      <c r="S342" s="327">
        <f t="shared" si="257"/>
        <v>3.0905599578890351E-2</v>
      </c>
      <c r="T342" s="327">
        <f t="shared" si="257"/>
        <v>3.2790588888970414E-2</v>
      </c>
      <c r="U342" s="327">
        <f t="shared" si="257"/>
        <v>3.4705391940293893E-2</v>
      </c>
      <c r="V342" s="327">
        <f t="shared" si="257"/>
        <v>3.6648403774324587E-2</v>
      </c>
      <c r="W342" s="327">
        <f t="shared" si="257"/>
        <v>3.8617988086260047E-2</v>
      </c>
      <c r="X342" s="327">
        <f t="shared" si="257"/>
        <v>4.1632470531806902E-2</v>
      </c>
      <c r="Y342" s="327">
        <f t="shared" si="257"/>
        <v>4.4694492720111348E-2</v>
      </c>
      <c r="Z342" s="327">
        <f t="shared" si="257"/>
        <v>4.7801295593939176E-2</v>
      </c>
      <c r="AA342" s="327">
        <f t="shared" si="257"/>
        <v>5.0950067647971789E-2</v>
      </c>
      <c r="AB342" s="327">
        <f t="shared" si="257"/>
        <v>5.4137944928806254E-2</v>
      </c>
      <c r="AC342" s="327">
        <f t="shared" si="257"/>
        <v>5.7362011034955314E-2</v>
      </c>
      <c r="AD342" s="327">
        <f t="shared" si="257"/>
        <v>6.0619297116847333E-2</v>
      </c>
      <c r="AE342" s="327">
        <f t="shared" si="257"/>
        <v>6.3906781876826357E-2</v>
      </c>
      <c r="AF342" s="327">
        <f t="shared" si="257"/>
        <v>6.7221391569152106E-2</v>
      </c>
      <c r="AG342" s="327">
        <f t="shared" si="257"/>
        <v>7.0559999999999984E-2</v>
      </c>
      <c r="AJ342" s="325"/>
    </row>
    <row r="343" spans="1:36" s="230" customFormat="1" x14ac:dyDescent="0.2">
      <c r="A343" s="230" t="s">
        <v>1414</v>
      </c>
      <c r="B343" s="324" t="s">
        <v>704</v>
      </c>
      <c r="C343" s="327">
        <f>C263*C261*C182</f>
        <v>4.0458599999999997E-2</v>
      </c>
      <c r="D343" s="327">
        <f t="shared" ref="D343:AG343" si="258">D263*D261*D182</f>
        <v>4.1664174168814197E-2</v>
      </c>
      <c r="E343" s="327">
        <f t="shared" si="258"/>
        <v>4.282556817501524E-2</v>
      </c>
      <c r="F343" s="327">
        <f t="shared" si="258"/>
        <v>4.3942812914084431E-2</v>
      </c>
      <c r="G343" s="327">
        <f t="shared" si="258"/>
        <v>4.501595415381919E-2</v>
      </c>
      <c r="H343" s="327">
        <f t="shared" si="258"/>
        <v>4.6045052534332997E-2</v>
      </c>
      <c r="I343" s="327">
        <f t="shared" si="258"/>
        <v>4.7030183568055488E-2</v>
      </c>
      <c r="J343" s="327">
        <f t="shared" si="258"/>
        <v>4.7971437639732321E-2</v>
      </c>
      <c r="K343" s="327">
        <f t="shared" si="258"/>
        <v>4.886892000642528E-2</v>
      </c>
      <c r="L343" s="327">
        <f t="shared" si="258"/>
        <v>4.9722750797512254E-2</v>
      </c>
      <c r="M343" s="327">
        <f t="shared" si="258"/>
        <v>5.0533065014687212E-2</v>
      </c>
      <c r="N343" s="327">
        <f t="shared" si="258"/>
        <v>5.2956247192521268E-2</v>
      </c>
      <c r="O343" s="327">
        <f t="shared" si="258"/>
        <v>5.5287824205624975E-2</v>
      </c>
      <c r="P343" s="327">
        <f t="shared" si="258"/>
        <v>5.7528037449953634E-2</v>
      </c>
      <c r="Q343" s="327">
        <f t="shared" si="258"/>
        <v>5.9677159667728727E-2</v>
      </c>
      <c r="R343" s="327">
        <f t="shared" si="258"/>
        <v>6.1735494947437956E-2</v>
      </c>
      <c r="S343" s="327">
        <f t="shared" si="258"/>
        <v>6.3703378723835274E-2</v>
      </c>
      <c r="T343" s="327">
        <f t="shared" si="258"/>
        <v>6.5581177777940883E-2</v>
      </c>
      <c r="U343" s="327">
        <f t="shared" si="258"/>
        <v>6.7369290237041135E-2</v>
      </c>
      <c r="V343" s="327">
        <f t="shared" si="258"/>
        <v>6.9068145574688711E-2</v>
      </c>
      <c r="W343" s="327">
        <f t="shared" si="258"/>
        <v>7.0678204610702441E-2</v>
      </c>
      <c r="X343" s="327">
        <f t="shared" si="258"/>
        <v>7.4013280945434551E-2</v>
      </c>
      <c r="Y343" s="327">
        <f t="shared" si="258"/>
        <v>7.7199578334737867E-2</v>
      </c>
      <c r="Z343" s="327">
        <f t="shared" si="258"/>
        <v>8.023788903268371E-2</v>
      </c>
      <c r="AA343" s="327">
        <f t="shared" si="258"/>
        <v>8.3129057741427773E-2</v>
      </c>
      <c r="AB343" s="327">
        <f t="shared" si="258"/>
        <v>8.5873981611210029E-2</v>
      </c>
      <c r="AC343" s="327">
        <f t="shared" si="258"/>
        <v>8.8473610240354911E-2</v>
      </c>
      <c r="AD343" s="327">
        <f t="shared" si="258"/>
        <v>9.0928945675271114E-2</v>
      </c>
      <c r="AE343" s="327">
        <f t="shared" si="258"/>
        <v>9.3241042410451724E-2</v>
      </c>
      <c r="AF343" s="327">
        <f t="shared" si="258"/>
        <v>9.5411007388474092E-2</v>
      </c>
      <c r="AG343" s="327">
        <f t="shared" si="258"/>
        <v>9.7440000000000013E-2</v>
      </c>
      <c r="AJ343" s="325"/>
    </row>
    <row r="344" spans="1:36" s="230" customFormat="1" x14ac:dyDescent="0.2">
      <c r="B344" s="324"/>
      <c r="C344" s="317"/>
      <c r="D344" s="317"/>
      <c r="E344" s="317"/>
      <c r="F344" s="317"/>
      <c r="G344" s="317"/>
      <c r="H344" s="317"/>
      <c r="I344" s="317"/>
      <c r="J344" s="317"/>
      <c r="K344" s="317"/>
      <c r="L344" s="317"/>
      <c r="M344" s="317"/>
      <c r="N344" s="317"/>
      <c r="O344" s="317"/>
      <c r="P344" s="317"/>
      <c r="Q344" s="317"/>
      <c r="R344" s="317"/>
      <c r="S344" s="317"/>
      <c r="T344" s="317"/>
      <c r="U344" s="317"/>
      <c r="V344" s="317"/>
      <c r="W344" s="317"/>
      <c r="X344" s="317"/>
      <c r="Y344" s="317"/>
      <c r="Z344" s="317"/>
      <c r="AA344" s="317"/>
      <c r="AB344" s="317"/>
      <c r="AC344" s="317"/>
      <c r="AD344" s="317"/>
      <c r="AE344" s="317"/>
      <c r="AF344" s="317"/>
      <c r="AG344" s="317"/>
      <c r="AJ344" s="325"/>
    </row>
    <row r="345" spans="1:36" s="230" customFormat="1" x14ac:dyDescent="0.2">
      <c r="A345" s="351" t="s">
        <v>233</v>
      </c>
      <c r="B345" s="352" t="s">
        <v>704</v>
      </c>
      <c r="C345" s="304">
        <f>C323-C336-C338</f>
        <v>0.8594591808019032</v>
      </c>
      <c r="D345" s="353">
        <f t="shared" ref="D345:AG345" si="259">D323-D336-D338</f>
        <v>1.2940707025146438</v>
      </c>
      <c r="E345" s="353">
        <f t="shared" si="259"/>
        <v>1.4023798591638856</v>
      </c>
      <c r="F345" s="353">
        <f t="shared" si="259"/>
        <v>1.51167654936658</v>
      </c>
      <c r="G345" s="353">
        <f t="shared" si="259"/>
        <v>1.6212152767284742</v>
      </c>
      <c r="H345" s="353">
        <f t="shared" si="259"/>
        <v>1.7301996447454886</v>
      </c>
      <c r="I345" s="353">
        <f t="shared" si="259"/>
        <v>1.8165618741499703</v>
      </c>
      <c r="J345" s="353">
        <f t="shared" si="259"/>
        <v>1.9030276082340978</v>
      </c>
      <c r="K345" s="353">
        <f t="shared" si="259"/>
        <v>1.9892745278444193</v>
      </c>
      <c r="L345" s="353">
        <f t="shared" si="259"/>
        <v>2.0747886738805237</v>
      </c>
      <c r="M345" s="353">
        <f t="shared" si="259"/>
        <v>2.1587189708454595</v>
      </c>
      <c r="N345" s="353">
        <f t="shared" si="259"/>
        <v>2.1847923868675272</v>
      </c>
      <c r="O345" s="353">
        <f t="shared" si="259"/>
        <v>2.2020309750315148</v>
      </c>
      <c r="P345" s="353">
        <f t="shared" si="259"/>
        <v>2.2083292841072049</v>
      </c>
      <c r="Q345" s="353">
        <f t="shared" si="259"/>
        <v>2.2029070135447104</v>
      </c>
      <c r="R345" s="353">
        <f t="shared" si="259"/>
        <v>2.1853854997485853</v>
      </c>
      <c r="S345" s="353">
        <f t="shared" si="259"/>
        <v>2.1664771321826448</v>
      </c>
      <c r="T345" s="353">
        <f t="shared" si="259"/>
        <v>2.1423762065120959</v>
      </c>
      <c r="U345" s="353">
        <f t="shared" si="259"/>
        <v>2.1159185933362394</v>
      </c>
      <c r="V345" s="353">
        <f t="shared" si="259"/>
        <v>2.089816106856432</v>
      </c>
      <c r="W345" s="353">
        <f t="shared" si="259"/>
        <v>2.0660147163757228</v>
      </c>
      <c r="X345" s="353">
        <f t="shared" si="259"/>
        <v>1.9839939421939077</v>
      </c>
      <c r="Y345" s="353">
        <f t="shared" si="259"/>
        <v>1.9064800462269746</v>
      </c>
      <c r="Z345" s="353">
        <f t="shared" si="259"/>
        <v>1.8316007457170806</v>
      </c>
      <c r="AA345" s="353">
        <f t="shared" si="259"/>
        <v>1.7589944779803934</v>
      </c>
      <c r="AB345" s="353">
        <f t="shared" si="259"/>
        <v>1.6869898053517631</v>
      </c>
      <c r="AC345" s="353">
        <f t="shared" si="259"/>
        <v>1.6116868343362394</v>
      </c>
      <c r="AD345" s="353">
        <f t="shared" si="259"/>
        <v>1.5336485217701123</v>
      </c>
      <c r="AE345" s="353">
        <f t="shared" si="259"/>
        <v>1.4514633743577459</v>
      </c>
      <c r="AF345" s="353">
        <f t="shared" si="259"/>
        <v>1.3647132113178202</v>
      </c>
      <c r="AG345" s="354">
        <f t="shared" si="259"/>
        <v>1.2745163227272185</v>
      </c>
      <c r="AI345" s="230" t="s">
        <v>1415</v>
      </c>
      <c r="AJ345" s="325"/>
    </row>
    <row r="346" spans="1:36" s="230" customFormat="1" x14ac:dyDescent="0.2">
      <c r="A346" s="355" t="s">
        <v>234</v>
      </c>
      <c r="B346" s="356" t="s">
        <v>704</v>
      </c>
      <c r="C346" s="357">
        <f>C324+C345</f>
        <v>9.4561515827997606</v>
      </c>
      <c r="D346" s="357">
        <f t="shared" ref="D346:AG346" si="260">D324+D345</f>
        <v>10.105402113023466</v>
      </c>
      <c r="E346" s="357">
        <f t="shared" si="260"/>
        <v>10.409137857090705</v>
      </c>
      <c r="F346" s="357">
        <f t="shared" si="260"/>
        <v>10.693154652830678</v>
      </c>
      <c r="G346" s="357">
        <f t="shared" si="260"/>
        <v>10.95535294417631</v>
      </c>
      <c r="H346" s="357">
        <f t="shared" si="260"/>
        <v>11.193739738020085</v>
      </c>
      <c r="I346" s="357">
        <f t="shared" si="260"/>
        <v>11.295623682027394</v>
      </c>
      <c r="J346" s="357">
        <f t="shared" si="260"/>
        <v>11.390895394496857</v>
      </c>
      <c r="K346" s="357">
        <f t="shared" si="260"/>
        <v>11.479165307979592</v>
      </c>
      <c r="L346" s="357">
        <f t="shared" si="260"/>
        <v>11.559865138340268</v>
      </c>
      <c r="M346" s="357">
        <f t="shared" si="260"/>
        <v>11.63210271283951</v>
      </c>
      <c r="N346" s="357">
        <f t="shared" si="260"/>
        <v>11.621964081218835</v>
      </c>
      <c r="O346" s="357">
        <f t="shared" si="260"/>
        <v>11.582619939884424</v>
      </c>
      <c r="P346" s="357">
        <f t="shared" si="260"/>
        <v>11.510615903490359</v>
      </c>
      <c r="Q346" s="357">
        <f t="shared" si="260"/>
        <v>11.407183903596392</v>
      </c>
      <c r="R346" s="357">
        <f t="shared" si="260"/>
        <v>11.272487724763794</v>
      </c>
      <c r="S346" s="357">
        <f t="shared" si="260"/>
        <v>11.158995023672073</v>
      </c>
      <c r="T346" s="357">
        <f t="shared" si="260"/>
        <v>11.038039888123471</v>
      </c>
      <c r="U346" s="357">
        <f t="shared" si="260"/>
        <v>10.912512601728503</v>
      </c>
      <c r="V346" s="357">
        <f t="shared" si="260"/>
        <v>10.785181280998437</v>
      </c>
      <c r="W346" s="357">
        <f t="shared" si="260"/>
        <v>10.658050047917891</v>
      </c>
      <c r="X346" s="357">
        <f t="shared" si="260"/>
        <v>10.470739617630883</v>
      </c>
      <c r="Y346" s="357">
        <f t="shared" si="260"/>
        <v>10.286046829567157</v>
      </c>
      <c r="Z346" s="357">
        <f t="shared" si="260"/>
        <v>10.098206788430096</v>
      </c>
      <c r="AA346" s="357">
        <f t="shared" si="260"/>
        <v>9.9108122874488025</v>
      </c>
      <c r="AB346" s="357">
        <f t="shared" si="260"/>
        <v>9.7222578822106573</v>
      </c>
      <c r="AC346" s="357">
        <f t="shared" si="260"/>
        <v>9.5154585333300972</v>
      </c>
      <c r="AD346" s="357">
        <f t="shared" si="260"/>
        <v>9.304414560125446</v>
      </c>
      <c r="AE346" s="357">
        <f t="shared" si="260"/>
        <v>9.0877907745682993</v>
      </c>
      <c r="AF346" s="357">
        <f t="shared" si="260"/>
        <v>8.8652466689146827</v>
      </c>
      <c r="AG346" s="358">
        <f t="shared" si="260"/>
        <v>8.6379795178849577</v>
      </c>
      <c r="AI346" s="230" t="s">
        <v>1416</v>
      </c>
      <c r="AJ346" s="325"/>
    </row>
    <row r="347" spans="1:36" s="230" customFormat="1" x14ac:dyDescent="0.2">
      <c r="A347" s="433"/>
      <c r="B347" s="434"/>
      <c r="C347" s="433"/>
      <c r="D347" s="433"/>
      <c r="E347" s="433"/>
      <c r="F347" s="433"/>
      <c r="G347" s="433"/>
      <c r="H347" s="433"/>
      <c r="I347" s="433"/>
      <c r="J347" s="433"/>
      <c r="K347" s="433"/>
      <c r="L347" s="433"/>
      <c r="M347" s="433"/>
      <c r="N347" s="433"/>
      <c r="O347" s="433"/>
      <c r="P347" s="433"/>
      <c r="Q347" s="433"/>
      <c r="R347" s="433"/>
      <c r="S347" s="433"/>
      <c r="T347" s="433"/>
      <c r="U347" s="433"/>
      <c r="V347" s="433"/>
      <c r="W347" s="433"/>
      <c r="X347" s="433"/>
      <c r="Y347" s="433"/>
      <c r="Z347" s="433"/>
      <c r="AA347" s="433"/>
      <c r="AB347" s="433"/>
      <c r="AC347" s="433"/>
      <c r="AD347" s="433"/>
      <c r="AE347" s="433"/>
      <c r="AF347" s="433"/>
      <c r="AG347" s="433"/>
      <c r="AJ347" s="325"/>
    </row>
    <row r="348" spans="1:36" x14ac:dyDescent="0.2">
      <c r="B348" s="130"/>
      <c r="C348" s="230"/>
      <c r="D348" s="230"/>
      <c r="E348" s="230"/>
      <c r="F348" s="230"/>
      <c r="G348" s="230"/>
      <c r="H348" s="230"/>
      <c r="I348" s="230"/>
      <c r="J348" s="230"/>
      <c r="K348" s="230"/>
      <c r="L348" s="230"/>
      <c r="M348" s="230"/>
      <c r="N348" s="230"/>
      <c r="O348" s="230"/>
      <c r="P348" s="230"/>
      <c r="Q348" s="230"/>
      <c r="R348" s="230"/>
      <c r="S348" s="230"/>
      <c r="T348" s="230"/>
      <c r="U348" s="230"/>
      <c r="V348" s="230"/>
      <c r="W348" s="230"/>
      <c r="X348" s="230"/>
      <c r="Y348" s="230"/>
      <c r="Z348" s="230"/>
      <c r="AA348" s="230"/>
      <c r="AB348" s="230"/>
      <c r="AC348" s="230"/>
      <c r="AD348" s="230"/>
      <c r="AE348" s="230"/>
      <c r="AF348" s="230"/>
      <c r="AG348" s="230"/>
      <c r="AI348" s="23"/>
    </row>
    <row r="349" spans="1:36" x14ac:dyDescent="0.2">
      <c r="B349" s="130"/>
      <c r="C349" s="230"/>
      <c r="D349" s="230"/>
      <c r="E349" s="230"/>
      <c r="F349" s="230"/>
      <c r="G349" s="230"/>
      <c r="H349" s="230"/>
      <c r="I349" s="230"/>
      <c r="J349" s="230"/>
      <c r="K349" s="230"/>
      <c r="L349" s="230"/>
      <c r="M349" s="230"/>
      <c r="N349" s="230"/>
      <c r="O349" s="230"/>
      <c r="P349" s="230"/>
      <c r="Q349" s="230"/>
      <c r="R349" s="230"/>
      <c r="S349" s="230"/>
      <c r="T349" s="230"/>
      <c r="U349" s="230"/>
      <c r="V349" s="230"/>
      <c r="W349" s="230"/>
      <c r="X349" s="230"/>
      <c r="Y349" s="230"/>
      <c r="Z349" s="230"/>
      <c r="AA349" s="230"/>
      <c r="AB349" s="230"/>
      <c r="AC349" s="230"/>
      <c r="AD349" s="230"/>
      <c r="AE349" s="230"/>
      <c r="AF349" s="230"/>
      <c r="AG349" s="230"/>
      <c r="AI349" s="214"/>
    </row>
  </sheetData>
  <mergeCells count="5">
    <mergeCell ref="AI316:AI324"/>
    <mergeCell ref="BD116:BE116"/>
    <mergeCell ref="BD121:BE121"/>
    <mergeCell ref="BD126:BE126"/>
    <mergeCell ref="BD134:BE134"/>
  </mergeCells>
  <hyperlinks>
    <hyperlink ref="AJ120" r:id="rId1" xr:uid="{A12556A6-42D7-4AF9-A95B-465E9C1F1206}"/>
    <hyperlink ref="AJ121" r:id="rId2" xr:uid="{29E1D7A7-C920-41F1-8EF3-26DCC7794D26}"/>
  </hyperlinks>
  <pageMargins left="0.7" right="0.7" top="0.75" bottom="0.75" header="0.3" footer="0.3"/>
  <drawing r:id="rId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37757-9CDD-42AC-9127-5E624AC49AB9}">
  <sheetPr>
    <tabColor theme="4"/>
  </sheetPr>
  <dimension ref="A1:BL377"/>
  <sheetViews>
    <sheetView zoomScale="70" zoomScaleNormal="70" workbookViewId="0">
      <pane xSplit="2" ySplit="6" topLeftCell="C290" activePane="bottomRight" state="frozen"/>
      <selection pane="topRight" activeCell="C1" sqref="C1"/>
      <selection pane="bottomLeft" activeCell="A4" sqref="A4"/>
      <selection pane="bottomRight" activeCell="W6" sqref="W6"/>
    </sheetView>
  </sheetViews>
  <sheetFormatPr baseColWidth="10" defaultColWidth="8.83203125" defaultRowHeight="15" outlineLevelRow="2" outlineLevelCol="1" x14ac:dyDescent="0.2"/>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x14ac:dyDescent="0.2">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x14ac:dyDescent="0.2">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x14ac:dyDescent="0.2">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x14ac:dyDescent="0.2">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x14ac:dyDescent="0.25">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x14ac:dyDescent="0.2">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x14ac:dyDescent="0.2">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x14ac:dyDescent="0.2">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x14ac:dyDescent="0.2">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x14ac:dyDescent="0.2">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x14ac:dyDescent="0.2">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x14ac:dyDescent="0.25">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x14ac:dyDescent="0.2">
      <c r="AM13" s="26"/>
      <c r="AN13" s="2"/>
      <c r="AO13" s="26"/>
      <c r="AR13" s="2"/>
    </row>
    <row r="14" spans="1:47" outlineLevel="1" x14ac:dyDescent="0.2">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x14ac:dyDescent="0.2">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x14ac:dyDescent="0.2">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x14ac:dyDescent="0.2">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x14ac:dyDescent="0.2">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x14ac:dyDescent="0.25">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x14ac:dyDescent="0.2">
      <c r="AL20" s="114"/>
      <c r="AM20" s="115"/>
      <c r="AN20" s="115"/>
      <c r="AO20" s="115"/>
      <c r="AP20" s="115"/>
      <c r="AQ20" s="115"/>
    </row>
    <row r="21" spans="1:64" outlineLevel="1" x14ac:dyDescent="0.2">
      <c r="A21" t="s">
        <v>1597</v>
      </c>
      <c r="B21" s="54" t="s">
        <v>462</v>
      </c>
      <c r="C21" s="159">
        <f>SUM('Overall recycling rates'!F76:H76)</f>
        <v>0.16323049504571452</v>
      </c>
      <c r="D21" s="159">
        <f>C21</f>
        <v>0.16323049504571452</v>
      </c>
      <c r="E21" s="159">
        <f t="shared" ref="E21:T21" si="10">D21</f>
        <v>0.16323049504571452</v>
      </c>
      <c r="F21" s="159">
        <f t="shared" si="10"/>
        <v>0.16323049504571452</v>
      </c>
      <c r="G21" s="159">
        <f t="shared" si="10"/>
        <v>0.16323049504571452</v>
      </c>
      <c r="H21" s="159">
        <f t="shared" si="10"/>
        <v>0.16323049504571452</v>
      </c>
      <c r="I21" s="159">
        <f t="shared" si="10"/>
        <v>0.16323049504571452</v>
      </c>
      <c r="J21" s="159">
        <f t="shared" si="10"/>
        <v>0.16323049504571452</v>
      </c>
      <c r="K21" s="159">
        <f t="shared" si="10"/>
        <v>0.16323049504571452</v>
      </c>
      <c r="L21" s="159">
        <f t="shared" si="10"/>
        <v>0.16323049504571452</v>
      </c>
      <c r="M21" s="159">
        <f t="shared" si="10"/>
        <v>0.16323049504571452</v>
      </c>
      <c r="N21" s="159">
        <f t="shared" si="10"/>
        <v>0.16323049504571452</v>
      </c>
      <c r="O21" s="159">
        <f t="shared" si="10"/>
        <v>0.16323049504571452</v>
      </c>
      <c r="P21" s="159">
        <f t="shared" si="10"/>
        <v>0.16323049504571452</v>
      </c>
      <c r="Q21" s="159">
        <f t="shared" si="10"/>
        <v>0.16323049504571452</v>
      </c>
      <c r="R21" s="159">
        <f t="shared" si="10"/>
        <v>0.16323049504571452</v>
      </c>
      <c r="S21" s="159">
        <f t="shared" si="10"/>
        <v>0.16323049504571452</v>
      </c>
      <c r="T21" s="159">
        <f t="shared" si="10"/>
        <v>0.16323049504571452</v>
      </c>
      <c r="U21" s="159">
        <f t="shared" ref="T21:AG25" si="11">T21</f>
        <v>0.16323049504571452</v>
      </c>
      <c r="V21" s="159">
        <f t="shared" si="11"/>
        <v>0.16323049504571452</v>
      </c>
      <c r="W21" s="159">
        <f t="shared" si="11"/>
        <v>0.16323049504571452</v>
      </c>
      <c r="X21" s="159">
        <f t="shared" si="11"/>
        <v>0.16323049504571452</v>
      </c>
      <c r="Y21" s="159">
        <f t="shared" si="11"/>
        <v>0.16323049504571452</v>
      </c>
      <c r="Z21" s="159">
        <f t="shared" si="11"/>
        <v>0.16323049504571452</v>
      </c>
      <c r="AA21" s="159">
        <f t="shared" si="11"/>
        <v>0.16323049504571452</v>
      </c>
      <c r="AB21" s="159">
        <f t="shared" si="11"/>
        <v>0.16323049504571452</v>
      </c>
      <c r="AC21" s="159">
        <f t="shared" si="11"/>
        <v>0.16323049504571452</v>
      </c>
      <c r="AD21" s="159">
        <f t="shared" si="11"/>
        <v>0.16323049504571452</v>
      </c>
      <c r="AE21" s="159">
        <f t="shared" si="11"/>
        <v>0.16323049504571452</v>
      </c>
      <c r="AF21" s="159">
        <f t="shared" si="11"/>
        <v>0.16323049504571452</v>
      </c>
      <c r="AG21" s="159">
        <f>AF21</f>
        <v>0.16323049504571452</v>
      </c>
      <c r="AI21" s="54" t="s">
        <v>1263</v>
      </c>
      <c r="AJ21" s="211"/>
      <c r="AM21" s="115"/>
      <c r="AN21" s="115"/>
      <c r="AO21" s="115"/>
      <c r="AP21" s="115"/>
      <c r="AQ21" s="115"/>
    </row>
    <row r="22" spans="1:64" outlineLevel="1" x14ac:dyDescent="0.2">
      <c r="A22" t="s">
        <v>1598</v>
      </c>
      <c r="B22" s="54" t="s">
        <v>462</v>
      </c>
      <c r="C22" s="159">
        <f>SUM('Overall recycling rates'!F77:H77)</f>
        <v>0.14472181394867328</v>
      </c>
      <c r="D22" s="159">
        <f t="shared" ref="D22:S25" si="12">C22</f>
        <v>0.14472181394867328</v>
      </c>
      <c r="E22" s="159">
        <f t="shared" si="12"/>
        <v>0.14472181394867328</v>
      </c>
      <c r="F22" s="159">
        <f t="shared" si="12"/>
        <v>0.14472181394867328</v>
      </c>
      <c r="G22" s="159">
        <f t="shared" si="12"/>
        <v>0.14472181394867328</v>
      </c>
      <c r="H22" s="159">
        <f t="shared" si="12"/>
        <v>0.14472181394867328</v>
      </c>
      <c r="I22" s="159">
        <f t="shared" si="12"/>
        <v>0.14472181394867328</v>
      </c>
      <c r="J22" s="159">
        <f t="shared" si="12"/>
        <v>0.14472181394867328</v>
      </c>
      <c r="K22" s="159">
        <f t="shared" si="12"/>
        <v>0.14472181394867328</v>
      </c>
      <c r="L22" s="159">
        <f t="shared" si="12"/>
        <v>0.14472181394867328</v>
      </c>
      <c r="M22" s="159">
        <f t="shared" si="12"/>
        <v>0.14472181394867328</v>
      </c>
      <c r="N22" s="159">
        <f t="shared" si="12"/>
        <v>0.14472181394867328</v>
      </c>
      <c r="O22" s="159">
        <f t="shared" si="12"/>
        <v>0.14472181394867328</v>
      </c>
      <c r="P22" s="159">
        <f t="shared" si="12"/>
        <v>0.14472181394867328</v>
      </c>
      <c r="Q22" s="159">
        <f t="shared" si="12"/>
        <v>0.14472181394867328</v>
      </c>
      <c r="R22" s="159">
        <f t="shared" si="12"/>
        <v>0.14472181394867328</v>
      </c>
      <c r="S22" s="159">
        <f t="shared" si="12"/>
        <v>0.14472181394867328</v>
      </c>
      <c r="T22" s="159">
        <f t="shared" si="11"/>
        <v>0.14472181394867328</v>
      </c>
      <c r="U22" s="159">
        <f t="shared" si="11"/>
        <v>0.14472181394867328</v>
      </c>
      <c r="V22" s="159">
        <f t="shared" si="11"/>
        <v>0.14472181394867328</v>
      </c>
      <c r="W22" s="159">
        <f t="shared" si="11"/>
        <v>0.14472181394867328</v>
      </c>
      <c r="X22" s="159">
        <f t="shared" si="11"/>
        <v>0.14472181394867328</v>
      </c>
      <c r="Y22" s="159">
        <f t="shared" si="11"/>
        <v>0.14472181394867328</v>
      </c>
      <c r="Z22" s="159">
        <f t="shared" si="11"/>
        <v>0.14472181394867328</v>
      </c>
      <c r="AA22" s="159">
        <f t="shared" si="11"/>
        <v>0.14472181394867328</v>
      </c>
      <c r="AB22" s="159">
        <f t="shared" si="11"/>
        <v>0.14472181394867328</v>
      </c>
      <c r="AC22" s="159">
        <f t="shared" si="11"/>
        <v>0.14472181394867328</v>
      </c>
      <c r="AD22" s="159">
        <f t="shared" si="11"/>
        <v>0.14472181394867328</v>
      </c>
      <c r="AE22" s="159">
        <f t="shared" si="11"/>
        <v>0.14472181394867328</v>
      </c>
      <c r="AF22" s="159">
        <f t="shared" si="11"/>
        <v>0.14472181394867328</v>
      </c>
      <c r="AG22" s="159">
        <f t="shared" si="11"/>
        <v>0.14472181394867328</v>
      </c>
      <c r="AI22" s="54" t="s">
        <v>1263</v>
      </c>
      <c r="AJ22" s="211"/>
      <c r="AM22" s="120"/>
      <c r="AN22" s="115"/>
      <c r="AO22" s="116"/>
      <c r="AP22" s="117"/>
      <c r="AQ22" s="116"/>
    </row>
    <row r="23" spans="1:64" outlineLevel="1" x14ac:dyDescent="0.2">
      <c r="A23" t="s">
        <v>1599</v>
      </c>
      <c r="B23" s="54" t="s">
        <v>462</v>
      </c>
      <c r="C23" s="159">
        <f>SUM('Overall recycling rates'!F78:H78)</f>
        <v>8.3639786575459008E-2</v>
      </c>
      <c r="D23" s="159">
        <f t="shared" si="12"/>
        <v>8.3639786575459008E-2</v>
      </c>
      <c r="E23" s="159">
        <f t="shared" si="12"/>
        <v>8.3639786575459008E-2</v>
      </c>
      <c r="F23" s="159">
        <f t="shared" si="12"/>
        <v>8.3639786575459008E-2</v>
      </c>
      <c r="G23" s="159">
        <f t="shared" si="12"/>
        <v>8.3639786575459008E-2</v>
      </c>
      <c r="H23" s="159">
        <f t="shared" si="12"/>
        <v>8.3639786575459008E-2</v>
      </c>
      <c r="I23" s="159">
        <f t="shared" si="12"/>
        <v>8.3639786575459008E-2</v>
      </c>
      <c r="J23" s="159">
        <f t="shared" si="12"/>
        <v>8.3639786575459008E-2</v>
      </c>
      <c r="K23" s="159">
        <f t="shared" si="12"/>
        <v>8.3639786575459008E-2</v>
      </c>
      <c r="L23" s="159">
        <f t="shared" si="12"/>
        <v>8.3639786575459008E-2</v>
      </c>
      <c r="M23" s="159">
        <f t="shared" si="12"/>
        <v>8.3639786575459008E-2</v>
      </c>
      <c r="N23" s="159">
        <f t="shared" si="12"/>
        <v>8.3639786575459008E-2</v>
      </c>
      <c r="O23" s="159">
        <f t="shared" si="12"/>
        <v>8.3639786575459008E-2</v>
      </c>
      <c r="P23" s="159">
        <f t="shared" si="12"/>
        <v>8.3639786575459008E-2</v>
      </c>
      <c r="Q23" s="159">
        <f t="shared" si="12"/>
        <v>8.3639786575459008E-2</v>
      </c>
      <c r="R23" s="159">
        <f t="shared" si="12"/>
        <v>8.3639786575459008E-2</v>
      </c>
      <c r="S23" s="159">
        <f t="shared" si="12"/>
        <v>8.3639786575459008E-2</v>
      </c>
      <c r="T23" s="159">
        <f t="shared" si="11"/>
        <v>8.3639786575459008E-2</v>
      </c>
      <c r="U23" s="159">
        <f t="shared" si="11"/>
        <v>8.3639786575459008E-2</v>
      </c>
      <c r="V23" s="159">
        <f t="shared" si="11"/>
        <v>8.3639786575459008E-2</v>
      </c>
      <c r="W23" s="159">
        <f t="shared" si="11"/>
        <v>8.3639786575459008E-2</v>
      </c>
      <c r="X23" s="159">
        <f t="shared" si="11"/>
        <v>8.3639786575459008E-2</v>
      </c>
      <c r="Y23" s="159">
        <f t="shared" si="11"/>
        <v>8.3639786575459008E-2</v>
      </c>
      <c r="Z23" s="159">
        <f t="shared" si="11"/>
        <v>8.3639786575459008E-2</v>
      </c>
      <c r="AA23" s="159">
        <f t="shared" si="11"/>
        <v>8.3639786575459008E-2</v>
      </c>
      <c r="AB23" s="159">
        <f t="shared" si="11"/>
        <v>8.3639786575459008E-2</v>
      </c>
      <c r="AC23" s="159">
        <f t="shared" si="11"/>
        <v>8.3639786575459008E-2</v>
      </c>
      <c r="AD23" s="159">
        <f t="shared" si="11"/>
        <v>8.3639786575459008E-2</v>
      </c>
      <c r="AE23" s="159">
        <f t="shared" si="11"/>
        <v>8.3639786575459008E-2</v>
      </c>
      <c r="AF23" s="159">
        <f t="shared" si="11"/>
        <v>8.3639786575459008E-2</v>
      </c>
      <c r="AG23" s="159">
        <f t="shared" si="11"/>
        <v>8.3639786575459008E-2</v>
      </c>
      <c r="AI23" s="54" t="s">
        <v>1263</v>
      </c>
      <c r="AJ23" s="211"/>
      <c r="AM23" s="120"/>
      <c r="AN23" s="115"/>
      <c r="AO23" s="116"/>
      <c r="AP23" s="117"/>
      <c r="AQ23" s="116"/>
    </row>
    <row r="24" spans="1:64" outlineLevel="1" x14ac:dyDescent="0.2">
      <c r="A24" t="s">
        <v>1600</v>
      </c>
      <c r="B24" s="54" t="s">
        <v>462</v>
      </c>
      <c r="C24" s="159">
        <f>SUM('Overall recycling rates'!F79:H79)</f>
        <v>0.46373883592056908</v>
      </c>
      <c r="D24" s="159">
        <f t="shared" si="12"/>
        <v>0.46373883592056908</v>
      </c>
      <c r="E24" s="159">
        <f t="shared" si="12"/>
        <v>0.46373883592056908</v>
      </c>
      <c r="F24" s="159">
        <f t="shared" si="12"/>
        <v>0.46373883592056908</v>
      </c>
      <c r="G24" s="159">
        <f t="shared" si="12"/>
        <v>0.46373883592056908</v>
      </c>
      <c r="H24" s="159">
        <f t="shared" si="12"/>
        <v>0.46373883592056908</v>
      </c>
      <c r="I24" s="159">
        <f t="shared" si="12"/>
        <v>0.46373883592056908</v>
      </c>
      <c r="J24" s="159">
        <f t="shared" si="12"/>
        <v>0.46373883592056908</v>
      </c>
      <c r="K24" s="159">
        <f t="shared" si="12"/>
        <v>0.46373883592056908</v>
      </c>
      <c r="L24" s="159">
        <f t="shared" si="12"/>
        <v>0.46373883592056908</v>
      </c>
      <c r="M24" s="159">
        <f t="shared" si="12"/>
        <v>0.46373883592056908</v>
      </c>
      <c r="N24" s="159">
        <f t="shared" si="12"/>
        <v>0.46373883592056908</v>
      </c>
      <c r="O24" s="159">
        <f t="shared" si="12"/>
        <v>0.46373883592056908</v>
      </c>
      <c r="P24" s="159">
        <f t="shared" si="12"/>
        <v>0.46373883592056908</v>
      </c>
      <c r="Q24" s="159">
        <f t="shared" si="12"/>
        <v>0.46373883592056908</v>
      </c>
      <c r="R24" s="159">
        <f t="shared" si="12"/>
        <v>0.46373883592056908</v>
      </c>
      <c r="S24" s="159">
        <f t="shared" si="12"/>
        <v>0.46373883592056908</v>
      </c>
      <c r="T24" s="159">
        <f t="shared" si="11"/>
        <v>0.46373883592056908</v>
      </c>
      <c r="U24" s="159">
        <f t="shared" si="11"/>
        <v>0.46373883592056908</v>
      </c>
      <c r="V24" s="159">
        <f t="shared" si="11"/>
        <v>0.46373883592056908</v>
      </c>
      <c r="W24" s="159">
        <f t="shared" si="11"/>
        <v>0.46373883592056908</v>
      </c>
      <c r="X24" s="159">
        <f t="shared" si="11"/>
        <v>0.46373883592056908</v>
      </c>
      <c r="Y24" s="159">
        <f t="shared" si="11"/>
        <v>0.46373883592056908</v>
      </c>
      <c r="Z24" s="159">
        <f t="shared" si="11"/>
        <v>0.46373883592056908</v>
      </c>
      <c r="AA24" s="159">
        <f t="shared" si="11"/>
        <v>0.46373883592056908</v>
      </c>
      <c r="AB24" s="159">
        <f t="shared" si="11"/>
        <v>0.46373883592056908</v>
      </c>
      <c r="AC24" s="159">
        <f t="shared" si="11"/>
        <v>0.46373883592056908</v>
      </c>
      <c r="AD24" s="159">
        <f t="shared" si="11"/>
        <v>0.46373883592056908</v>
      </c>
      <c r="AE24" s="159">
        <f t="shared" si="11"/>
        <v>0.46373883592056908</v>
      </c>
      <c r="AF24" s="159">
        <f t="shared" si="11"/>
        <v>0.46373883592056908</v>
      </c>
      <c r="AG24" s="159">
        <f t="shared" si="11"/>
        <v>0.46373883592056908</v>
      </c>
      <c r="AI24" s="54" t="s">
        <v>1263</v>
      </c>
      <c r="AJ24" s="211"/>
      <c r="AM24" s="120"/>
      <c r="AN24" s="115"/>
      <c r="AO24" s="477"/>
      <c r="AP24" s="478"/>
      <c r="AQ24" s="477"/>
    </row>
    <row r="25" spans="1:64" outlineLevel="1" x14ac:dyDescent="0.2">
      <c r="A25" t="s">
        <v>1601</v>
      </c>
      <c r="B25" s="54" t="s">
        <v>462</v>
      </c>
      <c r="C25" s="159">
        <f>SUM('Overall recycling rates'!F80:H80)</f>
        <v>0.18034988194307733</v>
      </c>
      <c r="D25" s="159">
        <f>C25</f>
        <v>0.18034988194307733</v>
      </c>
      <c r="E25" s="159">
        <f t="shared" si="12"/>
        <v>0.18034988194307733</v>
      </c>
      <c r="F25" s="159">
        <f t="shared" si="12"/>
        <v>0.18034988194307733</v>
      </c>
      <c r="G25" s="159">
        <f t="shared" si="12"/>
        <v>0.18034988194307733</v>
      </c>
      <c r="H25" s="159">
        <f t="shared" si="12"/>
        <v>0.18034988194307733</v>
      </c>
      <c r="I25" s="159">
        <f t="shared" si="12"/>
        <v>0.18034988194307733</v>
      </c>
      <c r="J25" s="159">
        <f t="shared" si="12"/>
        <v>0.18034988194307733</v>
      </c>
      <c r="K25" s="159">
        <f t="shared" si="12"/>
        <v>0.18034988194307733</v>
      </c>
      <c r="L25" s="159">
        <f t="shared" si="12"/>
        <v>0.18034988194307733</v>
      </c>
      <c r="M25" s="159">
        <f t="shared" si="12"/>
        <v>0.18034988194307733</v>
      </c>
      <c r="N25" s="159">
        <f t="shared" si="12"/>
        <v>0.18034988194307733</v>
      </c>
      <c r="O25" s="159">
        <f t="shared" si="12"/>
        <v>0.18034988194307733</v>
      </c>
      <c r="P25" s="159">
        <f t="shared" si="12"/>
        <v>0.18034988194307733</v>
      </c>
      <c r="Q25" s="159">
        <f t="shared" si="12"/>
        <v>0.18034988194307733</v>
      </c>
      <c r="R25" s="159">
        <f t="shared" si="12"/>
        <v>0.18034988194307733</v>
      </c>
      <c r="S25" s="159">
        <f t="shared" si="12"/>
        <v>0.18034988194307733</v>
      </c>
      <c r="T25" s="159">
        <f t="shared" si="11"/>
        <v>0.18034988194307733</v>
      </c>
      <c r="U25" s="159">
        <f t="shared" si="11"/>
        <v>0.18034988194307733</v>
      </c>
      <c r="V25" s="159">
        <f t="shared" si="11"/>
        <v>0.18034988194307733</v>
      </c>
      <c r="W25" s="159">
        <f t="shared" si="11"/>
        <v>0.18034988194307733</v>
      </c>
      <c r="X25" s="159">
        <f t="shared" si="11"/>
        <v>0.18034988194307733</v>
      </c>
      <c r="Y25" s="159">
        <f t="shared" si="11"/>
        <v>0.18034988194307733</v>
      </c>
      <c r="Z25" s="159">
        <f t="shared" si="11"/>
        <v>0.18034988194307733</v>
      </c>
      <c r="AA25" s="159">
        <f t="shared" si="11"/>
        <v>0.18034988194307733</v>
      </c>
      <c r="AB25" s="159">
        <f t="shared" si="11"/>
        <v>0.18034988194307733</v>
      </c>
      <c r="AC25" s="159">
        <f t="shared" si="11"/>
        <v>0.18034988194307733</v>
      </c>
      <c r="AD25" s="159">
        <f t="shared" si="11"/>
        <v>0.18034988194307733</v>
      </c>
      <c r="AE25" s="159">
        <f t="shared" si="11"/>
        <v>0.18034988194307733</v>
      </c>
      <c r="AF25" s="159">
        <f t="shared" si="11"/>
        <v>0.18034988194307733</v>
      </c>
      <c r="AG25" s="159">
        <f t="shared" si="11"/>
        <v>0.18034988194307733</v>
      </c>
      <c r="AI25" s="54" t="s">
        <v>1263</v>
      </c>
      <c r="AJ25" s="211"/>
      <c r="AM25" s="120"/>
      <c r="AN25" s="115"/>
      <c r="AO25" s="116"/>
      <c r="AP25" s="117"/>
      <c r="AQ25" s="116"/>
    </row>
    <row r="26" spans="1:64" outlineLevel="1" x14ac:dyDescent="0.2">
      <c r="AI26" s="54"/>
      <c r="AM26" s="120"/>
      <c r="AN26" s="115"/>
      <c r="AO26" s="116"/>
      <c r="AP26" s="117"/>
      <c r="AQ26" s="116"/>
      <c r="BD26" s="23"/>
      <c r="BE26" s="23"/>
      <c r="BF26" s="23"/>
      <c r="BG26" s="23"/>
      <c r="BH26" s="23"/>
      <c r="BI26" s="23"/>
      <c r="BJ26" s="23"/>
      <c r="BK26" s="23"/>
      <c r="BL26" s="23"/>
    </row>
    <row r="27" spans="1:64" outlineLevel="1" x14ac:dyDescent="0.2">
      <c r="A27" t="s">
        <v>1602</v>
      </c>
      <c r="B27" s="54" t="s">
        <v>1603</v>
      </c>
      <c r="C27" s="204">
        <f>C14*C21</f>
        <v>31.34132906881517</v>
      </c>
      <c r="D27" s="204">
        <f t="shared" ref="D27:AG27" si="13">D14*D21</f>
        <v>32.391937419343449</v>
      </c>
      <c r="E27" s="204">
        <f t="shared" si="13"/>
        <v>33.390250528174754</v>
      </c>
      <c r="F27" s="204">
        <f t="shared" si="13"/>
        <v>34.329416339951194</v>
      </c>
      <c r="G27" s="204">
        <f t="shared" si="13"/>
        <v>35.202856998503727</v>
      </c>
      <c r="H27" s="204">
        <f t="shared" si="13"/>
        <v>36.00434558822333</v>
      </c>
      <c r="I27" s="204">
        <f t="shared" si="13"/>
        <v>36.807319347488345</v>
      </c>
      <c r="J27" s="204">
        <f t="shared" si="13"/>
        <v>37.611051257975468</v>
      </c>
      <c r="K27" s="204">
        <f t="shared" si="13"/>
        <v>38.414795843817302</v>
      </c>
      <c r="L27" s="204">
        <f t="shared" si="13"/>
        <v>39.217790141073472</v>
      </c>
      <c r="M27" s="204">
        <f>M14*M21</f>
        <v>40.019254732723482</v>
      </c>
      <c r="N27" s="204">
        <f t="shared" si="13"/>
        <v>40.759992270093193</v>
      </c>
      <c r="O27" s="204">
        <f t="shared" si="13"/>
        <v>41.435894489629504</v>
      </c>
      <c r="P27" s="204">
        <f t="shared" si="13"/>
        <v>42.043143301429602</v>
      </c>
      <c r="Q27" s="204">
        <f t="shared" si="13"/>
        <v>42.57824627538244</v>
      </c>
      <c r="R27" s="204">
        <f t="shared" si="13"/>
        <v>43.038069726050175</v>
      </c>
      <c r="S27" s="204">
        <f t="shared" si="13"/>
        <v>43.498097231658051</v>
      </c>
      <c r="T27" s="204">
        <f t="shared" si="13"/>
        <v>43.958226299217436</v>
      </c>
      <c r="U27" s="204">
        <f t="shared" si="13"/>
        <v>44.41835320526161</v>
      </c>
      <c r="V27" s="204">
        <f t="shared" si="13"/>
        <v>44.87837302856861</v>
      </c>
      <c r="W27" s="204">
        <f t="shared" si="13"/>
        <v>45.33817968397107</v>
      </c>
      <c r="X27" s="204">
        <f t="shared" si="13"/>
        <v>45.798170391593182</v>
      </c>
      <c r="Y27" s="204">
        <f t="shared" si="13"/>
        <v>46.258252801007892</v>
      </c>
      <c r="Z27" s="204">
        <f t="shared" si="13"/>
        <v>46.718333518133335</v>
      </c>
      <c r="AA27" s="204">
        <f t="shared" si="13"/>
        <v>47.178318131918004</v>
      </c>
      <c r="AB27" s="204">
        <f t="shared" si="13"/>
        <v>47.638111241856656</v>
      </c>
      <c r="AC27" s="204">
        <f t="shared" si="13"/>
        <v>48.09807121259432</v>
      </c>
      <c r="AD27" s="204">
        <f t="shared" si="13"/>
        <v>48.55811439286326</v>
      </c>
      <c r="AE27" s="204">
        <f t="shared" si="13"/>
        <v>49.01815623836459</v>
      </c>
      <c r="AF27" s="204">
        <f t="shared" si="13"/>
        <v>49.478111333747449</v>
      </c>
      <c r="AG27" s="204">
        <f t="shared" si="13"/>
        <v>49.937893415231954</v>
      </c>
      <c r="AI27" s="245"/>
      <c r="AM27" s="120"/>
      <c r="AN27" s="115"/>
      <c r="AO27" s="115"/>
      <c r="AP27" s="115"/>
      <c r="AQ27" s="115"/>
      <c r="BD27" s="205"/>
      <c r="BE27" s="205"/>
      <c r="BF27" s="205"/>
      <c r="BG27" s="205"/>
      <c r="BH27" s="205"/>
      <c r="BI27" s="205"/>
      <c r="BJ27" s="205"/>
      <c r="BK27" s="205"/>
      <c r="BL27" s="205"/>
    </row>
    <row r="28" spans="1:64" outlineLevel="1" x14ac:dyDescent="0.2">
      <c r="A28" t="s">
        <v>1604</v>
      </c>
      <c r="B28" s="54" t="s">
        <v>1603</v>
      </c>
      <c r="C28" s="204">
        <f t="shared" ref="C28:AG31" si="14">C15*C22</f>
        <v>2.6229670403228216</v>
      </c>
      <c r="D28" s="204">
        <f t="shared" si="14"/>
        <v>2.7108928289731047</v>
      </c>
      <c r="E28" s="204">
        <f t="shared" si="14"/>
        <v>2.7944420101401595</v>
      </c>
      <c r="F28" s="204">
        <f t="shared" si="14"/>
        <v>2.8730411328601577</v>
      </c>
      <c r="G28" s="204">
        <f t="shared" si="14"/>
        <v>2.9461396939974613</v>
      </c>
      <c r="H28" s="204">
        <f t="shared" si="14"/>
        <v>3.0132165607574328</v>
      </c>
      <c r="I28" s="204">
        <f t="shared" si="14"/>
        <v>3.0804177218878936</v>
      </c>
      <c r="J28" s="204">
        <f t="shared" si="14"/>
        <v>3.1476823329653176</v>
      </c>
      <c r="K28" s="204">
        <f t="shared" si="14"/>
        <v>3.2149480048477113</v>
      </c>
      <c r="L28" s="204">
        <f t="shared" si="14"/>
        <v>3.2821508848099983</v>
      </c>
      <c r="M28" s="204">
        <f t="shared" si="14"/>
        <v>3.349225743162942</v>
      </c>
      <c r="N28" s="204">
        <f t="shared" si="14"/>
        <v>3.4112183326215639</v>
      </c>
      <c r="O28" s="204">
        <f t="shared" si="14"/>
        <v>3.4677848311396122</v>
      </c>
      <c r="P28" s="204">
        <f t="shared" si="14"/>
        <v>3.5186057014074175</v>
      </c>
      <c r="Q28" s="204">
        <f t="shared" si="14"/>
        <v>3.563388660699772</v>
      </c>
      <c r="R28" s="204">
        <f t="shared" si="14"/>
        <v>3.601871449761485</v>
      </c>
      <c r="S28" s="204">
        <f t="shared" si="14"/>
        <v>3.6403713162541278</v>
      </c>
      <c r="T28" s="204">
        <f t="shared" si="14"/>
        <v>3.678879682502822</v>
      </c>
      <c r="U28" s="204">
        <f t="shared" si="14"/>
        <v>3.717387867853533</v>
      </c>
      <c r="V28" s="204">
        <f t="shared" si="14"/>
        <v>3.755887091411668</v>
      </c>
      <c r="W28" s="204">
        <f t="shared" si="14"/>
        <v>3.7943684748716233</v>
      </c>
      <c r="X28" s="204">
        <f t="shared" si="14"/>
        <v>3.8328652617276751</v>
      </c>
      <c r="Y28" s="204">
        <f t="shared" si="14"/>
        <v>3.8713697231395514</v>
      </c>
      <c r="Z28" s="204">
        <f t="shared" si="14"/>
        <v>3.9098740429231329</v>
      </c>
      <c r="AA28" s="204">
        <f t="shared" si="14"/>
        <v>3.9483703197837494</v>
      </c>
      <c r="AB28" s="204">
        <f t="shared" si="14"/>
        <v>3.9868505696189942</v>
      </c>
      <c r="AC28" s="204">
        <f t="shared" si="14"/>
        <v>4.0253447840941936</v>
      </c>
      <c r="AD28" s="204">
        <f t="shared" si="14"/>
        <v>4.0638459624048275</v>
      </c>
      <c r="AE28" s="204">
        <f t="shared" si="14"/>
        <v>4.1023470290082829</v>
      </c>
      <c r="AF28" s="204">
        <f t="shared" si="14"/>
        <v>4.1408408354632931</v>
      </c>
      <c r="AG28" s="204">
        <f t="shared" si="14"/>
        <v>4.1793201623232656</v>
      </c>
      <c r="AM28" s="206"/>
      <c r="BD28" s="205"/>
      <c r="BE28" s="205"/>
      <c r="BF28" s="205"/>
      <c r="BG28" s="205"/>
      <c r="BH28" s="205"/>
      <c r="BI28" s="205"/>
      <c r="BJ28" s="205"/>
      <c r="BK28" s="205"/>
      <c r="BL28" s="205"/>
    </row>
    <row r="29" spans="1:64" outlineLevel="1" x14ac:dyDescent="0.2">
      <c r="A29" t="s">
        <v>1605</v>
      </c>
      <c r="B29" s="54" t="s">
        <v>1603</v>
      </c>
      <c r="C29" s="204">
        <f t="shared" si="14"/>
        <v>1.1926002393003741</v>
      </c>
      <c r="D29" s="204">
        <f t="shared" si="14"/>
        <v>1.2325779877710892</v>
      </c>
      <c r="E29" s="204">
        <f t="shared" si="14"/>
        <v>1.2705657977288216</v>
      </c>
      <c r="F29" s="204">
        <f t="shared" si="14"/>
        <v>1.3063029347662478</v>
      </c>
      <c r="G29" s="204">
        <f t="shared" si="14"/>
        <v>1.3395390983034507</v>
      </c>
      <c r="H29" s="204">
        <f t="shared" si="14"/>
        <v>1.3700373417505416</v>
      </c>
      <c r="I29" s="204">
        <f t="shared" si="14"/>
        <v>1.4005920988684912</v>
      </c>
      <c r="J29" s="204">
        <f t="shared" si="14"/>
        <v>1.4311757051563951</v>
      </c>
      <c r="K29" s="204">
        <f t="shared" si="14"/>
        <v>1.4617597937668911</v>
      </c>
      <c r="L29" s="204">
        <f t="shared" si="14"/>
        <v>1.4923153323964706</v>
      </c>
      <c r="M29" s="204">
        <f t="shared" si="14"/>
        <v>1.5228126626690286</v>
      </c>
      <c r="N29" s="204">
        <f t="shared" si="14"/>
        <v>1.5509992071000649</v>
      </c>
      <c r="O29" s="204">
        <f t="shared" si="14"/>
        <v>1.5767186380467479</v>
      </c>
      <c r="P29" s="204">
        <f t="shared" si="14"/>
        <v>1.5998256695538531</v>
      </c>
      <c r="Q29" s="204">
        <f t="shared" si="14"/>
        <v>1.6201874076724028</v>
      </c>
      <c r="R29" s="204">
        <f t="shared" si="14"/>
        <v>1.6376846094055579</v>
      </c>
      <c r="S29" s="204">
        <f t="shared" si="14"/>
        <v>1.6551895758372015</v>
      </c>
      <c r="T29" s="204">
        <f t="shared" si="14"/>
        <v>1.6726984069041777</v>
      </c>
      <c r="U29" s="204">
        <f t="shared" si="14"/>
        <v>1.6902071557211769</v>
      </c>
      <c r="V29" s="204">
        <f t="shared" si="14"/>
        <v>1.7077118298259113</v>
      </c>
      <c r="W29" s="204">
        <f t="shared" si="14"/>
        <v>1.7252083924656403</v>
      </c>
      <c r="X29" s="204">
        <f t="shared" si="14"/>
        <v>1.7427119586603461</v>
      </c>
      <c r="Y29" s="204">
        <f t="shared" si="14"/>
        <v>1.7602190142916225</v>
      </c>
      <c r="Z29" s="204">
        <f t="shared" si="14"/>
        <v>1.777726005527908</v>
      </c>
      <c r="AA29" s="204">
        <f t="shared" si="14"/>
        <v>1.7952293398399146</v>
      </c>
      <c r="AB29" s="204">
        <f t="shared" si="14"/>
        <v>1.8127253870476614</v>
      </c>
      <c r="AC29" s="204">
        <f t="shared" si="14"/>
        <v>1.8302277836424548</v>
      </c>
      <c r="AD29" s="204">
        <f t="shared" si="14"/>
        <v>1.847733346526294</v>
      </c>
      <c r="AE29" s="204">
        <f t="shared" si="14"/>
        <v>1.865238858619557</v>
      </c>
      <c r="AF29" s="204">
        <f t="shared" si="14"/>
        <v>1.8827410696973514</v>
      </c>
      <c r="AG29" s="204">
        <f t="shared" si="14"/>
        <v>1.9002366972503657</v>
      </c>
      <c r="BD29" s="205"/>
      <c r="BE29" s="205"/>
      <c r="BF29" s="205"/>
      <c r="BG29" s="205"/>
      <c r="BH29" s="205"/>
      <c r="BI29" s="205"/>
      <c r="BJ29" s="205"/>
      <c r="BK29" s="205"/>
      <c r="BL29" s="205"/>
    </row>
    <row r="30" spans="1:64" outlineLevel="1" x14ac:dyDescent="0.2">
      <c r="A30" t="s">
        <v>1606</v>
      </c>
      <c r="B30" s="54" t="s">
        <v>1603</v>
      </c>
      <c r="C30" s="204">
        <f t="shared" si="14"/>
        <v>16.948707747256268</v>
      </c>
      <c r="D30" s="204">
        <f t="shared" si="14"/>
        <v>17.516853847596614</v>
      </c>
      <c r="E30" s="204">
        <f t="shared" si="14"/>
        <v>18.056719820883373</v>
      </c>
      <c r="F30" s="204">
        <f t="shared" si="14"/>
        <v>18.564600224904016</v>
      </c>
      <c r="G30" s="204">
        <f t="shared" si="14"/>
        <v>19.036937898391756</v>
      </c>
      <c r="H30" s="204">
        <f t="shared" si="14"/>
        <v>19.470365461086743</v>
      </c>
      <c r="I30" s="204">
        <f t="shared" si="14"/>
        <v>19.904596171105986</v>
      </c>
      <c r="J30" s="204">
        <f t="shared" si="14"/>
        <v>20.339236872783964</v>
      </c>
      <c r="K30" s="204">
        <f t="shared" si="14"/>
        <v>20.773884429017539</v>
      </c>
      <c r="L30" s="204">
        <f t="shared" si="14"/>
        <v>21.208126245534821</v>
      </c>
      <c r="M30" s="204">
        <f t="shared" si="14"/>
        <v>21.64154083059676</v>
      </c>
      <c r="N30" s="204">
        <f t="shared" si="14"/>
        <v>22.042115548112278</v>
      </c>
      <c r="O30" s="204">
        <f t="shared" si="14"/>
        <v>22.407628738682146</v>
      </c>
      <c r="P30" s="204">
        <f t="shared" si="14"/>
        <v>22.736015662493529</v>
      </c>
      <c r="Q30" s="204">
        <f t="shared" si="14"/>
        <v>23.025387689451964</v>
      </c>
      <c r="R30" s="204">
        <f t="shared" si="14"/>
        <v>23.274050190764228</v>
      </c>
      <c r="S30" s="204">
        <f t="shared" si="14"/>
        <v>23.522823040541201</v>
      </c>
      <c r="T30" s="204">
        <f t="shared" si="14"/>
        <v>23.77165081280825</v>
      </c>
      <c r="U30" s="204">
        <f t="shared" si="14"/>
        <v>24.020477416174966</v>
      </c>
      <c r="V30" s="204">
        <f t="shared" si="14"/>
        <v>24.26924611153105</v>
      </c>
      <c r="W30" s="204">
        <f t="shared" si="14"/>
        <v>24.517899530329867</v>
      </c>
      <c r="X30" s="204">
        <f t="shared" si="14"/>
        <v>24.766652480558069</v>
      </c>
      <c r="Y30" s="204">
        <f t="shared" si="14"/>
        <v>25.015455021117283</v>
      </c>
      <c r="Z30" s="204">
        <f t="shared" si="14"/>
        <v>25.264256646523332</v>
      </c>
      <c r="AA30" s="204">
        <f t="shared" si="14"/>
        <v>25.51300630133705</v>
      </c>
      <c r="AB30" s="204">
        <f t="shared" si="14"/>
        <v>25.761652395044237</v>
      </c>
      <c r="AC30" s="204">
        <f t="shared" si="14"/>
        <v>26.010388723435174</v>
      </c>
      <c r="AD30" s="204">
        <f t="shared" si="14"/>
        <v>26.25917004972726</v>
      </c>
      <c r="AE30" s="204">
        <f t="shared" si="14"/>
        <v>26.507950654206116</v>
      </c>
      <c r="AF30" s="204">
        <f t="shared" si="14"/>
        <v>26.75668434611142</v>
      </c>
      <c r="AG30" s="204">
        <f t="shared" si="14"/>
        <v>27.005324475870943</v>
      </c>
      <c r="BD30" s="205"/>
      <c r="BE30" s="205"/>
      <c r="BF30" s="205"/>
      <c r="BG30" s="205"/>
      <c r="BH30" s="205"/>
      <c r="BI30" s="205"/>
      <c r="BJ30" s="205"/>
      <c r="BK30" s="205"/>
      <c r="BL30" s="205"/>
    </row>
    <row r="31" spans="1:64" outlineLevel="1" x14ac:dyDescent="0.2">
      <c r="A31" s="181" t="s">
        <v>1607</v>
      </c>
      <c r="B31" s="176" t="s">
        <v>1603</v>
      </c>
      <c r="C31" s="204">
        <f t="shared" si="14"/>
        <v>18.658875289242712</v>
      </c>
      <c r="D31" s="204">
        <f t="shared" si="14"/>
        <v>19.284348770195038</v>
      </c>
      <c r="E31" s="204">
        <f t="shared" si="14"/>
        <v>19.878688587641829</v>
      </c>
      <c r="F31" s="204">
        <f t="shared" si="14"/>
        <v>20.437815410865589</v>
      </c>
      <c r="G31" s="204">
        <f t="shared" si="14"/>
        <v>20.9578131520176</v>
      </c>
      <c r="H31" s="204">
        <f t="shared" si="14"/>
        <v>21.434974653640364</v>
      </c>
      <c r="I31" s="204">
        <f t="shared" si="14"/>
        <v>21.913020342186741</v>
      </c>
      <c r="J31" s="204">
        <f t="shared" si="14"/>
        <v>22.391517391588703</v>
      </c>
      <c r="K31" s="204">
        <f t="shared" si="14"/>
        <v>22.870021987188284</v>
      </c>
      <c r="L31" s="204">
        <f t="shared" si="14"/>
        <v>23.348079902906484</v>
      </c>
      <c r="M31" s="204">
        <f t="shared" si="14"/>
        <v>23.825227117420152</v>
      </c>
      <c r="N31" s="204">
        <f t="shared" si="14"/>
        <v>24.266220838570106</v>
      </c>
      <c r="O31" s="204">
        <f t="shared" si="14"/>
        <v>24.668615235896386</v>
      </c>
      <c r="P31" s="204">
        <f t="shared" si="14"/>
        <v>25.030137232109141</v>
      </c>
      <c r="Q31" s="204">
        <f t="shared" si="14"/>
        <v>25.348707629553562</v>
      </c>
      <c r="R31" s="204">
        <f t="shared" si="14"/>
        <v>25.622460807098786</v>
      </c>
      <c r="S31" s="204">
        <f t="shared" si="14"/>
        <v>25.896335467548312</v>
      </c>
      <c r="T31" s="204">
        <f t="shared" si="14"/>
        <v>26.170270592306274</v>
      </c>
      <c r="U31" s="204">
        <f t="shared" si="14"/>
        <v>26.444204430218903</v>
      </c>
      <c r="V31" s="204">
        <f t="shared" si="14"/>
        <v>26.71807451705595</v>
      </c>
      <c r="W31" s="204">
        <f t="shared" si="14"/>
        <v>26.991817695639106</v>
      </c>
      <c r="X31" s="204">
        <f t="shared" si="14"/>
        <v>27.265670448624988</v>
      </c>
      <c r="Y31" s="204">
        <f t="shared" si="14"/>
        <v>27.539577795731887</v>
      </c>
      <c r="Z31" s="204">
        <f t="shared" si="14"/>
        <v>27.813484135344353</v>
      </c>
      <c r="AA31" s="204">
        <f t="shared" si="14"/>
        <v>28.087333260400076</v>
      </c>
      <c r="AB31" s="204">
        <f t="shared" si="14"/>
        <v>28.36106837477131</v>
      </c>
      <c r="AC31" s="204">
        <f t="shared" si="14"/>
        <v>28.63490282873444</v>
      </c>
      <c r="AD31" s="204">
        <f t="shared" si="14"/>
        <v>28.908786821000927</v>
      </c>
      <c r="AE31" s="204">
        <f t="shared" si="14"/>
        <v>29.182670018621394</v>
      </c>
      <c r="AF31" s="204">
        <f t="shared" si="14"/>
        <v>29.456501570070813</v>
      </c>
      <c r="AG31" s="204">
        <f t="shared" si="14"/>
        <v>29.73023011871695</v>
      </c>
      <c r="AL31" s="108"/>
      <c r="AM31" s="207"/>
      <c r="AN31" s="207"/>
      <c r="AO31" s="207"/>
    </row>
    <row r="32" spans="1:64" s="1" customFormat="1" ht="16" thickBot="1" x14ac:dyDescent="0.25">
      <c r="A32" s="200" t="s">
        <v>1608</v>
      </c>
      <c r="B32" s="219" t="s">
        <v>1603</v>
      </c>
      <c r="C32" s="216">
        <f>SUM(C27:C31)</f>
        <v>70.764479384937346</v>
      </c>
      <c r="D32" s="216">
        <f t="shared" ref="D32:AG32" si="15">SUM(D27:D31)</f>
        <v>73.13661085387929</v>
      </c>
      <c r="E32" s="216">
        <f t="shared" si="15"/>
        <v>75.390666744568932</v>
      </c>
      <c r="F32" s="216">
        <f t="shared" si="15"/>
        <v>77.511176043347206</v>
      </c>
      <c r="G32" s="216">
        <f t="shared" si="15"/>
        <v>79.483286841213982</v>
      </c>
      <c r="H32" s="216">
        <f t="shared" si="15"/>
        <v>81.292939605458415</v>
      </c>
      <c r="I32" s="216">
        <f t="shared" si="15"/>
        <v>83.105945681537463</v>
      </c>
      <c r="J32" s="216">
        <f t="shared" si="15"/>
        <v>84.920663560469848</v>
      </c>
      <c r="K32" s="216">
        <f t="shared" si="15"/>
        <v>86.735410058637726</v>
      </c>
      <c r="L32" s="216">
        <f t="shared" si="15"/>
        <v>88.548462506721251</v>
      </c>
      <c r="M32" s="216">
        <f t="shared" si="15"/>
        <v>90.358061086572363</v>
      </c>
      <c r="N32" s="216">
        <f t="shared" si="15"/>
        <v>92.030546196497212</v>
      </c>
      <c r="O32" s="216">
        <f t="shared" si="15"/>
        <v>93.556641933394388</v>
      </c>
      <c r="P32" s="216">
        <f t="shared" si="15"/>
        <v>94.927727566993539</v>
      </c>
      <c r="Q32" s="216">
        <f t="shared" si="15"/>
        <v>96.135917662760136</v>
      </c>
      <c r="R32" s="216">
        <f t="shared" si="15"/>
        <v>97.174136783080243</v>
      </c>
      <c r="S32" s="216">
        <f t="shared" si="15"/>
        <v>98.212816631838891</v>
      </c>
      <c r="T32" s="216">
        <f t="shared" si="15"/>
        <v>99.251725793738956</v>
      </c>
      <c r="U32" s="216">
        <f t="shared" si="15"/>
        <v>100.29063007523018</v>
      </c>
      <c r="V32" s="216">
        <f t="shared" si="15"/>
        <v>101.32929257839319</v>
      </c>
      <c r="W32" s="216">
        <f t="shared" si="15"/>
        <v>102.3674737772773</v>
      </c>
      <c r="X32" s="216">
        <f t="shared" si="15"/>
        <v>103.40607054116425</v>
      </c>
      <c r="Y32" s="216">
        <f t="shared" si="15"/>
        <v>104.44487435528823</v>
      </c>
      <c r="Z32" s="216">
        <f t="shared" si="15"/>
        <v>105.48367434845207</v>
      </c>
      <c r="AA32" s="216">
        <f t="shared" si="15"/>
        <v>106.52225735327879</v>
      </c>
      <c r="AB32" s="216">
        <f t="shared" si="15"/>
        <v>107.56040796833885</v>
      </c>
      <c r="AC32" s="216">
        <f t="shared" si="15"/>
        <v>108.59893533250059</v>
      </c>
      <c r="AD32" s="216">
        <f t="shared" si="15"/>
        <v>109.63765057252257</v>
      </c>
      <c r="AE32" s="216">
        <f t="shared" si="15"/>
        <v>110.67636279881994</v>
      </c>
      <c r="AF32" s="216">
        <f t="shared" si="15"/>
        <v>111.71487915509033</v>
      </c>
      <c r="AG32" s="216">
        <f t="shared" si="15"/>
        <v>112.75300486939346</v>
      </c>
      <c r="AJ32" s="162"/>
      <c r="AL32" s="221"/>
      <c r="AM32" s="124"/>
      <c r="AN32" s="124"/>
      <c r="AO32" s="124"/>
    </row>
    <row r="33" spans="1:64" ht="16" outlineLevel="1" thickTop="1" x14ac:dyDescent="0.2">
      <c r="AL33" s="108"/>
      <c r="AM33" s="2"/>
      <c r="AN33" s="2"/>
      <c r="AO33" s="2"/>
    </row>
    <row r="34" spans="1:64" outlineLevel="1" x14ac:dyDescent="0.2">
      <c r="A34" t="s">
        <v>1609</v>
      </c>
      <c r="B34" s="176" t="s">
        <v>1603</v>
      </c>
      <c r="C34" s="107">
        <f>C32</f>
        <v>70.764479384937346</v>
      </c>
      <c r="D34" s="107">
        <f t="shared" ref="D34:AG34" si="16">D32</f>
        <v>73.13661085387929</v>
      </c>
      <c r="E34" s="107">
        <f t="shared" si="16"/>
        <v>75.390666744568932</v>
      </c>
      <c r="F34" s="107">
        <f t="shared" si="16"/>
        <v>77.511176043347206</v>
      </c>
      <c r="G34" s="107">
        <f t="shared" si="16"/>
        <v>79.483286841213982</v>
      </c>
      <c r="H34" s="107">
        <f t="shared" si="16"/>
        <v>81.292939605458415</v>
      </c>
      <c r="I34" s="107">
        <f t="shared" si="16"/>
        <v>83.105945681537463</v>
      </c>
      <c r="J34" s="107">
        <f t="shared" si="16"/>
        <v>84.920663560469848</v>
      </c>
      <c r="K34" s="107">
        <f t="shared" si="16"/>
        <v>86.735410058637726</v>
      </c>
      <c r="L34" s="107">
        <f t="shared" si="16"/>
        <v>88.548462506721251</v>
      </c>
      <c r="M34" s="107">
        <f t="shared" si="16"/>
        <v>90.358061086572363</v>
      </c>
      <c r="N34" s="107">
        <f t="shared" si="16"/>
        <v>92.030546196497212</v>
      </c>
      <c r="O34" s="107">
        <f t="shared" si="16"/>
        <v>93.556641933394388</v>
      </c>
      <c r="P34" s="107">
        <f t="shared" si="16"/>
        <v>94.927727566993539</v>
      </c>
      <c r="Q34" s="107">
        <f t="shared" si="16"/>
        <v>96.135917662760136</v>
      </c>
      <c r="R34" s="107">
        <f t="shared" si="16"/>
        <v>97.174136783080243</v>
      </c>
      <c r="S34" s="107">
        <f t="shared" si="16"/>
        <v>98.212816631838891</v>
      </c>
      <c r="T34" s="107">
        <f t="shared" si="16"/>
        <v>99.251725793738956</v>
      </c>
      <c r="U34" s="107">
        <f t="shared" si="16"/>
        <v>100.29063007523018</v>
      </c>
      <c r="V34" s="107">
        <f t="shared" si="16"/>
        <v>101.32929257839319</v>
      </c>
      <c r="W34" s="107">
        <f t="shared" si="16"/>
        <v>102.3674737772773</v>
      </c>
      <c r="X34" s="107">
        <f t="shared" si="16"/>
        <v>103.40607054116425</v>
      </c>
      <c r="Y34" s="107">
        <f t="shared" si="16"/>
        <v>104.44487435528823</v>
      </c>
      <c r="Z34" s="107">
        <f t="shared" si="16"/>
        <v>105.48367434845207</v>
      </c>
      <c r="AA34" s="107">
        <f t="shared" si="16"/>
        <v>106.52225735327879</v>
      </c>
      <c r="AB34" s="107">
        <f t="shared" si="16"/>
        <v>107.56040796833885</v>
      </c>
      <c r="AC34" s="107">
        <f t="shared" si="16"/>
        <v>108.59893533250059</v>
      </c>
      <c r="AD34" s="107">
        <f t="shared" si="16"/>
        <v>109.63765057252257</v>
      </c>
      <c r="AE34" s="107">
        <f t="shared" si="16"/>
        <v>110.67636279881994</v>
      </c>
      <c r="AF34" s="107">
        <f t="shared" si="16"/>
        <v>111.71487915509033</v>
      </c>
      <c r="AG34" s="107">
        <f t="shared" si="16"/>
        <v>112.75300486939346</v>
      </c>
      <c r="AL34" s="108"/>
      <c r="AM34" s="2"/>
      <c r="AN34" s="2"/>
      <c r="AO34" s="2"/>
    </row>
    <row r="35" spans="1:64" outlineLevel="1" x14ac:dyDescent="0.2">
      <c r="AL35" s="108"/>
      <c r="AM35" s="2"/>
      <c r="AN35" s="2"/>
      <c r="AO35" s="2"/>
    </row>
    <row r="36" spans="1:64" outlineLevel="1" x14ac:dyDescent="0.2">
      <c r="A36" t="s">
        <v>1610</v>
      </c>
      <c r="B36" s="54" t="s">
        <v>462</v>
      </c>
      <c r="C36" s="205">
        <f>'Yearly BTX'!AJ34/'Yearly BTX'!AJ27</f>
        <v>1</v>
      </c>
      <c r="D36" s="205">
        <f>'Yearly BTX'!AK34/'Yearly BTX'!AK27</f>
        <v>0.99325691839227703</v>
      </c>
      <c r="E36" s="205">
        <f>'Yearly BTX'!AL34/'Yearly BTX'!AL27</f>
        <v>0.98263296385965926</v>
      </c>
      <c r="F36" s="205">
        <f>'Yearly BTX'!AM34/'Yearly BTX'!AM27</f>
        <v>0.97394944578948905</v>
      </c>
      <c r="G36" s="205">
        <f>'Yearly BTX'!AN34/'Yearly BTX'!AN27</f>
        <v>0.96526592771931874</v>
      </c>
      <c r="H36" s="205">
        <f>'Yearly BTX'!AO34/'Yearly BTX'!AO27</f>
        <v>0.95658240964914831</v>
      </c>
      <c r="I36" s="205">
        <f>'Yearly BTX'!AP34/'Yearly BTX'!AP27</f>
        <v>0.94789889157897811</v>
      </c>
      <c r="J36" s="205">
        <f>'Yearly BTX'!AQ34/'Yearly BTX'!AQ27</f>
        <v>0.93921537350880779</v>
      </c>
      <c r="K36" s="205">
        <f>'Yearly BTX'!AR34/'Yearly BTX'!AR27</f>
        <v>0.93053185543863726</v>
      </c>
      <c r="L36" s="205">
        <f>'Yearly BTX'!AS34/'Yearly BTX'!AS27</f>
        <v>0.92184833736846705</v>
      </c>
      <c r="M36" s="205">
        <f>'Yearly BTX'!AT34/'Yearly BTX'!AT27</f>
        <v>0.91316481929829674</v>
      </c>
      <c r="N36" s="205">
        <f>'Yearly BTX'!AU34/'Yearly BTX'!AU27</f>
        <v>0.89407383558105402</v>
      </c>
      <c r="O36" s="205">
        <f>'Yearly BTX'!AV34/'Yearly BTX'!AV27</f>
        <v>0.8749828518638112</v>
      </c>
      <c r="P36" s="205">
        <f>'Yearly BTX'!AW34/'Yearly BTX'!AW27</f>
        <v>0.85589186814656848</v>
      </c>
      <c r="Q36" s="205">
        <f>'Yearly BTX'!AX34/'Yearly BTX'!AX27</f>
        <v>0.83680088442932565</v>
      </c>
      <c r="R36" s="205">
        <f>'Yearly BTX'!AY34/'Yearly BTX'!AY27</f>
        <v>0.81770990071208283</v>
      </c>
      <c r="S36" s="205">
        <f>'Yearly BTX'!AZ34/'Yearly BTX'!AZ27</f>
        <v>0.79861891699484011</v>
      </c>
      <c r="T36" s="205">
        <f>'Yearly BTX'!BA34/'Yearly BTX'!BA27</f>
        <v>0.77952793327759728</v>
      </c>
      <c r="U36" s="205">
        <f>'Yearly BTX'!BB34/'Yearly BTX'!BB27</f>
        <v>0.76043694956035457</v>
      </c>
      <c r="V36" s="205">
        <f>'Yearly BTX'!BC34/'Yearly BTX'!BC27</f>
        <v>0.74134596584311185</v>
      </c>
      <c r="W36" s="205">
        <f>'Yearly BTX'!BD34/'Yearly BTX'!BD27</f>
        <v>0.72225498212586903</v>
      </c>
      <c r="X36" s="205">
        <f>'Yearly BTX'!BE34/'Yearly BTX'!BE27</f>
        <v>0.7030687930053926</v>
      </c>
      <c r="Y36" s="205">
        <f>'Yearly BTX'!BF34/'Yearly BTX'!BF27</f>
        <v>0.68388260388491673</v>
      </c>
      <c r="Z36" s="205">
        <f>'Yearly BTX'!BG34/'Yearly BTX'!BG27</f>
        <v>0.66469641476444041</v>
      </c>
      <c r="AA36" s="205">
        <f>'Yearly BTX'!BH34/'Yearly BTX'!BH27</f>
        <v>0.64551022564396421</v>
      </c>
      <c r="AB36" s="205">
        <f>'Yearly BTX'!BI34/'Yearly BTX'!BI27</f>
        <v>0.626324036523488</v>
      </c>
      <c r="AC36" s="205">
        <f>'Yearly BTX'!BJ34/'Yearly BTX'!BJ27</f>
        <v>0.6071378474030118</v>
      </c>
      <c r="AD36" s="205">
        <f>'Yearly BTX'!BK34/'Yearly BTX'!BK27</f>
        <v>0.58795165828253571</v>
      </c>
      <c r="AE36" s="205">
        <f>'Yearly BTX'!BL34/'Yearly BTX'!BL27</f>
        <v>0.56876546916205939</v>
      </c>
      <c r="AF36" s="205">
        <f>'Yearly BTX'!BM34/'Yearly BTX'!BM27</f>
        <v>0.54957928004158318</v>
      </c>
      <c r="AG36" s="205">
        <f>'Yearly BTX'!BN34/'Yearly BTX'!BN27</f>
        <v>0.53039309092110698</v>
      </c>
      <c r="AL36" s="108"/>
      <c r="AM36" s="207"/>
      <c r="AN36" s="207"/>
      <c r="AO36" s="207"/>
      <c r="BC36" s="1"/>
      <c r="BD36" s="578"/>
      <c r="BE36" s="578"/>
      <c r="BF36" s="578"/>
      <c r="BG36" s="578"/>
      <c r="BH36" s="578"/>
      <c r="BI36" s="578"/>
      <c r="BJ36" s="578"/>
      <c r="BK36" s="578"/>
    </row>
    <row r="37" spans="1:64" outlineLevel="1" x14ac:dyDescent="0.2">
      <c r="A37" t="s">
        <v>1611</v>
      </c>
      <c r="B37" s="54" t="s">
        <v>462</v>
      </c>
      <c r="C37" s="205">
        <f>'Yearly BTX'!AJ23/'Yearly BTX'!AJ16</f>
        <v>1</v>
      </c>
      <c r="D37" s="205">
        <f>'Yearly BTX'!AK23/'Yearly BTX'!AK16</f>
        <v>0.99929459999999992</v>
      </c>
      <c r="E37" s="205">
        <f>'Yearly BTX'!AL23/'Yearly BTX'!AL16</f>
        <v>0.99857839999999998</v>
      </c>
      <c r="F37" s="205">
        <f>'Yearly BTX'!AM23/'Yearly BTX'!AM16</f>
        <v>0.99785139999999994</v>
      </c>
      <c r="G37" s="205">
        <f>'Yearly BTX'!AN23/'Yearly BTX'!AN16</f>
        <v>0.99711360000000004</v>
      </c>
      <c r="H37" s="205">
        <f>'Yearly BTX'!AO23/'Yearly BTX'!AO16</f>
        <v>0.99636500000000006</v>
      </c>
      <c r="I37" s="205">
        <f>'Yearly BTX'!AP23/'Yearly BTX'!AP16</f>
        <v>0.99560559999999998</v>
      </c>
      <c r="J37" s="205">
        <f>'Yearly BTX'!AQ23/'Yearly BTX'!AQ16</f>
        <v>0.99483540000000004</v>
      </c>
      <c r="K37" s="205">
        <f>'Yearly BTX'!AR23/'Yearly BTX'!AR16</f>
        <v>0.9940544</v>
      </c>
      <c r="L37" s="205">
        <f>'Yearly BTX'!AS23/'Yearly BTX'!AS16</f>
        <v>0.9932626</v>
      </c>
      <c r="M37" s="205">
        <f>'Yearly BTX'!AT23/'Yearly BTX'!AT16</f>
        <v>0.99246000000000001</v>
      </c>
      <c r="N37" s="205">
        <f>'Yearly BTX'!AU23/'Yearly BTX'!AU16</f>
        <v>0.98902250000000003</v>
      </c>
      <c r="O37" s="205">
        <f>'Yearly BTX'!AV23/'Yearly BTX'!AV16</f>
        <v>0.98550399999999994</v>
      </c>
      <c r="P37" s="205">
        <f>'Yearly BTX'!AW23/'Yearly BTX'!AW16</f>
        <v>0.98190450000000007</v>
      </c>
      <c r="Q37" s="205">
        <f>'Yearly BTX'!AX23/'Yearly BTX'!AX16</f>
        <v>0.97822399999999998</v>
      </c>
      <c r="R37" s="205">
        <f>'Yearly BTX'!AY23/'Yearly BTX'!AY16</f>
        <v>0.97446250000000001</v>
      </c>
      <c r="S37" s="205">
        <f>'Yearly BTX'!AZ23/'Yearly BTX'!AZ16</f>
        <v>0.97062000000000004</v>
      </c>
      <c r="T37" s="205">
        <f>'Yearly BTX'!BA23/'Yearly BTX'!BA16</f>
        <v>0.96669650000000007</v>
      </c>
      <c r="U37" s="205">
        <f>'Yearly BTX'!BB23/'Yearly BTX'!BB16</f>
        <v>0.96269199999999988</v>
      </c>
      <c r="V37" s="205">
        <f>'Yearly BTX'!BC23/'Yearly BTX'!BC16</f>
        <v>0.95860650000000003</v>
      </c>
      <c r="W37" s="205">
        <f>'Yearly BTX'!BD23/'Yearly BTX'!BD16</f>
        <v>0.95444000000000007</v>
      </c>
      <c r="X37" s="205">
        <f>'Yearly BTX'!BE23/'Yearly BTX'!BE16</f>
        <v>0.93973339999999994</v>
      </c>
      <c r="Y37" s="205">
        <f>'Yearly BTX'!BF23/'Yearly BTX'!BF16</f>
        <v>0.92492960000000002</v>
      </c>
      <c r="Z37" s="205">
        <f>'Yearly BTX'!BG23/'Yearly BTX'!BG16</f>
        <v>0.91002859999999997</v>
      </c>
      <c r="AA37" s="205">
        <f>'Yearly BTX'!BH23/'Yearly BTX'!BH16</f>
        <v>0.89503039999999989</v>
      </c>
      <c r="AB37" s="205">
        <f>'Yearly BTX'!BI23/'Yearly BTX'!BI16</f>
        <v>0.87993500000000013</v>
      </c>
      <c r="AC37" s="205">
        <f>'Yearly BTX'!BJ23/'Yearly BTX'!BJ16</f>
        <v>0.86474240000000002</v>
      </c>
      <c r="AD37" s="205">
        <f>'Yearly BTX'!BK23/'Yearly BTX'!BK16</f>
        <v>0.8494526</v>
      </c>
      <c r="AE37" s="205">
        <f>'Yearly BTX'!BL23/'Yearly BTX'!BL16</f>
        <v>0.83406560000000007</v>
      </c>
      <c r="AF37" s="205">
        <f>'Yearly BTX'!BM23/'Yearly BTX'!BM16</f>
        <v>0.81858140000000001</v>
      </c>
      <c r="AG37" s="205">
        <f>'Yearly BTX'!BN23/'Yearly BTX'!BN16</f>
        <v>0.80299999999999994</v>
      </c>
      <c r="AL37" s="108"/>
      <c r="AM37" s="207"/>
      <c r="AN37" s="207"/>
      <c r="AO37" s="207"/>
      <c r="BL37" s="1"/>
    </row>
    <row r="38" spans="1:64" outlineLevel="1" x14ac:dyDescent="0.2">
      <c r="A38" t="s">
        <v>1612</v>
      </c>
      <c r="B38" s="54" t="s">
        <v>462</v>
      </c>
      <c r="C38" s="205">
        <f>'Yearly BTX'!AJ41/'Yearly BTX'!AJ38</f>
        <v>1</v>
      </c>
      <c r="D38" s="205">
        <f>'Yearly BTX'!AK41/'Yearly BTX'!AK38</f>
        <v>0.98978437759336091</v>
      </c>
      <c r="E38" s="205">
        <f>'Yearly BTX'!AL41/'Yearly BTX'!AL38</f>
        <v>0.97956875518672204</v>
      </c>
      <c r="F38" s="205">
        <f>'Yearly BTX'!AM41/'Yearly BTX'!AM38</f>
        <v>0.96935313278008295</v>
      </c>
      <c r="G38" s="205">
        <f>'Yearly BTX'!AN41/'Yearly BTX'!AN38</f>
        <v>0.95913751037344397</v>
      </c>
      <c r="H38" s="205">
        <f>'Yearly BTX'!AO41/'Yearly BTX'!AO38</f>
        <v>0.94892188796680488</v>
      </c>
      <c r="I38" s="205">
        <f>'Yearly BTX'!AP41/'Yearly BTX'!AP38</f>
        <v>0.9387062655601659</v>
      </c>
      <c r="J38" s="205">
        <f>'Yearly BTX'!AQ41/'Yearly BTX'!AQ38</f>
        <v>0.92849064315352703</v>
      </c>
      <c r="K38" s="205">
        <f>'Yearly BTX'!AR41/'Yearly BTX'!AR38</f>
        <v>0.91827502074688794</v>
      </c>
      <c r="L38" s="205">
        <f>'Yearly BTX'!AS41/'Yearly BTX'!AS38</f>
        <v>0.90805939834024885</v>
      </c>
      <c r="M38" s="205">
        <f>'Yearly BTX'!AT41/'Yearly BTX'!AT38</f>
        <v>0.89784377593360998</v>
      </c>
      <c r="N38" s="205">
        <f>'Yearly BTX'!AU41/'Yearly BTX'!AU38</f>
        <v>0.88762815352697089</v>
      </c>
      <c r="O38" s="205">
        <f>'Yearly BTX'!AV41/'Yearly BTX'!AV38</f>
        <v>0.87741253112033202</v>
      </c>
      <c r="P38" s="205">
        <f>'Yearly BTX'!AW41/'Yearly BTX'!AW38</f>
        <v>0.86719690871369293</v>
      </c>
      <c r="Q38" s="205">
        <f>'Yearly BTX'!AX41/'Yearly BTX'!AX38</f>
        <v>0.85698128630705395</v>
      </c>
      <c r="R38" s="205">
        <f>'Yearly BTX'!AY41/'Yearly BTX'!AY38</f>
        <v>0.84676566390041486</v>
      </c>
      <c r="S38" s="205">
        <f>'Yearly BTX'!AZ41/'Yearly BTX'!AZ38</f>
        <v>0.83655004149377588</v>
      </c>
      <c r="T38" s="205">
        <f>'Yearly BTX'!BA41/'Yearly BTX'!BA38</f>
        <v>0.8263344190871369</v>
      </c>
      <c r="U38" s="205">
        <f>'Yearly BTX'!BB41/'Yearly BTX'!BB38</f>
        <v>0.81611879668049792</v>
      </c>
      <c r="V38" s="205">
        <f>'Yearly BTX'!BC41/'Yearly BTX'!BC38</f>
        <v>0.80590317427385894</v>
      </c>
      <c r="W38" s="205">
        <f>'Yearly BTX'!BD41/'Yearly BTX'!BD38</f>
        <v>0.79568755186721984</v>
      </c>
      <c r="X38" s="205">
        <f>'Yearly BTX'!BE41/'Yearly BTX'!BE38</f>
        <v>0.78516236514522808</v>
      </c>
      <c r="Y38" s="205">
        <f>'Yearly BTX'!BF41/'Yearly BTX'!BF38</f>
        <v>0.77463717842323654</v>
      </c>
      <c r="Z38" s="205">
        <f>'Yearly BTX'!BG41/'Yearly BTX'!BG38</f>
        <v>0.76411199170124477</v>
      </c>
      <c r="AA38" s="205">
        <f>'Yearly BTX'!BH41/'Yearly BTX'!BH38</f>
        <v>0.75358680497925301</v>
      </c>
      <c r="AB38" s="205">
        <f>'Yearly BTX'!BI41/'Yearly BTX'!BI38</f>
        <v>0.74306161825726136</v>
      </c>
      <c r="AC38" s="205">
        <f>'Yearly BTX'!BJ41/'Yearly BTX'!BJ38</f>
        <v>0.73253643153526959</v>
      </c>
      <c r="AD38" s="205">
        <f>'Yearly BTX'!BK41/'Yearly BTX'!BK38</f>
        <v>0.72201124481327805</v>
      </c>
      <c r="AE38" s="205">
        <f>'Yearly BTX'!BL41/'Yearly BTX'!BL38</f>
        <v>0.71148605809128629</v>
      </c>
      <c r="AF38" s="205">
        <f>'Yearly BTX'!BM41/'Yearly BTX'!BM38</f>
        <v>0.70096087136929464</v>
      </c>
      <c r="AG38" s="205">
        <f>'Yearly BTX'!BN41/'Yearly BTX'!BN38</f>
        <v>0.69043568464730298</v>
      </c>
      <c r="AL38" s="108"/>
      <c r="AM38" s="207"/>
      <c r="AN38" s="207"/>
      <c r="AO38" s="207"/>
      <c r="BD38" s="41"/>
      <c r="BE38" s="41"/>
      <c r="BF38" s="41"/>
      <c r="BG38" s="41"/>
      <c r="BH38" s="41"/>
      <c r="BI38" s="41"/>
      <c r="BJ38" s="41"/>
      <c r="BK38" s="41"/>
      <c r="BL38" s="118"/>
    </row>
    <row r="39" spans="1:64" outlineLevel="1" x14ac:dyDescent="0.2">
      <c r="A39" t="s">
        <v>1613</v>
      </c>
      <c r="B39" s="54" t="s">
        <v>462</v>
      </c>
      <c r="C39" s="205">
        <f>'Yearly BTX'!AJ50/'Yearly BTX'!AJ45</f>
        <v>1</v>
      </c>
      <c r="D39" s="205">
        <f>'Yearly BTX'!AK50/'Yearly BTX'!AK45</f>
        <v>0.98455000000000004</v>
      </c>
      <c r="E39" s="205">
        <f>'Yearly BTX'!AL50/'Yearly BTX'!AL45</f>
        <v>0.96910000000000007</v>
      </c>
      <c r="F39" s="205">
        <f>'Yearly BTX'!AM50/'Yearly BTX'!AM45</f>
        <v>0.95365</v>
      </c>
      <c r="G39" s="205">
        <f>'Yearly BTX'!AN50/'Yearly BTX'!AN45</f>
        <v>0.93820000000000003</v>
      </c>
      <c r="H39" s="205">
        <f>'Yearly BTX'!AO50/'Yearly BTX'!AO45</f>
        <v>0.92275000000000007</v>
      </c>
      <c r="I39" s="205">
        <f>'Yearly BTX'!AP50/'Yearly BTX'!AP45</f>
        <v>0.9073</v>
      </c>
      <c r="J39" s="205">
        <f>'Yearly BTX'!AQ50/'Yearly BTX'!AQ45</f>
        <v>0.89184999999999992</v>
      </c>
      <c r="K39" s="205">
        <f>'Yearly BTX'!AR50/'Yearly BTX'!AR45</f>
        <v>0.87639999999999996</v>
      </c>
      <c r="L39" s="205">
        <f>'Yearly BTX'!AS50/'Yearly BTX'!AS45</f>
        <v>0.86094999999999999</v>
      </c>
      <c r="M39" s="205">
        <f>'Yearly BTX'!AT50/'Yearly BTX'!AT45</f>
        <v>0.84550000000000003</v>
      </c>
      <c r="N39" s="205">
        <f>'Yearly BTX'!AU50/'Yearly BTX'!AU45</f>
        <v>0.83460000000000001</v>
      </c>
      <c r="O39" s="205">
        <f>'Yearly BTX'!AV50/'Yearly BTX'!AV45</f>
        <v>0.82369999999999999</v>
      </c>
      <c r="P39" s="205">
        <f>'Yearly BTX'!AW50/'Yearly BTX'!AW45</f>
        <v>0.81279999999999997</v>
      </c>
      <c r="Q39" s="205">
        <f>'Yearly BTX'!AX50/'Yearly BTX'!AX45</f>
        <v>0.80189999999999995</v>
      </c>
      <c r="R39" s="205">
        <f>'Yearly BTX'!AY50/'Yearly BTX'!AY45</f>
        <v>0.79100000000000004</v>
      </c>
      <c r="S39" s="205">
        <f>'Yearly BTX'!AZ50/'Yearly BTX'!AZ45</f>
        <v>0.7800999999999999</v>
      </c>
      <c r="T39" s="205">
        <f>'Yearly BTX'!BA50/'Yearly BTX'!BA45</f>
        <v>0.76919999999999988</v>
      </c>
      <c r="U39" s="205">
        <f>'Yearly BTX'!BB50/'Yearly BTX'!BB45</f>
        <v>0.75829999999999997</v>
      </c>
      <c r="V39" s="205">
        <f>'Yearly BTX'!BC50/'Yearly BTX'!BC45</f>
        <v>0.74739999999999995</v>
      </c>
      <c r="W39" s="205">
        <f>'Yearly BTX'!BD50/'Yearly BTX'!BD45</f>
        <v>0.73649999999999993</v>
      </c>
      <c r="X39" s="205">
        <f>'Yearly BTX'!BE50/'Yearly BTX'!BE45</f>
        <v>0.72334999999999994</v>
      </c>
      <c r="Y39" s="205">
        <f>'Yearly BTX'!BF50/'Yearly BTX'!BF45</f>
        <v>0.71019999999999994</v>
      </c>
      <c r="Z39" s="205">
        <f>'Yearly BTX'!BG50/'Yearly BTX'!BG45</f>
        <v>0.69704999999999995</v>
      </c>
      <c r="AA39" s="205">
        <f>'Yearly BTX'!BH50/'Yearly BTX'!BH45</f>
        <v>0.68390000000000006</v>
      </c>
      <c r="AB39" s="205">
        <f>'Yearly BTX'!BI50/'Yearly BTX'!BI45</f>
        <v>0.67074999999999996</v>
      </c>
      <c r="AC39" s="205">
        <f>'Yearly BTX'!BJ50/'Yearly BTX'!BJ45</f>
        <v>0.65759999999999996</v>
      </c>
      <c r="AD39" s="205">
        <f>'Yearly BTX'!BK50/'Yearly BTX'!BK45</f>
        <v>0.64444999999999997</v>
      </c>
      <c r="AE39" s="205">
        <f>'Yearly BTX'!BL50/'Yearly BTX'!BL45</f>
        <v>0.63129999999999997</v>
      </c>
      <c r="AF39" s="205">
        <f>'Yearly BTX'!BM50/'Yearly BTX'!BM45</f>
        <v>0.61814999999999998</v>
      </c>
      <c r="AG39" s="205">
        <f>'Yearly BTX'!BN50/'Yearly BTX'!BN45</f>
        <v>0.60499999999999998</v>
      </c>
      <c r="AL39" s="108"/>
      <c r="AM39" s="207"/>
      <c r="AN39" s="207"/>
      <c r="AO39" s="207"/>
      <c r="BD39" s="41"/>
      <c r="BE39" s="41"/>
      <c r="BF39" s="41"/>
      <c r="BG39" s="41"/>
      <c r="BH39" s="41"/>
      <c r="BI39" s="41"/>
      <c r="BJ39" s="41"/>
      <c r="BK39" s="41"/>
      <c r="BL39" s="118"/>
    </row>
    <row r="40" spans="1:64" outlineLevel="1" x14ac:dyDescent="0.2">
      <c r="A40" t="s">
        <v>1614</v>
      </c>
      <c r="B40" s="176" t="s">
        <v>462</v>
      </c>
      <c r="C40" s="159">
        <f>'Yearly BTX'!AJ57/'Yearly BTX'!AJ54</f>
        <v>1</v>
      </c>
      <c r="D40" s="159">
        <f>'Yearly BTX'!AK57/'Yearly BTX'!AK54</f>
        <v>0.99670000000000003</v>
      </c>
      <c r="E40" s="159">
        <f>'Yearly BTX'!AL57/'Yearly BTX'!AL54</f>
        <v>0.99339999999999995</v>
      </c>
      <c r="F40" s="159">
        <f>'Yearly BTX'!AM57/'Yearly BTX'!AM54</f>
        <v>0.99010000000000009</v>
      </c>
      <c r="G40" s="159">
        <f>'Yearly BTX'!AN57/'Yearly BTX'!AN54</f>
        <v>0.98680000000000012</v>
      </c>
      <c r="H40" s="159">
        <f>'Yearly BTX'!AO57/'Yearly BTX'!AO54</f>
        <v>0.98350000000000004</v>
      </c>
      <c r="I40" s="159">
        <f>'Yearly BTX'!AP57/'Yearly BTX'!AP54</f>
        <v>0.98019999999999996</v>
      </c>
      <c r="J40" s="159">
        <f>'Yearly BTX'!AQ57/'Yearly BTX'!AQ54</f>
        <v>0.97689999999999999</v>
      </c>
      <c r="K40" s="159">
        <f>'Yearly BTX'!AR57/'Yearly BTX'!AR54</f>
        <v>0.97359999999999991</v>
      </c>
      <c r="L40" s="159">
        <f>'Yearly BTX'!AS57/'Yearly BTX'!AS54</f>
        <v>0.97030000000000016</v>
      </c>
      <c r="M40" s="159">
        <f>'Yearly BTX'!AT57/'Yearly BTX'!AT54</f>
        <v>0.96699999999999997</v>
      </c>
      <c r="N40" s="159">
        <f>'Yearly BTX'!AU57/'Yearly BTX'!AU54</f>
        <v>0.96369999999999989</v>
      </c>
      <c r="O40" s="159">
        <f>'Yearly BTX'!AV57/'Yearly BTX'!AV54</f>
        <v>0.96039999999999992</v>
      </c>
      <c r="P40" s="159">
        <f>'Yearly BTX'!AW57/'Yearly BTX'!AW54</f>
        <v>0.95709999999999984</v>
      </c>
      <c r="Q40" s="159">
        <f>'Yearly BTX'!AX57/'Yearly BTX'!AX54</f>
        <v>0.95379999999999998</v>
      </c>
      <c r="R40" s="159">
        <f>'Yearly BTX'!AY57/'Yearly BTX'!AY54</f>
        <v>0.95050000000000001</v>
      </c>
      <c r="S40" s="159">
        <f>'Yearly BTX'!AZ57/'Yearly BTX'!AZ54</f>
        <v>0.94720000000000004</v>
      </c>
      <c r="T40" s="159">
        <f>'Yearly BTX'!BA57/'Yearly BTX'!BA54</f>
        <v>0.94390000000000007</v>
      </c>
      <c r="U40" s="159">
        <f>'Yearly BTX'!BB57/'Yearly BTX'!BB54</f>
        <v>0.94059999999999999</v>
      </c>
      <c r="V40" s="159">
        <f>'Yearly BTX'!BC57/'Yearly BTX'!BC54</f>
        <v>0.93730000000000002</v>
      </c>
      <c r="W40" s="159">
        <f>'Yearly BTX'!BD57/'Yearly BTX'!BD54</f>
        <v>0.93399999999999994</v>
      </c>
      <c r="X40" s="159">
        <f>'Yearly BTX'!BE57/'Yearly BTX'!BE54</f>
        <v>0.93059999999999998</v>
      </c>
      <c r="Y40" s="159">
        <f>'Yearly BTX'!BF57/'Yearly BTX'!BF54</f>
        <v>0.92719999999999991</v>
      </c>
      <c r="Z40" s="159">
        <f>'Yearly BTX'!BG57/'Yearly BTX'!BG54</f>
        <v>0.92380000000000007</v>
      </c>
      <c r="AA40" s="159">
        <f>'Yearly BTX'!BH57/'Yearly BTX'!BH54</f>
        <v>0.92039999999999988</v>
      </c>
      <c r="AB40" s="159">
        <f>'Yearly BTX'!BI57/'Yearly BTX'!BI54</f>
        <v>0.91700000000000015</v>
      </c>
      <c r="AC40" s="159">
        <f>'Yearly BTX'!BJ57/'Yearly BTX'!BJ54</f>
        <v>0.91359999999999997</v>
      </c>
      <c r="AD40" s="159">
        <f>'Yearly BTX'!BK57/'Yearly BTX'!BK54</f>
        <v>0.91020000000000001</v>
      </c>
      <c r="AE40" s="159">
        <f>'Yearly BTX'!BL57/'Yearly BTX'!BL54</f>
        <v>0.90680000000000005</v>
      </c>
      <c r="AF40" s="159">
        <f>'Yearly BTX'!BM57/'Yearly BTX'!BM54</f>
        <v>0.90339999999999998</v>
      </c>
      <c r="AG40" s="159">
        <f>'Yearly BTX'!BN57/'Yearly BTX'!BN54</f>
        <v>0.90000000000000013</v>
      </c>
      <c r="AI40" s="131"/>
      <c r="AL40" s="108"/>
      <c r="AM40" s="207"/>
      <c r="AN40" s="207"/>
      <c r="AO40" s="207"/>
      <c r="BD40" s="41"/>
      <c r="BE40" s="41"/>
      <c r="BF40" s="41"/>
      <c r="BG40" s="41"/>
      <c r="BH40" s="41"/>
      <c r="BI40" s="41"/>
      <c r="BJ40" s="41"/>
      <c r="BK40" s="41"/>
      <c r="BL40" s="118"/>
    </row>
    <row r="41" spans="1:64" outlineLevel="1" x14ac:dyDescent="0.2">
      <c r="AI41" t="s">
        <v>1299</v>
      </c>
      <c r="BD41" s="41"/>
      <c r="BE41" s="41"/>
      <c r="BF41" s="41"/>
      <c r="BG41" s="41"/>
      <c r="BH41" s="41"/>
      <c r="BI41" s="41"/>
      <c r="BJ41" s="41"/>
      <c r="BK41" s="41"/>
      <c r="BL41" s="118"/>
    </row>
    <row r="42" spans="1:64" outlineLevel="1" x14ac:dyDescent="0.2">
      <c r="A42" t="s">
        <v>1615</v>
      </c>
      <c r="B42" s="54" t="s">
        <v>1603</v>
      </c>
      <c r="C42" s="107">
        <f>C27*C36</f>
        <v>31.34132906881517</v>
      </c>
      <c r="D42" s="107">
        <f t="shared" ref="D42:AF42" si="17">D27*D36</f>
        <v>32.17351594189256</v>
      </c>
      <c r="E42" s="107">
        <f t="shared" si="17"/>
        <v>32.810360840516914</v>
      </c>
      <c r="F42" s="107">
        <f t="shared" si="17"/>
        <v>33.435116018572096</v>
      </c>
      <c r="G42" s="107">
        <f t="shared" si="17"/>
        <v>33.980118419031214</v>
      </c>
      <c r="H42" s="107">
        <f t="shared" si="17"/>
        <v>34.441123660623354</v>
      </c>
      <c r="I42" s="107">
        <f t="shared" si="17"/>
        <v>34.889617211477677</v>
      </c>
      <c r="J42" s="107">
        <f t="shared" si="17"/>
        <v>35.324877555318345</v>
      </c>
      <c r="K42" s="107">
        <f t="shared" si="17"/>
        <v>35.746191252843765</v>
      </c>
      <c r="L42" s="107">
        <f t="shared" si="17"/>
        <v>36.152854636814041</v>
      </c>
      <c r="M42" s="107">
        <f t="shared" si="17"/>
        <v>36.544175516459944</v>
      </c>
      <c r="N42" s="107">
        <f t="shared" si="17"/>
        <v>36.442442627176334</v>
      </c>
      <c r="O42" s="107">
        <f t="shared" si="17"/>
        <v>36.255697130064</v>
      </c>
      <c r="P42" s="107">
        <f t="shared" si="17"/>
        <v>35.984384463014472</v>
      </c>
      <c r="Q42" s="107">
        <f t="shared" si="17"/>
        <v>35.629514140689665</v>
      </c>
      <c r="R42" s="107">
        <f t="shared" si="17"/>
        <v>35.192655722528187</v>
      </c>
      <c r="S42" s="107">
        <f t="shared" si="17"/>
        <v>34.738403302483007</v>
      </c>
      <c r="T42" s="107">
        <f t="shared" si="17"/>
        <v>34.266665297577894</v>
      </c>
      <c r="U42" s="107">
        <f t="shared" si="17"/>
        <v>33.77735701590354</v>
      </c>
      <c r="V42" s="107">
        <f t="shared" si="17"/>
        <v>33.270400798331657</v>
      </c>
      <c r="W42" s="107">
        <f t="shared" si="17"/>
        <v>32.745726157265963</v>
      </c>
      <c r="X42" s="107">
        <f t="shared" si="17"/>
        <v>32.19926437907273</v>
      </c>
      <c r="Y42" s="107">
        <f t="shared" si="17"/>
        <v>31.635214376720018</v>
      </c>
      <c r="Z42" s="107">
        <f t="shared" si="17"/>
        <v>31.053508793272613</v>
      </c>
      <c r="AA42" s="107">
        <f t="shared" si="17"/>
        <v>30.45408678283712</v>
      </c>
      <c r="AB42" s="107">
        <f t="shared" si="17"/>
        <v>29.836894125354611</v>
      </c>
      <c r="AC42" s="107">
        <f t="shared" si="17"/>
        <v>29.202159420251284</v>
      </c>
      <c r="AD42" s="107">
        <f t="shared" si="17"/>
        <v>28.549823880357017</v>
      </c>
      <c r="AE42" s="107">
        <f t="shared" si="17"/>
        <v>27.879834630372564</v>
      </c>
      <c r="AF42" s="107">
        <f t="shared" si="17"/>
        <v>27.19214480461822</v>
      </c>
      <c r="AG42" s="107">
        <f>AG27*AG36</f>
        <v>26.486713642593671</v>
      </c>
      <c r="AI42" s="210" t="s">
        <v>1301</v>
      </c>
      <c r="AJ42" s="211" t="s">
        <v>1302</v>
      </c>
      <c r="BD42" s="41"/>
      <c r="BE42" s="41"/>
      <c r="BF42" s="41"/>
      <c r="BG42" s="41"/>
      <c r="BH42" s="41"/>
      <c r="BI42" s="41"/>
      <c r="BJ42" s="41"/>
      <c r="BK42" s="41"/>
      <c r="BL42" s="118"/>
    </row>
    <row r="43" spans="1:64" outlineLevel="1" x14ac:dyDescent="0.2">
      <c r="A43" t="s">
        <v>1616</v>
      </c>
      <c r="B43" s="54" t="s">
        <v>1603</v>
      </c>
      <c r="C43" s="107">
        <f t="shared" ref="C43:O43" si="18">C28*$C$37</f>
        <v>2.6229670403228216</v>
      </c>
      <c r="D43" s="107">
        <f t="shared" si="18"/>
        <v>2.7108928289731047</v>
      </c>
      <c r="E43" s="107">
        <f t="shared" si="18"/>
        <v>2.7944420101401595</v>
      </c>
      <c r="F43" s="107">
        <f t="shared" si="18"/>
        <v>2.8730411328601577</v>
      </c>
      <c r="G43" s="107">
        <f t="shared" si="18"/>
        <v>2.9461396939974613</v>
      </c>
      <c r="H43" s="107">
        <f t="shared" si="18"/>
        <v>3.0132165607574328</v>
      </c>
      <c r="I43" s="107">
        <f t="shared" si="18"/>
        <v>3.0804177218878936</v>
      </c>
      <c r="J43" s="107">
        <f t="shared" si="18"/>
        <v>3.1476823329653176</v>
      </c>
      <c r="K43" s="107">
        <f t="shared" si="18"/>
        <v>3.2149480048477113</v>
      </c>
      <c r="L43" s="107">
        <f t="shared" si="18"/>
        <v>3.2821508848099983</v>
      </c>
      <c r="M43" s="107">
        <f t="shared" si="18"/>
        <v>3.349225743162942</v>
      </c>
      <c r="N43" s="107">
        <f t="shared" si="18"/>
        <v>3.4112183326215639</v>
      </c>
      <c r="O43" s="107">
        <f t="shared" si="18"/>
        <v>3.4677848311396122</v>
      </c>
      <c r="P43" s="107">
        <f t="shared" ref="P43:AG43" si="19">D37*P28</f>
        <v>3.5161236769456443</v>
      </c>
      <c r="Q43" s="107">
        <f t="shared" si="19"/>
        <v>3.5583229473797213</v>
      </c>
      <c r="R43" s="107">
        <f t="shared" si="19"/>
        <v>3.5941324687645273</v>
      </c>
      <c r="S43" s="107">
        <f t="shared" si="19"/>
        <v>3.6298637484868919</v>
      </c>
      <c r="T43" s="107">
        <f t="shared" si="19"/>
        <v>3.6655069548569243</v>
      </c>
      <c r="U43" s="107">
        <f t="shared" si="19"/>
        <v>3.7010521786070374</v>
      </c>
      <c r="V43" s="107">
        <f t="shared" si="19"/>
        <v>3.7364894369393635</v>
      </c>
      <c r="W43" s="107">
        <f t="shared" si="19"/>
        <v>3.7718086776674267</v>
      </c>
      <c r="X43" s="107">
        <f t="shared" si="19"/>
        <v>3.8070417153133111</v>
      </c>
      <c r="Y43" s="107">
        <f t="shared" si="19"/>
        <v>3.8421795954270794</v>
      </c>
      <c r="Z43" s="107">
        <f t="shared" si="19"/>
        <v>3.8669534006169441</v>
      </c>
      <c r="AA43" s="107">
        <f t="shared" si="19"/>
        <v>3.891134743628164</v>
      </c>
      <c r="AB43" s="107">
        <f t="shared" si="19"/>
        <v>3.9147065151364542</v>
      </c>
      <c r="AC43" s="107">
        <f t="shared" si="19"/>
        <v>3.9376888760757582</v>
      </c>
      <c r="AD43" s="107">
        <f t="shared" si="19"/>
        <v>3.9600654961399142</v>
      </c>
      <c r="AE43" s="107">
        <f t="shared" si="19"/>
        <v>3.9818200732960198</v>
      </c>
      <c r="AF43" s="107">
        <f t="shared" si="19"/>
        <v>4.0029363426994413</v>
      </c>
      <c r="AG43" s="107">
        <f t="shared" si="19"/>
        <v>4.0233980857073091</v>
      </c>
      <c r="AI43" s="210" t="s">
        <v>1304</v>
      </c>
      <c r="AJ43" s="211" t="s">
        <v>1302</v>
      </c>
      <c r="BD43" s="41"/>
      <c r="BE43" s="41"/>
      <c r="BF43" s="41"/>
      <c r="BG43" s="41"/>
      <c r="BH43" s="41"/>
      <c r="BI43" s="41"/>
      <c r="BJ43" s="41"/>
      <c r="BK43" s="41"/>
      <c r="BL43" s="118"/>
    </row>
    <row r="44" spans="1:64" outlineLevel="1" x14ac:dyDescent="0.2">
      <c r="A44" t="s">
        <v>1617</v>
      </c>
      <c r="B44" s="54" t="s">
        <v>1603</v>
      </c>
      <c r="C44" s="107">
        <f t="shared" ref="C44:AG44" si="20">C29</f>
        <v>1.1926002393003741</v>
      </c>
      <c r="D44" s="107">
        <f t="shared" si="20"/>
        <v>1.2325779877710892</v>
      </c>
      <c r="E44" s="107">
        <f t="shared" si="20"/>
        <v>1.2705657977288216</v>
      </c>
      <c r="F44" s="107">
        <f t="shared" si="20"/>
        <v>1.3063029347662478</v>
      </c>
      <c r="G44" s="107">
        <f t="shared" si="20"/>
        <v>1.3395390983034507</v>
      </c>
      <c r="H44" s="107">
        <f t="shared" si="20"/>
        <v>1.3700373417505416</v>
      </c>
      <c r="I44" s="107">
        <f t="shared" si="20"/>
        <v>1.4005920988684912</v>
      </c>
      <c r="J44" s="107">
        <f t="shared" si="20"/>
        <v>1.4311757051563951</v>
      </c>
      <c r="K44" s="107">
        <f t="shared" si="20"/>
        <v>1.4617597937668911</v>
      </c>
      <c r="L44" s="107">
        <f t="shared" si="20"/>
        <v>1.4923153323964706</v>
      </c>
      <c r="M44" s="107">
        <f t="shared" si="20"/>
        <v>1.5228126626690286</v>
      </c>
      <c r="N44" s="107">
        <f t="shared" si="20"/>
        <v>1.5509992071000649</v>
      </c>
      <c r="O44" s="107">
        <f t="shared" si="20"/>
        <v>1.5767186380467479</v>
      </c>
      <c r="P44" s="107">
        <f t="shared" si="20"/>
        <v>1.5998256695538531</v>
      </c>
      <c r="Q44" s="107">
        <f t="shared" si="20"/>
        <v>1.6201874076724028</v>
      </c>
      <c r="R44" s="107">
        <f t="shared" si="20"/>
        <v>1.6376846094055579</v>
      </c>
      <c r="S44" s="107">
        <f t="shared" si="20"/>
        <v>1.6551895758372015</v>
      </c>
      <c r="T44" s="107">
        <f t="shared" si="20"/>
        <v>1.6726984069041777</v>
      </c>
      <c r="U44" s="107">
        <f t="shared" si="20"/>
        <v>1.6902071557211769</v>
      </c>
      <c r="V44" s="107">
        <f t="shared" si="20"/>
        <v>1.7077118298259113</v>
      </c>
      <c r="W44" s="107">
        <f t="shared" si="20"/>
        <v>1.7252083924656403</v>
      </c>
      <c r="X44" s="107">
        <f t="shared" si="20"/>
        <v>1.7427119586603461</v>
      </c>
      <c r="Y44" s="107">
        <f t="shared" si="20"/>
        <v>1.7602190142916225</v>
      </c>
      <c r="Z44" s="107">
        <f t="shared" si="20"/>
        <v>1.777726005527908</v>
      </c>
      <c r="AA44" s="107">
        <f t="shared" si="20"/>
        <v>1.7952293398399146</v>
      </c>
      <c r="AB44" s="107">
        <f t="shared" si="20"/>
        <v>1.8127253870476614</v>
      </c>
      <c r="AC44" s="107">
        <f t="shared" si="20"/>
        <v>1.8302277836424548</v>
      </c>
      <c r="AD44" s="107">
        <f t="shared" si="20"/>
        <v>1.847733346526294</v>
      </c>
      <c r="AE44" s="107">
        <f t="shared" si="20"/>
        <v>1.865238858619557</v>
      </c>
      <c r="AF44" s="107">
        <f t="shared" si="20"/>
        <v>1.8827410696973514</v>
      </c>
      <c r="AG44" s="107">
        <f t="shared" si="20"/>
        <v>1.9002366972503657</v>
      </c>
      <c r="AI44" s="210" t="s">
        <v>1306</v>
      </c>
      <c r="AJ44" s="211" t="s">
        <v>1302</v>
      </c>
      <c r="BD44" s="41"/>
      <c r="BE44" s="41"/>
      <c r="BF44" s="41"/>
      <c r="BG44" s="41"/>
      <c r="BH44" s="41"/>
      <c r="BI44" s="41"/>
      <c r="BJ44" s="41"/>
      <c r="BK44" s="41"/>
      <c r="BL44" s="118"/>
    </row>
    <row r="45" spans="1:64" outlineLevel="1" x14ac:dyDescent="0.2">
      <c r="A45" t="s">
        <v>1618</v>
      </c>
      <c r="B45" s="54" t="s">
        <v>1603</v>
      </c>
      <c r="C45" s="262">
        <f t="shared" ref="C45:H45" si="21">C30*$C$39</f>
        <v>16.948707747256268</v>
      </c>
      <c r="D45" s="262">
        <f t="shared" si="21"/>
        <v>17.516853847596614</v>
      </c>
      <c r="E45" s="262">
        <f t="shared" si="21"/>
        <v>18.056719820883373</v>
      </c>
      <c r="F45" s="262">
        <f t="shared" si="21"/>
        <v>18.564600224904016</v>
      </c>
      <c r="G45" s="262">
        <f t="shared" si="21"/>
        <v>19.036937898391756</v>
      </c>
      <c r="H45" s="262">
        <f t="shared" si="21"/>
        <v>19.470365461086743</v>
      </c>
      <c r="I45" s="262">
        <f t="shared" ref="I45:AG46" si="22">I30*D39</f>
        <v>19.597070160262398</v>
      </c>
      <c r="J45" s="262">
        <f t="shared" si="22"/>
        <v>19.710754453414943</v>
      </c>
      <c r="K45" s="262">
        <f t="shared" si="22"/>
        <v>19.811014885732575</v>
      </c>
      <c r="L45" s="262">
        <f t="shared" si="22"/>
        <v>19.89746404356077</v>
      </c>
      <c r="M45" s="262">
        <f t="shared" si="22"/>
        <v>19.969731801433163</v>
      </c>
      <c r="N45" s="262">
        <f t="shared" si="22"/>
        <v>19.998811436802271</v>
      </c>
      <c r="O45" s="262">
        <f t="shared" si="22"/>
        <v>19.984243690593669</v>
      </c>
      <c r="P45" s="262">
        <f t="shared" si="22"/>
        <v>19.925844126609327</v>
      </c>
      <c r="Q45" s="262">
        <f t="shared" si="22"/>
        <v>19.823707531233669</v>
      </c>
      <c r="R45" s="262">
        <f t="shared" si="22"/>
        <v>19.678209436291155</v>
      </c>
      <c r="S45" s="262">
        <f t="shared" si="22"/>
        <v>19.632148109635686</v>
      </c>
      <c r="T45" s="262">
        <f t="shared" si="22"/>
        <v>19.580708774510157</v>
      </c>
      <c r="U45" s="262">
        <f t="shared" si="22"/>
        <v>19.523844043867012</v>
      </c>
      <c r="V45" s="262">
        <f t="shared" si="22"/>
        <v>19.461508456836746</v>
      </c>
      <c r="W45" s="262">
        <f t="shared" si="22"/>
        <v>19.393658528490924</v>
      </c>
      <c r="X45" s="262">
        <f t="shared" si="22"/>
        <v>19.320465600083345</v>
      </c>
      <c r="Y45" s="262">
        <f t="shared" si="22"/>
        <v>19.24188800224341</v>
      </c>
      <c r="Z45" s="262">
        <f t="shared" si="22"/>
        <v>19.157885815058641</v>
      </c>
      <c r="AA45" s="262">
        <f t="shared" si="22"/>
        <v>19.068420909619309</v>
      </c>
      <c r="AB45" s="262">
        <f t="shared" si="22"/>
        <v>18.97345698895008</v>
      </c>
      <c r="AC45" s="262">
        <f t="shared" si="22"/>
        <v>18.814614683096831</v>
      </c>
      <c r="AD45" s="262">
        <f t="shared" si="22"/>
        <v>18.649262569316299</v>
      </c>
      <c r="AE45" s="262">
        <f t="shared" si="22"/>
        <v>18.47736700351437</v>
      </c>
      <c r="AF45" s="262">
        <f t="shared" si="22"/>
        <v>18.298896424305603</v>
      </c>
      <c r="AG45" s="262">
        <f t="shared" si="22"/>
        <v>18.113821392190435</v>
      </c>
      <c r="AI45" s="210" t="s">
        <v>1308</v>
      </c>
      <c r="AJ45" s="211" t="s">
        <v>1302</v>
      </c>
      <c r="AL45" s="5"/>
      <c r="AM45" s="109"/>
      <c r="AN45" s="109"/>
      <c r="AO45" s="109"/>
      <c r="BC45" s="1"/>
      <c r="BD45" s="118"/>
      <c r="BE45" s="118"/>
      <c r="BF45" s="118"/>
      <c r="BG45" s="118"/>
      <c r="BH45" s="118"/>
      <c r="BI45" s="118"/>
      <c r="BJ45" s="118"/>
      <c r="BK45" s="118"/>
      <c r="BL45" s="118"/>
    </row>
    <row r="46" spans="1:64" outlineLevel="1" x14ac:dyDescent="0.2">
      <c r="A46" s="181" t="s">
        <v>1619</v>
      </c>
      <c r="B46" s="176" t="s">
        <v>1603</v>
      </c>
      <c r="C46" s="107">
        <f t="shared" ref="C46:H46" si="23">C31*$C$40</f>
        <v>18.658875289242712</v>
      </c>
      <c r="D46" s="107">
        <f t="shared" si="23"/>
        <v>19.284348770195038</v>
      </c>
      <c r="E46" s="107">
        <f t="shared" si="23"/>
        <v>19.878688587641829</v>
      </c>
      <c r="F46" s="107">
        <f t="shared" si="23"/>
        <v>20.437815410865589</v>
      </c>
      <c r="G46" s="107">
        <f t="shared" si="23"/>
        <v>20.9578131520176</v>
      </c>
      <c r="H46" s="107">
        <f t="shared" si="23"/>
        <v>21.434974653640364</v>
      </c>
      <c r="I46" s="107">
        <f t="shared" si="22"/>
        <v>21.840707375057526</v>
      </c>
      <c r="J46" s="107">
        <f t="shared" si="22"/>
        <v>22.243733376804215</v>
      </c>
      <c r="K46" s="107">
        <f t="shared" si="22"/>
        <v>22.643608769515122</v>
      </c>
      <c r="L46" s="107">
        <f t="shared" si="22"/>
        <v>23.039885248188121</v>
      </c>
      <c r="M46" s="107">
        <f t="shared" si="22"/>
        <v>23.432110869982719</v>
      </c>
      <c r="N46" s="107">
        <f t="shared" si="22"/>
        <v>23.785749665966417</v>
      </c>
      <c r="O46" s="107">
        <f t="shared" si="22"/>
        <v>24.098770223947181</v>
      </c>
      <c r="P46" s="107">
        <f t="shared" si="22"/>
        <v>24.369341609181458</v>
      </c>
      <c r="Q46" s="107">
        <f t="shared" si="22"/>
        <v>24.595851012955826</v>
      </c>
      <c r="R46" s="107">
        <f t="shared" si="22"/>
        <v>24.776919600464524</v>
      </c>
      <c r="S46" s="107">
        <f t="shared" si="22"/>
        <v>24.956298490076303</v>
      </c>
      <c r="T46" s="107">
        <f t="shared" si="22"/>
        <v>25.133927876850944</v>
      </c>
      <c r="U46" s="107">
        <f t="shared" si="22"/>
        <v>25.309748060162509</v>
      </c>
      <c r="V46" s="107">
        <f t="shared" si="22"/>
        <v>25.483699474367963</v>
      </c>
      <c r="W46" s="107">
        <f t="shared" si="22"/>
        <v>25.655722719704972</v>
      </c>
      <c r="X46" s="107">
        <f t="shared" si="22"/>
        <v>25.826043048937589</v>
      </c>
      <c r="Y46" s="107">
        <f t="shared" si="22"/>
        <v>25.994607481391331</v>
      </c>
      <c r="Z46" s="107">
        <f t="shared" si="22"/>
        <v>26.161363177704899</v>
      </c>
      <c r="AA46" s="107">
        <f t="shared" si="22"/>
        <v>26.326257464972993</v>
      </c>
      <c r="AB46" s="107">
        <f t="shared" si="22"/>
        <v>26.489237862036401</v>
      </c>
      <c r="AC46" s="107">
        <f t="shared" si="22"/>
        <v>26.647640572420269</v>
      </c>
      <c r="AD46" s="107">
        <f t="shared" si="22"/>
        <v>26.804227140432058</v>
      </c>
      <c r="AE46" s="107">
        <f t="shared" si="22"/>
        <v>26.958950563202446</v>
      </c>
      <c r="AF46" s="107">
        <f t="shared" si="22"/>
        <v>27.111764045093175</v>
      </c>
      <c r="AG46" s="107">
        <f t="shared" si="22"/>
        <v>27.262621018863449</v>
      </c>
      <c r="AI46" s="210" t="s">
        <v>1308</v>
      </c>
      <c r="AJ46" s="211" t="s">
        <v>1302</v>
      </c>
      <c r="AL46" s="108"/>
      <c r="AM46" s="2"/>
      <c r="AN46" s="2"/>
      <c r="AO46" s="2"/>
    </row>
    <row r="47" spans="1:64" s="1" customFormat="1" ht="16" thickBot="1" x14ac:dyDescent="0.25">
      <c r="A47" s="200" t="s">
        <v>1620</v>
      </c>
      <c r="B47" s="215" t="s">
        <v>1603</v>
      </c>
      <c r="C47" s="216">
        <f>SUM(C42:C46)</f>
        <v>70.764479384937346</v>
      </c>
      <c r="D47" s="216">
        <f t="shared" ref="D47:AF47" si="24">SUM(D42:D46)</f>
        <v>72.918189376428401</v>
      </c>
      <c r="E47" s="216">
        <f t="shared" si="24"/>
        <v>74.810777056911093</v>
      </c>
      <c r="F47" s="216">
        <f t="shared" si="24"/>
        <v>76.616875721968114</v>
      </c>
      <c r="G47" s="216">
        <f t="shared" si="24"/>
        <v>78.260548261741476</v>
      </c>
      <c r="H47" s="216">
        <f t="shared" si="24"/>
        <v>79.729717677858432</v>
      </c>
      <c r="I47" s="216">
        <f t="shared" si="24"/>
        <v>80.808404567553993</v>
      </c>
      <c r="J47" s="216">
        <f t="shared" si="24"/>
        <v>81.858223423659211</v>
      </c>
      <c r="K47" s="216">
        <f t="shared" si="24"/>
        <v>82.877522706706074</v>
      </c>
      <c r="L47" s="216">
        <f t="shared" si="24"/>
        <v>83.864670145769395</v>
      </c>
      <c r="M47" s="216">
        <f t="shared" si="24"/>
        <v>84.818056593707794</v>
      </c>
      <c r="N47" s="216">
        <f t="shared" si="24"/>
        <v>85.189221269666646</v>
      </c>
      <c r="O47" s="216">
        <f t="shared" si="24"/>
        <v>85.383214513791216</v>
      </c>
      <c r="P47" s="216">
        <f t="shared" si="24"/>
        <v>85.395519545304751</v>
      </c>
      <c r="Q47" s="216">
        <f t="shared" si="24"/>
        <v>85.227583039931289</v>
      </c>
      <c r="R47" s="216">
        <f t="shared" si="24"/>
        <v>84.879601837453947</v>
      </c>
      <c r="S47" s="216">
        <f t="shared" si="24"/>
        <v>84.61190322651909</v>
      </c>
      <c r="T47" s="216">
        <f t="shared" si="24"/>
        <v>84.319507310700089</v>
      </c>
      <c r="U47" s="216">
        <f t="shared" si="24"/>
        <v>84.002208454261265</v>
      </c>
      <c r="V47" s="216">
        <f t="shared" si="24"/>
        <v>83.659809996301647</v>
      </c>
      <c r="W47" s="216">
        <f t="shared" si="24"/>
        <v>83.292124475594932</v>
      </c>
      <c r="X47" s="216">
        <f t="shared" si="24"/>
        <v>82.895526702067315</v>
      </c>
      <c r="Y47" s="216">
        <f t="shared" si="24"/>
        <v>82.47410847007346</v>
      </c>
      <c r="Z47" s="216">
        <f t="shared" si="24"/>
        <v>82.017437192181006</v>
      </c>
      <c r="AA47" s="216">
        <f t="shared" si="24"/>
        <v>81.535129240897504</v>
      </c>
      <c r="AB47" s="216">
        <f t="shared" si="24"/>
        <v>81.027020878525207</v>
      </c>
      <c r="AC47" s="216">
        <f t="shared" si="24"/>
        <v>80.432331335486609</v>
      </c>
      <c r="AD47" s="216">
        <f t="shared" si="24"/>
        <v>79.81111243277158</v>
      </c>
      <c r="AE47" s="216">
        <f t="shared" si="24"/>
        <v>79.163211129004964</v>
      </c>
      <c r="AF47" s="216">
        <f t="shared" si="24"/>
        <v>78.488482686413789</v>
      </c>
      <c r="AG47" s="216">
        <f>SUM(AG42:AG46)</f>
        <v>77.786790836605235</v>
      </c>
      <c r="AJ47" s="162"/>
      <c r="AL47" s="221"/>
      <c r="AM47" s="124"/>
      <c r="AN47" s="124"/>
      <c r="AO47" s="124"/>
    </row>
    <row r="48" spans="1:64" ht="16" thickTop="1" x14ac:dyDescent="0.2">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x14ac:dyDescent="0.25">
      <c r="A49" s="200" t="s">
        <v>1311</v>
      </c>
      <c r="B49" s="215" t="s">
        <v>462</v>
      </c>
      <c r="C49" s="222">
        <f>C52</f>
        <v>0.14200000000000002</v>
      </c>
      <c r="D49" s="222">
        <f t="shared" ref="D49:AG49" si="25">D52</f>
        <v>0.14849999999999999</v>
      </c>
      <c r="E49" s="222">
        <f t="shared" si="25"/>
        <v>0.155</v>
      </c>
      <c r="F49" s="222">
        <f t="shared" si="25"/>
        <v>0.16149999999999998</v>
      </c>
      <c r="G49" s="222">
        <f t="shared" si="25"/>
        <v>0.16800000000000001</v>
      </c>
      <c r="H49" s="222">
        <f t="shared" si="25"/>
        <v>0.17449999999999999</v>
      </c>
      <c r="I49" s="222">
        <f t="shared" si="25"/>
        <v>0.18099999999999999</v>
      </c>
      <c r="J49" s="222">
        <f t="shared" si="25"/>
        <v>0.1875</v>
      </c>
      <c r="K49" s="222">
        <f t="shared" si="25"/>
        <v>0.19400000000000001</v>
      </c>
      <c r="L49" s="222">
        <f t="shared" si="25"/>
        <v>0.20050000000000001</v>
      </c>
      <c r="M49" s="222">
        <f t="shared" si="25"/>
        <v>0.20700000000000002</v>
      </c>
      <c r="N49" s="222">
        <f t="shared" si="25"/>
        <v>0.22070000000000001</v>
      </c>
      <c r="O49" s="222">
        <f t="shared" si="25"/>
        <v>0.2344</v>
      </c>
      <c r="P49" s="222">
        <f t="shared" si="25"/>
        <v>0.24809999999999999</v>
      </c>
      <c r="Q49" s="222">
        <f t="shared" si="25"/>
        <v>0.26179999999999998</v>
      </c>
      <c r="R49" s="222">
        <f t="shared" si="25"/>
        <v>0.27549999999999997</v>
      </c>
      <c r="S49" s="222">
        <f t="shared" si="25"/>
        <v>0.28920000000000001</v>
      </c>
      <c r="T49" s="222">
        <f t="shared" si="25"/>
        <v>0.3029</v>
      </c>
      <c r="U49" s="222">
        <f t="shared" si="25"/>
        <v>0.31659999999999999</v>
      </c>
      <c r="V49" s="222">
        <f t="shared" si="25"/>
        <v>0.33030000000000004</v>
      </c>
      <c r="W49" s="222">
        <f t="shared" si="25"/>
        <v>0.34399999999999997</v>
      </c>
      <c r="X49" s="222">
        <f t="shared" si="25"/>
        <v>0.36692262658227848</v>
      </c>
      <c r="Y49" s="222">
        <f t="shared" si="25"/>
        <v>0.38984525316455698</v>
      </c>
      <c r="Z49" s="222">
        <f t="shared" si="25"/>
        <v>0.41276787974683543</v>
      </c>
      <c r="AA49" s="222">
        <f t="shared" si="25"/>
        <v>0.43569050632911388</v>
      </c>
      <c r="AB49" s="222">
        <f t="shared" si="25"/>
        <v>0.45861313291139238</v>
      </c>
      <c r="AC49" s="222">
        <f t="shared" si="25"/>
        <v>0.48153575949367089</v>
      </c>
      <c r="AD49" s="222">
        <f t="shared" si="25"/>
        <v>0.50445838607594939</v>
      </c>
      <c r="AE49" s="222">
        <f t="shared" si="25"/>
        <v>0.5273810126582279</v>
      </c>
      <c r="AF49" s="222">
        <f t="shared" si="25"/>
        <v>0.55030363924050629</v>
      </c>
      <c r="AG49" s="222">
        <f t="shared" si="25"/>
        <v>0.5732262658227848</v>
      </c>
      <c r="AJ49" s="231" t="s">
        <v>1312</v>
      </c>
      <c r="AL49" s="217"/>
      <c r="AM49" s="218"/>
      <c r="AN49" s="218"/>
      <c r="AO49" s="218"/>
    </row>
    <row r="50" spans="1:63" ht="16" outlineLevel="1" thickTop="1" x14ac:dyDescent="0.2">
      <c r="A50" t="s">
        <v>1313</v>
      </c>
      <c r="B50" s="54" t="s">
        <v>462</v>
      </c>
      <c r="C50" s="113">
        <v>4.7E-2</v>
      </c>
      <c r="D50" s="110">
        <f>$C50+($M50-$C50)/10*(D$1-$C$1)</f>
        <v>5.0200000000000002E-2</v>
      </c>
      <c r="E50" s="110">
        <f t="shared" ref="E50:L51" si="26">$C50+($M50-$C50)/10*(E$1-$C$1)</f>
        <v>5.3400000000000003E-2</v>
      </c>
      <c r="F50" s="110">
        <f t="shared" si="26"/>
        <v>5.6599999999999998E-2</v>
      </c>
      <c r="G50" s="110">
        <f t="shared" si="26"/>
        <v>5.9799999999999999E-2</v>
      </c>
      <c r="H50" s="110">
        <f t="shared" si="26"/>
        <v>6.3E-2</v>
      </c>
      <c r="I50" s="110">
        <f t="shared" si="26"/>
        <v>6.6200000000000009E-2</v>
      </c>
      <c r="J50" s="110">
        <f t="shared" si="26"/>
        <v>6.9400000000000003E-2</v>
      </c>
      <c r="K50" s="110">
        <f t="shared" si="26"/>
        <v>7.2599999999999998E-2</v>
      </c>
      <c r="L50" s="110">
        <f t="shared" si="26"/>
        <v>7.5800000000000006E-2</v>
      </c>
      <c r="M50" s="113">
        <v>7.9000000000000001E-2</v>
      </c>
      <c r="N50" s="110">
        <f>$M50+($W50-$M50)/10*(N$1-$M$1)</f>
        <v>8.5100000000000009E-2</v>
      </c>
      <c r="O50" s="110">
        <f t="shared" ref="O50:U51" si="27">$M50+($W50-$M50)/10*(O$1-$M$1)</f>
        <v>9.1200000000000003E-2</v>
      </c>
      <c r="P50" s="110">
        <f t="shared" si="27"/>
        <v>9.7299999999999998E-2</v>
      </c>
      <c r="Q50" s="110">
        <f t="shared" si="27"/>
        <v>0.10340000000000001</v>
      </c>
      <c r="R50" s="110">
        <f t="shared" si="27"/>
        <v>0.10950000000000001</v>
      </c>
      <c r="S50" s="110">
        <f t="shared" si="27"/>
        <v>0.11560000000000001</v>
      </c>
      <c r="T50" s="110">
        <f t="shared" si="27"/>
        <v>0.1217</v>
      </c>
      <c r="U50" s="110">
        <f t="shared" si="27"/>
        <v>0.12780000000000002</v>
      </c>
      <c r="V50" s="110">
        <f>$M50+($W50-$M50)/10*(V$1-$M$1)</f>
        <v>0.13390000000000002</v>
      </c>
      <c r="W50" s="113">
        <v>0.14000000000000001</v>
      </c>
      <c r="X50" s="110">
        <f>$W50+($AG50-$W50)/10*(X$1-$W$1)</f>
        <v>0.15081012658227849</v>
      </c>
      <c r="Y50" s="110">
        <f t="shared" ref="Y50:AF51" si="28">$W50+($AG50-$W50)/10*(Y$1-$W$1)</f>
        <v>0.16162025316455697</v>
      </c>
      <c r="Z50" s="110">
        <f t="shared" si="28"/>
        <v>0.17243037974683545</v>
      </c>
      <c r="AA50" s="110">
        <f t="shared" si="28"/>
        <v>0.18324050632911396</v>
      </c>
      <c r="AB50" s="110">
        <f t="shared" si="28"/>
        <v>0.19405063291139243</v>
      </c>
      <c r="AC50" s="110">
        <f t="shared" si="28"/>
        <v>0.20486075949367091</v>
      </c>
      <c r="AD50" s="110">
        <f t="shared" si="28"/>
        <v>0.21567088607594942</v>
      </c>
      <c r="AE50" s="110">
        <f t="shared" si="28"/>
        <v>0.2264810126582279</v>
      </c>
      <c r="AF50" s="110">
        <f t="shared" si="28"/>
        <v>0.23729113924050638</v>
      </c>
      <c r="AG50" s="110">
        <f>(W50/M50)*W50</f>
        <v>0.24810126582278486</v>
      </c>
      <c r="AI50" s="133"/>
      <c r="AJ50" s="211" t="s">
        <v>1431</v>
      </c>
      <c r="AL50" s="108"/>
      <c r="AM50" s="2"/>
      <c r="AN50" s="2"/>
      <c r="AO50" s="2"/>
      <c r="AV50" s="41"/>
    </row>
    <row r="51" spans="1:63" outlineLevel="1" x14ac:dyDescent="0.2">
      <c r="A51" t="s">
        <v>1315</v>
      </c>
      <c r="B51" s="54" t="s">
        <v>462</v>
      </c>
      <c r="C51" s="113">
        <v>9.5000000000000001E-2</v>
      </c>
      <c r="D51" s="110">
        <f>$C51+($M51-$C51)/10*(D$1-$C$1)</f>
        <v>9.8299999999999998E-2</v>
      </c>
      <c r="E51" s="110">
        <f t="shared" si="26"/>
        <v>0.1016</v>
      </c>
      <c r="F51" s="110">
        <f t="shared" si="26"/>
        <v>0.10489999999999999</v>
      </c>
      <c r="G51" s="110">
        <f t="shared" si="26"/>
        <v>0.1082</v>
      </c>
      <c r="H51" s="110">
        <f t="shared" si="26"/>
        <v>0.1115</v>
      </c>
      <c r="I51" s="110">
        <f t="shared" si="26"/>
        <v>0.1148</v>
      </c>
      <c r="J51" s="110">
        <f t="shared" si="26"/>
        <v>0.1181</v>
      </c>
      <c r="K51" s="110">
        <f t="shared" si="26"/>
        <v>0.12140000000000001</v>
      </c>
      <c r="L51" s="110">
        <f t="shared" si="26"/>
        <v>0.12470000000000001</v>
      </c>
      <c r="M51" s="113">
        <v>0.128</v>
      </c>
      <c r="N51" s="110">
        <f>$M51+($W51-$M51)/10*(N$1-$M$1)</f>
        <v>0.1356</v>
      </c>
      <c r="O51" s="110">
        <f t="shared" si="27"/>
        <v>0.14319999999999999</v>
      </c>
      <c r="P51" s="110">
        <f t="shared" si="27"/>
        <v>0.15079999999999999</v>
      </c>
      <c r="Q51" s="110">
        <f t="shared" si="27"/>
        <v>0.15839999999999999</v>
      </c>
      <c r="R51" s="110">
        <f t="shared" si="27"/>
        <v>0.16599999999999998</v>
      </c>
      <c r="S51" s="110">
        <f t="shared" si="27"/>
        <v>0.17359999999999998</v>
      </c>
      <c r="T51" s="110">
        <f t="shared" si="27"/>
        <v>0.1812</v>
      </c>
      <c r="U51" s="110">
        <f t="shared" si="27"/>
        <v>0.1888</v>
      </c>
      <c r="V51" s="110">
        <f>$M51+($W51-$M51)/10*(V$1-$M$1)</f>
        <v>0.19639999999999999</v>
      </c>
      <c r="W51" s="113">
        <v>0.20399999999999999</v>
      </c>
      <c r="X51" s="110">
        <f>$W51+($AG51-$W51)/10*(X$1-$W$1)</f>
        <v>0.21611249999999999</v>
      </c>
      <c r="Y51" s="110">
        <f t="shared" si="28"/>
        <v>0.22822499999999998</v>
      </c>
      <c r="Z51" s="110">
        <f t="shared" si="28"/>
        <v>0.24033749999999998</v>
      </c>
      <c r="AA51" s="110">
        <f t="shared" si="28"/>
        <v>0.25244999999999995</v>
      </c>
      <c r="AB51" s="110">
        <f t="shared" si="28"/>
        <v>0.26456249999999998</v>
      </c>
      <c r="AC51" s="110">
        <f t="shared" si="28"/>
        <v>0.27667499999999995</v>
      </c>
      <c r="AD51" s="110">
        <f t="shared" si="28"/>
        <v>0.28878749999999997</v>
      </c>
      <c r="AE51" s="110">
        <f t="shared" si="28"/>
        <v>0.30089999999999995</v>
      </c>
      <c r="AF51" s="110">
        <f t="shared" si="28"/>
        <v>0.31301249999999992</v>
      </c>
      <c r="AG51" s="110">
        <f>(W51/M51)*W51</f>
        <v>0.32512499999999994</v>
      </c>
      <c r="AI51" s="133"/>
      <c r="AJ51" s="211" t="s">
        <v>1431</v>
      </c>
      <c r="AL51" s="108"/>
      <c r="AM51" s="2"/>
      <c r="AN51" s="2"/>
      <c r="AO51" s="2"/>
      <c r="AV51" s="41"/>
    </row>
    <row r="52" spans="1:63" outlineLevel="1" x14ac:dyDescent="0.2">
      <c r="A52" t="s">
        <v>1316</v>
      </c>
      <c r="B52" s="176" t="s">
        <v>462</v>
      </c>
      <c r="C52" s="110">
        <f>C50+C51</f>
        <v>0.14200000000000002</v>
      </c>
      <c r="D52" s="110">
        <f t="shared" ref="D52:AF52" si="29">D50+D51</f>
        <v>0.14849999999999999</v>
      </c>
      <c r="E52" s="110">
        <f t="shared" si="29"/>
        <v>0.155</v>
      </c>
      <c r="F52" s="110">
        <f t="shared" si="29"/>
        <v>0.16149999999999998</v>
      </c>
      <c r="G52" s="110">
        <f t="shared" si="29"/>
        <v>0.16800000000000001</v>
      </c>
      <c r="H52" s="110">
        <f t="shared" si="29"/>
        <v>0.17449999999999999</v>
      </c>
      <c r="I52" s="110">
        <f t="shared" si="29"/>
        <v>0.18099999999999999</v>
      </c>
      <c r="J52" s="110">
        <f t="shared" si="29"/>
        <v>0.1875</v>
      </c>
      <c r="K52" s="110">
        <f t="shared" si="29"/>
        <v>0.19400000000000001</v>
      </c>
      <c r="L52" s="110">
        <f t="shared" si="29"/>
        <v>0.20050000000000001</v>
      </c>
      <c r="M52" s="110">
        <f t="shared" si="29"/>
        <v>0.20700000000000002</v>
      </c>
      <c r="N52" s="110">
        <f t="shared" si="29"/>
        <v>0.22070000000000001</v>
      </c>
      <c r="O52" s="110">
        <f t="shared" si="29"/>
        <v>0.2344</v>
      </c>
      <c r="P52" s="110">
        <f t="shared" si="29"/>
        <v>0.24809999999999999</v>
      </c>
      <c r="Q52" s="110">
        <f t="shared" si="29"/>
        <v>0.26179999999999998</v>
      </c>
      <c r="R52" s="110">
        <f t="shared" si="29"/>
        <v>0.27549999999999997</v>
      </c>
      <c r="S52" s="110">
        <f t="shared" si="29"/>
        <v>0.28920000000000001</v>
      </c>
      <c r="T52" s="110">
        <f t="shared" si="29"/>
        <v>0.3029</v>
      </c>
      <c r="U52" s="110">
        <f t="shared" si="29"/>
        <v>0.31659999999999999</v>
      </c>
      <c r="V52" s="110">
        <f t="shared" si="29"/>
        <v>0.33030000000000004</v>
      </c>
      <c r="W52" s="110">
        <f t="shared" si="29"/>
        <v>0.34399999999999997</v>
      </c>
      <c r="X52" s="110">
        <f t="shared" si="29"/>
        <v>0.36692262658227848</v>
      </c>
      <c r="Y52" s="110">
        <f t="shared" si="29"/>
        <v>0.38984525316455698</v>
      </c>
      <c r="Z52" s="110">
        <f t="shared" si="29"/>
        <v>0.41276787974683543</v>
      </c>
      <c r="AA52" s="110">
        <f t="shared" si="29"/>
        <v>0.43569050632911388</v>
      </c>
      <c r="AB52" s="110">
        <f t="shared" si="29"/>
        <v>0.45861313291139238</v>
      </c>
      <c r="AC52" s="110">
        <f t="shared" si="29"/>
        <v>0.48153575949367089</v>
      </c>
      <c r="AD52" s="110">
        <f t="shared" si="29"/>
        <v>0.50445838607594939</v>
      </c>
      <c r="AE52" s="110">
        <f t="shared" si="29"/>
        <v>0.5273810126582279</v>
      </c>
      <c r="AF52" s="110">
        <f t="shared" si="29"/>
        <v>0.55030363924050629</v>
      </c>
      <c r="AG52" s="110">
        <f>AG50+AG51</f>
        <v>0.5732262658227848</v>
      </c>
      <c r="AI52" s="133"/>
      <c r="AJ52" s="211"/>
      <c r="AL52" s="108"/>
      <c r="AM52" s="2"/>
      <c r="AN52" s="2"/>
      <c r="AO52" s="2"/>
    </row>
    <row r="53" spans="1:63" outlineLevel="1" x14ac:dyDescent="0.2">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x14ac:dyDescent="0.2">
      <c r="A54" t="s">
        <v>1317</v>
      </c>
      <c r="B54" s="54" t="s">
        <v>462</v>
      </c>
      <c r="C54" s="110">
        <f>'Ethylene Recycling HC'!C57</f>
        <v>0.11499935012302656</v>
      </c>
      <c r="D54" s="110">
        <f>'Ethylene Recycling HC'!D57</f>
        <v>0.11283270511892568</v>
      </c>
      <c r="E54" s="110">
        <f>'Ethylene Recycling HC'!E57</f>
        <v>0.1106660601148248</v>
      </c>
      <c r="F54" s="110">
        <f>'Ethylene Recycling HC'!F57</f>
        <v>0.10849941511072392</v>
      </c>
      <c r="G54" s="110">
        <f>'Ethylene Recycling HC'!G57</f>
        <v>0.10633277010662304</v>
      </c>
      <c r="H54" s="110">
        <f>'Ethylene Recycling HC'!H57</f>
        <v>0.10416612510252216</v>
      </c>
      <c r="I54" s="110">
        <f>'Ethylene Recycling HC'!I57</f>
        <v>0.10199948009842127</v>
      </c>
      <c r="J54" s="110">
        <f>'Ethylene Recycling HC'!J57</f>
        <v>9.9832835094320393E-2</v>
      </c>
      <c r="K54" s="110">
        <f>'Ethylene Recycling HC'!K57</f>
        <v>9.7666190090219512E-2</v>
      </c>
      <c r="L54" s="110">
        <f>'Ethylene Recycling HC'!L57</f>
        <v>9.5499545086118631E-2</v>
      </c>
      <c r="M54" s="110">
        <f>'Ethylene Recycling HC'!M57</f>
        <v>9.333290008201775E-2</v>
      </c>
      <c r="N54" s="110">
        <f>'Ethylene Recycling HC'!N57</f>
        <v>9.1166255077916869E-2</v>
      </c>
      <c r="O54" s="110">
        <f>'Ethylene Recycling HC'!O57</f>
        <v>8.8999610073815988E-2</v>
      </c>
      <c r="P54" s="110">
        <f>'Ethylene Recycling HC'!P57</f>
        <v>8.6832965069715107E-2</v>
      </c>
      <c r="Q54" s="110">
        <f>'Ethylene Recycling HC'!Q57</f>
        <v>8.4666320065614226E-2</v>
      </c>
      <c r="R54" s="110">
        <f>'Ethylene Recycling HC'!R57</f>
        <v>8.2499675061513345E-2</v>
      </c>
      <c r="S54" s="110">
        <f>'Ethylene Recycling HC'!S57</f>
        <v>8.0333030057412463E-2</v>
      </c>
      <c r="T54" s="110">
        <f>'Ethylene Recycling HC'!T57</f>
        <v>7.8166385053311582E-2</v>
      </c>
      <c r="U54" s="110">
        <f>'Ethylene Recycling HC'!U57</f>
        <v>7.5999740049210701E-2</v>
      </c>
      <c r="V54" s="110">
        <f>'Ethylene Recycling HC'!V57</f>
        <v>7.383309504510982E-2</v>
      </c>
      <c r="W54" s="110">
        <f>'Ethylene Recycling HC'!W57</f>
        <v>7.1666450041008939E-2</v>
      </c>
      <c r="X54" s="110">
        <f>'Ethylene Recycling HC'!X57</f>
        <v>6.9499805036908058E-2</v>
      </c>
      <c r="Y54" s="110">
        <f>'Ethylene Recycling HC'!Y57</f>
        <v>6.7333160032807177E-2</v>
      </c>
      <c r="Z54" s="110">
        <f>'Ethylene Recycling HC'!Z57</f>
        <v>6.5166515028706296E-2</v>
      </c>
      <c r="AA54" s="110">
        <f>'Ethylene Recycling HC'!AA57</f>
        <v>6.2999870024605414E-2</v>
      </c>
      <c r="AB54" s="110">
        <f>'Ethylene Recycling HC'!AB57</f>
        <v>6.0833225020504526E-2</v>
      </c>
      <c r="AC54" s="110">
        <f>'Ethylene Recycling HC'!AC57</f>
        <v>5.8666580016403638E-2</v>
      </c>
      <c r="AD54" s="110">
        <f>'Ethylene Recycling HC'!AD57</f>
        <v>5.649993501230275E-2</v>
      </c>
      <c r="AE54" s="110">
        <f>'Ethylene Recycling HC'!AE57</f>
        <v>5.4333290008201862E-2</v>
      </c>
      <c r="AF54" s="110">
        <f>'Ethylene Recycling HC'!AF57</f>
        <v>5.2166645004100974E-2</v>
      </c>
      <c r="AG54" s="110">
        <f>'Ethylene Recycling HC'!AG57</f>
        <v>0.05</v>
      </c>
      <c r="AI54" s="133"/>
      <c r="AJ54" s="211" t="s">
        <v>1432</v>
      </c>
      <c r="AL54" s="108"/>
      <c r="AM54" s="2"/>
      <c r="AN54" s="2"/>
      <c r="AO54" s="2"/>
      <c r="AV54" s="41"/>
    </row>
    <row r="55" spans="1:63" outlineLevel="1" x14ac:dyDescent="0.2">
      <c r="A55" t="s">
        <v>1318</v>
      </c>
      <c r="C55" s="110">
        <f>'Ethylene Recycling HC'!C58</f>
        <v>0.13791632052401978</v>
      </c>
      <c r="D55" s="110">
        <f>'Ethylene Recycling HC'!D58</f>
        <v>0.13791632052401978</v>
      </c>
      <c r="E55" s="110">
        <f>'Ethylene Recycling HC'!E58</f>
        <v>0.13791632052401978</v>
      </c>
      <c r="F55" s="110">
        <f>'Ethylene Recycling HC'!F58</f>
        <v>0.13791632052401978</v>
      </c>
      <c r="G55" s="110">
        <f>'Ethylene Recycling HC'!G58</f>
        <v>0.13791632052401978</v>
      </c>
      <c r="H55" s="110">
        <f>'Ethylene Recycling HC'!H58</f>
        <v>0.13791632052401978</v>
      </c>
      <c r="I55" s="110">
        <f>'Ethylene Recycling HC'!I58</f>
        <v>0.13791632052401978</v>
      </c>
      <c r="J55" s="110">
        <f>'Ethylene Recycling HC'!J58</f>
        <v>0.13791632052401978</v>
      </c>
      <c r="K55" s="110">
        <f>'Ethylene Recycling HC'!K58</f>
        <v>0.13791632052401978</v>
      </c>
      <c r="L55" s="110">
        <f>'Ethylene Recycling HC'!L58</f>
        <v>0.13791632052401978</v>
      </c>
      <c r="M55" s="110">
        <f>'Ethylene Recycling HC'!M58</f>
        <v>0.13791632052401978</v>
      </c>
      <c r="N55" s="110">
        <f>'Ethylene Recycling HC'!N58</f>
        <v>0.13791632052401978</v>
      </c>
      <c r="O55" s="110">
        <f>'Ethylene Recycling HC'!O58</f>
        <v>0.13791632052401978</v>
      </c>
      <c r="P55" s="110">
        <f>'Ethylene Recycling HC'!P58</f>
        <v>0.13791632052401978</v>
      </c>
      <c r="Q55" s="110">
        <f>'Ethylene Recycling HC'!Q58</f>
        <v>0.13791632052401978</v>
      </c>
      <c r="R55" s="110">
        <f>'Ethylene Recycling HC'!R58</f>
        <v>0.13791632052401978</v>
      </c>
      <c r="S55" s="110">
        <f>'Ethylene Recycling HC'!S58</f>
        <v>0.13791632052401978</v>
      </c>
      <c r="T55" s="110">
        <f>'Ethylene Recycling HC'!T58</f>
        <v>0.13791632052401978</v>
      </c>
      <c r="U55" s="110">
        <f>'Ethylene Recycling HC'!U58</f>
        <v>0.13791632052401978</v>
      </c>
      <c r="V55" s="110">
        <f>'Ethylene Recycling HC'!V58</f>
        <v>0.13791632052401978</v>
      </c>
      <c r="W55" s="110">
        <f>'Ethylene Recycling HC'!W58</f>
        <v>0.13791632052401978</v>
      </c>
      <c r="X55" s="110">
        <f>'Ethylene Recycling HC'!X58</f>
        <v>0.13791632052401978</v>
      </c>
      <c r="Y55" s="110">
        <f>'Ethylene Recycling HC'!Y58</f>
        <v>0.13791632052401978</v>
      </c>
      <c r="Z55" s="110">
        <f>'Ethylene Recycling HC'!Z58</f>
        <v>0.13791632052401978</v>
      </c>
      <c r="AA55" s="110">
        <f>'Ethylene Recycling HC'!AA58</f>
        <v>0.13791632052401978</v>
      </c>
      <c r="AB55" s="110">
        <f>'Ethylene Recycling HC'!AB58</f>
        <v>0.13791632052401978</v>
      </c>
      <c r="AC55" s="110">
        <f>'Ethylene Recycling HC'!AC58</f>
        <v>0.13791632052401978</v>
      </c>
      <c r="AD55" s="110">
        <f>'Ethylene Recycling HC'!AD58</f>
        <v>0.13791632052401978</v>
      </c>
      <c r="AE55" s="110">
        <f>'Ethylene Recycling HC'!AE58</f>
        <v>0.13791632052401978</v>
      </c>
      <c r="AF55" s="110">
        <f>'Ethylene Recycling HC'!AF58</f>
        <v>0.13791632052401978</v>
      </c>
      <c r="AG55" s="110">
        <f>'Ethylene Recycling HC'!AG58</f>
        <v>0.13791632052401978</v>
      </c>
      <c r="AI55" s="133"/>
      <c r="AJ55" s="211" t="s">
        <v>1432</v>
      </c>
      <c r="AL55" s="108"/>
      <c r="AM55" s="2"/>
      <c r="AN55" s="2"/>
      <c r="AO55" s="2"/>
      <c r="AV55" s="41"/>
    </row>
    <row r="56" spans="1:63" outlineLevel="1" x14ac:dyDescent="0.2">
      <c r="A56" t="s">
        <v>1433</v>
      </c>
      <c r="B56" s="54" t="s">
        <v>462</v>
      </c>
      <c r="C56" s="110">
        <f>'Ethylene Recycling HC'!C59</f>
        <v>0.10855071452136934</v>
      </c>
      <c r="D56" s="110">
        <f>'Ethylene Recycling HC'!D59</f>
        <v>0.10855071452136934</v>
      </c>
      <c r="E56" s="110">
        <f>'Ethylene Recycling HC'!E59</f>
        <v>0.10855071452136934</v>
      </c>
      <c r="F56" s="110">
        <f>'Ethylene Recycling HC'!F59</f>
        <v>0.10855071452136934</v>
      </c>
      <c r="G56" s="110">
        <f>'Ethylene Recycling HC'!G59</f>
        <v>0.10855071452136934</v>
      </c>
      <c r="H56" s="110">
        <f>'Ethylene Recycling HC'!H59</f>
        <v>0.10855071452136934</v>
      </c>
      <c r="I56" s="110">
        <f>'Ethylene Recycling HC'!I59</f>
        <v>0.10855071452136934</v>
      </c>
      <c r="J56" s="110">
        <f>'Ethylene Recycling HC'!J59</f>
        <v>0.10855071452136934</v>
      </c>
      <c r="K56" s="110">
        <f>'Ethylene Recycling HC'!K59</f>
        <v>0.10855071452136934</v>
      </c>
      <c r="L56" s="110">
        <f>'Ethylene Recycling HC'!L59</f>
        <v>0.10855071452136934</v>
      </c>
      <c r="M56" s="110">
        <f>'Ethylene Recycling HC'!M59</f>
        <v>0.10855071452136934</v>
      </c>
      <c r="N56" s="110">
        <f>'Ethylene Recycling HC'!N59</f>
        <v>0.10855071452136934</v>
      </c>
      <c r="O56" s="110">
        <f>'Ethylene Recycling HC'!O59</f>
        <v>0.10855071452136934</v>
      </c>
      <c r="P56" s="110">
        <f>'Ethylene Recycling HC'!P59</f>
        <v>0.10855071452136934</v>
      </c>
      <c r="Q56" s="110">
        <f>'Ethylene Recycling HC'!Q59</f>
        <v>0.10855071452136934</v>
      </c>
      <c r="R56" s="110">
        <f>'Ethylene Recycling HC'!R59</f>
        <v>0.10855071452136934</v>
      </c>
      <c r="S56" s="110">
        <f>'Ethylene Recycling HC'!S59</f>
        <v>0.10855071452136934</v>
      </c>
      <c r="T56" s="110">
        <f>'Ethylene Recycling HC'!T59</f>
        <v>0.10855071452136934</v>
      </c>
      <c r="U56" s="110">
        <f>'Ethylene Recycling HC'!U59</f>
        <v>0.10855071452136934</v>
      </c>
      <c r="V56" s="110">
        <f>'Ethylene Recycling HC'!V59</f>
        <v>0.10855071452136934</v>
      </c>
      <c r="W56" s="110">
        <f>'Ethylene Recycling HC'!W59</f>
        <v>0.10855071452136934</v>
      </c>
      <c r="X56" s="110">
        <f>'Ethylene Recycling HC'!X59</f>
        <v>0.10855071452136934</v>
      </c>
      <c r="Y56" s="110">
        <f>'Ethylene Recycling HC'!Y59</f>
        <v>0.10855071452136934</v>
      </c>
      <c r="Z56" s="110">
        <f>'Ethylene Recycling HC'!Z59</f>
        <v>0.10855071452136934</v>
      </c>
      <c r="AA56" s="110">
        <f>'Ethylene Recycling HC'!AA59</f>
        <v>0.10855071452136934</v>
      </c>
      <c r="AB56" s="110">
        <f>'Ethylene Recycling HC'!AB59</f>
        <v>0.10855071452136934</v>
      </c>
      <c r="AC56" s="110">
        <f>'Ethylene Recycling HC'!AC59</f>
        <v>0.10855071452136934</v>
      </c>
      <c r="AD56" s="110">
        <f>'Ethylene Recycling HC'!AD59</f>
        <v>0.10855071452136934</v>
      </c>
      <c r="AE56" s="110">
        <f>'Ethylene Recycling HC'!AE59</f>
        <v>0.10855071452136934</v>
      </c>
      <c r="AF56" s="110">
        <f>'Ethylene Recycling HC'!AF59</f>
        <v>0.10855071452136934</v>
      </c>
      <c r="AG56" s="110">
        <f>'Ethylene Recycling HC'!AG59</f>
        <v>0.10855071452136934</v>
      </c>
      <c r="AI56" s="133"/>
      <c r="AJ56" s="211" t="s">
        <v>1432</v>
      </c>
      <c r="AL56" s="108"/>
      <c r="AM56" s="2"/>
      <c r="AN56" s="2"/>
      <c r="AO56" s="2"/>
      <c r="AV56" s="41"/>
    </row>
    <row r="57" spans="1:63" outlineLevel="1" x14ac:dyDescent="0.2">
      <c r="A57" t="s">
        <v>1319</v>
      </c>
      <c r="B57" s="54" t="s">
        <v>462</v>
      </c>
      <c r="C57" s="110">
        <f>'Ethylene Recycling HC'!C60</f>
        <v>0.63853361483158433</v>
      </c>
      <c r="D57" s="110">
        <f>'Ethylene Recycling HC'!D60</f>
        <v>0.64070025983568524</v>
      </c>
      <c r="E57" s="110">
        <f>'Ethylene Recycling HC'!E60</f>
        <v>0.64286690483978604</v>
      </c>
      <c r="F57" s="110">
        <f>'Ethylene Recycling HC'!F60</f>
        <v>0.64503354984388694</v>
      </c>
      <c r="G57" s="110">
        <f>'Ethylene Recycling HC'!G60</f>
        <v>0.64720019484798785</v>
      </c>
      <c r="H57" s="110">
        <f>'Ethylene Recycling HC'!H60</f>
        <v>0.64936683985208865</v>
      </c>
      <c r="I57" s="110">
        <f>'Ethylene Recycling HC'!I60</f>
        <v>0.65153348485618956</v>
      </c>
      <c r="J57" s="110">
        <f>'Ethylene Recycling HC'!J60</f>
        <v>0.65370012986029047</v>
      </c>
      <c r="K57" s="110">
        <f>'Ethylene Recycling HC'!K60</f>
        <v>0.65586677486439138</v>
      </c>
      <c r="L57" s="110">
        <f>'Ethylene Recycling HC'!L60</f>
        <v>0.65803341986849229</v>
      </c>
      <c r="M57" s="110">
        <f>'Ethylene Recycling HC'!M60</f>
        <v>0.66020006487259308</v>
      </c>
      <c r="N57" s="110">
        <f>'Ethylene Recycling HC'!N60</f>
        <v>0.66236670987669399</v>
      </c>
      <c r="O57" s="110">
        <f>'Ethylene Recycling HC'!O60</f>
        <v>0.6645333548807949</v>
      </c>
      <c r="P57" s="110">
        <f>'Ethylene Recycling HC'!P60</f>
        <v>0.6666999998848957</v>
      </c>
      <c r="Q57" s="110">
        <f>'Ethylene Recycling HC'!Q60</f>
        <v>0.66886664488899661</v>
      </c>
      <c r="R57" s="110">
        <f>'Ethylene Recycling HC'!R60</f>
        <v>0.67103328989309752</v>
      </c>
      <c r="S57" s="110">
        <f>'Ethylene Recycling HC'!S60</f>
        <v>0.67319993489719843</v>
      </c>
      <c r="T57" s="110">
        <f>'Ethylene Recycling HC'!T60</f>
        <v>0.67536657990129934</v>
      </c>
      <c r="U57" s="110">
        <f>'Ethylene Recycling HC'!U60</f>
        <v>0.67753322490540013</v>
      </c>
      <c r="V57" s="110">
        <f>'Ethylene Recycling HC'!V60</f>
        <v>0.67969986990950104</v>
      </c>
      <c r="W57" s="110">
        <f>'Ethylene Recycling HC'!W60</f>
        <v>0.68186651491360195</v>
      </c>
      <c r="X57" s="110">
        <f>'Ethylene Recycling HC'!X60</f>
        <v>0.68403315991770275</v>
      </c>
      <c r="Y57" s="110">
        <f>'Ethylene Recycling HC'!Y60</f>
        <v>0.68619980492180366</v>
      </c>
      <c r="Z57" s="110">
        <f>'Ethylene Recycling HC'!Z60</f>
        <v>0.68836644992590457</v>
      </c>
      <c r="AA57" s="110">
        <f>'Ethylene Recycling HC'!AA60</f>
        <v>0.69053309493000548</v>
      </c>
      <c r="AB57" s="110">
        <f>'Ethylene Recycling HC'!AB60</f>
        <v>0.69269973993410638</v>
      </c>
      <c r="AC57" s="110">
        <f>'Ethylene Recycling HC'!AC60</f>
        <v>0.69486638493820718</v>
      </c>
      <c r="AD57" s="110">
        <f>'Ethylene Recycling HC'!AD60</f>
        <v>0.69703302994230809</v>
      </c>
      <c r="AE57" s="110">
        <f>'Ethylene Recycling HC'!AE60</f>
        <v>0.699199674946409</v>
      </c>
      <c r="AF57" s="110">
        <f>'Ethylene Recycling HC'!AF60</f>
        <v>0.70136631995050991</v>
      </c>
      <c r="AG57" s="110">
        <f>'Ethylene Recycling HC'!AG60</f>
        <v>0.70353296495461082</v>
      </c>
      <c r="AI57" s="133"/>
      <c r="AJ57" s="211" t="s">
        <v>1432</v>
      </c>
      <c r="AL57" s="108"/>
      <c r="AM57" s="2"/>
      <c r="AN57" s="2"/>
      <c r="AO57" s="2"/>
      <c r="AV57" s="41"/>
    </row>
    <row r="58" spans="1:63" outlineLevel="1" x14ac:dyDescent="0.2">
      <c r="A58" t="s">
        <v>1317</v>
      </c>
      <c r="B58" s="54" t="s">
        <v>462</v>
      </c>
      <c r="C58" s="110">
        <f>'Ethylene Recycling HC'!C61</f>
        <v>1.0924938261687523E-2</v>
      </c>
      <c r="D58" s="110">
        <f>'Ethylene Recycling HC'!D61</f>
        <v>1.1091454913190394E-2</v>
      </c>
      <c r="E58" s="110">
        <f>'Ethylene Recycling HC'!E61</f>
        <v>1.1243671707666198E-2</v>
      </c>
      <c r="F58" s="110">
        <f>'Ethylene Recycling HC'!F61</f>
        <v>1.1381588645114939E-2</v>
      </c>
      <c r="G58" s="110">
        <f>'Ethylene Recycling HC'!G61</f>
        <v>1.1505205725536613E-2</v>
      </c>
      <c r="H58" s="110">
        <f>'Ethylene Recycling HC'!H61</f>
        <v>1.161452294893122E-2</v>
      </c>
      <c r="I58" s="110">
        <f>'Ethylene Recycling HC'!I61</f>
        <v>1.1709540315298762E-2</v>
      </c>
      <c r="J58" s="110">
        <f>'Ethylene Recycling HC'!J61</f>
        <v>1.1790257824639237E-2</v>
      </c>
      <c r="K58" s="110">
        <f>'Ethylene Recycling HC'!K61</f>
        <v>1.185667547695265E-2</v>
      </c>
      <c r="L58" s="110">
        <f>'Ethylene Recycling HC'!L61</f>
        <v>1.1908793272238994E-2</v>
      </c>
      <c r="M58" s="110">
        <f>'Ethylene Recycling HC'!M61</f>
        <v>1.1946611210498273E-2</v>
      </c>
      <c r="N58" s="110">
        <f>'Ethylene Recycling HC'!N61</f>
        <v>1.2362144188565528E-2</v>
      </c>
      <c r="O58" s="110">
        <f>'Ethylene Recycling HC'!O61</f>
        <v>1.2744744162570449E-2</v>
      </c>
      <c r="P58" s="110">
        <f>'Ethylene Recycling HC'!P61</f>
        <v>1.3094411132513037E-2</v>
      </c>
      <c r="Q58" s="110">
        <f>'Ethylene Recycling HC'!Q61</f>
        <v>1.3411145098393293E-2</v>
      </c>
      <c r="R58" s="110">
        <f>'Ethylene Recycling HC'!R61</f>
        <v>1.3694946060211214E-2</v>
      </c>
      <c r="S58" s="110">
        <f>'Ethylene Recycling HC'!S61</f>
        <v>1.3945814017966802E-2</v>
      </c>
      <c r="T58" s="110">
        <f>'Ethylene Recycling HC'!T61</f>
        <v>1.4163748971660058E-2</v>
      </c>
      <c r="U58" s="110">
        <f>'Ethylene Recycling HC'!U61</f>
        <v>1.434875092129098E-2</v>
      </c>
      <c r="V58" s="110">
        <f>'Ethylene Recycling HC'!V61</f>
        <v>1.4500819866859568E-2</v>
      </c>
      <c r="W58" s="110">
        <f>'Ethylene Recycling HC'!W61</f>
        <v>1.4619955808365823E-2</v>
      </c>
      <c r="X58" s="110">
        <f>'Ethylene Recycling HC'!X61</f>
        <v>1.5019776616038791E-2</v>
      </c>
      <c r="Y58" s="110">
        <f>'Ethylene Recycling HC'!Y61</f>
        <v>1.5367110448487417E-2</v>
      </c>
      <c r="Z58" s="110">
        <f>'Ethylene Recycling HC'!Z61</f>
        <v>1.56619573057117E-2</v>
      </c>
      <c r="AA58" s="110">
        <f>'Ethylene Recycling HC'!AA61</f>
        <v>1.5904317187711636E-2</v>
      </c>
      <c r="AB58" s="110">
        <f>'Ethylene Recycling HC'!AB61</f>
        <v>1.6094190094487228E-2</v>
      </c>
      <c r="AC58" s="110">
        <f>'Ethylene Recycling HC'!AC61</f>
        <v>1.6231576026038474E-2</v>
      </c>
      <c r="AD58" s="110">
        <f>'Ethylene Recycling HC'!AD61</f>
        <v>1.6316474982365377E-2</v>
      </c>
      <c r="AE58" s="110">
        <f>'Ethylene Recycling HC'!AE61</f>
        <v>1.6348886963467937E-2</v>
      </c>
      <c r="AF58" s="110">
        <f>'Ethylene Recycling HC'!AF61</f>
        <v>1.6328811969346151E-2</v>
      </c>
      <c r="AG58" s="110">
        <f>'Ethylene Recycling HC'!AG61</f>
        <v>1.6256249999999996E-2</v>
      </c>
      <c r="AH58" s="271"/>
      <c r="AI58" s="133"/>
      <c r="AJ58" s="211"/>
      <c r="AL58" s="108"/>
      <c r="AM58" s="2"/>
      <c r="AN58" s="2"/>
      <c r="AO58" s="2"/>
    </row>
    <row r="59" spans="1:63" outlineLevel="1" x14ac:dyDescent="0.2">
      <c r="A59" t="s">
        <v>1318</v>
      </c>
      <c r="B59" s="54" t="s">
        <v>462</v>
      </c>
      <c r="C59" s="110">
        <f>'Ethylene Recycling HC'!C62</f>
        <v>1.3102050449781879E-2</v>
      </c>
      <c r="D59" s="110">
        <f>'Ethylene Recycling HC'!D62</f>
        <v>1.3557174307511145E-2</v>
      </c>
      <c r="E59" s="110">
        <f>'Ethylene Recycling HC'!E62</f>
        <v>1.4012298165240409E-2</v>
      </c>
      <c r="F59" s="110">
        <f>'Ethylene Recycling HC'!F62</f>
        <v>1.4467422022969674E-2</v>
      </c>
      <c r="G59" s="110">
        <f>'Ethylene Recycling HC'!G62</f>
        <v>1.4922545880698941E-2</v>
      </c>
      <c r="H59" s="110">
        <f>'Ethylene Recycling HC'!H62</f>
        <v>1.5377669738428206E-2</v>
      </c>
      <c r="I59" s="110">
        <f>'Ethylene Recycling HC'!I62</f>
        <v>1.5832793596157472E-2</v>
      </c>
      <c r="J59" s="110">
        <f>'Ethylene Recycling HC'!J62</f>
        <v>1.6287917453886736E-2</v>
      </c>
      <c r="K59" s="110">
        <f>'Ethylene Recycling HC'!K62</f>
        <v>1.6743041311616004E-2</v>
      </c>
      <c r="L59" s="110">
        <f>'Ethylene Recycling HC'!L62</f>
        <v>1.7198165169345268E-2</v>
      </c>
      <c r="M59" s="110">
        <f>'Ethylene Recycling HC'!M62</f>
        <v>1.7653289027074533E-2</v>
      </c>
      <c r="N59" s="110">
        <f>'Ethylene Recycling HC'!N62</f>
        <v>1.8701453063057084E-2</v>
      </c>
      <c r="O59" s="110">
        <f>'Ethylene Recycling HC'!O62</f>
        <v>1.9749617099039631E-2</v>
      </c>
      <c r="P59" s="110">
        <f>'Ethylene Recycling HC'!P62</f>
        <v>2.0797781135022182E-2</v>
      </c>
      <c r="Q59" s="110">
        <f>'Ethylene Recycling HC'!Q62</f>
        <v>2.184594517100473E-2</v>
      </c>
      <c r="R59" s="110">
        <f>'Ethylene Recycling HC'!R62</f>
        <v>2.2894109206987281E-2</v>
      </c>
      <c r="S59" s="110">
        <f>'Ethylene Recycling HC'!S62</f>
        <v>2.3942273242969832E-2</v>
      </c>
      <c r="T59" s="110">
        <f>'Ethylene Recycling HC'!T62</f>
        <v>2.4990437278952383E-2</v>
      </c>
      <c r="U59" s="110">
        <f>'Ethylene Recycling HC'!U62</f>
        <v>2.6038601314934934E-2</v>
      </c>
      <c r="V59" s="110">
        <f>'Ethylene Recycling HC'!V62</f>
        <v>2.7086765350917485E-2</v>
      </c>
      <c r="W59" s="110">
        <f>'Ethylene Recycling HC'!W62</f>
        <v>2.8134929386900032E-2</v>
      </c>
      <c r="X59" s="110">
        <f>'Ethylene Recycling HC'!X62</f>
        <v>2.9805440819247221E-2</v>
      </c>
      <c r="Y59" s="110">
        <f>'Ethylene Recycling HC'!Y62</f>
        <v>3.1475952251594413E-2</v>
      </c>
      <c r="Z59" s="110">
        <f>'Ethylene Recycling HC'!Z62</f>
        <v>3.3146463683941599E-2</v>
      </c>
      <c r="AA59" s="110">
        <f>'Ethylene Recycling HC'!AA62</f>
        <v>3.4816975116288784E-2</v>
      </c>
      <c r="AB59" s="110">
        <f>'Ethylene Recycling HC'!AB62</f>
        <v>3.6487486548635983E-2</v>
      </c>
      <c r="AC59" s="110">
        <f>'Ethylene Recycling HC'!AC62</f>
        <v>3.8157997980983169E-2</v>
      </c>
      <c r="AD59" s="110">
        <f>'Ethylene Recycling HC'!AD62</f>
        <v>3.9828509413330361E-2</v>
      </c>
      <c r="AE59" s="110">
        <f>'Ethylene Recycling HC'!AE62</f>
        <v>4.1499020845677546E-2</v>
      </c>
      <c r="AF59" s="110">
        <f>'Ethylene Recycling HC'!AF62</f>
        <v>4.3169532278024732E-2</v>
      </c>
      <c r="AG59" s="110">
        <f>'Ethylene Recycling HC'!AG62</f>
        <v>4.4840043710371924E-2</v>
      </c>
      <c r="AH59" s="271"/>
      <c r="AJ59" s="211"/>
      <c r="AL59" s="108"/>
      <c r="AM59" s="2"/>
      <c r="AN59" s="2"/>
      <c r="AO59" s="2"/>
      <c r="BC59" s="1"/>
      <c r="BD59" s="2"/>
      <c r="BE59" s="2"/>
      <c r="BF59" s="2"/>
      <c r="BG59" s="2"/>
      <c r="BH59" s="2"/>
      <c r="BI59" s="2"/>
      <c r="BJ59" s="2"/>
      <c r="BK59" s="2"/>
    </row>
    <row r="60" spans="1:63" outlineLevel="1" x14ac:dyDescent="0.2">
      <c r="A60" t="s">
        <v>1433</v>
      </c>
      <c r="C60" s="110">
        <f>'Ethylene Recycling HC'!C63</f>
        <v>1.0312317879530087E-2</v>
      </c>
      <c r="D60" s="110">
        <f>'Ethylene Recycling HC'!D63</f>
        <v>1.0670535237450606E-2</v>
      </c>
      <c r="E60" s="110">
        <f>'Ethylene Recycling HC'!E63</f>
        <v>1.1028752595371125E-2</v>
      </c>
      <c r="F60" s="110">
        <f>'Ethylene Recycling HC'!F63</f>
        <v>1.1386969953291644E-2</v>
      </c>
      <c r="G60" s="110">
        <f>'Ethylene Recycling HC'!G63</f>
        <v>1.1745187311212163E-2</v>
      </c>
      <c r="H60" s="110">
        <f>'Ethylene Recycling HC'!H63</f>
        <v>1.2103404669132681E-2</v>
      </c>
      <c r="I60" s="110">
        <f>'Ethylene Recycling HC'!I63</f>
        <v>1.24616220270532E-2</v>
      </c>
      <c r="J60" s="110">
        <f>'Ethylene Recycling HC'!J63</f>
        <v>1.2819839384973719E-2</v>
      </c>
      <c r="K60" s="110">
        <f>'Ethylene Recycling HC'!K63</f>
        <v>1.317805674289424E-2</v>
      </c>
      <c r="L60" s="110">
        <f>'Ethylene Recycling HC'!L63</f>
        <v>1.3536274100814759E-2</v>
      </c>
      <c r="M60" s="110">
        <f>'Ethylene Recycling HC'!M63</f>
        <v>1.3894491458735276E-2</v>
      </c>
      <c r="N60" s="110">
        <f>'Ethylene Recycling HC'!N63</f>
        <v>1.4719476889097683E-2</v>
      </c>
      <c r="O60" s="110">
        <f>'Ethylene Recycling HC'!O63</f>
        <v>1.5544462319460089E-2</v>
      </c>
      <c r="P60" s="110">
        <f>'Ethylene Recycling HC'!P63</f>
        <v>1.6369447749822495E-2</v>
      </c>
      <c r="Q60" s="110">
        <f>'Ethylene Recycling HC'!Q63</f>
        <v>1.7194433180184904E-2</v>
      </c>
      <c r="R60" s="110">
        <f>'Ethylene Recycling HC'!R63</f>
        <v>1.8019418610547309E-2</v>
      </c>
      <c r="S60" s="110">
        <f>'Ethylene Recycling HC'!S63</f>
        <v>1.8844404040909715E-2</v>
      </c>
      <c r="T60" s="110">
        <f>'Ethylene Recycling HC'!T63</f>
        <v>1.9669389471272124E-2</v>
      </c>
      <c r="U60" s="110">
        <f>'Ethylene Recycling HC'!U63</f>
        <v>2.049437490163453E-2</v>
      </c>
      <c r="V60" s="110">
        <f>'Ethylene Recycling HC'!V63</f>
        <v>2.1319360331996939E-2</v>
      </c>
      <c r="W60" s="110">
        <f>'Ethylene Recycling HC'!W63</f>
        <v>2.2144345762359345E-2</v>
      </c>
      <c r="X60" s="110">
        <f>'Ethylene Recycling HC'!X63</f>
        <v>2.3459166291999432E-2</v>
      </c>
      <c r="Y60" s="110">
        <f>'Ethylene Recycling HC'!Y63</f>
        <v>2.4773986821639518E-2</v>
      </c>
      <c r="Z60" s="110">
        <f>'Ethylene Recycling HC'!Z63</f>
        <v>2.6088807351279601E-2</v>
      </c>
      <c r="AA60" s="110">
        <f>'Ethylene Recycling HC'!AA63</f>
        <v>2.7403627880919684E-2</v>
      </c>
      <c r="AB60" s="110">
        <f>'Ethylene Recycling HC'!AB63</f>
        <v>2.8718448410559774E-2</v>
      </c>
      <c r="AC60" s="110">
        <f>'Ethylene Recycling HC'!AC63</f>
        <v>3.0033268940199857E-2</v>
      </c>
      <c r="AD60" s="110">
        <f>'Ethylene Recycling HC'!AD63</f>
        <v>3.1348089469839947E-2</v>
      </c>
      <c r="AE60" s="110">
        <f>'Ethylene Recycling HC'!AE63</f>
        <v>3.266290999948003E-2</v>
      </c>
      <c r="AF60" s="110">
        <f>'Ethylene Recycling HC'!AF63</f>
        <v>3.3977730529120113E-2</v>
      </c>
      <c r="AG60" s="110">
        <f>'Ethylene Recycling HC'!AG63</f>
        <v>3.5292551058760203E-2</v>
      </c>
      <c r="AH60" s="271"/>
      <c r="AJ60" s="211"/>
      <c r="AL60" s="108"/>
      <c r="AM60" s="2"/>
      <c r="AN60" s="2"/>
      <c r="AO60" s="2"/>
      <c r="BC60" s="1"/>
      <c r="BD60" s="2"/>
      <c r="BE60" s="2"/>
      <c r="BF60" s="2"/>
      <c r="BG60" s="2"/>
      <c r="BH60" s="2"/>
      <c r="BI60" s="2"/>
      <c r="BJ60" s="2"/>
      <c r="BK60" s="2"/>
    </row>
    <row r="61" spans="1:63" outlineLevel="1" x14ac:dyDescent="0.2">
      <c r="A61" t="s">
        <v>1319</v>
      </c>
      <c r="B61" s="54" t="s">
        <v>462</v>
      </c>
      <c r="C61" s="110">
        <f>'Ethylene Recycling HC'!C64</f>
        <v>6.0660693409000509E-2</v>
      </c>
      <c r="D61" s="110">
        <f>'Ethylene Recycling HC'!D64</f>
        <v>6.2980835541847857E-2</v>
      </c>
      <c r="E61" s="110">
        <f>'Ethylene Recycling HC'!E64</f>
        <v>6.5315277531722254E-2</v>
      </c>
      <c r="F61" s="110">
        <f>'Ethylene Recycling HC'!F64</f>
        <v>6.7664019378623735E-2</v>
      </c>
      <c r="G61" s="110">
        <f>'Ethylene Recycling HC'!G64</f>
        <v>7.0027061082552286E-2</v>
      </c>
      <c r="H61" s="110">
        <f>'Ethylene Recycling HC'!H64</f>
        <v>7.2404402643507892E-2</v>
      </c>
      <c r="I61" s="110">
        <f>'Ethylene Recycling HC'!I64</f>
        <v>7.4796044061490555E-2</v>
      </c>
      <c r="J61" s="110">
        <f>'Ethylene Recycling HC'!J64</f>
        <v>7.7201985336500301E-2</v>
      </c>
      <c r="K61" s="110">
        <f>'Ethylene Recycling HC'!K64</f>
        <v>7.9622226468537116E-2</v>
      </c>
      <c r="L61" s="110">
        <f>'Ethylene Recycling HC'!L64</f>
        <v>8.2056767457600988E-2</v>
      </c>
      <c r="M61" s="110">
        <f>'Ethylene Recycling HC'!M64</f>
        <v>8.4505608303691915E-2</v>
      </c>
      <c r="N61" s="110">
        <f>'Ethylene Recycling HC'!N64</f>
        <v>8.9816925859279709E-2</v>
      </c>
      <c r="O61" s="110">
        <f>'Ethylene Recycling HC'!O64</f>
        <v>9.5161176418929821E-2</v>
      </c>
      <c r="P61" s="110">
        <f>'Ethylene Recycling HC'!P64</f>
        <v>0.10053835998264227</v>
      </c>
      <c r="Q61" s="110">
        <f>'Ethylene Recycling HC'!Q64</f>
        <v>0.10594847655041706</v>
      </c>
      <c r="R61" s="110">
        <f>'Ethylene Recycling HC'!R64</f>
        <v>0.11139152612225417</v>
      </c>
      <c r="S61" s="110">
        <f>'Ethylene Recycling HC'!S64</f>
        <v>0.11686750869815363</v>
      </c>
      <c r="T61" s="110">
        <f>'Ethylene Recycling HC'!T64</f>
        <v>0.12237642427811544</v>
      </c>
      <c r="U61" s="110">
        <f>'Ethylene Recycling HC'!U64</f>
        <v>0.12791827286213955</v>
      </c>
      <c r="V61" s="110">
        <f>'Ethylene Recycling HC'!V64</f>
        <v>0.133493054450226</v>
      </c>
      <c r="W61" s="110">
        <f>'Ethylene Recycling HC'!W64</f>
        <v>0.13910076904237478</v>
      </c>
      <c r="X61" s="110">
        <f>'Ethylene Recycling HC'!X64</f>
        <v>0.14782811627271453</v>
      </c>
      <c r="Y61" s="110">
        <f>'Ethylene Recycling HC'!Y64</f>
        <v>0.15660795047827863</v>
      </c>
      <c r="Z61" s="110">
        <f>'Ethylene Recycling HC'!Z64</f>
        <v>0.16544027165906708</v>
      </c>
      <c r="AA61" s="110">
        <f>'Ethylene Recycling HC'!AA64</f>
        <v>0.17432507981507986</v>
      </c>
      <c r="AB61" s="110">
        <f>'Ethylene Recycling HC'!AB64</f>
        <v>0.183262374946317</v>
      </c>
      <c r="AC61" s="110">
        <f>'Ethylene Recycling HC'!AC64</f>
        <v>0.19225215705277843</v>
      </c>
      <c r="AD61" s="110">
        <f>'Ethylene Recycling HC'!AD64</f>
        <v>0.20129442613446427</v>
      </c>
      <c r="AE61" s="110">
        <f>'Ethylene Recycling HC'!AE64</f>
        <v>0.21038918219137442</v>
      </c>
      <c r="AF61" s="110">
        <f>'Ethylene Recycling HC'!AF64</f>
        <v>0.21953642522350891</v>
      </c>
      <c r="AG61" s="110">
        <f>'Ethylene Recycling HC'!AG64</f>
        <v>0.22873615523086779</v>
      </c>
      <c r="AH61" s="271"/>
      <c r="AI61" s="133"/>
      <c r="AJ61" s="211"/>
      <c r="AL61" s="108"/>
      <c r="AM61" s="2"/>
      <c r="AN61" s="2"/>
      <c r="AO61" s="2"/>
      <c r="BC61" s="1"/>
      <c r="BD61" s="2"/>
      <c r="BE61" s="2"/>
      <c r="BF61" s="2"/>
      <c r="BG61" s="2"/>
      <c r="BH61" s="2"/>
      <c r="BI61" s="2"/>
      <c r="BJ61" s="2"/>
      <c r="BK61" s="2"/>
    </row>
    <row r="62" spans="1:63" outlineLevel="1" x14ac:dyDescent="0.2">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x14ac:dyDescent="0.2">
      <c r="A63" t="s">
        <v>1621</v>
      </c>
      <c r="C63" s="382">
        <f>('Overall recycling rates'!F84*'Yearly BTX'!D5+'Overall recycling rates'!G84*'Yearly BTX'!D6+'Overall recycling rates'!H84*'Yearly BTX'!D7)/'Yearly BTX'!D4</f>
        <v>1.1704534492742935</v>
      </c>
      <c r="D63" s="382">
        <f>C63-($C63-$AG63)/($AG$1-$C$1)</f>
        <v>1.1681050009651504</v>
      </c>
      <c r="E63" s="382">
        <f t="shared" ref="E63:AF63" si="30">D63-($C63-$AG63)/($AG$1-$C$1)</f>
        <v>1.1657565526560072</v>
      </c>
      <c r="F63" s="382">
        <f t="shared" si="30"/>
        <v>1.163408104346864</v>
      </c>
      <c r="G63" s="382">
        <f t="shared" si="30"/>
        <v>1.1610596560377209</v>
      </c>
      <c r="H63" s="382">
        <f t="shared" si="30"/>
        <v>1.1587112077285777</v>
      </c>
      <c r="I63" s="382">
        <f t="shared" si="30"/>
        <v>1.1563627594194346</v>
      </c>
      <c r="J63" s="382">
        <f t="shared" si="30"/>
        <v>1.1540143111102914</v>
      </c>
      <c r="K63" s="382">
        <f t="shared" si="30"/>
        <v>1.1516658628011482</v>
      </c>
      <c r="L63" s="382">
        <f t="shared" si="30"/>
        <v>1.1493174144920051</v>
      </c>
      <c r="M63" s="382">
        <f t="shared" si="30"/>
        <v>1.1469689661828619</v>
      </c>
      <c r="N63" s="382">
        <f t="shared" si="30"/>
        <v>1.1446205178737188</v>
      </c>
      <c r="O63" s="382">
        <f t="shared" si="30"/>
        <v>1.1422720695645756</v>
      </c>
      <c r="P63" s="382">
        <f t="shared" si="30"/>
        <v>1.1399236212554325</v>
      </c>
      <c r="Q63" s="382">
        <f t="shared" si="30"/>
        <v>1.1375751729462893</v>
      </c>
      <c r="R63" s="382">
        <f t="shared" si="30"/>
        <v>1.1352267246371461</v>
      </c>
      <c r="S63" s="382">
        <f t="shared" si="30"/>
        <v>1.132878276328003</v>
      </c>
      <c r="T63" s="382">
        <f t="shared" si="30"/>
        <v>1.1305298280188598</v>
      </c>
      <c r="U63" s="382">
        <f t="shared" si="30"/>
        <v>1.1281813797097167</v>
      </c>
      <c r="V63" s="382">
        <f t="shared" si="30"/>
        <v>1.1258329314005735</v>
      </c>
      <c r="W63" s="382">
        <f t="shared" si="30"/>
        <v>1.1234844830914303</v>
      </c>
      <c r="X63" s="382">
        <f t="shared" si="30"/>
        <v>1.1211360347822872</v>
      </c>
      <c r="Y63" s="382">
        <f t="shared" si="30"/>
        <v>1.118787586473144</v>
      </c>
      <c r="Z63" s="382">
        <f t="shared" si="30"/>
        <v>1.1164391381640009</v>
      </c>
      <c r="AA63" s="382">
        <f t="shared" si="30"/>
        <v>1.1140906898548577</v>
      </c>
      <c r="AB63" s="382">
        <f t="shared" si="30"/>
        <v>1.1117422415457145</v>
      </c>
      <c r="AC63" s="382">
        <f t="shared" si="30"/>
        <v>1.1093937932365714</v>
      </c>
      <c r="AD63" s="382">
        <f t="shared" si="30"/>
        <v>1.1070453449274282</v>
      </c>
      <c r="AE63" s="382">
        <f t="shared" si="30"/>
        <v>1.1046968966182851</v>
      </c>
      <c r="AF63" s="382">
        <f t="shared" si="30"/>
        <v>1.1023484483091419</v>
      </c>
      <c r="AG63" s="382">
        <f>'Overall recycling rates'!G93</f>
        <v>1.1000000000000001</v>
      </c>
      <c r="AI63" s="133"/>
      <c r="AJ63" s="211"/>
      <c r="AL63" s="108"/>
      <c r="AM63" s="2"/>
      <c r="AN63" s="2"/>
      <c r="AO63" s="2"/>
      <c r="BC63" s="1"/>
      <c r="BD63" s="2"/>
      <c r="BE63" s="2"/>
      <c r="BF63" s="2"/>
      <c r="BG63" s="2"/>
      <c r="BH63" s="2"/>
      <c r="BI63" s="2"/>
      <c r="BJ63" s="2"/>
      <c r="BK63" s="2"/>
    </row>
    <row r="64" spans="1:63" outlineLevel="1" x14ac:dyDescent="0.2">
      <c r="A64" t="s">
        <v>1622</v>
      </c>
      <c r="B64" s="54" t="s">
        <v>462</v>
      </c>
      <c r="C64" s="110">
        <f>C50*C$63</f>
        <v>5.5011312115891796E-2</v>
      </c>
      <c r="D64" s="110">
        <f t="shared" ref="D64:AG65" si="31">D50*D$63</f>
        <v>5.8638871048450551E-2</v>
      </c>
      <c r="E64" s="110">
        <f t="shared" si="31"/>
        <v>6.225139991183079E-2</v>
      </c>
      <c r="F64" s="110">
        <f t="shared" si="31"/>
        <v>6.5848898706032499E-2</v>
      </c>
      <c r="G64" s="110">
        <f t="shared" si="31"/>
        <v>6.9431367431055713E-2</v>
      </c>
      <c r="H64" s="110">
        <f t="shared" si="31"/>
        <v>7.2998806086900403E-2</v>
      </c>
      <c r="I64" s="110">
        <f t="shared" si="31"/>
        <v>7.6551214673566584E-2</v>
      </c>
      <c r="J64" s="110">
        <f t="shared" si="31"/>
        <v>8.0088593191054228E-2</v>
      </c>
      <c r="K64" s="110">
        <f t="shared" si="31"/>
        <v>8.3610941639363362E-2</v>
      </c>
      <c r="L64" s="110">
        <f t="shared" si="31"/>
        <v>8.7118260018493987E-2</v>
      </c>
      <c r="M64" s="110">
        <f t="shared" si="31"/>
        <v>9.0610548328446089E-2</v>
      </c>
      <c r="N64" s="110">
        <f t="shared" si="31"/>
        <v>9.7407206071053479E-2</v>
      </c>
      <c r="O64" s="110">
        <f t="shared" si="31"/>
        <v>0.1041752127442893</v>
      </c>
      <c r="P64" s="110">
        <f t="shared" si="31"/>
        <v>0.11091456834815358</v>
      </c>
      <c r="Q64" s="110">
        <f t="shared" si="31"/>
        <v>0.11762527288264632</v>
      </c>
      <c r="R64" s="110">
        <f t="shared" si="31"/>
        <v>0.12430732634776752</v>
      </c>
      <c r="S64" s="110">
        <f t="shared" si="31"/>
        <v>0.13096072874351716</v>
      </c>
      <c r="T64" s="110">
        <f t="shared" si="31"/>
        <v>0.13758548006989524</v>
      </c>
      <c r="U64" s="110">
        <f t="shared" si="31"/>
        <v>0.14418158032690181</v>
      </c>
      <c r="V64" s="110">
        <f t="shared" si="31"/>
        <v>0.15074902951453681</v>
      </c>
      <c r="W64" s="110">
        <f t="shared" si="31"/>
        <v>0.15728782763280028</v>
      </c>
      <c r="X64" s="110">
        <f t="shared" si="31"/>
        <v>0.1690786673214705</v>
      </c>
      <c r="Y64" s="110">
        <f t="shared" si="31"/>
        <v>0.18081873296315321</v>
      </c>
      <c r="Z64" s="110">
        <f t="shared" si="31"/>
        <v>0.19250802455784835</v>
      </c>
      <c r="AA64" s="110">
        <f t="shared" si="31"/>
        <v>0.20414654210555599</v>
      </c>
      <c r="AB64" s="110">
        <f t="shared" si="31"/>
        <v>0.21573428560627603</v>
      </c>
      <c r="AC64" s="110">
        <f t="shared" si="31"/>
        <v>0.22727125506000853</v>
      </c>
      <c r="AD64" s="110">
        <f t="shared" si="31"/>
        <v>0.23875745046675351</v>
      </c>
      <c r="AE64" s="110">
        <f t="shared" si="31"/>
        <v>0.2501928718265109</v>
      </c>
      <c r="AF64" s="110">
        <f t="shared" si="31"/>
        <v>0.26157751913928073</v>
      </c>
      <c r="AG64" s="110">
        <f t="shared" si="31"/>
        <v>0.27291139240506335</v>
      </c>
      <c r="AI64" s="133"/>
      <c r="AJ64" s="211"/>
      <c r="AL64" s="108"/>
      <c r="AM64" s="2"/>
      <c r="AN64" s="2"/>
      <c r="AO64" s="2"/>
      <c r="AV64" s="41"/>
    </row>
    <row r="65" spans="1:63" outlineLevel="1" x14ac:dyDescent="0.2">
      <c r="A65" t="s">
        <v>1623</v>
      </c>
      <c r="B65" s="54" t="s">
        <v>462</v>
      </c>
      <c r="C65" s="110">
        <f>C51*C$63</f>
        <v>0.11119307768105788</v>
      </c>
      <c r="D65" s="110">
        <f t="shared" si="31"/>
        <v>0.11482472159487428</v>
      </c>
      <c r="E65" s="110">
        <f t="shared" si="31"/>
        <v>0.11844086574985033</v>
      </c>
      <c r="F65" s="110">
        <f t="shared" si="31"/>
        <v>0.12204151014598603</v>
      </c>
      <c r="G65" s="110">
        <f t="shared" si="31"/>
        <v>0.12562665478328142</v>
      </c>
      <c r="H65" s="110">
        <f t="shared" si="31"/>
        <v>0.12919629966173643</v>
      </c>
      <c r="I65" s="110">
        <f t="shared" si="31"/>
        <v>0.13275044478135109</v>
      </c>
      <c r="J65" s="110">
        <f t="shared" si="31"/>
        <v>0.13628909014212542</v>
      </c>
      <c r="K65" s="110">
        <f t="shared" si="31"/>
        <v>0.1398122357440594</v>
      </c>
      <c r="L65" s="110">
        <f t="shared" si="31"/>
        <v>0.14331988158715303</v>
      </c>
      <c r="M65" s="110">
        <f t="shared" si="31"/>
        <v>0.14681202767140633</v>
      </c>
      <c r="N65" s="110">
        <f t="shared" si="31"/>
        <v>0.15521054222367625</v>
      </c>
      <c r="O65" s="110">
        <f t="shared" si="31"/>
        <v>0.16357336036164721</v>
      </c>
      <c r="P65" s="110">
        <f t="shared" si="31"/>
        <v>0.17190048208531919</v>
      </c>
      <c r="Q65" s="110">
        <f t="shared" si="31"/>
        <v>0.18019190739469221</v>
      </c>
      <c r="R65" s="110">
        <f t="shared" si="31"/>
        <v>0.18844763628976624</v>
      </c>
      <c r="S65" s="110">
        <f t="shared" si="31"/>
        <v>0.19666766877054129</v>
      </c>
      <c r="T65" s="110">
        <f t="shared" si="31"/>
        <v>0.2048520048370174</v>
      </c>
      <c r="U65" s="110">
        <f t="shared" si="31"/>
        <v>0.21300064448919451</v>
      </c>
      <c r="V65" s="110">
        <f t="shared" si="31"/>
        <v>0.22111358772707262</v>
      </c>
      <c r="W65" s="110">
        <f t="shared" si="31"/>
        <v>0.22919083455065178</v>
      </c>
      <c r="X65" s="110">
        <f t="shared" si="31"/>
        <v>0.24229151131688703</v>
      </c>
      <c r="Y65" s="110">
        <f t="shared" si="31"/>
        <v>0.2553352969228333</v>
      </c>
      <c r="Z65" s="110">
        <f t="shared" si="31"/>
        <v>0.26832219136849056</v>
      </c>
      <c r="AA65" s="110">
        <f t="shared" si="31"/>
        <v>0.28125219465385876</v>
      </c>
      <c r="AB65" s="110">
        <f t="shared" si="31"/>
        <v>0.29412530677893806</v>
      </c>
      <c r="AC65" s="110">
        <f t="shared" si="31"/>
        <v>0.30694152774372835</v>
      </c>
      <c r="AD65" s="110">
        <f t="shared" si="31"/>
        <v>0.31970085754822963</v>
      </c>
      <c r="AE65" s="110">
        <f t="shared" si="31"/>
        <v>0.33240329619244191</v>
      </c>
      <c r="AF65" s="110">
        <f t="shared" si="31"/>
        <v>0.34504884367636518</v>
      </c>
      <c r="AG65" s="110">
        <f t="shared" si="31"/>
        <v>0.35763749999999994</v>
      </c>
      <c r="AH65" s="245"/>
      <c r="AI65" s="133"/>
      <c r="AJ65" s="211"/>
      <c r="AL65" s="108"/>
      <c r="AM65" s="2"/>
      <c r="AN65" s="2"/>
      <c r="AO65" s="2"/>
      <c r="AV65" s="41"/>
    </row>
    <row r="66" spans="1:63" outlineLevel="1" x14ac:dyDescent="0.2">
      <c r="A66" t="s">
        <v>1624</v>
      </c>
      <c r="B66" s="176" t="s">
        <v>462</v>
      </c>
      <c r="C66" s="110">
        <f>SUM(C64:C65)</f>
        <v>0.16620438979694968</v>
      </c>
      <c r="D66" s="110">
        <f t="shared" ref="D66:AG66" si="32">SUM(D64:D65)</f>
        <v>0.17346359264332484</v>
      </c>
      <c r="E66" s="110">
        <f t="shared" si="32"/>
        <v>0.18069226566168112</v>
      </c>
      <c r="F66" s="110">
        <f t="shared" si="32"/>
        <v>0.18789040885201852</v>
      </c>
      <c r="G66" s="110">
        <f t="shared" si="32"/>
        <v>0.19505802221433713</v>
      </c>
      <c r="H66" s="110">
        <f t="shared" si="32"/>
        <v>0.20219510574863683</v>
      </c>
      <c r="I66" s="110">
        <f t="shared" si="32"/>
        <v>0.20930165945491769</v>
      </c>
      <c r="J66" s="110">
        <f t="shared" si="32"/>
        <v>0.21637768333317964</v>
      </c>
      <c r="K66" s="110">
        <f t="shared" si="32"/>
        <v>0.22342317738342277</v>
      </c>
      <c r="L66" s="110">
        <f t="shared" si="32"/>
        <v>0.23043814160564702</v>
      </c>
      <c r="M66" s="110">
        <f t="shared" si="32"/>
        <v>0.23742257599985242</v>
      </c>
      <c r="N66" s="110">
        <f t="shared" si="32"/>
        <v>0.25261774829472972</v>
      </c>
      <c r="O66" s="110">
        <f t="shared" si="32"/>
        <v>0.26774857310593653</v>
      </c>
      <c r="P66" s="110">
        <f t="shared" si="32"/>
        <v>0.28281505043347277</v>
      </c>
      <c r="Q66" s="110">
        <f t="shared" si="32"/>
        <v>0.2978171802773385</v>
      </c>
      <c r="R66" s="110">
        <f t="shared" si="32"/>
        <v>0.31275496263753377</v>
      </c>
      <c r="S66" s="110">
        <f t="shared" si="32"/>
        <v>0.32762839751405848</v>
      </c>
      <c r="T66" s="110">
        <f t="shared" si="32"/>
        <v>0.34243748490691261</v>
      </c>
      <c r="U66" s="110">
        <f t="shared" si="32"/>
        <v>0.35718222481609629</v>
      </c>
      <c r="V66" s="110">
        <f t="shared" si="32"/>
        <v>0.37186261724160941</v>
      </c>
      <c r="W66" s="110">
        <f t="shared" si="32"/>
        <v>0.38647866218345206</v>
      </c>
      <c r="X66" s="110">
        <f t="shared" si="32"/>
        <v>0.41137017863835756</v>
      </c>
      <c r="Y66" s="110">
        <f t="shared" si="32"/>
        <v>0.43615402988598651</v>
      </c>
      <c r="Z66" s="110">
        <f t="shared" si="32"/>
        <v>0.46083021592633888</v>
      </c>
      <c r="AA66" s="110">
        <f t="shared" si="32"/>
        <v>0.48539873675941475</v>
      </c>
      <c r="AB66" s="110">
        <f t="shared" si="32"/>
        <v>0.50985959238521406</v>
      </c>
      <c r="AC66" s="110">
        <f t="shared" si="32"/>
        <v>0.53421278280373685</v>
      </c>
      <c r="AD66" s="110">
        <f t="shared" si="32"/>
        <v>0.5584583080149832</v>
      </c>
      <c r="AE66" s="110">
        <f t="shared" si="32"/>
        <v>0.58259616801895286</v>
      </c>
      <c r="AF66" s="110">
        <f t="shared" si="32"/>
        <v>0.60662636281564586</v>
      </c>
      <c r="AG66" s="110">
        <f t="shared" si="32"/>
        <v>0.63054889240506329</v>
      </c>
      <c r="AI66" s="133"/>
      <c r="AJ66" s="211"/>
      <c r="AL66" s="108"/>
      <c r="AM66" s="2"/>
      <c r="AN66" s="2"/>
      <c r="AO66" s="2"/>
    </row>
    <row r="67" spans="1:63" outlineLevel="1" x14ac:dyDescent="0.2">
      <c r="A67" t="s">
        <v>1625</v>
      </c>
      <c r="B67" s="54" t="s">
        <v>462</v>
      </c>
      <c r="C67" s="110">
        <f>C$63*C58</f>
        <v>1.2787131671500866E-2</v>
      </c>
      <c r="D67" s="110">
        <f t="shared" ref="D67:AG70" si="33">D$63*D58</f>
        <v>1.2955983952077187E-2</v>
      </c>
      <c r="E67" s="110">
        <f t="shared" si="33"/>
        <v>1.3107383969124829E-2</v>
      </c>
      <c r="F67" s="110">
        <f t="shared" si="33"/>
        <v>1.3241432470068964E-2</v>
      </c>
      <c r="G67" s="110">
        <f t="shared" si="33"/>
        <v>1.3358230202334757E-2</v>
      </c>
      <c r="H67" s="110">
        <f t="shared" si="33"/>
        <v>1.3457877913347377E-2</v>
      </c>
      <c r="I67" s="110">
        <f t="shared" si="33"/>
        <v>1.3540476350531992E-2</v>
      </c>
      <c r="J67" s="110">
        <f t="shared" si="33"/>
        <v>1.3606126261313772E-2</v>
      </c>
      <c r="K67" s="110">
        <f t="shared" si="33"/>
        <v>1.3654928393117889E-2</v>
      </c>
      <c r="L67" s="110">
        <f t="shared" si="33"/>
        <v>1.3686983493369506E-2</v>
      </c>
      <c r="M67" s="110">
        <f t="shared" si="33"/>
        <v>1.3702392309493792E-2</v>
      </c>
      <c r="N67" s="110">
        <f t="shared" si="33"/>
        <v>1.4149963883145458E-2</v>
      </c>
      <c r="O67" s="110">
        <f t="shared" si="33"/>
        <v>1.455796529065039E-2</v>
      </c>
      <c r="P67" s="110">
        <f t="shared" si="33"/>
        <v>1.4926628556381711E-2</v>
      </c>
      <c r="Q67" s="110">
        <f t="shared" si="33"/>
        <v>1.525618570471253E-2</v>
      </c>
      <c r="R67" s="110">
        <f t="shared" si="33"/>
        <v>1.5546868760015965E-2</v>
      </c>
      <c r="S67" s="110">
        <f t="shared" si="33"/>
        <v>1.5798909746665132E-2</v>
      </c>
      <c r="T67" s="110">
        <f t="shared" si="33"/>
        <v>1.6012540689033149E-2</v>
      </c>
      <c r="U67" s="110">
        <f t="shared" si="33"/>
        <v>1.6187993611493125E-2</v>
      </c>
      <c r="V67" s="110">
        <f t="shared" si="33"/>
        <v>1.6325500538418181E-2</v>
      </c>
      <c r="W67" s="110">
        <f t="shared" si="33"/>
        <v>1.6425293494181432E-2</v>
      </c>
      <c r="X67" s="110">
        <f t="shared" si="33"/>
        <v>1.6839212798621449E-2</v>
      </c>
      <c r="Y67" s="110">
        <f t="shared" si="33"/>
        <v>1.7192532409729473E-2</v>
      </c>
      <c r="Z67" s="110">
        <f t="shared" si="33"/>
        <v>1.7485622116350148E-2</v>
      </c>
      <c r="AA67" s="110">
        <f t="shared" si="33"/>
        <v>1.7718851707328127E-2</v>
      </c>
      <c r="AB67" s="110">
        <f t="shared" si="33"/>
        <v>1.7892590971508068E-2</v>
      </c>
      <c r="AC67" s="110">
        <f t="shared" si="33"/>
        <v>1.8007209697734616E-2</v>
      </c>
      <c r="AD67" s="110">
        <f t="shared" si="33"/>
        <v>1.8063077674852431E-2</v>
      </c>
      <c r="AE67" s="110">
        <f t="shared" si="33"/>
        <v>1.8060564691706169E-2</v>
      </c>
      <c r="AF67" s="110">
        <f t="shared" si="33"/>
        <v>1.8000040537140473E-2</v>
      </c>
      <c r="AG67" s="110">
        <f t="shared" si="33"/>
        <v>1.7881874999999998E-2</v>
      </c>
      <c r="AI67" s="133"/>
      <c r="AJ67" s="211"/>
      <c r="AL67" s="108"/>
      <c r="AM67" s="2"/>
      <c r="AN67" s="2"/>
      <c r="AO67" s="2"/>
    </row>
    <row r="68" spans="1:63" outlineLevel="1" x14ac:dyDescent="0.2">
      <c r="A68" t="s">
        <v>1626</v>
      </c>
      <c r="B68" s="54" t="s">
        <v>462</v>
      </c>
      <c r="C68" s="110">
        <f t="shared" ref="C68:R70" si="34">C$63*C59</f>
        <v>1.5335340141513009E-2</v>
      </c>
      <c r="D68" s="110">
        <f t="shared" si="34"/>
        <v>1.5836203107560017E-2</v>
      </c>
      <c r="E68" s="110">
        <f t="shared" si="34"/>
        <v>1.6334928403898753E-2</v>
      </c>
      <c r="F68" s="110">
        <f t="shared" si="34"/>
        <v>1.6831516030529219E-2</v>
      </c>
      <c r="G68" s="110">
        <f t="shared" si="34"/>
        <v>1.7325965987451421E-2</v>
      </c>
      <c r="H68" s="110">
        <f t="shared" si="34"/>
        <v>1.7818278274665349E-2</v>
      </c>
      <c r="I68" s="110">
        <f t="shared" si="34"/>
        <v>1.8308452892171007E-2</v>
      </c>
      <c r="J68" s="110">
        <f t="shared" si="34"/>
        <v>1.8796489839968393E-2</v>
      </c>
      <c r="K68" s="110">
        <f t="shared" si="34"/>
        <v>1.9282389118057516E-2</v>
      </c>
      <c r="L68" s="110">
        <f t="shared" si="34"/>
        <v>1.9766150726438361E-2</v>
      </c>
      <c r="M68" s="110">
        <f t="shared" si="34"/>
        <v>2.0247774665110938E-2</v>
      </c>
      <c r="N68" s="110">
        <f t="shared" si="34"/>
        <v>2.1406066890027442E-2</v>
      </c>
      <c r="O68" s="110">
        <f t="shared" si="34"/>
        <v>2.2559435996827928E-2</v>
      </c>
      <c r="P68" s="110">
        <f t="shared" si="34"/>
        <v>2.3707881985512404E-2</v>
      </c>
      <c r="Q68" s="110">
        <f t="shared" si="34"/>
        <v>2.485140485608086E-2</v>
      </c>
      <c r="R68" s="110">
        <f t="shared" si="34"/>
        <v>2.5990004608533301E-2</v>
      </c>
      <c r="S68" s="110">
        <f t="shared" si="33"/>
        <v>2.7123681242869728E-2</v>
      </c>
      <c r="T68" s="110">
        <f t="shared" si="33"/>
        <v>2.8252434759090141E-2</v>
      </c>
      <c r="U68" s="110">
        <f t="shared" si="33"/>
        <v>2.9376265157194537E-2</v>
      </c>
      <c r="V68" s="110">
        <f t="shared" si="33"/>
        <v>3.0495172437182916E-2</v>
      </c>
      <c r="W68" s="110">
        <f t="shared" si="33"/>
        <v>3.1609156599055277E-2</v>
      </c>
      <c r="X68" s="110">
        <f t="shared" si="33"/>
        <v>3.3415953735028953E-2</v>
      </c>
      <c r="Y68" s="110">
        <f t="shared" si="33"/>
        <v>3.5214904651505237E-2</v>
      </c>
      <c r="Z68" s="110">
        <f t="shared" si="33"/>
        <v>3.7006009348484109E-2</v>
      </c>
      <c r="AA68" s="110">
        <f t="shared" si="33"/>
        <v>3.8789267825965583E-2</v>
      </c>
      <c r="AB68" s="110">
        <f t="shared" si="33"/>
        <v>4.0564680083949679E-2</v>
      </c>
      <c r="AC68" s="110">
        <f t="shared" si="33"/>
        <v>4.233224612243635E-2</v>
      </c>
      <c r="AD68" s="110">
        <f t="shared" si="33"/>
        <v>4.4091965941425629E-2</v>
      </c>
      <c r="AE68" s="110">
        <f t="shared" si="33"/>
        <v>4.5843839540917503E-2</v>
      </c>
      <c r="AF68" s="110">
        <f t="shared" si="33"/>
        <v>4.7587866920911978E-2</v>
      </c>
      <c r="AG68" s="110">
        <f t="shared" si="33"/>
        <v>4.9324048081409118E-2</v>
      </c>
      <c r="AI68" s="133"/>
      <c r="AJ68" s="211"/>
      <c r="AL68" s="108"/>
      <c r="AM68" s="2"/>
      <c r="AN68" s="2"/>
      <c r="AO68" s="2"/>
      <c r="BC68" s="1"/>
      <c r="BD68" s="2"/>
      <c r="BE68" s="2"/>
      <c r="BF68" s="2"/>
      <c r="BG68" s="2"/>
      <c r="BH68" s="2"/>
      <c r="BI68" s="2"/>
      <c r="BJ68" s="2"/>
      <c r="BK68" s="2"/>
    </row>
    <row r="69" spans="1:63" outlineLevel="1" x14ac:dyDescent="0.2">
      <c r="A69" t="s">
        <v>1627</v>
      </c>
      <c r="C69" s="110">
        <f t="shared" si="34"/>
        <v>1.2070088032108959E-2</v>
      </c>
      <c r="D69" s="110">
        <f t="shared" si="33"/>
        <v>1.2464305573840911E-2</v>
      </c>
      <c r="E69" s="110">
        <f t="shared" si="33"/>
        <v>1.2856840605675835E-2</v>
      </c>
      <c r="F69" s="110">
        <f t="shared" si="33"/>
        <v>1.324769312761373E-2</v>
      </c>
      <c r="G69" s="110">
        <f t="shared" si="33"/>
        <v>1.3636863139654598E-2</v>
      </c>
      <c r="H69" s="110">
        <f t="shared" si="33"/>
        <v>1.4024350641798435E-2</v>
      </c>
      <c r="I69" s="110">
        <f t="shared" si="33"/>
        <v>1.4410155634045246E-2</v>
      </c>
      <c r="J69" s="110">
        <f t="shared" si="33"/>
        <v>1.4794278116395028E-2</v>
      </c>
      <c r="K69" s="110">
        <f t="shared" si="33"/>
        <v>1.5176718088847784E-2</v>
      </c>
      <c r="L69" s="110">
        <f t="shared" si="33"/>
        <v>1.5557475551403509E-2</v>
      </c>
      <c r="M69" s="110">
        <f t="shared" si="33"/>
        <v>1.5936550504062206E-2</v>
      </c>
      <c r="N69" s="110">
        <f t="shared" si="33"/>
        <v>1.6848215259629224E-2</v>
      </c>
      <c r="O69" s="110">
        <f t="shared" si="33"/>
        <v>1.775600514391824E-2</v>
      </c>
      <c r="P69" s="110">
        <f t="shared" si="33"/>
        <v>1.8659920156929247E-2</v>
      </c>
      <c r="Q69" s="110">
        <f t="shared" si="33"/>
        <v>1.9559960298662256E-2</v>
      </c>
      <c r="R69" s="110">
        <f t="shared" si="33"/>
        <v>2.0456125569117255E-2</v>
      </c>
      <c r="S69" s="110">
        <f t="shared" si="33"/>
        <v>2.1348415968294253E-2</v>
      </c>
      <c r="T69" s="110">
        <f t="shared" si="33"/>
        <v>2.2236831496193248E-2</v>
      </c>
      <c r="U69" s="110">
        <f t="shared" si="33"/>
        <v>2.3121372152814231E-2</v>
      </c>
      <c r="V69" s="110">
        <f t="shared" si="33"/>
        <v>2.4002037938157219E-2</v>
      </c>
      <c r="W69" s="110">
        <f t="shared" si="33"/>
        <v>2.4878828852222194E-2</v>
      </c>
      <c r="X69" s="110">
        <f t="shared" si="33"/>
        <v>2.6300916675910533E-2</v>
      </c>
      <c r="Y69" s="110">
        <f t="shared" si="33"/>
        <v>2.7716828923499554E-2</v>
      </c>
      <c r="Z69" s="110">
        <f t="shared" si="33"/>
        <v>2.9126565594989249E-2</v>
      </c>
      <c r="AA69" s="110">
        <f t="shared" si="33"/>
        <v>3.0530126690379623E-2</v>
      </c>
      <c r="AB69" s="110">
        <f t="shared" si="33"/>
        <v>3.1927512209670689E-2</v>
      </c>
      <c r="AC69" s="110">
        <f t="shared" si="33"/>
        <v>3.3318722152862419E-2</v>
      </c>
      <c r="AD69" s="110">
        <f t="shared" si="33"/>
        <v>3.4703756519954845E-2</v>
      </c>
      <c r="AE69" s="110">
        <f t="shared" si="33"/>
        <v>3.6082615310947939E-2</v>
      </c>
      <c r="AF69" s="110">
        <f t="shared" si="33"/>
        <v>3.7455298525841715E-2</v>
      </c>
      <c r="AG69" s="110">
        <f t="shared" si="33"/>
        <v>3.8821806164636229E-2</v>
      </c>
      <c r="AI69" s="133"/>
      <c r="AJ69" s="211"/>
      <c r="AL69" s="108"/>
      <c r="AM69" s="2"/>
      <c r="AN69" s="2"/>
      <c r="AO69" s="2"/>
      <c r="BC69" s="1"/>
      <c r="BD69" s="2"/>
      <c r="BE69" s="2"/>
      <c r="BF69" s="2"/>
      <c r="BG69" s="2"/>
      <c r="BH69" s="2"/>
      <c r="BI69" s="2"/>
      <c r="BJ69" s="2"/>
      <c r="BK69" s="2"/>
    </row>
    <row r="70" spans="1:63" outlineLevel="1" x14ac:dyDescent="0.2">
      <c r="A70" t="s">
        <v>1628</v>
      </c>
      <c r="B70" s="54" t="s">
        <v>462</v>
      </c>
      <c r="C70" s="110">
        <f t="shared" si="34"/>
        <v>7.1000517835935043E-2</v>
      </c>
      <c r="D70" s="110">
        <f t="shared" si="33"/>
        <v>7.356822896139617E-2</v>
      </c>
      <c r="E70" s="110">
        <f t="shared" si="33"/>
        <v>7.6141712771150893E-2</v>
      </c>
      <c r="F70" s="110">
        <f t="shared" si="33"/>
        <v>7.8720868517774115E-2</v>
      </c>
      <c r="G70" s="110">
        <f t="shared" si="33"/>
        <v>8.1305595453840626E-2</v>
      </c>
      <c r="H70" s="110">
        <f t="shared" si="33"/>
        <v>8.3895792831925262E-2</v>
      </c>
      <c r="I70" s="110">
        <f t="shared" si="33"/>
        <v>8.6491359904602827E-2</v>
      </c>
      <c r="J70" s="110">
        <f t="shared" si="33"/>
        <v>8.9092195924448211E-2</v>
      </c>
      <c r="K70" s="110">
        <f t="shared" si="33"/>
        <v>9.1698200144036221E-2</v>
      </c>
      <c r="L70" s="110">
        <f t="shared" si="33"/>
        <v>9.4309271815941675E-2</v>
      </c>
      <c r="M70" s="110">
        <f t="shared" si="33"/>
        <v>9.6925310192739395E-2</v>
      </c>
      <c r="N70" s="110">
        <f t="shared" si="33"/>
        <v>0.10280629619087414</v>
      </c>
      <c r="O70" s="110">
        <f t="shared" si="33"/>
        <v>0.10869995393025066</v>
      </c>
      <c r="P70" s="110">
        <f t="shared" si="33"/>
        <v>0.11460605138649584</v>
      </c>
      <c r="Q70" s="110">
        <f t="shared" si="33"/>
        <v>0.12052435653523656</v>
      </c>
      <c r="R70" s="110">
        <f t="shared" si="33"/>
        <v>0.12645463735209969</v>
      </c>
      <c r="S70" s="110">
        <f t="shared" si="33"/>
        <v>0.13239666181271217</v>
      </c>
      <c r="T70" s="110">
        <f t="shared" si="33"/>
        <v>0.13835019789270087</v>
      </c>
      <c r="U70" s="110">
        <f t="shared" si="33"/>
        <v>0.14431501356769261</v>
      </c>
      <c r="V70" s="110">
        <f t="shared" si="33"/>
        <v>0.15029087681331429</v>
      </c>
      <c r="W70" s="110">
        <f t="shared" si="33"/>
        <v>0.15627755560519288</v>
      </c>
      <c r="X70" s="110">
        <f t="shared" si="33"/>
        <v>0.16573542810732605</v>
      </c>
      <c r="Y70" s="110">
        <f t="shared" si="33"/>
        <v>0.175211030938099</v>
      </c>
      <c r="Z70" s="110">
        <f t="shared" si="33"/>
        <v>0.18470399430866702</v>
      </c>
      <c r="AA70" s="110">
        <f t="shared" si="33"/>
        <v>0.19421394843018544</v>
      </c>
      <c r="AB70" s="110">
        <f t="shared" si="33"/>
        <v>0.20374052351380967</v>
      </c>
      <c r="AC70" s="110">
        <f t="shared" si="33"/>
        <v>0.21328334977069491</v>
      </c>
      <c r="AD70" s="110">
        <f t="shared" si="33"/>
        <v>0.22284205741199672</v>
      </c>
      <c r="AE70" s="110">
        <f t="shared" si="33"/>
        <v>0.2324162766488703</v>
      </c>
      <c r="AF70" s="110">
        <f t="shared" si="33"/>
        <v>0.24200563769247102</v>
      </c>
      <c r="AG70" s="110">
        <f t="shared" si="33"/>
        <v>0.25160977075395458</v>
      </c>
      <c r="AH70" s="245"/>
      <c r="AI70" s="133"/>
      <c r="AJ70" s="211"/>
      <c r="AL70" s="108"/>
      <c r="AM70" s="2"/>
      <c r="AN70" s="2"/>
      <c r="AO70" s="2"/>
      <c r="BC70" s="1"/>
      <c r="BD70" s="2"/>
      <c r="BE70" s="2"/>
      <c r="BF70" s="2"/>
      <c r="BG70" s="2"/>
      <c r="BH70" s="2"/>
      <c r="BI70" s="2"/>
      <c r="BJ70" s="2"/>
      <c r="BK70" s="2"/>
    </row>
    <row r="71" spans="1:63" outlineLevel="1" x14ac:dyDescent="0.2">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x14ac:dyDescent="0.2">
      <c r="A72" s="1" t="s">
        <v>228</v>
      </c>
      <c r="B72" s="65"/>
      <c r="C72" s="300">
        <f>'BTX Recycling HC'!C72</f>
        <v>1.7241276355314636</v>
      </c>
      <c r="D72" s="300">
        <f>'BTX Recycling HC'!D72</f>
        <v>1.8823154497745913</v>
      </c>
      <c r="E72" s="300">
        <f>'BTX Recycling HC'!E72</f>
        <v>2.0312888485342735</v>
      </c>
      <c r="F72" s="300">
        <f>'BTX Recycling HC'!F72</f>
        <v>2.183391521530726</v>
      </c>
      <c r="G72" s="300">
        <f>'BTX Recycling HC'!G72</f>
        <v>2.3329414542171252</v>
      </c>
      <c r="H72" s="300">
        <f>'BTX Recycling HC'!H72</f>
        <v>2.4787498239634331</v>
      </c>
      <c r="I72" s="300">
        <f>'BTX Recycling HC'!I72</f>
        <v>2.6252875762190175</v>
      </c>
      <c r="J72" s="300">
        <f>'BTX Recycling HC'!J72</f>
        <v>2.7723021708877931</v>
      </c>
      <c r="K72" s="300">
        <f>'BTX Recycling HC'!K72</f>
        <v>2.9195338099857957</v>
      </c>
      <c r="L72" s="300">
        <f>'BTX Recycling HC'!L72</f>
        <v>3.0667159991583701</v>
      </c>
      <c r="M72" s="300">
        <f>'BTX Recycling HC'!M72</f>
        <v>3.2135761450209666</v>
      </c>
      <c r="N72" s="300">
        <f>'BTX Recycling HC'!N72</f>
        <v>3.4183892693550213</v>
      </c>
      <c r="O72" s="300">
        <f>'BTX Recycling HC'!O72</f>
        <v>3.6076117957972933</v>
      </c>
      <c r="P72" s="300">
        <f>'BTX Recycling HC'!P72</f>
        <v>3.7796254935044957</v>
      </c>
      <c r="Q72" s="300">
        <f>'BTX Recycling HC'!Q72</f>
        <v>3.9329519508552973</v>
      </c>
      <c r="R72" s="300">
        <f>'BTX Recycling HC'!R72</f>
        <v>4.0662714936535069</v>
      </c>
      <c r="S72" s="300">
        <f>'BTX Recycling HC'!S72</f>
        <v>4.1859684326176447</v>
      </c>
      <c r="T72" s="300">
        <f>'BTX Recycling HC'!T72</f>
        <v>4.2916347450030132</v>
      </c>
      <c r="U72" s="300">
        <f>'BTX Recycling HC'!U72</f>
        <v>4.3828654149360871</v>
      </c>
      <c r="V72" s="300">
        <f>'BTX Recycling HC'!V72</f>
        <v>4.4592587973617483</v>
      </c>
      <c r="W72" s="300">
        <f>'BTX Recycling HC'!W72</f>
        <v>4.520416984172515</v>
      </c>
      <c r="X72" s="300">
        <f>'BTX Recycling HC'!X72</f>
        <v>4.7115215086837985</v>
      </c>
      <c r="Y72" s="300">
        <f>'BTX Recycling HC'!Y72</f>
        <v>4.8764232544589108</v>
      </c>
      <c r="Z72" s="300">
        <f>'BTX Recycling HC'!Z72</f>
        <v>5.0144248175287958</v>
      </c>
      <c r="AA72" s="300">
        <f>'BTX Recycling HC'!AA72</f>
        <v>5.124834990374846</v>
      </c>
      <c r="AB72" s="300">
        <f>'BTX Recycling HC'!AB72</f>
        <v>5.2069693423222283</v>
      </c>
      <c r="AC72" s="300">
        <f>'BTX Recycling HC'!AC72</f>
        <v>5.2602005328746495</v>
      </c>
      <c r="AD72" s="300">
        <f>'BTX Recycling HC'!AD72</f>
        <v>5.2838601703676824</v>
      </c>
      <c r="AE72" s="300">
        <f>'BTX Recycling HC'!AE72</f>
        <v>5.2772866758047385</v>
      </c>
      <c r="AF72" s="300">
        <f>'BTX Recycling HC'!AF72</f>
        <v>5.2398258035783938</v>
      </c>
      <c r="AG72" s="300">
        <f>'BTX Recycling HC'!AG72</f>
        <v>5.1708311634822977</v>
      </c>
      <c r="AH72" s="245"/>
      <c r="AI72" s="423"/>
      <c r="AJ72" s="424"/>
      <c r="AL72" s="221"/>
      <c r="AM72" s="124"/>
      <c r="AN72" s="124"/>
      <c r="AO72" s="124"/>
      <c r="BD72" s="124"/>
      <c r="BE72" s="124"/>
      <c r="BF72" s="124"/>
      <c r="BG72" s="124"/>
      <c r="BH72" s="124"/>
      <c r="BI72" s="124"/>
      <c r="BJ72" s="124"/>
      <c r="BK72" s="124"/>
    </row>
    <row r="73" spans="1:63" outlineLevel="1" x14ac:dyDescent="0.2">
      <c r="A73" s="4" t="s">
        <v>474</v>
      </c>
      <c r="C73" s="230">
        <f>C$72*'BTX recycling rates'!E38</f>
        <v>1.7181013558325287</v>
      </c>
      <c r="D73" s="230">
        <f>D$72*'BTX recycling rates'!F38</f>
        <v>1.8506357106602207</v>
      </c>
      <c r="E73" s="230">
        <f>E$72*'BTX recycling rates'!G38</f>
        <v>1.9700147560735266</v>
      </c>
      <c r="F73" s="230">
        <f>F$72*'BTX recycling rates'!H38</f>
        <v>2.0884138513577657</v>
      </c>
      <c r="G73" s="230">
        <f>G$72*'BTX recycling rates'!I38</f>
        <v>2.2003487332550997</v>
      </c>
      <c r="H73" s="230">
        <f>H$72*'BTX recycling rates'!J38</f>
        <v>2.3048161206040332</v>
      </c>
      <c r="I73" s="230">
        <f>I$72*'BTX recycling rates'!K38</f>
        <v>2.4060632936404676</v>
      </c>
      <c r="J73" s="230">
        <f>J$72*'BTX recycling rates'!L38</f>
        <v>2.5038329893983278</v>
      </c>
      <c r="K73" s="230">
        <f>K$72*'BTX recycling rates'!M38</f>
        <v>2.5978749570810757</v>
      </c>
      <c r="L73" s="230">
        <f>L$72*'BTX recycling rates'!N38</f>
        <v>2.6879469341433602</v>
      </c>
      <c r="M73" s="230">
        <f>M$72*'BTX recycling rates'!O38</f>
        <v>2.7738156083672418</v>
      </c>
      <c r="N73" s="230">
        <f>N$72*'BTX recycling rates'!P38</f>
        <v>2.9050171693249522</v>
      </c>
      <c r="O73" s="230">
        <f>O$72*'BTX recycling rates'!Q38</f>
        <v>3.0177150818754601</v>
      </c>
      <c r="P73" s="230">
        <f>P$72*'BTX recycling rates'!R38</f>
        <v>3.1112009970865797</v>
      </c>
      <c r="Q73" s="230">
        <f>Q$72*'BTX recycling rates'!S38</f>
        <v>3.1849661098255604</v>
      </c>
      <c r="R73" s="230">
        <f>R$72*'BTX recycling rates'!T38</f>
        <v>3.2387069043432977</v>
      </c>
      <c r="S73" s="230">
        <f>S$72*'BTX recycling rates'!U38</f>
        <v>3.2782235993951265</v>
      </c>
      <c r="T73" s="230">
        <f>T$72*'BTX recycling rates'!V38</f>
        <v>3.3037470641876463</v>
      </c>
      <c r="U73" s="230">
        <f>U$72*'BTX recycling rates'!W38</f>
        <v>3.3155322063778359</v>
      </c>
      <c r="V73" s="230">
        <f>V$72*'BTX recycling rates'!X38</f>
        <v>3.3138580420550268</v>
      </c>
      <c r="W73" s="230">
        <f>W$72*'BTX recycling rates'!Y38</f>
        <v>3.2990277381960387</v>
      </c>
      <c r="X73" s="230">
        <f>X$72*'BTX recycling rates'!Z38</f>
        <v>3.3756691534264296</v>
      </c>
      <c r="Y73" s="230">
        <f>Y$72*'BTX recycling rates'!AA38</f>
        <v>3.4287897141413888</v>
      </c>
      <c r="Z73" s="230">
        <f>Z$72*'BTX recycling rates'!AB38</f>
        <v>3.4589565871376222</v>
      </c>
      <c r="AA73" s="230">
        <f>AA$72*'BTX recycling rates'!AC38</f>
        <v>3.4667783302441983</v>
      </c>
      <c r="AB73" s="230">
        <f>AB$72*'BTX recycling rates'!AD38</f>
        <v>3.4529048640533149</v>
      </c>
      <c r="AC73" s="230">
        <f>AC$72*'BTX recycling rates'!AE38</f>
        <v>3.4180597135035842</v>
      </c>
      <c r="AD73" s="230">
        <f>AD$72*'BTX recycling rates'!AF38</f>
        <v>3.3629737382195115</v>
      </c>
      <c r="AE73" s="230">
        <f>AE$72*'BTX recycling rates'!AG38</f>
        <v>3.2884176948137798</v>
      </c>
      <c r="AF73" s="230">
        <f>AF$72*'BTX recycling rates'!AH38</f>
        <v>3.1952021001864099</v>
      </c>
      <c r="AG73" s="230">
        <f>AG$72*'BTX recycling rates'!AI38</f>
        <v>3.0841770539309858</v>
      </c>
      <c r="AH73" s="245"/>
      <c r="AI73" s="133"/>
      <c r="AJ73" s="211"/>
      <c r="AL73" s="108"/>
      <c r="AM73" s="2"/>
      <c r="AN73" s="2"/>
      <c r="AO73" s="2"/>
      <c r="BC73" s="1"/>
      <c r="BD73" s="2"/>
      <c r="BE73" s="2"/>
      <c r="BF73" s="2"/>
      <c r="BG73" s="2"/>
      <c r="BH73" s="2"/>
      <c r="BI73" s="2"/>
      <c r="BJ73" s="2"/>
      <c r="BK73" s="2"/>
    </row>
    <row r="74" spans="1:63" outlineLevel="1" x14ac:dyDescent="0.2">
      <c r="A74" s="4" t="s">
        <v>478</v>
      </c>
      <c r="C74" s="230">
        <f>C$72*'BTX recycling rates'!E39</f>
        <v>6.0262796989348022E-3</v>
      </c>
      <c r="D74" s="230">
        <f>D$72*'BTX recycling rates'!F39</f>
        <v>2.66085597492569E-2</v>
      </c>
      <c r="E74" s="230">
        <f>E$72*'BTX recycling rates'!G39</f>
        <v>5.0329029990472667E-2</v>
      </c>
      <c r="F74" s="230">
        <f>F$72*'BTX recycling rates'!H39</f>
        <v>7.7330728958175859E-2</v>
      </c>
      <c r="G74" s="230">
        <f>G$72*'BTX recycling rates'!I39</f>
        <v>0.1074518455278658</v>
      </c>
      <c r="H74" s="230">
        <f>H$72*'BTX recycling rates'!J39</f>
        <v>0.1405434845199704</v>
      </c>
      <c r="I74" s="230">
        <f>I$72*'BTX recycling rates'!K39</f>
        <v>0.17678728026120022</v>
      </c>
      <c r="J74" s="230">
        <f>J$72*'BTX recycling rates'!L39</f>
        <v>0.21618682310376133</v>
      </c>
      <c r="K74" s="230">
        <f>K$72*'BTX recycling rates'!M39</f>
        <v>0.25873431126224572</v>
      </c>
      <c r="L74" s="230">
        <f>L$72*'BTX recycling rates'!N39</f>
        <v>0.30441022040204968</v>
      </c>
      <c r="M74" s="230">
        <f>M$72*'BTX recycling rates'!O39</f>
        <v>0.35318301301493477</v>
      </c>
      <c r="N74" s="230">
        <f>N$72*'BTX recycling rates'!P39</f>
        <v>0.41206712673544604</v>
      </c>
      <c r="O74" s="230">
        <f>O$72*'BTX recycling rates'!Q39</f>
        <v>0.47326474451386547</v>
      </c>
      <c r="P74" s="230">
        <f>P$72*'BTX recycling rates'!R39</f>
        <v>0.53604866931275785</v>
      </c>
      <c r="Q74" s="230">
        <f>Q$72*'BTX recycling rates'!S39</f>
        <v>0.59964414468245786</v>
      </c>
      <c r="R74" s="230">
        <f>R$72*'BTX recycling rates'!T39</f>
        <v>0.663239379414851</v>
      </c>
      <c r="S74" s="230">
        <f>S$72*'BTX recycling rates'!U39</f>
        <v>0.72730496706894743</v>
      </c>
      <c r="T74" s="230">
        <f>T$72*'BTX recycling rates'!V39</f>
        <v>0.79133080582972215</v>
      </c>
      <c r="U74" s="230">
        <f>U$72*'BTX recycling rates'!W39</f>
        <v>0.85479001353256778</v>
      </c>
      <c r="V74" s="230">
        <f>V$72*'BTX recycling rates'!X39</f>
        <v>0.9171391624944113</v>
      </c>
      <c r="W74" s="230">
        <f>W$72*'BTX recycling rates'!Y39</f>
        <v>0.97781853805299568</v>
      </c>
      <c r="X74" s="230">
        <f>X$72*'BTX recycling rates'!Z39</f>
        <v>1.0692910922258494</v>
      </c>
      <c r="Y74" s="230">
        <f>Y$72*'BTX recycling rates'!AA39</f>
        <v>1.1586050601529747</v>
      </c>
      <c r="Z74" s="230">
        <f>Z$72*'BTX recycling rates'!AB39</f>
        <v>1.2447508656109736</v>
      </c>
      <c r="AA74" s="230">
        <f>AA$72*'BTX recycling rates'!AC39</f>
        <v>1.3266908526928298</v>
      </c>
      <c r="AB74" s="230">
        <f>AB$72*'BTX recycling rates'!AD39</f>
        <v>1.4033597719094382</v>
      </c>
      <c r="AC74" s="230">
        <f>AC$72*'BTX recycling rates'!AE39</f>
        <v>1.4736792363518239</v>
      </c>
      <c r="AD74" s="230">
        <f>AD$72*'BTX recycling rates'!AF39</f>
        <v>1.5365322198838387</v>
      </c>
      <c r="AE74" s="230">
        <f>AE$72*'BTX recycling rates'!AG39</f>
        <v>1.5907753010366326</v>
      </c>
      <c r="AF74" s="230">
        <f>AF$72*'BTX recycling rates'!AH39</f>
        <v>1.6352391879765205</v>
      </c>
      <c r="AG74" s="230">
        <f>AG$72*'BTX recycling rates'!AI39</f>
        <v>1.6687292771347468</v>
      </c>
      <c r="AH74" s="245"/>
      <c r="AI74" s="133"/>
      <c r="AJ74" s="211"/>
      <c r="AL74" s="108"/>
      <c r="AM74" s="2"/>
      <c r="AN74" s="2"/>
      <c r="AO74" s="2"/>
      <c r="BC74" s="1"/>
      <c r="BD74" s="2"/>
      <c r="BE74" s="2"/>
      <c r="BF74" s="2"/>
      <c r="BG74" s="2"/>
      <c r="BH74" s="2"/>
      <c r="BI74" s="2"/>
      <c r="BJ74" s="2"/>
      <c r="BK74" s="2"/>
    </row>
    <row r="75" spans="1:63" outlineLevel="1" x14ac:dyDescent="0.2">
      <c r="A75" s="4" t="s">
        <v>745</v>
      </c>
      <c r="C75" s="230">
        <f>C$72*'BTX recycling rates'!E40</f>
        <v>0</v>
      </c>
      <c r="D75" s="230">
        <f>D$72*'BTX recycling rates'!F40</f>
        <v>4.6684852004772051E-3</v>
      </c>
      <c r="E75" s="230">
        <f>E$72*'BTX recycling rates'!G40</f>
        <v>1.0075932733179489E-2</v>
      </c>
      <c r="F75" s="230">
        <f>F$72*'BTX recycling rates'!H40</f>
        <v>1.6245626108526447E-2</v>
      </c>
      <c r="G75" s="230">
        <f>G$72*'BTX recycling rates'!I40</f>
        <v>2.3144479112460474E-2</v>
      </c>
      <c r="H75" s="230">
        <f>H$72*'BTX recycling rates'!J40</f>
        <v>3.0738755478643392E-2</v>
      </c>
      <c r="I75" s="230">
        <f>I$72*'BTX recycling rates'!K40</f>
        <v>3.9067148488983079E-2</v>
      </c>
      <c r="J75" s="230">
        <f>J$72*'BTX recycling rates'!L40</f>
        <v>4.8130700729855078E-2</v>
      </c>
      <c r="K75" s="230">
        <f>K$72*'BTX recycling rates'!M40</f>
        <v>5.7927805398797293E-2</v>
      </c>
      <c r="L75" s="230">
        <f>L$72*'BTX recycling rates'!N40</f>
        <v>6.845412883407391E-2</v>
      </c>
      <c r="M75" s="230">
        <f>M$72*'BTX recycling rates'!O40</f>
        <v>7.9702542288719661E-2</v>
      </c>
      <c r="N75" s="230">
        <f>N$72*'BTX recycling rates'!P40</f>
        <v>9.3260508948707715E-2</v>
      </c>
      <c r="O75" s="230">
        <f>O$72*'BTX recycling rates'!Q40</f>
        <v>0.10737041305014106</v>
      </c>
      <c r="P75" s="230">
        <f>P$72*'BTX recycling rates'!R40</f>
        <v>0.12186407643017882</v>
      </c>
      <c r="Q75" s="230">
        <f>Q$72*'BTX recycling rates'!S40</f>
        <v>0.13656212177686</v>
      </c>
      <c r="R75" s="230">
        <f>R$72*'BTX recycling rates'!T40</f>
        <v>0.15127641032365491</v>
      </c>
      <c r="S75" s="230">
        <f>S$72*'BTX recycling rates'!U40</f>
        <v>0.16611142774973603</v>
      </c>
      <c r="T75" s="230">
        <f>T$72*'BTX recycling rates'!V40</f>
        <v>0.18094861093558634</v>
      </c>
      <c r="U75" s="230">
        <f>U$72*'BTX recycling rates'!W40</f>
        <v>0.19566548311534601</v>
      </c>
      <c r="V75" s="230">
        <f>V$72*'BTX recycling rates'!X40</f>
        <v>0.21013570831520695</v>
      </c>
      <c r="W75" s="230">
        <f>W$72*'BTX recycling rates'!Y40</f>
        <v>0.22422915131597473</v>
      </c>
      <c r="X75" s="230">
        <f>X$72*'BTX recycling rates'!Z40</f>
        <v>0.24539406356715682</v>
      </c>
      <c r="Y75" s="230">
        <f>Y$72*'BTX recycling rates'!AA40</f>
        <v>0.26607719526685669</v>
      </c>
      <c r="Z75" s="230">
        <f>Z$72*'BTX recycling rates'!AB40</f>
        <v>0.28604380057756484</v>
      </c>
      <c r="AA75" s="230">
        <f>AA$72*'BTX recycling rates'!AC40</f>
        <v>0.30505258374605954</v>
      </c>
      <c r="AB75" s="230">
        <f>AB$72*'BTX recycling rates'!AD40</f>
        <v>0.32285581193206536</v>
      </c>
      <c r="AC75" s="230">
        <f>AC$72*'BTX recycling rates'!AE40</f>
        <v>0.33920264368940783</v>
      </c>
      <c r="AD75" s="230">
        <f>AD$72*'BTX recycling rates'!AF40</f>
        <v>0.353833264908958</v>
      </c>
      <c r="AE75" s="230">
        <f>AE$72*'BTX recycling rates'!AG40</f>
        <v>0.36648170365565846</v>
      </c>
      <c r="AF75" s="230">
        <f>AF$72*'BTX recycling rates'!AH40</f>
        <v>0.37687595210483782</v>
      </c>
      <c r="AG75" s="230">
        <f>AG$72*'BTX recycling rates'!AI40</f>
        <v>0.38473809632345429</v>
      </c>
      <c r="AH75" s="245"/>
      <c r="AI75" s="133"/>
      <c r="AJ75" s="211"/>
      <c r="AL75" s="108"/>
      <c r="AM75" s="2"/>
      <c r="AN75" s="2"/>
      <c r="AO75" s="2"/>
      <c r="BC75" s="1"/>
      <c r="BD75" s="2"/>
      <c r="BE75" s="2"/>
      <c r="BF75" s="2"/>
      <c r="BG75" s="2"/>
      <c r="BH75" s="2"/>
      <c r="BI75" s="2"/>
      <c r="BJ75" s="2"/>
      <c r="BK75" s="2"/>
    </row>
    <row r="76" spans="1:63" outlineLevel="1" x14ac:dyDescent="0.2">
      <c r="A76" s="4" t="s">
        <v>1561</v>
      </c>
      <c r="C76" s="230">
        <f>C$72*'BTX recycling rates'!E41</f>
        <v>0</v>
      </c>
      <c r="D76" s="230">
        <f>D$72*'BTX recycling rates'!F41</f>
        <v>4.0269416463655747E-4</v>
      </c>
      <c r="E76" s="230">
        <f>E$72*'BTX recycling rates'!G41</f>
        <v>8.6912973709483033E-4</v>
      </c>
      <c r="F76" s="230">
        <f>F$72*'BTX recycling rates'!H41</f>
        <v>1.4013151062580622E-3</v>
      </c>
      <c r="G76" s="230">
        <f>G$72*'BTX recycling rates'!I41</f>
        <v>1.9963963216993452E-3</v>
      </c>
      <c r="H76" s="230">
        <f>H$72*'BTX recycling rates'!J41</f>
        <v>2.6514633607865809E-3</v>
      </c>
      <c r="I76" s="230">
        <f>I$72*'BTX recycling rates'!K41</f>
        <v>3.3698538283671283E-3</v>
      </c>
      <c r="J76" s="230">
        <f>J$72*'BTX recycling rates'!L41</f>
        <v>4.1516576558494707E-3</v>
      </c>
      <c r="K76" s="230">
        <f>K$72*'BTX recycling rates'!M41</f>
        <v>4.9967362436777714E-3</v>
      </c>
      <c r="L76" s="230">
        <f>L$72*'BTX recycling rates'!N41</f>
        <v>5.9047157788875305E-3</v>
      </c>
      <c r="M76" s="230">
        <f>M$72*'BTX recycling rates'!O41</f>
        <v>6.8749813500715547E-3</v>
      </c>
      <c r="N76" s="230">
        <f>N$72*'BTX recycling rates'!P41</f>
        <v>8.0444643459169959E-3</v>
      </c>
      <c r="O76" s="230">
        <f>O$72*'BTX recycling rates'!Q41</f>
        <v>9.2615563578286597E-3</v>
      </c>
      <c r="P76" s="230">
        <f>P$72*'BTX recycling rates'!R41</f>
        <v>1.0511750674981292E-2</v>
      </c>
      <c r="Q76" s="230">
        <f>Q$72*'BTX recycling rates'!S41</f>
        <v>1.1779574570421081E-2</v>
      </c>
      <c r="R76" s="230">
        <f>R$72*'BTX recycling rates'!T41</f>
        <v>1.3048799571705684E-2</v>
      </c>
      <c r="S76" s="230">
        <f>S$72*'BTX recycling rates'!U41</f>
        <v>1.4328438403837754E-2</v>
      </c>
      <c r="T76" s="230">
        <f>T$72*'BTX recycling rates'!V41</f>
        <v>1.5608264050061249E-2</v>
      </c>
      <c r="U76" s="230">
        <f>U$72*'BTX recycling rates'!W41</f>
        <v>1.6877711910340536E-2</v>
      </c>
      <c r="V76" s="230">
        <f>V$72*'BTX recycling rates'!X41</f>
        <v>1.8125884497107059E-2</v>
      </c>
      <c r="W76" s="230">
        <f>W$72*'BTX recycling rates'!Y41</f>
        <v>1.9341556607509594E-2</v>
      </c>
      <c r="X76" s="230">
        <f>X$72*'BTX recycling rates'!Z41</f>
        <v>2.1167199464367018E-2</v>
      </c>
      <c r="Y76" s="230">
        <f>Y$72*'BTX recycling rates'!AA41</f>
        <v>2.2951284897694973E-2</v>
      </c>
      <c r="Z76" s="230">
        <f>Z$72*'BTX recycling rates'!AB41</f>
        <v>2.4673564202639879E-2</v>
      </c>
      <c r="AA76" s="230">
        <f>AA$72*'BTX recycling rates'!AC41</f>
        <v>2.6313223691763241E-2</v>
      </c>
      <c r="AB76" s="230">
        <f>AB$72*'BTX recycling rates'!AD41</f>
        <v>2.7848894427415307E-2</v>
      </c>
      <c r="AC76" s="230">
        <f>AC$72*'BTX recycling rates'!AE41</f>
        <v>2.9258939329839865E-2</v>
      </c>
      <c r="AD76" s="230">
        <f>AD$72*'BTX recycling rates'!AF41</f>
        <v>3.0520947355380662E-2</v>
      </c>
      <c r="AE76" s="230">
        <f>AE$72*'BTX recycling rates'!AG41</f>
        <v>3.1611976298674425E-2</v>
      </c>
      <c r="AF76" s="230">
        <f>AF$72*'BTX recycling rates'!AH41</f>
        <v>3.2508563310632663E-2</v>
      </c>
      <c r="AG76" s="230">
        <f>AG$72*'BTX recycling rates'!AI41</f>
        <v>3.3186736093111305E-2</v>
      </c>
      <c r="AH76" s="245"/>
      <c r="AI76" s="133"/>
      <c r="AJ76" s="211"/>
      <c r="AL76" s="108"/>
      <c r="AM76" s="2"/>
      <c r="AN76" s="2"/>
      <c r="AO76" s="2"/>
      <c r="BC76" s="1"/>
      <c r="BD76" s="2"/>
      <c r="BE76" s="2"/>
      <c r="BF76" s="2"/>
      <c r="BG76" s="2"/>
      <c r="BH76" s="2"/>
      <c r="BI76" s="2"/>
      <c r="BJ76" s="2"/>
      <c r="BK76" s="2"/>
    </row>
    <row r="77" spans="1:63" s="1" customFormat="1" outlineLevel="1" x14ac:dyDescent="0.2">
      <c r="A77" s="1" t="s">
        <v>1562</v>
      </c>
      <c r="B77" s="65"/>
      <c r="C77" s="300">
        <f t="shared" ref="C77:AG77" si="35">C72-$C72</f>
        <v>0</v>
      </c>
      <c r="D77" s="300">
        <f t="shared" si="35"/>
        <v>0.15818781424312767</v>
      </c>
      <c r="E77" s="300">
        <f t="shared" si="35"/>
        <v>0.30716121300280985</v>
      </c>
      <c r="F77" s="300">
        <f t="shared" si="35"/>
        <v>0.45926388599926238</v>
      </c>
      <c r="G77" s="300">
        <f t="shared" si="35"/>
        <v>0.60881381868566153</v>
      </c>
      <c r="H77" s="300">
        <f t="shared" si="35"/>
        <v>0.75462218843196949</v>
      </c>
      <c r="I77" s="300">
        <f t="shared" si="35"/>
        <v>0.9011599406875539</v>
      </c>
      <c r="J77" s="300">
        <f t="shared" si="35"/>
        <v>1.0481745353563294</v>
      </c>
      <c r="K77" s="300">
        <f t="shared" si="35"/>
        <v>1.1954061744543321</v>
      </c>
      <c r="L77" s="300">
        <f t="shared" si="35"/>
        <v>1.3425883636269065</v>
      </c>
      <c r="M77" s="300">
        <f t="shared" si="35"/>
        <v>1.4894485094895029</v>
      </c>
      <c r="N77" s="300">
        <f t="shared" si="35"/>
        <v>1.6942616338235577</v>
      </c>
      <c r="O77" s="300">
        <f t="shared" si="35"/>
        <v>1.8834841602658297</v>
      </c>
      <c r="P77" s="300">
        <f t="shared" si="35"/>
        <v>2.0554978579730321</v>
      </c>
      <c r="Q77" s="300">
        <f t="shared" si="35"/>
        <v>2.2088243153238336</v>
      </c>
      <c r="R77" s="300">
        <f t="shared" si="35"/>
        <v>2.3421438581220433</v>
      </c>
      <c r="S77" s="300">
        <f t="shared" si="35"/>
        <v>2.4618407970861811</v>
      </c>
      <c r="T77" s="300">
        <f t="shared" si="35"/>
        <v>2.5675071094715496</v>
      </c>
      <c r="U77" s="300">
        <f t="shared" si="35"/>
        <v>2.6587377794046234</v>
      </c>
      <c r="V77" s="300">
        <f t="shared" si="35"/>
        <v>2.7351311618302847</v>
      </c>
      <c r="W77" s="300">
        <f t="shared" si="35"/>
        <v>2.7962893486410514</v>
      </c>
      <c r="X77" s="300">
        <f t="shared" si="35"/>
        <v>2.9873938731523348</v>
      </c>
      <c r="Y77" s="300">
        <f t="shared" si="35"/>
        <v>3.1522956189274471</v>
      </c>
      <c r="Z77" s="300">
        <f t="shared" si="35"/>
        <v>3.2902971819973321</v>
      </c>
      <c r="AA77" s="300">
        <f t="shared" si="35"/>
        <v>3.4007073548433824</v>
      </c>
      <c r="AB77" s="300">
        <f t="shared" si="35"/>
        <v>3.4828417067907647</v>
      </c>
      <c r="AC77" s="300">
        <f t="shared" si="35"/>
        <v>3.5360728973431859</v>
      </c>
      <c r="AD77" s="300">
        <f t="shared" si="35"/>
        <v>3.5597325348362188</v>
      </c>
      <c r="AE77" s="300">
        <f t="shared" si="35"/>
        <v>3.5531590402732749</v>
      </c>
      <c r="AF77" s="300">
        <f t="shared" si="35"/>
        <v>3.5156981680469301</v>
      </c>
      <c r="AG77" s="300">
        <f t="shared" si="35"/>
        <v>3.446703527950834</v>
      </c>
      <c r="AH77" s="245"/>
      <c r="AI77" s="423"/>
      <c r="AJ77" s="424"/>
      <c r="AL77" s="221"/>
      <c r="AM77" s="124"/>
      <c r="AN77" s="124"/>
      <c r="AO77" s="124"/>
      <c r="BD77" s="124"/>
      <c r="BE77" s="124"/>
      <c r="BF77" s="124"/>
      <c r="BG77" s="124"/>
      <c r="BH77" s="124"/>
      <c r="BI77" s="124"/>
      <c r="BJ77" s="124"/>
      <c r="BK77" s="124"/>
    </row>
    <row r="78" spans="1:63" outlineLevel="1" x14ac:dyDescent="0.2">
      <c r="A78" s="4" t="s">
        <v>474</v>
      </c>
      <c r="C78" s="230">
        <f t="shared" ref="C78:AG78" si="36">C73-$C73</f>
        <v>0</v>
      </c>
      <c r="D78" s="230">
        <f t="shared" si="36"/>
        <v>0.13253435482769205</v>
      </c>
      <c r="E78" s="230">
        <f t="shared" si="36"/>
        <v>0.25191340024099795</v>
      </c>
      <c r="F78" s="230">
        <f t="shared" si="36"/>
        <v>0.37031249552523704</v>
      </c>
      <c r="G78" s="230">
        <f t="shared" si="36"/>
        <v>0.48224737742257107</v>
      </c>
      <c r="H78" s="230">
        <f t="shared" si="36"/>
        <v>0.58671476477150453</v>
      </c>
      <c r="I78" s="230">
        <f t="shared" si="36"/>
        <v>0.68796193780793891</v>
      </c>
      <c r="J78" s="230">
        <f t="shared" si="36"/>
        <v>0.78573163356579911</v>
      </c>
      <c r="K78" s="230">
        <f t="shared" si="36"/>
        <v>0.87977360124854709</v>
      </c>
      <c r="L78" s="230">
        <f t="shared" si="36"/>
        <v>0.96984557831083151</v>
      </c>
      <c r="M78" s="230">
        <f t="shared" si="36"/>
        <v>1.0557142525347132</v>
      </c>
      <c r="N78" s="230">
        <f t="shared" si="36"/>
        <v>1.1869158134924236</v>
      </c>
      <c r="O78" s="230">
        <f t="shared" si="36"/>
        <v>1.2996137260429315</v>
      </c>
      <c r="P78" s="230">
        <f t="shared" si="36"/>
        <v>1.3930996412540511</v>
      </c>
      <c r="Q78" s="230">
        <f t="shared" si="36"/>
        <v>1.4668647539930317</v>
      </c>
      <c r="R78" s="230">
        <f t="shared" si="36"/>
        <v>1.520605548510769</v>
      </c>
      <c r="S78" s="230">
        <f t="shared" si="36"/>
        <v>1.5601222435625979</v>
      </c>
      <c r="T78" s="230">
        <f t="shared" si="36"/>
        <v>1.5856457083551176</v>
      </c>
      <c r="U78" s="230">
        <f t="shared" si="36"/>
        <v>1.5974308505453072</v>
      </c>
      <c r="V78" s="230">
        <f t="shared" si="36"/>
        <v>1.5957566862224981</v>
      </c>
      <c r="W78" s="230">
        <f t="shared" si="36"/>
        <v>1.58092638236351</v>
      </c>
      <c r="X78" s="230">
        <f t="shared" si="36"/>
        <v>1.6575677975939009</v>
      </c>
      <c r="Y78" s="230">
        <f t="shared" si="36"/>
        <v>1.7106883583088601</v>
      </c>
      <c r="Z78" s="230">
        <f t="shared" si="36"/>
        <v>1.7408552313050936</v>
      </c>
      <c r="AA78" s="230">
        <f t="shared" si="36"/>
        <v>1.7486769744116697</v>
      </c>
      <c r="AB78" s="230">
        <f t="shared" si="36"/>
        <v>1.7348035082207862</v>
      </c>
      <c r="AC78" s="230">
        <f t="shared" si="36"/>
        <v>1.6999583576710555</v>
      </c>
      <c r="AD78" s="230">
        <f t="shared" si="36"/>
        <v>1.6448723823869829</v>
      </c>
      <c r="AE78" s="230">
        <f t="shared" si="36"/>
        <v>1.5703163389812511</v>
      </c>
      <c r="AF78" s="230">
        <f t="shared" si="36"/>
        <v>1.4771007443538813</v>
      </c>
      <c r="AG78" s="230">
        <f t="shared" si="36"/>
        <v>1.3660756980984572</v>
      </c>
      <c r="AH78" s="245"/>
      <c r="AI78" s="133"/>
      <c r="AJ78" s="211"/>
      <c r="AL78" s="108"/>
      <c r="AM78" s="2"/>
      <c r="AN78" s="2"/>
      <c r="AO78" s="2"/>
      <c r="BC78" s="1"/>
      <c r="BD78" s="2"/>
      <c r="BE78" s="2"/>
      <c r="BF78" s="2"/>
      <c r="BG78" s="2"/>
      <c r="BH78" s="2"/>
      <c r="BI78" s="2"/>
      <c r="BJ78" s="2"/>
      <c r="BK78" s="2"/>
    </row>
    <row r="79" spans="1:63" outlineLevel="1" x14ac:dyDescent="0.2">
      <c r="A79" s="4" t="s">
        <v>478</v>
      </c>
      <c r="C79" s="230">
        <f t="shared" ref="C79:AG79" si="37">C74-$C74</f>
        <v>0</v>
      </c>
      <c r="D79" s="230">
        <f t="shared" si="37"/>
        <v>2.0582280050322099E-2</v>
      </c>
      <c r="E79" s="230">
        <f t="shared" si="37"/>
        <v>4.4302750291537865E-2</v>
      </c>
      <c r="F79" s="230">
        <f t="shared" si="37"/>
        <v>7.1304449259241051E-2</v>
      </c>
      <c r="G79" s="230">
        <f t="shared" si="37"/>
        <v>0.10142556582893099</v>
      </c>
      <c r="H79" s="230">
        <f t="shared" si="37"/>
        <v>0.1345172048210356</v>
      </c>
      <c r="I79" s="230">
        <f t="shared" si="37"/>
        <v>0.17076100056226542</v>
      </c>
      <c r="J79" s="230">
        <f t="shared" si="37"/>
        <v>0.21016054340482654</v>
      </c>
      <c r="K79" s="230">
        <f t="shared" si="37"/>
        <v>0.2527080315633109</v>
      </c>
      <c r="L79" s="230">
        <f t="shared" si="37"/>
        <v>0.29838394070311486</v>
      </c>
      <c r="M79" s="230">
        <f t="shared" si="37"/>
        <v>0.34715673331599994</v>
      </c>
      <c r="N79" s="230">
        <f t="shared" si="37"/>
        <v>0.40604084703651122</v>
      </c>
      <c r="O79" s="230">
        <f t="shared" si="37"/>
        <v>0.46723846481493064</v>
      </c>
      <c r="P79" s="230">
        <f t="shared" si="37"/>
        <v>0.53002238961382309</v>
      </c>
      <c r="Q79" s="230">
        <f t="shared" si="37"/>
        <v>0.59361786498352309</v>
      </c>
      <c r="R79" s="230">
        <f t="shared" si="37"/>
        <v>0.65721309971591624</v>
      </c>
      <c r="S79" s="230">
        <f t="shared" si="37"/>
        <v>0.72127868737001266</v>
      </c>
      <c r="T79" s="230">
        <f t="shared" si="37"/>
        <v>0.78530452613078738</v>
      </c>
      <c r="U79" s="230">
        <f t="shared" si="37"/>
        <v>0.84876373383363302</v>
      </c>
      <c r="V79" s="230">
        <f t="shared" si="37"/>
        <v>0.91111288279547653</v>
      </c>
      <c r="W79" s="230">
        <f t="shared" si="37"/>
        <v>0.97179225835406091</v>
      </c>
      <c r="X79" s="230">
        <f t="shared" si="37"/>
        <v>1.0632648125269146</v>
      </c>
      <c r="Y79" s="230">
        <f t="shared" si="37"/>
        <v>1.1525787804540399</v>
      </c>
      <c r="Z79" s="230">
        <f t="shared" si="37"/>
        <v>1.2387245859120388</v>
      </c>
      <c r="AA79" s="230">
        <f t="shared" si="37"/>
        <v>1.3206645729938951</v>
      </c>
      <c r="AB79" s="230">
        <f t="shared" si="37"/>
        <v>1.3973334922105034</v>
      </c>
      <c r="AC79" s="230">
        <f t="shared" si="37"/>
        <v>1.4676529566528891</v>
      </c>
      <c r="AD79" s="230">
        <f t="shared" si="37"/>
        <v>1.5305059401849039</v>
      </c>
      <c r="AE79" s="230">
        <f t="shared" si="37"/>
        <v>1.5847490213376978</v>
      </c>
      <c r="AF79" s="230">
        <f t="shared" si="37"/>
        <v>1.6292129082775857</v>
      </c>
      <c r="AG79" s="230">
        <f t="shared" si="37"/>
        <v>1.6627029974358121</v>
      </c>
      <c r="AH79" s="245"/>
      <c r="AI79" s="133"/>
      <c r="AJ79" s="211"/>
      <c r="AL79" s="108"/>
      <c r="AM79" s="2"/>
      <c r="AN79" s="2"/>
      <c r="AO79" s="2"/>
      <c r="BC79" s="1"/>
      <c r="BD79" s="2"/>
      <c r="BE79" s="2"/>
      <c r="BF79" s="2"/>
      <c r="BG79" s="2"/>
      <c r="BH79" s="2"/>
      <c r="BI79" s="2"/>
      <c r="BJ79" s="2"/>
      <c r="BK79" s="2"/>
    </row>
    <row r="80" spans="1:63" outlineLevel="1" x14ac:dyDescent="0.2">
      <c r="A80" s="4" t="s">
        <v>745</v>
      </c>
      <c r="C80" s="230">
        <f t="shared" ref="C80:AG80" si="38">C75-$C75</f>
        <v>0</v>
      </c>
      <c r="D80" s="230">
        <f t="shared" si="38"/>
        <v>4.6684852004772051E-3</v>
      </c>
      <c r="E80" s="230">
        <f t="shared" si="38"/>
        <v>1.0075932733179489E-2</v>
      </c>
      <c r="F80" s="230">
        <f t="shared" si="38"/>
        <v>1.6245626108526447E-2</v>
      </c>
      <c r="G80" s="230">
        <f t="shared" si="38"/>
        <v>2.3144479112460474E-2</v>
      </c>
      <c r="H80" s="230">
        <f t="shared" si="38"/>
        <v>3.0738755478643392E-2</v>
      </c>
      <c r="I80" s="230">
        <f t="shared" si="38"/>
        <v>3.9067148488983079E-2</v>
      </c>
      <c r="J80" s="230">
        <f t="shared" si="38"/>
        <v>4.8130700729855078E-2</v>
      </c>
      <c r="K80" s="230">
        <f t="shared" si="38"/>
        <v>5.7927805398797293E-2</v>
      </c>
      <c r="L80" s="230">
        <f t="shared" si="38"/>
        <v>6.845412883407391E-2</v>
      </c>
      <c r="M80" s="230">
        <f t="shared" si="38"/>
        <v>7.9702542288719661E-2</v>
      </c>
      <c r="N80" s="230">
        <f t="shared" si="38"/>
        <v>9.3260508948707715E-2</v>
      </c>
      <c r="O80" s="230">
        <f t="shared" si="38"/>
        <v>0.10737041305014106</v>
      </c>
      <c r="P80" s="230">
        <f t="shared" si="38"/>
        <v>0.12186407643017882</v>
      </c>
      <c r="Q80" s="230">
        <f t="shared" si="38"/>
        <v>0.13656212177686</v>
      </c>
      <c r="R80" s="230">
        <f t="shared" si="38"/>
        <v>0.15127641032365491</v>
      </c>
      <c r="S80" s="230">
        <f t="shared" si="38"/>
        <v>0.16611142774973603</v>
      </c>
      <c r="T80" s="230">
        <f t="shared" si="38"/>
        <v>0.18094861093558634</v>
      </c>
      <c r="U80" s="230">
        <f t="shared" si="38"/>
        <v>0.19566548311534601</v>
      </c>
      <c r="V80" s="230">
        <f t="shared" si="38"/>
        <v>0.21013570831520695</v>
      </c>
      <c r="W80" s="230">
        <f t="shared" si="38"/>
        <v>0.22422915131597473</v>
      </c>
      <c r="X80" s="230">
        <f t="shared" si="38"/>
        <v>0.24539406356715682</v>
      </c>
      <c r="Y80" s="230">
        <f t="shared" si="38"/>
        <v>0.26607719526685669</v>
      </c>
      <c r="Z80" s="230">
        <f t="shared" si="38"/>
        <v>0.28604380057756484</v>
      </c>
      <c r="AA80" s="230">
        <f t="shared" si="38"/>
        <v>0.30505258374605954</v>
      </c>
      <c r="AB80" s="230">
        <f t="shared" si="38"/>
        <v>0.32285581193206536</v>
      </c>
      <c r="AC80" s="230">
        <f t="shared" si="38"/>
        <v>0.33920264368940783</v>
      </c>
      <c r="AD80" s="230">
        <f t="shared" si="38"/>
        <v>0.353833264908958</v>
      </c>
      <c r="AE80" s="230">
        <f t="shared" si="38"/>
        <v>0.36648170365565846</v>
      </c>
      <c r="AF80" s="230">
        <f t="shared" si="38"/>
        <v>0.37687595210483782</v>
      </c>
      <c r="AG80" s="230">
        <f t="shared" si="38"/>
        <v>0.38473809632345429</v>
      </c>
      <c r="AH80" s="245"/>
      <c r="AI80" s="133"/>
      <c r="AJ80" s="211"/>
      <c r="AL80" s="108"/>
      <c r="AM80" s="2"/>
      <c r="AN80" s="2"/>
      <c r="AO80" s="2"/>
      <c r="BC80" s="1"/>
      <c r="BD80" s="2"/>
      <c r="BE80" s="2"/>
      <c r="BF80" s="2"/>
      <c r="BG80" s="2"/>
      <c r="BH80" s="2"/>
      <c r="BI80" s="2"/>
      <c r="BJ80" s="2"/>
      <c r="BK80" s="2"/>
    </row>
    <row r="81" spans="1:63" outlineLevel="1" x14ac:dyDescent="0.2">
      <c r="A81" s="4" t="s">
        <v>1561</v>
      </c>
      <c r="C81" s="230">
        <f t="shared" ref="C81:AG81" si="39">C76-$C76</f>
        <v>0</v>
      </c>
      <c r="D81" s="230">
        <f t="shared" si="39"/>
        <v>4.0269416463655747E-4</v>
      </c>
      <c r="E81" s="230">
        <f t="shared" si="39"/>
        <v>8.6912973709483033E-4</v>
      </c>
      <c r="F81" s="230">
        <f t="shared" si="39"/>
        <v>1.4013151062580622E-3</v>
      </c>
      <c r="G81" s="230">
        <f t="shared" si="39"/>
        <v>1.9963963216993452E-3</v>
      </c>
      <c r="H81" s="230">
        <f t="shared" si="39"/>
        <v>2.6514633607865809E-3</v>
      </c>
      <c r="I81" s="230">
        <f t="shared" si="39"/>
        <v>3.3698538283671283E-3</v>
      </c>
      <c r="J81" s="230">
        <f t="shared" si="39"/>
        <v>4.1516576558494707E-3</v>
      </c>
      <c r="K81" s="230">
        <f t="shared" si="39"/>
        <v>4.9967362436777714E-3</v>
      </c>
      <c r="L81" s="230">
        <f t="shared" si="39"/>
        <v>5.9047157788875305E-3</v>
      </c>
      <c r="M81" s="230">
        <f t="shared" si="39"/>
        <v>6.8749813500715547E-3</v>
      </c>
      <c r="N81" s="230">
        <f t="shared" si="39"/>
        <v>8.0444643459169959E-3</v>
      </c>
      <c r="O81" s="230">
        <f t="shared" si="39"/>
        <v>9.2615563578286597E-3</v>
      </c>
      <c r="P81" s="230">
        <f t="shared" si="39"/>
        <v>1.0511750674981292E-2</v>
      </c>
      <c r="Q81" s="230">
        <f t="shared" si="39"/>
        <v>1.1779574570421081E-2</v>
      </c>
      <c r="R81" s="230">
        <f t="shared" si="39"/>
        <v>1.3048799571705684E-2</v>
      </c>
      <c r="S81" s="230">
        <f t="shared" si="39"/>
        <v>1.4328438403837754E-2</v>
      </c>
      <c r="T81" s="230">
        <f t="shared" si="39"/>
        <v>1.5608264050061249E-2</v>
      </c>
      <c r="U81" s="230">
        <f t="shared" si="39"/>
        <v>1.6877711910340536E-2</v>
      </c>
      <c r="V81" s="230">
        <f t="shared" si="39"/>
        <v>1.8125884497107059E-2</v>
      </c>
      <c r="W81" s="230">
        <f t="shared" si="39"/>
        <v>1.9341556607509594E-2</v>
      </c>
      <c r="X81" s="230">
        <f t="shared" si="39"/>
        <v>2.1167199464367018E-2</v>
      </c>
      <c r="Y81" s="230">
        <f t="shared" si="39"/>
        <v>2.2951284897694973E-2</v>
      </c>
      <c r="Z81" s="230">
        <f t="shared" si="39"/>
        <v>2.4673564202639879E-2</v>
      </c>
      <c r="AA81" s="230">
        <f t="shared" si="39"/>
        <v>2.6313223691763241E-2</v>
      </c>
      <c r="AB81" s="230">
        <f t="shared" si="39"/>
        <v>2.7848894427415307E-2</v>
      </c>
      <c r="AC81" s="230">
        <f t="shared" si="39"/>
        <v>2.9258939329839865E-2</v>
      </c>
      <c r="AD81" s="230">
        <f t="shared" si="39"/>
        <v>3.0520947355380662E-2</v>
      </c>
      <c r="AE81" s="230">
        <f t="shared" si="39"/>
        <v>3.1611976298674425E-2</v>
      </c>
      <c r="AF81" s="230">
        <f t="shared" si="39"/>
        <v>3.2508563310632663E-2</v>
      </c>
      <c r="AG81" s="230">
        <f t="shared" si="39"/>
        <v>3.3186736093111305E-2</v>
      </c>
      <c r="AH81" s="245"/>
      <c r="AI81" s="133"/>
      <c r="AJ81" s="211"/>
      <c r="AL81" s="108"/>
      <c r="AM81" s="2"/>
      <c r="AN81" s="2"/>
      <c r="AO81" s="2"/>
      <c r="BC81" s="1"/>
      <c r="BD81" s="2"/>
      <c r="BE81" s="2"/>
      <c r="BF81" s="2"/>
      <c r="BG81" s="2"/>
      <c r="BH81" s="2"/>
      <c r="BI81" s="2"/>
      <c r="BJ81" s="2"/>
      <c r="BK81" s="2"/>
    </row>
    <row r="82" spans="1:63" s="1" customFormat="1" outlineLevel="1" x14ac:dyDescent="0.2">
      <c r="A82" s="1" t="s">
        <v>1563</v>
      </c>
      <c r="B82" s="65"/>
      <c r="C82" s="300">
        <f>'BTX Recycling HC'!C82</f>
        <v>0.40076570156277719</v>
      </c>
      <c r="D82" s="300">
        <f>'BTX Recycling HC'!D82</f>
        <v>0.41588878373658517</v>
      </c>
      <c r="E82" s="300">
        <f>'BTX Recycling HC'!E82</f>
        <v>0.42769934375210972</v>
      </c>
      <c r="F82" s="300">
        <f>'BTX Recycling HC'!F82</f>
        <v>0.43905413691332762</v>
      </c>
      <c r="G82" s="300">
        <f>'BTX Recycling HC'!G82</f>
        <v>0.44884567519064511</v>
      </c>
      <c r="H82" s="300">
        <f>'BTX Recycling HC'!H82</f>
        <v>0.45697613833464312</v>
      </c>
      <c r="I82" s="300">
        <f>'BTX Recycling HC'!I82</f>
        <v>0.46436421016600532</v>
      </c>
      <c r="J82" s="300">
        <f>'BTX Recycling HC'!J82</f>
        <v>0.47098209456158707</v>
      </c>
      <c r="K82" s="300">
        <f>'BTX Recycling HC'!K82</f>
        <v>0.47680392464177307</v>
      </c>
      <c r="L82" s="300">
        <f>'BTX Recycling HC'!L82</f>
        <v>0.48180589523278217</v>
      </c>
      <c r="M82" s="300">
        <f>'BTX Recycling HC'!M82</f>
        <v>0.48596638987211777</v>
      </c>
      <c r="N82" s="300">
        <f>'BTX Recycling HC'!N82</f>
        <v>0.49657604042787229</v>
      </c>
      <c r="O82" s="300">
        <f>'BTX Recycling HC'!O82</f>
        <v>0.50414571683451581</v>
      </c>
      <c r="P82" s="300">
        <f>'BTX Recycling HC'!P82</f>
        <v>0.50865334161228526</v>
      </c>
      <c r="Q82" s="300">
        <f>'BTX Recycling HC'!Q82</f>
        <v>0.51011014775560304</v>
      </c>
      <c r="R82" s="300">
        <f>'BTX Recycling HC'!R82</f>
        <v>0.50856044540419409</v>
      </c>
      <c r="S82" s="300">
        <f>'BTX Recycling HC'!S82</f>
        <v>0.5049890765256545</v>
      </c>
      <c r="T82" s="300">
        <f>'BTX Recycling HC'!T82</f>
        <v>0.49947113563087109</v>
      </c>
      <c r="U82" s="300">
        <f>'BTX Recycling HC'!U82</f>
        <v>0.49208641753097448</v>
      </c>
      <c r="V82" s="300">
        <f>'BTX Recycling HC'!V82</f>
        <v>0.48291940672331246</v>
      </c>
      <c r="W82" s="300">
        <f>'BTX Recycling HC'!W82</f>
        <v>0.47205926102848905</v>
      </c>
      <c r="X82" s="300">
        <f>'BTX Recycling HC'!X82</f>
        <v>0.4692390503596881</v>
      </c>
      <c r="Y82" s="300">
        <f>'BTX Recycling HC'!Y82</f>
        <v>0.46365807055471192</v>
      </c>
      <c r="Z82" s="300">
        <f>'BTX Recycling HC'!Z82</f>
        <v>0.45546328622684901</v>
      </c>
      <c r="AA82" s="300">
        <f>'BTX Recycling HC'!AA82</f>
        <v>0.44480886270425307</v>
      </c>
      <c r="AB82" s="300">
        <f>'BTX Recycling HC'!AB82</f>
        <v>0.43185612514733107</v>
      </c>
      <c r="AC82" s="300">
        <f>'BTX Recycling HC'!AC82</f>
        <v>0.4167774495837539</v>
      </c>
      <c r="AD82" s="300">
        <f>'BTX Recycling HC'!AD82</f>
        <v>0.39974784658584156</v>
      </c>
      <c r="AE82" s="300">
        <f>'BTX Recycling HC'!AE82</f>
        <v>0.38094921213878952</v>
      </c>
      <c r="AF82" s="300">
        <f>'BTX Recycling HC'!AF82</f>
        <v>0.36057027064984609</v>
      </c>
      <c r="AG82" s="300">
        <f>'BTX Recycling HC'!AG82</f>
        <v>0.33880651040853915</v>
      </c>
      <c r="AH82" s="245"/>
      <c r="AI82" s="423"/>
      <c r="AJ82" s="424"/>
      <c r="AL82" s="221"/>
      <c r="AM82" s="124"/>
      <c r="AN82" s="124"/>
      <c r="AO82" s="124"/>
      <c r="BD82" s="124"/>
      <c r="BE82" s="124"/>
      <c r="BF82" s="124"/>
      <c r="BG82" s="124"/>
      <c r="BH82" s="124"/>
      <c r="BI82" s="124"/>
      <c r="BJ82" s="124"/>
      <c r="BK82" s="124"/>
    </row>
    <row r="83" spans="1:63" outlineLevel="1" x14ac:dyDescent="0.2">
      <c r="A83" s="4" t="s">
        <v>474</v>
      </c>
      <c r="C83" s="230">
        <f>C$82*'BTX recycling rates'!E42</f>
        <v>0.39936491999557455</v>
      </c>
      <c r="D83" s="230">
        <f>D$82*'BTX recycling rates'!F42</f>
        <v>0.4088892937356155</v>
      </c>
      <c r="E83" s="230">
        <f>E$82*'BTX recycling rates'!G42</f>
        <v>0.41479773738855497</v>
      </c>
      <c r="F83" s="230">
        <f>F$82*'BTX recycling rates'!H42</f>
        <v>0.41995525400908673</v>
      </c>
      <c r="G83" s="230">
        <f>G$82*'BTX recycling rates'!I42</f>
        <v>0.42333553250875927</v>
      </c>
      <c r="H83" s="230">
        <f>H$82*'BTX recycling rates'!J42</f>
        <v>0.42491015437812968</v>
      </c>
      <c r="I83" s="230">
        <f>I$82*'BTX recycling rates'!K42</f>
        <v>0.42558753984960085</v>
      </c>
      <c r="J83" s="230">
        <f>J$82*'BTX recycling rates'!L42</f>
        <v>0.42537228378737013</v>
      </c>
      <c r="K83" s="230">
        <f>K$82*'BTX recycling rates'!M42</f>
        <v>0.42427218038309383</v>
      </c>
      <c r="L83" s="230">
        <f>L$82*'BTX recycling rates'!N42</f>
        <v>0.4222982106261462</v>
      </c>
      <c r="M83" s="230">
        <f>M$82*'BTX recycling rates'!O42</f>
        <v>0.41946451446550859</v>
      </c>
      <c r="N83" s="230">
        <f>N$82*'BTX recycling rates'!P42</f>
        <v>0.42200048316631644</v>
      </c>
      <c r="O83" s="230">
        <f>O$82*'BTX recycling rates'!Q42</f>
        <v>0.42171059949597661</v>
      </c>
      <c r="P83" s="230">
        <f>P$82*'BTX recycling rates'!R42</f>
        <v>0.4186983039232906</v>
      </c>
      <c r="Q83" s="230">
        <f>Q$82*'BTX recycling rates'!S42</f>
        <v>0.41309518986785121</v>
      </c>
      <c r="R83" s="230">
        <f>R$82*'BTX recycling rates'!T42</f>
        <v>0.40505859689328855</v>
      </c>
      <c r="S83" s="230">
        <f>S$82*'BTX recycling rates'!U42</f>
        <v>0.39548007462347862</v>
      </c>
      <c r="T83" s="230">
        <f>T$82*'BTX recycling rates'!V42</f>
        <v>0.38449830799517437</v>
      </c>
      <c r="U83" s="230">
        <f>U$82*'BTX recycling rates'!W42</f>
        <v>0.37225153208790202</v>
      </c>
      <c r="V83" s="230">
        <f>V$82*'BTX recycling rates'!X42</f>
        <v>0.35887721084528662</v>
      </c>
      <c r="W83" s="230">
        <f>W$82*'BTX recycling rates'!Y42</f>
        <v>0.34451171244999379</v>
      </c>
      <c r="X83" s="230">
        <f>X$82*'BTX recycling rates'!Z42</f>
        <v>0.33619623405365967</v>
      </c>
      <c r="Y83" s="230">
        <f>Y$82*'BTX recycling rates'!AA42</f>
        <v>0.32601477358286485</v>
      </c>
      <c r="Z83" s="230">
        <f>Z$82*'BTX recycling rates'!AB42</f>
        <v>0.31417915143258812</v>
      </c>
      <c r="AA83" s="230">
        <f>AA$82*'BTX recycling rates'!AC42</f>
        <v>0.30089821998559235</v>
      </c>
      <c r="AB83" s="230">
        <f>AB$82*'BTX recycling rates'!AD42</f>
        <v>0.28637735639661038</v>
      </c>
      <c r="AC83" s="230">
        <f>AC$82*'BTX recycling rates'!AE42</f>
        <v>0.27082051359370635</v>
      </c>
      <c r="AD83" s="230">
        <f>AD$82*'BTX recycling rates'!AF42</f>
        <v>0.25442412679979004</v>
      </c>
      <c r="AE83" s="230">
        <f>AE$82*'BTX recycling rates'!AG42</f>
        <v>0.23737958670428591</v>
      </c>
      <c r="AF83" s="230">
        <f>AF$82*'BTX recycling rates'!AH42</f>
        <v>0.21987274562799</v>
      </c>
      <c r="AG83" s="234">
        <f>AG$82*'BTX recycling rates'!AI42</f>
        <v>0.20208342374511634</v>
      </c>
      <c r="AH83" s="245"/>
      <c r="AI83" s="133"/>
      <c r="AJ83" s="211"/>
      <c r="AL83" s="108"/>
      <c r="AM83" s="2"/>
      <c r="AN83" s="2"/>
      <c r="AO83" s="2"/>
      <c r="BC83" s="1"/>
      <c r="BD83" s="2"/>
      <c r="BE83" s="2"/>
      <c r="BF83" s="2"/>
      <c r="BG83" s="2"/>
      <c r="BH83" s="2"/>
      <c r="BI83" s="2"/>
      <c r="BJ83" s="2"/>
      <c r="BK83" s="2"/>
    </row>
    <row r="84" spans="1:63" outlineLevel="1" x14ac:dyDescent="0.2">
      <c r="A84" s="4" t="s">
        <v>478</v>
      </c>
      <c r="C84" s="230">
        <f>C$82*'BTX recycling rates'!E43</f>
        <v>1.4007815672026295E-3</v>
      </c>
      <c r="D84" s="230">
        <f>D$82*'BTX recycling rates'!F43</f>
        <v>5.8790366686019037E-3</v>
      </c>
      <c r="E84" s="230">
        <f>E$82*'BTX recycling rates'!G43</f>
        <v>1.0597061621313878E-2</v>
      </c>
      <c r="F84" s="230">
        <f>F$82*'BTX recycling rates'!H43</f>
        <v>1.5550292343265644E-2</v>
      </c>
      <c r="G84" s="230">
        <f>G$82*'BTX recycling rates'!I43</f>
        <v>2.0673170374359149E-2</v>
      </c>
      <c r="H84" s="230">
        <f>H$82*'BTX recycling rates'!J43</f>
        <v>2.5910246448888188E-2</v>
      </c>
      <c r="I84" s="230">
        <f>I$82*'BTX recycling rates'!K43</f>
        <v>3.1270359296836026E-2</v>
      </c>
      <c r="J84" s="230">
        <f>J$82*'BTX recycling rates'!L43</f>
        <v>3.6727642401772627E-2</v>
      </c>
      <c r="K84" s="230">
        <f>K$82*'BTX recycling rates'!M43</f>
        <v>4.2255217126574422E-2</v>
      </c>
      <c r="L84" s="230">
        <f>L$82*'BTX recycling rates'!N43</f>
        <v>4.7825308505603153E-2</v>
      </c>
      <c r="M84" s="230">
        <f>M$82*'BTX recycling rates'!O43</f>
        <v>5.3409368894199713E-2</v>
      </c>
      <c r="N84" s="230">
        <f>N$82*'BTX recycling rates'!P43</f>
        <v>5.9859379977338291E-2</v>
      </c>
      <c r="O84" s="230">
        <f>O$82*'BTX recycling rates'!Q43</f>
        <v>6.6136382565717994E-2</v>
      </c>
      <c r="P84" s="230">
        <f>P$82*'BTX recycling rates'!R43</f>
        <v>7.214020208651363E-2</v>
      </c>
      <c r="Q84" s="230">
        <f>Q$82*'BTX recycling rates'!S43</f>
        <v>7.7774803014877977E-2</v>
      </c>
      <c r="R84" s="230">
        <f>R$82*'BTX recycling rates'!T43</f>
        <v>8.2950023069354728E-2</v>
      </c>
      <c r="S84" s="230">
        <f>S$82*'BTX recycling rates'!U43</f>
        <v>8.7741001774109068E-2</v>
      </c>
      <c r="T84" s="230">
        <f>T$82*'BTX recycling rates'!V43</f>
        <v>9.209704919731844E-2</v>
      </c>
      <c r="U84" s="230">
        <f>U$82*'BTX recycling rates'!W43</f>
        <v>9.5971588373910469E-2</v>
      </c>
      <c r="V84" s="230">
        <f>V$82*'BTX recycling rates'!X43</f>
        <v>9.9322403197713988E-2</v>
      </c>
      <c r="W84" s="230">
        <f>W$82*'BTX recycling rates'!Y43</f>
        <v>0.10211188439239764</v>
      </c>
      <c r="X84" s="230">
        <f>X$82*'BTX recycling rates'!Z43</f>
        <v>0.1064949264795567</v>
      </c>
      <c r="Y84" s="230">
        <f>Y$82*'BTX recycling rates'!AA43</f>
        <v>0.11016200987768066</v>
      </c>
      <c r="Z84" s="230">
        <f>Z$82*'BTX recycling rates'!AB43</f>
        <v>0.11306148569683551</v>
      </c>
      <c r="AA84" s="230">
        <f>AA$82*'BTX recycling rates'!AC43</f>
        <v>0.11514982442454601</v>
      </c>
      <c r="AB84" s="230">
        <f>AB$82*'BTX recycling rates'!AD43</f>
        <v>0.11639198801469484</v>
      </c>
      <c r="AC84" s="230">
        <f>AC$82*'BTX recycling rates'!AE43</f>
        <v>0.11676290091845505</v>
      </c>
      <c r="AD84" s="230">
        <f>AD$82*'BTX recycling rates'!AF43</f>
        <v>0.11624559059169537</v>
      </c>
      <c r="AE84" s="230">
        <f>AE$82*'BTX recycling rates'!AG43</f>
        <v>0.11483260903716978</v>
      </c>
      <c r="AF84" s="230">
        <f>AF$82*'BTX recycling rates'!AH43</f>
        <v>0.11252638135093439</v>
      </c>
      <c r="AG84" s="234">
        <f>AG$82*'BTX recycling rates'!AI43</f>
        <v>0.10933954819399572</v>
      </c>
      <c r="AH84" s="245"/>
      <c r="AI84" s="133"/>
      <c r="AJ84" s="211"/>
      <c r="AL84" s="108"/>
      <c r="AM84" s="2"/>
      <c r="AN84" s="2"/>
      <c r="AO84" s="2"/>
      <c r="BC84" s="1"/>
      <c r="BD84" s="2"/>
      <c r="BE84" s="2"/>
      <c r="BF84" s="2"/>
      <c r="BG84" s="2"/>
      <c r="BH84" s="2"/>
      <c r="BI84" s="2"/>
      <c r="BJ84" s="2"/>
      <c r="BK84" s="2"/>
    </row>
    <row r="85" spans="1:63" outlineLevel="1" x14ac:dyDescent="0.2">
      <c r="A85" s="4" t="s">
        <v>745</v>
      </c>
      <c r="C85" s="230">
        <f>C$82*'BTX recycling rates'!E44</f>
        <v>0</v>
      </c>
      <c r="D85" s="230">
        <f>D$82*'BTX recycling rates'!F44</f>
        <v>1.0314799425097515E-3</v>
      </c>
      <c r="E85" s="230">
        <f>E$82*'BTX recycling rates'!G44</f>
        <v>2.1215445655505235E-3</v>
      </c>
      <c r="F85" s="230">
        <f>F$82*'BTX recycling rates'!H44</f>
        <v>3.2668027146570216E-3</v>
      </c>
      <c r="G85" s="230">
        <f>G$82*'BTX recycling rates'!I44</f>
        <v>4.4528761471445272E-3</v>
      </c>
      <c r="H85" s="230">
        <f>H$82*'BTX recycling rates'!J44</f>
        <v>5.6669203321950629E-3</v>
      </c>
      <c r="I85" s="230">
        <f>I$82*'BTX recycling rates'!K44</f>
        <v>6.9102469824095228E-3</v>
      </c>
      <c r="J85" s="230">
        <f>J$82*'BTX recycling rates'!L44</f>
        <v>8.1768497245755505E-3</v>
      </c>
      <c r="K85" s="230">
        <f>K$82*'BTX recycling rates'!M44</f>
        <v>9.4604847066887768E-3</v>
      </c>
      <c r="L85" s="230">
        <f>L$82*'BTX recycling rates'!N44</f>
        <v>1.0754697479105551E-2</v>
      </c>
      <c r="M85" s="230">
        <f>M$82*'BTX recycling rates'!O44</f>
        <v>1.2052851711539633E-2</v>
      </c>
      <c r="N85" s="230">
        <f>N$82*'BTX recycling rates'!P44</f>
        <v>1.354758940920012E-2</v>
      </c>
      <c r="O85" s="230">
        <f>O$82*'BTX recycling rates'!Q44</f>
        <v>1.5004478563087315E-2</v>
      </c>
      <c r="P85" s="230">
        <f>P$82*'BTX recycling rates'!R44</f>
        <v>1.6400188274005689E-2</v>
      </c>
      <c r="Q85" s="230">
        <f>Q$82*'BTX recycling rates'!S44</f>
        <v>1.7712325242687853E-2</v>
      </c>
      <c r="R85" s="230">
        <f>R$82*'BTX recycling rates'!T44</f>
        <v>1.8919838169541851E-2</v>
      </c>
      <c r="S85" s="230">
        <f>S$82*'BTX recycling rates'!U44</f>
        <v>2.003943838803415E-2</v>
      </c>
      <c r="T85" s="230">
        <f>T$82*'BTX recycling rates'!V44</f>
        <v>2.1059249811521998E-2</v>
      </c>
      <c r="U85" s="230">
        <f>U$82*'BTX recycling rates'!W44</f>
        <v>2.1968351182442607E-2</v>
      </c>
      <c r="V85" s="230">
        <f>V$82*'BTX recycling rates'!X44</f>
        <v>2.2756833860147572E-2</v>
      </c>
      <c r="W85" s="230">
        <f>W$82*'BTX recycling rates'!Y44</f>
        <v>2.3415859165620882E-2</v>
      </c>
      <c r="X85" s="230">
        <f>X$82*'BTX recycling rates'!Z44</f>
        <v>2.4439764763872478E-2</v>
      </c>
      <c r="Y85" s="230">
        <f>Y$82*'BTX recycling rates'!AA44</f>
        <v>2.5299042461753893E-2</v>
      </c>
      <c r="Z85" s="230">
        <f>Z$82*'BTX recycling rates'!AB44</f>
        <v>2.5981534105457144E-2</v>
      </c>
      <c r="AA85" s="230">
        <f>AA$82*'BTX recycling rates'!AC44</f>
        <v>2.6476968155252519E-2</v>
      </c>
      <c r="AB85" s="230">
        <f>AB$82*'BTX recycling rates'!AD44</f>
        <v>2.677704644600323E-2</v>
      </c>
      <c r="AC85" s="230">
        <f>AC$82*'BTX recycling rates'!AE44</f>
        <v>2.6875783887972755E-2</v>
      </c>
      <c r="AD85" s="230">
        <f>AD$82*'BTX recycling rates'!AF44</f>
        <v>2.6769081909287364E-2</v>
      </c>
      <c r="AE85" s="230">
        <f>AE$82*'BTX recycling rates'!AG44</f>
        <v>2.6455056328660603E-2</v>
      </c>
      <c r="AF85" s="230">
        <f>AF$82*'BTX recycling rates'!AH44</f>
        <v>2.5934118641703186E-2</v>
      </c>
      <c r="AG85" s="234">
        <f>AG$82*'BTX recycling rates'!AI44</f>
        <v>2.5209055897463983E-2</v>
      </c>
      <c r="AH85" s="245"/>
      <c r="AI85" s="133"/>
      <c r="AJ85" s="211"/>
      <c r="AL85" s="108"/>
      <c r="AM85" s="2"/>
      <c r="AN85" s="2"/>
      <c r="AO85" s="2"/>
      <c r="BC85" s="1"/>
      <c r="BD85" s="2"/>
      <c r="BE85" s="2"/>
      <c r="BF85" s="2"/>
      <c r="BG85" s="2"/>
      <c r="BH85" s="2"/>
      <c r="BI85" s="2"/>
      <c r="BJ85" s="2"/>
      <c r="BK85" s="2"/>
    </row>
    <row r="86" spans="1:63" outlineLevel="1" x14ac:dyDescent="0.2">
      <c r="A86" s="4" t="s">
        <v>1561</v>
      </c>
      <c r="C86" s="230">
        <f>C$82*'BTX recycling rates'!E45</f>
        <v>0</v>
      </c>
      <c r="D86" s="230">
        <f>D$82*'BTX recycling rates'!F45</f>
        <v>8.8973389857992951E-5</v>
      </c>
      <c r="E86" s="230">
        <f>E$82*'BTX recycling rates'!G45</f>
        <v>1.8300017669034652E-4</v>
      </c>
      <c r="F86" s="230">
        <f>F$82*'BTX recycling rates'!H45</f>
        <v>2.8178784631828263E-4</v>
      </c>
      <c r="G86" s="230">
        <f>G$82*'BTX recycling rates'!I45</f>
        <v>3.8409616038219966E-4</v>
      </c>
      <c r="H86" s="230">
        <f>H$82*'BTX recycling rates'!J45</f>
        <v>4.8881717543025475E-4</v>
      </c>
      <c r="I86" s="230">
        <f>I$82*'BTX recycling rates'!K45</f>
        <v>5.960640371590446E-4</v>
      </c>
      <c r="J86" s="230">
        <f>J$82*'BTX recycling rates'!L45</f>
        <v>7.053186478689136E-4</v>
      </c>
      <c r="K86" s="230">
        <f>K$82*'BTX recycling rates'!M45</f>
        <v>8.1604242541618091E-4</v>
      </c>
      <c r="L86" s="230">
        <f>L$82*'BTX recycling rates'!N45</f>
        <v>9.2767862192743092E-4</v>
      </c>
      <c r="M86" s="230">
        <f>M$82*'BTX recycling rates'!O45</f>
        <v>1.0396548008700175E-3</v>
      </c>
      <c r="N86" s="230">
        <f>N$82*'BTX recycling rates'!P45</f>
        <v>1.1685878750176306E-3</v>
      </c>
      <c r="O86" s="230">
        <f>O$82*'BTX recycling rates'!Q45</f>
        <v>1.2942562097341449E-3</v>
      </c>
      <c r="P86" s="230">
        <f>P$82*'BTX recycling rates'!R45</f>
        <v>1.4146473284756061E-3</v>
      </c>
      <c r="Q86" s="230">
        <f>Q$82*'BTX recycling rates'!S45</f>
        <v>1.5278296301862761E-3</v>
      </c>
      <c r="R86" s="230">
        <f>R$82*'BTX recycling rates'!T45</f>
        <v>1.631987272009283E-3</v>
      </c>
      <c r="S86" s="230">
        <f>S$82*'BTX recycling rates'!U45</f>
        <v>1.7285617400329962E-3</v>
      </c>
      <c r="T86" s="230">
        <f>T$82*'BTX recycling rates'!V45</f>
        <v>1.8165286268566449E-3</v>
      </c>
      <c r="U86" s="230">
        <f>U$82*'BTX recycling rates'!W45</f>
        <v>1.8949458867197377E-3</v>
      </c>
      <c r="V86" s="230">
        <f>V$82*'BTX recycling rates'!X45</f>
        <v>1.9629588201646891E-3</v>
      </c>
      <c r="W86" s="230">
        <f>W$82*'BTX recycling rates'!Y45</f>
        <v>2.0198050204771156E-3</v>
      </c>
      <c r="X86" s="230">
        <f>X$82*'BTX recycling rates'!Z45</f>
        <v>2.10812506259966E-3</v>
      </c>
      <c r="Y86" s="230">
        <f>Y$82*'BTX recycling rates'!AA45</f>
        <v>2.1822446324129712E-3</v>
      </c>
      <c r="Z86" s="230">
        <f>Z$82*'BTX recycling rates'!AB45</f>
        <v>2.2411149919686615E-3</v>
      </c>
      <c r="AA86" s="230">
        <f>AA$82*'BTX recycling rates'!AC45</f>
        <v>2.2838501388626605E-3</v>
      </c>
      <c r="AB86" s="230">
        <f>AB$82*'BTX recycling rates'!AD45</f>
        <v>2.3097342900230992E-3</v>
      </c>
      <c r="AC86" s="230">
        <f>AC$82*'BTX recycling rates'!AE45</f>
        <v>2.3182511836202352E-3</v>
      </c>
      <c r="AD86" s="230">
        <f>AD$82*'BTX recycling rates'!AF45</f>
        <v>2.3090472850692905E-3</v>
      </c>
      <c r="AE86" s="230">
        <f>AE$82*'BTX recycling rates'!AG45</f>
        <v>2.2819600686736861E-3</v>
      </c>
      <c r="AF86" s="230">
        <f>AF$82*'BTX recycling rates'!AH45</f>
        <v>2.2370250292190093E-3</v>
      </c>
      <c r="AG86" s="234">
        <f>AG$82*'BTX recycling rates'!AI45</f>
        <v>2.1744825719631428E-3</v>
      </c>
      <c r="AH86" s="245"/>
      <c r="AI86" s="133"/>
      <c r="AJ86" s="211"/>
      <c r="AL86" s="108"/>
      <c r="AM86" s="2"/>
      <c r="AN86" s="2"/>
      <c r="AO86" s="2"/>
      <c r="BC86" s="1"/>
      <c r="BD86" s="2"/>
      <c r="BE86" s="2"/>
      <c r="BF86" s="2"/>
      <c r="BG86" s="2"/>
      <c r="BH86" s="2"/>
      <c r="BI86" s="2"/>
      <c r="BJ86" s="2"/>
      <c r="BK86" s="2"/>
    </row>
    <row r="87" spans="1:63" s="1" customFormat="1" outlineLevel="1" x14ac:dyDescent="0.2">
      <c r="A87" s="1" t="s">
        <v>1564</v>
      </c>
      <c r="B87" s="65"/>
      <c r="C87" s="300">
        <f>C82-$C82</f>
        <v>0</v>
      </c>
      <c r="D87" s="300">
        <f t="shared" ref="D87:AG87" si="40">D82-$C82</f>
        <v>1.5123082173807978E-2</v>
      </c>
      <c r="E87" s="300">
        <f t="shared" si="40"/>
        <v>2.693364218933253E-2</v>
      </c>
      <c r="F87" s="300">
        <f t="shared" si="40"/>
        <v>3.8288435350550432E-2</v>
      </c>
      <c r="G87" s="300">
        <f t="shared" si="40"/>
        <v>4.8079973627867922E-2</v>
      </c>
      <c r="H87" s="300">
        <f t="shared" si="40"/>
        <v>5.6210436771865935E-2</v>
      </c>
      <c r="I87" s="300">
        <f t="shared" si="40"/>
        <v>6.3598508603228132E-2</v>
      </c>
      <c r="J87" s="300">
        <f t="shared" si="40"/>
        <v>7.0216392998809884E-2</v>
      </c>
      <c r="K87" s="300">
        <f t="shared" si="40"/>
        <v>7.6038223078995881E-2</v>
      </c>
      <c r="L87" s="300">
        <f t="shared" si="40"/>
        <v>8.1040193670004979E-2</v>
      </c>
      <c r="M87" s="300">
        <f t="shared" si="40"/>
        <v>8.5200688309340578E-2</v>
      </c>
      <c r="N87" s="300">
        <f t="shared" si="40"/>
        <v>9.5810338865095102E-2</v>
      </c>
      <c r="O87" s="300">
        <f t="shared" si="40"/>
        <v>0.10338001527173862</v>
      </c>
      <c r="P87" s="300">
        <f t="shared" si="40"/>
        <v>0.10788764004950807</v>
      </c>
      <c r="Q87" s="300">
        <f t="shared" si="40"/>
        <v>0.10934444619282585</v>
      </c>
      <c r="R87" s="300">
        <f t="shared" si="40"/>
        <v>0.10779474384141691</v>
      </c>
      <c r="S87" s="300">
        <f t="shared" si="40"/>
        <v>0.10422337496287731</v>
      </c>
      <c r="T87" s="300">
        <f t="shared" si="40"/>
        <v>9.87054340680939E-2</v>
      </c>
      <c r="U87" s="300">
        <f t="shared" si="40"/>
        <v>9.1320715968197297E-2</v>
      </c>
      <c r="V87" s="300">
        <f t="shared" si="40"/>
        <v>8.2153705160535273E-2</v>
      </c>
      <c r="W87" s="300">
        <f t="shared" si="40"/>
        <v>7.1293559465711864E-2</v>
      </c>
      <c r="X87" s="300">
        <f t="shared" si="40"/>
        <v>6.8473348796910916E-2</v>
      </c>
      <c r="Y87" s="300">
        <f t="shared" si="40"/>
        <v>6.2892368991934733E-2</v>
      </c>
      <c r="Z87" s="300">
        <f t="shared" si="40"/>
        <v>5.4697584664071819E-2</v>
      </c>
      <c r="AA87" s="300">
        <f t="shared" si="40"/>
        <v>4.4043161141475884E-2</v>
      </c>
      <c r="AB87" s="300">
        <f t="shared" si="40"/>
        <v>3.1090423584553883E-2</v>
      </c>
      <c r="AC87" s="300">
        <f t="shared" si="40"/>
        <v>1.6011748020976713E-2</v>
      </c>
      <c r="AD87" s="300">
        <f t="shared" si="40"/>
        <v>-1.0178549769356282E-3</v>
      </c>
      <c r="AE87" s="300">
        <f t="shared" si="40"/>
        <v>-1.9816489423987671E-2</v>
      </c>
      <c r="AF87" s="300">
        <f t="shared" si="40"/>
        <v>-4.0195430912931096E-2</v>
      </c>
      <c r="AG87" s="300">
        <f t="shared" si="40"/>
        <v>-6.1959191154238036E-2</v>
      </c>
      <c r="AH87" s="245"/>
      <c r="AI87" s="423"/>
      <c r="AJ87" s="424"/>
      <c r="AL87" s="221"/>
      <c r="AM87" s="124"/>
      <c r="AN87" s="124"/>
      <c r="AO87" s="124"/>
      <c r="BD87" s="124"/>
      <c r="BE87" s="124"/>
      <c r="BF87" s="124"/>
      <c r="BG87" s="124"/>
      <c r="BH87" s="124"/>
      <c r="BI87" s="124"/>
      <c r="BJ87" s="124"/>
      <c r="BK87" s="124"/>
    </row>
    <row r="88" spans="1:63" outlineLevel="1" x14ac:dyDescent="0.2">
      <c r="A88" s="4" t="s">
        <v>474</v>
      </c>
      <c r="C88" s="230">
        <f>C83-$C83</f>
        <v>0</v>
      </c>
      <c r="D88" s="230">
        <f t="shared" ref="D88:AG88" si="41">D83-$C83</f>
        <v>9.5243737400409478E-3</v>
      </c>
      <c r="E88" s="230">
        <f t="shared" si="41"/>
        <v>1.5432817392980414E-2</v>
      </c>
      <c r="F88" s="230">
        <f t="shared" si="41"/>
        <v>2.0590334013512179E-2</v>
      </c>
      <c r="G88" s="230">
        <f t="shared" si="41"/>
        <v>2.3970612513184719E-2</v>
      </c>
      <c r="H88" s="230">
        <f t="shared" si="41"/>
        <v>2.5545234382555126E-2</v>
      </c>
      <c r="I88" s="230">
        <f t="shared" si="41"/>
        <v>2.6222619854026297E-2</v>
      </c>
      <c r="J88" s="230">
        <f t="shared" si="41"/>
        <v>2.6007363791795579E-2</v>
      </c>
      <c r="K88" s="230">
        <f t="shared" si="41"/>
        <v>2.4907260387519281E-2</v>
      </c>
      <c r="L88" s="230">
        <f t="shared" si="41"/>
        <v>2.2933290630571646E-2</v>
      </c>
      <c r="M88" s="230">
        <f t="shared" si="41"/>
        <v>2.0099594469934035E-2</v>
      </c>
      <c r="N88" s="230">
        <f t="shared" si="41"/>
        <v>2.263556317074189E-2</v>
      </c>
      <c r="O88" s="230">
        <f t="shared" si="41"/>
        <v>2.234567950040206E-2</v>
      </c>
      <c r="P88" s="230">
        <f t="shared" si="41"/>
        <v>1.9333383927716052E-2</v>
      </c>
      <c r="Q88" s="230">
        <f t="shared" si="41"/>
        <v>1.3730269872276657E-2</v>
      </c>
      <c r="R88" s="230">
        <f t="shared" si="41"/>
        <v>5.6936768977139951E-3</v>
      </c>
      <c r="S88" s="230">
        <f t="shared" si="41"/>
        <v>-3.8848453720959353E-3</v>
      </c>
      <c r="T88" s="230">
        <f t="shared" si="41"/>
        <v>-1.4866612000400181E-2</v>
      </c>
      <c r="U88" s="230">
        <f t="shared" si="41"/>
        <v>-2.7113387907672537E-2</v>
      </c>
      <c r="V88" s="230">
        <f t="shared" si="41"/>
        <v>-4.0487709150287932E-2</v>
      </c>
      <c r="W88" s="230">
        <f t="shared" si="41"/>
        <v>-5.4853207545580762E-2</v>
      </c>
      <c r="X88" s="230">
        <f t="shared" si="41"/>
        <v>-6.3168685941914882E-2</v>
      </c>
      <c r="Y88" s="230">
        <f t="shared" si="41"/>
        <v>-7.3350146412709705E-2</v>
      </c>
      <c r="Z88" s="230">
        <f t="shared" si="41"/>
        <v>-8.518576856298643E-2</v>
      </c>
      <c r="AA88" s="230">
        <f t="shared" si="41"/>
        <v>-9.84667000099822E-2</v>
      </c>
      <c r="AB88" s="230">
        <f t="shared" si="41"/>
        <v>-0.11298756359896417</v>
      </c>
      <c r="AC88" s="230">
        <f t="shared" si="41"/>
        <v>-0.12854440640186821</v>
      </c>
      <c r="AD88" s="230">
        <f t="shared" si="41"/>
        <v>-0.14494079319578451</v>
      </c>
      <c r="AE88" s="230">
        <f t="shared" si="41"/>
        <v>-0.16198533329128864</v>
      </c>
      <c r="AF88" s="230">
        <f t="shared" si="41"/>
        <v>-0.17949217436758455</v>
      </c>
      <c r="AG88" s="230">
        <f t="shared" si="41"/>
        <v>-0.19728149625045821</v>
      </c>
      <c r="AH88" s="245"/>
      <c r="AI88" s="133"/>
      <c r="AJ88" s="211"/>
      <c r="AL88" s="108"/>
      <c r="AM88" s="2"/>
      <c r="AN88" s="2"/>
      <c r="AO88" s="2"/>
      <c r="BC88" s="1"/>
      <c r="BD88" s="2"/>
      <c r="BE88" s="2"/>
      <c r="BF88" s="2"/>
      <c r="BG88" s="2"/>
      <c r="BH88" s="2"/>
      <c r="BI88" s="2"/>
      <c r="BJ88" s="2"/>
      <c r="BK88" s="2"/>
    </row>
    <row r="89" spans="1:63" outlineLevel="1" x14ac:dyDescent="0.2">
      <c r="A89" s="4" t="s">
        <v>478</v>
      </c>
      <c r="C89" s="230">
        <f t="shared" ref="C89:AG91" si="42">C84-$C84</f>
        <v>0</v>
      </c>
      <c r="D89" s="230">
        <f t="shared" si="42"/>
        <v>4.478255101399274E-3</v>
      </c>
      <c r="E89" s="230">
        <f t="shared" si="42"/>
        <v>9.1962800541112496E-3</v>
      </c>
      <c r="F89" s="230">
        <f t="shared" si="42"/>
        <v>1.4149510776063015E-2</v>
      </c>
      <c r="G89" s="230">
        <f t="shared" si="42"/>
        <v>1.927238880715652E-2</v>
      </c>
      <c r="H89" s="230">
        <f t="shared" si="42"/>
        <v>2.450946488168556E-2</v>
      </c>
      <c r="I89" s="230">
        <f t="shared" si="42"/>
        <v>2.9869577729633397E-2</v>
      </c>
      <c r="J89" s="230">
        <f t="shared" si="42"/>
        <v>3.5326860834569998E-2</v>
      </c>
      <c r="K89" s="230">
        <f t="shared" si="42"/>
        <v>4.0854435559371793E-2</v>
      </c>
      <c r="L89" s="230">
        <f t="shared" si="42"/>
        <v>4.6424526938400525E-2</v>
      </c>
      <c r="M89" s="230">
        <f t="shared" si="42"/>
        <v>5.2008587326997084E-2</v>
      </c>
      <c r="N89" s="230">
        <f t="shared" si="42"/>
        <v>5.8458598410135662E-2</v>
      </c>
      <c r="O89" s="230">
        <f t="shared" si="42"/>
        <v>6.4735600998515358E-2</v>
      </c>
      <c r="P89" s="230">
        <f t="shared" si="42"/>
        <v>7.0739420519310994E-2</v>
      </c>
      <c r="Q89" s="230">
        <f t="shared" si="42"/>
        <v>7.6374021447675342E-2</v>
      </c>
      <c r="R89" s="230">
        <f t="shared" si="42"/>
        <v>8.1549241502152092E-2</v>
      </c>
      <c r="S89" s="230">
        <f t="shared" si="42"/>
        <v>8.6340220206906432E-2</v>
      </c>
      <c r="T89" s="230">
        <f t="shared" si="42"/>
        <v>9.0696267630115804E-2</v>
      </c>
      <c r="U89" s="230">
        <f t="shared" si="42"/>
        <v>9.4570806806707833E-2</v>
      </c>
      <c r="V89" s="230">
        <f t="shared" si="42"/>
        <v>9.7921621630511352E-2</v>
      </c>
      <c r="W89" s="230">
        <f t="shared" si="42"/>
        <v>0.10071110282519501</v>
      </c>
      <c r="X89" s="230">
        <f t="shared" si="42"/>
        <v>0.10509414491235407</v>
      </c>
      <c r="Y89" s="230">
        <f t="shared" si="42"/>
        <v>0.10876122831047802</v>
      </c>
      <c r="Z89" s="230">
        <f t="shared" si="42"/>
        <v>0.11166070412963287</v>
      </c>
      <c r="AA89" s="230">
        <f t="shared" si="42"/>
        <v>0.11374904285734337</v>
      </c>
      <c r="AB89" s="230">
        <f t="shared" si="42"/>
        <v>0.11499120644749221</v>
      </c>
      <c r="AC89" s="230">
        <f t="shared" si="42"/>
        <v>0.11536211935125242</v>
      </c>
      <c r="AD89" s="230">
        <f t="shared" si="42"/>
        <v>0.11484480902449273</v>
      </c>
      <c r="AE89" s="230">
        <f t="shared" si="42"/>
        <v>0.11343182746996715</v>
      </c>
      <c r="AF89" s="230">
        <f t="shared" si="42"/>
        <v>0.11112559978373175</v>
      </c>
      <c r="AG89" s="230">
        <f t="shared" si="42"/>
        <v>0.10793876662679308</v>
      </c>
      <c r="AH89" s="245"/>
      <c r="AI89" s="133"/>
      <c r="AJ89" s="211"/>
      <c r="AL89" s="108"/>
      <c r="AM89" s="2"/>
      <c r="AN89" s="2"/>
      <c r="AO89" s="2"/>
      <c r="BC89" s="1"/>
      <c r="BD89" s="2"/>
      <c r="BE89" s="2"/>
      <c r="BF89" s="2"/>
      <c r="BG89" s="2"/>
      <c r="BH89" s="2"/>
      <c r="BI89" s="2"/>
      <c r="BJ89" s="2"/>
      <c r="BK89" s="2"/>
    </row>
    <row r="90" spans="1:63" outlineLevel="1" x14ac:dyDescent="0.2">
      <c r="A90" s="4" t="s">
        <v>745</v>
      </c>
      <c r="C90" s="230">
        <f t="shared" si="42"/>
        <v>0</v>
      </c>
      <c r="D90" s="230">
        <f t="shared" si="42"/>
        <v>1.0314799425097515E-3</v>
      </c>
      <c r="E90" s="230">
        <f t="shared" si="42"/>
        <v>2.1215445655505235E-3</v>
      </c>
      <c r="F90" s="230">
        <f t="shared" si="42"/>
        <v>3.2668027146570216E-3</v>
      </c>
      <c r="G90" s="230">
        <f t="shared" si="42"/>
        <v>4.4528761471445272E-3</v>
      </c>
      <c r="H90" s="230">
        <f t="shared" si="42"/>
        <v>5.6669203321950629E-3</v>
      </c>
      <c r="I90" s="230">
        <f t="shared" si="42"/>
        <v>6.9102469824095228E-3</v>
      </c>
      <c r="J90" s="230">
        <f t="shared" si="42"/>
        <v>8.1768497245755505E-3</v>
      </c>
      <c r="K90" s="230">
        <f t="shared" si="42"/>
        <v>9.4604847066887768E-3</v>
      </c>
      <c r="L90" s="230">
        <f t="shared" si="42"/>
        <v>1.0754697479105551E-2</v>
      </c>
      <c r="M90" s="230">
        <f t="shared" si="42"/>
        <v>1.2052851711539633E-2</v>
      </c>
      <c r="N90" s="230">
        <f t="shared" si="42"/>
        <v>1.354758940920012E-2</v>
      </c>
      <c r="O90" s="230">
        <f t="shared" si="42"/>
        <v>1.5004478563087315E-2</v>
      </c>
      <c r="P90" s="230">
        <f t="shared" si="42"/>
        <v>1.6400188274005689E-2</v>
      </c>
      <c r="Q90" s="230">
        <f t="shared" si="42"/>
        <v>1.7712325242687853E-2</v>
      </c>
      <c r="R90" s="230">
        <f t="shared" si="42"/>
        <v>1.8919838169541851E-2</v>
      </c>
      <c r="S90" s="230">
        <f t="shared" si="42"/>
        <v>2.003943838803415E-2</v>
      </c>
      <c r="T90" s="230">
        <f t="shared" si="42"/>
        <v>2.1059249811521998E-2</v>
      </c>
      <c r="U90" s="230">
        <f t="shared" si="42"/>
        <v>2.1968351182442607E-2</v>
      </c>
      <c r="V90" s="230">
        <f t="shared" si="42"/>
        <v>2.2756833860147572E-2</v>
      </c>
      <c r="W90" s="230">
        <f t="shared" si="42"/>
        <v>2.3415859165620882E-2</v>
      </c>
      <c r="X90" s="230">
        <f t="shared" si="42"/>
        <v>2.4439764763872478E-2</v>
      </c>
      <c r="Y90" s="230">
        <f t="shared" si="42"/>
        <v>2.5299042461753893E-2</v>
      </c>
      <c r="Z90" s="230">
        <f t="shared" si="42"/>
        <v>2.5981534105457144E-2</v>
      </c>
      <c r="AA90" s="230">
        <f t="shared" si="42"/>
        <v>2.6476968155252519E-2</v>
      </c>
      <c r="AB90" s="230">
        <f t="shared" si="42"/>
        <v>2.677704644600323E-2</v>
      </c>
      <c r="AC90" s="230">
        <f t="shared" si="42"/>
        <v>2.6875783887972755E-2</v>
      </c>
      <c r="AD90" s="230">
        <f t="shared" si="42"/>
        <v>2.6769081909287364E-2</v>
      </c>
      <c r="AE90" s="230">
        <f t="shared" si="42"/>
        <v>2.6455056328660603E-2</v>
      </c>
      <c r="AF90" s="230">
        <f t="shared" si="42"/>
        <v>2.5934118641703186E-2</v>
      </c>
      <c r="AG90" s="230">
        <f t="shared" si="42"/>
        <v>2.5209055897463983E-2</v>
      </c>
      <c r="AH90" s="245"/>
      <c r="AI90" s="133"/>
      <c r="AJ90" s="211"/>
      <c r="AL90" s="108"/>
      <c r="AM90" s="2"/>
      <c r="AN90" s="2"/>
      <c r="AO90" s="2"/>
      <c r="BC90" s="1"/>
      <c r="BD90" s="2"/>
      <c r="BE90" s="2"/>
      <c r="BF90" s="2"/>
      <c r="BG90" s="2"/>
      <c r="BH90" s="2"/>
      <c r="BI90" s="2"/>
      <c r="BJ90" s="2"/>
      <c r="BK90" s="2"/>
    </row>
    <row r="91" spans="1:63" outlineLevel="1" x14ac:dyDescent="0.2">
      <c r="A91" s="4" t="s">
        <v>1561</v>
      </c>
      <c r="C91" s="230">
        <f t="shared" si="42"/>
        <v>0</v>
      </c>
      <c r="D91" s="230">
        <f t="shared" si="42"/>
        <v>8.8973389857992951E-5</v>
      </c>
      <c r="E91" s="230">
        <f t="shared" si="42"/>
        <v>1.8300017669034652E-4</v>
      </c>
      <c r="F91" s="230">
        <f t="shared" si="42"/>
        <v>2.8178784631828263E-4</v>
      </c>
      <c r="G91" s="230">
        <f t="shared" si="42"/>
        <v>3.8409616038219966E-4</v>
      </c>
      <c r="H91" s="230">
        <f t="shared" si="42"/>
        <v>4.8881717543025475E-4</v>
      </c>
      <c r="I91" s="230">
        <f t="shared" si="42"/>
        <v>5.960640371590446E-4</v>
      </c>
      <c r="J91" s="230">
        <f t="shared" si="42"/>
        <v>7.053186478689136E-4</v>
      </c>
      <c r="K91" s="230">
        <f t="shared" si="42"/>
        <v>8.1604242541618091E-4</v>
      </c>
      <c r="L91" s="230">
        <f t="shared" si="42"/>
        <v>9.2767862192743092E-4</v>
      </c>
      <c r="M91" s="230">
        <f t="shared" si="42"/>
        <v>1.0396548008700175E-3</v>
      </c>
      <c r="N91" s="230">
        <f t="shared" si="42"/>
        <v>1.1685878750176306E-3</v>
      </c>
      <c r="O91" s="230">
        <f t="shared" si="42"/>
        <v>1.2942562097341449E-3</v>
      </c>
      <c r="P91" s="230">
        <f t="shared" si="42"/>
        <v>1.4146473284756061E-3</v>
      </c>
      <c r="Q91" s="230">
        <f t="shared" si="42"/>
        <v>1.5278296301862761E-3</v>
      </c>
      <c r="R91" s="230">
        <f t="shared" si="42"/>
        <v>1.631987272009283E-3</v>
      </c>
      <c r="S91" s="230">
        <f t="shared" si="42"/>
        <v>1.7285617400329962E-3</v>
      </c>
      <c r="T91" s="230">
        <f t="shared" si="42"/>
        <v>1.8165286268566449E-3</v>
      </c>
      <c r="U91" s="230">
        <f t="shared" si="42"/>
        <v>1.8949458867197377E-3</v>
      </c>
      <c r="V91" s="230">
        <f t="shared" si="42"/>
        <v>1.9629588201646891E-3</v>
      </c>
      <c r="W91" s="230">
        <f t="shared" si="42"/>
        <v>2.0198050204771156E-3</v>
      </c>
      <c r="X91" s="230">
        <f t="shared" si="42"/>
        <v>2.10812506259966E-3</v>
      </c>
      <c r="Y91" s="230">
        <f t="shared" si="42"/>
        <v>2.1822446324129712E-3</v>
      </c>
      <c r="Z91" s="230">
        <f t="shared" si="42"/>
        <v>2.2411149919686615E-3</v>
      </c>
      <c r="AA91" s="230">
        <f t="shared" si="42"/>
        <v>2.2838501388626605E-3</v>
      </c>
      <c r="AB91" s="230">
        <f t="shared" si="42"/>
        <v>2.3097342900230992E-3</v>
      </c>
      <c r="AC91" s="230">
        <f t="shared" si="42"/>
        <v>2.3182511836202352E-3</v>
      </c>
      <c r="AD91" s="230">
        <f t="shared" si="42"/>
        <v>2.3090472850692905E-3</v>
      </c>
      <c r="AE91" s="230">
        <f t="shared" si="42"/>
        <v>2.2819600686736861E-3</v>
      </c>
      <c r="AF91" s="230">
        <f t="shared" si="42"/>
        <v>2.2370250292190093E-3</v>
      </c>
      <c r="AG91" s="230">
        <f t="shared" si="42"/>
        <v>2.1744825719631428E-3</v>
      </c>
      <c r="AH91" s="245"/>
      <c r="AI91" s="133"/>
      <c r="AJ91" s="211"/>
      <c r="AL91" s="108"/>
      <c r="AM91" s="2"/>
      <c r="AN91" s="2"/>
      <c r="AO91" s="2"/>
      <c r="BC91" s="1"/>
      <c r="BD91" s="2"/>
      <c r="BE91" s="2"/>
      <c r="BF91" s="2"/>
      <c r="BG91" s="2"/>
      <c r="BH91" s="2"/>
      <c r="BI91" s="2"/>
      <c r="BJ91" s="2"/>
      <c r="BK91" s="2"/>
    </row>
    <row r="92" spans="1:63" s="1" customFormat="1" outlineLevel="1" x14ac:dyDescent="0.2">
      <c r="A92" s="1" t="s">
        <v>1565</v>
      </c>
      <c r="B92" s="65"/>
      <c r="C92" s="300">
        <f>'BTX Recycling HC'!C92</f>
        <v>5.6729413750912104E-4</v>
      </c>
      <c r="D92" s="300">
        <f>'BTX Recycling HC'!D92</f>
        <v>6.2570813980681369E-4</v>
      </c>
      <c r="E92" s="300">
        <f>'BTX Recycling HC'!E92</f>
        <v>6.8655528834308968E-4</v>
      </c>
      <c r="F92" s="300">
        <f>'BTX Recycling HC'!F92</f>
        <v>7.4981943102293705E-4</v>
      </c>
      <c r="G92" s="300">
        <f>'BTX Recycling HC'!G92</f>
        <v>8.1548441575134492E-4</v>
      </c>
      <c r="H92" s="300">
        <f>'BTX Recycling HC'!H92</f>
        <v>8.8353409043330142E-4</v>
      </c>
      <c r="I92" s="300">
        <f>'BTX Recycling HC'!I92</f>
        <v>9.5395230297379546E-4</v>
      </c>
      <c r="J92" s="300">
        <f>'BTX Recycling HC'!J92</f>
        <v>1.0267229012778151E-3</v>
      </c>
      <c r="K92" s="300">
        <f>'BTX Recycling HC'!K92</f>
        <v>1.101829733250349E-3</v>
      </c>
      <c r="L92" s="300">
        <f>'BTX Recycling HC'!L92</f>
        <v>1.179256646796386E-3</v>
      </c>
      <c r="M92" s="300">
        <f>'BTX Recycling HC'!M92</f>
        <v>1.2589874898209143E-3</v>
      </c>
      <c r="N92" s="300">
        <f>'BTX Recycling HC'!N92</f>
        <v>1.4337831185944471E-3</v>
      </c>
      <c r="O92" s="300">
        <f>'BTX Recycling HC'!O92</f>
        <v>1.6193476691253436E-3</v>
      </c>
      <c r="P92" s="300">
        <f>'BTX Recycling HC'!P92</f>
        <v>1.8156102312692156E-3</v>
      </c>
      <c r="Q92" s="300">
        <f>'BTX Recycling HC'!Q92</f>
        <v>2.0224998948816775E-3</v>
      </c>
      <c r="R92" s="300">
        <f>'BTX Recycling HC'!R92</f>
        <v>2.2399457498183399E-3</v>
      </c>
      <c r="S92" s="300">
        <f>'BTX Recycling HC'!S92</f>
        <v>2.4678768859348159E-3</v>
      </c>
      <c r="T92" s="300">
        <f>'BTX Recycling HC'!T92</f>
        <v>2.7062223930867184E-3</v>
      </c>
      <c r="U92" s="300">
        <f>'BTX Recycling HC'!U92</f>
        <v>2.9549113611296593E-3</v>
      </c>
      <c r="V92" s="300">
        <f>'BTX Recycling HC'!V92</f>
        <v>3.213872879919252E-3</v>
      </c>
      <c r="W92" s="300">
        <f>'BTX Recycling HC'!W92</f>
        <v>3.4830360393111074E-3</v>
      </c>
      <c r="X92" s="300">
        <f>'BTX Recycling HC'!X92</f>
        <v>3.9664445731240269E-3</v>
      </c>
      <c r="Y92" s="300">
        <f>'BTX Recycling HC'!Y92</f>
        <v>4.4796009075347126E-3</v>
      </c>
      <c r="Z92" s="300">
        <f>'BTX Recycling HC'!Z92</f>
        <v>5.0223047662651087E-3</v>
      </c>
      <c r="AA92" s="300">
        <f>'BTX Recycling HC'!AA92</f>
        <v>5.5943558730371578E-3</v>
      </c>
      <c r="AB92" s="300">
        <f>'BTX Recycling HC'!AB92</f>
        <v>6.195553951572807E-3</v>
      </c>
      <c r="AC92" s="300">
        <f>'BTX Recycling HC'!AC92</f>
        <v>6.8256987255939936E-3</v>
      </c>
      <c r="AD92" s="300">
        <f>'BTX Recycling HC'!AD92</f>
        <v>7.4845899188226679E-3</v>
      </c>
      <c r="AE92" s="300">
        <f>'BTX Recycling HC'!AE92</f>
        <v>8.1720272549807675E-3</v>
      </c>
      <c r="AF92" s="300">
        <f>'BTX Recycling HC'!AF92</f>
        <v>8.8878104577902392E-3</v>
      </c>
      <c r="AG92" s="300">
        <f>'BTX Recycling HC'!AG92</f>
        <v>9.6317392509730412E-3</v>
      </c>
      <c r="AH92" s="245"/>
      <c r="AI92" s="423"/>
      <c r="AJ92" s="424"/>
      <c r="AL92" s="221"/>
      <c r="AM92" s="124"/>
      <c r="AN92" s="124"/>
      <c r="AO92" s="124"/>
      <c r="BD92" s="124"/>
      <c r="BE92" s="124"/>
      <c r="BF92" s="124"/>
      <c r="BG92" s="124"/>
      <c r="BH92" s="124"/>
      <c r="BI92" s="124"/>
      <c r="BJ92" s="124"/>
      <c r="BK92" s="124"/>
    </row>
    <row r="93" spans="1:63" outlineLevel="1" x14ac:dyDescent="0.2">
      <c r="A93" s="4" t="s">
        <v>474</v>
      </c>
      <c r="C93" s="230">
        <f>C$92*'BTX recycling rates'!E46</f>
        <v>5.6531129524515947E-4</v>
      </c>
      <c r="D93" s="230">
        <f>D$92*'BTX recycling rates'!F46</f>
        <v>6.0273708772839898E-4</v>
      </c>
      <c r="E93" s="230">
        <f>E$92*'BTX recycling rates'!G46</f>
        <v>6.3854522384773507E-4</v>
      </c>
      <c r="F93" s="230">
        <f>F$92*'BTX recycling rates'!H46</f>
        <v>6.7247875335266401E-4</v>
      </c>
      <c r="G93" s="230">
        <f>G$92*'BTX recycling rates'!I46</f>
        <v>7.0428287207790813E-4</v>
      </c>
      <c r="H93" s="230">
        <f>H$92*'BTX recycling rates'!J46</f>
        <v>7.3370492194341425E-4</v>
      </c>
      <c r="I93" s="230">
        <f>I$92*'BTX recycling rates'!K46</f>
        <v>7.6049439095435506E-4</v>
      </c>
      <c r="J93" s="230">
        <f>J$92*'BTX recycling rates'!L46</f>
        <v>7.8440291320112812E-4</v>
      </c>
      <c r="K93" s="230">
        <f>K$92*'BTX recycling rates'!M46</f>
        <v>8.0518426885935667E-4</v>
      </c>
      <c r="L93" s="230">
        <f>L$92*'BTX recycling rates'!N46</f>
        <v>8.2259438418988927E-4</v>
      </c>
      <c r="M93" s="230">
        <f>M$92*'BTX recycling rates'!O46</f>
        <v>8.3639133153879937E-4</v>
      </c>
      <c r="N93" s="230">
        <f>N$92*'BTX recycling rates'!P46</f>
        <v>9.0488872393494667E-4</v>
      </c>
      <c r="O93" s="230">
        <f>O$92*'BTX recycling rates'!Q46</f>
        <v>9.6821257378577321E-4</v>
      </c>
      <c r="P93" s="230">
        <f>P$92*'BTX recycling rates'!R46</f>
        <v>1.0252497109699836E-3</v>
      </c>
      <c r="Q93" s="230">
        <f>Q$92*'BTX recycling rates'!S46</f>
        <v>1.074896387005587E-3</v>
      </c>
      <c r="R93" s="230">
        <f>R$92*'BTX recycling rates'!T46</f>
        <v>1.1160582750498946E-3</v>
      </c>
      <c r="S93" s="230">
        <f>S$92*'BTX recycling rates'!U46</f>
        <v>1.1476504698995219E-3</v>
      </c>
      <c r="T93" s="230">
        <f>T$92*'BTX recycling rates'!V46</f>
        <v>1.1685974879903881E-3</v>
      </c>
      <c r="U93" s="230">
        <f>U$92*'BTX recycling rates'!W46</f>
        <v>1.1778332673977158E-3</v>
      </c>
      <c r="V93" s="230">
        <f>V$92*'BTX recycling rates'!X46</f>
        <v>1.1743011678360311E-3</v>
      </c>
      <c r="W93" s="230">
        <f>W$92*'BTX recycling rates'!Y46</f>
        <v>1.1569539706591634E-3</v>
      </c>
      <c r="X93" s="230">
        <f>X$92*'BTX recycling rates'!Z46</f>
        <v>1.1857742417344238E-3</v>
      </c>
      <c r="Y93" s="230">
        <f>Y$92*'BTX recycling rates'!AA46</f>
        <v>1.1903849396782548E-3</v>
      </c>
      <c r="Z93" s="230">
        <f>Z$92*'BTX recycling rates'!AB46</f>
        <v>1.1677751142758974E-3</v>
      </c>
      <c r="AA93" s="230">
        <f>AA$92*'BTX recycling rates'!AC46</f>
        <v>1.1149604254805624E-3</v>
      </c>
      <c r="AB93" s="230">
        <f>AB$92*'BTX recycling rates'!AD46</f>
        <v>1.0289831434134305E-3</v>
      </c>
      <c r="AC93" s="230">
        <f>AC$92*'BTX recycling rates'!AE46</f>
        <v>9.0691214836365042E-4</v>
      </c>
      <c r="AD93" s="230">
        <f>AD$92*'BTX recycling rates'!AF46</f>
        <v>7.4584293078834303E-4</v>
      </c>
      <c r="AE93" s="230">
        <f>AE$92*'BTX recycling rates'!AG46</f>
        <v>5.4289759131259684E-4</v>
      </c>
      <c r="AF93" s="230">
        <f>AF$92*'BTX recycling rates'!AH46</f>
        <v>2.9522484072947119E-4</v>
      </c>
      <c r="AG93" s="230">
        <f>AG$92*'BTX recycling rates'!AI46</f>
        <v>0</v>
      </c>
      <c r="AH93" s="245"/>
      <c r="AI93" s="133"/>
      <c r="AJ93" s="211"/>
      <c r="AL93" s="108"/>
      <c r="AM93" s="2"/>
      <c r="AN93" s="2"/>
      <c r="AO93" s="2"/>
      <c r="BC93" s="1"/>
      <c r="BD93" s="2"/>
      <c r="BE93" s="2"/>
      <c r="BF93" s="2"/>
      <c r="BG93" s="2"/>
      <c r="BH93" s="2"/>
      <c r="BI93" s="2"/>
      <c r="BJ93" s="2"/>
      <c r="BK93" s="2"/>
    </row>
    <row r="94" spans="1:63" outlineLevel="1" x14ac:dyDescent="0.2">
      <c r="A94" s="4" t="s">
        <v>478</v>
      </c>
      <c r="C94" s="230">
        <f>C$92*'BTX recycling rates'!E47</f>
        <v>1.9828422639615865E-6</v>
      </c>
      <c r="D94" s="230">
        <f>D$92*'BTX recycling rates'!F47</f>
        <v>2.1141140848542519E-6</v>
      </c>
      <c r="E94" s="230">
        <f>E$92*'BTX recycling rates'!G47</f>
        <v>2.2397119391485265E-6</v>
      </c>
      <c r="F94" s="230">
        <f>F$92*'BTX recycling rates'!H47</f>
        <v>2.3587345679792151E-6</v>
      </c>
      <c r="G94" s="230">
        <f>G$92*'BTX recycling rates'!I47</f>
        <v>2.470288239924011E-6</v>
      </c>
      <c r="H94" s="230">
        <f>H$92*'BTX recycling rates'!J47</f>
        <v>2.5734867510034876E-6</v>
      </c>
      <c r="I94" s="230">
        <f>I$92*'BTX recycling rates'!K47</f>
        <v>2.6674514246811054E-6</v>
      </c>
      <c r="J94" s="230">
        <f>J$92*'BTX recycling rates'!L47</f>
        <v>2.7513111118632066E-6</v>
      </c>
      <c r="K94" s="230">
        <f>K$92*'BTX recycling rates'!M47</f>
        <v>2.8242021908990197E-6</v>
      </c>
      <c r="L94" s="230">
        <f>L$92*'BTX recycling rates'!N47</f>
        <v>2.8852685675806578E-6</v>
      </c>
      <c r="M94" s="230">
        <f>M$92*'BTX recycling rates'!O47</f>
        <v>2.9336616751431168E-6</v>
      </c>
      <c r="N94" s="230">
        <f>N$92*'BTX recycling rates'!P47</f>
        <v>3.1739178415360783E-6</v>
      </c>
      <c r="O94" s="230">
        <f>O$92*'BTX recycling rates'!Q47</f>
        <v>3.3960276894324033E-6</v>
      </c>
      <c r="P94" s="230">
        <f>P$92*'BTX recycling rates'!R47</f>
        <v>3.5960867492379941E-6</v>
      </c>
      <c r="Q94" s="230">
        <f>Q$92*'BTX recycling rates'!S47</f>
        <v>3.7702235979735431E-6</v>
      </c>
      <c r="R94" s="230">
        <f>R$92*'BTX recycling rates'!T47</f>
        <v>3.9145998592745193E-6</v>
      </c>
      <c r="S94" s="230">
        <f>S$92*'BTX recycling rates'!U47</f>
        <v>4.0254102033911788E-6</v>
      </c>
      <c r="T94" s="230">
        <f>T$92*'BTX recycling rates'!V47</f>
        <v>4.0988823471885634E-6</v>
      </c>
      <c r="U94" s="230">
        <f>U$92*'BTX recycling rates'!W47</f>
        <v>4.1312770541464949E-6</v>
      </c>
      <c r="V94" s="230">
        <f>V$92*'BTX recycling rates'!X47</f>
        <v>4.1188881343595824E-6</v>
      </c>
      <c r="W94" s="230">
        <f>W$92*'BTX recycling rates'!Y47</f>
        <v>4.0580424445372139E-6</v>
      </c>
      <c r="X94" s="230">
        <f>X$92*'BTX recycling rates'!Z47</f>
        <v>4.1591302027821178E-6</v>
      </c>
      <c r="Y94" s="230">
        <f>Y$92*'BTX recycling rates'!AA47</f>
        <v>4.1753023309994127E-6</v>
      </c>
      <c r="Z94" s="230">
        <f>Z$92*'BTX recycling rates'!AB47</f>
        <v>4.0959978526249914E-6</v>
      </c>
      <c r="AA94" s="230">
        <f>AA$92*'BTX recycling rates'!AC47</f>
        <v>3.9107491268659339E-6</v>
      </c>
      <c r="AB94" s="230">
        <f>AB$92*'BTX recycling rates'!AD47</f>
        <v>3.6091818487005055E-6</v>
      </c>
      <c r="AC94" s="230">
        <f>AC$92*'BTX recycling rates'!AE47</f>
        <v>3.1810150488781534E-6</v>
      </c>
      <c r="AD94" s="230">
        <f>AD$92*'BTX recycling rates'!AF47</f>
        <v>2.6160610939195149E-6</v>
      </c>
      <c r="AE94" s="230">
        <f>AE$92*'BTX recycling rates'!AG47</f>
        <v>1.9042256861164077E-6</v>
      </c>
      <c r="AF94" s="230">
        <f>AF$92*'BTX recycling rates'!AH47</f>
        <v>1.0355078635318381E-6</v>
      </c>
      <c r="AG94" s="230">
        <f>AG$92*'BTX recycling rates'!AI47</f>
        <v>0</v>
      </c>
      <c r="AH94" s="245"/>
      <c r="AI94" s="133"/>
      <c r="AJ94" s="211"/>
      <c r="AL94" s="108"/>
      <c r="AM94" s="2"/>
      <c r="AN94" s="2"/>
      <c r="AO94" s="2"/>
      <c r="BC94" s="1"/>
      <c r="BD94" s="2"/>
      <c r="BE94" s="2"/>
      <c r="BF94" s="2"/>
      <c r="BG94" s="2"/>
      <c r="BH94" s="2"/>
      <c r="BI94" s="2"/>
      <c r="BJ94" s="2"/>
      <c r="BK94" s="2"/>
    </row>
    <row r="95" spans="1:63" outlineLevel="1" x14ac:dyDescent="0.2">
      <c r="A95" s="4" t="s">
        <v>745</v>
      </c>
      <c r="C95" s="230">
        <f>C$92*'BTX recycling rates'!E48</f>
        <v>0</v>
      </c>
      <c r="D95" s="230">
        <f>D$92*'BTX recycling rates'!F48</f>
        <v>1.0428468996780228E-5</v>
      </c>
      <c r="E95" s="230">
        <f>E$92*'BTX recycling rates'!G48</f>
        <v>2.288517627810299E-5</v>
      </c>
      <c r="F95" s="230">
        <f>F$92*'BTX recycling rates'!H48</f>
        <v>3.7490971551146854E-5</v>
      </c>
      <c r="G95" s="230">
        <f>G$92*'BTX recycling rates'!I48</f>
        <v>5.4365627716756326E-5</v>
      </c>
      <c r="H95" s="230">
        <f>H$92*'BTX recycling rates'!J48</f>
        <v>7.3627840869441776E-5</v>
      </c>
      <c r="I95" s="230">
        <f>I$92*'BTX recycling rates'!K48</f>
        <v>9.5395230297379532E-5</v>
      </c>
      <c r="J95" s="230">
        <f>J$92*'BTX recycling rates'!L48</f>
        <v>1.1978433848241174E-4</v>
      </c>
      <c r="K95" s="230">
        <f>K$92*'BTX recycling rates'!M48</f>
        <v>1.4691063110004653E-4</v>
      </c>
      <c r="L95" s="230">
        <f>L$92*'BTX recycling rates'!N48</f>
        <v>1.7688849701945789E-4</v>
      </c>
      <c r="M95" s="230">
        <f>M$92*'BTX recycling rates'!O48</f>
        <v>2.0983124830348571E-4</v>
      </c>
      <c r="N95" s="230">
        <f>N$92*'BTX recycling rates'!P48</f>
        <v>2.6286023840898197E-4</v>
      </c>
      <c r="O95" s="230">
        <f>O$92*'BTX recycling rates'!Q48</f>
        <v>3.2386953382506869E-4</v>
      </c>
      <c r="P95" s="230">
        <f>P$92*'BTX recycling rates'!R48</f>
        <v>3.9338221677499667E-4</v>
      </c>
      <c r="Q95" s="230">
        <f>Q$92*'BTX recycling rates'!S48</f>
        <v>4.7191664213905803E-4</v>
      </c>
      <c r="R95" s="230">
        <f>R$92*'BTX recycling rates'!T48</f>
        <v>5.5998643745458487E-4</v>
      </c>
      <c r="S95" s="230">
        <f>S$92*'BTX recycling rates'!U48</f>
        <v>6.5810050291595086E-4</v>
      </c>
      <c r="T95" s="230">
        <f>T$92*'BTX recycling rates'!V48</f>
        <v>7.6676301137457018E-4</v>
      </c>
      <c r="U95" s="230">
        <f>U$92*'BTX recycling rates'!W48</f>
        <v>8.8647340833889778E-4</v>
      </c>
      <c r="V95" s="230">
        <f>V$92*'BTX recycling rates'!X48</f>
        <v>1.0177264119744297E-3</v>
      </c>
      <c r="W95" s="230">
        <f>W$92*'BTX recycling rates'!Y48</f>
        <v>1.1610120131037025E-3</v>
      </c>
      <c r="X95" s="230">
        <f>X$92*'BTX recycling rates'!Z48</f>
        <v>1.3882556005934093E-3</v>
      </c>
      <c r="Y95" s="230">
        <f>Y$92*'BTX recycling rates'!AA48</f>
        <v>1.6425203327627279E-3</v>
      </c>
      <c r="Z95" s="230">
        <f>Z$92*'BTX recycling rates'!AB48</f>
        <v>1.9252168270682915E-3</v>
      </c>
      <c r="AA95" s="230">
        <f>AA$92*'BTX recycling rates'!AC48</f>
        <v>2.2377423492148628E-3</v>
      </c>
      <c r="AB95" s="230">
        <f>AB$92*'BTX recycling rates'!AD48</f>
        <v>2.5814808131553362E-3</v>
      </c>
      <c r="AC95" s="230">
        <f>AC$92*'BTX recycling rates'!AE48</f>
        <v>2.9578027810907301E-3</v>
      </c>
      <c r="AD95" s="230">
        <f>AD$92*'BTX recycling rates'!AF48</f>
        <v>3.3680654634702001E-3</v>
      </c>
      <c r="AE95" s="230">
        <f>AE$92*'BTX recycling rates'!AG48</f>
        <v>3.8136127189910243E-3</v>
      </c>
      <c r="AF95" s="230">
        <f>AF$92*'BTX recycling rates'!AH48</f>
        <v>4.2957750545986155E-3</v>
      </c>
      <c r="AG95" s="230">
        <f>AG$92*'BTX recycling rates'!AI48</f>
        <v>4.8158696254865206E-3</v>
      </c>
      <c r="AH95" s="245"/>
      <c r="AI95" s="133"/>
      <c r="AJ95" s="211"/>
      <c r="AL95" s="108"/>
      <c r="AM95" s="2"/>
      <c r="AN95" s="2"/>
      <c r="AO95" s="2"/>
      <c r="BC95" s="1"/>
      <c r="BD95" s="2"/>
      <c r="BE95" s="2"/>
      <c r="BF95" s="2"/>
      <c r="BG95" s="2"/>
      <c r="BH95" s="2"/>
      <c r="BI95" s="2"/>
      <c r="BJ95" s="2"/>
      <c r="BK95" s="2"/>
    </row>
    <row r="96" spans="1:63" outlineLevel="1" x14ac:dyDescent="0.2">
      <c r="A96" s="4" t="s">
        <v>1561</v>
      </c>
      <c r="C96" s="230">
        <f>C$92*'BTX recycling rates'!E49</f>
        <v>0</v>
      </c>
      <c r="D96" s="230">
        <f>D$92*'BTX recycling rates'!F49</f>
        <v>1.0428468996780228E-5</v>
      </c>
      <c r="E96" s="230">
        <f>E$92*'BTX recycling rates'!G49</f>
        <v>2.288517627810299E-5</v>
      </c>
      <c r="F96" s="230">
        <f>F$92*'BTX recycling rates'!H49</f>
        <v>3.7490971551146854E-5</v>
      </c>
      <c r="G96" s="230">
        <f>G$92*'BTX recycling rates'!I49</f>
        <v>5.4365627716756326E-5</v>
      </c>
      <c r="H96" s="230">
        <f>H$92*'BTX recycling rates'!J49</f>
        <v>7.3627840869441776E-5</v>
      </c>
      <c r="I96" s="230">
        <f>I$92*'BTX recycling rates'!K49</f>
        <v>9.5395230297379532E-5</v>
      </c>
      <c r="J96" s="230">
        <f>J$92*'BTX recycling rates'!L49</f>
        <v>1.1978433848241174E-4</v>
      </c>
      <c r="K96" s="230">
        <f>K$92*'BTX recycling rates'!M49</f>
        <v>1.4691063110004653E-4</v>
      </c>
      <c r="L96" s="230">
        <f>L$92*'BTX recycling rates'!N49</f>
        <v>1.7688849701945789E-4</v>
      </c>
      <c r="M96" s="230">
        <f>M$92*'BTX recycling rates'!O49</f>
        <v>2.0983124830348571E-4</v>
      </c>
      <c r="N96" s="230">
        <f>N$92*'BTX recycling rates'!P49</f>
        <v>2.6286023840898197E-4</v>
      </c>
      <c r="O96" s="230">
        <f>O$92*'BTX recycling rates'!Q49</f>
        <v>3.2386953382506869E-4</v>
      </c>
      <c r="P96" s="230">
        <f>P$92*'BTX recycling rates'!R49</f>
        <v>3.9338221677499667E-4</v>
      </c>
      <c r="Q96" s="230">
        <f>Q$92*'BTX recycling rates'!S49</f>
        <v>4.7191664213905803E-4</v>
      </c>
      <c r="R96" s="230">
        <f>R$92*'BTX recycling rates'!T49</f>
        <v>5.5998643745458487E-4</v>
      </c>
      <c r="S96" s="230">
        <f>S$92*'BTX recycling rates'!U49</f>
        <v>6.5810050291595086E-4</v>
      </c>
      <c r="T96" s="230">
        <f>T$92*'BTX recycling rates'!V49</f>
        <v>7.6676301137457018E-4</v>
      </c>
      <c r="U96" s="230">
        <f>U$92*'BTX recycling rates'!W49</f>
        <v>8.8647340833889778E-4</v>
      </c>
      <c r="V96" s="230">
        <f>V$92*'BTX recycling rates'!X49</f>
        <v>1.0177264119744297E-3</v>
      </c>
      <c r="W96" s="230">
        <f>W$92*'BTX recycling rates'!Y49</f>
        <v>1.1610120131037025E-3</v>
      </c>
      <c r="X96" s="230">
        <f>X$92*'BTX recycling rates'!Z49</f>
        <v>1.3882556005934093E-3</v>
      </c>
      <c r="Y96" s="230">
        <f>Y$92*'BTX recycling rates'!AA49</f>
        <v>1.6425203327627279E-3</v>
      </c>
      <c r="Z96" s="230">
        <f>Z$92*'BTX recycling rates'!AB49</f>
        <v>1.9252168270682915E-3</v>
      </c>
      <c r="AA96" s="230">
        <f>AA$92*'BTX recycling rates'!AC49</f>
        <v>2.2377423492148628E-3</v>
      </c>
      <c r="AB96" s="230">
        <f>AB$92*'BTX recycling rates'!AD49</f>
        <v>2.5814808131553362E-3</v>
      </c>
      <c r="AC96" s="230">
        <f>AC$92*'BTX recycling rates'!AE49</f>
        <v>2.9578027810907301E-3</v>
      </c>
      <c r="AD96" s="230">
        <f>AD$92*'BTX recycling rates'!AF49</f>
        <v>3.3680654634702001E-3</v>
      </c>
      <c r="AE96" s="230">
        <f>AE$92*'BTX recycling rates'!AG49</f>
        <v>3.8136127189910243E-3</v>
      </c>
      <c r="AF96" s="230">
        <f>AF$92*'BTX recycling rates'!AH49</f>
        <v>4.2957750545986155E-3</v>
      </c>
      <c r="AG96" s="230">
        <f>AG$92*'BTX recycling rates'!AI49</f>
        <v>4.8158696254865206E-3</v>
      </c>
      <c r="AH96" s="245"/>
      <c r="AI96" s="133"/>
      <c r="AJ96" s="211"/>
      <c r="AL96" s="108"/>
      <c r="AM96" s="2"/>
      <c r="AN96" s="2"/>
      <c r="AO96" s="2"/>
      <c r="BC96" s="1"/>
      <c r="BD96" s="2"/>
      <c r="BE96" s="2"/>
      <c r="BF96" s="2"/>
      <c r="BG96" s="2"/>
      <c r="BH96" s="2"/>
      <c r="BI96" s="2"/>
      <c r="BJ96" s="2"/>
      <c r="BK96" s="2"/>
    </row>
    <row r="97" spans="1:63" s="1" customFormat="1" outlineLevel="1" x14ac:dyDescent="0.2">
      <c r="A97" s="1" t="s">
        <v>1566</v>
      </c>
      <c r="B97" s="65"/>
      <c r="C97" s="300">
        <f>C92-$C92</f>
        <v>0</v>
      </c>
      <c r="D97" s="300">
        <f t="shared" ref="D97:AG97" si="43">D92-$C92</f>
        <v>5.8414002297692649E-5</v>
      </c>
      <c r="E97" s="300">
        <f t="shared" si="43"/>
        <v>1.1926115083396864E-4</v>
      </c>
      <c r="F97" s="300">
        <f t="shared" si="43"/>
        <v>1.8252529351381601E-4</v>
      </c>
      <c r="G97" s="300">
        <f t="shared" si="43"/>
        <v>2.4819027824222388E-4</v>
      </c>
      <c r="H97" s="300">
        <f t="shared" si="43"/>
        <v>3.1623995292418038E-4</v>
      </c>
      <c r="I97" s="300">
        <f t="shared" si="43"/>
        <v>3.8665816546467442E-4</v>
      </c>
      <c r="J97" s="300">
        <f t="shared" si="43"/>
        <v>4.5942876376869402E-4</v>
      </c>
      <c r="K97" s="300">
        <f t="shared" si="43"/>
        <v>5.3453559574122799E-4</v>
      </c>
      <c r="L97" s="300">
        <f t="shared" si="43"/>
        <v>6.11962509287265E-4</v>
      </c>
      <c r="M97" s="300">
        <f t="shared" si="43"/>
        <v>6.916933523117933E-4</v>
      </c>
      <c r="N97" s="300">
        <f t="shared" si="43"/>
        <v>8.6648898108532605E-4</v>
      </c>
      <c r="O97" s="300">
        <f t="shared" si="43"/>
        <v>1.0520535316162227E-3</v>
      </c>
      <c r="P97" s="300">
        <f t="shared" si="43"/>
        <v>1.2483160937600945E-3</v>
      </c>
      <c r="Q97" s="300">
        <f t="shared" si="43"/>
        <v>1.4552057573725564E-3</v>
      </c>
      <c r="R97" s="300">
        <f t="shared" si="43"/>
        <v>1.6726516123092188E-3</v>
      </c>
      <c r="S97" s="300">
        <f t="shared" si="43"/>
        <v>1.9005827484256947E-3</v>
      </c>
      <c r="T97" s="300">
        <f t="shared" si="43"/>
        <v>2.1389282555775973E-3</v>
      </c>
      <c r="U97" s="300">
        <f t="shared" si="43"/>
        <v>2.3876172236205382E-3</v>
      </c>
      <c r="V97" s="300">
        <f t="shared" si="43"/>
        <v>2.6465787424101309E-3</v>
      </c>
      <c r="W97" s="300">
        <f t="shared" si="43"/>
        <v>2.9157419018019863E-3</v>
      </c>
      <c r="X97" s="300">
        <f t="shared" si="43"/>
        <v>3.3991504356149058E-3</v>
      </c>
      <c r="Y97" s="300">
        <f t="shared" si="43"/>
        <v>3.9123067700255918E-3</v>
      </c>
      <c r="Z97" s="300">
        <f t="shared" si="43"/>
        <v>4.4550106287559879E-3</v>
      </c>
      <c r="AA97" s="300">
        <f t="shared" si="43"/>
        <v>5.0270617355280371E-3</v>
      </c>
      <c r="AB97" s="300">
        <f t="shared" si="43"/>
        <v>5.6282598140636863E-3</v>
      </c>
      <c r="AC97" s="300">
        <f t="shared" si="43"/>
        <v>6.2584045880848729E-3</v>
      </c>
      <c r="AD97" s="300">
        <f t="shared" si="43"/>
        <v>6.9172957813135472E-3</v>
      </c>
      <c r="AE97" s="300">
        <f t="shared" si="43"/>
        <v>7.6047331174716468E-3</v>
      </c>
      <c r="AF97" s="300">
        <f t="shared" si="43"/>
        <v>8.3205163202811176E-3</v>
      </c>
      <c r="AG97" s="300">
        <f t="shared" si="43"/>
        <v>9.0644451134639197E-3</v>
      </c>
      <c r="AH97" s="245"/>
      <c r="AI97" s="423"/>
      <c r="AJ97" s="424"/>
      <c r="AL97" s="221"/>
      <c r="AM97" s="124"/>
      <c r="AN97" s="124"/>
      <c r="AO97" s="124"/>
      <c r="BD97" s="124"/>
      <c r="BE97" s="124"/>
      <c r="BF97" s="124"/>
      <c r="BG97" s="124"/>
      <c r="BH97" s="124"/>
      <c r="BI97" s="124"/>
      <c r="BJ97" s="124"/>
      <c r="BK97" s="124"/>
    </row>
    <row r="98" spans="1:63" outlineLevel="1" x14ac:dyDescent="0.2">
      <c r="A98" s="4" t="s">
        <v>474</v>
      </c>
      <c r="C98" s="230">
        <f>C93-$C93</f>
        <v>0</v>
      </c>
      <c r="D98" s="230">
        <f t="shared" ref="D98:AG98" si="44">D93-$C93</f>
        <v>3.7425792483239515E-5</v>
      </c>
      <c r="E98" s="230">
        <f t="shared" si="44"/>
        <v>7.3233928602575607E-5</v>
      </c>
      <c r="F98" s="230">
        <f t="shared" si="44"/>
        <v>1.0716745810750454E-4</v>
      </c>
      <c r="G98" s="230">
        <f t="shared" si="44"/>
        <v>1.3897157683274866E-4</v>
      </c>
      <c r="H98" s="230">
        <f t="shared" si="44"/>
        <v>1.6839362669825479E-4</v>
      </c>
      <c r="I98" s="230">
        <f t="shared" si="44"/>
        <v>1.9518309570919559E-4</v>
      </c>
      <c r="J98" s="230">
        <f t="shared" si="44"/>
        <v>2.1909161795596866E-4</v>
      </c>
      <c r="K98" s="230">
        <f t="shared" si="44"/>
        <v>2.3987297361419721E-4</v>
      </c>
      <c r="L98" s="230">
        <f t="shared" si="44"/>
        <v>2.5728308894472981E-4</v>
      </c>
      <c r="M98" s="230">
        <f t="shared" si="44"/>
        <v>2.710800362936399E-4</v>
      </c>
      <c r="N98" s="230">
        <f t="shared" si="44"/>
        <v>3.3957742868978721E-4</v>
      </c>
      <c r="O98" s="230">
        <f t="shared" si="44"/>
        <v>4.0290127854061375E-4</v>
      </c>
      <c r="P98" s="230">
        <f t="shared" si="44"/>
        <v>4.5993841572482415E-4</v>
      </c>
      <c r="Q98" s="230">
        <f t="shared" si="44"/>
        <v>5.095850917604275E-4</v>
      </c>
      <c r="R98" s="230">
        <f t="shared" si="44"/>
        <v>5.5074697980473514E-4</v>
      </c>
      <c r="S98" s="230">
        <f t="shared" si="44"/>
        <v>5.8233917465436245E-4</v>
      </c>
      <c r="T98" s="230">
        <f t="shared" si="44"/>
        <v>6.032861927452286E-4</v>
      </c>
      <c r="U98" s="230">
        <f t="shared" si="44"/>
        <v>6.1252197215255636E-4</v>
      </c>
      <c r="V98" s="230">
        <f t="shared" si="44"/>
        <v>6.0898987259087162E-4</v>
      </c>
      <c r="W98" s="230">
        <f t="shared" si="44"/>
        <v>5.9164267541400388E-4</v>
      </c>
      <c r="X98" s="230">
        <f t="shared" si="44"/>
        <v>6.2046294648926436E-4</v>
      </c>
      <c r="Y98" s="230">
        <f t="shared" si="44"/>
        <v>6.2507364443309529E-4</v>
      </c>
      <c r="Z98" s="230">
        <f t="shared" si="44"/>
        <v>6.0246381903073789E-4</v>
      </c>
      <c r="AA98" s="230">
        <f t="shared" si="44"/>
        <v>5.496491302354029E-4</v>
      </c>
      <c r="AB98" s="230">
        <f t="shared" si="44"/>
        <v>4.63671848168271E-4</v>
      </c>
      <c r="AC98" s="230">
        <f t="shared" si="44"/>
        <v>3.4160085311849095E-4</v>
      </c>
      <c r="AD98" s="230">
        <f t="shared" si="44"/>
        <v>1.8053163554318356E-4</v>
      </c>
      <c r="AE98" s="230">
        <f t="shared" si="44"/>
        <v>-2.2413703932562621E-5</v>
      </c>
      <c r="AF98" s="230">
        <f t="shared" si="44"/>
        <v>-2.7008645451568827E-4</v>
      </c>
      <c r="AG98" s="230">
        <f t="shared" si="44"/>
        <v>-5.6531129524515947E-4</v>
      </c>
      <c r="AH98" s="245"/>
      <c r="AI98" s="133"/>
      <c r="AJ98" s="211"/>
      <c r="AL98" s="108"/>
      <c r="AM98" s="2"/>
      <c r="AN98" s="2"/>
      <c r="AO98" s="2"/>
      <c r="BC98" s="1"/>
      <c r="BD98" s="2"/>
      <c r="BE98" s="2"/>
      <c r="BF98" s="2"/>
      <c r="BG98" s="2"/>
      <c r="BH98" s="2"/>
      <c r="BI98" s="2"/>
      <c r="BJ98" s="2"/>
      <c r="BK98" s="2"/>
    </row>
    <row r="99" spans="1:63" outlineLevel="1" x14ac:dyDescent="0.2">
      <c r="A99" s="4" t="s">
        <v>478</v>
      </c>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c r="AA99" s="230"/>
      <c r="AB99" s="230"/>
      <c r="AC99" s="230"/>
      <c r="AD99" s="230"/>
      <c r="AE99" s="230"/>
      <c r="AF99" s="230"/>
      <c r="AG99" s="230"/>
      <c r="AH99" s="245"/>
      <c r="AI99" s="133"/>
      <c r="AJ99" s="211"/>
      <c r="AL99" s="108"/>
      <c r="AM99" s="2"/>
      <c r="AN99" s="2"/>
      <c r="AO99" s="2"/>
      <c r="BC99" s="1"/>
      <c r="BD99" s="2"/>
      <c r="BE99" s="2"/>
      <c r="BF99" s="2"/>
      <c r="BG99" s="2"/>
      <c r="BH99" s="2"/>
      <c r="BI99" s="2"/>
      <c r="BJ99" s="2"/>
      <c r="BK99" s="2"/>
    </row>
    <row r="100" spans="1:63" outlineLevel="1" x14ac:dyDescent="0.2">
      <c r="A100" s="4" t="s">
        <v>745</v>
      </c>
      <c r="C100" s="230">
        <f t="shared" ref="C100:AG100" si="45">C95-$C95</f>
        <v>0</v>
      </c>
      <c r="D100" s="230">
        <f t="shared" si="45"/>
        <v>1.0428468996780228E-5</v>
      </c>
      <c r="E100" s="230">
        <f t="shared" si="45"/>
        <v>2.288517627810299E-5</v>
      </c>
      <c r="F100" s="230">
        <f t="shared" si="45"/>
        <v>3.7490971551146854E-5</v>
      </c>
      <c r="G100" s="230">
        <f t="shared" si="45"/>
        <v>5.4365627716756326E-5</v>
      </c>
      <c r="H100" s="230">
        <f t="shared" si="45"/>
        <v>7.3627840869441776E-5</v>
      </c>
      <c r="I100" s="230">
        <f t="shared" si="45"/>
        <v>9.5395230297379532E-5</v>
      </c>
      <c r="J100" s="230">
        <f t="shared" si="45"/>
        <v>1.1978433848241174E-4</v>
      </c>
      <c r="K100" s="230">
        <f t="shared" si="45"/>
        <v>1.4691063110004653E-4</v>
      </c>
      <c r="L100" s="230">
        <f t="shared" si="45"/>
        <v>1.7688849701945789E-4</v>
      </c>
      <c r="M100" s="230">
        <f t="shared" si="45"/>
        <v>2.0983124830348571E-4</v>
      </c>
      <c r="N100" s="230">
        <f t="shared" si="45"/>
        <v>2.6286023840898197E-4</v>
      </c>
      <c r="O100" s="230">
        <f t="shared" si="45"/>
        <v>3.2386953382506869E-4</v>
      </c>
      <c r="P100" s="230">
        <f t="shared" si="45"/>
        <v>3.9338221677499667E-4</v>
      </c>
      <c r="Q100" s="230">
        <f t="shared" si="45"/>
        <v>4.7191664213905803E-4</v>
      </c>
      <c r="R100" s="230">
        <f t="shared" si="45"/>
        <v>5.5998643745458487E-4</v>
      </c>
      <c r="S100" s="230">
        <f t="shared" si="45"/>
        <v>6.5810050291595086E-4</v>
      </c>
      <c r="T100" s="230">
        <f t="shared" si="45"/>
        <v>7.6676301137457018E-4</v>
      </c>
      <c r="U100" s="230">
        <f t="shared" si="45"/>
        <v>8.8647340833889778E-4</v>
      </c>
      <c r="V100" s="230">
        <f t="shared" si="45"/>
        <v>1.0177264119744297E-3</v>
      </c>
      <c r="W100" s="230">
        <f t="shared" si="45"/>
        <v>1.1610120131037025E-3</v>
      </c>
      <c r="X100" s="230">
        <f t="shared" si="45"/>
        <v>1.3882556005934093E-3</v>
      </c>
      <c r="Y100" s="230">
        <f t="shared" si="45"/>
        <v>1.6425203327627279E-3</v>
      </c>
      <c r="Z100" s="230">
        <f t="shared" si="45"/>
        <v>1.9252168270682915E-3</v>
      </c>
      <c r="AA100" s="230">
        <f t="shared" si="45"/>
        <v>2.2377423492148628E-3</v>
      </c>
      <c r="AB100" s="230">
        <f t="shared" si="45"/>
        <v>2.5814808131553362E-3</v>
      </c>
      <c r="AC100" s="230">
        <f t="shared" si="45"/>
        <v>2.9578027810907301E-3</v>
      </c>
      <c r="AD100" s="230">
        <f t="shared" si="45"/>
        <v>3.3680654634702001E-3</v>
      </c>
      <c r="AE100" s="230">
        <f t="shared" si="45"/>
        <v>3.8136127189910243E-3</v>
      </c>
      <c r="AF100" s="230">
        <f t="shared" si="45"/>
        <v>4.2957750545986155E-3</v>
      </c>
      <c r="AG100" s="230">
        <f t="shared" si="45"/>
        <v>4.8158696254865206E-3</v>
      </c>
      <c r="AH100" s="245"/>
      <c r="AI100" s="133"/>
      <c r="AJ100" s="211"/>
      <c r="AL100" s="108"/>
      <c r="AM100" s="2"/>
      <c r="AN100" s="2"/>
      <c r="AO100" s="2"/>
      <c r="BC100" s="1"/>
      <c r="BD100" s="2"/>
      <c r="BE100" s="2"/>
      <c r="BF100" s="2"/>
      <c r="BG100" s="2"/>
      <c r="BH100" s="2"/>
      <c r="BI100" s="2"/>
      <c r="BJ100" s="2"/>
      <c r="BK100" s="2"/>
    </row>
    <row r="101" spans="1:63" outlineLevel="1" x14ac:dyDescent="0.2">
      <c r="A101" s="4" t="s">
        <v>1561</v>
      </c>
      <c r="C101" s="230">
        <f t="shared" ref="C101:AG101" si="46">C96-$C96</f>
        <v>0</v>
      </c>
      <c r="D101" s="230">
        <f t="shared" si="46"/>
        <v>1.0428468996780228E-5</v>
      </c>
      <c r="E101" s="230">
        <f t="shared" si="46"/>
        <v>2.288517627810299E-5</v>
      </c>
      <c r="F101" s="230">
        <f t="shared" si="46"/>
        <v>3.7490971551146854E-5</v>
      </c>
      <c r="G101" s="230">
        <f t="shared" si="46"/>
        <v>5.4365627716756326E-5</v>
      </c>
      <c r="H101" s="230">
        <f t="shared" si="46"/>
        <v>7.3627840869441776E-5</v>
      </c>
      <c r="I101" s="230">
        <f t="shared" si="46"/>
        <v>9.5395230297379532E-5</v>
      </c>
      <c r="J101" s="230">
        <f t="shared" si="46"/>
        <v>1.1978433848241174E-4</v>
      </c>
      <c r="K101" s="230">
        <f t="shared" si="46"/>
        <v>1.4691063110004653E-4</v>
      </c>
      <c r="L101" s="230">
        <f t="shared" si="46"/>
        <v>1.7688849701945789E-4</v>
      </c>
      <c r="M101" s="230">
        <f t="shared" si="46"/>
        <v>2.0983124830348571E-4</v>
      </c>
      <c r="N101" s="230">
        <f t="shared" si="46"/>
        <v>2.6286023840898197E-4</v>
      </c>
      <c r="O101" s="230">
        <f t="shared" si="46"/>
        <v>3.2386953382506869E-4</v>
      </c>
      <c r="P101" s="230">
        <f t="shared" si="46"/>
        <v>3.9338221677499667E-4</v>
      </c>
      <c r="Q101" s="230">
        <f t="shared" si="46"/>
        <v>4.7191664213905803E-4</v>
      </c>
      <c r="R101" s="230">
        <f t="shared" si="46"/>
        <v>5.5998643745458487E-4</v>
      </c>
      <c r="S101" s="230">
        <f t="shared" si="46"/>
        <v>6.5810050291595086E-4</v>
      </c>
      <c r="T101" s="230">
        <f t="shared" si="46"/>
        <v>7.6676301137457018E-4</v>
      </c>
      <c r="U101" s="230">
        <f t="shared" si="46"/>
        <v>8.8647340833889778E-4</v>
      </c>
      <c r="V101" s="230">
        <f t="shared" si="46"/>
        <v>1.0177264119744297E-3</v>
      </c>
      <c r="W101" s="230">
        <f t="shared" si="46"/>
        <v>1.1610120131037025E-3</v>
      </c>
      <c r="X101" s="230">
        <f t="shared" si="46"/>
        <v>1.3882556005934093E-3</v>
      </c>
      <c r="Y101" s="230">
        <f t="shared" si="46"/>
        <v>1.6425203327627279E-3</v>
      </c>
      <c r="Z101" s="230">
        <f t="shared" si="46"/>
        <v>1.9252168270682915E-3</v>
      </c>
      <c r="AA101" s="230">
        <f t="shared" si="46"/>
        <v>2.2377423492148628E-3</v>
      </c>
      <c r="AB101" s="230">
        <f t="shared" si="46"/>
        <v>2.5814808131553362E-3</v>
      </c>
      <c r="AC101" s="230">
        <f t="shared" si="46"/>
        <v>2.9578027810907301E-3</v>
      </c>
      <c r="AD101" s="230">
        <f t="shared" si="46"/>
        <v>3.3680654634702001E-3</v>
      </c>
      <c r="AE101" s="230">
        <f t="shared" si="46"/>
        <v>3.8136127189910243E-3</v>
      </c>
      <c r="AF101" s="230">
        <f t="shared" si="46"/>
        <v>4.2957750545986155E-3</v>
      </c>
      <c r="AG101" s="230">
        <f t="shared" si="46"/>
        <v>4.8158696254865206E-3</v>
      </c>
      <c r="AH101" s="245"/>
      <c r="AI101" s="133"/>
      <c r="AJ101" s="211"/>
      <c r="AL101" s="108"/>
      <c r="AM101" s="2"/>
      <c r="AN101" s="2"/>
      <c r="AO101" s="2"/>
      <c r="BC101" s="1"/>
      <c r="BD101" s="2"/>
      <c r="BE101" s="2"/>
      <c r="BF101" s="2"/>
      <c r="BG101" s="2"/>
      <c r="BH101" s="2"/>
      <c r="BI101" s="2"/>
      <c r="BJ101" s="2"/>
      <c r="BK101" s="2"/>
    </row>
    <row r="102" spans="1:63" s="1" customFormat="1" outlineLevel="1" x14ac:dyDescent="0.2">
      <c r="A102" s="1" t="s">
        <v>1567</v>
      </c>
      <c r="B102" s="65"/>
      <c r="C102" s="300">
        <f>'BTX Recycling HC'!C102</f>
        <v>0.48062994175736984</v>
      </c>
      <c r="D102" s="300">
        <f>'BTX Recycling HC'!D102</f>
        <v>0.50834419630110295</v>
      </c>
      <c r="E102" s="300">
        <f>'BTX Recycling HC'!E102</f>
        <v>0.53301544953914037</v>
      </c>
      <c r="F102" s="300">
        <f>'BTX Recycling HC'!F102</f>
        <v>0.55809269581906173</v>
      </c>
      <c r="G102" s="300">
        <f>'BTX Recycling HC'!G102</f>
        <v>0.58216431250066147</v>
      </c>
      <c r="H102" s="300">
        <f>'BTX Recycling HC'!H102</f>
        <v>0.60503803423963054</v>
      </c>
      <c r="I102" s="300">
        <f>'BTX Recycling HC'!I102</f>
        <v>0.62787970279202754</v>
      </c>
      <c r="J102" s="300">
        <f>'BTX Recycling HC'!J102</f>
        <v>0.65064883165203702</v>
      </c>
      <c r="K102" s="300">
        <f>'BTX Recycling HC'!K102</f>
        <v>0.67330406599520465</v>
      </c>
      <c r="L102" s="300">
        <f>'BTX Recycling HC'!L102</f>
        <v>0.69580327547492549</v>
      </c>
      <c r="M102" s="300">
        <f>'BTX Recycling HC'!M102</f>
        <v>0.71810365188059633</v>
      </c>
      <c r="N102" s="300">
        <f>'BTX Recycling HC'!N102</f>
        <v>0.75122028756875336</v>
      </c>
      <c r="O102" s="300">
        <f>'BTX Recycling HC'!O102</f>
        <v>0.78123850448437815</v>
      </c>
      <c r="P102" s="300">
        <f>'BTX Recycling HC'!P102</f>
        <v>0.80789130304477597</v>
      </c>
      <c r="Q102" s="300">
        <f>'BTX Recycling HC'!Q102</f>
        <v>0.83093861391277479</v>
      </c>
      <c r="R102" s="300">
        <f>'BTX Recycling HC'!R102</f>
        <v>0.85017044420970456</v>
      </c>
      <c r="S102" s="300">
        <f>'BTX Recycling HC'!S102</f>
        <v>0.86696885813302582</v>
      </c>
      <c r="T102" s="300">
        <f>'BTX Recycling HC'!T102</f>
        <v>0.8812640009792162</v>
      </c>
      <c r="U102" s="300">
        <f>'BTX Recycling HC'!U102</f>
        <v>0.89298658181954327</v>
      </c>
      <c r="V102" s="300">
        <f>'BTX Recycling HC'!V102</f>
        <v>0.90206793639396687</v>
      </c>
      <c r="W102" s="300">
        <f>'BTX Recycling HC'!W102</f>
        <v>0.9084400903502664</v>
      </c>
      <c r="X102" s="300">
        <f>'BTX Recycling HC'!X102</f>
        <v>0.93116409804928146</v>
      </c>
      <c r="Y102" s="300">
        <f>'BTX Recycling HC'!Y102</f>
        <v>0.94969573744965163</v>
      </c>
      <c r="Z102" s="300">
        <f>'BTX Recycling HC'!Z102</f>
        <v>0.96392787833620774</v>
      </c>
      <c r="AA102" s="300">
        <f>'BTX Recycling HC'!AA102</f>
        <v>0.97375441658347583</v>
      </c>
      <c r="AB102" s="300">
        <f>'BTX Recycling HC'!AB102</f>
        <v>0.97907036419662341</v>
      </c>
      <c r="AC102" s="300">
        <f>'BTX Recycling HC'!AC102</f>
        <v>0.97978120265242197</v>
      </c>
      <c r="AD102" s="300">
        <f>'BTX Recycling HC'!AD102</f>
        <v>0.97578434606189879</v>
      </c>
      <c r="AE102" s="300">
        <f>'BTX Recycling HC'!AE102</f>
        <v>0.96697832280679263</v>
      </c>
      <c r="AF102" s="300">
        <f>'BTX Recycling HC'!AF102</f>
        <v>0.95326285626509877</v>
      </c>
      <c r="AG102" s="300">
        <f>'BTX Recycling HC'!AG102</f>
        <v>0.93453894570257456</v>
      </c>
      <c r="AH102" s="245"/>
      <c r="AI102" s="423"/>
      <c r="AJ102" s="424"/>
      <c r="AL102" s="221"/>
      <c r="AM102" s="124"/>
      <c r="AN102" s="124"/>
      <c r="AO102" s="124"/>
      <c r="BD102" s="124"/>
      <c r="BE102" s="124"/>
      <c r="BF102" s="124"/>
      <c r="BG102" s="124"/>
      <c r="BH102" s="124"/>
      <c r="BI102" s="124"/>
      <c r="BJ102" s="124"/>
      <c r="BK102" s="124"/>
    </row>
    <row r="103" spans="1:63" outlineLevel="1" x14ac:dyDescent="0.2">
      <c r="A103" s="4" t="s">
        <v>474</v>
      </c>
      <c r="C103" s="230">
        <f>C$102*'BTX recycling rates'!E54</f>
        <v>0.4789500136586477</v>
      </c>
      <c r="D103" s="230">
        <f>D$102*'BTX recycling rates'!F54</f>
        <v>0.49978866352839374</v>
      </c>
      <c r="E103" s="230">
        <f>E$102*'BTX recycling rates'!G54</f>
        <v>0.51693696913905618</v>
      </c>
      <c r="F103" s="230">
        <f>F$102*'BTX recycling rates'!H54</f>
        <v>0.53381562802488092</v>
      </c>
      <c r="G103" s="230">
        <f>G$102*'BTX recycling rates'!I54</f>
        <v>0.54907700544376292</v>
      </c>
      <c r="H103" s="230">
        <f>H$102*'BTX recycling rates'!J54</f>
        <v>0.56258255730879569</v>
      </c>
      <c r="I103" s="230">
        <f>I$102*'BTX recycling rates'!K54</f>
        <v>0.57544869346677252</v>
      </c>
      <c r="J103" s="230">
        <f>J$102*'BTX recycling rates'!L54</f>
        <v>0.58764013039824814</v>
      </c>
      <c r="K103" s="230">
        <f>K$102*'BTX recycling rates'!M54</f>
        <v>0.59912297147136517</v>
      </c>
      <c r="L103" s="230">
        <f>L$102*'BTX recycling rates'!N54</f>
        <v>0.60986484617193581</v>
      </c>
      <c r="M103" s="230">
        <f>M$102*'BTX recycling rates'!O54</f>
        <v>0.61983504610528484</v>
      </c>
      <c r="N103" s="230">
        <f>N$102*'BTX recycling rates'!P54</f>
        <v>0.63840237649242693</v>
      </c>
      <c r="O103" s="230">
        <f>O$102*'BTX recycling rates'!Q54</f>
        <v>0.65349470812540966</v>
      </c>
      <c r="P103" s="230">
        <f>P$102*'BTX recycling rates'!R54</f>
        <v>0.6650162117622761</v>
      </c>
      <c r="Q103" s="230">
        <f>Q$102*'BTX recycling rates'!S54</f>
        <v>0.67290710838256695</v>
      </c>
      <c r="R103" s="230">
        <f>R$102*'BTX recycling rates'!T54</f>
        <v>0.67714437952017492</v>
      </c>
      <c r="S103" s="230">
        <f>S$102*'BTX recycling rates'!U54</f>
        <v>0.67896302048676627</v>
      </c>
      <c r="T103" s="230">
        <f>T$102*'BTX recycling rates'!V54</f>
        <v>0.67840660470915737</v>
      </c>
      <c r="U103" s="230">
        <f>U$102*'BTX recycling rates'!W54</f>
        <v>0.67552285812753554</v>
      </c>
      <c r="V103" s="230">
        <f>V$102*'BTX recycling rates'!X54</f>
        <v>0.67036366834499883</v>
      </c>
      <c r="W103" s="230">
        <f>W$102*'BTX recycling rates'!Y54</f>
        <v>0.6629850889969291</v>
      </c>
      <c r="X103" s="230">
        <f>X$102*'BTX recycling rates'!Z54</f>
        <v>0.66715219632759559</v>
      </c>
      <c r="Y103" s="230">
        <f>Y$102*'BTX recycling rates'!AA54</f>
        <v>0.66776545148204269</v>
      </c>
      <c r="Z103" s="230">
        <f>Z$102*'BTX recycling rates'!AB54</f>
        <v>0.66491867075988353</v>
      </c>
      <c r="AA103" s="230">
        <f>AA$102*'BTX recycling rates'!AC54</f>
        <v>0.65871207887305272</v>
      </c>
      <c r="AB103" s="230">
        <f>AB$102*'BTX recycling rates'!AD54</f>
        <v>0.64925230024059633</v>
      </c>
      <c r="AC103" s="230">
        <f>AC$102*'BTX recycling rates'!AE54</f>
        <v>0.6366583623389287</v>
      </c>
      <c r="AD103" s="230">
        <f>AD$102*'BTX recycling rates'!AF54</f>
        <v>0.62104919966939931</v>
      </c>
      <c r="AE103" s="230">
        <f>AE$102*'BTX recycling rates'!AG54</f>
        <v>0.60254991296911364</v>
      </c>
      <c r="AF103" s="230">
        <f>AF$102*'BTX recycling rates'!AH54</f>
        <v>0.58129174414306839</v>
      </c>
      <c r="AG103" s="230">
        <f>AG$102*'BTX recycling rates'!AI54</f>
        <v>0.55741204483645546</v>
      </c>
      <c r="AH103" s="245"/>
      <c r="AI103" s="133"/>
      <c r="AJ103" s="211"/>
      <c r="AL103" s="108"/>
      <c r="AM103" s="2"/>
      <c r="AN103" s="2"/>
      <c r="AO103" s="2"/>
      <c r="BC103" s="1"/>
      <c r="BD103" s="2"/>
      <c r="BE103" s="2"/>
      <c r="BF103" s="2"/>
      <c r="BG103" s="2"/>
      <c r="BH103" s="2"/>
      <c r="BI103" s="2"/>
      <c r="BJ103" s="2"/>
      <c r="BK103" s="2"/>
    </row>
    <row r="104" spans="1:63" outlineLevel="1" x14ac:dyDescent="0.2">
      <c r="A104" s="4" t="s">
        <v>478</v>
      </c>
      <c r="C104" s="230">
        <f>C$102*'BTX recycling rates'!E55</f>
        <v>1.6799280987221305E-3</v>
      </c>
      <c r="D104" s="230">
        <f>D$102*'BTX recycling rates'!F55</f>
        <v>7.1859936771414487E-3</v>
      </c>
      <c r="E104" s="230">
        <f>E$102*'BTX recycling rates'!G55</f>
        <v>1.3206467689023024E-2</v>
      </c>
      <c r="F104" s="230">
        <f>F$102*'BTX recycling rates'!H55</f>
        <v>1.9766365568583254E-2</v>
      </c>
      <c r="G104" s="230">
        <f>G$102*'BTX recycling rates'!I55</f>
        <v>2.6813630348751713E-2</v>
      </c>
      <c r="H104" s="230">
        <f>H$102*'BTX recycling rates'!J55</f>
        <v>3.4305258552952404E-2</v>
      </c>
      <c r="I104" s="230">
        <f>I$102*'BTX recycling rates'!K55</f>
        <v>4.2281518410900706E-2</v>
      </c>
      <c r="J104" s="230">
        <f>J$102*'BTX recycling rates'!L55</f>
        <v>5.0738229529280664E-2</v>
      </c>
      <c r="K104" s="230">
        <f>K$102*'BTX recycling rates'!M55</f>
        <v>5.9669411325017845E-2</v>
      </c>
      <c r="L104" s="230">
        <f>L$102*'BTX recycling rates'!N55</f>
        <v>6.9067246038406957E-2</v>
      </c>
      <c r="M104" s="230">
        <f>M$102*'BTX recycling rates'!O55</f>
        <v>7.892204820513507E-2</v>
      </c>
      <c r="N104" s="230">
        <f>N$102*'BTX recycling rates'!P55</f>
        <v>9.055527649202981E-2</v>
      </c>
      <c r="O104" s="230">
        <f>O$102*'BTX recycling rates'!Q55</f>
        <v>0.1024868145901717</v>
      </c>
      <c r="P104" s="230">
        <f>P$102*'BTX recycling rates'!R55</f>
        <v>0.11457988594128075</v>
      </c>
      <c r="Q104" s="230">
        <f>Q$102*'BTX recycling rates'!S55</f>
        <v>0.12669045557879113</v>
      </c>
      <c r="R104" s="230">
        <f>R$102*'BTX recycling rates'!T55</f>
        <v>0.13866917609769924</v>
      </c>
      <c r="S104" s="230">
        <f>S$102*'BTX recycling rates'!U55</f>
        <v>0.15063437934717916</v>
      </c>
      <c r="T104" s="230">
        <f>T$102*'BTX recycling rates'!V55</f>
        <v>0.16249550427272408</v>
      </c>
      <c r="U104" s="230">
        <f>U$102*'BTX recycling rates'!W55</f>
        <v>0.174159126528657</v>
      </c>
      <c r="V104" s="230">
        <f>V$102*'BTX recycling rates'!X55</f>
        <v>0.18552900140868631</v>
      </c>
      <c r="W104" s="230">
        <f>W$102*'BTX recycling rates'!Y55</f>
        <v>0.19650611086659181</v>
      </c>
      <c r="X104" s="230">
        <f>X$102*'BTX recycling rates'!Z55</f>
        <v>0.21132992253340402</v>
      </c>
      <c r="Y104" s="230">
        <f>Y$102*'BTX recycling rates'!AA55</f>
        <v>0.22564125991499262</v>
      </c>
      <c r="Z104" s="230">
        <f>Z$102*'BTX recycling rates'!AB55</f>
        <v>0.23927969898985402</v>
      </c>
      <c r="AA104" s="230">
        <f>AA$102*'BTX recycling rates'!AC55</f>
        <v>0.25208052155373872</v>
      </c>
      <c r="AB104" s="230">
        <f>AB$102*'BTX recycling rates'!AD55</f>
        <v>0.26387479407925352</v>
      </c>
      <c r="AC104" s="230">
        <f>AC$102*'BTX recycling rates'!AE55</f>
        <v>0.27449204749759309</v>
      </c>
      <c r="AD104" s="230">
        <f>AD$102*'BTX recycling rates'!AF55</f>
        <v>0.2837554437550639</v>
      </c>
      <c r="AE104" s="230">
        <f>AE$102*'BTX recycling rates'!AG55</f>
        <v>0.29148411429142329</v>
      </c>
      <c r="AF104" s="230">
        <f>AF$102*'BTX recycling rates'!AH55</f>
        <v>0.29749324451636744</v>
      </c>
      <c r="AG104" s="230">
        <f>AG$102*'BTX recycling rates'!AI55</f>
        <v>0.30159416349349244</v>
      </c>
      <c r="AH104" s="245"/>
      <c r="AI104" s="133"/>
      <c r="AJ104" s="211"/>
      <c r="AL104" s="108"/>
      <c r="AM104" s="2"/>
      <c r="AN104" s="2"/>
      <c r="AO104" s="2"/>
      <c r="BC104" s="1"/>
      <c r="BD104" s="2"/>
      <c r="BE104" s="2"/>
      <c r="BF104" s="2"/>
      <c r="BG104" s="2"/>
      <c r="BH104" s="2"/>
      <c r="BI104" s="2"/>
      <c r="BJ104" s="2"/>
      <c r="BK104" s="2"/>
    </row>
    <row r="105" spans="1:63" outlineLevel="1" x14ac:dyDescent="0.2">
      <c r="A105" s="4" t="s">
        <v>745</v>
      </c>
      <c r="C105" s="230">
        <f>C$102*'BTX recycling rates'!E56</f>
        <v>0</v>
      </c>
      <c r="D105" s="230">
        <f>D$102*'BTX recycling rates'!F56</f>
        <v>1.2607862074682382E-3</v>
      </c>
      <c r="E105" s="230">
        <f>E$102*'BTX recycling rates'!G56</f>
        <v>2.6439508192924472E-3</v>
      </c>
      <c r="F105" s="230">
        <f>F$102*'BTX recycling rates'!H56</f>
        <v>4.1525146455729089E-3</v>
      </c>
      <c r="G105" s="230">
        <f>G$102*'BTX recycling rates'!I56</f>
        <v>5.7754941712469844E-3</v>
      </c>
      <c r="H105" s="230">
        <f>H$102*'BTX recycling rates'!J56</f>
        <v>7.5030226971568043E-3</v>
      </c>
      <c r="I105" s="230">
        <f>I$102*'BTX recycling rates'!K56</f>
        <v>9.3435362298565586E-3</v>
      </c>
      <c r="J105" s="230">
        <f>J$102*'BTX recycling rates'!L56</f>
        <v>1.1296093378755123E-2</v>
      </c>
      <c r="K105" s="230">
        <f>K$102*'BTX recycling rates'!M56</f>
        <v>1.3359333868916195E-2</v>
      </c>
      <c r="L105" s="230">
        <f>L$102*'BTX recycling rates'!N56</f>
        <v>1.553146984448606E-2</v>
      </c>
      <c r="M105" s="230">
        <f>M$102*'BTX recycling rates'!O56</f>
        <v>1.781027867361264E-2</v>
      </c>
      <c r="N105" s="230">
        <f>N$102*'BTX recycling rates'!P56</f>
        <v>2.0494794720811657E-2</v>
      </c>
      <c r="O105" s="230">
        <f>O$102*'BTX recycling rates'!Q56</f>
        <v>2.3251365630548394E-2</v>
      </c>
      <c r="P105" s="230">
        <f>P$102*'BTX recycling rates'!R56</f>
        <v>2.6048328775092233E-2</v>
      </c>
      <c r="Q105" s="230">
        <f>Q$102*'BTX recycling rates'!S56</f>
        <v>2.8852307783107881E-2</v>
      </c>
      <c r="R105" s="230">
        <f>R$102*'BTX recycling rates'!T56</f>
        <v>3.1628663546947697E-2</v>
      </c>
      <c r="S105" s="230">
        <f>S$102*'BTX recycling rates'!U56</f>
        <v>3.4403851141557272E-2</v>
      </c>
      <c r="T105" s="230">
        <f>T$102*'BTX recycling rates'!V56</f>
        <v>3.7156819328671556E-2</v>
      </c>
      <c r="U105" s="230">
        <f>U$102*'BTX recycling rates'!W56</f>
        <v>3.9865849029222439E-2</v>
      </c>
      <c r="V105" s="230">
        <f>V$102*'BTX recycling rates'!X56</f>
        <v>4.2508563278438015E-2</v>
      </c>
      <c r="W105" s="230">
        <f>W$102*'BTX recycling rates'!Y56</f>
        <v>4.506193813399622E-2</v>
      </c>
      <c r="X105" s="230">
        <f>X$102*'BTX recycling rates'!Z56</f>
        <v>4.8498588289792935E-2</v>
      </c>
      <c r="Y105" s="230">
        <f>Y$102*'BTX recycling rates'!AA56</f>
        <v>5.1819205387152394E-2</v>
      </c>
      <c r="Z105" s="230">
        <f>Z$102*'BTX recycling rates'!AB56</f>
        <v>5.498648475855307E-2</v>
      </c>
      <c r="AA105" s="230">
        <f>AA$102*'BTX recycling rates'!AC56</f>
        <v>5.7962120004023628E-2</v>
      </c>
      <c r="AB105" s="230">
        <f>AB$102*'BTX recycling rates'!AD56</f>
        <v>6.0706821298538445E-2</v>
      </c>
      <c r="AC105" s="230">
        <f>AC$102*'BTX recycling rates'!AE56</f>
        <v>6.3180932380778626E-2</v>
      </c>
      <c r="AD105" s="230">
        <f>AD$102*'BTX recycling rates'!AF56</f>
        <v>6.5343319066315977E-2</v>
      </c>
      <c r="AE105" s="230">
        <f>AE$102*'BTX recycling rates'!AG56</f>
        <v>6.7151906824596541E-2</v>
      </c>
      <c r="AF105" s="230">
        <f>AF$102*'BTX recycling rates'!AH56</f>
        <v>6.8563700403119945E-2</v>
      </c>
      <c r="AG105" s="230">
        <f>AG$102*'BTX recycling rates'!AI56</f>
        <v>6.9534804665251471E-2</v>
      </c>
      <c r="AH105" s="245"/>
      <c r="AI105" s="133"/>
      <c r="AJ105" s="211"/>
      <c r="AL105" s="108"/>
      <c r="AM105" s="2"/>
      <c r="AN105" s="2"/>
      <c r="AO105" s="2"/>
      <c r="BC105" s="1"/>
      <c r="BD105" s="2"/>
      <c r="BE105" s="2"/>
      <c r="BF105" s="2"/>
      <c r="BG105" s="2"/>
      <c r="BH105" s="2"/>
      <c r="BI105" s="2"/>
      <c r="BJ105" s="2"/>
      <c r="BK105" s="2"/>
    </row>
    <row r="106" spans="1:63" outlineLevel="1" x14ac:dyDescent="0.2">
      <c r="A106" s="4" t="s">
        <v>1561</v>
      </c>
      <c r="C106" s="230">
        <f>C$102*'BTX recycling rates'!E57</f>
        <v>0</v>
      </c>
      <c r="D106" s="230">
        <f>D$102*'BTX recycling rates'!F57</f>
        <v>1.0875288809950993E-4</v>
      </c>
      <c r="E106" s="230">
        <f>E$102*'BTX recycling rates'!G57</f>
        <v>2.2806189176872223E-4</v>
      </c>
      <c r="F106" s="230">
        <f>F$102*'BTX recycling rates'!H57</f>
        <v>3.5818758002469927E-4</v>
      </c>
      <c r="G106" s="230">
        <f>G$102*'BTX recycling rates'!I57</f>
        <v>4.9818253689995126E-4</v>
      </c>
      <c r="H106" s="230">
        <f>H$102*'BTX recycling rates'!J57</f>
        <v>6.4719568072569764E-4</v>
      </c>
      <c r="I106" s="230">
        <f>I$102*'BTX recycling rates'!K57</f>
        <v>8.0595468449785185E-4</v>
      </c>
      <c r="J106" s="230">
        <f>J$102*'BTX recycling rates'!L57</f>
        <v>9.7437834575321428E-4</v>
      </c>
      <c r="K106" s="230">
        <f>K$102*'BTX recycling rates'!M57</f>
        <v>1.1523493299055911E-3</v>
      </c>
      <c r="L106" s="230">
        <f>L$102*'BTX recycling rates'!N57</f>
        <v>1.3397134200969253E-3</v>
      </c>
      <c r="M106" s="230">
        <f>M$102*'BTX recycling rates'!O57</f>
        <v>1.5362788965640535E-3</v>
      </c>
      <c r="N106" s="230">
        <f>N$102*'BTX recycling rates'!P57</f>
        <v>1.7678398634853449E-3</v>
      </c>
      <c r="O106" s="230">
        <f>O$102*'BTX recycling rates'!Q57</f>
        <v>2.0056161382488169E-3</v>
      </c>
      <c r="P106" s="230">
        <f>P$102*'BTX recycling rates'!R57</f>
        <v>2.2468765661272619E-3</v>
      </c>
      <c r="Q106" s="230">
        <f>Q$102*'BTX recycling rates'!S57</f>
        <v>2.4887421683092896E-3</v>
      </c>
      <c r="R106" s="230">
        <f>R$102*'BTX recycling rates'!T57</f>
        <v>2.7282250448832758E-3</v>
      </c>
      <c r="S106" s="230">
        <f>S$102*'BTX recycling rates'!U57</f>
        <v>2.9676071575237537E-3</v>
      </c>
      <c r="T106" s="230">
        <f>T$102*'BTX recycling rates'!V57</f>
        <v>3.2050726686637878E-3</v>
      </c>
      <c r="U106" s="230">
        <f>U$102*'BTX recycling rates'!W57</f>
        <v>3.4387481341289989E-3</v>
      </c>
      <c r="V106" s="230">
        <f>V$102*'BTX recycling rates'!X57</f>
        <v>3.6667033618444497E-3</v>
      </c>
      <c r="W106" s="230">
        <f>W$102*'BTX recycling rates'!Y57</f>
        <v>3.8869523527500865E-3</v>
      </c>
      <c r="X106" s="230">
        <f>X$102*'BTX recycling rates'!Z57</f>
        <v>4.1833908984897604E-3</v>
      </c>
      <c r="Y106" s="230">
        <f>Y$102*'BTX recycling rates'!AA57</f>
        <v>4.4698206654647851E-3</v>
      </c>
      <c r="Z106" s="230">
        <f>Z$102*'BTX recycling rates'!AB57</f>
        <v>4.7430238279180829E-3</v>
      </c>
      <c r="AA106" s="230">
        <f>AA$102*'BTX recycling rates'!AC57</f>
        <v>4.9996961526617449E-3</v>
      </c>
      <c r="AB106" s="230">
        <f>AB$102*'BTX recycling rates'!AD57</f>
        <v>5.2364485782362205E-3</v>
      </c>
      <c r="AC106" s="230">
        <f>AC$102*'BTX recycling rates'!AE57</f>
        <v>5.4498604351226722E-3</v>
      </c>
      <c r="AD106" s="230">
        <f>AD$102*'BTX recycling rates'!AF57</f>
        <v>5.6363835711207618E-3</v>
      </c>
      <c r="AE106" s="230">
        <f>AE$102*'BTX recycling rates'!AG57</f>
        <v>5.7923887216604387E-3</v>
      </c>
      <c r="AF106" s="230">
        <f>AF$102*'BTX recycling rates'!AH57</f>
        <v>5.9141672025442649E-3</v>
      </c>
      <c r="AG106" s="230">
        <f>AG$102*'BTX recycling rates'!AI57</f>
        <v>5.9979327073752748E-3</v>
      </c>
      <c r="AH106" s="245"/>
      <c r="AI106" s="133"/>
      <c r="AJ106" s="211"/>
      <c r="AL106" s="108"/>
      <c r="AM106" s="2"/>
      <c r="AN106" s="2"/>
      <c r="AO106" s="2"/>
      <c r="BC106" s="1"/>
      <c r="BD106" s="2"/>
      <c r="BE106" s="2"/>
      <c r="BF106" s="2"/>
      <c r="BG106" s="2"/>
      <c r="BH106" s="2"/>
      <c r="BI106" s="2"/>
      <c r="BJ106" s="2"/>
      <c r="BK106" s="2"/>
    </row>
    <row r="107" spans="1:63" s="1" customFormat="1" outlineLevel="1" x14ac:dyDescent="0.2">
      <c r="A107" s="1" t="s">
        <v>1568</v>
      </c>
      <c r="B107" s="65"/>
      <c r="C107" s="300">
        <f>C102-$C102</f>
        <v>0</v>
      </c>
      <c r="D107" s="300">
        <f t="shared" ref="D107:AG107" si="47">D102-$C102</f>
        <v>2.7714254543733108E-2</v>
      </c>
      <c r="E107" s="300">
        <f t="shared" si="47"/>
        <v>5.2385507781770535E-2</v>
      </c>
      <c r="F107" s="300">
        <f t="shared" si="47"/>
        <v>7.7462754061691896E-2</v>
      </c>
      <c r="G107" s="300">
        <f t="shared" si="47"/>
        <v>0.10153437074329164</v>
      </c>
      <c r="H107" s="300">
        <f t="shared" si="47"/>
        <v>0.1244080924822607</v>
      </c>
      <c r="I107" s="300">
        <f t="shared" si="47"/>
        <v>0.1472497610346577</v>
      </c>
      <c r="J107" s="300">
        <f t="shared" si="47"/>
        <v>0.17001888989466718</v>
      </c>
      <c r="K107" s="300">
        <f t="shared" si="47"/>
        <v>0.19267412423783481</v>
      </c>
      <c r="L107" s="300">
        <f t="shared" si="47"/>
        <v>0.21517333371755565</v>
      </c>
      <c r="M107" s="300">
        <f t="shared" si="47"/>
        <v>0.23747371012322649</v>
      </c>
      <c r="N107" s="300">
        <f t="shared" si="47"/>
        <v>0.27059034581138353</v>
      </c>
      <c r="O107" s="300">
        <f t="shared" si="47"/>
        <v>0.30060856272700831</v>
      </c>
      <c r="P107" s="300">
        <f t="shared" si="47"/>
        <v>0.32726136128740613</v>
      </c>
      <c r="Q107" s="300">
        <f t="shared" si="47"/>
        <v>0.35030867215540495</v>
      </c>
      <c r="R107" s="300">
        <f t="shared" si="47"/>
        <v>0.36954050245233472</v>
      </c>
      <c r="S107" s="300">
        <f t="shared" si="47"/>
        <v>0.38633891637565598</v>
      </c>
      <c r="T107" s="300">
        <f t="shared" si="47"/>
        <v>0.40063405922184636</v>
      </c>
      <c r="U107" s="300">
        <f t="shared" si="47"/>
        <v>0.41235664006217343</v>
      </c>
      <c r="V107" s="300">
        <f t="shared" si="47"/>
        <v>0.42143799463659704</v>
      </c>
      <c r="W107" s="300">
        <f t="shared" si="47"/>
        <v>0.42781014859289657</v>
      </c>
      <c r="X107" s="300">
        <f t="shared" si="47"/>
        <v>0.45053415629191162</v>
      </c>
      <c r="Y107" s="300">
        <f t="shared" si="47"/>
        <v>0.4690657956922818</v>
      </c>
      <c r="Z107" s="300">
        <f t="shared" si="47"/>
        <v>0.48329793657883791</v>
      </c>
      <c r="AA107" s="300">
        <f t="shared" si="47"/>
        <v>0.493124474826106</v>
      </c>
      <c r="AB107" s="300">
        <f t="shared" si="47"/>
        <v>0.49844042243925357</v>
      </c>
      <c r="AC107" s="300">
        <f t="shared" si="47"/>
        <v>0.49915126089505213</v>
      </c>
      <c r="AD107" s="300">
        <f t="shared" si="47"/>
        <v>0.49515440430452895</v>
      </c>
      <c r="AE107" s="300">
        <f t="shared" si="47"/>
        <v>0.4863483810494228</v>
      </c>
      <c r="AF107" s="300">
        <f t="shared" si="47"/>
        <v>0.47263291450772893</v>
      </c>
      <c r="AG107" s="300">
        <f t="shared" si="47"/>
        <v>0.45390900394520473</v>
      </c>
      <c r="AH107" s="245"/>
      <c r="AI107" s="423"/>
      <c r="AJ107" s="424"/>
      <c r="AL107" s="221"/>
      <c r="AM107" s="124"/>
      <c r="AN107" s="124"/>
      <c r="AO107" s="124"/>
      <c r="BD107" s="124"/>
      <c r="BE107" s="124"/>
      <c r="BF107" s="124"/>
      <c r="BG107" s="124"/>
      <c r="BH107" s="124"/>
      <c r="BI107" s="124"/>
      <c r="BJ107" s="124"/>
      <c r="BK107" s="124"/>
    </row>
    <row r="108" spans="1:63" outlineLevel="1" x14ac:dyDescent="0.2">
      <c r="A108" s="4" t="s">
        <v>474</v>
      </c>
      <c r="C108" s="230">
        <f>C103-$C103</f>
        <v>0</v>
      </c>
      <c r="D108" s="230">
        <f t="shared" ref="D108:AG108" si="48">D103-$C103</f>
        <v>2.083864986974604E-2</v>
      </c>
      <c r="E108" s="230">
        <f t="shared" si="48"/>
        <v>3.798695548040848E-2</v>
      </c>
      <c r="F108" s="230">
        <f t="shared" si="48"/>
        <v>5.4865614366233217E-2</v>
      </c>
      <c r="G108" s="230">
        <f t="shared" si="48"/>
        <v>7.0126991785115222E-2</v>
      </c>
      <c r="H108" s="230">
        <f t="shared" si="48"/>
        <v>8.3632543650147995E-2</v>
      </c>
      <c r="I108" s="230">
        <f t="shared" si="48"/>
        <v>9.6498679808124821E-2</v>
      </c>
      <c r="J108" s="230">
        <f t="shared" si="48"/>
        <v>0.10869011673960044</v>
      </c>
      <c r="K108" s="230">
        <f t="shared" si="48"/>
        <v>0.12017295781271747</v>
      </c>
      <c r="L108" s="230">
        <f t="shared" si="48"/>
        <v>0.13091483251328812</v>
      </c>
      <c r="M108" s="230">
        <f t="shared" si="48"/>
        <v>0.14088503244663714</v>
      </c>
      <c r="N108" s="230">
        <f t="shared" si="48"/>
        <v>0.15945236283377923</v>
      </c>
      <c r="O108" s="230">
        <f t="shared" si="48"/>
        <v>0.17454469446676196</v>
      </c>
      <c r="P108" s="230">
        <f t="shared" si="48"/>
        <v>0.1860661981036284</v>
      </c>
      <c r="Q108" s="230">
        <f t="shared" si="48"/>
        <v>0.19395709472391925</v>
      </c>
      <c r="R108" s="230">
        <f t="shared" si="48"/>
        <v>0.19819436586152722</v>
      </c>
      <c r="S108" s="230">
        <f t="shared" si="48"/>
        <v>0.20001300682811857</v>
      </c>
      <c r="T108" s="230">
        <f t="shared" si="48"/>
        <v>0.19945659105050967</v>
      </c>
      <c r="U108" s="230">
        <f t="shared" si="48"/>
        <v>0.19657284446888784</v>
      </c>
      <c r="V108" s="230">
        <f t="shared" si="48"/>
        <v>0.19141365468635113</v>
      </c>
      <c r="W108" s="230">
        <f t="shared" si="48"/>
        <v>0.1840350753382814</v>
      </c>
      <c r="X108" s="230">
        <f t="shared" si="48"/>
        <v>0.18820218266894789</v>
      </c>
      <c r="Y108" s="230">
        <f t="shared" si="48"/>
        <v>0.18881543782339499</v>
      </c>
      <c r="Z108" s="230">
        <f t="shared" si="48"/>
        <v>0.18596865710123583</v>
      </c>
      <c r="AA108" s="230">
        <f t="shared" si="48"/>
        <v>0.17976206521440502</v>
      </c>
      <c r="AB108" s="230">
        <f t="shared" si="48"/>
        <v>0.17030228658194863</v>
      </c>
      <c r="AC108" s="230">
        <f t="shared" si="48"/>
        <v>0.157708348680281</v>
      </c>
      <c r="AD108" s="230">
        <f t="shared" si="48"/>
        <v>0.14209918601075161</v>
      </c>
      <c r="AE108" s="230">
        <f t="shared" si="48"/>
        <v>0.12359989931046594</v>
      </c>
      <c r="AF108" s="230">
        <f t="shared" si="48"/>
        <v>0.10234173048442069</v>
      </c>
      <c r="AG108" s="230">
        <f t="shared" si="48"/>
        <v>7.8462031177807756E-2</v>
      </c>
      <c r="AH108" s="245"/>
      <c r="AI108" s="133"/>
      <c r="AJ108" s="211"/>
      <c r="AL108" s="108"/>
      <c r="AM108" s="2"/>
      <c r="AN108" s="2"/>
      <c r="AO108" s="2"/>
      <c r="BC108" s="1"/>
      <c r="BD108" s="2"/>
      <c r="BE108" s="2"/>
      <c r="BF108" s="2"/>
      <c r="BG108" s="2"/>
      <c r="BH108" s="2"/>
      <c r="BI108" s="2"/>
      <c r="BJ108" s="2"/>
      <c r="BK108" s="2"/>
    </row>
    <row r="109" spans="1:63" outlineLevel="1" x14ac:dyDescent="0.2">
      <c r="A109" s="4" t="s">
        <v>478</v>
      </c>
      <c r="C109" s="230">
        <f t="shared" ref="C109:AG111" si="49">C104-$C104</f>
        <v>0</v>
      </c>
      <c r="D109" s="230">
        <f t="shared" si="49"/>
        <v>5.5060655784193186E-3</v>
      </c>
      <c r="E109" s="230">
        <f t="shared" si="49"/>
        <v>1.1526539590300894E-2</v>
      </c>
      <c r="F109" s="230">
        <f t="shared" si="49"/>
        <v>1.8086437469861123E-2</v>
      </c>
      <c r="G109" s="230">
        <f t="shared" si="49"/>
        <v>2.5133702250029581E-2</v>
      </c>
      <c r="H109" s="230">
        <f t="shared" si="49"/>
        <v>3.2625330454230272E-2</v>
      </c>
      <c r="I109" s="230">
        <f t="shared" si="49"/>
        <v>4.0601590312178575E-2</v>
      </c>
      <c r="J109" s="230">
        <f t="shared" si="49"/>
        <v>4.9058301430558532E-2</v>
      </c>
      <c r="K109" s="230">
        <f t="shared" si="49"/>
        <v>5.7989483226295713E-2</v>
      </c>
      <c r="L109" s="230">
        <f t="shared" si="49"/>
        <v>6.7387317939684832E-2</v>
      </c>
      <c r="M109" s="230">
        <f t="shared" si="49"/>
        <v>7.7242120106412945E-2</v>
      </c>
      <c r="N109" s="230">
        <f t="shared" si="49"/>
        <v>8.8875348393307685E-2</v>
      </c>
      <c r="O109" s="230">
        <f t="shared" si="49"/>
        <v>0.10080688649144957</v>
      </c>
      <c r="P109" s="230">
        <f t="shared" si="49"/>
        <v>0.11289995784255863</v>
      </c>
      <c r="Q109" s="230">
        <f t="shared" si="49"/>
        <v>0.12501052748006899</v>
      </c>
      <c r="R109" s="230">
        <f t="shared" si="49"/>
        <v>0.1369892479989771</v>
      </c>
      <c r="S109" s="230">
        <f t="shared" si="49"/>
        <v>0.14895445124845702</v>
      </c>
      <c r="T109" s="230">
        <f t="shared" si="49"/>
        <v>0.16081557617400194</v>
      </c>
      <c r="U109" s="230">
        <f t="shared" si="49"/>
        <v>0.17247919842993487</v>
      </c>
      <c r="V109" s="230">
        <f t="shared" si="49"/>
        <v>0.18384907330996417</v>
      </c>
      <c r="W109" s="230">
        <f t="shared" si="49"/>
        <v>0.19482618276786967</v>
      </c>
      <c r="X109" s="230">
        <f t="shared" si="49"/>
        <v>0.20964999443468188</v>
      </c>
      <c r="Y109" s="230">
        <f t="shared" si="49"/>
        <v>0.22396133181627048</v>
      </c>
      <c r="Z109" s="230">
        <f t="shared" si="49"/>
        <v>0.23759977089113188</v>
      </c>
      <c r="AA109" s="230">
        <f t="shared" si="49"/>
        <v>0.25040059345501658</v>
      </c>
      <c r="AB109" s="230">
        <f t="shared" si="49"/>
        <v>0.26219486598053138</v>
      </c>
      <c r="AC109" s="230">
        <f t="shared" si="49"/>
        <v>0.27281211939887096</v>
      </c>
      <c r="AD109" s="230">
        <f t="shared" si="49"/>
        <v>0.28207551565634176</v>
      </c>
      <c r="AE109" s="230">
        <f t="shared" si="49"/>
        <v>0.28980418619270115</v>
      </c>
      <c r="AF109" s="230">
        <f t="shared" si="49"/>
        <v>0.2958133164176453</v>
      </c>
      <c r="AG109" s="230">
        <f t="shared" si="49"/>
        <v>0.2999142353947703</v>
      </c>
      <c r="AH109" s="245"/>
      <c r="AI109" s="133"/>
      <c r="AJ109" s="211"/>
      <c r="AL109" s="108"/>
      <c r="AM109" s="2"/>
      <c r="AN109" s="2"/>
      <c r="AO109" s="2"/>
      <c r="BC109" s="1"/>
      <c r="BD109" s="2"/>
      <c r="BE109" s="2"/>
      <c r="BF109" s="2"/>
      <c r="BG109" s="2"/>
      <c r="BH109" s="2"/>
      <c r="BI109" s="2"/>
      <c r="BJ109" s="2"/>
      <c r="BK109" s="2"/>
    </row>
    <row r="110" spans="1:63" outlineLevel="1" x14ac:dyDescent="0.2">
      <c r="A110" s="4" t="s">
        <v>745</v>
      </c>
      <c r="C110" s="230">
        <f t="shared" si="49"/>
        <v>0</v>
      </c>
      <c r="D110" s="230">
        <f t="shared" si="49"/>
        <v>1.2607862074682382E-3</v>
      </c>
      <c r="E110" s="230">
        <f t="shared" si="49"/>
        <v>2.6439508192924472E-3</v>
      </c>
      <c r="F110" s="230">
        <f t="shared" si="49"/>
        <v>4.1525146455729089E-3</v>
      </c>
      <c r="G110" s="230">
        <f t="shared" si="49"/>
        <v>5.7754941712469844E-3</v>
      </c>
      <c r="H110" s="230">
        <f t="shared" si="49"/>
        <v>7.5030226971568043E-3</v>
      </c>
      <c r="I110" s="230">
        <f t="shared" si="49"/>
        <v>9.3435362298565586E-3</v>
      </c>
      <c r="J110" s="230">
        <f t="shared" si="49"/>
        <v>1.1296093378755123E-2</v>
      </c>
      <c r="K110" s="230">
        <f t="shared" si="49"/>
        <v>1.3359333868916195E-2</v>
      </c>
      <c r="L110" s="230">
        <f t="shared" si="49"/>
        <v>1.553146984448606E-2</v>
      </c>
      <c r="M110" s="230">
        <f t="shared" si="49"/>
        <v>1.781027867361264E-2</v>
      </c>
      <c r="N110" s="230">
        <f t="shared" si="49"/>
        <v>2.0494794720811657E-2</v>
      </c>
      <c r="O110" s="230">
        <f t="shared" si="49"/>
        <v>2.3251365630548394E-2</v>
      </c>
      <c r="P110" s="230">
        <f t="shared" si="49"/>
        <v>2.6048328775092233E-2</v>
      </c>
      <c r="Q110" s="230">
        <f t="shared" si="49"/>
        <v>2.8852307783107881E-2</v>
      </c>
      <c r="R110" s="230">
        <f t="shared" si="49"/>
        <v>3.1628663546947697E-2</v>
      </c>
      <c r="S110" s="230">
        <f t="shared" si="49"/>
        <v>3.4403851141557272E-2</v>
      </c>
      <c r="T110" s="230">
        <f t="shared" si="49"/>
        <v>3.7156819328671556E-2</v>
      </c>
      <c r="U110" s="230">
        <f t="shared" si="49"/>
        <v>3.9865849029222439E-2</v>
      </c>
      <c r="V110" s="230">
        <f t="shared" si="49"/>
        <v>4.2508563278438015E-2</v>
      </c>
      <c r="W110" s="230">
        <f t="shared" si="49"/>
        <v>4.506193813399622E-2</v>
      </c>
      <c r="X110" s="230">
        <f t="shared" si="49"/>
        <v>4.8498588289792935E-2</v>
      </c>
      <c r="Y110" s="230">
        <f t="shared" si="49"/>
        <v>5.1819205387152394E-2</v>
      </c>
      <c r="Z110" s="230">
        <f t="shared" si="49"/>
        <v>5.498648475855307E-2</v>
      </c>
      <c r="AA110" s="230">
        <f t="shared" si="49"/>
        <v>5.7962120004023628E-2</v>
      </c>
      <c r="AB110" s="230">
        <f t="shared" si="49"/>
        <v>6.0706821298538445E-2</v>
      </c>
      <c r="AC110" s="230">
        <f t="shared" si="49"/>
        <v>6.3180932380778626E-2</v>
      </c>
      <c r="AD110" s="230">
        <f t="shared" si="49"/>
        <v>6.5343319066315977E-2</v>
      </c>
      <c r="AE110" s="230">
        <f t="shared" si="49"/>
        <v>6.7151906824596541E-2</v>
      </c>
      <c r="AF110" s="230">
        <f t="shared" si="49"/>
        <v>6.8563700403119945E-2</v>
      </c>
      <c r="AG110" s="230">
        <f t="shared" si="49"/>
        <v>6.9534804665251471E-2</v>
      </c>
      <c r="AH110" s="245"/>
      <c r="AI110" s="133"/>
      <c r="AJ110" s="211"/>
      <c r="AL110" s="108"/>
      <c r="AM110" s="2"/>
      <c r="AN110" s="2"/>
      <c r="AO110" s="2"/>
      <c r="BC110" s="1"/>
      <c r="BD110" s="2"/>
      <c r="BE110" s="2"/>
      <c r="BF110" s="2"/>
      <c r="BG110" s="2"/>
      <c r="BH110" s="2"/>
      <c r="BI110" s="2"/>
      <c r="BJ110" s="2"/>
      <c r="BK110" s="2"/>
    </row>
    <row r="111" spans="1:63" outlineLevel="1" x14ac:dyDescent="0.2">
      <c r="A111" s="4" t="s">
        <v>1561</v>
      </c>
      <c r="C111" s="230">
        <f t="shared" si="49"/>
        <v>0</v>
      </c>
      <c r="D111" s="230">
        <f t="shared" si="49"/>
        <v>1.0875288809950993E-4</v>
      </c>
      <c r="E111" s="230">
        <f t="shared" si="49"/>
        <v>2.2806189176872223E-4</v>
      </c>
      <c r="F111" s="230">
        <f t="shared" si="49"/>
        <v>3.5818758002469927E-4</v>
      </c>
      <c r="G111" s="230">
        <f t="shared" si="49"/>
        <v>4.9818253689995126E-4</v>
      </c>
      <c r="H111" s="230">
        <f t="shared" si="49"/>
        <v>6.4719568072569764E-4</v>
      </c>
      <c r="I111" s="230">
        <f t="shared" si="49"/>
        <v>8.0595468449785185E-4</v>
      </c>
      <c r="J111" s="230">
        <f t="shared" si="49"/>
        <v>9.7437834575321428E-4</v>
      </c>
      <c r="K111" s="230">
        <f t="shared" si="49"/>
        <v>1.1523493299055911E-3</v>
      </c>
      <c r="L111" s="230">
        <f t="shared" si="49"/>
        <v>1.3397134200969253E-3</v>
      </c>
      <c r="M111" s="230">
        <f t="shared" si="49"/>
        <v>1.5362788965640535E-3</v>
      </c>
      <c r="N111" s="230">
        <f t="shared" si="49"/>
        <v>1.7678398634853449E-3</v>
      </c>
      <c r="O111" s="230">
        <f t="shared" si="49"/>
        <v>2.0056161382488169E-3</v>
      </c>
      <c r="P111" s="230">
        <f t="shared" si="49"/>
        <v>2.2468765661272619E-3</v>
      </c>
      <c r="Q111" s="230">
        <f t="shared" si="49"/>
        <v>2.4887421683092896E-3</v>
      </c>
      <c r="R111" s="230">
        <f t="shared" si="49"/>
        <v>2.7282250448832758E-3</v>
      </c>
      <c r="S111" s="230">
        <f t="shared" si="49"/>
        <v>2.9676071575237537E-3</v>
      </c>
      <c r="T111" s="230">
        <f t="shared" si="49"/>
        <v>3.2050726686637878E-3</v>
      </c>
      <c r="U111" s="230">
        <f t="shared" si="49"/>
        <v>3.4387481341289989E-3</v>
      </c>
      <c r="V111" s="230">
        <f t="shared" si="49"/>
        <v>3.6667033618444497E-3</v>
      </c>
      <c r="W111" s="230">
        <f t="shared" si="49"/>
        <v>3.8869523527500865E-3</v>
      </c>
      <c r="X111" s="230">
        <f t="shared" si="49"/>
        <v>4.1833908984897604E-3</v>
      </c>
      <c r="Y111" s="230">
        <f t="shared" si="49"/>
        <v>4.4698206654647851E-3</v>
      </c>
      <c r="Z111" s="230">
        <f t="shared" si="49"/>
        <v>4.7430238279180829E-3</v>
      </c>
      <c r="AA111" s="230">
        <f t="shared" si="49"/>
        <v>4.9996961526617449E-3</v>
      </c>
      <c r="AB111" s="230">
        <f t="shared" si="49"/>
        <v>5.2364485782362205E-3</v>
      </c>
      <c r="AC111" s="230">
        <f t="shared" si="49"/>
        <v>5.4498604351226722E-3</v>
      </c>
      <c r="AD111" s="230">
        <f t="shared" si="49"/>
        <v>5.6363835711207618E-3</v>
      </c>
      <c r="AE111" s="230">
        <f t="shared" si="49"/>
        <v>5.7923887216604387E-3</v>
      </c>
      <c r="AF111" s="230">
        <f t="shared" si="49"/>
        <v>5.9141672025442649E-3</v>
      </c>
      <c r="AG111" s="230">
        <f t="shared" si="49"/>
        <v>5.9979327073752748E-3</v>
      </c>
      <c r="AH111" s="245"/>
      <c r="AI111" s="133"/>
      <c r="AJ111" s="211"/>
      <c r="AL111" s="108"/>
      <c r="AM111" s="2"/>
      <c r="AN111" s="2"/>
      <c r="AO111" s="2"/>
      <c r="BC111" s="1"/>
      <c r="BD111" s="2"/>
      <c r="BE111" s="2"/>
      <c r="BF111" s="2"/>
      <c r="BG111" s="2"/>
      <c r="BH111" s="2"/>
      <c r="BI111" s="2"/>
      <c r="BJ111" s="2"/>
      <c r="BK111" s="2"/>
    </row>
    <row r="112" spans="1:63" s="1" customFormat="1" outlineLevel="1" x14ac:dyDescent="0.2">
      <c r="A112" s="1" t="s">
        <v>1569</v>
      </c>
      <c r="B112" s="65"/>
      <c r="C112" s="300">
        <f>'BTX Recycling HC'!C112</f>
        <v>2.225250593552321</v>
      </c>
      <c r="D112" s="300">
        <f>'BTX Recycling HC'!D112</f>
        <v>2.3615497964169903</v>
      </c>
      <c r="E112" s="300">
        <f>'BTX Recycling HC'!E112</f>
        <v>2.4845354848147672</v>
      </c>
      <c r="F112" s="300">
        <f>'BTX Recycling HC'!F112</f>
        <v>2.6101951629678064</v>
      </c>
      <c r="G112" s="300">
        <f>'BTX Recycling HC'!G112</f>
        <v>2.7319236407438288</v>
      </c>
      <c r="H112" s="300">
        <f>'BTX Recycling HC'!H112</f>
        <v>2.8487682588376622</v>
      </c>
      <c r="I112" s="300">
        <f>'BTX Recycling HC'!I112</f>
        <v>2.9661801393498695</v>
      </c>
      <c r="J112" s="300">
        <f>'BTX Recycling HC'!J112</f>
        <v>3.0839658724096157</v>
      </c>
      <c r="K112" s="300">
        <f>'BTX Recycling HC'!K112</f>
        <v>3.2019253746727281</v>
      </c>
      <c r="L112" s="300">
        <f>'BTX Recycling HC'!L112</f>
        <v>3.3198522638712777</v>
      </c>
      <c r="M112" s="300">
        <f>'BTX Recycling HC'!M112</f>
        <v>3.4375342653826593</v>
      </c>
      <c r="N112" s="300">
        <f>'BTX Recycling HC'!N112</f>
        <v>3.6078638726653023</v>
      </c>
      <c r="O112" s="300">
        <f>'BTX Recycling HC'!O112</f>
        <v>3.7643046332333161</v>
      </c>
      <c r="P112" s="300">
        <f>'BTX Recycling HC'!P112</f>
        <v>3.905419819789588</v>
      </c>
      <c r="Q112" s="300">
        <f>'BTX Recycling HC'!Q112</f>
        <v>4.029886533260246</v>
      </c>
      <c r="R112" s="300">
        <f>'BTX Recycling HC'!R112</f>
        <v>4.1365131260774604</v>
      </c>
      <c r="S112" s="300">
        <f>'BTX Recycling HC'!S112</f>
        <v>4.2318659360652164</v>
      </c>
      <c r="T112" s="300">
        <f>'BTX Recycling HC'!T112</f>
        <v>4.3154882037895685</v>
      </c>
      <c r="U112" s="300">
        <f>'BTX Recycling HC'!U112</f>
        <v>4.3869215498108671</v>
      </c>
      <c r="V112" s="300">
        <f>'BTX Recycling HC'!V112</f>
        <v>4.445706328931001</v>
      </c>
      <c r="W112" s="300">
        <f>'BTX Recycling HC'!W112</f>
        <v>4.4913819920757803</v>
      </c>
      <c r="X112" s="300">
        <f>'BTX Recycling HC'!X112</f>
        <v>4.6183592918550609</v>
      </c>
      <c r="Y112" s="300">
        <f>'BTX Recycling HC'!Y112</f>
        <v>4.7251915313352733</v>
      </c>
      <c r="Z112" s="300">
        <f>'BTX Recycling HC'!Z112</f>
        <v>4.8111464188847899</v>
      </c>
      <c r="AA112" s="300">
        <f>'BTX Recycling HC'!AA112</f>
        <v>4.8754900684001452</v>
      </c>
      <c r="AB112" s="300">
        <f>'BTX Recycling HC'!AB112</f>
        <v>4.9174875321450795</v>
      </c>
      <c r="AC112" s="300">
        <f>'BTX Recycling HC'!AC112</f>
        <v>4.9364500135350173</v>
      </c>
      <c r="AD112" s="300">
        <f>'BTX Recycling HC'!AD112</f>
        <v>4.9316420037999933</v>
      </c>
      <c r="AE112" s="300">
        <f>'BTX Recycling HC'!AE112</f>
        <v>4.9023271967945252</v>
      </c>
      <c r="AF112" s="300">
        <f>'BTX Recycling HC'!AF112</f>
        <v>4.8477689870483589</v>
      </c>
      <c r="AG112" s="300">
        <f>'BTX Recycling HC'!AG112</f>
        <v>4.7672309762728942</v>
      </c>
      <c r="AH112" s="245"/>
      <c r="AI112" s="423"/>
      <c r="AJ112" s="424"/>
      <c r="AL112" s="221"/>
      <c r="AM112" s="124"/>
      <c r="AN112" s="124"/>
      <c r="AO112" s="124"/>
      <c r="BD112" s="124"/>
      <c r="BE112" s="124"/>
      <c r="BF112" s="124"/>
      <c r="BG112" s="124"/>
      <c r="BH112" s="124"/>
      <c r="BI112" s="124"/>
      <c r="BJ112" s="124"/>
      <c r="BK112" s="124"/>
    </row>
    <row r="113" spans="1:63" outlineLevel="1" x14ac:dyDescent="0.2">
      <c r="A113" s="4" t="s">
        <v>474</v>
      </c>
      <c r="C113" s="230">
        <f>C$112*'BTX recycling rates'!E50</f>
        <v>2.2174727572711728</v>
      </c>
      <c r="D113" s="230">
        <f>D$112*'BTX recycling rates'!F50</f>
        <v>2.2748523732765253</v>
      </c>
      <c r="E113" s="230">
        <f>E$112*'BTX recycling rates'!G50</f>
        <v>2.3107946209801487</v>
      </c>
      <c r="F113" s="230">
        <f>F$112*'BTX recycling rates'!H50</f>
        <v>2.3409646597249218</v>
      </c>
      <c r="G113" s="230">
        <f>G$112*'BTX recycling rates'!I50</f>
        <v>2.3593915356774562</v>
      </c>
      <c r="H113" s="230">
        <f>H$112*'BTX recycling rates'!J50</f>
        <v>2.3656758868922787</v>
      </c>
      <c r="I113" s="230">
        <f>I$112*'BTX recycling rates'!K50</f>
        <v>2.3646500474958732</v>
      </c>
      <c r="J113" s="230">
        <f>J$112*'BTX recycling rates'!L50</f>
        <v>2.3561097268993305</v>
      </c>
      <c r="K113" s="230">
        <f>K$112*'BTX recycling rates'!M50</f>
        <v>2.3398714555856861</v>
      </c>
      <c r="L113" s="230">
        <f>L$112*'BTX recycling rates'!N50</f>
        <v>2.3157739547361884</v>
      </c>
      <c r="M113" s="230">
        <f>M$112*'BTX recycling rates'!O50</f>
        <v>2.2836794524802033</v>
      </c>
      <c r="N113" s="230">
        <f>N$112*'BTX recycling rates'!P50</f>
        <v>2.2769938448344513</v>
      </c>
      <c r="O113" s="230">
        <f>O$112*'BTX recycling rates'!Q50</f>
        <v>2.2506884388978179</v>
      </c>
      <c r="P113" s="230">
        <f>P$112*'BTX recycling rates'!R50</f>
        <v>2.2053359650086755</v>
      </c>
      <c r="Q113" s="230">
        <f>Q$112*'BTX recycling rates'!S50</f>
        <v>2.1417605437736387</v>
      </c>
      <c r="R113" s="230">
        <f>R$112*'BTX recycling rates'!T50</f>
        <v>2.0610274621988784</v>
      </c>
      <c r="S113" s="230">
        <f>S$112*'BTX recycling rates'!U50</f>
        <v>1.9679680772395327</v>
      </c>
      <c r="T113" s="230">
        <f>T$112*'BTX recycling rates'!V50</f>
        <v>1.8635085894210328</v>
      </c>
      <c r="U113" s="230">
        <f>U$112*'BTX recycling rates'!W50</f>
        <v>1.7486352419234068</v>
      </c>
      <c r="V113" s="230">
        <f>V$112*'BTX recycling rates'!X50</f>
        <v>1.6243947190751602</v>
      </c>
      <c r="W113" s="230">
        <f>W$112*'BTX recycling rates'!Y50</f>
        <v>1.4918944767814954</v>
      </c>
      <c r="X113" s="230">
        <f>X$112*'BTX recycling rates'!Z50</f>
        <v>1.3806650733161083</v>
      </c>
      <c r="Y113" s="230">
        <f>Y$112*'BTX recycling rates'!AA50</f>
        <v>1.2556468649999157</v>
      </c>
      <c r="Z113" s="230">
        <f>Z$112*'BTX recycling rates'!AB50</f>
        <v>1.1186770458156401</v>
      </c>
      <c r="AA113" s="230">
        <f>AA$112*'BTX recycling rates'!AC50</f>
        <v>0.97168978957688423</v>
      </c>
      <c r="AB113" s="230">
        <f>AB$112*'BTX recycling rates'!AD50</f>
        <v>0.81671660324069306</v>
      </c>
      <c r="AC113" s="230">
        <f>AC$112*'BTX recycling rates'!AE50</f>
        <v>0.65589277626302178</v>
      </c>
      <c r="AD113" s="230">
        <f>AD$112*'BTX recycling rates'!AF50</f>
        <v>0.49144046174966288</v>
      </c>
      <c r="AE113" s="230">
        <f>AE$112*'BTX recycling rates'!AG50</f>
        <v>0.3256794848969512</v>
      </c>
      <c r="AF113" s="230">
        <f>AF$112*'BTX recycling rates'!AH50</f>
        <v>0.16102749196684082</v>
      </c>
      <c r="AG113" s="230">
        <f>AG$112*'BTX recycling rates'!AI50</f>
        <v>0</v>
      </c>
      <c r="AH113" s="245"/>
      <c r="AI113" s="133"/>
      <c r="AJ113" s="211"/>
      <c r="AL113" s="108"/>
      <c r="AM113" s="2"/>
      <c r="AN113" s="2"/>
      <c r="AO113" s="2"/>
      <c r="BC113" s="1"/>
      <c r="BD113" s="2"/>
      <c r="BE113" s="2"/>
      <c r="BF113" s="2"/>
      <c r="BG113" s="2"/>
      <c r="BH113" s="2"/>
      <c r="BI113" s="2"/>
      <c r="BJ113" s="2"/>
      <c r="BK113" s="2"/>
    </row>
    <row r="114" spans="1:63" outlineLevel="1" x14ac:dyDescent="0.2">
      <c r="A114" s="4" t="s">
        <v>478</v>
      </c>
      <c r="C114" s="230">
        <f>C$112*'BTX recycling rates'!E51</f>
        <v>7.7778362811482538E-3</v>
      </c>
      <c r="D114" s="230">
        <f>D$112*'BTX recycling rates'!F51</f>
        <v>7.9790965932316337E-3</v>
      </c>
      <c r="E114" s="230">
        <f>E$112*'BTX recycling rates'!G51</f>
        <v>8.1051648469671507E-3</v>
      </c>
      <c r="F114" s="230">
        <f>F$112*'BTX recycling rates'!H51</f>
        <v>8.210986946103789E-3</v>
      </c>
      <c r="G114" s="230">
        <f>G$112*'BTX recycling rates'!I51</f>
        <v>8.2756196338614561E-3</v>
      </c>
      <c r="H114" s="230">
        <f>H$112*'BTX recycling rates'!J51</f>
        <v>8.2976621391061527E-3</v>
      </c>
      <c r="I114" s="230">
        <f>I$112*'BTX recycling rates'!K51</f>
        <v>8.2940639840217989E-3</v>
      </c>
      <c r="J114" s="230">
        <f>J$112*'BTX recycling rates'!L51</f>
        <v>8.2641086147075132E-3</v>
      </c>
      <c r="K114" s="230">
        <f>K$112*'BTX recycling rates'!M51</f>
        <v>8.2071525076472321E-3</v>
      </c>
      <c r="L114" s="230">
        <f>L$112*'BTX recycling rates'!N51</f>
        <v>8.1226299737050933E-3</v>
      </c>
      <c r="M114" s="230">
        <f>M$112*'BTX recycling rates'!O51</f>
        <v>8.0100577749019908E-3</v>
      </c>
      <c r="N114" s="230">
        <f>N$112*'BTX recycling rates'!P51</f>
        <v>7.986607853572341E-3</v>
      </c>
      <c r="O114" s="230">
        <f>O$112*'BTX recycling rates'!Q51</f>
        <v>7.8943410421703115E-3</v>
      </c>
      <c r="P114" s="230">
        <f>P$112*'BTX recycling rates'!R51</f>
        <v>7.7352662054228742E-3</v>
      </c>
      <c r="Q114" s="230">
        <f>Q$112*'BTX recycling rates'!S51</f>
        <v>7.5122739651575822E-3</v>
      </c>
      <c r="R114" s="230">
        <f>R$112*'BTX recycling rates'!T51</f>
        <v>7.2291008398499236E-3</v>
      </c>
      <c r="S114" s="230">
        <f>S$112*'BTX recycling rates'!U51</f>
        <v>6.9026929242330245E-3</v>
      </c>
      <c r="T114" s="230">
        <f>T$112*'BTX recycling rates'!V51</f>
        <v>6.5362988877783355E-3</v>
      </c>
      <c r="U114" s="230">
        <f>U$112*'BTX recycling rates'!W51</f>
        <v>6.1333780009379998E-3</v>
      </c>
      <c r="V114" s="230">
        <f>V$112*'BTX recycling rates'!X51</f>
        <v>5.6976015328712272E-3</v>
      </c>
      <c r="W114" s="230">
        <f>W$112*'BTX recycling rates'!Y51</f>
        <v>5.2328539104288148E-3</v>
      </c>
      <c r="X114" s="230">
        <f>X$112*'BTX recycling rates'!Z51</f>
        <v>4.8427142404072598E-3</v>
      </c>
      <c r="Y114" s="230">
        <f>Y$112*'BTX recycling rates'!AA51</f>
        <v>4.4042100228210935E-3</v>
      </c>
      <c r="Z114" s="230">
        <f>Z$112*'BTX recycling rates'!AB51</f>
        <v>3.9237852574748123E-3</v>
      </c>
      <c r="AA114" s="230">
        <f>AA$112*'BTX recycling rates'!AC51</f>
        <v>3.4082241031420271E-3</v>
      </c>
      <c r="AB114" s="230">
        <f>AB$112*'BTX recycling rates'!AD51</f>
        <v>2.864652116817338E-3</v>
      </c>
      <c r="AC114" s="230">
        <f>AC$112*'BTX recycling rates'!AE51</f>
        <v>2.3005588749777607E-3</v>
      </c>
      <c r="AD114" s="230">
        <f>AD$112*'BTX recycling rates'!AF51</f>
        <v>1.723738630333651E-3</v>
      </c>
      <c r="AE114" s="230">
        <f>AE$112*'BTX recycling rates'!AG51</f>
        <v>1.1423282226810376E-3</v>
      </c>
      <c r="AF114" s="230">
        <f>AF$112*'BTX recycling rates'!AH51</f>
        <v>5.6480760143510513E-4</v>
      </c>
      <c r="AG114" s="230">
        <f>AG$112*'BTX recycling rates'!AI51</f>
        <v>0</v>
      </c>
      <c r="AH114" s="245"/>
      <c r="AI114" s="133"/>
      <c r="AJ114" s="211"/>
      <c r="AL114" s="108"/>
      <c r="AM114" s="2"/>
      <c r="AN114" s="2"/>
      <c r="AO114" s="2"/>
      <c r="BC114" s="1"/>
      <c r="BD114" s="2"/>
      <c r="BE114" s="2"/>
      <c r="BF114" s="2"/>
      <c r="BG114" s="2"/>
      <c r="BH114" s="2"/>
      <c r="BI114" s="2"/>
      <c r="BJ114" s="2"/>
      <c r="BK114" s="2"/>
    </row>
    <row r="115" spans="1:63" outlineLevel="1" x14ac:dyDescent="0.2">
      <c r="A115" s="4" t="s">
        <v>745</v>
      </c>
      <c r="C115" s="230">
        <f>C$112*'BTX recycling rates'!E52</f>
        <v>0</v>
      </c>
      <c r="D115" s="230">
        <f>D$112*'BTX recycling rates'!F52</f>
        <v>3.9359163273616507E-2</v>
      </c>
      <c r="E115" s="230">
        <f>E$112*'BTX recycling rates'!G52</f>
        <v>8.2817849493825577E-2</v>
      </c>
      <c r="F115" s="230">
        <f>F$112*'BTX recycling rates'!H52</f>
        <v>0.13050975814839033</v>
      </c>
      <c r="G115" s="230">
        <f>G$112*'BTX recycling rates'!I52</f>
        <v>0.18212824271625525</v>
      </c>
      <c r="H115" s="230">
        <f>H$112*'BTX recycling rates'!J52</f>
        <v>0.23739735490313851</v>
      </c>
      <c r="I115" s="230">
        <f>I$112*'BTX recycling rates'!K52</f>
        <v>0.29661801393498693</v>
      </c>
      <c r="J115" s="230">
        <f>J$112*'BTX recycling rates'!L52</f>
        <v>0.35979601844778847</v>
      </c>
      <c r="K115" s="230">
        <f>K$112*'BTX recycling rates'!M52</f>
        <v>0.42692338328969709</v>
      </c>
      <c r="L115" s="230">
        <f>L$112*'BTX recycling rates'!N52</f>
        <v>0.49797783958069164</v>
      </c>
      <c r="M115" s="230">
        <f>M$112*'BTX recycling rates'!O52</f>
        <v>0.57292237756377651</v>
      </c>
      <c r="N115" s="230">
        <f>N$112*'BTX recycling rates'!P52</f>
        <v>0.66144170998863872</v>
      </c>
      <c r="O115" s="230">
        <f>O$112*'BTX recycling rates'!Q52</f>
        <v>0.75286092664666315</v>
      </c>
      <c r="P115" s="230">
        <f>P$112*'BTX recycling rates'!R52</f>
        <v>0.84617429428774393</v>
      </c>
      <c r="Q115" s="230">
        <f>Q$112*'BTX recycling rates'!S52</f>
        <v>0.94030685776072398</v>
      </c>
      <c r="R115" s="230">
        <f>R$112*'BTX recycling rates'!T52</f>
        <v>1.0341282815193649</v>
      </c>
      <c r="S115" s="230">
        <f>S$112*'BTX recycling rates'!U52</f>
        <v>1.1284975829507244</v>
      </c>
      <c r="T115" s="230">
        <f>T$112*'BTX recycling rates'!V52</f>
        <v>1.2227216577403777</v>
      </c>
      <c r="U115" s="230">
        <f>U$112*'BTX recycling rates'!W52</f>
        <v>1.3160764649432601</v>
      </c>
      <c r="V115" s="230">
        <f>V$112*'BTX recycling rates'!X52</f>
        <v>1.4078070041614836</v>
      </c>
      <c r="W115" s="230">
        <f>W$112*'BTX recycling rates'!Y52</f>
        <v>1.4971273306919266</v>
      </c>
      <c r="X115" s="230">
        <f>X$112*'BTX recycling rates'!Z52</f>
        <v>1.6164257521492713</v>
      </c>
      <c r="Y115" s="230">
        <f>Y$112*'BTX recycling rates'!AA52</f>
        <v>1.7325702281562667</v>
      </c>
      <c r="Z115" s="230">
        <f>Z$112*'BTX recycling rates'!AB52</f>
        <v>1.8442727939058359</v>
      </c>
      <c r="AA115" s="230">
        <f>AA$112*'BTX recycling rates'!AC52</f>
        <v>1.9501960273600578</v>
      </c>
      <c r="AB115" s="230">
        <f>AB$112*'BTX recycling rates'!AD52</f>
        <v>2.0489531383937831</v>
      </c>
      <c r="AC115" s="230">
        <f>AC$112*'BTX recycling rates'!AE52</f>
        <v>2.1391283391985074</v>
      </c>
      <c r="AD115" s="230">
        <f>AD$112*'BTX recycling rates'!AF52</f>
        <v>2.2192389017099967</v>
      </c>
      <c r="AE115" s="230">
        <f>AE$112*'BTX recycling rates'!AG52</f>
        <v>2.2877526918374449</v>
      </c>
      <c r="AF115" s="230">
        <f>AF$112*'BTX recycling rates'!AH52</f>
        <v>2.3430883437400398</v>
      </c>
      <c r="AG115" s="230">
        <f>AG$112*'BTX recycling rates'!AI52</f>
        <v>2.3836154881364471</v>
      </c>
      <c r="AH115" s="245"/>
      <c r="AI115" s="133"/>
      <c r="AJ115" s="211"/>
      <c r="AL115" s="108"/>
      <c r="AM115" s="2"/>
      <c r="AN115" s="2"/>
      <c r="AO115" s="2"/>
      <c r="BC115" s="1"/>
      <c r="BD115" s="2"/>
      <c r="BE115" s="2"/>
      <c r="BF115" s="2"/>
      <c r="BG115" s="2"/>
      <c r="BH115" s="2"/>
      <c r="BI115" s="2"/>
      <c r="BJ115" s="2"/>
      <c r="BK115" s="2"/>
    </row>
    <row r="116" spans="1:63" outlineLevel="1" x14ac:dyDescent="0.2">
      <c r="A116" s="4" t="s">
        <v>1561</v>
      </c>
      <c r="C116" s="230">
        <f>C$112*'BTX recycling rates'!E53</f>
        <v>0</v>
      </c>
      <c r="D116" s="230">
        <f>D$112*'BTX recycling rates'!F53</f>
        <v>3.9359163273616507E-2</v>
      </c>
      <c r="E116" s="230">
        <f>E$112*'BTX recycling rates'!G53</f>
        <v>8.2817849493825577E-2</v>
      </c>
      <c r="F116" s="230">
        <f>F$112*'BTX recycling rates'!H53</f>
        <v>0.13050975814839033</v>
      </c>
      <c r="G116" s="230">
        <f>G$112*'BTX recycling rates'!I53</f>
        <v>0.18212824271625525</v>
      </c>
      <c r="H116" s="230">
        <f>H$112*'BTX recycling rates'!J53</f>
        <v>0.23739735490313851</v>
      </c>
      <c r="I116" s="230">
        <f>I$112*'BTX recycling rates'!K53</f>
        <v>0.29661801393498693</v>
      </c>
      <c r="J116" s="230">
        <f>J$112*'BTX recycling rates'!L53</f>
        <v>0.35979601844778847</v>
      </c>
      <c r="K116" s="230">
        <f>K$112*'BTX recycling rates'!M53</f>
        <v>0.42692338328969709</v>
      </c>
      <c r="L116" s="230">
        <f>L$112*'BTX recycling rates'!N53</f>
        <v>0.49797783958069164</v>
      </c>
      <c r="M116" s="230">
        <f>M$112*'BTX recycling rates'!O53</f>
        <v>0.57292237756377651</v>
      </c>
      <c r="N116" s="230">
        <f>N$112*'BTX recycling rates'!P53</f>
        <v>0.66144170998863872</v>
      </c>
      <c r="O116" s="230">
        <f>O$112*'BTX recycling rates'!Q53</f>
        <v>0.75286092664666315</v>
      </c>
      <c r="P116" s="230">
        <f>P$112*'BTX recycling rates'!R53</f>
        <v>0.84617429428774393</v>
      </c>
      <c r="Q116" s="230">
        <f>Q$112*'BTX recycling rates'!S53</f>
        <v>0.94030685776072398</v>
      </c>
      <c r="R116" s="230">
        <f>R$112*'BTX recycling rates'!T53</f>
        <v>1.0341282815193649</v>
      </c>
      <c r="S116" s="230">
        <f>S$112*'BTX recycling rates'!U53</f>
        <v>1.1284975829507244</v>
      </c>
      <c r="T116" s="230">
        <f>T$112*'BTX recycling rates'!V53</f>
        <v>1.2227216577403777</v>
      </c>
      <c r="U116" s="230">
        <f>U$112*'BTX recycling rates'!W53</f>
        <v>1.3160764649432601</v>
      </c>
      <c r="V116" s="230">
        <f>V$112*'BTX recycling rates'!X53</f>
        <v>1.4078070041614836</v>
      </c>
      <c r="W116" s="230">
        <f>W$112*'BTX recycling rates'!Y53</f>
        <v>1.4971273306919266</v>
      </c>
      <c r="X116" s="230">
        <f>X$112*'BTX recycling rates'!Z53</f>
        <v>1.6164257521492713</v>
      </c>
      <c r="Y116" s="230">
        <f>Y$112*'BTX recycling rates'!AA53</f>
        <v>1.7325702281562667</v>
      </c>
      <c r="Z116" s="230">
        <f>Z$112*'BTX recycling rates'!AB53</f>
        <v>1.8442727939058359</v>
      </c>
      <c r="AA116" s="230">
        <f>AA$112*'BTX recycling rates'!AC53</f>
        <v>1.9501960273600578</v>
      </c>
      <c r="AB116" s="230">
        <f>AB$112*'BTX recycling rates'!AD53</f>
        <v>2.0489531383937831</v>
      </c>
      <c r="AC116" s="230">
        <f>AC$112*'BTX recycling rates'!AE53</f>
        <v>2.1391283391985074</v>
      </c>
      <c r="AD116" s="230">
        <f>AD$112*'BTX recycling rates'!AF53</f>
        <v>2.2192389017099967</v>
      </c>
      <c r="AE116" s="230">
        <f>AE$112*'BTX recycling rates'!AG53</f>
        <v>2.2877526918374449</v>
      </c>
      <c r="AF116" s="230">
        <f>AF$112*'BTX recycling rates'!AH53</f>
        <v>2.3430883437400398</v>
      </c>
      <c r="AG116" s="230">
        <f>AG$112*'BTX recycling rates'!AI53</f>
        <v>2.3836154881364471</v>
      </c>
      <c r="AH116" s="245"/>
      <c r="AI116" s="133"/>
      <c r="AJ116" s="211"/>
      <c r="AL116" s="108"/>
      <c r="AM116" s="2"/>
      <c r="AN116" s="2"/>
      <c r="AO116" s="2"/>
      <c r="BC116" s="1"/>
      <c r="BD116" s="2"/>
      <c r="BE116" s="2"/>
      <c r="BF116" s="2"/>
      <c r="BG116" s="2"/>
      <c r="BH116" s="2"/>
      <c r="BI116" s="2"/>
      <c r="BJ116" s="2"/>
      <c r="BK116" s="2"/>
    </row>
    <row r="117" spans="1:63" s="1" customFormat="1" outlineLevel="1" x14ac:dyDescent="0.2">
      <c r="A117" s="1" t="s">
        <v>1570</v>
      </c>
      <c r="B117" s="65"/>
      <c r="C117" s="300">
        <f>C112-$C112</f>
        <v>0</v>
      </c>
      <c r="D117" s="300">
        <f t="shared" ref="D117:AG117" si="50">D112-$C112</f>
        <v>0.13629920286466923</v>
      </c>
      <c r="E117" s="300">
        <f t="shared" si="50"/>
        <v>0.25928489126244614</v>
      </c>
      <c r="F117" s="300">
        <f t="shared" si="50"/>
        <v>0.38494456941548538</v>
      </c>
      <c r="G117" s="300">
        <f t="shared" si="50"/>
        <v>0.50667304719150774</v>
      </c>
      <c r="H117" s="300">
        <f t="shared" si="50"/>
        <v>0.62351766528534114</v>
      </c>
      <c r="I117" s="300">
        <f t="shared" si="50"/>
        <v>0.74092954579754844</v>
      </c>
      <c r="J117" s="300">
        <f t="shared" si="50"/>
        <v>0.85871527885729471</v>
      </c>
      <c r="K117" s="300">
        <f t="shared" si="50"/>
        <v>0.97667478112040707</v>
      </c>
      <c r="L117" s="300">
        <f t="shared" si="50"/>
        <v>1.0946016703189567</v>
      </c>
      <c r="M117" s="300">
        <f t="shared" si="50"/>
        <v>1.2122836718303382</v>
      </c>
      <c r="N117" s="300">
        <f t="shared" si="50"/>
        <v>1.3826132791129813</v>
      </c>
      <c r="O117" s="300">
        <f t="shared" si="50"/>
        <v>1.5390540396809951</v>
      </c>
      <c r="P117" s="300">
        <f t="shared" si="50"/>
        <v>1.6801692262372669</v>
      </c>
      <c r="Q117" s="300">
        <f t="shared" si="50"/>
        <v>1.804635939707925</v>
      </c>
      <c r="R117" s="300">
        <f t="shared" si="50"/>
        <v>1.9112625325251393</v>
      </c>
      <c r="S117" s="300">
        <f t="shared" si="50"/>
        <v>2.0066153425128954</v>
      </c>
      <c r="T117" s="300">
        <f t="shared" si="50"/>
        <v>2.0902376102372475</v>
      </c>
      <c r="U117" s="300">
        <f t="shared" si="50"/>
        <v>2.1616709562585461</v>
      </c>
      <c r="V117" s="300">
        <f t="shared" si="50"/>
        <v>2.22045573537868</v>
      </c>
      <c r="W117" s="300">
        <f t="shared" si="50"/>
        <v>2.2661313985234592</v>
      </c>
      <c r="X117" s="300">
        <f t="shared" si="50"/>
        <v>2.3931086983027399</v>
      </c>
      <c r="Y117" s="300">
        <f t="shared" si="50"/>
        <v>2.4999409377829522</v>
      </c>
      <c r="Z117" s="300">
        <f t="shared" si="50"/>
        <v>2.5858958253324689</v>
      </c>
      <c r="AA117" s="300">
        <f t="shared" si="50"/>
        <v>2.6502394748478242</v>
      </c>
      <c r="AB117" s="300">
        <f t="shared" si="50"/>
        <v>2.6922369385927585</v>
      </c>
      <c r="AC117" s="300">
        <f t="shared" si="50"/>
        <v>2.7111994199826963</v>
      </c>
      <c r="AD117" s="300">
        <f t="shared" si="50"/>
        <v>2.7063914102476723</v>
      </c>
      <c r="AE117" s="300">
        <f t="shared" si="50"/>
        <v>2.6770766032422042</v>
      </c>
      <c r="AF117" s="300">
        <f t="shared" si="50"/>
        <v>2.6225183934960379</v>
      </c>
      <c r="AG117" s="300">
        <f t="shared" si="50"/>
        <v>2.5419803827205731</v>
      </c>
      <c r="AH117" s="245"/>
      <c r="AI117" s="423"/>
      <c r="AJ117" s="424"/>
      <c r="AL117" s="221"/>
      <c r="AM117" s="124"/>
      <c r="AN117" s="124"/>
      <c r="AO117" s="124"/>
      <c r="BD117" s="124"/>
      <c r="BE117" s="124"/>
      <c r="BF117" s="124"/>
      <c r="BG117" s="124"/>
      <c r="BH117" s="124"/>
      <c r="BI117" s="124"/>
      <c r="BJ117" s="124"/>
      <c r="BK117" s="124"/>
    </row>
    <row r="118" spans="1:63" outlineLevel="1" x14ac:dyDescent="0.2">
      <c r="A118" s="4" t="s">
        <v>474</v>
      </c>
      <c r="C118" s="230">
        <f>C113-$C113</f>
        <v>0</v>
      </c>
      <c r="D118" s="230">
        <f t="shared" ref="D118:AG118" si="51">D113-$C113</f>
        <v>5.7379616005352574E-2</v>
      </c>
      <c r="E118" s="230">
        <f t="shared" si="51"/>
        <v>9.3321863708975883E-2</v>
      </c>
      <c r="F118" s="230">
        <f t="shared" si="51"/>
        <v>0.12349190245374908</v>
      </c>
      <c r="G118" s="230">
        <f t="shared" si="51"/>
        <v>0.14191877840628342</v>
      </c>
      <c r="H118" s="230">
        <f t="shared" si="51"/>
        <v>0.14820312962110593</v>
      </c>
      <c r="I118" s="230">
        <f t="shared" si="51"/>
        <v>0.14717729022470039</v>
      </c>
      <c r="J118" s="230">
        <f t="shared" si="51"/>
        <v>0.13863696962815775</v>
      </c>
      <c r="K118" s="230">
        <f t="shared" si="51"/>
        <v>0.12239869831451333</v>
      </c>
      <c r="L118" s="230">
        <f t="shared" si="51"/>
        <v>9.8301197465015644E-2</v>
      </c>
      <c r="M118" s="230">
        <f t="shared" si="51"/>
        <v>6.6206695209030553E-2</v>
      </c>
      <c r="N118" s="230">
        <f t="shared" si="51"/>
        <v>5.9521087563278563E-2</v>
      </c>
      <c r="O118" s="230">
        <f t="shared" si="51"/>
        <v>3.3215681626645122E-2</v>
      </c>
      <c r="P118" s="230">
        <f t="shared" si="51"/>
        <v>-1.2136792262497309E-2</v>
      </c>
      <c r="Q118" s="230">
        <f t="shared" si="51"/>
        <v>-7.5712213497534098E-2</v>
      </c>
      <c r="R118" s="230">
        <f t="shared" si="51"/>
        <v>-0.15644529507229432</v>
      </c>
      <c r="S118" s="230">
        <f t="shared" si="51"/>
        <v>-0.24950468003164006</v>
      </c>
      <c r="T118" s="230">
        <f t="shared" si="51"/>
        <v>-0.35396416785013995</v>
      </c>
      <c r="U118" s="230">
        <f t="shared" si="51"/>
        <v>-0.46883751534776597</v>
      </c>
      <c r="V118" s="230">
        <f t="shared" si="51"/>
        <v>-0.59307803819601257</v>
      </c>
      <c r="W118" s="230">
        <f t="shared" si="51"/>
        <v>-0.72557828048967732</v>
      </c>
      <c r="X118" s="230">
        <f t="shared" si="51"/>
        <v>-0.83680768395506444</v>
      </c>
      <c r="Y118" s="230">
        <f t="shared" si="51"/>
        <v>-0.96182589227125703</v>
      </c>
      <c r="Z118" s="230">
        <f t="shared" si="51"/>
        <v>-1.0987957114555327</v>
      </c>
      <c r="AA118" s="230">
        <f t="shared" si="51"/>
        <v>-1.2457829676942884</v>
      </c>
      <c r="AB118" s="230">
        <f t="shared" si="51"/>
        <v>-1.4007561540304798</v>
      </c>
      <c r="AC118" s="230">
        <f t="shared" si="51"/>
        <v>-1.561579981008151</v>
      </c>
      <c r="AD118" s="230">
        <f t="shared" si="51"/>
        <v>-1.7260322955215099</v>
      </c>
      <c r="AE118" s="230">
        <f t="shared" si="51"/>
        <v>-1.8917932723742217</v>
      </c>
      <c r="AF118" s="230">
        <f t="shared" si="51"/>
        <v>-2.0564452653043319</v>
      </c>
      <c r="AG118" s="230">
        <f t="shared" si="51"/>
        <v>-2.2174727572711728</v>
      </c>
      <c r="AH118" s="245"/>
      <c r="AI118" s="133"/>
      <c r="AJ118" s="211"/>
      <c r="AL118" s="108"/>
      <c r="AM118" s="2"/>
      <c r="AN118" s="2"/>
      <c r="AO118" s="2"/>
      <c r="BC118" s="1"/>
      <c r="BD118" s="2"/>
      <c r="BE118" s="2"/>
      <c r="BF118" s="2"/>
      <c r="BG118" s="2"/>
      <c r="BH118" s="2"/>
      <c r="BI118" s="2"/>
      <c r="BJ118" s="2"/>
      <c r="BK118" s="2"/>
    </row>
    <row r="119" spans="1:63" outlineLevel="1" x14ac:dyDescent="0.2">
      <c r="A119" s="4" t="s">
        <v>478</v>
      </c>
      <c r="C119" s="230">
        <f t="shared" ref="C119:AG121" si="52">C114-$C114</f>
        <v>0</v>
      </c>
      <c r="D119" s="230">
        <f t="shared" si="52"/>
        <v>2.0126031208337995E-4</v>
      </c>
      <c r="E119" s="230">
        <f t="shared" si="52"/>
        <v>3.2732856581889694E-4</v>
      </c>
      <c r="F119" s="230">
        <f t="shared" si="52"/>
        <v>4.3315066495553528E-4</v>
      </c>
      <c r="G119" s="230">
        <f t="shared" si="52"/>
        <v>4.977833527132023E-4</v>
      </c>
      <c r="H119" s="230">
        <f t="shared" si="52"/>
        <v>5.1982585795789897E-4</v>
      </c>
      <c r="I119" s="230">
        <f t="shared" si="52"/>
        <v>5.1622770287354514E-4</v>
      </c>
      <c r="J119" s="230">
        <f t="shared" si="52"/>
        <v>4.8627233355925947E-4</v>
      </c>
      <c r="K119" s="230">
        <f t="shared" si="52"/>
        <v>4.2931622649897833E-4</v>
      </c>
      <c r="L119" s="230">
        <f t="shared" si="52"/>
        <v>3.4479369255683949E-4</v>
      </c>
      <c r="M119" s="230">
        <f t="shared" si="52"/>
        <v>2.3222149375373702E-4</v>
      </c>
      <c r="N119" s="230">
        <f t="shared" si="52"/>
        <v>2.0877157242408725E-4</v>
      </c>
      <c r="O119" s="230">
        <f t="shared" si="52"/>
        <v>1.1650476102205778E-4</v>
      </c>
      <c r="P119" s="230">
        <f t="shared" si="52"/>
        <v>-4.2570075725379547E-5</v>
      </c>
      <c r="Q119" s="230">
        <f t="shared" si="52"/>
        <v>-2.6556231599067157E-4</v>
      </c>
      <c r="R119" s="230">
        <f t="shared" si="52"/>
        <v>-5.4873544129833019E-4</v>
      </c>
      <c r="S119" s="230">
        <f t="shared" si="52"/>
        <v>-8.7514335691522924E-4</v>
      </c>
      <c r="T119" s="230">
        <f t="shared" si="52"/>
        <v>-1.2415373933699183E-3</v>
      </c>
      <c r="U119" s="230">
        <f t="shared" si="52"/>
        <v>-1.644458280210254E-3</v>
      </c>
      <c r="V119" s="230">
        <f t="shared" si="52"/>
        <v>-2.0802347482770265E-3</v>
      </c>
      <c r="W119" s="230">
        <f t="shared" si="52"/>
        <v>-2.544982370719439E-3</v>
      </c>
      <c r="X119" s="230">
        <f t="shared" si="52"/>
        <v>-2.935122040740994E-3</v>
      </c>
      <c r="Y119" s="230">
        <f t="shared" si="52"/>
        <v>-3.3736262583271602E-3</v>
      </c>
      <c r="Z119" s="230">
        <f t="shared" si="52"/>
        <v>-3.8540510236734415E-3</v>
      </c>
      <c r="AA119" s="230">
        <f t="shared" si="52"/>
        <v>-4.3696121780062262E-3</v>
      </c>
      <c r="AB119" s="230">
        <f t="shared" si="52"/>
        <v>-4.9131841643309162E-3</v>
      </c>
      <c r="AC119" s="230">
        <f t="shared" si="52"/>
        <v>-5.4772774061704931E-3</v>
      </c>
      <c r="AD119" s="230">
        <f t="shared" si="52"/>
        <v>-6.0540976508146032E-3</v>
      </c>
      <c r="AE119" s="230">
        <f t="shared" si="52"/>
        <v>-6.6355080584672163E-3</v>
      </c>
      <c r="AF119" s="230">
        <f t="shared" si="52"/>
        <v>-7.2130286797131484E-3</v>
      </c>
      <c r="AG119" s="230">
        <f t="shared" si="52"/>
        <v>-7.7778362811482538E-3</v>
      </c>
      <c r="AH119" s="245"/>
      <c r="AI119" s="133"/>
      <c r="AJ119" s="211"/>
      <c r="AL119" s="108"/>
      <c r="AM119" s="2"/>
      <c r="AN119" s="2"/>
      <c r="AO119" s="2"/>
      <c r="BC119" s="1"/>
      <c r="BD119" s="2"/>
      <c r="BE119" s="2"/>
      <c r="BF119" s="2"/>
      <c r="BG119" s="2"/>
      <c r="BH119" s="2"/>
      <c r="BI119" s="2"/>
      <c r="BJ119" s="2"/>
      <c r="BK119" s="2"/>
    </row>
    <row r="120" spans="1:63" outlineLevel="1" x14ac:dyDescent="0.2">
      <c r="A120" s="4" t="s">
        <v>745</v>
      </c>
      <c r="C120" s="230">
        <f t="shared" si="52"/>
        <v>0</v>
      </c>
      <c r="D120" s="230">
        <f t="shared" si="52"/>
        <v>3.9359163273616507E-2</v>
      </c>
      <c r="E120" s="230">
        <f t="shared" si="52"/>
        <v>8.2817849493825577E-2</v>
      </c>
      <c r="F120" s="230">
        <f t="shared" si="52"/>
        <v>0.13050975814839033</v>
      </c>
      <c r="G120" s="230">
        <f t="shared" si="52"/>
        <v>0.18212824271625525</v>
      </c>
      <c r="H120" s="230">
        <f t="shared" si="52"/>
        <v>0.23739735490313851</v>
      </c>
      <c r="I120" s="230">
        <f t="shared" si="52"/>
        <v>0.29661801393498693</v>
      </c>
      <c r="J120" s="230">
        <f t="shared" si="52"/>
        <v>0.35979601844778847</v>
      </c>
      <c r="K120" s="230">
        <f t="shared" si="52"/>
        <v>0.42692338328969709</v>
      </c>
      <c r="L120" s="230">
        <f t="shared" si="52"/>
        <v>0.49797783958069164</v>
      </c>
      <c r="M120" s="230">
        <f t="shared" si="52"/>
        <v>0.57292237756377651</v>
      </c>
      <c r="N120" s="230">
        <f t="shared" si="52"/>
        <v>0.66144170998863872</v>
      </c>
      <c r="O120" s="230">
        <f t="shared" si="52"/>
        <v>0.75286092664666315</v>
      </c>
      <c r="P120" s="230">
        <f t="shared" si="52"/>
        <v>0.84617429428774393</v>
      </c>
      <c r="Q120" s="230">
        <f t="shared" si="52"/>
        <v>0.94030685776072398</v>
      </c>
      <c r="R120" s="230">
        <f t="shared" si="52"/>
        <v>1.0341282815193649</v>
      </c>
      <c r="S120" s="230">
        <f t="shared" si="52"/>
        <v>1.1284975829507244</v>
      </c>
      <c r="T120" s="230">
        <f t="shared" si="52"/>
        <v>1.2227216577403777</v>
      </c>
      <c r="U120" s="230">
        <f t="shared" si="52"/>
        <v>1.3160764649432601</v>
      </c>
      <c r="V120" s="230">
        <f t="shared" si="52"/>
        <v>1.4078070041614836</v>
      </c>
      <c r="W120" s="230">
        <f t="shared" si="52"/>
        <v>1.4971273306919266</v>
      </c>
      <c r="X120" s="230">
        <f t="shared" si="52"/>
        <v>1.6164257521492713</v>
      </c>
      <c r="Y120" s="230">
        <f t="shared" si="52"/>
        <v>1.7325702281562667</v>
      </c>
      <c r="Z120" s="230">
        <f t="shared" si="52"/>
        <v>1.8442727939058359</v>
      </c>
      <c r="AA120" s="230">
        <f t="shared" si="52"/>
        <v>1.9501960273600578</v>
      </c>
      <c r="AB120" s="230">
        <f t="shared" si="52"/>
        <v>2.0489531383937831</v>
      </c>
      <c r="AC120" s="230">
        <f t="shared" si="52"/>
        <v>2.1391283391985074</v>
      </c>
      <c r="AD120" s="230">
        <f t="shared" si="52"/>
        <v>2.2192389017099967</v>
      </c>
      <c r="AE120" s="230">
        <f t="shared" si="52"/>
        <v>2.2877526918374449</v>
      </c>
      <c r="AF120" s="230">
        <f t="shared" si="52"/>
        <v>2.3430883437400398</v>
      </c>
      <c r="AG120" s="230">
        <f t="shared" si="52"/>
        <v>2.3836154881364471</v>
      </c>
      <c r="AH120" s="245"/>
      <c r="AI120" s="133"/>
      <c r="AJ120" s="211"/>
      <c r="AL120" s="108"/>
      <c r="AM120" s="2"/>
      <c r="AN120" s="2"/>
      <c r="AO120" s="2"/>
      <c r="BC120" s="1"/>
      <c r="BD120" s="2"/>
      <c r="BE120" s="2"/>
      <c r="BF120" s="2"/>
      <c r="BG120" s="2"/>
      <c r="BH120" s="2"/>
      <c r="BI120" s="2"/>
      <c r="BJ120" s="2"/>
      <c r="BK120" s="2"/>
    </row>
    <row r="121" spans="1:63" outlineLevel="1" x14ac:dyDescent="0.2">
      <c r="A121" s="4" t="s">
        <v>1561</v>
      </c>
      <c r="C121" s="230">
        <f t="shared" si="52"/>
        <v>0</v>
      </c>
      <c r="D121" s="230">
        <f t="shared" si="52"/>
        <v>3.9359163273616507E-2</v>
      </c>
      <c r="E121" s="230">
        <f t="shared" si="52"/>
        <v>8.2817849493825577E-2</v>
      </c>
      <c r="F121" s="230">
        <f t="shared" si="52"/>
        <v>0.13050975814839033</v>
      </c>
      <c r="G121" s="230">
        <f t="shared" si="52"/>
        <v>0.18212824271625525</v>
      </c>
      <c r="H121" s="230">
        <f t="shared" si="52"/>
        <v>0.23739735490313851</v>
      </c>
      <c r="I121" s="230">
        <f t="shared" si="52"/>
        <v>0.29661801393498693</v>
      </c>
      <c r="J121" s="230">
        <f t="shared" si="52"/>
        <v>0.35979601844778847</v>
      </c>
      <c r="K121" s="230">
        <f t="shared" si="52"/>
        <v>0.42692338328969709</v>
      </c>
      <c r="L121" s="230">
        <f t="shared" si="52"/>
        <v>0.49797783958069164</v>
      </c>
      <c r="M121" s="230">
        <f t="shared" si="52"/>
        <v>0.57292237756377651</v>
      </c>
      <c r="N121" s="230">
        <f t="shared" si="52"/>
        <v>0.66144170998863872</v>
      </c>
      <c r="O121" s="230">
        <f t="shared" si="52"/>
        <v>0.75286092664666315</v>
      </c>
      <c r="P121" s="230">
        <f t="shared" si="52"/>
        <v>0.84617429428774393</v>
      </c>
      <c r="Q121" s="230">
        <f t="shared" si="52"/>
        <v>0.94030685776072398</v>
      </c>
      <c r="R121" s="230">
        <f t="shared" si="52"/>
        <v>1.0341282815193649</v>
      </c>
      <c r="S121" s="230">
        <f t="shared" si="52"/>
        <v>1.1284975829507244</v>
      </c>
      <c r="T121" s="230">
        <f t="shared" si="52"/>
        <v>1.2227216577403777</v>
      </c>
      <c r="U121" s="230">
        <f t="shared" si="52"/>
        <v>1.3160764649432601</v>
      </c>
      <c r="V121" s="230">
        <f t="shared" si="52"/>
        <v>1.4078070041614836</v>
      </c>
      <c r="W121" s="230">
        <f t="shared" si="52"/>
        <v>1.4971273306919266</v>
      </c>
      <c r="X121" s="230">
        <f t="shared" si="52"/>
        <v>1.6164257521492713</v>
      </c>
      <c r="Y121" s="230">
        <f t="shared" si="52"/>
        <v>1.7325702281562667</v>
      </c>
      <c r="Z121" s="230">
        <f t="shared" si="52"/>
        <v>1.8442727939058359</v>
      </c>
      <c r="AA121" s="230">
        <f t="shared" si="52"/>
        <v>1.9501960273600578</v>
      </c>
      <c r="AB121" s="230">
        <f t="shared" si="52"/>
        <v>2.0489531383937831</v>
      </c>
      <c r="AC121" s="230">
        <f t="shared" si="52"/>
        <v>2.1391283391985074</v>
      </c>
      <c r="AD121" s="230">
        <f t="shared" si="52"/>
        <v>2.2192389017099967</v>
      </c>
      <c r="AE121" s="230">
        <f t="shared" si="52"/>
        <v>2.2877526918374449</v>
      </c>
      <c r="AF121" s="230">
        <f t="shared" si="52"/>
        <v>2.3430883437400398</v>
      </c>
      <c r="AG121" s="230">
        <f t="shared" si="52"/>
        <v>2.3836154881364471</v>
      </c>
      <c r="AH121" s="245"/>
      <c r="AI121" s="133"/>
      <c r="AJ121" s="211"/>
      <c r="AL121" s="108"/>
      <c r="AM121" s="2"/>
      <c r="AN121" s="2"/>
      <c r="AO121" s="2"/>
      <c r="BC121" s="1"/>
      <c r="BD121" s="2"/>
      <c r="BE121" s="2"/>
      <c r="BF121" s="2"/>
      <c r="BG121" s="2"/>
      <c r="BH121" s="2"/>
      <c r="BI121" s="2"/>
      <c r="BJ121" s="2"/>
      <c r="BK121" s="2"/>
    </row>
    <row r="122" spans="1:63" outlineLevel="1" x14ac:dyDescent="0.2">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I122" s="134"/>
      <c r="AJ122" s="211"/>
      <c r="AL122" s="108"/>
      <c r="AM122" s="132"/>
      <c r="AN122" s="2"/>
      <c r="AO122" s="2"/>
    </row>
    <row r="123" spans="1:63" s="200" customFormat="1" ht="16" thickBot="1" x14ac:dyDescent="0.25">
      <c r="A123" s="200" t="s">
        <v>1330</v>
      </c>
      <c r="B123" s="215"/>
      <c r="C123" s="222">
        <f>C124</f>
        <v>2.5000000000000001E-2</v>
      </c>
      <c r="D123" s="222">
        <f t="shared" ref="D123:AG123" si="53">D124</f>
        <v>3.1255416735465176E-2</v>
      </c>
      <c r="E123" s="222">
        <f t="shared" si="53"/>
        <v>3.7510833470930344E-2</v>
      </c>
      <c r="F123" s="222">
        <f t="shared" si="53"/>
        <v>4.3766250206395518E-2</v>
      </c>
      <c r="G123" s="222">
        <f t="shared" si="53"/>
        <v>5.0021666941860693E-2</v>
      </c>
      <c r="H123" s="222">
        <f t="shared" si="53"/>
        <v>5.6277083677325861E-2</v>
      </c>
      <c r="I123" s="222">
        <f t="shared" si="53"/>
        <v>6.2532500412791042E-2</v>
      </c>
      <c r="J123" s="222">
        <f t="shared" si="53"/>
        <v>6.8787917148256203E-2</v>
      </c>
      <c r="K123" s="222">
        <f t="shared" si="53"/>
        <v>7.5043333883721378E-2</v>
      </c>
      <c r="L123" s="222">
        <f t="shared" si="53"/>
        <v>8.1298750619186552E-2</v>
      </c>
      <c r="M123" s="222">
        <f t="shared" si="53"/>
        <v>8.7554167354651713E-2</v>
      </c>
      <c r="N123" s="222">
        <f t="shared" si="53"/>
        <v>0.10073866108940137</v>
      </c>
      <c r="O123" s="222">
        <f t="shared" si="53"/>
        <v>0.11392315482415102</v>
      </c>
      <c r="P123" s="222">
        <f t="shared" si="53"/>
        <v>0.12710764855890069</v>
      </c>
      <c r="Q123" s="222">
        <f t="shared" si="53"/>
        <v>0.14029214229365033</v>
      </c>
      <c r="R123" s="222">
        <f t="shared" si="53"/>
        <v>0.1534766360284</v>
      </c>
      <c r="S123" s="222">
        <f t="shared" si="53"/>
        <v>0.16666112976314967</v>
      </c>
      <c r="T123" s="222">
        <f t="shared" si="53"/>
        <v>0.17984562349789934</v>
      </c>
      <c r="U123" s="222">
        <f t="shared" si="53"/>
        <v>0.19303011723264898</v>
      </c>
      <c r="V123" s="222">
        <f t="shared" si="53"/>
        <v>0.20621461096739863</v>
      </c>
      <c r="W123" s="222">
        <f t="shared" si="53"/>
        <v>0.2193991047021483</v>
      </c>
      <c r="X123" s="222">
        <f t="shared" si="53"/>
        <v>0.24145919423193346</v>
      </c>
      <c r="Y123" s="222">
        <f t="shared" si="53"/>
        <v>0.26351928376171863</v>
      </c>
      <c r="Z123" s="222">
        <f t="shared" si="53"/>
        <v>0.28557937329150385</v>
      </c>
      <c r="AA123" s="222">
        <f t="shared" si="53"/>
        <v>0.30763946282128896</v>
      </c>
      <c r="AB123" s="222">
        <f t="shared" si="53"/>
        <v>0.32969955235107418</v>
      </c>
      <c r="AC123" s="222">
        <f t="shared" si="53"/>
        <v>0.35175964188085934</v>
      </c>
      <c r="AD123" s="222">
        <f t="shared" si="53"/>
        <v>0.37381973141064451</v>
      </c>
      <c r="AE123" s="222">
        <f t="shared" si="53"/>
        <v>0.39587982094042967</v>
      </c>
      <c r="AF123" s="222">
        <f t="shared" si="53"/>
        <v>0.41793991047021484</v>
      </c>
      <c r="AG123" s="222">
        <f t="shared" si="53"/>
        <v>0.44</v>
      </c>
      <c r="AJ123" s="231" t="s">
        <v>1331</v>
      </c>
      <c r="AL123" s="217"/>
      <c r="AM123" s="218"/>
      <c r="AN123" s="218"/>
      <c r="AO123" s="218"/>
    </row>
    <row r="124" spans="1:63" ht="16" outlineLevel="1" thickTop="1" x14ac:dyDescent="0.2">
      <c r="A124" t="s">
        <v>1332</v>
      </c>
      <c r="B124" s="54" t="s">
        <v>462</v>
      </c>
      <c r="C124" s="214">
        <v>2.5000000000000001E-2</v>
      </c>
      <c r="D124" s="110">
        <f>$C124+($M124-$C124)/10*(D$1-$C$1)</f>
        <v>3.1255416735465176E-2</v>
      </c>
      <c r="E124" s="110">
        <f t="shared" ref="E124:L124" si="54">$C124+($M124-$C124)/10*(E$1-$C$1)</f>
        <v>3.7510833470930344E-2</v>
      </c>
      <c r="F124" s="110">
        <f t="shared" si="54"/>
        <v>4.3766250206395518E-2</v>
      </c>
      <c r="G124" s="110">
        <f t="shared" si="54"/>
        <v>5.0021666941860693E-2</v>
      </c>
      <c r="H124" s="110">
        <f t="shared" si="54"/>
        <v>5.6277083677325861E-2</v>
      </c>
      <c r="I124" s="110">
        <f t="shared" si="54"/>
        <v>6.2532500412791042E-2</v>
      </c>
      <c r="J124" s="110">
        <f t="shared" si="54"/>
        <v>6.8787917148256203E-2</v>
      </c>
      <c r="K124" s="110">
        <f t="shared" si="54"/>
        <v>7.5043333883721378E-2</v>
      </c>
      <c r="L124" s="110">
        <f t="shared" si="54"/>
        <v>8.1298750619186552E-2</v>
      </c>
      <c r="M124" s="121">
        <f>(M$52-$C$52)/($AG$52-$C$52)*($AG124-$C124)+$C124</f>
        <v>8.7554167354651713E-2</v>
      </c>
      <c r="N124" s="121">
        <f>$M124+($W124-$M124)/10*(N$1-$M$1)</f>
        <v>0.10073866108940137</v>
      </c>
      <c r="O124" s="121">
        <f t="shared" ref="O124:U124" si="55">$M124+($W124-$M124)/10*(O$1-$M$1)</f>
        <v>0.11392315482415102</v>
      </c>
      <c r="P124" s="121">
        <f t="shared" si="55"/>
        <v>0.12710764855890069</v>
      </c>
      <c r="Q124" s="121">
        <f t="shared" si="55"/>
        <v>0.14029214229365033</v>
      </c>
      <c r="R124" s="121">
        <f t="shared" si="55"/>
        <v>0.1534766360284</v>
      </c>
      <c r="S124" s="121">
        <f t="shared" si="55"/>
        <v>0.16666112976314967</v>
      </c>
      <c r="T124" s="121">
        <f t="shared" si="55"/>
        <v>0.17984562349789934</v>
      </c>
      <c r="U124" s="121">
        <f t="shared" si="55"/>
        <v>0.19303011723264898</v>
      </c>
      <c r="V124" s="121">
        <f>$M124+($W124-$M124)/10*(V$1-$M$1)</f>
        <v>0.20621461096739863</v>
      </c>
      <c r="W124" s="121">
        <f>(W$52-$C$52)/($AG$52-$C$52)*($AG124-$C124)+$C124</f>
        <v>0.2193991047021483</v>
      </c>
      <c r="X124" s="110">
        <f>$W124+($AG124-$W124)/10*(X$1-$W$1)</f>
        <v>0.24145919423193346</v>
      </c>
      <c r="Y124" s="110">
        <f t="shared" ref="Y124:AF124" si="56">$W124+($AG124-$W124)/10*(Y$1-$W$1)</f>
        <v>0.26351928376171863</v>
      </c>
      <c r="Z124" s="110">
        <f t="shared" si="56"/>
        <v>0.28557937329150385</v>
      </c>
      <c r="AA124" s="110">
        <f t="shared" si="56"/>
        <v>0.30763946282128896</v>
      </c>
      <c r="AB124" s="110">
        <f t="shared" si="56"/>
        <v>0.32969955235107418</v>
      </c>
      <c r="AC124" s="110">
        <f t="shared" si="56"/>
        <v>0.35175964188085934</v>
      </c>
      <c r="AD124" s="110">
        <f t="shared" si="56"/>
        <v>0.37381973141064451</v>
      </c>
      <c r="AE124" s="110">
        <f t="shared" si="56"/>
        <v>0.39587982094042967</v>
      </c>
      <c r="AF124" s="110">
        <f t="shared" si="56"/>
        <v>0.41793991047021484</v>
      </c>
      <c r="AG124" s="214">
        <v>0.44</v>
      </c>
      <c r="AJ124" s="211" t="s">
        <v>1436</v>
      </c>
    </row>
    <row r="125" spans="1:63" outlineLevel="1" x14ac:dyDescent="0.2">
      <c r="A125" t="s">
        <v>1437</v>
      </c>
      <c r="B125" s="54" t="s">
        <v>462</v>
      </c>
      <c r="C125" s="214">
        <v>0.08</v>
      </c>
      <c r="D125" s="110">
        <f t="shared" ref="D125:AF125" si="57">C125-($C$125-$AG$125)/($AG$1-$C$1)</f>
        <v>0.10400000000000001</v>
      </c>
      <c r="E125" s="110">
        <f t="shared" si="57"/>
        <v>0.128</v>
      </c>
      <c r="F125" s="110">
        <f t="shared" si="57"/>
        <v>0.152</v>
      </c>
      <c r="G125" s="110">
        <f t="shared" si="57"/>
        <v>0.17599999999999999</v>
      </c>
      <c r="H125" s="110">
        <f t="shared" si="57"/>
        <v>0.19999999999999998</v>
      </c>
      <c r="I125" s="110">
        <f t="shared" si="57"/>
        <v>0.22399999999999998</v>
      </c>
      <c r="J125" s="110">
        <f t="shared" si="57"/>
        <v>0.24799999999999997</v>
      </c>
      <c r="K125" s="110">
        <f t="shared" si="57"/>
        <v>0.27199999999999996</v>
      </c>
      <c r="L125" s="110">
        <f t="shared" si="57"/>
        <v>0.29599999999999999</v>
      </c>
      <c r="M125" s="110">
        <f t="shared" si="57"/>
        <v>0.32</v>
      </c>
      <c r="N125" s="110">
        <f t="shared" si="57"/>
        <v>0.34400000000000003</v>
      </c>
      <c r="O125" s="110">
        <f t="shared" si="57"/>
        <v>0.36800000000000005</v>
      </c>
      <c r="P125" s="110">
        <f t="shared" si="57"/>
        <v>0.39200000000000007</v>
      </c>
      <c r="Q125" s="110">
        <f t="shared" si="57"/>
        <v>0.41600000000000009</v>
      </c>
      <c r="R125" s="110">
        <f t="shared" si="57"/>
        <v>0.44000000000000011</v>
      </c>
      <c r="S125" s="110">
        <f t="shared" si="57"/>
        <v>0.46400000000000013</v>
      </c>
      <c r="T125" s="110">
        <f t="shared" si="57"/>
        <v>0.48800000000000016</v>
      </c>
      <c r="U125" s="110">
        <f t="shared" si="57"/>
        <v>0.51200000000000012</v>
      </c>
      <c r="V125" s="110">
        <f t="shared" si="57"/>
        <v>0.53600000000000014</v>
      </c>
      <c r="W125" s="110">
        <f t="shared" si="57"/>
        <v>0.56000000000000016</v>
      </c>
      <c r="X125" s="110">
        <f t="shared" si="57"/>
        <v>0.58400000000000019</v>
      </c>
      <c r="Y125" s="110">
        <f t="shared" si="57"/>
        <v>0.60800000000000021</v>
      </c>
      <c r="Z125" s="110">
        <f t="shared" si="57"/>
        <v>0.63200000000000023</v>
      </c>
      <c r="AA125" s="110">
        <f t="shared" si="57"/>
        <v>0.65600000000000025</v>
      </c>
      <c r="AB125" s="110">
        <f t="shared" si="57"/>
        <v>0.68000000000000027</v>
      </c>
      <c r="AC125" s="110">
        <f t="shared" si="57"/>
        <v>0.70400000000000029</v>
      </c>
      <c r="AD125" s="110">
        <f t="shared" si="57"/>
        <v>0.72800000000000031</v>
      </c>
      <c r="AE125" s="110">
        <f t="shared" si="57"/>
        <v>0.75200000000000033</v>
      </c>
      <c r="AF125" s="110">
        <f t="shared" si="57"/>
        <v>0.77600000000000036</v>
      </c>
      <c r="AG125" s="214">
        <v>0.8</v>
      </c>
      <c r="AI125" s="134"/>
      <c r="AJ125" s="211" t="s">
        <v>1438</v>
      </c>
      <c r="AL125" s="54" t="s">
        <v>1439</v>
      </c>
    </row>
    <row r="126" spans="1:63" outlineLevel="1" x14ac:dyDescent="0.2">
      <c r="A126" t="s">
        <v>1440</v>
      </c>
      <c r="B126" s="176" t="s">
        <v>462</v>
      </c>
      <c r="C126" s="110">
        <f>1-C125</f>
        <v>0.92</v>
      </c>
      <c r="D126" s="110">
        <f t="shared" ref="D126:AG126" si="58">1-D125</f>
        <v>0.89600000000000002</v>
      </c>
      <c r="E126" s="110">
        <f t="shared" si="58"/>
        <v>0.872</v>
      </c>
      <c r="F126" s="110">
        <f t="shared" si="58"/>
        <v>0.84799999999999998</v>
      </c>
      <c r="G126" s="110">
        <f t="shared" si="58"/>
        <v>0.82400000000000007</v>
      </c>
      <c r="H126" s="110">
        <f t="shared" si="58"/>
        <v>0.8</v>
      </c>
      <c r="I126" s="110">
        <f t="shared" si="58"/>
        <v>0.77600000000000002</v>
      </c>
      <c r="J126" s="110">
        <f t="shared" si="58"/>
        <v>0.752</v>
      </c>
      <c r="K126" s="110">
        <f t="shared" si="58"/>
        <v>0.72799999999999998</v>
      </c>
      <c r="L126" s="110">
        <f t="shared" si="58"/>
        <v>0.70399999999999996</v>
      </c>
      <c r="M126" s="110">
        <f t="shared" si="58"/>
        <v>0.67999999999999994</v>
      </c>
      <c r="N126" s="110">
        <f t="shared" si="58"/>
        <v>0.65599999999999992</v>
      </c>
      <c r="O126" s="110">
        <f t="shared" si="58"/>
        <v>0.6319999999999999</v>
      </c>
      <c r="P126" s="110">
        <f t="shared" si="58"/>
        <v>0.60799999999999987</v>
      </c>
      <c r="Q126" s="110">
        <f t="shared" si="58"/>
        <v>0.58399999999999985</v>
      </c>
      <c r="R126" s="110">
        <f t="shared" si="58"/>
        <v>0.55999999999999983</v>
      </c>
      <c r="S126" s="110">
        <f t="shared" si="58"/>
        <v>0.53599999999999981</v>
      </c>
      <c r="T126" s="110">
        <f t="shared" si="58"/>
        <v>0.51199999999999979</v>
      </c>
      <c r="U126" s="110">
        <f t="shared" si="58"/>
        <v>0.48799999999999988</v>
      </c>
      <c r="V126" s="110">
        <f t="shared" si="58"/>
        <v>0.46399999999999986</v>
      </c>
      <c r="W126" s="110">
        <f t="shared" si="58"/>
        <v>0.43999999999999984</v>
      </c>
      <c r="X126" s="110">
        <f t="shared" si="58"/>
        <v>0.41599999999999981</v>
      </c>
      <c r="Y126" s="110">
        <f t="shared" si="58"/>
        <v>0.39199999999999979</v>
      </c>
      <c r="Z126" s="110">
        <f t="shared" si="58"/>
        <v>0.36799999999999977</v>
      </c>
      <c r="AA126" s="110">
        <f t="shared" si="58"/>
        <v>0.34399999999999975</v>
      </c>
      <c r="AB126" s="110">
        <f t="shared" si="58"/>
        <v>0.31999999999999973</v>
      </c>
      <c r="AC126" s="110">
        <f t="shared" si="58"/>
        <v>0.29599999999999971</v>
      </c>
      <c r="AD126" s="110">
        <f t="shared" si="58"/>
        <v>0.27199999999999969</v>
      </c>
      <c r="AE126" s="110">
        <f t="shared" si="58"/>
        <v>0.24799999999999967</v>
      </c>
      <c r="AF126" s="110">
        <f t="shared" si="58"/>
        <v>0.22399999999999964</v>
      </c>
      <c r="AG126" s="110">
        <f t="shared" si="58"/>
        <v>0.19999999999999996</v>
      </c>
      <c r="AI126" s="134"/>
      <c r="AJ126" s="211"/>
      <c r="BD126" s="686"/>
      <c r="BE126" s="686"/>
    </row>
    <row r="127" spans="1:63" outlineLevel="1" x14ac:dyDescent="0.2">
      <c r="A127" t="s">
        <v>1333</v>
      </c>
      <c r="B127" s="54" t="s">
        <v>462</v>
      </c>
      <c r="C127" s="110">
        <f>C124*C125</f>
        <v>2E-3</v>
      </c>
      <c r="D127" s="110">
        <f t="shared" ref="D127:AG127" si="59">D124*D125</f>
        <v>3.2505633404883785E-3</v>
      </c>
      <c r="E127" s="110">
        <f t="shared" si="59"/>
        <v>4.8013866842790843E-3</v>
      </c>
      <c r="F127" s="110">
        <f t="shared" si="59"/>
        <v>6.652470031372119E-3</v>
      </c>
      <c r="G127" s="110">
        <f t="shared" si="59"/>
        <v>8.8038133817674811E-3</v>
      </c>
      <c r="H127" s="110">
        <f t="shared" si="59"/>
        <v>1.125541673546517E-2</v>
      </c>
      <c r="I127" s="110">
        <f t="shared" si="59"/>
        <v>1.4007280092465192E-2</v>
      </c>
      <c r="J127" s="110">
        <f t="shared" si="59"/>
        <v>1.7059403452767536E-2</v>
      </c>
      <c r="K127" s="110">
        <f t="shared" si="59"/>
        <v>2.0411786816372211E-2</v>
      </c>
      <c r="L127" s="110">
        <f t="shared" si="59"/>
        <v>2.4064430183279219E-2</v>
      </c>
      <c r="M127" s="110">
        <f t="shared" si="59"/>
        <v>2.8017333553488549E-2</v>
      </c>
      <c r="N127" s="110">
        <f t="shared" si="59"/>
        <v>3.4654099414754072E-2</v>
      </c>
      <c r="O127" s="110">
        <f t="shared" si="59"/>
        <v>4.1923720975287584E-2</v>
      </c>
      <c r="P127" s="110">
        <f t="shared" si="59"/>
        <v>4.9826198235089082E-2</v>
      </c>
      <c r="Q127" s="110">
        <f t="shared" si="59"/>
        <v>5.8361531194158552E-2</v>
      </c>
      <c r="R127" s="110">
        <f t="shared" si="59"/>
        <v>6.752971985249602E-2</v>
      </c>
      <c r="S127" s="110">
        <f t="shared" si="59"/>
        <v>7.7330764210101474E-2</v>
      </c>
      <c r="T127" s="110">
        <f t="shared" si="59"/>
        <v>8.7764664266974907E-2</v>
      </c>
      <c r="U127" s="110">
        <f t="shared" si="59"/>
        <v>9.8831420023116304E-2</v>
      </c>
      <c r="V127" s="110">
        <f t="shared" si="59"/>
        <v>0.11053103147852569</v>
      </c>
      <c r="W127" s="110">
        <f t="shared" si="59"/>
        <v>0.12286349863320307</v>
      </c>
      <c r="X127" s="110">
        <f t="shared" si="59"/>
        <v>0.14101216943144917</v>
      </c>
      <c r="Y127" s="110">
        <f t="shared" si="59"/>
        <v>0.16021972452712499</v>
      </c>
      <c r="Z127" s="110">
        <f t="shared" si="59"/>
        <v>0.18048616392023051</v>
      </c>
      <c r="AA127" s="110">
        <f t="shared" si="59"/>
        <v>0.20181148761076564</v>
      </c>
      <c r="AB127" s="110">
        <f t="shared" si="59"/>
        <v>0.22419569559873054</v>
      </c>
      <c r="AC127" s="110">
        <f t="shared" si="59"/>
        <v>0.24763878788412508</v>
      </c>
      <c r="AD127" s="110">
        <f t="shared" si="59"/>
        <v>0.27214076446694929</v>
      </c>
      <c r="AE127" s="110">
        <f t="shared" si="59"/>
        <v>0.29770162534720324</v>
      </c>
      <c r="AF127" s="110">
        <f t="shared" si="59"/>
        <v>0.32432137052488685</v>
      </c>
      <c r="AG127" s="110">
        <f t="shared" si="59"/>
        <v>0.35200000000000004</v>
      </c>
      <c r="AI127" s="134"/>
      <c r="AJ127" s="211"/>
      <c r="BD127" s="203"/>
      <c r="BE127" s="203"/>
    </row>
    <row r="128" spans="1:63" outlineLevel="1" x14ac:dyDescent="0.2">
      <c r="A128" t="s">
        <v>1334</v>
      </c>
      <c r="B128" s="54" t="s">
        <v>462</v>
      </c>
      <c r="C128" s="110">
        <f>C124*C126</f>
        <v>2.3000000000000003E-2</v>
      </c>
      <c r="D128" s="110">
        <f t="shared" ref="D128:AG128" si="60">D124*D126</f>
        <v>2.8004853394976797E-2</v>
      </c>
      <c r="E128" s="110">
        <f t="shared" si="60"/>
        <v>3.2709446786651261E-2</v>
      </c>
      <c r="F128" s="110">
        <f t="shared" si="60"/>
        <v>3.7113780175023398E-2</v>
      </c>
      <c r="G128" s="110">
        <f t="shared" si="60"/>
        <v>4.1217853560093214E-2</v>
      </c>
      <c r="H128" s="110">
        <f t="shared" si="60"/>
        <v>4.5021666941860689E-2</v>
      </c>
      <c r="I128" s="110">
        <f t="shared" si="60"/>
        <v>4.852522032032585E-2</v>
      </c>
      <c r="J128" s="110">
        <f t="shared" si="60"/>
        <v>5.1728513695488663E-2</v>
      </c>
      <c r="K128" s="110">
        <f t="shared" si="60"/>
        <v>5.4631547067349163E-2</v>
      </c>
      <c r="L128" s="110">
        <f t="shared" si="60"/>
        <v>5.7234320435907329E-2</v>
      </c>
      <c r="M128" s="110">
        <f t="shared" si="60"/>
        <v>5.9536833801163161E-2</v>
      </c>
      <c r="N128" s="110">
        <f t="shared" si="60"/>
        <v>6.6084561674647282E-2</v>
      </c>
      <c r="O128" s="110">
        <f t="shared" si="60"/>
        <v>7.1999433848863439E-2</v>
      </c>
      <c r="P128" s="110">
        <f t="shared" si="60"/>
        <v>7.7281450323811604E-2</v>
      </c>
      <c r="Q128" s="110">
        <f t="shared" si="60"/>
        <v>8.1930611099491776E-2</v>
      </c>
      <c r="R128" s="110">
        <f t="shared" si="60"/>
        <v>8.594691617590397E-2</v>
      </c>
      <c r="S128" s="110">
        <f t="shared" si="60"/>
        <v>8.9330365553048199E-2</v>
      </c>
      <c r="T128" s="110">
        <f t="shared" si="60"/>
        <v>9.2080959230924422E-2</v>
      </c>
      <c r="U128" s="110">
        <f t="shared" si="60"/>
        <v>9.4198697209532681E-2</v>
      </c>
      <c r="V128" s="110">
        <f t="shared" si="60"/>
        <v>9.5683579488872933E-2</v>
      </c>
      <c r="W128" s="110">
        <f t="shared" si="60"/>
        <v>9.6535606068945221E-2</v>
      </c>
      <c r="X128" s="110">
        <f t="shared" si="60"/>
        <v>0.10044702480048427</v>
      </c>
      <c r="Y128" s="110">
        <f t="shared" si="60"/>
        <v>0.10329955923459365</v>
      </c>
      <c r="Z128" s="110">
        <f t="shared" si="60"/>
        <v>0.10509320937127335</v>
      </c>
      <c r="AA128" s="110">
        <f t="shared" si="60"/>
        <v>0.10582797521052333</v>
      </c>
      <c r="AB128" s="110">
        <f t="shared" si="60"/>
        <v>0.10550385675234365</v>
      </c>
      <c r="AC128" s="110">
        <f t="shared" si="60"/>
        <v>0.10412085399673426</v>
      </c>
      <c r="AD128" s="110">
        <f t="shared" si="60"/>
        <v>0.10167896694369519</v>
      </c>
      <c r="AE128" s="110">
        <f t="shared" si="60"/>
        <v>9.8178195593226422E-2</v>
      </c>
      <c r="AF128" s="110">
        <f t="shared" si="60"/>
        <v>9.3618539945327969E-2</v>
      </c>
      <c r="AG128" s="110">
        <f t="shared" si="60"/>
        <v>8.7999999999999981E-2</v>
      </c>
      <c r="AI128" s="134"/>
      <c r="AJ128" s="211"/>
      <c r="BD128" s="203"/>
      <c r="BE128" s="203"/>
    </row>
    <row r="129" spans="1:63" outlineLevel="1" x14ac:dyDescent="0.2">
      <c r="B129" s="176"/>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I129" s="134"/>
      <c r="AJ129" s="211"/>
      <c r="BD129" s="203"/>
      <c r="BE129" s="203"/>
    </row>
    <row r="130" spans="1:63" ht="16" outlineLevel="1" x14ac:dyDescent="0.2">
      <c r="A130" t="s">
        <v>1441</v>
      </c>
      <c r="B130" s="54" t="s">
        <v>462</v>
      </c>
      <c r="C130" s="214">
        <v>0.52</v>
      </c>
      <c r="D130" s="110">
        <f>C130</f>
        <v>0.52</v>
      </c>
      <c r="E130" s="110">
        <f t="shared" ref="E130:AG132" si="61">D130</f>
        <v>0.52</v>
      </c>
      <c r="F130" s="110">
        <f t="shared" si="61"/>
        <v>0.52</v>
      </c>
      <c r="G130" s="110">
        <f t="shared" si="61"/>
        <v>0.52</v>
      </c>
      <c r="H130" s="110">
        <f t="shared" si="61"/>
        <v>0.52</v>
      </c>
      <c r="I130" s="110">
        <f t="shared" si="61"/>
        <v>0.52</v>
      </c>
      <c r="J130" s="110">
        <f t="shared" si="61"/>
        <v>0.52</v>
      </c>
      <c r="K130" s="110">
        <f t="shared" si="61"/>
        <v>0.52</v>
      </c>
      <c r="L130" s="110">
        <f t="shared" si="61"/>
        <v>0.52</v>
      </c>
      <c r="M130" s="110">
        <f t="shared" si="61"/>
        <v>0.52</v>
      </c>
      <c r="N130" s="110">
        <f t="shared" si="61"/>
        <v>0.52</v>
      </c>
      <c r="O130" s="110">
        <f t="shared" si="61"/>
        <v>0.52</v>
      </c>
      <c r="P130" s="110">
        <f t="shared" si="61"/>
        <v>0.52</v>
      </c>
      <c r="Q130" s="110">
        <f t="shared" si="61"/>
        <v>0.52</v>
      </c>
      <c r="R130" s="110">
        <f t="shared" si="61"/>
        <v>0.52</v>
      </c>
      <c r="S130" s="110">
        <f t="shared" si="61"/>
        <v>0.52</v>
      </c>
      <c r="T130" s="110">
        <f t="shared" si="61"/>
        <v>0.52</v>
      </c>
      <c r="U130" s="110">
        <f t="shared" si="61"/>
        <v>0.52</v>
      </c>
      <c r="V130" s="110">
        <f t="shared" si="61"/>
        <v>0.52</v>
      </c>
      <c r="W130" s="110">
        <f t="shared" si="61"/>
        <v>0.52</v>
      </c>
      <c r="X130" s="110">
        <f t="shared" si="61"/>
        <v>0.52</v>
      </c>
      <c r="Y130" s="110">
        <f t="shared" si="61"/>
        <v>0.52</v>
      </c>
      <c r="Z130" s="110">
        <f t="shared" si="61"/>
        <v>0.52</v>
      </c>
      <c r="AA130" s="110">
        <f t="shared" si="61"/>
        <v>0.52</v>
      </c>
      <c r="AB130" s="110">
        <f t="shared" si="61"/>
        <v>0.52</v>
      </c>
      <c r="AC130" s="110">
        <f t="shared" si="61"/>
        <v>0.52</v>
      </c>
      <c r="AD130" s="110">
        <f t="shared" si="61"/>
        <v>0.52</v>
      </c>
      <c r="AE130" s="110">
        <f t="shared" si="61"/>
        <v>0.52</v>
      </c>
      <c r="AF130" s="110">
        <f t="shared" si="61"/>
        <v>0.52</v>
      </c>
      <c r="AG130" s="110">
        <f t="shared" si="61"/>
        <v>0.52</v>
      </c>
      <c r="AI130" s="133" t="s">
        <v>1442</v>
      </c>
      <c r="AJ130" s="232" t="s">
        <v>1443</v>
      </c>
      <c r="BD130" s="203"/>
      <c r="BE130" s="203"/>
    </row>
    <row r="131" spans="1:63" ht="16" outlineLevel="1" x14ac:dyDescent="0.2">
      <c r="A131" t="s">
        <v>1444</v>
      </c>
      <c r="B131" s="54" t="s">
        <v>462</v>
      </c>
      <c r="C131" s="214">
        <v>0.12</v>
      </c>
      <c r="D131" s="110">
        <f t="shared" ref="D131:S132" si="62">C131</f>
        <v>0.12</v>
      </c>
      <c r="E131" s="110">
        <f t="shared" si="62"/>
        <v>0.12</v>
      </c>
      <c r="F131" s="110">
        <f t="shared" si="62"/>
        <v>0.12</v>
      </c>
      <c r="G131" s="110">
        <f t="shared" si="62"/>
        <v>0.12</v>
      </c>
      <c r="H131" s="110">
        <f t="shared" si="62"/>
        <v>0.12</v>
      </c>
      <c r="I131" s="110">
        <f t="shared" si="62"/>
        <v>0.12</v>
      </c>
      <c r="J131" s="110">
        <f t="shared" si="62"/>
        <v>0.12</v>
      </c>
      <c r="K131" s="110">
        <f t="shared" si="62"/>
        <v>0.12</v>
      </c>
      <c r="L131" s="110">
        <f t="shared" si="62"/>
        <v>0.12</v>
      </c>
      <c r="M131" s="110">
        <f t="shared" si="62"/>
        <v>0.12</v>
      </c>
      <c r="N131" s="110">
        <f t="shared" si="62"/>
        <v>0.12</v>
      </c>
      <c r="O131" s="110">
        <f t="shared" si="62"/>
        <v>0.12</v>
      </c>
      <c r="P131" s="110">
        <f t="shared" si="62"/>
        <v>0.12</v>
      </c>
      <c r="Q131" s="110">
        <f t="shared" si="62"/>
        <v>0.12</v>
      </c>
      <c r="R131" s="110">
        <f t="shared" si="62"/>
        <v>0.12</v>
      </c>
      <c r="S131" s="110">
        <f t="shared" si="62"/>
        <v>0.12</v>
      </c>
      <c r="T131" s="110">
        <f t="shared" si="61"/>
        <v>0.12</v>
      </c>
      <c r="U131" s="110">
        <f t="shared" si="61"/>
        <v>0.12</v>
      </c>
      <c r="V131" s="110">
        <f t="shared" si="61"/>
        <v>0.12</v>
      </c>
      <c r="W131" s="110">
        <f t="shared" si="61"/>
        <v>0.12</v>
      </c>
      <c r="X131" s="110">
        <f t="shared" si="61"/>
        <v>0.12</v>
      </c>
      <c r="Y131" s="110">
        <f t="shared" si="61"/>
        <v>0.12</v>
      </c>
      <c r="Z131" s="110">
        <f t="shared" si="61"/>
        <v>0.12</v>
      </c>
      <c r="AA131" s="110">
        <f t="shared" si="61"/>
        <v>0.12</v>
      </c>
      <c r="AB131" s="110">
        <f t="shared" si="61"/>
        <v>0.12</v>
      </c>
      <c r="AC131" s="110">
        <f t="shared" si="61"/>
        <v>0.12</v>
      </c>
      <c r="AD131" s="110">
        <f t="shared" si="61"/>
        <v>0.12</v>
      </c>
      <c r="AE131" s="110">
        <f t="shared" si="61"/>
        <v>0.12</v>
      </c>
      <c r="AF131" s="110">
        <f t="shared" si="61"/>
        <v>0.12</v>
      </c>
      <c r="AG131" s="110">
        <f t="shared" si="61"/>
        <v>0.12</v>
      </c>
      <c r="AI131" s="133" t="s">
        <v>1442</v>
      </c>
      <c r="AJ131" s="232" t="s">
        <v>1443</v>
      </c>
      <c r="AL131" s="1"/>
      <c r="BC131" s="1"/>
      <c r="BD131" s="693"/>
      <c r="BE131" s="686"/>
      <c r="BF131" s="6"/>
      <c r="BG131" s="6"/>
      <c r="BH131" s="6"/>
      <c r="BI131" s="6"/>
      <c r="BJ131" s="6"/>
    </row>
    <row r="132" spans="1:63" outlineLevel="1" x14ac:dyDescent="0.2">
      <c r="A132" t="s">
        <v>1445</v>
      </c>
      <c r="B132" s="54" t="s">
        <v>462</v>
      </c>
      <c r="C132" s="121">
        <f>1-C130-C131</f>
        <v>0.36</v>
      </c>
      <c r="D132" s="110">
        <f t="shared" si="62"/>
        <v>0.36</v>
      </c>
      <c r="E132" s="110">
        <f t="shared" si="62"/>
        <v>0.36</v>
      </c>
      <c r="F132" s="110">
        <f t="shared" si="62"/>
        <v>0.36</v>
      </c>
      <c r="G132" s="110">
        <f t="shared" si="62"/>
        <v>0.36</v>
      </c>
      <c r="H132" s="110">
        <f t="shared" si="62"/>
        <v>0.36</v>
      </c>
      <c r="I132" s="110">
        <f t="shared" si="62"/>
        <v>0.36</v>
      </c>
      <c r="J132" s="110">
        <f t="shared" si="62"/>
        <v>0.36</v>
      </c>
      <c r="K132" s="110">
        <f t="shared" si="62"/>
        <v>0.36</v>
      </c>
      <c r="L132" s="110">
        <f t="shared" si="62"/>
        <v>0.36</v>
      </c>
      <c r="M132" s="110">
        <f t="shared" si="62"/>
        <v>0.36</v>
      </c>
      <c r="N132" s="110">
        <f t="shared" si="62"/>
        <v>0.36</v>
      </c>
      <c r="O132" s="110">
        <f t="shared" si="62"/>
        <v>0.36</v>
      </c>
      <c r="P132" s="110">
        <f t="shared" si="62"/>
        <v>0.36</v>
      </c>
      <c r="Q132" s="110">
        <f t="shared" si="62"/>
        <v>0.36</v>
      </c>
      <c r="R132" s="110">
        <f t="shared" si="62"/>
        <v>0.36</v>
      </c>
      <c r="S132" s="110">
        <f t="shared" si="62"/>
        <v>0.36</v>
      </c>
      <c r="T132" s="110">
        <f t="shared" si="61"/>
        <v>0.36</v>
      </c>
      <c r="U132" s="110">
        <f t="shared" si="61"/>
        <v>0.36</v>
      </c>
      <c r="V132" s="110">
        <f t="shared" si="61"/>
        <v>0.36</v>
      </c>
      <c r="W132" s="110">
        <f t="shared" si="61"/>
        <v>0.36</v>
      </c>
      <c r="X132" s="110">
        <f t="shared" si="61"/>
        <v>0.36</v>
      </c>
      <c r="Y132" s="110">
        <f t="shared" si="61"/>
        <v>0.36</v>
      </c>
      <c r="Z132" s="110">
        <f t="shared" si="61"/>
        <v>0.36</v>
      </c>
      <c r="AA132" s="110">
        <f t="shared" si="61"/>
        <v>0.36</v>
      </c>
      <c r="AB132" s="110">
        <f t="shared" si="61"/>
        <v>0.36</v>
      </c>
      <c r="AC132" s="110">
        <f t="shared" si="61"/>
        <v>0.36</v>
      </c>
      <c r="AD132" s="110">
        <f t="shared" si="61"/>
        <v>0.36</v>
      </c>
      <c r="AE132" s="110">
        <f t="shared" si="61"/>
        <v>0.36</v>
      </c>
      <c r="AF132" s="110">
        <f t="shared" si="61"/>
        <v>0.36</v>
      </c>
      <c r="AG132" s="110">
        <f t="shared" si="61"/>
        <v>0.36</v>
      </c>
      <c r="AI132" s="133"/>
      <c r="AJ132" s="223"/>
      <c r="BC132" s="1"/>
      <c r="BD132" s="41"/>
      <c r="BF132" s="6"/>
      <c r="BG132" s="6"/>
      <c r="BH132" s="6"/>
      <c r="BI132" s="6"/>
      <c r="BJ132" s="6"/>
    </row>
    <row r="133" spans="1:63" outlineLevel="1" x14ac:dyDescent="0.2">
      <c r="A133" t="s">
        <v>1268</v>
      </c>
      <c r="B133" s="54" t="s">
        <v>462</v>
      </c>
      <c r="C133" s="110">
        <f>SUM(C130:C132)</f>
        <v>1</v>
      </c>
      <c r="D133" s="110">
        <f t="shared" ref="D133:AG133" si="63">SUM(D130:D132)</f>
        <v>1</v>
      </c>
      <c r="E133" s="110">
        <f t="shared" si="63"/>
        <v>1</v>
      </c>
      <c r="F133" s="110">
        <f t="shared" si="63"/>
        <v>1</v>
      </c>
      <c r="G133" s="110">
        <f t="shared" si="63"/>
        <v>1</v>
      </c>
      <c r="H133" s="110">
        <f t="shared" si="63"/>
        <v>1</v>
      </c>
      <c r="I133" s="110">
        <f t="shared" si="63"/>
        <v>1</v>
      </c>
      <c r="J133" s="110">
        <f t="shared" si="63"/>
        <v>1</v>
      </c>
      <c r="K133" s="110">
        <f t="shared" si="63"/>
        <v>1</v>
      </c>
      <c r="L133" s="110">
        <f t="shared" si="63"/>
        <v>1</v>
      </c>
      <c r="M133" s="110">
        <f t="shared" si="63"/>
        <v>1</v>
      </c>
      <c r="N133" s="110">
        <f t="shared" si="63"/>
        <v>1</v>
      </c>
      <c r="O133" s="110">
        <f t="shared" si="63"/>
        <v>1</v>
      </c>
      <c r="P133" s="110">
        <f t="shared" si="63"/>
        <v>1</v>
      </c>
      <c r="Q133" s="110">
        <f t="shared" si="63"/>
        <v>1</v>
      </c>
      <c r="R133" s="110">
        <f t="shared" si="63"/>
        <v>1</v>
      </c>
      <c r="S133" s="110">
        <f t="shared" si="63"/>
        <v>1</v>
      </c>
      <c r="T133" s="110">
        <f t="shared" si="63"/>
        <v>1</v>
      </c>
      <c r="U133" s="110">
        <f t="shared" si="63"/>
        <v>1</v>
      </c>
      <c r="V133" s="110">
        <f t="shared" si="63"/>
        <v>1</v>
      </c>
      <c r="W133" s="110">
        <f t="shared" si="63"/>
        <v>1</v>
      </c>
      <c r="X133" s="110">
        <f t="shared" si="63"/>
        <v>1</v>
      </c>
      <c r="Y133" s="110">
        <f t="shared" si="63"/>
        <v>1</v>
      </c>
      <c r="Z133" s="110">
        <f t="shared" si="63"/>
        <v>1</v>
      </c>
      <c r="AA133" s="110">
        <f t="shared" si="63"/>
        <v>1</v>
      </c>
      <c r="AB133" s="110">
        <f t="shared" si="63"/>
        <v>1</v>
      </c>
      <c r="AC133" s="110">
        <f t="shared" si="63"/>
        <v>1</v>
      </c>
      <c r="AD133" s="110">
        <f t="shared" si="63"/>
        <v>1</v>
      </c>
      <c r="AE133" s="110">
        <f t="shared" si="63"/>
        <v>1</v>
      </c>
      <c r="AF133" s="110">
        <f t="shared" si="63"/>
        <v>1</v>
      </c>
      <c r="AG133" s="110">
        <f t="shared" si="63"/>
        <v>1</v>
      </c>
      <c r="AI133" s="133"/>
      <c r="AJ133" s="211"/>
      <c r="BC133" s="1"/>
      <c r="BD133" s="41"/>
      <c r="BF133" s="6"/>
      <c r="BG133" s="6"/>
      <c r="BH133" s="6"/>
      <c r="BI133" s="6"/>
      <c r="BJ133" s="6"/>
    </row>
    <row r="134" spans="1:63" outlineLevel="1" x14ac:dyDescent="0.2">
      <c r="C134" s="214"/>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c r="AG134" s="110"/>
      <c r="AI134" s="133"/>
      <c r="AJ134" s="211"/>
      <c r="BC134" s="1"/>
      <c r="BD134" s="41"/>
      <c r="BF134" s="6"/>
      <c r="BG134" s="6"/>
      <c r="BH134" s="6"/>
      <c r="BI134" s="6"/>
      <c r="BJ134" s="6"/>
    </row>
    <row r="135" spans="1:63" outlineLevel="1" x14ac:dyDescent="0.2">
      <c r="A135" t="s">
        <v>1335</v>
      </c>
      <c r="B135" s="54" t="s">
        <v>462</v>
      </c>
      <c r="C135" s="110">
        <f>C130*C128</f>
        <v>1.1960000000000002E-2</v>
      </c>
      <c r="D135" s="110">
        <f t="shared" ref="D135:AG135" si="64">D130*D128</f>
        <v>1.4562523765387934E-2</v>
      </c>
      <c r="E135" s="110">
        <f t="shared" si="64"/>
        <v>1.7008912329058656E-2</v>
      </c>
      <c r="F135" s="110">
        <f t="shared" si="64"/>
        <v>1.9299165691012168E-2</v>
      </c>
      <c r="G135" s="110">
        <f t="shared" si="64"/>
        <v>2.1433283851248472E-2</v>
      </c>
      <c r="H135" s="110">
        <f t="shared" si="64"/>
        <v>2.3411266809767559E-2</v>
      </c>
      <c r="I135" s="110">
        <f t="shared" si="64"/>
        <v>2.5233114566569442E-2</v>
      </c>
      <c r="J135" s="110">
        <f t="shared" si="64"/>
        <v>2.6898827121654107E-2</v>
      </c>
      <c r="K135" s="110">
        <f t="shared" si="64"/>
        <v>2.8408404475021565E-2</v>
      </c>
      <c r="L135" s="110">
        <f t="shared" si="64"/>
        <v>2.9761846626671813E-2</v>
      </c>
      <c r="M135" s="110">
        <f t="shared" si="64"/>
        <v>3.0959153576604843E-2</v>
      </c>
      <c r="N135" s="110">
        <f t="shared" si="64"/>
        <v>3.4363972070816588E-2</v>
      </c>
      <c r="O135" s="110">
        <f t="shared" si="64"/>
        <v>3.7439705601408989E-2</v>
      </c>
      <c r="P135" s="110">
        <f t="shared" si="64"/>
        <v>4.0186354168382038E-2</v>
      </c>
      <c r="Q135" s="110">
        <f t="shared" si="64"/>
        <v>4.2603917771735722E-2</v>
      </c>
      <c r="R135" s="110">
        <f t="shared" si="64"/>
        <v>4.4692396411470069E-2</v>
      </c>
      <c r="S135" s="110">
        <f t="shared" si="64"/>
        <v>4.6451790087585064E-2</v>
      </c>
      <c r="T135" s="110">
        <f t="shared" si="64"/>
        <v>4.7882098800080701E-2</v>
      </c>
      <c r="U135" s="110">
        <f t="shared" si="64"/>
        <v>4.8983322548956994E-2</v>
      </c>
      <c r="V135" s="110">
        <f t="shared" si="64"/>
        <v>4.9755461334213928E-2</v>
      </c>
      <c r="W135" s="110">
        <f t="shared" si="64"/>
        <v>5.0198515155851518E-2</v>
      </c>
      <c r="X135" s="110">
        <f t="shared" si="64"/>
        <v>5.2232452896251821E-2</v>
      </c>
      <c r="Y135" s="110">
        <f t="shared" si="64"/>
        <v>5.3715770801988701E-2</v>
      </c>
      <c r="Z135" s="110">
        <f t="shared" si="64"/>
        <v>5.4648468873062142E-2</v>
      </c>
      <c r="AA135" s="110">
        <f t="shared" si="64"/>
        <v>5.5030547109472132E-2</v>
      </c>
      <c r="AB135" s="110">
        <f t="shared" si="64"/>
        <v>5.4862005511218705E-2</v>
      </c>
      <c r="AC135" s="110">
        <f t="shared" si="64"/>
        <v>5.4142844078301819E-2</v>
      </c>
      <c r="AD135" s="110">
        <f t="shared" si="64"/>
        <v>5.2873062810721502E-2</v>
      </c>
      <c r="AE135" s="110">
        <f t="shared" si="64"/>
        <v>5.1052661708477741E-2</v>
      </c>
      <c r="AF135" s="110">
        <f t="shared" si="64"/>
        <v>4.8681640771570549E-2</v>
      </c>
      <c r="AG135" s="110">
        <f t="shared" si="64"/>
        <v>4.5759999999999995E-2</v>
      </c>
      <c r="AI135" s="133"/>
      <c r="AJ135" s="211"/>
      <c r="BD135" s="203"/>
      <c r="BE135" s="203"/>
    </row>
    <row r="136" spans="1:63" outlineLevel="1" x14ac:dyDescent="0.2">
      <c r="A136" t="s">
        <v>1336</v>
      </c>
      <c r="B136" s="54" t="s">
        <v>462</v>
      </c>
      <c r="C136" s="110">
        <f>C128*C131</f>
        <v>2.7600000000000003E-3</v>
      </c>
      <c r="D136" s="110">
        <f t="shared" ref="D136:AG136" si="65">D128*D131</f>
        <v>3.3605824073972158E-3</v>
      </c>
      <c r="E136" s="110">
        <f t="shared" si="65"/>
        <v>3.9251336143981512E-3</v>
      </c>
      <c r="F136" s="110">
        <f t="shared" si="65"/>
        <v>4.4536536210028075E-3</v>
      </c>
      <c r="G136" s="110">
        <f t="shared" si="65"/>
        <v>4.9461424272111854E-3</v>
      </c>
      <c r="H136" s="110">
        <f t="shared" si="65"/>
        <v>5.4026000330232825E-3</v>
      </c>
      <c r="I136" s="110">
        <f t="shared" si="65"/>
        <v>5.8230264384391021E-3</v>
      </c>
      <c r="J136" s="110">
        <f t="shared" si="65"/>
        <v>6.2074216434586391E-3</v>
      </c>
      <c r="K136" s="110">
        <f t="shared" si="65"/>
        <v>6.5557856480818995E-3</v>
      </c>
      <c r="L136" s="110">
        <f t="shared" si="65"/>
        <v>6.868118452308879E-3</v>
      </c>
      <c r="M136" s="110">
        <f t="shared" si="65"/>
        <v>7.1444200561395794E-3</v>
      </c>
      <c r="N136" s="110">
        <f t="shared" si="65"/>
        <v>7.9301474009576736E-3</v>
      </c>
      <c r="O136" s="110">
        <f t="shared" si="65"/>
        <v>8.6399320618636127E-3</v>
      </c>
      <c r="P136" s="110">
        <f t="shared" si="65"/>
        <v>9.2737740388573915E-3</v>
      </c>
      <c r="Q136" s="110">
        <f t="shared" si="65"/>
        <v>9.8316733319390136E-3</v>
      </c>
      <c r="R136" s="110">
        <f t="shared" si="65"/>
        <v>1.0313629941108475E-2</v>
      </c>
      <c r="S136" s="110">
        <f t="shared" si="65"/>
        <v>1.0719643866365784E-2</v>
      </c>
      <c r="T136" s="110">
        <f t="shared" si="65"/>
        <v>1.104971510771093E-2</v>
      </c>
      <c r="U136" s="110">
        <f t="shared" si="65"/>
        <v>1.1303843665143922E-2</v>
      </c>
      <c r="V136" s="110">
        <f t="shared" si="65"/>
        <v>1.1482029538664751E-2</v>
      </c>
      <c r="W136" s="110">
        <f t="shared" si="65"/>
        <v>1.1584272728273426E-2</v>
      </c>
      <c r="X136" s="110">
        <f t="shared" si="65"/>
        <v>1.2053642976058113E-2</v>
      </c>
      <c r="Y136" s="110">
        <f t="shared" si="65"/>
        <v>1.2395947108151237E-2</v>
      </c>
      <c r="Z136" s="110">
        <f t="shared" si="65"/>
        <v>1.2611185124552803E-2</v>
      </c>
      <c r="AA136" s="110">
        <f t="shared" si="65"/>
        <v>1.2699357025262798E-2</v>
      </c>
      <c r="AB136" s="110">
        <f t="shared" si="65"/>
        <v>1.2660462810281237E-2</v>
      </c>
      <c r="AC136" s="110">
        <f t="shared" si="65"/>
        <v>1.2494502479608111E-2</v>
      </c>
      <c r="AD136" s="110">
        <f t="shared" si="65"/>
        <v>1.2201476033243421E-2</v>
      </c>
      <c r="AE136" s="110">
        <f t="shared" si="65"/>
        <v>1.178138347118717E-2</v>
      </c>
      <c r="AF136" s="110">
        <f t="shared" si="65"/>
        <v>1.1234224793439355E-2</v>
      </c>
      <c r="AG136" s="110">
        <f t="shared" si="65"/>
        <v>1.0559999999999996E-2</v>
      </c>
      <c r="AI136" s="133"/>
      <c r="AJ136" s="211"/>
      <c r="AL136" s="1"/>
      <c r="BC136" s="1"/>
      <c r="BD136" s="693"/>
      <c r="BE136" s="686"/>
      <c r="BF136" s="6"/>
      <c r="BG136" s="6"/>
      <c r="BH136" s="6"/>
      <c r="BI136" s="6"/>
      <c r="BJ136" s="6"/>
    </row>
    <row r="137" spans="1:63" outlineLevel="1" x14ac:dyDescent="0.2">
      <c r="A137" t="s">
        <v>1337</v>
      </c>
      <c r="B137" s="54" t="s">
        <v>462</v>
      </c>
      <c r="C137" s="110">
        <f>C128*C132</f>
        <v>8.2800000000000009E-3</v>
      </c>
      <c r="D137" s="110">
        <f t="shared" ref="D137:AG137" si="66">D128*D132</f>
        <v>1.0081747222191647E-2</v>
      </c>
      <c r="E137" s="110">
        <f t="shared" si="66"/>
        <v>1.1775400843194454E-2</v>
      </c>
      <c r="F137" s="110">
        <f t="shared" si="66"/>
        <v>1.3360960863008423E-2</v>
      </c>
      <c r="G137" s="110">
        <f t="shared" si="66"/>
        <v>1.4838427281633556E-2</v>
      </c>
      <c r="H137" s="110">
        <f t="shared" si="66"/>
        <v>1.6207800099069847E-2</v>
      </c>
      <c r="I137" s="110">
        <f t="shared" si="66"/>
        <v>1.7469079315317305E-2</v>
      </c>
      <c r="J137" s="110">
        <f t="shared" si="66"/>
        <v>1.8622264930375918E-2</v>
      </c>
      <c r="K137" s="110">
        <f t="shared" si="66"/>
        <v>1.9667356944245699E-2</v>
      </c>
      <c r="L137" s="110">
        <f t="shared" si="66"/>
        <v>2.0604355356926639E-2</v>
      </c>
      <c r="M137" s="110">
        <f t="shared" si="66"/>
        <v>2.1433260168418736E-2</v>
      </c>
      <c r="N137" s="110">
        <f t="shared" si="66"/>
        <v>2.3790442202873022E-2</v>
      </c>
      <c r="O137" s="110">
        <f t="shared" si="66"/>
        <v>2.5919796185590836E-2</v>
      </c>
      <c r="P137" s="110">
        <f t="shared" si="66"/>
        <v>2.7821322116572178E-2</v>
      </c>
      <c r="Q137" s="110">
        <f t="shared" si="66"/>
        <v>2.9495019995817037E-2</v>
      </c>
      <c r="R137" s="110">
        <f t="shared" si="66"/>
        <v>3.0940889823325428E-2</v>
      </c>
      <c r="S137" s="110">
        <f t="shared" si="66"/>
        <v>3.215893159909735E-2</v>
      </c>
      <c r="T137" s="110">
        <f t="shared" si="66"/>
        <v>3.3149145323132789E-2</v>
      </c>
      <c r="U137" s="110">
        <f t="shared" si="66"/>
        <v>3.3911530995431767E-2</v>
      </c>
      <c r="V137" s="110">
        <f t="shared" si="66"/>
        <v>3.4446088615994255E-2</v>
      </c>
      <c r="W137" s="110">
        <f t="shared" si="66"/>
        <v>3.4752818184820275E-2</v>
      </c>
      <c r="X137" s="110">
        <f t="shared" si="66"/>
        <v>3.6160928928174338E-2</v>
      </c>
      <c r="Y137" s="110">
        <f t="shared" si="66"/>
        <v>3.7187841324453713E-2</v>
      </c>
      <c r="Z137" s="110">
        <f t="shared" si="66"/>
        <v>3.7833555373658408E-2</v>
      </c>
      <c r="AA137" s="110">
        <f t="shared" si="66"/>
        <v>3.8098071075788394E-2</v>
      </c>
      <c r="AB137" s="110">
        <f t="shared" si="66"/>
        <v>3.7981388430843713E-2</v>
      </c>
      <c r="AC137" s="110">
        <f t="shared" si="66"/>
        <v>3.748350743882433E-2</v>
      </c>
      <c r="AD137" s="110">
        <f t="shared" si="66"/>
        <v>3.6604428099730267E-2</v>
      </c>
      <c r="AE137" s="110">
        <f t="shared" si="66"/>
        <v>3.5344150413561509E-2</v>
      </c>
      <c r="AF137" s="110">
        <f t="shared" si="66"/>
        <v>3.3702674380318071E-2</v>
      </c>
      <c r="AG137" s="110">
        <f t="shared" si="66"/>
        <v>3.1679999999999993E-2</v>
      </c>
      <c r="AI137" s="134"/>
      <c r="AJ137" s="211"/>
      <c r="BC137" s="1"/>
      <c r="BD137" s="41"/>
      <c r="BF137" s="6"/>
      <c r="BG137" s="6"/>
      <c r="BH137" s="6"/>
      <c r="BI137" s="6"/>
      <c r="BJ137" s="6"/>
    </row>
    <row r="138" spans="1:63" outlineLevel="1" x14ac:dyDescent="0.2">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c r="AI138" s="134"/>
      <c r="AJ138" s="211"/>
      <c r="BC138" s="1"/>
      <c r="BD138" s="41"/>
      <c r="BF138" s="6"/>
      <c r="BG138" s="6"/>
      <c r="BH138" s="6"/>
      <c r="BI138" s="6"/>
      <c r="BJ138" s="6"/>
    </row>
    <row r="139" spans="1:63" outlineLevel="1" x14ac:dyDescent="0.2">
      <c r="A139" t="s">
        <v>1621</v>
      </c>
      <c r="C139" s="230">
        <f>('Overall recycling rates'!F86*'Yearly BTX'!D5+'Overall recycling rates'!G86*'Yearly BTX'!D6+'Overall recycling rates'!H86*'Yearly BTX'!D7)/'Yearly BTX'!D4</f>
        <v>0.70806073640898437</v>
      </c>
      <c r="D139" s="230">
        <f>C139-($C139-$AG139)/($AG$1-$C$1)</f>
        <v>0.71779204519535156</v>
      </c>
      <c r="E139" s="230">
        <f t="shared" ref="E139:AF139" si="67">D139-($C139-$AG139)/($AG$1-$C$1)</f>
        <v>0.72752335398171875</v>
      </c>
      <c r="F139" s="230">
        <f t="shared" si="67"/>
        <v>0.73725466276808593</v>
      </c>
      <c r="G139" s="230">
        <f t="shared" si="67"/>
        <v>0.74698597155445312</v>
      </c>
      <c r="H139" s="230">
        <f t="shared" si="67"/>
        <v>0.75671728034082031</v>
      </c>
      <c r="I139" s="230">
        <f t="shared" si="67"/>
        <v>0.7664485891271875</v>
      </c>
      <c r="J139" s="230">
        <f t="shared" si="67"/>
        <v>0.77617989791355468</v>
      </c>
      <c r="K139" s="230">
        <f t="shared" si="67"/>
        <v>0.78591120669992187</v>
      </c>
      <c r="L139" s="230">
        <f t="shared" si="67"/>
        <v>0.79564251548628906</v>
      </c>
      <c r="M139" s="230">
        <f t="shared" si="67"/>
        <v>0.80537382427265625</v>
      </c>
      <c r="N139" s="230">
        <f t="shared" si="67"/>
        <v>0.81510513305902343</v>
      </c>
      <c r="O139" s="230">
        <f t="shared" si="67"/>
        <v>0.82483644184539062</v>
      </c>
      <c r="P139" s="230">
        <f t="shared" si="67"/>
        <v>0.83456775063175781</v>
      </c>
      <c r="Q139" s="230">
        <f t="shared" si="67"/>
        <v>0.844299059418125</v>
      </c>
      <c r="R139" s="230">
        <f t="shared" si="67"/>
        <v>0.85403036820449219</v>
      </c>
      <c r="S139" s="230">
        <f t="shared" si="67"/>
        <v>0.86376167699085937</v>
      </c>
      <c r="T139" s="230">
        <f t="shared" si="67"/>
        <v>0.87349298577722656</v>
      </c>
      <c r="U139" s="230">
        <f t="shared" si="67"/>
        <v>0.88322429456359375</v>
      </c>
      <c r="V139" s="230">
        <f t="shared" si="67"/>
        <v>0.89295560334996094</v>
      </c>
      <c r="W139" s="230">
        <f t="shared" si="67"/>
        <v>0.90268691213632812</v>
      </c>
      <c r="X139" s="230">
        <f t="shared" si="67"/>
        <v>0.91241822092269531</v>
      </c>
      <c r="Y139" s="230">
        <f t="shared" si="67"/>
        <v>0.9221495297090625</v>
      </c>
      <c r="Z139" s="230">
        <f t="shared" si="67"/>
        <v>0.93188083849542969</v>
      </c>
      <c r="AA139" s="230">
        <f t="shared" si="67"/>
        <v>0.94161214728179687</v>
      </c>
      <c r="AB139" s="230">
        <f t="shared" si="67"/>
        <v>0.95134345606816406</v>
      </c>
      <c r="AC139" s="230">
        <f t="shared" si="67"/>
        <v>0.96107476485453125</v>
      </c>
      <c r="AD139" s="230">
        <f t="shared" si="67"/>
        <v>0.97080607364089844</v>
      </c>
      <c r="AE139" s="230">
        <f t="shared" si="67"/>
        <v>0.98053738242726562</v>
      </c>
      <c r="AF139" s="230">
        <f t="shared" si="67"/>
        <v>0.99026869121363281</v>
      </c>
      <c r="AG139" s="230">
        <f>'Overall recycling rates'!F95</f>
        <v>1</v>
      </c>
      <c r="AI139" s="133"/>
      <c r="AJ139" s="211" t="s">
        <v>1571</v>
      </c>
      <c r="AL139" s="108"/>
      <c r="AM139" s="207"/>
      <c r="AN139" s="207"/>
      <c r="AO139" s="207"/>
      <c r="BC139" s="1"/>
      <c r="BD139" s="207"/>
      <c r="BE139" s="207"/>
      <c r="BF139" s="207"/>
      <c r="BG139" s="207"/>
      <c r="BH139" s="207"/>
      <c r="BI139" s="207"/>
      <c r="BJ139" s="207"/>
      <c r="BK139" s="207"/>
    </row>
    <row r="140" spans="1:63" outlineLevel="1" x14ac:dyDescent="0.2">
      <c r="A140" t="s">
        <v>1629</v>
      </c>
      <c r="B140" s="54" t="s">
        <v>462</v>
      </c>
      <c r="C140" s="110">
        <f>C127*C$139</f>
        <v>1.4161214728179688E-3</v>
      </c>
      <c r="D140" s="110">
        <f t="shared" ref="D140:AG141" si="68">D127*D$139</f>
        <v>2.3332285082061873E-3</v>
      </c>
      <c r="E140" s="110">
        <f t="shared" si="68"/>
        <v>3.4931209443098831E-3</v>
      </c>
      <c r="F140" s="110">
        <f t="shared" si="68"/>
        <v>4.90456454955405E-3</v>
      </c>
      <c r="G140" s="110">
        <f t="shared" si="68"/>
        <v>6.5763250923636775E-3</v>
      </c>
      <c r="H140" s="110">
        <f t="shared" si="68"/>
        <v>8.5171683411637573E-3</v>
      </c>
      <c r="I140" s="110">
        <f t="shared" si="68"/>
        <v>1.0735860064379286E-2</v>
      </c>
      <c r="J140" s="110">
        <f t="shared" si="68"/>
        <v>1.3241166030435248E-2</v>
      </c>
      <c r="K140" s="110">
        <f t="shared" si="68"/>
        <v>1.6041852007756641E-2</v>
      </c>
      <c r="L140" s="110">
        <f t="shared" si="68"/>
        <v>1.9146683764768458E-2</v>
      </c>
      <c r="M140" s="110">
        <f t="shared" si="68"/>
        <v>2.2564427069895681E-2</v>
      </c>
      <c r="N140" s="110">
        <f t="shared" si="68"/>
        <v>2.8246734314503745E-2</v>
      </c>
      <c r="O140" s="110">
        <f t="shared" si="68"/>
        <v>3.4580212838175181E-2</v>
      </c>
      <c r="P140" s="110">
        <f t="shared" si="68"/>
        <v>4.1583338183590356E-2</v>
      </c>
      <c r="Q140" s="110">
        <f t="shared" si="68"/>
        <v>4.9274585893429625E-2</v>
      </c>
      <c r="R140" s="110">
        <f t="shared" si="68"/>
        <v>5.7672431510373379E-2</v>
      </c>
      <c r="S140" s="110">
        <f t="shared" si="68"/>
        <v>6.6795350577101981E-2</v>
      </c>
      <c r="T140" s="110">
        <f t="shared" si="68"/>
        <v>7.6661818636295773E-2</v>
      </c>
      <c r="U140" s="110">
        <f t="shared" si="68"/>
        <v>8.7290311230635131E-2</v>
      </c>
      <c r="V140" s="110">
        <f t="shared" si="68"/>
        <v>9.8699303902800434E-2</v>
      </c>
      <c r="W140" s="110">
        <f t="shared" si="68"/>
        <v>0.11090727219547206</v>
      </c>
      <c r="X140" s="110">
        <f t="shared" si="68"/>
        <v>0.12866207276109254</v>
      </c>
      <c r="Y140" s="110">
        <f t="shared" si="68"/>
        <v>0.14774654362280384</v>
      </c>
      <c r="Z140" s="110">
        <f t="shared" si="68"/>
        <v>0.16819159777080797</v>
      </c>
      <c r="AA140" s="110">
        <f t="shared" si="68"/>
        <v>0.19002814819530678</v>
      </c>
      <c r="AB140" s="110">
        <f t="shared" si="68"/>
        <v>0.21328710788650238</v>
      </c>
      <c r="AC140" s="110">
        <f t="shared" si="68"/>
        <v>0.23799938983459665</v>
      </c>
      <c r="AD140" s="110">
        <f t="shared" si="68"/>
        <v>0.26419590702979157</v>
      </c>
      <c r="AE140" s="110">
        <f t="shared" si="68"/>
        <v>0.29190757246228916</v>
      </c>
      <c r="AF140" s="110">
        <f t="shared" si="68"/>
        <v>0.32116529912229136</v>
      </c>
      <c r="AG140" s="110">
        <f t="shared" si="68"/>
        <v>0.35200000000000004</v>
      </c>
      <c r="AI140" s="133"/>
      <c r="AJ140"/>
      <c r="AL140" s="108"/>
      <c r="AM140" s="2"/>
      <c r="AN140" s="2"/>
      <c r="AO140" s="2"/>
      <c r="AV140" s="41"/>
    </row>
    <row r="141" spans="1:63" outlineLevel="1" x14ac:dyDescent="0.2">
      <c r="A141" t="s">
        <v>1630</v>
      </c>
      <c r="B141" s="54" t="s">
        <v>462</v>
      </c>
      <c r="C141" s="110">
        <f>C128*C$139</f>
        <v>1.6285396937406642E-2</v>
      </c>
      <c r="D141" s="110">
        <f t="shared" si="68"/>
        <v>2.0101660993776381E-2</v>
      </c>
      <c r="E141" s="110">
        <f t="shared" si="68"/>
        <v>2.3796886433111078E-2</v>
      </c>
      <c r="F141" s="110">
        <f t="shared" si="68"/>
        <v>2.7362307486985749E-2</v>
      </c>
      <c r="G141" s="110">
        <f t="shared" si="68"/>
        <v>3.0789158386975404E-2</v>
      </c>
      <c r="H141" s="110">
        <f t="shared" si="68"/>
        <v>3.4068673364655036E-2</v>
      </c>
      <c r="I141" s="110">
        <f t="shared" si="68"/>
        <v>3.7192086651599676E-2</v>
      </c>
      <c r="J141" s="110">
        <f t="shared" si="68"/>
        <v>4.0150632479384309E-2</v>
      </c>
      <c r="K141" s="110">
        <f t="shared" si="68"/>
        <v>4.2935545079583956E-2</v>
      </c>
      <c r="L141" s="110">
        <f t="shared" si="68"/>
        <v>4.5538058683773627E-2</v>
      </c>
      <c r="M141" s="110">
        <f t="shared" si="68"/>
        <v>4.7949407523528317E-2</v>
      </c>
      <c r="N141" s="110">
        <f t="shared" si="68"/>
        <v>5.3865865436960612E-2</v>
      </c>
      <c r="O141" s="110">
        <f t="shared" si="68"/>
        <v>5.9387756830779098E-2</v>
      </c>
      <c r="P141" s="110">
        <f t="shared" si="68"/>
        <v>6.4496606162303377E-2</v>
      </c>
      <c r="Q141" s="110">
        <f t="shared" si="68"/>
        <v>6.9173937888853093E-2</v>
      </c>
      <c r="R141" s="110">
        <f t="shared" si="68"/>
        <v>7.3401276467747897E-2</v>
      </c>
      <c r="S141" s="110">
        <f t="shared" si="68"/>
        <v>7.7160146356307413E-2</v>
      </c>
      <c r="T141" s="110">
        <f t="shared" si="68"/>
        <v>8.0432072011851249E-2</v>
      </c>
      <c r="U141" s="110">
        <f t="shared" si="68"/>
        <v>8.3198577891699071E-2</v>
      </c>
      <c r="V141" s="110">
        <f t="shared" si="68"/>
        <v>8.5441188453170475E-2</v>
      </c>
      <c r="W141" s="110">
        <f t="shared" si="68"/>
        <v>8.7141428153585138E-2</v>
      </c>
      <c r="X141" s="110">
        <f t="shared" si="68"/>
        <v>9.164969566543571E-2</v>
      </c>
      <c r="Y141" s="110">
        <f t="shared" si="68"/>
        <v>9.5257639967333982E-2</v>
      </c>
      <c r="Z141" s="110">
        <f t="shared" si="68"/>
        <v>9.7934348069077956E-2</v>
      </c>
      <c r="AA141" s="110">
        <f t="shared" si="68"/>
        <v>9.9648906980465635E-2</v>
      </c>
      <c r="AB141" s="110">
        <f t="shared" si="68"/>
        <v>0.10037040371129512</v>
      </c>
      <c r="AC141" s="110">
        <f t="shared" si="68"/>
        <v>0.10006792527136436</v>
      </c>
      <c r="AD141" s="110">
        <f t="shared" si="68"/>
        <v>9.8710558670471432E-2</v>
      </c>
      <c r="AE141" s="110">
        <f t="shared" si="68"/>
        <v>9.6267390918414339E-2</v>
      </c>
      <c r="AF141" s="110">
        <f t="shared" si="68"/>
        <v>9.2707509024991128E-2</v>
      </c>
      <c r="AG141" s="110">
        <f t="shared" si="68"/>
        <v>8.7999999999999981E-2</v>
      </c>
      <c r="AH141" s="245"/>
      <c r="AI141" s="133"/>
      <c r="AJ141" s="211"/>
      <c r="AL141" s="108"/>
      <c r="AM141" s="2"/>
      <c r="AN141" s="2"/>
      <c r="AO141" s="2"/>
      <c r="AV141" s="41"/>
    </row>
    <row r="142" spans="1:63" outlineLevel="1" x14ac:dyDescent="0.2">
      <c r="A142" t="s">
        <v>1631</v>
      </c>
      <c r="B142" s="176" t="s">
        <v>462</v>
      </c>
      <c r="C142" s="110">
        <f>SUM(C140:C141)</f>
        <v>1.7701518410224611E-2</v>
      </c>
      <c r="D142" s="110">
        <f t="shared" ref="D142:AG142" si="69">SUM(D140:D141)</f>
        <v>2.243488950198257E-2</v>
      </c>
      <c r="E142" s="110">
        <f t="shared" si="69"/>
        <v>2.7290007377420961E-2</v>
      </c>
      <c r="F142" s="110">
        <f t="shared" si="69"/>
        <v>3.2266872036539801E-2</v>
      </c>
      <c r="G142" s="110">
        <f t="shared" si="69"/>
        <v>3.736548347933908E-2</v>
      </c>
      <c r="H142" s="110">
        <f t="shared" si="69"/>
        <v>4.2585841705818792E-2</v>
      </c>
      <c r="I142" s="110">
        <f t="shared" si="69"/>
        <v>4.7927946715978963E-2</v>
      </c>
      <c r="J142" s="110">
        <f t="shared" si="69"/>
        <v>5.3391798509819559E-2</v>
      </c>
      <c r="K142" s="110">
        <f t="shared" si="69"/>
        <v>5.8977397087340594E-2</v>
      </c>
      <c r="L142" s="110">
        <f t="shared" si="69"/>
        <v>6.4684742448542082E-2</v>
      </c>
      <c r="M142" s="110">
        <f t="shared" si="69"/>
        <v>7.0513834593424002E-2</v>
      </c>
      <c r="N142" s="110">
        <f t="shared" si="69"/>
        <v>8.2112599751464357E-2</v>
      </c>
      <c r="O142" s="110">
        <f t="shared" si="69"/>
        <v>9.3967969668954279E-2</v>
      </c>
      <c r="P142" s="110">
        <f t="shared" si="69"/>
        <v>0.10607994434589374</v>
      </c>
      <c r="Q142" s="110">
        <f t="shared" si="69"/>
        <v>0.11844852378228271</v>
      </c>
      <c r="R142" s="110">
        <f t="shared" si="69"/>
        <v>0.13107370797812129</v>
      </c>
      <c r="S142" s="110">
        <f t="shared" si="69"/>
        <v>0.14395549693340939</v>
      </c>
      <c r="T142" s="110">
        <f t="shared" si="69"/>
        <v>0.15709389064814702</v>
      </c>
      <c r="U142" s="110">
        <f t="shared" si="69"/>
        <v>0.1704888891223342</v>
      </c>
      <c r="V142" s="110">
        <f t="shared" si="69"/>
        <v>0.18414049235597091</v>
      </c>
      <c r="W142" s="110">
        <f t="shared" si="69"/>
        <v>0.19804870034905719</v>
      </c>
      <c r="X142" s="110">
        <f t="shared" si="69"/>
        <v>0.22031176842652825</v>
      </c>
      <c r="Y142" s="110">
        <f t="shared" si="69"/>
        <v>0.24300418359013781</v>
      </c>
      <c r="Z142" s="110">
        <f t="shared" si="69"/>
        <v>0.26612594583988591</v>
      </c>
      <c r="AA142" s="110">
        <f t="shared" si="69"/>
        <v>0.28967705517577241</v>
      </c>
      <c r="AB142" s="110">
        <f t="shared" si="69"/>
        <v>0.31365751159779748</v>
      </c>
      <c r="AC142" s="110">
        <f t="shared" si="69"/>
        <v>0.338067315105961</v>
      </c>
      <c r="AD142" s="110">
        <f t="shared" si="69"/>
        <v>0.36290646570026297</v>
      </c>
      <c r="AE142" s="110">
        <f t="shared" si="69"/>
        <v>0.38817496338070351</v>
      </c>
      <c r="AF142" s="110">
        <f t="shared" si="69"/>
        <v>0.4138728081472825</v>
      </c>
      <c r="AG142" s="110">
        <f t="shared" si="69"/>
        <v>0.44</v>
      </c>
      <c r="AI142" s="133"/>
      <c r="AJ142" s="211"/>
      <c r="AL142" s="108"/>
      <c r="AM142" s="2"/>
      <c r="AN142" s="2"/>
      <c r="AO142" s="2"/>
    </row>
    <row r="143" spans="1:63" outlineLevel="1" x14ac:dyDescent="0.2">
      <c r="A143" t="s">
        <v>1632</v>
      </c>
      <c r="B143" s="54" t="s">
        <v>462</v>
      </c>
      <c r="C143" s="110">
        <f>C130*C141</f>
        <v>8.468406407451454E-3</v>
      </c>
      <c r="D143" s="110">
        <f t="shared" ref="D143:AG143" si="70">D130*D141</f>
        <v>1.0452863716763719E-2</v>
      </c>
      <c r="E143" s="110">
        <f t="shared" si="70"/>
        <v>1.2374380945217761E-2</v>
      </c>
      <c r="F143" s="110">
        <f t="shared" si="70"/>
        <v>1.422839989323259E-2</v>
      </c>
      <c r="G143" s="110">
        <f t="shared" si="70"/>
        <v>1.6010362361227212E-2</v>
      </c>
      <c r="H143" s="110">
        <f t="shared" si="70"/>
        <v>1.7715710149620621E-2</v>
      </c>
      <c r="I143" s="110">
        <f t="shared" si="70"/>
        <v>1.9339885058831833E-2</v>
      </c>
      <c r="J143" s="110">
        <f t="shared" si="70"/>
        <v>2.0878328889279842E-2</v>
      </c>
      <c r="K143" s="110">
        <f t="shared" si="70"/>
        <v>2.2326483441383656E-2</v>
      </c>
      <c r="L143" s="110">
        <f t="shared" si="70"/>
        <v>2.3679790515562286E-2</v>
      </c>
      <c r="M143" s="110">
        <f t="shared" si="70"/>
        <v>2.4933691912234726E-2</v>
      </c>
      <c r="N143" s="110">
        <f t="shared" si="70"/>
        <v>2.8010250027219519E-2</v>
      </c>
      <c r="O143" s="110">
        <f t="shared" si="70"/>
        <v>3.0881633552005131E-2</v>
      </c>
      <c r="P143" s="110">
        <f t="shared" si="70"/>
        <v>3.3538235204397755E-2</v>
      </c>
      <c r="Q143" s="110">
        <f t="shared" si="70"/>
        <v>3.597044770220361E-2</v>
      </c>
      <c r="R143" s="110">
        <f t="shared" si="70"/>
        <v>3.8168663763228909E-2</v>
      </c>
      <c r="S143" s="110">
        <f t="shared" si="70"/>
        <v>4.0123276105279854E-2</v>
      </c>
      <c r="T143" s="110">
        <f t="shared" si="70"/>
        <v>4.1824677446162653E-2</v>
      </c>
      <c r="U143" s="110">
        <f t="shared" si="70"/>
        <v>4.3263260503683516E-2</v>
      </c>
      <c r="V143" s="110">
        <f t="shared" si="70"/>
        <v>4.4429417995648646E-2</v>
      </c>
      <c r="W143" s="110">
        <f t="shared" si="70"/>
        <v>4.5313542639864271E-2</v>
      </c>
      <c r="X143" s="110">
        <f t="shared" si="70"/>
        <v>4.7657841746026573E-2</v>
      </c>
      <c r="Y143" s="110">
        <f t="shared" si="70"/>
        <v>4.953397278301367E-2</v>
      </c>
      <c r="Z143" s="110">
        <f t="shared" si="70"/>
        <v>5.0925860995920537E-2</v>
      </c>
      <c r="AA143" s="110">
        <f t="shared" si="70"/>
        <v>5.1817431629842134E-2</v>
      </c>
      <c r="AB143" s="110">
        <f t="shared" si="70"/>
        <v>5.2192609929873464E-2</v>
      </c>
      <c r="AC143" s="110">
        <f t="shared" si="70"/>
        <v>5.2035321141109474E-2</v>
      </c>
      <c r="AD143" s="110">
        <f t="shared" si="70"/>
        <v>5.1329490508645145E-2</v>
      </c>
      <c r="AE143" s="110">
        <f t="shared" si="70"/>
        <v>5.005904327757546E-2</v>
      </c>
      <c r="AF143" s="110">
        <f t="shared" si="70"/>
        <v>4.8207904692995386E-2</v>
      </c>
      <c r="AG143" s="110">
        <f t="shared" si="70"/>
        <v>4.5759999999999995E-2</v>
      </c>
      <c r="AI143" s="133"/>
      <c r="AJ143" s="211"/>
      <c r="BD143" s="203"/>
      <c r="BE143" s="203"/>
    </row>
    <row r="144" spans="1:63" outlineLevel="1" x14ac:dyDescent="0.2">
      <c r="A144" t="s">
        <v>1633</v>
      </c>
      <c r="B144" s="54" t="s">
        <v>462</v>
      </c>
      <c r="C144" s="110">
        <f>C131*C141</f>
        <v>1.9542476324887971E-3</v>
      </c>
      <c r="D144" s="110">
        <f t="shared" ref="D144:AG144" si="71">D131*D141</f>
        <v>2.4121993192531654E-3</v>
      </c>
      <c r="E144" s="110">
        <f t="shared" si="71"/>
        <v>2.8556263719733293E-3</v>
      </c>
      <c r="F144" s="110">
        <f t="shared" si="71"/>
        <v>3.2834768984382899E-3</v>
      </c>
      <c r="G144" s="110">
        <f t="shared" si="71"/>
        <v>3.6946990064370485E-3</v>
      </c>
      <c r="H144" s="110">
        <f t="shared" si="71"/>
        <v>4.0882408037586039E-3</v>
      </c>
      <c r="I144" s="110">
        <f t="shared" si="71"/>
        <v>4.4630503981919608E-3</v>
      </c>
      <c r="J144" s="110">
        <f t="shared" si="71"/>
        <v>4.8180758975261166E-3</v>
      </c>
      <c r="K144" s="110">
        <f t="shared" si="71"/>
        <v>5.1522654095500749E-3</v>
      </c>
      <c r="L144" s="110">
        <f t="shared" si="71"/>
        <v>5.4645670420528352E-3</v>
      </c>
      <c r="M144" s="110">
        <f t="shared" si="71"/>
        <v>5.7539289028233978E-3</v>
      </c>
      <c r="N144" s="110">
        <f t="shared" si="71"/>
        <v>6.4639038524352734E-3</v>
      </c>
      <c r="O144" s="110">
        <f t="shared" si="71"/>
        <v>7.1265308196934917E-3</v>
      </c>
      <c r="P144" s="110">
        <f t="shared" si="71"/>
        <v>7.7395927394764046E-3</v>
      </c>
      <c r="Q144" s="110">
        <f t="shared" si="71"/>
        <v>8.3008725466623707E-3</v>
      </c>
      <c r="R144" s="110">
        <f t="shared" si="71"/>
        <v>8.8081531761297471E-3</v>
      </c>
      <c r="S144" s="110">
        <f t="shared" si="71"/>
        <v>9.2592175627568898E-3</v>
      </c>
      <c r="T144" s="110">
        <f t="shared" si="71"/>
        <v>9.6518486414221491E-3</v>
      </c>
      <c r="U144" s="110">
        <f t="shared" si="71"/>
        <v>9.9838293470038888E-3</v>
      </c>
      <c r="V144" s="110">
        <f t="shared" si="71"/>
        <v>1.0252942614380457E-2</v>
      </c>
      <c r="W144" s="110">
        <f t="shared" si="71"/>
        <v>1.0456971378430217E-2</v>
      </c>
      <c r="X144" s="110">
        <f t="shared" si="71"/>
        <v>1.0997963479852284E-2</v>
      </c>
      <c r="Y144" s="110">
        <f t="shared" si="71"/>
        <v>1.1430916796080078E-2</v>
      </c>
      <c r="Z144" s="110">
        <f t="shared" si="71"/>
        <v>1.1752121768289355E-2</v>
      </c>
      <c r="AA144" s="110">
        <f t="shared" si="71"/>
        <v>1.1957868837655875E-2</v>
      </c>
      <c r="AB144" s="110">
        <f t="shared" si="71"/>
        <v>1.2044448445355413E-2</v>
      </c>
      <c r="AC144" s="110">
        <f t="shared" si="71"/>
        <v>1.2008151032563722E-2</v>
      </c>
      <c r="AD144" s="110">
        <f t="shared" si="71"/>
        <v>1.1845267040456572E-2</v>
      </c>
      <c r="AE144" s="110">
        <f t="shared" si="71"/>
        <v>1.155208691020972E-2</v>
      </c>
      <c r="AF144" s="110">
        <f t="shared" si="71"/>
        <v>1.1124901082998935E-2</v>
      </c>
      <c r="AG144" s="110">
        <f t="shared" si="71"/>
        <v>1.0559999999999996E-2</v>
      </c>
      <c r="AI144" s="133"/>
      <c r="AJ144" s="211"/>
      <c r="AL144" s="1"/>
      <c r="BC144" s="1"/>
      <c r="BD144" s="693"/>
      <c r="BE144" s="686"/>
      <c r="BF144" s="6"/>
      <c r="BG144" s="6"/>
      <c r="BH144" s="6"/>
      <c r="BI144" s="6"/>
      <c r="BJ144" s="6"/>
    </row>
    <row r="145" spans="1:63" outlineLevel="1" x14ac:dyDescent="0.2">
      <c r="A145" t="s">
        <v>1634</v>
      </c>
      <c r="B145" s="54" t="s">
        <v>462</v>
      </c>
      <c r="C145" s="110">
        <f>C132*C141</f>
        <v>5.8627428974663909E-3</v>
      </c>
      <c r="D145" s="110">
        <f t="shared" ref="D145:AG145" si="72">D132*D141</f>
        <v>7.2365979577594967E-3</v>
      </c>
      <c r="E145" s="110">
        <f t="shared" si="72"/>
        <v>8.5668791159199884E-3</v>
      </c>
      <c r="F145" s="110">
        <f t="shared" si="72"/>
        <v>9.8504306953148702E-3</v>
      </c>
      <c r="G145" s="110">
        <f t="shared" si="72"/>
        <v>1.1084097019311144E-2</v>
      </c>
      <c r="H145" s="110">
        <f t="shared" si="72"/>
        <v>1.2264722411275812E-2</v>
      </c>
      <c r="I145" s="110">
        <f t="shared" si="72"/>
        <v>1.3389151194575883E-2</v>
      </c>
      <c r="J145" s="110">
        <f t="shared" si="72"/>
        <v>1.4454227692578351E-2</v>
      </c>
      <c r="K145" s="110">
        <f t="shared" si="72"/>
        <v>1.5456796228650224E-2</v>
      </c>
      <c r="L145" s="110">
        <f t="shared" si="72"/>
        <v>1.6393701126158504E-2</v>
      </c>
      <c r="M145" s="110">
        <f t="shared" si="72"/>
        <v>1.7261786708470193E-2</v>
      </c>
      <c r="N145" s="110">
        <f t="shared" si="72"/>
        <v>1.9391711557305819E-2</v>
      </c>
      <c r="O145" s="110">
        <f t="shared" si="72"/>
        <v>2.1379592459080474E-2</v>
      </c>
      <c r="P145" s="110">
        <f t="shared" si="72"/>
        <v>2.3218778218429215E-2</v>
      </c>
      <c r="Q145" s="110">
        <f t="shared" si="72"/>
        <v>2.4902617639987114E-2</v>
      </c>
      <c r="R145" s="110">
        <f t="shared" si="72"/>
        <v>2.6424459528389243E-2</v>
      </c>
      <c r="S145" s="110">
        <f t="shared" si="72"/>
        <v>2.7777652688270666E-2</v>
      </c>
      <c r="T145" s="110">
        <f t="shared" si="72"/>
        <v>2.8955545924266447E-2</v>
      </c>
      <c r="U145" s="110">
        <f t="shared" si="72"/>
        <v>2.9951488041011665E-2</v>
      </c>
      <c r="V145" s="110">
        <f t="shared" si="72"/>
        <v>3.0758827843141368E-2</v>
      </c>
      <c r="W145" s="110">
        <f t="shared" si="72"/>
        <v>3.1370914135290646E-2</v>
      </c>
      <c r="X145" s="110">
        <f t="shared" si="72"/>
        <v>3.2993890439556854E-2</v>
      </c>
      <c r="Y145" s="110">
        <f t="shared" si="72"/>
        <v>3.4292750388240235E-2</v>
      </c>
      <c r="Z145" s="110">
        <f t="shared" si="72"/>
        <v>3.5256365304868066E-2</v>
      </c>
      <c r="AA145" s="110">
        <f t="shared" si="72"/>
        <v>3.5873606512967629E-2</v>
      </c>
      <c r="AB145" s="110">
        <f t="shared" si="72"/>
        <v>3.6133345336066242E-2</v>
      </c>
      <c r="AC145" s="110">
        <f t="shared" si="72"/>
        <v>3.6024453097691173E-2</v>
      </c>
      <c r="AD145" s="110">
        <f t="shared" si="72"/>
        <v>3.5535801121369712E-2</v>
      </c>
      <c r="AE145" s="110">
        <f t="shared" si="72"/>
        <v>3.4656260730629163E-2</v>
      </c>
      <c r="AF145" s="110">
        <f t="shared" si="72"/>
        <v>3.3374703248996808E-2</v>
      </c>
      <c r="AG145" s="110">
        <f t="shared" si="72"/>
        <v>3.1679999999999993E-2</v>
      </c>
      <c r="AI145" s="134"/>
      <c r="AJ145" s="211"/>
      <c r="BC145" s="1"/>
      <c r="BD145" s="41"/>
      <c r="BF145" s="6"/>
      <c r="BG145" s="6"/>
      <c r="BH145" s="6"/>
      <c r="BI145" s="6"/>
      <c r="BJ145" s="6"/>
    </row>
    <row r="146" spans="1:63" outlineLevel="1" x14ac:dyDescent="0.2">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I146" s="134"/>
      <c r="AJ146" s="211"/>
      <c r="BC146" s="1"/>
      <c r="BD146" s="41"/>
      <c r="BF146" s="6"/>
      <c r="BG146" s="6"/>
      <c r="BH146" s="6"/>
      <c r="BI146" s="6"/>
      <c r="BJ146" s="6"/>
    </row>
    <row r="147" spans="1:63" s="1" customFormat="1" outlineLevel="1" x14ac:dyDescent="0.2">
      <c r="A147" s="1" t="s">
        <v>228</v>
      </c>
      <c r="B147" s="65"/>
      <c r="C147" s="300">
        <f>'BTX Recycling HC'!C147</f>
        <v>3.7144399482949425E-3</v>
      </c>
      <c r="D147" s="300">
        <f>'BTX Recycling HC'!D147</f>
        <v>6.3251324312517676E-3</v>
      </c>
      <c r="E147" s="300">
        <f>'BTX Recycling HC'!E147</f>
        <v>9.7613239132800008E-3</v>
      </c>
      <c r="F147" s="300">
        <f>'BTX Recycling HC'!F147</f>
        <v>1.4091015689636537E-2</v>
      </c>
      <c r="G147" s="300">
        <f>'BTX Recycling HC'!G147</f>
        <v>1.9374772395244152E-2</v>
      </c>
      <c r="H147" s="300">
        <f>'BTX Recycling HC'!H147</f>
        <v>2.5664072696353547E-2</v>
      </c>
      <c r="I147" s="300">
        <f>'BTX Recycling HC'!I147</f>
        <v>3.3070933602022456E-2</v>
      </c>
      <c r="J147" s="300">
        <f>'BTX Recycling HC'!J147</f>
        <v>4.1678984381861538E-2</v>
      </c>
      <c r="K147" s="300">
        <f>'BTX Recycling HC'!K147</f>
        <v>5.1573720106399462E-2</v>
      </c>
      <c r="L147" s="300">
        <f>'BTX Recycling HC'!L147</f>
        <v>6.2842305059712028E-2</v>
      </c>
      <c r="M147" s="300">
        <f>'BTX Recycling HC'!M147</f>
        <v>7.5573360022217373E-2</v>
      </c>
      <c r="N147" s="300">
        <f>'BTX Recycling HC'!N147</f>
        <v>9.6355777930325778E-2</v>
      </c>
      <c r="O147" s="300">
        <f>'BTX Recycling HC'!O147</f>
        <v>0.11991673753780317</v>
      </c>
      <c r="P147" s="300">
        <f>'BTX Recycling HC'!P147</f>
        <v>0.14581631834955344</v>
      </c>
      <c r="Q147" s="300">
        <f>'BTX Recycling HC'!Q147</f>
        <v>0.1743829407785901</v>
      </c>
      <c r="R147" s="300">
        <f>'BTX Recycling HC'!R147</f>
        <v>0.20558966068555107</v>
      </c>
      <c r="S147" s="300">
        <f>'BTX Recycling HC'!S147</f>
        <v>0.23981088592817013</v>
      </c>
      <c r="T147" s="300">
        <f>'BTX Recycling HC'!T147</f>
        <v>0.27715895569181209</v>
      </c>
      <c r="U147" s="300">
        <f>'BTX Recycling HC'!U147</f>
        <v>0.3177461458255359</v>
      </c>
      <c r="V147" s="300">
        <f>'BTX Recycling HC'!V147</f>
        <v>0.36168452329188056</v>
      </c>
      <c r="W147" s="300">
        <f>'BTX Recycling HC'!W147</f>
        <v>0.40908579719806426</v>
      </c>
      <c r="X147" s="300">
        <f>'BTX Recycling HC'!X147</f>
        <v>0.47762276816705979</v>
      </c>
      <c r="Y147" s="300">
        <f>'BTX Recycling HC'!Y147</f>
        <v>0.55191638481139105</v>
      </c>
      <c r="Z147" s="300">
        <f>'BTX Recycling HC'!Z147</f>
        <v>0.62672998048914974</v>
      </c>
      <c r="AA147" s="300">
        <f>'BTX Recycling HC'!AA147</f>
        <v>0.70603971415460787</v>
      </c>
      <c r="AB147" s="300">
        <f>'BTX Recycling HC'!AB147</f>
        <v>0.78980700014117611</v>
      </c>
      <c r="AC147" s="300">
        <f>'BTX Recycling HC'!AC147</f>
        <v>0.87798431314119241</v>
      </c>
      <c r="AD147" s="300">
        <f>'BTX Recycling HC'!AD147</f>
        <v>0.97050040508022239</v>
      </c>
      <c r="AE147" s="300">
        <f>'BTX Recycling HC'!AE147</f>
        <v>1.0672653923874342</v>
      </c>
      <c r="AF147" s="300">
        <f>'BTX Recycling HC'!AF147</f>
        <v>1.1681699189970813</v>
      </c>
      <c r="AG147" s="300">
        <f>'BTX Recycling HC'!AG147</f>
        <v>1.2730843133718888</v>
      </c>
      <c r="AH147" s="245"/>
      <c r="AI147" s="423"/>
      <c r="AJ147" s="424"/>
      <c r="AL147" s="221"/>
      <c r="AM147" s="124"/>
      <c r="AN147" s="124"/>
      <c r="AO147" s="124"/>
      <c r="BD147" s="124"/>
      <c r="BE147" s="124"/>
      <c r="BF147" s="124"/>
      <c r="BG147" s="124"/>
      <c r="BH147" s="124"/>
      <c r="BI147" s="124"/>
      <c r="BJ147" s="124"/>
      <c r="BK147" s="124"/>
    </row>
    <row r="148" spans="1:63" outlineLevel="1" x14ac:dyDescent="0.2">
      <c r="A148" s="4" t="s">
        <v>474</v>
      </c>
      <c r="C148" s="230">
        <f>C$147*'BTX recycling rates'!E58</f>
        <v>0</v>
      </c>
      <c r="D148" s="230">
        <f>D$147*'BTX recycling rates'!F58</f>
        <v>0</v>
      </c>
      <c r="E148" s="230">
        <f>E$147*'BTX recycling rates'!G58</f>
        <v>0</v>
      </c>
      <c r="F148" s="230">
        <f>F$147*'BTX recycling rates'!H58</f>
        <v>0</v>
      </c>
      <c r="G148" s="230">
        <f>G$147*'BTX recycling rates'!I58</f>
        <v>0</v>
      </c>
      <c r="H148" s="230">
        <f>H$147*'BTX recycling rates'!J58</f>
        <v>0</v>
      </c>
      <c r="I148" s="230">
        <f>I$147*'BTX recycling rates'!K58</f>
        <v>0</v>
      </c>
      <c r="J148" s="230">
        <f>J$147*'BTX recycling rates'!L58</f>
        <v>0</v>
      </c>
      <c r="K148" s="230">
        <f>K$147*'BTX recycling rates'!M58</f>
        <v>0</v>
      </c>
      <c r="L148" s="230">
        <f>L$147*'BTX recycling rates'!N58</f>
        <v>0</v>
      </c>
      <c r="M148" s="230">
        <f>M$147*'BTX recycling rates'!O58</f>
        <v>0</v>
      </c>
      <c r="N148" s="230">
        <f>N$147*'BTX recycling rates'!P58</f>
        <v>0</v>
      </c>
      <c r="O148" s="230">
        <f>O$147*'BTX recycling rates'!Q58</f>
        <v>0</v>
      </c>
      <c r="P148" s="230">
        <f>P$147*'BTX recycling rates'!R58</f>
        <v>0</v>
      </c>
      <c r="Q148" s="230">
        <f>Q$147*'BTX recycling rates'!S58</f>
        <v>0</v>
      </c>
      <c r="R148" s="230">
        <f>R$147*'BTX recycling rates'!T58</f>
        <v>0</v>
      </c>
      <c r="S148" s="230">
        <f>S$147*'BTX recycling rates'!U58</f>
        <v>0</v>
      </c>
      <c r="T148" s="230">
        <f>T$147*'BTX recycling rates'!V58</f>
        <v>0</v>
      </c>
      <c r="U148" s="230">
        <f>U$147*'BTX recycling rates'!W58</f>
        <v>0</v>
      </c>
      <c r="V148" s="230">
        <f>V$147*'BTX recycling rates'!X58</f>
        <v>0</v>
      </c>
      <c r="W148" s="230">
        <f>W$147*'BTX recycling rates'!Y58</f>
        <v>0</v>
      </c>
      <c r="X148" s="230">
        <f>X$147*'BTX recycling rates'!Z58</f>
        <v>0</v>
      </c>
      <c r="Y148" s="230">
        <f>Y$147*'BTX recycling rates'!AA58</f>
        <v>0</v>
      </c>
      <c r="Z148" s="230">
        <f>Z$147*'BTX recycling rates'!AB58</f>
        <v>0</v>
      </c>
      <c r="AA148" s="230">
        <f>AA$147*'BTX recycling rates'!AC58</f>
        <v>0</v>
      </c>
      <c r="AB148" s="230">
        <f>AB$147*'BTX recycling rates'!AD58</f>
        <v>0</v>
      </c>
      <c r="AC148" s="230">
        <f>AC$147*'BTX recycling rates'!AE58</f>
        <v>0</v>
      </c>
      <c r="AD148" s="230">
        <f>AD$147*'BTX recycling rates'!AF58</f>
        <v>0</v>
      </c>
      <c r="AE148" s="230">
        <f>AE$147*'BTX recycling rates'!AG58</f>
        <v>0</v>
      </c>
      <c r="AF148" s="230">
        <f>AF$147*'BTX recycling rates'!AH58</f>
        <v>0</v>
      </c>
      <c r="AG148" s="230">
        <f>AG$147*'BTX recycling rates'!AI58</f>
        <v>0</v>
      </c>
      <c r="AH148" s="245"/>
      <c r="AI148" s="133"/>
      <c r="AJ148" s="211"/>
      <c r="AL148" s="108"/>
      <c r="AM148" s="2"/>
      <c r="AN148" s="2"/>
      <c r="AO148" s="2"/>
      <c r="BC148" s="1"/>
      <c r="BD148" s="2"/>
      <c r="BE148" s="2"/>
      <c r="BF148" s="2"/>
      <c r="BG148" s="2"/>
      <c r="BH148" s="2"/>
      <c r="BI148" s="2"/>
      <c r="BJ148" s="2"/>
      <c r="BK148" s="2"/>
    </row>
    <row r="149" spans="1:63" outlineLevel="1" x14ac:dyDescent="0.2">
      <c r="A149" s="4" t="s">
        <v>478</v>
      </c>
      <c r="C149" s="230">
        <f>C$147*'BTX recycling rates'!E59</f>
        <v>2.211651266923706E-3</v>
      </c>
      <c r="D149" s="230">
        <f>D$147*'BTX recycling rates'!F59</f>
        <v>3.640572406995292E-3</v>
      </c>
      <c r="E149" s="230">
        <f>E$147*'BTX recycling rates'!G59</f>
        <v>5.4246135945556035E-3</v>
      </c>
      <c r="F149" s="230">
        <f>F$147*'BTX recycling rates'!H59</f>
        <v>7.5510633695609532E-3</v>
      </c>
      <c r="G149" s="230">
        <f>G$147*'BTX recycling rates'!I59</f>
        <v>9.9979741520496521E-3</v>
      </c>
      <c r="H149" s="230">
        <f>H$147*'BTX recycling rates'!J59</f>
        <v>1.2734081872236491E-2</v>
      </c>
      <c r="I149" s="230">
        <f>I$147*'BTX recycling rates'!K59</f>
        <v>1.5752872189054971E-2</v>
      </c>
      <c r="J149" s="230">
        <f>J$147*'BTX recycling rates'!L59</f>
        <v>1.9025979130040605E-2</v>
      </c>
      <c r="K149" s="230">
        <f>K$147*'BTX recycling rates'!M59</f>
        <v>2.2519212138061441E-2</v>
      </c>
      <c r="L149" s="230">
        <f>L$147*'BTX recycling rates'!N59</f>
        <v>2.6192288979086074E-2</v>
      </c>
      <c r="M149" s="230">
        <f>M$147*'BTX recycling rates'!O59</f>
        <v>2.9998585657674062E-2</v>
      </c>
      <c r="N149" s="230">
        <f>N$147*'BTX recycling rates'!P59</f>
        <v>3.6335690303496884E-2</v>
      </c>
      <c r="O149" s="230">
        <f>O$147*'BTX recycling rates'!Q59</f>
        <v>4.2840483334115928E-2</v>
      </c>
      <c r="P149" s="230">
        <f>P$147*'BTX recycling rates'!R59</f>
        <v>4.9199093672139385E-2</v>
      </c>
      <c r="Q149" s="230">
        <f>Q$147*'BTX recycling rates'!S59</f>
        <v>5.5376567453353773E-2</v>
      </c>
      <c r="R149" s="230">
        <f>R$147*'BTX recycling rates'!T59</f>
        <v>6.1206082188828143E-2</v>
      </c>
      <c r="S149" s="230">
        <f>S$147*'BTX recycling rates'!U59</f>
        <v>6.6634475173934254E-2</v>
      </c>
      <c r="T149" s="230">
        <f>T$147*'BTX recycling rates'!V59</f>
        <v>7.151124200292551E-2</v>
      </c>
      <c r="U149" s="230">
        <f>U$147*'BTX recycling rates'!W59</f>
        <v>7.5676944654631387E-2</v>
      </c>
      <c r="V149" s="230">
        <f>V$147*'BTX recycling rates'!X59</f>
        <v>7.8963186001128047E-2</v>
      </c>
      <c r="W149" s="230">
        <f>W$147*'BTX recycling rates'!Y59</f>
        <v>8.1192600970608084E-2</v>
      </c>
      <c r="X149" s="230">
        <f>X$147*'BTX recycling rates'!Z59</f>
        <v>8.5315822710757133E-2</v>
      </c>
      <c r="Y149" s="230">
        <f>Y$147*'BTX recycling rates'!AA59</f>
        <v>8.7632525221961188E-2</v>
      </c>
      <c r="Z149" s="230">
        <f>Z$147*'BTX recycling rates'!AB59</f>
        <v>8.7072409503072545E-2</v>
      </c>
      <c r="AA149" s="230">
        <f>AA$147*'BTX recycling rates'!AC59</f>
        <v>8.4078011761922589E-2</v>
      </c>
      <c r="AB149" s="230">
        <f>AB$147*'BTX recycling rates'!AD59</f>
        <v>7.837779390713942E-2</v>
      </c>
      <c r="AC149" s="230">
        <f>AC$147*'BTX recycling rates'!AE59</f>
        <v>6.9702571424949414E-2</v>
      </c>
      <c r="AD149" s="230">
        <f>AD$147*'BTX recycling rates'!AF59</f>
        <v>5.7785520302486286E-2</v>
      </c>
      <c r="AE149" s="230">
        <f>AE$147*'BTX recycling rates'!AG59</f>
        <v>4.236473313293606E-2</v>
      </c>
      <c r="AF149" s="230">
        <f>AF$147*'BTX recycling rates'!AH59</f>
        <v>2.3185051827422705E-2</v>
      </c>
      <c r="AG149" s="230">
        <f>AG$147*'BTX recycling rates'!AI59</f>
        <v>0</v>
      </c>
      <c r="AH149" s="245"/>
      <c r="AI149" s="133"/>
      <c r="AJ149" s="211"/>
      <c r="AL149" s="108"/>
      <c r="AM149" s="2"/>
      <c r="AN149" s="2"/>
      <c r="AO149" s="2"/>
      <c r="BC149" s="1"/>
      <c r="BD149" s="2"/>
      <c r="BE149" s="2"/>
      <c r="BF149" s="2"/>
      <c r="BG149" s="2"/>
      <c r="BH149" s="2"/>
      <c r="BI149" s="2"/>
      <c r="BJ149" s="2"/>
      <c r="BK149" s="2"/>
    </row>
    <row r="150" spans="1:63" outlineLevel="1" x14ac:dyDescent="0.2">
      <c r="A150" s="4" t="s">
        <v>745</v>
      </c>
      <c r="C150" s="230">
        <f>C$147*'BTX recycling rates'!E60</f>
        <v>0</v>
      </c>
      <c r="D150" s="230">
        <f>D$147*'BTX recycling rates'!F60</f>
        <v>1.0818639405176825E-4</v>
      </c>
      <c r="E150" s="230">
        <f>E$147*'BTX recycling rates'!G60</f>
        <v>3.3391947024896169E-4</v>
      </c>
      <c r="F150" s="230">
        <f>F$147*'BTX recycling rates'!H60</f>
        <v>7.2304707888320302E-4</v>
      </c>
      <c r="G150" s="230">
        <f>G$147*'BTX recycling rates'!I60</f>
        <v>1.3255607112089395E-3</v>
      </c>
      <c r="H150" s="230">
        <f>H$147*'BTX recycling rates'!J60</f>
        <v>2.1948184578575304E-3</v>
      </c>
      <c r="I150" s="230">
        <f>I$147*'BTX recycling rates'!K60</f>
        <v>3.3939131803634344E-3</v>
      </c>
      <c r="J150" s="230">
        <f>J$147*'BTX recycling rates'!L60</f>
        <v>4.9902027410750026E-3</v>
      </c>
      <c r="K150" s="230">
        <f>K$147*'BTX recycling rates'!M60</f>
        <v>7.0570219571416204E-3</v>
      </c>
      <c r="L150" s="230">
        <f>L$147*'BTX recycling rates'!N60</f>
        <v>9.6738119035230299E-3</v>
      </c>
      <c r="M150" s="230">
        <f>M$147*'BTX recycling rates'!O60</f>
        <v>1.2926226282287808E-2</v>
      </c>
      <c r="N150" s="230">
        <f>N$147*'BTX recycling rates'!P60</f>
        <v>1.8128984177014397E-2</v>
      </c>
      <c r="O150" s="230">
        <f>O$147*'BTX recycling rates'!Q60</f>
        <v>2.4612972888726884E-2</v>
      </c>
      <c r="P150" s="230">
        <f>P$147*'BTX recycling rates'!R60</f>
        <v>3.2422948296953108E-2</v>
      </c>
      <c r="Q150" s="230">
        <f>Q$147*'BTX recycling rates'!S60</f>
        <v>4.1757554411462533E-2</v>
      </c>
      <c r="R150" s="230">
        <f>R$147*'BTX recycling rates'!T60</f>
        <v>5.2746731279493336E-2</v>
      </c>
      <c r="S150" s="230">
        <f>S$147*'BTX recycling rates'!U60</f>
        <v>6.5628412457556559E-2</v>
      </c>
      <c r="T150" s="230">
        <f>T$147*'BTX recycling rates'!V60</f>
        <v>8.0589945185034872E-2</v>
      </c>
      <c r="U150" s="230">
        <f>U$147*'BTX recycling rates'!W60</f>
        <v>9.7826343093714629E-2</v>
      </c>
      <c r="V150" s="230">
        <f>V$147*'BTX recycling rates'!X60</f>
        <v>0.11754023349029112</v>
      </c>
      <c r="W150" s="230">
        <f>W$147*'BTX recycling rates'!Y60</f>
        <v>0.13994178853230049</v>
      </c>
      <c r="X150" s="230">
        <f>X$147*'BTX recycling rates'!Z60</f>
        <v>0.17155656373990363</v>
      </c>
      <c r="Y150" s="230">
        <f>Y$147*'BTX recycling rates'!AA60</f>
        <v>0.20768206374745352</v>
      </c>
      <c r="Z150" s="230">
        <f>Z$147*'BTX recycling rates'!AB60</f>
        <v>0.24655358911691028</v>
      </c>
      <c r="AA150" s="230">
        <f>AA$147*'BTX recycling rates'!AC60</f>
        <v>0.28983003873622887</v>
      </c>
      <c r="AB150" s="230">
        <f>AB$147*'BTX recycling rates'!AD60</f>
        <v>0.33772562183811894</v>
      </c>
      <c r="AC150" s="230">
        <f>AC$147*'BTX recycling rates'!AE60</f>
        <v>0.3904479322029179</v>
      </c>
      <c r="AD150" s="230">
        <f>AD$147*'BTX recycling rates'!AF60</f>
        <v>0.44819035658151907</v>
      </c>
      <c r="AE150" s="230">
        <f>AE$147*'BTX recycling rates'!AG60</f>
        <v>0.51113248228419417</v>
      </c>
      <c r="AF150" s="230">
        <f>AF$147*'BTX recycling rates'!AH60</f>
        <v>0.57943808828360777</v>
      </c>
      <c r="AG150" s="230">
        <f>AG$147*'BTX recycling rates'!AI60</f>
        <v>0.65325304735312206</v>
      </c>
      <c r="AH150" s="245"/>
      <c r="AI150" s="133"/>
      <c r="AJ150" s="211"/>
      <c r="AL150" s="108"/>
      <c r="AM150" s="2"/>
      <c r="AN150" s="2"/>
      <c r="AO150" s="2"/>
      <c r="BC150" s="1"/>
      <c r="BD150" s="2"/>
      <c r="BE150" s="2"/>
      <c r="BF150" s="2"/>
      <c r="BG150" s="2"/>
      <c r="BH150" s="2"/>
      <c r="BI150" s="2"/>
      <c r="BJ150" s="2"/>
      <c r="BK150" s="2"/>
    </row>
    <row r="151" spans="1:63" outlineLevel="1" x14ac:dyDescent="0.2">
      <c r="A151" s="4" t="s">
        <v>1561</v>
      </c>
      <c r="C151" s="230">
        <f>C$147*'BTX recycling rates'!E61</f>
        <v>1.502788681371236E-3</v>
      </c>
      <c r="D151" s="230">
        <f>D$147*'BTX recycling rates'!F61</f>
        <v>2.5763736302047069E-3</v>
      </c>
      <c r="E151" s="230">
        <f>E$147*'BTX recycling rates'!G61</f>
        <v>4.0027908484754357E-3</v>
      </c>
      <c r="F151" s="230">
        <f>F$147*'BTX recycling rates'!H61</f>
        <v>5.816905241192381E-3</v>
      </c>
      <c r="G151" s="230">
        <f>G$147*'BTX recycling rates'!I61</f>
        <v>8.0512375319855591E-3</v>
      </c>
      <c r="H151" s="230">
        <f>H$147*'BTX recycling rates'!J61</f>
        <v>1.0735172366259524E-2</v>
      </c>
      <c r="I151" s="230">
        <f>I$147*'BTX recycling rates'!K61</f>
        <v>1.3924148232604051E-2</v>
      </c>
      <c r="J151" s="230">
        <f>J$147*'BTX recycling rates'!L61</f>
        <v>1.7662802510745926E-2</v>
      </c>
      <c r="K151" s="230">
        <f>K$147*'BTX recycling rates'!M61</f>
        <v>2.1997486011196402E-2</v>
      </c>
      <c r="L151" s="230">
        <f>L$147*'BTX recycling rates'!N61</f>
        <v>2.6976204177102919E-2</v>
      </c>
      <c r="M151" s="230">
        <f>M$147*'BTX recycling rates'!O61</f>
        <v>3.26485480822555E-2</v>
      </c>
      <c r="N151" s="230">
        <f>N$147*'BTX recycling rates'!P61</f>
        <v>4.1891103449814497E-2</v>
      </c>
      <c r="O151" s="230">
        <f>O$147*'BTX recycling rates'!Q61</f>
        <v>5.2463281314960357E-2</v>
      </c>
      <c r="P151" s="230">
        <f>P$147*'BTX recycling rates'!R61</f>
        <v>6.4194276380460949E-2</v>
      </c>
      <c r="Q151" s="230">
        <f>Q$147*'BTX recycling rates'!S61</f>
        <v>7.724881891377379E-2</v>
      </c>
      <c r="R151" s="230">
        <f>R$147*'BTX recycling rates'!T61</f>
        <v>9.1636847217229589E-2</v>
      </c>
      <c r="S151" s="230">
        <f>S$147*'BTX recycling rates'!U61</f>
        <v>0.10754799829667931</v>
      </c>
      <c r="T151" s="230">
        <f>T$147*'BTX recycling rates'!V61</f>
        <v>0.1250577685038517</v>
      </c>
      <c r="U151" s="230">
        <f>U$147*'BTX recycling rates'!W61</f>
        <v>0.14424285807718987</v>
      </c>
      <c r="V151" s="230">
        <f>V$147*'BTX recycling rates'!X61</f>
        <v>0.16518110380046139</v>
      </c>
      <c r="W151" s="230">
        <f>W$147*'BTX recycling rates'!Y61</f>
        <v>0.18795140769515567</v>
      </c>
      <c r="X151" s="230">
        <f>X$147*'BTX recycling rates'!Z61</f>
        <v>0.22075038171639902</v>
      </c>
      <c r="Y151" s="230">
        <f>Y$147*'BTX recycling rates'!AA61</f>
        <v>0.25660179584197634</v>
      </c>
      <c r="Z151" s="230">
        <f>Z$147*'BTX recycling rates'!AB61</f>
        <v>0.29310398186916692</v>
      </c>
      <c r="AA151" s="230">
        <f>AA$147*'BTX recycling rates'!AC61</f>
        <v>0.33213166365645641</v>
      </c>
      <c r="AB151" s="230">
        <f>AB$147*'BTX recycling rates'!AD61</f>
        <v>0.37370358439591778</v>
      </c>
      <c r="AC151" s="230">
        <f>AC$147*'BTX recycling rates'!AE61</f>
        <v>0.41783380951332516</v>
      </c>
      <c r="AD151" s="230">
        <f>AD$147*'BTX recycling rates'!AF61</f>
        <v>0.46452452819621709</v>
      </c>
      <c r="AE151" s="230">
        <f>AE$147*'BTX recycling rates'!AG61</f>
        <v>0.51376817697030397</v>
      </c>
      <c r="AF151" s="230">
        <f>AF$147*'BTX recycling rates'!AH61</f>
        <v>0.56554677888605098</v>
      </c>
      <c r="AG151" s="230">
        <f>AG$147*'BTX recycling rates'!AI61</f>
        <v>0.61983126601876659</v>
      </c>
      <c r="AH151" s="245"/>
      <c r="AI151" s="133"/>
      <c r="AJ151" s="211"/>
      <c r="AL151" s="108"/>
      <c r="AM151" s="2"/>
      <c r="AN151" s="2"/>
      <c r="AO151" s="2"/>
      <c r="BC151" s="1"/>
      <c r="BD151" s="2"/>
      <c r="BE151" s="2"/>
      <c r="BF151" s="2"/>
      <c r="BG151" s="2"/>
      <c r="BH151" s="2"/>
      <c r="BI151" s="2"/>
      <c r="BJ151" s="2"/>
      <c r="BK151" s="2"/>
    </row>
    <row r="152" spans="1:63" s="1" customFormat="1" outlineLevel="1" x14ac:dyDescent="0.2">
      <c r="A152" s="1" t="s">
        <v>1562</v>
      </c>
      <c r="B152" s="65"/>
      <c r="C152" s="300">
        <f t="shared" ref="C152:AG152" si="73">C147-$C147</f>
        <v>0</v>
      </c>
      <c r="D152" s="300">
        <f t="shared" si="73"/>
        <v>2.6106924829568251E-3</v>
      </c>
      <c r="E152" s="300">
        <f t="shared" si="73"/>
        <v>6.0468839649850583E-3</v>
      </c>
      <c r="F152" s="300">
        <f t="shared" si="73"/>
        <v>1.0376575741341595E-2</v>
      </c>
      <c r="G152" s="300">
        <f t="shared" si="73"/>
        <v>1.5660332446949209E-2</v>
      </c>
      <c r="H152" s="300">
        <f t="shared" si="73"/>
        <v>2.1949632748058605E-2</v>
      </c>
      <c r="I152" s="300">
        <f t="shared" si="73"/>
        <v>2.9356493653727514E-2</v>
      </c>
      <c r="J152" s="300">
        <f t="shared" si="73"/>
        <v>3.7964544433566595E-2</v>
      </c>
      <c r="K152" s="300">
        <f t="shared" si="73"/>
        <v>4.785928015810452E-2</v>
      </c>
      <c r="L152" s="300">
        <f t="shared" si="73"/>
        <v>5.9127865111417086E-2</v>
      </c>
      <c r="M152" s="300">
        <f t="shared" si="73"/>
        <v>7.185892007392243E-2</v>
      </c>
      <c r="N152" s="300">
        <f t="shared" si="73"/>
        <v>9.2641337982030836E-2</v>
      </c>
      <c r="O152" s="300">
        <f t="shared" si="73"/>
        <v>0.11620229758950823</v>
      </c>
      <c r="P152" s="300">
        <f t="shared" si="73"/>
        <v>0.14210187840125849</v>
      </c>
      <c r="Q152" s="300">
        <f t="shared" si="73"/>
        <v>0.17066850083029517</v>
      </c>
      <c r="R152" s="300">
        <f t="shared" si="73"/>
        <v>0.20187522073725611</v>
      </c>
      <c r="S152" s="300">
        <f t="shared" si="73"/>
        <v>0.23609644597987517</v>
      </c>
      <c r="T152" s="300">
        <f t="shared" si="73"/>
        <v>0.27344451574351714</v>
      </c>
      <c r="U152" s="300">
        <f t="shared" si="73"/>
        <v>0.31403170587724094</v>
      </c>
      <c r="V152" s="300">
        <f t="shared" si="73"/>
        <v>0.3579700833435856</v>
      </c>
      <c r="W152" s="300">
        <f t="shared" si="73"/>
        <v>0.4053713572497693</v>
      </c>
      <c r="X152" s="300">
        <f t="shared" si="73"/>
        <v>0.47390832821876483</v>
      </c>
      <c r="Y152" s="300">
        <f t="shared" si="73"/>
        <v>0.54820194486309615</v>
      </c>
      <c r="Z152" s="300">
        <f t="shared" si="73"/>
        <v>0.62301554054085484</v>
      </c>
      <c r="AA152" s="300">
        <f t="shared" si="73"/>
        <v>0.70232527420631297</v>
      </c>
      <c r="AB152" s="300">
        <f t="shared" si="73"/>
        <v>0.78609256019288121</v>
      </c>
      <c r="AC152" s="300">
        <f t="shared" si="73"/>
        <v>0.87426987319289751</v>
      </c>
      <c r="AD152" s="300">
        <f t="shared" si="73"/>
        <v>0.96678596513192749</v>
      </c>
      <c r="AE152" s="300">
        <f t="shared" si="73"/>
        <v>1.0635509524391393</v>
      </c>
      <c r="AF152" s="300">
        <f t="shared" si="73"/>
        <v>1.1644554790487864</v>
      </c>
      <c r="AG152" s="300">
        <f t="shared" si="73"/>
        <v>1.2693698734235939</v>
      </c>
      <c r="AH152" s="245"/>
      <c r="AI152" s="423"/>
      <c r="AJ152" s="424"/>
      <c r="AL152" s="221"/>
      <c r="AM152" s="124"/>
      <c r="AN152" s="124"/>
      <c r="AO152" s="124"/>
      <c r="BD152" s="124"/>
      <c r="BE152" s="124"/>
      <c r="BF152" s="124"/>
      <c r="BG152" s="124"/>
      <c r="BH152" s="124"/>
      <c r="BI152" s="124"/>
      <c r="BJ152" s="124"/>
      <c r="BK152" s="124"/>
    </row>
    <row r="153" spans="1:63" outlineLevel="1" x14ac:dyDescent="0.2">
      <c r="A153" s="4" t="s">
        <v>474</v>
      </c>
      <c r="C153" s="230">
        <f t="shared" ref="C153:AG153" si="74">C148-$C148</f>
        <v>0</v>
      </c>
      <c r="D153" s="230">
        <f t="shared" si="74"/>
        <v>0</v>
      </c>
      <c r="E153" s="230">
        <f t="shared" si="74"/>
        <v>0</v>
      </c>
      <c r="F153" s="230">
        <f t="shared" si="74"/>
        <v>0</v>
      </c>
      <c r="G153" s="230">
        <f t="shared" si="74"/>
        <v>0</v>
      </c>
      <c r="H153" s="230">
        <f t="shared" si="74"/>
        <v>0</v>
      </c>
      <c r="I153" s="230">
        <f t="shared" si="74"/>
        <v>0</v>
      </c>
      <c r="J153" s="230">
        <f t="shared" si="74"/>
        <v>0</v>
      </c>
      <c r="K153" s="230">
        <f t="shared" si="74"/>
        <v>0</v>
      </c>
      <c r="L153" s="230">
        <f t="shared" si="74"/>
        <v>0</v>
      </c>
      <c r="M153" s="230">
        <f t="shared" si="74"/>
        <v>0</v>
      </c>
      <c r="N153" s="230">
        <f t="shared" si="74"/>
        <v>0</v>
      </c>
      <c r="O153" s="230">
        <f t="shared" si="74"/>
        <v>0</v>
      </c>
      <c r="P153" s="230">
        <f t="shared" si="74"/>
        <v>0</v>
      </c>
      <c r="Q153" s="230">
        <f t="shared" si="74"/>
        <v>0</v>
      </c>
      <c r="R153" s="230">
        <f t="shared" si="74"/>
        <v>0</v>
      </c>
      <c r="S153" s="230">
        <f t="shared" si="74"/>
        <v>0</v>
      </c>
      <c r="T153" s="230">
        <f t="shared" si="74"/>
        <v>0</v>
      </c>
      <c r="U153" s="230">
        <f t="shared" si="74"/>
        <v>0</v>
      </c>
      <c r="V153" s="230">
        <f t="shared" si="74"/>
        <v>0</v>
      </c>
      <c r="W153" s="230">
        <f t="shared" si="74"/>
        <v>0</v>
      </c>
      <c r="X153" s="230">
        <f t="shared" si="74"/>
        <v>0</v>
      </c>
      <c r="Y153" s="230">
        <f t="shared" si="74"/>
        <v>0</v>
      </c>
      <c r="Z153" s="230">
        <f t="shared" si="74"/>
        <v>0</v>
      </c>
      <c r="AA153" s="230">
        <f t="shared" si="74"/>
        <v>0</v>
      </c>
      <c r="AB153" s="230">
        <f t="shared" si="74"/>
        <v>0</v>
      </c>
      <c r="AC153" s="230">
        <f t="shared" si="74"/>
        <v>0</v>
      </c>
      <c r="AD153" s="230">
        <f t="shared" si="74"/>
        <v>0</v>
      </c>
      <c r="AE153" s="230">
        <f t="shared" si="74"/>
        <v>0</v>
      </c>
      <c r="AF153" s="230">
        <f t="shared" si="74"/>
        <v>0</v>
      </c>
      <c r="AG153" s="230">
        <f t="shared" si="74"/>
        <v>0</v>
      </c>
      <c r="AH153" s="245"/>
      <c r="AI153" s="133"/>
      <c r="AJ153" s="211"/>
      <c r="AL153" s="108"/>
      <c r="AM153" s="2"/>
      <c r="AN153" s="2"/>
      <c r="AO153" s="2"/>
      <c r="BC153" s="1"/>
      <c r="BD153" s="2"/>
      <c r="BE153" s="2"/>
      <c r="BF153" s="2"/>
      <c r="BG153" s="2"/>
      <c r="BH153" s="2"/>
      <c r="BI153" s="2"/>
      <c r="BJ153" s="2"/>
      <c r="BK153" s="2"/>
    </row>
    <row r="154" spans="1:63" outlineLevel="1" x14ac:dyDescent="0.2">
      <c r="A154" s="4" t="s">
        <v>478</v>
      </c>
      <c r="C154" s="230">
        <f t="shared" ref="C154:AG156" si="75">C149-$C149</f>
        <v>0</v>
      </c>
      <c r="D154" s="230">
        <f t="shared" si="75"/>
        <v>1.4289211400715859E-3</v>
      </c>
      <c r="E154" s="230">
        <f t="shared" si="75"/>
        <v>3.2129623276318975E-3</v>
      </c>
      <c r="F154" s="230">
        <f t="shared" si="75"/>
        <v>5.3394121026372476E-3</v>
      </c>
      <c r="G154" s="230">
        <f t="shared" si="75"/>
        <v>7.7863228851259465E-3</v>
      </c>
      <c r="H154" s="230">
        <f t="shared" si="75"/>
        <v>1.0522430605312785E-2</v>
      </c>
      <c r="I154" s="230">
        <f t="shared" si="75"/>
        <v>1.3541220922131265E-2</v>
      </c>
      <c r="J154" s="230">
        <f t="shared" si="75"/>
        <v>1.6814327863116898E-2</v>
      </c>
      <c r="K154" s="230">
        <f t="shared" si="75"/>
        <v>2.0307560871137734E-2</v>
      </c>
      <c r="L154" s="230">
        <f t="shared" si="75"/>
        <v>2.3980637712162366E-2</v>
      </c>
      <c r="M154" s="230">
        <f t="shared" si="75"/>
        <v>2.7786934390750355E-2</v>
      </c>
      <c r="N154" s="230">
        <f t="shared" si="75"/>
        <v>3.4124039036573177E-2</v>
      </c>
      <c r="O154" s="230">
        <f t="shared" si="75"/>
        <v>4.0628832067192221E-2</v>
      </c>
      <c r="P154" s="230">
        <f t="shared" si="75"/>
        <v>4.6987442405215678E-2</v>
      </c>
      <c r="Q154" s="230">
        <f t="shared" si="75"/>
        <v>5.3164916186430065E-2</v>
      </c>
      <c r="R154" s="230">
        <f t="shared" si="75"/>
        <v>5.8994430921904435E-2</v>
      </c>
      <c r="S154" s="230">
        <f t="shared" si="75"/>
        <v>6.4422823907010554E-2</v>
      </c>
      <c r="T154" s="230">
        <f t="shared" si="75"/>
        <v>6.9299590736001809E-2</v>
      </c>
      <c r="U154" s="230">
        <f t="shared" si="75"/>
        <v>7.3465293387707686E-2</v>
      </c>
      <c r="V154" s="230">
        <f t="shared" si="75"/>
        <v>7.6751534734204346E-2</v>
      </c>
      <c r="W154" s="230">
        <f t="shared" si="75"/>
        <v>7.8980949703684383E-2</v>
      </c>
      <c r="X154" s="230">
        <f t="shared" si="75"/>
        <v>8.3104171443833433E-2</v>
      </c>
      <c r="Y154" s="230">
        <f t="shared" si="75"/>
        <v>8.5420873955037488E-2</v>
      </c>
      <c r="Z154" s="230">
        <f t="shared" si="75"/>
        <v>8.4860758236148845E-2</v>
      </c>
      <c r="AA154" s="230">
        <f t="shared" si="75"/>
        <v>8.1866360494998888E-2</v>
      </c>
      <c r="AB154" s="230">
        <f t="shared" si="75"/>
        <v>7.616614264021572E-2</v>
      </c>
      <c r="AC154" s="230">
        <f t="shared" si="75"/>
        <v>6.7490920158025713E-2</v>
      </c>
      <c r="AD154" s="230">
        <f t="shared" si="75"/>
        <v>5.5573869035562579E-2</v>
      </c>
      <c r="AE154" s="230">
        <f t="shared" si="75"/>
        <v>4.0153081866012352E-2</v>
      </c>
      <c r="AF154" s="230">
        <f t="shared" si="75"/>
        <v>2.0973400560498998E-2</v>
      </c>
      <c r="AG154" s="230">
        <f t="shared" si="75"/>
        <v>-2.211651266923706E-3</v>
      </c>
      <c r="AH154" s="245"/>
      <c r="AI154" s="133"/>
      <c r="AJ154" s="211"/>
      <c r="AL154" s="108"/>
      <c r="AM154" s="2"/>
      <c r="AN154" s="2"/>
      <c r="AO154" s="2"/>
      <c r="BC154" s="1"/>
      <c r="BD154" s="2"/>
      <c r="BE154" s="2"/>
      <c r="BF154" s="2"/>
      <c r="BG154" s="2"/>
      <c r="BH154" s="2"/>
      <c r="BI154" s="2"/>
      <c r="BJ154" s="2"/>
      <c r="BK154" s="2"/>
    </row>
    <row r="155" spans="1:63" outlineLevel="1" x14ac:dyDescent="0.2">
      <c r="A155" s="4" t="s">
        <v>745</v>
      </c>
      <c r="C155" s="230">
        <f t="shared" si="75"/>
        <v>0</v>
      </c>
      <c r="D155" s="230">
        <f t="shared" si="75"/>
        <v>1.0818639405176825E-4</v>
      </c>
      <c r="E155" s="230">
        <f t="shared" si="75"/>
        <v>3.3391947024896169E-4</v>
      </c>
      <c r="F155" s="230">
        <f t="shared" si="75"/>
        <v>7.2304707888320302E-4</v>
      </c>
      <c r="G155" s="230">
        <f t="shared" si="75"/>
        <v>1.3255607112089395E-3</v>
      </c>
      <c r="H155" s="230">
        <f t="shared" si="75"/>
        <v>2.1948184578575304E-3</v>
      </c>
      <c r="I155" s="230">
        <f t="shared" si="75"/>
        <v>3.3939131803634344E-3</v>
      </c>
      <c r="J155" s="230">
        <f t="shared" si="75"/>
        <v>4.9902027410750026E-3</v>
      </c>
      <c r="K155" s="230">
        <f t="shared" si="75"/>
        <v>7.0570219571416204E-3</v>
      </c>
      <c r="L155" s="230">
        <f t="shared" si="75"/>
        <v>9.6738119035230299E-3</v>
      </c>
      <c r="M155" s="230">
        <f t="shared" si="75"/>
        <v>1.2926226282287808E-2</v>
      </c>
      <c r="N155" s="230">
        <f t="shared" si="75"/>
        <v>1.8128984177014397E-2</v>
      </c>
      <c r="O155" s="230">
        <f t="shared" si="75"/>
        <v>2.4612972888726884E-2</v>
      </c>
      <c r="P155" s="230">
        <f t="shared" si="75"/>
        <v>3.2422948296953108E-2</v>
      </c>
      <c r="Q155" s="230">
        <f t="shared" si="75"/>
        <v>4.1757554411462533E-2</v>
      </c>
      <c r="R155" s="230">
        <f t="shared" si="75"/>
        <v>5.2746731279493336E-2</v>
      </c>
      <c r="S155" s="230">
        <f t="shared" si="75"/>
        <v>6.5628412457556559E-2</v>
      </c>
      <c r="T155" s="230">
        <f t="shared" si="75"/>
        <v>8.0589945185034872E-2</v>
      </c>
      <c r="U155" s="230">
        <f t="shared" si="75"/>
        <v>9.7826343093714629E-2</v>
      </c>
      <c r="V155" s="230">
        <f t="shared" si="75"/>
        <v>0.11754023349029112</v>
      </c>
      <c r="W155" s="230">
        <f t="shared" si="75"/>
        <v>0.13994178853230049</v>
      </c>
      <c r="X155" s="230">
        <f t="shared" si="75"/>
        <v>0.17155656373990363</v>
      </c>
      <c r="Y155" s="230">
        <f t="shared" si="75"/>
        <v>0.20768206374745352</v>
      </c>
      <c r="Z155" s="230">
        <f t="shared" si="75"/>
        <v>0.24655358911691028</v>
      </c>
      <c r="AA155" s="230">
        <f t="shared" si="75"/>
        <v>0.28983003873622887</v>
      </c>
      <c r="AB155" s="230">
        <f t="shared" si="75"/>
        <v>0.33772562183811894</v>
      </c>
      <c r="AC155" s="230">
        <f t="shared" si="75"/>
        <v>0.3904479322029179</v>
      </c>
      <c r="AD155" s="230">
        <f t="shared" si="75"/>
        <v>0.44819035658151907</v>
      </c>
      <c r="AE155" s="230">
        <f t="shared" si="75"/>
        <v>0.51113248228419417</v>
      </c>
      <c r="AF155" s="230">
        <f t="shared" si="75"/>
        <v>0.57943808828360777</v>
      </c>
      <c r="AG155" s="230">
        <f t="shared" si="75"/>
        <v>0.65325304735312206</v>
      </c>
      <c r="AH155" s="245"/>
      <c r="AI155" s="133"/>
      <c r="AJ155" s="211"/>
      <c r="AL155" s="108"/>
      <c r="AM155" s="2"/>
      <c r="AN155" s="2"/>
      <c r="AO155" s="2"/>
      <c r="BC155" s="1"/>
      <c r="BD155" s="2"/>
      <c r="BE155" s="2"/>
      <c r="BF155" s="2"/>
      <c r="BG155" s="2"/>
      <c r="BH155" s="2"/>
      <c r="BI155" s="2"/>
      <c r="BJ155" s="2"/>
      <c r="BK155" s="2"/>
    </row>
    <row r="156" spans="1:63" outlineLevel="1" x14ac:dyDescent="0.2">
      <c r="A156" s="4" t="s">
        <v>1561</v>
      </c>
      <c r="C156" s="230">
        <f t="shared" si="75"/>
        <v>0</v>
      </c>
      <c r="D156" s="230">
        <f t="shared" si="75"/>
        <v>1.0735849488334708E-3</v>
      </c>
      <c r="E156" s="230">
        <f t="shared" si="75"/>
        <v>2.5000021671041997E-3</v>
      </c>
      <c r="F156" s="230">
        <f t="shared" si="75"/>
        <v>4.314116559821145E-3</v>
      </c>
      <c r="G156" s="230">
        <f t="shared" si="75"/>
        <v>6.548448850614323E-3</v>
      </c>
      <c r="H156" s="230">
        <f t="shared" si="75"/>
        <v>9.2323836848882887E-3</v>
      </c>
      <c r="I156" s="230">
        <f t="shared" si="75"/>
        <v>1.2421359551232816E-2</v>
      </c>
      <c r="J156" s="230">
        <f t="shared" si="75"/>
        <v>1.6160013829374691E-2</v>
      </c>
      <c r="K156" s="230">
        <f t="shared" si="75"/>
        <v>2.0494697329825166E-2</v>
      </c>
      <c r="L156" s="230">
        <f t="shared" si="75"/>
        <v>2.5473415495731684E-2</v>
      </c>
      <c r="M156" s="230">
        <f t="shared" si="75"/>
        <v>3.1145759400884265E-2</v>
      </c>
      <c r="N156" s="230">
        <f t="shared" si="75"/>
        <v>4.0388314768443262E-2</v>
      </c>
      <c r="O156" s="230">
        <f t="shared" si="75"/>
        <v>5.0960492633589122E-2</v>
      </c>
      <c r="P156" s="230">
        <f t="shared" si="75"/>
        <v>6.2691487699089707E-2</v>
      </c>
      <c r="Q156" s="230">
        <f t="shared" si="75"/>
        <v>7.5746030232402548E-2</v>
      </c>
      <c r="R156" s="230">
        <f t="shared" si="75"/>
        <v>9.0134058535858347E-2</v>
      </c>
      <c r="S156" s="230">
        <f t="shared" si="75"/>
        <v>0.10604520961530807</v>
      </c>
      <c r="T156" s="230">
        <f t="shared" si="75"/>
        <v>0.12355497982248045</v>
      </c>
      <c r="U156" s="230">
        <f t="shared" si="75"/>
        <v>0.14274006939581863</v>
      </c>
      <c r="V156" s="230">
        <f t="shared" si="75"/>
        <v>0.16367831511909015</v>
      </c>
      <c r="W156" s="230">
        <f t="shared" si="75"/>
        <v>0.18644861901378443</v>
      </c>
      <c r="X156" s="230">
        <f t="shared" si="75"/>
        <v>0.21924759303502778</v>
      </c>
      <c r="Y156" s="230">
        <f t="shared" si="75"/>
        <v>0.25509900716060513</v>
      </c>
      <c r="Z156" s="230">
        <f t="shared" si="75"/>
        <v>0.2916011931877957</v>
      </c>
      <c r="AA156" s="230">
        <f t="shared" si="75"/>
        <v>0.3306288749750852</v>
      </c>
      <c r="AB156" s="230">
        <f t="shared" si="75"/>
        <v>0.37220079571454656</v>
      </c>
      <c r="AC156" s="230">
        <f t="shared" si="75"/>
        <v>0.41633102083195395</v>
      </c>
      <c r="AD156" s="230">
        <f t="shared" si="75"/>
        <v>0.46302173951484588</v>
      </c>
      <c r="AE156" s="230">
        <f t="shared" si="75"/>
        <v>0.51226538828893275</v>
      </c>
      <c r="AF156" s="230">
        <f t="shared" si="75"/>
        <v>0.56404399020467977</v>
      </c>
      <c r="AG156" s="230">
        <f t="shared" si="75"/>
        <v>0.61832847733739538</v>
      </c>
      <c r="AH156" s="245"/>
      <c r="AI156" s="133"/>
      <c r="AJ156" s="211"/>
      <c r="AL156" s="108"/>
      <c r="AM156" s="2"/>
      <c r="AN156" s="2"/>
      <c r="AO156" s="2"/>
      <c r="BC156" s="1"/>
      <c r="BD156" s="2"/>
      <c r="BE156" s="2"/>
      <c r="BF156" s="2"/>
      <c r="BG156" s="2"/>
      <c r="BH156" s="2"/>
      <c r="BI156" s="2"/>
      <c r="BJ156" s="2"/>
      <c r="BK156" s="2"/>
    </row>
    <row r="157" spans="1:63" s="1" customFormat="1" outlineLevel="1" x14ac:dyDescent="0.2">
      <c r="A157" s="1" t="s">
        <v>1569</v>
      </c>
      <c r="B157" s="65"/>
      <c r="C157" s="300">
        <f>'BTX Recycling HC'!C157</f>
        <v>2.2212350890803759E-2</v>
      </c>
      <c r="D157" s="300">
        <f>'BTX Recycling HC'!D157</f>
        <v>2.8336593292007922E-2</v>
      </c>
      <c r="E157" s="300">
        <f>'BTX Recycling HC'!E157</f>
        <v>3.4579489962794405E-2</v>
      </c>
      <c r="F157" s="300">
        <f>'BTX Recycling HC'!F157</f>
        <v>4.0878778148040307E-2</v>
      </c>
      <c r="G157" s="300">
        <f>'BTX Recycling HC'!G157</f>
        <v>4.7168764067694408E-2</v>
      </c>
      <c r="H157" s="300">
        <f>'BTX Recycling HC'!H157</f>
        <v>5.338127120841539E-2</v>
      </c>
      <c r="I157" s="300">
        <f>'BTX Recycling HC'!I157</f>
        <v>5.9574924674500464E-2</v>
      </c>
      <c r="J157" s="300">
        <f>'BTX Recycling HC'!J157</f>
        <v>6.5718346986625556E-2</v>
      </c>
      <c r="K157" s="300">
        <f>'BTX Recycling HC'!K157</f>
        <v>7.1778483395141854E-2</v>
      </c>
      <c r="L157" s="300">
        <f>'BTX Recycling HC'!L157</f>
        <v>7.772064539276817E-2</v>
      </c>
      <c r="M157" s="300">
        <f>'BTX Recycling HC'!M157</f>
        <v>8.3508562824550187E-2</v>
      </c>
      <c r="N157" s="300">
        <f>'BTX Recycling HC'!N157</f>
        <v>9.5549078394164877E-2</v>
      </c>
      <c r="O157" s="300">
        <f>'BTX Recycling HC'!O157</f>
        <v>0.10709086039245549</v>
      </c>
      <c r="P157" s="300">
        <f>'BTX Recycling HC'!P157</f>
        <v>0.11760532451376221</v>
      </c>
      <c r="Q157" s="300">
        <f>'BTX Recycling HC'!Q157</f>
        <v>0.12729954676837071</v>
      </c>
      <c r="R157" s="300">
        <f>'BTX Recycling HC'!R157</f>
        <v>0.13606297543552828</v>
      </c>
      <c r="S157" s="300">
        <f>'BTX Recycling HC'!S157</f>
        <v>0.14405191837478348</v>
      </c>
      <c r="T157" s="300">
        <f>'BTX Recycling HC'!T157</f>
        <v>0.15121065648235249</v>
      </c>
      <c r="U157" s="300">
        <f>'BTX Recycling HC'!U157</f>
        <v>0.15748293352478115</v>
      </c>
      <c r="V157" s="300">
        <f>'BTX Recycling HC'!V157</f>
        <v>0.16281201824601657</v>
      </c>
      <c r="W157" s="300">
        <f>'BTX Recycling HC'!W157</f>
        <v>0.16714076856949472</v>
      </c>
      <c r="X157" s="300">
        <f>'BTX Recycling HC'!X157</f>
        <v>0.17691670755119571</v>
      </c>
      <c r="Y157" s="300">
        <f>'BTX Recycling HC'!Y157</f>
        <v>0.18503723006571357</v>
      </c>
      <c r="Z157" s="300">
        <f>'BTX Recycling HC'!Z157</f>
        <v>0.18976431814304362</v>
      </c>
      <c r="AA157" s="300">
        <f>'BTX Recycling HC'!AA157</f>
        <v>0.19252497571337823</v>
      </c>
      <c r="AB157" s="300">
        <f>'BTX Recycling HC'!AB157</f>
        <v>0.19327041885807583</v>
      </c>
      <c r="AC157" s="300">
        <f>'BTX Recycling HC'!AC157</f>
        <v>0.19195929755496044</v>
      </c>
      <c r="AD157" s="300">
        <f>'BTX Recycling HC'!AD157</f>
        <v>0.18855436441558579</v>
      </c>
      <c r="AE157" s="300">
        <f>'BTX Recycling HC'!AE157</f>
        <v>0.18302466090729161</v>
      </c>
      <c r="AF157" s="300">
        <f>'BTX Recycling HC'!AF157</f>
        <v>0.17534591773811825</v>
      </c>
      <c r="AG157" s="300">
        <f>'BTX Recycling HC'!AG157</f>
        <v>0.1655009607383455</v>
      </c>
      <c r="AH157" s="245"/>
      <c r="AI157" s="423"/>
      <c r="AJ157" s="424"/>
      <c r="AL157" s="221"/>
      <c r="AM157" s="124"/>
      <c r="AN157" s="124"/>
      <c r="AO157" s="124"/>
      <c r="BD157" s="124"/>
      <c r="BE157" s="124"/>
      <c r="BF157" s="124"/>
      <c r="BG157" s="124"/>
      <c r="BH157" s="124"/>
      <c r="BI157" s="124"/>
      <c r="BJ157" s="124"/>
      <c r="BK157" s="124"/>
    </row>
    <row r="158" spans="1:63" outlineLevel="1" x14ac:dyDescent="0.2">
      <c r="A158" s="4" t="s">
        <v>474</v>
      </c>
      <c r="C158" s="230">
        <f>C$157*'BTX recycling rates'!E62</f>
        <v>0</v>
      </c>
      <c r="D158" s="230">
        <f>D$157*'BTX recycling rates'!F62</f>
        <v>0</v>
      </c>
      <c r="E158" s="230">
        <f>E$157*'BTX recycling rates'!G62</f>
        <v>0</v>
      </c>
      <c r="F158" s="230">
        <f>F$157*'BTX recycling rates'!H62</f>
        <v>0</v>
      </c>
      <c r="G158" s="230">
        <f>G$157*'BTX recycling rates'!I62</f>
        <v>0</v>
      </c>
      <c r="H158" s="230">
        <f>H$157*'BTX recycling rates'!J62</f>
        <v>0</v>
      </c>
      <c r="I158" s="230">
        <f>I$157*'BTX recycling rates'!K62</f>
        <v>0</v>
      </c>
      <c r="J158" s="230">
        <f>J$157*'BTX recycling rates'!L62</f>
        <v>0</v>
      </c>
      <c r="K158" s="230">
        <f>K$157*'BTX recycling rates'!M62</f>
        <v>0</v>
      </c>
      <c r="L158" s="230">
        <f>L$157*'BTX recycling rates'!N62</f>
        <v>0</v>
      </c>
      <c r="M158" s="230">
        <f>M$157*'BTX recycling rates'!O62</f>
        <v>0</v>
      </c>
      <c r="N158" s="230">
        <f>N$157*'BTX recycling rates'!P62</f>
        <v>0</v>
      </c>
      <c r="O158" s="230">
        <f>O$157*'BTX recycling rates'!Q62</f>
        <v>0</v>
      </c>
      <c r="P158" s="230">
        <f>P$157*'BTX recycling rates'!R62</f>
        <v>0</v>
      </c>
      <c r="Q158" s="230">
        <f>Q$157*'BTX recycling rates'!S62</f>
        <v>0</v>
      </c>
      <c r="R158" s="230">
        <f>R$157*'BTX recycling rates'!T62</f>
        <v>0</v>
      </c>
      <c r="S158" s="230">
        <f>S$157*'BTX recycling rates'!U62</f>
        <v>0</v>
      </c>
      <c r="T158" s="230">
        <f>T$157*'BTX recycling rates'!V62</f>
        <v>0</v>
      </c>
      <c r="U158" s="230">
        <f>U$157*'BTX recycling rates'!W62</f>
        <v>0</v>
      </c>
      <c r="V158" s="230">
        <f>V$157*'BTX recycling rates'!X62</f>
        <v>0</v>
      </c>
      <c r="W158" s="230">
        <f>W$157*'BTX recycling rates'!Y62</f>
        <v>0</v>
      </c>
      <c r="X158" s="230">
        <f>X$157*'BTX recycling rates'!Z62</f>
        <v>0</v>
      </c>
      <c r="Y158" s="230">
        <f>Y$157*'BTX recycling rates'!AA62</f>
        <v>0</v>
      </c>
      <c r="Z158" s="230">
        <f>Z$157*'BTX recycling rates'!AB62</f>
        <v>0</v>
      </c>
      <c r="AA158" s="230">
        <f>AA$157*'BTX recycling rates'!AC62</f>
        <v>0</v>
      </c>
      <c r="AB158" s="230">
        <f>AB$157*'BTX recycling rates'!AD62</f>
        <v>0</v>
      </c>
      <c r="AC158" s="230">
        <f>AC$157*'BTX recycling rates'!AE62</f>
        <v>0</v>
      </c>
      <c r="AD158" s="230">
        <f>AD$157*'BTX recycling rates'!AF62</f>
        <v>0</v>
      </c>
      <c r="AE158" s="230">
        <f>AE$157*'BTX recycling rates'!AG62</f>
        <v>0</v>
      </c>
      <c r="AF158" s="230">
        <f>AF$157*'BTX recycling rates'!AH62</f>
        <v>0</v>
      </c>
      <c r="AG158" s="230">
        <f>AG$157*'BTX recycling rates'!AI62</f>
        <v>0</v>
      </c>
      <c r="AH158" s="245"/>
      <c r="AI158" s="133"/>
      <c r="AJ158" s="211"/>
      <c r="AL158" s="108"/>
      <c r="AM158" s="2"/>
      <c r="AN158" s="2"/>
      <c r="AO158" s="2"/>
      <c r="BC158" s="1"/>
      <c r="BD158" s="2"/>
      <c r="BE158" s="2"/>
      <c r="BF158" s="2"/>
      <c r="BG158" s="2"/>
      <c r="BH158" s="2"/>
      <c r="BI158" s="2"/>
      <c r="BJ158" s="2"/>
      <c r="BK158" s="2"/>
    </row>
    <row r="159" spans="1:63" outlineLevel="1" x14ac:dyDescent="0.2">
      <c r="A159" s="4" t="s">
        <v>478</v>
      </c>
      <c r="C159" s="230">
        <f>C$157*'BTX recycling rates'!E63</f>
        <v>1.3225674576203765E-2</v>
      </c>
      <c r="D159" s="230">
        <f>D$157*'BTX recycling rates'!F63</f>
        <v>1.630976438333891E-2</v>
      </c>
      <c r="E159" s="230">
        <f>E$157*'BTX recycling rates'!G63</f>
        <v>1.9216693658713226E-2</v>
      </c>
      <c r="F159" s="230">
        <f>F$157*'BTX recycling rates'!H63</f>
        <v>2.1906032259484193E-2</v>
      </c>
      <c r="G159" s="230">
        <f>G$157*'BTX recycling rates'!I63</f>
        <v>2.4340522526535433E-2</v>
      </c>
      <c r="H159" s="230">
        <f>H$157*'BTX recycling rates'!J63</f>
        <v>2.6486890294251907E-2</v>
      </c>
      <c r="I159" s="230">
        <f>I$157*'BTX recycling rates'!K63</f>
        <v>2.8377674043426171E-2</v>
      </c>
      <c r="J159" s="230">
        <f>J$157*'BTX recycling rates'!L63</f>
        <v>2.9999672899238227E-2</v>
      </c>
      <c r="K159" s="230">
        <f>K$157*'BTX recycling rates'!M63</f>
        <v>3.1341444658031396E-2</v>
      </c>
      <c r="L159" s="230">
        <f>L$157*'BTX recycling rates'!N63</f>
        <v>3.2393490369810235E-2</v>
      </c>
      <c r="M159" s="230">
        <f>M$157*'BTX recycling rates'!O63</f>
        <v>3.3148437151729833E-2</v>
      </c>
      <c r="N159" s="230">
        <f>N$157*'BTX recycling rates'!P63</f>
        <v>3.6031484524211781E-2</v>
      </c>
      <c r="O159" s="230">
        <f>O$157*'BTX recycling rates'!Q63</f>
        <v>3.8258414247075691E-2</v>
      </c>
      <c r="P159" s="230">
        <f>P$157*'BTX recycling rates'!R63</f>
        <v>3.9680575141284639E-2</v>
      </c>
      <c r="Q159" s="230">
        <f>Q$157*'BTX recycling rates'!S63</f>
        <v>4.0424894240948236E-2</v>
      </c>
      <c r="R159" s="230">
        <f>R$157*'BTX recycling rates'!T63</f>
        <v>4.0507298030424424E-2</v>
      </c>
      <c r="S159" s="230">
        <f>S$157*'BTX recycling rates'!U63</f>
        <v>4.0026639914825309E-2</v>
      </c>
      <c r="T159" s="230">
        <f>T$157*'BTX recycling rates'!V63</f>
        <v>3.9014657932087866E-2</v>
      </c>
      <c r="U159" s="230">
        <f>U$157*'BTX recycling rates'!W63</f>
        <v>3.750738569445166E-2</v>
      </c>
      <c r="V159" s="230">
        <f>V$157*'BTX recycling rates'!X63</f>
        <v>3.5545219250657019E-2</v>
      </c>
      <c r="W159" s="230">
        <f>W$157*'BTX recycling rates'!Y63</f>
        <v>3.3172976967991284E-2</v>
      </c>
      <c r="X159" s="230">
        <f>X$157*'BTX recycling rates'!Z63</f>
        <v>3.1601915699984537E-2</v>
      </c>
      <c r="Y159" s="230">
        <f>Y$157*'BTX recycling rates'!AA63</f>
        <v>2.9379957140204856E-2</v>
      </c>
      <c r="Z159" s="230">
        <f>Z$157*'BTX recycling rates'!AB63</f>
        <v>2.6364202978651812E-2</v>
      </c>
      <c r="AA159" s="230">
        <f>AA$157*'BTX recycling rates'!AC63</f>
        <v>2.2926638329226673E-2</v>
      </c>
      <c r="AB159" s="230">
        <f>AB$157*'BTX recycling rates'!AD63</f>
        <v>1.9179507214923508E-2</v>
      </c>
      <c r="AC159" s="230">
        <f>AC$157*'BTX recycling rates'!AE63</f>
        <v>1.5239516752454827E-2</v>
      </c>
      <c r="AD159" s="230">
        <f>AD$157*'BTX recycling rates'!AF63</f>
        <v>1.1226901087340176E-2</v>
      </c>
      <c r="AE159" s="230">
        <f>AE$157*'BTX recycling rates'!AG63</f>
        <v>7.2651010436481723E-3</v>
      </c>
      <c r="AF159" s="230">
        <f>AF$157*'BTX recycling rates'!AH63</f>
        <v>3.4801479856419993E-3</v>
      </c>
      <c r="AG159" s="230">
        <f>AG$157*'BTX recycling rates'!AI63</f>
        <v>0</v>
      </c>
      <c r="AH159" s="245"/>
      <c r="AI159" s="133"/>
      <c r="AJ159" s="211"/>
      <c r="AL159" s="108"/>
      <c r="AM159" s="2"/>
      <c r="AN159" s="2"/>
      <c r="AO159" s="2"/>
      <c r="BC159" s="1"/>
      <c r="BD159" s="2"/>
      <c r="BE159" s="2"/>
      <c r="BF159" s="2"/>
      <c r="BG159" s="2"/>
      <c r="BH159" s="2"/>
      <c r="BI159" s="2"/>
      <c r="BJ159" s="2"/>
      <c r="BK159" s="2"/>
    </row>
    <row r="160" spans="1:63" outlineLevel="1" x14ac:dyDescent="0.2">
      <c r="A160" s="4" t="s">
        <v>745</v>
      </c>
      <c r="C160" s="230">
        <f>C$157*'BTX recycling rates'!E64</f>
        <v>0</v>
      </c>
      <c r="D160" s="230">
        <f>D$157*'BTX recycling rates'!F64</f>
        <v>4.8467504535192182E-4</v>
      </c>
      <c r="E160" s="230">
        <f>E$157*'BTX recycling rates'!G64</f>
        <v>1.1829097233569468E-3</v>
      </c>
      <c r="F160" s="230">
        <f>F$157*'BTX recycling rates'!H64</f>
        <v>2.0975976309495865E-3</v>
      </c>
      <c r="G160" s="230">
        <f>G$157*'BTX recycling rates'!I64</f>
        <v>3.2271378041977645E-3</v>
      </c>
      <c r="H160" s="230">
        <f>H$157*'BTX recycling rates'!J64</f>
        <v>4.5652223923436644E-3</v>
      </c>
      <c r="I160" s="230">
        <f>I$157*'BTX recycling rates'!K64</f>
        <v>6.1138921720547022E-3</v>
      </c>
      <c r="J160" s="230">
        <f>J$157*'BTX recycling rates'!L64</f>
        <v>7.8684229027014881E-3</v>
      </c>
      <c r="K160" s="230">
        <f>K$157*'BTX recycling rates'!M64</f>
        <v>9.8217140885865153E-3</v>
      </c>
      <c r="L160" s="230">
        <f>L$157*'BTX recycling rates'!N64</f>
        <v>1.1964152235276051E-2</v>
      </c>
      <c r="M160" s="230">
        <f>M$157*'BTX recycling rates'!O64</f>
        <v>1.4283480041928026E-2</v>
      </c>
      <c r="N160" s="230">
        <f>N$157*'BTX recycling rates'!P64</f>
        <v>1.7977206635067293E-2</v>
      </c>
      <c r="O160" s="230">
        <f>O$157*'BTX recycling rates'!Q64</f>
        <v>2.1980454918889131E-2</v>
      </c>
      <c r="P160" s="230">
        <f>P$157*'BTX recycling rates'!R64</f>
        <v>2.6150100340726241E-2</v>
      </c>
      <c r="Q160" s="230">
        <f>Q$157*'BTX recycling rates'!S64</f>
        <v>3.0483014720367636E-2</v>
      </c>
      <c r="R160" s="230">
        <f>R$157*'BTX recycling rates'!T64</f>
        <v>3.4908745792246482E-2</v>
      </c>
      <c r="S160" s="230">
        <f>S$157*'BTX recycling rates'!U64</f>
        <v>3.9422308448642578E-2</v>
      </c>
      <c r="T160" s="230">
        <f>T$157*'BTX recycling rates'!V64</f>
        <v>4.3967760258327201E-2</v>
      </c>
      <c r="U160" s="230">
        <f>U$157*'BTX recycling rates'!W64</f>
        <v>4.8485181295822292E-2</v>
      </c>
      <c r="V160" s="230">
        <f>V$157*'BTX recycling rates'!X64</f>
        <v>5.2910648389062356E-2</v>
      </c>
      <c r="W160" s="230">
        <f>W$157*'BTX recycling rates'!Y64</f>
        <v>5.7176216457482741E-2</v>
      </c>
      <c r="X160" s="230">
        <f>X$157*'BTX recycling rates'!Z64</f>
        <v>6.3546431281191654E-2</v>
      </c>
      <c r="Y160" s="230">
        <f>Y$157*'BTX recycling rates'!AA64</f>
        <v>6.9628144530067243E-2</v>
      </c>
      <c r="Z160" s="230">
        <f>Z$157*'BTX recycling rates'!AB64</f>
        <v>7.4652681666790982E-2</v>
      </c>
      <c r="AA160" s="230">
        <f>AA$157*'BTX recycling rates'!AC64</f>
        <v>7.9031703245635007E-2</v>
      </c>
      <c r="AB160" s="230">
        <f>AB$157*'BTX recycling rates'!AD64</f>
        <v>8.2643446285092556E-2</v>
      </c>
      <c r="AC160" s="230">
        <f>AC$157*'BTX recycling rates'!AE64</f>
        <v>8.5366116086183289E-2</v>
      </c>
      <c r="AD160" s="230">
        <f>AD$157*'BTX recycling rates'!AF64</f>
        <v>8.7076983564409294E-2</v>
      </c>
      <c r="AE160" s="230">
        <f>AE$157*'BTX recycling rates'!AG64</f>
        <v>8.7653783132140395E-2</v>
      </c>
      <c r="AF160" s="230">
        <f>AF$157*'BTX recycling rates'!AH64</f>
        <v>8.6975449127931051E-2</v>
      </c>
      <c r="AG160" s="230">
        <f>AG$157*'BTX recycling rates'!AI64</f>
        <v>8.4922896155905855E-2</v>
      </c>
      <c r="AH160" s="245"/>
      <c r="AI160" s="133"/>
      <c r="AJ160" s="211"/>
      <c r="AL160" s="108"/>
      <c r="AM160" s="2"/>
      <c r="AN160" s="2"/>
      <c r="AO160" s="2"/>
      <c r="BC160" s="1"/>
      <c r="BD160" s="2"/>
      <c r="BE160" s="2"/>
      <c r="BF160" s="2"/>
      <c r="BG160" s="2"/>
      <c r="BH160" s="2"/>
      <c r="BI160" s="2"/>
      <c r="BJ160" s="2"/>
      <c r="BK160" s="2"/>
    </row>
    <row r="161" spans="1:63" outlineLevel="1" x14ac:dyDescent="0.2">
      <c r="A161" s="4" t="s">
        <v>1561</v>
      </c>
      <c r="C161" s="230">
        <f>C$157*'BTX recycling rates'!E65</f>
        <v>8.9866763145999926E-3</v>
      </c>
      <c r="D161" s="230">
        <f>D$157*'BTX recycling rates'!F65</f>
        <v>1.1542153863317087E-2</v>
      </c>
      <c r="E161" s="230">
        <f>E$157*'BTX recycling rates'!G65</f>
        <v>1.417988658072423E-2</v>
      </c>
      <c r="F161" s="230">
        <f>F$157*'BTX recycling rates'!H65</f>
        <v>1.6875148257606526E-2</v>
      </c>
      <c r="G161" s="230">
        <f>G$157*'BTX recycling rates'!I65</f>
        <v>1.9601103736961209E-2</v>
      </c>
      <c r="H161" s="230">
        <f>H$157*'BTX recycling rates'!J65</f>
        <v>2.2329158521819815E-2</v>
      </c>
      <c r="I161" s="230">
        <f>I$157*'BTX recycling rates'!K65</f>
        <v>2.508335845901959E-2</v>
      </c>
      <c r="J161" s="230">
        <f>J$157*'BTX recycling rates'!L65</f>
        <v>2.7850251184685839E-2</v>
      </c>
      <c r="K161" s="230">
        <f>K$157*'BTX recycling rates'!M65</f>
        <v>3.0615324648523939E-2</v>
      </c>
      <c r="L161" s="230">
        <f>L$157*'BTX recycling rates'!N65</f>
        <v>3.3363002787681881E-2</v>
      </c>
      <c r="M161" s="230">
        <f>M$157*'BTX recycling rates'!O65</f>
        <v>3.6076645630892322E-2</v>
      </c>
      <c r="N161" s="230">
        <f>N$157*'BTX recycling rates'!P65</f>
        <v>4.1540387234885803E-2</v>
      </c>
      <c r="O161" s="230">
        <f>O$157*'BTX recycling rates'!Q65</f>
        <v>4.6851991226490669E-2</v>
      </c>
      <c r="P161" s="230">
        <f>P$157*'BTX recycling rates'!R65</f>
        <v>5.177464903175133E-2</v>
      </c>
      <c r="Q161" s="230">
        <f>Q$157*'BTX recycling rates'!S65</f>
        <v>5.6391637807054834E-2</v>
      </c>
      <c r="R161" s="230">
        <f>R$157*'BTX recycling rates'!T65</f>
        <v>6.064693161285737E-2</v>
      </c>
      <c r="S161" s="230">
        <f>S$157*'BTX recycling rates'!U65</f>
        <v>6.4602970011315597E-2</v>
      </c>
      <c r="T161" s="230">
        <f>T$157*'BTX recycling rates'!V65</f>
        <v>6.8228238291937429E-2</v>
      </c>
      <c r="U161" s="230">
        <f>U$157*'BTX recycling rates'!W65</f>
        <v>7.1490366534507202E-2</v>
      </c>
      <c r="V161" s="230">
        <f>V$157*'BTX recycling rates'!X65</f>
        <v>7.4356150606297203E-2</v>
      </c>
      <c r="W161" s="230">
        <f>W$157*'BTX recycling rates'!Y65</f>
        <v>7.6791575144020699E-2</v>
      </c>
      <c r="X161" s="230">
        <f>X$157*'BTX recycling rates'!Z65</f>
        <v>8.1768360570019516E-2</v>
      </c>
      <c r="Y161" s="230">
        <f>Y$157*'BTX recycling rates'!AA65</f>
        <v>8.6029128395441468E-2</v>
      </c>
      <c r="Z161" s="230">
        <f>Z$157*'BTX recycling rates'!AB65</f>
        <v>8.8747433497600822E-2</v>
      </c>
      <c r="AA161" s="230">
        <f>AA$157*'BTX recycling rates'!AC65</f>
        <v>9.0566634138516552E-2</v>
      </c>
      <c r="AB161" s="230">
        <f>AB$157*'BTX recycling rates'!AD65</f>
        <v>9.1447465358059782E-2</v>
      </c>
      <c r="AC161" s="230">
        <f>AC$157*'BTX recycling rates'!AE65</f>
        <v>9.1353664716322336E-2</v>
      </c>
      <c r="AD161" s="230">
        <f>AD$157*'BTX recycling rates'!AF65</f>
        <v>9.0250479763836336E-2</v>
      </c>
      <c r="AE161" s="230">
        <f>AE$157*'BTX recycling rates'!AG65</f>
        <v>8.8105776731503049E-2</v>
      </c>
      <c r="AF161" s="230">
        <f>AF$157*'BTX recycling rates'!AH65</f>
        <v>8.4890320624545212E-2</v>
      </c>
      <c r="AG161" s="230">
        <f>AG$157*'BTX recycling rates'!AI65</f>
        <v>8.0578064582439629E-2</v>
      </c>
      <c r="AH161" s="245"/>
      <c r="AI161" s="133"/>
      <c r="AJ161" s="211"/>
      <c r="AL161" s="108"/>
      <c r="AM161" s="2"/>
      <c r="AN161" s="2"/>
      <c r="AO161" s="2"/>
      <c r="BC161" s="1"/>
      <c r="BD161" s="2"/>
      <c r="BE161" s="2"/>
      <c r="BF161" s="2"/>
      <c r="BG161" s="2"/>
      <c r="BH161" s="2"/>
      <c r="BI161" s="2"/>
      <c r="BJ161" s="2"/>
      <c r="BK161" s="2"/>
    </row>
    <row r="162" spans="1:63" s="1" customFormat="1" outlineLevel="1" x14ac:dyDescent="0.2">
      <c r="A162" s="1" t="s">
        <v>1570</v>
      </c>
      <c r="B162" s="65"/>
      <c r="C162" s="300">
        <f t="shared" ref="C162:AG162" si="76">C157-$C157</f>
        <v>0</v>
      </c>
      <c r="D162" s="300">
        <f t="shared" si="76"/>
        <v>6.1242424012041621E-3</v>
      </c>
      <c r="E162" s="300">
        <f t="shared" si="76"/>
        <v>1.2367139071990645E-2</v>
      </c>
      <c r="F162" s="300">
        <f t="shared" si="76"/>
        <v>1.8666427257236547E-2</v>
      </c>
      <c r="G162" s="300">
        <f t="shared" si="76"/>
        <v>2.4956413176890648E-2</v>
      </c>
      <c r="H162" s="300">
        <f t="shared" si="76"/>
        <v>3.1168920317611631E-2</v>
      </c>
      <c r="I162" s="300">
        <f t="shared" si="76"/>
        <v>3.7362573783696701E-2</v>
      </c>
      <c r="J162" s="300">
        <f t="shared" si="76"/>
        <v>4.35059960958218E-2</v>
      </c>
      <c r="K162" s="300">
        <f t="shared" si="76"/>
        <v>4.9566132504338098E-2</v>
      </c>
      <c r="L162" s="300">
        <f t="shared" si="76"/>
        <v>5.5508294501964414E-2</v>
      </c>
      <c r="M162" s="300">
        <f t="shared" si="76"/>
        <v>6.1296211933746431E-2</v>
      </c>
      <c r="N162" s="300">
        <f t="shared" si="76"/>
        <v>7.3336727503361121E-2</v>
      </c>
      <c r="O162" s="300">
        <f t="shared" si="76"/>
        <v>8.4878509501651739E-2</v>
      </c>
      <c r="P162" s="300">
        <f t="shared" si="76"/>
        <v>9.5392973622958455E-2</v>
      </c>
      <c r="Q162" s="300">
        <f t="shared" si="76"/>
        <v>0.10508719587756696</v>
      </c>
      <c r="R162" s="300">
        <f t="shared" si="76"/>
        <v>0.11385062454472453</v>
      </c>
      <c r="S162" s="300">
        <f t="shared" si="76"/>
        <v>0.12183956748397973</v>
      </c>
      <c r="T162" s="300">
        <f t="shared" si="76"/>
        <v>0.12899830559154873</v>
      </c>
      <c r="U162" s="300">
        <f t="shared" si="76"/>
        <v>0.1352705826339774</v>
      </c>
      <c r="V162" s="300">
        <f t="shared" si="76"/>
        <v>0.14059966735521282</v>
      </c>
      <c r="W162" s="300">
        <f t="shared" si="76"/>
        <v>0.14492841767869097</v>
      </c>
      <c r="X162" s="300">
        <f t="shared" si="76"/>
        <v>0.15470435666039195</v>
      </c>
      <c r="Y162" s="300">
        <f t="shared" si="76"/>
        <v>0.16282487917490981</v>
      </c>
      <c r="Z162" s="300">
        <f t="shared" si="76"/>
        <v>0.16755196725223986</v>
      </c>
      <c r="AA162" s="300">
        <f t="shared" si="76"/>
        <v>0.17031262482257448</v>
      </c>
      <c r="AB162" s="300">
        <f t="shared" si="76"/>
        <v>0.17105806796727208</v>
      </c>
      <c r="AC162" s="300">
        <f t="shared" si="76"/>
        <v>0.16974694666415668</v>
      </c>
      <c r="AD162" s="300">
        <f t="shared" si="76"/>
        <v>0.16634201352478203</v>
      </c>
      <c r="AE162" s="300">
        <f t="shared" si="76"/>
        <v>0.16081231001648785</v>
      </c>
      <c r="AF162" s="300">
        <f t="shared" si="76"/>
        <v>0.1531335668473145</v>
      </c>
      <c r="AG162" s="300">
        <f t="shared" si="76"/>
        <v>0.14328860984754174</v>
      </c>
      <c r="AH162" s="245"/>
      <c r="AI162" s="423"/>
      <c r="AJ162" s="424"/>
      <c r="AL162" s="221"/>
      <c r="AM162" s="124"/>
      <c r="AN162" s="124"/>
      <c r="AO162" s="124"/>
      <c r="BD162" s="124"/>
      <c r="BE162" s="124"/>
      <c r="BF162" s="124"/>
      <c r="BG162" s="124"/>
      <c r="BH162" s="124"/>
      <c r="BI162" s="124"/>
      <c r="BJ162" s="124"/>
      <c r="BK162" s="124"/>
    </row>
    <row r="163" spans="1:63" outlineLevel="1" x14ac:dyDescent="0.2">
      <c r="A163" s="4" t="s">
        <v>474</v>
      </c>
      <c r="C163" s="230">
        <f t="shared" ref="C163:AG163" si="77">C158-$C158</f>
        <v>0</v>
      </c>
      <c r="D163" s="230">
        <f t="shared" si="77"/>
        <v>0</v>
      </c>
      <c r="E163" s="230">
        <f t="shared" si="77"/>
        <v>0</v>
      </c>
      <c r="F163" s="230">
        <f t="shared" si="77"/>
        <v>0</v>
      </c>
      <c r="G163" s="230">
        <f t="shared" si="77"/>
        <v>0</v>
      </c>
      <c r="H163" s="230">
        <f t="shared" si="77"/>
        <v>0</v>
      </c>
      <c r="I163" s="230">
        <f t="shared" si="77"/>
        <v>0</v>
      </c>
      <c r="J163" s="230">
        <f t="shared" si="77"/>
        <v>0</v>
      </c>
      <c r="K163" s="230">
        <f t="shared" si="77"/>
        <v>0</v>
      </c>
      <c r="L163" s="230">
        <f t="shared" si="77"/>
        <v>0</v>
      </c>
      <c r="M163" s="230">
        <f t="shared" si="77"/>
        <v>0</v>
      </c>
      <c r="N163" s="230">
        <f t="shared" si="77"/>
        <v>0</v>
      </c>
      <c r="O163" s="230">
        <f t="shared" si="77"/>
        <v>0</v>
      </c>
      <c r="P163" s="230">
        <f t="shared" si="77"/>
        <v>0</v>
      </c>
      <c r="Q163" s="230">
        <f t="shared" si="77"/>
        <v>0</v>
      </c>
      <c r="R163" s="230">
        <f t="shared" si="77"/>
        <v>0</v>
      </c>
      <c r="S163" s="230">
        <f t="shared" si="77"/>
        <v>0</v>
      </c>
      <c r="T163" s="230">
        <f t="shared" si="77"/>
        <v>0</v>
      </c>
      <c r="U163" s="230">
        <f t="shared" si="77"/>
        <v>0</v>
      </c>
      <c r="V163" s="230">
        <f t="shared" si="77"/>
        <v>0</v>
      </c>
      <c r="W163" s="230">
        <f t="shared" si="77"/>
        <v>0</v>
      </c>
      <c r="X163" s="230">
        <f t="shared" si="77"/>
        <v>0</v>
      </c>
      <c r="Y163" s="230">
        <f t="shared" si="77"/>
        <v>0</v>
      </c>
      <c r="Z163" s="230">
        <f t="shared" si="77"/>
        <v>0</v>
      </c>
      <c r="AA163" s="230">
        <f t="shared" si="77"/>
        <v>0</v>
      </c>
      <c r="AB163" s="230">
        <f t="shared" si="77"/>
        <v>0</v>
      </c>
      <c r="AC163" s="230">
        <f t="shared" si="77"/>
        <v>0</v>
      </c>
      <c r="AD163" s="230">
        <f t="shared" si="77"/>
        <v>0</v>
      </c>
      <c r="AE163" s="230">
        <f t="shared" si="77"/>
        <v>0</v>
      </c>
      <c r="AF163" s="230">
        <f t="shared" si="77"/>
        <v>0</v>
      </c>
      <c r="AG163" s="230">
        <f t="shared" si="77"/>
        <v>0</v>
      </c>
      <c r="AH163" s="245"/>
      <c r="AI163" s="133"/>
      <c r="AJ163" s="211"/>
      <c r="AL163" s="108"/>
      <c r="AM163" s="2"/>
      <c r="AN163" s="2"/>
      <c r="AO163" s="2"/>
      <c r="BC163" s="1"/>
      <c r="BD163" s="2"/>
      <c r="BE163" s="2"/>
      <c r="BF163" s="2"/>
      <c r="BG163" s="2"/>
      <c r="BH163" s="2"/>
      <c r="BI163" s="2"/>
      <c r="BJ163" s="2"/>
      <c r="BK163" s="2"/>
    </row>
    <row r="164" spans="1:63" outlineLevel="1" x14ac:dyDescent="0.2">
      <c r="A164" s="4" t="s">
        <v>478</v>
      </c>
      <c r="C164" s="230">
        <f t="shared" ref="C164:AG166" si="78">C159-$C159</f>
        <v>0</v>
      </c>
      <c r="D164" s="230">
        <f t="shared" si="78"/>
        <v>3.0840898071351451E-3</v>
      </c>
      <c r="E164" s="230">
        <f t="shared" si="78"/>
        <v>5.9910190825094613E-3</v>
      </c>
      <c r="F164" s="230">
        <f t="shared" si="78"/>
        <v>8.6803576832804284E-3</v>
      </c>
      <c r="G164" s="230">
        <f t="shared" si="78"/>
        <v>1.1114847950331668E-2</v>
      </c>
      <c r="H164" s="230">
        <f t="shared" si="78"/>
        <v>1.3261215718048142E-2</v>
      </c>
      <c r="I164" s="230">
        <f t="shared" si="78"/>
        <v>1.5151999467222406E-2</v>
      </c>
      <c r="J164" s="230">
        <f t="shared" si="78"/>
        <v>1.6773998323034462E-2</v>
      </c>
      <c r="K164" s="230">
        <f t="shared" si="78"/>
        <v>1.8115770081827631E-2</v>
      </c>
      <c r="L164" s="230">
        <f t="shared" si="78"/>
        <v>1.916781579360647E-2</v>
      </c>
      <c r="M164" s="230">
        <f t="shared" si="78"/>
        <v>1.9922762575526068E-2</v>
      </c>
      <c r="N164" s="230">
        <f t="shared" si="78"/>
        <v>2.2805809948008016E-2</v>
      </c>
      <c r="O164" s="230">
        <f t="shared" si="78"/>
        <v>2.5032739670871926E-2</v>
      </c>
      <c r="P164" s="230">
        <f t="shared" si="78"/>
        <v>2.6454900565080874E-2</v>
      </c>
      <c r="Q164" s="230">
        <f t="shared" si="78"/>
        <v>2.7199219664744471E-2</v>
      </c>
      <c r="R164" s="230">
        <f t="shared" si="78"/>
        <v>2.7281623454220659E-2</v>
      </c>
      <c r="S164" s="230">
        <f t="shared" si="78"/>
        <v>2.6800965338621544E-2</v>
      </c>
      <c r="T164" s="230">
        <f t="shared" si="78"/>
        <v>2.5788983355884101E-2</v>
      </c>
      <c r="U164" s="230">
        <f t="shared" si="78"/>
        <v>2.4281711118247895E-2</v>
      </c>
      <c r="V164" s="230">
        <f t="shared" si="78"/>
        <v>2.2319544674453254E-2</v>
      </c>
      <c r="W164" s="230">
        <f t="shared" si="78"/>
        <v>1.9947302391787519E-2</v>
      </c>
      <c r="X164" s="230">
        <f t="shared" si="78"/>
        <v>1.8376241123780772E-2</v>
      </c>
      <c r="Y164" s="230">
        <f t="shared" si="78"/>
        <v>1.6154282564001091E-2</v>
      </c>
      <c r="Z164" s="230">
        <f t="shared" si="78"/>
        <v>1.3138528402448047E-2</v>
      </c>
      <c r="AA164" s="230">
        <f t="shared" si="78"/>
        <v>9.7009637530229079E-3</v>
      </c>
      <c r="AB164" s="230">
        <f t="shared" si="78"/>
        <v>5.9538326387197429E-3</v>
      </c>
      <c r="AC164" s="230">
        <f t="shared" si="78"/>
        <v>2.0138421762510624E-3</v>
      </c>
      <c r="AD164" s="230">
        <f t="shared" si="78"/>
        <v>-1.9987734888635891E-3</v>
      </c>
      <c r="AE164" s="230">
        <f t="shared" si="78"/>
        <v>-5.9605735325555928E-3</v>
      </c>
      <c r="AF164" s="230">
        <f t="shared" si="78"/>
        <v>-9.7455265905617653E-3</v>
      </c>
      <c r="AG164" s="230">
        <f t="shared" si="78"/>
        <v>-1.3225674576203765E-2</v>
      </c>
      <c r="AH164" s="245"/>
      <c r="AI164" s="133"/>
      <c r="AJ164" s="211"/>
      <c r="AL164" s="108"/>
      <c r="AM164" s="2"/>
      <c r="AN164" s="2"/>
      <c r="AO164" s="2"/>
      <c r="BC164" s="1"/>
      <c r="BD164" s="2"/>
      <c r="BE164" s="2"/>
      <c r="BF164" s="2"/>
      <c r="BG164" s="2"/>
      <c r="BH164" s="2"/>
      <c r="BI164" s="2"/>
      <c r="BJ164" s="2"/>
      <c r="BK164" s="2"/>
    </row>
    <row r="165" spans="1:63" outlineLevel="1" x14ac:dyDescent="0.2">
      <c r="A165" s="4" t="s">
        <v>745</v>
      </c>
      <c r="C165" s="230">
        <f t="shared" si="78"/>
        <v>0</v>
      </c>
      <c r="D165" s="230">
        <f t="shared" si="78"/>
        <v>4.8467504535192182E-4</v>
      </c>
      <c r="E165" s="230">
        <f t="shared" si="78"/>
        <v>1.1829097233569468E-3</v>
      </c>
      <c r="F165" s="230">
        <f t="shared" si="78"/>
        <v>2.0975976309495865E-3</v>
      </c>
      <c r="G165" s="230">
        <f t="shared" si="78"/>
        <v>3.2271378041977645E-3</v>
      </c>
      <c r="H165" s="230">
        <f t="shared" si="78"/>
        <v>4.5652223923436644E-3</v>
      </c>
      <c r="I165" s="230">
        <f t="shared" si="78"/>
        <v>6.1138921720547022E-3</v>
      </c>
      <c r="J165" s="230">
        <f t="shared" si="78"/>
        <v>7.8684229027014881E-3</v>
      </c>
      <c r="K165" s="230">
        <f t="shared" si="78"/>
        <v>9.8217140885865153E-3</v>
      </c>
      <c r="L165" s="230">
        <f t="shared" si="78"/>
        <v>1.1964152235276051E-2</v>
      </c>
      <c r="M165" s="230">
        <f t="shared" si="78"/>
        <v>1.4283480041928026E-2</v>
      </c>
      <c r="N165" s="230">
        <f t="shared" si="78"/>
        <v>1.7977206635067293E-2</v>
      </c>
      <c r="O165" s="230">
        <f t="shared" si="78"/>
        <v>2.1980454918889131E-2</v>
      </c>
      <c r="P165" s="230">
        <f t="shared" si="78"/>
        <v>2.6150100340726241E-2</v>
      </c>
      <c r="Q165" s="230">
        <f t="shared" si="78"/>
        <v>3.0483014720367636E-2</v>
      </c>
      <c r="R165" s="230">
        <f t="shared" si="78"/>
        <v>3.4908745792246482E-2</v>
      </c>
      <c r="S165" s="230">
        <f t="shared" si="78"/>
        <v>3.9422308448642578E-2</v>
      </c>
      <c r="T165" s="230">
        <f t="shared" si="78"/>
        <v>4.3967760258327201E-2</v>
      </c>
      <c r="U165" s="230">
        <f t="shared" si="78"/>
        <v>4.8485181295822292E-2</v>
      </c>
      <c r="V165" s="230">
        <f t="shared" si="78"/>
        <v>5.2910648389062356E-2</v>
      </c>
      <c r="W165" s="230">
        <f t="shared" si="78"/>
        <v>5.7176216457482741E-2</v>
      </c>
      <c r="X165" s="230">
        <f t="shared" si="78"/>
        <v>6.3546431281191654E-2</v>
      </c>
      <c r="Y165" s="230">
        <f t="shared" si="78"/>
        <v>6.9628144530067243E-2</v>
      </c>
      <c r="Z165" s="230">
        <f t="shared" si="78"/>
        <v>7.4652681666790982E-2</v>
      </c>
      <c r="AA165" s="230">
        <f t="shared" si="78"/>
        <v>7.9031703245635007E-2</v>
      </c>
      <c r="AB165" s="230">
        <f t="shared" si="78"/>
        <v>8.2643446285092556E-2</v>
      </c>
      <c r="AC165" s="230">
        <f t="shared" si="78"/>
        <v>8.5366116086183289E-2</v>
      </c>
      <c r="AD165" s="230">
        <f t="shared" si="78"/>
        <v>8.7076983564409294E-2</v>
      </c>
      <c r="AE165" s="230">
        <f t="shared" si="78"/>
        <v>8.7653783132140395E-2</v>
      </c>
      <c r="AF165" s="230">
        <f t="shared" si="78"/>
        <v>8.6975449127931051E-2</v>
      </c>
      <c r="AG165" s="230">
        <f t="shared" si="78"/>
        <v>8.4922896155905855E-2</v>
      </c>
      <c r="AH165" s="245"/>
      <c r="AI165" s="133"/>
      <c r="AJ165" s="211"/>
      <c r="AL165" s="108"/>
      <c r="AM165" s="2"/>
      <c r="AN165" s="2"/>
      <c r="AO165" s="2"/>
      <c r="BC165" s="1"/>
      <c r="BD165" s="2"/>
      <c r="BE165" s="2"/>
      <c r="BF165" s="2"/>
      <c r="BG165" s="2"/>
      <c r="BH165" s="2"/>
      <c r="BI165" s="2"/>
      <c r="BJ165" s="2"/>
      <c r="BK165" s="2"/>
    </row>
    <row r="166" spans="1:63" outlineLevel="1" x14ac:dyDescent="0.2">
      <c r="A166" s="4" t="s">
        <v>1561</v>
      </c>
      <c r="C166" s="230">
        <f t="shared" si="78"/>
        <v>0</v>
      </c>
      <c r="D166" s="230">
        <f t="shared" si="78"/>
        <v>2.5554775487170948E-3</v>
      </c>
      <c r="E166" s="230">
        <f t="shared" si="78"/>
        <v>5.1932102661242374E-3</v>
      </c>
      <c r="F166" s="230">
        <f t="shared" si="78"/>
        <v>7.8884719430065333E-3</v>
      </c>
      <c r="G166" s="230">
        <f t="shared" si="78"/>
        <v>1.0614427422361216E-2</v>
      </c>
      <c r="H166" s="230">
        <f t="shared" si="78"/>
        <v>1.3342482207219822E-2</v>
      </c>
      <c r="I166" s="230">
        <f t="shared" si="78"/>
        <v>1.6096682144419595E-2</v>
      </c>
      <c r="J166" s="230">
        <f t="shared" si="78"/>
        <v>1.8863574870085845E-2</v>
      </c>
      <c r="K166" s="230">
        <f t="shared" si="78"/>
        <v>2.1628648333923944E-2</v>
      </c>
      <c r="L166" s="230">
        <f t="shared" si="78"/>
        <v>2.437632647308189E-2</v>
      </c>
      <c r="M166" s="230">
        <f t="shared" si="78"/>
        <v>2.7089969316292331E-2</v>
      </c>
      <c r="N166" s="230">
        <f t="shared" si="78"/>
        <v>3.2553710920285812E-2</v>
      </c>
      <c r="O166" s="230">
        <f t="shared" si="78"/>
        <v>3.7865314911890678E-2</v>
      </c>
      <c r="P166" s="230">
        <f t="shared" si="78"/>
        <v>4.2787972717151339E-2</v>
      </c>
      <c r="Q166" s="230">
        <f t="shared" si="78"/>
        <v>4.7404961492454843E-2</v>
      </c>
      <c r="R166" s="230">
        <f t="shared" si="78"/>
        <v>5.1660255298257379E-2</v>
      </c>
      <c r="S166" s="230">
        <f t="shared" si="78"/>
        <v>5.5616293696715606E-2</v>
      </c>
      <c r="T166" s="230">
        <f t="shared" si="78"/>
        <v>5.9241561977337438E-2</v>
      </c>
      <c r="U166" s="230">
        <f t="shared" si="78"/>
        <v>6.2503690219907204E-2</v>
      </c>
      <c r="V166" s="230">
        <f t="shared" si="78"/>
        <v>6.5369474291697205E-2</v>
      </c>
      <c r="W166" s="230">
        <f t="shared" si="78"/>
        <v>6.7804898829420701E-2</v>
      </c>
      <c r="X166" s="230">
        <f t="shared" si="78"/>
        <v>7.2781684255419518E-2</v>
      </c>
      <c r="Y166" s="230">
        <f t="shared" si="78"/>
        <v>7.704245208084147E-2</v>
      </c>
      <c r="Z166" s="230">
        <f t="shared" si="78"/>
        <v>7.9760757183000824E-2</v>
      </c>
      <c r="AA166" s="230">
        <f t="shared" si="78"/>
        <v>8.1579957823916555E-2</v>
      </c>
      <c r="AB166" s="230">
        <f t="shared" si="78"/>
        <v>8.2460789043459784E-2</v>
      </c>
      <c r="AC166" s="230">
        <f t="shared" si="78"/>
        <v>8.2366988401722338E-2</v>
      </c>
      <c r="AD166" s="230">
        <f t="shared" si="78"/>
        <v>8.1263803449236338E-2</v>
      </c>
      <c r="AE166" s="230">
        <f t="shared" si="78"/>
        <v>7.9119100416903052E-2</v>
      </c>
      <c r="AF166" s="230">
        <f t="shared" si="78"/>
        <v>7.5903644309945215E-2</v>
      </c>
      <c r="AG166" s="230">
        <f t="shared" si="78"/>
        <v>7.1591388267839631E-2</v>
      </c>
      <c r="AH166" s="245"/>
      <c r="AI166" s="133"/>
      <c r="AJ166" s="211"/>
      <c r="AL166" s="108"/>
      <c r="AM166" s="2"/>
      <c r="AN166" s="2"/>
      <c r="AO166" s="2"/>
      <c r="BC166" s="1"/>
      <c r="BD166" s="2"/>
      <c r="BE166" s="2"/>
      <c r="BF166" s="2"/>
      <c r="BG166" s="2"/>
      <c r="BH166" s="2"/>
      <c r="BI166" s="2"/>
      <c r="BJ166" s="2"/>
      <c r="BK166" s="2"/>
    </row>
    <row r="167" spans="1:63" s="1" customFormat="1" outlineLevel="1" x14ac:dyDescent="0.2">
      <c r="A167" s="1" t="s">
        <v>1578</v>
      </c>
      <c r="B167" s="65"/>
      <c r="C167" s="300">
        <f>'BTX Recycling HC'!C167</f>
        <v>5.1259271286470216E-3</v>
      </c>
      <c r="D167" s="300">
        <f>'BTX Recycling HC'!D167</f>
        <v>6.5392138366172107E-3</v>
      </c>
      <c r="E167" s="300">
        <f>'BTX Recycling HC'!E167</f>
        <v>7.9798822991064017E-3</v>
      </c>
      <c r="F167" s="300">
        <f>'BTX Recycling HC'!F167</f>
        <v>9.433564188009301E-3</v>
      </c>
      <c r="G167" s="300">
        <f>'BTX Recycling HC'!G167</f>
        <v>1.088509940023717E-2</v>
      </c>
      <c r="H167" s="300">
        <f>'BTX Recycling HC'!H167</f>
        <v>1.2318754894249703E-2</v>
      </c>
      <c r="I167" s="300">
        <f>'BTX Recycling HC'!I167</f>
        <v>1.3748059540269336E-2</v>
      </c>
      <c r="J167" s="300">
        <f>'BTX Recycling HC'!J167</f>
        <v>1.5165772381528973E-2</v>
      </c>
      <c r="K167" s="300">
        <f>'BTX Recycling HC'!K167</f>
        <v>1.656426539887889E-2</v>
      </c>
      <c r="L167" s="300">
        <f>'BTX Recycling HC'!L167</f>
        <v>1.7935533552177269E-2</v>
      </c>
      <c r="M167" s="300">
        <f>'BTX Recycling HC'!M167</f>
        <v>1.9271206805665426E-2</v>
      </c>
      <c r="N167" s="300">
        <f>'BTX Recycling HC'!N167</f>
        <v>2.2049787321730355E-2</v>
      </c>
      <c r="O167" s="300">
        <f>'BTX Recycling HC'!O167</f>
        <v>2.4713275475182036E-2</v>
      </c>
      <c r="P167" s="300">
        <f>'BTX Recycling HC'!P167</f>
        <v>2.7139690272406664E-2</v>
      </c>
      <c r="Q167" s="300">
        <f>'BTX Recycling HC'!Q167</f>
        <v>2.9376818485008626E-2</v>
      </c>
      <c r="R167" s="300">
        <f>'BTX Recycling HC'!R167</f>
        <v>3.1399148177429601E-2</v>
      </c>
      <c r="S167" s="300">
        <f>'BTX Recycling HC'!S167</f>
        <v>3.3242750394180808E-2</v>
      </c>
      <c r="T167" s="300">
        <f>'BTX Recycling HC'!T167</f>
        <v>3.4894766880542875E-2</v>
      </c>
      <c r="U167" s="300">
        <f>'BTX Recycling HC'!U167</f>
        <v>3.6342215428795656E-2</v>
      </c>
      <c r="V167" s="300">
        <f>'BTX Recycling HC'!V167</f>
        <v>3.7572004210619209E-2</v>
      </c>
      <c r="W167" s="300">
        <f>'BTX Recycling HC'!W167</f>
        <v>3.8570946592960322E-2</v>
      </c>
      <c r="X167" s="300">
        <f>'BTX Recycling HC'!X167</f>
        <v>4.0826932511814386E-2</v>
      </c>
      <c r="Y167" s="300">
        <f>'BTX Recycling HC'!Y167</f>
        <v>4.2700899245933899E-2</v>
      </c>
      <c r="Z167" s="300">
        <f>'BTX Recycling HC'!Z167</f>
        <v>4.3791765725317761E-2</v>
      </c>
      <c r="AA167" s="300">
        <f>'BTX Recycling HC'!AA167</f>
        <v>4.4428840549241122E-2</v>
      </c>
      <c r="AB167" s="300">
        <f>'BTX Recycling HC'!AB167</f>
        <v>4.4600865890325185E-2</v>
      </c>
      <c r="AC167" s="300">
        <f>'BTX Recycling HC'!AC167</f>
        <v>4.4298299435760094E-2</v>
      </c>
      <c r="AD167" s="300">
        <f>'BTX Recycling HC'!AD167</f>
        <v>4.3512545634365948E-2</v>
      </c>
      <c r="AE167" s="300">
        <f>'BTX Recycling HC'!AE167</f>
        <v>4.2236460209374979E-2</v>
      </c>
      <c r="AF167" s="300">
        <f>'BTX Recycling HC'!AF167</f>
        <v>4.0464442554950367E-2</v>
      </c>
      <c r="AG167" s="300">
        <f>'BTX Recycling HC'!AG167</f>
        <v>3.8192529401156645E-2</v>
      </c>
      <c r="AH167" s="245"/>
      <c r="AI167" s="423"/>
      <c r="AJ167" s="424"/>
      <c r="AL167" s="221"/>
      <c r="AM167" s="124"/>
      <c r="AN167" s="124"/>
      <c r="AO167" s="124"/>
      <c r="BD167" s="124"/>
      <c r="BE167" s="124"/>
      <c r="BF167" s="124"/>
      <c r="BG167" s="124"/>
      <c r="BH167" s="124"/>
      <c r="BI167" s="124"/>
      <c r="BJ167" s="124"/>
      <c r="BK167" s="124"/>
    </row>
    <row r="168" spans="1:63" outlineLevel="1" x14ac:dyDescent="0.2">
      <c r="A168" s="4" t="s">
        <v>474</v>
      </c>
      <c r="C168" s="230">
        <f>C$167*'BTX recycling rates'!E66</f>
        <v>0</v>
      </c>
      <c r="D168" s="230">
        <f>D$167*'BTX recycling rates'!F66</f>
        <v>0</v>
      </c>
      <c r="E168" s="230">
        <f>E$167*'BTX recycling rates'!G66</f>
        <v>0</v>
      </c>
      <c r="F168" s="230">
        <f>F$167*'BTX recycling rates'!H66</f>
        <v>0</v>
      </c>
      <c r="G168" s="230">
        <f>G$167*'BTX recycling rates'!I66</f>
        <v>0</v>
      </c>
      <c r="H168" s="230">
        <f>H$167*'BTX recycling rates'!J66</f>
        <v>0</v>
      </c>
      <c r="I168" s="230">
        <f>I$167*'BTX recycling rates'!K66</f>
        <v>0</v>
      </c>
      <c r="J168" s="230">
        <f>J$167*'BTX recycling rates'!L66</f>
        <v>0</v>
      </c>
      <c r="K168" s="230">
        <f>K$167*'BTX recycling rates'!M66</f>
        <v>0</v>
      </c>
      <c r="L168" s="230">
        <f>L$167*'BTX recycling rates'!N66</f>
        <v>0</v>
      </c>
      <c r="M168" s="230">
        <f>M$167*'BTX recycling rates'!O66</f>
        <v>0</v>
      </c>
      <c r="N168" s="230">
        <f>N$167*'BTX recycling rates'!P66</f>
        <v>0</v>
      </c>
      <c r="O168" s="230">
        <f>O$167*'BTX recycling rates'!Q66</f>
        <v>0</v>
      </c>
      <c r="P168" s="230">
        <f>P$167*'BTX recycling rates'!R66</f>
        <v>0</v>
      </c>
      <c r="Q168" s="230">
        <f>Q$167*'BTX recycling rates'!S66</f>
        <v>0</v>
      </c>
      <c r="R168" s="230">
        <f>R$167*'BTX recycling rates'!T66</f>
        <v>0</v>
      </c>
      <c r="S168" s="230">
        <f>S$167*'BTX recycling rates'!U66</f>
        <v>0</v>
      </c>
      <c r="T168" s="230">
        <f>T$167*'BTX recycling rates'!V66</f>
        <v>0</v>
      </c>
      <c r="U168" s="230">
        <f>U$167*'BTX recycling rates'!W66</f>
        <v>0</v>
      </c>
      <c r="V168" s="230">
        <f>V$167*'BTX recycling rates'!X66</f>
        <v>0</v>
      </c>
      <c r="W168" s="230">
        <f>W$167*'BTX recycling rates'!Y66</f>
        <v>0</v>
      </c>
      <c r="X168" s="230">
        <f>X$167*'BTX recycling rates'!Z66</f>
        <v>0</v>
      </c>
      <c r="Y168" s="230">
        <f>Y$167*'BTX recycling rates'!AA66</f>
        <v>0</v>
      </c>
      <c r="Z168" s="230">
        <f>Z$167*'BTX recycling rates'!AB66</f>
        <v>0</v>
      </c>
      <c r="AA168" s="230">
        <f>AA$167*'BTX recycling rates'!AC66</f>
        <v>0</v>
      </c>
      <c r="AB168" s="230">
        <f>AB$167*'BTX recycling rates'!AD66</f>
        <v>0</v>
      </c>
      <c r="AC168" s="230">
        <f>AC$167*'BTX recycling rates'!AE66</f>
        <v>0</v>
      </c>
      <c r="AD168" s="230">
        <f>AD$167*'BTX recycling rates'!AF66</f>
        <v>0</v>
      </c>
      <c r="AE168" s="230">
        <f>AE$167*'BTX recycling rates'!AG66</f>
        <v>0</v>
      </c>
      <c r="AF168" s="230">
        <f>AF$167*'BTX recycling rates'!AH66</f>
        <v>0</v>
      </c>
      <c r="AG168" s="230">
        <f>AG$167*'BTX recycling rates'!AI66</f>
        <v>0</v>
      </c>
      <c r="AH168" s="245"/>
      <c r="AI168" s="133"/>
      <c r="AJ168" s="211"/>
      <c r="AL168" s="108"/>
      <c r="AM168" s="2"/>
      <c r="AN168" s="2"/>
      <c r="AO168" s="2"/>
      <c r="BC168" s="1"/>
      <c r="BD168" s="2"/>
      <c r="BE168" s="2"/>
      <c r="BF168" s="2"/>
      <c r="BG168" s="2"/>
      <c r="BH168" s="2"/>
      <c r="BI168" s="2"/>
      <c r="BJ168" s="2"/>
      <c r="BK168" s="2"/>
    </row>
    <row r="169" spans="1:63" outlineLevel="1" x14ac:dyDescent="0.2">
      <c r="A169" s="4" t="s">
        <v>478</v>
      </c>
      <c r="C169" s="230">
        <f>C$167*'BTX recycling rates'!E67</f>
        <v>3.0520787483547152E-3</v>
      </c>
      <c r="D169" s="230">
        <f>D$167*'BTX recycling rates'!F67</f>
        <v>3.7637917807705167E-3</v>
      </c>
      <c r="E169" s="230">
        <f>E$167*'BTX recycling rates'!G67</f>
        <v>4.4346216135492059E-3</v>
      </c>
      <c r="F169" s="230">
        <f>F$167*'BTX recycling rates'!H67</f>
        <v>5.0552382137271212E-3</v>
      </c>
      <c r="G169" s="230">
        <f>G$167*'BTX recycling rates'!I67</f>
        <v>5.6170436599697147E-3</v>
      </c>
      <c r="H169" s="230">
        <f>H$167*'BTX recycling rates'!J67</f>
        <v>6.112359298673516E-3</v>
      </c>
      <c r="I169" s="230">
        <f>I$167*'BTX recycling rates'!K67</f>
        <v>6.5486940100214237E-3</v>
      </c>
      <c r="J169" s="230">
        <f>J$167*'BTX recycling rates'!L67</f>
        <v>6.9230014382857434E-3</v>
      </c>
      <c r="K169" s="230">
        <f>K$167*'BTX recycling rates'!M67</f>
        <v>7.232641074930323E-3</v>
      </c>
      <c r="L169" s="230">
        <f>L$167*'BTX recycling rates'!N67</f>
        <v>7.4754208545715932E-3</v>
      </c>
      <c r="M169" s="230">
        <f>M$167*'BTX recycling rates'!O67</f>
        <v>7.6496393427068843E-3</v>
      </c>
      <c r="N169" s="230">
        <f>N$167*'BTX recycling rates'!P67</f>
        <v>8.3149579671257957E-3</v>
      </c>
      <c r="O169" s="230">
        <f>O$167*'BTX recycling rates'!Q67</f>
        <v>8.8288648262482353E-3</v>
      </c>
      <c r="P169" s="230">
        <f>P$167*'BTX recycling rates'!R67</f>
        <v>9.1570558018349169E-3</v>
      </c>
      <c r="Q169" s="230">
        <f>Q$167*'BTX recycling rates'!S67</f>
        <v>9.3288217479111316E-3</v>
      </c>
      <c r="R169" s="230">
        <f>R$167*'BTX recycling rates'!T67</f>
        <v>9.3478380070210216E-3</v>
      </c>
      <c r="S169" s="230">
        <f>S$167*'BTX recycling rates'!U67</f>
        <v>9.2369169034212262E-3</v>
      </c>
      <c r="T169" s="230">
        <f>T$167*'BTX recycling rates'!V67</f>
        <v>9.0033825997125824E-3</v>
      </c>
      <c r="U169" s="230">
        <f>U$167*'BTX recycling rates'!W67</f>
        <v>8.655550544873462E-3</v>
      </c>
      <c r="V169" s="230">
        <f>V$167*'BTX recycling rates'!X67</f>
        <v>8.2027429039977732E-3</v>
      </c>
      <c r="W169" s="230">
        <f>W$167*'BTX recycling rates'!Y67</f>
        <v>7.655302377228757E-3</v>
      </c>
      <c r="X169" s="230">
        <f>X$167*'BTX recycling rates'!Z67</f>
        <v>7.2927497769195064E-3</v>
      </c>
      <c r="Y169" s="230">
        <f>Y$167*'BTX recycling rates'!AA67</f>
        <v>6.7799901092780437E-3</v>
      </c>
      <c r="Z169" s="230">
        <f>Z$167*'BTX recycling rates'!AB67</f>
        <v>6.0840468412273413E-3</v>
      </c>
      <c r="AA169" s="230">
        <f>AA$167*'BTX recycling rates'!AC67</f>
        <v>5.2907626913600006E-3</v>
      </c>
      <c r="AB169" s="230">
        <f>AB$167*'BTX recycling rates'!AD67</f>
        <v>4.4260401265208086E-3</v>
      </c>
      <c r="AC169" s="230">
        <f>AC$167*'BTX recycling rates'!AE67</f>
        <v>3.5168115582588058E-3</v>
      </c>
      <c r="AD169" s="230">
        <f>AD$167*'BTX recycling rates'!AF67</f>
        <v>2.5908233278477328E-3</v>
      </c>
      <c r="AE169" s="230">
        <f>AE$167*'BTX recycling rates'!AG67</f>
        <v>1.6765617793034241E-3</v>
      </c>
      <c r="AF169" s="230">
        <f>AF$167*'BTX recycling rates'!AH67</f>
        <v>8.0311107360969214E-4</v>
      </c>
      <c r="AG169" s="230">
        <f>AG$167*'BTX recycling rates'!AI67</f>
        <v>0</v>
      </c>
      <c r="AH169" s="245"/>
      <c r="AI169" s="133"/>
      <c r="AJ169" s="211"/>
      <c r="AL169" s="108"/>
      <c r="AM169" s="2"/>
      <c r="AN169" s="2"/>
      <c r="AO169" s="2"/>
      <c r="BC169" s="1"/>
      <c r="BD169" s="2"/>
      <c r="BE169" s="2"/>
      <c r="BF169" s="2"/>
      <c r="BG169" s="2"/>
      <c r="BH169" s="2"/>
      <c r="BI169" s="2"/>
      <c r="BJ169" s="2"/>
      <c r="BK169" s="2"/>
    </row>
    <row r="170" spans="1:63" outlineLevel="1" x14ac:dyDescent="0.2">
      <c r="A170" s="4" t="s">
        <v>745</v>
      </c>
      <c r="C170" s="230">
        <f>C$167*'BTX recycling rates'!E68</f>
        <v>0</v>
      </c>
      <c r="D170" s="230">
        <f>D$167*'BTX recycling rates'!F68</f>
        <v>1.1184808738890501E-4</v>
      </c>
      <c r="E170" s="230">
        <f>E$167*'BTX recycling rates'!G68</f>
        <v>2.7297916692852625E-4</v>
      </c>
      <c r="F170" s="230">
        <f>F$167*'BTX recycling rates'!H68</f>
        <v>4.8406099175759686E-4</v>
      </c>
      <c r="G170" s="230">
        <f>G$167*'BTX recycling rates'!I68</f>
        <v>7.4472410866102256E-4</v>
      </c>
      <c r="H170" s="230">
        <f>H$167*'BTX recycling rates'!J68</f>
        <v>1.0535128597716147E-3</v>
      </c>
      <c r="I170" s="230">
        <f>I$167*'BTX recycling rates'!K68</f>
        <v>1.4108981935510849E-3</v>
      </c>
      <c r="J170" s="230">
        <f>J$167*'BTX recycling rates'!L68</f>
        <v>1.8157899006234204E-3</v>
      </c>
      <c r="K170" s="230">
        <f>K$167*'BTX recycling rates'!M68</f>
        <v>2.266549405058427E-3</v>
      </c>
      <c r="L170" s="230">
        <f>L$167*'BTX recycling rates'!N68</f>
        <v>2.7609582081406267E-3</v>
      </c>
      <c r="M170" s="230">
        <f>M$167*'BTX recycling rates'!O68</f>
        <v>3.2961877019833902E-3</v>
      </c>
      <c r="N170" s="230">
        <f>N$167*'BTX recycling rates'!P68</f>
        <v>4.1485861465539904E-3</v>
      </c>
      <c r="O170" s="230">
        <f>O$167*'BTX recycling rates'!Q68</f>
        <v>5.0724126735897995E-3</v>
      </c>
      <c r="P170" s="230">
        <f>P$167*'BTX recycling rates'!R68</f>
        <v>6.0346385401675948E-3</v>
      </c>
      <c r="Q170" s="230">
        <f>Q$167*'BTX recycling rates'!S68</f>
        <v>7.0345418585463773E-3</v>
      </c>
      <c r="R170" s="230">
        <f>R$167*'BTX recycling rates'!T68</f>
        <v>8.0558644135953414E-3</v>
      </c>
      <c r="S170" s="230">
        <f>S$167*'BTX recycling rates'!U68</f>
        <v>9.0974557958405956E-3</v>
      </c>
      <c r="T170" s="230">
        <f>T$167*'BTX recycling rates'!V68</f>
        <v>1.0146406213460121E-2</v>
      </c>
      <c r="U170" s="230">
        <f>U$167*'BTX recycling rates'!W68</f>
        <v>1.1188887991343608E-2</v>
      </c>
      <c r="V170" s="230">
        <f>V$167*'BTX recycling rates'!X68</f>
        <v>1.2210149628245159E-2</v>
      </c>
      <c r="W170" s="230">
        <f>W$167*'BTX recycling rates'!Y68</f>
        <v>1.3194511490188325E-2</v>
      </c>
      <c r="X170" s="230">
        <f>X$167*'BTX recycling rates'!Z68</f>
        <v>1.4664561064890379E-2</v>
      </c>
      <c r="Y170" s="230">
        <f>Y$167*'BTX recycling rates'!AA68</f>
        <v>1.606803335309244E-2</v>
      </c>
      <c r="Z170" s="230">
        <f>Z$167*'BTX recycling rates'!AB68</f>
        <v>1.7227541923105612E-2</v>
      </c>
      <c r="AA170" s="230">
        <f>AA$167*'BTX recycling rates'!AC68</f>
        <v>1.8238085364377307E-2</v>
      </c>
      <c r="AB170" s="230">
        <f>AB$167*'BTX recycling rates'!AD68</f>
        <v>1.9071564527329048E-2</v>
      </c>
      <c r="AC170" s="230">
        <f>AC$167*'BTX recycling rates'!AE68</f>
        <v>1.9699872942965373E-2</v>
      </c>
      <c r="AD170" s="230">
        <f>AD$167*'BTX recycling rates'!AF68</f>
        <v>2.0094688514863682E-2</v>
      </c>
      <c r="AE170" s="230">
        <f>AE$167*'BTX recycling rates'!AG68</f>
        <v>2.0227796107417012E-2</v>
      </c>
      <c r="AF170" s="230">
        <f>AF$167*'BTX recycling rates'!AH68</f>
        <v>2.0071257491061013E-2</v>
      </c>
      <c r="AG170" s="230">
        <f>AG$167*'BTX recycling rates'!AI68</f>
        <v>1.9597591420593655E-2</v>
      </c>
      <c r="AH170" s="245"/>
      <c r="AI170" s="133"/>
      <c r="AJ170" s="211"/>
      <c r="AL170" s="108"/>
      <c r="AM170" s="2"/>
      <c r="AN170" s="2"/>
      <c r="AO170" s="2"/>
      <c r="BC170" s="1"/>
      <c r="BD170" s="2"/>
      <c r="BE170" s="2"/>
      <c r="BF170" s="2"/>
      <c r="BG170" s="2"/>
      <c r="BH170" s="2"/>
      <c r="BI170" s="2"/>
      <c r="BJ170" s="2"/>
      <c r="BK170" s="2"/>
    </row>
    <row r="171" spans="1:63" outlineLevel="1" x14ac:dyDescent="0.2">
      <c r="A171" s="4" t="s">
        <v>1561</v>
      </c>
      <c r="C171" s="230">
        <f>C$167*'BTX recycling rates'!E69</f>
        <v>2.073848380292306E-3</v>
      </c>
      <c r="D171" s="230">
        <f>D$167*'BTX recycling rates'!F69</f>
        <v>2.6635739684577886E-3</v>
      </c>
      <c r="E171" s="230">
        <f>E$167*'BTX recycling rates'!G69</f>
        <v>3.2722815186286688E-3</v>
      </c>
      <c r="F171" s="230">
        <f>F$167*'BTX recycling rates'!H69</f>
        <v>3.8942649825245827E-3</v>
      </c>
      <c r="G171" s="230">
        <f>G$167*'BTX recycling rates'!I69</f>
        <v>4.5233316316064323E-3</v>
      </c>
      <c r="H171" s="230">
        <f>H$167*'BTX recycling rates'!J69</f>
        <v>5.1528827358045719E-3</v>
      </c>
      <c r="I171" s="230">
        <f>I$167*'BTX recycling rates'!K69</f>
        <v>5.7884673366968278E-3</v>
      </c>
      <c r="J171" s="230">
        <f>J$167*'BTX recycling rates'!L69</f>
        <v>6.4269810426198079E-3</v>
      </c>
      <c r="K171" s="230">
        <f>K$167*'BTX recycling rates'!M69</f>
        <v>7.0650749188901395E-3</v>
      </c>
      <c r="L171" s="230">
        <f>L$167*'BTX recycling rates'!N69</f>
        <v>7.6991544894650489E-3</v>
      </c>
      <c r="M171" s="230">
        <f>M$167*'BTX recycling rates'!O69</f>
        <v>8.32537976097515E-3</v>
      </c>
      <c r="N171" s="230">
        <f>N$167*'BTX recycling rates'!P69</f>
        <v>9.5862432080505693E-3</v>
      </c>
      <c r="O171" s="230">
        <f>O$167*'BTX recycling rates'!Q69</f>
        <v>1.0811997975344E-2</v>
      </c>
      <c r="P171" s="230">
        <f>P$167*'BTX recycling rates'!R69</f>
        <v>1.1947995930404152E-2</v>
      </c>
      <c r="Q171" s="230">
        <f>Q$167*'BTX recycling rates'!S69</f>
        <v>1.3013454878551116E-2</v>
      </c>
      <c r="R171" s="230">
        <f>R$167*'BTX recycling rates'!T69</f>
        <v>1.3995445756813239E-2</v>
      </c>
      <c r="S171" s="230">
        <f>S$167*'BTX recycling rates'!U69</f>
        <v>1.4908377694918986E-2</v>
      </c>
      <c r="T171" s="230">
        <f>T$167*'BTX recycling rates'!V69</f>
        <v>1.5744978067370172E-2</v>
      </c>
      <c r="U171" s="230">
        <f>U$167*'BTX recycling rates'!W69</f>
        <v>1.6497776892578586E-2</v>
      </c>
      <c r="V171" s="230">
        <f>V$167*'BTX recycling rates'!X69</f>
        <v>1.7159111678376276E-2</v>
      </c>
      <c r="W171" s="230">
        <f>W$167*'BTX recycling rates'!Y69</f>
        <v>1.7721132725543237E-2</v>
      </c>
      <c r="X171" s="230">
        <f>X$167*'BTX recycling rates'!Z69</f>
        <v>1.8869621670004499E-2</v>
      </c>
      <c r="Y171" s="230">
        <f>Y$167*'BTX recycling rates'!AA69</f>
        <v>1.9852875783563415E-2</v>
      </c>
      <c r="Z171" s="230">
        <f>Z$167*'BTX recycling rates'!AB69</f>
        <v>2.0480176960984805E-2</v>
      </c>
      <c r="AA171" s="230">
        <f>AA$167*'BTX recycling rates'!AC69</f>
        <v>2.0899992493503817E-2</v>
      </c>
      <c r="AB171" s="230">
        <f>AB$167*'BTX recycling rates'!AD69</f>
        <v>2.1103261236475331E-2</v>
      </c>
      <c r="AC171" s="230">
        <f>AC$167*'BTX recycling rates'!AE69</f>
        <v>2.1081614934535919E-2</v>
      </c>
      <c r="AD171" s="230">
        <f>AD$167*'BTX recycling rates'!AF69</f>
        <v>2.0827033791654535E-2</v>
      </c>
      <c r="AE171" s="230">
        <f>AE$167*'BTX recycling rates'!AG69</f>
        <v>2.0332102322654547E-2</v>
      </c>
      <c r="AF171" s="230">
        <f>AF$167*'BTX recycling rates'!AH69</f>
        <v>1.9590073990279663E-2</v>
      </c>
      <c r="AG171" s="230">
        <f>AG$167*'BTX recycling rates'!AI69</f>
        <v>1.8594937980562987E-2</v>
      </c>
      <c r="AH171" s="245"/>
      <c r="AI171" s="133"/>
      <c r="AJ171" s="211"/>
      <c r="AL171" s="108"/>
      <c r="AM171" s="2"/>
      <c r="AN171" s="2"/>
      <c r="AO171" s="2"/>
      <c r="BC171" s="1"/>
      <c r="BD171" s="2"/>
      <c r="BE171" s="2"/>
      <c r="BF171" s="2"/>
      <c r="BG171" s="2"/>
      <c r="BH171" s="2"/>
      <c r="BI171" s="2"/>
      <c r="BJ171" s="2"/>
      <c r="BK171" s="2"/>
    </row>
    <row r="172" spans="1:63" s="1" customFormat="1" outlineLevel="1" x14ac:dyDescent="0.2">
      <c r="A172" s="1" t="s">
        <v>1579</v>
      </c>
      <c r="B172" s="65"/>
      <c r="C172" s="300">
        <f t="shared" ref="C172:AG172" si="79">C167-$C167</f>
        <v>0</v>
      </c>
      <c r="D172" s="300">
        <f t="shared" si="79"/>
        <v>1.4132867079701891E-3</v>
      </c>
      <c r="E172" s="300">
        <f t="shared" si="79"/>
        <v>2.8539551704593802E-3</v>
      </c>
      <c r="F172" s="300">
        <f t="shared" si="79"/>
        <v>4.3076370593622794E-3</v>
      </c>
      <c r="G172" s="300">
        <f t="shared" si="79"/>
        <v>5.7591722715901487E-3</v>
      </c>
      <c r="H172" s="300">
        <f t="shared" si="79"/>
        <v>7.1928277656026817E-3</v>
      </c>
      <c r="I172" s="300">
        <f t="shared" si="79"/>
        <v>8.6221324116223137E-3</v>
      </c>
      <c r="J172" s="300">
        <f t="shared" si="79"/>
        <v>1.003984525288195E-2</v>
      </c>
      <c r="K172" s="300">
        <f t="shared" si="79"/>
        <v>1.1438338270231867E-2</v>
      </c>
      <c r="L172" s="300">
        <f t="shared" si="79"/>
        <v>1.2809606423530247E-2</v>
      </c>
      <c r="M172" s="300">
        <f t="shared" si="79"/>
        <v>1.4145279677018403E-2</v>
      </c>
      <c r="N172" s="300">
        <f t="shared" si="79"/>
        <v>1.6923860193083333E-2</v>
      </c>
      <c r="O172" s="300">
        <f t="shared" si="79"/>
        <v>1.9587348346535013E-2</v>
      </c>
      <c r="P172" s="300">
        <f t="shared" si="79"/>
        <v>2.2013763143759642E-2</v>
      </c>
      <c r="Q172" s="300">
        <f t="shared" si="79"/>
        <v>2.4250891356361604E-2</v>
      </c>
      <c r="R172" s="300">
        <f t="shared" si="79"/>
        <v>2.6273221048782578E-2</v>
      </c>
      <c r="S172" s="300">
        <f t="shared" si="79"/>
        <v>2.8116823265533785E-2</v>
      </c>
      <c r="T172" s="300">
        <f t="shared" si="79"/>
        <v>2.9768839751895853E-2</v>
      </c>
      <c r="U172" s="300">
        <f t="shared" si="79"/>
        <v>3.1216288300148633E-2</v>
      </c>
      <c r="V172" s="300">
        <f t="shared" si="79"/>
        <v>3.244607708197219E-2</v>
      </c>
      <c r="W172" s="300">
        <f t="shared" si="79"/>
        <v>3.3445019464313303E-2</v>
      </c>
      <c r="X172" s="300">
        <f t="shared" si="79"/>
        <v>3.5701005383167367E-2</v>
      </c>
      <c r="Y172" s="300">
        <f t="shared" si="79"/>
        <v>3.757497211728688E-2</v>
      </c>
      <c r="Z172" s="300">
        <f t="shared" si="79"/>
        <v>3.8665838596670742E-2</v>
      </c>
      <c r="AA172" s="300">
        <f t="shared" si="79"/>
        <v>3.9302913420594103E-2</v>
      </c>
      <c r="AB172" s="300">
        <f t="shared" si="79"/>
        <v>3.9474938761678166E-2</v>
      </c>
      <c r="AC172" s="300">
        <f t="shared" si="79"/>
        <v>3.9172372307113075E-2</v>
      </c>
      <c r="AD172" s="300">
        <f t="shared" si="79"/>
        <v>3.8386618505718929E-2</v>
      </c>
      <c r="AE172" s="300">
        <f t="shared" si="79"/>
        <v>3.711053308072796E-2</v>
      </c>
      <c r="AF172" s="300">
        <f t="shared" si="79"/>
        <v>3.5338515426303348E-2</v>
      </c>
      <c r="AG172" s="300">
        <f t="shared" si="79"/>
        <v>3.3066602272509626E-2</v>
      </c>
      <c r="AH172" s="245"/>
      <c r="AI172" s="423"/>
      <c r="AJ172" s="424"/>
      <c r="AL172" s="221"/>
      <c r="AM172" s="124"/>
      <c r="AN172" s="124"/>
      <c r="AO172" s="124"/>
      <c r="BD172" s="124"/>
      <c r="BE172" s="124"/>
      <c r="BF172" s="124"/>
      <c r="BG172" s="124"/>
      <c r="BH172" s="124"/>
      <c r="BI172" s="124"/>
      <c r="BJ172" s="124"/>
      <c r="BK172" s="124"/>
    </row>
    <row r="173" spans="1:63" outlineLevel="1" x14ac:dyDescent="0.2">
      <c r="A173" s="4" t="s">
        <v>474</v>
      </c>
      <c r="C173" s="230">
        <f t="shared" ref="C173:R176" si="80">C168-$C168</f>
        <v>0</v>
      </c>
      <c r="D173" s="230">
        <f t="shared" ref="D173:AG173" si="81">D168-$C168</f>
        <v>0</v>
      </c>
      <c r="E173" s="230">
        <f t="shared" si="81"/>
        <v>0</v>
      </c>
      <c r="F173" s="230">
        <f t="shared" si="81"/>
        <v>0</v>
      </c>
      <c r="G173" s="230">
        <f t="shared" si="81"/>
        <v>0</v>
      </c>
      <c r="H173" s="230">
        <f t="shared" si="81"/>
        <v>0</v>
      </c>
      <c r="I173" s="230">
        <f t="shared" si="81"/>
        <v>0</v>
      </c>
      <c r="J173" s="230">
        <f t="shared" si="81"/>
        <v>0</v>
      </c>
      <c r="K173" s="230">
        <f t="shared" si="81"/>
        <v>0</v>
      </c>
      <c r="L173" s="230">
        <f t="shared" si="81"/>
        <v>0</v>
      </c>
      <c r="M173" s="230">
        <f t="shared" si="81"/>
        <v>0</v>
      </c>
      <c r="N173" s="230">
        <f t="shared" si="81"/>
        <v>0</v>
      </c>
      <c r="O173" s="230">
        <f t="shared" si="81"/>
        <v>0</v>
      </c>
      <c r="P173" s="230">
        <f t="shared" si="81"/>
        <v>0</v>
      </c>
      <c r="Q173" s="230">
        <f t="shared" si="81"/>
        <v>0</v>
      </c>
      <c r="R173" s="230">
        <f t="shared" si="81"/>
        <v>0</v>
      </c>
      <c r="S173" s="230">
        <f t="shared" si="81"/>
        <v>0</v>
      </c>
      <c r="T173" s="230">
        <f t="shared" si="81"/>
        <v>0</v>
      </c>
      <c r="U173" s="230">
        <f t="shared" si="81"/>
        <v>0</v>
      </c>
      <c r="V173" s="230">
        <f t="shared" si="81"/>
        <v>0</v>
      </c>
      <c r="W173" s="230">
        <f t="shared" si="81"/>
        <v>0</v>
      </c>
      <c r="X173" s="230">
        <f t="shared" si="81"/>
        <v>0</v>
      </c>
      <c r="Y173" s="230">
        <f t="shared" si="81"/>
        <v>0</v>
      </c>
      <c r="Z173" s="230">
        <f t="shared" si="81"/>
        <v>0</v>
      </c>
      <c r="AA173" s="230">
        <f t="shared" si="81"/>
        <v>0</v>
      </c>
      <c r="AB173" s="230">
        <f t="shared" si="81"/>
        <v>0</v>
      </c>
      <c r="AC173" s="230">
        <f t="shared" si="81"/>
        <v>0</v>
      </c>
      <c r="AD173" s="230">
        <f t="shared" si="81"/>
        <v>0</v>
      </c>
      <c r="AE173" s="230">
        <f t="shared" si="81"/>
        <v>0</v>
      </c>
      <c r="AF173" s="230">
        <f t="shared" si="81"/>
        <v>0</v>
      </c>
      <c r="AG173" s="230">
        <f t="shared" si="81"/>
        <v>0</v>
      </c>
      <c r="AH173" s="245"/>
      <c r="AI173" s="133"/>
      <c r="AJ173" s="211"/>
      <c r="AL173" s="108"/>
      <c r="AM173" s="2"/>
      <c r="AN173" s="2"/>
      <c r="AO173" s="2"/>
      <c r="BC173" s="1"/>
      <c r="BD173" s="2"/>
      <c r="BE173" s="2"/>
      <c r="BF173" s="2"/>
      <c r="BG173" s="2"/>
      <c r="BH173" s="2"/>
      <c r="BI173" s="2"/>
      <c r="BJ173" s="2"/>
      <c r="BK173" s="2"/>
    </row>
    <row r="174" spans="1:63" outlineLevel="1" x14ac:dyDescent="0.2">
      <c r="A174" s="4" t="s">
        <v>478</v>
      </c>
      <c r="C174" s="230">
        <f t="shared" si="80"/>
        <v>0</v>
      </c>
      <c r="D174" s="230">
        <f t="shared" si="80"/>
        <v>7.1171303241580148E-4</v>
      </c>
      <c r="E174" s="230">
        <f t="shared" si="80"/>
        <v>1.3825428651944908E-3</v>
      </c>
      <c r="F174" s="230">
        <f t="shared" si="80"/>
        <v>2.003159465372406E-3</v>
      </c>
      <c r="G174" s="230">
        <f t="shared" si="80"/>
        <v>2.5649649116149995E-3</v>
      </c>
      <c r="H174" s="230">
        <f t="shared" si="80"/>
        <v>3.0602805503188008E-3</v>
      </c>
      <c r="I174" s="230">
        <f t="shared" si="80"/>
        <v>3.4966152616667085E-3</v>
      </c>
      <c r="J174" s="230">
        <f t="shared" si="80"/>
        <v>3.8709226899310283E-3</v>
      </c>
      <c r="K174" s="230">
        <f t="shared" si="80"/>
        <v>4.1805623265756073E-3</v>
      </c>
      <c r="L174" s="230">
        <f t="shared" si="80"/>
        <v>4.4233421062168776E-3</v>
      </c>
      <c r="M174" s="230">
        <f t="shared" si="80"/>
        <v>4.5975605943521687E-3</v>
      </c>
      <c r="N174" s="230">
        <f t="shared" si="80"/>
        <v>5.2628792187710809E-3</v>
      </c>
      <c r="O174" s="230">
        <f t="shared" si="80"/>
        <v>5.7767860778935205E-3</v>
      </c>
      <c r="P174" s="230">
        <f t="shared" si="80"/>
        <v>6.1049770534802022E-3</v>
      </c>
      <c r="Q174" s="230">
        <f t="shared" si="80"/>
        <v>6.2767429995564169E-3</v>
      </c>
      <c r="R174" s="230">
        <f t="shared" si="80"/>
        <v>6.2957592586663069E-3</v>
      </c>
      <c r="S174" s="230">
        <f t="shared" ref="S174:AG176" si="82">S169-$C169</f>
        <v>6.1848381550665115E-3</v>
      </c>
      <c r="T174" s="230">
        <f t="shared" si="82"/>
        <v>5.9513038513578677E-3</v>
      </c>
      <c r="U174" s="230">
        <f t="shared" si="82"/>
        <v>5.6034717965187473E-3</v>
      </c>
      <c r="V174" s="230">
        <f t="shared" si="82"/>
        <v>5.1506641556430584E-3</v>
      </c>
      <c r="W174" s="230">
        <f t="shared" si="82"/>
        <v>4.6032236288740414E-3</v>
      </c>
      <c r="X174" s="230">
        <f t="shared" si="82"/>
        <v>4.2406710285647908E-3</v>
      </c>
      <c r="Y174" s="230">
        <f t="shared" si="82"/>
        <v>3.7279113609233285E-3</v>
      </c>
      <c r="Z174" s="230">
        <f t="shared" si="82"/>
        <v>3.0319680928726262E-3</v>
      </c>
      <c r="AA174" s="230">
        <f t="shared" si="82"/>
        <v>2.2386839430052854E-3</v>
      </c>
      <c r="AB174" s="230">
        <f t="shared" si="82"/>
        <v>1.3739613781660934E-3</v>
      </c>
      <c r="AC174" s="230">
        <f t="shared" si="82"/>
        <v>4.6473280990409066E-4</v>
      </c>
      <c r="AD174" s="230">
        <f t="shared" si="82"/>
        <v>-4.6125542050698236E-4</v>
      </c>
      <c r="AE174" s="230">
        <f t="shared" si="82"/>
        <v>-1.3755169690512911E-3</v>
      </c>
      <c r="AF174" s="230">
        <f t="shared" si="82"/>
        <v>-2.248967674745023E-3</v>
      </c>
      <c r="AG174" s="230">
        <f t="shared" si="82"/>
        <v>-3.0520787483547152E-3</v>
      </c>
      <c r="AH174" s="245"/>
      <c r="AI174" s="133"/>
      <c r="AJ174" s="211"/>
      <c r="AL174" s="108"/>
      <c r="AM174" s="2"/>
      <c r="AN174" s="2"/>
      <c r="AO174" s="2"/>
      <c r="BC174" s="1"/>
      <c r="BD174" s="2"/>
      <c r="BE174" s="2"/>
      <c r="BF174" s="2"/>
      <c r="BG174" s="2"/>
      <c r="BH174" s="2"/>
      <c r="BI174" s="2"/>
      <c r="BJ174" s="2"/>
      <c r="BK174" s="2"/>
    </row>
    <row r="175" spans="1:63" outlineLevel="1" x14ac:dyDescent="0.2">
      <c r="A175" s="4" t="s">
        <v>745</v>
      </c>
      <c r="C175" s="230">
        <f t="shared" si="80"/>
        <v>0</v>
      </c>
      <c r="D175" s="230">
        <f t="shared" si="80"/>
        <v>1.1184808738890501E-4</v>
      </c>
      <c r="E175" s="230">
        <f t="shared" si="80"/>
        <v>2.7297916692852625E-4</v>
      </c>
      <c r="F175" s="230">
        <f t="shared" si="80"/>
        <v>4.8406099175759686E-4</v>
      </c>
      <c r="G175" s="230">
        <f t="shared" si="80"/>
        <v>7.4472410866102256E-4</v>
      </c>
      <c r="H175" s="230">
        <f t="shared" si="80"/>
        <v>1.0535128597716147E-3</v>
      </c>
      <c r="I175" s="230">
        <f t="shared" si="80"/>
        <v>1.4108981935510849E-3</v>
      </c>
      <c r="J175" s="230">
        <f t="shared" si="80"/>
        <v>1.8157899006234204E-3</v>
      </c>
      <c r="K175" s="230">
        <f t="shared" si="80"/>
        <v>2.266549405058427E-3</v>
      </c>
      <c r="L175" s="230">
        <f t="shared" si="80"/>
        <v>2.7609582081406267E-3</v>
      </c>
      <c r="M175" s="230">
        <f t="shared" si="80"/>
        <v>3.2961877019833902E-3</v>
      </c>
      <c r="N175" s="230">
        <f t="shared" si="80"/>
        <v>4.1485861465539904E-3</v>
      </c>
      <c r="O175" s="230">
        <f t="shared" si="80"/>
        <v>5.0724126735897995E-3</v>
      </c>
      <c r="P175" s="230">
        <f t="shared" si="80"/>
        <v>6.0346385401675948E-3</v>
      </c>
      <c r="Q175" s="230">
        <f t="shared" si="80"/>
        <v>7.0345418585463773E-3</v>
      </c>
      <c r="R175" s="230">
        <f t="shared" si="80"/>
        <v>8.0558644135953414E-3</v>
      </c>
      <c r="S175" s="230">
        <f t="shared" si="82"/>
        <v>9.0974557958405956E-3</v>
      </c>
      <c r="T175" s="230">
        <f t="shared" si="82"/>
        <v>1.0146406213460121E-2</v>
      </c>
      <c r="U175" s="230">
        <f t="shared" si="82"/>
        <v>1.1188887991343608E-2</v>
      </c>
      <c r="V175" s="230">
        <f t="shared" si="82"/>
        <v>1.2210149628245159E-2</v>
      </c>
      <c r="W175" s="230">
        <f t="shared" si="82"/>
        <v>1.3194511490188325E-2</v>
      </c>
      <c r="X175" s="230">
        <f t="shared" si="82"/>
        <v>1.4664561064890379E-2</v>
      </c>
      <c r="Y175" s="230">
        <f t="shared" si="82"/>
        <v>1.606803335309244E-2</v>
      </c>
      <c r="Z175" s="230">
        <f t="shared" si="82"/>
        <v>1.7227541923105612E-2</v>
      </c>
      <c r="AA175" s="230">
        <f t="shared" si="82"/>
        <v>1.8238085364377307E-2</v>
      </c>
      <c r="AB175" s="230">
        <f t="shared" si="82"/>
        <v>1.9071564527329048E-2</v>
      </c>
      <c r="AC175" s="230">
        <f t="shared" si="82"/>
        <v>1.9699872942965373E-2</v>
      </c>
      <c r="AD175" s="230">
        <f t="shared" si="82"/>
        <v>2.0094688514863682E-2</v>
      </c>
      <c r="AE175" s="230">
        <f t="shared" si="82"/>
        <v>2.0227796107417012E-2</v>
      </c>
      <c r="AF175" s="230">
        <f t="shared" si="82"/>
        <v>2.0071257491061013E-2</v>
      </c>
      <c r="AG175" s="230">
        <f t="shared" si="82"/>
        <v>1.9597591420593655E-2</v>
      </c>
      <c r="AH175" s="245"/>
      <c r="AI175" s="133"/>
      <c r="AJ175" s="211"/>
      <c r="AL175" s="108"/>
      <c r="AM175" s="2"/>
      <c r="AN175" s="2"/>
      <c r="AO175" s="2"/>
      <c r="BC175" s="1"/>
      <c r="BD175" s="2"/>
      <c r="BE175" s="2"/>
      <c r="BF175" s="2"/>
      <c r="BG175" s="2"/>
      <c r="BH175" s="2"/>
      <c r="BI175" s="2"/>
      <c r="BJ175" s="2"/>
      <c r="BK175" s="2"/>
    </row>
    <row r="176" spans="1:63" outlineLevel="1" x14ac:dyDescent="0.2">
      <c r="A176" s="4" t="s">
        <v>1561</v>
      </c>
      <c r="C176" s="230">
        <f t="shared" si="80"/>
        <v>0</v>
      </c>
      <c r="D176" s="230">
        <f t="shared" si="80"/>
        <v>5.8972558816548261E-4</v>
      </c>
      <c r="E176" s="230">
        <f t="shared" si="80"/>
        <v>1.1984331383363628E-3</v>
      </c>
      <c r="F176" s="230">
        <f t="shared" si="80"/>
        <v>1.8204166022322767E-3</v>
      </c>
      <c r="G176" s="230">
        <f t="shared" si="80"/>
        <v>2.4494832513141263E-3</v>
      </c>
      <c r="H176" s="230">
        <f t="shared" si="80"/>
        <v>3.0790343555122659E-3</v>
      </c>
      <c r="I176" s="230">
        <f t="shared" si="80"/>
        <v>3.7146189564045218E-3</v>
      </c>
      <c r="J176" s="230">
        <f t="shared" si="80"/>
        <v>4.3531326623275019E-3</v>
      </c>
      <c r="K176" s="230">
        <f t="shared" si="80"/>
        <v>4.9912265385978335E-3</v>
      </c>
      <c r="L176" s="230">
        <f t="shared" si="80"/>
        <v>5.625306109172743E-3</v>
      </c>
      <c r="M176" s="230">
        <f t="shared" si="80"/>
        <v>6.251531380682844E-3</v>
      </c>
      <c r="N176" s="230">
        <f t="shared" si="80"/>
        <v>7.5123948277582633E-3</v>
      </c>
      <c r="O176" s="230">
        <f t="shared" si="80"/>
        <v>8.7381495950516943E-3</v>
      </c>
      <c r="P176" s="230">
        <f t="shared" si="80"/>
        <v>9.8741475501118465E-3</v>
      </c>
      <c r="Q176" s="230">
        <f t="shared" si="80"/>
        <v>1.093960649825881E-2</v>
      </c>
      <c r="R176" s="230">
        <f t="shared" si="80"/>
        <v>1.1921597376520933E-2</v>
      </c>
      <c r="S176" s="230">
        <f t="shared" si="82"/>
        <v>1.283452931462668E-2</v>
      </c>
      <c r="T176" s="230">
        <f t="shared" si="82"/>
        <v>1.3671129687077866E-2</v>
      </c>
      <c r="U176" s="230">
        <f t="shared" si="82"/>
        <v>1.442392851228628E-2</v>
      </c>
      <c r="V176" s="230">
        <f t="shared" si="82"/>
        <v>1.508526329808397E-2</v>
      </c>
      <c r="W176" s="230">
        <f t="shared" si="82"/>
        <v>1.5647284345250929E-2</v>
      </c>
      <c r="X176" s="230">
        <f t="shared" si="82"/>
        <v>1.6795773289712192E-2</v>
      </c>
      <c r="Y176" s="230">
        <f t="shared" si="82"/>
        <v>1.7779027403271107E-2</v>
      </c>
      <c r="Z176" s="230">
        <f t="shared" si="82"/>
        <v>1.8406328580692501E-2</v>
      </c>
      <c r="AA176" s="230">
        <f t="shared" si="82"/>
        <v>1.8826144113211513E-2</v>
      </c>
      <c r="AB176" s="230">
        <f t="shared" si="82"/>
        <v>1.9029412856183023E-2</v>
      </c>
      <c r="AC176" s="230">
        <f t="shared" si="82"/>
        <v>1.9007766554243612E-2</v>
      </c>
      <c r="AD176" s="230">
        <f t="shared" si="82"/>
        <v>1.8753185411362228E-2</v>
      </c>
      <c r="AE176" s="230">
        <f t="shared" si="82"/>
        <v>1.8258253942362239E-2</v>
      </c>
      <c r="AF176" s="230">
        <f t="shared" si="82"/>
        <v>1.7516225609987356E-2</v>
      </c>
      <c r="AG176" s="230">
        <f t="shared" si="82"/>
        <v>1.6521089600270683E-2</v>
      </c>
      <c r="AH176" s="245"/>
      <c r="AI176" s="133"/>
      <c r="AJ176" s="211"/>
      <c r="AL176" s="108"/>
      <c r="AM176" s="2"/>
      <c r="AN176" s="2"/>
      <c r="AO176" s="2"/>
      <c r="BC176" s="1"/>
      <c r="BD176" s="2"/>
      <c r="BE176" s="2"/>
      <c r="BF176" s="2"/>
      <c r="BG176" s="2"/>
      <c r="BH176" s="2"/>
      <c r="BI176" s="2"/>
      <c r="BJ176" s="2"/>
      <c r="BK176" s="2"/>
    </row>
    <row r="177" spans="1:63" s="1" customFormat="1" outlineLevel="1" x14ac:dyDescent="0.2">
      <c r="A177" s="1" t="s">
        <v>1567</v>
      </c>
      <c r="B177" s="65"/>
      <c r="C177" s="300">
        <f>'BTX Recycling HC'!C177</f>
        <v>1.5377781385941062E-2</v>
      </c>
      <c r="D177" s="300">
        <f>'BTX Recycling HC'!D177</f>
        <v>1.9617641509851635E-2</v>
      </c>
      <c r="E177" s="300">
        <f>'BTX Recycling HC'!E177</f>
        <v>2.3939646897319204E-2</v>
      </c>
      <c r="F177" s="300">
        <f>'BTX Recycling HC'!F177</f>
        <v>2.8300692564027907E-2</v>
      </c>
      <c r="G177" s="300">
        <f>'BTX Recycling HC'!G177</f>
        <v>3.2655298200711509E-2</v>
      </c>
      <c r="H177" s="300">
        <f>'BTX Recycling HC'!H177</f>
        <v>3.695626468274911E-2</v>
      </c>
      <c r="I177" s="300">
        <f>'BTX Recycling HC'!I177</f>
        <v>4.1244178620808016E-2</v>
      </c>
      <c r="J177" s="300">
        <f>'BTX Recycling HC'!J177</f>
        <v>4.5497317144586921E-2</v>
      </c>
      <c r="K177" s="300">
        <f>'BTX Recycling HC'!K177</f>
        <v>4.9692796196636663E-2</v>
      </c>
      <c r="L177" s="300">
        <f>'BTX Recycling HC'!L177</f>
        <v>5.3806600656531797E-2</v>
      </c>
      <c r="M177" s="300">
        <f>'BTX Recycling HC'!M177</f>
        <v>5.7813620416996281E-2</v>
      </c>
      <c r="N177" s="300">
        <f>'BTX Recycling HC'!N177</f>
        <v>6.614936196519107E-2</v>
      </c>
      <c r="O177" s="300">
        <f>'BTX Recycling HC'!O177</f>
        <v>7.4139826425546104E-2</v>
      </c>
      <c r="P177" s="300">
        <f>'BTX Recycling HC'!P177</f>
        <v>8.1419070817219996E-2</v>
      </c>
      <c r="Q177" s="300">
        <f>'BTX Recycling HC'!Q177</f>
        <v>8.8130455455025875E-2</v>
      </c>
      <c r="R177" s="300">
        <f>'BTX Recycling HC'!R177</f>
        <v>9.4197444532288802E-2</v>
      </c>
      <c r="S177" s="300">
        <f>'BTX Recycling HC'!S177</f>
        <v>9.9728251182542402E-2</v>
      </c>
      <c r="T177" s="300">
        <f>'BTX Recycling HC'!T177</f>
        <v>0.10468430064162862</v>
      </c>
      <c r="U177" s="300">
        <f>'BTX Recycling HC'!U177</f>
        <v>0.10902664628638696</v>
      </c>
      <c r="V177" s="300">
        <f>'BTX Recycling HC'!V177</f>
        <v>0.11271601263185761</v>
      </c>
      <c r="W177" s="300">
        <f>'BTX Recycling HC'!W177</f>
        <v>0.11571283977888096</v>
      </c>
      <c r="X177" s="300">
        <f>'BTX Recycling HC'!X177</f>
        <v>0.12248079753544316</v>
      </c>
      <c r="Y177" s="300">
        <f>'BTX Recycling HC'!Y177</f>
        <v>0.12810269773780172</v>
      </c>
      <c r="Z177" s="300">
        <f>'BTX Recycling HC'!Z177</f>
        <v>0.13137529717595328</v>
      </c>
      <c r="AA177" s="300">
        <f>'BTX Recycling HC'!AA177</f>
        <v>0.13328652164772339</v>
      </c>
      <c r="AB177" s="300">
        <f>'BTX Recycling HC'!AB177</f>
        <v>0.13380259767097555</v>
      </c>
      <c r="AC177" s="300">
        <f>'BTX Recycling HC'!AC177</f>
        <v>0.1328948983072803</v>
      </c>
      <c r="AD177" s="300">
        <f>'BTX Recycling HC'!AD177</f>
        <v>0.13053763690309783</v>
      </c>
      <c r="AE177" s="300">
        <f>'BTX Recycling HC'!AE177</f>
        <v>0.12670938062812495</v>
      </c>
      <c r="AF177" s="300">
        <f>'BTX Recycling HC'!AF177</f>
        <v>0.1213933276648511</v>
      </c>
      <c r="AG177" s="300">
        <f>'BTX Recycling HC'!AG177</f>
        <v>0.11457758820346996</v>
      </c>
      <c r="AH177" s="245"/>
      <c r="AI177" s="423"/>
      <c r="AJ177" s="424"/>
      <c r="AL177" s="221"/>
      <c r="AM177" s="124"/>
      <c r="AN177" s="124"/>
      <c r="AO177" s="124"/>
      <c r="BD177" s="124"/>
      <c r="BE177" s="124"/>
      <c r="BF177" s="124"/>
      <c r="BG177" s="124"/>
      <c r="BH177" s="124"/>
      <c r="BI177" s="124"/>
      <c r="BJ177" s="124"/>
      <c r="BK177" s="124"/>
    </row>
    <row r="178" spans="1:63" outlineLevel="1" x14ac:dyDescent="0.2">
      <c r="A178" s="4" t="s">
        <v>474</v>
      </c>
      <c r="C178" s="230">
        <f>C$177*'BTX recycling rates'!E70</f>
        <v>0</v>
      </c>
      <c r="D178" s="230">
        <f>D$177*'BTX recycling rates'!F70</f>
        <v>0</v>
      </c>
      <c r="E178" s="230">
        <f>E$177*'BTX recycling rates'!G70</f>
        <v>0</v>
      </c>
      <c r="F178" s="230">
        <f>F$177*'BTX recycling rates'!H70</f>
        <v>0</v>
      </c>
      <c r="G178" s="230">
        <f>G$177*'BTX recycling rates'!I70</f>
        <v>0</v>
      </c>
      <c r="H178" s="230">
        <f>H$177*'BTX recycling rates'!J70</f>
        <v>0</v>
      </c>
      <c r="I178" s="230">
        <f>I$177*'BTX recycling rates'!K70</f>
        <v>0</v>
      </c>
      <c r="J178" s="230">
        <f>J$177*'BTX recycling rates'!L70</f>
        <v>0</v>
      </c>
      <c r="K178" s="230">
        <f>K$177*'BTX recycling rates'!M70</f>
        <v>0</v>
      </c>
      <c r="L178" s="230">
        <f>L$177*'BTX recycling rates'!N70</f>
        <v>0</v>
      </c>
      <c r="M178" s="230">
        <f>M$177*'BTX recycling rates'!O70</f>
        <v>0</v>
      </c>
      <c r="N178" s="230">
        <f>N$177*'BTX recycling rates'!P70</f>
        <v>0</v>
      </c>
      <c r="O178" s="230">
        <f>O$177*'BTX recycling rates'!Q70</f>
        <v>0</v>
      </c>
      <c r="P178" s="230">
        <f>P$177*'BTX recycling rates'!R70</f>
        <v>0</v>
      </c>
      <c r="Q178" s="230">
        <f>Q$177*'BTX recycling rates'!S70</f>
        <v>0</v>
      </c>
      <c r="R178" s="230">
        <f>R$177*'BTX recycling rates'!T70</f>
        <v>0</v>
      </c>
      <c r="S178" s="230">
        <f>S$177*'BTX recycling rates'!U70</f>
        <v>0</v>
      </c>
      <c r="T178" s="230">
        <f>T$177*'BTX recycling rates'!V70</f>
        <v>0</v>
      </c>
      <c r="U178" s="230">
        <f>U$177*'BTX recycling rates'!W70</f>
        <v>0</v>
      </c>
      <c r="V178" s="230">
        <f>V$177*'BTX recycling rates'!X70</f>
        <v>0</v>
      </c>
      <c r="W178" s="230">
        <f>W$177*'BTX recycling rates'!Y70</f>
        <v>0</v>
      </c>
      <c r="X178" s="230">
        <f>X$177*'BTX recycling rates'!Z70</f>
        <v>0</v>
      </c>
      <c r="Y178" s="230">
        <f>Y$177*'BTX recycling rates'!AA70</f>
        <v>0</v>
      </c>
      <c r="Z178" s="230">
        <f>Z$177*'BTX recycling rates'!AB70</f>
        <v>0</v>
      </c>
      <c r="AA178" s="230">
        <f>AA$177*'BTX recycling rates'!AC70</f>
        <v>0</v>
      </c>
      <c r="AB178" s="230">
        <f>AB$177*'BTX recycling rates'!AD70</f>
        <v>0</v>
      </c>
      <c r="AC178" s="230">
        <f>AC$177*'BTX recycling rates'!AE70</f>
        <v>0</v>
      </c>
      <c r="AD178" s="230">
        <f>AD$177*'BTX recycling rates'!AF70</f>
        <v>0</v>
      </c>
      <c r="AE178" s="230">
        <f>AE$177*'BTX recycling rates'!AG70</f>
        <v>0</v>
      </c>
      <c r="AF178" s="230">
        <f>AF$177*'BTX recycling rates'!AH70</f>
        <v>0</v>
      </c>
      <c r="AG178" s="230">
        <f>AG$177*'BTX recycling rates'!AI70</f>
        <v>0</v>
      </c>
      <c r="AH178" s="245"/>
      <c r="AI178" s="133"/>
      <c r="AJ178" s="211"/>
      <c r="AL178" s="108"/>
      <c r="AM178" s="2"/>
      <c r="AN178" s="2"/>
      <c r="AO178" s="2"/>
      <c r="BC178" s="1"/>
      <c r="BD178" s="2"/>
      <c r="BE178" s="2"/>
      <c r="BF178" s="2"/>
      <c r="BG178" s="2"/>
      <c r="BH178" s="2"/>
      <c r="BI178" s="2"/>
      <c r="BJ178" s="2"/>
      <c r="BK178" s="2"/>
    </row>
    <row r="179" spans="1:63" outlineLevel="1" x14ac:dyDescent="0.2">
      <c r="A179" s="4" t="s">
        <v>478</v>
      </c>
      <c r="C179" s="230">
        <f>C$177*'BTX recycling rates'!E71</f>
        <v>9.1562362450641442E-3</v>
      </c>
      <c r="D179" s="230">
        <f>D$177*'BTX recycling rates'!F71</f>
        <v>1.1291375342311552E-2</v>
      </c>
      <c r="E179" s="230">
        <f>E$177*'BTX recycling rates'!G71</f>
        <v>1.3303864840647618E-2</v>
      </c>
      <c r="F179" s="230">
        <f>F$177*'BTX recycling rates'!H71</f>
        <v>1.5165714641181365E-2</v>
      </c>
      <c r="G179" s="230">
        <f>G$177*'BTX recycling rates'!I71</f>
        <v>1.6851130979909142E-2</v>
      </c>
      <c r="H179" s="230">
        <f>H$177*'BTX recycling rates'!J71</f>
        <v>1.833707789602055E-2</v>
      </c>
      <c r="I179" s="230">
        <f>I$177*'BTX recycling rates'!K71</f>
        <v>1.9646082030064273E-2</v>
      </c>
      <c r="J179" s="230">
        <f>J$177*'BTX recycling rates'!L71</f>
        <v>2.0769004314857231E-2</v>
      </c>
      <c r="K179" s="230">
        <f>K$177*'BTX recycling rates'!M71</f>
        <v>2.1697923224790965E-2</v>
      </c>
      <c r="L179" s="230">
        <f>L$177*'BTX recycling rates'!N71</f>
        <v>2.2426262563714775E-2</v>
      </c>
      <c r="M179" s="230">
        <f>M$177*'BTX recycling rates'!O71</f>
        <v>2.2948918028120654E-2</v>
      </c>
      <c r="N179" s="230">
        <f>N$177*'BTX recycling rates'!P71</f>
        <v>2.4944873901377389E-2</v>
      </c>
      <c r="O179" s="230">
        <f>O$177*'BTX recycling rates'!Q71</f>
        <v>2.6486594478744706E-2</v>
      </c>
      <c r="P179" s="230">
        <f>P$177*'BTX recycling rates'!R71</f>
        <v>2.7471167405504749E-2</v>
      </c>
      <c r="Q179" s="230">
        <f>Q$177*'BTX recycling rates'!S71</f>
        <v>2.7986465243733393E-2</v>
      </c>
      <c r="R179" s="230">
        <f>R$177*'BTX recycling rates'!T71</f>
        <v>2.8043514021063063E-2</v>
      </c>
      <c r="S179" s="230">
        <f>S$177*'BTX recycling rates'!U71</f>
        <v>2.7710750710263674E-2</v>
      </c>
      <c r="T179" s="230">
        <f>T$177*'BTX recycling rates'!V71</f>
        <v>2.7010147799137747E-2</v>
      </c>
      <c r="U179" s="230">
        <f>U$177*'BTX recycling rates'!W71</f>
        <v>2.5966651634620384E-2</v>
      </c>
      <c r="V179" s="230">
        <f>V$177*'BTX recycling rates'!X71</f>
        <v>2.4608228711993318E-2</v>
      </c>
      <c r="W179" s="230">
        <f>W$177*'BTX recycling rates'!Y71</f>
        <v>2.296590713168627E-2</v>
      </c>
      <c r="X179" s="230">
        <f>X$177*'BTX recycling rates'!Z71</f>
        <v>2.187824933075852E-2</v>
      </c>
      <c r="Y179" s="230">
        <f>Y$177*'BTX recycling rates'!AA71</f>
        <v>2.0339970327834134E-2</v>
      </c>
      <c r="Z179" s="230">
        <f>Z$177*'BTX recycling rates'!AB71</f>
        <v>1.8252140523682025E-2</v>
      </c>
      <c r="AA179" s="230">
        <f>AA$177*'BTX recycling rates'!AC71</f>
        <v>1.5872288074080004E-2</v>
      </c>
      <c r="AB179" s="230">
        <f>AB$177*'BTX recycling rates'!AD71</f>
        <v>1.3278120379562426E-2</v>
      </c>
      <c r="AC179" s="230">
        <f>AC$177*'BTX recycling rates'!AE71</f>
        <v>1.0550434674776418E-2</v>
      </c>
      <c r="AD179" s="230">
        <f>AD$177*'BTX recycling rates'!AF71</f>
        <v>7.772469983543198E-3</v>
      </c>
      <c r="AE179" s="230">
        <f>AE$177*'BTX recycling rates'!AG71</f>
        <v>5.0296853379102726E-3</v>
      </c>
      <c r="AF179" s="230">
        <f>AF$177*'BTX recycling rates'!AH71</f>
        <v>2.4093332208290764E-3</v>
      </c>
      <c r="AG179" s="230">
        <f>AG$177*'BTX recycling rates'!AI71</f>
        <v>0</v>
      </c>
      <c r="AH179" s="245"/>
      <c r="AI179" s="133"/>
      <c r="AJ179" s="211"/>
      <c r="AL179" s="108"/>
      <c r="AM179" s="2"/>
      <c r="AN179" s="2"/>
      <c r="AO179" s="2"/>
      <c r="BC179" s="1"/>
      <c r="BD179" s="2"/>
      <c r="BE179" s="2"/>
      <c r="BF179" s="2"/>
      <c r="BG179" s="2"/>
      <c r="BH179" s="2"/>
      <c r="BI179" s="2"/>
      <c r="BJ179" s="2"/>
      <c r="BK179" s="2"/>
    </row>
    <row r="180" spans="1:63" outlineLevel="1" x14ac:dyDescent="0.2">
      <c r="A180" s="4" t="s">
        <v>745</v>
      </c>
      <c r="C180" s="230">
        <f>C$177*'BTX recycling rates'!E72</f>
        <v>0</v>
      </c>
      <c r="D180" s="230">
        <f>D$177*'BTX recycling rates'!F72</f>
        <v>3.3554426216671505E-4</v>
      </c>
      <c r="E180" s="230">
        <f>E$177*'BTX recycling rates'!G72</f>
        <v>8.1893750078557864E-4</v>
      </c>
      <c r="F180" s="230">
        <f>F$177*'BTX recycling rates'!H72</f>
        <v>1.4521829752727909E-3</v>
      </c>
      <c r="G180" s="230">
        <f>G$177*'BTX recycling rates'!I72</f>
        <v>2.2341723259830673E-3</v>
      </c>
      <c r="H180" s="230">
        <f>H$177*'BTX recycling rates'!J72</f>
        <v>3.160538579314844E-3</v>
      </c>
      <c r="I180" s="230">
        <f>I$177*'BTX recycling rates'!K72</f>
        <v>4.2326945806532559E-3</v>
      </c>
      <c r="J180" s="230">
        <f>J$177*'BTX recycling rates'!L72</f>
        <v>5.4473697018702612E-3</v>
      </c>
      <c r="K180" s="230">
        <f>K$177*'BTX recycling rates'!M72</f>
        <v>6.7996482151752797E-3</v>
      </c>
      <c r="L180" s="230">
        <f>L$177*'BTX recycling rates'!N72</f>
        <v>8.2828746244218796E-3</v>
      </c>
      <c r="M180" s="230">
        <f>M$177*'BTX recycling rates'!O72</f>
        <v>9.8885631059501718E-3</v>
      </c>
      <c r="N180" s="230">
        <f>N$177*'BTX recycling rates'!P72</f>
        <v>1.2445758439661971E-2</v>
      </c>
      <c r="O180" s="230">
        <f>O$177*'BTX recycling rates'!Q72</f>
        <v>1.5217238020769398E-2</v>
      </c>
      <c r="P180" s="230">
        <f>P$177*'BTX recycling rates'!R72</f>
        <v>1.8103915620502783E-2</v>
      </c>
      <c r="Q180" s="230">
        <f>Q$177*'BTX recycling rates'!S72</f>
        <v>2.1103625575639131E-2</v>
      </c>
      <c r="R180" s="230">
        <f>R$177*'BTX recycling rates'!T72</f>
        <v>2.4167593240786024E-2</v>
      </c>
      <c r="S180" s="230">
        <f>S$177*'BTX recycling rates'!U72</f>
        <v>2.729236738752178E-2</v>
      </c>
      <c r="T180" s="230">
        <f>T$177*'BTX recycling rates'!V72</f>
        <v>3.0439218640380364E-2</v>
      </c>
      <c r="U180" s="230">
        <f>U$177*'BTX recycling rates'!W72</f>
        <v>3.3566663974030818E-2</v>
      </c>
      <c r="V180" s="230">
        <f>V$177*'BTX recycling rates'!X72</f>
        <v>3.6630448884735468E-2</v>
      </c>
      <c r="W180" s="230">
        <f>W$177*'BTX recycling rates'!Y72</f>
        <v>3.9583534470564972E-2</v>
      </c>
      <c r="X180" s="230">
        <f>X$177*'BTX recycling rates'!Z72</f>
        <v>4.3993683194671139E-2</v>
      </c>
      <c r="Y180" s="230">
        <f>Y$177*'BTX recycling rates'!AA72</f>
        <v>4.8204100059277333E-2</v>
      </c>
      <c r="Z180" s="230">
        <f>Z$177*'BTX recycling rates'!AB72</f>
        <v>5.1682625769316835E-2</v>
      </c>
      <c r="AA180" s="230">
        <f>AA$177*'BTX recycling rates'!AC72</f>
        <v>5.4714256093131929E-2</v>
      </c>
      <c r="AB180" s="230">
        <f>AB$177*'BTX recycling rates'!AD72</f>
        <v>5.7214693581987136E-2</v>
      </c>
      <c r="AC180" s="230">
        <f>AC$177*'BTX recycling rates'!AE72</f>
        <v>5.9099618828896118E-2</v>
      </c>
      <c r="AD180" s="230">
        <f>AD$177*'BTX recycling rates'!AF72</f>
        <v>6.0284065544591037E-2</v>
      </c>
      <c r="AE180" s="230">
        <f>AE$177*'BTX recycling rates'!AG72</f>
        <v>6.0683388322251036E-2</v>
      </c>
      <c r="AF180" s="230">
        <f>AF$177*'BTX recycling rates'!AH72</f>
        <v>6.021377247318304E-2</v>
      </c>
      <c r="AG180" s="230">
        <f>AG$177*'BTX recycling rates'!AI72</f>
        <v>5.8792774261780971E-2</v>
      </c>
      <c r="AH180" s="245"/>
      <c r="AI180" s="133"/>
      <c r="AJ180" s="211"/>
      <c r="AL180" s="108"/>
      <c r="AM180" s="2"/>
      <c r="AN180" s="2"/>
      <c r="AO180" s="2"/>
      <c r="BC180" s="1"/>
      <c r="BD180" s="2"/>
      <c r="BE180" s="2"/>
      <c r="BF180" s="2"/>
      <c r="BG180" s="2"/>
      <c r="BH180" s="2"/>
      <c r="BI180" s="2"/>
      <c r="BJ180" s="2"/>
      <c r="BK180" s="2"/>
    </row>
    <row r="181" spans="1:63" outlineLevel="1" x14ac:dyDescent="0.2">
      <c r="A181" s="4" t="s">
        <v>1561</v>
      </c>
      <c r="C181" s="230">
        <f>C$177*'BTX recycling rates'!E73</f>
        <v>6.221545140876918E-3</v>
      </c>
      <c r="D181" s="230">
        <f>D$177*'BTX recycling rates'!F73</f>
        <v>7.9907219053733675E-3</v>
      </c>
      <c r="E181" s="230">
        <f>E$177*'BTX recycling rates'!G73</f>
        <v>9.8168445558860055E-3</v>
      </c>
      <c r="F181" s="230">
        <f>F$177*'BTX recycling rates'!H73</f>
        <v>1.1682794947573748E-2</v>
      </c>
      <c r="G181" s="230">
        <f>G$177*'BTX recycling rates'!I73</f>
        <v>1.3569994894819297E-2</v>
      </c>
      <c r="H181" s="230">
        <f>H$177*'BTX recycling rates'!J73</f>
        <v>1.5458648207413717E-2</v>
      </c>
      <c r="I181" s="230">
        <f>I$177*'BTX recycling rates'!K73</f>
        <v>1.7365402010090486E-2</v>
      </c>
      <c r="J181" s="230">
        <f>J$177*'BTX recycling rates'!L73</f>
        <v>1.9280943127859426E-2</v>
      </c>
      <c r="K181" s="230">
        <f>K$177*'BTX recycling rates'!M73</f>
        <v>2.1195224756670416E-2</v>
      </c>
      <c r="L181" s="230">
        <f>L$177*'BTX recycling rates'!N73</f>
        <v>2.3097463468395144E-2</v>
      </c>
      <c r="M181" s="230">
        <f>M$177*'BTX recycling rates'!O73</f>
        <v>2.4976139282925452E-2</v>
      </c>
      <c r="N181" s="230">
        <f>N$177*'BTX recycling rates'!P73</f>
        <v>2.875872962415171E-2</v>
      </c>
      <c r="O181" s="230">
        <f>O$177*'BTX recycling rates'!Q73</f>
        <v>3.2435993926031997E-2</v>
      </c>
      <c r="P181" s="230">
        <f>P$177*'BTX recycling rates'!R73</f>
        <v>3.5843987791212457E-2</v>
      </c>
      <c r="Q181" s="230">
        <f>Q$177*'BTX recycling rates'!S73</f>
        <v>3.904036463565335E-2</v>
      </c>
      <c r="R181" s="230">
        <f>R$177*'BTX recycling rates'!T73</f>
        <v>4.1986337270439718E-2</v>
      </c>
      <c r="S181" s="230">
        <f>S$177*'BTX recycling rates'!U73</f>
        <v>4.4725133084756952E-2</v>
      </c>
      <c r="T181" s="230">
        <f>T$177*'BTX recycling rates'!V73</f>
        <v>4.7234934202110508E-2</v>
      </c>
      <c r="U181" s="230">
        <f>U$177*'BTX recycling rates'!W73</f>
        <v>4.9493330677735758E-2</v>
      </c>
      <c r="V181" s="230">
        <f>V$177*'BTX recycling rates'!X73</f>
        <v>5.1477335035128823E-2</v>
      </c>
      <c r="W181" s="230">
        <f>W$177*'BTX recycling rates'!Y73</f>
        <v>5.3163398176629711E-2</v>
      </c>
      <c r="X181" s="230">
        <f>X$177*'BTX recycling rates'!Z73</f>
        <v>5.6608865010013505E-2</v>
      </c>
      <c r="Y181" s="230">
        <f>Y$177*'BTX recycling rates'!AA73</f>
        <v>5.9558627350690257E-2</v>
      </c>
      <c r="Z181" s="230">
        <f>Z$177*'BTX recycling rates'!AB73</f>
        <v>6.1440530882954418E-2</v>
      </c>
      <c r="AA181" s="230">
        <f>AA$177*'BTX recycling rates'!AC73</f>
        <v>6.2699977480511468E-2</v>
      </c>
      <c r="AB181" s="230">
        <f>AB$177*'BTX recycling rates'!AD73</f>
        <v>6.3309783709425985E-2</v>
      </c>
      <c r="AC181" s="230">
        <f>AC$177*'BTX recycling rates'!AE73</f>
        <v>6.3244844803607758E-2</v>
      </c>
      <c r="AD181" s="230">
        <f>AD$177*'BTX recycling rates'!AF73</f>
        <v>6.2481101374963606E-2</v>
      </c>
      <c r="AE181" s="230">
        <f>AE$177*'BTX recycling rates'!AG73</f>
        <v>6.0996306967963647E-2</v>
      </c>
      <c r="AF181" s="230">
        <f>AF$177*'BTX recycling rates'!AH73</f>
        <v>5.877022197083899E-2</v>
      </c>
      <c r="AG181" s="230">
        <f>AG$177*'BTX recycling rates'!AI73</f>
        <v>5.5784813941688979E-2</v>
      </c>
      <c r="AH181" s="245"/>
      <c r="AI181" s="133"/>
      <c r="AJ181" s="211"/>
      <c r="AL181" s="108"/>
      <c r="AM181" s="2"/>
      <c r="AN181" s="2"/>
      <c r="AO181" s="2"/>
      <c r="BC181" s="1"/>
      <c r="BD181" s="2"/>
      <c r="BE181" s="2"/>
      <c r="BF181" s="2"/>
      <c r="BG181" s="2"/>
      <c r="BH181" s="2"/>
      <c r="BI181" s="2"/>
      <c r="BJ181" s="2"/>
      <c r="BK181" s="2"/>
    </row>
    <row r="182" spans="1:63" s="1" customFormat="1" outlineLevel="1" x14ac:dyDescent="0.2">
      <c r="A182" s="1" t="s">
        <v>1568</v>
      </c>
      <c r="B182" s="65"/>
      <c r="C182" s="300">
        <f t="shared" ref="C182:AG182" si="83">C177-$C177</f>
        <v>0</v>
      </c>
      <c r="D182" s="300">
        <f t="shared" si="83"/>
        <v>4.2398601239105726E-3</v>
      </c>
      <c r="E182" s="300">
        <f t="shared" si="83"/>
        <v>8.5618655113781413E-3</v>
      </c>
      <c r="F182" s="300">
        <f t="shared" si="83"/>
        <v>1.2922911178086844E-2</v>
      </c>
      <c r="G182" s="300">
        <f t="shared" si="83"/>
        <v>1.7277516814770445E-2</v>
      </c>
      <c r="H182" s="300">
        <f t="shared" si="83"/>
        <v>2.1578483296808046E-2</v>
      </c>
      <c r="I182" s="300">
        <f t="shared" si="83"/>
        <v>2.5866397234866952E-2</v>
      </c>
      <c r="J182" s="300">
        <f t="shared" si="83"/>
        <v>3.0119535758645857E-2</v>
      </c>
      <c r="K182" s="300">
        <f t="shared" si="83"/>
        <v>3.4315014810695599E-2</v>
      </c>
      <c r="L182" s="300">
        <f t="shared" si="83"/>
        <v>3.8428819270590733E-2</v>
      </c>
      <c r="M182" s="300">
        <f t="shared" si="83"/>
        <v>4.2435839031055217E-2</v>
      </c>
      <c r="N182" s="300">
        <f t="shared" si="83"/>
        <v>5.0771580579250006E-2</v>
      </c>
      <c r="O182" s="300">
        <f t="shared" si="83"/>
        <v>5.876204503960504E-2</v>
      </c>
      <c r="P182" s="300">
        <f t="shared" si="83"/>
        <v>6.6041289431278932E-2</v>
      </c>
      <c r="Q182" s="300">
        <f t="shared" si="83"/>
        <v>7.2752674069084811E-2</v>
      </c>
      <c r="R182" s="300">
        <f t="shared" si="83"/>
        <v>7.8819663146347738E-2</v>
      </c>
      <c r="S182" s="300">
        <f t="shared" si="83"/>
        <v>8.4350469796601338E-2</v>
      </c>
      <c r="T182" s="300">
        <f t="shared" si="83"/>
        <v>8.9306519255687555E-2</v>
      </c>
      <c r="U182" s="300">
        <f t="shared" si="83"/>
        <v>9.3648864900445897E-2</v>
      </c>
      <c r="V182" s="300">
        <f t="shared" si="83"/>
        <v>9.7338231245916548E-2</v>
      </c>
      <c r="W182" s="300">
        <f t="shared" si="83"/>
        <v>0.10033505839293989</v>
      </c>
      <c r="X182" s="300">
        <f t="shared" si="83"/>
        <v>0.1071030161495021</v>
      </c>
      <c r="Y182" s="300">
        <f t="shared" si="83"/>
        <v>0.11272491635186066</v>
      </c>
      <c r="Z182" s="300">
        <f t="shared" si="83"/>
        <v>0.11599751579001222</v>
      </c>
      <c r="AA182" s="300">
        <f t="shared" si="83"/>
        <v>0.11790874026178233</v>
      </c>
      <c r="AB182" s="300">
        <f t="shared" si="83"/>
        <v>0.11842481628503448</v>
      </c>
      <c r="AC182" s="300">
        <f t="shared" si="83"/>
        <v>0.11751711692133923</v>
      </c>
      <c r="AD182" s="300">
        <f t="shared" si="83"/>
        <v>0.11515985551715677</v>
      </c>
      <c r="AE182" s="300">
        <f t="shared" si="83"/>
        <v>0.11133159924218389</v>
      </c>
      <c r="AF182" s="300">
        <f t="shared" si="83"/>
        <v>0.10601554627891004</v>
      </c>
      <c r="AG182" s="300">
        <f t="shared" si="83"/>
        <v>9.9199806817528893E-2</v>
      </c>
      <c r="AH182" s="245"/>
      <c r="AI182" s="423"/>
      <c r="AJ182" s="424"/>
      <c r="AL182" s="221"/>
      <c r="AM182" s="124"/>
      <c r="AN182" s="124"/>
      <c r="AO182" s="124"/>
      <c r="BD182" s="124"/>
      <c r="BE182" s="124"/>
      <c r="BF182" s="124"/>
      <c r="BG182" s="124"/>
      <c r="BH182" s="124"/>
      <c r="BI182" s="124"/>
      <c r="BJ182" s="124"/>
      <c r="BK182" s="124"/>
    </row>
    <row r="183" spans="1:63" outlineLevel="1" x14ac:dyDescent="0.2">
      <c r="A183" s="4" t="s">
        <v>474</v>
      </c>
      <c r="C183" s="230">
        <f t="shared" ref="C183:R186" si="84">C178-$C178</f>
        <v>0</v>
      </c>
      <c r="D183" s="230">
        <f t="shared" ref="D183:AG183" si="85">D178-$C178</f>
        <v>0</v>
      </c>
      <c r="E183" s="230">
        <f t="shared" si="85"/>
        <v>0</v>
      </c>
      <c r="F183" s="230">
        <f t="shared" si="85"/>
        <v>0</v>
      </c>
      <c r="G183" s="230">
        <f t="shared" si="85"/>
        <v>0</v>
      </c>
      <c r="H183" s="230">
        <f t="shared" si="85"/>
        <v>0</v>
      </c>
      <c r="I183" s="230">
        <f t="shared" si="85"/>
        <v>0</v>
      </c>
      <c r="J183" s="230">
        <f t="shared" si="85"/>
        <v>0</v>
      </c>
      <c r="K183" s="230">
        <f t="shared" si="85"/>
        <v>0</v>
      </c>
      <c r="L183" s="230">
        <f t="shared" si="85"/>
        <v>0</v>
      </c>
      <c r="M183" s="230">
        <f t="shared" si="85"/>
        <v>0</v>
      </c>
      <c r="N183" s="230">
        <f t="shared" si="85"/>
        <v>0</v>
      </c>
      <c r="O183" s="230">
        <f t="shared" si="85"/>
        <v>0</v>
      </c>
      <c r="P183" s="230">
        <f t="shared" si="85"/>
        <v>0</v>
      </c>
      <c r="Q183" s="230">
        <f t="shared" si="85"/>
        <v>0</v>
      </c>
      <c r="R183" s="230">
        <f t="shared" si="85"/>
        <v>0</v>
      </c>
      <c r="S183" s="230">
        <f t="shared" si="85"/>
        <v>0</v>
      </c>
      <c r="T183" s="230">
        <f t="shared" si="85"/>
        <v>0</v>
      </c>
      <c r="U183" s="230">
        <f t="shared" si="85"/>
        <v>0</v>
      </c>
      <c r="V183" s="230">
        <f t="shared" si="85"/>
        <v>0</v>
      </c>
      <c r="W183" s="230">
        <f t="shared" si="85"/>
        <v>0</v>
      </c>
      <c r="X183" s="230">
        <f t="shared" si="85"/>
        <v>0</v>
      </c>
      <c r="Y183" s="230">
        <f t="shared" si="85"/>
        <v>0</v>
      </c>
      <c r="Z183" s="230">
        <f t="shared" si="85"/>
        <v>0</v>
      </c>
      <c r="AA183" s="230">
        <f t="shared" si="85"/>
        <v>0</v>
      </c>
      <c r="AB183" s="230">
        <f t="shared" si="85"/>
        <v>0</v>
      </c>
      <c r="AC183" s="230">
        <f t="shared" si="85"/>
        <v>0</v>
      </c>
      <c r="AD183" s="230">
        <f t="shared" si="85"/>
        <v>0</v>
      </c>
      <c r="AE183" s="230">
        <f t="shared" si="85"/>
        <v>0</v>
      </c>
      <c r="AF183" s="230">
        <f t="shared" si="85"/>
        <v>0</v>
      </c>
      <c r="AG183" s="230">
        <f t="shared" si="85"/>
        <v>0</v>
      </c>
      <c r="AH183" s="245"/>
      <c r="AI183" s="133"/>
      <c r="AJ183" s="211"/>
      <c r="AL183" s="108"/>
      <c r="AM183" s="2"/>
      <c r="AN183" s="2"/>
      <c r="AO183" s="2"/>
      <c r="BC183" s="1"/>
      <c r="BD183" s="2"/>
      <c r="BE183" s="2"/>
      <c r="BF183" s="2"/>
      <c r="BG183" s="2"/>
      <c r="BH183" s="2"/>
      <c r="BI183" s="2"/>
      <c r="BJ183" s="2"/>
      <c r="BK183" s="2"/>
    </row>
    <row r="184" spans="1:63" outlineLevel="1" x14ac:dyDescent="0.2">
      <c r="A184" s="4" t="s">
        <v>478</v>
      </c>
      <c r="C184" s="230">
        <f t="shared" si="84"/>
        <v>0</v>
      </c>
      <c r="D184" s="230">
        <f t="shared" si="84"/>
        <v>2.1351390972474075E-3</v>
      </c>
      <c r="E184" s="230">
        <f t="shared" si="84"/>
        <v>4.1476285955834736E-3</v>
      </c>
      <c r="F184" s="230">
        <f t="shared" si="84"/>
        <v>6.009478396117221E-3</v>
      </c>
      <c r="G184" s="230">
        <f t="shared" si="84"/>
        <v>7.6948947348449981E-3</v>
      </c>
      <c r="H184" s="230">
        <f t="shared" si="84"/>
        <v>9.1808416509564054E-3</v>
      </c>
      <c r="I184" s="230">
        <f t="shared" si="84"/>
        <v>1.0489845785000129E-2</v>
      </c>
      <c r="J184" s="230">
        <f t="shared" si="84"/>
        <v>1.1612768069793087E-2</v>
      </c>
      <c r="K184" s="230">
        <f t="shared" si="84"/>
        <v>1.254168697972682E-2</v>
      </c>
      <c r="L184" s="230">
        <f t="shared" si="84"/>
        <v>1.3270026318650631E-2</v>
      </c>
      <c r="M184" s="230">
        <f t="shared" si="84"/>
        <v>1.379268178305651E-2</v>
      </c>
      <c r="N184" s="230">
        <f t="shared" si="84"/>
        <v>1.5788637656313245E-2</v>
      </c>
      <c r="O184" s="230">
        <f t="shared" si="84"/>
        <v>1.7330358233680562E-2</v>
      </c>
      <c r="P184" s="230">
        <f t="shared" si="84"/>
        <v>1.8314931160440605E-2</v>
      </c>
      <c r="Q184" s="230">
        <f t="shared" si="84"/>
        <v>1.8830228998669249E-2</v>
      </c>
      <c r="R184" s="230">
        <f t="shared" si="84"/>
        <v>1.8887277775998919E-2</v>
      </c>
      <c r="S184" s="230">
        <f t="shared" ref="S184:AG186" si="86">S179-$C179</f>
        <v>1.8554514465199529E-2</v>
      </c>
      <c r="T184" s="230">
        <f t="shared" si="86"/>
        <v>1.7853911554073603E-2</v>
      </c>
      <c r="U184" s="230">
        <f t="shared" si="86"/>
        <v>1.681041538955624E-2</v>
      </c>
      <c r="V184" s="230">
        <f t="shared" si="86"/>
        <v>1.5451992466929174E-2</v>
      </c>
      <c r="W184" s="230">
        <f t="shared" si="86"/>
        <v>1.3809670886622126E-2</v>
      </c>
      <c r="X184" s="230">
        <f t="shared" si="86"/>
        <v>1.2722013085694376E-2</v>
      </c>
      <c r="Y184" s="230">
        <f t="shared" si="86"/>
        <v>1.118373408276999E-2</v>
      </c>
      <c r="Z184" s="230">
        <f t="shared" si="86"/>
        <v>9.0959042786178806E-3</v>
      </c>
      <c r="AA184" s="230">
        <f t="shared" si="86"/>
        <v>6.7160518290158601E-3</v>
      </c>
      <c r="AB184" s="230">
        <f t="shared" si="86"/>
        <v>4.1218841344982816E-3</v>
      </c>
      <c r="AC184" s="230">
        <f t="shared" si="86"/>
        <v>1.3941984297122737E-3</v>
      </c>
      <c r="AD184" s="230">
        <f t="shared" si="86"/>
        <v>-1.3837662615209462E-3</v>
      </c>
      <c r="AE184" s="230">
        <f t="shared" si="86"/>
        <v>-4.1265509071538716E-3</v>
      </c>
      <c r="AF184" s="230">
        <f t="shared" si="86"/>
        <v>-6.7469030242350674E-3</v>
      </c>
      <c r="AG184" s="230">
        <f t="shared" si="86"/>
        <v>-9.1562362450641442E-3</v>
      </c>
      <c r="AH184" s="245"/>
      <c r="AI184" s="133"/>
      <c r="AJ184" s="211"/>
      <c r="AL184" s="108"/>
      <c r="AM184" s="2"/>
      <c r="AN184" s="2"/>
      <c r="AO184" s="2"/>
      <c r="BC184" s="1"/>
      <c r="BD184" s="2"/>
      <c r="BE184" s="2"/>
      <c r="BF184" s="2"/>
      <c r="BG184" s="2"/>
      <c r="BH184" s="2"/>
      <c r="BI184" s="2"/>
      <c r="BJ184" s="2"/>
      <c r="BK184" s="2"/>
    </row>
    <row r="185" spans="1:63" outlineLevel="1" x14ac:dyDescent="0.2">
      <c r="A185" s="4" t="s">
        <v>745</v>
      </c>
      <c r="C185" s="230">
        <f t="shared" si="84"/>
        <v>0</v>
      </c>
      <c r="D185" s="230">
        <f t="shared" si="84"/>
        <v>3.3554426216671505E-4</v>
      </c>
      <c r="E185" s="230">
        <f t="shared" si="84"/>
        <v>8.1893750078557864E-4</v>
      </c>
      <c r="F185" s="230">
        <f t="shared" si="84"/>
        <v>1.4521829752727909E-3</v>
      </c>
      <c r="G185" s="230">
        <f t="shared" si="84"/>
        <v>2.2341723259830673E-3</v>
      </c>
      <c r="H185" s="230">
        <f t="shared" si="84"/>
        <v>3.160538579314844E-3</v>
      </c>
      <c r="I185" s="230">
        <f t="shared" si="84"/>
        <v>4.2326945806532559E-3</v>
      </c>
      <c r="J185" s="230">
        <f t="shared" si="84"/>
        <v>5.4473697018702612E-3</v>
      </c>
      <c r="K185" s="230">
        <f t="shared" si="84"/>
        <v>6.7996482151752797E-3</v>
      </c>
      <c r="L185" s="230">
        <f t="shared" si="84"/>
        <v>8.2828746244218796E-3</v>
      </c>
      <c r="M185" s="230">
        <f t="shared" si="84"/>
        <v>9.8885631059501718E-3</v>
      </c>
      <c r="N185" s="230">
        <f t="shared" si="84"/>
        <v>1.2445758439661971E-2</v>
      </c>
      <c r="O185" s="230">
        <f t="shared" si="84"/>
        <v>1.5217238020769398E-2</v>
      </c>
      <c r="P185" s="230">
        <f t="shared" si="84"/>
        <v>1.8103915620502783E-2</v>
      </c>
      <c r="Q185" s="230">
        <f t="shared" si="84"/>
        <v>2.1103625575639131E-2</v>
      </c>
      <c r="R185" s="230">
        <f t="shared" si="84"/>
        <v>2.4167593240786024E-2</v>
      </c>
      <c r="S185" s="230">
        <f t="shared" si="86"/>
        <v>2.729236738752178E-2</v>
      </c>
      <c r="T185" s="230">
        <f t="shared" si="86"/>
        <v>3.0439218640380364E-2</v>
      </c>
      <c r="U185" s="230">
        <f t="shared" si="86"/>
        <v>3.3566663974030818E-2</v>
      </c>
      <c r="V185" s="230">
        <f t="shared" si="86"/>
        <v>3.6630448884735468E-2</v>
      </c>
      <c r="W185" s="230">
        <f t="shared" si="86"/>
        <v>3.9583534470564972E-2</v>
      </c>
      <c r="X185" s="230">
        <f t="shared" si="86"/>
        <v>4.3993683194671139E-2</v>
      </c>
      <c r="Y185" s="230">
        <f t="shared" si="86"/>
        <v>4.8204100059277333E-2</v>
      </c>
      <c r="Z185" s="230">
        <f t="shared" si="86"/>
        <v>5.1682625769316835E-2</v>
      </c>
      <c r="AA185" s="230">
        <f t="shared" si="86"/>
        <v>5.4714256093131929E-2</v>
      </c>
      <c r="AB185" s="230">
        <f t="shared" si="86"/>
        <v>5.7214693581987136E-2</v>
      </c>
      <c r="AC185" s="230">
        <f t="shared" si="86"/>
        <v>5.9099618828896118E-2</v>
      </c>
      <c r="AD185" s="230">
        <f t="shared" si="86"/>
        <v>6.0284065544591037E-2</v>
      </c>
      <c r="AE185" s="230">
        <f t="shared" si="86"/>
        <v>6.0683388322251036E-2</v>
      </c>
      <c r="AF185" s="230">
        <f t="shared" si="86"/>
        <v>6.021377247318304E-2</v>
      </c>
      <c r="AG185" s="230">
        <f t="shared" si="86"/>
        <v>5.8792774261780971E-2</v>
      </c>
      <c r="AH185" s="245"/>
      <c r="AI185" s="133"/>
      <c r="AJ185" s="211"/>
      <c r="AL185" s="108"/>
      <c r="AM185" s="2"/>
      <c r="AN185" s="2"/>
      <c r="AO185" s="2"/>
      <c r="BC185" s="1"/>
      <c r="BD185" s="2"/>
      <c r="BE185" s="2"/>
      <c r="BF185" s="2"/>
      <c r="BG185" s="2"/>
      <c r="BH185" s="2"/>
      <c r="BI185" s="2"/>
      <c r="BJ185" s="2"/>
      <c r="BK185" s="2"/>
    </row>
    <row r="186" spans="1:63" outlineLevel="1" x14ac:dyDescent="0.2">
      <c r="A186" s="4" t="s">
        <v>1561</v>
      </c>
      <c r="C186" s="230">
        <f t="shared" si="84"/>
        <v>0</v>
      </c>
      <c r="D186" s="230">
        <f t="shared" si="84"/>
        <v>1.7691767644964496E-3</v>
      </c>
      <c r="E186" s="230">
        <f t="shared" si="84"/>
        <v>3.5952994150090876E-3</v>
      </c>
      <c r="F186" s="230">
        <f t="shared" si="84"/>
        <v>5.4612498066968305E-3</v>
      </c>
      <c r="G186" s="230">
        <f t="shared" si="84"/>
        <v>7.348449753942379E-3</v>
      </c>
      <c r="H186" s="230">
        <f t="shared" si="84"/>
        <v>9.2371030665367986E-3</v>
      </c>
      <c r="I186" s="230">
        <f t="shared" si="84"/>
        <v>1.1143856869213568E-2</v>
      </c>
      <c r="J186" s="230">
        <f t="shared" si="84"/>
        <v>1.3059397986982508E-2</v>
      </c>
      <c r="K186" s="230">
        <f t="shared" si="84"/>
        <v>1.4973679615793498E-2</v>
      </c>
      <c r="L186" s="230">
        <f t="shared" si="84"/>
        <v>1.6875918327518225E-2</v>
      </c>
      <c r="M186" s="230">
        <f t="shared" si="84"/>
        <v>1.8754594142048532E-2</v>
      </c>
      <c r="N186" s="230">
        <f t="shared" si="84"/>
        <v>2.253718448327479E-2</v>
      </c>
      <c r="O186" s="230">
        <f t="shared" si="84"/>
        <v>2.6214448785155081E-2</v>
      </c>
      <c r="P186" s="230">
        <f t="shared" si="84"/>
        <v>2.9622442650335541E-2</v>
      </c>
      <c r="Q186" s="230">
        <f t="shared" si="84"/>
        <v>3.2818819494776434E-2</v>
      </c>
      <c r="R186" s="230">
        <f t="shared" si="84"/>
        <v>3.5764792129562802E-2</v>
      </c>
      <c r="S186" s="230">
        <f t="shared" si="86"/>
        <v>3.8503587943880035E-2</v>
      </c>
      <c r="T186" s="230">
        <f t="shared" si="86"/>
        <v>4.1013389061233592E-2</v>
      </c>
      <c r="U186" s="230">
        <f t="shared" si="86"/>
        <v>4.3271785536858842E-2</v>
      </c>
      <c r="V186" s="230">
        <f t="shared" si="86"/>
        <v>4.5255789894251906E-2</v>
      </c>
      <c r="W186" s="230">
        <f t="shared" si="86"/>
        <v>4.6941853035752795E-2</v>
      </c>
      <c r="X186" s="230">
        <f t="shared" si="86"/>
        <v>5.0387319869136589E-2</v>
      </c>
      <c r="Y186" s="230">
        <f t="shared" si="86"/>
        <v>5.3337082209813341E-2</v>
      </c>
      <c r="Z186" s="230">
        <f t="shared" si="86"/>
        <v>5.5218985742077502E-2</v>
      </c>
      <c r="AA186" s="230">
        <f t="shared" si="86"/>
        <v>5.6478432339634552E-2</v>
      </c>
      <c r="AB186" s="230">
        <f t="shared" si="86"/>
        <v>5.7088238568549068E-2</v>
      </c>
      <c r="AC186" s="230">
        <f t="shared" si="86"/>
        <v>5.7023299662730842E-2</v>
      </c>
      <c r="AD186" s="230">
        <f t="shared" si="86"/>
        <v>5.625955623408669E-2</v>
      </c>
      <c r="AE186" s="230">
        <f t="shared" si="86"/>
        <v>5.4774761827086731E-2</v>
      </c>
      <c r="AF186" s="230">
        <f t="shared" si="86"/>
        <v>5.2548676829962074E-2</v>
      </c>
      <c r="AG186" s="230">
        <f t="shared" si="86"/>
        <v>4.9563268800812063E-2</v>
      </c>
      <c r="AH186" s="245"/>
      <c r="AI186" s="133"/>
      <c r="AJ186" s="211"/>
      <c r="AL186" s="108"/>
      <c r="AM186" s="2"/>
      <c r="AN186" s="2"/>
      <c r="AO186" s="2"/>
      <c r="BC186" s="1"/>
      <c r="BD186" s="2"/>
      <c r="BE186" s="2"/>
      <c r="BF186" s="2"/>
      <c r="BG186" s="2"/>
      <c r="BH186" s="2"/>
      <c r="BI186" s="2"/>
      <c r="BJ186" s="2"/>
      <c r="BK186" s="2"/>
    </row>
    <row r="187" spans="1:63" outlineLevel="1" x14ac:dyDescent="0.2">
      <c r="C187" s="110"/>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J187" s="211"/>
      <c r="AM187" s="123"/>
      <c r="AN187" s="123"/>
    </row>
    <row r="188" spans="1:63" s="200" customFormat="1" ht="16" thickBot="1" x14ac:dyDescent="0.25">
      <c r="A188" s="200" t="s">
        <v>1339</v>
      </c>
      <c r="B188" s="215"/>
      <c r="C188" s="224">
        <f>C189</f>
        <v>0.13</v>
      </c>
      <c r="D188" s="224">
        <f t="shared" ref="D188:AG188" si="87">D189</f>
        <v>0.13557711853523402</v>
      </c>
      <c r="E188" s="224">
        <f t="shared" si="87"/>
        <v>0.14115423707046801</v>
      </c>
      <c r="F188" s="224">
        <f t="shared" si="87"/>
        <v>0.14673135560570202</v>
      </c>
      <c r="G188" s="224">
        <f t="shared" si="87"/>
        <v>0.15230847414093604</v>
      </c>
      <c r="H188" s="224">
        <f t="shared" si="87"/>
        <v>0.15788559267617003</v>
      </c>
      <c r="I188" s="224">
        <f t="shared" si="87"/>
        <v>0.16346271121140404</v>
      </c>
      <c r="J188" s="224">
        <f t="shared" si="87"/>
        <v>0.16903982974663806</v>
      </c>
      <c r="K188" s="224">
        <f t="shared" si="87"/>
        <v>0.17461694828187208</v>
      </c>
      <c r="L188" s="224">
        <f t="shared" si="87"/>
        <v>0.18019406681710606</v>
      </c>
      <c r="M188" s="224">
        <f t="shared" si="87"/>
        <v>0.18577118535234008</v>
      </c>
      <c r="N188" s="224">
        <f t="shared" si="87"/>
        <v>0.19752603518814099</v>
      </c>
      <c r="O188" s="224">
        <f t="shared" si="87"/>
        <v>0.20928088502394188</v>
      </c>
      <c r="P188" s="224">
        <f t="shared" si="87"/>
        <v>0.22103573485974279</v>
      </c>
      <c r="Q188" s="224">
        <f t="shared" si="87"/>
        <v>0.2327905846955437</v>
      </c>
      <c r="R188" s="224">
        <f t="shared" si="87"/>
        <v>0.24454543453134459</v>
      </c>
      <c r="S188" s="224">
        <f t="shared" si="87"/>
        <v>0.25630028436714547</v>
      </c>
      <c r="T188" s="224">
        <f t="shared" si="87"/>
        <v>0.26805513420294641</v>
      </c>
      <c r="U188" s="224">
        <f t="shared" si="87"/>
        <v>0.27980998403874729</v>
      </c>
      <c r="V188" s="224">
        <f t="shared" si="87"/>
        <v>0.29156483387454823</v>
      </c>
      <c r="W188" s="224">
        <f t="shared" si="87"/>
        <v>0.30331968371034912</v>
      </c>
      <c r="X188" s="224">
        <f t="shared" si="87"/>
        <v>0.3229877153393142</v>
      </c>
      <c r="Y188" s="224">
        <f t="shared" si="87"/>
        <v>0.34265574696827927</v>
      </c>
      <c r="Z188" s="224">
        <f t="shared" si="87"/>
        <v>0.36232377859724441</v>
      </c>
      <c r="AA188" s="224">
        <f t="shared" si="87"/>
        <v>0.38199181022620948</v>
      </c>
      <c r="AB188" s="224">
        <f t="shared" si="87"/>
        <v>0.40165984185517456</v>
      </c>
      <c r="AC188" s="224">
        <f t="shared" si="87"/>
        <v>0.42132787348413964</v>
      </c>
      <c r="AD188" s="224">
        <f t="shared" si="87"/>
        <v>0.44099590511310471</v>
      </c>
      <c r="AE188" s="224">
        <f t="shared" si="87"/>
        <v>0.46066393674206985</v>
      </c>
      <c r="AF188" s="224">
        <f t="shared" si="87"/>
        <v>0.48033196837103487</v>
      </c>
      <c r="AG188" s="224">
        <f t="shared" si="87"/>
        <v>0.5</v>
      </c>
      <c r="AJ188" s="231" t="s">
        <v>1340</v>
      </c>
      <c r="AL188" s="217"/>
      <c r="AM188" s="225"/>
      <c r="AN188" s="225"/>
      <c r="AO188" s="225"/>
    </row>
    <row r="189" spans="1:63" ht="16" outlineLevel="1" thickTop="1" x14ac:dyDescent="0.2">
      <c r="A189" t="s">
        <v>1341</v>
      </c>
      <c r="B189" s="54" t="s">
        <v>462</v>
      </c>
      <c r="C189" s="214">
        <v>0.13</v>
      </c>
      <c r="D189" s="110">
        <f>$C189+($M189-$C189)/10*(D$1-$C$1)</f>
        <v>0.13557711853523402</v>
      </c>
      <c r="E189" s="110">
        <f t="shared" ref="E189:L189" si="88">$C189+($M189-$C189)/10*(E$1-$C$1)</f>
        <v>0.14115423707046801</v>
      </c>
      <c r="F189" s="110">
        <f t="shared" si="88"/>
        <v>0.14673135560570202</v>
      </c>
      <c r="G189" s="110">
        <f t="shared" si="88"/>
        <v>0.15230847414093604</v>
      </c>
      <c r="H189" s="110">
        <f t="shared" si="88"/>
        <v>0.15788559267617003</v>
      </c>
      <c r="I189" s="110">
        <f t="shared" si="88"/>
        <v>0.16346271121140404</v>
      </c>
      <c r="J189" s="110">
        <f t="shared" si="88"/>
        <v>0.16903982974663806</v>
      </c>
      <c r="K189" s="110">
        <f t="shared" si="88"/>
        <v>0.17461694828187208</v>
      </c>
      <c r="L189" s="110">
        <f t="shared" si="88"/>
        <v>0.18019406681710606</v>
      </c>
      <c r="M189" s="121">
        <f>(M$52-$C$52)/($AG$52-$C$52)*($AG189-$C189)+$C189</f>
        <v>0.18577118535234008</v>
      </c>
      <c r="N189" s="121">
        <f>$M189+($W189-$M189)/10*(N$1-$M$1)</f>
        <v>0.19752603518814099</v>
      </c>
      <c r="O189" s="121">
        <f t="shared" ref="O189:U189" si="89">$M189+($W189-$M189)/10*(O$1-$M$1)</f>
        <v>0.20928088502394188</v>
      </c>
      <c r="P189" s="121">
        <f t="shared" si="89"/>
        <v>0.22103573485974279</v>
      </c>
      <c r="Q189" s="121">
        <f t="shared" si="89"/>
        <v>0.2327905846955437</v>
      </c>
      <c r="R189" s="121">
        <f t="shared" si="89"/>
        <v>0.24454543453134459</v>
      </c>
      <c r="S189" s="121">
        <f t="shared" si="89"/>
        <v>0.25630028436714547</v>
      </c>
      <c r="T189" s="121">
        <f t="shared" si="89"/>
        <v>0.26805513420294641</v>
      </c>
      <c r="U189" s="121">
        <f t="shared" si="89"/>
        <v>0.27980998403874729</v>
      </c>
      <c r="V189" s="121">
        <f>$M189+($W189-$M189)/10*(V$1-$M$1)</f>
        <v>0.29156483387454823</v>
      </c>
      <c r="W189" s="121">
        <f>(W$52-$C$52)/($AG$52-$C$52)*($AG189-$C189)+$C189</f>
        <v>0.30331968371034912</v>
      </c>
      <c r="X189" s="110">
        <f>$W189+($AG189-$W189)/10*(X$1-$W$1)</f>
        <v>0.3229877153393142</v>
      </c>
      <c r="Y189" s="110">
        <f t="shared" ref="Y189:AF189" si="90">$W189+($AG189-$W189)/10*(Y$1-$W$1)</f>
        <v>0.34265574696827927</v>
      </c>
      <c r="Z189" s="110">
        <f t="shared" si="90"/>
        <v>0.36232377859724441</v>
      </c>
      <c r="AA189" s="110">
        <f t="shared" si="90"/>
        <v>0.38199181022620948</v>
      </c>
      <c r="AB189" s="110">
        <f t="shared" si="90"/>
        <v>0.40165984185517456</v>
      </c>
      <c r="AC189" s="110">
        <f t="shared" si="90"/>
        <v>0.42132787348413964</v>
      </c>
      <c r="AD189" s="110">
        <f t="shared" si="90"/>
        <v>0.44099590511310471</v>
      </c>
      <c r="AE189" s="110">
        <f t="shared" si="90"/>
        <v>0.46066393674206985</v>
      </c>
      <c r="AF189" s="110">
        <f t="shared" si="90"/>
        <v>0.48033196837103487</v>
      </c>
      <c r="AG189" s="214">
        <v>0.5</v>
      </c>
      <c r="AJ189" s="211" t="s">
        <v>1342</v>
      </c>
    </row>
    <row r="190" spans="1:63" outlineLevel="1" x14ac:dyDescent="0.2">
      <c r="A190" t="s">
        <v>1453</v>
      </c>
      <c r="B190" s="54" t="s">
        <v>462</v>
      </c>
      <c r="C190" s="214">
        <v>0.05</v>
      </c>
      <c r="D190" s="110">
        <f t="shared" ref="D190:AF190" si="91">C190-($C$190-$AG$190)/($AG$1-$C$1)</f>
        <v>5.8333333333333334E-2</v>
      </c>
      <c r="E190" s="110">
        <f t="shared" si="91"/>
        <v>6.6666666666666666E-2</v>
      </c>
      <c r="F190" s="110">
        <f t="shared" si="91"/>
        <v>7.4999999999999997E-2</v>
      </c>
      <c r="G190" s="110">
        <f t="shared" si="91"/>
        <v>8.3333333333333329E-2</v>
      </c>
      <c r="H190" s="110">
        <f t="shared" si="91"/>
        <v>9.166666666666666E-2</v>
      </c>
      <c r="I190" s="110">
        <f t="shared" si="91"/>
        <v>9.9999999999999992E-2</v>
      </c>
      <c r="J190" s="110">
        <f t="shared" si="91"/>
        <v>0.10833333333333332</v>
      </c>
      <c r="K190" s="110">
        <f t="shared" si="91"/>
        <v>0.11666666666666665</v>
      </c>
      <c r="L190" s="110">
        <f t="shared" si="91"/>
        <v>0.12499999999999999</v>
      </c>
      <c r="M190" s="110">
        <f t="shared" si="91"/>
        <v>0.13333333333333333</v>
      </c>
      <c r="N190" s="110">
        <f t="shared" si="91"/>
        <v>0.14166666666666666</v>
      </c>
      <c r="O190" s="110">
        <f t="shared" si="91"/>
        <v>0.15</v>
      </c>
      <c r="P190" s="110">
        <f t="shared" si="91"/>
        <v>0.15833333333333333</v>
      </c>
      <c r="Q190" s="110">
        <f t="shared" si="91"/>
        <v>0.16666666666666666</v>
      </c>
      <c r="R190" s="110">
        <f t="shared" si="91"/>
        <v>0.17499999999999999</v>
      </c>
      <c r="S190" s="110">
        <f t="shared" si="91"/>
        <v>0.18333333333333332</v>
      </c>
      <c r="T190" s="110">
        <f t="shared" si="91"/>
        <v>0.19166666666666665</v>
      </c>
      <c r="U190" s="110">
        <f t="shared" si="91"/>
        <v>0.19999999999999998</v>
      </c>
      <c r="V190" s="110">
        <f t="shared" si="91"/>
        <v>0.20833333333333331</v>
      </c>
      <c r="W190" s="110">
        <f t="shared" si="91"/>
        <v>0.21666666666666665</v>
      </c>
      <c r="X190" s="110">
        <f t="shared" si="91"/>
        <v>0.22499999999999998</v>
      </c>
      <c r="Y190" s="110">
        <f t="shared" si="91"/>
        <v>0.23333333333333331</v>
      </c>
      <c r="Z190" s="110">
        <f t="shared" si="91"/>
        <v>0.24166666666666664</v>
      </c>
      <c r="AA190" s="110">
        <f t="shared" si="91"/>
        <v>0.24999999999999997</v>
      </c>
      <c r="AB190" s="110">
        <f t="shared" si="91"/>
        <v>0.2583333333333333</v>
      </c>
      <c r="AC190" s="110">
        <f t="shared" si="91"/>
        <v>0.26666666666666666</v>
      </c>
      <c r="AD190" s="110">
        <f t="shared" si="91"/>
        <v>0.27500000000000002</v>
      </c>
      <c r="AE190" s="110">
        <f t="shared" si="91"/>
        <v>0.28333333333333338</v>
      </c>
      <c r="AF190" s="110">
        <f t="shared" si="91"/>
        <v>0.29166666666666674</v>
      </c>
      <c r="AG190" s="214">
        <v>0.3</v>
      </c>
      <c r="AI190" s="135"/>
      <c r="AJ190" s="211" t="s">
        <v>1454</v>
      </c>
      <c r="AM190" s="123"/>
      <c r="AN190" s="123"/>
    </row>
    <row r="191" spans="1:63" ht="14.5" customHeight="1" outlineLevel="1" x14ac:dyDescent="0.2">
      <c r="A191" t="s">
        <v>1455</v>
      </c>
      <c r="B191" s="176" t="s">
        <v>462</v>
      </c>
      <c r="C191" s="110">
        <f>1-C190</f>
        <v>0.95</v>
      </c>
      <c r="D191" s="110">
        <f t="shared" ref="D191:AG191" si="92">1-D190</f>
        <v>0.94166666666666665</v>
      </c>
      <c r="E191" s="110">
        <f t="shared" si="92"/>
        <v>0.93333333333333335</v>
      </c>
      <c r="F191" s="110">
        <f t="shared" si="92"/>
        <v>0.92500000000000004</v>
      </c>
      <c r="G191" s="110">
        <f t="shared" si="92"/>
        <v>0.91666666666666663</v>
      </c>
      <c r="H191" s="110">
        <f t="shared" si="92"/>
        <v>0.90833333333333333</v>
      </c>
      <c r="I191" s="110">
        <f t="shared" si="92"/>
        <v>0.9</v>
      </c>
      <c r="J191" s="110">
        <f t="shared" si="92"/>
        <v>0.89166666666666672</v>
      </c>
      <c r="K191" s="110">
        <f t="shared" si="92"/>
        <v>0.8833333333333333</v>
      </c>
      <c r="L191" s="110">
        <f t="shared" si="92"/>
        <v>0.875</v>
      </c>
      <c r="M191" s="110">
        <f t="shared" si="92"/>
        <v>0.8666666666666667</v>
      </c>
      <c r="N191" s="110">
        <f t="shared" si="92"/>
        <v>0.85833333333333339</v>
      </c>
      <c r="O191" s="110">
        <f t="shared" si="92"/>
        <v>0.85</v>
      </c>
      <c r="P191" s="110">
        <f t="shared" si="92"/>
        <v>0.84166666666666667</v>
      </c>
      <c r="Q191" s="110">
        <f t="shared" si="92"/>
        <v>0.83333333333333337</v>
      </c>
      <c r="R191" s="110">
        <f t="shared" si="92"/>
        <v>0.82499999999999996</v>
      </c>
      <c r="S191" s="110">
        <f t="shared" si="92"/>
        <v>0.81666666666666665</v>
      </c>
      <c r="T191" s="110">
        <f t="shared" si="92"/>
        <v>0.80833333333333335</v>
      </c>
      <c r="U191" s="110">
        <f t="shared" si="92"/>
        <v>0.8</v>
      </c>
      <c r="V191" s="110">
        <f t="shared" si="92"/>
        <v>0.79166666666666674</v>
      </c>
      <c r="W191" s="110">
        <f t="shared" si="92"/>
        <v>0.78333333333333333</v>
      </c>
      <c r="X191" s="110">
        <f t="shared" si="92"/>
        <v>0.77500000000000002</v>
      </c>
      <c r="Y191" s="110">
        <f t="shared" si="92"/>
        <v>0.76666666666666672</v>
      </c>
      <c r="Z191" s="110">
        <f t="shared" si="92"/>
        <v>0.7583333333333333</v>
      </c>
      <c r="AA191" s="110">
        <f t="shared" si="92"/>
        <v>0.75</v>
      </c>
      <c r="AB191" s="110">
        <f t="shared" si="92"/>
        <v>0.7416666666666667</v>
      </c>
      <c r="AC191" s="110">
        <f t="shared" si="92"/>
        <v>0.73333333333333339</v>
      </c>
      <c r="AD191" s="110">
        <f t="shared" si="92"/>
        <v>0.72499999999999998</v>
      </c>
      <c r="AE191" s="110">
        <f t="shared" si="92"/>
        <v>0.71666666666666656</v>
      </c>
      <c r="AF191" s="110">
        <f t="shared" si="92"/>
        <v>0.70833333333333326</v>
      </c>
      <c r="AG191" s="110">
        <f t="shared" si="92"/>
        <v>0.7</v>
      </c>
      <c r="AI191" s="135" t="s">
        <v>1456</v>
      </c>
      <c r="AJ191" s="211"/>
    </row>
    <row r="192" spans="1:63" outlineLevel="1" x14ac:dyDescent="0.2">
      <c r="A192" t="s">
        <v>1343</v>
      </c>
      <c r="B192" s="54" t="s">
        <v>462</v>
      </c>
      <c r="C192" s="110">
        <f>C189*C190</f>
        <v>6.5000000000000006E-3</v>
      </c>
      <c r="D192" s="110">
        <f t="shared" ref="D192:AG192" si="93">D189*D190</f>
        <v>7.9086652478886511E-3</v>
      </c>
      <c r="E192" s="110">
        <f t="shared" si="93"/>
        <v>9.4102824713645332E-3</v>
      </c>
      <c r="F192" s="110">
        <f t="shared" si="93"/>
        <v>1.1004851670427652E-2</v>
      </c>
      <c r="G192" s="110">
        <f t="shared" si="93"/>
        <v>1.2692372845078003E-2</v>
      </c>
      <c r="H192" s="110">
        <f t="shared" si="93"/>
        <v>1.4472845995315585E-2</v>
      </c>
      <c r="I192" s="110">
        <f t="shared" si="93"/>
        <v>1.6346271121140402E-2</v>
      </c>
      <c r="J192" s="110">
        <f t="shared" si="93"/>
        <v>1.8312648222552456E-2</v>
      </c>
      <c r="K192" s="110">
        <f t="shared" si="93"/>
        <v>2.037197729955174E-2</v>
      </c>
      <c r="L192" s="110">
        <f t="shared" si="93"/>
        <v>2.2524258352138254E-2</v>
      </c>
      <c r="M192" s="110">
        <f t="shared" si="93"/>
        <v>2.4769491380312009E-2</v>
      </c>
      <c r="N192" s="110">
        <f t="shared" si="93"/>
        <v>2.7982854984986639E-2</v>
      </c>
      <c r="O192" s="110">
        <f t="shared" si="93"/>
        <v>3.1392132753591283E-2</v>
      </c>
      <c r="P192" s="110">
        <f t="shared" si="93"/>
        <v>3.4997324686125937E-2</v>
      </c>
      <c r="Q192" s="110">
        <f t="shared" si="93"/>
        <v>3.8798430782590612E-2</v>
      </c>
      <c r="R192" s="110">
        <f t="shared" si="93"/>
        <v>4.2795451042985301E-2</v>
      </c>
      <c r="S192" s="110">
        <f t="shared" si="93"/>
        <v>4.6988385467309997E-2</v>
      </c>
      <c r="T192" s="110">
        <f t="shared" si="93"/>
        <v>5.1377234055564727E-2</v>
      </c>
      <c r="U192" s="110">
        <f t="shared" si="93"/>
        <v>5.5961996807749458E-2</v>
      </c>
      <c r="V192" s="110">
        <f t="shared" si="93"/>
        <v>6.0742673723864209E-2</v>
      </c>
      <c r="W192" s="110">
        <f t="shared" si="93"/>
        <v>6.5719264803908967E-2</v>
      </c>
      <c r="X192" s="110">
        <f t="shared" si="93"/>
        <v>7.2672235951345684E-2</v>
      </c>
      <c r="Y192" s="110">
        <f t="shared" si="93"/>
        <v>7.9953007625931827E-2</v>
      </c>
      <c r="Z192" s="110">
        <f t="shared" si="93"/>
        <v>8.7561579827667393E-2</v>
      </c>
      <c r="AA192" s="110">
        <f t="shared" si="93"/>
        <v>9.5497952556552357E-2</v>
      </c>
      <c r="AB192" s="110">
        <f t="shared" si="93"/>
        <v>0.10376212581258674</v>
      </c>
      <c r="AC192" s="110">
        <f t="shared" si="93"/>
        <v>0.11235409959577057</v>
      </c>
      <c r="AD192" s="110">
        <f t="shared" si="93"/>
        <v>0.12127387390610381</v>
      </c>
      <c r="AE192" s="110">
        <f t="shared" si="93"/>
        <v>0.13052144874358648</v>
      </c>
      <c r="AF192" s="110">
        <f t="shared" si="93"/>
        <v>0.14009682410821853</v>
      </c>
      <c r="AG192" s="110">
        <f t="shared" si="93"/>
        <v>0.15</v>
      </c>
      <c r="AI192" s="134"/>
      <c r="AJ192" s="211"/>
      <c r="BD192" s="203"/>
      <c r="BE192" s="203"/>
    </row>
    <row r="193" spans="1:63" outlineLevel="1" x14ac:dyDescent="0.2">
      <c r="A193" t="s">
        <v>1344</v>
      </c>
      <c r="B193" s="54" t="s">
        <v>462</v>
      </c>
      <c r="C193" s="110">
        <f>C189*C191</f>
        <v>0.1235</v>
      </c>
      <c r="D193" s="110">
        <f t="shared" ref="D193:AG193" si="94">D189*D191</f>
        <v>0.12766845328734536</v>
      </c>
      <c r="E193" s="110">
        <f t="shared" si="94"/>
        <v>0.13174395459910349</v>
      </c>
      <c r="F193" s="110">
        <f t="shared" si="94"/>
        <v>0.13572650393527438</v>
      </c>
      <c r="G193" s="110">
        <f t="shared" si="94"/>
        <v>0.13961610129585802</v>
      </c>
      <c r="H193" s="110">
        <f t="shared" si="94"/>
        <v>0.14341274668085444</v>
      </c>
      <c r="I193" s="110">
        <f t="shared" si="94"/>
        <v>0.14711644009026364</v>
      </c>
      <c r="J193" s="110">
        <f t="shared" si="94"/>
        <v>0.15072718152408562</v>
      </c>
      <c r="K193" s="110">
        <f t="shared" si="94"/>
        <v>0.15424497098232032</v>
      </c>
      <c r="L193" s="110">
        <f t="shared" si="94"/>
        <v>0.15766980846496781</v>
      </c>
      <c r="M193" s="110">
        <f t="shared" si="94"/>
        <v>0.16100169397202807</v>
      </c>
      <c r="N193" s="110">
        <f t="shared" si="94"/>
        <v>0.16954318020315437</v>
      </c>
      <c r="O193" s="110">
        <f t="shared" si="94"/>
        <v>0.17788875227035059</v>
      </c>
      <c r="P193" s="110">
        <f t="shared" si="94"/>
        <v>0.18603841017361686</v>
      </c>
      <c r="Q193" s="110">
        <f t="shared" si="94"/>
        <v>0.1939921539129531</v>
      </c>
      <c r="R193" s="110">
        <f t="shared" si="94"/>
        <v>0.20174998348835926</v>
      </c>
      <c r="S193" s="110">
        <f t="shared" si="94"/>
        <v>0.20931189889983545</v>
      </c>
      <c r="T193" s="110">
        <f t="shared" si="94"/>
        <v>0.2166779001473817</v>
      </c>
      <c r="U193" s="110">
        <f t="shared" si="94"/>
        <v>0.22384798723099786</v>
      </c>
      <c r="V193" s="110">
        <f t="shared" si="94"/>
        <v>0.23082216015068405</v>
      </c>
      <c r="W193" s="110">
        <f t="shared" si="94"/>
        <v>0.23760041890644015</v>
      </c>
      <c r="X193" s="110">
        <f t="shared" si="94"/>
        <v>0.2503154793879685</v>
      </c>
      <c r="Y193" s="110">
        <f t="shared" si="94"/>
        <v>0.26270273934234745</v>
      </c>
      <c r="Z193" s="110">
        <f t="shared" si="94"/>
        <v>0.27476219876957697</v>
      </c>
      <c r="AA193" s="110">
        <f t="shared" si="94"/>
        <v>0.28649385766965713</v>
      </c>
      <c r="AB193" s="110">
        <f t="shared" si="94"/>
        <v>0.2978977160425878</v>
      </c>
      <c r="AC193" s="110">
        <f t="shared" si="94"/>
        <v>0.30897377388836911</v>
      </c>
      <c r="AD193" s="110">
        <f t="shared" si="94"/>
        <v>0.31972203120700093</v>
      </c>
      <c r="AE193" s="110">
        <f t="shared" si="94"/>
        <v>0.33014248799848334</v>
      </c>
      <c r="AF193" s="110">
        <f t="shared" si="94"/>
        <v>0.34023514426281631</v>
      </c>
      <c r="AG193" s="110">
        <f t="shared" si="94"/>
        <v>0.35</v>
      </c>
      <c r="AI193" s="134"/>
      <c r="AJ193" s="211"/>
      <c r="BD193" s="203"/>
      <c r="BE193" s="203"/>
    </row>
    <row r="194" spans="1:63" outlineLevel="1" x14ac:dyDescent="0.2">
      <c r="C194" s="110"/>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J194" s="211"/>
    </row>
    <row r="195" spans="1:63" outlineLevel="1" x14ac:dyDescent="0.2">
      <c r="A195" t="s">
        <v>1441</v>
      </c>
      <c r="B195" s="54" t="s">
        <v>462</v>
      </c>
      <c r="C195" s="106">
        <v>0.5</v>
      </c>
      <c r="D195" s="110">
        <f>C195</f>
        <v>0.5</v>
      </c>
      <c r="E195" s="110">
        <f t="shared" ref="E195:AG195" si="95">D195</f>
        <v>0.5</v>
      </c>
      <c r="F195" s="110">
        <f t="shared" si="95"/>
        <v>0.5</v>
      </c>
      <c r="G195" s="110">
        <f t="shared" si="95"/>
        <v>0.5</v>
      </c>
      <c r="H195" s="110">
        <f t="shared" si="95"/>
        <v>0.5</v>
      </c>
      <c r="I195" s="110">
        <f t="shared" si="95"/>
        <v>0.5</v>
      </c>
      <c r="J195" s="110">
        <f t="shared" si="95"/>
        <v>0.5</v>
      </c>
      <c r="K195" s="110">
        <f t="shared" si="95"/>
        <v>0.5</v>
      </c>
      <c r="L195" s="110">
        <f t="shared" si="95"/>
        <v>0.5</v>
      </c>
      <c r="M195" s="110">
        <f t="shared" si="95"/>
        <v>0.5</v>
      </c>
      <c r="N195" s="110">
        <f t="shared" si="95"/>
        <v>0.5</v>
      </c>
      <c r="O195" s="110">
        <f t="shared" si="95"/>
        <v>0.5</v>
      </c>
      <c r="P195" s="110">
        <f t="shared" si="95"/>
        <v>0.5</v>
      </c>
      <c r="Q195" s="110">
        <f t="shared" si="95"/>
        <v>0.5</v>
      </c>
      <c r="R195" s="110">
        <f t="shared" si="95"/>
        <v>0.5</v>
      </c>
      <c r="S195" s="110">
        <f t="shared" si="95"/>
        <v>0.5</v>
      </c>
      <c r="T195" s="110">
        <f t="shared" si="95"/>
        <v>0.5</v>
      </c>
      <c r="U195" s="110">
        <f t="shared" si="95"/>
        <v>0.5</v>
      </c>
      <c r="V195" s="110">
        <f t="shared" si="95"/>
        <v>0.5</v>
      </c>
      <c r="W195" s="110">
        <f t="shared" si="95"/>
        <v>0.5</v>
      </c>
      <c r="X195" s="110">
        <f t="shared" si="95"/>
        <v>0.5</v>
      </c>
      <c r="Y195" s="110">
        <f t="shared" si="95"/>
        <v>0.5</v>
      </c>
      <c r="Z195" s="110">
        <f t="shared" si="95"/>
        <v>0.5</v>
      </c>
      <c r="AA195" s="110">
        <f t="shared" si="95"/>
        <v>0.5</v>
      </c>
      <c r="AB195" s="110">
        <f t="shared" si="95"/>
        <v>0.5</v>
      </c>
      <c r="AC195" s="110">
        <f t="shared" si="95"/>
        <v>0.5</v>
      </c>
      <c r="AD195" s="110">
        <f t="shared" si="95"/>
        <v>0.5</v>
      </c>
      <c r="AE195" s="110">
        <f t="shared" si="95"/>
        <v>0.5</v>
      </c>
      <c r="AF195" s="110">
        <f t="shared" si="95"/>
        <v>0.5</v>
      </c>
      <c r="AG195" s="110">
        <f t="shared" si="95"/>
        <v>0.5</v>
      </c>
      <c r="AI195" s="54"/>
      <c r="AJ195" s="211" t="s">
        <v>1457</v>
      </c>
    </row>
    <row r="196" spans="1:63" outlineLevel="1" x14ac:dyDescent="0.2">
      <c r="A196" t="s">
        <v>1445</v>
      </c>
      <c r="B196" s="54" t="s">
        <v>462</v>
      </c>
      <c r="C196" s="121">
        <f>1-C195</f>
        <v>0.5</v>
      </c>
      <c r="D196" s="110">
        <f t="shared" ref="D196:AG196" si="96">C196</f>
        <v>0.5</v>
      </c>
      <c r="E196" s="110">
        <f t="shared" si="96"/>
        <v>0.5</v>
      </c>
      <c r="F196" s="110">
        <f t="shared" si="96"/>
        <v>0.5</v>
      </c>
      <c r="G196" s="110">
        <f t="shared" si="96"/>
        <v>0.5</v>
      </c>
      <c r="H196" s="110">
        <f t="shared" si="96"/>
        <v>0.5</v>
      </c>
      <c r="I196" s="110">
        <f t="shared" si="96"/>
        <v>0.5</v>
      </c>
      <c r="J196" s="110">
        <f t="shared" si="96"/>
        <v>0.5</v>
      </c>
      <c r="K196" s="110">
        <f t="shared" si="96"/>
        <v>0.5</v>
      </c>
      <c r="L196" s="110">
        <f t="shared" si="96"/>
        <v>0.5</v>
      </c>
      <c r="M196" s="110">
        <f t="shared" si="96"/>
        <v>0.5</v>
      </c>
      <c r="N196" s="110">
        <f t="shared" si="96"/>
        <v>0.5</v>
      </c>
      <c r="O196" s="110">
        <f t="shared" si="96"/>
        <v>0.5</v>
      </c>
      <c r="P196" s="110">
        <f t="shared" si="96"/>
        <v>0.5</v>
      </c>
      <c r="Q196" s="110">
        <f t="shared" si="96"/>
        <v>0.5</v>
      </c>
      <c r="R196" s="110">
        <f t="shared" si="96"/>
        <v>0.5</v>
      </c>
      <c r="S196" s="110">
        <f t="shared" si="96"/>
        <v>0.5</v>
      </c>
      <c r="T196" s="110">
        <f t="shared" si="96"/>
        <v>0.5</v>
      </c>
      <c r="U196" s="110">
        <f t="shared" si="96"/>
        <v>0.5</v>
      </c>
      <c r="V196" s="110">
        <f t="shared" si="96"/>
        <v>0.5</v>
      </c>
      <c r="W196" s="110">
        <f t="shared" si="96"/>
        <v>0.5</v>
      </c>
      <c r="X196" s="110">
        <f t="shared" si="96"/>
        <v>0.5</v>
      </c>
      <c r="Y196" s="110">
        <f t="shared" si="96"/>
        <v>0.5</v>
      </c>
      <c r="Z196" s="110">
        <f t="shared" si="96"/>
        <v>0.5</v>
      </c>
      <c r="AA196" s="110">
        <f t="shared" si="96"/>
        <v>0.5</v>
      </c>
      <c r="AB196" s="110">
        <f t="shared" si="96"/>
        <v>0.5</v>
      </c>
      <c r="AC196" s="110">
        <f t="shared" si="96"/>
        <v>0.5</v>
      </c>
      <c r="AD196" s="110">
        <f t="shared" si="96"/>
        <v>0.5</v>
      </c>
      <c r="AE196" s="110">
        <f t="shared" si="96"/>
        <v>0.5</v>
      </c>
      <c r="AF196" s="110">
        <f t="shared" si="96"/>
        <v>0.5</v>
      </c>
      <c r="AG196" s="110">
        <f t="shared" si="96"/>
        <v>0.5</v>
      </c>
      <c r="AJ196" s="223"/>
    </row>
    <row r="197" spans="1:63" outlineLevel="1" x14ac:dyDescent="0.2">
      <c r="A197" t="s">
        <v>1268</v>
      </c>
      <c r="B197" s="54" t="s">
        <v>462</v>
      </c>
      <c r="C197" s="110">
        <f t="shared" ref="C197:AG197" si="97">SUM(C195:C196)</f>
        <v>1</v>
      </c>
      <c r="D197" s="110">
        <f t="shared" si="97"/>
        <v>1</v>
      </c>
      <c r="E197" s="110">
        <f t="shared" si="97"/>
        <v>1</v>
      </c>
      <c r="F197" s="110">
        <f t="shared" si="97"/>
        <v>1</v>
      </c>
      <c r="G197" s="110">
        <f t="shared" si="97"/>
        <v>1</v>
      </c>
      <c r="H197" s="110">
        <f t="shared" si="97"/>
        <v>1</v>
      </c>
      <c r="I197" s="110">
        <f t="shared" si="97"/>
        <v>1</v>
      </c>
      <c r="J197" s="110">
        <f t="shared" si="97"/>
        <v>1</v>
      </c>
      <c r="K197" s="110">
        <f t="shared" si="97"/>
        <v>1</v>
      </c>
      <c r="L197" s="110">
        <f t="shared" si="97"/>
        <v>1</v>
      </c>
      <c r="M197" s="110">
        <f t="shared" si="97"/>
        <v>1</v>
      </c>
      <c r="N197" s="110">
        <f t="shared" si="97"/>
        <v>1</v>
      </c>
      <c r="O197" s="110">
        <f t="shared" si="97"/>
        <v>1</v>
      </c>
      <c r="P197" s="110">
        <f t="shared" si="97"/>
        <v>1</v>
      </c>
      <c r="Q197" s="110">
        <f t="shared" si="97"/>
        <v>1</v>
      </c>
      <c r="R197" s="110">
        <f t="shared" si="97"/>
        <v>1</v>
      </c>
      <c r="S197" s="110">
        <f t="shared" si="97"/>
        <v>1</v>
      </c>
      <c r="T197" s="110">
        <f t="shared" si="97"/>
        <v>1</v>
      </c>
      <c r="U197" s="110">
        <f t="shared" si="97"/>
        <v>1</v>
      </c>
      <c r="V197" s="110">
        <f t="shared" si="97"/>
        <v>1</v>
      </c>
      <c r="W197" s="110">
        <f t="shared" si="97"/>
        <v>1</v>
      </c>
      <c r="X197" s="110">
        <f t="shared" si="97"/>
        <v>1</v>
      </c>
      <c r="Y197" s="110">
        <f t="shared" si="97"/>
        <v>1</v>
      </c>
      <c r="Z197" s="110">
        <f t="shared" si="97"/>
        <v>1</v>
      </c>
      <c r="AA197" s="110">
        <f t="shared" si="97"/>
        <v>1</v>
      </c>
      <c r="AB197" s="110">
        <f t="shared" si="97"/>
        <v>1</v>
      </c>
      <c r="AC197" s="110">
        <f t="shared" si="97"/>
        <v>1</v>
      </c>
      <c r="AD197" s="110">
        <f t="shared" si="97"/>
        <v>1</v>
      </c>
      <c r="AE197" s="110">
        <f t="shared" si="97"/>
        <v>1</v>
      </c>
      <c r="AF197" s="110">
        <f t="shared" si="97"/>
        <v>1</v>
      </c>
      <c r="AG197" s="110">
        <f t="shared" si="97"/>
        <v>1</v>
      </c>
      <c r="AH197" s="131"/>
      <c r="AI197" s="54"/>
      <c r="AJ197" s="223"/>
    </row>
    <row r="198" spans="1:63" outlineLevel="1" x14ac:dyDescent="0.2">
      <c r="C198" s="214"/>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c r="AH198" s="131"/>
      <c r="AI198" s="131"/>
      <c r="AJ198" s="223"/>
    </row>
    <row r="199" spans="1:63" outlineLevel="1" x14ac:dyDescent="0.2">
      <c r="A199" t="s">
        <v>1345</v>
      </c>
      <c r="B199" s="54" t="s">
        <v>462</v>
      </c>
      <c r="C199" s="110">
        <f>C195*C193</f>
        <v>6.1749999999999999E-2</v>
      </c>
      <c r="D199" s="110">
        <f t="shared" ref="D199:AG199" si="98">D195*D193</f>
        <v>6.3834226643672679E-2</v>
      </c>
      <c r="E199" s="110">
        <f t="shared" si="98"/>
        <v>6.5871977299551743E-2</v>
      </c>
      <c r="F199" s="110">
        <f t="shared" si="98"/>
        <v>6.7863251967637192E-2</v>
      </c>
      <c r="G199" s="110">
        <f t="shared" si="98"/>
        <v>6.9808050647929012E-2</v>
      </c>
      <c r="H199" s="110">
        <f t="shared" si="98"/>
        <v>7.1706373340427218E-2</v>
      </c>
      <c r="I199" s="110">
        <f t="shared" si="98"/>
        <v>7.3558220045131822E-2</v>
      </c>
      <c r="J199" s="110">
        <f t="shared" si="98"/>
        <v>7.5363590762042812E-2</v>
      </c>
      <c r="K199" s="110">
        <f t="shared" si="98"/>
        <v>7.7122485491160159E-2</v>
      </c>
      <c r="L199" s="110">
        <f t="shared" si="98"/>
        <v>7.8834904232483904E-2</v>
      </c>
      <c r="M199" s="110">
        <f t="shared" si="98"/>
        <v>8.0500846986014035E-2</v>
      </c>
      <c r="N199" s="110">
        <f t="shared" si="98"/>
        <v>8.4771590101577185E-2</v>
      </c>
      <c r="O199" s="110">
        <f t="shared" si="98"/>
        <v>8.8944376135175293E-2</v>
      </c>
      <c r="P199" s="110">
        <f t="shared" si="98"/>
        <v>9.3019205086808429E-2</v>
      </c>
      <c r="Q199" s="110">
        <f t="shared" si="98"/>
        <v>9.6996076956476551E-2</v>
      </c>
      <c r="R199" s="110">
        <f t="shared" si="98"/>
        <v>0.10087499174417963</v>
      </c>
      <c r="S199" s="110">
        <f t="shared" si="98"/>
        <v>0.10465594944991773</v>
      </c>
      <c r="T199" s="110">
        <f t="shared" si="98"/>
        <v>0.10833895007369085</v>
      </c>
      <c r="U199" s="110">
        <f t="shared" si="98"/>
        <v>0.11192399361549893</v>
      </c>
      <c r="V199" s="110">
        <f t="shared" si="98"/>
        <v>0.11541108007534202</v>
      </c>
      <c r="W199" s="110">
        <f t="shared" si="98"/>
        <v>0.11880020945322008</v>
      </c>
      <c r="X199" s="110">
        <f t="shared" si="98"/>
        <v>0.12515773969398425</v>
      </c>
      <c r="Y199" s="110">
        <f t="shared" si="98"/>
        <v>0.13135136967117372</v>
      </c>
      <c r="Z199" s="110">
        <f t="shared" si="98"/>
        <v>0.13738109938478849</v>
      </c>
      <c r="AA199" s="110">
        <f t="shared" si="98"/>
        <v>0.14324692883482856</v>
      </c>
      <c r="AB199" s="110">
        <f t="shared" si="98"/>
        <v>0.1489488580212939</v>
      </c>
      <c r="AC199" s="110">
        <f t="shared" si="98"/>
        <v>0.15448688694418455</v>
      </c>
      <c r="AD199" s="110">
        <f t="shared" si="98"/>
        <v>0.15986101560350047</v>
      </c>
      <c r="AE199" s="110">
        <f t="shared" si="98"/>
        <v>0.16507124399924167</v>
      </c>
      <c r="AF199" s="110">
        <f t="shared" si="98"/>
        <v>0.17011757213140816</v>
      </c>
      <c r="AG199" s="110">
        <f t="shared" si="98"/>
        <v>0.17499999999999999</v>
      </c>
      <c r="AH199" s="131"/>
      <c r="AI199" s="131"/>
      <c r="AJ199" s="211"/>
    </row>
    <row r="200" spans="1:63" outlineLevel="1" x14ac:dyDescent="0.2">
      <c r="A200" t="s">
        <v>1346</v>
      </c>
      <c r="B200" s="54" t="s">
        <v>462</v>
      </c>
      <c r="C200" s="110">
        <f>C193*C196</f>
        <v>6.1749999999999999E-2</v>
      </c>
      <c r="D200" s="110">
        <f t="shared" ref="D200:AG200" si="99">D193*D196</f>
        <v>6.3834226643672679E-2</v>
      </c>
      <c r="E200" s="110">
        <f t="shared" si="99"/>
        <v>6.5871977299551743E-2</v>
      </c>
      <c r="F200" s="110">
        <f t="shared" si="99"/>
        <v>6.7863251967637192E-2</v>
      </c>
      <c r="G200" s="110">
        <f t="shared" si="99"/>
        <v>6.9808050647929012E-2</v>
      </c>
      <c r="H200" s="110">
        <f t="shared" si="99"/>
        <v>7.1706373340427218E-2</v>
      </c>
      <c r="I200" s="110">
        <f t="shared" si="99"/>
        <v>7.3558220045131822E-2</v>
      </c>
      <c r="J200" s="110">
        <f t="shared" si="99"/>
        <v>7.5363590762042812E-2</v>
      </c>
      <c r="K200" s="110">
        <f t="shared" si="99"/>
        <v>7.7122485491160159E-2</v>
      </c>
      <c r="L200" s="110">
        <f t="shared" si="99"/>
        <v>7.8834904232483904E-2</v>
      </c>
      <c r="M200" s="110">
        <f t="shared" si="99"/>
        <v>8.0500846986014035E-2</v>
      </c>
      <c r="N200" s="110">
        <f t="shared" si="99"/>
        <v>8.4771590101577185E-2</v>
      </c>
      <c r="O200" s="110">
        <f t="shared" si="99"/>
        <v>8.8944376135175293E-2</v>
      </c>
      <c r="P200" s="110">
        <f t="shared" si="99"/>
        <v>9.3019205086808429E-2</v>
      </c>
      <c r="Q200" s="110">
        <f t="shared" si="99"/>
        <v>9.6996076956476551E-2</v>
      </c>
      <c r="R200" s="110">
        <f t="shared" si="99"/>
        <v>0.10087499174417963</v>
      </c>
      <c r="S200" s="110">
        <f t="shared" si="99"/>
        <v>0.10465594944991773</v>
      </c>
      <c r="T200" s="110">
        <f t="shared" si="99"/>
        <v>0.10833895007369085</v>
      </c>
      <c r="U200" s="110">
        <f t="shared" si="99"/>
        <v>0.11192399361549893</v>
      </c>
      <c r="V200" s="110">
        <f t="shared" si="99"/>
        <v>0.11541108007534202</v>
      </c>
      <c r="W200" s="110">
        <f t="shared" si="99"/>
        <v>0.11880020945322008</v>
      </c>
      <c r="X200" s="110">
        <f t="shared" si="99"/>
        <v>0.12515773969398425</v>
      </c>
      <c r="Y200" s="110">
        <f t="shared" si="99"/>
        <v>0.13135136967117372</v>
      </c>
      <c r="Z200" s="110">
        <f t="shared" si="99"/>
        <v>0.13738109938478849</v>
      </c>
      <c r="AA200" s="110">
        <f t="shared" si="99"/>
        <v>0.14324692883482856</v>
      </c>
      <c r="AB200" s="110">
        <f t="shared" si="99"/>
        <v>0.1489488580212939</v>
      </c>
      <c r="AC200" s="110">
        <f t="shared" si="99"/>
        <v>0.15448688694418455</v>
      </c>
      <c r="AD200" s="110">
        <f t="shared" si="99"/>
        <v>0.15986101560350047</v>
      </c>
      <c r="AE200" s="110">
        <f t="shared" si="99"/>
        <v>0.16507124399924167</v>
      </c>
      <c r="AF200" s="110">
        <f t="shared" si="99"/>
        <v>0.17011757213140816</v>
      </c>
      <c r="AG200" s="110">
        <f t="shared" si="99"/>
        <v>0.17499999999999999</v>
      </c>
      <c r="AJ200" s="211"/>
    </row>
    <row r="201" spans="1:63" outlineLevel="1" x14ac:dyDescent="0.2">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J201" s="211"/>
    </row>
    <row r="202" spans="1:63" outlineLevel="1" x14ac:dyDescent="0.2">
      <c r="A202" t="s">
        <v>1621</v>
      </c>
      <c r="C202" s="230">
        <f>('Overall recycling rates'!F87*'Yearly BTX'!D5+'Overall recycling rates'!G87*'Yearly BTX'!D6+'Overall recycling rates'!H87*'Yearly BTX'!D7)/'Yearly BTX'!D4</f>
        <v>0.99999999999999989</v>
      </c>
      <c r="D202" s="230">
        <f>C202-($C202-$AG202)/($AG$1-$C$1)</f>
        <v>0.99999999999999989</v>
      </c>
      <c r="E202" s="230">
        <f t="shared" ref="E202:AF202" si="100">D202-($C202-$AG202)/($AG$1-$C$1)</f>
        <v>0.99999999999999989</v>
      </c>
      <c r="F202" s="230">
        <f t="shared" si="100"/>
        <v>0.99999999999999989</v>
      </c>
      <c r="G202" s="230">
        <f t="shared" si="100"/>
        <v>0.99999999999999989</v>
      </c>
      <c r="H202" s="230">
        <f t="shared" si="100"/>
        <v>0.99999999999999989</v>
      </c>
      <c r="I202" s="230">
        <f t="shared" si="100"/>
        <v>0.99999999999999989</v>
      </c>
      <c r="J202" s="230">
        <f t="shared" si="100"/>
        <v>0.99999999999999989</v>
      </c>
      <c r="K202" s="230">
        <f t="shared" si="100"/>
        <v>0.99999999999999989</v>
      </c>
      <c r="L202" s="230">
        <f t="shared" si="100"/>
        <v>0.99999999999999989</v>
      </c>
      <c r="M202" s="230">
        <f t="shared" si="100"/>
        <v>0.99999999999999989</v>
      </c>
      <c r="N202" s="230">
        <f t="shared" si="100"/>
        <v>0.99999999999999989</v>
      </c>
      <c r="O202" s="230">
        <f t="shared" si="100"/>
        <v>0.99999999999999989</v>
      </c>
      <c r="P202" s="230">
        <f t="shared" si="100"/>
        <v>0.99999999999999989</v>
      </c>
      <c r="Q202" s="230">
        <f t="shared" si="100"/>
        <v>0.99999999999999989</v>
      </c>
      <c r="R202" s="230">
        <f t="shared" si="100"/>
        <v>0.99999999999999989</v>
      </c>
      <c r="S202" s="230">
        <f t="shared" si="100"/>
        <v>0.99999999999999989</v>
      </c>
      <c r="T202" s="230">
        <f t="shared" si="100"/>
        <v>0.99999999999999989</v>
      </c>
      <c r="U202" s="230">
        <f t="shared" si="100"/>
        <v>0.99999999999999989</v>
      </c>
      <c r="V202" s="230">
        <f t="shared" si="100"/>
        <v>0.99999999999999989</v>
      </c>
      <c r="W202" s="230">
        <f t="shared" si="100"/>
        <v>0.99999999999999989</v>
      </c>
      <c r="X202" s="230">
        <f t="shared" si="100"/>
        <v>0.99999999999999989</v>
      </c>
      <c r="Y202" s="230">
        <f t="shared" si="100"/>
        <v>0.99999999999999989</v>
      </c>
      <c r="Z202" s="230">
        <f t="shared" si="100"/>
        <v>0.99999999999999989</v>
      </c>
      <c r="AA202" s="230">
        <f t="shared" si="100"/>
        <v>0.99999999999999989</v>
      </c>
      <c r="AB202" s="230">
        <f t="shared" si="100"/>
        <v>0.99999999999999989</v>
      </c>
      <c r="AC202" s="230">
        <f t="shared" si="100"/>
        <v>0.99999999999999989</v>
      </c>
      <c r="AD202" s="230">
        <f t="shared" si="100"/>
        <v>0.99999999999999989</v>
      </c>
      <c r="AE202" s="230">
        <f t="shared" si="100"/>
        <v>0.99999999999999989</v>
      </c>
      <c r="AF202" s="230">
        <f t="shared" si="100"/>
        <v>0.99999999999999989</v>
      </c>
      <c r="AG202" s="230">
        <f>'Overall recycling rates'!F96</f>
        <v>1</v>
      </c>
      <c r="AI202" s="133"/>
      <c r="AJ202" s="211" t="s">
        <v>1571</v>
      </c>
      <c r="AL202" s="108"/>
      <c r="AM202" s="207"/>
      <c r="AN202" s="207"/>
      <c r="AO202" s="207"/>
      <c r="BC202" s="1"/>
      <c r="BD202" s="207"/>
      <c r="BE202" s="207"/>
      <c r="BF202" s="207"/>
      <c r="BG202" s="207"/>
      <c r="BH202" s="207"/>
      <c r="BI202" s="207"/>
      <c r="BJ202" s="207"/>
      <c r="BK202" s="207"/>
    </row>
    <row r="203" spans="1:63" outlineLevel="1" x14ac:dyDescent="0.2">
      <c r="A203" t="s">
        <v>1629</v>
      </c>
      <c r="B203" s="54" t="s">
        <v>462</v>
      </c>
      <c r="C203" s="110">
        <f>C192*C$202</f>
        <v>6.4999999999999997E-3</v>
      </c>
      <c r="D203" s="110">
        <f>D192*D$139</f>
        <v>5.6767770030473966E-3</v>
      </c>
      <c r="E203" s="110">
        <f t="shared" ref="E203:AG203" si="101">E192*E$139</f>
        <v>6.8462002654825025E-3</v>
      </c>
      <c r="F203" s="110">
        <f t="shared" si="101"/>
        <v>8.1133782070939454E-3</v>
      </c>
      <c r="G203" s="110">
        <f t="shared" si="101"/>
        <v>9.4810244610119502E-3</v>
      </c>
      <c r="H203" s="110">
        <f t="shared" si="101"/>
        <v>1.0951852660366742E-2</v>
      </c>
      <c r="I203" s="110">
        <f t="shared" si="101"/>
        <v>1.2528576438288551E-2</v>
      </c>
      <c r="J203" s="110">
        <f t="shared" si="101"/>
        <v>1.4213909427907604E-2</v>
      </c>
      <c r="K203" s="110">
        <f t="shared" si="101"/>
        <v>1.6010565262354125E-2</v>
      </c>
      <c r="L203" s="110">
        <f t="shared" si="101"/>
        <v>1.7921257574758338E-2</v>
      </c>
      <c r="M203" s="110">
        <f t="shared" si="101"/>
        <v>1.9948699998250476E-2</v>
      </c>
      <c r="N203" s="110">
        <f t="shared" si="101"/>
        <v>2.2808968735908892E-2</v>
      </c>
      <c r="O203" s="110">
        <f t="shared" si="101"/>
        <v>2.5893375082410377E-2</v>
      </c>
      <c r="P203" s="110">
        <f t="shared" si="101"/>
        <v>2.9207638541429413E-2</v>
      </c>
      <c r="Q203" s="110">
        <f t="shared" si="101"/>
        <v>3.2757478616640481E-2</v>
      </c>
      <c r="R203" s="110">
        <f t="shared" si="101"/>
        <v>3.6548614811718054E-2</v>
      </c>
      <c r="S203" s="110">
        <f t="shared" si="101"/>
        <v>4.0586766630336606E-2</v>
      </c>
      <c r="T203" s="110">
        <f t="shared" si="101"/>
        <v>4.4877653576170642E-2</v>
      </c>
      <c r="U203" s="110">
        <f t="shared" si="101"/>
        <v>4.9426995152894601E-2</v>
      </c>
      <c r="V203" s="110">
        <f t="shared" si="101"/>
        <v>5.4240510864182981E-2</v>
      </c>
      <c r="W203" s="110">
        <f t="shared" si="101"/>
        <v>5.9323920213710253E-2</v>
      </c>
      <c r="X203" s="110">
        <f t="shared" si="101"/>
        <v>6.6307472237201168E-2</v>
      </c>
      <c r="Y203" s="110">
        <f t="shared" si="101"/>
        <v>7.3728628381078118E-2</v>
      </c>
      <c r="Z203" s="110">
        <f t="shared" si="101"/>
        <v>8.1596958429791186E-2</v>
      </c>
      <c r="AA203" s="110">
        <f t="shared" si="101"/>
        <v>8.9922032167790433E-2</v>
      </c>
      <c r="AB203" s="110">
        <f t="shared" si="101"/>
        <v>9.8713419379525935E-2</v>
      </c>
      <c r="AC203" s="110">
        <f t="shared" si="101"/>
        <v>0.10798068984944778</v>
      </c>
      <c r="AD203" s="110">
        <f t="shared" si="101"/>
        <v>0.11773341336200605</v>
      </c>
      <c r="AE203" s="110">
        <f t="shared" si="101"/>
        <v>0.1279811597016508</v>
      </c>
      <c r="AF203" s="110">
        <f t="shared" si="101"/>
        <v>0.13873349865283208</v>
      </c>
      <c r="AG203" s="110">
        <f t="shared" si="101"/>
        <v>0.15</v>
      </c>
      <c r="AI203" s="133"/>
      <c r="AJ203"/>
      <c r="AL203" s="108"/>
      <c r="AM203" s="2"/>
      <c r="AN203" s="2"/>
      <c r="AO203" s="2"/>
      <c r="AV203" s="41"/>
    </row>
    <row r="204" spans="1:63" outlineLevel="1" x14ac:dyDescent="0.2">
      <c r="A204" t="s">
        <v>1630</v>
      </c>
      <c r="B204" s="54" t="s">
        <v>462</v>
      </c>
      <c r="C204" s="110">
        <f>C193*C$202</f>
        <v>0.12349999999999998</v>
      </c>
      <c r="D204" s="110">
        <f t="shared" ref="D204:AG204" si="102">D190*D$139</f>
        <v>4.1871202636395509E-2</v>
      </c>
      <c r="E204" s="110">
        <f t="shared" si="102"/>
        <v>4.8501556932114581E-2</v>
      </c>
      <c r="F204" s="110">
        <f t="shared" si="102"/>
        <v>5.5294099707606445E-2</v>
      </c>
      <c r="G204" s="110">
        <f t="shared" si="102"/>
        <v>6.2248830962871093E-2</v>
      </c>
      <c r="H204" s="110">
        <f t="shared" si="102"/>
        <v>6.9365750697908526E-2</v>
      </c>
      <c r="I204" s="110">
        <f t="shared" si="102"/>
        <v>7.6644858912718744E-2</v>
      </c>
      <c r="J204" s="110">
        <f t="shared" si="102"/>
        <v>8.4086155607301746E-2</v>
      </c>
      <c r="K204" s="110">
        <f t="shared" si="102"/>
        <v>9.1689640781657547E-2</v>
      </c>
      <c r="L204" s="110">
        <f t="shared" si="102"/>
        <v>9.9455314435786119E-2</v>
      </c>
      <c r="M204" s="110">
        <f t="shared" si="102"/>
        <v>0.1073831765696875</v>
      </c>
      <c r="N204" s="110">
        <f t="shared" si="102"/>
        <v>0.11547322718336166</v>
      </c>
      <c r="O204" s="110">
        <f t="shared" si="102"/>
        <v>0.12372546627680858</v>
      </c>
      <c r="P204" s="110">
        <f t="shared" si="102"/>
        <v>0.13213989385002831</v>
      </c>
      <c r="Q204" s="110">
        <f t="shared" si="102"/>
        <v>0.14071650990302081</v>
      </c>
      <c r="R204" s="110">
        <f t="shared" si="102"/>
        <v>0.14945531443578614</v>
      </c>
      <c r="S204" s="110">
        <f t="shared" si="102"/>
        <v>0.15835630744832421</v>
      </c>
      <c r="T204" s="110">
        <f t="shared" si="102"/>
        <v>0.16741948894063508</v>
      </c>
      <c r="U204" s="110">
        <f t="shared" si="102"/>
        <v>0.17664485891271872</v>
      </c>
      <c r="V204" s="110">
        <f t="shared" si="102"/>
        <v>0.18603241736457518</v>
      </c>
      <c r="W204" s="110">
        <f t="shared" si="102"/>
        <v>0.1955821642962044</v>
      </c>
      <c r="X204" s="110">
        <f t="shared" si="102"/>
        <v>0.20529409970760643</v>
      </c>
      <c r="Y204" s="110">
        <f t="shared" si="102"/>
        <v>0.21516822359878124</v>
      </c>
      <c r="Z204" s="110">
        <f t="shared" si="102"/>
        <v>0.22520453596972881</v>
      </c>
      <c r="AA204" s="110">
        <f t="shared" si="102"/>
        <v>0.23540303682044919</v>
      </c>
      <c r="AB204" s="110">
        <f t="shared" si="102"/>
        <v>0.24576372615094236</v>
      </c>
      <c r="AC204" s="110">
        <f t="shared" si="102"/>
        <v>0.25628660396120834</v>
      </c>
      <c r="AD204" s="110">
        <f t="shared" si="102"/>
        <v>0.26697167025124707</v>
      </c>
      <c r="AE204" s="110">
        <f t="shared" si="102"/>
        <v>0.27781892502105865</v>
      </c>
      <c r="AF204" s="110">
        <f t="shared" si="102"/>
        <v>0.28882836827064295</v>
      </c>
      <c r="AG204" s="110">
        <f t="shared" si="102"/>
        <v>0.3</v>
      </c>
      <c r="AH204" s="245"/>
      <c r="AI204" s="133"/>
      <c r="AJ204" s="211"/>
      <c r="AL204" s="108"/>
      <c r="AM204" s="2"/>
      <c r="AN204" s="2"/>
      <c r="AO204" s="2"/>
      <c r="AV204" s="41"/>
    </row>
    <row r="205" spans="1:63" outlineLevel="1" x14ac:dyDescent="0.2">
      <c r="A205" t="s">
        <v>1631</v>
      </c>
      <c r="B205" s="176" t="s">
        <v>462</v>
      </c>
      <c r="C205" s="110">
        <f>SUM(C203:C204)</f>
        <v>0.12999999999999998</v>
      </c>
      <c r="D205" s="110">
        <f t="shared" ref="D205:AG205" si="103">SUM(D203:D204)</f>
        <v>4.7547979639442906E-2</v>
      </c>
      <c r="E205" s="110">
        <f t="shared" si="103"/>
        <v>5.5347757197597082E-2</v>
      </c>
      <c r="F205" s="110">
        <f t="shared" si="103"/>
        <v>6.3407477914700389E-2</v>
      </c>
      <c r="G205" s="110">
        <f t="shared" si="103"/>
        <v>7.1729855423883049E-2</v>
      </c>
      <c r="H205" s="110">
        <f t="shared" si="103"/>
        <v>8.0317603358275272E-2</v>
      </c>
      <c r="I205" s="110">
        <f t="shared" si="103"/>
        <v>8.9173435351007302E-2</v>
      </c>
      <c r="J205" s="110">
        <f t="shared" si="103"/>
        <v>9.8300065035209355E-2</v>
      </c>
      <c r="K205" s="110">
        <f t="shared" si="103"/>
        <v>0.10770020604401168</v>
      </c>
      <c r="L205" s="110">
        <f t="shared" si="103"/>
        <v>0.11737657201054445</v>
      </c>
      <c r="M205" s="110">
        <f t="shared" si="103"/>
        <v>0.12733187656793798</v>
      </c>
      <c r="N205" s="110">
        <f t="shared" si="103"/>
        <v>0.13828219591927055</v>
      </c>
      <c r="O205" s="110">
        <f t="shared" si="103"/>
        <v>0.14961884135921896</v>
      </c>
      <c r="P205" s="110">
        <f t="shared" si="103"/>
        <v>0.16134753239145772</v>
      </c>
      <c r="Q205" s="110">
        <f t="shared" si="103"/>
        <v>0.17347398851966128</v>
      </c>
      <c r="R205" s="110">
        <f t="shared" si="103"/>
        <v>0.1860039292475042</v>
      </c>
      <c r="S205" s="110">
        <f t="shared" si="103"/>
        <v>0.19894307407866083</v>
      </c>
      <c r="T205" s="110">
        <f t="shared" si="103"/>
        <v>0.2122971425168057</v>
      </c>
      <c r="U205" s="110">
        <f t="shared" si="103"/>
        <v>0.22607185406561331</v>
      </c>
      <c r="V205" s="110">
        <f t="shared" si="103"/>
        <v>0.24027292822875818</v>
      </c>
      <c r="W205" s="110">
        <f t="shared" si="103"/>
        <v>0.25490608450991464</v>
      </c>
      <c r="X205" s="110">
        <f t="shared" si="103"/>
        <v>0.27160157194480761</v>
      </c>
      <c r="Y205" s="110">
        <f t="shared" si="103"/>
        <v>0.28889685197985937</v>
      </c>
      <c r="Z205" s="110">
        <f t="shared" si="103"/>
        <v>0.30680149439951998</v>
      </c>
      <c r="AA205" s="110">
        <f t="shared" si="103"/>
        <v>0.32532506898823965</v>
      </c>
      <c r="AB205" s="110">
        <f t="shared" si="103"/>
        <v>0.34447714553046827</v>
      </c>
      <c r="AC205" s="110">
        <f t="shared" si="103"/>
        <v>0.36426729381065615</v>
      </c>
      <c r="AD205" s="110">
        <f t="shared" si="103"/>
        <v>0.38470508361325312</v>
      </c>
      <c r="AE205" s="110">
        <f t="shared" si="103"/>
        <v>0.40580008472270945</v>
      </c>
      <c r="AF205" s="110">
        <f t="shared" si="103"/>
        <v>0.42756186692347503</v>
      </c>
      <c r="AG205" s="110">
        <f t="shared" si="103"/>
        <v>0.44999999999999996</v>
      </c>
      <c r="AI205" s="133"/>
      <c r="AJ205" s="211"/>
      <c r="AL205" s="108"/>
      <c r="AM205" s="2"/>
      <c r="AN205" s="2"/>
      <c r="AO205" s="2"/>
    </row>
    <row r="206" spans="1:63" outlineLevel="1" x14ac:dyDescent="0.2">
      <c r="A206" t="s">
        <v>1635</v>
      </c>
      <c r="B206" s="54" t="s">
        <v>462</v>
      </c>
      <c r="C206" s="110">
        <f>C195*C204</f>
        <v>6.1749999999999992E-2</v>
      </c>
      <c r="D206" s="110">
        <f t="shared" ref="D206:AG206" si="104">D192*D204</f>
        <v>3.3114532517776484E-4</v>
      </c>
      <c r="E206" s="110">
        <f t="shared" si="104"/>
        <v>4.5641335103216679E-4</v>
      </c>
      <c r="F206" s="110">
        <f t="shared" si="104"/>
        <v>6.0850336553204597E-4</v>
      </c>
      <c r="G206" s="110">
        <f t="shared" si="104"/>
        <v>7.9008537175099581E-4</v>
      </c>
      <c r="H206" s="110">
        <f t="shared" si="104"/>
        <v>1.0039198272002847E-3</v>
      </c>
      <c r="I206" s="110">
        <f t="shared" si="104"/>
        <v>1.252857643828855E-3</v>
      </c>
      <c r="J206" s="110">
        <f t="shared" si="104"/>
        <v>1.5398401880233237E-3</v>
      </c>
      <c r="K206" s="110">
        <f t="shared" si="104"/>
        <v>1.867899280607981E-3</v>
      </c>
      <c r="L206" s="110">
        <f t="shared" si="104"/>
        <v>2.2401571968447918E-3</v>
      </c>
      <c r="M206" s="110">
        <f t="shared" si="104"/>
        <v>2.6598266664333969E-3</v>
      </c>
      <c r="N206" s="110">
        <f t="shared" si="104"/>
        <v>3.2312705709204264E-3</v>
      </c>
      <c r="O206" s="110">
        <f t="shared" si="104"/>
        <v>3.8840062623615563E-3</v>
      </c>
      <c r="P206" s="110">
        <f t="shared" si="104"/>
        <v>4.6245427690596568E-3</v>
      </c>
      <c r="Q206" s="110">
        <f t="shared" si="104"/>
        <v>5.4595797694400794E-3</v>
      </c>
      <c r="R206" s="110">
        <f t="shared" si="104"/>
        <v>6.3960075920506598E-3</v>
      </c>
      <c r="S206" s="110">
        <f t="shared" si="104"/>
        <v>7.4409072155617109E-3</v>
      </c>
      <c r="T206" s="110">
        <f t="shared" si="104"/>
        <v>8.6015502687660384E-3</v>
      </c>
      <c r="U206" s="110">
        <f t="shared" si="104"/>
        <v>9.8853990305789192E-3</v>
      </c>
      <c r="V206" s="110">
        <f t="shared" si="104"/>
        <v>1.130010643003812E-2</v>
      </c>
      <c r="W206" s="110">
        <f t="shared" si="104"/>
        <v>1.2853516046303887E-2</v>
      </c>
      <c r="X206" s="110">
        <f t="shared" si="104"/>
        <v>1.4919181253370261E-2</v>
      </c>
      <c r="Y206" s="110">
        <f t="shared" si="104"/>
        <v>1.7203346622251561E-2</v>
      </c>
      <c r="Z206" s="110">
        <f t="shared" si="104"/>
        <v>1.9719264953866202E-2</v>
      </c>
      <c r="AA206" s="110">
        <f t="shared" si="104"/>
        <v>2.2480508041947605E-2</v>
      </c>
      <c r="AB206" s="110">
        <f t="shared" si="104"/>
        <v>2.5500966673044197E-2</v>
      </c>
      <c r="AC206" s="110">
        <f t="shared" si="104"/>
        <v>2.879485062651941E-2</v>
      </c>
      <c r="AD206" s="110">
        <f t="shared" si="104"/>
        <v>3.2376688674551665E-2</v>
      </c>
      <c r="AE206" s="110">
        <f t="shared" si="104"/>
        <v>3.6261328582134406E-2</v>
      </c>
      <c r="AF206" s="110">
        <f t="shared" si="104"/>
        <v>4.0463937107076034E-2</v>
      </c>
      <c r="AG206" s="110">
        <f t="shared" si="104"/>
        <v>4.4999999999999998E-2</v>
      </c>
      <c r="AI206" s="133"/>
      <c r="AJ206" s="211"/>
      <c r="BD206" s="203"/>
      <c r="BE206" s="203"/>
    </row>
    <row r="207" spans="1:63" outlineLevel="1" x14ac:dyDescent="0.2">
      <c r="A207" t="s">
        <v>1636</v>
      </c>
      <c r="B207" s="54" t="s">
        <v>462</v>
      </c>
      <c r="C207" s="110">
        <f>C196*C204</f>
        <v>6.1749999999999992E-2</v>
      </c>
      <c r="D207" s="110">
        <f t="shared" ref="D207:AG207" si="105">D194*D204</f>
        <v>0</v>
      </c>
      <c r="E207" s="110">
        <f t="shared" si="105"/>
        <v>0</v>
      </c>
      <c r="F207" s="110">
        <f t="shared" si="105"/>
        <v>0</v>
      </c>
      <c r="G207" s="110">
        <f t="shared" si="105"/>
        <v>0</v>
      </c>
      <c r="H207" s="110">
        <f t="shared" si="105"/>
        <v>0</v>
      </c>
      <c r="I207" s="110">
        <f t="shared" si="105"/>
        <v>0</v>
      </c>
      <c r="J207" s="110">
        <f t="shared" si="105"/>
        <v>0</v>
      </c>
      <c r="K207" s="110">
        <f t="shared" si="105"/>
        <v>0</v>
      </c>
      <c r="L207" s="110">
        <f t="shared" si="105"/>
        <v>0</v>
      </c>
      <c r="M207" s="110">
        <f t="shared" si="105"/>
        <v>0</v>
      </c>
      <c r="N207" s="110">
        <f t="shared" si="105"/>
        <v>0</v>
      </c>
      <c r="O207" s="110">
        <f t="shared" si="105"/>
        <v>0</v>
      </c>
      <c r="P207" s="110">
        <f t="shared" si="105"/>
        <v>0</v>
      </c>
      <c r="Q207" s="110">
        <f t="shared" si="105"/>
        <v>0</v>
      </c>
      <c r="R207" s="110">
        <f t="shared" si="105"/>
        <v>0</v>
      </c>
      <c r="S207" s="110">
        <f t="shared" si="105"/>
        <v>0</v>
      </c>
      <c r="T207" s="110">
        <f t="shared" si="105"/>
        <v>0</v>
      </c>
      <c r="U207" s="110">
        <f t="shared" si="105"/>
        <v>0</v>
      </c>
      <c r="V207" s="110">
        <f t="shared" si="105"/>
        <v>0</v>
      </c>
      <c r="W207" s="110">
        <f t="shared" si="105"/>
        <v>0</v>
      </c>
      <c r="X207" s="110">
        <f t="shared" si="105"/>
        <v>0</v>
      </c>
      <c r="Y207" s="110">
        <f t="shared" si="105"/>
        <v>0</v>
      </c>
      <c r="Z207" s="110">
        <f t="shared" si="105"/>
        <v>0</v>
      </c>
      <c r="AA207" s="110">
        <f t="shared" si="105"/>
        <v>0</v>
      </c>
      <c r="AB207" s="110">
        <f t="shared" si="105"/>
        <v>0</v>
      </c>
      <c r="AC207" s="110">
        <f t="shared" si="105"/>
        <v>0</v>
      </c>
      <c r="AD207" s="110">
        <f t="shared" si="105"/>
        <v>0</v>
      </c>
      <c r="AE207" s="110">
        <f t="shared" si="105"/>
        <v>0</v>
      </c>
      <c r="AF207" s="110">
        <f t="shared" si="105"/>
        <v>0</v>
      </c>
      <c r="AG207" s="110">
        <f t="shared" si="105"/>
        <v>0</v>
      </c>
      <c r="AI207" s="134"/>
      <c r="AJ207" s="211"/>
      <c r="BC207" s="1"/>
      <c r="BD207" s="41"/>
      <c r="BF207" s="6"/>
      <c r="BG207" s="6"/>
      <c r="BH207" s="6"/>
      <c r="BI207" s="6"/>
      <c r="BJ207" s="6"/>
    </row>
    <row r="208" spans="1:63" outlineLevel="1" x14ac:dyDescent="0.2">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I208" s="134"/>
      <c r="AJ208" s="211"/>
      <c r="BC208" s="1"/>
      <c r="BD208" s="41"/>
      <c r="BF208" s="6"/>
      <c r="BG208" s="6"/>
      <c r="BH208" s="6"/>
      <c r="BI208" s="6"/>
      <c r="BJ208" s="6"/>
    </row>
    <row r="209" spans="1:63" s="1" customFormat="1" outlineLevel="1" x14ac:dyDescent="0.2">
      <c r="A209" s="1" t="s">
        <v>228</v>
      </c>
      <c r="B209" s="65"/>
      <c r="C209" s="300">
        <f>'BTX Recycling HC'!C209</f>
        <v>0.11016660035716574</v>
      </c>
      <c r="D209" s="300">
        <f>'BTX Recycling HC'!D209</f>
        <v>9.9439273087778765E-2</v>
      </c>
      <c r="E209" s="300">
        <f>'BTX Recycling HC'!E209</f>
        <v>0.12361992003147491</v>
      </c>
      <c r="F209" s="300">
        <f>'BTX Recycling HC'!F209</f>
        <v>0.15062162288814759</v>
      </c>
      <c r="G209" s="300">
        <f>'BTX Recycling HC'!G209</f>
        <v>0.18048967387741766</v>
      </c>
      <c r="H209" s="300">
        <f>'BTX Recycling HC'!H209</f>
        <v>0.21323657377331556</v>
      </c>
      <c r="I209" s="300">
        <f>'BTX Recycling HC'!I209</f>
        <v>0.24167052833573527</v>
      </c>
      <c r="J209" s="300">
        <f>'BTX Recycling HC'!J209</f>
        <v>0.27123368637062284</v>
      </c>
      <c r="K209" s="300">
        <f>'BTX Recycling HC'!K209</f>
        <v>0.30176946107959346</v>
      </c>
      <c r="L209" s="300">
        <f>'BTX Recycling HC'!L209</f>
        <v>0.33309886329406818</v>
      </c>
      <c r="M209" s="300">
        <f>'BTX Recycling HC'!M209</f>
        <v>0.36501977197516106</v>
      </c>
      <c r="N209" s="300">
        <f>'BTX Recycling HC'!N209</f>
        <v>0.40954660522453612</v>
      </c>
      <c r="O209" s="300">
        <f>'BTX Recycling HC'!O209</f>
        <v>0.45470989959957503</v>
      </c>
      <c r="P209" s="300">
        <f>'BTX Recycling HC'!P209</f>
        <v>0.49990837842335029</v>
      </c>
      <c r="Q209" s="300">
        <f>'BTX Recycling HC'!Q209</f>
        <v>0.54449570623676391</v>
      </c>
      <c r="R209" s="300">
        <f>'BTX Recycling HC'!R209</f>
        <v>0.587788298211807</v>
      </c>
      <c r="S209" s="300">
        <f>'BTX Recycling HC'!S209</f>
        <v>0.63889549832282444</v>
      </c>
      <c r="T209" s="300">
        <f>'BTX Recycling HC'!T209</f>
        <v>0.6906566202057991</v>
      </c>
      <c r="U209" s="300">
        <f>'BTX Recycling HC'!U209</f>
        <v>0.74274986902467555</v>
      </c>
      <c r="V209" s="300">
        <f>'BTX Recycling HC'!V209</f>
        <v>0.79482801439485495</v>
      </c>
      <c r="W209" s="300">
        <f>'BTX Recycling HC'!W209</f>
        <v>0.84651778684722079</v>
      </c>
      <c r="X209" s="300">
        <f>'BTX Recycling HC'!X209</f>
        <v>0.91996835101164021</v>
      </c>
      <c r="Y209" s="300">
        <f>'BTX Recycling HC'!Y209</f>
        <v>0.99300083269992978</v>
      </c>
      <c r="Z209" s="300">
        <f>'BTX Recycling HC'!Z209</f>
        <v>1.0649639255621126</v>
      </c>
      <c r="AA209" s="300">
        <f>'BTX Recycling HC'!AA209</f>
        <v>1.1351609435216403</v>
      </c>
      <c r="AB209" s="300">
        <f>'BTX Recycling HC'!AB209</f>
        <v>1.2028488368776828</v>
      </c>
      <c r="AC209" s="300">
        <f>'BTX Recycling HC'!AC209</f>
        <v>1.254610427855863</v>
      </c>
      <c r="AD209" s="300">
        <f>'BTX Recycling HC'!AD209</f>
        <v>1.2997009559320574</v>
      </c>
      <c r="AE209" s="300">
        <f>'BTX Recycling HC'!AE209</f>
        <v>1.3369914486461396</v>
      </c>
      <c r="AF209" s="300">
        <f>'BTX Recycling HC'!AF209</f>
        <v>1.3652914131739275</v>
      </c>
      <c r="AG209" s="300">
        <f>'BTX Recycling HC'!AG209</f>
        <v>1.3833477462764889</v>
      </c>
      <c r="AH209" s="245"/>
      <c r="AI209" s="423"/>
      <c r="AJ209" s="424"/>
      <c r="AL209" s="221"/>
      <c r="AM209" s="124"/>
      <c r="AN209" s="124"/>
      <c r="AO209" s="124"/>
      <c r="BD209" s="124"/>
      <c r="BE209" s="124"/>
      <c r="BF209" s="124"/>
      <c r="BG209" s="124"/>
      <c r="BH209" s="124"/>
      <c r="BI209" s="124"/>
      <c r="BJ209" s="124"/>
      <c r="BK209" s="124"/>
    </row>
    <row r="210" spans="1:63" outlineLevel="1" x14ac:dyDescent="0.2">
      <c r="A210" s="4" t="s">
        <v>474</v>
      </c>
      <c r="C210" s="230">
        <f>C$209*'BTX recycling rates'!E74</f>
        <v>0.10125733896785366</v>
      </c>
      <c r="D210" s="230">
        <f>D$209*'BTX recycling rates'!F74</f>
        <v>9.139753926436972E-2</v>
      </c>
      <c r="E210" s="230">
        <f>E$209*'BTX recycling rates'!G74</f>
        <v>0.11362267788262405</v>
      </c>
      <c r="F210" s="230">
        <f>F$209*'BTX recycling rates'!H74</f>
        <v>0.13844073135802593</v>
      </c>
      <c r="G210" s="230">
        <f>G$209*'BTX recycling rates'!I74</f>
        <v>0.16589332909204449</v>
      </c>
      <c r="H210" s="230">
        <f>H$209*'BTX recycling rates'!J74</f>
        <v>0.19599196091108134</v>
      </c>
      <c r="I210" s="230">
        <f>I$209*'BTX recycling rates'!K74</f>
        <v>0.222126438747278</v>
      </c>
      <c r="J210" s="230">
        <f>J$209*'BTX recycling rates'!L74</f>
        <v>0.24929880046483849</v>
      </c>
      <c r="K210" s="230">
        <f>K$209*'BTX recycling rates'!M74</f>
        <v>0.27736512256543816</v>
      </c>
      <c r="L210" s="230">
        <f>L$209*'BTX recycling rates'!N74</f>
        <v>0.30616089087821563</v>
      </c>
      <c r="M210" s="230">
        <f>M$209*'BTX recycling rates'!O74</f>
        <v>0.33550033005491964</v>
      </c>
      <c r="N210" s="230">
        <f>N$209*'BTX recycling rates'!P74</f>
        <v>0.37642624256270091</v>
      </c>
      <c r="O210" s="230">
        <f>O$209*'BTX recycling rates'!Q74</f>
        <v>0.41793714507409729</v>
      </c>
      <c r="P210" s="230">
        <f>P$209*'BTX recycling rates'!R74</f>
        <v>0.4594803866396221</v>
      </c>
      <c r="Q210" s="230">
        <f>Q$209*'BTX recycling rates'!S74</f>
        <v>0.50046190146749581</v>
      </c>
      <c r="R210" s="230">
        <f>R$209*'BTX recycling rates'!T74</f>
        <v>0.54025338678338797</v>
      </c>
      <c r="S210" s="230">
        <f>S$209*'BTX recycling rates'!U74</f>
        <v>0.58722750660338496</v>
      </c>
      <c r="T210" s="230">
        <f>T$209*'BTX recycling rates'!V74</f>
        <v>0.63480266501681093</v>
      </c>
      <c r="U210" s="230">
        <f>U$209*'BTX recycling rates'!W74</f>
        <v>0.68268309099427116</v>
      </c>
      <c r="V210" s="230">
        <f>V$209*'BTX recycling rates'!X74</f>
        <v>0.7305496349510523</v>
      </c>
      <c r="W210" s="230">
        <f>W$209*'BTX recycling rates'!Y74</f>
        <v>0.778059214019587</v>
      </c>
      <c r="X210" s="230">
        <f>X$209*'BTX recycling rates'!Z74</f>
        <v>0.84556977210946405</v>
      </c>
      <c r="Y210" s="230">
        <f>Y$209*'BTX recycling rates'!AA74</f>
        <v>0.9126960583886039</v>
      </c>
      <c r="Z210" s="230">
        <f>Z$209*'BTX recycling rates'!AB74</f>
        <v>0.97883943817428332</v>
      </c>
      <c r="AA210" s="230">
        <f>AA$209*'BTX recycling rates'!AC74</f>
        <v>1.0433595669521165</v>
      </c>
      <c r="AB210" s="230">
        <f>AB$209*'BTX recycling rates'!AD74</f>
        <v>1.1055734860469424</v>
      </c>
      <c r="AC210" s="230">
        <f>AC$209*'BTX recycling rates'!AE74</f>
        <v>1.153149075619468</v>
      </c>
      <c r="AD210" s="230">
        <f>AD$209*'BTX recycling rates'!AF74</f>
        <v>1.1945930965010088</v>
      </c>
      <c r="AE210" s="230">
        <f>AE$209*'BTX recycling rates'!AG74</f>
        <v>1.2288678771403889</v>
      </c>
      <c r="AF210" s="230">
        <f>AF$209*'BTX recycling rates'!AH74</f>
        <v>1.2548792008235932</v>
      </c>
      <c r="AG210" s="230">
        <f>AG$209*'BTX recycling rates'!AI74</f>
        <v>1.271475303776348</v>
      </c>
      <c r="AH210" s="245"/>
      <c r="AI210" s="133"/>
      <c r="AJ210" s="211"/>
      <c r="AL210" s="108"/>
      <c r="AM210" s="2"/>
      <c r="AN210" s="2"/>
      <c r="AO210" s="2"/>
      <c r="BC210" s="1"/>
      <c r="BD210" s="2"/>
      <c r="BE210" s="2"/>
      <c r="BF210" s="2"/>
      <c r="BG210" s="2"/>
      <c r="BH210" s="2"/>
      <c r="BI210" s="2"/>
      <c r="BJ210" s="2"/>
      <c r="BK210" s="2"/>
    </row>
    <row r="211" spans="1:63" outlineLevel="1" x14ac:dyDescent="0.2">
      <c r="A211" s="4" t="s">
        <v>478</v>
      </c>
      <c r="C211" s="230">
        <f>C$209*'BTX recycling rates'!E75</f>
        <v>0</v>
      </c>
      <c r="D211" s="230">
        <f>D$209*'BTX recycling rates'!F75</f>
        <v>0</v>
      </c>
      <c r="E211" s="230">
        <f>E$209*'BTX recycling rates'!G75</f>
        <v>0</v>
      </c>
      <c r="F211" s="230">
        <f>F$209*'BTX recycling rates'!H75</f>
        <v>0</v>
      </c>
      <c r="G211" s="230">
        <f>G$209*'BTX recycling rates'!I75</f>
        <v>0</v>
      </c>
      <c r="H211" s="230">
        <f>H$209*'BTX recycling rates'!J75</f>
        <v>0</v>
      </c>
      <c r="I211" s="230">
        <f>I$209*'BTX recycling rates'!K75</f>
        <v>0</v>
      </c>
      <c r="J211" s="230">
        <f>J$209*'BTX recycling rates'!L75</f>
        <v>0</v>
      </c>
      <c r="K211" s="230">
        <f>K$209*'BTX recycling rates'!M75</f>
        <v>0</v>
      </c>
      <c r="L211" s="230">
        <f>L$209*'BTX recycling rates'!N75</f>
        <v>0</v>
      </c>
      <c r="M211" s="230">
        <f>M$209*'BTX recycling rates'!O75</f>
        <v>0</v>
      </c>
      <c r="N211" s="230">
        <f>N$209*'BTX recycling rates'!P75</f>
        <v>0</v>
      </c>
      <c r="O211" s="230">
        <f>O$209*'BTX recycling rates'!Q75</f>
        <v>0</v>
      </c>
      <c r="P211" s="230">
        <f>P$209*'BTX recycling rates'!R75</f>
        <v>0</v>
      </c>
      <c r="Q211" s="230">
        <f>Q$209*'BTX recycling rates'!S75</f>
        <v>0</v>
      </c>
      <c r="R211" s="230">
        <f>R$209*'BTX recycling rates'!T75</f>
        <v>0</v>
      </c>
      <c r="S211" s="230">
        <f>S$209*'BTX recycling rates'!U75</f>
        <v>0</v>
      </c>
      <c r="T211" s="230">
        <f>T$209*'BTX recycling rates'!V75</f>
        <v>0</v>
      </c>
      <c r="U211" s="230">
        <f>U$209*'BTX recycling rates'!W75</f>
        <v>0</v>
      </c>
      <c r="V211" s="230">
        <f>V$209*'BTX recycling rates'!X75</f>
        <v>0</v>
      </c>
      <c r="W211" s="230">
        <f>W$209*'BTX recycling rates'!Y75</f>
        <v>0</v>
      </c>
      <c r="X211" s="230">
        <f>X$209*'BTX recycling rates'!Z75</f>
        <v>0</v>
      </c>
      <c r="Y211" s="230">
        <f>Y$209*'BTX recycling rates'!AA75</f>
        <v>0</v>
      </c>
      <c r="Z211" s="230">
        <f>Z$209*'BTX recycling rates'!AB75</f>
        <v>0</v>
      </c>
      <c r="AA211" s="230">
        <f>AA$209*'BTX recycling rates'!AC75</f>
        <v>0</v>
      </c>
      <c r="AB211" s="230">
        <f>AB$209*'BTX recycling rates'!AD75</f>
        <v>0</v>
      </c>
      <c r="AC211" s="230">
        <f>AC$209*'BTX recycling rates'!AE75</f>
        <v>0</v>
      </c>
      <c r="AD211" s="230">
        <f>AD$209*'BTX recycling rates'!AF75</f>
        <v>0</v>
      </c>
      <c r="AE211" s="230">
        <f>AE$209*'BTX recycling rates'!AG75</f>
        <v>0</v>
      </c>
      <c r="AF211" s="230">
        <f>AF$209*'BTX recycling rates'!AH75</f>
        <v>0</v>
      </c>
      <c r="AG211" s="230">
        <f>AG$209*'BTX recycling rates'!AI75</f>
        <v>0</v>
      </c>
      <c r="AH211" s="245"/>
      <c r="AI211" s="133"/>
      <c r="AJ211" s="211"/>
      <c r="AL211" s="108"/>
      <c r="AM211" s="2"/>
      <c r="AN211" s="2"/>
      <c r="AO211" s="2"/>
      <c r="BC211" s="1"/>
      <c r="BD211" s="2"/>
      <c r="BE211" s="2"/>
      <c r="BF211" s="2"/>
      <c r="BG211" s="2"/>
      <c r="BH211" s="2"/>
      <c r="BI211" s="2"/>
      <c r="BJ211" s="2"/>
      <c r="BK211" s="2"/>
    </row>
    <row r="212" spans="1:63" outlineLevel="1" x14ac:dyDescent="0.2">
      <c r="A212" s="4" t="s">
        <v>745</v>
      </c>
      <c r="C212" s="230">
        <f>C$209*'BTX recycling rates'!E76</f>
        <v>0</v>
      </c>
      <c r="D212" s="230">
        <f>D$209*'BTX recycling rates'!F76</f>
        <v>0</v>
      </c>
      <c r="E212" s="230">
        <f>E$209*'BTX recycling rates'!G76</f>
        <v>0</v>
      </c>
      <c r="F212" s="230">
        <f>F$209*'BTX recycling rates'!H76</f>
        <v>0</v>
      </c>
      <c r="G212" s="230">
        <f>G$209*'BTX recycling rates'!I76</f>
        <v>0</v>
      </c>
      <c r="H212" s="230">
        <f>H$209*'BTX recycling rates'!J76</f>
        <v>0</v>
      </c>
      <c r="I212" s="230">
        <f>I$209*'BTX recycling rates'!K76</f>
        <v>0</v>
      </c>
      <c r="J212" s="230">
        <f>J$209*'BTX recycling rates'!L76</f>
        <v>0</v>
      </c>
      <c r="K212" s="230">
        <f>K$209*'BTX recycling rates'!M76</f>
        <v>0</v>
      </c>
      <c r="L212" s="230">
        <f>L$209*'BTX recycling rates'!N76</f>
        <v>0</v>
      </c>
      <c r="M212" s="230">
        <f>M$209*'BTX recycling rates'!O76</f>
        <v>0</v>
      </c>
      <c r="N212" s="230">
        <f>N$209*'BTX recycling rates'!P76</f>
        <v>0</v>
      </c>
      <c r="O212" s="230">
        <f>O$209*'BTX recycling rates'!Q76</f>
        <v>0</v>
      </c>
      <c r="P212" s="230">
        <f>P$209*'BTX recycling rates'!R76</f>
        <v>0</v>
      </c>
      <c r="Q212" s="230">
        <f>Q$209*'BTX recycling rates'!S76</f>
        <v>0</v>
      </c>
      <c r="R212" s="230">
        <f>R$209*'BTX recycling rates'!T76</f>
        <v>0</v>
      </c>
      <c r="S212" s="230">
        <f>S$209*'BTX recycling rates'!U76</f>
        <v>0</v>
      </c>
      <c r="T212" s="230">
        <f>T$209*'BTX recycling rates'!V76</f>
        <v>0</v>
      </c>
      <c r="U212" s="230">
        <f>U$209*'BTX recycling rates'!W76</f>
        <v>0</v>
      </c>
      <c r="V212" s="230">
        <f>V$209*'BTX recycling rates'!X76</f>
        <v>0</v>
      </c>
      <c r="W212" s="230">
        <f>W$209*'BTX recycling rates'!Y76</f>
        <v>0</v>
      </c>
      <c r="X212" s="230">
        <f>X$209*'BTX recycling rates'!Z76</f>
        <v>0</v>
      </c>
      <c r="Y212" s="230">
        <f>Y$209*'BTX recycling rates'!AA76</f>
        <v>0</v>
      </c>
      <c r="Z212" s="230">
        <f>Z$209*'BTX recycling rates'!AB76</f>
        <v>0</v>
      </c>
      <c r="AA212" s="230">
        <f>AA$209*'BTX recycling rates'!AC76</f>
        <v>0</v>
      </c>
      <c r="AB212" s="230">
        <f>AB$209*'BTX recycling rates'!AD76</f>
        <v>0</v>
      </c>
      <c r="AC212" s="230">
        <f>AC$209*'BTX recycling rates'!AE76</f>
        <v>0</v>
      </c>
      <c r="AD212" s="230">
        <f>AD$209*'BTX recycling rates'!AF76</f>
        <v>0</v>
      </c>
      <c r="AE212" s="230">
        <f>AE$209*'BTX recycling rates'!AG76</f>
        <v>0</v>
      </c>
      <c r="AF212" s="230">
        <f>AF$209*'BTX recycling rates'!AH76</f>
        <v>0</v>
      </c>
      <c r="AG212" s="230">
        <f>AG$209*'BTX recycling rates'!AI76</f>
        <v>0</v>
      </c>
      <c r="AH212" s="245"/>
      <c r="AI212" s="133"/>
      <c r="AJ212" s="211"/>
      <c r="AL212" s="108"/>
      <c r="AM212" s="2"/>
      <c r="AN212" s="2"/>
      <c r="AO212" s="2"/>
      <c r="BC212" s="1"/>
      <c r="BD212" s="2"/>
      <c r="BE212" s="2"/>
      <c r="BF212" s="2"/>
      <c r="BG212" s="2"/>
      <c r="BH212" s="2"/>
      <c r="BI212" s="2"/>
      <c r="BJ212" s="2"/>
      <c r="BK212" s="2"/>
    </row>
    <row r="213" spans="1:63" outlineLevel="1" x14ac:dyDescent="0.2">
      <c r="A213" s="4" t="s">
        <v>1561</v>
      </c>
      <c r="C213" s="230">
        <f>C$209*'BTX recycling rates'!E77</f>
        <v>8.9092613893120808E-3</v>
      </c>
      <c r="D213" s="230">
        <f>D$209*'BTX recycling rates'!F77</f>
        <v>8.0417338234090498E-3</v>
      </c>
      <c r="E213" s="230">
        <f>E$209*'BTX recycling rates'!G77</f>
        <v>9.9972421488508691E-3</v>
      </c>
      <c r="F213" s="230">
        <f>F$209*'BTX recycling rates'!H77</f>
        <v>1.2180891530121661E-2</v>
      </c>
      <c r="G213" s="230">
        <f>G$209*'BTX recycling rates'!I77</f>
        <v>1.4596344785373172E-2</v>
      </c>
      <c r="H213" s="230">
        <f>H$209*'BTX recycling rates'!J77</f>
        <v>1.7244612862234221E-2</v>
      </c>
      <c r="I213" s="230">
        <f>I$209*'BTX recycling rates'!K77</f>
        <v>1.9544089588457284E-2</v>
      </c>
      <c r="J213" s="230">
        <f>J$209*'BTX recycling rates'!L77</f>
        <v>2.1934885905784355E-2</v>
      </c>
      <c r="K213" s="230">
        <f>K$209*'BTX recycling rates'!M77</f>
        <v>2.4404338514155317E-2</v>
      </c>
      <c r="L213" s="230">
        <f>L$209*'BTX recycling rates'!N77</f>
        <v>2.6937972415852569E-2</v>
      </c>
      <c r="M213" s="230">
        <f>M$209*'BTX recycling rates'!O77</f>
        <v>2.9519441920241425E-2</v>
      </c>
      <c r="N213" s="230">
        <f>N$209*'BTX recycling rates'!P77</f>
        <v>3.312036266183524E-2</v>
      </c>
      <c r="O213" s="230">
        <f>O$209*'BTX recycling rates'!Q77</f>
        <v>3.6772754525477763E-2</v>
      </c>
      <c r="P213" s="230">
        <f>P$209*'BTX recycling rates'!R77</f>
        <v>4.0427991783728218E-2</v>
      </c>
      <c r="Q213" s="230">
        <f>Q$209*'BTX recycling rates'!S77</f>
        <v>4.4033804769268062E-2</v>
      </c>
      <c r="R213" s="230">
        <f>R$209*'BTX recycling rates'!T77</f>
        <v>4.7534911428419008E-2</v>
      </c>
      <c r="S213" s="230">
        <f>S$209*'BTX recycling rates'!U77</f>
        <v>5.1667991719439504E-2</v>
      </c>
      <c r="T213" s="230">
        <f>T$209*'BTX recycling rates'!V77</f>
        <v>5.5853955188988169E-2</v>
      </c>
      <c r="U213" s="230">
        <f>U$209*'BTX recycling rates'!W77</f>
        <v>6.0066778030404416E-2</v>
      </c>
      <c r="V213" s="230">
        <f>V$209*'BTX recycling rates'!X77</f>
        <v>6.4278379443802686E-2</v>
      </c>
      <c r="W213" s="230">
        <f>W$209*'BTX recycling rates'!Y77</f>
        <v>6.845857282763379E-2</v>
      </c>
      <c r="X213" s="230">
        <f>X$209*'BTX recycling rates'!Z77</f>
        <v>7.4398578902176216E-2</v>
      </c>
      <c r="Y213" s="230">
        <f>Y$209*'BTX recycling rates'!AA77</f>
        <v>8.0304774311325891E-2</v>
      </c>
      <c r="Z213" s="230">
        <f>Z$209*'BTX recycling rates'!AB77</f>
        <v>8.6124487387829324E-2</v>
      </c>
      <c r="AA213" s="230">
        <f>AA$209*'BTX recycling rates'!AC77</f>
        <v>9.1801376569523932E-2</v>
      </c>
      <c r="AB213" s="230">
        <f>AB$209*'BTX recycling rates'!AD77</f>
        <v>9.7275350830740556E-2</v>
      </c>
      <c r="AC213" s="230">
        <f>AC$209*'BTX recycling rates'!AE77</f>
        <v>0.10146135223639498</v>
      </c>
      <c r="AD213" s="230">
        <f>AD$209*'BTX recycling rates'!AF77</f>
        <v>0.10510785943104856</v>
      </c>
      <c r="AE213" s="230">
        <f>AE$209*'BTX recycling rates'!AG77</f>
        <v>0.10812357150575076</v>
      </c>
      <c r="AF213" s="230">
        <f>AF$209*'BTX recycling rates'!AH77</f>
        <v>0.11041221235033431</v>
      </c>
      <c r="AG213" s="230">
        <f>AG$209*'BTX recycling rates'!AI77</f>
        <v>0.11187244250014071</v>
      </c>
      <c r="AH213" s="245"/>
      <c r="AI213" s="133"/>
      <c r="AJ213" s="211"/>
      <c r="AL213" s="108"/>
      <c r="AM213" s="2"/>
      <c r="AN213" s="2"/>
      <c r="AO213" s="2"/>
      <c r="BC213" s="1"/>
      <c r="BD213" s="2"/>
      <c r="BE213" s="2"/>
      <c r="BF213" s="2"/>
      <c r="BG213" s="2"/>
      <c r="BH213" s="2"/>
      <c r="BI213" s="2"/>
      <c r="BJ213" s="2"/>
      <c r="BK213" s="2"/>
    </row>
    <row r="214" spans="1:63" s="1" customFormat="1" outlineLevel="1" x14ac:dyDescent="0.2">
      <c r="A214" s="1" t="s">
        <v>1562</v>
      </c>
      <c r="B214" s="65"/>
      <c r="C214" s="300">
        <f t="shared" ref="C214:AG214" si="106">C209-$C209</f>
        <v>0</v>
      </c>
      <c r="D214" s="300">
        <f t="shared" si="106"/>
        <v>-1.072732726938698E-2</v>
      </c>
      <c r="E214" s="300">
        <f t="shared" si="106"/>
        <v>1.3453319674309169E-2</v>
      </c>
      <c r="F214" s="300">
        <f t="shared" si="106"/>
        <v>4.0455022530981849E-2</v>
      </c>
      <c r="G214" s="300">
        <f t="shared" si="106"/>
        <v>7.0323073520251911E-2</v>
      </c>
      <c r="H214" s="300">
        <f t="shared" si="106"/>
        <v>0.10306997341614982</v>
      </c>
      <c r="I214" s="300">
        <f t="shared" si="106"/>
        <v>0.13150392797856952</v>
      </c>
      <c r="J214" s="300">
        <f t="shared" si="106"/>
        <v>0.16106708601345709</v>
      </c>
      <c r="K214" s="300">
        <f t="shared" si="106"/>
        <v>0.19160286072242771</v>
      </c>
      <c r="L214" s="300">
        <f t="shared" si="106"/>
        <v>0.22293226293690244</v>
      </c>
      <c r="M214" s="300">
        <f t="shared" si="106"/>
        <v>0.25485317161799531</v>
      </c>
      <c r="N214" s="300">
        <f t="shared" si="106"/>
        <v>0.29938000486737038</v>
      </c>
      <c r="O214" s="300">
        <f t="shared" si="106"/>
        <v>0.34454329924240928</v>
      </c>
      <c r="P214" s="300">
        <f t="shared" si="106"/>
        <v>0.38974177806618454</v>
      </c>
      <c r="Q214" s="300">
        <f t="shared" si="106"/>
        <v>0.43432910587959817</v>
      </c>
      <c r="R214" s="300">
        <f t="shared" si="106"/>
        <v>0.47762169785464126</v>
      </c>
      <c r="S214" s="300">
        <f t="shared" si="106"/>
        <v>0.5287288979656587</v>
      </c>
      <c r="T214" s="300">
        <f t="shared" si="106"/>
        <v>0.58049001984863335</v>
      </c>
      <c r="U214" s="300">
        <f t="shared" si="106"/>
        <v>0.6325832686675098</v>
      </c>
      <c r="V214" s="300">
        <f t="shared" si="106"/>
        <v>0.68466141403768921</v>
      </c>
      <c r="W214" s="300">
        <f t="shared" si="106"/>
        <v>0.73635118649005504</v>
      </c>
      <c r="X214" s="300">
        <f t="shared" si="106"/>
        <v>0.80980175065447446</v>
      </c>
      <c r="Y214" s="300">
        <f t="shared" si="106"/>
        <v>0.88283423234276404</v>
      </c>
      <c r="Z214" s="300">
        <f t="shared" si="106"/>
        <v>0.95479732520494687</v>
      </c>
      <c r="AA214" s="300">
        <f t="shared" si="106"/>
        <v>1.0249943431644746</v>
      </c>
      <c r="AB214" s="300">
        <f t="shared" si="106"/>
        <v>1.0926822365205171</v>
      </c>
      <c r="AC214" s="300">
        <f t="shared" si="106"/>
        <v>1.1444438274986972</v>
      </c>
      <c r="AD214" s="300">
        <f t="shared" si="106"/>
        <v>1.1895343555748916</v>
      </c>
      <c r="AE214" s="300">
        <f t="shared" si="106"/>
        <v>1.2268248482889739</v>
      </c>
      <c r="AF214" s="300">
        <f t="shared" si="106"/>
        <v>1.2551248128167618</v>
      </c>
      <c r="AG214" s="300">
        <f t="shared" si="106"/>
        <v>1.2731811459193232</v>
      </c>
      <c r="AH214" s="245"/>
      <c r="AI214" s="423"/>
      <c r="AJ214" s="424"/>
      <c r="AL214" s="221"/>
      <c r="AM214" s="124"/>
      <c r="AN214" s="124"/>
      <c r="AO214" s="124"/>
      <c r="BD214" s="124"/>
      <c r="BE214" s="124"/>
      <c r="BF214" s="124"/>
      <c r="BG214" s="124"/>
      <c r="BH214" s="124"/>
      <c r="BI214" s="124"/>
      <c r="BJ214" s="124"/>
      <c r="BK214" s="124"/>
    </row>
    <row r="215" spans="1:63" outlineLevel="1" x14ac:dyDescent="0.2">
      <c r="A215" s="4" t="s">
        <v>474</v>
      </c>
      <c r="C215" s="230">
        <f t="shared" ref="C215:AG215" si="107">C210-$C210</f>
        <v>0</v>
      </c>
      <c r="D215" s="230">
        <f t="shared" si="107"/>
        <v>-9.8597997034839402E-3</v>
      </c>
      <c r="E215" s="230">
        <f t="shared" si="107"/>
        <v>1.2365338914770388E-2</v>
      </c>
      <c r="F215" s="230">
        <f t="shared" si="107"/>
        <v>3.7183392390172265E-2</v>
      </c>
      <c r="G215" s="230">
        <f t="shared" si="107"/>
        <v>6.4635990124190829E-2</v>
      </c>
      <c r="H215" s="230">
        <f t="shared" si="107"/>
        <v>9.4734621943227681E-2</v>
      </c>
      <c r="I215" s="230">
        <f t="shared" si="107"/>
        <v>0.12086909977942434</v>
      </c>
      <c r="J215" s="230">
        <f t="shared" si="107"/>
        <v>0.14804146149698483</v>
      </c>
      <c r="K215" s="230">
        <f t="shared" si="107"/>
        <v>0.1761077835975845</v>
      </c>
      <c r="L215" s="230">
        <f t="shared" si="107"/>
        <v>0.20490355191036197</v>
      </c>
      <c r="M215" s="230">
        <f t="shared" si="107"/>
        <v>0.23424299108706598</v>
      </c>
      <c r="N215" s="230">
        <f t="shared" si="107"/>
        <v>0.27516890359484725</v>
      </c>
      <c r="O215" s="230">
        <f t="shared" si="107"/>
        <v>0.31667980610624363</v>
      </c>
      <c r="P215" s="230">
        <f t="shared" si="107"/>
        <v>0.35822304767176844</v>
      </c>
      <c r="Q215" s="230">
        <f t="shared" si="107"/>
        <v>0.39920456249964215</v>
      </c>
      <c r="R215" s="230">
        <f t="shared" si="107"/>
        <v>0.43899604781553431</v>
      </c>
      <c r="S215" s="230">
        <f t="shared" si="107"/>
        <v>0.4859701676355313</v>
      </c>
      <c r="T215" s="230">
        <f t="shared" si="107"/>
        <v>0.53354532604895732</v>
      </c>
      <c r="U215" s="230">
        <f t="shared" si="107"/>
        <v>0.58142575202641744</v>
      </c>
      <c r="V215" s="230">
        <f t="shared" si="107"/>
        <v>0.62929229598319858</v>
      </c>
      <c r="W215" s="230">
        <f t="shared" si="107"/>
        <v>0.67680187505173328</v>
      </c>
      <c r="X215" s="230">
        <f t="shared" si="107"/>
        <v>0.74431243314161044</v>
      </c>
      <c r="Y215" s="230">
        <f t="shared" si="107"/>
        <v>0.81143871942075019</v>
      </c>
      <c r="Z215" s="230">
        <f t="shared" si="107"/>
        <v>0.8775820992064296</v>
      </c>
      <c r="AA215" s="230">
        <f t="shared" si="107"/>
        <v>0.9421022279842628</v>
      </c>
      <c r="AB215" s="230">
        <f t="shared" si="107"/>
        <v>1.0043161470790887</v>
      </c>
      <c r="AC215" s="230">
        <f t="shared" si="107"/>
        <v>1.0518917366516143</v>
      </c>
      <c r="AD215" s="230">
        <f t="shared" si="107"/>
        <v>1.093335757533155</v>
      </c>
      <c r="AE215" s="230">
        <f t="shared" si="107"/>
        <v>1.1276105381725352</v>
      </c>
      <c r="AF215" s="230">
        <f t="shared" si="107"/>
        <v>1.1536218618557394</v>
      </c>
      <c r="AG215" s="230">
        <f t="shared" si="107"/>
        <v>1.1702179648084943</v>
      </c>
      <c r="AH215" s="245"/>
      <c r="AI215" s="133"/>
      <c r="AJ215" s="211"/>
      <c r="AL215" s="108"/>
      <c r="AM215" s="2"/>
      <c r="AN215" s="2"/>
      <c r="AO215" s="2"/>
      <c r="BC215" s="1"/>
      <c r="BD215" s="2"/>
      <c r="BE215" s="2"/>
      <c r="BF215" s="2"/>
      <c r="BG215" s="2"/>
      <c r="BH215" s="2"/>
      <c r="BI215" s="2"/>
      <c r="BJ215" s="2"/>
      <c r="BK215" s="2"/>
    </row>
    <row r="216" spans="1:63" outlineLevel="1" x14ac:dyDescent="0.2">
      <c r="A216" s="4" t="s">
        <v>478</v>
      </c>
      <c r="C216" s="230">
        <f t="shared" ref="C216:AG218" si="108">C211-$C211</f>
        <v>0</v>
      </c>
      <c r="D216" s="230">
        <f t="shared" si="108"/>
        <v>0</v>
      </c>
      <c r="E216" s="230">
        <f t="shared" si="108"/>
        <v>0</v>
      </c>
      <c r="F216" s="230">
        <f t="shared" si="108"/>
        <v>0</v>
      </c>
      <c r="G216" s="230">
        <f t="shared" si="108"/>
        <v>0</v>
      </c>
      <c r="H216" s="230">
        <f t="shared" si="108"/>
        <v>0</v>
      </c>
      <c r="I216" s="230">
        <f t="shared" si="108"/>
        <v>0</v>
      </c>
      <c r="J216" s="230">
        <f t="shared" si="108"/>
        <v>0</v>
      </c>
      <c r="K216" s="230">
        <f t="shared" si="108"/>
        <v>0</v>
      </c>
      <c r="L216" s="230">
        <f t="shared" si="108"/>
        <v>0</v>
      </c>
      <c r="M216" s="230">
        <f t="shared" si="108"/>
        <v>0</v>
      </c>
      <c r="N216" s="230">
        <f t="shared" si="108"/>
        <v>0</v>
      </c>
      <c r="O216" s="230">
        <f t="shared" si="108"/>
        <v>0</v>
      </c>
      <c r="P216" s="230">
        <f t="shared" si="108"/>
        <v>0</v>
      </c>
      <c r="Q216" s="230">
        <f t="shared" si="108"/>
        <v>0</v>
      </c>
      <c r="R216" s="230">
        <f t="shared" si="108"/>
        <v>0</v>
      </c>
      <c r="S216" s="230">
        <f t="shared" si="108"/>
        <v>0</v>
      </c>
      <c r="T216" s="230">
        <f t="shared" si="108"/>
        <v>0</v>
      </c>
      <c r="U216" s="230">
        <f t="shared" si="108"/>
        <v>0</v>
      </c>
      <c r="V216" s="230">
        <f t="shared" si="108"/>
        <v>0</v>
      </c>
      <c r="W216" s="230">
        <f t="shared" si="108"/>
        <v>0</v>
      </c>
      <c r="X216" s="230">
        <f t="shared" si="108"/>
        <v>0</v>
      </c>
      <c r="Y216" s="230">
        <f t="shared" si="108"/>
        <v>0</v>
      </c>
      <c r="Z216" s="230">
        <f t="shared" si="108"/>
        <v>0</v>
      </c>
      <c r="AA216" s="230">
        <f t="shared" si="108"/>
        <v>0</v>
      </c>
      <c r="AB216" s="230">
        <f t="shared" si="108"/>
        <v>0</v>
      </c>
      <c r="AC216" s="230">
        <f t="shared" si="108"/>
        <v>0</v>
      </c>
      <c r="AD216" s="230">
        <f t="shared" si="108"/>
        <v>0</v>
      </c>
      <c r="AE216" s="230">
        <f t="shared" si="108"/>
        <v>0</v>
      </c>
      <c r="AF216" s="230">
        <f t="shared" si="108"/>
        <v>0</v>
      </c>
      <c r="AG216" s="230">
        <f t="shared" si="108"/>
        <v>0</v>
      </c>
      <c r="AH216" s="245"/>
      <c r="AI216" s="133"/>
      <c r="AJ216" s="211"/>
      <c r="AL216" s="108"/>
      <c r="AM216" s="2"/>
      <c r="AN216" s="2"/>
      <c r="AO216" s="2"/>
      <c r="BC216" s="1"/>
      <c r="BD216" s="2"/>
      <c r="BE216" s="2"/>
      <c r="BF216" s="2"/>
      <c r="BG216" s="2"/>
      <c r="BH216" s="2"/>
      <c r="BI216" s="2"/>
      <c r="BJ216" s="2"/>
      <c r="BK216" s="2"/>
    </row>
    <row r="217" spans="1:63" outlineLevel="1" x14ac:dyDescent="0.2">
      <c r="A217" s="4" t="s">
        <v>745</v>
      </c>
      <c r="C217" s="230">
        <f t="shared" si="108"/>
        <v>0</v>
      </c>
      <c r="D217" s="230">
        <f t="shared" si="108"/>
        <v>0</v>
      </c>
      <c r="E217" s="230">
        <f t="shared" si="108"/>
        <v>0</v>
      </c>
      <c r="F217" s="230">
        <f t="shared" si="108"/>
        <v>0</v>
      </c>
      <c r="G217" s="230">
        <f t="shared" si="108"/>
        <v>0</v>
      </c>
      <c r="H217" s="230">
        <f t="shared" si="108"/>
        <v>0</v>
      </c>
      <c r="I217" s="230">
        <f t="shared" si="108"/>
        <v>0</v>
      </c>
      <c r="J217" s="230">
        <f t="shared" si="108"/>
        <v>0</v>
      </c>
      <c r="K217" s="230">
        <f t="shared" si="108"/>
        <v>0</v>
      </c>
      <c r="L217" s="230">
        <f t="shared" si="108"/>
        <v>0</v>
      </c>
      <c r="M217" s="230">
        <f t="shared" si="108"/>
        <v>0</v>
      </c>
      <c r="N217" s="230">
        <f t="shared" si="108"/>
        <v>0</v>
      </c>
      <c r="O217" s="230">
        <f t="shared" si="108"/>
        <v>0</v>
      </c>
      <c r="P217" s="230">
        <f t="shared" si="108"/>
        <v>0</v>
      </c>
      <c r="Q217" s="230">
        <f t="shared" si="108"/>
        <v>0</v>
      </c>
      <c r="R217" s="230">
        <f t="shared" si="108"/>
        <v>0</v>
      </c>
      <c r="S217" s="230">
        <f t="shared" si="108"/>
        <v>0</v>
      </c>
      <c r="T217" s="230">
        <f t="shared" si="108"/>
        <v>0</v>
      </c>
      <c r="U217" s="230">
        <f t="shared" si="108"/>
        <v>0</v>
      </c>
      <c r="V217" s="230">
        <f t="shared" si="108"/>
        <v>0</v>
      </c>
      <c r="W217" s="230">
        <f t="shared" si="108"/>
        <v>0</v>
      </c>
      <c r="X217" s="230">
        <f t="shared" si="108"/>
        <v>0</v>
      </c>
      <c r="Y217" s="230">
        <f t="shared" si="108"/>
        <v>0</v>
      </c>
      <c r="Z217" s="230">
        <f t="shared" si="108"/>
        <v>0</v>
      </c>
      <c r="AA217" s="230">
        <f t="shared" si="108"/>
        <v>0</v>
      </c>
      <c r="AB217" s="230">
        <f t="shared" si="108"/>
        <v>0</v>
      </c>
      <c r="AC217" s="230">
        <f t="shared" si="108"/>
        <v>0</v>
      </c>
      <c r="AD217" s="230">
        <f t="shared" si="108"/>
        <v>0</v>
      </c>
      <c r="AE217" s="230">
        <f t="shared" si="108"/>
        <v>0</v>
      </c>
      <c r="AF217" s="230">
        <f t="shared" si="108"/>
        <v>0</v>
      </c>
      <c r="AG217" s="230">
        <f t="shared" si="108"/>
        <v>0</v>
      </c>
      <c r="AH217" s="245"/>
      <c r="AI217" s="133"/>
      <c r="AJ217" s="211"/>
      <c r="AL217" s="108"/>
      <c r="AM217" s="2"/>
      <c r="AN217" s="2"/>
      <c r="AO217" s="2"/>
      <c r="BC217" s="1"/>
      <c r="BD217" s="2"/>
      <c r="BE217" s="2"/>
      <c r="BF217" s="2"/>
      <c r="BG217" s="2"/>
      <c r="BH217" s="2"/>
      <c r="BI217" s="2"/>
      <c r="BJ217" s="2"/>
      <c r="BK217" s="2"/>
    </row>
    <row r="218" spans="1:63" outlineLevel="1" x14ac:dyDescent="0.2">
      <c r="A218" s="4" t="s">
        <v>1561</v>
      </c>
      <c r="C218" s="230">
        <f t="shared" si="108"/>
        <v>0</v>
      </c>
      <c r="D218" s="230">
        <f t="shared" si="108"/>
        <v>-8.6752756590303091E-4</v>
      </c>
      <c r="E218" s="230">
        <f t="shared" si="108"/>
        <v>1.0879807595387883E-3</v>
      </c>
      <c r="F218" s="230">
        <f t="shared" si="108"/>
        <v>3.2716301408095803E-3</v>
      </c>
      <c r="G218" s="230">
        <f t="shared" si="108"/>
        <v>5.6870833960610909E-3</v>
      </c>
      <c r="H218" s="230">
        <f t="shared" si="108"/>
        <v>8.3353514729221402E-3</v>
      </c>
      <c r="I218" s="230">
        <f t="shared" si="108"/>
        <v>1.0634828199145203E-2</v>
      </c>
      <c r="J218" s="230">
        <f t="shared" si="108"/>
        <v>1.3025624516472274E-2</v>
      </c>
      <c r="K218" s="230">
        <f t="shared" si="108"/>
        <v>1.5495077124843236E-2</v>
      </c>
      <c r="L218" s="230">
        <f t="shared" si="108"/>
        <v>1.8028711026540488E-2</v>
      </c>
      <c r="M218" s="230">
        <f t="shared" si="108"/>
        <v>2.0610180530929344E-2</v>
      </c>
      <c r="N218" s="230">
        <f t="shared" si="108"/>
        <v>2.4211101272523159E-2</v>
      </c>
      <c r="O218" s="230">
        <f t="shared" si="108"/>
        <v>2.7863493136165682E-2</v>
      </c>
      <c r="P218" s="230">
        <f t="shared" si="108"/>
        <v>3.1518730394416133E-2</v>
      </c>
      <c r="Q218" s="230">
        <f t="shared" si="108"/>
        <v>3.5124543379955978E-2</v>
      </c>
      <c r="R218" s="230">
        <f t="shared" si="108"/>
        <v>3.8625650039106924E-2</v>
      </c>
      <c r="S218" s="230">
        <f t="shared" si="108"/>
        <v>4.275873033012742E-2</v>
      </c>
      <c r="T218" s="230">
        <f t="shared" si="108"/>
        <v>4.6944693799676085E-2</v>
      </c>
      <c r="U218" s="230">
        <f t="shared" si="108"/>
        <v>5.1157516641092332E-2</v>
      </c>
      <c r="V218" s="230">
        <f t="shared" si="108"/>
        <v>5.5369118054490601E-2</v>
      </c>
      <c r="W218" s="230">
        <f t="shared" si="108"/>
        <v>5.9549311438321706E-2</v>
      </c>
      <c r="X218" s="230">
        <f t="shared" si="108"/>
        <v>6.5489317512864131E-2</v>
      </c>
      <c r="Y218" s="230">
        <f t="shared" si="108"/>
        <v>7.1395512922013807E-2</v>
      </c>
      <c r="Z218" s="230">
        <f t="shared" si="108"/>
        <v>7.721522599851724E-2</v>
      </c>
      <c r="AA218" s="230">
        <f t="shared" si="108"/>
        <v>8.2892115180211848E-2</v>
      </c>
      <c r="AB218" s="230">
        <f t="shared" si="108"/>
        <v>8.8366089441428472E-2</v>
      </c>
      <c r="AC218" s="230">
        <f t="shared" si="108"/>
        <v>9.2552090847082893E-2</v>
      </c>
      <c r="AD218" s="230">
        <f t="shared" si="108"/>
        <v>9.6198598041736472E-2</v>
      </c>
      <c r="AE218" s="230">
        <f t="shared" si="108"/>
        <v>9.9214310116438678E-2</v>
      </c>
      <c r="AF218" s="230">
        <f t="shared" si="108"/>
        <v>0.10150295096102223</v>
      </c>
      <c r="AG218" s="230">
        <f t="shared" si="108"/>
        <v>0.10296318111082862</v>
      </c>
      <c r="AH218" s="245"/>
      <c r="AI218" s="133"/>
      <c r="AJ218" s="211"/>
      <c r="AL218" s="108"/>
      <c r="AM218" s="2"/>
      <c r="AN218" s="2"/>
      <c r="AO218" s="2"/>
      <c r="BC218" s="1"/>
      <c r="BD218" s="2"/>
      <c r="BE218" s="2"/>
      <c r="BF218" s="2"/>
      <c r="BG218" s="2"/>
      <c r="BH218" s="2"/>
      <c r="BI218" s="2"/>
      <c r="BJ218" s="2"/>
      <c r="BK218" s="2"/>
    </row>
    <row r="219" spans="1:63" s="1" customFormat="1" outlineLevel="1" x14ac:dyDescent="0.2">
      <c r="A219" s="1" t="s">
        <v>1569</v>
      </c>
      <c r="B219" s="65"/>
      <c r="C219" s="300">
        <f>'BTX Recycling HC'!C219</f>
        <v>0.11016660035716574</v>
      </c>
      <c r="D219" s="300">
        <f>'BTX Recycling HC'!D219</f>
        <v>9.9439273087778765E-2</v>
      </c>
      <c r="E219" s="300">
        <f>'BTX Recycling HC'!E219</f>
        <v>0.12361992003147491</v>
      </c>
      <c r="F219" s="300">
        <f>'BTX Recycling HC'!F219</f>
        <v>0.15062162288814759</v>
      </c>
      <c r="G219" s="300">
        <f>'BTX Recycling HC'!G219</f>
        <v>0.18048967387741766</v>
      </c>
      <c r="H219" s="300">
        <f>'BTX Recycling HC'!H219</f>
        <v>0.21323657377331556</v>
      </c>
      <c r="I219" s="300">
        <f>'BTX Recycling HC'!I219</f>
        <v>0.24167052833573527</v>
      </c>
      <c r="J219" s="300">
        <f>'BTX Recycling HC'!J219</f>
        <v>0.27123368637062284</v>
      </c>
      <c r="K219" s="300">
        <f>'BTX Recycling HC'!K219</f>
        <v>0.30176946107959346</v>
      </c>
      <c r="L219" s="300">
        <f>'BTX Recycling HC'!L219</f>
        <v>0.33309886329406818</v>
      </c>
      <c r="M219" s="300">
        <f>'BTX Recycling HC'!M219</f>
        <v>0.36501977197516106</v>
      </c>
      <c r="N219" s="300">
        <f>'BTX Recycling HC'!N219</f>
        <v>0.40954660522453612</v>
      </c>
      <c r="O219" s="300">
        <f>'BTX Recycling HC'!O219</f>
        <v>0.45470989959957503</v>
      </c>
      <c r="P219" s="300">
        <f>'BTX Recycling HC'!P219</f>
        <v>0.49990837842335029</v>
      </c>
      <c r="Q219" s="300">
        <f>'BTX Recycling HC'!Q219</f>
        <v>0.54449570623676391</v>
      </c>
      <c r="R219" s="300">
        <f>'BTX Recycling HC'!R219</f>
        <v>0.587788298211807</v>
      </c>
      <c r="S219" s="300">
        <f>'BTX Recycling HC'!S219</f>
        <v>0.63889549832282444</v>
      </c>
      <c r="T219" s="300">
        <f>'BTX Recycling HC'!T219</f>
        <v>0.6906566202057991</v>
      </c>
      <c r="U219" s="300">
        <f>'BTX Recycling HC'!U219</f>
        <v>0.74274986902467555</v>
      </c>
      <c r="V219" s="300">
        <f>'BTX Recycling HC'!V219</f>
        <v>0.79482801439485495</v>
      </c>
      <c r="W219" s="300">
        <f>'BTX Recycling HC'!W219</f>
        <v>0.84651778684722079</v>
      </c>
      <c r="X219" s="300">
        <f>'BTX Recycling HC'!X219</f>
        <v>0.91996835101164021</v>
      </c>
      <c r="Y219" s="300">
        <f>'BTX Recycling HC'!Y219</f>
        <v>0.99300083269992978</v>
      </c>
      <c r="Z219" s="300">
        <f>'BTX Recycling HC'!Z219</f>
        <v>1.0649639255621126</v>
      </c>
      <c r="AA219" s="300">
        <f>'BTX Recycling HC'!AA219</f>
        <v>1.1351609435216403</v>
      </c>
      <c r="AB219" s="300">
        <f>'BTX Recycling HC'!AB219</f>
        <v>1.2028488368776828</v>
      </c>
      <c r="AC219" s="300">
        <f>'BTX Recycling HC'!AC219</f>
        <v>1.254610427855863</v>
      </c>
      <c r="AD219" s="300">
        <f>'BTX Recycling HC'!AD219</f>
        <v>1.2997009559320574</v>
      </c>
      <c r="AE219" s="300">
        <f>'BTX Recycling HC'!AE219</f>
        <v>1.3369914486461396</v>
      </c>
      <c r="AF219" s="300">
        <f>'BTX Recycling HC'!AF219</f>
        <v>1.3652914131739275</v>
      </c>
      <c r="AG219" s="300">
        <f>'BTX Recycling HC'!AG219</f>
        <v>1.3833477462764889</v>
      </c>
      <c r="AH219" s="245"/>
      <c r="AI219" s="423"/>
      <c r="AJ219" s="424"/>
      <c r="AL219" s="221"/>
      <c r="AM219" s="124"/>
      <c r="AN219" s="124"/>
      <c r="AO219" s="124"/>
      <c r="BD219" s="124"/>
      <c r="BE219" s="124"/>
      <c r="BF219" s="124"/>
      <c r="BG219" s="124"/>
      <c r="BH219" s="124"/>
      <c r="BI219" s="124"/>
      <c r="BJ219" s="124"/>
      <c r="BK219" s="124"/>
    </row>
    <row r="220" spans="1:63" outlineLevel="1" x14ac:dyDescent="0.2">
      <c r="A220" s="4" t="s">
        <v>474</v>
      </c>
      <c r="C220" s="230">
        <f>C$219*'BTX recycling rates'!E78</f>
        <v>0.10125733896785366</v>
      </c>
      <c r="D220" s="230">
        <f>D$219*'BTX recycling rates'!F78</f>
        <v>9.139753926436972E-2</v>
      </c>
      <c r="E220" s="230">
        <f>E$219*'BTX recycling rates'!G78</f>
        <v>0.11362267788262405</v>
      </c>
      <c r="F220" s="230">
        <f>F$219*'BTX recycling rates'!H78</f>
        <v>0.13844073135802593</v>
      </c>
      <c r="G220" s="230">
        <f>G$219*'BTX recycling rates'!I78</f>
        <v>0.16589332909204449</v>
      </c>
      <c r="H220" s="230">
        <f>H$219*'BTX recycling rates'!J78</f>
        <v>0.19599196091108134</v>
      </c>
      <c r="I220" s="230">
        <f>I$219*'BTX recycling rates'!K78</f>
        <v>0.222126438747278</v>
      </c>
      <c r="J220" s="230">
        <f>J$219*'BTX recycling rates'!L78</f>
        <v>0.24929880046483849</v>
      </c>
      <c r="K220" s="230">
        <f>K$219*'BTX recycling rates'!M78</f>
        <v>0.27736512256543816</v>
      </c>
      <c r="L220" s="230">
        <f>L$219*'BTX recycling rates'!N78</f>
        <v>0.30616089087821563</v>
      </c>
      <c r="M220" s="230">
        <f>M$219*'BTX recycling rates'!O78</f>
        <v>0.33550033005491964</v>
      </c>
      <c r="N220" s="230">
        <f>N$219*'BTX recycling rates'!P78</f>
        <v>0.37642624256270091</v>
      </c>
      <c r="O220" s="230">
        <f>O$219*'BTX recycling rates'!Q78</f>
        <v>0.41793714507409729</v>
      </c>
      <c r="P220" s="230">
        <f>P$219*'BTX recycling rates'!R78</f>
        <v>0.4594803866396221</v>
      </c>
      <c r="Q220" s="230">
        <f>Q$219*'BTX recycling rates'!S78</f>
        <v>0.50046190146749581</v>
      </c>
      <c r="R220" s="230">
        <f>R$219*'BTX recycling rates'!T78</f>
        <v>0.54025338678338797</v>
      </c>
      <c r="S220" s="230">
        <f>S$219*'BTX recycling rates'!U78</f>
        <v>0.58722750660338496</v>
      </c>
      <c r="T220" s="230">
        <f>T$219*'BTX recycling rates'!V78</f>
        <v>0.63480266501681093</v>
      </c>
      <c r="U220" s="230">
        <f>U$219*'BTX recycling rates'!W78</f>
        <v>0.68268309099427116</v>
      </c>
      <c r="V220" s="230">
        <f>V$219*'BTX recycling rates'!X78</f>
        <v>0.7305496349510523</v>
      </c>
      <c r="W220" s="230">
        <f>W$219*'BTX recycling rates'!Y78</f>
        <v>0.778059214019587</v>
      </c>
      <c r="X220" s="230">
        <f>X$219*'BTX recycling rates'!Z78</f>
        <v>0.84556977210946405</v>
      </c>
      <c r="Y220" s="230">
        <f>Y$219*'BTX recycling rates'!AA78</f>
        <v>0.9126960583886039</v>
      </c>
      <c r="Z220" s="230">
        <f>Z$219*'BTX recycling rates'!AB78</f>
        <v>0.97883943817428332</v>
      </c>
      <c r="AA220" s="230">
        <f>AA$219*'BTX recycling rates'!AC78</f>
        <v>1.0433595669521165</v>
      </c>
      <c r="AB220" s="230">
        <f>AB$219*'BTX recycling rates'!AD78</f>
        <v>1.1055734860469424</v>
      </c>
      <c r="AC220" s="230">
        <f>AC$219*'BTX recycling rates'!AE78</f>
        <v>1.153149075619468</v>
      </c>
      <c r="AD220" s="230">
        <f>AD$219*'BTX recycling rates'!AF78</f>
        <v>1.1945930965010088</v>
      </c>
      <c r="AE220" s="230">
        <f>AE$219*'BTX recycling rates'!AG78</f>
        <v>1.2288678771403889</v>
      </c>
      <c r="AF220" s="230">
        <f>AF$219*'BTX recycling rates'!AH78</f>
        <v>1.2548792008235932</v>
      </c>
      <c r="AG220" s="230">
        <f>AG$219*'BTX recycling rates'!AI78</f>
        <v>1.271475303776348</v>
      </c>
      <c r="AH220" s="245"/>
      <c r="AI220" s="133"/>
      <c r="AJ220" s="211"/>
      <c r="AL220" s="108"/>
      <c r="AM220" s="2"/>
      <c r="AN220" s="2"/>
      <c r="AO220" s="2"/>
      <c r="BC220" s="1"/>
      <c r="BD220" s="2"/>
      <c r="BE220" s="2"/>
      <c r="BF220" s="2"/>
      <c r="BG220" s="2"/>
      <c r="BH220" s="2"/>
      <c r="BI220" s="2"/>
      <c r="BJ220" s="2"/>
      <c r="BK220" s="2"/>
    </row>
    <row r="221" spans="1:63" outlineLevel="1" x14ac:dyDescent="0.2">
      <c r="A221" s="4" t="s">
        <v>478</v>
      </c>
      <c r="C221" s="230">
        <f>C$219*'BTX recycling rates'!E79</f>
        <v>0</v>
      </c>
      <c r="D221" s="230">
        <f>D$219*'BTX recycling rates'!F79</f>
        <v>0</v>
      </c>
      <c r="E221" s="230">
        <f>E$219*'BTX recycling rates'!G79</f>
        <v>0</v>
      </c>
      <c r="F221" s="230">
        <f>F$219*'BTX recycling rates'!H79</f>
        <v>0</v>
      </c>
      <c r="G221" s="230">
        <f>G$219*'BTX recycling rates'!I79</f>
        <v>0</v>
      </c>
      <c r="H221" s="230">
        <f>H$219*'BTX recycling rates'!J79</f>
        <v>0</v>
      </c>
      <c r="I221" s="230">
        <f>I$219*'BTX recycling rates'!K79</f>
        <v>0</v>
      </c>
      <c r="J221" s="230">
        <f>J$219*'BTX recycling rates'!L79</f>
        <v>0</v>
      </c>
      <c r="K221" s="230">
        <f>K$219*'BTX recycling rates'!M79</f>
        <v>0</v>
      </c>
      <c r="L221" s="230">
        <f>L$219*'BTX recycling rates'!N79</f>
        <v>0</v>
      </c>
      <c r="M221" s="230">
        <f>M$219*'BTX recycling rates'!O79</f>
        <v>0</v>
      </c>
      <c r="N221" s="230">
        <f>N$219*'BTX recycling rates'!P79</f>
        <v>0</v>
      </c>
      <c r="O221" s="230">
        <f>O$219*'BTX recycling rates'!Q79</f>
        <v>0</v>
      </c>
      <c r="P221" s="230">
        <f>P$219*'BTX recycling rates'!R79</f>
        <v>0</v>
      </c>
      <c r="Q221" s="230">
        <f>Q$219*'BTX recycling rates'!S79</f>
        <v>0</v>
      </c>
      <c r="R221" s="230">
        <f>R$219*'BTX recycling rates'!T79</f>
        <v>0</v>
      </c>
      <c r="S221" s="230">
        <f>S$219*'BTX recycling rates'!U79</f>
        <v>0</v>
      </c>
      <c r="T221" s="230">
        <f>T$219*'BTX recycling rates'!V79</f>
        <v>0</v>
      </c>
      <c r="U221" s="230">
        <f>U$219*'BTX recycling rates'!W79</f>
        <v>0</v>
      </c>
      <c r="V221" s="230">
        <f>V$219*'BTX recycling rates'!X79</f>
        <v>0</v>
      </c>
      <c r="W221" s="230">
        <f>W$219*'BTX recycling rates'!Y79</f>
        <v>0</v>
      </c>
      <c r="X221" s="230">
        <f>X$219*'BTX recycling rates'!Z79</f>
        <v>0</v>
      </c>
      <c r="Y221" s="230">
        <f>Y$219*'BTX recycling rates'!AA79</f>
        <v>0</v>
      </c>
      <c r="Z221" s="230">
        <f>Z$219*'BTX recycling rates'!AB79</f>
        <v>0</v>
      </c>
      <c r="AA221" s="230">
        <f>AA$219*'BTX recycling rates'!AC79</f>
        <v>0</v>
      </c>
      <c r="AB221" s="230">
        <f>AB$219*'BTX recycling rates'!AD79</f>
        <v>0</v>
      </c>
      <c r="AC221" s="230">
        <f>AC$219*'BTX recycling rates'!AE79</f>
        <v>0</v>
      </c>
      <c r="AD221" s="230">
        <f>AD$219*'BTX recycling rates'!AF79</f>
        <v>0</v>
      </c>
      <c r="AE221" s="230">
        <f>AE$219*'BTX recycling rates'!AG79</f>
        <v>0</v>
      </c>
      <c r="AF221" s="230">
        <f>AF$219*'BTX recycling rates'!AH79</f>
        <v>0</v>
      </c>
      <c r="AG221" s="230">
        <f>AG$219*'BTX recycling rates'!AI79</f>
        <v>0</v>
      </c>
      <c r="AH221" s="245"/>
      <c r="AI221" s="133"/>
      <c r="AJ221" s="211"/>
      <c r="AL221" s="108"/>
      <c r="AM221" s="2"/>
      <c r="AN221" s="2"/>
      <c r="AO221" s="2"/>
      <c r="BC221" s="1"/>
      <c r="BD221" s="2"/>
      <c r="BE221" s="2"/>
      <c r="BF221" s="2"/>
      <c r="BG221" s="2"/>
      <c r="BH221" s="2"/>
      <c r="BI221" s="2"/>
      <c r="BJ221" s="2"/>
      <c r="BK221" s="2"/>
    </row>
    <row r="222" spans="1:63" outlineLevel="1" x14ac:dyDescent="0.2">
      <c r="A222" s="4" t="s">
        <v>745</v>
      </c>
      <c r="C222" s="230">
        <f>C$219*'BTX recycling rates'!E80</f>
        <v>0</v>
      </c>
      <c r="D222" s="230">
        <f>D$219*'BTX recycling rates'!F80</f>
        <v>0</v>
      </c>
      <c r="E222" s="230">
        <f>E$219*'BTX recycling rates'!G80</f>
        <v>0</v>
      </c>
      <c r="F222" s="230">
        <f>F$219*'BTX recycling rates'!H80</f>
        <v>0</v>
      </c>
      <c r="G222" s="230">
        <f>G$219*'BTX recycling rates'!I80</f>
        <v>0</v>
      </c>
      <c r="H222" s="230">
        <f>H$219*'BTX recycling rates'!J80</f>
        <v>0</v>
      </c>
      <c r="I222" s="230">
        <f>I$219*'BTX recycling rates'!K80</f>
        <v>0</v>
      </c>
      <c r="J222" s="230">
        <f>J$219*'BTX recycling rates'!L80</f>
        <v>0</v>
      </c>
      <c r="K222" s="230">
        <f>K$219*'BTX recycling rates'!M80</f>
        <v>0</v>
      </c>
      <c r="L222" s="230">
        <f>L$219*'BTX recycling rates'!N80</f>
        <v>0</v>
      </c>
      <c r="M222" s="230">
        <f>M$219*'BTX recycling rates'!O80</f>
        <v>0</v>
      </c>
      <c r="N222" s="230">
        <f>N$219*'BTX recycling rates'!P80</f>
        <v>0</v>
      </c>
      <c r="O222" s="230">
        <f>O$219*'BTX recycling rates'!Q80</f>
        <v>0</v>
      </c>
      <c r="P222" s="230">
        <f>P$219*'BTX recycling rates'!R80</f>
        <v>0</v>
      </c>
      <c r="Q222" s="230">
        <f>Q$219*'BTX recycling rates'!S80</f>
        <v>0</v>
      </c>
      <c r="R222" s="230">
        <f>R$219*'BTX recycling rates'!T80</f>
        <v>0</v>
      </c>
      <c r="S222" s="230">
        <f>S$219*'BTX recycling rates'!U80</f>
        <v>0</v>
      </c>
      <c r="T222" s="230">
        <f>T$219*'BTX recycling rates'!V80</f>
        <v>0</v>
      </c>
      <c r="U222" s="230">
        <f>U$219*'BTX recycling rates'!W80</f>
        <v>0</v>
      </c>
      <c r="V222" s="230">
        <f>V$219*'BTX recycling rates'!X80</f>
        <v>0</v>
      </c>
      <c r="W222" s="230">
        <f>W$219*'BTX recycling rates'!Y80</f>
        <v>0</v>
      </c>
      <c r="X222" s="230">
        <f>X$219*'BTX recycling rates'!Z80</f>
        <v>0</v>
      </c>
      <c r="Y222" s="230">
        <f>Y$219*'BTX recycling rates'!AA80</f>
        <v>0</v>
      </c>
      <c r="Z222" s="230">
        <f>Z$219*'BTX recycling rates'!AB80</f>
        <v>0</v>
      </c>
      <c r="AA222" s="230">
        <f>AA$219*'BTX recycling rates'!AC80</f>
        <v>0</v>
      </c>
      <c r="AB222" s="230">
        <f>AB$219*'BTX recycling rates'!AD80</f>
        <v>0</v>
      </c>
      <c r="AC222" s="230">
        <f>AC$219*'BTX recycling rates'!AE80</f>
        <v>0</v>
      </c>
      <c r="AD222" s="230">
        <f>AD$219*'BTX recycling rates'!AF80</f>
        <v>0</v>
      </c>
      <c r="AE222" s="230">
        <f>AE$219*'BTX recycling rates'!AG80</f>
        <v>0</v>
      </c>
      <c r="AF222" s="230">
        <f>AF$219*'BTX recycling rates'!AH80</f>
        <v>0</v>
      </c>
      <c r="AG222" s="230">
        <f>AG$219*'BTX recycling rates'!AI80</f>
        <v>0</v>
      </c>
      <c r="AH222" s="245"/>
      <c r="AI222" s="133"/>
      <c r="AJ222" s="211"/>
      <c r="AL222" s="108"/>
      <c r="AM222" s="2"/>
      <c r="AN222" s="2"/>
      <c r="AO222" s="2"/>
      <c r="BC222" s="1"/>
      <c r="BD222" s="2"/>
      <c r="BE222" s="2"/>
      <c r="BF222" s="2"/>
      <c r="BG222" s="2"/>
      <c r="BH222" s="2"/>
      <c r="BI222" s="2"/>
      <c r="BJ222" s="2"/>
      <c r="BK222" s="2"/>
    </row>
    <row r="223" spans="1:63" outlineLevel="1" x14ac:dyDescent="0.2">
      <c r="A223" s="4" t="s">
        <v>1561</v>
      </c>
      <c r="C223" s="230">
        <f>C$219*'BTX recycling rates'!E81</f>
        <v>8.9092613893120808E-3</v>
      </c>
      <c r="D223" s="230">
        <f>D$219*'BTX recycling rates'!F81</f>
        <v>8.0417338234090498E-3</v>
      </c>
      <c r="E223" s="230">
        <f>E$219*'BTX recycling rates'!G81</f>
        <v>9.9972421488508691E-3</v>
      </c>
      <c r="F223" s="230">
        <f>F$219*'BTX recycling rates'!H81</f>
        <v>1.2180891530121661E-2</v>
      </c>
      <c r="G223" s="230">
        <f>G$219*'BTX recycling rates'!I81</f>
        <v>1.4596344785373172E-2</v>
      </c>
      <c r="H223" s="230">
        <f>H$219*'BTX recycling rates'!J81</f>
        <v>1.7244612862234221E-2</v>
      </c>
      <c r="I223" s="230">
        <f>I$219*'BTX recycling rates'!K81</f>
        <v>1.9544089588457284E-2</v>
      </c>
      <c r="J223" s="230">
        <f>J$219*'BTX recycling rates'!L81</f>
        <v>2.1934885905784355E-2</v>
      </c>
      <c r="K223" s="230">
        <f>K$219*'BTX recycling rates'!M81</f>
        <v>2.4404338514155317E-2</v>
      </c>
      <c r="L223" s="230">
        <f>L$219*'BTX recycling rates'!N81</f>
        <v>2.6937972415852569E-2</v>
      </c>
      <c r="M223" s="230">
        <f>M$219*'BTX recycling rates'!O81</f>
        <v>2.9519441920241425E-2</v>
      </c>
      <c r="N223" s="230">
        <f>N$219*'BTX recycling rates'!P81</f>
        <v>3.312036266183524E-2</v>
      </c>
      <c r="O223" s="230">
        <f>O$219*'BTX recycling rates'!Q81</f>
        <v>3.6772754525477763E-2</v>
      </c>
      <c r="P223" s="230">
        <f>P$219*'BTX recycling rates'!R81</f>
        <v>4.0427991783728218E-2</v>
      </c>
      <c r="Q223" s="230">
        <f>Q$219*'BTX recycling rates'!S81</f>
        <v>4.4033804769268062E-2</v>
      </c>
      <c r="R223" s="230">
        <f>R$219*'BTX recycling rates'!T81</f>
        <v>4.7534911428419008E-2</v>
      </c>
      <c r="S223" s="230">
        <f>S$219*'BTX recycling rates'!U81</f>
        <v>5.1667991719439504E-2</v>
      </c>
      <c r="T223" s="230">
        <f>T$219*'BTX recycling rates'!V81</f>
        <v>5.5853955188988169E-2</v>
      </c>
      <c r="U223" s="230">
        <f>U$219*'BTX recycling rates'!W81</f>
        <v>6.0066778030404416E-2</v>
      </c>
      <c r="V223" s="230">
        <f>V$219*'BTX recycling rates'!X81</f>
        <v>6.4278379443802686E-2</v>
      </c>
      <c r="W223" s="230">
        <f>W$219*'BTX recycling rates'!Y81</f>
        <v>6.845857282763379E-2</v>
      </c>
      <c r="X223" s="230">
        <f>X$219*'BTX recycling rates'!Z81</f>
        <v>7.4398578902176216E-2</v>
      </c>
      <c r="Y223" s="230">
        <f>Y$219*'BTX recycling rates'!AA81</f>
        <v>8.0304774311325891E-2</v>
      </c>
      <c r="Z223" s="230">
        <f>Z$219*'BTX recycling rates'!AB81</f>
        <v>8.6124487387829324E-2</v>
      </c>
      <c r="AA223" s="230">
        <f>AA$219*'BTX recycling rates'!AC81</f>
        <v>9.1801376569523932E-2</v>
      </c>
      <c r="AB223" s="230">
        <f>AB$219*'BTX recycling rates'!AD81</f>
        <v>9.7275350830740556E-2</v>
      </c>
      <c r="AC223" s="230">
        <f>AC$219*'BTX recycling rates'!AE81</f>
        <v>0.10146135223639498</v>
      </c>
      <c r="AD223" s="230">
        <f>AD$219*'BTX recycling rates'!AF81</f>
        <v>0.10510785943104856</v>
      </c>
      <c r="AE223" s="230">
        <f>AE$219*'BTX recycling rates'!AG81</f>
        <v>0.10812357150575076</v>
      </c>
      <c r="AF223" s="230">
        <f>AF$219*'BTX recycling rates'!AH81</f>
        <v>0.11041221235033431</v>
      </c>
      <c r="AG223" s="230">
        <f>AG$219*'BTX recycling rates'!AI81</f>
        <v>0.11187244250014071</v>
      </c>
      <c r="AH223" s="245"/>
      <c r="AI223" s="133"/>
      <c r="AJ223" s="211"/>
      <c r="AL223" s="108"/>
      <c r="AM223" s="2"/>
      <c r="AN223" s="2"/>
      <c r="AO223" s="2"/>
      <c r="BC223" s="1"/>
      <c r="BD223" s="2"/>
      <c r="BE223" s="2"/>
      <c r="BF223" s="2"/>
      <c r="BG223" s="2"/>
      <c r="BH223" s="2"/>
      <c r="BI223" s="2"/>
      <c r="BJ223" s="2"/>
      <c r="BK223" s="2"/>
    </row>
    <row r="224" spans="1:63" s="1" customFormat="1" outlineLevel="1" x14ac:dyDescent="0.2">
      <c r="A224" s="1" t="s">
        <v>1570</v>
      </c>
      <c r="B224" s="65"/>
      <c r="C224" s="300">
        <f t="shared" ref="C224:AG224" si="109">C219-$C219</f>
        <v>0</v>
      </c>
      <c r="D224" s="300">
        <f t="shared" si="109"/>
        <v>-1.072732726938698E-2</v>
      </c>
      <c r="E224" s="300">
        <f t="shared" si="109"/>
        <v>1.3453319674309169E-2</v>
      </c>
      <c r="F224" s="300">
        <f t="shared" si="109"/>
        <v>4.0455022530981849E-2</v>
      </c>
      <c r="G224" s="300">
        <f t="shared" si="109"/>
        <v>7.0323073520251911E-2</v>
      </c>
      <c r="H224" s="300">
        <f t="shared" si="109"/>
        <v>0.10306997341614982</v>
      </c>
      <c r="I224" s="300">
        <f t="shared" si="109"/>
        <v>0.13150392797856952</v>
      </c>
      <c r="J224" s="300">
        <f t="shared" si="109"/>
        <v>0.16106708601345709</v>
      </c>
      <c r="K224" s="300">
        <f t="shared" si="109"/>
        <v>0.19160286072242771</v>
      </c>
      <c r="L224" s="300">
        <f t="shared" si="109"/>
        <v>0.22293226293690244</v>
      </c>
      <c r="M224" s="300">
        <f t="shared" si="109"/>
        <v>0.25485317161799531</v>
      </c>
      <c r="N224" s="300">
        <f t="shared" si="109"/>
        <v>0.29938000486737038</v>
      </c>
      <c r="O224" s="300">
        <f t="shared" si="109"/>
        <v>0.34454329924240928</v>
      </c>
      <c r="P224" s="300">
        <f t="shared" si="109"/>
        <v>0.38974177806618454</v>
      </c>
      <c r="Q224" s="300">
        <f t="shared" si="109"/>
        <v>0.43432910587959817</v>
      </c>
      <c r="R224" s="300">
        <f t="shared" si="109"/>
        <v>0.47762169785464126</v>
      </c>
      <c r="S224" s="300">
        <f t="shared" si="109"/>
        <v>0.5287288979656587</v>
      </c>
      <c r="T224" s="300">
        <f t="shared" si="109"/>
        <v>0.58049001984863335</v>
      </c>
      <c r="U224" s="300">
        <f t="shared" si="109"/>
        <v>0.6325832686675098</v>
      </c>
      <c r="V224" s="300">
        <f t="shared" si="109"/>
        <v>0.68466141403768921</v>
      </c>
      <c r="W224" s="300">
        <f t="shared" si="109"/>
        <v>0.73635118649005504</v>
      </c>
      <c r="X224" s="300">
        <f t="shared" si="109"/>
        <v>0.80980175065447446</v>
      </c>
      <c r="Y224" s="300">
        <f t="shared" si="109"/>
        <v>0.88283423234276404</v>
      </c>
      <c r="Z224" s="300">
        <f t="shared" si="109"/>
        <v>0.95479732520494687</v>
      </c>
      <c r="AA224" s="300">
        <f t="shared" si="109"/>
        <v>1.0249943431644746</v>
      </c>
      <c r="AB224" s="300">
        <f t="shared" si="109"/>
        <v>1.0926822365205171</v>
      </c>
      <c r="AC224" s="300">
        <f t="shared" si="109"/>
        <v>1.1444438274986972</v>
      </c>
      <c r="AD224" s="300">
        <f t="shared" si="109"/>
        <v>1.1895343555748916</v>
      </c>
      <c r="AE224" s="300">
        <f t="shared" si="109"/>
        <v>1.2268248482889739</v>
      </c>
      <c r="AF224" s="300">
        <f t="shared" si="109"/>
        <v>1.2551248128167618</v>
      </c>
      <c r="AG224" s="300">
        <f t="shared" si="109"/>
        <v>1.2731811459193232</v>
      </c>
      <c r="AH224" s="245"/>
      <c r="AI224" s="423"/>
      <c r="AJ224" s="424"/>
      <c r="AL224" s="221"/>
      <c r="AM224" s="124"/>
      <c r="AN224" s="124"/>
      <c r="AO224" s="124"/>
      <c r="BD224" s="124"/>
      <c r="BE224" s="124"/>
      <c r="BF224" s="124"/>
      <c r="BG224" s="124"/>
      <c r="BH224" s="124"/>
      <c r="BI224" s="124"/>
      <c r="BJ224" s="124"/>
      <c r="BK224" s="124"/>
    </row>
    <row r="225" spans="1:63" outlineLevel="1" x14ac:dyDescent="0.2">
      <c r="A225" s="4" t="s">
        <v>474</v>
      </c>
      <c r="C225" s="230">
        <f t="shared" ref="C225:AG225" si="110">C220-$C220</f>
        <v>0</v>
      </c>
      <c r="D225" s="230">
        <f t="shared" si="110"/>
        <v>-9.8597997034839402E-3</v>
      </c>
      <c r="E225" s="230">
        <f t="shared" si="110"/>
        <v>1.2365338914770388E-2</v>
      </c>
      <c r="F225" s="230">
        <f t="shared" si="110"/>
        <v>3.7183392390172265E-2</v>
      </c>
      <c r="G225" s="230">
        <f t="shared" si="110"/>
        <v>6.4635990124190829E-2</v>
      </c>
      <c r="H225" s="230">
        <f t="shared" si="110"/>
        <v>9.4734621943227681E-2</v>
      </c>
      <c r="I225" s="230">
        <f t="shared" si="110"/>
        <v>0.12086909977942434</v>
      </c>
      <c r="J225" s="230">
        <f t="shared" si="110"/>
        <v>0.14804146149698483</v>
      </c>
      <c r="K225" s="230">
        <f t="shared" si="110"/>
        <v>0.1761077835975845</v>
      </c>
      <c r="L225" s="230">
        <f t="shared" si="110"/>
        <v>0.20490355191036197</v>
      </c>
      <c r="M225" s="230">
        <f t="shared" si="110"/>
        <v>0.23424299108706598</v>
      </c>
      <c r="N225" s="230">
        <f t="shared" si="110"/>
        <v>0.27516890359484725</v>
      </c>
      <c r="O225" s="230">
        <f t="shared" si="110"/>
        <v>0.31667980610624363</v>
      </c>
      <c r="P225" s="230">
        <f t="shared" si="110"/>
        <v>0.35822304767176844</v>
      </c>
      <c r="Q225" s="230">
        <f t="shared" si="110"/>
        <v>0.39920456249964215</v>
      </c>
      <c r="R225" s="230">
        <f t="shared" si="110"/>
        <v>0.43899604781553431</v>
      </c>
      <c r="S225" s="230">
        <f t="shared" si="110"/>
        <v>0.4859701676355313</v>
      </c>
      <c r="T225" s="230">
        <f t="shared" si="110"/>
        <v>0.53354532604895732</v>
      </c>
      <c r="U225" s="230">
        <f t="shared" si="110"/>
        <v>0.58142575202641744</v>
      </c>
      <c r="V225" s="230">
        <f t="shared" si="110"/>
        <v>0.62929229598319858</v>
      </c>
      <c r="W225" s="230">
        <f t="shared" si="110"/>
        <v>0.67680187505173328</v>
      </c>
      <c r="X225" s="230">
        <f t="shared" si="110"/>
        <v>0.74431243314161044</v>
      </c>
      <c r="Y225" s="230">
        <f t="shared" si="110"/>
        <v>0.81143871942075019</v>
      </c>
      <c r="Z225" s="230">
        <f t="shared" si="110"/>
        <v>0.8775820992064296</v>
      </c>
      <c r="AA225" s="230">
        <f t="shared" si="110"/>
        <v>0.9421022279842628</v>
      </c>
      <c r="AB225" s="230">
        <f t="shared" si="110"/>
        <v>1.0043161470790887</v>
      </c>
      <c r="AC225" s="230">
        <f t="shared" si="110"/>
        <v>1.0518917366516143</v>
      </c>
      <c r="AD225" s="230">
        <f t="shared" si="110"/>
        <v>1.093335757533155</v>
      </c>
      <c r="AE225" s="230">
        <f t="shared" si="110"/>
        <v>1.1276105381725352</v>
      </c>
      <c r="AF225" s="230">
        <f t="shared" si="110"/>
        <v>1.1536218618557394</v>
      </c>
      <c r="AG225" s="230">
        <f t="shared" si="110"/>
        <v>1.1702179648084943</v>
      </c>
      <c r="AH225" s="245"/>
      <c r="AI225" s="133"/>
      <c r="AJ225" s="211"/>
      <c r="AL225" s="108"/>
      <c r="AM225" s="2"/>
      <c r="AN225" s="2"/>
      <c r="AO225" s="2"/>
      <c r="BC225" s="1"/>
      <c r="BD225" s="2"/>
      <c r="BE225" s="2"/>
      <c r="BF225" s="2"/>
      <c r="BG225" s="2"/>
      <c r="BH225" s="2"/>
      <c r="BI225" s="2"/>
      <c r="BJ225" s="2"/>
      <c r="BK225" s="2"/>
    </row>
    <row r="226" spans="1:63" outlineLevel="1" x14ac:dyDescent="0.2">
      <c r="A226" s="4" t="s">
        <v>478</v>
      </c>
      <c r="C226" s="230">
        <f t="shared" ref="C226:AG228" si="111">C221-$C221</f>
        <v>0</v>
      </c>
      <c r="D226" s="230">
        <f t="shared" si="111"/>
        <v>0</v>
      </c>
      <c r="E226" s="230">
        <f t="shared" si="111"/>
        <v>0</v>
      </c>
      <c r="F226" s="230">
        <f t="shared" si="111"/>
        <v>0</v>
      </c>
      <c r="G226" s="230">
        <f t="shared" si="111"/>
        <v>0</v>
      </c>
      <c r="H226" s="230">
        <f t="shared" si="111"/>
        <v>0</v>
      </c>
      <c r="I226" s="230">
        <f t="shared" si="111"/>
        <v>0</v>
      </c>
      <c r="J226" s="230">
        <f t="shared" si="111"/>
        <v>0</v>
      </c>
      <c r="K226" s="230">
        <f t="shared" si="111"/>
        <v>0</v>
      </c>
      <c r="L226" s="230">
        <f t="shared" si="111"/>
        <v>0</v>
      </c>
      <c r="M226" s="230">
        <f t="shared" si="111"/>
        <v>0</v>
      </c>
      <c r="N226" s="230">
        <f t="shared" si="111"/>
        <v>0</v>
      </c>
      <c r="O226" s="230">
        <f t="shared" si="111"/>
        <v>0</v>
      </c>
      <c r="P226" s="230">
        <f t="shared" si="111"/>
        <v>0</v>
      </c>
      <c r="Q226" s="230">
        <f t="shared" si="111"/>
        <v>0</v>
      </c>
      <c r="R226" s="230">
        <f t="shared" si="111"/>
        <v>0</v>
      </c>
      <c r="S226" s="230">
        <f t="shared" si="111"/>
        <v>0</v>
      </c>
      <c r="T226" s="230">
        <f t="shared" si="111"/>
        <v>0</v>
      </c>
      <c r="U226" s="230">
        <f t="shared" si="111"/>
        <v>0</v>
      </c>
      <c r="V226" s="230">
        <f t="shared" si="111"/>
        <v>0</v>
      </c>
      <c r="W226" s="230">
        <f t="shared" si="111"/>
        <v>0</v>
      </c>
      <c r="X226" s="230">
        <f t="shared" si="111"/>
        <v>0</v>
      </c>
      <c r="Y226" s="230">
        <f t="shared" si="111"/>
        <v>0</v>
      </c>
      <c r="Z226" s="230">
        <f t="shared" si="111"/>
        <v>0</v>
      </c>
      <c r="AA226" s="230">
        <f t="shared" si="111"/>
        <v>0</v>
      </c>
      <c r="AB226" s="230">
        <f t="shared" si="111"/>
        <v>0</v>
      </c>
      <c r="AC226" s="230">
        <f t="shared" si="111"/>
        <v>0</v>
      </c>
      <c r="AD226" s="230">
        <f t="shared" si="111"/>
        <v>0</v>
      </c>
      <c r="AE226" s="230">
        <f t="shared" si="111"/>
        <v>0</v>
      </c>
      <c r="AF226" s="230">
        <f t="shared" si="111"/>
        <v>0</v>
      </c>
      <c r="AG226" s="230">
        <f t="shared" si="111"/>
        <v>0</v>
      </c>
      <c r="AH226" s="245"/>
      <c r="AI226" s="133"/>
      <c r="AJ226" s="211"/>
      <c r="AL226" s="108"/>
      <c r="AM226" s="2"/>
      <c r="AN226" s="2"/>
      <c r="AO226" s="2"/>
      <c r="BC226" s="1"/>
      <c r="BD226" s="2"/>
      <c r="BE226" s="2"/>
      <c r="BF226" s="2"/>
      <c r="BG226" s="2"/>
      <c r="BH226" s="2"/>
      <c r="BI226" s="2"/>
      <c r="BJ226" s="2"/>
      <c r="BK226" s="2"/>
    </row>
    <row r="227" spans="1:63" outlineLevel="1" x14ac:dyDescent="0.2">
      <c r="A227" s="4" t="s">
        <v>745</v>
      </c>
      <c r="C227" s="230">
        <f t="shared" si="111"/>
        <v>0</v>
      </c>
      <c r="D227" s="230">
        <f t="shared" si="111"/>
        <v>0</v>
      </c>
      <c r="E227" s="230">
        <f t="shared" si="111"/>
        <v>0</v>
      </c>
      <c r="F227" s="230">
        <f t="shared" si="111"/>
        <v>0</v>
      </c>
      <c r="G227" s="230">
        <f t="shared" si="111"/>
        <v>0</v>
      </c>
      <c r="H227" s="230">
        <f t="shared" si="111"/>
        <v>0</v>
      </c>
      <c r="I227" s="230">
        <f t="shared" si="111"/>
        <v>0</v>
      </c>
      <c r="J227" s="230">
        <f t="shared" si="111"/>
        <v>0</v>
      </c>
      <c r="K227" s="230">
        <f t="shared" si="111"/>
        <v>0</v>
      </c>
      <c r="L227" s="230">
        <f t="shared" si="111"/>
        <v>0</v>
      </c>
      <c r="M227" s="230">
        <f t="shared" si="111"/>
        <v>0</v>
      </c>
      <c r="N227" s="230">
        <f t="shared" si="111"/>
        <v>0</v>
      </c>
      <c r="O227" s="230">
        <f t="shared" si="111"/>
        <v>0</v>
      </c>
      <c r="P227" s="230">
        <f t="shared" si="111"/>
        <v>0</v>
      </c>
      <c r="Q227" s="230">
        <f t="shared" si="111"/>
        <v>0</v>
      </c>
      <c r="R227" s="230">
        <f t="shared" si="111"/>
        <v>0</v>
      </c>
      <c r="S227" s="230">
        <f t="shared" si="111"/>
        <v>0</v>
      </c>
      <c r="T227" s="230">
        <f t="shared" si="111"/>
        <v>0</v>
      </c>
      <c r="U227" s="230">
        <f t="shared" si="111"/>
        <v>0</v>
      </c>
      <c r="V227" s="230">
        <f t="shared" si="111"/>
        <v>0</v>
      </c>
      <c r="W227" s="230">
        <f t="shared" si="111"/>
        <v>0</v>
      </c>
      <c r="X227" s="230">
        <f t="shared" si="111"/>
        <v>0</v>
      </c>
      <c r="Y227" s="230">
        <f t="shared" si="111"/>
        <v>0</v>
      </c>
      <c r="Z227" s="230">
        <f t="shared" si="111"/>
        <v>0</v>
      </c>
      <c r="AA227" s="230">
        <f t="shared" si="111"/>
        <v>0</v>
      </c>
      <c r="AB227" s="230">
        <f t="shared" si="111"/>
        <v>0</v>
      </c>
      <c r="AC227" s="230">
        <f t="shared" si="111"/>
        <v>0</v>
      </c>
      <c r="AD227" s="230">
        <f t="shared" si="111"/>
        <v>0</v>
      </c>
      <c r="AE227" s="230">
        <f t="shared" si="111"/>
        <v>0</v>
      </c>
      <c r="AF227" s="230">
        <f t="shared" si="111"/>
        <v>0</v>
      </c>
      <c r="AG227" s="230">
        <f t="shared" si="111"/>
        <v>0</v>
      </c>
      <c r="AH227" s="245"/>
      <c r="AI227" s="133"/>
      <c r="AJ227" s="211"/>
      <c r="AL227" s="108"/>
      <c r="AM227" s="2"/>
      <c r="AN227" s="2"/>
      <c r="AO227" s="2"/>
      <c r="BC227" s="1"/>
      <c r="BD227" s="2"/>
      <c r="BE227" s="2"/>
      <c r="BF227" s="2"/>
      <c r="BG227" s="2"/>
      <c r="BH227" s="2"/>
      <c r="BI227" s="2"/>
      <c r="BJ227" s="2"/>
      <c r="BK227" s="2"/>
    </row>
    <row r="228" spans="1:63" outlineLevel="1" x14ac:dyDescent="0.2">
      <c r="A228" s="4" t="s">
        <v>1561</v>
      </c>
      <c r="C228" s="230">
        <f t="shared" si="111"/>
        <v>0</v>
      </c>
      <c r="D228" s="230">
        <f t="shared" si="111"/>
        <v>-8.6752756590303091E-4</v>
      </c>
      <c r="E228" s="230">
        <f t="shared" si="111"/>
        <v>1.0879807595387883E-3</v>
      </c>
      <c r="F228" s="230">
        <f t="shared" si="111"/>
        <v>3.2716301408095803E-3</v>
      </c>
      <c r="G228" s="230">
        <f t="shared" si="111"/>
        <v>5.6870833960610909E-3</v>
      </c>
      <c r="H228" s="230">
        <f t="shared" si="111"/>
        <v>8.3353514729221402E-3</v>
      </c>
      <c r="I228" s="230">
        <f t="shared" si="111"/>
        <v>1.0634828199145203E-2</v>
      </c>
      <c r="J228" s="230">
        <f t="shared" si="111"/>
        <v>1.3025624516472274E-2</v>
      </c>
      <c r="K228" s="230">
        <f t="shared" si="111"/>
        <v>1.5495077124843236E-2</v>
      </c>
      <c r="L228" s="230">
        <f t="shared" si="111"/>
        <v>1.8028711026540488E-2</v>
      </c>
      <c r="M228" s="230">
        <f t="shared" si="111"/>
        <v>2.0610180530929344E-2</v>
      </c>
      <c r="N228" s="230">
        <f t="shared" si="111"/>
        <v>2.4211101272523159E-2</v>
      </c>
      <c r="O228" s="230">
        <f t="shared" si="111"/>
        <v>2.7863493136165682E-2</v>
      </c>
      <c r="P228" s="230">
        <f t="shared" si="111"/>
        <v>3.1518730394416133E-2</v>
      </c>
      <c r="Q228" s="230">
        <f t="shared" si="111"/>
        <v>3.5124543379955978E-2</v>
      </c>
      <c r="R228" s="230">
        <f t="shared" si="111"/>
        <v>3.8625650039106924E-2</v>
      </c>
      <c r="S228" s="230">
        <f t="shared" si="111"/>
        <v>4.275873033012742E-2</v>
      </c>
      <c r="T228" s="230">
        <f t="shared" si="111"/>
        <v>4.6944693799676085E-2</v>
      </c>
      <c r="U228" s="230">
        <f t="shared" si="111"/>
        <v>5.1157516641092332E-2</v>
      </c>
      <c r="V228" s="230">
        <f t="shared" si="111"/>
        <v>5.5369118054490601E-2</v>
      </c>
      <c r="W228" s="230">
        <f t="shared" si="111"/>
        <v>5.9549311438321706E-2</v>
      </c>
      <c r="X228" s="230">
        <f t="shared" si="111"/>
        <v>6.5489317512864131E-2</v>
      </c>
      <c r="Y228" s="230">
        <f t="shared" si="111"/>
        <v>7.1395512922013807E-2</v>
      </c>
      <c r="Z228" s="230">
        <f t="shared" si="111"/>
        <v>7.721522599851724E-2</v>
      </c>
      <c r="AA228" s="230">
        <f t="shared" si="111"/>
        <v>8.2892115180211848E-2</v>
      </c>
      <c r="AB228" s="230">
        <f t="shared" si="111"/>
        <v>8.8366089441428472E-2</v>
      </c>
      <c r="AC228" s="230">
        <f t="shared" si="111"/>
        <v>9.2552090847082893E-2</v>
      </c>
      <c r="AD228" s="230">
        <f t="shared" si="111"/>
        <v>9.6198598041736472E-2</v>
      </c>
      <c r="AE228" s="230">
        <f t="shared" si="111"/>
        <v>9.9214310116438678E-2</v>
      </c>
      <c r="AF228" s="230">
        <f t="shared" si="111"/>
        <v>0.10150295096102223</v>
      </c>
      <c r="AG228" s="230">
        <f t="shared" si="111"/>
        <v>0.10296318111082862</v>
      </c>
      <c r="AH228" s="245"/>
      <c r="AI228" s="133"/>
      <c r="AJ228" s="211"/>
      <c r="AL228" s="108"/>
      <c r="AM228" s="2"/>
      <c r="AN228" s="2"/>
      <c r="AO228" s="2"/>
      <c r="BC228" s="1"/>
      <c r="BD228" s="2"/>
      <c r="BE228" s="2"/>
      <c r="BF228" s="2"/>
      <c r="BG228" s="2"/>
      <c r="BH228" s="2"/>
      <c r="BI228" s="2"/>
      <c r="BJ228" s="2"/>
      <c r="BK228" s="2"/>
    </row>
    <row r="229" spans="1:63" s="1" customFormat="1" outlineLevel="1" x14ac:dyDescent="0.2">
      <c r="A229" s="1" t="s">
        <v>1637</v>
      </c>
      <c r="B229" s="65"/>
      <c r="C229" s="300">
        <f>'BTX Recycling HC'!C229</f>
        <v>0.11016660035716574</v>
      </c>
      <c r="D229" s="300">
        <f>'BTX Recycling HC'!D229</f>
        <v>9.9439273087778765E-2</v>
      </c>
      <c r="E229" s="300">
        <f>'BTX Recycling HC'!E229</f>
        <v>0.12361992003147491</v>
      </c>
      <c r="F229" s="300">
        <f>'BTX Recycling HC'!F229</f>
        <v>0.15062162288814759</v>
      </c>
      <c r="G229" s="300">
        <f>'BTX Recycling HC'!G229</f>
        <v>0.18048967387741766</v>
      </c>
      <c r="H229" s="300">
        <f>'BTX Recycling HC'!H229</f>
        <v>0.21323657377331556</v>
      </c>
      <c r="I229" s="300">
        <f>'BTX Recycling HC'!I229</f>
        <v>0.24167052833573527</v>
      </c>
      <c r="J229" s="300">
        <f>'BTX Recycling HC'!J229</f>
        <v>0.27123368637062284</v>
      </c>
      <c r="K229" s="300">
        <f>'BTX Recycling HC'!K229</f>
        <v>0.30176946107959346</v>
      </c>
      <c r="L229" s="300">
        <f>'BTX Recycling HC'!L229</f>
        <v>0.33309886329406818</v>
      </c>
      <c r="M229" s="300">
        <f>'BTX Recycling HC'!M229</f>
        <v>0.36501977197516106</v>
      </c>
      <c r="N229" s="300">
        <f>'BTX Recycling HC'!N229</f>
        <v>0.40954660522453612</v>
      </c>
      <c r="O229" s="300">
        <f>'BTX Recycling HC'!O229</f>
        <v>0.45470989959957503</v>
      </c>
      <c r="P229" s="300">
        <f>'BTX Recycling HC'!P229</f>
        <v>0.49990837842335029</v>
      </c>
      <c r="Q229" s="300">
        <f>'BTX Recycling HC'!Q229</f>
        <v>0.54449570623676391</v>
      </c>
      <c r="R229" s="300">
        <f>'BTX Recycling HC'!R229</f>
        <v>0.587788298211807</v>
      </c>
      <c r="S229" s="300">
        <f>'BTX Recycling HC'!S229</f>
        <v>0.63889549832282444</v>
      </c>
      <c r="T229" s="300">
        <f>'BTX Recycling HC'!T229</f>
        <v>0.6906566202057991</v>
      </c>
      <c r="U229" s="300">
        <f>'BTX Recycling HC'!U229</f>
        <v>0.74274986902467555</v>
      </c>
      <c r="V229" s="300">
        <f>'BTX Recycling HC'!V229</f>
        <v>0.79482801439485495</v>
      </c>
      <c r="W229" s="300">
        <f>'BTX Recycling HC'!W229</f>
        <v>0.84651778684722079</v>
      </c>
      <c r="X229" s="300">
        <f>'BTX Recycling HC'!X229</f>
        <v>0.91996835101164021</v>
      </c>
      <c r="Y229" s="300">
        <f>'BTX Recycling HC'!Y229</f>
        <v>0.99300083269992978</v>
      </c>
      <c r="Z229" s="300">
        <f>'BTX Recycling HC'!Z229</f>
        <v>1.0649639255621126</v>
      </c>
      <c r="AA229" s="300">
        <f>'BTX Recycling HC'!AA229</f>
        <v>1.1351609435216403</v>
      </c>
      <c r="AB229" s="300">
        <f>'BTX Recycling HC'!AB229</f>
        <v>1.2028488368776828</v>
      </c>
      <c r="AC229" s="300">
        <f>'BTX Recycling HC'!AC229</f>
        <v>1.254610427855863</v>
      </c>
      <c r="AD229" s="300">
        <f>'BTX Recycling HC'!AD229</f>
        <v>1.2997009559320574</v>
      </c>
      <c r="AE229" s="300">
        <f>'BTX Recycling HC'!AE229</f>
        <v>1.3369914486461396</v>
      </c>
      <c r="AF229" s="300">
        <f>'BTX Recycling HC'!AF229</f>
        <v>1.3652914131739275</v>
      </c>
      <c r="AG229" s="300">
        <f>'BTX Recycling HC'!AG229</f>
        <v>1.3833477462764889</v>
      </c>
      <c r="AH229" s="245"/>
      <c r="AI229" s="423"/>
      <c r="AJ229" s="424"/>
      <c r="AL229" s="221"/>
      <c r="AM229" s="124"/>
      <c r="AN229" s="124"/>
      <c r="AO229" s="124"/>
      <c r="BD229" s="124"/>
      <c r="BE229" s="124"/>
      <c r="BF229" s="124"/>
      <c r="BG229" s="124"/>
      <c r="BH229" s="124"/>
      <c r="BI229" s="124"/>
      <c r="BJ229" s="124"/>
      <c r="BK229" s="124"/>
    </row>
    <row r="230" spans="1:63" outlineLevel="1" x14ac:dyDescent="0.2">
      <c r="A230" s="4" t="s">
        <v>474</v>
      </c>
      <c r="C230" s="230">
        <f>C$229*'BTX recycling rates'!E82</f>
        <v>0.10125733896785366</v>
      </c>
      <c r="D230" s="230">
        <f>D$229*'BTX recycling rates'!F82</f>
        <v>9.139753926436972E-2</v>
      </c>
      <c r="E230" s="230">
        <f>E$229*'BTX recycling rates'!G82</f>
        <v>0.11362267788262405</v>
      </c>
      <c r="F230" s="230">
        <f>F$229*'BTX recycling rates'!H82</f>
        <v>0.13844073135802593</v>
      </c>
      <c r="G230" s="230">
        <f>G$229*'BTX recycling rates'!I82</f>
        <v>0.16589332909204449</v>
      </c>
      <c r="H230" s="230">
        <f>H$229*'BTX recycling rates'!J82</f>
        <v>0.19599196091108134</v>
      </c>
      <c r="I230" s="230">
        <f>I$229*'BTX recycling rates'!K82</f>
        <v>0.222126438747278</v>
      </c>
      <c r="J230" s="230">
        <f>J$229*'BTX recycling rates'!L82</f>
        <v>0.24929880046483849</v>
      </c>
      <c r="K230" s="230">
        <f>K$229*'BTX recycling rates'!M82</f>
        <v>0.27736512256543816</v>
      </c>
      <c r="L230" s="230">
        <f>L$229*'BTX recycling rates'!N82</f>
        <v>0.30616089087821563</v>
      </c>
      <c r="M230" s="230">
        <f>M$229*'BTX recycling rates'!O82</f>
        <v>0.33550033005491964</v>
      </c>
      <c r="N230" s="230">
        <f>N$229*'BTX recycling rates'!P82</f>
        <v>0.37642624256270091</v>
      </c>
      <c r="O230" s="230">
        <f>O$229*'BTX recycling rates'!Q82</f>
        <v>0.41793714507409729</v>
      </c>
      <c r="P230" s="230">
        <f>P$229*'BTX recycling rates'!R82</f>
        <v>0.4594803866396221</v>
      </c>
      <c r="Q230" s="230">
        <f>Q$229*'BTX recycling rates'!S82</f>
        <v>0.50046190146749581</v>
      </c>
      <c r="R230" s="230">
        <f>R$229*'BTX recycling rates'!T82</f>
        <v>0.54025338678338797</v>
      </c>
      <c r="S230" s="230">
        <f>S$229*'BTX recycling rates'!U82</f>
        <v>0.58722750660338496</v>
      </c>
      <c r="T230" s="230">
        <f>T$229*'BTX recycling rates'!V82</f>
        <v>0.63480266501681093</v>
      </c>
      <c r="U230" s="230">
        <f>U$229*'BTX recycling rates'!W82</f>
        <v>0.68268309099427116</v>
      </c>
      <c r="V230" s="230">
        <f>V$229*'BTX recycling rates'!X82</f>
        <v>0.7305496349510523</v>
      </c>
      <c r="W230" s="230">
        <f>W$229*'BTX recycling rates'!Y82</f>
        <v>0.778059214019587</v>
      </c>
      <c r="X230" s="230">
        <f>X$229*'BTX recycling rates'!Z82</f>
        <v>0.84556977210946405</v>
      </c>
      <c r="Y230" s="230">
        <f>Y$229*'BTX recycling rates'!AA82</f>
        <v>0.9126960583886039</v>
      </c>
      <c r="Z230" s="230">
        <f>Z$229*'BTX recycling rates'!AB82</f>
        <v>0.97883943817428332</v>
      </c>
      <c r="AA230" s="230">
        <f>AA$229*'BTX recycling rates'!AC82</f>
        <v>1.0433595669521165</v>
      </c>
      <c r="AB230" s="230">
        <f>AB$229*'BTX recycling rates'!AD82</f>
        <v>1.1055734860469424</v>
      </c>
      <c r="AC230" s="230">
        <f>AC$229*'BTX recycling rates'!AE82</f>
        <v>1.153149075619468</v>
      </c>
      <c r="AD230" s="230">
        <f>AD$229*'BTX recycling rates'!AF82</f>
        <v>1.1945930965010088</v>
      </c>
      <c r="AE230" s="230">
        <f>AE$229*'BTX recycling rates'!AG82</f>
        <v>1.2288678771403889</v>
      </c>
      <c r="AF230" s="230">
        <f>AF$229*'BTX recycling rates'!AH82</f>
        <v>1.2548792008235932</v>
      </c>
      <c r="AG230" s="230">
        <f>AG$229*'BTX recycling rates'!AI82</f>
        <v>1.271475303776348</v>
      </c>
      <c r="AH230" s="245"/>
      <c r="AI230" s="133"/>
      <c r="AJ230" s="211"/>
      <c r="AL230" s="108"/>
      <c r="AM230" s="2"/>
      <c r="AN230" s="2"/>
      <c r="AO230" s="2"/>
      <c r="BC230" s="1"/>
      <c r="BD230" s="2"/>
      <c r="BE230" s="2"/>
      <c r="BF230" s="2"/>
      <c r="BG230" s="2"/>
      <c r="BH230" s="2"/>
      <c r="BI230" s="2"/>
      <c r="BJ230" s="2"/>
      <c r="BK230" s="2"/>
    </row>
    <row r="231" spans="1:63" outlineLevel="1" x14ac:dyDescent="0.2">
      <c r="A231" s="4" t="s">
        <v>478</v>
      </c>
      <c r="C231" s="230">
        <f>C$229*'BTX recycling rates'!E83</f>
        <v>0</v>
      </c>
      <c r="D231" s="230">
        <f>D$229*'BTX recycling rates'!F83</f>
        <v>0</v>
      </c>
      <c r="E231" s="230">
        <f>E$229*'BTX recycling rates'!G83</f>
        <v>0</v>
      </c>
      <c r="F231" s="230">
        <f>F$229*'BTX recycling rates'!H83</f>
        <v>0</v>
      </c>
      <c r="G231" s="230">
        <f>G$229*'BTX recycling rates'!I83</f>
        <v>0</v>
      </c>
      <c r="H231" s="230">
        <f>H$229*'BTX recycling rates'!J83</f>
        <v>0</v>
      </c>
      <c r="I231" s="230">
        <f>I$229*'BTX recycling rates'!K83</f>
        <v>0</v>
      </c>
      <c r="J231" s="230">
        <f>J$229*'BTX recycling rates'!L83</f>
        <v>0</v>
      </c>
      <c r="K231" s="230">
        <f>K$229*'BTX recycling rates'!M83</f>
        <v>0</v>
      </c>
      <c r="L231" s="230">
        <f>L$229*'BTX recycling rates'!N83</f>
        <v>0</v>
      </c>
      <c r="M231" s="230">
        <f>M$229*'BTX recycling rates'!O83</f>
        <v>0</v>
      </c>
      <c r="N231" s="230">
        <f>N$229*'BTX recycling rates'!P83</f>
        <v>0</v>
      </c>
      <c r="O231" s="230">
        <f>O$229*'BTX recycling rates'!Q83</f>
        <v>0</v>
      </c>
      <c r="P231" s="230">
        <f>P$229*'BTX recycling rates'!R83</f>
        <v>0</v>
      </c>
      <c r="Q231" s="230">
        <f>Q$229*'BTX recycling rates'!S83</f>
        <v>0</v>
      </c>
      <c r="R231" s="230">
        <f>R$229*'BTX recycling rates'!T83</f>
        <v>0</v>
      </c>
      <c r="S231" s="230">
        <f>S$229*'BTX recycling rates'!U83</f>
        <v>0</v>
      </c>
      <c r="T231" s="230">
        <f>T$229*'BTX recycling rates'!V83</f>
        <v>0</v>
      </c>
      <c r="U231" s="230">
        <f>U$229*'BTX recycling rates'!W83</f>
        <v>0</v>
      </c>
      <c r="V231" s="230">
        <f>V$229*'BTX recycling rates'!X83</f>
        <v>0</v>
      </c>
      <c r="W231" s="230">
        <f>W$229*'BTX recycling rates'!Y83</f>
        <v>0</v>
      </c>
      <c r="X231" s="230">
        <f>X$229*'BTX recycling rates'!Z83</f>
        <v>0</v>
      </c>
      <c r="Y231" s="230">
        <f>Y$229*'BTX recycling rates'!AA83</f>
        <v>0</v>
      </c>
      <c r="Z231" s="230">
        <f>Z$229*'BTX recycling rates'!AB83</f>
        <v>0</v>
      </c>
      <c r="AA231" s="230">
        <f>AA$229*'BTX recycling rates'!AC83</f>
        <v>0</v>
      </c>
      <c r="AB231" s="230">
        <f>AB$229*'BTX recycling rates'!AD83</f>
        <v>0</v>
      </c>
      <c r="AC231" s="230">
        <f>AC$229*'BTX recycling rates'!AE83</f>
        <v>0</v>
      </c>
      <c r="AD231" s="230">
        <f>AD$229*'BTX recycling rates'!AF83</f>
        <v>0</v>
      </c>
      <c r="AE231" s="230">
        <f>AE$229*'BTX recycling rates'!AG83</f>
        <v>0</v>
      </c>
      <c r="AF231" s="230">
        <f>AF$229*'BTX recycling rates'!AH83</f>
        <v>0</v>
      </c>
      <c r="AG231" s="230">
        <f>AG$229*'BTX recycling rates'!AI83</f>
        <v>0</v>
      </c>
      <c r="AH231" s="245"/>
      <c r="AI231" s="133"/>
      <c r="AJ231" s="211"/>
      <c r="AL231" s="108"/>
      <c r="AM231" s="2"/>
      <c r="AN231" s="2"/>
      <c r="AO231" s="2"/>
      <c r="BC231" s="1"/>
      <c r="BD231" s="2"/>
      <c r="BE231" s="2"/>
      <c r="BF231" s="2"/>
      <c r="BG231" s="2"/>
      <c r="BH231" s="2"/>
      <c r="BI231" s="2"/>
      <c r="BJ231" s="2"/>
      <c r="BK231" s="2"/>
    </row>
    <row r="232" spans="1:63" outlineLevel="1" x14ac:dyDescent="0.2">
      <c r="A232" s="4" t="s">
        <v>745</v>
      </c>
      <c r="C232" s="230">
        <f>C$229*'BTX recycling rates'!E84</f>
        <v>0</v>
      </c>
      <c r="D232" s="230">
        <f>D$229*'BTX recycling rates'!F84</f>
        <v>0</v>
      </c>
      <c r="E232" s="230">
        <f>E$229*'BTX recycling rates'!G84</f>
        <v>0</v>
      </c>
      <c r="F232" s="230">
        <f>F$229*'BTX recycling rates'!H84</f>
        <v>0</v>
      </c>
      <c r="G232" s="230">
        <f>G$229*'BTX recycling rates'!I84</f>
        <v>0</v>
      </c>
      <c r="H232" s="230">
        <f>H$229*'BTX recycling rates'!J84</f>
        <v>0</v>
      </c>
      <c r="I232" s="230">
        <f>I$229*'BTX recycling rates'!K84</f>
        <v>0</v>
      </c>
      <c r="J232" s="230">
        <f>J$229*'BTX recycling rates'!L84</f>
        <v>0</v>
      </c>
      <c r="K232" s="230">
        <f>K$229*'BTX recycling rates'!M84</f>
        <v>0</v>
      </c>
      <c r="L232" s="230">
        <f>L$229*'BTX recycling rates'!N84</f>
        <v>0</v>
      </c>
      <c r="M232" s="230">
        <f>M$229*'BTX recycling rates'!O84</f>
        <v>0</v>
      </c>
      <c r="N232" s="230">
        <f>N$229*'BTX recycling rates'!P84</f>
        <v>0</v>
      </c>
      <c r="O232" s="230">
        <f>O$229*'BTX recycling rates'!Q84</f>
        <v>0</v>
      </c>
      <c r="P232" s="230">
        <f>P$229*'BTX recycling rates'!R84</f>
        <v>0</v>
      </c>
      <c r="Q232" s="230">
        <f>Q$229*'BTX recycling rates'!S84</f>
        <v>0</v>
      </c>
      <c r="R232" s="230">
        <f>R$229*'BTX recycling rates'!T84</f>
        <v>0</v>
      </c>
      <c r="S232" s="230">
        <f>S$229*'BTX recycling rates'!U84</f>
        <v>0</v>
      </c>
      <c r="T232" s="230">
        <f>T$229*'BTX recycling rates'!V84</f>
        <v>0</v>
      </c>
      <c r="U232" s="230">
        <f>U$229*'BTX recycling rates'!W84</f>
        <v>0</v>
      </c>
      <c r="V232" s="230">
        <f>V$229*'BTX recycling rates'!X84</f>
        <v>0</v>
      </c>
      <c r="W232" s="230">
        <f>W$229*'BTX recycling rates'!Y84</f>
        <v>0</v>
      </c>
      <c r="X232" s="230">
        <f>X$229*'BTX recycling rates'!Z84</f>
        <v>0</v>
      </c>
      <c r="Y232" s="230">
        <f>Y$229*'BTX recycling rates'!AA84</f>
        <v>0</v>
      </c>
      <c r="Z232" s="230">
        <f>Z$229*'BTX recycling rates'!AB84</f>
        <v>0</v>
      </c>
      <c r="AA232" s="230">
        <f>AA$229*'BTX recycling rates'!AC84</f>
        <v>0</v>
      </c>
      <c r="AB232" s="230">
        <f>AB$229*'BTX recycling rates'!AD84</f>
        <v>0</v>
      </c>
      <c r="AC232" s="230">
        <f>AC$229*'BTX recycling rates'!AE84</f>
        <v>0</v>
      </c>
      <c r="AD232" s="230">
        <f>AD$229*'BTX recycling rates'!AF84</f>
        <v>0</v>
      </c>
      <c r="AE232" s="230">
        <f>AE$229*'BTX recycling rates'!AG84</f>
        <v>0</v>
      </c>
      <c r="AF232" s="230">
        <f>AF$229*'BTX recycling rates'!AH84</f>
        <v>0</v>
      </c>
      <c r="AG232" s="230">
        <f>AG$229*'BTX recycling rates'!AI84</f>
        <v>0</v>
      </c>
      <c r="AH232" s="245"/>
      <c r="AI232" s="133"/>
      <c r="AJ232" s="211"/>
      <c r="AL232" s="108"/>
      <c r="AM232" s="2"/>
      <c r="AN232" s="2"/>
      <c r="AO232" s="2"/>
      <c r="BC232" s="1"/>
      <c r="BD232" s="2"/>
      <c r="BE232" s="2"/>
      <c r="BF232" s="2"/>
      <c r="BG232" s="2"/>
      <c r="BH232" s="2"/>
      <c r="BI232" s="2"/>
      <c r="BJ232" s="2"/>
      <c r="BK232" s="2"/>
    </row>
    <row r="233" spans="1:63" outlineLevel="1" x14ac:dyDescent="0.2">
      <c r="A233" s="4" t="s">
        <v>1561</v>
      </c>
      <c r="C233" s="230">
        <f>C$229*'BTX recycling rates'!E85</f>
        <v>8.9092613893120808E-3</v>
      </c>
      <c r="D233" s="230">
        <f>D$229*'BTX recycling rates'!F85</f>
        <v>8.0417338234090498E-3</v>
      </c>
      <c r="E233" s="230">
        <f>E$229*'BTX recycling rates'!G85</f>
        <v>9.9972421488508691E-3</v>
      </c>
      <c r="F233" s="230">
        <f>F$229*'BTX recycling rates'!H85</f>
        <v>1.2180891530121661E-2</v>
      </c>
      <c r="G233" s="230">
        <f>G$229*'BTX recycling rates'!I85</f>
        <v>1.4596344785373172E-2</v>
      </c>
      <c r="H233" s="230">
        <f>H$229*'BTX recycling rates'!J85</f>
        <v>1.7244612862234221E-2</v>
      </c>
      <c r="I233" s="230">
        <f>I$229*'BTX recycling rates'!K85</f>
        <v>1.9544089588457284E-2</v>
      </c>
      <c r="J233" s="230">
        <f>J$229*'BTX recycling rates'!L85</f>
        <v>2.1934885905784355E-2</v>
      </c>
      <c r="K233" s="230">
        <f>K$229*'BTX recycling rates'!M85</f>
        <v>2.4404338514155317E-2</v>
      </c>
      <c r="L233" s="230">
        <f>L$229*'BTX recycling rates'!N85</f>
        <v>2.6937972415852569E-2</v>
      </c>
      <c r="M233" s="230">
        <f>M$229*'BTX recycling rates'!O85</f>
        <v>2.9519441920241425E-2</v>
      </c>
      <c r="N233" s="230">
        <f>N$229*'BTX recycling rates'!P85</f>
        <v>3.312036266183524E-2</v>
      </c>
      <c r="O233" s="230">
        <f>O$229*'BTX recycling rates'!Q85</f>
        <v>3.6772754525477763E-2</v>
      </c>
      <c r="P233" s="230">
        <f>P$229*'BTX recycling rates'!R85</f>
        <v>4.0427991783728218E-2</v>
      </c>
      <c r="Q233" s="230">
        <f>Q$229*'BTX recycling rates'!S85</f>
        <v>4.4033804769268062E-2</v>
      </c>
      <c r="R233" s="230">
        <f>R$229*'BTX recycling rates'!T85</f>
        <v>4.7534911428419008E-2</v>
      </c>
      <c r="S233" s="230">
        <f>S$229*'BTX recycling rates'!U85</f>
        <v>5.1667991719439504E-2</v>
      </c>
      <c r="T233" s="230">
        <f>T$229*'BTX recycling rates'!V85</f>
        <v>5.5853955188988169E-2</v>
      </c>
      <c r="U233" s="230">
        <f>U$229*'BTX recycling rates'!W85</f>
        <v>6.0066778030404416E-2</v>
      </c>
      <c r="V233" s="230">
        <f>V$229*'BTX recycling rates'!X85</f>
        <v>6.4278379443802686E-2</v>
      </c>
      <c r="W233" s="230">
        <f>W$229*'BTX recycling rates'!Y85</f>
        <v>6.845857282763379E-2</v>
      </c>
      <c r="X233" s="230">
        <f>X$229*'BTX recycling rates'!Z85</f>
        <v>7.4398578902176216E-2</v>
      </c>
      <c r="Y233" s="230">
        <f>Y$229*'BTX recycling rates'!AA85</f>
        <v>8.0304774311325891E-2</v>
      </c>
      <c r="Z233" s="230">
        <f>Z$229*'BTX recycling rates'!AB85</f>
        <v>8.6124487387829324E-2</v>
      </c>
      <c r="AA233" s="230">
        <f>AA$229*'BTX recycling rates'!AC85</f>
        <v>9.1801376569523932E-2</v>
      </c>
      <c r="AB233" s="230">
        <f>AB$229*'BTX recycling rates'!AD85</f>
        <v>9.7275350830740556E-2</v>
      </c>
      <c r="AC233" s="230">
        <f>AC$229*'BTX recycling rates'!AE85</f>
        <v>0.10146135223639498</v>
      </c>
      <c r="AD233" s="230">
        <f>AD$229*'BTX recycling rates'!AF85</f>
        <v>0.10510785943104856</v>
      </c>
      <c r="AE233" s="230">
        <f>AE$229*'BTX recycling rates'!AG85</f>
        <v>0.10812357150575076</v>
      </c>
      <c r="AF233" s="230">
        <f>AF$229*'BTX recycling rates'!AH85</f>
        <v>0.11041221235033431</v>
      </c>
      <c r="AG233" s="230">
        <f>AG$229*'BTX recycling rates'!AI85</f>
        <v>0.11187244250014071</v>
      </c>
      <c r="AH233" s="245"/>
      <c r="AI233" s="133"/>
      <c r="AJ233" s="211"/>
      <c r="AL233" s="108"/>
      <c r="AM233" s="2"/>
      <c r="AN233" s="2"/>
      <c r="AO233" s="2"/>
      <c r="BC233" s="1"/>
      <c r="BD233" s="2"/>
      <c r="BE233" s="2"/>
      <c r="BF233" s="2"/>
      <c r="BG233" s="2"/>
      <c r="BH233" s="2"/>
      <c r="BI233" s="2"/>
      <c r="BJ233" s="2"/>
      <c r="BK233" s="2"/>
    </row>
    <row r="234" spans="1:63" s="1" customFormat="1" outlineLevel="1" x14ac:dyDescent="0.2">
      <c r="A234" s="1" t="s">
        <v>1638</v>
      </c>
      <c r="B234" s="65"/>
      <c r="C234" s="300">
        <f t="shared" ref="C234:AG234" si="112">C229-$C229</f>
        <v>0</v>
      </c>
      <c r="D234" s="300">
        <f t="shared" si="112"/>
        <v>-1.072732726938698E-2</v>
      </c>
      <c r="E234" s="300">
        <f t="shared" si="112"/>
        <v>1.3453319674309169E-2</v>
      </c>
      <c r="F234" s="300">
        <f t="shared" si="112"/>
        <v>4.0455022530981849E-2</v>
      </c>
      <c r="G234" s="300">
        <f t="shared" si="112"/>
        <v>7.0323073520251911E-2</v>
      </c>
      <c r="H234" s="300">
        <f t="shared" si="112"/>
        <v>0.10306997341614982</v>
      </c>
      <c r="I234" s="300">
        <f t="shared" si="112"/>
        <v>0.13150392797856952</v>
      </c>
      <c r="J234" s="300">
        <f t="shared" si="112"/>
        <v>0.16106708601345709</v>
      </c>
      <c r="K234" s="300">
        <f t="shared" si="112"/>
        <v>0.19160286072242771</v>
      </c>
      <c r="L234" s="300">
        <f t="shared" si="112"/>
        <v>0.22293226293690244</v>
      </c>
      <c r="M234" s="300">
        <f t="shared" si="112"/>
        <v>0.25485317161799531</v>
      </c>
      <c r="N234" s="300">
        <f t="shared" si="112"/>
        <v>0.29938000486737038</v>
      </c>
      <c r="O234" s="300">
        <f t="shared" si="112"/>
        <v>0.34454329924240928</v>
      </c>
      <c r="P234" s="300">
        <f t="shared" si="112"/>
        <v>0.38974177806618454</v>
      </c>
      <c r="Q234" s="300">
        <f t="shared" si="112"/>
        <v>0.43432910587959817</v>
      </c>
      <c r="R234" s="300">
        <f t="shared" si="112"/>
        <v>0.47762169785464126</v>
      </c>
      <c r="S234" s="300">
        <f t="shared" si="112"/>
        <v>0.5287288979656587</v>
      </c>
      <c r="T234" s="300">
        <f t="shared" si="112"/>
        <v>0.58049001984863335</v>
      </c>
      <c r="U234" s="300">
        <f t="shared" si="112"/>
        <v>0.6325832686675098</v>
      </c>
      <c r="V234" s="300">
        <f t="shared" si="112"/>
        <v>0.68466141403768921</v>
      </c>
      <c r="W234" s="300">
        <f t="shared" si="112"/>
        <v>0.73635118649005504</v>
      </c>
      <c r="X234" s="300">
        <f t="shared" si="112"/>
        <v>0.80980175065447446</v>
      </c>
      <c r="Y234" s="300">
        <f t="shared" si="112"/>
        <v>0.88283423234276404</v>
      </c>
      <c r="Z234" s="300">
        <f t="shared" si="112"/>
        <v>0.95479732520494687</v>
      </c>
      <c r="AA234" s="300">
        <f t="shared" si="112"/>
        <v>1.0249943431644746</v>
      </c>
      <c r="AB234" s="300">
        <f t="shared" si="112"/>
        <v>1.0926822365205171</v>
      </c>
      <c r="AC234" s="300">
        <f t="shared" si="112"/>
        <v>1.1444438274986972</v>
      </c>
      <c r="AD234" s="300">
        <f t="shared" si="112"/>
        <v>1.1895343555748916</v>
      </c>
      <c r="AE234" s="300">
        <f t="shared" si="112"/>
        <v>1.2268248482889739</v>
      </c>
      <c r="AF234" s="300">
        <f t="shared" si="112"/>
        <v>1.2551248128167618</v>
      </c>
      <c r="AG234" s="300">
        <f t="shared" si="112"/>
        <v>1.2731811459193232</v>
      </c>
      <c r="AH234" s="245"/>
      <c r="AI234" s="423"/>
      <c r="AJ234" s="424"/>
      <c r="AL234" s="221"/>
      <c r="AM234" s="124"/>
      <c r="AN234" s="124"/>
      <c r="AO234" s="124"/>
      <c r="BD234" s="124"/>
      <c r="BE234" s="124"/>
      <c r="BF234" s="124"/>
      <c r="BG234" s="124"/>
      <c r="BH234" s="124"/>
      <c r="BI234" s="124"/>
      <c r="BJ234" s="124"/>
      <c r="BK234" s="124"/>
    </row>
    <row r="235" spans="1:63" outlineLevel="1" x14ac:dyDescent="0.2">
      <c r="A235" s="4" t="s">
        <v>474</v>
      </c>
      <c r="C235" s="230">
        <f t="shared" ref="C235:AG235" si="113">C230-$C230</f>
        <v>0</v>
      </c>
      <c r="D235" s="230">
        <f t="shared" si="113"/>
        <v>-9.8597997034839402E-3</v>
      </c>
      <c r="E235" s="230">
        <f t="shared" si="113"/>
        <v>1.2365338914770388E-2</v>
      </c>
      <c r="F235" s="230">
        <f t="shared" si="113"/>
        <v>3.7183392390172265E-2</v>
      </c>
      <c r="G235" s="230">
        <f t="shared" si="113"/>
        <v>6.4635990124190829E-2</v>
      </c>
      <c r="H235" s="230">
        <f t="shared" si="113"/>
        <v>9.4734621943227681E-2</v>
      </c>
      <c r="I235" s="230">
        <f t="shared" si="113"/>
        <v>0.12086909977942434</v>
      </c>
      <c r="J235" s="230">
        <f t="shared" si="113"/>
        <v>0.14804146149698483</v>
      </c>
      <c r="K235" s="230">
        <f t="shared" si="113"/>
        <v>0.1761077835975845</v>
      </c>
      <c r="L235" s="230">
        <f t="shared" si="113"/>
        <v>0.20490355191036197</v>
      </c>
      <c r="M235" s="230">
        <f t="shared" si="113"/>
        <v>0.23424299108706598</v>
      </c>
      <c r="N235" s="230">
        <f t="shared" si="113"/>
        <v>0.27516890359484725</v>
      </c>
      <c r="O235" s="230">
        <f t="shared" si="113"/>
        <v>0.31667980610624363</v>
      </c>
      <c r="P235" s="230">
        <f t="shared" si="113"/>
        <v>0.35822304767176844</v>
      </c>
      <c r="Q235" s="230">
        <f t="shared" si="113"/>
        <v>0.39920456249964215</v>
      </c>
      <c r="R235" s="230">
        <f t="shared" si="113"/>
        <v>0.43899604781553431</v>
      </c>
      <c r="S235" s="230">
        <f t="shared" si="113"/>
        <v>0.4859701676355313</v>
      </c>
      <c r="T235" s="230">
        <f t="shared" si="113"/>
        <v>0.53354532604895732</v>
      </c>
      <c r="U235" s="230">
        <f t="shared" si="113"/>
        <v>0.58142575202641744</v>
      </c>
      <c r="V235" s="230">
        <f t="shared" si="113"/>
        <v>0.62929229598319858</v>
      </c>
      <c r="W235" s="230">
        <f t="shared" si="113"/>
        <v>0.67680187505173328</v>
      </c>
      <c r="X235" s="230">
        <f t="shared" si="113"/>
        <v>0.74431243314161044</v>
      </c>
      <c r="Y235" s="230">
        <f t="shared" si="113"/>
        <v>0.81143871942075019</v>
      </c>
      <c r="Z235" s="230">
        <f t="shared" si="113"/>
        <v>0.8775820992064296</v>
      </c>
      <c r="AA235" s="230">
        <f t="shared" si="113"/>
        <v>0.9421022279842628</v>
      </c>
      <c r="AB235" s="230">
        <f t="shared" si="113"/>
        <v>1.0043161470790887</v>
      </c>
      <c r="AC235" s="230">
        <f t="shared" si="113"/>
        <v>1.0518917366516143</v>
      </c>
      <c r="AD235" s="230">
        <f t="shared" si="113"/>
        <v>1.093335757533155</v>
      </c>
      <c r="AE235" s="230">
        <f t="shared" si="113"/>
        <v>1.1276105381725352</v>
      </c>
      <c r="AF235" s="230">
        <f t="shared" si="113"/>
        <v>1.1536218618557394</v>
      </c>
      <c r="AG235" s="230">
        <f t="shared" si="113"/>
        <v>1.1702179648084943</v>
      </c>
      <c r="AH235" s="245"/>
      <c r="AI235" s="133"/>
      <c r="AJ235" s="211"/>
      <c r="AL235" s="108"/>
      <c r="AM235" s="2"/>
      <c r="AN235" s="2"/>
      <c r="AO235" s="2"/>
      <c r="BC235" s="1"/>
      <c r="BD235" s="2"/>
      <c r="BE235" s="2"/>
      <c r="BF235" s="2"/>
      <c r="BG235" s="2"/>
      <c r="BH235" s="2"/>
      <c r="BI235" s="2"/>
      <c r="BJ235" s="2"/>
      <c r="BK235" s="2"/>
    </row>
    <row r="236" spans="1:63" outlineLevel="1" x14ac:dyDescent="0.2">
      <c r="A236" s="4" t="s">
        <v>478</v>
      </c>
      <c r="C236" s="230">
        <f t="shared" ref="C236:AG238" si="114">C231-$C231</f>
        <v>0</v>
      </c>
      <c r="D236" s="230">
        <f t="shared" si="114"/>
        <v>0</v>
      </c>
      <c r="E236" s="230">
        <f t="shared" si="114"/>
        <v>0</v>
      </c>
      <c r="F236" s="230">
        <f t="shared" si="114"/>
        <v>0</v>
      </c>
      <c r="G236" s="230">
        <f t="shared" si="114"/>
        <v>0</v>
      </c>
      <c r="H236" s="230">
        <f t="shared" si="114"/>
        <v>0</v>
      </c>
      <c r="I236" s="230">
        <f t="shared" si="114"/>
        <v>0</v>
      </c>
      <c r="J236" s="230">
        <f t="shared" si="114"/>
        <v>0</v>
      </c>
      <c r="K236" s="230">
        <f t="shared" si="114"/>
        <v>0</v>
      </c>
      <c r="L236" s="230">
        <f t="shared" si="114"/>
        <v>0</v>
      </c>
      <c r="M236" s="230">
        <f t="shared" si="114"/>
        <v>0</v>
      </c>
      <c r="N236" s="230">
        <f t="shared" si="114"/>
        <v>0</v>
      </c>
      <c r="O236" s="230">
        <f t="shared" si="114"/>
        <v>0</v>
      </c>
      <c r="P236" s="230">
        <f t="shared" si="114"/>
        <v>0</v>
      </c>
      <c r="Q236" s="230">
        <f t="shared" si="114"/>
        <v>0</v>
      </c>
      <c r="R236" s="230">
        <f t="shared" si="114"/>
        <v>0</v>
      </c>
      <c r="S236" s="230">
        <f t="shared" si="114"/>
        <v>0</v>
      </c>
      <c r="T236" s="230">
        <f t="shared" si="114"/>
        <v>0</v>
      </c>
      <c r="U236" s="230">
        <f t="shared" si="114"/>
        <v>0</v>
      </c>
      <c r="V236" s="230">
        <f t="shared" si="114"/>
        <v>0</v>
      </c>
      <c r="W236" s="230">
        <f t="shared" si="114"/>
        <v>0</v>
      </c>
      <c r="X236" s="230">
        <f t="shared" si="114"/>
        <v>0</v>
      </c>
      <c r="Y236" s="230">
        <f t="shared" si="114"/>
        <v>0</v>
      </c>
      <c r="Z236" s="230">
        <f t="shared" si="114"/>
        <v>0</v>
      </c>
      <c r="AA236" s="230">
        <f t="shared" si="114"/>
        <v>0</v>
      </c>
      <c r="AB236" s="230">
        <f t="shared" si="114"/>
        <v>0</v>
      </c>
      <c r="AC236" s="230">
        <f t="shared" si="114"/>
        <v>0</v>
      </c>
      <c r="AD236" s="230">
        <f t="shared" si="114"/>
        <v>0</v>
      </c>
      <c r="AE236" s="230">
        <f t="shared" si="114"/>
        <v>0</v>
      </c>
      <c r="AF236" s="230">
        <f t="shared" si="114"/>
        <v>0</v>
      </c>
      <c r="AG236" s="230">
        <f t="shared" si="114"/>
        <v>0</v>
      </c>
      <c r="AH236" s="245"/>
      <c r="AI236" s="133"/>
      <c r="AJ236" s="211"/>
      <c r="AL236" s="108"/>
      <c r="AM236" s="2"/>
      <c r="AN236" s="2"/>
      <c r="AO236" s="2"/>
      <c r="BC236" s="1"/>
      <c r="BD236" s="2"/>
      <c r="BE236" s="2"/>
      <c r="BF236" s="2"/>
      <c r="BG236" s="2"/>
      <c r="BH236" s="2"/>
      <c r="BI236" s="2"/>
      <c r="BJ236" s="2"/>
      <c r="BK236" s="2"/>
    </row>
    <row r="237" spans="1:63" outlineLevel="1" x14ac:dyDescent="0.2">
      <c r="A237" s="4" t="s">
        <v>745</v>
      </c>
      <c r="C237" s="230">
        <f t="shared" si="114"/>
        <v>0</v>
      </c>
      <c r="D237" s="230">
        <f t="shared" si="114"/>
        <v>0</v>
      </c>
      <c r="E237" s="230">
        <f t="shared" si="114"/>
        <v>0</v>
      </c>
      <c r="F237" s="230">
        <f t="shared" si="114"/>
        <v>0</v>
      </c>
      <c r="G237" s="230">
        <f t="shared" si="114"/>
        <v>0</v>
      </c>
      <c r="H237" s="230">
        <f t="shared" si="114"/>
        <v>0</v>
      </c>
      <c r="I237" s="230">
        <f t="shared" si="114"/>
        <v>0</v>
      </c>
      <c r="J237" s="230">
        <f t="shared" si="114"/>
        <v>0</v>
      </c>
      <c r="K237" s="230">
        <f t="shared" si="114"/>
        <v>0</v>
      </c>
      <c r="L237" s="230">
        <f t="shared" si="114"/>
        <v>0</v>
      </c>
      <c r="M237" s="230">
        <f t="shared" si="114"/>
        <v>0</v>
      </c>
      <c r="N237" s="230">
        <f t="shared" si="114"/>
        <v>0</v>
      </c>
      <c r="O237" s="230">
        <f t="shared" si="114"/>
        <v>0</v>
      </c>
      <c r="P237" s="230">
        <f t="shared" si="114"/>
        <v>0</v>
      </c>
      <c r="Q237" s="230">
        <f t="shared" si="114"/>
        <v>0</v>
      </c>
      <c r="R237" s="230">
        <f t="shared" si="114"/>
        <v>0</v>
      </c>
      <c r="S237" s="230">
        <f t="shared" si="114"/>
        <v>0</v>
      </c>
      <c r="T237" s="230">
        <f t="shared" si="114"/>
        <v>0</v>
      </c>
      <c r="U237" s="230">
        <f t="shared" si="114"/>
        <v>0</v>
      </c>
      <c r="V237" s="230">
        <f t="shared" si="114"/>
        <v>0</v>
      </c>
      <c r="W237" s="230">
        <f t="shared" si="114"/>
        <v>0</v>
      </c>
      <c r="X237" s="230">
        <f t="shared" si="114"/>
        <v>0</v>
      </c>
      <c r="Y237" s="230">
        <f t="shared" si="114"/>
        <v>0</v>
      </c>
      <c r="Z237" s="230">
        <f t="shared" si="114"/>
        <v>0</v>
      </c>
      <c r="AA237" s="230">
        <f t="shared" si="114"/>
        <v>0</v>
      </c>
      <c r="AB237" s="230">
        <f t="shared" si="114"/>
        <v>0</v>
      </c>
      <c r="AC237" s="230">
        <f t="shared" si="114"/>
        <v>0</v>
      </c>
      <c r="AD237" s="230">
        <f t="shared" si="114"/>
        <v>0</v>
      </c>
      <c r="AE237" s="230">
        <f t="shared" si="114"/>
        <v>0</v>
      </c>
      <c r="AF237" s="230">
        <f t="shared" si="114"/>
        <v>0</v>
      </c>
      <c r="AG237" s="230">
        <f t="shared" si="114"/>
        <v>0</v>
      </c>
      <c r="AH237" s="245"/>
      <c r="AI237" s="133"/>
      <c r="AJ237" s="211"/>
      <c r="AL237" s="108"/>
      <c r="AM237" s="2"/>
      <c r="AN237" s="2"/>
      <c r="AO237" s="2"/>
      <c r="BC237" s="1"/>
      <c r="BD237" s="2"/>
      <c r="BE237" s="2"/>
      <c r="BF237" s="2"/>
      <c r="BG237" s="2"/>
      <c r="BH237" s="2"/>
      <c r="BI237" s="2"/>
      <c r="BJ237" s="2"/>
      <c r="BK237" s="2"/>
    </row>
    <row r="238" spans="1:63" outlineLevel="1" x14ac:dyDescent="0.2">
      <c r="A238" s="4" t="s">
        <v>1561</v>
      </c>
      <c r="C238" s="230">
        <f t="shared" si="114"/>
        <v>0</v>
      </c>
      <c r="D238" s="230">
        <f t="shared" si="114"/>
        <v>-8.6752756590303091E-4</v>
      </c>
      <c r="E238" s="230">
        <f t="shared" si="114"/>
        <v>1.0879807595387883E-3</v>
      </c>
      <c r="F238" s="230">
        <f t="shared" si="114"/>
        <v>3.2716301408095803E-3</v>
      </c>
      <c r="G238" s="230">
        <f t="shared" si="114"/>
        <v>5.6870833960610909E-3</v>
      </c>
      <c r="H238" s="230">
        <f t="shared" si="114"/>
        <v>8.3353514729221402E-3</v>
      </c>
      <c r="I238" s="230">
        <f t="shared" si="114"/>
        <v>1.0634828199145203E-2</v>
      </c>
      <c r="J238" s="230">
        <f t="shared" si="114"/>
        <v>1.3025624516472274E-2</v>
      </c>
      <c r="K238" s="230">
        <f t="shared" si="114"/>
        <v>1.5495077124843236E-2</v>
      </c>
      <c r="L238" s="230">
        <f t="shared" si="114"/>
        <v>1.8028711026540488E-2</v>
      </c>
      <c r="M238" s="230">
        <f t="shared" si="114"/>
        <v>2.0610180530929344E-2</v>
      </c>
      <c r="N238" s="230">
        <f t="shared" si="114"/>
        <v>2.4211101272523159E-2</v>
      </c>
      <c r="O238" s="230">
        <f t="shared" si="114"/>
        <v>2.7863493136165682E-2</v>
      </c>
      <c r="P238" s="230">
        <f t="shared" si="114"/>
        <v>3.1518730394416133E-2</v>
      </c>
      <c r="Q238" s="230">
        <f t="shared" si="114"/>
        <v>3.5124543379955978E-2</v>
      </c>
      <c r="R238" s="230">
        <f t="shared" si="114"/>
        <v>3.8625650039106924E-2</v>
      </c>
      <c r="S238" s="230">
        <f t="shared" si="114"/>
        <v>4.275873033012742E-2</v>
      </c>
      <c r="T238" s="230">
        <f t="shared" si="114"/>
        <v>4.6944693799676085E-2</v>
      </c>
      <c r="U238" s="230">
        <f t="shared" si="114"/>
        <v>5.1157516641092332E-2</v>
      </c>
      <c r="V238" s="230">
        <f t="shared" si="114"/>
        <v>5.5369118054490601E-2</v>
      </c>
      <c r="W238" s="230">
        <f t="shared" si="114"/>
        <v>5.9549311438321706E-2</v>
      </c>
      <c r="X238" s="230">
        <f t="shared" si="114"/>
        <v>6.5489317512864131E-2</v>
      </c>
      <c r="Y238" s="230">
        <f t="shared" si="114"/>
        <v>7.1395512922013807E-2</v>
      </c>
      <c r="Z238" s="230">
        <f t="shared" si="114"/>
        <v>7.721522599851724E-2</v>
      </c>
      <c r="AA238" s="230">
        <f t="shared" si="114"/>
        <v>8.2892115180211848E-2</v>
      </c>
      <c r="AB238" s="230">
        <f t="shared" si="114"/>
        <v>8.8366089441428472E-2</v>
      </c>
      <c r="AC238" s="230">
        <f t="shared" si="114"/>
        <v>9.2552090847082893E-2</v>
      </c>
      <c r="AD238" s="230">
        <f t="shared" si="114"/>
        <v>9.6198598041736472E-2</v>
      </c>
      <c r="AE238" s="230">
        <f t="shared" si="114"/>
        <v>9.9214310116438678E-2</v>
      </c>
      <c r="AF238" s="230">
        <f t="shared" si="114"/>
        <v>0.10150295096102223</v>
      </c>
      <c r="AG238" s="230">
        <f t="shared" si="114"/>
        <v>0.10296318111082862</v>
      </c>
      <c r="AH238" s="245"/>
      <c r="AI238" s="133"/>
      <c r="AJ238" s="211"/>
      <c r="AL238" s="108"/>
      <c r="AM238" s="2"/>
      <c r="AN238" s="2"/>
      <c r="AO238" s="2"/>
      <c r="BC238" s="1"/>
      <c r="BD238" s="2"/>
      <c r="BE238" s="2"/>
      <c r="BF238" s="2"/>
      <c r="BG238" s="2"/>
      <c r="BH238" s="2"/>
      <c r="BI238" s="2"/>
      <c r="BJ238" s="2"/>
      <c r="BK238" s="2"/>
    </row>
    <row r="239" spans="1:63" outlineLevel="1" x14ac:dyDescent="0.2">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J239" s="211"/>
    </row>
    <row r="240" spans="1:63" s="200" customFormat="1" ht="16" thickBot="1" x14ac:dyDescent="0.25">
      <c r="A240" s="200" t="s">
        <v>1347</v>
      </c>
      <c r="B240" s="215"/>
      <c r="C240" s="224">
        <f>C241</f>
        <v>1.6E-2</v>
      </c>
      <c r="D240" s="224">
        <f t="shared" ref="D240:AG240" si="115">D241</f>
        <v>2.329547397581962E-2</v>
      </c>
      <c r="E240" s="224">
        <f t="shared" si="115"/>
        <v>3.059094795163924E-2</v>
      </c>
      <c r="F240" s="224">
        <f t="shared" si="115"/>
        <v>3.7886421927458863E-2</v>
      </c>
      <c r="G240" s="224">
        <f t="shared" si="115"/>
        <v>4.5181895903278479E-2</v>
      </c>
      <c r="H240" s="224">
        <f t="shared" si="115"/>
        <v>5.2477369879098103E-2</v>
      </c>
      <c r="I240" s="224">
        <f t="shared" si="115"/>
        <v>5.9772843854917726E-2</v>
      </c>
      <c r="J240" s="224">
        <f t="shared" si="115"/>
        <v>6.7068317830737342E-2</v>
      </c>
      <c r="K240" s="224">
        <f t="shared" si="115"/>
        <v>7.4363791806556973E-2</v>
      </c>
      <c r="L240" s="224">
        <f t="shared" si="115"/>
        <v>8.1659265782376589E-2</v>
      </c>
      <c r="M240" s="224">
        <f t="shared" si="115"/>
        <v>8.8954739758196205E-2</v>
      </c>
      <c r="N240" s="224">
        <f t="shared" si="115"/>
        <v>0.10433135413800063</v>
      </c>
      <c r="O240" s="224">
        <f t="shared" si="115"/>
        <v>0.11970796851780505</v>
      </c>
      <c r="P240" s="224">
        <f t="shared" si="115"/>
        <v>0.1350845828976095</v>
      </c>
      <c r="Q240" s="224">
        <f t="shared" si="115"/>
        <v>0.15046119727741392</v>
      </c>
      <c r="R240" s="224">
        <f t="shared" si="115"/>
        <v>0.16583781165721834</v>
      </c>
      <c r="S240" s="224">
        <f t="shared" si="115"/>
        <v>0.18121442603702276</v>
      </c>
      <c r="T240" s="224">
        <f t="shared" si="115"/>
        <v>0.19659104041682718</v>
      </c>
      <c r="U240" s="224">
        <f t="shared" si="115"/>
        <v>0.2119676547966316</v>
      </c>
      <c r="V240" s="224">
        <f t="shared" si="115"/>
        <v>0.22734426917643602</v>
      </c>
      <c r="W240" s="224">
        <f t="shared" si="115"/>
        <v>0.24272088355624044</v>
      </c>
      <c r="X240" s="224">
        <f t="shared" si="115"/>
        <v>0.26844879520061637</v>
      </c>
      <c r="Y240" s="224">
        <f t="shared" si="115"/>
        <v>0.29417670684499236</v>
      </c>
      <c r="Z240" s="224">
        <f t="shared" si="115"/>
        <v>0.3199046184893683</v>
      </c>
      <c r="AA240" s="224">
        <f t="shared" si="115"/>
        <v>0.34563253013374429</v>
      </c>
      <c r="AB240" s="224">
        <f t="shared" si="115"/>
        <v>0.37136044177812022</v>
      </c>
      <c r="AC240" s="224">
        <f t="shared" si="115"/>
        <v>0.39708835342249615</v>
      </c>
      <c r="AD240" s="224">
        <f t="shared" si="115"/>
        <v>0.42281626506687209</v>
      </c>
      <c r="AE240" s="224">
        <f t="shared" si="115"/>
        <v>0.44854417671124808</v>
      </c>
      <c r="AF240" s="224">
        <f t="shared" si="115"/>
        <v>0.47427208835562407</v>
      </c>
      <c r="AG240" s="224">
        <f t="shared" si="115"/>
        <v>0.5</v>
      </c>
      <c r="AJ240" s="231" t="s">
        <v>1312</v>
      </c>
      <c r="AL240" s="217"/>
      <c r="AM240" s="225"/>
      <c r="AN240" s="225"/>
      <c r="AO240" s="225"/>
    </row>
    <row r="241" spans="1:63" ht="16" outlineLevel="1" thickTop="1" x14ac:dyDescent="0.2">
      <c r="A241" t="s">
        <v>1348</v>
      </c>
      <c r="B241" s="54" t="s">
        <v>462</v>
      </c>
      <c r="C241" s="113">
        <v>1.6E-2</v>
      </c>
      <c r="D241" s="110">
        <f>$C241+($M241-$C241)/10*(D$1-$C$1)</f>
        <v>2.329547397581962E-2</v>
      </c>
      <c r="E241" s="110">
        <f t="shared" ref="E241:L241" si="116">$C241+($M241-$C241)/10*(E$1-$C$1)</f>
        <v>3.059094795163924E-2</v>
      </c>
      <c r="F241" s="110">
        <f t="shared" si="116"/>
        <v>3.7886421927458863E-2</v>
      </c>
      <c r="G241" s="110">
        <f t="shared" si="116"/>
        <v>4.5181895903278479E-2</v>
      </c>
      <c r="H241" s="110">
        <f t="shared" si="116"/>
        <v>5.2477369879098103E-2</v>
      </c>
      <c r="I241" s="110">
        <f t="shared" si="116"/>
        <v>5.9772843854917726E-2</v>
      </c>
      <c r="J241" s="110">
        <f t="shared" si="116"/>
        <v>6.7068317830737342E-2</v>
      </c>
      <c r="K241" s="110">
        <f t="shared" si="116"/>
        <v>7.4363791806556973E-2</v>
      </c>
      <c r="L241" s="110">
        <f t="shared" si="116"/>
        <v>8.1659265782376589E-2</v>
      </c>
      <c r="M241" s="121">
        <f>(M$52-$C$52)/($AG$52-$C$52)*($AG241-$C241)+$C241</f>
        <v>8.8954739758196205E-2</v>
      </c>
      <c r="N241" s="121">
        <f>$M241+($W241-$M241)/10*(N$1-$M$1)</f>
        <v>0.10433135413800063</v>
      </c>
      <c r="O241" s="121">
        <f t="shared" ref="O241:U241" si="117">$M241+($W241-$M241)/10*(O$1-$M$1)</f>
        <v>0.11970796851780505</v>
      </c>
      <c r="P241" s="121">
        <f t="shared" si="117"/>
        <v>0.1350845828976095</v>
      </c>
      <c r="Q241" s="121">
        <f t="shared" si="117"/>
        <v>0.15046119727741392</v>
      </c>
      <c r="R241" s="121">
        <f t="shared" si="117"/>
        <v>0.16583781165721834</v>
      </c>
      <c r="S241" s="121">
        <f t="shared" si="117"/>
        <v>0.18121442603702276</v>
      </c>
      <c r="T241" s="121">
        <f t="shared" si="117"/>
        <v>0.19659104041682718</v>
      </c>
      <c r="U241" s="121">
        <f t="shared" si="117"/>
        <v>0.2119676547966316</v>
      </c>
      <c r="V241" s="121">
        <f>$M241+($W241-$M241)/10*(V$1-$M$1)</f>
        <v>0.22734426917643602</v>
      </c>
      <c r="W241" s="121">
        <f>(W$52-$C$52)/($AG$52-$C$52)*($AG241-$C241)+$C241</f>
        <v>0.24272088355624044</v>
      </c>
      <c r="X241" s="23">
        <f t="shared" ref="X241:AF241" si="118">$W241+($AG241-$W241)/10*(X$1-$W$1)</f>
        <v>0.26844879520061637</v>
      </c>
      <c r="Y241" s="23">
        <f t="shared" si="118"/>
        <v>0.29417670684499236</v>
      </c>
      <c r="Z241" s="23">
        <f t="shared" si="118"/>
        <v>0.3199046184893683</v>
      </c>
      <c r="AA241" s="23">
        <f t="shared" si="118"/>
        <v>0.34563253013374429</v>
      </c>
      <c r="AB241" s="23">
        <f t="shared" si="118"/>
        <v>0.37136044177812022</v>
      </c>
      <c r="AC241" s="23">
        <f t="shared" si="118"/>
        <v>0.39708835342249615</v>
      </c>
      <c r="AD241" s="23">
        <f t="shared" si="118"/>
        <v>0.42281626506687209</v>
      </c>
      <c r="AE241" s="23">
        <f t="shared" si="118"/>
        <v>0.44854417671124808</v>
      </c>
      <c r="AF241" s="23">
        <f t="shared" si="118"/>
        <v>0.47427208835562407</v>
      </c>
      <c r="AG241" s="106">
        <v>0.5</v>
      </c>
      <c r="AJ241" s="211" t="s">
        <v>1349</v>
      </c>
    </row>
    <row r="242" spans="1:63" outlineLevel="1" x14ac:dyDescent="0.2">
      <c r="C242" s="113"/>
      <c r="D242" s="110"/>
      <c r="E242" s="110"/>
      <c r="F242" s="110"/>
      <c r="G242" s="110"/>
      <c r="H242" s="110"/>
      <c r="I242" s="110"/>
      <c r="J242" s="110"/>
      <c r="K242" s="110"/>
      <c r="L242" s="110"/>
      <c r="M242" s="121"/>
      <c r="N242" s="121"/>
      <c r="O242" s="121"/>
      <c r="P242" s="121"/>
      <c r="Q242" s="121"/>
      <c r="R242" s="121"/>
      <c r="S242" s="121"/>
      <c r="T242" s="121"/>
      <c r="U242" s="121"/>
      <c r="V242" s="121"/>
      <c r="W242" s="121"/>
      <c r="X242" s="23"/>
      <c r="Y242" s="23"/>
      <c r="Z242" s="23"/>
      <c r="AA242" s="23"/>
      <c r="AB242" s="23"/>
      <c r="AC242" s="23"/>
      <c r="AD242" s="23"/>
      <c r="AE242" s="23"/>
      <c r="AF242" s="23"/>
      <c r="AG242" s="106"/>
      <c r="AJ242" s="211"/>
    </row>
    <row r="243" spans="1:63" outlineLevel="1" x14ac:dyDescent="0.2">
      <c r="A243" t="s">
        <v>1621</v>
      </c>
      <c r="C243" s="504">
        <f>('Overall recycling rates'!F85*'Yearly BTX'!D5+'Overall recycling rates'!G85*'Yearly BTX'!D6+'Overall recycling rates'!H85*'Yearly BTX'!D7)/'Yearly BTX'!D4</f>
        <v>0.30412868877343519</v>
      </c>
      <c r="D243" s="504">
        <f>C243-($C243-$AG243)/($AG$1-$C$1)</f>
        <v>0.32065773248098733</v>
      </c>
      <c r="E243" s="504">
        <f t="shared" ref="E243:AF243" si="119">D243-($C243-$AG243)/($AG$1-$C$1)</f>
        <v>0.33718677618853948</v>
      </c>
      <c r="F243" s="504">
        <f t="shared" si="119"/>
        <v>0.35371581989609163</v>
      </c>
      <c r="G243" s="504">
        <f t="shared" si="119"/>
        <v>0.37024486360364378</v>
      </c>
      <c r="H243" s="504">
        <f t="shared" si="119"/>
        <v>0.38677390731119593</v>
      </c>
      <c r="I243" s="504">
        <f t="shared" si="119"/>
        <v>0.40330295101874808</v>
      </c>
      <c r="J243" s="504">
        <f t="shared" si="119"/>
        <v>0.41983199472630023</v>
      </c>
      <c r="K243" s="504">
        <f t="shared" si="119"/>
        <v>0.43636103843385238</v>
      </c>
      <c r="L243" s="504">
        <f t="shared" si="119"/>
        <v>0.45289008214140453</v>
      </c>
      <c r="M243" s="504">
        <f t="shared" si="119"/>
        <v>0.46941912584895668</v>
      </c>
      <c r="N243" s="504">
        <f t="shared" si="119"/>
        <v>0.48594816955650882</v>
      </c>
      <c r="O243" s="504">
        <f t="shared" si="119"/>
        <v>0.50247721326406103</v>
      </c>
      <c r="P243" s="504">
        <f t="shared" si="119"/>
        <v>0.51900625697161318</v>
      </c>
      <c r="Q243" s="504">
        <f t="shared" si="119"/>
        <v>0.53553530067916533</v>
      </c>
      <c r="R243" s="504">
        <f t="shared" si="119"/>
        <v>0.55206434438671748</v>
      </c>
      <c r="S243" s="504">
        <f t="shared" si="119"/>
        <v>0.56859338809426963</v>
      </c>
      <c r="T243" s="504">
        <f t="shared" si="119"/>
        <v>0.58512243180182177</v>
      </c>
      <c r="U243" s="504">
        <f t="shared" si="119"/>
        <v>0.60165147550937392</v>
      </c>
      <c r="V243" s="504">
        <f t="shared" si="119"/>
        <v>0.61818051921692607</v>
      </c>
      <c r="W243" s="504">
        <f t="shared" si="119"/>
        <v>0.63470956292447822</v>
      </c>
      <c r="X243" s="504">
        <f t="shared" si="119"/>
        <v>0.65123860663203037</v>
      </c>
      <c r="Y243" s="504">
        <f t="shared" si="119"/>
        <v>0.66776765033958252</v>
      </c>
      <c r="Z243" s="504">
        <f t="shared" si="119"/>
        <v>0.68429669404713467</v>
      </c>
      <c r="AA243" s="504">
        <f t="shared" si="119"/>
        <v>0.70082573775468682</v>
      </c>
      <c r="AB243" s="504">
        <f t="shared" si="119"/>
        <v>0.71735478146223897</v>
      </c>
      <c r="AC243" s="504">
        <f t="shared" si="119"/>
        <v>0.73388382516979112</v>
      </c>
      <c r="AD243" s="504">
        <f t="shared" si="119"/>
        <v>0.75041286887734326</v>
      </c>
      <c r="AE243" s="504">
        <f t="shared" si="119"/>
        <v>0.76694191258489541</v>
      </c>
      <c r="AF243" s="504">
        <f t="shared" si="119"/>
        <v>0.78347095629244756</v>
      </c>
      <c r="AG243" s="504">
        <f>'Overall recycling rates'!F94</f>
        <v>0.8</v>
      </c>
      <c r="AI243" s="133"/>
      <c r="AJ243" s="211" t="s">
        <v>1582</v>
      </c>
      <c r="AL243" s="108"/>
      <c r="AM243" s="207"/>
      <c r="AN243" s="207"/>
      <c r="AO243" s="207"/>
      <c r="BC243" s="1"/>
      <c r="BD243" s="207"/>
      <c r="BE243" s="207"/>
      <c r="BF243" s="207"/>
      <c r="BG243" s="207"/>
      <c r="BH243" s="207"/>
      <c r="BI243" s="207"/>
      <c r="BJ243" s="207"/>
      <c r="BK243" s="207"/>
    </row>
    <row r="244" spans="1:63" outlineLevel="1" x14ac:dyDescent="0.2">
      <c r="A244" t="s">
        <v>1639</v>
      </c>
      <c r="B244" s="54" t="s">
        <v>462</v>
      </c>
      <c r="C244" s="110">
        <f>C241*C243</f>
        <v>4.8660590203749628E-3</v>
      </c>
      <c r="D244" s="110">
        <f t="shared" ref="D244:AG244" si="120">D241*D243</f>
        <v>7.4698738621561704E-3</v>
      </c>
      <c r="E244" s="110">
        <f t="shared" si="120"/>
        <v>1.0314863120364641E-2</v>
      </c>
      <c r="F244" s="110">
        <f t="shared" si="120"/>
        <v>1.3401026795000376E-2</v>
      </c>
      <c r="G244" s="110">
        <f t="shared" si="120"/>
        <v>1.6728364886063371E-2</v>
      </c>
      <c r="H244" s="110">
        <f t="shared" si="120"/>
        <v>2.0296877393553635E-2</v>
      </c>
      <c r="I244" s="110">
        <f t="shared" si="120"/>
        <v>2.4106564317471161E-2</v>
      </c>
      <c r="J244" s="110">
        <f t="shared" si="120"/>
        <v>2.8157425657815947E-2</v>
      </c>
      <c r="K244" s="110">
        <f t="shared" si="120"/>
        <v>3.2449461414588002E-2</v>
      </c>
      <c r="L244" s="110">
        <f t="shared" si="120"/>
        <v>3.698267158778732E-2</v>
      </c>
      <c r="M244" s="110">
        <f t="shared" si="120"/>
        <v>4.1757056177413897E-2</v>
      </c>
      <c r="N244" s="110">
        <f t="shared" si="120"/>
        <v>5.0699630570713299E-2</v>
      </c>
      <c r="O244" s="110">
        <f t="shared" si="120"/>
        <v>6.0150526426328628E-2</v>
      </c>
      <c r="P244" s="110">
        <f t="shared" si="120"/>
        <v>7.0109743744259892E-2</v>
      </c>
      <c r="Q244" s="110">
        <f t="shared" si="120"/>
        <v>8.0577282524507077E-2</v>
      </c>
      <c r="R244" s="110">
        <f t="shared" si="120"/>
        <v>9.1553142767070175E-2</v>
      </c>
      <c r="S244" s="110">
        <f t="shared" si="120"/>
        <v>0.1030373244719492</v>
      </c>
      <c r="T244" s="110">
        <f t="shared" si="120"/>
        <v>0.11502982763914416</v>
      </c>
      <c r="U244" s="110">
        <f t="shared" si="120"/>
        <v>0.12753065226865501</v>
      </c>
      <c r="V244" s="110">
        <f t="shared" si="120"/>
        <v>0.14053979836048183</v>
      </c>
      <c r="W244" s="110">
        <f t="shared" si="120"/>
        <v>0.15405726591462454</v>
      </c>
      <c r="X244" s="110">
        <f t="shared" si="120"/>
        <v>0.17482421933849668</v>
      </c>
      <c r="Y244" s="110">
        <f t="shared" si="120"/>
        <v>0.19644168831451672</v>
      </c>
      <c r="Z244" s="110">
        <f t="shared" si="120"/>
        <v>0.21890967284268459</v>
      </c>
      <c r="AA244" s="110">
        <f t="shared" si="120"/>
        <v>0.24222817292300036</v>
      </c>
      <c r="AB244" s="110">
        <f t="shared" si="120"/>
        <v>0.26639718855546396</v>
      </c>
      <c r="AC244" s="110">
        <f t="shared" si="120"/>
        <v>0.29141671974007538</v>
      </c>
      <c r="AD244" s="110">
        <f t="shared" si="120"/>
        <v>0.31728676647683468</v>
      </c>
      <c r="AE244" s="110">
        <f t="shared" si="120"/>
        <v>0.34400732876574192</v>
      </c>
      <c r="AF244" s="110">
        <f t="shared" si="120"/>
        <v>0.37157840660679697</v>
      </c>
      <c r="AG244" s="110">
        <f t="shared" si="120"/>
        <v>0.4</v>
      </c>
      <c r="AJ244" s="211" t="s">
        <v>1349</v>
      </c>
    </row>
    <row r="245" spans="1:63" outlineLevel="1" x14ac:dyDescent="0.2">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c r="AI245" s="134"/>
      <c r="AJ245" s="211"/>
      <c r="BC245" s="1"/>
      <c r="BD245" s="41"/>
      <c r="BF245" s="6"/>
      <c r="BG245" s="6"/>
      <c r="BH245" s="6"/>
      <c r="BI245" s="6"/>
      <c r="BJ245" s="6"/>
    </row>
    <row r="246" spans="1:63" s="1" customFormat="1" outlineLevel="1" x14ac:dyDescent="0.2">
      <c r="A246" s="1" t="s">
        <v>228</v>
      </c>
      <c r="B246" s="65"/>
      <c r="C246" s="300">
        <f>'BTX Recycling HC'!C246</f>
        <v>5.8032631521489249E-3</v>
      </c>
      <c r="D246" s="300">
        <f>'BTX Recycling HC'!D246</f>
        <v>9.2072020939203067E-3</v>
      </c>
      <c r="E246" s="300">
        <f>'BTX Recycling HC'!E246</f>
        <v>1.3105712288989702E-2</v>
      </c>
      <c r="F246" s="300">
        <f>'BTX Recycling HC'!F246</f>
        <v>1.7505800631190116E-2</v>
      </c>
      <c r="G246" s="300">
        <f>'BTX Recycling HC'!G246</f>
        <v>2.2408298815568436E-2</v>
      </c>
      <c r="H246" s="300">
        <f>'BTX Recycling HC'!H246</f>
        <v>2.7807479950100883E-2</v>
      </c>
      <c r="I246" s="300">
        <f>'BTX Recycling HC'!I246</f>
        <v>3.376346351391521E-2</v>
      </c>
      <c r="J246" s="300">
        <f>'BTX Recycling HC'!J246</f>
        <v>4.0298223521213511E-2</v>
      </c>
      <c r="K246" s="300">
        <f>'BTX Recycling HC'!K246</f>
        <v>4.7433318025234851E-2</v>
      </c>
      <c r="L246" s="300">
        <f>'BTX Recycling HC'!L246</f>
        <v>5.5189807843438347E-2</v>
      </c>
      <c r="M246" s="300">
        <f>'BTX Recycling HC'!M246</f>
        <v>6.358817390274786E-2</v>
      </c>
      <c r="N246" s="300">
        <f>'BTX Recycling HC'!N246</f>
        <v>7.863508681544254E-2</v>
      </c>
      <c r="O246" s="300">
        <f>'BTX Recycling HC'!O246</f>
        <v>9.4840456104715795E-2</v>
      </c>
      <c r="P246" s="300">
        <f>'BTX Recycling HC'!P246</f>
        <v>0.11216336772790965</v>
      </c>
      <c r="Q246" s="300">
        <f>'BTX Recycling HC'!Q246</f>
        <v>0.13055029849066793</v>
      </c>
      <c r="R246" s="300">
        <f>'BTX Recycling HC'!R246</f>
        <v>0.14993517285234059</v>
      </c>
      <c r="S246" s="300">
        <f>'BTX Recycling HC'!S246</f>
        <v>0.17054630538812571</v>
      </c>
      <c r="T246" s="300">
        <f>'BTX Recycling HC'!T246</f>
        <v>0.19241020943845857</v>
      </c>
      <c r="U246" s="300">
        <f>'BTX Recycling HC'!U246</f>
        <v>0.21555322103826982</v>
      </c>
      <c r="V246" s="300">
        <f>'BTX Recycling HC'!V246</f>
        <v>0.24000147622154303</v>
      </c>
      <c r="W246" s="300">
        <f>'BTX Recycling HC'!W246</f>
        <v>0.26578088807622108</v>
      </c>
      <c r="X246" s="300">
        <f>'BTX Recycling HC'!X246</f>
        <v>0.3046682577046575</v>
      </c>
      <c r="Y246" s="300">
        <f>'BTX Recycling HC'!Y246</f>
        <v>0.34578039497076074</v>
      </c>
      <c r="Z246" s="300">
        <f>'BTX Recycling HC'!Z246</f>
        <v>0.38916141827404682</v>
      </c>
      <c r="AA246" s="300">
        <f>'BTX Recycling HC'!AA246</f>
        <v>0.43485512296718665</v>
      </c>
      <c r="AB246" s="300">
        <f>'BTX Recycling HC'!AB246</f>
        <v>0.48290494673261225</v>
      </c>
      <c r="AC246" s="300">
        <f>'BTX Recycling HC'!AC246</f>
        <v>0.53335897708623259</v>
      </c>
      <c r="AD246" s="300">
        <f>'BTX Recycling HC'!AD246</f>
        <v>0.58626133883074849</v>
      </c>
      <c r="AE246" s="300">
        <f>'BTX Recycling HC'!AE246</f>
        <v>0.64165583726377518</v>
      </c>
      <c r="AF246" s="300">
        <f>'BTX Recycling HC'!AF246</f>
        <v>0.69958592673131836</v>
      </c>
      <c r="AG246" s="300">
        <f>'BTX Recycling HC'!AG246</f>
        <v>0.76009467890014637</v>
      </c>
      <c r="AH246" s="245"/>
      <c r="AI246" s="423"/>
      <c r="AJ246" s="424"/>
      <c r="AL246" s="221"/>
      <c r="AM246" s="124"/>
      <c r="AN246" s="124"/>
      <c r="AO246" s="124"/>
      <c r="BD246" s="124"/>
      <c r="BE246" s="124"/>
      <c r="BF246" s="124"/>
      <c r="BG246" s="124"/>
      <c r="BH246" s="124"/>
      <c r="BI246" s="124"/>
      <c r="BJ246" s="124"/>
      <c r="BK246" s="124"/>
    </row>
    <row r="247" spans="1:63" outlineLevel="1" x14ac:dyDescent="0.2">
      <c r="A247" s="4" t="s">
        <v>474</v>
      </c>
      <c r="C247" s="230">
        <f>C$246*'BTX recycling rates'!E86</f>
        <v>0</v>
      </c>
      <c r="D247" s="230">
        <f>D$246*'BTX recycling rates'!F86</f>
        <v>1.8305658884860726E-4</v>
      </c>
      <c r="E247" s="230">
        <f>E$246*'BTX recycling rates'!G86</f>
        <v>5.2113268755942497E-4</v>
      </c>
      <c r="F247" s="230">
        <f>F$246*'BTX recycling rates'!H86</f>
        <v>1.0441452623459258E-3</v>
      </c>
      <c r="G247" s="230">
        <f>G$246*'BTX recycling rates'!I86</f>
        <v>1.7820774221027973E-3</v>
      </c>
      <c r="H247" s="230">
        <f>H$246*'BTX recycling rates'!J86</f>
        <v>2.7643264328382445E-3</v>
      </c>
      <c r="I247" s="230">
        <f>I$246*'BTX recycling rates'!K86</f>
        <v>4.0276890170486742E-3</v>
      </c>
      <c r="J247" s="230">
        <f>J$246*'BTX recycling rates'!L86</f>
        <v>5.608434225122738E-3</v>
      </c>
      <c r="K247" s="230">
        <f>K$246*'BTX recycling rates'!M86</f>
        <v>7.5445124865493622E-3</v>
      </c>
      <c r="L247" s="230">
        <f>L$246*'BTX recycling rates'!N86</f>
        <v>9.8754997163915219E-3</v>
      </c>
      <c r="M247" s="230">
        <f>M$246*'BTX recycling rates'!O86</f>
        <v>1.2642531452019856E-2</v>
      </c>
      <c r="N247" s="230">
        <f>N$246*'BTX recycling rates'!P86</f>
        <v>1.7197556511037694E-2</v>
      </c>
      <c r="O247" s="230">
        <f>O$246*'BTX recycling rates'!Q86</f>
        <v>2.262729137769998E-2</v>
      </c>
      <c r="P247" s="230">
        <f>P$246*'BTX recycling rates'!R86</f>
        <v>2.8990258131383066E-2</v>
      </c>
      <c r="Q247" s="230">
        <f>Q$246*'BTX recycling rates'!S86</f>
        <v>3.633821534438713E-2</v>
      </c>
      <c r="R247" s="230">
        <f>R$246*'BTX recycling rates'!T86</f>
        <v>4.4714921554017989E-2</v>
      </c>
      <c r="S247" s="230">
        <f>S$246*'BTX recycling rates'!U86</f>
        <v>5.4252528986104158E-2</v>
      </c>
      <c r="T247" s="230">
        <f>T$246*'BTX recycling rates'!V86</f>
        <v>6.5033139935750647E-2</v>
      </c>
      <c r="U247" s="230">
        <f>U$246*'BTX recycling rates'!W86</f>
        <v>7.7140901786408325E-2</v>
      </c>
      <c r="V247" s="230">
        <f>V$246*'BTX recycling rates'!X86</f>
        <v>9.0661980810692461E-2</v>
      </c>
      <c r="W247" s="230">
        <f>W$246*'BTX recycling rates'!Y86</f>
        <v>0.10568453316456038</v>
      </c>
      <c r="X247" s="230">
        <f>X$246*'BTX recycling rates'!Z86</f>
        <v>0.1272050031872865</v>
      </c>
      <c r="Y247" s="230">
        <f>Y$246*'BTX recycling rates'!AA86</f>
        <v>0.15124489903280147</v>
      </c>
      <c r="Z247" s="230">
        <f>Z$246*'BTX recycling rates'!AB86</f>
        <v>0.17795709308029478</v>
      </c>
      <c r="AA247" s="230">
        <f>AA$246*'BTX recycling rates'!AC86</f>
        <v>0.20749781219103247</v>
      </c>
      <c r="AB247" s="230">
        <f>AB$246*'BTX recycling rates'!AD86</f>
        <v>0.24002658838498273</v>
      </c>
      <c r="AC247" s="230">
        <f>AC$246*'BTX recycling rates'!AE86</f>
        <v>0.27570881180973744</v>
      </c>
      <c r="AD247" s="230">
        <f>AD$246*'BTX recycling rates'!AF86</f>
        <v>0.31471156966762553</v>
      </c>
      <c r="AE247" s="230">
        <f>AE$246*'BTX recycling rates'!AG86</f>
        <v>0.35720528043282596</v>
      </c>
      <c r="AF247" s="230">
        <f>AF$246*'BTX recycling rates'!AH86</f>
        <v>0.40336364395826668</v>
      </c>
      <c r="AG247" s="230">
        <f>AG$246*'BTX recycling rates'!AI86</f>
        <v>0.4533635876635595</v>
      </c>
      <c r="AH247" s="245"/>
      <c r="AI247" s="133"/>
      <c r="AJ247" s="211"/>
      <c r="AL247" s="108"/>
      <c r="AM247" s="2"/>
      <c r="AN247" s="2"/>
      <c r="AO247" s="2"/>
      <c r="BC247" s="1"/>
      <c r="BD247" s="2"/>
      <c r="BE247" s="2"/>
      <c r="BF247" s="2"/>
      <c r="BG247" s="2"/>
      <c r="BH247" s="2"/>
      <c r="BI247" s="2"/>
      <c r="BJ247" s="2"/>
      <c r="BK247" s="2"/>
    </row>
    <row r="248" spans="1:63" outlineLevel="1" x14ac:dyDescent="0.2">
      <c r="A248" s="4" t="s">
        <v>478</v>
      </c>
      <c r="C248" s="230">
        <f>C$246*'BTX recycling rates'!E87</f>
        <v>3.156453720645372E-3</v>
      </c>
      <c r="D248" s="230">
        <f>D$246*'BTX recycling rates'!F87</f>
        <v>4.9400058276678994E-3</v>
      </c>
      <c r="E248" s="230">
        <f>E$246*'BTX recycling rates'!G87</f>
        <v>6.9350727203402662E-3</v>
      </c>
      <c r="F248" s="230">
        <f>F$246*'BTX recycling rates'!H87</f>
        <v>9.1343710917065647E-3</v>
      </c>
      <c r="G248" s="230">
        <f>G$246*'BTX recycling rates'!I87</f>
        <v>1.152723435312865E-2</v>
      </c>
      <c r="H248" s="230">
        <f>H$246*'BTX recycling rates'!J87</f>
        <v>1.409964588826842E-2</v>
      </c>
      <c r="I248" s="230">
        <f>I$246*'BTX recycling rates'!K87</f>
        <v>1.6870659570915682E-2</v>
      </c>
      <c r="J248" s="230">
        <f>J$246*'BTX recycling rates'!L87</f>
        <v>1.9838777251657416E-2</v>
      </c>
      <c r="K248" s="230">
        <f>K$246*'BTX recycling rates'!M87</f>
        <v>2.3001651011949446E-2</v>
      </c>
      <c r="L248" s="230">
        <f>L$246*'BTX recycling rates'!N87</f>
        <v>2.6356059685511104E-2</v>
      </c>
      <c r="M248" s="230">
        <f>M$246*'BTX recycling rates'!O87</f>
        <v>2.9897888326342478E-2</v>
      </c>
      <c r="N248" s="230">
        <f>N$246*'BTX recycling rates'!P87</f>
        <v>3.6392868439507411E-2</v>
      </c>
      <c r="O248" s="230">
        <f>O$246*'BTX recycling rates'!Q87</f>
        <v>4.3193566766082402E-2</v>
      </c>
      <c r="P248" s="230">
        <f>P$246*'BTX recycling rates'!R87</f>
        <v>5.0256027376284859E-2</v>
      </c>
      <c r="Q248" s="230">
        <f>Q$246*'BTX recycling rates'!S87</f>
        <v>5.7531944278220198E-2</v>
      </c>
      <c r="R248" s="230">
        <f>R$246*'BTX recycling rates'!T87</f>
        <v>6.4969150869752024E-2</v>
      </c>
      <c r="S248" s="230">
        <f>S$246*'BTX recycling rates'!U87</f>
        <v>7.2642822346105002E-2</v>
      </c>
      <c r="T248" s="230">
        <f>T$246*'BTX recycling rates'!V87</f>
        <v>8.0536932712561515E-2</v>
      </c>
      <c r="U248" s="230">
        <f>U$246*'BTX recycling rates'!W87</f>
        <v>8.8634601134220267E-2</v>
      </c>
      <c r="V248" s="230">
        <f>V$246*'BTX recycling rates'!X87</f>
        <v>9.6918089307436839E-2</v>
      </c>
      <c r="W248" s="230">
        <f>W$246*'BTX recycling rates'!Y87</f>
        <v>0.10536879973629268</v>
      </c>
      <c r="X248" s="230">
        <f>X$246*'BTX recycling rates'!Z87</f>
        <v>0.11853936931579515</v>
      </c>
      <c r="Y248" s="230">
        <f>Y$246*'BTX recycling rates'!AA87</f>
        <v>0.13198570704535287</v>
      </c>
      <c r="Z248" s="230">
        <f>Z$246*'BTX recycling rates'!AB87</f>
        <v>0.14567511807556013</v>
      </c>
      <c r="AA248" s="230">
        <f>AA$246*'BTX recycling rates'!AC87</f>
        <v>0.15957348787019288</v>
      </c>
      <c r="AB248" s="230">
        <f>AB$246*'BTX recycling rates'!AD87</f>
        <v>0.17364528166530632</v>
      </c>
      <c r="AC248" s="230">
        <f>AC$246*'BTX recycling rates'!AE87</f>
        <v>0.18785532135663255</v>
      </c>
      <c r="AD248" s="230">
        <f>AD$246*'BTX recycling rates'!AF87</f>
        <v>0.20216564414306992</v>
      </c>
      <c r="AE248" s="230">
        <f>AE$246*'BTX recycling rates'!AG87</f>
        <v>0.21653687807039326</v>
      </c>
      <c r="AF248" s="230">
        <f>AF$246*'BTX recycling rates'!AH87</f>
        <v>0.23092824342956098</v>
      </c>
      <c r="AG248" s="230">
        <f>AG$246*'BTX recycling rates'!AI87</f>
        <v>0.24529755545543858</v>
      </c>
      <c r="AH248" s="245"/>
      <c r="AI248" s="133"/>
      <c r="AJ248" s="211"/>
      <c r="AL248" s="108"/>
      <c r="AM248" s="2"/>
      <c r="AN248" s="2"/>
      <c r="AO248" s="2"/>
      <c r="BC248" s="1"/>
      <c r="BD248" s="2"/>
      <c r="BE248" s="2"/>
      <c r="BF248" s="2"/>
      <c r="BG248" s="2"/>
      <c r="BH248" s="2"/>
      <c r="BI248" s="2"/>
      <c r="BJ248" s="2"/>
      <c r="BK248" s="2"/>
    </row>
    <row r="249" spans="1:63" outlineLevel="1" x14ac:dyDescent="0.2">
      <c r="A249" s="4" t="s">
        <v>745</v>
      </c>
      <c r="C249" s="230">
        <f>C$246*'BTX recycling rates'!E88</f>
        <v>2.4693112381940522E-3</v>
      </c>
      <c r="D249" s="230">
        <f>D$246*'BTX recycling rates'!F88</f>
        <v>3.8099461300005739E-3</v>
      </c>
      <c r="E249" s="230">
        <f>E$246*'BTX recycling rates'!G88</f>
        <v>5.2697723024113319E-3</v>
      </c>
      <c r="F249" s="230">
        <f>F$246*'BTX recycling rates'!H88</f>
        <v>6.8341608848242232E-3</v>
      </c>
      <c r="G249" s="230">
        <f>G$246*'BTX recycling rates'!I88</f>
        <v>8.4858165010810466E-3</v>
      </c>
      <c r="H249" s="230">
        <f>H$246*'BTX recycling rates'!J88</f>
        <v>1.0204997921216531E-2</v>
      </c>
      <c r="I249" s="230">
        <f>I$246*'BTX recycling rates'!K88</f>
        <v>1.1995626186363212E-2</v>
      </c>
      <c r="J249" s="230">
        <f>J$246*'BTX recycling rates'!L88</f>
        <v>1.3845701901736267E-2</v>
      </c>
      <c r="K249" s="230">
        <f>K$246*'BTX recycling rates'!M88</f>
        <v>1.5742058952062144E-2</v>
      </c>
      <c r="L249" s="230">
        <f>L$246*'BTX recycling rates'!N88</f>
        <v>1.7670362820006127E-2</v>
      </c>
      <c r="M249" s="230">
        <f>M$246*'BTX recycling rates'!O88</f>
        <v>1.9615114186021364E-2</v>
      </c>
      <c r="N249" s="230">
        <f>N$246*'BTX recycling rates'!P88</f>
        <v>2.3336363427856482E-2</v>
      </c>
      <c r="O249" s="230">
        <f>O$246*'BTX recycling rates'!Q88</f>
        <v>2.7035650975196251E-2</v>
      </c>
      <c r="P249" s="230">
        <f>P$246*'BTX recycling rates'!R88</f>
        <v>3.0661119289093739E-2</v>
      </c>
      <c r="Q249" s="230">
        <f>Q$246*'BTX recycling rates'!S88</f>
        <v>3.4159526859797132E-2</v>
      </c>
      <c r="R249" s="230">
        <f>R$246*'BTX recycling rates'!T88</f>
        <v>3.7477000247814092E-2</v>
      </c>
      <c r="S249" s="230">
        <f>S$246*'BTX recycling rates'!U88</f>
        <v>4.0632898077171221E-2</v>
      </c>
      <c r="T249" s="230">
        <f>T$246*'BTX recycling rates'!V88</f>
        <v>4.3590173160127067E-2</v>
      </c>
      <c r="U249" s="230">
        <f>U$246*'BTX recycling rates'!W88</f>
        <v>4.6310499043372491E-2</v>
      </c>
      <c r="V249" s="230">
        <f>V$246*'BTX recycling rates'!X88</f>
        <v>4.8754275772924516E-2</v>
      </c>
      <c r="W249" s="230">
        <f>W$246*'BTX recycling rates'!Y88</f>
        <v>5.0880637204894316E-2</v>
      </c>
      <c r="X249" s="230">
        <f>X$246*'BTX recycling rates'!Z88</f>
        <v>5.4759550007302649E-2</v>
      </c>
      <c r="Y249" s="230">
        <f>Y$246*'BTX recycling rates'!AA88</f>
        <v>5.8102074641752904E-2</v>
      </c>
      <c r="Z249" s="230">
        <f>Z$246*'BTX recycling rates'!AB88</f>
        <v>6.0836996819983918E-2</v>
      </c>
      <c r="AA249" s="230">
        <f>AA$246*'BTX recycling rates'!AC88</f>
        <v>6.2890990212760359E-2</v>
      </c>
      <c r="AB249" s="230">
        <f>AB$246*'BTX recycling rates'!AD88</f>
        <v>6.4188630751207842E-2</v>
      </c>
      <c r="AC249" s="230">
        <f>AC$246*'BTX recycling rates'!AE88</f>
        <v>6.4653024558944158E-2</v>
      </c>
      <c r="AD249" s="230">
        <f>AD$246*'BTX recycling rates'!AF88</f>
        <v>6.4204592654792489E-2</v>
      </c>
      <c r="AE249" s="230">
        <f>AE$246*'BTX recycling rates'!AG88</f>
        <v>6.2761659186108681E-2</v>
      </c>
      <c r="AF249" s="230">
        <f>AF$246*'BTX recycling rates'!AH88</f>
        <v>6.0240467417250934E-2</v>
      </c>
      <c r="AG249" s="230">
        <f>AG$246*'BTX recycling rates'!AI88</f>
        <v>5.655519790529915E-2</v>
      </c>
      <c r="AH249" s="245"/>
      <c r="AI249" s="133"/>
      <c r="AJ249" s="211"/>
      <c r="AL249" s="108"/>
      <c r="AM249" s="2"/>
      <c r="AN249" s="2"/>
      <c r="AO249" s="2"/>
      <c r="BC249" s="1"/>
      <c r="BD249" s="2"/>
      <c r="BE249" s="2"/>
      <c r="BF249" s="2"/>
      <c r="BG249" s="2"/>
      <c r="BH249" s="2"/>
      <c r="BI249" s="2"/>
      <c r="BJ249" s="2"/>
      <c r="BK249" s="2"/>
    </row>
    <row r="250" spans="1:63" outlineLevel="1" x14ac:dyDescent="0.2">
      <c r="A250" s="4" t="s">
        <v>1561</v>
      </c>
      <c r="C250" s="230">
        <f>C$246*'BTX recycling rates'!E89</f>
        <v>1.7749819330950106E-4</v>
      </c>
      <c r="D250" s="230">
        <f>D$246*'BTX recycling rates'!F89</f>
        <v>2.7419354740322691E-4</v>
      </c>
      <c r="E250" s="230">
        <f>E$246*'BTX recycling rates'!G89</f>
        <v>3.7973457867867969E-4</v>
      </c>
      <c r="F250" s="230">
        <f>F$246*'BTX recycling rates'!H89</f>
        <v>4.931233923134037E-4</v>
      </c>
      <c r="G250" s="230">
        <f>G$246*'BTX recycling rates'!I89</f>
        <v>6.13170539255942E-4</v>
      </c>
      <c r="H250" s="230">
        <f>H$246*'BTX recycling rates'!J89</f>
        <v>7.3850970777768936E-4</v>
      </c>
      <c r="I250" s="230">
        <f>I$246*'BTX recycling rates'!K89</f>
        <v>8.6948873958764175E-4</v>
      </c>
      <c r="J250" s="230">
        <f>J$246*'BTX recycling rates'!L89</f>
        <v>1.0053101426970871E-3</v>
      </c>
      <c r="K250" s="230">
        <f>K$246*'BTX recycling rates'!M89</f>
        <v>1.1450955746738986E-3</v>
      </c>
      <c r="L250" s="230">
        <f>L$246*'BTX recycling rates'!N89</f>
        <v>1.2878856215295968E-3</v>
      </c>
      <c r="M250" s="230">
        <f>M$246*'BTX recycling rates'!O89</f>
        <v>1.4326399383641599E-3</v>
      </c>
      <c r="N250" s="230">
        <f>N$246*'BTX recycling rates'!P89</f>
        <v>1.7082984370409521E-3</v>
      </c>
      <c r="O250" s="230">
        <f>O$246*'BTX recycling rates'!Q89</f>
        <v>1.9839469857371641E-3</v>
      </c>
      <c r="P250" s="230">
        <f>P$246*'BTX recycling rates'!R89</f>
        <v>2.2559629311479806E-3</v>
      </c>
      <c r="Q250" s="230">
        <f>Q$246*'BTX recycling rates'!S89</f>
        <v>2.5206120082634708E-3</v>
      </c>
      <c r="R250" s="230">
        <f>R$246*'BTX recycling rates'!T89</f>
        <v>2.7741001807564825E-3</v>
      </c>
      <c r="S250" s="230">
        <f>S$246*'BTX recycling rates'!U89</f>
        <v>3.0180559787453187E-3</v>
      </c>
      <c r="T250" s="230">
        <f>T$246*'BTX recycling rates'!V89</f>
        <v>3.2499636300193538E-3</v>
      </c>
      <c r="U250" s="230">
        <f>U$246*'BTX recycling rates'!W89</f>
        <v>3.467219074268725E-3</v>
      </c>
      <c r="V250" s="230">
        <f>V$246*'BTX recycling rates'!X89</f>
        <v>3.66713033048921E-3</v>
      </c>
      <c r="W250" s="230">
        <f>W$246*'BTX recycling rates'!Y89</f>
        <v>3.8469179704737119E-3</v>
      </c>
      <c r="X250" s="230">
        <f>X$246*'BTX recycling rates'!Z89</f>
        <v>4.1643351942732085E-3</v>
      </c>
      <c r="Y250" s="230">
        <f>Y$246*'BTX recycling rates'!AA89</f>
        <v>4.4477142508534927E-3</v>
      </c>
      <c r="Z250" s="230">
        <f>Z$246*'BTX recycling rates'!AB89</f>
        <v>4.6922102982079822E-3</v>
      </c>
      <c r="AA250" s="230">
        <f>AA$246*'BTX recycling rates'!AC89</f>
        <v>4.8928326932009512E-3</v>
      </c>
      <c r="AB250" s="230">
        <f>AB$246*'BTX recycling rates'!AD89</f>
        <v>5.0444459311153635E-3</v>
      </c>
      <c r="AC250" s="230">
        <f>AC$246*'BTX recycling rates'!AE89</f>
        <v>5.141819360918432E-3</v>
      </c>
      <c r="AD250" s="230">
        <f>AD$246*'BTX recycling rates'!AF89</f>
        <v>5.1795323652605082E-3</v>
      </c>
      <c r="AE250" s="230">
        <f>AE$246*'BTX recycling rates'!AG89</f>
        <v>5.1520195744472292E-3</v>
      </c>
      <c r="AF250" s="230">
        <f>AF$246*'BTX recycling rates'!AH89</f>
        <v>5.0535719262396472E-3</v>
      </c>
      <c r="AG250" s="230">
        <f>AG$246*'BTX recycling rates'!AI89</f>
        <v>4.8783378758492498E-3</v>
      </c>
      <c r="AH250" s="245"/>
      <c r="AI250" s="133"/>
      <c r="AJ250" s="211"/>
      <c r="AL250" s="108"/>
      <c r="AM250" s="2"/>
      <c r="AN250" s="2"/>
      <c r="AO250" s="2"/>
      <c r="BC250" s="1"/>
      <c r="BD250" s="2"/>
      <c r="BE250" s="2"/>
      <c r="BF250" s="2"/>
      <c r="BG250" s="2"/>
      <c r="BH250" s="2"/>
      <c r="BI250" s="2"/>
      <c r="BJ250" s="2"/>
      <c r="BK250" s="2"/>
    </row>
    <row r="251" spans="1:63" s="1" customFormat="1" outlineLevel="1" x14ac:dyDescent="0.2">
      <c r="A251" s="1" t="s">
        <v>1562</v>
      </c>
      <c r="B251" s="65"/>
      <c r="C251" s="300">
        <f t="shared" ref="C251:AG251" si="121">C246-$C246</f>
        <v>0</v>
      </c>
      <c r="D251" s="300">
        <f t="shared" si="121"/>
        <v>3.4039389417713818E-3</v>
      </c>
      <c r="E251" s="300">
        <f t="shared" si="121"/>
        <v>7.3024491368407773E-3</v>
      </c>
      <c r="F251" s="300">
        <f t="shared" si="121"/>
        <v>1.1702537479041191E-2</v>
      </c>
      <c r="G251" s="300">
        <f t="shared" si="121"/>
        <v>1.6605035663419511E-2</v>
      </c>
      <c r="H251" s="300">
        <f t="shared" si="121"/>
        <v>2.2004216797951958E-2</v>
      </c>
      <c r="I251" s="300">
        <f t="shared" si="121"/>
        <v>2.7960200361766285E-2</v>
      </c>
      <c r="J251" s="300">
        <f t="shared" si="121"/>
        <v>3.449496036906459E-2</v>
      </c>
      <c r="K251" s="300">
        <f t="shared" si="121"/>
        <v>4.1630054873085923E-2</v>
      </c>
      <c r="L251" s="300">
        <f t="shared" si="121"/>
        <v>4.9386544691289419E-2</v>
      </c>
      <c r="M251" s="300">
        <f t="shared" si="121"/>
        <v>5.7784910750598939E-2</v>
      </c>
      <c r="N251" s="300">
        <f t="shared" si="121"/>
        <v>7.2831823663293618E-2</v>
      </c>
      <c r="O251" s="300">
        <f t="shared" si="121"/>
        <v>8.9037192952566874E-2</v>
      </c>
      <c r="P251" s="300">
        <f t="shared" si="121"/>
        <v>0.10636010457576073</v>
      </c>
      <c r="Q251" s="300">
        <f t="shared" si="121"/>
        <v>0.12474703533851901</v>
      </c>
      <c r="R251" s="300">
        <f t="shared" si="121"/>
        <v>0.14413190970019166</v>
      </c>
      <c r="S251" s="300">
        <f t="shared" si="121"/>
        <v>0.16474304223597677</v>
      </c>
      <c r="T251" s="300">
        <f t="shared" si="121"/>
        <v>0.18660694628630964</v>
      </c>
      <c r="U251" s="300">
        <f t="shared" si="121"/>
        <v>0.20974995788612089</v>
      </c>
      <c r="V251" s="300">
        <f t="shared" si="121"/>
        <v>0.23419821306939409</v>
      </c>
      <c r="W251" s="300">
        <f t="shared" si="121"/>
        <v>0.25997762492407217</v>
      </c>
      <c r="X251" s="300">
        <f t="shared" si="121"/>
        <v>0.29886499455250859</v>
      </c>
      <c r="Y251" s="300">
        <f t="shared" si="121"/>
        <v>0.33997713181861183</v>
      </c>
      <c r="Z251" s="300">
        <f t="shared" si="121"/>
        <v>0.38335815512189791</v>
      </c>
      <c r="AA251" s="300">
        <f t="shared" si="121"/>
        <v>0.42905185981503774</v>
      </c>
      <c r="AB251" s="300">
        <f t="shared" si="121"/>
        <v>0.47710168358046334</v>
      </c>
      <c r="AC251" s="300">
        <f t="shared" si="121"/>
        <v>0.52755571393408363</v>
      </c>
      <c r="AD251" s="300">
        <f t="shared" si="121"/>
        <v>0.58045807567859953</v>
      </c>
      <c r="AE251" s="300">
        <f t="shared" si="121"/>
        <v>0.63585257411162621</v>
      </c>
      <c r="AF251" s="300">
        <f t="shared" si="121"/>
        <v>0.6937826635791694</v>
      </c>
      <c r="AG251" s="300">
        <f t="shared" si="121"/>
        <v>0.75429141574799741</v>
      </c>
      <c r="AH251" s="245"/>
      <c r="AI251" s="423"/>
      <c r="AJ251" s="424"/>
      <c r="AL251" s="221"/>
      <c r="AM251" s="124"/>
      <c r="AN251" s="124"/>
      <c r="AO251" s="124"/>
      <c r="BD251" s="124"/>
      <c r="BE251" s="124"/>
      <c r="BF251" s="124"/>
      <c r="BG251" s="124"/>
      <c r="BH251" s="124"/>
      <c r="BI251" s="124"/>
      <c r="BJ251" s="124"/>
      <c r="BK251" s="124"/>
    </row>
    <row r="252" spans="1:63" outlineLevel="1" x14ac:dyDescent="0.2">
      <c r="A252" s="4" t="s">
        <v>474</v>
      </c>
      <c r="C252" s="230">
        <f t="shared" ref="C252:AG252" si="122">C247-$C247</f>
        <v>0</v>
      </c>
      <c r="D252" s="230">
        <f t="shared" si="122"/>
        <v>1.8305658884860726E-4</v>
      </c>
      <c r="E252" s="230">
        <f t="shared" si="122"/>
        <v>5.2113268755942497E-4</v>
      </c>
      <c r="F252" s="230">
        <f t="shared" si="122"/>
        <v>1.0441452623459258E-3</v>
      </c>
      <c r="G252" s="230">
        <f t="shared" si="122"/>
        <v>1.7820774221027973E-3</v>
      </c>
      <c r="H252" s="230">
        <f t="shared" si="122"/>
        <v>2.7643264328382445E-3</v>
      </c>
      <c r="I252" s="230">
        <f t="shared" si="122"/>
        <v>4.0276890170486742E-3</v>
      </c>
      <c r="J252" s="230">
        <f t="shared" si="122"/>
        <v>5.608434225122738E-3</v>
      </c>
      <c r="K252" s="230">
        <f t="shared" si="122"/>
        <v>7.5445124865493622E-3</v>
      </c>
      <c r="L252" s="230">
        <f t="shared" si="122"/>
        <v>9.8754997163915219E-3</v>
      </c>
      <c r="M252" s="230">
        <f t="shared" si="122"/>
        <v>1.2642531452019856E-2</v>
      </c>
      <c r="N252" s="230">
        <f t="shared" si="122"/>
        <v>1.7197556511037694E-2</v>
      </c>
      <c r="O252" s="230">
        <f t="shared" si="122"/>
        <v>2.262729137769998E-2</v>
      </c>
      <c r="P252" s="230">
        <f t="shared" si="122"/>
        <v>2.8990258131383066E-2</v>
      </c>
      <c r="Q252" s="230">
        <f t="shared" si="122"/>
        <v>3.633821534438713E-2</v>
      </c>
      <c r="R252" s="230">
        <f t="shared" si="122"/>
        <v>4.4714921554017989E-2</v>
      </c>
      <c r="S252" s="230">
        <f t="shared" si="122"/>
        <v>5.4252528986104158E-2</v>
      </c>
      <c r="T252" s="230">
        <f t="shared" si="122"/>
        <v>6.5033139935750647E-2</v>
      </c>
      <c r="U252" s="230">
        <f t="shared" si="122"/>
        <v>7.7140901786408325E-2</v>
      </c>
      <c r="V252" s="230">
        <f t="shared" si="122"/>
        <v>9.0661980810692461E-2</v>
      </c>
      <c r="W252" s="230">
        <f t="shared" si="122"/>
        <v>0.10568453316456038</v>
      </c>
      <c r="X252" s="230">
        <f t="shared" si="122"/>
        <v>0.1272050031872865</v>
      </c>
      <c r="Y252" s="230">
        <f t="shared" si="122"/>
        <v>0.15124489903280147</v>
      </c>
      <c r="Z252" s="230">
        <f t="shared" si="122"/>
        <v>0.17795709308029478</v>
      </c>
      <c r="AA252" s="230">
        <f t="shared" si="122"/>
        <v>0.20749781219103247</v>
      </c>
      <c r="AB252" s="230">
        <f t="shared" si="122"/>
        <v>0.24002658838498273</v>
      </c>
      <c r="AC252" s="230">
        <f t="shared" si="122"/>
        <v>0.27570881180973744</v>
      </c>
      <c r="AD252" s="230">
        <f t="shared" si="122"/>
        <v>0.31471156966762553</v>
      </c>
      <c r="AE252" s="230">
        <f t="shared" si="122"/>
        <v>0.35720528043282596</v>
      </c>
      <c r="AF252" s="230">
        <f t="shared" si="122"/>
        <v>0.40336364395826668</v>
      </c>
      <c r="AG252" s="230">
        <f t="shared" si="122"/>
        <v>0.4533635876635595</v>
      </c>
      <c r="AH252" s="245"/>
      <c r="AI252" s="133"/>
      <c r="AJ252" s="211"/>
      <c r="AL252" s="108"/>
      <c r="AM252" s="2"/>
      <c r="AN252" s="2"/>
      <c r="AO252" s="2"/>
      <c r="BC252" s="1"/>
      <c r="BD252" s="2"/>
      <c r="BE252" s="2"/>
      <c r="BF252" s="2"/>
      <c r="BG252" s="2"/>
      <c r="BH252" s="2"/>
      <c r="BI252" s="2"/>
      <c r="BJ252" s="2"/>
      <c r="BK252" s="2"/>
    </row>
    <row r="253" spans="1:63" outlineLevel="1" x14ac:dyDescent="0.2">
      <c r="A253" s="4" t="s">
        <v>478</v>
      </c>
      <c r="C253" s="230">
        <f t="shared" ref="C253:AG255" si="123">C248-$C248</f>
        <v>0</v>
      </c>
      <c r="D253" s="230">
        <f t="shared" si="123"/>
        <v>1.7835521070225274E-3</v>
      </c>
      <c r="E253" s="230">
        <f t="shared" si="123"/>
        <v>3.7786189996948942E-3</v>
      </c>
      <c r="F253" s="230">
        <f t="shared" si="123"/>
        <v>5.9779173710611932E-3</v>
      </c>
      <c r="G253" s="230">
        <f t="shared" si="123"/>
        <v>8.3707806324832788E-3</v>
      </c>
      <c r="H253" s="230">
        <f t="shared" si="123"/>
        <v>1.0943192167623048E-2</v>
      </c>
      <c r="I253" s="230">
        <f t="shared" si="123"/>
        <v>1.3714205850270311E-2</v>
      </c>
      <c r="J253" s="230">
        <f t="shared" si="123"/>
        <v>1.6682323531012042E-2</v>
      </c>
      <c r="K253" s="230">
        <f t="shared" si="123"/>
        <v>1.9845197291304073E-2</v>
      </c>
      <c r="L253" s="230">
        <f t="shared" si="123"/>
        <v>2.3199605964865731E-2</v>
      </c>
      <c r="M253" s="230">
        <f t="shared" si="123"/>
        <v>2.6741434605697105E-2</v>
      </c>
      <c r="N253" s="230">
        <f t="shared" si="123"/>
        <v>3.3236414718862038E-2</v>
      </c>
      <c r="O253" s="230">
        <f t="shared" si="123"/>
        <v>4.0037113045437028E-2</v>
      </c>
      <c r="P253" s="230">
        <f t="shared" si="123"/>
        <v>4.7099573655639486E-2</v>
      </c>
      <c r="Q253" s="230">
        <f t="shared" si="123"/>
        <v>5.4375490557574825E-2</v>
      </c>
      <c r="R253" s="230">
        <f t="shared" si="123"/>
        <v>6.181269714910665E-2</v>
      </c>
      <c r="S253" s="230">
        <f t="shared" si="123"/>
        <v>6.9486368625459635E-2</v>
      </c>
      <c r="T253" s="230">
        <f t="shared" si="123"/>
        <v>7.7380478991916149E-2</v>
      </c>
      <c r="U253" s="230">
        <f t="shared" si="123"/>
        <v>8.5478147413574901E-2</v>
      </c>
      <c r="V253" s="230">
        <f t="shared" si="123"/>
        <v>9.3761635586791472E-2</v>
      </c>
      <c r="W253" s="230">
        <f t="shared" si="123"/>
        <v>0.10221234601564731</v>
      </c>
      <c r="X253" s="230">
        <f t="shared" si="123"/>
        <v>0.11538291559514978</v>
      </c>
      <c r="Y253" s="230">
        <f t="shared" si="123"/>
        <v>0.12882925332470749</v>
      </c>
      <c r="Z253" s="230">
        <f t="shared" si="123"/>
        <v>0.14251866435491475</v>
      </c>
      <c r="AA253" s="230">
        <f t="shared" si="123"/>
        <v>0.1564170341495475</v>
      </c>
      <c r="AB253" s="230">
        <f t="shared" si="123"/>
        <v>0.17048882794466094</v>
      </c>
      <c r="AC253" s="230">
        <f t="shared" si="123"/>
        <v>0.18469886763598717</v>
      </c>
      <c r="AD253" s="230">
        <f t="shared" si="123"/>
        <v>0.19900919042242454</v>
      </c>
      <c r="AE253" s="230">
        <f t="shared" si="123"/>
        <v>0.21338042434974788</v>
      </c>
      <c r="AF253" s="230">
        <f t="shared" si="123"/>
        <v>0.2277717897089156</v>
      </c>
      <c r="AG253" s="230">
        <f t="shared" si="123"/>
        <v>0.2421411017347932</v>
      </c>
      <c r="AH253" s="245"/>
      <c r="AI253" s="133"/>
      <c r="AJ253" s="211"/>
      <c r="AL253" s="108"/>
      <c r="AM253" s="2"/>
      <c r="AN253" s="2"/>
      <c r="AO253" s="2"/>
      <c r="BC253" s="1"/>
      <c r="BD253" s="2"/>
      <c r="BE253" s="2"/>
      <c r="BF253" s="2"/>
      <c r="BG253" s="2"/>
      <c r="BH253" s="2"/>
      <c r="BI253" s="2"/>
      <c r="BJ253" s="2"/>
      <c r="BK253" s="2"/>
    </row>
    <row r="254" spans="1:63" outlineLevel="1" x14ac:dyDescent="0.2">
      <c r="A254" s="4" t="s">
        <v>745</v>
      </c>
      <c r="C254" s="230">
        <f t="shared" si="123"/>
        <v>0</v>
      </c>
      <c r="D254" s="230">
        <f t="shared" si="123"/>
        <v>1.3406348918065217E-3</v>
      </c>
      <c r="E254" s="230">
        <f t="shared" si="123"/>
        <v>2.8004610642172797E-3</v>
      </c>
      <c r="F254" s="230">
        <f t="shared" si="123"/>
        <v>4.3648496466301709E-3</v>
      </c>
      <c r="G254" s="230">
        <f t="shared" si="123"/>
        <v>6.0165052628869944E-3</v>
      </c>
      <c r="H254" s="230">
        <f t="shared" si="123"/>
        <v>7.7356866830224783E-3</v>
      </c>
      <c r="I254" s="230">
        <f t="shared" si="123"/>
        <v>9.5263149481691588E-3</v>
      </c>
      <c r="J254" s="230">
        <f t="shared" si="123"/>
        <v>1.1376390663542214E-2</v>
      </c>
      <c r="K254" s="230">
        <f t="shared" si="123"/>
        <v>1.3272747713868091E-2</v>
      </c>
      <c r="L254" s="230">
        <f t="shared" si="123"/>
        <v>1.5201051581812074E-2</v>
      </c>
      <c r="M254" s="230">
        <f t="shared" si="123"/>
        <v>1.7145802947827311E-2</v>
      </c>
      <c r="N254" s="230">
        <f t="shared" si="123"/>
        <v>2.0867052189662429E-2</v>
      </c>
      <c r="O254" s="230">
        <f t="shared" si="123"/>
        <v>2.4566339737002198E-2</v>
      </c>
      <c r="P254" s="230">
        <f t="shared" si="123"/>
        <v>2.8191808050899686E-2</v>
      </c>
      <c r="Q254" s="230">
        <f t="shared" si="123"/>
        <v>3.1690215621603082E-2</v>
      </c>
      <c r="R254" s="230">
        <f t="shared" si="123"/>
        <v>3.5007689009620042E-2</v>
      </c>
      <c r="S254" s="230">
        <f t="shared" si="123"/>
        <v>3.8163586838977172E-2</v>
      </c>
      <c r="T254" s="230">
        <f t="shared" si="123"/>
        <v>4.1120861921933018E-2</v>
      </c>
      <c r="U254" s="230">
        <f t="shared" si="123"/>
        <v>4.3841187805178441E-2</v>
      </c>
      <c r="V254" s="230">
        <f t="shared" si="123"/>
        <v>4.6284964534730466E-2</v>
      </c>
      <c r="W254" s="230">
        <f t="shared" si="123"/>
        <v>4.8411325966700267E-2</v>
      </c>
      <c r="X254" s="230">
        <f t="shared" si="123"/>
        <v>5.2290238769108599E-2</v>
      </c>
      <c r="Y254" s="230">
        <f t="shared" si="123"/>
        <v>5.5632763403558855E-2</v>
      </c>
      <c r="Z254" s="230">
        <f t="shared" si="123"/>
        <v>5.8367685581789869E-2</v>
      </c>
      <c r="AA254" s="230">
        <f t="shared" si="123"/>
        <v>6.0421678974566309E-2</v>
      </c>
      <c r="AB254" s="230">
        <f t="shared" si="123"/>
        <v>6.1719319513013793E-2</v>
      </c>
      <c r="AC254" s="230">
        <f t="shared" si="123"/>
        <v>6.2183713320750109E-2</v>
      </c>
      <c r="AD254" s="230">
        <f t="shared" si="123"/>
        <v>6.1735281416598439E-2</v>
      </c>
      <c r="AE254" s="230">
        <f t="shared" si="123"/>
        <v>6.0292347947914632E-2</v>
      </c>
      <c r="AF254" s="230">
        <f t="shared" si="123"/>
        <v>5.7771156179056884E-2</v>
      </c>
      <c r="AG254" s="230">
        <f t="shared" si="123"/>
        <v>5.40858866671051E-2</v>
      </c>
      <c r="AH254" s="245"/>
      <c r="AI254" s="133"/>
      <c r="AJ254" s="211"/>
      <c r="AL254" s="108"/>
      <c r="AM254" s="2"/>
      <c r="AN254" s="2"/>
      <c r="AO254" s="2"/>
      <c r="BC254" s="1"/>
      <c r="BD254" s="2"/>
      <c r="BE254" s="2"/>
      <c r="BF254" s="2"/>
      <c r="BG254" s="2"/>
      <c r="BH254" s="2"/>
      <c r="BI254" s="2"/>
      <c r="BJ254" s="2"/>
      <c r="BK254" s="2"/>
    </row>
    <row r="255" spans="1:63" outlineLevel="1" x14ac:dyDescent="0.2">
      <c r="A255" s="4" t="s">
        <v>1561</v>
      </c>
      <c r="C255" s="230">
        <f t="shared" si="123"/>
        <v>0</v>
      </c>
      <c r="D255" s="230">
        <f t="shared" si="123"/>
        <v>9.6695354093725852E-5</v>
      </c>
      <c r="E255" s="230">
        <f t="shared" si="123"/>
        <v>2.0223638536917863E-4</v>
      </c>
      <c r="F255" s="230">
        <f t="shared" si="123"/>
        <v>3.1562519900390265E-4</v>
      </c>
      <c r="G255" s="230">
        <f t="shared" si="123"/>
        <v>4.3567234594644094E-4</v>
      </c>
      <c r="H255" s="230">
        <f t="shared" si="123"/>
        <v>5.6101151446818825E-4</v>
      </c>
      <c r="I255" s="230">
        <f t="shared" si="123"/>
        <v>6.9199054627814074E-4</v>
      </c>
      <c r="J255" s="230">
        <f t="shared" si="123"/>
        <v>8.2781194938758604E-4</v>
      </c>
      <c r="K255" s="230">
        <f t="shared" si="123"/>
        <v>9.6759738136439747E-4</v>
      </c>
      <c r="L255" s="230">
        <f t="shared" si="123"/>
        <v>1.1103874282200957E-3</v>
      </c>
      <c r="M255" s="230">
        <f t="shared" si="123"/>
        <v>1.2551417450546588E-3</v>
      </c>
      <c r="N255" s="230">
        <f t="shared" si="123"/>
        <v>1.5308002437314509E-3</v>
      </c>
      <c r="O255" s="230">
        <f t="shared" si="123"/>
        <v>1.806448792427663E-3</v>
      </c>
      <c r="P255" s="230">
        <f t="shared" si="123"/>
        <v>2.0784647378384795E-3</v>
      </c>
      <c r="Q255" s="230">
        <f t="shared" si="123"/>
        <v>2.3431138149539697E-3</v>
      </c>
      <c r="R255" s="230">
        <f t="shared" si="123"/>
        <v>2.5966019874469814E-3</v>
      </c>
      <c r="S255" s="230">
        <f t="shared" si="123"/>
        <v>2.8405577854358176E-3</v>
      </c>
      <c r="T255" s="230">
        <f t="shared" si="123"/>
        <v>3.0724654367098527E-3</v>
      </c>
      <c r="U255" s="230">
        <f t="shared" si="123"/>
        <v>3.2897208809592239E-3</v>
      </c>
      <c r="V255" s="230">
        <f t="shared" si="123"/>
        <v>3.4896321371797089E-3</v>
      </c>
      <c r="W255" s="230">
        <f t="shared" si="123"/>
        <v>3.6694197771642107E-3</v>
      </c>
      <c r="X255" s="230">
        <f t="shared" si="123"/>
        <v>3.9868370009637074E-3</v>
      </c>
      <c r="Y255" s="230">
        <f t="shared" si="123"/>
        <v>4.2702160575439916E-3</v>
      </c>
      <c r="Z255" s="230">
        <f t="shared" si="123"/>
        <v>4.5147121048984811E-3</v>
      </c>
      <c r="AA255" s="230">
        <f t="shared" si="123"/>
        <v>4.7153344998914501E-3</v>
      </c>
      <c r="AB255" s="230">
        <f t="shared" si="123"/>
        <v>4.8669477378058624E-3</v>
      </c>
      <c r="AC255" s="230">
        <f t="shared" si="123"/>
        <v>4.9643211676089309E-3</v>
      </c>
      <c r="AD255" s="230">
        <f t="shared" si="123"/>
        <v>5.0020341719510071E-3</v>
      </c>
      <c r="AE255" s="230">
        <f t="shared" si="123"/>
        <v>4.9745213811377281E-3</v>
      </c>
      <c r="AF255" s="230">
        <f t="shared" si="123"/>
        <v>4.8760737329301461E-3</v>
      </c>
      <c r="AG255" s="230">
        <f t="shared" si="123"/>
        <v>4.7008396825397487E-3</v>
      </c>
      <c r="AH255" s="245"/>
      <c r="AI255" s="133"/>
      <c r="AJ255" s="211"/>
      <c r="AL255" s="108"/>
      <c r="AM255" s="2"/>
      <c r="AN255" s="2"/>
      <c r="AO255" s="2"/>
      <c r="BC255" s="1"/>
      <c r="BD255" s="2"/>
      <c r="BE255" s="2"/>
      <c r="BF255" s="2"/>
      <c r="BG255" s="2"/>
      <c r="BH255" s="2"/>
      <c r="BI255" s="2"/>
      <c r="BJ255" s="2"/>
      <c r="BK255" s="2"/>
    </row>
    <row r="256" spans="1:63" outlineLevel="1" x14ac:dyDescent="0.2">
      <c r="AJ256" s="211"/>
    </row>
    <row r="257" spans="1:63" s="200" customFormat="1" ht="16" thickBot="1" x14ac:dyDescent="0.25">
      <c r="A257" s="200" t="s">
        <v>1351</v>
      </c>
      <c r="B257" s="215"/>
      <c r="C257" s="224">
        <f>C258</f>
        <v>0.05</v>
      </c>
      <c r="D257" s="224">
        <f t="shared" ref="D257:AG257" si="124">D258</f>
        <v>5.2260994000770548E-2</v>
      </c>
      <c r="E257" s="224">
        <f t="shared" si="124"/>
        <v>5.4521988001541094E-2</v>
      </c>
      <c r="F257" s="224">
        <f t="shared" si="124"/>
        <v>5.6782982002311633E-2</v>
      </c>
      <c r="G257" s="224">
        <f t="shared" si="124"/>
        <v>5.9043976003082178E-2</v>
      </c>
      <c r="H257" s="224">
        <f t="shared" si="124"/>
        <v>6.1304970003852724E-2</v>
      </c>
      <c r="I257" s="224">
        <f t="shared" si="124"/>
        <v>6.3565964004623277E-2</v>
      </c>
      <c r="J257" s="224">
        <f t="shared" si="124"/>
        <v>6.5826958005393815E-2</v>
      </c>
      <c r="K257" s="224">
        <f t="shared" si="124"/>
        <v>6.8087952006164354E-2</v>
      </c>
      <c r="L257" s="224">
        <f t="shared" si="124"/>
        <v>7.0348946006934907E-2</v>
      </c>
      <c r="M257" s="224">
        <f t="shared" si="124"/>
        <v>7.2609940007705445E-2</v>
      </c>
      <c r="N257" s="224">
        <f t="shared" si="124"/>
        <v>7.7375419670867973E-2</v>
      </c>
      <c r="O257" s="224">
        <f t="shared" si="124"/>
        <v>8.2140899334030501E-2</v>
      </c>
      <c r="P257" s="224">
        <f t="shared" si="124"/>
        <v>8.6906378997193029E-2</v>
      </c>
      <c r="Q257" s="224">
        <f t="shared" si="124"/>
        <v>9.1671858660355557E-2</v>
      </c>
      <c r="R257" s="224">
        <f t="shared" si="124"/>
        <v>9.6437338323518085E-2</v>
      </c>
      <c r="S257" s="224">
        <f t="shared" si="124"/>
        <v>0.10120281798668061</v>
      </c>
      <c r="T257" s="224">
        <f t="shared" si="124"/>
        <v>0.10596829764984314</v>
      </c>
      <c r="U257" s="224">
        <f t="shared" si="124"/>
        <v>0.11073377731300567</v>
      </c>
      <c r="V257" s="224">
        <f t="shared" si="124"/>
        <v>0.1154992569761682</v>
      </c>
      <c r="W257" s="224">
        <f t="shared" si="124"/>
        <v>0.12026473663933072</v>
      </c>
      <c r="X257" s="224">
        <f t="shared" si="124"/>
        <v>0.12823826297539764</v>
      </c>
      <c r="Y257" s="224">
        <f t="shared" si="124"/>
        <v>0.13621178931146458</v>
      </c>
      <c r="Z257" s="224">
        <f t="shared" si="124"/>
        <v>0.14418531564753151</v>
      </c>
      <c r="AA257" s="224">
        <f t="shared" si="124"/>
        <v>0.15215884198359844</v>
      </c>
      <c r="AB257" s="224">
        <f t="shared" si="124"/>
        <v>0.16013236831966537</v>
      </c>
      <c r="AC257" s="224">
        <f t="shared" si="124"/>
        <v>0.16810589465573231</v>
      </c>
      <c r="AD257" s="224">
        <f t="shared" si="124"/>
        <v>0.17607942099179924</v>
      </c>
      <c r="AE257" s="224">
        <f t="shared" si="124"/>
        <v>0.18405294732786615</v>
      </c>
      <c r="AF257" s="224">
        <f t="shared" si="124"/>
        <v>0.19202647366393311</v>
      </c>
      <c r="AG257" s="224">
        <f t="shared" si="124"/>
        <v>0.2</v>
      </c>
      <c r="AJ257" s="231" t="s">
        <v>1331</v>
      </c>
      <c r="AL257" s="217"/>
      <c r="AM257" s="225"/>
      <c r="AN257" s="225"/>
      <c r="AO257" s="225"/>
    </row>
    <row r="258" spans="1:63" ht="16" outlineLevel="2" thickTop="1" x14ac:dyDescent="0.2">
      <c r="A258" t="s">
        <v>1352</v>
      </c>
      <c r="B258" s="54" t="s">
        <v>462</v>
      </c>
      <c r="C258" s="113">
        <v>0.05</v>
      </c>
      <c r="D258" s="110">
        <f>$C258+($M258-$C258)/10*(D$1-$C$1)</f>
        <v>5.2260994000770548E-2</v>
      </c>
      <c r="E258" s="110">
        <f t="shared" ref="E258:L258" si="125">$C258+($M258-$C258)/10*(E$1-$C$1)</f>
        <v>5.4521988001541094E-2</v>
      </c>
      <c r="F258" s="110">
        <f t="shared" si="125"/>
        <v>5.6782982002311633E-2</v>
      </c>
      <c r="G258" s="110">
        <f t="shared" si="125"/>
        <v>5.9043976003082178E-2</v>
      </c>
      <c r="H258" s="110">
        <f t="shared" si="125"/>
        <v>6.1304970003852724E-2</v>
      </c>
      <c r="I258" s="110">
        <f t="shared" si="125"/>
        <v>6.3565964004623277E-2</v>
      </c>
      <c r="J258" s="110">
        <f t="shared" si="125"/>
        <v>6.5826958005393815E-2</v>
      </c>
      <c r="K258" s="110">
        <f t="shared" si="125"/>
        <v>6.8087952006164354E-2</v>
      </c>
      <c r="L258" s="110">
        <f t="shared" si="125"/>
        <v>7.0348946006934907E-2</v>
      </c>
      <c r="M258" s="121">
        <f>(M$52-$C$52)/($AG$52-$C$52)*($AG258-$C258)+$C258</f>
        <v>7.2609940007705445E-2</v>
      </c>
      <c r="N258" s="121">
        <f>$M258+($W258-$M258)/10*(N$1-$M$1)</f>
        <v>7.7375419670867973E-2</v>
      </c>
      <c r="O258" s="121">
        <f t="shared" ref="O258:U258" si="126">$M258+($W258-$M258)/10*(O$1-$M$1)</f>
        <v>8.2140899334030501E-2</v>
      </c>
      <c r="P258" s="121">
        <f t="shared" si="126"/>
        <v>8.6906378997193029E-2</v>
      </c>
      <c r="Q258" s="121">
        <f t="shared" si="126"/>
        <v>9.1671858660355557E-2</v>
      </c>
      <c r="R258" s="121">
        <f t="shared" si="126"/>
        <v>9.6437338323518085E-2</v>
      </c>
      <c r="S258" s="121">
        <f t="shared" si="126"/>
        <v>0.10120281798668061</v>
      </c>
      <c r="T258" s="121">
        <f t="shared" si="126"/>
        <v>0.10596829764984314</v>
      </c>
      <c r="U258" s="121">
        <f t="shared" si="126"/>
        <v>0.11073377731300567</v>
      </c>
      <c r="V258" s="121">
        <f>$M258+($W258-$M258)/10*(V$1-$M$1)</f>
        <v>0.1154992569761682</v>
      </c>
      <c r="W258" s="121">
        <f>(W$52-$C$52)/($AG$52-$C$52)*($AG258-$C258)+$C258</f>
        <v>0.12026473663933072</v>
      </c>
      <c r="X258" s="23">
        <f t="shared" ref="X258:AF258" si="127">$W258+($AG258-$W258)/10*(X$1-$W$1)</f>
        <v>0.12823826297539764</v>
      </c>
      <c r="Y258" s="23">
        <f t="shared" si="127"/>
        <v>0.13621178931146458</v>
      </c>
      <c r="Z258" s="23">
        <f t="shared" si="127"/>
        <v>0.14418531564753151</v>
      </c>
      <c r="AA258" s="23">
        <f t="shared" si="127"/>
        <v>0.15215884198359844</v>
      </c>
      <c r="AB258" s="23">
        <f t="shared" si="127"/>
        <v>0.16013236831966537</v>
      </c>
      <c r="AC258" s="23">
        <f t="shared" si="127"/>
        <v>0.16810589465573231</v>
      </c>
      <c r="AD258" s="23">
        <f t="shared" si="127"/>
        <v>0.17607942099179924</v>
      </c>
      <c r="AE258" s="23">
        <f t="shared" si="127"/>
        <v>0.18405294732786615</v>
      </c>
      <c r="AF258" s="23">
        <f t="shared" si="127"/>
        <v>0.19202647366393311</v>
      </c>
      <c r="AG258" s="106">
        <v>0.2</v>
      </c>
      <c r="AJ258" s="211" t="s">
        <v>1353</v>
      </c>
    </row>
    <row r="259" spans="1:63" outlineLevel="2" x14ac:dyDescent="0.2">
      <c r="C259" s="113"/>
      <c r="D259" s="110"/>
      <c r="E259" s="110"/>
      <c r="F259" s="110"/>
      <c r="G259" s="110"/>
      <c r="H259" s="110"/>
      <c r="I259" s="110"/>
      <c r="J259" s="110"/>
      <c r="K259" s="110"/>
      <c r="L259" s="110"/>
      <c r="M259" s="121"/>
      <c r="N259" s="121"/>
      <c r="O259" s="121"/>
      <c r="P259" s="121"/>
      <c r="Q259" s="121"/>
      <c r="R259" s="121"/>
      <c r="S259" s="121"/>
      <c r="T259" s="121"/>
      <c r="U259" s="121"/>
      <c r="V259" s="121"/>
      <c r="W259" s="121"/>
      <c r="X259" s="23"/>
      <c r="Y259" s="23"/>
      <c r="Z259" s="23"/>
      <c r="AA259" s="23"/>
      <c r="AB259" s="23"/>
      <c r="AC259" s="23"/>
      <c r="AD259" s="23"/>
      <c r="AE259" s="23"/>
      <c r="AF259" s="23"/>
      <c r="AG259" s="106"/>
      <c r="AJ259" s="211"/>
    </row>
    <row r="260" spans="1:63" outlineLevel="1" x14ac:dyDescent="0.2">
      <c r="A260" t="s">
        <v>1621</v>
      </c>
      <c r="C260" s="504">
        <f>('Overall recycling rates'!F88*'Yearly BTX'!D5+'Overall recycling rates'!G88*'Yearly BTX'!D6+'Overall recycling rates'!H88*'Yearly BTX'!D7)/'Yearly BTX'!D4</f>
        <v>1.0000000000000004</v>
      </c>
      <c r="D260" s="504">
        <f>C260-($C260-$AG260)/($AG$1-$C$1)</f>
        <v>1.0000000000000004</v>
      </c>
      <c r="E260" s="504">
        <f t="shared" ref="E260:AF260" si="128">D260-($C260-$AG260)/($AG$1-$C$1)</f>
        <v>1.0000000000000004</v>
      </c>
      <c r="F260" s="504">
        <f t="shared" si="128"/>
        <v>1.0000000000000004</v>
      </c>
      <c r="G260" s="504">
        <f t="shared" si="128"/>
        <v>1.0000000000000004</v>
      </c>
      <c r="H260" s="504">
        <f t="shared" si="128"/>
        <v>1.0000000000000004</v>
      </c>
      <c r="I260" s="504">
        <f t="shared" si="128"/>
        <v>1.0000000000000004</v>
      </c>
      <c r="J260" s="504">
        <f t="shared" si="128"/>
        <v>1.0000000000000004</v>
      </c>
      <c r="K260" s="504">
        <f t="shared" si="128"/>
        <v>1.0000000000000004</v>
      </c>
      <c r="L260" s="504">
        <f t="shared" si="128"/>
        <v>1.0000000000000004</v>
      </c>
      <c r="M260" s="504">
        <f t="shared" si="128"/>
        <v>1.0000000000000004</v>
      </c>
      <c r="N260" s="504">
        <f t="shared" si="128"/>
        <v>1.0000000000000004</v>
      </c>
      <c r="O260" s="504">
        <f t="shared" si="128"/>
        <v>1.0000000000000004</v>
      </c>
      <c r="P260" s="504">
        <f t="shared" si="128"/>
        <v>1.0000000000000004</v>
      </c>
      <c r="Q260" s="504">
        <f t="shared" si="128"/>
        <v>1.0000000000000004</v>
      </c>
      <c r="R260" s="504">
        <f t="shared" si="128"/>
        <v>1.0000000000000004</v>
      </c>
      <c r="S260" s="504">
        <f t="shared" si="128"/>
        <v>1.0000000000000004</v>
      </c>
      <c r="T260" s="504">
        <f t="shared" si="128"/>
        <v>1.0000000000000004</v>
      </c>
      <c r="U260" s="504">
        <f t="shared" si="128"/>
        <v>1.0000000000000004</v>
      </c>
      <c r="V260" s="504">
        <f t="shared" si="128"/>
        <v>1.0000000000000004</v>
      </c>
      <c r="W260" s="504">
        <f t="shared" si="128"/>
        <v>1.0000000000000004</v>
      </c>
      <c r="X260" s="504">
        <f t="shared" si="128"/>
        <v>1.0000000000000004</v>
      </c>
      <c r="Y260" s="504">
        <f t="shared" si="128"/>
        <v>1.0000000000000004</v>
      </c>
      <c r="Z260" s="504">
        <f t="shared" si="128"/>
        <v>1.0000000000000004</v>
      </c>
      <c r="AA260" s="504">
        <f t="shared" si="128"/>
        <v>1.0000000000000004</v>
      </c>
      <c r="AB260" s="504">
        <f t="shared" si="128"/>
        <v>1.0000000000000004</v>
      </c>
      <c r="AC260" s="504">
        <f t="shared" si="128"/>
        <v>1.0000000000000004</v>
      </c>
      <c r="AD260" s="504">
        <f t="shared" si="128"/>
        <v>1.0000000000000004</v>
      </c>
      <c r="AE260" s="504">
        <f t="shared" si="128"/>
        <v>1.0000000000000004</v>
      </c>
      <c r="AF260" s="504">
        <f t="shared" si="128"/>
        <v>1.0000000000000004</v>
      </c>
      <c r="AG260" s="504">
        <f>'Overall recycling rates'!F97</f>
        <v>1</v>
      </c>
      <c r="AI260" s="133"/>
      <c r="AJ260" s="211" t="s">
        <v>1582</v>
      </c>
      <c r="AL260" s="108"/>
      <c r="AM260" s="207"/>
      <c r="AN260" s="207"/>
      <c r="AO260" s="207"/>
      <c r="BC260" s="1"/>
      <c r="BD260" s="207"/>
      <c r="BE260" s="207"/>
      <c r="BF260" s="207"/>
      <c r="BG260" s="207"/>
      <c r="BH260" s="207"/>
      <c r="BI260" s="207"/>
      <c r="BJ260" s="207"/>
      <c r="BK260" s="207"/>
    </row>
    <row r="261" spans="1:63" outlineLevel="1" x14ac:dyDescent="0.2">
      <c r="A261" t="s">
        <v>1639</v>
      </c>
      <c r="B261" s="54" t="s">
        <v>462</v>
      </c>
      <c r="C261" s="110">
        <f>C258*C260</f>
        <v>5.0000000000000024E-2</v>
      </c>
      <c r="D261" s="110">
        <f t="shared" ref="D261:AG261" si="129">D258*D260</f>
        <v>5.2260994000770569E-2</v>
      </c>
      <c r="E261" s="110">
        <f t="shared" si="129"/>
        <v>5.4521988001541115E-2</v>
      </c>
      <c r="F261" s="110">
        <f t="shared" si="129"/>
        <v>5.678298200231166E-2</v>
      </c>
      <c r="G261" s="110">
        <f t="shared" si="129"/>
        <v>5.9043976003082206E-2</v>
      </c>
      <c r="H261" s="110">
        <f t="shared" si="129"/>
        <v>6.1304970003852752E-2</v>
      </c>
      <c r="I261" s="110">
        <f t="shared" si="129"/>
        <v>6.3565964004623304E-2</v>
      </c>
      <c r="J261" s="110">
        <f t="shared" si="129"/>
        <v>6.5826958005393843E-2</v>
      </c>
      <c r="K261" s="110">
        <f t="shared" si="129"/>
        <v>6.8087952006164382E-2</v>
      </c>
      <c r="L261" s="110">
        <f t="shared" si="129"/>
        <v>7.0348946006934934E-2</v>
      </c>
      <c r="M261" s="110">
        <f t="shared" si="129"/>
        <v>7.2609940007705473E-2</v>
      </c>
      <c r="N261" s="110">
        <f t="shared" si="129"/>
        <v>7.7375419670868001E-2</v>
      </c>
      <c r="O261" s="110">
        <f t="shared" si="129"/>
        <v>8.2140899334030543E-2</v>
      </c>
      <c r="P261" s="110">
        <f t="shared" si="129"/>
        <v>8.6906378997193071E-2</v>
      </c>
      <c r="Q261" s="110">
        <f t="shared" si="129"/>
        <v>9.1671858660355598E-2</v>
      </c>
      <c r="R261" s="110">
        <f t="shared" si="129"/>
        <v>9.6437338323518126E-2</v>
      </c>
      <c r="S261" s="110">
        <f t="shared" si="129"/>
        <v>0.10120281798668065</v>
      </c>
      <c r="T261" s="110">
        <f t="shared" si="129"/>
        <v>0.10596829764984318</v>
      </c>
      <c r="U261" s="110">
        <f t="shared" si="129"/>
        <v>0.11073377731300572</v>
      </c>
      <c r="V261" s="110">
        <f t="shared" si="129"/>
        <v>0.11549925697616825</v>
      </c>
      <c r="W261" s="110">
        <f t="shared" si="129"/>
        <v>0.12026473663933078</v>
      </c>
      <c r="X261" s="110">
        <f t="shared" si="129"/>
        <v>0.1282382629753977</v>
      </c>
      <c r="Y261" s="110">
        <f t="shared" si="129"/>
        <v>0.13621178931146463</v>
      </c>
      <c r="Z261" s="110">
        <f t="shared" si="129"/>
        <v>0.14418531564753156</v>
      </c>
      <c r="AA261" s="110">
        <f t="shared" si="129"/>
        <v>0.1521588419835985</v>
      </c>
      <c r="AB261" s="110">
        <f t="shared" si="129"/>
        <v>0.16013236831966546</v>
      </c>
      <c r="AC261" s="110">
        <f t="shared" si="129"/>
        <v>0.16810589465573239</v>
      </c>
      <c r="AD261" s="110">
        <f t="shared" si="129"/>
        <v>0.17607942099179932</v>
      </c>
      <c r="AE261" s="110">
        <f t="shared" si="129"/>
        <v>0.18405294732786623</v>
      </c>
      <c r="AF261" s="110">
        <f t="shared" si="129"/>
        <v>0.19202647366393319</v>
      </c>
      <c r="AG261" s="110">
        <f t="shared" si="129"/>
        <v>0.2</v>
      </c>
      <c r="AJ261" s="211" t="s">
        <v>1349</v>
      </c>
    </row>
    <row r="262" spans="1:63" outlineLevel="1" x14ac:dyDescent="0.2">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c r="AJ262" s="211"/>
    </row>
    <row r="263" spans="1:63" s="1" customFormat="1" outlineLevel="1" x14ac:dyDescent="0.2">
      <c r="A263" s="1" t="s">
        <v>228</v>
      </c>
      <c r="B263" s="65"/>
      <c r="C263" s="300">
        <f>'BTX Recycling HC'!C263</f>
        <v>0.932943764462136</v>
      </c>
      <c r="D263" s="300">
        <f>'BTX Recycling HC'!D263</f>
        <v>1.0078192353879303</v>
      </c>
      <c r="E263" s="300">
        <f>'BTX Recycling HC'!E263</f>
        <v>1.08382562066178</v>
      </c>
      <c r="F263" s="300">
        <f>'BTX Recycling HC'!F263</f>
        <v>1.1605201046417486</v>
      </c>
      <c r="G263" s="300">
        <f>'BTX Recycling HC'!G263</f>
        <v>1.2374326168248078</v>
      </c>
      <c r="H263" s="300">
        <f>'BTX Recycling HC'!H263</f>
        <v>1.3140704781747665</v>
      </c>
      <c r="I263" s="300">
        <f>'BTX Recycling HC'!I263</f>
        <v>1.3837289753728139</v>
      </c>
      <c r="J263" s="300">
        <f>'BTX Recycling HC'!J263</f>
        <v>1.4545091307429818</v>
      </c>
      <c r="K263" s="300">
        <f>'BTX Recycling HC'!K263</f>
        <v>1.5263409348466168</v>
      </c>
      <c r="L263" s="300">
        <f>'BTX Recycling HC'!L263</f>
        <v>1.5991504742063545</v>
      </c>
      <c r="M263" s="300">
        <f>'BTX Recycling HC'!M263</f>
        <v>1.6728600173808619</v>
      </c>
      <c r="N263" s="300">
        <f>'BTX Recycling HC'!N263</f>
        <v>1.8032557039703954</v>
      </c>
      <c r="O263" s="300">
        <f>'BTX Recycling HC'!O263</f>
        <v>1.9326870772766589</v>
      </c>
      <c r="P263" s="300">
        <f>'BTX Recycling HC'!P263</f>
        <v>2.0604238829537516</v>
      </c>
      <c r="Q263" s="300">
        <f>'BTX Recycling HC'!Q263</f>
        <v>2.1857316123425883</v>
      </c>
      <c r="R263" s="300">
        <f>'BTX Recycling HC'!R263</f>
        <v>2.3078784347139414</v>
      </c>
      <c r="S263" s="300">
        <f>'BTX Recycling HC'!S263</f>
        <v>2.4305133425806176</v>
      </c>
      <c r="T263" s="300">
        <f>'BTX Recycling HC'!T263</f>
        <v>2.5535800770252153</v>
      </c>
      <c r="U263" s="300">
        <f>'BTX Recycling HC'!U263</f>
        <v>2.6770213664891691</v>
      </c>
      <c r="V263" s="300">
        <f>'BTX Recycling HC'!V263</f>
        <v>2.8007789540330807</v>
      </c>
      <c r="W263" s="300">
        <f>'BTX Recycling HC'!W263</f>
        <v>2.9247936257711622</v>
      </c>
      <c r="X263" s="300">
        <f>'BTX Recycling HC'!X263</f>
        <v>3.1272715830558999</v>
      </c>
      <c r="Y263" s="300">
        <f>'BTX Recycling HC'!Y263</f>
        <v>3.3303288265400739</v>
      </c>
      <c r="Z263" s="300">
        <f>'BTX Recycling HC'!Z263</f>
        <v>3.533872825781943</v>
      </c>
      <c r="AA263" s="300">
        <f>'BTX Recycling HC'!AA263</f>
        <v>3.7378095959548254</v>
      </c>
      <c r="AB263" s="300">
        <f>'BTX Recycling HC'!AB263</f>
        <v>3.9420437407335873</v>
      </c>
      <c r="AC263" s="300">
        <f>'BTX Recycling HC'!AC263</f>
        <v>4.1455549593778382</v>
      </c>
      <c r="AD263" s="300">
        <f>'BTX Recycling HC'!AD263</f>
        <v>4.3491031450226973</v>
      </c>
      <c r="AE263" s="300">
        <f>'BTX Recycling HC'!AE263</f>
        <v>4.552592188223473</v>
      </c>
      <c r="AF263" s="300">
        <f>'BTX Recycling HC'!AF263</f>
        <v>4.7559247657989019</v>
      </c>
      <c r="AG263" s="300">
        <f>'BTX Recycling HC'!AG263</f>
        <v>4.9590023838019874</v>
      </c>
      <c r="AH263" s="245"/>
      <c r="AI263" s="423"/>
      <c r="AJ263" s="424"/>
      <c r="AL263" s="221"/>
      <c r="AM263" s="124"/>
      <c r="AN263" s="124"/>
      <c r="AO263" s="124"/>
      <c r="BD263" s="124"/>
      <c r="BE263" s="124"/>
      <c r="BF263" s="124"/>
      <c r="BG263" s="124"/>
      <c r="BH263" s="124"/>
      <c r="BI263" s="124"/>
      <c r="BJ263" s="124"/>
      <c r="BK263" s="124"/>
    </row>
    <row r="264" spans="1:63" outlineLevel="1" x14ac:dyDescent="0.2">
      <c r="A264" s="4" t="s">
        <v>474</v>
      </c>
      <c r="C264" s="230">
        <f>C$263*'BTX recycling rates'!E90</f>
        <v>0</v>
      </c>
      <c r="D264" s="230">
        <f>D$263*'BTX recycling rates'!F90</f>
        <v>0</v>
      </c>
      <c r="E264" s="230">
        <f>E$263*'BTX recycling rates'!G90</f>
        <v>0</v>
      </c>
      <c r="F264" s="230">
        <f>F$263*'BTX recycling rates'!H90</f>
        <v>0</v>
      </c>
      <c r="G264" s="230">
        <f>G$263*'BTX recycling rates'!I90</f>
        <v>0</v>
      </c>
      <c r="H264" s="230">
        <f>H$263*'BTX recycling rates'!J90</f>
        <v>0</v>
      </c>
      <c r="I264" s="230">
        <f>I$263*'BTX recycling rates'!K90</f>
        <v>0</v>
      </c>
      <c r="J264" s="230">
        <f>J$263*'BTX recycling rates'!L90</f>
        <v>0</v>
      </c>
      <c r="K264" s="230">
        <f>K$263*'BTX recycling rates'!M90</f>
        <v>0</v>
      </c>
      <c r="L264" s="230">
        <f>L$263*'BTX recycling rates'!N90</f>
        <v>0</v>
      </c>
      <c r="M264" s="230">
        <f>M$263*'BTX recycling rates'!O90</f>
        <v>0</v>
      </c>
      <c r="N264" s="230">
        <f>N$263*'BTX recycling rates'!P90</f>
        <v>0</v>
      </c>
      <c r="O264" s="230">
        <f>O$263*'BTX recycling rates'!Q90</f>
        <v>0</v>
      </c>
      <c r="P264" s="230">
        <f>P$263*'BTX recycling rates'!R90</f>
        <v>0</v>
      </c>
      <c r="Q264" s="230">
        <f>Q$263*'BTX recycling rates'!S90</f>
        <v>0</v>
      </c>
      <c r="R264" s="230">
        <f>R$263*'BTX recycling rates'!T90</f>
        <v>0</v>
      </c>
      <c r="S264" s="230">
        <f>S$263*'BTX recycling rates'!U90</f>
        <v>0</v>
      </c>
      <c r="T264" s="230">
        <f>T$263*'BTX recycling rates'!V90</f>
        <v>0</v>
      </c>
      <c r="U264" s="230">
        <f>U$263*'BTX recycling rates'!W90</f>
        <v>0</v>
      </c>
      <c r="V264" s="230">
        <f>V$263*'BTX recycling rates'!X90</f>
        <v>0</v>
      </c>
      <c r="W264" s="230">
        <f>W$263*'BTX recycling rates'!Y90</f>
        <v>0</v>
      </c>
      <c r="X264" s="230">
        <f>X$263*'BTX recycling rates'!Z90</f>
        <v>0</v>
      </c>
      <c r="Y264" s="230">
        <f>Y$263*'BTX recycling rates'!AA90</f>
        <v>0</v>
      </c>
      <c r="Z264" s="230">
        <f>Z$263*'BTX recycling rates'!AB90</f>
        <v>0</v>
      </c>
      <c r="AA264" s="230">
        <f>AA$263*'BTX recycling rates'!AC90</f>
        <v>0</v>
      </c>
      <c r="AB264" s="230">
        <f>AB$263*'BTX recycling rates'!AD90</f>
        <v>0</v>
      </c>
      <c r="AC264" s="230">
        <f>AC$263*'BTX recycling rates'!AE90</f>
        <v>0</v>
      </c>
      <c r="AD264" s="230">
        <f>AD$263*'BTX recycling rates'!AF90</f>
        <v>0</v>
      </c>
      <c r="AE264" s="230">
        <f>AE$263*'BTX recycling rates'!AG90</f>
        <v>0</v>
      </c>
      <c r="AF264" s="230">
        <f>AF$263*'BTX recycling rates'!AH90</f>
        <v>0</v>
      </c>
      <c r="AG264" s="230">
        <f>AG$263*'BTX recycling rates'!AI90</f>
        <v>0</v>
      </c>
      <c r="AH264" s="245"/>
      <c r="AI264" s="133"/>
      <c r="AJ264" s="211"/>
      <c r="AL264" s="108"/>
      <c r="AM264" s="2"/>
      <c r="AN264" s="2"/>
      <c r="AO264" s="2"/>
      <c r="BC264" s="1"/>
      <c r="BD264" s="2"/>
      <c r="BE264" s="2"/>
      <c r="BF264" s="2"/>
      <c r="BG264" s="2"/>
      <c r="BH264" s="2"/>
      <c r="BI264" s="2"/>
      <c r="BJ264" s="2"/>
      <c r="BK264" s="2"/>
    </row>
    <row r="265" spans="1:63" outlineLevel="1" x14ac:dyDescent="0.2">
      <c r="A265" s="4" t="s">
        <v>478</v>
      </c>
      <c r="C265" s="230">
        <f>C$263*'BTX recycling rates'!E91</f>
        <v>0.26788424563705671</v>
      </c>
      <c r="D265" s="230">
        <f>D$263*'BTX recycling rates'!F91</f>
        <v>0.28938388989186303</v>
      </c>
      <c r="E265" s="230">
        <f>E$263*'BTX recycling rates'!G91</f>
        <v>0.31120826340533336</v>
      </c>
      <c r="F265" s="230">
        <f>F$263*'BTX recycling rates'!H91</f>
        <v>0.33323021667637753</v>
      </c>
      <c r="G265" s="230">
        <f>G$263*'BTX recycling rates'!I91</f>
        <v>0.35531477427893382</v>
      </c>
      <c r="H265" s="230">
        <f>H$263*'BTX recycling rates'!J91</f>
        <v>0.37732046900245997</v>
      </c>
      <c r="I265" s="230">
        <f>I$263*'BTX recycling rates'!K91</f>
        <v>0.39732211828179043</v>
      </c>
      <c r="J265" s="230">
        <f>J$263*'BTX recycling rates'!L91</f>
        <v>0.41764583901359947</v>
      </c>
      <c r="K265" s="230">
        <f>K$263*'BTX recycling rates'!M91</f>
        <v>0.43827152877973979</v>
      </c>
      <c r="L265" s="230">
        <f>L$263*'BTX recycling rates'!N91</f>
        <v>0.45917796416152268</v>
      </c>
      <c r="M265" s="230">
        <f>M$263*'BTX recycling rates'!O91</f>
        <v>0.48034282545510643</v>
      </c>
      <c r="N265" s="230">
        <f>N$263*'BTX recycling rates'!P91</f>
        <v>0.51778447142237627</v>
      </c>
      <c r="O265" s="230">
        <f>O$263*'BTX recycling rates'!Q91</f>
        <v>0.55494922574163175</v>
      </c>
      <c r="P265" s="230">
        <f>P$263*'BTX recycling rates'!R91</f>
        <v>0.59162740414032999</v>
      </c>
      <c r="Q265" s="230">
        <f>Q$263*'BTX recycling rates'!S91</f>
        <v>0.62760810076803475</v>
      </c>
      <c r="R265" s="230">
        <f>R$263*'BTX recycling rates'!T91</f>
        <v>0.66268117871156762</v>
      </c>
      <c r="S265" s="230">
        <f>S$263*'BTX recycling rates'!U91</f>
        <v>0.69789440488235877</v>
      </c>
      <c r="T265" s="230">
        <f>T$263*'BTX recycling rates'!V91</f>
        <v>0.7332316251688501</v>
      </c>
      <c r="U265" s="230">
        <f>U$263*'BTX recycling rates'!W91</f>
        <v>0.76867639469103166</v>
      </c>
      <c r="V265" s="230">
        <f>V$263*'BTX recycling rates'!X91</f>
        <v>0.80421198562793672</v>
      </c>
      <c r="W265" s="230">
        <f>W$263*'BTX recycling rates'!Y91</f>
        <v>0.83982139538227085</v>
      </c>
      <c r="X265" s="230">
        <f>X$263*'BTX recycling rates'!Z91</f>
        <v>0.89796064976340184</v>
      </c>
      <c r="Y265" s="230">
        <f>Y$263*'BTX recycling rates'!AA91</f>
        <v>0.9562662396220345</v>
      </c>
      <c r="Z265" s="230">
        <f>Z$263*'BTX recycling rates'!AB91</f>
        <v>1.0147115958888118</v>
      </c>
      <c r="AA265" s="230">
        <f>AA$263*'BTX recycling rates'!AC91</f>
        <v>1.0732697318841968</v>
      </c>
      <c r="AB265" s="230">
        <f>AB$263*'BTX recycling rates'!AD91</f>
        <v>1.1319132556328446</v>
      </c>
      <c r="AC265" s="230">
        <f>AC$263*'BTX recycling rates'!AE91</f>
        <v>1.1903491993219306</v>
      </c>
      <c r="AD265" s="230">
        <f>AD$263*'BTX recycling rates'!AF91</f>
        <v>1.2487957576669568</v>
      </c>
      <c r="AE265" s="230">
        <f>AE$263*'BTX recycling rates'!AG91</f>
        <v>1.3072253339283657</v>
      </c>
      <c r="AF265" s="230">
        <f>AF$263*'BTX recycling rates'!AH91</f>
        <v>1.3656099828558763</v>
      </c>
      <c r="AG265" s="230">
        <f>AG$263*'BTX recycling rates'!AI91</f>
        <v>1.4239214230270754</v>
      </c>
      <c r="AH265" s="245"/>
      <c r="AI265" s="133"/>
      <c r="AJ265" s="211"/>
      <c r="AL265" s="108"/>
      <c r="AM265" s="2"/>
      <c r="AN265" s="2"/>
      <c r="AO265" s="2"/>
      <c r="BC265" s="1"/>
      <c r="BD265" s="2"/>
      <c r="BE265" s="2"/>
      <c r="BF265" s="2"/>
      <c r="BG265" s="2"/>
      <c r="BH265" s="2"/>
      <c r="BI265" s="2"/>
      <c r="BJ265" s="2"/>
      <c r="BK265" s="2"/>
    </row>
    <row r="266" spans="1:63" outlineLevel="1" x14ac:dyDescent="0.2">
      <c r="A266" s="4" t="s">
        <v>745</v>
      </c>
      <c r="C266" s="230">
        <f>C$263*'BTX recycling rates'!E92</f>
        <v>0.51944039042749968</v>
      </c>
      <c r="D266" s="230">
        <f>D$263*'BTX recycling rates'!F92</f>
        <v>0.56112923099074674</v>
      </c>
      <c r="E266" s="230">
        <f>E$263*'BTX recycling rates'!G92</f>
        <v>0.60344773714893196</v>
      </c>
      <c r="F266" s="230">
        <f>F$263*'BTX recycling rates'!H92</f>
        <v>0.64614935992590417</v>
      </c>
      <c r="G266" s="230">
        <f>G$263*'BTX recycling rates'!I92</f>
        <v>0.68897237550194057</v>
      </c>
      <c r="H266" s="230">
        <f>H$263*'BTX recycling rates'!J92</f>
        <v>0.73164247217609735</v>
      </c>
      <c r="I266" s="230">
        <f>I$263*'BTX recycling rates'!K92</f>
        <v>0.7704266286916911</v>
      </c>
      <c r="J266" s="230">
        <f>J$263*'BTX recycling rates'!L92</f>
        <v>0.80983529718865632</v>
      </c>
      <c r="K266" s="230">
        <f>K$263*'BTX recycling rates'!M92</f>
        <v>0.84982949811481312</v>
      </c>
      <c r="L266" s="230">
        <f>L$263*'BTX recycling rates'!N92</f>
        <v>0.89036807824420905</v>
      </c>
      <c r="M266" s="230">
        <f>M$263*'BTX recycling rates'!O92</f>
        <v>0.93140775860144098</v>
      </c>
      <c r="N266" s="230">
        <f>N$263*'BTX recycling rates'!P92</f>
        <v>1.0040089044927785</v>
      </c>
      <c r="O266" s="230">
        <f>O$263*'BTX recycling rates'!Q92</f>
        <v>1.0760731442088065</v>
      </c>
      <c r="P266" s="230">
        <f>P$263*'BTX recycling rates'!R92</f>
        <v>1.1471938898961138</v>
      </c>
      <c r="Q266" s="230">
        <f>Q$263*'BTX recycling rates'!S92</f>
        <v>1.2169621850032113</v>
      </c>
      <c r="R266" s="230">
        <f>R$263*'BTX recycling rates'!T92</f>
        <v>1.2849705639848035</v>
      </c>
      <c r="S266" s="230">
        <f>S$263*'BTX recycling rates'!U92</f>
        <v>1.3532506970955405</v>
      </c>
      <c r="T266" s="230">
        <f>T$263*'BTX recycling rates'!V92</f>
        <v>1.4217712607389386</v>
      </c>
      <c r="U266" s="230">
        <f>U$263*'BTX recycling rates'!W92</f>
        <v>1.4905003675045507</v>
      </c>
      <c r="V266" s="230">
        <f>V$263*'BTX recycling rates'!X92</f>
        <v>1.5594055813458549</v>
      </c>
      <c r="W266" s="230">
        <f>W$263*'BTX recycling rates'!Y92</f>
        <v>1.6284539334118617</v>
      </c>
      <c r="X266" s="230">
        <f>X$263*'BTX recycling rates'!Z92</f>
        <v>1.7411887339339305</v>
      </c>
      <c r="Y266" s="230">
        <f>Y$263*'BTX recycling rates'!AA92</f>
        <v>1.8542460669183689</v>
      </c>
      <c r="Z266" s="230">
        <f>Z$263*'BTX recycling rates'!AB92</f>
        <v>1.9675744136663922</v>
      </c>
      <c r="AA266" s="230">
        <f>AA$263*'BTX recycling rates'!AC92</f>
        <v>2.0811214457130647</v>
      </c>
      <c r="AB266" s="230">
        <f>AB$263*'BTX recycling rates'!AD92</f>
        <v>2.1948340487054523</v>
      </c>
      <c r="AC266" s="230">
        <f>AC$263*'BTX recycling rates'!AE92</f>
        <v>2.3081441440142423</v>
      </c>
      <c r="AD266" s="230">
        <f>AD$263*'BTX recycling rates'!AF92</f>
        <v>2.4214748216495994</v>
      </c>
      <c r="AE266" s="230">
        <f>AE$263*'BTX recycling rates'!AG92</f>
        <v>2.5347725702109694</v>
      </c>
      <c r="AF266" s="230">
        <f>AF$263*'BTX recycling rates'!AH92</f>
        <v>2.6479832025188048</v>
      </c>
      <c r="AG266" s="230">
        <f>AG$263*'BTX recycling rates'!AI92</f>
        <v>2.7610518795396808</v>
      </c>
      <c r="AH266" s="245"/>
      <c r="AI266" s="133"/>
      <c r="AJ266" s="211"/>
      <c r="AL266" s="108"/>
      <c r="AM266" s="2"/>
      <c r="AN266" s="2"/>
      <c r="AO266" s="2"/>
      <c r="BC266" s="1"/>
      <c r="BD266" s="2"/>
      <c r="BE266" s="2"/>
      <c r="BF266" s="2"/>
      <c r="BG266" s="2"/>
      <c r="BH266" s="2"/>
      <c r="BI266" s="2"/>
      <c r="BJ266" s="2"/>
      <c r="BK266" s="2"/>
    </row>
    <row r="267" spans="1:63" outlineLevel="1" x14ac:dyDescent="0.2">
      <c r="A267" s="4" t="s">
        <v>1561</v>
      </c>
      <c r="C267" s="230">
        <f>C$263*'BTX recycling rates'!E93</f>
        <v>0.14561912839757954</v>
      </c>
      <c r="D267" s="230">
        <f>D$263*'BTX recycling rates'!F93</f>
        <v>0.15730611450532042</v>
      </c>
      <c r="E267" s="230">
        <f>E$263*'BTX recycling rates'!G93</f>
        <v>0.16916962010751455</v>
      </c>
      <c r="F267" s="230">
        <f>F$263*'BTX recycling rates'!H93</f>
        <v>0.18114052803946679</v>
      </c>
      <c r="G267" s="230">
        <f>G$263*'BTX recycling rates'!I93</f>
        <v>0.19314546704393326</v>
      </c>
      <c r="H267" s="230">
        <f>H$263*'BTX recycling rates'!J93</f>
        <v>0.20510753699620901</v>
      </c>
      <c r="I267" s="230">
        <f>I$263*'BTX recycling rates'!K93</f>
        <v>0.21598022839933226</v>
      </c>
      <c r="J267" s="230">
        <f>J$263*'BTX recycling rates'!L93</f>
        <v>0.22702799454072589</v>
      </c>
      <c r="K267" s="230">
        <f>K$263*'BTX recycling rates'!M93</f>
        <v>0.23823990795206371</v>
      </c>
      <c r="L267" s="230">
        <f>L$263*'BTX recycling rates'!N93</f>
        <v>0.24960443180062261</v>
      </c>
      <c r="M267" s="230">
        <f>M$263*'BTX recycling rates'!O93</f>
        <v>0.2611094333243143</v>
      </c>
      <c r="N267" s="230">
        <f>N$263*'BTX recycling rates'!P93</f>
        <v>0.28146232805524041</v>
      </c>
      <c r="O267" s="230">
        <f>O$263*'BTX recycling rates'!Q93</f>
        <v>0.30166470732622036</v>
      </c>
      <c r="P267" s="230">
        <f>P$263*'BTX recycling rates'!R93</f>
        <v>0.32160258891730759</v>
      </c>
      <c r="Q267" s="230">
        <f>Q$263*'BTX recycling rates'!S93</f>
        <v>0.34116132657134196</v>
      </c>
      <c r="R267" s="230">
        <f>R$263*'BTX recycling rates'!T93</f>
        <v>0.36022669201757007</v>
      </c>
      <c r="S267" s="230">
        <f>S$263*'BTX recycling rates'!U93</f>
        <v>0.37936824060271812</v>
      </c>
      <c r="T267" s="230">
        <f>T$263*'BTX recycling rates'!V93</f>
        <v>0.39857719111742623</v>
      </c>
      <c r="U267" s="230">
        <f>U$263*'BTX recycling rates'!W93</f>
        <v>0.41784460429358644</v>
      </c>
      <c r="V267" s="230">
        <f>V$263*'BTX recycling rates'!X93</f>
        <v>0.4371613870592887</v>
      </c>
      <c r="W267" s="230">
        <f>W$263*'BTX recycling rates'!Y93</f>
        <v>0.45651829697702928</v>
      </c>
      <c r="X267" s="230">
        <f>X$263*'BTX recycling rates'!Z93</f>
        <v>0.48812219935856721</v>
      </c>
      <c r="Y267" s="230">
        <f>Y$263*'BTX recycling rates'!AA93</f>
        <v>0.51981651999967005</v>
      </c>
      <c r="Z267" s="230">
        <f>Z$263*'BTX recycling rates'!AB93</f>
        <v>0.55158681622673866</v>
      </c>
      <c r="AA267" s="230">
        <f>AA$263*'BTX recycling rates'!AC93</f>
        <v>0.58341841835756347</v>
      </c>
      <c r="AB267" s="230">
        <f>AB$263*'BTX recycling rates'!AD93</f>
        <v>0.61529643639528997</v>
      </c>
      <c r="AC267" s="230">
        <f>AC$263*'BTX recycling rates'!AE93</f>
        <v>0.6470616160416649</v>
      </c>
      <c r="AD267" s="230">
        <f>AD$263*'BTX recycling rates'!AF93</f>
        <v>0.6788325657061407</v>
      </c>
      <c r="AE267" s="230">
        <f>AE$263*'BTX recycling rates'!AG93</f>
        <v>0.71059428408413727</v>
      </c>
      <c r="AF267" s="230">
        <f>AF$263*'BTX recycling rates'!AH93</f>
        <v>0.74233158042421998</v>
      </c>
      <c r="AG267" s="230">
        <f>AG$263*'BTX recycling rates'!AI93</f>
        <v>0.77402908123523073</v>
      </c>
      <c r="AH267" s="245"/>
      <c r="AI267" s="133"/>
      <c r="AJ267" s="211"/>
      <c r="AL267" s="108"/>
      <c r="AM267" s="2"/>
      <c r="AN267" s="2"/>
      <c r="AO267" s="2"/>
      <c r="BC267" s="1"/>
      <c r="BD267" s="2"/>
      <c r="BE267" s="2"/>
      <c r="BF267" s="2"/>
      <c r="BG267" s="2"/>
      <c r="BH267" s="2"/>
      <c r="BI267" s="2"/>
      <c r="BJ267" s="2"/>
      <c r="BK267" s="2"/>
    </row>
    <row r="268" spans="1:63" s="1" customFormat="1" outlineLevel="1" x14ac:dyDescent="0.2">
      <c r="A268" s="1" t="s">
        <v>1562</v>
      </c>
      <c r="B268" s="65"/>
      <c r="C268" s="300">
        <f t="shared" ref="C268:AG268" si="130">C263-$C263</f>
        <v>0</v>
      </c>
      <c r="D268" s="300">
        <f t="shared" si="130"/>
        <v>7.4875470925794274E-2</v>
      </c>
      <c r="E268" s="300">
        <f t="shared" si="130"/>
        <v>0.150881856199644</v>
      </c>
      <c r="F268" s="300">
        <f t="shared" si="130"/>
        <v>0.22757634017961259</v>
      </c>
      <c r="G268" s="300">
        <f t="shared" si="130"/>
        <v>0.30448885236267176</v>
      </c>
      <c r="H268" s="300">
        <f t="shared" si="130"/>
        <v>0.38112671371263052</v>
      </c>
      <c r="I268" s="300">
        <f t="shared" si="130"/>
        <v>0.45078521091067791</v>
      </c>
      <c r="J268" s="300">
        <f t="shared" si="130"/>
        <v>0.52156536628084582</v>
      </c>
      <c r="K268" s="300">
        <f t="shared" si="130"/>
        <v>0.59339717038448081</v>
      </c>
      <c r="L268" s="300">
        <f t="shared" si="130"/>
        <v>0.66620670974421847</v>
      </c>
      <c r="M268" s="300">
        <f t="shared" si="130"/>
        <v>0.73991625291872587</v>
      </c>
      <c r="N268" s="300">
        <f t="shared" si="130"/>
        <v>0.87031193950825936</v>
      </c>
      <c r="O268" s="300">
        <f t="shared" si="130"/>
        <v>0.99974331281452289</v>
      </c>
      <c r="P268" s="300">
        <f t="shared" si="130"/>
        <v>1.1274801184916154</v>
      </c>
      <c r="Q268" s="300">
        <f t="shared" si="130"/>
        <v>1.2527878478804522</v>
      </c>
      <c r="R268" s="300">
        <f t="shared" si="130"/>
        <v>1.3749346702518053</v>
      </c>
      <c r="S268" s="300">
        <f t="shared" si="130"/>
        <v>1.4975695781184815</v>
      </c>
      <c r="T268" s="300">
        <f t="shared" si="130"/>
        <v>1.6206363125630792</v>
      </c>
      <c r="U268" s="300">
        <f t="shared" si="130"/>
        <v>1.744077602027033</v>
      </c>
      <c r="V268" s="300">
        <f t="shared" si="130"/>
        <v>1.8678351895709446</v>
      </c>
      <c r="W268" s="300">
        <f t="shared" si="130"/>
        <v>1.9918498613090261</v>
      </c>
      <c r="X268" s="300">
        <f t="shared" si="130"/>
        <v>2.1943278185937638</v>
      </c>
      <c r="Y268" s="300">
        <f t="shared" si="130"/>
        <v>2.3973850620779378</v>
      </c>
      <c r="Z268" s="300">
        <f t="shared" si="130"/>
        <v>2.6009290613198068</v>
      </c>
      <c r="AA268" s="300">
        <f t="shared" si="130"/>
        <v>2.8048658314926893</v>
      </c>
      <c r="AB268" s="300">
        <f t="shared" si="130"/>
        <v>3.0090999762714512</v>
      </c>
      <c r="AC268" s="300">
        <f t="shared" si="130"/>
        <v>3.2126111949157021</v>
      </c>
      <c r="AD268" s="300">
        <f t="shared" si="130"/>
        <v>3.4161593805605612</v>
      </c>
      <c r="AE268" s="300">
        <f t="shared" si="130"/>
        <v>3.6196484237613369</v>
      </c>
      <c r="AF268" s="300">
        <f t="shared" si="130"/>
        <v>3.8229810013367658</v>
      </c>
      <c r="AG268" s="300">
        <f t="shared" si="130"/>
        <v>4.0260586193398513</v>
      </c>
      <c r="AH268" s="245"/>
      <c r="AI268" s="423"/>
      <c r="AJ268" s="424"/>
      <c r="AL268" s="221"/>
      <c r="AM268" s="124"/>
      <c r="AN268" s="124"/>
      <c r="AO268" s="124"/>
      <c r="BD268" s="124"/>
      <c r="BE268" s="124"/>
      <c r="BF268" s="124"/>
      <c r="BG268" s="124"/>
      <c r="BH268" s="124"/>
      <c r="BI268" s="124"/>
      <c r="BJ268" s="124"/>
      <c r="BK268" s="124"/>
    </row>
    <row r="269" spans="1:63" outlineLevel="1" x14ac:dyDescent="0.2">
      <c r="A269" s="4" t="s">
        <v>474</v>
      </c>
      <c r="C269" s="230">
        <f t="shared" ref="C269:AG269" si="131">C264-$C264</f>
        <v>0</v>
      </c>
      <c r="D269" s="230">
        <f t="shared" si="131"/>
        <v>0</v>
      </c>
      <c r="E269" s="230">
        <f t="shared" si="131"/>
        <v>0</v>
      </c>
      <c r="F269" s="230">
        <f t="shared" si="131"/>
        <v>0</v>
      </c>
      <c r="G269" s="230">
        <f t="shared" si="131"/>
        <v>0</v>
      </c>
      <c r="H269" s="230">
        <f t="shared" si="131"/>
        <v>0</v>
      </c>
      <c r="I269" s="230">
        <f t="shared" si="131"/>
        <v>0</v>
      </c>
      <c r="J269" s="230">
        <f t="shared" si="131"/>
        <v>0</v>
      </c>
      <c r="K269" s="230">
        <f t="shared" si="131"/>
        <v>0</v>
      </c>
      <c r="L269" s="230">
        <f t="shared" si="131"/>
        <v>0</v>
      </c>
      <c r="M269" s="230">
        <f t="shared" si="131"/>
        <v>0</v>
      </c>
      <c r="N269" s="230">
        <f t="shared" si="131"/>
        <v>0</v>
      </c>
      <c r="O269" s="230">
        <f t="shared" si="131"/>
        <v>0</v>
      </c>
      <c r="P269" s="230">
        <f t="shared" si="131"/>
        <v>0</v>
      </c>
      <c r="Q269" s="230">
        <f t="shared" si="131"/>
        <v>0</v>
      </c>
      <c r="R269" s="230">
        <f t="shared" si="131"/>
        <v>0</v>
      </c>
      <c r="S269" s="230">
        <f t="shared" si="131"/>
        <v>0</v>
      </c>
      <c r="T269" s="230">
        <f t="shared" si="131"/>
        <v>0</v>
      </c>
      <c r="U269" s="230">
        <f t="shared" si="131"/>
        <v>0</v>
      </c>
      <c r="V269" s="230">
        <f t="shared" si="131"/>
        <v>0</v>
      </c>
      <c r="W269" s="230">
        <f t="shared" si="131"/>
        <v>0</v>
      </c>
      <c r="X269" s="230">
        <f t="shared" si="131"/>
        <v>0</v>
      </c>
      <c r="Y269" s="230">
        <f t="shared" si="131"/>
        <v>0</v>
      </c>
      <c r="Z269" s="230">
        <f t="shared" si="131"/>
        <v>0</v>
      </c>
      <c r="AA269" s="230">
        <f t="shared" si="131"/>
        <v>0</v>
      </c>
      <c r="AB269" s="230">
        <f t="shared" si="131"/>
        <v>0</v>
      </c>
      <c r="AC269" s="230">
        <f t="shared" si="131"/>
        <v>0</v>
      </c>
      <c r="AD269" s="230">
        <f t="shared" si="131"/>
        <v>0</v>
      </c>
      <c r="AE269" s="230">
        <f t="shared" si="131"/>
        <v>0</v>
      </c>
      <c r="AF269" s="230">
        <f t="shared" si="131"/>
        <v>0</v>
      </c>
      <c r="AG269" s="230">
        <f t="shared" si="131"/>
        <v>0</v>
      </c>
      <c r="AH269" s="245"/>
      <c r="AI269" s="133"/>
      <c r="AJ269" s="211"/>
      <c r="AL269" s="108"/>
      <c r="AM269" s="2"/>
      <c r="AN269" s="2"/>
      <c r="AO269" s="2"/>
      <c r="BC269" s="1"/>
      <c r="BD269" s="2"/>
      <c r="BE269" s="2"/>
      <c r="BF269" s="2"/>
      <c r="BG269" s="2"/>
      <c r="BH269" s="2"/>
      <c r="BI269" s="2"/>
      <c r="BJ269" s="2"/>
      <c r="BK269" s="2"/>
    </row>
    <row r="270" spans="1:63" outlineLevel="1" x14ac:dyDescent="0.2">
      <c r="A270" s="4" t="s">
        <v>478</v>
      </c>
      <c r="C270" s="230">
        <f t="shared" ref="C270:AG272" si="132">C265-$C265</f>
        <v>0</v>
      </c>
      <c r="D270" s="230">
        <f t="shared" si="132"/>
        <v>2.1499644254806327E-2</v>
      </c>
      <c r="E270" s="230">
        <f t="shared" si="132"/>
        <v>4.3324017768276657E-2</v>
      </c>
      <c r="F270" s="230">
        <f t="shared" si="132"/>
        <v>6.5345971039320827E-2</v>
      </c>
      <c r="G270" s="230">
        <f t="shared" si="132"/>
        <v>8.7430528641877114E-2</v>
      </c>
      <c r="H270" s="230">
        <f t="shared" si="132"/>
        <v>0.10943622336540326</v>
      </c>
      <c r="I270" s="230">
        <f t="shared" si="132"/>
        <v>0.12943787264473372</v>
      </c>
      <c r="J270" s="230">
        <f t="shared" si="132"/>
        <v>0.14976159337654277</v>
      </c>
      <c r="K270" s="230">
        <f t="shared" si="132"/>
        <v>0.17038728314268309</v>
      </c>
      <c r="L270" s="230">
        <f t="shared" si="132"/>
        <v>0.19129371852446597</v>
      </c>
      <c r="M270" s="230">
        <f t="shared" si="132"/>
        <v>0.21245857981804972</v>
      </c>
      <c r="N270" s="230">
        <f t="shared" si="132"/>
        <v>0.24990022578531956</v>
      </c>
      <c r="O270" s="230">
        <f t="shared" si="132"/>
        <v>0.28706498010457504</v>
      </c>
      <c r="P270" s="230">
        <f t="shared" si="132"/>
        <v>0.32374315850327329</v>
      </c>
      <c r="Q270" s="230">
        <f t="shared" si="132"/>
        <v>0.35972385513097804</v>
      </c>
      <c r="R270" s="230">
        <f t="shared" si="132"/>
        <v>0.39479693307451091</v>
      </c>
      <c r="S270" s="230">
        <f t="shared" si="132"/>
        <v>0.43001015924530206</v>
      </c>
      <c r="T270" s="230">
        <f t="shared" si="132"/>
        <v>0.46534737953179339</v>
      </c>
      <c r="U270" s="230">
        <f t="shared" si="132"/>
        <v>0.50079214905397496</v>
      </c>
      <c r="V270" s="230">
        <f t="shared" si="132"/>
        <v>0.53632773999088001</v>
      </c>
      <c r="W270" s="230">
        <f t="shared" si="132"/>
        <v>0.57193714974521415</v>
      </c>
      <c r="X270" s="230">
        <f t="shared" si="132"/>
        <v>0.63007640412634514</v>
      </c>
      <c r="Y270" s="230">
        <f t="shared" si="132"/>
        <v>0.68838199398497779</v>
      </c>
      <c r="Z270" s="230">
        <f t="shared" si="132"/>
        <v>0.74682735025175506</v>
      </c>
      <c r="AA270" s="230">
        <f t="shared" si="132"/>
        <v>0.80538548624714013</v>
      </c>
      <c r="AB270" s="230">
        <f t="shared" si="132"/>
        <v>0.86402900999578791</v>
      </c>
      <c r="AC270" s="230">
        <f t="shared" si="132"/>
        <v>0.92246495368487391</v>
      </c>
      <c r="AD270" s="230">
        <f t="shared" si="132"/>
        <v>0.98091151202990012</v>
      </c>
      <c r="AE270" s="230">
        <f t="shared" si="132"/>
        <v>1.039341088291309</v>
      </c>
      <c r="AF270" s="230">
        <f t="shared" si="132"/>
        <v>1.0977257372188196</v>
      </c>
      <c r="AG270" s="230">
        <f t="shared" si="132"/>
        <v>1.1560371773900187</v>
      </c>
      <c r="AH270" s="245"/>
      <c r="AI270" s="133"/>
      <c r="AJ270" s="211"/>
      <c r="AL270" s="108"/>
      <c r="AM270" s="2"/>
      <c r="AN270" s="2"/>
      <c r="AO270" s="2"/>
      <c r="BC270" s="1"/>
      <c r="BD270" s="2"/>
      <c r="BE270" s="2"/>
      <c r="BF270" s="2"/>
      <c r="BG270" s="2"/>
      <c r="BH270" s="2"/>
      <c r="BI270" s="2"/>
      <c r="BJ270" s="2"/>
      <c r="BK270" s="2"/>
    </row>
    <row r="271" spans="1:63" outlineLevel="1" x14ac:dyDescent="0.2">
      <c r="A271" s="4" t="s">
        <v>745</v>
      </c>
      <c r="C271" s="230">
        <f t="shared" si="132"/>
        <v>0</v>
      </c>
      <c r="D271" s="230">
        <f t="shared" si="132"/>
        <v>4.1688840563247065E-2</v>
      </c>
      <c r="E271" s="230">
        <f t="shared" si="132"/>
        <v>8.4007346721432286E-2</v>
      </c>
      <c r="F271" s="230">
        <f t="shared" si="132"/>
        <v>0.12670896949840449</v>
      </c>
      <c r="G271" s="230">
        <f t="shared" si="132"/>
        <v>0.16953198507444089</v>
      </c>
      <c r="H271" s="230">
        <f t="shared" si="132"/>
        <v>0.21220208174859767</v>
      </c>
      <c r="I271" s="230">
        <f t="shared" si="132"/>
        <v>0.25098623826419142</v>
      </c>
      <c r="J271" s="230">
        <f t="shared" si="132"/>
        <v>0.29039490676115665</v>
      </c>
      <c r="K271" s="230">
        <f t="shared" si="132"/>
        <v>0.33038910768731344</v>
      </c>
      <c r="L271" s="230">
        <f t="shared" si="132"/>
        <v>0.37092768781670937</v>
      </c>
      <c r="M271" s="230">
        <f t="shared" si="132"/>
        <v>0.41196736817394131</v>
      </c>
      <c r="N271" s="230">
        <f t="shared" si="132"/>
        <v>0.48456851406527879</v>
      </c>
      <c r="O271" s="230">
        <f t="shared" si="132"/>
        <v>0.55663275378130683</v>
      </c>
      <c r="P271" s="230">
        <f t="shared" si="132"/>
        <v>0.62775349946861414</v>
      </c>
      <c r="Q271" s="230">
        <f t="shared" si="132"/>
        <v>0.69752179457571162</v>
      </c>
      <c r="R271" s="230">
        <f t="shared" si="132"/>
        <v>0.76553017355730379</v>
      </c>
      <c r="S271" s="230">
        <f t="shared" si="132"/>
        <v>0.83381030666804079</v>
      </c>
      <c r="T271" s="230">
        <f t="shared" si="132"/>
        <v>0.90233087031143888</v>
      </c>
      <c r="U271" s="230">
        <f t="shared" si="132"/>
        <v>0.97105997707705105</v>
      </c>
      <c r="V271" s="230">
        <f t="shared" si="132"/>
        <v>1.0399651909183554</v>
      </c>
      <c r="W271" s="230">
        <f t="shared" si="132"/>
        <v>1.1090135429843619</v>
      </c>
      <c r="X271" s="230">
        <f t="shared" si="132"/>
        <v>1.2217483435064307</v>
      </c>
      <c r="Y271" s="230">
        <f t="shared" si="132"/>
        <v>1.3348056764908693</v>
      </c>
      <c r="Z271" s="230">
        <f t="shared" si="132"/>
        <v>1.4481340232388926</v>
      </c>
      <c r="AA271" s="230">
        <f t="shared" si="132"/>
        <v>1.5616810552855651</v>
      </c>
      <c r="AB271" s="230">
        <f t="shared" si="132"/>
        <v>1.6753936582779527</v>
      </c>
      <c r="AC271" s="230">
        <f t="shared" si="132"/>
        <v>1.7887037535867427</v>
      </c>
      <c r="AD271" s="230">
        <f t="shared" si="132"/>
        <v>1.9020344312220998</v>
      </c>
      <c r="AE271" s="230">
        <f t="shared" si="132"/>
        <v>2.0153321797834698</v>
      </c>
      <c r="AF271" s="230">
        <f t="shared" si="132"/>
        <v>2.1285428120913052</v>
      </c>
      <c r="AG271" s="230">
        <f t="shared" si="132"/>
        <v>2.2416114891121812</v>
      </c>
      <c r="AH271" s="245"/>
      <c r="AI271" s="133"/>
      <c r="AJ271" s="211"/>
      <c r="AL271" s="108"/>
      <c r="AM271" s="2"/>
      <c r="AN271" s="2"/>
      <c r="AO271" s="2"/>
      <c r="BC271" s="1"/>
      <c r="BD271" s="2"/>
      <c r="BE271" s="2"/>
      <c r="BF271" s="2"/>
      <c r="BG271" s="2"/>
      <c r="BH271" s="2"/>
      <c r="BI271" s="2"/>
      <c r="BJ271" s="2"/>
      <c r="BK271" s="2"/>
    </row>
    <row r="272" spans="1:63" outlineLevel="1" x14ac:dyDescent="0.2">
      <c r="A272" s="4" t="s">
        <v>1561</v>
      </c>
      <c r="C272" s="230">
        <f t="shared" si="132"/>
        <v>0</v>
      </c>
      <c r="D272" s="230">
        <f t="shared" si="132"/>
        <v>1.1686986107740882E-2</v>
      </c>
      <c r="E272" s="230">
        <f t="shared" si="132"/>
        <v>2.3550491709935006E-2</v>
      </c>
      <c r="F272" s="230">
        <f t="shared" si="132"/>
        <v>3.5521399641887247E-2</v>
      </c>
      <c r="G272" s="230">
        <f t="shared" si="132"/>
        <v>4.7526338646353722E-2</v>
      </c>
      <c r="H272" s="230">
        <f t="shared" si="132"/>
        <v>5.9488408598629472E-2</v>
      </c>
      <c r="I272" s="230">
        <f t="shared" si="132"/>
        <v>7.0361100001752719E-2</v>
      </c>
      <c r="J272" s="230">
        <f t="shared" si="132"/>
        <v>8.1408866143146352E-2</v>
      </c>
      <c r="K272" s="230">
        <f t="shared" si="132"/>
        <v>9.2620779554484167E-2</v>
      </c>
      <c r="L272" s="230">
        <f t="shared" si="132"/>
        <v>0.10398530340304307</v>
      </c>
      <c r="M272" s="230">
        <f t="shared" si="132"/>
        <v>0.11549030492673476</v>
      </c>
      <c r="N272" s="230">
        <f t="shared" si="132"/>
        <v>0.13584319965766087</v>
      </c>
      <c r="O272" s="230">
        <f t="shared" si="132"/>
        <v>0.15604557892864082</v>
      </c>
      <c r="P272" s="230">
        <f t="shared" si="132"/>
        <v>0.17598346051972805</v>
      </c>
      <c r="Q272" s="230">
        <f t="shared" si="132"/>
        <v>0.19554219817376242</v>
      </c>
      <c r="R272" s="230">
        <f t="shared" si="132"/>
        <v>0.21460756361999053</v>
      </c>
      <c r="S272" s="230">
        <f t="shared" si="132"/>
        <v>0.23374911220513858</v>
      </c>
      <c r="T272" s="230">
        <f t="shared" si="132"/>
        <v>0.25295806271984667</v>
      </c>
      <c r="U272" s="230">
        <f t="shared" si="132"/>
        <v>0.27222547589600687</v>
      </c>
      <c r="V272" s="230">
        <f t="shared" si="132"/>
        <v>0.29154225866170913</v>
      </c>
      <c r="W272" s="230">
        <f t="shared" si="132"/>
        <v>0.31089916857944977</v>
      </c>
      <c r="X272" s="230">
        <f t="shared" si="132"/>
        <v>0.34250307096098764</v>
      </c>
      <c r="Y272" s="230">
        <f t="shared" si="132"/>
        <v>0.37419739160209053</v>
      </c>
      <c r="Z272" s="230">
        <f t="shared" si="132"/>
        <v>0.40596768782915915</v>
      </c>
      <c r="AA272" s="230">
        <f t="shared" si="132"/>
        <v>0.43779928995998396</v>
      </c>
      <c r="AB272" s="230">
        <f t="shared" si="132"/>
        <v>0.46967730799771046</v>
      </c>
      <c r="AC272" s="230">
        <f t="shared" si="132"/>
        <v>0.50144248764408539</v>
      </c>
      <c r="AD272" s="230">
        <f t="shared" si="132"/>
        <v>0.53321343730856119</v>
      </c>
      <c r="AE272" s="230">
        <f t="shared" si="132"/>
        <v>0.56497515568655776</v>
      </c>
      <c r="AF272" s="230">
        <f t="shared" si="132"/>
        <v>0.59671245202664047</v>
      </c>
      <c r="AG272" s="230">
        <f t="shared" si="132"/>
        <v>0.62840995283765122</v>
      </c>
      <c r="AH272" s="245"/>
      <c r="AI272" s="133"/>
      <c r="AJ272" s="211"/>
      <c r="AL272" s="108"/>
      <c r="AM272" s="2"/>
      <c r="AN272" s="2"/>
      <c r="AO272" s="2"/>
      <c r="BC272" s="1"/>
      <c r="BD272" s="2"/>
      <c r="BE272" s="2"/>
      <c r="BF272" s="2"/>
      <c r="BG272" s="2"/>
      <c r="BH272" s="2"/>
      <c r="BI272" s="2"/>
      <c r="BJ272" s="2"/>
      <c r="BK272" s="2"/>
    </row>
    <row r="273" spans="1:41" outlineLevel="2" x14ac:dyDescent="0.2">
      <c r="C273" s="113"/>
      <c r="D273" s="110"/>
      <c r="E273" s="110"/>
      <c r="F273" s="110"/>
      <c r="G273" s="110"/>
      <c r="H273" s="110"/>
      <c r="I273" s="110"/>
      <c r="J273" s="110"/>
      <c r="K273" s="110"/>
      <c r="L273" s="110"/>
      <c r="M273" s="121"/>
      <c r="N273" s="121"/>
      <c r="O273" s="121"/>
      <c r="P273" s="121"/>
      <c r="Q273" s="121"/>
      <c r="R273" s="121"/>
      <c r="S273" s="121"/>
      <c r="T273" s="121"/>
      <c r="U273" s="121"/>
      <c r="V273" s="121"/>
      <c r="W273" s="121"/>
      <c r="X273" s="23"/>
      <c r="Y273" s="23"/>
      <c r="Z273" s="23"/>
      <c r="AA273" s="23"/>
      <c r="AB273" s="23"/>
      <c r="AC273" s="23"/>
      <c r="AD273" s="23"/>
      <c r="AE273" s="23"/>
      <c r="AF273" s="23"/>
      <c r="AG273" s="106"/>
      <c r="AJ273" s="211"/>
    </row>
    <row r="274" spans="1:41" s="200" customFormat="1" ht="16" thickBot="1" x14ac:dyDescent="0.25">
      <c r="A274" s="227" t="s">
        <v>1640</v>
      </c>
      <c r="B274" s="228"/>
      <c r="C274" s="229">
        <f>(C42*C66+C43*C142+C45*C205+C44*C244+C46*C261)/C47</f>
        <v>0.11866936746243609</v>
      </c>
      <c r="D274" s="229">
        <f t="shared" ref="D274:AG274" si="133">(D42*D66+D43*D142+D45*D205+D44*D244+D46*D261)/D47</f>
        <v>0.10274075310918146</v>
      </c>
      <c r="E274" s="229">
        <f t="shared" si="133"/>
        <v>0.10828879710395239</v>
      </c>
      <c r="F274" s="229">
        <f t="shared" si="133"/>
        <v>0.11394359233653215</v>
      </c>
      <c r="G274" s="229">
        <f t="shared" si="133"/>
        <v>0.11964567785774136</v>
      </c>
      <c r="H274" s="229">
        <f t="shared" si="133"/>
        <v>0.12539663181811264</v>
      </c>
      <c r="I274" s="229">
        <f t="shared" si="133"/>
        <v>0.13141850881397538</v>
      </c>
      <c r="J274" s="229">
        <f t="shared" si="133"/>
        <v>0.13747769119251396</v>
      </c>
      <c r="K274" s="229">
        <f t="shared" si="133"/>
        <v>0.14357303591924131</v>
      </c>
      <c r="L274" s="229">
        <f t="shared" si="133"/>
        <v>0.1497033169199376</v>
      </c>
      <c r="M274" s="229">
        <f t="shared" si="133"/>
        <v>0.1558672213579089</v>
      </c>
      <c r="N274" s="229">
        <f t="shared" si="133"/>
        <v>0.16634333081005123</v>
      </c>
      <c r="O274" s="229">
        <f t="shared" si="133"/>
        <v>0.17682194868054343</v>
      </c>
      <c r="P274" s="229">
        <f t="shared" si="133"/>
        <v>0.18730392627186446</v>
      </c>
      <c r="Q274" s="229">
        <f t="shared" si="133"/>
        <v>0.19778520314560083</v>
      </c>
      <c r="R274" s="229">
        <f t="shared" si="133"/>
        <v>0.20826386127252697</v>
      </c>
      <c r="S274" s="229">
        <f t="shared" si="133"/>
        <v>0.2187127280562412</v>
      </c>
      <c r="T274" s="229">
        <f t="shared" si="133"/>
        <v>0.2291611790290711</v>
      </c>
      <c r="U274" s="229">
        <f t="shared" si="133"/>
        <v>0.23960856530203473</v>
      </c>
      <c r="V274" s="229">
        <f t="shared" si="133"/>
        <v>0.25005412728356124</v>
      </c>
      <c r="W274" s="229">
        <f t="shared" si="133"/>
        <v>0.26049698653674958</v>
      </c>
      <c r="X274" s="229">
        <f t="shared" si="133"/>
        <v>0.27683734130084559</v>
      </c>
      <c r="Y274" s="229">
        <f t="shared" si="133"/>
        <v>0.29314612383760691</v>
      </c>
      <c r="Z274" s="229">
        <f t="shared" si="133"/>
        <v>0.30942695219411376</v>
      </c>
      <c r="AA274" s="229">
        <f t="shared" si="133"/>
        <v>0.32567080318769132</v>
      </c>
      <c r="AB274" s="229">
        <f t="shared" si="133"/>
        <v>0.3418750328666133</v>
      </c>
      <c r="AC274" s="229">
        <f t="shared" si="133"/>
        <v>0.35803890657340687</v>
      </c>
      <c r="AD274" s="229">
        <f t="shared" si="133"/>
        <v>0.3741511557874132</v>
      </c>
      <c r="AE274" s="229">
        <f t="shared" si="133"/>
        <v>0.39020618898625786</v>
      </c>
      <c r="AF274" s="229">
        <f t="shared" si="133"/>
        <v>0.40619782677265354</v>
      </c>
      <c r="AG274" s="229">
        <f t="shared" si="133"/>
        <v>0.42211924755488811</v>
      </c>
      <c r="AJ274" s="479" t="s">
        <v>1585</v>
      </c>
      <c r="AL274" s="217"/>
      <c r="AM274" s="225"/>
      <c r="AN274" s="225"/>
      <c r="AO274" s="225"/>
    </row>
    <row r="275" spans="1:41" s="200" customFormat="1" ht="17" thickTop="1" thickBot="1" x14ac:dyDescent="0.25">
      <c r="A275" s="227" t="s">
        <v>1356</v>
      </c>
      <c r="B275" s="228"/>
      <c r="C275" s="229">
        <f t="shared" ref="C275:AG275" si="134">(C14*C49+C123*C15+C17*C188+C240*C16+C257*C18)/C19</f>
        <v>0.10392620862112158</v>
      </c>
      <c r="D275" s="229">
        <f t="shared" si="134"/>
        <v>0.10914907209487128</v>
      </c>
      <c r="E275" s="229">
        <f t="shared" si="134"/>
        <v>0.11437193556862101</v>
      </c>
      <c r="F275" s="229">
        <f t="shared" si="134"/>
        <v>0.11959479904237068</v>
      </c>
      <c r="G275" s="229">
        <f t="shared" si="134"/>
        <v>0.12481766251612042</v>
      </c>
      <c r="H275" s="229">
        <f t="shared" si="134"/>
        <v>0.13004052598987015</v>
      </c>
      <c r="I275" s="229">
        <f t="shared" si="134"/>
        <v>0.13526338946361988</v>
      </c>
      <c r="J275" s="229">
        <f t="shared" si="134"/>
        <v>0.14048625293736958</v>
      </c>
      <c r="K275" s="229">
        <f t="shared" si="134"/>
        <v>0.1457091164111193</v>
      </c>
      <c r="L275" s="229">
        <f t="shared" si="134"/>
        <v>0.15093197988486898</v>
      </c>
      <c r="M275" s="229">
        <f t="shared" si="134"/>
        <v>0.15615484335861871</v>
      </c>
      <c r="N275" s="229">
        <f t="shared" si="134"/>
        <v>0.16716303252636805</v>
      </c>
      <c r="O275" s="229">
        <f t="shared" si="134"/>
        <v>0.17817122169411745</v>
      </c>
      <c r="P275" s="229">
        <f t="shared" si="134"/>
        <v>0.18917941086186682</v>
      </c>
      <c r="Q275" s="229">
        <f t="shared" si="134"/>
        <v>0.20018760002961619</v>
      </c>
      <c r="R275" s="229">
        <f t="shared" si="134"/>
        <v>0.21119578919736562</v>
      </c>
      <c r="S275" s="229">
        <f t="shared" si="134"/>
        <v>0.22220397836511507</v>
      </c>
      <c r="T275" s="229">
        <f t="shared" si="134"/>
        <v>0.23321216753286442</v>
      </c>
      <c r="U275" s="229">
        <f t="shared" si="134"/>
        <v>0.24422035670061382</v>
      </c>
      <c r="V275" s="229">
        <f t="shared" si="134"/>
        <v>0.25522854586836319</v>
      </c>
      <c r="W275" s="229">
        <f t="shared" si="134"/>
        <v>0.26623673503611256</v>
      </c>
      <c r="X275" s="229">
        <f t="shared" si="134"/>
        <v>0.28465546566672584</v>
      </c>
      <c r="Y275" s="229">
        <f t="shared" si="134"/>
        <v>0.30307419629733917</v>
      </c>
      <c r="Z275" s="229">
        <f t="shared" si="134"/>
        <v>0.32149292692795245</v>
      </c>
      <c r="AA275" s="229">
        <f t="shared" si="134"/>
        <v>0.33991165755856578</v>
      </c>
      <c r="AB275" s="229">
        <f t="shared" si="134"/>
        <v>0.35833038818917906</v>
      </c>
      <c r="AC275" s="229">
        <f t="shared" si="134"/>
        <v>0.37674911881979239</v>
      </c>
      <c r="AD275" s="229">
        <f t="shared" si="134"/>
        <v>0.39516784945040562</v>
      </c>
      <c r="AE275" s="229">
        <f t="shared" si="134"/>
        <v>0.4135865800810189</v>
      </c>
      <c r="AF275" s="229">
        <f t="shared" si="134"/>
        <v>0.43200531071163223</v>
      </c>
      <c r="AG275" s="229">
        <f t="shared" si="134"/>
        <v>0.45042404134224556</v>
      </c>
      <c r="AJ275" s="226" t="s">
        <v>1357</v>
      </c>
      <c r="AL275" s="217"/>
      <c r="AM275" s="225"/>
      <c r="AN275" s="225"/>
      <c r="AO275" s="225"/>
    </row>
    <row r="276" spans="1:41" ht="16" thickTop="1" x14ac:dyDescent="0.2">
      <c r="B276" s="130"/>
      <c r="C276" s="113"/>
      <c r="D276" s="23"/>
      <c r="E276" s="23"/>
      <c r="F276" s="23"/>
      <c r="G276" s="23"/>
      <c r="H276" s="23"/>
      <c r="I276" s="23"/>
      <c r="J276" s="23"/>
      <c r="K276" s="23"/>
      <c r="L276" s="23"/>
      <c r="M276" s="126"/>
      <c r="N276" s="110"/>
      <c r="O276" s="110"/>
      <c r="P276" s="110"/>
      <c r="Q276" s="110"/>
      <c r="R276" s="110"/>
      <c r="S276" s="110"/>
      <c r="T276" s="110"/>
      <c r="U276" s="110"/>
      <c r="V276" s="110"/>
      <c r="W276" s="126"/>
      <c r="X276" s="110"/>
      <c r="Y276" s="110"/>
      <c r="Z276" s="110"/>
      <c r="AA276" s="110"/>
      <c r="AB276" s="110"/>
      <c r="AC276" s="110"/>
      <c r="AD276" s="110"/>
      <c r="AE276" s="110"/>
      <c r="AF276" s="110"/>
      <c r="AG276" s="113"/>
    </row>
    <row r="277" spans="1:41" x14ac:dyDescent="0.2">
      <c r="A277" t="s">
        <v>1641</v>
      </c>
      <c r="B277" s="130"/>
      <c r="C277" s="230">
        <f>C263+C246+C229+C219+C209+C177+C167+C157+C147+C112+C102+C92+C82+C72</f>
        <v>6.1470184945809105</v>
      </c>
      <c r="D277" s="230">
        <f t="shared" ref="D277:AG277" si="135">D263+D246+D229+D219+D209+D177+D167+D157+D147+D112+D102+D92+D82+D72</f>
        <v>6.5448867721839905</v>
      </c>
      <c r="E277" s="230">
        <f t="shared" si="135"/>
        <v>7.0212771180463296</v>
      </c>
      <c r="F277" s="230">
        <f t="shared" si="135"/>
        <v>7.5140781611890404</v>
      </c>
      <c r="G277" s="230">
        <f t="shared" si="135"/>
        <v>8.0080844384045271</v>
      </c>
      <c r="H277" s="230">
        <f t="shared" si="135"/>
        <v>8.5003238323923842</v>
      </c>
      <c r="I277" s="230">
        <f t="shared" si="135"/>
        <v>8.9748077011614278</v>
      </c>
      <c r="J277" s="230">
        <f t="shared" si="135"/>
        <v>9.455494526682978</v>
      </c>
      <c r="K277" s="230">
        <f t="shared" si="135"/>
        <v>9.9413609062364401</v>
      </c>
      <c r="L277" s="230">
        <f t="shared" si="135"/>
        <v>10.431298646977339</v>
      </c>
      <c r="M277" s="230">
        <f t="shared" si="135"/>
        <v>10.924113696924683</v>
      </c>
      <c r="N277" s="230">
        <f t="shared" si="135"/>
        <v>11.666117865206402</v>
      </c>
      <c r="O277" s="230">
        <f t="shared" si="135"/>
        <v>12.376437930029716</v>
      </c>
      <c r="P277" s="230">
        <f t="shared" si="135"/>
        <v>13.04769835808707</v>
      </c>
      <c r="Q277" s="230">
        <f t="shared" si="135"/>
        <v>13.674868536709345</v>
      </c>
      <c r="R277" s="230">
        <f t="shared" si="135"/>
        <v>14.252183186127187</v>
      </c>
      <c r="S277" s="230">
        <f t="shared" si="135"/>
        <v>14.826840129044371</v>
      </c>
      <c r="T277" s="230">
        <f t="shared" si="135"/>
        <v>15.376473134573164</v>
      </c>
      <c r="U277" s="230">
        <f t="shared" si="135"/>
        <v>15.899237011125567</v>
      </c>
      <c r="V277" s="230">
        <f t="shared" si="135"/>
        <v>16.393215374109513</v>
      </c>
      <c r="W277" s="230">
        <f t="shared" si="135"/>
        <v>16.856419590194808</v>
      </c>
      <c r="X277" s="230">
        <f t="shared" si="135"/>
        <v>17.743942493081946</v>
      </c>
      <c r="Y277" s="230">
        <f t="shared" si="135"/>
        <v>18.582317126177546</v>
      </c>
      <c r="Z277" s="230">
        <f t="shared" si="135"/>
        <v>19.359572088018702</v>
      </c>
      <c r="AA277" s="230">
        <f t="shared" si="135"/>
        <v>20.078910295487642</v>
      </c>
      <c r="AB277" s="230">
        <f t="shared" si="135"/>
        <v>20.736554998422633</v>
      </c>
      <c r="AC277" s="230">
        <f t="shared" si="135"/>
        <v>21.289916925842288</v>
      </c>
      <c r="AD277" s="230">
        <f t="shared" si="135"/>
        <v>21.766091260417127</v>
      </c>
      <c r="AE277" s="230">
        <f t="shared" si="135"/>
        <v>22.160171700357722</v>
      </c>
      <c r="AF277" s="230">
        <f t="shared" si="135"/>
        <v>22.467074267006492</v>
      </c>
      <c r="AG277" s="230">
        <f t="shared" si="135"/>
        <v>22.68153502836374</v>
      </c>
      <c r="AI277" s="23">
        <f>(AG277/C277)^(1/30)-1</f>
        <v>4.4480326384524149E-2</v>
      </c>
      <c r="AJ277" s="517">
        <f>AG277-C277</f>
        <v>16.534516533782828</v>
      </c>
    </row>
    <row r="278" spans="1:41" x14ac:dyDescent="0.2">
      <c r="A278" t="s">
        <v>1642</v>
      </c>
      <c r="B278" s="130"/>
      <c r="C278" s="230">
        <f>C277</f>
        <v>6.1470184945809105</v>
      </c>
      <c r="D278" s="230">
        <f>C278*(1+$AI$278)</f>
        <v>6.2496737034404113</v>
      </c>
      <c r="E278" s="230">
        <f t="shared" ref="E278:AG278" si="136">D278*(1+$AI$278)</f>
        <v>6.3540432542878662</v>
      </c>
      <c r="F278" s="230">
        <f t="shared" si="136"/>
        <v>6.4601557766344735</v>
      </c>
      <c r="G278" s="230">
        <f t="shared" si="136"/>
        <v>6.5680403781042687</v>
      </c>
      <c r="H278" s="230">
        <f t="shared" si="136"/>
        <v>6.6777266524186096</v>
      </c>
      <c r="I278" s="230">
        <f t="shared" si="136"/>
        <v>6.7892446875139996</v>
      </c>
      <c r="J278" s="230">
        <f t="shared" si="136"/>
        <v>6.9026250737954831</v>
      </c>
      <c r="K278" s="230">
        <f t="shared" si="136"/>
        <v>7.0178989125278672</v>
      </c>
      <c r="L278" s="230">
        <f t="shared" si="136"/>
        <v>7.1350978243670822</v>
      </c>
      <c r="M278" s="230">
        <f>L278*(1+$AI$278)</f>
        <v>7.2542539580340124</v>
      </c>
      <c r="N278" s="230">
        <f t="shared" si="136"/>
        <v>7.3753999991331796</v>
      </c>
      <c r="O278" s="230">
        <f t="shared" si="136"/>
        <v>7.4985691791187028</v>
      </c>
      <c r="P278" s="230">
        <f t="shared" si="136"/>
        <v>7.6237952844099848</v>
      </c>
      <c r="Q278" s="230">
        <f t="shared" si="136"/>
        <v>7.7511126656596314</v>
      </c>
      <c r="R278" s="230">
        <f t="shared" si="136"/>
        <v>7.8805562471761466</v>
      </c>
      <c r="S278" s="230">
        <f t="shared" si="136"/>
        <v>8.0121615365039869</v>
      </c>
      <c r="T278" s="230">
        <f t="shared" si="136"/>
        <v>8.1459646341636027</v>
      </c>
      <c r="U278" s="230">
        <f t="shared" si="136"/>
        <v>8.2820022435541336</v>
      </c>
      <c r="V278" s="230">
        <f t="shared" si="136"/>
        <v>8.420311681021488</v>
      </c>
      <c r="W278" s="230">
        <f t="shared" si="136"/>
        <v>8.5609308860945461</v>
      </c>
      <c r="X278" s="230">
        <f t="shared" si="136"/>
        <v>8.7038984318923251</v>
      </c>
      <c r="Y278" s="230">
        <f t="shared" si="136"/>
        <v>8.8492535357049267</v>
      </c>
      <c r="Z278" s="230">
        <f t="shared" si="136"/>
        <v>8.9970360697511982</v>
      </c>
      <c r="AA278" s="230">
        <f t="shared" si="136"/>
        <v>9.1472865721160428</v>
      </c>
      <c r="AB278" s="230">
        <f t="shared" si="136"/>
        <v>9.3000462578703793</v>
      </c>
      <c r="AC278" s="230">
        <f t="shared" si="136"/>
        <v>9.4553570303768133</v>
      </c>
      <c r="AD278" s="230">
        <f t="shared" si="136"/>
        <v>9.6132614927841047</v>
      </c>
      <c r="AE278" s="230">
        <f t="shared" si="136"/>
        <v>9.7738029597135991</v>
      </c>
      <c r="AF278" s="230">
        <f t="shared" si="136"/>
        <v>9.9370254691408153</v>
      </c>
      <c r="AG278" s="230">
        <f t="shared" si="136"/>
        <v>10.102973794475467</v>
      </c>
      <c r="AI278" s="214">
        <v>1.67E-2</v>
      </c>
      <c r="AJ278" s="3" t="s">
        <v>1360</v>
      </c>
    </row>
    <row r="279" spans="1:41" x14ac:dyDescent="0.2">
      <c r="B279" s="51"/>
    </row>
    <row r="280" spans="1:41" s="58" customFormat="1" x14ac:dyDescent="0.2">
      <c r="A280" s="58" t="s">
        <v>1361</v>
      </c>
      <c r="B280" s="303"/>
      <c r="C280" s="304"/>
      <c r="D280" s="304"/>
      <c r="E280" s="304"/>
      <c r="F280" s="304"/>
      <c r="G280" s="304"/>
      <c r="H280" s="304"/>
      <c r="I280" s="304"/>
      <c r="J280" s="304"/>
      <c r="K280" s="304"/>
      <c r="L280" s="304"/>
      <c r="M280" s="304"/>
      <c r="N280" s="304"/>
      <c r="O280" s="304"/>
      <c r="P280" s="304"/>
      <c r="Q280" s="304"/>
      <c r="R280" s="304"/>
      <c r="S280" s="304"/>
      <c r="T280" s="304"/>
      <c r="U280" s="304"/>
      <c r="V280" s="304"/>
      <c r="W280" s="304"/>
      <c r="X280" s="304"/>
      <c r="Y280" s="304"/>
      <c r="Z280" s="304"/>
      <c r="AA280" s="304"/>
      <c r="AB280" s="304"/>
      <c r="AC280" s="304"/>
      <c r="AD280" s="304"/>
      <c r="AE280" s="304"/>
      <c r="AF280" s="304"/>
      <c r="AG280" s="304"/>
      <c r="AI280" s="305"/>
      <c r="AJ280" s="306"/>
    </row>
    <row r="281" spans="1:41" s="190" customFormat="1" outlineLevel="1" x14ac:dyDescent="0.2">
      <c r="A281" s="344" t="s">
        <v>1362</v>
      </c>
      <c r="B281" s="318" t="s">
        <v>462</v>
      </c>
      <c r="C281" s="319">
        <v>0.84</v>
      </c>
      <c r="D281" s="320">
        <f>-($C281-$AG281)/30+C281</f>
        <v>0.83566666666666667</v>
      </c>
      <c r="E281" s="320">
        <f t="shared" ref="E281:T281" si="137">-($C281-$AG281)/30+D281</f>
        <v>0.83133333333333337</v>
      </c>
      <c r="F281" s="320">
        <f t="shared" si="137"/>
        <v>0.82700000000000007</v>
      </c>
      <c r="G281" s="320">
        <f t="shared" si="137"/>
        <v>0.82266666666666677</v>
      </c>
      <c r="H281" s="320">
        <f t="shared" si="137"/>
        <v>0.81833333333333347</v>
      </c>
      <c r="I281" s="320">
        <f t="shared" si="137"/>
        <v>0.81400000000000017</v>
      </c>
      <c r="J281" s="320">
        <f t="shared" si="137"/>
        <v>0.80966666666666687</v>
      </c>
      <c r="K281" s="320">
        <f t="shared" si="137"/>
        <v>0.80533333333333357</v>
      </c>
      <c r="L281" s="320">
        <f t="shared" si="137"/>
        <v>0.80100000000000027</v>
      </c>
      <c r="M281" s="320">
        <f t="shared" si="137"/>
        <v>0.79666666666666697</v>
      </c>
      <c r="N281" s="320">
        <f t="shared" si="137"/>
        <v>0.79233333333333367</v>
      </c>
      <c r="O281" s="320">
        <f t="shared" si="137"/>
        <v>0.78800000000000037</v>
      </c>
      <c r="P281" s="320">
        <f t="shared" si="137"/>
        <v>0.78366666666666707</v>
      </c>
      <c r="Q281" s="320">
        <f t="shared" si="137"/>
        <v>0.77933333333333377</v>
      </c>
      <c r="R281" s="320">
        <f t="shared" si="137"/>
        <v>0.77500000000000047</v>
      </c>
      <c r="S281" s="320">
        <f t="shared" si="137"/>
        <v>0.77066666666666717</v>
      </c>
      <c r="T281" s="320">
        <f t="shared" si="137"/>
        <v>0.76633333333333387</v>
      </c>
      <c r="U281" s="320">
        <f t="shared" ref="T281:AF287" si="138">-($C281-$AG281)/30+T281</f>
        <v>0.76200000000000057</v>
      </c>
      <c r="V281" s="320">
        <f t="shared" si="138"/>
        <v>0.75766666666666727</v>
      </c>
      <c r="W281" s="320">
        <f t="shared" si="138"/>
        <v>0.75333333333333397</v>
      </c>
      <c r="X281" s="320">
        <f t="shared" si="138"/>
        <v>0.74900000000000067</v>
      </c>
      <c r="Y281" s="320">
        <f t="shared" si="138"/>
        <v>0.74466666666666737</v>
      </c>
      <c r="Z281" s="320">
        <f t="shared" si="138"/>
        <v>0.74033333333333406</v>
      </c>
      <c r="AA281" s="320">
        <f t="shared" si="138"/>
        <v>0.73600000000000076</v>
      </c>
      <c r="AB281" s="320">
        <f t="shared" si="138"/>
        <v>0.73166666666666746</v>
      </c>
      <c r="AC281" s="320">
        <f t="shared" si="138"/>
        <v>0.72733333333333416</v>
      </c>
      <c r="AD281" s="320">
        <f t="shared" si="138"/>
        <v>0.72300000000000086</v>
      </c>
      <c r="AE281" s="320">
        <f t="shared" si="138"/>
        <v>0.71866666666666756</v>
      </c>
      <c r="AF281" s="320">
        <f t="shared" si="138"/>
        <v>0.71433333333333426</v>
      </c>
      <c r="AG281" s="319">
        <v>0.71</v>
      </c>
      <c r="AI281" s="321"/>
      <c r="AJ281" s="322" t="s">
        <v>1363</v>
      </c>
    </row>
    <row r="282" spans="1:41" outlineLevel="1" x14ac:dyDescent="0.2">
      <c r="A282" s="3" t="s">
        <v>90</v>
      </c>
      <c r="B282" s="302" t="s">
        <v>462</v>
      </c>
      <c r="C282" s="296">
        <v>0.16</v>
      </c>
      <c r="D282" s="317">
        <f t="shared" ref="D282:S287" si="139">-($C282-$AG282)/30+C282</f>
        <v>0.16206666666666666</v>
      </c>
      <c r="E282" s="317">
        <f t="shared" si="139"/>
        <v>0.16413333333333333</v>
      </c>
      <c r="F282" s="317">
        <f t="shared" si="139"/>
        <v>0.16619999999999999</v>
      </c>
      <c r="G282" s="317">
        <f t="shared" si="139"/>
        <v>0.16826666666666665</v>
      </c>
      <c r="H282" s="317">
        <f t="shared" si="139"/>
        <v>0.17033333333333331</v>
      </c>
      <c r="I282" s="317">
        <f t="shared" si="139"/>
        <v>0.17239999999999997</v>
      </c>
      <c r="J282" s="317">
        <f t="shared" si="139"/>
        <v>0.17446666666666663</v>
      </c>
      <c r="K282" s="317">
        <f t="shared" si="139"/>
        <v>0.17653333333333329</v>
      </c>
      <c r="L282" s="317">
        <f t="shared" si="139"/>
        <v>0.17859999999999995</v>
      </c>
      <c r="M282" s="317">
        <f t="shared" si="139"/>
        <v>0.18066666666666661</v>
      </c>
      <c r="N282" s="317">
        <f t="shared" si="139"/>
        <v>0.18273333333333328</v>
      </c>
      <c r="O282" s="317">
        <f t="shared" si="139"/>
        <v>0.18479999999999994</v>
      </c>
      <c r="P282" s="317">
        <f t="shared" si="139"/>
        <v>0.1868666666666666</v>
      </c>
      <c r="Q282" s="317">
        <f t="shared" si="139"/>
        <v>0.18893333333333326</v>
      </c>
      <c r="R282" s="317">
        <f t="shared" si="139"/>
        <v>0.19099999999999992</v>
      </c>
      <c r="S282" s="317">
        <f t="shared" si="139"/>
        <v>0.19306666666666658</v>
      </c>
      <c r="T282" s="317">
        <f t="shared" si="138"/>
        <v>0.19513333333333324</v>
      </c>
      <c r="U282" s="317">
        <f t="shared" si="138"/>
        <v>0.1971999999999999</v>
      </c>
      <c r="V282" s="317">
        <f t="shared" si="138"/>
        <v>0.19926666666666656</v>
      </c>
      <c r="W282" s="317">
        <f t="shared" si="138"/>
        <v>0.20133333333333323</v>
      </c>
      <c r="X282" s="317">
        <f t="shared" si="138"/>
        <v>0.20339999999999989</v>
      </c>
      <c r="Y282" s="317">
        <f t="shared" si="138"/>
        <v>0.20546666666666655</v>
      </c>
      <c r="Z282" s="317">
        <f t="shared" si="138"/>
        <v>0.20753333333333321</v>
      </c>
      <c r="AA282" s="317">
        <f t="shared" si="138"/>
        <v>0.20959999999999987</v>
      </c>
      <c r="AB282" s="317">
        <f t="shared" si="138"/>
        <v>0.21166666666666653</v>
      </c>
      <c r="AC282" s="317">
        <f t="shared" si="138"/>
        <v>0.21373333333333319</v>
      </c>
      <c r="AD282" s="317">
        <f t="shared" si="138"/>
        <v>0.21579999999999985</v>
      </c>
      <c r="AE282" s="317">
        <f t="shared" si="138"/>
        <v>0.21786666666666651</v>
      </c>
      <c r="AF282" s="317">
        <f t="shared" si="138"/>
        <v>0.21993333333333318</v>
      </c>
      <c r="AG282" s="296">
        <v>0.222</v>
      </c>
      <c r="AI282" s="214"/>
      <c r="AJ282" s="211" t="s">
        <v>1363</v>
      </c>
    </row>
    <row r="283" spans="1:41" outlineLevel="1" x14ac:dyDescent="0.2">
      <c r="A283" s="3" t="s">
        <v>33</v>
      </c>
      <c r="B283" s="302" t="s">
        <v>462</v>
      </c>
      <c r="C283" s="296">
        <v>0.37</v>
      </c>
      <c r="D283" s="317">
        <f t="shared" si="139"/>
        <v>0.36270000000000002</v>
      </c>
      <c r="E283" s="317">
        <f t="shared" si="139"/>
        <v>0.35540000000000005</v>
      </c>
      <c r="F283" s="317">
        <f t="shared" si="139"/>
        <v>0.34810000000000008</v>
      </c>
      <c r="G283" s="317">
        <f t="shared" si="139"/>
        <v>0.3408000000000001</v>
      </c>
      <c r="H283" s="317">
        <f t="shared" si="139"/>
        <v>0.33350000000000013</v>
      </c>
      <c r="I283" s="317">
        <f t="shared" si="139"/>
        <v>0.32620000000000016</v>
      </c>
      <c r="J283" s="317">
        <f t="shared" si="139"/>
        <v>0.31890000000000018</v>
      </c>
      <c r="K283" s="317">
        <f t="shared" si="139"/>
        <v>0.31160000000000021</v>
      </c>
      <c r="L283" s="317">
        <f t="shared" si="139"/>
        <v>0.30430000000000024</v>
      </c>
      <c r="M283" s="317">
        <f t="shared" si="139"/>
        <v>0.29700000000000026</v>
      </c>
      <c r="N283" s="317">
        <f t="shared" si="139"/>
        <v>0.28970000000000029</v>
      </c>
      <c r="O283" s="317">
        <f t="shared" si="139"/>
        <v>0.28240000000000032</v>
      </c>
      <c r="P283" s="317">
        <f t="shared" si="139"/>
        <v>0.27510000000000034</v>
      </c>
      <c r="Q283" s="317">
        <f t="shared" si="139"/>
        <v>0.26780000000000037</v>
      </c>
      <c r="R283" s="317">
        <f t="shared" si="139"/>
        <v>0.2605000000000004</v>
      </c>
      <c r="S283" s="317">
        <f t="shared" si="139"/>
        <v>0.25320000000000042</v>
      </c>
      <c r="T283" s="317">
        <f t="shared" si="138"/>
        <v>0.24590000000000042</v>
      </c>
      <c r="U283" s="317">
        <f t="shared" si="138"/>
        <v>0.23860000000000042</v>
      </c>
      <c r="V283" s="317">
        <f t="shared" si="138"/>
        <v>0.23130000000000042</v>
      </c>
      <c r="W283" s="317">
        <f t="shared" si="138"/>
        <v>0.22400000000000042</v>
      </c>
      <c r="X283" s="317">
        <f t="shared" si="138"/>
        <v>0.21670000000000042</v>
      </c>
      <c r="Y283" s="317">
        <f t="shared" si="138"/>
        <v>0.20940000000000042</v>
      </c>
      <c r="Z283" s="317">
        <f t="shared" si="138"/>
        <v>0.20210000000000042</v>
      </c>
      <c r="AA283" s="317">
        <f t="shared" si="138"/>
        <v>0.19480000000000042</v>
      </c>
      <c r="AB283" s="317">
        <f t="shared" si="138"/>
        <v>0.18750000000000042</v>
      </c>
      <c r="AC283" s="317">
        <f t="shared" si="138"/>
        <v>0.18020000000000042</v>
      </c>
      <c r="AD283" s="317">
        <f t="shared" si="138"/>
        <v>0.17290000000000041</v>
      </c>
      <c r="AE283" s="317">
        <f t="shared" si="138"/>
        <v>0.16560000000000041</v>
      </c>
      <c r="AF283" s="317">
        <f t="shared" si="138"/>
        <v>0.15830000000000041</v>
      </c>
      <c r="AG283" s="296">
        <v>0.151</v>
      </c>
      <c r="AI283" s="214"/>
      <c r="AJ283" s="211" t="s">
        <v>1363</v>
      </c>
    </row>
    <row r="284" spans="1:41" outlineLevel="1" x14ac:dyDescent="0.2">
      <c r="A284" s="3" t="s">
        <v>451</v>
      </c>
      <c r="B284" s="302" t="s">
        <v>462</v>
      </c>
      <c r="C284" s="296">
        <v>0.08</v>
      </c>
      <c r="D284" s="317">
        <f t="shared" si="139"/>
        <v>8.0100000000000005E-2</v>
      </c>
      <c r="E284" s="317">
        <f t="shared" si="139"/>
        <v>8.0200000000000007E-2</v>
      </c>
      <c r="F284" s="317">
        <f t="shared" si="139"/>
        <v>8.030000000000001E-2</v>
      </c>
      <c r="G284" s="317">
        <f t="shared" si="139"/>
        <v>8.0400000000000013E-2</v>
      </c>
      <c r="H284" s="317">
        <f t="shared" si="139"/>
        <v>8.0500000000000016E-2</v>
      </c>
      <c r="I284" s="317">
        <f t="shared" si="139"/>
        <v>8.0600000000000019E-2</v>
      </c>
      <c r="J284" s="317">
        <f t="shared" si="139"/>
        <v>8.0700000000000022E-2</v>
      </c>
      <c r="K284" s="317">
        <f t="shared" si="139"/>
        <v>8.0800000000000025E-2</v>
      </c>
      <c r="L284" s="317">
        <f t="shared" si="139"/>
        <v>8.0900000000000027E-2</v>
      </c>
      <c r="M284" s="317">
        <f t="shared" si="139"/>
        <v>8.100000000000003E-2</v>
      </c>
      <c r="N284" s="317">
        <f t="shared" si="139"/>
        <v>8.1100000000000033E-2</v>
      </c>
      <c r="O284" s="317">
        <f t="shared" si="139"/>
        <v>8.1200000000000036E-2</v>
      </c>
      <c r="P284" s="317">
        <f t="shared" si="139"/>
        <v>8.1300000000000039E-2</v>
      </c>
      <c r="Q284" s="317">
        <f t="shared" si="139"/>
        <v>8.1400000000000042E-2</v>
      </c>
      <c r="R284" s="317">
        <f t="shared" si="139"/>
        <v>8.1500000000000045E-2</v>
      </c>
      <c r="S284" s="317">
        <f t="shared" si="139"/>
        <v>8.1600000000000047E-2</v>
      </c>
      <c r="T284" s="317">
        <f t="shared" si="138"/>
        <v>8.170000000000005E-2</v>
      </c>
      <c r="U284" s="317">
        <f t="shared" si="138"/>
        <v>8.1800000000000053E-2</v>
      </c>
      <c r="V284" s="317">
        <f t="shared" si="138"/>
        <v>8.1900000000000056E-2</v>
      </c>
      <c r="W284" s="317">
        <f t="shared" si="138"/>
        <v>8.2000000000000059E-2</v>
      </c>
      <c r="X284" s="317">
        <f t="shared" si="138"/>
        <v>8.2100000000000062E-2</v>
      </c>
      <c r="Y284" s="317">
        <f t="shared" si="138"/>
        <v>8.2200000000000065E-2</v>
      </c>
      <c r="Z284" s="317">
        <f t="shared" si="138"/>
        <v>8.2300000000000068E-2</v>
      </c>
      <c r="AA284" s="317">
        <f t="shared" si="138"/>
        <v>8.240000000000007E-2</v>
      </c>
      <c r="AB284" s="317">
        <f t="shared" si="138"/>
        <v>8.2500000000000073E-2</v>
      </c>
      <c r="AC284" s="317">
        <f t="shared" si="138"/>
        <v>8.2600000000000076E-2</v>
      </c>
      <c r="AD284" s="317">
        <f t="shared" si="138"/>
        <v>8.2700000000000079E-2</v>
      </c>
      <c r="AE284" s="317">
        <f t="shared" si="138"/>
        <v>8.2800000000000082E-2</v>
      </c>
      <c r="AF284" s="317">
        <f t="shared" si="138"/>
        <v>8.2900000000000085E-2</v>
      </c>
      <c r="AG284" s="296">
        <v>8.3000000000000004E-2</v>
      </c>
      <c r="AI284" s="214"/>
      <c r="AJ284" s="211" t="s">
        <v>1363</v>
      </c>
    </row>
    <row r="285" spans="1:41" outlineLevel="1" x14ac:dyDescent="0.2">
      <c r="A285" s="3" t="s">
        <v>452</v>
      </c>
      <c r="B285" s="302" t="s">
        <v>462</v>
      </c>
      <c r="C285" s="296">
        <v>0.27</v>
      </c>
      <c r="D285" s="317">
        <f t="shared" si="139"/>
        <v>0.27313333333333334</v>
      </c>
      <c r="E285" s="317">
        <f t="shared" si="139"/>
        <v>0.27626666666666666</v>
      </c>
      <c r="F285" s="317">
        <f t="shared" si="139"/>
        <v>0.27939999999999998</v>
      </c>
      <c r="G285" s="317">
        <f t="shared" si="139"/>
        <v>0.2825333333333333</v>
      </c>
      <c r="H285" s="317">
        <f t="shared" si="139"/>
        <v>0.28566666666666662</v>
      </c>
      <c r="I285" s="317">
        <f t="shared" si="139"/>
        <v>0.28879999999999995</v>
      </c>
      <c r="J285" s="317">
        <f t="shared" si="139"/>
        <v>0.29193333333333327</v>
      </c>
      <c r="K285" s="317">
        <f t="shared" si="139"/>
        <v>0.29506666666666659</v>
      </c>
      <c r="L285" s="317">
        <f t="shared" si="139"/>
        <v>0.29819999999999991</v>
      </c>
      <c r="M285" s="317">
        <f t="shared" si="139"/>
        <v>0.30133333333333323</v>
      </c>
      <c r="N285" s="317">
        <f t="shared" si="139"/>
        <v>0.30446666666666655</v>
      </c>
      <c r="O285" s="317">
        <f t="shared" si="139"/>
        <v>0.30759999999999987</v>
      </c>
      <c r="P285" s="317">
        <f t="shared" si="139"/>
        <v>0.31073333333333319</v>
      </c>
      <c r="Q285" s="317">
        <f t="shared" si="139"/>
        <v>0.31386666666666652</v>
      </c>
      <c r="R285" s="317">
        <f t="shared" si="139"/>
        <v>0.31699999999999984</v>
      </c>
      <c r="S285" s="317">
        <f t="shared" si="139"/>
        <v>0.32013333333333316</v>
      </c>
      <c r="T285" s="317">
        <f t="shared" si="138"/>
        <v>0.32326666666666648</v>
      </c>
      <c r="U285" s="317">
        <f t="shared" si="138"/>
        <v>0.3263999999999998</v>
      </c>
      <c r="V285" s="317">
        <f t="shared" si="138"/>
        <v>0.32953333333333312</v>
      </c>
      <c r="W285" s="317">
        <f t="shared" si="138"/>
        <v>0.33266666666666644</v>
      </c>
      <c r="X285" s="317">
        <f t="shared" si="138"/>
        <v>0.33579999999999977</v>
      </c>
      <c r="Y285" s="317">
        <f t="shared" si="138"/>
        <v>0.33893333333333309</v>
      </c>
      <c r="Z285" s="317">
        <f t="shared" si="138"/>
        <v>0.34206666666666641</v>
      </c>
      <c r="AA285" s="317">
        <f t="shared" si="138"/>
        <v>0.34519999999999973</v>
      </c>
      <c r="AB285" s="317">
        <f t="shared" si="138"/>
        <v>0.34833333333333305</v>
      </c>
      <c r="AC285" s="317">
        <f t="shared" si="138"/>
        <v>0.35146666666666637</v>
      </c>
      <c r="AD285" s="317">
        <f t="shared" si="138"/>
        <v>0.35459999999999969</v>
      </c>
      <c r="AE285" s="317">
        <f t="shared" si="138"/>
        <v>0.35773333333333301</v>
      </c>
      <c r="AF285" s="317">
        <f t="shared" si="138"/>
        <v>0.36086666666666634</v>
      </c>
      <c r="AG285" s="296">
        <v>0.36399999999999999</v>
      </c>
      <c r="AI285" s="214"/>
      <c r="AJ285" s="211" t="s">
        <v>1363</v>
      </c>
    </row>
    <row r="286" spans="1:41" outlineLevel="1" x14ac:dyDescent="0.2">
      <c r="A286" s="3" t="s">
        <v>1364</v>
      </c>
      <c r="B286" s="302" t="s">
        <v>462</v>
      </c>
      <c r="C286" s="296">
        <v>7.0000000000000007E-2</v>
      </c>
      <c r="D286" s="317">
        <f t="shared" si="139"/>
        <v>7.1266666666666673E-2</v>
      </c>
      <c r="E286" s="317">
        <f t="shared" si="139"/>
        <v>7.2533333333333339E-2</v>
      </c>
      <c r="F286" s="317">
        <f t="shared" si="139"/>
        <v>7.3800000000000004E-2</v>
      </c>
      <c r="G286" s="317">
        <f t="shared" si="139"/>
        <v>7.506666666666667E-2</v>
      </c>
      <c r="H286" s="317">
        <f t="shared" si="139"/>
        <v>7.6333333333333336E-2</v>
      </c>
      <c r="I286" s="317">
        <f t="shared" si="139"/>
        <v>7.7600000000000002E-2</v>
      </c>
      <c r="J286" s="317">
        <f t="shared" si="139"/>
        <v>7.8866666666666668E-2</v>
      </c>
      <c r="K286" s="317">
        <f t="shared" si="139"/>
        <v>8.0133333333333334E-2</v>
      </c>
      <c r="L286" s="317">
        <f t="shared" si="139"/>
        <v>8.14E-2</v>
      </c>
      <c r="M286" s="317">
        <f t="shared" si="139"/>
        <v>8.2666666666666666E-2</v>
      </c>
      <c r="N286" s="317">
        <f t="shared" si="139"/>
        <v>8.3933333333333332E-2</v>
      </c>
      <c r="O286" s="317">
        <f t="shared" si="139"/>
        <v>8.5199999999999998E-2</v>
      </c>
      <c r="P286" s="317">
        <f t="shared" si="139"/>
        <v>8.6466666666666664E-2</v>
      </c>
      <c r="Q286" s="317">
        <f t="shared" si="139"/>
        <v>8.773333333333333E-2</v>
      </c>
      <c r="R286" s="317">
        <f t="shared" si="139"/>
        <v>8.8999999999999996E-2</v>
      </c>
      <c r="S286" s="317">
        <f t="shared" si="139"/>
        <v>9.0266666666666662E-2</v>
      </c>
      <c r="T286" s="317">
        <f t="shared" si="138"/>
        <v>9.1533333333333328E-2</v>
      </c>
      <c r="U286" s="317">
        <f t="shared" si="138"/>
        <v>9.2799999999999994E-2</v>
      </c>
      <c r="V286" s="317">
        <f t="shared" si="138"/>
        <v>9.406666666666666E-2</v>
      </c>
      <c r="W286" s="317">
        <f t="shared" si="138"/>
        <v>9.5333333333333325E-2</v>
      </c>
      <c r="X286" s="317">
        <f t="shared" si="138"/>
        <v>9.6599999999999991E-2</v>
      </c>
      <c r="Y286" s="317">
        <f t="shared" si="138"/>
        <v>9.7866666666666657E-2</v>
      </c>
      <c r="Z286" s="317">
        <f t="shared" si="138"/>
        <v>9.9133333333333323E-2</v>
      </c>
      <c r="AA286" s="317">
        <f t="shared" si="138"/>
        <v>0.10039999999999999</v>
      </c>
      <c r="AB286" s="317">
        <f t="shared" si="138"/>
        <v>0.10166666666666666</v>
      </c>
      <c r="AC286" s="317">
        <f t="shared" si="138"/>
        <v>0.10293333333333332</v>
      </c>
      <c r="AD286" s="317">
        <f t="shared" si="138"/>
        <v>0.10419999999999999</v>
      </c>
      <c r="AE286" s="317">
        <f t="shared" si="138"/>
        <v>0.10546666666666665</v>
      </c>
      <c r="AF286" s="317">
        <f t="shared" si="138"/>
        <v>0.10673333333333332</v>
      </c>
      <c r="AG286" s="296">
        <v>0.108</v>
      </c>
      <c r="AI286" s="214"/>
      <c r="AJ286" s="211" t="s">
        <v>1363</v>
      </c>
    </row>
    <row r="287" spans="1:41" outlineLevel="1" x14ac:dyDescent="0.2">
      <c r="A287" s="3" t="s">
        <v>1365</v>
      </c>
      <c r="B287" s="302" t="s">
        <v>462</v>
      </c>
      <c r="C287" s="296">
        <v>0.05</v>
      </c>
      <c r="D287" s="317">
        <f t="shared" si="139"/>
        <v>5.0733333333333339E-2</v>
      </c>
      <c r="E287" s="317">
        <f t="shared" si="139"/>
        <v>5.1466666666666674E-2</v>
      </c>
      <c r="F287" s="317">
        <f t="shared" si="139"/>
        <v>5.220000000000001E-2</v>
      </c>
      <c r="G287" s="317">
        <f t="shared" si="139"/>
        <v>5.2933333333333346E-2</v>
      </c>
      <c r="H287" s="317">
        <f t="shared" si="139"/>
        <v>5.3666666666666682E-2</v>
      </c>
      <c r="I287" s="317">
        <f t="shared" si="139"/>
        <v>5.4400000000000018E-2</v>
      </c>
      <c r="J287" s="317">
        <f t="shared" si="139"/>
        <v>5.5133333333333354E-2</v>
      </c>
      <c r="K287" s="317">
        <f t="shared" si="139"/>
        <v>5.5866666666666689E-2</v>
      </c>
      <c r="L287" s="317">
        <f t="shared" si="139"/>
        <v>5.6600000000000025E-2</v>
      </c>
      <c r="M287" s="317">
        <f t="shared" si="139"/>
        <v>5.7333333333333361E-2</v>
      </c>
      <c r="N287" s="317">
        <f t="shared" si="139"/>
        <v>5.8066666666666697E-2</v>
      </c>
      <c r="O287" s="317">
        <f t="shared" si="139"/>
        <v>5.8800000000000033E-2</v>
      </c>
      <c r="P287" s="317">
        <f t="shared" si="139"/>
        <v>5.9533333333333369E-2</v>
      </c>
      <c r="Q287" s="317">
        <f t="shared" si="139"/>
        <v>6.0266666666666704E-2</v>
      </c>
      <c r="R287" s="317">
        <f t="shared" si="139"/>
        <v>6.100000000000004E-2</v>
      </c>
      <c r="S287" s="317">
        <f t="shared" si="139"/>
        <v>6.1733333333333376E-2</v>
      </c>
      <c r="T287" s="317">
        <f t="shared" si="138"/>
        <v>6.2466666666666712E-2</v>
      </c>
      <c r="U287" s="317">
        <f t="shared" si="138"/>
        <v>6.3200000000000048E-2</v>
      </c>
      <c r="V287" s="317">
        <f t="shared" si="138"/>
        <v>6.3933333333333384E-2</v>
      </c>
      <c r="W287" s="317">
        <f t="shared" si="138"/>
        <v>6.4666666666666719E-2</v>
      </c>
      <c r="X287" s="317">
        <f t="shared" si="138"/>
        <v>6.5400000000000055E-2</v>
      </c>
      <c r="Y287" s="317">
        <f t="shared" si="138"/>
        <v>6.6133333333333391E-2</v>
      </c>
      <c r="Z287" s="317">
        <f t="shared" si="138"/>
        <v>6.6866666666666727E-2</v>
      </c>
      <c r="AA287" s="317">
        <f t="shared" si="138"/>
        <v>6.7600000000000063E-2</v>
      </c>
      <c r="AB287" s="317">
        <f t="shared" si="138"/>
        <v>6.8333333333333399E-2</v>
      </c>
      <c r="AC287" s="317">
        <f t="shared" si="138"/>
        <v>6.9066666666666734E-2</v>
      </c>
      <c r="AD287" s="317">
        <f t="shared" si="138"/>
        <v>6.980000000000007E-2</v>
      </c>
      <c r="AE287" s="317">
        <f t="shared" si="138"/>
        <v>7.0533333333333406E-2</v>
      </c>
      <c r="AF287" s="317">
        <f t="shared" si="138"/>
        <v>7.1266666666666742E-2</v>
      </c>
      <c r="AG287" s="296">
        <v>7.1999999999999995E-2</v>
      </c>
      <c r="AI287" s="214"/>
      <c r="AJ287" s="211" t="s">
        <v>1363</v>
      </c>
    </row>
    <row r="288" spans="1:41" s="58" customFormat="1" outlineLevel="1" x14ac:dyDescent="0.2">
      <c r="A288" s="306" t="s">
        <v>1366</v>
      </c>
      <c r="B288" s="303"/>
      <c r="C288" s="304"/>
      <c r="D288" s="304"/>
      <c r="E288" s="304"/>
      <c r="F288" s="304"/>
      <c r="G288" s="304"/>
      <c r="H288" s="304"/>
      <c r="I288" s="304"/>
      <c r="J288" s="304"/>
      <c r="K288" s="304"/>
      <c r="L288" s="304"/>
      <c r="M288" s="304"/>
      <c r="N288" s="304"/>
      <c r="O288" s="304"/>
      <c r="P288" s="304"/>
      <c r="Q288" s="304"/>
      <c r="R288" s="304"/>
      <c r="S288" s="304"/>
      <c r="T288" s="304"/>
      <c r="U288" s="304"/>
      <c r="V288" s="304"/>
      <c r="W288" s="304"/>
      <c r="X288" s="304"/>
      <c r="Y288" s="304"/>
      <c r="Z288" s="304"/>
      <c r="AA288" s="304"/>
      <c r="AB288" s="304"/>
      <c r="AC288" s="304"/>
      <c r="AD288" s="304"/>
      <c r="AE288" s="304"/>
      <c r="AF288" s="304"/>
      <c r="AG288" s="304"/>
      <c r="AI288" s="305"/>
      <c r="AJ288" s="306"/>
    </row>
    <row r="289" spans="1:36" s="58" customFormat="1" outlineLevel="1" x14ac:dyDescent="0.2">
      <c r="A289" s="307" t="s">
        <v>1367</v>
      </c>
      <c r="B289" s="308" t="s">
        <v>462</v>
      </c>
      <c r="C289" s="337">
        <v>0.84</v>
      </c>
      <c r="D289" s="338">
        <f>-($C289-$AG289)/30+C289</f>
        <v>0.84399999999999997</v>
      </c>
      <c r="E289" s="338">
        <f t="shared" ref="E289:T290" si="140">-($C289-$AG289)/30+D289</f>
        <v>0.84799999999999998</v>
      </c>
      <c r="F289" s="338">
        <f t="shared" si="140"/>
        <v>0.85199999999999998</v>
      </c>
      <c r="G289" s="338">
        <f t="shared" si="140"/>
        <v>0.85599999999999998</v>
      </c>
      <c r="H289" s="338">
        <f t="shared" si="140"/>
        <v>0.86</v>
      </c>
      <c r="I289" s="338">
        <f t="shared" si="140"/>
        <v>0.86399999999999999</v>
      </c>
      <c r="J289" s="338">
        <f t="shared" si="140"/>
        <v>0.86799999999999999</v>
      </c>
      <c r="K289" s="338">
        <f t="shared" si="140"/>
        <v>0.872</v>
      </c>
      <c r="L289" s="338">
        <f t="shared" si="140"/>
        <v>0.876</v>
      </c>
      <c r="M289" s="338">
        <f t="shared" si="140"/>
        <v>0.88</v>
      </c>
      <c r="N289" s="338">
        <f t="shared" si="140"/>
        <v>0.88400000000000001</v>
      </c>
      <c r="O289" s="338">
        <f t="shared" si="140"/>
        <v>0.88800000000000001</v>
      </c>
      <c r="P289" s="338">
        <f t="shared" si="140"/>
        <v>0.89200000000000002</v>
      </c>
      <c r="Q289" s="338">
        <f t="shared" si="140"/>
        <v>0.89600000000000002</v>
      </c>
      <c r="R289" s="338">
        <f t="shared" si="140"/>
        <v>0.9</v>
      </c>
      <c r="S289" s="338">
        <f t="shared" si="140"/>
        <v>0.90400000000000003</v>
      </c>
      <c r="T289" s="338">
        <f t="shared" si="140"/>
        <v>0.90800000000000003</v>
      </c>
      <c r="U289" s="338">
        <f t="shared" ref="U289:AF290" si="141">-($C289-$AG289)/30+T289</f>
        <v>0.91200000000000003</v>
      </c>
      <c r="V289" s="338">
        <f t="shared" si="141"/>
        <v>0.91600000000000004</v>
      </c>
      <c r="W289" s="338">
        <f t="shared" si="141"/>
        <v>0.92</v>
      </c>
      <c r="X289" s="338">
        <f t="shared" si="141"/>
        <v>0.92400000000000004</v>
      </c>
      <c r="Y289" s="338">
        <f t="shared" si="141"/>
        <v>0.92800000000000005</v>
      </c>
      <c r="Z289" s="338">
        <f t="shared" si="141"/>
        <v>0.93200000000000005</v>
      </c>
      <c r="AA289" s="338">
        <f t="shared" si="141"/>
        <v>0.93600000000000005</v>
      </c>
      <c r="AB289" s="338">
        <f t="shared" si="141"/>
        <v>0.94000000000000006</v>
      </c>
      <c r="AC289" s="338">
        <f t="shared" si="141"/>
        <v>0.94400000000000006</v>
      </c>
      <c r="AD289" s="338">
        <f t="shared" si="141"/>
        <v>0.94800000000000006</v>
      </c>
      <c r="AE289" s="338">
        <f t="shared" si="141"/>
        <v>0.95200000000000007</v>
      </c>
      <c r="AF289" s="338">
        <f t="shared" si="141"/>
        <v>0.95600000000000007</v>
      </c>
      <c r="AG289" s="337">
        <v>0.96</v>
      </c>
      <c r="AI289" s="305"/>
      <c r="AJ289" s="339" t="s">
        <v>1363</v>
      </c>
    </row>
    <row r="290" spans="1:36" s="58" customFormat="1" outlineLevel="1" x14ac:dyDescent="0.2">
      <c r="A290" s="307" t="s">
        <v>1368</v>
      </c>
      <c r="B290" s="308" t="s">
        <v>462</v>
      </c>
      <c r="C290" s="337">
        <v>0.22</v>
      </c>
      <c r="D290" s="338">
        <f>-($C290-$AG290)/30+C290</f>
        <v>0.22666666666666666</v>
      </c>
      <c r="E290" s="338">
        <f t="shared" si="140"/>
        <v>0.23333333333333331</v>
      </c>
      <c r="F290" s="338">
        <f t="shared" si="140"/>
        <v>0.23999999999999996</v>
      </c>
      <c r="G290" s="338">
        <f t="shared" si="140"/>
        <v>0.24666666666666662</v>
      </c>
      <c r="H290" s="338">
        <f t="shared" si="140"/>
        <v>0.2533333333333333</v>
      </c>
      <c r="I290" s="338">
        <f t="shared" si="140"/>
        <v>0.25999999999999995</v>
      </c>
      <c r="J290" s="338">
        <f t="shared" si="140"/>
        <v>0.26666666666666661</v>
      </c>
      <c r="K290" s="338">
        <f t="shared" si="140"/>
        <v>0.27333333333333326</v>
      </c>
      <c r="L290" s="338">
        <f t="shared" si="140"/>
        <v>0.27999999999999992</v>
      </c>
      <c r="M290" s="338">
        <f t="shared" si="140"/>
        <v>0.28666666666666657</v>
      </c>
      <c r="N290" s="338">
        <f t="shared" si="140"/>
        <v>0.29333333333333322</v>
      </c>
      <c r="O290" s="338">
        <f t="shared" si="140"/>
        <v>0.29999999999999988</v>
      </c>
      <c r="P290" s="338">
        <f t="shared" si="140"/>
        <v>0.30666666666666653</v>
      </c>
      <c r="Q290" s="338">
        <f t="shared" si="140"/>
        <v>0.31333333333333319</v>
      </c>
      <c r="R290" s="338">
        <f t="shared" si="140"/>
        <v>0.31999999999999984</v>
      </c>
      <c r="S290" s="338">
        <f t="shared" si="140"/>
        <v>0.32666666666666649</v>
      </c>
      <c r="T290" s="338">
        <f t="shared" si="140"/>
        <v>0.33333333333333315</v>
      </c>
      <c r="U290" s="338">
        <f t="shared" si="141"/>
        <v>0.3399999999999998</v>
      </c>
      <c r="V290" s="338">
        <f t="shared" si="141"/>
        <v>0.34666666666666646</v>
      </c>
      <c r="W290" s="338">
        <f t="shared" si="141"/>
        <v>0.35333333333333311</v>
      </c>
      <c r="X290" s="338">
        <f t="shared" si="141"/>
        <v>0.35999999999999976</v>
      </c>
      <c r="Y290" s="338">
        <f t="shared" si="141"/>
        <v>0.36666666666666642</v>
      </c>
      <c r="Z290" s="338">
        <f t="shared" si="141"/>
        <v>0.37333333333333307</v>
      </c>
      <c r="AA290" s="338">
        <f t="shared" si="141"/>
        <v>0.37999999999999973</v>
      </c>
      <c r="AB290" s="338">
        <f t="shared" si="141"/>
        <v>0.38666666666666638</v>
      </c>
      <c r="AC290" s="338">
        <f t="shared" si="141"/>
        <v>0.39333333333333304</v>
      </c>
      <c r="AD290" s="338">
        <f t="shared" si="141"/>
        <v>0.39999999999999969</v>
      </c>
      <c r="AE290" s="338">
        <f t="shared" si="141"/>
        <v>0.40666666666666634</v>
      </c>
      <c r="AF290" s="338">
        <f t="shared" si="141"/>
        <v>0.413333333333333</v>
      </c>
      <c r="AG290" s="337">
        <v>0.42</v>
      </c>
      <c r="AI290" s="305"/>
      <c r="AJ290" s="339" t="s">
        <v>1363</v>
      </c>
    </row>
    <row r="291" spans="1:36" s="62" customFormat="1" outlineLevel="1" x14ac:dyDescent="0.2">
      <c r="A291" s="311" t="s">
        <v>1369</v>
      </c>
      <c r="B291" s="312" t="s">
        <v>462</v>
      </c>
      <c r="C291" s="340">
        <f>1-C290</f>
        <v>0.78</v>
      </c>
      <c r="D291" s="340">
        <f t="shared" ref="D291:AG291" si="142">1-D290</f>
        <v>0.77333333333333332</v>
      </c>
      <c r="E291" s="340">
        <f t="shared" si="142"/>
        <v>0.76666666666666672</v>
      </c>
      <c r="F291" s="340">
        <f t="shared" si="142"/>
        <v>0.76</v>
      </c>
      <c r="G291" s="340">
        <f t="shared" si="142"/>
        <v>0.75333333333333341</v>
      </c>
      <c r="H291" s="340">
        <f t="shared" si="142"/>
        <v>0.7466666666666667</v>
      </c>
      <c r="I291" s="340">
        <f t="shared" si="142"/>
        <v>0.74</v>
      </c>
      <c r="J291" s="340">
        <f t="shared" si="142"/>
        <v>0.73333333333333339</v>
      </c>
      <c r="K291" s="340">
        <f t="shared" si="142"/>
        <v>0.72666666666666679</v>
      </c>
      <c r="L291" s="340">
        <f t="shared" si="142"/>
        <v>0.72000000000000008</v>
      </c>
      <c r="M291" s="340">
        <f t="shared" si="142"/>
        <v>0.71333333333333337</v>
      </c>
      <c r="N291" s="340">
        <f t="shared" si="142"/>
        <v>0.70666666666666678</v>
      </c>
      <c r="O291" s="340">
        <f t="shared" si="142"/>
        <v>0.70000000000000018</v>
      </c>
      <c r="P291" s="340">
        <f t="shared" si="142"/>
        <v>0.69333333333333347</v>
      </c>
      <c r="Q291" s="340">
        <f t="shared" si="142"/>
        <v>0.68666666666666676</v>
      </c>
      <c r="R291" s="340">
        <f t="shared" si="142"/>
        <v>0.68000000000000016</v>
      </c>
      <c r="S291" s="340">
        <f t="shared" si="142"/>
        <v>0.67333333333333356</v>
      </c>
      <c r="T291" s="340">
        <f t="shared" si="142"/>
        <v>0.66666666666666685</v>
      </c>
      <c r="U291" s="340">
        <f t="shared" si="142"/>
        <v>0.66000000000000014</v>
      </c>
      <c r="V291" s="340">
        <f t="shared" si="142"/>
        <v>0.65333333333333354</v>
      </c>
      <c r="W291" s="340">
        <f t="shared" si="142"/>
        <v>0.64666666666666694</v>
      </c>
      <c r="X291" s="340">
        <f t="shared" si="142"/>
        <v>0.64000000000000024</v>
      </c>
      <c r="Y291" s="340">
        <f t="shared" si="142"/>
        <v>0.63333333333333353</v>
      </c>
      <c r="Z291" s="340">
        <f t="shared" si="142"/>
        <v>0.62666666666666693</v>
      </c>
      <c r="AA291" s="340">
        <f t="shared" si="142"/>
        <v>0.62000000000000033</v>
      </c>
      <c r="AB291" s="340">
        <f t="shared" si="142"/>
        <v>0.61333333333333362</v>
      </c>
      <c r="AC291" s="340">
        <f t="shared" si="142"/>
        <v>0.60666666666666691</v>
      </c>
      <c r="AD291" s="340">
        <f t="shared" si="142"/>
        <v>0.60000000000000031</v>
      </c>
      <c r="AE291" s="340">
        <f t="shared" si="142"/>
        <v>0.59333333333333371</v>
      </c>
      <c r="AF291" s="340">
        <f t="shared" si="142"/>
        <v>0.586666666666667</v>
      </c>
      <c r="AG291" s="340">
        <f t="shared" si="142"/>
        <v>0.58000000000000007</v>
      </c>
      <c r="AI291" s="342"/>
      <c r="AJ291" s="341" t="s">
        <v>1363</v>
      </c>
    </row>
    <row r="292" spans="1:36" s="1" customFormat="1" outlineLevel="1" x14ac:dyDescent="0.2">
      <c r="A292" t="s">
        <v>1370</v>
      </c>
      <c r="B292" s="302" t="s">
        <v>462</v>
      </c>
      <c r="C292" s="296">
        <v>0.95</v>
      </c>
      <c r="D292" s="317">
        <f t="shared" ref="D292:S307" si="143">-($C292-$AG292)/30+C292</f>
        <v>0.94499999999999995</v>
      </c>
      <c r="E292" s="317">
        <f t="shared" si="143"/>
        <v>0.94</v>
      </c>
      <c r="F292" s="317">
        <f t="shared" si="143"/>
        <v>0.93499999999999994</v>
      </c>
      <c r="G292" s="317">
        <f t="shared" si="143"/>
        <v>0.92999999999999994</v>
      </c>
      <c r="H292" s="317">
        <f t="shared" si="143"/>
        <v>0.92499999999999993</v>
      </c>
      <c r="I292" s="317">
        <f t="shared" si="143"/>
        <v>0.91999999999999993</v>
      </c>
      <c r="J292" s="317">
        <f t="shared" si="143"/>
        <v>0.91499999999999992</v>
      </c>
      <c r="K292" s="317">
        <f t="shared" si="143"/>
        <v>0.90999999999999992</v>
      </c>
      <c r="L292" s="317">
        <f t="shared" si="143"/>
        <v>0.90499999999999992</v>
      </c>
      <c r="M292" s="317">
        <f t="shared" si="143"/>
        <v>0.89999999999999991</v>
      </c>
      <c r="N292" s="317">
        <f t="shared" si="143"/>
        <v>0.89499999999999991</v>
      </c>
      <c r="O292" s="317">
        <f t="shared" si="143"/>
        <v>0.8899999999999999</v>
      </c>
      <c r="P292" s="317">
        <f t="shared" si="143"/>
        <v>0.8849999999999999</v>
      </c>
      <c r="Q292" s="317">
        <f t="shared" si="143"/>
        <v>0.87999999999999989</v>
      </c>
      <c r="R292" s="317">
        <f t="shared" si="143"/>
        <v>0.87499999999999989</v>
      </c>
      <c r="S292" s="317">
        <f t="shared" si="143"/>
        <v>0.86999999999999988</v>
      </c>
      <c r="T292" s="317">
        <f t="shared" ref="T292:AF306" si="144">-($C292-$AG292)/30+S292</f>
        <v>0.86499999999999988</v>
      </c>
      <c r="U292" s="317">
        <f t="shared" si="144"/>
        <v>0.85999999999999988</v>
      </c>
      <c r="V292" s="317">
        <f t="shared" si="144"/>
        <v>0.85499999999999987</v>
      </c>
      <c r="W292" s="317">
        <f t="shared" si="144"/>
        <v>0.84999999999999987</v>
      </c>
      <c r="X292" s="317">
        <f t="shared" si="144"/>
        <v>0.84499999999999986</v>
      </c>
      <c r="Y292" s="317">
        <f t="shared" si="144"/>
        <v>0.83999999999999986</v>
      </c>
      <c r="Z292" s="317">
        <f t="shared" si="144"/>
        <v>0.83499999999999985</v>
      </c>
      <c r="AA292" s="317">
        <f t="shared" si="144"/>
        <v>0.82999999999999985</v>
      </c>
      <c r="AB292" s="317">
        <f t="shared" si="144"/>
        <v>0.82499999999999984</v>
      </c>
      <c r="AC292" s="317">
        <f t="shared" si="144"/>
        <v>0.81999999999999984</v>
      </c>
      <c r="AD292" s="317">
        <f t="shared" si="144"/>
        <v>0.81499999999999984</v>
      </c>
      <c r="AE292" s="317">
        <f t="shared" si="144"/>
        <v>0.80999999999999983</v>
      </c>
      <c r="AF292" s="317">
        <f t="shared" si="144"/>
        <v>0.80499999999999983</v>
      </c>
      <c r="AG292" s="296">
        <v>0.8</v>
      </c>
      <c r="AI292" s="316"/>
      <c r="AJ292" s="211" t="s">
        <v>1363</v>
      </c>
    </row>
    <row r="293" spans="1:36" s="1" customFormat="1" outlineLevel="1" x14ac:dyDescent="0.2">
      <c r="A293" t="s">
        <v>1371</v>
      </c>
      <c r="B293" s="302" t="s">
        <v>462</v>
      </c>
      <c r="C293" s="296">
        <v>0.05</v>
      </c>
      <c r="D293" s="317">
        <f t="shared" si="143"/>
        <v>5.5000000000000007E-2</v>
      </c>
      <c r="E293" s="317">
        <f t="shared" si="143"/>
        <v>6.0000000000000012E-2</v>
      </c>
      <c r="F293" s="317">
        <f t="shared" si="143"/>
        <v>6.5000000000000016E-2</v>
      </c>
      <c r="G293" s="317">
        <f t="shared" si="143"/>
        <v>7.0000000000000021E-2</v>
      </c>
      <c r="H293" s="317">
        <f t="shared" si="143"/>
        <v>7.5000000000000025E-2</v>
      </c>
      <c r="I293" s="317">
        <f t="shared" si="143"/>
        <v>8.0000000000000029E-2</v>
      </c>
      <c r="J293" s="317">
        <f t="shared" si="143"/>
        <v>8.5000000000000034E-2</v>
      </c>
      <c r="K293" s="317">
        <f t="shared" si="143"/>
        <v>9.0000000000000038E-2</v>
      </c>
      <c r="L293" s="317">
        <f t="shared" si="143"/>
        <v>9.5000000000000043E-2</v>
      </c>
      <c r="M293" s="317">
        <f t="shared" si="143"/>
        <v>0.10000000000000005</v>
      </c>
      <c r="N293" s="317">
        <f t="shared" si="143"/>
        <v>0.10500000000000005</v>
      </c>
      <c r="O293" s="317">
        <f t="shared" si="143"/>
        <v>0.11000000000000006</v>
      </c>
      <c r="P293" s="317">
        <f t="shared" si="143"/>
        <v>0.11500000000000006</v>
      </c>
      <c r="Q293" s="317">
        <f t="shared" si="143"/>
        <v>0.12000000000000006</v>
      </c>
      <c r="R293" s="317">
        <f t="shared" si="143"/>
        <v>0.12500000000000006</v>
      </c>
      <c r="S293" s="317">
        <f t="shared" si="143"/>
        <v>0.13000000000000006</v>
      </c>
      <c r="T293" s="317">
        <f t="shared" si="144"/>
        <v>0.13500000000000006</v>
      </c>
      <c r="U293" s="317">
        <f t="shared" si="144"/>
        <v>0.14000000000000007</v>
      </c>
      <c r="V293" s="317">
        <f t="shared" si="144"/>
        <v>0.14500000000000007</v>
      </c>
      <c r="W293" s="317">
        <f t="shared" si="144"/>
        <v>0.15000000000000008</v>
      </c>
      <c r="X293" s="317">
        <f t="shared" si="144"/>
        <v>0.15500000000000008</v>
      </c>
      <c r="Y293" s="317">
        <f t="shared" si="144"/>
        <v>0.16000000000000009</v>
      </c>
      <c r="Z293" s="317">
        <f t="shared" si="144"/>
        <v>0.16500000000000009</v>
      </c>
      <c r="AA293" s="317">
        <f t="shared" si="144"/>
        <v>0.1700000000000001</v>
      </c>
      <c r="AB293" s="317">
        <f t="shared" si="144"/>
        <v>0.1750000000000001</v>
      </c>
      <c r="AC293" s="317">
        <f t="shared" si="144"/>
        <v>0.1800000000000001</v>
      </c>
      <c r="AD293" s="317">
        <f t="shared" si="144"/>
        <v>0.18500000000000011</v>
      </c>
      <c r="AE293" s="317">
        <f t="shared" si="144"/>
        <v>0.19000000000000011</v>
      </c>
      <c r="AF293" s="317">
        <f t="shared" si="144"/>
        <v>0.19500000000000012</v>
      </c>
      <c r="AG293" s="296">
        <v>0.2</v>
      </c>
      <c r="AI293" s="435" t="s">
        <v>1506</v>
      </c>
      <c r="AJ293" s="211" t="s">
        <v>1363</v>
      </c>
    </row>
    <row r="294" spans="1:36" s="1" customFormat="1" outlineLevel="1" x14ac:dyDescent="0.2">
      <c r="A294" t="s">
        <v>1372</v>
      </c>
      <c r="B294" s="302" t="s">
        <v>462</v>
      </c>
      <c r="C294" s="296">
        <v>0.15</v>
      </c>
      <c r="D294" s="317">
        <f t="shared" si="143"/>
        <v>0.15633333333333332</v>
      </c>
      <c r="E294" s="317">
        <f t="shared" si="143"/>
        <v>0.16266666666666665</v>
      </c>
      <c r="F294" s="317">
        <f t="shared" si="143"/>
        <v>0.16899999999999998</v>
      </c>
      <c r="G294" s="317">
        <f t="shared" si="143"/>
        <v>0.17533333333333331</v>
      </c>
      <c r="H294" s="317">
        <f t="shared" si="143"/>
        <v>0.18166666666666664</v>
      </c>
      <c r="I294" s="317">
        <f t="shared" si="143"/>
        <v>0.18799999999999997</v>
      </c>
      <c r="J294" s="317">
        <f t="shared" si="143"/>
        <v>0.1943333333333333</v>
      </c>
      <c r="K294" s="317">
        <f t="shared" si="143"/>
        <v>0.20066666666666663</v>
      </c>
      <c r="L294" s="317">
        <f t="shared" si="143"/>
        <v>0.20699999999999996</v>
      </c>
      <c r="M294" s="317">
        <f t="shared" si="143"/>
        <v>0.21333333333333329</v>
      </c>
      <c r="N294" s="317">
        <f t="shared" si="143"/>
        <v>0.21966666666666662</v>
      </c>
      <c r="O294" s="317">
        <f t="shared" si="143"/>
        <v>0.22599999999999995</v>
      </c>
      <c r="P294" s="317">
        <f t="shared" si="143"/>
        <v>0.23233333333333328</v>
      </c>
      <c r="Q294" s="317">
        <f t="shared" si="143"/>
        <v>0.23866666666666661</v>
      </c>
      <c r="R294" s="317">
        <f t="shared" si="143"/>
        <v>0.24499999999999994</v>
      </c>
      <c r="S294" s="317">
        <f t="shared" si="143"/>
        <v>0.2513333333333333</v>
      </c>
      <c r="T294" s="317">
        <f t="shared" si="144"/>
        <v>0.25766666666666665</v>
      </c>
      <c r="U294" s="317">
        <f t="shared" si="144"/>
        <v>0.26400000000000001</v>
      </c>
      <c r="V294" s="317">
        <f t="shared" si="144"/>
        <v>0.27033333333333337</v>
      </c>
      <c r="W294" s="317">
        <f t="shared" si="144"/>
        <v>0.27666666666666673</v>
      </c>
      <c r="X294" s="317">
        <f t="shared" si="144"/>
        <v>0.28300000000000008</v>
      </c>
      <c r="Y294" s="317">
        <f t="shared" si="144"/>
        <v>0.28933333333333344</v>
      </c>
      <c r="Z294" s="317">
        <f t="shared" si="144"/>
        <v>0.2956666666666668</v>
      </c>
      <c r="AA294" s="317">
        <f t="shared" si="144"/>
        <v>0.30200000000000016</v>
      </c>
      <c r="AB294" s="317">
        <f t="shared" si="144"/>
        <v>0.30833333333333351</v>
      </c>
      <c r="AC294" s="317">
        <f t="shared" si="144"/>
        <v>0.31466666666666687</v>
      </c>
      <c r="AD294" s="317">
        <f t="shared" si="144"/>
        <v>0.32100000000000023</v>
      </c>
      <c r="AE294" s="317">
        <f t="shared" si="144"/>
        <v>0.32733333333333359</v>
      </c>
      <c r="AF294" s="317">
        <f t="shared" si="144"/>
        <v>0.33366666666666694</v>
      </c>
      <c r="AG294" s="296">
        <v>0.34</v>
      </c>
      <c r="AI294" s="316"/>
      <c r="AJ294" s="211" t="s">
        <v>1363</v>
      </c>
    </row>
    <row r="295" spans="1:36" s="1" customFormat="1" outlineLevel="1" x14ac:dyDescent="0.2">
      <c r="A295" t="s">
        <v>1373</v>
      </c>
      <c r="B295" s="302" t="s">
        <v>462</v>
      </c>
      <c r="C295" s="296">
        <v>0.85</v>
      </c>
      <c r="D295" s="317">
        <f t="shared" si="143"/>
        <v>0.84366666666666668</v>
      </c>
      <c r="E295" s="317">
        <f t="shared" si="143"/>
        <v>0.83733333333333337</v>
      </c>
      <c r="F295" s="317">
        <f t="shared" si="143"/>
        <v>0.83100000000000007</v>
      </c>
      <c r="G295" s="317">
        <f t="shared" si="143"/>
        <v>0.82466666666666677</v>
      </c>
      <c r="H295" s="317">
        <f t="shared" si="143"/>
        <v>0.81833333333333347</v>
      </c>
      <c r="I295" s="317">
        <f t="shared" si="143"/>
        <v>0.81200000000000017</v>
      </c>
      <c r="J295" s="317">
        <f t="shared" si="143"/>
        <v>0.80566666666666686</v>
      </c>
      <c r="K295" s="317">
        <f t="shared" si="143"/>
        <v>0.79933333333333356</v>
      </c>
      <c r="L295" s="317">
        <f t="shared" si="143"/>
        <v>0.79300000000000026</v>
      </c>
      <c r="M295" s="317">
        <f t="shared" si="143"/>
        <v>0.78666666666666696</v>
      </c>
      <c r="N295" s="317">
        <f t="shared" si="143"/>
        <v>0.78033333333333366</v>
      </c>
      <c r="O295" s="317">
        <f t="shared" si="143"/>
        <v>0.77400000000000035</v>
      </c>
      <c r="P295" s="317">
        <f t="shared" si="143"/>
        <v>0.76766666666666705</v>
      </c>
      <c r="Q295" s="317">
        <f t="shared" si="143"/>
        <v>0.76133333333333375</v>
      </c>
      <c r="R295" s="317">
        <f t="shared" si="143"/>
        <v>0.75500000000000045</v>
      </c>
      <c r="S295" s="317">
        <f t="shared" si="143"/>
        <v>0.74866666666666715</v>
      </c>
      <c r="T295" s="317">
        <f t="shared" si="144"/>
        <v>0.74233333333333384</v>
      </c>
      <c r="U295" s="317">
        <f t="shared" si="144"/>
        <v>0.73600000000000054</v>
      </c>
      <c r="V295" s="317">
        <f t="shared" si="144"/>
        <v>0.72966666666666724</v>
      </c>
      <c r="W295" s="317">
        <f t="shared" si="144"/>
        <v>0.72333333333333394</v>
      </c>
      <c r="X295" s="317">
        <f t="shared" si="144"/>
        <v>0.71700000000000064</v>
      </c>
      <c r="Y295" s="317">
        <f t="shared" si="144"/>
        <v>0.71066666666666733</v>
      </c>
      <c r="Z295" s="317">
        <f t="shared" si="144"/>
        <v>0.70433333333333403</v>
      </c>
      <c r="AA295" s="317">
        <f t="shared" si="144"/>
        <v>0.69800000000000073</v>
      </c>
      <c r="AB295" s="317">
        <f t="shared" si="144"/>
        <v>0.69166666666666743</v>
      </c>
      <c r="AC295" s="317">
        <f t="shared" si="144"/>
        <v>0.68533333333333413</v>
      </c>
      <c r="AD295" s="317">
        <f t="shared" si="144"/>
        <v>0.67900000000000083</v>
      </c>
      <c r="AE295" s="317">
        <f t="shared" si="144"/>
        <v>0.67266666666666752</v>
      </c>
      <c r="AF295" s="317">
        <f t="shared" si="144"/>
        <v>0.66633333333333422</v>
      </c>
      <c r="AG295" s="296">
        <v>0.66</v>
      </c>
      <c r="AI295" s="316"/>
      <c r="AJ295" s="211" t="s">
        <v>1363</v>
      </c>
    </row>
    <row r="296" spans="1:36" s="1" customFormat="1" outlineLevel="1" x14ac:dyDescent="0.2">
      <c r="A296" t="s">
        <v>1374</v>
      </c>
      <c r="B296" s="302" t="s">
        <v>462</v>
      </c>
      <c r="C296" s="296">
        <v>0</v>
      </c>
      <c r="D296" s="317">
        <f t="shared" si="143"/>
        <v>0</v>
      </c>
      <c r="E296" s="317">
        <f t="shared" si="143"/>
        <v>0</v>
      </c>
      <c r="F296" s="317">
        <f t="shared" si="143"/>
        <v>0</v>
      </c>
      <c r="G296" s="317">
        <f t="shared" si="143"/>
        <v>0</v>
      </c>
      <c r="H296" s="317">
        <f t="shared" si="143"/>
        <v>0</v>
      </c>
      <c r="I296" s="317">
        <f t="shared" si="143"/>
        <v>0</v>
      </c>
      <c r="J296" s="317">
        <f t="shared" si="143"/>
        <v>0</v>
      </c>
      <c r="K296" s="317">
        <f t="shared" si="143"/>
        <v>0</v>
      </c>
      <c r="L296" s="317">
        <f t="shared" si="143"/>
        <v>0</v>
      </c>
      <c r="M296" s="317">
        <f t="shared" si="143"/>
        <v>0</v>
      </c>
      <c r="N296" s="317">
        <f t="shared" si="143"/>
        <v>0</v>
      </c>
      <c r="O296" s="317">
        <f t="shared" si="143"/>
        <v>0</v>
      </c>
      <c r="P296" s="317">
        <f t="shared" si="143"/>
        <v>0</v>
      </c>
      <c r="Q296" s="317">
        <f t="shared" si="143"/>
        <v>0</v>
      </c>
      <c r="R296" s="317">
        <f t="shared" si="143"/>
        <v>0</v>
      </c>
      <c r="S296" s="317">
        <f t="shared" si="143"/>
        <v>0</v>
      </c>
      <c r="T296" s="317">
        <f t="shared" si="144"/>
        <v>0</v>
      </c>
      <c r="U296" s="317">
        <f t="shared" si="144"/>
        <v>0</v>
      </c>
      <c r="V296" s="317">
        <f t="shared" si="144"/>
        <v>0</v>
      </c>
      <c r="W296" s="317">
        <f t="shared" si="144"/>
        <v>0</v>
      </c>
      <c r="X296" s="317">
        <f t="shared" si="144"/>
        <v>0</v>
      </c>
      <c r="Y296" s="317">
        <f t="shared" si="144"/>
        <v>0</v>
      </c>
      <c r="Z296" s="317">
        <f t="shared" si="144"/>
        <v>0</v>
      </c>
      <c r="AA296" s="317">
        <f t="shared" si="144"/>
        <v>0</v>
      </c>
      <c r="AB296" s="317">
        <f t="shared" si="144"/>
        <v>0</v>
      </c>
      <c r="AC296" s="317">
        <f t="shared" si="144"/>
        <v>0</v>
      </c>
      <c r="AD296" s="317">
        <f t="shared" si="144"/>
        <v>0</v>
      </c>
      <c r="AE296" s="317">
        <f t="shared" si="144"/>
        <v>0</v>
      </c>
      <c r="AF296" s="317">
        <f t="shared" si="144"/>
        <v>0</v>
      </c>
      <c r="AG296" s="296">
        <v>0</v>
      </c>
      <c r="AI296" s="316"/>
      <c r="AJ296" s="211" t="s">
        <v>1363</v>
      </c>
    </row>
    <row r="297" spans="1:36" s="1" customFormat="1" outlineLevel="1" x14ac:dyDescent="0.2">
      <c r="A297" t="s">
        <v>1375</v>
      </c>
      <c r="B297" s="302" t="s">
        <v>462</v>
      </c>
      <c r="C297" s="296">
        <v>1</v>
      </c>
      <c r="D297" s="317">
        <f t="shared" si="143"/>
        <v>1</v>
      </c>
      <c r="E297" s="317">
        <f t="shared" si="143"/>
        <v>1</v>
      </c>
      <c r="F297" s="317">
        <f t="shared" si="143"/>
        <v>1</v>
      </c>
      <c r="G297" s="317">
        <f t="shared" si="143"/>
        <v>1</v>
      </c>
      <c r="H297" s="317">
        <f t="shared" si="143"/>
        <v>1</v>
      </c>
      <c r="I297" s="317">
        <f t="shared" si="143"/>
        <v>1</v>
      </c>
      <c r="J297" s="317">
        <f t="shared" si="143"/>
        <v>1</v>
      </c>
      <c r="K297" s="317">
        <f t="shared" si="143"/>
        <v>1</v>
      </c>
      <c r="L297" s="317">
        <f t="shared" si="143"/>
        <v>1</v>
      </c>
      <c r="M297" s="317">
        <f t="shared" si="143"/>
        <v>1</v>
      </c>
      <c r="N297" s="317">
        <f t="shared" si="143"/>
        <v>1</v>
      </c>
      <c r="O297" s="317">
        <f t="shared" si="143"/>
        <v>1</v>
      </c>
      <c r="P297" s="317">
        <f t="shared" si="143"/>
        <v>1</v>
      </c>
      <c r="Q297" s="317">
        <f t="shared" si="143"/>
        <v>1</v>
      </c>
      <c r="R297" s="317">
        <f t="shared" si="143"/>
        <v>1</v>
      </c>
      <c r="S297" s="317">
        <f t="shared" si="143"/>
        <v>1</v>
      </c>
      <c r="T297" s="317">
        <f t="shared" si="144"/>
        <v>1</v>
      </c>
      <c r="U297" s="317">
        <f t="shared" si="144"/>
        <v>1</v>
      </c>
      <c r="V297" s="317">
        <f t="shared" si="144"/>
        <v>1</v>
      </c>
      <c r="W297" s="317">
        <f t="shared" si="144"/>
        <v>1</v>
      </c>
      <c r="X297" s="317">
        <f t="shared" si="144"/>
        <v>1</v>
      </c>
      <c r="Y297" s="317">
        <f t="shared" si="144"/>
        <v>1</v>
      </c>
      <c r="Z297" s="317">
        <f t="shared" si="144"/>
        <v>1</v>
      </c>
      <c r="AA297" s="317">
        <f t="shared" si="144"/>
        <v>1</v>
      </c>
      <c r="AB297" s="317">
        <f t="shared" si="144"/>
        <v>1</v>
      </c>
      <c r="AC297" s="317">
        <f t="shared" si="144"/>
        <v>1</v>
      </c>
      <c r="AD297" s="317">
        <f t="shared" si="144"/>
        <v>1</v>
      </c>
      <c r="AE297" s="317">
        <f t="shared" si="144"/>
        <v>1</v>
      </c>
      <c r="AF297" s="317">
        <f t="shared" si="144"/>
        <v>1</v>
      </c>
      <c r="AG297" s="296">
        <v>1</v>
      </c>
      <c r="AI297" s="316"/>
      <c r="AJ297" s="211" t="s">
        <v>1363</v>
      </c>
    </row>
    <row r="298" spans="1:36" s="1" customFormat="1" outlineLevel="1" x14ac:dyDescent="0.2">
      <c r="A298" t="s">
        <v>1376</v>
      </c>
      <c r="B298" s="302" t="s">
        <v>462</v>
      </c>
      <c r="C298" s="296">
        <v>0.8</v>
      </c>
      <c r="D298" s="317">
        <f t="shared" si="143"/>
        <v>0.80333333333333334</v>
      </c>
      <c r="E298" s="317">
        <f t="shared" si="143"/>
        <v>0.80666666666666664</v>
      </c>
      <c r="F298" s="317">
        <f t="shared" si="143"/>
        <v>0.80999999999999994</v>
      </c>
      <c r="G298" s="317">
        <f t="shared" si="143"/>
        <v>0.81333333333333324</v>
      </c>
      <c r="H298" s="317">
        <f t="shared" si="143"/>
        <v>0.81666666666666654</v>
      </c>
      <c r="I298" s="317">
        <f t="shared" si="143"/>
        <v>0.81999999999999984</v>
      </c>
      <c r="J298" s="317">
        <f t="shared" si="143"/>
        <v>0.82333333333333314</v>
      </c>
      <c r="K298" s="317">
        <f t="shared" si="143"/>
        <v>0.82666666666666644</v>
      </c>
      <c r="L298" s="317">
        <f t="shared" si="143"/>
        <v>0.82999999999999974</v>
      </c>
      <c r="M298" s="317">
        <f t="shared" si="143"/>
        <v>0.83333333333333304</v>
      </c>
      <c r="N298" s="317">
        <f t="shared" si="143"/>
        <v>0.83666666666666634</v>
      </c>
      <c r="O298" s="317">
        <f t="shared" si="143"/>
        <v>0.83999999999999964</v>
      </c>
      <c r="P298" s="317">
        <f t="shared" si="143"/>
        <v>0.84333333333333294</v>
      </c>
      <c r="Q298" s="317">
        <f t="shared" si="143"/>
        <v>0.84666666666666623</v>
      </c>
      <c r="R298" s="317">
        <f t="shared" si="143"/>
        <v>0.84999999999999953</v>
      </c>
      <c r="S298" s="317">
        <f t="shared" si="143"/>
        <v>0.85333333333333283</v>
      </c>
      <c r="T298" s="317">
        <f t="shared" si="144"/>
        <v>0.85666666666666613</v>
      </c>
      <c r="U298" s="317">
        <f t="shared" si="144"/>
        <v>0.85999999999999943</v>
      </c>
      <c r="V298" s="317">
        <f t="shared" si="144"/>
        <v>0.86333333333333273</v>
      </c>
      <c r="W298" s="317">
        <f t="shared" si="144"/>
        <v>0.86666666666666603</v>
      </c>
      <c r="X298" s="317">
        <f t="shared" si="144"/>
        <v>0.86999999999999933</v>
      </c>
      <c r="Y298" s="317">
        <f t="shared" si="144"/>
        <v>0.87333333333333263</v>
      </c>
      <c r="Z298" s="317">
        <f t="shared" si="144"/>
        <v>0.87666666666666593</v>
      </c>
      <c r="AA298" s="317">
        <f t="shared" si="144"/>
        <v>0.87999999999999923</v>
      </c>
      <c r="AB298" s="317">
        <f t="shared" si="144"/>
        <v>0.88333333333333253</v>
      </c>
      <c r="AC298" s="317">
        <f t="shared" si="144"/>
        <v>0.88666666666666583</v>
      </c>
      <c r="AD298" s="317">
        <f t="shared" si="144"/>
        <v>0.88999999999999913</v>
      </c>
      <c r="AE298" s="317">
        <f t="shared" si="144"/>
        <v>0.89333333333333242</v>
      </c>
      <c r="AF298" s="317">
        <f t="shared" si="144"/>
        <v>0.89666666666666572</v>
      </c>
      <c r="AG298" s="296">
        <v>0.9</v>
      </c>
      <c r="AI298" s="316"/>
      <c r="AJ298" s="211" t="s">
        <v>1363</v>
      </c>
    </row>
    <row r="299" spans="1:36" s="1" customFormat="1" outlineLevel="1" x14ac:dyDescent="0.2">
      <c r="A299" t="s">
        <v>1377</v>
      </c>
      <c r="B299" s="302" t="s">
        <v>462</v>
      </c>
      <c r="C299" s="296">
        <v>0.2</v>
      </c>
      <c r="D299" s="317">
        <f t="shared" si="143"/>
        <v>0.19666666666666668</v>
      </c>
      <c r="E299" s="317">
        <f t="shared" si="143"/>
        <v>0.19333333333333336</v>
      </c>
      <c r="F299" s="317">
        <f t="shared" si="143"/>
        <v>0.19000000000000003</v>
      </c>
      <c r="G299" s="317">
        <f t="shared" si="143"/>
        <v>0.1866666666666667</v>
      </c>
      <c r="H299" s="317">
        <f t="shared" si="143"/>
        <v>0.18333333333333338</v>
      </c>
      <c r="I299" s="317">
        <f t="shared" si="143"/>
        <v>0.18000000000000005</v>
      </c>
      <c r="J299" s="317">
        <f t="shared" si="143"/>
        <v>0.17666666666666672</v>
      </c>
      <c r="K299" s="317">
        <f t="shared" si="143"/>
        <v>0.17333333333333339</v>
      </c>
      <c r="L299" s="317">
        <f t="shared" si="143"/>
        <v>0.17000000000000007</v>
      </c>
      <c r="M299" s="317">
        <f t="shared" si="143"/>
        <v>0.16666666666666674</v>
      </c>
      <c r="N299" s="317">
        <f t="shared" si="143"/>
        <v>0.16333333333333341</v>
      </c>
      <c r="O299" s="317">
        <f t="shared" si="143"/>
        <v>0.16000000000000009</v>
      </c>
      <c r="P299" s="317">
        <f t="shared" si="143"/>
        <v>0.15666666666666676</v>
      </c>
      <c r="Q299" s="317">
        <f t="shared" si="143"/>
        <v>0.15333333333333343</v>
      </c>
      <c r="R299" s="317">
        <f t="shared" si="143"/>
        <v>0.15000000000000011</v>
      </c>
      <c r="S299" s="317">
        <f t="shared" si="143"/>
        <v>0.14666666666666678</v>
      </c>
      <c r="T299" s="317">
        <f t="shared" si="144"/>
        <v>0.14333333333333345</v>
      </c>
      <c r="U299" s="317">
        <f t="shared" si="144"/>
        <v>0.14000000000000012</v>
      </c>
      <c r="V299" s="317">
        <f t="shared" si="144"/>
        <v>0.1366666666666668</v>
      </c>
      <c r="W299" s="317">
        <f t="shared" si="144"/>
        <v>0.13333333333333347</v>
      </c>
      <c r="X299" s="317">
        <f t="shared" si="144"/>
        <v>0.13000000000000014</v>
      </c>
      <c r="Y299" s="317">
        <f t="shared" si="144"/>
        <v>0.12666666666666682</v>
      </c>
      <c r="Z299" s="317">
        <f t="shared" si="144"/>
        <v>0.12333333333333349</v>
      </c>
      <c r="AA299" s="317">
        <f t="shared" si="144"/>
        <v>0.12000000000000016</v>
      </c>
      <c r="AB299" s="317">
        <f t="shared" si="144"/>
        <v>0.11666666666666684</v>
      </c>
      <c r="AC299" s="317">
        <f t="shared" si="144"/>
        <v>0.11333333333333351</v>
      </c>
      <c r="AD299" s="317">
        <f t="shared" si="144"/>
        <v>0.11000000000000018</v>
      </c>
      <c r="AE299" s="317">
        <f t="shared" si="144"/>
        <v>0.10666666666666685</v>
      </c>
      <c r="AF299" s="317">
        <f t="shared" si="144"/>
        <v>0.10333333333333353</v>
      </c>
      <c r="AG299" s="296">
        <v>0.1</v>
      </c>
      <c r="AI299" s="316"/>
      <c r="AJ299" s="211" t="s">
        <v>1363</v>
      </c>
    </row>
    <row r="300" spans="1:36" s="1" customFormat="1" outlineLevel="1" x14ac:dyDescent="0.2">
      <c r="A300" t="s">
        <v>1378</v>
      </c>
      <c r="B300" s="302" t="s">
        <v>462</v>
      </c>
      <c r="C300" s="296">
        <v>0.95</v>
      </c>
      <c r="D300" s="317">
        <f t="shared" si="143"/>
        <v>0.94866666666666666</v>
      </c>
      <c r="E300" s="317">
        <f t="shared" si="143"/>
        <v>0.94733333333333336</v>
      </c>
      <c r="F300" s="317">
        <f t="shared" si="143"/>
        <v>0.94600000000000006</v>
      </c>
      <c r="G300" s="317">
        <f t="shared" si="143"/>
        <v>0.94466666666666677</v>
      </c>
      <c r="H300" s="317">
        <f t="shared" si="143"/>
        <v>0.94333333333333347</v>
      </c>
      <c r="I300" s="317">
        <f t="shared" si="143"/>
        <v>0.94200000000000017</v>
      </c>
      <c r="J300" s="317">
        <f t="shared" si="143"/>
        <v>0.94066666666666687</v>
      </c>
      <c r="K300" s="317">
        <f t="shared" si="143"/>
        <v>0.93933333333333358</v>
      </c>
      <c r="L300" s="317">
        <f t="shared" si="143"/>
        <v>0.93800000000000028</v>
      </c>
      <c r="M300" s="317">
        <f t="shared" si="143"/>
        <v>0.93666666666666698</v>
      </c>
      <c r="N300" s="317">
        <f t="shared" si="143"/>
        <v>0.93533333333333368</v>
      </c>
      <c r="O300" s="317">
        <f t="shared" si="143"/>
        <v>0.93400000000000039</v>
      </c>
      <c r="P300" s="317">
        <f t="shared" si="143"/>
        <v>0.93266666666666709</v>
      </c>
      <c r="Q300" s="317">
        <f t="shared" si="143"/>
        <v>0.93133333333333379</v>
      </c>
      <c r="R300" s="317">
        <f t="shared" si="143"/>
        <v>0.93000000000000049</v>
      </c>
      <c r="S300" s="317">
        <f t="shared" si="143"/>
        <v>0.9286666666666672</v>
      </c>
      <c r="T300" s="317">
        <f t="shared" si="144"/>
        <v>0.9273333333333339</v>
      </c>
      <c r="U300" s="317">
        <f t="shared" si="144"/>
        <v>0.9260000000000006</v>
      </c>
      <c r="V300" s="317">
        <f t="shared" si="144"/>
        <v>0.9246666666666673</v>
      </c>
      <c r="W300" s="317">
        <f t="shared" si="144"/>
        <v>0.92333333333333401</v>
      </c>
      <c r="X300" s="317">
        <f t="shared" si="144"/>
        <v>0.92200000000000071</v>
      </c>
      <c r="Y300" s="317">
        <f t="shared" si="144"/>
        <v>0.92066666666666741</v>
      </c>
      <c r="Z300" s="317">
        <f t="shared" si="144"/>
        <v>0.91933333333333411</v>
      </c>
      <c r="AA300" s="317">
        <f t="shared" si="144"/>
        <v>0.91800000000000082</v>
      </c>
      <c r="AB300" s="317">
        <f t="shared" si="144"/>
        <v>0.91666666666666752</v>
      </c>
      <c r="AC300" s="317">
        <f t="shared" si="144"/>
        <v>0.91533333333333422</v>
      </c>
      <c r="AD300" s="317">
        <f t="shared" si="144"/>
        <v>0.91400000000000092</v>
      </c>
      <c r="AE300" s="317">
        <f t="shared" si="144"/>
        <v>0.91266666666666763</v>
      </c>
      <c r="AF300" s="317">
        <f t="shared" si="144"/>
        <v>0.91133333333333433</v>
      </c>
      <c r="AG300" s="296">
        <v>0.91</v>
      </c>
      <c r="AI300" s="316"/>
      <c r="AJ300" s="211" t="s">
        <v>1363</v>
      </c>
    </row>
    <row r="301" spans="1:36" s="1" customFormat="1" outlineLevel="1" x14ac:dyDescent="0.2">
      <c r="A301" t="s">
        <v>1379</v>
      </c>
      <c r="B301" s="302" t="s">
        <v>462</v>
      </c>
      <c r="C301" s="296">
        <v>0.05</v>
      </c>
      <c r="D301" s="317">
        <f t="shared" si="143"/>
        <v>5.1333333333333335E-2</v>
      </c>
      <c r="E301" s="317">
        <f t="shared" si="143"/>
        <v>5.2666666666666667E-2</v>
      </c>
      <c r="F301" s="317">
        <f t="shared" si="143"/>
        <v>5.3999999999999999E-2</v>
      </c>
      <c r="G301" s="317">
        <f t="shared" si="143"/>
        <v>5.5333333333333332E-2</v>
      </c>
      <c r="H301" s="317">
        <f t="shared" si="143"/>
        <v>5.6666666666666664E-2</v>
      </c>
      <c r="I301" s="317">
        <f t="shared" si="143"/>
        <v>5.7999999999999996E-2</v>
      </c>
      <c r="J301" s="317">
        <f t="shared" si="143"/>
        <v>5.9333333333333328E-2</v>
      </c>
      <c r="K301" s="317">
        <f t="shared" si="143"/>
        <v>6.066666666666666E-2</v>
      </c>
      <c r="L301" s="317">
        <f t="shared" si="143"/>
        <v>6.1999999999999993E-2</v>
      </c>
      <c r="M301" s="317">
        <f t="shared" si="143"/>
        <v>6.3333333333333325E-2</v>
      </c>
      <c r="N301" s="317">
        <f t="shared" si="143"/>
        <v>6.4666666666666664E-2</v>
      </c>
      <c r="O301" s="317">
        <f t="shared" si="143"/>
        <v>6.6000000000000003E-2</v>
      </c>
      <c r="P301" s="317">
        <f t="shared" si="143"/>
        <v>6.7333333333333342E-2</v>
      </c>
      <c r="Q301" s="317">
        <f t="shared" si="143"/>
        <v>6.8666666666666681E-2</v>
      </c>
      <c r="R301" s="317">
        <f t="shared" si="143"/>
        <v>7.0000000000000021E-2</v>
      </c>
      <c r="S301" s="317">
        <f t="shared" si="143"/>
        <v>7.133333333333336E-2</v>
      </c>
      <c r="T301" s="317">
        <f t="shared" si="144"/>
        <v>7.2666666666666699E-2</v>
      </c>
      <c r="U301" s="317">
        <f t="shared" si="144"/>
        <v>7.4000000000000038E-2</v>
      </c>
      <c r="V301" s="317">
        <f t="shared" si="144"/>
        <v>7.5333333333333377E-2</v>
      </c>
      <c r="W301" s="317">
        <f t="shared" si="144"/>
        <v>7.6666666666666716E-2</v>
      </c>
      <c r="X301" s="317">
        <f t="shared" si="144"/>
        <v>7.8000000000000055E-2</v>
      </c>
      <c r="Y301" s="317">
        <f t="shared" si="144"/>
        <v>7.9333333333333395E-2</v>
      </c>
      <c r="Z301" s="317">
        <f t="shared" si="144"/>
        <v>8.0666666666666734E-2</v>
      </c>
      <c r="AA301" s="317">
        <f t="shared" si="144"/>
        <v>8.2000000000000073E-2</v>
      </c>
      <c r="AB301" s="317">
        <f t="shared" si="144"/>
        <v>8.3333333333333412E-2</v>
      </c>
      <c r="AC301" s="317">
        <f t="shared" si="144"/>
        <v>8.4666666666666751E-2</v>
      </c>
      <c r="AD301" s="317">
        <f t="shared" si="144"/>
        <v>8.600000000000009E-2</v>
      </c>
      <c r="AE301" s="317">
        <f t="shared" si="144"/>
        <v>8.7333333333333429E-2</v>
      </c>
      <c r="AF301" s="317">
        <f t="shared" si="144"/>
        <v>8.8666666666666769E-2</v>
      </c>
      <c r="AG301" s="296">
        <v>0.09</v>
      </c>
      <c r="AI301" s="316"/>
      <c r="AJ301" s="211" t="s">
        <v>1363</v>
      </c>
    </row>
    <row r="302" spans="1:36" s="1" customFormat="1" outlineLevel="1" x14ac:dyDescent="0.2">
      <c r="A302" t="s">
        <v>1380</v>
      </c>
      <c r="B302" s="302"/>
      <c r="C302" s="296">
        <v>0.27</v>
      </c>
      <c r="D302" s="317">
        <f t="shared" si="143"/>
        <v>0.26600000000000001</v>
      </c>
      <c r="E302" s="317">
        <f t="shared" si="143"/>
        <v>0.26200000000000001</v>
      </c>
      <c r="F302" s="317">
        <f t="shared" si="143"/>
        <v>0.25800000000000001</v>
      </c>
      <c r="G302" s="317">
        <f t="shared" si="143"/>
        <v>0.254</v>
      </c>
      <c r="H302" s="317">
        <f t="shared" si="143"/>
        <v>0.25</v>
      </c>
      <c r="I302" s="317">
        <f t="shared" si="143"/>
        <v>0.246</v>
      </c>
      <c r="J302" s="317">
        <f t="shared" si="143"/>
        <v>0.24199999999999999</v>
      </c>
      <c r="K302" s="317">
        <f t="shared" si="143"/>
        <v>0.23799999999999999</v>
      </c>
      <c r="L302" s="317">
        <f t="shared" si="143"/>
        <v>0.23399999999999999</v>
      </c>
      <c r="M302" s="317">
        <f t="shared" si="143"/>
        <v>0.22999999999999998</v>
      </c>
      <c r="N302" s="317">
        <f t="shared" si="143"/>
        <v>0.22599999999999998</v>
      </c>
      <c r="O302" s="317">
        <f t="shared" si="143"/>
        <v>0.22199999999999998</v>
      </c>
      <c r="P302" s="317">
        <f t="shared" si="143"/>
        <v>0.21799999999999997</v>
      </c>
      <c r="Q302" s="317">
        <f t="shared" si="143"/>
        <v>0.21399999999999997</v>
      </c>
      <c r="R302" s="317">
        <f t="shared" si="143"/>
        <v>0.20999999999999996</v>
      </c>
      <c r="S302" s="317">
        <f t="shared" si="143"/>
        <v>0.20599999999999996</v>
      </c>
      <c r="T302" s="317">
        <f t="shared" si="144"/>
        <v>0.20199999999999996</v>
      </c>
      <c r="U302" s="317">
        <f t="shared" si="144"/>
        <v>0.19799999999999995</v>
      </c>
      <c r="V302" s="317">
        <f t="shared" si="144"/>
        <v>0.19399999999999995</v>
      </c>
      <c r="W302" s="317">
        <f t="shared" si="144"/>
        <v>0.18999999999999995</v>
      </c>
      <c r="X302" s="317">
        <f t="shared" si="144"/>
        <v>0.18599999999999994</v>
      </c>
      <c r="Y302" s="317">
        <f t="shared" si="144"/>
        <v>0.18199999999999994</v>
      </c>
      <c r="Z302" s="317">
        <f t="shared" si="144"/>
        <v>0.17799999999999994</v>
      </c>
      <c r="AA302" s="317">
        <f t="shared" si="144"/>
        <v>0.17399999999999993</v>
      </c>
      <c r="AB302" s="317">
        <f t="shared" si="144"/>
        <v>0.16999999999999993</v>
      </c>
      <c r="AC302" s="317">
        <f t="shared" si="144"/>
        <v>0.16599999999999993</v>
      </c>
      <c r="AD302" s="317">
        <f t="shared" si="144"/>
        <v>0.16199999999999992</v>
      </c>
      <c r="AE302" s="317">
        <f t="shared" si="144"/>
        <v>0.15799999999999992</v>
      </c>
      <c r="AF302" s="317">
        <f t="shared" si="144"/>
        <v>0.15399999999999991</v>
      </c>
      <c r="AG302" s="296">
        <v>0.15</v>
      </c>
      <c r="AI302" s="316"/>
      <c r="AJ302" s="211"/>
    </row>
    <row r="303" spans="1:36" s="67" customFormat="1" outlineLevel="1" x14ac:dyDescent="0.2">
      <c r="A303" s="345" t="s">
        <v>1381</v>
      </c>
      <c r="B303" s="308" t="s">
        <v>462</v>
      </c>
      <c r="C303" s="337">
        <v>0.16</v>
      </c>
      <c r="D303" s="338">
        <f t="shared" si="143"/>
        <v>0.16533333333333333</v>
      </c>
      <c r="E303" s="338">
        <f t="shared" si="143"/>
        <v>0.17066666666666666</v>
      </c>
      <c r="F303" s="338">
        <f t="shared" si="143"/>
        <v>0.17599999999999999</v>
      </c>
      <c r="G303" s="338">
        <f t="shared" si="143"/>
        <v>0.18133333333333332</v>
      </c>
      <c r="H303" s="338">
        <f t="shared" si="143"/>
        <v>0.18666666666666665</v>
      </c>
      <c r="I303" s="338">
        <f t="shared" si="143"/>
        <v>0.19199999999999998</v>
      </c>
      <c r="J303" s="338">
        <f t="shared" si="143"/>
        <v>0.19733333333333331</v>
      </c>
      <c r="K303" s="338">
        <f t="shared" si="143"/>
        <v>0.20266666666666663</v>
      </c>
      <c r="L303" s="338">
        <f t="shared" si="143"/>
        <v>0.20799999999999996</v>
      </c>
      <c r="M303" s="338">
        <f t="shared" si="143"/>
        <v>0.21333333333333329</v>
      </c>
      <c r="N303" s="338">
        <f t="shared" si="143"/>
        <v>0.21866666666666662</v>
      </c>
      <c r="O303" s="338">
        <f t="shared" si="143"/>
        <v>0.22399999999999995</v>
      </c>
      <c r="P303" s="338">
        <f t="shared" si="143"/>
        <v>0.22933333333333328</v>
      </c>
      <c r="Q303" s="338">
        <f t="shared" si="143"/>
        <v>0.23466666666666661</v>
      </c>
      <c r="R303" s="338">
        <f t="shared" si="143"/>
        <v>0.23999999999999994</v>
      </c>
      <c r="S303" s="338">
        <f t="shared" si="143"/>
        <v>0.24533333333333326</v>
      </c>
      <c r="T303" s="338">
        <f t="shared" si="144"/>
        <v>0.25066666666666659</v>
      </c>
      <c r="U303" s="338">
        <f t="shared" si="144"/>
        <v>0.25599999999999995</v>
      </c>
      <c r="V303" s="338">
        <f t="shared" si="144"/>
        <v>0.26133333333333331</v>
      </c>
      <c r="W303" s="338">
        <f t="shared" si="144"/>
        <v>0.26666666666666666</v>
      </c>
      <c r="X303" s="338">
        <f t="shared" si="144"/>
        <v>0.27200000000000002</v>
      </c>
      <c r="Y303" s="338">
        <f t="shared" si="144"/>
        <v>0.27733333333333338</v>
      </c>
      <c r="Z303" s="338">
        <f t="shared" si="144"/>
        <v>0.28266666666666673</v>
      </c>
      <c r="AA303" s="338">
        <f t="shared" si="144"/>
        <v>0.28800000000000009</v>
      </c>
      <c r="AB303" s="338">
        <f t="shared" si="144"/>
        <v>0.29333333333333345</v>
      </c>
      <c r="AC303" s="338">
        <f t="shared" si="144"/>
        <v>0.2986666666666668</v>
      </c>
      <c r="AD303" s="338">
        <f t="shared" si="144"/>
        <v>0.30400000000000016</v>
      </c>
      <c r="AE303" s="338">
        <f t="shared" si="144"/>
        <v>0.30933333333333352</v>
      </c>
      <c r="AF303" s="338">
        <f t="shared" si="144"/>
        <v>0.31466666666666687</v>
      </c>
      <c r="AG303" s="337">
        <v>0.32</v>
      </c>
      <c r="AI303" s="337"/>
      <c r="AJ303" s="339" t="s">
        <v>1363</v>
      </c>
    </row>
    <row r="304" spans="1:36" outlineLevel="1" x14ac:dyDescent="0.2">
      <c r="A304" s="346" t="s">
        <v>1382</v>
      </c>
      <c r="B304" s="302" t="s">
        <v>462</v>
      </c>
      <c r="C304" s="296">
        <v>0.37</v>
      </c>
      <c r="D304" s="317">
        <f t="shared" si="143"/>
        <v>0.37166666666666665</v>
      </c>
      <c r="E304" s="317">
        <f t="shared" si="143"/>
        <v>0.37333333333333329</v>
      </c>
      <c r="F304" s="317">
        <f t="shared" si="143"/>
        <v>0.37499999999999994</v>
      </c>
      <c r="G304" s="317">
        <f t="shared" si="143"/>
        <v>0.37666666666666659</v>
      </c>
      <c r="H304" s="317">
        <f t="shared" si="143"/>
        <v>0.37833333333333324</v>
      </c>
      <c r="I304" s="317">
        <f t="shared" si="143"/>
        <v>0.37999999999999989</v>
      </c>
      <c r="J304" s="317">
        <f t="shared" si="143"/>
        <v>0.38166666666666654</v>
      </c>
      <c r="K304" s="317">
        <f t="shared" si="143"/>
        <v>0.38333333333333319</v>
      </c>
      <c r="L304" s="317">
        <f t="shared" si="143"/>
        <v>0.38499999999999984</v>
      </c>
      <c r="M304" s="317">
        <f t="shared" si="143"/>
        <v>0.38666666666666649</v>
      </c>
      <c r="N304" s="317">
        <f t="shared" si="143"/>
        <v>0.38833333333333314</v>
      </c>
      <c r="O304" s="317">
        <f t="shared" si="143"/>
        <v>0.38999999999999979</v>
      </c>
      <c r="P304" s="317">
        <f t="shared" si="143"/>
        <v>0.39166666666666644</v>
      </c>
      <c r="Q304" s="317">
        <f t="shared" si="143"/>
        <v>0.39333333333333309</v>
      </c>
      <c r="R304" s="317">
        <f t="shared" si="143"/>
        <v>0.39499999999999974</v>
      </c>
      <c r="S304" s="317">
        <f t="shared" si="143"/>
        <v>0.39666666666666639</v>
      </c>
      <c r="T304" s="317">
        <f t="shared" si="144"/>
        <v>0.39833333333333304</v>
      </c>
      <c r="U304" s="317">
        <f t="shared" si="144"/>
        <v>0.39999999999999969</v>
      </c>
      <c r="V304" s="317">
        <f t="shared" si="144"/>
        <v>0.40166666666666634</v>
      </c>
      <c r="W304" s="317">
        <f t="shared" si="144"/>
        <v>0.40333333333333299</v>
      </c>
      <c r="X304" s="317">
        <f t="shared" si="144"/>
        <v>0.40499999999999964</v>
      </c>
      <c r="Y304" s="317">
        <f t="shared" si="144"/>
        <v>0.40666666666666629</v>
      </c>
      <c r="Z304" s="317">
        <f t="shared" si="144"/>
        <v>0.40833333333333294</v>
      </c>
      <c r="AA304" s="317">
        <f t="shared" si="144"/>
        <v>0.40999999999999959</v>
      </c>
      <c r="AB304" s="317">
        <f t="shared" si="144"/>
        <v>0.41166666666666624</v>
      </c>
      <c r="AC304" s="317">
        <f t="shared" si="144"/>
        <v>0.41333333333333289</v>
      </c>
      <c r="AD304" s="317">
        <f t="shared" si="144"/>
        <v>0.41499999999999954</v>
      </c>
      <c r="AE304" s="317">
        <f t="shared" si="144"/>
        <v>0.41666666666666619</v>
      </c>
      <c r="AF304" s="317">
        <f t="shared" si="144"/>
        <v>0.41833333333333284</v>
      </c>
      <c r="AG304" s="296">
        <v>0.42</v>
      </c>
      <c r="AI304" s="296"/>
      <c r="AJ304" s="211" t="s">
        <v>1363</v>
      </c>
    </row>
    <row r="305" spans="1:36" outlineLevel="1" x14ac:dyDescent="0.2">
      <c r="A305" s="346" t="s">
        <v>1383</v>
      </c>
      <c r="B305" s="302" t="s">
        <v>462</v>
      </c>
      <c r="C305" s="296">
        <v>0.08</v>
      </c>
      <c r="D305" s="317">
        <f t="shared" si="143"/>
        <v>7.7666666666666662E-2</v>
      </c>
      <c r="E305" s="317">
        <f t="shared" si="143"/>
        <v>7.5333333333333322E-2</v>
      </c>
      <c r="F305" s="317">
        <f t="shared" si="143"/>
        <v>7.2999999999999982E-2</v>
      </c>
      <c r="G305" s="317">
        <f t="shared" si="143"/>
        <v>7.0666666666666642E-2</v>
      </c>
      <c r="H305" s="317">
        <f t="shared" si="143"/>
        <v>6.8333333333333302E-2</v>
      </c>
      <c r="I305" s="317">
        <f t="shared" si="143"/>
        <v>6.5999999999999961E-2</v>
      </c>
      <c r="J305" s="317">
        <f t="shared" si="143"/>
        <v>6.3666666666666621E-2</v>
      </c>
      <c r="K305" s="317">
        <f t="shared" si="143"/>
        <v>6.1333333333333288E-2</v>
      </c>
      <c r="L305" s="317">
        <f t="shared" si="143"/>
        <v>5.8999999999999955E-2</v>
      </c>
      <c r="M305" s="317">
        <f t="shared" si="143"/>
        <v>5.6666666666666622E-2</v>
      </c>
      <c r="N305" s="317">
        <f t="shared" si="143"/>
        <v>5.4333333333333289E-2</v>
      </c>
      <c r="O305" s="317">
        <f t="shared" si="143"/>
        <v>5.1999999999999956E-2</v>
      </c>
      <c r="P305" s="317">
        <f t="shared" si="143"/>
        <v>4.9666666666666623E-2</v>
      </c>
      <c r="Q305" s="317">
        <f t="shared" si="143"/>
        <v>4.733333333333329E-2</v>
      </c>
      <c r="R305" s="317">
        <f t="shared" si="143"/>
        <v>4.4999999999999957E-2</v>
      </c>
      <c r="S305" s="317">
        <f t="shared" si="143"/>
        <v>4.2666666666666624E-2</v>
      </c>
      <c r="T305" s="317">
        <f t="shared" si="144"/>
        <v>4.0333333333333291E-2</v>
      </c>
      <c r="U305" s="317">
        <f t="shared" si="144"/>
        <v>3.7999999999999957E-2</v>
      </c>
      <c r="V305" s="317">
        <f t="shared" si="144"/>
        <v>3.5666666666666624E-2</v>
      </c>
      <c r="W305" s="317">
        <f t="shared" si="144"/>
        <v>3.3333333333333291E-2</v>
      </c>
      <c r="X305" s="317">
        <f t="shared" si="144"/>
        <v>3.0999999999999958E-2</v>
      </c>
      <c r="Y305" s="317">
        <f t="shared" si="144"/>
        <v>2.8666666666666625E-2</v>
      </c>
      <c r="Z305" s="317">
        <f t="shared" si="144"/>
        <v>2.6333333333333292E-2</v>
      </c>
      <c r="AA305" s="317">
        <f t="shared" si="144"/>
        <v>2.3999999999999959E-2</v>
      </c>
      <c r="AB305" s="317">
        <f t="shared" si="144"/>
        <v>2.1666666666666626E-2</v>
      </c>
      <c r="AC305" s="317">
        <f t="shared" si="144"/>
        <v>1.9333333333333293E-2</v>
      </c>
      <c r="AD305" s="317">
        <f t="shared" si="144"/>
        <v>1.699999999999996E-2</v>
      </c>
      <c r="AE305" s="317">
        <f t="shared" si="144"/>
        <v>1.4666666666666626E-2</v>
      </c>
      <c r="AF305" s="317">
        <f t="shared" si="144"/>
        <v>1.2333333333333293E-2</v>
      </c>
      <c r="AG305" s="296">
        <v>0.01</v>
      </c>
      <c r="AI305" s="296"/>
      <c r="AJ305" s="211" t="s">
        <v>1363</v>
      </c>
    </row>
    <row r="306" spans="1:36" outlineLevel="1" x14ac:dyDescent="0.2">
      <c r="A306" s="346" t="s">
        <v>1384</v>
      </c>
      <c r="B306" s="302" t="s">
        <v>462</v>
      </c>
      <c r="C306" s="296">
        <v>0.27</v>
      </c>
      <c r="D306" s="317">
        <f t="shared" si="143"/>
        <v>0.26633333333333337</v>
      </c>
      <c r="E306" s="317">
        <f t="shared" si="143"/>
        <v>0.26266666666666671</v>
      </c>
      <c r="F306" s="317">
        <f t="shared" si="143"/>
        <v>0.25900000000000006</v>
      </c>
      <c r="G306" s="317">
        <f t="shared" si="143"/>
        <v>0.25533333333333341</v>
      </c>
      <c r="H306" s="317">
        <f t="shared" si="143"/>
        <v>0.25166666666666676</v>
      </c>
      <c r="I306" s="317">
        <f t="shared" si="143"/>
        <v>0.24800000000000008</v>
      </c>
      <c r="J306" s="317">
        <f t="shared" si="143"/>
        <v>0.2443333333333334</v>
      </c>
      <c r="K306" s="317">
        <f t="shared" si="143"/>
        <v>0.24066666666666672</v>
      </c>
      <c r="L306" s="317">
        <f t="shared" si="143"/>
        <v>0.23700000000000004</v>
      </c>
      <c r="M306" s="317">
        <f t="shared" si="143"/>
        <v>0.23333333333333336</v>
      </c>
      <c r="N306" s="317">
        <f t="shared" si="143"/>
        <v>0.22966666666666669</v>
      </c>
      <c r="O306" s="317">
        <f t="shared" si="143"/>
        <v>0.22600000000000001</v>
      </c>
      <c r="P306" s="317">
        <f t="shared" si="143"/>
        <v>0.22233333333333333</v>
      </c>
      <c r="Q306" s="317">
        <f t="shared" si="143"/>
        <v>0.21866666666666665</v>
      </c>
      <c r="R306" s="317">
        <f t="shared" si="143"/>
        <v>0.21499999999999997</v>
      </c>
      <c r="S306" s="317">
        <f t="shared" si="143"/>
        <v>0.21133333333333329</v>
      </c>
      <c r="T306" s="317">
        <f t="shared" si="144"/>
        <v>0.20766666666666661</v>
      </c>
      <c r="U306" s="317">
        <f t="shared" si="144"/>
        <v>0.20399999999999993</v>
      </c>
      <c r="V306" s="317">
        <f t="shared" si="144"/>
        <v>0.20033333333333325</v>
      </c>
      <c r="W306" s="317">
        <f t="shared" si="144"/>
        <v>0.19666666666666657</v>
      </c>
      <c r="X306" s="317">
        <f t="shared" si="144"/>
        <v>0.19299999999999989</v>
      </c>
      <c r="Y306" s="317">
        <f t="shared" si="144"/>
        <v>0.18933333333333321</v>
      </c>
      <c r="Z306" s="317">
        <f t="shared" si="144"/>
        <v>0.18566666666666654</v>
      </c>
      <c r="AA306" s="317">
        <f t="shared" si="144"/>
        <v>0.18199999999999986</v>
      </c>
      <c r="AB306" s="317">
        <f t="shared" si="144"/>
        <v>0.17833333333333318</v>
      </c>
      <c r="AC306" s="317">
        <f t="shared" si="144"/>
        <v>0.1746666666666665</v>
      </c>
      <c r="AD306" s="317">
        <f t="shared" si="144"/>
        <v>0.17099999999999982</v>
      </c>
      <c r="AE306" s="317">
        <f t="shared" si="144"/>
        <v>0.16733333333333314</v>
      </c>
      <c r="AF306" s="317">
        <f t="shared" si="144"/>
        <v>0.16366666666666646</v>
      </c>
      <c r="AG306" s="296">
        <v>0.16</v>
      </c>
      <c r="AI306" s="296"/>
      <c r="AJ306" s="211" t="s">
        <v>1363</v>
      </c>
    </row>
    <row r="307" spans="1:36" outlineLevel="1" x14ac:dyDescent="0.2">
      <c r="A307" s="346" t="s">
        <v>1385</v>
      </c>
      <c r="B307" s="302" t="s">
        <v>462</v>
      </c>
      <c r="C307" s="296">
        <v>7.0000000000000007E-2</v>
      </c>
      <c r="D307" s="317">
        <f t="shared" si="143"/>
        <v>6.9666666666666668E-2</v>
      </c>
      <c r="E307" s="317">
        <f t="shared" si="143"/>
        <v>6.933333333333333E-2</v>
      </c>
      <c r="F307" s="317">
        <f t="shared" si="143"/>
        <v>6.8999999999999992E-2</v>
      </c>
      <c r="G307" s="317">
        <f t="shared" si="143"/>
        <v>6.8666666666666654E-2</v>
      </c>
      <c r="H307" s="317">
        <f t="shared" si="143"/>
        <v>6.8333333333333315E-2</v>
      </c>
      <c r="I307" s="317">
        <f t="shared" si="143"/>
        <v>6.7999999999999977E-2</v>
      </c>
      <c r="J307" s="317">
        <f t="shared" si="143"/>
        <v>6.7666666666666639E-2</v>
      </c>
      <c r="K307" s="317">
        <f t="shared" si="143"/>
        <v>6.7333333333333301E-2</v>
      </c>
      <c r="L307" s="317">
        <f t="shared" si="143"/>
        <v>6.6999999999999962E-2</v>
      </c>
      <c r="M307" s="317">
        <f t="shared" si="143"/>
        <v>6.6666666666666624E-2</v>
      </c>
      <c r="N307" s="317">
        <f t="shared" si="143"/>
        <v>6.6333333333333286E-2</v>
      </c>
      <c r="O307" s="317">
        <f t="shared" si="143"/>
        <v>6.5999999999999948E-2</v>
      </c>
      <c r="P307" s="317">
        <f t="shared" si="143"/>
        <v>6.5666666666666609E-2</v>
      </c>
      <c r="Q307" s="317">
        <f t="shared" si="143"/>
        <v>6.5333333333333271E-2</v>
      </c>
      <c r="R307" s="317">
        <f t="shared" si="143"/>
        <v>6.4999999999999933E-2</v>
      </c>
      <c r="S307" s="317">
        <f t="shared" ref="S307:AF307" si="145">-($C307-$AG307)/30+R307</f>
        <v>6.4666666666666595E-2</v>
      </c>
      <c r="T307" s="317">
        <f t="shared" si="145"/>
        <v>6.4333333333333256E-2</v>
      </c>
      <c r="U307" s="317">
        <f t="shared" si="145"/>
        <v>6.3999999999999918E-2</v>
      </c>
      <c r="V307" s="317">
        <f t="shared" si="145"/>
        <v>6.366666666666658E-2</v>
      </c>
      <c r="W307" s="317">
        <f t="shared" si="145"/>
        <v>6.3333333333333242E-2</v>
      </c>
      <c r="X307" s="317">
        <f t="shared" si="145"/>
        <v>6.2999999999999903E-2</v>
      </c>
      <c r="Y307" s="317">
        <f t="shared" si="145"/>
        <v>6.2666666666666565E-2</v>
      </c>
      <c r="Z307" s="317">
        <f t="shared" si="145"/>
        <v>6.2333333333333234E-2</v>
      </c>
      <c r="AA307" s="317">
        <f t="shared" si="145"/>
        <v>6.1999999999999902E-2</v>
      </c>
      <c r="AB307" s="317">
        <f t="shared" si="145"/>
        <v>6.1666666666666571E-2</v>
      </c>
      <c r="AC307" s="317">
        <f t="shared" si="145"/>
        <v>6.133333333333324E-2</v>
      </c>
      <c r="AD307" s="317">
        <f t="shared" si="145"/>
        <v>6.0999999999999908E-2</v>
      </c>
      <c r="AE307" s="317">
        <f t="shared" si="145"/>
        <v>6.0666666666666577E-2</v>
      </c>
      <c r="AF307" s="317">
        <f t="shared" si="145"/>
        <v>6.0333333333333246E-2</v>
      </c>
      <c r="AG307" s="296">
        <v>0.06</v>
      </c>
      <c r="AI307" s="296"/>
      <c r="AJ307" s="211" t="s">
        <v>1363</v>
      </c>
    </row>
    <row r="308" spans="1:36" s="68" customFormat="1" outlineLevel="1" x14ac:dyDescent="0.2">
      <c r="A308" s="347" t="s">
        <v>1386</v>
      </c>
      <c r="B308" s="312" t="s">
        <v>462</v>
      </c>
      <c r="C308" s="314">
        <v>0.05</v>
      </c>
      <c r="D308" s="340">
        <f t="shared" ref="D308:AF308" si="146">-($C308-$AG308)/30+C308</f>
        <v>4.9333333333333333E-2</v>
      </c>
      <c r="E308" s="340">
        <f t="shared" si="146"/>
        <v>4.8666666666666664E-2</v>
      </c>
      <c r="F308" s="340">
        <f t="shared" si="146"/>
        <v>4.7999999999999994E-2</v>
      </c>
      <c r="G308" s="340">
        <f t="shared" si="146"/>
        <v>4.7333333333333324E-2</v>
      </c>
      <c r="H308" s="340">
        <f t="shared" si="146"/>
        <v>4.6666666666666655E-2</v>
      </c>
      <c r="I308" s="340">
        <f t="shared" si="146"/>
        <v>4.5999999999999985E-2</v>
      </c>
      <c r="J308" s="340">
        <f t="shared" si="146"/>
        <v>4.5333333333333316E-2</v>
      </c>
      <c r="K308" s="340">
        <f t="shared" si="146"/>
        <v>4.4666666666666646E-2</v>
      </c>
      <c r="L308" s="340">
        <f t="shared" si="146"/>
        <v>4.3999999999999977E-2</v>
      </c>
      <c r="M308" s="340">
        <f t="shared" si="146"/>
        <v>4.3333333333333307E-2</v>
      </c>
      <c r="N308" s="340">
        <f t="shared" si="146"/>
        <v>4.2666666666666637E-2</v>
      </c>
      <c r="O308" s="340">
        <f t="shared" si="146"/>
        <v>4.1999999999999968E-2</v>
      </c>
      <c r="P308" s="340">
        <f t="shared" si="146"/>
        <v>4.1333333333333298E-2</v>
      </c>
      <c r="Q308" s="340">
        <f t="shared" si="146"/>
        <v>4.0666666666666629E-2</v>
      </c>
      <c r="R308" s="340">
        <f t="shared" si="146"/>
        <v>3.9999999999999959E-2</v>
      </c>
      <c r="S308" s="340">
        <f t="shared" si="146"/>
        <v>3.933333333333329E-2</v>
      </c>
      <c r="T308" s="340">
        <f t="shared" si="146"/>
        <v>3.866666666666662E-2</v>
      </c>
      <c r="U308" s="340">
        <f t="shared" si="146"/>
        <v>3.799999999999995E-2</v>
      </c>
      <c r="V308" s="340">
        <f t="shared" si="146"/>
        <v>3.7333333333333281E-2</v>
      </c>
      <c r="W308" s="340">
        <f t="shared" si="146"/>
        <v>3.6666666666666611E-2</v>
      </c>
      <c r="X308" s="340">
        <f t="shared" si="146"/>
        <v>3.5999999999999942E-2</v>
      </c>
      <c r="Y308" s="340">
        <f t="shared" si="146"/>
        <v>3.5333333333333272E-2</v>
      </c>
      <c r="Z308" s="340">
        <f t="shared" si="146"/>
        <v>3.4666666666666603E-2</v>
      </c>
      <c r="AA308" s="340">
        <f t="shared" si="146"/>
        <v>3.3999999999999933E-2</v>
      </c>
      <c r="AB308" s="340">
        <f t="shared" si="146"/>
        <v>3.3333333333333263E-2</v>
      </c>
      <c r="AC308" s="340">
        <f t="shared" si="146"/>
        <v>3.2666666666666594E-2</v>
      </c>
      <c r="AD308" s="340">
        <f t="shared" si="146"/>
        <v>3.1999999999999924E-2</v>
      </c>
      <c r="AE308" s="340">
        <f t="shared" si="146"/>
        <v>3.1333333333333255E-2</v>
      </c>
      <c r="AF308" s="340">
        <f t="shared" si="146"/>
        <v>3.0666666666666589E-2</v>
      </c>
      <c r="AG308" s="314">
        <v>0.03</v>
      </c>
      <c r="AI308" s="314"/>
      <c r="AJ308" s="341" t="s">
        <v>1363</v>
      </c>
    </row>
    <row r="309" spans="1:36" s="58" customFormat="1" outlineLevel="1" x14ac:dyDescent="0.2">
      <c r="A309" s="58" t="s">
        <v>1361</v>
      </c>
      <c r="B309" s="303"/>
      <c r="C309" s="304">
        <f>C32</f>
        <v>70.764479384937346</v>
      </c>
      <c r="D309" s="304">
        <f t="shared" ref="D309:AG309" si="147">D32</f>
        <v>73.13661085387929</v>
      </c>
      <c r="E309" s="304">
        <f t="shared" si="147"/>
        <v>75.390666744568932</v>
      </c>
      <c r="F309" s="304">
        <f t="shared" si="147"/>
        <v>77.511176043347206</v>
      </c>
      <c r="G309" s="304">
        <f t="shared" si="147"/>
        <v>79.483286841213982</v>
      </c>
      <c r="H309" s="304">
        <f t="shared" si="147"/>
        <v>81.292939605458415</v>
      </c>
      <c r="I309" s="304">
        <f t="shared" si="147"/>
        <v>83.105945681537463</v>
      </c>
      <c r="J309" s="304">
        <f t="shared" si="147"/>
        <v>84.920663560469848</v>
      </c>
      <c r="K309" s="304">
        <f t="shared" si="147"/>
        <v>86.735410058637726</v>
      </c>
      <c r="L309" s="304">
        <f t="shared" si="147"/>
        <v>88.548462506721251</v>
      </c>
      <c r="M309" s="304">
        <f t="shared" si="147"/>
        <v>90.358061086572363</v>
      </c>
      <c r="N309" s="304">
        <f t="shared" si="147"/>
        <v>92.030546196497212</v>
      </c>
      <c r="O309" s="304">
        <f t="shared" si="147"/>
        <v>93.556641933394388</v>
      </c>
      <c r="P309" s="304">
        <f t="shared" si="147"/>
        <v>94.927727566993539</v>
      </c>
      <c r="Q309" s="304">
        <f t="shared" si="147"/>
        <v>96.135917662760136</v>
      </c>
      <c r="R309" s="304">
        <f t="shared" si="147"/>
        <v>97.174136783080243</v>
      </c>
      <c r="S309" s="304">
        <f t="shared" si="147"/>
        <v>98.212816631838891</v>
      </c>
      <c r="T309" s="304">
        <f t="shared" si="147"/>
        <v>99.251725793738956</v>
      </c>
      <c r="U309" s="304">
        <f t="shared" si="147"/>
        <v>100.29063007523018</v>
      </c>
      <c r="V309" s="304">
        <f t="shared" si="147"/>
        <v>101.32929257839319</v>
      </c>
      <c r="W309" s="304">
        <f t="shared" si="147"/>
        <v>102.3674737772773</v>
      </c>
      <c r="X309" s="304">
        <f t="shared" si="147"/>
        <v>103.40607054116425</v>
      </c>
      <c r="Y309" s="304">
        <f t="shared" si="147"/>
        <v>104.44487435528823</v>
      </c>
      <c r="Z309" s="304">
        <f t="shared" si="147"/>
        <v>105.48367434845207</v>
      </c>
      <c r="AA309" s="304">
        <f t="shared" si="147"/>
        <v>106.52225735327879</v>
      </c>
      <c r="AB309" s="304">
        <f t="shared" si="147"/>
        <v>107.56040796833885</v>
      </c>
      <c r="AC309" s="304">
        <f t="shared" si="147"/>
        <v>108.59893533250059</v>
      </c>
      <c r="AD309" s="304">
        <f t="shared" si="147"/>
        <v>109.63765057252257</v>
      </c>
      <c r="AE309" s="304">
        <f t="shared" si="147"/>
        <v>110.67636279881994</v>
      </c>
      <c r="AF309" s="304">
        <f t="shared" si="147"/>
        <v>111.71487915509033</v>
      </c>
      <c r="AG309" s="304">
        <f t="shared" si="147"/>
        <v>112.75300486939346</v>
      </c>
      <c r="AI309" s="305"/>
      <c r="AJ309" s="306"/>
    </row>
    <row r="310" spans="1:36" s="58" customFormat="1" outlineLevel="1" x14ac:dyDescent="0.2">
      <c r="A310" s="307" t="s">
        <v>3</v>
      </c>
      <c r="B310" s="308" t="s">
        <v>704</v>
      </c>
      <c r="C310" s="309">
        <v>0</v>
      </c>
      <c r="D310" s="309">
        <v>0</v>
      </c>
      <c r="E310" s="309">
        <v>0</v>
      </c>
      <c r="F310" s="309">
        <v>0</v>
      </c>
      <c r="G310" s="309">
        <v>0</v>
      </c>
      <c r="H310" s="309">
        <v>0</v>
      </c>
      <c r="I310" s="309">
        <v>0</v>
      </c>
      <c r="J310" s="309">
        <v>0</v>
      </c>
      <c r="K310" s="309">
        <v>0</v>
      </c>
      <c r="L310" s="309">
        <v>0</v>
      </c>
      <c r="M310" s="309">
        <v>0</v>
      </c>
      <c r="N310" s="309">
        <v>0</v>
      </c>
      <c r="O310" s="309">
        <v>0</v>
      </c>
      <c r="P310" s="309">
        <v>0</v>
      </c>
      <c r="Q310" s="309">
        <v>0</v>
      </c>
      <c r="R310" s="309">
        <v>0</v>
      </c>
      <c r="S310" s="309">
        <v>0</v>
      </c>
      <c r="T310" s="309">
        <v>0</v>
      </c>
      <c r="U310" s="309">
        <v>0</v>
      </c>
      <c r="V310" s="309">
        <v>0</v>
      </c>
      <c r="W310" s="309">
        <v>0</v>
      </c>
      <c r="X310" s="309">
        <v>0</v>
      </c>
      <c r="Y310" s="309">
        <v>0</v>
      </c>
      <c r="Z310" s="309">
        <v>0</v>
      </c>
      <c r="AA310" s="309">
        <v>0</v>
      </c>
      <c r="AB310" s="309">
        <v>0</v>
      </c>
      <c r="AC310" s="309">
        <v>0</v>
      </c>
      <c r="AD310" s="309">
        <v>0</v>
      </c>
      <c r="AE310" s="309">
        <v>0</v>
      </c>
      <c r="AF310" s="309">
        <v>0</v>
      </c>
      <c r="AG310" s="309">
        <v>0</v>
      </c>
      <c r="AI310" s="305"/>
      <c r="AJ310" s="306"/>
    </row>
    <row r="311" spans="1:36" outlineLevel="1" x14ac:dyDescent="0.2">
      <c r="A311" s="310" t="s">
        <v>51</v>
      </c>
      <c r="B311" s="302" t="s">
        <v>704</v>
      </c>
      <c r="C311" s="249">
        <f t="shared" ref="C311:AG311" si="148">C278</f>
        <v>6.1470184945809105</v>
      </c>
      <c r="D311" s="249">
        <f t="shared" si="148"/>
        <v>6.2496737034404113</v>
      </c>
      <c r="E311" s="249">
        <f t="shared" si="148"/>
        <v>6.3540432542878662</v>
      </c>
      <c r="F311" s="249">
        <f t="shared" si="148"/>
        <v>6.4601557766344735</v>
      </c>
      <c r="G311" s="249">
        <f t="shared" si="148"/>
        <v>6.5680403781042687</v>
      </c>
      <c r="H311" s="249">
        <f t="shared" si="148"/>
        <v>6.6777266524186096</v>
      </c>
      <c r="I311" s="249">
        <f t="shared" si="148"/>
        <v>6.7892446875139996</v>
      </c>
      <c r="J311" s="249">
        <f t="shared" si="148"/>
        <v>6.9026250737954831</v>
      </c>
      <c r="K311" s="249">
        <f t="shared" si="148"/>
        <v>7.0178989125278672</v>
      </c>
      <c r="L311" s="249">
        <f t="shared" si="148"/>
        <v>7.1350978243670822</v>
      </c>
      <c r="M311" s="249">
        <f t="shared" si="148"/>
        <v>7.2542539580340124</v>
      </c>
      <c r="N311" s="249">
        <f t="shared" si="148"/>
        <v>7.3753999991331796</v>
      </c>
      <c r="O311" s="249">
        <f t="shared" si="148"/>
        <v>7.4985691791187028</v>
      </c>
      <c r="P311" s="249">
        <f t="shared" si="148"/>
        <v>7.6237952844099848</v>
      </c>
      <c r="Q311" s="249">
        <f t="shared" si="148"/>
        <v>7.7511126656596314</v>
      </c>
      <c r="R311" s="249">
        <f t="shared" si="148"/>
        <v>7.8805562471761466</v>
      </c>
      <c r="S311" s="249">
        <f t="shared" si="148"/>
        <v>8.0121615365039869</v>
      </c>
      <c r="T311" s="249">
        <f t="shared" si="148"/>
        <v>8.1459646341636027</v>
      </c>
      <c r="U311" s="249">
        <f t="shared" si="148"/>
        <v>8.2820022435541336</v>
      </c>
      <c r="V311" s="249">
        <f t="shared" si="148"/>
        <v>8.420311681021488</v>
      </c>
      <c r="W311" s="249">
        <f t="shared" si="148"/>
        <v>8.5609308860945461</v>
      </c>
      <c r="X311" s="249">
        <f t="shared" si="148"/>
        <v>8.7038984318923251</v>
      </c>
      <c r="Y311" s="249">
        <f t="shared" si="148"/>
        <v>8.8492535357049267</v>
      </c>
      <c r="Z311" s="249">
        <f t="shared" si="148"/>
        <v>8.9970360697511982</v>
      </c>
      <c r="AA311" s="249">
        <f t="shared" si="148"/>
        <v>9.1472865721160428</v>
      </c>
      <c r="AB311" s="249">
        <f t="shared" si="148"/>
        <v>9.3000462578703793</v>
      </c>
      <c r="AC311" s="249">
        <f t="shared" si="148"/>
        <v>9.4553570303768133</v>
      </c>
      <c r="AD311" s="249">
        <f t="shared" si="148"/>
        <v>9.6132614927841047</v>
      </c>
      <c r="AE311" s="249">
        <f t="shared" si="148"/>
        <v>9.7738029597135991</v>
      </c>
      <c r="AF311" s="249">
        <f t="shared" si="148"/>
        <v>9.9370254691408153</v>
      </c>
      <c r="AG311" s="249">
        <f t="shared" si="148"/>
        <v>10.102973794475467</v>
      </c>
      <c r="AI311" s="296"/>
    </row>
    <row r="312" spans="1:36" s="68" customFormat="1" outlineLevel="1" x14ac:dyDescent="0.2">
      <c r="A312" s="311" t="s">
        <v>1387</v>
      </c>
      <c r="B312" s="312" t="s">
        <v>704</v>
      </c>
      <c r="C312" s="313">
        <f>C309-C310-C311</f>
        <v>64.61746089035644</v>
      </c>
      <c r="D312" s="313">
        <f t="shared" ref="D312:AG312" si="149">D309-D310-D311</f>
        <v>66.886937150438882</v>
      </c>
      <c r="E312" s="313">
        <f t="shared" si="149"/>
        <v>69.036623490281073</v>
      </c>
      <c r="F312" s="313">
        <f t="shared" si="149"/>
        <v>71.051020266712726</v>
      </c>
      <c r="G312" s="313">
        <f t="shared" si="149"/>
        <v>72.91524646310971</v>
      </c>
      <c r="H312" s="313">
        <f t="shared" si="149"/>
        <v>74.615212953039801</v>
      </c>
      <c r="I312" s="313">
        <f t="shared" si="149"/>
        <v>76.316700994023464</v>
      </c>
      <c r="J312" s="313">
        <f t="shared" si="149"/>
        <v>78.018038486674371</v>
      </c>
      <c r="K312" s="313">
        <f t="shared" si="149"/>
        <v>79.717511146109857</v>
      </c>
      <c r="L312" s="313">
        <f t="shared" si="149"/>
        <v>81.413364682354171</v>
      </c>
      <c r="M312" s="313">
        <f t="shared" si="149"/>
        <v>83.10380712853835</v>
      </c>
      <c r="N312" s="313">
        <f t="shared" si="149"/>
        <v>84.655146197364033</v>
      </c>
      <c r="O312" s="313">
        <f t="shared" si="149"/>
        <v>86.058072754275685</v>
      </c>
      <c r="P312" s="313">
        <f t="shared" si="149"/>
        <v>87.30393228258356</v>
      </c>
      <c r="Q312" s="313">
        <f t="shared" si="149"/>
        <v>88.384804997100503</v>
      </c>
      <c r="R312" s="313">
        <f t="shared" si="149"/>
        <v>89.293580535904098</v>
      </c>
      <c r="S312" s="313">
        <f t="shared" si="149"/>
        <v>90.200655095334909</v>
      </c>
      <c r="T312" s="313">
        <f t="shared" si="149"/>
        <v>91.105761159575351</v>
      </c>
      <c r="U312" s="313">
        <f t="shared" si="149"/>
        <v>92.008627831676051</v>
      </c>
      <c r="V312" s="313">
        <f t="shared" si="149"/>
        <v>92.908980897371706</v>
      </c>
      <c r="W312" s="313">
        <f t="shared" si="149"/>
        <v>93.806542891182744</v>
      </c>
      <c r="X312" s="313">
        <f t="shared" si="149"/>
        <v>94.702172109271928</v>
      </c>
      <c r="Y312" s="313">
        <f t="shared" si="149"/>
        <v>95.595620819583303</v>
      </c>
      <c r="Z312" s="313">
        <f t="shared" si="149"/>
        <v>96.486638278700866</v>
      </c>
      <c r="AA312" s="313">
        <f t="shared" si="149"/>
        <v>97.374970781162745</v>
      </c>
      <c r="AB312" s="313">
        <f t="shared" si="149"/>
        <v>98.260361710468473</v>
      </c>
      <c r="AC312" s="313">
        <f t="shared" si="149"/>
        <v>99.143578302123771</v>
      </c>
      <c r="AD312" s="313">
        <f t="shared" si="149"/>
        <v>100.02438907973847</v>
      </c>
      <c r="AE312" s="313">
        <f t="shared" si="149"/>
        <v>100.90255983910635</v>
      </c>
      <c r="AF312" s="313">
        <f t="shared" si="149"/>
        <v>101.77785368594951</v>
      </c>
      <c r="AG312" s="313">
        <f t="shared" si="149"/>
        <v>102.65003107491799</v>
      </c>
      <c r="AI312" s="314"/>
      <c r="AJ312" s="315"/>
    </row>
    <row r="313" spans="1:36" outlineLevel="1" x14ac:dyDescent="0.2">
      <c r="A313" s="112" t="s">
        <v>90</v>
      </c>
      <c r="B313" s="302" t="s">
        <v>704</v>
      </c>
      <c r="C313" s="230">
        <f>C282*C$312</f>
        <v>10.33879374245703</v>
      </c>
      <c r="D313" s="230">
        <f t="shared" ref="D313:AG313" si="150">D282*D$312</f>
        <v>10.840142947514462</v>
      </c>
      <c r="E313" s="230">
        <f t="shared" si="150"/>
        <v>11.331211135538133</v>
      </c>
      <c r="F313" s="230">
        <f t="shared" si="150"/>
        <v>11.808679568327655</v>
      </c>
      <c r="G313" s="230">
        <f t="shared" si="150"/>
        <v>12.269205471525925</v>
      </c>
      <c r="H313" s="230">
        <f t="shared" si="150"/>
        <v>12.709457939667777</v>
      </c>
      <c r="I313" s="230">
        <f t="shared" si="150"/>
        <v>13.156999251369642</v>
      </c>
      <c r="J313" s="230">
        <f t="shared" si="150"/>
        <v>13.611547114641786</v>
      </c>
      <c r="K313" s="230">
        <f t="shared" si="150"/>
        <v>14.072797967659923</v>
      </c>
      <c r="L313" s="230">
        <f t="shared" si="150"/>
        <v>14.540426932268451</v>
      </c>
      <c r="M313" s="230">
        <f t="shared" si="150"/>
        <v>15.01408782122259</v>
      </c>
      <c r="N313" s="230">
        <f t="shared" si="150"/>
        <v>15.469317048464983</v>
      </c>
      <c r="O313" s="230">
        <f t="shared" si="150"/>
        <v>15.903531844990141</v>
      </c>
      <c r="P313" s="230">
        <f t="shared" si="150"/>
        <v>16.314194812538776</v>
      </c>
      <c r="Q313" s="230">
        <f t="shared" si="150"/>
        <v>16.698835824118849</v>
      </c>
      <c r="R313" s="230">
        <f t="shared" si="150"/>
        <v>17.055073882357675</v>
      </c>
      <c r="S313" s="230">
        <f t="shared" si="150"/>
        <v>17.414739810405987</v>
      </c>
      <c r="T313" s="230">
        <f t="shared" si="150"/>
        <v>17.77777086093846</v>
      </c>
      <c r="U313" s="230">
        <f t="shared" si="150"/>
        <v>18.14410140840651</v>
      </c>
      <c r="V313" s="230">
        <f t="shared" si="150"/>
        <v>18.513662926816259</v>
      </c>
      <c r="W313" s="230">
        <f t="shared" si="150"/>
        <v>18.886383968758114</v>
      </c>
      <c r="X313" s="230">
        <f t="shared" si="150"/>
        <v>19.262421807025898</v>
      </c>
      <c r="Y313" s="230">
        <f t="shared" si="150"/>
        <v>19.64171355773037</v>
      </c>
      <c r="Z313" s="230">
        <f t="shared" si="150"/>
        <v>20.024193664106374</v>
      </c>
      <c r="AA313" s="230">
        <f t="shared" si="150"/>
        <v>20.409793875731697</v>
      </c>
      <c r="AB313" s="230">
        <f t="shared" si="150"/>
        <v>20.798443228715815</v>
      </c>
      <c r="AC313" s="230">
        <f t="shared" si="150"/>
        <v>21.19028746910724</v>
      </c>
      <c r="AD313" s="230">
        <f t="shared" si="150"/>
        <v>21.585263163407546</v>
      </c>
      <c r="AE313" s="230">
        <f t="shared" si="150"/>
        <v>21.983304370279953</v>
      </c>
      <c r="AF313" s="230">
        <f t="shared" si="150"/>
        <v>22.384342620663144</v>
      </c>
      <c r="AG313" s="230">
        <f t="shared" si="150"/>
        <v>22.788306898631795</v>
      </c>
      <c r="AI313" s="214"/>
    </row>
    <row r="314" spans="1:36" outlineLevel="1" x14ac:dyDescent="0.2">
      <c r="A314" s="112" t="s">
        <v>33</v>
      </c>
      <c r="B314" s="302" t="s">
        <v>704</v>
      </c>
      <c r="C314" s="230">
        <f t="shared" ref="C314:AG318" si="151">C283*C$312</f>
        <v>23.908460529431881</v>
      </c>
      <c r="D314" s="230">
        <f t="shared" si="151"/>
        <v>24.259892104464186</v>
      </c>
      <c r="E314" s="230">
        <f t="shared" si="151"/>
        <v>24.535615988445898</v>
      </c>
      <c r="F314" s="230">
        <f t="shared" si="151"/>
        <v>24.732860154842705</v>
      </c>
      <c r="G314" s="230">
        <f t="shared" si="151"/>
        <v>24.849515994627797</v>
      </c>
      <c r="H314" s="230">
        <f t="shared" si="151"/>
        <v>24.884173519838782</v>
      </c>
      <c r="I314" s="230">
        <f t="shared" si="151"/>
        <v>24.894507864250464</v>
      </c>
      <c r="J314" s="230">
        <f t="shared" si="151"/>
        <v>24.879952473400472</v>
      </c>
      <c r="K314" s="230">
        <f t="shared" si="151"/>
        <v>24.839976473127848</v>
      </c>
      <c r="L314" s="230">
        <f t="shared" si="151"/>
        <v>24.774086872840392</v>
      </c>
      <c r="M314" s="230">
        <f t="shared" si="151"/>
        <v>24.681830717175913</v>
      </c>
      <c r="N314" s="230">
        <f t="shared" si="151"/>
        <v>24.524595853376386</v>
      </c>
      <c r="O314" s="230">
        <f t="shared" si="151"/>
        <v>24.30279974580748</v>
      </c>
      <c r="P314" s="230">
        <f t="shared" si="151"/>
        <v>24.017311770938768</v>
      </c>
      <c r="Q314" s="230">
        <f t="shared" si="151"/>
        <v>23.669450778223549</v>
      </c>
      <c r="R314" s="230">
        <f t="shared" si="151"/>
        <v>23.260977729603052</v>
      </c>
      <c r="S314" s="230">
        <f t="shared" si="151"/>
        <v>22.838805870138838</v>
      </c>
      <c r="T314" s="230">
        <f t="shared" si="151"/>
        <v>22.402906669139618</v>
      </c>
      <c r="U314" s="230">
        <f t="shared" si="151"/>
        <v>21.953258600637945</v>
      </c>
      <c r="V314" s="230">
        <f t="shared" si="151"/>
        <v>21.489847281562113</v>
      </c>
      <c r="W314" s="230">
        <f t="shared" si="151"/>
        <v>21.012665607624974</v>
      </c>
      <c r="X314" s="230">
        <f t="shared" si="151"/>
        <v>20.521960696079265</v>
      </c>
      <c r="Y314" s="230">
        <f t="shared" si="151"/>
        <v>20.017722999620783</v>
      </c>
      <c r="Z314" s="230">
        <f t="shared" si="151"/>
        <v>19.499949596125486</v>
      </c>
      <c r="AA314" s="230">
        <f t="shared" si="151"/>
        <v>18.968644308170543</v>
      </c>
      <c r="AB314" s="230">
        <f t="shared" si="151"/>
        <v>18.42381782071288</v>
      </c>
      <c r="AC314" s="230">
        <f t="shared" si="151"/>
        <v>17.865672810042746</v>
      </c>
      <c r="AD314" s="230">
        <f t="shared" si="151"/>
        <v>17.294216871886825</v>
      </c>
      <c r="AE314" s="230">
        <f t="shared" si="151"/>
        <v>16.709463909356053</v>
      </c>
      <c r="AF314" s="230">
        <f t="shared" si="151"/>
        <v>16.111434238485849</v>
      </c>
      <c r="AG314" s="230">
        <f t="shared" si="151"/>
        <v>15.500154692312616</v>
      </c>
      <c r="AI314" s="214"/>
    </row>
    <row r="315" spans="1:36" outlineLevel="1" x14ac:dyDescent="0.2">
      <c r="A315" s="112" t="s">
        <v>451</v>
      </c>
      <c r="B315" s="302" t="s">
        <v>704</v>
      </c>
      <c r="C315" s="230">
        <f t="shared" si="151"/>
        <v>5.169396871228515</v>
      </c>
      <c r="D315" s="230">
        <f t="shared" si="151"/>
        <v>5.3576436657501549</v>
      </c>
      <c r="E315" s="230">
        <f t="shared" si="151"/>
        <v>5.5367372039205422</v>
      </c>
      <c r="F315" s="230">
        <f t="shared" si="151"/>
        <v>5.7053969274170324</v>
      </c>
      <c r="G315" s="230">
        <f t="shared" si="151"/>
        <v>5.8623858156340214</v>
      </c>
      <c r="H315" s="230">
        <f t="shared" si="151"/>
        <v>6.0065246427197048</v>
      </c>
      <c r="I315" s="230">
        <f t="shared" si="151"/>
        <v>6.1511261001182929</v>
      </c>
      <c r="J315" s="230">
        <f t="shared" si="151"/>
        <v>6.2960557058746236</v>
      </c>
      <c r="K315" s="230">
        <f t="shared" si="151"/>
        <v>6.4411749006056782</v>
      </c>
      <c r="L315" s="230">
        <f t="shared" si="151"/>
        <v>6.5863412028024548</v>
      </c>
      <c r="M315" s="230">
        <f t="shared" si="151"/>
        <v>6.7314083774116087</v>
      </c>
      <c r="N315" s="230">
        <f t="shared" si="151"/>
        <v>6.8655323566062263</v>
      </c>
      <c r="O315" s="230">
        <f t="shared" si="151"/>
        <v>6.9879155076471884</v>
      </c>
      <c r="P315" s="230">
        <f t="shared" si="151"/>
        <v>7.097809694574047</v>
      </c>
      <c r="Q315" s="230">
        <f t="shared" si="151"/>
        <v>7.1945231267639844</v>
      </c>
      <c r="R315" s="230">
        <f t="shared" si="151"/>
        <v>7.2774268136761879</v>
      </c>
      <c r="S315" s="230">
        <f t="shared" si="151"/>
        <v>7.3603734557793326</v>
      </c>
      <c r="T315" s="230">
        <f t="shared" si="151"/>
        <v>7.4433406867373106</v>
      </c>
      <c r="U315" s="230">
        <f t="shared" si="151"/>
        <v>7.526305756631106</v>
      </c>
      <c r="V315" s="230">
        <f t="shared" si="151"/>
        <v>7.6092455354947477</v>
      </c>
      <c r="W315" s="230">
        <f t="shared" si="151"/>
        <v>7.6921365170769906</v>
      </c>
      <c r="X315" s="230">
        <f t="shared" si="151"/>
        <v>7.7750483301712308</v>
      </c>
      <c r="Y315" s="230">
        <f t="shared" si="151"/>
        <v>7.8579600313697533</v>
      </c>
      <c r="Z315" s="230">
        <f t="shared" si="151"/>
        <v>7.9408503303370876</v>
      </c>
      <c r="AA315" s="230">
        <f t="shared" si="151"/>
        <v>8.0236975923678173</v>
      </c>
      <c r="AB315" s="230">
        <f t="shared" si="151"/>
        <v>8.1064798411136554</v>
      </c>
      <c r="AC315" s="230">
        <f t="shared" si="151"/>
        <v>8.1892595677554318</v>
      </c>
      <c r="AD315" s="230">
        <f t="shared" si="151"/>
        <v>8.2720169768943794</v>
      </c>
      <c r="AE315" s="230">
        <f t="shared" si="151"/>
        <v>8.3547319546780141</v>
      </c>
      <c r="AF315" s="230">
        <f t="shared" si="151"/>
        <v>8.4373840705652228</v>
      </c>
      <c r="AG315" s="230">
        <f t="shared" si="151"/>
        <v>8.5199525792181934</v>
      </c>
      <c r="AI315" s="214"/>
    </row>
    <row r="316" spans="1:36" outlineLevel="1" x14ac:dyDescent="0.2">
      <c r="A316" s="112" t="s">
        <v>452</v>
      </c>
      <c r="B316" s="302" t="s">
        <v>704</v>
      </c>
      <c r="C316" s="230">
        <f t="shared" si="151"/>
        <v>17.446714440396239</v>
      </c>
      <c r="D316" s="230">
        <f t="shared" si="151"/>
        <v>18.269052100356539</v>
      </c>
      <c r="E316" s="230">
        <f t="shared" si="151"/>
        <v>19.072517849581651</v>
      </c>
      <c r="F316" s="230">
        <f t="shared" si="151"/>
        <v>19.851655062519534</v>
      </c>
      <c r="G316" s="230">
        <f t="shared" si="151"/>
        <v>20.600987634043928</v>
      </c>
      <c r="H316" s="230">
        <f t="shared" si="151"/>
        <v>21.315079166918366</v>
      </c>
      <c r="I316" s="230">
        <f t="shared" si="151"/>
        <v>22.040263247073973</v>
      </c>
      <c r="J316" s="230">
        <f t="shared" si="151"/>
        <v>22.776066035543131</v>
      </c>
      <c r="K316" s="230">
        <f t="shared" si="151"/>
        <v>23.521980288845477</v>
      </c>
      <c r="L316" s="230">
        <f t="shared" si="151"/>
        <v>24.277465348278007</v>
      </c>
      <c r="M316" s="230">
        <f t="shared" si="151"/>
        <v>25.041947214732883</v>
      </c>
      <c r="N316" s="230">
        <f t="shared" si="151"/>
        <v>25.774670178890759</v>
      </c>
      <c r="O316" s="230">
        <f t="shared" si="151"/>
        <v>26.471463179215188</v>
      </c>
      <c r="P316" s="230">
        <f t="shared" si="151"/>
        <v>27.128241891274786</v>
      </c>
      <c r="Q316" s="230">
        <f t="shared" si="151"/>
        <v>27.741044128423265</v>
      </c>
      <c r="R316" s="230">
        <f t="shared" si="151"/>
        <v>28.306065029881584</v>
      </c>
      <c r="S316" s="230">
        <f t="shared" si="151"/>
        <v>28.876236384519867</v>
      </c>
      <c r="T316" s="230">
        <f t="shared" si="151"/>
        <v>29.451455724185376</v>
      </c>
      <c r="U316" s="230">
        <f t="shared" si="151"/>
        <v>30.031616124259045</v>
      </c>
      <c r="V316" s="230">
        <f t="shared" si="151"/>
        <v>30.616606171713869</v>
      </c>
      <c r="W316" s="230">
        <f t="shared" si="151"/>
        <v>31.20630993513344</v>
      </c>
      <c r="X316" s="230">
        <f t="shared" si="151"/>
        <v>31.800989394293492</v>
      </c>
      <c r="Y316" s="230">
        <f t="shared" si="151"/>
        <v>32.400542416450747</v>
      </c>
      <c r="Z316" s="230">
        <f t="shared" si="151"/>
        <v>33.004862733867583</v>
      </c>
      <c r="AA316" s="230">
        <f t="shared" si="151"/>
        <v>33.613839913657351</v>
      </c>
      <c r="AB316" s="230">
        <f t="shared" si="151"/>
        <v>34.227359329146488</v>
      </c>
      <c r="AC316" s="230">
        <f t="shared" si="151"/>
        <v>34.845662987253071</v>
      </c>
      <c r="AD316" s="230">
        <f t="shared" si="151"/>
        <v>35.468648367675229</v>
      </c>
      <c r="AE316" s="230">
        <f t="shared" si="151"/>
        <v>36.096209073109613</v>
      </c>
      <c r="AF316" s="230">
        <f t="shared" si="151"/>
        <v>36.728234800136278</v>
      </c>
      <c r="AG316" s="230">
        <f t="shared" si="151"/>
        <v>37.364611311270146</v>
      </c>
      <c r="AI316" s="214"/>
    </row>
    <row r="317" spans="1:36" outlineLevel="1" x14ac:dyDescent="0.2">
      <c r="A317" s="112" t="s">
        <v>1364</v>
      </c>
      <c r="B317" s="302" t="s">
        <v>704</v>
      </c>
      <c r="C317" s="230">
        <f t="shared" si="151"/>
        <v>4.5232222623249516</v>
      </c>
      <c r="D317" s="230">
        <f t="shared" si="151"/>
        <v>4.7668090542546118</v>
      </c>
      <c r="E317" s="230">
        <f t="shared" si="151"/>
        <v>5.0074564238283878</v>
      </c>
      <c r="F317" s="230">
        <f t="shared" si="151"/>
        <v>5.2435652956833998</v>
      </c>
      <c r="G317" s="230">
        <f t="shared" si="151"/>
        <v>5.4735045011641024</v>
      </c>
      <c r="H317" s="230">
        <f t="shared" si="151"/>
        <v>5.6956279220820383</v>
      </c>
      <c r="I317" s="230">
        <f t="shared" si="151"/>
        <v>5.9221759971362209</v>
      </c>
      <c r="J317" s="230">
        <f t="shared" si="151"/>
        <v>6.1530226353157191</v>
      </c>
      <c r="K317" s="230">
        <f t="shared" si="151"/>
        <v>6.3880298931749362</v>
      </c>
      <c r="L317" s="230">
        <f t="shared" si="151"/>
        <v>6.6270478851436296</v>
      </c>
      <c r="M317" s="230">
        <f t="shared" si="151"/>
        <v>6.869914722625837</v>
      </c>
      <c r="N317" s="230">
        <f t="shared" si="151"/>
        <v>7.1053886041654213</v>
      </c>
      <c r="O317" s="230">
        <f t="shared" si="151"/>
        <v>7.3321477986642885</v>
      </c>
      <c r="P317" s="230">
        <f t="shared" si="151"/>
        <v>7.548880011367392</v>
      </c>
      <c r="Q317" s="230">
        <f t="shared" si="151"/>
        <v>7.7542935584122841</v>
      </c>
      <c r="R317" s="230">
        <f t="shared" si="151"/>
        <v>7.9471286676954644</v>
      </c>
      <c r="S317" s="230">
        <f t="shared" si="151"/>
        <v>8.142112466605564</v>
      </c>
      <c r="T317" s="230">
        <f t="shared" si="151"/>
        <v>8.3392140048064629</v>
      </c>
      <c r="U317" s="230">
        <f t="shared" si="151"/>
        <v>8.5384006627795372</v>
      </c>
      <c r="V317" s="230">
        <f t="shared" si="151"/>
        <v>8.7396381364127649</v>
      </c>
      <c r="W317" s="230">
        <f t="shared" si="151"/>
        <v>8.9428904222927539</v>
      </c>
      <c r="X317" s="230">
        <f t="shared" si="151"/>
        <v>9.1482298257556671</v>
      </c>
      <c r="Y317" s="230">
        <f t="shared" si="151"/>
        <v>9.3556247575432181</v>
      </c>
      <c r="Z317" s="230">
        <f t="shared" si="151"/>
        <v>9.5650420746952118</v>
      </c>
      <c r="AA317" s="230">
        <f t="shared" si="151"/>
        <v>9.7764470664287391</v>
      </c>
      <c r="AB317" s="230">
        <f t="shared" si="151"/>
        <v>9.9898034405642928</v>
      </c>
      <c r="AC317" s="230">
        <f t="shared" si="151"/>
        <v>10.205178993231939</v>
      </c>
      <c r="AD317" s="230">
        <f t="shared" si="151"/>
        <v>10.422541342108747</v>
      </c>
      <c r="AE317" s="230">
        <f t="shared" si="151"/>
        <v>10.641856644364415</v>
      </c>
      <c r="AF317" s="230">
        <f t="shared" si="151"/>
        <v>10.863089583413677</v>
      </c>
      <c r="AG317" s="230">
        <f t="shared" si="151"/>
        <v>11.086203356091143</v>
      </c>
      <c r="AI317" s="214"/>
    </row>
    <row r="318" spans="1:36" outlineLevel="1" x14ac:dyDescent="0.2">
      <c r="A318" s="112" t="s">
        <v>1365</v>
      </c>
      <c r="B318" s="302" t="s">
        <v>704</v>
      </c>
      <c r="C318" s="230">
        <f t="shared" si="151"/>
        <v>3.2308730445178222</v>
      </c>
      <c r="D318" s="230">
        <f t="shared" si="151"/>
        <v>3.393397278098933</v>
      </c>
      <c r="E318" s="230">
        <f t="shared" si="151"/>
        <v>3.5530848889664663</v>
      </c>
      <c r="F318" s="230">
        <f t="shared" si="151"/>
        <v>3.7088632579224052</v>
      </c>
      <c r="G318" s="230">
        <f t="shared" si="151"/>
        <v>3.8596470461139414</v>
      </c>
      <c r="H318" s="230">
        <f t="shared" si="151"/>
        <v>4.0043497618131374</v>
      </c>
      <c r="I318" s="230">
        <f t="shared" si="151"/>
        <v>4.1516285340748782</v>
      </c>
      <c r="J318" s="230">
        <f t="shared" si="151"/>
        <v>4.3013945218986489</v>
      </c>
      <c r="K318" s="230">
        <f t="shared" si="151"/>
        <v>4.4535516226960059</v>
      </c>
      <c r="L318" s="230">
        <f t="shared" si="151"/>
        <v>4.6079964410212479</v>
      </c>
      <c r="M318" s="230">
        <f t="shared" si="151"/>
        <v>4.7646182753695348</v>
      </c>
      <c r="N318" s="230">
        <f t="shared" si="151"/>
        <v>4.9156421558602741</v>
      </c>
      <c r="O318" s="230">
        <f t="shared" si="151"/>
        <v>5.0602146779514134</v>
      </c>
      <c r="P318" s="230">
        <f t="shared" si="151"/>
        <v>5.1974941018898111</v>
      </c>
      <c r="Q318" s="230">
        <f t="shared" si="151"/>
        <v>5.3266575811585932</v>
      </c>
      <c r="R318" s="230">
        <f t="shared" si="151"/>
        <v>5.4469084126901537</v>
      </c>
      <c r="S318" s="230">
        <f t="shared" si="151"/>
        <v>5.5683871078853455</v>
      </c>
      <c r="T318" s="230">
        <f t="shared" si="151"/>
        <v>5.6910732137681448</v>
      </c>
      <c r="U318" s="230">
        <f t="shared" si="151"/>
        <v>5.8149452789619307</v>
      </c>
      <c r="V318" s="230">
        <f t="shared" si="151"/>
        <v>5.9399808453719691</v>
      </c>
      <c r="W318" s="230">
        <f t="shared" si="151"/>
        <v>6.0661564402964894</v>
      </c>
      <c r="X318" s="230">
        <f t="shared" si="151"/>
        <v>6.1935220559463895</v>
      </c>
      <c r="Y318" s="230">
        <f t="shared" si="151"/>
        <v>6.3220570568684478</v>
      </c>
      <c r="Z318" s="230">
        <f t="shared" si="151"/>
        <v>6.4517398795691374</v>
      </c>
      <c r="AA318" s="230">
        <f t="shared" si="151"/>
        <v>6.5825480248066075</v>
      </c>
      <c r="AB318" s="230">
        <f t="shared" si="151"/>
        <v>6.7144580502153524</v>
      </c>
      <c r="AC318" s="230">
        <f t="shared" si="151"/>
        <v>6.8475164747333555</v>
      </c>
      <c r="AD318" s="230">
        <f t="shared" si="151"/>
        <v>6.9817023577657524</v>
      </c>
      <c r="AE318" s="230">
        <f t="shared" si="151"/>
        <v>7.1169938873183085</v>
      </c>
      <c r="AF318" s="230">
        <f t="shared" si="151"/>
        <v>7.2533683726853431</v>
      </c>
      <c r="AG318" s="230">
        <f t="shared" si="151"/>
        <v>7.3908022373940945</v>
      </c>
      <c r="AI318" s="214"/>
    </row>
    <row r="319" spans="1:36" s="58" customFormat="1" x14ac:dyDescent="0.2">
      <c r="A319" s="58" t="s">
        <v>1366</v>
      </c>
      <c r="B319" s="303"/>
      <c r="C319" s="304">
        <f>C47</f>
        <v>70.764479384937346</v>
      </c>
      <c r="D319" s="304">
        <f t="shared" ref="D319:AG319" si="152">D47</f>
        <v>72.918189376428401</v>
      </c>
      <c r="E319" s="304">
        <f t="shared" si="152"/>
        <v>74.810777056911093</v>
      </c>
      <c r="F319" s="304">
        <f t="shared" si="152"/>
        <v>76.616875721968114</v>
      </c>
      <c r="G319" s="304">
        <f t="shared" si="152"/>
        <v>78.260548261741476</v>
      </c>
      <c r="H319" s="304">
        <f t="shared" si="152"/>
        <v>79.729717677858432</v>
      </c>
      <c r="I319" s="304">
        <f t="shared" si="152"/>
        <v>80.808404567553993</v>
      </c>
      <c r="J319" s="304">
        <f t="shared" si="152"/>
        <v>81.858223423659211</v>
      </c>
      <c r="K319" s="304">
        <f t="shared" si="152"/>
        <v>82.877522706706074</v>
      </c>
      <c r="L319" s="304">
        <f t="shared" si="152"/>
        <v>83.864670145769395</v>
      </c>
      <c r="M319" s="304">
        <f t="shared" si="152"/>
        <v>84.818056593707794</v>
      </c>
      <c r="N319" s="304">
        <f t="shared" si="152"/>
        <v>85.189221269666646</v>
      </c>
      <c r="O319" s="304">
        <f t="shared" si="152"/>
        <v>85.383214513791216</v>
      </c>
      <c r="P319" s="304">
        <f t="shared" si="152"/>
        <v>85.395519545304751</v>
      </c>
      <c r="Q319" s="304">
        <f t="shared" si="152"/>
        <v>85.227583039931289</v>
      </c>
      <c r="R319" s="304">
        <f t="shared" si="152"/>
        <v>84.879601837453947</v>
      </c>
      <c r="S319" s="304">
        <f t="shared" si="152"/>
        <v>84.61190322651909</v>
      </c>
      <c r="T319" s="304">
        <f t="shared" si="152"/>
        <v>84.319507310700089</v>
      </c>
      <c r="U319" s="304">
        <f t="shared" si="152"/>
        <v>84.002208454261265</v>
      </c>
      <c r="V319" s="304">
        <f t="shared" si="152"/>
        <v>83.659809996301647</v>
      </c>
      <c r="W319" s="304">
        <f t="shared" si="152"/>
        <v>83.292124475594932</v>
      </c>
      <c r="X319" s="304">
        <f t="shared" si="152"/>
        <v>82.895526702067315</v>
      </c>
      <c r="Y319" s="304">
        <f t="shared" si="152"/>
        <v>82.47410847007346</v>
      </c>
      <c r="Z319" s="304">
        <f t="shared" si="152"/>
        <v>82.017437192181006</v>
      </c>
      <c r="AA319" s="304">
        <f t="shared" si="152"/>
        <v>81.535129240897504</v>
      </c>
      <c r="AB319" s="304">
        <f t="shared" si="152"/>
        <v>81.027020878525207</v>
      </c>
      <c r="AC319" s="304">
        <f t="shared" si="152"/>
        <v>80.432331335486609</v>
      </c>
      <c r="AD319" s="304">
        <f t="shared" si="152"/>
        <v>79.81111243277158</v>
      </c>
      <c r="AE319" s="304">
        <f t="shared" si="152"/>
        <v>79.163211129004964</v>
      </c>
      <c r="AF319" s="304">
        <f t="shared" si="152"/>
        <v>78.488482686413789</v>
      </c>
      <c r="AG319" s="304">
        <f t="shared" si="152"/>
        <v>77.786790836605235</v>
      </c>
      <c r="AI319" s="305"/>
      <c r="AJ319" s="306"/>
    </row>
    <row r="320" spans="1:36" s="58" customFormat="1" x14ac:dyDescent="0.2">
      <c r="A320" s="307" t="s">
        <v>3</v>
      </c>
      <c r="B320" s="308" t="s">
        <v>704</v>
      </c>
      <c r="C320" s="309">
        <f>C319-C309</f>
        <v>0</v>
      </c>
      <c r="D320" s="309">
        <f t="shared" ref="D320:AG320" si="153">D319-D309</f>
        <v>-0.2184214774508888</v>
      </c>
      <c r="E320" s="309">
        <f t="shared" si="153"/>
        <v>-0.57988968765783966</v>
      </c>
      <c r="F320" s="309">
        <f t="shared" si="153"/>
        <v>-0.89430032137909166</v>
      </c>
      <c r="G320" s="309">
        <f t="shared" si="153"/>
        <v>-1.2227385794725052</v>
      </c>
      <c r="H320" s="309">
        <f t="shared" si="153"/>
        <v>-1.563221927599983</v>
      </c>
      <c r="I320" s="309">
        <f t="shared" si="153"/>
        <v>-2.2975411139834705</v>
      </c>
      <c r="J320" s="309">
        <f t="shared" si="153"/>
        <v>-3.0624401368106362</v>
      </c>
      <c r="K320" s="309">
        <f t="shared" si="153"/>
        <v>-3.8578873519316517</v>
      </c>
      <c r="L320" s="309">
        <f t="shared" si="153"/>
        <v>-4.6837923609518555</v>
      </c>
      <c r="M320" s="309">
        <f t="shared" si="153"/>
        <v>-5.5400044928645684</v>
      </c>
      <c r="N320" s="309">
        <f t="shared" si="153"/>
        <v>-6.8413249268305663</v>
      </c>
      <c r="O320" s="309">
        <f t="shared" si="153"/>
        <v>-8.173427419603172</v>
      </c>
      <c r="P320" s="309">
        <f t="shared" si="153"/>
        <v>-9.5322080216887883</v>
      </c>
      <c r="Q320" s="309">
        <f t="shared" si="153"/>
        <v>-10.908334622828846</v>
      </c>
      <c r="R320" s="309">
        <f t="shared" si="153"/>
        <v>-12.294534945626296</v>
      </c>
      <c r="S320" s="309">
        <f t="shared" si="153"/>
        <v>-13.600913405319801</v>
      </c>
      <c r="T320" s="309">
        <f t="shared" si="153"/>
        <v>-14.932218483038866</v>
      </c>
      <c r="U320" s="309">
        <f t="shared" si="153"/>
        <v>-16.288421620968919</v>
      </c>
      <c r="V320" s="309">
        <f t="shared" si="153"/>
        <v>-17.669482582091547</v>
      </c>
      <c r="W320" s="309">
        <f t="shared" si="153"/>
        <v>-19.075349301682365</v>
      </c>
      <c r="X320" s="309">
        <f t="shared" si="153"/>
        <v>-20.51054383909694</v>
      </c>
      <c r="Y320" s="309">
        <f t="shared" si="153"/>
        <v>-21.970765885214774</v>
      </c>
      <c r="Z320" s="309">
        <f t="shared" si="153"/>
        <v>-23.466237156271063</v>
      </c>
      <c r="AA320" s="309">
        <f t="shared" si="153"/>
        <v>-24.987128112381285</v>
      </c>
      <c r="AB320" s="309">
        <f t="shared" si="153"/>
        <v>-26.533387089813644</v>
      </c>
      <c r="AC320" s="309">
        <f t="shared" si="153"/>
        <v>-28.166603997013979</v>
      </c>
      <c r="AD320" s="309">
        <f t="shared" si="153"/>
        <v>-29.826538139750994</v>
      </c>
      <c r="AE320" s="309">
        <f t="shared" si="153"/>
        <v>-31.513151669814974</v>
      </c>
      <c r="AF320" s="309">
        <f t="shared" si="153"/>
        <v>-33.226396468676541</v>
      </c>
      <c r="AG320" s="309">
        <f t="shared" si="153"/>
        <v>-34.96621403278823</v>
      </c>
      <c r="AI320" s="305"/>
      <c r="AJ320" s="306"/>
    </row>
    <row r="321" spans="1:36" x14ac:dyDescent="0.2">
      <c r="A321" s="310" t="s">
        <v>51</v>
      </c>
      <c r="B321" s="302" t="s">
        <v>704</v>
      </c>
      <c r="C321" s="249">
        <f>C277</f>
        <v>6.1470184945809105</v>
      </c>
      <c r="D321" s="249">
        <f t="shared" ref="D321:AG321" si="154">D277</f>
        <v>6.5448867721839905</v>
      </c>
      <c r="E321" s="249">
        <f t="shared" si="154"/>
        <v>7.0212771180463296</v>
      </c>
      <c r="F321" s="249">
        <f t="shared" si="154"/>
        <v>7.5140781611890404</v>
      </c>
      <c r="G321" s="249">
        <f t="shared" si="154"/>
        <v>8.0080844384045271</v>
      </c>
      <c r="H321" s="249">
        <f t="shared" si="154"/>
        <v>8.5003238323923842</v>
      </c>
      <c r="I321" s="249">
        <f t="shared" si="154"/>
        <v>8.9748077011614278</v>
      </c>
      <c r="J321" s="249">
        <f t="shared" si="154"/>
        <v>9.455494526682978</v>
      </c>
      <c r="K321" s="249">
        <f t="shared" si="154"/>
        <v>9.9413609062364401</v>
      </c>
      <c r="L321" s="249">
        <f t="shared" si="154"/>
        <v>10.431298646977339</v>
      </c>
      <c r="M321" s="249">
        <f t="shared" si="154"/>
        <v>10.924113696924683</v>
      </c>
      <c r="N321" s="249">
        <f t="shared" si="154"/>
        <v>11.666117865206402</v>
      </c>
      <c r="O321" s="249">
        <f t="shared" si="154"/>
        <v>12.376437930029716</v>
      </c>
      <c r="P321" s="249">
        <f t="shared" si="154"/>
        <v>13.04769835808707</v>
      </c>
      <c r="Q321" s="249">
        <f t="shared" si="154"/>
        <v>13.674868536709345</v>
      </c>
      <c r="R321" s="249">
        <f t="shared" si="154"/>
        <v>14.252183186127187</v>
      </c>
      <c r="S321" s="249">
        <f t="shared" si="154"/>
        <v>14.826840129044371</v>
      </c>
      <c r="T321" s="249">
        <f t="shared" si="154"/>
        <v>15.376473134573164</v>
      </c>
      <c r="U321" s="249">
        <f t="shared" si="154"/>
        <v>15.899237011125567</v>
      </c>
      <c r="V321" s="249">
        <f t="shared" si="154"/>
        <v>16.393215374109513</v>
      </c>
      <c r="W321" s="249">
        <f t="shared" si="154"/>
        <v>16.856419590194808</v>
      </c>
      <c r="X321" s="249">
        <f t="shared" si="154"/>
        <v>17.743942493081946</v>
      </c>
      <c r="Y321" s="249">
        <f t="shared" si="154"/>
        <v>18.582317126177546</v>
      </c>
      <c r="Z321" s="249">
        <f t="shared" si="154"/>
        <v>19.359572088018702</v>
      </c>
      <c r="AA321" s="249">
        <f t="shared" si="154"/>
        <v>20.078910295487642</v>
      </c>
      <c r="AB321" s="249">
        <f t="shared" si="154"/>
        <v>20.736554998422633</v>
      </c>
      <c r="AC321" s="249">
        <f t="shared" si="154"/>
        <v>21.289916925842288</v>
      </c>
      <c r="AD321" s="249">
        <f t="shared" si="154"/>
        <v>21.766091260417127</v>
      </c>
      <c r="AE321" s="249">
        <f t="shared" si="154"/>
        <v>22.160171700357722</v>
      </c>
      <c r="AF321" s="249">
        <f t="shared" si="154"/>
        <v>22.467074267006492</v>
      </c>
      <c r="AG321" s="249">
        <f t="shared" si="154"/>
        <v>22.68153502836374</v>
      </c>
      <c r="AI321" s="296"/>
    </row>
    <row r="322" spans="1:36" s="68" customFormat="1" x14ac:dyDescent="0.2">
      <c r="A322" s="311" t="s">
        <v>1387</v>
      </c>
      <c r="B322" s="312" t="s">
        <v>704</v>
      </c>
      <c r="C322" s="313">
        <f>C319-C321</f>
        <v>64.61746089035644</v>
      </c>
      <c r="D322" s="313">
        <f t="shared" ref="D322:AG322" si="155">D319-D321</f>
        <v>66.373302604244415</v>
      </c>
      <c r="E322" s="313">
        <f t="shared" si="155"/>
        <v>67.789499938864765</v>
      </c>
      <c r="F322" s="313">
        <f t="shared" si="155"/>
        <v>69.102797560779067</v>
      </c>
      <c r="G322" s="313">
        <f t="shared" si="155"/>
        <v>70.252463823336953</v>
      </c>
      <c r="H322" s="313">
        <f t="shared" si="155"/>
        <v>71.229393845466049</v>
      </c>
      <c r="I322" s="313">
        <f t="shared" si="155"/>
        <v>71.833596866392568</v>
      </c>
      <c r="J322" s="313">
        <f t="shared" si="155"/>
        <v>72.402728896976228</v>
      </c>
      <c r="K322" s="313">
        <f t="shared" si="155"/>
        <v>72.936161800469634</v>
      </c>
      <c r="L322" s="313">
        <f t="shared" si="155"/>
        <v>73.433371498792056</v>
      </c>
      <c r="M322" s="313">
        <f t="shared" si="155"/>
        <v>73.893942896783116</v>
      </c>
      <c r="N322" s="313">
        <f t="shared" si="155"/>
        <v>73.523103404460244</v>
      </c>
      <c r="O322" s="313">
        <f t="shared" si="155"/>
        <v>73.006776583761507</v>
      </c>
      <c r="P322" s="313">
        <f t="shared" si="155"/>
        <v>72.347821187217676</v>
      </c>
      <c r="Q322" s="313">
        <f t="shared" si="155"/>
        <v>71.552714503221949</v>
      </c>
      <c r="R322" s="313">
        <f t="shared" si="155"/>
        <v>70.627418651326764</v>
      </c>
      <c r="S322" s="313">
        <f t="shared" si="155"/>
        <v>69.785063097474719</v>
      </c>
      <c r="T322" s="313">
        <f t="shared" si="155"/>
        <v>68.943034176126929</v>
      </c>
      <c r="U322" s="313">
        <f t="shared" si="155"/>
        <v>68.102971443135701</v>
      </c>
      <c r="V322" s="313">
        <f t="shared" si="155"/>
        <v>67.26659462219213</v>
      </c>
      <c r="W322" s="313">
        <f t="shared" si="155"/>
        <v>66.435704885400128</v>
      </c>
      <c r="X322" s="313">
        <f t="shared" si="155"/>
        <v>65.151584208985369</v>
      </c>
      <c r="Y322" s="313">
        <f t="shared" si="155"/>
        <v>63.891791343895918</v>
      </c>
      <c r="Z322" s="313">
        <f t="shared" si="155"/>
        <v>62.657865104162305</v>
      </c>
      <c r="AA322" s="313">
        <f t="shared" si="155"/>
        <v>61.456218945409859</v>
      </c>
      <c r="AB322" s="313">
        <f t="shared" si="155"/>
        <v>60.290465880102573</v>
      </c>
      <c r="AC322" s="313">
        <f t="shared" si="155"/>
        <v>59.142414409644317</v>
      </c>
      <c r="AD322" s="313">
        <f t="shared" si="155"/>
        <v>58.045021172354453</v>
      </c>
      <c r="AE322" s="313">
        <f t="shared" si="155"/>
        <v>57.003039428647241</v>
      </c>
      <c r="AF322" s="313">
        <f t="shared" si="155"/>
        <v>56.021408419407294</v>
      </c>
      <c r="AG322" s="313">
        <f t="shared" si="155"/>
        <v>55.105255808241495</v>
      </c>
      <c r="AI322" s="314"/>
      <c r="AJ322" s="315"/>
    </row>
    <row r="323" spans="1:36" s="58" customFormat="1" outlineLevel="1" x14ac:dyDescent="0.2">
      <c r="A323" s="307" t="s">
        <v>1367</v>
      </c>
      <c r="B323" s="308" t="s">
        <v>462</v>
      </c>
      <c r="C323" s="309">
        <f>C319*C289</f>
        <v>59.44216268334737</v>
      </c>
      <c r="D323" s="309">
        <f t="shared" ref="D323:AG323" si="156">D319*D289</f>
        <v>61.542951833705565</v>
      </c>
      <c r="E323" s="309">
        <f t="shared" si="156"/>
        <v>63.439538944260605</v>
      </c>
      <c r="F323" s="309">
        <f t="shared" si="156"/>
        <v>65.277578115116825</v>
      </c>
      <c r="G323" s="309">
        <f t="shared" si="156"/>
        <v>66.991029312050699</v>
      </c>
      <c r="H323" s="309">
        <f t="shared" si="156"/>
        <v>68.567557202958255</v>
      </c>
      <c r="I323" s="309">
        <f t="shared" si="156"/>
        <v>69.818461546366649</v>
      </c>
      <c r="J323" s="309">
        <f t="shared" si="156"/>
        <v>71.052937931736196</v>
      </c>
      <c r="K323" s="309">
        <f t="shared" si="156"/>
        <v>72.269199800247691</v>
      </c>
      <c r="L323" s="309">
        <f t="shared" si="156"/>
        <v>73.465451047693989</v>
      </c>
      <c r="M323" s="309">
        <f t="shared" si="156"/>
        <v>74.639889802462861</v>
      </c>
      <c r="N323" s="309">
        <f t="shared" si="156"/>
        <v>75.307271602385313</v>
      </c>
      <c r="O323" s="309">
        <f t="shared" si="156"/>
        <v>75.820294488246603</v>
      </c>
      <c r="P323" s="309">
        <f t="shared" si="156"/>
        <v>76.172803434411833</v>
      </c>
      <c r="Q323" s="309">
        <f t="shared" si="156"/>
        <v>76.363914403778438</v>
      </c>
      <c r="R323" s="309">
        <f t="shared" si="156"/>
        <v>76.391641653708561</v>
      </c>
      <c r="S323" s="309">
        <f t="shared" si="156"/>
        <v>76.489160516773254</v>
      </c>
      <c r="T323" s="309">
        <f t="shared" si="156"/>
        <v>76.562112638115678</v>
      </c>
      <c r="U323" s="309">
        <f t="shared" si="156"/>
        <v>76.610014110286272</v>
      </c>
      <c r="V323" s="309">
        <f t="shared" si="156"/>
        <v>76.63238595661231</v>
      </c>
      <c r="W323" s="309">
        <f t="shared" si="156"/>
        <v>76.628754517547335</v>
      </c>
      <c r="X323" s="309">
        <f t="shared" si="156"/>
        <v>76.595466672710202</v>
      </c>
      <c r="Y323" s="309">
        <f t="shared" si="156"/>
        <v>76.535972660228168</v>
      </c>
      <c r="Z323" s="309">
        <f t="shared" si="156"/>
        <v>76.440251463112702</v>
      </c>
      <c r="AA323" s="309">
        <f t="shared" si="156"/>
        <v>76.316880969480067</v>
      </c>
      <c r="AB323" s="309">
        <f t="shared" si="156"/>
        <v>76.165399625813706</v>
      </c>
      <c r="AC323" s="309">
        <f t="shared" si="156"/>
        <v>75.928120780699359</v>
      </c>
      <c r="AD323" s="309">
        <f t="shared" si="156"/>
        <v>75.660934586267459</v>
      </c>
      <c r="AE323" s="309">
        <f t="shared" si="156"/>
        <v>75.363376994812725</v>
      </c>
      <c r="AF323" s="309">
        <f t="shared" si="156"/>
        <v>75.03498944821159</v>
      </c>
      <c r="AG323" s="309">
        <f t="shared" si="156"/>
        <v>74.675319203141029</v>
      </c>
      <c r="AI323" s="305"/>
      <c r="AJ323" s="339" t="s">
        <v>1363</v>
      </c>
    </row>
    <row r="324" spans="1:36" s="58" customFormat="1" outlineLevel="1" x14ac:dyDescent="0.2">
      <c r="A324" s="307" t="s">
        <v>1368</v>
      </c>
      <c r="B324" s="308" t="s">
        <v>462</v>
      </c>
      <c r="C324" s="309">
        <f>C323*C290</f>
        <v>13.077275790336421</v>
      </c>
      <c r="D324" s="309">
        <f t="shared" ref="D324:AG324" si="157">D323*D290</f>
        <v>13.949735748973261</v>
      </c>
      <c r="E324" s="309">
        <f t="shared" si="157"/>
        <v>14.80255908699414</v>
      </c>
      <c r="F324" s="309">
        <f t="shared" si="157"/>
        <v>15.666618747628036</v>
      </c>
      <c r="G324" s="309">
        <f t="shared" si="157"/>
        <v>16.524453896972503</v>
      </c>
      <c r="H324" s="309">
        <f t="shared" si="157"/>
        <v>17.370447824749423</v>
      </c>
      <c r="I324" s="309">
        <f t="shared" si="157"/>
        <v>18.152800002055326</v>
      </c>
      <c r="J324" s="309">
        <f t="shared" si="157"/>
        <v>18.947450115129648</v>
      </c>
      <c r="K324" s="309">
        <f t="shared" si="157"/>
        <v>19.753581278734362</v>
      </c>
      <c r="L324" s="309">
        <f t="shared" si="157"/>
        <v>20.570326293354309</v>
      </c>
      <c r="M324" s="309">
        <f t="shared" si="157"/>
        <v>21.396768410039346</v>
      </c>
      <c r="N324" s="309">
        <f t="shared" si="157"/>
        <v>22.090133003366351</v>
      </c>
      <c r="O324" s="309">
        <f t="shared" si="157"/>
        <v>22.746088346473972</v>
      </c>
      <c r="P324" s="309">
        <f t="shared" si="157"/>
        <v>23.359659719886285</v>
      </c>
      <c r="Q324" s="309">
        <f t="shared" si="157"/>
        <v>23.927359846517234</v>
      </c>
      <c r="R324" s="309">
        <f t="shared" si="157"/>
        <v>24.445325329186726</v>
      </c>
      <c r="S324" s="309">
        <f t="shared" si="157"/>
        <v>24.986459102145915</v>
      </c>
      <c r="T324" s="309">
        <f t="shared" si="157"/>
        <v>25.520704212705212</v>
      </c>
      <c r="U324" s="309">
        <f t="shared" si="157"/>
        <v>26.047404797497318</v>
      </c>
      <c r="V324" s="309">
        <f t="shared" si="157"/>
        <v>26.565893798292251</v>
      </c>
      <c r="W324" s="309">
        <f t="shared" si="157"/>
        <v>27.075493262866708</v>
      </c>
      <c r="X324" s="309">
        <f t="shared" si="157"/>
        <v>27.574368002175653</v>
      </c>
      <c r="Y324" s="309">
        <f t="shared" si="157"/>
        <v>28.063189975416975</v>
      </c>
      <c r="Z324" s="309">
        <f t="shared" si="157"/>
        <v>28.537693879562056</v>
      </c>
      <c r="AA324" s="309">
        <f t="shared" si="157"/>
        <v>29.000414768402404</v>
      </c>
      <c r="AB324" s="309">
        <f t="shared" si="157"/>
        <v>29.450621188647943</v>
      </c>
      <c r="AC324" s="309">
        <f t="shared" si="157"/>
        <v>29.865060840408393</v>
      </c>
      <c r="AD324" s="309">
        <f t="shared" si="157"/>
        <v>30.264373834506959</v>
      </c>
      <c r="AE324" s="309">
        <f t="shared" si="157"/>
        <v>30.647773311223816</v>
      </c>
      <c r="AF324" s="309">
        <f t="shared" si="157"/>
        <v>31.014462305260764</v>
      </c>
      <c r="AG324" s="309">
        <f t="shared" si="157"/>
        <v>31.363634065319232</v>
      </c>
      <c r="AI324" s="305"/>
      <c r="AJ324" s="339" t="s">
        <v>1363</v>
      </c>
    </row>
    <row r="325" spans="1:36" s="62" customFormat="1" outlineLevel="1" x14ac:dyDescent="0.2">
      <c r="A325" s="311" t="s">
        <v>1369</v>
      </c>
      <c r="B325" s="312" t="s">
        <v>462</v>
      </c>
      <c r="C325" s="313">
        <f>C323*C291</f>
        <v>46.364886893010947</v>
      </c>
      <c r="D325" s="313">
        <f t="shared" ref="D325:AG325" si="158">D323*D291</f>
        <v>47.593216084732305</v>
      </c>
      <c r="E325" s="313">
        <f t="shared" si="158"/>
        <v>48.636979857266468</v>
      </c>
      <c r="F325" s="313">
        <f t="shared" si="158"/>
        <v>49.610959367488789</v>
      </c>
      <c r="G325" s="313">
        <f t="shared" si="158"/>
        <v>50.466575415078196</v>
      </c>
      <c r="H325" s="313">
        <f t="shared" si="158"/>
        <v>51.197109378208836</v>
      </c>
      <c r="I325" s="313">
        <f t="shared" si="158"/>
        <v>51.66566154431132</v>
      </c>
      <c r="J325" s="313">
        <f t="shared" si="158"/>
        <v>52.105487816606548</v>
      </c>
      <c r="K325" s="313">
        <f t="shared" si="158"/>
        <v>52.515618521513332</v>
      </c>
      <c r="L325" s="313">
        <f t="shared" si="158"/>
        <v>52.895124754339676</v>
      </c>
      <c r="M325" s="313">
        <f t="shared" si="158"/>
        <v>53.243121392423511</v>
      </c>
      <c r="N325" s="313">
        <f t="shared" si="158"/>
        <v>53.217138599018966</v>
      </c>
      <c r="O325" s="313">
        <f t="shared" si="158"/>
        <v>53.074206141772635</v>
      </c>
      <c r="P325" s="313">
        <f t="shared" si="158"/>
        <v>52.813143714525545</v>
      </c>
      <c r="Q325" s="313">
        <f t="shared" si="158"/>
        <v>52.436554557261204</v>
      </c>
      <c r="R325" s="313">
        <f t="shared" si="158"/>
        <v>51.946316324521831</v>
      </c>
      <c r="S325" s="313">
        <f t="shared" si="158"/>
        <v>51.502701414627339</v>
      </c>
      <c r="T325" s="313">
        <f t="shared" si="158"/>
        <v>51.041408425410467</v>
      </c>
      <c r="U325" s="313">
        <f t="shared" si="158"/>
        <v>50.56260931278895</v>
      </c>
      <c r="V325" s="313">
        <f t="shared" si="158"/>
        <v>50.06649215832006</v>
      </c>
      <c r="W325" s="313">
        <f t="shared" si="158"/>
        <v>49.553261254680635</v>
      </c>
      <c r="X325" s="313">
        <f t="shared" si="158"/>
        <v>49.021098670534549</v>
      </c>
      <c r="Y325" s="313">
        <f t="shared" si="158"/>
        <v>48.472782684811186</v>
      </c>
      <c r="Z325" s="313">
        <f t="shared" si="158"/>
        <v>47.902557583550646</v>
      </c>
      <c r="AA325" s="313">
        <f t="shared" si="158"/>
        <v>47.316466201077667</v>
      </c>
      <c r="AB325" s="313">
        <f t="shared" si="158"/>
        <v>46.714778437165762</v>
      </c>
      <c r="AC325" s="313">
        <f t="shared" si="158"/>
        <v>46.063059940290962</v>
      </c>
      <c r="AD325" s="313">
        <f t="shared" si="158"/>
        <v>45.396560751760497</v>
      </c>
      <c r="AE325" s="313">
        <f t="shared" si="158"/>
        <v>44.71560368358891</v>
      </c>
      <c r="AF325" s="313">
        <f t="shared" si="158"/>
        <v>44.020527142950826</v>
      </c>
      <c r="AG325" s="313">
        <f t="shared" si="158"/>
        <v>43.311685137821804</v>
      </c>
      <c r="AI325" s="342"/>
      <c r="AJ325" s="341" t="s">
        <v>1363</v>
      </c>
    </row>
    <row r="326" spans="1:36" s="1" customFormat="1" outlineLevel="1" x14ac:dyDescent="0.2">
      <c r="A326" t="s">
        <v>1370</v>
      </c>
      <c r="B326" s="302" t="s">
        <v>704</v>
      </c>
      <c r="C326" s="249">
        <f>C292*C323</f>
        <v>56.470054549179999</v>
      </c>
      <c r="D326" s="249">
        <f t="shared" ref="D326:AG326" si="159">D292*D323</f>
        <v>58.158089482851757</v>
      </c>
      <c r="E326" s="249">
        <f t="shared" si="159"/>
        <v>59.633166607604963</v>
      </c>
      <c r="F326" s="249">
        <f t="shared" si="159"/>
        <v>61.034535537634227</v>
      </c>
      <c r="G326" s="249">
        <f t="shared" si="159"/>
        <v>62.301657260207143</v>
      </c>
      <c r="H326" s="249">
        <f t="shared" si="159"/>
        <v>63.424990412736385</v>
      </c>
      <c r="I326" s="249">
        <f t="shared" si="159"/>
        <v>64.232984622657312</v>
      </c>
      <c r="J326" s="249">
        <f t="shared" si="159"/>
        <v>65.013438207538613</v>
      </c>
      <c r="K326" s="249">
        <f t="shared" si="159"/>
        <v>65.764971818225391</v>
      </c>
      <c r="L326" s="249">
        <f t="shared" si="159"/>
        <v>66.486233198163049</v>
      </c>
      <c r="M326" s="249">
        <f t="shared" si="159"/>
        <v>67.175900822216562</v>
      </c>
      <c r="N326" s="249">
        <f t="shared" si="159"/>
        <v>67.400008084134853</v>
      </c>
      <c r="O326" s="249">
        <f t="shared" si="159"/>
        <v>67.480062094539463</v>
      </c>
      <c r="P326" s="249">
        <f t="shared" si="159"/>
        <v>67.412931039454463</v>
      </c>
      <c r="Q326" s="249">
        <f t="shared" si="159"/>
        <v>67.200244675325024</v>
      </c>
      <c r="R326" s="249">
        <f t="shared" si="159"/>
        <v>66.842686446994989</v>
      </c>
      <c r="S326" s="249">
        <f t="shared" si="159"/>
        <v>66.545569649592721</v>
      </c>
      <c r="T326" s="249">
        <f t="shared" si="159"/>
        <v>66.226227431970059</v>
      </c>
      <c r="U326" s="249">
        <f t="shared" si="159"/>
        <v>65.884612134846179</v>
      </c>
      <c r="V326" s="249">
        <f t="shared" si="159"/>
        <v>65.520689992903513</v>
      </c>
      <c r="W326" s="249">
        <f t="shared" si="159"/>
        <v>65.134441339915227</v>
      </c>
      <c r="X326" s="249">
        <f t="shared" si="159"/>
        <v>64.723169338440115</v>
      </c>
      <c r="Y326" s="249">
        <f t="shared" si="159"/>
        <v>64.290217034591649</v>
      </c>
      <c r="Z326" s="249">
        <f t="shared" si="159"/>
        <v>63.827609971699097</v>
      </c>
      <c r="AA326" s="249">
        <f t="shared" si="159"/>
        <v>63.343011204668443</v>
      </c>
      <c r="AB326" s="249">
        <f t="shared" si="159"/>
        <v>62.836454691296296</v>
      </c>
      <c r="AC326" s="249">
        <f t="shared" si="159"/>
        <v>62.261059040173464</v>
      </c>
      <c r="AD326" s="249">
        <f t="shared" si="159"/>
        <v>61.663661687807966</v>
      </c>
      <c r="AE326" s="249">
        <f t="shared" si="159"/>
        <v>61.044335365798297</v>
      </c>
      <c r="AF326" s="249">
        <f t="shared" si="159"/>
        <v>60.403166505810319</v>
      </c>
      <c r="AG326" s="249">
        <f t="shared" si="159"/>
        <v>59.740255362512826</v>
      </c>
      <c r="AI326" s="316"/>
      <c r="AJ326" s="211" t="s">
        <v>1363</v>
      </c>
    </row>
    <row r="327" spans="1:36" s="1" customFormat="1" outlineLevel="1" x14ac:dyDescent="0.2">
      <c r="A327" t="s">
        <v>1371</v>
      </c>
      <c r="B327" s="302" t="s">
        <v>704</v>
      </c>
      <c r="C327" s="249">
        <f>C293*C323</f>
        <v>2.9721081341673687</v>
      </c>
      <c r="D327" s="249">
        <f t="shared" ref="D327:AG327" si="160">D293*D323</f>
        <v>3.3848623508538065</v>
      </c>
      <c r="E327" s="249">
        <f t="shared" si="160"/>
        <v>3.8063723366556372</v>
      </c>
      <c r="F327" s="249">
        <f t="shared" si="160"/>
        <v>4.2430425774825951</v>
      </c>
      <c r="G327" s="249">
        <f t="shared" si="160"/>
        <v>4.6893720518435504</v>
      </c>
      <c r="H327" s="249">
        <f t="shared" si="160"/>
        <v>5.1425667902218706</v>
      </c>
      <c r="I327" s="249">
        <f t="shared" si="160"/>
        <v>5.5854769237093338</v>
      </c>
      <c r="J327" s="249">
        <f t="shared" si="160"/>
        <v>6.0394997241975794</v>
      </c>
      <c r="K327" s="249">
        <f t="shared" si="160"/>
        <v>6.5042279820222948</v>
      </c>
      <c r="L327" s="249">
        <f t="shared" si="160"/>
        <v>6.979217849530932</v>
      </c>
      <c r="M327" s="249">
        <f t="shared" si="160"/>
        <v>7.46398898024629</v>
      </c>
      <c r="N327" s="249">
        <f t="shared" si="160"/>
        <v>7.9072635182504616</v>
      </c>
      <c r="O327" s="249">
        <f t="shared" si="160"/>
        <v>8.3402323937071312</v>
      </c>
      <c r="P327" s="249">
        <f t="shared" si="160"/>
        <v>8.759872394957366</v>
      </c>
      <c r="Q327" s="249">
        <f t="shared" si="160"/>
        <v>9.1636697284534172</v>
      </c>
      <c r="R327" s="249">
        <f t="shared" si="160"/>
        <v>9.5489552067135737</v>
      </c>
      <c r="S327" s="249">
        <f t="shared" si="160"/>
        <v>9.9435908671805269</v>
      </c>
      <c r="T327" s="249">
        <f t="shared" si="160"/>
        <v>10.335885206145621</v>
      </c>
      <c r="U327" s="249">
        <f t="shared" si="160"/>
        <v>10.725401975440084</v>
      </c>
      <c r="V327" s="249">
        <f t="shared" si="160"/>
        <v>11.11169596370879</v>
      </c>
      <c r="W327" s="249">
        <f t="shared" si="160"/>
        <v>11.494313177632106</v>
      </c>
      <c r="X327" s="249">
        <f t="shared" si="160"/>
        <v>11.872297334270087</v>
      </c>
      <c r="Y327" s="249">
        <f t="shared" si="160"/>
        <v>12.245755625636514</v>
      </c>
      <c r="Z327" s="249">
        <f t="shared" si="160"/>
        <v>12.612641491413603</v>
      </c>
      <c r="AA327" s="249">
        <f t="shared" si="160"/>
        <v>12.973869764811619</v>
      </c>
      <c r="AB327" s="249">
        <f t="shared" si="160"/>
        <v>13.328944934517406</v>
      </c>
      <c r="AC327" s="249">
        <f t="shared" si="160"/>
        <v>13.667061740525893</v>
      </c>
      <c r="AD327" s="249">
        <f t="shared" si="160"/>
        <v>13.997272898459489</v>
      </c>
      <c r="AE327" s="249">
        <f t="shared" si="160"/>
        <v>14.319041629014427</v>
      </c>
      <c r="AF327" s="249">
        <f t="shared" si="160"/>
        <v>14.63182294240127</v>
      </c>
      <c r="AG327" s="249">
        <f t="shared" si="160"/>
        <v>14.935063840628207</v>
      </c>
      <c r="AI327" s="316"/>
      <c r="AJ327" s="211" t="s">
        <v>1363</v>
      </c>
    </row>
    <row r="328" spans="1:36" s="1" customFormat="1" outlineLevel="1" x14ac:dyDescent="0.2">
      <c r="A328" t="s">
        <v>1372</v>
      </c>
      <c r="B328" s="302" t="s">
        <v>704</v>
      </c>
      <c r="C328" s="249">
        <f>C326*C294</f>
        <v>8.4705081823769994</v>
      </c>
      <c r="D328" s="249">
        <f t="shared" ref="D328:AG328" si="161">D326*D294</f>
        <v>9.0920479891524906</v>
      </c>
      <c r="E328" s="249">
        <f t="shared" si="161"/>
        <v>9.7003284348370737</v>
      </c>
      <c r="F328" s="249">
        <f t="shared" si="161"/>
        <v>10.314836505860184</v>
      </c>
      <c r="G328" s="249">
        <f t="shared" si="161"/>
        <v>10.923557239622985</v>
      </c>
      <c r="H328" s="249">
        <f t="shared" si="161"/>
        <v>11.522206591647109</v>
      </c>
      <c r="I328" s="249">
        <f t="shared" si="161"/>
        <v>12.075801109059572</v>
      </c>
      <c r="J328" s="249">
        <f t="shared" si="161"/>
        <v>12.634278158331668</v>
      </c>
      <c r="K328" s="249">
        <f t="shared" si="161"/>
        <v>13.19683767819056</v>
      </c>
      <c r="L328" s="249">
        <f t="shared" si="161"/>
        <v>13.762650272019748</v>
      </c>
      <c r="M328" s="249">
        <f t="shared" si="161"/>
        <v>14.330858842072864</v>
      </c>
      <c r="N328" s="249">
        <f t="shared" si="161"/>
        <v>14.805535109148286</v>
      </c>
      <c r="O328" s="249">
        <f t="shared" si="161"/>
        <v>15.250494033365916</v>
      </c>
      <c r="P328" s="249">
        <f t="shared" si="161"/>
        <v>15.662270978166584</v>
      </c>
      <c r="Q328" s="249">
        <f t="shared" si="161"/>
        <v>16.038458395844234</v>
      </c>
      <c r="R328" s="249">
        <f t="shared" si="161"/>
        <v>16.376458179513769</v>
      </c>
      <c r="S328" s="249">
        <f t="shared" si="161"/>
        <v>16.725119838597635</v>
      </c>
      <c r="T328" s="249">
        <f t="shared" si="161"/>
        <v>17.064291268304284</v>
      </c>
      <c r="U328" s="249">
        <f t="shared" si="161"/>
        <v>17.393537603599391</v>
      </c>
      <c r="V328" s="249">
        <f t="shared" si="161"/>
        <v>17.712426528081586</v>
      </c>
      <c r="W328" s="249">
        <f t="shared" si="161"/>
        <v>18.020528770709884</v>
      </c>
      <c r="X328" s="249">
        <f t="shared" si="161"/>
        <v>18.316656922778559</v>
      </c>
      <c r="Y328" s="249">
        <f t="shared" si="161"/>
        <v>18.601302795341859</v>
      </c>
      <c r="Z328" s="249">
        <f t="shared" si="161"/>
        <v>18.871696681632375</v>
      </c>
      <c r="AA328" s="249">
        <f t="shared" si="161"/>
        <v>19.129589383809879</v>
      </c>
      <c r="AB328" s="249">
        <f t="shared" si="161"/>
        <v>19.37457352981637</v>
      </c>
      <c r="AC328" s="249">
        <f t="shared" si="161"/>
        <v>19.591479911307928</v>
      </c>
      <c r="AD328" s="249">
        <f t="shared" si="161"/>
        <v>19.79403540178637</v>
      </c>
      <c r="AE328" s="249">
        <f t="shared" si="161"/>
        <v>19.981845776404658</v>
      </c>
      <c r="AF328" s="249">
        <f t="shared" si="161"/>
        <v>20.154523224105393</v>
      </c>
      <c r="AG328" s="249">
        <f t="shared" si="161"/>
        <v>20.311686823254362</v>
      </c>
      <c r="AI328" s="316"/>
      <c r="AJ328" s="211" t="s">
        <v>1363</v>
      </c>
    </row>
    <row r="329" spans="1:36" s="1" customFormat="1" outlineLevel="1" x14ac:dyDescent="0.2">
      <c r="A329" t="s">
        <v>1373</v>
      </c>
      <c r="B329" s="302" t="s">
        <v>704</v>
      </c>
      <c r="C329" s="249">
        <f>C326*C295</f>
        <v>47.999546366802996</v>
      </c>
      <c r="D329" s="249">
        <f t="shared" ref="D329:AG329" si="162">D326*D295</f>
        <v>49.066041493699267</v>
      </c>
      <c r="E329" s="249">
        <f t="shared" si="162"/>
        <v>49.932838172767894</v>
      </c>
      <c r="F329" s="249">
        <f t="shared" si="162"/>
        <v>50.719699031774049</v>
      </c>
      <c r="G329" s="249">
        <f t="shared" si="162"/>
        <v>51.378100020584164</v>
      </c>
      <c r="H329" s="249">
        <f t="shared" si="162"/>
        <v>51.902783821089287</v>
      </c>
      <c r="I329" s="249">
        <f t="shared" si="162"/>
        <v>52.157183513597751</v>
      </c>
      <c r="J329" s="249">
        <f t="shared" si="162"/>
        <v>52.379160049206952</v>
      </c>
      <c r="K329" s="249">
        <f t="shared" si="162"/>
        <v>52.568134140034843</v>
      </c>
      <c r="L329" s="249">
        <f t="shared" si="162"/>
        <v>52.723582926143315</v>
      </c>
      <c r="M329" s="249">
        <f t="shared" si="162"/>
        <v>52.845041980143712</v>
      </c>
      <c r="N329" s="249">
        <f t="shared" si="162"/>
        <v>52.594472974986587</v>
      </c>
      <c r="O329" s="249">
        <f t="shared" si="162"/>
        <v>52.229568061173566</v>
      </c>
      <c r="P329" s="249">
        <f t="shared" si="162"/>
        <v>51.750660061287903</v>
      </c>
      <c r="Q329" s="249">
        <f t="shared" si="162"/>
        <v>51.161786279480815</v>
      </c>
      <c r="R329" s="249">
        <f t="shared" si="162"/>
        <v>50.466228267481249</v>
      </c>
      <c r="S329" s="249">
        <f t="shared" si="162"/>
        <v>49.820449810995115</v>
      </c>
      <c r="T329" s="249">
        <f t="shared" si="162"/>
        <v>49.161936163665807</v>
      </c>
      <c r="U329" s="249">
        <f t="shared" si="162"/>
        <v>48.491074531246824</v>
      </c>
      <c r="V329" s="249">
        <f t="shared" si="162"/>
        <v>47.80826346482197</v>
      </c>
      <c r="W329" s="249">
        <f t="shared" si="162"/>
        <v>47.11391256920539</v>
      </c>
      <c r="X329" s="249">
        <f t="shared" si="162"/>
        <v>46.406512415661602</v>
      </c>
      <c r="Y329" s="249">
        <f t="shared" si="162"/>
        <v>45.68891423924984</v>
      </c>
      <c r="Z329" s="249">
        <f t="shared" si="162"/>
        <v>44.955913290066775</v>
      </c>
      <c r="AA329" s="249">
        <f t="shared" si="162"/>
        <v>44.21342182085862</v>
      </c>
      <c r="AB329" s="249">
        <f t="shared" si="162"/>
        <v>43.461881161479987</v>
      </c>
      <c r="AC329" s="249">
        <f t="shared" si="162"/>
        <v>42.6695791288656</v>
      </c>
      <c r="AD329" s="249">
        <f t="shared" si="162"/>
        <v>41.869626286021663</v>
      </c>
      <c r="AE329" s="249">
        <f t="shared" si="162"/>
        <v>41.062489589393707</v>
      </c>
      <c r="AF329" s="249">
        <f t="shared" si="162"/>
        <v>40.248643281704993</v>
      </c>
      <c r="AG329" s="249">
        <f t="shared" si="162"/>
        <v>39.428568539258464</v>
      </c>
      <c r="AI329" s="316"/>
      <c r="AJ329" s="211" t="s">
        <v>1363</v>
      </c>
    </row>
    <row r="330" spans="1:36" s="1" customFormat="1" outlineLevel="1" x14ac:dyDescent="0.2">
      <c r="A330" t="s">
        <v>1374</v>
      </c>
      <c r="B330" s="302" t="s">
        <v>704</v>
      </c>
      <c r="C330" s="249">
        <f>C296*C329</f>
        <v>0</v>
      </c>
      <c r="D330" s="249">
        <f t="shared" ref="D330:AG330" si="163">D296*D329</f>
        <v>0</v>
      </c>
      <c r="E330" s="249">
        <f t="shared" si="163"/>
        <v>0</v>
      </c>
      <c r="F330" s="249">
        <f t="shared" si="163"/>
        <v>0</v>
      </c>
      <c r="G330" s="249">
        <f t="shared" si="163"/>
        <v>0</v>
      </c>
      <c r="H330" s="249">
        <f t="shared" si="163"/>
        <v>0</v>
      </c>
      <c r="I330" s="249">
        <f t="shared" si="163"/>
        <v>0</v>
      </c>
      <c r="J330" s="249">
        <f t="shared" si="163"/>
        <v>0</v>
      </c>
      <c r="K330" s="249">
        <f t="shared" si="163"/>
        <v>0</v>
      </c>
      <c r="L330" s="249">
        <f t="shared" si="163"/>
        <v>0</v>
      </c>
      <c r="M330" s="249">
        <f t="shared" si="163"/>
        <v>0</v>
      </c>
      <c r="N330" s="249">
        <f t="shared" si="163"/>
        <v>0</v>
      </c>
      <c r="O330" s="249">
        <f t="shared" si="163"/>
        <v>0</v>
      </c>
      <c r="P330" s="249">
        <f t="shared" si="163"/>
        <v>0</v>
      </c>
      <c r="Q330" s="249">
        <f t="shared" si="163"/>
        <v>0</v>
      </c>
      <c r="R330" s="249">
        <f t="shared" si="163"/>
        <v>0</v>
      </c>
      <c r="S330" s="249">
        <f t="shared" si="163"/>
        <v>0</v>
      </c>
      <c r="T330" s="249">
        <f t="shared" si="163"/>
        <v>0</v>
      </c>
      <c r="U330" s="249">
        <f t="shared" si="163"/>
        <v>0</v>
      </c>
      <c r="V330" s="249">
        <f t="shared" si="163"/>
        <v>0</v>
      </c>
      <c r="W330" s="249">
        <f t="shared" si="163"/>
        <v>0</v>
      </c>
      <c r="X330" s="249">
        <f t="shared" si="163"/>
        <v>0</v>
      </c>
      <c r="Y330" s="249">
        <f t="shared" si="163"/>
        <v>0</v>
      </c>
      <c r="Z330" s="249">
        <f t="shared" si="163"/>
        <v>0</v>
      </c>
      <c r="AA330" s="249">
        <f t="shared" si="163"/>
        <v>0</v>
      </c>
      <c r="AB330" s="249">
        <f t="shared" si="163"/>
        <v>0</v>
      </c>
      <c r="AC330" s="249">
        <f t="shared" si="163"/>
        <v>0</v>
      </c>
      <c r="AD330" s="249">
        <f t="shared" si="163"/>
        <v>0</v>
      </c>
      <c r="AE330" s="249">
        <f t="shared" si="163"/>
        <v>0</v>
      </c>
      <c r="AF330" s="249">
        <f t="shared" si="163"/>
        <v>0</v>
      </c>
      <c r="AG330" s="249">
        <f t="shared" si="163"/>
        <v>0</v>
      </c>
      <c r="AI330" s="316"/>
      <c r="AJ330" s="211" t="s">
        <v>1363</v>
      </c>
    </row>
    <row r="331" spans="1:36" s="1" customFormat="1" outlineLevel="1" x14ac:dyDescent="0.2">
      <c r="A331" t="s">
        <v>1388</v>
      </c>
      <c r="B331" s="302" t="s">
        <v>704</v>
      </c>
      <c r="C331" s="249">
        <f>C297*C329</f>
        <v>47.999546366802996</v>
      </c>
      <c r="D331" s="249">
        <f t="shared" ref="D331:AG331" si="164">D297*D329</f>
        <v>49.066041493699267</v>
      </c>
      <c r="E331" s="249">
        <f t="shared" si="164"/>
        <v>49.932838172767894</v>
      </c>
      <c r="F331" s="249">
        <f t="shared" si="164"/>
        <v>50.719699031774049</v>
      </c>
      <c r="G331" s="249">
        <f t="shared" si="164"/>
        <v>51.378100020584164</v>
      </c>
      <c r="H331" s="249">
        <f t="shared" si="164"/>
        <v>51.902783821089287</v>
      </c>
      <c r="I331" s="249">
        <f t="shared" si="164"/>
        <v>52.157183513597751</v>
      </c>
      <c r="J331" s="249">
        <f t="shared" si="164"/>
        <v>52.379160049206952</v>
      </c>
      <c r="K331" s="249">
        <f t="shared" si="164"/>
        <v>52.568134140034843</v>
      </c>
      <c r="L331" s="249">
        <f t="shared" si="164"/>
        <v>52.723582926143315</v>
      </c>
      <c r="M331" s="249">
        <f t="shared" si="164"/>
        <v>52.845041980143712</v>
      </c>
      <c r="N331" s="249">
        <f t="shared" si="164"/>
        <v>52.594472974986587</v>
      </c>
      <c r="O331" s="249">
        <f t="shared" si="164"/>
        <v>52.229568061173566</v>
      </c>
      <c r="P331" s="249">
        <f t="shared" si="164"/>
        <v>51.750660061287903</v>
      </c>
      <c r="Q331" s="249">
        <f t="shared" si="164"/>
        <v>51.161786279480815</v>
      </c>
      <c r="R331" s="249">
        <f t="shared" si="164"/>
        <v>50.466228267481249</v>
      </c>
      <c r="S331" s="249">
        <f t="shared" si="164"/>
        <v>49.820449810995115</v>
      </c>
      <c r="T331" s="249">
        <f t="shared" si="164"/>
        <v>49.161936163665807</v>
      </c>
      <c r="U331" s="249">
        <f t="shared" si="164"/>
        <v>48.491074531246824</v>
      </c>
      <c r="V331" s="249">
        <f t="shared" si="164"/>
        <v>47.80826346482197</v>
      </c>
      <c r="W331" s="249">
        <f t="shared" si="164"/>
        <v>47.11391256920539</v>
      </c>
      <c r="X331" s="249">
        <f t="shared" si="164"/>
        <v>46.406512415661602</v>
      </c>
      <c r="Y331" s="249">
        <f t="shared" si="164"/>
        <v>45.68891423924984</v>
      </c>
      <c r="Z331" s="249">
        <f t="shared" si="164"/>
        <v>44.955913290066775</v>
      </c>
      <c r="AA331" s="249">
        <f t="shared" si="164"/>
        <v>44.21342182085862</v>
      </c>
      <c r="AB331" s="249">
        <f t="shared" si="164"/>
        <v>43.461881161479987</v>
      </c>
      <c r="AC331" s="249">
        <f t="shared" si="164"/>
        <v>42.6695791288656</v>
      </c>
      <c r="AD331" s="249">
        <f t="shared" si="164"/>
        <v>41.869626286021663</v>
      </c>
      <c r="AE331" s="249">
        <f t="shared" si="164"/>
        <v>41.062489589393707</v>
      </c>
      <c r="AF331" s="249">
        <f t="shared" si="164"/>
        <v>40.248643281704993</v>
      </c>
      <c r="AG331" s="249">
        <f t="shared" si="164"/>
        <v>39.428568539258464</v>
      </c>
      <c r="AI331" s="316"/>
      <c r="AJ331" s="211" t="s">
        <v>1363</v>
      </c>
    </row>
    <row r="332" spans="1:36" s="1" customFormat="1" outlineLevel="1" x14ac:dyDescent="0.2">
      <c r="A332" t="s">
        <v>1376</v>
      </c>
      <c r="B332" s="302" t="s">
        <v>704</v>
      </c>
      <c r="C332" s="249">
        <f>C298*(C330+C328)</f>
        <v>6.7764065459016001</v>
      </c>
      <c r="D332" s="249">
        <f t="shared" ref="D332:AG332" si="165">D298*(D330+D328)</f>
        <v>7.3039452179525011</v>
      </c>
      <c r="E332" s="249">
        <f t="shared" si="165"/>
        <v>7.8249316041019057</v>
      </c>
      <c r="F332" s="249">
        <f t="shared" si="165"/>
        <v>8.3550175697467477</v>
      </c>
      <c r="G332" s="249">
        <f t="shared" si="165"/>
        <v>8.8844932215600263</v>
      </c>
      <c r="H332" s="249">
        <f t="shared" si="165"/>
        <v>9.4098020498451369</v>
      </c>
      <c r="I332" s="249">
        <f t="shared" si="165"/>
        <v>9.9021569094288466</v>
      </c>
      <c r="J332" s="249">
        <f t="shared" si="165"/>
        <v>10.402222350359738</v>
      </c>
      <c r="K332" s="249">
        <f t="shared" si="165"/>
        <v>10.909385813970861</v>
      </c>
      <c r="L332" s="249">
        <f t="shared" si="165"/>
        <v>11.422999725776387</v>
      </c>
      <c r="M332" s="249">
        <f t="shared" si="165"/>
        <v>11.94238236839405</v>
      </c>
      <c r="N332" s="249">
        <f t="shared" si="165"/>
        <v>12.387297707987395</v>
      </c>
      <c r="O332" s="249">
        <f t="shared" si="165"/>
        <v>12.810414988027365</v>
      </c>
      <c r="P332" s="249">
        <f t="shared" si="165"/>
        <v>13.208515191587146</v>
      </c>
      <c r="Q332" s="249">
        <f t="shared" si="165"/>
        <v>13.579228108481445</v>
      </c>
      <c r="R332" s="249">
        <f t="shared" si="165"/>
        <v>13.919989452586696</v>
      </c>
      <c r="S332" s="249">
        <f t="shared" si="165"/>
        <v>14.272102262269973</v>
      </c>
      <c r="T332" s="249">
        <f t="shared" si="165"/>
        <v>14.618409519847328</v>
      </c>
      <c r="U332" s="249">
        <f t="shared" si="165"/>
        <v>14.958442339095466</v>
      </c>
      <c r="V332" s="249">
        <f t="shared" si="165"/>
        <v>15.291728235910426</v>
      </c>
      <c r="W332" s="249">
        <f t="shared" si="165"/>
        <v>15.617791601281889</v>
      </c>
      <c r="X332" s="249">
        <f t="shared" si="165"/>
        <v>15.935491522817335</v>
      </c>
      <c r="Y332" s="249">
        <f t="shared" si="165"/>
        <v>16.245137774598543</v>
      </c>
      <c r="Z332" s="249">
        <f t="shared" si="165"/>
        <v>16.544187424231037</v>
      </c>
      <c r="AA332" s="249">
        <f t="shared" si="165"/>
        <v>16.834038657752679</v>
      </c>
      <c r="AB332" s="249">
        <f t="shared" si="165"/>
        <v>17.114206618004445</v>
      </c>
      <c r="AC332" s="249">
        <f t="shared" si="165"/>
        <v>17.371112188026348</v>
      </c>
      <c r="AD332" s="249">
        <f t="shared" si="165"/>
        <v>17.616691507589852</v>
      </c>
      <c r="AE332" s="249">
        <f t="shared" si="165"/>
        <v>17.850448893588144</v>
      </c>
      <c r="AF332" s="249">
        <f t="shared" si="165"/>
        <v>18.071889157614482</v>
      </c>
      <c r="AG332" s="249">
        <f t="shared" si="165"/>
        <v>18.280518140928926</v>
      </c>
      <c r="AH332" s="249"/>
      <c r="AI332" s="316"/>
      <c r="AJ332" s="211" t="s">
        <v>1363</v>
      </c>
    </row>
    <row r="333" spans="1:36" s="1" customFormat="1" outlineLevel="1" x14ac:dyDescent="0.2">
      <c r="A333" t="s">
        <v>1377</v>
      </c>
      <c r="B333" s="302" t="s">
        <v>704</v>
      </c>
      <c r="C333" s="249">
        <f>C299*(C330+C328)</f>
        <v>1.6941016364754</v>
      </c>
      <c r="D333" s="249">
        <f t="shared" ref="D333:AG333" si="166">D299*(D330+D328)</f>
        <v>1.7881027711999899</v>
      </c>
      <c r="E333" s="249">
        <f t="shared" si="166"/>
        <v>1.8753968307351678</v>
      </c>
      <c r="F333" s="249">
        <f t="shared" si="166"/>
        <v>1.9598189361134353</v>
      </c>
      <c r="G333" s="249">
        <f t="shared" si="166"/>
        <v>2.0390640180629576</v>
      </c>
      <c r="H333" s="249">
        <f t="shared" si="166"/>
        <v>2.1124045418019706</v>
      </c>
      <c r="I333" s="249">
        <f t="shared" si="166"/>
        <v>2.1736441996307234</v>
      </c>
      <c r="J333" s="249">
        <f t="shared" si="166"/>
        <v>2.2320558079719288</v>
      </c>
      <c r="K333" s="249">
        <f t="shared" si="166"/>
        <v>2.2874518642196979</v>
      </c>
      <c r="L333" s="249">
        <f t="shared" si="166"/>
        <v>2.3396505462433579</v>
      </c>
      <c r="M333" s="249">
        <f t="shared" si="166"/>
        <v>2.3884764736788116</v>
      </c>
      <c r="N333" s="249">
        <f t="shared" si="166"/>
        <v>2.418237401160888</v>
      </c>
      <c r="O333" s="249">
        <f t="shared" si="166"/>
        <v>2.4400790453385479</v>
      </c>
      <c r="P333" s="249">
        <f t="shared" si="166"/>
        <v>2.4537557865794328</v>
      </c>
      <c r="Q333" s="249">
        <f t="shared" si="166"/>
        <v>2.459230287362784</v>
      </c>
      <c r="R333" s="249">
        <f t="shared" si="166"/>
        <v>2.4564687269270671</v>
      </c>
      <c r="S333" s="249">
        <f t="shared" si="166"/>
        <v>2.4530175763276549</v>
      </c>
      <c r="T333" s="249">
        <f t="shared" si="166"/>
        <v>2.4458817484569493</v>
      </c>
      <c r="U333" s="249">
        <f t="shared" si="166"/>
        <v>2.435095264503917</v>
      </c>
      <c r="V333" s="249">
        <f t="shared" si="166"/>
        <v>2.4206982921711524</v>
      </c>
      <c r="W333" s="249">
        <f t="shared" si="166"/>
        <v>2.4027371694279869</v>
      </c>
      <c r="X333" s="249">
        <f t="shared" si="166"/>
        <v>2.3811653999612155</v>
      </c>
      <c r="Y333" s="249">
        <f t="shared" si="166"/>
        <v>2.3561650207433047</v>
      </c>
      <c r="Z333" s="249">
        <f t="shared" si="166"/>
        <v>2.3275092574013292</v>
      </c>
      <c r="AA333" s="249">
        <f t="shared" si="166"/>
        <v>2.2955507260571886</v>
      </c>
      <c r="AB333" s="249">
        <f t="shared" si="166"/>
        <v>2.260366911811913</v>
      </c>
      <c r="AC333" s="249">
        <f t="shared" si="166"/>
        <v>2.2203677232815688</v>
      </c>
      <c r="AD333" s="249">
        <f t="shared" si="166"/>
        <v>2.1773438941965044</v>
      </c>
      <c r="AE333" s="249">
        <f t="shared" si="166"/>
        <v>2.1313968828165004</v>
      </c>
      <c r="AF333" s="249">
        <f t="shared" si="166"/>
        <v>2.0826340664908947</v>
      </c>
      <c r="AG333" s="249">
        <f t="shared" si="166"/>
        <v>2.0311686823254362</v>
      </c>
      <c r="AI333" s="316"/>
      <c r="AJ333" s="211" t="s">
        <v>1363</v>
      </c>
    </row>
    <row r="334" spans="1:36" s="1" customFormat="1" outlineLevel="1" x14ac:dyDescent="0.2">
      <c r="A334" t="s">
        <v>1378</v>
      </c>
      <c r="B334" s="302" t="s">
        <v>704</v>
      </c>
      <c r="C334" s="249">
        <f>C327*C300</f>
        <v>2.8235027274590001</v>
      </c>
      <c r="D334" s="249">
        <f t="shared" ref="D334:AG334" si="167">D327*D300</f>
        <v>3.2111060835099776</v>
      </c>
      <c r="E334" s="249">
        <f t="shared" si="167"/>
        <v>3.6059033935917739</v>
      </c>
      <c r="F334" s="249">
        <f t="shared" si="167"/>
        <v>4.0139182782985348</v>
      </c>
      <c r="G334" s="249">
        <f t="shared" si="167"/>
        <v>4.4298934649748745</v>
      </c>
      <c r="H334" s="249">
        <f t="shared" si="167"/>
        <v>4.8511546721092982</v>
      </c>
      <c r="I334" s="249">
        <f t="shared" si="167"/>
        <v>5.2615192621341933</v>
      </c>
      <c r="J334" s="249">
        <f t="shared" si="167"/>
        <v>5.6811560738951909</v>
      </c>
      <c r="K334" s="249">
        <f t="shared" si="167"/>
        <v>6.1096381511129438</v>
      </c>
      <c r="L334" s="249">
        <f t="shared" si="167"/>
        <v>6.5465063428600159</v>
      </c>
      <c r="M334" s="249">
        <f t="shared" si="167"/>
        <v>6.9912696781640271</v>
      </c>
      <c r="N334" s="249">
        <f t="shared" si="167"/>
        <v>7.3959271440702681</v>
      </c>
      <c r="O334" s="249">
        <f t="shared" si="167"/>
        <v>7.7897770557224639</v>
      </c>
      <c r="P334" s="249">
        <f t="shared" si="167"/>
        <v>8.1700409870302408</v>
      </c>
      <c r="Q334" s="249">
        <f t="shared" si="167"/>
        <v>8.534431073766287</v>
      </c>
      <c r="R334" s="249">
        <f t="shared" si="167"/>
        <v>8.880528342243629</v>
      </c>
      <c r="S334" s="249">
        <f t="shared" si="167"/>
        <v>9.2342813853216548</v>
      </c>
      <c r="T334" s="249">
        <f t="shared" si="167"/>
        <v>9.584810881165712</v>
      </c>
      <c r="U334" s="249">
        <f t="shared" si="167"/>
        <v>9.9317222292575238</v>
      </c>
      <c r="V334" s="249">
        <f t="shared" si="167"/>
        <v>10.274614867776068</v>
      </c>
      <c r="W334" s="249">
        <f t="shared" si="167"/>
        <v>10.613082500680319</v>
      </c>
      <c r="X334" s="249">
        <f t="shared" si="167"/>
        <v>10.946258142197028</v>
      </c>
      <c r="Y334" s="249">
        <f t="shared" si="167"/>
        <v>11.27425901266936</v>
      </c>
      <c r="Z334" s="249">
        <f t="shared" si="167"/>
        <v>11.595221744439582</v>
      </c>
      <c r="AA334" s="249">
        <f t="shared" si="167"/>
        <v>11.910012444097077</v>
      </c>
      <c r="AB334" s="249">
        <f t="shared" si="167"/>
        <v>12.218199523307634</v>
      </c>
      <c r="AC334" s="249">
        <f t="shared" si="167"/>
        <v>12.509917179828047</v>
      </c>
      <c r="AD334" s="249">
        <f t="shared" si="167"/>
        <v>12.793507429191985</v>
      </c>
      <c r="AE334" s="249">
        <f t="shared" si="167"/>
        <v>13.068511993413846</v>
      </c>
      <c r="AF334" s="249">
        <f t="shared" si="167"/>
        <v>13.334467974841704</v>
      </c>
      <c r="AG334" s="249">
        <f t="shared" si="167"/>
        <v>13.590908094971669</v>
      </c>
      <c r="AI334" s="316"/>
      <c r="AJ334" s="211" t="s">
        <v>1363</v>
      </c>
    </row>
    <row r="335" spans="1:36" s="1" customFormat="1" outlineLevel="1" x14ac:dyDescent="0.2">
      <c r="A335" t="s">
        <v>1389</v>
      </c>
      <c r="B335" s="302" t="s">
        <v>704</v>
      </c>
      <c r="C335" s="249">
        <f>C327*C301</f>
        <v>0.14860540670836844</v>
      </c>
      <c r="D335" s="249">
        <f t="shared" ref="D335:AG335" si="168">D327*D301</f>
        <v>0.17375626734382874</v>
      </c>
      <c r="E335" s="249">
        <f t="shared" si="168"/>
        <v>0.20046894306386356</v>
      </c>
      <c r="F335" s="249">
        <f t="shared" si="168"/>
        <v>0.22912429918406013</v>
      </c>
      <c r="G335" s="249">
        <f t="shared" si="168"/>
        <v>0.25947858686867648</v>
      </c>
      <c r="H335" s="249">
        <f t="shared" si="168"/>
        <v>0.29141211811257267</v>
      </c>
      <c r="I335" s="249">
        <f t="shared" si="168"/>
        <v>0.32395766157514133</v>
      </c>
      <c r="J335" s="249">
        <f t="shared" si="168"/>
        <v>0.35834365030238968</v>
      </c>
      <c r="K335" s="249">
        <f t="shared" si="168"/>
        <v>0.39458983090935251</v>
      </c>
      <c r="L335" s="249">
        <f t="shared" si="168"/>
        <v>0.43271150667091773</v>
      </c>
      <c r="M335" s="249">
        <f t="shared" si="168"/>
        <v>0.47271930208226498</v>
      </c>
      <c r="N335" s="249">
        <f t="shared" si="168"/>
        <v>0.51133637418019651</v>
      </c>
      <c r="O335" s="249">
        <f t="shared" si="168"/>
        <v>0.55045533798467072</v>
      </c>
      <c r="P335" s="249">
        <f t="shared" si="168"/>
        <v>0.5898314079271294</v>
      </c>
      <c r="Q335" s="249">
        <f t="shared" si="168"/>
        <v>0.6292386546871348</v>
      </c>
      <c r="R335" s="249">
        <f t="shared" si="168"/>
        <v>0.66842686446995037</v>
      </c>
      <c r="S335" s="249">
        <f t="shared" si="168"/>
        <v>0.70930948185887788</v>
      </c>
      <c r="T335" s="249">
        <f t="shared" si="168"/>
        <v>0.75107432497991544</v>
      </c>
      <c r="U335" s="249">
        <f t="shared" si="168"/>
        <v>0.79367974618256665</v>
      </c>
      <c r="V335" s="249">
        <f t="shared" si="168"/>
        <v>0.83708109593272939</v>
      </c>
      <c r="W335" s="249">
        <f t="shared" si="168"/>
        <v>0.88123067695179536</v>
      </c>
      <c r="X335" s="249">
        <f t="shared" si="168"/>
        <v>0.9260391920730674</v>
      </c>
      <c r="Y335" s="249">
        <f t="shared" si="168"/>
        <v>0.97149661296716416</v>
      </c>
      <c r="Z335" s="249">
        <f t="shared" si="168"/>
        <v>1.0174197469740316</v>
      </c>
      <c r="AA335" s="249">
        <f t="shared" si="168"/>
        <v>1.0638573207145536</v>
      </c>
      <c r="AB335" s="249">
        <f t="shared" si="168"/>
        <v>1.1107454112097848</v>
      </c>
      <c r="AC335" s="249">
        <f t="shared" si="168"/>
        <v>1.1571445606978601</v>
      </c>
      <c r="AD335" s="249">
        <f t="shared" si="168"/>
        <v>1.2037654692675173</v>
      </c>
      <c r="AE335" s="249">
        <f t="shared" si="168"/>
        <v>1.2505296356005946</v>
      </c>
      <c r="AF335" s="249">
        <f t="shared" si="168"/>
        <v>1.2973549675595808</v>
      </c>
      <c r="AG335" s="249">
        <f t="shared" si="168"/>
        <v>1.3441557456565385</v>
      </c>
      <c r="AI335" s="316"/>
      <c r="AJ335" s="211" t="s">
        <v>1363</v>
      </c>
    </row>
    <row r="336" spans="1:36" s="1" customFormat="1" outlineLevel="1" x14ac:dyDescent="0.2">
      <c r="A336" t="s">
        <v>1380</v>
      </c>
      <c r="B336" s="302" t="s">
        <v>704</v>
      </c>
      <c r="C336" s="249">
        <f t="shared" ref="C336:AG336" si="169">C332*C302</f>
        <v>1.8296297673934321</v>
      </c>
      <c r="D336" s="249">
        <f t="shared" si="169"/>
        <v>1.9428494279753654</v>
      </c>
      <c r="E336" s="249">
        <f t="shared" si="169"/>
        <v>2.0501320802746994</v>
      </c>
      <c r="F336" s="249">
        <f t="shared" si="169"/>
        <v>2.1555945329946611</v>
      </c>
      <c r="G336" s="249">
        <f t="shared" si="169"/>
        <v>2.2566612782762467</v>
      </c>
      <c r="H336" s="249">
        <f t="shared" si="169"/>
        <v>2.3524505124612842</v>
      </c>
      <c r="I336" s="249">
        <f t="shared" si="169"/>
        <v>2.4359305997194962</v>
      </c>
      <c r="J336" s="249">
        <f t="shared" si="169"/>
        <v>2.5173378087870564</v>
      </c>
      <c r="K336" s="249">
        <f t="shared" si="169"/>
        <v>2.5964338237250648</v>
      </c>
      <c r="L336" s="249">
        <f t="shared" si="169"/>
        <v>2.6729819358316744</v>
      </c>
      <c r="M336" s="249">
        <f t="shared" si="169"/>
        <v>2.7467479447306311</v>
      </c>
      <c r="N336" s="249">
        <f t="shared" si="169"/>
        <v>2.7995292820051509</v>
      </c>
      <c r="O336" s="249">
        <f t="shared" si="169"/>
        <v>2.8439121273420747</v>
      </c>
      <c r="P336" s="249">
        <f t="shared" si="169"/>
        <v>2.8794563117659977</v>
      </c>
      <c r="Q336" s="249">
        <f t="shared" si="169"/>
        <v>2.9059548152150287</v>
      </c>
      <c r="R336" s="249">
        <f t="shared" si="169"/>
        <v>2.9231977850432056</v>
      </c>
      <c r="S336" s="249">
        <f t="shared" si="169"/>
        <v>2.9400530660276138</v>
      </c>
      <c r="T336" s="249">
        <f t="shared" si="169"/>
        <v>2.9529187230091596</v>
      </c>
      <c r="U336" s="249">
        <f t="shared" si="169"/>
        <v>2.9617715831409015</v>
      </c>
      <c r="V336" s="249">
        <f t="shared" si="169"/>
        <v>2.966595277766622</v>
      </c>
      <c r="W336" s="249">
        <f t="shared" si="169"/>
        <v>2.9673804042435581</v>
      </c>
      <c r="X336" s="249">
        <f t="shared" si="169"/>
        <v>2.9640014232440235</v>
      </c>
      <c r="Y336" s="249">
        <f t="shared" si="169"/>
        <v>2.9566150749769338</v>
      </c>
      <c r="Z336" s="249">
        <f t="shared" si="169"/>
        <v>2.9448653615131235</v>
      </c>
      <c r="AA336" s="249">
        <f t="shared" si="169"/>
        <v>2.929122726448965</v>
      </c>
      <c r="AB336" s="249">
        <f t="shared" si="169"/>
        <v>2.9094151250607543</v>
      </c>
      <c r="AC336" s="249">
        <f t="shared" si="169"/>
        <v>2.8836046232123724</v>
      </c>
      <c r="AD336" s="249">
        <f t="shared" si="169"/>
        <v>2.8539040242295548</v>
      </c>
      <c r="AE336" s="249">
        <f t="shared" si="169"/>
        <v>2.8203709251869253</v>
      </c>
      <c r="AF336" s="249">
        <f t="shared" si="169"/>
        <v>2.7830709302726286</v>
      </c>
      <c r="AG336" s="249">
        <f t="shared" si="169"/>
        <v>2.742077721139339</v>
      </c>
      <c r="AI336" s="316"/>
      <c r="AJ336" s="211"/>
    </row>
    <row r="337" spans="1:36" s="67" customFormat="1" x14ac:dyDescent="0.2">
      <c r="A337" s="345" t="s">
        <v>1381</v>
      </c>
      <c r="B337" s="308" t="s">
        <v>704</v>
      </c>
      <c r="C337" s="309">
        <f>C303*C$322</f>
        <v>10.33879374245703</v>
      </c>
      <c r="D337" s="309">
        <f t="shared" ref="D337:AG342" si="170">D303*D$322</f>
        <v>10.973719363901743</v>
      </c>
      <c r="E337" s="309">
        <f t="shared" si="170"/>
        <v>11.569407989566253</v>
      </c>
      <c r="F337" s="309">
        <f t="shared" si="170"/>
        <v>12.162092370697115</v>
      </c>
      <c r="G337" s="309">
        <f t="shared" si="170"/>
        <v>12.7391134399651</v>
      </c>
      <c r="H337" s="309">
        <f t="shared" si="170"/>
        <v>13.296153517820327</v>
      </c>
      <c r="I337" s="309">
        <f t="shared" si="170"/>
        <v>13.792050598347371</v>
      </c>
      <c r="J337" s="309">
        <f t="shared" si="170"/>
        <v>14.287471835669974</v>
      </c>
      <c r="K337" s="309">
        <f t="shared" si="170"/>
        <v>14.781728791561843</v>
      </c>
      <c r="L337" s="309">
        <f t="shared" si="170"/>
        <v>15.274141271748745</v>
      </c>
      <c r="M337" s="309">
        <f t="shared" si="170"/>
        <v>15.764041151313728</v>
      </c>
      <c r="N337" s="309">
        <f t="shared" si="170"/>
        <v>16.077051944441969</v>
      </c>
      <c r="O337" s="309">
        <f t="shared" si="170"/>
        <v>16.353517954762573</v>
      </c>
      <c r="P337" s="309">
        <f t="shared" si="170"/>
        <v>16.591766992268582</v>
      </c>
      <c r="Q337" s="309">
        <f t="shared" si="170"/>
        <v>16.791037003422748</v>
      </c>
      <c r="R337" s="309">
        <f t="shared" si="170"/>
        <v>16.950580476318418</v>
      </c>
      <c r="S337" s="309">
        <f t="shared" si="170"/>
        <v>17.12060214658046</v>
      </c>
      <c r="T337" s="309">
        <f t="shared" si="170"/>
        <v>17.28172056681581</v>
      </c>
      <c r="U337" s="309">
        <f t="shared" si="170"/>
        <v>17.434360689442737</v>
      </c>
      <c r="V337" s="309">
        <f t="shared" si="170"/>
        <v>17.579003394599543</v>
      </c>
      <c r="W337" s="309">
        <f t="shared" si="170"/>
        <v>17.716187969440035</v>
      </c>
      <c r="X337" s="309">
        <f t="shared" si="170"/>
        <v>17.72123090484402</v>
      </c>
      <c r="Y337" s="309">
        <f t="shared" si="170"/>
        <v>17.719323466040471</v>
      </c>
      <c r="Z337" s="309">
        <f t="shared" si="170"/>
        <v>17.711289869443217</v>
      </c>
      <c r="AA337" s="309">
        <f t="shared" si="170"/>
        <v>17.699391056278046</v>
      </c>
      <c r="AB337" s="309">
        <f t="shared" si="170"/>
        <v>17.685203324830095</v>
      </c>
      <c r="AC337" s="309">
        <f t="shared" si="170"/>
        <v>17.66386777034711</v>
      </c>
      <c r="AD337" s="309">
        <f t="shared" si="170"/>
        <v>17.645686436395764</v>
      </c>
      <c r="AE337" s="309">
        <f t="shared" si="170"/>
        <v>17.632940196594891</v>
      </c>
      <c r="AF337" s="309">
        <f t="shared" si="170"/>
        <v>17.62806984930684</v>
      </c>
      <c r="AG337" s="309">
        <f t="shared" si="170"/>
        <v>17.633681858637278</v>
      </c>
      <c r="AI337" s="337"/>
      <c r="AJ337" s="348"/>
    </row>
    <row r="338" spans="1:36" x14ac:dyDescent="0.2">
      <c r="A338" s="346" t="s">
        <v>1382</v>
      </c>
      <c r="B338" s="302" t="s">
        <v>704</v>
      </c>
      <c r="C338" s="249">
        <f t="shared" ref="C338:R342" si="171">C304*C$322</f>
        <v>23.908460529431881</v>
      </c>
      <c r="D338" s="249">
        <f t="shared" si="171"/>
        <v>24.668744134577505</v>
      </c>
      <c r="E338" s="249">
        <f t="shared" si="171"/>
        <v>25.308079977176178</v>
      </c>
      <c r="F338" s="249">
        <f t="shared" si="171"/>
        <v>25.913549085292146</v>
      </c>
      <c r="G338" s="249">
        <f t="shared" si="171"/>
        <v>26.461761373456913</v>
      </c>
      <c r="H338" s="249">
        <f t="shared" si="171"/>
        <v>26.948454004867983</v>
      </c>
      <c r="I338" s="249">
        <f t="shared" si="171"/>
        <v>27.296766809229169</v>
      </c>
      <c r="J338" s="249">
        <f t="shared" si="171"/>
        <v>27.633708195679251</v>
      </c>
      <c r="K338" s="249">
        <f t="shared" si="171"/>
        <v>27.958862023513351</v>
      </c>
      <c r="L338" s="249">
        <f t="shared" si="171"/>
        <v>28.271848027034931</v>
      </c>
      <c r="M338" s="249">
        <f t="shared" si="171"/>
        <v>28.572324586756125</v>
      </c>
      <c r="N338" s="249">
        <f t="shared" si="171"/>
        <v>28.55147182206538</v>
      </c>
      <c r="O338" s="249">
        <f t="shared" si="171"/>
        <v>28.472642867666973</v>
      </c>
      <c r="P338" s="249">
        <f t="shared" si="171"/>
        <v>28.336229964993574</v>
      </c>
      <c r="Q338" s="249">
        <f t="shared" si="171"/>
        <v>28.144067704600616</v>
      </c>
      <c r="R338" s="249">
        <f t="shared" si="171"/>
        <v>27.897830367274054</v>
      </c>
      <c r="S338" s="249">
        <f t="shared" si="170"/>
        <v>27.681408361998287</v>
      </c>
      <c r="T338" s="249">
        <f t="shared" si="170"/>
        <v>27.462308613490539</v>
      </c>
      <c r="U338" s="249">
        <f t="shared" si="170"/>
        <v>27.24118857725426</v>
      </c>
      <c r="V338" s="249">
        <f t="shared" si="170"/>
        <v>27.018748839913815</v>
      </c>
      <c r="W338" s="249">
        <f t="shared" si="170"/>
        <v>26.79573430377803</v>
      </c>
      <c r="X338" s="249">
        <f t="shared" si="170"/>
        <v>26.386391604639051</v>
      </c>
      <c r="Y338" s="249">
        <f t="shared" si="170"/>
        <v>25.982661813184315</v>
      </c>
      <c r="Z338" s="249">
        <f t="shared" si="170"/>
        <v>25.585294917532917</v>
      </c>
      <c r="AA338" s="249">
        <f t="shared" si="170"/>
        <v>25.197049767618015</v>
      </c>
      <c r="AB338" s="249">
        <f t="shared" si="170"/>
        <v>24.819575120642199</v>
      </c>
      <c r="AC338" s="249">
        <f t="shared" si="170"/>
        <v>24.445531289319625</v>
      </c>
      <c r="AD338" s="249">
        <f t="shared" si="170"/>
        <v>24.088683786527071</v>
      </c>
      <c r="AE338" s="249">
        <f t="shared" si="170"/>
        <v>23.751266428602989</v>
      </c>
      <c r="AF338" s="249">
        <f t="shared" si="170"/>
        <v>23.435622522118692</v>
      </c>
      <c r="AG338" s="249">
        <f t="shared" si="170"/>
        <v>23.144207439461425</v>
      </c>
      <c r="AI338" s="296"/>
    </row>
    <row r="339" spans="1:36" x14ac:dyDescent="0.2">
      <c r="A339" s="346" t="s">
        <v>1383</v>
      </c>
      <c r="B339" s="302" t="s">
        <v>704</v>
      </c>
      <c r="C339" s="249">
        <f t="shared" si="171"/>
        <v>5.169396871228515</v>
      </c>
      <c r="D339" s="249">
        <f t="shared" si="170"/>
        <v>5.1549931689296491</v>
      </c>
      <c r="E339" s="249">
        <f t="shared" si="170"/>
        <v>5.106808995394478</v>
      </c>
      <c r="F339" s="249">
        <f t="shared" si="170"/>
        <v>5.0445042219368705</v>
      </c>
      <c r="G339" s="249">
        <f t="shared" si="170"/>
        <v>4.9645074435158092</v>
      </c>
      <c r="H339" s="249">
        <f t="shared" si="170"/>
        <v>4.8673419127735107</v>
      </c>
      <c r="I339" s="249">
        <f t="shared" si="170"/>
        <v>4.7410173931819068</v>
      </c>
      <c r="J339" s="249">
        <f t="shared" si="170"/>
        <v>4.6096404064408167</v>
      </c>
      <c r="K339" s="249">
        <f t="shared" si="170"/>
        <v>4.4734179237621339</v>
      </c>
      <c r="L339" s="249">
        <f t="shared" si="170"/>
        <v>4.3325689184287279</v>
      </c>
      <c r="M339" s="249">
        <f t="shared" si="170"/>
        <v>4.187323430817707</v>
      </c>
      <c r="N339" s="249">
        <f t="shared" si="170"/>
        <v>3.9947552849756698</v>
      </c>
      <c r="O339" s="249">
        <f t="shared" si="170"/>
        <v>3.7963523823555954</v>
      </c>
      <c r="P339" s="249">
        <f t="shared" si="170"/>
        <v>3.5932751189651415</v>
      </c>
      <c r="Q339" s="249">
        <f t="shared" si="170"/>
        <v>3.386828486485836</v>
      </c>
      <c r="R339" s="249">
        <f t="shared" si="170"/>
        <v>3.1782338393097014</v>
      </c>
      <c r="S339" s="249">
        <f t="shared" si="170"/>
        <v>2.9774960254922518</v>
      </c>
      <c r="T339" s="249">
        <f t="shared" si="170"/>
        <v>2.7807023784371165</v>
      </c>
      <c r="U339" s="249">
        <f t="shared" si="170"/>
        <v>2.5879129148391535</v>
      </c>
      <c r="V339" s="249">
        <f t="shared" si="170"/>
        <v>2.3991752081915165</v>
      </c>
      <c r="W339" s="249">
        <f t="shared" si="170"/>
        <v>2.2145234961800013</v>
      </c>
      <c r="X339" s="249">
        <f t="shared" si="170"/>
        <v>2.0196991104785438</v>
      </c>
      <c r="Y339" s="249">
        <f t="shared" si="170"/>
        <v>1.8315646851916803</v>
      </c>
      <c r="Z339" s="249">
        <f t="shared" si="170"/>
        <v>1.6499904477429381</v>
      </c>
      <c r="AA339" s="249">
        <f t="shared" si="170"/>
        <v>1.4749492546898342</v>
      </c>
      <c r="AB339" s="249">
        <f t="shared" si="170"/>
        <v>1.30629342740222</v>
      </c>
      <c r="AC339" s="249">
        <f t="shared" si="170"/>
        <v>1.1434200119197877</v>
      </c>
      <c r="AD339" s="249">
        <f t="shared" si="170"/>
        <v>0.98676535993002334</v>
      </c>
      <c r="AE339" s="249">
        <f t="shared" si="170"/>
        <v>0.83604457828682388</v>
      </c>
      <c r="AF339" s="249">
        <f t="shared" si="170"/>
        <v>0.6909307038393544</v>
      </c>
      <c r="AG339" s="249">
        <f t="shared" si="170"/>
        <v>0.55105255808241493</v>
      </c>
      <c r="AI339" s="296"/>
    </row>
    <row r="340" spans="1:36" x14ac:dyDescent="0.2">
      <c r="A340" s="346" t="s">
        <v>1384</v>
      </c>
      <c r="B340" s="302" t="s">
        <v>704</v>
      </c>
      <c r="C340" s="249">
        <f t="shared" si="171"/>
        <v>17.446714440396239</v>
      </c>
      <c r="D340" s="249">
        <f t="shared" si="170"/>
        <v>17.677422926930433</v>
      </c>
      <c r="E340" s="249">
        <f t="shared" si="170"/>
        <v>17.806041983941814</v>
      </c>
      <c r="F340" s="249">
        <f t="shared" si="170"/>
        <v>17.897624568241781</v>
      </c>
      <c r="G340" s="249">
        <f t="shared" si="170"/>
        <v>17.937795762892041</v>
      </c>
      <c r="H340" s="249">
        <f t="shared" si="170"/>
        <v>17.926064117775628</v>
      </c>
      <c r="I340" s="249">
        <f t="shared" si="170"/>
        <v>17.814732022865364</v>
      </c>
      <c r="J340" s="249">
        <f t="shared" si="170"/>
        <v>17.690400093827865</v>
      </c>
      <c r="K340" s="249">
        <f t="shared" si="170"/>
        <v>17.553302939979694</v>
      </c>
      <c r="L340" s="249">
        <f t="shared" si="170"/>
        <v>17.40370904521372</v>
      </c>
      <c r="M340" s="249">
        <f t="shared" si="170"/>
        <v>17.241920009249394</v>
      </c>
      <c r="N340" s="249">
        <f t="shared" si="170"/>
        <v>16.885806081891037</v>
      </c>
      <c r="O340" s="249">
        <f t="shared" si="170"/>
        <v>16.499531507930101</v>
      </c>
      <c r="P340" s="249">
        <f t="shared" si="170"/>
        <v>16.085332243958064</v>
      </c>
      <c r="Q340" s="249">
        <f t="shared" si="170"/>
        <v>15.646193571371198</v>
      </c>
      <c r="R340" s="249">
        <f t="shared" si="170"/>
        <v>15.184895010035252</v>
      </c>
      <c r="S340" s="249">
        <f t="shared" si="170"/>
        <v>14.747910001266321</v>
      </c>
      <c r="T340" s="249">
        <f t="shared" si="170"/>
        <v>14.317170097242355</v>
      </c>
      <c r="U340" s="249">
        <f t="shared" si="170"/>
        <v>13.893006174399678</v>
      </c>
      <c r="V340" s="249">
        <f t="shared" si="170"/>
        <v>13.475741122645818</v>
      </c>
      <c r="W340" s="249">
        <f t="shared" si="170"/>
        <v>13.065688627462018</v>
      </c>
      <c r="X340" s="249">
        <f t="shared" si="170"/>
        <v>12.574255752334169</v>
      </c>
      <c r="Y340" s="249">
        <f t="shared" si="170"/>
        <v>12.096845827777619</v>
      </c>
      <c r="Z340" s="249">
        <f t="shared" si="170"/>
        <v>11.633476954339459</v>
      </c>
      <c r="AA340" s="249">
        <f t="shared" si="170"/>
        <v>11.185031848064586</v>
      </c>
      <c r="AB340" s="249">
        <f t="shared" si="170"/>
        <v>10.751799748618282</v>
      </c>
      <c r="AC340" s="249">
        <f t="shared" si="170"/>
        <v>10.330208383551197</v>
      </c>
      <c r="AD340" s="249">
        <f t="shared" si="170"/>
        <v>9.9256986204726001</v>
      </c>
      <c r="AE340" s="249">
        <f t="shared" si="170"/>
        <v>9.5385085977269615</v>
      </c>
      <c r="AF340" s="249">
        <f t="shared" si="170"/>
        <v>9.1688371779763163</v>
      </c>
      <c r="AG340" s="249">
        <f t="shared" si="170"/>
        <v>8.8168409293186389</v>
      </c>
      <c r="AI340" s="296"/>
    </row>
    <row r="341" spans="1:36" x14ac:dyDescent="0.2">
      <c r="A341" s="346" t="s">
        <v>1385</v>
      </c>
      <c r="B341" s="302" t="s">
        <v>704</v>
      </c>
      <c r="C341" s="249">
        <f t="shared" si="171"/>
        <v>4.5232222623249516</v>
      </c>
      <c r="D341" s="249">
        <f t="shared" si="170"/>
        <v>4.6240067480956943</v>
      </c>
      <c r="E341" s="249">
        <f t="shared" si="170"/>
        <v>4.7000719957612898</v>
      </c>
      <c r="F341" s="249">
        <f t="shared" si="170"/>
        <v>4.7680930316937546</v>
      </c>
      <c r="G341" s="249">
        <f t="shared" si="170"/>
        <v>4.8240025158691369</v>
      </c>
      <c r="H341" s="249">
        <f t="shared" si="170"/>
        <v>4.8673419127735125</v>
      </c>
      <c r="I341" s="249">
        <f t="shared" si="170"/>
        <v>4.8846845869146929</v>
      </c>
      <c r="J341" s="249">
        <f t="shared" si="170"/>
        <v>4.8992513220287224</v>
      </c>
      <c r="K341" s="249">
        <f t="shared" si="170"/>
        <v>4.9110348945649527</v>
      </c>
      <c r="L341" s="249">
        <f t="shared" si="170"/>
        <v>4.9200358904190651</v>
      </c>
      <c r="M341" s="249">
        <f t="shared" si="170"/>
        <v>4.9262628597855382</v>
      </c>
      <c r="N341" s="249">
        <f t="shared" si="170"/>
        <v>4.8770325258291924</v>
      </c>
      <c r="O341" s="249">
        <f t="shared" si="170"/>
        <v>4.8184472545282553</v>
      </c>
      <c r="P341" s="249">
        <f t="shared" si="170"/>
        <v>4.7508402579606228</v>
      </c>
      <c r="Q341" s="249">
        <f t="shared" si="170"/>
        <v>4.6747773475438299</v>
      </c>
      <c r="R341" s="249">
        <f t="shared" si="170"/>
        <v>4.5907822123362347</v>
      </c>
      <c r="S341" s="249">
        <f t="shared" si="170"/>
        <v>4.5127674136366931</v>
      </c>
      <c r="T341" s="249">
        <f t="shared" si="170"/>
        <v>4.43533519866416</v>
      </c>
      <c r="U341" s="249">
        <f t="shared" si="170"/>
        <v>4.358590172360679</v>
      </c>
      <c r="V341" s="249">
        <f t="shared" si="170"/>
        <v>4.2826398576128932</v>
      </c>
      <c r="W341" s="249">
        <f t="shared" si="170"/>
        <v>4.2075946427420021</v>
      </c>
      <c r="X341" s="249">
        <f t="shared" si="170"/>
        <v>4.104549805166072</v>
      </c>
      <c r="Y341" s="249">
        <f t="shared" si="170"/>
        <v>4.0038855908841375</v>
      </c>
      <c r="Z341" s="249">
        <f t="shared" si="170"/>
        <v>3.9056735914927776</v>
      </c>
      <c r="AA341" s="249">
        <f t="shared" si="170"/>
        <v>3.8102855746154054</v>
      </c>
      <c r="AB341" s="249">
        <f t="shared" si="170"/>
        <v>3.7179120626063198</v>
      </c>
      <c r="AC341" s="249">
        <f t="shared" si="170"/>
        <v>3.6274014171248461</v>
      </c>
      <c r="AD341" s="249">
        <f t="shared" si="170"/>
        <v>3.5407462915136163</v>
      </c>
      <c r="AE341" s="249">
        <f t="shared" si="170"/>
        <v>3.4581843920045943</v>
      </c>
      <c r="AF341" s="249">
        <f t="shared" si="170"/>
        <v>3.3799583079709019</v>
      </c>
      <c r="AG341" s="249">
        <f t="shared" si="170"/>
        <v>3.3063153484944894</v>
      </c>
      <c r="AI341" s="296"/>
    </row>
    <row r="342" spans="1:36" s="68" customFormat="1" x14ac:dyDescent="0.2">
      <c r="A342" s="347" t="s">
        <v>1386</v>
      </c>
      <c r="B342" s="312" t="s">
        <v>704</v>
      </c>
      <c r="C342" s="313">
        <f t="shared" si="171"/>
        <v>3.2308730445178222</v>
      </c>
      <c r="D342" s="313">
        <f t="shared" si="170"/>
        <v>3.274416261809391</v>
      </c>
      <c r="E342" s="313">
        <f t="shared" si="170"/>
        <v>3.2990889970247519</v>
      </c>
      <c r="F342" s="313">
        <f t="shared" si="170"/>
        <v>3.3169342829173947</v>
      </c>
      <c r="G342" s="313">
        <f t="shared" si="170"/>
        <v>3.3252832876379483</v>
      </c>
      <c r="H342" s="313">
        <f t="shared" si="170"/>
        <v>3.3240383794550814</v>
      </c>
      <c r="I342" s="313">
        <f t="shared" si="170"/>
        <v>3.3043454558540573</v>
      </c>
      <c r="J342" s="313">
        <f t="shared" si="170"/>
        <v>3.2822570433295879</v>
      </c>
      <c r="K342" s="313">
        <f t="shared" si="170"/>
        <v>3.2578152270876424</v>
      </c>
      <c r="L342" s="313">
        <f t="shared" si="170"/>
        <v>3.2310683459468486</v>
      </c>
      <c r="M342" s="313">
        <f t="shared" si="170"/>
        <v>3.2020708588605999</v>
      </c>
      <c r="N342" s="313">
        <f t="shared" si="170"/>
        <v>3.1369857452569683</v>
      </c>
      <c r="O342" s="313">
        <f t="shared" si="170"/>
        <v>3.0662846165179811</v>
      </c>
      <c r="P342" s="313">
        <f t="shared" si="170"/>
        <v>2.9903766090716615</v>
      </c>
      <c r="Q342" s="313">
        <f t="shared" si="170"/>
        <v>2.9098103897976899</v>
      </c>
      <c r="R342" s="313">
        <f t="shared" si="170"/>
        <v>2.8250967460530676</v>
      </c>
      <c r="S342" s="313">
        <f t="shared" si="170"/>
        <v>2.7448791485006692</v>
      </c>
      <c r="T342" s="313">
        <f t="shared" si="170"/>
        <v>2.6657973214769046</v>
      </c>
      <c r="U342" s="313">
        <f t="shared" si="170"/>
        <v>2.5879129148391531</v>
      </c>
      <c r="V342" s="313">
        <f t="shared" si="170"/>
        <v>2.5112861992285027</v>
      </c>
      <c r="W342" s="313">
        <f t="shared" si="170"/>
        <v>2.435975845798001</v>
      </c>
      <c r="X342" s="313">
        <f t="shared" si="170"/>
        <v>2.3454570315234693</v>
      </c>
      <c r="Y342" s="313">
        <f t="shared" si="170"/>
        <v>2.2575099608176519</v>
      </c>
      <c r="Z342" s="313">
        <f t="shared" si="170"/>
        <v>2.1721393236109559</v>
      </c>
      <c r="AA342" s="313">
        <f t="shared" si="170"/>
        <v>2.0895114441439309</v>
      </c>
      <c r="AB342" s="313">
        <f t="shared" si="170"/>
        <v>2.009682196003415</v>
      </c>
      <c r="AC342" s="313">
        <f t="shared" si="170"/>
        <v>1.9319855373817101</v>
      </c>
      <c r="AD342" s="313">
        <f t="shared" si="170"/>
        <v>1.857440677515338</v>
      </c>
      <c r="AE342" s="313">
        <f t="shared" si="170"/>
        <v>1.7860952354309425</v>
      </c>
      <c r="AF342" s="313">
        <f t="shared" si="170"/>
        <v>1.7179898581951527</v>
      </c>
      <c r="AG342" s="313">
        <f t="shared" si="170"/>
        <v>1.6531576742472447</v>
      </c>
      <c r="AI342" s="314"/>
      <c r="AJ342" s="315"/>
    </row>
    <row r="343" spans="1:36" s="181" customFormat="1" x14ac:dyDescent="0.2">
      <c r="B343" s="176"/>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c r="AJ343" s="323"/>
    </row>
    <row r="344" spans="1:36" s="181" customFormat="1" x14ac:dyDescent="0.2">
      <c r="A344" s="181" t="s">
        <v>1643</v>
      </c>
      <c r="B344" s="350" t="s">
        <v>704</v>
      </c>
      <c r="C344" s="230">
        <f>C277</f>
        <v>6.1470184945809105</v>
      </c>
      <c r="D344" s="230">
        <f t="shared" ref="D344:AG344" si="172">D277</f>
        <v>6.5448867721839905</v>
      </c>
      <c r="E344" s="230">
        <f t="shared" si="172"/>
        <v>7.0212771180463296</v>
      </c>
      <c r="F344" s="230">
        <f t="shared" si="172"/>
        <v>7.5140781611890404</v>
      </c>
      <c r="G344" s="230">
        <f t="shared" si="172"/>
        <v>8.0080844384045271</v>
      </c>
      <c r="H344" s="230">
        <f t="shared" si="172"/>
        <v>8.5003238323923842</v>
      </c>
      <c r="I344" s="230">
        <f t="shared" si="172"/>
        <v>8.9748077011614278</v>
      </c>
      <c r="J344" s="230">
        <f t="shared" si="172"/>
        <v>9.455494526682978</v>
      </c>
      <c r="K344" s="230">
        <f t="shared" si="172"/>
        <v>9.9413609062364401</v>
      </c>
      <c r="L344" s="230">
        <f t="shared" si="172"/>
        <v>10.431298646977339</v>
      </c>
      <c r="M344" s="230">
        <f t="shared" si="172"/>
        <v>10.924113696924683</v>
      </c>
      <c r="N344" s="230">
        <f t="shared" si="172"/>
        <v>11.666117865206402</v>
      </c>
      <c r="O344" s="230">
        <f t="shared" si="172"/>
        <v>12.376437930029716</v>
      </c>
      <c r="P344" s="230">
        <f t="shared" si="172"/>
        <v>13.04769835808707</v>
      </c>
      <c r="Q344" s="230">
        <f t="shared" si="172"/>
        <v>13.674868536709345</v>
      </c>
      <c r="R344" s="230">
        <f t="shared" si="172"/>
        <v>14.252183186127187</v>
      </c>
      <c r="S344" s="230">
        <f t="shared" si="172"/>
        <v>14.826840129044371</v>
      </c>
      <c r="T344" s="230">
        <f t="shared" si="172"/>
        <v>15.376473134573164</v>
      </c>
      <c r="U344" s="230">
        <f t="shared" si="172"/>
        <v>15.899237011125567</v>
      </c>
      <c r="V344" s="230">
        <f t="shared" si="172"/>
        <v>16.393215374109513</v>
      </c>
      <c r="W344" s="230">
        <f t="shared" si="172"/>
        <v>16.856419590194808</v>
      </c>
      <c r="X344" s="230">
        <f t="shared" si="172"/>
        <v>17.743942493081946</v>
      </c>
      <c r="Y344" s="230">
        <f t="shared" si="172"/>
        <v>18.582317126177546</v>
      </c>
      <c r="Z344" s="230">
        <f t="shared" si="172"/>
        <v>19.359572088018702</v>
      </c>
      <c r="AA344" s="230">
        <f t="shared" si="172"/>
        <v>20.078910295487642</v>
      </c>
      <c r="AB344" s="230">
        <f t="shared" si="172"/>
        <v>20.736554998422633</v>
      </c>
      <c r="AC344" s="230">
        <f t="shared" si="172"/>
        <v>21.289916925842288</v>
      </c>
      <c r="AD344" s="230">
        <f t="shared" si="172"/>
        <v>21.766091260417127</v>
      </c>
      <c r="AE344" s="230">
        <f t="shared" si="172"/>
        <v>22.160171700357722</v>
      </c>
      <c r="AF344" s="230">
        <f t="shared" si="172"/>
        <v>22.467074267006492</v>
      </c>
      <c r="AG344" s="230">
        <f t="shared" si="172"/>
        <v>22.68153502836374</v>
      </c>
      <c r="AI344" s="694" t="s">
        <v>1391</v>
      </c>
      <c r="AJ344" s="323"/>
    </row>
    <row r="345" spans="1:36" s="181" customFormat="1" x14ac:dyDescent="0.2">
      <c r="A345" s="181" t="s">
        <v>1644</v>
      </c>
      <c r="B345" s="349" t="s">
        <v>704</v>
      </c>
      <c r="C345" s="249">
        <f>C344/(1-C302)</f>
        <v>8.4205732802478224</v>
      </c>
      <c r="D345" s="249">
        <f t="shared" ref="D345:AG345" si="173">D344/(1-D302)</f>
        <v>8.9167394716403141</v>
      </c>
      <c r="E345" s="249">
        <f t="shared" si="173"/>
        <v>9.5139256342091194</v>
      </c>
      <c r="F345" s="249">
        <f t="shared" si="173"/>
        <v>10.126789974648302</v>
      </c>
      <c r="G345" s="249">
        <f t="shared" si="173"/>
        <v>10.734697638611967</v>
      </c>
      <c r="H345" s="249">
        <f t="shared" si="173"/>
        <v>11.333765109856513</v>
      </c>
      <c r="I345" s="249">
        <f t="shared" si="173"/>
        <v>11.902927985625237</v>
      </c>
      <c r="J345" s="249">
        <f t="shared" si="173"/>
        <v>12.474267185597595</v>
      </c>
      <c r="K345" s="249">
        <f t="shared" si="173"/>
        <v>13.046405388761732</v>
      </c>
      <c r="L345" s="249">
        <f t="shared" si="173"/>
        <v>13.617883351145352</v>
      </c>
      <c r="M345" s="249">
        <f t="shared" si="173"/>
        <v>14.187160645356732</v>
      </c>
      <c r="N345" s="249">
        <f t="shared" si="173"/>
        <v>15.072503701817057</v>
      </c>
      <c r="O345" s="249">
        <f t="shared" si="173"/>
        <v>15.908017904922515</v>
      </c>
      <c r="P345" s="249">
        <f t="shared" si="173"/>
        <v>16.685036263538453</v>
      </c>
      <c r="Q345" s="249">
        <f t="shared" si="173"/>
        <v>17.398051573421558</v>
      </c>
      <c r="R345" s="249">
        <f t="shared" si="173"/>
        <v>18.040738210287579</v>
      </c>
      <c r="S345" s="249">
        <f t="shared" si="173"/>
        <v>18.673602177637747</v>
      </c>
      <c r="T345" s="249">
        <f t="shared" si="173"/>
        <v>19.268763326532785</v>
      </c>
      <c r="U345" s="249">
        <f t="shared" si="173"/>
        <v>19.82448505127876</v>
      </c>
      <c r="V345" s="249">
        <f t="shared" si="173"/>
        <v>20.338976890954729</v>
      </c>
      <c r="W345" s="249">
        <f t="shared" si="173"/>
        <v>20.810394555796059</v>
      </c>
      <c r="X345" s="249">
        <f t="shared" si="173"/>
        <v>21.798455151206319</v>
      </c>
      <c r="Y345" s="249">
        <f t="shared" si="173"/>
        <v>22.716769102906536</v>
      </c>
      <c r="Z345" s="249">
        <f t="shared" si="173"/>
        <v>23.551790861336617</v>
      </c>
      <c r="AA345" s="249">
        <f t="shared" si="173"/>
        <v>24.308608105917241</v>
      </c>
      <c r="AB345" s="249">
        <f t="shared" si="173"/>
        <v>24.983801202918833</v>
      </c>
      <c r="AC345" s="249">
        <f t="shared" si="173"/>
        <v>25.527478328348064</v>
      </c>
      <c r="AD345" s="249">
        <f t="shared" si="173"/>
        <v>25.973855919352179</v>
      </c>
      <c r="AE345" s="249">
        <f t="shared" si="173"/>
        <v>26.318493705888027</v>
      </c>
      <c r="AF345" s="249">
        <f t="shared" si="173"/>
        <v>26.556825374712162</v>
      </c>
      <c r="AG345" s="249">
        <f t="shared" si="173"/>
        <v>26.684158856898517</v>
      </c>
      <c r="AI345" s="694"/>
      <c r="AJ345" s="323"/>
    </row>
    <row r="346" spans="1:36" s="181" customFormat="1" x14ac:dyDescent="0.2">
      <c r="A346" s="181" t="s">
        <v>1645</v>
      </c>
      <c r="B346" s="349" t="s">
        <v>704</v>
      </c>
      <c r="C346" s="249">
        <f>C334</f>
        <v>2.8235027274590001</v>
      </c>
      <c r="D346" s="249">
        <f t="shared" ref="D346:AG346" si="174">D334</f>
        <v>3.2111060835099776</v>
      </c>
      <c r="E346" s="249">
        <f t="shared" si="174"/>
        <v>3.6059033935917739</v>
      </c>
      <c r="F346" s="249">
        <f t="shared" si="174"/>
        <v>4.0139182782985348</v>
      </c>
      <c r="G346" s="249">
        <f t="shared" si="174"/>
        <v>4.4298934649748745</v>
      </c>
      <c r="H346" s="249">
        <f t="shared" si="174"/>
        <v>4.8511546721092982</v>
      </c>
      <c r="I346" s="249">
        <f t="shared" si="174"/>
        <v>5.2615192621341933</v>
      </c>
      <c r="J346" s="249">
        <f t="shared" si="174"/>
        <v>5.6811560738951909</v>
      </c>
      <c r="K346" s="249">
        <f t="shared" si="174"/>
        <v>6.1096381511129438</v>
      </c>
      <c r="L346" s="249">
        <f t="shared" si="174"/>
        <v>6.5465063428600159</v>
      </c>
      <c r="M346" s="249">
        <f t="shared" si="174"/>
        <v>6.9912696781640271</v>
      </c>
      <c r="N346" s="249">
        <f t="shared" si="174"/>
        <v>7.3959271440702681</v>
      </c>
      <c r="O346" s="249">
        <f t="shared" si="174"/>
        <v>7.7897770557224639</v>
      </c>
      <c r="P346" s="249">
        <f t="shared" si="174"/>
        <v>8.1700409870302408</v>
      </c>
      <c r="Q346" s="249">
        <f t="shared" si="174"/>
        <v>8.534431073766287</v>
      </c>
      <c r="R346" s="249">
        <f t="shared" si="174"/>
        <v>8.880528342243629</v>
      </c>
      <c r="S346" s="249">
        <f t="shared" si="174"/>
        <v>9.2342813853216548</v>
      </c>
      <c r="T346" s="249">
        <f t="shared" si="174"/>
        <v>9.584810881165712</v>
      </c>
      <c r="U346" s="249">
        <f t="shared" si="174"/>
        <v>9.9317222292575238</v>
      </c>
      <c r="V346" s="249">
        <f t="shared" si="174"/>
        <v>10.274614867776068</v>
      </c>
      <c r="W346" s="249">
        <f t="shared" si="174"/>
        <v>10.613082500680319</v>
      </c>
      <c r="X346" s="249">
        <f t="shared" si="174"/>
        <v>10.946258142197028</v>
      </c>
      <c r="Y346" s="249">
        <f t="shared" si="174"/>
        <v>11.27425901266936</v>
      </c>
      <c r="Z346" s="249">
        <f t="shared" si="174"/>
        <v>11.595221744439582</v>
      </c>
      <c r="AA346" s="249">
        <f t="shared" si="174"/>
        <v>11.910012444097077</v>
      </c>
      <c r="AB346" s="249">
        <f t="shared" si="174"/>
        <v>12.218199523307634</v>
      </c>
      <c r="AC346" s="249">
        <f t="shared" si="174"/>
        <v>12.509917179828047</v>
      </c>
      <c r="AD346" s="249">
        <f t="shared" si="174"/>
        <v>12.793507429191985</v>
      </c>
      <c r="AE346" s="249">
        <f t="shared" si="174"/>
        <v>13.068511993413846</v>
      </c>
      <c r="AF346" s="249">
        <f t="shared" si="174"/>
        <v>13.334467974841704</v>
      </c>
      <c r="AG346" s="249">
        <f t="shared" si="174"/>
        <v>13.590908094971669</v>
      </c>
      <c r="AI346" s="694"/>
      <c r="AJ346" s="323"/>
    </row>
    <row r="347" spans="1:36" s="181" customFormat="1" x14ac:dyDescent="0.2">
      <c r="A347" s="181" t="s">
        <v>1646</v>
      </c>
      <c r="B347" s="349" t="s">
        <v>704</v>
      </c>
      <c r="C347" s="249">
        <f>C345-C346</f>
        <v>5.5970705527888223</v>
      </c>
      <c r="D347" s="249">
        <f t="shared" ref="D347:AG347" si="175">D345-D346</f>
        <v>5.7056333881303365</v>
      </c>
      <c r="E347" s="249">
        <f t="shared" si="175"/>
        <v>5.9080222406173455</v>
      </c>
      <c r="F347" s="249">
        <f t="shared" si="175"/>
        <v>6.1128716963497673</v>
      </c>
      <c r="G347" s="249">
        <f t="shared" si="175"/>
        <v>6.304804173637093</v>
      </c>
      <c r="H347" s="249">
        <f t="shared" si="175"/>
        <v>6.4826104377472147</v>
      </c>
      <c r="I347" s="249">
        <f t="shared" si="175"/>
        <v>6.6414087234910433</v>
      </c>
      <c r="J347" s="249">
        <f t="shared" si="175"/>
        <v>6.7931111117024043</v>
      </c>
      <c r="K347" s="249">
        <f t="shared" si="175"/>
        <v>6.9367672376487883</v>
      </c>
      <c r="L347" s="249">
        <f t="shared" si="175"/>
        <v>7.071377008285336</v>
      </c>
      <c r="M347" s="249">
        <f t="shared" si="175"/>
        <v>7.1958909671927049</v>
      </c>
      <c r="N347" s="249">
        <f t="shared" si="175"/>
        <v>7.676576557746789</v>
      </c>
      <c r="O347" s="249">
        <f t="shared" si="175"/>
        <v>8.1182408492000508</v>
      </c>
      <c r="P347" s="249">
        <f t="shared" si="175"/>
        <v>8.5149952765082126</v>
      </c>
      <c r="Q347" s="249">
        <f t="shared" si="175"/>
        <v>8.863620499655271</v>
      </c>
      <c r="R347" s="249">
        <f t="shared" si="175"/>
        <v>9.1602098680439497</v>
      </c>
      <c r="S347" s="249">
        <f t="shared" si="175"/>
        <v>9.4393207923160922</v>
      </c>
      <c r="T347" s="249">
        <f t="shared" si="175"/>
        <v>9.6839524453670727</v>
      </c>
      <c r="U347" s="249">
        <f t="shared" si="175"/>
        <v>9.8927628220212362</v>
      </c>
      <c r="V347" s="249">
        <f t="shared" si="175"/>
        <v>10.064362023178662</v>
      </c>
      <c r="W347" s="249">
        <f t="shared" si="175"/>
        <v>10.19731205511574</v>
      </c>
      <c r="X347" s="249">
        <f t="shared" si="175"/>
        <v>10.852197009009291</v>
      </c>
      <c r="Y347" s="249">
        <f t="shared" si="175"/>
        <v>11.442510090237176</v>
      </c>
      <c r="Z347" s="249">
        <f t="shared" si="175"/>
        <v>11.956569116897034</v>
      </c>
      <c r="AA347" s="249">
        <f t="shared" si="175"/>
        <v>12.398595661820163</v>
      </c>
      <c r="AB347" s="249">
        <f t="shared" si="175"/>
        <v>12.7656016796112</v>
      </c>
      <c r="AC347" s="249">
        <f t="shared" si="175"/>
        <v>13.017561148520016</v>
      </c>
      <c r="AD347" s="249">
        <f t="shared" si="175"/>
        <v>13.180348490160194</v>
      </c>
      <c r="AE347" s="249">
        <f t="shared" si="175"/>
        <v>13.249981712474181</v>
      </c>
      <c r="AF347" s="249">
        <f t="shared" si="175"/>
        <v>13.222357399870457</v>
      </c>
      <c r="AG347" s="249">
        <f t="shared" si="175"/>
        <v>13.093250761926848</v>
      </c>
      <c r="AI347" s="694"/>
      <c r="AJ347" s="323"/>
    </row>
    <row r="348" spans="1:36" s="181" customFormat="1" x14ac:dyDescent="0.2">
      <c r="A348" s="181" t="s">
        <v>1647</v>
      </c>
      <c r="B348" s="349" t="s">
        <v>704</v>
      </c>
      <c r="C348" s="249">
        <f>(C347)/(1-C299)</f>
        <v>6.9963381909860276</v>
      </c>
      <c r="D348" s="249">
        <f t="shared" ref="D348:AG348" si="176">(D345-D334)/(1-D299)</f>
        <v>7.1024482009921197</v>
      </c>
      <c r="E348" s="249">
        <f t="shared" si="176"/>
        <v>7.323994513161999</v>
      </c>
      <c r="F348" s="249">
        <f t="shared" si="176"/>
        <v>7.5467551806787254</v>
      </c>
      <c r="G348" s="249">
        <f t="shared" si="176"/>
        <v>7.7518084102095415</v>
      </c>
      <c r="H348" s="249">
        <f t="shared" si="176"/>
        <v>7.9378903319353649</v>
      </c>
      <c r="I348" s="249">
        <f t="shared" si="176"/>
        <v>8.0992789310866389</v>
      </c>
      <c r="J348" s="249">
        <f t="shared" si="176"/>
        <v>8.2507422409340947</v>
      </c>
      <c r="K348" s="249">
        <f t="shared" si="176"/>
        <v>8.3912506907041795</v>
      </c>
      <c r="L348" s="249">
        <f t="shared" si="176"/>
        <v>8.519731335283538</v>
      </c>
      <c r="M348" s="249">
        <f t="shared" si="176"/>
        <v>8.6350691606312466</v>
      </c>
      <c r="N348" s="249">
        <f t="shared" si="176"/>
        <v>9.1751911048766424</v>
      </c>
      <c r="O348" s="249">
        <f t="shared" si="176"/>
        <v>9.6645724395238712</v>
      </c>
      <c r="P348" s="249">
        <f t="shared" si="176"/>
        <v>10.096832343685628</v>
      </c>
      <c r="Q348" s="249">
        <f t="shared" si="176"/>
        <v>10.468843109829061</v>
      </c>
      <c r="R348" s="249">
        <f t="shared" si="176"/>
        <v>10.776717491816413</v>
      </c>
      <c r="S348" s="249">
        <f t="shared" si="176"/>
        <v>11.061704053495422</v>
      </c>
      <c r="T348" s="249">
        <f t="shared" si="176"/>
        <v>11.304224644397362</v>
      </c>
      <c r="U348" s="249">
        <f t="shared" si="176"/>
        <v>11.503212583745626</v>
      </c>
      <c r="V348" s="249">
        <f t="shared" si="176"/>
        <v>11.657562189010035</v>
      </c>
      <c r="W348" s="249">
        <f t="shared" si="176"/>
        <v>11.766129294364317</v>
      </c>
      <c r="X348" s="249">
        <f t="shared" si="176"/>
        <v>12.473789665527923</v>
      </c>
      <c r="Y348" s="249">
        <f t="shared" si="176"/>
        <v>13.102110790347915</v>
      </c>
      <c r="Z348" s="249">
        <f t="shared" si="176"/>
        <v>13.638671996460499</v>
      </c>
      <c r="AA348" s="249">
        <f t="shared" si="176"/>
        <v>14.089313252068369</v>
      </c>
      <c r="AB348" s="249">
        <f t="shared" si="176"/>
        <v>14.451624542956077</v>
      </c>
      <c r="AC348" s="249">
        <f t="shared" si="176"/>
        <v>14.68145994193987</v>
      </c>
      <c r="AD348" s="249">
        <f t="shared" si="176"/>
        <v>14.809380326022692</v>
      </c>
      <c r="AE348" s="249">
        <f t="shared" si="176"/>
        <v>14.832069081127818</v>
      </c>
      <c r="AF348" s="249">
        <f t="shared" si="176"/>
        <v>14.746123494279324</v>
      </c>
      <c r="AG348" s="249">
        <f t="shared" si="176"/>
        <v>14.548056402140942</v>
      </c>
      <c r="AI348" s="694"/>
      <c r="AJ348" s="323"/>
    </row>
    <row r="349" spans="1:36" s="181" customFormat="1" x14ac:dyDescent="0.2">
      <c r="A349" s="181" t="s">
        <v>1648</v>
      </c>
      <c r="B349" s="349" t="s">
        <v>704</v>
      </c>
      <c r="C349" s="249">
        <f>IF(C328&gt;C348,C348,C328)</f>
        <v>6.9963381909860276</v>
      </c>
      <c r="D349" s="249">
        <f t="shared" ref="D349:AG349" si="177">IF(D328&gt;D348,D348,D328)</f>
        <v>7.1024482009921197</v>
      </c>
      <c r="E349" s="249">
        <f t="shared" si="177"/>
        <v>7.323994513161999</v>
      </c>
      <c r="F349" s="249">
        <f t="shared" si="177"/>
        <v>7.5467551806787254</v>
      </c>
      <c r="G349" s="249">
        <f t="shared" si="177"/>
        <v>7.7518084102095415</v>
      </c>
      <c r="H349" s="249">
        <f t="shared" si="177"/>
        <v>7.9378903319353649</v>
      </c>
      <c r="I349" s="249">
        <f t="shared" si="177"/>
        <v>8.0992789310866389</v>
      </c>
      <c r="J349" s="249">
        <f t="shared" si="177"/>
        <v>8.2507422409340947</v>
      </c>
      <c r="K349" s="249">
        <f t="shared" si="177"/>
        <v>8.3912506907041795</v>
      </c>
      <c r="L349" s="249">
        <f t="shared" si="177"/>
        <v>8.519731335283538</v>
      </c>
      <c r="M349" s="249">
        <f t="shared" si="177"/>
        <v>8.6350691606312466</v>
      </c>
      <c r="N349" s="249">
        <f t="shared" si="177"/>
        <v>9.1751911048766424</v>
      </c>
      <c r="O349" s="249">
        <f t="shared" si="177"/>
        <v>9.6645724395238712</v>
      </c>
      <c r="P349" s="249">
        <f t="shared" si="177"/>
        <v>10.096832343685628</v>
      </c>
      <c r="Q349" s="249">
        <f t="shared" si="177"/>
        <v>10.468843109829061</v>
      </c>
      <c r="R349" s="249">
        <f t="shared" si="177"/>
        <v>10.776717491816413</v>
      </c>
      <c r="S349" s="249">
        <f t="shared" si="177"/>
        <v>11.061704053495422</v>
      </c>
      <c r="T349" s="249">
        <f t="shared" si="177"/>
        <v>11.304224644397362</v>
      </c>
      <c r="U349" s="249">
        <f t="shared" si="177"/>
        <v>11.503212583745626</v>
      </c>
      <c r="V349" s="249">
        <f t="shared" si="177"/>
        <v>11.657562189010035</v>
      </c>
      <c r="W349" s="249">
        <f t="shared" si="177"/>
        <v>11.766129294364317</v>
      </c>
      <c r="X349" s="249">
        <f t="shared" si="177"/>
        <v>12.473789665527923</v>
      </c>
      <c r="Y349" s="249">
        <f t="shared" si="177"/>
        <v>13.102110790347915</v>
      </c>
      <c r="Z349" s="249">
        <f t="shared" si="177"/>
        <v>13.638671996460499</v>
      </c>
      <c r="AA349" s="249">
        <f t="shared" si="177"/>
        <v>14.089313252068369</v>
      </c>
      <c r="AB349" s="249">
        <f t="shared" si="177"/>
        <v>14.451624542956077</v>
      </c>
      <c r="AC349" s="249">
        <f t="shared" si="177"/>
        <v>14.68145994193987</v>
      </c>
      <c r="AD349" s="249">
        <f t="shared" si="177"/>
        <v>14.809380326022692</v>
      </c>
      <c r="AE349" s="249">
        <f t="shared" si="177"/>
        <v>14.832069081127818</v>
      </c>
      <c r="AF349" s="249">
        <f t="shared" si="177"/>
        <v>14.746123494279324</v>
      </c>
      <c r="AG349" s="249">
        <f t="shared" si="177"/>
        <v>14.548056402140942</v>
      </c>
      <c r="AI349" s="694"/>
      <c r="AJ349" s="323"/>
    </row>
    <row r="350" spans="1:36" s="181" customFormat="1" x14ac:dyDescent="0.2">
      <c r="A350" s="181" t="s">
        <v>1649</v>
      </c>
      <c r="B350" s="349" t="s">
        <v>704</v>
      </c>
      <c r="C350" s="249">
        <f>IF(C348-C349&lt;0,0,C348-C349)</f>
        <v>0</v>
      </c>
      <c r="D350" s="249">
        <f t="shared" ref="D350:AG350" si="178">IF(D348-D349&lt;0,0,D348-D349)</f>
        <v>0</v>
      </c>
      <c r="E350" s="249">
        <f t="shared" si="178"/>
        <v>0</v>
      </c>
      <c r="F350" s="249">
        <f t="shared" si="178"/>
        <v>0</v>
      </c>
      <c r="G350" s="249">
        <f t="shared" si="178"/>
        <v>0</v>
      </c>
      <c r="H350" s="249">
        <f t="shared" si="178"/>
        <v>0</v>
      </c>
      <c r="I350" s="249">
        <f t="shared" si="178"/>
        <v>0</v>
      </c>
      <c r="J350" s="249">
        <f t="shared" si="178"/>
        <v>0</v>
      </c>
      <c r="K350" s="249">
        <f t="shared" si="178"/>
        <v>0</v>
      </c>
      <c r="L350" s="249">
        <f t="shared" si="178"/>
        <v>0</v>
      </c>
      <c r="M350" s="249">
        <f t="shared" si="178"/>
        <v>0</v>
      </c>
      <c r="N350" s="249">
        <f t="shared" si="178"/>
        <v>0</v>
      </c>
      <c r="O350" s="249">
        <f t="shared" si="178"/>
        <v>0</v>
      </c>
      <c r="P350" s="249">
        <f t="shared" si="178"/>
        <v>0</v>
      </c>
      <c r="Q350" s="249">
        <f t="shared" si="178"/>
        <v>0</v>
      </c>
      <c r="R350" s="249">
        <f t="shared" si="178"/>
        <v>0</v>
      </c>
      <c r="S350" s="249">
        <f t="shared" si="178"/>
        <v>0</v>
      </c>
      <c r="T350" s="249">
        <f t="shared" si="178"/>
        <v>0</v>
      </c>
      <c r="U350" s="249">
        <f t="shared" si="178"/>
        <v>0</v>
      </c>
      <c r="V350" s="249">
        <f t="shared" si="178"/>
        <v>0</v>
      </c>
      <c r="W350" s="249">
        <f t="shared" si="178"/>
        <v>0</v>
      </c>
      <c r="X350" s="249">
        <f t="shared" si="178"/>
        <v>0</v>
      </c>
      <c r="Y350" s="249">
        <f t="shared" si="178"/>
        <v>0</v>
      </c>
      <c r="Z350" s="249">
        <f t="shared" si="178"/>
        <v>0</v>
      </c>
      <c r="AA350" s="249">
        <f t="shared" si="178"/>
        <v>0</v>
      </c>
      <c r="AB350" s="249">
        <f t="shared" si="178"/>
        <v>0</v>
      </c>
      <c r="AC350" s="249">
        <f t="shared" si="178"/>
        <v>0</v>
      </c>
      <c r="AD350" s="249">
        <f t="shared" si="178"/>
        <v>0</v>
      </c>
      <c r="AE350" s="249">
        <f t="shared" si="178"/>
        <v>0</v>
      </c>
      <c r="AF350" s="249">
        <f t="shared" si="178"/>
        <v>0</v>
      </c>
      <c r="AG350" s="249">
        <f t="shared" si="178"/>
        <v>0</v>
      </c>
      <c r="AI350" s="694"/>
      <c r="AJ350" s="323"/>
    </row>
    <row r="351" spans="1:36" s="181" customFormat="1" x14ac:dyDescent="0.2">
      <c r="A351" s="181" t="s">
        <v>1650</v>
      </c>
      <c r="B351" s="349" t="s">
        <v>704</v>
      </c>
      <c r="C351" s="249">
        <f>C345*C302+C299*C348+C335+IF(C328&gt;C348,C328-C348,0)</f>
        <v>5.2955978219634581</v>
      </c>
      <c r="D351" s="249">
        <f t="shared" ref="D351:AG351" si="179">D345*D302+D299*D348+D335+IF(D328&gt;D348,D328-D348,0)</f>
        <v>5.9320235678223074</v>
      </c>
      <c r="E351" s="249">
        <f t="shared" si="179"/>
        <v>6.4854236534463805</v>
      </c>
      <c r="F351" s="249">
        <f t="shared" si="179"/>
        <v>7.0438009221537392</v>
      </c>
      <c r="G351" s="249">
        <f t="shared" si="179"/>
        <v>7.6048448530620085</v>
      </c>
      <c r="H351" s="249">
        <f t="shared" si="179"/>
        <v>8.1644495494765952</v>
      </c>
      <c r="I351" s="249">
        <f t="shared" si="179"/>
        <v>8.6864703316074774</v>
      </c>
      <c r="J351" s="249">
        <f t="shared" si="179"/>
        <v>9.2182833558462711</v>
      </c>
      <c r="K351" s="249">
        <f t="shared" si="179"/>
        <v>9.7597047539764183</v>
      </c>
      <c r="L351" s="249">
        <f t="shared" si="179"/>
        <v>10.310569474573342</v>
      </c>
      <c r="M351" s="249">
        <f t="shared" si="179"/>
        <v>10.870734125394472</v>
      </c>
      <c r="N351" s="249">
        <f t="shared" si="179"/>
        <v>11.046680762192347</v>
      </c>
      <c r="O351" s="249">
        <f t="shared" si="179"/>
        <v>11.214288497043334</v>
      </c>
      <c r="P351" s="249">
        <f t="shared" si="179"/>
        <v>11.374445015036883</v>
      </c>
      <c r="Q351" s="249">
        <f t="shared" si="179"/>
        <v>11.527259587588311</v>
      </c>
      <c r="R351" s="249">
        <f t="shared" si="179"/>
        <v>11.673230200100161</v>
      </c>
      <c r="S351" s="249">
        <f t="shared" si="179"/>
        <v>11.841870576733795</v>
      </c>
      <c r="T351" s="249">
        <f t="shared" si="179"/>
        <v>12.02370333987675</v>
      </c>
      <c r="U351" s="249">
        <f t="shared" si="179"/>
        <v>12.219702567913913</v>
      </c>
      <c r="V351" s="249">
        <f t="shared" si="179"/>
        <v>12.430907117680871</v>
      </c>
      <c r="W351" s="249">
        <f t="shared" si="179"/>
        <v>12.65842235814719</v>
      </c>
      <c r="X351" s="249">
        <f t="shared" si="179"/>
        <v>12.445011763966711</v>
      </c>
      <c r="Y351" s="249">
        <f t="shared" si="179"/>
        <v>12.264741294800833</v>
      </c>
      <c r="Z351" s="249">
        <f t="shared" si="179"/>
        <v>12.124766085027288</v>
      </c>
      <c r="AA351" s="249">
        <f t="shared" si="179"/>
        <v>12.024548853133869</v>
      </c>
      <c r="AB351" s="249">
        <f t="shared" si="179"/>
        <v>11.966963465911157</v>
      </c>
      <c r="AC351" s="249">
        <f t="shared" si="179"/>
        <v>11.96862472599155</v>
      </c>
      <c r="AD351" s="249">
        <f t="shared" si="179"/>
        <v>12.025217039828744</v>
      </c>
      <c r="AE351" s="249">
        <f t="shared" si="179"/>
        <v>12.140715705061378</v>
      </c>
      <c r="AF351" s="249">
        <f t="shared" si="179"/>
        <v>12.319271899500187</v>
      </c>
      <c r="AG351" s="249">
        <f t="shared" si="179"/>
        <v>12.565215635518831</v>
      </c>
      <c r="AI351" s="694"/>
      <c r="AJ351" s="323"/>
    </row>
    <row r="352" spans="1:36" s="181" customFormat="1" x14ac:dyDescent="0.2">
      <c r="A352" s="181" t="s">
        <v>1651</v>
      </c>
      <c r="B352" s="349" t="s">
        <v>704</v>
      </c>
      <c r="C352" s="249">
        <f>C331-C350</f>
        <v>47.999546366802996</v>
      </c>
      <c r="D352" s="249">
        <f t="shared" ref="D352:AF352" si="180">D331-D350</f>
        <v>49.066041493699267</v>
      </c>
      <c r="E352" s="249">
        <f t="shared" si="180"/>
        <v>49.932838172767894</v>
      </c>
      <c r="F352" s="249">
        <f t="shared" si="180"/>
        <v>50.719699031774049</v>
      </c>
      <c r="G352" s="249">
        <f t="shared" si="180"/>
        <v>51.378100020584164</v>
      </c>
      <c r="H352" s="249">
        <f t="shared" si="180"/>
        <v>51.902783821089287</v>
      </c>
      <c r="I352" s="249">
        <f t="shared" si="180"/>
        <v>52.157183513597751</v>
      </c>
      <c r="J352" s="249">
        <f t="shared" si="180"/>
        <v>52.379160049206952</v>
      </c>
      <c r="K352" s="249">
        <f t="shared" si="180"/>
        <v>52.568134140034843</v>
      </c>
      <c r="L352" s="249">
        <f t="shared" si="180"/>
        <v>52.723582926143315</v>
      </c>
      <c r="M352" s="249">
        <f t="shared" si="180"/>
        <v>52.845041980143712</v>
      </c>
      <c r="N352" s="249">
        <f t="shared" si="180"/>
        <v>52.594472974986587</v>
      </c>
      <c r="O352" s="249">
        <f t="shared" si="180"/>
        <v>52.229568061173566</v>
      </c>
      <c r="P352" s="249">
        <f t="shared" si="180"/>
        <v>51.750660061287903</v>
      </c>
      <c r="Q352" s="249">
        <f t="shared" si="180"/>
        <v>51.161786279480815</v>
      </c>
      <c r="R352" s="249">
        <f t="shared" si="180"/>
        <v>50.466228267481249</v>
      </c>
      <c r="S352" s="249">
        <f t="shared" si="180"/>
        <v>49.820449810995115</v>
      </c>
      <c r="T352" s="249">
        <f t="shared" si="180"/>
        <v>49.161936163665807</v>
      </c>
      <c r="U352" s="249">
        <f t="shared" si="180"/>
        <v>48.491074531246824</v>
      </c>
      <c r="V352" s="249">
        <f t="shared" si="180"/>
        <v>47.80826346482197</v>
      </c>
      <c r="W352" s="249">
        <f t="shared" si="180"/>
        <v>47.11391256920539</v>
      </c>
      <c r="X352" s="249">
        <f t="shared" si="180"/>
        <v>46.406512415661602</v>
      </c>
      <c r="Y352" s="249">
        <f t="shared" si="180"/>
        <v>45.68891423924984</v>
      </c>
      <c r="Z352" s="249">
        <f t="shared" si="180"/>
        <v>44.955913290066775</v>
      </c>
      <c r="AA352" s="249">
        <f t="shared" si="180"/>
        <v>44.21342182085862</v>
      </c>
      <c r="AB352" s="249">
        <f t="shared" si="180"/>
        <v>43.461881161479987</v>
      </c>
      <c r="AC352" s="249">
        <f t="shared" si="180"/>
        <v>42.6695791288656</v>
      </c>
      <c r="AD352" s="249">
        <f t="shared" si="180"/>
        <v>41.869626286021663</v>
      </c>
      <c r="AE352" s="249">
        <f t="shared" si="180"/>
        <v>41.062489589393707</v>
      </c>
      <c r="AF352" s="249">
        <f t="shared" si="180"/>
        <v>40.248643281704993</v>
      </c>
      <c r="AG352" s="249">
        <f>AG331-AG350</f>
        <v>39.428568539258464</v>
      </c>
      <c r="AI352" s="694"/>
      <c r="AJ352" s="323"/>
    </row>
    <row r="353" spans="1:37" s="181" customFormat="1" x14ac:dyDescent="0.2">
      <c r="B353" s="350"/>
      <c r="C353" s="327"/>
      <c r="D353" s="327"/>
      <c r="E353" s="327"/>
      <c r="F353" s="327"/>
      <c r="G353" s="327"/>
      <c r="H353" s="327"/>
      <c r="I353" s="327"/>
      <c r="J353" s="327"/>
      <c r="K353" s="327"/>
      <c r="L353" s="327"/>
      <c r="M353" s="327"/>
      <c r="N353" s="327"/>
      <c r="O353" s="327"/>
      <c r="P353" s="327"/>
      <c r="Q353" s="327"/>
      <c r="R353" s="327"/>
      <c r="S353" s="327"/>
      <c r="T353" s="327"/>
      <c r="U353" s="327"/>
      <c r="V353" s="327"/>
      <c r="W353" s="327"/>
      <c r="X353" s="327"/>
      <c r="Y353" s="327"/>
      <c r="Z353" s="327"/>
      <c r="AA353" s="327"/>
      <c r="AB353" s="327"/>
      <c r="AC353" s="327"/>
      <c r="AD353" s="327"/>
      <c r="AE353" s="327"/>
      <c r="AF353" s="327"/>
      <c r="AG353" s="327"/>
      <c r="AJ353" s="323"/>
    </row>
    <row r="354" spans="1:37" s="181" customFormat="1" x14ac:dyDescent="0.2">
      <c r="A354" s="181" t="s">
        <v>1400</v>
      </c>
      <c r="B354" s="350" t="s">
        <v>462</v>
      </c>
      <c r="C354" s="296">
        <v>0.8</v>
      </c>
      <c r="D354" s="317">
        <f>C354</f>
        <v>0.8</v>
      </c>
      <c r="E354" s="317">
        <f t="shared" ref="E354:AG354" si="181">D354</f>
        <v>0.8</v>
      </c>
      <c r="F354" s="317">
        <f t="shared" si="181"/>
        <v>0.8</v>
      </c>
      <c r="G354" s="317">
        <f t="shared" si="181"/>
        <v>0.8</v>
      </c>
      <c r="H354" s="317">
        <f t="shared" si="181"/>
        <v>0.8</v>
      </c>
      <c r="I354" s="317">
        <f t="shared" si="181"/>
        <v>0.8</v>
      </c>
      <c r="J354" s="317">
        <f t="shared" si="181"/>
        <v>0.8</v>
      </c>
      <c r="K354" s="317">
        <f t="shared" si="181"/>
        <v>0.8</v>
      </c>
      <c r="L354" s="317">
        <f t="shared" si="181"/>
        <v>0.8</v>
      </c>
      <c r="M354" s="317">
        <f>L354</f>
        <v>0.8</v>
      </c>
      <c r="N354" s="317">
        <f t="shared" si="181"/>
        <v>0.8</v>
      </c>
      <c r="O354" s="317">
        <f t="shared" si="181"/>
        <v>0.8</v>
      </c>
      <c r="P354" s="317">
        <f t="shared" si="181"/>
        <v>0.8</v>
      </c>
      <c r="Q354" s="317">
        <f t="shared" si="181"/>
        <v>0.8</v>
      </c>
      <c r="R354" s="317">
        <f t="shared" si="181"/>
        <v>0.8</v>
      </c>
      <c r="S354" s="317">
        <f t="shared" si="181"/>
        <v>0.8</v>
      </c>
      <c r="T354" s="317">
        <f t="shared" si="181"/>
        <v>0.8</v>
      </c>
      <c r="U354" s="317">
        <f t="shared" si="181"/>
        <v>0.8</v>
      </c>
      <c r="V354" s="317">
        <f t="shared" si="181"/>
        <v>0.8</v>
      </c>
      <c r="W354" s="317">
        <f t="shared" si="181"/>
        <v>0.8</v>
      </c>
      <c r="X354" s="317">
        <f t="shared" si="181"/>
        <v>0.8</v>
      </c>
      <c r="Y354" s="317">
        <f t="shared" si="181"/>
        <v>0.8</v>
      </c>
      <c r="Z354" s="317">
        <f t="shared" si="181"/>
        <v>0.8</v>
      </c>
      <c r="AA354" s="317">
        <f t="shared" si="181"/>
        <v>0.8</v>
      </c>
      <c r="AB354" s="317">
        <f t="shared" si="181"/>
        <v>0.8</v>
      </c>
      <c r="AC354" s="317">
        <f t="shared" si="181"/>
        <v>0.8</v>
      </c>
      <c r="AD354" s="317">
        <f t="shared" si="181"/>
        <v>0.8</v>
      </c>
      <c r="AE354" s="317">
        <f t="shared" si="181"/>
        <v>0.8</v>
      </c>
      <c r="AF354" s="317">
        <f t="shared" si="181"/>
        <v>0.8</v>
      </c>
      <c r="AG354" s="317">
        <f t="shared" si="181"/>
        <v>0.8</v>
      </c>
      <c r="AJ354" s="323" t="s">
        <v>1401</v>
      </c>
    </row>
    <row r="355" spans="1:37" s="181" customFormat="1" x14ac:dyDescent="0.2">
      <c r="B355" s="350"/>
      <c r="C355" s="327"/>
      <c r="D355" s="327"/>
      <c r="E355" s="327"/>
      <c r="F355" s="327"/>
      <c r="G355" s="327"/>
      <c r="H355" s="327"/>
      <c r="I355" s="327"/>
      <c r="J355" s="327"/>
      <c r="K355" s="327"/>
      <c r="L355" s="327"/>
      <c r="M355" s="327"/>
      <c r="N355" s="327"/>
      <c r="O355" s="327"/>
      <c r="P355" s="327"/>
      <c r="Q355" s="327"/>
      <c r="R355" s="327"/>
      <c r="S355" s="327"/>
      <c r="T355" s="327"/>
      <c r="U355" s="327"/>
      <c r="V355" s="327"/>
      <c r="W355" s="327"/>
      <c r="X355" s="327"/>
      <c r="Y355" s="327"/>
      <c r="Z355" s="327"/>
      <c r="AA355" s="327"/>
      <c r="AB355" s="327"/>
      <c r="AC355" s="327"/>
      <c r="AD355" s="327"/>
      <c r="AE355" s="327"/>
      <c r="AF355" s="327"/>
      <c r="AG355" s="327"/>
      <c r="AJ355" s="323"/>
    </row>
    <row r="356" spans="1:37" s="181" customFormat="1" x14ac:dyDescent="0.2">
      <c r="A356" s="181" t="s">
        <v>1402</v>
      </c>
      <c r="B356" s="350" t="s">
        <v>704</v>
      </c>
      <c r="C356" s="327">
        <f>C290*C351*C354</f>
        <v>0.9320252166655687</v>
      </c>
      <c r="D356" s="327">
        <f t="shared" ref="D356:AG356" si="182">D290*D351*D354</f>
        <v>1.0756736069651118</v>
      </c>
      <c r="E356" s="327">
        <f t="shared" si="182"/>
        <v>1.2106124153099911</v>
      </c>
      <c r="F356" s="327">
        <f t="shared" si="182"/>
        <v>1.3524097770535177</v>
      </c>
      <c r="G356" s="327">
        <f t="shared" si="182"/>
        <v>1.5006893843375695</v>
      </c>
      <c r="H356" s="327">
        <f t="shared" si="182"/>
        <v>1.6546617753605899</v>
      </c>
      <c r="I356" s="327">
        <f t="shared" si="182"/>
        <v>1.8067858289743552</v>
      </c>
      <c r="J356" s="327">
        <f t="shared" si="182"/>
        <v>1.9665671159138709</v>
      </c>
      <c r="K356" s="327">
        <f t="shared" si="182"/>
        <v>2.134122106202843</v>
      </c>
      <c r="L356" s="327">
        <f t="shared" si="182"/>
        <v>2.3095675623044278</v>
      </c>
      <c r="M356" s="327">
        <f t="shared" si="182"/>
        <v>2.4930216927571318</v>
      </c>
      <c r="N356" s="327">
        <f t="shared" si="182"/>
        <v>2.5922877521944701</v>
      </c>
      <c r="O356" s="327">
        <f t="shared" si="182"/>
        <v>2.6914292392903993</v>
      </c>
      <c r="P356" s="327">
        <f t="shared" si="182"/>
        <v>2.7905305103557141</v>
      </c>
      <c r="Q356" s="327">
        <f t="shared" si="182"/>
        <v>2.8894997366221356</v>
      </c>
      <c r="R356" s="327">
        <f t="shared" si="182"/>
        <v>2.9883469312256397</v>
      </c>
      <c r="S356" s="327">
        <f t="shared" si="182"/>
        <v>3.0946755107197639</v>
      </c>
      <c r="T356" s="327">
        <f t="shared" si="182"/>
        <v>3.2063208906337985</v>
      </c>
      <c r="U356" s="327">
        <f t="shared" si="182"/>
        <v>3.3237590984725829</v>
      </c>
      <c r="V356" s="327">
        <f t="shared" si="182"/>
        <v>3.4475049073034927</v>
      </c>
      <c r="W356" s="327">
        <f t="shared" si="182"/>
        <v>3.5781140532362699</v>
      </c>
      <c r="X356" s="327">
        <f t="shared" si="182"/>
        <v>3.5841633880224109</v>
      </c>
      <c r="Y356" s="327">
        <f t="shared" si="182"/>
        <v>3.5976574464749085</v>
      </c>
      <c r="Z356" s="327">
        <f t="shared" si="182"/>
        <v>3.6212634707281475</v>
      </c>
      <c r="AA356" s="327">
        <f t="shared" si="182"/>
        <v>3.6554628513526937</v>
      </c>
      <c r="AB356" s="327">
        <f t="shared" si="182"/>
        <v>3.7017806987885153</v>
      </c>
      <c r="AC356" s="327">
        <f t="shared" si="182"/>
        <v>3.7661272471120051</v>
      </c>
      <c r="AD356" s="327">
        <f t="shared" si="182"/>
        <v>3.8480694527451953</v>
      </c>
      <c r="AE356" s="327">
        <f t="shared" si="182"/>
        <v>3.9497795093799652</v>
      </c>
      <c r="AF356" s="327">
        <f t="shared" si="182"/>
        <v>4.0735725747680585</v>
      </c>
      <c r="AG356" s="327">
        <f t="shared" si="182"/>
        <v>4.2219124535343271</v>
      </c>
      <c r="AJ356" s="323"/>
    </row>
    <row r="357" spans="1:37" s="181" customFormat="1" x14ac:dyDescent="0.2">
      <c r="A357" s="181" t="s">
        <v>1403</v>
      </c>
      <c r="B357" s="350" t="s">
        <v>704</v>
      </c>
      <c r="C357" s="327">
        <f>C351*C354-C356</f>
        <v>3.304453040905198</v>
      </c>
      <c r="D357" s="327">
        <f t="shared" ref="D357:AG357" si="183">D351*D354-D356</f>
        <v>3.6699452472927341</v>
      </c>
      <c r="E357" s="327">
        <f t="shared" si="183"/>
        <v>3.9777265074471133</v>
      </c>
      <c r="F357" s="327">
        <f t="shared" si="183"/>
        <v>4.2826309606694739</v>
      </c>
      <c r="G357" s="327">
        <f t="shared" si="183"/>
        <v>4.5831864981120383</v>
      </c>
      <c r="H357" s="327">
        <f t="shared" si="183"/>
        <v>4.8768978642206866</v>
      </c>
      <c r="I357" s="327">
        <f t="shared" si="183"/>
        <v>5.1423904363116266</v>
      </c>
      <c r="J357" s="327">
        <f t="shared" si="183"/>
        <v>5.4080595687631465</v>
      </c>
      <c r="K357" s="327">
        <f t="shared" si="183"/>
        <v>5.6736416969782919</v>
      </c>
      <c r="L357" s="327">
        <f t="shared" si="183"/>
        <v>5.9388880173542447</v>
      </c>
      <c r="M357" s="327">
        <f t="shared" si="183"/>
        <v>6.2035656075584455</v>
      </c>
      <c r="N357" s="327">
        <f t="shared" si="183"/>
        <v>6.2450568575594074</v>
      </c>
      <c r="O357" s="327">
        <f t="shared" si="183"/>
        <v>6.2800015583442681</v>
      </c>
      <c r="P357" s="327">
        <f t="shared" si="183"/>
        <v>6.3090255016737942</v>
      </c>
      <c r="Q357" s="327">
        <f t="shared" si="183"/>
        <v>6.3323079334485142</v>
      </c>
      <c r="R357" s="327">
        <f t="shared" si="183"/>
        <v>6.3502372288544899</v>
      </c>
      <c r="S357" s="327">
        <f t="shared" si="183"/>
        <v>6.3788209506672722</v>
      </c>
      <c r="T357" s="327">
        <f t="shared" si="183"/>
        <v>6.4126417812676015</v>
      </c>
      <c r="U357" s="327">
        <f t="shared" si="183"/>
        <v>6.452002955858549</v>
      </c>
      <c r="V357" s="327">
        <f t="shared" si="183"/>
        <v>6.4972207868412042</v>
      </c>
      <c r="W357" s="327">
        <f t="shared" si="183"/>
        <v>6.5486238332814821</v>
      </c>
      <c r="X357" s="327">
        <f t="shared" si="183"/>
        <v>6.3718460231509582</v>
      </c>
      <c r="Y357" s="327">
        <f t="shared" si="183"/>
        <v>6.2141355893657586</v>
      </c>
      <c r="Z357" s="327">
        <f t="shared" si="183"/>
        <v>6.078549397293683</v>
      </c>
      <c r="AA357" s="327">
        <f t="shared" si="183"/>
        <v>5.9641762311544024</v>
      </c>
      <c r="AB357" s="327">
        <f t="shared" si="183"/>
        <v>5.871790073940411</v>
      </c>
      <c r="AC357" s="327">
        <f t="shared" si="183"/>
        <v>5.8087725336812355</v>
      </c>
      <c r="AD357" s="327">
        <f t="shared" si="183"/>
        <v>5.772104179117802</v>
      </c>
      <c r="AE357" s="327">
        <f t="shared" si="183"/>
        <v>5.7627930546691388</v>
      </c>
      <c r="AF357" s="327">
        <f t="shared" si="183"/>
        <v>5.7818449448320921</v>
      </c>
      <c r="AG357" s="327">
        <f t="shared" si="183"/>
        <v>5.8302600548807382</v>
      </c>
      <c r="AJ357" s="323"/>
    </row>
    <row r="358" spans="1:37" s="181" customFormat="1" x14ac:dyDescent="0.2">
      <c r="B358" s="176"/>
      <c r="C358" s="327"/>
      <c r="D358" s="327"/>
      <c r="E358" s="327"/>
      <c r="F358" s="327"/>
      <c r="G358" s="327"/>
      <c r="H358" s="327"/>
      <c r="I358" s="327"/>
      <c r="J358" s="327"/>
      <c r="K358" s="327"/>
      <c r="L358" s="327"/>
      <c r="M358" s="327"/>
      <c r="N358" s="327"/>
      <c r="O358" s="327"/>
      <c r="P358" s="327"/>
      <c r="Q358" s="327"/>
      <c r="R358" s="327"/>
      <c r="S358" s="327"/>
      <c r="T358" s="327"/>
      <c r="U358" s="327"/>
      <c r="V358" s="327"/>
      <c r="W358" s="327"/>
      <c r="X358" s="327"/>
      <c r="Y358" s="327"/>
      <c r="Z358" s="327"/>
      <c r="AA358" s="327"/>
      <c r="AB358" s="327"/>
      <c r="AC358" s="327"/>
      <c r="AD358" s="327"/>
      <c r="AE358" s="327"/>
      <c r="AF358" s="327"/>
      <c r="AG358" s="327"/>
      <c r="AJ358" s="323"/>
    </row>
    <row r="359" spans="1:37" s="181" customFormat="1" x14ac:dyDescent="0.2">
      <c r="B359" s="210" t="s">
        <v>492</v>
      </c>
      <c r="C359" s="331">
        <v>0</v>
      </c>
      <c r="D359" s="331">
        <f>C359+1</f>
        <v>1</v>
      </c>
      <c r="E359" s="331">
        <f t="shared" ref="E359:AG359" si="184">D359+1</f>
        <v>2</v>
      </c>
      <c r="F359" s="331">
        <f t="shared" si="184"/>
        <v>3</v>
      </c>
      <c r="G359" s="331">
        <f t="shared" si="184"/>
        <v>4</v>
      </c>
      <c r="H359" s="331">
        <f t="shared" si="184"/>
        <v>5</v>
      </c>
      <c r="I359" s="331">
        <f t="shared" si="184"/>
        <v>6</v>
      </c>
      <c r="J359" s="331">
        <f t="shared" si="184"/>
        <v>7</v>
      </c>
      <c r="K359" s="331">
        <f t="shared" si="184"/>
        <v>8</v>
      </c>
      <c r="L359" s="331">
        <f t="shared" si="184"/>
        <v>9</v>
      </c>
      <c r="M359" s="331">
        <f t="shared" si="184"/>
        <v>10</v>
      </c>
      <c r="N359" s="331">
        <f t="shared" si="184"/>
        <v>11</v>
      </c>
      <c r="O359" s="331">
        <f t="shared" si="184"/>
        <v>12</v>
      </c>
      <c r="P359" s="331">
        <f t="shared" si="184"/>
        <v>13</v>
      </c>
      <c r="Q359" s="331">
        <f t="shared" si="184"/>
        <v>14</v>
      </c>
      <c r="R359" s="331">
        <f t="shared" si="184"/>
        <v>15</v>
      </c>
      <c r="S359" s="331">
        <f t="shared" si="184"/>
        <v>16</v>
      </c>
      <c r="T359" s="331">
        <f t="shared" si="184"/>
        <v>17</v>
      </c>
      <c r="U359" s="331">
        <f t="shared" si="184"/>
        <v>18</v>
      </c>
      <c r="V359" s="331">
        <f t="shared" si="184"/>
        <v>19</v>
      </c>
      <c r="W359" s="331">
        <f t="shared" si="184"/>
        <v>20</v>
      </c>
      <c r="X359" s="331">
        <f t="shared" si="184"/>
        <v>21</v>
      </c>
      <c r="Y359" s="331">
        <f t="shared" si="184"/>
        <v>22</v>
      </c>
      <c r="Z359" s="331">
        <f t="shared" si="184"/>
        <v>23</v>
      </c>
      <c r="AA359" s="331">
        <f t="shared" si="184"/>
        <v>24</v>
      </c>
      <c r="AB359" s="331">
        <f t="shared" si="184"/>
        <v>25</v>
      </c>
      <c r="AC359" s="331">
        <f t="shared" si="184"/>
        <v>26</v>
      </c>
      <c r="AD359" s="331">
        <f t="shared" si="184"/>
        <v>27</v>
      </c>
      <c r="AE359" s="331">
        <f t="shared" si="184"/>
        <v>28</v>
      </c>
      <c r="AF359" s="331">
        <f t="shared" si="184"/>
        <v>29</v>
      </c>
      <c r="AG359" s="331">
        <f t="shared" si="184"/>
        <v>30</v>
      </c>
      <c r="AJ359" s="323" t="s">
        <v>493</v>
      </c>
      <c r="AK359" s="181">
        <f>'Propylene Recycling HC'!AK199</f>
        <v>1.9</v>
      </c>
    </row>
    <row r="360" spans="1:37" s="181" customFormat="1" x14ac:dyDescent="0.2">
      <c r="A360" s="181" t="s">
        <v>1404</v>
      </c>
      <c r="B360" s="176"/>
      <c r="C360" s="333">
        <f>$AK$361/((1+EXP(-$AK$360*(C359-$AK$362)))^$AK$359)</f>
        <v>4.6088632748610021E-5</v>
      </c>
      <c r="D360" s="333">
        <f t="shared" ref="D360:AG360" si="185">$AK$361/((1+EXP(-$AK$360*(D359-$AK$362)))^$AK$359)</f>
        <v>8.924759460408035E-5</v>
      </c>
      <c r="E360" s="333">
        <f t="shared" si="185"/>
        <v>1.7252431976790472E-4</v>
      </c>
      <c r="F360" s="333">
        <f t="shared" si="185"/>
        <v>3.3269643715580369E-4</v>
      </c>
      <c r="G360" s="333">
        <f t="shared" si="185"/>
        <v>6.393827369910735E-4</v>
      </c>
      <c r="H360" s="333">
        <f t="shared" si="185"/>
        <v>1.2229053771654547E-3</v>
      </c>
      <c r="I360" s="333">
        <f t="shared" si="185"/>
        <v>2.3234018804222717E-3</v>
      </c>
      <c r="J360" s="333">
        <f t="shared" si="185"/>
        <v>4.3736281679830789E-3</v>
      </c>
      <c r="K360" s="333">
        <f t="shared" si="185"/>
        <v>8.1294184230466908E-3</v>
      </c>
      <c r="L360" s="333">
        <f t="shared" si="185"/>
        <v>1.4853985082038716E-2</v>
      </c>
      <c r="M360" s="333">
        <f t="shared" si="185"/>
        <v>2.6531412096832362E-2</v>
      </c>
      <c r="N360" s="333">
        <f t="shared" si="185"/>
        <v>4.6014759335105015E-2</v>
      </c>
      <c r="O360" s="333">
        <f t="shared" si="185"/>
        <v>7.6910635328419796E-2</v>
      </c>
      <c r="P360" s="333">
        <f t="shared" si="185"/>
        <v>0.12294065829885638</v>
      </c>
      <c r="Q360" s="333">
        <f t="shared" si="185"/>
        <v>0.18666754187878853</v>
      </c>
      <c r="R360" s="333">
        <f t="shared" si="185"/>
        <v>0.26794336563407328</v>
      </c>
      <c r="S360" s="333">
        <f t="shared" si="185"/>
        <v>0.36297326582455031</v>
      </c>
      <c r="T360" s="333">
        <f t="shared" si="185"/>
        <v>0.46484396312424381</v>
      </c>
      <c r="U360" s="333">
        <f t="shared" si="185"/>
        <v>0.56546260593861253</v>
      </c>
      <c r="V360" s="333">
        <f t="shared" si="185"/>
        <v>0.6578403022607352</v>
      </c>
      <c r="W360" s="333">
        <f t="shared" si="185"/>
        <v>0.73754668886795227</v>
      </c>
      <c r="X360" s="333">
        <f t="shared" si="185"/>
        <v>0.80293052021410605</v>
      </c>
      <c r="Y360" s="333">
        <f t="shared" si="185"/>
        <v>0.85447682949112158</v>
      </c>
      <c r="Z360" s="333">
        <f t="shared" si="185"/>
        <v>0.89389910336617451</v>
      </c>
      <c r="AA360" s="333">
        <f t="shared" si="185"/>
        <v>0.92337223319290385</v>
      </c>
      <c r="AB360" s="333">
        <f t="shared" si="185"/>
        <v>0.94504210708611314</v>
      </c>
      <c r="AC360" s="333">
        <f t="shared" si="185"/>
        <v>0.96078240575184182</v>
      </c>
      <c r="AD360" s="333">
        <f t="shared" si="185"/>
        <v>0.97211605463477313</v>
      </c>
      <c r="AE360" s="333">
        <f t="shared" si="185"/>
        <v>0.98022577885232642</v>
      </c>
      <c r="AF360" s="333">
        <f t="shared" si="185"/>
        <v>0.98600279580400285</v>
      </c>
      <c r="AG360" s="333">
        <f t="shared" si="185"/>
        <v>0.9901050637460882</v>
      </c>
      <c r="AI360" s="176" t="s">
        <v>494</v>
      </c>
      <c r="AJ360" s="323" t="s">
        <v>495</v>
      </c>
      <c r="AK360" s="181">
        <f>'Propylene Recycling HC'!AK200</f>
        <v>0.35</v>
      </c>
    </row>
    <row r="361" spans="1:37" s="181" customFormat="1" x14ac:dyDescent="0.2">
      <c r="B361" s="176"/>
      <c r="C361" s="329">
        <v>0</v>
      </c>
      <c r="D361" s="329">
        <v>0</v>
      </c>
      <c r="E361" s="329">
        <v>0</v>
      </c>
      <c r="F361" s="329">
        <v>0</v>
      </c>
      <c r="G361" s="329">
        <v>0</v>
      </c>
      <c r="H361" s="329">
        <v>0</v>
      </c>
      <c r="I361" s="329">
        <v>0</v>
      </c>
      <c r="J361" s="329">
        <v>0</v>
      </c>
      <c r="K361" s="329">
        <v>0</v>
      </c>
      <c r="L361" s="329">
        <v>0</v>
      </c>
      <c r="M361" s="329">
        <f>C360</f>
        <v>4.6088632748610021E-5</v>
      </c>
      <c r="N361" s="329">
        <v>0</v>
      </c>
      <c r="O361" s="329">
        <v>0</v>
      </c>
      <c r="P361" s="329">
        <v>0</v>
      </c>
      <c r="Q361" s="329">
        <v>0</v>
      </c>
      <c r="R361" s="329">
        <f t="shared" ref="R361:AG361" si="186">C360</f>
        <v>4.6088632748610021E-5</v>
      </c>
      <c r="S361" s="329">
        <f t="shared" si="186"/>
        <v>8.924759460408035E-5</v>
      </c>
      <c r="T361" s="329">
        <f t="shared" si="186"/>
        <v>1.7252431976790472E-4</v>
      </c>
      <c r="U361" s="329">
        <f t="shared" si="186"/>
        <v>3.3269643715580369E-4</v>
      </c>
      <c r="V361" s="329">
        <f t="shared" si="186"/>
        <v>6.393827369910735E-4</v>
      </c>
      <c r="W361" s="329">
        <f t="shared" si="186"/>
        <v>1.2229053771654547E-3</v>
      </c>
      <c r="X361" s="329">
        <f t="shared" si="186"/>
        <v>2.3234018804222717E-3</v>
      </c>
      <c r="Y361" s="329">
        <f t="shared" si="186"/>
        <v>4.3736281679830789E-3</v>
      </c>
      <c r="Z361" s="329">
        <f t="shared" si="186"/>
        <v>8.1294184230466908E-3</v>
      </c>
      <c r="AA361" s="329">
        <f t="shared" si="186"/>
        <v>1.4853985082038716E-2</v>
      </c>
      <c r="AB361" s="329">
        <f t="shared" si="186"/>
        <v>2.6531412096832362E-2</v>
      </c>
      <c r="AC361" s="329">
        <f t="shared" si="186"/>
        <v>4.6014759335105015E-2</v>
      </c>
      <c r="AD361" s="329">
        <f t="shared" si="186"/>
        <v>7.6910635328419796E-2</v>
      </c>
      <c r="AE361" s="329">
        <f t="shared" si="186"/>
        <v>0.12294065829885638</v>
      </c>
      <c r="AF361" s="329">
        <f t="shared" si="186"/>
        <v>0.18666754187878853</v>
      </c>
      <c r="AG361" s="329">
        <f t="shared" si="186"/>
        <v>0.26794336563407328</v>
      </c>
      <c r="AI361" s="176" t="s">
        <v>496</v>
      </c>
      <c r="AJ361" s="323" t="s">
        <v>497</v>
      </c>
      <c r="AK361" s="181">
        <f>'Propylene Recycling HC'!AK201</f>
        <v>1</v>
      </c>
    </row>
    <row r="362" spans="1:37" s="181" customFormat="1" x14ac:dyDescent="0.2">
      <c r="B362" s="176"/>
      <c r="C362" s="327"/>
      <c r="D362" s="327"/>
      <c r="E362" s="327"/>
      <c r="F362" s="327"/>
      <c r="G362" s="327"/>
      <c r="H362" s="327"/>
      <c r="I362" s="327"/>
      <c r="J362" s="327"/>
      <c r="K362" s="327"/>
      <c r="L362" s="327"/>
      <c r="M362" s="327"/>
      <c r="N362" s="327"/>
      <c r="O362" s="327"/>
      <c r="P362" s="327"/>
      <c r="Q362" s="327"/>
      <c r="R362" s="327"/>
      <c r="S362" s="327"/>
      <c r="T362" s="327"/>
      <c r="U362" s="327"/>
      <c r="V362" s="327"/>
      <c r="W362" s="327"/>
      <c r="X362" s="327"/>
      <c r="Y362" s="327"/>
      <c r="Z362" s="327"/>
      <c r="AA362" s="327"/>
      <c r="AB362" s="327"/>
      <c r="AC362" s="327"/>
      <c r="AD362" s="327"/>
      <c r="AE362" s="327"/>
      <c r="AF362" s="327"/>
      <c r="AG362" s="327"/>
      <c r="AJ362" s="323" t="s">
        <v>498</v>
      </c>
      <c r="AK362" s="181">
        <f>'Propylene Recycling HC'!AK202</f>
        <v>15</v>
      </c>
    </row>
    <row r="363" spans="1:37" s="181" customFormat="1" x14ac:dyDescent="0.2">
      <c r="A363" s="181" t="s">
        <v>1460</v>
      </c>
      <c r="B363" s="176" t="s">
        <v>462</v>
      </c>
      <c r="C363" s="328">
        <f>('Overall recycling rates'!G12+'Overall recycling rates'!G15)*'Overall recycling rates'!G57/(SUMPRODUCT('Overall recycling rates'!C57:I57,'Overall recycling rates'!C12:I12)+SUMPRODUCT('Overall recycling rates'!C15:I15,'Overall recycling rates'!C57:I57))</f>
        <v>8.5469247930390777E-2</v>
      </c>
      <c r="D363" s="328">
        <f>C363</f>
        <v>8.5469247930390777E-2</v>
      </c>
      <c r="E363" s="328">
        <f t="shared" ref="E363:AG363" si="187">D363</f>
        <v>8.5469247930390777E-2</v>
      </c>
      <c r="F363" s="328">
        <f t="shared" si="187"/>
        <v>8.5469247930390777E-2</v>
      </c>
      <c r="G363" s="328">
        <f t="shared" si="187"/>
        <v>8.5469247930390777E-2</v>
      </c>
      <c r="H363" s="328">
        <f t="shared" si="187"/>
        <v>8.5469247930390777E-2</v>
      </c>
      <c r="I363" s="328">
        <f t="shared" si="187"/>
        <v>8.5469247930390777E-2</v>
      </c>
      <c r="J363" s="328">
        <f t="shared" si="187"/>
        <v>8.5469247930390777E-2</v>
      </c>
      <c r="K363" s="328">
        <f t="shared" si="187"/>
        <v>8.5469247930390777E-2</v>
      </c>
      <c r="L363" s="328">
        <f t="shared" si="187"/>
        <v>8.5469247930390777E-2</v>
      </c>
      <c r="M363" s="328">
        <f t="shared" si="187"/>
        <v>8.5469247930390777E-2</v>
      </c>
      <c r="N363" s="328">
        <f t="shared" si="187"/>
        <v>8.5469247930390777E-2</v>
      </c>
      <c r="O363" s="328">
        <f t="shared" si="187"/>
        <v>8.5469247930390777E-2</v>
      </c>
      <c r="P363" s="328">
        <f t="shared" si="187"/>
        <v>8.5469247930390777E-2</v>
      </c>
      <c r="Q363" s="328">
        <f t="shared" si="187"/>
        <v>8.5469247930390777E-2</v>
      </c>
      <c r="R363" s="328">
        <f t="shared" si="187"/>
        <v>8.5469247930390777E-2</v>
      </c>
      <c r="S363" s="328">
        <f t="shared" si="187"/>
        <v>8.5469247930390777E-2</v>
      </c>
      <c r="T363" s="328">
        <f t="shared" si="187"/>
        <v>8.5469247930390777E-2</v>
      </c>
      <c r="U363" s="328">
        <f t="shared" si="187"/>
        <v>8.5469247930390777E-2</v>
      </c>
      <c r="V363" s="328">
        <f t="shared" si="187"/>
        <v>8.5469247930390777E-2</v>
      </c>
      <c r="W363" s="328">
        <f t="shared" si="187"/>
        <v>8.5469247930390777E-2</v>
      </c>
      <c r="X363" s="328">
        <f t="shared" si="187"/>
        <v>8.5469247930390777E-2</v>
      </c>
      <c r="Y363" s="328">
        <f t="shared" si="187"/>
        <v>8.5469247930390777E-2</v>
      </c>
      <c r="Z363" s="328">
        <f t="shared" si="187"/>
        <v>8.5469247930390777E-2</v>
      </c>
      <c r="AA363" s="328">
        <f t="shared" si="187"/>
        <v>8.5469247930390777E-2</v>
      </c>
      <c r="AB363" s="328">
        <f t="shared" si="187"/>
        <v>8.5469247930390777E-2</v>
      </c>
      <c r="AC363" s="328">
        <f t="shared" si="187"/>
        <v>8.5469247930390777E-2</v>
      </c>
      <c r="AD363" s="328">
        <f t="shared" si="187"/>
        <v>8.5469247930390777E-2</v>
      </c>
      <c r="AE363" s="328">
        <f t="shared" si="187"/>
        <v>8.5469247930390777E-2</v>
      </c>
      <c r="AF363" s="328">
        <f t="shared" si="187"/>
        <v>8.5469247930390777E-2</v>
      </c>
      <c r="AG363" s="328">
        <f t="shared" si="187"/>
        <v>8.5469247930390777E-2</v>
      </c>
      <c r="AI363" s="176" t="s">
        <v>1516</v>
      </c>
      <c r="AJ363" s="323"/>
    </row>
    <row r="364" spans="1:37" s="300" customFormat="1" ht="16" thickBot="1" x14ac:dyDescent="0.25">
      <c r="A364" s="334" t="s">
        <v>1407</v>
      </c>
      <c r="B364" s="335" t="s">
        <v>704</v>
      </c>
      <c r="C364" s="336">
        <f>C363*(C356*C360+C357*C361)</f>
        <v>3.6713971786805374E-6</v>
      </c>
      <c r="D364" s="336">
        <f t="shared" ref="D364:AG364" si="188">D363*(D356*D360+D357*D361)</f>
        <v>8.2051573729558536E-6</v>
      </c>
      <c r="E364" s="336">
        <f t="shared" si="188"/>
        <v>1.7851114255486595E-5</v>
      </c>
      <c r="F364" s="336">
        <f t="shared" si="188"/>
        <v>3.8456197036160756E-5</v>
      </c>
      <c r="G364" s="336">
        <f t="shared" si="188"/>
        <v>8.2009015678554721E-5</v>
      </c>
      <c r="H364" s="336">
        <f t="shared" si="188"/>
        <v>1.7294657724951587E-4</v>
      </c>
      <c r="I364" s="336">
        <f t="shared" si="188"/>
        <v>3.5879046637086044E-4</v>
      </c>
      <c r="J364" s="336">
        <f t="shared" si="188"/>
        <v>7.3512385034360896E-4</v>
      </c>
      <c r="K364" s="336">
        <f t="shared" si="188"/>
        <v>1.4828206460636125E-3</v>
      </c>
      <c r="L364" s="336">
        <f t="shared" si="188"/>
        <v>2.9321321317791293E-3</v>
      </c>
      <c r="M364" s="336">
        <f>M363*(M356*M360+M357*M361)</f>
        <v>5.6776622905083873E-3</v>
      </c>
      <c r="N364" s="336">
        <f t="shared" si="188"/>
        <v>1.0195070782906294E-2</v>
      </c>
      <c r="O364" s="336">
        <f t="shared" si="188"/>
        <v>1.7692094384829271E-2</v>
      </c>
      <c r="P364" s="336">
        <f t="shared" si="188"/>
        <v>2.9321905652396004E-2</v>
      </c>
      <c r="Q364" s="336">
        <f t="shared" si="188"/>
        <v>4.6100045097043699E-2</v>
      </c>
      <c r="R364" s="336">
        <f t="shared" si="188"/>
        <v>6.8460902479624192E-2</v>
      </c>
      <c r="S364" s="336">
        <f t="shared" si="188"/>
        <v>9.6054936609861391E-2</v>
      </c>
      <c r="T364" s="336">
        <f t="shared" si="188"/>
        <v>0.1274812504734871</v>
      </c>
      <c r="U364" s="336">
        <f t="shared" si="188"/>
        <v>0.16081962405553524</v>
      </c>
      <c r="V364" s="336">
        <f t="shared" si="188"/>
        <v>0.1941914202268254</v>
      </c>
      <c r="W364" s="336">
        <f t="shared" si="188"/>
        <v>0.22624004964070057</v>
      </c>
      <c r="X364" s="336">
        <f t="shared" si="188"/>
        <v>0.24723163992511907</v>
      </c>
      <c r="Y364" s="336">
        <f t="shared" si="188"/>
        <v>0.26506520142519574</v>
      </c>
      <c r="Z364" s="336">
        <f t="shared" si="188"/>
        <v>0.28089119968149739</v>
      </c>
      <c r="AA364" s="336">
        <f t="shared" si="188"/>
        <v>0.29606074677220146</v>
      </c>
      <c r="AB364" s="336">
        <f t="shared" si="188"/>
        <v>0.31231535950360256</v>
      </c>
      <c r="AC364" s="336">
        <f t="shared" si="188"/>
        <v>0.33210940085752128</v>
      </c>
      <c r="AD364" s="336">
        <f t="shared" si="188"/>
        <v>0.3576636997544218</v>
      </c>
      <c r="AE364" s="336">
        <f t="shared" si="188"/>
        <v>0.39146259706964603</v>
      </c>
      <c r="AF364" s="336">
        <f t="shared" si="188"/>
        <v>0.43553733297530811</v>
      </c>
      <c r="AG364" s="336">
        <f t="shared" si="188"/>
        <v>0.49079146413452379</v>
      </c>
      <c r="AJ364" s="326"/>
    </row>
    <row r="365" spans="1:37" s="230" customFormat="1" x14ac:dyDescent="0.2">
      <c r="A365" s="325" t="s">
        <v>1408</v>
      </c>
      <c r="B365" s="324" t="s">
        <v>462</v>
      </c>
      <c r="C365" s="330">
        <v>0.25</v>
      </c>
      <c r="D365" s="330">
        <v>0.25</v>
      </c>
      <c r="E365" s="330">
        <v>0.25</v>
      </c>
      <c r="F365" s="330">
        <v>0.25</v>
      </c>
      <c r="G365" s="330">
        <v>0.25</v>
      </c>
      <c r="H365" s="330">
        <v>0.25</v>
      </c>
      <c r="I365" s="330">
        <v>0.25</v>
      </c>
      <c r="J365" s="330">
        <v>0.25</v>
      </c>
      <c r="K365" s="330">
        <v>0.25</v>
      </c>
      <c r="L365" s="330">
        <v>0.25</v>
      </c>
      <c r="M365" s="330">
        <v>0.25</v>
      </c>
      <c r="N365" s="330">
        <v>0.25</v>
      </c>
      <c r="O365" s="330">
        <v>0.25</v>
      </c>
      <c r="P365" s="330">
        <v>0.25</v>
      </c>
      <c r="Q365" s="330">
        <v>0.25</v>
      </c>
      <c r="R365" s="330">
        <v>0.25</v>
      </c>
      <c r="S365" s="330">
        <v>0.25</v>
      </c>
      <c r="T365" s="330">
        <v>0.25</v>
      </c>
      <c r="U365" s="330">
        <v>0.25</v>
      </c>
      <c r="V365" s="330">
        <v>0.25</v>
      </c>
      <c r="W365" s="330">
        <v>0.25</v>
      </c>
      <c r="X365" s="330">
        <v>0.25</v>
      </c>
      <c r="Y365" s="330">
        <v>0.25</v>
      </c>
      <c r="Z365" s="330">
        <v>0.25</v>
      </c>
      <c r="AA365" s="330">
        <v>0.25</v>
      </c>
      <c r="AB365" s="330">
        <v>0.25</v>
      </c>
      <c r="AC365" s="330">
        <v>0.25</v>
      </c>
      <c r="AD365" s="330">
        <v>0.25</v>
      </c>
      <c r="AE365" s="330">
        <v>0.25</v>
      </c>
      <c r="AF365" s="330">
        <v>0.25</v>
      </c>
      <c r="AG365" s="330">
        <v>0.25</v>
      </c>
      <c r="AJ365" s="230" t="s">
        <v>1410</v>
      </c>
    </row>
    <row r="366" spans="1:37" s="230" customFormat="1" ht="16" thickBot="1" x14ac:dyDescent="0.25">
      <c r="A366" s="301" t="s">
        <v>1411</v>
      </c>
      <c r="B366" s="335" t="s">
        <v>704</v>
      </c>
      <c r="C366" s="336">
        <f>C365*(C356*C360+C357*C361)</f>
        <v>1.0738941980835771E-5</v>
      </c>
      <c r="D366" s="336">
        <f t="shared" ref="D366:AG366" si="189">D365*(D356*D360+D357*D361)</f>
        <v>2.400032050018279E-5</v>
      </c>
      <c r="E366" s="336">
        <f t="shared" si="189"/>
        <v>5.2215020863484091E-5</v>
      </c>
      <c r="F366" s="336">
        <f t="shared" si="189"/>
        <v>1.1248547860009504E-4</v>
      </c>
      <c r="G366" s="336">
        <f t="shared" si="189"/>
        <v>2.3987872148280106E-4</v>
      </c>
      <c r="H366" s="336">
        <f t="shared" si="189"/>
        <v>5.0587369561965075E-4</v>
      </c>
      <c r="I366" s="336">
        <f t="shared" si="189"/>
        <v>1.0494723981398324E-3</v>
      </c>
      <c r="J366" s="336">
        <f t="shared" si="189"/>
        <v>2.1502583330975378E-3</v>
      </c>
      <c r="K366" s="336">
        <f t="shared" si="189"/>
        <v>4.3372928917991497E-3</v>
      </c>
      <c r="L366" s="336">
        <f t="shared" si="189"/>
        <v>8.5765705291076244E-3</v>
      </c>
      <c r="M366" s="336">
        <f t="shared" si="189"/>
        <v>1.6607324938475179E-2</v>
      </c>
      <c r="N366" s="336">
        <f t="shared" si="189"/>
        <v>2.9820874261142223E-2</v>
      </c>
      <c r="O366" s="336">
        <f t="shared" si="189"/>
        <v>5.1749883183827554E-2</v>
      </c>
      <c r="P366" s="336">
        <f t="shared" si="189"/>
        <v>8.5767414486543792E-2</v>
      </c>
      <c r="Q366" s="336">
        <f t="shared" si="189"/>
        <v>0.13484395327366525</v>
      </c>
      <c r="R366" s="336">
        <f t="shared" si="189"/>
        <v>0.20025010204658991</v>
      </c>
      <c r="S366" s="336">
        <f t="shared" si="189"/>
        <v>0.28096344280486701</v>
      </c>
      <c r="T366" s="336">
        <f t="shared" si="189"/>
        <v>0.37288631162787461</v>
      </c>
      <c r="U366" s="336">
        <f t="shared" si="189"/>
        <v>0.47040200993260323</v>
      </c>
      <c r="V366" s="336">
        <f t="shared" si="189"/>
        <v>0.56801547026885579</v>
      </c>
      <c r="W366" s="336">
        <f t="shared" si="189"/>
        <v>0.66175862991376322</v>
      </c>
      <c r="X366" s="336">
        <f t="shared" si="189"/>
        <v>0.72315963317728438</v>
      </c>
      <c r="Y366" s="336">
        <f t="shared" si="189"/>
        <v>0.77532331172808011</v>
      </c>
      <c r="Z366" s="336">
        <f t="shared" si="189"/>
        <v>0.82161481024808269</v>
      </c>
      <c r="AA366" s="336">
        <f t="shared" si="189"/>
        <v>0.86598617029286351</v>
      </c>
      <c r="AB366" s="336">
        <f t="shared" si="189"/>
        <v>0.91353137843790144</v>
      </c>
      <c r="AC366" s="336">
        <f t="shared" si="189"/>
        <v>0.97142951675438605</v>
      </c>
      <c r="AD366" s="336">
        <f t="shared" si="189"/>
        <v>1.0461765734902568</v>
      </c>
      <c r="AE366" s="336">
        <f t="shared" si="189"/>
        <v>1.1450393169145094</v>
      </c>
      <c r="AF366" s="336">
        <f t="shared" si="189"/>
        <v>1.2739591827519805</v>
      </c>
      <c r="AG366" s="336">
        <f t="shared" si="189"/>
        <v>1.4355791001409126</v>
      </c>
      <c r="AJ366" s="325"/>
    </row>
    <row r="367" spans="1:37" s="230" customFormat="1" x14ac:dyDescent="0.2">
      <c r="A367" s="326"/>
      <c r="B367" s="324"/>
      <c r="AJ367" s="325"/>
    </row>
    <row r="368" spans="1:37" s="230" customFormat="1" x14ac:dyDescent="0.2">
      <c r="A368" s="326" t="s">
        <v>1412</v>
      </c>
      <c r="B368" s="324" t="s">
        <v>704</v>
      </c>
      <c r="C368" s="230">
        <f>SUM(C337:C338)-SUM(C364,C366)</f>
        <v>34.247239861549751</v>
      </c>
      <c r="D368" s="230">
        <f t="shared" ref="D368:AG368" si="190">SUM(D337:D338)-SUM(D364,D366)</f>
        <v>35.642431293001373</v>
      </c>
      <c r="E368" s="230">
        <f t="shared" si="190"/>
        <v>36.877417900607313</v>
      </c>
      <c r="F368" s="230">
        <f t="shared" si="190"/>
        <v>38.075490514313628</v>
      </c>
      <c r="G368" s="230">
        <f t="shared" si="190"/>
        <v>39.200552925684853</v>
      </c>
      <c r="H368" s="230">
        <f t="shared" si="190"/>
        <v>40.243928702415445</v>
      </c>
      <c r="I368" s="230">
        <f t="shared" si="190"/>
        <v>41.087409144712034</v>
      </c>
      <c r="J368" s="230">
        <f t="shared" si="190"/>
        <v>41.91829464916578</v>
      </c>
      <c r="K368" s="230">
        <f t="shared" si="190"/>
        <v>42.734770701537329</v>
      </c>
      <c r="L368" s="230">
        <f t="shared" si="190"/>
        <v>43.534480596122791</v>
      </c>
      <c r="M368" s="230">
        <f t="shared" si="190"/>
        <v>44.314080750840866</v>
      </c>
      <c r="N368" s="230">
        <f t="shared" si="190"/>
        <v>44.588507821463303</v>
      </c>
      <c r="O368" s="230">
        <f t="shared" si="190"/>
        <v>44.756718844860885</v>
      </c>
      <c r="P368" s="230">
        <f t="shared" si="190"/>
        <v>44.81290763712321</v>
      </c>
      <c r="Q368" s="230">
        <f t="shared" si="190"/>
        <v>44.754160709652652</v>
      </c>
      <c r="R368" s="230">
        <f t="shared" si="190"/>
        <v>44.579699839066258</v>
      </c>
      <c r="S368" s="230">
        <f t="shared" si="190"/>
        <v>44.424992129164018</v>
      </c>
      <c r="T368" s="230">
        <f t="shared" si="190"/>
        <v>44.243661618204989</v>
      </c>
      <c r="U368" s="230">
        <f t="shared" si="190"/>
        <v>44.044327632708857</v>
      </c>
      <c r="V368" s="230">
        <f t="shared" si="190"/>
        <v>43.835545344017675</v>
      </c>
      <c r="W368" s="230">
        <f t="shared" si="190"/>
        <v>43.623923593663598</v>
      </c>
      <c r="X368" s="230">
        <f t="shared" si="190"/>
        <v>43.137231236380671</v>
      </c>
      <c r="Y368" s="230">
        <f t="shared" si="190"/>
        <v>42.661596766071511</v>
      </c>
      <c r="Z368" s="230">
        <f t="shared" si="190"/>
        <v>42.194078777046556</v>
      </c>
      <c r="AA368" s="230">
        <f t="shared" si="190"/>
        <v>41.734393906830995</v>
      </c>
      <c r="AB368" s="230">
        <f t="shared" si="190"/>
        <v>41.278931707530795</v>
      </c>
      <c r="AC368" s="230">
        <f t="shared" si="190"/>
        <v>40.805860142054826</v>
      </c>
      <c r="AD368" s="230">
        <f t="shared" si="190"/>
        <v>40.330529949678159</v>
      </c>
      <c r="AE368" s="230">
        <f t="shared" si="190"/>
        <v>39.847704711213723</v>
      </c>
      <c r="AF368" s="230">
        <f t="shared" si="190"/>
        <v>39.354195855698244</v>
      </c>
      <c r="AG368" s="230">
        <f t="shared" si="190"/>
        <v>38.851518733823262</v>
      </c>
      <c r="AJ368" s="325"/>
    </row>
    <row r="369" spans="1:36" s="230" customFormat="1" x14ac:dyDescent="0.2">
      <c r="A369" s="326"/>
      <c r="B369" s="324"/>
      <c r="AJ369" s="325"/>
    </row>
    <row r="370" spans="1:36" s="230" customFormat="1" x14ac:dyDescent="0.2">
      <c r="A370" s="325" t="s">
        <v>1413</v>
      </c>
      <c r="B370" s="324" t="s">
        <v>704</v>
      </c>
      <c r="C370" s="327">
        <f>C290*C289*C200</f>
        <v>1.1411399999999999E-2</v>
      </c>
      <c r="D370" s="327">
        <f t="shared" ref="D370:AG370" si="191">D290*D289*D200</f>
        <v>1.2211913118445541E-2</v>
      </c>
      <c r="E370" s="327">
        <f t="shared" si="191"/>
        <v>1.3033868575004636E-2</v>
      </c>
      <c r="F370" s="327">
        <f t="shared" si="191"/>
        <v>1.387667776234245E-2</v>
      </c>
      <c r="G370" s="327">
        <f t="shared" si="191"/>
        <v>1.4739737200808048E-2</v>
      </c>
      <c r="H370" s="327">
        <f t="shared" si="191"/>
        <v>1.5622428538434407E-2</v>
      </c>
      <c r="I370" s="327">
        <f t="shared" si="191"/>
        <v>1.652411855093841E-2</v>
      </c>
      <c r="J370" s="327">
        <f t="shared" si="191"/>
        <v>1.7444159141720841E-2</v>
      </c>
      <c r="K370" s="327">
        <f t="shared" si="191"/>
        <v>1.8381887341866382E-2</v>
      </c>
      <c r="L370" s="327">
        <f t="shared" si="191"/>
        <v>1.9336625310143647E-2</v>
      </c>
      <c r="M370" s="327">
        <f t="shared" si="191"/>
        <v>2.0307680333005135E-2</v>
      </c>
      <c r="N370" s="327">
        <f t="shared" si="191"/>
        <v>2.1981838457272966E-2</v>
      </c>
      <c r="O370" s="327">
        <f t="shared" si="191"/>
        <v>2.3694781802410692E-2</v>
      </c>
      <c r="P370" s="327">
        <f t="shared" si="191"/>
        <v>2.5445093487479479E-2</v>
      </c>
      <c r="Q370" s="327">
        <f t="shared" si="191"/>
        <v>2.7231325285274256E-2</v>
      </c>
      <c r="R370" s="327">
        <f t="shared" si="191"/>
        <v>2.905199762232372E-2</v>
      </c>
      <c r="S370" s="327">
        <f t="shared" si="191"/>
        <v>3.0905599578890351E-2</v>
      </c>
      <c r="T370" s="327">
        <f t="shared" si="191"/>
        <v>3.2790588888970414E-2</v>
      </c>
      <c r="U370" s="327">
        <f t="shared" si="191"/>
        <v>3.4705391940293893E-2</v>
      </c>
      <c r="V370" s="327">
        <f t="shared" si="191"/>
        <v>3.6648403774324587E-2</v>
      </c>
      <c r="W370" s="327">
        <f t="shared" si="191"/>
        <v>3.8617988086260047E-2</v>
      </c>
      <c r="X370" s="327">
        <f t="shared" si="191"/>
        <v>4.1632470531806902E-2</v>
      </c>
      <c r="Y370" s="327">
        <f t="shared" si="191"/>
        <v>4.4694492720111348E-2</v>
      </c>
      <c r="Z370" s="327">
        <f t="shared" si="191"/>
        <v>4.7801295593939176E-2</v>
      </c>
      <c r="AA370" s="327">
        <f t="shared" si="191"/>
        <v>5.0950067647971789E-2</v>
      </c>
      <c r="AB370" s="327">
        <f t="shared" si="191"/>
        <v>5.4137944928806254E-2</v>
      </c>
      <c r="AC370" s="327">
        <f t="shared" si="191"/>
        <v>5.7362011034955314E-2</v>
      </c>
      <c r="AD370" s="327">
        <f t="shared" si="191"/>
        <v>6.0619297116847333E-2</v>
      </c>
      <c r="AE370" s="327">
        <f t="shared" si="191"/>
        <v>6.3906781876826357E-2</v>
      </c>
      <c r="AF370" s="327">
        <f t="shared" si="191"/>
        <v>6.7221391569152106E-2</v>
      </c>
      <c r="AG370" s="327">
        <f t="shared" si="191"/>
        <v>7.0559999999999984E-2</v>
      </c>
      <c r="AJ370" s="325"/>
    </row>
    <row r="371" spans="1:36" s="230" customFormat="1" x14ac:dyDescent="0.2">
      <c r="A371" s="230" t="s">
        <v>1414</v>
      </c>
      <c r="B371" s="324" t="s">
        <v>704</v>
      </c>
      <c r="C371" s="327">
        <f>C291*C289*C200</f>
        <v>4.0458599999999997E-2</v>
      </c>
      <c r="D371" s="327">
        <f t="shared" ref="D371:AG371" si="192">D291*D289*D200</f>
        <v>4.1664174168814197E-2</v>
      </c>
      <c r="E371" s="327">
        <f t="shared" si="192"/>
        <v>4.282556817501524E-2</v>
      </c>
      <c r="F371" s="327">
        <f t="shared" si="192"/>
        <v>4.3942812914084431E-2</v>
      </c>
      <c r="G371" s="327">
        <f t="shared" si="192"/>
        <v>4.501595415381919E-2</v>
      </c>
      <c r="H371" s="327">
        <f t="shared" si="192"/>
        <v>4.6045052534332997E-2</v>
      </c>
      <c r="I371" s="327">
        <f t="shared" si="192"/>
        <v>4.7030183568055488E-2</v>
      </c>
      <c r="J371" s="327">
        <f t="shared" si="192"/>
        <v>4.7971437639732321E-2</v>
      </c>
      <c r="K371" s="327">
        <f t="shared" si="192"/>
        <v>4.886892000642528E-2</v>
      </c>
      <c r="L371" s="327">
        <f t="shared" si="192"/>
        <v>4.9722750797512254E-2</v>
      </c>
      <c r="M371" s="327">
        <f t="shared" si="192"/>
        <v>5.0533065014687212E-2</v>
      </c>
      <c r="N371" s="327">
        <f t="shared" si="192"/>
        <v>5.2956247192521268E-2</v>
      </c>
      <c r="O371" s="327">
        <f t="shared" si="192"/>
        <v>5.5287824205624975E-2</v>
      </c>
      <c r="P371" s="327">
        <f t="shared" si="192"/>
        <v>5.7528037449953634E-2</v>
      </c>
      <c r="Q371" s="327">
        <f t="shared" si="192"/>
        <v>5.9677159667728727E-2</v>
      </c>
      <c r="R371" s="327">
        <f t="shared" si="192"/>
        <v>6.1735494947437956E-2</v>
      </c>
      <c r="S371" s="327">
        <f t="shared" si="192"/>
        <v>6.3703378723835274E-2</v>
      </c>
      <c r="T371" s="327">
        <f t="shared" si="192"/>
        <v>6.5581177777940883E-2</v>
      </c>
      <c r="U371" s="327">
        <f t="shared" si="192"/>
        <v>6.7369290237041135E-2</v>
      </c>
      <c r="V371" s="327">
        <f t="shared" si="192"/>
        <v>6.9068145574688711E-2</v>
      </c>
      <c r="W371" s="327">
        <f t="shared" si="192"/>
        <v>7.0678204610702441E-2</v>
      </c>
      <c r="X371" s="327">
        <f t="shared" si="192"/>
        <v>7.4013280945434551E-2</v>
      </c>
      <c r="Y371" s="327">
        <f t="shared" si="192"/>
        <v>7.7199578334737867E-2</v>
      </c>
      <c r="Z371" s="327">
        <f t="shared" si="192"/>
        <v>8.023788903268371E-2</v>
      </c>
      <c r="AA371" s="327">
        <f t="shared" si="192"/>
        <v>8.3129057741427773E-2</v>
      </c>
      <c r="AB371" s="327">
        <f t="shared" si="192"/>
        <v>8.5873981611210029E-2</v>
      </c>
      <c r="AC371" s="327">
        <f t="shared" si="192"/>
        <v>8.8473610240354911E-2</v>
      </c>
      <c r="AD371" s="327">
        <f t="shared" si="192"/>
        <v>9.0928945675271114E-2</v>
      </c>
      <c r="AE371" s="327">
        <f t="shared" si="192"/>
        <v>9.3241042410451724E-2</v>
      </c>
      <c r="AF371" s="327">
        <f t="shared" si="192"/>
        <v>9.5411007388474092E-2</v>
      </c>
      <c r="AG371" s="327">
        <f t="shared" si="192"/>
        <v>9.7440000000000013E-2</v>
      </c>
      <c r="AJ371" s="325"/>
    </row>
    <row r="372" spans="1:36" s="230" customFormat="1" x14ac:dyDescent="0.2">
      <c r="B372" s="324"/>
      <c r="C372" s="317"/>
      <c r="D372" s="317"/>
      <c r="E372" s="317"/>
      <c r="F372" s="317"/>
      <c r="G372" s="317"/>
      <c r="H372" s="317"/>
      <c r="I372" s="317"/>
      <c r="J372" s="317"/>
      <c r="K372" s="317"/>
      <c r="L372" s="317"/>
      <c r="M372" s="317"/>
      <c r="N372" s="317"/>
      <c r="O372" s="317"/>
      <c r="P372" s="317"/>
      <c r="Q372" s="317"/>
      <c r="R372" s="317"/>
      <c r="S372" s="317"/>
      <c r="T372" s="317"/>
      <c r="U372" s="317"/>
      <c r="V372" s="317"/>
      <c r="W372" s="317"/>
      <c r="X372" s="317"/>
      <c r="Y372" s="317"/>
      <c r="Z372" s="317"/>
      <c r="AA372" s="317"/>
      <c r="AB372" s="317"/>
      <c r="AC372" s="317"/>
      <c r="AD372" s="317"/>
      <c r="AE372" s="317"/>
      <c r="AF372" s="317"/>
      <c r="AG372" s="317"/>
      <c r="AJ372" s="325"/>
    </row>
    <row r="373" spans="1:36" s="230" customFormat="1" x14ac:dyDescent="0.2">
      <c r="A373" s="351" t="s">
        <v>233</v>
      </c>
      <c r="B373" s="352" t="s">
        <v>704</v>
      </c>
      <c r="C373" s="304">
        <f>C351-C364-C366</f>
        <v>5.2955834116242988</v>
      </c>
      <c r="D373" s="353">
        <f t="shared" ref="D373:AG373" si="193">D351-D364-D366</f>
        <v>5.9319913623444345</v>
      </c>
      <c r="E373" s="353">
        <f t="shared" si="193"/>
        <v>6.4853535873112618</v>
      </c>
      <c r="F373" s="353">
        <f t="shared" si="193"/>
        <v>7.0436499804781025</v>
      </c>
      <c r="G373" s="353">
        <f t="shared" si="193"/>
        <v>7.604522965324847</v>
      </c>
      <c r="H373" s="353">
        <f t="shared" si="193"/>
        <v>8.1637707292037263</v>
      </c>
      <c r="I373" s="353">
        <f t="shared" si="193"/>
        <v>8.6850620687429672</v>
      </c>
      <c r="J373" s="353">
        <f t="shared" si="193"/>
        <v>9.2153979736628298</v>
      </c>
      <c r="K373" s="353">
        <f t="shared" si="193"/>
        <v>9.7538846404385549</v>
      </c>
      <c r="L373" s="353">
        <f t="shared" si="193"/>
        <v>10.299060771912455</v>
      </c>
      <c r="M373" s="353">
        <f t="shared" si="193"/>
        <v>10.848449138165488</v>
      </c>
      <c r="N373" s="353">
        <f t="shared" si="193"/>
        <v>11.006664817148298</v>
      </c>
      <c r="O373" s="353">
        <f t="shared" si="193"/>
        <v>11.144846519474678</v>
      </c>
      <c r="P373" s="353">
        <f t="shared" si="193"/>
        <v>11.259355694897945</v>
      </c>
      <c r="Q373" s="353">
        <f t="shared" si="193"/>
        <v>11.346315589217603</v>
      </c>
      <c r="R373" s="353">
        <f t="shared" si="193"/>
        <v>11.404519195573947</v>
      </c>
      <c r="S373" s="353">
        <f t="shared" si="193"/>
        <v>11.464852197319066</v>
      </c>
      <c r="T373" s="353">
        <f t="shared" si="193"/>
        <v>11.523335777775388</v>
      </c>
      <c r="U373" s="353">
        <f t="shared" si="193"/>
        <v>11.588480933925775</v>
      </c>
      <c r="V373" s="353">
        <f t="shared" si="193"/>
        <v>11.668700227185189</v>
      </c>
      <c r="W373" s="353">
        <f t="shared" si="193"/>
        <v>11.770423678592726</v>
      </c>
      <c r="X373" s="353">
        <f t="shared" si="193"/>
        <v>11.474620490864309</v>
      </c>
      <c r="Y373" s="353">
        <f t="shared" si="193"/>
        <v>11.224352781647557</v>
      </c>
      <c r="Z373" s="353">
        <f t="shared" si="193"/>
        <v>11.022260075097709</v>
      </c>
      <c r="AA373" s="353">
        <f t="shared" si="193"/>
        <v>10.862501936068803</v>
      </c>
      <c r="AB373" s="353">
        <f t="shared" si="193"/>
        <v>10.741116727969652</v>
      </c>
      <c r="AC373" s="353">
        <f t="shared" si="193"/>
        <v>10.665085808379644</v>
      </c>
      <c r="AD373" s="353">
        <f t="shared" si="193"/>
        <v>10.621376766584065</v>
      </c>
      <c r="AE373" s="353">
        <f t="shared" si="193"/>
        <v>10.604213791077223</v>
      </c>
      <c r="AF373" s="353">
        <f t="shared" si="193"/>
        <v>10.609775383772899</v>
      </c>
      <c r="AG373" s="354">
        <f t="shared" si="193"/>
        <v>10.638845071243393</v>
      </c>
      <c r="AI373" s="230" t="s">
        <v>1415</v>
      </c>
      <c r="AJ373" s="325"/>
    </row>
    <row r="374" spans="1:36" s="230" customFormat="1" x14ac:dyDescent="0.2">
      <c r="A374" s="355" t="s">
        <v>234</v>
      </c>
      <c r="B374" s="356" t="s">
        <v>704</v>
      </c>
      <c r="C374" s="357">
        <f>C352+C373</f>
        <v>53.295129778427295</v>
      </c>
      <c r="D374" s="357">
        <f t="shared" ref="D374:AG374" si="194">D352+D373</f>
        <v>54.9980328560437</v>
      </c>
      <c r="E374" s="357">
        <f t="shared" si="194"/>
        <v>56.418191760079154</v>
      </c>
      <c r="F374" s="357">
        <f t="shared" si="194"/>
        <v>57.763349012252149</v>
      </c>
      <c r="G374" s="357">
        <f t="shared" si="194"/>
        <v>58.982622985909011</v>
      </c>
      <c r="H374" s="357">
        <f t="shared" si="194"/>
        <v>60.066554550293013</v>
      </c>
      <c r="I374" s="357">
        <f t="shared" si="194"/>
        <v>60.842245582340716</v>
      </c>
      <c r="J374" s="357">
        <f t="shared" si="194"/>
        <v>61.594558022869784</v>
      </c>
      <c r="K374" s="357">
        <f t="shared" si="194"/>
        <v>62.3220187804734</v>
      </c>
      <c r="L374" s="357">
        <f t="shared" si="194"/>
        <v>63.022643698055774</v>
      </c>
      <c r="M374" s="357">
        <f t="shared" si="194"/>
        <v>63.693491118309197</v>
      </c>
      <c r="N374" s="357">
        <f t="shared" si="194"/>
        <v>63.601137792134885</v>
      </c>
      <c r="O374" s="357">
        <f t="shared" si="194"/>
        <v>63.374414580648242</v>
      </c>
      <c r="P374" s="357">
        <f t="shared" si="194"/>
        <v>63.010015756185851</v>
      </c>
      <c r="Q374" s="357">
        <f t="shared" si="194"/>
        <v>62.508101868698418</v>
      </c>
      <c r="R374" s="357">
        <f t="shared" si="194"/>
        <v>61.870747463055196</v>
      </c>
      <c r="S374" s="357">
        <f t="shared" si="194"/>
        <v>61.285302008314183</v>
      </c>
      <c r="T374" s="357">
        <f t="shared" si="194"/>
        <v>60.685271941441194</v>
      </c>
      <c r="U374" s="357">
        <f t="shared" si="194"/>
        <v>60.079555465172596</v>
      </c>
      <c r="V374" s="357">
        <f t="shared" si="194"/>
        <v>59.47696369200716</v>
      </c>
      <c r="W374" s="357">
        <f t="shared" si="194"/>
        <v>58.884336247798117</v>
      </c>
      <c r="X374" s="357">
        <f t="shared" si="194"/>
        <v>57.881132906525913</v>
      </c>
      <c r="Y374" s="357">
        <f t="shared" si="194"/>
        <v>56.913267020897393</v>
      </c>
      <c r="Z374" s="357">
        <f t="shared" si="194"/>
        <v>55.97817336516448</v>
      </c>
      <c r="AA374" s="357">
        <f t="shared" si="194"/>
        <v>55.075923756927423</v>
      </c>
      <c r="AB374" s="357">
        <f t="shared" si="194"/>
        <v>54.202997889449641</v>
      </c>
      <c r="AC374" s="357">
        <f t="shared" si="194"/>
        <v>53.334664937245243</v>
      </c>
      <c r="AD374" s="357">
        <f t="shared" si="194"/>
        <v>52.491003052605727</v>
      </c>
      <c r="AE374" s="357">
        <f t="shared" si="194"/>
        <v>51.666703380470928</v>
      </c>
      <c r="AF374" s="357">
        <f t="shared" si="194"/>
        <v>50.858418665477892</v>
      </c>
      <c r="AG374" s="358">
        <f t="shared" si="194"/>
        <v>50.067413610501859</v>
      </c>
      <c r="AI374" s="230" t="s">
        <v>1416</v>
      </c>
      <c r="AJ374" s="325"/>
    </row>
    <row r="375" spans="1:36" s="230" customFormat="1" x14ac:dyDescent="0.2">
      <c r="A375" s="433"/>
      <c r="B375" s="434"/>
      <c r="C375" s="433"/>
      <c r="D375" s="433"/>
      <c r="E375" s="433"/>
      <c r="F375" s="433"/>
      <c r="G375" s="433"/>
      <c r="H375" s="433"/>
      <c r="I375" s="433"/>
      <c r="J375" s="433"/>
      <c r="K375" s="433"/>
      <c r="L375" s="433"/>
      <c r="M375" s="433"/>
      <c r="N375" s="433"/>
      <c r="O375" s="433"/>
      <c r="P375" s="433"/>
      <c r="Q375" s="433"/>
      <c r="R375" s="433"/>
      <c r="S375" s="433"/>
      <c r="T375" s="433"/>
      <c r="U375" s="433"/>
      <c r="V375" s="433"/>
      <c r="W375" s="433"/>
      <c r="X375" s="433"/>
      <c r="Y375" s="433"/>
      <c r="Z375" s="433"/>
      <c r="AA375" s="433"/>
      <c r="AB375" s="433"/>
      <c r="AC375" s="433"/>
      <c r="AD375" s="433"/>
      <c r="AE375" s="433"/>
      <c r="AF375" s="433"/>
      <c r="AG375" s="433"/>
      <c r="AJ375" s="325"/>
    </row>
    <row r="376" spans="1:36" x14ac:dyDescent="0.2">
      <c r="B376" s="1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c r="AA376" s="230"/>
      <c r="AB376" s="230"/>
      <c r="AC376" s="230"/>
      <c r="AD376" s="230"/>
      <c r="AE376" s="230"/>
      <c r="AF376" s="230"/>
      <c r="AG376" s="230"/>
      <c r="AI376" s="23"/>
    </row>
    <row r="377" spans="1:36" x14ac:dyDescent="0.2">
      <c r="B377" s="1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c r="AA377" s="230"/>
      <c r="AB377" s="230"/>
      <c r="AC377" s="230"/>
      <c r="AD377" s="230"/>
      <c r="AE377" s="230"/>
      <c r="AF377" s="230"/>
      <c r="AG377" s="230"/>
      <c r="AI377" s="214"/>
    </row>
  </sheetData>
  <mergeCells count="5">
    <mergeCell ref="BD126:BE126"/>
    <mergeCell ref="BD131:BE131"/>
    <mergeCell ref="BD136:BE136"/>
    <mergeCell ref="BD144:BE144"/>
    <mergeCell ref="AI344:AI352"/>
  </mergeCells>
  <hyperlinks>
    <hyperlink ref="AJ130" r:id="rId1" xr:uid="{7FBDCFDD-D05A-482A-A7FB-F4F26CD108B1}"/>
    <hyperlink ref="AJ131" r:id="rId2" xr:uid="{4E1EC22E-FD22-43FB-A79D-E924FF4C75FF}"/>
  </hyperlinks>
  <pageMargins left="0.7" right="0.7" top="0.75" bottom="0.75" header="0.3" footer="0.3"/>
  <drawing r:id="rId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BB49F-A45B-45CD-9041-5E3417A79274}">
  <sheetPr>
    <tabColor theme="4"/>
  </sheetPr>
  <dimension ref="A1:BL377"/>
  <sheetViews>
    <sheetView zoomScale="70" zoomScaleNormal="70" workbookViewId="0">
      <pane xSplit="2" ySplit="6" topLeftCell="C288" activePane="bottomRight" state="frozen"/>
      <selection pane="topRight" activeCell="C1" sqref="C1"/>
      <selection pane="bottomLeft" activeCell="A4" sqref="A4"/>
      <selection pane="bottomRight" activeCell="A87" sqref="A87:XFD87"/>
    </sheetView>
  </sheetViews>
  <sheetFormatPr baseColWidth="10" defaultColWidth="8.83203125" defaultRowHeight="15" outlineLevelRow="2" outlineLevelCol="1" x14ac:dyDescent="0.2"/>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x14ac:dyDescent="0.2">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x14ac:dyDescent="0.2">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x14ac:dyDescent="0.2">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x14ac:dyDescent="0.2">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x14ac:dyDescent="0.25">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x14ac:dyDescent="0.2">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x14ac:dyDescent="0.2">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x14ac:dyDescent="0.2">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x14ac:dyDescent="0.2">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x14ac:dyDescent="0.2">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x14ac:dyDescent="0.2">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x14ac:dyDescent="0.25">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x14ac:dyDescent="0.2">
      <c r="AM13" s="26"/>
      <c r="AN13" s="2"/>
      <c r="AO13" s="26"/>
      <c r="AR13" s="2"/>
    </row>
    <row r="14" spans="1:47" outlineLevel="1" x14ac:dyDescent="0.2">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x14ac:dyDescent="0.2">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x14ac:dyDescent="0.2">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x14ac:dyDescent="0.2">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x14ac:dyDescent="0.2">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x14ac:dyDescent="0.25">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x14ac:dyDescent="0.2">
      <c r="AL20" s="114"/>
      <c r="AM20" s="115"/>
      <c r="AN20" s="115"/>
      <c r="AO20" s="115"/>
      <c r="AP20" s="115"/>
      <c r="AQ20" s="115"/>
    </row>
    <row r="21" spans="1:64" outlineLevel="1" x14ac:dyDescent="0.2">
      <c r="A21" t="s">
        <v>1597</v>
      </c>
      <c r="B21" s="54" t="s">
        <v>462</v>
      </c>
      <c r="C21" s="159">
        <f>SUM('Overall recycling rates'!F76:H76)</f>
        <v>0.16323049504571452</v>
      </c>
      <c r="D21" s="159">
        <f>C21</f>
        <v>0.16323049504571452</v>
      </c>
      <c r="E21" s="159">
        <f t="shared" ref="E21:AF22" si="10">D21</f>
        <v>0.16323049504571452</v>
      </c>
      <c r="F21" s="159">
        <f t="shared" si="10"/>
        <v>0.16323049504571452</v>
      </c>
      <c r="G21" s="159">
        <f t="shared" si="10"/>
        <v>0.16323049504571452</v>
      </c>
      <c r="H21" s="159">
        <f t="shared" si="10"/>
        <v>0.16323049504571452</v>
      </c>
      <c r="I21" s="159">
        <f t="shared" si="10"/>
        <v>0.16323049504571452</v>
      </c>
      <c r="J21" s="159">
        <f t="shared" si="10"/>
        <v>0.16323049504571452</v>
      </c>
      <c r="K21" s="159">
        <f t="shared" si="10"/>
        <v>0.16323049504571452</v>
      </c>
      <c r="L21" s="159">
        <f t="shared" si="10"/>
        <v>0.16323049504571452</v>
      </c>
      <c r="M21" s="159">
        <f t="shared" si="10"/>
        <v>0.16323049504571452</v>
      </c>
      <c r="N21" s="159">
        <f t="shared" si="10"/>
        <v>0.16323049504571452</v>
      </c>
      <c r="O21" s="159">
        <f t="shared" si="10"/>
        <v>0.16323049504571452</v>
      </c>
      <c r="P21" s="159">
        <f t="shared" si="10"/>
        <v>0.16323049504571452</v>
      </c>
      <c r="Q21" s="159">
        <f t="shared" si="10"/>
        <v>0.16323049504571452</v>
      </c>
      <c r="R21" s="159">
        <f t="shared" si="10"/>
        <v>0.16323049504571452</v>
      </c>
      <c r="S21" s="159">
        <f t="shared" si="10"/>
        <v>0.16323049504571452</v>
      </c>
      <c r="T21" s="159">
        <f t="shared" si="10"/>
        <v>0.16323049504571452</v>
      </c>
      <c r="U21" s="159">
        <f t="shared" si="10"/>
        <v>0.16323049504571452</v>
      </c>
      <c r="V21" s="159">
        <f t="shared" si="10"/>
        <v>0.16323049504571452</v>
      </c>
      <c r="W21" s="159">
        <f t="shared" si="10"/>
        <v>0.16323049504571452</v>
      </c>
      <c r="X21" s="159">
        <f t="shared" si="10"/>
        <v>0.16323049504571452</v>
      </c>
      <c r="Y21" s="159">
        <f t="shared" si="10"/>
        <v>0.16323049504571452</v>
      </c>
      <c r="Z21" s="159">
        <f t="shared" si="10"/>
        <v>0.16323049504571452</v>
      </c>
      <c r="AA21" s="159">
        <f t="shared" si="10"/>
        <v>0.16323049504571452</v>
      </c>
      <c r="AB21" s="159">
        <f t="shared" si="10"/>
        <v>0.16323049504571452</v>
      </c>
      <c r="AC21" s="159">
        <f t="shared" si="10"/>
        <v>0.16323049504571452</v>
      </c>
      <c r="AD21" s="159">
        <f t="shared" si="10"/>
        <v>0.16323049504571452</v>
      </c>
      <c r="AE21" s="159">
        <f t="shared" si="10"/>
        <v>0.16323049504571452</v>
      </c>
      <c r="AF21" s="159">
        <f t="shared" si="10"/>
        <v>0.16323049504571452</v>
      </c>
      <c r="AG21" s="159">
        <f>AF21</f>
        <v>0.16323049504571452</v>
      </c>
      <c r="AI21" s="54" t="s">
        <v>1263</v>
      </c>
      <c r="AJ21" s="211"/>
      <c r="AM21" s="115"/>
      <c r="AN21" s="115"/>
      <c r="AO21" s="115"/>
      <c r="AP21" s="115"/>
      <c r="AQ21" s="115"/>
    </row>
    <row r="22" spans="1:64" outlineLevel="1" x14ac:dyDescent="0.2">
      <c r="A22" t="s">
        <v>1598</v>
      </c>
      <c r="B22" s="54" t="s">
        <v>462</v>
      </c>
      <c r="C22" s="159">
        <f>SUM('Overall recycling rates'!F77:H77)</f>
        <v>0.14472181394867328</v>
      </c>
      <c r="D22" s="159">
        <f t="shared" ref="D22:S25" si="11">C22</f>
        <v>0.14472181394867328</v>
      </c>
      <c r="E22" s="159">
        <f t="shared" si="11"/>
        <v>0.14472181394867328</v>
      </c>
      <c r="F22" s="159">
        <f t="shared" si="11"/>
        <v>0.14472181394867328</v>
      </c>
      <c r="G22" s="159">
        <f t="shared" si="11"/>
        <v>0.14472181394867328</v>
      </c>
      <c r="H22" s="159">
        <f t="shared" si="11"/>
        <v>0.14472181394867328</v>
      </c>
      <c r="I22" s="159">
        <f t="shared" si="11"/>
        <v>0.14472181394867328</v>
      </c>
      <c r="J22" s="159">
        <f t="shared" si="11"/>
        <v>0.14472181394867328</v>
      </c>
      <c r="K22" s="159">
        <f t="shared" si="11"/>
        <v>0.14472181394867328</v>
      </c>
      <c r="L22" s="159">
        <f t="shared" si="11"/>
        <v>0.14472181394867328</v>
      </c>
      <c r="M22" s="159">
        <f t="shared" si="11"/>
        <v>0.14472181394867328</v>
      </c>
      <c r="N22" s="159">
        <f t="shared" si="11"/>
        <v>0.14472181394867328</v>
      </c>
      <c r="O22" s="159">
        <f t="shared" si="11"/>
        <v>0.14472181394867328</v>
      </c>
      <c r="P22" s="159">
        <f t="shared" si="11"/>
        <v>0.14472181394867328</v>
      </c>
      <c r="Q22" s="159">
        <f t="shared" si="11"/>
        <v>0.14472181394867328</v>
      </c>
      <c r="R22" s="159">
        <f t="shared" si="11"/>
        <v>0.14472181394867328</v>
      </c>
      <c r="S22" s="159">
        <f t="shared" si="11"/>
        <v>0.14472181394867328</v>
      </c>
      <c r="T22" s="159">
        <f t="shared" si="10"/>
        <v>0.14472181394867328</v>
      </c>
      <c r="U22" s="159">
        <f t="shared" si="10"/>
        <v>0.14472181394867328</v>
      </c>
      <c r="V22" s="159">
        <f t="shared" si="10"/>
        <v>0.14472181394867328</v>
      </c>
      <c r="W22" s="159">
        <f t="shared" si="10"/>
        <v>0.14472181394867328</v>
      </c>
      <c r="X22" s="159">
        <f t="shared" si="10"/>
        <v>0.14472181394867328</v>
      </c>
      <c r="Y22" s="159">
        <f t="shared" si="10"/>
        <v>0.14472181394867328</v>
      </c>
      <c r="Z22" s="159">
        <f t="shared" si="10"/>
        <v>0.14472181394867328</v>
      </c>
      <c r="AA22" s="159">
        <f t="shared" si="10"/>
        <v>0.14472181394867328</v>
      </c>
      <c r="AB22" s="159">
        <f t="shared" si="10"/>
        <v>0.14472181394867328</v>
      </c>
      <c r="AC22" s="159">
        <f t="shared" si="10"/>
        <v>0.14472181394867328</v>
      </c>
      <c r="AD22" s="159">
        <f t="shared" si="10"/>
        <v>0.14472181394867328</v>
      </c>
      <c r="AE22" s="159">
        <f t="shared" si="10"/>
        <v>0.14472181394867328</v>
      </c>
      <c r="AF22" s="159">
        <f t="shared" si="10"/>
        <v>0.14472181394867328</v>
      </c>
      <c r="AG22" s="159">
        <f t="shared" ref="T22:AG25" si="12">AF22</f>
        <v>0.14472181394867328</v>
      </c>
      <c r="AI22" s="54" t="s">
        <v>1263</v>
      </c>
      <c r="AJ22" s="211"/>
      <c r="AM22" s="120"/>
      <c r="AN22" s="115"/>
      <c r="AO22" s="116"/>
      <c r="AP22" s="117"/>
      <c r="AQ22" s="116"/>
    </row>
    <row r="23" spans="1:64" outlineLevel="1" x14ac:dyDescent="0.2">
      <c r="A23" t="s">
        <v>1599</v>
      </c>
      <c r="B23" s="54" t="s">
        <v>462</v>
      </c>
      <c r="C23" s="159">
        <f>SUM('Overall recycling rates'!F78:H78)</f>
        <v>8.3639786575459008E-2</v>
      </c>
      <c r="D23" s="159">
        <f t="shared" si="11"/>
        <v>8.3639786575459008E-2</v>
      </c>
      <c r="E23" s="159">
        <f t="shared" si="11"/>
        <v>8.3639786575459008E-2</v>
      </c>
      <c r="F23" s="159">
        <f t="shared" si="11"/>
        <v>8.3639786575459008E-2</v>
      </c>
      <c r="G23" s="159">
        <f t="shared" si="11"/>
        <v>8.3639786575459008E-2</v>
      </c>
      <c r="H23" s="159">
        <f t="shared" si="11"/>
        <v>8.3639786575459008E-2</v>
      </c>
      <c r="I23" s="159">
        <f t="shared" si="11"/>
        <v>8.3639786575459008E-2</v>
      </c>
      <c r="J23" s="159">
        <f t="shared" si="11"/>
        <v>8.3639786575459008E-2</v>
      </c>
      <c r="K23" s="159">
        <f t="shared" si="11"/>
        <v>8.3639786575459008E-2</v>
      </c>
      <c r="L23" s="159">
        <f t="shared" si="11"/>
        <v>8.3639786575459008E-2</v>
      </c>
      <c r="M23" s="159">
        <f t="shared" si="11"/>
        <v>8.3639786575459008E-2</v>
      </c>
      <c r="N23" s="159">
        <f t="shared" si="11"/>
        <v>8.3639786575459008E-2</v>
      </c>
      <c r="O23" s="159">
        <f t="shared" si="11"/>
        <v>8.3639786575459008E-2</v>
      </c>
      <c r="P23" s="159">
        <f t="shared" si="11"/>
        <v>8.3639786575459008E-2</v>
      </c>
      <c r="Q23" s="159">
        <f t="shared" si="11"/>
        <v>8.3639786575459008E-2</v>
      </c>
      <c r="R23" s="159">
        <f t="shared" si="11"/>
        <v>8.3639786575459008E-2</v>
      </c>
      <c r="S23" s="159">
        <f t="shared" si="11"/>
        <v>8.3639786575459008E-2</v>
      </c>
      <c r="T23" s="159">
        <f t="shared" si="12"/>
        <v>8.3639786575459008E-2</v>
      </c>
      <c r="U23" s="159">
        <f t="shared" si="12"/>
        <v>8.3639786575459008E-2</v>
      </c>
      <c r="V23" s="159">
        <f t="shared" si="12"/>
        <v>8.3639786575459008E-2</v>
      </c>
      <c r="W23" s="159">
        <f t="shared" si="12"/>
        <v>8.3639786575459008E-2</v>
      </c>
      <c r="X23" s="159">
        <f t="shared" si="12"/>
        <v>8.3639786575459008E-2</v>
      </c>
      <c r="Y23" s="159">
        <f t="shared" si="12"/>
        <v>8.3639786575459008E-2</v>
      </c>
      <c r="Z23" s="159">
        <f t="shared" si="12"/>
        <v>8.3639786575459008E-2</v>
      </c>
      <c r="AA23" s="159">
        <f t="shared" si="12"/>
        <v>8.3639786575459008E-2</v>
      </c>
      <c r="AB23" s="159">
        <f t="shared" si="12"/>
        <v>8.3639786575459008E-2</v>
      </c>
      <c r="AC23" s="159">
        <f t="shared" si="12"/>
        <v>8.3639786575459008E-2</v>
      </c>
      <c r="AD23" s="159">
        <f t="shared" si="12"/>
        <v>8.3639786575459008E-2</v>
      </c>
      <c r="AE23" s="159">
        <f t="shared" si="12"/>
        <v>8.3639786575459008E-2</v>
      </c>
      <c r="AF23" s="159">
        <f t="shared" si="12"/>
        <v>8.3639786575459008E-2</v>
      </c>
      <c r="AG23" s="159">
        <f t="shared" si="12"/>
        <v>8.3639786575459008E-2</v>
      </c>
      <c r="AI23" s="54" t="s">
        <v>1263</v>
      </c>
      <c r="AJ23" s="211"/>
      <c r="AM23" s="120"/>
      <c r="AN23" s="115"/>
      <c r="AO23" s="116"/>
      <c r="AP23" s="117"/>
      <c r="AQ23" s="116"/>
    </row>
    <row r="24" spans="1:64" outlineLevel="1" x14ac:dyDescent="0.2">
      <c r="A24" t="s">
        <v>1600</v>
      </c>
      <c r="B24" s="54" t="s">
        <v>462</v>
      </c>
      <c r="C24" s="159">
        <f>SUM('Overall recycling rates'!F79:H79)</f>
        <v>0.46373883592056908</v>
      </c>
      <c r="D24" s="159">
        <f t="shared" si="11"/>
        <v>0.46373883592056908</v>
      </c>
      <c r="E24" s="159">
        <f t="shared" si="11"/>
        <v>0.46373883592056908</v>
      </c>
      <c r="F24" s="159">
        <f t="shared" si="11"/>
        <v>0.46373883592056908</v>
      </c>
      <c r="G24" s="159">
        <f t="shared" si="11"/>
        <v>0.46373883592056908</v>
      </c>
      <c r="H24" s="159">
        <f t="shared" si="11"/>
        <v>0.46373883592056908</v>
      </c>
      <c r="I24" s="159">
        <f t="shared" si="11"/>
        <v>0.46373883592056908</v>
      </c>
      <c r="J24" s="159">
        <f t="shared" si="11"/>
        <v>0.46373883592056908</v>
      </c>
      <c r="K24" s="159">
        <f t="shared" si="11"/>
        <v>0.46373883592056908</v>
      </c>
      <c r="L24" s="159">
        <f t="shared" si="11"/>
        <v>0.46373883592056908</v>
      </c>
      <c r="M24" s="159">
        <f t="shared" si="11"/>
        <v>0.46373883592056908</v>
      </c>
      <c r="N24" s="159">
        <f t="shared" si="11"/>
        <v>0.46373883592056908</v>
      </c>
      <c r="O24" s="159">
        <f t="shared" si="11"/>
        <v>0.46373883592056908</v>
      </c>
      <c r="P24" s="159">
        <f t="shared" si="11"/>
        <v>0.46373883592056908</v>
      </c>
      <c r="Q24" s="159">
        <f t="shared" si="11"/>
        <v>0.46373883592056908</v>
      </c>
      <c r="R24" s="159">
        <f t="shared" si="11"/>
        <v>0.46373883592056908</v>
      </c>
      <c r="S24" s="159">
        <f t="shared" si="11"/>
        <v>0.46373883592056908</v>
      </c>
      <c r="T24" s="159">
        <f t="shared" si="12"/>
        <v>0.46373883592056908</v>
      </c>
      <c r="U24" s="159">
        <f t="shared" si="12"/>
        <v>0.46373883592056908</v>
      </c>
      <c r="V24" s="159">
        <f t="shared" si="12"/>
        <v>0.46373883592056908</v>
      </c>
      <c r="W24" s="159">
        <f t="shared" si="12"/>
        <v>0.46373883592056908</v>
      </c>
      <c r="X24" s="159">
        <f t="shared" si="12"/>
        <v>0.46373883592056908</v>
      </c>
      <c r="Y24" s="159">
        <f t="shared" si="12"/>
        <v>0.46373883592056908</v>
      </c>
      <c r="Z24" s="159">
        <f t="shared" si="12"/>
        <v>0.46373883592056908</v>
      </c>
      <c r="AA24" s="159">
        <f t="shared" si="12"/>
        <v>0.46373883592056908</v>
      </c>
      <c r="AB24" s="159">
        <f t="shared" si="12"/>
        <v>0.46373883592056908</v>
      </c>
      <c r="AC24" s="159">
        <f t="shared" si="12"/>
        <v>0.46373883592056908</v>
      </c>
      <c r="AD24" s="159">
        <f t="shared" si="12"/>
        <v>0.46373883592056908</v>
      </c>
      <c r="AE24" s="159">
        <f t="shared" si="12"/>
        <v>0.46373883592056908</v>
      </c>
      <c r="AF24" s="159">
        <f t="shared" si="12"/>
        <v>0.46373883592056908</v>
      </c>
      <c r="AG24" s="159">
        <f t="shared" si="12"/>
        <v>0.46373883592056908</v>
      </c>
      <c r="AI24" s="54" t="s">
        <v>1263</v>
      </c>
      <c r="AJ24" s="211"/>
      <c r="AM24" s="120"/>
      <c r="AN24" s="115"/>
      <c r="AO24" s="477"/>
      <c r="AP24" s="478"/>
      <c r="AQ24" s="477"/>
    </row>
    <row r="25" spans="1:64" outlineLevel="1" x14ac:dyDescent="0.2">
      <c r="A25" t="s">
        <v>1601</v>
      </c>
      <c r="B25" s="54" t="s">
        <v>462</v>
      </c>
      <c r="C25" s="159">
        <f>SUM('Overall recycling rates'!F80:H80)</f>
        <v>0.18034988194307733</v>
      </c>
      <c r="D25" s="159">
        <f>C25</f>
        <v>0.18034988194307733</v>
      </c>
      <c r="E25" s="159">
        <f t="shared" si="11"/>
        <v>0.18034988194307733</v>
      </c>
      <c r="F25" s="159">
        <f t="shared" si="11"/>
        <v>0.18034988194307733</v>
      </c>
      <c r="G25" s="159">
        <f t="shared" si="11"/>
        <v>0.18034988194307733</v>
      </c>
      <c r="H25" s="159">
        <f t="shared" si="11"/>
        <v>0.18034988194307733</v>
      </c>
      <c r="I25" s="159">
        <f t="shared" si="11"/>
        <v>0.18034988194307733</v>
      </c>
      <c r="J25" s="159">
        <f t="shared" si="11"/>
        <v>0.18034988194307733</v>
      </c>
      <c r="K25" s="159">
        <f t="shared" si="11"/>
        <v>0.18034988194307733</v>
      </c>
      <c r="L25" s="159">
        <f t="shared" si="11"/>
        <v>0.18034988194307733</v>
      </c>
      <c r="M25" s="159">
        <f t="shared" si="11"/>
        <v>0.18034988194307733</v>
      </c>
      <c r="N25" s="159">
        <f t="shared" si="11"/>
        <v>0.18034988194307733</v>
      </c>
      <c r="O25" s="159">
        <f t="shared" si="11"/>
        <v>0.18034988194307733</v>
      </c>
      <c r="P25" s="159">
        <f t="shared" si="11"/>
        <v>0.18034988194307733</v>
      </c>
      <c r="Q25" s="159">
        <f t="shared" si="11"/>
        <v>0.18034988194307733</v>
      </c>
      <c r="R25" s="159">
        <f t="shared" si="11"/>
        <v>0.18034988194307733</v>
      </c>
      <c r="S25" s="159">
        <f t="shared" si="11"/>
        <v>0.18034988194307733</v>
      </c>
      <c r="T25" s="159">
        <f t="shared" si="12"/>
        <v>0.18034988194307733</v>
      </c>
      <c r="U25" s="159">
        <f t="shared" si="12"/>
        <v>0.18034988194307733</v>
      </c>
      <c r="V25" s="159">
        <f t="shared" si="12"/>
        <v>0.18034988194307733</v>
      </c>
      <c r="W25" s="159">
        <f t="shared" si="12"/>
        <v>0.18034988194307733</v>
      </c>
      <c r="X25" s="159">
        <f t="shared" si="12"/>
        <v>0.18034988194307733</v>
      </c>
      <c r="Y25" s="159">
        <f t="shared" si="12"/>
        <v>0.18034988194307733</v>
      </c>
      <c r="Z25" s="159">
        <f t="shared" si="12"/>
        <v>0.18034988194307733</v>
      </c>
      <c r="AA25" s="159">
        <f t="shared" si="12"/>
        <v>0.18034988194307733</v>
      </c>
      <c r="AB25" s="159">
        <f t="shared" si="12"/>
        <v>0.18034988194307733</v>
      </c>
      <c r="AC25" s="159">
        <f t="shared" si="12"/>
        <v>0.18034988194307733</v>
      </c>
      <c r="AD25" s="159">
        <f t="shared" si="12"/>
        <v>0.18034988194307733</v>
      </c>
      <c r="AE25" s="159">
        <f t="shared" si="12"/>
        <v>0.18034988194307733</v>
      </c>
      <c r="AF25" s="159">
        <f t="shared" si="12"/>
        <v>0.18034988194307733</v>
      </c>
      <c r="AG25" s="159">
        <f t="shared" si="12"/>
        <v>0.18034988194307733</v>
      </c>
      <c r="AI25" s="54" t="s">
        <v>1263</v>
      </c>
      <c r="AJ25" s="211"/>
      <c r="AM25" s="120"/>
      <c r="AN25" s="115"/>
      <c r="AO25" s="116"/>
      <c r="AP25" s="117"/>
      <c r="AQ25" s="116"/>
    </row>
    <row r="26" spans="1:64" outlineLevel="1" x14ac:dyDescent="0.2">
      <c r="AI26" s="54"/>
      <c r="AM26" s="120"/>
      <c r="AN26" s="115"/>
      <c r="AO26" s="116"/>
      <c r="AP26" s="117"/>
      <c r="AQ26" s="116"/>
      <c r="BD26" s="23"/>
      <c r="BE26" s="23"/>
      <c r="BF26" s="23"/>
      <c r="BG26" s="23"/>
      <c r="BH26" s="23"/>
      <c r="BI26" s="23"/>
      <c r="BJ26" s="23"/>
      <c r="BK26" s="23"/>
      <c r="BL26" s="23"/>
    </row>
    <row r="27" spans="1:64" outlineLevel="1" x14ac:dyDescent="0.2">
      <c r="A27" t="s">
        <v>1602</v>
      </c>
      <c r="B27" s="54" t="s">
        <v>1603</v>
      </c>
      <c r="C27" s="204">
        <f>C14*C21</f>
        <v>31.34132906881517</v>
      </c>
      <c r="D27" s="204">
        <f t="shared" ref="D27:AG27" si="13">D14*D21</f>
        <v>32.391937419343449</v>
      </c>
      <c r="E27" s="204">
        <f t="shared" si="13"/>
        <v>33.390250528174754</v>
      </c>
      <c r="F27" s="204">
        <f t="shared" si="13"/>
        <v>34.329416339951194</v>
      </c>
      <c r="G27" s="204">
        <f t="shared" si="13"/>
        <v>35.202856998503727</v>
      </c>
      <c r="H27" s="204">
        <f t="shared" si="13"/>
        <v>36.00434558822333</v>
      </c>
      <c r="I27" s="204">
        <f t="shared" si="13"/>
        <v>36.807319347488345</v>
      </c>
      <c r="J27" s="204">
        <f t="shared" si="13"/>
        <v>37.611051257975468</v>
      </c>
      <c r="K27" s="204">
        <f t="shared" si="13"/>
        <v>38.414795843817302</v>
      </c>
      <c r="L27" s="204">
        <f t="shared" si="13"/>
        <v>39.217790141073472</v>
      </c>
      <c r="M27" s="204">
        <f>M14*M21</f>
        <v>40.019254732723482</v>
      </c>
      <c r="N27" s="204">
        <f t="shared" si="13"/>
        <v>40.759992270093193</v>
      </c>
      <c r="O27" s="204">
        <f t="shared" si="13"/>
        <v>41.435894489629504</v>
      </c>
      <c r="P27" s="204">
        <f t="shared" si="13"/>
        <v>42.043143301429602</v>
      </c>
      <c r="Q27" s="204">
        <f t="shared" si="13"/>
        <v>42.57824627538244</v>
      </c>
      <c r="R27" s="204">
        <f t="shared" si="13"/>
        <v>43.038069726050175</v>
      </c>
      <c r="S27" s="204">
        <f t="shared" si="13"/>
        <v>43.498097231658051</v>
      </c>
      <c r="T27" s="204">
        <f t="shared" si="13"/>
        <v>43.958226299217436</v>
      </c>
      <c r="U27" s="204">
        <f t="shared" si="13"/>
        <v>44.41835320526161</v>
      </c>
      <c r="V27" s="204">
        <f t="shared" si="13"/>
        <v>44.87837302856861</v>
      </c>
      <c r="W27" s="204">
        <f t="shared" si="13"/>
        <v>45.33817968397107</v>
      </c>
      <c r="X27" s="204">
        <f t="shared" si="13"/>
        <v>45.798170391593182</v>
      </c>
      <c r="Y27" s="204">
        <f t="shared" si="13"/>
        <v>46.258252801007892</v>
      </c>
      <c r="Z27" s="204">
        <f t="shared" si="13"/>
        <v>46.718333518133335</v>
      </c>
      <c r="AA27" s="204">
        <f t="shared" si="13"/>
        <v>47.178318131918004</v>
      </c>
      <c r="AB27" s="204">
        <f t="shared" si="13"/>
        <v>47.638111241856656</v>
      </c>
      <c r="AC27" s="204">
        <f t="shared" si="13"/>
        <v>48.09807121259432</v>
      </c>
      <c r="AD27" s="204">
        <f t="shared" si="13"/>
        <v>48.55811439286326</v>
      </c>
      <c r="AE27" s="204">
        <f t="shared" si="13"/>
        <v>49.01815623836459</v>
      </c>
      <c r="AF27" s="204">
        <f t="shared" si="13"/>
        <v>49.478111333747449</v>
      </c>
      <c r="AG27" s="204">
        <f t="shared" si="13"/>
        <v>49.937893415231954</v>
      </c>
      <c r="AI27" s="245"/>
      <c r="AM27" s="120"/>
      <c r="AN27" s="115"/>
      <c r="AO27" s="115"/>
      <c r="AP27" s="115"/>
      <c r="AQ27" s="115"/>
      <c r="BD27" s="205"/>
      <c r="BE27" s="205"/>
      <c r="BF27" s="205"/>
      <c r="BG27" s="205"/>
      <c r="BH27" s="205"/>
      <c r="BI27" s="205"/>
      <c r="BJ27" s="205"/>
      <c r="BK27" s="205"/>
      <c r="BL27" s="205"/>
    </row>
    <row r="28" spans="1:64" outlineLevel="1" x14ac:dyDescent="0.2">
      <c r="A28" t="s">
        <v>1604</v>
      </c>
      <c r="B28" s="54" t="s">
        <v>1603</v>
      </c>
      <c r="C28" s="204">
        <f t="shared" ref="C28:AG31" si="14">C15*C22</f>
        <v>2.6229670403228216</v>
      </c>
      <c r="D28" s="204">
        <f t="shared" si="14"/>
        <v>2.7108928289731047</v>
      </c>
      <c r="E28" s="204">
        <f t="shared" si="14"/>
        <v>2.7944420101401595</v>
      </c>
      <c r="F28" s="204">
        <f t="shared" si="14"/>
        <v>2.8730411328601577</v>
      </c>
      <c r="G28" s="204">
        <f t="shared" si="14"/>
        <v>2.9461396939974613</v>
      </c>
      <c r="H28" s="204">
        <f t="shared" si="14"/>
        <v>3.0132165607574328</v>
      </c>
      <c r="I28" s="204">
        <f t="shared" si="14"/>
        <v>3.0804177218878936</v>
      </c>
      <c r="J28" s="204">
        <f t="shared" si="14"/>
        <v>3.1476823329653176</v>
      </c>
      <c r="K28" s="204">
        <f t="shared" si="14"/>
        <v>3.2149480048477113</v>
      </c>
      <c r="L28" s="204">
        <f t="shared" si="14"/>
        <v>3.2821508848099983</v>
      </c>
      <c r="M28" s="204">
        <f t="shared" si="14"/>
        <v>3.349225743162942</v>
      </c>
      <c r="N28" s="204">
        <f t="shared" si="14"/>
        <v>3.4112183326215639</v>
      </c>
      <c r="O28" s="204">
        <f t="shared" si="14"/>
        <v>3.4677848311396122</v>
      </c>
      <c r="P28" s="204">
        <f t="shared" si="14"/>
        <v>3.5186057014074175</v>
      </c>
      <c r="Q28" s="204">
        <f t="shared" si="14"/>
        <v>3.563388660699772</v>
      </c>
      <c r="R28" s="204">
        <f t="shared" si="14"/>
        <v>3.601871449761485</v>
      </c>
      <c r="S28" s="204">
        <f t="shared" si="14"/>
        <v>3.6403713162541278</v>
      </c>
      <c r="T28" s="204">
        <f t="shared" si="14"/>
        <v>3.678879682502822</v>
      </c>
      <c r="U28" s="204">
        <f t="shared" si="14"/>
        <v>3.717387867853533</v>
      </c>
      <c r="V28" s="204">
        <f t="shared" si="14"/>
        <v>3.755887091411668</v>
      </c>
      <c r="W28" s="204">
        <f t="shared" si="14"/>
        <v>3.7943684748716233</v>
      </c>
      <c r="X28" s="204">
        <f t="shared" si="14"/>
        <v>3.8328652617276751</v>
      </c>
      <c r="Y28" s="204">
        <f t="shared" si="14"/>
        <v>3.8713697231395514</v>
      </c>
      <c r="Z28" s="204">
        <f t="shared" si="14"/>
        <v>3.9098740429231329</v>
      </c>
      <c r="AA28" s="204">
        <f t="shared" si="14"/>
        <v>3.9483703197837494</v>
      </c>
      <c r="AB28" s="204">
        <f t="shared" si="14"/>
        <v>3.9868505696189942</v>
      </c>
      <c r="AC28" s="204">
        <f t="shared" si="14"/>
        <v>4.0253447840941936</v>
      </c>
      <c r="AD28" s="204">
        <f t="shared" si="14"/>
        <v>4.0638459624048275</v>
      </c>
      <c r="AE28" s="204">
        <f t="shared" si="14"/>
        <v>4.1023470290082829</v>
      </c>
      <c r="AF28" s="204">
        <f t="shared" si="14"/>
        <v>4.1408408354632931</v>
      </c>
      <c r="AG28" s="204">
        <f t="shared" si="14"/>
        <v>4.1793201623232656</v>
      </c>
      <c r="AM28" s="206"/>
      <c r="BD28" s="205"/>
      <c r="BE28" s="205"/>
      <c r="BF28" s="205"/>
      <c r="BG28" s="205"/>
      <c r="BH28" s="205"/>
      <c r="BI28" s="205"/>
      <c r="BJ28" s="205"/>
      <c r="BK28" s="205"/>
      <c r="BL28" s="205"/>
    </row>
    <row r="29" spans="1:64" outlineLevel="1" x14ac:dyDescent="0.2">
      <c r="A29" t="s">
        <v>1605</v>
      </c>
      <c r="B29" s="54" t="s">
        <v>1603</v>
      </c>
      <c r="C29" s="204">
        <f t="shared" si="14"/>
        <v>1.1926002393003741</v>
      </c>
      <c r="D29" s="204">
        <f t="shared" si="14"/>
        <v>1.2325779877710892</v>
      </c>
      <c r="E29" s="204">
        <f t="shared" si="14"/>
        <v>1.2705657977288216</v>
      </c>
      <c r="F29" s="204">
        <f t="shared" si="14"/>
        <v>1.3063029347662478</v>
      </c>
      <c r="G29" s="204">
        <f t="shared" si="14"/>
        <v>1.3395390983034507</v>
      </c>
      <c r="H29" s="204">
        <f t="shared" si="14"/>
        <v>1.3700373417505416</v>
      </c>
      <c r="I29" s="204">
        <f t="shared" si="14"/>
        <v>1.4005920988684912</v>
      </c>
      <c r="J29" s="204">
        <f t="shared" si="14"/>
        <v>1.4311757051563951</v>
      </c>
      <c r="K29" s="204">
        <f t="shared" si="14"/>
        <v>1.4617597937668911</v>
      </c>
      <c r="L29" s="204">
        <f t="shared" si="14"/>
        <v>1.4923153323964706</v>
      </c>
      <c r="M29" s="204">
        <f t="shared" si="14"/>
        <v>1.5228126626690286</v>
      </c>
      <c r="N29" s="204">
        <f t="shared" si="14"/>
        <v>1.5509992071000649</v>
      </c>
      <c r="O29" s="204">
        <f t="shared" si="14"/>
        <v>1.5767186380467479</v>
      </c>
      <c r="P29" s="204">
        <f t="shared" si="14"/>
        <v>1.5998256695538531</v>
      </c>
      <c r="Q29" s="204">
        <f t="shared" si="14"/>
        <v>1.6201874076724028</v>
      </c>
      <c r="R29" s="204">
        <f t="shared" si="14"/>
        <v>1.6376846094055579</v>
      </c>
      <c r="S29" s="204">
        <f t="shared" si="14"/>
        <v>1.6551895758372015</v>
      </c>
      <c r="T29" s="204">
        <f t="shared" si="14"/>
        <v>1.6726984069041777</v>
      </c>
      <c r="U29" s="204">
        <f t="shared" si="14"/>
        <v>1.6902071557211769</v>
      </c>
      <c r="V29" s="204">
        <f t="shared" si="14"/>
        <v>1.7077118298259113</v>
      </c>
      <c r="W29" s="204">
        <f t="shared" si="14"/>
        <v>1.7252083924656403</v>
      </c>
      <c r="X29" s="204">
        <f t="shared" si="14"/>
        <v>1.7427119586603461</v>
      </c>
      <c r="Y29" s="204">
        <f t="shared" si="14"/>
        <v>1.7602190142916225</v>
      </c>
      <c r="Z29" s="204">
        <f t="shared" si="14"/>
        <v>1.777726005527908</v>
      </c>
      <c r="AA29" s="204">
        <f t="shared" si="14"/>
        <v>1.7952293398399146</v>
      </c>
      <c r="AB29" s="204">
        <f t="shared" si="14"/>
        <v>1.8127253870476614</v>
      </c>
      <c r="AC29" s="204">
        <f t="shared" si="14"/>
        <v>1.8302277836424548</v>
      </c>
      <c r="AD29" s="204">
        <f t="shared" si="14"/>
        <v>1.847733346526294</v>
      </c>
      <c r="AE29" s="204">
        <f t="shared" si="14"/>
        <v>1.865238858619557</v>
      </c>
      <c r="AF29" s="204">
        <f t="shared" si="14"/>
        <v>1.8827410696973514</v>
      </c>
      <c r="AG29" s="204">
        <f t="shared" si="14"/>
        <v>1.9002366972503657</v>
      </c>
      <c r="BD29" s="205"/>
      <c r="BE29" s="205"/>
      <c r="BF29" s="205"/>
      <c r="BG29" s="205"/>
      <c r="BH29" s="205"/>
      <c r="BI29" s="205"/>
      <c r="BJ29" s="205"/>
      <c r="BK29" s="205"/>
      <c r="BL29" s="205"/>
    </row>
    <row r="30" spans="1:64" outlineLevel="1" x14ac:dyDescent="0.2">
      <c r="A30" t="s">
        <v>1606</v>
      </c>
      <c r="B30" s="54" t="s">
        <v>1603</v>
      </c>
      <c r="C30" s="204">
        <f t="shared" si="14"/>
        <v>16.948707747256268</v>
      </c>
      <c r="D30" s="204">
        <f t="shared" si="14"/>
        <v>17.516853847596614</v>
      </c>
      <c r="E30" s="204">
        <f t="shared" si="14"/>
        <v>18.056719820883373</v>
      </c>
      <c r="F30" s="204">
        <f t="shared" si="14"/>
        <v>18.564600224904016</v>
      </c>
      <c r="G30" s="204">
        <f t="shared" si="14"/>
        <v>19.036937898391756</v>
      </c>
      <c r="H30" s="204">
        <f t="shared" si="14"/>
        <v>19.470365461086743</v>
      </c>
      <c r="I30" s="204">
        <f t="shared" si="14"/>
        <v>19.904596171105986</v>
      </c>
      <c r="J30" s="204">
        <f t="shared" si="14"/>
        <v>20.339236872783964</v>
      </c>
      <c r="K30" s="204">
        <f t="shared" si="14"/>
        <v>20.773884429017539</v>
      </c>
      <c r="L30" s="204">
        <f t="shared" si="14"/>
        <v>21.208126245534821</v>
      </c>
      <c r="M30" s="204">
        <f t="shared" si="14"/>
        <v>21.64154083059676</v>
      </c>
      <c r="N30" s="204">
        <f t="shared" si="14"/>
        <v>22.042115548112278</v>
      </c>
      <c r="O30" s="204">
        <f t="shared" si="14"/>
        <v>22.407628738682146</v>
      </c>
      <c r="P30" s="204">
        <f t="shared" si="14"/>
        <v>22.736015662493529</v>
      </c>
      <c r="Q30" s="204">
        <f t="shared" si="14"/>
        <v>23.025387689451964</v>
      </c>
      <c r="R30" s="204">
        <f t="shared" si="14"/>
        <v>23.274050190764228</v>
      </c>
      <c r="S30" s="204">
        <f t="shared" si="14"/>
        <v>23.522823040541201</v>
      </c>
      <c r="T30" s="204">
        <f t="shared" si="14"/>
        <v>23.77165081280825</v>
      </c>
      <c r="U30" s="204">
        <f t="shared" si="14"/>
        <v>24.020477416174966</v>
      </c>
      <c r="V30" s="204">
        <f t="shared" si="14"/>
        <v>24.26924611153105</v>
      </c>
      <c r="W30" s="204">
        <f t="shared" si="14"/>
        <v>24.517899530329867</v>
      </c>
      <c r="X30" s="204">
        <f t="shared" si="14"/>
        <v>24.766652480558069</v>
      </c>
      <c r="Y30" s="204">
        <f t="shared" si="14"/>
        <v>25.015455021117283</v>
      </c>
      <c r="Z30" s="204">
        <f t="shared" si="14"/>
        <v>25.264256646523332</v>
      </c>
      <c r="AA30" s="204">
        <f t="shared" si="14"/>
        <v>25.51300630133705</v>
      </c>
      <c r="AB30" s="204">
        <f t="shared" si="14"/>
        <v>25.761652395044237</v>
      </c>
      <c r="AC30" s="204">
        <f t="shared" si="14"/>
        <v>26.010388723435174</v>
      </c>
      <c r="AD30" s="204">
        <f t="shared" si="14"/>
        <v>26.25917004972726</v>
      </c>
      <c r="AE30" s="204">
        <f t="shared" si="14"/>
        <v>26.507950654206116</v>
      </c>
      <c r="AF30" s="204">
        <f t="shared" si="14"/>
        <v>26.75668434611142</v>
      </c>
      <c r="AG30" s="204">
        <f t="shared" si="14"/>
        <v>27.005324475870943</v>
      </c>
      <c r="BD30" s="205"/>
      <c r="BE30" s="205"/>
      <c r="BF30" s="205"/>
      <c r="BG30" s="205"/>
      <c r="BH30" s="205"/>
      <c r="BI30" s="205"/>
      <c r="BJ30" s="205"/>
      <c r="BK30" s="205"/>
      <c r="BL30" s="205"/>
    </row>
    <row r="31" spans="1:64" outlineLevel="1" x14ac:dyDescent="0.2">
      <c r="A31" s="181" t="s">
        <v>1607</v>
      </c>
      <c r="B31" s="176" t="s">
        <v>1603</v>
      </c>
      <c r="C31" s="204">
        <f t="shared" si="14"/>
        <v>18.658875289242712</v>
      </c>
      <c r="D31" s="204">
        <f t="shared" si="14"/>
        <v>19.284348770195038</v>
      </c>
      <c r="E31" s="204">
        <f t="shared" si="14"/>
        <v>19.878688587641829</v>
      </c>
      <c r="F31" s="204">
        <f t="shared" si="14"/>
        <v>20.437815410865589</v>
      </c>
      <c r="G31" s="204">
        <f t="shared" si="14"/>
        <v>20.9578131520176</v>
      </c>
      <c r="H31" s="204">
        <f t="shared" si="14"/>
        <v>21.434974653640364</v>
      </c>
      <c r="I31" s="204">
        <f t="shared" si="14"/>
        <v>21.913020342186741</v>
      </c>
      <c r="J31" s="204">
        <f t="shared" si="14"/>
        <v>22.391517391588703</v>
      </c>
      <c r="K31" s="204">
        <f t="shared" si="14"/>
        <v>22.870021987188284</v>
      </c>
      <c r="L31" s="204">
        <f t="shared" si="14"/>
        <v>23.348079902906484</v>
      </c>
      <c r="M31" s="204">
        <f t="shared" si="14"/>
        <v>23.825227117420152</v>
      </c>
      <c r="N31" s="204">
        <f t="shared" si="14"/>
        <v>24.266220838570106</v>
      </c>
      <c r="O31" s="204">
        <f t="shared" si="14"/>
        <v>24.668615235896386</v>
      </c>
      <c r="P31" s="204">
        <f t="shared" si="14"/>
        <v>25.030137232109141</v>
      </c>
      <c r="Q31" s="204">
        <f t="shared" si="14"/>
        <v>25.348707629553562</v>
      </c>
      <c r="R31" s="204">
        <f t="shared" si="14"/>
        <v>25.622460807098786</v>
      </c>
      <c r="S31" s="204">
        <f t="shared" si="14"/>
        <v>25.896335467548312</v>
      </c>
      <c r="T31" s="204">
        <f t="shared" si="14"/>
        <v>26.170270592306274</v>
      </c>
      <c r="U31" s="204">
        <f t="shared" si="14"/>
        <v>26.444204430218903</v>
      </c>
      <c r="V31" s="204">
        <f t="shared" si="14"/>
        <v>26.71807451705595</v>
      </c>
      <c r="W31" s="204">
        <f t="shared" si="14"/>
        <v>26.991817695639106</v>
      </c>
      <c r="X31" s="204">
        <f t="shared" si="14"/>
        <v>27.265670448624988</v>
      </c>
      <c r="Y31" s="204">
        <f t="shared" si="14"/>
        <v>27.539577795731887</v>
      </c>
      <c r="Z31" s="204">
        <f t="shared" si="14"/>
        <v>27.813484135344353</v>
      </c>
      <c r="AA31" s="204">
        <f t="shared" si="14"/>
        <v>28.087333260400076</v>
      </c>
      <c r="AB31" s="204">
        <f t="shared" si="14"/>
        <v>28.36106837477131</v>
      </c>
      <c r="AC31" s="204">
        <f t="shared" si="14"/>
        <v>28.63490282873444</v>
      </c>
      <c r="AD31" s="204">
        <f t="shared" si="14"/>
        <v>28.908786821000927</v>
      </c>
      <c r="AE31" s="204">
        <f t="shared" si="14"/>
        <v>29.182670018621394</v>
      </c>
      <c r="AF31" s="204">
        <f t="shared" si="14"/>
        <v>29.456501570070813</v>
      </c>
      <c r="AG31" s="204">
        <f t="shared" si="14"/>
        <v>29.73023011871695</v>
      </c>
      <c r="AL31" s="108"/>
      <c r="AM31" s="207"/>
      <c r="AN31" s="207"/>
      <c r="AO31" s="207"/>
    </row>
    <row r="32" spans="1:64" s="1" customFormat="1" ht="16" thickBot="1" x14ac:dyDescent="0.25">
      <c r="A32" s="200" t="s">
        <v>1608</v>
      </c>
      <c r="B32" s="219" t="s">
        <v>1603</v>
      </c>
      <c r="C32" s="216">
        <f>SUM(C27:C31)</f>
        <v>70.764479384937346</v>
      </c>
      <c r="D32" s="216">
        <f t="shared" ref="D32:AG32" si="15">SUM(D27:D31)</f>
        <v>73.13661085387929</v>
      </c>
      <c r="E32" s="216">
        <f t="shared" si="15"/>
        <v>75.390666744568932</v>
      </c>
      <c r="F32" s="216">
        <f t="shared" si="15"/>
        <v>77.511176043347206</v>
      </c>
      <c r="G32" s="216">
        <f t="shared" si="15"/>
        <v>79.483286841213982</v>
      </c>
      <c r="H32" s="216">
        <f t="shared" si="15"/>
        <v>81.292939605458415</v>
      </c>
      <c r="I32" s="216">
        <f t="shared" si="15"/>
        <v>83.105945681537463</v>
      </c>
      <c r="J32" s="216">
        <f t="shared" si="15"/>
        <v>84.920663560469848</v>
      </c>
      <c r="K32" s="216">
        <f t="shared" si="15"/>
        <v>86.735410058637726</v>
      </c>
      <c r="L32" s="216">
        <f t="shared" si="15"/>
        <v>88.548462506721251</v>
      </c>
      <c r="M32" s="216">
        <f t="shared" si="15"/>
        <v>90.358061086572363</v>
      </c>
      <c r="N32" s="216">
        <f t="shared" si="15"/>
        <v>92.030546196497212</v>
      </c>
      <c r="O32" s="216">
        <f t="shared" si="15"/>
        <v>93.556641933394388</v>
      </c>
      <c r="P32" s="216">
        <f t="shared" si="15"/>
        <v>94.927727566993539</v>
      </c>
      <c r="Q32" s="216">
        <f t="shared" si="15"/>
        <v>96.135917662760136</v>
      </c>
      <c r="R32" s="216">
        <f t="shared" si="15"/>
        <v>97.174136783080243</v>
      </c>
      <c r="S32" s="216">
        <f t="shared" si="15"/>
        <v>98.212816631838891</v>
      </c>
      <c r="T32" s="216">
        <f t="shared" si="15"/>
        <v>99.251725793738956</v>
      </c>
      <c r="U32" s="216">
        <f t="shared" si="15"/>
        <v>100.29063007523018</v>
      </c>
      <c r="V32" s="216">
        <f t="shared" si="15"/>
        <v>101.32929257839319</v>
      </c>
      <c r="W32" s="216">
        <f t="shared" si="15"/>
        <v>102.3674737772773</v>
      </c>
      <c r="X32" s="216">
        <f t="shared" si="15"/>
        <v>103.40607054116425</v>
      </c>
      <c r="Y32" s="216">
        <f t="shared" si="15"/>
        <v>104.44487435528823</v>
      </c>
      <c r="Z32" s="216">
        <f t="shared" si="15"/>
        <v>105.48367434845207</v>
      </c>
      <c r="AA32" s="216">
        <f t="shared" si="15"/>
        <v>106.52225735327879</v>
      </c>
      <c r="AB32" s="216">
        <f t="shared" si="15"/>
        <v>107.56040796833885</v>
      </c>
      <c r="AC32" s="216">
        <f t="shared" si="15"/>
        <v>108.59893533250059</v>
      </c>
      <c r="AD32" s="216">
        <f t="shared" si="15"/>
        <v>109.63765057252257</v>
      </c>
      <c r="AE32" s="216">
        <f t="shared" si="15"/>
        <v>110.67636279881994</v>
      </c>
      <c r="AF32" s="216">
        <f t="shared" si="15"/>
        <v>111.71487915509033</v>
      </c>
      <c r="AG32" s="216">
        <f t="shared" si="15"/>
        <v>112.75300486939346</v>
      </c>
      <c r="AJ32" s="162"/>
      <c r="AL32" s="221"/>
      <c r="AM32" s="124"/>
      <c r="AN32" s="124"/>
      <c r="AO32" s="124"/>
    </row>
    <row r="33" spans="1:64" ht="16" outlineLevel="1" thickTop="1" x14ac:dyDescent="0.2">
      <c r="AL33" s="108"/>
      <c r="AM33" s="2"/>
      <c r="AN33" s="2"/>
      <c r="AO33" s="2"/>
    </row>
    <row r="34" spans="1:64" outlineLevel="1" x14ac:dyDescent="0.2">
      <c r="A34" t="s">
        <v>1609</v>
      </c>
      <c r="B34" s="176" t="s">
        <v>1603</v>
      </c>
      <c r="C34" s="107">
        <f>C32</f>
        <v>70.764479384937346</v>
      </c>
      <c r="D34" s="107">
        <f t="shared" ref="D34:AG34" si="16">D32</f>
        <v>73.13661085387929</v>
      </c>
      <c r="E34" s="107">
        <f t="shared" si="16"/>
        <v>75.390666744568932</v>
      </c>
      <c r="F34" s="107">
        <f t="shared" si="16"/>
        <v>77.511176043347206</v>
      </c>
      <c r="G34" s="107">
        <f t="shared" si="16"/>
        <v>79.483286841213982</v>
      </c>
      <c r="H34" s="107">
        <f t="shared" si="16"/>
        <v>81.292939605458415</v>
      </c>
      <c r="I34" s="107">
        <f t="shared" si="16"/>
        <v>83.105945681537463</v>
      </c>
      <c r="J34" s="107">
        <f t="shared" si="16"/>
        <v>84.920663560469848</v>
      </c>
      <c r="K34" s="107">
        <f t="shared" si="16"/>
        <v>86.735410058637726</v>
      </c>
      <c r="L34" s="107">
        <f t="shared" si="16"/>
        <v>88.548462506721251</v>
      </c>
      <c r="M34" s="107">
        <f t="shared" si="16"/>
        <v>90.358061086572363</v>
      </c>
      <c r="N34" s="107">
        <f t="shared" si="16"/>
        <v>92.030546196497212</v>
      </c>
      <c r="O34" s="107">
        <f t="shared" si="16"/>
        <v>93.556641933394388</v>
      </c>
      <c r="P34" s="107">
        <f t="shared" si="16"/>
        <v>94.927727566993539</v>
      </c>
      <c r="Q34" s="107">
        <f t="shared" si="16"/>
        <v>96.135917662760136</v>
      </c>
      <c r="R34" s="107">
        <f t="shared" si="16"/>
        <v>97.174136783080243</v>
      </c>
      <c r="S34" s="107">
        <f t="shared" si="16"/>
        <v>98.212816631838891</v>
      </c>
      <c r="T34" s="107">
        <f t="shared" si="16"/>
        <v>99.251725793738956</v>
      </c>
      <c r="U34" s="107">
        <f t="shared" si="16"/>
        <v>100.29063007523018</v>
      </c>
      <c r="V34" s="107">
        <f t="shared" si="16"/>
        <v>101.32929257839319</v>
      </c>
      <c r="W34" s="107">
        <f t="shared" si="16"/>
        <v>102.3674737772773</v>
      </c>
      <c r="X34" s="107">
        <f t="shared" si="16"/>
        <v>103.40607054116425</v>
      </c>
      <c r="Y34" s="107">
        <f t="shared" si="16"/>
        <v>104.44487435528823</v>
      </c>
      <c r="Z34" s="107">
        <f t="shared" si="16"/>
        <v>105.48367434845207</v>
      </c>
      <c r="AA34" s="107">
        <f t="shared" si="16"/>
        <v>106.52225735327879</v>
      </c>
      <c r="AB34" s="107">
        <f t="shared" si="16"/>
        <v>107.56040796833885</v>
      </c>
      <c r="AC34" s="107">
        <f t="shared" si="16"/>
        <v>108.59893533250059</v>
      </c>
      <c r="AD34" s="107">
        <f t="shared" si="16"/>
        <v>109.63765057252257</v>
      </c>
      <c r="AE34" s="107">
        <f t="shared" si="16"/>
        <v>110.67636279881994</v>
      </c>
      <c r="AF34" s="107">
        <f t="shared" si="16"/>
        <v>111.71487915509033</v>
      </c>
      <c r="AG34" s="107">
        <f t="shared" si="16"/>
        <v>112.75300486939346</v>
      </c>
      <c r="AL34" s="108"/>
      <c r="AM34" s="2"/>
      <c r="AN34" s="2"/>
      <c r="AO34" s="2"/>
    </row>
    <row r="35" spans="1:64" outlineLevel="1" x14ac:dyDescent="0.2">
      <c r="AL35" s="108"/>
      <c r="AM35" s="2"/>
      <c r="AN35" s="2"/>
      <c r="AO35" s="2"/>
    </row>
    <row r="36" spans="1:64" outlineLevel="1" x14ac:dyDescent="0.2">
      <c r="A36" t="s">
        <v>1610</v>
      </c>
      <c r="B36" s="54" t="s">
        <v>462</v>
      </c>
      <c r="C36" s="205">
        <f>'Yearly BTX'!D34/'Yearly BTX'!D27</f>
        <v>1</v>
      </c>
      <c r="D36" s="205">
        <f>'Yearly BTX'!E34/'Yearly BTX'!E27</f>
        <v>0.99099139119388324</v>
      </c>
      <c r="E36" s="205">
        <f>'Yearly BTX'!F34/'Yearly BTX'!F27</f>
        <v>0.97724371140051991</v>
      </c>
      <c r="F36" s="205">
        <f>'Yearly BTX'!G34/'Yearly BTX'!G27</f>
        <v>0.96586556710077953</v>
      </c>
      <c r="G36" s="205">
        <f>'Yearly BTX'!H34/'Yearly BTX'!H27</f>
        <v>0.95448742280103949</v>
      </c>
      <c r="H36" s="205">
        <f>'Yearly BTX'!I34/'Yearly BTX'!I27</f>
        <v>0.94310927850129944</v>
      </c>
      <c r="I36" s="205">
        <f>'Yearly BTX'!J34/'Yearly BTX'!J27</f>
        <v>0.93173113420155929</v>
      </c>
      <c r="J36" s="205">
        <f>'Yearly BTX'!K34/'Yearly BTX'!K27</f>
        <v>0.92035298990181913</v>
      </c>
      <c r="K36" s="205">
        <f>'Yearly BTX'!L34/'Yearly BTX'!L27</f>
        <v>0.90897484560207897</v>
      </c>
      <c r="L36" s="205">
        <f>'Yearly BTX'!M34/'Yearly BTX'!M27</f>
        <v>0.89759670130233893</v>
      </c>
      <c r="M36" s="205">
        <f>'Yearly BTX'!N34/'Yearly BTX'!N27</f>
        <v>0.88621855700259877</v>
      </c>
      <c r="N36" s="205">
        <f>'Yearly BTX'!O34/'Yearly BTX'!O27</f>
        <v>0.86098649004389283</v>
      </c>
      <c r="O36" s="205">
        <f>'Yearly BTX'!P34/'Yearly BTX'!P27</f>
        <v>0.83575442308518666</v>
      </c>
      <c r="P36" s="205">
        <f>'Yearly BTX'!Q34/'Yearly BTX'!Q27</f>
        <v>0.81052235612648071</v>
      </c>
      <c r="Q36" s="205">
        <f>'Yearly BTX'!R34/'Yearly BTX'!R27</f>
        <v>0.78529028916777488</v>
      </c>
      <c r="R36" s="205">
        <f>'Yearly BTX'!S34/'Yearly BTX'!S27</f>
        <v>0.76005822220906871</v>
      </c>
      <c r="S36" s="205">
        <f>'Yearly BTX'!T34/'Yearly BTX'!T27</f>
        <v>0.73482615525036266</v>
      </c>
      <c r="T36" s="205">
        <f>'Yearly BTX'!U34/'Yearly BTX'!U27</f>
        <v>0.70959408829165671</v>
      </c>
      <c r="U36" s="205">
        <f>'Yearly BTX'!V34/'Yearly BTX'!V27</f>
        <v>0.68436202133295065</v>
      </c>
      <c r="V36" s="205">
        <f>'Yearly BTX'!W34/'Yearly BTX'!W27</f>
        <v>0.65912995437424471</v>
      </c>
      <c r="W36" s="205">
        <f>'Yearly BTX'!X34/'Yearly BTX'!X27</f>
        <v>0.63389788741553865</v>
      </c>
      <c r="X36" s="205">
        <f>'Yearly BTX'!Y34/'Yearly BTX'!Y27</f>
        <v>0.60844907254897262</v>
      </c>
      <c r="Y36" s="205">
        <f>'Yearly BTX'!Z34/'Yearly BTX'!Z27</f>
        <v>0.58300025768240671</v>
      </c>
      <c r="Z36" s="205">
        <f>'Yearly BTX'!AA34/'Yearly BTX'!AA27</f>
        <v>0.55755144281584079</v>
      </c>
      <c r="AA36" s="205">
        <f>'Yearly BTX'!AB34/'Yearly BTX'!AB27</f>
        <v>0.53210262794927488</v>
      </c>
      <c r="AB36" s="205">
        <f>'Yearly BTX'!AC34/'Yearly BTX'!AC27</f>
        <v>0.50665381308270885</v>
      </c>
      <c r="AC36" s="205">
        <f>'Yearly BTX'!AD34/'Yearly BTX'!AD27</f>
        <v>0.48120499821614282</v>
      </c>
      <c r="AD36" s="205">
        <f>'Yearly BTX'!AE34/'Yearly BTX'!AE27</f>
        <v>0.45575618334957696</v>
      </c>
      <c r="AE36" s="205">
        <f>'Yearly BTX'!AF34/'Yearly BTX'!AF27</f>
        <v>0.43030736848301093</v>
      </c>
      <c r="AF36" s="205">
        <f>'Yearly BTX'!AG34/'Yearly BTX'!AG27</f>
        <v>0.40485855361644507</v>
      </c>
      <c r="AG36" s="205">
        <f>'Yearly BTX'!AH34/'Yearly BTX'!AH27</f>
        <v>0.37940973874987904</v>
      </c>
      <c r="AL36" s="108"/>
      <c r="AM36" s="207"/>
      <c r="AN36" s="207"/>
      <c r="AO36" s="207"/>
      <c r="BC36" s="1"/>
      <c r="BD36" s="578"/>
      <c r="BE36" s="578"/>
      <c r="BF36" s="578"/>
      <c r="BG36" s="578"/>
      <c r="BH36" s="578"/>
      <c r="BI36" s="578"/>
      <c r="BJ36" s="578"/>
      <c r="BK36" s="578"/>
    </row>
    <row r="37" spans="1:64" outlineLevel="1" x14ac:dyDescent="0.2">
      <c r="A37" t="s">
        <v>1611</v>
      </c>
      <c r="B37" s="54" t="s">
        <v>462</v>
      </c>
      <c r="C37" s="205">
        <f>'Yearly BTX'!D23/'Yearly BTX'!D16</f>
        <v>1</v>
      </c>
      <c r="D37" s="205">
        <f>'Yearly BTX'!E23/'Yearly BTX'!E16</f>
        <v>0.99658919999999995</v>
      </c>
      <c r="E37" s="205">
        <f>'Yearly BTX'!F23/'Yearly BTX'!F16</f>
        <v>0.99315680000000006</v>
      </c>
      <c r="F37" s="205">
        <f>'Yearly BTX'!G23/'Yearly BTX'!G16</f>
        <v>0.9897028000000001</v>
      </c>
      <c r="G37" s="205">
        <f>'Yearly BTX'!H23/'Yearly BTX'!H16</f>
        <v>0.98622720000000008</v>
      </c>
      <c r="H37" s="205">
        <f>'Yearly BTX'!I23/'Yearly BTX'!I16</f>
        <v>0.98272999999999999</v>
      </c>
      <c r="I37" s="205">
        <f>'Yearly BTX'!J23/'Yearly BTX'!J16</f>
        <v>0.97921120000000006</v>
      </c>
      <c r="J37" s="205">
        <f>'Yearly BTX'!K23/'Yearly BTX'!K16</f>
        <v>0.97567079999999995</v>
      </c>
      <c r="K37" s="205">
        <f>'Yearly BTX'!L23/'Yearly BTX'!L16</f>
        <v>0.97210880000000011</v>
      </c>
      <c r="L37" s="205">
        <f>'Yearly BTX'!M23/'Yearly BTX'!M16</f>
        <v>0.96852519999999998</v>
      </c>
      <c r="M37" s="205">
        <f>'Yearly BTX'!N23/'Yearly BTX'!N16</f>
        <v>0.96492</v>
      </c>
      <c r="N37" s="205">
        <f>'Yearly BTX'!O23/'Yearly BTX'!O16</f>
        <v>0.95304500000000014</v>
      </c>
      <c r="O37" s="205">
        <f>'Yearly BTX'!P23/'Yearly BTX'!P16</f>
        <v>0.94100799999999984</v>
      </c>
      <c r="P37" s="205">
        <f>'Yearly BTX'!Q23/'Yearly BTX'!Q16</f>
        <v>0.928809</v>
      </c>
      <c r="Q37" s="205">
        <f>'Yearly BTX'!R23/'Yearly BTX'!R16</f>
        <v>0.91644800000000004</v>
      </c>
      <c r="R37" s="205">
        <f>'Yearly BTX'!S23/'Yearly BTX'!S16</f>
        <v>0.90392500000000009</v>
      </c>
      <c r="S37" s="205">
        <f>'Yearly BTX'!T23/'Yearly BTX'!T16</f>
        <v>0.89124000000000003</v>
      </c>
      <c r="T37" s="205">
        <f>'Yearly BTX'!U23/'Yearly BTX'!U16</f>
        <v>0.87839299999999987</v>
      </c>
      <c r="U37" s="205">
        <f>'Yearly BTX'!V23/'Yearly BTX'!V16</f>
        <v>0.86538399999999993</v>
      </c>
      <c r="V37" s="205">
        <f>'Yearly BTX'!W23/'Yearly BTX'!W16</f>
        <v>0.85221299999999989</v>
      </c>
      <c r="W37" s="205">
        <f>'Yearly BTX'!X23/'Yearly BTX'!X16</f>
        <v>0.83887999999999996</v>
      </c>
      <c r="X37" s="205">
        <f>'Yearly BTX'!Y23/'Yearly BTX'!Y16</f>
        <v>0.80646679999999993</v>
      </c>
      <c r="Y37" s="205">
        <f>'Yearly BTX'!Z23/'Yearly BTX'!Z16</f>
        <v>0.77385920000000008</v>
      </c>
      <c r="Z37" s="205">
        <f>'Yearly BTX'!AA23/'Yearly BTX'!AA16</f>
        <v>0.74105719999999997</v>
      </c>
      <c r="AA37" s="205">
        <f>'Yearly BTX'!AB23/'Yearly BTX'!AB16</f>
        <v>0.70806079999999993</v>
      </c>
      <c r="AB37" s="205">
        <f>'Yearly BTX'!AC23/'Yearly BTX'!AC16</f>
        <v>0.67487000000000008</v>
      </c>
      <c r="AC37" s="205">
        <f>'Yearly BTX'!AD23/'Yearly BTX'!AD16</f>
        <v>0.64148479999999997</v>
      </c>
      <c r="AD37" s="205">
        <f>'Yearly BTX'!AE23/'Yearly BTX'!AE16</f>
        <v>0.60790519999999992</v>
      </c>
      <c r="AE37" s="205">
        <f>'Yearly BTX'!AF23/'Yearly BTX'!AF16</f>
        <v>0.57413120000000006</v>
      </c>
      <c r="AF37" s="205">
        <f>'Yearly BTX'!AG23/'Yearly BTX'!AG16</f>
        <v>0.54016280000000005</v>
      </c>
      <c r="AG37" s="205">
        <f>'Yearly BTX'!AH23/'Yearly BTX'!AH16</f>
        <v>0.50599999999999989</v>
      </c>
      <c r="AL37" s="108"/>
      <c r="AM37" s="207"/>
      <c r="AN37" s="207"/>
      <c r="AO37" s="207"/>
      <c r="BL37" s="1"/>
    </row>
    <row r="38" spans="1:64" outlineLevel="1" x14ac:dyDescent="0.2">
      <c r="A38" t="s">
        <v>1612</v>
      </c>
      <c r="B38" s="54" t="s">
        <v>462</v>
      </c>
      <c r="C38" s="205">
        <f>'Yearly BTX'!D41/'Yearly BTX'!D38</f>
        <v>1</v>
      </c>
      <c r="D38" s="205">
        <f>'Yearly BTX'!E41/'Yearly BTX'!E38</f>
        <v>0.97593875518672202</v>
      </c>
      <c r="E38" s="205">
        <f>'Yearly BTX'!F41/'Yearly BTX'!F38</f>
        <v>0.95187751037344392</v>
      </c>
      <c r="F38" s="205">
        <f>'Yearly BTX'!G41/'Yearly BTX'!G38</f>
        <v>0.92781626556016594</v>
      </c>
      <c r="G38" s="205">
        <f>'Yearly BTX'!H41/'Yearly BTX'!H38</f>
        <v>0.90375502074688796</v>
      </c>
      <c r="H38" s="205">
        <f>'Yearly BTX'!I41/'Yearly BTX'!I38</f>
        <v>0.87969377593360998</v>
      </c>
      <c r="I38" s="205">
        <f>'Yearly BTX'!J41/'Yearly BTX'!J38</f>
        <v>0.855632531120332</v>
      </c>
      <c r="J38" s="205">
        <f>'Yearly BTX'!K41/'Yearly BTX'!K38</f>
        <v>0.8315712863070539</v>
      </c>
      <c r="K38" s="205">
        <f>'Yearly BTX'!L41/'Yearly BTX'!L38</f>
        <v>0.80751004149377592</v>
      </c>
      <c r="L38" s="205">
        <f>'Yearly BTX'!M41/'Yearly BTX'!M38</f>
        <v>0.78344879668049805</v>
      </c>
      <c r="M38" s="205">
        <f>'Yearly BTX'!N41/'Yearly BTX'!N38</f>
        <v>0.75938755186721996</v>
      </c>
      <c r="N38" s="205">
        <f>'Yearly BTX'!O41/'Yearly BTX'!O38</f>
        <v>0.73532630705394197</v>
      </c>
      <c r="O38" s="205">
        <f>'Yearly BTX'!P41/'Yearly BTX'!P38</f>
        <v>0.71126506224066377</v>
      </c>
      <c r="P38" s="205">
        <f>'Yearly BTX'!Q41/'Yearly BTX'!Q38</f>
        <v>0.6872038174273859</v>
      </c>
      <c r="Q38" s="205">
        <f>'Yearly BTX'!R41/'Yearly BTX'!R38</f>
        <v>0.66314257261410781</v>
      </c>
      <c r="R38" s="205">
        <f>'Yearly BTX'!S41/'Yearly BTX'!S38</f>
        <v>0.63908132780082982</v>
      </c>
      <c r="S38" s="205">
        <f>'Yearly BTX'!T41/'Yearly BTX'!T38</f>
        <v>0.61502008298755173</v>
      </c>
      <c r="T38" s="205">
        <f>'Yearly BTX'!U41/'Yearly BTX'!U38</f>
        <v>0.59095883817427375</v>
      </c>
      <c r="U38" s="205">
        <f>'Yearly BTX'!V41/'Yearly BTX'!V38</f>
        <v>0.56689759336099588</v>
      </c>
      <c r="V38" s="205">
        <f>'Yearly BTX'!W41/'Yearly BTX'!W38</f>
        <v>0.54283634854771778</v>
      </c>
      <c r="W38" s="205">
        <f>'Yearly BTX'!X41/'Yearly BTX'!X38</f>
        <v>0.5187751037344398</v>
      </c>
      <c r="X38" s="205">
        <f>'Yearly BTX'!Y41/'Yearly BTX'!Y38</f>
        <v>0.49398473029045636</v>
      </c>
      <c r="Y38" s="205">
        <f>'Yearly BTX'!Z41/'Yearly BTX'!Z38</f>
        <v>0.46919435684647298</v>
      </c>
      <c r="Z38" s="205">
        <f>'Yearly BTX'!AA41/'Yearly BTX'!AA38</f>
        <v>0.44440398340248954</v>
      </c>
      <c r="AA38" s="205">
        <f>'Yearly BTX'!AB41/'Yearly BTX'!AB38</f>
        <v>0.41961360995850611</v>
      </c>
      <c r="AB38" s="205">
        <f>'Yearly BTX'!AC41/'Yearly BTX'!AC38</f>
        <v>0.39482323651452267</v>
      </c>
      <c r="AC38" s="205">
        <f>'Yearly BTX'!AD41/'Yearly BTX'!AD38</f>
        <v>0.37003286307053929</v>
      </c>
      <c r="AD38" s="205">
        <f>'Yearly BTX'!AE41/'Yearly BTX'!AE38</f>
        <v>0.3452424896265559</v>
      </c>
      <c r="AE38" s="205">
        <f>'Yearly BTX'!AF41/'Yearly BTX'!AF38</f>
        <v>0.32045211618257258</v>
      </c>
      <c r="AF38" s="205">
        <f>'Yearly BTX'!AG41/'Yearly BTX'!AG38</f>
        <v>0.29566174273858914</v>
      </c>
      <c r="AG38" s="205">
        <f>'Yearly BTX'!AH41/'Yearly BTX'!AH38</f>
        <v>0.27087136929460576</v>
      </c>
      <c r="AL38" s="108"/>
      <c r="AM38" s="207"/>
      <c r="AN38" s="207"/>
      <c r="AO38" s="207"/>
      <c r="BD38" s="41"/>
      <c r="BE38" s="41"/>
      <c r="BF38" s="41"/>
      <c r="BG38" s="41"/>
      <c r="BH38" s="41"/>
      <c r="BI38" s="41"/>
      <c r="BJ38" s="41"/>
      <c r="BK38" s="41"/>
      <c r="BL38" s="118"/>
    </row>
    <row r="39" spans="1:64" outlineLevel="1" x14ac:dyDescent="0.2">
      <c r="A39" t="s">
        <v>1613</v>
      </c>
      <c r="B39" s="54" t="s">
        <v>462</v>
      </c>
      <c r="C39" s="205">
        <f>'Yearly BTX'!D50/'Yearly BTX'!D45</f>
        <v>1</v>
      </c>
      <c r="D39" s="205">
        <f>'Yearly BTX'!E50/'Yearly BTX'!E45</f>
        <v>0.96909999999999996</v>
      </c>
      <c r="E39" s="205">
        <f>'Yearly BTX'!F50/'Yearly BTX'!F45</f>
        <v>0.93819999999999992</v>
      </c>
      <c r="F39" s="205">
        <f>'Yearly BTX'!G50/'Yearly BTX'!G45</f>
        <v>0.9073</v>
      </c>
      <c r="G39" s="205">
        <f>'Yearly BTX'!H50/'Yearly BTX'!H45</f>
        <v>0.87639999999999996</v>
      </c>
      <c r="H39" s="205">
        <f>'Yearly BTX'!I50/'Yearly BTX'!I45</f>
        <v>0.84549999999999992</v>
      </c>
      <c r="I39" s="205">
        <f>'Yearly BTX'!J50/'Yearly BTX'!J45</f>
        <v>0.8146000000000001</v>
      </c>
      <c r="J39" s="205">
        <f>'Yearly BTX'!K50/'Yearly BTX'!K45</f>
        <v>0.78370000000000006</v>
      </c>
      <c r="K39" s="205">
        <f>'Yearly BTX'!L50/'Yearly BTX'!L45</f>
        <v>0.75280000000000002</v>
      </c>
      <c r="L39" s="205">
        <f>'Yearly BTX'!M50/'Yearly BTX'!M45</f>
        <v>0.72189999999999999</v>
      </c>
      <c r="M39" s="205">
        <f>'Yearly BTX'!N50/'Yearly BTX'!N45</f>
        <v>0.69100000000000017</v>
      </c>
      <c r="N39" s="205">
        <f>'Yearly BTX'!O50/'Yearly BTX'!O45</f>
        <v>0.66920000000000002</v>
      </c>
      <c r="O39" s="205">
        <f>'Yearly BTX'!P50/'Yearly BTX'!P45</f>
        <v>0.64739999999999998</v>
      </c>
      <c r="P39" s="205">
        <f>'Yearly BTX'!Q50/'Yearly BTX'!Q45</f>
        <v>0.62559999999999993</v>
      </c>
      <c r="Q39" s="205">
        <f>'Yearly BTX'!R50/'Yearly BTX'!R45</f>
        <v>0.60380000000000011</v>
      </c>
      <c r="R39" s="205">
        <f>'Yearly BTX'!S50/'Yearly BTX'!S45</f>
        <v>0.58199999999999996</v>
      </c>
      <c r="S39" s="205">
        <f>'Yearly BTX'!T50/'Yearly BTX'!T45</f>
        <v>0.56020000000000003</v>
      </c>
      <c r="T39" s="205">
        <f>'Yearly BTX'!U50/'Yearly BTX'!U45</f>
        <v>0.53839999999999999</v>
      </c>
      <c r="U39" s="205">
        <f>'Yearly BTX'!V50/'Yearly BTX'!V45</f>
        <v>0.51659999999999995</v>
      </c>
      <c r="V39" s="205">
        <f>'Yearly BTX'!W50/'Yearly BTX'!W45</f>
        <v>0.49479999999999991</v>
      </c>
      <c r="W39" s="205">
        <f>'Yearly BTX'!X50/'Yearly BTX'!X45</f>
        <v>0.47299999999999998</v>
      </c>
      <c r="X39" s="205">
        <f>'Yearly BTX'!Y50/'Yearly BTX'!Y45</f>
        <v>0.44669999999999987</v>
      </c>
      <c r="Y39" s="205">
        <f>'Yearly BTX'!Z50/'Yearly BTX'!Z45</f>
        <v>0.4204</v>
      </c>
      <c r="Z39" s="205">
        <f>'Yearly BTX'!AA50/'Yearly BTX'!AA45</f>
        <v>0.39409999999999984</v>
      </c>
      <c r="AA39" s="205">
        <f>'Yearly BTX'!AB50/'Yearly BTX'!AB45</f>
        <v>0.36780000000000002</v>
      </c>
      <c r="AB39" s="205">
        <f>'Yearly BTX'!AC50/'Yearly BTX'!AC45</f>
        <v>0.34149999999999997</v>
      </c>
      <c r="AC39" s="205">
        <f>'Yearly BTX'!AD50/'Yearly BTX'!AD45</f>
        <v>0.31519999999999992</v>
      </c>
      <c r="AD39" s="205">
        <f>'Yearly BTX'!AE50/'Yearly BTX'!AE45</f>
        <v>0.28890000000000005</v>
      </c>
      <c r="AE39" s="205">
        <f>'Yearly BTX'!AF50/'Yearly BTX'!AF45</f>
        <v>0.26259999999999994</v>
      </c>
      <c r="AF39" s="205">
        <f>'Yearly BTX'!AG50/'Yearly BTX'!AG45</f>
        <v>0.23629999999999993</v>
      </c>
      <c r="AG39" s="205">
        <f>'Yearly BTX'!AH50/'Yearly BTX'!AH45</f>
        <v>0.21000000000000002</v>
      </c>
      <c r="AL39" s="108"/>
      <c r="AM39" s="207"/>
      <c r="AN39" s="207"/>
      <c r="AO39" s="207"/>
      <c r="BD39" s="41"/>
      <c r="BE39" s="41"/>
      <c r="BF39" s="41"/>
      <c r="BG39" s="41"/>
      <c r="BH39" s="41"/>
      <c r="BI39" s="41"/>
      <c r="BJ39" s="41"/>
      <c r="BK39" s="41"/>
      <c r="BL39" s="118"/>
    </row>
    <row r="40" spans="1:64" outlineLevel="1" x14ac:dyDescent="0.2">
      <c r="A40" t="s">
        <v>1614</v>
      </c>
      <c r="B40" s="176" t="s">
        <v>462</v>
      </c>
      <c r="C40" s="159">
        <f>'Yearly BTX'!D57/'Yearly BTX'!D54</f>
        <v>1</v>
      </c>
      <c r="D40" s="159">
        <f>'Yearly BTX'!E57/'Yearly BTX'!E54</f>
        <v>0.99339999999999984</v>
      </c>
      <c r="E40" s="159">
        <f>'Yearly BTX'!F57/'Yearly BTX'!F54</f>
        <v>0.98680000000000012</v>
      </c>
      <c r="F40" s="159">
        <f>'Yearly BTX'!G57/'Yearly BTX'!G54</f>
        <v>0.98019999999999996</v>
      </c>
      <c r="G40" s="159">
        <f>'Yearly BTX'!H57/'Yearly BTX'!H54</f>
        <v>0.97360000000000002</v>
      </c>
      <c r="H40" s="159">
        <f>'Yearly BTX'!I57/'Yearly BTX'!I54</f>
        <v>0.96699999999999986</v>
      </c>
      <c r="I40" s="159">
        <f>'Yearly BTX'!J57/'Yearly BTX'!J54</f>
        <v>0.96039999999999992</v>
      </c>
      <c r="J40" s="159">
        <f>'Yearly BTX'!K57/'Yearly BTX'!K54</f>
        <v>0.95380000000000009</v>
      </c>
      <c r="K40" s="159">
        <f>'Yearly BTX'!L57/'Yearly BTX'!L54</f>
        <v>0.94720000000000004</v>
      </c>
      <c r="L40" s="159">
        <f>'Yearly BTX'!M57/'Yearly BTX'!M54</f>
        <v>0.94059999999999999</v>
      </c>
      <c r="M40" s="159">
        <f>'Yearly BTX'!N57/'Yearly BTX'!N54</f>
        <v>0.93400000000000005</v>
      </c>
      <c r="N40" s="159">
        <f>'Yearly BTX'!O57/'Yearly BTX'!O54</f>
        <v>0.9274</v>
      </c>
      <c r="O40" s="159">
        <f>'Yearly BTX'!P57/'Yearly BTX'!P54</f>
        <v>0.92080000000000006</v>
      </c>
      <c r="P40" s="159">
        <f>'Yearly BTX'!Q57/'Yearly BTX'!Q54</f>
        <v>0.91420000000000001</v>
      </c>
      <c r="Q40" s="159">
        <f>'Yearly BTX'!R57/'Yearly BTX'!R54</f>
        <v>0.90759999999999985</v>
      </c>
      <c r="R40" s="159">
        <f>'Yearly BTX'!S57/'Yearly BTX'!S54</f>
        <v>0.90100000000000013</v>
      </c>
      <c r="S40" s="159">
        <f>'Yearly BTX'!T57/'Yearly BTX'!T54</f>
        <v>0.89440000000000008</v>
      </c>
      <c r="T40" s="159">
        <f>'Yearly BTX'!U57/'Yearly BTX'!U54</f>
        <v>0.88779999999999992</v>
      </c>
      <c r="U40" s="159">
        <f>'Yearly BTX'!V57/'Yearly BTX'!V54</f>
        <v>0.88119999999999987</v>
      </c>
      <c r="V40" s="159">
        <f>'Yearly BTX'!W57/'Yearly BTX'!W54</f>
        <v>0.87459999999999993</v>
      </c>
      <c r="W40" s="159">
        <f>'Yearly BTX'!X57/'Yearly BTX'!X54</f>
        <v>0.8680000000000001</v>
      </c>
      <c r="X40" s="159">
        <f>'Yearly BTX'!Y57/'Yearly BTX'!Y54</f>
        <v>0.86119999999999985</v>
      </c>
      <c r="Y40" s="159">
        <f>'Yearly BTX'!Z57/'Yearly BTX'!Z54</f>
        <v>0.85440000000000005</v>
      </c>
      <c r="Z40" s="159">
        <f>'Yearly BTX'!AA57/'Yearly BTX'!AA54</f>
        <v>0.84759999999999991</v>
      </c>
      <c r="AA40" s="159">
        <f>'Yearly BTX'!AB57/'Yearly BTX'!AB54</f>
        <v>0.8408000000000001</v>
      </c>
      <c r="AB40" s="159">
        <f>'Yearly BTX'!AC57/'Yearly BTX'!AC54</f>
        <v>0.83400000000000007</v>
      </c>
      <c r="AC40" s="159">
        <f>'Yearly BTX'!AD57/'Yearly BTX'!AD54</f>
        <v>0.82719999999999982</v>
      </c>
      <c r="AD40" s="159">
        <f>'Yearly BTX'!AE57/'Yearly BTX'!AE54</f>
        <v>0.82040000000000002</v>
      </c>
      <c r="AE40" s="159">
        <f>'Yearly BTX'!AF57/'Yearly BTX'!AF54</f>
        <v>0.81359999999999999</v>
      </c>
      <c r="AF40" s="159">
        <f>'Yearly BTX'!AG57/'Yearly BTX'!AG54</f>
        <v>0.80679999999999985</v>
      </c>
      <c r="AG40" s="159">
        <f>'Yearly BTX'!AH57/'Yearly BTX'!AH54</f>
        <v>0.8</v>
      </c>
      <c r="AI40" s="131"/>
      <c r="AL40" s="108"/>
      <c r="AM40" s="207"/>
      <c r="AN40" s="207"/>
      <c r="AO40" s="207"/>
      <c r="BD40" s="41"/>
      <c r="BE40" s="41"/>
      <c r="BF40" s="41"/>
      <c r="BG40" s="41"/>
      <c r="BH40" s="41"/>
      <c r="BI40" s="41"/>
      <c r="BJ40" s="41"/>
      <c r="BK40" s="41"/>
      <c r="BL40" s="118"/>
    </row>
    <row r="41" spans="1:64" outlineLevel="1" x14ac:dyDescent="0.2">
      <c r="AI41" t="s">
        <v>1299</v>
      </c>
      <c r="BD41" s="41"/>
      <c r="BE41" s="41"/>
      <c r="BF41" s="41"/>
      <c r="BG41" s="41"/>
      <c r="BH41" s="41"/>
      <c r="BI41" s="41"/>
      <c r="BJ41" s="41"/>
      <c r="BK41" s="41"/>
      <c r="BL41" s="118"/>
    </row>
    <row r="42" spans="1:64" outlineLevel="1" x14ac:dyDescent="0.2">
      <c r="A42" t="s">
        <v>1615</v>
      </c>
      <c r="B42" s="54" t="s">
        <v>1603</v>
      </c>
      <c r="C42" s="107">
        <f>C27*C36</f>
        <v>31.34132906881517</v>
      </c>
      <c r="D42" s="107">
        <f t="shared" ref="D42:AF42" si="17">D27*D36</f>
        <v>32.100131126660372</v>
      </c>
      <c r="E42" s="107">
        <f t="shared" si="17"/>
        <v>32.630412350746667</v>
      </c>
      <c r="F42" s="107">
        <f t="shared" si="17"/>
        <v>33.157601181425726</v>
      </c>
      <c r="G42" s="107">
        <f t="shared" si="17"/>
        <v>33.600684251735359</v>
      </c>
      <c r="H42" s="107">
        <f t="shared" si="17"/>
        <v>33.956032390620749</v>
      </c>
      <c r="I42" s="107">
        <f t="shared" si="17"/>
        <v>34.294525402554314</v>
      </c>
      <c r="J42" s="107">
        <f t="shared" si="17"/>
        <v>34.615443478628301</v>
      </c>
      <c r="K42" s="107">
        <f t="shared" si="17"/>
        <v>34.918083120969214</v>
      </c>
      <c r="L42" s="107">
        <f t="shared" si="17"/>
        <v>35.201759062994938</v>
      </c>
      <c r="M42" s="107">
        <f t="shared" si="17"/>
        <v>35.465806181553624</v>
      </c>
      <c r="N42" s="107">
        <f t="shared" si="17"/>
        <v>35.093802678843744</v>
      </c>
      <c r="O42" s="107">
        <f t="shared" si="17"/>
        <v>34.630232094198973</v>
      </c>
      <c r="P42" s="107">
        <f t="shared" si="17"/>
        <v>34.076907567637988</v>
      </c>
      <c r="Q42" s="107">
        <f t="shared" si="17"/>
        <v>33.436283329851811</v>
      </c>
      <c r="R42" s="107">
        <f t="shared" si="17"/>
        <v>32.711438763291639</v>
      </c>
      <c r="S42" s="107">
        <f t="shared" si="17"/>
        <v>31.963539549445727</v>
      </c>
      <c r="T42" s="107">
        <f t="shared" si="17"/>
        <v>31.192497513711523</v>
      </c>
      <c r="U42" s="107">
        <f t="shared" si="17"/>
        <v>30.398233983833784</v>
      </c>
      <c r="V42" s="107">
        <f t="shared" si="17"/>
        <v>29.580679966710761</v>
      </c>
      <c r="W42" s="107">
        <f t="shared" si="17"/>
        <v>28.739776320935356</v>
      </c>
      <c r="X42" s="107">
        <f t="shared" si="17"/>
        <v>27.865854299204688</v>
      </c>
      <c r="Y42" s="107">
        <f t="shared" si="17"/>
        <v>26.968573302925513</v>
      </c>
      <c r="Z42" s="107">
        <f t="shared" si="17"/>
        <v>26.047874258986898</v>
      </c>
      <c r="AA42" s="107">
        <f t="shared" si="17"/>
        <v>25.103707060220493</v>
      </c>
      <c r="AB42" s="107">
        <f t="shared" si="17"/>
        <v>24.136030708744933</v>
      </c>
      <c r="AC42" s="107">
        <f t="shared" si="17"/>
        <v>23.145032272056358</v>
      </c>
      <c r="AD42" s="107">
        <f t="shared" si="17"/>
        <v>22.13066088634352</v>
      </c>
      <c r="AE42" s="107">
        <f t="shared" si="17"/>
        <v>21.092873818819754</v>
      </c>
      <c r="AF42" s="107">
        <f t="shared" si="17"/>
        <v>20.031636590254429</v>
      </c>
      <c r="AG42" s="107">
        <f>AG27*AG36</f>
        <v>18.94692309439246</v>
      </c>
      <c r="AI42" s="210" t="s">
        <v>1301</v>
      </c>
      <c r="AJ42" s="211" t="s">
        <v>1302</v>
      </c>
      <c r="BD42" s="41"/>
      <c r="BE42" s="41"/>
      <c r="BF42" s="41"/>
      <c r="BG42" s="41"/>
      <c r="BH42" s="41"/>
      <c r="BI42" s="41"/>
      <c r="BJ42" s="41"/>
      <c r="BK42" s="41"/>
      <c r="BL42" s="118"/>
    </row>
    <row r="43" spans="1:64" outlineLevel="1" x14ac:dyDescent="0.2">
      <c r="A43" t="s">
        <v>1616</v>
      </c>
      <c r="B43" s="54" t="s">
        <v>1603</v>
      </c>
      <c r="C43" s="107">
        <f t="shared" ref="C43:O43" si="18">C28*$C$37</f>
        <v>2.6229670403228216</v>
      </c>
      <c r="D43" s="107">
        <f t="shared" si="18"/>
        <v>2.7108928289731047</v>
      </c>
      <c r="E43" s="107">
        <f t="shared" si="18"/>
        <v>2.7944420101401595</v>
      </c>
      <c r="F43" s="107">
        <f t="shared" si="18"/>
        <v>2.8730411328601577</v>
      </c>
      <c r="G43" s="107">
        <f t="shared" si="18"/>
        <v>2.9461396939974613</v>
      </c>
      <c r="H43" s="107">
        <f t="shared" si="18"/>
        <v>3.0132165607574328</v>
      </c>
      <c r="I43" s="107">
        <f t="shared" si="18"/>
        <v>3.0804177218878936</v>
      </c>
      <c r="J43" s="107">
        <f t="shared" si="18"/>
        <v>3.1476823329653176</v>
      </c>
      <c r="K43" s="107">
        <f t="shared" si="18"/>
        <v>3.2149480048477113</v>
      </c>
      <c r="L43" s="107">
        <f t="shared" si="18"/>
        <v>3.2821508848099983</v>
      </c>
      <c r="M43" s="107">
        <f t="shared" si="18"/>
        <v>3.349225743162942</v>
      </c>
      <c r="N43" s="107">
        <f t="shared" si="18"/>
        <v>3.4112183326215639</v>
      </c>
      <c r="O43" s="107">
        <f t="shared" si="18"/>
        <v>3.4677848311396122</v>
      </c>
      <c r="P43" s="107">
        <f t="shared" ref="P43:AG43" si="19">D37*P28</f>
        <v>3.5066044410810568</v>
      </c>
      <c r="Q43" s="107">
        <f t="shared" si="19"/>
        <v>3.5390036794168713</v>
      </c>
      <c r="R43" s="107">
        <f t="shared" si="19"/>
        <v>3.5647822590690015</v>
      </c>
      <c r="S43" s="107">
        <f t="shared" si="19"/>
        <v>3.590233210189623</v>
      </c>
      <c r="T43" s="107">
        <f t="shared" si="19"/>
        <v>3.6153454303859984</v>
      </c>
      <c r="U43" s="107">
        <f t="shared" si="19"/>
        <v>3.6401078349462996</v>
      </c>
      <c r="V43" s="107">
        <f t="shared" si="19"/>
        <v>3.6645093631872951</v>
      </c>
      <c r="W43" s="107">
        <f t="shared" si="19"/>
        <v>3.6885389848652843</v>
      </c>
      <c r="X43" s="107">
        <f t="shared" si="19"/>
        <v>3.7122265941878489</v>
      </c>
      <c r="Y43" s="107">
        <f t="shared" si="19"/>
        <v>3.735562073251816</v>
      </c>
      <c r="Z43" s="107">
        <f t="shared" si="19"/>
        <v>3.7262859072376777</v>
      </c>
      <c r="AA43" s="107">
        <f t="shared" si="19"/>
        <v>3.7154480578790658</v>
      </c>
      <c r="AB43" s="107">
        <f t="shared" si="19"/>
        <v>3.7030226907172485</v>
      </c>
      <c r="AC43" s="107">
        <f t="shared" si="19"/>
        <v>3.6890191766935558</v>
      </c>
      <c r="AD43" s="107">
        <f t="shared" si="19"/>
        <v>3.6734119615667842</v>
      </c>
      <c r="AE43" s="107">
        <f t="shared" si="19"/>
        <v>3.6561757661333423</v>
      </c>
      <c r="AF43" s="107">
        <f t="shared" si="19"/>
        <v>3.637285603985108</v>
      </c>
      <c r="AG43" s="107">
        <f t="shared" si="19"/>
        <v>3.6167167993519564</v>
      </c>
      <c r="AI43" s="210" t="s">
        <v>1304</v>
      </c>
      <c r="AJ43" s="211" t="s">
        <v>1302</v>
      </c>
      <c r="BD43" s="41"/>
      <c r="BE43" s="41"/>
      <c r="BF43" s="41"/>
      <c r="BG43" s="41"/>
      <c r="BH43" s="41"/>
      <c r="BI43" s="41"/>
      <c r="BJ43" s="41"/>
      <c r="BK43" s="41"/>
      <c r="BL43" s="118"/>
    </row>
    <row r="44" spans="1:64" outlineLevel="1" x14ac:dyDescent="0.2">
      <c r="A44" t="s">
        <v>1617</v>
      </c>
      <c r="B44" s="54" t="s">
        <v>1603</v>
      </c>
      <c r="C44" s="107">
        <f t="shared" ref="C44:AG44" si="20">C29</f>
        <v>1.1926002393003741</v>
      </c>
      <c r="D44" s="107">
        <f t="shared" si="20"/>
        <v>1.2325779877710892</v>
      </c>
      <c r="E44" s="107">
        <f t="shared" si="20"/>
        <v>1.2705657977288216</v>
      </c>
      <c r="F44" s="107">
        <f t="shared" si="20"/>
        <v>1.3063029347662478</v>
      </c>
      <c r="G44" s="107">
        <f t="shared" si="20"/>
        <v>1.3395390983034507</v>
      </c>
      <c r="H44" s="107">
        <f t="shared" si="20"/>
        <v>1.3700373417505416</v>
      </c>
      <c r="I44" s="107">
        <f t="shared" si="20"/>
        <v>1.4005920988684912</v>
      </c>
      <c r="J44" s="107">
        <f t="shared" si="20"/>
        <v>1.4311757051563951</v>
      </c>
      <c r="K44" s="107">
        <f t="shared" si="20"/>
        <v>1.4617597937668911</v>
      </c>
      <c r="L44" s="107">
        <f t="shared" si="20"/>
        <v>1.4923153323964706</v>
      </c>
      <c r="M44" s="107">
        <f t="shared" si="20"/>
        <v>1.5228126626690286</v>
      </c>
      <c r="N44" s="107">
        <f t="shared" si="20"/>
        <v>1.5509992071000649</v>
      </c>
      <c r="O44" s="107">
        <f t="shared" si="20"/>
        <v>1.5767186380467479</v>
      </c>
      <c r="P44" s="107">
        <f t="shared" si="20"/>
        <v>1.5998256695538531</v>
      </c>
      <c r="Q44" s="107">
        <f t="shared" si="20"/>
        <v>1.6201874076724028</v>
      </c>
      <c r="R44" s="107">
        <f t="shared" si="20"/>
        <v>1.6376846094055579</v>
      </c>
      <c r="S44" s="107">
        <f t="shared" si="20"/>
        <v>1.6551895758372015</v>
      </c>
      <c r="T44" s="107">
        <f t="shared" si="20"/>
        <v>1.6726984069041777</v>
      </c>
      <c r="U44" s="107">
        <f t="shared" si="20"/>
        <v>1.6902071557211769</v>
      </c>
      <c r="V44" s="107">
        <f t="shared" si="20"/>
        <v>1.7077118298259113</v>
      </c>
      <c r="W44" s="107">
        <f t="shared" si="20"/>
        <v>1.7252083924656403</v>
      </c>
      <c r="X44" s="107">
        <f t="shared" si="20"/>
        <v>1.7427119586603461</v>
      </c>
      <c r="Y44" s="107">
        <f t="shared" si="20"/>
        <v>1.7602190142916225</v>
      </c>
      <c r="Z44" s="107">
        <f t="shared" si="20"/>
        <v>1.777726005527908</v>
      </c>
      <c r="AA44" s="107">
        <f t="shared" si="20"/>
        <v>1.7952293398399146</v>
      </c>
      <c r="AB44" s="107">
        <f t="shared" si="20"/>
        <v>1.8127253870476614</v>
      </c>
      <c r="AC44" s="107">
        <f t="shared" si="20"/>
        <v>1.8302277836424548</v>
      </c>
      <c r="AD44" s="107">
        <f t="shared" si="20"/>
        <v>1.847733346526294</v>
      </c>
      <c r="AE44" s="107">
        <f t="shared" si="20"/>
        <v>1.865238858619557</v>
      </c>
      <c r="AF44" s="107">
        <f t="shared" si="20"/>
        <v>1.8827410696973514</v>
      </c>
      <c r="AG44" s="107">
        <f t="shared" si="20"/>
        <v>1.9002366972503657</v>
      </c>
      <c r="AI44" s="210" t="s">
        <v>1306</v>
      </c>
      <c r="AJ44" s="211" t="s">
        <v>1302</v>
      </c>
      <c r="BD44" s="41"/>
      <c r="BE44" s="41"/>
      <c r="BF44" s="41"/>
      <c r="BG44" s="41"/>
      <c r="BH44" s="41"/>
      <c r="BI44" s="41"/>
      <c r="BJ44" s="41"/>
      <c r="BK44" s="41"/>
      <c r="BL44" s="118"/>
    </row>
    <row r="45" spans="1:64" outlineLevel="1" x14ac:dyDescent="0.2">
      <c r="A45" t="s">
        <v>1618</v>
      </c>
      <c r="B45" s="54" t="s">
        <v>1603</v>
      </c>
      <c r="C45" s="262">
        <f t="shared" ref="C45:H45" si="21">C30*$C$39</f>
        <v>16.948707747256268</v>
      </c>
      <c r="D45" s="262">
        <f t="shared" si="21"/>
        <v>17.516853847596614</v>
      </c>
      <c r="E45" s="262">
        <f t="shared" si="21"/>
        <v>18.056719820883373</v>
      </c>
      <c r="F45" s="262">
        <f t="shared" si="21"/>
        <v>18.564600224904016</v>
      </c>
      <c r="G45" s="262">
        <f t="shared" si="21"/>
        <v>19.036937898391756</v>
      </c>
      <c r="H45" s="262">
        <f t="shared" si="21"/>
        <v>19.470365461086743</v>
      </c>
      <c r="I45" s="262">
        <f t="shared" ref="I45:AG46" si="22">I30*D39</f>
        <v>19.289544149418809</v>
      </c>
      <c r="J45" s="262">
        <f t="shared" si="22"/>
        <v>19.082272034045914</v>
      </c>
      <c r="K45" s="262">
        <f t="shared" si="22"/>
        <v>18.848145342447612</v>
      </c>
      <c r="L45" s="262">
        <f t="shared" si="22"/>
        <v>18.586801841586716</v>
      </c>
      <c r="M45" s="262">
        <f t="shared" si="22"/>
        <v>18.297922772269558</v>
      </c>
      <c r="N45" s="262">
        <f t="shared" si="22"/>
        <v>17.955507325492263</v>
      </c>
      <c r="O45" s="262">
        <f t="shared" si="22"/>
        <v>17.560858642505199</v>
      </c>
      <c r="P45" s="262">
        <f t="shared" si="22"/>
        <v>17.115672590725129</v>
      </c>
      <c r="Q45" s="262">
        <f t="shared" si="22"/>
        <v>16.622027373015374</v>
      </c>
      <c r="R45" s="262">
        <f t="shared" si="22"/>
        <v>16.082368681818085</v>
      </c>
      <c r="S45" s="262">
        <f t="shared" si="22"/>
        <v>15.741473178730173</v>
      </c>
      <c r="T45" s="262">
        <f t="shared" si="22"/>
        <v>15.38976673621206</v>
      </c>
      <c r="U45" s="262">
        <f t="shared" si="22"/>
        <v>15.027210671559057</v>
      </c>
      <c r="V45" s="262">
        <f t="shared" si="22"/>
        <v>14.65377080214245</v>
      </c>
      <c r="W45" s="262">
        <f t="shared" si="22"/>
        <v>14.269417526651981</v>
      </c>
      <c r="X45" s="262">
        <f t="shared" si="22"/>
        <v>13.874278719608631</v>
      </c>
      <c r="Y45" s="262">
        <f t="shared" si="22"/>
        <v>13.468320983369544</v>
      </c>
      <c r="Z45" s="262">
        <f t="shared" si="22"/>
        <v>13.051514983593952</v>
      </c>
      <c r="AA45" s="262">
        <f t="shared" si="22"/>
        <v>12.62383551790157</v>
      </c>
      <c r="AB45" s="262">
        <f t="shared" si="22"/>
        <v>12.185261582855924</v>
      </c>
      <c r="AC45" s="262">
        <f t="shared" si="22"/>
        <v>11.618840642758489</v>
      </c>
      <c r="AD45" s="262">
        <f t="shared" si="22"/>
        <v>11.03935508890534</v>
      </c>
      <c r="AE45" s="262">
        <f t="shared" si="22"/>
        <v>10.446783352822626</v>
      </c>
      <c r="AF45" s="262">
        <f t="shared" si="22"/>
        <v>9.8411085024997806</v>
      </c>
      <c r="AG45" s="262">
        <f t="shared" si="22"/>
        <v>9.2223183085099265</v>
      </c>
      <c r="AI45" s="210" t="s">
        <v>1308</v>
      </c>
      <c r="AJ45" s="211" t="s">
        <v>1302</v>
      </c>
      <c r="AL45" s="5"/>
      <c r="AM45" s="109"/>
      <c r="AN45" s="109"/>
      <c r="AO45" s="109"/>
      <c r="BC45" s="1"/>
      <c r="BD45" s="118"/>
      <c r="BE45" s="118"/>
      <c r="BF45" s="118"/>
      <c r="BG45" s="118"/>
      <c r="BH45" s="118"/>
      <c r="BI45" s="118"/>
      <c r="BJ45" s="118"/>
      <c r="BK45" s="118"/>
      <c r="BL45" s="118"/>
    </row>
    <row r="46" spans="1:64" outlineLevel="1" x14ac:dyDescent="0.2">
      <c r="A46" s="181" t="s">
        <v>1619</v>
      </c>
      <c r="B46" s="176" t="s">
        <v>1603</v>
      </c>
      <c r="C46" s="107">
        <f t="shared" ref="C46:H46" si="23">C31*$C$40</f>
        <v>18.658875289242712</v>
      </c>
      <c r="D46" s="107">
        <f t="shared" si="23"/>
        <v>19.284348770195038</v>
      </c>
      <c r="E46" s="107">
        <f t="shared" si="23"/>
        <v>19.878688587641829</v>
      </c>
      <c r="F46" s="107">
        <f t="shared" si="23"/>
        <v>20.437815410865589</v>
      </c>
      <c r="G46" s="107">
        <f t="shared" si="23"/>
        <v>20.9578131520176</v>
      </c>
      <c r="H46" s="107">
        <f t="shared" si="23"/>
        <v>21.434974653640364</v>
      </c>
      <c r="I46" s="107">
        <f t="shared" si="22"/>
        <v>21.768394407928305</v>
      </c>
      <c r="J46" s="107">
        <f t="shared" si="22"/>
        <v>22.095949362019734</v>
      </c>
      <c r="K46" s="107">
        <f t="shared" si="22"/>
        <v>22.417195551841957</v>
      </c>
      <c r="L46" s="107">
        <f t="shared" si="22"/>
        <v>22.731690593469754</v>
      </c>
      <c r="M46" s="107">
        <f t="shared" si="22"/>
        <v>23.038994622545282</v>
      </c>
      <c r="N46" s="107">
        <f t="shared" si="22"/>
        <v>23.305278493362728</v>
      </c>
      <c r="O46" s="107">
        <f t="shared" si="22"/>
        <v>23.528925211997976</v>
      </c>
      <c r="P46" s="107">
        <f t="shared" si="22"/>
        <v>23.708545986253778</v>
      </c>
      <c r="Q46" s="107">
        <f t="shared" si="22"/>
        <v>23.84299439635808</v>
      </c>
      <c r="R46" s="107">
        <f t="shared" si="22"/>
        <v>23.931378393830268</v>
      </c>
      <c r="S46" s="107">
        <f t="shared" si="22"/>
        <v>24.016261512604306</v>
      </c>
      <c r="T46" s="107">
        <f t="shared" si="22"/>
        <v>24.097585161395617</v>
      </c>
      <c r="U46" s="107">
        <f t="shared" si="22"/>
        <v>24.175291690106121</v>
      </c>
      <c r="V46" s="107">
        <f t="shared" si="22"/>
        <v>24.249324431679977</v>
      </c>
      <c r="W46" s="107">
        <f t="shared" si="22"/>
        <v>24.319627743770837</v>
      </c>
      <c r="X46" s="107">
        <f t="shared" si="22"/>
        <v>24.386415649250193</v>
      </c>
      <c r="Y46" s="107">
        <f t="shared" si="22"/>
        <v>24.449637167050767</v>
      </c>
      <c r="Z46" s="107">
        <f t="shared" si="22"/>
        <v>24.509242220065442</v>
      </c>
      <c r="AA46" s="107">
        <f t="shared" si="22"/>
        <v>24.565181669545904</v>
      </c>
      <c r="AB46" s="107">
        <f t="shared" si="22"/>
        <v>24.617407349301502</v>
      </c>
      <c r="AC46" s="107">
        <f t="shared" si="22"/>
        <v>24.660378316106094</v>
      </c>
      <c r="AD46" s="107">
        <f t="shared" si="22"/>
        <v>24.699667459863193</v>
      </c>
      <c r="AE46" s="107">
        <f t="shared" si="22"/>
        <v>24.735231107783491</v>
      </c>
      <c r="AF46" s="107">
        <f t="shared" si="22"/>
        <v>24.767026520115543</v>
      </c>
      <c r="AG46" s="107">
        <f t="shared" si="22"/>
        <v>24.795011919009937</v>
      </c>
      <c r="AI46" s="210" t="s">
        <v>1308</v>
      </c>
      <c r="AJ46" s="211" t="s">
        <v>1302</v>
      </c>
      <c r="AL46" s="108"/>
      <c r="AM46" s="2"/>
      <c r="AN46" s="2"/>
      <c r="AO46" s="2"/>
    </row>
    <row r="47" spans="1:64" s="1" customFormat="1" ht="16" thickBot="1" x14ac:dyDescent="0.25">
      <c r="A47" s="200" t="s">
        <v>1620</v>
      </c>
      <c r="B47" s="215" t="s">
        <v>1603</v>
      </c>
      <c r="C47" s="216">
        <f>SUM(C42:C46)</f>
        <v>70.764479384937346</v>
      </c>
      <c r="D47" s="216">
        <f t="shared" ref="D47:AF47" si="24">SUM(D42:D46)</f>
        <v>72.844804561196213</v>
      </c>
      <c r="E47" s="216">
        <f t="shared" si="24"/>
        <v>74.630828567140853</v>
      </c>
      <c r="F47" s="216">
        <f t="shared" si="24"/>
        <v>76.33936088482173</v>
      </c>
      <c r="G47" s="216">
        <f t="shared" si="24"/>
        <v>77.881114094445621</v>
      </c>
      <c r="H47" s="216">
        <f t="shared" si="24"/>
        <v>79.244626407855833</v>
      </c>
      <c r="I47" s="216">
        <f t="shared" si="24"/>
        <v>79.833473780657812</v>
      </c>
      <c r="J47" s="216">
        <f t="shared" si="24"/>
        <v>80.372522912815668</v>
      </c>
      <c r="K47" s="216">
        <f t="shared" si="24"/>
        <v>80.86013181387338</v>
      </c>
      <c r="L47" s="216">
        <f t="shared" si="24"/>
        <v>81.294717715257875</v>
      </c>
      <c r="M47" s="216">
        <f t="shared" si="24"/>
        <v>81.674761982200437</v>
      </c>
      <c r="N47" s="216">
        <f t="shared" si="24"/>
        <v>81.316806037420363</v>
      </c>
      <c r="O47" s="216">
        <f t="shared" si="24"/>
        <v>80.764519417888508</v>
      </c>
      <c r="P47" s="216">
        <f t="shared" si="24"/>
        <v>80.007556255251814</v>
      </c>
      <c r="Q47" s="216">
        <f t="shared" si="24"/>
        <v>79.060496186314538</v>
      </c>
      <c r="R47" s="216">
        <f t="shared" si="24"/>
        <v>77.927652707414552</v>
      </c>
      <c r="S47" s="216">
        <f t="shared" si="24"/>
        <v>76.966697026807026</v>
      </c>
      <c r="T47" s="216">
        <f t="shared" si="24"/>
        <v>75.967893248609371</v>
      </c>
      <c r="U47" s="216">
        <f t="shared" si="24"/>
        <v>74.931051336166433</v>
      </c>
      <c r="V47" s="216">
        <f t="shared" si="24"/>
        <v>73.855996393546391</v>
      </c>
      <c r="W47" s="216">
        <f t="shared" si="24"/>
        <v>72.742568968689099</v>
      </c>
      <c r="X47" s="216">
        <f t="shared" si="24"/>
        <v>71.581487220911711</v>
      </c>
      <c r="Y47" s="216">
        <f t="shared" si="24"/>
        <v>70.382312540889274</v>
      </c>
      <c r="Z47" s="216">
        <f t="shared" si="24"/>
        <v>69.112643375411878</v>
      </c>
      <c r="AA47" s="216">
        <f t="shared" si="24"/>
        <v>67.803401645386941</v>
      </c>
      <c r="AB47" s="216">
        <f t="shared" si="24"/>
        <v>66.454447718667268</v>
      </c>
      <c r="AC47" s="216">
        <f t="shared" si="24"/>
        <v>64.94349819125695</v>
      </c>
      <c r="AD47" s="216">
        <f t="shared" si="24"/>
        <v>63.390828743205134</v>
      </c>
      <c r="AE47" s="216">
        <f t="shared" si="24"/>
        <v>61.796302904178766</v>
      </c>
      <c r="AF47" s="216">
        <f t="shared" si="24"/>
        <v>60.159798286552217</v>
      </c>
      <c r="AG47" s="216">
        <f>SUM(AG42:AG46)</f>
        <v>58.48120681851465</v>
      </c>
      <c r="AJ47" s="162"/>
      <c r="AL47" s="221"/>
      <c r="AM47" s="124"/>
      <c r="AN47" s="124"/>
      <c r="AO47" s="124"/>
    </row>
    <row r="48" spans="1:64" ht="16" thickTop="1" x14ac:dyDescent="0.2">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x14ac:dyDescent="0.25">
      <c r="A49" s="200" t="s">
        <v>1311</v>
      </c>
      <c r="B49" s="215" t="s">
        <v>462</v>
      </c>
      <c r="C49" s="222">
        <f>C52</f>
        <v>0.14200000000000002</v>
      </c>
      <c r="D49" s="222">
        <f t="shared" ref="D49:AG49" si="25">D52</f>
        <v>0.14849999999999999</v>
      </c>
      <c r="E49" s="222">
        <f t="shared" si="25"/>
        <v>0.155</v>
      </c>
      <c r="F49" s="222">
        <f t="shared" si="25"/>
        <v>0.16149999999999998</v>
      </c>
      <c r="G49" s="222">
        <f t="shared" si="25"/>
        <v>0.16800000000000001</v>
      </c>
      <c r="H49" s="222">
        <f t="shared" si="25"/>
        <v>0.17449999999999999</v>
      </c>
      <c r="I49" s="222">
        <f t="shared" si="25"/>
        <v>0.18099999999999999</v>
      </c>
      <c r="J49" s="222">
        <f t="shared" si="25"/>
        <v>0.1875</v>
      </c>
      <c r="K49" s="222">
        <f t="shared" si="25"/>
        <v>0.19400000000000001</v>
      </c>
      <c r="L49" s="222">
        <f t="shared" si="25"/>
        <v>0.20050000000000001</v>
      </c>
      <c r="M49" s="222">
        <f t="shared" si="25"/>
        <v>0.20700000000000002</v>
      </c>
      <c r="N49" s="222">
        <f t="shared" si="25"/>
        <v>0.22070000000000001</v>
      </c>
      <c r="O49" s="222">
        <f t="shared" si="25"/>
        <v>0.2344</v>
      </c>
      <c r="P49" s="222">
        <f t="shared" si="25"/>
        <v>0.24809999999999999</v>
      </c>
      <c r="Q49" s="222">
        <f t="shared" si="25"/>
        <v>0.26179999999999998</v>
      </c>
      <c r="R49" s="222">
        <f t="shared" si="25"/>
        <v>0.27549999999999997</v>
      </c>
      <c r="S49" s="222">
        <f t="shared" si="25"/>
        <v>0.28920000000000001</v>
      </c>
      <c r="T49" s="222">
        <f t="shared" si="25"/>
        <v>0.3029</v>
      </c>
      <c r="U49" s="222">
        <f t="shared" si="25"/>
        <v>0.31659999999999999</v>
      </c>
      <c r="V49" s="222">
        <f t="shared" si="25"/>
        <v>0.33030000000000004</v>
      </c>
      <c r="W49" s="222">
        <f t="shared" si="25"/>
        <v>0.34399999999999997</v>
      </c>
      <c r="X49" s="222">
        <f t="shared" si="25"/>
        <v>0.36692262658227848</v>
      </c>
      <c r="Y49" s="222">
        <f t="shared" si="25"/>
        <v>0.38984525316455698</v>
      </c>
      <c r="Z49" s="222">
        <f t="shared" si="25"/>
        <v>0.41276787974683543</v>
      </c>
      <c r="AA49" s="222">
        <f t="shared" si="25"/>
        <v>0.43569050632911388</v>
      </c>
      <c r="AB49" s="222">
        <f t="shared" si="25"/>
        <v>0.45861313291139238</v>
      </c>
      <c r="AC49" s="222">
        <f t="shared" si="25"/>
        <v>0.48153575949367089</v>
      </c>
      <c r="AD49" s="222">
        <f t="shared" si="25"/>
        <v>0.50445838607594939</v>
      </c>
      <c r="AE49" s="222">
        <f t="shared" si="25"/>
        <v>0.5273810126582279</v>
      </c>
      <c r="AF49" s="222">
        <f t="shared" si="25"/>
        <v>0.55030363924050629</v>
      </c>
      <c r="AG49" s="222">
        <f t="shared" si="25"/>
        <v>0.5732262658227848</v>
      </c>
      <c r="AJ49" s="231" t="s">
        <v>1312</v>
      </c>
      <c r="AL49" s="217"/>
      <c r="AM49" s="218"/>
      <c r="AN49" s="218"/>
      <c r="AO49" s="218"/>
    </row>
    <row r="50" spans="1:63" ht="16" outlineLevel="1" thickTop="1" x14ac:dyDescent="0.2">
      <c r="A50" t="s">
        <v>1313</v>
      </c>
      <c r="B50" s="54" t="s">
        <v>462</v>
      </c>
      <c r="C50" s="113">
        <v>4.7E-2</v>
      </c>
      <c r="D50" s="110">
        <f>$C50+($M50-$C50)/10*(D$1-$C$1)</f>
        <v>5.0200000000000002E-2</v>
      </c>
      <c r="E50" s="110">
        <f t="shared" ref="E50:L51" si="26">$C50+($M50-$C50)/10*(E$1-$C$1)</f>
        <v>5.3400000000000003E-2</v>
      </c>
      <c r="F50" s="110">
        <f t="shared" si="26"/>
        <v>5.6599999999999998E-2</v>
      </c>
      <c r="G50" s="110">
        <f t="shared" si="26"/>
        <v>5.9799999999999999E-2</v>
      </c>
      <c r="H50" s="110">
        <f t="shared" si="26"/>
        <v>6.3E-2</v>
      </c>
      <c r="I50" s="110">
        <f t="shared" si="26"/>
        <v>6.6200000000000009E-2</v>
      </c>
      <c r="J50" s="110">
        <f t="shared" si="26"/>
        <v>6.9400000000000003E-2</v>
      </c>
      <c r="K50" s="110">
        <f t="shared" si="26"/>
        <v>7.2599999999999998E-2</v>
      </c>
      <c r="L50" s="110">
        <f t="shared" si="26"/>
        <v>7.5800000000000006E-2</v>
      </c>
      <c r="M50" s="113">
        <v>7.9000000000000001E-2</v>
      </c>
      <c r="N50" s="110">
        <f>$M50+($W50-$M50)/10*(N$1-$M$1)</f>
        <v>8.5100000000000009E-2</v>
      </c>
      <c r="O50" s="110">
        <f t="shared" ref="O50:U51" si="27">$M50+($W50-$M50)/10*(O$1-$M$1)</f>
        <v>9.1200000000000003E-2</v>
      </c>
      <c r="P50" s="110">
        <f t="shared" si="27"/>
        <v>9.7299999999999998E-2</v>
      </c>
      <c r="Q50" s="110">
        <f t="shared" si="27"/>
        <v>0.10340000000000001</v>
      </c>
      <c r="R50" s="110">
        <f t="shared" si="27"/>
        <v>0.10950000000000001</v>
      </c>
      <c r="S50" s="110">
        <f t="shared" si="27"/>
        <v>0.11560000000000001</v>
      </c>
      <c r="T50" s="110">
        <f t="shared" si="27"/>
        <v>0.1217</v>
      </c>
      <c r="U50" s="110">
        <f t="shared" si="27"/>
        <v>0.12780000000000002</v>
      </c>
      <c r="V50" s="110">
        <f>$M50+($W50-$M50)/10*(V$1-$M$1)</f>
        <v>0.13390000000000002</v>
      </c>
      <c r="W50" s="113">
        <v>0.14000000000000001</v>
      </c>
      <c r="X50" s="110">
        <f>$W50+($AG50-$W50)/10*(X$1-$W$1)</f>
        <v>0.15081012658227849</v>
      </c>
      <c r="Y50" s="110">
        <f t="shared" ref="Y50:AF51" si="28">$W50+($AG50-$W50)/10*(Y$1-$W$1)</f>
        <v>0.16162025316455697</v>
      </c>
      <c r="Z50" s="110">
        <f t="shared" si="28"/>
        <v>0.17243037974683545</v>
      </c>
      <c r="AA50" s="110">
        <f t="shared" si="28"/>
        <v>0.18324050632911396</v>
      </c>
      <c r="AB50" s="110">
        <f t="shared" si="28"/>
        <v>0.19405063291139243</v>
      </c>
      <c r="AC50" s="110">
        <f t="shared" si="28"/>
        <v>0.20486075949367091</v>
      </c>
      <c r="AD50" s="110">
        <f t="shared" si="28"/>
        <v>0.21567088607594942</v>
      </c>
      <c r="AE50" s="110">
        <f t="shared" si="28"/>
        <v>0.2264810126582279</v>
      </c>
      <c r="AF50" s="110">
        <f t="shared" si="28"/>
        <v>0.23729113924050638</v>
      </c>
      <c r="AG50" s="110">
        <f>(W50/M50)*W50</f>
        <v>0.24810126582278486</v>
      </c>
      <c r="AI50" s="133"/>
      <c r="AJ50" s="211" t="s">
        <v>1431</v>
      </c>
      <c r="AL50" s="108"/>
      <c r="AM50" s="2"/>
      <c r="AN50" s="2"/>
      <c r="AO50" s="2"/>
      <c r="AV50" s="41"/>
    </row>
    <row r="51" spans="1:63" outlineLevel="1" x14ac:dyDescent="0.2">
      <c r="A51" t="s">
        <v>1315</v>
      </c>
      <c r="B51" s="54" t="s">
        <v>462</v>
      </c>
      <c r="C51" s="113">
        <v>9.5000000000000001E-2</v>
      </c>
      <c r="D51" s="110">
        <f>$C51+($M51-$C51)/10*(D$1-$C$1)</f>
        <v>9.8299999999999998E-2</v>
      </c>
      <c r="E51" s="110">
        <f t="shared" si="26"/>
        <v>0.1016</v>
      </c>
      <c r="F51" s="110">
        <f t="shared" si="26"/>
        <v>0.10489999999999999</v>
      </c>
      <c r="G51" s="110">
        <f t="shared" si="26"/>
        <v>0.1082</v>
      </c>
      <c r="H51" s="110">
        <f t="shared" si="26"/>
        <v>0.1115</v>
      </c>
      <c r="I51" s="110">
        <f t="shared" si="26"/>
        <v>0.1148</v>
      </c>
      <c r="J51" s="110">
        <f t="shared" si="26"/>
        <v>0.1181</v>
      </c>
      <c r="K51" s="110">
        <f t="shared" si="26"/>
        <v>0.12140000000000001</v>
      </c>
      <c r="L51" s="110">
        <f t="shared" si="26"/>
        <v>0.12470000000000001</v>
      </c>
      <c r="M51" s="113">
        <v>0.128</v>
      </c>
      <c r="N51" s="110">
        <f>$M51+($W51-$M51)/10*(N$1-$M$1)</f>
        <v>0.1356</v>
      </c>
      <c r="O51" s="110">
        <f t="shared" si="27"/>
        <v>0.14319999999999999</v>
      </c>
      <c r="P51" s="110">
        <f t="shared" si="27"/>
        <v>0.15079999999999999</v>
      </c>
      <c r="Q51" s="110">
        <f t="shared" si="27"/>
        <v>0.15839999999999999</v>
      </c>
      <c r="R51" s="110">
        <f t="shared" si="27"/>
        <v>0.16599999999999998</v>
      </c>
      <c r="S51" s="110">
        <f t="shared" si="27"/>
        <v>0.17359999999999998</v>
      </c>
      <c r="T51" s="110">
        <f t="shared" si="27"/>
        <v>0.1812</v>
      </c>
      <c r="U51" s="110">
        <f t="shared" si="27"/>
        <v>0.1888</v>
      </c>
      <c r="V51" s="110">
        <f>$M51+($W51-$M51)/10*(V$1-$M$1)</f>
        <v>0.19639999999999999</v>
      </c>
      <c r="W51" s="113">
        <v>0.20399999999999999</v>
      </c>
      <c r="X51" s="110">
        <f>$W51+($AG51-$W51)/10*(X$1-$W$1)</f>
        <v>0.21611249999999999</v>
      </c>
      <c r="Y51" s="110">
        <f t="shared" si="28"/>
        <v>0.22822499999999998</v>
      </c>
      <c r="Z51" s="110">
        <f t="shared" si="28"/>
        <v>0.24033749999999998</v>
      </c>
      <c r="AA51" s="110">
        <f t="shared" si="28"/>
        <v>0.25244999999999995</v>
      </c>
      <c r="AB51" s="110">
        <f t="shared" si="28"/>
        <v>0.26456249999999998</v>
      </c>
      <c r="AC51" s="110">
        <f t="shared" si="28"/>
        <v>0.27667499999999995</v>
      </c>
      <c r="AD51" s="110">
        <f t="shared" si="28"/>
        <v>0.28878749999999997</v>
      </c>
      <c r="AE51" s="110">
        <f t="shared" si="28"/>
        <v>0.30089999999999995</v>
      </c>
      <c r="AF51" s="110">
        <f t="shared" si="28"/>
        <v>0.31301249999999992</v>
      </c>
      <c r="AG51" s="110">
        <f>(W51/M51)*W51</f>
        <v>0.32512499999999994</v>
      </c>
      <c r="AI51" s="133"/>
      <c r="AJ51" s="211" t="s">
        <v>1431</v>
      </c>
      <c r="AL51" s="108"/>
      <c r="AM51" s="2"/>
      <c r="AN51" s="2"/>
      <c r="AO51" s="2"/>
      <c r="AV51" s="41"/>
    </row>
    <row r="52" spans="1:63" outlineLevel="1" x14ac:dyDescent="0.2">
      <c r="A52" t="s">
        <v>1316</v>
      </c>
      <c r="B52" s="176" t="s">
        <v>462</v>
      </c>
      <c r="C52" s="110">
        <f>C50+C51</f>
        <v>0.14200000000000002</v>
      </c>
      <c r="D52" s="110">
        <f t="shared" ref="D52:AF52" si="29">D50+D51</f>
        <v>0.14849999999999999</v>
      </c>
      <c r="E52" s="110">
        <f t="shared" si="29"/>
        <v>0.155</v>
      </c>
      <c r="F52" s="110">
        <f t="shared" si="29"/>
        <v>0.16149999999999998</v>
      </c>
      <c r="G52" s="110">
        <f t="shared" si="29"/>
        <v>0.16800000000000001</v>
      </c>
      <c r="H52" s="110">
        <f t="shared" si="29"/>
        <v>0.17449999999999999</v>
      </c>
      <c r="I52" s="110">
        <f t="shared" si="29"/>
        <v>0.18099999999999999</v>
      </c>
      <c r="J52" s="110">
        <f t="shared" si="29"/>
        <v>0.1875</v>
      </c>
      <c r="K52" s="110">
        <f t="shared" si="29"/>
        <v>0.19400000000000001</v>
      </c>
      <c r="L52" s="110">
        <f t="shared" si="29"/>
        <v>0.20050000000000001</v>
      </c>
      <c r="M52" s="110">
        <f t="shared" si="29"/>
        <v>0.20700000000000002</v>
      </c>
      <c r="N52" s="110">
        <f t="shared" si="29"/>
        <v>0.22070000000000001</v>
      </c>
      <c r="O52" s="110">
        <f t="shared" si="29"/>
        <v>0.2344</v>
      </c>
      <c r="P52" s="110">
        <f t="shared" si="29"/>
        <v>0.24809999999999999</v>
      </c>
      <c r="Q52" s="110">
        <f t="shared" si="29"/>
        <v>0.26179999999999998</v>
      </c>
      <c r="R52" s="110">
        <f t="shared" si="29"/>
        <v>0.27549999999999997</v>
      </c>
      <c r="S52" s="110">
        <f t="shared" si="29"/>
        <v>0.28920000000000001</v>
      </c>
      <c r="T52" s="110">
        <f t="shared" si="29"/>
        <v>0.3029</v>
      </c>
      <c r="U52" s="110">
        <f t="shared" si="29"/>
        <v>0.31659999999999999</v>
      </c>
      <c r="V52" s="110">
        <f t="shared" si="29"/>
        <v>0.33030000000000004</v>
      </c>
      <c r="W52" s="110">
        <f t="shared" si="29"/>
        <v>0.34399999999999997</v>
      </c>
      <c r="X52" s="110">
        <f t="shared" si="29"/>
        <v>0.36692262658227848</v>
      </c>
      <c r="Y52" s="110">
        <f t="shared" si="29"/>
        <v>0.38984525316455698</v>
      </c>
      <c r="Z52" s="110">
        <f t="shared" si="29"/>
        <v>0.41276787974683543</v>
      </c>
      <c r="AA52" s="110">
        <f t="shared" si="29"/>
        <v>0.43569050632911388</v>
      </c>
      <c r="AB52" s="110">
        <f t="shared" si="29"/>
        <v>0.45861313291139238</v>
      </c>
      <c r="AC52" s="110">
        <f t="shared" si="29"/>
        <v>0.48153575949367089</v>
      </c>
      <c r="AD52" s="110">
        <f t="shared" si="29"/>
        <v>0.50445838607594939</v>
      </c>
      <c r="AE52" s="110">
        <f t="shared" si="29"/>
        <v>0.5273810126582279</v>
      </c>
      <c r="AF52" s="110">
        <f t="shared" si="29"/>
        <v>0.55030363924050629</v>
      </c>
      <c r="AG52" s="110">
        <f>AG50+AG51</f>
        <v>0.5732262658227848</v>
      </c>
      <c r="AI52" s="133"/>
      <c r="AJ52" s="211"/>
      <c r="AL52" s="108"/>
      <c r="AM52" s="2"/>
      <c r="AN52" s="2"/>
      <c r="AO52" s="2"/>
    </row>
    <row r="53" spans="1:63" outlineLevel="1" x14ac:dyDescent="0.2">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x14ac:dyDescent="0.2">
      <c r="A54" t="s">
        <v>1317</v>
      </c>
      <c r="B54" s="54" t="s">
        <v>462</v>
      </c>
      <c r="C54" s="110">
        <f>'Ethylene Recycling HC'!C57</f>
        <v>0.11499935012302656</v>
      </c>
      <c r="D54" s="110">
        <f>'Ethylene Recycling HC'!D57</f>
        <v>0.11283270511892568</v>
      </c>
      <c r="E54" s="110">
        <f>'Ethylene Recycling HC'!E57</f>
        <v>0.1106660601148248</v>
      </c>
      <c r="F54" s="110">
        <f>'Ethylene Recycling HC'!F57</f>
        <v>0.10849941511072392</v>
      </c>
      <c r="G54" s="110">
        <f>'Ethylene Recycling HC'!G57</f>
        <v>0.10633277010662304</v>
      </c>
      <c r="H54" s="110">
        <f>'Ethylene Recycling HC'!H57</f>
        <v>0.10416612510252216</v>
      </c>
      <c r="I54" s="110">
        <f>'Ethylene Recycling HC'!I57</f>
        <v>0.10199948009842127</v>
      </c>
      <c r="J54" s="110">
        <f>'Ethylene Recycling HC'!J57</f>
        <v>9.9832835094320393E-2</v>
      </c>
      <c r="K54" s="110">
        <f>'Ethylene Recycling HC'!K57</f>
        <v>9.7666190090219512E-2</v>
      </c>
      <c r="L54" s="110">
        <f>'Ethylene Recycling HC'!L57</f>
        <v>9.5499545086118631E-2</v>
      </c>
      <c r="M54" s="110">
        <f>'Ethylene Recycling HC'!M57</f>
        <v>9.333290008201775E-2</v>
      </c>
      <c r="N54" s="110">
        <f>'Ethylene Recycling HC'!N57</f>
        <v>9.1166255077916869E-2</v>
      </c>
      <c r="O54" s="110">
        <f>'Ethylene Recycling HC'!O57</f>
        <v>8.8999610073815988E-2</v>
      </c>
      <c r="P54" s="110">
        <f>'Ethylene Recycling HC'!P57</f>
        <v>8.6832965069715107E-2</v>
      </c>
      <c r="Q54" s="110">
        <f>'Ethylene Recycling HC'!Q57</f>
        <v>8.4666320065614226E-2</v>
      </c>
      <c r="R54" s="110">
        <f>'Ethylene Recycling HC'!R57</f>
        <v>8.2499675061513345E-2</v>
      </c>
      <c r="S54" s="110">
        <f>'Ethylene Recycling HC'!S57</f>
        <v>8.0333030057412463E-2</v>
      </c>
      <c r="T54" s="110">
        <f>'Ethylene Recycling HC'!T57</f>
        <v>7.8166385053311582E-2</v>
      </c>
      <c r="U54" s="110">
        <f>'Ethylene Recycling HC'!U57</f>
        <v>7.5999740049210701E-2</v>
      </c>
      <c r="V54" s="110">
        <f>'Ethylene Recycling HC'!V57</f>
        <v>7.383309504510982E-2</v>
      </c>
      <c r="W54" s="110">
        <f>'Ethylene Recycling HC'!W57</f>
        <v>7.1666450041008939E-2</v>
      </c>
      <c r="X54" s="110">
        <f>'Ethylene Recycling HC'!X57</f>
        <v>6.9499805036908058E-2</v>
      </c>
      <c r="Y54" s="110">
        <f>'Ethylene Recycling HC'!Y57</f>
        <v>6.7333160032807177E-2</v>
      </c>
      <c r="Z54" s="110">
        <f>'Ethylene Recycling HC'!Z57</f>
        <v>6.5166515028706296E-2</v>
      </c>
      <c r="AA54" s="110">
        <f>'Ethylene Recycling HC'!AA57</f>
        <v>6.2999870024605414E-2</v>
      </c>
      <c r="AB54" s="110">
        <f>'Ethylene Recycling HC'!AB57</f>
        <v>6.0833225020504526E-2</v>
      </c>
      <c r="AC54" s="110">
        <f>'Ethylene Recycling HC'!AC57</f>
        <v>5.8666580016403638E-2</v>
      </c>
      <c r="AD54" s="110">
        <f>'Ethylene Recycling HC'!AD57</f>
        <v>5.649993501230275E-2</v>
      </c>
      <c r="AE54" s="110">
        <f>'Ethylene Recycling HC'!AE57</f>
        <v>5.4333290008201862E-2</v>
      </c>
      <c r="AF54" s="110">
        <f>'Ethylene Recycling HC'!AF57</f>
        <v>5.2166645004100974E-2</v>
      </c>
      <c r="AG54" s="110">
        <f>'Ethylene Recycling HC'!AG57</f>
        <v>0.05</v>
      </c>
      <c r="AI54" s="133"/>
      <c r="AJ54" s="211" t="s">
        <v>1432</v>
      </c>
      <c r="AL54" s="108"/>
      <c r="AM54" s="2"/>
      <c r="AN54" s="2"/>
      <c r="AO54" s="2"/>
      <c r="AV54" s="41"/>
    </row>
    <row r="55" spans="1:63" outlineLevel="1" x14ac:dyDescent="0.2">
      <c r="A55" t="s">
        <v>1318</v>
      </c>
      <c r="C55" s="110">
        <f>'Ethylene Recycling HC'!C58</f>
        <v>0.13791632052401978</v>
      </c>
      <c r="D55" s="110">
        <f>'Ethylene Recycling HC'!D58</f>
        <v>0.13791632052401978</v>
      </c>
      <c r="E55" s="110">
        <f>'Ethylene Recycling HC'!E58</f>
        <v>0.13791632052401978</v>
      </c>
      <c r="F55" s="110">
        <f>'Ethylene Recycling HC'!F58</f>
        <v>0.13791632052401978</v>
      </c>
      <c r="G55" s="110">
        <f>'Ethylene Recycling HC'!G58</f>
        <v>0.13791632052401978</v>
      </c>
      <c r="H55" s="110">
        <f>'Ethylene Recycling HC'!H58</f>
        <v>0.13791632052401978</v>
      </c>
      <c r="I55" s="110">
        <f>'Ethylene Recycling HC'!I58</f>
        <v>0.13791632052401978</v>
      </c>
      <c r="J55" s="110">
        <f>'Ethylene Recycling HC'!J58</f>
        <v>0.13791632052401978</v>
      </c>
      <c r="K55" s="110">
        <f>'Ethylene Recycling HC'!K58</f>
        <v>0.13791632052401978</v>
      </c>
      <c r="L55" s="110">
        <f>'Ethylene Recycling HC'!L58</f>
        <v>0.13791632052401978</v>
      </c>
      <c r="M55" s="110">
        <f>'Ethylene Recycling HC'!M58</f>
        <v>0.13791632052401978</v>
      </c>
      <c r="N55" s="110">
        <f>'Ethylene Recycling HC'!N58</f>
        <v>0.13791632052401978</v>
      </c>
      <c r="O55" s="110">
        <f>'Ethylene Recycling HC'!O58</f>
        <v>0.13791632052401978</v>
      </c>
      <c r="P55" s="110">
        <f>'Ethylene Recycling HC'!P58</f>
        <v>0.13791632052401978</v>
      </c>
      <c r="Q55" s="110">
        <f>'Ethylene Recycling HC'!Q58</f>
        <v>0.13791632052401978</v>
      </c>
      <c r="R55" s="110">
        <f>'Ethylene Recycling HC'!R58</f>
        <v>0.13791632052401978</v>
      </c>
      <c r="S55" s="110">
        <f>'Ethylene Recycling HC'!S58</f>
        <v>0.13791632052401978</v>
      </c>
      <c r="T55" s="110">
        <f>'Ethylene Recycling HC'!T58</f>
        <v>0.13791632052401978</v>
      </c>
      <c r="U55" s="110">
        <f>'Ethylene Recycling HC'!U58</f>
        <v>0.13791632052401978</v>
      </c>
      <c r="V55" s="110">
        <f>'Ethylene Recycling HC'!V58</f>
        <v>0.13791632052401978</v>
      </c>
      <c r="W55" s="110">
        <f>'Ethylene Recycling HC'!W58</f>
        <v>0.13791632052401978</v>
      </c>
      <c r="X55" s="110">
        <f>'Ethylene Recycling HC'!X58</f>
        <v>0.13791632052401978</v>
      </c>
      <c r="Y55" s="110">
        <f>'Ethylene Recycling HC'!Y58</f>
        <v>0.13791632052401978</v>
      </c>
      <c r="Z55" s="110">
        <f>'Ethylene Recycling HC'!Z58</f>
        <v>0.13791632052401978</v>
      </c>
      <c r="AA55" s="110">
        <f>'Ethylene Recycling HC'!AA58</f>
        <v>0.13791632052401978</v>
      </c>
      <c r="AB55" s="110">
        <f>'Ethylene Recycling HC'!AB58</f>
        <v>0.13791632052401978</v>
      </c>
      <c r="AC55" s="110">
        <f>'Ethylene Recycling HC'!AC58</f>
        <v>0.13791632052401978</v>
      </c>
      <c r="AD55" s="110">
        <f>'Ethylene Recycling HC'!AD58</f>
        <v>0.13791632052401978</v>
      </c>
      <c r="AE55" s="110">
        <f>'Ethylene Recycling HC'!AE58</f>
        <v>0.13791632052401978</v>
      </c>
      <c r="AF55" s="110">
        <f>'Ethylene Recycling HC'!AF58</f>
        <v>0.13791632052401978</v>
      </c>
      <c r="AG55" s="110">
        <f>'Ethylene Recycling HC'!AG58</f>
        <v>0.13791632052401978</v>
      </c>
      <c r="AI55" s="133"/>
      <c r="AJ55" s="211" t="s">
        <v>1432</v>
      </c>
      <c r="AL55" s="108"/>
      <c r="AM55" s="2"/>
      <c r="AN55" s="2"/>
      <c r="AO55" s="2"/>
      <c r="AV55" s="41"/>
    </row>
    <row r="56" spans="1:63" outlineLevel="1" x14ac:dyDescent="0.2">
      <c r="A56" t="s">
        <v>1433</v>
      </c>
      <c r="B56" s="54" t="s">
        <v>462</v>
      </c>
      <c r="C56" s="110">
        <f>'Ethylene Recycling HC'!C59</f>
        <v>0.10855071452136934</v>
      </c>
      <c r="D56" s="110">
        <f>'Ethylene Recycling HC'!D59</f>
        <v>0.10855071452136934</v>
      </c>
      <c r="E56" s="110">
        <f>'Ethylene Recycling HC'!E59</f>
        <v>0.10855071452136934</v>
      </c>
      <c r="F56" s="110">
        <f>'Ethylene Recycling HC'!F59</f>
        <v>0.10855071452136934</v>
      </c>
      <c r="G56" s="110">
        <f>'Ethylene Recycling HC'!G59</f>
        <v>0.10855071452136934</v>
      </c>
      <c r="H56" s="110">
        <f>'Ethylene Recycling HC'!H59</f>
        <v>0.10855071452136934</v>
      </c>
      <c r="I56" s="110">
        <f>'Ethylene Recycling HC'!I59</f>
        <v>0.10855071452136934</v>
      </c>
      <c r="J56" s="110">
        <f>'Ethylene Recycling HC'!J59</f>
        <v>0.10855071452136934</v>
      </c>
      <c r="K56" s="110">
        <f>'Ethylene Recycling HC'!K59</f>
        <v>0.10855071452136934</v>
      </c>
      <c r="L56" s="110">
        <f>'Ethylene Recycling HC'!L59</f>
        <v>0.10855071452136934</v>
      </c>
      <c r="M56" s="110">
        <f>'Ethylene Recycling HC'!M59</f>
        <v>0.10855071452136934</v>
      </c>
      <c r="N56" s="110">
        <f>'Ethylene Recycling HC'!N59</f>
        <v>0.10855071452136934</v>
      </c>
      <c r="O56" s="110">
        <f>'Ethylene Recycling HC'!O59</f>
        <v>0.10855071452136934</v>
      </c>
      <c r="P56" s="110">
        <f>'Ethylene Recycling HC'!P59</f>
        <v>0.10855071452136934</v>
      </c>
      <c r="Q56" s="110">
        <f>'Ethylene Recycling HC'!Q59</f>
        <v>0.10855071452136934</v>
      </c>
      <c r="R56" s="110">
        <f>'Ethylene Recycling HC'!R59</f>
        <v>0.10855071452136934</v>
      </c>
      <c r="S56" s="110">
        <f>'Ethylene Recycling HC'!S59</f>
        <v>0.10855071452136934</v>
      </c>
      <c r="T56" s="110">
        <f>'Ethylene Recycling HC'!T59</f>
        <v>0.10855071452136934</v>
      </c>
      <c r="U56" s="110">
        <f>'Ethylene Recycling HC'!U59</f>
        <v>0.10855071452136934</v>
      </c>
      <c r="V56" s="110">
        <f>'Ethylene Recycling HC'!V59</f>
        <v>0.10855071452136934</v>
      </c>
      <c r="W56" s="110">
        <f>'Ethylene Recycling HC'!W59</f>
        <v>0.10855071452136934</v>
      </c>
      <c r="X56" s="110">
        <f>'Ethylene Recycling HC'!X59</f>
        <v>0.10855071452136934</v>
      </c>
      <c r="Y56" s="110">
        <f>'Ethylene Recycling HC'!Y59</f>
        <v>0.10855071452136934</v>
      </c>
      <c r="Z56" s="110">
        <f>'Ethylene Recycling HC'!Z59</f>
        <v>0.10855071452136934</v>
      </c>
      <c r="AA56" s="110">
        <f>'Ethylene Recycling HC'!AA59</f>
        <v>0.10855071452136934</v>
      </c>
      <c r="AB56" s="110">
        <f>'Ethylene Recycling HC'!AB59</f>
        <v>0.10855071452136934</v>
      </c>
      <c r="AC56" s="110">
        <f>'Ethylene Recycling HC'!AC59</f>
        <v>0.10855071452136934</v>
      </c>
      <c r="AD56" s="110">
        <f>'Ethylene Recycling HC'!AD59</f>
        <v>0.10855071452136934</v>
      </c>
      <c r="AE56" s="110">
        <f>'Ethylene Recycling HC'!AE59</f>
        <v>0.10855071452136934</v>
      </c>
      <c r="AF56" s="110">
        <f>'Ethylene Recycling HC'!AF59</f>
        <v>0.10855071452136934</v>
      </c>
      <c r="AG56" s="110">
        <f>'Ethylene Recycling HC'!AG59</f>
        <v>0.10855071452136934</v>
      </c>
      <c r="AI56" s="133"/>
      <c r="AJ56" s="211" t="s">
        <v>1432</v>
      </c>
      <c r="AL56" s="108"/>
      <c r="AM56" s="2"/>
      <c r="AN56" s="2"/>
      <c r="AO56" s="2"/>
      <c r="AV56" s="41"/>
    </row>
    <row r="57" spans="1:63" outlineLevel="1" x14ac:dyDescent="0.2">
      <c r="A57" t="s">
        <v>1319</v>
      </c>
      <c r="B57" s="54" t="s">
        <v>462</v>
      </c>
      <c r="C57" s="110">
        <f>'Ethylene Recycling HC'!C60</f>
        <v>0.63853361483158433</v>
      </c>
      <c r="D57" s="110">
        <f>'Ethylene Recycling HC'!D60</f>
        <v>0.64070025983568524</v>
      </c>
      <c r="E57" s="110">
        <f>'Ethylene Recycling HC'!E60</f>
        <v>0.64286690483978604</v>
      </c>
      <c r="F57" s="110">
        <f>'Ethylene Recycling HC'!F60</f>
        <v>0.64503354984388694</v>
      </c>
      <c r="G57" s="110">
        <f>'Ethylene Recycling HC'!G60</f>
        <v>0.64720019484798785</v>
      </c>
      <c r="H57" s="110">
        <f>'Ethylene Recycling HC'!H60</f>
        <v>0.64936683985208865</v>
      </c>
      <c r="I57" s="110">
        <f>'Ethylene Recycling HC'!I60</f>
        <v>0.65153348485618956</v>
      </c>
      <c r="J57" s="110">
        <f>'Ethylene Recycling HC'!J60</f>
        <v>0.65370012986029047</v>
      </c>
      <c r="K57" s="110">
        <f>'Ethylene Recycling HC'!K60</f>
        <v>0.65586677486439138</v>
      </c>
      <c r="L57" s="110">
        <f>'Ethylene Recycling HC'!L60</f>
        <v>0.65803341986849229</v>
      </c>
      <c r="M57" s="110">
        <f>'Ethylene Recycling HC'!M60</f>
        <v>0.66020006487259308</v>
      </c>
      <c r="N57" s="110">
        <f>'Ethylene Recycling HC'!N60</f>
        <v>0.66236670987669399</v>
      </c>
      <c r="O57" s="110">
        <f>'Ethylene Recycling HC'!O60</f>
        <v>0.6645333548807949</v>
      </c>
      <c r="P57" s="110">
        <f>'Ethylene Recycling HC'!P60</f>
        <v>0.6666999998848957</v>
      </c>
      <c r="Q57" s="110">
        <f>'Ethylene Recycling HC'!Q60</f>
        <v>0.66886664488899661</v>
      </c>
      <c r="R57" s="110">
        <f>'Ethylene Recycling HC'!R60</f>
        <v>0.67103328989309752</v>
      </c>
      <c r="S57" s="110">
        <f>'Ethylene Recycling HC'!S60</f>
        <v>0.67319993489719843</v>
      </c>
      <c r="T57" s="110">
        <f>'Ethylene Recycling HC'!T60</f>
        <v>0.67536657990129934</v>
      </c>
      <c r="U57" s="110">
        <f>'Ethylene Recycling HC'!U60</f>
        <v>0.67753322490540013</v>
      </c>
      <c r="V57" s="110">
        <f>'Ethylene Recycling HC'!V60</f>
        <v>0.67969986990950104</v>
      </c>
      <c r="W57" s="110">
        <f>'Ethylene Recycling HC'!W60</f>
        <v>0.68186651491360195</v>
      </c>
      <c r="X57" s="110">
        <f>'Ethylene Recycling HC'!X60</f>
        <v>0.68403315991770275</v>
      </c>
      <c r="Y57" s="110">
        <f>'Ethylene Recycling HC'!Y60</f>
        <v>0.68619980492180366</v>
      </c>
      <c r="Z57" s="110">
        <f>'Ethylene Recycling HC'!Z60</f>
        <v>0.68836644992590457</v>
      </c>
      <c r="AA57" s="110">
        <f>'Ethylene Recycling HC'!AA60</f>
        <v>0.69053309493000548</v>
      </c>
      <c r="AB57" s="110">
        <f>'Ethylene Recycling HC'!AB60</f>
        <v>0.69269973993410638</v>
      </c>
      <c r="AC57" s="110">
        <f>'Ethylene Recycling HC'!AC60</f>
        <v>0.69486638493820718</v>
      </c>
      <c r="AD57" s="110">
        <f>'Ethylene Recycling HC'!AD60</f>
        <v>0.69703302994230809</v>
      </c>
      <c r="AE57" s="110">
        <f>'Ethylene Recycling HC'!AE60</f>
        <v>0.699199674946409</v>
      </c>
      <c r="AF57" s="110">
        <f>'Ethylene Recycling HC'!AF60</f>
        <v>0.70136631995050991</v>
      </c>
      <c r="AG57" s="110">
        <f>'Ethylene Recycling HC'!AG60</f>
        <v>0.70353296495461082</v>
      </c>
      <c r="AI57" s="133"/>
      <c r="AJ57" s="211" t="s">
        <v>1432</v>
      </c>
      <c r="AL57" s="108"/>
      <c r="AM57" s="2"/>
      <c r="AN57" s="2"/>
      <c r="AO57" s="2"/>
      <c r="AV57" s="41"/>
    </row>
    <row r="58" spans="1:63" outlineLevel="1" x14ac:dyDescent="0.2">
      <c r="A58" t="s">
        <v>1317</v>
      </c>
      <c r="B58" s="54" t="s">
        <v>462</v>
      </c>
      <c r="C58" s="110">
        <f>'Ethylene Recycling HC'!C61</f>
        <v>1.0924938261687523E-2</v>
      </c>
      <c r="D58" s="110">
        <f>'Ethylene Recycling HC'!D61</f>
        <v>1.1091454913190394E-2</v>
      </c>
      <c r="E58" s="110">
        <f>'Ethylene Recycling HC'!E61</f>
        <v>1.1243671707666198E-2</v>
      </c>
      <c r="F58" s="110">
        <f>'Ethylene Recycling HC'!F61</f>
        <v>1.1381588645114939E-2</v>
      </c>
      <c r="G58" s="110">
        <f>'Ethylene Recycling HC'!G61</f>
        <v>1.1505205725536613E-2</v>
      </c>
      <c r="H58" s="110">
        <f>'Ethylene Recycling HC'!H61</f>
        <v>1.161452294893122E-2</v>
      </c>
      <c r="I58" s="110">
        <f>'Ethylene Recycling HC'!I61</f>
        <v>1.1709540315298762E-2</v>
      </c>
      <c r="J58" s="110">
        <f>'Ethylene Recycling HC'!J61</f>
        <v>1.1790257824639237E-2</v>
      </c>
      <c r="K58" s="110">
        <f>'Ethylene Recycling HC'!K61</f>
        <v>1.185667547695265E-2</v>
      </c>
      <c r="L58" s="110">
        <f>'Ethylene Recycling HC'!L61</f>
        <v>1.1908793272238994E-2</v>
      </c>
      <c r="M58" s="110">
        <f>'Ethylene Recycling HC'!M61</f>
        <v>1.1946611210498273E-2</v>
      </c>
      <c r="N58" s="110">
        <f>'Ethylene Recycling HC'!N61</f>
        <v>1.2362144188565528E-2</v>
      </c>
      <c r="O58" s="110">
        <f>'Ethylene Recycling HC'!O61</f>
        <v>1.2744744162570449E-2</v>
      </c>
      <c r="P58" s="110">
        <f>'Ethylene Recycling HC'!P61</f>
        <v>1.3094411132513037E-2</v>
      </c>
      <c r="Q58" s="110">
        <f>'Ethylene Recycling HC'!Q61</f>
        <v>1.3411145098393293E-2</v>
      </c>
      <c r="R58" s="110">
        <f>'Ethylene Recycling HC'!R61</f>
        <v>1.3694946060211214E-2</v>
      </c>
      <c r="S58" s="110">
        <f>'Ethylene Recycling HC'!S61</f>
        <v>1.3945814017966802E-2</v>
      </c>
      <c r="T58" s="110">
        <f>'Ethylene Recycling HC'!T61</f>
        <v>1.4163748971660058E-2</v>
      </c>
      <c r="U58" s="110">
        <f>'Ethylene Recycling HC'!U61</f>
        <v>1.434875092129098E-2</v>
      </c>
      <c r="V58" s="110">
        <f>'Ethylene Recycling HC'!V61</f>
        <v>1.4500819866859568E-2</v>
      </c>
      <c r="W58" s="110">
        <f>'Ethylene Recycling HC'!W61</f>
        <v>1.4619955808365823E-2</v>
      </c>
      <c r="X58" s="110">
        <f>'Ethylene Recycling HC'!X61</f>
        <v>1.5019776616038791E-2</v>
      </c>
      <c r="Y58" s="110">
        <f>'Ethylene Recycling HC'!Y61</f>
        <v>1.5367110448487417E-2</v>
      </c>
      <c r="Z58" s="110">
        <f>'Ethylene Recycling HC'!Z61</f>
        <v>1.56619573057117E-2</v>
      </c>
      <c r="AA58" s="110">
        <f>'Ethylene Recycling HC'!AA61</f>
        <v>1.5904317187711636E-2</v>
      </c>
      <c r="AB58" s="110">
        <f>'Ethylene Recycling HC'!AB61</f>
        <v>1.6094190094487228E-2</v>
      </c>
      <c r="AC58" s="110">
        <f>'Ethylene Recycling HC'!AC61</f>
        <v>1.6231576026038474E-2</v>
      </c>
      <c r="AD58" s="110">
        <f>'Ethylene Recycling HC'!AD61</f>
        <v>1.6316474982365377E-2</v>
      </c>
      <c r="AE58" s="110">
        <f>'Ethylene Recycling HC'!AE61</f>
        <v>1.6348886963467937E-2</v>
      </c>
      <c r="AF58" s="110">
        <f>'Ethylene Recycling HC'!AF61</f>
        <v>1.6328811969346151E-2</v>
      </c>
      <c r="AG58" s="110">
        <f>'Ethylene Recycling HC'!AG61</f>
        <v>1.6256249999999996E-2</v>
      </c>
      <c r="AH58" s="271"/>
      <c r="AI58" s="133"/>
      <c r="AJ58" s="211"/>
      <c r="AL58" s="108"/>
      <c r="AM58" s="2"/>
      <c r="AN58" s="2"/>
      <c r="AO58" s="2"/>
    </row>
    <row r="59" spans="1:63" outlineLevel="1" x14ac:dyDescent="0.2">
      <c r="A59" t="s">
        <v>1318</v>
      </c>
      <c r="B59" s="54" t="s">
        <v>462</v>
      </c>
      <c r="C59" s="110">
        <f>'Ethylene Recycling HC'!C62</f>
        <v>1.3102050449781879E-2</v>
      </c>
      <c r="D59" s="110">
        <f>'Ethylene Recycling HC'!D62</f>
        <v>1.3557174307511145E-2</v>
      </c>
      <c r="E59" s="110">
        <f>'Ethylene Recycling HC'!E62</f>
        <v>1.4012298165240409E-2</v>
      </c>
      <c r="F59" s="110">
        <f>'Ethylene Recycling HC'!F62</f>
        <v>1.4467422022969674E-2</v>
      </c>
      <c r="G59" s="110">
        <f>'Ethylene Recycling HC'!G62</f>
        <v>1.4922545880698941E-2</v>
      </c>
      <c r="H59" s="110">
        <f>'Ethylene Recycling HC'!H62</f>
        <v>1.5377669738428206E-2</v>
      </c>
      <c r="I59" s="110">
        <f>'Ethylene Recycling HC'!I62</f>
        <v>1.5832793596157472E-2</v>
      </c>
      <c r="J59" s="110">
        <f>'Ethylene Recycling HC'!J62</f>
        <v>1.6287917453886736E-2</v>
      </c>
      <c r="K59" s="110">
        <f>'Ethylene Recycling HC'!K62</f>
        <v>1.6743041311616004E-2</v>
      </c>
      <c r="L59" s="110">
        <f>'Ethylene Recycling HC'!L62</f>
        <v>1.7198165169345268E-2</v>
      </c>
      <c r="M59" s="110">
        <f>'Ethylene Recycling HC'!M62</f>
        <v>1.7653289027074533E-2</v>
      </c>
      <c r="N59" s="110">
        <f>'Ethylene Recycling HC'!N62</f>
        <v>1.8701453063057084E-2</v>
      </c>
      <c r="O59" s="110">
        <f>'Ethylene Recycling HC'!O62</f>
        <v>1.9749617099039631E-2</v>
      </c>
      <c r="P59" s="110">
        <f>'Ethylene Recycling HC'!P62</f>
        <v>2.0797781135022182E-2</v>
      </c>
      <c r="Q59" s="110">
        <f>'Ethylene Recycling HC'!Q62</f>
        <v>2.184594517100473E-2</v>
      </c>
      <c r="R59" s="110">
        <f>'Ethylene Recycling HC'!R62</f>
        <v>2.2894109206987281E-2</v>
      </c>
      <c r="S59" s="110">
        <f>'Ethylene Recycling HC'!S62</f>
        <v>2.3942273242969832E-2</v>
      </c>
      <c r="T59" s="110">
        <f>'Ethylene Recycling HC'!T62</f>
        <v>2.4990437278952383E-2</v>
      </c>
      <c r="U59" s="110">
        <f>'Ethylene Recycling HC'!U62</f>
        <v>2.6038601314934934E-2</v>
      </c>
      <c r="V59" s="110">
        <f>'Ethylene Recycling HC'!V62</f>
        <v>2.7086765350917485E-2</v>
      </c>
      <c r="W59" s="110">
        <f>'Ethylene Recycling HC'!W62</f>
        <v>2.8134929386900032E-2</v>
      </c>
      <c r="X59" s="110">
        <f>'Ethylene Recycling HC'!X62</f>
        <v>2.9805440819247221E-2</v>
      </c>
      <c r="Y59" s="110">
        <f>'Ethylene Recycling HC'!Y62</f>
        <v>3.1475952251594413E-2</v>
      </c>
      <c r="Z59" s="110">
        <f>'Ethylene Recycling HC'!Z62</f>
        <v>3.3146463683941599E-2</v>
      </c>
      <c r="AA59" s="110">
        <f>'Ethylene Recycling HC'!AA62</f>
        <v>3.4816975116288784E-2</v>
      </c>
      <c r="AB59" s="110">
        <f>'Ethylene Recycling HC'!AB62</f>
        <v>3.6487486548635983E-2</v>
      </c>
      <c r="AC59" s="110">
        <f>'Ethylene Recycling HC'!AC62</f>
        <v>3.8157997980983169E-2</v>
      </c>
      <c r="AD59" s="110">
        <f>'Ethylene Recycling HC'!AD62</f>
        <v>3.9828509413330361E-2</v>
      </c>
      <c r="AE59" s="110">
        <f>'Ethylene Recycling HC'!AE62</f>
        <v>4.1499020845677546E-2</v>
      </c>
      <c r="AF59" s="110">
        <f>'Ethylene Recycling HC'!AF62</f>
        <v>4.3169532278024732E-2</v>
      </c>
      <c r="AG59" s="110">
        <f>'Ethylene Recycling HC'!AG62</f>
        <v>4.4840043710371924E-2</v>
      </c>
      <c r="AH59" s="271"/>
      <c r="AJ59" s="211"/>
      <c r="AL59" s="108"/>
      <c r="AM59" s="2"/>
      <c r="AN59" s="2"/>
      <c r="AO59" s="2"/>
      <c r="BC59" s="1"/>
      <c r="BD59" s="2"/>
      <c r="BE59" s="2"/>
      <c r="BF59" s="2"/>
      <c r="BG59" s="2"/>
      <c r="BH59" s="2"/>
      <c r="BI59" s="2"/>
      <c r="BJ59" s="2"/>
      <c r="BK59" s="2"/>
    </row>
    <row r="60" spans="1:63" outlineLevel="1" x14ac:dyDescent="0.2">
      <c r="A60" t="s">
        <v>1433</v>
      </c>
      <c r="C60" s="110">
        <f>'Ethylene Recycling HC'!C63</f>
        <v>1.0312317879530087E-2</v>
      </c>
      <c r="D60" s="110">
        <f>'Ethylene Recycling HC'!D63</f>
        <v>1.0670535237450606E-2</v>
      </c>
      <c r="E60" s="110">
        <f>'Ethylene Recycling HC'!E63</f>
        <v>1.1028752595371125E-2</v>
      </c>
      <c r="F60" s="110">
        <f>'Ethylene Recycling HC'!F63</f>
        <v>1.1386969953291644E-2</v>
      </c>
      <c r="G60" s="110">
        <f>'Ethylene Recycling HC'!G63</f>
        <v>1.1745187311212163E-2</v>
      </c>
      <c r="H60" s="110">
        <f>'Ethylene Recycling HC'!H63</f>
        <v>1.2103404669132681E-2</v>
      </c>
      <c r="I60" s="110">
        <f>'Ethylene Recycling HC'!I63</f>
        <v>1.24616220270532E-2</v>
      </c>
      <c r="J60" s="110">
        <f>'Ethylene Recycling HC'!J63</f>
        <v>1.2819839384973719E-2</v>
      </c>
      <c r="K60" s="110">
        <f>'Ethylene Recycling HC'!K63</f>
        <v>1.317805674289424E-2</v>
      </c>
      <c r="L60" s="110">
        <f>'Ethylene Recycling HC'!L63</f>
        <v>1.3536274100814759E-2</v>
      </c>
      <c r="M60" s="110">
        <f>'Ethylene Recycling HC'!M63</f>
        <v>1.3894491458735276E-2</v>
      </c>
      <c r="N60" s="110">
        <f>'Ethylene Recycling HC'!N63</f>
        <v>1.4719476889097683E-2</v>
      </c>
      <c r="O60" s="110">
        <f>'Ethylene Recycling HC'!O63</f>
        <v>1.5544462319460089E-2</v>
      </c>
      <c r="P60" s="110">
        <f>'Ethylene Recycling HC'!P63</f>
        <v>1.6369447749822495E-2</v>
      </c>
      <c r="Q60" s="110">
        <f>'Ethylene Recycling HC'!Q63</f>
        <v>1.7194433180184904E-2</v>
      </c>
      <c r="R60" s="110">
        <f>'Ethylene Recycling HC'!R63</f>
        <v>1.8019418610547309E-2</v>
      </c>
      <c r="S60" s="110">
        <f>'Ethylene Recycling HC'!S63</f>
        <v>1.8844404040909715E-2</v>
      </c>
      <c r="T60" s="110">
        <f>'Ethylene Recycling HC'!T63</f>
        <v>1.9669389471272124E-2</v>
      </c>
      <c r="U60" s="110">
        <f>'Ethylene Recycling HC'!U63</f>
        <v>2.049437490163453E-2</v>
      </c>
      <c r="V60" s="110">
        <f>'Ethylene Recycling HC'!V63</f>
        <v>2.1319360331996939E-2</v>
      </c>
      <c r="W60" s="110">
        <f>'Ethylene Recycling HC'!W63</f>
        <v>2.2144345762359345E-2</v>
      </c>
      <c r="X60" s="110">
        <f>'Ethylene Recycling HC'!X63</f>
        <v>2.3459166291999432E-2</v>
      </c>
      <c r="Y60" s="110">
        <f>'Ethylene Recycling HC'!Y63</f>
        <v>2.4773986821639518E-2</v>
      </c>
      <c r="Z60" s="110">
        <f>'Ethylene Recycling HC'!Z63</f>
        <v>2.6088807351279601E-2</v>
      </c>
      <c r="AA60" s="110">
        <f>'Ethylene Recycling HC'!AA63</f>
        <v>2.7403627880919684E-2</v>
      </c>
      <c r="AB60" s="110">
        <f>'Ethylene Recycling HC'!AB63</f>
        <v>2.8718448410559774E-2</v>
      </c>
      <c r="AC60" s="110">
        <f>'Ethylene Recycling HC'!AC63</f>
        <v>3.0033268940199857E-2</v>
      </c>
      <c r="AD60" s="110">
        <f>'Ethylene Recycling HC'!AD63</f>
        <v>3.1348089469839947E-2</v>
      </c>
      <c r="AE60" s="110">
        <f>'Ethylene Recycling HC'!AE63</f>
        <v>3.266290999948003E-2</v>
      </c>
      <c r="AF60" s="110">
        <f>'Ethylene Recycling HC'!AF63</f>
        <v>3.3977730529120113E-2</v>
      </c>
      <c r="AG60" s="110">
        <f>'Ethylene Recycling HC'!AG63</f>
        <v>3.5292551058760203E-2</v>
      </c>
      <c r="AH60" s="271"/>
      <c r="AJ60" s="211"/>
      <c r="AL60" s="108"/>
      <c r="AM60" s="2"/>
      <c r="AN60" s="2"/>
      <c r="AO60" s="2"/>
      <c r="BC60" s="1"/>
      <c r="BD60" s="2"/>
      <c r="BE60" s="2"/>
      <c r="BF60" s="2"/>
      <c r="BG60" s="2"/>
      <c r="BH60" s="2"/>
      <c r="BI60" s="2"/>
      <c r="BJ60" s="2"/>
      <c r="BK60" s="2"/>
    </row>
    <row r="61" spans="1:63" outlineLevel="1" x14ac:dyDescent="0.2">
      <c r="A61" t="s">
        <v>1319</v>
      </c>
      <c r="B61" s="54" t="s">
        <v>462</v>
      </c>
      <c r="C61" s="110">
        <f>'Ethylene Recycling HC'!C64</f>
        <v>6.0660693409000509E-2</v>
      </c>
      <c r="D61" s="110">
        <f>'Ethylene Recycling HC'!D64</f>
        <v>6.2980835541847857E-2</v>
      </c>
      <c r="E61" s="110">
        <f>'Ethylene Recycling HC'!E64</f>
        <v>6.5315277531722254E-2</v>
      </c>
      <c r="F61" s="110">
        <f>'Ethylene Recycling HC'!F64</f>
        <v>6.7664019378623735E-2</v>
      </c>
      <c r="G61" s="110">
        <f>'Ethylene Recycling HC'!G64</f>
        <v>7.0027061082552286E-2</v>
      </c>
      <c r="H61" s="110">
        <f>'Ethylene Recycling HC'!H64</f>
        <v>7.2404402643507892E-2</v>
      </c>
      <c r="I61" s="110">
        <f>'Ethylene Recycling HC'!I64</f>
        <v>7.4796044061490555E-2</v>
      </c>
      <c r="J61" s="110">
        <f>'Ethylene Recycling HC'!J64</f>
        <v>7.7201985336500301E-2</v>
      </c>
      <c r="K61" s="110">
        <f>'Ethylene Recycling HC'!K64</f>
        <v>7.9622226468537116E-2</v>
      </c>
      <c r="L61" s="110">
        <f>'Ethylene Recycling HC'!L64</f>
        <v>8.2056767457600988E-2</v>
      </c>
      <c r="M61" s="110">
        <f>'Ethylene Recycling HC'!M64</f>
        <v>8.4505608303691915E-2</v>
      </c>
      <c r="N61" s="110">
        <f>'Ethylene Recycling HC'!N64</f>
        <v>8.9816925859279709E-2</v>
      </c>
      <c r="O61" s="110">
        <f>'Ethylene Recycling HC'!O64</f>
        <v>9.5161176418929821E-2</v>
      </c>
      <c r="P61" s="110">
        <f>'Ethylene Recycling HC'!P64</f>
        <v>0.10053835998264227</v>
      </c>
      <c r="Q61" s="110">
        <f>'Ethylene Recycling HC'!Q64</f>
        <v>0.10594847655041706</v>
      </c>
      <c r="R61" s="110">
        <f>'Ethylene Recycling HC'!R64</f>
        <v>0.11139152612225417</v>
      </c>
      <c r="S61" s="110">
        <f>'Ethylene Recycling HC'!S64</f>
        <v>0.11686750869815363</v>
      </c>
      <c r="T61" s="110">
        <f>'Ethylene Recycling HC'!T64</f>
        <v>0.12237642427811544</v>
      </c>
      <c r="U61" s="110">
        <f>'Ethylene Recycling HC'!U64</f>
        <v>0.12791827286213955</v>
      </c>
      <c r="V61" s="110">
        <f>'Ethylene Recycling HC'!V64</f>
        <v>0.133493054450226</v>
      </c>
      <c r="W61" s="110">
        <f>'Ethylene Recycling HC'!W64</f>
        <v>0.13910076904237478</v>
      </c>
      <c r="X61" s="110">
        <f>'Ethylene Recycling HC'!X64</f>
        <v>0.14782811627271453</v>
      </c>
      <c r="Y61" s="110">
        <f>'Ethylene Recycling HC'!Y64</f>
        <v>0.15660795047827863</v>
      </c>
      <c r="Z61" s="110">
        <f>'Ethylene Recycling HC'!Z64</f>
        <v>0.16544027165906708</v>
      </c>
      <c r="AA61" s="110">
        <f>'Ethylene Recycling HC'!AA64</f>
        <v>0.17432507981507986</v>
      </c>
      <c r="AB61" s="110">
        <f>'Ethylene Recycling HC'!AB64</f>
        <v>0.183262374946317</v>
      </c>
      <c r="AC61" s="110">
        <f>'Ethylene Recycling HC'!AC64</f>
        <v>0.19225215705277843</v>
      </c>
      <c r="AD61" s="110">
        <f>'Ethylene Recycling HC'!AD64</f>
        <v>0.20129442613446427</v>
      </c>
      <c r="AE61" s="110">
        <f>'Ethylene Recycling HC'!AE64</f>
        <v>0.21038918219137442</v>
      </c>
      <c r="AF61" s="110">
        <f>'Ethylene Recycling HC'!AF64</f>
        <v>0.21953642522350891</v>
      </c>
      <c r="AG61" s="110">
        <f>'Ethylene Recycling HC'!AG64</f>
        <v>0.22873615523086779</v>
      </c>
      <c r="AH61" s="271"/>
      <c r="AI61" s="133"/>
      <c r="AJ61" s="211"/>
      <c r="AL61" s="108"/>
      <c r="AM61" s="2"/>
      <c r="AN61" s="2"/>
      <c r="AO61" s="2"/>
      <c r="BC61" s="1"/>
      <c r="BD61" s="2"/>
      <c r="BE61" s="2"/>
      <c r="BF61" s="2"/>
      <c r="BG61" s="2"/>
      <c r="BH61" s="2"/>
      <c r="BI61" s="2"/>
      <c r="BJ61" s="2"/>
      <c r="BK61" s="2"/>
    </row>
    <row r="62" spans="1:63" outlineLevel="1" x14ac:dyDescent="0.2">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x14ac:dyDescent="0.2">
      <c r="A63" t="s">
        <v>1621</v>
      </c>
      <c r="C63" s="382">
        <f>('Overall recycling rates'!F84*'Yearly BTX'!D5+'Overall recycling rates'!G84*'Yearly BTX'!D6+'Overall recycling rates'!H84*'Yearly BTX'!D7)/'Yearly BTX'!D4</f>
        <v>1.1704534492742935</v>
      </c>
      <c r="D63" s="382">
        <f>C63-($C63-$AG63)/($AG$1-$C$1)</f>
        <v>1.1681050009651504</v>
      </c>
      <c r="E63" s="382">
        <f t="shared" ref="E63:AF63" si="30">D63-($C63-$AG63)/($AG$1-$C$1)</f>
        <v>1.1657565526560072</v>
      </c>
      <c r="F63" s="382">
        <f t="shared" si="30"/>
        <v>1.163408104346864</v>
      </c>
      <c r="G63" s="382">
        <f t="shared" si="30"/>
        <v>1.1610596560377209</v>
      </c>
      <c r="H63" s="382">
        <f t="shared" si="30"/>
        <v>1.1587112077285777</v>
      </c>
      <c r="I63" s="382">
        <f t="shared" si="30"/>
        <v>1.1563627594194346</v>
      </c>
      <c r="J63" s="382">
        <f t="shared" si="30"/>
        <v>1.1540143111102914</v>
      </c>
      <c r="K63" s="382">
        <f t="shared" si="30"/>
        <v>1.1516658628011482</v>
      </c>
      <c r="L63" s="382">
        <f t="shared" si="30"/>
        <v>1.1493174144920051</v>
      </c>
      <c r="M63" s="382">
        <f t="shared" si="30"/>
        <v>1.1469689661828619</v>
      </c>
      <c r="N63" s="382">
        <f t="shared" si="30"/>
        <v>1.1446205178737188</v>
      </c>
      <c r="O63" s="382">
        <f t="shared" si="30"/>
        <v>1.1422720695645756</v>
      </c>
      <c r="P63" s="382">
        <f t="shared" si="30"/>
        <v>1.1399236212554325</v>
      </c>
      <c r="Q63" s="382">
        <f t="shared" si="30"/>
        <v>1.1375751729462893</v>
      </c>
      <c r="R63" s="382">
        <f t="shared" si="30"/>
        <v>1.1352267246371461</v>
      </c>
      <c r="S63" s="382">
        <f t="shared" si="30"/>
        <v>1.132878276328003</v>
      </c>
      <c r="T63" s="382">
        <f t="shared" si="30"/>
        <v>1.1305298280188598</v>
      </c>
      <c r="U63" s="382">
        <f t="shared" si="30"/>
        <v>1.1281813797097167</v>
      </c>
      <c r="V63" s="382">
        <f t="shared" si="30"/>
        <v>1.1258329314005735</v>
      </c>
      <c r="W63" s="382">
        <f t="shared" si="30"/>
        <v>1.1234844830914303</v>
      </c>
      <c r="X63" s="382">
        <f t="shared" si="30"/>
        <v>1.1211360347822872</v>
      </c>
      <c r="Y63" s="382">
        <f t="shared" si="30"/>
        <v>1.118787586473144</v>
      </c>
      <c r="Z63" s="382">
        <f t="shared" si="30"/>
        <v>1.1164391381640009</v>
      </c>
      <c r="AA63" s="382">
        <f t="shared" si="30"/>
        <v>1.1140906898548577</v>
      </c>
      <c r="AB63" s="382">
        <f t="shared" si="30"/>
        <v>1.1117422415457145</v>
      </c>
      <c r="AC63" s="382">
        <f t="shared" si="30"/>
        <v>1.1093937932365714</v>
      </c>
      <c r="AD63" s="382">
        <f t="shared" si="30"/>
        <v>1.1070453449274282</v>
      </c>
      <c r="AE63" s="382">
        <f t="shared" si="30"/>
        <v>1.1046968966182851</v>
      </c>
      <c r="AF63" s="382">
        <f t="shared" si="30"/>
        <v>1.1023484483091419</v>
      </c>
      <c r="AG63" s="382">
        <f>'Overall recycling rates'!G93</f>
        <v>1.1000000000000001</v>
      </c>
      <c r="AI63" s="133"/>
      <c r="AJ63" s="211"/>
      <c r="AL63" s="108"/>
      <c r="AM63" s="2"/>
      <c r="AN63" s="2"/>
      <c r="AO63" s="2"/>
      <c r="BC63" s="1"/>
      <c r="BD63" s="2"/>
      <c r="BE63" s="2"/>
      <c r="BF63" s="2"/>
      <c r="BG63" s="2"/>
      <c r="BH63" s="2"/>
      <c r="BI63" s="2"/>
      <c r="BJ63" s="2"/>
      <c r="BK63" s="2"/>
    </row>
    <row r="64" spans="1:63" outlineLevel="1" x14ac:dyDescent="0.2">
      <c r="A64" t="s">
        <v>1622</v>
      </c>
      <c r="B64" s="54" t="s">
        <v>462</v>
      </c>
      <c r="C64" s="110">
        <f>C50*C$63</f>
        <v>5.5011312115891796E-2</v>
      </c>
      <c r="D64" s="110">
        <f t="shared" ref="D64:AG65" si="31">D50*D$63</f>
        <v>5.8638871048450551E-2</v>
      </c>
      <c r="E64" s="110">
        <f t="shared" si="31"/>
        <v>6.225139991183079E-2</v>
      </c>
      <c r="F64" s="110">
        <f t="shared" si="31"/>
        <v>6.5848898706032499E-2</v>
      </c>
      <c r="G64" s="110">
        <f t="shared" si="31"/>
        <v>6.9431367431055713E-2</v>
      </c>
      <c r="H64" s="110">
        <f t="shared" si="31"/>
        <v>7.2998806086900403E-2</v>
      </c>
      <c r="I64" s="110">
        <f t="shared" si="31"/>
        <v>7.6551214673566584E-2</v>
      </c>
      <c r="J64" s="110">
        <f t="shared" si="31"/>
        <v>8.0088593191054228E-2</v>
      </c>
      <c r="K64" s="110">
        <f t="shared" si="31"/>
        <v>8.3610941639363362E-2</v>
      </c>
      <c r="L64" s="110">
        <f t="shared" si="31"/>
        <v>8.7118260018493987E-2</v>
      </c>
      <c r="M64" s="110">
        <f t="shared" si="31"/>
        <v>9.0610548328446089E-2</v>
      </c>
      <c r="N64" s="110">
        <f t="shared" si="31"/>
        <v>9.7407206071053479E-2</v>
      </c>
      <c r="O64" s="110">
        <f t="shared" si="31"/>
        <v>0.1041752127442893</v>
      </c>
      <c r="P64" s="110">
        <f t="shared" si="31"/>
        <v>0.11091456834815358</v>
      </c>
      <c r="Q64" s="110">
        <f t="shared" si="31"/>
        <v>0.11762527288264632</v>
      </c>
      <c r="R64" s="110">
        <f t="shared" si="31"/>
        <v>0.12430732634776752</v>
      </c>
      <c r="S64" s="110">
        <f t="shared" si="31"/>
        <v>0.13096072874351716</v>
      </c>
      <c r="T64" s="110">
        <f t="shared" si="31"/>
        <v>0.13758548006989524</v>
      </c>
      <c r="U64" s="110">
        <f t="shared" si="31"/>
        <v>0.14418158032690181</v>
      </c>
      <c r="V64" s="110">
        <f t="shared" si="31"/>
        <v>0.15074902951453681</v>
      </c>
      <c r="W64" s="110">
        <f t="shared" si="31"/>
        <v>0.15728782763280028</v>
      </c>
      <c r="X64" s="110">
        <f t="shared" si="31"/>
        <v>0.1690786673214705</v>
      </c>
      <c r="Y64" s="110">
        <f t="shared" si="31"/>
        <v>0.18081873296315321</v>
      </c>
      <c r="Z64" s="110">
        <f t="shared" si="31"/>
        <v>0.19250802455784835</v>
      </c>
      <c r="AA64" s="110">
        <f t="shared" si="31"/>
        <v>0.20414654210555599</v>
      </c>
      <c r="AB64" s="110">
        <f t="shared" si="31"/>
        <v>0.21573428560627603</v>
      </c>
      <c r="AC64" s="110">
        <f t="shared" si="31"/>
        <v>0.22727125506000853</v>
      </c>
      <c r="AD64" s="110">
        <f t="shared" si="31"/>
        <v>0.23875745046675351</v>
      </c>
      <c r="AE64" s="110">
        <f t="shared" si="31"/>
        <v>0.2501928718265109</v>
      </c>
      <c r="AF64" s="110">
        <f t="shared" si="31"/>
        <v>0.26157751913928073</v>
      </c>
      <c r="AG64" s="110">
        <f t="shared" si="31"/>
        <v>0.27291139240506335</v>
      </c>
      <c r="AI64" s="133"/>
      <c r="AJ64" s="211"/>
      <c r="AL64" s="108"/>
      <c r="AM64" s="2"/>
      <c r="AN64" s="2"/>
      <c r="AO64" s="2"/>
      <c r="AV64" s="41"/>
    </row>
    <row r="65" spans="1:63" outlineLevel="1" x14ac:dyDescent="0.2">
      <c r="A65" t="s">
        <v>1623</v>
      </c>
      <c r="B65" s="54" t="s">
        <v>462</v>
      </c>
      <c r="C65" s="110">
        <f>C51*C$63</f>
        <v>0.11119307768105788</v>
      </c>
      <c r="D65" s="110">
        <f t="shared" si="31"/>
        <v>0.11482472159487428</v>
      </c>
      <c r="E65" s="110">
        <f t="shared" si="31"/>
        <v>0.11844086574985033</v>
      </c>
      <c r="F65" s="110">
        <f t="shared" si="31"/>
        <v>0.12204151014598603</v>
      </c>
      <c r="G65" s="110">
        <f t="shared" si="31"/>
        <v>0.12562665478328142</v>
      </c>
      <c r="H65" s="110">
        <f t="shared" si="31"/>
        <v>0.12919629966173643</v>
      </c>
      <c r="I65" s="110">
        <f t="shared" si="31"/>
        <v>0.13275044478135109</v>
      </c>
      <c r="J65" s="110">
        <f t="shared" si="31"/>
        <v>0.13628909014212542</v>
      </c>
      <c r="K65" s="110">
        <f t="shared" si="31"/>
        <v>0.1398122357440594</v>
      </c>
      <c r="L65" s="110">
        <f t="shared" si="31"/>
        <v>0.14331988158715303</v>
      </c>
      <c r="M65" s="110">
        <f t="shared" si="31"/>
        <v>0.14681202767140633</v>
      </c>
      <c r="N65" s="110">
        <f t="shared" si="31"/>
        <v>0.15521054222367625</v>
      </c>
      <c r="O65" s="110">
        <f t="shared" si="31"/>
        <v>0.16357336036164721</v>
      </c>
      <c r="P65" s="110">
        <f t="shared" si="31"/>
        <v>0.17190048208531919</v>
      </c>
      <c r="Q65" s="110">
        <f t="shared" si="31"/>
        <v>0.18019190739469221</v>
      </c>
      <c r="R65" s="110">
        <f t="shared" si="31"/>
        <v>0.18844763628976624</v>
      </c>
      <c r="S65" s="110">
        <f t="shared" si="31"/>
        <v>0.19666766877054129</v>
      </c>
      <c r="T65" s="110">
        <f t="shared" si="31"/>
        <v>0.2048520048370174</v>
      </c>
      <c r="U65" s="110">
        <f t="shared" si="31"/>
        <v>0.21300064448919451</v>
      </c>
      <c r="V65" s="110">
        <f t="shared" si="31"/>
        <v>0.22111358772707262</v>
      </c>
      <c r="W65" s="110">
        <f t="shared" si="31"/>
        <v>0.22919083455065178</v>
      </c>
      <c r="X65" s="110">
        <f t="shared" si="31"/>
        <v>0.24229151131688703</v>
      </c>
      <c r="Y65" s="110">
        <f t="shared" si="31"/>
        <v>0.2553352969228333</v>
      </c>
      <c r="Z65" s="110">
        <f t="shared" si="31"/>
        <v>0.26832219136849056</v>
      </c>
      <c r="AA65" s="110">
        <f t="shared" si="31"/>
        <v>0.28125219465385876</v>
      </c>
      <c r="AB65" s="110">
        <f t="shared" si="31"/>
        <v>0.29412530677893806</v>
      </c>
      <c r="AC65" s="110">
        <f t="shared" si="31"/>
        <v>0.30694152774372835</v>
      </c>
      <c r="AD65" s="110">
        <f t="shared" si="31"/>
        <v>0.31970085754822963</v>
      </c>
      <c r="AE65" s="110">
        <f t="shared" si="31"/>
        <v>0.33240329619244191</v>
      </c>
      <c r="AF65" s="110">
        <f t="shared" si="31"/>
        <v>0.34504884367636518</v>
      </c>
      <c r="AG65" s="110">
        <f t="shared" si="31"/>
        <v>0.35763749999999994</v>
      </c>
      <c r="AH65" s="245"/>
      <c r="AI65" s="133"/>
      <c r="AJ65" s="211"/>
      <c r="AL65" s="108"/>
      <c r="AM65" s="2"/>
      <c r="AN65" s="2"/>
      <c r="AO65" s="2"/>
      <c r="AV65" s="41"/>
    </row>
    <row r="66" spans="1:63" outlineLevel="1" x14ac:dyDescent="0.2">
      <c r="A66" t="s">
        <v>1624</v>
      </c>
      <c r="B66" s="176" t="s">
        <v>462</v>
      </c>
      <c r="C66" s="110">
        <f>SUM(C64:C65)</f>
        <v>0.16620438979694968</v>
      </c>
      <c r="D66" s="110">
        <f t="shared" ref="D66:AG66" si="32">SUM(D64:D65)</f>
        <v>0.17346359264332484</v>
      </c>
      <c r="E66" s="110">
        <f t="shared" si="32"/>
        <v>0.18069226566168112</v>
      </c>
      <c r="F66" s="110">
        <f t="shared" si="32"/>
        <v>0.18789040885201852</v>
      </c>
      <c r="G66" s="110">
        <f t="shared" si="32"/>
        <v>0.19505802221433713</v>
      </c>
      <c r="H66" s="110">
        <f t="shared" si="32"/>
        <v>0.20219510574863683</v>
      </c>
      <c r="I66" s="110">
        <f t="shared" si="32"/>
        <v>0.20930165945491769</v>
      </c>
      <c r="J66" s="110">
        <f t="shared" si="32"/>
        <v>0.21637768333317964</v>
      </c>
      <c r="K66" s="110">
        <f t="shared" si="32"/>
        <v>0.22342317738342277</v>
      </c>
      <c r="L66" s="110">
        <f t="shared" si="32"/>
        <v>0.23043814160564702</v>
      </c>
      <c r="M66" s="110">
        <f t="shared" si="32"/>
        <v>0.23742257599985242</v>
      </c>
      <c r="N66" s="110">
        <f t="shared" si="32"/>
        <v>0.25261774829472972</v>
      </c>
      <c r="O66" s="110">
        <f t="shared" si="32"/>
        <v>0.26774857310593653</v>
      </c>
      <c r="P66" s="110">
        <f t="shared" si="32"/>
        <v>0.28281505043347277</v>
      </c>
      <c r="Q66" s="110">
        <f t="shared" si="32"/>
        <v>0.2978171802773385</v>
      </c>
      <c r="R66" s="110">
        <f t="shared" si="32"/>
        <v>0.31275496263753377</v>
      </c>
      <c r="S66" s="110">
        <f t="shared" si="32"/>
        <v>0.32762839751405848</v>
      </c>
      <c r="T66" s="110">
        <f t="shared" si="32"/>
        <v>0.34243748490691261</v>
      </c>
      <c r="U66" s="110">
        <f t="shared" si="32"/>
        <v>0.35718222481609629</v>
      </c>
      <c r="V66" s="110">
        <f t="shared" si="32"/>
        <v>0.37186261724160941</v>
      </c>
      <c r="W66" s="110">
        <f t="shared" si="32"/>
        <v>0.38647866218345206</v>
      </c>
      <c r="X66" s="110">
        <f t="shared" si="32"/>
        <v>0.41137017863835756</v>
      </c>
      <c r="Y66" s="110">
        <f t="shared" si="32"/>
        <v>0.43615402988598651</v>
      </c>
      <c r="Z66" s="110">
        <f t="shared" si="32"/>
        <v>0.46083021592633888</v>
      </c>
      <c r="AA66" s="110">
        <f t="shared" si="32"/>
        <v>0.48539873675941475</v>
      </c>
      <c r="AB66" s="110">
        <f t="shared" si="32"/>
        <v>0.50985959238521406</v>
      </c>
      <c r="AC66" s="110">
        <f t="shared" si="32"/>
        <v>0.53421278280373685</v>
      </c>
      <c r="AD66" s="110">
        <f t="shared" si="32"/>
        <v>0.5584583080149832</v>
      </c>
      <c r="AE66" s="110">
        <f t="shared" si="32"/>
        <v>0.58259616801895286</v>
      </c>
      <c r="AF66" s="110">
        <f t="shared" si="32"/>
        <v>0.60662636281564586</v>
      </c>
      <c r="AG66" s="110">
        <f t="shared" si="32"/>
        <v>0.63054889240506329</v>
      </c>
      <c r="AI66" s="133"/>
      <c r="AJ66" s="211"/>
      <c r="AL66" s="108"/>
      <c r="AM66" s="2"/>
      <c r="AN66" s="2"/>
      <c r="AO66" s="2"/>
    </row>
    <row r="67" spans="1:63" outlineLevel="1" x14ac:dyDescent="0.2">
      <c r="A67" t="s">
        <v>1625</v>
      </c>
      <c r="B67" s="54" t="s">
        <v>462</v>
      </c>
      <c r="C67" s="110">
        <f>C$63*C58</f>
        <v>1.2787131671500866E-2</v>
      </c>
      <c r="D67" s="110">
        <f t="shared" ref="D67:AG70" si="33">D$63*D58</f>
        <v>1.2955983952077187E-2</v>
      </c>
      <c r="E67" s="110">
        <f t="shared" si="33"/>
        <v>1.3107383969124829E-2</v>
      </c>
      <c r="F67" s="110">
        <f t="shared" si="33"/>
        <v>1.3241432470068964E-2</v>
      </c>
      <c r="G67" s="110">
        <f t="shared" si="33"/>
        <v>1.3358230202334757E-2</v>
      </c>
      <c r="H67" s="110">
        <f t="shared" si="33"/>
        <v>1.3457877913347377E-2</v>
      </c>
      <c r="I67" s="110">
        <f t="shared" si="33"/>
        <v>1.3540476350531992E-2</v>
      </c>
      <c r="J67" s="110">
        <f t="shared" si="33"/>
        <v>1.3606126261313772E-2</v>
      </c>
      <c r="K67" s="110">
        <f t="shared" si="33"/>
        <v>1.3654928393117889E-2</v>
      </c>
      <c r="L67" s="110">
        <f t="shared" si="33"/>
        <v>1.3686983493369506E-2</v>
      </c>
      <c r="M67" s="110">
        <f t="shared" si="33"/>
        <v>1.3702392309493792E-2</v>
      </c>
      <c r="N67" s="110">
        <f t="shared" si="33"/>
        <v>1.4149963883145458E-2</v>
      </c>
      <c r="O67" s="110">
        <f t="shared" si="33"/>
        <v>1.455796529065039E-2</v>
      </c>
      <c r="P67" s="110">
        <f t="shared" si="33"/>
        <v>1.4926628556381711E-2</v>
      </c>
      <c r="Q67" s="110">
        <f t="shared" si="33"/>
        <v>1.525618570471253E-2</v>
      </c>
      <c r="R67" s="110">
        <f t="shared" si="33"/>
        <v>1.5546868760015965E-2</v>
      </c>
      <c r="S67" s="110">
        <f t="shared" si="33"/>
        <v>1.5798909746665132E-2</v>
      </c>
      <c r="T67" s="110">
        <f t="shared" si="33"/>
        <v>1.6012540689033149E-2</v>
      </c>
      <c r="U67" s="110">
        <f t="shared" si="33"/>
        <v>1.6187993611493125E-2</v>
      </c>
      <c r="V67" s="110">
        <f t="shared" si="33"/>
        <v>1.6325500538418181E-2</v>
      </c>
      <c r="W67" s="110">
        <f t="shared" si="33"/>
        <v>1.6425293494181432E-2</v>
      </c>
      <c r="X67" s="110">
        <f t="shared" si="33"/>
        <v>1.6839212798621449E-2</v>
      </c>
      <c r="Y67" s="110">
        <f t="shared" si="33"/>
        <v>1.7192532409729473E-2</v>
      </c>
      <c r="Z67" s="110">
        <f t="shared" si="33"/>
        <v>1.7485622116350148E-2</v>
      </c>
      <c r="AA67" s="110">
        <f t="shared" si="33"/>
        <v>1.7718851707328127E-2</v>
      </c>
      <c r="AB67" s="110">
        <f t="shared" si="33"/>
        <v>1.7892590971508068E-2</v>
      </c>
      <c r="AC67" s="110">
        <f t="shared" si="33"/>
        <v>1.8007209697734616E-2</v>
      </c>
      <c r="AD67" s="110">
        <f t="shared" si="33"/>
        <v>1.8063077674852431E-2</v>
      </c>
      <c r="AE67" s="110">
        <f t="shared" si="33"/>
        <v>1.8060564691706169E-2</v>
      </c>
      <c r="AF67" s="110">
        <f t="shared" si="33"/>
        <v>1.8000040537140473E-2</v>
      </c>
      <c r="AG67" s="110">
        <f t="shared" si="33"/>
        <v>1.7881874999999998E-2</v>
      </c>
      <c r="AI67" s="133"/>
      <c r="AJ67" s="211"/>
      <c r="AL67" s="108"/>
      <c r="AM67" s="2"/>
      <c r="AN67" s="2"/>
      <c r="AO67" s="2"/>
    </row>
    <row r="68" spans="1:63" outlineLevel="1" x14ac:dyDescent="0.2">
      <c r="A68" t="s">
        <v>1626</v>
      </c>
      <c r="B68" s="54" t="s">
        <v>462</v>
      </c>
      <c r="C68" s="110">
        <f t="shared" ref="C68:R70" si="34">C$63*C59</f>
        <v>1.5335340141513009E-2</v>
      </c>
      <c r="D68" s="110">
        <f t="shared" si="34"/>
        <v>1.5836203107560017E-2</v>
      </c>
      <c r="E68" s="110">
        <f t="shared" si="34"/>
        <v>1.6334928403898753E-2</v>
      </c>
      <c r="F68" s="110">
        <f t="shared" si="34"/>
        <v>1.6831516030529219E-2</v>
      </c>
      <c r="G68" s="110">
        <f t="shared" si="34"/>
        <v>1.7325965987451421E-2</v>
      </c>
      <c r="H68" s="110">
        <f t="shared" si="34"/>
        <v>1.7818278274665349E-2</v>
      </c>
      <c r="I68" s="110">
        <f t="shared" si="34"/>
        <v>1.8308452892171007E-2</v>
      </c>
      <c r="J68" s="110">
        <f t="shared" si="34"/>
        <v>1.8796489839968393E-2</v>
      </c>
      <c r="K68" s="110">
        <f t="shared" si="34"/>
        <v>1.9282389118057516E-2</v>
      </c>
      <c r="L68" s="110">
        <f t="shared" si="34"/>
        <v>1.9766150726438361E-2</v>
      </c>
      <c r="M68" s="110">
        <f t="shared" si="34"/>
        <v>2.0247774665110938E-2</v>
      </c>
      <c r="N68" s="110">
        <f t="shared" si="34"/>
        <v>2.1406066890027442E-2</v>
      </c>
      <c r="O68" s="110">
        <f t="shared" si="34"/>
        <v>2.2559435996827928E-2</v>
      </c>
      <c r="P68" s="110">
        <f t="shared" si="34"/>
        <v>2.3707881985512404E-2</v>
      </c>
      <c r="Q68" s="110">
        <f t="shared" si="34"/>
        <v>2.485140485608086E-2</v>
      </c>
      <c r="R68" s="110">
        <f t="shared" si="34"/>
        <v>2.5990004608533301E-2</v>
      </c>
      <c r="S68" s="110">
        <f t="shared" si="33"/>
        <v>2.7123681242869728E-2</v>
      </c>
      <c r="T68" s="110">
        <f t="shared" si="33"/>
        <v>2.8252434759090141E-2</v>
      </c>
      <c r="U68" s="110">
        <f t="shared" si="33"/>
        <v>2.9376265157194537E-2</v>
      </c>
      <c r="V68" s="110">
        <f t="shared" si="33"/>
        <v>3.0495172437182916E-2</v>
      </c>
      <c r="W68" s="110">
        <f t="shared" si="33"/>
        <v>3.1609156599055277E-2</v>
      </c>
      <c r="X68" s="110">
        <f t="shared" si="33"/>
        <v>3.3415953735028953E-2</v>
      </c>
      <c r="Y68" s="110">
        <f t="shared" si="33"/>
        <v>3.5214904651505237E-2</v>
      </c>
      <c r="Z68" s="110">
        <f t="shared" si="33"/>
        <v>3.7006009348484109E-2</v>
      </c>
      <c r="AA68" s="110">
        <f t="shared" si="33"/>
        <v>3.8789267825965583E-2</v>
      </c>
      <c r="AB68" s="110">
        <f t="shared" si="33"/>
        <v>4.0564680083949679E-2</v>
      </c>
      <c r="AC68" s="110">
        <f t="shared" si="33"/>
        <v>4.233224612243635E-2</v>
      </c>
      <c r="AD68" s="110">
        <f t="shared" si="33"/>
        <v>4.4091965941425629E-2</v>
      </c>
      <c r="AE68" s="110">
        <f t="shared" si="33"/>
        <v>4.5843839540917503E-2</v>
      </c>
      <c r="AF68" s="110">
        <f t="shared" si="33"/>
        <v>4.7587866920911978E-2</v>
      </c>
      <c r="AG68" s="110">
        <f t="shared" si="33"/>
        <v>4.9324048081409118E-2</v>
      </c>
      <c r="AI68" s="133"/>
      <c r="AJ68" s="211"/>
      <c r="AL68" s="108"/>
      <c r="AM68" s="2"/>
      <c r="AN68" s="2"/>
      <c r="AO68" s="2"/>
      <c r="BC68" s="1"/>
      <c r="BD68" s="2"/>
      <c r="BE68" s="2"/>
      <c r="BF68" s="2"/>
      <c r="BG68" s="2"/>
      <c r="BH68" s="2"/>
      <c r="BI68" s="2"/>
      <c r="BJ68" s="2"/>
      <c r="BK68" s="2"/>
    </row>
    <row r="69" spans="1:63" outlineLevel="1" x14ac:dyDescent="0.2">
      <c r="A69" t="s">
        <v>1627</v>
      </c>
      <c r="C69" s="110">
        <f t="shared" si="34"/>
        <v>1.2070088032108959E-2</v>
      </c>
      <c r="D69" s="110">
        <f t="shared" si="33"/>
        <v>1.2464305573840911E-2</v>
      </c>
      <c r="E69" s="110">
        <f t="shared" si="33"/>
        <v>1.2856840605675835E-2</v>
      </c>
      <c r="F69" s="110">
        <f t="shared" si="33"/>
        <v>1.324769312761373E-2</v>
      </c>
      <c r="G69" s="110">
        <f t="shared" si="33"/>
        <v>1.3636863139654598E-2</v>
      </c>
      <c r="H69" s="110">
        <f t="shared" si="33"/>
        <v>1.4024350641798435E-2</v>
      </c>
      <c r="I69" s="110">
        <f t="shared" si="33"/>
        <v>1.4410155634045246E-2</v>
      </c>
      <c r="J69" s="110">
        <f t="shared" si="33"/>
        <v>1.4794278116395028E-2</v>
      </c>
      <c r="K69" s="110">
        <f t="shared" si="33"/>
        <v>1.5176718088847784E-2</v>
      </c>
      <c r="L69" s="110">
        <f t="shared" si="33"/>
        <v>1.5557475551403509E-2</v>
      </c>
      <c r="M69" s="110">
        <f t="shared" si="33"/>
        <v>1.5936550504062206E-2</v>
      </c>
      <c r="N69" s="110">
        <f t="shared" si="33"/>
        <v>1.6848215259629224E-2</v>
      </c>
      <c r="O69" s="110">
        <f t="shared" si="33"/>
        <v>1.775600514391824E-2</v>
      </c>
      <c r="P69" s="110">
        <f t="shared" si="33"/>
        <v>1.8659920156929247E-2</v>
      </c>
      <c r="Q69" s="110">
        <f t="shared" si="33"/>
        <v>1.9559960298662256E-2</v>
      </c>
      <c r="R69" s="110">
        <f t="shared" si="33"/>
        <v>2.0456125569117255E-2</v>
      </c>
      <c r="S69" s="110">
        <f t="shared" si="33"/>
        <v>2.1348415968294253E-2</v>
      </c>
      <c r="T69" s="110">
        <f t="shared" si="33"/>
        <v>2.2236831496193248E-2</v>
      </c>
      <c r="U69" s="110">
        <f t="shared" si="33"/>
        <v>2.3121372152814231E-2</v>
      </c>
      <c r="V69" s="110">
        <f t="shared" si="33"/>
        <v>2.4002037938157219E-2</v>
      </c>
      <c r="W69" s="110">
        <f t="shared" si="33"/>
        <v>2.4878828852222194E-2</v>
      </c>
      <c r="X69" s="110">
        <f t="shared" si="33"/>
        <v>2.6300916675910533E-2</v>
      </c>
      <c r="Y69" s="110">
        <f t="shared" si="33"/>
        <v>2.7716828923499554E-2</v>
      </c>
      <c r="Z69" s="110">
        <f t="shared" si="33"/>
        <v>2.9126565594989249E-2</v>
      </c>
      <c r="AA69" s="110">
        <f t="shared" si="33"/>
        <v>3.0530126690379623E-2</v>
      </c>
      <c r="AB69" s="110">
        <f t="shared" si="33"/>
        <v>3.1927512209670689E-2</v>
      </c>
      <c r="AC69" s="110">
        <f t="shared" si="33"/>
        <v>3.3318722152862419E-2</v>
      </c>
      <c r="AD69" s="110">
        <f t="shared" si="33"/>
        <v>3.4703756519954845E-2</v>
      </c>
      <c r="AE69" s="110">
        <f t="shared" si="33"/>
        <v>3.6082615310947939E-2</v>
      </c>
      <c r="AF69" s="110">
        <f t="shared" si="33"/>
        <v>3.7455298525841715E-2</v>
      </c>
      <c r="AG69" s="110">
        <f t="shared" si="33"/>
        <v>3.8821806164636229E-2</v>
      </c>
      <c r="AI69" s="133"/>
      <c r="AJ69" s="211"/>
      <c r="AL69" s="108"/>
      <c r="AM69" s="2"/>
      <c r="AN69" s="2"/>
      <c r="AO69" s="2"/>
      <c r="BC69" s="1"/>
      <c r="BD69" s="2"/>
      <c r="BE69" s="2"/>
      <c r="BF69" s="2"/>
      <c r="BG69" s="2"/>
      <c r="BH69" s="2"/>
      <c r="BI69" s="2"/>
      <c r="BJ69" s="2"/>
      <c r="BK69" s="2"/>
    </row>
    <row r="70" spans="1:63" outlineLevel="1" x14ac:dyDescent="0.2">
      <c r="A70" t="s">
        <v>1628</v>
      </c>
      <c r="B70" s="54" t="s">
        <v>462</v>
      </c>
      <c r="C70" s="110">
        <f t="shared" si="34"/>
        <v>7.1000517835935043E-2</v>
      </c>
      <c r="D70" s="110">
        <f t="shared" si="33"/>
        <v>7.356822896139617E-2</v>
      </c>
      <c r="E70" s="110">
        <f t="shared" si="33"/>
        <v>7.6141712771150893E-2</v>
      </c>
      <c r="F70" s="110">
        <f t="shared" si="33"/>
        <v>7.8720868517774115E-2</v>
      </c>
      <c r="G70" s="110">
        <f t="shared" si="33"/>
        <v>8.1305595453840626E-2</v>
      </c>
      <c r="H70" s="110">
        <f t="shared" si="33"/>
        <v>8.3895792831925262E-2</v>
      </c>
      <c r="I70" s="110">
        <f t="shared" si="33"/>
        <v>8.6491359904602827E-2</v>
      </c>
      <c r="J70" s="110">
        <f t="shared" si="33"/>
        <v>8.9092195924448211E-2</v>
      </c>
      <c r="K70" s="110">
        <f t="shared" si="33"/>
        <v>9.1698200144036221E-2</v>
      </c>
      <c r="L70" s="110">
        <f t="shared" si="33"/>
        <v>9.4309271815941675E-2</v>
      </c>
      <c r="M70" s="110">
        <f t="shared" si="33"/>
        <v>9.6925310192739395E-2</v>
      </c>
      <c r="N70" s="110">
        <f t="shared" si="33"/>
        <v>0.10280629619087414</v>
      </c>
      <c r="O70" s="110">
        <f t="shared" si="33"/>
        <v>0.10869995393025066</v>
      </c>
      <c r="P70" s="110">
        <f t="shared" si="33"/>
        <v>0.11460605138649584</v>
      </c>
      <c r="Q70" s="110">
        <f t="shared" si="33"/>
        <v>0.12052435653523656</v>
      </c>
      <c r="R70" s="110">
        <f t="shared" si="33"/>
        <v>0.12645463735209969</v>
      </c>
      <c r="S70" s="110">
        <f t="shared" si="33"/>
        <v>0.13239666181271217</v>
      </c>
      <c r="T70" s="110">
        <f t="shared" si="33"/>
        <v>0.13835019789270087</v>
      </c>
      <c r="U70" s="110">
        <f t="shared" si="33"/>
        <v>0.14431501356769261</v>
      </c>
      <c r="V70" s="110">
        <f t="shared" si="33"/>
        <v>0.15029087681331429</v>
      </c>
      <c r="W70" s="110">
        <f t="shared" si="33"/>
        <v>0.15627755560519288</v>
      </c>
      <c r="X70" s="110">
        <f t="shared" si="33"/>
        <v>0.16573542810732605</v>
      </c>
      <c r="Y70" s="110">
        <f t="shared" si="33"/>
        <v>0.175211030938099</v>
      </c>
      <c r="Z70" s="110">
        <f t="shared" si="33"/>
        <v>0.18470399430866702</v>
      </c>
      <c r="AA70" s="110">
        <f t="shared" si="33"/>
        <v>0.19421394843018544</v>
      </c>
      <c r="AB70" s="110">
        <f t="shared" si="33"/>
        <v>0.20374052351380967</v>
      </c>
      <c r="AC70" s="110">
        <f t="shared" si="33"/>
        <v>0.21328334977069491</v>
      </c>
      <c r="AD70" s="110">
        <f t="shared" si="33"/>
        <v>0.22284205741199672</v>
      </c>
      <c r="AE70" s="110">
        <f t="shared" si="33"/>
        <v>0.2324162766488703</v>
      </c>
      <c r="AF70" s="110">
        <f t="shared" si="33"/>
        <v>0.24200563769247102</v>
      </c>
      <c r="AG70" s="110">
        <f t="shared" si="33"/>
        <v>0.25160977075395458</v>
      </c>
      <c r="AH70" s="245"/>
      <c r="AI70" s="133"/>
      <c r="AJ70" s="211"/>
      <c r="AL70" s="108"/>
      <c r="AM70" s="2"/>
      <c r="AN70" s="2"/>
      <c r="AO70" s="2"/>
      <c r="BC70" s="1"/>
      <c r="BD70" s="2"/>
      <c r="BE70" s="2"/>
      <c r="BF70" s="2"/>
      <c r="BG70" s="2"/>
      <c r="BH70" s="2"/>
      <c r="BI70" s="2"/>
      <c r="BJ70" s="2"/>
      <c r="BK70" s="2"/>
    </row>
    <row r="71" spans="1:63" outlineLevel="1" x14ac:dyDescent="0.2">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x14ac:dyDescent="0.2">
      <c r="A72" s="1" t="s">
        <v>228</v>
      </c>
      <c r="B72" s="65"/>
      <c r="C72" s="300">
        <f>C42*C64</f>
        <v>1.7241276355314636</v>
      </c>
      <c r="D72" s="300">
        <f t="shared" ref="D72:AG72" si="35">D42*D64</f>
        <v>1.8823154497745913</v>
      </c>
      <c r="E72" s="300">
        <f t="shared" si="35"/>
        <v>2.0312888485342735</v>
      </c>
      <c r="F72" s="300">
        <f t="shared" si="35"/>
        <v>2.183391521530726</v>
      </c>
      <c r="G72" s="300">
        <f t="shared" si="35"/>
        <v>2.3329414542171252</v>
      </c>
      <c r="H72" s="300">
        <f t="shared" si="35"/>
        <v>2.4787498239634331</v>
      </c>
      <c r="I72" s="300">
        <f t="shared" si="35"/>
        <v>2.6252875762190175</v>
      </c>
      <c r="J72" s="300">
        <f t="shared" si="35"/>
        <v>2.7723021708877931</v>
      </c>
      <c r="K72" s="300">
        <f t="shared" si="35"/>
        <v>2.9195338099857957</v>
      </c>
      <c r="L72" s="300">
        <f t="shared" si="35"/>
        <v>3.0667159991583701</v>
      </c>
      <c r="M72" s="300">
        <f t="shared" si="35"/>
        <v>3.2135761450209666</v>
      </c>
      <c r="N72" s="300">
        <f t="shared" si="35"/>
        <v>3.4183892693550213</v>
      </c>
      <c r="O72" s="300">
        <f t="shared" si="35"/>
        <v>3.6076117957972933</v>
      </c>
      <c r="P72" s="300">
        <f t="shared" si="35"/>
        <v>3.7796254935044957</v>
      </c>
      <c r="Q72" s="300">
        <f t="shared" si="35"/>
        <v>3.9329519508552973</v>
      </c>
      <c r="R72" s="300">
        <f t="shared" si="35"/>
        <v>4.0662714936535069</v>
      </c>
      <c r="S72" s="300">
        <f t="shared" si="35"/>
        <v>4.1859684326176447</v>
      </c>
      <c r="T72" s="300">
        <f t="shared" si="35"/>
        <v>4.2916347450030132</v>
      </c>
      <c r="U72" s="300">
        <f t="shared" si="35"/>
        <v>4.3828654149360871</v>
      </c>
      <c r="V72" s="300">
        <f t="shared" si="35"/>
        <v>4.4592587973617483</v>
      </c>
      <c r="W72" s="300">
        <f t="shared" si="35"/>
        <v>4.520416984172515</v>
      </c>
      <c r="X72" s="300">
        <f t="shared" si="35"/>
        <v>4.7115215086837985</v>
      </c>
      <c r="Y72" s="300">
        <f t="shared" si="35"/>
        <v>4.8764232544589108</v>
      </c>
      <c r="Z72" s="300">
        <f t="shared" si="35"/>
        <v>5.0144248175287958</v>
      </c>
      <c r="AA72" s="300">
        <f t="shared" si="35"/>
        <v>5.124834990374846</v>
      </c>
      <c r="AB72" s="300">
        <f t="shared" si="35"/>
        <v>5.2069693423222283</v>
      </c>
      <c r="AC72" s="300">
        <f t="shared" si="35"/>
        <v>5.2602005328746495</v>
      </c>
      <c r="AD72" s="300">
        <f t="shared" si="35"/>
        <v>5.2838601703676824</v>
      </c>
      <c r="AE72" s="300">
        <f t="shared" si="35"/>
        <v>5.2772866758047385</v>
      </c>
      <c r="AF72" s="300">
        <f t="shared" si="35"/>
        <v>5.2398258035783938</v>
      </c>
      <c r="AG72" s="300">
        <f t="shared" si="35"/>
        <v>5.1708311634822977</v>
      </c>
      <c r="AH72" s="245"/>
      <c r="AI72" s="423"/>
      <c r="AJ72" s="424"/>
      <c r="AL72" s="221"/>
      <c r="AM72" s="124"/>
      <c r="AN72" s="124"/>
      <c r="AO72" s="124"/>
      <c r="BD72" s="124"/>
      <c r="BE72" s="124"/>
      <c r="BF72" s="124"/>
      <c r="BG72" s="124"/>
      <c r="BH72" s="124"/>
      <c r="BI72" s="124"/>
      <c r="BJ72" s="124"/>
      <c r="BK72" s="124"/>
    </row>
    <row r="73" spans="1:63" outlineLevel="1" x14ac:dyDescent="0.2">
      <c r="A73" s="4" t="s">
        <v>474</v>
      </c>
      <c r="C73" s="230">
        <f>C$72*'BTX recycling rates'!E38</f>
        <v>1.7181013558325287</v>
      </c>
      <c r="D73" s="230">
        <f>D$72*'BTX recycling rates'!F38</f>
        <v>1.8506357106602207</v>
      </c>
      <c r="E73" s="230">
        <f>E$72*'BTX recycling rates'!G38</f>
        <v>1.9700147560735266</v>
      </c>
      <c r="F73" s="230">
        <f>F$72*'BTX recycling rates'!H38</f>
        <v>2.0884138513577657</v>
      </c>
      <c r="G73" s="230">
        <f>G$72*'BTX recycling rates'!I38</f>
        <v>2.2003487332550997</v>
      </c>
      <c r="H73" s="230">
        <f>H$72*'BTX recycling rates'!J38</f>
        <v>2.3048161206040332</v>
      </c>
      <c r="I73" s="230">
        <f>I$72*'BTX recycling rates'!K38</f>
        <v>2.4060632936404676</v>
      </c>
      <c r="J73" s="230">
        <f>J$72*'BTX recycling rates'!L38</f>
        <v>2.5038329893983278</v>
      </c>
      <c r="K73" s="230">
        <f>K$72*'BTX recycling rates'!M38</f>
        <v>2.5978749570810757</v>
      </c>
      <c r="L73" s="230">
        <f>L$72*'BTX recycling rates'!N38</f>
        <v>2.6879469341433602</v>
      </c>
      <c r="M73" s="230">
        <f>M$72*'BTX recycling rates'!O38</f>
        <v>2.7738156083672418</v>
      </c>
      <c r="N73" s="230">
        <f>N$72*'BTX recycling rates'!P38</f>
        <v>2.9050171693249522</v>
      </c>
      <c r="O73" s="230">
        <f>O$72*'BTX recycling rates'!Q38</f>
        <v>3.0177150818754601</v>
      </c>
      <c r="P73" s="230">
        <f>P$72*'BTX recycling rates'!R38</f>
        <v>3.1112009970865797</v>
      </c>
      <c r="Q73" s="230">
        <f>Q$72*'BTX recycling rates'!S38</f>
        <v>3.1849661098255604</v>
      </c>
      <c r="R73" s="230">
        <f>R$72*'BTX recycling rates'!T38</f>
        <v>3.2387069043432977</v>
      </c>
      <c r="S73" s="230">
        <f>S$72*'BTX recycling rates'!U38</f>
        <v>3.2782235993951265</v>
      </c>
      <c r="T73" s="230">
        <f>T$72*'BTX recycling rates'!V38</f>
        <v>3.3037470641876463</v>
      </c>
      <c r="U73" s="230">
        <f>U$72*'BTX recycling rates'!W38</f>
        <v>3.3155322063778359</v>
      </c>
      <c r="V73" s="230">
        <f>V$72*'BTX recycling rates'!X38</f>
        <v>3.3138580420550268</v>
      </c>
      <c r="W73" s="230">
        <f>W$72*'BTX recycling rates'!Y38</f>
        <v>3.2990277381960387</v>
      </c>
      <c r="X73" s="230">
        <f>X$72*'BTX recycling rates'!Z38</f>
        <v>3.3756691534264296</v>
      </c>
      <c r="Y73" s="230">
        <f>Y$72*'BTX recycling rates'!AA38</f>
        <v>3.4287897141413888</v>
      </c>
      <c r="Z73" s="230">
        <f>Z$72*'BTX recycling rates'!AB38</f>
        <v>3.4589565871376222</v>
      </c>
      <c r="AA73" s="230">
        <f>AA$72*'BTX recycling rates'!AC38</f>
        <v>3.4667783302441983</v>
      </c>
      <c r="AB73" s="230">
        <f>AB$72*'BTX recycling rates'!AD38</f>
        <v>3.4529048640533149</v>
      </c>
      <c r="AC73" s="230">
        <f>AC$72*'BTX recycling rates'!AE38</f>
        <v>3.4180597135035842</v>
      </c>
      <c r="AD73" s="230">
        <f>AD$72*'BTX recycling rates'!AF38</f>
        <v>3.3629737382195115</v>
      </c>
      <c r="AE73" s="230">
        <f>AE$72*'BTX recycling rates'!AG38</f>
        <v>3.2884176948137798</v>
      </c>
      <c r="AF73" s="230">
        <f>AF$72*'BTX recycling rates'!AH38</f>
        <v>3.1952021001864099</v>
      </c>
      <c r="AG73" s="230">
        <f>AG$72*'BTX recycling rates'!AI38</f>
        <v>3.0841770539309858</v>
      </c>
      <c r="AH73" s="245"/>
      <c r="AI73" s="133"/>
      <c r="AJ73" s="211"/>
      <c r="AL73" s="108"/>
      <c r="AM73" s="2"/>
      <c r="AN73" s="2"/>
      <c r="AO73" s="2"/>
      <c r="BC73" s="1"/>
      <c r="BD73" s="2"/>
      <c r="BE73" s="2"/>
      <c r="BF73" s="2"/>
      <c r="BG73" s="2"/>
      <c r="BH73" s="2"/>
      <c r="BI73" s="2"/>
      <c r="BJ73" s="2"/>
      <c r="BK73" s="2"/>
    </row>
    <row r="74" spans="1:63" outlineLevel="1" x14ac:dyDescent="0.2">
      <c r="A74" s="4" t="s">
        <v>478</v>
      </c>
      <c r="C74" s="230">
        <f>C$72*'BTX recycling rates'!E39</f>
        <v>6.0262796989348022E-3</v>
      </c>
      <c r="D74" s="230">
        <f>D$72*'BTX recycling rates'!F39</f>
        <v>2.66085597492569E-2</v>
      </c>
      <c r="E74" s="230">
        <f>E$72*'BTX recycling rates'!G39</f>
        <v>5.0329029990472667E-2</v>
      </c>
      <c r="F74" s="230">
        <f>F$72*'BTX recycling rates'!H39</f>
        <v>7.7330728958175859E-2</v>
      </c>
      <c r="G74" s="230">
        <f>G$72*'BTX recycling rates'!I39</f>
        <v>0.1074518455278658</v>
      </c>
      <c r="H74" s="230">
        <f>H$72*'BTX recycling rates'!J39</f>
        <v>0.1405434845199704</v>
      </c>
      <c r="I74" s="230">
        <f>I$72*'BTX recycling rates'!K39</f>
        <v>0.17678728026120022</v>
      </c>
      <c r="J74" s="230">
        <f>J$72*'BTX recycling rates'!L39</f>
        <v>0.21618682310376133</v>
      </c>
      <c r="K74" s="230">
        <f>K$72*'BTX recycling rates'!M39</f>
        <v>0.25873431126224572</v>
      </c>
      <c r="L74" s="230">
        <f>L$72*'BTX recycling rates'!N39</f>
        <v>0.30441022040204968</v>
      </c>
      <c r="M74" s="230">
        <f>M$72*'BTX recycling rates'!O39</f>
        <v>0.35318301301493477</v>
      </c>
      <c r="N74" s="230">
        <f>N$72*'BTX recycling rates'!P39</f>
        <v>0.41206712673544604</v>
      </c>
      <c r="O74" s="230">
        <f>O$72*'BTX recycling rates'!Q39</f>
        <v>0.47326474451386547</v>
      </c>
      <c r="P74" s="230">
        <f>P$72*'BTX recycling rates'!R39</f>
        <v>0.53604866931275785</v>
      </c>
      <c r="Q74" s="230">
        <f>Q$72*'BTX recycling rates'!S39</f>
        <v>0.59964414468245786</v>
      </c>
      <c r="R74" s="230">
        <f>R$72*'BTX recycling rates'!T39</f>
        <v>0.663239379414851</v>
      </c>
      <c r="S74" s="230">
        <f>S$72*'BTX recycling rates'!U39</f>
        <v>0.72730496706894743</v>
      </c>
      <c r="T74" s="230">
        <f>T$72*'BTX recycling rates'!V39</f>
        <v>0.79133080582972215</v>
      </c>
      <c r="U74" s="230">
        <f>U$72*'BTX recycling rates'!W39</f>
        <v>0.85479001353256778</v>
      </c>
      <c r="V74" s="230">
        <f>V$72*'BTX recycling rates'!X39</f>
        <v>0.9171391624944113</v>
      </c>
      <c r="W74" s="230">
        <f>W$72*'BTX recycling rates'!Y39</f>
        <v>0.97781853805299568</v>
      </c>
      <c r="X74" s="230">
        <f>X$72*'BTX recycling rates'!Z39</f>
        <v>1.0692910922258494</v>
      </c>
      <c r="Y74" s="230">
        <f>Y$72*'BTX recycling rates'!AA39</f>
        <v>1.1586050601529747</v>
      </c>
      <c r="Z74" s="230">
        <f>Z$72*'BTX recycling rates'!AB39</f>
        <v>1.2447508656109736</v>
      </c>
      <c r="AA74" s="230">
        <f>AA$72*'BTX recycling rates'!AC39</f>
        <v>1.3266908526928298</v>
      </c>
      <c r="AB74" s="230">
        <f>AB$72*'BTX recycling rates'!AD39</f>
        <v>1.4033597719094382</v>
      </c>
      <c r="AC74" s="230">
        <f>AC$72*'BTX recycling rates'!AE39</f>
        <v>1.4736792363518239</v>
      </c>
      <c r="AD74" s="230">
        <f>AD$72*'BTX recycling rates'!AF39</f>
        <v>1.5365322198838387</v>
      </c>
      <c r="AE74" s="230">
        <f>AE$72*'BTX recycling rates'!AG39</f>
        <v>1.5907753010366326</v>
      </c>
      <c r="AF74" s="230">
        <f>AF$72*'BTX recycling rates'!AH39</f>
        <v>1.6352391879765205</v>
      </c>
      <c r="AG74" s="230">
        <f>AG$72*'BTX recycling rates'!AI39</f>
        <v>1.6687292771347468</v>
      </c>
      <c r="AH74" s="245"/>
      <c r="AI74" s="133"/>
      <c r="AJ74" s="211"/>
      <c r="AL74" s="108"/>
      <c r="AM74" s="2"/>
      <c r="AN74" s="2"/>
      <c r="AO74" s="2"/>
      <c r="BC74" s="1"/>
      <c r="BD74" s="2"/>
      <c r="BE74" s="2"/>
      <c r="BF74" s="2"/>
      <c r="BG74" s="2"/>
      <c r="BH74" s="2"/>
      <c r="BI74" s="2"/>
      <c r="BJ74" s="2"/>
      <c r="BK74" s="2"/>
    </row>
    <row r="75" spans="1:63" outlineLevel="1" x14ac:dyDescent="0.2">
      <c r="A75" s="4" t="s">
        <v>745</v>
      </c>
      <c r="C75" s="230">
        <f>C$72*'BTX recycling rates'!E40</f>
        <v>0</v>
      </c>
      <c r="D75" s="230">
        <f>D$72*'BTX recycling rates'!F40</f>
        <v>4.6684852004772051E-3</v>
      </c>
      <c r="E75" s="230">
        <f>E$72*'BTX recycling rates'!G40</f>
        <v>1.0075932733179489E-2</v>
      </c>
      <c r="F75" s="230">
        <f>F$72*'BTX recycling rates'!H40</f>
        <v>1.6245626108526447E-2</v>
      </c>
      <c r="G75" s="230">
        <f>G$72*'BTX recycling rates'!I40</f>
        <v>2.3144479112460474E-2</v>
      </c>
      <c r="H75" s="230">
        <f>H$72*'BTX recycling rates'!J40</f>
        <v>3.0738755478643392E-2</v>
      </c>
      <c r="I75" s="230">
        <f>I$72*'BTX recycling rates'!K40</f>
        <v>3.9067148488983079E-2</v>
      </c>
      <c r="J75" s="230">
        <f>J$72*'BTX recycling rates'!L40</f>
        <v>4.8130700729855078E-2</v>
      </c>
      <c r="K75" s="230">
        <f>K$72*'BTX recycling rates'!M40</f>
        <v>5.7927805398797293E-2</v>
      </c>
      <c r="L75" s="230">
        <f>L$72*'BTX recycling rates'!N40</f>
        <v>6.845412883407391E-2</v>
      </c>
      <c r="M75" s="230">
        <f>M$72*'BTX recycling rates'!O40</f>
        <v>7.9702542288719661E-2</v>
      </c>
      <c r="N75" s="230">
        <f>N$72*'BTX recycling rates'!P40</f>
        <v>9.3260508948707715E-2</v>
      </c>
      <c r="O75" s="230">
        <f>O$72*'BTX recycling rates'!Q40</f>
        <v>0.10737041305014106</v>
      </c>
      <c r="P75" s="230">
        <f>P$72*'BTX recycling rates'!R40</f>
        <v>0.12186407643017882</v>
      </c>
      <c r="Q75" s="230">
        <f>Q$72*'BTX recycling rates'!S40</f>
        <v>0.13656212177686</v>
      </c>
      <c r="R75" s="230">
        <f>R$72*'BTX recycling rates'!T40</f>
        <v>0.15127641032365491</v>
      </c>
      <c r="S75" s="230">
        <f>S$72*'BTX recycling rates'!U40</f>
        <v>0.16611142774973603</v>
      </c>
      <c r="T75" s="230">
        <f>T$72*'BTX recycling rates'!V40</f>
        <v>0.18094861093558634</v>
      </c>
      <c r="U75" s="230">
        <f>U$72*'BTX recycling rates'!W40</f>
        <v>0.19566548311534601</v>
      </c>
      <c r="V75" s="230">
        <f>V$72*'BTX recycling rates'!X40</f>
        <v>0.21013570831520695</v>
      </c>
      <c r="W75" s="230">
        <f>W$72*'BTX recycling rates'!Y40</f>
        <v>0.22422915131597473</v>
      </c>
      <c r="X75" s="230">
        <f>X$72*'BTX recycling rates'!Z40</f>
        <v>0.24539406356715682</v>
      </c>
      <c r="Y75" s="230">
        <f>Y$72*'BTX recycling rates'!AA40</f>
        <v>0.26607719526685669</v>
      </c>
      <c r="Z75" s="230">
        <f>Z$72*'BTX recycling rates'!AB40</f>
        <v>0.28604380057756484</v>
      </c>
      <c r="AA75" s="230">
        <f>AA$72*'BTX recycling rates'!AC40</f>
        <v>0.30505258374605954</v>
      </c>
      <c r="AB75" s="230">
        <f>AB$72*'BTX recycling rates'!AD40</f>
        <v>0.32285581193206536</v>
      </c>
      <c r="AC75" s="230">
        <f>AC$72*'BTX recycling rates'!AE40</f>
        <v>0.33920264368940783</v>
      </c>
      <c r="AD75" s="230">
        <f>AD$72*'BTX recycling rates'!AF40</f>
        <v>0.353833264908958</v>
      </c>
      <c r="AE75" s="230">
        <f>AE$72*'BTX recycling rates'!AG40</f>
        <v>0.36648170365565846</v>
      </c>
      <c r="AF75" s="230">
        <f>AF$72*'BTX recycling rates'!AH40</f>
        <v>0.37687595210483782</v>
      </c>
      <c r="AG75" s="230">
        <f>AG$72*'BTX recycling rates'!AI40</f>
        <v>0.38473809632345429</v>
      </c>
      <c r="AH75" s="245"/>
      <c r="AI75" s="133"/>
      <c r="AJ75" s="211"/>
      <c r="AL75" s="108"/>
      <c r="AM75" s="2"/>
      <c r="AN75" s="2"/>
      <c r="AO75" s="2"/>
      <c r="BC75" s="1"/>
      <c r="BD75" s="2"/>
      <c r="BE75" s="2"/>
      <c r="BF75" s="2"/>
      <c r="BG75" s="2"/>
      <c r="BH75" s="2"/>
      <c r="BI75" s="2"/>
      <c r="BJ75" s="2"/>
      <c r="BK75" s="2"/>
    </row>
    <row r="76" spans="1:63" outlineLevel="1" x14ac:dyDescent="0.2">
      <c r="A76" s="4" t="s">
        <v>1561</v>
      </c>
      <c r="C76" s="230">
        <f>C$72*'BTX recycling rates'!E41</f>
        <v>0</v>
      </c>
      <c r="D76" s="230">
        <f>D$72*'BTX recycling rates'!F41</f>
        <v>4.0269416463655747E-4</v>
      </c>
      <c r="E76" s="230">
        <f>E$72*'BTX recycling rates'!G41</f>
        <v>8.6912973709483033E-4</v>
      </c>
      <c r="F76" s="230">
        <f>F$72*'BTX recycling rates'!H41</f>
        <v>1.4013151062580622E-3</v>
      </c>
      <c r="G76" s="230">
        <f>G$72*'BTX recycling rates'!I41</f>
        <v>1.9963963216993452E-3</v>
      </c>
      <c r="H76" s="230">
        <f>H$72*'BTX recycling rates'!J41</f>
        <v>2.6514633607865809E-3</v>
      </c>
      <c r="I76" s="230">
        <f>I$72*'BTX recycling rates'!K41</f>
        <v>3.3698538283671283E-3</v>
      </c>
      <c r="J76" s="230">
        <f>J$72*'BTX recycling rates'!L41</f>
        <v>4.1516576558494707E-3</v>
      </c>
      <c r="K76" s="230">
        <f>K$72*'BTX recycling rates'!M41</f>
        <v>4.9967362436777714E-3</v>
      </c>
      <c r="L76" s="230">
        <f>L$72*'BTX recycling rates'!N41</f>
        <v>5.9047157788875305E-3</v>
      </c>
      <c r="M76" s="230">
        <f>M$72*'BTX recycling rates'!O41</f>
        <v>6.8749813500715547E-3</v>
      </c>
      <c r="N76" s="230">
        <f>N$72*'BTX recycling rates'!P41</f>
        <v>8.0444643459169959E-3</v>
      </c>
      <c r="O76" s="230">
        <f>O$72*'BTX recycling rates'!Q41</f>
        <v>9.2615563578286597E-3</v>
      </c>
      <c r="P76" s="230">
        <f>P$72*'BTX recycling rates'!R41</f>
        <v>1.0511750674981292E-2</v>
      </c>
      <c r="Q76" s="230">
        <f>Q$72*'BTX recycling rates'!S41</f>
        <v>1.1779574570421081E-2</v>
      </c>
      <c r="R76" s="230">
        <f>R$72*'BTX recycling rates'!T41</f>
        <v>1.3048799571705684E-2</v>
      </c>
      <c r="S76" s="230">
        <f>S$72*'BTX recycling rates'!U41</f>
        <v>1.4328438403837754E-2</v>
      </c>
      <c r="T76" s="230">
        <f>T$72*'BTX recycling rates'!V41</f>
        <v>1.5608264050061249E-2</v>
      </c>
      <c r="U76" s="230">
        <f>U$72*'BTX recycling rates'!W41</f>
        <v>1.6877711910340536E-2</v>
      </c>
      <c r="V76" s="230">
        <f>V$72*'BTX recycling rates'!X41</f>
        <v>1.8125884497107059E-2</v>
      </c>
      <c r="W76" s="230">
        <f>W$72*'BTX recycling rates'!Y41</f>
        <v>1.9341556607509594E-2</v>
      </c>
      <c r="X76" s="230">
        <f>X$72*'BTX recycling rates'!Z41</f>
        <v>2.1167199464367018E-2</v>
      </c>
      <c r="Y76" s="230">
        <f>Y$72*'BTX recycling rates'!AA41</f>
        <v>2.2951284897694973E-2</v>
      </c>
      <c r="Z76" s="230">
        <f>Z$72*'BTX recycling rates'!AB41</f>
        <v>2.4673564202639879E-2</v>
      </c>
      <c r="AA76" s="230">
        <f>AA$72*'BTX recycling rates'!AC41</f>
        <v>2.6313223691763241E-2</v>
      </c>
      <c r="AB76" s="230">
        <f>AB$72*'BTX recycling rates'!AD41</f>
        <v>2.7848894427415307E-2</v>
      </c>
      <c r="AC76" s="230">
        <f>AC$72*'BTX recycling rates'!AE41</f>
        <v>2.9258939329839865E-2</v>
      </c>
      <c r="AD76" s="230">
        <f>AD$72*'BTX recycling rates'!AF41</f>
        <v>3.0520947355380662E-2</v>
      </c>
      <c r="AE76" s="230">
        <f>AE$72*'BTX recycling rates'!AG41</f>
        <v>3.1611976298674425E-2</v>
      </c>
      <c r="AF76" s="230">
        <f>AF$72*'BTX recycling rates'!AH41</f>
        <v>3.2508563310632663E-2</v>
      </c>
      <c r="AG76" s="230">
        <f>AG$72*'BTX recycling rates'!AI41</f>
        <v>3.3186736093111305E-2</v>
      </c>
      <c r="AH76" s="245"/>
      <c r="AI76" s="133"/>
      <c r="AJ76" s="211"/>
      <c r="AL76" s="108"/>
      <c r="AM76" s="2"/>
      <c r="AN76" s="2"/>
      <c r="AO76" s="2"/>
      <c r="BC76" s="1"/>
      <c r="BD76" s="2"/>
      <c r="BE76" s="2"/>
      <c r="BF76" s="2"/>
      <c r="BG76" s="2"/>
      <c r="BH76" s="2"/>
      <c r="BI76" s="2"/>
      <c r="BJ76" s="2"/>
      <c r="BK76" s="2"/>
    </row>
    <row r="77" spans="1:63" s="1" customFormat="1" outlineLevel="1" x14ac:dyDescent="0.2">
      <c r="A77" s="1" t="s">
        <v>1562</v>
      </c>
      <c r="B77" s="65"/>
      <c r="C77" s="300">
        <f t="shared" ref="C77:AG77" si="36">C72-$C72</f>
        <v>0</v>
      </c>
      <c r="D77" s="300">
        <f t="shared" si="36"/>
        <v>0.15818781424312767</v>
      </c>
      <c r="E77" s="300">
        <f t="shared" si="36"/>
        <v>0.30716121300280985</v>
      </c>
      <c r="F77" s="300">
        <f t="shared" si="36"/>
        <v>0.45926388599926238</v>
      </c>
      <c r="G77" s="300">
        <f t="shared" si="36"/>
        <v>0.60881381868566153</v>
      </c>
      <c r="H77" s="300">
        <f t="shared" si="36"/>
        <v>0.75462218843196949</v>
      </c>
      <c r="I77" s="300">
        <f t="shared" si="36"/>
        <v>0.9011599406875539</v>
      </c>
      <c r="J77" s="300">
        <f t="shared" si="36"/>
        <v>1.0481745353563294</v>
      </c>
      <c r="K77" s="300">
        <f t="shared" si="36"/>
        <v>1.1954061744543321</v>
      </c>
      <c r="L77" s="300">
        <f t="shared" si="36"/>
        <v>1.3425883636269065</v>
      </c>
      <c r="M77" s="300">
        <f t="shared" si="36"/>
        <v>1.4894485094895029</v>
      </c>
      <c r="N77" s="300">
        <f t="shared" si="36"/>
        <v>1.6942616338235577</v>
      </c>
      <c r="O77" s="300">
        <f t="shared" si="36"/>
        <v>1.8834841602658297</v>
      </c>
      <c r="P77" s="300">
        <f t="shared" si="36"/>
        <v>2.0554978579730321</v>
      </c>
      <c r="Q77" s="300">
        <f t="shared" si="36"/>
        <v>2.2088243153238336</v>
      </c>
      <c r="R77" s="300">
        <f t="shared" si="36"/>
        <v>2.3421438581220433</v>
      </c>
      <c r="S77" s="300">
        <f t="shared" si="36"/>
        <v>2.4618407970861811</v>
      </c>
      <c r="T77" s="300">
        <f t="shared" si="36"/>
        <v>2.5675071094715496</v>
      </c>
      <c r="U77" s="300">
        <f t="shared" si="36"/>
        <v>2.6587377794046234</v>
      </c>
      <c r="V77" s="300">
        <f t="shared" si="36"/>
        <v>2.7351311618302847</v>
      </c>
      <c r="W77" s="300">
        <f t="shared" si="36"/>
        <v>2.7962893486410514</v>
      </c>
      <c r="X77" s="300">
        <f t="shared" si="36"/>
        <v>2.9873938731523348</v>
      </c>
      <c r="Y77" s="300">
        <f t="shared" si="36"/>
        <v>3.1522956189274471</v>
      </c>
      <c r="Z77" s="300">
        <f t="shared" si="36"/>
        <v>3.2902971819973321</v>
      </c>
      <c r="AA77" s="300">
        <f t="shared" si="36"/>
        <v>3.4007073548433824</v>
      </c>
      <c r="AB77" s="300">
        <f t="shared" si="36"/>
        <v>3.4828417067907647</v>
      </c>
      <c r="AC77" s="300">
        <f t="shared" si="36"/>
        <v>3.5360728973431859</v>
      </c>
      <c r="AD77" s="300">
        <f t="shared" si="36"/>
        <v>3.5597325348362188</v>
      </c>
      <c r="AE77" s="300">
        <f t="shared" si="36"/>
        <v>3.5531590402732749</v>
      </c>
      <c r="AF77" s="300">
        <f t="shared" si="36"/>
        <v>3.5156981680469301</v>
      </c>
      <c r="AG77" s="300">
        <f t="shared" si="36"/>
        <v>3.446703527950834</v>
      </c>
      <c r="AH77" s="245"/>
      <c r="AI77" s="423"/>
      <c r="AJ77" s="424"/>
      <c r="AL77" s="221"/>
      <c r="AM77" s="124"/>
      <c r="AN77" s="124"/>
      <c r="AO77" s="124"/>
      <c r="BD77" s="124"/>
      <c r="BE77" s="124"/>
      <c r="BF77" s="124"/>
      <c r="BG77" s="124"/>
      <c r="BH77" s="124"/>
      <c r="BI77" s="124"/>
      <c r="BJ77" s="124"/>
      <c r="BK77" s="124"/>
    </row>
    <row r="78" spans="1:63" outlineLevel="1" x14ac:dyDescent="0.2">
      <c r="A78" s="4" t="s">
        <v>474</v>
      </c>
      <c r="C78" s="230">
        <f t="shared" ref="C78:AG78" si="37">C73-$C73</f>
        <v>0</v>
      </c>
      <c r="D78" s="230">
        <f t="shared" si="37"/>
        <v>0.13253435482769205</v>
      </c>
      <c r="E78" s="230">
        <f t="shared" si="37"/>
        <v>0.25191340024099795</v>
      </c>
      <c r="F78" s="230">
        <f t="shared" si="37"/>
        <v>0.37031249552523704</v>
      </c>
      <c r="G78" s="230">
        <f t="shared" si="37"/>
        <v>0.48224737742257107</v>
      </c>
      <c r="H78" s="230">
        <f t="shared" si="37"/>
        <v>0.58671476477150453</v>
      </c>
      <c r="I78" s="230">
        <f t="shared" si="37"/>
        <v>0.68796193780793891</v>
      </c>
      <c r="J78" s="230">
        <f t="shared" si="37"/>
        <v>0.78573163356579911</v>
      </c>
      <c r="K78" s="230">
        <f t="shared" si="37"/>
        <v>0.87977360124854709</v>
      </c>
      <c r="L78" s="230">
        <f t="shared" si="37"/>
        <v>0.96984557831083151</v>
      </c>
      <c r="M78" s="230">
        <f t="shared" si="37"/>
        <v>1.0557142525347132</v>
      </c>
      <c r="N78" s="230">
        <f t="shared" si="37"/>
        <v>1.1869158134924236</v>
      </c>
      <c r="O78" s="230">
        <f t="shared" si="37"/>
        <v>1.2996137260429315</v>
      </c>
      <c r="P78" s="230">
        <f t="shared" si="37"/>
        <v>1.3930996412540511</v>
      </c>
      <c r="Q78" s="230">
        <f t="shared" si="37"/>
        <v>1.4668647539930317</v>
      </c>
      <c r="R78" s="230">
        <f t="shared" si="37"/>
        <v>1.520605548510769</v>
      </c>
      <c r="S78" s="230">
        <f t="shared" si="37"/>
        <v>1.5601222435625979</v>
      </c>
      <c r="T78" s="230">
        <f t="shared" si="37"/>
        <v>1.5856457083551176</v>
      </c>
      <c r="U78" s="230">
        <f t="shared" si="37"/>
        <v>1.5974308505453072</v>
      </c>
      <c r="V78" s="230">
        <f t="shared" si="37"/>
        <v>1.5957566862224981</v>
      </c>
      <c r="W78" s="230">
        <f t="shared" si="37"/>
        <v>1.58092638236351</v>
      </c>
      <c r="X78" s="230">
        <f t="shared" si="37"/>
        <v>1.6575677975939009</v>
      </c>
      <c r="Y78" s="230">
        <f t="shared" si="37"/>
        <v>1.7106883583088601</v>
      </c>
      <c r="Z78" s="230">
        <f t="shared" si="37"/>
        <v>1.7408552313050936</v>
      </c>
      <c r="AA78" s="230">
        <f t="shared" si="37"/>
        <v>1.7486769744116697</v>
      </c>
      <c r="AB78" s="230">
        <f t="shared" si="37"/>
        <v>1.7348035082207862</v>
      </c>
      <c r="AC78" s="230">
        <f t="shared" si="37"/>
        <v>1.6999583576710555</v>
      </c>
      <c r="AD78" s="230">
        <f t="shared" si="37"/>
        <v>1.6448723823869829</v>
      </c>
      <c r="AE78" s="230">
        <f t="shared" si="37"/>
        <v>1.5703163389812511</v>
      </c>
      <c r="AF78" s="230">
        <f t="shared" si="37"/>
        <v>1.4771007443538813</v>
      </c>
      <c r="AG78" s="230">
        <f t="shared" si="37"/>
        <v>1.3660756980984572</v>
      </c>
      <c r="AH78" s="245"/>
      <c r="AI78" s="133"/>
      <c r="AJ78" s="211"/>
      <c r="AL78" s="108"/>
      <c r="AM78" s="2"/>
      <c r="AN78" s="2"/>
      <c r="AO78" s="2"/>
      <c r="BC78" s="1"/>
      <c r="BD78" s="2"/>
      <c r="BE78" s="2"/>
      <c r="BF78" s="2"/>
      <c r="BG78" s="2"/>
      <c r="BH78" s="2"/>
      <c r="BI78" s="2"/>
      <c r="BJ78" s="2"/>
      <c r="BK78" s="2"/>
    </row>
    <row r="79" spans="1:63" outlineLevel="1" x14ac:dyDescent="0.2">
      <c r="A79" s="4" t="s">
        <v>478</v>
      </c>
      <c r="C79" s="230">
        <f t="shared" ref="C79:AG79" si="38">C74-$C74</f>
        <v>0</v>
      </c>
      <c r="D79" s="230">
        <f t="shared" si="38"/>
        <v>2.0582280050322099E-2</v>
      </c>
      <c r="E79" s="230">
        <f t="shared" si="38"/>
        <v>4.4302750291537865E-2</v>
      </c>
      <c r="F79" s="230">
        <f t="shared" si="38"/>
        <v>7.1304449259241051E-2</v>
      </c>
      <c r="G79" s="230">
        <f t="shared" si="38"/>
        <v>0.10142556582893099</v>
      </c>
      <c r="H79" s="230">
        <f t="shared" si="38"/>
        <v>0.1345172048210356</v>
      </c>
      <c r="I79" s="230">
        <f t="shared" si="38"/>
        <v>0.17076100056226542</v>
      </c>
      <c r="J79" s="230">
        <f t="shared" si="38"/>
        <v>0.21016054340482654</v>
      </c>
      <c r="K79" s="230">
        <f t="shared" si="38"/>
        <v>0.2527080315633109</v>
      </c>
      <c r="L79" s="230">
        <f t="shared" si="38"/>
        <v>0.29838394070311486</v>
      </c>
      <c r="M79" s="230">
        <f t="shared" si="38"/>
        <v>0.34715673331599994</v>
      </c>
      <c r="N79" s="230">
        <f t="shared" si="38"/>
        <v>0.40604084703651122</v>
      </c>
      <c r="O79" s="230">
        <f t="shared" si="38"/>
        <v>0.46723846481493064</v>
      </c>
      <c r="P79" s="230">
        <f t="shared" si="38"/>
        <v>0.53002238961382309</v>
      </c>
      <c r="Q79" s="230">
        <f t="shared" si="38"/>
        <v>0.59361786498352309</v>
      </c>
      <c r="R79" s="230">
        <f t="shared" si="38"/>
        <v>0.65721309971591624</v>
      </c>
      <c r="S79" s="230">
        <f t="shared" si="38"/>
        <v>0.72127868737001266</v>
      </c>
      <c r="T79" s="230">
        <f t="shared" si="38"/>
        <v>0.78530452613078738</v>
      </c>
      <c r="U79" s="230">
        <f t="shared" si="38"/>
        <v>0.84876373383363302</v>
      </c>
      <c r="V79" s="230">
        <f t="shared" si="38"/>
        <v>0.91111288279547653</v>
      </c>
      <c r="W79" s="230">
        <f t="shared" si="38"/>
        <v>0.97179225835406091</v>
      </c>
      <c r="X79" s="230">
        <f t="shared" si="38"/>
        <v>1.0632648125269146</v>
      </c>
      <c r="Y79" s="230">
        <f t="shared" si="38"/>
        <v>1.1525787804540399</v>
      </c>
      <c r="Z79" s="230">
        <f t="shared" si="38"/>
        <v>1.2387245859120388</v>
      </c>
      <c r="AA79" s="230">
        <f t="shared" si="38"/>
        <v>1.3206645729938951</v>
      </c>
      <c r="AB79" s="230">
        <f t="shared" si="38"/>
        <v>1.3973334922105034</v>
      </c>
      <c r="AC79" s="230">
        <f t="shared" si="38"/>
        <v>1.4676529566528891</v>
      </c>
      <c r="AD79" s="230">
        <f t="shared" si="38"/>
        <v>1.5305059401849039</v>
      </c>
      <c r="AE79" s="230">
        <f t="shared" si="38"/>
        <v>1.5847490213376978</v>
      </c>
      <c r="AF79" s="230">
        <f t="shared" si="38"/>
        <v>1.6292129082775857</v>
      </c>
      <c r="AG79" s="230">
        <f t="shared" si="38"/>
        <v>1.6627029974358121</v>
      </c>
      <c r="AH79" s="245"/>
      <c r="AI79" s="133"/>
      <c r="AJ79" s="211"/>
      <c r="AL79" s="108"/>
      <c r="AM79" s="2"/>
      <c r="AN79" s="2"/>
      <c r="AO79" s="2"/>
      <c r="BC79" s="1"/>
      <c r="BD79" s="2"/>
      <c r="BE79" s="2"/>
      <c r="BF79" s="2"/>
      <c r="BG79" s="2"/>
      <c r="BH79" s="2"/>
      <c r="BI79" s="2"/>
      <c r="BJ79" s="2"/>
      <c r="BK79" s="2"/>
    </row>
    <row r="80" spans="1:63" outlineLevel="1" x14ac:dyDescent="0.2">
      <c r="A80" s="4" t="s">
        <v>745</v>
      </c>
      <c r="C80" s="230">
        <f t="shared" ref="C80:AG80" si="39">C75-$C75</f>
        <v>0</v>
      </c>
      <c r="D80" s="230">
        <f t="shared" si="39"/>
        <v>4.6684852004772051E-3</v>
      </c>
      <c r="E80" s="230">
        <f t="shared" si="39"/>
        <v>1.0075932733179489E-2</v>
      </c>
      <c r="F80" s="230">
        <f t="shared" si="39"/>
        <v>1.6245626108526447E-2</v>
      </c>
      <c r="G80" s="230">
        <f t="shared" si="39"/>
        <v>2.3144479112460474E-2</v>
      </c>
      <c r="H80" s="230">
        <f t="shared" si="39"/>
        <v>3.0738755478643392E-2</v>
      </c>
      <c r="I80" s="230">
        <f t="shared" si="39"/>
        <v>3.9067148488983079E-2</v>
      </c>
      <c r="J80" s="230">
        <f t="shared" si="39"/>
        <v>4.8130700729855078E-2</v>
      </c>
      <c r="K80" s="230">
        <f t="shared" si="39"/>
        <v>5.7927805398797293E-2</v>
      </c>
      <c r="L80" s="230">
        <f t="shared" si="39"/>
        <v>6.845412883407391E-2</v>
      </c>
      <c r="M80" s="230">
        <f t="shared" si="39"/>
        <v>7.9702542288719661E-2</v>
      </c>
      <c r="N80" s="230">
        <f t="shared" si="39"/>
        <v>9.3260508948707715E-2</v>
      </c>
      <c r="O80" s="230">
        <f t="shared" si="39"/>
        <v>0.10737041305014106</v>
      </c>
      <c r="P80" s="230">
        <f t="shared" si="39"/>
        <v>0.12186407643017882</v>
      </c>
      <c r="Q80" s="230">
        <f t="shared" si="39"/>
        <v>0.13656212177686</v>
      </c>
      <c r="R80" s="230">
        <f t="shared" si="39"/>
        <v>0.15127641032365491</v>
      </c>
      <c r="S80" s="230">
        <f t="shared" si="39"/>
        <v>0.16611142774973603</v>
      </c>
      <c r="T80" s="230">
        <f t="shared" si="39"/>
        <v>0.18094861093558634</v>
      </c>
      <c r="U80" s="230">
        <f t="shared" si="39"/>
        <v>0.19566548311534601</v>
      </c>
      <c r="V80" s="230">
        <f t="shared" si="39"/>
        <v>0.21013570831520695</v>
      </c>
      <c r="W80" s="230">
        <f t="shared" si="39"/>
        <v>0.22422915131597473</v>
      </c>
      <c r="X80" s="230">
        <f t="shared" si="39"/>
        <v>0.24539406356715682</v>
      </c>
      <c r="Y80" s="230">
        <f t="shared" si="39"/>
        <v>0.26607719526685669</v>
      </c>
      <c r="Z80" s="230">
        <f t="shared" si="39"/>
        <v>0.28604380057756484</v>
      </c>
      <c r="AA80" s="230">
        <f t="shared" si="39"/>
        <v>0.30505258374605954</v>
      </c>
      <c r="AB80" s="230">
        <f t="shared" si="39"/>
        <v>0.32285581193206536</v>
      </c>
      <c r="AC80" s="230">
        <f t="shared" si="39"/>
        <v>0.33920264368940783</v>
      </c>
      <c r="AD80" s="230">
        <f t="shared" si="39"/>
        <v>0.353833264908958</v>
      </c>
      <c r="AE80" s="230">
        <f t="shared" si="39"/>
        <v>0.36648170365565846</v>
      </c>
      <c r="AF80" s="230">
        <f t="shared" si="39"/>
        <v>0.37687595210483782</v>
      </c>
      <c r="AG80" s="230">
        <f t="shared" si="39"/>
        <v>0.38473809632345429</v>
      </c>
      <c r="AH80" s="245"/>
      <c r="AI80" s="133"/>
      <c r="AJ80" s="211"/>
      <c r="AL80" s="108"/>
      <c r="AM80" s="2"/>
      <c r="AN80" s="2"/>
      <c r="AO80" s="2"/>
      <c r="BC80" s="1"/>
      <c r="BD80" s="2"/>
      <c r="BE80" s="2"/>
      <c r="BF80" s="2"/>
      <c r="BG80" s="2"/>
      <c r="BH80" s="2"/>
      <c r="BI80" s="2"/>
      <c r="BJ80" s="2"/>
      <c r="BK80" s="2"/>
    </row>
    <row r="81" spans="1:63" outlineLevel="1" x14ac:dyDescent="0.2">
      <c r="A81" s="4" t="s">
        <v>1561</v>
      </c>
      <c r="C81" s="230">
        <f t="shared" ref="C81:AG81" si="40">C76-$C76</f>
        <v>0</v>
      </c>
      <c r="D81" s="230">
        <f t="shared" si="40"/>
        <v>4.0269416463655747E-4</v>
      </c>
      <c r="E81" s="230">
        <f t="shared" si="40"/>
        <v>8.6912973709483033E-4</v>
      </c>
      <c r="F81" s="230">
        <f t="shared" si="40"/>
        <v>1.4013151062580622E-3</v>
      </c>
      <c r="G81" s="230">
        <f t="shared" si="40"/>
        <v>1.9963963216993452E-3</v>
      </c>
      <c r="H81" s="230">
        <f t="shared" si="40"/>
        <v>2.6514633607865809E-3</v>
      </c>
      <c r="I81" s="230">
        <f t="shared" si="40"/>
        <v>3.3698538283671283E-3</v>
      </c>
      <c r="J81" s="230">
        <f t="shared" si="40"/>
        <v>4.1516576558494707E-3</v>
      </c>
      <c r="K81" s="230">
        <f t="shared" si="40"/>
        <v>4.9967362436777714E-3</v>
      </c>
      <c r="L81" s="230">
        <f t="shared" si="40"/>
        <v>5.9047157788875305E-3</v>
      </c>
      <c r="M81" s="230">
        <f t="shared" si="40"/>
        <v>6.8749813500715547E-3</v>
      </c>
      <c r="N81" s="230">
        <f t="shared" si="40"/>
        <v>8.0444643459169959E-3</v>
      </c>
      <c r="O81" s="230">
        <f t="shared" si="40"/>
        <v>9.2615563578286597E-3</v>
      </c>
      <c r="P81" s="230">
        <f t="shared" si="40"/>
        <v>1.0511750674981292E-2</v>
      </c>
      <c r="Q81" s="230">
        <f t="shared" si="40"/>
        <v>1.1779574570421081E-2</v>
      </c>
      <c r="R81" s="230">
        <f t="shared" si="40"/>
        <v>1.3048799571705684E-2</v>
      </c>
      <c r="S81" s="230">
        <f t="shared" si="40"/>
        <v>1.4328438403837754E-2</v>
      </c>
      <c r="T81" s="230">
        <f t="shared" si="40"/>
        <v>1.5608264050061249E-2</v>
      </c>
      <c r="U81" s="230">
        <f t="shared" si="40"/>
        <v>1.6877711910340536E-2</v>
      </c>
      <c r="V81" s="230">
        <f t="shared" si="40"/>
        <v>1.8125884497107059E-2</v>
      </c>
      <c r="W81" s="230">
        <f t="shared" si="40"/>
        <v>1.9341556607509594E-2</v>
      </c>
      <c r="X81" s="230">
        <f t="shared" si="40"/>
        <v>2.1167199464367018E-2</v>
      </c>
      <c r="Y81" s="230">
        <f t="shared" si="40"/>
        <v>2.2951284897694973E-2</v>
      </c>
      <c r="Z81" s="230">
        <f t="shared" si="40"/>
        <v>2.4673564202639879E-2</v>
      </c>
      <c r="AA81" s="230">
        <f t="shared" si="40"/>
        <v>2.6313223691763241E-2</v>
      </c>
      <c r="AB81" s="230">
        <f t="shared" si="40"/>
        <v>2.7848894427415307E-2</v>
      </c>
      <c r="AC81" s="230">
        <f t="shared" si="40"/>
        <v>2.9258939329839865E-2</v>
      </c>
      <c r="AD81" s="230">
        <f t="shared" si="40"/>
        <v>3.0520947355380662E-2</v>
      </c>
      <c r="AE81" s="230">
        <f t="shared" si="40"/>
        <v>3.1611976298674425E-2</v>
      </c>
      <c r="AF81" s="230">
        <f t="shared" si="40"/>
        <v>3.2508563310632663E-2</v>
      </c>
      <c r="AG81" s="230">
        <f t="shared" si="40"/>
        <v>3.3186736093111305E-2</v>
      </c>
      <c r="AH81" s="245"/>
      <c r="AI81" s="133"/>
      <c r="AJ81" s="211"/>
      <c r="AL81" s="108"/>
      <c r="AM81" s="2"/>
      <c r="AN81" s="2"/>
      <c r="AO81" s="2"/>
      <c r="BC81" s="1"/>
      <c r="BD81" s="2"/>
      <c r="BE81" s="2"/>
      <c r="BF81" s="2"/>
      <c r="BG81" s="2"/>
      <c r="BH81" s="2"/>
      <c r="BI81" s="2"/>
      <c r="BJ81" s="2"/>
      <c r="BK81" s="2"/>
    </row>
    <row r="82" spans="1:63" s="1" customFormat="1" outlineLevel="1" x14ac:dyDescent="0.2">
      <c r="A82" s="1" t="s">
        <v>1563</v>
      </c>
      <c r="B82" s="65"/>
      <c r="C82" s="300">
        <f>C42*C67</f>
        <v>0.40076570156277719</v>
      </c>
      <c r="D82" s="300">
        <f t="shared" ref="D82:AG82" si="41">D42*D67</f>
        <v>0.41588878373658517</v>
      </c>
      <c r="E82" s="300">
        <f t="shared" si="41"/>
        <v>0.42769934375210972</v>
      </c>
      <c r="F82" s="300">
        <f t="shared" si="41"/>
        <v>0.43905413691332762</v>
      </c>
      <c r="G82" s="300">
        <f t="shared" si="41"/>
        <v>0.44884567519064511</v>
      </c>
      <c r="H82" s="300">
        <f t="shared" si="41"/>
        <v>0.45697613833464312</v>
      </c>
      <c r="I82" s="300">
        <f t="shared" si="41"/>
        <v>0.46436421016600532</v>
      </c>
      <c r="J82" s="300">
        <f t="shared" si="41"/>
        <v>0.47098209456158707</v>
      </c>
      <c r="K82" s="300">
        <f t="shared" si="41"/>
        <v>0.47680392464177307</v>
      </c>
      <c r="L82" s="300">
        <f t="shared" si="41"/>
        <v>0.48180589523278217</v>
      </c>
      <c r="M82" s="300">
        <f t="shared" si="41"/>
        <v>0.48596638987211777</v>
      </c>
      <c r="N82" s="300">
        <f t="shared" si="41"/>
        <v>0.49657604042787229</v>
      </c>
      <c r="O82" s="300">
        <f t="shared" si="41"/>
        <v>0.50414571683451581</v>
      </c>
      <c r="P82" s="300">
        <f t="shared" si="41"/>
        <v>0.50865334161228526</v>
      </c>
      <c r="Q82" s="300">
        <f t="shared" si="41"/>
        <v>0.51011014775560304</v>
      </c>
      <c r="R82" s="300">
        <f t="shared" si="41"/>
        <v>0.50856044540419409</v>
      </c>
      <c r="S82" s="300">
        <f t="shared" si="41"/>
        <v>0.5049890765256545</v>
      </c>
      <c r="T82" s="300">
        <f t="shared" si="41"/>
        <v>0.49947113563087109</v>
      </c>
      <c r="U82" s="300">
        <f t="shared" si="41"/>
        <v>0.49208641753097448</v>
      </c>
      <c r="V82" s="300">
        <f t="shared" si="41"/>
        <v>0.48291940672331246</v>
      </c>
      <c r="W82" s="300">
        <f t="shared" si="41"/>
        <v>0.47205926102848905</v>
      </c>
      <c r="X82" s="300">
        <f t="shared" si="41"/>
        <v>0.4692390503596881</v>
      </c>
      <c r="Y82" s="300">
        <f t="shared" si="41"/>
        <v>0.46365807055471192</v>
      </c>
      <c r="Z82" s="300">
        <f t="shared" si="41"/>
        <v>0.45546328622684901</v>
      </c>
      <c r="AA82" s="300">
        <f t="shared" si="41"/>
        <v>0.44480886270425307</v>
      </c>
      <c r="AB82" s="300">
        <f t="shared" si="41"/>
        <v>0.43185612514733107</v>
      </c>
      <c r="AC82" s="300">
        <f t="shared" si="41"/>
        <v>0.4167774495837539</v>
      </c>
      <c r="AD82" s="300">
        <f t="shared" si="41"/>
        <v>0.39974784658584156</v>
      </c>
      <c r="AE82" s="300">
        <f t="shared" si="41"/>
        <v>0.38094921213878952</v>
      </c>
      <c r="AF82" s="300">
        <f t="shared" si="41"/>
        <v>0.36057027064984609</v>
      </c>
      <c r="AG82" s="300">
        <f t="shared" si="41"/>
        <v>0.33880651040853915</v>
      </c>
      <c r="AH82" s="245"/>
      <c r="AI82" s="423"/>
      <c r="AJ82" s="424"/>
      <c r="AL82" s="221"/>
      <c r="AM82" s="124"/>
      <c r="AN82" s="124"/>
      <c r="AO82" s="124"/>
      <c r="BD82" s="124"/>
      <c r="BE82" s="124"/>
      <c r="BF82" s="124"/>
      <c r="BG82" s="124"/>
      <c r="BH82" s="124"/>
      <c r="BI82" s="124"/>
      <c r="BJ82" s="124"/>
      <c r="BK82" s="124"/>
    </row>
    <row r="83" spans="1:63" outlineLevel="1" x14ac:dyDescent="0.2">
      <c r="A83" s="4" t="s">
        <v>474</v>
      </c>
      <c r="C83" s="230">
        <f>C$82*'BTX recycling rates'!E42</f>
        <v>0.39936491999557455</v>
      </c>
      <c r="D83" s="230">
        <f>D$82*'BTX recycling rates'!F42</f>
        <v>0.4088892937356155</v>
      </c>
      <c r="E83" s="230">
        <f>E$82*'BTX recycling rates'!G42</f>
        <v>0.41479773738855497</v>
      </c>
      <c r="F83" s="230">
        <f>F$82*'BTX recycling rates'!H42</f>
        <v>0.41995525400908673</v>
      </c>
      <c r="G83" s="230">
        <f>G$82*'BTX recycling rates'!I42</f>
        <v>0.42333553250875927</v>
      </c>
      <c r="H83" s="230">
        <f>H$82*'BTX recycling rates'!J42</f>
        <v>0.42491015437812968</v>
      </c>
      <c r="I83" s="230">
        <f>I$82*'BTX recycling rates'!K42</f>
        <v>0.42558753984960085</v>
      </c>
      <c r="J83" s="230">
        <f>J$82*'BTX recycling rates'!L42</f>
        <v>0.42537228378737013</v>
      </c>
      <c r="K83" s="230">
        <f>K$82*'BTX recycling rates'!M42</f>
        <v>0.42427218038309383</v>
      </c>
      <c r="L83" s="230">
        <f>L$82*'BTX recycling rates'!N42</f>
        <v>0.4222982106261462</v>
      </c>
      <c r="M83" s="230">
        <f>M$82*'BTX recycling rates'!O42</f>
        <v>0.41946451446550859</v>
      </c>
      <c r="N83" s="230">
        <f>N$82*'BTX recycling rates'!P42</f>
        <v>0.42200048316631644</v>
      </c>
      <c r="O83" s="230">
        <f>O$82*'BTX recycling rates'!Q42</f>
        <v>0.42171059949597661</v>
      </c>
      <c r="P83" s="230">
        <f>P$82*'BTX recycling rates'!R42</f>
        <v>0.4186983039232906</v>
      </c>
      <c r="Q83" s="230">
        <f>Q$82*'BTX recycling rates'!S42</f>
        <v>0.41309518986785121</v>
      </c>
      <c r="R83" s="230">
        <f>R$82*'BTX recycling rates'!T42</f>
        <v>0.40505859689328855</v>
      </c>
      <c r="S83" s="230">
        <f>S$82*'BTX recycling rates'!U42</f>
        <v>0.39548007462347862</v>
      </c>
      <c r="T83" s="230">
        <f>T$82*'BTX recycling rates'!V42</f>
        <v>0.38449830799517437</v>
      </c>
      <c r="U83" s="230">
        <f>U$82*'BTX recycling rates'!W42</f>
        <v>0.37225153208790202</v>
      </c>
      <c r="V83" s="230">
        <f>V$82*'BTX recycling rates'!X42</f>
        <v>0.35887721084528662</v>
      </c>
      <c r="W83" s="230">
        <f>W$82*'BTX recycling rates'!Y42</f>
        <v>0.34451171244999379</v>
      </c>
      <c r="X83" s="230">
        <f>X$82*'BTX recycling rates'!Z42</f>
        <v>0.33619623405365967</v>
      </c>
      <c r="Y83" s="230">
        <f>Y$82*'BTX recycling rates'!AA42</f>
        <v>0.32601477358286485</v>
      </c>
      <c r="Z83" s="230">
        <f>Z$82*'BTX recycling rates'!AB42</f>
        <v>0.31417915143258812</v>
      </c>
      <c r="AA83" s="230">
        <f>AA$82*'BTX recycling rates'!AC42</f>
        <v>0.30089821998559235</v>
      </c>
      <c r="AB83" s="230">
        <f>AB$82*'BTX recycling rates'!AD42</f>
        <v>0.28637735639661038</v>
      </c>
      <c r="AC83" s="230">
        <f>AC$82*'BTX recycling rates'!AE42</f>
        <v>0.27082051359370635</v>
      </c>
      <c r="AD83" s="230">
        <f>AD$82*'BTX recycling rates'!AF42</f>
        <v>0.25442412679979004</v>
      </c>
      <c r="AE83" s="230">
        <f>AE$82*'BTX recycling rates'!AG42</f>
        <v>0.23737958670428591</v>
      </c>
      <c r="AF83" s="230">
        <f>AF$82*'BTX recycling rates'!AH42</f>
        <v>0.21987274562799</v>
      </c>
      <c r="AG83" s="234">
        <f>AG$82*'BTX recycling rates'!AI42</f>
        <v>0.20208342374511634</v>
      </c>
      <c r="AH83" s="245"/>
      <c r="AI83" s="133"/>
      <c r="AJ83" s="211"/>
      <c r="AL83" s="108"/>
      <c r="AM83" s="2"/>
      <c r="AN83" s="2"/>
      <c r="AO83" s="2"/>
      <c r="BC83" s="1"/>
      <c r="BD83" s="2"/>
      <c r="BE83" s="2"/>
      <c r="BF83" s="2"/>
      <c r="BG83" s="2"/>
      <c r="BH83" s="2"/>
      <c r="BI83" s="2"/>
      <c r="BJ83" s="2"/>
      <c r="BK83" s="2"/>
    </row>
    <row r="84" spans="1:63" outlineLevel="1" x14ac:dyDescent="0.2">
      <c r="A84" s="4" t="s">
        <v>478</v>
      </c>
      <c r="C84" s="230">
        <f>C$82*'BTX recycling rates'!E43</f>
        <v>1.4007815672026295E-3</v>
      </c>
      <c r="D84" s="230">
        <f>D$82*'BTX recycling rates'!F43</f>
        <v>5.8790366686019037E-3</v>
      </c>
      <c r="E84" s="230">
        <f>E$82*'BTX recycling rates'!G43</f>
        <v>1.0597061621313878E-2</v>
      </c>
      <c r="F84" s="230">
        <f>F$82*'BTX recycling rates'!H43</f>
        <v>1.5550292343265644E-2</v>
      </c>
      <c r="G84" s="230">
        <f>G$82*'BTX recycling rates'!I43</f>
        <v>2.0673170374359149E-2</v>
      </c>
      <c r="H84" s="230">
        <f>H$82*'BTX recycling rates'!J43</f>
        <v>2.5910246448888188E-2</v>
      </c>
      <c r="I84" s="230">
        <f>I$82*'BTX recycling rates'!K43</f>
        <v>3.1270359296836026E-2</v>
      </c>
      <c r="J84" s="230">
        <f>J$82*'BTX recycling rates'!L43</f>
        <v>3.6727642401772627E-2</v>
      </c>
      <c r="K84" s="230">
        <f>K$82*'BTX recycling rates'!M43</f>
        <v>4.2255217126574422E-2</v>
      </c>
      <c r="L84" s="230">
        <f>L$82*'BTX recycling rates'!N43</f>
        <v>4.7825308505603153E-2</v>
      </c>
      <c r="M84" s="230">
        <f>M$82*'BTX recycling rates'!O43</f>
        <v>5.3409368894199713E-2</v>
      </c>
      <c r="N84" s="230">
        <f>N$82*'BTX recycling rates'!P43</f>
        <v>5.9859379977338291E-2</v>
      </c>
      <c r="O84" s="230">
        <f>O$82*'BTX recycling rates'!Q43</f>
        <v>6.6136382565717994E-2</v>
      </c>
      <c r="P84" s="230">
        <f>P$82*'BTX recycling rates'!R43</f>
        <v>7.214020208651363E-2</v>
      </c>
      <c r="Q84" s="230">
        <f>Q$82*'BTX recycling rates'!S43</f>
        <v>7.7774803014877977E-2</v>
      </c>
      <c r="R84" s="230">
        <f>R$82*'BTX recycling rates'!T43</f>
        <v>8.2950023069354728E-2</v>
      </c>
      <c r="S84" s="230">
        <f>S$82*'BTX recycling rates'!U43</f>
        <v>8.7741001774109068E-2</v>
      </c>
      <c r="T84" s="230">
        <f>T$82*'BTX recycling rates'!V43</f>
        <v>9.209704919731844E-2</v>
      </c>
      <c r="U84" s="230">
        <f>U$82*'BTX recycling rates'!W43</f>
        <v>9.5971588373910469E-2</v>
      </c>
      <c r="V84" s="230">
        <f>V$82*'BTX recycling rates'!X43</f>
        <v>9.9322403197713988E-2</v>
      </c>
      <c r="W84" s="230">
        <f>W$82*'BTX recycling rates'!Y43</f>
        <v>0.10211188439239764</v>
      </c>
      <c r="X84" s="230">
        <f>X$82*'BTX recycling rates'!Z43</f>
        <v>0.1064949264795567</v>
      </c>
      <c r="Y84" s="230">
        <f>Y$82*'BTX recycling rates'!AA43</f>
        <v>0.11016200987768066</v>
      </c>
      <c r="Z84" s="230">
        <f>Z$82*'BTX recycling rates'!AB43</f>
        <v>0.11306148569683551</v>
      </c>
      <c r="AA84" s="230">
        <f>AA$82*'BTX recycling rates'!AC43</f>
        <v>0.11514982442454601</v>
      </c>
      <c r="AB84" s="230">
        <f>AB$82*'BTX recycling rates'!AD43</f>
        <v>0.11639198801469484</v>
      </c>
      <c r="AC84" s="230">
        <f>AC$82*'BTX recycling rates'!AE43</f>
        <v>0.11676290091845505</v>
      </c>
      <c r="AD84" s="230">
        <f>AD$82*'BTX recycling rates'!AF43</f>
        <v>0.11624559059169537</v>
      </c>
      <c r="AE84" s="230">
        <f>AE$82*'BTX recycling rates'!AG43</f>
        <v>0.11483260903716978</v>
      </c>
      <c r="AF84" s="230">
        <f>AF$82*'BTX recycling rates'!AH43</f>
        <v>0.11252638135093439</v>
      </c>
      <c r="AG84" s="234">
        <f>AG$82*'BTX recycling rates'!AI43</f>
        <v>0.10933954819399572</v>
      </c>
      <c r="AH84" s="245"/>
      <c r="AI84" s="133"/>
      <c r="AJ84" s="211"/>
      <c r="AL84" s="108"/>
      <c r="AM84" s="2"/>
      <c r="AN84" s="2"/>
      <c r="AO84" s="2"/>
      <c r="BC84" s="1"/>
      <c r="BD84" s="2"/>
      <c r="BE84" s="2"/>
      <c r="BF84" s="2"/>
      <c r="BG84" s="2"/>
      <c r="BH84" s="2"/>
      <c r="BI84" s="2"/>
      <c r="BJ84" s="2"/>
      <c r="BK84" s="2"/>
    </row>
    <row r="85" spans="1:63" outlineLevel="1" x14ac:dyDescent="0.2">
      <c r="A85" s="4" t="s">
        <v>745</v>
      </c>
      <c r="C85" s="230">
        <f>C$82*'BTX recycling rates'!E44</f>
        <v>0</v>
      </c>
      <c r="D85" s="230">
        <f>D$82*'BTX recycling rates'!F44</f>
        <v>1.0314799425097515E-3</v>
      </c>
      <c r="E85" s="230">
        <f>E$82*'BTX recycling rates'!G44</f>
        <v>2.1215445655505235E-3</v>
      </c>
      <c r="F85" s="230">
        <f>F$82*'BTX recycling rates'!H44</f>
        <v>3.2668027146570216E-3</v>
      </c>
      <c r="G85" s="230">
        <f>G$82*'BTX recycling rates'!I44</f>
        <v>4.4528761471445272E-3</v>
      </c>
      <c r="H85" s="230">
        <f>H$82*'BTX recycling rates'!J44</f>
        <v>5.6669203321950629E-3</v>
      </c>
      <c r="I85" s="230">
        <f>I$82*'BTX recycling rates'!K44</f>
        <v>6.9102469824095228E-3</v>
      </c>
      <c r="J85" s="230">
        <f>J$82*'BTX recycling rates'!L44</f>
        <v>8.1768497245755505E-3</v>
      </c>
      <c r="K85" s="230">
        <f>K$82*'BTX recycling rates'!M44</f>
        <v>9.4604847066887768E-3</v>
      </c>
      <c r="L85" s="230">
        <f>L$82*'BTX recycling rates'!N44</f>
        <v>1.0754697479105551E-2</v>
      </c>
      <c r="M85" s="230">
        <f>M$82*'BTX recycling rates'!O44</f>
        <v>1.2052851711539633E-2</v>
      </c>
      <c r="N85" s="230">
        <f>N$82*'BTX recycling rates'!P44</f>
        <v>1.354758940920012E-2</v>
      </c>
      <c r="O85" s="230">
        <f>O$82*'BTX recycling rates'!Q44</f>
        <v>1.5004478563087315E-2</v>
      </c>
      <c r="P85" s="230">
        <f>P$82*'BTX recycling rates'!R44</f>
        <v>1.6400188274005689E-2</v>
      </c>
      <c r="Q85" s="230">
        <f>Q$82*'BTX recycling rates'!S44</f>
        <v>1.7712325242687853E-2</v>
      </c>
      <c r="R85" s="230">
        <f>R$82*'BTX recycling rates'!T44</f>
        <v>1.8919838169541851E-2</v>
      </c>
      <c r="S85" s="230">
        <f>S$82*'BTX recycling rates'!U44</f>
        <v>2.003943838803415E-2</v>
      </c>
      <c r="T85" s="230">
        <f>T$82*'BTX recycling rates'!V44</f>
        <v>2.1059249811521998E-2</v>
      </c>
      <c r="U85" s="230">
        <f>U$82*'BTX recycling rates'!W44</f>
        <v>2.1968351182442607E-2</v>
      </c>
      <c r="V85" s="230">
        <f>V$82*'BTX recycling rates'!X44</f>
        <v>2.2756833860147572E-2</v>
      </c>
      <c r="W85" s="230">
        <f>W$82*'BTX recycling rates'!Y44</f>
        <v>2.3415859165620882E-2</v>
      </c>
      <c r="X85" s="230">
        <f>X$82*'BTX recycling rates'!Z44</f>
        <v>2.4439764763872478E-2</v>
      </c>
      <c r="Y85" s="230">
        <f>Y$82*'BTX recycling rates'!AA44</f>
        <v>2.5299042461753893E-2</v>
      </c>
      <c r="Z85" s="230">
        <f>Z$82*'BTX recycling rates'!AB44</f>
        <v>2.5981534105457144E-2</v>
      </c>
      <c r="AA85" s="230">
        <f>AA$82*'BTX recycling rates'!AC44</f>
        <v>2.6476968155252519E-2</v>
      </c>
      <c r="AB85" s="230">
        <f>AB$82*'BTX recycling rates'!AD44</f>
        <v>2.677704644600323E-2</v>
      </c>
      <c r="AC85" s="230">
        <f>AC$82*'BTX recycling rates'!AE44</f>
        <v>2.6875783887972755E-2</v>
      </c>
      <c r="AD85" s="230">
        <f>AD$82*'BTX recycling rates'!AF44</f>
        <v>2.6769081909287364E-2</v>
      </c>
      <c r="AE85" s="230">
        <f>AE$82*'BTX recycling rates'!AG44</f>
        <v>2.6455056328660603E-2</v>
      </c>
      <c r="AF85" s="230">
        <f>AF$82*'BTX recycling rates'!AH44</f>
        <v>2.5934118641703186E-2</v>
      </c>
      <c r="AG85" s="234">
        <f>AG$82*'BTX recycling rates'!AI44</f>
        <v>2.5209055897463983E-2</v>
      </c>
      <c r="AH85" s="245"/>
      <c r="AI85" s="133"/>
      <c r="AJ85" s="211"/>
      <c r="AL85" s="108"/>
      <c r="AM85" s="2"/>
      <c r="AN85" s="2"/>
      <c r="AO85" s="2"/>
      <c r="BC85" s="1"/>
      <c r="BD85" s="2"/>
      <c r="BE85" s="2"/>
      <c r="BF85" s="2"/>
      <c r="BG85" s="2"/>
      <c r="BH85" s="2"/>
      <c r="BI85" s="2"/>
      <c r="BJ85" s="2"/>
      <c r="BK85" s="2"/>
    </row>
    <row r="86" spans="1:63" outlineLevel="1" x14ac:dyDescent="0.2">
      <c r="A86" s="4" t="s">
        <v>1561</v>
      </c>
      <c r="C86" s="230">
        <f>C$82*'BTX recycling rates'!E45</f>
        <v>0</v>
      </c>
      <c r="D86" s="230">
        <f>D$82*'BTX recycling rates'!F45</f>
        <v>8.8973389857992951E-5</v>
      </c>
      <c r="E86" s="230">
        <f>E$82*'BTX recycling rates'!G45</f>
        <v>1.8300017669034652E-4</v>
      </c>
      <c r="F86" s="230">
        <f>F$82*'BTX recycling rates'!H45</f>
        <v>2.8178784631828263E-4</v>
      </c>
      <c r="G86" s="230">
        <f>G$82*'BTX recycling rates'!I45</f>
        <v>3.8409616038219966E-4</v>
      </c>
      <c r="H86" s="230">
        <f>H$82*'BTX recycling rates'!J45</f>
        <v>4.8881717543025475E-4</v>
      </c>
      <c r="I86" s="230">
        <f>I$82*'BTX recycling rates'!K45</f>
        <v>5.960640371590446E-4</v>
      </c>
      <c r="J86" s="230">
        <f>J$82*'BTX recycling rates'!L45</f>
        <v>7.053186478689136E-4</v>
      </c>
      <c r="K86" s="230">
        <f>K$82*'BTX recycling rates'!M45</f>
        <v>8.1604242541618091E-4</v>
      </c>
      <c r="L86" s="230">
        <f>L$82*'BTX recycling rates'!N45</f>
        <v>9.2767862192743092E-4</v>
      </c>
      <c r="M86" s="230">
        <f>M$82*'BTX recycling rates'!O45</f>
        <v>1.0396548008700175E-3</v>
      </c>
      <c r="N86" s="230">
        <f>N$82*'BTX recycling rates'!P45</f>
        <v>1.1685878750176306E-3</v>
      </c>
      <c r="O86" s="230">
        <f>O$82*'BTX recycling rates'!Q45</f>
        <v>1.2942562097341449E-3</v>
      </c>
      <c r="P86" s="230">
        <f>P$82*'BTX recycling rates'!R45</f>
        <v>1.4146473284756061E-3</v>
      </c>
      <c r="Q86" s="230">
        <f>Q$82*'BTX recycling rates'!S45</f>
        <v>1.5278296301862761E-3</v>
      </c>
      <c r="R86" s="230">
        <f>R$82*'BTX recycling rates'!T45</f>
        <v>1.631987272009283E-3</v>
      </c>
      <c r="S86" s="230">
        <f>S$82*'BTX recycling rates'!U45</f>
        <v>1.7285617400329962E-3</v>
      </c>
      <c r="T86" s="230">
        <f>T$82*'BTX recycling rates'!V45</f>
        <v>1.8165286268566449E-3</v>
      </c>
      <c r="U86" s="230">
        <f>U$82*'BTX recycling rates'!W45</f>
        <v>1.8949458867197377E-3</v>
      </c>
      <c r="V86" s="230">
        <f>V$82*'BTX recycling rates'!X45</f>
        <v>1.9629588201646891E-3</v>
      </c>
      <c r="W86" s="230">
        <f>W$82*'BTX recycling rates'!Y45</f>
        <v>2.0198050204771156E-3</v>
      </c>
      <c r="X86" s="230">
        <f>X$82*'BTX recycling rates'!Z45</f>
        <v>2.10812506259966E-3</v>
      </c>
      <c r="Y86" s="230">
        <f>Y$82*'BTX recycling rates'!AA45</f>
        <v>2.1822446324129712E-3</v>
      </c>
      <c r="Z86" s="230">
        <f>Z$82*'BTX recycling rates'!AB45</f>
        <v>2.2411149919686615E-3</v>
      </c>
      <c r="AA86" s="230">
        <f>AA$82*'BTX recycling rates'!AC45</f>
        <v>2.2838501388626605E-3</v>
      </c>
      <c r="AB86" s="230">
        <f>AB$82*'BTX recycling rates'!AD45</f>
        <v>2.3097342900230992E-3</v>
      </c>
      <c r="AC86" s="230">
        <f>AC$82*'BTX recycling rates'!AE45</f>
        <v>2.3182511836202352E-3</v>
      </c>
      <c r="AD86" s="230">
        <f>AD$82*'BTX recycling rates'!AF45</f>
        <v>2.3090472850692905E-3</v>
      </c>
      <c r="AE86" s="230">
        <f>AE$82*'BTX recycling rates'!AG45</f>
        <v>2.2819600686736861E-3</v>
      </c>
      <c r="AF86" s="230">
        <f>AF$82*'BTX recycling rates'!AH45</f>
        <v>2.2370250292190093E-3</v>
      </c>
      <c r="AG86" s="234">
        <f>AG$82*'BTX recycling rates'!AI45</f>
        <v>2.1744825719631428E-3</v>
      </c>
      <c r="AH86" s="245"/>
      <c r="AI86" s="133"/>
      <c r="AJ86" s="211"/>
      <c r="AL86" s="108"/>
      <c r="AM86" s="2"/>
      <c r="AN86" s="2"/>
      <c r="AO86" s="2"/>
      <c r="BC86" s="1"/>
      <c r="BD86" s="2"/>
      <c r="BE86" s="2"/>
      <c r="BF86" s="2"/>
      <c r="BG86" s="2"/>
      <c r="BH86" s="2"/>
      <c r="BI86" s="2"/>
      <c r="BJ86" s="2"/>
      <c r="BK86" s="2"/>
    </row>
    <row r="87" spans="1:63" s="1" customFormat="1" outlineLevel="1" x14ac:dyDescent="0.2">
      <c r="A87" s="1" t="s">
        <v>1564</v>
      </c>
      <c r="B87" s="65"/>
      <c r="C87" s="300">
        <f>C82-$C82</f>
        <v>0</v>
      </c>
      <c r="D87" s="300">
        <f t="shared" ref="D87:AG87" si="42">D82-$C82</f>
        <v>1.5123082173807978E-2</v>
      </c>
      <c r="E87" s="300">
        <f t="shared" si="42"/>
        <v>2.693364218933253E-2</v>
      </c>
      <c r="F87" s="300">
        <f t="shared" si="42"/>
        <v>3.8288435350550432E-2</v>
      </c>
      <c r="G87" s="300">
        <f t="shared" si="42"/>
        <v>4.8079973627867922E-2</v>
      </c>
      <c r="H87" s="300">
        <f t="shared" si="42"/>
        <v>5.6210436771865935E-2</v>
      </c>
      <c r="I87" s="300">
        <f t="shared" si="42"/>
        <v>6.3598508603228132E-2</v>
      </c>
      <c r="J87" s="300">
        <f t="shared" si="42"/>
        <v>7.0216392998809884E-2</v>
      </c>
      <c r="K87" s="300">
        <f t="shared" si="42"/>
        <v>7.6038223078995881E-2</v>
      </c>
      <c r="L87" s="300">
        <f t="shared" si="42"/>
        <v>8.1040193670004979E-2</v>
      </c>
      <c r="M87" s="300">
        <f t="shared" si="42"/>
        <v>8.5200688309340578E-2</v>
      </c>
      <c r="N87" s="300">
        <f t="shared" si="42"/>
        <v>9.5810338865095102E-2</v>
      </c>
      <c r="O87" s="300">
        <f t="shared" si="42"/>
        <v>0.10338001527173862</v>
      </c>
      <c r="P87" s="300">
        <f t="shared" si="42"/>
        <v>0.10788764004950807</v>
      </c>
      <c r="Q87" s="300">
        <f t="shared" si="42"/>
        <v>0.10934444619282585</v>
      </c>
      <c r="R87" s="300">
        <f t="shared" si="42"/>
        <v>0.10779474384141691</v>
      </c>
      <c r="S87" s="300">
        <f t="shared" si="42"/>
        <v>0.10422337496287731</v>
      </c>
      <c r="T87" s="300">
        <f t="shared" si="42"/>
        <v>9.87054340680939E-2</v>
      </c>
      <c r="U87" s="300">
        <f t="shared" si="42"/>
        <v>9.1320715968197297E-2</v>
      </c>
      <c r="V87" s="300">
        <f t="shared" si="42"/>
        <v>8.2153705160535273E-2</v>
      </c>
      <c r="W87" s="300">
        <f t="shared" si="42"/>
        <v>7.1293559465711864E-2</v>
      </c>
      <c r="X87" s="300">
        <f t="shared" si="42"/>
        <v>6.8473348796910916E-2</v>
      </c>
      <c r="Y87" s="300">
        <f t="shared" si="42"/>
        <v>6.2892368991934733E-2</v>
      </c>
      <c r="Z87" s="300">
        <f t="shared" si="42"/>
        <v>5.4697584664071819E-2</v>
      </c>
      <c r="AA87" s="300">
        <f t="shared" si="42"/>
        <v>4.4043161141475884E-2</v>
      </c>
      <c r="AB87" s="300">
        <f t="shared" si="42"/>
        <v>3.1090423584553883E-2</v>
      </c>
      <c r="AC87" s="300">
        <f t="shared" si="42"/>
        <v>1.6011748020976713E-2</v>
      </c>
      <c r="AD87" s="300">
        <f t="shared" si="42"/>
        <v>-1.0178549769356282E-3</v>
      </c>
      <c r="AE87" s="300">
        <f t="shared" si="42"/>
        <v>-1.9816489423987671E-2</v>
      </c>
      <c r="AF87" s="300">
        <f t="shared" si="42"/>
        <v>-4.0195430912931096E-2</v>
      </c>
      <c r="AG87" s="300">
        <f t="shared" si="42"/>
        <v>-6.1959191154238036E-2</v>
      </c>
      <c r="AH87" s="245"/>
      <c r="AI87" s="423"/>
      <c r="AJ87" s="424"/>
      <c r="AL87" s="221"/>
      <c r="AM87" s="124"/>
      <c r="AN87" s="124"/>
      <c r="AO87" s="124"/>
      <c r="BD87" s="124"/>
      <c r="BE87" s="124"/>
      <c r="BF87" s="124"/>
      <c r="BG87" s="124"/>
      <c r="BH87" s="124"/>
      <c r="BI87" s="124"/>
      <c r="BJ87" s="124"/>
      <c r="BK87" s="124"/>
    </row>
    <row r="88" spans="1:63" outlineLevel="1" x14ac:dyDescent="0.2">
      <c r="A88" s="4" t="s">
        <v>474</v>
      </c>
      <c r="C88" s="230">
        <f>C83-$C83</f>
        <v>0</v>
      </c>
      <c r="D88" s="230">
        <f t="shared" ref="D88:AG88" si="43">D83-$C83</f>
        <v>9.5243737400409478E-3</v>
      </c>
      <c r="E88" s="230">
        <f t="shared" si="43"/>
        <v>1.5432817392980414E-2</v>
      </c>
      <c r="F88" s="230">
        <f t="shared" si="43"/>
        <v>2.0590334013512179E-2</v>
      </c>
      <c r="G88" s="230">
        <f t="shared" si="43"/>
        <v>2.3970612513184719E-2</v>
      </c>
      <c r="H88" s="230">
        <f t="shared" si="43"/>
        <v>2.5545234382555126E-2</v>
      </c>
      <c r="I88" s="230">
        <f t="shared" si="43"/>
        <v>2.6222619854026297E-2</v>
      </c>
      <c r="J88" s="230">
        <f t="shared" si="43"/>
        <v>2.6007363791795579E-2</v>
      </c>
      <c r="K88" s="230">
        <f t="shared" si="43"/>
        <v>2.4907260387519281E-2</v>
      </c>
      <c r="L88" s="230">
        <f t="shared" si="43"/>
        <v>2.2933290630571646E-2</v>
      </c>
      <c r="M88" s="230">
        <f t="shared" si="43"/>
        <v>2.0099594469934035E-2</v>
      </c>
      <c r="N88" s="230">
        <f t="shared" si="43"/>
        <v>2.263556317074189E-2</v>
      </c>
      <c r="O88" s="230">
        <f t="shared" si="43"/>
        <v>2.234567950040206E-2</v>
      </c>
      <c r="P88" s="230">
        <f t="shared" si="43"/>
        <v>1.9333383927716052E-2</v>
      </c>
      <c r="Q88" s="230">
        <f t="shared" si="43"/>
        <v>1.3730269872276657E-2</v>
      </c>
      <c r="R88" s="230">
        <f t="shared" si="43"/>
        <v>5.6936768977139951E-3</v>
      </c>
      <c r="S88" s="230">
        <f t="shared" si="43"/>
        <v>-3.8848453720959353E-3</v>
      </c>
      <c r="T88" s="230">
        <f t="shared" si="43"/>
        <v>-1.4866612000400181E-2</v>
      </c>
      <c r="U88" s="230">
        <f t="shared" si="43"/>
        <v>-2.7113387907672537E-2</v>
      </c>
      <c r="V88" s="230">
        <f t="shared" si="43"/>
        <v>-4.0487709150287932E-2</v>
      </c>
      <c r="W88" s="230">
        <f t="shared" si="43"/>
        <v>-5.4853207545580762E-2</v>
      </c>
      <c r="X88" s="230">
        <f t="shared" si="43"/>
        <v>-6.3168685941914882E-2</v>
      </c>
      <c r="Y88" s="230">
        <f t="shared" si="43"/>
        <v>-7.3350146412709705E-2</v>
      </c>
      <c r="Z88" s="230">
        <f t="shared" si="43"/>
        <v>-8.518576856298643E-2</v>
      </c>
      <c r="AA88" s="230">
        <f t="shared" si="43"/>
        <v>-9.84667000099822E-2</v>
      </c>
      <c r="AB88" s="230">
        <f t="shared" si="43"/>
        <v>-0.11298756359896417</v>
      </c>
      <c r="AC88" s="230">
        <f t="shared" si="43"/>
        <v>-0.12854440640186821</v>
      </c>
      <c r="AD88" s="230">
        <f t="shared" si="43"/>
        <v>-0.14494079319578451</v>
      </c>
      <c r="AE88" s="230">
        <f t="shared" si="43"/>
        <v>-0.16198533329128864</v>
      </c>
      <c r="AF88" s="230">
        <f t="shared" si="43"/>
        <v>-0.17949217436758455</v>
      </c>
      <c r="AG88" s="230">
        <f t="shared" si="43"/>
        <v>-0.19728149625045821</v>
      </c>
      <c r="AH88" s="245"/>
      <c r="AI88" s="133"/>
      <c r="AJ88" s="211"/>
      <c r="AL88" s="108"/>
      <c r="AM88" s="2"/>
      <c r="AN88" s="2"/>
      <c r="AO88" s="2"/>
      <c r="BC88" s="1"/>
      <c r="BD88" s="2"/>
      <c r="BE88" s="2"/>
      <c r="BF88" s="2"/>
      <c r="BG88" s="2"/>
      <c r="BH88" s="2"/>
      <c r="BI88" s="2"/>
      <c r="BJ88" s="2"/>
      <c r="BK88" s="2"/>
    </row>
    <row r="89" spans="1:63" outlineLevel="1" x14ac:dyDescent="0.2">
      <c r="A89" s="4" t="s">
        <v>478</v>
      </c>
      <c r="C89" s="230">
        <f t="shared" ref="C89:AG89" si="44">C84-$C84</f>
        <v>0</v>
      </c>
      <c r="D89" s="230">
        <f t="shared" si="44"/>
        <v>4.478255101399274E-3</v>
      </c>
      <c r="E89" s="230">
        <f t="shared" si="44"/>
        <v>9.1962800541112496E-3</v>
      </c>
      <c r="F89" s="230">
        <f t="shared" si="44"/>
        <v>1.4149510776063015E-2</v>
      </c>
      <c r="G89" s="230">
        <f t="shared" si="44"/>
        <v>1.927238880715652E-2</v>
      </c>
      <c r="H89" s="230">
        <f t="shared" si="44"/>
        <v>2.450946488168556E-2</v>
      </c>
      <c r="I89" s="230">
        <f t="shared" si="44"/>
        <v>2.9869577729633397E-2</v>
      </c>
      <c r="J89" s="230">
        <f t="shared" si="44"/>
        <v>3.5326860834569998E-2</v>
      </c>
      <c r="K89" s="230">
        <f t="shared" si="44"/>
        <v>4.0854435559371793E-2</v>
      </c>
      <c r="L89" s="230">
        <f t="shared" si="44"/>
        <v>4.6424526938400525E-2</v>
      </c>
      <c r="M89" s="230">
        <f t="shared" si="44"/>
        <v>5.2008587326997084E-2</v>
      </c>
      <c r="N89" s="230">
        <f t="shared" si="44"/>
        <v>5.8458598410135662E-2</v>
      </c>
      <c r="O89" s="230">
        <f t="shared" si="44"/>
        <v>6.4735600998515358E-2</v>
      </c>
      <c r="P89" s="230">
        <f t="shared" si="44"/>
        <v>7.0739420519310994E-2</v>
      </c>
      <c r="Q89" s="230">
        <f t="shared" si="44"/>
        <v>7.6374021447675342E-2</v>
      </c>
      <c r="R89" s="230">
        <f t="shared" si="44"/>
        <v>8.1549241502152092E-2</v>
      </c>
      <c r="S89" s="230">
        <f t="shared" si="44"/>
        <v>8.6340220206906432E-2</v>
      </c>
      <c r="T89" s="230">
        <f t="shared" si="44"/>
        <v>9.0696267630115804E-2</v>
      </c>
      <c r="U89" s="230">
        <f t="shared" si="44"/>
        <v>9.4570806806707833E-2</v>
      </c>
      <c r="V89" s="230">
        <f t="shared" si="44"/>
        <v>9.7921621630511352E-2</v>
      </c>
      <c r="W89" s="230">
        <f t="shared" si="44"/>
        <v>0.10071110282519501</v>
      </c>
      <c r="X89" s="230">
        <f t="shared" si="44"/>
        <v>0.10509414491235407</v>
      </c>
      <c r="Y89" s="230">
        <f t="shared" si="44"/>
        <v>0.10876122831047802</v>
      </c>
      <c r="Z89" s="230">
        <f t="shared" si="44"/>
        <v>0.11166070412963287</v>
      </c>
      <c r="AA89" s="230">
        <f t="shared" si="44"/>
        <v>0.11374904285734337</v>
      </c>
      <c r="AB89" s="230">
        <f t="shared" si="44"/>
        <v>0.11499120644749221</v>
      </c>
      <c r="AC89" s="230">
        <f t="shared" si="44"/>
        <v>0.11536211935125242</v>
      </c>
      <c r="AD89" s="230">
        <f t="shared" si="44"/>
        <v>0.11484480902449273</v>
      </c>
      <c r="AE89" s="230">
        <f t="shared" si="44"/>
        <v>0.11343182746996715</v>
      </c>
      <c r="AF89" s="230">
        <f t="shared" si="44"/>
        <v>0.11112559978373175</v>
      </c>
      <c r="AG89" s="230">
        <f t="shared" si="44"/>
        <v>0.10793876662679308</v>
      </c>
      <c r="AH89" s="245"/>
      <c r="AI89" s="133"/>
      <c r="AJ89" s="211"/>
      <c r="AL89" s="108"/>
      <c r="AM89" s="2"/>
      <c r="AN89" s="2"/>
      <c r="AO89" s="2"/>
      <c r="BC89" s="1"/>
      <c r="BD89" s="2"/>
      <c r="BE89" s="2"/>
      <c r="BF89" s="2"/>
      <c r="BG89" s="2"/>
      <c r="BH89" s="2"/>
      <c r="BI89" s="2"/>
      <c r="BJ89" s="2"/>
      <c r="BK89" s="2"/>
    </row>
    <row r="90" spans="1:63" outlineLevel="1" x14ac:dyDescent="0.2">
      <c r="A90" s="4" t="s">
        <v>745</v>
      </c>
      <c r="C90" s="230">
        <f t="shared" ref="C90:AG90" si="45">C85-$C85</f>
        <v>0</v>
      </c>
      <c r="D90" s="230">
        <f t="shared" si="45"/>
        <v>1.0314799425097515E-3</v>
      </c>
      <c r="E90" s="230">
        <f t="shared" si="45"/>
        <v>2.1215445655505235E-3</v>
      </c>
      <c r="F90" s="230">
        <f t="shared" si="45"/>
        <v>3.2668027146570216E-3</v>
      </c>
      <c r="G90" s="230">
        <f t="shared" si="45"/>
        <v>4.4528761471445272E-3</v>
      </c>
      <c r="H90" s="230">
        <f t="shared" si="45"/>
        <v>5.6669203321950629E-3</v>
      </c>
      <c r="I90" s="230">
        <f t="shared" si="45"/>
        <v>6.9102469824095228E-3</v>
      </c>
      <c r="J90" s="230">
        <f t="shared" si="45"/>
        <v>8.1768497245755505E-3</v>
      </c>
      <c r="K90" s="230">
        <f t="shared" si="45"/>
        <v>9.4604847066887768E-3</v>
      </c>
      <c r="L90" s="230">
        <f t="shared" si="45"/>
        <v>1.0754697479105551E-2</v>
      </c>
      <c r="M90" s="230">
        <f t="shared" si="45"/>
        <v>1.2052851711539633E-2</v>
      </c>
      <c r="N90" s="230">
        <f t="shared" si="45"/>
        <v>1.354758940920012E-2</v>
      </c>
      <c r="O90" s="230">
        <f t="shared" si="45"/>
        <v>1.5004478563087315E-2</v>
      </c>
      <c r="P90" s="230">
        <f t="shared" si="45"/>
        <v>1.6400188274005689E-2</v>
      </c>
      <c r="Q90" s="230">
        <f t="shared" si="45"/>
        <v>1.7712325242687853E-2</v>
      </c>
      <c r="R90" s="230">
        <f t="shared" si="45"/>
        <v>1.8919838169541851E-2</v>
      </c>
      <c r="S90" s="230">
        <f t="shared" si="45"/>
        <v>2.003943838803415E-2</v>
      </c>
      <c r="T90" s="230">
        <f t="shared" si="45"/>
        <v>2.1059249811521998E-2</v>
      </c>
      <c r="U90" s="230">
        <f t="shared" si="45"/>
        <v>2.1968351182442607E-2</v>
      </c>
      <c r="V90" s="230">
        <f t="shared" si="45"/>
        <v>2.2756833860147572E-2</v>
      </c>
      <c r="W90" s="230">
        <f t="shared" si="45"/>
        <v>2.3415859165620882E-2</v>
      </c>
      <c r="X90" s="230">
        <f t="shared" si="45"/>
        <v>2.4439764763872478E-2</v>
      </c>
      <c r="Y90" s="230">
        <f t="shared" si="45"/>
        <v>2.5299042461753893E-2</v>
      </c>
      <c r="Z90" s="230">
        <f t="shared" si="45"/>
        <v>2.5981534105457144E-2</v>
      </c>
      <c r="AA90" s="230">
        <f t="shared" si="45"/>
        <v>2.6476968155252519E-2</v>
      </c>
      <c r="AB90" s="230">
        <f t="shared" si="45"/>
        <v>2.677704644600323E-2</v>
      </c>
      <c r="AC90" s="230">
        <f t="shared" si="45"/>
        <v>2.6875783887972755E-2</v>
      </c>
      <c r="AD90" s="230">
        <f t="shared" si="45"/>
        <v>2.6769081909287364E-2</v>
      </c>
      <c r="AE90" s="230">
        <f t="shared" si="45"/>
        <v>2.6455056328660603E-2</v>
      </c>
      <c r="AF90" s="230">
        <f t="shared" si="45"/>
        <v>2.5934118641703186E-2</v>
      </c>
      <c r="AG90" s="230">
        <f t="shared" si="45"/>
        <v>2.5209055897463983E-2</v>
      </c>
      <c r="AH90" s="245"/>
      <c r="AI90" s="133"/>
      <c r="AJ90" s="211"/>
      <c r="AL90" s="108"/>
      <c r="AM90" s="2"/>
      <c r="AN90" s="2"/>
      <c r="AO90" s="2"/>
      <c r="BC90" s="1"/>
      <c r="BD90" s="2"/>
      <c r="BE90" s="2"/>
      <c r="BF90" s="2"/>
      <c r="BG90" s="2"/>
      <c r="BH90" s="2"/>
      <c r="BI90" s="2"/>
      <c r="BJ90" s="2"/>
      <c r="BK90" s="2"/>
    </row>
    <row r="91" spans="1:63" outlineLevel="1" x14ac:dyDescent="0.2">
      <c r="A91" s="4" t="s">
        <v>1561</v>
      </c>
      <c r="C91" s="230">
        <f t="shared" ref="C91:AG91" si="46">C86-$C86</f>
        <v>0</v>
      </c>
      <c r="D91" s="230">
        <f t="shared" si="46"/>
        <v>8.8973389857992951E-5</v>
      </c>
      <c r="E91" s="230">
        <f t="shared" si="46"/>
        <v>1.8300017669034652E-4</v>
      </c>
      <c r="F91" s="230">
        <f t="shared" si="46"/>
        <v>2.8178784631828263E-4</v>
      </c>
      <c r="G91" s="230">
        <f t="shared" si="46"/>
        <v>3.8409616038219966E-4</v>
      </c>
      <c r="H91" s="230">
        <f t="shared" si="46"/>
        <v>4.8881717543025475E-4</v>
      </c>
      <c r="I91" s="230">
        <f t="shared" si="46"/>
        <v>5.960640371590446E-4</v>
      </c>
      <c r="J91" s="230">
        <f t="shared" si="46"/>
        <v>7.053186478689136E-4</v>
      </c>
      <c r="K91" s="230">
        <f t="shared" si="46"/>
        <v>8.1604242541618091E-4</v>
      </c>
      <c r="L91" s="230">
        <f t="shared" si="46"/>
        <v>9.2767862192743092E-4</v>
      </c>
      <c r="M91" s="230">
        <f t="shared" si="46"/>
        <v>1.0396548008700175E-3</v>
      </c>
      <c r="N91" s="230">
        <f t="shared" si="46"/>
        <v>1.1685878750176306E-3</v>
      </c>
      <c r="O91" s="230">
        <f t="shared" si="46"/>
        <v>1.2942562097341449E-3</v>
      </c>
      <c r="P91" s="230">
        <f t="shared" si="46"/>
        <v>1.4146473284756061E-3</v>
      </c>
      <c r="Q91" s="230">
        <f t="shared" si="46"/>
        <v>1.5278296301862761E-3</v>
      </c>
      <c r="R91" s="230">
        <f t="shared" si="46"/>
        <v>1.631987272009283E-3</v>
      </c>
      <c r="S91" s="230">
        <f t="shared" si="46"/>
        <v>1.7285617400329962E-3</v>
      </c>
      <c r="T91" s="230">
        <f t="shared" si="46"/>
        <v>1.8165286268566449E-3</v>
      </c>
      <c r="U91" s="230">
        <f t="shared" si="46"/>
        <v>1.8949458867197377E-3</v>
      </c>
      <c r="V91" s="230">
        <f t="shared" si="46"/>
        <v>1.9629588201646891E-3</v>
      </c>
      <c r="W91" s="230">
        <f t="shared" si="46"/>
        <v>2.0198050204771156E-3</v>
      </c>
      <c r="X91" s="230">
        <f t="shared" si="46"/>
        <v>2.10812506259966E-3</v>
      </c>
      <c r="Y91" s="230">
        <f t="shared" si="46"/>
        <v>2.1822446324129712E-3</v>
      </c>
      <c r="Z91" s="230">
        <f t="shared" si="46"/>
        <v>2.2411149919686615E-3</v>
      </c>
      <c r="AA91" s="230">
        <f t="shared" si="46"/>
        <v>2.2838501388626605E-3</v>
      </c>
      <c r="AB91" s="230">
        <f t="shared" si="46"/>
        <v>2.3097342900230992E-3</v>
      </c>
      <c r="AC91" s="230">
        <f t="shared" si="46"/>
        <v>2.3182511836202352E-3</v>
      </c>
      <c r="AD91" s="230">
        <f t="shared" si="46"/>
        <v>2.3090472850692905E-3</v>
      </c>
      <c r="AE91" s="230">
        <f t="shared" si="46"/>
        <v>2.2819600686736861E-3</v>
      </c>
      <c r="AF91" s="230">
        <f t="shared" si="46"/>
        <v>2.2370250292190093E-3</v>
      </c>
      <c r="AG91" s="230">
        <f t="shared" si="46"/>
        <v>2.1744825719631428E-3</v>
      </c>
      <c r="AH91" s="245"/>
      <c r="AI91" s="133"/>
      <c r="AJ91" s="211"/>
      <c r="AL91" s="108"/>
      <c r="AM91" s="2"/>
      <c r="AN91" s="2"/>
      <c r="AO91" s="2"/>
      <c r="BC91" s="1"/>
      <c r="BD91" s="2"/>
      <c r="BE91" s="2"/>
      <c r="BF91" s="2"/>
      <c r="BG91" s="2"/>
      <c r="BH91" s="2"/>
      <c r="BI91" s="2"/>
      <c r="BJ91" s="2"/>
      <c r="BK91" s="2"/>
    </row>
    <row r="92" spans="1:63" s="1" customFormat="1" outlineLevel="1" x14ac:dyDescent="0.2">
      <c r="A92" s="1" t="s">
        <v>1565</v>
      </c>
      <c r="B92" s="65"/>
      <c r="C92" s="300">
        <f>C50*C69</f>
        <v>5.6729413750912104E-4</v>
      </c>
      <c r="D92" s="300">
        <f t="shared" ref="D92:AG92" si="47">D50*D69</f>
        <v>6.2570813980681369E-4</v>
      </c>
      <c r="E92" s="300">
        <f t="shared" si="47"/>
        <v>6.8655528834308968E-4</v>
      </c>
      <c r="F92" s="300">
        <f t="shared" si="47"/>
        <v>7.4981943102293705E-4</v>
      </c>
      <c r="G92" s="300">
        <f t="shared" si="47"/>
        <v>8.1548441575134492E-4</v>
      </c>
      <c r="H92" s="300">
        <f t="shared" si="47"/>
        <v>8.8353409043330142E-4</v>
      </c>
      <c r="I92" s="300">
        <f t="shared" si="47"/>
        <v>9.5395230297379546E-4</v>
      </c>
      <c r="J92" s="300">
        <f t="shared" si="47"/>
        <v>1.0267229012778151E-3</v>
      </c>
      <c r="K92" s="300">
        <f t="shared" si="47"/>
        <v>1.101829733250349E-3</v>
      </c>
      <c r="L92" s="300">
        <f t="shared" si="47"/>
        <v>1.179256646796386E-3</v>
      </c>
      <c r="M92" s="300">
        <f t="shared" si="47"/>
        <v>1.2589874898209143E-3</v>
      </c>
      <c r="N92" s="300">
        <f t="shared" si="47"/>
        <v>1.4337831185944471E-3</v>
      </c>
      <c r="O92" s="300">
        <f t="shared" si="47"/>
        <v>1.6193476691253436E-3</v>
      </c>
      <c r="P92" s="300">
        <f t="shared" si="47"/>
        <v>1.8156102312692156E-3</v>
      </c>
      <c r="Q92" s="300">
        <f t="shared" si="47"/>
        <v>2.0224998948816775E-3</v>
      </c>
      <c r="R92" s="300">
        <f t="shared" si="47"/>
        <v>2.2399457498183399E-3</v>
      </c>
      <c r="S92" s="300">
        <f t="shared" si="47"/>
        <v>2.4678768859348159E-3</v>
      </c>
      <c r="T92" s="300">
        <f t="shared" si="47"/>
        <v>2.7062223930867184E-3</v>
      </c>
      <c r="U92" s="300">
        <f t="shared" si="47"/>
        <v>2.9549113611296593E-3</v>
      </c>
      <c r="V92" s="300">
        <f t="shared" si="47"/>
        <v>3.213872879919252E-3</v>
      </c>
      <c r="W92" s="300">
        <f t="shared" si="47"/>
        <v>3.4830360393111074E-3</v>
      </c>
      <c r="X92" s="300">
        <f t="shared" si="47"/>
        <v>3.9664445731240269E-3</v>
      </c>
      <c r="Y92" s="300">
        <f t="shared" si="47"/>
        <v>4.4796009075347126E-3</v>
      </c>
      <c r="Z92" s="300">
        <f t="shared" si="47"/>
        <v>5.0223047662651087E-3</v>
      </c>
      <c r="AA92" s="300">
        <f t="shared" si="47"/>
        <v>5.5943558730371578E-3</v>
      </c>
      <c r="AB92" s="300">
        <f t="shared" si="47"/>
        <v>6.195553951572807E-3</v>
      </c>
      <c r="AC92" s="300">
        <f t="shared" si="47"/>
        <v>6.8256987255939936E-3</v>
      </c>
      <c r="AD92" s="300">
        <f t="shared" si="47"/>
        <v>7.4845899188226679E-3</v>
      </c>
      <c r="AE92" s="300">
        <f t="shared" si="47"/>
        <v>8.1720272549807675E-3</v>
      </c>
      <c r="AF92" s="300">
        <f t="shared" si="47"/>
        <v>8.8878104577902392E-3</v>
      </c>
      <c r="AG92" s="300">
        <f t="shared" si="47"/>
        <v>9.6317392509730412E-3</v>
      </c>
      <c r="AH92" s="245"/>
      <c r="AI92" s="423"/>
      <c r="AJ92" s="424"/>
      <c r="AL92" s="221"/>
      <c r="AM92" s="124"/>
      <c r="AN92" s="124"/>
      <c r="AO92" s="124"/>
      <c r="BD92" s="124"/>
      <c r="BE92" s="124"/>
      <c r="BF92" s="124"/>
      <c r="BG92" s="124"/>
      <c r="BH92" s="124"/>
      <c r="BI92" s="124"/>
      <c r="BJ92" s="124"/>
      <c r="BK92" s="124"/>
    </row>
    <row r="93" spans="1:63" outlineLevel="1" x14ac:dyDescent="0.2">
      <c r="A93" s="4" t="s">
        <v>474</v>
      </c>
      <c r="C93" s="230">
        <f>C$92*'BTX recycling rates'!E46</f>
        <v>5.6531129524515947E-4</v>
      </c>
      <c r="D93" s="230">
        <f>D$92*'BTX recycling rates'!F46</f>
        <v>6.0273708772839898E-4</v>
      </c>
      <c r="E93" s="230">
        <f>E$92*'BTX recycling rates'!G46</f>
        <v>6.3854522384773507E-4</v>
      </c>
      <c r="F93" s="230">
        <f>F$92*'BTX recycling rates'!H46</f>
        <v>6.7247875335266401E-4</v>
      </c>
      <c r="G93" s="230">
        <f>G$92*'BTX recycling rates'!I46</f>
        <v>7.0428287207790813E-4</v>
      </c>
      <c r="H93" s="230">
        <f>H$92*'BTX recycling rates'!J46</f>
        <v>7.3370492194341425E-4</v>
      </c>
      <c r="I93" s="230">
        <f>I$92*'BTX recycling rates'!K46</f>
        <v>7.6049439095435506E-4</v>
      </c>
      <c r="J93" s="230">
        <f>J$92*'BTX recycling rates'!L46</f>
        <v>7.8440291320112812E-4</v>
      </c>
      <c r="K93" s="230">
        <f>K$92*'BTX recycling rates'!M46</f>
        <v>8.0518426885935667E-4</v>
      </c>
      <c r="L93" s="230">
        <f>L$92*'BTX recycling rates'!N46</f>
        <v>8.2259438418988927E-4</v>
      </c>
      <c r="M93" s="230">
        <f>M$92*'BTX recycling rates'!O46</f>
        <v>8.3639133153879937E-4</v>
      </c>
      <c r="N93" s="230">
        <f>N$92*'BTX recycling rates'!P46</f>
        <v>9.0488872393494667E-4</v>
      </c>
      <c r="O93" s="230">
        <f>O$92*'BTX recycling rates'!Q46</f>
        <v>9.6821257378577321E-4</v>
      </c>
      <c r="P93" s="230">
        <f>P$92*'BTX recycling rates'!R46</f>
        <v>1.0252497109699836E-3</v>
      </c>
      <c r="Q93" s="230">
        <f>Q$92*'BTX recycling rates'!S46</f>
        <v>1.074896387005587E-3</v>
      </c>
      <c r="R93" s="230">
        <f>R$92*'BTX recycling rates'!T46</f>
        <v>1.1160582750498946E-3</v>
      </c>
      <c r="S93" s="230">
        <f>S$92*'BTX recycling rates'!U46</f>
        <v>1.1476504698995219E-3</v>
      </c>
      <c r="T93" s="230">
        <f>T$92*'BTX recycling rates'!V46</f>
        <v>1.1685974879903881E-3</v>
      </c>
      <c r="U93" s="230">
        <f>U$92*'BTX recycling rates'!W46</f>
        <v>1.1778332673977158E-3</v>
      </c>
      <c r="V93" s="230">
        <f>V$92*'BTX recycling rates'!X46</f>
        <v>1.1743011678360311E-3</v>
      </c>
      <c r="W93" s="230">
        <f>W$92*'BTX recycling rates'!Y46</f>
        <v>1.1569539706591634E-3</v>
      </c>
      <c r="X93" s="230">
        <f>X$92*'BTX recycling rates'!Z46</f>
        <v>1.1857742417344238E-3</v>
      </c>
      <c r="Y93" s="230">
        <f>Y$92*'BTX recycling rates'!AA46</f>
        <v>1.1903849396782548E-3</v>
      </c>
      <c r="Z93" s="230">
        <f>Z$92*'BTX recycling rates'!AB46</f>
        <v>1.1677751142758974E-3</v>
      </c>
      <c r="AA93" s="230">
        <f>AA$92*'BTX recycling rates'!AC46</f>
        <v>1.1149604254805624E-3</v>
      </c>
      <c r="AB93" s="230">
        <f>AB$92*'BTX recycling rates'!AD46</f>
        <v>1.0289831434134305E-3</v>
      </c>
      <c r="AC93" s="230">
        <f>AC$92*'BTX recycling rates'!AE46</f>
        <v>9.0691214836365042E-4</v>
      </c>
      <c r="AD93" s="230">
        <f>AD$92*'BTX recycling rates'!AF46</f>
        <v>7.4584293078834303E-4</v>
      </c>
      <c r="AE93" s="230">
        <f>AE$92*'BTX recycling rates'!AG46</f>
        <v>5.4289759131259684E-4</v>
      </c>
      <c r="AF93" s="230">
        <f>AF$92*'BTX recycling rates'!AH46</f>
        <v>2.9522484072947119E-4</v>
      </c>
      <c r="AG93" s="230">
        <f>AG$92*'BTX recycling rates'!AI46</f>
        <v>0</v>
      </c>
      <c r="AH93" s="245"/>
      <c r="AI93" s="133"/>
      <c r="AJ93" s="211"/>
      <c r="AL93" s="108"/>
      <c r="AM93" s="2"/>
      <c r="AN93" s="2"/>
      <c r="AO93" s="2"/>
      <c r="BC93" s="1"/>
      <c r="BD93" s="2"/>
      <c r="BE93" s="2"/>
      <c r="BF93" s="2"/>
      <c r="BG93" s="2"/>
      <c r="BH93" s="2"/>
      <c r="BI93" s="2"/>
      <c r="BJ93" s="2"/>
      <c r="BK93" s="2"/>
    </row>
    <row r="94" spans="1:63" outlineLevel="1" x14ac:dyDescent="0.2">
      <c r="A94" s="4" t="s">
        <v>478</v>
      </c>
      <c r="C94" s="230">
        <f>C$92*'BTX recycling rates'!E47</f>
        <v>1.9828422639615865E-6</v>
      </c>
      <c r="D94" s="230">
        <f>D$92*'BTX recycling rates'!F47</f>
        <v>2.1141140848542519E-6</v>
      </c>
      <c r="E94" s="230">
        <f>E$92*'BTX recycling rates'!G47</f>
        <v>2.2397119391485265E-6</v>
      </c>
      <c r="F94" s="230">
        <f>F$92*'BTX recycling rates'!H47</f>
        <v>2.3587345679792151E-6</v>
      </c>
      <c r="G94" s="230">
        <f>G$92*'BTX recycling rates'!I47</f>
        <v>2.470288239924011E-6</v>
      </c>
      <c r="H94" s="230">
        <f>H$92*'BTX recycling rates'!J47</f>
        <v>2.5734867510034876E-6</v>
      </c>
      <c r="I94" s="230">
        <f>I$92*'BTX recycling rates'!K47</f>
        <v>2.6674514246811054E-6</v>
      </c>
      <c r="J94" s="230">
        <f>J$92*'BTX recycling rates'!L47</f>
        <v>2.7513111118632066E-6</v>
      </c>
      <c r="K94" s="230">
        <f>K$92*'BTX recycling rates'!M47</f>
        <v>2.8242021908990197E-6</v>
      </c>
      <c r="L94" s="230">
        <f>L$92*'BTX recycling rates'!N47</f>
        <v>2.8852685675806578E-6</v>
      </c>
      <c r="M94" s="230">
        <f>M$92*'BTX recycling rates'!O47</f>
        <v>2.9336616751431168E-6</v>
      </c>
      <c r="N94" s="230">
        <f>N$92*'BTX recycling rates'!P47</f>
        <v>3.1739178415360783E-6</v>
      </c>
      <c r="O94" s="230">
        <f>O$92*'BTX recycling rates'!Q47</f>
        <v>3.3960276894324033E-6</v>
      </c>
      <c r="P94" s="230">
        <f>P$92*'BTX recycling rates'!R47</f>
        <v>3.5960867492379941E-6</v>
      </c>
      <c r="Q94" s="230">
        <f>Q$92*'BTX recycling rates'!S47</f>
        <v>3.7702235979735431E-6</v>
      </c>
      <c r="R94" s="230">
        <f>R$92*'BTX recycling rates'!T47</f>
        <v>3.9145998592745193E-6</v>
      </c>
      <c r="S94" s="230">
        <f>S$92*'BTX recycling rates'!U47</f>
        <v>4.0254102033911788E-6</v>
      </c>
      <c r="T94" s="230">
        <f>T$92*'BTX recycling rates'!V47</f>
        <v>4.0988823471885634E-6</v>
      </c>
      <c r="U94" s="230">
        <f>U$92*'BTX recycling rates'!W47</f>
        <v>4.1312770541464949E-6</v>
      </c>
      <c r="V94" s="230">
        <f>V$92*'BTX recycling rates'!X47</f>
        <v>4.1188881343595824E-6</v>
      </c>
      <c r="W94" s="230">
        <f>W$92*'BTX recycling rates'!Y47</f>
        <v>4.0580424445372139E-6</v>
      </c>
      <c r="X94" s="230">
        <f>X$92*'BTX recycling rates'!Z47</f>
        <v>4.1591302027821178E-6</v>
      </c>
      <c r="Y94" s="230">
        <f>Y$92*'BTX recycling rates'!AA47</f>
        <v>4.1753023309994127E-6</v>
      </c>
      <c r="Z94" s="230">
        <f>Z$92*'BTX recycling rates'!AB47</f>
        <v>4.0959978526249914E-6</v>
      </c>
      <c r="AA94" s="230">
        <f>AA$92*'BTX recycling rates'!AC47</f>
        <v>3.9107491268659339E-6</v>
      </c>
      <c r="AB94" s="230">
        <f>AB$92*'BTX recycling rates'!AD47</f>
        <v>3.6091818487005055E-6</v>
      </c>
      <c r="AC94" s="230">
        <f>AC$92*'BTX recycling rates'!AE47</f>
        <v>3.1810150488781534E-6</v>
      </c>
      <c r="AD94" s="230">
        <f>AD$92*'BTX recycling rates'!AF47</f>
        <v>2.6160610939195149E-6</v>
      </c>
      <c r="AE94" s="230">
        <f>AE$92*'BTX recycling rates'!AG47</f>
        <v>1.9042256861164077E-6</v>
      </c>
      <c r="AF94" s="230">
        <f>AF$92*'BTX recycling rates'!AH47</f>
        <v>1.0355078635318381E-6</v>
      </c>
      <c r="AG94" s="230">
        <f>AG$92*'BTX recycling rates'!AI47</f>
        <v>0</v>
      </c>
      <c r="AH94" s="245"/>
      <c r="AI94" s="133"/>
      <c r="AJ94" s="211"/>
      <c r="AL94" s="108"/>
      <c r="AM94" s="2"/>
      <c r="AN94" s="2"/>
      <c r="AO94" s="2"/>
      <c r="BC94" s="1"/>
      <c r="BD94" s="2"/>
      <c r="BE94" s="2"/>
      <c r="BF94" s="2"/>
      <c r="BG94" s="2"/>
      <c r="BH94" s="2"/>
      <c r="BI94" s="2"/>
      <c r="BJ94" s="2"/>
      <c r="BK94" s="2"/>
    </row>
    <row r="95" spans="1:63" outlineLevel="1" x14ac:dyDescent="0.2">
      <c r="A95" s="4" t="s">
        <v>745</v>
      </c>
      <c r="C95" s="230">
        <f>C$92*'BTX recycling rates'!E48</f>
        <v>0</v>
      </c>
      <c r="D95" s="230">
        <f>D$92*'BTX recycling rates'!F48</f>
        <v>1.0428468996780228E-5</v>
      </c>
      <c r="E95" s="230">
        <f>E$92*'BTX recycling rates'!G48</f>
        <v>2.288517627810299E-5</v>
      </c>
      <c r="F95" s="230">
        <f>F$92*'BTX recycling rates'!H48</f>
        <v>3.7490971551146854E-5</v>
      </c>
      <c r="G95" s="230">
        <f>G$92*'BTX recycling rates'!I48</f>
        <v>5.4365627716756326E-5</v>
      </c>
      <c r="H95" s="230">
        <f>H$92*'BTX recycling rates'!J48</f>
        <v>7.3627840869441776E-5</v>
      </c>
      <c r="I95" s="230">
        <f>I$92*'BTX recycling rates'!K48</f>
        <v>9.5395230297379532E-5</v>
      </c>
      <c r="J95" s="230">
        <f>J$92*'BTX recycling rates'!L48</f>
        <v>1.1978433848241174E-4</v>
      </c>
      <c r="K95" s="230">
        <f>K$92*'BTX recycling rates'!M48</f>
        <v>1.4691063110004653E-4</v>
      </c>
      <c r="L95" s="230">
        <f>L$92*'BTX recycling rates'!N48</f>
        <v>1.7688849701945789E-4</v>
      </c>
      <c r="M95" s="230">
        <f>M$92*'BTX recycling rates'!O48</f>
        <v>2.0983124830348571E-4</v>
      </c>
      <c r="N95" s="230">
        <f>N$92*'BTX recycling rates'!P48</f>
        <v>2.6286023840898197E-4</v>
      </c>
      <c r="O95" s="230">
        <f>O$92*'BTX recycling rates'!Q48</f>
        <v>3.2386953382506869E-4</v>
      </c>
      <c r="P95" s="230">
        <f>P$92*'BTX recycling rates'!R48</f>
        <v>3.9338221677499667E-4</v>
      </c>
      <c r="Q95" s="230">
        <f>Q$92*'BTX recycling rates'!S48</f>
        <v>4.7191664213905803E-4</v>
      </c>
      <c r="R95" s="230">
        <f>R$92*'BTX recycling rates'!T48</f>
        <v>5.5998643745458487E-4</v>
      </c>
      <c r="S95" s="230">
        <f>S$92*'BTX recycling rates'!U48</f>
        <v>6.5810050291595086E-4</v>
      </c>
      <c r="T95" s="230">
        <f>T$92*'BTX recycling rates'!V48</f>
        <v>7.6676301137457018E-4</v>
      </c>
      <c r="U95" s="230">
        <f>U$92*'BTX recycling rates'!W48</f>
        <v>8.8647340833889778E-4</v>
      </c>
      <c r="V95" s="230">
        <f>V$92*'BTX recycling rates'!X48</f>
        <v>1.0177264119744297E-3</v>
      </c>
      <c r="W95" s="230">
        <f>W$92*'BTX recycling rates'!Y48</f>
        <v>1.1610120131037025E-3</v>
      </c>
      <c r="X95" s="230">
        <f>X$92*'BTX recycling rates'!Z48</f>
        <v>1.3882556005934093E-3</v>
      </c>
      <c r="Y95" s="230">
        <f>Y$92*'BTX recycling rates'!AA48</f>
        <v>1.6425203327627279E-3</v>
      </c>
      <c r="Z95" s="230">
        <f>Z$92*'BTX recycling rates'!AB48</f>
        <v>1.9252168270682915E-3</v>
      </c>
      <c r="AA95" s="230">
        <f>AA$92*'BTX recycling rates'!AC48</f>
        <v>2.2377423492148628E-3</v>
      </c>
      <c r="AB95" s="230">
        <f>AB$92*'BTX recycling rates'!AD48</f>
        <v>2.5814808131553362E-3</v>
      </c>
      <c r="AC95" s="230">
        <f>AC$92*'BTX recycling rates'!AE48</f>
        <v>2.9578027810907301E-3</v>
      </c>
      <c r="AD95" s="230">
        <f>AD$92*'BTX recycling rates'!AF48</f>
        <v>3.3680654634702001E-3</v>
      </c>
      <c r="AE95" s="230">
        <f>AE$92*'BTX recycling rates'!AG48</f>
        <v>3.8136127189910243E-3</v>
      </c>
      <c r="AF95" s="230">
        <f>AF$92*'BTX recycling rates'!AH48</f>
        <v>4.2957750545986155E-3</v>
      </c>
      <c r="AG95" s="230">
        <f>AG$92*'BTX recycling rates'!AI48</f>
        <v>4.8158696254865206E-3</v>
      </c>
      <c r="AH95" s="245"/>
      <c r="AI95" s="133"/>
      <c r="AJ95" s="211"/>
      <c r="AL95" s="108"/>
      <c r="AM95" s="2"/>
      <c r="AN95" s="2"/>
      <c r="AO95" s="2"/>
      <c r="BC95" s="1"/>
      <c r="BD95" s="2"/>
      <c r="BE95" s="2"/>
      <c r="BF95" s="2"/>
      <c r="BG95" s="2"/>
      <c r="BH95" s="2"/>
      <c r="BI95" s="2"/>
      <c r="BJ95" s="2"/>
      <c r="BK95" s="2"/>
    </row>
    <row r="96" spans="1:63" outlineLevel="1" x14ac:dyDescent="0.2">
      <c r="A96" s="4" t="s">
        <v>1561</v>
      </c>
      <c r="C96" s="230">
        <f>C$92*'BTX recycling rates'!E49</f>
        <v>0</v>
      </c>
      <c r="D96" s="230">
        <f>D$92*'BTX recycling rates'!F49</f>
        <v>1.0428468996780228E-5</v>
      </c>
      <c r="E96" s="230">
        <f>E$92*'BTX recycling rates'!G49</f>
        <v>2.288517627810299E-5</v>
      </c>
      <c r="F96" s="230">
        <f>F$92*'BTX recycling rates'!H49</f>
        <v>3.7490971551146854E-5</v>
      </c>
      <c r="G96" s="230">
        <f>G$92*'BTX recycling rates'!I49</f>
        <v>5.4365627716756326E-5</v>
      </c>
      <c r="H96" s="230">
        <f>H$92*'BTX recycling rates'!J49</f>
        <v>7.3627840869441776E-5</v>
      </c>
      <c r="I96" s="230">
        <f>I$92*'BTX recycling rates'!K49</f>
        <v>9.5395230297379532E-5</v>
      </c>
      <c r="J96" s="230">
        <f>J$92*'BTX recycling rates'!L49</f>
        <v>1.1978433848241174E-4</v>
      </c>
      <c r="K96" s="230">
        <f>K$92*'BTX recycling rates'!M49</f>
        <v>1.4691063110004653E-4</v>
      </c>
      <c r="L96" s="230">
        <f>L$92*'BTX recycling rates'!N49</f>
        <v>1.7688849701945789E-4</v>
      </c>
      <c r="M96" s="230">
        <f>M$92*'BTX recycling rates'!O49</f>
        <v>2.0983124830348571E-4</v>
      </c>
      <c r="N96" s="230">
        <f>N$92*'BTX recycling rates'!P49</f>
        <v>2.6286023840898197E-4</v>
      </c>
      <c r="O96" s="230">
        <f>O$92*'BTX recycling rates'!Q49</f>
        <v>3.2386953382506869E-4</v>
      </c>
      <c r="P96" s="230">
        <f>P$92*'BTX recycling rates'!R49</f>
        <v>3.9338221677499667E-4</v>
      </c>
      <c r="Q96" s="230">
        <f>Q$92*'BTX recycling rates'!S49</f>
        <v>4.7191664213905803E-4</v>
      </c>
      <c r="R96" s="230">
        <f>R$92*'BTX recycling rates'!T49</f>
        <v>5.5998643745458487E-4</v>
      </c>
      <c r="S96" s="230">
        <f>S$92*'BTX recycling rates'!U49</f>
        <v>6.5810050291595086E-4</v>
      </c>
      <c r="T96" s="230">
        <f>T$92*'BTX recycling rates'!V49</f>
        <v>7.6676301137457018E-4</v>
      </c>
      <c r="U96" s="230">
        <f>U$92*'BTX recycling rates'!W49</f>
        <v>8.8647340833889778E-4</v>
      </c>
      <c r="V96" s="230">
        <f>V$92*'BTX recycling rates'!X49</f>
        <v>1.0177264119744297E-3</v>
      </c>
      <c r="W96" s="230">
        <f>W$92*'BTX recycling rates'!Y49</f>
        <v>1.1610120131037025E-3</v>
      </c>
      <c r="X96" s="230">
        <f>X$92*'BTX recycling rates'!Z49</f>
        <v>1.3882556005934093E-3</v>
      </c>
      <c r="Y96" s="230">
        <f>Y$92*'BTX recycling rates'!AA49</f>
        <v>1.6425203327627279E-3</v>
      </c>
      <c r="Z96" s="230">
        <f>Z$92*'BTX recycling rates'!AB49</f>
        <v>1.9252168270682915E-3</v>
      </c>
      <c r="AA96" s="230">
        <f>AA$92*'BTX recycling rates'!AC49</f>
        <v>2.2377423492148628E-3</v>
      </c>
      <c r="AB96" s="230">
        <f>AB$92*'BTX recycling rates'!AD49</f>
        <v>2.5814808131553362E-3</v>
      </c>
      <c r="AC96" s="230">
        <f>AC$92*'BTX recycling rates'!AE49</f>
        <v>2.9578027810907301E-3</v>
      </c>
      <c r="AD96" s="230">
        <f>AD$92*'BTX recycling rates'!AF49</f>
        <v>3.3680654634702001E-3</v>
      </c>
      <c r="AE96" s="230">
        <f>AE$92*'BTX recycling rates'!AG49</f>
        <v>3.8136127189910243E-3</v>
      </c>
      <c r="AF96" s="230">
        <f>AF$92*'BTX recycling rates'!AH49</f>
        <v>4.2957750545986155E-3</v>
      </c>
      <c r="AG96" s="230">
        <f>AG$92*'BTX recycling rates'!AI49</f>
        <v>4.8158696254865206E-3</v>
      </c>
      <c r="AH96" s="245"/>
      <c r="AI96" s="133"/>
      <c r="AJ96" s="211"/>
      <c r="AL96" s="108"/>
      <c r="AM96" s="2"/>
      <c r="AN96" s="2"/>
      <c r="AO96" s="2"/>
      <c r="BC96" s="1"/>
      <c r="BD96" s="2"/>
      <c r="BE96" s="2"/>
      <c r="BF96" s="2"/>
      <c r="BG96" s="2"/>
      <c r="BH96" s="2"/>
      <c r="BI96" s="2"/>
      <c r="BJ96" s="2"/>
      <c r="BK96" s="2"/>
    </row>
    <row r="97" spans="1:63" s="1" customFormat="1" outlineLevel="1" x14ac:dyDescent="0.2">
      <c r="A97" s="1" t="s">
        <v>1566</v>
      </c>
      <c r="B97" s="65"/>
      <c r="C97" s="300">
        <f>C92-$C92</f>
        <v>0</v>
      </c>
      <c r="D97" s="300">
        <f t="shared" ref="D97:AG97" si="48">D92-$C92</f>
        <v>5.8414002297692649E-5</v>
      </c>
      <c r="E97" s="300">
        <f t="shared" si="48"/>
        <v>1.1926115083396864E-4</v>
      </c>
      <c r="F97" s="300">
        <f t="shared" si="48"/>
        <v>1.8252529351381601E-4</v>
      </c>
      <c r="G97" s="300">
        <f t="shared" si="48"/>
        <v>2.4819027824222388E-4</v>
      </c>
      <c r="H97" s="300">
        <f t="shared" si="48"/>
        <v>3.1623995292418038E-4</v>
      </c>
      <c r="I97" s="300">
        <f t="shared" si="48"/>
        <v>3.8665816546467442E-4</v>
      </c>
      <c r="J97" s="300">
        <f t="shared" si="48"/>
        <v>4.5942876376869402E-4</v>
      </c>
      <c r="K97" s="300">
        <f t="shared" si="48"/>
        <v>5.3453559574122799E-4</v>
      </c>
      <c r="L97" s="300">
        <f t="shared" si="48"/>
        <v>6.11962509287265E-4</v>
      </c>
      <c r="M97" s="300">
        <f t="shared" si="48"/>
        <v>6.916933523117933E-4</v>
      </c>
      <c r="N97" s="300">
        <f t="shared" si="48"/>
        <v>8.6648898108532605E-4</v>
      </c>
      <c r="O97" s="300">
        <f t="shared" si="48"/>
        <v>1.0520535316162227E-3</v>
      </c>
      <c r="P97" s="300">
        <f t="shared" si="48"/>
        <v>1.2483160937600945E-3</v>
      </c>
      <c r="Q97" s="300">
        <f t="shared" si="48"/>
        <v>1.4552057573725564E-3</v>
      </c>
      <c r="R97" s="300">
        <f t="shared" si="48"/>
        <v>1.6726516123092188E-3</v>
      </c>
      <c r="S97" s="300">
        <f t="shared" si="48"/>
        <v>1.9005827484256947E-3</v>
      </c>
      <c r="T97" s="300">
        <f t="shared" si="48"/>
        <v>2.1389282555775973E-3</v>
      </c>
      <c r="U97" s="300">
        <f t="shared" si="48"/>
        <v>2.3876172236205382E-3</v>
      </c>
      <c r="V97" s="300">
        <f t="shared" si="48"/>
        <v>2.6465787424101309E-3</v>
      </c>
      <c r="W97" s="300">
        <f t="shared" si="48"/>
        <v>2.9157419018019863E-3</v>
      </c>
      <c r="X97" s="300">
        <f t="shared" si="48"/>
        <v>3.3991504356149058E-3</v>
      </c>
      <c r="Y97" s="300">
        <f t="shared" si="48"/>
        <v>3.9123067700255918E-3</v>
      </c>
      <c r="Z97" s="300">
        <f t="shared" si="48"/>
        <v>4.4550106287559879E-3</v>
      </c>
      <c r="AA97" s="300">
        <f t="shared" si="48"/>
        <v>5.0270617355280371E-3</v>
      </c>
      <c r="AB97" s="300">
        <f t="shared" si="48"/>
        <v>5.6282598140636863E-3</v>
      </c>
      <c r="AC97" s="300">
        <f t="shared" si="48"/>
        <v>6.2584045880848729E-3</v>
      </c>
      <c r="AD97" s="300">
        <f t="shared" si="48"/>
        <v>6.9172957813135472E-3</v>
      </c>
      <c r="AE97" s="300">
        <f t="shared" si="48"/>
        <v>7.6047331174716468E-3</v>
      </c>
      <c r="AF97" s="300">
        <f t="shared" si="48"/>
        <v>8.3205163202811176E-3</v>
      </c>
      <c r="AG97" s="300">
        <f t="shared" si="48"/>
        <v>9.0644451134639197E-3</v>
      </c>
      <c r="AH97" s="245"/>
      <c r="AI97" s="423"/>
      <c r="AJ97" s="424"/>
      <c r="AL97" s="221"/>
      <c r="AM97" s="124"/>
      <c r="AN97" s="124"/>
      <c r="AO97" s="124"/>
      <c r="BD97" s="124"/>
      <c r="BE97" s="124"/>
      <c r="BF97" s="124"/>
      <c r="BG97" s="124"/>
      <c r="BH97" s="124"/>
      <c r="BI97" s="124"/>
      <c r="BJ97" s="124"/>
      <c r="BK97" s="124"/>
    </row>
    <row r="98" spans="1:63" outlineLevel="1" x14ac:dyDescent="0.2">
      <c r="A98" s="4" t="s">
        <v>474</v>
      </c>
      <c r="C98" s="230">
        <f>C93-$C93</f>
        <v>0</v>
      </c>
      <c r="D98" s="230">
        <f t="shared" ref="D98:AG98" si="49">D93-$C93</f>
        <v>3.7425792483239515E-5</v>
      </c>
      <c r="E98" s="230">
        <f t="shared" si="49"/>
        <v>7.3233928602575607E-5</v>
      </c>
      <c r="F98" s="230">
        <f t="shared" si="49"/>
        <v>1.0716745810750454E-4</v>
      </c>
      <c r="G98" s="230">
        <f t="shared" si="49"/>
        <v>1.3897157683274866E-4</v>
      </c>
      <c r="H98" s="230">
        <f t="shared" si="49"/>
        <v>1.6839362669825479E-4</v>
      </c>
      <c r="I98" s="230">
        <f t="shared" si="49"/>
        <v>1.9518309570919559E-4</v>
      </c>
      <c r="J98" s="230">
        <f t="shared" si="49"/>
        <v>2.1909161795596866E-4</v>
      </c>
      <c r="K98" s="230">
        <f t="shared" si="49"/>
        <v>2.3987297361419721E-4</v>
      </c>
      <c r="L98" s="230">
        <f t="shared" si="49"/>
        <v>2.5728308894472981E-4</v>
      </c>
      <c r="M98" s="230">
        <f t="shared" si="49"/>
        <v>2.710800362936399E-4</v>
      </c>
      <c r="N98" s="230">
        <f t="shared" si="49"/>
        <v>3.3957742868978721E-4</v>
      </c>
      <c r="O98" s="230">
        <f t="shared" si="49"/>
        <v>4.0290127854061375E-4</v>
      </c>
      <c r="P98" s="230">
        <f t="shared" si="49"/>
        <v>4.5993841572482415E-4</v>
      </c>
      <c r="Q98" s="230">
        <f t="shared" si="49"/>
        <v>5.095850917604275E-4</v>
      </c>
      <c r="R98" s="230">
        <f t="shared" si="49"/>
        <v>5.5074697980473514E-4</v>
      </c>
      <c r="S98" s="230">
        <f t="shared" si="49"/>
        <v>5.8233917465436245E-4</v>
      </c>
      <c r="T98" s="230">
        <f t="shared" si="49"/>
        <v>6.032861927452286E-4</v>
      </c>
      <c r="U98" s="230">
        <f t="shared" si="49"/>
        <v>6.1252197215255636E-4</v>
      </c>
      <c r="V98" s="230">
        <f t="shared" si="49"/>
        <v>6.0898987259087162E-4</v>
      </c>
      <c r="W98" s="230">
        <f t="shared" si="49"/>
        <v>5.9164267541400388E-4</v>
      </c>
      <c r="X98" s="230">
        <f t="shared" si="49"/>
        <v>6.2046294648926436E-4</v>
      </c>
      <c r="Y98" s="230">
        <f t="shared" si="49"/>
        <v>6.2507364443309529E-4</v>
      </c>
      <c r="Z98" s="230">
        <f t="shared" si="49"/>
        <v>6.0246381903073789E-4</v>
      </c>
      <c r="AA98" s="230">
        <f t="shared" si="49"/>
        <v>5.496491302354029E-4</v>
      </c>
      <c r="AB98" s="230">
        <f t="shared" si="49"/>
        <v>4.63671848168271E-4</v>
      </c>
      <c r="AC98" s="230">
        <f t="shared" si="49"/>
        <v>3.4160085311849095E-4</v>
      </c>
      <c r="AD98" s="230">
        <f t="shared" si="49"/>
        <v>1.8053163554318356E-4</v>
      </c>
      <c r="AE98" s="230">
        <f t="shared" si="49"/>
        <v>-2.2413703932562621E-5</v>
      </c>
      <c r="AF98" s="230">
        <f t="shared" si="49"/>
        <v>-2.7008645451568827E-4</v>
      </c>
      <c r="AG98" s="230">
        <f t="shared" si="49"/>
        <v>-5.6531129524515947E-4</v>
      </c>
      <c r="AH98" s="245"/>
      <c r="AI98" s="133"/>
      <c r="AJ98" s="211"/>
      <c r="AL98" s="108"/>
      <c r="AM98" s="2"/>
      <c r="AN98" s="2"/>
      <c r="AO98" s="2"/>
      <c r="BC98" s="1"/>
      <c r="BD98" s="2"/>
      <c r="BE98" s="2"/>
      <c r="BF98" s="2"/>
      <c r="BG98" s="2"/>
      <c r="BH98" s="2"/>
      <c r="BI98" s="2"/>
      <c r="BJ98" s="2"/>
      <c r="BK98" s="2"/>
    </row>
    <row r="99" spans="1:63" outlineLevel="1" x14ac:dyDescent="0.2">
      <c r="A99" s="4" t="s">
        <v>478</v>
      </c>
      <c r="C99" s="230"/>
      <c r="D99" s="230"/>
      <c r="E99" s="230"/>
      <c r="F99" s="230"/>
      <c r="G99" s="230"/>
      <c r="H99" s="230"/>
      <c r="I99" s="230"/>
      <c r="J99" s="230"/>
      <c r="K99" s="230"/>
      <c r="L99" s="230"/>
      <c r="M99" s="230"/>
      <c r="N99" s="230"/>
      <c r="O99" s="230"/>
      <c r="P99" s="230"/>
      <c r="Q99" s="230"/>
      <c r="R99" s="230"/>
      <c r="S99" s="230"/>
      <c r="T99" s="230"/>
      <c r="U99" s="230"/>
      <c r="V99" s="230"/>
      <c r="W99" s="230"/>
      <c r="X99" s="230"/>
      <c r="Y99" s="230"/>
      <c r="Z99" s="230"/>
      <c r="AA99" s="230"/>
      <c r="AB99" s="230"/>
      <c r="AC99" s="230"/>
      <c r="AD99" s="230"/>
      <c r="AE99" s="230"/>
      <c r="AF99" s="230"/>
      <c r="AG99" s="230"/>
      <c r="AH99" s="245"/>
      <c r="AI99" s="133"/>
      <c r="AJ99" s="211"/>
      <c r="AL99" s="108"/>
      <c r="AM99" s="2"/>
      <c r="AN99" s="2"/>
      <c r="AO99" s="2"/>
      <c r="BC99" s="1"/>
      <c r="BD99" s="2"/>
      <c r="BE99" s="2"/>
      <c r="BF99" s="2"/>
      <c r="BG99" s="2"/>
      <c r="BH99" s="2"/>
      <c r="BI99" s="2"/>
      <c r="BJ99" s="2"/>
      <c r="BK99" s="2"/>
    </row>
    <row r="100" spans="1:63" outlineLevel="1" x14ac:dyDescent="0.2">
      <c r="A100" s="4" t="s">
        <v>745</v>
      </c>
      <c r="C100" s="230">
        <f t="shared" ref="C100:AG100" si="50">C95-$C95</f>
        <v>0</v>
      </c>
      <c r="D100" s="230">
        <f t="shared" si="50"/>
        <v>1.0428468996780228E-5</v>
      </c>
      <c r="E100" s="230">
        <f t="shared" si="50"/>
        <v>2.288517627810299E-5</v>
      </c>
      <c r="F100" s="230">
        <f t="shared" si="50"/>
        <v>3.7490971551146854E-5</v>
      </c>
      <c r="G100" s="230">
        <f t="shared" si="50"/>
        <v>5.4365627716756326E-5</v>
      </c>
      <c r="H100" s="230">
        <f t="shared" si="50"/>
        <v>7.3627840869441776E-5</v>
      </c>
      <c r="I100" s="230">
        <f t="shared" si="50"/>
        <v>9.5395230297379532E-5</v>
      </c>
      <c r="J100" s="230">
        <f t="shared" si="50"/>
        <v>1.1978433848241174E-4</v>
      </c>
      <c r="K100" s="230">
        <f t="shared" si="50"/>
        <v>1.4691063110004653E-4</v>
      </c>
      <c r="L100" s="230">
        <f t="shared" si="50"/>
        <v>1.7688849701945789E-4</v>
      </c>
      <c r="M100" s="230">
        <f t="shared" si="50"/>
        <v>2.0983124830348571E-4</v>
      </c>
      <c r="N100" s="230">
        <f t="shared" si="50"/>
        <v>2.6286023840898197E-4</v>
      </c>
      <c r="O100" s="230">
        <f t="shared" si="50"/>
        <v>3.2386953382506869E-4</v>
      </c>
      <c r="P100" s="230">
        <f t="shared" si="50"/>
        <v>3.9338221677499667E-4</v>
      </c>
      <c r="Q100" s="230">
        <f t="shared" si="50"/>
        <v>4.7191664213905803E-4</v>
      </c>
      <c r="R100" s="230">
        <f t="shared" si="50"/>
        <v>5.5998643745458487E-4</v>
      </c>
      <c r="S100" s="230">
        <f t="shared" si="50"/>
        <v>6.5810050291595086E-4</v>
      </c>
      <c r="T100" s="230">
        <f t="shared" si="50"/>
        <v>7.6676301137457018E-4</v>
      </c>
      <c r="U100" s="230">
        <f t="shared" si="50"/>
        <v>8.8647340833889778E-4</v>
      </c>
      <c r="V100" s="230">
        <f t="shared" si="50"/>
        <v>1.0177264119744297E-3</v>
      </c>
      <c r="W100" s="230">
        <f t="shared" si="50"/>
        <v>1.1610120131037025E-3</v>
      </c>
      <c r="X100" s="230">
        <f t="shared" si="50"/>
        <v>1.3882556005934093E-3</v>
      </c>
      <c r="Y100" s="230">
        <f t="shared" si="50"/>
        <v>1.6425203327627279E-3</v>
      </c>
      <c r="Z100" s="230">
        <f t="shared" si="50"/>
        <v>1.9252168270682915E-3</v>
      </c>
      <c r="AA100" s="230">
        <f t="shared" si="50"/>
        <v>2.2377423492148628E-3</v>
      </c>
      <c r="AB100" s="230">
        <f t="shared" si="50"/>
        <v>2.5814808131553362E-3</v>
      </c>
      <c r="AC100" s="230">
        <f t="shared" si="50"/>
        <v>2.9578027810907301E-3</v>
      </c>
      <c r="AD100" s="230">
        <f t="shared" si="50"/>
        <v>3.3680654634702001E-3</v>
      </c>
      <c r="AE100" s="230">
        <f t="shared" si="50"/>
        <v>3.8136127189910243E-3</v>
      </c>
      <c r="AF100" s="230">
        <f t="shared" si="50"/>
        <v>4.2957750545986155E-3</v>
      </c>
      <c r="AG100" s="230">
        <f t="shared" si="50"/>
        <v>4.8158696254865206E-3</v>
      </c>
      <c r="AH100" s="245"/>
      <c r="AI100" s="133"/>
      <c r="AJ100" s="211"/>
      <c r="AL100" s="108"/>
      <c r="AM100" s="2"/>
      <c r="AN100" s="2"/>
      <c r="AO100" s="2"/>
      <c r="BC100" s="1"/>
      <c r="BD100" s="2"/>
      <c r="BE100" s="2"/>
      <c r="BF100" s="2"/>
      <c r="BG100" s="2"/>
      <c r="BH100" s="2"/>
      <c r="BI100" s="2"/>
      <c r="BJ100" s="2"/>
      <c r="BK100" s="2"/>
    </row>
    <row r="101" spans="1:63" outlineLevel="1" x14ac:dyDescent="0.2">
      <c r="A101" s="4" t="s">
        <v>1561</v>
      </c>
      <c r="C101" s="230">
        <f t="shared" ref="C101:AG101" si="51">C96-$C96</f>
        <v>0</v>
      </c>
      <c r="D101" s="230">
        <f t="shared" si="51"/>
        <v>1.0428468996780228E-5</v>
      </c>
      <c r="E101" s="230">
        <f t="shared" si="51"/>
        <v>2.288517627810299E-5</v>
      </c>
      <c r="F101" s="230">
        <f t="shared" si="51"/>
        <v>3.7490971551146854E-5</v>
      </c>
      <c r="G101" s="230">
        <f t="shared" si="51"/>
        <v>5.4365627716756326E-5</v>
      </c>
      <c r="H101" s="230">
        <f t="shared" si="51"/>
        <v>7.3627840869441776E-5</v>
      </c>
      <c r="I101" s="230">
        <f t="shared" si="51"/>
        <v>9.5395230297379532E-5</v>
      </c>
      <c r="J101" s="230">
        <f t="shared" si="51"/>
        <v>1.1978433848241174E-4</v>
      </c>
      <c r="K101" s="230">
        <f t="shared" si="51"/>
        <v>1.4691063110004653E-4</v>
      </c>
      <c r="L101" s="230">
        <f t="shared" si="51"/>
        <v>1.7688849701945789E-4</v>
      </c>
      <c r="M101" s="230">
        <f t="shared" si="51"/>
        <v>2.0983124830348571E-4</v>
      </c>
      <c r="N101" s="230">
        <f t="shared" si="51"/>
        <v>2.6286023840898197E-4</v>
      </c>
      <c r="O101" s="230">
        <f t="shared" si="51"/>
        <v>3.2386953382506869E-4</v>
      </c>
      <c r="P101" s="230">
        <f t="shared" si="51"/>
        <v>3.9338221677499667E-4</v>
      </c>
      <c r="Q101" s="230">
        <f t="shared" si="51"/>
        <v>4.7191664213905803E-4</v>
      </c>
      <c r="R101" s="230">
        <f t="shared" si="51"/>
        <v>5.5998643745458487E-4</v>
      </c>
      <c r="S101" s="230">
        <f t="shared" si="51"/>
        <v>6.5810050291595086E-4</v>
      </c>
      <c r="T101" s="230">
        <f t="shared" si="51"/>
        <v>7.6676301137457018E-4</v>
      </c>
      <c r="U101" s="230">
        <f t="shared" si="51"/>
        <v>8.8647340833889778E-4</v>
      </c>
      <c r="V101" s="230">
        <f t="shared" si="51"/>
        <v>1.0177264119744297E-3</v>
      </c>
      <c r="W101" s="230">
        <f t="shared" si="51"/>
        <v>1.1610120131037025E-3</v>
      </c>
      <c r="X101" s="230">
        <f t="shared" si="51"/>
        <v>1.3882556005934093E-3</v>
      </c>
      <c r="Y101" s="230">
        <f t="shared" si="51"/>
        <v>1.6425203327627279E-3</v>
      </c>
      <c r="Z101" s="230">
        <f t="shared" si="51"/>
        <v>1.9252168270682915E-3</v>
      </c>
      <c r="AA101" s="230">
        <f t="shared" si="51"/>
        <v>2.2377423492148628E-3</v>
      </c>
      <c r="AB101" s="230">
        <f t="shared" si="51"/>
        <v>2.5814808131553362E-3</v>
      </c>
      <c r="AC101" s="230">
        <f t="shared" si="51"/>
        <v>2.9578027810907301E-3</v>
      </c>
      <c r="AD101" s="230">
        <f t="shared" si="51"/>
        <v>3.3680654634702001E-3</v>
      </c>
      <c r="AE101" s="230">
        <f t="shared" si="51"/>
        <v>3.8136127189910243E-3</v>
      </c>
      <c r="AF101" s="230">
        <f t="shared" si="51"/>
        <v>4.2957750545986155E-3</v>
      </c>
      <c r="AG101" s="230">
        <f t="shared" si="51"/>
        <v>4.8158696254865206E-3</v>
      </c>
      <c r="AH101" s="245"/>
      <c r="AI101" s="133"/>
      <c r="AJ101" s="211"/>
      <c r="AL101" s="108"/>
      <c r="AM101" s="2"/>
      <c r="AN101" s="2"/>
      <c r="AO101" s="2"/>
      <c r="BC101" s="1"/>
      <c r="BD101" s="2"/>
      <c r="BE101" s="2"/>
      <c r="BF101" s="2"/>
      <c r="BG101" s="2"/>
      <c r="BH101" s="2"/>
      <c r="BI101" s="2"/>
      <c r="BJ101" s="2"/>
      <c r="BK101" s="2"/>
    </row>
    <row r="102" spans="1:63" s="1" customFormat="1" outlineLevel="1" x14ac:dyDescent="0.2">
      <c r="A102" s="1" t="s">
        <v>1567</v>
      </c>
      <c r="B102" s="65"/>
      <c r="C102" s="300">
        <f>C42*C68</f>
        <v>0.48062994175736984</v>
      </c>
      <c r="D102" s="300">
        <f t="shared" ref="D102:AG102" si="52">D42*D68</f>
        <v>0.50834419630110295</v>
      </c>
      <c r="E102" s="300">
        <f t="shared" si="52"/>
        <v>0.53301544953914037</v>
      </c>
      <c r="F102" s="300">
        <f t="shared" si="52"/>
        <v>0.55809269581906173</v>
      </c>
      <c r="G102" s="300">
        <f t="shared" si="52"/>
        <v>0.58216431250066147</v>
      </c>
      <c r="H102" s="300">
        <f t="shared" si="52"/>
        <v>0.60503803423963054</v>
      </c>
      <c r="I102" s="300">
        <f t="shared" si="52"/>
        <v>0.62787970279202754</v>
      </c>
      <c r="J102" s="300">
        <f t="shared" si="52"/>
        <v>0.65064883165203702</v>
      </c>
      <c r="K102" s="300">
        <f t="shared" si="52"/>
        <v>0.67330406599520465</v>
      </c>
      <c r="L102" s="300">
        <f t="shared" si="52"/>
        <v>0.69580327547492549</v>
      </c>
      <c r="M102" s="300">
        <f t="shared" si="52"/>
        <v>0.71810365188059633</v>
      </c>
      <c r="N102" s="300">
        <f t="shared" si="52"/>
        <v>0.75122028756875336</v>
      </c>
      <c r="O102" s="300">
        <f t="shared" si="52"/>
        <v>0.78123850448437815</v>
      </c>
      <c r="P102" s="300">
        <f t="shared" si="52"/>
        <v>0.80789130304477597</v>
      </c>
      <c r="Q102" s="300">
        <f t="shared" si="52"/>
        <v>0.83093861391277479</v>
      </c>
      <c r="R102" s="300">
        <f t="shared" si="52"/>
        <v>0.85017044420970456</v>
      </c>
      <c r="S102" s="300">
        <f t="shared" si="52"/>
        <v>0.86696885813302582</v>
      </c>
      <c r="T102" s="300">
        <f t="shared" si="52"/>
        <v>0.8812640009792162</v>
      </c>
      <c r="U102" s="300">
        <f t="shared" si="52"/>
        <v>0.89298658181954327</v>
      </c>
      <c r="V102" s="300">
        <f t="shared" si="52"/>
        <v>0.90206793639396687</v>
      </c>
      <c r="W102" s="300">
        <f t="shared" si="52"/>
        <v>0.9084400903502664</v>
      </c>
      <c r="X102" s="300">
        <f t="shared" si="52"/>
        <v>0.93116409804928146</v>
      </c>
      <c r="Y102" s="300">
        <f t="shared" si="52"/>
        <v>0.94969573744965163</v>
      </c>
      <c r="Z102" s="300">
        <f t="shared" si="52"/>
        <v>0.96392787833620774</v>
      </c>
      <c r="AA102" s="300">
        <f t="shared" si="52"/>
        <v>0.97375441658347583</v>
      </c>
      <c r="AB102" s="300">
        <f t="shared" si="52"/>
        <v>0.97907036419662341</v>
      </c>
      <c r="AC102" s="300">
        <f t="shared" si="52"/>
        <v>0.97978120265242197</v>
      </c>
      <c r="AD102" s="300">
        <f t="shared" si="52"/>
        <v>0.97578434606189879</v>
      </c>
      <c r="AE102" s="300">
        <f t="shared" si="52"/>
        <v>0.96697832280679263</v>
      </c>
      <c r="AF102" s="300">
        <f t="shared" si="52"/>
        <v>0.95326285626509877</v>
      </c>
      <c r="AG102" s="300">
        <f t="shared" si="52"/>
        <v>0.93453894570257456</v>
      </c>
      <c r="AH102" s="245"/>
      <c r="AI102" s="423"/>
      <c r="AJ102" s="424"/>
      <c r="AL102" s="221"/>
      <c r="AM102" s="124"/>
      <c r="AN102" s="124"/>
      <c r="AO102" s="124"/>
      <c r="BD102" s="124"/>
      <c r="BE102" s="124"/>
      <c r="BF102" s="124"/>
      <c r="BG102" s="124"/>
      <c r="BH102" s="124"/>
      <c r="BI102" s="124"/>
      <c r="BJ102" s="124"/>
      <c r="BK102" s="124"/>
    </row>
    <row r="103" spans="1:63" outlineLevel="1" x14ac:dyDescent="0.2">
      <c r="A103" s="4" t="s">
        <v>474</v>
      </c>
      <c r="C103" s="230">
        <f>C$102*'BTX recycling rates'!E54</f>
        <v>0.4789500136586477</v>
      </c>
      <c r="D103" s="230">
        <f>D$102*'BTX recycling rates'!F54</f>
        <v>0.49978866352839374</v>
      </c>
      <c r="E103" s="230">
        <f>E$102*'BTX recycling rates'!G54</f>
        <v>0.51693696913905618</v>
      </c>
      <c r="F103" s="230">
        <f>F$102*'BTX recycling rates'!H54</f>
        <v>0.53381562802488092</v>
      </c>
      <c r="G103" s="230">
        <f>G$102*'BTX recycling rates'!I54</f>
        <v>0.54907700544376292</v>
      </c>
      <c r="H103" s="230">
        <f>H$102*'BTX recycling rates'!J54</f>
        <v>0.56258255730879569</v>
      </c>
      <c r="I103" s="230">
        <f>I$102*'BTX recycling rates'!K54</f>
        <v>0.57544869346677252</v>
      </c>
      <c r="J103" s="230">
        <f>J$102*'BTX recycling rates'!L54</f>
        <v>0.58764013039824814</v>
      </c>
      <c r="K103" s="230">
        <f>K$102*'BTX recycling rates'!M54</f>
        <v>0.59912297147136517</v>
      </c>
      <c r="L103" s="230">
        <f>L$102*'BTX recycling rates'!N54</f>
        <v>0.60986484617193581</v>
      </c>
      <c r="M103" s="230">
        <f>M$102*'BTX recycling rates'!O54</f>
        <v>0.61983504610528484</v>
      </c>
      <c r="N103" s="230">
        <f>N$102*'BTX recycling rates'!P54</f>
        <v>0.63840237649242693</v>
      </c>
      <c r="O103" s="230">
        <f>O$102*'BTX recycling rates'!Q54</f>
        <v>0.65349470812540966</v>
      </c>
      <c r="P103" s="230">
        <f>P$102*'BTX recycling rates'!R54</f>
        <v>0.6650162117622761</v>
      </c>
      <c r="Q103" s="230">
        <f>Q$102*'BTX recycling rates'!S54</f>
        <v>0.67290710838256695</v>
      </c>
      <c r="R103" s="230">
        <f>R$102*'BTX recycling rates'!T54</f>
        <v>0.67714437952017492</v>
      </c>
      <c r="S103" s="230">
        <f>S$102*'BTX recycling rates'!U54</f>
        <v>0.67896302048676627</v>
      </c>
      <c r="T103" s="230">
        <f>T$102*'BTX recycling rates'!V54</f>
        <v>0.67840660470915737</v>
      </c>
      <c r="U103" s="230">
        <f>U$102*'BTX recycling rates'!W54</f>
        <v>0.67552285812753554</v>
      </c>
      <c r="V103" s="230">
        <f>V$102*'BTX recycling rates'!X54</f>
        <v>0.67036366834499883</v>
      </c>
      <c r="W103" s="230">
        <f>W$102*'BTX recycling rates'!Y54</f>
        <v>0.6629850889969291</v>
      </c>
      <c r="X103" s="230">
        <f>X$102*'BTX recycling rates'!Z54</f>
        <v>0.66715219632759559</v>
      </c>
      <c r="Y103" s="230">
        <f>Y$102*'BTX recycling rates'!AA54</f>
        <v>0.66776545148204269</v>
      </c>
      <c r="Z103" s="230">
        <f>Z$102*'BTX recycling rates'!AB54</f>
        <v>0.66491867075988353</v>
      </c>
      <c r="AA103" s="230">
        <f>AA$102*'BTX recycling rates'!AC54</f>
        <v>0.65871207887305272</v>
      </c>
      <c r="AB103" s="230">
        <f>AB$102*'BTX recycling rates'!AD54</f>
        <v>0.64925230024059633</v>
      </c>
      <c r="AC103" s="230">
        <f>AC$102*'BTX recycling rates'!AE54</f>
        <v>0.6366583623389287</v>
      </c>
      <c r="AD103" s="230">
        <f>AD$102*'BTX recycling rates'!AF54</f>
        <v>0.62104919966939931</v>
      </c>
      <c r="AE103" s="230">
        <f>AE$102*'BTX recycling rates'!AG54</f>
        <v>0.60254991296911364</v>
      </c>
      <c r="AF103" s="230">
        <f>AF$102*'BTX recycling rates'!AH54</f>
        <v>0.58129174414306839</v>
      </c>
      <c r="AG103" s="230">
        <f>AG$102*'BTX recycling rates'!AI54</f>
        <v>0.55741204483645546</v>
      </c>
      <c r="AH103" s="245"/>
      <c r="AI103" s="133"/>
      <c r="AJ103" s="211"/>
      <c r="AL103" s="108"/>
      <c r="AM103" s="2"/>
      <c r="AN103" s="2"/>
      <c r="AO103" s="2"/>
      <c r="BC103" s="1"/>
      <c r="BD103" s="2"/>
      <c r="BE103" s="2"/>
      <c r="BF103" s="2"/>
      <c r="BG103" s="2"/>
      <c r="BH103" s="2"/>
      <c r="BI103" s="2"/>
      <c r="BJ103" s="2"/>
      <c r="BK103" s="2"/>
    </row>
    <row r="104" spans="1:63" outlineLevel="1" x14ac:dyDescent="0.2">
      <c r="A104" s="4" t="s">
        <v>478</v>
      </c>
      <c r="C104" s="230">
        <f>C$102*'BTX recycling rates'!E55</f>
        <v>1.6799280987221305E-3</v>
      </c>
      <c r="D104" s="230">
        <f>D$102*'BTX recycling rates'!F55</f>
        <v>7.1859936771414487E-3</v>
      </c>
      <c r="E104" s="230">
        <f>E$102*'BTX recycling rates'!G55</f>
        <v>1.3206467689023024E-2</v>
      </c>
      <c r="F104" s="230">
        <f>F$102*'BTX recycling rates'!H55</f>
        <v>1.9766365568583254E-2</v>
      </c>
      <c r="G104" s="230">
        <f>G$102*'BTX recycling rates'!I55</f>
        <v>2.6813630348751713E-2</v>
      </c>
      <c r="H104" s="230">
        <f>H$102*'BTX recycling rates'!J55</f>
        <v>3.4305258552952404E-2</v>
      </c>
      <c r="I104" s="230">
        <f>I$102*'BTX recycling rates'!K55</f>
        <v>4.2281518410900706E-2</v>
      </c>
      <c r="J104" s="230">
        <f>J$102*'BTX recycling rates'!L55</f>
        <v>5.0738229529280664E-2</v>
      </c>
      <c r="K104" s="230">
        <f>K$102*'BTX recycling rates'!M55</f>
        <v>5.9669411325017845E-2</v>
      </c>
      <c r="L104" s="230">
        <f>L$102*'BTX recycling rates'!N55</f>
        <v>6.9067246038406957E-2</v>
      </c>
      <c r="M104" s="230">
        <f>M$102*'BTX recycling rates'!O55</f>
        <v>7.892204820513507E-2</v>
      </c>
      <c r="N104" s="230">
        <f>N$102*'BTX recycling rates'!P55</f>
        <v>9.055527649202981E-2</v>
      </c>
      <c r="O104" s="230">
        <f>O$102*'BTX recycling rates'!Q55</f>
        <v>0.1024868145901717</v>
      </c>
      <c r="P104" s="230">
        <f>P$102*'BTX recycling rates'!R55</f>
        <v>0.11457988594128075</v>
      </c>
      <c r="Q104" s="230">
        <f>Q$102*'BTX recycling rates'!S55</f>
        <v>0.12669045557879113</v>
      </c>
      <c r="R104" s="230">
        <f>R$102*'BTX recycling rates'!T55</f>
        <v>0.13866917609769924</v>
      </c>
      <c r="S104" s="230">
        <f>S$102*'BTX recycling rates'!U55</f>
        <v>0.15063437934717916</v>
      </c>
      <c r="T104" s="230">
        <f>T$102*'BTX recycling rates'!V55</f>
        <v>0.16249550427272408</v>
      </c>
      <c r="U104" s="230">
        <f>U$102*'BTX recycling rates'!W55</f>
        <v>0.174159126528657</v>
      </c>
      <c r="V104" s="230">
        <f>V$102*'BTX recycling rates'!X55</f>
        <v>0.18552900140868631</v>
      </c>
      <c r="W104" s="230">
        <f>W$102*'BTX recycling rates'!Y55</f>
        <v>0.19650611086659181</v>
      </c>
      <c r="X104" s="230">
        <f>X$102*'BTX recycling rates'!Z55</f>
        <v>0.21132992253340402</v>
      </c>
      <c r="Y104" s="230">
        <f>Y$102*'BTX recycling rates'!AA55</f>
        <v>0.22564125991499262</v>
      </c>
      <c r="Z104" s="230">
        <f>Z$102*'BTX recycling rates'!AB55</f>
        <v>0.23927969898985402</v>
      </c>
      <c r="AA104" s="230">
        <f>AA$102*'BTX recycling rates'!AC55</f>
        <v>0.25208052155373872</v>
      </c>
      <c r="AB104" s="230">
        <f>AB$102*'BTX recycling rates'!AD55</f>
        <v>0.26387479407925352</v>
      </c>
      <c r="AC104" s="230">
        <f>AC$102*'BTX recycling rates'!AE55</f>
        <v>0.27449204749759309</v>
      </c>
      <c r="AD104" s="230">
        <f>AD$102*'BTX recycling rates'!AF55</f>
        <v>0.2837554437550639</v>
      </c>
      <c r="AE104" s="230">
        <f>AE$102*'BTX recycling rates'!AG55</f>
        <v>0.29148411429142329</v>
      </c>
      <c r="AF104" s="230">
        <f>AF$102*'BTX recycling rates'!AH55</f>
        <v>0.29749324451636744</v>
      </c>
      <c r="AG104" s="230">
        <f>AG$102*'BTX recycling rates'!AI55</f>
        <v>0.30159416349349244</v>
      </c>
      <c r="AH104" s="245"/>
      <c r="AI104" s="133"/>
      <c r="AJ104" s="211"/>
      <c r="AL104" s="108"/>
      <c r="AM104" s="2"/>
      <c r="AN104" s="2"/>
      <c r="AO104" s="2"/>
      <c r="BC104" s="1"/>
      <c r="BD104" s="2"/>
      <c r="BE104" s="2"/>
      <c r="BF104" s="2"/>
      <c r="BG104" s="2"/>
      <c r="BH104" s="2"/>
      <c r="BI104" s="2"/>
      <c r="BJ104" s="2"/>
      <c r="BK104" s="2"/>
    </row>
    <row r="105" spans="1:63" outlineLevel="1" x14ac:dyDescent="0.2">
      <c r="A105" s="4" t="s">
        <v>745</v>
      </c>
      <c r="C105" s="230">
        <f>C$102*'BTX recycling rates'!E56</f>
        <v>0</v>
      </c>
      <c r="D105" s="230">
        <f>D$102*'BTX recycling rates'!F56</f>
        <v>1.2607862074682382E-3</v>
      </c>
      <c r="E105" s="230">
        <f>E$102*'BTX recycling rates'!G56</f>
        <v>2.6439508192924472E-3</v>
      </c>
      <c r="F105" s="230">
        <f>F$102*'BTX recycling rates'!H56</f>
        <v>4.1525146455729089E-3</v>
      </c>
      <c r="G105" s="230">
        <f>G$102*'BTX recycling rates'!I56</f>
        <v>5.7754941712469844E-3</v>
      </c>
      <c r="H105" s="230">
        <f>H$102*'BTX recycling rates'!J56</f>
        <v>7.5030226971568043E-3</v>
      </c>
      <c r="I105" s="230">
        <f>I$102*'BTX recycling rates'!K56</f>
        <v>9.3435362298565586E-3</v>
      </c>
      <c r="J105" s="230">
        <f>J$102*'BTX recycling rates'!L56</f>
        <v>1.1296093378755123E-2</v>
      </c>
      <c r="K105" s="230">
        <f>K$102*'BTX recycling rates'!M56</f>
        <v>1.3359333868916195E-2</v>
      </c>
      <c r="L105" s="230">
        <f>L$102*'BTX recycling rates'!N56</f>
        <v>1.553146984448606E-2</v>
      </c>
      <c r="M105" s="230">
        <f>M$102*'BTX recycling rates'!O56</f>
        <v>1.781027867361264E-2</v>
      </c>
      <c r="N105" s="230">
        <f>N$102*'BTX recycling rates'!P56</f>
        <v>2.0494794720811657E-2</v>
      </c>
      <c r="O105" s="230">
        <f>O$102*'BTX recycling rates'!Q56</f>
        <v>2.3251365630548394E-2</v>
      </c>
      <c r="P105" s="230">
        <f>P$102*'BTX recycling rates'!R56</f>
        <v>2.6048328775092233E-2</v>
      </c>
      <c r="Q105" s="230">
        <f>Q$102*'BTX recycling rates'!S56</f>
        <v>2.8852307783107881E-2</v>
      </c>
      <c r="R105" s="230">
        <f>R$102*'BTX recycling rates'!T56</f>
        <v>3.1628663546947697E-2</v>
      </c>
      <c r="S105" s="230">
        <f>S$102*'BTX recycling rates'!U56</f>
        <v>3.4403851141557272E-2</v>
      </c>
      <c r="T105" s="230">
        <f>T$102*'BTX recycling rates'!V56</f>
        <v>3.7156819328671556E-2</v>
      </c>
      <c r="U105" s="230">
        <f>U$102*'BTX recycling rates'!W56</f>
        <v>3.9865849029222439E-2</v>
      </c>
      <c r="V105" s="230">
        <f>V$102*'BTX recycling rates'!X56</f>
        <v>4.2508563278438015E-2</v>
      </c>
      <c r="W105" s="230">
        <f>W$102*'BTX recycling rates'!Y56</f>
        <v>4.506193813399622E-2</v>
      </c>
      <c r="X105" s="230">
        <f>X$102*'BTX recycling rates'!Z56</f>
        <v>4.8498588289792935E-2</v>
      </c>
      <c r="Y105" s="230">
        <f>Y$102*'BTX recycling rates'!AA56</f>
        <v>5.1819205387152394E-2</v>
      </c>
      <c r="Z105" s="230">
        <f>Z$102*'BTX recycling rates'!AB56</f>
        <v>5.498648475855307E-2</v>
      </c>
      <c r="AA105" s="230">
        <f>AA$102*'BTX recycling rates'!AC56</f>
        <v>5.7962120004023628E-2</v>
      </c>
      <c r="AB105" s="230">
        <f>AB$102*'BTX recycling rates'!AD56</f>
        <v>6.0706821298538445E-2</v>
      </c>
      <c r="AC105" s="230">
        <f>AC$102*'BTX recycling rates'!AE56</f>
        <v>6.3180932380778626E-2</v>
      </c>
      <c r="AD105" s="230">
        <f>AD$102*'BTX recycling rates'!AF56</f>
        <v>6.5343319066315977E-2</v>
      </c>
      <c r="AE105" s="230">
        <f>AE$102*'BTX recycling rates'!AG56</f>
        <v>6.7151906824596541E-2</v>
      </c>
      <c r="AF105" s="230">
        <f>AF$102*'BTX recycling rates'!AH56</f>
        <v>6.8563700403119945E-2</v>
      </c>
      <c r="AG105" s="230">
        <f>AG$102*'BTX recycling rates'!AI56</f>
        <v>6.9534804665251471E-2</v>
      </c>
      <c r="AH105" s="245"/>
      <c r="AI105" s="133"/>
      <c r="AJ105" s="211"/>
      <c r="AL105" s="108"/>
      <c r="AM105" s="2"/>
      <c r="AN105" s="2"/>
      <c r="AO105" s="2"/>
      <c r="BC105" s="1"/>
      <c r="BD105" s="2"/>
      <c r="BE105" s="2"/>
      <c r="BF105" s="2"/>
      <c r="BG105" s="2"/>
      <c r="BH105" s="2"/>
      <c r="BI105" s="2"/>
      <c r="BJ105" s="2"/>
      <c r="BK105" s="2"/>
    </row>
    <row r="106" spans="1:63" outlineLevel="1" x14ac:dyDescent="0.2">
      <c r="A106" s="4" t="s">
        <v>1561</v>
      </c>
      <c r="C106" s="230">
        <f>C$102*'BTX recycling rates'!E57</f>
        <v>0</v>
      </c>
      <c r="D106" s="230">
        <f>D$102*'BTX recycling rates'!F57</f>
        <v>1.0875288809950993E-4</v>
      </c>
      <c r="E106" s="230">
        <f>E$102*'BTX recycling rates'!G57</f>
        <v>2.2806189176872223E-4</v>
      </c>
      <c r="F106" s="230">
        <f>F$102*'BTX recycling rates'!H57</f>
        <v>3.5818758002469927E-4</v>
      </c>
      <c r="G106" s="230">
        <f>G$102*'BTX recycling rates'!I57</f>
        <v>4.9818253689995126E-4</v>
      </c>
      <c r="H106" s="230">
        <f>H$102*'BTX recycling rates'!J57</f>
        <v>6.4719568072569764E-4</v>
      </c>
      <c r="I106" s="230">
        <f>I$102*'BTX recycling rates'!K57</f>
        <v>8.0595468449785185E-4</v>
      </c>
      <c r="J106" s="230">
        <f>J$102*'BTX recycling rates'!L57</f>
        <v>9.7437834575321428E-4</v>
      </c>
      <c r="K106" s="230">
        <f>K$102*'BTX recycling rates'!M57</f>
        <v>1.1523493299055911E-3</v>
      </c>
      <c r="L106" s="230">
        <f>L$102*'BTX recycling rates'!N57</f>
        <v>1.3397134200969253E-3</v>
      </c>
      <c r="M106" s="230">
        <f>M$102*'BTX recycling rates'!O57</f>
        <v>1.5362788965640535E-3</v>
      </c>
      <c r="N106" s="230">
        <f>N$102*'BTX recycling rates'!P57</f>
        <v>1.7678398634853449E-3</v>
      </c>
      <c r="O106" s="230">
        <f>O$102*'BTX recycling rates'!Q57</f>
        <v>2.0056161382488169E-3</v>
      </c>
      <c r="P106" s="230">
        <f>P$102*'BTX recycling rates'!R57</f>
        <v>2.2468765661272619E-3</v>
      </c>
      <c r="Q106" s="230">
        <f>Q$102*'BTX recycling rates'!S57</f>
        <v>2.4887421683092896E-3</v>
      </c>
      <c r="R106" s="230">
        <f>R$102*'BTX recycling rates'!T57</f>
        <v>2.7282250448832758E-3</v>
      </c>
      <c r="S106" s="230">
        <f>S$102*'BTX recycling rates'!U57</f>
        <v>2.9676071575237537E-3</v>
      </c>
      <c r="T106" s="230">
        <f>T$102*'BTX recycling rates'!V57</f>
        <v>3.2050726686637878E-3</v>
      </c>
      <c r="U106" s="230">
        <f>U$102*'BTX recycling rates'!W57</f>
        <v>3.4387481341289989E-3</v>
      </c>
      <c r="V106" s="230">
        <f>V$102*'BTX recycling rates'!X57</f>
        <v>3.6667033618444497E-3</v>
      </c>
      <c r="W106" s="230">
        <f>W$102*'BTX recycling rates'!Y57</f>
        <v>3.8869523527500865E-3</v>
      </c>
      <c r="X106" s="230">
        <f>X$102*'BTX recycling rates'!Z57</f>
        <v>4.1833908984897604E-3</v>
      </c>
      <c r="Y106" s="230">
        <f>Y$102*'BTX recycling rates'!AA57</f>
        <v>4.4698206654647851E-3</v>
      </c>
      <c r="Z106" s="230">
        <f>Z$102*'BTX recycling rates'!AB57</f>
        <v>4.7430238279180829E-3</v>
      </c>
      <c r="AA106" s="230">
        <f>AA$102*'BTX recycling rates'!AC57</f>
        <v>4.9996961526617449E-3</v>
      </c>
      <c r="AB106" s="230">
        <f>AB$102*'BTX recycling rates'!AD57</f>
        <v>5.2364485782362205E-3</v>
      </c>
      <c r="AC106" s="230">
        <f>AC$102*'BTX recycling rates'!AE57</f>
        <v>5.4498604351226722E-3</v>
      </c>
      <c r="AD106" s="230">
        <f>AD$102*'BTX recycling rates'!AF57</f>
        <v>5.6363835711207618E-3</v>
      </c>
      <c r="AE106" s="230">
        <f>AE$102*'BTX recycling rates'!AG57</f>
        <v>5.7923887216604387E-3</v>
      </c>
      <c r="AF106" s="230">
        <f>AF$102*'BTX recycling rates'!AH57</f>
        <v>5.9141672025442649E-3</v>
      </c>
      <c r="AG106" s="230">
        <f>AG$102*'BTX recycling rates'!AI57</f>
        <v>5.9979327073752748E-3</v>
      </c>
      <c r="AH106" s="245"/>
      <c r="AI106" s="133"/>
      <c r="AJ106" s="211"/>
      <c r="AL106" s="108"/>
      <c r="AM106" s="2"/>
      <c r="AN106" s="2"/>
      <c r="AO106" s="2"/>
      <c r="BC106" s="1"/>
      <c r="BD106" s="2"/>
      <c r="BE106" s="2"/>
      <c r="BF106" s="2"/>
      <c r="BG106" s="2"/>
      <c r="BH106" s="2"/>
      <c r="BI106" s="2"/>
      <c r="BJ106" s="2"/>
      <c r="BK106" s="2"/>
    </row>
    <row r="107" spans="1:63" s="1" customFormat="1" outlineLevel="1" x14ac:dyDescent="0.2">
      <c r="A107" s="1" t="s">
        <v>1568</v>
      </c>
      <c r="B107" s="65"/>
      <c r="C107" s="300">
        <f>C102-$C102</f>
        <v>0</v>
      </c>
      <c r="D107" s="300">
        <f t="shared" ref="D107:AG107" si="53">D102-$C102</f>
        <v>2.7714254543733108E-2</v>
      </c>
      <c r="E107" s="300">
        <f t="shared" si="53"/>
        <v>5.2385507781770535E-2</v>
      </c>
      <c r="F107" s="300">
        <f t="shared" si="53"/>
        <v>7.7462754061691896E-2</v>
      </c>
      <c r="G107" s="300">
        <f t="shared" si="53"/>
        <v>0.10153437074329164</v>
      </c>
      <c r="H107" s="300">
        <f t="shared" si="53"/>
        <v>0.1244080924822607</v>
      </c>
      <c r="I107" s="300">
        <f t="shared" si="53"/>
        <v>0.1472497610346577</v>
      </c>
      <c r="J107" s="300">
        <f t="shared" si="53"/>
        <v>0.17001888989466718</v>
      </c>
      <c r="K107" s="300">
        <f t="shared" si="53"/>
        <v>0.19267412423783481</v>
      </c>
      <c r="L107" s="300">
        <f t="shared" si="53"/>
        <v>0.21517333371755565</v>
      </c>
      <c r="M107" s="300">
        <f t="shared" si="53"/>
        <v>0.23747371012322649</v>
      </c>
      <c r="N107" s="300">
        <f t="shared" si="53"/>
        <v>0.27059034581138353</v>
      </c>
      <c r="O107" s="300">
        <f t="shared" si="53"/>
        <v>0.30060856272700831</v>
      </c>
      <c r="P107" s="300">
        <f t="shared" si="53"/>
        <v>0.32726136128740613</v>
      </c>
      <c r="Q107" s="300">
        <f t="shared" si="53"/>
        <v>0.35030867215540495</v>
      </c>
      <c r="R107" s="300">
        <f t="shared" si="53"/>
        <v>0.36954050245233472</v>
      </c>
      <c r="S107" s="300">
        <f t="shared" si="53"/>
        <v>0.38633891637565598</v>
      </c>
      <c r="T107" s="300">
        <f t="shared" si="53"/>
        <v>0.40063405922184636</v>
      </c>
      <c r="U107" s="300">
        <f t="shared" si="53"/>
        <v>0.41235664006217343</v>
      </c>
      <c r="V107" s="300">
        <f t="shared" si="53"/>
        <v>0.42143799463659704</v>
      </c>
      <c r="W107" s="300">
        <f t="shared" si="53"/>
        <v>0.42781014859289657</v>
      </c>
      <c r="X107" s="300">
        <f t="shared" si="53"/>
        <v>0.45053415629191162</v>
      </c>
      <c r="Y107" s="300">
        <f t="shared" si="53"/>
        <v>0.4690657956922818</v>
      </c>
      <c r="Z107" s="300">
        <f t="shared" si="53"/>
        <v>0.48329793657883791</v>
      </c>
      <c r="AA107" s="300">
        <f t="shared" si="53"/>
        <v>0.493124474826106</v>
      </c>
      <c r="AB107" s="300">
        <f t="shared" si="53"/>
        <v>0.49844042243925357</v>
      </c>
      <c r="AC107" s="300">
        <f t="shared" si="53"/>
        <v>0.49915126089505213</v>
      </c>
      <c r="AD107" s="300">
        <f t="shared" si="53"/>
        <v>0.49515440430452895</v>
      </c>
      <c r="AE107" s="300">
        <f t="shared" si="53"/>
        <v>0.4863483810494228</v>
      </c>
      <c r="AF107" s="300">
        <f t="shared" si="53"/>
        <v>0.47263291450772893</v>
      </c>
      <c r="AG107" s="300">
        <f t="shared" si="53"/>
        <v>0.45390900394520473</v>
      </c>
      <c r="AH107" s="245"/>
      <c r="AI107" s="423"/>
      <c r="AJ107" s="424"/>
      <c r="AL107" s="221"/>
      <c r="AM107" s="124"/>
      <c r="AN107" s="124"/>
      <c r="AO107" s="124"/>
      <c r="BD107" s="124"/>
      <c r="BE107" s="124"/>
      <c r="BF107" s="124"/>
      <c r="BG107" s="124"/>
      <c r="BH107" s="124"/>
      <c r="BI107" s="124"/>
      <c r="BJ107" s="124"/>
      <c r="BK107" s="124"/>
    </row>
    <row r="108" spans="1:63" outlineLevel="1" x14ac:dyDescent="0.2">
      <c r="A108" s="4" t="s">
        <v>474</v>
      </c>
      <c r="C108" s="230">
        <f>C103-$C103</f>
        <v>0</v>
      </c>
      <c r="D108" s="230">
        <f t="shared" ref="D108:AG108" si="54">D103-$C103</f>
        <v>2.083864986974604E-2</v>
      </c>
      <c r="E108" s="230">
        <f t="shared" si="54"/>
        <v>3.798695548040848E-2</v>
      </c>
      <c r="F108" s="230">
        <f t="shared" si="54"/>
        <v>5.4865614366233217E-2</v>
      </c>
      <c r="G108" s="230">
        <f t="shared" si="54"/>
        <v>7.0126991785115222E-2</v>
      </c>
      <c r="H108" s="230">
        <f t="shared" si="54"/>
        <v>8.3632543650147995E-2</v>
      </c>
      <c r="I108" s="230">
        <f t="shared" si="54"/>
        <v>9.6498679808124821E-2</v>
      </c>
      <c r="J108" s="230">
        <f t="shared" si="54"/>
        <v>0.10869011673960044</v>
      </c>
      <c r="K108" s="230">
        <f t="shared" si="54"/>
        <v>0.12017295781271747</v>
      </c>
      <c r="L108" s="230">
        <f t="shared" si="54"/>
        <v>0.13091483251328812</v>
      </c>
      <c r="M108" s="230">
        <f t="shared" si="54"/>
        <v>0.14088503244663714</v>
      </c>
      <c r="N108" s="230">
        <f t="shared" si="54"/>
        <v>0.15945236283377923</v>
      </c>
      <c r="O108" s="230">
        <f t="shared" si="54"/>
        <v>0.17454469446676196</v>
      </c>
      <c r="P108" s="230">
        <f t="shared" si="54"/>
        <v>0.1860661981036284</v>
      </c>
      <c r="Q108" s="230">
        <f t="shared" si="54"/>
        <v>0.19395709472391925</v>
      </c>
      <c r="R108" s="230">
        <f t="shared" si="54"/>
        <v>0.19819436586152722</v>
      </c>
      <c r="S108" s="230">
        <f t="shared" si="54"/>
        <v>0.20001300682811857</v>
      </c>
      <c r="T108" s="230">
        <f t="shared" si="54"/>
        <v>0.19945659105050967</v>
      </c>
      <c r="U108" s="230">
        <f t="shared" si="54"/>
        <v>0.19657284446888784</v>
      </c>
      <c r="V108" s="230">
        <f t="shared" si="54"/>
        <v>0.19141365468635113</v>
      </c>
      <c r="W108" s="230">
        <f t="shared" si="54"/>
        <v>0.1840350753382814</v>
      </c>
      <c r="X108" s="230">
        <f t="shared" si="54"/>
        <v>0.18820218266894789</v>
      </c>
      <c r="Y108" s="230">
        <f t="shared" si="54"/>
        <v>0.18881543782339499</v>
      </c>
      <c r="Z108" s="230">
        <f t="shared" si="54"/>
        <v>0.18596865710123583</v>
      </c>
      <c r="AA108" s="230">
        <f t="shared" si="54"/>
        <v>0.17976206521440502</v>
      </c>
      <c r="AB108" s="230">
        <f t="shared" si="54"/>
        <v>0.17030228658194863</v>
      </c>
      <c r="AC108" s="230">
        <f t="shared" si="54"/>
        <v>0.157708348680281</v>
      </c>
      <c r="AD108" s="230">
        <f t="shared" si="54"/>
        <v>0.14209918601075161</v>
      </c>
      <c r="AE108" s="230">
        <f t="shared" si="54"/>
        <v>0.12359989931046594</v>
      </c>
      <c r="AF108" s="230">
        <f t="shared" si="54"/>
        <v>0.10234173048442069</v>
      </c>
      <c r="AG108" s="230">
        <f t="shared" si="54"/>
        <v>7.8462031177807756E-2</v>
      </c>
      <c r="AH108" s="245"/>
      <c r="AI108" s="133"/>
      <c r="AJ108" s="211"/>
      <c r="AL108" s="108"/>
      <c r="AM108" s="2"/>
      <c r="AN108" s="2"/>
      <c r="AO108" s="2"/>
      <c r="BC108" s="1"/>
      <c r="BD108" s="2"/>
      <c r="BE108" s="2"/>
      <c r="BF108" s="2"/>
      <c r="BG108" s="2"/>
      <c r="BH108" s="2"/>
      <c r="BI108" s="2"/>
      <c r="BJ108" s="2"/>
      <c r="BK108" s="2"/>
    </row>
    <row r="109" spans="1:63" outlineLevel="1" x14ac:dyDescent="0.2">
      <c r="A109" s="4" t="s">
        <v>478</v>
      </c>
      <c r="C109" s="230">
        <f t="shared" ref="C109:AG109" si="55">C104-$C104</f>
        <v>0</v>
      </c>
      <c r="D109" s="230">
        <f t="shared" si="55"/>
        <v>5.5060655784193186E-3</v>
      </c>
      <c r="E109" s="230">
        <f t="shared" si="55"/>
        <v>1.1526539590300894E-2</v>
      </c>
      <c r="F109" s="230">
        <f t="shared" si="55"/>
        <v>1.8086437469861123E-2</v>
      </c>
      <c r="G109" s="230">
        <f t="shared" si="55"/>
        <v>2.5133702250029581E-2</v>
      </c>
      <c r="H109" s="230">
        <f t="shared" si="55"/>
        <v>3.2625330454230272E-2</v>
      </c>
      <c r="I109" s="230">
        <f t="shared" si="55"/>
        <v>4.0601590312178575E-2</v>
      </c>
      <c r="J109" s="230">
        <f t="shared" si="55"/>
        <v>4.9058301430558532E-2</v>
      </c>
      <c r="K109" s="230">
        <f t="shared" si="55"/>
        <v>5.7989483226295713E-2</v>
      </c>
      <c r="L109" s="230">
        <f t="shared" si="55"/>
        <v>6.7387317939684832E-2</v>
      </c>
      <c r="M109" s="230">
        <f t="shared" si="55"/>
        <v>7.7242120106412945E-2</v>
      </c>
      <c r="N109" s="230">
        <f t="shared" si="55"/>
        <v>8.8875348393307685E-2</v>
      </c>
      <c r="O109" s="230">
        <f t="shared" si="55"/>
        <v>0.10080688649144957</v>
      </c>
      <c r="P109" s="230">
        <f t="shared" si="55"/>
        <v>0.11289995784255863</v>
      </c>
      <c r="Q109" s="230">
        <f t="shared" si="55"/>
        <v>0.12501052748006899</v>
      </c>
      <c r="R109" s="230">
        <f t="shared" si="55"/>
        <v>0.1369892479989771</v>
      </c>
      <c r="S109" s="230">
        <f t="shared" si="55"/>
        <v>0.14895445124845702</v>
      </c>
      <c r="T109" s="230">
        <f t="shared" si="55"/>
        <v>0.16081557617400194</v>
      </c>
      <c r="U109" s="230">
        <f t="shared" si="55"/>
        <v>0.17247919842993487</v>
      </c>
      <c r="V109" s="230">
        <f t="shared" si="55"/>
        <v>0.18384907330996417</v>
      </c>
      <c r="W109" s="230">
        <f t="shared" si="55"/>
        <v>0.19482618276786967</v>
      </c>
      <c r="X109" s="230">
        <f t="shared" si="55"/>
        <v>0.20964999443468188</v>
      </c>
      <c r="Y109" s="230">
        <f t="shared" si="55"/>
        <v>0.22396133181627048</v>
      </c>
      <c r="Z109" s="230">
        <f t="shared" si="55"/>
        <v>0.23759977089113188</v>
      </c>
      <c r="AA109" s="230">
        <f t="shared" si="55"/>
        <v>0.25040059345501658</v>
      </c>
      <c r="AB109" s="230">
        <f t="shared" si="55"/>
        <v>0.26219486598053138</v>
      </c>
      <c r="AC109" s="230">
        <f t="shared" si="55"/>
        <v>0.27281211939887096</v>
      </c>
      <c r="AD109" s="230">
        <f t="shared" si="55"/>
        <v>0.28207551565634176</v>
      </c>
      <c r="AE109" s="230">
        <f t="shared" si="55"/>
        <v>0.28980418619270115</v>
      </c>
      <c r="AF109" s="230">
        <f t="shared" si="55"/>
        <v>0.2958133164176453</v>
      </c>
      <c r="AG109" s="230">
        <f t="shared" si="55"/>
        <v>0.2999142353947703</v>
      </c>
      <c r="AH109" s="245"/>
      <c r="AI109" s="133"/>
      <c r="AJ109" s="211"/>
      <c r="AL109" s="108"/>
      <c r="AM109" s="2"/>
      <c r="AN109" s="2"/>
      <c r="AO109" s="2"/>
      <c r="BC109" s="1"/>
      <c r="BD109" s="2"/>
      <c r="BE109" s="2"/>
      <c r="BF109" s="2"/>
      <c r="BG109" s="2"/>
      <c r="BH109" s="2"/>
      <c r="BI109" s="2"/>
      <c r="BJ109" s="2"/>
      <c r="BK109" s="2"/>
    </row>
    <row r="110" spans="1:63" outlineLevel="1" x14ac:dyDescent="0.2">
      <c r="A110" s="4" t="s">
        <v>745</v>
      </c>
      <c r="C110" s="230">
        <f t="shared" ref="C110:AG110" si="56">C105-$C105</f>
        <v>0</v>
      </c>
      <c r="D110" s="230">
        <f t="shared" si="56"/>
        <v>1.2607862074682382E-3</v>
      </c>
      <c r="E110" s="230">
        <f t="shared" si="56"/>
        <v>2.6439508192924472E-3</v>
      </c>
      <c r="F110" s="230">
        <f t="shared" si="56"/>
        <v>4.1525146455729089E-3</v>
      </c>
      <c r="G110" s="230">
        <f t="shared" si="56"/>
        <v>5.7754941712469844E-3</v>
      </c>
      <c r="H110" s="230">
        <f t="shared" si="56"/>
        <v>7.5030226971568043E-3</v>
      </c>
      <c r="I110" s="230">
        <f t="shared" si="56"/>
        <v>9.3435362298565586E-3</v>
      </c>
      <c r="J110" s="230">
        <f t="shared" si="56"/>
        <v>1.1296093378755123E-2</v>
      </c>
      <c r="K110" s="230">
        <f t="shared" si="56"/>
        <v>1.3359333868916195E-2</v>
      </c>
      <c r="L110" s="230">
        <f t="shared" si="56"/>
        <v>1.553146984448606E-2</v>
      </c>
      <c r="M110" s="230">
        <f t="shared" si="56"/>
        <v>1.781027867361264E-2</v>
      </c>
      <c r="N110" s="230">
        <f t="shared" si="56"/>
        <v>2.0494794720811657E-2</v>
      </c>
      <c r="O110" s="230">
        <f t="shared" si="56"/>
        <v>2.3251365630548394E-2</v>
      </c>
      <c r="P110" s="230">
        <f t="shared" si="56"/>
        <v>2.6048328775092233E-2</v>
      </c>
      <c r="Q110" s="230">
        <f t="shared" si="56"/>
        <v>2.8852307783107881E-2</v>
      </c>
      <c r="R110" s="230">
        <f t="shared" si="56"/>
        <v>3.1628663546947697E-2</v>
      </c>
      <c r="S110" s="230">
        <f t="shared" si="56"/>
        <v>3.4403851141557272E-2</v>
      </c>
      <c r="T110" s="230">
        <f t="shared" si="56"/>
        <v>3.7156819328671556E-2</v>
      </c>
      <c r="U110" s="230">
        <f t="shared" si="56"/>
        <v>3.9865849029222439E-2</v>
      </c>
      <c r="V110" s="230">
        <f t="shared" si="56"/>
        <v>4.2508563278438015E-2</v>
      </c>
      <c r="W110" s="230">
        <f t="shared" si="56"/>
        <v>4.506193813399622E-2</v>
      </c>
      <c r="X110" s="230">
        <f t="shared" si="56"/>
        <v>4.8498588289792935E-2</v>
      </c>
      <c r="Y110" s="230">
        <f t="shared" si="56"/>
        <v>5.1819205387152394E-2</v>
      </c>
      <c r="Z110" s="230">
        <f t="shared" si="56"/>
        <v>5.498648475855307E-2</v>
      </c>
      <c r="AA110" s="230">
        <f t="shared" si="56"/>
        <v>5.7962120004023628E-2</v>
      </c>
      <c r="AB110" s="230">
        <f t="shared" si="56"/>
        <v>6.0706821298538445E-2</v>
      </c>
      <c r="AC110" s="230">
        <f t="shared" si="56"/>
        <v>6.3180932380778626E-2</v>
      </c>
      <c r="AD110" s="230">
        <f t="shared" si="56"/>
        <v>6.5343319066315977E-2</v>
      </c>
      <c r="AE110" s="230">
        <f t="shared" si="56"/>
        <v>6.7151906824596541E-2</v>
      </c>
      <c r="AF110" s="230">
        <f t="shared" si="56"/>
        <v>6.8563700403119945E-2</v>
      </c>
      <c r="AG110" s="230">
        <f t="shared" si="56"/>
        <v>6.9534804665251471E-2</v>
      </c>
      <c r="AH110" s="245"/>
      <c r="AI110" s="133"/>
      <c r="AJ110" s="211"/>
      <c r="AL110" s="108"/>
      <c r="AM110" s="2"/>
      <c r="AN110" s="2"/>
      <c r="AO110" s="2"/>
      <c r="BC110" s="1"/>
      <c r="BD110" s="2"/>
      <c r="BE110" s="2"/>
      <c r="BF110" s="2"/>
      <c r="BG110" s="2"/>
      <c r="BH110" s="2"/>
      <c r="BI110" s="2"/>
      <c r="BJ110" s="2"/>
      <c r="BK110" s="2"/>
    </row>
    <row r="111" spans="1:63" outlineLevel="1" x14ac:dyDescent="0.2">
      <c r="A111" s="4" t="s">
        <v>1561</v>
      </c>
      <c r="C111" s="230">
        <f t="shared" ref="C111:AG111" si="57">C106-$C106</f>
        <v>0</v>
      </c>
      <c r="D111" s="230">
        <f t="shared" si="57"/>
        <v>1.0875288809950993E-4</v>
      </c>
      <c r="E111" s="230">
        <f t="shared" si="57"/>
        <v>2.2806189176872223E-4</v>
      </c>
      <c r="F111" s="230">
        <f t="shared" si="57"/>
        <v>3.5818758002469927E-4</v>
      </c>
      <c r="G111" s="230">
        <f t="shared" si="57"/>
        <v>4.9818253689995126E-4</v>
      </c>
      <c r="H111" s="230">
        <f t="shared" si="57"/>
        <v>6.4719568072569764E-4</v>
      </c>
      <c r="I111" s="230">
        <f t="shared" si="57"/>
        <v>8.0595468449785185E-4</v>
      </c>
      <c r="J111" s="230">
        <f t="shared" si="57"/>
        <v>9.7437834575321428E-4</v>
      </c>
      <c r="K111" s="230">
        <f t="shared" si="57"/>
        <v>1.1523493299055911E-3</v>
      </c>
      <c r="L111" s="230">
        <f t="shared" si="57"/>
        <v>1.3397134200969253E-3</v>
      </c>
      <c r="M111" s="230">
        <f t="shared" si="57"/>
        <v>1.5362788965640535E-3</v>
      </c>
      <c r="N111" s="230">
        <f t="shared" si="57"/>
        <v>1.7678398634853449E-3</v>
      </c>
      <c r="O111" s="230">
        <f t="shared" si="57"/>
        <v>2.0056161382488169E-3</v>
      </c>
      <c r="P111" s="230">
        <f t="shared" si="57"/>
        <v>2.2468765661272619E-3</v>
      </c>
      <c r="Q111" s="230">
        <f t="shared" si="57"/>
        <v>2.4887421683092896E-3</v>
      </c>
      <c r="R111" s="230">
        <f t="shared" si="57"/>
        <v>2.7282250448832758E-3</v>
      </c>
      <c r="S111" s="230">
        <f t="shared" si="57"/>
        <v>2.9676071575237537E-3</v>
      </c>
      <c r="T111" s="230">
        <f t="shared" si="57"/>
        <v>3.2050726686637878E-3</v>
      </c>
      <c r="U111" s="230">
        <f t="shared" si="57"/>
        <v>3.4387481341289989E-3</v>
      </c>
      <c r="V111" s="230">
        <f t="shared" si="57"/>
        <v>3.6667033618444497E-3</v>
      </c>
      <c r="W111" s="230">
        <f t="shared" si="57"/>
        <v>3.8869523527500865E-3</v>
      </c>
      <c r="X111" s="230">
        <f t="shared" si="57"/>
        <v>4.1833908984897604E-3</v>
      </c>
      <c r="Y111" s="230">
        <f t="shared" si="57"/>
        <v>4.4698206654647851E-3</v>
      </c>
      <c r="Z111" s="230">
        <f t="shared" si="57"/>
        <v>4.7430238279180829E-3</v>
      </c>
      <c r="AA111" s="230">
        <f t="shared" si="57"/>
        <v>4.9996961526617449E-3</v>
      </c>
      <c r="AB111" s="230">
        <f t="shared" si="57"/>
        <v>5.2364485782362205E-3</v>
      </c>
      <c r="AC111" s="230">
        <f t="shared" si="57"/>
        <v>5.4498604351226722E-3</v>
      </c>
      <c r="AD111" s="230">
        <f t="shared" si="57"/>
        <v>5.6363835711207618E-3</v>
      </c>
      <c r="AE111" s="230">
        <f t="shared" si="57"/>
        <v>5.7923887216604387E-3</v>
      </c>
      <c r="AF111" s="230">
        <f t="shared" si="57"/>
        <v>5.9141672025442649E-3</v>
      </c>
      <c r="AG111" s="230">
        <f t="shared" si="57"/>
        <v>5.9979327073752748E-3</v>
      </c>
      <c r="AH111" s="245"/>
      <c r="AI111" s="133"/>
      <c r="AJ111" s="211"/>
      <c r="AL111" s="108"/>
      <c r="AM111" s="2"/>
      <c r="AN111" s="2"/>
      <c r="AO111" s="2"/>
      <c r="BC111" s="1"/>
      <c r="BD111" s="2"/>
      <c r="BE111" s="2"/>
      <c r="BF111" s="2"/>
      <c r="BG111" s="2"/>
      <c r="BH111" s="2"/>
      <c r="BI111" s="2"/>
      <c r="BJ111" s="2"/>
      <c r="BK111" s="2"/>
    </row>
    <row r="112" spans="1:63" s="1" customFormat="1" outlineLevel="1" x14ac:dyDescent="0.2">
      <c r="A112" s="1" t="s">
        <v>1569</v>
      </c>
      <c r="B112" s="65"/>
      <c r="C112" s="300">
        <f>C42*C70</f>
        <v>2.225250593552321</v>
      </c>
      <c r="D112" s="300">
        <f t="shared" ref="D112:AG112" si="58">D42*D70</f>
        <v>2.3615497964169903</v>
      </c>
      <c r="E112" s="300">
        <f t="shared" si="58"/>
        <v>2.4845354848147672</v>
      </c>
      <c r="F112" s="300">
        <f t="shared" si="58"/>
        <v>2.6101951629678064</v>
      </c>
      <c r="G112" s="300">
        <f t="shared" si="58"/>
        <v>2.7319236407438288</v>
      </c>
      <c r="H112" s="300">
        <f t="shared" si="58"/>
        <v>2.8487682588376622</v>
      </c>
      <c r="I112" s="300">
        <f t="shared" si="58"/>
        <v>2.9661801393498695</v>
      </c>
      <c r="J112" s="300">
        <f t="shared" si="58"/>
        <v>3.0839658724096157</v>
      </c>
      <c r="K112" s="300">
        <f t="shared" si="58"/>
        <v>3.2019253746727281</v>
      </c>
      <c r="L112" s="300">
        <f t="shared" si="58"/>
        <v>3.3198522638712777</v>
      </c>
      <c r="M112" s="300">
        <f t="shared" si="58"/>
        <v>3.4375342653826593</v>
      </c>
      <c r="N112" s="300">
        <f t="shared" si="58"/>
        <v>3.6078638726653023</v>
      </c>
      <c r="O112" s="300">
        <f t="shared" si="58"/>
        <v>3.7643046332333161</v>
      </c>
      <c r="P112" s="300">
        <f t="shared" si="58"/>
        <v>3.905419819789588</v>
      </c>
      <c r="Q112" s="300">
        <f t="shared" si="58"/>
        <v>4.029886533260246</v>
      </c>
      <c r="R112" s="300">
        <f t="shared" si="58"/>
        <v>4.1365131260774604</v>
      </c>
      <c r="S112" s="300">
        <f t="shared" si="58"/>
        <v>4.2318659360652164</v>
      </c>
      <c r="T112" s="300">
        <f t="shared" si="58"/>
        <v>4.3154882037895685</v>
      </c>
      <c r="U112" s="300">
        <f t="shared" si="58"/>
        <v>4.3869215498108671</v>
      </c>
      <c r="V112" s="300">
        <f t="shared" si="58"/>
        <v>4.445706328931001</v>
      </c>
      <c r="W112" s="300">
        <f t="shared" si="58"/>
        <v>4.4913819920757803</v>
      </c>
      <c r="X112" s="300">
        <f t="shared" si="58"/>
        <v>4.6183592918550609</v>
      </c>
      <c r="Y112" s="300">
        <f t="shared" si="58"/>
        <v>4.7251915313352733</v>
      </c>
      <c r="Z112" s="300">
        <f t="shared" si="58"/>
        <v>4.8111464188847899</v>
      </c>
      <c r="AA112" s="300">
        <f t="shared" si="58"/>
        <v>4.8754900684001452</v>
      </c>
      <c r="AB112" s="300">
        <f t="shared" si="58"/>
        <v>4.9174875321450795</v>
      </c>
      <c r="AC112" s="300">
        <f t="shared" si="58"/>
        <v>4.9364500135350173</v>
      </c>
      <c r="AD112" s="300">
        <f t="shared" si="58"/>
        <v>4.9316420037999933</v>
      </c>
      <c r="AE112" s="300">
        <f t="shared" si="58"/>
        <v>4.9023271967945252</v>
      </c>
      <c r="AF112" s="300">
        <f t="shared" si="58"/>
        <v>4.8477689870483589</v>
      </c>
      <c r="AG112" s="300">
        <f t="shared" si="58"/>
        <v>4.7672309762728942</v>
      </c>
      <c r="AH112" s="245"/>
      <c r="AI112" s="423"/>
      <c r="AJ112" s="424"/>
      <c r="AL112" s="221"/>
      <c r="AM112" s="124"/>
      <c r="AN112" s="124"/>
      <c r="AO112" s="124"/>
      <c r="BD112" s="124"/>
      <c r="BE112" s="124"/>
      <c r="BF112" s="124"/>
      <c r="BG112" s="124"/>
      <c r="BH112" s="124"/>
      <c r="BI112" s="124"/>
      <c r="BJ112" s="124"/>
      <c r="BK112" s="124"/>
    </row>
    <row r="113" spans="1:63" outlineLevel="1" x14ac:dyDescent="0.2">
      <c r="A113" s="4" t="s">
        <v>474</v>
      </c>
      <c r="C113" s="230">
        <f>C$112*'BTX recycling rates'!E50</f>
        <v>2.2174727572711728</v>
      </c>
      <c r="D113" s="230">
        <f>D$112*'BTX recycling rates'!F50</f>
        <v>2.2748523732765253</v>
      </c>
      <c r="E113" s="230">
        <f>E$112*'BTX recycling rates'!G50</f>
        <v>2.3107946209801487</v>
      </c>
      <c r="F113" s="230">
        <f>F$112*'BTX recycling rates'!H50</f>
        <v>2.3409646597249218</v>
      </c>
      <c r="G113" s="230">
        <f>G$112*'BTX recycling rates'!I50</f>
        <v>2.3593915356774562</v>
      </c>
      <c r="H113" s="230">
        <f>H$112*'BTX recycling rates'!J50</f>
        <v>2.3656758868922787</v>
      </c>
      <c r="I113" s="230">
        <f>I$112*'BTX recycling rates'!K50</f>
        <v>2.3646500474958732</v>
      </c>
      <c r="J113" s="230">
        <f>J$112*'BTX recycling rates'!L50</f>
        <v>2.3561097268993305</v>
      </c>
      <c r="K113" s="230">
        <f>K$112*'BTX recycling rates'!M50</f>
        <v>2.3398714555856861</v>
      </c>
      <c r="L113" s="230">
        <f>L$112*'BTX recycling rates'!N50</f>
        <v>2.3157739547361884</v>
      </c>
      <c r="M113" s="230">
        <f>M$112*'BTX recycling rates'!O50</f>
        <v>2.2836794524802033</v>
      </c>
      <c r="N113" s="230">
        <f>N$112*'BTX recycling rates'!P50</f>
        <v>2.2769938448344513</v>
      </c>
      <c r="O113" s="230">
        <f>O$112*'BTX recycling rates'!Q50</f>
        <v>2.2506884388978179</v>
      </c>
      <c r="P113" s="230">
        <f>P$112*'BTX recycling rates'!R50</f>
        <v>2.2053359650086755</v>
      </c>
      <c r="Q113" s="230">
        <f>Q$112*'BTX recycling rates'!S50</f>
        <v>2.1417605437736387</v>
      </c>
      <c r="R113" s="230">
        <f>R$112*'BTX recycling rates'!T50</f>
        <v>2.0610274621988784</v>
      </c>
      <c r="S113" s="230">
        <f>S$112*'BTX recycling rates'!U50</f>
        <v>1.9679680772395327</v>
      </c>
      <c r="T113" s="230">
        <f>T$112*'BTX recycling rates'!V50</f>
        <v>1.8635085894210328</v>
      </c>
      <c r="U113" s="230">
        <f>U$112*'BTX recycling rates'!W50</f>
        <v>1.7486352419234068</v>
      </c>
      <c r="V113" s="230">
        <f>V$112*'BTX recycling rates'!X50</f>
        <v>1.6243947190751602</v>
      </c>
      <c r="W113" s="230">
        <f>W$112*'BTX recycling rates'!Y50</f>
        <v>1.4918944767814954</v>
      </c>
      <c r="X113" s="230">
        <f>X$112*'BTX recycling rates'!Z50</f>
        <v>1.3806650733161083</v>
      </c>
      <c r="Y113" s="230">
        <f>Y$112*'BTX recycling rates'!AA50</f>
        <v>1.2556468649999157</v>
      </c>
      <c r="Z113" s="230">
        <f>Z$112*'BTX recycling rates'!AB50</f>
        <v>1.1186770458156401</v>
      </c>
      <c r="AA113" s="230">
        <f>AA$112*'BTX recycling rates'!AC50</f>
        <v>0.97168978957688423</v>
      </c>
      <c r="AB113" s="230">
        <f>AB$112*'BTX recycling rates'!AD50</f>
        <v>0.81671660324069306</v>
      </c>
      <c r="AC113" s="230">
        <f>AC$112*'BTX recycling rates'!AE50</f>
        <v>0.65589277626302178</v>
      </c>
      <c r="AD113" s="230">
        <f>AD$112*'BTX recycling rates'!AF50</f>
        <v>0.49144046174966288</v>
      </c>
      <c r="AE113" s="230">
        <f>AE$112*'BTX recycling rates'!AG50</f>
        <v>0.3256794848969512</v>
      </c>
      <c r="AF113" s="230">
        <f>AF$112*'BTX recycling rates'!AH50</f>
        <v>0.16102749196684082</v>
      </c>
      <c r="AG113" s="230">
        <f>AG$112*'BTX recycling rates'!AI50</f>
        <v>0</v>
      </c>
      <c r="AH113" s="245"/>
      <c r="AI113" s="133"/>
      <c r="AJ113" s="211"/>
      <c r="AL113" s="108"/>
      <c r="AM113" s="2"/>
      <c r="AN113" s="2"/>
      <c r="AO113" s="2"/>
      <c r="BC113" s="1"/>
      <c r="BD113" s="2"/>
      <c r="BE113" s="2"/>
      <c r="BF113" s="2"/>
      <c r="BG113" s="2"/>
      <c r="BH113" s="2"/>
      <c r="BI113" s="2"/>
      <c r="BJ113" s="2"/>
      <c r="BK113" s="2"/>
    </row>
    <row r="114" spans="1:63" outlineLevel="1" x14ac:dyDescent="0.2">
      <c r="A114" s="4" t="s">
        <v>478</v>
      </c>
      <c r="C114" s="230">
        <f>C$112*'BTX recycling rates'!E51</f>
        <v>7.7778362811482538E-3</v>
      </c>
      <c r="D114" s="230">
        <f>D$112*'BTX recycling rates'!F51</f>
        <v>7.9790965932316337E-3</v>
      </c>
      <c r="E114" s="230">
        <f>E$112*'BTX recycling rates'!G51</f>
        <v>8.1051648469671507E-3</v>
      </c>
      <c r="F114" s="230">
        <f>F$112*'BTX recycling rates'!H51</f>
        <v>8.210986946103789E-3</v>
      </c>
      <c r="G114" s="230">
        <f>G$112*'BTX recycling rates'!I51</f>
        <v>8.2756196338614561E-3</v>
      </c>
      <c r="H114" s="230">
        <f>H$112*'BTX recycling rates'!J51</f>
        <v>8.2976621391061527E-3</v>
      </c>
      <c r="I114" s="230">
        <f>I$112*'BTX recycling rates'!K51</f>
        <v>8.2940639840217989E-3</v>
      </c>
      <c r="J114" s="230">
        <f>J$112*'BTX recycling rates'!L51</f>
        <v>8.2641086147075132E-3</v>
      </c>
      <c r="K114" s="230">
        <f>K$112*'BTX recycling rates'!M51</f>
        <v>8.2071525076472321E-3</v>
      </c>
      <c r="L114" s="230">
        <f>L$112*'BTX recycling rates'!N51</f>
        <v>8.1226299737050933E-3</v>
      </c>
      <c r="M114" s="230">
        <f>M$112*'BTX recycling rates'!O51</f>
        <v>8.0100577749019908E-3</v>
      </c>
      <c r="N114" s="230">
        <f>N$112*'BTX recycling rates'!P51</f>
        <v>7.986607853572341E-3</v>
      </c>
      <c r="O114" s="230">
        <f>O$112*'BTX recycling rates'!Q51</f>
        <v>7.8943410421703115E-3</v>
      </c>
      <c r="P114" s="230">
        <f>P$112*'BTX recycling rates'!R51</f>
        <v>7.7352662054228742E-3</v>
      </c>
      <c r="Q114" s="230">
        <f>Q$112*'BTX recycling rates'!S51</f>
        <v>7.5122739651575822E-3</v>
      </c>
      <c r="R114" s="230">
        <f>R$112*'BTX recycling rates'!T51</f>
        <v>7.2291008398499236E-3</v>
      </c>
      <c r="S114" s="230">
        <f>S$112*'BTX recycling rates'!U51</f>
        <v>6.9026929242330245E-3</v>
      </c>
      <c r="T114" s="230">
        <f>T$112*'BTX recycling rates'!V51</f>
        <v>6.5362988877783355E-3</v>
      </c>
      <c r="U114" s="230">
        <f>U$112*'BTX recycling rates'!W51</f>
        <v>6.1333780009379998E-3</v>
      </c>
      <c r="V114" s="230">
        <f>V$112*'BTX recycling rates'!X51</f>
        <v>5.6976015328712272E-3</v>
      </c>
      <c r="W114" s="230">
        <f>W$112*'BTX recycling rates'!Y51</f>
        <v>5.2328539104288148E-3</v>
      </c>
      <c r="X114" s="230">
        <f>X$112*'BTX recycling rates'!Z51</f>
        <v>4.8427142404072598E-3</v>
      </c>
      <c r="Y114" s="230">
        <f>Y$112*'BTX recycling rates'!AA51</f>
        <v>4.4042100228210935E-3</v>
      </c>
      <c r="Z114" s="230">
        <f>Z$112*'BTX recycling rates'!AB51</f>
        <v>3.9237852574748123E-3</v>
      </c>
      <c r="AA114" s="230">
        <f>AA$112*'BTX recycling rates'!AC51</f>
        <v>3.4082241031420271E-3</v>
      </c>
      <c r="AB114" s="230">
        <f>AB$112*'BTX recycling rates'!AD51</f>
        <v>2.864652116817338E-3</v>
      </c>
      <c r="AC114" s="230">
        <f>AC$112*'BTX recycling rates'!AE51</f>
        <v>2.3005588749777607E-3</v>
      </c>
      <c r="AD114" s="230">
        <f>AD$112*'BTX recycling rates'!AF51</f>
        <v>1.723738630333651E-3</v>
      </c>
      <c r="AE114" s="230">
        <f>AE$112*'BTX recycling rates'!AG51</f>
        <v>1.1423282226810376E-3</v>
      </c>
      <c r="AF114" s="230">
        <f>AF$112*'BTX recycling rates'!AH51</f>
        <v>5.6480760143510513E-4</v>
      </c>
      <c r="AG114" s="230">
        <f>AG$112*'BTX recycling rates'!AI51</f>
        <v>0</v>
      </c>
      <c r="AH114" s="245"/>
      <c r="AI114" s="133"/>
      <c r="AJ114" s="211"/>
      <c r="AL114" s="108"/>
      <c r="AM114" s="2"/>
      <c r="AN114" s="2"/>
      <c r="AO114" s="2"/>
      <c r="BC114" s="1"/>
      <c r="BD114" s="2"/>
      <c r="BE114" s="2"/>
      <c r="BF114" s="2"/>
      <c r="BG114" s="2"/>
      <c r="BH114" s="2"/>
      <c r="BI114" s="2"/>
      <c r="BJ114" s="2"/>
      <c r="BK114" s="2"/>
    </row>
    <row r="115" spans="1:63" outlineLevel="1" x14ac:dyDescent="0.2">
      <c r="A115" s="4" t="s">
        <v>745</v>
      </c>
      <c r="C115" s="230">
        <f>C$112*'BTX recycling rates'!E52</f>
        <v>0</v>
      </c>
      <c r="D115" s="230">
        <f>D$112*'BTX recycling rates'!F52</f>
        <v>3.9359163273616507E-2</v>
      </c>
      <c r="E115" s="230">
        <f>E$112*'BTX recycling rates'!G52</f>
        <v>8.2817849493825577E-2</v>
      </c>
      <c r="F115" s="230">
        <f>F$112*'BTX recycling rates'!H52</f>
        <v>0.13050975814839033</v>
      </c>
      <c r="G115" s="230">
        <f>G$112*'BTX recycling rates'!I52</f>
        <v>0.18212824271625525</v>
      </c>
      <c r="H115" s="230">
        <f>H$112*'BTX recycling rates'!J52</f>
        <v>0.23739735490313851</v>
      </c>
      <c r="I115" s="230">
        <f>I$112*'BTX recycling rates'!K52</f>
        <v>0.29661801393498693</v>
      </c>
      <c r="J115" s="230">
        <f>J$112*'BTX recycling rates'!L52</f>
        <v>0.35979601844778847</v>
      </c>
      <c r="K115" s="230">
        <f>K$112*'BTX recycling rates'!M52</f>
        <v>0.42692338328969709</v>
      </c>
      <c r="L115" s="230">
        <f>L$112*'BTX recycling rates'!N52</f>
        <v>0.49797783958069164</v>
      </c>
      <c r="M115" s="230">
        <f>M$112*'BTX recycling rates'!O52</f>
        <v>0.57292237756377651</v>
      </c>
      <c r="N115" s="230">
        <f>N$112*'BTX recycling rates'!P52</f>
        <v>0.66144170998863872</v>
      </c>
      <c r="O115" s="230">
        <f>O$112*'BTX recycling rates'!Q52</f>
        <v>0.75286092664666315</v>
      </c>
      <c r="P115" s="230">
        <f>P$112*'BTX recycling rates'!R52</f>
        <v>0.84617429428774393</v>
      </c>
      <c r="Q115" s="230">
        <f>Q$112*'BTX recycling rates'!S52</f>
        <v>0.94030685776072398</v>
      </c>
      <c r="R115" s="230">
        <f>R$112*'BTX recycling rates'!T52</f>
        <v>1.0341282815193649</v>
      </c>
      <c r="S115" s="230">
        <f>S$112*'BTX recycling rates'!U52</f>
        <v>1.1284975829507244</v>
      </c>
      <c r="T115" s="230">
        <f>T$112*'BTX recycling rates'!V52</f>
        <v>1.2227216577403777</v>
      </c>
      <c r="U115" s="230">
        <f>U$112*'BTX recycling rates'!W52</f>
        <v>1.3160764649432601</v>
      </c>
      <c r="V115" s="230">
        <f>V$112*'BTX recycling rates'!X52</f>
        <v>1.4078070041614836</v>
      </c>
      <c r="W115" s="230">
        <f>W$112*'BTX recycling rates'!Y52</f>
        <v>1.4971273306919266</v>
      </c>
      <c r="X115" s="230">
        <f>X$112*'BTX recycling rates'!Z52</f>
        <v>1.6164257521492713</v>
      </c>
      <c r="Y115" s="230">
        <f>Y$112*'BTX recycling rates'!AA52</f>
        <v>1.7325702281562667</v>
      </c>
      <c r="Z115" s="230">
        <f>Z$112*'BTX recycling rates'!AB52</f>
        <v>1.8442727939058359</v>
      </c>
      <c r="AA115" s="230">
        <f>AA$112*'BTX recycling rates'!AC52</f>
        <v>1.9501960273600578</v>
      </c>
      <c r="AB115" s="230">
        <f>AB$112*'BTX recycling rates'!AD52</f>
        <v>2.0489531383937831</v>
      </c>
      <c r="AC115" s="230">
        <f>AC$112*'BTX recycling rates'!AE52</f>
        <v>2.1391283391985074</v>
      </c>
      <c r="AD115" s="230">
        <f>AD$112*'BTX recycling rates'!AF52</f>
        <v>2.2192389017099967</v>
      </c>
      <c r="AE115" s="230">
        <f>AE$112*'BTX recycling rates'!AG52</f>
        <v>2.2877526918374449</v>
      </c>
      <c r="AF115" s="230">
        <f>AF$112*'BTX recycling rates'!AH52</f>
        <v>2.3430883437400398</v>
      </c>
      <c r="AG115" s="230">
        <f>AG$112*'BTX recycling rates'!AI52</f>
        <v>2.3836154881364471</v>
      </c>
      <c r="AH115" s="245"/>
      <c r="AI115" s="133"/>
      <c r="AJ115" s="211"/>
      <c r="AL115" s="108"/>
      <c r="AM115" s="2"/>
      <c r="AN115" s="2"/>
      <c r="AO115" s="2"/>
      <c r="BC115" s="1"/>
      <c r="BD115" s="2"/>
      <c r="BE115" s="2"/>
      <c r="BF115" s="2"/>
      <c r="BG115" s="2"/>
      <c r="BH115" s="2"/>
      <c r="BI115" s="2"/>
      <c r="BJ115" s="2"/>
      <c r="BK115" s="2"/>
    </row>
    <row r="116" spans="1:63" outlineLevel="1" x14ac:dyDescent="0.2">
      <c r="A116" s="4" t="s">
        <v>1561</v>
      </c>
      <c r="C116" s="230">
        <f>C$112*'BTX recycling rates'!E53</f>
        <v>0</v>
      </c>
      <c r="D116" s="230">
        <f>D$112*'BTX recycling rates'!F53</f>
        <v>3.9359163273616507E-2</v>
      </c>
      <c r="E116" s="230">
        <f>E$112*'BTX recycling rates'!G53</f>
        <v>8.2817849493825577E-2</v>
      </c>
      <c r="F116" s="230">
        <f>F$112*'BTX recycling rates'!H53</f>
        <v>0.13050975814839033</v>
      </c>
      <c r="G116" s="230">
        <f>G$112*'BTX recycling rates'!I53</f>
        <v>0.18212824271625525</v>
      </c>
      <c r="H116" s="230">
        <f>H$112*'BTX recycling rates'!J53</f>
        <v>0.23739735490313851</v>
      </c>
      <c r="I116" s="230">
        <f>I$112*'BTX recycling rates'!K53</f>
        <v>0.29661801393498693</v>
      </c>
      <c r="J116" s="230">
        <f>J$112*'BTX recycling rates'!L53</f>
        <v>0.35979601844778847</v>
      </c>
      <c r="K116" s="230">
        <f>K$112*'BTX recycling rates'!M53</f>
        <v>0.42692338328969709</v>
      </c>
      <c r="L116" s="230">
        <f>L$112*'BTX recycling rates'!N53</f>
        <v>0.49797783958069164</v>
      </c>
      <c r="M116" s="230">
        <f>M$112*'BTX recycling rates'!O53</f>
        <v>0.57292237756377651</v>
      </c>
      <c r="N116" s="230">
        <f>N$112*'BTX recycling rates'!P53</f>
        <v>0.66144170998863872</v>
      </c>
      <c r="O116" s="230">
        <f>O$112*'BTX recycling rates'!Q53</f>
        <v>0.75286092664666315</v>
      </c>
      <c r="P116" s="230">
        <f>P$112*'BTX recycling rates'!R53</f>
        <v>0.84617429428774393</v>
      </c>
      <c r="Q116" s="230">
        <f>Q$112*'BTX recycling rates'!S53</f>
        <v>0.94030685776072398</v>
      </c>
      <c r="R116" s="230">
        <f>R$112*'BTX recycling rates'!T53</f>
        <v>1.0341282815193649</v>
      </c>
      <c r="S116" s="230">
        <f>S$112*'BTX recycling rates'!U53</f>
        <v>1.1284975829507244</v>
      </c>
      <c r="T116" s="230">
        <f>T$112*'BTX recycling rates'!V53</f>
        <v>1.2227216577403777</v>
      </c>
      <c r="U116" s="230">
        <f>U$112*'BTX recycling rates'!W53</f>
        <v>1.3160764649432601</v>
      </c>
      <c r="V116" s="230">
        <f>V$112*'BTX recycling rates'!X53</f>
        <v>1.4078070041614836</v>
      </c>
      <c r="W116" s="230">
        <f>W$112*'BTX recycling rates'!Y53</f>
        <v>1.4971273306919266</v>
      </c>
      <c r="X116" s="230">
        <f>X$112*'BTX recycling rates'!Z53</f>
        <v>1.6164257521492713</v>
      </c>
      <c r="Y116" s="230">
        <f>Y$112*'BTX recycling rates'!AA53</f>
        <v>1.7325702281562667</v>
      </c>
      <c r="Z116" s="230">
        <f>Z$112*'BTX recycling rates'!AB53</f>
        <v>1.8442727939058359</v>
      </c>
      <c r="AA116" s="230">
        <f>AA$112*'BTX recycling rates'!AC53</f>
        <v>1.9501960273600578</v>
      </c>
      <c r="AB116" s="230">
        <f>AB$112*'BTX recycling rates'!AD53</f>
        <v>2.0489531383937831</v>
      </c>
      <c r="AC116" s="230">
        <f>AC$112*'BTX recycling rates'!AE53</f>
        <v>2.1391283391985074</v>
      </c>
      <c r="AD116" s="230">
        <f>AD$112*'BTX recycling rates'!AF53</f>
        <v>2.2192389017099967</v>
      </c>
      <c r="AE116" s="230">
        <f>AE$112*'BTX recycling rates'!AG53</f>
        <v>2.2877526918374449</v>
      </c>
      <c r="AF116" s="230">
        <f>AF$112*'BTX recycling rates'!AH53</f>
        <v>2.3430883437400398</v>
      </c>
      <c r="AG116" s="230">
        <f>AG$112*'BTX recycling rates'!AI53</f>
        <v>2.3836154881364471</v>
      </c>
      <c r="AH116" s="245"/>
      <c r="AI116" s="133"/>
      <c r="AJ116" s="211"/>
      <c r="AL116" s="108"/>
      <c r="AM116" s="2"/>
      <c r="AN116" s="2"/>
      <c r="AO116" s="2"/>
      <c r="BC116" s="1"/>
      <c r="BD116" s="2"/>
      <c r="BE116" s="2"/>
      <c r="BF116" s="2"/>
      <c r="BG116" s="2"/>
      <c r="BH116" s="2"/>
      <c r="BI116" s="2"/>
      <c r="BJ116" s="2"/>
      <c r="BK116" s="2"/>
    </row>
    <row r="117" spans="1:63" s="1" customFormat="1" outlineLevel="1" x14ac:dyDescent="0.2">
      <c r="A117" s="1" t="s">
        <v>1570</v>
      </c>
      <c r="B117" s="65"/>
      <c r="C117" s="300">
        <f>C112-$C112</f>
        <v>0</v>
      </c>
      <c r="D117" s="300">
        <f t="shared" ref="D117:AG117" si="59">D112-$C112</f>
        <v>0.13629920286466923</v>
      </c>
      <c r="E117" s="300">
        <f t="shared" si="59"/>
        <v>0.25928489126244614</v>
      </c>
      <c r="F117" s="300">
        <f t="shared" si="59"/>
        <v>0.38494456941548538</v>
      </c>
      <c r="G117" s="300">
        <f t="shared" si="59"/>
        <v>0.50667304719150774</v>
      </c>
      <c r="H117" s="300">
        <f t="shared" si="59"/>
        <v>0.62351766528534114</v>
      </c>
      <c r="I117" s="300">
        <f t="shared" si="59"/>
        <v>0.74092954579754844</v>
      </c>
      <c r="J117" s="300">
        <f t="shared" si="59"/>
        <v>0.85871527885729471</v>
      </c>
      <c r="K117" s="300">
        <f t="shared" si="59"/>
        <v>0.97667478112040707</v>
      </c>
      <c r="L117" s="300">
        <f t="shared" si="59"/>
        <v>1.0946016703189567</v>
      </c>
      <c r="M117" s="300">
        <f t="shared" si="59"/>
        <v>1.2122836718303382</v>
      </c>
      <c r="N117" s="300">
        <f t="shared" si="59"/>
        <v>1.3826132791129813</v>
      </c>
      <c r="O117" s="300">
        <f t="shared" si="59"/>
        <v>1.5390540396809951</v>
      </c>
      <c r="P117" s="300">
        <f t="shared" si="59"/>
        <v>1.6801692262372669</v>
      </c>
      <c r="Q117" s="300">
        <f t="shared" si="59"/>
        <v>1.804635939707925</v>
      </c>
      <c r="R117" s="300">
        <f t="shared" si="59"/>
        <v>1.9112625325251393</v>
      </c>
      <c r="S117" s="300">
        <f t="shared" si="59"/>
        <v>2.0066153425128954</v>
      </c>
      <c r="T117" s="300">
        <f t="shared" si="59"/>
        <v>2.0902376102372475</v>
      </c>
      <c r="U117" s="300">
        <f t="shared" si="59"/>
        <v>2.1616709562585461</v>
      </c>
      <c r="V117" s="300">
        <f t="shared" si="59"/>
        <v>2.22045573537868</v>
      </c>
      <c r="W117" s="300">
        <f t="shared" si="59"/>
        <v>2.2661313985234592</v>
      </c>
      <c r="X117" s="300">
        <f t="shared" si="59"/>
        <v>2.3931086983027399</v>
      </c>
      <c r="Y117" s="300">
        <f t="shared" si="59"/>
        <v>2.4999409377829522</v>
      </c>
      <c r="Z117" s="300">
        <f t="shared" si="59"/>
        <v>2.5858958253324689</v>
      </c>
      <c r="AA117" s="300">
        <f t="shared" si="59"/>
        <v>2.6502394748478242</v>
      </c>
      <c r="AB117" s="300">
        <f t="shared" si="59"/>
        <v>2.6922369385927585</v>
      </c>
      <c r="AC117" s="300">
        <f t="shared" si="59"/>
        <v>2.7111994199826963</v>
      </c>
      <c r="AD117" s="300">
        <f t="shared" si="59"/>
        <v>2.7063914102476723</v>
      </c>
      <c r="AE117" s="300">
        <f t="shared" si="59"/>
        <v>2.6770766032422042</v>
      </c>
      <c r="AF117" s="300">
        <f t="shared" si="59"/>
        <v>2.6225183934960379</v>
      </c>
      <c r="AG117" s="300">
        <f t="shared" si="59"/>
        <v>2.5419803827205731</v>
      </c>
      <c r="AH117" s="245"/>
      <c r="AI117" s="423"/>
      <c r="AJ117" s="424"/>
      <c r="AL117" s="221"/>
      <c r="AM117" s="124"/>
      <c r="AN117" s="124"/>
      <c r="AO117" s="124"/>
      <c r="BD117" s="124"/>
      <c r="BE117" s="124"/>
      <c r="BF117" s="124"/>
      <c r="BG117" s="124"/>
      <c r="BH117" s="124"/>
      <c r="BI117" s="124"/>
      <c r="BJ117" s="124"/>
      <c r="BK117" s="124"/>
    </row>
    <row r="118" spans="1:63" outlineLevel="1" x14ac:dyDescent="0.2">
      <c r="A118" s="4" t="s">
        <v>474</v>
      </c>
      <c r="C118" s="230">
        <f>C113-$C113</f>
        <v>0</v>
      </c>
      <c r="D118" s="230">
        <f t="shared" ref="D118:AG118" si="60">D113-$C113</f>
        <v>5.7379616005352574E-2</v>
      </c>
      <c r="E118" s="230">
        <f t="shared" si="60"/>
        <v>9.3321863708975883E-2</v>
      </c>
      <c r="F118" s="230">
        <f t="shared" si="60"/>
        <v>0.12349190245374908</v>
      </c>
      <c r="G118" s="230">
        <f t="shared" si="60"/>
        <v>0.14191877840628342</v>
      </c>
      <c r="H118" s="230">
        <f t="shared" si="60"/>
        <v>0.14820312962110593</v>
      </c>
      <c r="I118" s="230">
        <f t="shared" si="60"/>
        <v>0.14717729022470039</v>
      </c>
      <c r="J118" s="230">
        <f t="shared" si="60"/>
        <v>0.13863696962815775</v>
      </c>
      <c r="K118" s="230">
        <f t="shared" si="60"/>
        <v>0.12239869831451333</v>
      </c>
      <c r="L118" s="230">
        <f t="shared" si="60"/>
        <v>9.8301197465015644E-2</v>
      </c>
      <c r="M118" s="230">
        <f t="shared" si="60"/>
        <v>6.6206695209030553E-2</v>
      </c>
      <c r="N118" s="230">
        <f t="shared" si="60"/>
        <v>5.9521087563278563E-2</v>
      </c>
      <c r="O118" s="230">
        <f t="shared" si="60"/>
        <v>3.3215681626645122E-2</v>
      </c>
      <c r="P118" s="230">
        <f t="shared" si="60"/>
        <v>-1.2136792262497309E-2</v>
      </c>
      <c r="Q118" s="230">
        <f t="shared" si="60"/>
        <v>-7.5712213497534098E-2</v>
      </c>
      <c r="R118" s="230">
        <f t="shared" si="60"/>
        <v>-0.15644529507229432</v>
      </c>
      <c r="S118" s="230">
        <f t="shared" si="60"/>
        <v>-0.24950468003164006</v>
      </c>
      <c r="T118" s="230">
        <f t="shared" si="60"/>
        <v>-0.35396416785013995</v>
      </c>
      <c r="U118" s="230">
        <f t="shared" si="60"/>
        <v>-0.46883751534776597</v>
      </c>
      <c r="V118" s="230">
        <f t="shared" si="60"/>
        <v>-0.59307803819601257</v>
      </c>
      <c r="W118" s="230">
        <f t="shared" si="60"/>
        <v>-0.72557828048967732</v>
      </c>
      <c r="X118" s="230">
        <f t="shared" si="60"/>
        <v>-0.83680768395506444</v>
      </c>
      <c r="Y118" s="230">
        <f t="shared" si="60"/>
        <v>-0.96182589227125703</v>
      </c>
      <c r="Z118" s="230">
        <f t="shared" si="60"/>
        <v>-1.0987957114555327</v>
      </c>
      <c r="AA118" s="230">
        <f t="shared" si="60"/>
        <v>-1.2457829676942884</v>
      </c>
      <c r="AB118" s="230">
        <f t="shared" si="60"/>
        <v>-1.4007561540304798</v>
      </c>
      <c r="AC118" s="230">
        <f t="shared" si="60"/>
        <v>-1.561579981008151</v>
      </c>
      <c r="AD118" s="230">
        <f t="shared" si="60"/>
        <v>-1.7260322955215099</v>
      </c>
      <c r="AE118" s="230">
        <f t="shared" si="60"/>
        <v>-1.8917932723742217</v>
      </c>
      <c r="AF118" s="230">
        <f t="shared" si="60"/>
        <v>-2.0564452653043319</v>
      </c>
      <c r="AG118" s="230">
        <f t="shared" si="60"/>
        <v>-2.2174727572711728</v>
      </c>
      <c r="AH118" s="245"/>
      <c r="AI118" s="133"/>
      <c r="AJ118" s="211"/>
      <c r="AL118" s="108"/>
      <c r="AM118" s="2"/>
      <c r="AN118" s="2"/>
      <c r="AO118" s="2"/>
      <c r="BC118" s="1"/>
      <c r="BD118" s="2"/>
      <c r="BE118" s="2"/>
      <c r="BF118" s="2"/>
      <c r="BG118" s="2"/>
      <c r="BH118" s="2"/>
      <c r="BI118" s="2"/>
      <c r="BJ118" s="2"/>
      <c r="BK118" s="2"/>
    </row>
    <row r="119" spans="1:63" outlineLevel="1" x14ac:dyDescent="0.2">
      <c r="A119" s="4" t="s">
        <v>478</v>
      </c>
      <c r="C119" s="230">
        <f t="shared" ref="C119:AG119" si="61">C114-$C114</f>
        <v>0</v>
      </c>
      <c r="D119" s="230">
        <f t="shared" si="61"/>
        <v>2.0126031208337995E-4</v>
      </c>
      <c r="E119" s="230">
        <f t="shared" si="61"/>
        <v>3.2732856581889694E-4</v>
      </c>
      <c r="F119" s="230">
        <f t="shared" si="61"/>
        <v>4.3315066495553528E-4</v>
      </c>
      <c r="G119" s="230">
        <f t="shared" si="61"/>
        <v>4.977833527132023E-4</v>
      </c>
      <c r="H119" s="230">
        <f t="shared" si="61"/>
        <v>5.1982585795789897E-4</v>
      </c>
      <c r="I119" s="230">
        <f t="shared" si="61"/>
        <v>5.1622770287354514E-4</v>
      </c>
      <c r="J119" s="230">
        <f t="shared" si="61"/>
        <v>4.8627233355925947E-4</v>
      </c>
      <c r="K119" s="230">
        <f t="shared" si="61"/>
        <v>4.2931622649897833E-4</v>
      </c>
      <c r="L119" s="230">
        <f t="shared" si="61"/>
        <v>3.4479369255683949E-4</v>
      </c>
      <c r="M119" s="230">
        <f t="shared" si="61"/>
        <v>2.3222149375373702E-4</v>
      </c>
      <c r="N119" s="230">
        <f t="shared" si="61"/>
        <v>2.0877157242408725E-4</v>
      </c>
      <c r="O119" s="230">
        <f t="shared" si="61"/>
        <v>1.1650476102205778E-4</v>
      </c>
      <c r="P119" s="230">
        <f t="shared" si="61"/>
        <v>-4.2570075725379547E-5</v>
      </c>
      <c r="Q119" s="230">
        <f t="shared" si="61"/>
        <v>-2.6556231599067157E-4</v>
      </c>
      <c r="R119" s="230">
        <f t="shared" si="61"/>
        <v>-5.4873544129833019E-4</v>
      </c>
      <c r="S119" s="230">
        <f t="shared" si="61"/>
        <v>-8.7514335691522924E-4</v>
      </c>
      <c r="T119" s="230">
        <f t="shared" si="61"/>
        <v>-1.2415373933699183E-3</v>
      </c>
      <c r="U119" s="230">
        <f t="shared" si="61"/>
        <v>-1.644458280210254E-3</v>
      </c>
      <c r="V119" s="230">
        <f t="shared" si="61"/>
        <v>-2.0802347482770265E-3</v>
      </c>
      <c r="W119" s="230">
        <f t="shared" si="61"/>
        <v>-2.544982370719439E-3</v>
      </c>
      <c r="X119" s="230">
        <f t="shared" si="61"/>
        <v>-2.935122040740994E-3</v>
      </c>
      <c r="Y119" s="230">
        <f t="shared" si="61"/>
        <v>-3.3736262583271602E-3</v>
      </c>
      <c r="Z119" s="230">
        <f t="shared" si="61"/>
        <v>-3.8540510236734415E-3</v>
      </c>
      <c r="AA119" s="230">
        <f t="shared" si="61"/>
        <v>-4.3696121780062262E-3</v>
      </c>
      <c r="AB119" s="230">
        <f t="shared" si="61"/>
        <v>-4.9131841643309162E-3</v>
      </c>
      <c r="AC119" s="230">
        <f t="shared" si="61"/>
        <v>-5.4772774061704931E-3</v>
      </c>
      <c r="AD119" s="230">
        <f t="shared" si="61"/>
        <v>-6.0540976508146032E-3</v>
      </c>
      <c r="AE119" s="230">
        <f t="shared" si="61"/>
        <v>-6.6355080584672163E-3</v>
      </c>
      <c r="AF119" s="230">
        <f t="shared" si="61"/>
        <v>-7.2130286797131484E-3</v>
      </c>
      <c r="AG119" s="230">
        <f t="shared" si="61"/>
        <v>-7.7778362811482538E-3</v>
      </c>
      <c r="AH119" s="245"/>
      <c r="AI119" s="133"/>
      <c r="AJ119" s="211"/>
      <c r="AL119" s="108"/>
      <c r="AM119" s="2"/>
      <c r="AN119" s="2"/>
      <c r="AO119" s="2"/>
      <c r="BC119" s="1"/>
      <c r="BD119" s="2"/>
      <c r="BE119" s="2"/>
      <c r="BF119" s="2"/>
      <c r="BG119" s="2"/>
      <c r="BH119" s="2"/>
      <c r="BI119" s="2"/>
      <c r="BJ119" s="2"/>
      <c r="BK119" s="2"/>
    </row>
    <row r="120" spans="1:63" outlineLevel="1" x14ac:dyDescent="0.2">
      <c r="A120" s="4" t="s">
        <v>745</v>
      </c>
      <c r="C120" s="230">
        <f t="shared" ref="C120:AG120" si="62">C115-$C115</f>
        <v>0</v>
      </c>
      <c r="D120" s="230">
        <f t="shared" si="62"/>
        <v>3.9359163273616507E-2</v>
      </c>
      <c r="E120" s="230">
        <f t="shared" si="62"/>
        <v>8.2817849493825577E-2</v>
      </c>
      <c r="F120" s="230">
        <f t="shared" si="62"/>
        <v>0.13050975814839033</v>
      </c>
      <c r="G120" s="230">
        <f t="shared" si="62"/>
        <v>0.18212824271625525</v>
      </c>
      <c r="H120" s="230">
        <f t="shared" si="62"/>
        <v>0.23739735490313851</v>
      </c>
      <c r="I120" s="230">
        <f t="shared" si="62"/>
        <v>0.29661801393498693</v>
      </c>
      <c r="J120" s="230">
        <f t="shared" si="62"/>
        <v>0.35979601844778847</v>
      </c>
      <c r="K120" s="230">
        <f t="shared" si="62"/>
        <v>0.42692338328969709</v>
      </c>
      <c r="L120" s="230">
        <f t="shared" si="62"/>
        <v>0.49797783958069164</v>
      </c>
      <c r="M120" s="230">
        <f t="shared" si="62"/>
        <v>0.57292237756377651</v>
      </c>
      <c r="N120" s="230">
        <f t="shared" si="62"/>
        <v>0.66144170998863872</v>
      </c>
      <c r="O120" s="230">
        <f t="shared" si="62"/>
        <v>0.75286092664666315</v>
      </c>
      <c r="P120" s="230">
        <f t="shared" si="62"/>
        <v>0.84617429428774393</v>
      </c>
      <c r="Q120" s="230">
        <f t="shared" si="62"/>
        <v>0.94030685776072398</v>
      </c>
      <c r="R120" s="230">
        <f t="shared" si="62"/>
        <v>1.0341282815193649</v>
      </c>
      <c r="S120" s="230">
        <f t="shared" si="62"/>
        <v>1.1284975829507244</v>
      </c>
      <c r="T120" s="230">
        <f t="shared" si="62"/>
        <v>1.2227216577403777</v>
      </c>
      <c r="U120" s="230">
        <f t="shared" si="62"/>
        <v>1.3160764649432601</v>
      </c>
      <c r="V120" s="230">
        <f t="shared" si="62"/>
        <v>1.4078070041614836</v>
      </c>
      <c r="W120" s="230">
        <f t="shared" si="62"/>
        <v>1.4971273306919266</v>
      </c>
      <c r="X120" s="230">
        <f t="shared" si="62"/>
        <v>1.6164257521492713</v>
      </c>
      <c r="Y120" s="230">
        <f t="shared" si="62"/>
        <v>1.7325702281562667</v>
      </c>
      <c r="Z120" s="230">
        <f t="shared" si="62"/>
        <v>1.8442727939058359</v>
      </c>
      <c r="AA120" s="230">
        <f t="shared" si="62"/>
        <v>1.9501960273600578</v>
      </c>
      <c r="AB120" s="230">
        <f t="shared" si="62"/>
        <v>2.0489531383937831</v>
      </c>
      <c r="AC120" s="230">
        <f t="shared" si="62"/>
        <v>2.1391283391985074</v>
      </c>
      <c r="AD120" s="230">
        <f t="shared" si="62"/>
        <v>2.2192389017099967</v>
      </c>
      <c r="AE120" s="230">
        <f t="shared" si="62"/>
        <v>2.2877526918374449</v>
      </c>
      <c r="AF120" s="230">
        <f t="shared" si="62"/>
        <v>2.3430883437400398</v>
      </c>
      <c r="AG120" s="230">
        <f t="shared" si="62"/>
        <v>2.3836154881364471</v>
      </c>
      <c r="AH120" s="245"/>
      <c r="AI120" s="133"/>
      <c r="AJ120" s="211"/>
      <c r="AL120" s="108"/>
      <c r="AM120" s="2"/>
      <c r="AN120" s="2"/>
      <c r="AO120" s="2"/>
      <c r="BC120" s="1"/>
      <c r="BD120" s="2"/>
      <c r="BE120" s="2"/>
      <c r="BF120" s="2"/>
      <c r="BG120" s="2"/>
      <c r="BH120" s="2"/>
      <c r="BI120" s="2"/>
      <c r="BJ120" s="2"/>
      <c r="BK120" s="2"/>
    </row>
    <row r="121" spans="1:63" outlineLevel="1" x14ac:dyDescent="0.2">
      <c r="A121" s="4" t="s">
        <v>1561</v>
      </c>
      <c r="C121" s="230">
        <f t="shared" ref="C121:AG121" si="63">C116-$C116</f>
        <v>0</v>
      </c>
      <c r="D121" s="230">
        <f t="shared" si="63"/>
        <v>3.9359163273616507E-2</v>
      </c>
      <c r="E121" s="230">
        <f t="shared" si="63"/>
        <v>8.2817849493825577E-2</v>
      </c>
      <c r="F121" s="230">
        <f t="shared" si="63"/>
        <v>0.13050975814839033</v>
      </c>
      <c r="G121" s="230">
        <f t="shared" si="63"/>
        <v>0.18212824271625525</v>
      </c>
      <c r="H121" s="230">
        <f t="shared" si="63"/>
        <v>0.23739735490313851</v>
      </c>
      <c r="I121" s="230">
        <f t="shared" si="63"/>
        <v>0.29661801393498693</v>
      </c>
      <c r="J121" s="230">
        <f t="shared" si="63"/>
        <v>0.35979601844778847</v>
      </c>
      <c r="K121" s="230">
        <f t="shared" si="63"/>
        <v>0.42692338328969709</v>
      </c>
      <c r="L121" s="230">
        <f t="shared" si="63"/>
        <v>0.49797783958069164</v>
      </c>
      <c r="M121" s="230">
        <f t="shared" si="63"/>
        <v>0.57292237756377651</v>
      </c>
      <c r="N121" s="230">
        <f t="shared" si="63"/>
        <v>0.66144170998863872</v>
      </c>
      <c r="O121" s="230">
        <f t="shared" si="63"/>
        <v>0.75286092664666315</v>
      </c>
      <c r="P121" s="230">
        <f t="shared" si="63"/>
        <v>0.84617429428774393</v>
      </c>
      <c r="Q121" s="230">
        <f t="shared" si="63"/>
        <v>0.94030685776072398</v>
      </c>
      <c r="R121" s="230">
        <f t="shared" si="63"/>
        <v>1.0341282815193649</v>
      </c>
      <c r="S121" s="230">
        <f t="shared" si="63"/>
        <v>1.1284975829507244</v>
      </c>
      <c r="T121" s="230">
        <f t="shared" si="63"/>
        <v>1.2227216577403777</v>
      </c>
      <c r="U121" s="230">
        <f t="shared" si="63"/>
        <v>1.3160764649432601</v>
      </c>
      <c r="V121" s="230">
        <f t="shared" si="63"/>
        <v>1.4078070041614836</v>
      </c>
      <c r="W121" s="230">
        <f t="shared" si="63"/>
        <v>1.4971273306919266</v>
      </c>
      <c r="X121" s="230">
        <f t="shared" si="63"/>
        <v>1.6164257521492713</v>
      </c>
      <c r="Y121" s="230">
        <f t="shared" si="63"/>
        <v>1.7325702281562667</v>
      </c>
      <c r="Z121" s="230">
        <f t="shared" si="63"/>
        <v>1.8442727939058359</v>
      </c>
      <c r="AA121" s="230">
        <f t="shared" si="63"/>
        <v>1.9501960273600578</v>
      </c>
      <c r="AB121" s="230">
        <f t="shared" si="63"/>
        <v>2.0489531383937831</v>
      </c>
      <c r="AC121" s="230">
        <f t="shared" si="63"/>
        <v>2.1391283391985074</v>
      </c>
      <c r="AD121" s="230">
        <f t="shared" si="63"/>
        <v>2.2192389017099967</v>
      </c>
      <c r="AE121" s="230">
        <f t="shared" si="63"/>
        <v>2.2877526918374449</v>
      </c>
      <c r="AF121" s="230">
        <f t="shared" si="63"/>
        <v>2.3430883437400398</v>
      </c>
      <c r="AG121" s="230">
        <f t="shared" si="63"/>
        <v>2.3836154881364471</v>
      </c>
      <c r="AH121" s="245"/>
      <c r="AI121" s="133"/>
      <c r="AJ121" s="211"/>
      <c r="AL121" s="108"/>
      <c r="AM121" s="2"/>
      <c r="AN121" s="2"/>
      <c r="AO121" s="2"/>
      <c r="BC121" s="1"/>
      <c r="BD121" s="2"/>
      <c r="BE121" s="2"/>
      <c r="BF121" s="2"/>
      <c r="BG121" s="2"/>
      <c r="BH121" s="2"/>
      <c r="BI121" s="2"/>
      <c r="BJ121" s="2"/>
      <c r="BK121" s="2"/>
    </row>
    <row r="122" spans="1:63" outlineLevel="1" x14ac:dyDescent="0.2">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I122" s="134"/>
      <c r="AJ122" s="211"/>
      <c r="AL122" s="108"/>
      <c r="AM122" s="132"/>
      <c r="AN122" s="2"/>
      <c r="AO122" s="2"/>
    </row>
    <row r="123" spans="1:63" s="200" customFormat="1" ht="16" thickBot="1" x14ac:dyDescent="0.25">
      <c r="A123" s="200" t="s">
        <v>1330</v>
      </c>
      <c r="B123" s="215"/>
      <c r="C123" s="222">
        <f>C124</f>
        <v>2.5000000000000001E-2</v>
      </c>
      <c r="D123" s="222">
        <f t="shared" ref="D123:AG123" si="64">D124</f>
        <v>3.1255416735465176E-2</v>
      </c>
      <c r="E123" s="222">
        <f t="shared" si="64"/>
        <v>3.7510833470930344E-2</v>
      </c>
      <c r="F123" s="222">
        <f t="shared" si="64"/>
        <v>4.3766250206395518E-2</v>
      </c>
      <c r="G123" s="222">
        <f t="shared" si="64"/>
        <v>5.0021666941860693E-2</v>
      </c>
      <c r="H123" s="222">
        <f t="shared" si="64"/>
        <v>5.6277083677325861E-2</v>
      </c>
      <c r="I123" s="222">
        <f t="shared" si="64"/>
        <v>6.2532500412791042E-2</v>
      </c>
      <c r="J123" s="222">
        <f t="shared" si="64"/>
        <v>6.8787917148256203E-2</v>
      </c>
      <c r="K123" s="222">
        <f t="shared" si="64"/>
        <v>7.5043333883721378E-2</v>
      </c>
      <c r="L123" s="222">
        <f t="shared" si="64"/>
        <v>8.1298750619186552E-2</v>
      </c>
      <c r="M123" s="222">
        <f t="shared" si="64"/>
        <v>8.7554167354651713E-2</v>
      </c>
      <c r="N123" s="222">
        <f t="shared" si="64"/>
        <v>0.10073866108940137</v>
      </c>
      <c r="O123" s="222">
        <f t="shared" si="64"/>
        <v>0.11392315482415102</v>
      </c>
      <c r="P123" s="222">
        <f t="shared" si="64"/>
        <v>0.12710764855890069</v>
      </c>
      <c r="Q123" s="222">
        <f t="shared" si="64"/>
        <v>0.14029214229365033</v>
      </c>
      <c r="R123" s="222">
        <f t="shared" si="64"/>
        <v>0.1534766360284</v>
      </c>
      <c r="S123" s="222">
        <f t="shared" si="64"/>
        <v>0.16666112976314967</v>
      </c>
      <c r="T123" s="222">
        <f t="shared" si="64"/>
        <v>0.17984562349789934</v>
      </c>
      <c r="U123" s="222">
        <f t="shared" si="64"/>
        <v>0.19303011723264898</v>
      </c>
      <c r="V123" s="222">
        <f t="shared" si="64"/>
        <v>0.20621461096739863</v>
      </c>
      <c r="W123" s="222">
        <f t="shared" si="64"/>
        <v>0.2193991047021483</v>
      </c>
      <c r="X123" s="222">
        <f t="shared" si="64"/>
        <v>0.24145919423193346</v>
      </c>
      <c r="Y123" s="222">
        <f t="shared" si="64"/>
        <v>0.26351928376171863</v>
      </c>
      <c r="Z123" s="222">
        <f t="shared" si="64"/>
        <v>0.28557937329150385</v>
      </c>
      <c r="AA123" s="222">
        <f t="shared" si="64"/>
        <v>0.30763946282128896</v>
      </c>
      <c r="AB123" s="222">
        <f t="shared" si="64"/>
        <v>0.32969955235107418</v>
      </c>
      <c r="AC123" s="222">
        <f t="shared" si="64"/>
        <v>0.35175964188085934</v>
      </c>
      <c r="AD123" s="222">
        <f t="shared" si="64"/>
        <v>0.37381973141064451</v>
      </c>
      <c r="AE123" s="222">
        <f t="shared" si="64"/>
        <v>0.39587982094042967</v>
      </c>
      <c r="AF123" s="222">
        <f t="shared" si="64"/>
        <v>0.41793991047021484</v>
      </c>
      <c r="AG123" s="222">
        <f t="shared" si="64"/>
        <v>0.44</v>
      </c>
      <c r="AJ123" s="231" t="s">
        <v>1331</v>
      </c>
      <c r="AL123" s="217"/>
      <c r="AM123" s="218"/>
      <c r="AN123" s="218"/>
      <c r="AO123" s="218"/>
    </row>
    <row r="124" spans="1:63" ht="16" outlineLevel="1" thickTop="1" x14ac:dyDescent="0.2">
      <c r="A124" t="s">
        <v>1332</v>
      </c>
      <c r="B124" s="54" t="s">
        <v>462</v>
      </c>
      <c r="C124" s="214">
        <v>2.5000000000000001E-2</v>
      </c>
      <c r="D124" s="110">
        <f>$C124+($M124-$C124)/10*(D$1-$C$1)</f>
        <v>3.1255416735465176E-2</v>
      </c>
      <c r="E124" s="110">
        <f t="shared" ref="E124:L124" si="65">$C124+($M124-$C124)/10*(E$1-$C$1)</f>
        <v>3.7510833470930344E-2</v>
      </c>
      <c r="F124" s="110">
        <f t="shared" si="65"/>
        <v>4.3766250206395518E-2</v>
      </c>
      <c r="G124" s="110">
        <f t="shared" si="65"/>
        <v>5.0021666941860693E-2</v>
      </c>
      <c r="H124" s="110">
        <f t="shared" si="65"/>
        <v>5.6277083677325861E-2</v>
      </c>
      <c r="I124" s="110">
        <f t="shared" si="65"/>
        <v>6.2532500412791042E-2</v>
      </c>
      <c r="J124" s="110">
        <f t="shared" si="65"/>
        <v>6.8787917148256203E-2</v>
      </c>
      <c r="K124" s="110">
        <f t="shared" si="65"/>
        <v>7.5043333883721378E-2</v>
      </c>
      <c r="L124" s="110">
        <f t="shared" si="65"/>
        <v>8.1298750619186552E-2</v>
      </c>
      <c r="M124" s="121">
        <f>(M$52-$C$52)/($AG$52-$C$52)*($AG124-$C124)+$C124</f>
        <v>8.7554167354651713E-2</v>
      </c>
      <c r="N124" s="121">
        <f>$M124+($W124-$M124)/10*(N$1-$M$1)</f>
        <v>0.10073866108940137</v>
      </c>
      <c r="O124" s="121">
        <f t="shared" ref="O124:U124" si="66">$M124+($W124-$M124)/10*(O$1-$M$1)</f>
        <v>0.11392315482415102</v>
      </c>
      <c r="P124" s="121">
        <f t="shared" si="66"/>
        <v>0.12710764855890069</v>
      </c>
      <c r="Q124" s="121">
        <f t="shared" si="66"/>
        <v>0.14029214229365033</v>
      </c>
      <c r="R124" s="121">
        <f t="shared" si="66"/>
        <v>0.1534766360284</v>
      </c>
      <c r="S124" s="121">
        <f t="shared" si="66"/>
        <v>0.16666112976314967</v>
      </c>
      <c r="T124" s="121">
        <f t="shared" si="66"/>
        <v>0.17984562349789934</v>
      </c>
      <c r="U124" s="121">
        <f t="shared" si="66"/>
        <v>0.19303011723264898</v>
      </c>
      <c r="V124" s="121">
        <f>$M124+($W124-$M124)/10*(V$1-$M$1)</f>
        <v>0.20621461096739863</v>
      </c>
      <c r="W124" s="121">
        <f>(W$52-$C$52)/($AG$52-$C$52)*($AG124-$C124)+$C124</f>
        <v>0.2193991047021483</v>
      </c>
      <c r="X124" s="110">
        <f>$W124+($AG124-$W124)/10*(X$1-$W$1)</f>
        <v>0.24145919423193346</v>
      </c>
      <c r="Y124" s="110">
        <f t="shared" ref="Y124:AF124" si="67">$W124+($AG124-$W124)/10*(Y$1-$W$1)</f>
        <v>0.26351928376171863</v>
      </c>
      <c r="Z124" s="110">
        <f t="shared" si="67"/>
        <v>0.28557937329150385</v>
      </c>
      <c r="AA124" s="110">
        <f t="shared" si="67"/>
        <v>0.30763946282128896</v>
      </c>
      <c r="AB124" s="110">
        <f t="shared" si="67"/>
        <v>0.32969955235107418</v>
      </c>
      <c r="AC124" s="110">
        <f t="shared" si="67"/>
        <v>0.35175964188085934</v>
      </c>
      <c r="AD124" s="110">
        <f t="shared" si="67"/>
        <v>0.37381973141064451</v>
      </c>
      <c r="AE124" s="110">
        <f t="shared" si="67"/>
        <v>0.39587982094042967</v>
      </c>
      <c r="AF124" s="110">
        <f t="shared" si="67"/>
        <v>0.41793991047021484</v>
      </c>
      <c r="AG124" s="214">
        <v>0.44</v>
      </c>
      <c r="AJ124" s="211" t="s">
        <v>1436</v>
      </c>
    </row>
    <row r="125" spans="1:63" outlineLevel="1" x14ac:dyDescent="0.2">
      <c r="A125" t="s">
        <v>1437</v>
      </c>
      <c r="B125" s="54" t="s">
        <v>462</v>
      </c>
      <c r="C125" s="214">
        <v>0.08</v>
      </c>
      <c r="D125" s="110">
        <f t="shared" ref="D125:AF125" si="68">C125-($C$125-$AG$125)/($AG$1-$C$1)</f>
        <v>0.10400000000000001</v>
      </c>
      <c r="E125" s="110">
        <f t="shared" si="68"/>
        <v>0.128</v>
      </c>
      <c r="F125" s="110">
        <f t="shared" si="68"/>
        <v>0.152</v>
      </c>
      <c r="G125" s="110">
        <f t="shared" si="68"/>
        <v>0.17599999999999999</v>
      </c>
      <c r="H125" s="110">
        <f t="shared" si="68"/>
        <v>0.19999999999999998</v>
      </c>
      <c r="I125" s="110">
        <f t="shared" si="68"/>
        <v>0.22399999999999998</v>
      </c>
      <c r="J125" s="110">
        <f t="shared" si="68"/>
        <v>0.24799999999999997</v>
      </c>
      <c r="K125" s="110">
        <f t="shared" si="68"/>
        <v>0.27199999999999996</v>
      </c>
      <c r="L125" s="110">
        <f t="shared" si="68"/>
        <v>0.29599999999999999</v>
      </c>
      <c r="M125" s="110">
        <f t="shared" si="68"/>
        <v>0.32</v>
      </c>
      <c r="N125" s="110">
        <f t="shared" si="68"/>
        <v>0.34400000000000003</v>
      </c>
      <c r="O125" s="110">
        <f t="shared" si="68"/>
        <v>0.36800000000000005</v>
      </c>
      <c r="P125" s="110">
        <f t="shared" si="68"/>
        <v>0.39200000000000007</v>
      </c>
      <c r="Q125" s="110">
        <f t="shared" si="68"/>
        <v>0.41600000000000009</v>
      </c>
      <c r="R125" s="110">
        <f t="shared" si="68"/>
        <v>0.44000000000000011</v>
      </c>
      <c r="S125" s="110">
        <f t="shared" si="68"/>
        <v>0.46400000000000013</v>
      </c>
      <c r="T125" s="110">
        <f t="shared" si="68"/>
        <v>0.48800000000000016</v>
      </c>
      <c r="U125" s="110">
        <f t="shared" si="68"/>
        <v>0.51200000000000012</v>
      </c>
      <c r="V125" s="110">
        <f t="shared" si="68"/>
        <v>0.53600000000000014</v>
      </c>
      <c r="W125" s="110">
        <f t="shared" si="68"/>
        <v>0.56000000000000016</v>
      </c>
      <c r="X125" s="110">
        <f t="shared" si="68"/>
        <v>0.58400000000000019</v>
      </c>
      <c r="Y125" s="110">
        <f t="shared" si="68"/>
        <v>0.60800000000000021</v>
      </c>
      <c r="Z125" s="110">
        <f t="shared" si="68"/>
        <v>0.63200000000000023</v>
      </c>
      <c r="AA125" s="110">
        <f t="shared" si="68"/>
        <v>0.65600000000000025</v>
      </c>
      <c r="AB125" s="110">
        <f t="shared" si="68"/>
        <v>0.68000000000000027</v>
      </c>
      <c r="AC125" s="110">
        <f t="shared" si="68"/>
        <v>0.70400000000000029</v>
      </c>
      <c r="AD125" s="110">
        <f t="shared" si="68"/>
        <v>0.72800000000000031</v>
      </c>
      <c r="AE125" s="110">
        <f t="shared" si="68"/>
        <v>0.75200000000000033</v>
      </c>
      <c r="AF125" s="110">
        <f t="shared" si="68"/>
        <v>0.77600000000000036</v>
      </c>
      <c r="AG125" s="214">
        <v>0.8</v>
      </c>
      <c r="AI125" s="134"/>
      <c r="AJ125" s="211" t="s">
        <v>1438</v>
      </c>
      <c r="AL125" s="54" t="s">
        <v>1439</v>
      </c>
    </row>
    <row r="126" spans="1:63" outlineLevel="1" x14ac:dyDescent="0.2">
      <c r="A126" t="s">
        <v>1440</v>
      </c>
      <c r="B126" s="176" t="s">
        <v>462</v>
      </c>
      <c r="C126" s="110">
        <f>1-C125</f>
        <v>0.92</v>
      </c>
      <c r="D126" s="110">
        <f t="shared" ref="D126:AG126" si="69">1-D125</f>
        <v>0.89600000000000002</v>
      </c>
      <c r="E126" s="110">
        <f t="shared" si="69"/>
        <v>0.872</v>
      </c>
      <c r="F126" s="110">
        <f t="shared" si="69"/>
        <v>0.84799999999999998</v>
      </c>
      <c r="G126" s="110">
        <f t="shared" si="69"/>
        <v>0.82400000000000007</v>
      </c>
      <c r="H126" s="110">
        <f t="shared" si="69"/>
        <v>0.8</v>
      </c>
      <c r="I126" s="110">
        <f t="shared" si="69"/>
        <v>0.77600000000000002</v>
      </c>
      <c r="J126" s="110">
        <f t="shared" si="69"/>
        <v>0.752</v>
      </c>
      <c r="K126" s="110">
        <f t="shared" si="69"/>
        <v>0.72799999999999998</v>
      </c>
      <c r="L126" s="110">
        <f t="shared" si="69"/>
        <v>0.70399999999999996</v>
      </c>
      <c r="M126" s="110">
        <f t="shared" si="69"/>
        <v>0.67999999999999994</v>
      </c>
      <c r="N126" s="110">
        <f t="shared" si="69"/>
        <v>0.65599999999999992</v>
      </c>
      <c r="O126" s="110">
        <f t="shared" si="69"/>
        <v>0.6319999999999999</v>
      </c>
      <c r="P126" s="110">
        <f t="shared" si="69"/>
        <v>0.60799999999999987</v>
      </c>
      <c r="Q126" s="110">
        <f t="shared" si="69"/>
        <v>0.58399999999999985</v>
      </c>
      <c r="R126" s="110">
        <f t="shared" si="69"/>
        <v>0.55999999999999983</v>
      </c>
      <c r="S126" s="110">
        <f t="shared" si="69"/>
        <v>0.53599999999999981</v>
      </c>
      <c r="T126" s="110">
        <f t="shared" si="69"/>
        <v>0.51199999999999979</v>
      </c>
      <c r="U126" s="110">
        <f t="shared" si="69"/>
        <v>0.48799999999999988</v>
      </c>
      <c r="V126" s="110">
        <f t="shared" si="69"/>
        <v>0.46399999999999986</v>
      </c>
      <c r="W126" s="110">
        <f t="shared" si="69"/>
        <v>0.43999999999999984</v>
      </c>
      <c r="X126" s="110">
        <f t="shared" si="69"/>
        <v>0.41599999999999981</v>
      </c>
      <c r="Y126" s="110">
        <f t="shared" si="69"/>
        <v>0.39199999999999979</v>
      </c>
      <c r="Z126" s="110">
        <f t="shared" si="69"/>
        <v>0.36799999999999977</v>
      </c>
      <c r="AA126" s="110">
        <f t="shared" si="69"/>
        <v>0.34399999999999975</v>
      </c>
      <c r="AB126" s="110">
        <f t="shared" si="69"/>
        <v>0.31999999999999973</v>
      </c>
      <c r="AC126" s="110">
        <f t="shared" si="69"/>
        <v>0.29599999999999971</v>
      </c>
      <c r="AD126" s="110">
        <f t="shared" si="69"/>
        <v>0.27199999999999969</v>
      </c>
      <c r="AE126" s="110">
        <f t="shared" si="69"/>
        <v>0.24799999999999967</v>
      </c>
      <c r="AF126" s="110">
        <f t="shared" si="69"/>
        <v>0.22399999999999964</v>
      </c>
      <c r="AG126" s="110">
        <f t="shared" si="69"/>
        <v>0.19999999999999996</v>
      </c>
      <c r="AI126" s="134"/>
      <c r="AJ126" s="211"/>
      <c r="BD126" s="686"/>
      <c r="BE126" s="686"/>
    </row>
    <row r="127" spans="1:63" outlineLevel="1" x14ac:dyDescent="0.2">
      <c r="A127" t="s">
        <v>1333</v>
      </c>
      <c r="B127" s="54" t="s">
        <v>462</v>
      </c>
      <c r="C127" s="110">
        <f>C124*C125</f>
        <v>2E-3</v>
      </c>
      <c r="D127" s="110">
        <f t="shared" ref="D127:AG127" si="70">D124*D125</f>
        <v>3.2505633404883785E-3</v>
      </c>
      <c r="E127" s="110">
        <f t="shared" si="70"/>
        <v>4.8013866842790843E-3</v>
      </c>
      <c r="F127" s="110">
        <f t="shared" si="70"/>
        <v>6.652470031372119E-3</v>
      </c>
      <c r="G127" s="110">
        <f t="shared" si="70"/>
        <v>8.8038133817674811E-3</v>
      </c>
      <c r="H127" s="110">
        <f t="shared" si="70"/>
        <v>1.125541673546517E-2</v>
      </c>
      <c r="I127" s="110">
        <f t="shared" si="70"/>
        <v>1.4007280092465192E-2</v>
      </c>
      <c r="J127" s="110">
        <f t="shared" si="70"/>
        <v>1.7059403452767536E-2</v>
      </c>
      <c r="K127" s="110">
        <f t="shared" si="70"/>
        <v>2.0411786816372211E-2</v>
      </c>
      <c r="L127" s="110">
        <f t="shared" si="70"/>
        <v>2.4064430183279219E-2</v>
      </c>
      <c r="M127" s="110">
        <f t="shared" si="70"/>
        <v>2.8017333553488549E-2</v>
      </c>
      <c r="N127" s="110">
        <f t="shared" si="70"/>
        <v>3.4654099414754072E-2</v>
      </c>
      <c r="O127" s="110">
        <f t="shared" si="70"/>
        <v>4.1923720975287584E-2</v>
      </c>
      <c r="P127" s="110">
        <f t="shared" si="70"/>
        <v>4.9826198235089082E-2</v>
      </c>
      <c r="Q127" s="110">
        <f t="shared" si="70"/>
        <v>5.8361531194158552E-2</v>
      </c>
      <c r="R127" s="110">
        <f t="shared" si="70"/>
        <v>6.752971985249602E-2</v>
      </c>
      <c r="S127" s="110">
        <f t="shared" si="70"/>
        <v>7.7330764210101474E-2</v>
      </c>
      <c r="T127" s="110">
        <f t="shared" si="70"/>
        <v>8.7764664266974907E-2</v>
      </c>
      <c r="U127" s="110">
        <f t="shared" si="70"/>
        <v>9.8831420023116304E-2</v>
      </c>
      <c r="V127" s="110">
        <f t="shared" si="70"/>
        <v>0.11053103147852569</v>
      </c>
      <c r="W127" s="110">
        <f t="shared" si="70"/>
        <v>0.12286349863320307</v>
      </c>
      <c r="X127" s="110">
        <f t="shared" si="70"/>
        <v>0.14101216943144917</v>
      </c>
      <c r="Y127" s="110">
        <f t="shared" si="70"/>
        <v>0.16021972452712499</v>
      </c>
      <c r="Z127" s="110">
        <f t="shared" si="70"/>
        <v>0.18048616392023051</v>
      </c>
      <c r="AA127" s="110">
        <f t="shared" si="70"/>
        <v>0.20181148761076564</v>
      </c>
      <c r="AB127" s="110">
        <f t="shared" si="70"/>
        <v>0.22419569559873054</v>
      </c>
      <c r="AC127" s="110">
        <f t="shared" si="70"/>
        <v>0.24763878788412508</v>
      </c>
      <c r="AD127" s="110">
        <f t="shared" si="70"/>
        <v>0.27214076446694929</v>
      </c>
      <c r="AE127" s="110">
        <f t="shared" si="70"/>
        <v>0.29770162534720324</v>
      </c>
      <c r="AF127" s="110">
        <f t="shared" si="70"/>
        <v>0.32432137052488685</v>
      </c>
      <c r="AG127" s="110">
        <f t="shared" si="70"/>
        <v>0.35200000000000004</v>
      </c>
      <c r="AI127" s="134"/>
      <c r="AJ127" s="211"/>
      <c r="BD127" s="203"/>
      <c r="BE127" s="203"/>
    </row>
    <row r="128" spans="1:63" outlineLevel="1" x14ac:dyDescent="0.2">
      <c r="A128" t="s">
        <v>1334</v>
      </c>
      <c r="B128" s="54" t="s">
        <v>462</v>
      </c>
      <c r="C128" s="110">
        <f>C124*C126</f>
        <v>2.3000000000000003E-2</v>
      </c>
      <c r="D128" s="110">
        <f t="shared" ref="D128:AG128" si="71">D124*D126</f>
        <v>2.8004853394976797E-2</v>
      </c>
      <c r="E128" s="110">
        <f t="shared" si="71"/>
        <v>3.2709446786651261E-2</v>
      </c>
      <c r="F128" s="110">
        <f t="shared" si="71"/>
        <v>3.7113780175023398E-2</v>
      </c>
      <c r="G128" s="110">
        <f t="shared" si="71"/>
        <v>4.1217853560093214E-2</v>
      </c>
      <c r="H128" s="110">
        <f t="shared" si="71"/>
        <v>4.5021666941860689E-2</v>
      </c>
      <c r="I128" s="110">
        <f t="shared" si="71"/>
        <v>4.852522032032585E-2</v>
      </c>
      <c r="J128" s="110">
        <f t="shared" si="71"/>
        <v>5.1728513695488663E-2</v>
      </c>
      <c r="K128" s="110">
        <f t="shared" si="71"/>
        <v>5.4631547067349163E-2</v>
      </c>
      <c r="L128" s="110">
        <f t="shared" si="71"/>
        <v>5.7234320435907329E-2</v>
      </c>
      <c r="M128" s="110">
        <f t="shared" si="71"/>
        <v>5.9536833801163161E-2</v>
      </c>
      <c r="N128" s="110">
        <f t="shared" si="71"/>
        <v>6.6084561674647282E-2</v>
      </c>
      <c r="O128" s="110">
        <f t="shared" si="71"/>
        <v>7.1999433848863439E-2</v>
      </c>
      <c r="P128" s="110">
        <f t="shared" si="71"/>
        <v>7.7281450323811604E-2</v>
      </c>
      <c r="Q128" s="110">
        <f t="shared" si="71"/>
        <v>8.1930611099491776E-2</v>
      </c>
      <c r="R128" s="110">
        <f t="shared" si="71"/>
        <v>8.594691617590397E-2</v>
      </c>
      <c r="S128" s="110">
        <f t="shared" si="71"/>
        <v>8.9330365553048199E-2</v>
      </c>
      <c r="T128" s="110">
        <f t="shared" si="71"/>
        <v>9.2080959230924422E-2</v>
      </c>
      <c r="U128" s="110">
        <f t="shared" si="71"/>
        <v>9.4198697209532681E-2</v>
      </c>
      <c r="V128" s="110">
        <f t="shared" si="71"/>
        <v>9.5683579488872933E-2</v>
      </c>
      <c r="W128" s="110">
        <f t="shared" si="71"/>
        <v>9.6535606068945221E-2</v>
      </c>
      <c r="X128" s="110">
        <f t="shared" si="71"/>
        <v>0.10044702480048427</v>
      </c>
      <c r="Y128" s="110">
        <f t="shared" si="71"/>
        <v>0.10329955923459365</v>
      </c>
      <c r="Z128" s="110">
        <f t="shared" si="71"/>
        <v>0.10509320937127335</v>
      </c>
      <c r="AA128" s="110">
        <f t="shared" si="71"/>
        <v>0.10582797521052333</v>
      </c>
      <c r="AB128" s="110">
        <f t="shared" si="71"/>
        <v>0.10550385675234365</v>
      </c>
      <c r="AC128" s="110">
        <f t="shared" si="71"/>
        <v>0.10412085399673426</v>
      </c>
      <c r="AD128" s="110">
        <f t="shared" si="71"/>
        <v>0.10167896694369519</v>
      </c>
      <c r="AE128" s="110">
        <f t="shared" si="71"/>
        <v>9.8178195593226422E-2</v>
      </c>
      <c r="AF128" s="110">
        <f t="shared" si="71"/>
        <v>9.3618539945327969E-2</v>
      </c>
      <c r="AG128" s="110">
        <f t="shared" si="71"/>
        <v>8.7999999999999981E-2</v>
      </c>
      <c r="AI128" s="134"/>
      <c r="AJ128" s="211"/>
      <c r="BD128" s="203"/>
      <c r="BE128" s="203"/>
    </row>
    <row r="129" spans="1:63" outlineLevel="1" x14ac:dyDescent="0.2">
      <c r="B129" s="176"/>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I129" s="134"/>
      <c r="AJ129" s="211"/>
      <c r="BD129" s="203"/>
      <c r="BE129" s="203"/>
    </row>
    <row r="130" spans="1:63" ht="16" outlineLevel="1" x14ac:dyDescent="0.2">
      <c r="A130" t="s">
        <v>1441</v>
      </c>
      <c r="B130" s="54" t="s">
        <v>462</v>
      </c>
      <c r="C130" s="214">
        <v>0.52</v>
      </c>
      <c r="D130" s="110">
        <f>C130</f>
        <v>0.52</v>
      </c>
      <c r="E130" s="110">
        <f t="shared" ref="E130:T130" si="72">D130</f>
        <v>0.52</v>
      </c>
      <c r="F130" s="110">
        <f t="shared" si="72"/>
        <v>0.52</v>
      </c>
      <c r="G130" s="110">
        <f t="shared" si="72"/>
        <v>0.52</v>
      </c>
      <c r="H130" s="110">
        <f t="shared" si="72"/>
        <v>0.52</v>
      </c>
      <c r="I130" s="110">
        <f t="shared" si="72"/>
        <v>0.52</v>
      </c>
      <c r="J130" s="110">
        <f t="shared" si="72"/>
        <v>0.52</v>
      </c>
      <c r="K130" s="110">
        <f t="shared" si="72"/>
        <v>0.52</v>
      </c>
      <c r="L130" s="110">
        <f t="shared" si="72"/>
        <v>0.52</v>
      </c>
      <c r="M130" s="110">
        <f t="shared" si="72"/>
        <v>0.52</v>
      </c>
      <c r="N130" s="110">
        <f t="shared" si="72"/>
        <v>0.52</v>
      </c>
      <c r="O130" s="110">
        <f t="shared" si="72"/>
        <v>0.52</v>
      </c>
      <c r="P130" s="110">
        <f t="shared" si="72"/>
        <v>0.52</v>
      </c>
      <c r="Q130" s="110">
        <f t="shared" si="72"/>
        <v>0.52</v>
      </c>
      <c r="R130" s="110">
        <f t="shared" si="72"/>
        <v>0.52</v>
      </c>
      <c r="S130" s="110">
        <f t="shared" si="72"/>
        <v>0.52</v>
      </c>
      <c r="T130" s="110">
        <f t="shared" si="72"/>
        <v>0.52</v>
      </c>
      <c r="U130" s="110">
        <f t="shared" ref="T130:AG132" si="73">T130</f>
        <v>0.52</v>
      </c>
      <c r="V130" s="110">
        <f t="shared" si="73"/>
        <v>0.52</v>
      </c>
      <c r="W130" s="110">
        <f t="shared" si="73"/>
        <v>0.52</v>
      </c>
      <c r="X130" s="110">
        <f t="shared" si="73"/>
        <v>0.52</v>
      </c>
      <c r="Y130" s="110">
        <f t="shared" si="73"/>
        <v>0.52</v>
      </c>
      <c r="Z130" s="110">
        <f t="shared" si="73"/>
        <v>0.52</v>
      </c>
      <c r="AA130" s="110">
        <f t="shared" si="73"/>
        <v>0.52</v>
      </c>
      <c r="AB130" s="110">
        <f t="shared" si="73"/>
        <v>0.52</v>
      </c>
      <c r="AC130" s="110">
        <f t="shared" si="73"/>
        <v>0.52</v>
      </c>
      <c r="AD130" s="110">
        <f t="shared" si="73"/>
        <v>0.52</v>
      </c>
      <c r="AE130" s="110">
        <f t="shared" si="73"/>
        <v>0.52</v>
      </c>
      <c r="AF130" s="110">
        <f t="shared" si="73"/>
        <v>0.52</v>
      </c>
      <c r="AG130" s="110">
        <f t="shared" si="73"/>
        <v>0.52</v>
      </c>
      <c r="AI130" s="133" t="s">
        <v>1442</v>
      </c>
      <c r="AJ130" s="232" t="s">
        <v>1443</v>
      </c>
      <c r="BD130" s="203"/>
      <c r="BE130" s="203"/>
    </row>
    <row r="131" spans="1:63" ht="16" outlineLevel="1" x14ac:dyDescent="0.2">
      <c r="A131" t="s">
        <v>1444</v>
      </c>
      <c r="B131" s="54" t="s">
        <v>462</v>
      </c>
      <c r="C131" s="214">
        <v>0.12</v>
      </c>
      <c r="D131" s="110">
        <f t="shared" ref="D131:S132" si="74">C131</f>
        <v>0.12</v>
      </c>
      <c r="E131" s="110">
        <f t="shared" si="74"/>
        <v>0.12</v>
      </c>
      <c r="F131" s="110">
        <f t="shared" si="74"/>
        <v>0.12</v>
      </c>
      <c r="G131" s="110">
        <f t="shared" si="74"/>
        <v>0.12</v>
      </c>
      <c r="H131" s="110">
        <f t="shared" si="74"/>
        <v>0.12</v>
      </c>
      <c r="I131" s="110">
        <f t="shared" si="74"/>
        <v>0.12</v>
      </c>
      <c r="J131" s="110">
        <f t="shared" si="74"/>
        <v>0.12</v>
      </c>
      <c r="K131" s="110">
        <f t="shared" si="74"/>
        <v>0.12</v>
      </c>
      <c r="L131" s="110">
        <f t="shared" si="74"/>
        <v>0.12</v>
      </c>
      <c r="M131" s="110">
        <f t="shared" si="74"/>
        <v>0.12</v>
      </c>
      <c r="N131" s="110">
        <f t="shared" si="74"/>
        <v>0.12</v>
      </c>
      <c r="O131" s="110">
        <f t="shared" si="74"/>
        <v>0.12</v>
      </c>
      <c r="P131" s="110">
        <f t="shared" si="74"/>
        <v>0.12</v>
      </c>
      <c r="Q131" s="110">
        <f t="shared" si="74"/>
        <v>0.12</v>
      </c>
      <c r="R131" s="110">
        <f t="shared" si="74"/>
        <v>0.12</v>
      </c>
      <c r="S131" s="110">
        <f t="shared" si="74"/>
        <v>0.12</v>
      </c>
      <c r="T131" s="110">
        <f t="shared" si="73"/>
        <v>0.12</v>
      </c>
      <c r="U131" s="110">
        <f t="shared" si="73"/>
        <v>0.12</v>
      </c>
      <c r="V131" s="110">
        <f t="shared" si="73"/>
        <v>0.12</v>
      </c>
      <c r="W131" s="110">
        <f t="shared" si="73"/>
        <v>0.12</v>
      </c>
      <c r="X131" s="110">
        <f t="shared" si="73"/>
        <v>0.12</v>
      </c>
      <c r="Y131" s="110">
        <f t="shared" si="73"/>
        <v>0.12</v>
      </c>
      <c r="Z131" s="110">
        <f t="shared" si="73"/>
        <v>0.12</v>
      </c>
      <c r="AA131" s="110">
        <f t="shared" si="73"/>
        <v>0.12</v>
      </c>
      <c r="AB131" s="110">
        <f t="shared" si="73"/>
        <v>0.12</v>
      </c>
      <c r="AC131" s="110">
        <f t="shared" si="73"/>
        <v>0.12</v>
      </c>
      <c r="AD131" s="110">
        <f t="shared" si="73"/>
        <v>0.12</v>
      </c>
      <c r="AE131" s="110">
        <f t="shared" si="73"/>
        <v>0.12</v>
      </c>
      <c r="AF131" s="110">
        <f t="shared" si="73"/>
        <v>0.12</v>
      </c>
      <c r="AG131" s="110">
        <f t="shared" si="73"/>
        <v>0.12</v>
      </c>
      <c r="AI131" s="133" t="s">
        <v>1442</v>
      </c>
      <c r="AJ131" s="232" t="s">
        <v>1443</v>
      </c>
      <c r="AL131" s="1"/>
      <c r="BC131" s="1"/>
      <c r="BD131" s="693"/>
      <c r="BE131" s="686"/>
      <c r="BF131" s="6"/>
      <c r="BG131" s="6"/>
      <c r="BH131" s="6"/>
      <c r="BI131" s="6"/>
      <c r="BJ131" s="6"/>
    </row>
    <row r="132" spans="1:63" outlineLevel="1" x14ac:dyDescent="0.2">
      <c r="A132" t="s">
        <v>1445</v>
      </c>
      <c r="B132" s="54" t="s">
        <v>462</v>
      </c>
      <c r="C132" s="121">
        <f>1-C130-C131</f>
        <v>0.36</v>
      </c>
      <c r="D132" s="110">
        <f t="shared" si="74"/>
        <v>0.36</v>
      </c>
      <c r="E132" s="110">
        <f t="shared" si="74"/>
        <v>0.36</v>
      </c>
      <c r="F132" s="110">
        <f t="shared" si="74"/>
        <v>0.36</v>
      </c>
      <c r="G132" s="110">
        <f t="shared" si="74"/>
        <v>0.36</v>
      </c>
      <c r="H132" s="110">
        <f t="shared" si="74"/>
        <v>0.36</v>
      </c>
      <c r="I132" s="110">
        <f t="shared" si="74"/>
        <v>0.36</v>
      </c>
      <c r="J132" s="110">
        <f t="shared" si="74"/>
        <v>0.36</v>
      </c>
      <c r="K132" s="110">
        <f t="shared" si="74"/>
        <v>0.36</v>
      </c>
      <c r="L132" s="110">
        <f t="shared" si="74"/>
        <v>0.36</v>
      </c>
      <c r="M132" s="110">
        <f t="shared" si="74"/>
        <v>0.36</v>
      </c>
      <c r="N132" s="110">
        <f t="shared" si="74"/>
        <v>0.36</v>
      </c>
      <c r="O132" s="110">
        <f t="shared" si="74"/>
        <v>0.36</v>
      </c>
      <c r="P132" s="110">
        <f t="shared" si="74"/>
        <v>0.36</v>
      </c>
      <c r="Q132" s="110">
        <f t="shared" si="74"/>
        <v>0.36</v>
      </c>
      <c r="R132" s="110">
        <f t="shared" si="74"/>
        <v>0.36</v>
      </c>
      <c r="S132" s="110">
        <f t="shared" si="74"/>
        <v>0.36</v>
      </c>
      <c r="T132" s="110">
        <f t="shared" si="73"/>
        <v>0.36</v>
      </c>
      <c r="U132" s="110">
        <f t="shared" si="73"/>
        <v>0.36</v>
      </c>
      <c r="V132" s="110">
        <f t="shared" si="73"/>
        <v>0.36</v>
      </c>
      <c r="W132" s="110">
        <f t="shared" si="73"/>
        <v>0.36</v>
      </c>
      <c r="X132" s="110">
        <f t="shared" si="73"/>
        <v>0.36</v>
      </c>
      <c r="Y132" s="110">
        <f t="shared" si="73"/>
        <v>0.36</v>
      </c>
      <c r="Z132" s="110">
        <f t="shared" si="73"/>
        <v>0.36</v>
      </c>
      <c r="AA132" s="110">
        <f t="shared" si="73"/>
        <v>0.36</v>
      </c>
      <c r="AB132" s="110">
        <f t="shared" si="73"/>
        <v>0.36</v>
      </c>
      <c r="AC132" s="110">
        <f t="shared" si="73"/>
        <v>0.36</v>
      </c>
      <c r="AD132" s="110">
        <f t="shared" si="73"/>
        <v>0.36</v>
      </c>
      <c r="AE132" s="110">
        <f t="shared" si="73"/>
        <v>0.36</v>
      </c>
      <c r="AF132" s="110">
        <f t="shared" si="73"/>
        <v>0.36</v>
      </c>
      <c r="AG132" s="110">
        <f t="shared" si="73"/>
        <v>0.36</v>
      </c>
      <c r="AI132" s="133"/>
      <c r="AJ132" s="223"/>
      <c r="BC132" s="1"/>
      <c r="BD132" s="41"/>
      <c r="BF132" s="6"/>
      <c r="BG132" s="6"/>
      <c r="BH132" s="6"/>
      <c r="BI132" s="6"/>
      <c r="BJ132" s="6"/>
    </row>
    <row r="133" spans="1:63" outlineLevel="1" x14ac:dyDescent="0.2">
      <c r="A133" t="s">
        <v>1268</v>
      </c>
      <c r="B133" s="54" t="s">
        <v>462</v>
      </c>
      <c r="C133" s="110">
        <f>SUM(C130:C132)</f>
        <v>1</v>
      </c>
      <c r="D133" s="110">
        <f t="shared" ref="D133:AG133" si="75">SUM(D130:D132)</f>
        <v>1</v>
      </c>
      <c r="E133" s="110">
        <f t="shared" si="75"/>
        <v>1</v>
      </c>
      <c r="F133" s="110">
        <f t="shared" si="75"/>
        <v>1</v>
      </c>
      <c r="G133" s="110">
        <f t="shared" si="75"/>
        <v>1</v>
      </c>
      <c r="H133" s="110">
        <f t="shared" si="75"/>
        <v>1</v>
      </c>
      <c r="I133" s="110">
        <f t="shared" si="75"/>
        <v>1</v>
      </c>
      <c r="J133" s="110">
        <f t="shared" si="75"/>
        <v>1</v>
      </c>
      <c r="K133" s="110">
        <f t="shared" si="75"/>
        <v>1</v>
      </c>
      <c r="L133" s="110">
        <f t="shared" si="75"/>
        <v>1</v>
      </c>
      <c r="M133" s="110">
        <f t="shared" si="75"/>
        <v>1</v>
      </c>
      <c r="N133" s="110">
        <f t="shared" si="75"/>
        <v>1</v>
      </c>
      <c r="O133" s="110">
        <f t="shared" si="75"/>
        <v>1</v>
      </c>
      <c r="P133" s="110">
        <f t="shared" si="75"/>
        <v>1</v>
      </c>
      <c r="Q133" s="110">
        <f t="shared" si="75"/>
        <v>1</v>
      </c>
      <c r="R133" s="110">
        <f t="shared" si="75"/>
        <v>1</v>
      </c>
      <c r="S133" s="110">
        <f t="shared" si="75"/>
        <v>1</v>
      </c>
      <c r="T133" s="110">
        <f t="shared" si="75"/>
        <v>1</v>
      </c>
      <c r="U133" s="110">
        <f t="shared" si="75"/>
        <v>1</v>
      </c>
      <c r="V133" s="110">
        <f t="shared" si="75"/>
        <v>1</v>
      </c>
      <c r="W133" s="110">
        <f t="shared" si="75"/>
        <v>1</v>
      </c>
      <c r="X133" s="110">
        <f t="shared" si="75"/>
        <v>1</v>
      </c>
      <c r="Y133" s="110">
        <f t="shared" si="75"/>
        <v>1</v>
      </c>
      <c r="Z133" s="110">
        <f t="shared" si="75"/>
        <v>1</v>
      </c>
      <c r="AA133" s="110">
        <f t="shared" si="75"/>
        <v>1</v>
      </c>
      <c r="AB133" s="110">
        <f t="shared" si="75"/>
        <v>1</v>
      </c>
      <c r="AC133" s="110">
        <f t="shared" si="75"/>
        <v>1</v>
      </c>
      <c r="AD133" s="110">
        <f t="shared" si="75"/>
        <v>1</v>
      </c>
      <c r="AE133" s="110">
        <f t="shared" si="75"/>
        <v>1</v>
      </c>
      <c r="AF133" s="110">
        <f t="shared" si="75"/>
        <v>1</v>
      </c>
      <c r="AG133" s="110">
        <f t="shared" si="75"/>
        <v>1</v>
      </c>
      <c r="AI133" s="133"/>
      <c r="AJ133" s="211"/>
      <c r="BC133" s="1"/>
      <c r="BD133" s="41"/>
      <c r="BF133" s="6"/>
      <c r="BG133" s="6"/>
      <c r="BH133" s="6"/>
      <c r="BI133" s="6"/>
      <c r="BJ133" s="6"/>
    </row>
    <row r="134" spans="1:63" outlineLevel="1" x14ac:dyDescent="0.2">
      <c r="C134" s="214"/>
      <c r="D134" s="110"/>
      <c r="E134" s="110"/>
      <c r="F134" s="110"/>
      <c r="G134" s="110"/>
      <c r="H134" s="110"/>
      <c r="I134" s="110"/>
      <c r="J134" s="110"/>
      <c r="K134" s="110"/>
      <c r="L134" s="110"/>
      <c r="M134" s="110"/>
      <c r="N134" s="110"/>
      <c r="O134" s="110"/>
      <c r="P134" s="110"/>
      <c r="Q134" s="110"/>
      <c r="R134" s="110"/>
      <c r="S134" s="110"/>
      <c r="T134" s="110"/>
      <c r="U134" s="110"/>
      <c r="V134" s="110"/>
      <c r="W134" s="110"/>
      <c r="X134" s="110"/>
      <c r="Y134" s="110"/>
      <c r="Z134" s="110"/>
      <c r="AA134" s="110"/>
      <c r="AB134" s="110"/>
      <c r="AC134" s="110"/>
      <c r="AD134" s="110"/>
      <c r="AE134" s="110"/>
      <c r="AF134" s="110"/>
      <c r="AG134" s="110"/>
      <c r="AI134" s="133"/>
      <c r="AJ134" s="211"/>
      <c r="BC134" s="1"/>
      <c r="BD134" s="41"/>
      <c r="BF134" s="6"/>
      <c r="BG134" s="6"/>
      <c r="BH134" s="6"/>
      <c r="BI134" s="6"/>
      <c r="BJ134" s="6"/>
    </row>
    <row r="135" spans="1:63" outlineLevel="1" x14ac:dyDescent="0.2">
      <c r="A135" t="s">
        <v>1335</v>
      </c>
      <c r="B135" s="54" t="s">
        <v>462</v>
      </c>
      <c r="C135" s="110">
        <f>C130*C128</f>
        <v>1.1960000000000002E-2</v>
      </c>
      <c r="D135" s="110">
        <f t="shared" ref="D135:AG135" si="76">D130*D128</f>
        <v>1.4562523765387934E-2</v>
      </c>
      <c r="E135" s="110">
        <f t="shared" si="76"/>
        <v>1.7008912329058656E-2</v>
      </c>
      <c r="F135" s="110">
        <f t="shared" si="76"/>
        <v>1.9299165691012168E-2</v>
      </c>
      <c r="G135" s="110">
        <f t="shared" si="76"/>
        <v>2.1433283851248472E-2</v>
      </c>
      <c r="H135" s="110">
        <f t="shared" si="76"/>
        <v>2.3411266809767559E-2</v>
      </c>
      <c r="I135" s="110">
        <f t="shared" si="76"/>
        <v>2.5233114566569442E-2</v>
      </c>
      <c r="J135" s="110">
        <f t="shared" si="76"/>
        <v>2.6898827121654107E-2</v>
      </c>
      <c r="K135" s="110">
        <f t="shared" si="76"/>
        <v>2.8408404475021565E-2</v>
      </c>
      <c r="L135" s="110">
        <f t="shared" si="76"/>
        <v>2.9761846626671813E-2</v>
      </c>
      <c r="M135" s="110">
        <f t="shared" si="76"/>
        <v>3.0959153576604843E-2</v>
      </c>
      <c r="N135" s="110">
        <f t="shared" si="76"/>
        <v>3.4363972070816588E-2</v>
      </c>
      <c r="O135" s="110">
        <f t="shared" si="76"/>
        <v>3.7439705601408989E-2</v>
      </c>
      <c r="P135" s="110">
        <f t="shared" si="76"/>
        <v>4.0186354168382038E-2</v>
      </c>
      <c r="Q135" s="110">
        <f t="shared" si="76"/>
        <v>4.2603917771735722E-2</v>
      </c>
      <c r="R135" s="110">
        <f t="shared" si="76"/>
        <v>4.4692396411470069E-2</v>
      </c>
      <c r="S135" s="110">
        <f t="shared" si="76"/>
        <v>4.6451790087585064E-2</v>
      </c>
      <c r="T135" s="110">
        <f t="shared" si="76"/>
        <v>4.7882098800080701E-2</v>
      </c>
      <c r="U135" s="110">
        <f t="shared" si="76"/>
        <v>4.8983322548956994E-2</v>
      </c>
      <c r="V135" s="110">
        <f t="shared" si="76"/>
        <v>4.9755461334213928E-2</v>
      </c>
      <c r="W135" s="110">
        <f t="shared" si="76"/>
        <v>5.0198515155851518E-2</v>
      </c>
      <c r="X135" s="110">
        <f t="shared" si="76"/>
        <v>5.2232452896251821E-2</v>
      </c>
      <c r="Y135" s="110">
        <f t="shared" si="76"/>
        <v>5.3715770801988701E-2</v>
      </c>
      <c r="Z135" s="110">
        <f t="shared" si="76"/>
        <v>5.4648468873062142E-2</v>
      </c>
      <c r="AA135" s="110">
        <f t="shared" si="76"/>
        <v>5.5030547109472132E-2</v>
      </c>
      <c r="AB135" s="110">
        <f t="shared" si="76"/>
        <v>5.4862005511218705E-2</v>
      </c>
      <c r="AC135" s="110">
        <f t="shared" si="76"/>
        <v>5.4142844078301819E-2</v>
      </c>
      <c r="AD135" s="110">
        <f t="shared" si="76"/>
        <v>5.2873062810721502E-2</v>
      </c>
      <c r="AE135" s="110">
        <f t="shared" si="76"/>
        <v>5.1052661708477741E-2</v>
      </c>
      <c r="AF135" s="110">
        <f t="shared" si="76"/>
        <v>4.8681640771570549E-2</v>
      </c>
      <c r="AG135" s="110">
        <f t="shared" si="76"/>
        <v>4.5759999999999995E-2</v>
      </c>
      <c r="AI135" s="133"/>
      <c r="AJ135" s="211"/>
      <c r="BD135" s="203"/>
      <c r="BE135" s="203"/>
    </row>
    <row r="136" spans="1:63" outlineLevel="1" x14ac:dyDescent="0.2">
      <c r="A136" t="s">
        <v>1336</v>
      </c>
      <c r="B136" s="54" t="s">
        <v>462</v>
      </c>
      <c r="C136" s="110">
        <f>C128*C131</f>
        <v>2.7600000000000003E-3</v>
      </c>
      <c r="D136" s="110">
        <f t="shared" ref="D136:AG136" si="77">D128*D131</f>
        <v>3.3605824073972158E-3</v>
      </c>
      <c r="E136" s="110">
        <f t="shared" si="77"/>
        <v>3.9251336143981512E-3</v>
      </c>
      <c r="F136" s="110">
        <f t="shared" si="77"/>
        <v>4.4536536210028075E-3</v>
      </c>
      <c r="G136" s="110">
        <f t="shared" si="77"/>
        <v>4.9461424272111854E-3</v>
      </c>
      <c r="H136" s="110">
        <f t="shared" si="77"/>
        <v>5.4026000330232825E-3</v>
      </c>
      <c r="I136" s="110">
        <f t="shared" si="77"/>
        <v>5.8230264384391021E-3</v>
      </c>
      <c r="J136" s="110">
        <f t="shared" si="77"/>
        <v>6.2074216434586391E-3</v>
      </c>
      <c r="K136" s="110">
        <f t="shared" si="77"/>
        <v>6.5557856480818995E-3</v>
      </c>
      <c r="L136" s="110">
        <f t="shared" si="77"/>
        <v>6.868118452308879E-3</v>
      </c>
      <c r="M136" s="110">
        <f t="shared" si="77"/>
        <v>7.1444200561395794E-3</v>
      </c>
      <c r="N136" s="110">
        <f t="shared" si="77"/>
        <v>7.9301474009576736E-3</v>
      </c>
      <c r="O136" s="110">
        <f t="shared" si="77"/>
        <v>8.6399320618636127E-3</v>
      </c>
      <c r="P136" s="110">
        <f t="shared" si="77"/>
        <v>9.2737740388573915E-3</v>
      </c>
      <c r="Q136" s="110">
        <f t="shared" si="77"/>
        <v>9.8316733319390136E-3</v>
      </c>
      <c r="R136" s="110">
        <f t="shared" si="77"/>
        <v>1.0313629941108475E-2</v>
      </c>
      <c r="S136" s="110">
        <f t="shared" si="77"/>
        <v>1.0719643866365784E-2</v>
      </c>
      <c r="T136" s="110">
        <f t="shared" si="77"/>
        <v>1.104971510771093E-2</v>
      </c>
      <c r="U136" s="110">
        <f t="shared" si="77"/>
        <v>1.1303843665143922E-2</v>
      </c>
      <c r="V136" s="110">
        <f t="shared" si="77"/>
        <v>1.1482029538664751E-2</v>
      </c>
      <c r="W136" s="110">
        <f t="shared" si="77"/>
        <v>1.1584272728273426E-2</v>
      </c>
      <c r="X136" s="110">
        <f t="shared" si="77"/>
        <v>1.2053642976058113E-2</v>
      </c>
      <c r="Y136" s="110">
        <f t="shared" si="77"/>
        <v>1.2395947108151237E-2</v>
      </c>
      <c r="Z136" s="110">
        <f t="shared" si="77"/>
        <v>1.2611185124552803E-2</v>
      </c>
      <c r="AA136" s="110">
        <f t="shared" si="77"/>
        <v>1.2699357025262798E-2</v>
      </c>
      <c r="AB136" s="110">
        <f t="shared" si="77"/>
        <v>1.2660462810281237E-2</v>
      </c>
      <c r="AC136" s="110">
        <f t="shared" si="77"/>
        <v>1.2494502479608111E-2</v>
      </c>
      <c r="AD136" s="110">
        <f t="shared" si="77"/>
        <v>1.2201476033243421E-2</v>
      </c>
      <c r="AE136" s="110">
        <f t="shared" si="77"/>
        <v>1.178138347118717E-2</v>
      </c>
      <c r="AF136" s="110">
        <f t="shared" si="77"/>
        <v>1.1234224793439355E-2</v>
      </c>
      <c r="AG136" s="110">
        <f t="shared" si="77"/>
        <v>1.0559999999999996E-2</v>
      </c>
      <c r="AI136" s="133"/>
      <c r="AJ136" s="211"/>
      <c r="AL136" s="1"/>
      <c r="BC136" s="1"/>
      <c r="BD136" s="693"/>
      <c r="BE136" s="686"/>
      <c r="BF136" s="6"/>
      <c r="BG136" s="6"/>
      <c r="BH136" s="6"/>
      <c r="BI136" s="6"/>
      <c r="BJ136" s="6"/>
    </row>
    <row r="137" spans="1:63" outlineLevel="1" x14ac:dyDescent="0.2">
      <c r="A137" t="s">
        <v>1337</v>
      </c>
      <c r="B137" s="54" t="s">
        <v>462</v>
      </c>
      <c r="C137" s="110">
        <f>C128*C132</f>
        <v>8.2800000000000009E-3</v>
      </c>
      <c r="D137" s="110">
        <f t="shared" ref="D137:AG137" si="78">D128*D132</f>
        <v>1.0081747222191647E-2</v>
      </c>
      <c r="E137" s="110">
        <f t="shared" si="78"/>
        <v>1.1775400843194454E-2</v>
      </c>
      <c r="F137" s="110">
        <f t="shared" si="78"/>
        <v>1.3360960863008423E-2</v>
      </c>
      <c r="G137" s="110">
        <f t="shared" si="78"/>
        <v>1.4838427281633556E-2</v>
      </c>
      <c r="H137" s="110">
        <f t="shared" si="78"/>
        <v>1.6207800099069847E-2</v>
      </c>
      <c r="I137" s="110">
        <f t="shared" si="78"/>
        <v>1.7469079315317305E-2</v>
      </c>
      <c r="J137" s="110">
        <f t="shared" si="78"/>
        <v>1.8622264930375918E-2</v>
      </c>
      <c r="K137" s="110">
        <f t="shared" si="78"/>
        <v>1.9667356944245699E-2</v>
      </c>
      <c r="L137" s="110">
        <f t="shared" si="78"/>
        <v>2.0604355356926639E-2</v>
      </c>
      <c r="M137" s="110">
        <f t="shared" si="78"/>
        <v>2.1433260168418736E-2</v>
      </c>
      <c r="N137" s="110">
        <f t="shared" si="78"/>
        <v>2.3790442202873022E-2</v>
      </c>
      <c r="O137" s="110">
        <f t="shared" si="78"/>
        <v>2.5919796185590836E-2</v>
      </c>
      <c r="P137" s="110">
        <f t="shared" si="78"/>
        <v>2.7821322116572178E-2</v>
      </c>
      <c r="Q137" s="110">
        <f t="shared" si="78"/>
        <v>2.9495019995817037E-2</v>
      </c>
      <c r="R137" s="110">
        <f t="shared" si="78"/>
        <v>3.0940889823325428E-2</v>
      </c>
      <c r="S137" s="110">
        <f t="shared" si="78"/>
        <v>3.215893159909735E-2</v>
      </c>
      <c r="T137" s="110">
        <f t="shared" si="78"/>
        <v>3.3149145323132789E-2</v>
      </c>
      <c r="U137" s="110">
        <f t="shared" si="78"/>
        <v>3.3911530995431767E-2</v>
      </c>
      <c r="V137" s="110">
        <f t="shared" si="78"/>
        <v>3.4446088615994255E-2</v>
      </c>
      <c r="W137" s="110">
        <f t="shared" si="78"/>
        <v>3.4752818184820275E-2</v>
      </c>
      <c r="X137" s="110">
        <f t="shared" si="78"/>
        <v>3.6160928928174338E-2</v>
      </c>
      <c r="Y137" s="110">
        <f t="shared" si="78"/>
        <v>3.7187841324453713E-2</v>
      </c>
      <c r="Z137" s="110">
        <f t="shared" si="78"/>
        <v>3.7833555373658408E-2</v>
      </c>
      <c r="AA137" s="110">
        <f t="shared" si="78"/>
        <v>3.8098071075788394E-2</v>
      </c>
      <c r="AB137" s="110">
        <f t="shared" si="78"/>
        <v>3.7981388430843713E-2</v>
      </c>
      <c r="AC137" s="110">
        <f t="shared" si="78"/>
        <v>3.748350743882433E-2</v>
      </c>
      <c r="AD137" s="110">
        <f t="shared" si="78"/>
        <v>3.6604428099730267E-2</v>
      </c>
      <c r="AE137" s="110">
        <f t="shared" si="78"/>
        <v>3.5344150413561509E-2</v>
      </c>
      <c r="AF137" s="110">
        <f t="shared" si="78"/>
        <v>3.3702674380318071E-2</v>
      </c>
      <c r="AG137" s="110">
        <f t="shared" si="78"/>
        <v>3.1679999999999993E-2</v>
      </c>
      <c r="AI137" s="134"/>
      <c r="AJ137" s="211"/>
      <c r="BC137" s="1"/>
      <c r="BD137" s="41"/>
      <c r="BF137" s="6"/>
      <c r="BG137" s="6"/>
      <c r="BH137" s="6"/>
      <c r="BI137" s="6"/>
      <c r="BJ137" s="6"/>
    </row>
    <row r="138" spans="1:63" outlineLevel="1" x14ac:dyDescent="0.2">
      <c r="C138" s="110"/>
      <c r="D138" s="110"/>
      <c r="E138" s="110"/>
      <c r="F138" s="110"/>
      <c r="G138" s="110"/>
      <c r="H138" s="110"/>
      <c r="I138" s="110"/>
      <c r="J138" s="110"/>
      <c r="K138" s="110"/>
      <c r="L138" s="110"/>
      <c r="M138" s="110"/>
      <c r="N138" s="110"/>
      <c r="O138" s="110"/>
      <c r="P138" s="110"/>
      <c r="Q138" s="110"/>
      <c r="R138" s="110"/>
      <c r="S138" s="110"/>
      <c r="T138" s="110"/>
      <c r="U138" s="110"/>
      <c r="V138" s="110"/>
      <c r="W138" s="110"/>
      <c r="X138" s="110"/>
      <c r="Y138" s="110"/>
      <c r="Z138" s="110"/>
      <c r="AA138" s="110"/>
      <c r="AB138" s="110"/>
      <c r="AC138" s="110"/>
      <c r="AD138" s="110"/>
      <c r="AE138" s="110"/>
      <c r="AF138" s="110"/>
      <c r="AG138" s="110"/>
      <c r="AI138" s="134"/>
      <c r="AJ138" s="211"/>
      <c r="BC138" s="1"/>
      <c r="BD138" s="41"/>
      <c r="BF138" s="6"/>
      <c r="BG138" s="6"/>
      <c r="BH138" s="6"/>
      <c r="BI138" s="6"/>
      <c r="BJ138" s="6"/>
    </row>
    <row r="139" spans="1:63" outlineLevel="1" x14ac:dyDescent="0.2">
      <c r="A139" t="s">
        <v>1621</v>
      </c>
      <c r="C139" s="230">
        <f>('Overall recycling rates'!F86*'Yearly BTX'!D5+'Overall recycling rates'!G86*'Yearly BTX'!D6+'Overall recycling rates'!H86*'Yearly BTX'!D7)/'Yearly BTX'!D4</f>
        <v>0.70806073640898437</v>
      </c>
      <c r="D139" s="230">
        <f>C139-($C139-$AG139)/($AG$1-$C$1)</f>
        <v>0.71779204519535156</v>
      </c>
      <c r="E139" s="230">
        <f t="shared" ref="E139:AF139" si="79">D139-($C139-$AG139)/($AG$1-$C$1)</f>
        <v>0.72752335398171875</v>
      </c>
      <c r="F139" s="230">
        <f t="shared" si="79"/>
        <v>0.73725466276808593</v>
      </c>
      <c r="G139" s="230">
        <f t="shared" si="79"/>
        <v>0.74698597155445312</v>
      </c>
      <c r="H139" s="230">
        <f t="shared" si="79"/>
        <v>0.75671728034082031</v>
      </c>
      <c r="I139" s="230">
        <f t="shared" si="79"/>
        <v>0.7664485891271875</v>
      </c>
      <c r="J139" s="230">
        <f t="shared" si="79"/>
        <v>0.77617989791355468</v>
      </c>
      <c r="K139" s="230">
        <f t="shared" si="79"/>
        <v>0.78591120669992187</v>
      </c>
      <c r="L139" s="230">
        <f t="shared" si="79"/>
        <v>0.79564251548628906</v>
      </c>
      <c r="M139" s="230">
        <f t="shared" si="79"/>
        <v>0.80537382427265625</v>
      </c>
      <c r="N139" s="230">
        <f t="shared" si="79"/>
        <v>0.81510513305902343</v>
      </c>
      <c r="O139" s="230">
        <f t="shared" si="79"/>
        <v>0.82483644184539062</v>
      </c>
      <c r="P139" s="230">
        <f t="shared" si="79"/>
        <v>0.83456775063175781</v>
      </c>
      <c r="Q139" s="230">
        <f t="shared" si="79"/>
        <v>0.844299059418125</v>
      </c>
      <c r="R139" s="230">
        <f t="shared" si="79"/>
        <v>0.85403036820449219</v>
      </c>
      <c r="S139" s="230">
        <f t="shared" si="79"/>
        <v>0.86376167699085937</v>
      </c>
      <c r="T139" s="230">
        <f t="shared" si="79"/>
        <v>0.87349298577722656</v>
      </c>
      <c r="U139" s="230">
        <f t="shared" si="79"/>
        <v>0.88322429456359375</v>
      </c>
      <c r="V139" s="230">
        <f t="shared" si="79"/>
        <v>0.89295560334996094</v>
      </c>
      <c r="W139" s="230">
        <f t="shared" si="79"/>
        <v>0.90268691213632812</v>
      </c>
      <c r="X139" s="230">
        <f t="shared" si="79"/>
        <v>0.91241822092269531</v>
      </c>
      <c r="Y139" s="230">
        <f t="shared" si="79"/>
        <v>0.9221495297090625</v>
      </c>
      <c r="Z139" s="230">
        <f t="shared" si="79"/>
        <v>0.93188083849542969</v>
      </c>
      <c r="AA139" s="230">
        <f t="shared" si="79"/>
        <v>0.94161214728179687</v>
      </c>
      <c r="AB139" s="230">
        <f t="shared" si="79"/>
        <v>0.95134345606816406</v>
      </c>
      <c r="AC139" s="230">
        <f t="shared" si="79"/>
        <v>0.96107476485453125</v>
      </c>
      <c r="AD139" s="230">
        <f t="shared" si="79"/>
        <v>0.97080607364089844</v>
      </c>
      <c r="AE139" s="230">
        <f t="shared" si="79"/>
        <v>0.98053738242726562</v>
      </c>
      <c r="AF139" s="230">
        <f t="shared" si="79"/>
        <v>0.99026869121363281</v>
      </c>
      <c r="AG139" s="230">
        <f>'Overall recycling rates'!F95</f>
        <v>1</v>
      </c>
      <c r="AI139" s="133"/>
      <c r="AJ139" s="211" t="s">
        <v>1571</v>
      </c>
      <c r="AL139" s="108"/>
      <c r="AM139" s="207"/>
      <c r="AN139" s="207"/>
      <c r="AO139" s="207"/>
      <c r="BC139" s="1"/>
      <c r="BD139" s="207"/>
      <c r="BE139" s="207"/>
      <c r="BF139" s="207"/>
      <c r="BG139" s="207"/>
      <c r="BH139" s="207"/>
      <c r="BI139" s="207"/>
      <c r="BJ139" s="207"/>
      <c r="BK139" s="207"/>
    </row>
    <row r="140" spans="1:63" outlineLevel="1" x14ac:dyDescent="0.2">
      <c r="A140" t="s">
        <v>1629</v>
      </c>
      <c r="B140" s="54" t="s">
        <v>462</v>
      </c>
      <c r="C140" s="110">
        <f>C127*C$139</f>
        <v>1.4161214728179688E-3</v>
      </c>
      <c r="D140" s="110">
        <f t="shared" ref="D140:AG141" si="80">D127*D$139</f>
        <v>2.3332285082061873E-3</v>
      </c>
      <c r="E140" s="110">
        <f t="shared" si="80"/>
        <v>3.4931209443098831E-3</v>
      </c>
      <c r="F140" s="110">
        <f t="shared" si="80"/>
        <v>4.90456454955405E-3</v>
      </c>
      <c r="G140" s="110">
        <f t="shared" si="80"/>
        <v>6.5763250923636775E-3</v>
      </c>
      <c r="H140" s="110">
        <f t="shared" si="80"/>
        <v>8.5171683411637573E-3</v>
      </c>
      <c r="I140" s="110">
        <f t="shared" si="80"/>
        <v>1.0735860064379286E-2</v>
      </c>
      <c r="J140" s="110">
        <f t="shared" si="80"/>
        <v>1.3241166030435248E-2</v>
      </c>
      <c r="K140" s="110">
        <f t="shared" si="80"/>
        <v>1.6041852007756641E-2</v>
      </c>
      <c r="L140" s="110">
        <f t="shared" si="80"/>
        <v>1.9146683764768458E-2</v>
      </c>
      <c r="M140" s="110">
        <f t="shared" si="80"/>
        <v>2.2564427069895681E-2</v>
      </c>
      <c r="N140" s="110">
        <f t="shared" si="80"/>
        <v>2.8246734314503745E-2</v>
      </c>
      <c r="O140" s="110">
        <f t="shared" si="80"/>
        <v>3.4580212838175181E-2</v>
      </c>
      <c r="P140" s="110">
        <f t="shared" si="80"/>
        <v>4.1583338183590356E-2</v>
      </c>
      <c r="Q140" s="110">
        <f t="shared" si="80"/>
        <v>4.9274585893429625E-2</v>
      </c>
      <c r="R140" s="110">
        <f t="shared" si="80"/>
        <v>5.7672431510373379E-2</v>
      </c>
      <c r="S140" s="110">
        <f t="shared" si="80"/>
        <v>6.6795350577101981E-2</v>
      </c>
      <c r="T140" s="110">
        <f t="shared" si="80"/>
        <v>7.6661818636295773E-2</v>
      </c>
      <c r="U140" s="110">
        <f t="shared" si="80"/>
        <v>8.7290311230635131E-2</v>
      </c>
      <c r="V140" s="110">
        <f t="shared" si="80"/>
        <v>9.8699303902800434E-2</v>
      </c>
      <c r="W140" s="110">
        <f t="shared" si="80"/>
        <v>0.11090727219547206</v>
      </c>
      <c r="X140" s="110">
        <f t="shared" si="80"/>
        <v>0.12866207276109254</v>
      </c>
      <c r="Y140" s="110">
        <f t="shared" si="80"/>
        <v>0.14774654362280384</v>
      </c>
      <c r="Z140" s="110">
        <f t="shared" si="80"/>
        <v>0.16819159777080797</v>
      </c>
      <c r="AA140" s="110">
        <f t="shared" si="80"/>
        <v>0.19002814819530678</v>
      </c>
      <c r="AB140" s="110">
        <f t="shared" si="80"/>
        <v>0.21328710788650238</v>
      </c>
      <c r="AC140" s="110">
        <f t="shared" si="80"/>
        <v>0.23799938983459665</v>
      </c>
      <c r="AD140" s="110">
        <f t="shared" si="80"/>
        <v>0.26419590702979157</v>
      </c>
      <c r="AE140" s="110">
        <f t="shared" si="80"/>
        <v>0.29190757246228916</v>
      </c>
      <c r="AF140" s="110">
        <f t="shared" si="80"/>
        <v>0.32116529912229136</v>
      </c>
      <c r="AG140" s="110">
        <f t="shared" si="80"/>
        <v>0.35200000000000004</v>
      </c>
      <c r="AI140" s="133"/>
      <c r="AJ140"/>
      <c r="AL140" s="108"/>
      <c r="AM140" s="2"/>
      <c r="AN140" s="2"/>
      <c r="AO140" s="2"/>
      <c r="AV140" s="41"/>
    </row>
    <row r="141" spans="1:63" outlineLevel="1" x14ac:dyDescent="0.2">
      <c r="A141" t="s">
        <v>1630</v>
      </c>
      <c r="B141" s="54" t="s">
        <v>462</v>
      </c>
      <c r="C141" s="110">
        <f>C128*C$139</f>
        <v>1.6285396937406642E-2</v>
      </c>
      <c r="D141" s="110">
        <f t="shared" si="80"/>
        <v>2.0101660993776381E-2</v>
      </c>
      <c r="E141" s="110">
        <f t="shared" si="80"/>
        <v>2.3796886433111078E-2</v>
      </c>
      <c r="F141" s="110">
        <f t="shared" si="80"/>
        <v>2.7362307486985749E-2</v>
      </c>
      <c r="G141" s="110">
        <f t="shared" si="80"/>
        <v>3.0789158386975404E-2</v>
      </c>
      <c r="H141" s="110">
        <f t="shared" si="80"/>
        <v>3.4068673364655036E-2</v>
      </c>
      <c r="I141" s="110">
        <f t="shared" si="80"/>
        <v>3.7192086651599676E-2</v>
      </c>
      <c r="J141" s="110">
        <f t="shared" si="80"/>
        <v>4.0150632479384309E-2</v>
      </c>
      <c r="K141" s="110">
        <f t="shared" si="80"/>
        <v>4.2935545079583956E-2</v>
      </c>
      <c r="L141" s="110">
        <f t="shared" si="80"/>
        <v>4.5538058683773627E-2</v>
      </c>
      <c r="M141" s="110">
        <f t="shared" si="80"/>
        <v>4.7949407523528317E-2</v>
      </c>
      <c r="N141" s="110">
        <f t="shared" si="80"/>
        <v>5.3865865436960612E-2</v>
      </c>
      <c r="O141" s="110">
        <f t="shared" si="80"/>
        <v>5.9387756830779098E-2</v>
      </c>
      <c r="P141" s="110">
        <f t="shared" si="80"/>
        <v>6.4496606162303377E-2</v>
      </c>
      <c r="Q141" s="110">
        <f t="shared" si="80"/>
        <v>6.9173937888853093E-2</v>
      </c>
      <c r="R141" s="110">
        <f t="shared" si="80"/>
        <v>7.3401276467747897E-2</v>
      </c>
      <c r="S141" s="110">
        <f t="shared" si="80"/>
        <v>7.7160146356307413E-2</v>
      </c>
      <c r="T141" s="110">
        <f t="shared" si="80"/>
        <v>8.0432072011851249E-2</v>
      </c>
      <c r="U141" s="110">
        <f t="shared" si="80"/>
        <v>8.3198577891699071E-2</v>
      </c>
      <c r="V141" s="110">
        <f t="shared" si="80"/>
        <v>8.5441188453170475E-2</v>
      </c>
      <c r="W141" s="110">
        <f t="shared" si="80"/>
        <v>8.7141428153585138E-2</v>
      </c>
      <c r="X141" s="110">
        <f t="shared" si="80"/>
        <v>9.164969566543571E-2</v>
      </c>
      <c r="Y141" s="110">
        <f t="shared" si="80"/>
        <v>9.5257639967333982E-2</v>
      </c>
      <c r="Z141" s="110">
        <f t="shared" si="80"/>
        <v>9.7934348069077956E-2</v>
      </c>
      <c r="AA141" s="110">
        <f t="shared" si="80"/>
        <v>9.9648906980465635E-2</v>
      </c>
      <c r="AB141" s="110">
        <f t="shared" si="80"/>
        <v>0.10037040371129512</v>
      </c>
      <c r="AC141" s="110">
        <f t="shared" si="80"/>
        <v>0.10006792527136436</v>
      </c>
      <c r="AD141" s="110">
        <f t="shared" si="80"/>
        <v>9.8710558670471432E-2</v>
      </c>
      <c r="AE141" s="110">
        <f t="shared" si="80"/>
        <v>9.6267390918414339E-2</v>
      </c>
      <c r="AF141" s="110">
        <f t="shared" si="80"/>
        <v>9.2707509024991128E-2</v>
      </c>
      <c r="AG141" s="110">
        <f t="shared" si="80"/>
        <v>8.7999999999999981E-2</v>
      </c>
      <c r="AH141" s="245"/>
      <c r="AI141" s="133"/>
      <c r="AJ141" s="211"/>
      <c r="AL141" s="108"/>
      <c r="AM141" s="2"/>
      <c r="AN141" s="2"/>
      <c r="AO141" s="2"/>
      <c r="AV141" s="41"/>
    </row>
    <row r="142" spans="1:63" outlineLevel="1" x14ac:dyDescent="0.2">
      <c r="A142" t="s">
        <v>1631</v>
      </c>
      <c r="B142" s="176" t="s">
        <v>462</v>
      </c>
      <c r="C142" s="110">
        <f>SUM(C140:C141)</f>
        <v>1.7701518410224611E-2</v>
      </c>
      <c r="D142" s="110">
        <f t="shared" ref="D142:AG142" si="81">SUM(D140:D141)</f>
        <v>2.243488950198257E-2</v>
      </c>
      <c r="E142" s="110">
        <f t="shared" si="81"/>
        <v>2.7290007377420961E-2</v>
      </c>
      <c r="F142" s="110">
        <f t="shared" si="81"/>
        <v>3.2266872036539801E-2</v>
      </c>
      <c r="G142" s="110">
        <f t="shared" si="81"/>
        <v>3.736548347933908E-2</v>
      </c>
      <c r="H142" s="110">
        <f t="shared" si="81"/>
        <v>4.2585841705818792E-2</v>
      </c>
      <c r="I142" s="110">
        <f t="shared" si="81"/>
        <v>4.7927946715978963E-2</v>
      </c>
      <c r="J142" s="110">
        <f t="shared" si="81"/>
        <v>5.3391798509819559E-2</v>
      </c>
      <c r="K142" s="110">
        <f t="shared" si="81"/>
        <v>5.8977397087340594E-2</v>
      </c>
      <c r="L142" s="110">
        <f t="shared" si="81"/>
        <v>6.4684742448542082E-2</v>
      </c>
      <c r="M142" s="110">
        <f t="shared" si="81"/>
        <v>7.0513834593424002E-2</v>
      </c>
      <c r="N142" s="110">
        <f t="shared" si="81"/>
        <v>8.2112599751464357E-2</v>
      </c>
      <c r="O142" s="110">
        <f t="shared" si="81"/>
        <v>9.3967969668954279E-2</v>
      </c>
      <c r="P142" s="110">
        <f t="shared" si="81"/>
        <v>0.10607994434589374</v>
      </c>
      <c r="Q142" s="110">
        <f t="shared" si="81"/>
        <v>0.11844852378228271</v>
      </c>
      <c r="R142" s="110">
        <f t="shared" si="81"/>
        <v>0.13107370797812129</v>
      </c>
      <c r="S142" s="110">
        <f t="shared" si="81"/>
        <v>0.14395549693340939</v>
      </c>
      <c r="T142" s="110">
        <f t="shared" si="81"/>
        <v>0.15709389064814702</v>
      </c>
      <c r="U142" s="110">
        <f t="shared" si="81"/>
        <v>0.1704888891223342</v>
      </c>
      <c r="V142" s="110">
        <f t="shared" si="81"/>
        <v>0.18414049235597091</v>
      </c>
      <c r="W142" s="110">
        <f t="shared" si="81"/>
        <v>0.19804870034905719</v>
      </c>
      <c r="X142" s="110">
        <f t="shared" si="81"/>
        <v>0.22031176842652825</v>
      </c>
      <c r="Y142" s="110">
        <f t="shared" si="81"/>
        <v>0.24300418359013781</v>
      </c>
      <c r="Z142" s="110">
        <f t="shared" si="81"/>
        <v>0.26612594583988591</v>
      </c>
      <c r="AA142" s="110">
        <f t="shared" si="81"/>
        <v>0.28967705517577241</v>
      </c>
      <c r="AB142" s="110">
        <f t="shared" si="81"/>
        <v>0.31365751159779748</v>
      </c>
      <c r="AC142" s="110">
        <f t="shared" si="81"/>
        <v>0.338067315105961</v>
      </c>
      <c r="AD142" s="110">
        <f t="shared" si="81"/>
        <v>0.36290646570026297</v>
      </c>
      <c r="AE142" s="110">
        <f t="shared" si="81"/>
        <v>0.38817496338070351</v>
      </c>
      <c r="AF142" s="110">
        <f t="shared" si="81"/>
        <v>0.4138728081472825</v>
      </c>
      <c r="AG142" s="110">
        <f t="shared" si="81"/>
        <v>0.44</v>
      </c>
      <c r="AI142" s="133"/>
      <c r="AJ142" s="211"/>
      <c r="AL142" s="108"/>
      <c r="AM142" s="2"/>
      <c r="AN142" s="2"/>
      <c r="AO142" s="2"/>
    </row>
    <row r="143" spans="1:63" outlineLevel="1" x14ac:dyDescent="0.2">
      <c r="A143" t="s">
        <v>1632</v>
      </c>
      <c r="B143" s="54" t="s">
        <v>462</v>
      </c>
      <c r="C143" s="110">
        <f>C130*C141</f>
        <v>8.468406407451454E-3</v>
      </c>
      <c r="D143" s="110">
        <f t="shared" ref="D143:AG143" si="82">D130*D141</f>
        <v>1.0452863716763719E-2</v>
      </c>
      <c r="E143" s="110">
        <f t="shared" si="82"/>
        <v>1.2374380945217761E-2</v>
      </c>
      <c r="F143" s="110">
        <f t="shared" si="82"/>
        <v>1.422839989323259E-2</v>
      </c>
      <c r="G143" s="110">
        <f t="shared" si="82"/>
        <v>1.6010362361227212E-2</v>
      </c>
      <c r="H143" s="110">
        <f t="shared" si="82"/>
        <v>1.7715710149620621E-2</v>
      </c>
      <c r="I143" s="110">
        <f t="shared" si="82"/>
        <v>1.9339885058831833E-2</v>
      </c>
      <c r="J143" s="110">
        <f t="shared" si="82"/>
        <v>2.0878328889279842E-2</v>
      </c>
      <c r="K143" s="110">
        <f t="shared" si="82"/>
        <v>2.2326483441383656E-2</v>
      </c>
      <c r="L143" s="110">
        <f t="shared" si="82"/>
        <v>2.3679790515562286E-2</v>
      </c>
      <c r="M143" s="110">
        <f t="shared" si="82"/>
        <v>2.4933691912234726E-2</v>
      </c>
      <c r="N143" s="110">
        <f t="shared" si="82"/>
        <v>2.8010250027219519E-2</v>
      </c>
      <c r="O143" s="110">
        <f t="shared" si="82"/>
        <v>3.0881633552005131E-2</v>
      </c>
      <c r="P143" s="110">
        <f t="shared" si="82"/>
        <v>3.3538235204397755E-2</v>
      </c>
      <c r="Q143" s="110">
        <f t="shared" si="82"/>
        <v>3.597044770220361E-2</v>
      </c>
      <c r="R143" s="110">
        <f t="shared" si="82"/>
        <v>3.8168663763228909E-2</v>
      </c>
      <c r="S143" s="110">
        <f t="shared" si="82"/>
        <v>4.0123276105279854E-2</v>
      </c>
      <c r="T143" s="110">
        <f t="shared" si="82"/>
        <v>4.1824677446162653E-2</v>
      </c>
      <c r="U143" s="110">
        <f t="shared" si="82"/>
        <v>4.3263260503683516E-2</v>
      </c>
      <c r="V143" s="110">
        <f t="shared" si="82"/>
        <v>4.4429417995648646E-2</v>
      </c>
      <c r="W143" s="110">
        <f t="shared" si="82"/>
        <v>4.5313542639864271E-2</v>
      </c>
      <c r="X143" s="110">
        <f t="shared" si="82"/>
        <v>4.7657841746026573E-2</v>
      </c>
      <c r="Y143" s="110">
        <f t="shared" si="82"/>
        <v>4.953397278301367E-2</v>
      </c>
      <c r="Z143" s="110">
        <f t="shared" si="82"/>
        <v>5.0925860995920537E-2</v>
      </c>
      <c r="AA143" s="110">
        <f t="shared" si="82"/>
        <v>5.1817431629842134E-2</v>
      </c>
      <c r="AB143" s="110">
        <f t="shared" si="82"/>
        <v>5.2192609929873464E-2</v>
      </c>
      <c r="AC143" s="110">
        <f t="shared" si="82"/>
        <v>5.2035321141109474E-2</v>
      </c>
      <c r="AD143" s="110">
        <f t="shared" si="82"/>
        <v>5.1329490508645145E-2</v>
      </c>
      <c r="AE143" s="110">
        <f t="shared" si="82"/>
        <v>5.005904327757546E-2</v>
      </c>
      <c r="AF143" s="110">
        <f t="shared" si="82"/>
        <v>4.8207904692995386E-2</v>
      </c>
      <c r="AG143" s="110">
        <f t="shared" si="82"/>
        <v>4.5759999999999995E-2</v>
      </c>
      <c r="AI143" s="133"/>
      <c r="AJ143" s="211"/>
      <c r="BD143" s="203"/>
      <c r="BE143" s="203"/>
    </row>
    <row r="144" spans="1:63" outlineLevel="1" x14ac:dyDescent="0.2">
      <c r="A144" t="s">
        <v>1633</v>
      </c>
      <c r="B144" s="54" t="s">
        <v>462</v>
      </c>
      <c r="C144" s="110">
        <f>C131*C141</f>
        <v>1.9542476324887971E-3</v>
      </c>
      <c r="D144" s="110">
        <f t="shared" ref="D144:AG144" si="83">D131*D141</f>
        <v>2.4121993192531654E-3</v>
      </c>
      <c r="E144" s="110">
        <f t="shared" si="83"/>
        <v>2.8556263719733293E-3</v>
      </c>
      <c r="F144" s="110">
        <f t="shared" si="83"/>
        <v>3.2834768984382899E-3</v>
      </c>
      <c r="G144" s="110">
        <f t="shared" si="83"/>
        <v>3.6946990064370485E-3</v>
      </c>
      <c r="H144" s="110">
        <f t="shared" si="83"/>
        <v>4.0882408037586039E-3</v>
      </c>
      <c r="I144" s="110">
        <f t="shared" si="83"/>
        <v>4.4630503981919608E-3</v>
      </c>
      <c r="J144" s="110">
        <f t="shared" si="83"/>
        <v>4.8180758975261166E-3</v>
      </c>
      <c r="K144" s="110">
        <f t="shared" si="83"/>
        <v>5.1522654095500749E-3</v>
      </c>
      <c r="L144" s="110">
        <f t="shared" si="83"/>
        <v>5.4645670420528352E-3</v>
      </c>
      <c r="M144" s="110">
        <f t="shared" si="83"/>
        <v>5.7539289028233978E-3</v>
      </c>
      <c r="N144" s="110">
        <f t="shared" si="83"/>
        <v>6.4639038524352734E-3</v>
      </c>
      <c r="O144" s="110">
        <f t="shared" si="83"/>
        <v>7.1265308196934917E-3</v>
      </c>
      <c r="P144" s="110">
        <f t="shared" si="83"/>
        <v>7.7395927394764046E-3</v>
      </c>
      <c r="Q144" s="110">
        <f t="shared" si="83"/>
        <v>8.3008725466623707E-3</v>
      </c>
      <c r="R144" s="110">
        <f t="shared" si="83"/>
        <v>8.8081531761297471E-3</v>
      </c>
      <c r="S144" s="110">
        <f t="shared" si="83"/>
        <v>9.2592175627568898E-3</v>
      </c>
      <c r="T144" s="110">
        <f t="shared" si="83"/>
        <v>9.6518486414221491E-3</v>
      </c>
      <c r="U144" s="110">
        <f t="shared" si="83"/>
        <v>9.9838293470038888E-3</v>
      </c>
      <c r="V144" s="110">
        <f t="shared" si="83"/>
        <v>1.0252942614380457E-2</v>
      </c>
      <c r="W144" s="110">
        <f t="shared" si="83"/>
        <v>1.0456971378430217E-2</v>
      </c>
      <c r="X144" s="110">
        <f t="shared" si="83"/>
        <v>1.0997963479852284E-2</v>
      </c>
      <c r="Y144" s="110">
        <f t="shared" si="83"/>
        <v>1.1430916796080078E-2</v>
      </c>
      <c r="Z144" s="110">
        <f t="shared" si="83"/>
        <v>1.1752121768289355E-2</v>
      </c>
      <c r="AA144" s="110">
        <f t="shared" si="83"/>
        <v>1.1957868837655875E-2</v>
      </c>
      <c r="AB144" s="110">
        <f t="shared" si="83"/>
        <v>1.2044448445355413E-2</v>
      </c>
      <c r="AC144" s="110">
        <f t="shared" si="83"/>
        <v>1.2008151032563722E-2</v>
      </c>
      <c r="AD144" s="110">
        <f t="shared" si="83"/>
        <v>1.1845267040456572E-2</v>
      </c>
      <c r="AE144" s="110">
        <f t="shared" si="83"/>
        <v>1.155208691020972E-2</v>
      </c>
      <c r="AF144" s="110">
        <f t="shared" si="83"/>
        <v>1.1124901082998935E-2</v>
      </c>
      <c r="AG144" s="110">
        <f t="shared" si="83"/>
        <v>1.0559999999999996E-2</v>
      </c>
      <c r="AI144" s="133"/>
      <c r="AJ144" s="211"/>
      <c r="AL144" s="1"/>
      <c r="BC144" s="1"/>
      <c r="BD144" s="693"/>
      <c r="BE144" s="686"/>
      <c r="BF144" s="6"/>
      <c r="BG144" s="6"/>
      <c r="BH144" s="6"/>
      <c r="BI144" s="6"/>
      <c r="BJ144" s="6"/>
    </row>
    <row r="145" spans="1:63" outlineLevel="1" x14ac:dyDescent="0.2">
      <c r="A145" t="s">
        <v>1634</v>
      </c>
      <c r="B145" s="54" t="s">
        <v>462</v>
      </c>
      <c r="C145" s="110">
        <f>C132*C141</f>
        <v>5.8627428974663909E-3</v>
      </c>
      <c r="D145" s="110">
        <f t="shared" ref="D145:AG145" si="84">D132*D141</f>
        <v>7.2365979577594967E-3</v>
      </c>
      <c r="E145" s="110">
        <f t="shared" si="84"/>
        <v>8.5668791159199884E-3</v>
      </c>
      <c r="F145" s="110">
        <f t="shared" si="84"/>
        <v>9.8504306953148702E-3</v>
      </c>
      <c r="G145" s="110">
        <f t="shared" si="84"/>
        <v>1.1084097019311144E-2</v>
      </c>
      <c r="H145" s="110">
        <f t="shared" si="84"/>
        <v>1.2264722411275812E-2</v>
      </c>
      <c r="I145" s="110">
        <f t="shared" si="84"/>
        <v>1.3389151194575883E-2</v>
      </c>
      <c r="J145" s="110">
        <f t="shared" si="84"/>
        <v>1.4454227692578351E-2</v>
      </c>
      <c r="K145" s="110">
        <f t="shared" si="84"/>
        <v>1.5456796228650224E-2</v>
      </c>
      <c r="L145" s="110">
        <f t="shared" si="84"/>
        <v>1.6393701126158504E-2</v>
      </c>
      <c r="M145" s="110">
        <f t="shared" si="84"/>
        <v>1.7261786708470193E-2</v>
      </c>
      <c r="N145" s="110">
        <f t="shared" si="84"/>
        <v>1.9391711557305819E-2</v>
      </c>
      <c r="O145" s="110">
        <f t="shared" si="84"/>
        <v>2.1379592459080474E-2</v>
      </c>
      <c r="P145" s="110">
        <f t="shared" si="84"/>
        <v>2.3218778218429215E-2</v>
      </c>
      <c r="Q145" s="110">
        <f t="shared" si="84"/>
        <v>2.4902617639987114E-2</v>
      </c>
      <c r="R145" s="110">
        <f t="shared" si="84"/>
        <v>2.6424459528389243E-2</v>
      </c>
      <c r="S145" s="110">
        <f t="shared" si="84"/>
        <v>2.7777652688270666E-2</v>
      </c>
      <c r="T145" s="110">
        <f t="shared" si="84"/>
        <v>2.8955545924266447E-2</v>
      </c>
      <c r="U145" s="110">
        <f t="shared" si="84"/>
        <v>2.9951488041011665E-2</v>
      </c>
      <c r="V145" s="110">
        <f t="shared" si="84"/>
        <v>3.0758827843141368E-2</v>
      </c>
      <c r="W145" s="110">
        <f t="shared" si="84"/>
        <v>3.1370914135290646E-2</v>
      </c>
      <c r="X145" s="110">
        <f t="shared" si="84"/>
        <v>3.2993890439556854E-2</v>
      </c>
      <c r="Y145" s="110">
        <f t="shared" si="84"/>
        <v>3.4292750388240235E-2</v>
      </c>
      <c r="Z145" s="110">
        <f t="shared" si="84"/>
        <v>3.5256365304868066E-2</v>
      </c>
      <c r="AA145" s="110">
        <f t="shared" si="84"/>
        <v>3.5873606512967629E-2</v>
      </c>
      <c r="AB145" s="110">
        <f t="shared" si="84"/>
        <v>3.6133345336066242E-2</v>
      </c>
      <c r="AC145" s="110">
        <f t="shared" si="84"/>
        <v>3.6024453097691173E-2</v>
      </c>
      <c r="AD145" s="110">
        <f t="shared" si="84"/>
        <v>3.5535801121369712E-2</v>
      </c>
      <c r="AE145" s="110">
        <f t="shared" si="84"/>
        <v>3.4656260730629163E-2</v>
      </c>
      <c r="AF145" s="110">
        <f t="shared" si="84"/>
        <v>3.3374703248996808E-2</v>
      </c>
      <c r="AG145" s="110">
        <f t="shared" si="84"/>
        <v>3.1679999999999993E-2</v>
      </c>
      <c r="AI145" s="134"/>
      <c r="AJ145" s="211"/>
      <c r="BC145" s="1"/>
      <c r="BD145" s="41"/>
      <c r="BF145" s="6"/>
      <c r="BG145" s="6"/>
      <c r="BH145" s="6"/>
      <c r="BI145" s="6"/>
      <c r="BJ145" s="6"/>
    </row>
    <row r="146" spans="1:63" outlineLevel="1" x14ac:dyDescent="0.2">
      <c r="C146" s="110"/>
      <c r="D146" s="110"/>
      <c r="E146" s="110"/>
      <c r="F146" s="110"/>
      <c r="G146" s="110"/>
      <c r="H146" s="110"/>
      <c r="I146" s="110"/>
      <c r="J146" s="110"/>
      <c r="K146" s="110"/>
      <c r="L146" s="110"/>
      <c r="M146" s="110"/>
      <c r="N146" s="110"/>
      <c r="O146" s="110"/>
      <c r="P146" s="110"/>
      <c r="Q146" s="110"/>
      <c r="R146" s="110"/>
      <c r="S146" s="110"/>
      <c r="T146" s="110"/>
      <c r="U146" s="110"/>
      <c r="V146" s="110"/>
      <c r="W146" s="110"/>
      <c r="X146" s="110"/>
      <c r="Y146" s="110"/>
      <c r="Z146" s="110"/>
      <c r="AA146" s="110"/>
      <c r="AB146" s="110"/>
      <c r="AC146" s="110"/>
      <c r="AD146" s="110"/>
      <c r="AE146" s="110"/>
      <c r="AF146" s="110"/>
      <c r="AG146" s="110"/>
      <c r="AI146" s="134"/>
      <c r="AJ146" s="211"/>
      <c r="BC146" s="1"/>
      <c r="BD146" s="41"/>
      <c r="BF146" s="6"/>
      <c r="BG146" s="6"/>
      <c r="BH146" s="6"/>
      <c r="BI146" s="6"/>
      <c r="BJ146" s="6"/>
    </row>
    <row r="147" spans="1:63" s="1" customFormat="1" outlineLevel="1" x14ac:dyDescent="0.2">
      <c r="A147" s="1" t="s">
        <v>228</v>
      </c>
      <c r="B147" s="65"/>
      <c r="C147" s="300">
        <f>C43*C140</f>
        <v>3.7144399482949425E-3</v>
      </c>
      <c r="D147" s="300">
        <f t="shared" ref="D147:AG147" si="85">D43*D140</f>
        <v>6.3251324312517676E-3</v>
      </c>
      <c r="E147" s="300">
        <f t="shared" si="85"/>
        <v>9.7613239132800008E-3</v>
      </c>
      <c r="F147" s="300">
        <f t="shared" si="85"/>
        <v>1.4091015689636537E-2</v>
      </c>
      <c r="G147" s="300">
        <f t="shared" si="85"/>
        <v>1.9374772395244152E-2</v>
      </c>
      <c r="H147" s="300">
        <f t="shared" si="85"/>
        <v>2.5664072696353547E-2</v>
      </c>
      <c r="I147" s="300">
        <f t="shared" si="85"/>
        <v>3.3070933602022456E-2</v>
      </c>
      <c r="J147" s="300">
        <f t="shared" si="85"/>
        <v>4.1678984381861538E-2</v>
      </c>
      <c r="K147" s="300">
        <f t="shared" si="85"/>
        <v>5.1573720106399462E-2</v>
      </c>
      <c r="L147" s="300">
        <f t="shared" si="85"/>
        <v>6.2842305059712028E-2</v>
      </c>
      <c r="M147" s="300">
        <f t="shared" si="85"/>
        <v>7.5573360022217373E-2</v>
      </c>
      <c r="N147" s="300">
        <f t="shared" si="85"/>
        <v>9.6355777930325778E-2</v>
      </c>
      <c r="O147" s="300">
        <f t="shared" si="85"/>
        <v>0.11991673753780317</v>
      </c>
      <c r="P147" s="300">
        <f t="shared" si="85"/>
        <v>0.14581631834955344</v>
      </c>
      <c r="Q147" s="300">
        <f t="shared" si="85"/>
        <v>0.1743829407785901</v>
      </c>
      <c r="R147" s="300">
        <f t="shared" si="85"/>
        <v>0.20558966068555107</v>
      </c>
      <c r="S147" s="300">
        <f t="shared" si="85"/>
        <v>0.23981088592817013</v>
      </c>
      <c r="T147" s="300">
        <f t="shared" si="85"/>
        <v>0.27715895569181209</v>
      </c>
      <c r="U147" s="300">
        <f t="shared" si="85"/>
        <v>0.3177461458255359</v>
      </c>
      <c r="V147" s="300">
        <f t="shared" si="85"/>
        <v>0.36168452329188056</v>
      </c>
      <c r="W147" s="300">
        <f t="shared" si="85"/>
        <v>0.40908579719806426</v>
      </c>
      <c r="X147" s="300">
        <f t="shared" si="85"/>
        <v>0.47762276816705979</v>
      </c>
      <c r="Y147" s="300">
        <f t="shared" si="85"/>
        <v>0.55191638481139105</v>
      </c>
      <c r="Z147" s="300">
        <f t="shared" si="85"/>
        <v>0.62672998048914974</v>
      </c>
      <c r="AA147" s="300">
        <f t="shared" si="85"/>
        <v>0.70603971415460787</v>
      </c>
      <c r="AB147" s="300">
        <f t="shared" si="85"/>
        <v>0.78980700014117611</v>
      </c>
      <c r="AC147" s="300">
        <f t="shared" si="85"/>
        <v>0.87798431314119241</v>
      </c>
      <c r="AD147" s="300">
        <f t="shared" si="85"/>
        <v>0.97050040508022239</v>
      </c>
      <c r="AE147" s="300">
        <f t="shared" si="85"/>
        <v>1.0672653923874342</v>
      </c>
      <c r="AF147" s="300">
        <f t="shared" si="85"/>
        <v>1.1681699189970813</v>
      </c>
      <c r="AG147" s="300">
        <f t="shared" si="85"/>
        <v>1.2730843133718888</v>
      </c>
      <c r="AH147" s="245"/>
      <c r="AI147" s="423"/>
      <c r="AJ147" s="424"/>
      <c r="AL147" s="221"/>
      <c r="AM147" s="124"/>
      <c r="AN147" s="124"/>
      <c r="AO147" s="124"/>
      <c r="BD147" s="124"/>
      <c r="BE147" s="124"/>
      <c r="BF147" s="124"/>
      <c r="BG147" s="124"/>
      <c r="BH147" s="124"/>
      <c r="BI147" s="124"/>
      <c r="BJ147" s="124"/>
      <c r="BK147" s="124"/>
    </row>
    <row r="148" spans="1:63" outlineLevel="1" x14ac:dyDescent="0.2">
      <c r="A148" s="4" t="s">
        <v>474</v>
      </c>
      <c r="C148" s="230">
        <f>C$147*'BTX recycling rates'!E58</f>
        <v>0</v>
      </c>
      <c r="D148" s="230">
        <f>D$147*'BTX recycling rates'!F58</f>
        <v>0</v>
      </c>
      <c r="E148" s="230">
        <f>E$147*'BTX recycling rates'!G58</f>
        <v>0</v>
      </c>
      <c r="F148" s="230">
        <f>F$147*'BTX recycling rates'!H58</f>
        <v>0</v>
      </c>
      <c r="G148" s="230">
        <f>G$147*'BTX recycling rates'!I58</f>
        <v>0</v>
      </c>
      <c r="H148" s="230">
        <f>H$147*'BTX recycling rates'!J58</f>
        <v>0</v>
      </c>
      <c r="I148" s="230">
        <f>I$147*'BTX recycling rates'!K58</f>
        <v>0</v>
      </c>
      <c r="J148" s="230">
        <f>J$147*'BTX recycling rates'!L58</f>
        <v>0</v>
      </c>
      <c r="K148" s="230">
        <f>K$147*'BTX recycling rates'!M58</f>
        <v>0</v>
      </c>
      <c r="L148" s="230">
        <f>L$147*'BTX recycling rates'!N58</f>
        <v>0</v>
      </c>
      <c r="M148" s="230">
        <f>M$147*'BTX recycling rates'!O58</f>
        <v>0</v>
      </c>
      <c r="N148" s="230">
        <f>N$147*'BTX recycling rates'!P58</f>
        <v>0</v>
      </c>
      <c r="O148" s="230">
        <f>O$147*'BTX recycling rates'!Q58</f>
        <v>0</v>
      </c>
      <c r="P148" s="230">
        <f>P$147*'BTX recycling rates'!R58</f>
        <v>0</v>
      </c>
      <c r="Q148" s="230">
        <f>Q$147*'BTX recycling rates'!S58</f>
        <v>0</v>
      </c>
      <c r="R148" s="230">
        <f>R$147*'BTX recycling rates'!T58</f>
        <v>0</v>
      </c>
      <c r="S148" s="230">
        <f>S$147*'BTX recycling rates'!U58</f>
        <v>0</v>
      </c>
      <c r="T148" s="230">
        <f>T$147*'BTX recycling rates'!V58</f>
        <v>0</v>
      </c>
      <c r="U148" s="230">
        <f>U$147*'BTX recycling rates'!W58</f>
        <v>0</v>
      </c>
      <c r="V148" s="230">
        <f>V$147*'BTX recycling rates'!X58</f>
        <v>0</v>
      </c>
      <c r="W148" s="230">
        <f>W$147*'BTX recycling rates'!Y58</f>
        <v>0</v>
      </c>
      <c r="X148" s="230">
        <f>X$147*'BTX recycling rates'!Z58</f>
        <v>0</v>
      </c>
      <c r="Y148" s="230">
        <f>Y$147*'BTX recycling rates'!AA58</f>
        <v>0</v>
      </c>
      <c r="Z148" s="230">
        <f>Z$147*'BTX recycling rates'!AB58</f>
        <v>0</v>
      </c>
      <c r="AA148" s="230">
        <f>AA$147*'BTX recycling rates'!AC58</f>
        <v>0</v>
      </c>
      <c r="AB148" s="230">
        <f>AB$147*'BTX recycling rates'!AD58</f>
        <v>0</v>
      </c>
      <c r="AC148" s="230">
        <f>AC$147*'BTX recycling rates'!AE58</f>
        <v>0</v>
      </c>
      <c r="AD148" s="230">
        <f>AD$147*'BTX recycling rates'!AF58</f>
        <v>0</v>
      </c>
      <c r="AE148" s="230">
        <f>AE$147*'BTX recycling rates'!AG58</f>
        <v>0</v>
      </c>
      <c r="AF148" s="230">
        <f>AF$147*'BTX recycling rates'!AH58</f>
        <v>0</v>
      </c>
      <c r="AG148" s="230">
        <f>AG$147*'BTX recycling rates'!AI58</f>
        <v>0</v>
      </c>
      <c r="AH148" s="245"/>
      <c r="AI148" s="133"/>
      <c r="AJ148" s="211"/>
      <c r="AL148" s="108"/>
      <c r="AM148" s="2"/>
      <c r="AN148" s="2"/>
      <c r="AO148" s="2"/>
      <c r="BC148" s="1"/>
      <c r="BD148" s="2"/>
      <c r="BE148" s="2"/>
      <c r="BF148" s="2"/>
      <c r="BG148" s="2"/>
      <c r="BH148" s="2"/>
      <c r="BI148" s="2"/>
      <c r="BJ148" s="2"/>
      <c r="BK148" s="2"/>
    </row>
    <row r="149" spans="1:63" outlineLevel="1" x14ac:dyDescent="0.2">
      <c r="A149" s="4" t="s">
        <v>478</v>
      </c>
      <c r="C149" s="230">
        <f>C$147*'BTX recycling rates'!E59</f>
        <v>2.211651266923706E-3</v>
      </c>
      <c r="D149" s="230">
        <f>D$147*'BTX recycling rates'!F59</f>
        <v>3.640572406995292E-3</v>
      </c>
      <c r="E149" s="230">
        <f>E$147*'BTX recycling rates'!G59</f>
        <v>5.4246135945556035E-3</v>
      </c>
      <c r="F149" s="230">
        <f>F$147*'BTX recycling rates'!H59</f>
        <v>7.5510633695609532E-3</v>
      </c>
      <c r="G149" s="230">
        <f>G$147*'BTX recycling rates'!I59</f>
        <v>9.9979741520496521E-3</v>
      </c>
      <c r="H149" s="230">
        <f>H$147*'BTX recycling rates'!J59</f>
        <v>1.2734081872236491E-2</v>
      </c>
      <c r="I149" s="230">
        <f>I$147*'BTX recycling rates'!K59</f>
        <v>1.5752872189054971E-2</v>
      </c>
      <c r="J149" s="230">
        <f>J$147*'BTX recycling rates'!L59</f>
        <v>1.9025979130040605E-2</v>
      </c>
      <c r="K149" s="230">
        <f>K$147*'BTX recycling rates'!M59</f>
        <v>2.2519212138061441E-2</v>
      </c>
      <c r="L149" s="230">
        <f>L$147*'BTX recycling rates'!N59</f>
        <v>2.6192288979086074E-2</v>
      </c>
      <c r="M149" s="230">
        <f>M$147*'BTX recycling rates'!O59</f>
        <v>2.9998585657674062E-2</v>
      </c>
      <c r="N149" s="230">
        <f>N$147*'BTX recycling rates'!P59</f>
        <v>3.6335690303496884E-2</v>
      </c>
      <c r="O149" s="230">
        <f>O$147*'BTX recycling rates'!Q59</f>
        <v>4.2840483334115928E-2</v>
      </c>
      <c r="P149" s="230">
        <f>P$147*'BTX recycling rates'!R59</f>
        <v>4.9199093672139385E-2</v>
      </c>
      <c r="Q149" s="230">
        <f>Q$147*'BTX recycling rates'!S59</f>
        <v>5.5376567453353773E-2</v>
      </c>
      <c r="R149" s="230">
        <f>R$147*'BTX recycling rates'!T59</f>
        <v>6.1206082188828143E-2</v>
      </c>
      <c r="S149" s="230">
        <f>S$147*'BTX recycling rates'!U59</f>
        <v>6.6634475173934254E-2</v>
      </c>
      <c r="T149" s="230">
        <f>T$147*'BTX recycling rates'!V59</f>
        <v>7.151124200292551E-2</v>
      </c>
      <c r="U149" s="230">
        <f>U$147*'BTX recycling rates'!W59</f>
        <v>7.5676944654631387E-2</v>
      </c>
      <c r="V149" s="230">
        <f>V$147*'BTX recycling rates'!X59</f>
        <v>7.8963186001128047E-2</v>
      </c>
      <c r="W149" s="230">
        <f>W$147*'BTX recycling rates'!Y59</f>
        <v>8.1192600970608084E-2</v>
      </c>
      <c r="X149" s="230">
        <f>X$147*'BTX recycling rates'!Z59</f>
        <v>8.5315822710757133E-2</v>
      </c>
      <c r="Y149" s="230">
        <f>Y$147*'BTX recycling rates'!AA59</f>
        <v>8.7632525221961188E-2</v>
      </c>
      <c r="Z149" s="230">
        <f>Z$147*'BTX recycling rates'!AB59</f>
        <v>8.7072409503072545E-2</v>
      </c>
      <c r="AA149" s="230">
        <f>AA$147*'BTX recycling rates'!AC59</f>
        <v>8.4078011761922589E-2</v>
      </c>
      <c r="AB149" s="230">
        <f>AB$147*'BTX recycling rates'!AD59</f>
        <v>7.837779390713942E-2</v>
      </c>
      <c r="AC149" s="230">
        <f>AC$147*'BTX recycling rates'!AE59</f>
        <v>6.9702571424949414E-2</v>
      </c>
      <c r="AD149" s="230">
        <f>AD$147*'BTX recycling rates'!AF59</f>
        <v>5.7785520302486286E-2</v>
      </c>
      <c r="AE149" s="230">
        <f>AE$147*'BTX recycling rates'!AG59</f>
        <v>4.236473313293606E-2</v>
      </c>
      <c r="AF149" s="230">
        <f>AF$147*'BTX recycling rates'!AH59</f>
        <v>2.3185051827422705E-2</v>
      </c>
      <c r="AG149" s="230">
        <f>AG$147*'BTX recycling rates'!AI59</f>
        <v>0</v>
      </c>
      <c r="AH149" s="245"/>
      <c r="AI149" s="133"/>
      <c r="AJ149" s="211"/>
      <c r="AL149" s="108"/>
      <c r="AM149" s="2"/>
      <c r="AN149" s="2"/>
      <c r="AO149" s="2"/>
      <c r="BC149" s="1"/>
      <c r="BD149" s="2"/>
      <c r="BE149" s="2"/>
      <c r="BF149" s="2"/>
      <c r="BG149" s="2"/>
      <c r="BH149" s="2"/>
      <c r="BI149" s="2"/>
      <c r="BJ149" s="2"/>
      <c r="BK149" s="2"/>
    </row>
    <row r="150" spans="1:63" outlineLevel="1" x14ac:dyDescent="0.2">
      <c r="A150" s="4" t="s">
        <v>745</v>
      </c>
      <c r="C150" s="230">
        <f>C$147*'BTX recycling rates'!E60</f>
        <v>0</v>
      </c>
      <c r="D150" s="230">
        <f>D$147*'BTX recycling rates'!F60</f>
        <v>1.0818639405176825E-4</v>
      </c>
      <c r="E150" s="230">
        <f>E$147*'BTX recycling rates'!G60</f>
        <v>3.3391947024896169E-4</v>
      </c>
      <c r="F150" s="230">
        <f>F$147*'BTX recycling rates'!H60</f>
        <v>7.2304707888320302E-4</v>
      </c>
      <c r="G150" s="230">
        <f>G$147*'BTX recycling rates'!I60</f>
        <v>1.3255607112089395E-3</v>
      </c>
      <c r="H150" s="230">
        <f>H$147*'BTX recycling rates'!J60</f>
        <v>2.1948184578575304E-3</v>
      </c>
      <c r="I150" s="230">
        <f>I$147*'BTX recycling rates'!K60</f>
        <v>3.3939131803634344E-3</v>
      </c>
      <c r="J150" s="230">
        <f>J$147*'BTX recycling rates'!L60</f>
        <v>4.9902027410750026E-3</v>
      </c>
      <c r="K150" s="230">
        <f>K$147*'BTX recycling rates'!M60</f>
        <v>7.0570219571416204E-3</v>
      </c>
      <c r="L150" s="230">
        <f>L$147*'BTX recycling rates'!N60</f>
        <v>9.6738119035230299E-3</v>
      </c>
      <c r="M150" s="230">
        <f>M$147*'BTX recycling rates'!O60</f>
        <v>1.2926226282287808E-2</v>
      </c>
      <c r="N150" s="230">
        <f>N$147*'BTX recycling rates'!P60</f>
        <v>1.8128984177014397E-2</v>
      </c>
      <c r="O150" s="230">
        <f>O$147*'BTX recycling rates'!Q60</f>
        <v>2.4612972888726884E-2</v>
      </c>
      <c r="P150" s="230">
        <f>P$147*'BTX recycling rates'!R60</f>
        <v>3.2422948296953108E-2</v>
      </c>
      <c r="Q150" s="230">
        <f>Q$147*'BTX recycling rates'!S60</f>
        <v>4.1757554411462533E-2</v>
      </c>
      <c r="R150" s="230">
        <f>R$147*'BTX recycling rates'!T60</f>
        <v>5.2746731279493336E-2</v>
      </c>
      <c r="S150" s="230">
        <f>S$147*'BTX recycling rates'!U60</f>
        <v>6.5628412457556559E-2</v>
      </c>
      <c r="T150" s="230">
        <f>T$147*'BTX recycling rates'!V60</f>
        <v>8.0589945185034872E-2</v>
      </c>
      <c r="U150" s="230">
        <f>U$147*'BTX recycling rates'!W60</f>
        <v>9.7826343093714629E-2</v>
      </c>
      <c r="V150" s="230">
        <f>V$147*'BTX recycling rates'!X60</f>
        <v>0.11754023349029112</v>
      </c>
      <c r="W150" s="230">
        <f>W$147*'BTX recycling rates'!Y60</f>
        <v>0.13994178853230049</v>
      </c>
      <c r="X150" s="230">
        <f>X$147*'BTX recycling rates'!Z60</f>
        <v>0.17155656373990363</v>
      </c>
      <c r="Y150" s="230">
        <f>Y$147*'BTX recycling rates'!AA60</f>
        <v>0.20768206374745352</v>
      </c>
      <c r="Z150" s="230">
        <f>Z$147*'BTX recycling rates'!AB60</f>
        <v>0.24655358911691028</v>
      </c>
      <c r="AA150" s="230">
        <f>AA$147*'BTX recycling rates'!AC60</f>
        <v>0.28983003873622887</v>
      </c>
      <c r="AB150" s="230">
        <f>AB$147*'BTX recycling rates'!AD60</f>
        <v>0.33772562183811894</v>
      </c>
      <c r="AC150" s="230">
        <f>AC$147*'BTX recycling rates'!AE60</f>
        <v>0.3904479322029179</v>
      </c>
      <c r="AD150" s="230">
        <f>AD$147*'BTX recycling rates'!AF60</f>
        <v>0.44819035658151907</v>
      </c>
      <c r="AE150" s="230">
        <f>AE$147*'BTX recycling rates'!AG60</f>
        <v>0.51113248228419417</v>
      </c>
      <c r="AF150" s="230">
        <f>AF$147*'BTX recycling rates'!AH60</f>
        <v>0.57943808828360777</v>
      </c>
      <c r="AG150" s="230">
        <f>AG$147*'BTX recycling rates'!AI60</f>
        <v>0.65325304735312206</v>
      </c>
      <c r="AH150" s="245"/>
      <c r="AI150" s="133"/>
      <c r="AJ150" s="211"/>
      <c r="AL150" s="108"/>
      <c r="AM150" s="2"/>
      <c r="AN150" s="2"/>
      <c r="AO150" s="2"/>
      <c r="BC150" s="1"/>
      <c r="BD150" s="2"/>
      <c r="BE150" s="2"/>
      <c r="BF150" s="2"/>
      <c r="BG150" s="2"/>
      <c r="BH150" s="2"/>
      <c r="BI150" s="2"/>
      <c r="BJ150" s="2"/>
      <c r="BK150" s="2"/>
    </row>
    <row r="151" spans="1:63" outlineLevel="1" x14ac:dyDescent="0.2">
      <c r="A151" s="4" t="s">
        <v>1561</v>
      </c>
      <c r="C151" s="230">
        <f>C$147*'BTX recycling rates'!E61</f>
        <v>1.502788681371236E-3</v>
      </c>
      <c r="D151" s="230">
        <f>D$147*'BTX recycling rates'!F61</f>
        <v>2.5763736302047069E-3</v>
      </c>
      <c r="E151" s="230">
        <f>E$147*'BTX recycling rates'!G61</f>
        <v>4.0027908484754357E-3</v>
      </c>
      <c r="F151" s="230">
        <f>F$147*'BTX recycling rates'!H61</f>
        <v>5.816905241192381E-3</v>
      </c>
      <c r="G151" s="230">
        <f>G$147*'BTX recycling rates'!I61</f>
        <v>8.0512375319855591E-3</v>
      </c>
      <c r="H151" s="230">
        <f>H$147*'BTX recycling rates'!J61</f>
        <v>1.0735172366259524E-2</v>
      </c>
      <c r="I151" s="230">
        <f>I$147*'BTX recycling rates'!K61</f>
        <v>1.3924148232604051E-2</v>
      </c>
      <c r="J151" s="230">
        <f>J$147*'BTX recycling rates'!L61</f>
        <v>1.7662802510745926E-2</v>
      </c>
      <c r="K151" s="230">
        <f>K$147*'BTX recycling rates'!M61</f>
        <v>2.1997486011196402E-2</v>
      </c>
      <c r="L151" s="230">
        <f>L$147*'BTX recycling rates'!N61</f>
        <v>2.6976204177102919E-2</v>
      </c>
      <c r="M151" s="230">
        <f>M$147*'BTX recycling rates'!O61</f>
        <v>3.26485480822555E-2</v>
      </c>
      <c r="N151" s="230">
        <f>N$147*'BTX recycling rates'!P61</f>
        <v>4.1891103449814497E-2</v>
      </c>
      <c r="O151" s="230">
        <f>O$147*'BTX recycling rates'!Q61</f>
        <v>5.2463281314960357E-2</v>
      </c>
      <c r="P151" s="230">
        <f>P$147*'BTX recycling rates'!R61</f>
        <v>6.4194276380460949E-2</v>
      </c>
      <c r="Q151" s="230">
        <f>Q$147*'BTX recycling rates'!S61</f>
        <v>7.724881891377379E-2</v>
      </c>
      <c r="R151" s="230">
        <f>R$147*'BTX recycling rates'!T61</f>
        <v>9.1636847217229589E-2</v>
      </c>
      <c r="S151" s="230">
        <f>S$147*'BTX recycling rates'!U61</f>
        <v>0.10754799829667931</v>
      </c>
      <c r="T151" s="230">
        <f>T$147*'BTX recycling rates'!V61</f>
        <v>0.1250577685038517</v>
      </c>
      <c r="U151" s="230">
        <f>U$147*'BTX recycling rates'!W61</f>
        <v>0.14424285807718987</v>
      </c>
      <c r="V151" s="230">
        <f>V$147*'BTX recycling rates'!X61</f>
        <v>0.16518110380046139</v>
      </c>
      <c r="W151" s="230">
        <f>W$147*'BTX recycling rates'!Y61</f>
        <v>0.18795140769515567</v>
      </c>
      <c r="X151" s="230">
        <f>X$147*'BTX recycling rates'!Z61</f>
        <v>0.22075038171639902</v>
      </c>
      <c r="Y151" s="230">
        <f>Y$147*'BTX recycling rates'!AA61</f>
        <v>0.25660179584197634</v>
      </c>
      <c r="Z151" s="230">
        <f>Z$147*'BTX recycling rates'!AB61</f>
        <v>0.29310398186916692</v>
      </c>
      <c r="AA151" s="230">
        <f>AA$147*'BTX recycling rates'!AC61</f>
        <v>0.33213166365645641</v>
      </c>
      <c r="AB151" s="230">
        <f>AB$147*'BTX recycling rates'!AD61</f>
        <v>0.37370358439591778</v>
      </c>
      <c r="AC151" s="230">
        <f>AC$147*'BTX recycling rates'!AE61</f>
        <v>0.41783380951332516</v>
      </c>
      <c r="AD151" s="230">
        <f>AD$147*'BTX recycling rates'!AF61</f>
        <v>0.46452452819621709</v>
      </c>
      <c r="AE151" s="230">
        <f>AE$147*'BTX recycling rates'!AG61</f>
        <v>0.51376817697030397</v>
      </c>
      <c r="AF151" s="230">
        <f>AF$147*'BTX recycling rates'!AH61</f>
        <v>0.56554677888605098</v>
      </c>
      <c r="AG151" s="230">
        <f>AG$147*'BTX recycling rates'!AI61</f>
        <v>0.61983126601876659</v>
      </c>
      <c r="AH151" s="245"/>
      <c r="AI151" s="133"/>
      <c r="AJ151" s="211"/>
      <c r="AL151" s="108"/>
      <c r="AM151" s="2"/>
      <c r="AN151" s="2"/>
      <c r="AO151" s="2"/>
      <c r="BC151" s="1"/>
      <c r="BD151" s="2"/>
      <c r="BE151" s="2"/>
      <c r="BF151" s="2"/>
      <c r="BG151" s="2"/>
      <c r="BH151" s="2"/>
      <c r="BI151" s="2"/>
      <c r="BJ151" s="2"/>
      <c r="BK151" s="2"/>
    </row>
    <row r="152" spans="1:63" s="1" customFormat="1" outlineLevel="1" x14ac:dyDescent="0.2">
      <c r="A152" s="1" t="s">
        <v>1562</v>
      </c>
      <c r="B152" s="65"/>
      <c r="C152" s="300">
        <f t="shared" ref="C152:AG152" si="86">C147-$C147</f>
        <v>0</v>
      </c>
      <c r="D152" s="300">
        <f t="shared" si="86"/>
        <v>2.6106924829568251E-3</v>
      </c>
      <c r="E152" s="300">
        <f t="shared" si="86"/>
        <v>6.0468839649850583E-3</v>
      </c>
      <c r="F152" s="300">
        <f t="shared" si="86"/>
        <v>1.0376575741341595E-2</v>
      </c>
      <c r="G152" s="300">
        <f t="shared" si="86"/>
        <v>1.5660332446949209E-2</v>
      </c>
      <c r="H152" s="300">
        <f t="shared" si="86"/>
        <v>2.1949632748058605E-2</v>
      </c>
      <c r="I152" s="300">
        <f t="shared" si="86"/>
        <v>2.9356493653727514E-2</v>
      </c>
      <c r="J152" s="300">
        <f t="shared" si="86"/>
        <v>3.7964544433566595E-2</v>
      </c>
      <c r="K152" s="300">
        <f t="shared" si="86"/>
        <v>4.785928015810452E-2</v>
      </c>
      <c r="L152" s="300">
        <f t="shared" si="86"/>
        <v>5.9127865111417086E-2</v>
      </c>
      <c r="M152" s="300">
        <f t="shared" si="86"/>
        <v>7.185892007392243E-2</v>
      </c>
      <c r="N152" s="300">
        <f t="shared" si="86"/>
        <v>9.2641337982030836E-2</v>
      </c>
      <c r="O152" s="300">
        <f t="shared" si="86"/>
        <v>0.11620229758950823</v>
      </c>
      <c r="P152" s="300">
        <f t="shared" si="86"/>
        <v>0.14210187840125849</v>
      </c>
      <c r="Q152" s="300">
        <f t="shared" si="86"/>
        <v>0.17066850083029517</v>
      </c>
      <c r="R152" s="300">
        <f t="shared" si="86"/>
        <v>0.20187522073725611</v>
      </c>
      <c r="S152" s="300">
        <f t="shared" si="86"/>
        <v>0.23609644597987517</v>
      </c>
      <c r="T152" s="300">
        <f t="shared" si="86"/>
        <v>0.27344451574351714</v>
      </c>
      <c r="U152" s="300">
        <f t="shared" si="86"/>
        <v>0.31403170587724094</v>
      </c>
      <c r="V152" s="300">
        <f t="shared" si="86"/>
        <v>0.3579700833435856</v>
      </c>
      <c r="W152" s="300">
        <f t="shared" si="86"/>
        <v>0.4053713572497693</v>
      </c>
      <c r="X152" s="300">
        <f t="shared" si="86"/>
        <v>0.47390832821876483</v>
      </c>
      <c r="Y152" s="300">
        <f t="shared" si="86"/>
        <v>0.54820194486309615</v>
      </c>
      <c r="Z152" s="300">
        <f t="shared" si="86"/>
        <v>0.62301554054085484</v>
      </c>
      <c r="AA152" s="300">
        <f t="shared" si="86"/>
        <v>0.70232527420631297</v>
      </c>
      <c r="AB152" s="300">
        <f t="shared" si="86"/>
        <v>0.78609256019288121</v>
      </c>
      <c r="AC152" s="300">
        <f t="shared" si="86"/>
        <v>0.87426987319289751</v>
      </c>
      <c r="AD152" s="300">
        <f t="shared" si="86"/>
        <v>0.96678596513192749</v>
      </c>
      <c r="AE152" s="300">
        <f t="shared" si="86"/>
        <v>1.0635509524391393</v>
      </c>
      <c r="AF152" s="300">
        <f t="shared" si="86"/>
        <v>1.1644554790487864</v>
      </c>
      <c r="AG152" s="300">
        <f t="shared" si="86"/>
        <v>1.2693698734235939</v>
      </c>
      <c r="AH152" s="245"/>
      <c r="AI152" s="423"/>
      <c r="AJ152" s="424"/>
      <c r="AL152" s="221"/>
      <c r="AM152" s="124"/>
      <c r="AN152" s="124"/>
      <c r="AO152" s="124"/>
      <c r="BD152" s="124"/>
      <c r="BE152" s="124"/>
      <c r="BF152" s="124"/>
      <c r="BG152" s="124"/>
      <c r="BH152" s="124"/>
      <c r="BI152" s="124"/>
      <c r="BJ152" s="124"/>
      <c r="BK152" s="124"/>
    </row>
    <row r="153" spans="1:63" outlineLevel="1" x14ac:dyDescent="0.2">
      <c r="A153" s="4" t="s">
        <v>474</v>
      </c>
      <c r="C153" s="230">
        <f t="shared" ref="C153:AG153" si="87">C148-$C148</f>
        <v>0</v>
      </c>
      <c r="D153" s="230">
        <f t="shared" si="87"/>
        <v>0</v>
      </c>
      <c r="E153" s="230">
        <f t="shared" si="87"/>
        <v>0</v>
      </c>
      <c r="F153" s="230">
        <f t="shared" si="87"/>
        <v>0</v>
      </c>
      <c r="G153" s="230">
        <f t="shared" si="87"/>
        <v>0</v>
      </c>
      <c r="H153" s="230">
        <f t="shared" si="87"/>
        <v>0</v>
      </c>
      <c r="I153" s="230">
        <f t="shared" si="87"/>
        <v>0</v>
      </c>
      <c r="J153" s="230">
        <f t="shared" si="87"/>
        <v>0</v>
      </c>
      <c r="K153" s="230">
        <f t="shared" si="87"/>
        <v>0</v>
      </c>
      <c r="L153" s="230">
        <f t="shared" si="87"/>
        <v>0</v>
      </c>
      <c r="M153" s="230">
        <f t="shared" si="87"/>
        <v>0</v>
      </c>
      <c r="N153" s="230">
        <f t="shared" si="87"/>
        <v>0</v>
      </c>
      <c r="O153" s="230">
        <f t="shared" si="87"/>
        <v>0</v>
      </c>
      <c r="P153" s="230">
        <f t="shared" si="87"/>
        <v>0</v>
      </c>
      <c r="Q153" s="230">
        <f t="shared" si="87"/>
        <v>0</v>
      </c>
      <c r="R153" s="230">
        <f t="shared" si="87"/>
        <v>0</v>
      </c>
      <c r="S153" s="230">
        <f t="shared" si="87"/>
        <v>0</v>
      </c>
      <c r="T153" s="230">
        <f t="shared" si="87"/>
        <v>0</v>
      </c>
      <c r="U153" s="230">
        <f t="shared" si="87"/>
        <v>0</v>
      </c>
      <c r="V153" s="230">
        <f t="shared" si="87"/>
        <v>0</v>
      </c>
      <c r="W153" s="230">
        <f t="shared" si="87"/>
        <v>0</v>
      </c>
      <c r="X153" s="230">
        <f t="shared" si="87"/>
        <v>0</v>
      </c>
      <c r="Y153" s="230">
        <f t="shared" si="87"/>
        <v>0</v>
      </c>
      <c r="Z153" s="230">
        <f t="shared" si="87"/>
        <v>0</v>
      </c>
      <c r="AA153" s="230">
        <f t="shared" si="87"/>
        <v>0</v>
      </c>
      <c r="AB153" s="230">
        <f t="shared" si="87"/>
        <v>0</v>
      </c>
      <c r="AC153" s="230">
        <f t="shared" si="87"/>
        <v>0</v>
      </c>
      <c r="AD153" s="230">
        <f t="shared" si="87"/>
        <v>0</v>
      </c>
      <c r="AE153" s="230">
        <f t="shared" si="87"/>
        <v>0</v>
      </c>
      <c r="AF153" s="230">
        <f t="shared" si="87"/>
        <v>0</v>
      </c>
      <c r="AG153" s="230">
        <f t="shared" si="87"/>
        <v>0</v>
      </c>
      <c r="AH153" s="245"/>
      <c r="AI153" s="133"/>
      <c r="AJ153" s="211"/>
      <c r="AL153" s="108"/>
      <c r="AM153" s="2"/>
      <c r="AN153" s="2"/>
      <c r="AO153" s="2"/>
      <c r="BC153" s="1"/>
      <c r="BD153" s="2"/>
      <c r="BE153" s="2"/>
      <c r="BF153" s="2"/>
      <c r="BG153" s="2"/>
      <c r="BH153" s="2"/>
      <c r="BI153" s="2"/>
      <c r="BJ153" s="2"/>
      <c r="BK153" s="2"/>
    </row>
    <row r="154" spans="1:63" outlineLevel="1" x14ac:dyDescent="0.2">
      <c r="A154" s="4" t="s">
        <v>478</v>
      </c>
      <c r="C154" s="230">
        <f t="shared" ref="C154:AG154" si="88">C149-$C149</f>
        <v>0</v>
      </c>
      <c r="D154" s="230">
        <f t="shared" si="88"/>
        <v>1.4289211400715859E-3</v>
      </c>
      <c r="E154" s="230">
        <f t="shared" si="88"/>
        <v>3.2129623276318975E-3</v>
      </c>
      <c r="F154" s="230">
        <f t="shared" si="88"/>
        <v>5.3394121026372476E-3</v>
      </c>
      <c r="G154" s="230">
        <f t="shared" si="88"/>
        <v>7.7863228851259465E-3</v>
      </c>
      <c r="H154" s="230">
        <f t="shared" si="88"/>
        <v>1.0522430605312785E-2</v>
      </c>
      <c r="I154" s="230">
        <f t="shared" si="88"/>
        <v>1.3541220922131265E-2</v>
      </c>
      <c r="J154" s="230">
        <f t="shared" si="88"/>
        <v>1.6814327863116898E-2</v>
      </c>
      <c r="K154" s="230">
        <f t="shared" si="88"/>
        <v>2.0307560871137734E-2</v>
      </c>
      <c r="L154" s="230">
        <f t="shared" si="88"/>
        <v>2.3980637712162366E-2</v>
      </c>
      <c r="M154" s="230">
        <f t="shared" si="88"/>
        <v>2.7786934390750355E-2</v>
      </c>
      <c r="N154" s="230">
        <f t="shared" si="88"/>
        <v>3.4124039036573177E-2</v>
      </c>
      <c r="O154" s="230">
        <f t="shared" si="88"/>
        <v>4.0628832067192221E-2</v>
      </c>
      <c r="P154" s="230">
        <f t="shared" si="88"/>
        <v>4.6987442405215678E-2</v>
      </c>
      <c r="Q154" s="230">
        <f t="shared" si="88"/>
        <v>5.3164916186430065E-2</v>
      </c>
      <c r="R154" s="230">
        <f t="shared" si="88"/>
        <v>5.8994430921904435E-2</v>
      </c>
      <c r="S154" s="230">
        <f t="shared" si="88"/>
        <v>6.4422823907010554E-2</v>
      </c>
      <c r="T154" s="230">
        <f t="shared" si="88"/>
        <v>6.9299590736001809E-2</v>
      </c>
      <c r="U154" s="230">
        <f t="shared" si="88"/>
        <v>7.3465293387707686E-2</v>
      </c>
      <c r="V154" s="230">
        <f t="shared" si="88"/>
        <v>7.6751534734204346E-2</v>
      </c>
      <c r="W154" s="230">
        <f t="shared" si="88"/>
        <v>7.8980949703684383E-2</v>
      </c>
      <c r="X154" s="230">
        <f t="shared" si="88"/>
        <v>8.3104171443833433E-2</v>
      </c>
      <c r="Y154" s="230">
        <f t="shared" si="88"/>
        <v>8.5420873955037488E-2</v>
      </c>
      <c r="Z154" s="230">
        <f t="shared" si="88"/>
        <v>8.4860758236148845E-2</v>
      </c>
      <c r="AA154" s="230">
        <f t="shared" si="88"/>
        <v>8.1866360494998888E-2</v>
      </c>
      <c r="AB154" s="230">
        <f t="shared" si="88"/>
        <v>7.616614264021572E-2</v>
      </c>
      <c r="AC154" s="230">
        <f t="shared" si="88"/>
        <v>6.7490920158025713E-2</v>
      </c>
      <c r="AD154" s="230">
        <f t="shared" si="88"/>
        <v>5.5573869035562579E-2</v>
      </c>
      <c r="AE154" s="230">
        <f t="shared" si="88"/>
        <v>4.0153081866012352E-2</v>
      </c>
      <c r="AF154" s="230">
        <f t="shared" si="88"/>
        <v>2.0973400560498998E-2</v>
      </c>
      <c r="AG154" s="230">
        <f t="shared" si="88"/>
        <v>-2.211651266923706E-3</v>
      </c>
      <c r="AH154" s="245"/>
      <c r="AI154" s="133"/>
      <c r="AJ154" s="211"/>
      <c r="AL154" s="108"/>
      <c r="AM154" s="2"/>
      <c r="AN154" s="2"/>
      <c r="AO154" s="2"/>
      <c r="BC154" s="1"/>
      <c r="BD154" s="2"/>
      <c r="BE154" s="2"/>
      <c r="BF154" s="2"/>
      <c r="BG154" s="2"/>
      <c r="BH154" s="2"/>
      <c r="BI154" s="2"/>
      <c r="BJ154" s="2"/>
      <c r="BK154" s="2"/>
    </row>
    <row r="155" spans="1:63" outlineLevel="1" x14ac:dyDescent="0.2">
      <c r="A155" s="4" t="s">
        <v>745</v>
      </c>
      <c r="C155" s="230">
        <f t="shared" ref="C155:AG155" si="89">C150-$C150</f>
        <v>0</v>
      </c>
      <c r="D155" s="230">
        <f t="shared" si="89"/>
        <v>1.0818639405176825E-4</v>
      </c>
      <c r="E155" s="230">
        <f t="shared" si="89"/>
        <v>3.3391947024896169E-4</v>
      </c>
      <c r="F155" s="230">
        <f t="shared" si="89"/>
        <v>7.2304707888320302E-4</v>
      </c>
      <c r="G155" s="230">
        <f t="shared" si="89"/>
        <v>1.3255607112089395E-3</v>
      </c>
      <c r="H155" s="230">
        <f t="shared" si="89"/>
        <v>2.1948184578575304E-3</v>
      </c>
      <c r="I155" s="230">
        <f t="shared" si="89"/>
        <v>3.3939131803634344E-3</v>
      </c>
      <c r="J155" s="230">
        <f t="shared" si="89"/>
        <v>4.9902027410750026E-3</v>
      </c>
      <c r="K155" s="230">
        <f t="shared" si="89"/>
        <v>7.0570219571416204E-3</v>
      </c>
      <c r="L155" s="230">
        <f t="shared" si="89"/>
        <v>9.6738119035230299E-3</v>
      </c>
      <c r="M155" s="230">
        <f t="shared" si="89"/>
        <v>1.2926226282287808E-2</v>
      </c>
      <c r="N155" s="230">
        <f t="shared" si="89"/>
        <v>1.8128984177014397E-2</v>
      </c>
      <c r="O155" s="230">
        <f t="shared" si="89"/>
        <v>2.4612972888726884E-2</v>
      </c>
      <c r="P155" s="230">
        <f t="shared" si="89"/>
        <v>3.2422948296953108E-2</v>
      </c>
      <c r="Q155" s="230">
        <f t="shared" si="89"/>
        <v>4.1757554411462533E-2</v>
      </c>
      <c r="R155" s="230">
        <f t="shared" si="89"/>
        <v>5.2746731279493336E-2</v>
      </c>
      <c r="S155" s="230">
        <f t="shared" si="89"/>
        <v>6.5628412457556559E-2</v>
      </c>
      <c r="T155" s="230">
        <f t="shared" si="89"/>
        <v>8.0589945185034872E-2</v>
      </c>
      <c r="U155" s="230">
        <f t="shared" si="89"/>
        <v>9.7826343093714629E-2</v>
      </c>
      <c r="V155" s="230">
        <f t="shared" si="89"/>
        <v>0.11754023349029112</v>
      </c>
      <c r="W155" s="230">
        <f t="shared" si="89"/>
        <v>0.13994178853230049</v>
      </c>
      <c r="X155" s="230">
        <f t="shared" si="89"/>
        <v>0.17155656373990363</v>
      </c>
      <c r="Y155" s="230">
        <f t="shared" si="89"/>
        <v>0.20768206374745352</v>
      </c>
      <c r="Z155" s="230">
        <f t="shared" si="89"/>
        <v>0.24655358911691028</v>
      </c>
      <c r="AA155" s="230">
        <f t="shared" si="89"/>
        <v>0.28983003873622887</v>
      </c>
      <c r="AB155" s="230">
        <f t="shared" si="89"/>
        <v>0.33772562183811894</v>
      </c>
      <c r="AC155" s="230">
        <f t="shared" si="89"/>
        <v>0.3904479322029179</v>
      </c>
      <c r="AD155" s="230">
        <f t="shared" si="89"/>
        <v>0.44819035658151907</v>
      </c>
      <c r="AE155" s="230">
        <f t="shared" si="89"/>
        <v>0.51113248228419417</v>
      </c>
      <c r="AF155" s="230">
        <f t="shared" si="89"/>
        <v>0.57943808828360777</v>
      </c>
      <c r="AG155" s="230">
        <f t="shared" si="89"/>
        <v>0.65325304735312206</v>
      </c>
      <c r="AH155" s="245"/>
      <c r="AI155" s="133"/>
      <c r="AJ155" s="211"/>
      <c r="AL155" s="108"/>
      <c r="AM155" s="2"/>
      <c r="AN155" s="2"/>
      <c r="AO155" s="2"/>
      <c r="BC155" s="1"/>
      <c r="BD155" s="2"/>
      <c r="BE155" s="2"/>
      <c r="BF155" s="2"/>
      <c r="BG155" s="2"/>
      <c r="BH155" s="2"/>
      <c r="BI155" s="2"/>
      <c r="BJ155" s="2"/>
      <c r="BK155" s="2"/>
    </row>
    <row r="156" spans="1:63" outlineLevel="1" x14ac:dyDescent="0.2">
      <c r="A156" s="4" t="s">
        <v>1561</v>
      </c>
      <c r="C156" s="230">
        <f t="shared" ref="C156:AG156" si="90">C151-$C151</f>
        <v>0</v>
      </c>
      <c r="D156" s="230">
        <f t="shared" si="90"/>
        <v>1.0735849488334708E-3</v>
      </c>
      <c r="E156" s="230">
        <f t="shared" si="90"/>
        <v>2.5000021671041997E-3</v>
      </c>
      <c r="F156" s="230">
        <f t="shared" si="90"/>
        <v>4.314116559821145E-3</v>
      </c>
      <c r="G156" s="230">
        <f t="shared" si="90"/>
        <v>6.548448850614323E-3</v>
      </c>
      <c r="H156" s="230">
        <f t="shared" si="90"/>
        <v>9.2323836848882887E-3</v>
      </c>
      <c r="I156" s="230">
        <f t="shared" si="90"/>
        <v>1.2421359551232816E-2</v>
      </c>
      <c r="J156" s="230">
        <f t="shared" si="90"/>
        <v>1.6160013829374691E-2</v>
      </c>
      <c r="K156" s="230">
        <f t="shared" si="90"/>
        <v>2.0494697329825166E-2</v>
      </c>
      <c r="L156" s="230">
        <f t="shared" si="90"/>
        <v>2.5473415495731684E-2</v>
      </c>
      <c r="M156" s="230">
        <f t="shared" si="90"/>
        <v>3.1145759400884265E-2</v>
      </c>
      <c r="N156" s="230">
        <f t="shared" si="90"/>
        <v>4.0388314768443262E-2</v>
      </c>
      <c r="O156" s="230">
        <f t="shared" si="90"/>
        <v>5.0960492633589122E-2</v>
      </c>
      <c r="P156" s="230">
        <f t="shared" si="90"/>
        <v>6.2691487699089707E-2</v>
      </c>
      <c r="Q156" s="230">
        <f t="shared" si="90"/>
        <v>7.5746030232402548E-2</v>
      </c>
      <c r="R156" s="230">
        <f t="shared" si="90"/>
        <v>9.0134058535858347E-2</v>
      </c>
      <c r="S156" s="230">
        <f t="shared" si="90"/>
        <v>0.10604520961530807</v>
      </c>
      <c r="T156" s="230">
        <f t="shared" si="90"/>
        <v>0.12355497982248045</v>
      </c>
      <c r="U156" s="230">
        <f t="shared" si="90"/>
        <v>0.14274006939581863</v>
      </c>
      <c r="V156" s="230">
        <f t="shared" si="90"/>
        <v>0.16367831511909015</v>
      </c>
      <c r="W156" s="230">
        <f t="shared" si="90"/>
        <v>0.18644861901378443</v>
      </c>
      <c r="X156" s="230">
        <f t="shared" si="90"/>
        <v>0.21924759303502778</v>
      </c>
      <c r="Y156" s="230">
        <f t="shared" si="90"/>
        <v>0.25509900716060513</v>
      </c>
      <c r="Z156" s="230">
        <f t="shared" si="90"/>
        <v>0.2916011931877957</v>
      </c>
      <c r="AA156" s="230">
        <f t="shared" si="90"/>
        <v>0.3306288749750852</v>
      </c>
      <c r="AB156" s="230">
        <f t="shared" si="90"/>
        <v>0.37220079571454656</v>
      </c>
      <c r="AC156" s="230">
        <f t="shared" si="90"/>
        <v>0.41633102083195395</v>
      </c>
      <c r="AD156" s="230">
        <f t="shared" si="90"/>
        <v>0.46302173951484588</v>
      </c>
      <c r="AE156" s="230">
        <f t="shared" si="90"/>
        <v>0.51226538828893275</v>
      </c>
      <c r="AF156" s="230">
        <f t="shared" si="90"/>
        <v>0.56404399020467977</v>
      </c>
      <c r="AG156" s="230">
        <f t="shared" si="90"/>
        <v>0.61832847733739538</v>
      </c>
      <c r="AH156" s="245"/>
      <c r="AI156" s="133"/>
      <c r="AJ156" s="211"/>
      <c r="AL156" s="108"/>
      <c r="AM156" s="2"/>
      <c r="AN156" s="2"/>
      <c r="AO156" s="2"/>
      <c r="BC156" s="1"/>
      <c r="BD156" s="2"/>
      <c r="BE156" s="2"/>
      <c r="BF156" s="2"/>
      <c r="BG156" s="2"/>
      <c r="BH156" s="2"/>
      <c r="BI156" s="2"/>
      <c r="BJ156" s="2"/>
      <c r="BK156" s="2"/>
    </row>
    <row r="157" spans="1:63" s="1" customFormat="1" outlineLevel="1" x14ac:dyDescent="0.2">
      <c r="A157" s="1" t="s">
        <v>1569</v>
      </c>
      <c r="B157" s="65"/>
      <c r="C157" s="300">
        <f>C43*C143</f>
        <v>2.2212350890803759E-2</v>
      </c>
      <c r="D157" s="300">
        <f t="shared" ref="D157:AG157" si="91">D43*D143</f>
        <v>2.8336593292007922E-2</v>
      </c>
      <c r="E157" s="300">
        <f t="shared" si="91"/>
        <v>3.4579489962794405E-2</v>
      </c>
      <c r="F157" s="300">
        <f t="shared" si="91"/>
        <v>4.0878778148040307E-2</v>
      </c>
      <c r="G157" s="300">
        <f t="shared" si="91"/>
        <v>4.7168764067694408E-2</v>
      </c>
      <c r="H157" s="300">
        <f t="shared" si="91"/>
        <v>5.338127120841539E-2</v>
      </c>
      <c r="I157" s="300">
        <f t="shared" si="91"/>
        <v>5.9574924674500464E-2</v>
      </c>
      <c r="J157" s="300">
        <f t="shared" si="91"/>
        <v>6.5718346986625556E-2</v>
      </c>
      <c r="K157" s="300">
        <f t="shared" si="91"/>
        <v>7.1778483395141854E-2</v>
      </c>
      <c r="L157" s="300">
        <f t="shared" si="91"/>
        <v>7.772064539276817E-2</v>
      </c>
      <c r="M157" s="300">
        <f t="shared" si="91"/>
        <v>8.3508562824550187E-2</v>
      </c>
      <c r="N157" s="300">
        <f t="shared" si="91"/>
        <v>9.5549078394164877E-2</v>
      </c>
      <c r="O157" s="300">
        <f t="shared" si="91"/>
        <v>0.10709086039245549</v>
      </c>
      <c r="P157" s="300">
        <f t="shared" si="91"/>
        <v>0.11760532451376221</v>
      </c>
      <c r="Q157" s="300">
        <f t="shared" si="91"/>
        <v>0.12729954676837071</v>
      </c>
      <c r="R157" s="300">
        <f t="shared" si="91"/>
        <v>0.13606297543552828</v>
      </c>
      <c r="S157" s="300">
        <f t="shared" si="91"/>
        <v>0.14405191837478348</v>
      </c>
      <c r="T157" s="300">
        <f t="shared" si="91"/>
        <v>0.15121065648235249</v>
      </c>
      <c r="U157" s="300">
        <f t="shared" si="91"/>
        <v>0.15748293352478115</v>
      </c>
      <c r="V157" s="300">
        <f t="shared" si="91"/>
        <v>0.16281201824601657</v>
      </c>
      <c r="W157" s="300">
        <f t="shared" si="91"/>
        <v>0.16714076856949472</v>
      </c>
      <c r="X157" s="300">
        <f t="shared" si="91"/>
        <v>0.17691670755119571</v>
      </c>
      <c r="Y157" s="300">
        <f t="shared" si="91"/>
        <v>0.18503723006571357</v>
      </c>
      <c r="Z157" s="300">
        <f t="shared" si="91"/>
        <v>0.18976431814304362</v>
      </c>
      <c r="AA157" s="300">
        <f t="shared" si="91"/>
        <v>0.19252497571337823</v>
      </c>
      <c r="AB157" s="300">
        <f t="shared" si="91"/>
        <v>0.19327041885807583</v>
      </c>
      <c r="AC157" s="300">
        <f t="shared" si="91"/>
        <v>0.19195929755496044</v>
      </c>
      <c r="AD157" s="300">
        <f t="shared" si="91"/>
        <v>0.18855436441558579</v>
      </c>
      <c r="AE157" s="300">
        <f t="shared" si="91"/>
        <v>0.18302466090729161</v>
      </c>
      <c r="AF157" s="300">
        <f t="shared" si="91"/>
        <v>0.17534591773811825</v>
      </c>
      <c r="AG157" s="300">
        <f t="shared" si="91"/>
        <v>0.1655009607383455</v>
      </c>
      <c r="AH157" s="245"/>
      <c r="AI157" s="423"/>
      <c r="AJ157" s="424"/>
      <c r="AL157" s="221"/>
      <c r="AM157" s="124"/>
      <c r="AN157" s="124"/>
      <c r="AO157" s="124"/>
      <c r="BD157" s="124"/>
      <c r="BE157" s="124"/>
      <c r="BF157" s="124"/>
      <c r="BG157" s="124"/>
      <c r="BH157" s="124"/>
      <c r="BI157" s="124"/>
      <c r="BJ157" s="124"/>
      <c r="BK157" s="124"/>
    </row>
    <row r="158" spans="1:63" outlineLevel="1" x14ac:dyDescent="0.2">
      <c r="A158" s="4" t="s">
        <v>474</v>
      </c>
      <c r="C158" s="230">
        <f>C$157*'BTX recycling rates'!E62</f>
        <v>0</v>
      </c>
      <c r="D158" s="230">
        <f>D$157*'BTX recycling rates'!F62</f>
        <v>0</v>
      </c>
      <c r="E158" s="230">
        <f>E$157*'BTX recycling rates'!G62</f>
        <v>0</v>
      </c>
      <c r="F158" s="230">
        <f>F$157*'BTX recycling rates'!H62</f>
        <v>0</v>
      </c>
      <c r="G158" s="230">
        <f>G$157*'BTX recycling rates'!I62</f>
        <v>0</v>
      </c>
      <c r="H158" s="230">
        <f>H$157*'BTX recycling rates'!J62</f>
        <v>0</v>
      </c>
      <c r="I158" s="230">
        <f>I$157*'BTX recycling rates'!K62</f>
        <v>0</v>
      </c>
      <c r="J158" s="230">
        <f>J$157*'BTX recycling rates'!L62</f>
        <v>0</v>
      </c>
      <c r="K158" s="230">
        <f>K$157*'BTX recycling rates'!M62</f>
        <v>0</v>
      </c>
      <c r="L158" s="230">
        <f>L$157*'BTX recycling rates'!N62</f>
        <v>0</v>
      </c>
      <c r="M158" s="230">
        <f>M$157*'BTX recycling rates'!O62</f>
        <v>0</v>
      </c>
      <c r="N158" s="230">
        <f>N$157*'BTX recycling rates'!P62</f>
        <v>0</v>
      </c>
      <c r="O158" s="230">
        <f>O$157*'BTX recycling rates'!Q62</f>
        <v>0</v>
      </c>
      <c r="P158" s="230">
        <f>P$157*'BTX recycling rates'!R62</f>
        <v>0</v>
      </c>
      <c r="Q158" s="230">
        <f>Q$157*'BTX recycling rates'!S62</f>
        <v>0</v>
      </c>
      <c r="R158" s="230">
        <f>R$157*'BTX recycling rates'!T62</f>
        <v>0</v>
      </c>
      <c r="S158" s="230">
        <f>S$157*'BTX recycling rates'!U62</f>
        <v>0</v>
      </c>
      <c r="T158" s="230">
        <f>T$157*'BTX recycling rates'!V62</f>
        <v>0</v>
      </c>
      <c r="U158" s="230">
        <f>U$157*'BTX recycling rates'!W62</f>
        <v>0</v>
      </c>
      <c r="V158" s="230">
        <f>V$157*'BTX recycling rates'!X62</f>
        <v>0</v>
      </c>
      <c r="W158" s="230">
        <f>W$157*'BTX recycling rates'!Y62</f>
        <v>0</v>
      </c>
      <c r="X158" s="230">
        <f>X$157*'BTX recycling rates'!Z62</f>
        <v>0</v>
      </c>
      <c r="Y158" s="230">
        <f>Y$157*'BTX recycling rates'!AA62</f>
        <v>0</v>
      </c>
      <c r="Z158" s="230">
        <f>Z$157*'BTX recycling rates'!AB62</f>
        <v>0</v>
      </c>
      <c r="AA158" s="230">
        <f>AA$157*'BTX recycling rates'!AC62</f>
        <v>0</v>
      </c>
      <c r="AB158" s="230">
        <f>AB$157*'BTX recycling rates'!AD62</f>
        <v>0</v>
      </c>
      <c r="AC158" s="230">
        <f>AC$157*'BTX recycling rates'!AE62</f>
        <v>0</v>
      </c>
      <c r="AD158" s="230">
        <f>AD$157*'BTX recycling rates'!AF62</f>
        <v>0</v>
      </c>
      <c r="AE158" s="230">
        <f>AE$157*'BTX recycling rates'!AG62</f>
        <v>0</v>
      </c>
      <c r="AF158" s="230">
        <f>AF$157*'BTX recycling rates'!AH62</f>
        <v>0</v>
      </c>
      <c r="AG158" s="230">
        <f>AG$157*'BTX recycling rates'!AI62</f>
        <v>0</v>
      </c>
      <c r="AH158" s="245"/>
      <c r="AI158" s="133"/>
      <c r="AJ158" s="211"/>
      <c r="AL158" s="108"/>
      <c r="AM158" s="2"/>
      <c r="AN158" s="2"/>
      <c r="AO158" s="2"/>
      <c r="BC158" s="1"/>
      <c r="BD158" s="2"/>
      <c r="BE158" s="2"/>
      <c r="BF158" s="2"/>
      <c r="BG158" s="2"/>
      <c r="BH158" s="2"/>
      <c r="BI158" s="2"/>
      <c r="BJ158" s="2"/>
      <c r="BK158" s="2"/>
    </row>
    <row r="159" spans="1:63" outlineLevel="1" x14ac:dyDescent="0.2">
      <c r="A159" s="4" t="s">
        <v>478</v>
      </c>
      <c r="C159" s="230">
        <f>C$157*'BTX recycling rates'!E63</f>
        <v>1.3225674576203765E-2</v>
      </c>
      <c r="D159" s="230">
        <f>D$157*'BTX recycling rates'!F63</f>
        <v>1.630976438333891E-2</v>
      </c>
      <c r="E159" s="230">
        <f>E$157*'BTX recycling rates'!G63</f>
        <v>1.9216693658713226E-2</v>
      </c>
      <c r="F159" s="230">
        <f>F$157*'BTX recycling rates'!H63</f>
        <v>2.1906032259484193E-2</v>
      </c>
      <c r="G159" s="230">
        <f>G$157*'BTX recycling rates'!I63</f>
        <v>2.4340522526535433E-2</v>
      </c>
      <c r="H159" s="230">
        <f>H$157*'BTX recycling rates'!J63</f>
        <v>2.6486890294251907E-2</v>
      </c>
      <c r="I159" s="230">
        <f>I$157*'BTX recycling rates'!K63</f>
        <v>2.8377674043426171E-2</v>
      </c>
      <c r="J159" s="230">
        <f>J$157*'BTX recycling rates'!L63</f>
        <v>2.9999672899238227E-2</v>
      </c>
      <c r="K159" s="230">
        <f>K$157*'BTX recycling rates'!M63</f>
        <v>3.1341444658031396E-2</v>
      </c>
      <c r="L159" s="230">
        <f>L$157*'BTX recycling rates'!N63</f>
        <v>3.2393490369810235E-2</v>
      </c>
      <c r="M159" s="230">
        <f>M$157*'BTX recycling rates'!O63</f>
        <v>3.3148437151729833E-2</v>
      </c>
      <c r="N159" s="230">
        <f>N$157*'BTX recycling rates'!P63</f>
        <v>3.6031484524211781E-2</v>
      </c>
      <c r="O159" s="230">
        <f>O$157*'BTX recycling rates'!Q63</f>
        <v>3.8258414247075691E-2</v>
      </c>
      <c r="P159" s="230">
        <f>P$157*'BTX recycling rates'!R63</f>
        <v>3.9680575141284639E-2</v>
      </c>
      <c r="Q159" s="230">
        <f>Q$157*'BTX recycling rates'!S63</f>
        <v>4.0424894240948236E-2</v>
      </c>
      <c r="R159" s="230">
        <f>R$157*'BTX recycling rates'!T63</f>
        <v>4.0507298030424424E-2</v>
      </c>
      <c r="S159" s="230">
        <f>S$157*'BTX recycling rates'!U63</f>
        <v>4.0026639914825309E-2</v>
      </c>
      <c r="T159" s="230">
        <f>T$157*'BTX recycling rates'!V63</f>
        <v>3.9014657932087866E-2</v>
      </c>
      <c r="U159" s="230">
        <f>U$157*'BTX recycling rates'!W63</f>
        <v>3.750738569445166E-2</v>
      </c>
      <c r="V159" s="230">
        <f>V$157*'BTX recycling rates'!X63</f>
        <v>3.5545219250657019E-2</v>
      </c>
      <c r="W159" s="230">
        <f>W$157*'BTX recycling rates'!Y63</f>
        <v>3.3172976967991284E-2</v>
      </c>
      <c r="X159" s="230">
        <f>X$157*'BTX recycling rates'!Z63</f>
        <v>3.1601915699984537E-2</v>
      </c>
      <c r="Y159" s="230">
        <f>Y$157*'BTX recycling rates'!AA63</f>
        <v>2.9379957140204856E-2</v>
      </c>
      <c r="Z159" s="230">
        <f>Z$157*'BTX recycling rates'!AB63</f>
        <v>2.6364202978651812E-2</v>
      </c>
      <c r="AA159" s="230">
        <f>AA$157*'BTX recycling rates'!AC63</f>
        <v>2.2926638329226673E-2</v>
      </c>
      <c r="AB159" s="230">
        <f>AB$157*'BTX recycling rates'!AD63</f>
        <v>1.9179507214923508E-2</v>
      </c>
      <c r="AC159" s="230">
        <f>AC$157*'BTX recycling rates'!AE63</f>
        <v>1.5239516752454827E-2</v>
      </c>
      <c r="AD159" s="230">
        <f>AD$157*'BTX recycling rates'!AF63</f>
        <v>1.1226901087340176E-2</v>
      </c>
      <c r="AE159" s="230">
        <f>AE$157*'BTX recycling rates'!AG63</f>
        <v>7.2651010436481723E-3</v>
      </c>
      <c r="AF159" s="230">
        <f>AF$157*'BTX recycling rates'!AH63</f>
        <v>3.4801479856419993E-3</v>
      </c>
      <c r="AG159" s="230">
        <f>AG$157*'BTX recycling rates'!AI63</f>
        <v>0</v>
      </c>
      <c r="AH159" s="245"/>
      <c r="AI159" s="133"/>
      <c r="AJ159" s="211"/>
      <c r="AL159" s="108"/>
      <c r="AM159" s="2"/>
      <c r="AN159" s="2"/>
      <c r="AO159" s="2"/>
      <c r="BC159" s="1"/>
      <c r="BD159" s="2"/>
      <c r="BE159" s="2"/>
      <c r="BF159" s="2"/>
      <c r="BG159" s="2"/>
      <c r="BH159" s="2"/>
      <c r="BI159" s="2"/>
      <c r="BJ159" s="2"/>
      <c r="BK159" s="2"/>
    </row>
    <row r="160" spans="1:63" outlineLevel="1" x14ac:dyDescent="0.2">
      <c r="A160" s="4" t="s">
        <v>745</v>
      </c>
      <c r="C160" s="230">
        <f>C$157*'BTX recycling rates'!E64</f>
        <v>0</v>
      </c>
      <c r="D160" s="230">
        <f>D$157*'BTX recycling rates'!F64</f>
        <v>4.8467504535192182E-4</v>
      </c>
      <c r="E160" s="230">
        <f>E$157*'BTX recycling rates'!G64</f>
        <v>1.1829097233569468E-3</v>
      </c>
      <c r="F160" s="230">
        <f>F$157*'BTX recycling rates'!H64</f>
        <v>2.0975976309495865E-3</v>
      </c>
      <c r="G160" s="230">
        <f>G$157*'BTX recycling rates'!I64</f>
        <v>3.2271378041977645E-3</v>
      </c>
      <c r="H160" s="230">
        <f>H$157*'BTX recycling rates'!J64</f>
        <v>4.5652223923436644E-3</v>
      </c>
      <c r="I160" s="230">
        <f>I$157*'BTX recycling rates'!K64</f>
        <v>6.1138921720547022E-3</v>
      </c>
      <c r="J160" s="230">
        <f>J$157*'BTX recycling rates'!L64</f>
        <v>7.8684229027014881E-3</v>
      </c>
      <c r="K160" s="230">
        <f>K$157*'BTX recycling rates'!M64</f>
        <v>9.8217140885865153E-3</v>
      </c>
      <c r="L160" s="230">
        <f>L$157*'BTX recycling rates'!N64</f>
        <v>1.1964152235276051E-2</v>
      </c>
      <c r="M160" s="230">
        <f>M$157*'BTX recycling rates'!O64</f>
        <v>1.4283480041928026E-2</v>
      </c>
      <c r="N160" s="230">
        <f>N$157*'BTX recycling rates'!P64</f>
        <v>1.7977206635067293E-2</v>
      </c>
      <c r="O160" s="230">
        <f>O$157*'BTX recycling rates'!Q64</f>
        <v>2.1980454918889131E-2</v>
      </c>
      <c r="P160" s="230">
        <f>P$157*'BTX recycling rates'!R64</f>
        <v>2.6150100340726241E-2</v>
      </c>
      <c r="Q160" s="230">
        <f>Q$157*'BTX recycling rates'!S64</f>
        <v>3.0483014720367636E-2</v>
      </c>
      <c r="R160" s="230">
        <f>R$157*'BTX recycling rates'!T64</f>
        <v>3.4908745792246482E-2</v>
      </c>
      <c r="S160" s="230">
        <f>S$157*'BTX recycling rates'!U64</f>
        <v>3.9422308448642578E-2</v>
      </c>
      <c r="T160" s="230">
        <f>T$157*'BTX recycling rates'!V64</f>
        <v>4.3967760258327201E-2</v>
      </c>
      <c r="U160" s="230">
        <f>U$157*'BTX recycling rates'!W64</f>
        <v>4.8485181295822292E-2</v>
      </c>
      <c r="V160" s="230">
        <f>V$157*'BTX recycling rates'!X64</f>
        <v>5.2910648389062356E-2</v>
      </c>
      <c r="W160" s="230">
        <f>W$157*'BTX recycling rates'!Y64</f>
        <v>5.7176216457482741E-2</v>
      </c>
      <c r="X160" s="230">
        <f>X$157*'BTX recycling rates'!Z64</f>
        <v>6.3546431281191654E-2</v>
      </c>
      <c r="Y160" s="230">
        <f>Y$157*'BTX recycling rates'!AA64</f>
        <v>6.9628144530067243E-2</v>
      </c>
      <c r="Z160" s="230">
        <f>Z$157*'BTX recycling rates'!AB64</f>
        <v>7.4652681666790982E-2</v>
      </c>
      <c r="AA160" s="230">
        <f>AA$157*'BTX recycling rates'!AC64</f>
        <v>7.9031703245635007E-2</v>
      </c>
      <c r="AB160" s="230">
        <f>AB$157*'BTX recycling rates'!AD64</f>
        <v>8.2643446285092556E-2</v>
      </c>
      <c r="AC160" s="230">
        <f>AC$157*'BTX recycling rates'!AE64</f>
        <v>8.5366116086183289E-2</v>
      </c>
      <c r="AD160" s="230">
        <f>AD$157*'BTX recycling rates'!AF64</f>
        <v>8.7076983564409294E-2</v>
      </c>
      <c r="AE160" s="230">
        <f>AE$157*'BTX recycling rates'!AG64</f>
        <v>8.7653783132140395E-2</v>
      </c>
      <c r="AF160" s="230">
        <f>AF$157*'BTX recycling rates'!AH64</f>
        <v>8.6975449127931051E-2</v>
      </c>
      <c r="AG160" s="230">
        <f>AG$157*'BTX recycling rates'!AI64</f>
        <v>8.4922896155905855E-2</v>
      </c>
      <c r="AH160" s="245"/>
      <c r="AI160" s="133"/>
      <c r="AJ160" s="211"/>
      <c r="AL160" s="108"/>
      <c r="AM160" s="2"/>
      <c r="AN160" s="2"/>
      <c r="AO160" s="2"/>
      <c r="BC160" s="1"/>
      <c r="BD160" s="2"/>
      <c r="BE160" s="2"/>
      <c r="BF160" s="2"/>
      <c r="BG160" s="2"/>
      <c r="BH160" s="2"/>
      <c r="BI160" s="2"/>
      <c r="BJ160" s="2"/>
      <c r="BK160" s="2"/>
    </row>
    <row r="161" spans="1:63" outlineLevel="1" x14ac:dyDescent="0.2">
      <c r="A161" s="4" t="s">
        <v>1561</v>
      </c>
      <c r="C161" s="230">
        <f>C$157*'BTX recycling rates'!E65</f>
        <v>8.9866763145999926E-3</v>
      </c>
      <c r="D161" s="230">
        <f>D$157*'BTX recycling rates'!F65</f>
        <v>1.1542153863317087E-2</v>
      </c>
      <c r="E161" s="230">
        <f>E$157*'BTX recycling rates'!G65</f>
        <v>1.417988658072423E-2</v>
      </c>
      <c r="F161" s="230">
        <f>F$157*'BTX recycling rates'!H65</f>
        <v>1.6875148257606526E-2</v>
      </c>
      <c r="G161" s="230">
        <f>G$157*'BTX recycling rates'!I65</f>
        <v>1.9601103736961209E-2</v>
      </c>
      <c r="H161" s="230">
        <f>H$157*'BTX recycling rates'!J65</f>
        <v>2.2329158521819815E-2</v>
      </c>
      <c r="I161" s="230">
        <f>I$157*'BTX recycling rates'!K65</f>
        <v>2.508335845901959E-2</v>
      </c>
      <c r="J161" s="230">
        <f>J$157*'BTX recycling rates'!L65</f>
        <v>2.7850251184685839E-2</v>
      </c>
      <c r="K161" s="230">
        <f>K$157*'BTX recycling rates'!M65</f>
        <v>3.0615324648523939E-2</v>
      </c>
      <c r="L161" s="230">
        <f>L$157*'BTX recycling rates'!N65</f>
        <v>3.3363002787681881E-2</v>
      </c>
      <c r="M161" s="230">
        <f>M$157*'BTX recycling rates'!O65</f>
        <v>3.6076645630892322E-2</v>
      </c>
      <c r="N161" s="230">
        <f>N$157*'BTX recycling rates'!P65</f>
        <v>4.1540387234885803E-2</v>
      </c>
      <c r="O161" s="230">
        <f>O$157*'BTX recycling rates'!Q65</f>
        <v>4.6851991226490669E-2</v>
      </c>
      <c r="P161" s="230">
        <f>P$157*'BTX recycling rates'!R65</f>
        <v>5.177464903175133E-2</v>
      </c>
      <c r="Q161" s="230">
        <f>Q$157*'BTX recycling rates'!S65</f>
        <v>5.6391637807054834E-2</v>
      </c>
      <c r="R161" s="230">
        <f>R$157*'BTX recycling rates'!T65</f>
        <v>6.064693161285737E-2</v>
      </c>
      <c r="S161" s="230">
        <f>S$157*'BTX recycling rates'!U65</f>
        <v>6.4602970011315597E-2</v>
      </c>
      <c r="T161" s="230">
        <f>T$157*'BTX recycling rates'!V65</f>
        <v>6.8228238291937429E-2</v>
      </c>
      <c r="U161" s="230">
        <f>U$157*'BTX recycling rates'!W65</f>
        <v>7.1490366534507202E-2</v>
      </c>
      <c r="V161" s="230">
        <f>V$157*'BTX recycling rates'!X65</f>
        <v>7.4356150606297203E-2</v>
      </c>
      <c r="W161" s="230">
        <f>W$157*'BTX recycling rates'!Y65</f>
        <v>7.6791575144020699E-2</v>
      </c>
      <c r="X161" s="230">
        <f>X$157*'BTX recycling rates'!Z65</f>
        <v>8.1768360570019516E-2</v>
      </c>
      <c r="Y161" s="230">
        <f>Y$157*'BTX recycling rates'!AA65</f>
        <v>8.6029128395441468E-2</v>
      </c>
      <c r="Z161" s="230">
        <f>Z$157*'BTX recycling rates'!AB65</f>
        <v>8.8747433497600822E-2</v>
      </c>
      <c r="AA161" s="230">
        <f>AA$157*'BTX recycling rates'!AC65</f>
        <v>9.0566634138516552E-2</v>
      </c>
      <c r="AB161" s="230">
        <f>AB$157*'BTX recycling rates'!AD65</f>
        <v>9.1447465358059782E-2</v>
      </c>
      <c r="AC161" s="230">
        <f>AC$157*'BTX recycling rates'!AE65</f>
        <v>9.1353664716322336E-2</v>
      </c>
      <c r="AD161" s="230">
        <f>AD$157*'BTX recycling rates'!AF65</f>
        <v>9.0250479763836336E-2</v>
      </c>
      <c r="AE161" s="230">
        <f>AE$157*'BTX recycling rates'!AG65</f>
        <v>8.8105776731503049E-2</v>
      </c>
      <c r="AF161" s="230">
        <f>AF$157*'BTX recycling rates'!AH65</f>
        <v>8.4890320624545212E-2</v>
      </c>
      <c r="AG161" s="230">
        <f>AG$157*'BTX recycling rates'!AI65</f>
        <v>8.0578064582439629E-2</v>
      </c>
      <c r="AH161" s="245"/>
      <c r="AI161" s="133"/>
      <c r="AJ161" s="211"/>
      <c r="AL161" s="108"/>
      <c r="AM161" s="2"/>
      <c r="AN161" s="2"/>
      <c r="AO161" s="2"/>
      <c r="BC161" s="1"/>
      <c r="BD161" s="2"/>
      <c r="BE161" s="2"/>
      <c r="BF161" s="2"/>
      <c r="BG161" s="2"/>
      <c r="BH161" s="2"/>
      <c r="BI161" s="2"/>
      <c r="BJ161" s="2"/>
      <c r="BK161" s="2"/>
    </row>
    <row r="162" spans="1:63" s="1" customFormat="1" outlineLevel="1" x14ac:dyDescent="0.2">
      <c r="A162" s="1" t="s">
        <v>1570</v>
      </c>
      <c r="B162" s="65"/>
      <c r="C162" s="300">
        <f t="shared" ref="C162:AG162" si="92">C157-$C157</f>
        <v>0</v>
      </c>
      <c r="D162" s="300">
        <f t="shared" si="92"/>
        <v>6.1242424012041621E-3</v>
      </c>
      <c r="E162" s="300">
        <f t="shared" si="92"/>
        <v>1.2367139071990645E-2</v>
      </c>
      <c r="F162" s="300">
        <f t="shared" si="92"/>
        <v>1.8666427257236547E-2</v>
      </c>
      <c r="G162" s="300">
        <f t="shared" si="92"/>
        <v>2.4956413176890648E-2</v>
      </c>
      <c r="H162" s="300">
        <f t="shared" si="92"/>
        <v>3.1168920317611631E-2</v>
      </c>
      <c r="I162" s="300">
        <f t="shared" si="92"/>
        <v>3.7362573783696701E-2</v>
      </c>
      <c r="J162" s="300">
        <f t="shared" si="92"/>
        <v>4.35059960958218E-2</v>
      </c>
      <c r="K162" s="300">
        <f t="shared" si="92"/>
        <v>4.9566132504338098E-2</v>
      </c>
      <c r="L162" s="300">
        <f t="shared" si="92"/>
        <v>5.5508294501964414E-2</v>
      </c>
      <c r="M162" s="300">
        <f t="shared" si="92"/>
        <v>6.1296211933746431E-2</v>
      </c>
      <c r="N162" s="300">
        <f t="shared" si="92"/>
        <v>7.3336727503361121E-2</v>
      </c>
      <c r="O162" s="300">
        <f t="shared" si="92"/>
        <v>8.4878509501651739E-2</v>
      </c>
      <c r="P162" s="300">
        <f t="shared" si="92"/>
        <v>9.5392973622958455E-2</v>
      </c>
      <c r="Q162" s="300">
        <f t="shared" si="92"/>
        <v>0.10508719587756696</v>
      </c>
      <c r="R162" s="300">
        <f t="shared" si="92"/>
        <v>0.11385062454472453</v>
      </c>
      <c r="S162" s="300">
        <f t="shared" si="92"/>
        <v>0.12183956748397973</v>
      </c>
      <c r="T162" s="300">
        <f t="shared" si="92"/>
        <v>0.12899830559154873</v>
      </c>
      <c r="U162" s="300">
        <f t="shared" si="92"/>
        <v>0.1352705826339774</v>
      </c>
      <c r="V162" s="300">
        <f t="shared" si="92"/>
        <v>0.14059966735521282</v>
      </c>
      <c r="W162" s="300">
        <f t="shared" si="92"/>
        <v>0.14492841767869097</v>
      </c>
      <c r="X162" s="300">
        <f t="shared" si="92"/>
        <v>0.15470435666039195</v>
      </c>
      <c r="Y162" s="300">
        <f t="shared" si="92"/>
        <v>0.16282487917490981</v>
      </c>
      <c r="Z162" s="300">
        <f t="shared" si="92"/>
        <v>0.16755196725223986</v>
      </c>
      <c r="AA162" s="300">
        <f t="shared" si="92"/>
        <v>0.17031262482257448</v>
      </c>
      <c r="AB162" s="300">
        <f t="shared" si="92"/>
        <v>0.17105806796727208</v>
      </c>
      <c r="AC162" s="300">
        <f t="shared" si="92"/>
        <v>0.16974694666415668</v>
      </c>
      <c r="AD162" s="300">
        <f t="shared" si="92"/>
        <v>0.16634201352478203</v>
      </c>
      <c r="AE162" s="300">
        <f t="shared" si="92"/>
        <v>0.16081231001648785</v>
      </c>
      <c r="AF162" s="300">
        <f t="shared" si="92"/>
        <v>0.1531335668473145</v>
      </c>
      <c r="AG162" s="300">
        <f t="shared" si="92"/>
        <v>0.14328860984754174</v>
      </c>
      <c r="AH162" s="245"/>
      <c r="AI162" s="423"/>
      <c r="AJ162" s="424"/>
      <c r="AL162" s="221"/>
      <c r="AM162" s="124"/>
      <c r="AN162" s="124"/>
      <c r="AO162" s="124"/>
      <c r="BD162" s="124"/>
      <c r="BE162" s="124"/>
      <c r="BF162" s="124"/>
      <c r="BG162" s="124"/>
      <c r="BH162" s="124"/>
      <c r="BI162" s="124"/>
      <c r="BJ162" s="124"/>
      <c r="BK162" s="124"/>
    </row>
    <row r="163" spans="1:63" outlineLevel="1" x14ac:dyDescent="0.2">
      <c r="A163" s="4" t="s">
        <v>474</v>
      </c>
      <c r="C163" s="230">
        <f t="shared" ref="C163:AG163" si="93">C158-$C158</f>
        <v>0</v>
      </c>
      <c r="D163" s="230">
        <f t="shared" si="93"/>
        <v>0</v>
      </c>
      <c r="E163" s="230">
        <f t="shared" si="93"/>
        <v>0</v>
      </c>
      <c r="F163" s="230">
        <f t="shared" si="93"/>
        <v>0</v>
      </c>
      <c r="G163" s="230">
        <f t="shared" si="93"/>
        <v>0</v>
      </c>
      <c r="H163" s="230">
        <f t="shared" si="93"/>
        <v>0</v>
      </c>
      <c r="I163" s="230">
        <f t="shared" si="93"/>
        <v>0</v>
      </c>
      <c r="J163" s="230">
        <f t="shared" si="93"/>
        <v>0</v>
      </c>
      <c r="K163" s="230">
        <f t="shared" si="93"/>
        <v>0</v>
      </c>
      <c r="L163" s="230">
        <f t="shared" si="93"/>
        <v>0</v>
      </c>
      <c r="M163" s="230">
        <f t="shared" si="93"/>
        <v>0</v>
      </c>
      <c r="N163" s="230">
        <f t="shared" si="93"/>
        <v>0</v>
      </c>
      <c r="O163" s="230">
        <f t="shared" si="93"/>
        <v>0</v>
      </c>
      <c r="P163" s="230">
        <f t="shared" si="93"/>
        <v>0</v>
      </c>
      <c r="Q163" s="230">
        <f t="shared" si="93"/>
        <v>0</v>
      </c>
      <c r="R163" s="230">
        <f t="shared" si="93"/>
        <v>0</v>
      </c>
      <c r="S163" s="230">
        <f t="shared" si="93"/>
        <v>0</v>
      </c>
      <c r="T163" s="230">
        <f t="shared" si="93"/>
        <v>0</v>
      </c>
      <c r="U163" s="230">
        <f t="shared" si="93"/>
        <v>0</v>
      </c>
      <c r="V163" s="230">
        <f t="shared" si="93"/>
        <v>0</v>
      </c>
      <c r="W163" s="230">
        <f t="shared" si="93"/>
        <v>0</v>
      </c>
      <c r="X163" s="230">
        <f t="shared" si="93"/>
        <v>0</v>
      </c>
      <c r="Y163" s="230">
        <f t="shared" si="93"/>
        <v>0</v>
      </c>
      <c r="Z163" s="230">
        <f t="shared" si="93"/>
        <v>0</v>
      </c>
      <c r="AA163" s="230">
        <f t="shared" si="93"/>
        <v>0</v>
      </c>
      <c r="AB163" s="230">
        <f t="shared" si="93"/>
        <v>0</v>
      </c>
      <c r="AC163" s="230">
        <f t="shared" si="93"/>
        <v>0</v>
      </c>
      <c r="AD163" s="230">
        <f t="shared" si="93"/>
        <v>0</v>
      </c>
      <c r="AE163" s="230">
        <f t="shared" si="93"/>
        <v>0</v>
      </c>
      <c r="AF163" s="230">
        <f t="shared" si="93"/>
        <v>0</v>
      </c>
      <c r="AG163" s="230">
        <f t="shared" si="93"/>
        <v>0</v>
      </c>
      <c r="AH163" s="245"/>
      <c r="AI163" s="133"/>
      <c r="AJ163" s="211"/>
      <c r="AL163" s="108"/>
      <c r="AM163" s="2"/>
      <c r="AN163" s="2"/>
      <c r="AO163" s="2"/>
      <c r="BC163" s="1"/>
      <c r="BD163" s="2"/>
      <c r="BE163" s="2"/>
      <c r="BF163" s="2"/>
      <c r="BG163" s="2"/>
      <c r="BH163" s="2"/>
      <c r="BI163" s="2"/>
      <c r="BJ163" s="2"/>
      <c r="BK163" s="2"/>
    </row>
    <row r="164" spans="1:63" outlineLevel="1" x14ac:dyDescent="0.2">
      <c r="A164" s="4" t="s">
        <v>478</v>
      </c>
      <c r="C164" s="230">
        <f t="shared" ref="C164:AG164" si="94">C159-$C159</f>
        <v>0</v>
      </c>
      <c r="D164" s="230">
        <f t="shared" si="94"/>
        <v>3.0840898071351451E-3</v>
      </c>
      <c r="E164" s="230">
        <f t="shared" si="94"/>
        <v>5.9910190825094613E-3</v>
      </c>
      <c r="F164" s="230">
        <f t="shared" si="94"/>
        <v>8.6803576832804284E-3</v>
      </c>
      <c r="G164" s="230">
        <f t="shared" si="94"/>
        <v>1.1114847950331668E-2</v>
      </c>
      <c r="H164" s="230">
        <f t="shared" si="94"/>
        <v>1.3261215718048142E-2</v>
      </c>
      <c r="I164" s="230">
        <f t="shared" si="94"/>
        <v>1.5151999467222406E-2</v>
      </c>
      <c r="J164" s="230">
        <f t="shared" si="94"/>
        <v>1.6773998323034462E-2</v>
      </c>
      <c r="K164" s="230">
        <f t="shared" si="94"/>
        <v>1.8115770081827631E-2</v>
      </c>
      <c r="L164" s="230">
        <f t="shared" si="94"/>
        <v>1.916781579360647E-2</v>
      </c>
      <c r="M164" s="230">
        <f t="shared" si="94"/>
        <v>1.9922762575526068E-2</v>
      </c>
      <c r="N164" s="230">
        <f t="shared" si="94"/>
        <v>2.2805809948008016E-2</v>
      </c>
      <c r="O164" s="230">
        <f t="shared" si="94"/>
        <v>2.5032739670871926E-2</v>
      </c>
      <c r="P164" s="230">
        <f t="shared" si="94"/>
        <v>2.6454900565080874E-2</v>
      </c>
      <c r="Q164" s="230">
        <f t="shared" si="94"/>
        <v>2.7199219664744471E-2</v>
      </c>
      <c r="R164" s="230">
        <f t="shared" si="94"/>
        <v>2.7281623454220659E-2</v>
      </c>
      <c r="S164" s="230">
        <f t="shared" si="94"/>
        <v>2.6800965338621544E-2</v>
      </c>
      <c r="T164" s="230">
        <f t="shared" si="94"/>
        <v>2.5788983355884101E-2</v>
      </c>
      <c r="U164" s="230">
        <f t="shared" si="94"/>
        <v>2.4281711118247895E-2</v>
      </c>
      <c r="V164" s="230">
        <f t="shared" si="94"/>
        <v>2.2319544674453254E-2</v>
      </c>
      <c r="W164" s="230">
        <f t="shared" si="94"/>
        <v>1.9947302391787519E-2</v>
      </c>
      <c r="X164" s="230">
        <f t="shared" si="94"/>
        <v>1.8376241123780772E-2</v>
      </c>
      <c r="Y164" s="230">
        <f t="shared" si="94"/>
        <v>1.6154282564001091E-2</v>
      </c>
      <c r="Z164" s="230">
        <f t="shared" si="94"/>
        <v>1.3138528402448047E-2</v>
      </c>
      <c r="AA164" s="230">
        <f t="shared" si="94"/>
        <v>9.7009637530229079E-3</v>
      </c>
      <c r="AB164" s="230">
        <f t="shared" si="94"/>
        <v>5.9538326387197429E-3</v>
      </c>
      <c r="AC164" s="230">
        <f t="shared" si="94"/>
        <v>2.0138421762510624E-3</v>
      </c>
      <c r="AD164" s="230">
        <f t="shared" si="94"/>
        <v>-1.9987734888635891E-3</v>
      </c>
      <c r="AE164" s="230">
        <f t="shared" si="94"/>
        <v>-5.9605735325555928E-3</v>
      </c>
      <c r="AF164" s="230">
        <f t="shared" si="94"/>
        <v>-9.7455265905617653E-3</v>
      </c>
      <c r="AG164" s="230">
        <f t="shared" si="94"/>
        <v>-1.3225674576203765E-2</v>
      </c>
      <c r="AH164" s="245"/>
      <c r="AI164" s="133"/>
      <c r="AJ164" s="211"/>
      <c r="AL164" s="108"/>
      <c r="AM164" s="2"/>
      <c r="AN164" s="2"/>
      <c r="AO164" s="2"/>
      <c r="BC164" s="1"/>
      <c r="BD164" s="2"/>
      <c r="BE164" s="2"/>
      <c r="BF164" s="2"/>
      <c r="BG164" s="2"/>
      <c r="BH164" s="2"/>
      <c r="BI164" s="2"/>
      <c r="BJ164" s="2"/>
      <c r="BK164" s="2"/>
    </row>
    <row r="165" spans="1:63" outlineLevel="1" x14ac:dyDescent="0.2">
      <c r="A165" s="4" t="s">
        <v>745</v>
      </c>
      <c r="C165" s="230">
        <f t="shared" ref="C165:AG165" si="95">C160-$C160</f>
        <v>0</v>
      </c>
      <c r="D165" s="230">
        <f t="shared" si="95"/>
        <v>4.8467504535192182E-4</v>
      </c>
      <c r="E165" s="230">
        <f t="shared" si="95"/>
        <v>1.1829097233569468E-3</v>
      </c>
      <c r="F165" s="230">
        <f t="shared" si="95"/>
        <v>2.0975976309495865E-3</v>
      </c>
      <c r="G165" s="230">
        <f t="shared" si="95"/>
        <v>3.2271378041977645E-3</v>
      </c>
      <c r="H165" s="230">
        <f t="shared" si="95"/>
        <v>4.5652223923436644E-3</v>
      </c>
      <c r="I165" s="230">
        <f t="shared" si="95"/>
        <v>6.1138921720547022E-3</v>
      </c>
      <c r="J165" s="230">
        <f t="shared" si="95"/>
        <v>7.8684229027014881E-3</v>
      </c>
      <c r="K165" s="230">
        <f t="shared" si="95"/>
        <v>9.8217140885865153E-3</v>
      </c>
      <c r="L165" s="230">
        <f t="shared" si="95"/>
        <v>1.1964152235276051E-2</v>
      </c>
      <c r="M165" s="230">
        <f t="shared" si="95"/>
        <v>1.4283480041928026E-2</v>
      </c>
      <c r="N165" s="230">
        <f t="shared" si="95"/>
        <v>1.7977206635067293E-2</v>
      </c>
      <c r="O165" s="230">
        <f t="shared" si="95"/>
        <v>2.1980454918889131E-2</v>
      </c>
      <c r="P165" s="230">
        <f t="shared" si="95"/>
        <v>2.6150100340726241E-2</v>
      </c>
      <c r="Q165" s="230">
        <f t="shared" si="95"/>
        <v>3.0483014720367636E-2</v>
      </c>
      <c r="R165" s="230">
        <f t="shared" si="95"/>
        <v>3.4908745792246482E-2</v>
      </c>
      <c r="S165" s="230">
        <f t="shared" si="95"/>
        <v>3.9422308448642578E-2</v>
      </c>
      <c r="T165" s="230">
        <f t="shared" si="95"/>
        <v>4.3967760258327201E-2</v>
      </c>
      <c r="U165" s="230">
        <f t="shared" si="95"/>
        <v>4.8485181295822292E-2</v>
      </c>
      <c r="V165" s="230">
        <f t="shared" si="95"/>
        <v>5.2910648389062356E-2</v>
      </c>
      <c r="W165" s="230">
        <f t="shared" si="95"/>
        <v>5.7176216457482741E-2</v>
      </c>
      <c r="X165" s="230">
        <f t="shared" si="95"/>
        <v>6.3546431281191654E-2</v>
      </c>
      <c r="Y165" s="230">
        <f t="shared" si="95"/>
        <v>6.9628144530067243E-2</v>
      </c>
      <c r="Z165" s="230">
        <f t="shared" si="95"/>
        <v>7.4652681666790982E-2</v>
      </c>
      <c r="AA165" s="230">
        <f t="shared" si="95"/>
        <v>7.9031703245635007E-2</v>
      </c>
      <c r="AB165" s="230">
        <f t="shared" si="95"/>
        <v>8.2643446285092556E-2</v>
      </c>
      <c r="AC165" s="230">
        <f t="shared" si="95"/>
        <v>8.5366116086183289E-2</v>
      </c>
      <c r="AD165" s="230">
        <f t="shared" si="95"/>
        <v>8.7076983564409294E-2</v>
      </c>
      <c r="AE165" s="230">
        <f t="shared" si="95"/>
        <v>8.7653783132140395E-2</v>
      </c>
      <c r="AF165" s="230">
        <f t="shared" si="95"/>
        <v>8.6975449127931051E-2</v>
      </c>
      <c r="AG165" s="230">
        <f t="shared" si="95"/>
        <v>8.4922896155905855E-2</v>
      </c>
      <c r="AH165" s="245"/>
      <c r="AI165" s="133"/>
      <c r="AJ165" s="211"/>
      <c r="AL165" s="108"/>
      <c r="AM165" s="2"/>
      <c r="AN165" s="2"/>
      <c r="AO165" s="2"/>
      <c r="BC165" s="1"/>
      <c r="BD165" s="2"/>
      <c r="BE165" s="2"/>
      <c r="BF165" s="2"/>
      <c r="BG165" s="2"/>
      <c r="BH165" s="2"/>
      <c r="BI165" s="2"/>
      <c r="BJ165" s="2"/>
      <c r="BK165" s="2"/>
    </row>
    <row r="166" spans="1:63" outlineLevel="1" x14ac:dyDescent="0.2">
      <c r="A166" s="4" t="s">
        <v>1561</v>
      </c>
      <c r="C166" s="230">
        <f t="shared" ref="C166:AG166" si="96">C161-$C161</f>
        <v>0</v>
      </c>
      <c r="D166" s="230">
        <f t="shared" si="96"/>
        <v>2.5554775487170948E-3</v>
      </c>
      <c r="E166" s="230">
        <f t="shared" si="96"/>
        <v>5.1932102661242374E-3</v>
      </c>
      <c r="F166" s="230">
        <f t="shared" si="96"/>
        <v>7.8884719430065333E-3</v>
      </c>
      <c r="G166" s="230">
        <f t="shared" si="96"/>
        <v>1.0614427422361216E-2</v>
      </c>
      <c r="H166" s="230">
        <f t="shared" si="96"/>
        <v>1.3342482207219822E-2</v>
      </c>
      <c r="I166" s="230">
        <f t="shared" si="96"/>
        <v>1.6096682144419595E-2</v>
      </c>
      <c r="J166" s="230">
        <f t="shared" si="96"/>
        <v>1.8863574870085845E-2</v>
      </c>
      <c r="K166" s="230">
        <f t="shared" si="96"/>
        <v>2.1628648333923944E-2</v>
      </c>
      <c r="L166" s="230">
        <f t="shared" si="96"/>
        <v>2.437632647308189E-2</v>
      </c>
      <c r="M166" s="230">
        <f t="shared" si="96"/>
        <v>2.7089969316292331E-2</v>
      </c>
      <c r="N166" s="230">
        <f t="shared" si="96"/>
        <v>3.2553710920285812E-2</v>
      </c>
      <c r="O166" s="230">
        <f t="shared" si="96"/>
        <v>3.7865314911890678E-2</v>
      </c>
      <c r="P166" s="230">
        <f t="shared" si="96"/>
        <v>4.2787972717151339E-2</v>
      </c>
      <c r="Q166" s="230">
        <f t="shared" si="96"/>
        <v>4.7404961492454843E-2</v>
      </c>
      <c r="R166" s="230">
        <f t="shared" si="96"/>
        <v>5.1660255298257379E-2</v>
      </c>
      <c r="S166" s="230">
        <f t="shared" si="96"/>
        <v>5.5616293696715606E-2</v>
      </c>
      <c r="T166" s="230">
        <f t="shared" si="96"/>
        <v>5.9241561977337438E-2</v>
      </c>
      <c r="U166" s="230">
        <f t="shared" si="96"/>
        <v>6.2503690219907204E-2</v>
      </c>
      <c r="V166" s="230">
        <f t="shared" si="96"/>
        <v>6.5369474291697205E-2</v>
      </c>
      <c r="W166" s="230">
        <f t="shared" si="96"/>
        <v>6.7804898829420701E-2</v>
      </c>
      <c r="X166" s="230">
        <f t="shared" si="96"/>
        <v>7.2781684255419518E-2</v>
      </c>
      <c r="Y166" s="230">
        <f t="shared" si="96"/>
        <v>7.704245208084147E-2</v>
      </c>
      <c r="Z166" s="230">
        <f t="shared" si="96"/>
        <v>7.9760757183000824E-2</v>
      </c>
      <c r="AA166" s="230">
        <f t="shared" si="96"/>
        <v>8.1579957823916555E-2</v>
      </c>
      <c r="AB166" s="230">
        <f t="shared" si="96"/>
        <v>8.2460789043459784E-2</v>
      </c>
      <c r="AC166" s="230">
        <f t="shared" si="96"/>
        <v>8.2366988401722338E-2</v>
      </c>
      <c r="AD166" s="230">
        <f t="shared" si="96"/>
        <v>8.1263803449236338E-2</v>
      </c>
      <c r="AE166" s="230">
        <f t="shared" si="96"/>
        <v>7.9119100416903052E-2</v>
      </c>
      <c r="AF166" s="230">
        <f t="shared" si="96"/>
        <v>7.5903644309945215E-2</v>
      </c>
      <c r="AG166" s="230">
        <f t="shared" si="96"/>
        <v>7.1591388267839631E-2</v>
      </c>
      <c r="AH166" s="245"/>
      <c r="AI166" s="133"/>
      <c r="AJ166" s="211"/>
      <c r="AL166" s="108"/>
      <c r="AM166" s="2"/>
      <c r="AN166" s="2"/>
      <c r="AO166" s="2"/>
      <c r="BC166" s="1"/>
      <c r="BD166" s="2"/>
      <c r="BE166" s="2"/>
      <c r="BF166" s="2"/>
      <c r="BG166" s="2"/>
      <c r="BH166" s="2"/>
      <c r="BI166" s="2"/>
      <c r="BJ166" s="2"/>
      <c r="BK166" s="2"/>
    </row>
    <row r="167" spans="1:63" s="1" customFormat="1" outlineLevel="1" x14ac:dyDescent="0.2">
      <c r="A167" s="1" t="s">
        <v>1578</v>
      </c>
      <c r="B167" s="65"/>
      <c r="C167" s="300">
        <f>C43*C144</f>
        <v>5.1259271286470216E-3</v>
      </c>
      <c r="D167" s="300">
        <f t="shared" ref="D167:AG167" si="97">D43*D144</f>
        <v>6.5392138366172107E-3</v>
      </c>
      <c r="E167" s="300">
        <f t="shared" si="97"/>
        <v>7.9798822991064017E-3</v>
      </c>
      <c r="F167" s="300">
        <f t="shared" si="97"/>
        <v>9.433564188009301E-3</v>
      </c>
      <c r="G167" s="300">
        <f t="shared" si="97"/>
        <v>1.088509940023717E-2</v>
      </c>
      <c r="H167" s="300">
        <f t="shared" si="97"/>
        <v>1.2318754894249703E-2</v>
      </c>
      <c r="I167" s="300">
        <f t="shared" si="97"/>
        <v>1.3748059540269336E-2</v>
      </c>
      <c r="J167" s="300">
        <f t="shared" si="97"/>
        <v>1.5165772381528973E-2</v>
      </c>
      <c r="K167" s="300">
        <f t="shared" si="97"/>
        <v>1.656426539887889E-2</v>
      </c>
      <c r="L167" s="300">
        <f t="shared" si="97"/>
        <v>1.7935533552177269E-2</v>
      </c>
      <c r="M167" s="300">
        <f t="shared" si="97"/>
        <v>1.9271206805665426E-2</v>
      </c>
      <c r="N167" s="300">
        <f t="shared" si="97"/>
        <v>2.2049787321730355E-2</v>
      </c>
      <c r="O167" s="300">
        <f t="shared" si="97"/>
        <v>2.4713275475182036E-2</v>
      </c>
      <c r="P167" s="300">
        <f t="shared" si="97"/>
        <v>2.7139690272406664E-2</v>
      </c>
      <c r="Q167" s="300">
        <f t="shared" si="97"/>
        <v>2.9376818485008626E-2</v>
      </c>
      <c r="R167" s="300">
        <f t="shared" si="97"/>
        <v>3.1399148177429601E-2</v>
      </c>
      <c r="S167" s="300">
        <f t="shared" si="97"/>
        <v>3.3242750394180808E-2</v>
      </c>
      <c r="T167" s="300">
        <f t="shared" si="97"/>
        <v>3.4894766880542875E-2</v>
      </c>
      <c r="U167" s="300">
        <f t="shared" si="97"/>
        <v>3.6342215428795656E-2</v>
      </c>
      <c r="V167" s="300">
        <f t="shared" si="97"/>
        <v>3.7572004210619209E-2</v>
      </c>
      <c r="W167" s="300">
        <f t="shared" si="97"/>
        <v>3.8570946592960322E-2</v>
      </c>
      <c r="X167" s="300">
        <f t="shared" si="97"/>
        <v>4.0826932511814386E-2</v>
      </c>
      <c r="Y167" s="300">
        <f t="shared" si="97"/>
        <v>4.2700899245933899E-2</v>
      </c>
      <c r="Z167" s="300">
        <f t="shared" si="97"/>
        <v>4.3791765725317761E-2</v>
      </c>
      <c r="AA167" s="300">
        <f t="shared" si="97"/>
        <v>4.4428840549241122E-2</v>
      </c>
      <c r="AB167" s="300">
        <f t="shared" si="97"/>
        <v>4.4600865890325185E-2</v>
      </c>
      <c r="AC167" s="300">
        <f t="shared" si="97"/>
        <v>4.4298299435760094E-2</v>
      </c>
      <c r="AD167" s="300">
        <f t="shared" si="97"/>
        <v>4.3512545634365948E-2</v>
      </c>
      <c r="AE167" s="300">
        <f t="shared" si="97"/>
        <v>4.2236460209374979E-2</v>
      </c>
      <c r="AF167" s="300">
        <f t="shared" si="97"/>
        <v>4.0464442554950367E-2</v>
      </c>
      <c r="AG167" s="300">
        <f t="shared" si="97"/>
        <v>3.8192529401156645E-2</v>
      </c>
      <c r="AH167" s="245"/>
      <c r="AI167" s="423"/>
      <c r="AJ167" s="424"/>
      <c r="AL167" s="221"/>
      <c r="AM167" s="124"/>
      <c r="AN167" s="124"/>
      <c r="AO167" s="124"/>
      <c r="BD167" s="124"/>
      <c r="BE167" s="124"/>
      <c r="BF167" s="124"/>
      <c r="BG167" s="124"/>
      <c r="BH167" s="124"/>
      <c r="BI167" s="124"/>
      <c r="BJ167" s="124"/>
      <c r="BK167" s="124"/>
    </row>
    <row r="168" spans="1:63" outlineLevel="1" x14ac:dyDescent="0.2">
      <c r="A168" s="4" t="s">
        <v>474</v>
      </c>
      <c r="C168" s="230">
        <f>C$167*'BTX recycling rates'!E66</f>
        <v>0</v>
      </c>
      <c r="D168" s="230">
        <f>D$167*'BTX recycling rates'!F66</f>
        <v>0</v>
      </c>
      <c r="E168" s="230">
        <f>E$167*'BTX recycling rates'!G66</f>
        <v>0</v>
      </c>
      <c r="F168" s="230">
        <f>F$167*'BTX recycling rates'!H66</f>
        <v>0</v>
      </c>
      <c r="G168" s="230">
        <f>G$167*'BTX recycling rates'!I66</f>
        <v>0</v>
      </c>
      <c r="H168" s="230">
        <f>H$167*'BTX recycling rates'!J66</f>
        <v>0</v>
      </c>
      <c r="I168" s="230">
        <f>I$167*'BTX recycling rates'!K66</f>
        <v>0</v>
      </c>
      <c r="J168" s="230">
        <f>J$167*'BTX recycling rates'!L66</f>
        <v>0</v>
      </c>
      <c r="K168" s="230">
        <f>K$167*'BTX recycling rates'!M66</f>
        <v>0</v>
      </c>
      <c r="L168" s="230">
        <f>L$167*'BTX recycling rates'!N66</f>
        <v>0</v>
      </c>
      <c r="M168" s="230">
        <f>M$167*'BTX recycling rates'!O66</f>
        <v>0</v>
      </c>
      <c r="N168" s="230">
        <f>N$167*'BTX recycling rates'!P66</f>
        <v>0</v>
      </c>
      <c r="O168" s="230">
        <f>O$167*'BTX recycling rates'!Q66</f>
        <v>0</v>
      </c>
      <c r="P168" s="230">
        <f>P$167*'BTX recycling rates'!R66</f>
        <v>0</v>
      </c>
      <c r="Q168" s="230">
        <f>Q$167*'BTX recycling rates'!S66</f>
        <v>0</v>
      </c>
      <c r="R168" s="230">
        <f>R$167*'BTX recycling rates'!T66</f>
        <v>0</v>
      </c>
      <c r="S168" s="230">
        <f>S$167*'BTX recycling rates'!U66</f>
        <v>0</v>
      </c>
      <c r="T168" s="230">
        <f>T$167*'BTX recycling rates'!V66</f>
        <v>0</v>
      </c>
      <c r="U168" s="230">
        <f>U$167*'BTX recycling rates'!W66</f>
        <v>0</v>
      </c>
      <c r="V168" s="230">
        <f>V$167*'BTX recycling rates'!X66</f>
        <v>0</v>
      </c>
      <c r="W168" s="230">
        <f>W$167*'BTX recycling rates'!Y66</f>
        <v>0</v>
      </c>
      <c r="X168" s="230">
        <f>X$167*'BTX recycling rates'!Z66</f>
        <v>0</v>
      </c>
      <c r="Y168" s="230">
        <f>Y$167*'BTX recycling rates'!AA66</f>
        <v>0</v>
      </c>
      <c r="Z168" s="230">
        <f>Z$167*'BTX recycling rates'!AB66</f>
        <v>0</v>
      </c>
      <c r="AA168" s="230">
        <f>AA$167*'BTX recycling rates'!AC66</f>
        <v>0</v>
      </c>
      <c r="AB168" s="230">
        <f>AB$167*'BTX recycling rates'!AD66</f>
        <v>0</v>
      </c>
      <c r="AC168" s="230">
        <f>AC$167*'BTX recycling rates'!AE66</f>
        <v>0</v>
      </c>
      <c r="AD168" s="230">
        <f>AD$167*'BTX recycling rates'!AF66</f>
        <v>0</v>
      </c>
      <c r="AE168" s="230">
        <f>AE$167*'BTX recycling rates'!AG66</f>
        <v>0</v>
      </c>
      <c r="AF168" s="230">
        <f>AF$167*'BTX recycling rates'!AH66</f>
        <v>0</v>
      </c>
      <c r="AG168" s="230">
        <f>AG$167*'BTX recycling rates'!AI66</f>
        <v>0</v>
      </c>
      <c r="AH168" s="245"/>
      <c r="AI168" s="133"/>
      <c r="AJ168" s="211"/>
      <c r="AL168" s="108"/>
      <c r="AM168" s="2"/>
      <c r="AN168" s="2"/>
      <c r="AO168" s="2"/>
      <c r="BC168" s="1"/>
      <c r="BD168" s="2"/>
      <c r="BE168" s="2"/>
      <c r="BF168" s="2"/>
      <c r="BG168" s="2"/>
      <c r="BH168" s="2"/>
      <c r="BI168" s="2"/>
      <c r="BJ168" s="2"/>
      <c r="BK168" s="2"/>
    </row>
    <row r="169" spans="1:63" outlineLevel="1" x14ac:dyDescent="0.2">
      <c r="A169" s="4" t="s">
        <v>478</v>
      </c>
      <c r="C169" s="230">
        <f>C$167*'BTX recycling rates'!E67</f>
        <v>3.0520787483547152E-3</v>
      </c>
      <c r="D169" s="230">
        <f>D$167*'BTX recycling rates'!F67</f>
        <v>3.7637917807705167E-3</v>
      </c>
      <c r="E169" s="230">
        <f>E$167*'BTX recycling rates'!G67</f>
        <v>4.4346216135492059E-3</v>
      </c>
      <c r="F169" s="230">
        <f>F$167*'BTX recycling rates'!H67</f>
        <v>5.0552382137271212E-3</v>
      </c>
      <c r="G169" s="230">
        <f>G$167*'BTX recycling rates'!I67</f>
        <v>5.6170436599697147E-3</v>
      </c>
      <c r="H169" s="230">
        <f>H$167*'BTX recycling rates'!J67</f>
        <v>6.112359298673516E-3</v>
      </c>
      <c r="I169" s="230">
        <f>I$167*'BTX recycling rates'!K67</f>
        <v>6.5486940100214237E-3</v>
      </c>
      <c r="J169" s="230">
        <f>J$167*'BTX recycling rates'!L67</f>
        <v>6.9230014382857434E-3</v>
      </c>
      <c r="K169" s="230">
        <f>K$167*'BTX recycling rates'!M67</f>
        <v>7.232641074930323E-3</v>
      </c>
      <c r="L169" s="230">
        <f>L$167*'BTX recycling rates'!N67</f>
        <v>7.4754208545715932E-3</v>
      </c>
      <c r="M169" s="230">
        <f>M$167*'BTX recycling rates'!O67</f>
        <v>7.6496393427068843E-3</v>
      </c>
      <c r="N169" s="230">
        <f>N$167*'BTX recycling rates'!P67</f>
        <v>8.3149579671257957E-3</v>
      </c>
      <c r="O169" s="230">
        <f>O$167*'BTX recycling rates'!Q67</f>
        <v>8.8288648262482353E-3</v>
      </c>
      <c r="P169" s="230">
        <f>P$167*'BTX recycling rates'!R67</f>
        <v>9.1570558018349169E-3</v>
      </c>
      <c r="Q169" s="230">
        <f>Q$167*'BTX recycling rates'!S67</f>
        <v>9.3288217479111316E-3</v>
      </c>
      <c r="R169" s="230">
        <f>R$167*'BTX recycling rates'!T67</f>
        <v>9.3478380070210216E-3</v>
      </c>
      <c r="S169" s="230">
        <f>S$167*'BTX recycling rates'!U67</f>
        <v>9.2369169034212262E-3</v>
      </c>
      <c r="T169" s="230">
        <f>T$167*'BTX recycling rates'!V67</f>
        <v>9.0033825997125824E-3</v>
      </c>
      <c r="U169" s="230">
        <f>U$167*'BTX recycling rates'!W67</f>
        <v>8.655550544873462E-3</v>
      </c>
      <c r="V169" s="230">
        <f>V$167*'BTX recycling rates'!X67</f>
        <v>8.2027429039977732E-3</v>
      </c>
      <c r="W169" s="230">
        <f>W$167*'BTX recycling rates'!Y67</f>
        <v>7.655302377228757E-3</v>
      </c>
      <c r="X169" s="230">
        <f>X$167*'BTX recycling rates'!Z67</f>
        <v>7.2927497769195064E-3</v>
      </c>
      <c r="Y169" s="230">
        <f>Y$167*'BTX recycling rates'!AA67</f>
        <v>6.7799901092780437E-3</v>
      </c>
      <c r="Z169" s="230">
        <f>Z$167*'BTX recycling rates'!AB67</f>
        <v>6.0840468412273413E-3</v>
      </c>
      <c r="AA169" s="230">
        <f>AA$167*'BTX recycling rates'!AC67</f>
        <v>5.2907626913600006E-3</v>
      </c>
      <c r="AB169" s="230">
        <f>AB$167*'BTX recycling rates'!AD67</f>
        <v>4.4260401265208086E-3</v>
      </c>
      <c r="AC169" s="230">
        <f>AC$167*'BTX recycling rates'!AE67</f>
        <v>3.5168115582588058E-3</v>
      </c>
      <c r="AD169" s="230">
        <f>AD$167*'BTX recycling rates'!AF67</f>
        <v>2.5908233278477328E-3</v>
      </c>
      <c r="AE169" s="230">
        <f>AE$167*'BTX recycling rates'!AG67</f>
        <v>1.6765617793034241E-3</v>
      </c>
      <c r="AF169" s="230">
        <f>AF$167*'BTX recycling rates'!AH67</f>
        <v>8.0311107360969214E-4</v>
      </c>
      <c r="AG169" s="230">
        <f>AG$167*'BTX recycling rates'!AI67</f>
        <v>0</v>
      </c>
      <c r="AH169" s="245"/>
      <c r="AI169" s="133"/>
      <c r="AJ169" s="211"/>
      <c r="AL169" s="108"/>
      <c r="AM169" s="2"/>
      <c r="AN169" s="2"/>
      <c r="AO169" s="2"/>
      <c r="BC169" s="1"/>
      <c r="BD169" s="2"/>
      <c r="BE169" s="2"/>
      <c r="BF169" s="2"/>
      <c r="BG169" s="2"/>
      <c r="BH169" s="2"/>
      <c r="BI169" s="2"/>
      <c r="BJ169" s="2"/>
      <c r="BK169" s="2"/>
    </row>
    <row r="170" spans="1:63" outlineLevel="1" x14ac:dyDescent="0.2">
      <c r="A170" s="4" t="s">
        <v>745</v>
      </c>
      <c r="C170" s="230">
        <f>C$167*'BTX recycling rates'!E68</f>
        <v>0</v>
      </c>
      <c r="D170" s="230">
        <f>D$167*'BTX recycling rates'!F68</f>
        <v>1.1184808738890501E-4</v>
      </c>
      <c r="E170" s="230">
        <f>E$167*'BTX recycling rates'!G68</f>
        <v>2.7297916692852625E-4</v>
      </c>
      <c r="F170" s="230">
        <f>F$167*'BTX recycling rates'!H68</f>
        <v>4.8406099175759686E-4</v>
      </c>
      <c r="G170" s="230">
        <f>G$167*'BTX recycling rates'!I68</f>
        <v>7.4472410866102256E-4</v>
      </c>
      <c r="H170" s="230">
        <f>H$167*'BTX recycling rates'!J68</f>
        <v>1.0535128597716147E-3</v>
      </c>
      <c r="I170" s="230">
        <f>I$167*'BTX recycling rates'!K68</f>
        <v>1.4108981935510849E-3</v>
      </c>
      <c r="J170" s="230">
        <f>J$167*'BTX recycling rates'!L68</f>
        <v>1.8157899006234204E-3</v>
      </c>
      <c r="K170" s="230">
        <f>K$167*'BTX recycling rates'!M68</f>
        <v>2.266549405058427E-3</v>
      </c>
      <c r="L170" s="230">
        <f>L$167*'BTX recycling rates'!N68</f>
        <v>2.7609582081406267E-3</v>
      </c>
      <c r="M170" s="230">
        <f>M$167*'BTX recycling rates'!O68</f>
        <v>3.2961877019833902E-3</v>
      </c>
      <c r="N170" s="230">
        <f>N$167*'BTX recycling rates'!P68</f>
        <v>4.1485861465539904E-3</v>
      </c>
      <c r="O170" s="230">
        <f>O$167*'BTX recycling rates'!Q68</f>
        <v>5.0724126735897995E-3</v>
      </c>
      <c r="P170" s="230">
        <f>P$167*'BTX recycling rates'!R68</f>
        <v>6.0346385401675948E-3</v>
      </c>
      <c r="Q170" s="230">
        <f>Q$167*'BTX recycling rates'!S68</f>
        <v>7.0345418585463773E-3</v>
      </c>
      <c r="R170" s="230">
        <f>R$167*'BTX recycling rates'!T68</f>
        <v>8.0558644135953414E-3</v>
      </c>
      <c r="S170" s="230">
        <f>S$167*'BTX recycling rates'!U68</f>
        <v>9.0974557958405956E-3</v>
      </c>
      <c r="T170" s="230">
        <f>T$167*'BTX recycling rates'!V68</f>
        <v>1.0146406213460121E-2</v>
      </c>
      <c r="U170" s="230">
        <f>U$167*'BTX recycling rates'!W68</f>
        <v>1.1188887991343608E-2</v>
      </c>
      <c r="V170" s="230">
        <f>V$167*'BTX recycling rates'!X68</f>
        <v>1.2210149628245159E-2</v>
      </c>
      <c r="W170" s="230">
        <f>W$167*'BTX recycling rates'!Y68</f>
        <v>1.3194511490188325E-2</v>
      </c>
      <c r="X170" s="230">
        <f>X$167*'BTX recycling rates'!Z68</f>
        <v>1.4664561064890379E-2</v>
      </c>
      <c r="Y170" s="230">
        <f>Y$167*'BTX recycling rates'!AA68</f>
        <v>1.606803335309244E-2</v>
      </c>
      <c r="Z170" s="230">
        <f>Z$167*'BTX recycling rates'!AB68</f>
        <v>1.7227541923105612E-2</v>
      </c>
      <c r="AA170" s="230">
        <f>AA$167*'BTX recycling rates'!AC68</f>
        <v>1.8238085364377307E-2</v>
      </c>
      <c r="AB170" s="230">
        <f>AB$167*'BTX recycling rates'!AD68</f>
        <v>1.9071564527329048E-2</v>
      </c>
      <c r="AC170" s="230">
        <f>AC$167*'BTX recycling rates'!AE68</f>
        <v>1.9699872942965373E-2</v>
      </c>
      <c r="AD170" s="230">
        <f>AD$167*'BTX recycling rates'!AF68</f>
        <v>2.0094688514863682E-2</v>
      </c>
      <c r="AE170" s="230">
        <f>AE$167*'BTX recycling rates'!AG68</f>
        <v>2.0227796107417012E-2</v>
      </c>
      <c r="AF170" s="230">
        <f>AF$167*'BTX recycling rates'!AH68</f>
        <v>2.0071257491061013E-2</v>
      </c>
      <c r="AG170" s="230">
        <f>AG$167*'BTX recycling rates'!AI68</f>
        <v>1.9597591420593655E-2</v>
      </c>
      <c r="AH170" s="245"/>
      <c r="AI170" s="133"/>
      <c r="AJ170" s="211"/>
      <c r="AL170" s="108"/>
      <c r="AM170" s="2"/>
      <c r="AN170" s="2"/>
      <c r="AO170" s="2"/>
      <c r="BC170" s="1"/>
      <c r="BD170" s="2"/>
      <c r="BE170" s="2"/>
      <c r="BF170" s="2"/>
      <c r="BG170" s="2"/>
      <c r="BH170" s="2"/>
      <c r="BI170" s="2"/>
      <c r="BJ170" s="2"/>
      <c r="BK170" s="2"/>
    </row>
    <row r="171" spans="1:63" outlineLevel="1" x14ac:dyDescent="0.2">
      <c r="A171" s="4" t="s">
        <v>1561</v>
      </c>
      <c r="C171" s="230">
        <f>C$167*'BTX recycling rates'!E69</f>
        <v>2.073848380292306E-3</v>
      </c>
      <c r="D171" s="230">
        <f>D$167*'BTX recycling rates'!F69</f>
        <v>2.6635739684577886E-3</v>
      </c>
      <c r="E171" s="230">
        <f>E$167*'BTX recycling rates'!G69</f>
        <v>3.2722815186286688E-3</v>
      </c>
      <c r="F171" s="230">
        <f>F$167*'BTX recycling rates'!H69</f>
        <v>3.8942649825245827E-3</v>
      </c>
      <c r="G171" s="230">
        <f>G$167*'BTX recycling rates'!I69</f>
        <v>4.5233316316064323E-3</v>
      </c>
      <c r="H171" s="230">
        <f>H$167*'BTX recycling rates'!J69</f>
        <v>5.1528827358045719E-3</v>
      </c>
      <c r="I171" s="230">
        <f>I$167*'BTX recycling rates'!K69</f>
        <v>5.7884673366968278E-3</v>
      </c>
      <c r="J171" s="230">
        <f>J$167*'BTX recycling rates'!L69</f>
        <v>6.4269810426198079E-3</v>
      </c>
      <c r="K171" s="230">
        <f>K$167*'BTX recycling rates'!M69</f>
        <v>7.0650749188901395E-3</v>
      </c>
      <c r="L171" s="230">
        <f>L$167*'BTX recycling rates'!N69</f>
        <v>7.6991544894650489E-3</v>
      </c>
      <c r="M171" s="230">
        <f>M$167*'BTX recycling rates'!O69</f>
        <v>8.32537976097515E-3</v>
      </c>
      <c r="N171" s="230">
        <f>N$167*'BTX recycling rates'!P69</f>
        <v>9.5862432080505693E-3</v>
      </c>
      <c r="O171" s="230">
        <f>O$167*'BTX recycling rates'!Q69</f>
        <v>1.0811997975344E-2</v>
      </c>
      <c r="P171" s="230">
        <f>P$167*'BTX recycling rates'!R69</f>
        <v>1.1947995930404152E-2</v>
      </c>
      <c r="Q171" s="230">
        <f>Q$167*'BTX recycling rates'!S69</f>
        <v>1.3013454878551116E-2</v>
      </c>
      <c r="R171" s="230">
        <f>R$167*'BTX recycling rates'!T69</f>
        <v>1.3995445756813239E-2</v>
      </c>
      <c r="S171" s="230">
        <f>S$167*'BTX recycling rates'!U69</f>
        <v>1.4908377694918986E-2</v>
      </c>
      <c r="T171" s="230">
        <f>T$167*'BTX recycling rates'!V69</f>
        <v>1.5744978067370172E-2</v>
      </c>
      <c r="U171" s="230">
        <f>U$167*'BTX recycling rates'!W69</f>
        <v>1.6497776892578586E-2</v>
      </c>
      <c r="V171" s="230">
        <f>V$167*'BTX recycling rates'!X69</f>
        <v>1.7159111678376276E-2</v>
      </c>
      <c r="W171" s="230">
        <f>W$167*'BTX recycling rates'!Y69</f>
        <v>1.7721132725543237E-2</v>
      </c>
      <c r="X171" s="230">
        <f>X$167*'BTX recycling rates'!Z69</f>
        <v>1.8869621670004499E-2</v>
      </c>
      <c r="Y171" s="230">
        <f>Y$167*'BTX recycling rates'!AA69</f>
        <v>1.9852875783563415E-2</v>
      </c>
      <c r="Z171" s="230">
        <f>Z$167*'BTX recycling rates'!AB69</f>
        <v>2.0480176960984805E-2</v>
      </c>
      <c r="AA171" s="230">
        <f>AA$167*'BTX recycling rates'!AC69</f>
        <v>2.0899992493503817E-2</v>
      </c>
      <c r="AB171" s="230">
        <f>AB$167*'BTX recycling rates'!AD69</f>
        <v>2.1103261236475331E-2</v>
      </c>
      <c r="AC171" s="230">
        <f>AC$167*'BTX recycling rates'!AE69</f>
        <v>2.1081614934535919E-2</v>
      </c>
      <c r="AD171" s="230">
        <f>AD$167*'BTX recycling rates'!AF69</f>
        <v>2.0827033791654535E-2</v>
      </c>
      <c r="AE171" s="230">
        <f>AE$167*'BTX recycling rates'!AG69</f>
        <v>2.0332102322654547E-2</v>
      </c>
      <c r="AF171" s="230">
        <f>AF$167*'BTX recycling rates'!AH69</f>
        <v>1.9590073990279663E-2</v>
      </c>
      <c r="AG171" s="230">
        <f>AG$167*'BTX recycling rates'!AI69</f>
        <v>1.8594937980562987E-2</v>
      </c>
      <c r="AH171" s="245"/>
      <c r="AI171" s="133"/>
      <c r="AJ171" s="211"/>
      <c r="AL171" s="108"/>
      <c r="AM171" s="2"/>
      <c r="AN171" s="2"/>
      <c r="AO171" s="2"/>
      <c r="BC171" s="1"/>
      <c r="BD171" s="2"/>
      <c r="BE171" s="2"/>
      <c r="BF171" s="2"/>
      <c r="BG171" s="2"/>
      <c r="BH171" s="2"/>
      <c r="BI171" s="2"/>
      <c r="BJ171" s="2"/>
      <c r="BK171" s="2"/>
    </row>
    <row r="172" spans="1:63" s="1" customFormat="1" outlineLevel="1" x14ac:dyDescent="0.2">
      <c r="A172" s="1" t="s">
        <v>1579</v>
      </c>
      <c r="B172" s="65"/>
      <c r="C172" s="300">
        <f t="shared" ref="C172:AG172" si="98">C167-$C167</f>
        <v>0</v>
      </c>
      <c r="D172" s="300">
        <f t="shared" si="98"/>
        <v>1.4132867079701891E-3</v>
      </c>
      <c r="E172" s="300">
        <f t="shared" si="98"/>
        <v>2.8539551704593802E-3</v>
      </c>
      <c r="F172" s="300">
        <f t="shared" si="98"/>
        <v>4.3076370593622794E-3</v>
      </c>
      <c r="G172" s="300">
        <f t="shared" si="98"/>
        <v>5.7591722715901487E-3</v>
      </c>
      <c r="H172" s="300">
        <f t="shared" si="98"/>
        <v>7.1928277656026817E-3</v>
      </c>
      <c r="I172" s="300">
        <f t="shared" si="98"/>
        <v>8.6221324116223137E-3</v>
      </c>
      <c r="J172" s="300">
        <f t="shared" si="98"/>
        <v>1.003984525288195E-2</v>
      </c>
      <c r="K172" s="300">
        <f t="shared" si="98"/>
        <v>1.1438338270231867E-2</v>
      </c>
      <c r="L172" s="300">
        <f t="shared" si="98"/>
        <v>1.2809606423530247E-2</v>
      </c>
      <c r="M172" s="300">
        <f t="shared" si="98"/>
        <v>1.4145279677018403E-2</v>
      </c>
      <c r="N172" s="300">
        <f t="shared" si="98"/>
        <v>1.6923860193083333E-2</v>
      </c>
      <c r="O172" s="300">
        <f t="shared" si="98"/>
        <v>1.9587348346535013E-2</v>
      </c>
      <c r="P172" s="300">
        <f t="shared" si="98"/>
        <v>2.2013763143759642E-2</v>
      </c>
      <c r="Q172" s="300">
        <f t="shared" si="98"/>
        <v>2.4250891356361604E-2</v>
      </c>
      <c r="R172" s="300">
        <f t="shared" si="98"/>
        <v>2.6273221048782578E-2</v>
      </c>
      <c r="S172" s="300">
        <f t="shared" si="98"/>
        <v>2.8116823265533785E-2</v>
      </c>
      <c r="T172" s="300">
        <f t="shared" si="98"/>
        <v>2.9768839751895853E-2</v>
      </c>
      <c r="U172" s="300">
        <f t="shared" si="98"/>
        <v>3.1216288300148633E-2</v>
      </c>
      <c r="V172" s="300">
        <f t="shared" si="98"/>
        <v>3.244607708197219E-2</v>
      </c>
      <c r="W172" s="300">
        <f t="shared" si="98"/>
        <v>3.3445019464313303E-2</v>
      </c>
      <c r="X172" s="300">
        <f t="shared" si="98"/>
        <v>3.5701005383167367E-2</v>
      </c>
      <c r="Y172" s="300">
        <f t="shared" si="98"/>
        <v>3.757497211728688E-2</v>
      </c>
      <c r="Z172" s="300">
        <f t="shared" si="98"/>
        <v>3.8665838596670742E-2</v>
      </c>
      <c r="AA172" s="300">
        <f t="shared" si="98"/>
        <v>3.9302913420594103E-2</v>
      </c>
      <c r="AB172" s="300">
        <f t="shared" si="98"/>
        <v>3.9474938761678166E-2</v>
      </c>
      <c r="AC172" s="300">
        <f t="shared" si="98"/>
        <v>3.9172372307113075E-2</v>
      </c>
      <c r="AD172" s="300">
        <f t="shared" si="98"/>
        <v>3.8386618505718929E-2</v>
      </c>
      <c r="AE172" s="300">
        <f t="shared" si="98"/>
        <v>3.711053308072796E-2</v>
      </c>
      <c r="AF172" s="300">
        <f t="shared" si="98"/>
        <v>3.5338515426303348E-2</v>
      </c>
      <c r="AG172" s="300">
        <f t="shared" si="98"/>
        <v>3.3066602272509626E-2</v>
      </c>
      <c r="AH172" s="245"/>
      <c r="AI172" s="423"/>
      <c r="AJ172" s="424"/>
      <c r="AL172" s="221"/>
      <c r="AM172" s="124"/>
      <c r="AN172" s="124"/>
      <c r="AO172" s="124"/>
      <c r="BD172" s="124"/>
      <c r="BE172" s="124"/>
      <c r="BF172" s="124"/>
      <c r="BG172" s="124"/>
      <c r="BH172" s="124"/>
      <c r="BI172" s="124"/>
      <c r="BJ172" s="124"/>
      <c r="BK172" s="124"/>
    </row>
    <row r="173" spans="1:63" outlineLevel="1" x14ac:dyDescent="0.2">
      <c r="A173" s="4" t="s">
        <v>474</v>
      </c>
      <c r="C173" s="230">
        <f t="shared" ref="C173:R176" si="99">C168-$C168</f>
        <v>0</v>
      </c>
      <c r="D173" s="230">
        <f t="shared" ref="D173:AG173" si="100">D168-$C168</f>
        <v>0</v>
      </c>
      <c r="E173" s="230">
        <f t="shared" si="100"/>
        <v>0</v>
      </c>
      <c r="F173" s="230">
        <f t="shared" si="100"/>
        <v>0</v>
      </c>
      <c r="G173" s="230">
        <f t="shared" si="100"/>
        <v>0</v>
      </c>
      <c r="H173" s="230">
        <f t="shared" si="100"/>
        <v>0</v>
      </c>
      <c r="I173" s="230">
        <f t="shared" si="100"/>
        <v>0</v>
      </c>
      <c r="J173" s="230">
        <f t="shared" si="100"/>
        <v>0</v>
      </c>
      <c r="K173" s="230">
        <f t="shared" si="100"/>
        <v>0</v>
      </c>
      <c r="L173" s="230">
        <f t="shared" si="100"/>
        <v>0</v>
      </c>
      <c r="M173" s="230">
        <f t="shared" si="100"/>
        <v>0</v>
      </c>
      <c r="N173" s="230">
        <f t="shared" si="100"/>
        <v>0</v>
      </c>
      <c r="O173" s="230">
        <f t="shared" si="100"/>
        <v>0</v>
      </c>
      <c r="P173" s="230">
        <f t="shared" si="100"/>
        <v>0</v>
      </c>
      <c r="Q173" s="230">
        <f t="shared" si="100"/>
        <v>0</v>
      </c>
      <c r="R173" s="230">
        <f t="shared" si="100"/>
        <v>0</v>
      </c>
      <c r="S173" s="230">
        <f t="shared" si="100"/>
        <v>0</v>
      </c>
      <c r="T173" s="230">
        <f t="shared" si="100"/>
        <v>0</v>
      </c>
      <c r="U173" s="230">
        <f t="shared" si="100"/>
        <v>0</v>
      </c>
      <c r="V173" s="230">
        <f t="shared" si="100"/>
        <v>0</v>
      </c>
      <c r="W173" s="230">
        <f t="shared" si="100"/>
        <v>0</v>
      </c>
      <c r="X173" s="230">
        <f t="shared" si="100"/>
        <v>0</v>
      </c>
      <c r="Y173" s="230">
        <f t="shared" si="100"/>
        <v>0</v>
      </c>
      <c r="Z173" s="230">
        <f t="shared" si="100"/>
        <v>0</v>
      </c>
      <c r="AA173" s="230">
        <f t="shared" si="100"/>
        <v>0</v>
      </c>
      <c r="AB173" s="230">
        <f t="shared" si="100"/>
        <v>0</v>
      </c>
      <c r="AC173" s="230">
        <f t="shared" si="100"/>
        <v>0</v>
      </c>
      <c r="AD173" s="230">
        <f t="shared" si="100"/>
        <v>0</v>
      </c>
      <c r="AE173" s="230">
        <f t="shared" si="100"/>
        <v>0</v>
      </c>
      <c r="AF173" s="230">
        <f t="shared" si="100"/>
        <v>0</v>
      </c>
      <c r="AG173" s="230">
        <f t="shared" si="100"/>
        <v>0</v>
      </c>
      <c r="AH173" s="245"/>
      <c r="AI173" s="133"/>
      <c r="AJ173" s="211"/>
      <c r="AL173" s="108"/>
      <c r="AM173" s="2"/>
      <c r="AN173" s="2"/>
      <c r="AO173" s="2"/>
      <c r="BC173" s="1"/>
      <c r="BD173" s="2"/>
      <c r="BE173" s="2"/>
      <c r="BF173" s="2"/>
      <c r="BG173" s="2"/>
      <c r="BH173" s="2"/>
      <c r="BI173" s="2"/>
      <c r="BJ173" s="2"/>
      <c r="BK173" s="2"/>
    </row>
    <row r="174" spans="1:63" outlineLevel="1" x14ac:dyDescent="0.2">
      <c r="A174" s="4" t="s">
        <v>478</v>
      </c>
      <c r="C174" s="230">
        <f t="shared" si="99"/>
        <v>0</v>
      </c>
      <c r="D174" s="230">
        <f t="shared" si="99"/>
        <v>7.1171303241580148E-4</v>
      </c>
      <c r="E174" s="230">
        <f t="shared" si="99"/>
        <v>1.3825428651944908E-3</v>
      </c>
      <c r="F174" s="230">
        <f t="shared" si="99"/>
        <v>2.003159465372406E-3</v>
      </c>
      <c r="G174" s="230">
        <f t="shared" si="99"/>
        <v>2.5649649116149995E-3</v>
      </c>
      <c r="H174" s="230">
        <f t="shared" si="99"/>
        <v>3.0602805503188008E-3</v>
      </c>
      <c r="I174" s="230">
        <f t="shared" si="99"/>
        <v>3.4966152616667085E-3</v>
      </c>
      <c r="J174" s="230">
        <f t="shared" si="99"/>
        <v>3.8709226899310283E-3</v>
      </c>
      <c r="K174" s="230">
        <f t="shared" si="99"/>
        <v>4.1805623265756073E-3</v>
      </c>
      <c r="L174" s="230">
        <f t="shared" si="99"/>
        <v>4.4233421062168776E-3</v>
      </c>
      <c r="M174" s="230">
        <f t="shared" si="99"/>
        <v>4.5975605943521687E-3</v>
      </c>
      <c r="N174" s="230">
        <f t="shared" si="99"/>
        <v>5.2628792187710809E-3</v>
      </c>
      <c r="O174" s="230">
        <f t="shared" si="99"/>
        <v>5.7767860778935205E-3</v>
      </c>
      <c r="P174" s="230">
        <f t="shared" si="99"/>
        <v>6.1049770534802022E-3</v>
      </c>
      <c r="Q174" s="230">
        <f t="shared" si="99"/>
        <v>6.2767429995564169E-3</v>
      </c>
      <c r="R174" s="230">
        <f t="shared" si="99"/>
        <v>6.2957592586663069E-3</v>
      </c>
      <c r="S174" s="230">
        <f t="shared" ref="S174:AG174" si="101">S169-$C169</f>
        <v>6.1848381550665115E-3</v>
      </c>
      <c r="T174" s="230">
        <f t="shared" si="101"/>
        <v>5.9513038513578677E-3</v>
      </c>
      <c r="U174" s="230">
        <f t="shared" si="101"/>
        <v>5.6034717965187473E-3</v>
      </c>
      <c r="V174" s="230">
        <f t="shared" si="101"/>
        <v>5.1506641556430584E-3</v>
      </c>
      <c r="W174" s="230">
        <f t="shared" si="101"/>
        <v>4.6032236288740414E-3</v>
      </c>
      <c r="X174" s="230">
        <f t="shared" si="101"/>
        <v>4.2406710285647908E-3</v>
      </c>
      <c r="Y174" s="230">
        <f t="shared" si="101"/>
        <v>3.7279113609233285E-3</v>
      </c>
      <c r="Z174" s="230">
        <f t="shared" si="101"/>
        <v>3.0319680928726262E-3</v>
      </c>
      <c r="AA174" s="230">
        <f t="shared" si="101"/>
        <v>2.2386839430052854E-3</v>
      </c>
      <c r="AB174" s="230">
        <f t="shared" si="101"/>
        <v>1.3739613781660934E-3</v>
      </c>
      <c r="AC174" s="230">
        <f t="shared" si="101"/>
        <v>4.6473280990409066E-4</v>
      </c>
      <c r="AD174" s="230">
        <f t="shared" si="101"/>
        <v>-4.6125542050698236E-4</v>
      </c>
      <c r="AE174" s="230">
        <f t="shared" si="101"/>
        <v>-1.3755169690512911E-3</v>
      </c>
      <c r="AF174" s="230">
        <f t="shared" si="101"/>
        <v>-2.248967674745023E-3</v>
      </c>
      <c r="AG174" s="230">
        <f t="shared" si="101"/>
        <v>-3.0520787483547152E-3</v>
      </c>
      <c r="AH174" s="245"/>
      <c r="AI174" s="133"/>
      <c r="AJ174" s="211"/>
      <c r="AL174" s="108"/>
      <c r="AM174" s="2"/>
      <c r="AN174" s="2"/>
      <c r="AO174" s="2"/>
      <c r="BC174" s="1"/>
      <c r="BD174" s="2"/>
      <c r="BE174" s="2"/>
      <c r="BF174" s="2"/>
      <c r="BG174" s="2"/>
      <c r="BH174" s="2"/>
      <c r="BI174" s="2"/>
      <c r="BJ174" s="2"/>
      <c r="BK174" s="2"/>
    </row>
    <row r="175" spans="1:63" outlineLevel="1" x14ac:dyDescent="0.2">
      <c r="A175" s="4" t="s">
        <v>745</v>
      </c>
      <c r="C175" s="230">
        <f t="shared" si="99"/>
        <v>0</v>
      </c>
      <c r="D175" s="230">
        <f t="shared" si="99"/>
        <v>1.1184808738890501E-4</v>
      </c>
      <c r="E175" s="230">
        <f t="shared" si="99"/>
        <v>2.7297916692852625E-4</v>
      </c>
      <c r="F175" s="230">
        <f t="shared" si="99"/>
        <v>4.8406099175759686E-4</v>
      </c>
      <c r="G175" s="230">
        <f t="shared" si="99"/>
        <v>7.4472410866102256E-4</v>
      </c>
      <c r="H175" s="230">
        <f t="shared" si="99"/>
        <v>1.0535128597716147E-3</v>
      </c>
      <c r="I175" s="230">
        <f t="shared" si="99"/>
        <v>1.4108981935510849E-3</v>
      </c>
      <c r="J175" s="230">
        <f t="shared" si="99"/>
        <v>1.8157899006234204E-3</v>
      </c>
      <c r="K175" s="230">
        <f t="shared" si="99"/>
        <v>2.266549405058427E-3</v>
      </c>
      <c r="L175" s="230">
        <f t="shared" si="99"/>
        <v>2.7609582081406267E-3</v>
      </c>
      <c r="M175" s="230">
        <f t="shared" si="99"/>
        <v>3.2961877019833902E-3</v>
      </c>
      <c r="N175" s="230">
        <f t="shared" si="99"/>
        <v>4.1485861465539904E-3</v>
      </c>
      <c r="O175" s="230">
        <f t="shared" si="99"/>
        <v>5.0724126735897995E-3</v>
      </c>
      <c r="P175" s="230">
        <f t="shared" si="99"/>
        <v>6.0346385401675948E-3</v>
      </c>
      <c r="Q175" s="230">
        <f t="shared" si="99"/>
        <v>7.0345418585463773E-3</v>
      </c>
      <c r="R175" s="230">
        <f t="shared" si="99"/>
        <v>8.0558644135953414E-3</v>
      </c>
      <c r="S175" s="230">
        <f t="shared" ref="S175:AG175" si="102">S170-$C170</f>
        <v>9.0974557958405956E-3</v>
      </c>
      <c r="T175" s="230">
        <f t="shared" si="102"/>
        <v>1.0146406213460121E-2</v>
      </c>
      <c r="U175" s="230">
        <f t="shared" si="102"/>
        <v>1.1188887991343608E-2</v>
      </c>
      <c r="V175" s="230">
        <f t="shared" si="102"/>
        <v>1.2210149628245159E-2</v>
      </c>
      <c r="W175" s="230">
        <f t="shared" si="102"/>
        <v>1.3194511490188325E-2</v>
      </c>
      <c r="X175" s="230">
        <f t="shared" si="102"/>
        <v>1.4664561064890379E-2</v>
      </c>
      <c r="Y175" s="230">
        <f t="shared" si="102"/>
        <v>1.606803335309244E-2</v>
      </c>
      <c r="Z175" s="230">
        <f t="shared" si="102"/>
        <v>1.7227541923105612E-2</v>
      </c>
      <c r="AA175" s="230">
        <f t="shared" si="102"/>
        <v>1.8238085364377307E-2</v>
      </c>
      <c r="AB175" s="230">
        <f t="shared" si="102"/>
        <v>1.9071564527329048E-2</v>
      </c>
      <c r="AC175" s="230">
        <f t="shared" si="102"/>
        <v>1.9699872942965373E-2</v>
      </c>
      <c r="AD175" s="230">
        <f t="shared" si="102"/>
        <v>2.0094688514863682E-2</v>
      </c>
      <c r="AE175" s="230">
        <f t="shared" si="102"/>
        <v>2.0227796107417012E-2</v>
      </c>
      <c r="AF175" s="230">
        <f t="shared" si="102"/>
        <v>2.0071257491061013E-2</v>
      </c>
      <c r="AG175" s="230">
        <f t="shared" si="102"/>
        <v>1.9597591420593655E-2</v>
      </c>
      <c r="AH175" s="245"/>
      <c r="AI175" s="133"/>
      <c r="AJ175" s="211"/>
      <c r="AL175" s="108"/>
      <c r="AM175" s="2"/>
      <c r="AN175" s="2"/>
      <c r="AO175" s="2"/>
      <c r="BC175" s="1"/>
      <c r="BD175" s="2"/>
      <c r="BE175" s="2"/>
      <c r="BF175" s="2"/>
      <c r="BG175" s="2"/>
      <c r="BH175" s="2"/>
      <c r="BI175" s="2"/>
      <c r="BJ175" s="2"/>
      <c r="BK175" s="2"/>
    </row>
    <row r="176" spans="1:63" outlineLevel="1" x14ac:dyDescent="0.2">
      <c r="A176" s="4" t="s">
        <v>1561</v>
      </c>
      <c r="C176" s="230">
        <f t="shared" si="99"/>
        <v>0</v>
      </c>
      <c r="D176" s="230">
        <f t="shared" si="99"/>
        <v>5.8972558816548261E-4</v>
      </c>
      <c r="E176" s="230">
        <f t="shared" si="99"/>
        <v>1.1984331383363628E-3</v>
      </c>
      <c r="F176" s="230">
        <f t="shared" si="99"/>
        <v>1.8204166022322767E-3</v>
      </c>
      <c r="G176" s="230">
        <f t="shared" si="99"/>
        <v>2.4494832513141263E-3</v>
      </c>
      <c r="H176" s="230">
        <f t="shared" si="99"/>
        <v>3.0790343555122659E-3</v>
      </c>
      <c r="I176" s="230">
        <f t="shared" si="99"/>
        <v>3.7146189564045218E-3</v>
      </c>
      <c r="J176" s="230">
        <f t="shared" si="99"/>
        <v>4.3531326623275019E-3</v>
      </c>
      <c r="K176" s="230">
        <f t="shared" si="99"/>
        <v>4.9912265385978335E-3</v>
      </c>
      <c r="L176" s="230">
        <f t="shared" si="99"/>
        <v>5.625306109172743E-3</v>
      </c>
      <c r="M176" s="230">
        <f t="shared" si="99"/>
        <v>6.251531380682844E-3</v>
      </c>
      <c r="N176" s="230">
        <f t="shared" si="99"/>
        <v>7.5123948277582633E-3</v>
      </c>
      <c r="O176" s="230">
        <f t="shared" si="99"/>
        <v>8.7381495950516943E-3</v>
      </c>
      <c r="P176" s="230">
        <f t="shared" si="99"/>
        <v>9.8741475501118465E-3</v>
      </c>
      <c r="Q176" s="230">
        <f t="shared" si="99"/>
        <v>1.093960649825881E-2</v>
      </c>
      <c r="R176" s="230">
        <f t="shared" si="99"/>
        <v>1.1921597376520933E-2</v>
      </c>
      <c r="S176" s="230">
        <f t="shared" ref="S176:AG176" si="103">S171-$C171</f>
        <v>1.283452931462668E-2</v>
      </c>
      <c r="T176" s="230">
        <f t="shared" si="103"/>
        <v>1.3671129687077866E-2</v>
      </c>
      <c r="U176" s="230">
        <f t="shared" si="103"/>
        <v>1.442392851228628E-2</v>
      </c>
      <c r="V176" s="230">
        <f t="shared" si="103"/>
        <v>1.508526329808397E-2</v>
      </c>
      <c r="W176" s="230">
        <f t="shared" si="103"/>
        <v>1.5647284345250929E-2</v>
      </c>
      <c r="X176" s="230">
        <f t="shared" si="103"/>
        <v>1.6795773289712192E-2</v>
      </c>
      <c r="Y176" s="230">
        <f t="shared" si="103"/>
        <v>1.7779027403271107E-2</v>
      </c>
      <c r="Z176" s="230">
        <f t="shared" si="103"/>
        <v>1.8406328580692501E-2</v>
      </c>
      <c r="AA176" s="230">
        <f t="shared" si="103"/>
        <v>1.8826144113211513E-2</v>
      </c>
      <c r="AB176" s="230">
        <f t="shared" si="103"/>
        <v>1.9029412856183023E-2</v>
      </c>
      <c r="AC176" s="230">
        <f t="shared" si="103"/>
        <v>1.9007766554243612E-2</v>
      </c>
      <c r="AD176" s="230">
        <f t="shared" si="103"/>
        <v>1.8753185411362228E-2</v>
      </c>
      <c r="AE176" s="230">
        <f t="shared" si="103"/>
        <v>1.8258253942362239E-2</v>
      </c>
      <c r="AF176" s="230">
        <f t="shared" si="103"/>
        <v>1.7516225609987356E-2</v>
      </c>
      <c r="AG176" s="230">
        <f t="shared" si="103"/>
        <v>1.6521089600270683E-2</v>
      </c>
      <c r="AH176" s="245"/>
      <c r="AI176" s="133"/>
      <c r="AJ176" s="211"/>
      <c r="AL176" s="108"/>
      <c r="AM176" s="2"/>
      <c r="AN176" s="2"/>
      <c r="AO176" s="2"/>
      <c r="BC176" s="1"/>
      <c r="BD176" s="2"/>
      <c r="BE176" s="2"/>
      <c r="BF176" s="2"/>
      <c r="BG176" s="2"/>
      <c r="BH176" s="2"/>
      <c r="BI176" s="2"/>
      <c r="BJ176" s="2"/>
      <c r="BK176" s="2"/>
    </row>
    <row r="177" spans="1:63" s="1" customFormat="1" outlineLevel="1" x14ac:dyDescent="0.2">
      <c r="A177" s="1" t="s">
        <v>1567</v>
      </c>
      <c r="B177" s="65"/>
      <c r="C177" s="300">
        <f>C43*C145</f>
        <v>1.5377781385941062E-2</v>
      </c>
      <c r="D177" s="300">
        <f t="shared" ref="D177:AG177" si="104">D43*D145</f>
        <v>1.9617641509851635E-2</v>
      </c>
      <c r="E177" s="300">
        <f t="shared" si="104"/>
        <v>2.3939646897319204E-2</v>
      </c>
      <c r="F177" s="300">
        <f t="shared" si="104"/>
        <v>2.8300692564027907E-2</v>
      </c>
      <c r="G177" s="300">
        <f t="shared" si="104"/>
        <v>3.2655298200711509E-2</v>
      </c>
      <c r="H177" s="300">
        <f t="shared" si="104"/>
        <v>3.695626468274911E-2</v>
      </c>
      <c r="I177" s="300">
        <f t="shared" si="104"/>
        <v>4.1244178620808016E-2</v>
      </c>
      <c r="J177" s="300">
        <f t="shared" si="104"/>
        <v>4.5497317144586921E-2</v>
      </c>
      <c r="K177" s="300">
        <f t="shared" si="104"/>
        <v>4.9692796196636663E-2</v>
      </c>
      <c r="L177" s="300">
        <f t="shared" si="104"/>
        <v>5.3806600656531797E-2</v>
      </c>
      <c r="M177" s="300">
        <f t="shared" si="104"/>
        <v>5.7813620416996281E-2</v>
      </c>
      <c r="N177" s="300">
        <f t="shared" si="104"/>
        <v>6.614936196519107E-2</v>
      </c>
      <c r="O177" s="300">
        <f t="shared" si="104"/>
        <v>7.4139826425546104E-2</v>
      </c>
      <c r="P177" s="300">
        <f t="shared" si="104"/>
        <v>8.1419070817219996E-2</v>
      </c>
      <c r="Q177" s="300">
        <f t="shared" si="104"/>
        <v>8.8130455455025875E-2</v>
      </c>
      <c r="R177" s="300">
        <f t="shared" si="104"/>
        <v>9.4197444532288802E-2</v>
      </c>
      <c r="S177" s="300">
        <f t="shared" si="104"/>
        <v>9.9728251182542402E-2</v>
      </c>
      <c r="T177" s="300">
        <f t="shared" si="104"/>
        <v>0.10468430064162862</v>
      </c>
      <c r="U177" s="300">
        <f t="shared" si="104"/>
        <v>0.10902664628638696</v>
      </c>
      <c r="V177" s="300">
        <f t="shared" si="104"/>
        <v>0.11271601263185761</v>
      </c>
      <c r="W177" s="300">
        <f t="shared" si="104"/>
        <v>0.11571283977888096</v>
      </c>
      <c r="X177" s="300">
        <f t="shared" si="104"/>
        <v>0.12248079753544316</v>
      </c>
      <c r="Y177" s="300">
        <f t="shared" si="104"/>
        <v>0.12810269773780172</v>
      </c>
      <c r="Z177" s="300">
        <f t="shared" si="104"/>
        <v>0.13137529717595328</v>
      </c>
      <c r="AA177" s="300">
        <f t="shared" si="104"/>
        <v>0.13328652164772339</v>
      </c>
      <c r="AB177" s="300">
        <f t="shared" si="104"/>
        <v>0.13380259767097555</v>
      </c>
      <c r="AC177" s="300">
        <f t="shared" si="104"/>
        <v>0.1328948983072803</v>
      </c>
      <c r="AD177" s="300">
        <f t="shared" si="104"/>
        <v>0.13053763690309783</v>
      </c>
      <c r="AE177" s="300">
        <f t="shared" si="104"/>
        <v>0.12670938062812495</v>
      </c>
      <c r="AF177" s="300">
        <f t="shared" si="104"/>
        <v>0.1213933276648511</v>
      </c>
      <c r="AG177" s="300">
        <f t="shared" si="104"/>
        <v>0.11457758820346996</v>
      </c>
      <c r="AH177" s="245"/>
      <c r="AI177" s="423"/>
      <c r="AJ177" s="424"/>
      <c r="AL177" s="221"/>
      <c r="AM177" s="124"/>
      <c r="AN177" s="124"/>
      <c r="AO177" s="124"/>
      <c r="BD177" s="124"/>
      <c r="BE177" s="124"/>
      <c r="BF177" s="124"/>
      <c r="BG177" s="124"/>
      <c r="BH177" s="124"/>
      <c r="BI177" s="124"/>
      <c r="BJ177" s="124"/>
      <c r="BK177" s="124"/>
    </row>
    <row r="178" spans="1:63" outlineLevel="1" x14ac:dyDescent="0.2">
      <c r="A178" s="4" t="s">
        <v>474</v>
      </c>
      <c r="C178" s="230">
        <f>C$177*'BTX recycling rates'!E70</f>
        <v>0</v>
      </c>
      <c r="D178" s="230">
        <f>D$177*'BTX recycling rates'!F70</f>
        <v>0</v>
      </c>
      <c r="E178" s="230">
        <f>E$177*'BTX recycling rates'!G70</f>
        <v>0</v>
      </c>
      <c r="F178" s="230">
        <f>F$177*'BTX recycling rates'!H70</f>
        <v>0</v>
      </c>
      <c r="G178" s="230">
        <f>G$177*'BTX recycling rates'!I70</f>
        <v>0</v>
      </c>
      <c r="H178" s="230">
        <f>H$177*'BTX recycling rates'!J70</f>
        <v>0</v>
      </c>
      <c r="I178" s="230">
        <f>I$177*'BTX recycling rates'!K70</f>
        <v>0</v>
      </c>
      <c r="J178" s="230">
        <f>J$177*'BTX recycling rates'!L70</f>
        <v>0</v>
      </c>
      <c r="K178" s="230">
        <f>K$177*'BTX recycling rates'!M70</f>
        <v>0</v>
      </c>
      <c r="L178" s="230">
        <f>L$177*'BTX recycling rates'!N70</f>
        <v>0</v>
      </c>
      <c r="M178" s="230">
        <f>M$177*'BTX recycling rates'!O70</f>
        <v>0</v>
      </c>
      <c r="N178" s="230">
        <f>N$177*'BTX recycling rates'!P70</f>
        <v>0</v>
      </c>
      <c r="O178" s="230">
        <f>O$177*'BTX recycling rates'!Q70</f>
        <v>0</v>
      </c>
      <c r="P178" s="230">
        <f>P$177*'BTX recycling rates'!R70</f>
        <v>0</v>
      </c>
      <c r="Q178" s="230">
        <f>Q$177*'BTX recycling rates'!S70</f>
        <v>0</v>
      </c>
      <c r="R178" s="230">
        <f>R$177*'BTX recycling rates'!T70</f>
        <v>0</v>
      </c>
      <c r="S178" s="230">
        <f>S$177*'BTX recycling rates'!U70</f>
        <v>0</v>
      </c>
      <c r="T178" s="230">
        <f>T$177*'BTX recycling rates'!V70</f>
        <v>0</v>
      </c>
      <c r="U178" s="230">
        <f>U$177*'BTX recycling rates'!W70</f>
        <v>0</v>
      </c>
      <c r="V178" s="230">
        <f>V$177*'BTX recycling rates'!X70</f>
        <v>0</v>
      </c>
      <c r="W178" s="230">
        <f>W$177*'BTX recycling rates'!Y70</f>
        <v>0</v>
      </c>
      <c r="X178" s="230">
        <f>X$177*'BTX recycling rates'!Z70</f>
        <v>0</v>
      </c>
      <c r="Y178" s="230">
        <f>Y$177*'BTX recycling rates'!AA70</f>
        <v>0</v>
      </c>
      <c r="Z178" s="230">
        <f>Z$177*'BTX recycling rates'!AB70</f>
        <v>0</v>
      </c>
      <c r="AA178" s="230">
        <f>AA$177*'BTX recycling rates'!AC70</f>
        <v>0</v>
      </c>
      <c r="AB178" s="230">
        <f>AB$177*'BTX recycling rates'!AD70</f>
        <v>0</v>
      </c>
      <c r="AC178" s="230">
        <f>AC$177*'BTX recycling rates'!AE70</f>
        <v>0</v>
      </c>
      <c r="AD178" s="230">
        <f>AD$177*'BTX recycling rates'!AF70</f>
        <v>0</v>
      </c>
      <c r="AE178" s="230">
        <f>AE$177*'BTX recycling rates'!AG70</f>
        <v>0</v>
      </c>
      <c r="AF178" s="230">
        <f>AF$177*'BTX recycling rates'!AH70</f>
        <v>0</v>
      </c>
      <c r="AG178" s="230">
        <f>AG$177*'BTX recycling rates'!AI70</f>
        <v>0</v>
      </c>
      <c r="AH178" s="245"/>
      <c r="AI178" s="133"/>
      <c r="AJ178" s="211"/>
      <c r="AL178" s="108"/>
      <c r="AM178" s="2"/>
      <c r="AN178" s="2"/>
      <c r="AO178" s="2"/>
      <c r="BC178" s="1"/>
      <c r="BD178" s="2"/>
      <c r="BE178" s="2"/>
      <c r="BF178" s="2"/>
      <c r="BG178" s="2"/>
      <c r="BH178" s="2"/>
      <c r="BI178" s="2"/>
      <c r="BJ178" s="2"/>
      <c r="BK178" s="2"/>
    </row>
    <row r="179" spans="1:63" outlineLevel="1" x14ac:dyDescent="0.2">
      <c r="A179" s="4" t="s">
        <v>478</v>
      </c>
      <c r="C179" s="230">
        <f>C$177*'BTX recycling rates'!E71</f>
        <v>9.1562362450641442E-3</v>
      </c>
      <c r="D179" s="230">
        <f>D$177*'BTX recycling rates'!F71</f>
        <v>1.1291375342311552E-2</v>
      </c>
      <c r="E179" s="230">
        <f>E$177*'BTX recycling rates'!G71</f>
        <v>1.3303864840647618E-2</v>
      </c>
      <c r="F179" s="230">
        <f>F$177*'BTX recycling rates'!H71</f>
        <v>1.5165714641181365E-2</v>
      </c>
      <c r="G179" s="230">
        <f>G$177*'BTX recycling rates'!I71</f>
        <v>1.6851130979909142E-2</v>
      </c>
      <c r="H179" s="230">
        <f>H$177*'BTX recycling rates'!J71</f>
        <v>1.833707789602055E-2</v>
      </c>
      <c r="I179" s="230">
        <f>I$177*'BTX recycling rates'!K71</f>
        <v>1.9646082030064273E-2</v>
      </c>
      <c r="J179" s="230">
        <f>J$177*'BTX recycling rates'!L71</f>
        <v>2.0769004314857231E-2</v>
      </c>
      <c r="K179" s="230">
        <f>K$177*'BTX recycling rates'!M71</f>
        <v>2.1697923224790965E-2</v>
      </c>
      <c r="L179" s="230">
        <f>L$177*'BTX recycling rates'!N71</f>
        <v>2.2426262563714775E-2</v>
      </c>
      <c r="M179" s="230">
        <f>M$177*'BTX recycling rates'!O71</f>
        <v>2.2948918028120654E-2</v>
      </c>
      <c r="N179" s="230">
        <f>N$177*'BTX recycling rates'!P71</f>
        <v>2.4944873901377389E-2</v>
      </c>
      <c r="O179" s="230">
        <f>O$177*'BTX recycling rates'!Q71</f>
        <v>2.6486594478744706E-2</v>
      </c>
      <c r="P179" s="230">
        <f>P$177*'BTX recycling rates'!R71</f>
        <v>2.7471167405504749E-2</v>
      </c>
      <c r="Q179" s="230">
        <f>Q$177*'BTX recycling rates'!S71</f>
        <v>2.7986465243733393E-2</v>
      </c>
      <c r="R179" s="230">
        <f>R$177*'BTX recycling rates'!T71</f>
        <v>2.8043514021063063E-2</v>
      </c>
      <c r="S179" s="230">
        <f>S$177*'BTX recycling rates'!U71</f>
        <v>2.7710750710263674E-2</v>
      </c>
      <c r="T179" s="230">
        <f>T$177*'BTX recycling rates'!V71</f>
        <v>2.7010147799137747E-2</v>
      </c>
      <c r="U179" s="230">
        <f>U$177*'BTX recycling rates'!W71</f>
        <v>2.5966651634620384E-2</v>
      </c>
      <c r="V179" s="230">
        <f>V$177*'BTX recycling rates'!X71</f>
        <v>2.4608228711993318E-2</v>
      </c>
      <c r="W179" s="230">
        <f>W$177*'BTX recycling rates'!Y71</f>
        <v>2.296590713168627E-2</v>
      </c>
      <c r="X179" s="230">
        <f>X$177*'BTX recycling rates'!Z71</f>
        <v>2.187824933075852E-2</v>
      </c>
      <c r="Y179" s="230">
        <f>Y$177*'BTX recycling rates'!AA71</f>
        <v>2.0339970327834134E-2</v>
      </c>
      <c r="Z179" s="230">
        <f>Z$177*'BTX recycling rates'!AB71</f>
        <v>1.8252140523682025E-2</v>
      </c>
      <c r="AA179" s="230">
        <f>AA$177*'BTX recycling rates'!AC71</f>
        <v>1.5872288074080004E-2</v>
      </c>
      <c r="AB179" s="230">
        <f>AB$177*'BTX recycling rates'!AD71</f>
        <v>1.3278120379562426E-2</v>
      </c>
      <c r="AC179" s="230">
        <f>AC$177*'BTX recycling rates'!AE71</f>
        <v>1.0550434674776418E-2</v>
      </c>
      <c r="AD179" s="230">
        <f>AD$177*'BTX recycling rates'!AF71</f>
        <v>7.772469983543198E-3</v>
      </c>
      <c r="AE179" s="230">
        <f>AE$177*'BTX recycling rates'!AG71</f>
        <v>5.0296853379102726E-3</v>
      </c>
      <c r="AF179" s="230">
        <f>AF$177*'BTX recycling rates'!AH71</f>
        <v>2.4093332208290764E-3</v>
      </c>
      <c r="AG179" s="230">
        <f>AG$177*'BTX recycling rates'!AI71</f>
        <v>0</v>
      </c>
      <c r="AH179" s="245"/>
      <c r="AI179" s="133"/>
      <c r="AJ179" s="211"/>
      <c r="AL179" s="108"/>
      <c r="AM179" s="2"/>
      <c r="AN179" s="2"/>
      <c r="AO179" s="2"/>
      <c r="BC179" s="1"/>
      <c r="BD179" s="2"/>
      <c r="BE179" s="2"/>
      <c r="BF179" s="2"/>
      <c r="BG179" s="2"/>
      <c r="BH179" s="2"/>
      <c r="BI179" s="2"/>
      <c r="BJ179" s="2"/>
      <c r="BK179" s="2"/>
    </row>
    <row r="180" spans="1:63" outlineLevel="1" x14ac:dyDescent="0.2">
      <c r="A180" s="4" t="s">
        <v>745</v>
      </c>
      <c r="C180" s="230">
        <f>C$177*'BTX recycling rates'!E72</f>
        <v>0</v>
      </c>
      <c r="D180" s="230">
        <f>D$177*'BTX recycling rates'!F72</f>
        <v>3.3554426216671505E-4</v>
      </c>
      <c r="E180" s="230">
        <f>E$177*'BTX recycling rates'!G72</f>
        <v>8.1893750078557864E-4</v>
      </c>
      <c r="F180" s="230">
        <f>F$177*'BTX recycling rates'!H72</f>
        <v>1.4521829752727909E-3</v>
      </c>
      <c r="G180" s="230">
        <f>G$177*'BTX recycling rates'!I72</f>
        <v>2.2341723259830673E-3</v>
      </c>
      <c r="H180" s="230">
        <f>H$177*'BTX recycling rates'!J72</f>
        <v>3.160538579314844E-3</v>
      </c>
      <c r="I180" s="230">
        <f>I$177*'BTX recycling rates'!K72</f>
        <v>4.2326945806532559E-3</v>
      </c>
      <c r="J180" s="230">
        <f>J$177*'BTX recycling rates'!L72</f>
        <v>5.4473697018702612E-3</v>
      </c>
      <c r="K180" s="230">
        <f>K$177*'BTX recycling rates'!M72</f>
        <v>6.7996482151752797E-3</v>
      </c>
      <c r="L180" s="230">
        <f>L$177*'BTX recycling rates'!N72</f>
        <v>8.2828746244218796E-3</v>
      </c>
      <c r="M180" s="230">
        <f>M$177*'BTX recycling rates'!O72</f>
        <v>9.8885631059501718E-3</v>
      </c>
      <c r="N180" s="230">
        <f>N$177*'BTX recycling rates'!P72</f>
        <v>1.2445758439661971E-2</v>
      </c>
      <c r="O180" s="230">
        <f>O$177*'BTX recycling rates'!Q72</f>
        <v>1.5217238020769398E-2</v>
      </c>
      <c r="P180" s="230">
        <f>P$177*'BTX recycling rates'!R72</f>
        <v>1.8103915620502783E-2</v>
      </c>
      <c r="Q180" s="230">
        <f>Q$177*'BTX recycling rates'!S72</f>
        <v>2.1103625575639131E-2</v>
      </c>
      <c r="R180" s="230">
        <f>R$177*'BTX recycling rates'!T72</f>
        <v>2.4167593240786024E-2</v>
      </c>
      <c r="S180" s="230">
        <f>S$177*'BTX recycling rates'!U72</f>
        <v>2.729236738752178E-2</v>
      </c>
      <c r="T180" s="230">
        <f>T$177*'BTX recycling rates'!V72</f>
        <v>3.0439218640380364E-2</v>
      </c>
      <c r="U180" s="230">
        <f>U$177*'BTX recycling rates'!W72</f>
        <v>3.3566663974030818E-2</v>
      </c>
      <c r="V180" s="230">
        <f>V$177*'BTX recycling rates'!X72</f>
        <v>3.6630448884735468E-2</v>
      </c>
      <c r="W180" s="230">
        <f>W$177*'BTX recycling rates'!Y72</f>
        <v>3.9583534470564972E-2</v>
      </c>
      <c r="X180" s="230">
        <f>X$177*'BTX recycling rates'!Z72</f>
        <v>4.3993683194671139E-2</v>
      </c>
      <c r="Y180" s="230">
        <f>Y$177*'BTX recycling rates'!AA72</f>
        <v>4.8204100059277333E-2</v>
      </c>
      <c r="Z180" s="230">
        <f>Z$177*'BTX recycling rates'!AB72</f>
        <v>5.1682625769316835E-2</v>
      </c>
      <c r="AA180" s="230">
        <f>AA$177*'BTX recycling rates'!AC72</f>
        <v>5.4714256093131929E-2</v>
      </c>
      <c r="AB180" s="230">
        <f>AB$177*'BTX recycling rates'!AD72</f>
        <v>5.7214693581987136E-2</v>
      </c>
      <c r="AC180" s="230">
        <f>AC$177*'BTX recycling rates'!AE72</f>
        <v>5.9099618828896118E-2</v>
      </c>
      <c r="AD180" s="230">
        <f>AD$177*'BTX recycling rates'!AF72</f>
        <v>6.0284065544591037E-2</v>
      </c>
      <c r="AE180" s="230">
        <f>AE$177*'BTX recycling rates'!AG72</f>
        <v>6.0683388322251036E-2</v>
      </c>
      <c r="AF180" s="230">
        <f>AF$177*'BTX recycling rates'!AH72</f>
        <v>6.021377247318304E-2</v>
      </c>
      <c r="AG180" s="230">
        <f>AG$177*'BTX recycling rates'!AI72</f>
        <v>5.8792774261780971E-2</v>
      </c>
      <c r="AH180" s="245"/>
      <c r="AI180" s="133"/>
      <c r="AJ180" s="211"/>
      <c r="AL180" s="108"/>
      <c r="AM180" s="2"/>
      <c r="AN180" s="2"/>
      <c r="AO180" s="2"/>
      <c r="BC180" s="1"/>
      <c r="BD180" s="2"/>
      <c r="BE180" s="2"/>
      <c r="BF180" s="2"/>
      <c r="BG180" s="2"/>
      <c r="BH180" s="2"/>
      <c r="BI180" s="2"/>
      <c r="BJ180" s="2"/>
      <c r="BK180" s="2"/>
    </row>
    <row r="181" spans="1:63" outlineLevel="1" x14ac:dyDescent="0.2">
      <c r="A181" s="4" t="s">
        <v>1561</v>
      </c>
      <c r="C181" s="230">
        <f>C$177*'BTX recycling rates'!E73</f>
        <v>6.221545140876918E-3</v>
      </c>
      <c r="D181" s="230">
        <f>D$177*'BTX recycling rates'!F73</f>
        <v>7.9907219053733675E-3</v>
      </c>
      <c r="E181" s="230">
        <f>E$177*'BTX recycling rates'!G73</f>
        <v>9.8168445558860055E-3</v>
      </c>
      <c r="F181" s="230">
        <f>F$177*'BTX recycling rates'!H73</f>
        <v>1.1682794947573748E-2</v>
      </c>
      <c r="G181" s="230">
        <f>G$177*'BTX recycling rates'!I73</f>
        <v>1.3569994894819297E-2</v>
      </c>
      <c r="H181" s="230">
        <f>H$177*'BTX recycling rates'!J73</f>
        <v>1.5458648207413717E-2</v>
      </c>
      <c r="I181" s="230">
        <f>I$177*'BTX recycling rates'!K73</f>
        <v>1.7365402010090486E-2</v>
      </c>
      <c r="J181" s="230">
        <f>J$177*'BTX recycling rates'!L73</f>
        <v>1.9280943127859426E-2</v>
      </c>
      <c r="K181" s="230">
        <f>K$177*'BTX recycling rates'!M73</f>
        <v>2.1195224756670416E-2</v>
      </c>
      <c r="L181" s="230">
        <f>L$177*'BTX recycling rates'!N73</f>
        <v>2.3097463468395144E-2</v>
      </c>
      <c r="M181" s="230">
        <f>M$177*'BTX recycling rates'!O73</f>
        <v>2.4976139282925452E-2</v>
      </c>
      <c r="N181" s="230">
        <f>N$177*'BTX recycling rates'!P73</f>
        <v>2.875872962415171E-2</v>
      </c>
      <c r="O181" s="230">
        <f>O$177*'BTX recycling rates'!Q73</f>
        <v>3.2435993926031997E-2</v>
      </c>
      <c r="P181" s="230">
        <f>P$177*'BTX recycling rates'!R73</f>
        <v>3.5843987791212457E-2</v>
      </c>
      <c r="Q181" s="230">
        <f>Q$177*'BTX recycling rates'!S73</f>
        <v>3.904036463565335E-2</v>
      </c>
      <c r="R181" s="230">
        <f>R$177*'BTX recycling rates'!T73</f>
        <v>4.1986337270439718E-2</v>
      </c>
      <c r="S181" s="230">
        <f>S$177*'BTX recycling rates'!U73</f>
        <v>4.4725133084756952E-2</v>
      </c>
      <c r="T181" s="230">
        <f>T$177*'BTX recycling rates'!V73</f>
        <v>4.7234934202110508E-2</v>
      </c>
      <c r="U181" s="230">
        <f>U$177*'BTX recycling rates'!W73</f>
        <v>4.9493330677735758E-2</v>
      </c>
      <c r="V181" s="230">
        <f>V$177*'BTX recycling rates'!X73</f>
        <v>5.1477335035128823E-2</v>
      </c>
      <c r="W181" s="230">
        <f>W$177*'BTX recycling rates'!Y73</f>
        <v>5.3163398176629711E-2</v>
      </c>
      <c r="X181" s="230">
        <f>X$177*'BTX recycling rates'!Z73</f>
        <v>5.6608865010013505E-2</v>
      </c>
      <c r="Y181" s="230">
        <f>Y$177*'BTX recycling rates'!AA73</f>
        <v>5.9558627350690257E-2</v>
      </c>
      <c r="Z181" s="230">
        <f>Z$177*'BTX recycling rates'!AB73</f>
        <v>6.1440530882954418E-2</v>
      </c>
      <c r="AA181" s="230">
        <f>AA$177*'BTX recycling rates'!AC73</f>
        <v>6.2699977480511468E-2</v>
      </c>
      <c r="AB181" s="230">
        <f>AB$177*'BTX recycling rates'!AD73</f>
        <v>6.3309783709425985E-2</v>
      </c>
      <c r="AC181" s="230">
        <f>AC$177*'BTX recycling rates'!AE73</f>
        <v>6.3244844803607758E-2</v>
      </c>
      <c r="AD181" s="230">
        <f>AD$177*'BTX recycling rates'!AF73</f>
        <v>6.2481101374963606E-2</v>
      </c>
      <c r="AE181" s="230">
        <f>AE$177*'BTX recycling rates'!AG73</f>
        <v>6.0996306967963647E-2</v>
      </c>
      <c r="AF181" s="230">
        <f>AF$177*'BTX recycling rates'!AH73</f>
        <v>5.877022197083899E-2</v>
      </c>
      <c r="AG181" s="230">
        <f>AG$177*'BTX recycling rates'!AI73</f>
        <v>5.5784813941688979E-2</v>
      </c>
      <c r="AH181" s="245"/>
      <c r="AI181" s="133"/>
      <c r="AJ181" s="211"/>
      <c r="AL181" s="108"/>
      <c r="AM181" s="2"/>
      <c r="AN181" s="2"/>
      <c r="AO181" s="2"/>
      <c r="BC181" s="1"/>
      <c r="BD181" s="2"/>
      <c r="BE181" s="2"/>
      <c r="BF181" s="2"/>
      <c r="BG181" s="2"/>
      <c r="BH181" s="2"/>
      <c r="BI181" s="2"/>
      <c r="BJ181" s="2"/>
      <c r="BK181" s="2"/>
    </row>
    <row r="182" spans="1:63" s="1" customFormat="1" outlineLevel="1" x14ac:dyDescent="0.2">
      <c r="A182" s="1" t="s">
        <v>1568</v>
      </c>
      <c r="B182" s="65"/>
      <c r="C182" s="300">
        <f t="shared" ref="C182:AG182" si="105">C177-$C177</f>
        <v>0</v>
      </c>
      <c r="D182" s="300">
        <f t="shared" si="105"/>
        <v>4.2398601239105726E-3</v>
      </c>
      <c r="E182" s="300">
        <f t="shared" si="105"/>
        <v>8.5618655113781413E-3</v>
      </c>
      <c r="F182" s="300">
        <f t="shared" si="105"/>
        <v>1.2922911178086844E-2</v>
      </c>
      <c r="G182" s="300">
        <f t="shared" si="105"/>
        <v>1.7277516814770445E-2</v>
      </c>
      <c r="H182" s="300">
        <f t="shared" si="105"/>
        <v>2.1578483296808046E-2</v>
      </c>
      <c r="I182" s="300">
        <f t="shared" si="105"/>
        <v>2.5866397234866952E-2</v>
      </c>
      <c r="J182" s="300">
        <f t="shared" si="105"/>
        <v>3.0119535758645857E-2</v>
      </c>
      <c r="K182" s="300">
        <f t="shared" si="105"/>
        <v>3.4315014810695599E-2</v>
      </c>
      <c r="L182" s="300">
        <f t="shared" si="105"/>
        <v>3.8428819270590733E-2</v>
      </c>
      <c r="M182" s="300">
        <f t="shared" si="105"/>
        <v>4.2435839031055217E-2</v>
      </c>
      <c r="N182" s="300">
        <f t="shared" si="105"/>
        <v>5.0771580579250006E-2</v>
      </c>
      <c r="O182" s="300">
        <f t="shared" si="105"/>
        <v>5.876204503960504E-2</v>
      </c>
      <c r="P182" s="300">
        <f t="shared" si="105"/>
        <v>6.6041289431278932E-2</v>
      </c>
      <c r="Q182" s="300">
        <f t="shared" si="105"/>
        <v>7.2752674069084811E-2</v>
      </c>
      <c r="R182" s="300">
        <f t="shared" si="105"/>
        <v>7.8819663146347738E-2</v>
      </c>
      <c r="S182" s="300">
        <f t="shared" si="105"/>
        <v>8.4350469796601338E-2</v>
      </c>
      <c r="T182" s="300">
        <f t="shared" si="105"/>
        <v>8.9306519255687555E-2</v>
      </c>
      <c r="U182" s="300">
        <f t="shared" si="105"/>
        <v>9.3648864900445897E-2</v>
      </c>
      <c r="V182" s="300">
        <f t="shared" si="105"/>
        <v>9.7338231245916548E-2</v>
      </c>
      <c r="W182" s="300">
        <f t="shared" si="105"/>
        <v>0.10033505839293989</v>
      </c>
      <c r="X182" s="300">
        <f t="shared" si="105"/>
        <v>0.1071030161495021</v>
      </c>
      <c r="Y182" s="300">
        <f t="shared" si="105"/>
        <v>0.11272491635186066</v>
      </c>
      <c r="Z182" s="300">
        <f t="shared" si="105"/>
        <v>0.11599751579001222</v>
      </c>
      <c r="AA182" s="300">
        <f t="shared" si="105"/>
        <v>0.11790874026178233</v>
      </c>
      <c r="AB182" s="300">
        <f t="shared" si="105"/>
        <v>0.11842481628503448</v>
      </c>
      <c r="AC182" s="300">
        <f t="shared" si="105"/>
        <v>0.11751711692133923</v>
      </c>
      <c r="AD182" s="300">
        <f t="shared" si="105"/>
        <v>0.11515985551715677</v>
      </c>
      <c r="AE182" s="300">
        <f t="shared" si="105"/>
        <v>0.11133159924218389</v>
      </c>
      <c r="AF182" s="300">
        <f t="shared" si="105"/>
        <v>0.10601554627891004</v>
      </c>
      <c r="AG182" s="300">
        <f t="shared" si="105"/>
        <v>9.9199806817528893E-2</v>
      </c>
      <c r="AH182" s="245"/>
      <c r="AI182" s="423"/>
      <c r="AJ182" s="424"/>
      <c r="AL182" s="221"/>
      <c r="AM182" s="124"/>
      <c r="AN182" s="124"/>
      <c r="AO182" s="124"/>
      <c r="BD182" s="124"/>
      <c r="BE182" s="124"/>
      <c r="BF182" s="124"/>
      <c r="BG182" s="124"/>
      <c r="BH182" s="124"/>
      <c r="BI182" s="124"/>
      <c r="BJ182" s="124"/>
      <c r="BK182" s="124"/>
    </row>
    <row r="183" spans="1:63" outlineLevel="1" x14ac:dyDescent="0.2">
      <c r="A183" s="4" t="s">
        <v>474</v>
      </c>
      <c r="C183" s="230">
        <f t="shared" ref="C183:R186" si="106">C178-$C178</f>
        <v>0</v>
      </c>
      <c r="D183" s="230">
        <f t="shared" ref="D183:AG183" si="107">D178-$C178</f>
        <v>0</v>
      </c>
      <c r="E183" s="230">
        <f t="shared" si="107"/>
        <v>0</v>
      </c>
      <c r="F183" s="230">
        <f t="shared" si="107"/>
        <v>0</v>
      </c>
      <c r="G183" s="230">
        <f t="shared" si="107"/>
        <v>0</v>
      </c>
      <c r="H183" s="230">
        <f t="shared" si="107"/>
        <v>0</v>
      </c>
      <c r="I183" s="230">
        <f t="shared" si="107"/>
        <v>0</v>
      </c>
      <c r="J183" s="230">
        <f t="shared" si="107"/>
        <v>0</v>
      </c>
      <c r="K183" s="230">
        <f t="shared" si="107"/>
        <v>0</v>
      </c>
      <c r="L183" s="230">
        <f t="shared" si="107"/>
        <v>0</v>
      </c>
      <c r="M183" s="230">
        <f t="shared" si="107"/>
        <v>0</v>
      </c>
      <c r="N183" s="230">
        <f t="shared" si="107"/>
        <v>0</v>
      </c>
      <c r="O183" s="230">
        <f t="shared" si="107"/>
        <v>0</v>
      </c>
      <c r="P183" s="230">
        <f t="shared" si="107"/>
        <v>0</v>
      </c>
      <c r="Q183" s="230">
        <f t="shared" si="107"/>
        <v>0</v>
      </c>
      <c r="R183" s="230">
        <f t="shared" si="107"/>
        <v>0</v>
      </c>
      <c r="S183" s="230">
        <f t="shared" si="107"/>
        <v>0</v>
      </c>
      <c r="T183" s="230">
        <f t="shared" si="107"/>
        <v>0</v>
      </c>
      <c r="U183" s="230">
        <f t="shared" si="107"/>
        <v>0</v>
      </c>
      <c r="V183" s="230">
        <f t="shared" si="107"/>
        <v>0</v>
      </c>
      <c r="W183" s="230">
        <f t="shared" si="107"/>
        <v>0</v>
      </c>
      <c r="X183" s="230">
        <f t="shared" si="107"/>
        <v>0</v>
      </c>
      <c r="Y183" s="230">
        <f t="shared" si="107"/>
        <v>0</v>
      </c>
      <c r="Z183" s="230">
        <f t="shared" si="107"/>
        <v>0</v>
      </c>
      <c r="AA183" s="230">
        <f t="shared" si="107"/>
        <v>0</v>
      </c>
      <c r="AB183" s="230">
        <f t="shared" si="107"/>
        <v>0</v>
      </c>
      <c r="AC183" s="230">
        <f t="shared" si="107"/>
        <v>0</v>
      </c>
      <c r="AD183" s="230">
        <f t="shared" si="107"/>
        <v>0</v>
      </c>
      <c r="AE183" s="230">
        <f t="shared" si="107"/>
        <v>0</v>
      </c>
      <c r="AF183" s="230">
        <f t="shared" si="107"/>
        <v>0</v>
      </c>
      <c r="AG183" s="230">
        <f t="shared" si="107"/>
        <v>0</v>
      </c>
      <c r="AH183" s="245"/>
      <c r="AI183" s="133"/>
      <c r="AJ183" s="211"/>
      <c r="AL183" s="108"/>
      <c r="AM183" s="2"/>
      <c r="AN183" s="2"/>
      <c r="AO183" s="2"/>
      <c r="BC183" s="1"/>
      <c r="BD183" s="2"/>
      <c r="BE183" s="2"/>
      <c r="BF183" s="2"/>
      <c r="BG183" s="2"/>
      <c r="BH183" s="2"/>
      <c r="BI183" s="2"/>
      <c r="BJ183" s="2"/>
      <c r="BK183" s="2"/>
    </row>
    <row r="184" spans="1:63" outlineLevel="1" x14ac:dyDescent="0.2">
      <c r="A184" s="4" t="s">
        <v>478</v>
      </c>
      <c r="C184" s="230">
        <f t="shared" si="106"/>
        <v>0</v>
      </c>
      <c r="D184" s="230">
        <f t="shared" si="106"/>
        <v>2.1351390972474075E-3</v>
      </c>
      <c r="E184" s="230">
        <f t="shared" si="106"/>
        <v>4.1476285955834736E-3</v>
      </c>
      <c r="F184" s="230">
        <f t="shared" si="106"/>
        <v>6.009478396117221E-3</v>
      </c>
      <c r="G184" s="230">
        <f t="shared" si="106"/>
        <v>7.6948947348449981E-3</v>
      </c>
      <c r="H184" s="230">
        <f t="shared" si="106"/>
        <v>9.1808416509564054E-3</v>
      </c>
      <c r="I184" s="230">
        <f t="shared" si="106"/>
        <v>1.0489845785000129E-2</v>
      </c>
      <c r="J184" s="230">
        <f t="shared" si="106"/>
        <v>1.1612768069793087E-2</v>
      </c>
      <c r="K184" s="230">
        <f t="shared" si="106"/>
        <v>1.254168697972682E-2</v>
      </c>
      <c r="L184" s="230">
        <f t="shared" si="106"/>
        <v>1.3270026318650631E-2</v>
      </c>
      <c r="M184" s="230">
        <f t="shared" si="106"/>
        <v>1.379268178305651E-2</v>
      </c>
      <c r="N184" s="230">
        <f t="shared" si="106"/>
        <v>1.5788637656313245E-2</v>
      </c>
      <c r="O184" s="230">
        <f t="shared" si="106"/>
        <v>1.7330358233680562E-2</v>
      </c>
      <c r="P184" s="230">
        <f t="shared" si="106"/>
        <v>1.8314931160440605E-2</v>
      </c>
      <c r="Q184" s="230">
        <f t="shared" si="106"/>
        <v>1.8830228998669249E-2</v>
      </c>
      <c r="R184" s="230">
        <f t="shared" si="106"/>
        <v>1.8887277775998919E-2</v>
      </c>
      <c r="S184" s="230">
        <f t="shared" ref="S184:AG184" si="108">S179-$C179</f>
        <v>1.8554514465199529E-2</v>
      </c>
      <c r="T184" s="230">
        <f t="shared" si="108"/>
        <v>1.7853911554073603E-2</v>
      </c>
      <c r="U184" s="230">
        <f t="shared" si="108"/>
        <v>1.681041538955624E-2</v>
      </c>
      <c r="V184" s="230">
        <f t="shared" si="108"/>
        <v>1.5451992466929174E-2</v>
      </c>
      <c r="W184" s="230">
        <f t="shared" si="108"/>
        <v>1.3809670886622126E-2</v>
      </c>
      <c r="X184" s="230">
        <f t="shared" si="108"/>
        <v>1.2722013085694376E-2</v>
      </c>
      <c r="Y184" s="230">
        <f t="shared" si="108"/>
        <v>1.118373408276999E-2</v>
      </c>
      <c r="Z184" s="230">
        <f t="shared" si="108"/>
        <v>9.0959042786178806E-3</v>
      </c>
      <c r="AA184" s="230">
        <f t="shared" si="108"/>
        <v>6.7160518290158601E-3</v>
      </c>
      <c r="AB184" s="230">
        <f t="shared" si="108"/>
        <v>4.1218841344982816E-3</v>
      </c>
      <c r="AC184" s="230">
        <f t="shared" si="108"/>
        <v>1.3941984297122737E-3</v>
      </c>
      <c r="AD184" s="230">
        <f t="shared" si="108"/>
        <v>-1.3837662615209462E-3</v>
      </c>
      <c r="AE184" s="230">
        <f t="shared" si="108"/>
        <v>-4.1265509071538716E-3</v>
      </c>
      <c r="AF184" s="230">
        <f t="shared" si="108"/>
        <v>-6.7469030242350674E-3</v>
      </c>
      <c r="AG184" s="230">
        <f t="shared" si="108"/>
        <v>-9.1562362450641442E-3</v>
      </c>
      <c r="AH184" s="245"/>
      <c r="AI184" s="133"/>
      <c r="AJ184" s="211"/>
      <c r="AL184" s="108"/>
      <c r="AM184" s="2"/>
      <c r="AN184" s="2"/>
      <c r="AO184" s="2"/>
      <c r="BC184" s="1"/>
      <c r="BD184" s="2"/>
      <c r="BE184" s="2"/>
      <c r="BF184" s="2"/>
      <c r="BG184" s="2"/>
      <c r="BH184" s="2"/>
      <c r="BI184" s="2"/>
      <c r="BJ184" s="2"/>
      <c r="BK184" s="2"/>
    </row>
    <row r="185" spans="1:63" outlineLevel="1" x14ac:dyDescent="0.2">
      <c r="A185" s="4" t="s">
        <v>745</v>
      </c>
      <c r="C185" s="230">
        <f t="shared" si="106"/>
        <v>0</v>
      </c>
      <c r="D185" s="230">
        <f t="shared" si="106"/>
        <v>3.3554426216671505E-4</v>
      </c>
      <c r="E185" s="230">
        <f t="shared" si="106"/>
        <v>8.1893750078557864E-4</v>
      </c>
      <c r="F185" s="230">
        <f t="shared" si="106"/>
        <v>1.4521829752727909E-3</v>
      </c>
      <c r="G185" s="230">
        <f t="shared" si="106"/>
        <v>2.2341723259830673E-3</v>
      </c>
      <c r="H185" s="230">
        <f t="shared" si="106"/>
        <v>3.160538579314844E-3</v>
      </c>
      <c r="I185" s="230">
        <f t="shared" si="106"/>
        <v>4.2326945806532559E-3</v>
      </c>
      <c r="J185" s="230">
        <f t="shared" si="106"/>
        <v>5.4473697018702612E-3</v>
      </c>
      <c r="K185" s="230">
        <f t="shared" si="106"/>
        <v>6.7996482151752797E-3</v>
      </c>
      <c r="L185" s="230">
        <f t="shared" si="106"/>
        <v>8.2828746244218796E-3</v>
      </c>
      <c r="M185" s="230">
        <f t="shared" si="106"/>
        <v>9.8885631059501718E-3</v>
      </c>
      <c r="N185" s="230">
        <f t="shared" si="106"/>
        <v>1.2445758439661971E-2</v>
      </c>
      <c r="O185" s="230">
        <f t="shared" si="106"/>
        <v>1.5217238020769398E-2</v>
      </c>
      <c r="P185" s="230">
        <f t="shared" si="106"/>
        <v>1.8103915620502783E-2</v>
      </c>
      <c r="Q185" s="230">
        <f t="shared" si="106"/>
        <v>2.1103625575639131E-2</v>
      </c>
      <c r="R185" s="230">
        <f t="shared" si="106"/>
        <v>2.4167593240786024E-2</v>
      </c>
      <c r="S185" s="230">
        <f t="shared" ref="S185:AG185" si="109">S180-$C180</f>
        <v>2.729236738752178E-2</v>
      </c>
      <c r="T185" s="230">
        <f t="shared" si="109"/>
        <v>3.0439218640380364E-2</v>
      </c>
      <c r="U185" s="230">
        <f t="shared" si="109"/>
        <v>3.3566663974030818E-2</v>
      </c>
      <c r="V185" s="230">
        <f t="shared" si="109"/>
        <v>3.6630448884735468E-2</v>
      </c>
      <c r="W185" s="230">
        <f t="shared" si="109"/>
        <v>3.9583534470564972E-2</v>
      </c>
      <c r="X185" s="230">
        <f t="shared" si="109"/>
        <v>4.3993683194671139E-2</v>
      </c>
      <c r="Y185" s="230">
        <f t="shared" si="109"/>
        <v>4.8204100059277333E-2</v>
      </c>
      <c r="Z185" s="230">
        <f t="shared" si="109"/>
        <v>5.1682625769316835E-2</v>
      </c>
      <c r="AA185" s="230">
        <f t="shared" si="109"/>
        <v>5.4714256093131929E-2</v>
      </c>
      <c r="AB185" s="230">
        <f t="shared" si="109"/>
        <v>5.7214693581987136E-2</v>
      </c>
      <c r="AC185" s="230">
        <f t="shared" si="109"/>
        <v>5.9099618828896118E-2</v>
      </c>
      <c r="AD185" s="230">
        <f t="shared" si="109"/>
        <v>6.0284065544591037E-2</v>
      </c>
      <c r="AE185" s="230">
        <f t="shared" si="109"/>
        <v>6.0683388322251036E-2</v>
      </c>
      <c r="AF185" s="230">
        <f t="shared" si="109"/>
        <v>6.021377247318304E-2</v>
      </c>
      <c r="AG185" s="230">
        <f t="shared" si="109"/>
        <v>5.8792774261780971E-2</v>
      </c>
      <c r="AH185" s="245"/>
      <c r="AI185" s="133"/>
      <c r="AJ185" s="211"/>
      <c r="AL185" s="108"/>
      <c r="AM185" s="2"/>
      <c r="AN185" s="2"/>
      <c r="AO185" s="2"/>
      <c r="BC185" s="1"/>
      <c r="BD185" s="2"/>
      <c r="BE185" s="2"/>
      <c r="BF185" s="2"/>
      <c r="BG185" s="2"/>
      <c r="BH185" s="2"/>
      <c r="BI185" s="2"/>
      <c r="BJ185" s="2"/>
      <c r="BK185" s="2"/>
    </row>
    <row r="186" spans="1:63" outlineLevel="1" x14ac:dyDescent="0.2">
      <c r="A186" s="4" t="s">
        <v>1561</v>
      </c>
      <c r="C186" s="230">
        <f t="shared" si="106"/>
        <v>0</v>
      </c>
      <c r="D186" s="230">
        <f t="shared" si="106"/>
        <v>1.7691767644964496E-3</v>
      </c>
      <c r="E186" s="230">
        <f t="shared" si="106"/>
        <v>3.5952994150090876E-3</v>
      </c>
      <c r="F186" s="230">
        <f t="shared" si="106"/>
        <v>5.4612498066968305E-3</v>
      </c>
      <c r="G186" s="230">
        <f t="shared" si="106"/>
        <v>7.348449753942379E-3</v>
      </c>
      <c r="H186" s="230">
        <f t="shared" si="106"/>
        <v>9.2371030665367986E-3</v>
      </c>
      <c r="I186" s="230">
        <f t="shared" si="106"/>
        <v>1.1143856869213568E-2</v>
      </c>
      <c r="J186" s="230">
        <f t="shared" si="106"/>
        <v>1.3059397986982508E-2</v>
      </c>
      <c r="K186" s="230">
        <f t="shared" si="106"/>
        <v>1.4973679615793498E-2</v>
      </c>
      <c r="L186" s="230">
        <f t="shared" si="106"/>
        <v>1.6875918327518225E-2</v>
      </c>
      <c r="M186" s="230">
        <f t="shared" si="106"/>
        <v>1.8754594142048532E-2</v>
      </c>
      <c r="N186" s="230">
        <f t="shared" si="106"/>
        <v>2.253718448327479E-2</v>
      </c>
      <c r="O186" s="230">
        <f t="shared" si="106"/>
        <v>2.6214448785155081E-2</v>
      </c>
      <c r="P186" s="230">
        <f t="shared" si="106"/>
        <v>2.9622442650335541E-2</v>
      </c>
      <c r="Q186" s="230">
        <f t="shared" si="106"/>
        <v>3.2818819494776434E-2</v>
      </c>
      <c r="R186" s="230">
        <f t="shared" si="106"/>
        <v>3.5764792129562802E-2</v>
      </c>
      <c r="S186" s="230">
        <f t="shared" ref="S186:AG186" si="110">S181-$C181</f>
        <v>3.8503587943880035E-2</v>
      </c>
      <c r="T186" s="230">
        <f t="shared" si="110"/>
        <v>4.1013389061233592E-2</v>
      </c>
      <c r="U186" s="230">
        <f t="shared" si="110"/>
        <v>4.3271785536858842E-2</v>
      </c>
      <c r="V186" s="230">
        <f t="shared" si="110"/>
        <v>4.5255789894251906E-2</v>
      </c>
      <c r="W186" s="230">
        <f t="shared" si="110"/>
        <v>4.6941853035752795E-2</v>
      </c>
      <c r="X186" s="230">
        <f t="shared" si="110"/>
        <v>5.0387319869136589E-2</v>
      </c>
      <c r="Y186" s="230">
        <f t="shared" si="110"/>
        <v>5.3337082209813341E-2</v>
      </c>
      <c r="Z186" s="230">
        <f t="shared" si="110"/>
        <v>5.5218985742077502E-2</v>
      </c>
      <c r="AA186" s="230">
        <f t="shared" si="110"/>
        <v>5.6478432339634552E-2</v>
      </c>
      <c r="AB186" s="230">
        <f t="shared" si="110"/>
        <v>5.7088238568549068E-2</v>
      </c>
      <c r="AC186" s="230">
        <f t="shared" si="110"/>
        <v>5.7023299662730842E-2</v>
      </c>
      <c r="AD186" s="230">
        <f t="shared" si="110"/>
        <v>5.625955623408669E-2</v>
      </c>
      <c r="AE186" s="230">
        <f t="shared" si="110"/>
        <v>5.4774761827086731E-2</v>
      </c>
      <c r="AF186" s="230">
        <f t="shared" si="110"/>
        <v>5.2548676829962074E-2</v>
      </c>
      <c r="AG186" s="230">
        <f t="shared" si="110"/>
        <v>4.9563268800812063E-2</v>
      </c>
      <c r="AH186" s="245"/>
      <c r="AI186" s="133"/>
      <c r="AJ186" s="211"/>
      <c r="AL186" s="108"/>
      <c r="AM186" s="2"/>
      <c r="AN186" s="2"/>
      <c r="AO186" s="2"/>
      <c r="BC186" s="1"/>
      <c r="BD186" s="2"/>
      <c r="BE186" s="2"/>
      <c r="BF186" s="2"/>
      <c r="BG186" s="2"/>
      <c r="BH186" s="2"/>
      <c r="BI186" s="2"/>
      <c r="BJ186" s="2"/>
      <c r="BK186" s="2"/>
    </row>
    <row r="187" spans="1:63" outlineLevel="1" x14ac:dyDescent="0.2">
      <c r="C187" s="110"/>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c r="AD187" s="23"/>
      <c r="AE187" s="23"/>
      <c r="AF187" s="23"/>
      <c r="AG187" s="23"/>
      <c r="AJ187" s="211"/>
      <c r="AM187" s="123"/>
      <c r="AN187" s="123"/>
    </row>
    <row r="188" spans="1:63" s="200" customFormat="1" ht="16" thickBot="1" x14ac:dyDescent="0.25">
      <c r="A188" s="200" t="s">
        <v>1339</v>
      </c>
      <c r="B188" s="215"/>
      <c r="C188" s="224">
        <f>C189</f>
        <v>0.13</v>
      </c>
      <c r="D188" s="224">
        <f t="shared" ref="D188:AG188" si="111">D189</f>
        <v>0.13557711853523402</v>
      </c>
      <c r="E188" s="224">
        <f t="shared" si="111"/>
        <v>0.14115423707046801</v>
      </c>
      <c r="F188" s="224">
        <f t="shared" si="111"/>
        <v>0.14673135560570202</v>
      </c>
      <c r="G188" s="224">
        <f t="shared" si="111"/>
        <v>0.15230847414093604</v>
      </c>
      <c r="H188" s="224">
        <f t="shared" si="111"/>
        <v>0.15788559267617003</v>
      </c>
      <c r="I188" s="224">
        <f t="shared" si="111"/>
        <v>0.16346271121140404</v>
      </c>
      <c r="J188" s="224">
        <f t="shared" si="111"/>
        <v>0.16903982974663806</v>
      </c>
      <c r="K188" s="224">
        <f t="shared" si="111"/>
        <v>0.17461694828187208</v>
      </c>
      <c r="L188" s="224">
        <f t="shared" si="111"/>
        <v>0.18019406681710606</v>
      </c>
      <c r="M188" s="224">
        <f t="shared" si="111"/>
        <v>0.18577118535234008</v>
      </c>
      <c r="N188" s="224">
        <f t="shared" si="111"/>
        <v>0.19752603518814099</v>
      </c>
      <c r="O188" s="224">
        <f t="shared" si="111"/>
        <v>0.20928088502394188</v>
      </c>
      <c r="P188" s="224">
        <f t="shared" si="111"/>
        <v>0.22103573485974279</v>
      </c>
      <c r="Q188" s="224">
        <f t="shared" si="111"/>
        <v>0.2327905846955437</v>
      </c>
      <c r="R188" s="224">
        <f t="shared" si="111"/>
        <v>0.24454543453134459</v>
      </c>
      <c r="S188" s="224">
        <f t="shared" si="111"/>
        <v>0.25630028436714547</v>
      </c>
      <c r="T188" s="224">
        <f t="shared" si="111"/>
        <v>0.26805513420294641</v>
      </c>
      <c r="U188" s="224">
        <f t="shared" si="111"/>
        <v>0.27980998403874729</v>
      </c>
      <c r="V188" s="224">
        <f t="shared" si="111"/>
        <v>0.29156483387454823</v>
      </c>
      <c r="W188" s="224">
        <f t="shared" si="111"/>
        <v>0.30331968371034912</v>
      </c>
      <c r="X188" s="224">
        <f t="shared" si="111"/>
        <v>0.3229877153393142</v>
      </c>
      <c r="Y188" s="224">
        <f t="shared" si="111"/>
        <v>0.34265574696827927</v>
      </c>
      <c r="Z188" s="224">
        <f t="shared" si="111"/>
        <v>0.36232377859724441</v>
      </c>
      <c r="AA188" s="224">
        <f t="shared" si="111"/>
        <v>0.38199181022620948</v>
      </c>
      <c r="AB188" s="224">
        <f t="shared" si="111"/>
        <v>0.40165984185517456</v>
      </c>
      <c r="AC188" s="224">
        <f t="shared" si="111"/>
        <v>0.42132787348413964</v>
      </c>
      <c r="AD188" s="224">
        <f t="shared" si="111"/>
        <v>0.44099590511310471</v>
      </c>
      <c r="AE188" s="224">
        <f t="shared" si="111"/>
        <v>0.46066393674206985</v>
      </c>
      <c r="AF188" s="224">
        <f t="shared" si="111"/>
        <v>0.48033196837103487</v>
      </c>
      <c r="AG188" s="224">
        <f t="shared" si="111"/>
        <v>0.5</v>
      </c>
      <c r="AJ188" s="231" t="s">
        <v>1340</v>
      </c>
      <c r="AL188" s="217"/>
      <c r="AM188" s="225"/>
      <c r="AN188" s="225"/>
      <c r="AO188" s="225"/>
    </row>
    <row r="189" spans="1:63" ht="16" outlineLevel="1" thickTop="1" x14ac:dyDescent="0.2">
      <c r="A189" t="s">
        <v>1341</v>
      </c>
      <c r="B189" s="54" t="s">
        <v>462</v>
      </c>
      <c r="C189" s="214">
        <v>0.13</v>
      </c>
      <c r="D189" s="110">
        <f>$C189+($M189-$C189)/10*(D$1-$C$1)</f>
        <v>0.13557711853523402</v>
      </c>
      <c r="E189" s="110">
        <f t="shared" ref="E189:L189" si="112">$C189+($M189-$C189)/10*(E$1-$C$1)</f>
        <v>0.14115423707046801</v>
      </c>
      <c r="F189" s="110">
        <f t="shared" si="112"/>
        <v>0.14673135560570202</v>
      </c>
      <c r="G189" s="110">
        <f t="shared" si="112"/>
        <v>0.15230847414093604</v>
      </c>
      <c r="H189" s="110">
        <f t="shared" si="112"/>
        <v>0.15788559267617003</v>
      </c>
      <c r="I189" s="110">
        <f t="shared" si="112"/>
        <v>0.16346271121140404</v>
      </c>
      <c r="J189" s="110">
        <f t="shared" si="112"/>
        <v>0.16903982974663806</v>
      </c>
      <c r="K189" s="110">
        <f t="shared" si="112"/>
        <v>0.17461694828187208</v>
      </c>
      <c r="L189" s="110">
        <f t="shared" si="112"/>
        <v>0.18019406681710606</v>
      </c>
      <c r="M189" s="121">
        <f>(M$52-$C$52)/($AG$52-$C$52)*($AG189-$C189)+$C189</f>
        <v>0.18577118535234008</v>
      </c>
      <c r="N189" s="121">
        <f>$M189+($W189-$M189)/10*(N$1-$M$1)</f>
        <v>0.19752603518814099</v>
      </c>
      <c r="O189" s="121">
        <f t="shared" ref="O189:U189" si="113">$M189+($W189-$M189)/10*(O$1-$M$1)</f>
        <v>0.20928088502394188</v>
      </c>
      <c r="P189" s="121">
        <f t="shared" si="113"/>
        <v>0.22103573485974279</v>
      </c>
      <c r="Q189" s="121">
        <f t="shared" si="113"/>
        <v>0.2327905846955437</v>
      </c>
      <c r="R189" s="121">
        <f t="shared" si="113"/>
        <v>0.24454543453134459</v>
      </c>
      <c r="S189" s="121">
        <f t="shared" si="113"/>
        <v>0.25630028436714547</v>
      </c>
      <c r="T189" s="121">
        <f t="shared" si="113"/>
        <v>0.26805513420294641</v>
      </c>
      <c r="U189" s="121">
        <f t="shared" si="113"/>
        <v>0.27980998403874729</v>
      </c>
      <c r="V189" s="121">
        <f>$M189+($W189-$M189)/10*(V$1-$M$1)</f>
        <v>0.29156483387454823</v>
      </c>
      <c r="W189" s="121">
        <f>(W$52-$C$52)/($AG$52-$C$52)*($AG189-$C189)+$C189</f>
        <v>0.30331968371034912</v>
      </c>
      <c r="X189" s="110">
        <f>$W189+($AG189-$W189)/10*(X$1-$W$1)</f>
        <v>0.3229877153393142</v>
      </c>
      <c r="Y189" s="110">
        <f t="shared" ref="Y189:AF189" si="114">$W189+($AG189-$W189)/10*(Y$1-$W$1)</f>
        <v>0.34265574696827927</v>
      </c>
      <c r="Z189" s="110">
        <f t="shared" si="114"/>
        <v>0.36232377859724441</v>
      </c>
      <c r="AA189" s="110">
        <f t="shared" si="114"/>
        <v>0.38199181022620948</v>
      </c>
      <c r="AB189" s="110">
        <f t="shared" si="114"/>
        <v>0.40165984185517456</v>
      </c>
      <c r="AC189" s="110">
        <f t="shared" si="114"/>
        <v>0.42132787348413964</v>
      </c>
      <c r="AD189" s="110">
        <f t="shared" si="114"/>
        <v>0.44099590511310471</v>
      </c>
      <c r="AE189" s="110">
        <f t="shared" si="114"/>
        <v>0.46066393674206985</v>
      </c>
      <c r="AF189" s="110">
        <f t="shared" si="114"/>
        <v>0.48033196837103487</v>
      </c>
      <c r="AG189" s="214">
        <v>0.5</v>
      </c>
      <c r="AJ189" s="211" t="s">
        <v>1342</v>
      </c>
    </row>
    <row r="190" spans="1:63" outlineLevel="1" x14ac:dyDescent="0.2">
      <c r="A190" t="s">
        <v>1453</v>
      </c>
      <c r="B190" s="54" t="s">
        <v>462</v>
      </c>
      <c r="C190" s="214">
        <v>0.05</v>
      </c>
      <c r="D190" s="110">
        <f t="shared" ref="D190:AF190" si="115">C190-($C$190-$AG$190)/($AG$1-$C$1)</f>
        <v>5.8333333333333334E-2</v>
      </c>
      <c r="E190" s="110">
        <f t="shared" si="115"/>
        <v>6.6666666666666666E-2</v>
      </c>
      <c r="F190" s="110">
        <f t="shared" si="115"/>
        <v>7.4999999999999997E-2</v>
      </c>
      <c r="G190" s="110">
        <f t="shared" si="115"/>
        <v>8.3333333333333329E-2</v>
      </c>
      <c r="H190" s="110">
        <f t="shared" si="115"/>
        <v>9.166666666666666E-2</v>
      </c>
      <c r="I190" s="110">
        <f t="shared" si="115"/>
        <v>9.9999999999999992E-2</v>
      </c>
      <c r="J190" s="110">
        <f t="shared" si="115"/>
        <v>0.10833333333333332</v>
      </c>
      <c r="K190" s="110">
        <f t="shared" si="115"/>
        <v>0.11666666666666665</v>
      </c>
      <c r="L190" s="110">
        <f t="shared" si="115"/>
        <v>0.12499999999999999</v>
      </c>
      <c r="M190" s="110">
        <f t="shared" si="115"/>
        <v>0.13333333333333333</v>
      </c>
      <c r="N190" s="110">
        <f t="shared" si="115"/>
        <v>0.14166666666666666</v>
      </c>
      <c r="O190" s="110">
        <f t="shared" si="115"/>
        <v>0.15</v>
      </c>
      <c r="P190" s="110">
        <f t="shared" si="115"/>
        <v>0.15833333333333333</v>
      </c>
      <c r="Q190" s="110">
        <f t="shared" si="115"/>
        <v>0.16666666666666666</v>
      </c>
      <c r="R190" s="110">
        <f t="shared" si="115"/>
        <v>0.17499999999999999</v>
      </c>
      <c r="S190" s="110">
        <f t="shared" si="115"/>
        <v>0.18333333333333332</v>
      </c>
      <c r="T190" s="110">
        <f t="shared" si="115"/>
        <v>0.19166666666666665</v>
      </c>
      <c r="U190" s="110">
        <f t="shared" si="115"/>
        <v>0.19999999999999998</v>
      </c>
      <c r="V190" s="110">
        <f t="shared" si="115"/>
        <v>0.20833333333333331</v>
      </c>
      <c r="W190" s="110">
        <f t="shared" si="115"/>
        <v>0.21666666666666665</v>
      </c>
      <c r="X190" s="110">
        <f t="shared" si="115"/>
        <v>0.22499999999999998</v>
      </c>
      <c r="Y190" s="110">
        <f t="shared" si="115"/>
        <v>0.23333333333333331</v>
      </c>
      <c r="Z190" s="110">
        <f t="shared" si="115"/>
        <v>0.24166666666666664</v>
      </c>
      <c r="AA190" s="110">
        <f t="shared" si="115"/>
        <v>0.24999999999999997</v>
      </c>
      <c r="AB190" s="110">
        <f t="shared" si="115"/>
        <v>0.2583333333333333</v>
      </c>
      <c r="AC190" s="110">
        <f t="shared" si="115"/>
        <v>0.26666666666666666</v>
      </c>
      <c r="AD190" s="110">
        <f t="shared" si="115"/>
        <v>0.27500000000000002</v>
      </c>
      <c r="AE190" s="110">
        <f t="shared" si="115"/>
        <v>0.28333333333333338</v>
      </c>
      <c r="AF190" s="110">
        <f t="shared" si="115"/>
        <v>0.29166666666666674</v>
      </c>
      <c r="AG190" s="214">
        <v>0.3</v>
      </c>
      <c r="AI190" s="135"/>
      <c r="AJ190" s="211" t="s">
        <v>1454</v>
      </c>
      <c r="AM190" s="123"/>
      <c r="AN190" s="123"/>
    </row>
    <row r="191" spans="1:63" ht="14.5" customHeight="1" outlineLevel="1" x14ac:dyDescent="0.2">
      <c r="A191" t="s">
        <v>1455</v>
      </c>
      <c r="B191" s="176" t="s">
        <v>462</v>
      </c>
      <c r="C191" s="110">
        <f>1-C190</f>
        <v>0.95</v>
      </c>
      <c r="D191" s="110">
        <f t="shared" ref="D191:AG191" si="116">1-D190</f>
        <v>0.94166666666666665</v>
      </c>
      <c r="E191" s="110">
        <f t="shared" si="116"/>
        <v>0.93333333333333335</v>
      </c>
      <c r="F191" s="110">
        <f t="shared" si="116"/>
        <v>0.92500000000000004</v>
      </c>
      <c r="G191" s="110">
        <f t="shared" si="116"/>
        <v>0.91666666666666663</v>
      </c>
      <c r="H191" s="110">
        <f t="shared" si="116"/>
        <v>0.90833333333333333</v>
      </c>
      <c r="I191" s="110">
        <f t="shared" si="116"/>
        <v>0.9</v>
      </c>
      <c r="J191" s="110">
        <f t="shared" si="116"/>
        <v>0.89166666666666672</v>
      </c>
      <c r="K191" s="110">
        <f t="shared" si="116"/>
        <v>0.8833333333333333</v>
      </c>
      <c r="L191" s="110">
        <f t="shared" si="116"/>
        <v>0.875</v>
      </c>
      <c r="M191" s="110">
        <f t="shared" si="116"/>
        <v>0.8666666666666667</v>
      </c>
      <c r="N191" s="110">
        <f t="shared" si="116"/>
        <v>0.85833333333333339</v>
      </c>
      <c r="O191" s="110">
        <f t="shared" si="116"/>
        <v>0.85</v>
      </c>
      <c r="P191" s="110">
        <f t="shared" si="116"/>
        <v>0.84166666666666667</v>
      </c>
      <c r="Q191" s="110">
        <f t="shared" si="116"/>
        <v>0.83333333333333337</v>
      </c>
      <c r="R191" s="110">
        <f t="shared" si="116"/>
        <v>0.82499999999999996</v>
      </c>
      <c r="S191" s="110">
        <f t="shared" si="116"/>
        <v>0.81666666666666665</v>
      </c>
      <c r="T191" s="110">
        <f t="shared" si="116"/>
        <v>0.80833333333333335</v>
      </c>
      <c r="U191" s="110">
        <f t="shared" si="116"/>
        <v>0.8</v>
      </c>
      <c r="V191" s="110">
        <f t="shared" si="116"/>
        <v>0.79166666666666674</v>
      </c>
      <c r="W191" s="110">
        <f t="shared" si="116"/>
        <v>0.78333333333333333</v>
      </c>
      <c r="X191" s="110">
        <f t="shared" si="116"/>
        <v>0.77500000000000002</v>
      </c>
      <c r="Y191" s="110">
        <f t="shared" si="116"/>
        <v>0.76666666666666672</v>
      </c>
      <c r="Z191" s="110">
        <f t="shared" si="116"/>
        <v>0.7583333333333333</v>
      </c>
      <c r="AA191" s="110">
        <f t="shared" si="116"/>
        <v>0.75</v>
      </c>
      <c r="AB191" s="110">
        <f t="shared" si="116"/>
        <v>0.7416666666666667</v>
      </c>
      <c r="AC191" s="110">
        <f t="shared" si="116"/>
        <v>0.73333333333333339</v>
      </c>
      <c r="AD191" s="110">
        <f t="shared" si="116"/>
        <v>0.72499999999999998</v>
      </c>
      <c r="AE191" s="110">
        <f t="shared" si="116"/>
        <v>0.71666666666666656</v>
      </c>
      <c r="AF191" s="110">
        <f t="shared" si="116"/>
        <v>0.70833333333333326</v>
      </c>
      <c r="AG191" s="110">
        <f t="shared" si="116"/>
        <v>0.7</v>
      </c>
      <c r="AI191" s="135" t="s">
        <v>1456</v>
      </c>
      <c r="AJ191" s="211"/>
    </row>
    <row r="192" spans="1:63" outlineLevel="1" x14ac:dyDescent="0.2">
      <c r="A192" t="s">
        <v>1343</v>
      </c>
      <c r="B192" s="54" t="s">
        <v>462</v>
      </c>
      <c r="C192" s="110">
        <f>C189*C190</f>
        <v>6.5000000000000006E-3</v>
      </c>
      <c r="D192" s="110">
        <f t="shared" ref="D192:AG192" si="117">D189*D190</f>
        <v>7.9086652478886511E-3</v>
      </c>
      <c r="E192" s="110">
        <f t="shared" si="117"/>
        <v>9.4102824713645332E-3</v>
      </c>
      <c r="F192" s="110">
        <f t="shared" si="117"/>
        <v>1.1004851670427652E-2</v>
      </c>
      <c r="G192" s="110">
        <f t="shared" si="117"/>
        <v>1.2692372845078003E-2</v>
      </c>
      <c r="H192" s="110">
        <f t="shared" si="117"/>
        <v>1.4472845995315585E-2</v>
      </c>
      <c r="I192" s="110">
        <f t="shared" si="117"/>
        <v>1.6346271121140402E-2</v>
      </c>
      <c r="J192" s="110">
        <f t="shared" si="117"/>
        <v>1.8312648222552456E-2</v>
      </c>
      <c r="K192" s="110">
        <f t="shared" si="117"/>
        <v>2.037197729955174E-2</v>
      </c>
      <c r="L192" s="110">
        <f t="shared" si="117"/>
        <v>2.2524258352138254E-2</v>
      </c>
      <c r="M192" s="110">
        <f t="shared" si="117"/>
        <v>2.4769491380312009E-2</v>
      </c>
      <c r="N192" s="110">
        <f t="shared" si="117"/>
        <v>2.7982854984986639E-2</v>
      </c>
      <c r="O192" s="110">
        <f t="shared" si="117"/>
        <v>3.1392132753591283E-2</v>
      </c>
      <c r="P192" s="110">
        <f t="shared" si="117"/>
        <v>3.4997324686125937E-2</v>
      </c>
      <c r="Q192" s="110">
        <f t="shared" si="117"/>
        <v>3.8798430782590612E-2</v>
      </c>
      <c r="R192" s="110">
        <f t="shared" si="117"/>
        <v>4.2795451042985301E-2</v>
      </c>
      <c r="S192" s="110">
        <f t="shared" si="117"/>
        <v>4.6988385467309997E-2</v>
      </c>
      <c r="T192" s="110">
        <f t="shared" si="117"/>
        <v>5.1377234055564727E-2</v>
      </c>
      <c r="U192" s="110">
        <f t="shared" si="117"/>
        <v>5.5961996807749458E-2</v>
      </c>
      <c r="V192" s="110">
        <f t="shared" si="117"/>
        <v>6.0742673723864209E-2</v>
      </c>
      <c r="W192" s="110">
        <f t="shared" si="117"/>
        <v>6.5719264803908967E-2</v>
      </c>
      <c r="X192" s="110">
        <f t="shared" si="117"/>
        <v>7.2672235951345684E-2</v>
      </c>
      <c r="Y192" s="110">
        <f t="shared" si="117"/>
        <v>7.9953007625931827E-2</v>
      </c>
      <c r="Z192" s="110">
        <f t="shared" si="117"/>
        <v>8.7561579827667393E-2</v>
      </c>
      <c r="AA192" s="110">
        <f t="shared" si="117"/>
        <v>9.5497952556552357E-2</v>
      </c>
      <c r="AB192" s="110">
        <f t="shared" si="117"/>
        <v>0.10376212581258674</v>
      </c>
      <c r="AC192" s="110">
        <f t="shared" si="117"/>
        <v>0.11235409959577057</v>
      </c>
      <c r="AD192" s="110">
        <f t="shared" si="117"/>
        <v>0.12127387390610381</v>
      </c>
      <c r="AE192" s="110">
        <f t="shared" si="117"/>
        <v>0.13052144874358648</v>
      </c>
      <c r="AF192" s="110">
        <f t="shared" si="117"/>
        <v>0.14009682410821853</v>
      </c>
      <c r="AG192" s="110">
        <f t="shared" si="117"/>
        <v>0.15</v>
      </c>
      <c r="AI192" s="134"/>
      <c r="AJ192" s="211"/>
      <c r="BD192" s="203"/>
      <c r="BE192" s="203"/>
    </row>
    <row r="193" spans="1:63" outlineLevel="1" x14ac:dyDescent="0.2">
      <c r="A193" t="s">
        <v>1344</v>
      </c>
      <c r="B193" s="54" t="s">
        <v>462</v>
      </c>
      <c r="C193" s="110">
        <f>C189*C191</f>
        <v>0.1235</v>
      </c>
      <c r="D193" s="110">
        <f t="shared" ref="D193:AG193" si="118">D189*D191</f>
        <v>0.12766845328734536</v>
      </c>
      <c r="E193" s="110">
        <f t="shared" si="118"/>
        <v>0.13174395459910349</v>
      </c>
      <c r="F193" s="110">
        <f t="shared" si="118"/>
        <v>0.13572650393527438</v>
      </c>
      <c r="G193" s="110">
        <f t="shared" si="118"/>
        <v>0.13961610129585802</v>
      </c>
      <c r="H193" s="110">
        <f t="shared" si="118"/>
        <v>0.14341274668085444</v>
      </c>
      <c r="I193" s="110">
        <f t="shared" si="118"/>
        <v>0.14711644009026364</v>
      </c>
      <c r="J193" s="110">
        <f t="shared" si="118"/>
        <v>0.15072718152408562</v>
      </c>
      <c r="K193" s="110">
        <f t="shared" si="118"/>
        <v>0.15424497098232032</v>
      </c>
      <c r="L193" s="110">
        <f t="shared" si="118"/>
        <v>0.15766980846496781</v>
      </c>
      <c r="M193" s="110">
        <f t="shared" si="118"/>
        <v>0.16100169397202807</v>
      </c>
      <c r="N193" s="110">
        <f t="shared" si="118"/>
        <v>0.16954318020315437</v>
      </c>
      <c r="O193" s="110">
        <f t="shared" si="118"/>
        <v>0.17788875227035059</v>
      </c>
      <c r="P193" s="110">
        <f t="shared" si="118"/>
        <v>0.18603841017361686</v>
      </c>
      <c r="Q193" s="110">
        <f t="shared" si="118"/>
        <v>0.1939921539129531</v>
      </c>
      <c r="R193" s="110">
        <f t="shared" si="118"/>
        <v>0.20174998348835926</v>
      </c>
      <c r="S193" s="110">
        <f t="shared" si="118"/>
        <v>0.20931189889983545</v>
      </c>
      <c r="T193" s="110">
        <f t="shared" si="118"/>
        <v>0.2166779001473817</v>
      </c>
      <c r="U193" s="110">
        <f t="shared" si="118"/>
        <v>0.22384798723099786</v>
      </c>
      <c r="V193" s="110">
        <f t="shared" si="118"/>
        <v>0.23082216015068405</v>
      </c>
      <c r="W193" s="110">
        <f t="shared" si="118"/>
        <v>0.23760041890644015</v>
      </c>
      <c r="X193" s="110">
        <f t="shared" si="118"/>
        <v>0.2503154793879685</v>
      </c>
      <c r="Y193" s="110">
        <f t="shared" si="118"/>
        <v>0.26270273934234745</v>
      </c>
      <c r="Z193" s="110">
        <f t="shared" si="118"/>
        <v>0.27476219876957697</v>
      </c>
      <c r="AA193" s="110">
        <f t="shared" si="118"/>
        <v>0.28649385766965713</v>
      </c>
      <c r="AB193" s="110">
        <f t="shared" si="118"/>
        <v>0.2978977160425878</v>
      </c>
      <c r="AC193" s="110">
        <f t="shared" si="118"/>
        <v>0.30897377388836911</v>
      </c>
      <c r="AD193" s="110">
        <f t="shared" si="118"/>
        <v>0.31972203120700093</v>
      </c>
      <c r="AE193" s="110">
        <f t="shared" si="118"/>
        <v>0.33014248799848334</v>
      </c>
      <c r="AF193" s="110">
        <f t="shared" si="118"/>
        <v>0.34023514426281631</v>
      </c>
      <c r="AG193" s="110">
        <f t="shared" si="118"/>
        <v>0.35</v>
      </c>
      <c r="AI193" s="134"/>
      <c r="AJ193" s="211"/>
      <c r="BD193" s="203"/>
      <c r="BE193" s="203"/>
    </row>
    <row r="194" spans="1:63" outlineLevel="1" x14ac:dyDescent="0.2">
      <c r="C194" s="110"/>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c r="AD194" s="23"/>
      <c r="AE194" s="23"/>
      <c r="AF194" s="23"/>
      <c r="AG194" s="23"/>
      <c r="AJ194" s="211"/>
    </row>
    <row r="195" spans="1:63" outlineLevel="1" x14ac:dyDescent="0.2">
      <c r="A195" t="s">
        <v>1441</v>
      </c>
      <c r="B195" s="54" t="s">
        <v>462</v>
      </c>
      <c r="C195" s="106">
        <v>0.5</v>
      </c>
      <c r="D195" s="110">
        <f>C195</f>
        <v>0.5</v>
      </c>
      <c r="E195" s="110">
        <f t="shared" ref="E195:AG195" si="119">D195</f>
        <v>0.5</v>
      </c>
      <c r="F195" s="110">
        <f t="shared" si="119"/>
        <v>0.5</v>
      </c>
      <c r="G195" s="110">
        <f t="shared" si="119"/>
        <v>0.5</v>
      </c>
      <c r="H195" s="110">
        <f t="shared" si="119"/>
        <v>0.5</v>
      </c>
      <c r="I195" s="110">
        <f t="shared" si="119"/>
        <v>0.5</v>
      </c>
      <c r="J195" s="110">
        <f t="shared" si="119"/>
        <v>0.5</v>
      </c>
      <c r="K195" s="110">
        <f t="shared" si="119"/>
        <v>0.5</v>
      </c>
      <c r="L195" s="110">
        <f t="shared" si="119"/>
        <v>0.5</v>
      </c>
      <c r="M195" s="110">
        <f t="shared" si="119"/>
        <v>0.5</v>
      </c>
      <c r="N195" s="110">
        <f t="shared" si="119"/>
        <v>0.5</v>
      </c>
      <c r="O195" s="110">
        <f t="shared" si="119"/>
        <v>0.5</v>
      </c>
      <c r="P195" s="110">
        <f t="shared" si="119"/>
        <v>0.5</v>
      </c>
      <c r="Q195" s="110">
        <f t="shared" si="119"/>
        <v>0.5</v>
      </c>
      <c r="R195" s="110">
        <f t="shared" si="119"/>
        <v>0.5</v>
      </c>
      <c r="S195" s="110">
        <f t="shared" si="119"/>
        <v>0.5</v>
      </c>
      <c r="T195" s="110">
        <f t="shared" si="119"/>
        <v>0.5</v>
      </c>
      <c r="U195" s="110">
        <f t="shared" si="119"/>
        <v>0.5</v>
      </c>
      <c r="V195" s="110">
        <f t="shared" si="119"/>
        <v>0.5</v>
      </c>
      <c r="W195" s="110">
        <f t="shared" si="119"/>
        <v>0.5</v>
      </c>
      <c r="X195" s="110">
        <f t="shared" si="119"/>
        <v>0.5</v>
      </c>
      <c r="Y195" s="110">
        <f t="shared" si="119"/>
        <v>0.5</v>
      </c>
      <c r="Z195" s="110">
        <f t="shared" si="119"/>
        <v>0.5</v>
      </c>
      <c r="AA195" s="110">
        <f t="shared" si="119"/>
        <v>0.5</v>
      </c>
      <c r="AB195" s="110">
        <f t="shared" si="119"/>
        <v>0.5</v>
      </c>
      <c r="AC195" s="110">
        <f t="shared" si="119"/>
        <v>0.5</v>
      </c>
      <c r="AD195" s="110">
        <f t="shared" si="119"/>
        <v>0.5</v>
      </c>
      <c r="AE195" s="110">
        <f t="shared" si="119"/>
        <v>0.5</v>
      </c>
      <c r="AF195" s="110">
        <f t="shared" si="119"/>
        <v>0.5</v>
      </c>
      <c r="AG195" s="110">
        <f t="shared" si="119"/>
        <v>0.5</v>
      </c>
      <c r="AI195" s="54"/>
      <c r="AJ195" s="211" t="s">
        <v>1457</v>
      </c>
    </row>
    <row r="196" spans="1:63" outlineLevel="1" x14ac:dyDescent="0.2">
      <c r="A196" t="s">
        <v>1445</v>
      </c>
      <c r="B196" s="54" t="s">
        <v>462</v>
      </c>
      <c r="C196" s="121">
        <f>1-C195</f>
        <v>0.5</v>
      </c>
      <c r="D196" s="110">
        <f t="shared" ref="D196:AG196" si="120">C196</f>
        <v>0.5</v>
      </c>
      <c r="E196" s="110">
        <f t="shared" si="120"/>
        <v>0.5</v>
      </c>
      <c r="F196" s="110">
        <f t="shared" si="120"/>
        <v>0.5</v>
      </c>
      <c r="G196" s="110">
        <f t="shared" si="120"/>
        <v>0.5</v>
      </c>
      <c r="H196" s="110">
        <f t="shared" si="120"/>
        <v>0.5</v>
      </c>
      <c r="I196" s="110">
        <f t="shared" si="120"/>
        <v>0.5</v>
      </c>
      <c r="J196" s="110">
        <f t="shared" si="120"/>
        <v>0.5</v>
      </c>
      <c r="K196" s="110">
        <f t="shared" si="120"/>
        <v>0.5</v>
      </c>
      <c r="L196" s="110">
        <f t="shared" si="120"/>
        <v>0.5</v>
      </c>
      <c r="M196" s="110">
        <f t="shared" si="120"/>
        <v>0.5</v>
      </c>
      <c r="N196" s="110">
        <f t="shared" si="120"/>
        <v>0.5</v>
      </c>
      <c r="O196" s="110">
        <f t="shared" si="120"/>
        <v>0.5</v>
      </c>
      <c r="P196" s="110">
        <f t="shared" si="120"/>
        <v>0.5</v>
      </c>
      <c r="Q196" s="110">
        <f t="shared" si="120"/>
        <v>0.5</v>
      </c>
      <c r="R196" s="110">
        <f t="shared" si="120"/>
        <v>0.5</v>
      </c>
      <c r="S196" s="110">
        <f t="shared" si="120"/>
        <v>0.5</v>
      </c>
      <c r="T196" s="110">
        <f t="shared" si="120"/>
        <v>0.5</v>
      </c>
      <c r="U196" s="110">
        <f t="shared" si="120"/>
        <v>0.5</v>
      </c>
      <c r="V196" s="110">
        <f t="shared" si="120"/>
        <v>0.5</v>
      </c>
      <c r="W196" s="110">
        <f t="shared" si="120"/>
        <v>0.5</v>
      </c>
      <c r="X196" s="110">
        <f t="shared" si="120"/>
        <v>0.5</v>
      </c>
      <c r="Y196" s="110">
        <f t="shared" si="120"/>
        <v>0.5</v>
      </c>
      <c r="Z196" s="110">
        <f t="shared" si="120"/>
        <v>0.5</v>
      </c>
      <c r="AA196" s="110">
        <f t="shared" si="120"/>
        <v>0.5</v>
      </c>
      <c r="AB196" s="110">
        <f t="shared" si="120"/>
        <v>0.5</v>
      </c>
      <c r="AC196" s="110">
        <f t="shared" si="120"/>
        <v>0.5</v>
      </c>
      <c r="AD196" s="110">
        <f t="shared" si="120"/>
        <v>0.5</v>
      </c>
      <c r="AE196" s="110">
        <f t="shared" si="120"/>
        <v>0.5</v>
      </c>
      <c r="AF196" s="110">
        <f t="shared" si="120"/>
        <v>0.5</v>
      </c>
      <c r="AG196" s="110">
        <f t="shared" si="120"/>
        <v>0.5</v>
      </c>
      <c r="AJ196" s="223"/>
    </row>
    <row r="197" spans="1:63" outlineLevel="1" x14ac:dyDescent="0.2">
      <c r="A197" t="s">
        <v>1268</v>
      </c>
      <c r="B197" s="54" t="s">
        <v>462</v>
      </c>
      <c r="C197" s="110">
        <f t="shared" ref="C197:AG197" si="121">SUM(C195:C196)</f>
        <v>1</v>
      </c>
      <c r="D197" s="110">
        <f t="shared" si="121"/>
        <v>1</v>
      </c>
      <c r="E197" s="110">
        <f t="shared" si="121"/>
        <v>1</v>
      </c>
      <c r="F197" s="110">
        <f t="shared" si="121"/>
        <v>1</v>
      </c>
      <c r="G197" s="110">
        <f t="shared" si="121"/>
        <v>1</v>
      </c>
      <c r="H197" s="110">
        <f t="shared" si="121"/>
        <v>1</v>
      </c>
      <c r="I197" s="110">
        <f t="shared" si="121"/>
        <v>1</v>
      </c>
      <c r="J197" s="110">
        <f t="shared" si="121"/>
        <v>1</v>
      </c>
      <c r="K197" s="110">
        <f t="shared" si="121"/>
        <v>1</v>
      </c>
      <c r="L197" s="110">
        <f t="shared" si="121"/>
        <v>1</v>
      </c>
      <c r="M197" s="110">
        <f t="shared" si="121"/>
        <v>1</v>
      </c>
      <c r="N197" s="110">
        <f t="shared" si="121"/>
        <v>1</v>
      </c>
      <c r="O197" s="110">
        <f t="shared" si="121"/>
        <v>1</v>
      </c>
      <c r="P197" s="110">
        <f t="shared" si="121"/>
        <v>1</v>
      </c>
      <c r="Q197" s="110">
        <f t="shared" si="121"/>
        <v>1</v>
      </c>
      <c r="R197" s="110">
        <f t="shared" si="121"/>
        <v>1</v>
      </c>
      <c r="S197" s="110">
        <f t="shared" si="121"/>
        <v>1</v>
      </c>
      <c r="T197" s="110">
        <f t="shared" si="121"/>
        <v>1</v>
      </c>
      <c r="U197" s="110">
        <f t="shared" si="121"/>
        <v>1</v>
      </c>
      <c r="V197" s="110">
        <f t="shared" si="121"/>
        <v>1</v>
      </c>
      <c r="W197" s="110">
        <f t="shared" si="121"/>
        <v>1</v>
      </c>
      <c r="X197" s="110">
        <f t="shared" si="121"/>
        <v>1</v>
      </c>
      <c r="Y197" s="110">
        <f t="shared" si="121"/>
        <v>1</v>
      </c>
      <c r="Z197" s="110">
        <f t="shared" si="121"/>
        <v>1</v>
      </c>
      <c r="AA197" s="110">
        <f t="shared" si="121"/>
        <v>1</v>
      </c>
      <c r="AB197" s="110">
        <f t="shared" si="121"/>
        <v>1</v>
      </c>
      <c r="AC197" s="110">
        <f t="shared" si="121"/>
        <v>1</v>
      </c>
      <c r="AD197" s="110">
        <f t="shared" si="121"/>
        <v>1</v>
      </c>
      <c r="AE197" s="110">
        <f t="shared" si="121"/>
        <v>1</v>
      </c>
      <c r="AF197" s="110">
        <f t="shared" si="121"/>
        <v>1</v>
      </c>
      <c r="AG197" s="110">
        <f t="shared" si="121"/>
        <v>1</v>
      </c>
      <c r="AH197" s="131"/>
      <c r="AI197" s="54"/>
      <c r="AJ197" s="223"/>
    </row>
    <row r="198" spans="1:63" outlineLevel="1" x14ac:dyDescent="0.2">
      <c r="C198" s="214"/>
      <c r="D198" s="110"/>
      <c r="E198" s="110"/>
      <c r="F198" s="110"/>
      <c r="G198" s="110"/>
      <c r="H198" s="110"/>
      <c r="I198" s="110"/>
      <c r="J198" s="110"/>
      <c r="K198" s="110"/>
      <c r="L198" s="110"/>
      <c r="M198" s="110"/>
      <c r="N198" s="110"/>
      <c r="O198" s="110"/>
      <c r="P198" s="110"/>
      <c r="Q198" s="110"/>
      <c r="R198" s="110"/>
      <c r="S198" s="110"/>
      <c r="T198" s="110"/>
      <c r="U198" s="110"/>
      <c r="V198" s="110"/>
      <c r="W198" s="110"/>
      <c r="X198" s="110"/>
      <c r="Y198" s="110"/>
      <c r="Z198" s="110"/>
      <c r="AA198" s="110"/>
      <c r="AB198" s="110"/>
      <c r="AC198" s="110"/>
      <c r="AD198" s="110"/>
      <c r="AE198" s="110"/>
      <c r="AF198" s="110"/>
      <c r="AG198" s="110"/>
      <c r="AH198" s="131"/>
      <c r="AI198" s="131"/>
      <c r="AJ198" s="223"/>
    </row>
    <row r="199" spans="1:63" outlineLevel="1" x14ac:dyDescent="0.2">
      <c r="A199" t="s">
        <v>1345</v>
      </c>
      <c r="B199" s="54" t="s">
        <v>462</v>
      </c>
      <c r="C199" s="110">
        <f>C195*C193</f>
        <v>6.1749999999999999E-2</v>
      </c>
      <c r="D199" s="110">
        <f t="shared" ref="D199:AG199" si="122">D195*D193</f>
        <v>6.3834226643672679E-2</v>
      </c>
      <c r="E199" s="110">
        <f t="shared" si="122"/>
        <v>6.5871977299551743E-2</v>
      </c>
      <c r="F199" s="110">
        <f t="shared" si="122"/>
        <v>6.7863251967637192E-2</v>
      </c>
      <c r="G199" s="110">
        <f t="shared" si="122"/>
        <v>6.9808050647929012E-2</v>
      </c>
      <c r="H199" s="110">
        <f t="shared" si="122"/>
        <v>7.1706373340427218E-2</v>
      </c>
      <c r="I199" s="110">
        <f t="shared" si="122"/>
        <v>7.3558220045131822E-2</v>
      </c>
      <c r="J199" s="110">
        <f t="shared" si="122"/>
        <v>7.5363590762042812E-2</v>
      </c>
      <c r="K199" s="110">
        <f t="shared" si="122"/>
        <v>7.7122485491160159E-2</v>
      </c>
      <c r="L199" s="110">
        <f t="shared" si="122"/>
        <v>7.8834904232483904E-2</v>
      </c>
      <c r="M199" s="110">
        <f t="shared" si="122"/>
        <v>8.0500846986014035E-2</v>
      </c>
      <c r="N199" s="110">
        <f t="shared" si="122"/>
        <v>8.4771590101577185E-2</v>
      </c>
      <c r="O199" s="110">
        <f t="shared" si="122"/>
        <v>8.8944376135175293E-2</v>
      </c>
      <c r="P199" s="110">
        <f t="shared" si="122"/>
        <v>9.3019205086808429E-2</v>
      </c>
      <c r="Q199" s="110">
        <f t="shared" si="122"/>
        <v>9.6996076956476551E-2</v>
      </c>
      <c r="R199" s="110">
        <f t="shared" si="122"/>
        <v>0.10087499174417963</v>
      </c>
      <c r="S199" s="110">
        <f t="shared" si="122"/>
        <v>0.10465594944991773</v>
      </c>
      <c r="T199" s="110">
        <f t="shared" si="122"/>
        <v>0.10833895007369085</v>
      </c>
      <c r="U199" s="110">
        <f t="shared" si="122"/>
        <v>0.11192399361549893</v>
      </c>
      <c r="V199" s="110">
        <f t="shared" si="122"/>
        <v>0.11541108007534202</v>
      </c>
      <c r="W199" s="110">
        <f t="shared" si="122"/>
        <v>0.11880020945322008</v>
      </c>
      <c r="X199" s="110">
        <f t="shared" si="122"/>
        <v>0.12515773969398425</v>
      </c>
      <c r="Y199" s="110">
        <f t="shared" si="122"/>
        <v>0.13135136967117372</v>
      </c>
      <c r="Z199" s="110">
        <f t="shared" si="122"/>
        <v>0.13738109938478849</v>
      </c>
      <c r="AA199" s="110">
        <f t="shared" si="122"/>
        <v>0.14324692883482856</v>
      </c>
      <c r="AB199" s="110">
        <f t="shared" si="122"/>
        <v>0.1489488580212939</v>
      </c>
      <c r="AC199" s="110">
        <f t="shared" si="122"/>
        <v>0.15448688694418455</v>
      </c>
      <c r="AD199" s="110">
        <f t="shared" si="122"/>
        <v>0.15986101560350047</v>
      </c>
      <c r="AE199" s="110">
        <f t="shared" si="122"/>
        <v>0.16507124399924167</v>
      </c>
      <c r="AF199" s="110">
        <f t="shared" si="122"/>
        <v>0.17011757213140816</v>
      </c>
      <c r="AG199" s="110">
        <f t="shared" si="122"/>
        <v>0.17499999999999999</v>
      </c>
      <c r="AH199" s="131"/>
      <c r="AI199" s="131"/>
      <c r="AJ199" s="211"/>
    </row>
    <row r="200" spans="1:63" outlineLevel="1" x14ac:dyDescent="0.2">
      <c r="A200" t="s">
        <v>1346</v>
      </c>
      <c r="B200" s="54" t="s">
        <v>462</v>
      </c>
      <c r="C200" s="110">
        <f>C193*C196</f>
        <v>6.1749999999999999E-2</v>
      </c>
      <c r="D200" s="110">
        <f t="shared" ref="D200:AG200" si="123">D193*D196</f>
        <v>6.3834226643672679E-2</v>
      </c>
      <c r="E200" s="110">
        <f t="shared" si="123"/>
        <v>6.5871977299551743E-2</v>
      </c>
      <c r="F200" s="110">
        <f t="shared" si="123"/>
        <v>6.7863251967637192E-2</v>
      </c>
      <c r="G200" s="110">
        <f t="shared" si="123"/>
        <v>6.9808050647929012E-2</v>
      </c>
      <c r="H200" s="110">
        <f t="shared" si="123"/>
        <v>7.1706373340427218E-2</v>
      </c>
      <c r="I200" s="110">
        <f t="shared" si="123"/>
        <v>7.3558220045131822E-2</v>
      </c>
      <c r="J200" s="110">
        <f t="shared" si="123"/>
        <v>7.5363590762042812E-2</v>
      </c>
      <c r="K200" s="110">
        <f t="shared" si="123"/>
        <v>7.7122485491160159E-2</v>
      </c>
      <c r="L200" s="110">
        <f t="shared" si="123"/>
        <v>7.8834904232483904E-2</v>
      </c>
      <c r="M200" s="110">
        <f t="shared" si="123"/>
        <v>8.0500846986014035E-2</v>
      </c>
      <c r="N200" s="110">
        <f t="shared" si="123"/>
        <v>8.4771590101577185E-2</v>
      </c>
      <c r="O200" s="110">
        <f t="shared" si="123"/>
        <v>8.8944376135175293E-2</v>
      </c>
      <c r="P200" s="110">
        <f t="shared" si="123"/>
        <v>9.3019205086808429E-2</v>
      </c>
      <c r="Q200" s="110">
        <f t="shared" si="123"/>
        <v>9.6996076956476551E-2</v>
      </c>
      <c r="R200" s="110">
        <f t="shared" si="123"/>
        <v>0.10087499174417963</v>
      </c>
      <c r="S200" s="110">
        <f t="shared" si="123"/>
        <v>0.10465594944991773</v>
      </c>
      <c r="T200" s="110">
        <f t="shared" si="123"/>
        <v>0.10833895007369085</v>
      </c>
      <c r="U200" s="110">
        <f t="shared" si="123"/>
        <v>0.11192399361549893</v>
      </c>
      <c r="V200" s="110">
        <f t="shared" si="123"/>
        <v>0.11541108007534202</v>
      </c>
      <c r="W200" s="110">
        <f t="shared" si="123"/>
        <v>0.11880020945322008</v>
      </c>
      <c r="X200" s="110">
        <f t="shared" si="123"/>
        <v>0.12515773969398425</v>
      </c>
      <c r="Y200" s="110">
        <f t="shared" si="123"/>
        <v>0.13135136967117372</v>
      </c>
      <c r="Z200" s="110">
        <f t="shared" si="123"/>
        <v>0.13738109938478849</v>
      </c>
      <c r="AA200" s="110">
        <f t="shared" si="123"/>
        <v>0.14324692883482856</v>
      </c>
      <c r="AB200" s="110">
        <f t="shared" si="123"/>
        <v>0.1489488580212939</v>
      </c>
      <c r="AC200" s="110">
        <f t="shared" si="123"/>
        <v>0.15448688694418455</v>
      </c>
      <c r="AD200" s="110">
        <f t="shared" si="123"/>
        <v>0.15986101560350047</v>
      </c>
      <c r="AE200" s="110">
        <f t="shared" si="123"/>
        <v>0.16507124399924167</v>
      </c>
      <c r="AF200" s="110">
        <f t="shared" si="123"/>
        <v>0.17011757213140816</v>
      </c>
      <c r="AG200" s="110">
        <f t="shared" si="123"/>
        <v>0.17499999999999999</v>
      </c>
      <c r="AJ200" s="211"/>
    </row>
    <row r="201" spans="1:63" outlineLevel="1" x14ac:dyDescent="0.2">
      <c r="C201" s="110"/>
      <c r="D201" s="110"/>
      <c r="E201" s="110"/>
      <c r="F201" s="110"/>
      <c r="G201" s="110"/>
      <c r="H201" s="110"/>
      <c r="I201" s="110"/>
      <c r="J201" s="110"/>
      <c r="K201" s="110"/>
      <c r="L201" s="110"/>
      <c r="M201" s="110"/>
      <c r="N201" s="110"/>
      <c r="O201" s="110"/>
      <c r="P201" s="110"/>
      <c r="Q201" s="110"/>
      <c r="R201" s="110"/>
      <c r="S201" s="110"/>
      <c r="T201" s="110"/>
      <c r="U201" s="110"/>
      <c r="V201" s="110"/>
      <c r="W201" s="110"/>
      <c r="X201" s="110"/>
      <c r="Y201" s="110"/>
      <c r="Z201" s="110"/>
      <c r="AA201" s="110"/>
      <c r="AB201" s="110"/>
      <c r="AC201" s="110"/>
      <c r="AD201" s="110"/>
      <c r="AE201" s="110"/>
      <c r="AF201" s="110"/>
      <c r="AG201" s="110"/>
      <c r="AJ201" s="211"/>
    </row>
    <row r="202" spans="1:63" outlineLevel="1" x14ac:dyDescent="0.2">
      <c r="A202" t="s">
        <v>1621</v>
      </c>
      <c r="C202" s="230">
        <f>('Overall recycling rates'!F87*'Yearly BTX'!D5+'Overall recycling rates'!G87*'Yearly BTX'!D6+'Overall recycling rates'!H87*'Yearly BTX'!D7)/'Yearly BTX'!D4</f>
        <v>0.99999999999999989</v>
      </c>
      <c r="D202" s="230">
        <f>C202-($C202-$AG202)/($AG$1-$C$1)</f>
        <v>0.99999999999999989</v>
      </c>
      <c r="E202" s="230">
        <f t="shared" ref="E202:AF202" si="124">D202-($C202-$AG202)/($AG$1-$C$1)</f>
        <v>0.99999999999999989</v>
      </c>
      <c r="F202" s="230">
        <f t="shared" si="124"/>
        <v>0.99999999999999989</v>
      </c>
      <c r="G202" s="230">
        <f t="shared" si="124"/>
        <v>0.99999999999999989</v>
      </c>
      <c r="H202" s="230">
        <f t="shared" si="124"/>
        <v>0.99999999999999989</v>
      </c>
      <c r="I202" s="230">
        <f t="shared" si="124"/>
        <v>0.99999999999999989</v>
      </c>
      <c r="J202" s="230">
        <f t="shared" si="124"/>
        <v>0.99999999999999989</v>
      </c>
      <c r="K202" s="230">
        <f t="shared" si="124"/>
        <v>0.99999999999999989</v>
      </c>
      <c r="L202" s="230">
        <f t="shared" si="124"/>
        <v>0.99999999999999989</v>
      </c>
      <c r="M202" s="230">
        <f t="shared" si="124"/>
        <v>0.99999999999999989</v>
      </c>
      <c r="N202" s="230">
        <f t="shared" si="124"/>
        <v>0.99999999999999989</v>
      </c>
      <c r="O202" s="230">
        <f t="shared" si="124"/>
        <v>0.99999999999999989</v>
      </c>
      <c r="P202" s="230">
        <f t="shared" si="124"/>
        <v>0.99999999999999989</v>
      </c>
      <c r="Q202" s="230">
        <f t="shared" si="124"/>
        <v>0.99999999999999989</v>
      </c>
      <c r="R202" s="230">
        <f t="shared" si="124"/>
        <v>0.99999999999999989</v>
      </c>
      <c r="S202" s="230">
        <f t="shared" si="124"/>
        <v>0.99999999999999989</v>
      </c>
      <c r="T202" s="230">
        <f t="shared" si="124"/>
        <v>0.99999999999999989</v>
      </c>
      <c r="U202" s="230">
        <f t="shared" si="124"/>
        <v>0.99999999999999989</v>
      </c>
      <c r="V202" s="230">
        <f t="shared" si="124"/>
        <v>0.99999999999999989</v>
      </c>
      <c r="W202" s="230">
        <f t="shared" si="124"/>
        <v>0.99999999999999989</v>
      </c>
      <c r="X202" s="230">
        <f t="shared" si="124"/>
        <v>0.99999999999999989</v>
      </c>
      <c r="Y202" s="230">
        <f t="shared" si="124"/>
        <v>0.99999999999999989</v>
      </c>
      <c r="Z202" s="230">
        <f t="shared" si="124"/>
        <v>0.99999999999999989</v>
      </c>
      <c r="AA202" s="230">
        <f t="shared" si="124"/>
        <v>0.99999999999999989</v>
      </c>
      <c r="AB202" s="230">
        <f t="shared" si="124"/>
        <v>0.99999999999999989</v>
      </c>
      <c r="AC202" s="230">
        <f t="shared" si="124"/>
        <v>0.99999999999999989</v>
      </c>
      <c r="AD202" s="230">
        <f t="shared" si="124"/>
        <v>0.99999999999999989</v>
      </c>
      <c r="AE202" s="230">
        <f t="shared" si="124"/>
        <v>0.99999999999999989</v>
      </c>
      <c r="AF202" s="230">
        <f t="shared" si="124"/>
        <v>0.99999999999999989</v>
      </c>
      <c r="AG202" s="230">
        <f>'Overall recycling rates'!F96</f>
        <v>1</v>
      </c>
      <c r="AI202" s="133"/>
      <c r="AJ202" s="211" t="s">
        <v>1571</v>
      </c>
      <c r="AL202" s="108"/>
      <c r="AM202" s="207"/>
      <c r="AN202" s="207"/>
      <c r="AO202" s="207"/>
      <c r="BC202" s="1"/>
      <c r="BD202" s="207"/>
      <c r="BE202" s="207"/>
      <c r="BF202" s="207"/>
      <c r="BG202" s="207"/>
      <c r="BH202" s="207"/>
      <c r="BI202" s="207"/>
      <c r="BJ202" s="207"/>
      <c r="BK202" s="207"/>
    </row>
    <row r="203" spans="1:63" outlineLevel="1" x14ac:dyDescent="0.2">
      <c r="A203" t="s">
        <v>1629</v>
      </c>
      <c r="B203" s="54" t="s">
        <v>462</v>
      </c>
      <c r="C203" s="110">
        <f>C192*C$202</f>
        <v>6.4999999999999997E-3</v>
      </c>
      <c r="D203" s="110">
        <f>D192*D$139</f>
        <v>5.6767770030473966E-3</v>
      </c>
      <c r="E203" s="110">
        <f t="shared" ref="E203:AG203" si="125">E192*E$139</f>
        <v>6.8462002654825025E-3</v>
      </c>
      <c r="F203" s="110">
        <f t="shared" si="125"/>
        <v>8.1133782070939454E-3</v>
      </c>
      <c r="G203" s="110">
        <f t="shared" si="125"/>
        <v>9.4810244610119502E-3</v>
      </c>
      <c r="H203" s="110">
        <f t="shared" si="125"/>
        <v>1.0951852660366742E-2</v>
      </c>
      <c r="I203" s="110">
        <f t="shared" si="125"/>
        <v>1.2528576438288551E-2</v>
      </c>
      <c r="J203" s="110">
        <f t="shared" si="125"/>
        <v>1.4213909427907604E-2</v>
      </c>
      <c r="K203" s="110">
        <f t="shared" si="125"/>
        <v>1.6010565262354125E-2</v>
      </c>
      <c r="L203" s="110">
        <f t="shared" si="125"/>
        <v>1.7921257574758338E-2</v>
      </c>
      <c r="M203" s="110">
        <f t="shared" si="125"/>
        <v>1.9948699998250476E-2</v>
      </c>
      <c r="N203" s="110">
        <f t="shared" si="125"/>
        <v>2.2808968735908892E-2</v>
      </c>
      <c r="O203" s="110">
        <f t="shared" si="125"/>
        <v>2.5893375082410377E-2</v>
      </c>
      <c r="P203" s="110">
        <f t="shared" si="125"/>
        <v>2.9207638541429413E-2</v>
      </c>
      <c r="Q203" s="110">
        <f t="shared" si="125"/>
        <v>3.2757478616640481E-2</v>
      </c>
      <c r="R203" s="110">
        <f t="shared" si="125"/>
        <v>3.6548614811718054E-2</v>
      </c>
      <c r="S203" s="110">
        <f t="shared" si="125"/>
        <v>4.0586766630336606E-2</v>
      </c>
      <c r="T203" s="110">
        <f t="shared" si="125"/>
        <v>4.4877653576170642E-2</v>
      </c>
      <c r="U203" s="110">
        <f t="shared" si="125"/>
        <v>4.9426995152894601E-2</v>
      </c>
      <c r="V203" s="110">
        <f t="shared" si="125"/>
        <v>5.4240510864182981E-2</v>
      </c>
      <c r="W203" s="110">
        <f t="shared" si="125"/>
        <v>5.9323920213710253E-2</v>
      </c>
      <c r="X203" s="110">
        <f t="shared" si="125"/>
        <v>6.6307472237201168E-2</v>
      </c>
      <c r="Y203" s="110">
        <f t="shared" si="125"/>
        <v>7.3728628381078118E-2</v>
      </c>
      <c r="Z203" s="110">
        <f t="shared" si="125"/>
        <v>8.1596958429791186E-2</v>
      </c>
      <c r="AA203" s="110">
        <f t="shared" si="125"/>
        <v>8.9922032167790433E-2</v>
      </c>
      <c r="AB203" s="110">
        <f t="shared" si="125"/>
        <v>9.8713419379525935E-2</v>
      </c>
      <c r="AC203" s="110">
        <f t="shared" si="125"/>
        <v>0.10798068984944778</v>
      </c>
      <c r="AD203" s="110">
        <f t="shared" si="125"/>
        <v>0.11773341336200605</v>
      </c>
      <c r="AE203" s="110">
        <f t="shared" si="125"/>
        <v>0.1279811597016508</v>
      </c>
      <c r="AF203" s="110">
        <f t="shared" si="125"/>
        <v>0.13873349865283208</v>
      </c>
      <c r="AG203" s="110">
        <f t="shared" si="125"/>
        <v>0.15</v>
      </c>
      <c r="AI203" s="133"/>
      <c r="AJ203"/>
      <c r="AL203" s="108"/>
      <c r="AM203" s="2"/>
      <c r="AN203" s="2"/>
      <c r="AO203" s="2"/>
      <c r="AV203" s="41"/>
    </row>
    <row r="204" spans="1:63" outlineLevel="1" x14ac:dyDescent="0.2">
      <c r="A204" t="s">
        <v>1630</v>
      </c>
      <c r="B204" s="54" t="s">
        <v>462</v>
      </c>
      <c r="C204" s="110">
        <f>C193*C$202</f>
        <v>0.12349999999999998</v>
      </c>
      <c r="D204" s="110">
        <f t="shared" ref="D204:AG204" si="126">D190*D$139</f>
        <v>4.1871202636395509E-2</v>
      </c>
      <c r="E204" s="110">
        <f t="shared" si="126"/>
        <v>4.8501556932114581E-2</v>
      </c>
      <c r="F204" s="110">
        <f t="shared" si="126"/>
        <v>5.5294099707606445E-2</v>
      </c>
      <c r="G204" s="110">
        <f t="shared" si="126"/>
        <v>6.2248830962871093E-2</v>
      </c>
      <c r="H204" s="110">
        <f t="shared" si="126"/>
        <v>6.9365750697908526E-2</v>
      </c>
      <c r="I204" s="110">
        <f t="shared" si="126"/>
        <v>7.6644858912718744E-2</v>
      </c>
      <c r="J204" s="110">
        <f t="shared" si="126"/>
        <v>8.4086155607301746E-2</v>
      </c>
      <c r="K204" s="110">
        <f t="shared" si="126"/>
        <v>9.1689640781657547E-2</v>
      </c>
      <c r="L204" s="110">
        <f t="shared" si="126"/>
        <v>9.9455314435786119E-2</v>
      </c>
      <c r="M204" s="110">
        <f t="shared" si="126"/>
        <v>0.1073831765696875</v>
      </c>
      <c r="N204" s="110">
        <f t="shared" si="126"/>
        <v>0.11547322718336166</v>
      </c>
      <c r="O204" s="110">
        <f t="shared" si="126"/>
        <v>0.12372546627680858</v>
      </c>
      <c r="P204" s="110">
        <f t="shared" si="126"/>
        <v>0.13213989385002831</v>
      </c>
      <c r="Q204" s="110">
        <f t="shared" si="126"/>
        <v>0.14071650990302081</v>
      </c>
      <c r="R204" s="110">
        <f t="shared" si="126"/>
        <v>0.14945531443578614</v>
      </c>
      <c r="S204" s="110">
        <f t="shared" si="126"/>
        <v>0.15835630744832421</v>
      </c>
      <c r="T204" s="110">
        <f t="shared" si="126"/>
        <v>0.16741948894063508</v>
      </c>
      <c r="U204" s="110">
        <f t="shared" si="126"/>
        <v>0.17664485891271872</v>
      </c>
      <c r="V204" s="110">
        <f t="shared" si="126"/>
        <v>0.18603241736457518</v>
      </c>
      <c r="W204" s="110">
        <f t="shared" si="126"/>
        <v>0.1955821642962044</v>
      </c>
      <c r="X204" s="110">
        <f t="shared" si="126"/>
        <v>0.20529409970760643</v>
      </c>
      <c r="Y204" s="110">
        <f t="shared" si="126"/>
        <v>0.21516822359878124</v>
      </c>
      <c r="Z204" s="110">
        <f t="shared" si="126"/>
        <v>0.22520453596972881</v>
      </c>
      <c r="AA204" s="110">
        <f t="shared" si="126"/>
        <v>0.23540303682044919</v>
      </c>
      <c r="AB204" s="110">
        <f t="shared" si="126"/>
        <v>0.24576372615094236</v>
      </c>
      <c r="AC204" s="110">
        <f t="shared" si="126"/>
        <v>0.25628660396120834</v>
      </c>
      <c r="AD204" s="110">
        <f t="shared" si="126"/>
        <v>0.26697167025124707</v>
      </c>
      <c r="AE204" s="110">
        <f t="shared" si="126"/>
        <v>0.27781892502105865</v>
      </c>
      <c r="AF204" s="110">
        <f t="shared" si="126"/>
        <v>0.28882836827064295</v>
      </c>
      <c r="AG204" s="110">
        <f t="shared" si="126"/>
        <v>0.3</v>
      </c>
      <c r="AH204" s="245"/>
      <c r="AI204" s="133"/>
      <c r="AJ204" s="211"/>
      <c r="AL204" s="108"/>
      <c r="AM204" s="2"/>
      <c r="AN204" s="2"/>
      <c r="AO204" s="2"/>
      <c r="AV204" s="41"/>
    </row>
    <row r="205" spans="1:63" outlineLevel="1" x14ac:dyDescent="0.2">
      <c r="A205" t="s">
        <v>1631</v>
      </c>
      <c r="B205" s="176" t="s">
        <v>462</v>
      </c>
      <c r="C205" s="110">
        <f>SUM(C203:C204)</f>
        <v>0.12999999999999998</v>
      </c>
      <c r="D205" s="110">
        <f t="shared" ref="D205:AG205" si="127">SUM(D203:D204)</f>
        <v>4.7547979639442906E-2</v>
      </c>
      <c r="E205" s="110">
        <f t="shared" si="127"/>
        <v>5.5347757197597082E-2</v>
      </c>
      <c r="F205" s="110">
        <f t="shared" si="127"/>
        <v>6.3407477914700389E-2</v>
      </c>
      <c r="G205" s="110">
        <f t="shared" si="127"/>
        <v>7.1729855423883049E-2</v>
      </c>
      <c r="H205" s="110">
        <f t="shared" si="127"/>
        <v>8.0317603358275272E-2</v>
      </c>
      <c r="I205" s="110">
        <f t="shared" si="127"/>
        <v>8.9173435351007302E-2</v>
      </c>
      <c r="J205" s="110">
        <f t="shared" si="127"/>
        <v>9.8300065035209355E-2</v>
      </c>
      <c r="K205" s="110">
        <f t="shared" si="127"/>
        <v>0.10770020604401168</v>
      </c>
      <c r="L205" s="110">
        <f t="shared" si="127"/>
        <v>0.11737657201054445</v>
      </c>
      <c r="M205" s="110">
        <f t="shared" si="127"/>
        <v>0.12733187656793798</v>
      </c>
      <c r="N205" s="110">
        <f t="shared" si="127"/>
        <v>0.13828219591927055</v>
      </c>
      <c r="O205" s="110">
        <f t="shared" si="127"/>
        <v>0.14961884135921896</v>
      </c>
      <c r="P205" s="110">
        <f t="shared" si="127"/>
        <v>0.16134753239145772</v>
      </c>
      <c r="Q205" s="110">
        <f t="shared" si="127"/>
        <v>0.17347398851966128</v>
      </c>
      <c r="R205" s="110">
        <f t="shared" si="127"/>
        <v>0.1860039292475042</v>
      </c>
      <c r="S205" s="110">
        <f t="shared" si="127"/>
        <v>0.19894307407866083</v>
      </c>
      <c r="T205" s="110">
        <f t="shared" si="127"/>
        <v>0.2122971425168057</v>
      </c>
      <c r="U205" s="110">
        <f t="shared" si="127"/>
        <v>0.22607185406561331</v>
      </c>
      <c r="V205" s="110">
        <f t="shared" si="127"/>
        <v>0.24027292822875818</v>
      </c>
      <c r="W205" s="110">
        <f t="shared" si="127"/>
        <v>0.25490608450991464</v>
      </c>
      <c r="X205" s="110">
        <f t="shared" si="127"/>
        <v>0.27160157194480761</v>
      </c>
      <c r="Y205" s="110">
        <f t="shared" si="127"/>
        <v>0.28889685197985937</v>
      </c>
      <c r="Z205" s="110">
        <f t="shared" si="127"/>
        <v>0.30680149439951998</v>
      </c>
      <c r="AA205" s="110">
        <f t="shared" si="127"/>
        <v>0.32532506898823965</v>
      </c>
      <c r="AB205" s="110">
        <f t="shared" si="127"/>
        <v>0.34447714553046827</v>
      </c>
      <c r="AC205" s="110">
        <f t="shared" si="127"/>
        <v>0.36426729381065615</v>
      </c>
      <c r="AD205" s="110">
        <f t="shared" si="127"/>
        <v>0.38470508361325312</v>
      </c>
      <c r="AE205" s="110">
        <f t="shared" si="127"/>
        <v>0.40580008472270945</v>
      </c>
      <c r="AF205" s="110">
        <f t="shared" si="127"/>
        <v>0.42756186692347503</v>
      </c>
      <c r="AG205" s="110">
        <f t="shared" si="127"/>
        <v>0.44999999999999996</v>
      </c>
      <c r="AI205" s="133"/>
      <c r="AJ205" s="211"/>
      <c r="AL205" s="108"/>
      <c r="AM205" s="2"/>
      <c r="AN205" s="2"/>
      <c r="AO205" s="2"/>
    </row>
    <row r="206" spans="1:63" outlineLevel="1" x14ac:dyDescent="0.2">
      <c r="A206" t="s">
        <v>1635</v>
      </c>
      <c r="B206" s="54" t="s">
        <v>462</v>
      </c>
      <c r="C206" s="110">
        <f>C195*C204</f>
        <v>6.1749999999999992E-2</v>
      </c>
      <c r="D206" s="110">
        <f t="shared" ref="D206:AG206" si="128">D192*D204</f>
        <v>3.3114532517776484E-4</v>
      </c>
      <c r="E206" s="110">
        <f t="shared" si="128"/>
        <v>4.5641335103216679E-4</v>
      </c>
      <c r="F206" s="110">
        <f t="shared" si="128"/>
        <v>6.0850336553204597E-4</v>
      </c>
      <c r="G206" s="110">
        <f t="shared" si="128"/>
        <v>7.9008537175099581E-4</v>
      </c>
      <c r="H206" s="110">
        <f t="shared" si="128"/>
        <v>1.0039198272002847E-3</v>
      </c>
      <c r="I206" s="110">
        <f t="shared" si="128"/>
        <v>1.252857643828855E-3</v>
      </c>
      <c r="J206" s="110">
        <f t="shared" si="128"/>
        <v>1.5398401880233237E-3</v>
      </c>
      <c r="K206" s="110">
        <f t="shared" si="128"/>
        <v>1.867899280607981E-3</v>
      </c>
      <c r="L206" s="110">
        <f t="shared" si="128"/>
        <v>2.2401571968447918E-3</v>
      </c>
      <c r="M206" s="110">
        <f t="shared" si="128"/>
        <v>2.6598266664333969E-3</v>
      </c>
      <c r="N206" s="110">
        <f t="shared" si="128"/>
        <v>3.2312705709204264E-3</v>
      </c>
      <c r="O206" s="110">
        <f t="shared" si="128"/>
        <v>3.8840062623615563E-3</v>
      </c>
      <c r="P206" s="110">
        <f t="shared" si="128"/>
        <v>4.6245427690596568E-3</v>
      </c>
      <c r="Q206" s="110">
        <f t="shared" si="128"/>
        <v>5.4595797694400794E-3</v>
      </c>
      <c r="R206" s="110">
        <f t="shared" si="128"/>
        <v>6.3960075920506598E-3</v>
      </c>
      <c r="S206" s="110">
        <f t="shared" si="128"/>
        <v>7.4409072155617109E-3</v>
      </c>
      <c r="T206" s="110">
        <f t="shared" si="128"/>
        <v>8.6015502687660384E-3</v>
      </c>
      <c r="U206" s="110">
        <f t="shared" si="128"/>
        <v>9.8853990305789192E-3</v>
      </c>
      <c r="V206" s="110">
        <f t="shared" si="128"/>
        <v>1.130010643003812E-2</v>
      </c>
      <c r="W206" s="110">
        <f t="shared" si="128"/>
        <v>1.2853516046303887E-2</v>
      </c>
      <c r="X206" s="110">
        <f t="shared" si="128"/>
        <v>1.4919181253370261E-2</v>
      </c>
      <c r="Y206" s="110">
        <f t="shared" si="128"/>
        <v>1.7203346622251561E-2</v>
      </c>
      <c r="Z206" s="110">
        <f t="shared" si="128"/>
        <v>1.9719264953866202E-2</v>
      </c>
      <c r="AA206" s="110">
        <f t="shared" si="128"/>
        <v>2.2480508041947605E-2</v>
      </c>
      <c r="AB206" s="110">
        <f t="shared" si="128"/>
        <v>2.5500966673044197E-2</v>
      </c>
      <c r="AC206" s="110">
        <f t="shared" si="128"/>
        <v>2.879485062651941E-2</v>
      </c>
      <c r="AD206" s="110">
        <f t="shared" si="128"/>
        <v>3.2376688674551665E-2</v>
      </c>
      <c r="AE206" s="110">
        <f t="shared" si="128"/>
        <v>3.6261328582134406E-2</v>
      </c>
      <c r="AF206" s="110">
        <f t="shared" si="128"/>
        <v>4.0463937107076034E-2</v>
      </c>
      <c r="AG206" s="110">
        <f t="shared" si="128"/>
        <v>4.4999999999999998E-2</v>
      </c>
      <c r="AI206" s="133"/>
      <c r="AJ206" s="211"/>
      <c r="BD206" s="203"/>
      <c r="BE206" s="203"/>
    </row>
    <row r="207" spans="1:63" outlineLevel="1" x14ac:dyDescent="0.2">
      <c r="A207" t="s">
        <v>1636</v>
      </c>
      <c r="B207" s="54" t="s">
        <v>462</v>
      </c>
      <c r="C207" s="110">
        <f>C196*C204</f>
        <v>6.1749999999999992E-2</v>
      </c>
      <c r="D207" s="110">
        <f t="shared" ref="D207:AG207" si="129">D194*D204</f>
        <v>0</v>
      </c>
      <c r="E207" s="110">
        <f t="shared" si="129"/>
        <v>0</v>
      </c>
      <c r="F207" s="110">
        <f t="shared" si="129"/>
        <v>0</v>
      </c>
      <c r="G207" s="110">
        <f t="shared" si="129"/>
        <v>0</v>
      </c>
      <c r="H207" s="110">
        <f t="shared" si="129"/>
        <v>0</v>
      </c>
      <c r="I207" s="110">
        <f t="shared" si="129"/>
        <v>0</v>
      </c>
      <c r="J207" s="110">
        <f t="shared" si="129"/>
        <v>0</v>
      </c>
      <c r="K207" s="110">
        <f t="shared" si="129"/>
        <v>0</v>
      </c>
      <c r="L207" s="110">
        <f t="shared" si="129"/>
        <v>0</v>
      </c>
      <c r="M207" s="110">
        <f t="shared" si="129"/>
        <v>0</v>
      </c>
      <c r="N207" s="110">
        <f t="shared" si="129"/>
        <v>0</v>
      </c>
      <c r="O207" s="110">
        <f t="shared" si="129"/>
        <v>0</v>
      </c>
      <c r="P207" s="110">
        <f t="shared" si="129"/>
        <v>0</v>
      </c>
      <c r="Q207" s="110">
        <f t="shared" si="129"/>
        <v>0</v>
      </c>
      <c r="R207" s="110">
        <f t="shared" si="129"/>
        <v>0</v>
      </c>
      <c r="S207" s="110">
        <f t="shared" si="129"/>
        <v>0</v>
      </c>
      <c r="T207" s="110">
        <f t="shared" si="129"/>
        <v>0</v>
      </c>
      <c r="U207" s="110">
        <f t="shared" si="129"/>
        <v>0</v>
      </c>
      <c r="V207" s="110">
        <f t="shared" si="129"/>
        <v>0</v>
      </c>
      <c r="W207" s="110">
        <f t="shared" si="129"/>
        <v>0</v>
      </c>
      <c r="X207" s="110">
        <f t="shared" si="129"/>
        <v>0</v>
      </c>
      <c r="Y207" s="110">
        <f t="shared" si="129"/>
        <v>0</v>
      </c>
      <c r="Z207" s="110">
        <f t="shared" si="129"/>
        <v>0</v>
      </c>
      <c r="AA207" s="110">
        <f t="shared" si="129"/>
        <v>0</v>
      </c>
      <c r="AB207" s="110">
        <f t="shared" si="129"/>
        <v>0</v>
      </c>
      <c r="AC207" s="110">
        <f t="shared" si="129"/>
        <v>0</v>
      </c>
      <c r="AD207" s="110">
        <f t="shared" si="129"/>
        <v>0</v>
      </c>
      <c r="AE207" s="110">
        <f t="shared" si="129"/>
        <v>0</v>
      </c>
      <c r="AF207" s="110">
        <f t="shared" si="129"/>
        <v>0</v>
      </c>
      <c r="AG207" s="110">
        <f t="shared" si="129"/>
        <v>0</v>
      </c>
      <c r="AI207" s="134"/>
      <c r="AJ207" s="211"/>
      <c r="BC207" s="1"/>
      <c r="BD207" s="41"/>
      <c r="BF207" s="6"/>
      <c r="BG207" s="6"/>
      <c r="BH207" s="6"/>
      <c r="BI207" s="6"/>
      <c r="BJ207" s="6"/>
    </row>
    <row r="208" spans="1:63" outlineLevel="1" x14ac:dyDescent="0.2">
      <c r="C208" s="110"/>
      <c r="D208" s="110"/>
      <c r="E208" s="110"/>
      <c r="F208" s="110"/>
      <c r="G208" s="110"/>
      <c r="H208" s="110"/>
      <c r="I208" s="110"/>
      <c r="J208" s="110"/>
      <c r="K208" s="110"/>
      <c r="L208" s="110"/>
      <c r="M208" s="110"/>
      <c r="N208" s="110"/>
      <c r="O208" s="110"/>
      <c r="P208" s="110"/>
      <c r="Q208" s="110"/>
      <c r="R208" s="110"/>
      <c r="S208" s="110"/>
      <c r="T208" s="110"/>
      <c r="U208" s="110"/>
      <c r="V208" s="110"/>
      <c r="W208" s="110"/>
      <c r="X208" s="110"/>
      <c r="Y208" s="110"/>
      <c r="Z208" s="110"/>
      <c r="AA208" s="110"/>
      <c r="AB208" s="110"/>
      <c r="AC208" s="110"/>
      <c r="AD208" s="110"/>
      <c r="AE208" s="110"/>
      <c r="AF208" s="110"/>
      <c r="AG208" s="110"/>
      <c r="AI208" s="134"/>
      <c r="AJ208" s="211"/>
      <c r="BC208" s="1"/>
      <c r="BD208" s="41"/>
      <c r="BF208" s="6"/>
      <c r="BG208" s="6"/>
      <c r="BH208" s="6"/>
      <c r="BI208" s="6"/>
      <c r="BJ208" s="6"/>
    </row>
    <row r="209" spans="1:63" s="1" customFormat="1" outlineLevel="1" x14ac:dyDescent="0.2">
      <c r="A209" s="1" t="s">
        <v>228</v>
      </c>
      <c r="B209" s="65"/>
      <c r="C209" s="300">
        <f>C203*C45</f>
        <v>0.11016660035716574</v>
      </c>
      <c r="D209" s="300">
        <f t="shared" ref="D209:AG209" si="130">D203*D45</f>
        <v>9.9439273087778765E-2</v>
      </c>
      <c r="E209" s="300">
        <f t="shared" si="130"/>
        <v>0.12361992003147491</v>
      </c>
      <c r="F209" s="300">
        <f t="shared" si="130"/>
        <v>0.15062162288814759</v>
      </c>
      <c r="G209" s="300">
        <f t="shared" si="130"/>
        <v>0.18048967387741766</v>
      </c>
      <c r="H209" s="300">
        <f t="shared" si="130"/>
        <v>0.21323657377331556</v>
      </c>
      <c r="I209" s="300">
        <f t="shared" si="130"/>
        <v>0.24167052833573527</v>
      </c>
      <c r="J209" s="300">
        <f t="shared" si="130"/>
        <v>0.27123368637062284</v>
      </c>
      <c r="K209" s="300">
        <f t="shared" si="130"/>
        <v>0.30176946107959346</v>
      </c>
      <c r="L209" s="300">
        <f t="shared" si="130"/>
        <v>0.33309886329406818</v>
      </c>
      <c r="M209" s="300">
        <f t="shared" si="130"/>
        <v>0.36501977197516106</v>
      </c>
      <c r="N209" s="300">
        <f t="shared" si="130"/>
        <v>0.40954660522453612</v>
      </c>
      <c r="O209" s="300">
        <f t="shared" si="130"/>
        <v>0.45470989959957503</v>
      </c>
      <c r="P209" s="300">
        <f t="shared" si="130"/>
        <v>0.49990837842335029</v>
      </c>
      <c r="Q209" s="300">
        <f t="shared" si="130"/>
        <v>0.54449570623676391</v>
      </c>
      <c r="R209" s="300">
        <f t="shared" si="130"/>
        <v>0.587788298211807</v>
      </c>
      <c r="S209" s="300">
        <f t="shared" si="130"/>
        <v>0.63889549832282444</v>
      </c>
      <c r="T209" s="300">
        <f t="shared" si="130"/>
        <v>0.6906566202057991</v>
      </c>
      <c r="U209" s="300">
        <f t="shared" si="130"/>
        <v>0.74274986902467555</v>
      </c>
      <c r="V209" s="300">
        <f t="shared" si="130"/>
        <v>0.79482801439485495</v>
      </c>
      <c r="W209" s="300">
        <f t="shared" si="130"/>
        <v>0.84651778684722079</v>
      </c>
      <c r="X209" s="300">
        <f t="shared" si="130"/>
        <v>0.91996835101164021</v>
      </c>
      <c r="Y209" s="300">
        <f t="shared" si="130"/>
        <v>0.99300083269992978</v>
      </c>
      <c r="Z209" s="300">
        <f t="shared" si="130"/>
        <v>1.0649639255621126</v>
      </c>
      <c r="AA209" s="300">
        <f t="shared" si="130"/>
        <v>1.1351609435216403</v>
      </c>
      <c r="AB209" s="300">
        <f t="shared" si="130"/>
        <v>1.2028488368776828</v>
      </c>
      <c r="AC209" s="300">
        <f t="shared" si="130"/>
        <v>1.254610427855863</v>
      </c>
      <c r="AD209" s="300">
        <f t="shared" si="130"/>
        <v>1.2997009559320574</v>
      </c>
      <c r="AE209" s="300">
        <f t="shared" si="130"/>
        <v>1.3369914486461396</v>
      </c>
      <c r="AF209" s="300">
        <f t="shared" si="130"/>
        <v>1.3652914131739275</v>
      </c>
      <c r="AG209" s="300">
        <f t="shared" si="130"/>
        <v>1.3833477462764889</v>
      </c>
      <c r="AH209" s="245"/>
      <c r="AI209" s="423"/>
      <c r="AJ209" s="424"/>
      <c r="AL209" s="221"/>
      <c r="AM209" s="124"/>
      <c r="AN209" s="124"/>
      <c r="AO209" s="124"/>
      <c r="BD209" s="124"/>
      <c r="BE209" s="124"/>
      <c r="BF209" s="124"/>
      <c r="BG209" s="124"/>
      <c r="BH209" s="124"/>
      <c r="BI209" s="124"/>
      <c r="BJ209" s="124"/>
      <c r="BK209" s="124"/>
    </row>
    <row r="210" spans="1:63" outlineLevel="1" x14ac:dyDescent="0.2">
      <c r="A210" s="4" t="s">
        <v>474</v>
      </c>
      <c r="C210" s="230">
        <f>C$209*'BTX recycling rates'!E74</f>
        <v>0.10125733896785366</v>
      </c>
      <c r="D210" s="230">
        <f>D$209*'BTX recycling rates'!F74</f>
        <v>9.139753926436972E-2</v>
      </c>
      <c r="E210" s="230">
        <f>E$209*'BTX recycling rates'!G74</f>
        <v>0.11362267788262405</v>
      </c>
      <c r="F210" s="230">
        <f>F$209*'BTX recycling rates'!H74</f>
        <v>0.13844073135802593</v>
      </c>
      <c r="G210" s="230">
        <f>G$209*'BTX recycling rates'!I74</f>
        <v>0.16589332909204449</v>
      </c>
      <c r="H210" s="230">
        <f>H$209*'BTX recycling rates'!J74</f>
        <v>0.19599196091108134</v>
      </c>
      <c r="I210" s="230">
        <f>I$209*'BTX recycling rates'!K74</f>
        <v>0.222126438747278</v>
      </c>
      <c r="J210" s="230">
        <f>J$209*'BTX recycling rates'!L74</f>
        <v>0.24929880046483849</v>
      </c>
      <c r="K210" s="230">
        <f>K$209*'BTX recycling rates'!M74</f>
        <v>0.27736512256543816</v>
      </c>
      <c r="L210" s="230">
        <f>L$209*'BTX recycling rates'!N74</f>
        <v>0.30616089087821563</v>
      </c>
      <c r="M210" s="230">
        <f>M$209*'BTX recycling rates'!O74</f>
        <v>0.33550033005491964</v>
      </c>
      <c r="N210" s="230">
        <f>N$209*'BTX recycling rates'!P74</f>
        <v>0.37642624256270091</v>
      </c>
      <c r="O210" s="230">
        <f>O$209*'BTX recycling rates'!Q74</f>
        <v>0.41793714507409729</v>
      </c>
      <c r="P210" s="230">
        <f>P$209*'BTX recycling rates'!R74</f>
        <v>0.4594803866396221</v>
      </c>
      <c r="Q210" s="230">
        <f>Q$209*'BTX recycling rates'!S74</f>
        <v>0.50046190146749581</v>
      </c>
      <c r="R210" s="230">
        <f>R$209*'BTX recycling rates'!T74</f>
        <v>0.54025338678338797</v>
      </c>
      <c r="S210" s="230">
        <f>S$209*'BTX recycling rates'!U74</f>
        <v>0.58722750660338496</v>
      </c>
      <c r="T210" s="230">
        <f>T$209*'BTX recycling rates'!V74</f>
        <v>0.63480266501681093</v>
      </c>
      <c r="U210" s="230">
        <f>U$209*'BTX recycling rates'!W74</f>
        <v>0.68268309099427116</v>
      </c>
      <c r="V210" s="230">
        <f>V$209*'BTX recycling rates'!X74</f>
        <v>0.7305496349510523</v>
      </c>
      <c r="W210" s="230">
        <f>W$209*'BTX recycling rates'!Y74</f>
        <v>0.778059214019587</v>
      </c>
      <c r="X210" s="230">
        <f>X$209*'BTX recycling rates'!Z74</f>
        <v>0.84556977210946405</v>
      </c>
      <c r="Y210" s="230">
        <f>Y$209*'BTX recycling rates'!AA74</f>
        <v>0.9126960583886039</v>
      </c>
      <c r="Z210" s="230">
        <f>Z$209*'BTX recycling rates'!AB74</f>
        <v>0.97883943817428332</v>
      </c>
      <c r="AA210" s="230">
        <f>AA$209*'BTX recycling rates'!AC74</f>
        <v>1.0433595669521165</v>
      </c>
      <c r="AB210" s="230">
        <f>AB$209*'BTX recycling rates'!AD74</f>
        <v>1.1055734860469424</v>
      </c>
      <c r="AC210" s="230">
        <f>AC$209*'BTX recycling rates'!AE74</f>
        <v>1.153149075619468</v>
      </c>
      <c r="AD210" s="230">
        <f>AD$209*'BTX recycling rates'!AF74</f>
        <v>1.1945930965010088</v>
      </c>
      <c r="AE210" s="230">
        <f>AE$209*'BTX recycling rates'!AG74</f>
        <v>1.2288678771403889</v>
      </c>
      <c r="AF210" s="230">
        <f>AF$209*'BTX recycling rates'!AH74</f>
        <v>1.2548792008235932</v>
      </c>
      <c r="AG210" s="230">
        <f>AG$209*'BTX recycling rates'!AI74</f>
        <v>1.271475303776348</v>
      </c>
      <c r="AH210" s="245"/>
      <c r="AI210" s="133"/>
      <c r="AJ210" s="211"/>
      <c r="AL210" s="108"/>
      <c r="AM210" s="2"/>
      <c r="AN210" s="2"/>
      <c r="AO210" s="2"/>
      <c r="BC210" s="1"/>
      <c r="BD210" s="2"/>
      <c r="BE210" s="2"/>
      <c r="BF210" s="2"/>
      <c r="BG210" s="2"/>
      <c r="BH210" s="2"/>
      <c r="BI210" s="2"/>
      <c r="BJ210" s="2"/>
      <c r="BK210" s="2"/>
    </row>
    <row r="211" spans="1:63" outlineLevel="1" x14ac:dyDescent="0.2">
      <c r="A211" s="4" t="s">
        <v>478</v>
      </c>
      <c r="C211" s="230">
        <f>C$209*'BTX recycling rates'!E75</f>
        <v>0</v>
      </c>
      <c r="D211" s="230">
        <f>D$209*'BTX recycling rates'!F75</f>
        <v>0</v>
      </c>
      <c r="E211" s="230">
        <f>E$209*'BTX recycling rates'!G75</f>
        <v>0</v>
      </c>
      <c r="F211" s="230">
        <f>F$209*'BTX recycling rates'!H75</f>
        <v>0</v>
      </c>
      <c r="G211" s="230">
        <f>G$209*'BTX recycling rates'!I75</f>
        <v>0</v>
      </c>
      <c r="H211" s="230">
        <f>H$209*'BTX recycling rates'!J75</f>
        <v>0</v>
      </c>
      <c r="I211" s="230">
        <f>I$209*'BTX recycling rates'!K75</f>
        <v>0</v>
      </c>
      <c r="J211" s="230">
        <f>J$209*'BTX recycling rates'!L75</f>
        <v>0</v>
      </c>
      <c r="K211" s="230">
        <f>K$209*'BTX recycling rates'!M75</f>
        <v>0</v>
      </c>
      <c r="L211" s="230">
        <f>L$209*'BTX recycling rates'!N75</f>
        <v>0</v>
      </c>
      <c r="M211" s="230">
        <f>M$209*'BTX recycling rates'!O75</f>
        <v>0</v>
      </c>
      <c r="N211" s="230">
        <f>N$209*'BTX recycling rates'!P75</f>
        <v>0</v>
      </c>
      <c r="O211" s="230">
        <f>O$209*'BTX recycling rates'!Q75</f>
        <v>0</v>
      </c>
      <c r="P211" s="230">
        <f>P$209*'BTX recycling rates'!R75</f>
        <v>0</v>
      </c>
      <c r="Q211" s="230">
        <f>Q$209*'BTX recycling rates'!S75</f>
        <v>0</v>
      </c>
      <c r="R211" s="230">
        <f>R$209*'BTX recycling rates'!T75</f>
        <v>0</v>
      </c>
      <c r="S211" s="230">
        <f>S$209*'BTX recycling rates'!U75</f>
        <v>0</v>
      </c>
      <c r="T211" s="230">
        <f>T$209*'BTX recycling rates'!V75</f>
        <v>0</v>
      </c>
      <c r="U211" s="230">
        <f>U$209*'BTX recycling rates'!W75</f>
        <v>0</v>
      </c>
      <c r="V211" s="230">
        <f>V$209*'BTX recycling rates'!X75</f>
        <v>0</v>
      </c>
      <c r="W211" s="230">
        <f>W$209*'BTX recycling rates'!Y75</f>
        <v>0</v>
      </c>
      <c r="X211" s="230">
        <f>X$209*'BTX recycling rates'!Z75</f>
        <v>0</v>
      </c>
      <c r="Y211" s="230">
        <f>Y$209*'BTX recycling rates'!AA75</f>
        <v>0</v>
      </c>
      <c r="Z211" s="230">
        <f>Z$209*'BTX recycling rates'!AB75</f>
        <v>0</v>
      </c>
      <c r="AA211" s="230">
        <f>AA$209*'BTX recycling rates'!AC75</f>
        <v>0</v>
      </c>
      <c r="AB211" s="230">
        <f>AB$209*'BTX recycling rates'!AD75</f>
        <v>0</v>
      </c>
      <c r="AC211" s="230">
        <f>AC$209*'BTX recycling rates'!AE75</f>
        <v>0</v>
      </c>
      <c r="AD211" s="230">
        <f>AD$209*'BTX recycling rates'!AF75</f>
        <v>0</v>
      </c>
      <c r="AE211" s="230">
        <f>AE$209*'BTX recycling rates'!AG75</f>
        <v>0</v>
      </c>
      <c r="AF211" s="230">
        <f>AF$209*'BTX recycling rates'!AH75</f>
        <v>0</v>
      </c>
      <c r="AG211" s="230">
        <f>AG$209*'BTX recycling rates'!AI75</f>
        <v>0</v>
      </c>
      <c r="AH211" s="245"/>
      <c r="AI211" s="133"/>
      <c r="AJ211" s="211"/>
      <c r="AL211" s="108"/>
      <c r="AM211" s="2"/>
      <c r="AN211" s="2"/>
      <c r="AO211" s="2"/>
      <c r="BC211" s="1"/>
      <c r="BD211" s="2"/>
      <c r="BE211" s="2"/>
      <c r="BF211" s="2"/>
      <c r="BG211" s="2"/>
      <c r="BH211" s="2"/>
      <c r="BI211" s="2"/>
      <c r="BJ211" s="2"/>
      <c r="BK211" s="2"/>
    </row>
    <row r="212" spans="1:63" outlineLevel="1" x14ac:dyDescent="0.2">
      <c r="A212" s="4" t="s">
        <v>745</v>
      </c>
      <c r="C212" s="230">
        <f>C$209*'BTX recycling rates'!E76</f>
        <v>0</v>
      </c>
      <c r="D212" s="230">
        <f>D$209*'BTX recycling rates'!F76</f>
        <v>0</v>
      </c>
      <c r="E212" s="230">
        <f>E$209*'BTX recycling rates'!G76</f>
        <v>0</v>
      </c>
      <c r="F212" s="230">
        <f>F$209*'BTX recycling rates'!H76</f>
        <v>0</v>
      </c>
      <c r="G212" s="230">
        <f>G$209*'BTX recycling rates'!I76</f>
        <v>0</v>
      </c>
      <c r="H212" s="230">
        <f>H$209*'BTX recycling rates'!J76</f>
        <v>0</v>
      </c>
      <c r="I212" s="230">
        <f>I$209*'BTX recycling rates'!K76</f>
        <v>0</v>
      </c>
      <c r="J212" s="230">
        <f>J$209*'BTX recycling rates'!L76</f>
        <v>0</v>
      </c>
      <c r="K212" s="230">
        <f>K$209*'BTX recycling rates'!M76</f>
        <v>0</v>
      </c>
      <c r="L212" s="230">
        <f>L$209*'BTX recycling rates'!N76</f>
        <v>0</v>
      </c>
      <c r="M212" s="230">
        <f>M$209*'BTX recycling rates'!O76</f>
        <v>0</v>
      </c>
      <c r="N212" s="230">
        <f>N$209*'BTX recycling rates'!P76</f>
        <v>0</v>
      </c>
      <c r="O212" s="230">
        <f>O$209*'BTX recycling rates'!Q76</f>
        <v>0</v>
      </c>
      <c r="P212" s="230">
        <f>P$209*'BTX recycling rates'!R76</f>
        <v>0</v>
      </c>
      <c r="Q212" s="230">
        <f>Q$209*'BTX recycling rates'!S76</f>
        <v>0</v>
      </c>
      <c r="R212" s="230">
        <f>R$209*'BTX recycling rates'!T76</f>
        <v>0</v>
      </c>
      <c r="S212" s="230">
        <f>S$209*'BTX recycling rates'!U76</f>
        <v>0</v>
      </c>
      <c r="T212" s="230">
        <f>T$209*'BTX recycling rates'!V76</f>
        <v>0</v>
      </c>
      <c r="U212" s="230">
        <f>U$209*'BTX recycling rates'!W76</f>
        <v>0</v>
      </c>
      <c r="V212" s="230">
        <f>V$209*'BTX recycling rates'!X76</f>
        <v>0</v>
      </c>
      <c r="W212" s="230">
        <f>W$209*'BTX recycling rates'!Y76</f>
        <v>0</v>
      </c>
      <c r="X212" s="230">
        <f>X$209*'BTX recycling rates'!Z76</f>
        <v>0</v>
      </c>
      <c r="Y212" s="230">
        <f>Y$209*'BTX recycling rates'!AA76</f>
        <v>0</v>
      </c>
      <c r="Z212" s="230">
        <f>Z$209*'BTX recycling rates'!AB76</f>
        <v>0</v>
      </c>
      <c r="AA212" s="230">
        <f>AA$209*'BTX recycling rates'!AC76</f>
        <v>0</v>
      </c>
      <c r="AB212" s="230">
        <f>AB$209*'BTX recycling rates'!AD76</f>
        <v>0</v>
      </c>
      <c r="AC212" s="230">
        <f>AC$209*'BTX recycling rates'!AE76</f>
        <v>0</v>
      </c>
      <c r="AD212" s="230">
        <f>AD$209*'BTX recycling rates'!AF76</f>
        <v>0</v>
      </c>
      <c r="AE212" s="230">
        <f>AE$209*'BTX recycling rates'!AG76</f>
        <v>0</v>
      </c>
      <c r="AF212" s="230">
        <f>AF$209*'BTX recycling rates'!AH76</f>
        <v>0</v>
      </c>
      <c r="AG212" s="230">
        <f>AG$209*'BTX recycling rates'!AI76</f>
        <v>0</v>
      </c>
      <c r="AH212" s="245"/>
      <c r="AI212" s="133"/>
      <c r="AJ212" s="211"/>
      <c r="AL212" s="108"/>
      <c r="AM212" s="2"/>
      <c r="AN212" s="2"/>
      <c r="AO212" s="2"/>
      <c r="BC212" s="1"/>
      <c r="BD212" s="2"/>
      <c r="BE212" s="2"/>
      <c r="BF212" s="2"/>
      <c r="BG212" s="2"/>
      <c r="BH212" s="2"/>
      <c r="BI212" s="2"/>
      <c r="BJ212" s="2"/>
      <c r="BK212" s="2"/>
    </row>
    <row r="213" spans="1:63" outlineLevel="1" x14ac:dyDescent="0.2">
      <c r="A213" s="4" t="s">
        <v>1561</v>
      </c>
      <c r="C213" s="230">
        <f>C$209*'BTX recycling rates'!E77</f>
        <v>8.9092613893120808E-3</v>
      </c>
      <c r="D213" s="230">
        <f>D$209*'BTX recycling rates'!F77</f>
        <v>8.0417338234090498E-3</v>
      </c>
      <c r="E213" s="230">
        <f>E$209*'BTX recycling rates'!G77</f>
        <v>9.9972421488508691E-3</v>
      </c>
      <c r="F213" s="230">
        <f>F$209*'BTX recycling rates'!H77</f>
        <v>1.2180891530121661E-2</v>
      </c>
      <c r="G213" s="230">
        <f>G$209*'BTX recycling rates'!I77</f>
        <v>1.4596344785373172E-2</v>
      </c>
      <c r="H213" s="230">
        <f>H$209*'BTX recycling rates'!J77</f>
        <v>1.7244612862234221E-2</v>
      </c>
      <c r="I213" s="230">
        <f>I$209*'BTX recycling rates'!K77</f>
        <v>1.9544089588457284E-2</v>
      </c>
      <c r="J213" s="230">
        <f>J$209*'BTX recycling rates'!L77</f>
        <v>2.1934885905784355E-2</v>
      </c>
      <c r="K213" s="230">
        <f>K$209*'BTX recycling rates'!M77</f>
        <v>2.4404338514155317E-2</v>
      </c>
      <c r="L213" s="230">
        <f>L$209*'BTX recycling rates'!N77</f>
        <v>2.6937972415852569E-2</v>
      </c>
      <c r="M213" s="230">
        <f>M$209*'BTX recycling rates'!O77</f>
        <v>2.9519441920241425E-2</v>
      </c>
      <c r="N213" s="230">
        <f>N$209*'BTX recycling rates'!P77</f>
        <v>3.312036266183524E-2</v>
      </c>
      <c r="O213" s="230">
        <f>O$209*'BTX recycling rates'!Q77</f>
        <v>3.6772754525477763E-2</v>
      </c>
      <c r="P213" s="230">
        <f>P$209*'BTX recycling rates'!R77</f>
        <v>4.0427991783728218E-2</v>
      </c>
      <c r="Q213" s="230">
        <f>Q$209*'BTX recycling rates'!S77</f>
        <v>4.4033804769268062E-2</v>
      </c>
      <c r="R213" s="230">
        <f>R$209*'BTX recycling rates'!T77</f>
        <v>4.7534911428419008E-2</v>
      </c>
      <c r="S213" s="230">
        <f>S$209*'BTX recycling rates'!U77</f>
        <v>5.1667991719439504E-2</v>
      </c>
      <c r="T213" s="230">
        <f>T$209*'BTX recycling rates'!V77</f>
        <v>5.5853955188988169E-2</v>
      </c>
      <c r="U213" s="230">
        <f>U$209*'BTX recycling rates'!W77</f>
        <v>6.0066778030404416E-2</v>
      </c>
      <c r="V213" s="230">
        <f>V$209*'BTX recycling rates'!X77</f>
        <v>6.4278379443802686E-2</v>
      </c>
      <c r="W213" s="230">
        <f>W$209*'BTX recycling rates'!Y77</f>
        <v>6.845857282763379E-2</v>
      </c>
      <c r="X213" s="230">
        <f>X$209*'BTX recycling rates'!Z77</f>
        <v>7.4398578902176216E-2</v>
      </c>
      <c r="Y213" s="230">
        <f>Y$209*'BTX recycling rates'!AA77</f>
        <v>8.0304774311325891E-2</v>
      </c>
      <c r="Z213" s="230">
        <f>Z$209*'BTX recycling rates'!AB77</f>
        <v>8.6124487387829324E-2</v>
      </c>
      <c r="AA213" s="230">
        <f>AA$209*'BTX recycling rates'!AC77</f>
        <v>9.1801376569523932E-2</v>
      </c>
      <c r="AB213" s="230">
        <f>AB$209*'BTX recycling rates'!AD77</f>
        <v>9.7275350830740556E-2</v>
      </c>
      <c r="AC213" s="230">
        <f>AC$209*'BTX recycling rates'!AE77</f>
        <v>0.10146135223639498</v>
      </c>
      <c r="AD213" s="230">
        <f>AD$209*'BTX recycling rates'!AF77</f>
        <v>0.10510785943104856</v>
      </c>
      <c r="AE213" s="230">
        <f>AE$209*'BTX recycling rates'!AG77</f>
        <v>0.10812357150575076</v>
      </c>
      <c r="AF213" s="230">
        <f>AF$209*'BTX recycling rates'!AH77</f>
        <v>0.11041221235033431</v>
      </c>
      <c r="AG213" s="230">
        <f>AG$209*'BTX recycling rates'!AI77</f>
        <v>0.11187244250014071</v>
      </c>
      <c r="AH213" s="245"/>
      <c r="AI213" s="133"/>
      <c r="AJ213" s="211"/>
      <c r="AL213" s="108"/>
      <c r="AM213" s="2"/>
      <c r="AN213" s="2"/>
      <c r="AO213" s="2"/>
      <c r="BC213" s="1"/>
      <c r="BD213" s="2"/>
      <c r="BE213" s="2"/>
      <c r="BF213" s="2"/>
      <c r="BG213" s="2"/>
      <c r="BH213" s="2"/>
      <c r="BI213" s="2"/>
      <c r="BJ213" s="2"/>
      <c r="BK213" s="2"/>
    </row>
    <row r="214" spans="1:63" s="1" customFormat="1" outlineLevel="1" x14ac:dyDescent="0.2">
      <c r="A214" s="1" t="s">
        <v>1562</v>
      </c>
      <c r="B214" s="65"/>
      <c r="C214" s="300">
        <f t="shared" ref="C214:AG214" si="131">C209-$C209</f>
        <v>0</v>
      </c>
      <c r="D214" s="300">
        <f t="shared" si="131"/>
        <v>-1.072732726938698E-2</v>
      </c>
      <c r="E214" s="300">
        <f t="shared" si="131"/>
        <v>1.3453319674309169E-2</v>
      </c>
      <c r="F214" s="300">
        <f t="shared" si="131"/>
        <v>4.0455022530981849E-2</v>
      </c>
      <c r="G214" s="300">
        <f t="shared" si="131"/>
        <v>7.0323073520251911E-2</v>
      </c>
      <c r="H214" s="300">
        <f t="shared" si="131"/>
        <v>0.10306997341614982</v>
      </c>
      <c r="I214" s="300">
        <f t="shared" si="131"/>
        <v>0.13150392797856952</v>
      </c>
      <c r="J214" s="300">
        <f t="shared" si="131"/>
        <v>0.16106708601345709</v>
      </c>
      <c r="K214" s="300">
        <f t="shared" si="131"/>
        <v>0.19160286072242771</v>
      </c>
      <c r="L214" s="300">
        <f t="shared" si="131"/>
        <v>0.22293226293690244</v>
      </c>
      <c r="M214" s="300">
        <f t="shared" si="131"/>
        <v>0.25485317161799531</v>
      </c>
      <c r="N214" s="300">
        <f t="shared" si="131"/>
        <v>0.29938000486737038</v>
      </c>
      <c r="O214" s="300">
        <f t="shared" si="131"/>
        <v>0.34454329924240928</v>
      </c>
      <c r="P214" s="300">
        <f t="shared" si="131"/>
        <v>0.38974177806618454</v>
      </c>
      <c r="Q214" s="300">
        <f t="shared" si="131"/>
        <v>0.43432910587959817</v>
      </c>
      <c r="R214" s="300">
        <f t="shared" si="131"/>
        <v>0.47762169785464126</v>
      </c>
      <c r="S214" s="300">
        <f t="shared" si="131"/>
        <v>0.5287288979656587</v>
      </c>
      <c r="T214" s="300">
        <f t="shared" si="131"/>
        <v>0.58049001984863335</v>
      </c>
      <c r="U214" s="300">
        <f t="shared" si="131"/>
        <v>0.6325832686675098</v>
      </c>
      <c r="V214" s="300">
        <f t="shared" si="131"/>
        <v>0.68466141403768921</v>
      </c>
      <c r="W214" s="300">
        <f t="shared" si="131"/>
        <v>0.73635118649005504</v>
      </c>
      <c r="X214" s="300">
        <f t="shared" si="131"/>
        <v>0.80980175065447446</v>
      </c>
      <c r="Y214" s="300">
        <f t="shared" si="131"/>
        <v>0.88283423234276404</v>
      </c>
      <c r="Z214" s="300">
        <f t="shared" si="131"/>
        <v>0.95479732520494687</v>
      </c>
      <c r="AA214" s="300">
        <f t="shared" si="131"/>
        <v>1.0249943431644746</v>
      </c>
      <c r="AB214" s="300">
        <f t="shared" si="131"/>
        <v>1.0926822365205171</v>
      </c>
      <c r="AC214" s="300">
        <f t="shared" si="131"/>
        <v>1.1444438274986972</v>
      </c>
      <c r="AD214" s="300">
        <f t="shared" si="131"/>
        <v>1.1895343555748916</v>
      </c>
      <c r="AE214" s="300">
        <f t="shared" si="131"/>
        <v>1.2268248482889739</v>
      </c>
      <c r="AF214" s="300">
        <f t="shared" si="131"/>
        <v>1.2551248128167618</v>
      </c>
      <c r="AG214" s="300">
        <f t="shared" si="131"/>
        <v>1.2731811459193232</v>
      </c>
      <c r="AH214" s="245"/>
      <c r="AI214" s="423"/>
      <c r="AJ214" s="424"/>
      <c r="AL214" s="221"/>
      <c r="AM214" s="124"/>
      <c r="AN214" s="124"/>
      <c r="AO214" s="124"/>
      <c r="BD214" s="124"/>
      <c r="BE214" s="124"/>
      <c r="BF214" s="124"/>
      <c r="BG214" s="124"/>
      <c r="BH214" s="124"/>
      <c r="BI214" s="124"/>
      <c r="BJ214" s="124"/>
      <c r="BK214" s="124"/>
    </row>
    <row r="215" spans="1:63" outlineLevel="1" x14ac:dyDescent="0.2">
      <c r="A215" s="4" t="s">
        <v>474</v>
      </c>
      <c r="C215" s="230">
        <f t="shared" ref="C215:AG215" si="132">C210-$C210</f>
        <v>0</v>
      </c>
      <c r="D215" s="230">
        <f t="shared" si="132"/>
        <v>-9.8597997034839402E-3</v>
      </c>
      <c r="E215" s="230">
        <f t="shared" si="132"/>
        <v>1.2365338914770388E-2</v>
      </c>
      <c r="F215" s="230">
        <f t="shared" si="132"/>
        <v>3.7183392390172265E-2</v>
      </c>
      <c r="G215" s="230">
        <f t="shared" si="132"/>
        <v>6.4635990124190829E-2</v>
      </c>
      <c r="H215" s="230">
        <f t="shared" si="132"/>
        <v>9.4734621943227681E-2</v>
      </c>
      <c r="I215" s="230">
        <f t="shared" si="132"/>
        <v>0.12086909977942434</v>
      </c>
      <c r="J215" s="230">
        <f t="shared" si="132"/>
        <v>0.14804146149698483</v>
      </c>
      <c r="K215" s="230">
        <f t="shared" si="132"/>
        <v>0.1761077835975845</v>
      </c>
      <c r="L215" s="230">
        <f t="shared" si="132"/>
        <v>0.20490355191036197</v>
      </c>
      <c r="M215" s="230">
        <f t="shared" si="132"/>
        <v>0.23424299108706598</v>
      </c>
      <c r="N215" s="230">
        <f t="shared" si="132"/>
        <v>0.27516890359484725</v>
      </c>
      <c r="O215" s="230">
        <f t="shared" si="132"/>
        <v>0.31667980610624363</v>
      </c>
      <c r="P215" s="230">
        <f t="shared" si="132"/>
        <v>0.35822304767176844</v>
      </c>
      <c r="Q215" s="230">
        <f t="shared" si="132"/>
        <v>0.39920456249964215</v>
      </c>
      <c r="R215" s="230">
        <f t="shared" si="132"/>
        <v>0.43899604781553431</v>
      </c>
      <c r="S215" s="230">
        <f t="shared" si="132"/>
        <v>0.4859701676355313</v>
      </c>
      <c r="T215" s="230">
        <f t="shared" si="132"/>
        <v>0.53354532604895732</v>
      </c>
      <c r="U215" s="230">
        <f t="shared" si="132"/>
        <v>0.58142575202641744</v>
      </c>
      <c r="V215" s="230">
        <f t="shared" si="132"/>
        <v>0.62929229598319858</v>
      </c>
      <c r="W215" s="230">
        <f t="shared" si="132"/>
        <v>0.67680187505173328</v>
      </c>
      <c r="X215" s="230">
        <f t="shared" si="132"/>
        <v>0.74431243314161044</v>
      </c>
      <c r="Y215" s="230">
        <f t="shared" si="132"/>
        <v>0.81143871942075019</v>
      </c>
      <c r="Z215" s="230">
        <f t="shared" si="132"/>
        <v>0.8775820992064296</v>
      </c>
      <c r="AA215" s="230">
        <f t="shared" si="132"/>
        <v>0.9421022279842628</v>
      </c>
      <c r="AB215" s="230">
        <f t="shared" si="132"/>
        <v>1.0043161470790887</v>
      </c>
      <c r="AC215" s="230">
        <f t="shared" si="132"/>
        <v>1.0518917366516143</v>
      </c>
      <c r="AD215" s="230">
        <f t="shared" si="132"/>
        <v>1.093335757533155</v>
      </c>
      <c r="AE215" s="230">
        <f t="shared" si="132"/>
        <v>1.1276105381725352</v>
      </c>
      <c r="AF215" s="230">
        <f t="shared" si="132"/>
        <v>1.1536218618557394</v>
      </c>
      <c r="AG215" s="230">
        <f t="shared" si="132"/>
        <v>1.1702179648084943</v>
      </c>
      <c r="AH215" s="245"/>
      <c r="AI215" s="133"/>
      <c r="AJ215" s="211"/>
      <c r="AL215" s="108"/>
      <c r="AM215" s="2"/>
      <c r="AN215" s="2"/>
      <c r="AO215" s="2"/>
      <c r="BC215" s="1"/>
      <c r="BD215" s="2"/>
      <c r="BE215" s="2"/>
      <c r="BF215" s="2"/>
      <c r="BG215" s="2"/>
      <c r="BH215" s="2"/>
      <c r="BI215" s="2"/>
      <c r="BJ215" s="2"/>
      <c r="BK215" s="2"/>
    </row>
    <row r="216" spans="1:63" outlineLevel="1" x14ac:dyDescent="0.2">
      <c r="A216" s="4" t="s">
        <v>478</v>
      </c>
      <c r="C216" s="230">
        <f t="shared" ref="C216:AG216" si="133">C211-$C211</f>
        <v>0</v>
      </c>
      <c r="D216" s="230">
        <f t="shared" si="133"/>
        <v>0</v>
      </c>
      <c r="E216" s="230">
        <f t="shared" si="133"/>
        <v>0</v>
      </c>
      <c r="F216" s="230">
        <f t="shared" si="133"/>
        <v>0</v>
      </c>
      <c r="G216" s="230">
        <f t="shared" si="133"/>
        <v>0</v>
      </c>
      <c r="H216" s="230">
        <f t="shared" si="133"/>
        <v>0</v>
      </c>
      <c r="I216" s="230">
        <f t="shared" si="133"/>
        <v>0</v>
      </c>
      <c r="J216" s="230">
        <f t="shared" si="133"/>
        <v>0</v>
      </c>
      <c r="K216" s="230">
        <f t="shared" si="133"/>
        <v>0</v>
      </c>
      <c r="L216" s="230">
        <f t="shared" si="133"/>
        <v>0</v>
      </c>
      <c r="M216" s="230">
        <f t="shared" si="133"/>
        <v>0</v>
      </c>
      <c r="N216" s="230">
        <f t="shared" si="133"/>
        <v>0</v>
      </c>
      <c r="O216" s="230">
        <f t="shared" si="133"/>
        <v>0</v>
      </c>
      <c r="P216" s="230">
        <f t="shared" si="133"/>
        <v>0</v>
      </c>
      <c r="Q216" s="230">
        <f t="shared" si="133"/>
        <v>0</v>
      </c>
      <c r="R216" s="230">
        <f t="shared" si="133"/>
        <v>0</v>
      </c>
      <c r="S216" s="230">
        <f t="shared" si="133"/>
        <v>0</v>
      </c>
      <c r="T216" s="230">
        <f t="shared" si="133"/>
        <v>0</v>
      </c>
      <c r="U216" s="230">
        <f t="shared" si="133"/>
        <v>0</v>
      </c>
      <c r="V216" s="230">
        <f t="shared" si="133"/>
        <v>0</v>
      </c>
      <c r="W216" s="230">
        <f t="shared" si="133"/>
        <v>0</v>
      </c>
      <c r="X216" s="230">
        <f t="shared" si="133"/>
        <v>0</v>
      </c>
      <c r="Y216" s="230">
        <f t="shared" si="133"/>
        <v>0</v>
      </c>
      <c r="Z216" s="230">
        <f t="shared" si="133"/>
        <v>0</v>
      </c>
      <c r="AA216" s="230">
        <f t="shared" si="133"/>
        <v>0</v>
      </c>
      <c r="AB216" s="230">
        <f t="shared" si="133"/>
        <v>0</v>
      </c>
      <c r="AC216" s="230">
        <f t="shared" si="133"/>
        <v>0</v>
      </c>
      <c r="AD216" s="230">
        <f t="shared" si="133"/>
        <v>0</v>
      </c>
      <c r="AE216" s="230">
        <f t="shared" si="133"/>
        <v>0</v>
      </c>
      <c r="AF216" s="230">
        <f t="shared" si="133"/>
        <v>0</v>
      </c>
      <c r="AG216" s="230">
        <f t="shared" si="133"/>
        <v>0</v>
      </c>
      <c r="AH216" s="245"/>
      <c r="AI216" s="133"/>
      <c r="AJ216" s="211"/>
      <c r="AL216" s="108"/>
      <c r="AM216" s="2"/>
      <c r="AN216" s="2"/>
      <c r="AO216" s="2"/>
      <c r="BC216" s="1"/>
      <c r="BD216" s="2"/>
      <c r="BE216" s="2"/>
      <c r="BF216" s="2"/>
      <c r="BG216" s="2"/>
      <c r="BH216" s="2"/>
      <c r="BI216" s="2"/>
      <c r="BJ216" s="2"/>
      <c r="BK216" s="2"/>
    </row>
    <row r="217" spans="1:63" outlineLevel="1" x14ac:dyDescent="0.2">
      <c r="A217" s="4" t="s">
        <v>745</v>
      </c>
      <c r="C217" s="230">
        <f t="shared" ref="C217:AG217" si="134">C212-$C212</f>
        <v>0</v>
      </c>
      <c r="D217" s="230">
        <f t="shared" si="134"/>
        <v>0</v>
      </c>
      <c r="E217" s="230">
        <f t="shared" si="134"/>
        <v>0</v>
      </c>
      <c r="F217" s="230">
        <f t="shared" si="134"/>
        <v>0</v>
      </c>
      <c r="G217" s="230">
        <f t="shared" si="134"/>
        <v>0</v>
      </c>
      <c r="H217" s="230">
        <f t="shared" si="134"/>
        <v>0</v>
      </c>
      <c r="I217" s="230">
        <f t="shared" si="134"/>
        <v>0</v>
      </c>
      <c r="J217" s="230">
        <f t="shared" si="134"/>
        <v>0</v>
      </c>
      <c r="K217" s="230">
        <f t="shared" si="134"/>
        <v>0</v>
      </c>
      <c r="L217" s="230">
        <f t="shared" si="134"/>
        <v>0</v>
      </c>
      <c r="M217" s="230">
        <f t="shared" si="134"/>
        <v>0</v>
      </c>
      <c r="N217" s="230">
        <f t="shared" si="134"/>
        <v>0</v>
      </c>
      <c r="O217" s="230">
        <f t="shared" si="134"/>
        <v>0</v>
      </c>
      <c r="P217" s="230">
        <f t="shared" si="134"/>
        <v>0</v>
      </c>
      <c r="Q217" s="230">
        <f t="shared" si="134"/>
        <v>0</v>
      </c>
      <c r="R217" s="230">
        <f t="shared" si="134"/>
        <v>0</v>
      </c>
      <c r="S217" s="230">
        <f t="shared" si="134"/>
        <v>0</v>
      </c>
      <c r="T217" s="230">
        <f t="shared" si="134"/>
        <v>0</v>
      </c>
      <c r="U217" s="230">
        <f t="shared" si="134"/>
        <v>0</v>
      </c>
      <c r="V217" s="230">
        <f t="shared" si="134"/>
        <v>0</v>
      </c>
      <c r="W217" s="230">
        <f t="shared" si="134"/>
        <v>0</v>
      </c>
      <c r="X217" s="230">
        <f t="shared" si="134"/>
        <v>0</v>
      </c>
      <c r="Y217" s="230">
        <f t="shared" si="134"/>
        <v>0</v>
      </c>
      <c r="Z217" s="230">
        <f t="shared" si="134"/>
        <v>0</v>
      </c>
      <c r="AA217" s="230">
        <f t="shared" si="134"/>
        <v>0</v>
      </c>
      <c r="AB217" s="230">
        <f t="shared" si="134"/>
        <v>0</v>
      </c>
      <c r="AC217" s="230">
        <f t="shared" si="134"/>
        <v>0</v>
      </c>
      <c r="AD217" s="230">
        <f t="shared" si="134"/>
        <v>0</v>
      </c>
      <c r="AE217" s="230">
        <f t="shared" si="134"/>
        <v>0</v>
      </c>
      <c r="AF217" s="230">
        <f t="shared" si="134"/>
        <v>0</v>
      </c>
      <c r="AG217" s="230">
        <f t="shared" si="134"/>
        <v>0</v>
      </c>
      <c r="AH217" s="245"/>
      <c r="AI217" s="133"/>
      <c r="AJ217" s="211"/>
      <c r="AL217" s="108"/>
      <c r="AM217" s="2"/>
      <c r="AN217" s="2"/>
      <c r="AO217" s="2"/>
      <c r="BC217" s="1"/>
      <c r="BD217" s="2"/>
      <c r="BE217" s="2"/>
      <c r="BF217" s="2"/>
      <c r="BG217" s="2"/>
      <c r="BH217" s="2"/>
      <c r="BI217" s="2"/>
      <c r="BJ217" s="2"/>
      <c r="BK217" s="2"/>
    </row>
    <row r="218" spans="1:63" outlineLevel="1" x14ac:dyDescent="0.2">
      <c r="A218" s="4" t="s">
        <v>1561</v>
      </c>
      <c r="C218" s="230">
        <f t="shared" ref="C218:AG218" si="135">C213-$C213</f>
        <v>0</v>
      </c>
      <c r="D218" s="230">
        <f t="shared" si="135"/>
        <v>-8.6752756590303091E-4</v>
      </c>
      <c r="E218" s="230">
        <f t="shared" si="135"/>
        <v>1.0879807595387883E-3</v>
      </c>
      <c r="F218" s="230">
        <f t="shared" si="135"/>
        <v>3.2716301408095803E-3</v>
      </c>
      <c r="G218" s="230">
        <f t="shared" si="135"/>
        <v>5.6870833960610909E-3</v>
      </c>
      <c r="H218" s="230">
        <f t="shared" si="135"/>
        <v>8.3353514729221402E-3</v>
      </c>
      <c r="I218" s="230">
        <f t="shared" si="135"/>
        <v>1.0634828199145203E-2</v>
      </c>
      <c r="J218" s="230">
        <f t="shared" si="135"/>
        <v>1.3025624516472274E-2</v>
      </c>
      <c r="K218" s="230">
        <f t="shared" si="135"/>
        <v>1.5495077124843236E-2</v>
      </c>
      <c r="L218" s="230">
        <f t="shared" si="135"/>
        <v>1.8028711026540488E-2</v>
      </c>
      <c r="M218" s="230">
        <f t="shared" si="135"/>
        <v>2.0610180530929344E-2</v>
      </c>
      <c r="N218" s="230">
        <f t="shared" si="135"/>
        <v>2.4211101272523159E-2</v>
      </c>
      <c r="O218" s="230">
        <f t="shared" si="135"/>
        <v>2.7863493136165682E-2</v>
      </c>
      <c r="P218" s="230">
        <f t="shared" si="135"/>
        <v>3.1518730394416133E-2</v>
      </c>
      <c r="Q218" s="230">
        <f t="shared" si="135"/>
        <v>3.5124543379955978E-2</v>
      </c>
      <c r="R218" s="230">
        <f t="shared" si="135"/>
        <v>3.8625650039106924E-2</v>
      </c>
      <c r="S218" s="230">
        <f t="shared" si="135"/>
        <v>4.275873033012742E-2</v>
      </c>
      <c r="T218" s="230">
        <f t="shared" si="135"/>
        <v>4.6944693799676085E-2</v>
      </c>
      <c r="U218" s="230">
        <f t="shared" si="135"/>
        <v>5.1157516641092332E-2</v>
      </c>
      <c r="V218" s="230">
        <f t="shared" si="135"/>
        <v>5.5369118054490601E-2</v>
      </c>
      <c r="W218" s="230">
        <f t="shared" si="135"/>
        <v>5.9549311438321706E-2</v>
      </c>
      <c r="X218" s="230">
        <f t="shared" si="135"/>
        <v>6.5489317512864131E-2</v>
      </c>
      <c r="Y218" s="230">
        <f t="shared" si="135"/>
        <v>7.1395512922013807E-2</v>
      </c>
      <c r="Z218" s="230">
        <f t="shared" si="135"/>
        <v>7.721522599851724E-2</v>
      </c>
      <c r="AA218" s="230">
        <f t="shared" si="135"/>
        <v>8.2892115180211848E-2</v>
      </c>
      <c r="AB218" s="230">
        <f t="shared" si="135"/>
        <v>8.8366089441428472E-2</v>
      </c>
      <c r="AC218" s="230">
        <f t="shared" si="135"/>
        <v>9.2552090847082893E-2</v>
      </c>
      <c r="AD218" s="230">
        <f t="shared" si="135"/>
        <v>9.6198598041736472E-2</v>
      </c>
      <c r="AE218" s="230">
        <f t="shared" si="135"/>
        <v>9.9214310116438678E-2</v>
      </c>
      <c r="AF218" s="230">
        <f t="shared" si="135"/>
        <v>0.10150295096102223</v>
      </c>
      <c r="AG218" s="230">
        <f t="shared" si="135"/>
        <v>0.10296318111082862</v>
      </c>
      <c r="AH218" s="245"/>
      <c r="AI218" s="133"/>
      <c r="AJ218" s="211"/>
      <c r="AL218" s="108"/>
      <c r="AM218" s="2"/>
      <c r="AN218" s="2"/>
      <c r="AO218" s="2"/>
      <c r="BC218" s="1"/>
      <c r="BD218" s="2"/>
      <c r="BE218" s="2"/>
      <c r="BF218" s="2"/>
      <c r="BG218" s="2"/>
      <c r="BH218" s="2"/>
      <c r="BI218" s="2"/>
      <c r="BJ218" s="2"/>
      <c r="BK218" s="2"/>
    </row>
    <row r="219" spans="1:63" s="1" customFormat="1" outlineLevel="1" x14ac:dyDescent="0.2">
      <c r="A219" s="1" t="s">
        <v>1569</v>
      </c>
      <c r="B219" s="65"/>
      <c r="C219" s="300">
        <f>C203*C45</f>
        <v>0.11016660035716574</v>
      </c>
      <c r="D219" s="300">
        <f t="shared" ref="D219:AG219" si="136">D203*D45</f>
        <v>9.9439273087778765E-2</v>
      </c>
      <c r="E219" s="300">
        <f t="shared" si="136"/>
        <v>0.12361992003147491</v>
      </c>
      <c r="F219" s="300">
        <f t="shared" si="136"/>
        <v>0.15062162288814759</v>
      </c>
      <c r="G219" s="300">
        <f t="shared" si="136"/>
        <v>0.18048967387741766</v>
      </c>
      <c r="H219" s="300">
        <f t="shared" si="136"/>
        <v>0.21323657377331556</v>
      </c>
      <c r="I219" s="300">
        <f t="shared" si="136"/>
        <v>0.24167052833573527</v>
      </c>
      <c r="J219" s="300">
        <f t="shared" si="136"/>
        <v>0.27123368637062284</v>
      </c>
      <c r="K219" s="300">
        <f t="shared" si="136"/>
        <v>0.30176946107959346</v>
      </c>
      <c r="L219" s="300">
        <f t="shared" si="136"/>
        <v>0.33309886329406818</v>
      </c>
      <c r="M219" s="300">
        <f t="shared" si="136"/>
        <v>0.36501977197516106</v>
      </c>
      <c r="N219" s="300">
        <f t="shared" si="136"/>
        <v>0.40954660522453612</v>
      </c>
      <c r="O219" s="300">
        <f t="shared" si="136"/>
        <v>0.45470989959957503</v>
      </c>
      <c r="P219" s="300">
        <f t="shared" si="136"/>
        <v>0.49990837842335029</v>
      </c>
      <c r="Q219" s="300">
        <f t="shared" si="136"/>
        <v>0.54449570623676391</v>
      </c>
      <c r="R219" s="300">
        <f t="shared" si="136"/>
        <v>0.587788298211807</v>
      </c>
      <c r="S219" s="300">
        <f t="shared" si="136"/>
        <v>0.63889549832282444</v>
      </c>
      <c r="T219" s="300">
        <f t="shared" si="136"/>
        <v>0.6906566202057991</v>
      </c>
      <c r="U219" s="300">
        <f t="shared" si="136"/>
        <v>0.74274986902467555</v>
      </c>
      <c r="V219" s="300">
        <f t="shared" si="136"/>
        <v>0.79482801439485495</v>
      </c>
      <c r="W219" s="300">
        <f t="shared" si="136"/>
        <v>0.84651778684722079</v>
      </c>
      <c r="X219" s="300">
        <f t="shared" si="136"/>
        <v>0.91996835101164021</v>
      </c>
      <c r="Y219" s="300">
        <f t="shared" si="136"/>
        <v>0.99300083269992978</v>
      </c>
      <c r="Z219" s="300">
        <f t="shared" si="136"/>
        <v>1.0649639255621126</v>
      </c>
      <c r="AA219" s="300">
        <f t="shared" si="136"/>
        <v>1.1351609435216403</v>
      </c>
      <c r="AB219" s="300">
        <f t="shared" si="136"/>
        <v>1.2028488368776828</v>
      </c>
      <c r="AC219" s="300">
        <f t="shared" si="136"/>
        <v>1.254610427855863</v>
      </c>
      <c r="AD219" s="300">
        <f t="shared" si="136"/>
        <v>1.2997009559320574</v>
      </c>
      <c r="AE219" s="300">
        <f t="shared" si="136"/>
        <v>1.3369914486461396</v>
      </c>
      <c r="AF219" s="300">
        <f t="shared" si="136"/>
        <v>1.3652914131739275</v>
      </c>
      <c r="AG219" s="300">
        <f t="shared" si="136"/>
        <v>1.3833477462764889</v>
      </c>
      <c r="AH219" s="245"/>
      <c r="AI219" s="423"/>
      <c r="AJ219" s="424"/>
      <c r="AL219" s="221"/>
      <c r="AM219" s="124"/>
      <c r="AN219" s="124"/>
      <c r="AO219" s="124"/>
      <c r="BD219" s="124"/>
      <c r="BE219" s="124"/>
      <c r="BF219" s="124"/>
      <c r="BG219" s="124"/>
      <c r="BH219" s="124"/>
      <c r="BI219" s="124"/>
      <c r="BJ219" s="124"/>
      <c r="BK219" s="124"/>
    </row>
    <row r="220" spans="1:63" outlineLevel="1" x14ac:dyDescent="0.2">
      <c r="A220" s="4" t="s">
        <v>474</v>
      </c>
      <c r="C220" s="230">
        <f>C$219*'BTX recycling rates'!E78</f>
        <v>0.10125733896785366</v>
      </c>
      <c r="D220" s="230">
        <f>D$219*'BTX recycling rates'!F78</f>
        <v>9.139753926436972E-2</v>
      </c>
      <c r="E220" s="230">
        <f>E$219*'BTX recycling rates'!G78</f>
        <v>0.11362267788262405</v>
      </c>
      <c r="F220" s="230">
        <f>F$219*'BTX recycling rates'!H78</f>
        <v>0.13844073135802593</v>
      </c>
      <c r="G220" s="230">
        <f>G$219*'BTX recycling rates'!I78</f>
        <v>0.16589332909204449</v>
      </c>
      <c r="H220" s="230">
        <f>H$219*'BTX recycling rates'!J78</f>
        <v>0.19599196091108134</v>
      </c>
      <c r="I220" s="230">
        <f>I$219*'BTX recycling rates'!K78</f>
        <v>0.222126438747278</v>
      </c>
      <c r="J220" s="230">
        <f>J$219*'BTX recycling rates'!L78</f>
        <v>0.24929880046483849</v>
      </c>
      <c r="K220" s="230">
        <f>K$219*'BTX recycling rates'!M78</f>
        <v>0.27736512256543816</v>
      </c>
      <c r="L220" s="230">
        <f>L$219*'BTX recycling rates'!N78</f>
        <v>0.30616089087821563</v>
      </c>
      <c r="M220" s="230">
        <f>M$219*'BTX recycling rates'!O78</f>
        <v>0.33550033005491964</v>
      </c>
      <c r="N220" s="230">
        <f>N$219*'BTX recycling rates'!P78</f>
        <v>0.37642624256270091</v>
      </c>
      <c r="O220" s="230">
        <f>O$219*'BTX recycling rates'!Q78</f>
        <v>0.41793714507409729</v>
      </c>
      <c r="P220" s="230">
        <f>P$219*'BTX recycling rates'!R78</f>
        <v>0.4594803866396221</v>
      </c>
      <c r="Q220" s="230">
        <f>Q$219*'BTX recycling rates'!S78</f>
        <v>0.50046190146749581</v>
      </c>
      <c r="R220" s="230">
        <f>R$219*'BTX recycling rates'!T78</f>
        <v>0.54025338678338797</v>
      </c>
      <c r="S220" s="230">
        <f>S$219*'BTX recycling rates'!U78</f>
        <v>0.58722750660338496</v>
      </c>
      <c r="T220" s="230">
        <f>T$219*'BTX recycling rates'!V78</f>
        <v>0.63480266501681093</v>
      </c>
      <c r="U220" s="230">
        <f>U$219*'BTX recycling rates'!W78</f>
        <v>0.68268309099427116</v>
      </c>
      <c r="V220" s="230">
        <f>V$219*'BTX recycling rates'!X78</f>
        <v>0.7305496349510523</v>
      </c>
      <c r="W220" s="230">
        <f>W$219*'BTX recycling rates'!Y78</f>
        <v>0.778059214019587</v>
      </c>
      <c r="X220" s="230">
        <f>X$219*'BTX recycling rates'!Z78</f>
        <v>0.84556977210946405</v>
      </c>
      <c r="Y220" s="230">
        <f>Y$219*'BTX recycling rates'!AA78</f>
        <v>0.9126960583886039</v>
      </c>
      <c r="Z220" s="230">
        <f>Z$219*'BTX recycling rates'!AB78</f>
        <v>0.97883943817428332</v>
      </c>
      <c r="AA220" s="230">
        <f>AA$219*'BTX recycling rates'!AC78</f>
        <v>1.0433595669521165</v>
      </c>
      <c r="AB220" s="230">
        <f>AB$219*'BTX recycling rates'!AD78</f>
        <v>1.1055734860469424</v>
      </c>
      <c r="AC220" s="230">
        <f>AC$219*'BTX recycling rates'!AE78</f>
        <v>1.153149075619468</v>
      </c>
      <c r="AD220" s="230">
        <f>AD$219*'BTX recycling rates'!AF78</f>
        <v>1.1945930965010088</v>
      </c>
      <c r="AE220" s="230">
        <f>AE$219*'BTX recycling rates'!AG78</f>
        <v>1.2288678771403889</v>
      </c>
      <c r="AF220" s="230">
        <f>AF$219*'BTX recycling rates'!AH78</f>
        <v>1.2548792008235932</v>
      </c>
      <c r="AG220" s="230">
        <f>AG$219*'BTX recycling rates'!AI78</f>
        <v>1.271475303776348</v>
      </c>
      <c r="AH220" s="245"/>
      <c r="AI220" s="133"/>
      <c r="AJ220" s="211"/>
      <c r="AL220" s="108"/>
      <c r="AM220" s="2"/>
      <c r="AN220" s="2"/>
      <c r="AO220" s="2"/>
      <c r="BC220" s="1"/>
      <c r="BD220" s="2"/>
      <c r="BE220" s="2"/>
      <c r="BF220" s="2"/>
      <c r="BG220" s="2"/>
      <c r="BH220" s="2"/>
      <c r="BI220" s="2"/>
      <c r="BJ220" s="2"/>
      <c r="BK220" s="2"/>
    </row>
    <row r="221" spans="1:63" outlineLevel="1" x14ac:dyDescent="0.2">
      <c r="A221" s="4" t="s">
        <v>478</v>
      </c>
      <c r="C221" s="230">
        <f>C$219*'BTX recycling rates'!E79</f>
        <v>0</v>
      </c>
      <c r="D221" s="230">
        <f>D$219*'BTX recycling rates'!F79</f>
        <v>0</v>
      </c>
      <c r="E221" s="230">
        <f>E$219*'BTX recycling rates'!G79</f>
        <v>0</v>
      </c>
      <c r="F221" s="230">
        <f>F$219*'BTX recycling rates'!H79</f>
        <v>0</v>
      </c>
      <c r="G221" s="230">
        <f>G$219*'BTX recycling rates'!I79</f>
        <v>0</v>
      </c>
      <c r="H221" s="230">
        <f>H$219*'BTX recycling rates'!J79</f>
        <v>0</v>
      </c>
      <c r="I221" s="230">
        <f>I$219*'BTX recycling rates'!K79</f>
        <v>0</v>
      </c>
      <c r="J221" s="230">
        <f>J$219*'BTX recycling rates'!L79</f>
        <v>0</v>
      </c>
      <c r="K221" s="230">
        <f>K$219*'BTX recycling rates'!M79</f>
        <v>0</v>
      </c>
      <c r="L221" s="230">
        <f>L$219*'BTX recycling rates'!N79</f>
        <v>0</v>
      </c>
      <c r="M221" s="230">
        <f>M$219*'BTX recycling rates'!O79</f>
        <v>0</v>
      </c>
      <c r="N221" s="230">
        <f>N$219*'BTX recycling rates'!P79</f>
        <v>0</v>
      </c>
      <c r="O221" s="230">
        <f>O$219*'BTX recycling rates'!Q79</f>
        <v>0</v>
      </c>
      <c r="P221" s="230">
        <f>P$219*'BTX recycling rates'!R79</f>
        <v>0</v>
      </c>
      <c r="Q221" s="230">
        <f>Q$219*'BTX recycling rates'!S79</f>
        <v>0</v>
      </c>
      <c r="R221" s="230">
        <f>R$219*'BTX recycling rates'!T79</f>
        <v>0</v>
      </c>
      <c r="S221" s="230">
        <f>S$219*'BTX recycling rates'!U79</f>
        <v>0</v>
      </c>
      <c r="T221" s="230">
        <f>T$219*'BTX recycling rates'!V79</f>
        <v>0</v>
      </c>
      <c r="U221" s="230">
        <f>U$219*'BTX recycling rates'!W79</f>
        <v>0</v>
      </c>
      <c r="V221" s="230">
        <f>V$219*'BTX recycling rates'!X79</f>
        <v>0</v>
      </c>
      <c r="W221" s="230">
        <f>W$219*'BTX recycling rates'!Y79</f>
        <v>0</v>
      </c>
      <c r="X221" s="230">
        <f>X$219*'BTX recycling rates'!Z79</f>
        <v>0</v>
      </c>
      <c r="Y221" s="230">
        <f>Y$219*'BTX recycling rates'!AA79</f>
        <v>0</v>
      </c>
      <c r="Z221" s="230">
        <f>Z$219*'BTX recycling rates'!AB79</f>
        <v>0</v>
      </c>
      <c r="AA221" s="230">
        <f>AA$219*'BTX recycling rates'!AC79</f>
        <v>0</v>
      </c>
      <c r="AB221" s="230">
        <f>AB$219*'BTX recycling rates'!AD79</f>
        <v>0</v>
      </c>
      <c r="AC221" s="230">
        <f>AC$219*'BTX recycling rates'!AE79</f>
        <v>0</v>
      </c>
      <c r="AD221" s="230">
        <f>AD$219*'BTX recycling rates'!AF79</f>
        <v>0</v>
      </c>
      <c r="AE221" s="230">
        <f>AE$219*'BTX recycling rates'!AG79</f>
        <v>0</v>
      </c>
      <c r="AF221" s="230">
        <f>AF$219*'BTX recycling rates'!AH79</f>
        <v>0</v>
      </c>
      <c r="AG221" s="230">
        <f>AG$219*'BTX recycling rates'!AI79</f>
        <v>0</v>
      </c>
      <c r="AH221" s="245"/>
      <c r="AI221" s="133"/>
      <c r="AJ221" s="211"/>
      <c r="AL221" s="108"/>
      <c r="AM221" s="2"/>
      <c r="AN221" s="2"/>
      <c r="AO221" s="2"/>
      <c r="BC221" s="1"/>
      <c r="BD221" s="2"/>
      <c r="BE221" s="2"/>
      <c r="BF221" s="2"/>
      <c r="BG221" s="2"/>
      <c r="BH221" s="2"/>
      <c r="BI221" s="2"/>
      <c r="BJ221" s="2"/>
      <c r="BK221" s="2"/>
    </row>
    <row r="222" spans="1:63" outlineLevel="1" x14ac:dyDescent="0.2">
      <c r="A222" s="4" t="s">
        <v>745</v>
      </c>
      <c r="C222" s="230">
        <f>C$219*'BTX recycling rates'!E80</f>
        <v>0</v>
      </c>
      <c r="D222" s="230">
        <f>D$219*'BTX recycling rates'!F80</f>
        <v>0</v>
      </c>
      <c r="E222" s="230">
        <f>E$219*'BTX recycling rates'!G80</f>
        <v>0</v>
      </c>
      <c r="F222" s="230">
        <f>F$219*'BTX recycling rates'!H80</f>
        <v>0</v>
      </c>
      <c r="G222" s="230">
        <f>G$219*'BTX recycling rates'!I80</f>
        <v>0</v>
      </c>
      <c r="H222" s="230">
        <f>H$219*'BTX recycling rates'!J80</f>
        <v>0</v>
      </c>
      <c r="I222" s="230">
        <f>I$219*'BTX recycling rates'!K80</f>
        <v>0</v>
      </c>
      <c r="J222" s="230">
        <f>J$219*'BTX recycling rates'!L80</f>
        <v>0</v>
      </c>
      <c r="K222" s="230">
        <f>K$219*'BTX recycling rates'!M80</f>
        <v>0</v>
      </c>
      <c r="L222" s="230">
        <f>L$219*'BTX recycling rates'!N80</f>
        <v>0</v>
      </c>
      <c r="M222" s="230">
        <f>M$219*'BTX recycling rates'!O80</f>
        <v>0</v>
      </c>
      <c r="N222" s="230">
        <f>N$219*'BTX recycling rates'!P80</f>
        <v>0</v>
      </c>
      <c r="O222" s="230">
        <f>O$219*'BTX recycling rates'!Q80</f>
        <v>0</v>
      </c>
      <c r="P222" s="230">
        <f>P$219*'BTX recycling rates'!R80</f>
        <v>0</v>
      </c>
      <c r="Q222" s="230">
        <f>Q$219*'BTX recycling rates'!S80</f>
        <v>0</v>
      </c>
      <c r="R222" s="230">
        <f>R$219*'BTX recycling rates'!T80</f>
        <v>0</v>
      </c>
      <c r="S222" s="230">
        <f>S$219*'BTX recycling rates'!U80</f>
        <v>0</v>
      </c>
      <c r="T222" s="230">
        <f>T$219*'BTX recycling rates'!V80</f>
        <v>0</v>
      </c>
      <c r="U222" s="230">
        <f>U$219*'BTX recycling rates'!W80</f>
        <v>0</v>
      </c>
      <c r="V222" s="230">
        <f>V$219*'BTX recycling rates'!X80</f>
        <v>0</v>
      </c>
      <c r="W222" s="230">
        <f>W$219*'BTX recycling rates'!Y80</f>
        <v>0</v>
      </c>
      <c r="X222" s="230">
        <f>X$219*'BTX recycling rates'!Z80</f>
        <v>0</v>
      </c>
      <c r="Y222" s="230">
        <f>Y$219*'BTX recycling rates'!AA80</f>
        <v>0</v>
      </c>
      <c r="Z222" s="230">
        <f>Z$219*'BTX recycling rates'!AB80</f>
        <v>0</v>
      </c>
      <c r="AA222" s="230">
        <f>AA$219*'BTX recycling rates'!AC80</f>
        <v>0</v>
      </c>
      <c r="AB222" s="230">
        <f>AB$219*'BTX recycling rates'!AD80</f>
        <v>0</v>
      </c>
      <c r="AC222" s="230">
        <f>AC$219*'BTX recycling rates'!AE80</f>
        <v>0</v>
      </c>
      <c r="AD222" s="230">
        <f>AD$219*'BTX recycling rates'!AF80</f>
        <v>0</v>
      </c>
      <c r="AE222" s="230">
        <f>AE$219*'BTX recycling rates'!AG80</f>
        <v>0</v>
      </c>
      <c r="AF222" s="230">
        <f>AF$219*'BTX recycling rates'!AH80</f>
        <v>0</v>
      </c>
      <c r="AG222" s="230">
        <f>AG$219*'BTX recycling rates'!AI80</f>
        <v>0</v>
      </c>
      <c r="AH222" s="245"/>
      <c r="AI222" s="133"/>
      <c r="AJ222" s="211"/>
      <c r="AL222" s="108"/>
      <c r="AM222" s="2"/>
      <c r="AN222" s="2"/>
      <c r="AO222" s="2"/>
      <c r="BC222" s="1"/>
      <c r="BD222" s="2"/>
      <c r="BE222" s="2"/>
      <c r="BF222" s="2"/>
      <c r="BG222" s="2"/>
      <c r="BH222" s="2"/>
      <c r="BI222" s="2"/>
      <c r="BJ222" s="2"/>
      <c r="BK222" s="2"/>
    </row>
    <row r="223" spans="1:63" outlineLevel="1" x14ac:dyDescent="0.2">
      <c r="A223" s="4" t="s">
        <v>1561</v>
      </c>
      <c r="C223" s="230">
        <f>C$219*'BTX recycling rates'!E81</f>
        <v>8.9092613893120808E-3</v>
      </c>
      <c r="D223" s="230">
        <f>D$219*'BTX recycling rates'!F81</f>
        <v>8.0417338234090498E-3</v>
      </c>
      <c r="E223" s="230">
        <f>E$219*'BTX recycling rates'!G81</f>
        <v>9.9972421488508691E-3</v>
      </c>
      <c r="F223" s="230">
        <f>F$219*'BTX recycling rates'!H81</f>
        <v>1.2180891530121661E-2</v>
      </c>
      <c r="G223" s="230">
        <f>G$219*'BTX recycling rates'!I81</f>
        <v>1.4596344785373172E-2</v>
      </c>
      <c r="H223" s="230">
        <f>H$219*'BTX recycling rates'!J81</f>
        <v>1.7244612862234221E-2</v>
      </c>
      <c r="I223" s="230">
        <f>I$219*'BTX recycling rates'!K81</f>
        <v>1.9544089588457284E-2</v>
      </c>
      <c r="J223" s="230">
        <f>J$219*'BTX recycling rates'!L81</f>
        <v>2.1934885905784355E-2</v>
      </c>
      <c r="K223" s="230">
        <f>K$219*'BTX recycling rates'!M81</f>
        <v>2.4404338514155317E-2</v>
      </c>
      <c r="L223" s="230">
        <f>L$219*'BTX recycling rates'!N81</f>
        <v>2.6937972415852569E-2</v>
      </c>
      <c r="M223" s="230">
        <f>M$219*'BTX recycling rates'!O81</f>
        <v>2.9519441920241425E-2</v>
      </c>
      <c r="N223" s="230">
        <f>N$219*'BTX recycling rates'!P81</f>
        <v>3.312036266183524E-2</v>
      </c>
      <c r="O223" s="230">
        <f>O$219*'BTX recycling rates'!Q81</f>
        <v>3.6772754525477763E-2</v>
      </c>
      <c r="P223" s="230">
        <f>P$219*'BTX recycling rates'!R81</f>
        <v>4.0427991783728218E-2</v>
      </c>
      <c r="Q223" s="230">
        <f>Q$219*'BTX recycling rates'!S81</f>
        <v>4.4033804769268062E-2</v>
      </c>
      <c r="R223" s="230">
        <f>R$219*'BTX recycling rates'!T81</f>
        <v>4.7534911428419008E-2</v>
      </c>
      <c r="S223" s="230">
        <f>S$219*'BTX recycling rates'!U81</f>
        <v>5.1667991719439504E-2</v>
      </c>
      <c r="T223" s="230">
        <f>T$219*'BTX recycling rates'!V81</f>
        <v>5.5853955188988169E-2</v>
      </c>
      <c r="U223" s="230">
        <f>U$219*'BTX recycling rates'!W81</f>
        <v>6.0066778030404416E-2</v>
      </c>
      <c r="V223" s="230">
        <f>V$219*'BTX recycling rates'!X81</f>
        <v>6.4278379443802686E-2</v>
      </c>
      <c r="W223" s="230">
        <f>W$219*'BTX recycling rates'!Y81</f>
        <v>6.845857282763379E-2</v>
      </c>
      <c r="X223" s="230">
        <f>X$219*'BTX recycling rates'!Z81</f>
        <v>7.4398578902176216E-2</v>
      </c>
      <c r="Y223" s="230">
        <f>Y$219*'BTX recycling rates'!AA81</f>
        <v>8.0304774311325891E-2</v>
      </c>
      <c r="Z223" s="230">
        <f>Z$219*'BTX recycling rates'!AB81</f>
        <v>8.6124487387829324E-2</v>
      </c>
      <c r="AA223" s="230">
        <f>AA$219*'BTX recycling rates'!AC81</f>
        <v>9.1801376569523932E-2</v>
      </c>
      <c r="AB223" s="230">
        <f>AB$219*'BTX recycling rates'!AD81</f>
        <v>9.7275350830740556E-2</v>
      </c>
      <c r="AC223" s="230">
        <f>AC$219*'BTX recycling rates'!AE81</f>
        <v>0.10146135223639498</v>
      </c>
      <c r="AD223" s="230">
        <f>AD$219*'BTX recycling rates'!AF81</f>
        <v>0.10510785943104856</v>
      </c>
      <c r="AE223" s="230">
        <f>AE$219*'BTX recycling rates'!AG81</f>
        <v>0.10812357150575076</v>
      </c>
      <c r="AF223" s="230">
        <f>AF$219*'BTX recycling rates'!AH81</f>
        <v>0.11041221235033431</v>
      </c>
      <c r="AG223" s="230">
        <f>AG$219*'BTX recycling rates'!AI81</f>
        <v>0.11187244250014071</v>
      </c>
      <c r="AH223" s="245"/>
      <c r="AI223" s="133"/>
      <c r="AJ223" s="211"/>
      <c r="AL223" s="108"/>
      <c r="AM223" s="2"/>
      <c r="AN223" s="2"/>
      <c r="AO223" s="2"/>
      <c r="BC223" s="1"/>
      <c r="BD223" s="2"/>
      <c r="BE223" s="2"/>
      <c r="BF223" s="2"/>
      <c r="BG223" s="2"/>
      <c r="BH223" s="2"/>
      <c r="BI223" s="2"/>
      <c r="BJ223" s="2"/>
      <c r="BK223" s="2"/>
    </row>
    <row r="224" spans="1:63" s="1" customFormat="1" outlineLevel="1" x14ac:dyDescent="0.2">
      <c r="A224" s="1" t="s">
        <v>1570</v>
      </c>
      <c r="B224" s="65"/>
      <c r="C224" s="300">
        <f t="shared" ref="C224:AG224" si="137">C219-$C219</f>
        <v>0</v>
      </c>
      <c r="D224" s="300">
        <f t="shared" si="137"/>
        <v>-1.072732726938698E-2</v>
      </c>
      <c r="E224" s="300">
        <f t="shared" si="137"/>
        <v>1.3453319674309169E-2</v>
      </c>
      <c r="F224" s="300">
        <f t="shared" si="137"/>
        <v>4.0455022530981849E-2</v>
      </c>
      <c r="G224" s="300">
        <f t="shared" si="137"/>
        <v>7.0323073520251911E-2</v>
      </c>
      <c r="H224" s="300">
        <f t="shared" si="137"/>
        <v>0.10306997341614982</v>
      </c>
      <c r="I224" s="300">
        <f t="shared" si="137"/>
        <v>0.13150392797856952</v>
      </c>
      <c r="J224" s="300">
        <f t="shared" si="137"/>
        <v>0.16106708601345709</v>
      </c>
      <c r="K224" s="300">
        <f t="shared" si="137"/>
        <v>0.19160286072242771</v>
      </c>
      <c r="L224" s="300">
        <f t="shared" si="137"/>
        <v>0.22293226293690244</v>
      </c>
      <c r="M224" s="300">
        <f t="shared" si="137"/>
        <v>0.25485317161799531</v>
      </c>
      <c r="N224" s="300">
        <f t="shared" si="137"/>
        <v>0.29938000486737038</v>
      </c>
      <c r="O224" s="300">
        <f t="shared" si="137"/>
        <v>0.34454329924240928</v>
      </c>
      <c r="P224" s="300">
        <f t="shared" si="137"/>
        <v>0.38974177806618454</v>
      </c>
      <c r="Q224" s="300">
        <f t="shared" si="137"/>
        <v>0.43432910587959817</v>
      </c>
      <c r="R224" s="300">
        <f t="shared" si="137"/>
        <v>0.47762169785464126</v>
      </c>
      <c r="S224" s="300">
        <f t="shared" si="137"/>
        <v>0.5287288979656587</v>
      </c>
      <c r="T224" s="300">
        <f t="shared" si="137"/>
        <v>0.58049001984863335</v>
      </c>
      <c r="U224" s="300">
        <f t="shared" si="137"/>
        <v>0.6325832686675098</v>
      </c>
      <c r="V224" s="300">
        <f t="shared" si="137"/>
        <v>0.68466141403768921</v>
      </c>
      <c r="W224" s="300">
        <f t="shared" si="137"/>
        <v>0.73635118649005504</v>
      </c>
      <c r="X224" s="300">
        <f t="shared" si="137"/>
        <v>0.80980175065447446</v>
      </c>
      <c r="Y224" s="300">
        <f t="shared" si="137"/>
        <v>0.88283423234276404</v>
      </c>
      <c r="Z224" s="300">
        <f t="shared" si="137"/>
        <v>0.95479732520494687</v>
      </c>
      <c r="AA224" s="300">
        <f t="shared" si="137"/>
        <v>1.0249943431644746</v>
      </c>
      <c r="AB224" s="300">
        <f t="shared" si="137"/>
        <v>1.0926822365205171</v>
      </c>
      <c r="AC224" s="300">
        <f t="shared" si="137"/>
        <v>1.1444438274986972</v>
      </c>
      <c r="AD224" s="300">
        <f t="shared" si="137"/>
        <v>1.1895343555748916</v>
      </c>
      <c r="AE224" s="300">
        <f t="shared" si="137"/>
        <v>1.2268248482889739</v>
      </c>
      <c r="AF224" s="300">
        <f t="shared" si="137"/>
        <v>1.2551248128167618</v>
      </c>
      <c r="AG224" s="300">
        <f t="shared" si="137"/>
        <v>1.2731811459193232</v>
      </c>
      <c r="AH224" s="245"/>
      <c r="AI224" s="423"/>
      <c r="AJ224" s="424"/>
      <c r="AL224" s="221"/>
      <c r="AM224" s="124"/>
      <c r="AN224" s="124"/>
      <c r="AO224" s="124"/>
      <c r="BD224" s="124"/>
      <c r="BE224" s="124"/>
      <c r="BF224" s="124"/>
      <c r="BG224" s="124"/>
      <c r="BH224" s="124"/>
      <c r="BI224" s="124"/>
      <c r="BJ224" s="124"/>
      <c r="BK224" s="124"/>
    </row>
    <row r="225" spans="1:63" outlineLevel="1" x14ac:dyDescent="0.2">
      <c r="A225" s="4" t="s">
        <v>474</v>
      </c>
      <c r="C225" s="230">
        <f t="shared" ref="C225:AG225" si="138">C220-$C220</f>
        <v>0</v>
      </c>
      <c r="D225" s="230">
        <f t="shared" si="138"/>
        <v>-9.8597997034839402E-3</v>
      </c>
      <c r="E225" s="230">
        <f t="shared" si="138"/>
        <v>1.2365338914770388E-2</v>
      </c>
      <c r="F225" s="230">
        <f t="shared" si="138"/>
        <v>3.7183392390172265E-2</v>
      </c>
      <c r="G225" s="230">
        <f t="shared" si="138"/>
        <v>6.4635990124190829E-2</v>
      </c>
      <c r="H225" s="230">
        <f t="shared" si="138"/>
        <v>9.4734621943227681E-2</v>
      </c>
      <c r="I225" s="230">
        <f t="shared" si="138"/>
        <v>0.12086909977942434</v>
      </c>
      <c r="J225" s="230">
        <f t="shared" si="138"/>
        <v>0.14804146149698483</v>
      </c>
      <c r="K225" s="230">
        <f t="shared" si="138"/>
        <v>0.1761077835975845</v>
      </c>
      <c r="L225" s="230">
        <f t="shared" si="138"/>
        <v>0.20490355191036197</v>
      </c>
      <c r="M225" s="230">
        <f t="shared" si="138"/>
        <v>0.23424299108706598</v>
      </c>
      <c r="N225" s="230">
        <f t="shared" si="138"/>
        <v>0.27516890359484725</v>
      </c>
      <c r="O225" s="230">
        <f t="shared" si="138"/>
        <v>0.31667980610624363</v>
      </c>
      <c r="P225" s="230">
        <f t="shared" si="138"/>
        <v>0.35822304767176844</v>
      </c>
      <c r="Q225" s="230">
        <f t="shared" si="138"/>
        <v>0.39920456249964215</v>
      </c>
      <c r="R225" s="230">
        <f t="shared" si="138"/>
        <v>0.43899604781553431</v>
      </c>
      <c r="S225" s="230">
        <f t="shared" si="138"/>
        <v>0.4859701676355313</v>
      </c>
      <c r="T225" s="230">
        <f t="shared" si="138"/>
        <v>0.53354532604895732</v>
      </c>
      <c r="U225" s="230">
        <f t="shared" si="138"/>
        <v>0.58142575202641744</v>
      </c>
      <c r="V225" s="230">
        <f t="shared" si="138"/>
        <v>0.62929229598319858</v>
      </c>
      <c r="W225" s="230">
        <f t="shared" si="138"/>
        <v>0.67680187505173328</v>
      </c>
      <c r="X225" s="230">
        <f t="shared" si="138"/>
        <v>0.74431243314161044</v>
      </c>
      <c r="Y225" s="230">
        <f t="shared" si="138"/>
        <v>0.81143871942075019</v>
      </c>
      <c r="Z225" s="230">
        <f t="shared" si="138"/>
        <v>0.8775820992064296</v>
      </c>
      <c r="AA225" s="230">
        <f t="shared" si="138"/>
        <v>0.9421022279842628</v>
      </c>
      <c r="AB225" s="230">
        <f t="shared" si="138"/>
        <v>1.0043161470790887</v>
      </c>
      <c r="AC225" s="230">
        <f t="shared" si="138"/>
        <v>1.0518917366516143</v>
      </c>
      <c r="AD225" s="230">
        <f t="shared" si="138"/>
        <v>1.093335757533155</v>
      </c>
      <c r="AE225" s="230">
        <f t="shared" si="138"/>
        <v>1.1276105381725352</v>
      </c>
      <c r="AF225" s="230">
        <f t="shared" si="138"/>
        <v>1.1536218618557394</v>
      </c>
      <c r="AG225" s="230">
        <f t="shared" si="138"/>
        <v>1.1702179648084943</v>
      </c>
      <c r="AH225" s="245"/>
      <c r="AI225" s="133"/>
      <c r="AJ225" s="211"/>
      <c r="AL225" s="108"/>
      <c r="AM225" s="2"/>
      <c r="AN225" s="2"/>
      <c r="AO225" s="2"/>
      <c r="BC225" s="1"/>
      <c r="BD225" s="2"/>
      <c r="BE225" s="2"/>
      <c r="BF225" s="2"/>
      <c r="BG225" s="2"/>
      <c r="BH225" s="2"/>
      <c r="BI225" s="2"/>
      <c r="BJ225" s="2"/>
      <c r="BK225" s="2"/>
    </row>
    <row r="226" spans="1:63" outlineLevel="1" x14ac:dyDescent="0.2">
      <c r="A226" s="4" t="s">
        <v>478</v>
      </c>
      <c r="C226" s="230">
        <f t="shared" ref="C226:AG226" si="139">C221-$C221</f>
        <v>0</v>
      </c>
      <c r="D226" s="230">
        <f t="shared" si="139"/>
        <v>0</v>
      </c>
      <c r="E226" s="230">
        <f t="shared" si="139"/>
        <v>0</v>
      </c>
      <c r="F226" s="230">
        <f t="shared" si="139"/>
        <v>0</v>
      </c>
      <c r="G226" s="230">
        <f t="shared" si="139"/>
        <v>0</v>
      </c>
      <c r="H226" s="230">
        <f t="shared" si="139"/>
        <v>0</v>
      </c>
      <c r="I226" s="230">
        <f t="shared" si="139"/>
        <v>0</v>
      </c>
      <c r="J226" s="230">
        <f t="shared" si="139"/>
        <v>0</v>
      </c>
      <c r="K226" s="230">
        <f t="shared" si="139"/>
        <v>0</v>
      </c>
      <c r="L226" s="230">
        <f t="shared" si="139"/>
        <v>0</v>
      </c>
      <c r="M226" s="230">
        <f t="shared" si="139"/>
        <v>0</v>
      </c>
      <c r="N226" s="230">
        <f t="shared" si="139"/>
        <v>0</v>
      </c>
      <c r="O226" s="230">
        <f t="shared" si="139"/>
        <v>0</v>
      </c>
      <c r="P226" s="230">
        <f t="shared" si="139"/>
        <v>0</v>
      </c>
      <c r="Q226" s="230">
        <f t="shared" si="139"/>
        <v>0</v>
      </c>
      <c r="R226" s="230">
        <f t="shared" si="139"/>
        <v>0</v>
      </c>
      <c r="S226" s="230">
        <f t="shared" si="139"/>
        <v>0</v>
      </c>
      <c r="T226" s="230">
        <f t="shared" si="139"/>
        <v>0</v>
      </c>
      <c r="U226" s="230">
        <f t="shared" si="139"/>
        <v>0</v>
      </c>
      <c r="V226" s="230">
        <f t="shared" si="139"/>
        <v>0</v>
      </c>
      <c r="W226" s="230">
        <f t="shared" si="139"/>
        <v>0</v>
      </c>
      <c r="X226" s="230">
        <f t="shared" si="139"/>
        <v>0</v>
      </c>
      <c r="Y226" s="230">
        <f t="shared" si="139"/>
        <v>0</v>
      </c>
      <c r="Z226" s="230">
        <f t="shared" si="139"/>
        <v>0</v>
      </c>
      <c r="AA226" s="230">
        <f t="shared" si="139"/>
        <v>0</v>
      </c>
      <c r="AB226" s="230">
        <f t="shared" si="139"/>
        <v>0</v>
      </c>
      <c r="AC226" s="230">
        <f t="shared" si="139"/>
        <v>0</v>
      </c>
      <c r="AD226" s="230">
        <f t="shared" si="139"/>
        <v>0</v>
      </c>
      <c r="AE226" s="230">
        <f t="shared" si="139"/>
        <v>0</v>
      </c>
      <c r="AF226" s="230">
        <f t="shared" si="139"/>
        <v>0</v>
      </c>
      <c r="AG226" s="230">
        <f t="shared" si="139"/>
        <v>0</v>
      </c>
      <c r="AH226" s="245"/>
      <c r="AI226" s="133"/>
      <c r="AJ226" s="211"/>
      <c r="AL226" s="108"/>
      <c r="AM226" s="2"/>
      <c r="AN226" s="2"/>
      <c r="AO226" s="2"/>
      <c r="BC226" s="1"/>
      <c r="BD226" s="2"/>
      <c r="BE226" s="2"/>
      <c r="BF226" s="2"/>
      <c r="BG226" s="2"/>
      <c r="BH226" s="2"/>
      <c r="BI226" s="2"/>
      <c r="BJ226" s="2"/>
      <c r="BK226" s="2"/>
    </row>
    <row r="227" spans="1:63" outlineLevel="1" x14ac:dyDescent="0.2">
      <c r="A227" s="4" t="s">
        <v>745</v>
      </c>
      <c r="C227" s="230">
        <f t="shared" ref="C227:AG227" si="140">C222-$C222</f>
        <v>0</v>
      </c>
      <c r="D227" s="230">
        <f t="shared" si="140"/>
        <v>0</v>
      </c>
      <c r="E227" s="230">
        <f t="shared" si="140"/>
        <v>0</v>
      </c>
      <c r="F227" s="230">
        <f t="shared" si="140"/>
        <v>0</v>
      </c>
      <c r="G227" s="230">
        <f t="shared" si="140"/>
        <v>0</v>
      </c>
      <c r="H227" s="230">
        <f t="shared" si="140"/>
        <v>0</v>
      </c>
      <c r="I227" s="230">
        <f t="shared" si="140"/>
        <v>0</v>
      </c>
      <c r="J227" s="230">
        <f t="shared" si="140"/>
        <v>0</v>
      </c>
      <c r="K227" s="230">
        <f t="shared" si="140"/>
        <v>0</v>
      </c>
      <c r="L227" s="230">
        <f t="shared" si="140"/>
        <v>0</v>
      </c>
      <c r="M227" s="230">
        <f t="shared" si="140"/>
        <v>0</v>
      </c>
      <c r="N227" s="230">
        <f t="shared" si="140"/>
        <v>0</v>
      </c>
      <c r="O227" s="230">
        <f t="shared" si="140"/>
        <v>0</v>
      </c>
      <c r="P227" s="230">
        <f t="shared" si="140"/>
        <v>0</v>
      </c>
      <c r="Q227" s="230">
        <f t="shared" si="140"/>
        <v>0</v>
      </c>
      <c r="R227" s="230">
        <f t="shared" si="140"/>
        <v>0</v>
      </c>
      <c r="S227" s="230">
        <f t="shared" si="140"/>
        <v>0</v>
      </c>
      <c r="T227" s="230">
        <f t="shared" si="140"/>
        <v>0</v>
      </c>
      <c r="U227" s="230">
        <f t="shared" si="140"/>
        <v>0</v>
      </c>
      <c r="V227" s="230">
        <f t="shared" si="140"/>
        <v>0</v>
      </c>
      <c r="W227" s="230">
        <f t="shared" si="140"/>
        <v>0</v>
      </c>
      <c r="X227" s="230">
        <f t="shared" si="140"/>
        <v>0</v>
      </c>
      <c r="Y227" s="230">
        <f t="shared" si="140"/>
        <v>0</v>
      </c>
      <c r="Z227" s="230">
        <f t="shared" si="140"/>
        <v>0</v>
      </c>
      <c r="AA227" s="230">
        <f t="shared" si="140"/>
        <v>0</v>
      </c>
      <c r="AB227" s="230">
        <f t="shared" si="140"/>
        <v>0</v>
      </c>
      <c r="AC227" s="230">
        <f t="shared" si="140"/>
        <v>0</v>
      </c>
      <c r="AD227" s="230">
        <f t="shared" si="140"/>
        <v>0</v>
      </c>
      <c r="AE227" s="230">
        <f t="shared" si="140"/>
        <v>0</v>
      </c>
      <c r="AF227" s="230">
        <f t="shared" si="140"/>
        <v>0</v>
      </c>
      <c r="AG227" s="230">
        <f t="shared" si="140"/>
        <v>0</v>
      </c>
      <c r="AH227" s="245"/>
      <c r="AI227" s="133"/>
      <c r="AJ227" s="211"/>
      <c r="AL227" s="108"/>
      <c r="AM227" s="2"/>
      <c r="AN227" s="2"/>
      <c r="AO227" s="2"/>
      <c r="BC227" s="1"/>
      <c r="BD227" s="2"/>
      <c r="BE227" s="2"/>
      <c r="BF227" s="2"/>
      <c r="BG227" s="2"/>
      <c r="BH227" s="2"/>
      <c r="BI227" s="2"/>
      <c r="BJ227" s="2"/>
      <c r="BK227" s="2"/>
    </row>
    <row r="228" spans="1:63" outlineLevel="1" x14ac:dyDescent="0.2">
      <c r="A228" s="4" t="s">
        <v>1561</v>
      </c>
      <c r="C228" s="230">
        <f t="shared" ref="C228:AG228" si="141">C223-$C223</f>
        <v>0</v>
      </c>
      <c r="D228" s="230">
        <f t="shared" si="141"/>
        <v>-8.6752756590303091E-4</v>
      </c>
      <c r="E228" s="230">
        <f t="shared" si="141"/>
        <v>1.0879807595387883E-3</v>
      </c>
      <c r="F228" s="230">
        <f t="shared" si="141"/>
        <v>3.2716301408095803E-3</v>
      </c>
      <c r="G228" s="230">
        <f t="shared" si="141"/>
        <v>5.6870833960610909E-3</v>
      </c>
      <c r="H228" s="230">
        <f t="shared" si="141"/>
        <v>8.3353514729221402E-3</v>
      </c>
      <c r="I228" s="230">
        <f t="shared" si="141"/>
        <v>1.0634828199145203E-2</v>
      </c>
      <c r="J228" s="230">
        <f t="shared" si="141"/>
        <v>1.3025624516472274E-2</v>
      </c>
      <c r="K228" s="230">
        <f t="shared" si="141"/>
        <v>1.5495077124843236E-2</v>
      </c>
      <c r="L228" s="230">
        <f t="shared" si="141"/>
        <v>1.8028711026540488E-2</v>
      </c>
      <c r="M228" s="230">
        <f t="shared" si="141"/>
        <v>2.0610180530929344E-2</v>
      </c>
      <c r="N228" s="230">
        <f t="shared" si="141"/>
        <v>2.4211101272523159E-2</v>
      </c>
      <c r="O228" s="230">
        <f t="shared" si="141"/>
        <v>2.7863493136165682E-2</v>
      </c>
      <c r="P228" s="230">
        <f t="shared" si="141"/>
        <v>3.1518730394416133E-2</v>
      </c>
      <c r="Q228" s="230">
        <f t="shared" si="141"/>
        <v>3.5124543379955978E-2</v>
      </c>
      <c r="R228" s="230">
        <f t="shared" si="141"/>
        <v>3.8625650039106924E-2</v>
      </c>
      <c r="S228" s="230">
        <f t="shared" si="141"/>
        <v>4.275873033012742E-2</v>
      </c>
      <c r="T228" s="230">
        <f t="shared" si="141"/>
        <v>4.6944693799676085E-2</v>
      </c>
      <c r="U228" s="230">
        <f t="shared" si="141"/>
        <v>5.1157516641092332E-2</v>
      </c>
      <c r="V228" s="230">
        <f t="shared" si="141"/>
        <v>5.5369118054490601E-2</v>
      </c>
      <c r="W228" s="230">
        <f t="shared" si="141"/>
        <v>5.9549311438321706E-2</v>
      </c>
      <c r="X228" s="230">
        <f t="shared" si="141"/>
        <v>6.5489317512864131E-2</v>
      </c>
      <c r="Y228" s="230">
        <f t="shared" si="141"/>
        <v>7.1395512922013807E-2</v>
      </c>
      <c r="Z228" s="230">
        <f t="shared" si="141"/>
        <v>7.721522599851724E-2</v>
      </c>
      <c r="AA228" s="230">
        <f t="shared" si="141"/>
        <v>8.2892115180211848E-2</v>
      </c>
      <c r="AB228" s="230">
        <f t="shared" si="141"/>
        <v>8.8366089441428472E-2</v>
      </c>
      <c r="AC228" s="230">
        <f t="shared" si="141"/>
        <v>9.2552090847082893E-2</v>
      </c>
      <c r="AD228" s="230">
        <f t="shared" si="141"/>
        <v>9.6198598041736472E-2</v>
      </c>
      <c r="AE228" s="230">
        <f t="shared" si="141"/>
        <v>9.9214310116438678E-2</v>
      </c>
      <c r="AF228" s="230">
        <f t="shared" si="141"/>
        <v>0.10150295096102223</v>
      </c>
      <c r="AG228" s="230">
        <f t="shared" si="141"/>
        <v>0.10296318111082862</v>
      </c>
      <c r="AH228" s="245"/>
      <c r="AI228" s="133"/>
      <c r="AJ228" s="211"/>
      <c r="AL228" s="108"/>
      <c r="AM228" s="2"/>
      <c r="AN228" s="2"/>
      <c r="AO228" s="2"/>
      <c r="BC228" s="1"/>
      <c r="BD228" s="2"/>
      <c r="BE228" s="2"/>
      <c r="BF228" s="2"/>
      <c r="BG228" s="2"/>
      <c r="BH228" s="2"/>
      <c r="BI228" s="2"/>
      <c r="BJ228" s="2"/>
      <c r="BK228" s="2"/>
    </row>
    <row r="229" spans="1:63" s="1" customFormat="1" outlineLevel="1" x14ac:dyDescent="0.2">
      <c r="A229" s="1" t="s">
        <v>1637</v>
      </c>
      <c r="B229" s="65"/>
      <c r="C229" s="300">
        <f>C203*C45</f>
        <v>0.11016660035716574</v>
      </c>
      <c r="D229" s="300">
        <f t="shared" ref="D229:AG229" si="142">D203*D45</f>
        <v>9.9439273087778765E-2</v>
      </c>
      <c r="E229" s="300">
        <f t="shared" si="142"/>
        <v>0.12361992003147491</v>
      </c>
      <c r="F229" s="300">
        <f t="shared" si="142"/>
        <v>0.15062162288814759</v>
      </c>
      <c r="G229" s="300">
        <f t="shared" si="142"/>
        <v>0.18048967387741766</v>
      </c>
      <c r="H229" s="300">
        <f t="shared" si="142"/>
        <v>0.21323657377331556</v>
      </c>
      <c r="I229" s="300">
        <f t="shared" si="142"/>
        <v>0.24167052833573527</v>
      </c>
      <c r="J229" s="300">
        <f t="shared" si="142"/>
        <v>0.27123368637062284</v>
      </c>
      <c r="K229" s="300">
        <f t="shared" si="142"/>
        <v>0.30176946107959346</v>
      </c>
      <c r="L229" s="300">
        <f t="shared" si="142"/>
        <v>0.33309886329406818</v>
      </c>
      <c r="M229" s="300">
        <f t="shared" si="142"/>
        <v>0.36501977197516106</v>
      </c>
      <c r="N229" s="300">
        <f t="shared" si="142"/>
        <v>0.40954660522453612</v>
      </c>
      <c r="O229" s="300">
        <f t="shared" si="142"/>
        <v>0.45470989959957503</v>
      </c>
      <c r="P229" s="300">
        <f t="shared" si="142"/>
        <v>0.49990837842335029</v>
      </c>
      <c r="Q229" s="300">
        <f t="shared" si="142"/>
        <v>0.54449570623676391</v>
      </c>
      <c r="R229" s="300">
        <f t="shared" si="142"/>
        <v>0.587788298211807</v>
      </c>
      <c r="S229" s="300">
        <f t="shared" si="142"/>
        <v>0.63889549832282444</v>
      </c>
      <c r="T229" s="300">
        <f t="shared" si="142"/>
        <v>0.6906566202057991</v>
      </c>
      <c r="U229" s="300">
        <f t="shared" si="142"/>
        <v>0.74274986902467555</v>
      </c>
      <c r="V229" s="300">
        <f t="shared" si="142"/>
        <v>0.79482801439485495</v>
      </c>
      <c r="W229" s="300">
        <f t="shared" si="142"/>
        <v>0.84651778684722079</v>
      </c>
      <c r="X229" s="300">
        <f t="shared" si="142"/>
        <v>0.91996835101164021</v>
      </c>
      <c r="Y229" s="300">
        <f t="shared" si="142"/>
        <v>0.99300083269992978</v>
      </c>
      <c r="Z229" s="300">
        <f t="shared" si="142"/>
        <v>1.0649639255621126</v>
      </c>
      <c r="AA229" s="300">
        <f t="shared" si="142"/>
        <v>1.1351609435216403</v>
      </c>
      <c r="AB229" s="300">
        <f t="shared" si="142"/>
        <v>1.2028488368776828</v>
      </c>
      <c r="AC229" s="300">
        <f t="shared" si="142"/>
        <v>1.254610427855863</v>
      </c>
      <c r="AD229" s="300">
        <f t="shared" si="142"/>
        <v>1.2997009559320574</v>
      </c>
      <c r="AE229" s="300">
        <f t="shared" si="142"/>
        <v>1.3369914486461396</v>
      </c>
      <c r="AF229" s="300">
        <f t="shared" si="142"/>
        <v>1.3652914131739275</v>
      </c>
      <c r="AG229" s="300">
        <f t="shared" si="142"/>
        <v>1.3833477462764889</v>
      </c>
      <c r="AH229" s="245"/>
      <c r="AI229" s="423"/>
      <c r="AJ229" s="424"/>
      <c r="AL229" s="221"/>
      <c r="AM229" s="124"/>
      <c r="AN229" s="124"/>
      <c r="AO229" s="124"/>
      <c r="BD229" s="124"/>
      <c r="BE229" s="124"/>
      <c r="BF229" s="124"/>
      <c r="BG229" s="124"/>
      <c r="BH229" s="124"/>
      <c r="BI229" s="124"/>
      <c r="BJ229" s="124"/>
      <c r="BK229" s="124"/>
    </row>
    <row r="230" spans="1:63" outlineLevel="1" x14ac:dyDescent="0.2">
      <c r="A230" s="4" t="s">
        <v>474</v>
      </c>
      <c r="C230" s="230">
        <f>C$229*'BTX recycling rates'!E82</f>
        <v>0.10125733896785366</v>
      </c>
      <c r="D230" s="230">
        <f>D$229*'BTX recycling rates'!F82</f>
        <v>9.139753926436972E-2</v>
      </c>
      <c r="E230" s="230">
        <f>E$229*'BTX recycling rates'!G82</f>
        <v>0.11362267788262405</v>
      </c>
      <c r="F230" s="230">
        <f>F$229*'BTX recycling rates'!H82</f>
        <v>0.13844073135802593</v>
      </c>
      <c r="G230" s="230">
        <f>G$229*'BTX recycling rates'!I82</f>
        <v>0.16589332909204449</v>
      </c>
      <c r="H230" s="230">
        <f>H$229*'BTX recycling rates'!J82</f>
        <v>0.19599196091108134</v>
      </c>
      <c r="I230" s="230">
        <f>I$229*'BTX recycling rates'!K82</f>
        <v>0.222126438747278</v>
      </c>
      <c r="J230" s="230">
        <f>J$229*'BTX recycling rates'!L82</f>
        <v>0.24929880046483849</v>
      </c>
      <c r="K230" s="230">
        <f>K$229*'BTX recycling rates'!M82</f>
        <v>0.27736512256543816</v>
      </c>
      <c r="L230" s="230">
        <f>L$229*'BTX recycling rates'!N82</f>
        <v>0.30616089087821563</v>
      </c>
      <c r="M230" s="230">
        <f>M$229*'BTX recycling rates'!O82</f>
        <v>0.33550033005491964</v>
      </c>
      <c r="N230" s="230">
        <f>N$229*'BTX recycling rates'!P82</f>
        <v>0.37642624256270091</v>
      </c>
      <c r="O230" s="230">
        <f>O$229*'BTX recycling rates'!Q82</f>
        <v>0.41793714507409729</v>
      </c>
      <c r="P230" s="230">
        <f>P$229*'BTX recycling rates'!R82</f>
        <v>0.4594803866396221</v>
      </c>
      <c r="Q230" s="230">
        <f>Q$229*'BTX recycling rates'!S82</f>
        <v>0.50046190146749581</v>
      </c>
      <c r="R230" s="230">
        <f>R$229*'BTX recycling rates'!T82</f>
        <v>0.54025338678338797</v>
      </c>
      <c r="S230" s="230">
        <f>S$229*'BTX recycling rates'!U82</f>
        <v>0.58722750660338496</v>
      </c>
      <c r="T230" s="230">
        <f>T$229*'BTX recycling rates'!V82</f>
        <v>0.63480266501681093</v>
      </c>
      <c r="U230" s="230">
        <f>U$229*'BTX recycling rates'!W82</f>
        <v>0.68268309099427116</v>
      </c>
      <c r="V230" s="230">
        <f>V$229*'BTX recycling rates'!X82</f>
        <v>0.7305496349510523</v>
      </c>
      <c r="W230" s="230">
        <f>W$229*'BTX recycling rates'!Y82</f>
        <v>0.778059214019587</v>
      </c>
      <c r="X230" s="230">
        <f>X$229*'BTX recycling rates'!Z82</f>
        <v>0.84556977210946405</v>
      </c>
      <c r="Y230" s="230">
        <f>Y$229*'BTX recycling rates'!AA82</f>
        <v>0.9126960583886039</v>
      </c>
      <c r="Z230" s="230">
        <f>Z$229*'BTX recycling rates'!AB82</f>
        <v>0.97883943817428332</v>
      </c>
      <c r="AA230" s="230">
        <f>AA$229*'BTX recycling rates'!AC82</f>
        <v>1.0433595669521165</v>
      </c>
      <c r="AB230" s="230">
        <f>AB$229*'BTX recycling rates'!AD82</f>
        <v>1.1055734860469424</v>
      </c>
      <c r="AC230" s="230">
        <f>AC$229*'BTX recycling rates'!AE82</f>
        <v>1.153149075619468</v>
      </c>
      <c r="AD230" s="230">
        <f>AD$229*'BTX recycling rates'!AF82</f>
        <v>1.1945930965010088</v>
      </c>
      <c r="AE230" s="230">
        <f>AE$229*'BTX recycling rates'!AG82</f>
        <v>1.2288678771403889</v>
      </c>
      <c r="AF230" s="230">
        <f>AF$229*'BTX recycling rates'!AH82</f>
        <v>1.2548792008235932</v>
      </c>
      <c r="AG230" s="230">
        <f>AG$229*'BTX recycling rates'!AI82</f>
        <v>1.271475303776348</v>
      </c>
      <c r="AH230" s="245"/>
      <c r="AI230" s="133"/>
      <c r="AJ230" s="211"/>
      <c r="AL230" s="108"/>
      <c r="AM230" s="2"/>
      <c r="AN230" s="2"/>
      <c r="AO230" s="2"/>
      <c r="BC230" s="1"/>
      <c r="BD230" s="2"/>
      <c r="BE230" s="2"/>
      <c r="BF230" s="2"/>
      <c r="BG230" s="2"/>
      <c r="BH230" s="2"/>
      <c r="BI230" s="2"/>
      <c r="BJ230" s="2"/>
      <c r="BK230" s="2"/>
    </row>
    <row r="231" spans="1:63" outlineLevel="1" x14ac:dyDescent="0.2">
      <c r="A231" s="4" t="s">
        <v>478</v>
      </c>
      <c r="C231" s="230">
        <f>C$229*'BTX recycling rates'!E83</f>
        <v>0</v>
      </c>
      <c r="D231" s="230">
        <f>D$229*'BTX recycling rates'!F83</f>
        <v>0</v>
      </c>
      <c r="E231" s="230">
        <f>E$229*'BTX recycling rates'!G83</f>
        <v>0</v>
      </c>
      <c r="F231" s="230">
        <f>F$229*'BTX recycling rates'!H83</f>
        <v>0</v>
      </c>
      <c r="G231" s="230">
        <f>G$229*'BTX recycling rates'!I83</f>
        <v>0</v>
      </c>
      <c r="H231" s="230">
        <f>H$229*'BTX recycling rates'!J83</f>
        <v>0</v>
      </c>
      <c r="I231" s="230">
        <f>I$229*'BTX recycling rates'!K83</f>
        <v>0</v>
      </c>
      <c r="J231" s="230">
        <f>J$229*'BTX recycling rates'!L83</f>
        <v>0</v>
      </c>
      <c r="K231" s="230">
        <f>K$229*'BTX recycling rates'!M83</f>
        <v>0</v>
      </c>
      <c r="L231" s="230">
        <f>L$229*'BTX recycling rates'!N83</f>
        <v>0</v>
      </c>
      <c r="M231" s="230">
        <f>M$229*'BTX recycling rates'!O83</f>
        <v>0</v>
      </c>
      <c r="N231" s="230">
        <f>N$229*'BTX recycling rates'!P83</f>
        <v>0</v>
      </c>
      <c r="O231" s="230">
        <f>O$229*'BTX recycling rates'!Q83</f>
        <v>0</v>
      </c>
      <c r="P231" s="230">
        <f>P$229*'BTX recycling rates'!R83</f>
        <v>0</v>
      </c>
      <c r="Q231" s="230">
        <f>Q$229*'BTX recycling rates'!S83</f>
        <v>0</v>
      </c>
      <c r="R231" s="230">
        <f>R$229*'BTX recycling rates'!T83</f>
        <v>0</v>
      </c>
      <c r="S231" s="230">
        <f>S$229*'BTX recycling rates'!U83</f>
        <v>0</v>
      </c>
      <c r="T231" s="230">
        <f>T$229*'BTX recycling rates'!V83</f>
        <v>0</v>
      </c>
      <c r="U231" s="230">
        <f>U$229*'BTX recycling rates'!W83</f>
        <v>0</v>
      </c>
      <c r="V231" s="230">
        <f>V$229*'BTX recycling rates'!X83</f>
        <v>0</v>
      </c>
      <c r="W231" s="230">
        <f>W$229*'BTX recycling rates'!Y83</f>
        <v>0</v>
      </c>
      <c r="X231" s="230">
        <f>X$229*'BTX recycling rates'!Z83</f>
        <v>0</v>
      </c>
      <c r="Y231" s="230">
        <f>Y$229*'BTX recycling rates'!AA83</f>
        <v>0</v>
      </c>
      <c r="Z231" s="230">
        <f>Z$229*'BTX recycling rates'!AB83</f>
        <v>0</v>
      </c>
      <c r="AA231" s="230">
        <f>AA$229*'BTX recycling rates'!AC83</f>
        <v>0</v>
      </c>
      <c r="AB231" s="230">
        <f>AB$229*'BTX recycling rates'!AD83</f>
        <v>0</v>
      </c>
      <c r="AC231" s="230">
        <f>AC$229*'BTX recycling rates'!AE83</f>
        <v>0</v>
      </c>
      <c r="AD231" s="230">
        <f>AD$229*'BTX recycling rates'!AF83</f>
        <v>0</v>
      </c>
      <c r="AE231" s="230">
        <f>AE$229*'BTX recycling rates'!AG83</f>
        <v>0</v>
      </c>
      <c r="AF231" s="230">
        <f>AF$229*'BTX recycling rates'!AH83</f>
        <v>0</v>
      </c>
      <c r="AG231" s="230">
        <f>AG$229*'BTX recycling rates'!AI83</f>
        <v>0</v>
      </c>
      <c r="AH231" s="245"/>
      <c r="AI231" s="133"/>
      <c r="AJ231" s="211"/>
      <c r="AL231" s="108"/>
      <c r="AM231" s="2"/>
      <c r="AN231" s="2"/>
      <c r="AO231" s="2"/>
      <c r="BC231" s="1"/>
      <c r="BD231" s="2"/>
      <c r="BE231" s="2"/>
      <c r="BF231" s="2"/>
      <c r="BG231" s="2"/>
      <c r="BH231" s="2"/>
      <c r="BI231" s="2"/>
      <c r="BJ231" s="2"/>
      <c r="BK231" s="2"/>
    </row>
    <row r="232" spans="1:63" outlineLevel="1" x14ac:dyDescent="0.2">
      <c r="A232" s="4" t="s">
        <v>745</v>
      </c>
      <c r="C232" s="230">
        <f>C$229*'BTX recycling rates'!E84</f>
        <v>0</v>
      </c>
      <c r="D232" s="230">
        <f>D$229*'BTX recycling rates'!F84</f>
        <v>0</v>
      </c>
      <c r="E232" s="230">
        <f>E$229*'BTX recycling rates'!G84</f>
        <v>0</v>
      </c>
      <c r="F232" s="230">
        <f>F$229*'BTX recycling rates'!H84</f>
        <v>0</v>
      </c>
      <c r="G232" s="230">
        <f>G$229*'BTX recycling rates'!I84</f>
        <v>0</v>
      </c>
      <c r="H232" s="230">
        <f>H$229*'BTX recycling rates'!J84</f>
        <v>0</v>
      </c>
      <c r="I232" s="230">
        <f>I$229*'BTX recycling rates'!K84</f>
        <v>0</v>
      </c>
      <c r="J232" s="230">
        <f>J$229*'BTX recycling rates'!L84</f>
        <v>0</v>
      </c>
      <c r="K232" s="230">
        <f>K$229*'BTX recycling rates'!M84</f>
        <v>0</v>
      </c>
      <c r="L232" s="230">
        <f>L$229*'BTX recycling rates'!N84</f>
        <v>0</v>
      </c>
      <c r="M232" s="230">
        <f>M$229*'BTX recycling rates'!O84</f>
        <v>0</v>
      </c>
      <c r="N232" s="230">
        <f>N$229*'BTX recycling rates'!P84</f>
        <v>0</v>
      </c>
      <c r="O232" s="230">
        <f>O$229*'BTX recycling rates'!Q84</f>
        <v>0</v>
      </c>
      <c r="P232" s="230">
        <f>P$229*'BTX recycling rates'!R84</f>
        <v>0</v>
      </c>
      <c r="Q232" s="230">
        <f>Q$229*'BTX recycling rates'!S84</f>
        <v>0</v>
      </c>
      <c r="R232" s="230">
        <f>R$229*'BTX recycling rates'!T84</f>
        <v>0</v>
      </c>
      <c r="S232" s="230">
        <f>S$229*'BTX recycling rates'!U84</f>
        <v>0</v>
      </c>
      <c r="T232" s="230">
        <f>T$229*'BTX recycling rates'!V84</f>
        <v>0</v>
      </c>
      <c r="U232" s="230">
        <f>U$229*'BTX recycling rates'!W84</f>
        <v>0</v>
      </c>
      <c r="V232" s="230">
        <f>V$229*'BTX recycling rates'!X84</f>
        <v>0</v>
      </c>
      <c r="W232" s="230">
        <f>W$229*'BTX recycling rates'!Y84</f>
        <v>0</v>
      </c>
      <c r="X232" s="230">
        <f>X$229*'BTX recycling rates'!Z84</f>
        <v>0</v>
      </c>
      <c r="Y232" s="230">
        <f>Y$229*'BTX recycling rates'!AA84</f>
        <v>0</v>
      </c>
      <c r="Z232" s="230">
        <f>Z$229*'BTX recycling rates'!AB84</f>
        <v>0</v>
      </c>
      <c r="AA232" s="230">
        <f>AA$229*'BTX recycling rates'!AC84</f>
        <v>0</v>
      </c>
      <c r="AB232" s="230">
        <f>AB$229*'BTX recycling rates'!AD84</f>
        <v>0</v>
      </c>
      <c r="AC232" s="230">
        <f>AC$229*'BTX recycling rates'!AE84</f>
        <v>0</v>
      </c>
      <c r="AD232" s="230">
        <f>AD$229*'BTX recycling rates'!AF84</f>
        <v>0</v>
      </c>
      <c r="AE232" s="230">
        <f>AE$229*'BTX recycling rates'!AG84</f>
        <v>0</v>
      </c>
      <c r="AF232" s="230">
        <f>AF$229*'BTX recycling rates'!AH84</f>
        <v>0</v>
      </c>
      <c r="AG232" s="230">
        <f>AG$229*'BTX recycling rates'!AI84</f>
        <v>0</v>
      </c>
      <c r="AH232" s="245"/>
      <c r="AI232" s="133"/>
      <c r="AJ232" s="211"/>
      <c r="AL232" s="108"/>
      <c r="AM232" s="2"/>
      <c r="AN232" s="2"/>
      <c r="AO232" s="2"/>
      <c r="BC232" s="1"/>
      <c r="BD232" s="2"/>
      <c r="BE232" s="2"/>
      <c r="BF232" s="2"/>
      <c r="BG232" s="2"/>
      <c r="BH232" s="2"/>
      <c r="BI232" s="2"/>
      <c r="BJ232" s="2"/>
      <c r="BK232" s="2"/>
    </row>
    <row r="233" spans="1:63" outlineLevel="1" x14ac:dyDescent="0.2">
      <c r="A233" s="4" t="s">
        <v>1561</v>
      </c>
      <c r="C233" s="230">
        <f>C$229*'BTX recycling rates'!E85</f>
        <v>8.9092613893120808E-3</v>
      </c>
      <c r="D233" s="230">
        <f>D$229*'BTX recycling rates'!F85</f>
        <v>8.0417338234090498E-3</v>
      </c>
      <c r="E233" s="230">
        <f>E$229*'BTX recycling rates'!G85</f>
        <v>9.9972421488508691E-3</v>
      </c>
      <c r="F233" s="230">
        <f>F$229*'BTX recycling rates'!H85</f>
        <v>1.2180891530121661E-2</v>
      </c>
      <c r="G233" s="230">
        <f>G$229*'BTX recycling rates'!I85</f>
        <v>1.4596344785373172E-2</v>
      </c>
      <c r="H233" s="230">
        <f>H$229*'BTX recycling rates'!J85</f>
        <v>1.7244612862234221E-2</v>
      </c>
      <c r="I233" s="230">
        <f>I$229*'BTX recycling rates'!K85</f>
        <v>1.9544089588457284E-2</v>
      </c>
      <c r="J233" s="230">
        <f>J$229*'BTX recycling rates'!L85</f>
        <v>2.1934885905784355E-2</v>
      </c>
      <c r="K233" s="230">
        <f>K$229*'BTX recycling rates'!M85</f>
        <v>2.4404338514155317E-2</v>
      </c>
      <c r="L233" s="230">
        <f>L$229*'BTX recycling rates'!N85</f>
        <v>2.6937972415852569E-2</v>
      </c>
      <c r="M233" s="230">
        <f>M$229*'BTX recycling rates'!O85</f>
        <v>2.9519441920241425E-2</v>
      </c>
      <c r="N233" s="230">
        <f>N$229*'BTX recycling rates'!P85</f>
        <v>3.312036266183524E-2</v>
      </c>
      <c r="O233" s="230">
        <f>O$229*'BTX recycling rates'!Q85</f>
        <v>3.6772754525477763E-2</v>
      </c>
      <c r="P233" s="230">
        <f>P$229*'BTX recycling rates'!R85</f>
        <v>4.0427991783728218E-2</v>
      </c>
      <c r="Q233" s="230">
        <f>Q$229*'BTX recycling rates'!S85</f>
        <v>4.4033804769268062E-2</v>
      </c>
      <c r="R233" s="230">
        <f>R$229*'BTX recycling rates'!T85</f>
        <v>4.7534911428419008E-2</v>
      </c>
      <c r="S233" s="230">
        <f>S$229*'BTX recycling rates'!U85</f>
        <v>5.1667991719439504E-2</v>
      </c>
      <c r="T233" s="230">
        <f>T$229*'BTX recycling rates'!V85</f>
        <v>5.5853955188988169E-2</v>
      </c>
      <c r="U233" s="230">
        <f>U$229*'BTX recycling rates'!W85</f>
        <v>6.0066778030404416E-2</v>
      </c>
      <c r="V233" s="230">
        <f>V$229*'BTX recycling rates'!X85</f>
        <v>6.4278379443802686E-2</v>
      </c>
      <c r="W233" s="230">
        <f>W$229*'BTX recycling rates'!Y85</f>
        <v>6.845857282763379E-2</v>
      </c>
      <c r="X233" s="230">
        <f>X$229*'BTX recycling rates'!Z85</f>
        <v>7.4398578902176216E-2</v>
      </c>
      <c r="Y233" s="230">
        <f>Y$229*'BTX recycling rates'!AA85</f>
        <v>8.0304774311325891E-2</v>
      </c>
      <c r="Z233" s="230">
        <f>Z$229*'BTX recycling rates'!AB85</f>
        <v>8.6124487387829324E-2</v>
      </c>
      <c r="AA233" s="230">
        <f>AA$229*'BTX recycling rates'!AC85</f>
        <v>9.1801376569523932E-2</v>
      </c>
      <c r="AB233" s="230">
        <f>AB$229*'BTX recycling rates'!AD85</f>
        <v>9.7275350830740556E-2</v>
      </c>
      <c r="AC233" s="230">
        <f>AC$229*'BTX recycling rates'!AE85</f>
        <v>0.10146135223639498</v>
      </c>
      <c r="AD233" s="230">
        <f>AD$229*'BTX recycling rates'!AF85</f>
        <v>0.10510785943104856</v>
      </c>
      <c r="AE233" s="230">
        <f>AE$229*'BTX recycling rates'!AG85</f>
        <v>0.10812357150575076</v>
      </c>
      <c r="AF233" s="230">
        <f>AF$229*'BTX recycling rates'!AH85</f>
        <v>0.11041221235033431</v>
      </c>
      <c r="AG233" s="230">
        <f>AG$229*'BTX recycling rates'!AI85</f>
        <v>0.11187244250014071</v>
      </c>
      <c r="AH233" s="245"/>
      <c r="AI233" s="133"/>
      <c r="AJ233" s="211"/>
      <c r="AL233" s="108"/>
      <c r="AM233" s="2"/>
      <c r="AN233" s="2"/>
      <c r="AO233" s="2"/>
      <c r="BC233" s="1"/>
      <c r="BD233" s="2"/>
      <c r="BE233" s="2"/>
      <c r="BF233" s="2"/>
      <c r="BG233" s="2"/>
      <c r="BH233" s="2"/>
      <c r="BI233" s="2"/>
      <c r="BJ233" s="2"/>
      <c r="BK233" s="2"/>
    </row>
    <row r="234" spans="1:63" s="1" customFormat="1" outlineLevel="1" x14ac:dyDescent="0.2">
      <c r="A234" s="1" t="s">
        <v>1638</v>
      </c>
      <c r="B234" s="65"/>
      <c r="C234" s="300">
        <f t="shared" ref="C234:AG234" si="143">C229-$C229</f>
        <v>0</v>
      </c>
      <c r="D234" s="300">
        <f t="shared" si="143"/>
        <v>-1.072732726938698E-2</v>
      </c>
      <c r="E234" s="300">
        <f t="shared" si="143"/>
        <v>1.3453319674309169E-2</v>
      </c>
      <c r="F234" s="300">
        <f t="shared" si="143"/>
        <v>4.0455022530981849E-2</v>
      </c>
      <c r="G234" s="300">
        <f t="shared" si="143"/>
        <v>7.0323073520251911E-2</v>
      </c>
      <c r="H234" s="300">
        <f t="shared" si="143"/>
        <v>0.10306997341614982</v>
      </c>
      <c r="I234" s="300">
        <f t="shared" si="143"/>
        <v>0.13150392797856952</v>
      </c>
      <c r="J234" s="300">
        <f t="shared" si="143"/>
        <v>0.16106708601345709</v>
      </c>
      <c r="K234" s="300">
        <f t="shared" si="143"/>
        <v>0.19160286072242771</v>
      </c>
      <c r="L234" s="300">
        <f t="shared" si="143"/>
        <v>0.22293226293690244</v>
      </c>
      <c r="M234" s="300">
        <f t="shared" si="143"/>
        <v>0.25485317161799531</v>
      </c>
      <c r="N234" s="300">
        <f t="shared" si="143"/>
        <v>0.29938000486737038</v>
      </c>
      <c r="O234" s="300">
        <f t="shared" si="143"/>
        <v>0.34454329924240928</v>
      </c>
      <c r="P234" s="300">
        <f t="shared" si="143"/>
        <v>0.38974177806618454</v>
      </c>
      <c r="Q234" s="300">
        <f t="shared" si="143"/>
        <v>0.43432910587959817</v>
      </c>
      <c r="R234" s="300">
        <f t="shared" si="143"/>
        <v>0.47762169785464126</v>
      </c>
      <c r="S234" s="300">
        <f t="shared" si="143"/>
        <v>0.5287288979656587</v>
      </c>
      <c r="T234" s="300">
        <f t="shared" si="143"/>
        <v>0.58049001984863335</v>
      </c>
      <c r="U234" s="300">
        <f t="shared" si="143"/>
        <v>0.6325832686675098</v>
      </c>
      <c r="V234" s="300">
        <f t="shared" si="143"/>
        <v>0.68466141403768921</v>
      </c>
      <c r="W234" s="300">
        <f t="shared" si="143"/>
        <v>0.73635118649005504</v>
      </c>
      <c r="X234" s="300">
        <f t="shared" si="143"/>
        <v>0.80980175065447446</v>
      </c>
      <c r="Y234" s="300">
        <f t="shared" si="143"/>
        <v>0.88283423234276404</v>
      </c>
      <c r="Z234" s="300">
        <f t="shared" si="143"/>
        <v>0.95479732520494687</v>
      </c>
      <c r="AA234" s="300">
        <f t="shared" si="143"/>
        <v>1.0249943431644746</v>
      </c>
      <c r="AB234" s="300">
        <f t="shared" si="143"/>
        <v>1.0926822365205171</v>
      </c>
      <c r="AC234" s="300">
        <f t="shared" si="143"/>
        <v>1.1444438274986972</v>
      </c>
      <c r="AD234" s="300">
        <f t="shared" si="143"/>
        <v>1.1895343555748916</v>
      </c>
      <c r="AE234" s="300">
        <f t="shared" si="143"/>
        <v>1.2268248482889739</v>
      </c>
      <c r="AF234" s="300">
        <f t="shared" si="143"/>
        <v>1.2551248128167618</v>
      </c>
      <c r="AG234" s="300">
        <f t="shared" si="143"/>
        <v>1.2731811459193232</v>
      </c>
      <c r="AH234" s="245"/>
      <c r="AI234" s="423"/>
      <c r="AJ234" s="424"/>
      <c r="AL234" s="221"/>
      <c r="AM234" s="124"/>
      <c r="AN234" s="124"/>
      <c r="AO234" s="124"/>
      <c r="BD234" s="124"/>
      <c r="BE234" s="124"/>
      <c r="BF234" s="124"/>
      <c r="BG234" s="124"/>
      <c r="BH234" s="124"/>
      <c r="BI234" s="124"/>
      <c r="BJ234" s="124"/>
      <c r="BK234" s="124"/>
    </row>
    <row r="235" spans="1:63" outlineLevel="1" x14ac:dyDescent="0.2">
      <c r="A235" s="4" t="s">
        <v>474</v>
      </c>
      <c r="C235" s="230">
        <f t="shared" ref="C235:AG235" si="144">C230-$C230</f>
        <v>0</v>
      </c>
      <c r="D235" s="230">
        <f t="shared" si="144"/>
        <v>-9.8597997034839402E-3</v>
      </c>
      <c r="E235" s="230">
        <f t="shared" si="144"/>
        <v>1.2365338914770388E-2</v>
      </c>
      <c r="F235" s="230">
        <f t="shared" si="144"/>
        <v>3.7183392390172265E-2</v>
      </c>
      <c r="G235" s="230">
        <f t="shared" si="144"/>
        <v>6.4635990124190829E-2</v>
      </c>
      <c r="H235" s="230">
        <f t="shared" si="144"/>
        <v>9.4734621943227681E-2</v>
      </c>
      <c r="I235" s="230">
        <f t="shared" si="144"/>
        <v>0.12086909977942434</v>
      </c>
      <c r="J235" s="230">
        <f t="shared" si="144"/>
        <v>0.14804146149698483</v>
      </c>
      <c r="K235" s="230">
        <f t="shared" si="144"/>
        <v>0.1761077835975845</v>
      </c>
      <c r="L235" s="230">
        <f t="shared" si="144"/>
        <v>0.20490355191036197</v>
      </c>
      <c r="M235" s="230">
        <f t="shared" si="144"/>
        <v>0.23424299108706598</v>
      </c>
      <c r="N235" s="230">
        <f t="shared" si="144"/>
        <v>0.27516890359484725</v>
      </c>
      <c r="O235" s="230">
        <f t="shared" si="144"/>
        <v>0.31667980610624363</v>
      </c>
      <c r="P235" s="230">
        <f t="shared" si="144"/>
        <v>0.35822304767176844</v>
      </c>
      <c r="Q235" s="230">
        <f t="shared" si="144"/>
        <v>0.39920456249964215</v>
      </c>
      <c r="R235" s="230">
        <f t="shared" si="144"/>
        <v>0.43899604781553431</v>
      </c>
      <c r="S235" s="230">
        <f t="shared" si="144"/>
        <v>0.4859701676355313</v>
      </c>
      <c r="T235" s="230">
        <f t="shared" si="144"/>
        <v>0.53354532604895732</v>
      </c>
      <c r="U235" s="230">
        <f t="shared" si="144"/>
        <v>0.58142575202641744</v>
      </c>
      <c r="V235" s="230">
        <f t="shared" si="144"/>
        <v>0.62929229598319858</v>
      </c>
      <c r="W235" s="230">
        <f t="shared" si="144"/>
        <v>0.67680187505173328</v>
      </c>
      <c r="X235" s="230">
        <f t="shared" si="144"/>
        <v>0.74431243314161044</v>
      </c>
      <c r="Y235" s="230">
        <f t="shared" si="144"/>
        <v>0.81143871942075019</v>
      </c>
      <c r="Z235" s="230">
        <f t="shared" si="144"/>
        <v>0.8775820992064296</v>
      </c>
      <c r="AA235" s="230">
        <f t="shared" si="144"/>
        <v>0.9421022279842628</v>
      </c>
      <c r="AB235" s="230">
        <f t="shared" si="144"/>
        <v>1.0043161470790887</v>
      </c>
      <c r="AC235" s="230">
        <f t="shared" si="144"/>
        <v>1.0518917366516143</v>
      </c>
      <c r="AD235" s="230">
        <f t="shared" si="144"/>
        <v>1.093335757533155</v>
      </c>
      <c r="AE235" s="230">
        <f t="shared" si="144"/>
        <v>1.1276105381725352</v>
      </c>
      <c r="AF235" s="230">
        <f t="shared" si="144"/>
        <v>1.1536218618557394</v>
      </c>
      <c r="AG235" s="230">
        <f t="shared" si="144"/>
        <v>1.1702179648084943</v>
      </c>
      <c r="AH235" s="245"/>
      <c r="AI235" s="133"/>
      <c r="AJ235" s="211"/>
      <c r="AL235" s="108"/>
      <c r="AM235" s="2"/>
      <c r="AN235" s="2"/>
      <c r="AO235" s="2"/>
      <c r="BC235" s="1"/>
      <c r="BD235" s="2"/>
      <c r="BE235" s="2"/>
      <c r="BF235" s="2"/>
      <c r="BG235" s="2"/>
      <c r="BH235" s="2"/>
      <c r="BI235" s="2"/>
      <c r="BJ235" s="2"/>
      <c r="BK235" s="2"/>
    </row>
    <row r="236" spans="1:63" outlineLevel="1" x14ac:dyDescent="0.2">
      <c r="A236" s="4" t="s">
        <v>478</v>
      </c>
      <c r="C236" s="230">
        <f t="shared" ref="C236:AG236" si="145">C231-$C231</f>
        <v>0</v>
      </c>
      <c r="D236" s="230">
        <f t="shared" si="145"/>
        <v>0</v>
      </c>
      <c r="E236" s="230">
        <f t="shared" si="145"/>
        <v>0</v>
      </c>
      <c r="F236" s="230">
        <f t="shared" si="145"/>
        <v>0</v>
      </c>
      <c r="G236" s="230">
        <f t="shared" si="145"/>
        <v>0</v>
      </c>
      <c r="H236" s="230">
        <f t="shared" si="145"/>
        <v>0</v>
      </c>
      <c r="I236" s="230">
        <f t="shared" si="145"/>
        <v>0</v>
      </c>
      <c r="J236" s="230">
        <f t="shared" si="145"/>
        <v>0</v>
      </c>
      <c r="K236" s="230">
        <f t="shared" si="145"/>
        <v>0</v>
      </c>
      <c r="L236" s="230">
        <f t="shared" si="145"/>
        <v>0</v>
      </c>
      <c r="M236" s="230">
        <f t="shared" si="145"/>
        <v>0</v>
      </c>
      <c r="N236" s="230">
        <f t="shared" si="145"/>
        <v>0</v>
      </c>
      <c r="O236" s="230">
        <f t="shared" si="145"/>
        <v>0</v>
      </c>
      <c r="P236" s="230">
        <f t="shared" si="145"/>
        <v>0</v>
      </c>
      <c r="Q236" s="230">
        <f t="shared" si="145"/>
        <v>0</v>
      </c>
      <c r="R236" s="230">
        <f t="shared" si="145"/>
        <v>0</v>
      </c>
      <c r="S236" s="230">
        <f t="shared" si="145"/>
        <v>0</v>
      </c>
      <c r="T236" s="230">
        <f t="shared" si="145"/>
        <v>0</v>
      </c>
      <c r="U236" s="230">
        <f t="shared" si="145"/>
        <v>0</v>
      </c>
      <c r="V236" s="230">
        <f t="shared" si="145"/>
        <v>0</v>
      </c>
      <c r="W236" s="230">
        <f t="shared" si="145"/>
        <v>0</v>
      </c>
      <c r="X236" s="230">
        <f t="shared" si="145"/>
        <v>0</v>
      </c>
      <c r="Y236" s="230">
        <f t="shared" si="145"/>
        <v>0</v>
      </c>
      <c r="Z236" s="230">
        <f t="shared" si="145"/>
        <v>0</v>
      </c>
      <c r="AA236" s="230">
        <f t="shared" si="145"/>
        <v>0</v>
      </c>
      <c r="AB236" s="230">
        <f t="shared" si="145"/>
        <v>0</v>
      </c>
      <c r="AC236" s="230">
        <f t="shared" si="145"/>
        <v>0</v>
      </c>
      <c r="AD236" s="230">
        <f t="shared" si="145"/>
        <v>0</v>
      </c>
      <c r="AE236" s="230">
        <f t="shared" si="145"/>
        <v>0</v>
      </c>
      <c r="AF236" s="230">
        <f t="shared" si="145"/>
        <v>0</v>
      </c>
      <c r="AG236" s="230">
        <f t="shared" si="145"/>
        <v>0</v>
      </c>
      <c r="AH236" s="245"/>
      <c r="AI236" s="133"/>
      <c r="AJ236" s="211"/>
      <c r="AL236" s="108"/>
      <c r="AM236" s="2"/>
      <c r="AN236" s="2"/>
      <c r="AO236" s="2"/>
      <c r="BC236" s="1"/>
      <c r="BD236" s="2"/>
      <c r="BE236" s="2"/>
      <c r="BF236" s="2"/>
      <c r="BG236" s="2"/>
      <c r="BH236" s="2"/>
      <c r="BI236" s="2"/>
      <c r="BJ236" s="2"/>
      <c r="BK236" s="2"/>
    </row>
    <row r="237" spans="1:63" outlineLevel="1" x14ac:dyDescent="0.2">
      <c r="A237" s="4" t="s">
        <v>745</v>
      </c>
      <c r="C237" s="230">
        <f t="shared" ref="C237:AG237" si="146">C232-$C232</f>
        <v>0</v>
      </c>
      <c r="D237" s="230">
        <f t="shared" si="146"/>
        <v>0</v>
      </c>
      <c r="E237" s="230">
        <f t="shared" si="146"/>
        <v>0</v>
      </c>
      <c r="F237" s="230">
        <f t="shared" si="146"/>
        <v>0</v>
      </c>
      <c r="G237" s="230">
        <f t="shared" si="146"/>
        <v>0</v>
      </c>
      <c r="H237" s="230">
        <f t="shared" si="146"/>
        <v>0</v>
      </c>
      <c r="I237" s="230">
        <f t="shared" si="146"/>
        <v>0</v>
      </c>
      <c r="J237" s="230">
        <f t="shared" si="146"/>
        <v>0</v>
      </c>
      <c r="K237" s="230">
        <f t="shared" si="146"/>
        <v>0</v>
      </c>
      <c r="L237" s="230">
        <f t="shared" si="146"/>
        <v>0</v>
      </c>
      <c r="M237" s="230">
        <f t="shared" si="146"/>
        <v>0</v>
      </c>
      <c r="N237" s="230">
        <f t="shared" si="146"/>
        <v>0</v>
      </c>
      <c r="O237" s="230">
        <f t="shared" si="146"/>
        <v>0</v>
      </c>
      <c r="P237" s="230">
        <f t="shared" si="146"/>
        <v>0</v>
      </c>
      <c r="Q237" s="230">
        <f t="shared" si="146"/>
        <v>0</v>
      </c>
      <c r="R237" s="230">
        <f t="shared" si="146"/>
        <v>0</v>
      </c>
      <c r="S237" s="230">
        <f t="shared" si="146"/>
        <v>0</v>
      </c>
      <c r="T237" s="230">
        <f t="shared" si="146"/>
        <v>0</v>
      </c>
      <c r="U237" s="230">
        <f t="shared" si="146"/>
        <v>0</v>
      </c>
      <c r="V237" s="230">
        <f t="shared" si="146"/>
        <v>0</v>
      </c>
      <c r="W237" s="230">
        <f t="shared" si="146"/>
        <v>0</v>
      </c>
      <c r="X237" s="230">
        <f t="shared" si="146"/>
        <v>0</v>
      </c>
      <c r="Y237" s="230">
        <f t="shared" si="146"/>
        <v>0</v>
      </c>
      <c r="Z237" s="230">
        <f t="shared" si="146"/>
        <v>0</v>
      </c>
      <c r="AA237" s="230">
        <f t="shared" si="146"/>
        <v>0</v>
      </c>
      <c r="AB237" s="230">
        <f t="shared" si="146"/>
        <v>0</v>
      </c>
      <c r="AC237" s="230">
        <f t="shared" si="146"/>
        <v>0</v>
      </c>
      <c r="AD237" s="230">
        <f t="shared" si="146"/>
        <v>0</v>
      </c>
      <c r="AE237" s="230">
        <f t="shared" si="146"/>
        <v>0</v>
      </c>
      <c r="AF237" s="230">
        <f t="shared" si="146"/>
        <v>0</v>
      </c>
      <c r="AG237" s="230">
        <f t="shared" si="146"/>
        <v>0</v>
      </c>
      <c r="AH237" s="245"/>
      <c r="AI237" s="133"/>
      <c r="AJ237" s="211"/>
      <c r="AL237" s="108"/>
      <c r="AM237" s="2"/>
      <c r="AN237" s="2"/>
      <c r="AO237" s="2"/>
      <c r="BC237" s="1"/>
      <c r="BD237" s="2"/>
      <c r="BE237" s="2"/>
      <c r="BF237" s="2"/>
      <c r="BG237" s="2"/>
      <c r="BH237" s="2"/>
      <c r="BI237" s="2"/>
      <c r="BJ237" s="2"/>
      <c r="BK237" s="2"/>
    </row>
    <row r="238" spans="1:63" outlineLevel="1" x14ac:dyDescent="0.2">
      <c r="A238" s="4" t="s">
        <v>1561</v>
      </c>
      <c r="C238" s="230">
        <f t="shared" ref="C238:AG238" si="147">C233-$C233</f>
        <v>0</v>
      </c>
      <c r="D238" s="230">
        <f t="shared" si="147"/>
        <v>-8.6752756590303091E-4</v>
      </c>
      <c r="E238" s="230">
        <f t="shared" si="147"/>
        <v>1.0879807595387883E-3</v>
      </c>
      <c r="F238" s="230">
        <f t="shared" si="147"/>
        <v>3.2716301408095803E-3</v>
      </c>
      <c r="G238" s="230">
        <f t="shared" si="147"/>
        <v>5.6870833960610909E-3</v>
      </c>
      <c r="H238" s="230">
        <f t="shared" si="147"/>
        <v>8.3353514729221402E-3</v>
      </c>
      <c r="I238" s="230">
        <f t="shared" si="147"/>
        <v>1.0634828199145203E-2</v>
      </c>
      <c r="J238" s="230">
        <f t="shared" si="147"/>
        <v>1.3025624516472274E-2</v>
      </c>
      <c r="K238" s="230">
        <f t="shared" si="147"/>
        <v>1.5495077124843236E-2</v>
      </c>
      <c r="L238" s="230">
        <f t="shared" si="147"/>
        <v>1.8028711026540488E-2</v>
      </c>
      <c r="M238" s="230">
        <f t="shared" si="147"/>
        <v>2.0610180530929344E-2</v>
      </c>
      <c r="N238" s="230">
        <f t="shared" si="147"/>
        <v>2.4211101272523159E-2</v>
      </c>
      <c r="O238" s="230">
        <f t="shared" si="147"/>
        <v>2.7863493136165682E-2</v>
      </c>
      <c r="P238" s="230">
        <f t="shared" si="147"/>
        <v>3.1518730394416133E-2</v>
      </c>
      <c r="Q238" s="230">
        <f t="shared" si="147"/>
        <v>3.5124543379955978E-2</v>
      </c>
      <c r="R238" s="230">
        <f t="shared" si="147"/>
        <v>3.8625650039106924E-2</v>
      </c>
      <c r="S238" s="230">
        <f t="shared" si="147"/>
        <v>4.275873033012742E-2</v>
      </c>
      <c r="T238" s="230">
        <f t="shared" si="147"/>
        <v>4.6944693799676085E-2</v>
      </c>
      <c r="U238" s="230">
        <f t="shared" si="147"/>
        <v>5.1157516641092332E-2</v>
      </c>
      <c r="V238" s="230">
        <f t="shared" si="147"/>
        <v>5.5369118054490601E-2</v>
      </c>
      <c r="W238" s="230">
        <f t="shared" si="147"/>
        <v>5.9549311438321706E-2</v>
      </c>
      <c r="X238" s="230">
        <f t="shared" si="147"/>
        <v>6.5489317512864131E-2</v>
      </c>
      <c r="Y238" s="230">
        <f t="shared" si="147"/>
        <v>7.1395512922013807E-2</v>
      </c>
      <c r="Z238" s="230">
        <f t="shared" si="147"/>
        <v>7.721522599851724E-2</v>
      </c>
      <c r="AA238" s="230">
        <f t="shared" si="147"/>
        <v>8.2892115180211848E-2</v>
      </c>
      <c r="AB238" s="230">
        <f t="shared" si="147"/>
        <v>8.8366089441428472E-2</v>
      </c>
      <c r="AC238" s="230">
        <f t="shared" si="147"/>
        <v>9.2552090847082893E-2</v>
      </c>
      <c r="AD238" s="230">
        <f t="shared" si="147"/>
        <v>9.6198598041736472E-2</v>
      </c>
      <c r="AE238" s="230">
        <f t="shared" si="147"/>
        <v>9.9214310116438678E-2</v>
      </c>
      <c r="AF238" s="230">
        <f t="shared" si="147"/>
        <v>0.10150295096102223</v>
      </c>
      <c r="AG238" s="230">
        <f t="shared" si="147"/>
        <v>0.10296318111082862</v>
      </c>
      <c r="AH238" s="245"/>
      <c r="AI238" s="133"/>
      <c r="AJ238" s="211"/>
      <c r="AL238" s="108"/>
      <c r="AM238" s="2"/>
      <c r="AN238" s="2"/>
      <c r="AO238" s="2"/>
      <c r="BC238" s="1"/>
      <c r="BD238" s="2"/>
      <c r="BE238" s="2"/>
      <c r="BF238" s="2"/>
      <c r="BG238" s="2"/>
      <c r="BH238" s="2"/>
      <c r="BI238" s="2"/>
      <c r="BJ238" s="2"/>
      <c r="BK238" s="2"/>
    </row>
    <row r="239" spans="1:63" outlineLevel="1" x14ac:dyDescent="0.2">
      <c r="C239" s="110"/>
      <c r="D239" s="110"/>
      <c r="E239" s="110"/>
      <c r="F239" s="110"/>
      <c r="G239" s="110"/>
      <c r="H239" s="110"/>
      <c r="I239" s="110"/>
      <c r="J239" s="110"/>
      <c r="K239" s="110"/>
      <c r="L239" s="110"/>
      <c r="M239" s="110"/>
      <c r="N239" s="110"/>
      <c r="O239" s="110"/>
      <c r="P239" s="110"/>
      <c r="Q239" s="110"/>
      <c r="R239" s="110"/>
      <c r="S239" s="110"/>
      <c r="T239" s="110"/>
      <c r="U239" s="110"/>
      <c r="V239" s="110"/>
      <c r="W239" s="110"/>
      <c r="X239" s="110"/>
      <c r="Y239" s="110"/>
      <c r="Z239" s="110"/>
      <c r="AA239" s="110"/>
      <c r="AB239" s="110"/>
      <c r="AC239" s="110"/>
      <c r="AD239" s="110"/>
      <c r="AE239" s="110"/>
      <c r="AF239" s="110"/>
      <c r="AG239" s="110"/>
      <c r="AJ239" s="211"/>
    </row>
    <row r="240" spans="1:63" s="200" customFormat="1" ht="16" thickBot="1" x14ac:dyDescent="0.25">
      <c r="A240" s="200" t="s">
        <v>1347</v>
      </c>
      <c r="B240" s="215"/>
      <c r="C240" s="224">
        <f>C241</f>
        <v>1.6E-2</v>
      </c>
      <c r="D240" s="224">
        <f t="shared" ref="D240:AG240" si="148">D241</f>
        <v>2.329547397581962E-2</v>
      </c>
      <c r="E240" s="224">
        <f t="shared" si="148"/>
        <v>3.059094795163924E-2</v>
      </c>
      <c r="F240" s="224">
        <f t="shared" si="148"/>
        <v>3.7886421927458863E-2</v>
      </c>
      <c r="G240" s="224">
        <f t="shared" si="148"/>
        <v>4.5181895903278479E-2</v>
      </c>
      <c r="H240" s="224">
        <f t="shared" si="148"/>
        <v>5.2477369879098103E-2</v>
      </c>
      <c r="I240" s="224">
        <f t="shared" si="148"/>
        <v>5.9772843854917726E-2</v>
      </c>
      <c r="J240" s="224">
        <f t="shared" si="148"/>
        <v>6.7068317830737342E-2</v>
      </c>
      <c r="K240" s="224">
        <f t="shared" si="148"/>
        <v>7.4363791806556973E-2</v>
      </c>
      <c r="L240" s="224">
        <f t="shared" si="148"/>
        <v>8.1659265782376589E-2</v>
      </c>
      <c r="M240" s="224">
        <f t="shared" si="148"/>
        <v>8.8954739758196205E-2</v>
      </c>
      <c r="N240" s="224">
        <f t="shared" si="148"/>
        <v>0.10433135413800063</v>
      </c>
      <c r="O240" s="224">
        <f t="shared" si="148"/>
        <v>0.11970796851780505</v>
      </c>
      <c r="P240" s="224">
        <f t="shared" si="148"/>
        <v>0.1350845828976095</v>
      </c>
      <c r="Q240" s="224">
        <f t="shared" si="148"/>
        <v>0.15046119727741392</v>
      </c>
      <c r="R240" s="224">
        <f t="shared" si="148"/>
        <v>0.16583781165721834</v>
      </c>
      <c r="S240" s="224">
        <f t="shared" si="148"/>
        <v>0.18121442603702276</v>
      </c>
      <c r="T240" s="224">
        <f t="shared" si="148"/>
        <v>0.19659104041682718</v>
      </c>
      <c r="U240" s="224">
        <f t="shared" si="148"/>
        <v>0.2119676547966316</v>
      </c>
      <c r="V240" s="224">
        <f t="shared" si="148"/>
        <v>0.22734426917643602</v>
      </c>
      <c r="W240" s="224">
        <f t="shared" si="148"/>
        <v>0.24272088355624044</v>
      </c>
      <c r="X240" s="224">
        <f t="shared" si="148"/>
        <v>0.26844879520061637</v>
      </c>
      <c r="Y240" s="224">
        <f t="shared" si="148"/>
        <v>0.29417670684499236</v>
      </c>
      <c r="Z240" s="224">
        <f t="shared" si="148"/>
        <v>0.3199046184893683</v>
      </c>
      <c r="AA240" s="224">
        <f t="shared" si="148"/>
        <v>0.34563253013374429</v>
      </c>
      <c r="AB240" s="224">
        <f t="shared" si="148"/>
        <v>0.37136044177812022</v>
      </c>
      <c r="AC240" s="224">
        <f t="shared" si="148"/>
        <v>0.39708835342249615</v>
      </c>
      <c r="AD240" s="224">
        <f t="shared" si="148"/>
        <v>0.42281626506687209</v>
      </c>
      <c r="AE240" s="224">
        <f t="shared" si="148"/>
        <v>0.44854417671124808</v>
      </c>
      <c r="AF240" s="224">
        <f t="shared" si="148"/>
        <v>0.47427208835562407</v>
      </c>
      <c r="AG240" s="224">
        <f t="shared" si="148"/>
        <v>0.5</v>
      </c>
      <c r="AJ240" s="231" t="s">
        <v>1312</v>
      </c>
      <c r="AL240" s="217"/>
      <c r="AM240" s="225"/>
      <c r="AN240" s="225"/>
      <c r="AO240" s="225"/>
    </row>
    <row r="241" spans="1:63" ht="16" outlineLevel="1" thickTop="1" x14ac:dyDescent="0.2">
      <c r="A241" t="s">
        <v>1348</v>
      </c>
      <c r="B241" s="54" t="s">
        <v>462</v>
      </c>
      <c r="C241" s="113">
        <v>1.6E-2</v>
      </c>
      <c r="D241" s="110">
        <f>$C241+($M241-$C241)/10*(D$1-$C$1)</f>
        <v>2.329547397581962E-2</v>
      </c>
      <c r="E241" s="110">
        <f t="shared" ref="E241:L241" si="149">$C241+($M241-$C241)/10*(E$1-$C$1)</f>
        <v>3.059094795163924E-2</v>
      </c>
      <c r="F241" s="110">
        <f t="shared" si="149"/>
        <v>3.7886421927458863E-2</v>
      </c>
      <c r="G241" s="110">
        <f t="shared" si="149"/>
        <v>4.5181895903278479E-2</v>
      </c>
      <c r="H241" s="110">
        <f t="shared" si="149"/>
        <v>5.2477369879098103E-2</v>
      </c>
      <c r="I241" s="110">
        <f t="shared" si="149"/>
        <v>5.9772843854917726E-2</v>
      </c>
      <c r="J241" s="110">
        <f t="shared" si="149"/>
        <v>6.7068317830737342E-2</v>
      </c>
      <c r="K241" s="110">
        <f t="shared" si="149"/>
        <v>7.4363791806556973E-2</v>
      </c>
      <c r="L241" s="110">
        <f t="shared" si="149"/>
        <v>8.1659265782376589E-2</v>
      </c>
      <c r="M241" s="121">
        <f>(M$52-$C$52)/($AG$52-$C$52)*($AG241-$C241)+$C241</f>
        <v>8.8954739758196205E-2</v>
      </c>
      <c r="N241" s="121">
        <f>$M241+($W241-$M241)/10*(N$1-$M$1)</f>
        <v>0.10433135413800063</v>
      </c>
      <c r="O241" s="121">
        <f t="shared" ref="O241:U241" si="150">$M241+($W241-$M241)/10*(O$1-$M$1)</f>
        <v>0.11970796851780505</v>
      </c>
      <c r="P241" s="121">
        <f t="shared" si="150"/>
        <v>0.1350845828976095</v>
      </c>
      <c r="Q241" s="121">
        <f t="shared" si="150"/>
        <v>0.15046119727741392</v>
      </c>
      <c r="R241" s="121">
        <f t="shared" si="150"/>
        <v>0.16583781165721834</v>
      </c>
      <c r="S241" s="121">
        <f t="shared" si="150"/>
        <v>0.18121442603702276</v>
      </c>
      <c r="T241" s="121">
        <f t="shared" si="150"/>
        <v>0.19659104041682718</v>
      </c>
      <c r="U241" s="121">
        <f t="shared" si="150"/>
        <v>0.2119676547966316</v>
      </c>
      <c r="V241" s="121">
        <f>$M241+($W241-$M241)/10*(V$1-$M$1)</f>
        <v>0.22734426917643602</v>
      </c>
      <c r="W241" s="121">
        <f>(W$52-$C$52)/($AG$52-$C$52)*($AG241-$C241)+$C241</f>
        <v>0.24272088355624044</v>
      </c>
      <c r="X241" s="23">
        <f t="shared" ref="X241:AF241" si="151">$W241+($AG241-$W241)/10*(X$1-$W$1)</f>
        <v>0.26844879520061637</v>
      </c>
      <c r="Y241" s="23">
        <f t="shared" si="151"/>
        <v>0.29417670684499236</v>
      </c>
      <c r="Z241" s="23">
        <f t="shared" si="151"/>
        <v>0.3199046184893683</v>
      </c>
      <c r="AA241" s="23">
        <f t="shared" si="151"/>
        <v>0.34563253013374429</v>
      </c>
      <c r="AB241" s="23">
        <f t="shared" si="151"/>
        <v>0.37136044177812022</v>
      </c>
      <c r="AC241" s="23">
        <f t="shared" si="151"/>
        <v>0.39708835342249615</v>
      </c>
      <c r="AD241" s="23">
        <f t="shared" si="151"/>
        <v>0.42281626506687209</v>
      </c>
      <c r="AE241" s="23">
        <f t="shared" si="151"/>
        <v>0.44854417671124808</v>
      </c>
      <c r="AF241" s="23">
        <f t="shared" si="151"/>
        <v>0.47427208835562407</v>
      </c>
      <c r="AG241" s="106">
        <v>0.5</v>
      </c>
      <c r="AJ241" s="211" t="s">
        <v>1349</v>
      </c>
    </row>
    <row r="242" spans="1:63" outlineLevel="1" x14ac:dyDescent="0.2">
      <c r="C242" s="113"/>
      <c r="D242" s="110"/>
      <c r="E242" s="110"/>
      <c r="F242" s="110"/>
      <c r="G242" s="110"/>
      <c r="H242" s="110"/>
      <c r="I242" s="110"/>
      <c r="J242" s="110"/>
      <c r="K242" s="110"/>
      <c r="L242" s="110"/>
      <c r="M242" s="121"/>
      <c r="N242" s="121"/>
      <c r="O242" s="121"/>
      <c r="P242" s="121"/>
      <c r="Q242" s="121"/>
      <c r="R242" s="121"/>
      <c r="S242" s="121"/>
      <c r="T242" s="121"/>
      <c r="U242" s="121"/>
      <c r="V242" s="121"/>
      <c r="W242" s="121"/>
      <c r="X242" s="23"/>
      <c r="Y242" s="23"/>
      <c r="Z242" s="23"/>
      <c r="AA242" s="23"/>
      <c r="AB242" s="23"/>
      <c r="AC242" s="23"/>
      <c r="AD242" s="23"/>
      <c r="AE242" s="23"/>
      <c r="AF242" s="23"/>
      <c r="AG242" s="106"/>
      <c r="AJ242" s="211"/>
    </row>
    <row r="243" spans="1:63" outlineLevel="1" x14ac:dyDescent="0.2">
      <c r="A243" t="s">
        <v>1621</v>
      </c>
      <c r="C243" s="504">
        <f>('Overall recycling rates'!F85*'Yearly BTX'!D5+'Overall recycling rates'!G85*'Yearly BTX'!D6+'Overall recycling rates'!H85*'Yearly BTX'!D7)/'Yearly BTX'!D4</f>
        <v>0.30412868877343519</v>
      </c>
      <c r="D243" s="504">
        <f>C243-($C243-$AG243)/($AG$1-$C$1)</f>
        <v>0.32065773248098733</v>
      </c>
      <c r="E243" s="504">
        <f t="shared" ref="E243:AF243" si="152">D243-($C243-$AG243)/($AG$1-$C$1)</f>
        <v>0.33718677618853948</v>
      </c>
      <c r="F243" s="504">
        <f t="shared" si="152"/>
        <v>0.35371581989609163</v>
      </c>
      <c r="G243" s="504">
        <f t="shared" si="152"/>
        <v>0.37024486360364378</v>
      </c>
      <c r="H243" s="504">
        <f t="shared" si="152"/>
        <v>0.38677390731119593</v>
      </c>
      <c r="I243" s="504">
        <f t="shared" si="152"/>
        <v>0.40330295101874808</v>
      </c>
      <c r="J243" s="504">
        <f t="shared" si="152"/>
        <v>0.41983199472630023</v>
      </c>
      <c r="K243" s="504">
        <f t="shared" si="152"/>
        <v>0.43636103843385238</v>
      </c>
      <c r="L243" s="504">
        <f t="shared" si="152"/>
        <v>0.45289008214140453</v>
      </c>
      <c r="M243" s="504">
        <f t="shared" si="152"/>
        <v>0.46941912584895668</v>
      </c>
      <c r="N243" s="504">
        <f t="shared" si="152"/>
        <v>0.48594816955650882</v>
      </c>
      <c r="O243" s="504">
        <f t="shared" si="152"/>
        <v>0.50247721326406103</v>
      </c>
      <c r="P243" s="504">
        <f t="shared" si="152"/>
        <v>0.51900625697161318</v>
      </c>
      <c r="Q243" s="504">
        <f t="shared" si="152"/>
        <v>0.53553530067916533</v>
      </c>
      <c r="R243" s="504">
        <f t="shared" si="152"/>
        <v>0.55206434438671748</v>
      </c>
      <c r="S243" s="504">
        <f t="shared" si="152"/>
        <v>0.56859338809426963</v>
      </c>
      <c r="T243" s="504">
        <f t="shared" si="152"/>
        <v>0.58512243180182177</v>
      </c>
      <c r="U243" s="504">
        <f t="shared" si="152"/>
        <v>0.60165147550937392</v>
      </c>
      <c r="V243" s="504">
        <f t="shared" si="152"/>
        <v>0.61818051921692607</v>
      </c>
      <c r="W243" s="504">
        <f t="shared" si="152"/>
        <v>0.63470956292447822</v>
      </c>
      <c r="X243" s="504">
        <f t="shared" si="152"/>
        <v>0.65123860663203037</v>
      </c>
      <c r="Y243" s="504">
        <f t="shared" si="152"/>
        <v>0.66776765033958252</v>
      </c>
      <c r="Z243" s="504">
        <f t="shared" si="152"/>
        <v>0.68429669404713467</v>
      </c>
      <c r="AA243" s="504">
        <f t="shared" si="152"/>
        <v>0.70082573775468682</v>
      </c>
      <c r="AB243" s="504">
        <f t="shared" si="152"/>
        <v>0.71735478146223897</v>
      </c>
      <c r="AC243" s="504">
        <f t="shared" si="152"/>
        <v>0.73388382516979112</v>
      </c>
      <c r="AD243" s="504">
        <f t="shared" si="152"/>
        <v>0.75041286887734326</v>
      </c>
      <c r="AE243" s="504">
        <f t="shared" si="152"/>
        <v>0.76694191258489541</v>
      </c>
      <c r="AF243" s="504">
        <f t="shared" si="152"/>
        <v>0.78347095629244756</v>
      </c>
      <c r="AG243" s="504">
        <f>'Overall recycling rates'!F94</f>
        <v>0.8</v>
      </c>
      <c r="AI243" s="133"/>
      <c r="AJ243" s="211" t="s">
        <v>1582</v>
      </c>
      <c r="AL243" s="108"/>
      <c r="AM243" s="207"/>
      <c r="AN243" s="207"/>
      <c r="AO243" s="207"/>
      <c r="BC243" s="1"/>
      <c r="BD243" s="207"/>
      <c r="BE243" s="207"/>
      <c r="BF243" s="207"/>
      <c r="BG243" s="207"/>
      <c r="BH243" s="207"/>
      <c r="BI243" s="207"/>
      <c r="BJ243" s="207"/>
      <c r="BK243" s="207"/>
    </row>
    <row r="244" spans="1:63" outlineLevel="1" x14ac:dyDescent="0.2">
      <c r="A244" t="s">
        <v>1639</v>
      </c>
      <c r="B244" s="54" t="s">
        <v>462</v>
      </c>
      <c r="C244" s="110">
        <f>C241*C243</f>
        <v>4.8660590203749628E-3</v>
      </c>
      <c r="D244" s="110">
        <f t="shared" ref="D244:AG244" si="153">D241*D243</f>
        <v>7.4698738621561704E-3</v>
      </c>
      <c r="E244" s="110">
        <f t="shared" si="153"/>
        <v>1.0314863120364641E-2</v>
      </c>
      <c r="F244" s="110">
        <f t="shared" si="153"/>
        <v>1.3401026795000376E-2</v>
      </c>
      <c r="G244" s="110">
        <f t="shared" si="153"/>
        <v>1.6728364886063371E-2</v>
      </c>
      <c r="H244" s="110">
        <f t="shared" si="153"/>
        <v>2.0296877393553635E-2</v>
      </c>
      <c r="I244" s="110">
        <f t="shared" si="153"/>
        <v>2.4106564317471161E-2</v>
      </c>
      <c r="J244" s="110">
        <f t="shared" si="153"/>
        <v>2.8157425657815947E-2</v>
      </c>
      <c r="K244" s="110">
        <f t="shared" si="153"/>
        <v>3.2449461414588002E-2</v>
      </c>
      <c r="L244" s="110">
        <f t="shared" si="153"/>
        <v>3.698267158778732E-2</v>
      </c>
      <c r="M244" s="110">
        <f t="shared" si="153"/>
        <v>4.1757056177413897E-2</v>
      </c>
      <c r="N244" s="110">
        <f t="shared" si="153"/>
        <v>5.0699630570713299E-2</v>
      </c>
      <c r="O244" s="110">
        <f t="shared" si="153"/>
        <v>6.0150526426328628E-2</v>
      </c>
      <c r="P244" s="110">
        <f t="shared" si="153"/>
        <v>7.0109743744259892E-2</v>
      </c>
      <c r="Q244" s="110">
        <f t="shared" si="153"/>
        <v>8.0577282524507077E-2</v>
      </c>
      <c r="R244" s="110">
        <f t="shared" si="153"/>
        <v>9.1553142767070175E-2</v>
      </c>
      <c r="S244" s="110">
        <f t="shared" si="153"/>
        <v>0.1030373244719492</v>
      </c>
      <c r="T244" s="110">
        <f t="shared" si="153"/>
        <v>0.11502982763914416</v>
      </c>
      <c r="U244" s="110">
        <f t="shared" si="153"/>
        <v>0.12753065226865501</v>
      </c>
      <c r="V244" s="110">
        <f t="shared" si="153"/>
        <v>0.14053979836048183</v>
      </c>
      <c r="W244" s="110">
        <f t="shared" si="153"/>
        <v>0.15405726591462454</v>
      </c>
      <c r="X244" s="110">
        <f t="shared" si="153"/>
        <v>0.17482421933849668</v>
      </c>
      <c r="Y244" s="110">
        <f t="shared" si="153"/>
        <v>0.19644168831451672</v>
      </c>
      <c r="Z244" s="110">
        <f t="shared" si="153"/>
        <v>0.21890967284268459</v>
      </c>
      <c r="AA244" s="110">
        <f t="shared" si="153"/>
        <v>0.24222817292300036</v>
      </c>
      <c r="AB244" s="110">
        <f t="shared" si="153"/>
        <v>0.26639718855546396</v>
      </c>
      <c r="AC244" s="110">
        <f t="shared" si="153"/>
        <v>0.29141671974007538</v>
      </c>
      <c r="AD244" s="110">
        <f t="shared" si="153"/>
        <v>0.31728676647683468</v>
      </c>
      <c r="AE244" s="110">
        <f t="shared" si="153"/>
        <v>0.34400732876574192</v>
      </c>
      <c r="AF244" s="110">
        <f t="shared" si="153"/>
        <v>0.37157840660679697</v>
      </c>
      <c r="AG244" s="110">
        <f t="shared" si="153"/>
        <v>0.4</v>
      </c>
      <c r="AJ244" s="211" t="s">
        <v>1349</v>
      </c>
    </row>
    <row r="245" spans="1:63" outlineLevel="1" x14ac:dyDescent="0.2">
      <c r="C245" s="110"/>
      <c r="D245" s="110"/>
      <c r="E245" s="110"/>
      <c r="F245" s="110"/>
      <c r="G245" s="110"/>
      <c r="H245" s="110"/>
      <c r="I245" s="110"/>
      <c r="J245" s="110"/>
      <c r="K245" s="110"/>
      <c r="L245" s="110"/>
      <c r="M245" s="110"/>
      <c r="N245" s="110"/>
      <c r="O245" s="110"/>
      <c r="P245" s="110"/>
      <c r="Q245" s="110"/>
      <c r="R245" s="110"/>
      <c r="S245" s="110"/>
      <c r="T245" s="110"/>
      <c r="U245" s="110"/>
      <c r="V245" s="110"/>
      <c r="W245" s="110"/>
      <c r="X245" s="110"/>
      <c r="Y245" s="110"/>
      <c r="Z245" s="110"/>
      <c r="AA245" s="110"/>
      <c r="AB245" s="110"/>
      <c r="AC245" s="110"/>
      <c r="AD245" s="110"/>
      <c r="AE245" s="110"/>
      <c r="AF245" s="110"/>
      <c r="AG245" s="110"/>
      <c r="AI245" s="134"/>
      <c r="AJ245" s="211"/>
      <c r="BC245" s="1"/>
      <c r="BD245" s="41"/>
      <c r="BF245" s="6"/>
      <c r="BG245" s="6"/>
      <c r="BH245" s="6"/>
      <c r="BI245" s="6"/>
      <c r="BJ245" s="6"/>
    </row>
    <row r="246" spans="1:63" s="1" customFormat="1" outlineLevel="1" x14ac:dyDescent="0.2">
      <c r="A246" s="1" t="s">
        <v>228</v>
      </c>
      <c r="B246" s="65"/>
      <c r="C246" s="300">
        <f>C244*C44</f>
        <v>5.8032631521489249E-3</v>
      </c>
      <c r="D246" s="300">
        <f t="shared" ref="D246:AG246" si="154">D244*D44</f>
        <v>9.2072020939203067E-3</v>
      </c>
      <c r="E246" s="300">
        <f t="shared" si="154"/>
        <v>1.3105712288989702E-2</v>
      </c>
      <c r="F246" s="300">
        <f t="shared" si="154"/>
        <v>1.7505800631190116E-2</v>
      </c>
      <c r="G246" s="300">
        <f t="shared" si="154"/>
        <v>2.2408298815568436E-2</v>
      </c>
      <c r="H246" s="300">
        <f t="shared" si="154"/>
        <v>2.7807479950100883E-2</v>
      </c>
      <c r="I246" s="300">
        <f t="shared" si="154"/>
        <v>3.376346351391521E-2</v>
      </c>
      <c r="J246" s="300">
        <f t="shared" si="154"/>
        <v>4.0298223521213511E-2</v>
      </c>
      <c r="K246" s="300">
        <f t="shared" si="154"/>
        <v>4.7433318025234851E-2</v>
      </c>
      <c r="L246" s="300">
        <f t="shared" si="154"/>
        <v>5.5189807843438347E-2</v>
      </c>
      <c r="M246" s="300">
        <f t="shared" si="154"/>
        <v>6.358817390274786E-2</v>
      </c>
      <c r="N246" s="300">
        <f t="shared" si="154"/>
        <v>7.863508681544254E-2</v>
      </c>
      <c r="O246" s="300">
        <f t="shared" si="154"/>
        <v>9.4840456104715795E-2</v>
      </c>
      <c r="P246" s="300">
        <f t="shared" si="154"/>
        <v>0.11216336772790965</v>
      </c>
      <c r="Q246" s="300">
        <f t="shared" si="154"/>
        <v>0.13055029849066793</v>
      </c>
      <c r="R246" s="300">
        <f t="shared" si="154"/>
        <v>0.14993517285234059</v>
      </c>
      <c r="S246" s="300">
        <f t="shared" si="154"/>
        <v>0.17054630538812571</v>
      </c>
      <c r="T246" s="300">
        <f t="shared" si="154"/>
        <v>0.19241020943845857</v>
      </c>
      <c r="U246" s="300">
        <f t="shared" si="154"/>
        <v>0.21555322103826982</v>
      </c>
      <c r="V246" s="300">
        <f t="shared" si="154"/>
        <v>0.24000147622154303</v>
      </c>
      <c r="W246" s="300">
        <f t="shared" si="154"/>
        <v>0.26578088807622108</v>
      </c>
      <c r="X246" s="300">
        <f t="shared" si="154"/>
        <v>0.3046682577046575</v>
      </c>
      <c r="Y246" s="300">
        <f t="shared" si="154"/>
        <v>0.34578039497076074</v>
      </c>
      <c r="Z246" s="300">
        <f t="shared" si="154"/>
        <v>0.38916141827404682</v>
      </c>
      <c r="AA246" s="300">
        <f t="shared" si="154"/>
        <v>0.43485512296718665</v>
      </c>
      <c r="AB246" s="300">
        <f t="shared" si="154"/>
        <v>0.48290494673261225</v>
      </c>
      <c r="AC246" s="300">
        <f t="shared" si="154"/>
        <v>0.53335897708623259</v>
      </c>
      <c r="AD246" s="300">
        <f t="shared" si="154"/>
        <v>0.58626133883074849</v>
      </c>
      <c r="AE246" s="300">
        <f t="shared" si="154"/>
        <v>0.64165583726377518</v>
      </c>
      <c r="AF246" s="300">
        <f t="shared" si="154"/>
        <v>0.69958592673131836</v>
      </c>
      <c r="AG246" s="300">
        <f t="shared" si="154"/>
        <v>0.76009467890014637</v>
      </c>
      <c r="AH246" s="245"/>
      <c r="AI246" s="423"/>
      <c r="AJ246" s="424"/>
      <c r="AL246" s="221"/>
      <c r="AM246" s="124"/>
      <c r="AN246" s="124"/>
      <c r="AO246" s="124"/>
      <c r="BD246" s="124"/>
      <c r="BE246" s="124"/>
      <c r="BF246" s="124"/>
      <c r="BG246" s="124"/>
      <c r="BH246" s="124"/>
      <c r="BI246" s="124"/>
      <c r="BJ246" s="124"/>
      <c r="BK246" s="124"/>
    </row>
    <row r="247" spans="1:63" outlineLevel="1" x14ac:dyDescent="0.2">
      <c r="A247" s="4" t="s">
        <v>474</v>
      </c>
      <c r="C247" s="230">
        <f>C$246*'BTX recycling rates'!E86</f>
        <v>0</v>
      </c>
      <c r="D247" s="230">
        <f>D$246*'BTX recycling rates'!F86</f>
        <v>1.8305658884860726E-4</v>
      </c>
      <c r="E247" s="230">
        <f>E$246*'BTX recycling rates'!G86</f>
        <v>5.2113268755942497E-4</v>
      </c>
      <c r="F247" s="230">
        <f>F$246*'BTX recycling rates'!H86</f>
        <v>1.0441452623459258E-3</v>
      </c>
      <c r="G247" s="230">
        <f>G$246*'BTX recycling rates'!I86</f>
        <v>1.7820774221027973E-3</v>
      </c>
      <c r="H247" s="230">
        <f>H$246*'BTX recycling rates'!J86</f>
        <v>2.7643264328382445E-3</v>
      </c>
      <c r="I247" s="230">
        <f>I$246*'BTX recycling rates'!K86</f>
        <v>4.0276890170486742E-3</v>
      </c>
      <c r="J247" s="230">
        <f>J$246*'BTX recycling rates'!L86</f>
        <v>5.608434225122738E-3</v>
      </c>
      <c r="K247" s="230">
        <f>K$246*'BTX recycling rates'!M86</f>
        <v>7.5445124865493622E-3</v>
      </c>
      <c r="L247" s="230">
        <f>L$246*'BTX recycling rates'!N86</f>
        <v>9.8754997163915219E-3</v>
      </c>
      <c r="M247" s="230">
        <f>M$246*'BTX recycling rates'!O86</f>
        <v>1.2642531452019856E-2</v>
      </c>
      <c r="N247" s="230">
        <f>N$246*'BTX recycling rates'!P86</f>
        <v>1.7197556511037694E-2</v>
      </c>
      <c r="O247" s="230">
        <f>O$246*'BTX recycling rates'!Q86</f>
        <v>2.262729137769998E-2</v>
      </c>
      <c r="P247" s="230">
        <f>P$246*'BTX recycling rates'!R86</f>
        <v>2.8990258131383066E-2</v>
      </c>
      <c r="Q247" s="230">
        <f>Q$246*'BTX recycling rates'!S86</f>
        <v>3.633821534438713E-2</v>
      </c>
      <c r="R247" s="230">
        <f>R$246*'BTX recycling rates'!T86</f>
        <v>4.4714921554017989E-2</v>
      </c>
      <c r="S247" s="230">
        <f>S$246*'BTX recycling rates'!U86</f>
        <v>5.4252528986104158E-2</v>
      </c>
      <c r="T247" s="230">
        <f>T$246*'BTX recycling rates'!V86</f>
        <v>6.5033139935750647E-2</v>
      </c>
      <c r="U247" s="230">
        <f>U$246*'BTX recycling rates'!W86</f>
        <v>7.7140901786408325E-2</v>
      </c>
      <c r="V247" s="230">
        <f>V$246*'BTX recycling rates'!X86</f>
        <v>9.0661980810692461E-2</v>
      </c>
      <c r="W247" s="230">
        <f>W$246*'BTX recycling rates'!Y86</f>
        <v>0.10568453316456038</v>
      </c>
      <c r="X247" s="230">
        <f>X$246*'BTX recycling rates'!Z86</f>
        <v>0.1272050031872865</v>
      </c>
      <c r="Y247" s="230">
        <f>Y$246*'BTX recycling rates'!AA86</f>
        <v>0.15124489903280147</v>
      </c>
      <c r="Z247" s="230">
        <f>Z$246*'BTX recycling rates'!AB86</f>
        <v>0.17795709308029478</v>
      </c>
      <c r="AA247" s="230">
        <f>AA$246*'BTX recycling rates'!AC86</f>
        <v>0.20749781219103247</v>
      </c>
      <c r="AB247" s="230">
        <f>AB$246*'BTX recycling rates'!AD86</f>
        <v>0.24002658838498273</v>
      </c>
      <c r="AC247" s="230">
        <f>AC$246*'BTX recycling rates'!AE86</f>
        <v>0.27570881180973744</v>
      </c>
      <c r="AD247" s="230">
        <f>AD$246*'BTX recycling rates'!AF86</f>
        <v>0.31471156966762553</v>
      </c>
      <c r="AE247" s="230">
        <f>AE$246*'BTX recycling rates'!AG86</f>
        <v>0.35720528043282596</v>
      </c>
      <c r="AF247" s="230">
        <f>AF$246*'BTX recycling rates'!AH86</f>
        <v>0.40336364395826668</v>
      </c>
      <c r="AG247" s="230">
        <f>AG$246*'BTX recycling rates'!AI86</f>
        <v>0.4533635876635595</v>
      </c>
      <c r="AH247" s="245"/>
      <c r="AI247" s="133"/>
      <c r="AJ247" s="211"/>
      <c r="AL247" s="108"/>
      <c r="AM247" s="2"/>
      <c r="AN247" s="2"/>
      <c r="AO247" s="2"/>
      <c r="BC247" s="1"/>
      <c r="BD247" s="2"/>
      <c r="BE247" s="2"/>
      <c r="BF247" s="2"/>
      <c r="BG247" s="2"/>
      <c r="BH247" s="2"/>
      <c r="BI247" s="2"/>
      <c r="BJ247" s="2"/>
      <c r="BK247" s="2"/>
    </row>
    <row r="248" spans="1:63" outlineLevel="1" x14ac:dyDescent="0.2">
      <c r="A248" s="4" t="s">
        <v>478</v>
      </c>
      <c r="C248" s="230">
        <f>C$246*'BTX recycling rates'!E87</f>
        <v>3.156453720645372E-3</v>
      </c>
      <c r="D248" s="230">
        <f>D$246*'BTX recycling rates'!F87</f>
        <v>4.9400058276678994E-3</v>
      </c>
      <c r="E248" s="230">
        <f>E$246*'BTX recycling rates'!G87</f>
        <v>6.9350727203402662E-3</v>
      </c>
      <c r="F248" s="230">
        <f>F$246*'BTX recycling rates'!H87</f>
        <v>9.1343710917065647E-3</v>
      </c>
      <c r="G248" s="230">
        <f>G$246*'BTX recycling rates'!I87</f>
        <v>1.152723435312865E-2</v>
      </c>
      <c r="H248" s="230">
        <f>H$246*'BTX recycling rates'!J87</f>
        <v>1.409964588826842E-2</v>
      </c>
      <c r="I248" s="230">
        <f>I$246*'BTX recycling rates'!K87</f>
        <v>1.6870659570915682E-2</v>
      </c>
      <c r="J248" s="230">
        <f>J$246*'BTX recycling rates'!L87</f>
        <v>1.9838777251657416E-2</v>
      </c>
      <c r="K248" s="230">
        <f>K$246*'BTX recycling rates'!M87</f>
        <v>2.3001651011949446E-2</v>
      </c>
      <c r="L248" s="230">
        <f>L$246*'BTX recycling rates'!N87</f>
        <v>2.6356059685511104E-2</v>
      </c>
      <c r="M248" s="230">
        <f>M$246*'BTX recycling rates'!O87</f>
        <v>2.9897888326342478E-2</v>
      </c>
      <c r="N248" s="230">
        <f>N$246*'BTX recycling rates'!P87</f>
        <v>3.6392868439507411E-2</v>
      </c>
      <c r="O248" s="230">
        <f>O$246*'BTX recycling rates'!Q87</f>
        <v>4.3193566766082402E-2</v>
      </c>
      <c r="P248" s="230">
        <f>P$246*'BTX recycling rates'!R87</f>
        <v>5.0256027376284859E-2</v>
      </c>
      <c r="Q248" s="230">
        <f>Q$246*'BTX recycling rates'!S87</f>
        <v>5.7531944278220198E-2</v>
      </c>
      <c r="R248" s="230">
        <f>R$246*'BTX recycling rates'!T87</f>
        <v>6.4969150869752024E-2</v>
      </c>
      <c r="S248" s="230">
        <f>S$246*'BTX recycling rates'!U87</f>
        <v>7.2642822346105002E-2</v>
      </c>
      <c r="T248" s="230">
        <f>T$246*'BTX recycling rates'!V87</f>
        <v>8.0536932712561515E-2</v>
      </c>
      <c r="U248" s="230">
        <f>U$246*'BTX recycling rates'!W87</f>
        <v>8.8634601134220267E-2</v>
      </c>
      <c r="V248" s="230">
        <f>V$246*'BTX recycling rates'!X87</f>
        <v>9.6918089307436839E-2</v>
      </c>
      <c r="W248" s="230">
        <f>W$246*'BTX recycling rates'!Y87</f>
        <v>0.10536879973629268</v>
      </c>
      <c r="X248" s="230">
        <f>X$246*'BTX recycling rates'!Z87</f>
        <v>0.11853936931579515</v>
      </c>
      <c r="Y248" s="230">
        <f>Y$246*'BTX recycling rates'!AA87</f>
        <v>0.13198570704535287</v>
      </c>
      <c r="Z248" s="230">
        <f>Z$246*'BTX recycling rates'!AB87</f>
        <v>0.14567511807556013</v>
      </c>
      <c r="AA248" s="230">
        <f>AA$246*'BTX recycling rates'!AC87</f>
        <v>0.15957348787019288</v>
      </c>
      <c r="AB248" s="230">
        <f>AB$246*'BTX recycling rates'!AD87</f>
        <v>0.17364528166530632</v>
      </c>
      <c r="AC248" s="230">
        <f>AC$246*'BTX recycling rates'!AE87</f>
        <v>0.18785532135663255</v>
      </c>
      <c r="AD248" s="230">
        <f>AD$246*'BTX recycling rates'!AF87</f>
        <v>0.20216564414306992</v>
      </c>
      <c r="AE248" s="230">
        <f>AE$246*'BTX recycling rates'!AG87</f>
        <v>0.21653687807039326</v>
      </c>
      <c r="AF248" s="230">
        <f>AF$246*'BTX recycling rates'!AH87</f>
        <v>0.23092824342956098</v>
      </c>
      <c r="AG248" s="230">
        <f>AG$246*'BTX recycling rates'!AI87</f>
        <v>0.24529755545543858</v>
      </c>
      <c r="AH248" s="245"/>
      <c r="AI248" s="133"/>
      <c r="AJ248" s="211"/>
      <c r="AL248" s="108"/>
      <c r="AM248" s="2"/>
      <c r="AN248" s="2"/>
      <c r="AO248" s="2"/>
      <c r="BC248" s="1"/>
      <c r="BD248" s="2"/>
      <c r="BE248" s="2"/>
      <c r="BF248" s="2"/>
      <c r="BG248" s="2"/>
      <c r="BH248" s="2"/>
      <c r="BI248" s="2"/>
      <c r="BJ248" s="2"/>
      <c r="BK248" s="2"/>
    </row>
    <row r="249" spans="1:63" outlineLevel="1" x14ac:dyDescent="0.2">
      <c r="A249" s="4" t="s">
        <v>745</v>
      </c>
      <c r="C249" s="230">
        <f>C$246*'BTX recycling rates'!E88</f>
        <v>2.4693112381940522E-3</v>
      </c>
      <c r="D249" s="230">
        <f>D$246*'BTX recycling rates'!F88</f>
        <v>3.8099461300005739E-3</v>
      </c>
      <c r="E249" s="230">
        <f>E$246*'BTX recycling rates'!G88</f>
        <v>5.2697723024113319E-3</v>
      </c>
      <c r="F249" s="230">
        <f>F$246*'BTX recycling rates'!H88</f>
        <v>6.8341608848242232E-3</v>
      </c>
      <c r="G249" s="230">
        <f>G$246*'BTX recycling rates'!I88</f>
        <v>8.4858165010810466E-3</v>
      </c>
      <c r="H249" s="230">
        <f>H$246*'BTX recycling rates'!J88</f>
        <v>1.0204997921216531E-2</v>
      </c>
      <c r="I249" s="230">
        <f>I$246*'BTX recycling rates'!K88</f>
        <v>1.1995626186363212E-2</v>
      </c>
      <c r="J249" s="230">
        <f>J$246*'BTX recycling rates'!L88</f>
        <v>1.3845701901736267E-2</v>
      </c>
      <c r="K249" s="230">
        <f>K$246*'BTX recycling rates'!M88</f>
        <v>1.5742058952062144E-2</v>
      </c>
      <c r="L249" s="230">
        <f>L$246*'BTX recycling rates'!N88</f>
        <v>1.7670362820006127E-2</v>
      </c>
      <c r="M249" s="230">
        <f>M$246*'BTX recycling rates'!O88</f>
        <v>1.9615114186021364E-2</v>
      </c>
      <c r="N249" s="230">
        <f>N$246*'BTX recycling rates'!P88</f>
        <v>2.3336363427856482E-2</v>
      </c>
      <c r="O249" s="230">
        <f>O$246*'BTX recycling rates'!Q88</f>
        <v>2.7035650975196251E-2</v>
      </c>
      <c r="P249" s="230">
        <f>P$246*'BTX recycling rates'!R88</f>
        <v>3.0661119289093739E-2</v>
      </c>
      <c r="Q249" s="230">
        <f>Q$246*'BTX recycling rates'!S88</f>
        <v>3.4159526859797132E-2</v>
      </c>
      <c r="R249" s="230">
        <f>R$246*'BTX recycling rates'!T88</f>
        <v>3.7477000247814092E-2</v>
      </c>
      <c r="S249" s="230">
        <f>S$246*'BTX recycling rates'!U88</f>
        <v>4.0632898077171221E-2</v>
      </c>
      <c r="T249" s="230">
        <f>T$246*'BTX recycling rates'!V88</f>
        <v>4.3590173160127067E-2</v>
      </c>
      <c r="U249" s="230">
        <f>U$246*'BTX recycling rates'!W88</f>
        <v>4.6310499043372491E-2</v>
      </c>
      <c r="V249" s="230">
        <f>V$246*'BTX recycling rates'!X88</f>
        <v>4.8754275772924516E-2</v>
      </c>
      <c r="W249" s="230">
        <f>W$246*'BTX recycling rates'!Y88</f>
        <v>5.0880637204894316E-2</v>
      </c>
      <c r="X249" s="230">
        <f>X$246*'BTX recycling rates'!Z88</f>
        <v>5.4759550007302649E-2</v>
      </c>
      <c r="Y249" s="230">
        <f>Y$246*'BTX recycling rates'!AA88</f>
        <v>5.8102074641752904E-2</v>
      </c>
      <c r="Z249" s="230">
        <f>Z$246*'BTX recycling rates'!AB88</f>
        <v>6.0836996819983918E-2</v>
      </c>
      <c r="AA249" s="230">
        <f>AA$246*'BTX recycling rates'!AC88</f>
        <v>6.2890990212760359E-2</v>
      </c>
      <c r="AB249" s="230">
        <f>AB$246*'BTX recycling rates'!AD88</f>
        <v>6.4188630751207842E-2</v>
      </c>
      <c r="AC249" s="230">
        <f>AC$246*'BTX recycling rates'!AE88</f>
        <v>6.4653024558944158E-2</v>
      </c>
      <c r="AD249" s="230">
        <f>AD$246*'BTX recycling rates'!AF88</f>
        <v>6.4204592654792489E-2</v>
      </c>
      <c r="AE249" s="230">
        <f>AE$246*'BTX recycling rates'!AG88</f>
        <v>6.2761659186108681E-2</v>
      </c>
      <c r="AF249" s="230">
        <f>AF$246*'BTX recycling rates'!AH88</f>
        <v>6.0240467417250934E-2</v>
      </c>
      <c r="AG249" s="230">
        <f>AG$246*'BTX recycling rates'!AI88</f>
        <v>5.655519790529915E-2</v>
      </c>
      <c r="AH249" s="245"/>
      <c r="AI249" s="133"/>
      <c r="AJ249" s="211"/>
      <c r="AL249" s="108"/>
      <c r="AM249" s="2"/>
      <c r="AN249" s="2"/>
      <c r="AO249" s="2"/>
      <c r="BC249" s="1"/>
      <c r="BD249" s="2"/>
      <c r="BE249" s="2"/>
      <c r="BF249" s="2"/>
      <c r="BG249" s="2"/>
      <c r="BH249" s="2"/>
      <c r="BI249" s="2"/>
      <c r="BJ249" s="2"/>
      <c r="BK249" s="2"/>
    </row>
    <row r="250" spans="1:63" outlineLevel="1" x14ac:dyDescent="0.2">
      <c r="A250" s="4" t="s">
        <v>1561</v>
      </c>
      <c r="C250" s="230">
        <f>C$246*'BTX recycling rates'!E89</f>
        <v>1.7749819330950106E-4</v>
      </c>
      <c r="D250" s="230">
        <f>D$246*'BTX recycling rates'!F89</f>
        <v>2.7419354740322691E-4</v>
      </c>
      <c r="E250" s="230">
        <f>E$246*'BTX recycling rates'!G89</f>
        <v>3.7973457867867969E-4</v>
      </c>
      <c r="F250" s="230">
        <f>F$246*'BTX recycling rates'!H89</f>
        <v>4.931233923134037E-4</v>
      </c>
      <c r="G250" s="230">
        <f>G$246*'BTX recycling rates'!I89</f>
        <v>6.13170539255942E-4</v>
      </c>
      <c r="H250" s="230">
        <f>H$246*'BTX recycling rates'!J89</f>
        <v>7.3850970777768936E-4</v>
      </c>
      <c r="I250" s="230">
        <f>I$246*'BTX recycling rates'!K89</f>
        <v>8.6948873958764175E-4</v>
      </c>
      <c r="J250" s="230">
        <f>J$246*'BTX recycling rates'!L89</f>
        <v>1.0053101426970871E-3</v>
      </c>
      <c r="K250" s="230">
        <f>K$246*'BTX recycling rates'!M89</f>
        <v>1.1450955746738986E-3</v>
      </c>
      <c r="L250" s="230">
        <f>L$246*'BTX recycling rates'!N89</f>
        <v>1.2878856215295968E-3</v>
      </c>
      <c r="M250" s="230">
        <f>M$246*'BTX recycling rates'!O89</f>
        <v>1.4326399383641599E-3</v>
      </c>
      <c r="N250" s="230">
        <f>N$246*'BTX recycling rates'!P89</f>
        <v>1.7082984370409521E-3</v>
      </c>
      <c r="O250" s="230">
        <f>O$246*'BTX recycling rates'!Q89</f>
        <v>1.9839469857371641E-3</v>
      </c>
      <c r="P250" s="230">
        <f>P$246*'BTX recycling rates'!R89</f>
        <v>2.2559629311479806E-3</v>
      </c>
      <c r="Q250" s="230">
        <f>Q$246*'BTX recycling rates'!S89</f>
        <v>2.5206120082634708E-3</v>
      </c>
      <c r="R250" s="230">
        <f>R$246*'BTX recycling rates'!T89</f>
        <v>2.7741001807564825E-3</v>
      </c>
      <c r="S250" s="230">
        <f>S$246*'BTX recycling rates'!U89</f>
        <v>3.0180559787453187E-3</v>
      </c>
      <c r="T250" s="230">
        <f>T$246*'BTX recycling rates'!V89</f>
        <v>3.2499636300193538E-3</v>
      </c>
      <c r="U250" s="230">
        <f>U$246*'BTX recycling rates'!W89</f>
        <v>3.467219074268725E-3</v>
      </c>
      <c r="V250" s="230">
        <f>V$246*'BTX recycling rates'!X89</f>
        <v>3.66713033048921E-3</v>
      </c>
      <c r="W250" s="230">
        <f>W$246*'BTX recycling rates'!Y89</f>
        <v>3.8469179704737119E-3</v>
      </c>
      <c r="X250" s="230">
        <f>X$246*'BTX recycling rates'!Z89</f>
        <v>4.1643351942732085E-3</v>
      </c>
      <c r="Y250" s="230">
        <f>Y$246*'BTX recycling rates'!AA89</f>
        <v>4.4477142508534927E-3</v>
      </c>
      <c r="Z250" s="230">
        <f>Z$246*'BTX recycling rates'!AB89</f>
        <v>4.6922102982079822E-3</v>
      </c>
      <c r="AA250" s="230">
        <f>AA$246*'BTX recycling rates'!AC89</f>
        <v>4.8928326932009512E-3</v>
      </c>
      <c r="AB250" s="230">
        <f>AB$246*'BTX recycling rates'!AD89</f>
        <v>5.0444459311153635E-3</v>
      </c>
      <c r="AC250" s="230">
        <f>AC$246*'BTX recycling rates'!AE89</f>
        <v>5.141819360918432E-3</v>
      </c>
      <c r="AD250" s="230">
        <f>AD$246*'BTX recycling rates'!AF89</f>
        <v>5.1795323652605082E-3</v>
      </c>
      <c r="AE250" s="230">
        <f>AE$246*'BTX recycling rates'!AG89</f>
        <v>5.1520195744472292E-3</v>
      </c>
      <c r="AF250" s="230">
        <f>AF$246*'BTX recycling rates'!AH89</f>
        <v>5.0535719262396472E-3</v>
      </c>
      <c r="AG250" s="230">
        <f>AG$246*'BTX recycling rates'!AI89</f>
        <v>4.8783378758492498E-3</v>
      </c>
      <c r="AH250" s="245"/>
      <c r="AI250" s="133"/>
      <c r="AJ250" s="211"/>
      <c r="AL250" s="108"/>
      <c r="AM250" s="2"/>
      <c r="AN250" s="2"/>
      <c r="AO250" s="2"/>
      <c r="BC250" s="1"/>
      <c r="BD250" s="2"/>
      <c r="BE250" s="2"/>
      <c r="BF250" s="2"/>
      <c r="BG250" s="2"/>
      <c r="BH250" s="2"/>
      <c r="BI250" s="2"/>
      <c r="BJ250" s="2"/>
      <c r="BK250" s="2"/>
    </row>
    <row r="251" spans="1:63" s="1" customFormat="1" outlineLevel="1" x14ac:dyDescent="0.2">
      <c r="A251" s="1" t="s">
        <v>1562</v>
      </c>
      <c r="B251" s="65"/>
      <c r="C251" s="300">
        <f t="shared" ref="C251:AG251" si="155">C246-$C246</f>
        <v>0</v>
      </c>
      <c r="D251" s="300">
        <f t="shared" si="155"/>
        <v>3.4039389417713818E-3</v>
      </c>
      <c r="E251" s="300">
        <f t="shared" si="155"/>
        <v>7.3024491368407773E-3</v>
      </c>
      <c r="F251" s="300">
        <f t="shared" si="155"/>
        <v>1.1702537479041191E-2</v>
      </c>
      <c r="G251" s="300">
        <f t="shared" si="155"/>
        <v>1.6605035663419511E-2</v>
      </c>
      <c r="H251" s="300">
        <f t="shared" si="155"/>
        <v>2.2004216797951958E-2</v>
      </c>
      <c r="I251" s="300">
        <f t="shared" si="155"/>
        <v>2.7960200361766285E-2</v>
      </c>
      <c r="J251" s="300">
        <f t="shared" si="155"/>
        <v>3.449496036906459E-2</v>
      </c>
      <c r="K251" s="300">
        <f t="shared" si="155"/>
        <v>4.1630054873085923E-2</v>
      </c>
      <c r="L251" s="300">
        <f t="shared" si="155"/>
        <v>4.9386544691289419E-2</v>
      </c>
      <c r="M251" s="300">
        <f t="shared" si="155"/>
        <v>5.7784910750598939E-2</v>
      </c>
      <c r="N251" s="300">
        <f t="shared" si="155"/>
        <v>7.2831823663293618E-2</v>
      </c>
      <c r="O251" s="300">
        <f t="shared" si="155"/>
        <v>8.9037192952566874E-2</v>
      </c>
      <c r="P251" s="300">
        <f t="shared" si="155"/>
        <v>0.10636010457576073</v>
      </c>
      <c r="Q251" s="300">
        <f t="shared" si="155"/>
        <v>0.12474703533851901</v>
      </c>
      <c r="R251" s="300">
        <f t="shared" si="155"/>
        <v>0.14413190970019166</v>
      </c>
      <c r="S251" s="300">
        <f t="shared" si="155"/>
        <v>0.16474304223597677</v>
      </c>
      <c r="T251" s="300">
        <f t="shared" si="155"/>
        <v>0.18660694628630964</v>
      </c>
      <c r="U251" s="300">
        <f t="shared" si="155"/>
        <v>0.20974995788612089</v>
      </c>
      <c r="V251" s="300">
        <f t="shared" si="155"/>
        <v>0.23419821306939409</v>
      </c>
      <c r="W251" s="300">
        <f t="shared" si="155"/>
        <v>0.25997762492407217</v>
      </c>
      <c r="X251" s="300">
        <f t="shared" si="155"/>
        <v>0.29886499455250859</v>
      </c>
      <c r="Y251" s="300">
        <f t="shared" si="155"/>
        <v>0.33997713181861183</v>
      </c>
      <c r="Z251" s="300">
        <f t="shared" si="155"/>
        <v>0.38335815512189791</v>
      </c>
      <c r="AA251" s="300">
        <f t="shared" si="155"/>
        <v>0.42905185981503774</v>
      </c>
      <c r="AB251" s="300">
        <f t="shared" si="155"/>
        <v>0.47710168358046334</v>
      </c>
      <c r="AC251" s="300">
        <f t="shared" si="155"/>
        <v>0.52755571393408363</v>
      </c>
      <c r="AD251" s="300">
        <f t="shared" si="155"/>
        <v>0.58045807567859953</v>
      </c>
      <c r="AE251" s="300">
        <f t="shared" si="155"/>
        <v>0.63585257411162621</v>
      </c>
      <c r="AF251" s="300">
        <f t="shared" si="155"/>
        <v>0.6937826635791694</v>
      </c>
      <c r="AG251" s="300">
        <f t="shared" si="155"/>
        <v>0.75429141574799741</v>
      </c>
      <c r="AH251" s="245"/>
      <c r="AI251" s="423"/>
      <c r="AJ251" s="424"/>
      <c r="AL251" s="221"/>
      <c r="AM251" s="124"/>
      <c r="AN251" s="124"/>
      <c r="AO251" s="124"/>
      <c r="BD251" s="124"/>
      <c r="BE251" s="124"/>
      <c r="BF251" s="124"/>
      <c r="BG251" s="124"/>
      <c r="BH251" s="124"/>
      <c r="BI251" s="124"/>
      <c r="BJ251" s="124"/>
      <c r="BK251" s="124"/>
    </row>
    <row r="252" spans="1:63" outlineLevel="1" x14ac:dyDescent="0.2">
      <c r="A252" s="4" t="s">
        <v>474</v>
      </c>
      <c r="C252" s="230">
        <f t="shared" ref="C252:AG252" si="156">C247-$C247</f>
        <v>0</v>
      </c>
      <c r="D252" s="230">
        <f t="shared" si="156"/>
        <v>1.8305658884860726E-4</v>
      </c>
      <c r="E252" s="230">
        <f t="shared" si="156"/>
        <v>5.2113268755942497E-4</v>
      </c>
      <c r="F252" s="230">
        <f t="shared" si="156"/>
        <v>1.0441452623459258E-3</v>
      </c>
      <c r="G252" s="230">
        <f t="shared" si="156"/>
        <v>1.7820774221027973E-3</v>
      </c>
      <c r="H252" s="230">
        <f t="shared" si="156"/>
        <v>2.7643264328382445E-3</v>
      </c>
      <c r="I252" s="230">
        <f t="shared" si="156"/>
        <v>4.0276890170486742E-3</v>
      </c>
      <c r="J252" s="230">
        <f t="shared" si="156"/>
        <v>5.608434225122738E-3</v>
      </c>
      <c r="K252" s="230">
        <f t="shared" si="156"/>
        <v>7.5445124865493622E-3</v>
      </c>
      <c r="L252" s="230">
        <f t="shared" si="156"/>
        <v>9.8754997163915219E-3</v>
      </c>
      <c r="M252" s="230">
        <f t="shared" si="156"/>
        <v>1.2642531452019856E-2</v>
      </c>
      <c r="N252" s="230">
        <f t="shared" si="156"/>
        <v>1.7197556511037694E-2</v>
      </c>
      <c r="O252" s="230">
        <f t="shared" si="156"/>
        <v>2.262729137769998E-2</v>
      </c>
      <c r="P252" s="230">
        <f t="shared" si="156"/>
        <v>2.8990258131383066E-2</v>
      </c>
      <c r="Q252" s="230">
        <f t="shared" si="156"/>
        <v>3.633821534438713E-2</v>
      </c>
      <c r="R252" s="230">
        <f t="shared" si="156"/>
        <v>4.4714921554017989E-2</v>
      </c>
      <c r="S252" s="230">
        <f t="shared" si="156"/>
        <v>5.4252528986104158E-2</v>
      </c>
      <c r="T252" s="230">
        <f t="shared" si="156"/>
        <v>6.5033139935750647E-2</v>
      </c>
      <c r="U252" s="230">
        <f t="shared" si="156"/>
        <v>7.7140901786408325E-2</v>
      </c>
      <c r="V252" s="230">
        <f t="shared" si="156"/>
        <v>9.0661980810692461E-2</v>
      </c>
      <c r="W252" s="230">
        <f t="shared" si="156"/>
        <v>0.10568453316456038</v>
      </c>
      <c r="X252" s="230">
        <f t="shared" si="156"/>
        <v>0.1272050031872865</v>
      </c>
      <c r="Y252" s="230">
        <f t="shared" si="156"/>
        <v>0.15124489903280147</v>
      </c>
      <c r="Z252" s="230">
        <f t="shared" si="156"/>
        <v>0.17795709308029478</v>
      </c>
      <c r="AA252" s="230">
        <f t="shared" si="156"/>
        <v>0.20749781219103247</v>
      </c>
      <c r="AB252" s="230">
        <f t="shared" si="156"/>
        <v>0.24002658838498273</v>
      </c>
      <c r="AC252" s="230">
        <f t="shared" si="156"/>
        <v>0.27570881180973744</v>
      </c>
      <c r="AD252" s="230">
        <f t="shared" si="156"/>
        <v>0.31471156966762553</v>
      </c>
      <c r="AE252" s="230">
        <f t="shared" si="156"/>
        <v>0.35720528043282596</v>
      </c>
      <c r="AF252" s="230">
        <f t="shared" si="156"/>
        <v>0.40336364395826668</v>
      </c>
      <c r="AG252" s="230">
        <f t="shared" si="156"/>
        <v>0.4533635876635595</v>
      </c>
      <c r="AH252" s="245"/>
      <c r="AI252" s="133"/>
      <c r="AJ252" s="211"/>
      <c r="AL252" s="108"/>
      <c r="AM252" s="2"/>
      <c r="AN252" s="2"/>
      <c r="AO252" s="2"/>
      <c r="BC252" s="1"/>
      <c r="BD252" s="2"/>
      <c r="BE252" s="2"/>
      <c r="BF252" s="2"/>
      <c r="BG252" s="2"/>
      <c r="BH252" s="2"/>
      <c r="BI252" s="2"/>
      <c r="BJ252" s="2"/>
      <c r="BK252" s="2"/>
    </row>
    <row r="253" spans="1:63" outlineLevel="1" x14ac:dyDescent="0.2">
      <c r="A253" s="4" t="s">
        <v>478</v>
      </c>
      <c r="C253" s="230">
        <f t="shared" ref="C253:AG253" si="157">C248-$C248</f>
        <v>0</v>
      </c>
      <c r="D253" s="230">
        <f t="shared" si="157"/>
        <v>1.7835521070225274E-3</v>
      </c>
      <c r="E253" s="230">
        <f t="shared" si="157"/>
        <v>3.7786189996948942E-3</v>
      </c>
      <c r="F253" s="230">
        <f t="shared" si="157"/>
        <v>5.9779173710611932E-3</v>
      </c>
      <c r="G253" s="230">
        <f t="shared" si="157"/>
        <v>8.3707806324832788E-3</v>
      </c>
      <c r="H253" s="230">
        <f t="shared" si="157"/>
        <v>1.0943192167623048E-2</v>
      </c>
      <c r="I253" s="230">
        <f t="shared" si="157"/>
        <v>1.3714205850270311E-2</v>
      </c>
      <c r="J253" s="230">
        <f t="shared" si="157"/>
        <v>1.6682323531012042E-2</v>
      </c>
      <c r="K253" s="230">
        <f t="shared" si="157"/>
        <v>1.9845197291304073E-2</v>
      </c>
      <c r="L253" s="230">
        <f t="shared" si="157"/>
        <v>2.3199605964865731E-2</v>
      </c>
      <c r="M253" s="230">
        <f t="shared" si="157"/>
        <v>2.6741434605697105E-2</v>
      </c>
      <c r="N253" s="230">
        <f t="shared" si="157"/>
        <v>3.3236414718862038E-2</v>
      </c>
      <c r="O253" s="230">
        <f t="shared" si="157"/>
        <v>4.0037113045437028E-2</v>
      </c>
      <c r="P253" s="230">
        <f t="shared" si="157"/>
        <v>4.7099573655639486E-2</v>
      </c>
      <c r="Q253" s="230">
        <f t="shared" si="157"/>
        <v>5.4375490557574825E-2</v>
      </c>
      <c r="R253" s="230">
        <f t="shared" si="157"/>
        <v>6.181269714910665E-2</v>
      </c>
      <c r="S253" s="230">
        <f t="shared" si="157"/>
        <v>6.9486368625459635E-2</v>
      </c>
      <c r="T253" s="230">
        <f t="shared" si="157"/>
        <v>7.7380478991916149E-2</v>
      </c>
      <c r="U253" s="230">
        <f t="shared" si="157"/>
        <v>8.5478147413574901E-2</v>
      </c>
      <c r="V253" s="230">
        <f t="shared" si="157"/>
        <v>9.3761635586791472E-2</v>
      </c>
      <c r="W253" s="230">
        <f t="shared" si="157"/>
        <v>0.10221234601564731</v>
      </c>
      <c r="X253" s="230">
        <f t="shared" si="157"/>
        <v>0.11538291559514978</v>
      </c>
      <c r="Y253" s="230">
        <f t="shared" si="157"/>
        <v>0.12882925332470749</v>
      </c>
      <c r="Z253" s="230">
        <f t="shared" si="157"/>
        <v>0.14251866435491475</v>
      </c>
      <c r="AA253" s="230">
        <f t="shared" si="157"/>
        <v>0.1564170341495475</v>
      </c>
      <c r="AB253" s="230">
        <f t="shared" si="157"/>
        <v>0.17048882794466094</v>
      </c>
      <c r="AC253" s="230">
        <f t="shared" si="157"/>
        <v>0.18469886763598717</v>
      </c>
      <c r="AD253" s="230">
        <f t="shared" si="157"/>
        <v>0.19900919042242454</v>
      </c>
      <c r="AE253" s="230">
        <f t="shared" si="157"/>
        <v>0.21338042434974788</v>
      </c>
      <c r="AF253" s="230">
        <f t="shared" si="157"/>
        <v>0.2277717897089156</v>
      </c>
      <c r="AG253" s="230">
        <f t="shared" si="157"/>
        <v>0.2421411017347932</v>
      </c>
      <c r="AH253" s="245"/>
      <c r="AI253" s="133"/>
      <c r="AJ253" s="211"/>
      <c r="AL253" s="108"/>
      <c r="AM253" s="2"/>
      <c r="AN253" s="2"/>
      <c r="AO253" s="2"/>
      <c r="BC253" s="1"/>
      <c r="BD253" s="2"/>
      <c r="BE253" s="2"/>
      <c r="BF253" s="2"/>
      <c r="BG253" s="2"/>
      <c r="BH253" s="2"/>
      <c r="BI253" s="2"/>
      <c r="BJ253" s="2"/>
      <c r="BK253" s="2"/>
    </row>
    <row r="254" spans="1:63" outlineLevel="1" x14ac:dyDescent="0.2">
      <c r="A254" s="4" t="s">
        <v>745</v>
      </c>
      <c r="C254" s="230">
        <f t="shared" ref="C254:AG254" si="158">C249-$C249</f>
        <v>0</v>
      </c>
      <c r="D254" s="230">
        <f t="shared" si="158"/>
        <v>1.3406348918065217E-3</v>
      </c>
      <c r="E254" s="230">
        <f t="shared" si="158"/>
        <v>2.8004610642172797E-3</v>
      </c>
      <c r="F254" s="230">
        <f t="shared" si="158"/>
        <v>4.3648496466301709E-3</v>
      </c>
      <c r="G254" s="230">
        <f t="shared" si="158"/>
        <v>6.0165052628869944E-3</v>
      </c>
      <c r="H254" s="230">
        <f t="shared" si="158"/>
        <v>7.7356866830224783E-3</v>
      </c>
      <c r="I254" s="230">
        <f t="shared" si="158"/>
        <v>9.5263149481691588E-3</v>
      </c>
      <c r="J254" s="230">
        <f t="shared" si="158"/>
        <v>1.1376390663542214E-2</v>
      </c>
      <c r="K254" s="230">
        <f t="shared" si="158"/>
        <v>1.3272747713868091E-2</v>
      </c>
      <c r="L254" s="230">
        <f t="shared" si="158"/>
        <v>1.5201051581812074E-2</v>
      </c>
      <c r="M254" s="230">
        <f t="shared" si="158"/>
        <v>1.7145802947827311E-2</v>
      </c>
      <c r="N254" s="230">
        <f t="shared" si="158"/>
        <v>2.0867052189662429E-2</v>
      </c>
      <c r="O254" s="230">
        <f t="shared" si="158"/>
        <v>2.4566339737002198E-2</v>
      </c>
      <c r="P254" s="230">
        <f t="shared" si="158"/>
        <v>2.8191808050899686E-2</v>
      </c>
      <c r="Q254" s="230">
        <f t="shared" si="158"/>
        <v>3.1690215621603082E-2</v>
      </c>
      <c r="R254" s="230">
        <f t="shared" si="158"/>
        <v>3.5007689009620042E-2</v>
      </c>
      <c r="S254" s="230">
        <f t="shared" si="158"/>
        <v>3.8163586838977172E-2</v>
      </c>
      <c r="T254" s="230">
        <f t="shared" si="158"/>
        <v>4.1120861921933018E-2</v>
      </c>
      <c r="U254" s="230">
        <f t="shared" si="158"/>
        <v>4.3841187805178441E-2</v>
      </c>
      <c r="V254" s="230">
        <f t="shared" si="158"/>
        <v>4.6284964534730466E-2</v>
      </c>
      <c r="W254" s="230">
        <f t="shared" si="158"/>
        <v>4.8411325966700267E-2</v>
      </c>
      <c r="X254" s="230">
        <f t="shared" si="158"/>
        <v>5.2290238769108599E-2</v>
      </c>
      <c r="Y254" s="230">
        <f t="shared" si="158"/>
        <v>5.5632763403558855E-2</v>
      </c>
      <c r="Z254" s="230">
        <f t="shared" si="158"/>
        <v>5.8367685581789869E-2</v>
      </c>
      <c r="AA254" s="230">
        <f t="shared" si="158"/>
        <v>6.0421678974566309E-2</v>
      </c>
      <c r="AB254" s="230">
        <f t="shared" si="158"/>
        <v>6.1719319513013793E-2</v>
      </c>
      <c r="AC254" s="230">
        <f t="shared" si="158"/>
        <v>6.2183713320750109E-2</v>
      </c>
      <c r="AD254" s="230">
        <f t="shared" si="158"/>
        <v>6.1735281416598439E-2</v>
      </c>
      <c r="AE254" s="230">
        <f t="shared" si="158"/>
        <v>6.0292347947914632E-2</v>
      </c>
      <c r="AF254" s="230">
        <f t="shared" si="158"/>
        <v>5.7771156179056884E-2</v>
      </c>
      <c r="AG254" s="230">
        <f t="shared" si="158"/>
        <v>5.40858866671051E-2</v>
      </c>
      <c r="AH254" s="245"/>
      <c r="AI254" s="133"/>
      <c r="AJ254" s="211"/>
      <c r="AL254" s="108"/>
      <c r="AM254" s="2"/>
      <c r="AN254" s="2"/>
      <c r="AO254" s="2"/>
      <c r="BC254" s="1"/>
      <c r="BD254" s="2"/>
      <c r="BE254" s="2"/>
      <c r="BF254" s="2"/>
      <c r="BG254" s="2"/>
      <c r="BH254" s="2"/>
      <c r="BI254" s="2"/>
      <c r="BJ254" s="2"/>
      <c r="BK254" s="2"/>
    </row>
    <row r="255" spans="1:63" outlineLevel="1" x14ac:dyDescent="0.2">
      <c r="A255" s="4" t="s">
        <v>1561</v>
      </c>
      <c r="C255" s="230">
        <f t="shared" ref="C255:AG255" si="159">C250-$C250</f>
        <v>0</v>
      </c>
      <c r="D255" s="230">
        <f t="shared" si="159"/>
        <v>9.6695354093725852E-5</v>
      </c>
      <c r="E255" s="230">
        <f t="shared" si="159"/>
        <v>2.0223638536917863E-4</v>
      </c>
      <c r="F255" s="230">
        <f t="shared" si="159"/>
        <v>3.1562519900390265E-4</v>
      </c>
      <c r="G255" s="230">
        <f t="shared" si="159"/>
        <v>4.3567234594644094E-4</v>
      </c>
      <c r="H255" s="230">
        <f t="shared" si="159"/>
        <v>5.6101151446818825E-4</v>
      </c>
      <c r="I255" s="230">
        <f t="shared" si="159"/>
        <v>6.9199054627814074E-4</v>
      </c>
      <c r="J255" s="230">
        <f t="shared" si="159"/>
        <v>8.2781194938758604E-4</v>
      </c>
      <c r="K255" s="230">
        <f t="shared" si="159"/>
        <v>9.6759738136439747E-4</v>
      </c>
      <c r="L255" s="230">
        <f t="shared" si="159"/>
        <v>1.1103874282200957E-3</v>
      </c>
      <c r="M255" s="230">
        <f t="shared" si="159"/>
        <v>1.2551417450546588E-3</v>
      </c>
      <c r="N255" s="230">
        <f t="shared" si="159"/>
        <v>1.5308002437314509E-3</v>
      </c>
      <c r="O255" s="230">
        <f t="shared" si="159"/>
        <v>1.806448792427663E-3</v>
      </c>
      <c r="P255" s="230">
        <f t="shared" si="159"/>
        <v>2.0784647378384795E-3</v>
      </c>
      <c r="Q255" s="230">
        <f t="shared" si="159"/>
        <v>2.3431138149539697E-3</v>
      </c>
      <c r="R255" s="230">
        <f t="shared" si="159"/>
        <v>2.5966019874469814E-3</v>
      </c>
      <c r="S255" s="230">
        <f t="shared" si="159"/>
        <v>2.8405577854358176E-3</v>
      </c>
      <c r="T255" s="230">
        <f t="shared" si="159"/>
        <v>3.0724654367098527E-3</v>
      </c>
      <c r="U255" s="230">
        <f t="shared" si="159"/>
        <v>3.2897208809592239E-3</v>
      </c>
      <c r="V255" s="230">
        <f t="shared" si="159"/>
        <v>3.4896321371797089E-3</v>
      </c>
      <c r="W255" s="230">
        <f t="shared" si="159"/>
        <v>3.6694197771642107E-3</v>
      </c>
      <c r="X255" s="230">
        <f t="shared" si="159"/>
        <v>3.9868370009637074E-3</v>
      </c>
      <c r="Y255" s="230">
        <f t="shared" si="159"/>
        <v>4.2702160575439916E-3</v>
      </c>
      <c r="Z255" s="230">
        <f t="shared" si="159"/>
        <v>4.5147121048984811E-3</v>
      </c>
      <c r="AA255" s="230">
        <f t="shared" si="159"/>
        <v>4.7153344998914501E-3</v>
      </c>
      <c r="AB255" s="230">
        <f t="shared" si="159"/>
        <v>4.8669477378058624E-3</v>
      </c>
      <c r="AC255" s="230">
        <f t="shared" si="159"/>
        <v>4.9643211676089309E-3</v>
      </c>
      <c r="AD255" s="230">
        <f t="shared" si="159"/>
        <v>5.0020341719510071E-3</v>
      </c>
      <c r="AE255" s="230">
        <f t="shared" si="159"/>
        <v>4.9745213811377281E-3</v>
      </c>
      <c r="AF255" s="230">
        <f t="shared" si="159"/>
        <v>4.8760737329301461E-3</v>
      </c>
      <c r="AG255" s="230">
        <f t="shared" si="159"/>
        <v>4.7008396825397487E-3</v>
      </c>
      <c r="AH255" s="245"/>
      <c r="AI255" s="133"/>
      <c r="AJ255" s="211"/>
      <c r="AL255" s="108"/>
      <c r="AM255" s="2"/>
      <c r="AN255" s="2"/>
      <c r="AO255" s="2"/>
      <c r="BC255" s="1"/>
      <c r="BD255" s="2"/>
      <c r="BE255" s="2"/>
      <c r="BF255" s="2"/>
      <c r="BG255" s="2"/>
      <c r="BH255" s="2"/>
      <c r="BI255" s="2"/>
      <c r="BJ255" s="2"/>
      <c r="BK255" s="2"/>
    </row>
    <row r="256" spans="1:63" outlineLevel="1" x14ac:dyDescent="0.2">
      <c r="AJ256" s="211"/>
    </row>
    <row r="257" spans="1:63" s="200" customFormat="1" ht="16" thickBot="1" x14ac:dyDescent="0.25">
      <c r="A257" s="200" t="s">
        <v>1351</v>
      </c>
      <c r="B257" s="215"/>
      <c r="C257" s="224">
        <f>C258</f>
        <v>0.05</v>
      </c>
      <c r="D257" s="224">
        <f t="shared" ref="D257:AG257" si="160">D258</f>
        <v>5.2260994000770548E-2</v>
      </c>
      <c r="E257" s="224">
        <f t="shared" si="160"/>
        <v>5.4521988001541094E-2</v>
      </c>
      <c r="F257" s="224">
        <f t="shared" si="160"/>
        <v>5.6782982002311633E-2</v>
      </c>
      <c r="G257" s="224">
        <f t="shared" si="160"/>
        <v>5.9043976003082178E-2</v>
      </c>
      <c r="H257" s="224">
        <f t="shared" si="160"/>
        <v>6.1304970003852724E-2</v>
      </c>
      <c r="I257" s="224">
        <f t="shared" si="160"/>
        <v>6.3565964004623277E-2</v>
      </c>
      <c r="J257" s="224">
        <f t="shared" si="160"/>
        <v>6.5826958005393815E-2</v>
      </c>
      <c r="K257" s="224">
        <f t="shared" si="160"/>
        <v>6.8087952006164354E-2</v>
      </c>
      <c r="L257" s="224">
        <f t="shared" si="160"/>
        <v>7.0348946006934907E-2</v>
      </c>
      <c r="M257" s="224">
        <f t="shared" si="160"/>
        <v>7.2609940007705445E-2</v>
      </c>
      <c r="N257" s="224">
        <f t="shared" si="160"/>
        <v>7.7375419670867973E-2</v>
      </c>
      <c r="O257" s="224">
        <f t="shared" si="160"/>
        <v>8.2140899334030501E-2</v>
      </c>
      <c r="P257" s="224">
        <f t="shared" si="160"/>
        <v>8.6906378997193029E-2</v>
      </c>
      <c r="Q257" s="224">
        <f t="shared" si="160"/>
        <v>9.1671858660355557E-2</v>
      </c>
      <c r="R257" s="224">
        <f t="shared" si="160"/>
        <v>9.6437338323518085E-2</v>
      </c>
      <c r="S257" s="224">
        <f t="shared" si="160"/>
        <v>0.10120281798668061</v>
      </c>
      <c r="T257" s="224">
        <f t="shared" si="160"/>
        <v>0.10596829764984314</v>
      </c>
      <c r="U257" s="224">
        <f t="shared" si="160"/>
        <v>0.11073377731300567</v>
      </c>
      <c r="V257" s="224">
        <f t="shared" si="160"/>
        <v>0.1154992569761682</v>
      </c>
      <c r="W257" s="224">
        <f t="shared" si="160"/>
        <v>0.12026473663933072</v>
      </c>
      <c r="X257" s="224">
        <f t="shared" si="160"/>
        <v>0.12823826297539764</v>
      </c>
      <c r="Y257" s="224">
        <f t="shared" si="160"/>
        <v>0.13621178931146458</v>
      </c>
      <c r="Z257" s="224">
        <f t="shared" si="160"/>
        <v>0.14418531564753151</v>
      </c>
      <c r="AA257" s="224">
        <f t="shared" si="160"/>
        <v>0.15215884198359844</v>
      </c>
      <c r="AB257" s="224">
        <f t="shared" si="160"/>
        <v>0.16013236831966537</v>
      </c>
      <c r="AC257" s="224">
        <f t="shared" si="160"/>
        <v>0.16810589465573231</v>
      </c>
      <c r="AD257" s="224">
        <f t="shared" si="160"/>
        <v>0.17607942099179924</v>
      </c>
      <c r="AE257" s="224">
        <f t="shared" si="160"/>
        <v>0.18405294732786615</v>
      </c>
      <c r="AF257" s="224">
        <f t="shared" si="160"/>
        <v>0.19202647366393311</v>
      </c>
      <c r="AG257" s="224">
        <f t="shared" si="160"/>
        <v>0.2</v>
      </c>
      <c r="AJ257" s="231" t="s">
        <v>1331</v>
      </c>
      <c r="AL257" s="217"/>
      <c r="AM257" s="225"/>
      <c r="AN257" s="225"/>
      <c r="AO257" s="225"/>
    </row>
    <row r="258" spans="1:63" ht="16" outlineLevel="2" thickTop="1" x14ac:dyDescent="0.2">
      <c r="A258" t="s">
        <v>1352</v>
      </c>
      <c r="B258" s="54" t="s">
        <v>462</v>
      </c>
      <c r="C258" s="113">
        <v>0.05</v>
      </c>
      <c r="D258" s="110">
        <f>$C258+($M258-$C258)/10*(D$1-$C$1)</f>
        <v>5.2260994000770548E-2</v>
      </c>
      <c r="E258" s="110">
        <f t="shared" ref="E258:L258" si="161">$C258+($M258-$C258)/10*(E$1-$C$1)</f>
        <v>5.4521988001541094E-2</v>
      </c>
      <c r="F258" s="110">
        <f t="shared" si="161"/>
        <v>5.6782982002311633E-2</v>
      </c>
      <c r="G258" s="110">
        <f t="shared" si="161"/>
        <v>5.9043976003082178E-2</v>
      </c>
      <c r="H258" s="110">
        <f t="shared" si="161"/>
        <v>6.1304970003852724E-2</v>
      </c>
      <c r="I258" s="110">
        <f t="shared" si="161"/>
        <v>6.3565964004623277E-2</v>
      </c>
      <c r="J258" s="110">
        <f t="shared" si="161"/>
        <v>6.5826958005393815E-2</v>
      </c>
      <c r="K258" s="110">
        <f t="shared" si="161"/>
        <v>6.8087952006164354E-2</v>
      </c>
      <c r="L258" s="110">
        <f t="shared" si="161"/>
        <v>7.0348946006934907E-2</v>
      </c>
      <c r="M258" s="121">
        <f>(M$52-$C$52)/($AG$52-$C$52)*($AG258-$C258)+$C258</f>
        <v>7.2609940007705445E-2</v>
      </c>
      <c r="N258" s="121">
        <f>$M258+($W258-$M258)/10*(N$1-$M$1)</f>
        <v>7.7375419670867973E-2</v>
      </c>
      <c r="O258" s="121">
        <f t="shared" ref="O258:U258" si="162">$M258+($W258-$M258)/10*(O$1-$M$1)</f>
        <v>8.2140899334030501E-2</v>
      </c>
      <c r="P258" s="121">
        <f t="shared" si="162"/>
        <v>8.6906378997193029E-2</v>
      </c>
      <c r="Q258" s="121">
        <f t="shared" si="162"/>
        <v>9.1671858660355557E-2</v>
      </c>
      <c r="R258" s="121">
        <f t="shared" si="162"/>
        <v>9.6437338323518085E-2</v>
      </c>
      <c r="S258" s="121">
        <f t="shared" si="162"/>
        <v>0.10120281798668061</v>
      </c>
      <c r="T258" s="121">
        <f t="shared" si="162"/>
        <v>0.10596829764984314</v>
      </c>
      <c r="U258" s="121">
        <f t="shared" si="162"/>
        <v>0.11073377731300567</v>
      </c>
      <c r="V258" s="121">
        <f>$M258+($W258-$M258)/10*(V$1-$M$1)</f>
        <v>0.1154992569761682</v>
      </c>
      <c r="W258" s="121">
        <f>(W$52-$C$52)/($AG$52-$C$52)*($AG258-$C258)+$C258</f>
        <v>0.12026473663933072</v>
      </c>
      <c r="X258" s="23">
        <f t="shared" ref="X258:AF258" si="163">$W258+($AG258-$W258)/10*(X$1-$W$1)</f>
        <v>0.12823826297539764</v>
      </c>
      <c r="Y258" s="23">
        <f t="shared" si="163"/>
        <v>0.13621178931146458</v>
      </c>
      <c r="Z258" s="23">
        <f t="shared" si="163"/>
        <v>0.14418531564753151</v>
      </c>
      <c r="AA258" s="23">
        <f t="shared" si="163"/>
        <v>0.15215884198359844</v>
      </c>
      <c r="AB258" s="23">
        <f t="shared" si="163"/>
        <v>0.16013236831966537</v>
      </c>
      <c r="AC258" s="23">
        <f t="shared" si="163"/>
        <v>0.16810589465573231</v>
      </c>
      <c r="AD258" s="23">
        <f t="shared" si="163"/>
        <v>0.17607942099179924</v>
      </c>
      <c r="AE258" s="23">
        <f t="shared" si="163"/>
        <v>0.18405294732786615</v>
      </c>
      <c r="AF258" s="23">
        <f t="shared" si="163"/>
        <v>0.19202647366393311</v>
      </c>
      <c r="AG258" s="106">
        <v>0.2</v>
      </c>
      <c r="AJ258" s="211" t="s">
        <v>1353</v>
      </c>
    </row>
    <row r="259" spans="1:63" outlineLevel="2" x14ac:dyDescent="0.2">
      <c r="C259" s="113"/>
      <c r="D259" s="110"/>
      <c r="E259" s="110"/>
      <c r="F259" s="110"/>
      <c r="G259" s="110"/>
      <c r="H259" s="110"/>
      <c r="I259" s="110"/>
      <c r="J259" s="110"/>
      <c r="K259" s="110"/>
      <c r="L259" s="110"/>
      <c r="M259" s="121"/>
      <c r="N259" s="121"/>
      <c r="O259" s="121"/>
      <c r="P259" s="121"/>
      <c r="Q259" s="121"/>
      <c r="R259" s="121"/>
      <c r="S259" s="121"/>
      <c r="T259" s="121"/>
      <c r="U259" s="121"/>
      <c r="V259" s="121"/>
      <c r="W259" s="121"/>
      <c r="X259" s="23"/>
      <c r="Y259" s="23"/>
      <c r="Z259" s="23"/>
      <c r="AA259" s="23"/>
      <c r="AB259" s="23"/>
      <c r="AC259" s="23"/>
      <c r="AD259" s="23"/>
      <c r="AE259" s="23"/>
      <c r="AF259" s="23"/>
      <c r="AG259" s="106"/>
      <c r="AJ259" s="211"/>
    </row>
    <row r="260" spans="1:63" outlineLevel="1" x14ac:dyDescent="0.2">
      <c r="A260" t="s">
        <v>1621</v>
      </c>
      <c r="C260" s="504">
        <f>('Overall recycling rates'!F88*'Yearly BTX'!D5+'Overall recycling rates'!G88*'Yearly BTX'!D6+'Overall recycling rates'!H88*'Yearly BTX'!D7)/'Yearly BTX'!D4</f>
        <v>1.0000000000000004</v>
      </c>
      <c r="D260" s="504">
        <f>C260-($C260-$AG260)/($AG$1-$C$1)</f>
        <v>1.0000000000000004</v>
      </c>
      <c r="E260" s="504">
        <f t="shared" ref="E260:AF260" si="164">D260-($C260-$AG260)/($AG$1-$C$1)</f>
        <v>1.0000000000000004</v>
      </c>
      <c r="F260" s="504">
        <f t="shared" si="164"/>
        <v>1.0000000000000004</v>
      </c>
      <c r="G260" s="504">
        <f t="shared" si="164"/>
        <v>1.0000000000000004</v>
      </c>
      <c r="H260" s="504">
        <f t="shared" si="164"/>
        <v>1.0000000000000004</v>
      </c>
      <c r="I260" s="504">
        <f t="shared" si="164"/>
        <v>1.0000000000000004</v>
      </c>
      <c r="J260" s="504">
        <f t="shared" si="164"/>
        <v>1.0000000000000004</v>
      </c>
      <c r="K260" s="504">
        <f t="shared" si="164"/>
        <v>1.0000000000000004</v>
      </c>
      <c r="L260" s="504">
        <f t="shared" si="164"/>
        <v>1.0000000000000004</v>
      </c>
      <c r="M260" s="504">
        <f t="shared" si="164"/>
        <v>1.0000000000000004</v>
      </c>
      <c r="N260" s="504">
        <f t="shared" si="164"/>
        <v>1.0000000000000004</v>
      </c>
      <c r="O260" s="504">
        <f t="shared" si="164"/>
        <v>1.0000000000000004</v>
      </c>
      <c r="P260" s="504">
        <f t="shared" si="164"/>
        <v>1.0000000000000004</v>
      </c>
      <c r="Q260" s="504">
        <f t="shared" si="164"/>
        <v>1.0000000000000004</v>
      </c>
      <c r="R260" s="504">
        <f t="shared" si="164"/>
        <v>1.0000000000000004</v>
      </c>
      <c r="S260" s="504">
        <f t="shared" si="164"/>
        <v>1.0000000000000004</v>
      </c>
      <c r="T260" s="504">
        <f t="shared" si="164"/>
        <v>1.0000000000000004</v>
      </c>
      <c r="U260" s="504">
        <f t="shared" si="164"/>
        <v>1.0000000000000004</v>
      </c>
      <c r="V260" s="504">
        <f t="shared" si="164"/>
        <v>1.0000000000000004</v>
      </c>
      <c r="W260" s="504">
        <f t="shared" si="164"/>
        <v>1.0000000000000004</v>
      </c>
      <c r="X260" s="504">
        <f t="shared" si="164"/>
        <v>1.0000000000000004</v>
      </c>
      <c r="Y260" s="504">
        <f t="shared" si="164"/>
        <v>1.0000000000000004</v>
      </c>
      <c r="Z260" s="504">
        <f t="shared" si="164"/>
        <v>1.0000000000000004</v>
      </c>
      <c r="AA260" s="504">
        <f t="shared" si="164"/>
        <v>1.0000000000000004</v>
      </c>
      <c r="AB260" s="504">
        <f t="shared" si="164"/>
        <v>1.0000000000000004</v>
      </c>
      <c r="AC260" s="504">
        <f t="shared" si="164"/>
        <v>1.0000000000000004</v>
      </c>
      <c r="AD260" s="504">
        <f t="shared" si="164"/>
        <v>1.0000000000000004</v>
      </c>
      <c r="AE260" s="504">
        <f t="shared" si="164"/>
        <v>1.0000000000000004</v>
      </c>
      <c r="AF260" s="504">
        <f t="shared" si="164"/>
        <v>1.0000000000000004</v>
      </c>
      <c r="AG260" s="504">
        <f>'Overall recycling rates'!F97</f>
        <v>1</v>
      </c>
      <c r="AI260" s="133"/>
      <c r="AJ260" s="211" t="s">
        <v>1582</v>
      </c>
      <c r="AL260" s="108"/>
      <c r="AM260" s="207"/>
      <c r="AN260" s="207"/>
      <c r="AO260" s="207"/>
      <c r="BC260" s="1"/>
      <c r="BD260" s="207"/>
      <c r="BE260" s="207"/>
      <c r="BF260" s="207"/>
      <c r="BG260" s="207"/>
      <c r="BH260" s="207"/>
      <c r="BI260" s="207"/>
      <c r="BJ260" s="207"/>
      <c r="BK260" s="207"/>
    </row>
    <row r="261" spans="1:63" outlineLevel="1" x14ac:dyDescent="0.2">
      <c r="A261" t="s">
        <v>1639</v>
      </c>
      <c r="B261" s="54" t="s">
        <v>462</v>
      </c>
      <c r="C261" s="110">
        <f>C258*C260</f>
        <v>5.0000000000000024E-2</v>
      </c>
      <c r="D261" s="110">
        <f t="shared" ref="D261:AG261" si="165">D258*D260</f>
        <v>5.2260994000770569E-2</v>
      </c>
      <c r="E261" s="110">
        <f t="shared" si="165"/>
        <v>5.4521988001541115E-2</v>
      </c>
      <c r="F261" s="110">
        <f t="shared" si="165"/>
        <v>5.678298200231166E-2</v>
      </c>
      <c r="G261" s="110">
        <f t="shared" si="165"/>
        <v>5.9043976003082206E-2</v>
      </c>
      <c r="H261" s="110">
        <f t="shared" si="165"/>
        <v>6.1304970003852752E-2</v>
      </c>
      <c r="I261" s="110">
        <f t="shared" si="165"/>
        <v>6.3565964004623304E-2</v>
      </c>
      <c r="J261" s="110">
        <f t="shared" si="165"/>
        <v>6.5826958005393843E-2</v>
      </c>
      <c r="K261" s="110">
        <f t="shared" si="165"/>
        <v>6.8087952006164382E-2</v>
      </c>
      <c r="L261" s="110">
        <f t="shared" si="165"/>
        <v>7.0348946006934934E-2</v>
      </c>
      <c r="M261" s="110">
        <f t="shared" si="165"/>
        <v>7.2609940007705473E-2</v>
      </c>
      <c r="N261" s="110">
        <f t="shared" si="165"/>
        <v>7.7375419670868001E-2</v>
      </c>
      <c r="O261" s="110">
        <f t="shared" si="165"/>
        <v>8.2140899334030543E-2</v>
      </c>
      <c r="P261" s="110">
        <f t="shared" si="165"/>
        <v>8.6906378997193071E-2</v>
      </c>
      <c r="Q261" s="110">
        <f t="shared" si="165"/>
        <v>9.1671858660355598E-2</v>
      </c>
      <c r="R261" s="110">
        <f t="shared" si="165"/>
        <v>9.6437338323518126E-2</v>
      </c>
      <c r="S261" s="110">
        <f t="shared" si="165"/>
        <v>0.10120281798668065</v>
      </c>
      <c r="T261" s="110">
        <f t="shared" si="165"/>
        <v>0.10596829764984318</v>
      </c>
      <c r="U261" s="110">
        <f t="shared" si="165"/>
        <v>0.11073377731300572</v>
      </c>
      <c r="V261" s="110">
        <f t="shared" si="165"/>
        <v>0.11549925697616825</v>
      </c>
      <c r="W261" s="110">
        <f t="shared" si="165"/>
        <v>0.12026473663933078</v>
      </c>
      <c r="X261" s="110">
        <f t="shared" si="165"/>
        <v>0.1282382629753977</v>
      </c>
      <c r="Y261" s="110">
        <f t="shared" si="165"/>
        <v>0.13621178931146463</v>
      </c>
      <c r="Z261" s="110">
        <f t="shared" si="165"/>
        <v>0.14418531564753156</v>
      </c>
      <c r="AA261" s="110">
        <f t="shared" si="165"/>
        <v>0.1521588419835985</v>
      </c>
      <c r="AB261" s="110">
        <f t="shared" si="165"/>
        <v>0.16013236831966546</v>
      </c>
      <c r="AC261" s="110">
        <f t="shared" si="165"/>
        <v>0.16810589465573239</v>
      </c>
      <c r="AD261" s="110">
        <f t="shared" si="165"/>
        <v>0.17607942099179932</v>
      </c>
      <c r="AE261" s="110">
        <f t="shared" si="165"/>
        <v>0.18405294732786623</v>
      </c>
      <c r="AF261" s="110">
        <f t="shared" si="165"/>
        <v>0.19202647366393319</v>
      </c>
      <c r="AG261" s="110">
        <f t="shared" si="165"/>
        <v>0.2</v>
      </c>
      <c r="AJ261" s="211" t="s">
        <v>1349</v>
      </c>
    </row>
    <row r="262" spans="1:63" outlineLevel="1" x14ac:dyDescent="0.2">
      <c r="C262" s="110"/>
      <c r="D262" s="110"/>
      <c r="E262" s="110"/>
      <c r="F262" s="110"/>
      <c r="G262" s="110"/>
      <c r="H262" s="110"/>
      <c r="I262" s="110"/>
      <c r="J262" s="110"/>
      <c r="K262" s="110"/>
      <c r="L262" s="110"/>
      <c r="M262" s="110"/>
      <c r="N262" s="110"/>
      <c r="O262" s="110"/>
      <c r="P262" s="110"/>
      <c r="Q262" s="110"/>
      <c r="R262" s="110"/>
      <c r="S262" s="110"/>
      <c r="T262" s="110"/>
      <c r="U262" s="110"/>
      <c r="V262" s="110"/>
      <c r="W262" s="110"/>
      <c r="X262" s="110"/>
      <c r="Y262" s="110"/>
      <c r="Z262" s="110"/>
      <c r="AA262" s="110"/>
      <c r="AB262" s="110"/>
      <c r="AC262" s="110"/>
      <c r="AD262" s="110"/>
      <c r="AE262" s="110"/>
      <c r="AF262" s="110"/>
      <c r="AG262" s="110"/>
      <c r="AJ262" s="211"/>
    </row>
    <row r="263" spans="1:63" s="1" customFormat="1" outlineLevel="1" x14ac:dyDescent="0.2">
      <c r="A263" s="1" t="s">
        <v>228</v>
      </c>
      <c r="B263" s="65"/>
      <c r="C263" s="300">
        <f>C261*C46</f>
        <v>0.932943764462136</v>
      </c>
      <c r="D263" s="300">
        <f t="shared" ref="D263:AG263" si="166">D261*D46</f>
        <v>1.0078192353879303</v>
      </c>
      <c r="E263" s="300">
        <f t="shared" si="166"/>
        <v>1.08382562066178</v>
      </c>
      <c r="F263" s="300">
        <f t="shared" si="166"/>
        <v>1.1605201046417486</v>
      </c>
      <c r="G263" s="300">
        <f t="shared" si="166"/>
        <v>1.2374326168248078</v>
      </c>
      <c r="H263" s="300">
        <f t="shared" si="166"/>
        <v>1.3140704781747665</v>
      </c>
      <c r="I263" s="300">
        <f t="shared" si="166"/>
        <v>1.3837289753728139</v>
      </c>
      <c r="J263" s="300">
        <f t="shared" si="166"/>
        <v>1.4545091307429818</v>
      </c>
      <c r="K263" s="300">
        <f t="shared" si="166"/>
        <v>1.5263409348466168</v>
      </c>
      <c r="L263" s="300">
        <f t="shared" si="166"/>
        <v>1.5991504742063545</v>
      </c>
      <c r="M263" s="300">
        <f t="shared" si="166"/>
        <v>1.6728600173808619</v>
      </c>
      <c r="N263" s="300">
        <f t="shared" si="166"/>
        <v>1.8032557039703954</v>
      </c>
      <c r="O263" s="300">
        <f t="shared" si="166"/>
        <v>1.9326870772766589</v>
      </c>
      <c r="P263" s="300">
        <f t="shared" si="166"/>
        <v>2.0604238829537516</v>
      </c>
      <c r="Q263" s="300">
        <f t="shared" si="166"/>
        <v>2.1857316123425883</v>
      </c>
      <c r="R263" s="300">
        <f t="shared" si="166"/>
        <v>2.3078784347139414</v>
      </c>
      <c r="S263" s="300">
        <f t="shared" si="166"/>
        <v>2.4305133425806176</v>
      </c>
      <c r="T263" s="300">
        <f t="shared" si="166"/>
        <v>2.5535800770252153</v>
      </c>
      <c r="U263" s="300">
        <f t="shared" si="166"/>
        <v>2.6770213664891691</v>
      </c>
      <c r="V263" s="300">
        <f t="shared" si="166"/>
        <v>2.8007789540330807</v>
      </c>
      <c r="W263" s="300">
        <f t="shared" si="166"/>
        <v>2.9247936257711622</v>
      </c>
      <c r="X263" s="300">
        <f t="shared" si="166"/>
        <v>3.1272715830558999</v>
      </c>
      <c r="Y263" s="300">
        <f t="shared" si="166"/>
        <v>3.3303288265400739</v>
      </c>
      <c r="Z263" s="300">
        <f t="shared" si="166"/>
        <v>3.533872825781943</v>
      </c>
      <c r="AA263" s="300">
        <f t="shared" si="166"/>
        <v>3.7378095959548254</v>
      </c>
      <c r="AB263" s="300">
        <f t="shared" si="166"/>
        <v>3.9420437407335873</v>
      </c>
      <c r="AC263" s="300">
        <f t="shared" si="166"/>
        <v>4.1455549593778382</v>
      </c>
      <c r="AD263" s="300">
        <f t="shared" si="166"/>
        <v>4.3491031450226973</v>
      </c>
      <c r="AE263" s="300">
        <f t="shared" si="166"/>
        <v>4.552592188223473</v>
      </c>
      <c r="AF263" s="300">
        <f t="shared" si="166"/>
        <v>4.7559247657989019</v>
      </c>
      <c r="AG263" s="300">
        <f t="shared" si="166"/>
        <v>4.9590023838019874</v>
      </c>
      <c r="AH263" s="245"/>
      <c r="AI263" s="423"/>
      <c r="AJ263" s="424"/>
      <c r="AL263" s="221"/>
      <c r="AM263" s="124"/>
      <c r="AN263" s="124"/>
      <c r="AO263" s="124"/>
      <c r="BD263" s="124"/>
      <c r="BE263" s="124"/>
      <c r="BF263" s="124"/>
      <c r="BG263" s="124"/>
      <c r="BH263" s="124"/>
      <c r="BI263" s="124"/>
      <c r="BJ263" s="124"/>
      <c r="BK263" s="124"/>
    </row>
    <row r="264" spans="1:63" outlineLevel="1" x14ac:dyDescent="0.2">
      <c r="A264" s="4" t="s">
        <v>474</v>
      </c>
      <c r="C264" s="230">
        <f>C$263*'BTX recycling rates'!E90</f>
        <v>0</v>
      </c>
      <c r="D264" s="230">
        <f>D$263*'BTX recycling rates'!F90</f>
        <v>0</v>
      </c>
      <c r="E264" s="230">
        <f>E$263*'BTX recycling rates'!G90</f>
        <v>0</v>
      </c>
      <c r="F264" s="230">
        <f>F$263*'BTX recycling rates'!H90</f>
        <v>0</v>
      </c>
      <c r="G264" s="230">
        <f>G$263*'BTX recycling rates'!I90</f>
        <v>0</v>
      </c>
      <c r="H264" s="230">
        <f>H$263*'BTX recycling rates'!J90</f>
        <v>0</v>
      </c>
      <c r="I264" s="230">
        <f>I$263*'BTX recycling rates'!K90</f>
        <v>0</v>
      </c>
      <c r="J264" s="230">
        <f>J$263*'BTX recycling rates'!L90</f>
        <v>0</v>
      </c>
      <c r="K264" s="230">
        <f>K$263*'BTX recycling rates'!M90</f>
        <v>0</v>
      </c>
      <c r="L264" s="230">
        <f>L$263*'BTX recycling rates'!N90</f>
        <v>0</v>
      </c>
      <c r="M264" s="230">
        <f>M$263*'BTX recycling rates'!O90</f>
        <v>0</v>
      </c>
      <c r="N264" s="230">
        <f>N$263*'BTX recycling rates'!P90</f>
        <v>0</v>
      </c>
      <c r="O264" s="230">
        <f>O$263*'BTX recycling rates'!Q90</f>
        <v>0</v>
      </c>
      <c r="P264" s="230">
        <f>P$263*'BTX recycling rates'!R90</f>
        <v>0</v>
      </c>
      <c r="Q264" s="230">
        <f>Q$263*'BTX recycling rates'!S90</f>
        <v>0</v>
      </c>
      <c r="R264" s="230">
        <f>R$263*'BTX recycling rates'!T90</f>
        <v>0</v>
      </c>
      <c r="S264" s="230">
        <f>S$263*'BTX recycling rates'!U90</f>
        <v>0</v>
      </c>
      <c r="T264" s="230">
        <f>T$263*'BTX recycling rates'!V90</f>
        <v>0</v>
      </c>
      <c r="U264" s="230">
        <f>U$263*'BTX recycling rates'!W90</f>
        <v>0</v>
      </c>
      <c r="V264" s="230">
        <f>V$263*'BTX recycling rates'!X90</f>
        <v>0</v>
      </c>
      <c r="W264" s="230">
        <f>W$263*'BTX recycling rates'!Y90</f>
        <v>0</v>
      </c>
      <c r="X264" s="230">
        <f>X$263*'BTX recycling rates'!Z90</f>
        <v>0</v>
      </c>
      <c r="Y264" s="230">
        <f>Y$263*'BTX recycling rates'!AA90</f>
        <v>0</v>
      </c>
      <c r="Z264" s="230">
        <f>Z$263*'BTX recycling rates'!AB90</f>
        <v>0</v>
      </c>
      <c r="AA264" s="230">
        <f>AA$263*'BTX recycling rates'!AC90</f>
        <v>0</v>
      </c>
      <c r="AB264" s="230">
        <f>AB$263*'BTX recycling rates'!AD90</f>
        <v>0</v>
      </c>
      <c r="AC264" s="230">
        <f>AC$263*'BTX recycling rates'!AE90</f>
        <v>0</v>
      </c>
      <c r="AD264" s="230">
        <f>AD$263*'BTX recycling rates'!AF90</f>
        <v>0</v>
      </c>
      <c r="AE264" s="230">
        <f>AE$263*'BTX recycling rates'!AG90</f>
        <v>0</v>
      </c>
      <c r="AF264" s="230">
        <f>AF$263*'BTX recycling rates'!AH90</f>
        <v>0</v>
      </c>
      <c r="AG264" s="230">
        <f>AG$263*'BTX recycling rates'!AI90</f>
        <v>0</v>
      </c>
      <c r="AH264" s="245"/>
      <c r="AI264" s="133"/>
      <c r="AJ264" s="211"/>
      <c r="AL264" s="108"/>
      <c r="AM264" s="2"/>
      <c r="AN264" s="2"/>
      <c r="AO264" s="2"/>
      <c r="BC264" s="1"/>
      <c r="BD264" s="2"/>
      <c r="BE264" s="2"/>
      <c r="BF264" s="2"/>
      <c r="BG264" s="2"/>
      <c r="BH264" s="2"/>
      <c r="BI264" s="2"/>
      <c r="BJ264" s="2"/>
      <c r="BK264" s="2"/>
    </row>
    <row r="265" spans="1:63" outlineLevel="1" x14ac:dyDescent="0.2">
      <c r="A265" s="4" t="s">
        <v>478</v>
      </c>
      <c r="C265" s="230">
        <f>C$263*'BTX recycling rates'!E91</f>
        <v>0.26788424563705671</v>
      </c>
      <c r="D265" s="230">
        <f>D$263*'BTX recycling rates'!F91</f>
        <v>0.28938388989186303</v>
      </c>
      <c r="E265" s="230">
        <f>E$263*'BTX recycling rates'!G91</f>
        <v>0.31120826340533336</v>
      </c>
      <c r="F265" s="230">
        <f>F$263*'BTX recycling rates'!H91</f>
        <v>0.33323021667637753</v>
      </c>
      <c r="G265" s="230">
        <f>G$263*'BTX recycling rates'!I91</f>
        <v>0.35531477427893382</v>
      </c>
      <c r="H265" s="230">
        <f>H$263*'BTX recycling rates'!J91</f>
        <v>0.37732046900245997</v>
      </c>
      <c r="I265" s="230">
        <f>I$263*'BTX recycling rates'!K91</f>
        <v>0.39732211828179043</v>
      </c>
      <c r="J265" s="230">
        <f>J$263*'BTX recycling rates'!L91</f>
        <v>0.41764583901359947</v>
      </c>
      <c r="K265" s="230">
        <f>K$263*'BTX recycling rates'!M91</f>
        <v>0.43827152877973979</v>
      </c>
      <c r="L265" s="230">
        <f>L$263*'BTX recycling rates'!N91</f>
        <v>0.45917796416152268</v>
      </c>
      <c r="M265" s="230">
        <f>M$263*'BTX recycling rates'!O91</f>
        <v>0.48034282545510643</v>
      </c>
      <c r="N265" s="230">
        <f>N$263*'BTX recycling rates'!P91</f>
        <v>0.51778447142237627</v>
      </c>
      <c r="O265" s="230">
        <f>O$263*'BTX recycling rates'!Q91</f>
        <v>0.55494922574163175</v>
      </c>
      <c r="P265" s="230">
        <f>P$263*'BTX recycling rates'!R91</f>
        <v>0.59162740414032999</v>
      </c>
      <c r="Q265" s="230">
        <f>Q$263*'BTX recycling rates'!S91</f>
        <v>0.62760810076803475</v>
      </c>
      <c r="R265" s="230">
        <f>R$263*'BTX recycling rates'!T91</f>
        <v>0.66268117871156762</v>
      </c>
      <c r="S265" s="230">
        <f>S$263*'BTX recycling rates'!U91</f>
        <v>0.69789440488235877</v>
      </c>
      <c r="T265" s="230">
        <f>T$263*'BTX recycling rates'!V91</f>
        <v>0.7332316251688501</v>
      </c>
      <c r="U265" s="230">
        <f>U$263*'BTX recycling rates'!W91</f>
        <v>0.76867639469103166</v>
      </c>
      <c r="V265" s="230">
        <f>V$263*'BTX recycling rates'!X91</f>
        <v>0.80421198562793672</v>
      </c>
      <c r="W265" s="230">
        <f>W$263*'BTX recycling rates'!Y91</f>
        <v>0.83982139538227085</v>
      </c>
      <c r="X265" s="230">
        <f>X$263*'BTX recycling rates'!Z91</f>
        <v>0.89796064976340184</v>
      </c>
      <c r="Y265" s="230">
        <f>Y$263*'BTX recycling rates'!AA91</f>
        <v>0.9562662396220345</v>
      </c>
      <c r="Z265" s="230">
        <f>Z$263*'BTX recycling rates'!AB91</f>
        <v>1.0147115958888118</v>
      </c>
      <c r="AA265" s="230">
        <f>AA$263*'BTX recycling rates'!AC91</f>
        <v>1.0732697318841968</v>
      </c>
      <c r="AB265" s="230">
        <f>AB$263*'BTX recycling rates'!AD91</f>
        <v>1.1319132556328446</v>
      </c>
      <c r="AC265" s="230">
        <f>AC$263*'BTX recycling rates'!AE91</f>
        <v>1.1903491993219306</v>
      </c>
      <c r="AD265" s="230">
        <f>AD$263*'BTX recycling rates'!AF91</f>
        <v>1.2487957576669568</v>
      </c>
      <c r="AE265" s="230">
        <f>AE$263*'BTX recycling rates'!AG91</f>
        <v>1.3072253339283657</v>
      </c>
      <c r="AF265" s="230">
        <f>AF$263*'BTX recycling rates'!AH91</f>
        <v>1.3656099828558763</v>
      </c>
      <c r="AG265" s="230">
        <f>AG$263*'BTX recycling rates'!AI91</f>
        <v>1.4239214230270754</v>
      </c>
      <c r="AH265" s="245"/>
      <c r="AI265" s="133"/>
      <c r="AJ265" s="211"/>
      <c r="AL265" s="108"/>
      <c r="AM265" s="2"/>
      <c r="AN265" s="2"/>
      <c r="AO265" s="2"/>
      <c r="BC265" s="1"/>
      <c r="BD265" s="2"/>
      <c r="BE265" s="2"/>
      <c r="BF265" s="2"/>
      <c r="BG265" s="2"/>
      <c r="BH265" s="2"/>
      <c r="BI265" s="2"/>
      <c r="BJ265" s="2"/>
      <c r="BK265" s="2"/>
    </row>
    <row r="266" spans="1:63" outlineLevel="1" x14ac:dyDescent="0.2">
      <c r="A266" s="4" t="s">
        <v>745</v>
      </c>
      <c r="C266" s="230">
        <f>C$263*'BTX recycling rates'!E92</f>
        <v>0.51944039042749968</v>
      </c>
      <c r="D266" s="230">
        <f>D$263*'BTX recycling rates'!F92</f>
        <v>0.56112923099074674</v>
      </c>
      <c r="E266" s="230">
        <f>E$263*'BTX recycling rates'!G92</f>
        <v>0.60344773714893196</v>
      </c>
      <c r="F266" s="230">
        <f>F$263*'BTX recycling rates'!H92</f>
        <v>0.64614935992590417</v>
      </c>
      <c r="G266" s="230">
        <f>G$263*'BTX recycling rates'!I92</f>
        <v>0.68897237550194057</v>
      </c>
      <c r="H266" s="230">
        <f>H$263*'BTX recycling rates'!J92</f>
        <v>0.73164247217609735</v>
      </c>
      <c r="I266" s="230">
        <f>I$263*'BTX recycling rates'!K92</f>
        <v>0.7704266286916911</v>
      </c>
      <c r="J266" s="230">
        <f>J$263*'BTX recycling rates'!L92</f>
        <v>0.80983529718865632</v>
      </c>
      <c r="K266" s="230">
        <f>K$263*'BTX recycling rates'!M92</f>
        <v>0.84982949811481312</v>
      </c>
      <c r="L266" s="230">
        <f>L$263*'BTX recycling rates'!N92</f>
        <v>0.89036807824420905</v>
      </c>
      <c r="M266" s="230">
        <f>M$263*'BTX recycling rates'!O92</f>
        <v>0.93140775860144098</v>
      </c>
      <c r="N266" s="230">
        <f>N$263*'BTX recycling rates'!P92</f>
        <v>1.0040089044927785</v>
      </c>
      <c r="O266" s="230">
        <f>O$263*'BTX recycling rates'!Q92</f>
        <v>1.0760731442088065</v>
      </c>
      <c r="P266" s="230">
        <f>P$263*'BTX recycling rates'!R92</f>
        <v>1.1471938898961138</v>
      </c>
      <c r="Q266" s="230">
        <f>Q$263*'BTX recycling rates'!S92</f>
        <v>1.2169621850032113</v>
      </c>
      <c r="R266" s="230">
        <f>R$263*'BTX recycling rates'!T92</f>
        <v>1.2849705639848035</v>
      </c>
      <c r="S266" s="230">
        <f>S$263*'BTX recycling rates'!U92</f>
        <v>1.3532506970955405</v>
      </c>
      <c r="T266" s="230">
        <f>T$263*'BTX recycling rates'!V92</f>
        <v>1.4217712607389386</v>
      </c>
      <c r="U266" s="230">
        <f>U$263*'BTX recycling rates'!W92</f>
        <v>1.4905003675045507</v>
      </c>
      <c r="V266" s="230">
        <f>V$263*'BTX recycling rates'!X92</f>
        <v>1.5594055813458549</v>
      </c>
      <c r="W266" s="230">
        <f>W$263*'BTX recycling rates'!Y92</f>
        <v>1.6284539334118617</v>
      </c>
      <c r="X266" s="230">
        <f>X$263*'BTX recycling rates'!Z92</f>
        <v>1.7411887339339305</v>
      </c>
      <c r="Y266" s="230">
        <f>Y$263*'BTX recycling rates'!AA92</f>
        <v>1.8542460669183689</v>
      </c>
      <c r="Z266" s="230">
        <f>Z$263*'BTX recycling rates'!AB92</f>
        <v>1.9675744136663922</v>
      </c>
      <c r="AA266" s="230">
        <f>AA$263*'BTX recycling rates'!AC92</f>
        <v>2.0811214457130647</v>
      </c>
      <c r="AB266" s="230">
        <f>AB$263*'BTX recycling rates'!AD92</f>
        <v>2.1948340487054523</v>
      </c>
      <c r="AC266" s="230">
        <f>AC$263*'BTX recycling rates'!AE92</f>
        <v>2.3081441440142423</v>
      </c>
      <c r="AD266" s="230">
        <f>AD$263*'BTX recycling rates'!AF92</f>
        <v>2.4214748216495994</v>
      </c>
      <c r="AE266" s="230">
        <f>AE$263*'BTX recycling rates'!AG92</f>
        <v>2.5347725702109694</v>
      </c>
      <c r="AF266" s="230">
        <f>AF$263*'BTX recycling rates'!AH92</f>
        <v>2.6479832025188048</v>
      </c>
      <c r="AG266" s="230">
        <f>AG$263*'BTX recycling rates'!AI92</f>
        <v>2.7610518795396808</v>
      </c>
      <c r="AH266" s="245"/>
      <c r="AI266" s="133"/>
      <c r="AJ266" s="211"/>
      <c r="AL266" s="108"/>
      <c r="AM266" s="2"/>
      <c r="AN266" s="2"/>
      <c r="AO266" s="2"/>
      <c r="BC266" s="1"/>
      <c r="BD266" s="2"/>
      <c r="BE266" s="2"/>
      <c r="BF266" s="2"/>
      <c r="BG266" s="2"/>
      <c r="BH266" s="2"/>
      <c r="BI266" s="2"/>
      <c r="BJ266" s="2"/>
      <c r="BK266" s="2"/>
    </row>
    <row r="267" spans="1:63" outlineLevel="1" x14ac:dyDescent="0.2">
      <c r="A267" s="4" t="s">
        <v>1561</v>
      </c>
      <c r="C267" s="230">
        <f>C$263*'BTX recycling rates'!E93</f>
        <v>0.14561912839757954</v>
      </c>
      <c r="D267" s="230">
        <f>D$263*'BTX recycling rates'!F93</f>
        <v>0.15730611450532042</v>
      </c>
      <c r="E267" s="230">
        <f>E$263*'BTX recycling rates'!G93</f>
        <v>0.16916962010751455</v>
      </c>
      <c r="F267" s="230">
        <f>F$263*'BTX recycling rates'!H93</f>
        <v>0.18114052803946679</v>
      </c>
      <c r="G267" s="230">
        <f>G$263*'BTX recycling rates'!I93</f>
        <v>0.19314546704393326</v>
      </c>
      <c r="H267" s="230">
        <f>H$263*'BTX recycling rates'!J93</f>
        <v>0.20510753699620901</v>
      </c>
      <c r="I267" s="230">
        <f>I$263*'BTX recycling rates'!K93</f>
        <v>0.21598022839933226</v>
      </c>
      <c r="J267" s="230">
        <f>J$263*'BTX recycling rates'!L93</f>
        <v>0.22702799454072589</v>
      </c>
      <c r="K267" s="230">
        <f>K$263*'BTX recycling rates'!M93</f>
        <v>0.23823990795206371</v>
      </c>
      <c r="L267" s="230">
        <f>L$263*'BTX recycling rates'!N93</f>
        <v>0.24960443180062261</v>
      </c>
      <c r="M267" s="230">
        <f>M$263*'BTX recycling rates'!O93</f>
        <v>0.2611094333243143</v>
      </c>
      <c r="N267" s="230">
        <f>N$263*'BTX recycling rates'!P93</f>
        <v>0.28146232805524041</v>
      </c>
      <c r="O267" s="230">
        <f>O$263*'BTX recycling rates'!Q93</f>
        <v>0.30166470732622036</v>
      </c>
      <c r="P267" s="230">
        <f>P$263*'BTX recycling rates'!R93</f>
        <v>0.32160258891730759</v>
      </c>
      <c r="Q267" s="230">
        <f>Q$263*'BTX recycling rates'!S93</f>
        <v>0.34116132657134196</v>
      </c>
      <c r="R267" s="230">
        <f>R$263*'BTX recycling rates'!T93</f>
        <v>0.36022669201757007</v>
      </c>
      <c r="S267" s="230">
        <f>S$263*'BTX recycling rates'!U93</f>
        <v>0.37936824060271812</v>
      </c>
      <c r="T267" s="230">
        <f>T$263*'BTX recycling rates'!V93</f>
        <v>0.39857719111742623</v>
      </c>
      <c r="U267" s="230">
        <f>U$263*'BTX recycling rates'!W93</f>
        <v>0.41784460429358644</v>
      </c>
      <c r="V267" s="230">
        <f>V$263*'BTX recycling rates'!X93</f>
        <v>0.4371613870592887</v>
      </c>
      <c r="W267" s="230">
        <f>W$263*'BTX recycling rates'!Y93</f>
        <v>0.45651829697702928</v>
      </c>
      <c r="X267" s="230">
        <f>X$263*'BTX recycling rates'!Z93</f>
        <v>0.48812219935856721</v>
      </c>
      <c r="Y267" s="230">
        <f>Y$263*'BTX recycling rates'!AA93</f>
        <v>0.51981651999967005</v>
      </c>
      <c r="Z267" s="230">
        <f>Z$263*'BTX recycling rates'!AB93</f>
        <v>0.55158681622673866</v>
      </c>
      <c r="AA267" s="230">
        <f>AA$263*'BTX recycling rates'!AC93</f>
        <v>0.58341841835756347</v>
      </c>
      <c r="AB267" s="230">
        <f>AB$263*'BTX recycling rates'!AD93</f>
        <v>0.61529643639528997</v>
      </c>
      <c r="AC267" s="230">
        <f>AC$263*'BTX recycling rates'!AE93</f>
        <v>0.6470616160416649</v>
      </c>
      <c r="AD267" s="230">
        <f>AD$263*'BTX recycling rates'!AF93</f>
        <v>0.6788325657061407</v>
      </c>
      <c r="AE267" s="230">
        <f>AE$263*'BTX recycling rates'!AG93</f>
        <v>0.71059428408413727</v>
      </c>
      <c r="AF267" s="230">
        <f>AF$263*'BTX recycling rates'!AH93</f>
        <v>0.74233158042421998</v>
      </c>
      <c r="AG267" s="230">
        <f>AG$263*'BTX recycling rates'!AI93</f>
        <v>0.77402908123523073</v>
      </c>
      <c r="AH267" s="245"/>
      <c r="AI267" s="133"/>
      <c r="AJ267" s="211"/>
      <c r="AL267" s="108"/>
      <c r="AM267" s="2"/>
      <c r="AN267" s="2"/>
      <c r="AO267" s="2"/>
      <c r="BC267" s="1"/>
      <c r="BD267" s="2"/>
      <c r="BE267" s="2"/>
      <c r="BF267" s="2"/>
      <c r="BG267" s="2"/>
      <c r="BH267" s="2"/>
      <c r="BI267" s="2"/>
      <c r="BJ267" s="2"/>
      <c r="BK267" s="2"/>
    </row>
    <row r="268" spans="1:63" s="1" customFormat="1" outlineLevel="1" x14ac:dyDescent="0.2">
      <c r="A268" s="1" t="s">
        <v>1562</v>
      </c>
      <c r="B268" s="65"/>
      <c r="C268" s="300">
        <f t="shared" ref="C268:AG268" si="167">C263-$C263</f>
        <v>0</v>
      </c>
      <c r="D268" s="300">
        <f t="shared" si="167"/>
        <v>7.4875470925794274E-2</v>
      </c>
      <c r="E268" s="300">
        <f t="shared" si="167"/>
        <v>0.150881856199644</v>
      </c>
      <c r="F268" s="300">
        <f t="shared" si="167"/>
        <v>0.22757634017961259</v>
      </c>
      <c r="G268" s="300">
        <f t="shared" si="167"/>
        <v>0.30448885236267176</v>
      </c>
      <c r="H268" s="300">
        <f t="shared" si="167"/>
        <v>0.38112671371263052</v>
      </c>
      <c r="I268" s="300">
        <f t="shared" si="167"/>
        <v>0.45078521091067791</v>
      </c>
      <c r="J268" s="300">
        <f t="shared" si="167"/>
        <v>0.52156536628084582</v>
      </c>
      <c r="K268" s="300">
        <f t="shared" si="167"/>
        <v>0.59339717038448081</v>
      </c>
      <c r="L268" s="300">
        <f t="shared" si="167"/>
        <v>0.66620670974421847</v>
      </c>
      <c r="M268" s="300">
        <f t="shared" si="167"/>
        <v>0.73991625291872587</v>
      </c>
      <c r="N268" s="300">
        <f t="shared" si="167"/>
        <v>0.87031193950825936</v>
      </c>
      <c r="O268" s="300">
        <f t="shared" si="167"/>
        <v>0.99974331281452289</v>
      </c>
      <c r="P268" s="300">
        <f t="shared" si="167"/>
        <v>1.1274801184916154</v>
      </c>
      <c r="Q268" s="300">
        <f t="shared" si="167"/>
        <v>1.2527878478804522</v>
      </c>
      <c r="R268" s="300">
        <f t="shared" si="167"/>
        <v>1.3749346702518053</v>
      </c>
      <c r="S268" s="300">
        <f t="shared" si="167"/>
        <v>1.4975695781184815</v>
      </c>
      <c r="T268" s="300">
        <f t="shared" si="167"/>
        <v>1.6206363125630792</v>
      </c>
      <c r="U268" s="300">
        <f t="shared" si="167"/>
        <v>1.744077602027033</v>
      </c>
      <c r="V268" s="300">
        <f t="shared" si="167"/>
        <v>1.8678351895709446</v>
      </c>
      <c r="W268" s="300">
        <f t="shared" si="167"/>
        <v>1.9918498613090261</v>
      </c>
      <c r="X268" s="300">
        <f t="shared" si="167"/>
        <v>2.1943278185937638</v>
      </c>
      <c r="Y268" s="300">
        <f t="shared" si="167"/>
        <v>2.3973850620779378</v>
      </c>
      <c r="Z268" s="300">
        <f t="shared" si="167"/>
        <v>2.6009290613198068</v>
      </c>
      <c r="AA268" s="300">
        <f t="shared" si="167"/>
        <v>2.8048658314926893</v>
      </c>
      <c r="AB268" s="300">
        <f t="shared" si="167"/>
        <v>3.0090999762714512</v>
      </c>
      <c r="AC268" s="300">
        <f t="shared" si="167"/>
        <v>3.2126111949157021</v>
      </c>
      <c r="AD268" s="300">
        <f t="shared" si="167"/>
        <v>3.4161593805605612</v>
      </c>
      <c r="AE268" s="300">
        <f t="shared" si="167"/>
        <v>3.6196484237613369</v>
      </c>
      <c r="AF268" s="300">
        <f t="shared" si="167"/>
        <v>3.8229810013367658</v>
      </c>
      <c r="AG268" s="300">
        <f t="shared" si="167"/>
        <v>4.0260586193398513</v>
      </c>
      <c r="AH268" s="245"/>
      <c r="AI268" s="423"/>
      <c r="AJ268" s="424"/>
      <c r="AL268" s="221"/>
      <c r="AM268" s="124"/>
      <c r="AN268" s="124"/>
      <c r="AO268" s="124"/>
      <c r="BD268" s="124"/>
      <c r="BE268" s="124"/>
      <c r="BF268" s="124"/>
      <c r="BG268" s="124"/>
      <c r="BH268" s="124"/>
      <c r="BI268" s="124"/>
      <c r="BJ268" s="124"/>
      <c r="BK268" s="124"/>
    </row>
    <row r="269" spans="1:63" outlineLevel="1" x14ac:dyDescent="0.2">
      <c r="A269" s="4" t="s">
        <v>474</v>
      </c>
      <c r="C269" s="230">
        <f t="shared" ref="C269:AG269" si="168">C264-$C264</f>
        <v>0</v>
      </c>
      <c r="D269" s="230">
        <f t="shared" si="168"/>
        <v>0</v>
      </c>
      <c r="E269" s="230">
        <f t="shared" si="168"/>
        <v>0</v>
      </c>
      <c r="F269" s="230">
        <f t="shared" si="168"/>
        <v>0</v>
      </c>
      <c r="G269" s="230">
        <f t="shared" si="168"/>
        <v>0</v>
      </c>
      <c r="H269" s="230">
        <f t="shared" si="168"/>
        <v>0</v>
      </c>
      <c r="I269" s="230">
        <f t="shared" si="168"/>
        <v>0</v>
      </c>
      <c r="J269" s="230">
        <f t="shared" si="168"/>
        <v>0</v>
      </c>
      <c r="K269" s="230">
        <f t="shared" si="168"/>
        <v>0</v>
      </c>
      <c r="L269" s="230">
        <f t="shared" si="168"/>
        <v>0</v>
      </c>
      <c r="M269" s="230">
        <f t="shared" si="168"/>
        <v>0</v>
      </c>
      <c r="N269" s="230">
        <f t="shared" si="168"/>
        <v>0</v>
      </c>
      <c r="O269" s="230">
        <f t="shared" si="168"/>
        <v>0</v>
      </c>
      <c r="P269" s="230">
        <f t="shared" si="168"/>
        <v>0</v>
      </c>
      <c r="Q269" s="230">
        <f t="shared" si="168"/>
        <v>0</v>
      </c>
      <c r="R269" s="230">
        <f t="shared" si="168"/>
        <v>0</v>
      </c>
      <c r="S269" s="230">
        <f t="shared" si="168"/>
        <v>0</v>
      </c>
      <c r="T269" s="230">
        <f t="shared" si="168"/>
        <v>0</v>
      </c>
      <c r="U269" s="230">
        <f t="shared" si="168"/>
        <v>0</v>
      </c>
      <c r="V269" s="230">
        <f t="shared" si="168"/>
        <v>0</v>
      </c>
      <c r="W269" s="230">
        <f t="shared" si="168"/>
        <v>0</v>
      </c>
      <c r="X269" s="230">
        <f t="shared" si="168"/>
        <v>0</v>
      </c>
      <c r="Y269" s="230">
        <f t="shared" si="168"/>
        <v>0</v>
      </c>
      <c r="Z269" s="230">
        <f t="shared" si="168"/>
        <v>0</v>
      </c>
      <c r="AA269" s="230">
        <f t="shared" si="168"/>
        <v>0</v>
      </c>
      <c r="AB269" s="230">
        <f t="shared" si="168"/>
        <v>0</v>
      </c>
      <c r="AC269" s="230">
        <f t="shared" si="168"/>
        <v>0</v>
      </c>
      <c r="AD269" s="230">
        <f t="shared" si="168"/>
        <v>0</v>
      </c>
      <c r="AE269" s="230">
        <f t="shared" si="168"/>
        <v>0</v>
      </c>
      <c r="AF269" s="230">
        <f t="shared" si="168"/>
        <v>0</v>
      </c>
      <c r="AG269" s="230">
        <f t="shared" si="168"/>
        <v>0</v>
      </c>
      <c r="AH269" s="245"/>
      <c r="AI269" s="133"/>
      <c r="AJ269" s="211"/>
      <c r="AL269" s="108"/>
      <c r="AM269" s="2"/>
      <c r="AN269" s="2"/>
      <c r="AO269" s="2"/>
      <c r="BC269" s="1"/>
      <c r="BD269" s="2"/>
      <c r="BE269" s="2"/>
      <c r="BF269" s="2"/>
      <c r="BG269" s="2"/>
      <c r="BH269" s="2"/>
      <c r="BI269" s="2"/>
      <c r="BJ269" s="2"/>
      <c r="BK269" s="2"/>
    </row>
    <row r="270" spans="1:63" outlineLevel="1" x14ac:dyDescent="0.2">
      <c r="A270" s="4" t="s">
        <v>478</v>
      </c>
      <c r="C270" s="230">
        <f t="shared" ref="C270:AG270" si="169">C265-$C265</f>
        <v>0</v>
      </c>
      <c r="D270" s="230">
        <f t="shared" si="169"/>
        <v>2.1499644254806327E-2</v>
      </c>
      <c r="E270" s="230">
        <f t="shared" si="169"/>
        <v>4.3324017768276657E-2</v>
      </c>
      <c r="F270" s="230">
        <f t="shared" si="169"/>
        <v>6.5345971039320827E-2</v>
      </c>
      <c r="G270" s="230">
        <f t="shared" si="169"/>
        <v>8.7430528641877114E-2</v>
      </c>
      <c r="H270" s="230">
        <f t="shared" si="169"/>
        <v>0.10943622336540326</v>
      </c>
      <c r="I270" s="230">
        <f t="shared" si="169"/>
        <v>0.12943787264473372</v>
      </c>
      <c r="J270" s="230">
        <f t="shared" si="169"/>
        <v>0.14976159337654277</v>
      </c>
      <c r="K270" s="230">
        <f t="shared" si="169"/>
        <v>0.17038728314268309</v>
      </c>
      <c r="L270" s="230">
        <f t="shared" si="169"/>
        <v>0.19129371852446597</v>
      </c>
      <c r="M270" s="230">
        <f t="shared" si="169"/>
        <v>0.21245857981804972</v>
      </c>
      <c r="N270" s="230">
        <f t="shared" si="169"/>
        <v>0.24990022578531956</v>
      </c>
      <c r="O270" s="230">
        <f t="shared" si="169"/>
        <v>0.28706498010457504</v>
      </c>
      <c r="P270" s="230">
        <f t="shared" si="169"/>
        <v>0.32374315850327329</v>
      </c>
      <c r="Q270" s="230">
        <f t="shared" si="169"/>
        <v>0.35972385513097804</v>
      </c>
      <c r="R270" s="230">
        <f t="shared" si="169"/>
        <v>0.39479693307451091</v>
      </c>
      <c r="S270" s="230">
        <f t="shared" si="169"/>
        <v>0.43001015924530206</v>
      </c>
      <c r="T270" s="230">
        <f t="shared" si="169"/>
        <v>0.46534737953179339</v>
      </c>
      <c r="U270" s="230">
        <f t="shared" si="169"/>
        <v>0.50079214905397496</v>
      </c>
      <c r="V270" s="230">
        <f t="shared" si="169"/>
        <v>0.53632773999088001</v>
      </c>
      <c r="W270" s="230">
        <f t="shared" si="169"/>
        <v>0.57193714974521415</v>
      </c>
      <c r="X270" s="230">
        <f t="shared" si="169"/>
        <v>0.63007640412634514</v>
      </c>
      <c r="Y270" s="230">
        <f t="shared" si="169"/>
        <v>0.68838199398497779</v>
      </c>
      <c r="Z270" s="230">
        <f t="shared" si="169"/>
        <v>0.74682735025175506</v>
      </c>
      <c r="AA270" s="230">
        <f t="shared" si="169"/>
        <v>0.80538548624714013</v>
      </c>
      <c r="AB270" s="230">
        <f t="shared" si="169"/>
        <v>0.86402900999578791</v>
      </c>
      <c r="AC270" s="230">
        <f t="shared" si="169"/>
        <v>0.92246495368487391</v>
      </c>
      <c r="AD270" s="230">
        <f t="shared" si="169"/>
        <v>0.98091151202990012</v>
      </c>
      <c r="AE270" s="230">
        <f t="shared" si="169"/>
        <v>1.039341088291309</v>
      </c>
      <c r="AF270" s="230">
        <f t="shared" si="169"/>
        <v>1.0977257372188196</v>
      </c>
      <c r="AG270" s="230">
        <f t="shared" si="169"/>
        <v>1.1560371773900187</v>
      </c>
      <c r="AH270" s="245"/>
      <c r="AI270" s="133"/>
      <c r="AJ270" s="211"/>
      <c r="AL270" s="108"/>
      <c r="AM270" s="2"/>
      <c r="AN270" s="2"/>
      <c r="AO270" s="2"/>
      <c r="BC270" s="1"/>
      <c r="BD270" s="2"/>
      <c r="BE270" s="2"/>
      <c r="BF270" s="2"/>
      <c r="BG270" s="2"/>
      <c r="BH270" s="2"/>
      <c r="BI270" s="2"/>
      <c r="BJ270" s="2"/>
      <c r="BK270" s="2"/>
    </row>
    <row r="271" spans="1:63" outlineLevel="1" x14ac:dyDescent="0.2">
      <c r="A271" s="4" t="s">
        <v>745</v>
      </c>
      <c r="C271" s="230">
        <f t="shared" ref="C271:AG271" si="170">C266-$C266</f>
        <v>0</v>
      </c>
      <c r="D271" s="230">
        <f t="shared" si="170"/>
        <v>4.1688840563247065E-2</v>
      </c>
      <c r="E271" s="230">
        <f t="shared" si="170"/>
        <v>8.4007346721432286E-2</v>
      </c>
      <c r="F271" s="230">
        <f t="shared" si="170"/>
        <v>0.12670896949840449</v>
      </c>
      <c r="G271" s="230">
        <f t="shared" si="170"/>
        <v>0.16953198507444089</v>
      </c>
      <c r="H271" s="230">
        <f t="shared" si="170"/>
        <v>0.21220208174859767</v>
      </c>
      <c r="I271" s="230">
        <f t="shared" si="170"/>
        <v>0.25098623826419142</v>
      </c>
      <c r="J271" s="230">
        <f t="shared" si="170"/>
        <v>0.29039490676115665</v>
      </c>
      <c r="K271" s="230">
        <f t="shared" si="170"/>
        <v>0.33038910768731344</v>
      </c>
      <c r="L271" s="230">
        <f t="shared" si="170"/>
        <v>0.37092768781670937</v>
      </c>
      <c r="M271" s="230">
        <f t="shared" si="170"/>
        <v>0.41196736817394131</v>
      </c>
      <c r="N271" s="230">
        <f t="shared" si="170"/>
        <v>0.48456851406527879</v>
      </c>
      <c r="O271" s="230">
        <f t="shared" si="170"/>
        <v>0.55663275378130683</v>
      </c>
      <c r="P271" s="230">
        <f t="shared" si="170"/>
        <v>0.62775349946861414</v>
      </c>
      <c r="Q271" s="230">
        <f t="shared" si="170"/>
        <v>0.69752179457571162</v>
      </c>
      <c r="R271" s="230">
        <f t="shared" si="170"/>
        <v>0.76553017355730379</v>
      </c>
      <c r="S271" s="230">
        <f t="shared" si="170"/>
        <v>0.83381030666804079</v>
      </c>
      <c r="T271" s="230">
        <f t="shared" si="170"/>
        <v>0.90233087031143888</v>
      </c>
      <c r="U271" s="230">
        <f t="shared" si="170"/>
        <v>0.97105997707705105</v>
      </c>
      <c r="V271" s="230">
        <f t="shared" si="170"/>
        <v>1.0399651909183554</v>
      </c>
      <c r="W271" s="230">
        <f t="shared" si="170"/>
        <v>1.1090135429843619</v>
      </c>
      <c r="X271" s="230">
        <f t="shared" si="170"/>
        <v>1.2217483435064307</v>
      </c>
      <c r="Y271" s="230">
        <f t="shared" si="170"/>
        <v>1.3348056764908693</v>
      </c>
      <c r="Z271" s="230">
        <f t="shared" si="170"/>
        <v>1.4481340232388926</v>
      </c>
      <c r="AA271" s="230">
        <f t="shared" si="170"/>
        <v>1.5616810552855651</v>
      </c>
      <c r="AB271" s="230">
        <f t="shared" si="170"/>
        <v>1.6753936582779527</v>
      </c>
      <c r="AC271" s="230">
        <f t="shared" si="170"/>
        <v>1.7887037535867427</v>
      </c>
      <c r="AD271" s="230">
        <f t="shared" si="170"/>
        <v>1.9020344312220998</v>
      </c>
      <c r="AE271" s="230">
        <f t="shared" si="170"/>
        <v>2.0153321797834698</v>
      </c>
      <c r="AF271" s="230">
        <f t="shared" si="170"/>
        <v>2.1285428120913052</v>
      </c>
      <c r="AG271" s="230">
        <f t="shared" si="170"/>
        <v>2.2416114891121812</v>
      </c>
      <c r="AH271" s="245"/>
      <c r="AI271" s="133"/>
      <c r="AJ271" s="211"/>
      <c r="AL271" s="108"/>
      <c r="AM271" s="2"/>
      <c r="AN271" s="2"/>
      <c r="AO271" s="2"/>
      <c r="BC271" s="1"/>
      <c r="BD271" s="2"/>
      <c r="BE271" s="2"/>
      <c r="BF271" s="2"/>
      <c r="BG271" s="2"/>
      <c r="BH271" s="2"/>
      <c r="BI271" s="2"/>
      <c r="BJ271" s="2"/>
      <c r="BK271" s="2"/>
    </row>
    <row r="272" spans="1:63" outlineLevel="1" x14ac:dyDescent="0.2">
      <c r="A272" s="4" t="s">
        <v>1561</v>
      </c>
      <c r="C272" s="230">
        <f t="shared" ref="C272:AG272" si="171">C267-$C267</f>
        <v>0</v>
      </c>
      <c r="D272" s="230">
        <f t="shared" si="171"/>
        <v>1.1686986107740882E-2</v>
      </c>
      <c r="E272" s="230">
        <f t="shared" si="171"/>
        <v>2.3550491709935006E-2</v>
      </c>
      <c r="F272" s="230">
        <f t="shared" si="171"/>
        <v>3.5521399641887247E-2</v>
      </c>
      <c r="G272" s="230">
        <f t="shared" si="171"/>
        <v>4.7526338646353722E-2</v>
      </c>
      <c r="H272" s="230">
        <f t="shared" si="171"/>
        <v>5.9488408598629472E-2</v>
      </c>
      <c r="I272" s="230">
        <f t="shared" si="171"/>
        <v>7.0361100001752719E-2</v>
      </c>
      <c r="J272" s="230">
        <f t="shared" si="171"/>
        <v>8.1408866143146352E-2</v>
      </c>
      <c r="K272" s="230">
        <f t="shared" si="171"/>
        <v>9.2620779554484167E-2</v>
      </c>
      <c r="L272" s="230">
        <f t="shared" si="171"/>
        <v>0.10398530340304307</v>
      </c>
      <c r="M272" s="230">
        <f t="shared" si="171"/>
        <v>0.11549030492673476</v>
      </c>
      <c r="N272" s="230">
        <f t="shared" si="171"/>
        <v>0.13584319965766087</v>
      </c>
      <c r="O272" s="230">
        <f t="shared" si="171"/>
        <v>0.15604557892864082</v>
      </c>
      <c r="P272" s="230">
        <f t="shared" si="171"/>
        <v>0.17598346051972805</v>
      </c>
      <c r="Q272" s="230">
        <f t="shared" si="171"/>
        <v>0.19554219817376242</v>
      </c>
      <c r="R272" s="230">
        <f t="shared" si="171"/>
        <v>0.21460756361999053</v>
      </c>
      <c r="S272" s="230">
        <f t="shared" si="171"/>
        <v>0.23374911220513858</v>
      </c>
      <c r="T272" s="230">
        <f t="shared" si="171"/>
        <v>0.25295806271984667</v>
      </c>
      <c r="U272" s="230">
        <f t="shared" si="171"/>
        <v>0.27222547589600687</v>
      </c>
      <c r="V272" s="230">
        <f t="shared" si="171"/>
        <v>0.29154225866170913</v>
      </c>
      <c r="W272" s="230">
        <f t="shared" si="171"/>
        <v>0.31089916857944977</v>
      </c>
      <c r="X272" s="230">
        <f t="shared" si="171"/>
        <v>0.34250307096098764</v>
      </c>
      <c r="Y272" s="230">
        <f t="shared" si="171"/>
        <v>0.37419739160209053</v>
      </c>
      <c r="Z272" s="230">
        <f t="shared" si="171"/>
        <v>0.40596768782915915</v>
      </c>
      <c r="AA272" s="230">
        <f t="shared" si="171"/>
        <v>0.43779928995998396</v>
      </c>
      <c r="AB272" s="230">
        <f t="shared" si="171"/>
        <v>0.46967730799771046</v>
      </c>
      <c r="AC272" s="230">
        <f t="shared" si="171"/>
        <v>0.50144248764408539</v>
      </c>
      <c r="AD272" s="230">
        <f t="shared" si="171"/>
        <v>0.53321343730856119</v>
      </c>
      <c r="AE272" s="230">
        <f t="shared" si="171"/>
        <v>0.56497515568655776</v>
      </c>
      <c r="AF272" s="230">
        <f t="shared" si="171"/>
        <v>0.59671245202664047</v>
      </c>
      <c r="AG272" s="230">
        <f t="shared" si="171"/>
        <v>0.62840995283765122</v>
      </c>
      <c r="AH272" s="245"/>
      <c r="AI272" s="133"/>
      <c r="AJ272" s="211"/>
      <c r="AL272" s="108"/>
      <c r="AM272" s="2"/>
      <c r="AN272" s="2"/>
      <c r="AO272" s="2"/>
      <c r="BC272" s="1"/>
      <c r="BD272" s="2"/>
      <c r="BE272" s="2"/>
      <c r="BF272" s="2"/>
      <c r="BG272" s="2"/>
      <c r="BH272" s="2"/>
      <c r="BI272" s="2"/>
      <c r="BJ272" s="2"/>
      <c r="BK272" s="2"/>
    </row>
    <row r="273" spans="1:41" outlineLevel="2" x14ac:dyDescent="0.2">
      <c r="C273" s="113"/>
      <c r="D273" s="110"/>
      <c r="E273" s="110"/>
      <c r="F273" s="110"/>
      <c r="G273" s="110"/>
      <c r="H273" s="110"/>
      <c r="I273" s="110"/>
      <c r="J273" s="110"/>
      <c r="K273" s="110"/>
      <c r="L273" s="110"/>
      <c r="M273" s="121"/>
      <c r="N273" s="121"/>
      <c r="O273" s="121"/>
      <c r="P273" s="121"/>
      <c r="Q273" s="121"/>
      <c r="R273" s="121"/>
      <c r="S273" s="121"/>
      <c r="T273" s="121"/>
      <c r="U273" s="121"/>
      <c r="V273" s="121"/>
      <c r="W273" s="121"/>
      <c r="X273" s="23"/>
      <c r="Y273" s="23"/>
      <c r="Z273" s="23"/>
      <c r="AA273" s="23"/>
      <c r="AB273" s="23"/>
      <c r="AC273" s="23"/>
      <c r="AD273" s="23"/>
      <c r="AE273" s="23"/>
      <c r="AF273" s="23"/>
      <c r="AG273" s="106"/>
      <c r="AJ273" s="211"/>
    </row>
    <row r="274" spans="1:41" s="200" customFormat="1" ht="16" thickBot="1" x14ac:dyDescent="0.25">
      <c r="A274" s="227" t="s">
        <v>1640</v>
      </c>
      <c r="B274" s="228"/>
      <c r="C274" s="229">
        <f>(C42*C66+C43*C142+C45*C205+C44*C244+C46*C261)/C47</f>
        <v>0.11866936746243609</v>
      </c>
      <c r="D274" s="229">
        <f t="shared" ref="D274:AG274" si="172">(D42*D66+D43*D142+D45*D205+D44*D244+D46*D261)/D47</f>
        <v>0.10266950598945655</v>
      </c>
      <c r="E274" s="229">
        <f t="shared" si="172"/>
        <v>0.10811421918392609</v>
      </c>
      <c r="F274" s="229">
        <f t="shared" si="172"/>
        <v>0.11367477506448624</v>
      </c>
      <c r="G274" s="229">
        <f t="shared" si="172"/>
        <v>0.11927827145353823</v>
      </c>
      <c r="H274" s="229">
        <f t="shared" si="172"/>
        <v>0.12492651452509289</v>
      </c>
      <c r="I274" s="229">
        <f t="shared" si="172"/>
        <v>0.13106214768010513</v>
      </c>
      <c r="J274" s="229">
        <f t="shared" si="172"/>
        <v>0.13721935588042522</v>
      </c>
      <c r="K274" s="229">
        <f t="shared" si="172"/>
        <v>0.14339380203599969</v>
      </c>
      <c r="L274" s="229">
        <f t="shared" si="172"/>
        <v>0.14958079359884066</v>
      </c>
      <c r="M274" s="229">
        <f t="shared" si="172"/>
        <v>0.15577525468087694</v>
      </c>
      <c r="N274" s="229">
        <f t="shared" si="172"/>
        <v>0.16614325928914112</v>
      </c>
      <c r="O274" s="229">
        <f t="shared" si="172"/>
        <v>0.17647624091438974</v>
      </c>
      <c r="P274" s="229">
        <f t="shared" si="172"/>
        <v>0.18677737733985117</v>
      </c>
      <c r="Q274" s="229">
        <f t="shared" si="172"/>
        <v>0.19702457522581593</v>
      </c>
      <c r="R274" s="229">
        <f t="shared" si="172"/>
        <v>0.20720643892202284</v>
      </c>
      <c r="S274" s="229">
        <f t="shared" si="172"/>
        <v>0.21725907965350069</v>
      </c>
      <c r="T274" s="229">
        <f t="shared" si="172"/>
        <v>0.22723577193756808</v>
      </c>
      <c r="U274" s="229">
        <f t="shared" si="172"/>
        <v>0.23712613708913588</v>
      </c>
      <c r="V274" s="229">
        <f t="shared" si="172"/>
        <v>0.24691858984465428</v>
      </c>
      <c r="W274" s="229">
        <f t="shared" si="172"/>
        <v>0.25660018314645894</v>
      </c>
      <c r="X274" s="229">
        <f t="shared" si="172"/>
        <v>0.27215478713405694</v>
      </c>
      <c r="Y274" s="229">
        <f t="shared" si="172"/>
        <v>0.28753351748013362</v>
      </c>
      <c r="Z274" s="229">
        <f t="shared" si="172"/>
        <v>0.30273140201389631</v>
      </c>
      <c r="AA274" s="229">
        <f t="shared" si="172"/>
        <v>0.31769943843546783</v>
      </c>
      <c r="AB274" s="229">
        <f t="shared" si="172"/>
        <v>0.33240755487286366</v>
      </c>
      <c r="AC274" s="229">
        <f t="shared" si="172"/>
        <v>0.34680587138787405</v>
      </c>
      <c r="AD274" s="229">
        <f t="shared" si="172"/>
        <v>0.36084741824255007</v>
      </c>
      <c r="AE274" s="229">
        <f t="shared" si="172"/>
        <v>0.37447898759428067</v>
      </c>
      <c r="AF274" s="229">
        <f t="shared" si="172"/>
        <v>0.38763903027604146</v>
      </c>
      <c r="AG274" s="229">
        <f t="shared" si="172"/>
        <v>0.40025605383863144</v>
      </c>
      <c r="AJ274" s="479" t="s">
        <v>1585</v>
      </c>
      <c r="AL274" s="217"/>
      <c r="AM274" s="225"/>
      <c r="AN274" s="225"/>
      <c r="AO274" s="225"/>
    </row>
    <row r="275" spans="1:41" s="200" customFormat="1" ht="17" thickTop="1" thickBot="1" x14ac:dyDescent="0.25">
      <c r="A275" s="227" t="s">
        <v>1356</v>
      </c>
      <c r="B275" s="228"/>
      <c r="C275" s="229">
        <f t="shared" ref="C275:AG275" si="173">(C14*C49+C123*C15+C17*C188+C240*C16+C257*C18)/C19</f>
        <v>0.10392620862112158</v>
      </c>
      <c r="D275" s="229">
        <f t="shared" si="173"/>
        <v>0.10914907209487128</v>
      </c>
      <c r="E275" s="229">
        <f t="shared" si="173"/>
        <v>0.11437193556862101</v>
      </c>
      <c r="F275" s="229">
        <f t="shared" si="173"/>
        <v>0.11959479904237068</v>
      </c>
      <c r="G275" s="229">
        <f t="shared" si="173"/>
        <v>0.12481766251612042</v>
      </c>
      <c r="H275" s="229">
        <f t="shared" si="173"/>
        <v>0.13004052598987015</v>
      </c>
      <c r="I275" s="229">
        <f t="shared" si="173"/>
        <v>0.13526338946361988</v>
      </c>
      <c r="J275" s="229">
        <f t="shared" si="173"/>
        <v>0.14048625293736958</v>
      </c>
      <c r="K275" s="229">
        <f t="shared" si="173"/>
        <v>0.1457091164111193</v>
      </c>
      <c r="L275" s="229">
        <f t="shared" si="173"/>
        <v>0.15093197988486898</v>
      </c>
      <c r="M275" s="229">
        <f t="shared" si="173"/>
        <v>0.15615484335861871</v>
      </c>
      <c r="N275" s="229">
        <f t="shared" si="173"/>
        <v>0.16716303252636805</v>
      </c>
      <c r="O275" s="229">
        <f t="shared" si="173"/>
        <v>0.17817122169411745</v>
      </c>
      <c r="P275" s="229">
        <f t="shared" si="173"/>
        <v>0.18917941086186682</v>
      </c>
      <c r="Q275" s="229">
        <f t="shared" si="173"/>
        <v>0.20018760002961619</v>
      </c>
      <c r="R275" s="229">
        <f t="shared" si="173"/>
        <v>0.21119578919736562</v>
      </c>
      <c r="S275" s="229">
        <f t="shared" si="173"/>
        <v>0.22220397836511507</v>
      </c>
      <c r="T275" s="229">
        <f t="shared" si="173"/>
        <v>0.23321216753286442</v>
      </c>
      <c r="U275" s="229">
        <f t="shared" si="173"/>
        <v>0.24422035670061382</v>
      </c>
      <c r="V275" s="229">
        <f t="shared" si="173"/>
        <v>0.25522854586836319</v>
      </c>
      <c r="W275" s="229">
        <f t="shared" si="173"/>
        <v>0.26623673503611256</v>
      </c>
      <c r="X275" s="229">
        <f t="shared" si="173"/>
        <v>0.28465546566672584</v>
      </c>
      <c r="Y275" s="229">
        <f t="shared" si="173"/>
        <v>0.30307419629733917</v>
      </c>
      <c r="Z275" s="229">
        <f t="shared" si="173"/>
        <v>0.32149292692795245</v>
      </c>
      <c r="AA275" s="229">
        <f t="shared" si="173"/>
        <v>0.33991165755856578</v>
      </c>
      <c r="AB275" s="229">
        <f t="shared" si="173"/>
        <v>0.35833038818917906</v>
      </c>
      <c r="AC275" s="229">
        <f t="shared" si="173"/>
        <v>0.37674911881979239</v>
      </c>
      <c r="AD275" s="229">
        <f t="shared" si="173"/>
        <v>0.39516784945040562</v>
      </c>
      <c r="AE275" s="229">
        <f t="shared" si="173"/>
        <v>0.4135865800810189</v>
      </c>
      <c r="AF275" s="229">
        <f t="shared" si="173"/>
        <v>0.43200531071163223</v>
      </c>
      <c r="AG275" s="229">
        <f t="shared" si="173"/>
        <v>0.45042404134224556</v>
      </c>
      <c r="AJ275" s="226" t="s">
        <v>1357</v>
      </c>
      <c r="AL275" s="217"/>
      <c r="AM275" s="225"/>
      <c r="AN275" s="225"/>
      <c r="AO275" s="225"/>
    </row>
    <row r="276" spans="1:41" ht="16" thickTop="1" x14ac:dyDescent="0.2">
      <c r="B276" s="130"/>
      <c r="C276" s="113"/>
      <c r="D276" s="23"/>
      <c r="E276" s="23"/>
      <c r="F276" s="23"/>
      <c r="G276" s="23"/>
      <c r="H276" s="23"/>
      <c r="I276" s="23"/>
      <c r="J276" s="23"/>
      <c r="K276" s="23"/>
      <c r="L276" s="23"/>
      <c r="M276" s="126"/>
      <c r="N276" s="110"/>
      <c r="O276" s="110"/>
      <c r="P276" s="110"/>
      <c r="Q276" s="110"/>
      <c r="R276" s="110"/>
      <c r="S276" s="110"/>
      <c r="T276" s="110"/>
      <c r="U276" s="110"/>
      <c r="V276" s="110"/>
      <c r="W276" s="126"/>
      <c r="X276" s="110"/>
      <c r="Y276" s="110"/>
      <c r="Z276" s="110"/>
      <c r="AA276" s="110"/>
      <c r="AB276" s="110"/>
      <c r="AC276" s="110"/>
      <c r="AD276" s="110"/>
      <c r="AE276" s="110"/>
      <c r="AF276" s="110"/>
      <c r="AG276" s="113"/>
    </row>
    <row r="277" spans="1:41" x14ac:dyDescent="0.2">
      <c r="A277" t="s">
        <v>1641</v>
      </c>
      <c r="B277" s="130"/>
      <c r="C277" s="230">
        <f>C263+C246+C229+C219+C209+C177+C167+C157+C147+C112+C102+C92+C82+C72</f>
        <v>6.1470184945809105</v>
      </c>
      <c r="D277" s="230">
        <f t="shared" ref="D277:AG277" si="174">D263+D246+D229+D219+D209+D177+D167+D157+D147+D112+D102+D92+D82+D72</f>
        <v>6.5448867721839905</v>
      </c>
      <c r="E277" s="230">
        <f t="shared" si="174"/>
        <v>7.0212771180463296</v>
      </c>
      <c r="F277" s="230">
        <f t="shared" si="174"/>
        <v>7.5140781611890404</v>
      </c>
      <c r="G277" s="230">
        <f t="shared" si="174"/>
        <v>8.0080844384045271</v>
      </c>
      <c r="H277" s="230">
        <f t="shared" si="174"/>
        <v>8.5003238323923842</v>
      </c>
      <c r="I277" s="230">
        <f t="shared" si="174"/>
        <v>8.9748077011614278</v>
      </c>
      <c r="J277" s="230">
        <f t="shared" si="174"/>
        <v>9.455494526682978</v>
      </c>
      <c r="K277" s="230">
        <f t="shared" si="174"/>
        <v>9.9413609062364401</v>
      </c>
      <c r="L277" s="230">
        <f t="shared" si="174"/>
        <v>10.431298646977339</v>
      </c>
      <c r="M277" s="230">
        <f t="shared" si="174"/>
        <v>10.924113696924683</v>
      </c>
      <c r="N277" s="230">
        <f t="shared" si="174"/>
        <v>11.666117865206402</v>
      </c>
      <c r="O277" s="230">
        <f t="shared" si="174"/>
        <v>12.376437930029716</v>
      </c>
      <c r="P277" s="230">
        <f t="shared" si="174"/>
        <v>13.04769835808707</v>
      </c>
      <c r="Q277" s="230">
        <f t="shared" si="174"/>
        <v>13.674868536709345</v>
      </c>
      <c r="R277" s="230">
        <f t="shared" si="174"/>
        <v>14.252183186127187</v>
      </c>
      <c r="S277" s="230">
        <f t="shared" si="174"/>
        <v>14.826840129044371</v>
      </c>
      <c r="T277" s="230">
        <f t="shared" si="174"/>
        <v>15.376473134573164</v>
      </c>
      <c r="U277" s="230">
        <f t="shared" si="174"/>
        <v>15.899237011125567</v>
      </c>
      <c r="V277" s="230">
        <f t="shared" si="174"/>
        <v>16.393215374109513</v>
      </c>
      <c r="W277" s="230">
        <f t="shared" si="174"/>
        <v>16.856419590194808</v>
      </c>
      <c r="X277" s="230">
        <f t="shared" si="174"/>
        <v>17.743942493081946</v>
      </c>
      <c r="Y277" s="230">
        <f t="shared" si="174"/>
        <v>18.582317126177546</v>
      </c>
      <c r="Z277" s="230">
        <f t="shared" si="174"/>
        <v>19.359572088018702</v>
      </c>
      <c r="AA277" s="230">
        <f t="shared" si="174"/>
        <v>20.078910295487642</v>
      </c>
      <c r="AB277" s="230">
        <f t="shared" si="174"/>
        <v>20.736554998422633</v>
      </c>
      <c r="AC277" s="230">
        <f t="shared" si="174"/>
        <v>21.289916925842288</v>
      </c>
      <c r="AD277" s="230">
        <f t="shared" si="174"/>
        <v>21.766091260417127</v>
      </c>
      <c r="AE277" s="230">
        <f t="shared" si="174"/>
        <v>22.160171700357722</v>
      </c>
      <c r="AF277" s="230">
        <f t="shared" si="174"/>
        <v>22.467074267006492</v>
      </c>
      <c r="AG277" s="230">
        <f t="shared" si="174"/>
        <v>22.68153502836374</v>
      </c>
      <c r="AH277" s="245"/>
      <c r="AI277" s="23">
        <f>(AG277/C277)^(1/30)-1</f>
        <v>4.4480326384524149E-2</v>
      </c>
      <c r="AJ277" s="517">
        <f>AG277-C277</f>
        <v>16.534516533782828</v>
      </c>
    </row>
    <row r="278" spans="1:41" x14ac:dyDescent="0.2">
      <c r="A278" t="s">
        <v>1642</v>
      </c>
      <c r="B278" s="130"/>
      <c r="C278" s="230">
        <f>C277</f>
        <v>6.1470184945809105</v>
      </c>
      <c r="D278" s="230">
        <f>C278*(1+$AI$278)</f>
        <v>6.2496737034404113</v>
      </c>
      <c r="E278" s="230">
        <f t="shared" ref="E278:AG278" si="175">D278*(1+$AI$278)</f>
        <v>6.3540432542878662</v>
      </c>
      <c r="F278" s="230">
        <f t="shared" si="175"/>
        <v>6.4601557766344735</v>
      </c>
      <c r="G278" s="230">
        <f t="shared" si="175"/>
        <v>6.5680403781042687</v>
      </c>
      <c r="H278" s="230">
        <f t="shared" si="175"/>
        <v>6.6777266524186096</v>
      </c>
      <c r="I278" s="230">
        <f t="shared" si="175"/>
        <v>6.7892446875139996</v>
      </c>
      <c r="J278" s="230">
        <f t="shared" si="175"/>
        <v>6.9026250737954831</v>
      </c>
      <c r="K278" s="230">
        <f t="shared" si="175"/>
        <v>7.0178989125278672</v>
      </c>
      <c r="L278" s="230">
        <f t="shared" si="175"/>
        <v>7.1350978243670822</v>
      </c>
      <c r="M278" s="230">
        <f>L278*(1+$AI$278)</f>
        <v>7.2542539580340124</v>
      </c>
      <c r="N278" s="230">
        <f t="shared" si="175"/>
        <v>7.3753999991331796</v>
      </c>
      <c r="O278" s="230">
        <f t="shared" si="175"/>
        <v>7.4985691791187028</v>
      </c>
      <c r="P278" s="230">
        <f t="shared" si="175"/>
        <v>7.6237952844099848</v>
      </c>
      <c r="Q278" s="230">
        <f t="shared" si="175"/>
        <v>7.7511126656596314</v>
      </c>
      <c r="R278" s="230">
        <f t="shared" si="175"/>
        <v>7.8805562471761466</v>
      </c>
      <c r="S278" s="230">
        <f t="shared" si="175"/>
        <v>8.0121615365039869</v>
      </c>
      <c r="T278" s="230">
        <f t="shared" si="175"/>
        <v>8.1459646341636027</v>
      </c>
      <c r="U278" s="230">
        <f t="shared" si="175"/>
        <v>8.2820022435541336</v>
      </c>
      <c r="V278" s="230">
        <f t="shared" si="175"/>
        <v>8.420311681021488</v>
      </c>
      <c r="W278" s="230">
        <f t="shared" si="175"/>
        <v>8.5609308860945461</v>
      </c>
      <c r="X278" s="230">
        <f t="shared" si="175"/>
        <v>8.7038984318923251</v>
      </c>
      <c r="Y278" s="230">
        <f t="shared" si="175"/>
        <v>8.8492535357049267</v>
      </c>
      <c r="Z278" s="230">
        <f t="shared" si="175"/>
        <v>8.9970360697511982</v>
      </c>
      <c r="AA278" s="230">
        <f t="shared" si="175"/>
        <v>9.1472865721160428</v>
      </c>
      <c r="AB278" s="230">
        <f t="shared" si="175"/>
        <v>9.3000462578703793</v>
      </c>
      <c r="AC278" s="230">
        <f t="shared" si="175"/>
        <v>9.4553570303768133</v>
      </c>
      <c r="AD278" s="230">
        <f t="shared" si="175"/>
        <v>9.6132614927841047</v>
      </c>
      <c r="AE278" s="230">
        <f t="shared" si="175"/>
        <v>9.7738029597135991</v>
      </c>
      <c r="AF278" s="230">
        <f t="shared" si="175"/>
        <v>9.9370254691408153</v>
      </c>
      <c r="AG278" s="230">
        <f t="shared" si="175"/>
        <v>10.102973794475467</v>
      </c>
      <c r="AI278" s="214">
        <v>1.67E-2</v>
      </c>
      <c r="AJ278" s="3" t="s">
        <v>1360</v>
      </c>
    </row>
    <row r="279" spans="1:41" x14ac:dyDescent="0.2">
      <c r="B279" s="51"/>
    </row>
    <row r="280" spans="1:41" s="58" customFormat="1" x14ac:dyDescent="0.2">
      <c r="A280" s="58" t="s">
        <v>1361</v>
      </c>
      <c r="B280" s="303"/>
      <c r="C280" s="304"/>
      <c r="D280" s="304"/>
      <c r="E280" s="304"/>
      <c r="F280" s="304"/>
      <c r="G280" s="304"/>
      <c r="H280" s="304"/>
      <c r="I280" s="304"/>
      <c r="J280" s="304"/>
      <c r="K280" s="304"/>
      <c r="L280" s="304"/>
      <c r="M280" s="304"/>
      <c r="N280" s="304"/>
      <c r="O280" s="304"/>
      <c r="P280" s="304"/>
      <c r="Q280" s="304"/>
      <c r="R280" s="304"/>
      <c r="S280" s="304"/>
      <c r="T280" s="304"/>
      <c r="U280" s="304"/>
      <c r="V280" s="304"/>
      <c r="W280" s="304"/>
      <c r="X280" s="304"/>
      <c r="Y280" s="304"/>
      <c r="Z280" s="304"/>
      <c r="AA280" s="304"/>
      <c r="AB280" s="304"/>
      <c r="AC280" s="304"/>
      <c r="AD280" s="304"/>
      <c r="AE280" s="304"/>
      <c r="AF280" s="304"/>
      <c r="AG280" s="304"/>
      <c r="AI280" s="305"/>
      <c r="AJ280" s="306"/>
    </row>
    <row r="281" spans="1:41" s="190" customFormat="1" outlineLevel="1" x14ac:dyDescent="0.2">
      <c r="A281" s="344" t="s">
        <v>1362</v>
      </c>
      <c r="B281" s="318" t="s">
        <v>462</v>
      </c>
      <c r="C281" s="319">
        <v>0.84</v>
      </c>
      <c r="D281" s="320">
        <f>-($C281-$AG281)/30+C281</f>
        <v>0.83566666666666667</v>
      </c>
      <c r="E281" s="320">
        <f t="shared" ref="E281:T281" si="176">-($C281-$AG281)/30+D281</f>
        <v>0.83133333333333337</v>
      </c>
      <c r="F281" s="320">
        <f t="shared" si="176"/>
        <v>0.82700000000000007</v>
      </c>
      <c r="G281" s="320">
        <f t="shared" si="176"/>
        <v>0.82266666666666677</v>
      </c>
      <c r="H281" s="320">
        <f t="shared" si="176"/>
        <v>0.81833333333333347</v>
      </c>
      <c r="I281" s="320">
        <f t="shared" si="176"/>
        <v>0.81400000000000017</v>
      </c>
      <c r="J281" s="320">
        <f t="shared" si="176"/>
        <v>0.80966666666666687</v>
      </c>
      <c r="K281" s="320">
        <f t="shared" si="176"/>
        <v>0.80533333333333357</v>
      </c>
      <c r="L281" s="320">
        <f t="shared" si="176"/>
        <v>0.80100000000000027</v>
      </c>
      <c r="M281" s="320">
        <f t="shared" si="176"/>
        <v>0.79666666666666697</v>
      </c>
      <c r="N281" s="320">
        <f t="shared" si="176"/>
        <v>0.79233333333333367</v>
      </c>
      <c r="O281" s="320">
        <f t="shared" si="176"/>
        <v>0.78800000000000037</v>
      </c>
      <c r="P281" s="320">
        <f t="shared" si="176"/>
        <v>0.78366666666666707</v>
      </c>
      <c r="Q281" s="320">
        <f t="shared" si="176"/>
        <v>0.77933333333333377</v>
      </c>
      <c r="R281" s="320">
        <f t="shared" si="176"/>
        <v>0.77500000000000047</v>
      </c>
      <c r="S281" s="320">
        <f t="shared" si="176"/>
        <v>0.77066666666666717</v>
      </c>
      <c r="T281" s="320">
        <f t="shared" si="176"/>
        <v>0.76633333333333387</v>
      </c>
      <c r="U281" s="320">
        <f t="shared" ref="T281:AF287" si="177">-($C281-$AG281)/30+T281</f>
        <v>0.76200000000000057</v>
      </c>
      <c r="V281" s="320">
        <f t="shared" si="177"/>
        <v>0.75766666666666727</v>
      </c>
      <c r="W281" s="320">
        <f t="shared" si="177"/>
        <v>0.75333333333333397</v>
      </c>
      <c r="X281" s="320">
        <f t="shared" si="177"/>
        <v>0.74900000000000067</v>
      </c>
      <c r="Y281" s="320">
        <f t="shared" si="177"/>
        <v>0.74466666666666737</v>
      </c>
      <c r="Z281" s="320">
        <f t="shared" si="177"/>
        <v>0.74033333333333406</v>
      </c>
      <c r="AA281" s="320">
        <f t="shared" si="177"/>
        <v>0.73600000000000076</v>
      </c>
      <c r="AB281" s="320">
        <f t="shared" si="177"/>
        <v>0.73166666666666746</v>
      </c>
      <c r="AC281" s="320">
        <f t="shared" si="177"/>
        <v>0.72733333333333416</v>
      </c>
      <c r="AD281" s="320">
        <f t="shared" si="177"/>
        <v>0.72300000000000086</v>
      </c>
      <c r="AE281" s="320">
        <f t="shared" si="177"/>
        <v>0.71866666666666756</v>
      </c>
      <c r="AF281" s="320">
        <f t="shared" si="177"/>
        <v>0.71433333333333426</v>
      </c>
      <c r="AG281" s="319">
        <v>0.71</v>
      </c>
      <c r="AI281" s="321"/>
      <c r="AJ281" s="322" t="s">
        <v>1363</v>
      </c>
    </row>
    <row r="282" spans="1:41" outlineLevel="1" x14ac:dyDescent="0.2">
      <c r="A282" s="3" t="s">
        <v>90</v>
      </c>
      <c r="B282" s="302" t="s">
        <v>462</v>
      </c>
      <c r="C282" s="296">
        <v>0.16</v>
      </c>
      <c r="D282" s="317">
        <f t="shared" ref="D282:S287" si="178">-($C282-$AG282)/30+C282</f>
        <v>0.16206666666666666</v>
      </c>
      <c r="E282" s="317">
        <f t="shared" si="178"/>
        <v>0.16413333333333333</v>
      </c>
      <c r="F282" s="317">
        <f t="shared" si="178"/>
        <v>0.16619999999999999</v>
      </c>
      <c r="G282" s="317">
        <f t="shared" si="178"/>
        <v>0.16826666666666665</v>
      </c>
      <c r="H282" s="317">
        <f t="shared" si="178"/>
        <v>0.17033333333333331</v>
      </c>
      <c r="I282" s="317">
        <f t="shared" si="178"/>
        <v>0.17239999999999997</v>
      </c>
      <c r="J282" s="317">
        <f t="shared" si="178"/>
        <v>0.17446666666666663</v>
      </c>
      <c r="K282" s="317">
        <f t="shared" si="178"/>
        <v>0.17653333333333329</v>
      </c>
      <c r="L282" s="317">
        <f t="shared" si="178"/>
        <v>0.17859999999999995</v>
      </c>
      <c r="M282" s="317">
        <f t="shared" si="178"/>
        <v>0.18066666666666661</v>
      </c>
      <c r="N282" s="317">
        <f t="shared" si="178"/>
        <v>0.18273333333333328</v>
      </c>
      <c r="O282" s="317">
        <f t="shared" si="178"/>
        <v>0.18479999999999994</v>
      </c>
      <c r="P282" s="317">
        <f t="shared" si="178"/>
        <v>0.1868666666666666</v>
      </c>
      <c r="Q282" s="317">
        <f t="shared" si="178"/>
        <v>0.18893333333333326</v>
      </c>
      <c r="R282" s="317">
        <f t="shared" si="178"/>
        <v>0.19099999999999992</v>
      </c>
      <c r="S282" s="317">
        <f t="shared" si="178"/>
        <v>0.19306666666666658</v>
      </c>
      <c r="T282" s="317">
        <f t="shared" si="177"/>
        <v>0.19513333333333324</v>
      </c>
      <c r="U282" s="317">
        <f t="shared" si="177"/>
        <v>0.1971999999999999</v>
      </c>
      <c r="V282" s="317">
        <f t="shared" si="177"/>
        <v>0.19926666666666656</v>
      </c>
      <c r="W282" s="317">
        <f t="shared" si="177"/>
        <v>0.20133333333333323</v>
      </c>
      <c r="X282" s="317">
        <f t="shared" si="177"/>
        <v>0.20339999999999989</v>
      </c>
      <c r="Y282" s="317">
        <f t="shared" si="177"/>
        <v>0.20546666666666655</v>
      </c>
      <c r="Z282" s="317">
        <f t="shared" si="177"/>
        <v>0.20753333333333321</v>
      </c>
      <c r="AA282" s="317">
        <f t="shared" si="177"/>
        <v>0.20959999999999987</v>
      </c>
      <c r="AB282" s="317">
        <f t="shared" si="177"/>
        <v>0.21166666666666653</v>
      </c>
      <c r="AC282" s="317">
        <f t="shared" si="177"/>
        <v>0.21373333333333319</v>
      </c>
      <c r="AD282" s="317">
        <f t="shared" si="177"/>
        <v>0.21579999999999985</v>
      </c>
      <c r="AE282" s="317">
        <f t="shared" si="177"/>
        <v>0.21786666666666651</v>
      </c>
      <c r="AF282" s="317">
        <f t="shared" si="177"/>
        <v>0.21993333333333318</v>
      </c>
      <c r="AG282" s="296">
        <v>0.222</v>
      </c>
      <c r="AI282" s="214"/>
      <c r="AJ282" s="211" t="s">
        <v>1363</v>
      </c>
    </row>
    <row r="283" spans="1:41" outlineLevel="1" x14ac:dyDescent="0.2">
      <c r="A283" s="3" t="s">
        <v>33</v>
      </c>
      <c r="B283" s="302" t="s">
        <v>462</v>
      </c>
      <c r="C283" s="296">
        <v>0.37</v>
      </c>
      <c r="D283" s="317">
        <f t="shared" si="178"/>
        <v>0.36270000000000002</v>
      </c>
      <c r="E283" s="317">
        <f t="shared" si="178"/>
        <v>0.35540000000000005</v>
      </c>
      <c r="F283" s="317">
        <f t="shared" si="178"/>
        <v>0.34810000000000008</v>
      </c>
      <c r="G283" s="317">
        <f t="shared" si="178"/>
        <v>0.3408000000000001</v>
      </c>
      <c r="H283" s="317">
        <f t="shared" si="178"/>
        <v>0.33350000000000013</v>
      </c>
      <c r="I283" s="317">
        <f t="shared" si="178"/>
        <v>0.32620000000000016</v>
      </c>
      <c r="J283" s="317">
        <f t="shared" si="178"/>
        <v>0.31890000000000018</v>
      </c>
      <c r="K283" s="317">
        <f t="shared" si="178"/>
        <v>0.31160000000000021</v>
      </c>
      <c r="L283" s="317">
        <f t="shared" si="178"/>
        <v>0.30430000000000024</v>
      </c>
      <c r="M283" s="317">
        <f t="shared" si="178"/>
        <v>0.29700000000000026</v>
      </c>
      <c r="N283" s="317">
        <f t="shared" si="178"/>
        <v>0.28970000000000029</v>
      </c>
      <c r="O283" s="317">
        <f t="shared" si="178"/>
        <v>0.28240000000000032</v>
      </c>
      <c r="P283" s="317">
        <f t="shared" si="178"/>
        <v>0.27510000000000034</v>
      </c>
      <c r="Q283" s="317">
        <f t="shared" si="178"/>
        <v>0.26780000000000037</v>
      </c>
      <c r="R283" s="317">
        <f t="shared" si="178"/>
        <v>0.2605000000000004</v>
      </c>
      <c r="S283" s="317">
        <f t="shared" si="178"/>
        <v>0.25320000000000042</v>
      </c>
      <c r="T283" s="317">
        <f t="shared" si="177"/>
        <v>0.24590000000000042</v>
      </c>
      <c r="U283" s="317">
        <f t="shared" si="177"/>
        <v>0.23860000000000042</v>
      </c>
      <c r="V283" s="317">
        <f t="shared" si="177"/>
        <v>0.23130000000000042</v>
      </c>
      <c r="W283" s="317">
        <f t="shared" si="177"/>
        <v>0.22400000000000042</v>
      </c>
      <c r="X283" s="317">
        <f t="shared" si="177"/>
        <v>0.21670000000000042</v>
      </c>
      <c r="Y283" s="317">
        <f t="shared" si="177"/>
        <v>0.20940000000000042</v>
      </c>
      <c r="Z283" s="317">
        <f t="shared" si="177"/>
        <v>0.20210000000000042</v>
      </c>
      <c r="AA283" s="317">
        <f t="shared" si="177"/>
        <v>0.19480000000000042</v>
      </c>
      <c r="AB283" s="317">
        <f t="shared" si="177"/>
        <v>0.18750000000000042</v>
      </c>
      <c r="AC283" s="317">
        <f t="shared" si="177"/>
        <v>0.18020000000000042</v>
      </c>
      <c r="AD283" s="317">
        <f t="shared" si="177"/>
        <v>0.17290000000000041</v>
      </c>
      <c r="AE283" s="317">
        <f t="shared" si="177"/>
        <v>0.16560000000000041</v>
      </c>
      <c r="AF283" s="317">
        <f t="shared" si="177"/>
        <v>0.15830000000000041</v>
      </c>
      <c r="AG283" s="296">
        <v>0.151</v>
      </c>
      <c r="AI283" s="214"/>
      <c r="AJ283" s="211" t="s">
        <v>1363</v>
      </c>
    </row>
    <row r="284" spans="1:41" outlineLevel="1" x14ac:dyDescent="0.2">
      <c r="A284" s="3" t="s">
        <v>451</v>
      </c>
      <c r="B284" s="302" t="s">
        <v>462</v>
      </c>
      <c r="C284" s="296">
        <v>0.08</v>
      </c>
      <c r="D284" s="317">
        <f t="shared" si="178"/>
        <v>8.0100000000000005E-2</v>
      </c>
      <c r="E284" s="317">
        <f t="shared" si="178"/>
        <v>8.0200000000000007E-2</v>
      </c>
      <c r="F284" s="317">
        <f t="shared" si="178"/>
        <v>8.030000000000001E-2</v>
      </c>
      <c r="G284" s="317">
        <f t="shared" si="178"/>
        <v>8.0400000000000013E-2</v>
      </c>
      <c r="H284" s="317">
        <f t="shared" si="178"/>
        <v>8.0500000000000016E-2</v>
      </c>
      <c r="I284" s="317">
        <f t="shared" si="178"/>
        <v>8.0600000000000019E-2</v>
      </c>
      <c r="J284" s="317">
        <f t="shared" si="178"/>
        <v>8.0700000000000022E-2</v>
      </c>
      <c r="K284" s="317">
        <f t="shared" si="178"/>
        <v>8.0800000000000025E-2</v>
      </c>
      <c r="L284" s="317">
        <f t="shared" si="178"/>
        <v>8.0900000000000027E-2</v>
      </c>
      <c r="M284" s="317">
        <f t="shared" si="178"/>
        <v>8.100000000000003E-2</v>
      </c>
      <c r="N284" s="317">
        <f t="shared" si="178"/>
        <v>8.1100000000000033E-2</v>
      </c>
      <c r="O284" s="317">
        <f t="shared" si="178"/>
        <v>8.1200000000000036E-2</v>
      </c>
      <c r="P284" s="317">
        <f t="shared" si="178"/>
        <v>8.1300000000000039E-2</v>
      </c>
      <c r="Q284" s="317">
        <f t="shared" si="178"/>
        <v>8.1400000000000042E-2</v>
      </c>
      <c r="R284" s="317">
        <f t="shared" si="178"/>
        <v>8.1500000000000045E-2</v>
      </c>
      <c r="S284" s="317">
        <f t="shared" si="178"/>
        <v>8.1600000000000047E-2</v>
      </c>
      <c r="T284" s="317">
        <f t="shared" si="177"/>
        <v>8.170000000000005E-2</v>
      </c>
      <c r="U284" s="317">
        <f t="shared" si="177"/>
        <v>8.1800000000000053E-2</v>
      </c>
      <c r="V284" s="317">
        <f t="shared" si="177"/>
        <v>8.1900000000000056E-2</v>
      </c>
      <c r="W284" s="317">
        <f t="shared" si="177"/>
        <v>8.2000000000000059E-2</v>
      </c>
      <c r="X284" s="317">
        <f t="shared" si="177"/>
        <v>8.2100000000000062E-2</v>
      </c>
      <c r="Y284" s="317">
        <f t="shared" si="177"/>
        <v>8.2200000000000065E-2</v>
      </c>
      <c r="Z284" s="317">
        <f t="shared" si="177"/>
        <v>8.2300000000000068E-2</v>
      </c>
      <c r="AA284" s="317">
        <f t="shared" si="177"/>
        <v>8.240000000000007E-2</v>
      </c>
      <c r="AB284" s="317">
        <f t="shared" si="177"/>
        <v>8.2500000000000073E-2</v>
      </c>
      <c r="AC284" s="317">
        <f t="shared" si="177"/>
        <v>8.2600000000000076E-2</v>
      </c>
      <c r="AD284" s="317">
        <f t="shared" si="177"/>
        <v>8.2700000000000079E-2</v>
      </c>
      <c r="AE284" s="317">
        <f t="shared" si="177"/>
        <v>8.2800000000000082E-2</v>
      </c>
      <c r="AF284" s="317">
        <f t="shared" si="177"/>
        <v>8.2900000000000085E-2</v>
      </c>
      <c r="AG284" s="296">
        <v>8.3000000000000004E-2</v>
      </c>
      <c r="AI284" s="214"/>
      <c r="AJ284" s="211" t="s">
        <v>1363</v>
      </c>
    </row>
    <row r="285" spans="1:41" outlineLevel="1" x14ac:dyDescent="0.2">
      <c r="A285" s="3" t="s">
        <v>452</v>
      </c>
      <c r="B285" s="302" t="s">
        <v>462</v>
      </c>
      <c r="C285" s="296">
        <v>0.27</v>
      </c>
      <c r="D285" s="317">
        <f t="shared" si="178"/>
        <v>0.27313333333333334</v>
      </c>
      <c r="E285" s="317">
        <f t="shared" si="178"/>
        <v>0.27626666666666666</v>
      </c>
      <c r="F285" s="317">
        <f t="shared" si="178"/>
        <v>0.27939999999999998</v>
      </c>
      <c r="G285" s="317">
        <f t="shared" si="178"/>
        <v>0.2825333333333333</v>
      </c>
      <c r="H285" s="317">
        <f t="shared" si="178"/>
        <v>0.28566666666666662</v>
      </c>
      <c r="I285" s="317">
        <f t="shared" si="178"/>
        <v>0.28879999999999995</v>
      </c>
      <c r="J285" s="317">
        <f t="shared" si="178"/>
        <v>0.29193333333333327</v>
      </c>
      <c r="K285" s="317">
        <f t="shared" si="178"/>
        <v>0.29506666666666659</v>
      </c>
      <c r="L285" s="317">
        <f t="shared" si="178"/>
        <v>0.29819999999999991</v>
      </c>
      <c r="M285" s="317">
        <f t="shared" si="178"/>
        <v>0.30133333333333323</v>
      </c>
      <c r="N285" s="317">
        <f t="shared" si="178"/>
        <v>0.30446666666666655</v>
      </c>
      <c r="O285" s="317">
        <f t="shared" si="178"/>
        <v>0.30759999999999987</v>
      </c>
      <c r="P285" s="317">
        <f t="shared" si="178"/>
        <v>0.31073333333333319</v>
      </c>
      <c r="Q285" s="317">
        <f t="shared" si="178"/>
        <v>0.31386666666666652</v>
      </c>
      <c r="R285" s="317">
        <f t="shared" si="178"/>
        <v>0.31699999999999984</v>
      </c>
      <c r="S285" s="317">
        <f t="shared" si="178"/>
        <v>0.32013333333333316</v>
      </c>
      <c r="T285" s="317">
        <f t="shared" si="177"/>
        <v>0.32326666666666648</v>
      </c>
      <c r="U285" s="317">
        <f t="shared" si="177"/>
        <v>0.3263999999999998</v>
      </c>
      <c r="V285" s="317">
        <f t="shared" si="177"/>
        <v>0.32953333333333312</v>
      </c>
      <c r="W285" s="317">
        <f t="shared" si="177"/>
        <v>0.33266666666666644</v>
      </c>
      <c r="X285" s="317">
        <f t="shared" si="177"/>
        <v>0.33579999999999977</v>
      </c>
      <c r="Y285" s="317">
        <f t="shared" si="177"/>
        <v>0.33893333333333309</v>
      </c>
      <c r="Z285" s="317">
        <f t="shared" si="177"/>
        <v>0.34206666666666641</v>
      </c>
      <c r="AA285" s="317">
        <f t="shared" si="177"/>
        <v>0.34519999999999973</v>
      </c>
      <c r="AB285" s="317">
        <f t="shared" si="177"/>
        <v>0.34833333333333305</v>
      </c>
      <c r="AC285" s="317">
        <f t="shared" si="177"/>
        <v>0.35146666666666637</v>
      </c>
      <c r="AD285" s="317">
        <f t="shared" si="177"/>
        <v>0.35459999999999969</v>
      </c>
      <c r="AE285" s="317">
        <f t="shared" si="177"/>
        <v>0.35773333333333301</v>
      </c>
      <c r="AF285" s="317">
        <f t="shared" si="177"/>
        <v>0.36086666666666634</v>
      </c>
      <c r="AG285" s="296">
        <v>0.36399999999999999</v>
      </c>
      <c r="AI285" s="214"/>
      <c r="AJ285" s="211" t="s">
        <v>1363</v>
      </c>
    </row>
    <row r="286" spans="1:41" outlineLevel="1" x14ac:dyDescent="0.2">
      <c r="A286" s="3" t="s">
        <v>1364</v>
      </c>
      <c r="B286" s="302" t="s">
        <v>462</v>
      </c>
      <c r="C286" s="296">
        <v>7.0000000000000007E-2</v>
      </c>
      <c r="D286" s="317">
        <f t="shared" si="178"/>
        <v>7.1266666666666673E-2</v>
      </c>
      <c r="E286" s="317">
        <f t="shared" si="178"/>
        <v>7.2533333333333339E-2</v>
      </c>
      <c r="F286" s="317">
        <f t="shared" si="178"/>
        <v>7.3800000000000004E-2</v>
      </c>
      <c r="G286" s="317">
        <f t="shared" si="178"/>
        <v>7.506666666666667E-2</v>
      </c>
      <c r="H286" s="317">
        <f t="shared" si="178"/>
        <v>7.6333333333333336E-2</v>
      </c>
      <c r="I286" s="317">
        <f t="shared" si="178"/>
        <v>7.7600000000000002E-2</v>
      </c>
      <c r="J286" s="317">
        <f t="shared" si="178"/>
        <v>7.8866666666666668E-2</v>
      </c>
      <c r="K286" s="317">
        <f t="shared" si="178"/>
        <v>8.0133333333333334E-2</v>
      </c>
      <c r="L286" s="317">
        <f t="shared" si="178"/>
        <v>8.14E-2</v>
      </c>
      <c r="M286" s="317">
        <f t="shared" si="178"/>
        <v>8.2666666666666666E-2</v>
      </c>
      <c r="N286" s="317">
        <f t="shared" si="178"/>
        <v>8.3933333333333332E-2</v>
      </c>
      <c r="O286" s="317">
        <f t="shared" si="178"/>
        <v>8.5199999999999998E-2</v>
      </c>
      <c r="P286" s="317">
        <f t="shared" si="178"/>
        <v>8.6466666666666664E-2</v>
      </c>
      <c r="Q286" s="317">
        <f t="shared" si="178"/>
        <v>8.773333333333333E-2</v>
      </c>
      <c r="R286" s="317">
        <f t="shared" si="178"/>
        <v>8.8999999999999996E-2</v>
      </c>
      <c r="S286" s="317">
        <f t="shared" si="178"/>
        <v>9.0266666666666662E-2</v>
      </c>
      <c r="T286" s="317">
        <f t="shared" si="177"/>
        <v>9.1533333333333328E-2</v>
      </c>
      <c r="U286" s="317">
        <f t="shared" si="177"/>
        <v>9.2799999999999994E-2</v>
      </c>
      <c r="V286" s="317">
        <f t="shared" si="177"/>
        <v>9.406666666666666E-2</v>
      </c>
      <c r="W286" s="317">
        <f t="shared" si="177"/>
        <v>9.5333333333333325E-2</v>
      </c>
      <c r="X286" s="317">
        <f t="shared" si="177"/>
        <v>9.6599999999999991E-2</v>
      </c>
      <c r="Y286" s="317">
        <f t="shared" si="177"/>
        <v>9.7866666666666657E-2</v>
      </c>
      <c r="Z286" s="317">
        <f t="shared" si="177"/>
        <v>9.9133333333333323E-2</v>
      </c>
      <c r="AA286" s="317">
        <f t="shared" si="177"/>
        <v>0.10039999999999999</v>
      </c>
      <c r="AB286" s="317">
        <f t="shared" si="177"/>
        <v>0.10166666666666666</v>
      </c>
      <c r="AC286" s="317">
        <f t="shared" si="177"/>
        <v>0.10293333333333332</v>
      </c>
      <c r="AD286" s="317">
        <f t="shared" si="177"/>
        <v>0.10419999999999999</v>
      </c>
      <c r="AE286" s="317">
        <f t="shared" si="177"/>
        <v>0.10546666666666665</v>
      </c>
      <c r="AF286" s="317">
        <f t="shared" si="177"/>
        <v>0.10673333333333332</v>
      </c>
      <c r="AG286" s="296">
        <v>0.108</v>
      </c>
      <c r="AI286" s="214"/>
      <c r="AJ286" s="211" t="s">
        <v>1363</v>
      </c>
    </row>
    <row r="287" spans="1:41" outlineLevel="1" x14ac:dyDescent="0.2">
      <c r="A287" s="3" t="s">
        <v>1365</v>
      </c>
      <c r="B287" s="302" t="s">
        <v>462</v>
      </c>
      <c r="C287" s="296">
        <v>0.05</v>
      </c>
      <c r="D287" s="317">
        <f t="shared" si="178"/>
        <v>5.0733333333333339E-2</v>
      </c>
      <c r="E287" s="317">
        <f t="shared" si="178"/>
        <v>5.1466666666666674E-2</v>
      </c>
      <c r="F287" s="317">
        <f t="shared" si="178"/>
        <v>5.220000000000001E-2</v>
      </c>
      <c r="G287" s="317">
        <f t="shared" si="178"/>
        <v>5.2933333333333346E-2</v>
      </c>
      <c r="H287" s="317">
        <f t="shared" si="178"/>
        <v>5.3666666666666682E-2</v>
      </c>
      <c r="I287" s="317">
        <f t="shared" si="178"/>
        <v>5.4400000000000018E-2</v>
      </c>
      <c r="J287" s="317">
        <f t="shared" si="178"/>
        <v>5.5133333333333354E-2</v>
      </c>
      <c r="K287" s="317">
        <f t="shared" si="178"/>
        <v>5.5866666666666689E-2</v>
      </c>
      <c r="L287" s="317">
        <f t="shared" si="178"/>
        <v>5.6600000000000025E-2</v>
      </c>
      <c r="M287" s="317">
        <f t="shared" si="178"/>
        <v>5.7333333333333361E-2</v>
      </c>
      <c r="N287" s="317">
        <f t="shared" si="178"/>
        <v>5.8066666666666697E-2</v>
      </c>
      <c r="O287" s="317">
        <f t="shared" si="178"/>
        <v>5.8800000000000033E-2</v>
      </c>
      <c r="P287" s="317">
        <f t="shared" si="178"/>
        <v>5.9533333333333369E-2</v>
      </c>
      <c r="Q287" s="317">
        <f t="shared" si="178"/>
        <v>6.0266666666666704E-2</v>
      </c>
      <c r="R287" s="317">
        <f t="shared" si="178"/>
        <v>6.100000000000004E-2</v>
      </c>
      <c r="S287" s="317">
        <f t="shared" si="178"/>
        <v>6.1733333333333376E-2</v>
      </c>
      <c r="T287" s="317">
        <f t="shared" si="177"/>
        <v>6.2466666666666712E-2</v>
      </c>
      <c r="U287" s="317">
        <f t="shared" si="177"/>
        <v>6.3200000000000048E-2</v>
      </c>
      <c r="V287" s="317">
        <f t="shared" si="177"/>
        <v>6.3933333333333384E-2</v>
      </c>
      <c r="W287" s="317">
        <f t="shared" si="177"/>
        <v>6.4666666666666719E-2</v>
      </c>
      <c r="X287" s="317">
        <f t="shared" si="177"/>
        <v>6.5400000000000055E-2</v>
      </c>
      <c r="Y287" s="317">
        <f t="shared" si="177"/>
        <v>6.6133333333333391E-2</v>
      </c>
      <c r="Z287" s="317">
        <f t="shared" si="177"/>
        <v>6.6866666666666727E-2</v>
      </c>
      <c r="AA287" s="317">
        <f t="shared" si="177"/>
        <v>6.7600000000000063E-2</v>
      </c>
      <c r="AB287" s="317">
        <f t="shared" si="177"/>
        <v>6.8333333333333399E-2</v>
      </c>
      <c r="AC287" s="317">
        <f t="shared" si="177"/>
        <v>6.9066666666666734E-2</v>
      </c>
      <c r="AD287" s="317">
        <f t="shared" si="177"/>
        <v>6.980000000000007E-2</v>
      </c>
      <c r="AE287" s="317">
        <f t="shared" si="177"/>
        <v>7.0533333333333406E-2</v>
      </c>
      <c r="AF287" s="317">
        <f t="shared" si="177"/>
        <v>7.1266666666666742E-2</v>
      </c>
      <c r="AG287" s="296">
        <v>7.1999999999999995E-2</v>
      </c>
      <c r="AI287" s="214"/>
      <c r="AJ287" s="211" t="s">
        <v>1363</v>
      </c>
    </row>
    <row r="288" spans="1:41" s="58" customFormat="1" outlineLevel="1" x14ac:dyDescent="0.2">
      <c r="A288" s="306" t="s">
        <v>1366</v>
      </c>
      <c r="B288" s="303"/>
      <c r="C288" s="304"/>
      <c r="D288" s="304"/>
      <c r="E288" s="304"/>
      <c r="F288" s="304"/>
      <c r="G288" s="304"/>
      <c r="H288" s="304"/>
      <c r="I288" s="304"/>
      <c r="J288" s="304"/>
      <c r="K288" s="304"/>
      <c r="L288" s="304"/>
      <c r="M288" s="304"/>
      <c r="N288" s="304"/>
      <c r="O288" s="304"/>
      <c r="P288" s="304"/>
      <c r="Q288" s="304"/>
      <c r="R288" s="304"/>
      <c r="S288" s="304"/>
      <c r="T288" s="304"/>
      <c r="U288" s="304"/>
      <c r="V288" s="304"/>
      <c r="W288" s="304"/>
      <c r="X288" s="304"/>
      <c r="Y288" s="304"/>
      <c r="Z288" s="304"/>
      <c r="AA288" s="304"/>
      <c r="AB288" s="304"/>
      <c r="AC288" s="304"/>
      <c r="AD288" s="304"/>
      <c r="AE288" s="304"/>
      <c r="AF288" s="304"/>
      <c r="AG288" s="304"/>
      <c r="AI288" s="305"/>
      <c r="AJ288" s="306"/>
    </row>
    <row r="289" spans="1:36" s="58" customFormat="1" outlineLevel="1" x14ac:dyDescent="0.2">
      <c r="A289" s="307" t="s">
        <v>1367</v>
      </c>
      <c r="B289" s="308" t="s">
        <v>462</v>
      </c>
      <c r="C289" s="337">
        <v>0.84</v>
      </c>
      <c r="D289" s="338">
        <f>-($C289-$AG289)/30+C289</f>
        <v>0.84399999999999997</v>
      </c>
      <c r="E289" s="338">
        <f t="shared" ref="E289:T290" si="179">-($C289-$AG289)/30+D289</f>
        <v>0.84799999999999998</v>
      </c>
      <c r="F289" s="338">
        <f t="shared" si="179"/>
        <v>0.85199999999999998</v>
      </c>
      <c r="G289" s="338">
        <f t="shared" si="179"/>
        <v>0.85599999999999998</v>
      </c>
      <c r="H289" s="338">
        <f t="shared" si="179"/>
        <v>0.86</v>
      </c>
      <c r="I289" s="338">
        <f t="shared" si="179"/>
        <v>0.86399999999999999</v>
      </c>
      <c r="J289" s="338">
        <f t="shared" si="179"/>
        <v>0.86799999999999999</v>
      </c>
      <c r="K289" s="338">
        <f t="shared" si="179"/>
        <v>0.872</v>
      </c>
      <c r="L289" s="338">
        <f t="shared" si="179"/>
        <v>0.876</v>
      </c>
      <c r="M289" s="338">
        <f t="shared" si="179"/>
        <v>0.88</v>
      </c>
      <c r="N289" s="338">
        <f t="shared" si="179"/>
        <v>0.88400000000000001</v>
      </c>
      <c r="O289" s="338">
        <f t="shared" si="179"/>
        <v>0.88800000000000001</v>
      </c>
      <c r="P289" s="338">
        <f t="shared" si="179"/>
        <v>0.89200000000000002</v>
      </c>
      <c r="Q289" s="338">
        <f t="shared" si="179"/>
        <v>0.89600000000000002</v>
      </c>
      <c r="R289" s="338">
        <f t="shared" si="179"/>
        <v>0.9</v>
      </c>
      <c r="S289" s="338">
        <f t="shared" si="179"/>
        <v>0.90400000000000003</v>
      </c>
      <c r="T289" s="338">
        <f t="shared" si="179"/>
        <v>0.90800000000000003</v>
      </c>
      <c r="U289" s="338">
        <f t="shared" ref="U289:AF290" si="180">-($C289-$AG289)/30+T289</f>
        <v>0.91200000000000003</v>
      </c>
      <c r="V289" s="338">
        <f t="shared" si="180"/>
        <v>0.91600000000000004</v>
      </c>
      <c r="W289" s="338">
        <f t="shared" si="180"/>
        <v>0.92</v>
      </c>
      <c r="X289" s="338">
        <f t="shared" si="180"/>
        <v>0.92400000000000004</v>
      </c>
      <c r="Y289" s="338">
        <f t="shared" si="180"/>
        <v>0.92800000000000005</v>
      </c>
      <c r="Z289" s="338">
        <f t="shared" si="180"/>
        <v>0.93200000000000005</v>
      </c>
      <c r="AA289" s="338">
        <f t="shared" si="180"/>
        <v>0.93600000000000005</v>
      </c>
      <c r="AB289" s="338">
        <f t="shared" si="180"/>
        <v>0.94000000000000006</v>
      </c>
      <c r="AC289" s="338">
        <f t="shared" si="180"/>
        <v>0.94400000000000006</v>
      </c>
      <c r="AD289" s="338">
        <f t="shared" si="180"/>
        <v>0.94800000000000006</v>
      </c>
      <c r="AE289" s="338">
        <f t="shared" si="180"/>
        <v>0.95200000000000007</v>
      </c>
      <c r="AF289" s="338">
        <f t="shared" si="180"/>
        <v>0.95600000000000007</v>
      </c>
      <c r="AG289" s="337">
        <v>0.96</v>
      </c>
      <c r="AI289" s="305"/>
      <c r="AJ289" s="339" t="s">
        <v>1363</v>
      </c>
    </row>
    <row r="290" spans="1:36" s="58" customFormat="1" outlineLevel="1" x14ac:dyDescent="0.2">
      <c r="A290" s="307" t="s">
        <v>1368</v>
      </c>
      <c r="B290" s="308" t="s">
        <v>462</v>
      </c>
      <c r="C290" s="337">
        <v>0.22</v>
      </c>
      <c r="D290" s="338">
        <f>-($C290-$AG290)/30+C290</f>
        <v>0.22666666666666666</v>
      </c>
      <c r="E290" s="338">
        <f t="shared" si="179"/>
        <v>0.23333333333333331</v>
      </c>
      <c r="F290" s="338">
        <f t="shared" si="179"/>
        <v>0.23999999999999996</v>
      </c>
      <c r="G290" s="338">
        <f t="shared" si="179"/>
        <v>0.24666666666666662</v>
      </c>
      <c r="H290" s="338">
        <f t="shared" si="179"/>
        <v>0.2533333333333333</v>
      </c>
      <c r="I290" s="338">
        <f t="shared" si="179"/>
        <v>0.25999999999999995</v>
      </c>
      <c r="J290" s="338">
        <f t="shared" si="179"/>
        <v>0.26666666666666661</v>
      </c>
      <c r="K290" s="338">
        <f t="shared" si="179"/>
        <v>0.27333333333333326</v>
      </c>
      <c r="L290" s="338">
        <f t="shared" si="179"/>
        <v>0.27999999999999992</v>
      </c>
      <c r="M290" s="338">
        <f t="shared" si="179"/>
        <v>0.28666666666666657</v>
      </c>
      <c r="N290" s="338">
        <f t="shared" si="179"/>
        <v>0.29333333333333322</v>
      </c>
      <c r="O290" s="338">
        <f t="shared" si="179"/>
        <v>0.29999999999999988</v>
      </c>
      <c r="P290" s="338">
        <f t="shared" si="179"/>
        <v>0.30666666666666653</v>
      </c>
      <c r="Q290" s="338">
        <f t="shared" si="179"/>
        <v>0.31333333333333319</v>
      </c>
      <c r="R290" s="338">
        <f t="shared" si="179"/>
        <v>0.31999999999999984</v>
      </c>
      <c r="S290" s="338">
        <f t="shared" si="179"/>
        <v>0.32666666666666649</v>
      </c>
      <c r="T290" s="338">
        <f t="shared" si="179"/>
        <v>0.33333333333333315</v>
      </c>
      <c r="U290" s="338">
        <f t="shared" si="180"/>
        <v>0.3399999999999998</v>
      </c>
      <c r="V290" s="338">
        <f t="shared" si="180"/>
        <v>0.34666666666666646</v>
      </c>
      <c r="W290" s="338">
        <f t="shared" si="180"/>
        <v>0.35333333333333311</v>
      </c>
      <c r="X290" s="338">
        <f t="shared" si="180"/>
        <v>0.35999999999999976</v>
      </c>
      <c r="Y290" s="338">
        <f t="shared" si="180"/>
        <v>0.36666666666666642</v>
      </c>
      <c r="Z290" s="338">
        <f t="shared" si="180"/>
        <v>0.37333333333333307</v>
      </c>
      <c r="AA290" s="338">
        <f t="shared" si="180"/>
        <v>0.37999999999999973</v>
      </c>
      <c r="AB290" s="338">
        <f t="shared" si="180"/>
        <v>0.38666666666666638</v>
      </c>
      <c r="AC290" s="338">
        <f t="shared" si="180"/>
        <v>0.39333333333333304</v>
      </c>
      <c r="AD290" s="338">
        <f t="shared" si="180"/>
        <v>0.39999999999999969</v>
      </c>
      <c r="AE290" s="338">
        <f t="shared" si="180"/>
        <v>0.40666666666666634</v>
      </c>
      <c r="AF290" s="338">
        <f t="shared" si="180"/>
        <v>0.413333333333333</v>
      </c>
      <c r="AG290" s="337">
        <v>0.42</v>
      </c>
      <c r="AI290" s="305"/>
      <c r="AJ290" s="339" t="s">
        <v>1363</v>
      </c>
    </row>
    <row r="291" spans="1:36" s="62" customFormat="1" outlineLevel="1" x14ac:dyDescent="0.2">
      <c r="A291" s="311" t="s">
        <v>1369</v>
      </c>
      <c r="B291" s="312" t="s">
        <v>462</v>
      </c>
      <c r="C291" s="340">
        <f>1-C290</f>
        <v>0.78</v>
      </c>
      <c r="D291" s="340">
        <f t="shared" ref="D291:AG291" si="181">1-D290</f>
        <v>0.77333333333333332</v>
      </c>
      <c r="E291" s="340">
        <f t="shared" si="181"/>
        <v>0.76666666666666672</v>
      </c>
      <c r="F291" s="340">
        <f t="shared" si="181"/>
        <v>0.76</v>
      </c>
      <c r="G291" s="340">
        <f t="shared" si="181"/>
        <v>0.75333333333333341</v>
      </c>
      <c r="H291" s="340">
        <f t="shared" si="181"/>
        <v>0.7466666666666667</v>
      </c>
      <c r="I291" s="340">
        <f t="shared" si="181"/>
        <v>0.74</v>
      </c>
      <c r="J291" s="340">
        <f t="shared" si="181"/>
        <v>0.73333333333333339</v>
      </c>
      <c r="K291" s="340">
        <f t="shared" si="181"/>
        <v>0.72666666666666679</v>
      </c>
      <c r="L291" s="340">
        <f t="shared" si="181"/>
        <v>0.72000000000000008</v>
      </c>
      <c r="M291" s="340">
        <f t="shared" si="181"/>
        <v>0.71333333333333337</v>
      </c>
      <c r="N291" s="340">
        <f t="shared" si="181"/>
        <v>0.70666666666666678</v>
      </c>
      <c r="O291" s="340">
        <f t="shared" si="181"/>
        <v>0.70000000000000018</v>
      </c>
      <c r="P291" s="340">
        <f t="shared" si="181"/>
        <v>0.69333333333333347</v>
      </c>
      <c r="Q291" s="340">
        <f t="shared" si="181"/>
        <v>0.68666666666666676</v>
      </c>
      <c r="R291" s="340">
        <f t="shared" si="181"/>
        <v>0.68000000000000016</v>
      </c>
      <c r="S291" s="340">
        <f t="shared" si="181"/>
        <v>0.67333333333333356</v>
      </c>
      <c r="T291" s="340">
        <f t="shared" si="181"/>
        <v>0.66666666666666685</v>
      </c>
      <c r="U291" s="340">
        <f t="shared" si="181"/>
        <v>0.66000000000000014</v>
      </c>
      <c r="V291" s="340">
        <f t="shared" si="181"/>
        <v>0.65333333333333354</v>
      </c>
      <c r="W291" s="340">
        <f t="shared" si="181"/>
        <v>0.64666666666666694</v>
      </c>
      <c r="X291" s="340">
        <f t="shared" si="181"/>
        <v>0.64000000000000024</v>
      </c>
      <c r="Y291" s="340">
        <f t="shared" si="181"/>
        <v>0.63333333333333353</v>
      </c>
      <c r="Z291" s="340">
        <f t="shared" si="181"/>
        <v>0.62666666666666693</v>
      </c>
      <c r="AA291" s="340">
        <f t="shared" si="181"/>
        <v>0.62000000000000033</v>
      </c>
      <c r="AB291" s="340">
        <f t="shared" si="181"/>
        <v>0.61333333333333362</v>
      </c>
      <c r="AC291" s="340">
        <f t="shared" si="181"/>
        <v>0.60666666666666691</v>
      </c>
      <c r="AD291" s="340">
        <f t="shared" si="181"/>
        <v>0.60000000000000031</v>
      </c>
      <c r="AE291" s="340">
        <f t="shared" si="181"/>
        <v>0.59333333333333371</v>
      </c>
      <c r="AF291" s="340">
        <f t="shared" si="181"/>
        <v>0.586666666666667</v>
      </c>
      <c r="AG291" s="340">
        <f t="shared" si="181"/>
        <v>0.58000000000000007</v>
      </c>
      <c r="AI291" s="342"/>
      <c r="AJ291" s="341" t="s">
        <v>1363</v>
      </c>
    </row>
    <row r="292" spans="1:36" s="1" customFormat="1" outlineLevel="1" x14ac:dyDescent="0.2">
      <c r="A292" t="s">
        <v>1370</v>
      </c>
      <c r="B292" s="302" t="s">
        <v>462</v>
      </c>
      <c r="C292" s="296">
        <v>0.95</v>
      </c>
      <c r="D292" s="317">
        <f t="shared" ref="D292:S307" si="182">-($C292-$AG292)/30+C292</f>
        <v>0.94499999999999995</v>
      </c>
      <c r="E292" s="317">
        <f t="shared" si="182"/>
        <v>0.94</v>
      </c>
      <c r="F292" s="317">
        <f t="shared" si="182"/>
        <v>0.93499999999999994</v>
      </c>
      <c r="G292" s="317">
        <f t="shared" si="182"/>
        <v>0.92999999999999994</v>
      </c>
      <c r="H292" s="317">
        <f t="shared" si="182"/>
        <v>0.92499999999999993</v>
      </c>
      <c r="I292" s="317">
        <f t="shared" si="182"/>
        <v>0.91999999999999993</v>
      </c>
      <c r="J292" s="317">
        <f t="shared" si="182"/>
        <v>0.91499999999999992</v>
      </c>
      <c r="K292" s="317">
        <f t="shared" si="182"/>
        <v>0.90999999999999992</v>
      </c>
      <c r="L292" s="317">
        <f t="shared" si="182"/>
        <v>0.90499999999999992</v>
      </c>
      <c r="M292" s="317">
        <f t="shared" si="182"/>
        <v>0.89999999999999991</v>
      </c>
      <c r="N292" s="317">
        <f t="shared" si="182"/>
        <v>0.89499999999999991</v>
      </c>
      <c r="O292" s="317">
        <f t="shared" si="182"/>
        <v>0.8899999999999999</v>
      </c>
      <c r="P292" s="317">
        <f t="shared" si="182"/>
        <v>0.8849999999999999</v>
      </c>
      <c r="Q292" s="317">
        <f t="shared" si="182"/>
        <v>0.87999999999999989</v>
      </c>
      <c r="R292" s="317">
        <f t="shared" si="182"/>
        <v>0.87499999999999989</v>
      </c>
      <c r="S292" s="317">
        <f t="shared" si="182"/>
        <v>0.86999999999999988</v>
      </c>
      <c r="T292" s="317">
        <f t="shared" ref="T292:AF306" si="183">-($C292-$AG292)/30+S292</f>
        <v>0.86499999999999988</v>
      </c>
      <c r="U292" s="317">
        <f t="shared" si="183"/>
        <v>0.85999999999999988</v>
      </c>
      <c r="V292" s="317">
        <f t="shared" si="183"/>
        <v>0.85499999999999987</v>
      </c>
      <c r="W292" s="317">
        <f t="shared" si="183"/>
        <v>0.84999999999999987</v>
      </c>
      <c r="X292" s="317">
        <f t="shared" si="183"/>
        <v>0.84499999999999986</v>
      </c>
      <c r="Y292" s="317">
        <f t="shared" si="183"/>
        <v>0.83999999999999986</v>
      </c>
      <c r="Z292" s="317">
        <f t="shared" si="183"/>
        <v>0.83499999999999985</v>
      </c>
      <c r="AA292" s="317">
        <f t="shared" si="183"/>
        <v>0.82999999999999985</v>
      </c>
      <c r="AB292" s="317">
        <f t="shared" si="183"/>
        <v>0.82499999999999984</v>
      </c>
      <c r="AC292" s="317">
        <f t="shared" si="183"/>
        <v>0.81999999999999984</v>
      </c>
      <c r="AD292" s="317">
        <f t="shared" si="183"/>
        <v>0.81499999999999984</v>
      </c>
      <c r="AE292" s="317">
        <f t="shared" si="183"/>
        <v>0.80999999999999983</v>
      </c>
      <c r="AF292" s="317">
        <f t="shared" si="183"/>
        <v>0.80499999999999983</v>
      </c>
      <c r="AG292" s="296">
        <v>0.8</v>
      </c>
      <c r="AI292" s="316"/>
      <c r="AJ292" s="211" t="s">
        <v>1363</v>
      </c>
    </row>
    <row r="293" spans="1:36" s="1" customFormat="1" outlineLevel="1" x14ac:dyDescent="0.2">
      <c r="A293" t="s">
        <v>1371</v>
      </c>
      <c r="B293" s="302" t="s">
        <v>462</v>
      </c>
      <c r="C293" s="296">
        <v>0.05</v>
      </c>
      <c r="D293" s="317">
        <f t="shared" si="182"/>
        <v>5.5000000000000007E-2</v>
      </c>
      <c r="E293" s="317">
        <f t="shared" si="182"/>
        <v>6.0000000000000012E-2</v>
      </c>
      <c r="F293" s="317">
        <f t="shared" si="182"/>
        <v>6.5000000000000016E-2</v>
      </c>
      <c r="G293" s="317">
        <f t="shared" si="182"/>
        <v>7.0000000000000021E-2</v>
      </c>
      <c r="H293" s="317">
        <f t="shared" si="182"/>
        <v>7.5000000000000025E-2</v>
      </c>
      <c r="I293" s="317">
        <f t="shared" si="182"/>
        <v>8.0000000000000029E-2</v>
      </c>
      <c r="J293" s="317">
        <f t="shared" si="182"/>
        <v>8.5000000000000034E-2</v>
      </c>
      <c r="K293" s="317">
        <f t="shared" si="182"/>
        <v>9.0000000000000038E-2</v>
      </c>
      <c r="L293" s="317">
        <f t="shared" si="182"/>
        <v>9.5000000000000043E-2</v>
      </c>
      <c r="M293" s="317">
        <f t="shared" si="182"/>
        <v>0.10000000000000005</v>
      </c>
      <c r="N293" s="317">
        <f t="shared" si="182"/>
        <v>0.10500000000000005</v>
      </c>
      <c r="O293" s="317">
        <f t="shared" si="182"/>
        <v>0.11000000000000006</v>
      </c>
      <c r="P293" s="317">
        <f t="shared" si="182"/>
        <v>0.11500000000000006</v>
      </c>
      <c r="Q293" s="317">
        <f t="shared" si="182"/>
        <v>0.12000000000000006</v>
      </c>
      <c r="R293" s="317">
        <f t="shared" si="182"/>
        <v>0.12500000000000006</v>
      </c>
      <c r="S293" s="317">
        <f t="shared" si="182"/>
        <v>0.13000000000000006</v>
      </c>
      <c r="T293" s="317">
        <f t="shared" si="183"/>
        <v>0.13500000000000006</v>
      </c>
      <c r="U293" s="317">
        <f t="shared" si="183"/>
        <v>0.14000000000000007</v>
      </c>
      <c r="V293" s="317">
        <f t="shared" si="183"/>
        <v>0.14500000000000007</v>
      </c>
      <c r="W293" s="317">
        <f t="shared" si="183"/>
        <v>0.15000000000000008</v>
      </c>
      <c r="X293" s="317">
        <f t="shared" si="183"/>
        <v>0.15500000000000008</v>
      </c>
      <c r="Y293" s="317">
        <f t="shared" si="183"/>
        <v>0.16000000000000009</v>
      </c>
      <c r="Z293" s="317">
        <f t="shared" si="183"/>
        <v>0.16500000000000009</v>
      </c>
      <c r="AA293" s="317">
        <f t="shared" si="183"/>
        <v>0.1700000000000001</v>
      </c>
      <c r="AB293" s="317">
        <f t="shared" si="183"/>
        <v>0.1750000000000001</v>
      </c>
      <c r="AC293" s="317">
        <f t="shared" si="183"/>
        <v>0.1800000000000001</v>
      </c>
      <c r="AD293" s="317">
        <f t="shared" si="183"/>
        <v>0.18500000000000011</v>
      </c>
      <c r="AE293" s="317">
        <f t="shared" si="183"/>
        <v>0.19000000000000011</v>
      </c>
      <c r="AF293" s="317">
        <f t="shared" si="183"/>
        <v>0.19500000000000012</v>
      </c>
      <c r="AG293" s="296">
        <v>0.2</v>
      </c>
      <c r="AI293" s="435" t="s">
        <v>1506</v>
      </c>
      <c r="AJ293" s="211" t="s">
        <v>1363</v>
      </c>
    </row>
    <row r="294" spans="1:36" s="1" customFormat="1" outlineLevel="1" x14ac:dyDescent="0.2">
      <c r="A294" t="s">
        <v>1372</v>
      </c>
      <c r="B294" s="302" t="s">
        <v>462</v>
      </c>
      <c r="C294" s="296">
        <v>0.15</v>
      </c>
      <c r="D294" s="317">
        <f t="shared" si="182"/>
        <v>0.15633333333333332</v>
      </c>
      <c r="E294" s="317">
        <f t="shared" si="182"/>
        <v>0.16266666666666665</v>
      </c>
      <c r="F294" s="317">
        <f t="shared" si="182"/>
        <v>0.16899999999999998</v>
      </c>
      <c r="G294" s="317">
        <f t="shared" si="182"/>
        <v>0.17533333333333331</v>
      </c>
      <c r="H294" s="317">
        <f t="shared" si="182"/>
        <v>0.18166666666666664</v>
      </c>
      <c r="I294" s="317">
        <f t="shared" si="182"/>
        <v>0.18799999999999997</v>
      </c>
      <c r="J294" s="317">
        <f t="shared" si="182"/>
        <v>0.1943333333333333</v>
      </c>
      <c r="K294" s="317">
        <f t="shared" si="182"/>
        <v>0.20066666666666663</v>
      </c>
      <c r="L294" s="317">
        <f t="shared" si="182"/>
        <v>0.20699999999999996</v>
      </c>
      <c r="M294" s="317">
        <f t="shared" si="182"/>
        <v>0.21333333333333329</v>
      </c>
      <c r="N294" s="317">
        <f t="shared" si="182"/>
        <v>0.21966666666666662</v>
      </c>
      <c r="O294" s="317">
        <f t="shared" si="182"/>
        <v>0.22599999999999995</v>
      </c>
      <c r="P294" s="317">
        <f t="shared" si="182"/>
        <v>0.23233333333333328</v>
      </c>
      <c r="Q294" s="317">
        <f t="shared" si="182"/>
        <v>0.23866666666666661</v>
      </c>
      <c r="R294" s="317">
        <f t="shared" si="182"/>
        <v>0.24499999999999994</v>
      </c>
      <c r="S294" s="317">
        <f t="shared" si="182"/>
        <v>0.2513333333333333</v>
      </c>
      <c r="T294" s="317">
        <f t="shared" si="183"/>
        <v>0.25766666666666665</v>
      </c>
      <c r="U294" s="317">
        <f t="shared" si="183"/>
        <v>0.26400000000000001</v>
      </c>
      <c r="V294" s="317">
        <f t="shared" si="183"/>
        <v>0.27033333333333337</v>
      </c>
      <c r="W294" s="317">
        <f t="shared" si="183"/>
        <v>0.27666666666666673</v>
      </c>
      <c r="X294" s="317">
        <f t="shared" si="183"/>
        <v>0.28300000000000008</v>
      </c>
      <c r="Y294" s="317">
        <f t="shared" si="183"/>
        <v>0.28933333333333344</v>
      </c>
      <c r="Z294" s="317">
        <f t="shared" si="183"/>
        <v>0.2956666666666668</v>
      </c>
      <c r="AA294" s="317">
        <f t="shared" si="183"/>
        <v>0.30200000000000016</v>
      </c>
      <c r="AB294" s="317">
        <f t="shared" si="183"/>
        <v>0.30833333333333351</v>
      </c>
      <c r="AC294" s="317">
        <f t="shared" si="183"/>
        <v>0.31466666666666687</v>
      </c>
      <c r="AD294" s="317">
        <f t="shared" si="183"/>
        <v>0.32100000000000023</v>
      </c>
      <c r="AE294" s="317">
        <f t="shared" si="183"/>
        <v>0.32733333333333359</v>
      </c>
      <c r="AF294" s="317">
        <f t="shared" si="183"/>
        <v>0.33366666666666694</v>
      </c>
      <c r="AG294" s="296">
        <v>0.34</v>
      </c>
      <c r="AI294" s="316"/>
      <c r="AJ294" s="211" t="s">
        <v>1363</v>
      </c>
    </row>
    <row r="295" spans="1:36" s="1" customFormat="1" outlineLevel="1" x14ac:dyDescent="0.2">
      <c r="A295" t="s">
        <v>1373</v>
      </c>
      <c r="B295" s="302" t="s">
        <v>462</v>
      </c>
      <c r="C295" s="296">
        <v>0.85</v>
      </c>
      <c r="D295" s="317">
        <f t="shared" si="182"/>
        <v>0.84366666666666668</v>
      </c>
      <c r="E295" s="317">
        <f t="shared" si="182"/>
        <v>0.83733333333333337</v>
      </c>
      <c r="F295" s="317">
        <f t="shared" si="182"/>
        <v>0.83100000000000007</v>
      </c>
      <c r="G295" s="317">
        <f t="shared" si="182"/>
        <v>0.82466666666666677</v>
      </c>
      <c r="H295" s="317">
        <f t="shared" si="182"/>
        <v>0.81833333333333347</v>
      </c>
      <c r="I295" s="317">
        <f t="shared" si="182"/>
        <v>0.81200000000000017</v>
      </c>
      <c r="J295" s="317">
        <f t="shared" si="182"/>
        <v>0.80566666666666686</v>
      </c>
      <c r="K295" s="317">
        <f t="shared" si="182"/>
        <v>0.79933333333333356</v>
      </c>
      <c r="L295" s="317">
        <f t="shared" si="182"/>
        <v>0.79300000000000026</v>
      </c>
      <c r="M295" s="317">
        <f t="shared" si="182"/>
        <v>0.78666666666666696</v>
      </c>
      <c r="N295" s="317">
        <f t="shared" si="182"/>
        <v>0.78033333333333366</v>
      </c>
      <c r="O295" s="317">
        <f t="shared" si="182"/>
        <v>0.77400000000000035</v>
      </c>
      <c r="P295" s="317">
        <f t="shared" si="182"/>
        <v>0.76766666666666705</v>
      </c>
      <c r="Q295" s="317">
        <f t="shared" si="182"/>
        <v>0.76133333333333375</v>
      </c>
      <c r="R295" s="317">
        <f t="shared" si="182"/>
        <v>0.75500000000000045</v>
      </c>
      <c r="S295" s="317">
        <f t="shared" si="182"/>
        <v>0.74866666666666715</v>
      </c>
      <c r="T295" s="317">
        <f t="shared" si="183"/>
        <v>0.74233333333333384</v>
      </c>
      <c r="U295" s="317">
        <f t="shared" si="183"/>
        <v>0.73600000000000054</v>
      </c>
      <c r="V295" s="317">
        <f t="shared" si="183"/>
        <v>0.72966666666666724</v>
      </c>
      <c r="W295" s="317">
        <f t="shared" si="183"/>
        <v>0.72333333333333394</v>
      </c>
      <c r="X295" s="317">
        <f t="shared" si="183"/>
        <v>0.71700000000000064</v>
      </c>
      <c r="Y295" s="317">
        <f t="shared" si="183"/>
        <v>0.71066666666666733</v>
      </c>
      <c r="Z295" s="317">
        <f t="shared" si="183"/>
        <v>0.70433333333333403</v>
      </c>
      <c r="AA295" s="317">
        <f t="shared" si="183"/>
        <v>0.69800000000000073</v>
      </c>
      <c r="AB295" s="317">
        <f t="shared" si="183"/>
        <v>0.69166666666666743</v>
      </c>
      <c r="AC295" s="317">
        <f t="shared" si="183"/>
        <v>0.68533333333333413</v>
      </c>
      <c r="AD295" s="317">
        <f t="shared" si="183"/>
        <v>0.67900000000000083</v>
      </c>
      <c r="AE295" s="317">
        <f t="shared" si="183"/>
        <v>0.67266666666666752</v>
      </c>
      <c r="AF295" s="317">
        <f t="shared" si="183"/>
        <v>0.66633333333333422</v>
      </c>
      <c r="AG295" s="296">
        <v>0.66</v>
      </c>
      <c r="AI295" s="316"/>
      <c r="AJ295" s="211" t="s">
        <v>1363</v>
      </c>
    </row>
    <row r="296" spans="1:36" s="1" customFormat="1" outlineLevel="1" x14ac:dyDescent="0.2">
      <c r="A296" t="s">
        <v>1374</v>
      </c>
      <c r="B296" s="302" t="s">
        <v>462</v>
      </c>
      <c r="C296" s="296">
        <v>0</v>
      </c>
      <c r="D296" s="317">
        <f t="shared" si="182"/>
        <v>0</v>
      </c>
      <c r="E296" s="317">
        <f t="shared" si="182"/>
        <v>0</v>
      </c>
      <c r="F296" s="317">
        <f t="shared" si="182"/>
        <v>0</v>
      </c>
      <c r="G296" s="317">
        <f t="shared" si="182"/>
        <v>0</v>
      </c>
      <c r="H296" s="317">
        <f t="shared" si="182"/>
        <v>0</v>
      </c>
      <c r="I296" s="317">
        <f t="shared" si="182"/>
        <v>0</v>
      </c>
      <c r="J296" s="317">
        <f t="shared" si="182"/>
        <v>0</v>
      </c>
      <c r="K296" s="317">
        <f t="shared" si="182"/>
        <v>0</v>
      </c>
      <c r="L296" s="317">
        <f t="shared" si="182"/>
        <v>0</v>
      </c>
      <c r="M296" s="317">
        <f t="shared" si="182"/>
        <v>0</v>
      </c>
      <c r="N296" s="317">
        <f t="shared" si="182"/>
        <v>0</v>
      </c>
      <c r="O296" s="317">
        <f t="shared" si="182"/>
        <v>0</v>
      </c>
      <c r="P296" s="317">
        <f t="shared" si="182"/>
        <v>0</v>
      </c>
      <c r="Q296" s="317">
        <f t="shared" si="182"/>
        <v>0</v>
      </c>
      <c r="R296" s="317">
        <f t="shared" si="182"/>
        <v>0</v>
      </c>
      <c r="S296" s="317">
        <f t="shared" si="182"/>
        <v>0</v>
      </c>
      <c r="T296" s="317">
        <f t="shared" si="183"/>
        <v>0</v>
      </c>
      <c r="U296" s="317">
        <f t="shared" si="183"/>
        <v>0</v>
      </c>
      <c r="V296" s="317">
        <f t="shared" si="183"/>
        <v>0</v>
      </c>
      <c r="W296" s="317">
        <f t="shared" si="183"/>
        <v>0</v>
      </c>
      <c r="X296" s="317">
        <f t="shared" si="183"/>
        <v>0</v>
      </c>
      <c r="Y296" s="317">
        <f t="shared" si="183"/>
        <v>0</v>
      </c>
      <c r="Z296" s="317">
        <f t="shared" si="183"/>
        <v>0</v>
      </c>
      <c r="AA296" s="317">
        <f t="shared" si="183"/>
        <v>0</v>
      </c>
      <c r="AB296" s="317">
        <f t="shared" si="183"/>
        <v>0</v>
      </c>
      <c r="AC296" s="317">
        <f t="shared" si="183"/>
        <v>0</v>
      </c>
      <c r="AD296" s="317">
        <f t="shared" si="183"/>
        <v>0</v>
      </c>
      <c r="AE296" s="317">
        <f t="shared" si="183"/>
        <v>0</v>
      </c>
      <c r="AF296" s="317">
        <f t="shared" si="183"/>
        <v>0</v>
      </c>
      <c r="AG296" s="296">
        <v>0</v>
      </c>
      <c r="AI296" s="316"/>
      <c r="AJ296" s="211" t="s">
        <v>1363</v>
      </c>
    </row>
    <row r="297" spans="1:36" s="1" customFormat="1" outlineLevel="1" x14ac:dyDescent="0.2">
      <c r="A297" t="s">
        <v>1375</v>
      </c>
      <c r="B297" s="302" t="s">
        <v>462</v>
      </c>
      <c r="C297" s="296">
        <v>1</v>
      </c>
      <c r="D297" s="317">
        <f t="shared" si="182"/>
        <v>1</v>
      </c>
      <c r="E297" s="317">
        <f t="shared" si="182"/>
        <v>1</v>
      </c>
      <c r="F297" s="317">
        <f t="shared" si="182"/>
        <v>1</v>
      </c>
      <c r="G297" s="317">
        <f t="shared" si="182"/>
        <v>1</v>
      </c>
      <c r="H297" s="317">
        <f t="shared" si="182"/>
        <v>1</v>
      </c>
      <c r="I297" s="317">
        <f t="shared" si="182"/>
        <v>1</v>
      </c>
      <c r="J297" s="317">
        <f t="shared" si="182"/>
        <v>1</v>
      </c>
      <c r="K297" s="317">
        <f t="shared" si="182"/>
        <v>1</v>
      </c>
      <c r="L297" s="317">
        <f t="shared" si="182"/>
        <v>1</v>
      </c>
      <c r="M297" s="317">
        <f t="shared" si="182"/>
        <v>1</v>
      </c>
      <c r="N297" s="317">
        <f t="shared" si="182"/>
        <v>1</v>
      </c>
      <c r="O297" s="317">
        <f t="shared" si="182"/>
        <v>1</v>
      </c>
      <c r="P297" s="317">
        <f t="shared" si="182"/>
        <v>1</v>
      </c>
      <c r="Q297" s="317">
        <f t="shared" si="182"/>
        <v>1</v>
      </c>
      <c r="R297" s="317">
        <f t="shared" si="182"/>
        <v>1</v>
      </c>
      <c r="S297" s="317">
        <f t="shared" si="182"/>
        <v>1</v>
      </c>
      <c r="T297" s="317">
        <f t="shared" si="183"/>
        <v>1</v>
      </c>
      <c r="U297" s="317">
        <f t="shared" si="183"/>
        <v>1</v>
      </c>
      <c r="V297" s="317">
        <f t="shared" si="183"/>
        <v>1</v>
      </c>
      <c r="W297" s="317">
        <f t="shared" si="183"/>
        <v>1</v>
      </c>
      <c r="X297" s="317">
        <f t="shared" si="183"/>
        <v>1</v>
      </c>
      <c r="Y297" s="317">
        <f t="shared" si="183"/>
        <v>1</v>
      </c>
      <c r="Z297" s="317">
        <f t="shared" si="183"/>
        <v>1</v>
      </c>
      <c r="AA297" s="317">
        <f t="shared" si="183"/>
        <v>1</v>
      </c>
      <c r="AB297" s="317">
        <f t="shared" si="183"/>
        <v>1</v>
      </c>
      <c r="AC297" s="317">
        <f t="shared" si="183"/>
        <v>1</v>
      </c>
      <c r="AD297" s="317">
        <f t="shared" si="183"/>
        <v>1</v>
      </c>
      <c r="AE297" s="317">
        <f t="shared" si="183"/>
        <v>1</v>
      </c>
      <c r="AF297" s="317">
        <f t="shared" si="183"/>
        <v>1</v>
      </c>
      <c r="AG297" s="296">
        <v>1</v>
      </c>
      <c r="AI297" s="316"/>
      <c r="AJ297" s="211" t="s">
        <v>1363</v>
      </c>
    </row>
    <row r="298" spans="1:36" s="1" customFormat="1" outlineLevel="1" x14ac:dyDescent="0.2">
      <c r="A298" t="s">
        <v>1376</v>
      </c>
      <c r="B298" s="302" t="s">
        <v>462</v>
      </c>
      <c r="C298" s="296">
        <v>0.8</v>
      </c>
      <c r="D298" s="317">
        <f t="shared" si="182"/>
        <v>0.80333333333333334</v>
      </c>
      <c r="E298" s="317">
        <f t="shared" si="182"/>
        <v>0.80666666666666664</v>
      </c>
      <c r="F298" s="317">
        <f t="shared" si="182"/>
        <v>0.80999999999999994</v>
      </c>
      <c r="G298" s="317">
        <f t="shared" si="182"/>
        <v>0.81333333333333324</v>
      </c>
      <c r="H298" s="317">
        <f t="shared" si="182"/>
        <v>0.81666666666666654</v>
      </c>
      <c r="I298" s="317">
        <f t="shared" si="182"/>
        <v>0.81999999999999984</v>
      </c>
      <c r="J298" s="317">
        <f t="shared" si="182"/>
        <v>0.82333333333333314</v>
      </c>
      <c r="K298" s="317">
        <f t="shared" si="182"/>
        <v>0.82666666666666644</v>
      </c>
      <c r="L298" s="317">
        <f t="shared" si="182"/>
        <v>0.82999999999999974</v>
      </c>
      <c r="M298" s="317">
        <f t="shared" si="182"/>
        <v>0.83333333333333304</v>
      </c>
      <c r="N298" s="317">
        <f t="shared" si="182"/>
        <v>0.83666666666666634</v>
      </c>
      <c r="O298" s="317">
        <f t="shared" si="182"/>
        <v>0.83999999999999964</v>
      </c>
      <c r="P298" s="317">
        <f t="shared" si="182"/>
        <v>0.84333333333333294</v>
      </c>
      <c r="Q298" s="317">
        <f t="shared" si="182"/>
        <v>0.84666666666666623</v>
      </c>
      <c r="R298" s="317">
        <f t="shared" si="182"/>
        <v>0.84999999999999953</v>
      </c>
      <c r="S298" s="317">
        <f t="shared" si="182"/>
        <v>0.85333333333333283</v>
      </c>
      <c r="T298" s="317">
        <f t="shared" si="183"/>
        <v>0.85666666666666613</v>
      </c>
      <c r="U298" s="317">
        <f t="shared" si="183"/>
        <v>0.85999999999999943</v>
      </c>
      <c r="V298" s="317">
        <f t="shared" si="183"/>
        <v>0.86333333333333273</v>
      </c>
      <c r="W298" s="317">
        <f t="shared" si="183"/>
        <v>0.86666666666666603</v>
      </c>
      <c r="X298" s="317">
        <f t="shared" si="183"/>
        <v>0.86999999999999933</v>
      </c>
      <c r="Y298" s="317">
        <f t="shared" si="183"/>
        <v>0.87333333333333263</v>
      </c>
      <c r="Z298" s="317">
        <f t="shared" si="183"/>
        <v>0.87666666666666593</v>
      </c>
      <c r="AA298" s="317">
        <f t="shared" si="183"/>
        <v>0.87999999999999923</v>
      </c>
      <c r="AB298" s="317">
        <f t="shared" si="183"/>
        <v>0.88333333333333253</v>
      </c>
      <c r="AC298" s="317">
        <f t="shared" si="183"/>
        <v>0.88666666666666583</v>
      </c>
      <c r="AD298" s="317">
        <f t="shared" si="183"/>
        <v>0.88999999999999913</v>
      </c>
      <c r="AE298" s="317">
        <f t="shared" si="183"/>
        <v>0.89333333333333242</v>
      </c>
      <c r="AF298" s="317">
        <f t="shared" si="183"/>
        <v>0.89666666666666572</v>
      </c>
      <c r="AG298" s="296">
        <v>0.9</v>
      </c>
      <c r="AI298" s="316"/>
      <c r="AJ298" s="211" t="s">
        <v>1363</v>
      </c>
    </row>
    <row r="299" spans="1:36" s="1" customFormat="1" outlineLevel="1" x14ac:dyDescent="0.2">
      <c r="A299" t="s">
        <v>1377</v>
      </c>
      <c r="B299" s="302" t="s">
        <v>462</v>
      </c>
      <c r="C299" s="296">
        <v>0.2</v>
      </c>
      <c r="D299" s="317">
        <f t="shared" si="182"/>
        <v>0.19666666666666668</v>
      </c>
      <c r="E299" s="317">
        <f t="shared" si="182"/>
        <v>0.19333333333333336</v>
      </c>
      <c r="F299" s="317">
        <f t="shared" si="182"/>
        <v>0.19000000000000003</v>
      </c>
      <c r="G299" s="317">
        <f t="shared" si="182"/>
        <v>0.1866666666666667</v>
      </c>
      <c r="H299" s="317">
        <f t="shared" si="182"/>
        <v>0.18333333333333338</v>
      </c>
      <c r="I299" s="317">
        <f t="shared" si="182"/>
        <v>0.18000000000000005</v>
      </c>
      <c r="J299" s="317">
        <f t="shared" si="182"/>
        <v>0.17666666666666672</v>
      </c>
      <c r="K299" s="317">
        <f t="shared" si="182"/>
        <v>0.17333333333333339</v>
      </c>
      <c r="L299" s="317">
        <f t="shared" si="182"/>
        <v>0.17000000000000007</v>
      </c>
      <c r="M299" s="317">
        <f t="shared" si="182"/>
        <v>0.16666666666666674</v>
      </c>
      <c r="N299" s="317">
        <f t="shared" si="182"/>
        <v>0.16333333333333341</v>
      </c>
      <c r="O299" s="317">
        <f t="shared" si="182"/>
        <v>0.16000000000000009</v>
      </c>
      <c r="P299" s="317">
        <f t="shared" si="182"/>
        <v>0.15666666666666676</v>
      </c>
      <c r="Q299" s="317">
        <f t="shared" si="182"/>
        <v>0.15333333333333343</v>
      </c>
      <c r="R299" s="317">
        <f t="shared" si="182"/>
        <v>0.15000000000000011</v>
      </c>
      <c r="S299" s="317">
        <f t="shared" si="182"/>
        <v>0.14666666666666678</v>
      </c>
      <c r="T299" s="317">
        <f t="shared" si="183"/>
        <v>0.14333333333333345</v>
      </c>
      <c r="U299" s="317">
        <f t="shared" si="183"/>
        <v>0.14000000000000012</v>
      </c>
      <c r="V299" s="317">
        <f t="shared" si="183"/>
        <v>0.1366666666666668</v>
      </c>
      <c r="W299" s="317">
        <f t="shared" si="183"/>
        <v>0.13333333333333347</v>
      </c>
      <c r="X299" s="317">
        <f t="shared" si="183"/>
        <v>0.13000000000000014</v>
      </c>
      <c r="Y299" s="317">
        <f t="shared" si="183"/>
        <v>0.12666666666666682</v>
      </c>
      <c r="Z299" s="317">
        <f t="shared" si="183"/>
        <v>0.12333333333333349</v>
      </c>
      <c r="AA299" s="317">
        <f t="shared" si="183"/>
        <v>0.12000000000000016</v>
      </c>
      <c r="AB299" s="317">
        <f t="shared" si="183"/>
        <v>0.11666666666666684</v>
      </c>
      <c r="AC299" s="317">
        <f t="shared" si="183"/>
        <v>0.11333333333333351</v>
      </c>
      <c r="AD299" s="317">
        <f t="shared" si="183"/>
        <v>0.11000000000000018</v>
      </c>
      <c r="AE299" s="317">
        <f t="shared" si="183"/>
        <v>0.10666666666666685</v>
      </c>
      <c r="AF299" s="317">
        <f t="shared" si="183"/>
        <v>0.10333333333333353</v>
      </c>
      <c r="AG299" s="296">
        <v>0.1</v>
      </c>
      <c r="AI299" s="316"/>
      <c r="AJ299" s="211" t="s">
        <v>1363</v>
      </c>
    </row>
    <row r="300" spans="1:36" s="1" customFormat="1" outlineLevel="1" x14ac:dyDescent="0.2">
      <c r="A300" t="s">
        <v>1378</v>
      </c>
      <c r="B300" s="302" t="s">
        <v>462</v>
      </c>
      <c r="C300" s="296">
        <v>0.95</v>
      </c>
      <c r="D300" s="317">
        <f t="shared" si="182"/>
        <v>0.94866666666666666</v>
      </c>
      <c r="E300" s="317">
        <f t="shared" si="182"/>
        <v>0.94733333333333336</v>
      </c>
      <c r="F300" s="317">
        <f t="shared" si="182"/>
        <v>0.94600000000000006</v>
      </c>
      <c r="G300" s="317">
        <f t="shared" si="182"/>
        <v>0.94466666666666677</v>
      </c>
      <c r="H300" s="317">
        <f t="shared" si="182"/>
        <v>0.94333333333333347</v>
      </c>
      <c r="I300" s="317">
        <f t="shared" si="182"/>
        <v>0.94200000000000017</v>
      </c>
      <c r="J300" s="317">
        <f t="shared" si="182"/>
        <v>0.94066666666666687</v>
      </c>
      <c r="K300" s="317">
        <f t="shared" si="182"/>
        <v>0.93933333333333358</v>
      </c>
      <c r="L300" s="317">
        <f t="shared" si="182"/>
        <v>0.93800000000000028</v>
      </c>
      <c r="M300" s="317">
        <f t="shared" si="182"/>
        <v>0.93666666666666698</v>
      </c>
      <c r="N300" s="317">
        <f t="shared" si="182"/>
        <v>0.93533333333333368</v>
      </c>
      <c r="O300" s="317">
        <f t="shared" si="182"/>
        <v>0.93400000000000039</v>
      </c>
      <c r="P300" s="317">
        <f t="shared" si="182"/>
        <v>0.93266666666666709</v>
      </c>
      <c r="Q300" s="317">
        <f t="shared" si="182"/>
        <v>0.93133333333333379</v>
      </c>
      <c r="R300" s="317">
        <f t="shared" si="182"/>
        <v>0.93000000000000049</v>
      </c>
      <c r="S300" s="317">
        <f t="shared" si="182"/>
        <v>0.9286666666666672</v>
      </c>
      <c r="T300" s="317">
        <f t="shared" si="183"/>
        <v>0.9273333333333339</v>
      </c>
      <c r="U300" s="317">
        <f t="shared" si="183"/>
        <v>0.9260000000000006</v>
      </c>
      <c r="V300" s="317">
        <f t="shared" si="183"/>
        <v>0.9246666666666673</v>
      </c>
      <c r="W300" s="317">
        <f t="shared" si="183"/>
        <v>0.92333333333333401</v>
      </c>
      <c r="X300" s="317">
        <f t="shared" si="183"/>
        <v>0.92200000000000071</v>
      </c>
      <c r="Y300" s="317">
        <f t="shared" si="183"/>
        <v>0.92066666666666741</v>
      </c>
      <c r="Z300" s="317">
        <f t="shared" si="183"/>
        <v>0.91933333333333411</v>
      </c>
      <c r="AA300" s="317">
        <f t="shared" si="183"/>
        <v>0.91800000000000082</v>
      </c>
      <c r="AB300" s="317">
        <f t="shared" si="183"/>
        <v>0.91666666666666752</v>
      </c>
      <c r="AC300" s="317">
        <f t="shared" si="183"/>
        <v>0.91533333333333422</v>
      </c>
      <c r="AD300" s="317">
        <f t="shared" si="183"/>
        <v>0.91400000000000092</v>
      </c>
      <c r="AE300" s="317">
        <f t="shared" si="183"/>
        <v>0.91266666666666763</v>
      </c>
      <c r="AF300" s="317">
        <f t="shared" si="183"/>
        <v>0.91133333333333433</v>
      </c>
      <c r="AG300" s="296">
        <v>0.91</v>
      </c>
      <c r="AI300" s="316"/>
      <c r="AJ300" s="211" t="s">
        <v>1363</v>
      </c>
    </row>
    <row r="301" spans="1:36" s="1" customFormat="1" outlineLevel="1" x14ac:dyDescent="0.2">
      <c r="A301" t="s">
        <v>1379</v>
      </c>
      <c r="B301" s="302" t="s">
        <v>462</v>
      </c>
      <c r="C301" s="296">
        <v>0.05</v>
      </c>
      <c r="D301" s="317">
        <f t="shared" si="182"/>
        <v>5.1333333333333335E-2</v>
      </c>
      <c r="E301" s="317">
        <f t="shared" si="182"/>
        <v>5.2666666666666667E-2</v>
      </c>
      <c r="F301" s="317">
        <f t="shared" si="182"/>
        <v>5.3999999999999999E-2</v>
      </c>
      <c r="G301" s="317">
        <f t="shared" si="182"/>
        <v>5.5333333333333332E-2</v>
      </c>
      <c r="H301" s="317">
        <f t="shared" si="182"/>
        <v>5.6666666666666664E-2</v>
      </c>
      <c r="I301" s="317">
        <f t="shared" si="182"/>
        <v>5.7999999999999996E-2</v>
      </c>
      <c r="J301" s="317">
        <f t="shared" si="182"/>
        <v>5.9333333333333328E-2</v>
      </c>
      <c r="K301" s="317">
        <f t="shared" si="182"/>
        <v>6.066666666666666E-2</v>
      </c>
      <c r="L301" s="317">
        <f t="shared" si="182"/>
        <v>6.1999999999999993E-2</v>
      </c>
      <c r="M301" s="317">
        <f t="shared" si="182"/>
        <v>6.3333333333333325E-2</v>
      </c>
      <c r="N301" s="317">
        <f t="shared" si="182"/>
        <v>6.4666666666666664E-2</v>
      </c>
      <c r="O301" s="317">
        <f t="shared" si="182"/>
        <v>6.6000000000000003E-2</v>
      </c>
      <c r="P301" s="317">
        <f t="shared" si="182"/>
        <v>6.7333333333333342E-2</v>
      </c>
      <c r="Q301" s="317">
        <f t="shared" si="182"/>
        <v>6.8666666666666681E-2</v>
      </c>
      <c r="R301" s="317">
        <f t="shared" si="182"/>
        <v>7.0000000000000021E-2</v>
      </c>
      <c r="S301" s="317">
        <f t="shared" si="182"/>
        <v>7.133333333333336E-2</v>
      </c>
      <c r="T301" s="317">
        <f t="shared" si="183"/>
        <v>7.2666666666666699E-2</v>
      </c>
      <c r="U301" s="317">
        <f t="shared" si="183"/>
        <v>7.4000000000000038E-2</v>
      </c>
      <c r="V301" s="317">
        <f t="shared" si="183"/>
        <v>7.5333333333333377E-2</v>
      </c>
      <c r="W301" s="317">
        <f t="shared" si="183"/>
        <v>7.6666666666666716E-2</v>
      </c>
      <c r="X301" s="317">
        <f t="shared" si="183"/>
        <v>7.8000000000000055E-2</v>
      </c>
      <c r="Y301" s="317">
        <f t="shared" si="183"/>
        <v>7.9333333333333395E-2</v>
      </c>
      <c r="Z301" s="317">
        <f t="shared" si="183"/>
        <v>8.0666666666666734E-2</v>
      </c>
      <c r="AA301" s="317">
        <f t="shared" si="183"/>
        <v>8.2000000000000073E-2</v>
      </c>
      <c r="AB301" s="317">
        <f t="shared" si="183"/>
        <v>8.3333333333333412E-2</v>
      </c>
      <c r="AC301" s="317">
        <f t="shared" si="183"/>
        <v>8.4666666666666751E-2</v>
      </c>
      <c r="AD301" s="317">
        <f t="shared" si="183"/>
        <v>8.600000000000009E-2</v>
      </c>
      <c r="AE301" s="317">
        <f t="shared" si="183"/>
        <v>8.7333333333333429E-2</v>
      </c>
      <c r="AF301" s="317">
        <f t="shared" si="183"/>
        <v>8.8666666666666769E-2</v>
      </c>
      <c r="AG301" s="296">
        <v>0.09</v>
      </c>
      <c r="AI301" s="316"/>
      <c r="AJ301" s="211" t="s">
        <v>1363</v>
      </c>
    </row>
    <row r="302" spans="1:36" s="1" customFormat="1" outlineLevel="1" x14ac:dyDescent="0.2">
      <c r="A302" t="s">
        <v>1380</v>
      </c>
      <c r="B302" s="302"/>
      <c r="C302" s="296">
        <v>0.27</v>
      </c>
      <c r="D302" s="317">
        <f t="shared" si="182"/>
        <v>0.26600000000000001</v>
      </c>
      <c r="E302" s="317">
        <f t="shared" si="182"/>
        <v>0.26200000000000001</v>
      </c>
      <c r="F302" s="317">
        <f t="shared" si="182"/>
        <v>0.25800000000000001</v>
      </c>
      <c r="G302" s="317">
        <f t="shared" si="182"/>
        <v>0.254</v>
      </c>
      <c r="H302" s="317">
        <f t="shared" si="182"/>
        <v>0.25</v>
      </c>
      <c r="I302" s="317">
        <f t="shared" si="182"/>
        <v>0.246</v>
      </c>
      <c r="J302" s="317">
        <f t="shared" si="182"/>
        <v>0.24199999999999999</v>
      </c>
      <c r="K302" s="317">
        <f t="shared" si="182"/>
        <v>0.23799999999999999</v>
      </c>
      <c r="L302" s="317">
        <f t="shared" si="182"/>
        <v>0.23399999999999999</v>
      </c>
      <c r="M302" s="317">
        <f t="shared" si="182"/>
        <v>0.22999999999999998</v>
      </c>
      <c r="N302" s="317">
        <f t="shared" si="182"/>
        <v>0.22599999999999998</v>
      </c>
      <c r="O302" s="317">
        <f t="shared" si="182"/>
        <v>0.22199999999999998</v>
      </c>
      <c r="P302" s="317">
        <f t="shared" si="182"/>
        <v>0.21799999999999997</v>
      </c>
      <c r="Q302" s="317">
        <f t="shared" si="182"/>
        <v>0.21399999999999997</v>
      </c>
      <c r="R302" s="317">
        <f t="shared" si="182"/>
        <v>0.20999999999999996</v>
      </c>
      <c r="S302" s="317">
        <f t="shared" si="182"/>
        <v>0.20599999999999996</v>
      </c>
      <c r="T302" s="317">
        <f t="shared" si="183"/>
        <v>0.20199999999999996</v>
      </c>
      <c r="U302" s="317">
        <f t="shared" si="183"/>
        <v>0.19799999999999995</v>
      </c>
      <c r="V302" s="317">
        <f t="shared" si="183"/>
        <v>0.19399999999999995</v>
      </c>
      <c r="W302" s="317">
        <f t="shared" si="183"/>
        <v>0.18999999999999995</v>
      </c>
      <c r="X302" s="317">
        <f t="shared" si="183"/>
        <v>0.18599999999999994</v>
      </c>
      <c r="Y302" s="317">
        <f t="shared" si="183"/>
        <v>0.18199999999999994</v>
      </c>
      <c r="Z302" s="317">
        <f t="shared" si="183"/>
        <v>0.17799999999999994</v>
      </c>
      <c r="AA302" s="317">
        <f t="shared" si="183"/>
        <v>0.17399999999999993</v>
      </c>
      <c r="AB302" s="317">
        <f t="shared" si="183"/>
        <v>0.16999999999999993</v>
      </c>
      <c r="AC302" s="317">
        <f t="shared" si="183"/>
        <v>0.16599999999999993</v>
      </c>
      <c r="AD302" s="317">
        <f t="shared" si="183"/>
        <v>0.16199999999999992</v>
      </c>
      <c r="AE302" s="317">
        <f t="shared" si="183"/>
        <v>0.15799999999999992</v>
      </c>
      <c r="AF302" s="317">
        <f t="shared" si="183"/>
        <v>0.15399999999999991</v>
      </c>
      <c r="AG302" s="296">
        <v>0.15</v>
      </c>
      <c r="AI302" s="316"/>
      <c r="AJ302" s="211"/>
    </row>
    <row r="303" spans="1:36" s="67" customFormat="1" outlineLevel="1" x14ac:dyDescent="0.2">
      <c r="A303" s="345" t="s">
        <v>1381</v>
      </c>
      <c r="B303" s="308" t="s">
        <v>462</v>
      </c>
      <c r="C303" s="337">
        <v>0.16</v>
      </c>
      <c r="D303" s="338">
        <f t="shared" si="182"/>
        <v>0.16533333333333333</v>
      </c>
      <c r="E303" s="338">
        <f t="shared" si="182"/>
        <v>0.17066666666666666</v>
      </c>
      <c r="F303" s="338">
        <f t="shared" si="182"/>
        <v>0.17599999999999999</v>
      </c>
      <c r="G303" s="338">
        <f t="shared" si="182"/>
        <v>0.18133333333333332</v>
      </c>
      <c r="H303" s="338">
        <f t="shared" si="182"/>
        <v>0.18666666666666665</v>
      </c>
      <c r="I303" s="338">
        <f t="shared" si="182"/>
        <v>0.19199999999999998</v>
      </c>
      <c r="J303" s="338">
        <f t="shared" si="182"/>
        <v>0.19733333333333331</v>
      </c>
      <c r="K303" s="338">
        <f t="shared" si="182"/>
        <v>0.20266666666666663</v>
      </c>
      <c r="L303" s="338">
        <f t="shared" si="182"/>
        <v>0.20799999999999996</v>
      </c>
      <c r="M303" s="338">
        <f t="shared" si="182"/>
        <v>0.21333333333333329</v>
      </c>
      <c r="N303" s="338">
        <f t="shared" si="182"/>
        <v>0.21866666666666662</v>
      </c>
      <c r="O303" s="338">
        <f t="shared" si="182"/>
        <v>0.22399999999999995</v>
      </c>
      <c r="P303" s="338">
        <f t="shared" si="182"/>
        <v>0.22933333333333328</v>
      </c>
      <c r="Q303" s="338">
        <f t="shared" si="182"/>
        <v>0.23466666666666661</v>
      </c>
      <c r="R303" s="338">
        <f t="shared" si="182"/>
        <v>0.23999999999999994</v>
      </c>
      <c r="S303" s="338">
        <f t="shared" si="182"/>
        <v>0.24533333333333326</v>
      </c>
      <c r="T303" s="338">
        <f t="shared" si="183"/>
        <v>0.25066666666666659</v>
      </c>
      <c r="U303" s="338">
        <f t="shared" si="183"/>
        <v>0.25599999999999995</v>
      </c>
      <c r="V303" s="338">
        <f t="shared" si="183"/>
        <v>0.26133333333333331</v>
      </c>
      <c r="W303" s="338">
        <f t="shared" si="183"/>
        <v>0.26666666666666666</v>
      </c>
      <c r="X303" s="338">
        <f t="shared" si="183"/>
        <v>0.27200000000000002</v>
      </c>
      <c r="Y303" s="338">
        <f t="shared" si="183"/>
        <v>0.27733333333333338</v>
      </c>
      <c r="Z303" s="338">
        <f t="shared" si="183"/>
        <v>0.28266666666666673</v>
      </c>
      <c r="AA303" s="338">
        <f t="shared" si="183"/>
        <v>0.28800000000000009</v>
      </c>
      <c r="AB303" s="338">
        <f t="shared" si="183"/>
        <v>0.29333333333333345</v>
      </c>
      <c r="AC303" s="338">
        <f t="shared" si="183"/>
        <v>0.2986666666666668</v>
      </c>
      <c r="AD303" s="338">
        <f t="shared" si="183"/>
        <v>0.30400000000000016</v>
      </c>
      <c r="AE303" s="338">
        <f t="shared" si="183"/>
        <v>0.30933333333333352</v>
      </c>
      <c r="AF303" s="338">
        <f t="shared" si="183"/>
        <v>0.31466666666666687</v>
      </c>
      <c r="AG303" s="337">
        <v>0.32</v>
      </c>
      <c r="AI303" s="337"/>
      <c r="AJ303" s="339" t="s">
        <v>1363</v>
      </c>
    </row>
    <row r="304" spans="1:36" outlineLevel="1" x14ac:dyDescent="0.2">
      <c r="A304" s="346" t="s">
        <v>1382</v>
      </c>
      <c r="B304" s="302" t="s">
        <v>462</v>
      </c>
      <c r="C304" s="296">
        <v>0.37</v>
      </c>
      <c r="D304" s="317">
        <f t="shared" si="182"/>
        <v>0.37166666666666665</v>
      </c>
      <c r="E304" s="317">
        <f t="shared" si="182"/>
        <v>0.37333333333333329</v>
      </c>
      <c r="F304" s="317">
        <f t="shared" si="182"/>
        <v>0.37499999999999994</v>
      </c>
      <c r="G304" s="317">
        <f t="shared" si="182"/>
        <v>0.37666666666666659</v>
      </c>
      <c r="H304" s="317">
        <f t="shared" si="182"/>
        <v>0.37833333333333324</v>
      </c>
      <c r="I304" s="317">
        <f t="shared" si="182"/>
        <v>0.37999999999999989</v>
      </c>
      <c r="J304" s="317">
        <f t="shared" si="182"/>
        <v>0.38166666666666654</v>
      </c>
      <c r="K304" s="317">
        <f t="shared" si="182"/>
        <v>0.38333333333333319</v>
      </c>
      <c r="L304" s="317">
        <f t="shared" si="182"/>
        <v>0.38499999999999984</v>
      </c>
      <c r="M304" s="317">
        <f t="shared" si="182"/>
        <v>0.38666666666666649</v>
      </c>
      <c r="N304" s="317">
        <f t="shared" si="182"/>
        <v>0.38833333333333314</v>
      </c>
      <c r="O304" s="317">
        <f t="shared" si="182"/>
        <v>0.38999999999999979</v>
      </c>
      <c r="P304" s="317">
        <f t="shared" si="182"/>
        <v>0.39166666666666644</v>
      </c>
      <c r="Q304" s="317">
        <f t="shared" si="182"/>
        <v>0.39333333333333309</v>
      </c>
      <c r="R304" s="317">
        <f t="shared" si="182"/>
        <v>0.39499999999999974</v>
      </c>
      <c r="S304" s="317">
        <f t="shared" si="182"/>
        <v>0.39666666666666639</v>
      </c>
      <c r="T304" s="317">
        <f t="shared" si="183"/>
        <v>0.39833333333333304</v>
      </c>
      <c r="U304" s="317">
        <f t="shared" si="183"/>
        <v>0.39999999999999969</v>
      </c>
      <c r="V304" s="317">
        <f t="shared" si="183"/>
        <v>0.40166666666666634</v>
      </c>
      <c r="W304" s="317">
        <f t="shared" si="183"/>
        <v>0.40333333333333299</v>
      </c>
      <c r="X304" s="317">
        <f t="shared" si="183"/>
        <v>0.40499999999999964</v>
      </c>
      <c r="Y304" s="317">
        <f t="shared" si="183"/>
        <v>0.40666666666666629</v>
      </c>
      <c r="Z304" s="317">
        <f t="shared" si="183"/>
        <v>0.40833333333333294</v>
      </c>
      <c r="AA304" s="317">
        <f t="shared" si="183"/>
        <v>0.40999999999999959</v>
      </c>
      <c r="AB304" s="317">
        <f t="shared" si="183"/>
        <v>0.41166666666666624</v>
      </c>
      <c r="AC304" s="317">
        <f t="shared" si="183"/>
        <v>0.41333333333333289</v>
      </c>
      <c r="AD304" s="317">
        <f t="shared" si="183"/>
        <v>0.41499999999999954</v>
      </c>
      <c r="AE304" s="317">
        <f t="shared" si="183"/>
        <v>0.41666666666666619</v>
      </c>
      <c r="AF304" s="317">
        <f t="shared" si="183"/>
        <v>0.41833333333333284</v>
      </c>
      <c r="AG304" s="296">
        <v>0.42</v>
      </c>
      <c r="AI304" s="296"/>
      <c r="AJ304" s="211" t="s">
        <v>1363</v>
      </c>
    </row>
    <row r="305" spans="1:36" outlineLevel="1" x14ac:dyDescent="0.2">
      <c r="A305" s="346" t="s">
        <v>1383</v>
      </c>
      <c r="B305" s="302" t="s">
        <v>462</v>
      </c>
      <c r="C305" s="296">
        <v>0.08</v>
      </c>
      <c r="D305" s="317">
        <f t="shared" si="182"/>
        <v>7.7666666666666662E-2</v>
      </c>
      <c r="E305" s="317">
        <f t="shared" si="182"/>
        <v>7.5333333333333322E-2</v>
      </c>
      <c r="F305" s="317">
        <f t="shared" si="182"/>
        <v>7.2999999999999982E-2</v>
      </c>
      <c r="G305" s="317">
        <f t="shared" si="182"/>
        <v>7.0666666666666642E-2</v>
      </c>
      <c r="H305" s="317">
        <f t="shared" si="182"/>
        <v>6.8333333333333302E-2</v>
      </c>
      <c r="I305" s="317">
        <f t="shared" si="182"/>
        <v>6.5999999999999961E-2</v>
      </c>
      <c r="J305" s="317">
        <f t="shared" si="182"/>
        <v>6.3666666666666621E-2</v>
      </c>
      <c r="K305" s="317">
        <f t="shared" si="182"/>
        <v>6.1333333333333288E-2</v>
      </c>
      <c r="L305" s="317">
        <f t="shared" si="182"/>
        <v>5.8999999999999955E-2</v>
      </c>
      <c r="M305" s="317">
        <f t="shared" si="182"/>
        <v>5.6666666666666622E-2</v>
      </c>
      <c r="N305" s="317">
        <f t="shared" si="182"/>
        <v>5.4333333333333289E-2</v>
      </c>
      <c r="O305" s="317">
        <f t="shared" si="182"/>
        <v>5.1999999999999956E-2</v>
      </c>
      <c r="P305" s="317">
        <f t="shared" si="182"/>
        <v>4.9666666666666623E-2</v>
      </c>
      <c r="Q305" s="317">
        <f t="shared" si="182"/>
        <v>4.733333333333329E-2</v>
      </c>
      <c r="R305" s="317">
        <f t="shared" si="182"/>
        <v>4.4999999999999957E-2</v>
      </c>
      <c r="S305" s="317">
        <f t="shared" si="182"/>
        <v>4.2666666666666624E-2</v>
      </c>
      <c r="T305" s="317">
        <f t="shared" si="183"/>
        <v>4.0333333333333291E-2</v>
      </c>
      <c r="U305" s="317">
        <f t="shared" si="183"/>
        <v>3.7999999999999957E-2</v>
      </c>
      <c r="V305" s="317">
        <f t="shared" si="183"/>
        <v>3.5666666666666624E-2</v>
      </c>
      <c r="W305" s="317">
        <f t="shared" si="183"/>
        <v>3.3333333333333291E-2</v>
      </c>
      <c r="X305" s="317">
        <f t="shared" si="183"/>
        <v>3.0999999999999958E-2</v>
      </c>
      <c r="Y305" s="317">
        <f t="shared" si="183"/>
        <v>2.8666666666666625E-2</v>
      </c>
      <c r="Z305" s="317">
        <f t="shared" si="183"/>
        <v>2.6333333333333292E-2</v>
      </c>
      <c r="AA305" s="317">
        <f t="shared" si="183"/>
        <v>2.3999999999999959E-2</v>
      </c>
      <c r="AB305" s="317">
        <f t="shared" si="183"/>
        <v>2.1666666666666626E-2</v>
      </c>
      <c r="AC305" s="317">
        <f t="shared" si="183"/>
        <v>1.9333333333333293E-2</v>
      </c>
      <c r="AD305" s="317">
        <f t="shared" si="183"/>
        <v>1.699999999999996E-2</v>
      </c>
      <c r="AE305" s="317">
        <f t="shared" si="183"/>
        <v>1.4666666666666626E-2</v>
      </c>
      <c r="AF305" s="317">
        <f t="shared" si="183"/>
        <v>1.2333333333333293E-2</v>
      </c>
      <c r="AG305" s="296">
        <v>0.01</v>
      </c>
      <c r="AI305" s="296"/>
      <c r="AJ305" s="211" t="s">
        <v>1363</v>
      </c>
    </row>
    <row r="306" spans="1:36" outlineLevel="1" x14ac:dyDescent="0.2">
      <c r="A306" s="346" t="s">
        <v>1384</v>
      </c>
      <c r="B306" s="302" t="s">
        <v>462</v>
      </c>
      <c r="C306" s="296">
        <v>0.27</v>
      </c>
      <c r="D306" s="317">
        <f t="shared" si="182"/>
        <v>0.26633333333333337</v>
      </c>
      <c r="E306" s="317">
        <f t="shared" si="182"/>
        <v>0.26266666666666671</v>
      </c>
      <c r="F306" s="317">
        <f t="shared" si="182"/>
        <v>0.25900000000000006</v>
      </c>
      <c r="G306" s="317">
        <f t="shared" si="182"/>
        <v>0.25533333333333341</v>
      </c>
      <c r="H306" s="317">
        <f t="shared" si="182"/>
        <v>0.25166666666666676</v>
      </c>
      <c r="I306" s="317">
        <f t="shared" si="182"/>
        <v>0.24800000000000008</v>
      </c>
      <c r="J306" s="317">
        <f t="shared" si="182"/>
        <v>0.2443333333333334</v>
      </c>
      <c r="K306" s="317">
        <f t="shared" si="182"/>
        <v>0.24066666666666672</v>
      </c>
      <c r="L306" s="317">
        <f t="shared" si="182"/>
        <v>0.23700000000000004</v>
      </c>
      <c r="M306" s="317">
        <f t="shared" si="182"/>
        <v>0.23333333333333336</v>
      </c>
      <c r="N306" s="317">
        <f t="shared" si="182"/>
        <v>0.22966666666666669</v>
      </c>
      <c r="O306" s="317">
        <f t="shared" si="182"/>
        <v>0.22600000000000001</v>
      </c>
      <c r="P306" s="317">
        <f t="shared" si="182"/>
        <v>0.22233333333333333</v>
      </c>
      <c r="Q306" s="317">
        <f t="shared" si="182"/>
        <v>0.21866666666666665</v>
      </c>
      <c r="R306" s="317">
        <f t="shared" si="182"/>
        <v>0.21499999999999997</v>
      </c>
      <c r="S306" s="317">
        <f t="shared" si="182"/>
        <v>0.21133333333333329</v>
      </c>
      <c r="T306" s="317">
        <f t="shared" si="183"/>
        <v>0.20766666666666661</v>
      </c>
      <c r="U306" s="317">
        <f t="shared" si="183"/>
        <v>0.20399999999999993</v>
      </c>
      <c r="V306" s="317">
        <f t="shared" si="183"/>
        <v>0.20033333333333325</v>
      </c>
      <c r="W306" s="317">
        <f t="shared" si="183"/>
        <v>0.19666666666666657</v>
      </c>
      <c r="X306" s="317">
        <f t="shared" si="183"/>
        <v>0.19299999999999989</v>
      </c>
      <c r="Y306" s="317">
        <f t="shared" si="183"/>
        <v>0.18933333333333321</v>
      </c>
      <c r="Z306" s="317">
        <f t="shared" si="183"/>
        <v>0.18566666666666654</v>
      </c>
      <c r="AA306" s="317">
        <f t="shared" si="183"/>
        <v>0.18199999999999986</v>
      </c>
      <c r="AB306" s="317">
        <f t="shared" si="183"/>
        <v>0.17833333333333318</v>
      </c>
      <c r="AC306" s="317">
        <f t="shared" si="183"/>
        <v>0.1746666666666665</v>
      </c>
      <c r="AD306" s="317">
        <f t="shared" si="183"/>
        <v>0.17099999999999982</v>
      </c>
      <c r="AE306" s="317">
        <f t="shared" si="183"/>
        <v>0.16733333333333314</v>
      </c>
      <c r="AF306" s="317">
        <f t="shared" si="183"/>
        <v>0.16366666666666646</v>
      </c>
      <c r="AG306" s="296">
        <v>0.16</v>
      </c>
      <c r="AI306" s="296"/>
      <c r="AJ306" s="211" t="s">
        <v>1363</v>
      </c>
    </row>
    <row r="307" spans="1:36" outlineLevel="1" x14ac:dyDescent="0.2">
      <c r="A307" s="346" t="s">
        <v>1385</v>
      </c>
      <c r="B307" s="302" t="s">
        <v>462</v>
      </c>
      <c r="C307" s="296">
        <v>7.0000000000000007E-2</v>
      </c>
      <c r="D307" s="317">
        <f t="shared" si="182"/>
        <v>6.9666666666666668E-2</v>
      </c>
      <c r="E307" s="317">
        <f t="shared" si="182"/>
        <v>6.933333333333333E-2</v>
      </c>
      <c r="F307" s="317">
        <f t="shared" si="182"/>
        <v>6.8999999999999992E-2</v>
      </c>
      <c r="G307" s="317">
        <f t="shared" si="182"/>
        <v>6.8666666666666654E-2</v>
      </c>
      <c r="H307" s="317">
        <f t="shared" si="182"/>
        <v>6.8333333333333315E-2</v>
      </c>
      <c r="I307" s="317">
        <f t="shared" si="182"/>
        <v>6.7999999999999977E-2</v>
      </c>
      <c r="J307" s="317">
        <f t="shared" si="182"/>
        <v>6.7666666666666639E-2</v>
      </c>
      <c r="K307" s="317">
        <f t="shared" si="182"/>
        <v>6.7333333333333301E-2</v>
      </c>
      <c r="L307" s="317">
        <f t="shared" si="182"/>
        <v>6.6999999999999962E-2</v>
      </c>
      <c r="M307" s="317">
        <f t="shared" si="182"/>
        <v>6.6666666666666624E-2</v>
      </c>
      <c r="N307" s="317">
        <f t="shared" si="182"/>
        <v>6.6333333333333286E-2</v>
      </c>
      <c r="O307" s="317">
        <f t="shared" si="182"/>
        <v>6.5999999999999948E-2</v>
      </c>
      <c r="P307" s="317">
        <f t="shared" si="182"/>
        <v>6.5666666666666609E-2</v>
      </c>
      <c r="Q307" s="317">
        <f t="shared" si="182"/>
        <v>6.5333333333333271E-2</v>
      </c>
      <c r="R307" s="317">
        <f t="shared" si="182"/>
        <v>6.4999999999999933E-2</v>
      </c>
      <c r="S307" s="317">
        <f t="shared" ref="S307:AF307" si="184">-($C307-$AG307)/30+R307</f>
        <v>6.4666666666666595E-2</v>
      </c>
      <c r="T307" s="317">
        <f t="shared" si="184"/>
        <v>6.4333333333333256E-2</v>
      </c>
      <c r="U307" s="317">
        <f t="shared" si="184"/>
        <v>6.3999999999999918E-2</v>
      </c>
      <c r="V307" s="317">
        <f t="shared" si="184"/>
        <v>6.366666666666658E-2</v>
      </c>
      <c r="W307" s="317">
        <f t="shared" si="184"/>
        <v>6.3333333333333242E-2</v>
      </c>
      <c r="X307" s="317">
        <f t="shared" si="184"/>
        <v>6.2999999999999903E-2</v>
      </c>
      <c r="Y307" s="317">
        <f t="shared" si="184"/>
        <v>6.2666666666666565E-2</v>
      </c>
      <c r="Z307" s="317">
        <f t="shared" si="184"/>
        <v>6.2333333333333234E-2</v>
      </c>
      <c r="AA307" s="317">
        <f t="shared" si="184"/>
        <v>6.1999999999999902E-2</v>
      </c>
      <c r="AB307" s="317">
        <f t="shared" si="184"/>
        <v>6.1666666666666571E-2</v>
      </c>
      <c r="AC307" s="317">
        <f t="shared" si="184"/>
        <v>6.133333333333324E-2</v>
      </c>
      <c r="AD307" s="317">
        <f t="shared" si="184"/>
        <v>6.0999999999999908E-2</v>
      </c>
      <c r="AE307" s="317">
        <f t="shared" si="184"/>
        <v>6.0666666666666577E-2</v>
      </c>
      <c r="AF307" s="317">
        <f t="shared" si="184"/>
        <v>6.0333333333333246E-2</v>
      </c>
      <c r="AG307" s="296">
        <v>0.06</v>
      </c>
      <c r="AI307" s="296"/>
      <c r="AJ307" s="211" t="s">
        <v>1363</v>
      </c>
    </row>
    <row r="308" spans="1:36" s="68" customFormat="1" outlineLevel="1" x14ac:dyDescent="0.2">
      <c r="A308" s="347" t="s">
        <v>1386</v>
      </c>
      <c r="B308" s="312" t="s">
        <v>462</v>
      </c>
      <c r="C308" s="314">
        <v>0.05</v>
      </c>
      <c r="D308" s="340">
        <f t="shared" ref="D308:AF308" si="185">-($C308-$AG308)/30+C308</f>
        <v>4.9333333333333333E-2</v>
      </c>
      <c r="E308" s="340">
        <f t="shared" si="185"/>
        <v>4.8666666666666664E-2</v>
      </c>
      <c r="F308" s="340">
        <f t="shared" si="185"/>
        <v>4.7999999999999994E-2</v>
      </c>
      <c r="G308" s="340">
        <f t="shared" si="185"/>
        <v>4.7333333333333324E-2</v>
      </c>
      <c r="H308" s="340">
        <f t="shared" si="185"/>
        <v>4.6666666666666655E-2</v>
      </c>
      <c r="I308" s="340">
        <f t="shared" si="185"/>
        <v>4.5999999999999985E-2</v>
      </c>
      <c r="J308" s="340">
        <f t="shared" si="185"/>
        <v>4.5333333333333316E-2</v>
      </c>
      <c r="K308" s="340">
        <f t="shared" si="185"/>
        <v>4.4666666666666646E-2</v>
      </c>
      <c r="L308" s="340">
        <f t="shared" si="185"/>
        <v>4.3999999999999977E-2</v>
      </c>
      <c r="M308" s="340">
        <f t="shared" si="185"/>
        <v>4.3333333333333307E-2</v>
      </c>
      <c r="N308" s="340">
        <f t="shared" si="185"/>
        <v>4.2666666666666637E-2</v>
      </c>
      <c r="O308" s="340">
        <f t="shared" si="185"/>
        <v>4.1999999999999968E-2</v>
      </c>
      <c r="P308" s="340">
        <f t="shared" si="185"/>
        <v>4.1333333333333298E-2</v>
      </c>
      <c r="Q308" s="340">
        <f t="shared" si="185"/>
        <v>4.0666666666666629E-2</v>
      </c>
      <c r="R308" s="340">
        <f t="shared" si="185"/>
        <v>3.9999999999999959E-2</v>
      </c>
      <c r="S308" s="340">
        <f t="shared" si="185"/>
        <v>3.933333333333329E-2</v>
      </c>
      <c r="T308" s="340">
        <f t="shared" si="185"/>
        <v>3.866666666666662E-2</v>
      </c>
      <c r="U308" s="340">
        <f t="shared" si="185"/>
        <v>3.799999999999995E-2</v>
      </c>
      <c r="V308" s="340">
        <f t="shared" si="185"/>
        <v>3.7333333333333281E-2</v>
      </c>
      <c r="W308" s="340">
        <f t="shared" si="185"/>
        <v>3.6666666666666611E-2</v>
      </c>
      <c r="X308" s="340">
        <f t="shared" si="185"/>
        <v>3.5999999999999942E-2</v>
      </c>
      <c r="Y308" s="340">
        <f t="shared" si="185"/>
        <v>3.5333333333333272E-2</v>
      </c>
      <c r="Z308" s="340">
        <f t="shared" si="185"/>
        <v>3.4666666666666603E-2</v>
      </c>
      <c r="AA308" s="340">
        <f t="shared" si="185"/>
        <v>3.3999999999999933E-2</v>
      </c>
      <c r="AB308" s="340">
        <f t="shared" si="185"/>
        <v>3.3333333333333263E-2</v>
      </c>
      <c r="AC308" s="340">
        <f t="shared" si="185"/>
        <v>3.2666666666666594E-2</v>
      </c>
      <c r="AD308" s="340">
        <f t="shared" si="185"/>
        <v>3.1999999999999924E-2</v>
      </c>
      <c r="AE308" s="340">
        <f t="shared" si="185"/>
        <v>3.1333333333333255E-2</v>
      </c>
      <c r="AF308" s="340">
        <f t="shared" si="185"/>
        <v>3.0666666666666589E-2</v>
      </c>
      <c r="AG308" s="314">
        <v>0.03</v>
      </c>
      <c r="AI308" s="314"/>
      <c r="AJ308" s="341" t="s">
        <v>1363</v>
      </c>
    </row>
    <row r="309" spans="1:36" s="58" customFormat="1" outlineLevel="1" x14ac:dyDescent="0.2">
      <c r="A309" s="58" t="s">
        <v>1361</v>
      </c>
      <c r="B309" s="303"/>
      <c r="C309" s="304">
        <f>C32</f>
        <v>70.764479384937346</v>
      </c>
      <c r="D309" s="304">
        <f t="shared" ref="D309:AG309" si="186">D32</f>
        <v>73.13661085387929</v>
      </c>
      <c r="E309" s="304">
        <f t="shared" si="186"/>
        <v>75.390666744568932</v>
      </c>
      <c r="F309" s="304">
        <f t="shared" si="186"/>
        <v>77.511176043347206</v>
      </c>
      <c r="G309" s="304">
        <f t="shared" si="186"/>
        <v>79.483286841213982</v>
      </c>
      <c r="H309" s="304">
        <f t="shared" si="186"/>
        <v>81.292939605458415</v>
      </c>
      <c r="I309" s="304">
        <f t="shared" si="186"/>
        <v>83.105945681537463</v>
      </c>
      <c r="J309" s="304">
        <f t="shared" si="186"/>
        <v>84.920663560469848</v>
      </c>
      <c r="K309" s="304">
        <f t="shared" si="186"/>
        <v>86.735410058637726</v>
      </c>
      <c r="L309" s="304">
        <f t="shared" si="186"/>
        <v>88.548462506721251</v>
      </c>
      <c r="M309" s="304">
        <f t="shared" si="186"/>
        <v>90.358061086572363</v>
      </c>
      <c r="N309" s="304">
        <f t="shared" si="186"/>
        <v>92.030546196497212</v>
      </c>
      <c r="O309" s="304">
        <f t="shared" si="186"/>
        <v>93.556641933394388</v>
      </c>
      <c r="P309" s="304">
        <f t="shared" si="186"/>
        <v>94.927727566993539</v>
      </c>
      <c r="Q309" s="304">
        <f t="shared" si="186"/>
        <v>96.135917662760136</v>
      </c>
      <c r="R309" s="304">
        <f t="shared" si="186"/>
        <v>97.174136783080243</v>
      </c>
      <c r="S309" s="304">
        <f t="shared" si="186"/>
        <v>98.212816631838891</v>
      </c>
      <c r="T309" s="304">
        <f t="shared" si="186"/>
        <v>99.251725793738956</v>
      </c>
      <c r="U309" s="304">
        <f t="shared" si="186"/>
        <v>100.29063007523018</v>
      </c>
      <c r="V309" s="304">
        <f t="shared" si="186"/>
        <v>101.32929257839319</v>
      </c>
      <c r="W309" s="304">
        <f t="shared" si="186"/>
        <v>102.3674737772773</v>
      </c>
      <c r="X309" s="304">
        <f t="shared" si="186"/>
        <v>103.40607054116425</v>
      </c>
      <c r="Y309" s="304">
        <f t="shared" si="186"/>
        <v>104.44487435528823</v>
      </c>
      <c r="Z309" s="304">
        <f t="shared" si="186"/>
        <v>105.48367434845207</v>
      </c>
      <c r="AA309" s="304">
        <f t="shared" si="186"/>
        <v>106.52225735327879</v>
      </c>
      <c r="AB309" s="304">
        <f t="shared" si="186"/>
        <v>107.56040796833885</v>
      </c>
      <c r="AC309" s="304">
        <f t="shared" si="186"/>
        <v>108.59893533250059</v>
      </c>
      <c r="AD309" s="304">
        <f t="shared" si="186"/>
        <v>109.63765057252257</v>
      </c>
      <c r="AE309" s="304">
        <f t="shared" si="186"/>
        <v>110.67636279881994</v>
      </c>
      <c r="AF309" s="304">
        <f t="shared" si="186"/>
        <v>111.71487915509033</v>
      </c>
      <c r="AG309" s="304">
        <f t="shared" si="186"/>
        <v>112.75300486939346</v>
      </c>
      <c r="AI309" s="305"/>
      <c r="AJ309" s="306"/>
    </row>
    <row r="310" spans="1:36" s="58" customFormat="1" outlineLevel="1" x14ac:dyDescent="0.2">
      <c r="A310" s="307" t="s">
        <v>3</v>
      </c>
      <c r="B310" s="308" t="s">
        <v>704</v>
      </c>
      <c r="C310" s="309">
        <v>0</v>
      </c>
      <c r="D310" s="309">
        <v>0</v>
      </c>
      <c r="E310" s="309">
        <v>0</v>
      </c>
      <c r="F310" s="309">
        <v>0</v>
      </c>
      <c r="G310" s="309">
        <v>0</v>
      </c>
      <c r="H310" s="309">
        <v>0</v>
      </c>
      <c r="I310" s="309">
        <v>0</v>
      </c>
      <c r="J310" s="309">
        <v>0</v>
      </c>
      <c r="K310" s="309">
        <v>0</v>
      </c>
      <c r="L310" s="309">
        <v>0</v>
      </c>
      <c r="M310" s="309">
        <v>0</v>
      </c>
      <c r="N310" s="309">
        <v>0</v>
      </c>
      <c r="O310" s="309">
        <v>0</v>
      </c>
      <c r="P310" s="309">
        <v>0</v>
      </c>
      <c r="Q310" s="309">
        <v>0</v>
      </c>
      <c r="R310" s="309">
        <v>0</v>
      </c>
      <c r="S310" s="309">
        <v>0</v>
      </c>
      <c r="T310" s="309">
        <v>0</v>
      </c>
      <c r="U310" s="309">
        <v>0</v>
      </c>
      <c r="V310" s="309">
        <v>0</v>
      </c>
      <c r="W310" s="309">
        <v>0</v>
      </c>
      <c r="X310" s="309">
        <v>0</v>
      </c>
      <c r="Y310" s="309">
        <v>0</v>
      </c>
      <c r="Z310" s="309">
        <v>0</v>
      </c>
      <c r="AA310" s="309">
        <v>0</v>
      </c>
      <c r="AB310" s="309">
        <v>0</v>
      </c>
      <c r="AC310" s="309">
        <v>0</v>
      </c>
      <c r="AD310" s="309">
        <v>0</v>
      </c>
      <c r="AE310" s="309">
        <v>0</v>
      </c>
      <c r="AF310" s="309">
        <v>0</v>
      </c>
      <c r="AG310" s="309">
        <v>0</v>
      </c>
      <c r="AI310" s="305"/>
      <c r="AJ310" s="306"/>
    </row>
    <row r="311" spans="1:36" outlineLevel="1" x14ac:dyDescent="0.2">
      <c r="A311" s="310" t="s">
        <v>51</v>
      </c>
      <c r="B311" s="302" t="s">
        <v>704</v>
      </c>
      <c r="C311" s="249">
        <f t="shared" ref="C311:AG311" si="187">C278</f>
        <v>6.1470184945809105</v>
      </c>
      <c r="D311" s="249">
        <f t="shared" si="187"/>
        <v>6.2496737034404113</v>
      </c>
      <c r="E311" s="249">
        <f t="shared" si="187"/>
        <v>6.3540432542878662</v>
      </c>
      <c r="F311" s="249">
        <f t="shared" si="187"/>
        <v>6.4601557766344735</v>
      </c>
      <c r="G311" s="249">
        <f t="shared" si="187"/>
        <v>6.5680403781042687</v>
      </c>
      <c r="H311" s="249">
        <f t="shared" si="187"/>
        <v>6.6777266524186096</v>
      </c>
      <c r="I311" s="249">
        <f t="shared" si="187"/>
        <v>6.7892446875139996</v>
      </c>
      <c r="J311" s="249">
        <f t="shared" si="187"/>
        <v>6.9026250737954831</v>
      </c>
      <c r="K311" s="249">
        <f t="shared" si="187"/>
        <v>7.0178989125278672</v>
      </c>
      <c r="L311" s="249">
        <f t="shared" si="187"/>
        <v>7.1350978243670822</v>
      </c>
      <c r="M311" s="249">
        <f t="shared" si="187"/>
        <v>7.2542539580340124</v>
      </c>
      <c r="N311" s="249">
        <f t="shared" si="187"/>
        <v>7.3753999991331796</v>
      </c>
      <c r="O311" s="249">
        <f t="shared" si="187"/>
        <v>7.4985691791187028</v>
      </c>
      <c r="P311" s="249">
        <f t="shared" si="187"/>
        <v>7.6237952844099848</v>
      </c>
      <c r="Q311" s="249">
        <f t="shared" si="187"/>
        <v>7.7511126656596314</v>
      </c>
      <c r="R311" s="249">
        <f t="shared" si="187"/>
        <v>7.8805562471761466</v>
      </c>
      <c r="S311" s="249">
        <f t="shared" si="187"/>
        <v>8.0121615365039869</v>
      </c>
      <c r="T311" s="249">
        <f t="shared" si="187"/>
        <v>8.1459646341636027</v>
      </c>
      <c r="U311" s="249">
        <f t="shared" si="187"/>
        <v>8.2820022435541336</v>
      </c>
      <c r="V311" s="249">
        <f t="shared" si="187"/>
        <v>8.420311681021488</v>
      </c>
      <c r="W311" s="249">
        <f t="shared" si="187"/>
        <v>8.5609308860945461</v>
      </c>
      <c r="X311" s="249">
        <f t="shared" si="187"/>
        <v>8.7038984318923251</v>
      </c>
      <c r="Y311" s="249">
        <f t="shared" si="187"/>
        <v>8.8492535357049267</v>
      </c>
      <c r="Z311" s="249">
        <f t="shared" si="187"/>
        <v>8.9970360697511982</v>
      </c>
      <c r="AA311" s="249">
        <f t="shared" si="187"/>
        <v>9.1472865721160428</v>
      </c>
      <c r="AB311" s="249">
        <f t="shared" si="187"/>
        <v>9.3000462578703793</v>
      </c>
      <c r="AC311" s="249">
        <f t="shared" si="187"/>
        <v>9.4553570303768133</v>
      </c>
      <c r="AD311" s="249">
        <f t="shared" si="187"/>
        <v>9.6132614927841047</v>
      </c>
      <c r="AE311" s="249">
        <f t="shared" si="187"/>
        <v>9.7738029597135991</v>
      </c>
      <c r="AF311" s="249">
        <f t="shared" si="187"/>
        <v>9.9370254691408153</v>
      </c>
      <c r="AG311" s="249">
        <f t="shared" si="187"/>
        <v>10.102973794475467</v>
      </c>
      <c r="AI311" s="296"/>
    </row>
    <row r="312" spans="1:36" s="68" customFormat="1" outlineLevel="1" x14ac:dyDescent="0.2">
      <c r="A312" s="311" t="s">
        <v>1387</v>
      </c>
      <c r="B312" s="312" t="s">
        <v>704</v>
      </c>
      <c r="C312" s="313">
        <f>C309-C310-C311</f>
        <v>64.61746089035644</v>
      </c>
      <c r="D312" s="313">
        <f t="shared" ref="D312:AG312" si="188">D309-D310-D311</f>
        <v>66.886937150438882</v>
      </c>
      <c r="E312" s="313">
        <f t="shared" si="188"/>
        <v>69.036623490281073</v>
      </c>
      <c r="F312" s="313">
        <f t="shared" si="188"/>
        <v>71.051020266712726</v>
      </c>
      <c r="G312" s="313">
        <f t="shared" si="188"/>
        <v>72.91524646310971</v>
      </c>
      <c r="H312" s="313">
        <f t="shared" si="188"/>
        <v>74.615212953039801</v>
      </c>
      <c r="I312" s="313">
        <f t="shared" si="188"/>
        <v>76.316700994023464</v>
      </c>
      <c r="J312" s="313">
        <f t="shared" si="188"/>
        <v>78.018038486674371</v>
      </c>
      <c r="K312" s="313">
        <f t="shared" si="188"/>
        <v>79.717511146109857</v>
      </c>
      <c r="L312" s="313">
        <f t="shared" si="188"/>
        <v>81.413364682354171</v>
      </c>
      <c r="M312" s="313">
        <f t="shared" si="188"/>
        <v>83.10380712853835</v>
      </c>
      <c r="N312" s="313">
        <f t="shared" si="188"/>
        <v>84.655146197364033</v>
      </c>
      <c r="O312" s="313">
        <f t="shared" si="188"/>
        <v>86.058072754275685</v>
      </c>
      <c r="P312" s="313">
        <f t="shared" si="188"/>
        <v>87.30393228258356</v>
      </c>
      <c r="Q312" s="313">
        <f t="shared" si="188"/>
        <v>88.384804997100503</v>
      </c>
      <c r="R312" s="313">
        <f t="shared" si="188"/>
        <v>89.293580535904098</v>
      </c>
      <c r="S312" s="313">
        <f t="shared" si="188"/>
        <v>90.200655095334909</v>
      </c>
      <c r="T312" s="313">
        <f t="shared" si="188"/>
        <v>91.105761159575351</v>
      </c>
      <c r="U312" s="313">
        <f t="shared" si="188"/>
        <v>92.008627831676051</v>
      </c>
      <c r="V312" s="313">
        <f t="shared" si="188"/>
        <v>92.908980897371706</v>
      </c>
      <c r="W312" s="313">
        <f t="shared" si="188"/>
        <v>93.806542891182744</v>
      </c>
      <c r="X312" s="313">
        <f t="shared" si="188"/>
        <v>94.702172109271928</v>
      </c>
      <c r="Y312" s="313">
        <f t="shared" si="188"/>
        <v>95.595620819583303</v>
      </c>
      <c r="Z312" s="313">
        <f t="shared" si="188"/>
        <v>96.486638278700866</v>
      </c>
      <c r="AA312" s="313">
        <f t="shared" si="188"/>
        <v>97.374970781162745</v>
      </c>
      <c r="AB312" s="313">
        <f t="shared" si="188"/>
        <v>98.260361710468473</v>
      </c>
      <c r="AC312" s="313">
        <f t="shared" si="188"/>
        <v>99.143578302123771</v>
      </c>
      <c r="AD312" s="313">
        <f t="shared" si="188"/>
        <v>100.02438907973847</v>
      </c>
      <c r="AE312" s="313">
        <f t="shared" si="188"/>
        <v>100.90255983910635</v>
      </c>
      <c r="AF312" s="313">
        <f t="shared" si="188"/>
        <v>101.77785368594951</v>
      </c>
      <c r="AG312" s="313">
        <f t="shared" si="188"/>
        <v>102.65003107491799</v>
      </c>
      <c r="AI312" s="314"/>
      <c r="AJ312" s="315"/>
    </row>
    <row r="313" spans="1:36" outlineLevel="1" x14ac:dyDescent="0.2">
      <c r="A313" s="112" t="s">
        <v>90</v>
      </c>
      <c r="B313" s="302" t="s">
        <v>704</v>
      </c>
      <c r="C313" s="230">
        <f>C282*C$312</f>
        <v>10.33879374245703</v>
      </c>
      <c r="D313" s="230">
        <f t="shared" ref="D313:AG313" si="189">D282*D$312</f>
        <v>10.840142947514462</v>
      </c>
      <c r="E313" s="230">
        <f t="shared" si="189"/>
        <v>11.331211135538133</v>
      </c>
      <c r="F313" s="230">
        <f t="shared" si="189"/>
        <v>11.808679568327655</v>
      </c>
      <c r="G313" s="230">
        <f t="shared" si="189"/>
        <v>12.269205471525925</v>
      </c>
      <c r="H313" s="230">
        <f t="shared" si="189"/>
        <v>12.709457939667777</v>
      </c>
      <c r="I313" s="230">
        <f t="shared" si="189"/>
        <v>13.156999251369642</v>
      </c>
      <c r="J313" s="230">
        <f t="shared" si="189"/>
        <v>13.611547114641786</v>
      </c>
      <c r="K313" s="230">
        <f t="shared" si="189"/>
        <v>14.072797967659923</v>
      </c>
      <c r="L313" s="230">
        <f t="shared" si="189"/>
        <v>14.540426932268451</v>
      </c>
      <c r="M313" s="230">
        <f t="shared" si="189"/>
        <v>15.01408782122259</v>
      </c>
      <c r="N313" s="230">
        <f t="shared" si="189"/>
        <v>15.469317048464983</v>
      </c>
      <c r="O313" s="230">
        <f t="shared" si="189"/>
        <v>15.903531844990141</v>
      </c>
      <c r="P313" s="230">
        <f t="shared" si="189"/>
        <v>16.314194812538776</v>
      </c>
      <c r="Q313" s="230">
        <f t="shared" si="189"/>
        <v>16.698835824118849</v>
      </c>
      <c r="R313" s="230">
        <f t="shared" si="189"/>
        <v>17.055073882357675</v>
      </c>
      <c r="S313" s="230">
        <f t="shared" si="189"/>
        <v>17.414739810405987</v>
      </c>
      <c r="T313" s="230">
        <f t="shared" si="189"/>
        <v>17.77777086093846</v>
      </c>
      <c r="U313" s="230">
        <f t="shared" si="189"/>
        <v>18.14410140840651</v>
      </c>
      <c r="V313" s="230">
        <f t="shared" si="189"/>
        <v>18.513662926816259</v>
      </c>
      <c r="W313" s="230">
        <f t="shared" si="189"/>
        <v>18.886383968758114</v>
      </c>
      <c r="X313" s="230">
        <f t="shared" si="189"/>
        <v>19.262421807025898</v>
      </c>
      <c r="Y313" s="230">
        <f t="shared" si="189"/>
        <v>19.64171355773037</v>
      </c>
      <c r="Z313" s="230">
        <f t="shared" si="189"/>
        <v>20.024193664106374</v>
      </c>
      <c r="AA313" s="230">
        <f t="shared" si="189"/>
        <v>20.409793875731697</v>
      </c>
      <c r="AB313" s="230">
        <f t="shared" si="189"/>
        <v>20.798443228715815</v>
      </c>
      <c r="AC313" s="230">
        <f t="shared" si="189"/>
        <v>21.19028746910724</v>
      </c>
      <c r="AD313" s="230">
        <f t="shared" si="189"/>
        <v>21.585263163407546</v>
      </c>
      <c r="AE313" s="230">
        <f t="shared" si="189"/>
        <v>21.983304370279953</v>
      </c>
      <c r="AF313" s="230">
        <f t="shared" si="189"/>
        <v>22.384342620663144</v>
      </c>
      <c r="AG313" s="230">
        <f t="shared" si="189"/>
        <v>22.788306898631795</v>
      </c>
      <c r="AI313" s="214"/>
    </row>
    <row r="314" spans="1:36" outlineLevel="1" x14ac:dyDescent="0.2">
      <c r="A314" s="112" t="s">
        <v>33</v>
      </c>
      <c r="B314" s="302" t="s">
        <v>704</v>
      </c>
      <c r="C314" s="230">
        <f t="shared" ref="C314:AG314" si="190">C283*C$312</f>
        <v>23.908460529431881</v>
      </c>
      <c r="D314" s="230">
        <f t="shared" si="190"/>
        <v>24.259892104464186</v>
      </c>
      <c r="E314" s="230">
        <f t="shared" si="190"/>
        <v>24.535615988445898</v>
      </c>
      <c r="F314" s="230">
        <f t="shared" si="190"/>
        <v>24.732860154842705</v>
      </c>
      <c r="G314" s="230">
        <f t="shared" si="190"/>
        <v>24.849515994627797</v>
      </c>
      <c r="H314" s="230">
        <f t="shared" si="190"/>
        <v>24.884173519838782</v>
      </c>
      <c r="I314" s="230">
        <f t="shared" si="190"/>
        <v>24.894507864250464</v>
      </c>
      <c r="J314" s="230">
        <f t="shared" si="190"/>
        <v>24.879952473400472</v>
      </c>
      <c r="K314" s="230">
        <f t="shared" si="190"/>
        <v>24.839976473127848</v>
      </c>
      <c r="L314" s="230">
        <f t="shared" si="190"/>
        <v>24.774086872840392</v>
      </c>
      <c r="M314" s="230">
        <f t="shared" si="190"/>
        <v>24.681830717175913</v>
      </c>
      <c r="N314" s="230">
        <f t="shared" si="190"/>
        <v>24.524595853376386</v>
      </c>
      <c r="O314" s="230">
        <f t="shared" si="190"/>
        <v>24.30279974580748</v>
      </c>
      <c r="P314" s="230">
        <f t="shared" si="190"/>
        <v>24.017311770938768</v>
      </c>
      <c r="Q314" s="230">
        <f t="shared" si="190"/>
        <v>23.669450778223549</v>
      </c>
      <c r="R314" s="230">
        <f t="shared" si="190"/>
        <v>23.260977729603052</v>
      </c>
      <c r="S314" s="230">
        <f t="shared" si="190"/>
        <v>22.838805870138838</v>
      </c>
      <c r="T314" s="230">
        <f t="shared" si="190"/>
        <v>22.402906669139618</v>
      </c>
      <c r="U314" s="230">
        <f t="shared" si="190"/>
        <v>21.953258600637945</v>
      </c>
      <c r="V314" s="230">
        <f t="shared" si="190"/>
        <v>21.489847281562113</v>
      </c>
      <c r="W314" s="230">
        <f t="shared" si="190"/>
        <v>21.012665607624974</v>
      </c>
      <c r="X314" s="230">
        <f t="shared" si="190"/>
        <v>20.521960696079265</v>
      </c>
      <c r="Y314" s="230">
        <f t="shared" si="190"/>
        <v>20.017722999620783</v>
      </c>
      <c r="Z314" s="230">
        <f t="shared" si="190"/>
        <v>19.499949596125486</v>
      </c>
      <c r="AA314" s="230">
        <f t="shared" si="190"/>
        <v>18.968644308170543</v>
      </c>
      <c r="AB314" s="230">
        <f t="shared" si="190"/>
        <v>18.42381782071288</v>
      </c>
      <c r="AC314" s="230">
        <f t="shared" si="190"/>
        <v>17.865672810042746</v>
      </c>
      <c r="AD314" s="230">
        <f t="shared" si="190"/>
        <v>17.294216871886825</v>
      </c>
      <c r="AE314" s="230">
        <f t="shared" si="190"/>
        <v>16.709463909356053</v>
      </c>
      <c r="AF314" s="230">
        <f t="shared" si="190"/>
        <v>16.111434238485849</v>
      </c>
      <c r="AG314" s="230">
        <f t="shared" si="190"/>
        <v>15.500154692312616</v>
      </c>
      <c r="AI314" s="214"/>
    </row>
    <row r="315" spans="1:36" outlineLevel="1" x14ac:dyDescent="0.2">
      <c r="A315" s="112" t="s">
        <v>451</v>
      </c>
      <c r="B315" s="302" t="s">
        <v>704</v>
      </c>
      <c r="C315" s="230">
        <f t="shared" ref="C315:AG315" si="191">C284*C$312</f>
        <v>5.169396871228515</v>
      </c>
      <c r="D315" s="230">
        <f t="shared" si="191"/>
        <v>5.3576436657501549</v>
      </c>
      <c r="E315" s="230">
        <f t="shared" si="191"/>
        <v>5.5367372039205422</v>
      </c>
      <c r="F315" s="230">
        <f t="shared" si="191"/>
        <v>5.7053969274170324</v>
      </c>
      <c r="G315" s="230">
        <f t="shared" si="191"/>
        <v>5.8623858156340214</v>
      </c>
      <c r="H315" s="230">
        <f t="shared" si="191"/>
        <v>6.0065246427197048</v>
      </c>
      <c r="I315" s="230">
        <f t="shared" si="191"/>
        <v>6.1511261001182929</v>
      </c>
      <c r="J315" s="230">
        <f t="shared" si="191"/>
        <v>6.2960557058746236</v>
      </c>
      <c r="K315" s="230">
        <f t="shared" si="191"/>
        <v>6.4411749006056782</v>
      </c>
      <c r="L315" s="230">
        <f t="shared" si="191"/>
        <v>6.5863412028024548</v>
      </c>
      <c r="M315" s="230">
        <f t="shared" si="191"/>
        <v>6.7314083774116087</v>
      </c>
      <c r="N315" s="230">
        <f t="shared" si="191"/>
        <v>6.8655323566062263</v>
      </c>
      <c r="O315" s="230">
        <f t="shared" si="191"/>
        <v>6.9879155076471884</v>
      </c>
      <c r="P315" s="230">
        <f t="shared" si="191"/>
        <v>7.097809694574047</v>
      </c>
      <c r="Q315" s="230">
        <f t="shared" si="191"/>
        <v>7.1945231267639844</v>
      </c>
      <c r="R315" s="230">
        <f t="shared" si="191"/>
        <v>7.2774268136761879</v>
      </c>
      <c r="S315" s="230">
        <f t="shared" si="191"/>
        <v>7.3603734557793326</v>
      </c>
      <c r="T315" s="230">
        <f t="shared" si="191"/>
        <v>7.4433406867373106</v>
      </c>
      <c r="U315" s="230">
        <f t="shared" si="191"/>
        <v>7.526305756631106</v>
      </c>
      <c r="V315" s="230">
        <f t="shared" si="191"/>
        <v>7.6092455354947477</v>
      </c>
      <c r="W315" s="230">
        <f t="shared" si="191"/>
        <v>7.6921365170769906</v>
      </c>
      <c r="X315" s="230">
        <f t="shared" si="191"/>
        <v>7.7750483301712308</v>
      </c>
      <c r="Y315" s="230">
        <f t="shared" si="191"/>
        <v>7.8579600313697533</v>
      </c>
      <c r="Z315" s="230">
        <f t="shared" si="191"/>
        <v>7.9408503303370876</v>
      </c>
      <c r="AA315" s="230">
        <f t="shared" si="191"/>
        <v>8.0236975923678173</v>
      </c>
      <c r="AB315" s="230">
        <f t="shared" si="191"/>
        <v>8.1064798411136554</v>
      </c>
      <c r="AC315" s="230">
        <f t="shared" si="191"/>
        <v>8.1892595677554318</v>
      </c>
      <c r="AD315" s="230">
        <f t="shared" si="191"/>
        <v>8.2720169768943794</v>
      </c>
      <c r="AE315" s="230">
        <f t="shared" si="191"/>
        <v>8.3547319546780141</v>
      </c>
      <c r="AF315" s="230">
        <f t="shared" si="191"/>
        <v>8.4373840705652228</v>
      </c>
      <c r="AG315" s="230">
        <f t="shared" si="191"/>
        <v>8.5199525792181934</v>
      </c>
      <c r="AI315" s="214"/>
    </row>
    <row r="316" spans="1:36" outlineLevel="1" x14ac:dyDescent="0.2">
      <c r="A316" s="112" t="s">
        <v>452</v>
      </c>
      <c r="B316" s="302" t="s">
        <v>704</v>
      </c>
      <c r="C316" s="230">
        <f t="shared" ref="C316:AG316" si="192">C285*C$312</f>
        <v>17.446714440396239</v>
      </c>
      <c r="D316" s="230">
        <f t="shared" si="192"/>
        <v>18.269052100356539</v>
      </c>
      <c r="E316" s="230">
        <f t="shared" si="192"/>
        <v>19.072517849581651</v>
      </c>
      <c r="F316" s="230">
        <f t="shared" si="192"/>
        <v>19.851655062519534</v>
      </c>
      <c r="G316" s="230">
        <f t="shared" si="192"/>
        <v>20.600987634043928</v>
      </c>
      <c r="H316" s="230">
        <f t="shared" si="192"/>
        <v>21.315079166918366</v>
      </c>
      <c r="I316" s="230">
        <f t="shared" si="192"/>
        <v>22.040263247073973</v>
      </c>
      <c r="J316" s="230">
        <f t="shared" si="192"/>
        <v>22.776066035543131</v>
      </c>
      <c r="K316" s="230">
        <f t="shared" si="192"/>
        <v>23.521980288845477</v>
      </c>
      <c r="L316" s="230">
        <f t="shared" si="192"/>
        <v>24.277465348278007</v>
      </c>
      <c r="M316" s="230">
        <f t="shared" si="192"/>
        <v>25.041947214732883</v>
      </c>
      <c r="N316" s="230">
        <f t="shared" si="192"/>
        <v>25.774670178890759</v>
      </c>
      <c r="O316" s="230">
        <f t="shared" si="192"/>
        <v>26.471463179215188</v>
      </c>
      <c r="P316" s="230">
        <f t="shared" si="192"/>
        <v>27.128241891274786</v>
      </c>
      <c r="Q316" s="230">
        <f t="shared" si="192"/>
        <v>27.741044128423265</v>
      </c>
      <c r="R316" s="230">
        <f t="shared" si="192"/>
        <v>28.306065029881584</v>
      </c>
      <c r="S316" s="230">
        <f t="shared" si="192"/>
        <v>28.876236384519867</v>
      </c>
      <c r="T316" s="230">
        <f t="shared" si="192"/>
        <v>29.451455724185376</v>
      </c>
      <c r="U316" s="230">
        <f t="shared" si="192"/>
        <v>30.031616124259045</v>
      </c>
      <c r="V316" s="230">
        <f t="shared" si="192"/>
        <v>30.616606171713869</v>
      </c>
      <c r="W316" s="230">
        <f t="shared" si="192"/>
        <v>31.20630993513344</v>
      </c>
      <c r="X316" s="230">
        <f t="shared" si="192"/>
        <v>31.800989394293492</v>
      </c>
      <c r="Y316" s="230">
        <f t="shared" si="192"/>
        <v>32.400542416450747</v>
      </c>
      <c r="Z316" s="230">
        <f t="shared" si="192"/>
        <v>33.004862733867583</v>
      </c>
      <c r="AA316" s="230">
        <f t="shared" si="192"/>
        <v>33.613839913657351</v>
      </c>
      <c r="AB316" s="230">
        <f t="shared" si="192"/>
        <v>34.227359329146488</v>
      </c>
      <c r="AC316" s="230">
        <f t="shared" si="192"/>
        <v>34.845662987253071</v>
      </c>
      <c r="AD316" s="230">
        <f t="shared" si="192"/>
        <v>35.468648367675229</v>
      </c>
      <c r="AE316" s="230">
        <f t="shared" si="192"/>
        <v>36.096209073109613</v>
      </c>
      <c r="AF316" s="230">
        <f t="shared" si="192"/>
        <v>36.728234800136278</v>
      </c>
      <c r="AG316" s="230">
        <f t="shared" si="192"/>
        <v>37.364611311270146</v>
      </c>
      <c r="AI316" s="214"/>
    </row>
    <row r="317" spans="1:36" outlineLevel="1" x14ac:dyDescent="0.2">
      <c r="A317" s="112" t="s">
        <v>1364</v>
      </c>
      <c r="B317" s="302" t="s">
        <v>704</v>
      </c>
      <c r="C317" s="230">
        <f t="shared" ref="C317:AG317" si="193">C286*C$312</f>
        <v>4.5232222623249516</v>
      </c>
      <c r="D317" s="230">
        <f t="shared" si="193"/>
        <v>4.7668090542546118</v>
      </c>
      <c r="E317" s="230">
        <f t="shared" si="193"/>
        <v>5.0074564238283878</v>
      </c>
      <c r="F317" s="230">
        <f t="shared" si="193"/>
        <v>5.2435652956833998</v>
      </c>
      <c r="G317" s="230">
        <f t="shared" si="193"/>
        <v>5.4735045011641024</v>
      </c>
      <c r="H317" s="230">
        <f t="shared" si="193"/>
        <v>5.6956279220820383</v>
      </c>
      <c r="I317" s="230">
        <f t="shared" si="193"/>
        <v>5.9221759971362209</v>
      </c>
      <c r="J317" s="230">
        <f t="shared" si="193"/>
        <v>6.1530226353157191</v>
      </c>
      <c r="K317" s="230">
        <f t="shared" si="193"/>
        <v>6.3880298931749362</v>
      </c>
      <c r="L317" s="230">
        <f t="shared" si="193"/>
        <v>6.6270478851436296</v>
      </c>
      <c r="M317" s="230">
        <f t="shared" si="193"/>
        <v>6.869914722625837</v>
      </c>
      <c r="N317" s="230">
        <f t="shared" si="193"/>
        <v>7.1053886041654213</v>
      </c>
      <c r="O317" s="230">
        <f t="shared" si="193"/>
        <v>7.3321477986642885</v>
      </c>
      <c r="P317" s="230">
        <f t="shared" si="193"/>
        <v>7.548880011367392</v>
      </c>
      <c r="Q317" s="230">
        <f t="shared" si="193"/>
        <v>7.7542935584122841</v>
      </c>
      <c r="R317" s="230">
        <f t="shared" si="193"/>
        <v>7.9471286676954644</v>
      </c>
      <c r="S317" s="230">
        <f t="shared" si="193"/>
        <v>8.142112466605564</v>
      </c>
      <c r="T317" s="230">
        <f t="shared" si="193"/>
        <v>8.3392140048064629</v>
      </c>
      <c r="U317" s="230">
        <f t="shared" si="193"/>
        <v>8.5384006627795372</v>
      </c>
      <c r="V317" s="230">
        <f t="shared" si="193"/>
        <v>8.7396381364127649</v>
      </c>
      <c r="W317" s="230">
        <f t="shared" si="193"/>
        <v>8.9428904222927539</v>
      </c>
      <c r="X317" s="230">
        <f t="shared" si="193"/>
        <v>9.1482298257556671</v>
      </c>
      <c r="Y317" s="230">
        <f t="shared" si="193"/>
        <v>9.3556247575432181</v>
      </c>
      <c r="Z317" s="230">
        <f t="shared" si="193"/>
        <v>9.5650420746952118</v>
      </c>
      <c r="AA317" s="230">
        <f t="shared" si="193"/>
        <v>9.7764470664287391</v>
      </c>
      <c r="AB317" s="230">
        <f t="shared" si="193"/>
        <v>9.9898034405642928</v>
      </c>
      <c r="AC317" s="230">
        <f t="shared" si="193"/>
        <v>10.205178993231939</v>
      </c>
      <c r="AD317" s="230">
        <f t="shared" si="193"/>
        <v>10.422541342108747</v>
      </c>
      <c r="AE317" s="230">
        <f t="shared" si="193"/>
        <v>10.641856644364415</v>
      </c>
      <c r="AF317" s="230">
        <f t="shared" si="193"/>
        <v>10.863089583413677</v>
      </c>
      <c r="AG317" s="230">
        <f t="shared" si="193"/>
        <v>11.086203356091143</v>
      </c>
      <c r="AI317" s="214"/>
    </row>
    <row r="318" spans="1:36" outlineLevel="1" x14ac:dyDescent="0.2">
      <c r="A318" s="112" t="s">
        <v>1365</v>
      </c>
      <c r="B318" s="302" t="s">
        <v>704</v>
      </c>
      <c r="C318" s="230">
        <f t="shared" ref="C318:AG318" si="194">C287*C$312</f>
        <v>3.2308730445178222</v>
      </c>
      <c r="D318" s="230">
        <f t="shared" si="194"/>
        <v>3.393397278098933</v>
      </c>
      <c r="E318" s="230">
        <f t="shared" si="194"/>
        <v>3.5530848889664663</v>
      </c>
      <c r="F318" s="230">
        <f t="shared" si="194"/>
        <v>3.7088632579224052</v>
      </c>
      <c r="G318" s="230">
        <f t="shared" si="194"/>
        <v>3.8596470461139414</v>
      </c>
      <c r="H318" s="230">
        <f t="shared" si="194"/>
        <v>4.0043497618131374</v>
      </c>
      <c r="I318" s="230">
        <f t="shared" si="194"/>
        <v>4.1516285340748782</v>
      </c>
      <c r="J318" s="230">
        <f t="shared" si="194"/>
        <v>4.3013945218986489</v>
      </c>
      <c r="K318" s="230">
        <f t="shared" si="194"/>
        <v>4.4535516226960059</v>
      </c>
      <c r="L318" s="230">
        <f t="shared" si="194"/>
        <v>4.6079964410212479</v>
      </c>
      <c r="M318" s="230">
        <f t="shared" si="194"/>
        <v>4.7646182753695348</v>
      </c>
      <c r="N318" s="230">
        <f t="shared" si="194"/>
        <v>4.9156421558602741</v>
      </c>
      <c r="O318" s="230">
        <f t="shared" si="194"/>
        <v>5.0602146779514134</v>
      </c>
      <c r="P318" s="230">
        <f t="shared" si="194"/>
        <v>5.1974941018898111</v>
      </c>
      <c r="Q318" s="230">
        <f t="shared" si="194"/>
        <v>5.3266575811585932</v>
      </c>
      <c r="R318" s="230">
        <f t="shared" si="194"/>
        <v>5.4469084126901537</v>
      </c>
      <c r="S318" s="230">
        <f t="shared" si="194"/>
        <v>5.5683871078853455</v>
      </c>
      <c r="T318" s="230">
        <f t="shared" si="194"/>
        <v>5.6910732137681448</v>
      </c>
      <c r="U318" s="230">
        <f t="shared" si="194"/>
        <v>5.8149452789619307</v>
      </c>
      <c r="V318" s="230">
        <f t="shared" si="194"/>
        <v>5.9399808453719691</v>
      </c>
      <c r="W318" s="230">
        <f t="shared" si="194"/>
        <v>6.0661564402964894</v>
      </c>
      <c r="X318" s="230">
        <f t="shared" si="194"/>
        <v>6.1935220559463895</v>
      </c>
      <c r="Y318" s="230">
        <f t="shared" si="194"/>
        <v>6.3220570568684478</v>
      </c>
      <c r="Z318" s="230">
        <f t="shared" si="194"/>
        <v>6.4517398795691374</v>
      </c>
      <c r="AA318" s="230">
        <f t="shared" si="194"/>
        <v>6.5825480248066075</v>
      </c>
      <c r="AB318" s="230">
        <f t="shared" si="194"/>
        <v>6.7144580502153524</v>
      </c>
      <c r="AC318" s="230">
        <f t="shared" si="194"/>
        <v>6.8475164747333555</v>
      </c>
      <c r="AD318" s="230">
        <f t="shared" si="194"/>
        <v>6.9817023577657524</v>
      </c>
      <c r="AE318" s="230">
        <f t="shared" si="194"/>
        <v>7.1169938873183085</v>
      </c>
      <c r="AF318" s="230">
        <f t="shared" si="194"/>
        <v>7.2533683726853431</v>
      </c>
      <c r="AG318" s="230">
        <f t="shared" si="194"/>
        <v>7.3908022373940945</v>
      </c>
      <c r="AI318" s="214"/>
    </row>
    <row r="319" spans="1:36" s="58" customFormat="1" x14ac:dyDescent="0.2">
      <c r="A319" s="58" t="s">
        <v>1366</v>
      </c>
      <c r="B319" s="303"/>
      <c r="C319" s="304">
        <f>C47</f>
        <v>70.764479384937346</v>
      </c>
      <c r="D319" s="304">
        <f t="shared" ref="D319:AG319" si="195">D47</f>
        <v>72.844804561196213</v>
      </c>
      <c r="E319" s="304">
        <f t="shared" si="195"/>
        <v>74.630828567140853</v>
      </c>
      <c r="F319" s="304">
        <f t="shared" si="195"/>
        <v>76.33936088482173</v>
      </c>
      <c r="G319" s="304">
        <f t="shared" si="195"/>
        <v>77.881114094445621</v>
      </c>
      <c r="H319" s="304">
        <f t="shared" si="195"/>
        <v>79.244626407855833</v>
      </c>
      <c r="I319" s="304">
        <f t="shared" si="195"/>
        <v>79.833473780657812</v>
      </c>
      <c r="J319" s="304">
        <f t="shared" si="195"/>
        <v>80.372522912815668</v>
      </c>
      <c r="K319" s="304">
        <f t="shared" si="195"/>
        <v>80.86013181387338</v>
      </c>
      <c r="L319" s="304">
        <f t="shared" si="195"/>
        <v>81.294717715257875</v>
      </c>
      <c r="M319" s="304">
        <f t="shared" si="195"/>
        <v>81.674761982200437</v>
      </c>
      <c r="N319" s="304">
        <f t="shared" si="195"/>
        <v>81.316806037420363</v>
      </c>
      <c r="O319" s="304">
        <f t="shared" si="195"/>
        <v>80.764519417888508</v>
      </c>
      <c r="P319" s="304">
        <f t="shared" si="195"/>
        <v>80.007556255251814</v>
      </c>
      <c r="Q319" s="304">
        <f t="shared" si="195"/>
        <v>79.060496186314538</v>
      </c>
      <c r="R319" s="304">
        <f t="shared" si="195"/>
        <v>77.927652707414552</v>
      </c>
      <c r="S319" s="304">
        <f t="shared" si="195"/>
        <v>76.966697026807026</v>
      </c>
      <c r="T319" s="304">
        <f t="shared" si="195"/>
        <v>75.967893248609371</v>
      </c>
      <c r="U319" s="304">
        <f t="shared" si="195"/>
        <v>74.931051336166433</v>
      </c>
      <c r="V319" s="304">
        <f t="shared" si="195"/>
        <v>73.855996393546391</v>
      </c>
      <c r="W319" s="304">
        <f t="shared" si="195"/>
        <v>72.742568968689099</v>
      </c>
      <c r="X319" s="304">
        <f t="shared" si="195"/>
        <v>71.581487220911711</v>
      </c>
      <c r="Y319" s="304">
        <f t="shared" si="195"/>
        <v>70.382312540889274</v>
      </c>
      <c r="Z319" s="304">
        <f t="shared" si="195"/>
        <v>69.112643375411878</v>
      </c>
      <c r="AA319" s="304">
        <f t="shared" si="195"/>
        <v>67.803401645386941</v>
      </c>
      <c r="AB319" s="304">
        <f t="shared" si="195"/>
        <v>66.454447718667268</v>
      </c>
      <c r="AC319" s="304">
        <f t="shared" si="195"/>
        <v>64.94349819125695</v>
      </c>
      <c r="AD319" s="304">
        <f t="shared" si="195"/>
        <v>63.390828743205134</v>
      </c>
      <c r="AE319" s="304">
        <f t="shared" si="195"/>
        <v>61.796302904178766</v>
      </c>
      <c r="AF319" s="304">
        <f t="shared" si="195"/>
        <v>60.159798286552217</v>
      </c>
      <c r="AG319" s="304">
        <f t="shared" si="195"/>
        <v>58.48120681851465</v>
      </c>
      <c r="AI319" s="305"/>
      <c r="AJ319" s="306"/>
    </row>
    <row r="320" spans="1:36" s="58" customFormat="1" x14ac:dyDescent="0.2">
      <c r="A320" s="307" t="s">
        <v>3</v>
      </c>
      <c r="B320" s="308" t="s">
        <v>704</v>
      </c>
      <c r="C320" s="309">
        <f>C319-C309</f>
        <v>0</v>
      </c>
      <c r="D320" s="309">
        <f t="shared" ref="D320:AG320" si="196">D319-D309</f>
        <v>-0.29180629268307712</v>
      </c>
      <c r="E320" s="309">
        <f t="shared" si="196"/>
        <v>-0.75983817742807958</v>
      </c>
      <c r="F320" s="309">
        <f t="shared" si="196"/>
        <v>-1.1718151585254759</v>
      </c>
      <c r="G320" s="309">
        <f t="shared" si="196"/>
        <v>-1.6021727467683604</v>
      </c>
      <c r="H320" s="309">
        <f t="shared" si="196"/>
        <v>-2.0483131976025817</v>
      </c>
      <c r="I320" s="309">
        <f t="shared" si="196"/>
        <v>-3.2724719008796512</v>
      </c>
      <c r="J320" s="309">
        <f t="shared" si="196"/>
        <v>-4.5481406476541792</v>
      </c>
      <c r="K320" s="309">
        <f t="shared" si="196"/>
        <v>-5.8752782447643455</v>
      </c>
      <c r="L320" s="309">
        <f t="shared" si="196"/>
        <v>-7.2537447914633759</v>
      </c>
      <c r="M320" s="309">
        <f t="shared" si="196"/>
        <v>-8.6832991043719261</v>
      </c>
      <c r="N320" s="309">
        <f t="shared" si="196"/>
        <v>-10.713740159076849</v>
      </c>
      <c r="O320" s="309">
        <f t="shared" si="196"/>
        <v>-12.792122515505881</v>
      </c>
      <c r="P320" s="309">
        <f t="shared" si="196"/>
        <v>-14.920171311741726</v>
      </c>
      <c r="Q320" s="309">
        <f t="shared" si="196"/>
        <v>-17.075421476445598</v>
      </c>
      <c r="R320" s="309">
        <f t="shared" si="196"/>
        <v>-19.246484075665691</v>
      </c>
      <c r="S320" s="309">
        <f t="shared" si="196"/>
        <v>-21.246119605031865</v>
      </c>
      <c r="T320" s="309">
        <f t="shared" si="196"/>
        <v>-23.283832545129584</v>
      </c>
      <c r="U320" s="309">
        <f t="shared" si="196"/>
        <v>-25.35957873906375</v>
      </c>
      <c r="V320" s="309">
        <f t="shared" si="196"/>
        <v>-27.473296184846802</v>
      </c>
      <c r="W320" s="309">
        <f t="shared" si="196"/>
        <v>-29.624904808588198</v>
      </c>
      <c r="X320" s="309">
        <f t="shared" si="196"/>
        <v>-31.824583320252543</v>
      </c>
      <c r="Y320" s="309">
        <f t="shared" si="196"/>
        <v>-34.062561814398961</v>
      </c>
      <c r="Z320" s="309">
        <f t="shared" si="196"/>
        <v>-36.371030973040192</v>
      </c>
      <c r="AA320" s="309">
        <f t="shared" si="196"/>
        <v>-38.718855707891848</v>
      </c>
      <c r="AB320" s="309">
        <f t="shared" si="196"/>
        <v>-41.105960249671583</v>
      </c>
      <c r="AC320" s="309">
        <f t="shared" si="196"/>
        <v>-43.655437141243638</v>
      </c>
      <c r="AD320" s="309">
        <f t="shared" si="196"/>
        <v>-46.24682182931744</v>
      </c>
      <c r="AE320" s="309">
        <f t="shared" si="196"/>
        <v>-48.880059894641171</v>
      </c>
      <c r="AF320" s="309">
        <f t="shared" si="196"/>
        <v>-51.555080868538113</v>
      </c>
      <c r="AG320" s="309">
        <f t="shared" si="196"/>
        <v>-54.271798050878814</v>
      </c>
      <c r="AI320" s="305"/>
      <c r="AJ320" s="306"/>
    </row>
    <row r="321" spans="1:36" x14ac:dyDescent="0.2">
      <c r="A321" s="310" t="s">
        <v>51</v>
      </c>
      <c r="B321" s="302" t="s">
        <v>704</v>
      </c>
      <c r="C321" s="249">
        <f>C277</f>
        <v>6.1470184945809105</v>
      </c>
      <c r="D321" s="249">
        <f t="shared" ref="D321:AG321" si="197">D277</f>
        <v>6.5448867721839905</v>
      </c>
      <c r="E321" s="249">
        <f t="shared" si="197"/>
        <v>7.0212771180463296</v>
      </c>
      <c r="F321" s="249">
        <f t="shared" si="197"/>
        <v>7.5140781611890404</v>
      </c>
      <c r="G321" s="249">
        <f t="shared" si="197"/>
        <v>8.0080844384045271</v>
      </c>
      <c r="H321" s="249">
        <f t="shared" si="197"/>
        <v>8.5003238323923842</v>
      </c>
      <c r="I321" s="249">
        <f t="shared" si="197"/>
        <v>8.9748077011614278</v>
      </c>
      <c r="J321" s="249">
        <f t="shared" si="197"/>
        <v>9.455494526682978</v>
      </c>
      <c r="K321" s="249">
        <f t="shared" si="197"/>
        <v>9.9413609062364401</v>
      </c>
      <c r="L321" s="249">
        <f t="shared" si="197"/>
        <v>10.431298646977339</v>
      </c>
      <c r="M321" s="249">
        <f t="shared" si="197"/>
        <v>10.924113696924683</v>
      </c>
      <c r="N321" s="249">
        <f t="shared" si="197"/>
        <v>11.666117865206402</v>
      </c>
      <c r="O321" s="249">
        <f t="shared" si="197"/>
        <v>12.376437930029716</v>
      </c>
      <c r="P321" s="249">
        <f t="shared" si="197"/>
        <v>13.04769835808707</v>
      </c>
      <c r="Q321" s="249">
        <f t="shared" si="197"/>
        <v>13.674868536709345</v>
      </c>
      <c r="R321" s="249">
        <f t="shared" si="197"/>
        <v>14.252183186127187</v>
      </c>
      <c r="S321" s="249">
        <f t="shared" si="197"/>
        <v>14.826840129044371</v>
      </c>
      <c r="T321" s="249">
        <f t="shared" si="197"/>
        <v>15.376473134573164</v>
      </c>
      <c r="U321" s="249">
        <f t="shared" si="197"/>
        <v>15.899237011125567</v>
      </c>
      <c r="V321" s="249">
        <f t="shared" si="197"/>
        <v>16.393215374109513</v>
      </c>
      <c r="W321" s="249">
        <f t="shared" si="197"/>
        <v>16.856419590194808</v>
      </c>
      <c r="X321" s="249">
        <f t="shared" si="197"/>
        <v>17.743942493081946</v>
      </c>
      <c r="Y321" s="249">
        <f t="shared" si="197"/>
        <v>18.582317126177546</v>
      </c>
      <c r="Z321" s="249">
        <f t="shared" si="197"/>
        <v>19.359572088018702</v>
      </c>
      <c r="AA321" s="249">
        <f t="shared" si="197"/>
        <v>20.078910295487642</v>
      </c>
      <c r="AB321" s="249">
        <f t="shared" si="197"/>
        <v>20.736554998422633</v>
      </c>
      <c r="AC321" s="249">
        <f t="shared" si="197"/>
        <v>21.289916925842288</v>
      </c>
      <c r="AD321" s="249">
        <f t="shared" si="197"/>
        <v>21.766091260417127</v>
      </c>
      <c r="AE321" s="249">
        <f t="shared" si="197"/>
        <v>22.160171700357722</v>
      </c>
      <c r="AF321" s="249">
        <f t="shared" si="197"/>
        <v>22.467074267006492</v>
      </c>
      <c r="AG321" s="249">
        <f t="shared" si="197"/>
        <v>22.68153502836374</v>
      </c>
      <c r="AI321" s="296"/>
    </row>
    <row r="322" spans="1:36" s="68" customFormat="1" x14ac:dyDescent="0.2">
      <c r="A322" s="311" t="s">
        <v>1387</v>
      </c>
      <c r="B322" s="312" t="s">
        <v>704</v>
      </c>
      <c r="C322" s="313">
        <f>C319-C321</f>
        <v>64.61746089035644</v>
      </c>
      <c r="D322" s="313">
        <f t="shared" ref="D322:AG322" si="198">D319-D321</f>
        <v>66.299917789012227</v>
      </c>
      <c r="E322" s="313">
        <f t="shared" si="198"/>
        <v>67.609551449094525</v>
      </c>
      <c r="F322" s="313">
        <f t="shared" si="198"/>
        <v>68.825282723632682</v>
      </c>
      <c r="G322" s="313">
        <f t="shared" si="198"/>
        <v>69.873029656041098</v>
      </c>
      <c r="H322" s="313">
        <f t="shared" si="198"/>
        <v>70.74430257546345</v>
      </c>
      <c r="I322" s="313">
        <f t="shared" si="198"/>
        <v>70.858666079496388</v>
      </c>
      <c r="J322" s="313">
        <f t="shared" si="198"/>
        <v>70.917028386132685</v>
      </c>
      <c r="K322" s="313">
        <f t="shared" si="198"/>
        <v>70.91877090763694</v>
      </c>
      <c r="L322" s="313">
        <f t="shared" si="198"/>
        <v>70.863419068280535</v>
      </c>
      <c r="M322" s="313">
        <f t="shared" si="198"/>
        <v>70.750648285275759</v>
      </c>
      <c r="N322" s="313">
        <f t="shared" si="198"/>
        <v>69.650688172213961</v>
      </c>
      <c r="O322" s="313">
        <f t="shared" si="198"/>
        <v>68.388081487858784</v>
      </c>
      <c r="P322" s="313">
        <f t="shared" si="198"/>
        <v>66.959857897164738</v>
      </c>
      <c r="Q322" s="313">
        <f t="shared" si="198"/>
        <v>65.385627649605198</v>
      </c>
      <c r="R322" s="313">
        <f t="shared" si="198"/>
        <v>63.675469521287368</v>
      </c>
      <c r="S322" s="313">
        <f t="shared" si="198"/>
        <v>62.139856897762655</v>
      </c>
      <c r="T322" s="313">
        <f t="shared" si="198"/>
        <v>60.591420114036211</v>
      </c>
      <c r="U322" s="313">
        <f t="shared" si="198"/>
        <v>59.03181432504087</v>
      </c>
      <c r="V322" s="313">
        <f t="shared" si="198"/>
        <v>57.462781019436875</v>
      </c>
      <c r="W322" s="313">
        <f t="shared" si="198"/>
        <v>55.886149378494295</v>
      </c>
      <c r="X322" s="313">
        <f t="shared" si="198"/>
        <v>53.837544727829766</v>
      </c>
      <c r="Y322" s="313">
        <f t="shared" si="198"/>
        <v>51.799995414711731</v>
      </c>
      <c r="Z322" s="313">
        <f t="shared" si="198"/>
        <v>49.753071287393176</v>
      </c>
      <c r="AA322" s="313">
        <f t="shared" si="198"/>
        <v>47.724491349899296</v>
      </c>
      <c r="AB322" s="313">
        <f t="shared" si="198"/>
        <v>45.717892720244635</v>
      </c>
      <c r="AC322" s="313">
        <f t="shared" si="198"/>
        <v>43.653581265414658</v>
      </c>
      <c r="AD322" s="313">
        <f t="shared" si="198"/>
        <v>41.624737482788007</v>
      </c>
      <c r="AE322" s="313">
        <f t="shared" si="198"/>
        <v>39.636131203821044</v>
      </c>
      <c r="AF322" s="313">
        <f t="shared" si="198"/>
        <v>37.692724019545722</v>
      </c>
      <c r="AG322" s="313">
        <f t="shared" si="198"/>
        <v>35.79967179015091</v>
      </c>
      <c r="AI322" s="314"/>
      <c r="AJ322" s="315"/>
    </row>
    <row r="323" spans="1:36" s="58" customFormat="1" outlineLevel="1" x14ac:dyDescent="0.2">
      <c r="A323" s="307" t="s">
        <v>1367</v>
      </c>
      <c r="B323" s="308" t="s">
        <v>462</v>
      </c>
      <c r="C323" s="309">
        <f>C319*C289</f>
        <v>59.44216268334737</v>
      </c>
      <c r="D323" s="309">
        <f t="shared" ref="D323:AG323" si="199">D319*D289</f>
        <v>61.481015049649599</v>
      </c>
      <c r="E323" s="309">
        <f t="shared" si="199"/>
        <v>63.286942624935442</v>
      </c>
      <c r="F323" s="309">
        <f t="shared" si="199"/>
        <v>65.04113547386811</v>
      </c>
      <c r="G323" s="309">
        <f t="shared" si="199"/>
        <v>66.66623366484545</v>
      </c>
      <c r="H323" s="309">
        <f t="shared" si="199"/>
        <v>68.150378710756016</v>
      </c>
      <c r="I323" s="309">
        <f t="shared" si="199"/>
        <v>68.976121346488355</v>
      </c>
      <c r="J323" s="309">
        <f t="shared" si="199"/>
        <v>69.763349888324001</v>
      </c>
      <c r="K323" s="309">
        <f t="shared" si="199"/>
        <v>70.510034941697583</v>
      </c>
      <c r="L323" s="309">
        <f t="shared" si="199"/>
        <v>71.214172718565905</v>
      </c>
      <c r="M323" s="309">
        <f t="shared" si="199"/>
        <v>71.873790544336387</v>
      </c>
      <c r="N323" s="309">
        <f t="shared" si="199"/>
        <v>71.884056537079601</v>
      </c>
      <c r="O323" s="309">
        <f t="shared" si="199"/>
        <v>71.718893243084992</v>
      </c>
      <c r="P323" s="309">
        <f t="shared" si="199"/>
        <v>71.366740179684612</v>
      </c>
      <c r="Q323" s="309">
        <f t="shared" si="199"/>
        <v>70.838204582937834</v>
      </c>
      <c r="R323" s="309">
        <f t="shared" si="199"/>
        <v>70.134887436673097</v>
      </c>
      <c r="S323" s="309">
        <f t="shared" si="199"/>
        <v>69.577894112233551</v>
      </c>
      <c r="T323" s="309">
        <f t="shared" si="199"/>
        <v>68.978847069737313</v>
      </c>
      <c r="U323" s="309">
        <f t="shared" si="199"/>
        <v>68.337118818583789</v>
      </c>
      <c r="V323" s="309">
        <f t="shared" si="199"/>
        <v>67.652092696488495</v>
      </c>
      <c r="W323" s="309">
        <f t="shared" si="199"/>
        <v>66.923163451193972</v>
      </c>
      <c r="X323" s="309">
        <f t="shared" si="199"/>
        <v>66.14129419212243</v>
      </c>
      <c r="Y323" s="309">
        <f t="shared" si="199"/>
        <v>65.314786037945254</v>
      </c>
      <c r="Z323" s="309">
        <f t="shared" si="199"/>
        <v>64.412983625883868</v>
      </c>
      <c r="AA323" s="309">
        <f t="shared" si="199"/>
        <v>63.46398394008218</v>
      </c>
      <c r="AB323" s="309">
        <f t="shared" si="199"/>
        <v>62.467180855547234</v>
      </c>
      <c r="AC323" s="309">
        <f t="shared" si="199"/>
        <v>61.306662292546562</v>
      </c>
      <c r="AD323" s="309">
        <f t="shared" si="199"/>
        <v>60.094505648558474</v>
      </c>
      <c r="AE323" s="309">
        <f t="shared" si="199"/>
        <v>58.83008036477819</v>
      </c>
      <c r="AF323" s="309">
        <f t="shared" si="199"/>
        <v>57.512767161943927</v>
      </c>
      <c r="AG323" s="309">
        <f t="shared" si="199"/>
        <v>56.14195854577406</v>
      </c>
      <c r="AI323" s="305"/>
      <c r="AJ323" s="339" t="s">
        <v>1363</v>
      </c>
    </row>
    <row r="324" spans="1:36" s="58" customFormat="1" outlineLevel="1" x14ac:dyDescent="0.2">
      <c r="A324" s="307" t="s">
        <v>1368</v>
      </c>
      <c r="B324" s="308" t="s">
        <v>462</v>
      </c>
      <c r="C324" s="309">
        <f>C323*C290</f>
        <v>13.077275790336421</v>
      </c>
      <c r="D324" s="309">
        <f t="shared" ref="D324:AG324" si="200">D323*D290</f>
        <v>13.935696744587242</v>
      </c>
      <c r="E324" s="309">
        <f t="shared" si="200"/>
        <v>14.766953279151602</v>
      </c>
      <c r="F324" s="309">
        <f t="shared" si="200"/>
        <v>15.609872513728345</v>
      </c>
      <c r="G324" s="309">
        <f t="shared" si="200"/>
        <v>16.444337637328541</v>
      </c>
      <c r="H324" s="309">
        <f t="shared" si="200"/>
        <v>17.264762606724855</v>
      </c>
      <c r="I324" s="309">
        <f t="shared" si="200"/>
        <v>17.933791550086969</v>
      </c>
      <c r="J324" s="309">
        <f t="shared" si="200"/>
        <v>18.603559970219731</v>
      </c>
      <c r="K324" s="309">
        <f t="shared" si="200"/>
        <v>19.272742884064002</v>
      </c>
      <c r="L324" s="309">
        <f t="shared" si="200"/>
        <v>19.939968361198446</v>
      </c>
      <c r="M324" s="309">
        <f t="shared" si="200"/>
        <v>20.60381995604309</v>
      </c>
      <c r="N324" s="309">
        <f t="shared" si="200"/>
        <v>21.085989917543341</v>
      </c>
      <c r="O324" s="309">
        <f t="shared" si="200"/>
        <v>21.515667972925488</v>
      </c>
      <c r="P324" s="309">
        <f t="shared" si="200"/>
        <v>21.885800321769938</v>
      </c>
      <c r="Q324" s="309">
        <f t="shared" si="200"/>
        <v>22.19597076932051</v>
      </c>
      <c r="R324" s="309">
        <f t="shared" si="200"/>
        <v>22.443163979735381</v>
      </c>
      <c r="S324" s="309">
        <f t="shared" si="200"/>
        <v>22.728778743329613</v>
      </c>
      <c r="T324" s="309">
        <f t="shared" si="200"/>
        <v>22.992949023245757</v>
      </c>
      <c r="U324" s="309">
        <f t="shared" si="200"/>
        <v>23.234620398318476</v>
      </c>
      <c r="V324" s="309">
        <f t="shared" si="200"/>
        <v>23.452725468115997</v>
      </c>
      <c r="W324" s="309">
        <f t="shared" si="200"/>
        <v>23.646184419421854</v>
      </c>
      <c r="X324" s="309">
        <f t="shared" si="200"/>
        <v>23.810865909164058</v>
      </c>
      <c r="Y324" s="309">
        <f t="shared" si="200"/>
        <v>23.948754880579909</v>
      </c>
      <c r="Z324" s="309">
        <f t="shared" si="200"/>
        <v>24.047513886996626</v>
      </c>
      <c r="AA324" s="309">
        <f t="shared" si="200"/>
        <v>24.116313897231212</v>
      </c>
      <c r="AB324" s="309">
        <f t="shared" si="200"/>
        <v>24.153976597478245</v>
      </c>
      <c r="AC324" s="309">
        <f t="shared" si="200"/>
        <v>24.113953835068298</v>
      </c>
      <c r="AD324" s="309">
        <f t="shared" si="200"/>
        <v>24.037802259423373</v>
      </c>
      <c r="AE324" s="309">
        <f t="shared" si="200"/>
        <v>23.924232681676447</v>
      </c>
      <c r="AF324" s="309">
        <f t="shared" si="200"/>
        <v>23.771943760270137</v>
      </c>
      <c r="AG324" s="309">
        <f t="shared" si="200"/>
        <v>23.579622589225103</v>
      </c>
      <c r="AI324" s="305"/>
      <c r="AJ324" s="339" t="s">
        <v>1363</v>
      </c>
    </row>
    <row r="325" spans="1:36" s="62" customFormat="1" outlineLevel="1" x14ac:dyDescent="0.2">
      <c r="A325" s="311" t="s">
        <v>1369</v>
      </c>
      <c r="B325" s="312" t="s">
        <v>462</v>
      </c>
      <c r="C325" s="313">
        <f>C323*C291</f>
        <v>46.364886893010947</v>
      </c>
      <c r="D325" s="313">
        <f t="shared" ref="D325:AG325" si="201">D323*D291</f>
        <v>47.545318305062352</v>
      </c>
      <c r="E325" s="313">
        <f t="shared" si="201"/>
        <v>48.519989345783841</v>
      </c>
      <c r="F325" s="313">
        <f t="shared" si="201"/>
        <v>49.431262960139762</v>
      </c>
      <c r="G325" s="313">
        <f t="shared" si="201"/>
        <v>50.221896027516912</v>
      </c>
      <c r="H325" s="313">
        <f t="shared" si="201"/>
        <v>50.885616104031158</v>
      </c>
      <c r="I325" s="313">
        <f t="shared" si="201"/>
        <v>51.042329796401383</v>
      </c>
      <c r="J325" s="313">
        <f t="shared" si="201"/>
        <v>51.159789918104273</v>
      </c>
      <c r="K325" s="313">
        <f t="shared" si="201"/>
        <v>51.237292057633589</v>
      </c>
      <c r="L325" s="313">
        <f t="shared" si="201"/>
        <v>51.274204357367459</v>
      </c>
      <c r="M325" s="313">
        <f t="shared" si="201"/>
        <v>51.26997058829329</v>
      </c>
      <c r="N325" s="313">
        <f t="shared" si="201"/>
        <v>50.798066619536257</v>
      </c>
      <c r="O325" s="313">
        <f t="shared" si="201"/>
        <v>50.203225270159507</v>
      </c>
      <c r="P325" s="313">
        <f t="shared" si="201"/>
        <v>49.480939857914677</v>
      </c>
      <c r="Q325" s="313">
        <f t="shared" si="201"/>
        <v>48.642233813617317</v>
      </c>
      <c r="R325" s="313">
        <f t="shared" si="201"/>
        <v>47.691723456937716</v>
      </c>
      <c r="S325" s="313">
        <f t="shared" si="201"/>
        <v>46.849115368903938</v>
      </c>
      <c r="T325" s="313">
        <f t="shared" si="201"/>
        <v>45.985898046491556</v>
      </c>
      <c r="U325" s="313">
        <f t="shared" si="201"/>
        <v>45.102498420265313</v>
      </c>
      <c r="V325" s="313">
        <f t="shared" si="201"/>
        <v>44.199367228372495</v>
      </c>
      <c r="W325" s="313">
        <f t="shared" si="201"/>
        <v>43.276979031772122</v>
      </c>
      <c r="X325" s="313">
        <f t="shared" si="201"/>
        <v>42.330428282958373</v>
      </c>
      <c r="Y325" s="313">
        <f t="shared" si="201"/>
        <v>41.366031157365342</v>
      </c>
      <c r="Z325" s="313">
        <f t="shared" si="201"/>
        <v>40.365469738887242</v>
      </c>
      <c r="AA325" s="313">
        <f t="shared" si="201"/>
        <v>39.347670042850972</v>
      </c>
      <c r="AB325" s="313">
        <f t="shared" si="201"/>
        <v>38.313204258068986</v>
      </c>
      <c r="AC325" s="313">
        <f t="shared" si="201"/>
        <v>37.192708457478261</v>
      </c>
      <c r="AD325" s="313">
        <f t="shared" si="201"/>
        <v>36.056703389135102</v>
      </c>
      <c r="AE325" s="313">
        <f t="shared" si="201"/>
        <v>34.905847683101747</v>
      </c>
      <c r="AF325" s="313">
        <f t="shared" si="201"/>
        <v>33.740823401673786</v>
      </c>
      <c r="AG325" s="313">
        <f t="shared" si="201"/>
        <v>32.562335956548957</v>
      </c>
      <c r="AI325" s="342"/>
      <c r="AJ325" s="341" t="s">
        <v>1363</v>
      </c>
    </row>
    <row r="326" spans="1:36" s="1" customFormat="1" outlineLevel="1" x14ac:dyDescent="0.2">
      <c r="A326" t="s">
        <v>1370</v>
      </c>
      <c r="B326" s="302" t="s">
        <v>704</v>
      </c>
      <c r="C326" s="249">
        <f>C292*C323</f>
        <v>56.470054549179999</v>
      </c>
      <c r="D326" s="249">
        <f t="shared" ref="D326:AG326" si="202">D292*D323</f>
        <v>58.099559221918867</v>
      </c>
      <c r="E326" s="249">
        <f t="shared" si="202"/>
        <v>59.489726067439314</v>
      </c>
      <c r="F326" s="249">
        <f t="shared" si="202"/>
        <v>60.81346166806668</v>
      </c>
      <c r="G326" s="249">
        <f t="shared" si="202"/>
        <v>61.999597308306264</v>
      </c>
      <c r="H326" s="249">
        <f t="shared" si="202"/>
        <v>63.03910030744931</v>
      </c>
      <c r="I326" s="249">
        <f t="shared" si="202"/>
        <v>63.458031638769285</v>
      </c>
      <c r="J326" s="249">
        <f t="shared" si="202"/>
        <v>63.833465147816455</v>
      </c>
      <c r="K326" s="249">
        <f t="shared" si="202"/>
        <v>64.164131796944801</v>
      </c>
      <c r="L326" s="249">
        <f t="shared" si="202"/>
        <v>64.448826310302138</v>
      </c>
      <c r="M326" s="249">
        <f t="shared" si="202"/>
        <v>64.686411489902738</v>
      </c>
      <c r="N326" s="249">
        <f t="shared" si="202"/>
        <v>64.336230600686235</v>
      </c>
      <c r="O326" s="249">
        <f t="shared" si="202"/>
        <v>63.829814986345639</v>
      </c>
      <c r="P326" s="249">
        <f t="shared" si="202"/>
        <v>63.159565059020878</v>
      </c>
      <c r="Q326" s="249">
        <f t="shared" si="202"/>
        <v>62.337620032985285</v>
      </c>
      <c r="R326" s="249">
        <f t="shared" si="202"/>
        <v>61.368026507088949</v>
      </c>
      <c r="S326" s="249">
        <f t="shared" si="202"/>
        <v>60.532767877643181</v>
      </c>
      <c r="T326" s="249">
        <f t="shared" si="202"/>
        <v>59.666702715322771</v>
      </c>
      <c r="U326" s="249">
        <f t="shared" si="202"/>
        <v>58.769922183982054</v>
      </c>
      <c r="V326" s="249">
        <f t="shared" si="202"/>
        <v>57.842539255497655</v>
      </c>
      <c r="W326" s="249">
        <f t="shared" si="202"/>
        <v>56.884688933514866</v>
      </c>
      <c r="X326" s="249">
        <f t="shared" si="202"/>
        <v>55.889393592343446</v>
      </c>
      <c r="Y326" s="249">
        <f t="shared" si="202"/>
        <v>54.864420271874003</v>
      </c>
      <c r="Z326" s="249">
        <f t="shared" si="202"/>
        <v>53.784841327613023</v>
      </c>
      <c r="AA326" s="249">
        <f t="shared" si="202"/>
        <v>52.6751066702682</v>
      </c>
      <c r="AB326" s="249">
        <f t="shared" si="202"/>
        <v>51.535424205826459</v>
      </c>
      <c r="AC326" s="249">
        <f t="shared" si="202"/>
        <v>50.271463079888171</v>
      </c>
      <c r="AD326" s="249">
        <f t="shared" si="202"/>
        <v>48.977022103575145</v>
      </c>
      <c r="AE326" s="249">
        <f t="shared" si="202"/>
        <v>47.652365095470323</v>
      </c>
      <c r="AF326" s="249">
        <f t="shared" si="202"/>
        <v>46.297777565364854</v>
      </c>
      <c r="AG326" s="249">
        <f t="shared" si="202"/>
        <v>44.913566836619253</v>
      </c>
      <c r="AI326" s="316"/>
      <c r="AJ326" s="211" t="s">
        <v>1363</v>
      </c>
    </row>
    <row r="327" spans="1:36" s="1" customFormat="1" outlineLevel="1" x14ac:dyDescent="0.2">
      <c r="A327" t="s">
        <v>1371</v>
      </c>
      <c r="B327" s="302" t="s">
        <v>704</v>
      </c>
      <c r="C327" s="249">
        <f>C293*C323</f>
        <v>2.9721081341673687</v>
      </c>
      <c r="D327" s="249">
        <f t="shared" ref="D327:AG327" si="203">D293*D323</f>
        <v>3.3814558277307283</v>
      </c>
      <c r="E327" s="249">
        <f t="shared" si="203"/>
        <v>3.7972165574961272</v>
      </c>
      <c r="F327" s="249">
        <f t="shared" si="203"/>
        <v>4.2276738058014285</v>
      </c>
      <c r="G327" s="249">
        <f t="shared" si="203"/>
        <v>4.6666363565391826</v>
      </c>
      <c r="H327" s="249">
        <f t="shared" si="203"/>
        <v>5.1112784033067031</v>
      </c>
      <c r="I327" s="249">
        <f t="shared" si="203"/>
        <v>5.5180897077190707</v>
      </c>
      <c r="J327" s="249">
        <f t="shared" si="203"/>
        <v>5.9298847405075428</v>
      </c>
      <c r="K327" s="249">
        <f t="shared" si="203"/>
        <v>6.3459031447527856</v>
      </c>
      <c r="L327" s="249">
        <f t="shared" si="203"/>
        <v>6.7653464082637642</v>
      </c>
      <c r="M327" s="249">
        <f t="shared" si="203"/>
        <v>7.1873790544336424</v>
      </c>
      <c r="N327" s="249">
        <f t="shared" si="203"/>
        <v>7.5478259363933615</v>
      </c>
      <c r="O327" s="249">
        <f t="shared" si="203"/>
        <v>7.8890782567393529</v>
      </c>
      <c r="P327" s="249">
        <f t="shared" si="203"/>
        <v>8.2071751206637344</v>
      </c>
      <c r="Q327" s="249">
        <f t="shared" si="203"/>
        <v>8.5005845499525439</v>
      </c>
      <c r="R327" s="249">
        <f t="shared" si="203"/>
        <v>8.7668609295841406</v>
      </c>
      <c r="S327" s="249">
        <f t="shared" si="203"/>
        <v>9.0451262345903665</v>
      </c>
      <c r="T327" s="249">
        <f t="shared" si="203"/>
        <v>9.3121443544145421</v>
      </c>
      <c r="U327" s="249">
        <f t="shared" si="203"/>
        <v>9.5671966346017356</v>
      </c>
      <c r="V327" s="249">
        <f t="shared" si="203"/>
        <v>9.809553440990836</v>
      </c>
      <c r="W327" s="249">
        <f t="shared" si="203"/>
        <v>10.0384745176791</v>
      </c>
      <c r="X327" s="249">
        <f t="shared" si="203"/>
        <v>10.251900599778983</v>
      </c>
      <c r="Y327" s="249">
        <f t="shared" si="203"/>
        <v>10.450365766071247</v>
      </c>
      <c r="Z327" s="249">
        <f t="shared" si="203"/>
        <v>10.628142298270845</v>
      </c>
      <c r="AA327" s="249">
        <f t="shared" si="203"/>
        <v>10.788877269813977</v>
      </c>
      <c r="AB327" s="249">
        <f t="shared" si="203"/>
        <v>10.931756649720771</v>
      </c>
      <c r="AC327" s="249">
        <f t="shared" si="203"/>
        <v>11.035199212658387</v>
      </c>
      <c r="AD327" s="249">
        <f t="shared" si="203"/>
        <v>11.117483544983324</v>
      </c>
      <c r="AE327" s="249">
        <f t="shared" si="203"/>
        <v>11.177715269307862</v>
      </c>
      <c r="AF327" s="249">
        <f t="shared" si="203"/>
        <v>11.214989596579073</v>
      </c>
      <c r="AG327" s="249">
        <f t="shared" si="203"/>
        <v>11.228391709154813</v>
      </c>
      <c r="AI327" s="316"/>
      <c r="AJ327" s="211" t="s">
        <v>1363</v>
      </c>
    </row>
    <row r="328" spans="1:36" s="1" customFormat="1" outlineLevel="1" x14ac:dyDescent="0.2">
      <c r="A328" t="s">
        <v>1372</v>
      </c>
      <c r="B328" s="302" t="s">
        <v>704</v>
      </c>
      <c r="C328" s="249">
        <f>C326*C294</f>
        <v>8.4705081823769994</v>
      </c>
      <c r="D328" s="249">
        <f t="shared" ref="D328:AG328" si="204">D326*D294</f>
        <v>9.0828977583599819</v>
      </c>
      <c r="E328" s="249">
        <f t="shared" si="204"/>
        <v>9.676995440303461</v>
      </c>
      <c r="F328" s="249">
        <f t="shared" si="204"/>
        <v>10.277475021903268</v>
      </c>
      <c r="G328" s="249">
        <f t="shared" si="204"/>
        <v>10.870596061389698</v>
      </c>
      <c r="H328" s="249">
        <f t="shared" si="204"/>
        <v>11.452103222519957</v>
      </c>
      <c r="I328" s="249">
        <f t="shared" si="204"/>
        <v>11.930109948088624</v>
      </c>
      <c r="J328" s="249">
        <f t="shared" si="204"/>
        <v>12.40497006039233</v>
      </c>
      <c r="K328" s="249">
        <f t="shared" si="204"/>
        <v>12.875602447253588</v>
      </c>
      <c r="L328" s="249">
        <f t="shared" si="204"/>
        <v>13.340907046232541</v>
      </c>
      <c r="M328" s="249">
        <f t="shared" si="204"/>
        <v>13.799767784512582</v>
      </c>
      <c r="N328" s="249">
        <f t="shared" si="204"/>
        <v>14.132525321950741</v>
      </c>
      <c r="O328" s="249">
        <f t="shared" si="204"/>
        <v>14.42553818691411</v>
      </c>
      <c r="P328" s="249">
        <f t="shared" si="204"/>
        <v>14.674072282045847</v>
      </c>
      <c r="Q328" s="249">
        <f t="shared" si="204"/>
        <v>14.877911981205818</v>
      </c>
      <c r="R328" s="249">
        <f t="shared" si="204"/>
        <v>15.035166494236789</v>
      </c>
      <c r="S328" s="249">
        <f t="shared" si="204"/>
        <v>15.213902326580984</v>
      </c>
      <c r="T328" s="249">
        <f t="shared" si="204"/>
        <v>15.374120399648167</v>
      </c>
      <c r="U328" s="249">
        <f t="shared" si="204"/>
        <v>15.515259456571263</v>
      </c>
      <c r="V328" s="249">
        <f t="shared" si="204"/>
        <v>15.636766445402868</v>
      </c>
      <c r="W328" s="249">
        <f t="shared" si="204"/>
        <v>15.738097271605783</v>
      </c>
      <c r="X328" s="249">
        <f t="shared" si="204"/>
        <v>15.816698386633199</v>
      </c>
      <c r="Y328" s="249">
        <f t="shared" si="204"/>
        <v>15.874105598662217</v>
      </c>
      <c r="Z328" s="249">
        <f t="shared" si="204"/>
        <v>15.902384752530924</v>
      </c>
      <c r="AA328" s="249">
        <f t="shared" si="204"/>
        <v>15.907882214421004</v>
      </c>
      <c r="AB328" s="249">
        <f t="shared" si="204"/>
        <v>15.890089130129834</v>
      </c>
      <c r="AC328" s="249">
        <f t="shared" si="204"/>
        <v>15.818753715804821</v>
      </c>
      <c r="AD328" s="249">
        <f t="shared" si="204"/>
        <v>15.721624095247632</v>
      </c>
      <c r="AE328" s="249">
        <f t="shared" si="204"/>
        <v>15.598207507917298</v>
      </c>
      <c r="AF328" s="249">
        <f t="shared" si="204"/>
        <v>15.448025114310086</v>
      </c>
      <c r="AG328" s="249">
        <f t="shared" si="204"/>
        <v>15.270612724450547</v>
      </c>
      <c r="AI328" s="316"/>
      <c r="AJ328" s="211" t="s">
        <v>1363</v>
      </c>
    </row>
    <row r="329" spans="1:36" s="1" customFormat="1" outlineLevel="1" x14ac:dyDescent="0.2">
      <c r="A329" t="s">
        <v>1373</v>
      </c>
      <c r="B329" s="302" t="s">
        <v>704</v>
      </c>
      <c r="C329" s="249">
        <f>C326*C295</f>
        <v>47.999546366802996</v>
      </c>
      <c r="D329" s="249">
        <f t="shared" ref="D329:AG329" si="205">D326*D295</f>
        <v>49.016661463558883</v>
      </c>
      <c r="E329" s="249">
        <f t="shared" si="205"/>
        <v>49.812730627135856</v>
      </c>
      <c r="F329" s="249">
        <f t="shared" si="205"/>
        <v>50.535986646163416</v>
      </c>
      <c r="G329" s="249">
        <f t="shared" si="205"/>
        <v>51.129001246916573</v>
      </c>
      <c r="H329" s="249">
        <f t="shared" si="205"/>
        <v>51.586997084929358</v>
      </c>
      <c r="I329" s="249">
        <f t="shared" si="205"/>
        <v>51.527921690680671</v>
      </c>
      <c r="J329" s="249">
        <f t="shared" si="205"/>
        <v>51.428495087424139</v>
      </c>
      <c r="K329" s="249">
        <f t="shared" si="205"/>
        <v>51.288529349691224</v>
      </c>
      <c r="L329" s="249">
        <f t="shared" si="205"/>
        <v>51.107919264069615</v>
      </c>
      <c r="M329" s="249">
        <f t="shared" si="205"/>
        <v>50.886643705390171</v>
      </c>
      <c r="N329" s="249">
        <f t="shared" si="205"/>
        <v>50.203705278735512</v>
      </c>
      <c r="O329" s="249">
        <f t="shared" si="205"/>
        <v>49.40427679943155</v>
      </c>
      <c r="P329" s="249">
        <f t="shared" si="205"/>
        <v>48.48549277697505</v>
      </c>
      <c r="Q329" s="249">
        <f t="shared" si="205"/>
        <v>47.459708051779486</v>
      </c>
      <c r="R329" s="249">
        <f t="shared" si="205"/>
        <v>46.332860012852187</v>
      </c>
      <c r="S329" s="249">
        <f t="shared" si="205"/>
        <v>45.318865551062224</v>
      </c>
      <c r="T329" s="249">
        <f t="shared" si="205"/>
        <v>44.292582315674636</v>
      </c>
      <c r="U329" s="249">
        <f t="shared" si="205"/>
        <v>43.254662727410825</v>
      </c>
      <c r="V329" s="249">
        <f t="shared" si="205"/>
        <v>42.205772810094821</v>
      </c>
      <c r="W329" s="249">
        <f t="shared" si="205"/>
        <v>41.14659166190912</v>
      </c>
      <c r="X329" s="249">
        <f t="shared" si="205"/>
        <v>40.072695205710289</v>
      </c>
      <c r="Y329" s="249">
        <f t="shared" si="205"/>
        <v>38.990314673211827</v>
      </c>
      <c r="Z329" s="249">
        <f t="shared" si="205"/>
        <v>37.882456575082145</v>
      </c>
      <c r="AA329" s="249">
        <f t="shared" si="205"/>
        <v>36.767224455847241</v>
      </c>
      <c r="AB329" s="249">
        <f t="shared" si="205"/>
        <v>35.645335075696671</v>
      </c>
      <c r="AC329" s="249">
        <f t="shared" si="205"/>
        <v>34.452709364083397</v>
      </c>
      <c r="AD329" s="249">
        <f t="shared" si="205"/>
        <v>33.25539800832756</v>
      </c>
      <c r="AE329" s="249">
        <f t="shared" si="205"/>
        <v>32.054157587553078</v>
      </c>
      <c r="AF329" s="249">
        <f t="shared" si="205"/>
        <v>30.849752451054822</v>
      </c>
      <c r="AG329" s="249">
        <f t="shared" si="205"/>
        <v>29.642954112168709</v>
      </c>
      <c r="AI329" s="316"/>
      <c r="AJ329" s="211" t="s">
        <v>1363</v>
      </c>
    </row>
    <row r="330" spans="1:36" s="1" customFormat="1" outlineLevel="1" x14ac:dyDescent="0.2">
      <c r="A330" t="s">
        <v>1374</v>
      </c>
      <c r="B330" s="302" t="s">
        <v>704</v>
      </c>
      <c r="C330" s="249">
        <f>C296*C329</f>
        <v>0</v>
      </c>
      <c r="D330" s="249">
        <f t="shared" ref="D330:AG330" si="206">D296*D329</f>
        <v>0</v>
      </c>
      <c r="E330" s="249">
        <f t="shared" si="206"/>
        <v>0</v>
      </c>
      <c r="F330" s="249">
        <f t="shared" si="206"/>
        <v>0</v>
      </c>
      <c r="G330" s="249">
        <f t="shared" si="206"/>
        <v>0</v>
      </c>
      <c r="H330" s="249">
        <f t="shared" si="206"/>
        <v>0</v>
      </c>
      <c r="I330" s="249">
        <f t="shared" si="206"/>
        <v>0</v>
      </c>
      <c r="J330" s="249">
        <f t="shared" si="206"/>
        <v>0</v>
      </c>
      <c r="K330" s="249">
        <f t="shared" si="206"/>
        <v>0</v>
      </c>
      <c r="L330" s="249">
        <f t="shared" si="206"/>
        <v>0</v>
      </c>
      <c r="M330" s="249">
        <f t="shared" si="206"/>
        <v>0</v>
      </c>
      <c r="N330" s="249">
        <f t="shared" si="206"/>
        <v>0</v>
      </c>
      <c r="O330" s="249">
        <f t="shared" si="206"/>
        <v>0</v>
      </c>
      <c r="P330" s="249">
        <f t="shared" si="206"/>
        <v>0</v>
      </c>
      <c r="Q330" s="249">
        <f t="shared" si="206"/>
        <v>0</v>
      </c>
      <c r="R330" s="249">
        <f t="shared" si="206"/>
        <v>0</v>
      </c>
      <c r="S330" s="249">
        <f t="shared" si="206"/>
        <v>0</v>
      </c>
      <c r="T330" s="249">
        <f t="shared" si="206"/>
        <v>0</v>
      </c>
      <c r="U330" s="249">
        <f t="shared" si="206"/>
        <v>0</v>
      </c>
      <c r="V330" s="249">
        <f t="shared" si="206"/>
        <v>0</v>
      </c>
      <c r="W330" s="249">
        <f t="shared" si="206"/>
        <v>0</v>
      </c>
      <c r="X330" s="249">
        <f t="shared" si="206"/>
        <v>0</v>
      </c>
      <c r="Y330" s="249">
        <f t="shared" si="206"/>
        <v>0</v>
      </c>
      <c r="Z330" s="249">
        <f t="shared" si="206"/>
        <v>0</v>
      </c>
      <c r="AA330" s="249">
        <f t="shared" si="206"/>
        <v>0</v>
      </c>
      <c r="AB330" s="249">
        <f t="shared" si="206"/>
        <v>0</v>
      </c>
      <c r="AC330" s="249">
        <f t="shared" si="206"/>
        <v>0</v>
      </c>
      <c r="AD330" s="249">
        <f t="shared" si="206"/>
        <v>0</v>
      </c>
      <c r="AE330" s="249">
        <f t="shared" si="206"/>
        <v>0</v>
      </c>
      <c r="AF330" s="249">
        <f t="shared" si="206"/>
        <v>0</v>
      </c>
      <c r="AG330" s="249">
        <f t="shared" si="206"/>
        <v>0</v>
      </c>
      <c r="AI330" s="316"/>
      <c r="AJ330" s="211" t="s">
        <v>1363</v>
      </c>
    </row>
    <row r="331" spans="1:36" s="1" customFormat="1" outlineLevel="1" x14ac:dyDescent="0.2">
      <c r="A331" t="s">
        <v>1388</v>
      </c>
      <c r="B331" s="302" t="s">
        <v>704</v>
      </c>
      <c r="C331" s="249">
        <f>C297*C329</f>
        <v>47.999546366802996</v>
      </c>
      <c r="D331" s="249">
        <f t="shared" ref="D331:AG331" si="207">D297*D329</f>
        <v>49.016661463558883</v>
      </c>
      <c r="E331" s="249">
        <f t="shared" si="207"/>
        <v>49.812730627135856</v>
      </c>
      <c r="F331" s="249">
        <f t="shared" si="207"/>
        <v>50.535986646163416</v>
      </c>
      <c r="G331" s="249">
        <f t="shared" si="207"/>
        <v>51.129001246916573</v>
      </c>
      <c r="H331" s="249">
        <f t="shared" si="207"/>
        <v>51.586997084929358</v>
      </c>
      <c r="I331" s="249">
        <f t="shared" si="207"/>
        <v>51.527921690680671</v>
      </c>
      <c r="J331" s="249">
        <f t="shared" si="207"/>
        <v>51.428495087424139</v>
      </c>
      <c r="K331" s="249">
        <f t="shared" si="207"/>
        <v>51.288529349691224</v>
      </c>
      <c r="L331" s="249">
        <f t="shared" si="207"/>
        <v>51.107919264069615</v>
      </c>
      <c r="M331" s="249">
        <f t="shared" si="207"/>
        <v>50.886643705390171</v>
      </c>
      <c r="N331" s="249">
        <f t="shared" si="207"/>
        <v>50.203705278735512</v>
      </c>
      <c r="O331" s="249">
        <f t="shared" si="207"/>
        <v>49.40427679943155</v>
      </c>
      <c r="P331" s="249">
        <f t="shared" si="207"/>
        <v>48.48549277697505</v>
      </c>
      <c r="Q331" s="249">
        <f t="shared" si="207"/>
        <v>47.459708051779486</v>
      </c>
      <c r="R331" s="249">
        <f t="shared" si="207"/>
        <v>46.332860012852187</v>
      </c>
      <c r="S331" s="249">
        <f t="shared" si="207"/>
        <v>45.318865551062224</v>
      </c>
      <c r="T331" s="249">
        <f t="shared" si="207"/>
        <v>44.292582315674636</v>
      </c>
      <c r="U331" s="249">
        <f t="shared" si="207"/>
        <v>43.254662727410825</v>
      </c>
      <c r="V331" s="249">
        <f t="shared" si="207"/>
        <v>42.205772810094821</v>
      </c>
      <c r="W331" s="249">
        <f t="shared" si="207"/>
        <v>41.14659166190912</v>
      </c>
      <c r="X331" s="249">
        <f t="shared" si="207"/>
        <v>40.072695205710289</v>
      </c>
      <c r="Y331" s="249">
        <f t="shared" si="207"/>
        <v>38.990314673211827</v>
      </c>
      <c r="Z331" s="249">
        <f t="shared" si="207"/>
        <v>37.882456575082145</v>
      </c>
      <c r="AA331" s="249">
        <f t="shared" si="207"/>
        <v>36.767224455847241</v>
      </c>
      <c r="AB331" s="249">
        <f t="shared" si="207"/>
        <v>35.645335075696671</v>
      </c>
      <c r="AC331" s="249">
        <f t="shared" si="207"/>
        <v>34.452709364083397</v>
      </c>
      <c r="AD331" s="249">
        <f t="shared" si="207"/>
        <v>33.25539800832756</v>
      </c>
      <c r="AE331" s="249">
        <f t="shared" si="207"/>
        <v>32.054157587553078</v>
      </c>
      <c r="AF331" s="249">
        <f t="shared" si="207"/>
        <v>30.849752451054822</v>
      </c>
      <c r="AG331" s="249">
        <f t="shared" si="207"/>
        <v>29.642954112168709</v>
      </c>
      <c r="AI331" s="316"/>
      <c r="AJ331" s="211" t="s">
        <v>1363</v>
      </c>
    </row>
    <row r="332" spans="1:36" s="1" customFormat="1" outlineLevel="1" x14ac:dyDescent="0.2">
      <c r="A332" t="s">
        <v>1376</v>
      </c>
      <c r="B332" s="302" t="s">
        <v>704</v>
      </c>
      <c r="C332" s="249">
        <f>C298*(C330+C328)</f>
        <v>6.7764065459016001</v>
      </c>
      <c r="D332" s="249">
        <f t="shared" ref="D332:AG332" si="208">D298*(D330+D328)</f>
        <v>7.2965945325491859</v>
      </c>
      <c r="E332" s="249">
        <f t="shared" si="208"/>
        <v>7.8061096551781253</v>
      </c>
      <c r="F332" s="249">
        <f t="shared" si="208"/>
        <v>8.3247547677416467</v>
      </c>
      <c r="G332" s="249">
        <f t="shared" si="208"/>
        <v>8.8414181299302861</v>
      </c>
      <c r="H332" s="249">
        <f t="shared" si="208"/>
        <v>9.3525509650579632</v>
      </c>
      <c r="I332" s="249">
        <f t="shared" si="208"/>
        <v>9.7826901574326701</v>
      </c>
      <c r="J332" s="249">
        <f t="shared" si="208"/>
        <v>10.213425349723016</v>
      </c>
      <c r="K332" s="249">
        <f t="shared" si="208"/>
        <v>10.643831356396296</v>
      </c>
      <c r="L332" s="249">
        <f t="shared" si="208"/>
        <v>11.072952848373005</v>
      </c>
      <c r="M332" s="249">
        <f t="shared" si="208"/>
        <v>11.499806487093814</v>
      </c>
      <c r="N332" s="249">
        <f t="shared" si="208"/>
        <v>11.824212852698782</v>
      </c>
      <c r="O332" s="249">
        <f t="shared" si="208"/>
        <v>12.117452077007847</v>
      </c>
      <c r="P332" s="249">
        <f t="shared" si="208"/>
        <v>12.375134291191992</v>
      </c>
      <c r="Q332" s="249">
        <f t="shared" si="208"/>
        <v>12.596632144087586</v>
      </c>
      <c r="R332" s="249">
        <f t="shared" si="208"/>
        <v>12.779891520101263</v>
      </c>
      <c r="S332" s="249">
        <f t="shared" si="208"/>
        <v>12.982529985349098</v>
      </c>
      <c r="T332" s="249">
        <f t="shared" si="208"/>
        <v>13.170496475698588</v>
      </c>
      <c r="U332" s="249">
        <f t="shared" si="208"/>
        <v>13.343123132651277</v>
      </c>
      <c r="V332" s="249">
        <f t="shared" si="208"/>
        <v>13.499741697864467</v>
      </c>
      <c r="W332" s="249">
        <f t="shared" si="208"/>
        <v>13.639684302058335</v>
      </c>
      <c r="X332" s="249">
        <f t="shared" si="208"/>
        <v>13.760527596370872</v>
      </c>
      <c r="Y332" s="249">
        <f t="shared" si="208"/>
        <v>13.863385556164992</v>
      </c>
      <c r="Z332" s="249">
        <f t="shared" si="208"/>
        <v>13.941090633052099</v>
      </c>
      <c r="AA332" s="249">
        <f t="shared" si="208"/>
        <v>13.998936348690471</v>
      </c>
      <c r="AB332" s="249">
        <f t="shared" si="208"/>
        <v>14.03624539828134</v>
      </c>
      <c r="AC332" s="249">
        <f t="shared" si="208"/>
        <v>14.025961628013594</v>
      </c>
      <c r="AD332" s="249">
        <f t="shared" si="208"/>
        <v>13.992245444770379</v>
      </c>
      <c r="AE332" s="249">
        <f t="shared" si="208"/>
        <v>13.934398707072772</v>
      </c>
      <c r="AF332" s="249">
        <f t="shared" si="208"/>
        <v>13.851729185831363</v>
      </c>
      <c r="AG332" s="249">
        <f t="shared" si="208"/>
        <v>13.743551452005493</v>
      </c>
      <c r="AH332" s="249"/>
      <c r="AI332" s="316"/>
      <c r="AJ332" s="211" t="s">
        <v>1363</v>
      </c>
    </row>
    <row r="333" spans="1:36" s="1" customFormat="1" outlineLevel="1" x14ac:dyDescent="0.2">
      <c r="A333" t="s">
        <v>1377</v>
      </c>
      <c r="B333" s="302" t="s">
        <v>704</v>
      </c>
      <c r="C333" s="249">
        <f>C299*(C330+C328)</f>
        <v>1.6941016364754</v>
      </c>
      <c r="D333" s="249">
        <f t="shared" ref="D333:AG333" si="209">D299*(D330+D328)</f>
        <v>1.7863032258107967</v>
      </c>
      <c r="E333" s="249">
        <f t="shared" si="209"/>
        <v>1.870885785125336</v>
      </c>
      <c r="F333" s="249">
        <f t="shared" si="209"/>
        <v>1.9527202541616211</v>
      </c>
      <c r="G333" s="249">
        <f t="shared" si="209"/>
        <v>2.0291779314594107</v>
      </c>
      <c r="H333" s="249">
        <f t="shared" si="209"/>
        <v>2.0995522574619927</v>
      </c>
      <c r="I333" s="249">
        <f t="shared" si="209"/>
        <v>2.1474197906559529</v>
      </c>
      <c r="J333" s="249">
        <f t="shared" si="209"/>
        <v>2.1915447106693122</v>
      </c>
      <c r="K333" s="249">
        <f t="shared" si="209"/>
        <v>2.2317710908572894</v>
      </c>
      <c r="L333" s="249">
        <f t="shared" si="209"/>
        <v>2.2679541978595328</v>
      </c>
      <c r="M333" s="249">
        <f t="shared" si="209"/>
        <v>2.2999612974187649</v>
      </c>
      <c r="N333" s="249">
        <f t="shared" si="209"/>
        <v>2.3083124692519554</v>
      </c>
      <c r="O333" s="249">
        <f t="shared" si="209"/>
        <v>2.3080861099062591</v>
      </c>
      <c r="P333" s="249">
        <f t="shared" si="209"/>
        <v>2.2989379908538505</v>
      </c>
      <c r="Q333" s="249">
        <f t="shared" si="209"/>
        <v>2.2812798371182268</v>
      </c>
      <c r="R333" s="249">
        <f t="shared" si="209"/>
        <v>2.2552749741355198</v>
      </c>
      <c r="S333" s="249">
        <f t="shared" si="209"/>
        <v>2.2313723412318791</v>
      </c>
      <c r="T333" s="249">
        <f t="shared" si="209"/>
        <v>2.2036239239495723</v>
      </c>
      <c r="U333" s="249">
        <f t="shared" si="209"/>
        <v>2.1721363239199789</v>
      </c>
      <c r="V333" s="249">
        <f t="shared" si="209"/>
        <v>2.1370247475383941</v>
      </c>
      <c r="W333" s="249">
        <f t="shared" si="209"/>
        <v>2.0984129695474398</v>
      </c>
      <c r="X333" s="249">
        <f t="shared" si="209"/>
        <v>2.0561707902623181</v>
      </c>
      <c r="Y333" s="249">
        <f t="shared" si="209"/>
        <v>2.0107200424972165</v>
      </c>
      <c r="Z333" s="249">
        <f t="shared" si="209"/>
        <v>1.9612941194788165</v>
      </c>
      <c r="AA333" s="249">
        <f t="shared" si="209"/>
        <v>1.9089458657305232</v>
      </c>
      <c r="AB333" s="249">
        <f t="shared" si="209"/>
        <v>1.8538437318484833</v>
      </c>
      <c r="AC333" s="249">
        <f t="shared" si="209"/>
        <v>1.7927920877912158</v>
      </c>
      <c r="AD333" s="249">
        <f t="shared" si="209"/>
        <v>1.7293786504772424</v>
      </c>
      <c r="AE333" s="249">
        <f t="shared" si="209"/>
        <v>1.6638088008445147</v>
      </c>
      <c r="AF333" s="249">
        <f t="shared" si="209"/>
        <v>1.5962959284787119</v>
      </c>
      <c r="AG333" s="249">
        <f t="shared" si="209"/>
        <v>1.5270612724450547</v>
      </c>
      <c r="AI333" s="316"/>
      <c r="AJ333" s="211" t="s">
        <v>1363</v>
      </c>
    </row>
    <row r="334" spans="1:36" s="1" customFormat="1" outlineLevel="1" x14ac:dyDescent="0.2">
      <c r="A334" t="s">
        <v>1378</v>
      </c>
      <c r="B334" s="302" t="s">
        <v>704</v>
      </c>
      <c r="C334" s="249">
        <f>C327*C300</f>
        <v>2.8235027274590001</v>
      </c>
      <c r="D334" s="249">
        <f t="shared" ref="D334:AG334" si="210">D327*D300</f>
        <v>3.2078744285738843</v>
      </c>
      <c r="E334" s="249">
        <f t="shared" si="210"/>
        <v>3.5972298188013312</v>
      </c>
      <c r="F334" s="249">
        <f t="shared" si="210"/>
        <v>3.9993794202881516</v>
      </c>
      <c r="G334" s="249">
        <f t="shared" si="210"/>
        <v>4.4084158114773482</v>
      </c>
      <c r="H334" s="249">
        <f t="shared" si="210"/>
        <v>4.8216392937859904</v>
      </c>
      <c r="I334" s="249">
        <f t="shared" si="210"/>
        <v>5.1980405046713658</v>
      </c>
      <c r="J334" s="249">
        <f t="shared" si="210"/>
        <v>5.5780449125707632</v>
      </c>
      <c r="K334" s="249">
        <f t="shared" si="210"/>
        <v>5.9609183539711186</v>
      </c>
      <c r="L334" s="249">
        <f t="shared" si="210"/>
        <v>6.3458949309514123</v>
      </c>
      <c r="M334" s="249">
        <f t="shared" si="210"/>
        <v>6.7321783809861806</v>
      </c>
      <c r="N334" s="249">
        <f t="shared" si="210"/>
        <v>7.0597331925065934</v>
      </c>
      <c r="O334" s="249">
        <f t="shared" si="210"/>
        <v>7.3683990917945588</v>
      </c>
      <c r="P334" s="249">
        <f t="shared" si="210"/>
        <v>7.6545586625390465</v>
      </c>
      <c r="Q334" s="249">
        <f t="shared" si="210"/>
        <v>7.91687774418914</v>
      </c>
      <c r="R334" s="249">
        <f t="shared" si="210"/>
        <v>8.1531806645132558</v>
      </c>
      <c r="S334" s="249">
        <f t="shared" si="210"/>
        <v>8.3999072298562591</v>
      </c>
      <c r="T334" s="249">
        <f t="shared" si="210"/>
        <v>8.6354618646604244</v>
      </c>
      <c r="U334" s="249">
        <f t="shared" si="210"/>
        <v>8.8592240836412124</v>
      </c>
      <c r="V334" s="249">
        <f t="shared" si="210"/>
        <v>9.0705670817695321</v>
      </c>
      <c r="W334" s="249">
        <f t="shared" si="210"/>
        <v>9.2688581379903763</v>
      </c>
      <c r="X334" s="249">
        <f t="shared" si="210"/>
        <v>9.4522523529962292</v>
      </c>
      <c r="Y334" s="249">
        <f t="shared" si="210"/>
        <v>9.6213034152962695</v>
      </c>
      <c r="Z334" s="249">
        <f t="shared" si="210"/>
        <v>9.7708054862103388</v>
      </c>
      <c r="AA334" s="249">
        <f t="shared" si="210"/>
        <v>9.9041893336892386</v>
      </c>
      <c r="AB334" s="249">
        <f t="shared" si="210"/>
        <v>10.020776928910717</v>
      </c>
      <c r="AC334" s="249">
        <f t="shared" si="210"/>
        <v>10.100885679319987</v>
      </c>
      <c r="AD334" s="249">
        <f t="shared" si="210"/>
        <v>10.161379960114768</v>
      </c>
      <c r="AE334" s="249">
        <f t="shared" si="210"/>
        <v>10.201528135788319</v>
      </c>
      <c r="AF334" s="249">
        <f t="shared" si="210"/>
        <v>10.220593852349074</v>
      </c>
      <c r="AG334" s="249">
        <f t="shared" si="210"/>
        <v>10.217836455330881</v>
      </c>
      <c r="AI334" s="316"/>
      <c r="AJ334" s="211" t="s">
        <v>1363</v>
      </c>
    </row>
    <row r="335" spans="1:36" s="1" customFormat="1" outlineLevel="1" x14ac:dyDescent="0.2">
      <c r="A335" t="s">
        <v>1389</v>
      </c>
      <c r="B335" s="302" t="s">
        <v>704</v>
      </c>
      <c r="C335" s="249">
        <f>C327*C301</f>
        <v>0.14860540670836844</v>
      </c>
      <c r="D335" s="249">
        <f t="shared" ref="D335:AG335" si="211">D327*D301</f>
        <v>0.17358139915684406</v>
      </c>
      <c r="E335" s="249">
        <f t="shared" si="211"/>
        <v>0.19998673869479602</v>
      </c>
      <c r="F335" s="249">
        <f t="shared" si="211"/>
        <v>0.22829438551327713</v>
      </c>
      <c r="G335" s="249">
        <f t="shared" si="211"/>
        <v>0.25822054506183478</v>
      </c>
      <c r="H335" s="249">
        <f t="shared" si="211"/>
        <v>0.28963910952071314</v>
      </c>
      <c r="I335" s="249">
        <f t="shared" si="211"/>
        <v>0.32004920304770607</v>
      </c>
      <c r="J335" s="249">
        <f t="shared" si="211"/>
        <v>0.35183982793678081</v>
      </c>
      <c r="K335" s="249">
        <f t="shared" si="211"/>
        <v>0.38498479078166897</v>
      </c>
      <c r="L335" s="249">
        <f t="shared" si="211"/>
        <v>0.41945147731235333</v>
      </c>
      <c r="M335" s="249">
        <f t="shared" si="211"/>
        <v>0.45520067344746395</v>
      </c>
      <c r="N335" s="249">
        <f t="shared" si="211"/>
        <v>0.48809274388677071</v>
      </c>
      <c r="O335" s="249">
        <f t="shared" si="211"/>
        <v>0.52067916494479727</v>
      </c>
      <c r="P335" s="249">
        <f t="shared" si="211"/>
        <v>0.55261645812469151</v>
      </c>
      <c r="Q335" s="249">
        <f t="shared" si="211"/>
        <v>0.58370680576340817</v>
      </c>
      <c r="R335" s="249">
        <f t="shared" si="211"/>
        <v>0.61368026507089002</v>
      </c>
      <c r="S335" s="249">
        <f t="shared" si="211"/>
        <v>0.64521900473411309</v>
      </c>
      <c r="T335" s="249">
        <f t="shared" si="211"/>
        <v>0.67668248975412371</v>
      </c>
      <c r="U335" s="249">
        <f t="shared" si="211"/>
        <v>0.7079725509605288</v>
      </c>
      <c r="V335" s="249">
        <f t="shared" si="211"/>
        <v>0.73898635922131006</v>
      </c>
      <c r="W335" s="249">
        <f t="shared" si="211"/>
        <v>0.76961637968873153</v>
      </c>
      <c r="X335" s="249">
        <f t="shared" si="211"/>
        <v>0.79964824678276125</v>
      </c>
      <c r="Y335" s="249">
        <f t="shared" si="211"/>
        <v>0.82906235077498625</v>
      </c>
      <c r="Z335" s="249">
        <f t="shared" si="211"/>
        <v>0.85733681206051549</v>
      </c>
      <c r="AA335" s="249">
        <f t="shared" si="211"/>
        <v>0.88468793612474683</v>
      </c>
      <c r="AB335" s="249">
        <f t="shared" si="211"/>
        <v>0.91097972081006517</v>
      </c>
      <c r="AC335" s="249">
        <f t="shared" si="211"/>
        <v>0.93431353333841105</v>
      </c>
      <c r="AD335" s="249">
        <f t="shared" si="211"/>
        <v>0.95610358486856684</v>
      </c>
      <c r="AE335" s="249">
        <f t="shared" si="211"/>
        <v>0.97618713351955433</v>
      </c>
      <c r="AF335" s="249">
        <f t="shared" si="211"/>
        <v>0.99439574423001231</v>
      </c>
      <c r="AG335" s="249">
        <f t="shared" si="211"/>
        <v>1.0105552538239331</v>
      </c>
      <c r="AI335" s="316"/>
      <c r="AJ335" s="211" t="s">
        <v>1363</v>
      </c>
    </row>
    <row r="336" spans="1:36" s="1" customFormat="1" outlineLevel="1" x14ac:dyDescent="0.2">
      <c r="A336" t="s">
        <v>1380</v>
      </c>
      <c r="B336" s="302" t="s">
        <v>704</v>
      </c>
      <c r="C336" s="249">
        <f t="shared" ref="C336:AG336" si="212">C332*C302</f>
        <v>1.8296297673934321</v>
      </c>
      <c r="D336" s="249">
        <f t="shared" si="212"/>
        <v>1.9408941456580835</v>
      </c>
      <c r="E336" s="249">
        <f t="shared" si="212"/>
        <v>2.0452007296566688</v>
      </c>
      <c r="F336" s="249">
        <f t="shared" si="212"/>
        <v>2.1477867300773448</v>
      </c>
      <c r="G336" s="249">
        <f t="shared" si="212"/>
        <v>2.2457202050022929</v>
      </c>
      <c r="H336" s="249">
        <f t="shared" si="212"/>
        <v>2.3381377412644908</v>
      </c>
      <c r="I336" s="249">
        <f t="shared" si="212"/>
        <v>2.4065417787284367</v>
      </c>
      <c r="J336" s="249">
        <f t="shared" si="212"/>
        <v>2.4716489346329698</v>
      </c>
      <c r="K336" s="249">
        <f t="shared" si="212"/>
        <v>2.5332318628223183</v>
      </c>
      <c r="L336" s="249">
        <f t="shared" si="212"/>
        <v>2.591070966519283</v>
      </c>
      <c r="M336" s="249">
        <f t="shared" si="212"/>
        <v>2.6449554920315768</v>
      </c>
      <c r="N336" s="249">
        <f t="shared" si="212"/>
        <v>2.6722721047099243</v>
      </c>
      <c r="O336" s="249">
        <f t="shared" si="212"/>
        <v>2.6900743610957418</v>
      </c>
      <c r="P336" s="249">
        <f t="shared" si="212"/>
        <v>2.6977792754798542</v>
      </c>
      <c r="Q336" s="249">
        <f t="shared" si="212"/>
        <v>2.695679278834743</v>
      </c>
      <c r="R336" s="249">
        <f t="shared" si="212"/>
        <v>2.6837772192212648</v>
      </c>
      <c r="S336" s="249">
        <f t="shared" si="212"/>
        <v>2.6744011769819136</v>
      </c>
      <c r="T336" s="249">
        <f t="shared" si="212"/>
        <v>2.6604402880911144</v>
      </c>
      <c r="U336" s="249">
        <f t="shared" si="212"/>
        <v>2.6419383802649521</v>
      </c>
      <c r="V336" s="249">
        <f t="shared" si="212"/>
        <v>2.6189498893857057</v>
      </c>
      <c r="W336" s="249">
        <f t="shared" si="212"/>
        <v>2.591540017391083</v>
      </c>
      <c r="X336" s="249">
        <f t="shared" si="212"/>
        <v>2.5594581329249815</v>
      </c>
      <c r="Y336" s="249">
        <f t="shared" si="212"/>
        <v>2.5231361712220277</v>
      </c>
      <c r="Z336" s="249">
        <f t="shared" si="212"/>
        <v>2.4815141326832726</v>
      </c>
      <c r="AA336" s="249">
        <f t="shared" si="212"/>
        <v>2.4358149246721408</v>
      </c>
      <c r="AB336" s="249">
        <f t="shared" si="212"/>
        <v>2.3861617177078269</v>
      </c>
      <c r="AC336" s="249">
        <f t="shared" si="212"/>
        <v>2.3283096302502555</v>
      </c>
      <c r="AD336" s="249">
        <f t="shared" si="212"/>
        <v>2.2667437620528004</v>
      </c>
      <c r="AE336" s="249">
        <f t="shared" si="212"/>
        <v>2.2016349957174968</v>
      </c>
      <c r="AF336" s="249">
        <f t="shared" si="212"/>
        <v>2.1331662946180288</v>
      </c>
      <c r="AG336" s="249">
        <f t="shared" si="212"/>
        <v>2.0615327178008238</v>
      </c>
      <c r="AI336" s="316"/>
      <c r="AJ336" s="211"/>
    </row>
    <row r="337" spans="1:36" s="67" customFormat="1" x14ac:dyDescent="0.2">
      <c r="A337" s="345" t="s">
        <v>1381</v>
      </c>
      <c r="B337" s="308" t="s">
        <v>704</v>
      </c>
      <c r="C337" s="309">
        <f>C303*C$322</f>
        <v>10.33879374245703</v>
      </c>
      <c r="D337" s="309">
        <f t="shared" ref="D337:AG342" si="213">D303*D$322</f>
        <v>10.961586407783354</v>
      </c>
      <c r="E337" s="309">
        <f t="shared" si="213"/>
        <v>11.538696780645465</v>
      </c>
      <c r="F337" s="309">
        <f t="shared" si="213"/>
        <v>12.113249759359352</v>
      </c>
      <c r="G337" s="309">
        <f t="shared" si="213"/>
        <v>12.670309377628785</v>
      </c>
      <c r="H337" s="309">
        <f t="shared" si="213"/>
        <v>13.205603147419843</v>
      </c>
      <c r="I337" s="309">
        <f t="shared" si="213"/>
        <v>13.604863887263305</v>
      </c>
      <c r="J337" s="309">
        <f t="shared" si="213"/>
        <v>13.994293601530181</v>
      </c>
      <c r="K337" s="309">
        <f t="shared" si="213"/>
        <v>14.372870903947751</v>
      </c>
      <c r="L337" s="309">
        <f t="shared" si="213"/>
        <v>14.739591166202349</v>
      </c>
      <c r="M337" s="309">
        <f t="shared" si="213"/>
        <v>15.093471634192159</v>
      </c>
      <c r="N337" s="309">
        <f t="shared" si="213"/>
        <v>15.230283813657449</v>
      </c>
      <c r="O337" s="309">
        <f t="shared" si="213"/>
        <v>15.318930253280364</v>
      </c>
      <c r="P337" s="309">
        <f t="shared" si="213"/>
        <v>15.35612741108311</v>
      </c>
      <c r="Q337" s="309">
        <f t="shared" si="213"/>
        <v>15.343827288440682</v>
      </c>
      <c r="R337" s="309">
        <f t="shared" si="213"/>
        <v>15.282112685108965</v>
      </c>
      <c r="S337" s="309">
        <f t="shared" si="213"/>
        <v>15.244978225584434</v>
      </c>
      <c r="T337" s="309">
        <f t="shared" si="213"/>
        <v>15.188249308585073</v>
      </c>
      <c r="U337" s="309">
        <f t="shared" si="213"/>
        <v>15.112144467210459</v>
      </c>
      <c r="V337" s="309">
        <f t="shared" si="213"/>
        <v>15.016940106412836</v>
      </c>
      <c r="W337" s="309">
        <f t="shared" si="213"/>
        <v>14.902973167598478</v>
      </c>
      <c r="X337" s="309">
        <f t="shared" si="213"/>
        <v>14.643812165969697</v>
      </c>
      <c r="Y337" s="309">
        <f t="shared" si="213"/>
        <v>14.365865395013389</v>
      </c>
      <c r="Z337" s="309">
        <f t="shared" si="213"/>
        <v>14.063534817236475</v>
      </c>
      <c r="AA337" s="309">
        <f t="shared" si="213"/>
        <v>13.744653508771002</v>
      </c>
      <c r="AB337" s="309">
        <f t="shared" si="213"/>
        <v>13.410581864605097</v>
      </c>
      <c r="AC337" s="309">
        <f t="shared" si="213"/>
        <v>13.03786960460385</v>
      </c>
      <c r="AD337" s="309">
        <f t="shared" si="213"/>
        <v>12.653920194767561</v>
      </c>
      <c r="AE337" s="309">
        <f t="shared" si="213"/>
        <v>12.260776585715316</v>
      </c>
      <c r="AF337" s="309">
        <f t="shared" si="213"/>
        <v>11.860643824817062</v>
      </c>
      <c r="AG337" s="309">
        <f t="shared" si="213"/>
        <v>11.455894972848292</v>
      </c>
      <c r="AI337" s="337"/>
      <c r="AJ337" s="348"/>
    </row>
    <row r="338" spans="1:36" x14ac:dyDescent="0.2">
      <c r="A338" s="346" t="s">
        <v>1382</v>
      </c>
      <c r="B338" s="302" t="s">
        <v>704</v>
      </c>
      <c r="C338" s="249">
        <f t="shared" ref="C338:R342" si="214">C304*C$322</f>
        <v>23.908460529431881</v>
      </c>
      <c r="D338" s="249">
        <f t="shared" si="214"/>
        <v>24.641469444916211</v>
      </c>
      <c r="E338" s="249">
        <f t="shared" si="214"/>
        <v>25.240899207661954</v>
      </c>
      <c r="F338" s="249">
        <f t="shared" si="214"/>
        <v>25.809481021362252</v>
      </c>
      <c r="G338" s="249">
        <f t="shared" si="214"/>
        <v>26.318841170442141</v>
      </c>
      <c r="H338" s="249">
        <f t="shared" si="214"/>
        <v>26.764927807716997</v>
      </c>
      <c r="I338" s="249">
        <f t="shared" si="214"/>
        <v>26.926293110208618</v>
      </c>
      <c r="J338" s="249">
        <f t="shared" si="214"/>
        <v>27.066665834040634</v>
      </c>
      <c r="K338" s="249">
        <f t="shared" si="214"/>
        <v>27.185528847927483</v>
      </c>
      <c r="L338" s="249">
        <f t="shared" si="214"/>
        <v>27.282416341287995</v>
      </c>
      <c r="M338" s="249">
        <f t="shared" si="214"/>
        <v>27.356917336973282</v>
      </c>
      <c r="N338" s="249">
        <f t="shared" si="214"/>
        <v>27.047683906876408</v>
      </c>
      <c r="O338" s="249">
        <f t="shared" si="214"/>
        <v>26.67135178026491</v>
      </c>
      <c r="P338" s="249">
        <f t="shared" si="214"/>
        <v>26.225944343056174</v>
      </c>
      <c r="Q338" s="249">
        <f t="shared" si="214"/>
        <v>25.718346875511362</v>
      </c>
      <c r="R338" s="249">
        <f t="shared" si="214"/>
        <v>25.151810460908493</v>
      </c>
      <c r="S338" s="249">
        <f t="shared" si="213"/>
        <v>24.64880990277917</v>
      </c>
      <c r="T338" s="249">
        <f t="shared" si="213"/>
        <v>24.135582345424407</v>
      </c>
      <c r="U338" s="249">
        <f t="shared" si="213"/>
        <v>23.612725730016329</v>
      </c>
      <c r="V338" s="249">
        <f t="shared" si="213"/>
        <v>23.080883709473792</v>
      </c>
      <c r="W338" s="249">
        <f t="shared" si="213"/>
        <v>22.540746915992681</v>
      </c>
      <c r="X338" s="249">
        <f t="shared" si="213"/>
        <v>21.804205614771035</v>
      </c>
      <c r="Y338" s="249">
        <f t="shared" si="213"/>
        <v>21.065331468649418</v>
      </c>
      <c r="Z338" s="249">
        <f t="shared" si="213"/>
        <v>20.315837442352194</v>
      </c>
      <c r="AA338" s="249">
        <f t="shared" si="213"/>
        <v>19.567041453458693</v>
      </c>
      <c r="AB338" s="249">
        <f t="shared" si="213"/>
        <v>18.820532503167353</v>
      </c>
      <c r="AC338" s="249">
        <f t="shared" si="213"/>
        <v>18.043480256371371</v>
      </c>
      <c r="AD338" s="249">
        <f t="shared" si="213"/>
        <v>17.274266055357003</v>
      </c>
      <c r="AE338" s="249">
        <f t="shared" si="213"/>
        <v>16.515054668258749</v>
      </c>
      <c r="AF338" s="249">
        <f t="shared" si="213"/>
        <v>15.768122881509941</v>
      </c>
      <c r="AG338" s="249">
        <f t="shared" si="213"/>
        <v>15.035862151863382</v>
      </c>
      <c r="AI338" s="296"/>
    </row>
    <row r="339" spans="1:36" x14ac:dyDescent="0.2">
      <c r="A339" s="346" t="s">
        <v>1383</v>
      </c>
      <c r="B339" s="302" t="s">
        <v>704</v>
      </c>
      <c r="C339" s="249">
        <f t="shared" si="214"/>
        <v>5.169396871228515</v>
      </c>
      <c r="D339" s="249">
        <f t="shared" si="213"/>
        <v>5.1492936149466155</v>
      </c>
      <c r="E339" s="249">
        <f t="shared" si="213"/>
        <v>5.0932528758317863</v>
      </c>
      <c r="F339" s="249">
        <f t="shared" si="213"/>
        <v>5.0242456388251844</v>
      </c>
      <c r="G339" s="249">
        <f t="shared" si="213"/>
        <v>4.9376940956935691</v>
      </c>
      <c r="H339" s="249">
        <f t="shared" si="213"/>
        <v>4.8341940093233333</v>
      </c>
      <c r="I339" s="249">
        <f t="shared" si="213"/>
        <v>4.6766719612467584</v>
      </c>
      <c r="J339" s="249">
        <f t="shared" si="213"/>
        <v>4.5150508072504447</v>
      </c>
      <c r="K339" s="249">
        <f t="shared" si="213"/>
        <v>4.3496846156683961</v>
      </c>
      <c r="L339" s="249">
        <f t="shared" si="213"/>
        <v>4.1809417250285481</v>
      </c>
      <c r="M339" s="249">
        <f t="shared" si="213"/>
        <v>4.0092034028322896</v>
      </c>
      <c r="N339" s="249">
        <f t="shared" si="213"/>
        <v>3.7843540573569556</v>
      </c>
      <c r="O339" s="249">
        <f t="shared" si="213"/>
        <v>3.556180237368654</v>
      </c>
      <c r="P339" s="249">
        <f t="shared" si="213"/>
        <v>3.3256729422258458</v>
      </c>
      <c r="Q339" s="249">
        <f t="shared" si="213"/>
        <v>3.0949197087479763</v>
      </c>
      <c r="R339" s="249">
        <f t="shared" si="213"/>
        <v>2.8653961284579288</v>
      </c>
      <c r="S339" s="249">
        <f t="shared" si="213"/>
        <v>2.6513005609712041</v>
      </c>
      <c r="T339" s="249">
        <f t="shared" si="213"/>
        <v>2.443853944599458</v>
      </c>
      <c r="U339" s="249">
        <f t="shared" si="213"/>
        <v>2.2432089443515504</v>
      </c>
      <c r="V339" s="249">
        <f t="shared" si="213"/>
        <v>2.0495058563599127</v>
      </c>
      <c r="W339" s="249">
        <f t="shared" si="213"/>
        <v>1.8628716459498076</v>
      </c>
      <c r="X339" s="249">
        <f t="shared" si="213"/>
        <v>1.6689638865627205</v>
      </c>
      <c r="Y339" s="249">
        <f t="shared" si="213"/>
        <v>1.4849332018884007</v>
      </c>
      <c r="Z339" s="249">
        <f t="shared" si="213"/>
        <v>1.3101642105680182</v>
      </c>
      <c r="AA339" s="249">
        <f t="shared" si="213"/>
        <v>1.145387792397581</v>
      </c>
      <c r="AB339" s="249">
        <f t="shared" si="213"/>
        <v>0.99055434227196526</v>
      </c>
      <c r="AC339" s="249">
        <f t="shared" si="213"/>
        <v>0.84396923779801492</v>
      </c>
      <c r="AD339" s="249">
        <f t="shared" si="213"/>
        <v>0.70762053720739448</v>
      </c>
      <c r="AE339" s="249">
        <f t="shared" si="213"/>
        <v>0.58132992432270703</v>
      </c>
      <c r="AF339" s="249">
        <f t="shared" si="213"/>
        <v>0.46487692957439575</v>
      </c>
      <c r="AG339" s="249">
        <f t="shared" si="213"/>
        <v>0.35799671790150911</v>
      </c>
      <c r="AI339" s="296"/>
    </row>
    <row r="340" spans="1:36" x14ac:dyDescent="0.2">
      <c r="A340" s="346" t="s">
        <v>1384</v>
      </c>
      <c r="B340" s="302" t="s">
        <v>704</v>
      </c>
      <c r="C340" s="249">
        <f t="shared" si="214"/>
        <v>17.446714440396239</v>
      </c>
      <c r="D340" s="249">
        <f t="shared" si="213"/>
        <v>17.657878104473593</v>
      </c>
      <c r="E340" s="249">
        <f t="shared" si="213"/>
        <v>17.758775513962163</v>
      </c>
      <c r="F340" s="249">
        <f t="shared" si="213"/>
        <v>17.82574822542087</v>
      </c>
      <c r="G340" s="249">
        <f t="shared" si="213"/>
        <v>17.840913572175833</v>
      </c>
      <c r="H340" s="249">
        <f t="shared" si="213"/>
        <v>17.803982814824973</v>
      </c>
      <c r="I340" s="249">
        <f t="shared" si="213"/>
        <v>17.57294918771511</v>
      </c>
      <c r="J340" s="249">
        <f t="shared" si="213"/>
        <v>17.327393935678423</v>
      </c>
      <c r="K340" s="249">
        <f t="shared" si="213"/>
        <v>17.067784198437963</v>
      </c>
      <c r="L340" s="249">
        <f t="shared" si="213"/>
        <v>16.794630319182492</v>
      </c>
      <c r="M340" s="249">
        <f t="shared" si="213"/>
        <v>16.508484599897677</v>
      </c>
      <c r="N340" s="249">
        <f t="shared" si="213"/>
        <v>15.996441383551808</v>
      </c>
      <c r="O340" s="249">
        <f t="shared" si="213"/>
        <v>15.455706416256085</v>
      </c>
      <c r="P340" s="249">
        <f t="shared" si="213"/>
        <v>14.88740840580296</v>
      </c>
      <c r="Q340" s="249">
        <f t="shared" si="213"/>
        <v>14.297657246047002</v>
      </c>
      <c r="R340" s="249">
        <f t="shared" si="213"/>
        <v>13.690225947076783</v>
      </c>
      <c r="S340" s="249">
        <f t="shared" si="213"/>
        <v>13.132223091060505</v>
      </c>
      <c r="T340" s="249">
        <f t="shared" si="213"/>
        <v>12.582818243681517</v>
      </c>
      <c r="U340" s="249">
        <f t="shared" si="213"/>
        <v>12.042490122308333</v>
      </c>
      <c r="V340" s="249">
        <f t="shared" si="213"/>
        <v>11.511710464227182</v>
      </c>
      <c r="W340" s="249">
        <f t="shared" si="213"/>
        <v>10.990942711103873</v>
      </c>
      <c r="X340" s="249">
        <f t="shared" si="213"/>
        <v>10.390646132471138</v>
      </c>
      <c r="Y340" s="249">
        <f t="shared" si="213"/>
        <v>9.8074657985187486</v>
      </c>
      <c r="Z340" s="249">
        <f t="shared" si="213"/>
        <v>9.2374869023593273</v>
      </c>
      <c r="AA340" s="249">
        <f t="shared" si="213"/>
        <v>8.6858574256816645</v>
      </c>
      <c r="AB340" s="249">
        <f t="shared" si="213"/>
        <v>8.1530242017769528</v>
      </c>
      <c r="AC340" s="249">
        <f t="shared" si="213"/>
        <v>7.6248255276924199</v>
      </c>
      <c r="AD340" s="249">
        <f t="shared" si="213"/>
        <v>7.117830109556742</v>
      </c>
      <c r="AE340" s="249">
        <f t="shared" si="213"/>
        <v>6.6324459547727139</v>
      </c>
      <c r="AF340" s="249">
        <f t="shared" si="213"/>
        <v>6.1690424978656422</v>
      </c>
      <c r="AG340" s="249">
        <f t="shared" si="213"/>
        <v>5.7279474864241458</v>
      </c>
      <c r="AI340" s="296"/>
    </row>
    <row r="341" spans="1:36" x14ac:dyDescent="0.2">
      <c r="A341" s="346" t="s">
        <v>1385</v>
      </c>
      <c r="B341" s="302" t="s">
        <v>704</v>
      </c>
      <c r="C341" s="249">
        <f t="shared" si="214"/>
        <v>4.5232222623249516</v>
      </c>
      <c r="D341" s="249">
        <f t="shared" si="213"/>
        <v>4.6188942726345186</v>
      </c>
      <c r="E341" s="249">
        <f t="shared" si="213"/>
        <v>4.6875955671372198</v>
      </c>
      <c r="F341" s="249">
        <f t="shared" si="213"/>
        <v>4.7489445079306547</v>
      </c>
      <c r="G341" s="249">
        <f t="shared" si="213"/>
        <v>4.7979480363814879</v>
      </c>
      <c r="H341" s="249">
        <f t="shared" si="213"/>
        <v>4.8341940093233342</v>
      </c>
      <c r="I341" s="249">
        <f t="shared" si="213"/>
        <v>4.8183892934057528</v>
      </c>
      <c r="J341" s="249">
        <f t="shared" si="213"/>
        <v>4.7987189207949763</v>
      </c>
      <c r="K341" s="249">
        <f t="shared" si="213"/>
        <v>4.7751972411142187</v>
      </c>
      <c r="L341" s="249">
        <f t="shared" si="213"/>
        <v>4.7478490775747932</v>
      </c>
      <c r="M341" s="249">
        <f t="shared" si="213"/>
        <v>4.7167098856850478</v>
      </c>
      <c r="N341" s="249">
        <f t="shared" si="213"/>
        <v>4.6201623154235225</v>
      </c>
      <c r="O341" s="249">
        <f t="shared" si="213"/>
        <v>4.5136133781986763</v>
      </c>
      <c r="P341" s="249">
        <f t="shared" si="213"/>
        <v>4.3970306685804808</v>
      </c>
      <c r="Q341" s="249">
        <f t="shared" si="213"/>
        <v>4.2718610064408686</v>
      </c>
      <c r="R341" s="249">
        <f t="shared" si="213"/>
        <v>4.138905518883675</v>
      </c>
      <c r="S341" s="249">
        <f t="shared" si="213"/>
        <v>4.0183774127219802</v>
      </c>
      <c r="T341" s="249">
        <f t="shared" si="213"/>
        <v>3.8980480273363249</v>
      </c>
      <c r="U341" s="249">
        <f t="shared" si="213"/>
        <v>3.7780361168026109</v>
      </c>
      <c r="V341" s="249">
        <f t="shared" si="213"/>
        <v>3.6584637249041427</v>
      </c>
      <c r="W341" s="249">
        <f t="shared" si="213"/>
        <v>3.5394561273046334</v>
      </c>
      <c r="X341" s="249">
        <f t="shared" si="213"/>
        <v>3.3917653178532698</v>
      </c>
      <c r="Y341" s="249">
        <f t="shared" si="213"/>
        <v>3.2461330459885964</v>
      </c>
      <c r="Z341" s="249">
        <f t="shared" si="213"/>
        <v>3.1012747769141695</v>
      </c>
      <c r="AA341" s="249">
        <f t="shared" si="213"/>
        <v>2.9589184636937516</v>
      </c>
      <c r="AB341" s="249">
        <f t="shared" si="213"/>
        <v>2.8192700510817481</v>
      </c>
      <c r="AC341" s="249">
        <f t="shared" si="213"/>
        <v>2.6774196509454282</v>
      </c>
      <c r="AD341" s="249">
        <f t="shared" si="213"/>
        <v>2.5391089864500644</v>
      </c>
      <c r="AE341" s="249">
        <f t="shared" si="213"/>
        <v>2.4045919596984731</v>
      </c>
      <c r="AF341" s="249">
        <f t="shared" si="213"/>
        <v>2.2741276825125887</v>
      </c>
      <c r="AG341" s="249">
        <f t="shared" si="213"/>
        <v>2.1479803074090547</v>
      </c>
      <c r="AI341" s="296"/>
    </row>
    <row r="342" spans="1:36" s="68" customFormat="1" x14ac:dyDescent="0.2">
      <c r="A342" s="347" t="s">
        <v>1386</v>
      </c>
      <c r="B342" s="312" t="s">
        <v>704</v>
      </c>
      <c r="C342" s="313">
        <f t="shared" si="214"/>
        <v>3.2308730445178222</v>
      </c>
      <c r="D342" s="313">
        <f t="shared" si="213"/>
        <v>3.2707959442579364</v>
      </c>
      <c r="E342" s="313">
        <f t="shared" si="213"/>
        <v>3.2903315038559335</v>
      </c>
      <c r="F342" s="313">
        <f t="shared" si="213"/>
        <v>3.3036135707343681</v>
      </c>
      <c r="G342" s="313">
        <f t="shared" si="213"/>
        <v>3.3073234037192778</v>
      </c>
      <c r="H342" s="313">
        <f t="shared" si="213"/>
        <v>3.3014007868549604</v>
      </c>
      <c r="I342" s="313">
        <f t="shared" si="213"/>
        <v>3.2594986396568326</v>
      </c>
      <c r="J342" s="313">
        <f t="shared" si="213"/>
        <v>3.2149052868380137</v>
      </c>
      <c r="K342" s="313">
        <f t="shared" si="213"/>
        <v>3.1677051005411152</v>
      </c>
      <c r="L342" s="313">
        <f t="shared" si="213"/>
        <v>3.117990439004342</v>
      </c>
      <c r="M342" s="313">
        <f t="shared" si="213"/>
        <v>3.0658614256952812</v>
      </c>
      <c r="N342" s="313">
        <f t="shared" si="213"/>
        <v>2.9717626953477936</v>
      </c>
      <c r="O342" s="313">
        <f t="shared" si="213"/>
        <v>2.8722994224900669</v>
      </c>
      <c r="P342" s="313">
        <f t="shared" si="213"/>
        <v>2.7676741264161402</v>
      </c>
      <c r="Q342" s="313">
        <f t="shared" si="213"/>
        <v>2.6590155244172755</v>
      </c>
      <c r="R342" s="313">
        <f t="shared" si="213"/>
        <v>2.5470187808514924</v>
      </c>
      <c r="S342" s="313">
        <f t="shared" si="213"/>
        <v>2.4441677046453285</v>
      </c>
      <c r="T342" s="313">
        <f t="shared" si="213"/>
        <v>2.3428682444093973</v>
      </c>
      <c r="U342" s="313">
        <f t="shared" si="213"/>
        <v>2.2432089443515499</v>
      </c>
      <c r="V342" s="313">
        <f t="shared" si="213"/>
        <v>2.1452771580589736</v>
      </c>
      <c r="W342" s="313">
        <f t="shared" si="213"/>
        <v>2.0491588105447875</v>
      </c>
      <c r="X342" s="313">
        <f t="shared" si="213"/>
        <v>1.9381516102018683</v>
      </c>
      <c r="Y342" s="313">
        <f t="shared" si="213"/>
        <v>1.8302665046531446</v>
      </c>
      <c r="Z342" s="313">
        <f t="shared" si="213"/>
        <v>1.7247731379629603</v>
      </c>
      <c r="AA342" s="313">
        <f t="shared" si="213"/>
        <v>1.6226327058965728</v>
      </c>
      <c r="AB342" s="313">
        <f t="shared" si="213"/>
        <v>1.5239297573414847</v>
      </c>
      <c r="AC342" s="313">
        <f t="shared" si="213"/>
        <v>1.4260169880035423</v>
      </c>
      <c r="AD342" s="313">
        <f t="shared" si="213"/>
        <v>1.3319915994492131</v>
      </c>
      <c r="AE342" s="313">
        <f t="shared" si="213"/>
        <v>1.2419321110530563</v>
      </c>
      <c r="AF342" s="313">
        <f t="shared" si="213"/>
        <v>1.1559102032660657</v>
      </c>
      <c r="AG342" s="313">
        <f t="shared" si="213"/>
        <v>1.0739901537045273</v>
      </c>
      <c r="AI342" s="314"/>
      <c r="AJ342" s="315"/>
    </row>
    <row r="343" spans="1:36" s="181" customFormat="1" x14ac:dyDescent="0.2">
      <c r="B343" s="176"/>
      <c r="C343" s="110"/>
      <c r="D343" s="110"/>
      <c r="E343" s="110"/>
      <c r="F343" s="110"/>
      <c r="G343" s="110"/>
      <c r="H343" s="110"/>
      <c r="I343" s="110"/>
      <c r="J343" s="110"/>
      <c r="K343" s="110"/>
      <c r="L343" s="110"/>
      <c r="M343" s="110"/>
      <c r="N343" s="110"/>
      <c r="O343" s="110"/>
      <c r="P343" s="110"/>
      <c r="Q343" s="110"/>
      <c r="R343" s="110"/>
      <c r="S343" s="110"/>
      <c r="T343" s="110"/>
      <c r="U343" s="110"/>
      <c r="V343" s="110"/>
      <c r="W343" s="110"/>
      <c r="X343" s="110"/>
      <c r="Y343" s="110"/>
      <c r="Z343" s="110"/>
      <c r="AA343" s="110"/>
      <c r="AB343" s="110"/>
      <c r="AC343" s="110"/>
      <c r="AD343" s="110"/>
      <c r="AE343" s="110"/>
      <c r="AF343" s="110"/>
      <c r="AG343" s="110"/>
      <c r="AJ343" s="323"/>
    </row>
    <row r="344" spans="1:36" s="181" customFormat="1" x14ac:dyDescent="0.2">
      <c r="A344" s="181" t="s">
        <v>1643</v>
      </c>
      <c r="B344" s="350" t="s">
        <v>704</v>
      </c>
      <c r="C344" s="230">
        <f>C277</f>
        <v>6.1470184945809105</v>
      </c>
      <c r="D344" s="230">
        <f t="shared" ref="D344:AG344" si="215">D277</f>
        <v>6.5448867721839905</v>
      </c>
      <c r="E344" s="230">
        <f t="shared" si="215"/>
        <v>7.0212771180463296</v>
      </c>
      <c r="F344" s="230">
        <f t="shared" si="215"/>
        <v>7.5140781611890404</v>
      </c>
      <c r="G344" s="230">
        <f t="shared" si="215"/>
        <v>8.0080844384045271</v>
      </c>
      <c r="H344" s="230">
        <f t="shared" si="215"/>
        <v>8.5003238323923842</v>
      </c>
      <c r="I344" s="230">
        <f t="shared" si="215"/>
        <v>8.9748077011614278</v>
      </c>
      <c r="J344" s="230">
        <f t="shared" si="215"/>
        <v>9.455494526682978</v>
      </c>
      <c r="K344" s="230">
        <f t="shared" si="215"/>
        <v>9.9413609062364401</v>
      </c>
      <c r="L344" s="230">
        <f t="shared" si="215"/>
        <v>10.431298646977339</v>
      </c>
      <c r="M344" s="230">
        <f t="shared" si="215"/>
        <v>10.924113696924683</v>
      </c>
      <c r="N344" s="230">
        <f t="shared" si="215"/>
        <v>11.666117865206402</v>
      </c>
      <c r="O344" s="230">
        <f t="shared" si="215"/>
        <v>12.376437930029716</v>
      </c>
      <c r="P344" s="230">
        <f t="shared" si="215"/>
        <v>13.04769835808707</v>
      </c>
      <c r="Q344" s="230">
        <f t="shared" si="215"/>
        <v>13.674868536709345</v>
      </c>
      <c r="R344" s="230">
        <f t="shared" si="215"/>
        <v>14.252183186127187</v>
      </c>
      <c r="S344" s="230">
        <f t="shared" si="215"/>
        <v>14.826840129044371</v>
      </c>
      <c r="T344" s="230">
        <f t="shared" si="215"/>
        <v>15.376473134573164</v>
      </c>
      <c r="U344" s="230">
        <f t="shared" si="215"/>
        <v>15.899237011125567</v>
      </c>
      <c r="V344" s="230">
        <f t="shared" si="215"/>
        <v>16.393215374109513</v>
      </c>
      <c r="W344" s="230">
        <f t="shared" si="215"/>
        <v>16.856419590194808</v>
      </c>
      <c r="X344" s="230">
        <f t="shared" si="215"/>
        <v>17.743942493081946</v>
      </c>
      <c r="Y344" s="230">
        <f t="shared" si="215"/>
        <v>18.582317126177546</v>
      </c>
      <c r="Z344" s="230">
        <f t="shared" si="215"/>
        <v>19.359572088018702</v>
      </c>
      <c r="AA344" s="230">
        <f t="shared" si="215"/>
        <v>20.078910295487642</v>
      </c>
      <c r="AB344" s="230">
        <f t="shared" si="215"/>
        <v>20.736554998422633</v>
      </c>
      <c r="AC344" s="230">
        <f t="shared" si="215"/>
        <v>21.289916925842288</v>
      </c>
      <c r="AD344" s="230">
        <f t="shared" si="215"/>
        <v>21.766091260417127</v>
      </c>
      <c r="AE344" s="230">
        <f t="shared" si="215"/>
        <v>22.160171700357722</v>
      </c>
      <c r="AF344" s="230">
        <f t="shared" si="215"/>
        <v>22.467074267006492</v>
      </c>
      <c r="AG344" s="230">
        <f t="shared" si="215"/>
        <v>22.68153502836374</v>
      </c>
      <c r="AI344" s="694" t="s">
        <v>1391</v>
      </c>
      <c r="AJ344" s="323"/>
    </row>
    <row r="345" spans="1:36" s="181" customFormat="1" x14ac:dyDescent="0.2">
      <c r="A345" s="181" t="s">
        <v>1644</v>
      </c>
      <c r="B345" s="349" t="s">
        <v>704</v>
      </c>
      <c r="C345" s="249">
        <f>C344/(1-C302)</f>
        <v>8.4205732802478224</v>
      </c>
      <c r="D345" s="249">
        <f t="shared" ref="D345:AG345" si="216">D344/(1-D302)</f>
        <v>8.9167394716403141</v>
      </c>
      <c r="E345" s="249">
        <f t="shared" si="216"/>
        <v>9.5139256342091194</v>
      </c>
      <c r="F345" s="249">
        <f t="shared" si="216"/>
        <v>10.126789974648302</v>
      </c>
      <c r="G345" s="249">
        <f t="shared" si="216"/>
        <v>10.734697638611967</v>
      </c>
      <c r="H345" s="249">
        <f t="shared" si="216"/>
        <v>11.333765109856513</v>
      </c>
      <c r="I345" s="249">
        <f t="shared" si="216"/>
        <v>11.902927985625237</v>
      </c>
      <c r="J345" s="249">
        <f t="shared" si="216"/>
        <v>12.474267185597595</v>
      </c>
      <c r="K345" s="249">
        <f t="shared" si="216"/>
        <v>13.046405388761732</v>
      </c>
      <c r="L345" s="249">
        <f t="shared" si="216"/>
        <v>13.617883351145352</v>
      </c>
      <c r="M345" s="249">
        <f t="shared" si="216"/>
        <v>14.187160645356732</v>
      </c>
      <c r="N345" s="249">
        <f t="shared" si="216"/>
        <v>15.072503701817057</v>
      </c>
      <c r="O345" s="249">
        <f t="shared" si="216"/>
        <v>15.908017904922515</v>
      </c>
      <c r="P345" s="249">
        <f t="shared" si="216"/>
        <v>16.685036263538453</v>
      </c>
      <c r="Q345" s="249">
        <f t="shared" si="216"/>
        <v>17.398051573421558</v>
      </c>
      <c r="R345" s="249">
        <f t="shared" si="216"/>
        <v>18.040738210287579</v>
      </c>
      <c r="S345" s="249">
        <f t="shared" si="216"/>
        <v>18.673602177637747</v>
      </c>
      <c r="T345" s="249">
        <f t="shared" si="216"/>
        <v>19.268763326532785</v>
      </c>
      <c r="U345" s="249">
        <f t="shared" si="216"/>
        <v>19.82448505127876</v>
      </c>
      <c r="V345" s="249">
        <f t="shared" si="216"/>
        <v>20.338976890954729</v>
      </c>
      <c r="W345" s="249">
        <f t="shared" si="216"/>
        <v>20.810394555796059</v>
      </c>
      <c r="X345" s="249">
        <f t="shared" si="216"/>
        <v>21.798455151206319</v>
      </c>
      <c r="Y345" s="249">
        <f t="shared" si="216"/>
        <v>22.716769102906536</v>
      </c>
      <c r="Z345" s="249">
        <f t="shared" si="216"/>
        <v>23.551790861336617</v>
      </c>
      <c r="AA345" s="249">
        <f t="shared" si="216"/>
        <v>24.308608105917241</v>
      </c>
      <c r="AB345" s="249">
        <f t="shared" si="216"/>
        <v>24.983801202918833</v>
      </c>
      <c r="AC345" s="249">
        <f t="shared" si="216"/>
        <v>25.527478328348064</v>
      </c>
      <c r="AD345" s="249">
        <f t="shared" si="216"/>
        <v>25.973855919352179</v>
      </c>
      <c r="AE345" s="249">
        <f t="shared" si="216"/>
        <v>26.318493705888027</v>
      </c>
      <c r="AF345" s="249">
        <f t="shared" si="216"/>
        <v>26.556825374712162</v>
      </c>
      <c r="AG345" s="249">
        <f t="shared" si="216"/>
        <v>26.684158856898517</v>
      </c>
      <c r="AI345" s="694"/>
      <c r="AJ345" s="323"/>
    </row>
    <row r="346" spans="1:36" s="181" customFormat="1" x14ac:dyDescent="0.2">
      <c r="A346" s="181" t="s">
        <v>1645</v>
      </c>
      <c r="B346" s="349" t="s">
        <v>704</v>
      </c>
      <c r="C346" s="249">
        <f>C334</f>
        <v>2.8235027274590001</v>
      </c>
      <c r="D346" s="249">
        <f t="shared" ref="D346:AG346" si="217">D334</f>
        <v>3.2078744285738843</v>
      </c>
      <c r="E346" s="249">
        <f t="shared" si="217"/>
        <v>3.5972298188013312</v>
      </c>
      <c r="F346" s="249">
        <f t="shared" si="217"/>
        <v>3.9993794202881516</v>
      </c>
      <c r="G346" s="249">
        <f t="shared" si="217"/>
        <v>4.4084158114773482</v>
      </c>
      <c r="H346" s="249">
        <f t="shared" si="217"/>
        <v>4.8216392937859904</v>
      </c>
      <c r="I346" s="249">
        <f t="shared" si="217"/>
        <v>5.1980405046713658</v>
      </c>
      <c r="J346" s="249">
        <f t="shared" si="217"/>
        <v>5.5780449125707632</v>
      </c>
      <c r="K346" s="249">
        <f t="shared" si="217"/>
        <v>5.9609183539711186</v>
      </c>
      <c r="L346" s="249">
        <f t="shared" si="217"/>
        <v>6.3458949309514123</v>
      </c>
      <c r="M346" s="249">
        <f t="shared" si="217"/>
        <v>6.7321783809861806</v>
      </c>
      <c r="N346" s="249">
        <f t="shared" si="217"/>
        <v>7.0597331925065934</v>
      </c>
      <c r="O346" s="249">
        <f t="shared" si="217"/>
        <v>7.3683990917945588</v>
      </c>
      <c r="P346" s="249">
        <f t="shared" si="217"/>
        <v>7.6545586625390465</v>
      </c>
      <c r="Q346" s="249">
        <f t="shared" si="217"/>
        <v>7.91687774418914</v>
      </c>
      <c r="R346" s="249">
        <f t="shared" si="217"/>
        <v>8.1531806645132558</v>
      </c>
      <c r="S346" s="249">
        <f t="shared" si="217"/>
        <v>8.3999072298562591</v>
      </c>
      <c r="T346" s="249">
        <f t="shared" si="217"/>
        <v>8.6354618646604244</v>
      </c>
      <c r="U346" s="249">
        <f t="shared" si="217"/>
        <v>8.8592240836412124</v>
      </c>
      <c r="V346" s="249">
        <f t="shared" si="217"/>
        <v>9.0705670817695321</v>
      </c>
      <c r="W346" s="249">
        <f t="shared" si="217"/>
        <v>9.2688581379903763</v>
      </c>
      <c r="X346" s="249">
        <f t="shared" si="217"/>
        <v>9.4522523529962292</v>
      </c>
      <c r="Y346" s="249">
        <f t="shared" si="217"/>
        <v>9.6213034152962695</v>
      </c>
      <c r="Z346" s="249">
        <f t="shared" si="217"/>
        <v>9.7708054862103388</v>
      </c>
      <c r="AA346" s="249">
        <f t="shared" si="217"/>
        <v>9.9041893336892386</v>
      </c>
      <c r="AB346" s="249">
        <f t="shared" si="217"/>
        <v>10.020776928910717</v>
      </c>
      <c r="AC346" s="249">
        <f t="shared" si="217"/>
        <v>10.100885679319987</v>
      </c>
      <c r="AD346" s="249">
        <f t="shared" si="217"/>
        <v>10.161379960114768</v>
      </c>
      <c r="AE346" s="249">
        <f t="shared" si="217"/>
        <v>10.201528135788319</v>
      </c>
      <c r="AF346" s="249">
        <f t="shared" si="217"/>
        <v>10.220593852349074</v>
      </c>
      <c r="AG346" s="249">
        <f t="shared" si="217"/>
        <v>10.217836455330881</v>
      </c>
      <c r="AI346" s="694"/>
      <c r="AJ346" s="323"/>
    </row>
    <row r="347" spans="1:36" s="181" customFormat="1" x14ac:dyDescent="0.2">
      <c r="A347" s="181" t="s">
        <v>1646</v>
      </c>
      <c r="B347" s="349" t="s">
        <v>704</v>
      </c>
      <c r="C347" s="249">
        <f>C345-C346</f>
        <v>5.5970705527888223</v>
      </c>
      <c r="D347" s="249">
        <f t="shared" ref="D347:AG347" si="218">D345-D346</f>
        <v>5.7088650430664298</v>
      </c>
      <c r="E347" s="249">
        <f t="shared" si="218"/>
        <v>5.9166958154077882</v>
      </c>
      <c r="F347" s="249">
        <f t="shared" si="218"/>
        <v>6.12741055436015</v>
      </c>
      <c r="G347" s="249">
        <f t="shared" si="218"/>
        <v>6.3262818271346193</v>
      </c>
      <c r="H347" s="249">
        <f t="shared" si="218"/>
        <v>6.5121258160705224</v>
      </c>
      <c r="I347" s="249">
        <f t="shared" si="218"/>
        <v>6.7048874809538708</v>
      </c>
      <c r="J347" s="249">
        <f t="shared" si="218"/>
        <v>6.8962222730268321</v>
      </c>
      <c r="K347" s="249">
        <f t="shared" si="218"/>
        <v>7.0854870347906136</v>
      </c>
      <c r="L347" s="249">
        <f t="shared" si="218"/>
        <v>7.2719884201939395</v>
      </c>
      <c r="M347" s="249">
        <f t="shared" si="218"/>
        <v>7.4549822643705514</v>
      </c>
      <c r="N347" s="249">
        <f t="shared" si="218"/>
        <v>8.0127705093104638</v>
      </c>
      <c r="O347" s="249">
        <f t="shared" si="218"/>
        <v>8.5396188131279551</v>
      </c>
      <c r="P347" s="249">
        <f t="shared" si="218"/>
        <v>9.0304776009994079</v>
      </c>
      <c r="Q347" s="249">
        <f t="shared" si="218"/>
        <v>9.4811738292324179</v>
      </c>
      <c r="R347" s="249">
        <f t="shared" si="218"/>
        <v>9.8875575457743228</v>
      </c>
      <c r="S347" s="249">
        <f t="shared" si="218"/>
        <v>10.273694947781488</v>
      </c>
      <c r="T347" s="249">
        <f t="shared" si="218"/>
        <v>10.63330146187236</v>
      </c>
      <c r="U347" s="249">
        <f t="shared" si="218"/>
        <v>10.965260967637548</v>
      </c>
      <c r="V347" s="249">
        <f t="shared" si="218"/>
        <v>11.268409809185197</v>
      </c>
      <c r="W347" s="249">
        <f t="shared" si="218"/>
        <v>11.541536417805682</v>
      </c>
      <c r="X347" s="249">
        <f t="shared" si="218"/>
        <v>12.34620279821009</v>
      </c>
      <c r="Y347" s="249">
        <f t="shared" si="218"/>
        <v>13.095465687610266</v>
      </c>
      <c r="Z347" s="249">
        <f t="shared" si="218"/>
        <v>13.780985375126278</v>
      </c>
      <c r="AA347" s="249">
        <f t="shared" si="218"/>
        <v>14.404418772228002</v>
      </c>
      <c r="AB347" s="249">
        <f t="shared" si="218"/>
        <v>14.963024274008117</v>
      </c>
      <c r="AC347" s="249">
        <f t="shared" si="218"/>
        <v>15.426592649028077</v>
      </c>
      <c r="AD347" s="249">
        <f t="shared" si="218"/>
        <v>15.81247595923741</v>
      </c>
      <c r="AE347" s="249">
        <f t="shared" si="218"/>
        <v>16.116965570099708</v>
      </c>
      <c r="AF347" s="249">
        <f t="shared" si="218"/>
        <v>16.336231522363086</v>
      </c>
      <c r="AG347" s="249">
        <f t="shared" si="218"/>
        <v>16.466322401567638</v>
      </c>
      <c r="AI347" s="694"/>
      <c r="AJ347" s="323"/>
    </row>
    <row r="348" spans="1:36" s="181" customFormat="1" x14ac:dyDescent="0.2">
      <c r="A348" s="181" t="s">
        <v>1647</v>
      </c>
      <c r="B348" s="349" t="s">
        <v>704</v>
      </c>
      <c r="C348" s="249">
        <f>(C347)/(1-C299)</f>
        <v>6.9963381909860276</v>
      </c>
      <c r="D348" s="249">
        <f t="shared" ref="D348:AG348" si="219">(D345-D334)/(1-D299)</f>
        <v>7.1064710079665101</v>
      </c>
      <c r="E348" s="249">
        <f t="shared" si="219"/>
        <v>7.3347468786046965</v>
      </c>
      <c r="F348" s="249">
        <f t="shared" si="219"/>
        <v>7.5647043880989511</v>
      </c>
      <c r="G348" s="249">
        <f t="shared" si="219"/>
        <v>7.7782153612310898</v>
      </c>
      <c r="H348" s="249">
        <f t="shared" si="219"/>
        <v>7.9740316115149259</v>
      </c>
      <c r="I348" s="249">
        <f t="shared" si="219"/>
        <v>8.1766920499437461</v>
      </c>
      <c r="J348" s="249">
        <f t="shared" si="219"/>
        <v>8.3759784692633605</v>
      </c>
      <c r="K348" s="249">
        <f t="shared" si="219"/>
        <v>8.5711536711176777</v>
      </c>
      <c r="L348" s="249">
        <f t="shared" si="219"/>
        <v>8.7614318315589639</v>
      </c>
      <c r="M348" s="249">
        <f t="shared" si="219"/>
        <v>8.9459787172446621</v>
      </c>
      <c r="N348" s="249">
        <f t="shared" si="219"/>
        <v>9.5770165449925866</v>
      </c>
      <c r="O348" s="249">
        <f t="shared" si="219"/>
        <v>10.166212872771377</v>
      </c>
      <c r="P348" s="249">
        <f t="shared" si="219"/>
        <v>10.708076206718665</v>
      </c>
      <c r="Q348" s="249">
        <f t="shared" si="219"/>
        <v>11.198236806180022</v>
      </c>
      <c r="R348" s="249">
        <f t="shared" si="219"/>
        <v>11.632420642087441</v>
      </c>
      <c r="S348" s="249">
        <f t="shared" si="219"/>
        <v>12.039486266931432</v>
      </c>
      <c r="T348" s="249">
        <f t="shared" si="219"/>
        <v>12.412414157827659</v>
      </c>
      <c r="U348" s="249">
        <f t="shared" si="219"/>
        <v>12.750303450741336</v>
      </c>
      <c r="V348" s="249">
        <f t="shared" si="219"/>
        <v>13.05221213419135</v>
      </c>
      <c r="W348" s="249">
        <f t="shared" si="219"/>
        <v>13.317157405160406</v>
      </c>
      <c r="X348" s="249">
        <f t="shared" si="219"/>
        <v>14.191037699092059</v>
      </c>
      <c r="Y348" s="249">
        <f t="shared" si="219"/>
        <v>14.994808039248399</v>
      </c>
      <c r="Z348" s="249">
        <f t="shared" si="219"/>
        <v>15.719755180752411</v>
      </c>
      <c r="AA348" s="249">
        <f t="shared" si="219"/>
        <v>16.36865769571364</v>
      </c>
      <c r="AB348" s="249">
        <f t="shared" si="219"/>
        <v>16.939272763028058</v>
      </c>
      <c r="AC348" s="249">
        <f t="shared" si="219"/>
        <v>17.398412762061746</v>
      </c>
      <c r="AD348" s="249">
        <f t="shared" si="219"/>
        <v>17.766826920491475</v>
      </c>
      <c r="AE348" s="249">
        <f t="shared" si="219"/>
        <v>18.041379369514605</v>
      </c>
      <c r="AF348" s="249">
        <f t="shared" si="219"/>
        <v>18.218845563973705</v>
      </c>
      <c r="AG348" s="249">
        <f t="shared" si="219"/>
        <v>18.295913779519598</v>
      </c>
      <c r="AI348" s="694"/>
      <c r="AJ348" s="323"/>
    </row>
    <row r="349" spans="1:36" s="181" customFormat="1" x14ac:dyDescent="0.2">
      <c r="A349" s="181" t="s">
        <v>1648</v>
      </c>
      <c r="B349" s="349" t="s">
        <v>704</v>
      </c>
      <c r="C349" s="249">
        <f>IF(C328&gt;C348,C348,C328)</f>
        <v>6.9963381909860276</v>
      </c>
      <c r="D349" s="249">
        <f t="shared" ref="D349:AG349" si="220">IF(D328&gt;D348,D348,D328)</f>
        <v>7.1064710079665101</v>
      </c>
      <c r="E349" s="249">
        <f t="shared" si="220"/>
        <v>7.3347468786046965</v>
      </c>
      <c r="F349" s="249">
        <f t="shared" si="220"/>
        <v>7.5647043880989511</v>
      </c>
      <c r="G349" s="249">
        <f t="shared" si="220"/>
        <v>7.7782153612310898</v>
      </c>
      <c r="H349" s="249">
        <f t="shared" si="220"/>
        <v>7.9740316115149259</v>
      </c>
      <c r="I349" s="249">
        <f t="shared" si="220"/>
        <v>8.1766920499437461</v>
      </c>
      <c r="J349" s="249">
        <f t="shared" si="220"/>
        <v>8.3759784692633605</v>
      </c>
      <c r="K349" s="249">
        <f t="shared" si="220"/>
        <v>8.5711536711176777</v>
      </c>
      <c r="L349" s="249">
        <f t="shared" si="220"/>
        <v>8.7614318315589639</v>
      </c>
      <c r="M349" s="249">
        <f t="shared" si="220"/>
        <v>8.9459787172446621</v>
      </c>
      <c r="N349" s="249">
        <f t="shared" si="220"/>
        <v>9.5770165449925866</v>
      </c>
      <c r="O349" s="249">
        <f t="shared" si="220"/>
        <v>10.166212872771377</v>
      </c>
      <c r="P349" s="249">
        <f t="shared" si="220"/>
        <v>10.708076206718665</v>
      </c>
      <c r="Q349" s="249">
        <f t="shared" si="220"/>
        <v>11.198236806180022</v>
      </c>
      <c r="R349" s="249">
        <f t="shared" si="220"/>
        <v>11.632420642087441</v>
      </c>
      <c r="S349" s="249">
        <f t="shared" si="220"/>
        <v>12.039486266931432</v>
      </c>
      <c r="T349" s="249">
        <f t="shared" si="220"/>
        <v>12.412414157827659</v>
      </c>
      <c r="U349" s="249">
        <f t="shared" si="220"/>
        <v>12.750303450741336</v>
      </c>
      <c r="V349" s="249">
        <f t="shared" si="220"/>
        <v>13.05221213419135</v>
      </c>
      <c r="W349" s="249">
        <f t="shared" si="220"/>
        <v>13.317157405160406</v>
      </c>
      <c r="X349" s="249">
        <f t="shared" si="220"/>
        <v>14.191037699092059</v>
      </c>
      <c r="Y349" s="249">
        <f t="shared" si="220"/>
        <v>14.994808039248399</v>
      </c>
      <c r="Z349" s="249">
        <f t="shared" si="220"/>
        <v>15.719755180752411</v>
      </c>
      <c r="AA349" s="249">
        <f t="shared" si="220"/>
        <v>15.907882214421004</v>
      </c>
      <c r="AB349" s="249">
        <f t="shared" si="220"/>
        <v>15.890089130129834</v>
      </c>
      <c r="AC349" s="249">
        <f t="shared" si="220"/>
        <v>15.818753715804821</v>
      </c>
      <c r="AD349" s="249">
        <f t="shared" si="220"/>
        <v>15.721624095247632</v>
      </c>
      <c r="AE349" s="249">
        <f t="shared" si="220"/>
        <v>15.598207507917298</v>
      </c>
      <c r="AF349" s="249">
        <f t="shared" si="220"/>
        <v>15.448025114310086</v>
      </c>
      <c r="AG349" s="249">
        <f t="shared" si="220"/>
        <v>15.270612724450547</v>
      </c>
      <c r="AI349" s="694"/>
      <c r="AJ349" s="323"/>
    </row>
    <row r="350" spans="1:36" s="181" customFormat="1" x14ac:dyDescent="0.2">
      <c r="A350" s="181" t="s">
        <v>1649</v>
      </c>
      <c r="B350" s="349" t="s">
        <v>704</v>
      </c>
      <c r="C350" s="249">
        <f>IF(C348-C349&lt;0,0,C348-C349)</f>
        <v>0</v>
      </c>
      <c r="D350" s="249">
        <f t="shared" ref="D350:AG350" si="221">IF(D348-D349&lt;0,0,D348-D349)</f>
        <v>0</v>
      </c>
      <c r="E350" s="249">
        <f t="shared" si="221"/>
        <v>0</v>
      </c>
      <c r="F350" s="249">
        <f t="shared" si="221"/>
        <v>0</v>
      </c>
      <c r="G350" s="249">
        <f t="shared" si="221"/>
        <v>0</v>
      </c>
      <c r="H350" s="249">
        <f t="shared" si="221"/>
        <v>0</v>
      </c>
      <c r="I350" s="249">
        <f t="shared" si="221"/>
        <v>0</v>
      </c>
      <c r="J350" s="249">
        <f t="shared" si="221"/>
        <v>0</v>
      </c>
      <c r="K350" s="249">
        <f t="shared" si="221"/>
        <v>0</v>
      </c>
      <c r="L350" s="249">
        <f t="shared" si="221"/>
        <v>0</v>
      </c>
      <c r="M350" s="249">
        <f t="shared" si="221"/>
        <v>0</v>
      </c>
      <c r="N350" s="249">
        <f t="shared" si="221"/>
        <v>0</v>
      </c>
      <c r="O350" s="249">
        <f t="shared" si="221"/>
        <v>0</v>
      </c>
      <c r="P350" s="249">
        <f t="shared" si="221"/>
        <v>0</v>
      </c>
      <c r="Q350" s="249">
        <f t="shared" si="221"/>
        <v>0</v>
      </c>
      <c r="R350" s="249">
        <f t="shared" si="221"/>
        <v>0</v>
      </c>
      <c r="S350" s="249">
        <f t="shared" si="221"/>
        <v>0</v>
      </c>
      <c r="T350" s="249">
        <f t="shared" si="221"/>
        <v>0</v>
      </c>
      <c r="U350" s="249">
        <f t="shared" si="221"/>
        <v>0</v>
      </c>
      <c r="V350" s="249">
        <f t="shared" si="221"/>
        <v>0</v>
      </c>
      <c r="W350" s="249">
        <f t="shared" si="221"/>
        <v>0</v>
      </c>
      <c r="X350" s="249">
        <f t="shared" si="221"/>
        <v>0</v>
      </c>
      <c r="Y350" s="249">
        <f t="shared" si="221"/>
        <v>0</v>
      </c>
      <c r="Z350" s="249">
        <f t="shared" si="221"/>
        <v>0</v>
      </c>
      <c r="AA350" s="249">
        <f t="shared" si="221"/>
        <v>0.4607754812926359</v>
      </c>
      <c r="AB350" s="249">
        <f t="shared" si="221"/>
        <v>1.0491836328982238</v>
      </c>
      <c r="AC350" s="249">
        <f t="shared" si="221"/>
        <v>1.5796590462569249</v>
      </c>
      <c r="AD350" s="249">
        <f t="shared" si="221"/>
        <v>2.0452028252438428</v>
      </c>
      <c r="AE350" s="249">
        <f t="shared" si="221"/>
        <v>2.4431718615973068</v>
      </c>
      <c r="AF350" s="249">
        <f t="shared" si="221"/>
        <v>2.7708204496636188</v>
      </c>
      <c r="AG350" s="249">
        <f t="shared" si="221"/>
        <v>3.0253010550690504</v>
      </c>
      <c r="AI350" s="694"/>
      <c r="AJ350" s="323"/>
    </row>
    <row r="351" spans="1:36" s="181" customFormat="1" x14ac:dyDescent="0.2">
      <c r="A351" s="181" t="s">
        <v>1650</v>
      </c>
      <c r="B351" s="349" t="s">
        <v>704</v>
      </c>
      <c r="C351" s="249">
        <f>C345*C302+C299*C348+C335+IF(C328&gt;C348,C328-C348,0)</f>
        <v>5.2955978219634581</v>
      </c>
      <c r="D351" s="249">
        <f t="shared" ref="D351:AG351" si="222">D345*D302+D299*D348+D335+IF(D328&gt;D348,D328-D348,0)</f>
        <v>5.9194668139067197</v>
      </c>
      <c r="E351" s="249">
        <f t="shared" si="222"/>
        <v>6.4529348797532577</v>
      </c>
      <c r="F351" s="249">
        <f t="shared" si="222"/>
        <v>6.9910706665156566</v>
      </c>
      <c r="G351" s="249">
        <f t="shared" si="222"/>
        <v>7.5291479795243523</v>
      </c>
      <c r="H351" s="249">
        <f t="shared" si="222"/>
        <v>8.0630577934342771</v>
      </c>
      <c r="I351" s="249">
        <f t="shared" si="222"/>
        <v>8.4733919546462673</v>
      </c>
      <c r="J351" s="249">
        <f t="shared" si="222"/>
        <v>8.8793602742168947</v>
      </c>
      <c r="K351" s="249">
        <f t="shared" si="222"/>
        <v>9.2801446857699368</v>
      </c>
      <c r="L351" s="249">
        <f t="shared" si="222"/>
        <v>9.6749548075189686</v>
      </c>
      <c r="M351" s="249">
        <f t="shared" si="222"/>
        <v>10.063033142021542</v>
      </c>
      <c r="N351" s="249">
        <f t="shared" si="222"/>
        <v>10.014233393137703</v>
      </c>
      <c r="O351" s="249">
        <f t="shared" si="222"/>
        <v>9.9381785136237504</v>
      </c>
      <c r="P351" s="249">
        <f t="shared" si="222"/>
        <v>9.8335490446225151</v>
      </c>
      <c r="Q351" s="249">
        <f t="shared" si="222"/>
        <v>9.7036279944490218</v>
      </c>
      <c r="R351" s="249">
        <f t="shared" si="222"/>
        <v>9.5498442376937458</v>
      </c>
      <c r="S351" s="249">
        <f t="shared" si="222"/>
        <v>9.4321884321269849</v>
      </c>
      <c r="T351" s="249">
        <f t="shared" si="222"/>
        <v>9.3097916194895518</v>
      </c>
      <c r="U351" s="249">
        <f t="shared" si="222"/>
        <v>9.1832190800474365</v>
      </c>
      <c r="V351" s="249">
        <f t="shared" si="222"/>
        <v>9.0531045122841967</v>
      </c>
      <c r="W351" s="249">
        <f t="shared" si="222"/>
        <v>8.9201521990900794</v>
      </c>
      <c r="X351" s="249">
        <f t="shared" si="222"/>
        <v>8.3246564933302452</v>
      </c>
      <c r="Y351" s="249">
        <f t="shared" si="222"/>
        <v>7.7421542385559246</v>
      </c>
      <c r="Z351" s="249">
        <f t="shared" si="222"/>
        <v>7.1709549627830773</v>
      </c>
      <c r="AA351" s="249">
        <f t="shared" si="222"/>
        <v>7.078624670039984</v>
      </c>
      <c r="AB351" s="249">
        <f t="shared" si="222"/>
        <v>7.134474414326208</v>
      </c>
      <c r="AC351" s="249">
        <f t="shared" si="222"/>
        <v>7.1436950488778557</v>
      </c>
      <c r="AD351" s="249">
        <f t="shared" si="222"/>
        <v>7.1182192050576827</v>
      </c>
      <c r="AE351" s="249">
        <f t="shared" si="222"/>
        <v>7.0589229384647547</v>
      </c>
      <c r="AF351" s="249">
        <f t="shared" si="222"/>
        <v>6.9667608935463035</v>
      </c>
      <c r="AG351" s="249">
        <f t="shared" si="222"/>
        <v>6.8427704603106712</v>
      </c>
      <c r="AI351" s="694"/>
      <c r="AJ351" s="323"/>
    </row>
    <row r="352" spans="1:36" s="181" customFormat="1" x14ac:dyDescent="0.2">
      <c r="A352" s="181" t="s">
        <v>1651</v>
      </c>
      <c r="B352" s="349" t="s">
        <v>704</v>
      </c>
      <c r="C352" s="249">
        <f>C331-C350</f>
        <v>47.999546366802996</v>
      </c>
      <c r="D352" s="249">
        <f t="shared" ref="D352:AF352" si="223">D331-D350</f>
        <v>49.016661463558883</v>
      </c>
      <c r="E352" s="249">
        <f t="shared" si="223"/>
        <v>49.812730627135856</v>
      </c>
      <c r="F352" s="249">
        <f t="shared" si="223"/>
        <v>50.535986646163416</v>
      </c>
      <c r="G352" s="249">
        <f t="shared" si="223"/>
        <v>51.129001246916573</v>
      </c>
      <c r="H352" s="249">
        <f t="shared" si="223"/>
        <v>51.586997084929358</v>
      </c>
      <c r="I352" s="249">
        <f t="shared" si="223"/>
        <v>51.527921690680671</v>
      </c>
      <c r="J352" s="249">
        <f t="shared" si="223"/>
        <v>51.428495087424139</v>
      </c>
      <c r="K352" s="249">
        <f t="shared" si="223"/>
        <v>51.288529349691224</v>
      </c>
      <c r="L352" s="249">
        <f t="shared" si="223"/>
        <v>51.107919264069615</v>
      </c>
      <c r="M352" s="249">
        <f t="shared" si="223"/>
        <v>50.886643705390171</v>
      </c>
      <c r="N352" s="249">
        <f t="shared" si="223"/>
        <v>50.203705278735512</v>
      </c>
      <c r="O352" s="249">
        <f t="shared" si="223"/>
        <v>49.40427679943155</v>
      </c>
      <c r="P352" s="249">
        <f t="shared" si="223"/>
        <v>48.48549277697505</v>
      </c>
      <c r="Q352" s="249">
        <f t="shared" si="223"/>
        <v>47.459708051779486</v>
      </c>
      <c r="R352" s="249">
        <f t="shared" si="223"/>
        <v>46.332860012852187</v>
      </c>
      <c r="S352" s="249">
        <f t="shared" si="223"/>
        <v>45.318865551062224</v>
      </c>
      <c r="T352" s="249">
        <f t="shared" si="223"/>
        <v>44.292582315674636</v>
      </c>
      <c r="U352" s="249">
        <f t="shared" si="223"/>
        <v>43.254662727410825</v>
      </c>
      <c r="V352" s="249">
        <f t="shared" si="223"/>
        <v>42.205772810094821</v>
      </c>
      <c r="W352" s="249">
        <f t="shared" si="223"/>
        <v>41.14659166190912</v>
      </c>
      <c r="X352" s="249">
        <f t="shared" si="223"/>
        <v>40.072695205710289</v>
      </c>
      <c r="Y352" s="249">
        <f t="shared" si="223"/>
        <v>38.990314673211827</v>
      </c>
      <c r="Z352" s="249">
        <f t="shared" si="223"/>
        <v>37.882456575082145</v>
      </c>
      <c r="AA352" s="249">
        <f t="shared" si="223"/>
        <v>36.306448974554606</v>
      </c>
      <c r="AB352" s="249">
        <f t="shared" si="223"/>
        <v>34.596151442798444</v>
      </c>
      <c r="AC352" s="249">
        <f t="shared" si="223"/>
        <v>32.873050317826468</v>
      </c>
      <c r="AD352" s="249">
        <f t="shared" si="223"/>
        <v>31.210195183083719</v>
      </c>
      <c r="AE352" s="249">
        <f t="shared" si="223"/>
        <v>29.610985725955771</v>
      </c>
      <c r="AF352" s="249">
        <f t="shared" si="223"/>
        <v>28.078932001391202</v>
      </c>
      <c r="AG352" s="249">
        <f>AG331-AG350</f>
        <v>26.617653057099659</v>
      </c>
      <c r="AI352" s="694"/>
      <c r="AJ352" s="323"/>
    </row>
    <row r="353" spans="1:37" s="181" customFormat="1" x14ac:dyDescent="0.2">
      <c r="B353" s="350"/>
      <c r="C353" s="327"/>
      <c r="D353" s="327"/>
      <c r="E353" s="327"/>
      <c r="F353" s="327"/>
      <c r="G353" s="327"/>
      <c r="H353" s="327"/>
      <c r="I353" s="327"/>
      <c r="J353" s="327"/>
      <c r="K353" s="327"/>
      <c r="L353" s="327"/>
      <c r="M353" s="327"/>
      <c r="N353" s="327"/>
      <c r="O353" s="327"/>
      <c r="P353" s="327"/>
      <c r="Q353" s="327"/>
      <c r="R353" s="327"/>
      <c r="S353" s="327"/>
      <c r="T353" s="327"/>
      <c r="U353" s="327"/>
      <c r="V353" s="327"/>
      <c r="W353" s="327"/>
      <c r="X353" s="327"/>
      <c r="Y353" s="327"/>
      <c r="Z353" s="327"/>
      <c r="AA353" s="327"/>
      <c r="AB353" s="327"/>
      <c r="AC353" s="327"/>
      <c r="AD353" s="327"/>
      <c r="AE353" s="327"/>
      <c r="AF353" s="327"/>
      <c r="AG353" s="327"/>
      <c r="AJ353" s="323"/>
    </row>
    <row r="354" spans="1:37" s="181" customFormat="1" x14ac:dyDescent="0.2">
      <c r="A354" s="181" t="s">
        <v>1400</v>
      </c>
      <c r="B354" s="350" t="s">
        <v>462</v>
      </c>
      <c r="C354" s="296">
        <v>0.8</v>
      </c>
      <c r="D354" s="317">
        <f>C354</f>
        <v>0.8</v>
      </c>
      <c r="E354" s="317">
        <f t="shared" ref="E354:AG354" si="224">D354</f>
        <v>0.8</v>
      </c>
      <c r="F354" s="317">
        <f t="shared" si="224"/>
        <v>0.8</v>
      </c>
      <c r="G354" s="317">
        <f t="shared" si="224"/>
        <v>0.8</v>
      </c>
      <c r="H354" s="317">
        <f t="shared" si="224"/>
        <v>0.8</v>
      </c>
      <c r="I354" s="317">
        <f t="shared" si="224"/>
        <v>0.8</v>
      </c>
      <c r="J354" s="317">
        <f t="shared" si="224"/>
        <v>0.8</v>
      </c>
      <c r="K354" s="317">
        <f t="shared" si="224"/>
        <v>0.8</v>
      </c>
      <c r="L354" s="317">
        <f t="shared" si="224"/>
        <v>0.8</v>
      </c>
      <c r="M354" s="317">
        <f>L354</f>
        <v>0.8</v>
      </c>
      <c r="N354" s="317">
        <f t="shared" si="224"/>
        <v>0.8</v>
      </c>
      <c r="O354" s="317">
        <f t="shared" si="224"/>
        <v>0.8</v>
      </c>
      <c r="P354" s="317">
        <f t="shared" si="224"/>
        <v>0.8</v>
      </c>
      <c r="Q354" s="317">
        <f t="shared" si="224"/>
        <v>0.8</v>
      </c>
      <c r="R354" s="317">
        <f t="shared" si="224"/>
        <v>0.8</v>
      </c>
      <c r="S354" s="317">
        <f t="shared" si="224"/>
        <v>0.8</v>
      </c>
      <c r="T354" s="317">
        <f t="shared" si="224"/>
        <v>0.8</v>
      </c>
      <c r="U354" s="317">
        <f t="shared" si="224"/>
        <v>0.8</v>
      </c>
      <c r="V354" s="317">
        <f t="shared" si="224"/>
        <v>0.8</v>
      </c>
      <c r="W354" s="317">
        <f t="shared" si="224"/>
        <v>0.8</v>
      </c>
      <c r="X354" s="317">
        <f t="shared" si="224"/>
        <v>0.8</v>
      </c>
      <c r="Y354" s="317">
        <f t="shared" si="224"/>
        <v>0.8</v>
      </c>
      <c r="Z354" s="317">
        <f t="shared" si="224"/>
        <v>0.8</v>
      </c>
      <c r="AA354" s="317">
        <f t="shared" si="224"/>
        <v>0.8</v>
      </c>
      <c r="AB354" s="317">
        <f t="shared" si="224"/>
        <v>0.8</v>
      </c>
      <c r="AC354" s="317">
        <f t="shared" si="224"/>
        <v>0.8</v>
      </c>
      <c r="AD354" s="317">
        <f t="shared" si="224"/>
        <v>0.8</v>
      </c>
      <c r="AE354" s="317">
        <f t="shared" si="224"/>
        <v>0.8</v>
      </c>
      <c r="AF354" s="317">
        <f t="shared" si="224"/>
        <v>0.8</v>
      </c>
      <c r="AG354" s="317">
        <f t="shared" si="224"/>
        <v>0.8</v>
      </c>
      <c r="AJ354" s="323" t="s">
        <v>1401</v>
      </c>
    </row>
    <row r="355" spans="1:37" s="181" customFormat="1" x14ac:dyDescent="0.2">
      <c r="B355" s="350"/>
      <c r="C355" s="327"/>
      <c r="D355" s="327"/>
      <c r="E355" s="327"/>
      <c r="F355" s="327"/>
      <c r="G355" s="327"/>
      <c r="H355" s="327"/>
      <c r="I355" s="327"/>
      <c r="J355" s="327"/>
      <c r="K355" s="327"/>
      <c r="L355" s="327"/>
      <c r="M355" s="327"/>
      <c r="N355" s="327"/>
      <c r="O355" s="327"/>
      <c r="P355" s="327"/>
      <c r="Q355" s="327"/>
      <c r="R355" s="327"/>
      <c r="S355" s="327"/>
      <c r="T355" s="327"/>
      <c r="U355" s="327"/>
      <c r="V355" s="327"/>
      <c r="W355" s="327"/>
      <c r="X355" s="327"/>
      <c r="Y355" s="327"/>
      <c r="Z355" s="327"/>
      <c r="AA355" s="327"/>
      <c r="AB355" s="327"/>
      <c r="AC355" s="327"/>
      <c r="AD355" s="327"/>
      <c r="AE355" s="327"/>
      <c r="AF355" s="327"/>
      <c r="AG355" s="327"/>
      <c r="AJ355" s="323"/>
    </row>
    <row r="356" spans="1:37" s="181" customFormat="1" x14ac:dyDescent="0.2">
      <c r="A356" s="181" t="s">
        <v>1402</v>
      </c>
      <c r="B356" s="350" t="s">
        <v>704</v>
      </c>
      <c r="C356" s="327">
        <f>C290*C351*C354</f>
        <v>0.9320252166655687</v>
      </c>
      <c r="D356" s="327">
        <f t="shared" ref="D356:AG356" si="225">D290*D351*D354</f>
        <v>1.0733966489217519</v>
      </c>
      <c r="E356" s="327">
        <f t="shared" si="225"/>
        <v>1.2045478442206081</v>
      </c>
      <c r="F356" s="327">
        <f t="shared" si="225"/>
        <v>1.342285567971006</v>
      </c>
      <c r="G356" s="327">
        <f t="shared" si="225"/>
        <v>1.4857518679594719</v>
      </c>
      <c r="H356" s="327">
        <f t="shared" si="225"/>
        <v>1.6341130461360134</v>
      </c>
      <c r="I356" s="327">
        <f t="shared" si="225"/>
        <v>1.7624655265664235</v>
      </c>
      <c r="J356" s="327">
        <f t="shared" si="225"/>
        <v>1.8942635251662705</v>
      </c>
      <c r="K356" s="327">
        <f t="shared" si="225"/>
        <v>2.0292583046216923</v>
      </c>
      <c r="L356" s="327">
        <f t="shared" si="225"/>
        <v>2.1671898768842484</v>
      </c>
      <c r="M356" s="327">
        <f t="shared" si="225"/>
        <v>2.3077889339036064</v>
      </c>
      <c r="N356" s="327">
        <f t="shared" si="225"/>
        <v>2.3500067695896467</v>
      </c>
      <c r="O356" s="327">
        <f t="shared" si="225"/>
        <v>2.3851628432696992</v>
      </c>
      <c r="P356" s="327">
        <f t="shared" si="225"/>
        <v>2.4124973656140565</v>
      </c>
      <c r="Q356" s="327">
        <f t="shared" si="225"/>
        <v>2.4323760839418873</v>
      </c>
      <c r="R356" s="327">
        <f t="shared" si="225"/>
        <v>2.4447601248495978</v>
      </c>
      <c r="S356" s="327">
        <f t="shared" si="225"/>
        <v>2.4649452435958512</v>
      </c>
      <c r="T356" s="327">
        <f t="shared" si="225"/>
        <v>2.4826110985305458</v>
      </c>
      <c r="U356" s="327">
        <f t="shared" si="225"/>
        <v>2.4978355897729014</v>
      </c>
      <c r="V356" s="327">
        <f t="shared" si="225"/>
        <v>2.5107276514068158</v>
      </c>
      <c r="W356" s="327">
        <f t="shared" si="225"/>
        <v>2.5214296882761276</v>
      </c>
      <c r="X356" s="327">
        <f t="shared" si="225"/>
        <v>2.3975010700791093</v>
      </c>
      <c r="Y356" s="327">
        <f t="shared" si="225"/>
        <v>2.2710319099764029</v>
      </c>
      <c r="Z356" s="327">
        <f t="shared" si="225"/>
        <v>2.1417252155512112</v>
      </c>
      <c r="AA356" s="327">
        <f t="shared" si="225"/>
        <v>2.1519018996921537</v>
      </c>
      <c r="AB356" s="327">
        <f t="shared" si="225"/>
        <v>2.2069307521649058</v>
      </c>
      <c r="AC356" s="327">
        <f t="shared" si="225"/>
        <v>2.2478827087135635</v>
      </c>
      <c r="AD356" s="327">
        <f t="shared" si="225"/>
        <v>2.2778301456184571</v>
      </c>
      <c r="AE356" s="327">
        <f t="shared" si="225"/>
        <v>2.2965029293138648</v>
      </c>
      <c r="AF356" s="327">
        <f t="shared" si="225"/>
        <v>2.3036756021326426</v>
      </c>
      <c r="AG356" s="327">
        <f t="shared" si="225"/>
        <v>2.2991708746643855</v>
      </c>
      <c r="AJ356" s="323"/>
    </row>
    <row r="357" spans="1:37" s="181" customFormat="1" x14ac:dyDescent="0.2">
      <c r="A357" s="181" t="s">
        <v>1403</v>
      </c>
      <c r="B357" s="350" t="s">
        <v>704</v>
      </c>
      <c r="C357" s="327">
        <f>C351*C354-C356</f>
        <v>3.304453040905198</v>
      </c>
      <c r="D357" s="327">
        <f t="shared" ref="D357:AG357" si="226">D351*D354-D356</f>
        <v>3.6621768022036241</v>
      </c>
      <c r="E357" s="327">
        <f t="shared" si="226"/>
        <v>3.9578000595819987</v>
      </c>
      <c r="F357" s="327">
        <f t="shared" si="226"/>
        <v>4.2505709652415202</v>
      </c>
      <c r="G357" s="327">
        <f t="shared" si="226"/>
        <v>4.5375665156600107</v>
      </c>
      <c r="H357" s="327">
        <f t="shared" si="226"/>
        <v>4.8163331886114085</v>
      </c>
      <c r="I357" s="327">
        <f t="shared" si="226"/>
        <v>5.0162480371505911</v>
      </c>
      <c r="J357" s="327">
        <f t="shared" si="226"/>
        <v>5.2092246942072453</v>
      </c>
      <c r="K357" s="327">
        <f t="shared" si="226"/>
        <v>5.3948574439942583</v>
      </c>
      <c r="L357" s="327">
        <f t="shared" si="226"/>
        <v>5.5727739691309273</v>
      </c>
      <c r="M357" s="327">
        <f t="shared" si="226"/>
        <v>5.7426375797136275</v>
      </c>
      <c r="N357" s="327">
        <f t="shared" si="226"/>
        <v>5.6613799449205162</v>
      </c>
      <c r="O357" s="327">
        <f t="shared" si="226"/>
        <v>5.5653799676293012</v>
      </c>
      <c r="P357" s="327">
        <f t="shared" si="226"/>
        <v>5.4543418700839563</v>
      </c>
      <c r="Q357" s="327">
        <f t="shared" si="226"/>
        <v>5.33052631161733</v>
      </c>
      <c r="R357" s="327">
        <f t="shared" si="226"/>
        <v>5.1951152653053994</v>
      </c>
      <c r="S357" s="327">
        <f t="shared" si="226"/>
        <v>5.0808055021057372</v>
      </c>
      <c r="T357" s="327">
        <f t="shared" si="226"/>
        <v>4.9652221970610961</v>
      </c>
      <c r="U357" s="327">
        <f t="shared" si="226"/>
        <v>4.8487396742650475</v>
      </c>
      <c r="V357" s="327">
        <f t="shared" si="226"/>
        <v>4.7317559584205418</v>
      </c>
      <c r="W357" s="327">
        <f t="shared" si="226"/>
        <v>4.614692070995936</v>
      </c>
      <c r="X357" s="327">
        <f t="shared" si="226"/>
        <v>4.2622241245850869</v>
      </c>
      <c r="Y357" s="327">
        <f t="shared" si="226"/>
        <v>3.9226914808683371</v>
      </c>
      <c r="Z357" s="327">
        <f t="shared" si="226"/>
        <v>3.5950387546752514</v>
      </c>
      <c r="AA357" s="327">
        <f t="shared" si="226"/>
        <v>3.510997836339834</v>
      </c>
      <c r="AB357" s="327">
        <f t="shared" si="226"/>
        <v>3.500648779296061</v>
      </c>
      <c r="AC357" s="327">
        <f t="shared" si="226"/>
        <v>3.4670733303887213</v>
      </c>
      <c r="AD357" s="327">
        <f t="shared" si="226"/>
        <v>3.4167452184276894</v>
      </c>
      <c r="AE357" s="327">
        <f t="shared" si="226"/>
        <v>3.3506354214579397</v>
      </c>
      <c r="AF357" s="327">
        <f t="shared" si="226"/>
        <v>3.2697331127044009</v>
      </c>
      <c r="AG357" s="327">
        <f t="shared" si="226"/>
        <v>3.1750454935841521</v>
      </c>
      <c r="AJ357" s="323"/>
    </row>
    <row r="358" spans="1:37" s="181" customFormat="1" x14ac:dyDescent="0.2">
      <c r="B358" s="176"/>
      <c r="C358" s="327"/>
      <c r="D358" s="327"/>
      <c r="E358" s="327"/>
      <c r="F358" s="327"/>
      <c r="G358" s="327"/>
      <c r="H358" s="327"/>
      <c r="I358" s="327"/>
      <c r="J358" s="327"/>
      <c r="K358" s="327"/>
      <c r="L358" s="327"/>
      <c r="M358" s="327"/>
      <c r="N358" s="327"/>
      <c r="O358" s="327"/>
      <c r="P358" s="327"/>
      <c r="Q358" s="327"/>
      <c r="R358" s="327"/>
      <c r="S358" s="327"/>
      <c r="T358" s="327"/>
      <c r="U358" s="327"/>
      <c r="V358" s="327"/>
      <c r="W358" s="327"/>
      <c r="X358" s="327"/>
      <c r="Y358" s="327"/>
      <c r="Z358" s="327"/>
      <c r="AA358" s="327"/>
      <c r="AB358" s="327"/>
      <c r="AC358" s="327"/>
      <c r="AD358" s="327"/>
      <c r="AE358" s="327"/>
      <c r="AF358" s="327"/>
      <c r="AG358" s="327"/>
      <c r="AJ358" s="323"/>
    </row>
    <row r="359" spans="1:37" s="181" customFormat="1" x14ac:dyDescent="0.2">
      <c r="B359" s="210" t="s">
        <v>492</v>
      </c>
      <c r="C359" s="331">
        <v>0</v>
      </c>
      <c r="D359" s="331">
        <f>C359+1</f>
        <v>1</v>
      </c>
      <c r="E359" s="331">
        <f t="shared" ref="E359:AG359" si="227">D359+1</f>
        <v>2</v>
      </c>
      <c r="F359" s="331">
        <f t="shared" si="227"/>
        <v>3</v>
      </c>
      <c r="G359" s="331">
        <f t="shared" si="227"/>
        <v>4</v>
      </c>
      <c r="H359" s="331">
        <f t="shared" si="227"/>
        <v>5</v>
      </c>
      <c r="I359" s="331">
        <f t="shared" si="227"/>
        <v>6</v>
      </c>
      <c r="J359" s="331">
        <f t="shared" si="227"/>
        <v>7</v>
      </c>
      <c r="K359" s="331">
        <f t="shared" si="227"/>
        <v>8</v>
      </c>
      <c r="L359" s="331">
        <f t="shared" si="227"/>
        <v>9</v>
      </c>
      <c r="M359" s="331">
        <f t="shared" si="227"/>
        <v>10</v>
      </c>
      <c r="N359" s="331">
        <f t="shared" si="227"/>
        <v>11</v>
      </c>
      <c r="O359" s="331">
        <f t="shared" si="227"/>
        <v>12</v>
      </c>
      <c r="P359" s="331">
        <f t="shared" si="227"/>
        <v>13</v>
      </c>
      <c r="Q359" s="331">
        <f t="shared" si="227"/>
        <v>14</v>
      </c>
      <c r="R359" s="331">
        <f t="shared" si="227"/>
        <v>15</v>
      </c>
      <c r="S359" s="331">
        <f t="shared" si="227"/>
        <v>16</v>
      </c>
      <c r="T359" s="331">
        <f t="shared" si="227"/>
        <v>17</v>
      </c>
      <c r="U359" s="331">
        <f t="shared" si="227"/>
        <v>18</v>
      </c>
      <c r="V359" s="331">
        <f t="shared" si="227"/>
        <v>19</v>
      </c>
      <c r="W359" s="331">
        <f t="shared" si="227"/>
        <v>20</v>
      </c>
      <c r="X359" s="331">
        <f t="shared" si="227"/>
        <v>21</v>
      </c>
      <c r="Y359" s="331">
        <f t="shared" si="227"/>
        <v>22</v>
      </c>
      <c r="Z359" s="331">
        <f t="shared" si="227"/>
        <v>23</v>
      </c>
      <c r="AA359" s="331">
        <f t="shared" si="227"/>
        <v>24</v>
      </c>
      <c r="AB359" s="331">
        <f t="shared" si="227"/>
        <v>25</v>
      </c>
      <c r="AC359" s="331">
        <f t="shared" si="227"/>
        <v>26</v>
      </c>
      <c r="AD359" s="331">
        <f t="shared" si="227"/>
        <v>27</v>
      </c>
      <c r="AE359" s="331">
        <f t="shared" si="227"/>
        <v>28</v>
      </c>
      <c r="AF359" s="331">
        <f t="shared" si="227"/>
        <v>29</v>
      </c>
      <c r="AG359" s="331">
        <f t="shared" si="227"/>
        <v>30</v>
      </c>
      <c r="AJ359" s="323" t="s">
        <v>493</v>
      </c>
      <c r="AK359" s="181">
        <f>'Propylene Recycling HC'!AK199</f>
        <v>1.9</v>
      </c>
    </row>
    <row r="360" spans="1:37" s="181" customFormat="1" x14ac:dyDescent="0.2">
      <c r="A360" s="181" t="s">
        <v>1404</v>
      </c>
      <c r="B360" s="176"/>
      <c r="C360" s="333">
        <f>$AK$361/((1+EXP(-$AK$360*(C359-$AK$362)))^$AK$359)</f>
        <v>4.6088632748610021E-5</v>
      </c>
      <c r="D360" s="333">
        <f t="shared" ref="D360:AG360" si="228">$AK$361/((1+EXP(-$AK$360*(D359-$AK$362)))^$AK$359)</f>
        <v>8.924759460408035E-5</v>
      </c>
      <c r="E360" s="333">
        <f t="shared" si="228"/>
        <v>1.7252431976790472E-4</v>
      </c>
      <c r="F360" s="333">
        <f t="shared" si="228"/>
        <v>3.3269643715580369E-4</v>
      </c>
      <c r="G360" s="333">
        <f t="shared" si="228"/>
        <v>6.393827369910735E-4</v>
      </c>
      <c r="H360" s="333">
        <f t="shared" si="228"/>
        <v>1.2229053771654547E-3</v>
      </c>
      <c r="I360" s="333">
        <f t="shared" si="228"/>
        <v>2.3234018804222717E-3</v>
      </c>
      <c r="J360" s="333">
        <f t="shared" si="228"/>
        <v>4.3736281679830789E-3</v>
      </c>
      <c r="K360" s="333">
        <f t="shared" si="228"/>
        <v>8.1294184230466908E-3</v>
      </c>
      <c r="L360" s="333">
        <f t="shared" si="228"/>
        <v>1.4853985082038716E-2</v>
      </c>
      <c r="M360" s="333">
        <f t="shared" si="228"/>
        <v>2.6531412096832362E-2</v>
      </c>
      <c r="N360" s="333">
        <f t="shared" si="228"/>
        <v>4.6014759335105015E-2</v>
      </c>
      <c r="O360" s="333">
        <f t="shared" si="228"/>
        <v>7.6910635328419796E-2</v>
      </c>
      <c r="P360" s="333">
        <f t="shared" si="228"/>
        <v>0.12294065829885638</v>
      </c>
      <c r="Q360" s="333">
        <f t="shared" si="228"/>
        <v>0.18666754187878853</v>
      </c>
      <c r="R360" s="333">
        <f t="shared" si="228"/>
        <v>0.26794336563407328</v>
      </c>
      <c r="S360" s="333">
        <f t="shared" si="228"/>
        <v>0.36297326582455031</v>
      </c>
      <c r="T360" s="333">
        <f t="shared" si="228"/>
        <v>0.46484396312424381</v>
      </c>
      <c r="U360" s="333">
        <f t="shared" si="228"/>
        <v>0.56546260593861253</v>
      </c>
      <c r="V360" s="333">
        <f t="shared" si="228"/>
        <v>0.6578403022607352</v>
      </c>
      <c r="W360" s="333">
        <f t="shared" si="228"/>
        <v>0.73754668886795227</v>
      </c>
      <c r="X360" s="333">
        <f t="shared" si="228"/>
        <v>0.80293052021410605</v>
      </c>
      <c r="Y360" s="333">
        <f t="shared" si="228"/>
        <v>0.85447682949112158</v>
      </c>
      <c r="Z360" s="333">
        <f t="shared" si="228"/>
        <v>0.89389910336617451</v>
      </c>
      <c r="AA360" s="333">
        <f t="shared" si="228"/>
        <v>0.92337223319290385</v>
      </c>
      <c r="AB360" s="333">
        <f t="shared" si="228"/>
        <v>0.94504210708611314</v>
      </c>
      <c r="AC360" s="333">
        <f t="shared" si="228"/>
        <v>0.96078240575184182</v>
      </c>
      <c r="AD360" s="333">
        <f t="shared" si="228"/>
        <v>0.97211605463477313</v>
      </c>
      <c r="AE360" s="333">
        <f t="shared" si="228"/>
        <v>0.98022577885232642</v>
      </c>
      <c r="AF360" s="333">
        <f t="shared" si="228"/>
        <v>0.98600279580400285</v>
      </c>
      <c r="AG360" s="333">
        <f t="shared" si="228"/>
        <v>0.9901050637460882</v>
      </c>
      <c r="AI360" s="176" t="s">
        <v>494</v>
      </c>
      <c r="AJ360" s="323" t="s">
        <v>495</v>
      </c>
      <c r="AK360" s="181">
        <f>'Propylene Recycling HC'!AK200</f>
        <v>0.35</v>
      </c>
    </row>
    <row r="361" spans="1:37" s="181" customFormat="1" x14ac:dyDescent="0.2">
      <c r="B361" s="176"/>
      <c r="C361" s="329">
        <v>0</v>
      </c>
      <c r="D361" s="329">
        <v>0</v>
      </c>
      <c r="E361" s="329">
        <v>0</v>
      </c>
      <c r="F361" s="329">
        <v>0</v>
      </c>
      <c r="G361" s="329">
        <v>0</v>
      </c>
      <c r="H361" s="329">
        <v>0</v>
      </c>
      <c r="I361" s="329">
        <v>0</v>
      </c>
      <c r="J361" s="329">
        <v>0</v>
      </c>
      <c r="K361" s="329">
        <v>0</v>
      </c>
      <c r="L361" s="329">
        <v>0</v>
      </c>
      <c r="M361" s="329">
        <f>C360</f>
        <v>4.6088632748610021E-5</v>
      </c>
      <c r="N361" s="329">
        <v>0</v>
      </c>
      <c r="O361" s="329">
        <v>0</v>
      </c>
      <c r="P361" s="329">
        <v>0</v>
      </c>
      <c r="Q361" s="329">
        <v>0</v>
      </c>
      <c r="R361" s="329">
        <f t="shared" ref="R361:AG361" si="229">C360</f>
        <v>4.6088632748610021E-5</v>
      </c>
      <c r="S361" s="329">
        <f t="shared" si="229"/>
        <v>8.924759460408035E-5</v>
      </c>
      <c r="T361" s="329">
        <f t="shared" si="229"/>
        <v>1.7252431976790472E-4</v>
      </c>
      <c r="U361" s="329">
        <f t="shared" si="229"/>
        <v>3.3269643715580369E-4</v>
      </c>
      <c r="V361" s="329">
        <f t="shared" si="229"/>
        <v>6.393827369910735E-4</v>
      </c>
      <c r="W361" s="329">
        <f t="shared" si="229"/>
        <v>1.2229053771654547E-3</v>
      </c>
      <c r="X361" s="329">
        <f t="shared" si="229"/>
        <v>2.3234018804222717E-3</v>
      </c>
      <c r="Y361" s="329">
        <f t="shared" si="229"/>
        <v>4.3736281679830789E-3</v>
      </c>
      <c r="Z361" s="329">
        <f t="shared" si="229"/>
        <v>8.1294184230466908E-3</v>
      </c>
      <c r="AA361" s="329">
        <f t="shared" si="229"/>
        <v>1.4853985082038716E-2</v>
      </c>
      <c r="AB361" s="329">
        <f t="shared" si="229"/>
        <v>2.6531412096832362E-2</v>
      </c>
      <c r="AC361" s="329">
        <f t="shared" si="229"/>
        <v>4.6014759335105015E-2</v>
      </c>
      <c r="AD361" s="329">
        <f t="shared" si="229"/>
        <v>7.6910635328419796E-2</v>
      </c>
      <c r="AE361" s="329">
        <f t="shared" si="229"/>
        <v>0.12294065829885638</v>
      </c>
      <c r="AF361" s="329">
        <f t="shared" si="229"/>
        <v>0.18666754187878853</v>
      </c>
      <c r="AG361" s="329">
        <f t="shared" si="229"/>
        <v>0.26794336563407328</v>
      </c>
      <c r="AI361" s="176" t="s">
        <v>496</v>
      </c>
      <c r="AJ361" s="323" t="s">
        <v>497</v>
      </c>
      <c r="AK361" s="181">
        <f>'Propylene Recycling HC'!AK201</f>
        <v>1</v>
      </c>
    </row>
    <row r="362" spans="1:37" s="181" customFormat="1" x14ac:dyDescent="0.2">
      <c r="B362" s="176"/>
      <c r="C362" s="327"/>
      <c r="D362" s="327"/>
      <c r="E362" s="327"/>
      <c r="F362" s="327"/>
      <c r="G362" s="327"/>
      <c r="H362" s="327"/>
      <c r="I362" s="327"/>
      <c r="J362" s="327"/>
      <c r="K362" s="327"/>
      <c r="L362" s="327"/>
      <c r="M362" s="327"/>
      <c r="N362" s="327"/>
      <c r="O362" s="327"/>
      <c r="P362" s="327"/>
      <c r="Q362" s="327"/>
      <c r="R362" s="327"/>
      <c r="S362" s="327"/>
      <c r="T362" s="327"/>
      <c r="U362" s="327"/>
      <c r="V362" s="327"/>
      <c r="W362" s="327"/>
      <c r="X362" s="327"/>
      <c r="Y362" s="327"/>
      <c r="Z362" s="327"/>
      <c r="AA362" s="327"/>
      <c r="AB362" s="327"/>
      <c r="AC362" s="327"/>
      <c r="AD362" s="327"/>
      <c r="AE362" s="327"/>
      <c r="AF362" s="327"/>
      <c r="AG362" s="327"/>
      <c r="AJ362" s="323" t="s">
        <v>498</v>
      </c>
      <c r="AK362" s="181">
        <f>'Propylene Recycling HC'!AK202</f>
        <v>15</v>
      </c>
    </row>
    <row r="363" spans="1:37" s="181" customFormat="1" x14ac:dyDescent="0.2">
      <c r="A363" s="181" t="s">
        <v>1460</v>
      </c>
      <c r="B363" s="176" t="s">
        <v>462</v>
      </c>
      <c r="C363" s="328">
        <f>('Overall recycling rates'!G12+'Overall recycling rates'!G15)*'Overall recycling rates'!G57/(SUMPRODUCT('Overall recycling rates'!C57:I57,'Overall recycling rates'!C12:I12)+SUMPRODUCT('Overall recycling rates'!C15:I15,'Overall recycling rates'!C57:I57))</f>
        <v>8.5469247930390777E-2</v>
      </c>
      <c r="D363" s="328">
        <f>C363</f>
        <v>8.5469247930390777E-2</v>
      </c>
      <c r="E363" s="328">
        <f t="shared" ref="E363:AG363" si="230">D363</f>
        <v>8.5469247930390777E-2</v>
      </c>
      <c r="F363" s="328">
        <f t="shared" si="230"/>
        <v>8.5469247930390777E-2</v>
      </c>
      <c r="G363" s="328">
        <f t="shared" si="230"/>
        <v>8.5469247930390777E-2</v>
      </c>
      <c r="H363" s="328">
        <f t="shared" si="230"/>
        <v>8.5469247930390777E-2</v>
      </c>
      <c r="I363" s="328">
        <f t="shared" si="230"/>
        <v>8.5469247930390777E-2</v>
      </c>
      <c r="J363" s="328">
        <f t="shared" si="230"/>
        <v>8.5469247930390777E-2</v>
      </c>
      <c r="K363" s="328">
        <f t="shared" si="230"/>
        <v>8.5469247930390777E-2</v>
      </c>
      <c r="L363" s="328">
        <f t="shared" si="230"/>
        <v>8.5469247930390777E-2</v>
      </c>
      <c r="M363" s="328">
        <f t="shared" si="230"/>
        <v>8.5469247930390777E-2</v>
      </c>
      <c r="N363" s="328">
        <f t="shared" si="230"/>
        <v>8.5469247930390777E-2</v>
      </c>
      <c r="O363" s="328">
        <f t="shared" si="230"/>
        <v>8.5469247930390777E-2</v>
      </c>
      <c r="P363" s="328">
        <f t="shared" si="230"/>
        <v>8.5469247930390777E-2</v>
      </c>
      <c r="Q363" s="328">
        <f t="shared" si="230"/>
        <v>8.5469247930390777E-2</v>
      </c>
      <c r="R363" s="328">
        <f t="shared" si="230"/>
        <v>8.5469247930390777E-2</v>
      </c>
      <c r="S363" s="328">
        <f t="shared" si="230"/>
        <v>8.5469247930390777E-2</v>
      </c>
      <c r="T363" s="328">
        <f t="shared" si="230"/>
        <v>8.5469247930390777E-2</v>
      </c>
      <c r="U363" s="328">
        <f t="shared" si="230"/>
        <v>8.5469247930390777E-2</v>
      </c>
      <c r="V363" s="328">
        <f t="shared" si="230"/>
        <v>8.5469247930390777E-2</v>
      </c>
      <c r="W363" s="328">
        <f t="shared" si="230"/>
        <v>8.5469247930390777E-2</v>
      </c>
      <c r="X363" s="328">
        <f t="shared" si="230"/>
        <v>8.5469247930390777E-2</v>
      </c>
      <c r="Y363" s="328">
        <f t="shared" si="230"/>
        <v>8.5469247930390777E-2</v>
      </c>
      <c r="Z363" s="328">
        <f t="shared" si="230"/>
        <v>8.5469247930390777E-2</v>
      </c>
      <c r="AA363" s="328">
        <f t="shared" si="230"/>
        <v>8.5469247930390777E-2</v>
      </c>
      <c r="AB363" s="328">
        <f t="shared" si="230"/>
        <v>8.5469247930390777E-2</v>
      </c>
      <c r="AC363" s="328">
        <f t="shared" si="230"/>
        <v>8.5469247930390777E-2</v>
      </c>
      <c r="AD363" s="328">
        <f t="shared" si="230"/>
        <v>8.5469247930390777E-2</v>
      </c>
      <c r="AE363" s="328">
        <f t="shared" si="230"/>
        <v>8.5469247930390777E-2</v>
      </c>
      <c r="AF363" s="328">
        <f t="shared" si="230"/>
        <v>8.5469247930390777E-2</v>
      </c>
      <c r="AG363" s="328">
        <f t="shared" si="230"/>
        <v>8.5469247930390777E-2</v>
      </c>
      <c r="AI363" s="176" t="s">
        <v>1516</v>
      </c>
      <c r="AJ363" s="323"/>
    </row>
    <row r="364" spans="1:37" s="300" customFormat="1" ht="16" thickBot="1" x14ac:dyDescent="0.25">
      <c r="A364" s="334" t="s">
        <v>1407</v>
      </c>
      <c r="B364" s="335" t="s">
        <v>704</v>
      </c>
      <c r="C364" s="336">
        <f>C363*(C356*C360+C357*C361)</f>
        <v>3.6713971786805374E-6</v>
      </c>
      <c r="D364" s="336">
        <f t="shared" ref="D364:AG364" si="231">D363*(D356*D360+D357*D361)</f>
        <v>8.1877889082501904E-6</v>
      </c>
      <c r="E364" s="336">
        <f t="shared" si="231"/>
        <v>1.7761688977785825E-5</v>
      </c>
      <c r="F364" s="336">
        <f t="shared" si="231"/>
        <v>3.8168311969135723E-5</v>
      </c>
      <c r="G364" s="336">
        <f t="shared" si="231"/>
        <v>8.119271683108149E-5</v>
      </c>
      <c r="H364" s="336">
        <f t="shared" si="231"/>
        <v>1.7079880757287416E-4</v>
      </c>
      <c r="I364" s="336">
        <f t="shared" si="231"/>
        <v>3.4998936680740746E-4</v>
      </c>
      <c r="J364" s="336">
        <f t="shared" si="231"/>
        <v>7.0809599373300729E-4</v>
      </c>
      <c r="K364" s="336">
        <f t="shared" si="231"/>
        <v>1.409959674539395E-3</v>
      </c>
      <c r="L364" s="336">
        <f t="shared" si="231"/>
        <v>2.7513752692899852E-3</v>
      </c>
      <c r="M364" s="336">
        <f>M363*(M356*M360+M357*M361)</f>
        <v>5.2558091421924628E-3</v>
      </c>
      <c r="N364" s="336">
        <f t="shared" si="231"/>
        <v>9.242216777822462E-3</v>
      </c>
      <c r="O364" s="336">
        <f t="shared" si="231"/>
        <v>1.5678854019376329E-2</v>
      </c>
      <c r="P364" s="336">
        <f t="shared" si="231"/>
        <v>2.5349667340555986E-2</v>
      </c>
      <c r="Q364" s="336">
        <f t="shared" si="231"/>
        <v>3.8806941472081989E-2</v>
      </c>
      <c r="R364" s="336">
        <f t="shared" si="231"/>
        <v>5.6007715417686413E-2</v>
      </c>
      <c r="S364" s="336">
        <f t="shared" si="231"/>
        <v>7.6508880591913977E-2</v>
      </c>
      <c r="T364" s="336">
        <f t="shared" si="231"/>
        <v>9.8707015946077406E-2</v>
      </c>
      <c r="U364" s="336">
        <f t="shared" si="231"/>
        <v>0.1208574293739922</v>
      </c>
      <c r="V364" s="336">
        <f t="shared" si="231"/>
        <v>0.14142453210046441</v>
      </c>
      <c r="W364" s="336">
        <f t="shared" si="231"/>
        <v>0.15942710862589135</v>
      </c>
      <c r="X364" s="336">
        <f t="shared" si="231"/>
        <v>0.16537698121093014</v>
      </c>
      <c r="Y364" s="336">
        <f t="shared" si="231"/>
        <v>0.16732319283226138</v>
      </c>
      <c r="Z364" s="336">
        <f t="shared" si="231"/>
        <v>0.16612758780109638</v>
      </c>
      <c r="AA364" s="336">
        <f t="shared" si="231"/>
        <v>0.17428536667186298</v>
      </c>
      <c r="AB364" s="336">
        <f t="shared" si="231"/>
        <v>0.18619643553912113</v>
      </c>
      <c r="AC364" s="336">
        <f t="shared" si="231"/>
        <v>0.1982256388605346</v>
      </c>
      <c r="AD364" s="336">
        <f t="shared" si="231"/>
        <v>0.21171581420206681</v>
      </c>
      <c r="AE364" s="336">
        <f t="shared" si="231"/>
        <v>0.227606376191966</v>
      </c>
      <c r="AF364" s="336">
        <f t="shared" si="231"/>
        <v>0.24630387930433922</v>
      </c>
      <c r="AG364" s="336">
        <f t="shared" si="231"/>
        <v>0.26727542370693846</v>
      </c>
      <c r="AJ364" s="326"/>
    </row>
    <row r="365" spans="1:37" s="230" customFormat="1" x14ac:dyDescent="0.2">
      <c r="A365" s="325" t="s">
        <v>1408</v>
      </c>
      <c r="B365" s="324" t="s">
        <v>462</v>
      </c>
      <c r="C365" s="330">
        <v>0.5</v>
      </c>
      <c r="D365" s="330">
        <v>0.5</v>
      </c>
      <c r="E365" s="330">
        <v>0.5</v>
      </c>
      <c r="F365" s="330">
        <v>0.5</v>
      </c>
      <c r="G365" s="330">
        <v>0.5</v>
      </c>
      <c r="H365" s="330">
        <v>0.5</v>
      </c>
      <c r="I365" s="330">
        <v>0.5</v>
      </c>
      <c r="J365" s="330">
        <v>0.5</v>
      </c>
      <c r="K365" s="330">
        <v>0.5</v>
      </c>
      <c r="L365" s="330">
        <v>0.5</v>
      </c>
      <c r="M365" s="330">
        <v>0.5</v>
      </c>
      <c r="N365" s="330">
        <v>0.5</v>
      </c>
      <c r="O365" s="330">
        <v>0.5</v>
      </c>
      <c r="P365" s="330">
        <v>0.5</v>
      </c>
      <c r="Q365" s="330">
        <v>0.5</v>
      </c>
      <c r="R365" s="330">
        <v>0.5</v>
      </c>
      <c r="S365" s="330">
        <v>0.5</v>
      </c>
      <c r="T365" s="330">
        <v>0.5</v>
      </c>
      <c r="U365" s="330">
        <v>0.5</v>
      </c>
      <c r="V365" s="330">
        <v>0.5</v>
      </c>
      <c r="W365" s="330">
        <v>0.5</v>
      </c>
      <c r="X365" s="330">
        <v>0.5</v>
      </c>
      <c r="Y365" s="330">
        <v>0.5</v>
      </c>
      <c r="Z365" s="330">
        <v>0.5</v>
      </c>
      <c r="AA365" s="330">
        <v>0.5</v>
      </c>
      <c r="AB365" s="330">
        <v>0.5</v>
      </c>
      <c r="AC365" s="330">
        <v>0.5</v>
      </c>
      <c r="AD365" s="330">
        <v>0.5</v>
      </c>
      <c r="AE365" s="330">
        <v>0.5</v>
      </c>
      <c r="AF365" s="330">
        <v>0.5</v>
      </c>
      <c r="AG365" s="330">
        <v>0.5</v>
      </c>
      <c r="AJ365" s="230" t="s">
        <v>1410</v>
      </c>
    </row>
    <row r="366" spans="1:37" s="230" customFormat="1" ht="16" thickBot="1" x14ac:dyDescent="0.25">
      <c r="A366" s="301" t="s">
        <v>1411</v>
      </c>
      <c r="B366" s="335" t="s">
        <v>704</v>
      </c>
      <c r="C366" s="336">
        <f>C365*(C356*C360+C357*C361)</f>
        <v>2.1477883961671542E-5</v>
      </c>
      <c r="D366" s="336">
        <f t="shared" ref="D366:AG366" si="232">D365*(D356*D360+D357*D361)</f>
        <v>4.7899034486173435E-5</v>
      </c>
      <c r="E366" s="336">
        <f t="shared" si="232"/>
        <v>1.0390689872602824E-4</v>
      </c>
      <c r="F366" s="336">
        <f t="shared" si="232"/>
        <v>2.2328681305480401E-4</v>
      </c>
      <c r="G366" s="336">
        <f t="shared" si="232"/>
        <v>4.7498204791276359E-4</v>
      </c>
      <c r="H366" s="336">
        <f t="shared" si="232"/>
        <v>9.9918281550797575E-4</v>
      </c>
      <c r="I366" s="336">
        <f t="shared" si="232"/>
        <v>2.047457859301929E-3</v>
      </c>
      <c r="J366" s="336">
        <f t="shared" si="232"/>
        <v>4.1424021556250622E-3</v>
      </c>
      <c r="K366" s="336">
        <f t="shared" si="232"/>
        <v>8.2483449233560404E-3</v>
      </c>
      <c r="L366" s="336">
        <f t="shared" si="232"/>
        <v>1.6095703050591974E-2</v>
      </c>
      <c r="M366" s="336">
        <f t="shared" si="232"/>
        <v>3.0746784776162897E-2</v>
      </c>
      <c r="N366" s="336">
        <f t="shared" si="232"/>
        <v>5.4067497969267589E-2</v>
      </c>
      <c r="O366" s="336">
        <f t="shared" si="232"/>
        <v>9.1722194818806363E-2</v>
      </c>
      <c r="P366" s="336">
        <f t="shared" si="232"/>
        <v>0.14829700713642446</v>
      </c>
      <c r="Q366" s="336">
        <f t="shared" si="232"/>
        <v>0.22702283225709297</v>
      </c>
      <c r="R366" s="336">
        <f t="shared" si="232"/>
        <v>0.32764834588986386</v>
      </c>
      <c r="S366" s="336">
        <f t="shared" si="232"/>
        <v>0.447581337408196</v>
      </c>
      <c r="T366" s="336">
        <f t="shared" si="232"/>
        <v>0.57744170175960796</v>
      </c>
      <c r="U366" s="336">
        <f t="shared" si="232"/>
        <v>0.70702289010676</v>
      </c>
      <c r="V366" s="336">
        <f t="shared" si="232"/>
        <v>0.82734162008565715</v>
      </c>
      <c r="W366" s="336">
        <f t="shared" si="232"/>
        <v>0.93265772477449727</v>
      </c>
      <c r="X366" s="336">
        <f t="shared" si="232"/>
        <v>0.9674648204791686</v>
      </c>
      <c r="Y366" s="336">
        <f t="shared" si="232"/>
        <v>0.97885027003241798</v>
      </c>
      <c r="Z366" s="336">
        <f t="shared" si="232"/>
        <v>0.97185591206088917</v>
      </c>
      <c r="AA366" s="336">
        <f t="shared" si="232"/>
        <v>1.0195793861074292</v>
      </c>
      <c r="AB366" s="336">
        <f t="shared" si="232"/>
        <v>1.08925982179442</v>
      </c>
      <c r="AC366" s="336">
        <f t="shared" si="232"/>
        <v>1.1596313508103913</v>
      </c>
      <c r="AD366" s="336">
        <f t="shared" si="232"/>
        <v>1.2385496498956898</v>
      </c>
      <c r="AE366" s="336">
        <f t="shared" si="232"/>
        <v>1.3315103484784188</v>
      </c>
      <c r="AF366" s="336">
        <f t="shared" si="232"/>
        <v>1.4408918135382327</v>
      </c>
      <c r="AG366" s="336">
        <f t="shared" si="232"/>
        <v>1.563576550507483</v>
      </c>
      <c r="AJ366" s="325"/>
    </row>
    <row r="367" spans="1:37" s="230" customFormat="1" x14ac:dyDescent="0.2">
      <c r="A367" s="326"/>
      <c r="B367" s="324"/>
      <c r="AJ367" s="325"/>
    </row>
    <row r="368" spans="1:37" s="230" customFormat="1" x14ac:dyDescent="0.2">
      <c r="A368" s="326" t="s">
        <v>1412</v>
      </c>
      <c r="B368" s="324" t="s">
        <v>704</v>
      </c>
      <c r="C368" s="230">
        <f>SUM(C337:C338)-SUM(C364,C366)</f>
        <v>34.24722912260777</v>
      </c>
      <c r="D368" s="230">
        <f t="shared" ref="D368:AG368" si="233">SUM(D337:D338)-SUM(D364,D366)</f>
        <v>35.602999765876177</v>
      </c>
      <c r="E368" s="230">
        <f t="shared" si="233"/>
        <v>36.779474319719718</v>
      </c>
      <c r="F368" s="230">
        <f t="shared" si="233"/>
        <v>37.922469325596587</v>
      </c>
      <c r="G368" s="230">
        <f t="shared" si="233"/>
        <v>38.988594373306178</v>
      </c>
      <c r="H368" s="230">
        <f t="shared" si="233"/>
        <v>39.969360973513758</v>
      </c>
      <c r="I368" s="230">
        <f t="shared" si="233"/>
        <v>40.528759550245816</v>
      </c>
      <c r="J368" s="230">
        <f t="shared" si="233"/>
        <v>41.056108937421456</v>
      </c>
      <c r="K368" s="230">
        <f t="shared" si="233"/>
        <v>41.548741447277337</v>
      </c>
      <c r="L368" s="230">
        <f t="shared" si="233"/>
        <v>42.003160429170464</v>
      </c>
      <c r="M368" s="230">
        <f t="shared" si="233"/>
        <v>42.414386377247084</v>
      </c>
      <c r="N368" s="230">
        <f t="shared" si="233"/>
        <v>42.214658005786767</v>
      </c>
      <c r="O368" s="230">
        <f t="shared" si="233"/>
        <v>41.882880984707086</v>
      </c>
      <c r="P368" s="230">
        <f t="shared" si="233"/>
        <v>41.408425079662308</v>
      </c>
      <c r="Q368" s="230">
        <f t="shared" si="233"/>
        <v>40.79634439022287</v>
      </c>
      <c r="R368" s="230">
        <f t="shared" si="233"/>
        <v>40.050267084709908</v>
      </c>
      <c r="S368" s="230">
        <f t="shared" si="233"/>
        <v>39.369697910363492</v>
      </c>
      <c r="T368" s="230">
        <f t="shared" si="233"/>
        <v>38.647682936303795</v>
      </c>
      <c r="U368" s="230">
        <f t="shared" si="233"/>
        <v>37.896989877746037</v>
      </c>
      <c r="V368" s="230">
        <f t="shared" si="233"/>
        <v>37.129057663700507</v>
      </c>
      <c r="W368" s="230">
        <f t="shared" si="233"/>
        <v>36.351635250190768</v>
      </c>
      <c r="X368" s="230">
        <f t="shared" si="233"/>
        <v>35.315175979050636</v>
      </c>
      <c r="Y368" s="230">
        <f t="shared" si="233"/>
        <v>34.285023400798124</v>
      </c>
      <c r="Z368" s="230">
        <f t="shared" si="233"/>
        <v>33.241388759726682</v>
      </c>
      <c r="AA368" s="230">
        <f t="shared" si="233"/>
        <v>32.117830209450403</v>
      </c>
      <c r="AB368" s="230">
        <f t="shared" si="233"/>
        <v>30.955658110438907</v>
      </c>
      <c r="AC368" s="230">
        <f t="shared" si="233"/>
        <v>29.723492871304298</v>
      </c>
      <c r="AD368" s="230">
        <f t="shared" si="233"/>
        <v>28.477920786026807</v>
      </c>
      <c r="AE368" s="230">
        <f t="shared" si="233"/>
        <v>27.21671452930368</v>
      </c>
      <c r="AF368" s="230">
        <f t="shared" si="233"/>
        <v>25.941571013484431</v>
      </c>
      <c r="AG368" s="230">
        <f t="shared" si="233"/>
        <v>24.660905150497253</v>
      </c>
      <c r="AJ368" s="325"/>
    </row>
    <row r="369" spans="1:36" s="230" customFormat="1" x14ac:dyDescent="0.2">
      <c r="A369" s="326"/>
      <c r="B369" s="324"/>
      <c r="AJ369" s="325"/>
    </row>
    <row r="370" spans="1:36" s="230" customFormat="1" x14ac:dyDescent="0.2">
      <c r="A370" s="325" t="s">
        <v>1413</v>
      </c>
      <c r="B370" s="324" t="s">
        <v>704</v>
      </c>
      <c r="C370" s="327">
        <f>C290*C289*C200</f>
        <v>1.1411399999999999E-2</v>
      </c>
      <c r="D370" s="327">
        <f t="shared" ref="D370:AG370" si="234">D290*D289*D200</f>
        <v>1.2211913118445541E-2</v>
      </c>
      <c r="E370" s="327">
        <f t="shared" si="234"/>
        <v>1.3033868575004636E-2</v>
      </c>
      <c r="F370" s="327">
        <f t="shared" si="234"/>
        <v>1.387667776234245E-2</v>
      </c>
      <c r="G370" s="327">
        <f t="shared" si="234"/>
        <v>1.4739737200808048E-2</v>
      </c>
      <c r="H370" s="327">
        <f t="shared" si="234"/>
        <v>1.5622428538434407E-2</v>
      </c>
      <c r="I370" s="327">
        <f t="shared" si="234"/>
        <v>1.652411855093841E-2</v>
      </c>
      <c r="J370" s="327">
        <f t="shared" si="234"/>
        <v>1.7444159141720841E-2</v>
      </c>
      <c r="K370" s="327">
        <f t="shared" si="234"/>
        <v>1.8381887341866382E-2</v>
      </c>
      <c r="L370" s="327">
        <f t="shared" si="234"/>
        <v>1.9336625310143647E-2</v>
      </c>
      <c r="M370" s="327">
        <f t="shared" si="234"/>
        <v>2.0307680333005135E-2</v>
      </c>
      <c r="N370" s="327">
        <f t="shared" si="234"/>
        <v>2.1981838457272966E-2</v>
      </c>
      <c r="O370" s="327">
        <f t="shared" si="234"/>
        <v>2.3694781802410692E-2</v>
      </c>
      <c r="P370" s="327">
        <f t="shared" si="234"/>
        <v>2.5445093487479479E-2</v>
      </c>
      <c r="Q370" s="327">
        <f t="shared" si="234"/>
        <v>2.7231325285274256E-2</v>
      </c>
      <c r="R370" s="327">
        <f t="shared" si="234"/>
        <v>2.905199762232372E-2</v>
      </c>
      <c r="S370" s="327">
        <f t="shared" si="234"/>
        <v>3.0905599578890351E-2</v>
      </c>
      <c r="T370" s="327">
        <f t="shared" si="234"/>
        <v>3.2790588888970414E-2</v>
      </c>
      <c r="U370" s="327">
        <f t="shared" si="234"/>
        <v>3.4705391940293893E-2</v>
      </c>
      <c r="V370" s="327">
        <f t="shared" si="234"/>
        <v>3.6648403774324587E-2</v>
      </c>
      <c r="W370" s="327">
        <f t="shared" si="234"/>
        <v>3.8617988086260047E-2</v>
      </c>
      <c r="X370" s="327">
        <f t="shared" si="234"/>
        <v>4.1632470531806902E-2</v>
      </c>
      <c r="Y370" s="327">
        <f t="shared" si="234"/>
        <v>4.4694492720111348E-2</v>
      </c>
      <c r="Z370" s="327">
        <f t="shared" si="234"/>
        <v>4.7801295593939176E-2</v>
      </c>
      <c r="AA370" s="327">
        <f t="shared" si="234"/>
        <v>5.0950067647971789E-2</v>
      </c>
      <c r="AB370" s="327">
        <f t="shared" si="234"/>
        <v>5.4137944928806254E-2</v>
      </c>
      <c r="AC370" s="327">
        <f t="shared" si="234"/>
        <v>5.7362011034955314E-2</v>
      </c>
      <c r="AD370" s="327">
        <f t="shared" si="234"/>
        <v>6.0619297116847333E-2</v>
      </c>
      <c r="AE370" s="327">
        <f t="shared" si="234"/>
        <v>6.3906781876826357E-2</v>
      </c>
      <c r="AF370" s="327">
        <f t="shared" si="234"/>
        <v>6.7221391569152106E-2</v>
      </c>
      <c r="AG370" s="327">
        <f t="shared" si="234"/>
        <v>7.0559999999999984E-2</v>
      </c>
      <c r="AJ370" s="325"/>
    </row>
    <row r="371" spans="1:36" s="230" customFormat="1" x14ac:dyDescent="0.2">
      <c r="A371" s="230" t="s">
        <v>1414</v>
      </c>
      <c r="B371" s="324" t="s">
        <v>704</v>
      </c>
      <c r="C371" s="327">
        <f>C291*C289*C200</f>
        <v>4.0458599999999997E-2</v>
      </c>
      <c r="D371" s="327">
        <f t="shared" ref="D371:AG371" si="235">D291*D289*D200</f>
        <v>4.1664174168814197E-2</v>
      </c>
      <c r="E371" s="327">
        <f t="shared" si="235"/>
        <v>4.282556817501524E-2</v>
      </c>
      <c r="F371" s="327">
        <f t="shared" si="235"/>
        <v>4.3942812914084431E-2</v>
      </c>
      <c r="G371" s="327">
        <f t="shared" si="235"/>
        <v>4.501595415381919E-2</v>
      </c>
      <c r="H371" s="327">
        <f t="shared" si="235"/>
        <v>4.6045052534332997E-2</v>
      </c>
      <c r="I371" s="327">
        <f t="shared" si="235"/>
        <v>4.7030183568055488E-2</v>
      </c>
      <c r="J371" s="327">
        <f t="shared" si="235"/>
        <v>4.7971437639732321E-2</v>
      </c>
      <c r="K371" s="327">
        <f t="shared" si="235"/>
        <v>4.886892000642528E-2</v>
      </c>
      <c r="L371" s="327">
        <f t="shared" si="235"/>
        <v>4.9722750797512254E-2</v>
      </c>
      <c r="M371" s="327">
        <f t="shared" si="235"/>
        <v>5.0533065014687212E-2</v>
      </c>
      <c r="N371" s="327">
        <f t="shared" si="235"/>
        <v>5.2956247192521268E-2</v>
      </c>
      <c r="O371" s="327">
        <f t="shared" si="235"/>
        <v>5.5287824205624975E-2</v>
      </c>
      <c r="P371" s="327">
        <f t="shared" si="235"/>
        <v>5.7528037449953634E-2</v>
      </c>
      <c r="Q371" s="327">
        <f t="shared" si="235"/>
        <v>5.9677159667728727E-2</v>
      </c>
      <c r="R371" s="327">
        <f t="shared" si="235"/>
        <v>6.1735494947437956E-2</v>
      </c>
      <c r="S371" s="327">
        <f t="shared" si="235"/>
        <v>6.3703378723835274E-2</v>
      </c>
      <c r="T371" s="327">
        <f t="shared" si="235"/>
        <v>6.5581177777940883E-2</v>
      </c>
      <c r="U371" s="327">
        <f t="shared" si="235"/>
        <v>6.7369290237041135E-2</v>
      </c>
      <c r="V371" s="327">
        <f t="shared" si="235"/>
        <v>6.9068145574688711E-2</v>
      </c>
      <c r="W371" s="327">
        <f t="shared" si="235"/>
        <v>7.0678204610702441E-2</v>
      </c>
      <c r="X371" s="327">
        <f t="shared" si="235"/>
        <v>7.4013280945434551E-2</v>
      </c>
      <c r="Y371" s="327">
        <f t="shared" si="235"/>
        <v>7.7199578334737867E-2</v>
      </c>
      <c r="Z371" s="327">
        <f t="shared" si="235"/>
        <v>8.023788903268371E-2</v>
      </c>
      <c r="AA371" s="327">
        <f t="shared" si="235"/>
        <v>8.3129057741427773E-2</v>
      </c>
      <c r="AB371" s="327">
        <f t="shared" si="235"/>
        <v>8.5873981611210029E-2</v>
      </c>
      <c r="AC371" s="327">
        <f t="shared" si="235"/>
        <v>8.8473610240354911E-2</v>
      </c>
      <c r="AD371" s="327">
        <f t="shared" si="235"/>
        <v>9.0928945675271114E-2</v>
      </c>
      <c r="AE371" s="327">
        <f t="shared" si="235"/>
        <v>9.3241042410451724E-2</v>
      </c>
      <c r="AF371" s="327">
        <f t="shared" si="235"/>
        <v>9.5411007388474092E-2</v>
      </c>
      <c r="AG371" s="327">
        <f t="shared" si="235"/>
        <v>9.7440000000000013E-2</v>
      </c>
      <c r="AJ371" s="325"/>
    </row>
    <row r="372" spans="1:36" s="230" customFormat="1" x14ac:dyDescent="0.2">
      <c r="B372" s="324"/>
      <c r="C372" s="317"/>
      <c r="D372" s="317"/>
      <c r="E372" s="317"/>
      <c r="F372" s="317"/>
      <c r="G372" s="317"/>
      <c r="H372" s="317"/>
      <c r="I372" s="317"/>
      <c r="J372" s="317"/>
      <c r="K372" s="317"/>
      <c r="L372" s="317"/>
      <c r="M372" s="317"/>
      <c r="N372" s="317"/>
      <c r="O372" s="317"/>
      <c r="P372" s="317"/>
      <c r="Q372" s="317"/>
      <c r="R372" s="317"/>
      <c r="S372" s="317"/>
      <c r="T372" s="317"/>
      <c r="U372" s="317"/>
      <c r="V372" s="317"/>
      <c r="W372" s="317"/>
      <c r="X372" s="317"/>
      <c r="Y372" s="317"/>
      <c r="Z372" s="317"/>
      <c r="AA372" s="317"/>
      <c r="AB372" s="317"/>
      <c r="AC372" s="317"/>
      <c r="AD372" s="317"/>
      <c r="AE372" s="317"/>
      <c r="AF372" s="317"/>
      <c r="AG372" s="317"/>
      <c r="AJ372" s="325"/>
    </row>
    <row r="373" spans="1:36" s="230" customFormat="1" x14ac:dyDescent="0.2">
      <c r="A373" s="351" t="s">
        <v>233</v>
      </c>
      <c r="B373" s="352" t="s">
        <v>704</v>
      </c>
      <c r="C373" s="304">
        <f>C351-C364-C366</f>
        <v>5.2955726726823178</v>
      </c>
      <c r="D373" s="353">
        <f t="shared" ref="D373:AG373" si="236">D351-D364-D366</f>
        <v>5.9194107270833252</v>
      </c>
      <c r="E373" s="353">
        <f t="shared" si="236"/>
        <v>6.4528132111655543</v>
      </c>
      <c r="F373" s="353">
        <f t="shared" si="236"/>
        <v>6.9908092113906326</v>
      </c>
      <c r="G373" s="353">
        <f t="shared" si="236"/>
        <v>7.5285918047596088</v>
      </c>
      <c r="H373" s="353">
        <f t="shared" si="236"/>
        <v>8.0618878118111947</v>
      </c>
      <c r="I373" s="353">
        <f t="shared" si="236"/>
        <v>8.4709945074201585</v>
      </c>
      <c r="J373" s="353">
        <f t="shared" si="236"/>
        <v>8.8745097760675371</v>
      </c>
      <c r="K373" s="353">
        <f t="shared" si="236"/>
        <v>9.2704863811720415</v>
      </c>
      <c r="L373" s="353">
        <f t="shared" si="236"/>
        <v>9.6561077291990873</v>
      </c>
      <c r="M373" s="353">
        <f t="shared" si="236"/>
        <v>10.027030548103186</v>
      </c>
      <c r="N373" s="353">
        <f t="shared" si="236"/>
        <v>9.9509236783906125</v>
      </c>
      <c r="O373" s="353">
        <f t="shared" si="236"/>
        <v>9.8307774647855677</v>
      </c>
      <c r="P373" s="353">
        <f t="shared" si="236"/>
        <v>9.6599023701455344</v>
      </c>
      <c r="Q373" s="353">
        <f t="shared" si="236"/>
        <v>9.4377982207198468</v>
      </c>
      <c r="R373" s="353">
        <f t="shared" si="236"/>
        <v>9.1661881763861945</v>
      </c>
      <c r="S373" s="353">
        <f t="shared" si="236"/>
        <v>8.9080982141268752</v>
      </c>
      <c r="T373" s="353">
        <f t="shared" si="236"/>
        <v>8.6336429017838672</v>
      </c>
      <c r="U373" s="353">
        <f t="shared" si="236"/>
        <v>8.3553387605666849</v>
      </c>
      <c r="V373" s="353">
        <f t="shared" si="236"/>
        <v>8.0843383600980765</v>
      </c>
      <c r="W373" s="353">
        <f t="shared" si="236"/>
        <v>7.8280673656896909</v>
      </c>
      <c r="X373" s="353">
        <f t="shared" si="236"/>
        <v>7.1918146916401469</v>
      </c>
      <c r="Y373" s="353">
        <f t="shared" si="236"/>
        <v>6.5959807756912445</v>
      </c>
      <c r="Z373" s="353">
        <f t="shared" si="236"/>
        <v>6.0329714629210915</v>
      </c>
      <c r="AA373" s="353">
        <f t="shared" si="236"/>
        <v>5.8847599172606921</v>
      </c>
      <c r="AB373" s="353">
        <f t="shared" si="236"/>
        <v>5.8590181569926667</v>
      </c>
      <c r="AC373" s="353">
        <f t="shared" si="236"/>
        <v>5.7858380592069292</v>
      </c>
      <c r="AD373" s="353">
        <f t="shared" si="236"/>
        <v>5.6679537409599261</v>
      </c>
      <c r="AE373" s="353">
        <f t="shared" si="236"/>
        <v>5.4998062137943702</v>
      </c>
      <c r="AF373" s="353">
        <f t="shared" si="236"/>
        <v>5.2795652007037317</v>
      </c>
      <c r="AG373" s="354">
        <f t="shared" si="236"/>
        <v>5.0119184860962491</v>
      </c>
      <c r="AI373" s="230" t="s">
        <v>1415</v>
      </c>
      <c r="AJ373" s="325"/>
    </row>
    <row r="374" spans="1:36" s="230" customFormat="1" x14ac:dyDescent="0.2">
      <c r="A374" s="355" t="s">
        <v>234</v>
      </c>
      <c r="B374" s="356" t="s">
        <v>704</v>
      </c>
      <c r="C374" s="357">
        <f>C352+C373</f>
        <v>53.295119039485314</v>
      </c>
      <c r="D374" s="357">
        <f t="shared" ref="D374:AG374" si="237">D352+D373</f>
        <v>54.936072190642207</v>
      </c>
      <c r="E374" s="357">
        <f t="shared" si="237"/>
        <v>56.265543838301411</v>
      </c>
      <c r="F374" s="357">
        <f t="shared" si="237"/>
        <v>57.526795857554049</v>
      </c>
      <c r="G374" s="357">
        <f t="shared" si="237"/>
        <v>58.65759305167618</v>
      </c>
      <c r="H374" s="357">
        <f t="shared" si="237"/>
        <v>59.648884896740554</v>
      </c>
      <c r="I374" s="357">
        <f t="shared" si="237"/>
        <v>59.998916198100829</v>
      </c>
      <c r="J374" s="357">
        <f t="shared" si="237"/>
        <v>60.30300486349168</v>
      </c>
      <c r="K374" s="357">
        <f t="shared" si="237"/>
        <v>60.559015730863266</v>
      </c>
      <c r="L374" s="357">
        <f t="shared" si="237"/>
        <v>60.7640269932687</v>
      </c>
      <c r="M374" s="357">
        <f t="shared" si="237"/>
        <v>60.913674253493355</v>
      </c>
      <c r="N374" s="357">
        <f t="shared" si="237"/>
        <v>60.154628957126121</v>
      </c>
      <c r="O374" s="357">
        <f t="shared" si="237"/>
        <v>59.235054264217119</v>
      </c>
      <c r="P374" s="357">
        <f t="shared" si="237"/>
        <v>58.145395147120581</v>
      </c>
      <c r="Q374" s="357">
        <f t="shared" si="237"/>
        <v>56.897506272499335</v>
      </c>
      <c r="R374" s="357">
        <f t="shared" si="237"/>
        <v>55.49904818923838</v>
      </c>
      <c r="S374" s="357">
        <f t="shared" si="237"/>
        <v>54.226963765189097</v>
      </c>
      <c r="T374" s="357">
        <f t="shared" si="237"/>
        <v>52.926225217458502</v>
      </c>
      <c r="U374" s="357">
        <f t="shared" si="237"/>
        <v>51.610001487977513</v>
      </c>
      <c r="V374" s="357">
        <f t="shared" si="237"/>
        <v>50.290111170192901</v>
      </c>
      <c r="W374" s="357">
        <f t="shared" si="237"/>
        <v>48.974659027598811</v>
      </c>
      <c r="X374" s="357">
        <f t="shared" si="237"/>
        <v>47.264509897350436</v>
      </c>
      <c r="Y374" s="357">
        <f t="shared" si="237"/>
        <v>45.586295448903073</v>
      </c>
      <c r="Z374" s="357">
        <f t="shared" si="237"/>
        <v>43.915428038003235</v>
      </c>
      <c r="AA374" s="357">
        <f t="shared" si="237"/>
        <v>42.1912088918153</v>
      </c>
      <c r="AB374" s="357">
        <f t="shared" si="237"/>
        <v>40.455169599791112</v>
      </c>
      <c r="AC374" s="357">
        <f t="shared" si="237"/>
        <v>38.658888377033399</v>
      </c>
      <c r="AD374" s="357">
        <f t="shared" si="237"/>
        <v>36.878148924043643</v>
      </c>
      <c r="AE374" s="357">
        <f t="shared" si="237"/>
        <v>35.110791939750143</v>
      </c>
      <c r="AF374" s="357">
        <f t="shared" si="237"/>
        <v>33.358497202094931</v>
      </c>
      <c r="AG374" s="358">
        <f t="shared" si="237"/>
        <v>31.629571543195908</v>
      </c>
      <c r="AI374" s="230" t="s">
        <v>1416</v>
      </c>
      <c r="AJ374" s="325"/>
    </row>
    <row r="375" spans="1:36" s="230" customFormat="1" x14ac:dyDescent="0.2">
      <c r="A375" s="433"/>
      <c r="B375" s="434"/>
      <c r="C375" s="433"/>
      <c r="D375" s="433"/>
      <c r="E375" s="433"/>
      <c r="F375" s="433"/>
      <c r="G375" s="433"/>
      <c r="H375" s="433"/>
      <c r="I375" s="433"/>
      <c r="J375" s="433"/>
      <c r="K375" s="433"/>
      <c r="L375" s="433"/>
      <c r="M375" s="433"/>
      <c r="N375" s="433"/>
      <c r="O375" s="433"/>
      <c r="P375" s="433"/>
      <c r="Q375" s="433"/>
      <c r="R375" s="433"/>
      <c r="S375" s="433"/>
      <c r="T375" s="433"/>
      <c r="U375" s="433"/>
      <c r="V375" s="433"/>
      <c r="W375" s="433"/>
      <c r="X375" s="433"/>
      <c r="Y375" s="433"/>
      <c r="Z375" s="433"/>
      <c r="AA375" s="433"/>
      <c r="AB375" s="433"/>
      <c r="AC375" s="433"/>
      <c r="AD375" s="433"/>
      <c r="AE375" s="433"/>
      <c r="AF375" s="433"/>
      <c r="AG375" s="433"/>
      <c r="AJ375" s="325"/>
    </row>
    <row r="376" spans="1:36" x14ac:dyDescent="0.2">
      <c r="B376" s="130"/>
      <c r="C376" s="230"/>
      <c r="D376" s="230"/>
      <c r="E376" s="230"/>
      <c r="F376" s="230"/>
      <c r="G376" s="230"/>
      <c r="H376" s="230"/>
      <c r="I376" s="230"/>
      <c r="J376" s="230"/>
      <c r="K376" s="230"/>
      <c r="L376" s="230"/>
      <c r="M376" s="230"/>
      <c r="N376" s="230"/>
      <c r="O376" s="230"/>
      <c r="P376" s="230"/>
      <c r="Q376" s="230"/>
      <c r="R376" s="230"/>
      <c r="S376" s="230"/>
      <c r="T376" s="230"/>
      <c r="U376" s="230"/>
      <c r="V376" s="230"/>
      <c r="W376" s="230"/>
      <c r="X376" s="230"/>
      <c r="Y376" s="230"/>
      <c r="Z376" s="230"/>
      <c r="AA376" s="230"/>
      <c r="AB376" s="230"/>
      <c r="AC376" s="230"/>
      <c r="AD376" s="230"/>
      <c r="AE376" s="230"/>
      <c r="AF376" s="230"/>
      <c r="AG376" s="230"/>
      <c r="AI376" s="23"/>
    </row>
    <row r="377" spans="1:36" x14ac:dyDescent="0.2">
      <c r="B377" s="130"/>
      <c r="C377" s="230"/>
      <c r="D377" s="230"/>
      <c r="E377" s="230"/>
      <c r="F377" s="230"/>
      <c r="G377" s="230"/>
      <c r="H377" s="230"/>
      <c r="I377" s="230"/>
      <c r="J377" s="230"/>
      <c r="K377" s="230"/>
      <c r="L377" s="230"/>
      <c r="M377" s="230"/>
      <c r="N377" s="230"/>
      <c r="O377" s="230"/>
      <c r="P377" s="230"/>
      <c r="Q377" s="230"/>
      <c r="R377" s="230"/>
      <c r="S377" s="230"/>
      <c r="T377" s="230"/>
      <c r="U377" s="230"/>
      <c r="V377" s="230"/>
      <c r="W377" s="230"/>
      <c r="X377" s="230"/>
      <c r="Y377" s="230"/>
      <c r="Z377" s="230"/>
      <c r="AA377" s="230"/>
      <c r="AB377" s="230"/>
      <c r="AC377" s="230"/>
      <c r="AD377" s="230"/>
      <c r="AE377" s="230"/>
      <c r="AF377" s="230"/>
      <c r="AG377" s="230"/>
      <c r="AI377" s="214"/>
    </row>
  </sheetData>
  <mergeCells count="5">
    <mergeCell ref="BD126:BE126"/>
    <mergeCell ref="BD131:BE131"/>
    <mergeCell ref="BD136:BE136"/>
    <mergeCell ref="BD144:BE144"/>
    <mergeCell ref="AI344:AI352"/>
  </mergeCells>
  <hyperlinks>
    <hyperlink ref="AJ130" r:id="rId1" xr:uid="{E33DF46D-C9BC-4BA0-9DE5-BD81EE35E8EB}"/>
    <hyperlink ref="AJ131" r:id="rId2" xr:uid="{83873675-651C-4A59-B152-3B0208BAF631}"/>
  </hyperlinks>
  <pageMargins left="0.7" right="0.7" top="0.75" bottom="0.75" header="0.3" footer="0.3"/>
  <drawing r:id="rId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22ECF-7E8F-4C61-8BE1-3057FBEBDEC7}">
  <sheetPr>
    <tabColor theme="4"/>
  </sheetPr>
  <dimension ref="A1:BL265"/>
  <sheetViews>
    <sheetView zoomScale="70" zoomScaleNormal="70" workbookViewId="0">
      <pane xSplit="2" ySplit="6" topLeftCell="C152" activePane="bottomRight" state="frozen"/>
      <selection pane="topRight" activeCell="C1" sqref="C1"/>
      <selection pane="bottomLeft" activeCell="A4" sqref="A4"/>
      <selection pane="bottomRight" activeCell="A156" sqref="A156"/>
    </sheetView>
  </sheetViews>
  <sheetFormatPr baseColWidth="10" defaultColWidth="8.83203125" defaultRowHeight="15" outlineLevelRow="2" outlineLevelCol="1" x14ac:dyDescent="0.2"/>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x14ac:dyDescent="0.2">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x14ac:dyDescent="0.2">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x14ac:dyDescent="0.2">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x14ac:dyDescent="0.2">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x14ac:dyDescent="0.25">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x14ac:dyDescent="0.2">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x14ac:dyDescent="0.2">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x14ac:dyDescent="0.2">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x14ac:dyDescent="0.2">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x14ac:dyDescent="0.2">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x14ac:dyDescent="0.2">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x14ac:dyDescent="0.25">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x14ac:dyDescent="0.2">
      <c r="AM13" s="26"/>
      <c r="AN13" s="2"/>
      <c r="AO13" s="26"/>
      <c r="AR13" s="2"/>
    </row>
    <row r="14" spans="1:47" outlineLevel="1" x14ac:dyDescent="0.2">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x14ac:dyDescent="0.2">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x14ac:dyDescent="0.2">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x14ac:dyDescent="0.2">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x14ac:dyDescent="0.2">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x14ac:dyDescent="0.25">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x14ac:dyDescent="0.2">
      <c r="AL20" s="114"/>
      <c r="AM20" s="115"/>
      <c r="AN20" s="115"/>
      <c r="AO20" s="115"/>
      <c r="AP20" s="115"/>
      <c r="AQ20" s="115"/>
    </row>
    <row r="21" spans="1:64" outlineLevel="1" x14ac:dyDescent="0.2">
      <c r="A21" t="s">
        <v>1652</v>
      </c>
      <c r="B21" s="54" t="s">
        <v>462</v>
      </c>
      <c r="C21" s="159">
        <f>'Overall recycling rates'!I76</f>
        <v>1.0476241033911266E-3</v>
      </c>
      <c r="D21" s="159">
        <f>C21</f>
        <v>1.0476241033911266E-3</v>
      </c>
      <c r="E21" s="159">
        <f t="shared" ref="E21:T21" si="10">D21</f>
        <v>1.0476241033911266E-3</v>
      </c>
      <c r="F21" s="159">
        <f t="shared" si="10"/>
        <v>1.0476241033911266E-3</v>
      </c>
      <c r="G21" s="159">
        <f t="shared" si="10"/>
        <v>1.0476241033911266E-3</v>
      </c>
      <c r="H21" s="159">
        <f t="shared" si="10"/>
        <v>1.0476241033911266E-3</v>
      </c>
      <c r="I21" s="159">
        <f t="shared" si="10"/>
        <v>1.0476241033911266E-3</v>
      </c>
      <c r="J21" s="159">
        <f t="shared" si="10"/>
        <v>1.0476241033911266E-3</v>
      </c>
      <c r="K21" s="159">
        <f t="shared" si="10"/>
        <v>1.0476241033911266E-3</v>
      </c>
      <c r="L21" s="159">
        <f t="shared" si="10"/>
        <v>1.0476241033911266E-3</v>
      </c>
      <c r="M21" s="159">
        <f t="shared" si="10"/>
        <v>1.0476241033911266E-3</v>
      </c>
      <c r="N21" s="159">
        <f t="shared" si="10"/>
        <v>1.0476241033911266E-3</v>
      </c>
      <c r="O21" s="159">
        <f t="shared" si="10"/>
        <v>1.0476241033911266E-3</v>
      </c>
      <c r="P21" s="159">
        <f t="shared" si="10"/>
        <v>1.0476241033911266E-3</v>
      </c>
      <c r="Q21" s="159">
        <f t="shared" si="10"/>
        <v>1.0476241033911266E-3</v>
      </c>
      <c r="R21" s="159">
        <f t="shared" si="10"/>
        <v>1.0476241033911266E-3</v>
      </c>
      <c r="S21" s="159">
        <f t="shared" si="10"/>
        <v>1.0476241033911266E-3</v>
      </c>
      <c r="T21" s="159">
        <f t="shared" si="10"/>
        <v>1.0476241033911266E-3</v>
      </c>
      <c r="U21" s="159">
        <f t="shared" ref="T21:AG25" si="11">T21</f>
        <v>1.0476241033911266E-3</v>
      </c>
      <c r="V21" s="159">
        <f t="shared" si="11"/>
        <v>1.0476241033911266E-3</v>
      </c>
      <c r="W21" s="159">
        <f t="shared" si="11"/>
        <v>1.0476241033911266E-3</v>
      </c>
      <c r="X21" s="159">
        <f t="shared" si="11"/>
        <v>1.0476241033911266E-3</v>
      </c>
      <c r="Y21" s="159">
        <f t="shared" si="11"/>
        <v>1.0476241033911266E-3</v>
      </c>
      <c r="Z21" s="159">
        <f t="shared" si="11"/>
        <v>1.0476241033911266E-3</v>
      </c>
      <c r="AA21" s="159">
        <f t="shared" si="11"/>
        <v>1.0476241033911266E-3</v>
      </c>
      <c r="AB21" s="159">
        <f t="shared" si="11"/>
        <v>1.0476241033911266E-3</v>
      </c>
      <c r="AC21" s="159">
        <f t="shared" si="11"/>
        <v>1.0476241033911266E-3</v>
      </c>
      <c r="AD21" s="159">
        <f t="shared" si="11"/>
        <v>1.0476241033911266E-3</v>
      </c>
      <c r="AE21" s="159">
        <f t="shared" si="11"/>
        <v>1.0476241033911266E-3</v>
      </c>
      <c r="AF21" s="159">
        <f t="shared" si="11"/>
        <v>1.0476241033911266E-3</v>
      </c>
      <c r="AG21" s="159">
        <f>AF21</f>
        <v>1.0476241033911266E-3</v>
      </c>
      <c r="AI21" s="54" t="s">
        <v>1263</v>
      </c>
      <c r="AJ21" s="211"/>
      <c r="AM21" s="115"/>
      <c r="AN21" s="115"/>
      <c r="AO21" s="115"/>
      <c r="AP21" s="115"/>
      <c r="AQ21" s="115"/>
    </row>
    <row r="22" spans="1:64" outlineLevel="1" x14ac:dyDescent="0.2">
      <c r="A22" t="s">
        <v>1653</v>
      </c>
      <c r="B22" s="54" t="s">
        <v>462</v>
      </c>
      <c r="C22" s="159">
        <f>'Overall recycling rates'!I78</f>
        <v>0.16227944004324302</v>
      </c>
      <c r="D22" s="159">
        <f t="shared" ref="D22:S25" si="12">C22</f>
        <v>0.16227944004324302</v>
      </c>
      <c r="E22" s="159">
        <f t="shared" si="12"/>
        <v>0.16227944004324302</v>
      </c>
      <c r="F22" s="159">
        <f t="shared" si="12"/>
        <v>0.16227944004324302</v>
      </c>
      <c r="G22" s="159">
        <f t="shared" si="12"/>
        <v>0.16227944004324302</v>
      </c>
      <c r="H22" s="159">
        <f t="shared" si="12"/>
        <v>0.16227944004324302</v>
      </c>
      <c r="I22" s="159">
        <f t="shared" si="12"/>
        <v>0.16227944004324302</v>
      </c>
      <c r="J22" s="159">
        <f t="shared" si="12"/>
        <v>0.16227944004324302</v>
      </c>
      <c r="K22" s="159">
        <f t="shared" si="12"/>
        <v>0.16227944004324302</v>
      </c>
      <c r="L22" s="159">
        <f t="shared" si="12"/>
        <v>0.16227944004324302</v>
      </c>
      <c r="M22" s="159">
        <f t="shared" si="12"/>
        <v>0.16227944004324302</v>
      </c>
      <c r="N22" s="159">
        <f t="shared" si="12"/>
        <v>0.16227944004324302</v>
      </c>
      <c r="O22" s="159">
        <f t="shared" si="12"/>
        <v>0.16227944004324302</v>
      </c>
      <c r="P22" s="159">
        <f t="shared" si="12"/>
        <v>0.16227944004324302</v>
      </c>
      <c r="Q22" s="159">
        <f t="shared" si="12"/>
        <v>0.16227944004324302</v>
      </c>
      <c r="R22" s="159">
        <f t="shared" si="12"/>
        <v>0.16227944004324302</v>
      </c>
      <c r="S22" s="159">
        <f t="shared" si="12"/>
        <v>0.16227944004324302</v>
      </c>
      <c r="T22" s="159">
        <f t="shared" si="11"/>
        <v>0.16227944004324302</v>
      </c>
      <c r="U22" s="159">
        <f t="shared" si="11"/>
        <v>0.16227944004324302</v>
      </c>
      <c r="V22" s="159">
        <f t="shared" si="11"/>
        <v>0.16227944004324302</v>
      </c>
      <c r="W22" s="159">
        <f t="shared" si="11"/>
        <v>0.16227944004324302</v>
      </c>
      <c r="X22" s="159">
        <f t="shared" si="11"/>
        <v>0.16227944004324302</v>
      </c>
      <c r="Y22" s="159">
        <f t="shared" si="11"/>
        <v>0.16227944004324302</v>
      </c>
      <c r="Z22" s="159">
        <f t="shared" si="11"/>
        <v>0.16227944004324302</v>
      </c>
      <c r="AA22" s="159">
        <f t="shared" si="11"/>
        <v>0.16227944004324302</v>
      </c>
      <c r="AB22" s="159">
        <f t="shared" si="11"/>
        <v>0.16227944004324302</v>
      </c>
      <c r="AC22" s="159">
        <f t="shared" si="11"/>
        <v>0.16227944004324302</v>
      </c>
      <c r="AD22" s="159">
        <f t="shared" si="11"/>
        <v>0.16227944004324302</v>
      </c>
      <c r="AE22" s="159">
        <f t="shared" si="11"/>
        <v>0.16227944004324302</v>
      </c>
      <c r="AF22" s="159">
        <f t="shared" si="11"/>
        <v>0.16227944004324302</v>
      </c>
      <c r="AG22" s="159">
        <f t="shared" si="11"/>
        <v>0.16227944004324302</v>
      </c>
      <c r="AI22" s="54" t="s">
        <v>1263</v>
      </c>
      <c r="AJ22" s="211"/>
      <c r="AM22" s="120"/>
      <c r="AN22" s="115"/>
      <c r="AO22" s="116"/>
      <c r="AP22" s="117"/>
      <c r="AQ22" s="116"/>
    </row>
    <row r="23" spans="1:64" outlineLevel="1" x14ac:dyDescent="0.2">
      <c r="A23" t="s">
        <v>1654</v>
      </c>
      <c r="B23" s="54" t="s">
        <v>462</v>
      </c>
      <c r="C23" s="159">
        <f>'Overall recycling rates'!I77</f>
        <v>4.6533696757873619E-3</v>
      </c>
      <c r="D23" s="159">
        <f t="shared" si="12"/>
        <v>4.6533696757873619E-3</v>
      </c>
      <c r="E23" s="159">
        <f t="shared" si="12"/>
        <v>4.6533696757873619E-3</v>
      </c>
      <c r="F23" s="159">
        <f t="shared" si="12"/>
        <v>4.6533696757873619E-3</v>
      </c>
      <c r="G23" s="159">
        <f t="shared" si="12"/>
        <v>4.6533696757873619E-3</v>
      </c>
      <c r="H23" s="159">
        <f t="shared" si="12"/>
        <v>4.6533696757873619E-3</v>
      </c>
      <c r="I23" s="159">
        <f t="shared" si="12"/>
        <v>4.6533696757873619E-3</v>
      </c>
      <c r="J23" s="159">
        <f t="shared" si="12"/>
        <v>4.6533696757873619E-3</v>
      </c>
      <c r="K23" s="159">
        <f t="shared" si="12"/>
        <v>4.6533696757873619E-3</v>
      </c>
      <c r="L23" s="159">
        <f t="shared" si="12"/>
        <v>4.6533696757873619E-3</v>
      </c>
      <c r="M23" s="159">
        <f t="shared" si="12"/>
        <v>4.6533696757873619E-3</v>
      </c>
      <c r="N23" s="159">
        <f t="shared" si="12"/>
        <v>4.6533696757873619E-3</v>
      </c>
      <c r="O23" s="159">
        <f t="shared" si="12"/>
        <v>4.6533696757873619E-3</v>
      </c>
      <c r="P23" s="159">
        <f t="shared" si="12"/>
        <v>4.6533696757873619E-3</v>
      </c>
      <c r="Q23" s="159">
        <f t="shared" si="12"/>
        <v>4.6533696757873619E-3</v>
      </c>
      <c r="R23" s="159">
        <f t="shared" si="12"/>
        <v>4.6533696757873619E-3</v>
      </c>
      <c r="S23" s="159">
        <f t="shared" si="12"/>
        <v>4.6533696757873619E-3</v>
      </c>
      <c r="T23" s="159">
        <f t="shared" si="11"/>
        <v>4.6533696757873619E-3</v>
      </c>
      <c r="U23" s="159">
        <f t="shared" si="11"/>
        <v>4.6533696757873619E-3</v>
      </c>
      <c r="V23" s="159">
        <f t="shared" si="11"/>
        <v>4.6533696757873619E-3</v>
      </c>
      <c r="W23" s="159">
        <f t="shared" si="11"/>
        <v>4.6533696757873619E-3</v>
      </c>
      <c r="X23" s="159">
        <f t="shared" si="11"/>
        <v>4.6533696757873619E-3</v>
      </c>
      <c r="Y23" s="159">
        <f t="shared" si="11"/>
        <v>4.6533696757873619E-3</v>
      </c>
      <c r="Z23" s="159">
        <f t="shared" si="11"/>
        <v>4.6533696757873619E-3</v>
      </c>
      <c r="AA23" s="159">
        <f t="shared" si="11"/>
        <v>4.6533696757873619E-3</v>
      </c>
      <c r="AB23" s="159">
        <f t="shared" si="11"/>
        <v>4.6533696757873619E-3</v>
      </c>
      <c r="AC23" s="159">
        <f t="shared" si="11"/>
        <v>4.6533696757873619E-3</v>
      </c>
      <c r="AD23" s="159">
        <f t="shared" si="11"/>
        <v>4.6533696757873619E-3</v>
      </c>
      <c r="AE23" s="159">
        <f t="shared" si="11"/>
        <v>4.6533696757873619E-3</v>
      </c>
      <c r="AF23" s="159">
        <f t="shared" si="11"/>
        <v>4.6533696757873619E-3</v>
      </c>
      <c r="AG23" s="159">
        <f t="shared" si="11"/>
        <v>4.6533696757873619E-3</v>
      </c>
      <c r="AI23" s="54" t="s">
        <v>1263</v>
      </c>
      <c r="AJ23" s="211"/>
      <c r="AM23" s="120"/>
      <c r="AN23" s="115"/>
      <c r="AO23" s="116"/>
      <c r="AP23" s="117"/>
      <c r="AQ23" s="116"/>
    </row>
    <row r="24" spans="1:64" outlineLevel="1" x14ac:dyDescent="0.2">
      <c r="A24" t="s">
        <v>1655</v>
      </c>
      <c r="B24" s="54" t="s">
        <v>462</v>
      </c>
      <c r="C24" s="159">
        <f>'Overall recycling rates'!I79</f>
        <v>3.9083279961407251E-3</v>
      </c>
      <c r="D24" s="159">
        <f t="shared" si="12"/>
        <v>3.9083279961407251E-3</v>
      </c>
      <c r="E24" s="159">
        <f t="shared" si="12"/>
        <v>3.9083279961407251E-3</v>
      </c>
      <c r="F24" s="159">
        <f t="shared" si="12"/>
        <v>3.9083279961407251E-3</v>
      </c>
      <c r="G24" s="159">
        <f t="shared" si="12"/>
        <v>3.9083279961407251E-3</v>
      </c>
      <c r="H24" s="159">
        <f t="shared" si="12"/>
        <v>3.9083279961407251E-3</v>
      </c>
      <c r="I24" s="159">
        <f t="shared" si="12"/>
        <v>3.9083279961407251E-3</v>
      </c>
      <c r="J24" s="159">
        <f t="shared" si="12"/>
        <v>3.9083279961407251E-3</v>
      </c>
      <c r="K24" s="159">
        <f t="shared" si="12"/>
        <v>3.9083279961407251E-3</v>
      </c>
      <c r="L24" s="159">
        <f t="shared" si="12"/>
        <v>3.9083279961407251E-3</v>
      </c>
      <c r="M24" s="159">
        <f t="shared" si="12"/>
        <v>3.9083279961407251E-3</v>
      </c>
      <c r="N24" s="159">
        <f t="shared" si="12"/>
        <v>3.9083279961407251E-3</v>
      </c>
      <c r="O24" s="159">
        <f t="shared" si="12"/>
        <v>3.9083279961407251E-3</v>
      </c>
      <c r="P24" s="159">
        <f t="shared" si="12"/>
        <v>3.9083279961407251E-3</v>
      </c>
      <c r="Q24" s="159">
        <f t="shared" si="12"/>
        <v>3.9083279961407251E-3</v>
      </c>
      <c r="R24" s="159">
        <f t="shared" si="12"/>
        <v>3.9083279961407251E-3</v>
      </c>
      <c r="S24" s="159">
        <f t="shared" si="12"/>
        <v>3.9083279961407251E-3</v>
      </c>
      <c r="T24" s="159">
        <f t="shared" si="11"/>
        <v>3.9083279961407251E-3</v>
      </c>
      <c r="U24" s="159">
        <f t="shared" si="11"/>
        <v>3.9083279961407251E-3</v>
      </c>
      <c r="V24" s="159">
        <f t="shared" si="11"/>
        <v>3.9083279961407251E-3</v>
      </c>
      <c r="W24" s="159">
        <f t="shared" si="11"/>
        <v>3.9083279961407251E-3</v>
      </c>
      <c r="X24" s="159">
        <f t="shared" si="11"/>
        <v>3.9083279961407251E-3</v>
      </c>
      <c r="Y24" s="159">
        <f t="shared" si="11"/>
        <v>3.9083279961407251E-3</v>
      </c>
      <c r="Z24" s="159">
        <f t="shared" si="11"/>
        <v>3.9083279961407251E-3</v>
      </c>
      <c r="AA24" s="159">
        <f t="shared" si="11"/>
        <v>3.9083279961407251E-3</v>
      </c>
      <c r="AB24" s="159">
        <f t="shared" si="11"/>
        <v>3.9083279961407251E-3</v>
      </c>
      <c r="AC24" s="159">
        <f t="shared" si="11"/>
        <v>3.9083279961407251E-3</v>
      </c>
      <c r="AD24" s="159">
        <f t="shared" si="11"/>
        <v>3.9083279961407251E-3</v>
      </c>
      <c r="AE24" s="159">
        <f t="shared" si="11"/>
        <v>3.9083279961407251E-3</v>
      </c>
      <c r="AF24" s="159">
        <f t="shared" si="11"/>
        <v>3.9083279961407251E-3</v>
      </c>
      <c r="AG24" s="159">
        <f t="shared" si="11"/>
        <v>3.9083279961407251E-3</v>
      </c>
      <c r="AI24" s="54" t="s">
        <v>1263</v>
      </c>
      <c r="AJ24" s="211"/>
      <c r="AM24" s="120"/>
      <c r="AN24" s="115"/>
      <c r="AO24" s="477"/>
      <c r="AP24" s="478"/>
      <c r="AQ24" s="477"/>
    </row>
    <row r="25" spans="1:64" outlineLevel="1" x14ac:dyDescent="0.2">
      <c r="A25" t="s">
        <v>1656</v>
      </c>
      <c r="B25" s="54" t="s">
        <v>462</v>
      </c>
      <c r="C25" s="159">
        <f>'Overall recycling rates'!I80</f>
        <v>2.8150027488846749E-2</v>
      </c>
      <c r="D25" s="159">
        <f>C25</f>
        <v>2.8150027488846749E-2</v>
      </c>
      <c r="E25" s="159">
        <f t="shared" si="12"/>
        <v>2.8150027488846749E-2</v>
      </c>
      <c r="F25" s="159">
        <f t="shared" si="12"/>
        <v>2.8150027488846749E-2</v>
      </c>
      <c r="G25" s="159">
        <f t="shared" si="12"/>
        <v>2.8150027488846749E-2</v>
      </c>
      <c r="H25" s="159">
        <f t="shared" si="12"/>
        <v>2.8150027488846749E-2</v>
      </c>
      <c r="I25" s="159">
        <f t="shared" si="12"/>
        <v>2.8150027488846749E-2</v>
      </c>
      <c r="J25" s="159">
        <f t="shared" si="12"/>
        <v>2.8150027488846749E-2</v>
      </c>
      <c r="K25" s="159">
        <f t="shared" si="12"/>
        <v>2.8150027488846749E-2</v>
      </c>
      <c r="L25" s="159">
        <f t="shared" si="12"/>
        <v>2.8150027488846749E-2</v>
      </c>
      <c r="M25" s="159">
        <f t="shared" si="12"/>
        <v>2.8150027488846749E-2</v>
      </c>
      <c r="N25" s="159">
        <f t="shared" si="12"/>
        <v>2.8150027488846749E-2</v>
      </c>
      <c r="O25" s="159">
        <f t="shared" si="12"/>
        <v>2.8150027488846749E-2</v>
      </c>
      <c r="P25" s="159">
        <f t="shared" si="12"/>
        <v>2.8150027488846749E-2</v>
      </c>
      <c r="Q25" s="159">
        <f t="shared" si="12"/>
        <v>2.8150027488846749E-2</v>
      </c>
      <c r="R25" s="159">
        <f t="shared" si="12"/>
        <v>2.8150027488846749E-2</v>
      </c>
      <c r="S25" s="159">
        <f t="shared" si="12"/>
        <v>2.8150027488846749E-2</v>
      </c>
      <c r="T25" s="159">
        <f t="shared" si="11"/>
        <v>2.8150027488846749E-2</v>
      </c>
      <c r="U25" s="159">
        <f t="shared" si="11"/>
        <v>2.8150027488846749E-2</v>
      </c>
      <c r="V25" s="159">
        <f t="shared" si="11"/>
        <v>2.8150027488846749E-2</v>
      </c>
      <c r="W25" s="159">
        <f t="shared" si="11"/>
        <v>2.8150027488846749E-2</v>
      </c>
      <c r="X25" s="159">
        <f t="shared" si="11"/>
        <v>2.8150027488846749E-2</v>
      </c>
      <c r="Y25" s="159">
        <f t="shared" si="11"/>
        <v>2.8150027488846749E-2</v>
      </c>
      <c r="Z25" s="159">
        <f t="shared" si="11"/>
        <v>2.8150027488846749E-2</v>
      </c>
      <c r="AA25" s="159">
        <f t="shared" si="11"/>
        <v>2.8150027488846749E-2</v>
      </c>
      <c r="AB25" s="159">
        <f t="shared" si="11"/>
        <v>2.8150027488846749E-2</v>
      </c>
      <c r="AC25" s="159">
        <f t="shared" si="11"/>
        <v>2.8150027488846749E-2</v>
      </c>
      <c r="AD25" s="159">
        <f t="shared" si="11"/>
        <v>2.8150027488846749E-2</v>
      </c>
      <c r="AE25" s="159">
        <f t="shared" si="11"/>
        <v>2.8150027488846749E-2</v>
      </c>
      <c r="AF25" s="159">
        <f t="shared" si="11"/>
        <v>2.8150027488846749E-2</v>
      </c>
      <c r="AG25" s="159">
        <f t="shared" si="11"/>
        <v>2.8150027488846749E-2</v>
      </c>
      <c r="AI25" s="54" t="s">
        <v>1263</v>
      </c>
      <c r="AJ25" s="211"/>
      <c r="AM25" s="120"/>
      <c r="AN25" s="115"/>
      <c r="AO25" s="116"/>
      <c r="AP25" s="117"/>
      <c r="AQ25" s="116"/>
    </row>
    <row r="26" spans="1:64" outlineLevel="1" x14ac:dyDescent="0.2">
      <c r="AI26" s="54"/>
      <c r="AM26" s="120"/>
      <c r="AN26" s="115"/>
      <c r="AO26" s="116"/>
      <c r="AP26" s="117"/>
      <c r="AQ26" s="116"/>
      <c r="BD26" s="23"/>
      <c r="BE26" s="23"/>
      <c r="BF26" s="23"/>
      <c r="BG26" s="23"/>
      <c r="BH26" s="23"/>
      <c r="BI26" s="23"/>
      <c r="BJ26" s="23"/>
      <c r="BK26" s="23"/>
      <c r="BL26" s="23"/>
    </row>
    <row r="27" spans="1:64" outlineLevel="1" x14ac:dyDescent="0.2">
      <c r="A27" t="s">
        <v>1657</v>
      </c>
      <c r="B27" s="54" t="s">
        <v>1658</v>
      </c>
      <c r="C27" s="204">
        <f>C14*C21</f>
        <v>0.20115072098267078</v>
      </c>
      <c r="D27" s="204">
        <f t="shared" ref="D27:AG27" si="13">D14*D21</f>
        <v>0.20789359480002442</v>
      </c>
      <c r="E27" s="204">
        <f t="shared" si="13"/>
        <v>0.21430083430052396</v>
      </c>
      <c r="F27" s="204">
        <f t="shared" si="13"/>
        <v>0.2203284625401023</v>
      </c>
      <c r="G27" s="204">
        <f t="shared" si="13"/>
        <v>0.22593426240320497</v>
      </c>
      <c r="H27" s="204">
        <f t="shared" si="13"/>
        <v>0.23107826913398199</v>
      </c>
      <c r="I27" s="204">
        <f t="shared" si="13"/>
        <v>0.23623180778104069</v>
      </c>
      <c r="J27" s="204">
        <f t="shared" si="13"/>
        <v>0.24139021229274113</v>
      </c>
      <c r="K27" s="204">
        <f t="shared" si="13"/>
        <v>0.24654869815570568</v>
      </c>
      <c r="L27" s="204">
        <f t="shared" si="13"/>
        <v>0.25170236861694878</v>
      </c>
      <c r="M27" s="204">
        <f>M14*M21</f>
        <v>0.25684622132652934</v>
      </c>
      <c r="N27" s="204">
        <f t="shared" si="13"/>
        <v>0.26160032378892623</v>
      </c>
      <c r="O27" s="204">
        <f t="shared" si="13"/>
        <v>0.26593830889718367</v>
      </c>
      <c r="P27" s="204">
        <f t="shared" si="13"/>
        <v>0.269835671898008</v>
      </c>
      <c r="Q27" s="204">
        <f t="shared" si="13"/>
        <v>0.27326999814416847</v>
      </c>
      <c r="R27" s="204">
        <f t="shared" si="13"/>
        <v>0.27622117543545271</v>
      </c>
      <c r="S27" s="204">
        <f t="shared" si="13"/>
        <v>0.27917366236482666</v>
      </c>
      <c r="T27" s="204">
        <f t="shared" si="13"/>
        <v>0.28212680112551652</v>
      </c>
      <c r="U27" s="204">
        <f t="shared" si="13"/>
        <v>0.28507992601345894</v>
      </c>
      <c r="V27" s="204">
        <f t="shared" si="13"/>
        <v>0.28803236363731821</v>
      </c>
      <c r="W27" s="204">
        <f t="shared" si="13"/>
        <v>0.29098343313548009</v>
      </c>
      <c r="X27" s="204">
        <f t="shared" si="13"/>
        <v>0.29393568389294977</v>
      </c>
      <c r="Y27" s="204">
        <f t="shared" si="13"/>
        <v>0.296888523198584</v>
      </c>
      <c r="Z27" s="204">
        <f t="shared" si="13"/>
        <v>0.29984135164299386</v>
      </c>
      <c r="AA27" s="204">
        <f t="shared" si="13"/>
        <v>0.30279356328981216</v>
      </c>
      <c r="AB27" s="204">
        <f t="shared" si="13"/>
        <v>0.30574454585229227</v>
      </c>
      <c r="AC27" s="204">
        <f t="shared" si="13"/>
        <v>0.30869659933840649</v>
      </c>
      <c r="AD27" s="204">
        <f t="shared" si="13"/>
        <v>0.31164918686879095</v>
      </c>
      <c r="AE27" s="204">
        <f t="shared" si="13"/>
        <v>0.31460176583254862</v>
      </c>
      <c r="AF27" s="204">
        <f t="shared" si="13"/>
        <v>0.31755378802831352</v>
      </c>
      <c r="AG27" s="204">
        <f t="shared" si="13"/>
        <v>0.32050469980944618</v>
      </c>
      <c r="AI27" s="245"/>
      <c r="AM27" s="120"/>
      <c r="AN27" s="115"/>
      <c r="AO27" s="115"/>
      <c r="AP27" s="115"/>
      <c r="AQ27" s="115"/>
      <c r="BD27" s="205"/>
      <c r="BE27" s="205"/>
      <c r="BF27" s="205"/>
      <c r="BG27" s="205"/>
      <c r="BH27" s="205"/>
      <c r="BI27" s="205"/>
      <c r="BJ27" s="205"/>
      <c r="BK27" s="205"/>
      <c r="BL27" s="205"/>
    </row>
    <row r="28" spans="1:64" outlineLevel="1" x14ac:dyDescent="0.2">
      <c r="A28" t="s">
        <v>1659</v>
      </c>
      <c r="B28" s="54" t="s">
        <v>1658</v>
      </c>
      <c r="C28" s="204">
        <f t="shared" ref="C28:AG31" si="14">C15*C22</f>
        <v>2.9411849599012854</v>
      </c>
      <c r="D28" s="204">
        <f t="shared" si="14"/>
        <v>3.0397778904223811</v>
      </c>
      <c r="E28" s="204">
        <f t="shared" si="14"/>
        <v>3.1334632441774799</v>
      </c>
      <c r="F28" s="204">
        <f t="shared" si="14"/>
        <v>3.2215979992284023</v>
      </c>
      <c r="G28" s="204">
        <f t="shared" si="14"/>
        <v>3.3035648654918082</v>
      </c>
      <c r="H28" s="204">
        <f t="shared" si="14"/>
        <v>3.378779486430183</v>
      </c>
      <c r="I28" s="204">
        <f t="shared" si="14"/>
        <v>3.4541334811111408</v>
      </c>
      <c r="J28" s="204">
        <f t="shared" si="14"/>
        <v>3.5295586234759417</v>
      </c>
      <c r="K28" s="204">
        <f t="shared" si="14"/>
        <v>3.6049849553423923</v>
      </c>
      <c r="L28" s="204">
        <f t="shared" si="14"/>
        <v>3.6803408773835642</v>
      </c>
      <c r="M28" s="204">
        <f t="shared" si="14"/>
        <v>3.7555532462553085</v>
      </c>
      <c r="N28" s="204">
        <f t="shared" si="14"/>
        <v>3.8250667662264144</v>
      </c>
      <c r="O28" s="204">
        <f t="shared" si="14"/>
        <v>3.8884959028178847</v>
      </c>
      <c r="P28" s="204">
        <f t="shared" si="14"/>
        <v>3.9454823525074576</v>
      </c>
      <c r="Q28" s="204">
        <f t="shared" si="14"/>
        <v>3.9956983728789273</v>
      </c>
      <c r="R28" s="204">
        <f t="shared" si="14"/>
        <v>4.0388498874284329</v>
      </c>
      <c r="S28" s="204">
        <f t="shared" si="14"/>
        <v>4.0820205512399124</v>
      </c>
      <c r="T28" s="204">
        <f t="shared" si="14"/>
        <v>4.1252007459964162</v>
      </c>
      <c r="U28" s="204">
        <f t="shared" si="14"/>
        <v>4.1683807379084241</v>
      </c>
      <c r="V28" s="204">
        <f t="shared" si="14"/>
        <v>4.2115506807846899</v>
      </c>
      <c r="W28" s="204">
        <f t="shared" si="14"/>
        <v>4.2547006192050691</v>
      </c>
      <c r="X28" s="204">
        <f t="shared" si="14"/>
        <v>4.2978678297589656</v>
      </c>
      <c r="Y28" s="204">
        <f t="shared" si="14"/>
        <v>4.3410436459445059</v>
      </c>
      <c r="Z28" s="204">
        <f t="shared" si="14"/>
        <v>4.3842193033194308</v>
      </c>
      <c r="AA28" s="204">
        <f t="shared" si="14"/>
        <v>4.4273859420053316</v>
      </c>
      <c r="AB28" s="204">
        <f t="shared" si="14"/>
        <v>4.4705346092698415</v>
      </c>
      <c r="AC28" s="204">
        <f t="shared" si="14"/>
        <v>4.5136989353620729</v>
      </c>
      <c r="AD28" s="204">
        <f t="shared" si="14"/>
        <v>4.5568710701410815</v>
      </c>
      <c r="AE28" s="204">
        <f t="shared" si="14"/>
        <v>4.6000430796606162</v>
      </c>
      <c r="AF28" s="204">
        <f t="shared" si="14"/>
        <v>4.6432069482317191</v>
      </c>
      <c r="AG28" s="204">
        <f t="shared" si="14"/>
        <v>4.6863545805457516</v>
      </c>
      <c r="AM28" s="206"/>
      <c r="BD28" s="205"/>
      <c r="BE28" s="205"/>
      <c r="BF28" s="205"/>
      <c r="BG28" s="205"/>
      <c r="BH28" s="205"/>
      <c r="BI28" s="205"/>
      <c r="BJ28" s="205"/>
      <c r="BK28" s="205"/>
      <c r="BL28" s="205"/>
    </row>
    <row r="29" spans="1:64" outlineLevel="1" x14ac:dyDescent="0.2">
      <c r="A29" t="s">
        <v>1660</v>
      </c>
      <c r="B29" s="54" t="s">
        <v>1658</v>
      </c>
      <c r="C29" s="204">
        <f t="shared" si="14"/>
        <v>6.6351314561166497E-2</v>
      </c>
      <c r="D29" s="204">
        <f t="shared" si="14"/>
        <v>6.8575510127137307E-2</v>
      </c>
      <c r="E29" s="204">
        <f t="shared" si="14"/>
        <v>7.0688993794953747E-2</v>
      </c>
      <c r="F29" s="204">
        <f t="shared" si="14"/>
        <v>7.2677259387183404E-2</v>
      </c>
      <c r="G29" s="204">
        <f t="shared" si="14"/>
        <v>7.4526381221132559E-2</v>
      </c>
      <c r="H29" s="204">
        <f t="shared" si="14"/>
        <v>7.6223176574542931E-2</v>
      </c>
      <c r="I29" s="204">
        <f t="shared" si="14"/>
        <v>7.7923116113430183E-2</v>
      </c>
      <c r="J29" s="204">
        <f t="shared" si="14"/>
        <v>7.9624660700083991E-2</v>
      </c>
      <c r="K29" s="204">
        <f t="shared" si="14"/>
        <v>8.1326232121159733E-2</v>
      </c>
      <c r="L29" s="204">
        <f t="shared" si="14"/>
        <v>8.3026215140102E-2</v>
      </c>
      <c r="M29" s="204">
        <f t="shared" si="14"/>
        <v>8.4722959688281321E-2</v>
      </c>
      <c r="N29" s="204">
        <f t="shared" si="14"/>
        <v>8.6291141728084636E-2</v>
      </c>
      <c r="O29" s="204">
        <f t="shared" si="14"/>
        <v>8.7722063839989192E-2</v>
      </c>
      <c r="P29" s="204">
        <f t="shared" si="14"/>
        <v>8.9007642918023044E-2</v>
      </c>
      <c r="Q29" s="204">
        <f t="shared" si="14"/>
        <v>9.0140485295875108E-2</v>
      </c>
      <c r="R29" s="204">
        <f t="shared" si="14"/>
        <v>9.1113956789405787E-2</v>
      </c>
      <c r="S29" s="204">
        <f t="shared" si="14"/>
        <v>9.2087860278449188E-2</v>
      </c>
      <c r="T29" s="204">
        <f t="shared" si="14"/>
        <v>9.3061978779720639E-2</v>
      </c>
      <c r="U29" s="204">
        <f t="shared" si="14"/>
        <v>9.4036092704945645E-2</v>
      </c>
      <c r="V29" s="204">
        <f t="shared" si="14"/>
        <v>9.5009979930136296E-2</v>
      </c>
      <c r="W29" s="204">
        <f t="shared" si="14"/>
        <v>9.5983415867168187E-2</v>
      </c>
      <c r="X29" s="204">
        <f t="shared" si="14"/>
        <v>9.695724145285517E-2</v>
      </c>
      <c r="Y29" s="204">
        <f t="shared" si="14"/>
        <v>9.7931261176272391E-2</v>
      </c>
      <c r="Z29" s="204">
        <f t="shared" si="14"/>
        <v>9.8905277317020285E-2</v>
      </c>
      <c r="AA29" s="204">
        <f t="shared" si="14"/>
        <v>9.9879090001718809E-2</v>
      </c>
      <c r="AB29" s="204">
        <f t="shared" si="14"/>
        <v>0.10085249726226007</v>
      </c>
      <c r="AC29" s="204">
        <f t="shared" si="14"/>
        <v>0.10182625777627496</v>
      </c>
      <c r="AD29" s="204">
        <f t="shared" si="14"/>
        <v>0.10280019444943654</v>
      </c>
      <c r="AE29" s="204">
        <f t="shared" si="14"/>
        <v>0.1037741282968218</v>
      </c>
      <c r="AF29" s="204">
        <f t="shared" si="14"/>
        <v>0.10474787848944286</v>
      </c>
      <c r="AG29" s="204">
        <f t="shared" si="14"/>
        <v>0.10572126240214111</v>
      </c>
      <c r="BD29" s="205"/>
      <c r="BE29" s="205"/>
      <c r="BF29" s="205"/>
      <c r="BG29" s="205"/>
      <c r="BH29" s="205"/>
      <c r="BI29" s="205"/>
      <c r="BJ29" s="205"/>
      <c r="BK29" s="205"/>
      <c r="BL29" s="205"/>
    </row>
    <row r="30" spans="1:64" outlineLevel="1" x14ac:dyDescent="0.2">
      <c r="A30" t="s">
        <v>1661</v>
      </c>
      <c r="B30" s="54" t="s">
        <v>1658</v>
      </c>
      <c r="C30" s="204">
        <f t="shared" si="14"/>
        <v>0.14284140955223965</v>
      </c>
      <c r="D30" s="204">
        <f t="shared" si="14"/>
        <v>0.14762966780852829</v>
      </c>
      <c r="E30" s="204">
        <f t="shared" si="14"/>
        <v>0.15217958499062473</v>
      </c>
      <c r="F30" s="204">
        <f t="shared" si="14"/>
        <v>0.15645993213425954</v>
      </c>
      <c r="G30" s="204">
        <f t="shared" si="14"/>
        <v>0.16044072996685751</v>
      </c>
      <c r="H30" s="204">
        <f t="shared" si="14"/>
        <v>0.16409359866442336</v>
      </c>
      <c r="I30" s="204">
        <f t="shared" si="14"/>
        <v>0.16775323617867927</v>
      </c>
      <c r="J30" s="204">
        <f t="shared" si="14"/>
        <v>0.17141632904701354</v>
      </c>
      <c r="K30" s="204">
        <f t="shared" si="14"/>
        <v>0.17507947968461252</v>
      </c>
      <c r="L30" s="204">
        <f t="shared" si="14"/>
        <v>0.17873921080292712</v>
      </c>
      <c r="M30" s="204">
        <f t="shared" si="14"/>
        <v>0.1823919701267622</v>
      </c>
      <c r="N30" s="204">
        <f t="shared" si="14"/>
        <v>0.18576795950212738</v>
      </c>
      <c r="O30" s="204">
        <f t="shared" si="14"/>
        <v>0.18884845508500678</v>
      </c>
      <c r="P30" s="204">
        <f t="shared" si="14"/>
        <v>0.19161605552837008</v>
      </c>
      <c r="Q30" s="204">
        <f t="shared" si="14"/>
        <v>0.1940548437140017</v>
      </c>
      <c r="R30" s="204">
        <f t="shared" si="14"/>
        <v>0.19615053754033365</v>
      </c>
      <c r="S30" s="204">
        <f t="shared" si="14"/>
        <v>0.1982471613685558</v>
      </c>
      <c r="T30" s="204">
        <f t="shared" si="14"/>
        <v>0.20034424807607323</v>
      </c>
      <c r="U30" s="204">
        <f t="shared" si="14"/>
        <v>0.20244132493225722</v>
      </c>
      <c r="V30" s="204">
        <f t="shared" si="14"/>
        <v>0.20453791374758371</v>
      </c>
      <c r="W30" s="204">
        <f t="shared" si="14"/>
        <v>0.2066335310277245</v>
      </c>
      <c r="X30" s="204">
        <f t="shared" si="14"/>
        <v>0.20872998714524924</v>
      </c>
      <c r="Y30" s="204">
        <f t="shared" si="14"/>
        <v>0.21082686120335611</v>
      </c>
      <c r="Z30" s="204">
        <f t="shared" si="14"/>
        <v>0.21292372754867625</v>
      </c>
      <c r="AA30" s="204">
        <f t="shared" si="14"/>
        <v>0.2150201558928948</v>
      </c>
      <c r="AB30" s="204">
        <f t="shared" si="14"/>
        <v>0.21711571143815708</v>
      </c>
      <c r="AC30" s="204">
        <f t="shared" si="14"/>
        <v>0.21921202746909235</v>
      </c>
      <c r="AD30" s="204">
        <f t="shared" si="14"/>
        <v>0.22130872273623389</v>
      </c>
      <c r="AE30" s="204">
        <f t="shared" si="14"/>
        <v>0.22340541192003144</v>
      </c>
      <c r="AF30" s="204">
        <f t="shared" si="14"/>
        <v>0.22550170573102349</v>
      </c>
      <c r="AG30" s="204">
        <f t="shared" si="14"/>
        <v>0.22759721101294395</v>
      </c>
      <c r="BD30" s="205"/>
      <c r="BE30" s="205"/>
      <c r="BF30" s="205"/>
      <c r="BG30" s="205"/>
      <c r="BH30" s="205"/>
      <c r="BI30" s="205"/>
      <c r="BJ30" s="205"/>
      <c r="BK30" s="205"/>
      <c r="BL30" s="205"/>
    </row>
    <row r="31" spans="1:64" outlineLevel="1" x14ac:dyDescent="0.2">
      <c r="A31" s="181" t="s">
        <v>1662</v>
      </c>
      <c r="B31" s="176" t="s">
        <v>1658</v>
      </c>
      <c r="C31" s="204">
        <f t="shared" si="14"/>
        <v>2.9123825679515898</v>
      </c>
      <c r="D31" s="204">
        <f t="shared" si="14"/>
        <v>3.0100099991018356</v>
      </c>
      <c r="E31" s="204">
        <f t="shared" si="14"/>
        <v>3.1027779123302115</v>
      </c>
      <c r="F31" s="204">
        <f t="shared" si="14"/>
        <v>3.1900495826741282</v>
      </c>
      <c r="G31" s="204">
        <f t="shared" si="14"/>
        <v>3.2712137650393118</v>
      </c>
      <c r="H31" s="204">
        <f t="shared" si="14"/>
        <v>3.3456918253661807</v>
      </c>
      <c r="I31" s="204">
        <f t="shared" si="14"/>
        <v>3.4203078945785381</v>
      </c>
      <c r="J31" s="204">
        <f t="shared" si="14"/>
        <v>3.4949944147407672</v>
      </c>
      <c r="K31" s="204">
        <f t="shared" si="14"/>
        <v>3.5696821127561122</v>
      </c>
      <c r="L31" s="204">
        <f t="shared" si="14"/>
        <v>3.6443000904544598</v>
      </c>
      <c r="M31" s="204">
        <f t="shared" si="14"/>
        <v>3.718775920768703</v>
      </c>
      <c r="N31" s="204">
        <f t="shared" si="14"/>
        <v>3.7876087097843243</v>
      </c>
      <c r="O31" s="204">
        <f t="shared" si="14"/>
        <v>3.8504166984785884</v>
      </c>
      <c r="P31" s="204">
        <f t="shared" si="14"/>
        <v>3.9068450921185898</v>
      </c>
      <c r="Q31" s="204">
        <f t="shared" si="14"/>
        <v>3.9565693577991397</v>
      </c>
      <c r="R31" s="204">
        <f t="shared" si="14"/>
        <v>3.9992982988443542</v>
      </c>
      <c r="S31" s="204">
        <f t="shared" si="14"/>
        <v>4.0420462016269356</v>
      </c>
      <c r="T31" s="204">
        <f t="shared" si="14"/>
        <v>4.0848035420200457</v>
      </c>
      <c r="U31" s="204">
        <f t="shared" si="14"/>
        <v>4.1275606815550718</v>
      </c>
      <c r="V31" s="204">
        <f t="shared" si="14"/>
        <v>4.1703078704624046</v>
      </c>
      <c r="W31" s="204">
        <f t="shared" si="14"/>
        <v>4.2130352508131841</v>
      </c>
      <c r="X31" s="204">
        <f t="shared" si="14"/>
        <v>4.2557797341551922</v>
      </c>
      <c r="Y31" s="204">
        <f t="shared" si="14"/>
        <v>4.2985327388557435</v>
      </c>
      <c r="Z31" s="204">
        <f t="shared" si="14"/>
        <v>4.3412855863008772</v>
      </c>
      <c r="AA31" s="204">
        <f t="shared" si="14"/>
        <v>4.3840295033750696</v>
      </c>
      <c r="AB31" s="204">
        <f t="shared" si="14"/>
        <v>4.4267556250181377</v>
      </c>
      <c r="AC31" s="204">
        <f t="shared" si="14"/>
        <v>4.4694972521453922</v>
      </c>
      <c r="AD31" s="204">
        <f t="shared" si="14"/>
        <v>4.5122466114906343</v>
      </c>
      <c r="AE31" s="204">
        <f t="shared" si="14"/>
        <v>4.5549958468030418</v>
      </c>
      <c r="AF31" s="204">
        <f t="shared" si="14"/>
        <v>4.597737020889574</v>
      </c>
      <c r="AG31" s="204">
        <f t="shared" si="14"/>
        <v>4.6404621177172114</v>
      </c>
      <c r="AL31" s="108"/>
      <c r="AM31" s="207"/>
      <c r="AN31" s="207"/>
      <c r="AO31" s="207"/>
    </row>
    <row r="32" spans="1:64" s="1" customFormat="1" ht="16" thickBot="1" x14ac:dyDescent="0.25">
      <c r="A32" s="200" t="s">
        <v>1663</v>
      </c>
      <c r="B32" s="219" t="s">
        <v>1658</v>
      </c>
      <c r="C32" s="216">
        <f>SUM(C27:C31)</f>
        <v>6.2639109729489517</v>
      </c>
      <c r="D32" s="216">
        <f t="shared" ref="D32:AG32" si="15">SUM(D27:D31)</f>
        <v>6.4738866622599067</v>
      </c>
      <c r="E32" s="216">
        <f t="shared" si="15"/>
        <v>6.673410569593794</v>
      </c>
      <c r="F32" s="216">
        <f t="shared" si="15"/>
        <v>6.8611132359640763</v>
      </c>
      <c r="G32" s="216">
        <f t="shared" si="15"/>
        <v>7.0356800041223151</v>
      </c>
      <c r="H32" s="216">
        <f t="shared" si="15"/>
        <v>7.1958663561693115</v>
      </c>
      <c r="I32" s="216">
        <f t="shared" si="15"/>
        <v>7.3563495357628295</v>
      </c>
      <c r="J32" s="216">
        <f t="shared" si="15"/>
        <v>7.5169842402565479</v>
      </c>
      <c r="K32" s="216">
        <f t="shared" si="15"/>
        <v>7.677621478059983</v>
      </c>
      <c r="L32" s="216">
        <f t="shared" si="15"/>
        <v>7.8381087623980026</v>
      </c>
      <c r="M32" s="216">
        <f t="shared" si="15"/>
        <v>7.9982903181655836</v>
      </c>
      <c r="N32" s="216">
        <f t="shared" si="15"/>
        <v>8.1463349010298778</v>
      </c>
      <c r="O32" s="216">
        <f t="shared" si="15"/>
        <v>8.2814214291186534</v>
      </c>
      <c r="P32" s="216">
        <f t="shared" si="15"/>
        <v>8.4027868149704492</v>
      </c>
      <c r="Q32" s="216">
        <f t="shared" si="15"/>
        <v>8.5097330578321113</v>
      </c>
      <c r="R32" s="216">
        <f t="shared" si="15"/>
        <v>8.6016338560379779</v>
      </c>
      <c r="S32" s="216">
        <f t="shared" si="15"/>
        <v>8.69357543687868</v>
      </c>
      <c r="T32" s="216">
        <f t="shared" si="15"/>
        <v>8.7855373159977717</v>
      </c>
      <c r="U32" s="216">
        <f t="shared" si="15"/>
        <v>8.8774987631141578</v>
      </c>
      <c r="V32" s="216">
        <f t="shared" si="15"/>
        <v>8.9694388085621313</v>
      </c>
      <c r="W32" s="216">
        <f t="shared" si="15"/>
        <v>9.0613362500486261</v>
      </c>
      <c r="X32" s="216">
        <f t="shared" si="15"/>
        <v>9.1532704764052113</v>
      </c>
      <c r="Y32" s="216">
        <f t="shared" si="15"/>
        <v>9.2452230303784617</v>
      </c>
      <c r="Z32" s="216">
        <f t="shared" si="15"/>
        <v>9.3371752461289983</v>
      </c>
      <c r="AA32" s="216">
        <f t="shared" si="15"/>
        <v>9.4291082545648273</v>
      </c>
      <c r="AB32" s="216">
        <f t="shared" si="15"/>
        <v>9.5210029888406886</v>
      </c>
      <c r="AC32" s="216">
        <f t="shared" si="15"/>
        <v>9.6129310720912393</v>
      </c>
      <c r="AD32" s="216">
        <f t="shared" si="15"/>
        <v>9.7048757856861769</v>
      </c>
      <c r="AE32" s="216">
        <f t="shared" si="15"/>
        <v>9.7968202325130598</v>
      </c>
      <c r="AF32" s="216">
        <f t="shared" si="15"/>
        <v>9.8887473413700739</v>
      </c>
      <c r="AG32" s="216">
        <f t="shared" si="15"/>
        <v>9.9806398714874938</v>
      </c>
      <c r="AJ32" s="162"/>
      <c r="AL32" s="221"/>
      <c r="AM32" s="124"/>
      <c r="AN32" s="124"/>
      <c r="AO32" s="124"/>
    </row>
    <row r="33" spans="1:64" ht="16" outlineLevel="1" thickTop="1" x14ac:dyDescent="0.2">
      <c r="AL33" s="108"/>
      <c r="AM33" s="2"/>
      <c r="AN33" s="2"/>
      <c r="AO33" s="2"/>
    </row>
    <row r="34" spans="1:64" outlineLevel="1" x14ac:dyDescent="0.2">
      <c r="A34" t="s">
        <v>1664</v>
      </c>
      <c r="B34" s="176" t="s">
        <v>1658</v>
      </c>
      <c r="C34" s="107">
        <f>C32</f>
        <v>6.2639109729489517</v>
      </c>
      <c r="D34" s="107">
        <f t="shared" ref="D34:AG34" si="16">D32</f>
        <v>6.4738866622599067</v>
      </c>
      <c r="E34" s="107">
        <f t="shared" si="16"/>
        <v>6.673410569593794</v>
      </c>
      <c r="F34" s="107">
        <f t="shared" si="16"/>
        <v>6.8611132359640763</v>
      </c>
      <c r="G34" s="107">
        <f t="shared" si="16"/>
        <v>7.0356800041223151</v>
      </c>
      <c r="H34" s="107">
        <f t="shared" si="16"/>
        <v>7.1958663561693115</v>
      </c>
      <c r="I34" s="107">
        <f t="shared" si="16"/>
        <v>7.3563495357628295</v>
      </c>
      <c r="J34" s="107">
        <f t="shared" si="16"/>
        <v>7.5169842402565479</v>
      </c>
      <c r="K34" s="107">
        <f t="shared" si="16"/>
        <v>7.677621478059983</v>
      </c>
      <c r="L34" s="107">
        <f t="shared" si="16"/>
        <v>7.8381087623980026</v>
      </c>
      <c r="M34" s="107">
        <f t="shared" si="16"/>
        <v>7.9982903181655836</v>
      </c>
      <c r="N34" s="107">
        <f t="shared" si="16"/>
        <v>8.1463349010298778</v>
      </c>
      <c r="O34" s="107">
        <f t="shared" si="16"/>
        <v>8.2814214291186534</v>
      </c>
      <c r="P34" s="107">
        <f t="shared" si="16"/>
        <v>8.4027868149704492</v>
      </c>
      <c r="Q34" s="107">
        <f t="shared" si="16"/>
        <v>8.5097330578321113</v>
      </c>
      <c r="R34" s="107">
        <f t="shared" si="16"/>
        <v>8.6016338560379779</v>
      </c>
      <c r="S34" s="107">
        <f t="shared" si="16"/>
        <v>8.69357543687868</v>
      </c>
      <c r="T34" s="107">
        <f t="shared" si="16"/>
        <v>8.7855373159977717</v>
      </c>
      <c r="U34" s="107">
        <f t="shared" si="16"/>
        <v>8.8774987631141578</v>
      </c>
      <c r="V34" s="107">
        <f t="shared" si="16"/>
        <v>8.9694388085621313</v>
      </c>
      <c r="W34" s="107">
        <f t="shared" si="16"/>
        <v>9.0613362500486261</v>
      </c>
      <c r="X34" s="107">
        <f t="shared" si="16"/>
        <v>9.1532704764052113</v>
      </c>
      <c r="Y34" s="107">
        <f t="shared" si="16"/>
        <v>9.2452230303784617</v>
      </c>
      <c r="Z34" s="107">
        <f t="shared" si="16"/>
        <v>9.3371752461289983</v>
      </c>
      <c r="AA34" s="107">
        <f t="shared" si="16"/>
        <v>9.4291082545648273</v>
      </c>
      <c r="AB34" s="107">
        <f t="shared" si="16"/>
        <v>9.5210029888406886</v>
      </c>
      <c r="AC34" s="107">
        <f t="shared" si="16"/>
        <v>9.6129310720912393</v>
      </c>
      <c r="AD34" s="107">
        <f t="shared" si="16"/>
        <v>9.7048757856861769</v>
      </c>
      <c r="AE34" s="107">
        <f t="shared" si="16"/>
        <v>9.7968202325130598</v>
      </c>
      <c r="AF34" s="107">
        <f t="shared" si="16"/>
        <v>9.8887473413700739</v>
      </c>
      <c r="AG34" s="107">
        <f t="shared" si="16"/>
        <v>9.9806398714874938</v>
      </c>
      <c r="AL34" s="108"/>
      <c r="AM34" s="2"/>
      <c r="AN34" s="2"/>
      <c r="AO34" s="2"/>
    </row>
    <row r="35" spans="1:64" outlineLevel="1" x14ac:dyDescent="0.2">
      <c r="AL35" s="108"/>
      <c r="AM35" s="2"/>
      <c r="AN35" s="2"/>
      <c r="AO35" s="2"/>
    </row>
    <row r="36" spans="1:64" outlineLevel="1" x14ac:dyDescent="0.2">
      <c r="A36" t="s">
        <v>1665</v>
      </c>
      <c r="B36" s="54" t="s">
        <v>462</v>
      </c>
      <c r="C36" s="205">
        <f>'Yearly Butadiene'!AJ25/'Yearly Butadiene'!AJ18</f>
        <v>1</v>
      </c>
      <c r="D36" s="205">
        <f>'Yearly Butadiene'!AK25/'Yearly Butadiene'!AK18</f>
        <v>0.98931924000000004</v>
      </c>
      <c r="E36" s="205">
        <f>'Yearly Butadiene'!AL25/'Yearly Butadiene'!AL18</f>
        <v>0.97863847999999998</v>
      </c>
      <c r="F36" s="205">
        <f>'Yearly Butadiene'!AM25/'Yearly Butadiene'!AM18</f>
        <v>0.96795772000000002</v>
      </c>
      <c r="G36" s="205">
        <f>'Yearly Butadiene'!AN25/'Yearly Butadiene'!AN18</f>
        <v>0.95727696000000007</v>
      </c>
      <c r="H36" s="205">
        <f>'Yearly Butadiene'!AO25/'Yearly Butadiene'!AO18</f>
        <v>0.94659620000000011</v>
      </c>
      <c r="I36" s="205">
        <f>'Yearly Butadiene'!AP25/'Yearly Butadiene'!AP18</f>
        <v>0.93591543999999993</v>
      </c>
      <c r="J36" s="205">
        <f>'Yearly Butadiene'!AQ25/'Yearly Butadiene'!AQ18</f>
        <v>0.92523468000000009</v>
      </c>
      <c r="K36" s="205">
        <f>'Yearly Butadiene'!AR25/'Yearly Butadiene'!AR18</f>
        <v>0.91455392000000002</v>
      </c>
      <c r="L36" s="205">
        <f>'Yearly Butadiene'!AS25/'Yearly Butadiene'!AS18</f>
        <v>0.90387316000000006</v>
      </c>
      <c r="M36" s="205">
        <f>'Yearly Butadiene'!AT25/'Yearly Butadiene'!AT18</f>
        <v>0.8931924</v>
      </c>
      <c r="N36" s="205">
        <f>'Yearly Butadiene'!AU25/'Yearly Butadiene'!AU18</f>
        <v>0.87486300000000006</v>
      </c>
      <c r="O36" s="205">
        <f>'Yearly Butadiene'!AV25/'Yearly Butadiene'!AV18</f>
        <v>0.85958643000000001</v>
      </c>
      <c r="P36" s="205">
        <f>'Yearly Butadiene'!AW25/'Yearly Butadiene'!AW18</f>
        <v>0.84094122000000004</v>
      </c>
      <c r="Q36" s="205">
        <f>'Yearly Butadiene'!AX25/'Yearly Butadiene'!AX18</f>
        <v>0.82229601000000008</v>
      </c>
      <c r="R36" s="205">
        <f>'Yearly Butadiene'!AY25/'Yearly Butadiene'!AY18</f>
        <v>0.8036508</v>
      </c>
      <c r="S36" s="205">
        <f>'Yearly Butadiene'!AZ25/'Yearly Butadiene'!AZ18</f>
        <v>0.78500559000000003</v>
      </c>
      <c r="T36" s="205">
        <f>'Yearly Butadiene'!BA25/'Yearly Butadiene'!BA18</f>
        <v>0.76636037999999995</v>
      </c>
      <c r="U36" s="205">
        <f>'Yearly Butadiene'!BB25/'Yearly Butadiene'!BB18</f>
        <v>0.7477151700000001</v>
      </c>
      <c r="V36" s="205">
        <f>'Yearly Butadiene'!BC25/'Yearly Butadiene'!BC18</f>
        <v>0.72906996000000002</v>
      </c>
      <c r="W36" s="205">
        <f>'Yearly Butadiene'!BD25/'Yearly Butadiene'!BD18</f>
        <v>0.71042475000000005</v>
      </c>
      <c r="X36" s="205">
        <f>'Yearly Butadiene'!BE25/'Yearly Butadiene'!BE18</f>
        <v>0.68173823</v>
      </c>
      <c r="Y36" s="205">
        <f>'Yearly Butadiene'!BF25/'Yearly Butadiene'!BF18</f>
        <v>0.66272175999999994</v>
      </c>
      <c r="Z36" s="205">
        <f>'Yearly Butadiene'!BG25/'Yearly Butadiene'!BG18</f>
        <v>0.64370528999999999</v>
      </c>
      <c r="AA36" s="205">
        <f>'Yearly Butadiene'!BH25/'Yearly Butadiene'!BH18</f>
        <v>0.62468882000000003</v>
      </c>
      <c r="AB36" s="205">
        <f>'Yearly Butadiene'!BI25/'Yearly Butadiene'!BI18</f>
        <v>0.60567234999999997</v>
      </c>
      <c r="AC36" s="205">
        <f>'Yearly Butadiene'!BJ25/'Yearly Butadiene'!BJ18</f>
        <v>0.58665587999999991</v>
      </c>
      <c r="AD36" s="205">
        <f>'Yearly Butadiene'!BK25/'Yearly Butadiene'!BK18</f>
        <v>0.56763940999999996</v>
      </c>
      <c r="AE36" s="205">
        <f>'Yearly Butadiene'!BL25/'Yearly Butadiene'!BL18</f>
        <v>0.54862294000000011</v>
      </c>
      <c r="AF36" s="205">
        <f>'Yearly Butadiene'!BM25/'Yearly Butadiene'!BM18</f>
        <v>0.52960647000000005</v>
      </c>
      <c r="AG36" s="205">
        <f>'Yearly Butadiene'!BN25/'Yearly Butadiene'!BN18</f>
        <v>0.5105900000000001</v>
      </c>
      <c r="AL36" s="108"/>
      <c r="AM36" s="207"/>
      <c r="AN36" s="207"/>
      <c r="AO36" s="207"/>
      <c r="BC36" s="1"/>
      <c r="BD36" s="578"/>
      <c r="BE36" s="578"/>
      <c r="BF36" s="578"/>
      <c r="BG36" s="578"/>
      <c r="BH36" s="578"/>
      <c r="BI36" s="578"/>
      <c r="BJ36" s="578"/>
      <c r="BK36" s="578"/>
    </row>
    <row r="37" spans="1:64" outlineLevel="1" x14ac:dyDescent="0.2">
      <c r="A37" t="s">
        <v>1666</v>
      </c>
      <c r="B37" s="54" t="s">
        <v>462</v>
      </c>
      <c r="C37" s="205">
        <f>'Yearly Butadiene'!AJ17/'Yearly Butadiene'!AJ10</f>
        <v>1</v>
      </c>
      <c r="D37" s="205">
        <f>'Yearly Butadiene'!AK17/'Yearly Butadiene'!AK10</f>
        <v>0.99730000000000008</v>
      </c>
      <c r="E37" s="205">
        <f>'Yearly Butadiene'!AL17/'Yearly Butadiene'!AL10</f>
        <v>0.99459999999999993</v>
      </c>
      <c r="F37" s="205">
        <f>'Yearly Butadiene'!AM17/'Yearly Butadiene'!AM10</f>
        <v>0.9919</v>
      </c>
      <c r="G37" s="205">
        <f>'Yearly Butadiene'!AN17/'Yearly Butadiene'!AN10</f>
        <v>0.98919999999999997</v>
      </c>
      <c r="H37" s="205">
        <f>'Yearly Butadiene'!AO17/'Yearly Butadiene'!AO10</f>
        <v>0.98649999999999993</v>
      </c>
      <c r="I37" s="205">
        <f>'Yearly Butadiene'!AP17/'Yearly Butadiene'!AP10</f>
        <v>0.9837999999999999</v>
      </c>
      <c r="J37" s="205">
        <f>'Yearly Butadiene'!AQ17/'Yearly Butadiene'!AQ10</f>
        <v>0.98110000000000008</v>
      </c>
      <c r="K37" s="205">
        <f>'Yearly Butadiene'!AR17/'Yearly Butadiene'!AR10</f>
        <v>0.97840000000000005</v>
      </c>
      <c r="L37" s="205">
        <f>'Yearly Butadiene'!AS17/'Yearly Butadiene'!AS10</f>
        <v>0.97570000000000001</v>
      </c>
      <c r="M37" s="205">
        <f>'Yearly Butadiene'!AT17/'Yearly Butadiene'!AT10</f>
        <v>0.97299999999999998</v>
      </c>
      <c r="N37" s="205">
        <f>'Yearly Butadiene'!AU17/'Yearly Butadiene'!AU10</f>
        <v>0.96489999999999998</v>
      </c>
      <c r="O37" s="205">
        <f>'Yearly Butadiene'!AV17/'Yearly Butadiene'!AV10</f>
        <v>0.95679999999999998</v>
      </c>
      <c r="P37" s="205">
        <f>'Yearly Butadiene'!AW17/'Yearly Butadiene'!AW10</f>
        <v>0.94869999999999988</v>
      </c>
      <c r="Q37" s="205">
        <f>'Yearly Butadiene'!AX17/'Yearly Butadiene'!AX10</f>
        <v>0.94059999999999999</v>
      </c>
      <c r="R37" s="205">
        <f>'Yearly Butadiene'!AY17/'Yearly Butadiene'!AY10</f>
        <v>0.9325</v>
      </c>
      <c r="S37" s="205">
        <f>'Yearly Butadiene'!AZ17/'Yearly Butadiene'!AZ10</f>
        <v>0.9244</v>
      </c>
      <c r="T37" s="205">
        <f>'Yearly Butadiene'!BA17/'Yearly Butadiene'!BA10</f>
        <v>0.91629999999999989</v>
      </c>
      <c r="U37" s="205">
        <f>'Yearly Butadiene'!BB17/'Yearly Butadiene'!BB10</f>
        <v>0.90820000000000001</v>
      </c>
      <c r="V37" s="205">
        <f>'Yearly Butadiene'!BC17/'Yearly Butadiene'!BC10</f>
        <v>0.90010000000000001</v>
      </c>
      <c r="W37" s="205">
        <f>'Yearly Butadiene'!BD17/'Yearly Butadiene'!BD10</f>
        <v>0.8919999999999999</v>
      </c>
      <c r="X37" s="205">
        <f>'Yearly Butadiene'!BE17/'Yearly Butadiene'!BE10</f>
        <v>0.87580000000000002</v>
      </c>
      <c r="Y37" s="205">
        <f>'Yearly Butadiene'!BF17/'Yearly Butadiene'!BF10</f>
        <v>0.85959999999999992</v>
      </c>
      <c r="Z37" s="205">
        <f>'Yearly Butadiene'!BG17/'Yearly Butadiene'!BG10</f>
        <v>0.84340000000000004</v>
      </c>
      <c r="AA37" s="205">
        <f>'Yearly Butadiene'!BH17/'Yearly Butadiene'!BH10</f>
        <v>0.82719999999999994</v>
      </c>
      <c r="AB37" s="205">
        <f>'Yearly Butadiene'!BI17/'Yearly Butadiene'!BI10</f>
        <v>0.81100000000000005</v>
      </c>
      <c r="AC37" s="205">
        <f>'Yearly Butadiene'!BJ17/'Yearly Butadiene'!BJ10</f>
        <v>0.79479999999999995</v>
      </c>
      <c r="AD37" s="205">
        <f>'Yearly Butadiene'!BK17/'Yearly Butadiene'!BK10</f>
        <v>0.77859999999999996</v>
      </c>
      <c r="AE37" s="205">
        <f>'Yearly Butadiene'!BL17/'Yearly Butadiene'!BL10</f>
        <v>0.76239999999999997</v>
      </c>
      <c r="AF37" s="205">
        <f>'Yearly Butadiene'!BM17/'Yearly Butadiene'!BM10</f>
        <v>0.74619999999999997</v>
      </c>
      <c r="AG37" s="205">
        <f>'Yearly Butadiene'!BN17/'Yearly Butadiene'!BN10</f>
        <v>0.73</v>
      </c>
      <c r="AL37" s="108"/>
      <c r="AM37" s="207"/>
      <c r="AN37" s="207"/>
      <c r="AO37" s="207"/>
      <c r="BL37" s="1"/>
    </row>
    <row r="38" spans="1:64" outlineLevel="1" x14ac:dyDescent="0.2">
      <c r="A38" t="s">
        <v>1667</v>
      </c>
      <c r="B38" s="54" t="s">
        <v>462</v>
      </c>
      <c r="C38" s="205">
        <f>'Yearly Butadiene'!AJ29/'Yearly Butadiene'!AJ26</f>
        <v>1</v>
      </c>
      <c r="D38" s="205">
        <f>'Yearly Butadiene'!AK29/'Yearly Butadiene'!AK26</f>
        <v>0.99273999999999996</v>
      </c>
      <c r="E38" s="205">
        <f>'Yearly Butadiene'!AL29/'Yearly Butadiene'!AL26</f>
        <v>0.98548000000000002</v>
      </c>
      <c r="F38" s="205">
        <f>'Yearly Butadiene'!AM29/'Yearly Butadiene'!AM26</f>
        <v>0.97821999999999998</v>
      </c>
      <c r="G38" s="205">
        <f>'Yearly Butadiene'!AN29/'Yearly Butadiene'!AN26</f>
        <v>0.97096000000000005</v>
      </c>
      <c r="H38" s="205">
        <f>'Yearly Butadiene'!AO29/'Yearly Butadiene'!AO26</f>
        <v>0.9637</v>
      </c>
      <c r="I38" s="205">
        <f>'Yearly Butadiene'!AP29/'Yearly Butadiene'!AP26</f>
        <v>0.95643999999999996</v>
      </c>
      <c r="J38" s="205">
        <f>'Yearly Butadiene'!AQ29/'Yearly Butadiene'!AQ26</f>
        <v>0.94917999999999991</v>
      </c>
      <c r="K38" s="205">
        <f>'Yearly Butadiene'!AR29/'Yearly Butadiene'!AR26</f>
        <v>0.94191999999999998</v>
      </c>
      <c r="L38" s="205">
        <f>'Yearly Butadiene'!AS29/'Yearly Butadiene'!AS26</f>
        <v>0.93466000000000005</v>
      </c>
      <c r="M38" s="205">
        <f>'Yearly Butadiene'!AT29/'Yearly Butadiene'!AT26</f>
        <v>0.92740000000000011</v>
      </c>
      <c r="N38" s="205">
        <f>'Yearly Butadiene'!AU29/'Yearly Butadiene'!AU26</f>
        <v>0.92013999999999996</v>
      </c>
      <c r="O38" s="205">
        <f>'Yearly Butadiene'!AV29/'Yearly Butadiene'!AV26</f>
        <v>0.91288000000000002</v>
      </c>
      <c r="P38" s="205">
        <f>'Yearly Butadiene'!AW29/'Yearly Butadiene'!AW26</f>
        <v>0.90561999999999998</v>
      </c>
      <c r="Q38" s="205">
        <f>'Yearly Butadiene'!AX29/'Yearly Butadiene'!AX26</f>
        <v>0.89835999999999994</v>
      </c>
      <c r="R38" s="205">
        <f>'Yearly Butadiene'!AY29/'Yearly Butadiene'!AY26</f>
        <v>0.8911</v>
      </c>
      <c r="S38" s="205">
        <f>'Yearly Butadiene'!AZ29/'Yearly Butadiene'!AZ26</f>
        <v>0.88383999999999996</v>
      </c>
      <c r="T38" s="205">
        <f>'Yearly Butadiene'!BA29/'Yearly Butadiene'!BA26</f>
        <v>0.87657999999999991</v>
      </c>
      <c r="U38" s="205">
        <f>'Yearly Butadiene'!BB29/'Yearly Butadiene'!BB26</f>
        <v>0.86932000000000009</v>
      </c>
      <c r="V38" s="205">
        <f>'Yearly Butadiene'!BC29/'Yearly Butadiene'!BC26</f>
        <v>0.86205999999999994</v>
      </c>
      <c r="W38" s="205">
        <f>'Yearly Butadiene'!BD29/'Yearly Butadiene'!BD26</f>
        <v>0.8548</v>
      </c>
      <c r="X38" s="205">
        <f>'Yearly Butadiene'!BE29/'Yearly Butadiene'!BE26</f>
        <v>0.84732000000000007</v>
      </c>
      <c r="Y38" s="205">
        <f>'Yearly Butadiene'!BF29/'Yearly Butadiene'!BF26</f>
        <v>0.83983999999999992</v>
      </c>
      <c r="Z38" s="205">
        <f>'Yearly Butadiene'!BG29/'Yearly Butadiene'!BG26</f>
        <v>0.83235999999999999</v>
      </c>
      <c r="AA38" s="205">
        <f>'Yearly Butadiene'!BH29/'Yearly Butadiene'!BH26</f>
        <v>0.82487999999999995</v>
      </c>
      <c r="AB38" s="205">
        <f>'Yearly Butadiene'!BI29/'Yearly Butadiene'!BI26</f>
        <v>0.8173999999999999</v>
      </c>
      <c r="AC38" s="205">
        <f>'Yearly Butadiene'!BJ29/'Yearly Butadiene'!BJ26</f>
        <v>0.80992000000000008</v>
      </c>
      <c r="AD38" s="205">
        <f>'Yearly Butadiene'!BK29/'Yearly Butadiene'!BK26</f>
        <v>0.80244000000000004</v>
      </c>
      <c r="AE38" s="205">
        <f>'Yearly Butadiene'!BL29/'Yearly Butadiene'!BL26</f>
        <v>0.79495999999999989</v>
      </c>
      <c r="AF38" s="205">
        <f>'Yearly Butadiene'!BM29/'Yearly Butadiene'!BM26</f>
        <v>0.78748000000000007</v>
      </c>
      <c r="AG38" s="205">
        <f>'Yearly Butadiene'!BN29/'Yearly Butadiene'!BN26</f>
        <v>0.77999999999999992</v>
      </c>
      <c r="AL38" s="108"/>
      <c r="AM38" s="207"/>
      <c r="AN38" s="207"/>
      <c r="AO38" s="207"/>
      <c r="BD38" s="41"/>
      <c r="BE38" s="41"/>
      <c r="BF38" s="41"/>
      <c r="BG38" s="41"/>
      <c r="BH38" s="41"/>
      <c r="BI38" s="41"/>
      <c r="BJ38" s="41"/>
      <c r="BK38" s="41"/>
      <c r="BL38" s="118"/>
    </row>
    <row r="39" spans="1:64" outlineLevel="1" x14ac:dyDescent="0.2">
      <c r="A39" t="s">
        <v>1668</v>
      </c>
      <c r="B39" s="54" t="s">
        <v>462</v>
      </c>
      <c r="C39" s="205">
        <f>'Yearly Butadiene'!AJ35/'Yearly Butadiene'!AJ30</f>
        <v>1</v>
      </c>
      <c r="D39" s="205">
        <f>'Yearly Butadiene'!AK35/'Yearly Butadiene'!AK30</f>
        <v>0.98455000000000004</v>
      </c>
      <c r="E39" s="205">
        <f>'Yearly Butadiene'!AL35/'Yearly Butadiene'!AL30</f>
        <v>0.96910000000000007</v>
      </c>
      <c r="F39" s="205">
        <f>'Yearly Butadiene'!AM35/'Yearly Butadiene'!AM30</f>
        <v>0.95365</v>
      </c>
      <c r="G39" s="205">
        <f>'Yearly Butadiene'!AN35/'Yearly Butadiene'!AN30</f>
        <v>0.93819999999999992</v>
      </c>
      <c r="H39" s="205">
        <f>'Yearly Butadiene'!AO35/'Yearly Butadiene'!AO30</f>
        <v>0.92274999999999996</v>
      </c>
      <c r="I39" s="205">
        <f>'Yearly Butadiene'!AP35/'Yearly Butadiene'!AP30</f>
        <v>0.90730000000000011</v>
      </c>
      <c r="J39" s="205">
        <f>'Yearly Butadiene'!AQ35/'Yearly Butadiene'!AQ30</f>
        <v>0.89185000000000003</v>
      </c>
      <c r="K39" s="205">
        <f>'Yearly Butadiene'!AR35/'Yearly Butadiene'!AR30</f>
        <v>0.87639999999999996</v>
      </c>
      <c r="L39" s="205">
        <f>'Yearly Butadiene'!AS35/'Yearly Butadiene'!AS30</f>
        <v>0.8609500000000001</v>
      </c>
      <c r="M39" s="205">
        <f>'Yearly Butadiene'!AT35/'Yearly Butadiene'!AT30</f>
        <v>0.84550000000000003</v>
      </c>
      <c r="N39" s="205">
        <f>'Yearly Butadiene'!AU35/'Yearly Butadiene'!AU30</f>
        <v>0.83460000000000001</v>
      </c>
      <c r="O39" s="205">
        <f>'Yearly Butadiene'!AV35/'Yearly Butadiene'!AV30</f>
        <v>0.82369999999999999</v>
      </c>
      <c r="P39" s="205">
        <f>'Yearly Butadiene'!AW35/'Yearly Butadiene'!AW30</f>
        <v>0.81279999999999997</v>
      </c>
      <c r="Q39" s="205">
        <f>'Yearly Butadiene'!AX35/'Yearly Butadiene'!AX30</f>
        <v>0.80189999999999995</v>
      </c>
      <c r="R39" s="205">
        <f>'Yearly Butadiene'!AY35/'Yearly Butadiene'!AY30</f>
        <v>0.79100000000000004</v>
      </c>
      <c r="S39" s="205">
        <f>'Yearly Butadiene'!AZ35/'Yearly Butadiene'!AZ30</f>
        <v>0.78010000000000002</v>
      </c>
      <c r="T39" s="205">
        <f>'Yearly Butadiene'!BA35/'Yearly Butadiene'!BA30</f>
        <v>0.76919999999999999</v>
      </c>
      <c r="U39" s="205">
        <f>'Yearly Butadiene'!BB35/'Yearly Butadiene'!BB30</f>
        <v>0.75829999999999997</v>
      </c>
      <c r="V39" s="205">
        <f>'Yearly Butadiene'!BC35/'Yearly Butadiene'!BC30</f>
        <v>0.74739999999999995</v>
      </c>
      <c r="W39" s="205">
        <f>'Yearly Butadiene'!BD35/'Yearly Butadiene'!BD30</f>
        <v>0.73650000000000004</v>
      </c>
      <c r="X39" s="205">
        <f>'Yearly Butadiene'!BE35/'Yearly Butadiene'!BE30</f>
        <v>0.72334999999999994</v>
      </c>
      <c r="Y39" s="205">
        <f>'Yearly Butadiene'!BF35/'Yearly Butadiene'!BF30</f>
        <v>0.71019999999999994</v>
      </c>
      <c r="Z39" s="205">
        <f>'Yearly Butadiene'!BG35/'Yearly Butadiene'!BG30</f>
        <v>0.69704999999999995</v>
      </c>
      <c r="AA39" s="205">
        <f>'Yearly Butadiene'!BH35/'Yearly Butadiene'!BH30</f>
        <v>0.68390000000000006</v>
      </c>
      <c r="AB39" s="205">
        <f>'Yearly Butadiene'!BI35/'Yearly Butadiene'!BI30</f>
        <v>0.67074999999999996</v>
      </c>
      <c r="AC39" s="205">
        <f>'Yearly Butadiene'!BJ35/'Yearly Butadiene'!BJ30</f>
        <v>0.65759999999999996</v>
      </c>
      <c r="AD39" s="205">
        <f>'Yearly Butadiene'!BK35/'Yearly Butadiene'!BK30</f>
        <v>0.64444999999999997</v>
      </c>
      <c r="AE39" s="205">
        <f>'Yearly Butadiene'!BL35/'Yearly Butadiene'!BL30</f>
        <v>0.63129999999999997</v>
      </c>
      <c r="AF39" s="205">
        <f>'Yearly Butadiene'!BM35/'Yearly Butadiene'!BM30</f>
        <v>0.61814999999999998</v>
      </c>
      <c r="AG39" s="205">
        <f>'Yearly Butadiene'!BN35/'Yearly Butadiene'!BN30</f>
        <v>0.60499999999999998</v>
      </c>
      <c r="AL39" s="108"/>
      <c r="AM39" s="207"/>
      <c r="AN39" s="207"/>
      <c r="AO39" s="207"/>
      <c r="BD39" s="41"/>
      <c r="BE39" s="41"/>
      <c r="BF39" s="41"/>
      <c r="BG39" s="41"/>
      <c r="BH39" s="41"/>
      <c r="BI39" s="41"/>
      <c r="BJ39" s="41"/>
      <c r="BK39" s="41"/>
      <c r="BL39" s="118"/>
    </row>
    <row r="40" spans="1:64" outlineLevel="1" x14ac:dyDescent="0.2">
      <c r="A40" t="s">
        <v>1669</v>
      </c>
      <c r="B40" s="176" t="s">
        <v>462</v>
      </c>
      <c r="C40" s="159">
        <f>'Yearly Butadiene'!AJ39/'Yearly Butadiene'!AJ36</f>
        <v>1</v>
      </c>
      <c r="D40" s="159">
        <f>'Yearly Butadiene'!AK39/'Yearly Butadiene'!AK36</f>
        <v>0.99669999999999992</v>
      </c>
      <c r="E40" s="159">
        <f>'Yearly Butadiene'!AL39/'Yearly Butadiene'!AL36</f>
        <v>0.99340000000000006</v>
      </c>
      <c r="F40" s="159">
        <f>'Yearly Butadiene'!AM39/'Yearly Butadiene'!AM36</f>
        <v>0.99009999999999998</v>
      </c>
      <c r="G40" s="159">
        <f>'Yearly Butadiene'!AN39/'Yearly Butadiene'!AN36</f>
        <v>0.98680000000000012</v>
      </c>
      <c r="H40" s="159">
        <f>'Yearly Butadiene'!AO39/'Yearly Butadiene'!AO36</f>
        <v>0.98350000000000004</v>
      </c>
      <c r="I40" s="159">
        <f>'Yearly Butadiene'!AP39/'Yearly Butadiene'!AP36</f>
        <v>0.98019999999999985</v>
      </c>
      <c r="J40" s="159">
        <f>'Yearly Butadiene'!AQ39/'Yearly Butadiene'!AQ36</f>
        <v>0.97689999999999999</v>
      </c>
      <c r="K40" s="159">
        <f>'Yearly Butadiene'!AR39/'Yearly Butadiene'!AR36</f>
        <v>0.97360000000000013</v>
      </c>
      <c r="L40" s="159">
        <f>'Yearly Butadiene'!AS39/'Yearly Butadiene'!AS36</f>
        <v>0.97030000000000005</v>
      </c>
      <c r="M40" s="159">
        <f>'Yearly Butadiene'!AT39/'Yearly Butadiene'!AT36</f>
        <v>0.96699999999999986</v>
      </c>
      <c r="N40" s="159">
        <f>'Yearly Butadiene'!AU39/'Yearly Butadiene'!AU36</f>
        <v>0.9637</v>
      </c>
      <c r="O40" s="159">
        <f>'Yearly Butadiene'!AV39/'Yearly Butadiene'!AV36</f>
        <v>0.96040000000000003</v>
      </c>
      <c r="P40" s="159">
        <f>'Yearly Butadiene'!AW39/'Yearly Butadiene'!AW36</f>
        <v>0.95710000000000006</v>
      </c>
      <c r="Q40" s="159">
        <f>'Yearly Butadiene'!AX39/'Yearly Butadiene'!AX36</f>
        <v>0.95379999999999998</v>
      </c>
      <c r="R40" s="159">
        <f>'Yearly Butadiene'!AY39/'Yearly Butadiene'!AY36</f>
        <v>0.9504999999999999</v>
      </c>
      <c r="S40" s="159">
        <f>'Yearly Butadiene'!AZ39/'Yearly Butadiene'!AZ36</f>
        <v>0.94720000000000015</v>
      </c>
      <c r="T40" s="159">
        <f>'Yearly Butadiene'!BA39/'Yearly Butadiene'!BA36</f>
        <v>0.94389999999999985</v>
      </c>
      <c r="U40" s="159">
        <f>'Yearly Butadiene'!BB39/'Yearly Butadiene'!BB36</f>
        <v>0.94059999999999999</v>
      </c>
      <c r="V40" s="159">
        <f>'Yearly Butadiene'!BC39/'Yearly Butadiene'!BC36</f>
        <v>0.93730000000000002</v>
      </c>
      <c r="W40" s="159">
        <f>'Yearly Butadiene'!BD39/'Yearly Butadiene'!BD36</f>
        <v>0.93400000000000005</v>
      </c>
      <c r="X40" s="159">
        <f>'Yearly Butadiene'!BE39/'Yearly Butadiene'!BE36</f>
        <v>0.93059999999999998</v>
      </c>
      <c r="Y40" s="159">
        <f>'Yearly Butadiene'!BF39/'Yearly Butadiene'!BF36</f>
        <v>0.92719999999999991</v>
      </c>
      <c r="Z40" s="159">
        <f>'Yearly Butadiene'!BG39/'Yearly Butadiene'!BG36</f>
        <v>0.92379999999999995</v>
      </c>
      <c r="AA40" s="159">
        <f>'Yearly Butadiene'!BH39/'Yearly Butadiene'!BH36</f>
        <v>0.9204</v>
      </c>
      <c r="AB40" s="159">
        <f>'Yearly Butadiene'!BI39/'Yearly Butadiene'!BI36</f>
        <v>0.91700000000000004</v>
      </c>
      <c r="AC40" s="159">
        <f>'Yearly Butadiene'!BJ39/'Yearly Butadiene'!BJ36</f>
        <v>0.91359999999999997</v>
      </c>
      <c r="AD40" s="159">
        <f>'Yearly Butadiene'!BK39/'Yearly Butadiene'!BK36</f>
        <v>0.91020000000000012</v>
      </c>
      <c r="AE40" s="159">
        <f>'Yearly Butadiene'!BL39/'Yearly Butadiene'!BL36</f>
        <v>0.90680000000000016</v>
      </c>
      <c r="AF40" s="159">
        <f>'Yearly Butadiene'!BM39/'Yearly Butadiene'!BM36</f>
        <v>0.90339999999999998</v>
      </c>
      <c r="AG40" s="159">
        <f>'Yearly Butadiene'!BN39/'Yearly Butadiene'!BN36</f>
        <v>0.89999999999999991</v>
      </c>
      <c r="AI40" s="131"/>
      <c r="AL40" s="108"/>
      <c r="AM40" s="207"/>
      <c r="AN40" s="207"/>
      <c r="AO40" s="207"/>
      <c r="BD40" s="41"/>
      <c r="BE40" s="41"/>
      <c r="BF40" s="41"/>
      <c r="BG40" s="41"/>
      <c r="BH40" s="41"/>
      <c r="BI40" s="41"/>
      <c r="BJ40" s="41"/>
      <c r="BK40" s="41"/>
      <c r="BL40" s="118"/>
    </row>
    <row r="41" spans="1:64" outlineLevel="1" x14ac:dyDescent="0.2">
      <c r="AI41" t="s">
        <v>1299</v>
      </c>
      <c r="BD41" s="41"/>
      <c r="BE41" s="41"/>
      <c r="BF41" s="41"/>
      <c r="BG41" s="41"/>
      <c r="BH41" s="41"/>
      <c r="BI41" s="41"/>
      <c r="BJ41" s="41"/>
      <c r="BK41" s="41"/>
      <c r="BL41" s="118"/>
    </row>
    <row r="42" spans="1:64" outlineLevel="1" x14ac:dyDescent="0.2">
      <c r="A42" t="s">
        <v>1670</v>
      </c>
      <c r="B42" s="54" t="s">
        <v>1658</v>
      </c>
      <c r="C42" s="107">
        <f>C27*C36</f>
        <v>0.20115072098267078</v>
      </c>
      <c r="D42" s="107">
        <f t="shared" ref="D42:AF42" si="17">D27*D36</f>
        <v>0.20567313320842812</v>
      </c>
      <c r="E42" s="107">
        <f t="shared" si="17"/>
        <v>0.20972304274259662</v>
      </c>
      <c r="F42" s="107">
        <f t="shared" si="17"/>
        <v>0.21326863625142284</v>
      </c>
      <c r="G42" s="107">
        <f t="shared" si="17"/>
        <v>0.21628166387318237</v>
      </c>
      <c r="H42" s="107">
        <f t="shared" si="17"/>
        <v>0.21873781146480467</v>
      </c>
      <c r="I42" s="107">
        <f t="shared" si="17"/>
        <v>0.2210929963213881</v>
      </c>
      <c r="J42" s="107">
        <f t="shared" si="17"/>
        <v>0.22334259582580643</v>
      </c>
      <c r="K42" s="107">
        <f t="shared" si="17"/>
        <v>0.2254820783691974</v>
      </c>
      <c r="L42" s="107">
        <f t="shared" si="17"/>
        <v>0.22750701530128634</v>
      </c>
      <c r="M42" s="107">
        <f t="shared" si="17"/>
        <v>0.22941309285757394</v>
      </c>
      <c r="N42" s="107">
        <f t="shared" si="17"/>
        <v>0.22886444407095138</v>
      </c>
      <c r="O42" s="107">
        <f t="shared" si="17"/>
        <v>0.22859696154516734</v>
      </c>
      <c r="P42" s="107">
        <f t="shared" si="17"/>
        <v>0.22691593912543057</v>
      </c>
      <c r="Q42" s="107">
        <f t="shared" si="17"/>
        <v>0.22470882912665716</v>
      </c>
      <c r="R42" s="107">
        <f t="shared" si="17"/>
        <v>0.22198536861564191</v>
      </c>
      <c r="S42" s="107">
        <f t="shared" si="17"/>
        <v>0.21915288553716156</v>
      </c>
      <c r="T42" s="107">
        <f t="shared" si="17"/>
        <v>0.21621080251873526</v>
      </c>
      <c r="U42" s="107">
        <f t="shared" si="17"/>
        <v>0.2131585853427409</v>
      </c>
      <c r="V42" s="107">
        <f t="shared" si="17"/>
        <v>0.20999574383576505</v>
      </c>
      <c r="W42" s="107">
        <f t="shared" si="17"/>
        <v>0.20672183273941516</v>
      </c>
      <c r="X42" s="107">
        <f t="shared" si="17"/>
        <v>0.20038719287101908</v>
      </c>
      <c r="Y42" s="107">
        <f t="shared" si="17"/>
        <v>0.19675448461796641</v>
      </c>
      <c r="Z42" s="107">
        <f t="shared" si="17"/>
        <v>0.19300946421334533</v>
      </c>
      <c r="AA42" s="107">
        <f t="shared" si="17"/>
        <v>0.18915175375510809</v>
      </c>
      <c r="AB42" s="107">
        <f t="shared" si="17"/>
        <v>0.18518101758604061</v>
      </c>
      <c r="AC42" s="107">
        <f t="shared" si="17"/>
        <v>0.18109867513788025</v>
      </c>
      <c r="AD42" s="107">
        <f t="shared" si="17"/>
        <v>0.17690436056118022</v>
      </c>
      <c r="AE42" s="107">
        <f t="shared" si="17"/>
        <v>0.17259774570024441</v>
      </c>
      <c r="AF42" s="107">
        <f t="shared" si="17"/>
        <v>0.16817854071280339</v>
      </c>
      <c r="AG42" s="107">
        <f>AG27*AG36</f>
        <v>0.16364649467570516</v>
      </c>
      <c r="AI42" s="210" t="s">
        <v>1301</v>
      </c>
      <c r="AJ42" s="211" t="s">
        <v>1302</v>
      </c>
      <c r="BD42" s="41"/>
      <c r="BE42" s="41"/>
      <c r="BF42" s="41"/>
      <c r="BG42" s="41"/>
      <c r="BH42" s="41"/>
      <c r="BI42" s="41"/>
      <c r="BJ42" s="41"/>
      <c r="BK42" s="41"/>
      <c r="BL42" s="118"/>
    </row>
    <row r="43" spans="1:64" outlineLevel="1" x14ac:dyDescent="0.2">
      <c r="A43" t="s">
        <v>1671</v>
      </c>
      <c r="B43" s="54" t="s">
        <v>1658</v>
      </c>
      <c r="C43" s="107">
        <f>C28*$C$37</f>
        <v>2.9411849599012854</v>
      </c>
      <c r="D43" s="107">
        <f t="shared" ref="D43:O43" si="18">D28*$C$37</f>
        <v>3.0397778904223811</v>
      </c>
      <c r="E43" s="107">
        <f t="shared" si="18"/>
        <v>3.1334632441774799</v>
      </c>
      <c r="F43" s="107">
        <f t="shared" si="18"/>
        <v>3.2215979992284023</v>
      </c>
      <c r="G43" s="107">
        <f t="shared" si="18"/>
        <v>3.3035648654918082</v>
      </c>
      <c r="H43" s="107">
        <f t="shared" si="18"/>
        <v>3.378779486430183</v>
      </c>
      <c r="I43" s="107">
        <f t="shared" si="18"/>
        <v>3.4541334811111408</v>
      </c>
      <c r="J43" s="107">
        <f t="shared" si="18"/>
        <v>3.5295586234759417</v>
      </c>
      <c r="K43" s="107">
        <f t="shared" si="18"/>
        <v>3.6049849553423923</v>
      </c>
      <c r="L43" s="107">
        <f t="shared" si="18"/>
        <v>3.6803408773835642</v>
      </c>
      <c r="M43" s="107">
        <f t="shared" si="18"/>
        <v>3.7555532462553085</v>
      </c>
      <c r="N43" s="107">
        <f t="shared" si="18"/>
        <v>3.8250667662264144</v>
      </c>
      <c r="O43" s="107">
        <f t="shared" si="18"/>
        <v>3.8884959028178847</v>
      </c>
      <c r="P43" s="107">
        <f t="shared" ref="P43:AG43" si="19">D37*P28</f>
        <v>3.9348295501556878</v>
      </c>
      <c r="Q43" s="107">
        <f t="shared" si="19"/>
        <v>3.9741216016653809</v>
      </c>
      <c r="R43" s="107">
        <f t="shared" si="19"/>
        <v>4.0061352033402624</v>
      </c>
      <c r="S43" s="107">
        <f t="shared" si="19"/>
        <v>4.0379347292865209</v>
      </c>
      <c r="T43" s="107">
        <f t="shared" si="19"/>
        <v>4.0695105359254642</v>
      </c>
      <c r="U43" s="107">
        <f t="shared" si="19"/>
        <v>4.1008529699543068</v>
      </c>
      <c r="V43" s="107">
        <f t="shared" si="19"/>
        <v>4.1319523729178593</v>
      </c>
      <c r="W43" s="107">
        <f t="shared" si="19"/>
        <v>4.1627990858302395</v>
      </c>
      <c r="X43" s="107">
        <f t="shared" si="19"/>
        <v>4.1934296414958228</v>
      </c>
      <c r="Y43" s="107">
        <f t="shared" si="19"/>
        <v>4.2238354675040037</v>
      </c>
      <c r="Z43" s="107">
        <f t="shared" si="19"/>
        <v>4.2303332057729186</v>
      </c>
      <c r="AA43" s="107">
        <f t="shared" si="19"/>
        <v>4.2361228693107016</v>
      </c>
      <c r="AB43" s="107">
        <f t="shared" si="19"/>
        <v>4.2411961838142984</v>
      </c>
      <c r="AC43" s="107">
        <f t="shared" si="19"/>
        <v>4.2455852186015655</v>
      </c>
      <c r="AD43" s="107">
        <f t="shared" si="19"/>
        <v>4.2492822729065587</v>
      </c>
      <c r="AE43" s="107">
        <f t="shared" si="19"/>
        <v>4.2522798228382737</v>
      </c>
      <c r="AF43" s="107">
        <f t="shared" si="19"/>
        <v>4.2545705266647236</v>
      </c>
      <c r="AG43" s="107">
        <f t="shared" si="19"/>
        <v>4.2561472300516519</v>
      </c>
      <c r="AI43" s="210" t="s">
        <v>1304</v>
      </c>
      <c r="AJ43" s="211" t="s">
        <v>1302</v>
      </c>
      <c r="BD43" s="41"/>
      <c r="BE43" s="41"/>
      <c r="BF43" s="41"/>
      <c r="BG43" s="41"/>
      <c r="BH43" s="41"/>
      <c r="BI43" s="41"/>
      <c r="BJ43" s="41"/>
      <c r="BK43" s="41"/>
      <c r="BL43" s="118"/>
    </row>
    <row r="44" spans="1:64" outlineLevel="1" x14ac:dyDescent="0.2">
      <c r="A44" t="s">
        <v>1672</v>
      </c>
      <c r="B44" s="54" t="s">
        <v>1658</v>
      </c>
      <c r="C44" s="107">
        <f t="shared" ref="C44:AG44" si="20">C29</f>
        <v>6.6351314561166497E-2</v>
      </c>
      <c r="D44" s="107">
        <f t="shared" si="20"/>
        <v>6.8575510127137307E-2</v>
      </c>
      <c r="E44" s="107">
        <f t="shared" si="20"/>
        <v>7.0688993794953747E-2</v>
      </c>
      <c r="F44" s="107">
        <f t="shared" si="20"/>
        <v>7.2677259387183404E-2</v>
      </c>
      <c r="G44" s="107">
        <f t="shared" si="20"/>
        <v>7.4526381221132559E-2</v>
      </c>
      <c r="H44" s="107">
        <f t="shared" si="20"/>
        <v>7.6223176574542931E-2</v>
      </c>
      <c r="I44" s="107">
        <f t="shared" si="20"/>
        <v>7.7923116113430183E-2</v>
      </c>
      <c r="J44" s="107">
        <f t="shared" si="20"/>
        <v>7.9624660700083991E-2</v>
      </c>
      <c r="K44" s="107">
        <f t="shared" si="20"/>
        <v>8.1326232121159733E-2</v>
      </c>
      <c r="L44" s="107">
        <f t="shared" si="20"/>
        <v>8.3026215140102E-2</v>
      </c>
      <c r="M44" s="107">
        <f t="shared" si="20"/>
        <v>8.4722959688281321E-2</v>
      </c>
      <c r="N44" s="107">
        <f t="shared" si="20"/>
        <v>8.6291141728084636E-2</v>
      </c>
      <c r="O44" s="107">
        <f t="shared" si="20"/>
        <v>8.7722063839989192E-2</v>
      </c>
      <c r="P44" s="107">
        <f t="shared" si="20"/>
        <v>8.9007642918023044E-2</v>
      </c>
      <c r="Q44" s="107">
        <f t="shared" si="20"/>
        <v>9.0140485295875108E-2</v>
      </c>
      <c r="R44" s="107">
        <f t="shared" si="20"/>
        <v>9.1113956789405787E-2</v>
      </c>
      <c r="S44" s="107">
        <f t="shared" si="20"/>
        <v>9.2087860278449188E-2</v>
      </c>
      <c r="T44" s="107">
        <f t="shared" si="20"/>
        <v>9.3061978779720639E-2</v>
      </c>
      <c r="U44" s="107">
        <f t="shared" si="20"/>
        <v>9.4036092704945645E-2</v>
      </c>
      <c r="V44" s="107">
        <f t="shared" si="20"/>
        <v>9.5009979930136296E-2</v>
      </c>
      <c r="W44" s="107">
        <f t="shared" si="20"/>
        <v>9.5983415867168187E-2</v>
      </c>
      <c r="X44" s="107">
        <f t="shared" si="20"/>
        <v>9.695724145285517E-2</v>
      </c>
      <c r="Y44" s="107">
        <f t="shared" si="20"/>
        <v>9.7931261176272391E-2</v>
      </c>
      <c r="Z44" s="107">
        <f t="shared" si="20"/>
        <v>9.8905277317020285E-2</v>
      </c>
      <c r="AA44" s="107">
        <f t="shared" si="20"/>
        <v>9.9879090001718809E-2</v>
      </c>
      <c r="AB44" s="107">
        <f t="shared" si="20"/>
        <v>0.10085249726226007</v>
      </c>
      <c r="AC44" s="107">
        <f t="shared" si="20"/>
        <v>0.10182625777627496</v>
      </c>
      <c r="AD44" s="107">
        <f t="shared" si="20"/>
        <v>0.10280019444943654</v>
      </c>
      <c r="AE44" s="107">
        <f t="shared" si="20"/>
        <v>0.1037741282968218</v>
      </c>
      <c r="AF44" s="107">
        <f t="shared" si="20"/>
        <v>0.10474787848944286</v>
      </c>
      <c r="AG44" s="107">
        <f t="shared" si="20"/>
        <v>0.10572126240214111</v>
      </c>
      <c r="AI44" s="210" t="s">
        <v>1306</v>
      </c>
      <c r="AJ44" s="211" t="s">
        <v>1302</v>
      </c>
      <c r="BD44" s="41"/>
      <c r="BE44" s="41"/>
      <c r="BF44" s="41"/>
      <c r="BG44" s="41"/>
      <c r="BH44" s="41"/>
      <c r="BI44" s="41"/>
      <c r="BJ44" s="41"/>
      <c r="BK44" s="41"/>
      <c r="BL44" s="118"/>
    </row>
    <row r="45" spans="1:64" outlineLevel="1" x14ac:dyDescent="0.2">
      <c r="A45" t="s">
        <v>1673</v>
      </c>
      <c r="B45" s="54" t="s">
        <v>1658</v>
      </c>
      <c r="C45" s="262">
        <f t="shared" ref="C45:H45" si="21">C30*$C$39</f>
        <v>0.14284140955223965</v>
      </c>
      <c r="D45" s="262">
        <f t="shared" si="21"/>
        <v>0.14762966780852829</v>
      </c>
      <c r="E45" s="262">
        <f t="shared" si="21"/>
        <v>0.15217958499062473</v>
      </c>
      <c r="F45" s="262">
        <f t="shared" si="21"/>
        <v>0.15645993213425954</v>
      </c>
      <c r="G45" s="262">
        <f t="shared" si="21"/>
        <v>0.16044072996685751</v>
      </c>
      <c r="H45" s="262">
        <f t="shared" si="21"/>
        <v>0.16409359866442336</v>
      </c>
      <c r="I45" s="262">
        <f t="shared" ref="I45:AG46" si="22">I30*D39</f>
        <v>0.16516144867971869</v>
      </c>
      <c r="J45" s="262">
        <f t="shared" si="22"/>
        <v>0.16611956447946083</v>
      </c>
      <c r="K45" s="262">
        <f t="shared" si="22"/>
        <v>0.16696454580123071</v>
      </c>
      <c r="L45" s="262">
        <f t="shared" si="22"/>
        <v>0.16769312757530622</v>
      </c>
      <c r="M45" s="262">
        <f t="shared" si="22"/>
        <v>0.16830219043446981</v>
      </c>
      <c r="N45" s="262">
        <f t="shared" si="22"/>
        <v>0.1685472696562802</v>
      </c>
      <c r="O45" s="262">
        <f t="shared" si="22"/>
        <v>0.16842449466756329</v>
      </c>
      <c r="P45" s="262">
        <f t="shared" si="22"/>
        <v>0.16793231106506354</v>
      </c>
      <c r="Q45" s="262">
        <f t="shared" si="22"/>
        <v>0.16707151769556977</v>
      </c>
      <c r="R45" s="262">
        <f t="shared" si="22"/>
        <v>0.1658452794903521</v>
      </c>
      <c r="S45" s="262">
        <f t="shared" si="22"/>
        <v>0.16545708087819666</v>
      </c>
      <c r="T45" s="262">
        <f t="shared" si="22"/>
        <v>0.16502355714026151</v>
      </c>
      <c r="U45" s="262">
        <f t="shared" si="22"/>
        <v>0.16454430890493865</v>
      </c>
      <c r="V45" s="262">
        <f t="shared" si="22"/>
        <v>0.16401895303418737</v>
      </c>
      <c r="W45" s="262">
        <f t="shared" si="22"/>
        <v>0.16344712304293008</v>
      </c>
      <c r="X45" s="262">
        <f t="shared" si="22"/>
        <v>0.16283026297200892</v>
      </c>
      <c r="Y45" s="262">
        <f t="shared" si="22"/>
        <v>0.16216802163762153</v>
      </c>
      <c r="Z45" s="262">
        <f t="shared" si="22"/>
        <v>0.16146006260016119</v>
      </c>
      <c r="AA45" s="262">
        <f t="shared" si="22"/>
        <v>0.16070606451434957</v>
      </c>
      <c r="AB45" s="262">
        <f t="shared" si="22"/>
        <v>0.15990572147420271</v>
      </c>
      <c r="AC45" s="262">
        <f t="shared" si="22"/>
        <v>0.15856702006976794</v>
      </c>
      <c r="AD45" s="262">
        <f t="shared" si="22"/>
        <v>0.1571734548872733</v>
      </c>
      <c r="AE45" s="262">
        <f t="shared" si="22"/>
        <v>0.15572474237885789</v>
      </c>
      <c r="AF45" s="262">
        <f t="shared" si="22"/>
        <v>0.15422061654944696</v>
      </c>
      <c r="AG45" s="262">
        <f t="shared" si="22"/>
        <v>0.15266082928693214</v>
      </c>
      <c r="AI45" s="210" t="s">
        <v>1308</v>
      </c>
      <c r="AJ45" s="211" t="s">
        <v>1302</v>
      </c>
      <c r="AL45" s="5"/>
      <c r="AM45" s="109"/>
      <c r="AN45" s="109"/>
      <c r="AO45" s="109"/>
      <c r="BC45" s="1"/>
      <c r="BD45" s="118"/>
      <c r="BE45" s="118"/>
      <c r="BF45" s="118"/>
      <c r="BG45" s="118"/>
      <c r="BH45" s="118"/>
      <c r="BI45" s="118"/>
      <c r="BJ45" s="118"/>
      <c r="BK45" s="118"/>
      <c r="BL45" s="118"/>
    </row>
    <row r="46" spans="1:64" outlineLevel="1" x14ac:dyDescent="0.2">
      <c r="A46" s="181" t="s">
        <v>1674</v>
      </c>
      <c r="B46" s="176" t="s">
        <v>1658</v>
      </c>
      <c r="C46" s="107">
        <f t="shared" ref="C46:H46" si="23">C31*$C$40</f>
        <v>2.9123825679515898</v>
      </c>
      <c r="D46" s="107">
        <f t="shared" si="23"/>
        <v>3.0100099991018356</v>
      </c>
      <c r="E46" s="107">
        <f t="shared" si="23"/>
        <v>3.1027779123302115</v>
      </c>
      <c r="F46" s="107">
        <f t="shared" si="23"/>
        <v>3.1900495826741282</v>
      </c>
      <c r="G46" s="107">
        <f t="shared" si="23"/>
        <v>3.2712137650393118</v>
      </c>
      <c r="H46" s="107">
        <f t="shared" si="23"/>
        <v>3.3456918253661807</v>
      </c>
      <c r="I46" s="107">
        <f t="shared" si="22"/>
        <v>3.4090208785264289</v>
      </c>
      <c r="J46" s="107">
        <f t="shared" si="22"/>
        <v>3.4719274516034782</v>
      </c>
      <c r="K46" s="107">
        <f t="shared" si="22"/>
        <v>3.5343422598398266</v>
      </c>
      <c r="L46" s="107">
        <f t="shared" si="22"/>
        <v>3.5961953292604614</v>
      </c>
      <c r="M46" s="107">
        <f t="shared" si="22"/>
        <v>3.6574161180760196</v>
      </c>
      <c r="N46" s="107">
        <f t="shared" si="22"/>
        <v>3.7126140573305939</v>
      </c>
      <c r="O46" s="107">
        <f t="shared" si="22"/>
        <v>3.7614720727437327</v>
      </c>
      <c r="P46" s="107">
        <f t="shared" si="22"/>
        <v>3.8037043816866594</v>
      </c>
      <c r="Q46" s="107">
        <f t="shared" si="22"/>
        <v>3.8390592478725054</v>
      </c>
      <c r="R46" s="107">
        <f t="shared" si="22"/>
        <v>3.8673214549824899</v>
      </c>
      <c r="S46" s="107">
        <f t="shared" si="22"/>
        <v>3.895319924507878</v>
      </c>
      <c r="T46" s="107">
        <f t="shared" si="22"/>
        <v>3.9230453217560521</v>
      </c>
      <c r="U46" s="107">
        <f t="shared" si="22"/>
        <v>3.9504883283163594</v>
      </c>
      <c r="V46" s="107">
        <f t="shared" si="22"/>
        <v>3.9776396468470416</v>
      </c>
      <c r="W46" s="107">
        <f t="shared" si="22"/>
        <v>4.0044900058979307</v>
      </c>
      <c r="X46" s="107">
        <f t="shared" si="22"/>
        <v>4.0310745641917984</v>
      </c>
      <c r="Y46" s="107">
        <f t="shared" si="22"/>
        <v>4.0573850522059356</v>
      </c>
      <c r="Z46" s="107">
        <f t="shared" si="22"/>
        <v>4.0834132224746051</v>
      </c>
      <c r="AA46" s="107">
        <f t="shared" si="22"/>
        <v>4.1091508535134524</v>
      </c>
      <c r="AB46" s="107">
        <f t="shared" si="22"/>
        <v>4.1345897537669405</v>
      </c>
      <c r="AC46" s="107">
        <f t="shared" si="22"/>
        <v>4.1593141428465019</v>
      </c>
      <c r="AD46" s="107">
        <f t="shared" si="22"/>
        <v>4.1837550581741159</v>
      </c>
      <c r="AE46" s="107">
        <f t="shared" si="22"/>
        <v>4.2079051632766502</v>
      </c>
      <c r="AF46" s="107">
        <f t="shared" si="22"/>
        <v>4.2317571540267638</v>
      </c>
      <c r="AG46" s="107">
        <f t="shared" si="22"/>
        <v>4.2553037619466831</v>
      </c>
      <c r="AI46" s="210" t="s">
        <v>1308</v>
      </c>
      <c r="AJ46" s="211" t="s">
        <v>1302</v>
      </c>
      <c r="AL46" s="108"/>
      <c r="AM46" s="2"/>
      <c r="AN46" s="2"/>
      <c r="AO46" s="2"/>
    </row>
    <row r="47" spans="1:64" s="1" customFormat="1" ht="16" thickBot="1" x14ac:dyDescent="0.25">
      <c r="A47" s="200" t="s">
        <v>1675</v>
      </c>
      <c r="B47" s="215" t="s">
        <v>1658</v>
      </c>
      <c r="C47" s="216">
        <f>SUM(C42:C46)</f>
        <v>6.2639109729489517</v>
      </c>
      <c r="D47" s="216">
        <f t="shared" ref="D47:AF47" si="24">SUM(D42:D46)</f>
        <v>6.4716662006683112</v>
      </c>
      <c r="E47" s="216">
        <f t="shared" si="24"/>
        <v>6.668832778035866</v>
      </c>
      <c r="F47" s="216">
        <f t="shared" si="24"/>
        <v>6.8540534096753962</v>
      </c>
      <c r="G47" s="216">
        <f t="shared" si="24"/>
        <v>7.0260274055922922</v>
      </c>
      <c r="H47" s="216">
        <f t="shared" si="24"/>
        <v>7.1835258985001342</v>
      </c>
      <c r="I47" s="216">
        <f t="shared" si="24"/>
        <v>7.3273319207521066</v>
      </c>
      <c r="J47" s="216">
        <f t="shared" si="24"/>
        <v>7.4705728960847715</v>
      </c>
      <c r="K47" s="216">
        <f t="shared" si="24"/>
        <v>7.6131000714738066</v>
      </c>
      <c r="L47" s="216">
        <f t="shared" si="24"/>
        <v>7.7547625646607203</v>
      </c>
      <c r="M47" s="216">
        <f t="shared" si="24"/>
        <v>7.895407607311653</v>
      </c>
      <c r="N47" s="216">
        <f t="shared" si="24"/>
        <v>8.0213836790123239</v>
      </c>
      <c r="O47" s="216">
        <f t="shared" si="24"/>
        <v>8.1347114956143383</v>
      </c>
      <c r="P47" s="216">
        <f t="shared" si="24"/>
        <v>8.2223898249508647</v>
      </c>
      <c r="Q47" s="216">
        <f t="shared" si="24"/>
        <v>8.2951016816559893</v>
      </c>
      <c r="R47" s="216">
        <f t="shared" si="24"/>
        <v>8.3524012632181517</v>
      </c>
      <c r="S47" s="216">
        <f t="shared" si="24"/>
        <v>8.4099524804882062</v>
      </c>
      <c r="T47" s="216">
        <f t="shared" si="24"/>
        <v>8.4668521961202341</v>
      </c>
      <c r="U47" s="216">
        <f t="shared" si="24"/>
        <v>8.5230802852232923</v>
      </c>
      <c r="V47" s="216">
        <f t="shared" si="24"/>
        <v>8.578616696564989</v>
      </c>
      <c r="W47" s="216">
        <f t="shared" si="24"/>
        <v>8.6334414633776824</v>
      </c>
      <c r="X47" s="216">
        <f t="shared" si="24"/>
        <v>8.684678902983503</v>
      </c>
      <c r="Y47" s="216">
        <f t="shared" si="24"/>
        <v>8.7380742871417993</v>
      </c>
      <c r="Z47" s="216">
        <f t="shared" si="24"/>
        <v>8.7671212323780505</v>
      </c>
      <c r="AA47" s="216">
        <f t="shared" si="24"/>
        <v>8.7950106310953302</v>
      </c>
      <c r="AB47" s="216">
        <f t="shared" si="24"/>
        <v>8.8217251739037419</v>
      </c>
      <c r="AC47" s="216">
        <f t="shared" si="24"/>
        <v>8.8463913144319903</v>
      </c>
      <c r="AD47" s="216">
        <f t="shared" si="24"/>
        <v>8.8699153409785652</v>
      </c>
      <c r="AE47" s="216">
        <f t="shared" si="24"/>
        <v>8.8922816024908471</v>
      </c>
      <c r="AF47" s="216">
        <f t="shared" si="24"/>
        <v>8.9134747164431793</v>
      </c>
      <c r="AG47" s="216">
        <f>SUM(AG42:AG46)</f>
        <v>8.9334795783631122</v>
      </c>
      <c r="AJ47" s="162"/>
      <c r="AL47" s="221"/>
      <c r="AM47" s="124"/>
      <c r="AN47" s="124"/>
      <c r="AO47" s="124"/>
    </row>
    <row r="48" spans="1:64" ht="16" thickTop="1" x14ac:dyDescent="0.2">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x14ac:dyDescent="0.25">
      <c r="A49" s="200" t="s">
        <v>1311</v>
      </c>
      <c r="B49" s="215" t="s">
        <v>462</v>
      </c>
      <c r="C49" s="222">
        <f>C52</f>
        <v>0</v>
      </c>
      <c r="D49" s="222">
        <f t="shared" ref="D49:AG49" si="25">D52</f>
        <v>0</v>
      </c>
      <c r="E49" s="222">
        <f t="shared" si="25"/>
        <v>0</v>
      </c>
      <c r="F49" s="222">
        <f t="shared" si="25"/>
        <v>0</v>
      </c>
      <c r="G49" s="222">
        <f t="shared" si="25"/>
        <v>0</v>
      </c>
      <c r="H49" s="222">
        <f t="shared" si="25"/>
        <v>0</v>
      </c>
      <c r="I49" s="222">
        <f t="shared" si="25"/>
        <v>0</v>
      </c>
      <c r="J49" s="222">
        <f t="shared" si="25"/>
        <v>0</v>
      </c>
      <c r="K49" s="222">
        <f t="shared" si="25"/>
        <v>0</v>
      </c>
      <c r="L49" s="222">
        <f t="shared" si="25"/>
        <v>0</v>
      </c>
      <c r="M49" s="222">
        <f t="shared" si="25"/>
        <v>0</v>
      </c>
      <c r="N49" s="222">
        <f t="shared" si="25"/>
        <v>0</v>
      </c>
      <c r="O49" s="222">
        <f t="shared" si="25"/>
        <v>0</v>
      </c>
      <c r="P49" s="222">
        <f t="shared" si="25"/>
        <v>0</v>
      </c>
      <c r="Q49" s="222">
        <f t="shared" si="25"/>
        <v>0</v>
      </c>
      <c r="R49" s="222">
        <f t="shared" si="25"/>
        <v>0</v>
      </c>
      <c r="S49" s="222">
        <f t="shared" si="25"/>
        <v>0</v>
      </c>
      <c r="T49" s="222">
        <f t="shared" si="25"/>
        <v>0</v>
      </c>
      <c r="U49" s="222">
        <f t="shared" si="25"/>
        <v>0</v>
      </c>
      <c r="V49" s="222">
        <f t="shared" si="25"/>
        <v>0</v>
      </c>
      <c r="W49" s="222">
        <f t="shared" si="25"/>
        <v>0</v>
      </c>
      <c r="X49" s="222">
        <f t="shared" si="25"/>
        <v>0</v>
      </c>
      <c r="Y49" s="222">
        <f t="shared" si="25"/>
        <v>0</v>
      </c>
      <c r="Z49" s="222">
        <f t="shared" si="25"/>
        <v>0</v>
      </c>
      <c r="AA49" s="222">
        <f t="shared" si="25"/>
        <v>0</v>
      </c>
      <c r="AB49" s="222">
        <f t="shared" si="25"/>
        <v>0</v>
      </c>
      <c r="AC49" s="222">
        <f t="shared" si="25"/>
        <v>0</v>
      </c>
      <c r="AD49" s="222">
        <f t="shared" si="25"/>
        <v>0</v>
      </c>
      <c r="AE49" s="222">
        <f t="shared" si="25"/>
        <v>0</v>
      </c>
      <c r="AF49" s="222">
        <f t="shared" si="25"/>
        <v>0</v>
      </c>
      <c r="AG49" s="222">
        <f t="shared" si="25"/>
        <v>0</v>
      </c>
      <c r="AJ49" s="231" t="s">
        <v>1312</v>
      </c>
      <c r="AL49" s="217"/>
      <c r="AM49" s="218"/>
      <c r="AN49" s="218"/>
      <c r="AO49" s="218"/>
    </row>
    <row r="50" spans="1:63" ht="16" outlineLevel="1" thickTop="1" x14ac:dyDescent="0.2">
      <c r="A50" t="s">
        <v>1313</v>
      </c>
      <c r="B50" s="54" t="s">
        <v>462</v>
      </c>
      <c r="C50" s="113">
        <v>0</v>
      </c>
      <c r="D50" s="110">
        <f>$C50+($M50-$C50)/10*(D$1-$C$1)</f>
        <v>0</v>
      </c>
      <c r="E50" s="110">
        <f t="shared" ref="E50:L51" si="26">$C50+($M50-$C50)/10*(E$1-$C$1)</f>
        <v>0</v>
      </c>
      <c r="F50" s="110">
        <f t="shared" si="26"/>
        <v>0</v>
      </c>
      <c r="G50" s="110">
        <f t="shared" si="26"/>
        <v>0</v>
      </c>
      <c r="H50" s="110">
        <f t="shared" si="26"/>
        <v>0</v>
      </c>
      <c r="I50" s="110">
        <f t="shared" si="26"/>
        <v>0</v>
      </c>
      <c r="J50" s="110">
        <f t="shared" si="26"/>
        <v>0</v>
      </c>
      <c r="K50" s="110">
        <f t="shared" si="26"/>
        <v>0</v>
      </c>
      <c r="L50" s="110">
        <f t="shared" si="26"/>
        <v>0</v>
      </c>
      <c r="M50" s="113">
        <v>0</v>
      </c>
      <c r="N50" s="110">
        <f>$M50+($W50-$M50)/10*(N$1-$M$1)</f>
        <v>0</v>
      </c>
      <c r="O50" s="110">
        <f t="shared" ref="O50:U51" si="27">$M50+($W50-$M50)/10*(O$1-$M$1)</f>
        <v>0</v>
      </c>
      <c r="P50" s="110">
        <f t="shared" si="27"/>
        <v>0</v>
      </c>
      <c r="Q50" s="110">
        <f t="shared" si="27"/>
        <v>0</v>
      </c>
      <c r="R50" s="110">
        <f t="shared" si="27"/>
        <v>0</v>
      </c>
      <c r="S50" s="110">
        <f t="shared" si="27"/>
        <v>0</v>
      </c>
      <c r="T50" s="110">
        <f t="shared" si="27"/>
        <v>0</v>
      </c>
      <c r="U50" s="110">
        <f t="shared" si="27"/>
        <v>0</v>
      </c>
      <c r="V50" s="110">
        <f>$M50+($W50-$M50)/10*(V$1-$M$1)</f>
        <v>0</v>
      </c>
      <c r="W50" s="113">
        <v>0</v>
      </c>
      <c r="X50" s="110">
        <f>$W50+($AG50-$W50)/10*(X$1-$W$1)</f>
        <v>0</v>
      </c>
      <c r="Y50" s="110">
        <f t="shared" ref="Y50:AF51" si="28">$W50+($AG50-$W50)/10*(Y$1-$W$1)</f>
        <v>0</v>
      </c>
      <c r="Z50" s="110">
        <f t="shared" si="28"/>
        <v>0</v>
      </c>
      <c r="AA50" s="110">
        <f t="shared" si="28"/>
        <v>0</v>
      </c>
      <c r="AB50" s="110">
        <f t="shared" si="28"/>
        <v>0</v>
      </c>
      <c r="AC50" s="110">
        <f t="shared" si="28"/>
        <v>0</v>
      </c>
      <c r="AD50" s="110">
        <f t="shared" si="28"/>
        <v>0</v>
      </c>
      <c r="AE50" s="110">
        <f t="shared" si="28"/>
        <v>0</v>
      </c>
      <c r="AF50" s="110">
        <f t="shared" si="28"/>
        <v>0</v>
      </c>
      <c r="AG50" s="110">
        <v>0</v>
      </c>
      <c r="AI50" s="133"/>
      <c r="AJ50" s="211" t="s">
        <v>1431</v>
      </c>
      <c r="AL50" s="108"/>
      <c r="AM50" s="2"/>
      <c r="AN50" s="2"/>
      <c r="AO50" s="2"/>
      <c r="AV50" s="41"/>
    </row>
    <row r="51" spans="1:63" outlineLevel="1" x14ac:dyDescent="0.2">
      <c r="A51" t="s">
        <v>1315</v>
      </c>
      <c r="B51" s="54" t="s">
        <v>462</v>
      </c>
      <c r="C51" s="113">
        <v>0</v>
      </c>
      <c r="D51" s="110">
        <f>$C51+($M51-$C51)/10*(D$1-$C$1)</f>
        <v>0</v>
      </c>
      <c r="E51" s="110">
        <f t="shared" si="26"/>
        <v>0</v>
      </c>
      <c r="F51" s="110">
        <f t="shared" si="26"/>
        <v>0</v>
      </c>
      <c r="G51" s="110">
        <f t="shared" si="26"/>
        <v>0</v>
      </c>
      <c r="H51" s="110">
        <f t="shared" si="26"/>
        <v>0</v>
      </c>
      <c r="I51" s="110">
        <f t="shared" si="26"/>
        <v>0</v>
      </c>
      <c r="J51" s="110">
        <f t="shared" si="26"/>
        <v>0</v>
      </c>
      <c r="K51" s="110">
        <f t="shared" si="26"/>
        <v>0</v>
      </c>
      <c r="L51" s="110">
        <f t="shared" si="26"/>
        <v>0</v>
      </c>
      <c r="M51" s="113">
        <v>0</v>
      </c>
      <c r="N51" s="110">
        <f>$M51+($W51-$M51)/10*(N$1-$M$1)</f>
        <v>0</v>
      </c>
      <c r="O51" s="110">
        <f t="shared" si="27"/>
        <v>0</v>
      </c>
      <c r="P51" s="110">
        <f t="shared" si="27"/>
        <v>0</v>
      </c>
      <c r="Q51" s="110">
        <f t="shared" si="27"/>
        <v>0</v>
      </c>
      <c r="R51" s="110">
        <f t="shared" si="27"/>
        <v>0</v>
      </c>
      <c r="S51" s="110">
        <f t="shared" si="27"/>
        <v>0</v>
      </c>
      <c r="T51" s="110">
        <f t="shared" si="27"/>
        <v>0</v>
      </c>
      <c r="U51" s="110">
        <f t="shared" si="27"/>
        <v>0</v>
      </c>
      <c r="V51" s="110">
        <f>$M51+($W51-$M51)/10*(V$1-$M$1)</f>
        <v>0</v>
      </c>
      <c r="W51" s="113">
        <v>0</v>
      </c>
      <c r="X51" s="110">
        <f>$W51+($AG51-$W51)/10*(X$1-$W$1)</f>
        <v>0</v>
      </c>
      <c r="Y51" s="110">
        <f t="shared" si="28"/>
        <v>0</v>
      </c>
      <c r="Z51" s="110">
        <f t="shared" si="28"/>
        <v>0</v>
      </c>
      <c r="AA51" s="110">
        <f t="shared" si="28"/>
        <v>0</v>
      </c>
      <c r="AB51" s="110">
        <f t="shared" si="28"/>
        <v>0</v>
      </c>
      <c r="AC51" s="110">
        <f t="shared" si="28"/>
        <v>0</v>
      </c>
      <c r="AD51" s="110">
        <f t="shared" si="28"/>
        <v>0</v>
      </c>
      <c r="AE51" s="110">
        <f t="shared" si="28"/>
        <v>0</v>
      </c>
      <c r="AF51" s="110">
        <f t="shared" si="28"/>
        <v>0</v>
      </c>
      <c r="AG51" s="110">
        <v>0</v>
      </c>
      <c r="AI51" s="133"/>
      <c r="AJ51" s="211" t="s">
        <v>1431</v>
      </c>
      <c r="AL51" s="108"/>
      <c r="AM51" s="2"/>
      <c r="AN51" s="2"/>
      <c r="AO51" s="2"/>
      <c r="AV51" s="41"/>
    </row>
    <row r="52" spans="1:63" outlineLevel="1" x14ac:dyDescent="0.2">
      <c r="A52" t="s">
        <v>1316</v>
      </c>
      <c r="B52" s="176" t="s">
        <v>462</v>
      </c>
      <c r="C52" s="110">
        <f>C50+C51</f>
        <v>0</v>
      </c>
      <c r="D52" s="110">
        <f t="shared" ref="D52:AF52" si="29">D50+D51</f>
        <v>0</v>
      </c>
      <c r="E52" s="110">
        <f t="shared" si="29"/>
        <v>0</v>
      </c>
      <c r="F52" s="110">
        <f t="shared" si="29"/>
        <v>0</v>
      </c>
      <c r="G52" s="110">
        <f t="shared" si="29"/>
        <v>0</v>
      </c>
      <c r="H52" s="110">
        <f t="shared" si="29"/>
        <v>0</v>
      </c>
      <c r="I52" s="110">
        <f t="shared" si="29"/>
        <v>0</v>
      </c>
      <c r="J52" s="110">
        <f t="shared" si="29"/>
        <v>0</v>
      </c>
      <c r="K52" s="110">
        <f t="shared" si="29"/>
        <v>0</v>
      </c>
      <c r="L52" s="110">
        <f t="shared" si="29"/>
        <v>0</v>
      </c>
      <c r="M52" s="110">
        <f t="shared" si="29"/>
        <v>0</v>
      </c>
      <c r="N52" s="110">
        <f t="shared" si="29"/>
        <v>0</v>
      </c>
      <c r="O52" s="110">
        <f t="shared" si="29"/>
        <v>0</v>
      </c>
      <c r="P52" s="110">
        <f t="shared" si="29"/>
        <v>0</v>
      </c>
      <c r="Q52" s="110">
        <f t="shared" si="29"/>
        <v>0</v>
      </c>
      <c r="R52" s="110">
        <f t="shared" si="29"/>
        <v>0</v>
      </c>
      <c r="S52" s="110">
        <f t="shared" si="29"/>
        <v>0</v>
      </c>
      <c r="T52" s="110">
        <f t="shared" si="29"/>
        <v>0</v>
      </c>
      <c r="U52" s="110">
        <f t="shared" si="29"/>
        <v>0</v>
      </c>
      <c r="V52" s="110">
        <f t="shared" si="29"/>
        <v>0</v>
      </c>
      <c r="W52" s="110">
        <f t="shared" si="29"/>
        <v>0</v>
      </c>
      <c r="X52" s="110">
        <f t="shared" si="29"/>
        <v>0</v>
      </c>
      <c r="Y52" s="110">
        <f t="shared" si="29"/>
        <v>0</v>
      </c>
      <c r="Z52" s="110">
        <f t="shared" si="29"/>
        <v>0</v>
      </c>
      <c r="AA52" s="110">
        <f t="shared" si="29"/>
        <v>0</v>
      </c>
      <c r="AB52" s="110">
        <f t="shared" si="29"/>
        <v>0</v>
      </c>
      <c r="AC52" s="110">
        <f t="shared" si="29"/>
        <v>0</v>
      </c>
      <c r="AD52" s="110">
        <f t="shared" si="29"/>
        <v>0</v>
      </c>
      <c r="AE52" s="110">
        <f t="shared" si="29"/>
        <v>0</v>
      </c>
      <c r="AF52" s="110">
        <f t="shared" si="29"/>
        <v>0</v>
      </c>
      <c r="AG52" s="110">
        <f>AG50+AG51</f>
        <v>0</v>
      </c>
      <c r="AI52" s="133"/>
      <c r="AJ52" s="211"/>
      <c r="AL52" s="108"/>
      <c r="AM52" s="2"/>
      <c r="AN52" s="2"/>
      <c r="AO52" s="2"/>
    </row>
    <row r="53" spans="1:63" outlineLevel="1" x14ac:dyDescent="0.2">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x14ac:dyDescent="0.2">
      <c r="A54" t="s">
        <v>1317</v>
      </c>
      <c r="B54" s="54" t="s">
        <v>462</v>
      </c>
      <c r="C54" s="110">
        <f>'Ethylene Recycling HC'!C570</f>
        <v>0</v>
      </c>
      <c r="D54" s="110">
        <f>'Ethylene Recycling HC'!D570</f>
        <v>0</v>
      </c>
      <c r="E54" s="110">
        <f>'Ethylene Recycling HC'!E570</f>
        <v>0</v>
      </c>
      <c r="F54" s="110">
        <f>'Ethylene Recycling HC'!F570</f>
        <v>0</v>
      </c>
      <c r="G54" s="110">
        <f>'Ethylene Recycling HC'!G570</f>
        <v>0</v>
      </c>
      <c r="H54" s="110">
        <f>'Ethylene Recycling HC'!H570</f>
        <v>0</v>
      </c>
      <c r="I54" s="110">
        <f>'Ethylene Recycling HC'!I570</f>
        <v>0</v>
      </c>
      <c r="J54" s="110">
        <f>'Ethylene Recycling HC'!J570</f>
        <v>0</v>
      </c>
      <c r="K54" s="110">
        <f>'Ethylene Recycling HC'!K570</f>
        <v>0</v>
      </c>
      <c r="L54" s="110">
        <f>'Ethylene Recycling HC'!L570</f>
        <v>0</v>
      </c>
      <c r="M54" s="110">
        <f>'Ethylene Recycling HC'!M570</f>
        <v>0</v>
      </c>
      <c r="N54" s="110">
        <f>'Ethylene Recycling HC'!N570</f>
        <v>0</v>
      </c>
      <c r="O54" s="110">
        <f>'Ethylene Recycling HC'!O570</f>
        <v>0</v>
      </c>
      <c r="P54" s="110">
        <f>'Ethylene Recycling HC'!P570</f>
        <v>0</v>
      </c>
      <c r="Q54" s="110">
        <f>'Ethylene Recycling HC'!Q570</f>
        <v>0</v>
      </c>
      <c r="R54" s="110">
        <f>'Ethylene Recycling HC'!R570</f>
        <v>0</v>
      </c>
      <c r="S54" s="110">
        <f>'Ethylene Recycling HC'!S570</f>
        <v>0</v>
      </c>
      <c r="T54" s="110">
        <f>'Ethylene Recycling HC'!T570</f>
        <v>0</v>
      </c>
      <c r="U54" s="110">
        <f>'Ethylene Recycling HC'!U570</f>
        <v>0</v>
      </c>
      <c r="V54" s="110">
        <f>'Ethylene Recycling HC'!V570</f>
        <v>0</v>
      </c>
      <c r="W54" s="110">
        <f>'Ethylene Recycling HC'!W570</f>
        <v>0</v>
      </c>
      <c r="X54" s="110">
        <f>'Ethylene Recycling HC'!X570</f>
        <v>0</v>
      </c>
      <c r="Y54" s="110">
        <f>'Ethylene Recycling HC'!Y570</f>
        <v>0</v>
      </c>
      <c r="Z54" s="110">
        <f>'Ethylene Recycling HC'!Z570</f>
        <v>0</v>
      </c>
      <c r="AA54" s="110">
        <f>'Ethylene Recycling HC'!AA570</f>
        <v>0</v>
      </c>
      <c r="AB54" s="110">
        <f>'Ethylene Recycling HC'!AB570</f>
        <v>0</v>
      </c>
      <c r="AC54" s="110">
        <f>'Ethylene Recycling HC'!AC570</f>
        <v>0</v>
      </c>
      <c r="AD54" s="110">
        <f>'Ethylene Recycling HC'!AD570</f>
        <v>0</v>
      </c>
      <c r="AE54" s="110">
        <f>'Ethylene Recycling HC'!AE570</f>
        <v>0</v>
      </c>
      <c r="AF54" s="110">
        <f>'Ethylene Recycling HC'!AF570</f>
        <v>0</v>
      </c>
      <c r="AG54" s="110">
        <f>'Ethylene Recycling HC'!AG570</f>
        <v>0</v>
      </c>
      <c r="AI54" s="133"/>
      <c r="AJ54" s="211" t="s">
        <v>1432</v>
      </c>
      <c r="AL54" s="108"/>
      <c r="AM54" s="2"/>
      <c r="AN54" s="2"/>
      <c r="AO54" s="2"/>
      <c r="AV54" s="41"/>
    </row>
    <row r="55" spans="1:63" outlineLevel="1" x14ac:dyDescent="0.2">
      <c r="A55" t="s">
        <v>1318</v>
      </c>
      <c r="C55" s="110">
        <v>0</v>
      </c>
      <c r="D55" s="110">
        <v>0</v>
      </c>
      <c r="E55" s="110">
        <v>0</v>
      </c>
      <c r="F55" s="110">
        <v>0</v>
      </c>
      <c r="G55" s="110">
        <v>0</v>
      </c>
      <c r="H55" s="110">
        <v>0</v>
      </c>
      <c r="I55" s="110">
        <v>0</v>
      </c>
      <c r="J55" s="110">
        <v>0</v>
      </c>
      <c r="K55" s="110">
        <v>0</v>
      </c>
      <c r="L55" s="110">
        <v>0</v>
      </c>
      <c r="M55" s="110">
        <v>0</v>
      </c>
      <c r="N55" s="110">
        <v>0</v>
      </c>
      <c r="O55" s="110">
        <v>0</v>
      </c>
      <c r="P55" s="110">
        <v>0</v>
      </c>
      <c r="Q55" s="110">
        <v>0</v>
      </c>
      <c r="R55" s="110">
        <v>0</v>
      </c>
      <c r="S55" s="110">
        <v>0</v>
      </c>
      <c r="T55" s="110">
        <v>0</v>
      </c>
      <c r="U55" s="110">
        <v>0</v>
      </c>
      <c r="V55" s="110">
        <v>0</v>
      </c>
      <c r="W55" s="110">
        <v>0</v>
      </c>
      <c r="X55" s="110">
        <v>0</v>
      </c>
      <c r="Y55" s="110">
        <v>0</v>
      </c>
      <c r="Z55" s="110">
        <v>0</v>
      </c>
      <c r="AA55" s="110">
        <v>0</v>
      </c>
      <c r="AB55" s="110">
        <v>0</v>
      </c>
      <c r="AC55" s="110">
        <v>0</v>
      </c>
      <c r="AD55" s="110">
        <v>0</v>
      </c>
      <c r="AE55" s="110">
        <v>0</v>
      </c>
      <c r="AF55" s="110">
        <v>0</v>
      </c>
      <c r="AG55" s="110">
        <v>0</v>
      </c>
      <c r="AI55" s="133"/>
      <c r="AJ55" s="211" t="s">
        <v>1432</v>
      </c>
      <c r="AL55" s="108"/>
      <c r="AM55" s="2"/>
      <c r="AN55" s="2"/>
      <c r="AO55" s="2"/>
      <c r="AV55" s="41"/>
    </row>
    <row r="56" spans="1:63" outlineLevel="1" x14ac:dyDescent="0.2">
      <c r="A56" t="s">
        <v>1433</v>
      </c>
      <c r="B56" s="54" t="s">
        <v>462</v>
      </c>
      <c r="C56" s="110">
        <v>0</v>
      </c>
      <c r="D56" s="110">
        <v>0</v>
      </c>
      <c r="E56" s="110">
        <v>0</v>
      </c>
      <c r="F56" s="110">
        <v>0</v>
      </c>
      <c r="G56" s="110">
        <v>0</v>
      </c>
      <c r="H56" s="110">
        <v>0</v>
      </c>
      <c r="I56" s="110">
        <v>0</v>
      </c>
      <c r="J56" s="110">
        <v>0</v>
      </c>
      <c r="K56" s="110">
        <v>0</v>
      </c>
      <c r="L56" s="110">
        <v>0</v>
      </c>
      <c r="M56" s="110">
        <v>0</v>
      </c>
      <c r="N56" s="110">
        <v>0</v>
      </c>
      <c r="O56" s="110">
        <v>0</v>
      </c>
      <c r="P56" s="110">
        <v>0</v>
      </c>
      <c r="Q56" s="110">
        <v>0</v>
      </c>
      <c r="R56" s="110">
        <v>0</v>
      </c>
      <c r="S56" s="110">
        <v>0</v>
      </c>
      <c r="T56" s="110">
        <v>0</v>
      </c>
      <c r="U56" s="110">
        <v>0</v>
      </c>
      <c r="V56" s="110">
        <v>0</v>
      </c>
      <c r="W56" s="110">
        <v>0</v>
      </c>
      <c r="X56" s="110">
        <v>0</v>
      </c>
      <c r="Y56" s="110">
        <v>0</v>
      </c>
      <c r="Z56" s="110">
        <v>0</v>
      </c>
      <c r="AA56" s="110">
        <v>0</v>
      </c>
      <c r="AB56" s="110">
        <v>0</v>
      </c>
      <c r="AC56" s="110">
        <v>0</v>
      </c>
      <c r="AD56" s="110">
        <v>0</v>
      </c>
      <c r="AE56" s="110">
        <v>0</v>
      </c>
      <c r="AF56" s="110">
        <v>0</v>
      </c>
      <c r="AG56" s="110">
        <v>0</v>
      </c>
      <c r="AI56" s="133"/>
      <c r="AJ56" s="211" t="s">
        <v>1432</v>
      </c>
      <c r="AL56" s="108"/>
      <c r="AM56" s="2"/>
      <c r="AN56" s="2"/>
      <c r="AO56" s="2"/>
      <c r="AV56" s="41"/>
    </row>
    <row r="57" spans="1:63" outlineLevel="1" x14ac:dyDescent="0.2">
      <c r="A57" t="s">
        <v>1319</v>
      </c>
      <c r="B57" s="54" t="s">
        <v>462</v>
      </c>
      <c r="C57" s="110">
        <v>0</v>
      </c>
      <c r="D57" s="110">
        <v>0</v>
      </c>
      <c r="E57" s="110">
        <v>0</v>
      </c>
      <c r="F57" s="110">
        <v>0</v>
      </c>
      <c r="G57" s="110">
        <v>0</v>
      </c>
      <c r="H57" s="110">
        <v>0</v>
      </c>
      <c r="I57" s="110">
        <v>0</v>
      </c>
      <c r="J57" s="110">
        <v>0</v>
      </c>
      <c r="K57" s="110">
        <v>0</v>
      </c>
      <c r="L57" s="110">
        <v>0</v>
      </c>
      <c r="M57" s="110">
        <v>0</v>
      </c>
      <c r="N57" s="110">
        <v>0</v>
      </c>
      <c r="O57" s="110">
        <v>0</v>
      </c>
      <c r="P57" s="110">
        <v>0</v>
      </c>
      <c r="Q57" s="110">
        <v>0</v>
      </c>
      <c r="R57" s="110">
        <v>0</v>
      </c>
      <c r="S57" s="110">
        <v>0</v>
      </c>
      <c r="T57" s="110">
        <v>0</v>
      </c>
      <c r="U57" s="110">
        <v>0</v>
      </c>
      <c r="V57" s="110">
        <v>0</v>
      </c>
      <c r="W57" s="110">
        <v>0</v>
      </c>
      <c r="X57" s="110">
        <v>0</v>
      </c>
      <c r="Y57" s="110">
        <v>0</v>
      </c>
      <c r="Z57" s="110">
        <v>0</v>
      </c>
      <c r="AA57" s="110">
        <v>0</v>
      </c>
      <c r="AB57" s="110">
        <v>0</v>
      </c>
      <c r="AC57" s="110">
        <v>0</v>
      </c>
      <c r="AD57" s="110">
        <v>0</v>
      </c>
      <c r="AE57" s="110">
        <v>0</v>
      </c>
      <c r="AF57" s="110">
        <v>0</v>
      </c>
      <c r="AG57" s="110">
        <v>0</v>
      </c>
      <c r="AI57" s="133"/>
      <c r="AJ57" s="211" t="s">
        <v>1432</v>
      </c>
      <c r="AL57" s="108"/>
      <c r="AM57" s="2"/>
      <c r="AN57" s="2"/>
      <c r="AO57" s="2"/>
      <c r="AV57" s="41"/>
    </row>
    <row r="58" spans="1:63" outlineLevel="1" x14ac:dyDescent="0.2">
      <c r="A58" t="s">
        <v>1317</v>
      </c>
      <c r="B58" s="54" t="s">
        <v>462</v>
      </c>
      <c r="C58" s="110">
        <v>0</v>
      </c>
      <c r="D58" s="110">
        <v>0</v>
      </c>
      <c r="E58" s="110">
        <v>0</v>
      </c>
      <c r="F58" s="110">
        <v>0</v>
      </c>
      <c r="G58" s="110">
        <v>0</v>
      </c>
      <c r="H58" s="110">
        <v>0</v>
      </c>
      <c r="I58" s="110">
        <v>0</v>
      </c>
      <c r="J58" s="110">
        <v>0</v>
      </c>
      <c r="K58" s="110">
        <v>0</v>
      </c>
      <c r="L58" s="110">
        <v>0</v>
      </c>
      <c r="M58" s="110">
        <v>0</v>
      </c>
      <c r="N58" s="110">
        <v>0</v>
      </c>
      <c r="O58" s="110">
        <v>0</v>
      </c>
      <c r="P58" s="110">
        <v>0</v>
      </c>
      <c r="Q58" s="110">
        <v>0</v>
      </c>
      <c r="R58" s="110">
        <v>0</v>
      </c>
      <c r="S58" s="110">
        <v>0</v>
      </c>
      <c r="T58" s="110">
        <v>0</v>
      </c>
      <c r="U58" s="110">
        <v>0</v>
      </c>
      <c r="V58" s="110">
        <v>0</v>
      </c>
      <c r="W58" s="110">
        <v>0</v>
      </c>
      <c r="X58" s="110">
        <v>0</v>
      </c>
      <c r="Y58" s="110">
        <v>0</v>
      </c>
      <c r="Z58" s="110">
        <v>0</v>
      </c>
      <c r="AA58" s="110">
        <v>0</v>
      </c>
      <c r="AB58" s="110">
        <v>0</v>
      </c>
      <c r="AC58" s="110">
        <v>0</v>
      </c>
      <c r="AD58" s="110">
        <v>0</v>
      </c>
      <c r="AE58" s="110">
        <v>0</v>
      </c>
      <c r="AF58" s="110">
        <v>0</v>
      </c>
      <c r="AG58" s="110">
        <v>0</v>
      </c>
      <c r="AH58" s="271"/>
      <c r="AI58" s="133"/>
      <c r="AJ58" s="211"/>
      <c r="AL58" s="108"/>
      <c r="AM58" s="2"/>
      <c r="AN58" s="2"/>
      <c r="AO58" s="2"/>
    </row>
    <row r="59" spans="1:63" outlineLevel="1" x14ac:dyDescent="0.2">
      <c r="A59" t="s">
        <v>1318</v>
      </c>
      <c r="B59" s="54" t="s">
        <v>462</v>
      </c>
      <c r="C59" s="110">
        <v>0</v>
      </c>
      <c r="D59" s="110">
        <v>0</v>
      </c>
      <c r="E59" s="110">
        <v>0</v>
      </c>
      <c r="F59" s="110">
        <v>0</v>
      </c>
      <c r="G59" s="110">
        <v>0</v>
      </c>
      <c r="H59" s="110">
        <v>0</v>
      </c>
      <c r="I59" s="110">
        <v>0</v>
      </c>
      <c r="J59" s="110">
        <v>0</v>
      </c>
      <c r="K59" s="110">
        <v>0</v>
      </c>
      <c r="L59" s="110">
        <v>0</v>
      </c>
      <c r="M59" s="110">
        <v>0</v>
      </c>
      <c r="N59" s="110">
        <v>0</v>
      </c>
      <c r="O59" s="110">
        <v>0</v>
      </c>
      <c r="P59" s="110">
        <v>0</v>
      </c>
      <c r="Q59" s="110">
        <v>0</v>
      </c>
      <c r="R59" s="110">
        <v>0</v>
      </c>
      <c r="S59" s="110">
        <v>0</v>
      </c>
      <c r="T59" s="110">
        <v>0</v>
      </c>
      <c r="U59" s="110">
        <v>0</v>
      </c>
      <c r="V59" s="110">
        <v>0</v>
      </c>
      <c r="W59" s="110">
        <v>0</v>
      </c>
      <c r="X59" s="110">
        <v>0</v>
      </c>
      <c r="Y59" s="110">
        <v>0</v>
      </c>
      <c r="Z59" s="110">
        <v>0</v>
      </c>
      <c r="AA59" s="110">
        <v>0</v>
      </c>
      <c r="AB59" s="110">
        <v>0</v>
      </c>
      <c r="AC59" s="110">
        <v>0</v>
      </c>
      <c r="AD59" s="110">
        <v>0</v>
      </c>
      <c r="AE59" s="110">
        <v>0</v>
      </c>
      <c r="AF59" s="110">
        <v>0</v>
      </c>
      <c r="AG59" s="110">
        <v>0</v>
      </c>
      <c r="AH59" s="271"/>
      <c r="AJ59" s="211"/>
      <c r="AL59" s="108"/>
      <c r="AM59" s="2"/>
      <c r="AN59" s="2"/>
      <c r="AO59" s="2"/>
      <c r="BC59" s="1"/>
      <c r="BD59" s="2"/>
      <c r="BE59" s="2"/>
      <c r="BF59" s="2"/>
      <c r="BG59" s="2"/>
      <c r="BH59" s="2"/>
      <c r="BI59" s="2"/>
      <c r="BJ59" s="2"/>
      <c r="BK59" s="2"/>
    </row>
    <row r="60" spans="1:63" outlineLevel="1" x14ac:dyDescent="0.2">
      <c r="A60" t="s">
        <v>1433</v>
      </c>
      <c r="C60" s="110">
        <v>0</v>
      </c>
      <c r="D60" s="110">
        <v>0</v>
      </c>
      <c r="E60" s="110">
        <v>0</v>
      </c>
      <c r="F60" s="110">
        <v>0</v>
      </c>
      <c r="G60" s="110">
        <v>0</v>
      </c>
      <c r="H60" s="110">
        <v>0</v>
      </c>
      <c r="I60" s="110">
        <v>0</v>
      </c>
      <c r="J60" s="110">
        <v>0</v>
      </c>
      <c r="K60" s="110">
        <v>0</v>
      </c>
      <c r="L60" s="110">
        <v>0</v>
      </c>
      <c r="M60" s="110">
        <v>0</v>
      </c>
      <c r="N60" s="110">
        <v>0</v>
      </c>
      <c r="O60" s="110">
        <v>0</v>
      </c>
      <c r="P60" s="110">
        <v>0</v>
      </c>
      <c r="Q60" s="110">
        <v>0</v>
      </c>
      <c r="R60" s="110">
        <v>0</v>
      </c>
      <c r="S60" s="110">
        <v>0</v>
      </c>
      <c r="T60" s="110">
        <v>0</v>
      </c>
      <c r="U60" s="110">
        <v>0</v>
      </c>
      <c r="V60" s="110">
        <v>0</v>
      </c>
      <c r="W60" s="110">
        <v>0</v>
      </c>
      <c r="X60" s="110">
        <v>0</v>
      </c>
      <c r="Y60" s="110">
        <v>0</v>
      </c>
      <c r="Z60" s="110">
        <v>0</v>
      </c>
      <c r="AA60" s="110">
        <v>0</v>
      </c>
      <c r="AB60" s="110">
        <v>0</v>
      </c>
      <c r="AC60" s="110">
        <v>0</v>
      </c>
      <c r="AD60" s="110">
        <v>0</v>
      </c>
      <c r="AE60" s="110">
        <v>0</v>
      </c>
      <c r="AF60" s="110">
        <v>0</v>
      </c>
      <c r="AG60" s="110">
        <v>0</v>
      </c>
      <c r="AH60" s="271"/>
      <c r="AJ60" s="211"/>
      <c r="AL60" s="108"/>
      <c r="AM60" s="2"/>
      <c r="AN60" s="2"/>
      <c r="AO60" s="2"/>
      <c r="BC60" s="1"/>
      <c r="BD60" s="2"/>
      <c r="BE60" s="2"/>
      <c r="BF60" s="2"/>
      <c r="BG60" s="2"/>
      <c r="BH60" s="2"/>
      <c r="BI60" s="2"/>
      <c r="BJ60" s="2"/>
      <c r="BK60" s="2"/>
    </row>
    <row r="61" spans="1:63" outlineLevel="1" x14ac:dyDescent="0.2">
      <c r="A61" t="s">
        <v>1319</v>
      </c>
      <c r="B61" s="54" t="s">
        <v>462</v>
      </c>
      <c r="C61" s="110">
        <v>0</v>
      </c>
      <c r="D61" s="110">
        <v>0</v>
      </c>
      <c r="E61" s="110">
        <v>0</v>
      </c>
      <c r="F61" s="110">
        <v>0</v>
      </c>
      <c r="G61" s="110">
        <v>0</v>
      </c>
      <c r="H61" s="110">
        <v>0</v>
      </c>
      <c r="I61" s="110">
        <v>0</v>
      </c>
      <c r="J61" s="110">
        <v>0</v>
      </c>
      <c r="K61" s="110">
        <v>0</v>
      </c>
      <c r="L61" s="110">
        <v>0</v>
      </c>
      <c r="M61" s="110">
        <v>0</v>
      </c>
      <c r="N61" s="110">
        <v>0</v>
      </c>
      <c r="O61" s="110">
        <v>0</v>
      </c>
      <c r="P61" s="110">
        <v>0</v>
      </c>
      <c r="Q61" s="110">
        <v>0</v>
      </c>
      <c r="R61" s="110">
        <v>0</v>
      </c>
      <c r="S61" s="110">
        <v>0</v>
      </c>
      <c r="T61" s="110">
        <v>0</v>
      </c>
      <c r="U61" s="110">
        <v>0</v>
      </c>
      <c r="V61" s="110">
        <v>0</v>
      </c>
      <c r="W61" s="110">
        <v>0</v>
      </c>
      <c r="X61" s="110">
        <v>0</v>
      </c>
      <c r="Y61" s="110">
        <v>0</v>
      </c>
      <c r="Z61" s="110">
        <v>0</v>
      </c>
      <c r="AA61" s="110">
        <v>0</v>
      </c>
      <c r="AB61" s="110">
        <v>0</v>
      </c>
      <c r="AC61" s="110">
        <v>0</v>
      </c>
      <c r="AD61" s="110">
        <v>0</v>
      </c>
      <c r="AE61" s="110">
        <v>0</v>
      </c>
      <c r="AF61" s="110">
        <v>0</v>
      </c>
      <c r="AG61" s="110">
        <v>0</v>
      </c>
      <c r="AH61" s="271"/>
      <c r="AI61" s="133"/>
      <c r="AJ61" s="211"/>
      <c r="AL61" s="108"/>
      <c r="AM61" s="2"/>
      <c r="AN61" s="2"/>
      <c r="AO61" s="2"/>
      <c r="BC61" s="1"/>
      <c r="BD61" s="2"/>
      <c r="BE61" s="2"/>
      <c r="BF61" s="2"/>
      <c r="BG61" s="2"/>
      <c r="BH61" s="2"/>
      <c r="BI61" s="2"/>
      <c r="BJ61" s="2"/>
      <c r="BK61" s="2"/>
    </row>
    <row r="62" spans="1:63" outlineLevel="1" x14ac:dyDescent="0.2">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x14ac:dyDescent="0.2">
      <c r="A63" t="s">
        <v>1676</v>
      </c>
      <c r="C63" s="382">
        <f>('Overall recycling rates'!F84*'Yearly BTX'!D5+'Overall recycling rates'!G84*'Yearly BTX'!D6+'Overall recycling rates'!H84*'Yearly BTX'!D7)/'Yearly BTX'!D4</f>
        <v>1.1704534492742935</v>
      </c>
      <c r="D63" s="382">
        <f>C63-($C63-$AG63)/($AG$1-$C$1)</f>
        <v>1.1681050009651504</v>
      </c>
      <c r="E63" s="382">
        <f t="shared" ref="E63:AF63" si="30">D63-($C63-$AG63)/($AG$1-$C$1)</f>
        <v>1.1657565526560072</v>
      </c>
      <c r="F63" s="382">
        <f t="shared" si="30"/>
        <v>1.163408104346864</v>
      </c>
      <c r="G63" s="382">
        <f t="shared" si="30"/>
        <v>1.1610596560377209</v>
      </c>
      <c r="H63" s="382">
        <f t="shared" si="30"/>
        <v>1.1587112077285777</v>
      </c>
      <c r="I63" s="382">
        <f t="shared" si="30"/>
        <v>1.1563627594194346</v>
      </c>
      <c r="J63" s="382">
        <f t="shared" si="30"/>
        <v>1.1540143111102914</v>
      </c>
      <c r="K63" s="382">
        <f t="shared" si="30"/>
        <v>1.1516658628011482</v>
      </c>
      <c r="L63" s="382">
        <f t="shared" si="30"/>
        <v>1.1493174144920051</v>
      </c>
      <c r="M63" s="382">
        <f t="shared" si="30"/>
        <v>1.1469689661828619</v>
      </c>
      <c r="N63" s="382">
        <f t="shared" si="30"/>
        <v>1.1446205178737188</v>
      </c>
      <c r="O63" s="382">
        <f t="shared" si="30"/>
        <v>1.1422720695645756</v>
      </c>
      <c r="P63" s="382">
        <f t="shared" si="30"/>
        <v>1.1399236212554325</v>
      </c>
      <c r="Q63" s="382">
        <f t="shared" si="30"/>
        <v>1.1375751729462893</v>
      </c>
      <c r="R63" s="382">
        <f t="shared" si="30"/>
        <v>1.1352267246371461</v>
      </c>
      <c r="S63" s="382">
        <f t="shared" si="30"/>
        <v>1.132878276328003</v>
      </c>
      <c r="T63" s="382">
        <f t="shared" si="30"/>
        <v>1.1305298280188598</v>
      </c>
      <c r="U63" s="382">
        <f t="shared" si="30"/>
        <v>1.1281813797097167</v>
      </c>
      <c r="V63" s="382">
        <f t="shared" si="30"/>
        <v>1.1258329314005735</v>
      </c>
      <c r="W63" s="382">
        <f t="shared" si="30"/>
        <v>1.1234844830914303</v>
      </c>
      <c r="X63" s="382">
        <f t="shared" si="30"/>
        <v>1.1211360347822872</v>
      </c>
      <c r="Y63" s="382">
        <f t="shared" si="30"/>
        <v>1.118787586473144</v>
      </c>
      <c r="Z63" s="382">
        <f t="shared" si="30"/>
        <v>1.1164391381640009</v>
      </c>
      <c r="AA63" s="382">
        <f t="shared" si="30"/>
        <v>1.1140906898548577</v>
      </c>
      <c r="AB63" s="382">
        <f t="shared" si="30"/>
        <v>1.1117422415457145</v>
      </c>
      <c r="AC63" s="382">
        <f t="shared" si="30"/>
        <v>1.1093937932365714</v>
      </c>
      <c r="AD63" s="382">
        <f t="shared" si="30"/>
        <v>1.1070453449274282</v>
      </c>
      <c r="AE63" s="382">
        <f t="shared" si="30"/>
        <v>1.1046968966182851</v>
      </c>
      <c r="AF63" s="382">
        <f t="shared" si="30"/>
        <v>1.1023484483091419</v>
      </c>
      <c r="AG63" s="382">
        <f>'Overall recycling rates'!G93</f>
        <v>1.1000000000000001</v>
      </c>
      <c r="AI63" s="133"/>
      <c r="AJ63" s="211"/>
      <c r="AL63" s="108"/>
      <c r="AM63" s="2"/>
      <c r="AN63" s="2"/>
      <c r="AO63" s="2"/>
      <c r="BC63" s="1"/>
      <c r="BD63" s="2"/>
      <c r="BE63" s="2"/>
      <c r="BF63" s="2"/>
      <c r="BG63" s="2"/>
      <c r="BH63" s="2"/>
      <c r="BI63" s="2"/>
      <c r="BJ63" s="2"/>
      <c r="BK63" s="2"/>
    </row>
    <row r="64" spans="1:63" outlineLevel="1" x14ac:dyDescent="0.2">
      <c r="A64" t="s">
        <v>1677</v>
      </c>
      <c r="B64" s="54" t="s">
        <v>462</v>
      </c>
      <c r="C64" s="110">
        <f>C50*C$63</f>
        <v>0</v>
      </c>
      <c r="D64" s="110">
        <f t="shared" ref="D64:AG65" si="31">D50*D$63</f>
        <v>0</v>
      </c>
      <c r="E64" s="110">
        <f t="shared" si="31"/>
        <v>0</v>
      </c>
      <c r="F64" s="110">
        <f t="shared" si="31"/>
        <v>0</v>
      </c>
      <c r="G64" s="110">
        <f t="shared" si="31"/>
        <v>0</v>
      </c>
      <c r="H64" s="110">
        <f t="shared" si="31"/>
        <v>0</v>
      </c>
      <c r="I64" s="110">
        <f t="shared" si="31"/>
        <v>0</v>
      </c>
      <c r="J64" s="110">
        <f t="shared" si="31"/>
        <v>0</v>
      </c>
      <c r="K64" s="110">
        <f t="shared" si="31"/>
        <v>0</v>
      </c>
      <c r="L64" s="110">
        <f t="shared" si="31"/>
        <v>0</v>
      </c>
      <c r="M64" s="110">
        <f>M50*M$63</f>
        <v>0</v>
      </c>
      <c r="N64" s="110">
        <f t="shared" si="31"/>
        <v>0</v>
      </c>
      <c r="O64" s="110">
        <f t="shared" si="31"/>
        <v>0</v>
      </c>
      <c r="P64" s="110">
        <f t="shared" si="31"/>
        <v>0</v>
      </c>
      <c r="Q64" s="110">
        <f t="shared" si="31"/>
        <v>0</v>
      </c>
      <c r="R64" s="110">
        <f t="shared" si="31"/>
        <v>0</v>
      </c>
      <c r="S64" s="110">
        <f t="shared" si="31"/>
        <v>0</v>
      </c>
      <c r="T64" s="110">
        <f t="shared" si="31"/>
        <v>0</v>
      </c>
      <c r="U64" s="110">
        <f t="shared" si="31"/>
        <v>0</v>
      </c>
      <c r="V64" s="110">
        <f t="shared" si="31"/>
        <v>0</v>
      </c>
      <c r="W64" s="110">
        <f t="shared" si="31"/>
        <v>0</v>
      </c>
      <c r="X64" s="110">
        <f t="shared" si="31"/>
        <v>0</v>
      </c>
      <c r="Y64" s="110">
        <f t="shared" si="31"/>
        <v>0</v>
      </c>
      <c r="Z64" s="110">
        <f t="shared" si="31"/>
        <v>0</v>
      </c>
      <c r="AA64" s="110">
        <f t="shared" si="31"/>
        <v>0</v>
      </c>
      <c r="AB64" s="110">
        <f t="shared" si="31"/>
        <v>0</v>
      </c>
      <c r="AC64" s="110">
        <f t="shared" si="31"/>
        <v>0</v>
      </c>
      <c r="AD64" s="110">
        <f t="shared" si="31"/>
        <v>0</v>
      </c>
      <c r="AE64" s="110">
        <f t="shared" si="31"/>
        <v>0</v>
      </c>
      <c r="AF64" s="110">
        <f t="shared" si="31"/>
        <v>0</v>
      </c>
      <c r="AG64" s="110">
        <f t="shared" si="31"/>
        <v>0</v>
      </c>
      <c r="AI64" s="133"/>
      <c r="AJ64" s="211"/>
      <c r="AL64" s="108"/>
      <c r="AM64" s="2"/>
      <c r="AN64" s="2"/>
      <c r="AO64" s="2"/>
      <c r="AV64" s="41"/>
    </row>
    <row r="65" spans="1:63" outlineLevel="1" x14ac:dyDescent="0.2">
      <c r="A65" t="s">
        <v>1678</v>
      </c>
      <c r="B65" s="54" t="s">
        <v>462</v>
      </c>
      <c r="C65" s="110">
        <f>C51*C$63</f>
        <v>0</v>
      </c>
      <c r="D65" s="110">
        <f t="shared" si="31"/>
        <v>0</v>
      </c>
      <c r="E65" s="110">
        <f t="shared" si="31"/>
        <v>0</v>
      </c>
      <c r="F65" s="110">
        <f t="shared" si="31"/>
        <v>0</v>
      </c>
      <c r="G65" s="110">
        <f t="shared" si="31"/>
        <v>0</v>
      </c>
      <c r="H65" s="110">
        <f t="shared" si="31"/>
        <v>0</v>
      </c>
      <c r="I65" s="110">
        <f t="shared" si="31"/>
        <v>0</v>
      </c>
      <c r="J65" s="110">
        <f t="shared" si="31"/>
        <v>0</v>
      </c>
      <c r="K65" s="110">
        <f t="shared" si="31"/>
        <v>0</v>
      </c>
      <c r="L65" s="110">
        <f t="shared" si="31"/>
        <v>0</v>
      </c>
      <c r="M65" s="110">
        <f t="shared" si="31"/>
        <v>0</v>
      </c>
      <c r="N65" s="110">
        <f t="shared" si="31"/>
        <v>0</v>
      </c>
      <c r="O65" s="110">
        <f t="shared" si="31"/>
        <v>0</v>
      </c>
      <c r="P65" s="110">
        <f t="shared" si="31"/>
        <v>0</v>
      </c>
      <c r="Q65" s="110">
        <f t="shared" si="31"/>
        <v>0</v>
      </c>
      <c r="R65" s="110">
        <f t="shared" si="31"/>
        <v>0</v>
      </c>
      <c r="S65" s="110">
        <f t="shared" si="31"/>
        <v>0</v>
      </c>
      <c r="T65" s="110">
        <f t="shared" si="31"/>
        <v>0</v>
      </c>
      <c r="U65" s="110">
        <f t="shared" si="31"/>
        <v>0</v>
      </c>
      <c r="V65" s="110">
        <f t="shared" si="31"/>
        <v>0</v>
      </c>
      <c r="W65" s="110">
        <f t="shared" si="31"/>
        <v>0</v>
      </c>
      <c r="X65" s="110">
        <f t="shared" si="31"/>
        <v>0</v>
      </c>
      <c r="Y65" s="110">
        <f t="shared" si="31"/>
        <v>0</v>
      </c>
      <c r="Z65" s="110">
        <f t="shared" si="31"/>
        <v>0</v>
      </c>
      <c r="AA65" s="110">
        <f t="shared" si="31"/>
        <v>0</v>
      </c>
      <c r="AB65" s="110">
        <f t="shared" si="31"/>
        <v>0</v>
      </c>
      <c r="AC65" s="110">
        <f t="shared" si="31"/>
        <v>0</v>
      </c>
      <c r="AD65" s="110">
        <f t="shared" si="31"/>
        <v>0</v>
      </c>
      <c r="AE65" s="110">
        <f t="shared" si="31"/>
        <v>0</v>
      </c>
      <c r="AF65" s="110">
        <f t="shared" si="31"/>
        <v>0</v>
      </c>
      <c r="AG65" s="110">
        <f t="shared" si="31"/>
        <v>0</v>
      </c>
      <c r="AH65" s="245"/>
      <c r="AI65" s="133"/>
      <c r="AJ65" s="211"/>
      <c r="AL65" s="108"/>
      <c r="AM65" s="2"/>
      <c r="AN65" s="2"/>
      <c r="AO65" s="2"/>
      <c r="AV65" s="41"/>
    </row>
    <row r="66" spans="1:63" outlineLevel="1" x14ac:dyDescent="0.2">
      <c r="A66" t="s">
        <v>1679</v>
      </c>
      <c r="B66" s="176" t="s">
        <v>462</v>
      </c>
      <c r="C66" s="110">
        <f>SUM(C64:C65)</f>
        <v>0</v>
      </c>
      <c r="D66" s="110">
        <f t="shared" ref="D66:AG66" si="32">SUM(D64:D65)</f>
        <v>0</v>
      </c>
      <c r="E66" s="110">
        <f t="shared" si="32"/>
        <v>0</v>
      </c>
      <c r="F66" s="110">
        <f t="shared" si="32"/>
        <v>0</v>
      </c>
      <c r="G66" s="110">
        <f t="shared" si="32"/>
        <v>0</v>
      </c>
      <c r="H66" s="110">
        <f t="shared" si="32"/>
        <v>0</v>
      </c>
      <c r="I66" s="110">
        <f t="shared" si="32"/>
        <v>0</v>
      </c>
      <c r="J66" s="110">
        <f t="shared" si="32"/>
        <v>0</v>
      </c>
      <c r="K66" s="110">
        <f t="shared" si="32"/>
        <v>0</v>
      </c>
      <c r="L66" s="110">
        <f t="shared" si="32"/>
        <v>0</v>
      </c>
      <c r="M66" s="110">
        <f t="shared" si="32"/>
        <v>0</v>
      </c>
      <c r="N66" s="110">
        <f t="shared" si="32"/>
        <v>0</v>
      </c>
      <c r="O66" s="110">
        <f t="shared" si="32"/>
        <v>0</v>
      </c>
      <c r="P66" s="110">
        <f t="shared" si="32"/>
        <v>0</v>
      </c>
      <c r="Q66" s="110">
        <f t="shared" si="32"/>
        <v>0</v>
      </c>
      <c r="R66" s="110">
        <f t="shared" si="32"/>
        <v>0</v>
      </c>
      <c r="S66" s="110">
        <f t="shared" si="32"/>
        <v>0</v>
      </c>
      <c r="T66" s="110">
        <f t="shared" si="32"/>
        <v>0</v>
      </c>
      <c r="U66" s="110">
        <f t="shared" si="32"/>
        <v>0</v>
      </c>
      <c r="V66" s="110">
        <f t="shared" si="32"/>
        <v>0</v>
      </c>
      <c r="W66" s="110">
        <f t="shared" si="32"/>
        <v>0</v>
      </c>
      <c r="X66" s="110">
        <f t="shared" si="32"/>
        <v>0</v>
      </c>
      <c r="Y66" s="110">
        <f t="shared" si="32"/>
        <v>0</v>
      </c>
      <c r="Z66" s="110">
        <f t="shared" si="32"/>
        <v>0</v>
      </c>
      <c r="AA66" s="110">
        <f t="shared" si="32"/>
        <v>0</v>
      </c>
      <c r="AB66" s="110">
        <f t="shared" si="32"/>
        <v>0</v>
      </c>
      <c r="AC66" s="110">
        <f t="shared" si="32"/>
        <v>0</v>
      </c>
      <c r="AD66" s="110">
        <f t="shared" si="32"/>
        <v>0</v>
      </c>
      <c r="AE66" s="110">
        <f t="shared" si="32"/>
        <v>0</v>
      </c>
      <c r="AF66" s="110">
        <f t="shared" si="32"/>
        <v>0</v>
      </c>
      <c r="AG66" s="110">
        <f t="shared" si="32"/>
        <v>0</v>
      </c>
      <c r="AI66" s="133"/>
      <c r="AJ66" s="211"/>
      <c r="AL66" s="108"/>
      <c r="AM66" s="2"/>
      <c r="AN66" s="2"/>
      <c r="AO66" s="2"/>
    </row>
    <row r="67" spans="1:63" outlineLevel="1" x14ac:dyDescent="0.2">
      <c r="A67" t="s">
        <v>1680</v>
      </c>
      <c r="B67" s="54" t="s">
        <v>462</v>
      </c>
      <c r="C67" s="110">
        <f>C$63*C58</f>
        <v>0</v>
      </c>
      <c r="D67" s="110">
        <f t="shared" ref="D67:AG70" si="33">D$63*D58</f>
        <v>0</v>
      </c>
      <c r="E67" s="110">
        <f t="shared" si="33"/>
        <v>0</v>
      </c>
      <c r="F67" s="110">
        <f t="shared" si="33"/>
        <v>0</v>
      </c>
      <c r="G67" s="110">
        <f t="shared" si="33"/>
        <v>0</v>
      </c>
      <c r="H67" s="110">
        <f t="shared" si="33"/>
        <v>0</v>
      </c>
      <c r="I67" s="110">
        <f t="shared" si="33"/>
        <v>0</v>
      </c>
      <c r="J67" s="110">
        <f t="shared" si="33"/>
        <v>0</v>
      </c>
      <c r="K67" s="110">
        <f t="shared" si="33"/>
        <v>0</v>
      </c>
      <c r="L67" s="110">
        <f t="shared" si="33"/>
        <v>0</v>
      </c>
      <c r="M67" s="110">
        <f t="shared" si="33"/>
        <v>0</v>
      </c>
      <c r="N67" s="110">
        <f t="shared" si="33"/>
        <v>0</v>
      </c>
      <c r="O67" s="110">
        <f t="shared" si="33"/>
        <v>0</v>
      </c>
      <c r="P67" s="110">
        <f t="shared" si="33"/>
        <v>0</v>
      </c>
      <c r="Q67" s="110">
        <f t="shared" si="33"/>
        <v>0</v>
      </c>
      <c r="R67" s="110">
        <f t="shared" si="33"/>
        <v>0</v>
      </c>
      <c r="S67" s="110">
        <f t="shared" si="33"/>
        <v>0</v>
      </c>
      <c r="T67" s="110">
        <f t="shared" si="33"/>
        <v>0</v>
      </c>
      <c r="U67" s="110">
        <f t="shared" si="33"/>
        <v>0</v>
      </c>
      <c r="V67" s="110">
        <f t="shared" si="33"/>
        <v>0</v>
      </c>
      <c r="W67" s="110">
        <f t="shared" si="33"/>
        <v>0</v>
      </c>
      <c r="X67" s="110">
        <f t="shared" si="33"/>
        <v>0</v>
      </c>
      <c r="Y67" s="110">
        <f t="shared" si="33"/>
        <v>0</v>
      </c>
      <c r="Z67" s="110">
        <f t="shared" si="33"/>
        <v>0</v>
      </c>
      <c r="AA67" s="110">
        <f t="shared" si="33"/>
        <v>0</v>
      </c>
      <c r="AB67" s="110">
        <f t="shared" si="33"/>
        <v>0</v>
      </c>
      <c r="AC67" s="110">
        <f t="shared" si="33"/>
        <v>0</v>
      </c>
      <c r="AD67" s="110">
        <f t="shared" si="33"/>
        <v>0</v>
      </c>
      <c r="AE67" s="110">
        <f t="shared" si="33"/>
        <v>0</v>
      </c>
      <c r="AF67" s="110">
        <f t="shared" si="33"/>
        <v>0</v>
      </c>
      <c r="AG67" s="110">
        <f t="shared" si="33"/>
        <v>0</v>
      </c>
      <c r="AI67" s="133"/>
      <c r="AJ67" s="211"/>
      <c r="AL67" s="108"/>
      <c r="AM67" s="2"/>
      <c r="AN67" s="2"/>
      <c r="AO67" s="2"/>
    </row>
    <row r="68" spans="1:63" outlineLevel="1" x14ac:dyDescent="0.2">
      <c r="A68" t="s">
        <v>1681</v>
      </c>
      <c r="B68" s="54" t="s">
        <v>462</v>
      </c>
      <c r="C68" s="110">
        <f t="shared" ref="C68:R70" si="34">C$63*C59</f>
        <v>0</v>
      </c>
      <c r="D68" s="110">
        <f t="shared" si="34"/>
        <v>0</v>
      </c>
      <c r="E68" s="110">
        <f t="shared" si="34"/>
        <v>0</v>
      </c>
      <c r="F68" s="110">
        <f t="shared" si="34"/>
        <v>0</v>
      </c>
      <c r="G68" s="110">
        <f t="shared" si="34"/>
        <v>0</v>
      </c>
      <c r="H68" s="110">
        <f t="shared" si="34"/>
        <v>0</v>
      </c>
      <c r="I68" s="110">
        <f t="shared" si="34"/>
        <v>0</v>
      </c>
      <c r="J68" s="110">
        <f t="shared" si="34"/>
        <v>0</v>
      </c>
      <c r="K68" s="110">
        <f t="shared" si="34"/>
        <v>0</v>
      </c>
      <c r="L68" s="110">
        <f t="shared" si="34"/>
        <v>0</v>
      </c>
      <c r="M68" s="110">
        <f t="shared" si="34"/>
        <v>0</v>
      </c>
      <c r="N68" s="110">
        <f t="shared" si="34"/>
        <v>0</v>
      </c>
      <c r="O68" s="110">
        <f t="shared" si="34"/>
        <v>0</v>
      </c>
      <c r="P68" s="110">
        <f t="shared" si="34"/>
        <v>0</v>
      </c>
      <c r="Q68" s="110">
        <f t="shared" si="34"/>
        <v>0</v>
      </c>
      <c r="R68" s="110">
        <f t="shared" si="34"/>
        <v>0</v>
      </c>
      <c r="S68" s="110">
        <f t="shared" si="33"/>
        <v>0</v>
      </c>
      <c r="T68" s="110">
        <f t="shared" si="33"/>
        <v>0</v>
      </c>
      <c r="U68" s="110">
        <f t="shared" si="33"/>
        <v>0</v>
      </c>
      <c r="V68" s="110">
        <f t="shared" si="33"/>
        <v>0</v>
      </c>
      <c r="W68" s="110">
        <f t="shared" si="33"/>
        <v>0</v>
      </c>
      <c r="X68" s="110">
        <f t="shared" si="33"/>
        <v>0</v>
      </c>
      <c r="Y68" s="110">
        <f t="shared" si="33"/>
        <v>0</v>
      </c>
      <c r="Z68" s="110">
        <f t="shared" si="33"/>
        <v>0</v>
      </c>
      <c r="AA68" s="110">
        <f t="shared" si="33"/>
        <v>0</v>
      </c>
      <c r="AB68" s="110">
        <f t="shared" si="33"/>
        <v>0</v>
      </c>
      <c r="AC68" s="110">
        <f t="shared" si="33"/>
        <v>0</v>
      </c>
      <c r="AD68" s="110">
        <f t="shared" si="33"/>
        <v>0</v>
      </c>
      <c r="AE68" s="110">
        <f t="shared" si="33"/>
        <v>0</v>
      </c>
      <c r="AF68" s="110">
        <f t="shared" si="33"/>
        <v>0</v>
      </c>
      <c r="AG68" s="110">
        <f t="shared" si="33"/>
        <v>0</v>
      </c>
      <c r="AI68" s="133"/>
      <c r="AJ68" s="211"/>
      <c r="AL68" s="108"/>
      <c r="AM68" s="2"/>
      <c r="AN68" s="2"/>
      <c r="AO68" s="2"/>
      <c r="BC68" s="1"/>
      <c r="BD68" s="2"/>
      <c r="BE68" s="2"/>
      <c r="BF68" s="2"/>
      <c r="BG68" s="2"/>
      <c r="BH68" s="2"/>
      <c r="BI68" s="2"/>
      <c r="BJ68" s="2"/>
      <c r="BK68" s="2"/>
    </row>
    <row r="69" spans="1:63" outlineLevel="1" x14ac:dyDescent="0.2">
      <c r="A69" t="s">
        <v>1682</v>
      </c>
      <c r="C69" s="110">
        <f t="shared" si="34"/>
        <v>0</v>
      </c>
      <c r="D69" s="110">
        <f t="shared" si="33"/>
        <v>0</v>
      </c>
      <c r="E69" s="110">
        <f t="shared" si="33"/>
        <v>0</v>
      </c>
      <c r="F69" s="110">
        <f t="shared" si="33"/>
        <v>0</v>
      </c>
      <c r="G69" s="110">
        <f t="shared" si="33"/>
        <v>0</v>
      </c>
      <c r="H69" s="110">
        <f t="shared" si="33"/>
        <v>0</v>
      </c>
      <c r="I69" s="110">
        <f t="shared" si="33"/>
        <v>0</v>
      </c>
      <c r="J69" s="110">
        <f t="shared" si="33"/>
        <v>0</v>
      </c>
      <c r="K69" s="110">
        <f t="shared" si="33"/>
        <v>0</v>
      </c>
      <c r="L69" s="110">
        <f t="shared" si="33"/>
        <v>0</v>
      </c>
      <c r="M69" s="110">
        <f t="shared" si="33"/>
        <v>0</v>
      </c>
      <c r="N69" s="110">
        <f t="shared" si="33"/>
        <v>0</v>
      </c>
      <c r="O69" s="110">
        <f t="shared" si="33"/>
        <v>0</v>
      </c>
      <c r="P69" s="110">
        <f t="shared" si="33"/>
        <v>0</v>
      </c>
      <c r="Q69" s="110">
        <f t="shared" si="33"/>
        <v>0</v>
      </c>
      <c r="R69" s="110">
        <f t="shared" si="33"/>
        <v>0</v>
      </c>
      <c r="S69" s="110">
        <f t="shared" si="33"/>
        <v>0</v>
      </c>
      <c r="T69" s="110">
        <f t="shared" si="33"/>
        <v>0</v>
      </c>
      <c r="U69" s="110">
        <f t="shared" si="33"/>
        <v>0</v>
      </c>
      <c r="V69" s="110">
        <f t="shared" si="33"/>
        <v>0</v>
      </c>
      <c r="W69" s="110">
        <f t="shared" si="33"/>
        <v>0</v>
      </c>
      <c r="X69" s="110">
        <f t="shared" si="33"/>
        <v>0</v>
      </c>
      <c r="Y69" s="110">
        <f t="shared" si="33"/>
        <v>0</v>
      </c>
      <c r="Z69" s="110">
        <f t="shared" si="33"/>
        <v>0</v>
      </c>
      <c r="AA69" s="110">
        <f t="shared" si="33"/>
        <v>0</v>
      </c>
      <c r="AB69" s="110">
        <f t="shared" si="33"/>
        <v>0</v>
      </c>
      <c r="AC69" s="110">
        <f t="shared" si="33"/>
        <v>0</v>
      </c>
      <c r="AD69" s="110">
        <f t="shared" si="33"/>
        <v>0</v>
      </c>
      <c r="AE69" s="110">
        <f t="shared" si="33"/>
        <v>0</v>
      </c>
      <c r="AF69" s="110">
        <f t="shared" si="33"/>
        <v>0</v>
      </c>
      <c r="AG69" s="110">
        <f t="shared" si="33"/>
        <v>0</v>
      </c>
      <c r="AI69" s="133"/>
      <c r="AJ69" s="211"/>
      <c r="AL69" s="108"/>
      <c r="AM69" s="2"/>
      <c r="AN69" s="2"/>
      <c r="AO69" s="2"/>
      <c r="BC69" s="1"/>
      <c r="BD69" s="2"/>
      <c r="BE69" s="2"/>
      <c r="BF69" s="2"/>
      <c r="BG69" s="2"/>
      <c r="BH69" s="2"/>
      <c r="BI69" s="2"/>
      <c r="BJ69" s="2"/>
      <c r="BK69" s="2"/>
    </row>
    <row r="70" spans="1:63" outlineLevel="1" x14ac:dyDescent="0.2">
      <c r="A70" t="s">
        <v>1683</v>
      </c>
      <c r="B70" s="54" t="s">
        <v>462</v>
      </c>
      <c r="C70" s="110">
        <f t="shared" si="34"/>
        <v>0</v>
      </c>
      <c r="D70" s="110">
        <f t="shared" si="33"/>
        <v>0</v>
      </c>
      <c r="E70" s="110">
        <f t="shared" si="33"/>
        <v>0</v>
      </c>
      <c r="F70" s="110">
        <f t="shared" si="33"/>
        <v>0</v>
      </c>
      <c r="G70" s="110">
        <f t="shared" si="33"/>
        <v>0</v>
      </c>
      <c r="H70" s="110">
        <f t="shared" si="33"/>
        <v>0</v>
      </c>
      <c r="I70" s="110">
        <f t="shared" si="33"/>
        <v>0</v>
      </c>
      <c r="J70" s="110">
        <f t="shared" si="33"/>
        <v>0</v>
      </c>
      <c r="K70" s="110">
        <f t="shared" si="33"/>
        <v>0</v>
      </c>
      <c r="L70" s="110">
        <f t="shared" si="33"/>
        <v>0</v>
      </c>
      <c r="M70" s="110">
        <f t="shared" si="33"/>
        <v>0</v>
      </c>
      <c r="N70" s="110">
        <f t="shared" si="33"/>
        <v>0</v>
      </c>
      <c r="O70" s="110">
        <f t="shared" si="33"/>
        <v>0</v>
      </c>
      <c r="P70" s="110">
        <f t="shared" si="33"/>
        <v>0</v>
      </c>
      <c r="Q70" s="110">
        <f t="shared" si="33"/>
        <v>0</v>
      </c>
      <c r="R70" s="110">
        <f t="shared" si="33"/>
        <v>0</v>
      </c>
      <c r="S70" s="110">
        <f t="shared" si="33"/>
        <v>0</v>
      </c>
      <c r="T70" s="110">
        <f t="shared" si="33"/>
        <v>0</v>
      </c>
      <c r="U70" s="110">
        <f t="shared" si="33"/>
        <v>0</v>
      </c>
      <c r="V70" s="110">
        <f t="shared" si="33"/>
        <v>0</v>
      </c>
      <c r="W70" s="110">
        <f t="shared" si="33"/>
        <v>0</v>
      </c>
      <c r="X70" s="110">
        <f t="shared" si="33"/>
        <v>0</v>
      </c>
      <c r="Y70" s="110">
        <f t="shared" si="33"/>
        <v>0</v>
      </c>
      <c r="Z70" s="110">
        <f t="shared" si="33"/>
        <v>0</v>
      </c>
      <c r="AA70" s="110">
        <f t="shared" si="33"/>
        <v>0</v>
      </c>
      <c r="AB70" s="110">
        <f t="shared" si="33"/>
        <v>0</v>
      </c>
      <c r="AC70" s="110">
        <f t="shared" si="33"/>
        <v>0</v>
      </c>
      <c r="AD70" s="110">
        <f t="shared" si="33"/>
        <v>0</v>
      </c>
      <c r="AE70" s="110">
        <f t="shared" si="33"/>
        <v>0</v>
      </c>
      <c r="AF70" s="110">
        <f t="shared" si="33"/>
        <v>0</v>
      </c>
      <c r="AG70" s="110">
        <f t="shared" si="33"/>
        <v>0</v>
      </c>
      <c r="AH70" s="245"/>
      <c r="AI70" s="133"/>
      <c r="AJ70" s="211"/>
      <c r="AL70" s="108"/>
      <c r="AM70" s="2"/>
      <c r="AN70" s="2"/>
      <c r="AO70" s="2"/>
      <c r="BC70" s="1"/>
      <c r="BD70" s="2"/>
      <c r="BE70" s="2"/>
      <c r="BF70" s="2"/>
      <c r="BG70" s="2"/>
      <c r="BH70" s="2"/>
      <c r="BI70" s="2"/>
      <c r="BJ70" s="2"/>
      <c r="BK70" s="2"/>
    </row>
    <row r="71" spans="1:63" outlineLevel="1" x14ac:dyDescent="0.2">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x14ac:dyDescent="0.2">
      <c r="A72" s="1" t="s">
        <v>228</v>
      </c>
      <c r="B72" s="65"/>
      <c r="C72" s="300">
        <f>C42*C64</f>
        <v>0</v>
      </c>
      <c r="D72" s="300">
        <f t="shared" ref="D72:AG72" si="35">D42*D64</f>
        <v>0</v>
      </c>
      <c r="E72" s="300">
        <f t="shared" si="35"/>
        <v>0</v>
      </c>
      <c r="F72" s="300">
        <f t="shared" si="35"/>
        <v>0</v>
      </c>
      <c r="G72" s="300">
        <f t="shared" si="35"/>
        <v>0</v>
      </c>
      <c r="H72" s="300">
        <f t="shared" si="35"/>
        <v>0</v>
      </c>
      <c r="I72" s="300">
        <f t="shared" si="35"/>
        <v>0</v>
      </c>
      <c r="J72" s="300">
        <f t="shared" si="35"/>
        <v>0</v>
      </c>
      <c r="K72" s="300">
        <f t="shared" si="35"/>
        <v>0</v>
      </c>
      <c r="L72" s="300">
        <f t="shared" si="35"/>
        <v>0</v>
      </c>
      <c r="M72" s="300">
        <f t="shared" si="35"/>
        <v>0</v>
      </c>
      <c r="N72" s="300">
        <f t="shared" si="35"/>
        <v>0</v>
      </c>
      <c r="O72" s="300">
        <f t="shared" si="35"/>
        <v>0</v>
      </c>
      <c r="P72" s="300">
        <f t="shared" si="35"/>
        <v>0</v>
      </c>
      <c r="Q72" s="300">
        <f t="shared" si="35"/>
        <v>0</v>
      </c>
      <c r="R72" s="300">
        <f t="shared" si="35"/>
        <v>0</v>
      </c>
      <c r="S72" s="300">
        <f t="shared" si="35"/>
        <v>0</v>
      </c>
      <c r="T72" s="300">
        <f t="shared" si="35"/>
        <v>0</v>
      </c>
      <c r="U72" s="300">
        <f t="shared" si="35"/>
        <v>0</v>
      </c>
      <c r="V72" s="300">
        <f t="shared" si="35"/>
        <v>0</v>
      </c>
      <c r="W72" s="300">
        <f t="shared" si="35"/>
        <v>0</v>
      </c>
      <c r="X72" s="300">
        <f t="shared" si="35"/>
        <v>0</v>
      </c>
      <c r="Y72" s="300">
        <f t="shared" si="35"/>
        <v>0</v>
      </c>
      <c r="Z72" s="300">
        <f t="shared" si="35"/>
        <v>0</v>
      </c>
      <c r="AA72" s="300">
        <f t="shared" si="35"/>
        <v>0</v>
      </c>
      <c r="AB72" s="300">
        <f t="shared" si="35"/>
        <v>0</v>
      </c>
      <c r="AC72" s="300">
        <f t="shared" si="35"/>
        <v>0</v>
      </c>
      <c r="AD72" s="300">
        <f t="shared" si="35"/>
        <v>0</v>
      </c>
      <c r="AE72" s="300">
        <f t="shared" si="35"/>
        <v>0</v>
      </c>
      <c r="AF72" s="300">
        <f t="shared" si="35"/>
        <v>0</v>
      </c>
      <c r="AG72" s="300">
        <f t="shared" si="35"/>
        <v>0</v>
      </c>
      <c r="AH72" s="245"/>
      <c r="AI72" s="423"/>
      <c r="AJ72" s="424"/>
      <c r="AL72" s="221"/>
      <c r="AM72" s="124"/>
      <c r="AN72" s="124"/>
      <c r="AO72" s="124"/>
      <c r="BD72" s="124"/>
      <c r="BE72" s="124"/>
      <c r="BF72" s="124"/>
      <c r="BG72" s="124"/>
      <c r="BH72" s="124"/>
      <c r="BI72" s="124"/>
      <c r="BJ72" s="124"/>
      <c r="BK72" s="124"/>
    </row>
    <row r="73" spans="1:63" s="1" customFormat="1" outlineLevel="1" x14ac:dyDescent="0.2">
      <c r="A73" s="1" t="s">
        <v>1562</v>
      </c>
      <c r="B73" s="65"/>
      <c r="C73" s="300">
        <f t="shared" ref="C73:AG73" si="36">C72-$C72</f>
        <v>0</v>
      </c>
      <c r="D73" s="300">
        <f t="shared" si="36"/>
        <v>0</v>
      </c>
      <c r="E73" s="300">
        <f t="shared" si="36"/>
        <v>0</v>
      </c>
      <c r="F73" s="300">
        <f t="shared" si="36"/>
        <v>0</v>
      </c>
      <c r="G73" s="300">
        <f t="shared" si="36"/>
        <v>0</v>
      </c>
      <c r="H73" s="300">
        <f t="shared" si="36"/>
        <v>0</v>
      </c>
      <c r="I73" s="300">
        <f t="shared" si="36"/>
        <v>0</v>
      </c>
      <c r="J73" s="300">
        <f t="shared" si="36"/>
        <v>0</v>
      </c>
      <c r="K73" s="300">
        <f t="shared" si="36"/>
        <v>0</v>
      </c>
      <c r="L73" s="300">
        <f t="shared" si="36"/>
        <v>0</v>
      </c>
      <c r="M73" s="300">
        <f t="shared" si="36"/>
        <v>0</v>
      </c>
      <c r="N73" s="300">
        <f t="shared" si="36"/>
        <v>0</v>
      </c>
      <c r="O73" s="300">
        <f t="shared" si="36"/>
        <v>0</v>
      </c>
      <c r="P73" s="300">
        <f t="shared" si="36"/>
        <v>0</v>
      </c>
      <c r="Q73" s="300">
        <f t="shared" si="36"/>
        <v>0</v>
      </c>
      <c r="R73" s="300">
        <f t="shared" si="36"/>
        <v>0</v>
      </c>
      <c r="S73" s="300">
        <f t="shared" si="36"/>
        <v>0</v>
      </c>
      <c r="T73" s="300">
        <f t="shared" si="36"/>
        <v>0</v>
      </c>
      <c r="U73" s="300">
        <f t="shared" si="36"/>
        <v>0</v>
      </c>
      <c r="V73" s="300">
        <f t="shared" si="36"/>
        <v>0</v>
      </c>
      <c r="W73" s="300">
        <f t="shared" si="36"/>
        <v>0</v>
      </c>
      <c r="X73" s="300">
        <f t="shared" si="36"/>
        <v>0</v>
      </c>
      <c r="Y73" s="300">
        <f t="shared" si="36"/>
        <v>0</v>
      </c>
      <c r="Z73" s="300">
        <f t="shared" si="36"/>
        <v>0</v>
      </c>
      <c r="AA73" s="300">
        <f t="shared" si="36"/>
        <v>0</v>
      </c>
      <c r="AB73" s="300">
        <f t="shared" si="36"/>
        <v>0</v>
      </c>
      <c r="AC73" s="300">
        <f t="shared" si="36"/>
        <v>0</v>
      </c>
      <c r="AD73" s="300">
        <f t="shared" si="36"/>
        <v>0</v>
      </c>
      <c r="AE73" s="300">
        <f t="shared" si="36"/>
        <v>0</v>
      </c>
      <c r="AF73" s="300">
        <f t="shared" si="36"/>
        <v>0</v>
      </c>
      <c r="AG73" s="300">
        <f t="shared" si="36"/>
        <v>0</v>
      </c>
      <c r="AH73" s="245"/>
      <c r="AI73" s="423"/>
      <c r="AJ73" s="424"/>
      <c r="AL73" s="221"/>
      <c r="AM73" s="124"/>
      <c r="AN73" s="124"/>
      <c r="AO73" s="124"/>
      <c r="BD73" s="124"/>
      <c r="BE73" s="124"/>
      <c r="BF73" s="124"/>
      <c r="BG73" s="124"/>
      <c r="BH73" s="124"/>
      <c r="BI73" s="124"/>
      <c r="BJ73" s="124"/>
      <c r="BK73" s="124"/>
    </row>
    <row r="74" spans="1:63" s="1" customFormat="1" outlineLevel="1" x14ac:dyDescent="0.2">
      <c r="A74" s="1" t="s">
        <v>1563</v>
      </c>
      <c r="B74" s="65"/>
      <c r="C74" s="300">
        <f t="shared" ref="C74:AG74" si="37">C42*C67</f>
        <v>0</v>
      </c>
      <c r="D74" s="300">
        <f t="shared" si="37"/>
        <v>0</v>
      </c>
      <c r="E74" s="300">
        <f t="shared" si="37"/>
        <v>0</v>
      </c>
      <c r="F74" s="300">
        <f t="shared" si="37"/>
        <v>0</v>
      </c>
      <c r="G74" s="300">
        <f t="shared" si="37"/>
        <v>0</v>
      </c>
      <c r="H74" s="300">
        <f t="shared" si="37"/>
        <v>0</v>
      </c>
      <c r="I74" s="300">
        <f t="shared" si="37"/>
        <v>0</v>
      </c>
      <c r="J74" s="300">
        <f t="shared" si="37"/>
        <v>0</v>
      </c>
      <c r="K74" s="300">
        <f t="shared" si="37"/>
        <v>0</v>
      </c>
      <c r="L74" s="300">
        <f t="shared" si="37"/>
        <v>0</v>
      </c>
      <c r="M74" s="300">
        <f t="shared" si="37"/>
        <v>0</v>
      </c>
      <c r="N74" s="300">
        <f t="shared" si="37"/>
        <v>0</v>
      </c>
      <c r="O74" s="300">
        <f t="shared" si="37"/>
        <v>0</v>
      </c>
      <c r="P74" s="300">
        <f t="shared" si="37"/>
        <v>0</v>
      </c>
      <c r="Q74" s="300">
        <f t="shared" si="37"/>
        <v>0</v>
      </c>
      <c r="R74" s="300">
        <f t="shared" si="37"/>
        <v>0</v>
      </c>
      <c r="S74" s="300">
        <f t="shared" si="37"/>
        <v>0</v>
      </c>
      <c r="T74" s="300">
        <f t="shared" si="37"/>
        <v>0</v>
      </c>
      <c r="U74" s="300">
        <f t="shared" si="37"/>
        <v>0</v>
      </c>
      <c r="V74" s="300">
        <f t="shared" si="37"/>
        <v>0</v>
      </c>
      <c r="W74" s="300">
        <f t="shared" si="37"/>
        <v>0</v>
      </c>
      <c r="X74" s="300">
        <f t="shared" si="37"/>
        <v>0</v>
      </c>
      <c r="Y74" s="300">
        <f t="shared" si="37"/>
        <v>0</v>
      </c>
      <c r="Z74" s="300">
        <f t="shared" si="37"/>
        <v>0</v>
      </c>
      <c r="AA74" s="300">
        <f t="shared" si="37"/>
        <v>0</v>
      </c>
      <c r="AB74" s="300">
        <f t="shared" si="37"/>
        <v>0</v>
      </c>
      <c r="AC74" s="300">
        <f t="shared" si="37"/>
        <v>0</v>
      </c>
      <c r="AD74" s="300">
        <f t="shared" si="37"/>
        <v>0</v>
      </c>
      <c r="AE74" s="300">
        <f t="shared" si="37"/>
        <v>0</v>
      </c>
      <c r="AF74" s="300">
        <f t="shared" si="37"/>
        <v>0</v>
      </c>
      <c r="AG74" s="300">
        <f t="shared" si="37"/>
        <v>0</v>
      </c>
      <c r="AH74" s="245"/>
      <c r="AI74" s="423"/>
      <c r="AJ74" s="424"/>
      <c r="AL74" s="221"/>
      <c r="AM74" s="124"/>
      <c r="AN74" s="124"/>
      <c r="AO74" s="124"/>
      <c r="BD74" s="124"/>
      <c r="BE74" s="124"/>
      <c r="BF74" s="124"/>
      <c r="BG74" s="124"/>
      <c r="BH74" s="124"/>
      <c r="BI74" s="124"/>
      <c r="BJ74" s="124"/>
      <c r="BK74" s="124"/>
    </row>
    <row r="75" spans="1:63" s="1" customFormat="1" outlineLevel="1" x14ac:dyDescent="0.2">
      <c r="A75" s="1" t="s">
        <v>1564</v>
      </c>
      <c r="B75" s="65"/>
      <c r="C75" s="300">
        <f t="shared" ref="C75:AG75" si="38">C74-$C74</f>
        <v>0</v>
      </c>
      <c r="D75" s="300">
        <f t="shared" si="38"/>
        <v>0</v>
      </c>
      <c r="E75" s="300">
        <f t="shared" si="38"/>
        <v>0</v>
      </c>
      <c r="F75" s="300">
        <f t="shared" si="38"/>
        <v>0</v>
      </c>
      <c r="G75" s="300">
        <f t="shared" si="38"/>
        <v>0</v>
      </c>
      <c r="H75" s="300">
        <f t="shared" si="38"/>
        <v>0</v>
      </c>
      <c r="I75" s="300">
        <f t="shared" si="38"/>
        <v>0</v>
      </c>
      <c r="J75" s="300">
        <f t="shared" si="38"/>
        <v>0</v>
      </c>
      <c r="K75" s="300">
        <f t="shared" si="38"/>
        <v>0</v>
      </c>
      <c r="L75" s="300">
        <f t="shared" si="38"/>
        <v>0</v>
      </c>
      <c r="M75" s="300">
        <f t="shared" si="38"/>
        <v>0</v>
      </c>
      <c r="N75" s="300">
        <f t="shared" si="38"/>
        <v>0</v>
      </c>
      <c r="O75" s="300">
        <f t="shared" si="38"/>
        <v>0</v>
      </c>
      <c r="P75" s="300">
        <f t="shared" si="38"/>
        <v>0</v>
      </c>
      <c r="Q75" s="300">
        <f t="shared" si="38"/>
        <v>0</v>
      </c>
      <c r="R75" s="300">
        <f t="shared" si="38"/>
        <v>0</v>
      </c>
      <c r="S75" s="300">
        <f t="shared" si="38"/>
        <v>0</v>
      </c>
      <c r="T75" s="300">
        <f t="shared" si="38"/>
        <v>0</v>
      </c>
      <c r="U75" s="300">
        <f t="shared" si="38"/>
        <v>0</v>
      </c>
      <c r="V75" s="300">
        <f t="shared" si="38"/>
        <v>0</v>
      </c>
      <c r="W75" s="300">
        <f t="shared" si="38"/>
        <v>0</v>
      </c>
      <c r="X75" s="300">
        <f t="shared" si="38"/>
        <v>0</v>
      </c>
      <c r="Y75" s="300">
        <f t="shared" si="38"/>
        <v>0</v>
      </c>
      <c r="Z75" s="300">
        <f t="shared" si="38"/>
        <v>0</v>
      </c>
      <c r="AA75" s="300">
        <f t="shared" si="38"/>
        <v>0</v>
      </c>
      <c r="AB75" s="300">
        <f t="shared" si="38"/>
        <v>0</v>
      </c>
      <c r="AC75" s="300">
        <f t="shared" si="38"/>
        <v>0</v>
      </c>
      <c r="AD75" s="300">
        <f t="shared" si="38"/>
        <v>0</v>
      </c>
      <c r="AE75" s="300">
        <f t="shared" si="38"/>
        <v>0</v>
      </c>
      <c r="AF75" s="300">
        <f t="shared" si="38"/>
        <v>0</v>
      </c>
      <c r="AG75" s="300">
        <f t="shared" si="38"/>
        <v>0</v>
      </c>
      <c r="AH75" s="245"/>
      <c r="AI75" s="423"/>
      <c r="AJ75" s="424"/>
      <c r="AL75" s="221"/>
      <c r="AM75" s="124"/>
      <c r="AN75" s="124"/>
      <c r="AO75" s="124"/>
      <c r="BD75" s="124"/>
      <c r="BE75" s="124"/>
      <c r="BF75" s="124"/>
      <c r="BG75" s="124"/>
      <c r="BH75" s="124"/>
      <c r="BI75" s="124"/>
      <c r="BJ75" s="124"/>
      <c r="BK75" s="124"/>
    </row>
    <row r="76" spans="1:63" s="1" customFormat="1" outlineLevel="1" x14ac:dyDescent="0.2">
      <c r="A76" s="1" t="s">
        <v>1565</v>
      </c>
      <c r="B76" s="65"/>
      <c r="C76" s="300">
        <f t="shared" ref="C76:AG76" si="39">C50*C69</f>
        <v>0</v>
      </c>
      <c r="D76" s="300">
        <f t="shared" si="39"/>
        <v>0</v>
      </c>
      <c r="E76" s="300">
        <f t="shared" si="39"/>
        <v>0</v>
      </c>
      <c r="F76" s="300">
        <f t="shared" si="39"/>
        <v>0</v>
      </c>
      <c r="G76" s="300">
        <f t="shared" si="39"/>
        <v>0</v>
      </c>
      <c r="H76" s="300">
        <f t="shared" si="39"/>
        <v>0</v>
      </c>
      <c r="I76" s="300">
        <f t="shared" si="39"/>
        <v>0</v>
      </c>
      <c r="J76" s="300">
        <f t="shared" si="39"/>
        <v>0</v>
      </c>
      <c r="K76" s="300">
        <f t="shared" si="39"/>
        <v>0</v>
      </c>
      <c r="L76" s="300">
        <f t="shared" si="39"/>
        <v>0</v>
      </c>
      <c r="M76" s="300">
        <f t="shared" si="39"/>
        <v>0</v>
      </c>
      <c r="N76" s="300">
        <f t="shared" si="39"/>
        <v>0</v>
      </c>
      <c r="O76" s="300">
        <f t="shared" si="39"/>
        <v>0</v>
      </c>
      <c r="P76" s="300">
        <f t="shared" si="39"/>
        <v>0</v>
      </c>
      <c r="Q76" s="300">
        <f t="shared" si="39"/>
        <v>0</v>
      </c>
      <c r="R76" s="300">
        <f t="shared" si="39"/>
        <v>0</v>
      </c>
      <c r="S76" s="300">
        <f t="shared" si="39"/>
        <v>0</v>
      </c>
      <c r="T76" s="300">
        <f t="shared" si="39"/>
        <v>0</v>
      </c>
      <c r="U76" s="300">
        <f t="shared" si="39"/>
        <v>0</v>
      </c>
      <c r="V76" s="300">
        <f t="shared" si="39"/>
        <v>0</v>
      </c>
      <c r="W76" s="300">
        <f t="shared" si="39"/>
        <v>0</v>
      </c>
      <c r="X76" s="300">
        <f t="shared" si="39"/>
        <v>0</v>
      </c>
      <c r="Y76" s="300">
        <f t="shared" si="39"/>
        <v>0</v>
      </c>
      <c r="Z76" s="300">
        <f t="shared" si="39"/>
        <v>0</v>
      </c>
      <c r="AA76" s="300">
        <f t="shared" si="39"/>
        <v>0</v>
      </c>
      <c r="AB76" s="300">
        <f t="shared" si="39"/>
        <v>0</v>
      </c>
      <c r="AC76" s="300">
        <f t="shared" si="39"/>
        <v>0</v>
      </c>
      <c r="AD76" s="300">
        <f t="shared" si="39"/>
        <v>0</v>
      </c>
      <c r="AE76" s="300">
        <f t="shared" si="39"/>
        <v>0</v>
      </c>
      <c r="AF76" s="300">
        <f t="shared" si="39"/>
        <v>0</v>
      </c>
      <c r="AG76" s="300">
        <f t="shared" si="39"/>
        <v>0</v>
      </c>
      <c r="AH76" s="245"/>
      <c r="AI76" s="423"/>
      <c r="AJ76" s="424"/>
      <c r="AL76" s="221"/>
      <c r="AM76" s="124"/>
      <c r="AN76" s="124"/>
      <c r="AO76" s="124"/>
      <c r="BD76" s="124"/>
      <c r="BE76" s="124"/>
      <c r="BF76" s="124"/>
      <c r="BG76" s="124"/>
      <c r="BH76" s="124"/>
      <c r="BI76" s="124"/>
      <c r="BJ76" s="124"/>
      <c r="BK76" s="124"/>
    </row>
    <row r="77" spans="1:63" s="1" customFormat="1" outlineLevel="1" x14ac:dyDescent="0.2">
      <c r="A77" s="1" t="s">
        <v>1566</v>
      </c>
      <c r="B77" s="65"/>
      <c r="C77" s="300">
        <f t="shared" ref="C77:AG77" si="40">C76-$C76</f>
        <v>0</v>
      </c>
      <c r="D77" s="300">
        <f t="shared" si="40"/>
        <v>0</v>
      </c>
      <c r="E77" s="300">
        <f t="shared" si="40"/>
        <v>0</v>
      </c>
      <c r="F77" s="300">
        <f t="shared" si="40"/>
        <v>0</v>
      </c>
      <c r="G77" s="300">
        <f t="shared" si="40"/>
        <v>0</v>
      </c>
      <c r="H77" s="300">
        <f t="shared" si="40"/>
        <v>0</v>
      </c>
      <c r="I77" s="300">
        <f t="shared" si="40"/>
        <v>0</v>
      </c>
      <c r="J77" s="300">
        <f t="shared" si="40"/>
        <v>0</v>
      </c>
      <c r="K77" s="300">
        <f t="shared" si="40"/>
        <v>0</v>
      </c>
      <c r="L77" s="300">
        <f t="shared" si="40"/>
        <v>0</v>
      </c>
      <c r="M77" s="300">
        <f t="shared" si="40"/>
        <v>0</v>
      </c>
      <c r="N77" s="300">
        <f t="shared" si="40"/>
        <v>0</v>
      </c>
      <c r="O77" s="300">
        <f t="shared" si="40"/>
        <v>0</v>
      </c>
      <c r="P77" s="300">
        <f t="shared" si="40"/>
        <v>0</v>
      </c>
      <c r="Q77" s="300">
        <f t="shared" si="40"/>
        <v>0</v>
      </c>
      <c r="R77" s="300">
        <f t="shared" si="40"/>
        <v>0</v>
      </c>
      <c r="S77" s="300">
        <f t="shared" si="40"/>
        <v>0</v>
      </c>
      <c r="T77" s="300">
        <f t="shared" si="40"/>
        <v>0</v>
      </c>
      <c r="U77" s="300">
        <f t="shared" si="40"/>
        <v>0</v>
      </c>
      <c r="V77" s="300">
        <f t="shared" si="40"/>
        <v>0</v>
      </c>
      <c r="W77" s="300">
        <f t="shared" si="40"/>
        <v>0</v>
      </c>
      <c r="X77" s="300">
        <f t="shared" si="40"/>
        <v>0</v>
      </c>
      <c r="Y77" s="300">
        <f t="shared" si="40"/>
        <v>0</v>
      </c>
      <c r="Z77" s="300">
        <f t="shared" si="40"/>
        <v>0</v>
      </c>
      <c r="AA77" s="300">
        <f t="shared" si="40"/>
        <v>0</v>
      </c>
      <c r="AB77" s="300">
        <f t="shared" si="40"/>
        <v>0</v>
      </c>
      <c r="AC77" s="300">
        <f t="shared" si="40"/>
        <v>0</v>
      </c>
      <c r="AD77" s="300">
        <f t="shared" si="40"/>
        <v>0</v>
      </c>
      <c r="AE77" s="300">
        <f t="shared" si="40"/>
        <v>0</v>
      </c>
      <c r="AF77" s="300">
        <f t="shared" si="40"/>
        <v>0</v>
      </c>
      <c r="AG77" s="300">
        <f t="shared" si="40"/>
        <v>0</v>
      </c>
      <c r="AH77" s="245"/>
      <c r="AI77" s="423"/>
      <c r="AJ77" s="424"/>
      <c r="AL77" s="221"/>
      <c r="AM77" s="124"/>
      <c r="AN77" s="124"/>
      <c r="AO77" s="124"/>
      <c r="BD77" s="124"/>
      <c r="BE77" s="124"/>
      <c r="BF77" s="124"/>
      <c r="BG77" s="124"/>
      <c r="BH77" s="124"/>
      <c r="BI77" s="124"/>
      <c r="BJ77" s="124"/>
      <c r="BK77" s="124"/>
    </row>
    <row r="78" spans="1:63" s="1" customFormat="1" outlineLevel="1" x14ac:dyDescent="0.2">
      <c r="A78" s="1" t="s">
        <v>1567</v>
      </c>
      <c r="B78" s="65"/>
      <c r="C78" s="300">
        <f t="shared" ref="C78:AG78" si="41">C42*C68</f>
        <v>0</v>
      </c>
      <c r="D78" s="300">
        <f t="shared" si="41"/>
        <v>0</v>
      </c>
      <c r="E78" s="300">
        <f t="shared" si="41"/>
        <v>0</v>
      </c>
      <c r="F78" s="300">
        <f t="shared" si="41"/>
        <v>0</v>
      </c>
      <c r="G78" s="300">
        <f t="shared" si="41"/>
        <v>0</v>
      </c>
      <c r="H78" s="300">
        <f t="shared" si="41"/>
        <v>0</v>
      </c>
      <c r="I78" s="300">
        <f t="shared" si="41"/>
        <v>0</v>
      </c>
      <c r="J78" s="300">
        <f t="shared" si="41"/>
        <v>0</v>
      </c>
      <c r="K78" s="300">
        <f t="shared" si="41"/>
        <v>0</v>
      </c>
      <c r="L78" s="300">
        <f t="shared" si="41"/>
        <v>0</v>
      </c>
      <c r="M78" s="300">
        <f t="shared" si="41"/>
        <v>0</v>
      </c>
      <c r="N78" s="300">
        <f t="shared" si="41"/>
        <v>0</v>
      </c>
      <c r="O78" s="300">
        <f t="shared" si="41"/>
        <v>0</v>
      </c>
      <c r="P78" s="300">
        <f t="shared" si="41"/>
        <v>0</v>
      </c>
      <c r="Q78" s="300">
        <f t="shared" si="41"/>
        <v>0</v>
      </c>
      <c r="R78" s="300">
        <f t="shared" si="41"/>
        <v>0</v>
      </c>
      <c r="S78" s="300">
        <f t="shared" si="41"/>
        <v>0</v>
      </c>
      <c r="T78" s="300">
        <f t="shared" si="41"/>
        <v>0</v>
      </c>
      <c r="U78" s="300">
        <f t="shared" si="41"/>
        <v>0</v>
      </c>
      <c r="V78" s="300">
        <f t="shared" si="41"/>
        <v>0</v>
      </c>
      <c r="W78" s="300">
        <f t="shared" si="41"/>
        <v>0</v>
      </c>
      <c r="X78" s="300">
        <f t="shared" si="41"/>
        <v>0</v>
      </c>
      <c r="Y78" s="300">
        <f t="shared" si="41"/>
        <v>0</v>
      </c>
      <c r="Z78" s="300">
        <f t="shared" si="41"/>
        <v>0</v>
      </c>
      <c r="AA78" s="300">
        <f t="shared" si="41"/>
        <v>0</v>
      </c>
      <c r="AB78" s="300">
        <f t="shared" si="41"/>
        <v>0</v>
      </c>
      <c r="AC78" s="300">
        <f t="shared" si="41"/>
        <v>0</v>
      </c>
      <c r="AD78" s="300">
        <f t="shared" si="41"/>
        <v>0</v>
      </c>
      <c r="AE78" s="300">
        <f t="shared" si="41"/>
        <v>0</v>
      </c>
      <c r="AF78" s="300">
        <f t="shared" si="41"/>
        <v>0</v>
      </c>
      <c r="AG78" s="300">
        <f t="shared" si="41"/>
        <v>0</v>
      </c>
      <c r="AH78" s="245"/>
      <c r="AI78" s="423"/>
      <c r="AJ78" s="424"/>
      <c r="AL78" s="221"/>
      <c r="AM78" s="124"/>
      <c r="AN78" s="124"/>
      <c r="AO78" s="124"/>
      <c r="BD78" s="124"/>
      <c r="BE78" s="124"/>
      <c r="BF78" s="124"/>
      <c r="BG78" s="124"/>
      <c r="BH78" s="124"/>
      <c r="BI78" s="124"/>
      <c r="BJ78" s="124"/>
      <c r="BK78" s="124"/>
    </row>
    <row r="79" spans="1:63" s="1" customFormat="1" outlineLevel="1" x14ac:dyDescent="0.2">
      <c r="A79" s="1" t="s">
        <v>1568</v>
      </c>
      <c r="B79" s="65"/>
      <c r="C79" s="300">
        <f t="shared" ref="C79:AG79" si="42">C78-$C78</f>
        <v>0</v>
      </c>
      <c r="D79" s="300">
        <f t="shared" si="42"/>
        <v>0</v>
      </c>
      <c r="E79" s="300">
        <f t="shared" si="42"/>
        <v>0</v>
      </c>
      <c r="F79" s="300">
        <f t="shared" si="42"/>
        <v>0</v>
      </c>
      <c r="G79" s="300">
        <f t="shared" si="42"/>
        <v>0</v>
      </c>
      <c r="H79" s="300">
        <f t="shared" si="42"/>
        <v>0</v>
      </c>
      <c r="I79" s="300">
        <f t="shared" si="42"/>
        <v>0</v>
      </c>
      <c r="J79" s="300">
        <f t="shared" si="42"/>
        <v>0</v>
      </c>
      <c r="K79" s="300">
        <f t="shared" si="42"/>
        <v>0</v>
      </c>
      <c r="L79" s="300">
        <f t="shared" si="42"/>
        <v>0</v>
      </c>
      <c r="M79" s="300">
        <f t="shared" si="42"/>
        <v>0</v>
      </c>
      <c r="N79" s="300">
        <f t="shared" si="42"/>
        <v>0</v>
      </c>
      <c r="O79" s="300">
        <f t="shared" si="42"/>
        <v>0</v>
      </c>
      <c r="P79" s="300">
        <f t="shared" si="42"/>
        <v>0</v>
      </c>
      <c r="Q79" s="300">
        <f t="shared" si="42"/>
        <v>0</v>
      </c>
      <c r="R79" s="300">
        <f t="shared" si="42"/>
        <v>0</v>
      </c>
      <c r="S79" s="300">
        <f t="shared" si="42"/>
        <v>0</v>
      </c>
      <c r="T79" s="300">
        <f t="shared" si="42"/>
        <v>0</v>
      </c>
      <c r="U79" s="300">
        <f t="shared" si="42"/>
        <v>0</v>
      </c>
      <c r="V79" s="300">
        <f t="shared" si="42"/>
        <v>0</v>
      </c>
      <c r="W79" s="300">
        <f t="shared" si="42"/>
        <v>0</v>
      </c>
      <c r="X79" s="300">
        <f t="shared" si="42"/>
        <v>0</v>
      </c>
      <c r="Y79" s="300">
        <f t="shared" si="42"/>
        <v>0</v>
      </c>
      <c r="Z79" s="300">
        <f t="shared" si="42"/>
        <v>0</v>
      </c>
      <c r="AA79" s="300">
        <f t="shared" si="42"/>
        <v>0</v>
      </c>
      <c r="AB79" s="300">
        <f t="shared" si="42"/>
        <v>0</v>
      </c>
      <c r="AC79" s="300">
        <f t="shared" si="42"/>
        <v>0</v>
      </c>
      <c r="AD79" s="300">
        <f t="shared" si="42"/>
        <v>0</v>
      </c>
      <c r="AE79" s="300">
        <f t="shared" si="42"/>
        <v>0</v>
      </c>
      <c r="AF79" s="300">
        <f t="shared" si="42"/>
        <v>0</v>
      </c>
      <c r="AG79" s="300">
        <f t="shared" si="42"/>
        <v>0</v>
      </c>
      <c r="AH79" s="245"/>
      <c r="AI79" s="423"/>
      <c r="AJ79" s="424"/>
      <c r="AL79" s="221"/>
      <c r="AM79" s="124"/>
      <c r="AN79" s="124"/>
      <c r="AO79" s="124"/>
      <c r="BD79" s="124"/>
      <c r="BE79" s="124"/>
      <c r="BF79" s="124"/>
      <c r="BG79" s="124"/>
      <c r="BH79" s="124"/>
      <c r="BI79" s="124"/>
      <c r="BJ79" s="124"/>
      <c r="BK79" s="124"/>
    </row>
    <row r="80" spans="1:63" s="1" customFormat="1" outlineLevel="1" x14ac:dyDescent="0.2">
      <c r="A80" s="1" t="s">
        <v>1569</v>
      </c>
      <c r="B80" s="65"/>
      <c r="C80" s="300">
        <f t="shared" ref="C80:AG80" si="43">C42*C70</f>
        <v>0</v>
      </c>
      <c r="D80" s="300">
        <f t="shared" si="43"/>
        <v>0</v>
      </c>
      <c r="E80" s="300">
        <f t="shared" si="43"/>
        <v>0</v>
      </c>
      <c r="F80" s="300">
        <f t="shared" si="43"/>
        <v>0</v>
      </c>
      <c r="G80" s="300">
        <f t="shared" si="43"/>
        <v>0</v>
      </c>
      <c r="H80" s="300">
        <f t="shared" si="43"/>
        <v>0</v>
      </c>
      <c r="I80" s="300">
        <f t="shared" si="43"/>
        <v>0</v>
      </c>
      <c r="J80" s="300">
        <f t="shared" si="43"/>
        <v>0</v>
      </c>
      <c r="K80" s="300">
        <f t="shared" si="43"/>
        <v>0</v>
      </c>
      <c r="L80" s="300">
        <f t="shared" si="43"/>
        <v>0</v>
      </c>
      <c r="M80" s="300">
        <f t="shared" si="43"/>
        <v>0</v>
      </c>
      <c r="N80" s="300">
        <f t="shared" si="43"/>
        <v>0</v>
      </c>
      <c r="O80" s="300">
        <f t="shared" si="43"/>
        <v>0</v>
      </c>
      <c r="P80" s="300">
        <f t="shared" si="43"/>
        <v>0</v>
      </c>
      <c r="Q80" s="300">
        <f t="shared" si="43"/>
        <v>0</v>
      </c>
      <c r="R80" s="300">
        <f t="shared" si="43"/>
        <v>0</v>
      </c>
      <c r="S80" s="300">
        <f t="shared" si="43"/>
        <v>0</v>
      </c>
      <c r="T80" s="300">
        <f t="shared" si="43"/>
        <v>0</v>
      </c>
      <c r="U80" s="300">
        <f t="shared" si="43"/>
        <v>0</v>
      </c>
      <c r="V80" s="300">
        <f t="shared" si="43"/>
        <v>0</v>
      </c>
      <c r="W80" s="300">
        <f t="shared" si="43"/>
        <v>0</v>
      </c>
      <c r="X80" s="300">
        <f t="shared" si="43"/>
        <v>0</v>
      </c>
      <c r="Y80" s="300">
        <f t="shared" si="43"/>
        <v>0</v>
      </c>
      <c r="Z80" s="300">
        <f t="shared" si="43"/>
        <v>0</v>
      </c>
      <c r="AA80" s="300">
        <f t="shared" si="43"/>
        <v>0</v>
      </c>
      <c r="AB80" s="300">
        <f t="shared" si="43"/>
        <v>0</v>
      </c>
      <c r="AC80" s="300">
        <f t="shared" si="43"/>
        <v>0</v>
      </c>
      <c r="AD80" s="300">
        <f t="shared" si="43"/>
        <v>0</v>
      </c>
      <c r="AE80" s="300">
        <f t="shared" si="43"/>
        <v>0</v>
      </c>
      <c r="AF80" s="300">
        <f t="shared" si="43"/>
        <v>0</v>
      </c>
      <c r="AG80" s="300">
        <f t="shared" si="43"/>
        <v>0</v>
      </c>
      <c r="AH80" s="245"/>
      <c r="AI80" s="423"/>
      <c r="AJ80" s="424"/>
      <c r="AL80" s="221"/>
      <c r="AM80" s="124"/>
      <c r="AN80" s="124"/>
      <c r="AO80" s="124"/>
      <c r="BD80" s="124"/>
      <c r="BE80" s="124"/>
      <c r="BF80" s="124"/>
      <c r="BG80" s="124"/>
      <c r="BH80" s="124"/>
      <c r="BI80" s="124"/>
      <c r="BJ80" s="124"/>
      <c r="BK80" s="124"/>
    </row>
    <row r="81" spans="1:63" s="1" customFormat="1" outlineLevel="1" x14ac:dyDescent="0.2">
      <c r="A81" s="1" t="s">
        <v>1570</v>
      </c>
      <c r="B81" s="65"/>
      <c r="C81" s="300">
        <f t="shared" ref="C81:AG81" si="44">C80-$C80</f>
        <v>0</v>
      </c>
      <c r="D81" s="300">
        <f t="shared" si="44"/>
        <v>0</v>
      </c>
      <c r="E81" s="300">
        <f t="shared" si="44"/>
        <v>0</v>
      </c>
      <c r="F81" s="300">
        <f t="shared" si="44"/>
        <v>0</v>
      </c>
      <c r="G81" s="300">
        <f t="shared" si="44"/>
        <v>0</v>
      </c>
      <c r="H81" s="300">
        <f t="shared" si="44"/>
        <v>0</v>
      </c>
      <c r="I81" s="300">
        <f t="shared" si="44"/>
        <v>0</v>
      </c>
      <c r="J81" s="300">
        <f t="shared" si="44"/>
        <v>0</v>
      </c>
      <c r="K81" s="300">
        <f t="shared" si="44"/>
        <v>0</v>
      </c>
      <c r="L81" s="300">
        <f t="shared" si="44"/>
        <v>0</v>
      </c>
      <c r="M81" s="300">
        <f t="shared" si="44"/>
        <v>0</v>
      </c>
      <c r="N81" s="300">
        <f t="shared" si="44"/>
        <v>0</v>
      </c>
      <c r="O81" s="300">
        <f t="shared" si="44"/>
        <v>0</v>
      </c>
      <c r="P81" s="300">
        <f t="shared" si="44"/>
        <v>0</v>
      </c>
      <c r="Q81" s="300">
        <f t="shared" si="44"/>
        <v>0</v>
      </c>
      <c r="R81" s="300">
        <f t="shared" si="44"/>
        <v>0</v>
      </c>
      <c r="S81" s="300">
        <f t="shared" si="44"/>
        <v>0</v>
      </c>
      <c r="T81" s="300">
        <f t="shared" si="44"/>
        <v>0</v>
      </c>
      <c r="U81" s="300">
        <f t="shared" si="44"/>
        <v>0</v>
      </c>
      <c r="V81" s="300">
        <f t="shared" si="44"/>
        <v>0</v>
      </c>
      <c r="W81" s="300">
        <f t="shared" si="44"/>
        <v>0</v>
      </c>
      <c r="X81" s="300">
        <f t="shared" si="44"/>
        <v>0</v>
      </c>
      <c r="Y81" s="300">
        <f t="shared" si="44"/>
        <v>0</v>
      </c>
      <c r="Z81" s="300">
        <f t="shared" si="44"/>
        <v>0</v>
      </c>
      <c r="AA81" s="300">
        <f t="shared" si="44"/>
        <v>0</v>
      </c>
      <c r="AB81" s="300">
        <f t="shared" si="44"/>
        <v>0</v>
      </c>
      <c r="AC81" s="300">
        <f t="shared" si="44"/>
        <v>0</v>
      </c>
      <c r="AD81" s="300">
        <f t="shared" si="44"/>
        <v>0</v>
      </c>
      <c r="AE81" s="300">
        <f t="shared" si="44"/>
        <v>0</v>
      </c>
      <c r="AF81" s="300">
        <f t="shared" si="44"/>
        <v>0</v>
      </c>
      <c r="AG81" s="300">
        <f t="shared" si="44"/>
        <v>0</v>
      </c>
      <c r="AH81" s="245"/>
      <c r="AI81" s="423"/>
      <c r="AJ81" s="424"/>
      <c r="AL81" s="221"/>
      <c r="AM81" s="124"/>
      <c r="AN81" s="124"/>
      <c r="AO81" s="124"/>
      <c r="BD81" s="124"/>
      <c r="BE81" s="124"/>
      <c r="BF81" s="124"/>
      <c r="BG81" s="124"/>
      <c r="BH81" s="124"/>
      <c r="BI81" s="124"/>
      <c r="BJ81" s="124"/>
      <c r="BK81" s="124"/>
    </row>
    <row r="82" spans="1:63" outlineLevel="1" x14ac:dyDescent="0.2">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I82" s="134"/>
      <c r="AJ82" s="211"/>
      <c r="AL82" s="108"/>
      <c r="AM82" s="132"/>
      <c r="AN82" s="2"/>
      <c r="AO82" s="2"/>
    </row>
    <row r="83" spans="1:63" s="200" customFormat="1" ht="16" thickBot="1" x14ac:dyDescent="0.25">
      <c r="A83" s="200" t="s">
        <v>1330</v>
      </c>
      <c r="B83" s="215"/>
      <c r="C83" s="222">
        <f>C84</f>
        <v>0.1</v>
      </c>
      <c r="D83" s="222">
        <f t="shared" ref="D83:AG83" si="45">D84</f>
        <v>0.11333333333333334</v>
      </c>
      <c r="E83" s="222">
        <f t="shared" si="45"/>
        <v>0.12666666666666668</v>
      </c>
      <c r="F83" s="222">
        <f t="shared" si="45"/>
        <v>0.14000000000000001</v>
      </c>
      <c r="G83" s="222">
        <f t="shared" si="45"/>
        <v>0.15333333333333332</v>
      </c>
      <c r="H83" s="222">
        <f t="shared" si="45"/>
        <v>0.16666666666666669</v>
      </c>
      <c r="I83" s="222">
        <f t="shared" si="45"/>
        <v>0.18</v>
      </c>
      <c r="J83" s="222">
        <f t="shared" si="45"/>
        <v>0.19333333333333333</v>
      </c>
      <c r="K83" s="222">
        <f t="shared" si="45"/>
        <v>0.20666666666666667</v>
      </c>
      <c r="L83" s="222">
        <f t="shared" si="45"/>
        <v>0.22</v>
      </c>
      <c r="M83" s="222">
        <f t="shared" si="45"/>
        <v>0.23333333333333334</v>
      </c>
      <c r="N83" s="222">
        <f t="shared" si="45"/>
        <v>0.24666666666666667</v>
      </c>
      <c r="O83" s="222">
        <f t="shared" si="45"/>
        <v>0.26</v>
      </c>
      <c r="P83" s="222">
        <f t="shared" si="45"/>
        <v>0.27333333333333332</v>
      </c>
      <c r="Q83" s="222">
        <f t="shared" si="45"/>
        <v>0.28666666666666668</v>
      </c>
      <c r="R83" s="222">
        <f t="shared" si="45"/>
        <v>0.30000000000000004</v>
      </c>
      <c r="S83" s="222">
        <f t="shared" si="45"/>
        <v>0.31333333333333335</v>
      </c>
      <c r="T83" s="222">
        <f t="shared" si="45"/>
        <v>0.32666666666666666</v>
      </c>
      <c r="U83" s="222">
        <f t="shared" si="45"/>
        <v>0.34</v>
      </c>
      <c r="V83" s="222">
        <f t="shared" si="45"/>
        <v>0.35333333333333339</v>
      </c>
      <c r="W83" s="222">
        <f t="shared" si="45"/>
        <v>0.3666666666666667</v>
      </c>
      <c r="X83" s="222">
        <f t="shared" si="45"/>
        <v>0.38</v>
      </c>
      <c r="Y83" s="222">
        <f t="shared" si="45"/>
        <v>0.39333333333333337</v>
      </c>
      <c r="Z83" s="222">
        <f t="shared" si="45"/>
        <v>0.40666666666666668</v>
      </c>
      <c r="AA83" s="222">
        <f t="shared" si="45"/>
        <v>0.42000000000000004</v>
      </c>
      <c r="AB83" s="222">
        <f t="shared" si="45"/>
        <v>0.43333333333333335</v>
      </c>
      <c r="AC83" s="222">
        <f t="shared" si="45"/>
        <v>0.44666666666666666</v>
      </c>
      <c r="AD83" s="222">
        <f t="shared" si="45"/>
        <v>0.46</v>
      </c>
      <c r="AE83" s="222">
        <f t="shared" si="45"/>
        <v>0.47333333333333333</v>
      </c>
      <c r="AF83" s="222">
        <f t="shared" si="45"/>
        <v>0.48666666666666669</v>
      </c>
      <c r="AG83" s="222">
        <f t="shared" si="45"/>
        <v>0.5</v>
      </c>
      <c r="AJ83" s="231" t="s">
        <v>1331</v>
      </c>
      <c r="AL83" s="217"/>
      <c r="AM83" s="218"/>
      <c r="AN83" s="218"/>
      <c r="AO83" s="218"/>
    </row>
    <row r="84" spans="1:63" ht="16" outlineLevel="1" thickTop="1" x14ac:dyDescent="0.2">
      <c r="A84" t="s">
        <v>1332</v>
      </c>
      <c r="B84" s="54" t="s">
        <v>462</v>
      </c>
      <c r="C84" s="214">
        <v>0.1</v>
      </c>
      <c r="D84" s="110">
        <f>$C84+($M84-$C84)/10*(D$1-$C$1)</f>
        <v>0.11333333333333334</v>
      </c>
      <c r="E84" s="110">
        <f t="shared" ref="E84:L84" si="46">$C84+($M84-$C84)/10*(E$1-$C$1)</f>
        <v>0.12666666666666668</v>
      </c>
      <c r="F84" s="110">
        <f t="shared" si="46"/>
        <v>0.14000000000000001</v>
      </c>
      <c r="G84" s="110">
        <f t="shared" si="46"/>
        <v>0.15333333333333332</v>
      </c>
      <c r="H84" s="110">
        <f t="shared" si="46"/>
        <v>0.16666666666666669</v>
      </c>
      <c r="I84" s="110">
        <f t="shared" si="46"/>
        <v>0.18</v>
      </c>
      <c r="J84" s="110">
        <f t="shared" si="46"/>
        <v>0.19333333333333333</v>
      </c>
      <c r="K84" s="110">
        <f t="shared" si="46"/>
        <v>0.20666666666666667</v>
      </c>
      <c r="L84" s="110">
        <f t="shared" si="46"/>
        <v>0.22</v>
      </c>
      <c r="M84" s="121">
        <f>C84+(AG84-C84)/3</f>
        <v>0.23333333333333334</v>
      </c>
      <c r="N84" s="121">
        <f>$M84+($W84-$M84)/10*(N$1-$M$1)</f>
        <v>0.24666666666666667</v>
      </c>
      <c r="O84" s="121">
        <f t="shared" ref="O84:U84" si="47">$M84+($W84-$M84)/10*(O$1-$M$1)</f>
        <v>0.26</v>
      </c>
      <c r="P84" s="121">
        <f t="shared" si="47"/>
        <v>0.27333333333333332</v>
      </c>
      <c r="Q84" s="121">
        <f t="shared" si="47"/>
        <v>0.28666666666666668</v>
      </c>
      <c r="R84" s="121">
        <f t="shared" si="47"/>
        <v>0.30000000000000004</v>
      </c>
      <c r="S84" s="121">
        <f t="shared" si="47"/>
        <v>0.31333333333333335</v>
      </c>
      <c r="T84" s="121">
        <f t="shared" si="47"/>
        <v>0.32666666666666666</v>
      </c>
      <c r="U84" s="121">
        <f t="shared" si="47"/>
        <v>0.34</v>
      </c>
      <c r="V84" s="121">
        <f>$M84+($W84-$M84)/10*(V$1-$M$1)</f>
        <v>0.35333333333333339</v>
      </c>
      <c r="W84" s="121">
        <f>C84+(AG84-C84)*2/3</f>
        <v>0.3666666666666667</v>
      </c>
      <c r="X84" s="110">
        <f>$W84+($AG84-$W84)/10*(X$1-$W$1)</f>
        <v>0.38</v>
      </c>
      <c r="Y84" s="110">
        <f t="shared" ref="Y84:AF84" si="48">$W84+($AG84-$W84)/10*(Y$1-$W$1)</f>
        <v>0.39333333333333337</v>
      </c>
      <c r="Z84" s="110">
        <f t="shared" si="48"/>
        <v>0.40666666666666668</v>
      </c>
      <c r="AA84" s="110">
        <f t="shared" si="48"/>
        <v>0.42000000000000004</v>
      </c>
      <c r="AB84" s="110">
        <f t="shared" si="48"/>
        <v>0.43333333333333335</v>
      </c>
      <c r="AC84" s="110">
        <f t="shared" si="48"/>
        <v>0.44666666666666666</v>
      </c>
      <c r="AD84" s="110">
        <f t="shared" si="48"/>
        <v>0.46</v>
      </c>
      <c r="AE84" s="110">
        <f t="shared" si="48"/>
        <v>0.47333333333333333</v>
      </c>
      <c r="AF84" s="110">
        <f t="shared" si="48"/>
        <v>0.48666666666666669</v>
      </c>
      <c r="AG84" s="214">
        <v>0.5</v>
      </c>
      <c r="AJ84" s="211" t="s">
        <v>1684</v>
      </c>
    </row>
    <row r="85" spans="1:63" outlineLevel="1" x14ac:dyDescent="0.2">
      <c r="A85" t="s">
        <v>1437</v>
      </c>
      <c r="B85" s="54" t="s">
        <v>462</v>
      </c>
      <c r="C85" s="214">
        <v>0</v>
      </c>
      <c r="D85" s="110">
        <f t="shared" ref="D85:AF85" si="49">C85-($C$85-$AG$85)/($AG$1-$C$1)</f>
        <v>0.01</v>
      </c>
      <c r="E85" s="110">
        <f t="shared" si="49"/>
        <v>0.02</v>
      </c>
      <c r="F85" s="110">
        <f t="shared" si="49"/>
        <v>0.03</v>
      </c>
      <c r="G85" s="110">
        <f t="shared" si="49"/>
        <v>0.04</v>
      </c>
      <c r="H85" s="110">
        <f t="shared" si="49"/>
        <v>0.05</v>
      </c>
      <c r="I85" s="110">
        <f t="shared" si="49"/>
        <v>6.0000000000000005E-2</v>
      </c>
      <c r="J85" s="110">
        <f t="shared" si="49"/>
        <v>7.0000000000000007E-2</v>
      </c>
      <c r="K85" s="110">
        <f t="shared" si="49"/>
        <v>0.08</v>
      </c>
      <c r="L85" s="110">
        <f t="shared" si="49"/>
        <v>0.09</v>
      </c>
      <c r="M85" s="110">
        <f t="shared" si="49"/>
        <v>9.9999999999999992E-2</v>
      </c>
      <c r="N85" s="110">
        <f t="shared" si="49"/>
        <v>0.10999999999999999</v>
      </c>
      <c r="O85" s="110">
        <f t="shared" si="49"/>
        <v>0.11999999999999998</v>
      </c>
      <c r="P85" s="110">
        <f t="shared" si="49"/>
        <v>0.12999999999999998</v>
      </c>
      <c r="Q85" s="110">
        <f t="shared" si="49"/>
        <v>0.13999999999999999</v>
      </c>
      <c r="R85" s="110">
        <f t="shared" si="49"/>
        <v>0.15</v>
      </c>
      <c r="S85" s="110">
        <f t="shared" si="49"/>
        <v>0.16</v>
      </c>
      <c r="T85" s="110">
        <f t="shared" si="49"/>
        <v>0.17</v>
      </c>
      <c r="U85" s="110">
        <f t="shared" si="49"/>
        <v>0.18000000000000002</v>
      </c>
      <c r="V85" s="110">
        <f t="shared" si="49"/>
        <v>0.19000000000000003</v>
      </c>
      <c r="W85" s="110">
        <f t="shared" si="49"/>
        <v>0.20000000000000004</v>
      </c>
      <c r="X85" s="110">
        <f t="shared" si="49"/>
        <v>0.21000000000000005</v>
      </c>
      <c r="Y85" s="110">
        <f t="shared" si="49"/>
        <v>0.22000000000000006</v>
      </c>
      <c r="Z85" s="110">
        <f t="shared" si="49"/>
        <v>0.23000000000000007</v>
      </c>
      <c r="AA85" s="110">
        <f t="shared" si="49"/>
        <v>0.24000000000000007</v>
      </c>
      <c r="AB85" s="110">
        <f t="shared" si="49"/>
        <v>0.25000000000000006</v>
      </c>
      <c r="AC85" s="110">
        <f t="shared" si="49"/>
        <v>0.26000000000000006</v>
      </c>
      <c r="AD85" s="110">
        <f t="shared" si="49"/>
        <v>0.27000000000000007</v>
      </c>
      <c r="AE85" s="110">
        <f t="shared" si="49"/>
        <v>0.28000000000000008</v>
      </c>
      <c r="AF85" s="110">
        <f t="shared" si="49"/>
        <v>0.29000000000000009</v>
      </c>
      <c r="AG85" s="214">
        <v>0.3</v>
      </c>
      <c r="AI85" s="134"/>
      <c r="AJ85" s="211" t="s">
        <v>1217</v>
      </c>
      <c r="AL85" s="54" t="s">
        <v>1439</v>
      </c>
    </row>
    <row r="86" spans="1:63" outlineLevel="1" x14ac:dyDescent="0.2">
      <c r="A86" t="s">
        <v>1440</v>
      </c>
      <c r="B86" s="176" t="s">
        <v>462</v>
      </c>
      <c r="C86" s="110">
        <f>1-C85</f>
        <v>1</v>
      </c>
      <c r="D86" s="110">
        <f t="shared" ref="D86:AG86" si="50">1-D85</f>
        <v>0.99</v>
      </c>
      <c r="E86" s="110">
        <f t="shared" si="50"/>
        <v>0.98</v>
      </c>
      <c r="F86" s="110">
        <f t="shared" si="50"/>
        <v>0.97</v>
      </c>
      <c r="G86" s="110">
        <f t="shared" si="50"/>
        <v>0.96</v>
      </c>
      <c r="H86" s="110">
        <f t="shared" si="50"/>
        <v>0.95</v>
      </c>
      <c r="I86" s="110">
        <f t="shared" si="50"/>
        <v>0.94</v>
      </c>
      <c r="J86" s="110">
        <f t="shared" si="50"/>
        <v>0.92999999999999994</v>
      </c>
      <c r="K86" s="110">
        <f t="shared" si="50"/>
        <v>0.92</v>
      </c>
      <c r="L86" s="110">
        <f t="shared" si="50"/>
        <v>0.91</v>
      </c>
      <c r="M86" s="110">
        <f t="shared" si="50"/>
        <v>0.9</v>
      </c>
      <c r="N86" s="110">
        <f t="shared" si="50"/>
        <v>0.89</v>
      </c>
      <c r="O86" s="110">
        <f t="shared" si="50"/>
        <v>0.88</v>
      </c>
      <c r="P86" s="110">
        <f t="shared" si="50"/>
        <v>0.87</v>
      </c>
      <c r="Q86" s="110">
        <f t="shared" si="50"/>
        <v>0.86</v>
      </c>
      <c r="R86" s="110">
        <f t="shared" si="50"/>
        <v>0.85</v>
      </c>
      <c r="S86" s="110">
        <f t="shared" si="50"/>
        <v>0.84</v>
      </c>
      <c r="T86" s="110">
        <f t="shared" si="50"/>
        <v>0.83</v>
      </c>
      <c r="U86" s="110">
        <f t="shared" si="50"/>
        <v>0.82</v>
      </c>
      <c r="V86" s="110">
        <f t="shared" si="50"/>
        <v>0.80999999999999994</v>
      </c>
      <c r="W86" s="110">
        <f t="shared" si="50"/>
        <v>0.79999999999999993</v>
      </c>
      <c r="X86" s="110">
        <f t="shared" si="50"/>
        <v>0.78999999999999992</v>
      </c>
      <c r="Y86" s="110">
        <f t="shared" si="50"/>
        <v>0.77999999999999992</v>
      </c>
      <c r="Z86" s="110">
        <f t="shared" si="50"/>
        <v>0.76999999999999991</v>
      </c>
      <c r="AA86" s="110">
        <f t="shared" si="50"/>
        <v>0.7599999999999999</v>
      </c>
      <c r="AB86" s="110">
        <f t="shared" si="50"/>
        <v>0.75</v>
      </c>
      <c r="AC86" s="110">
        <f t="shared" si="50"/>
        <v>0.74</v>
      </c>
      <c r="AD86" s="110">
        <f t="shared" si="50"/>
        <v>0.73</v>
      </c>
      <c r="AE86" s="110">
        <f t="shared" si="50"/>
        <v>0.72</v>
      </c>
      <c r="AF86" s="110">
        <f t="shared" si="50"/>
        <v>0.71</v>
      </c>
      <c r="AG86" s="110">
        <f t="shared" si="50"/>
        <v>0.7</v>
      </c>
      <c r="AI86" s="134"/>
      <c r="AJ86" s="211"/>
      <c r="BD86" s="686"/>
      <c r="BE86" s="686"/>
    </row>
    <row r="87" spans="1:63" outlineLevel="1" x14ac:dyDescent="0.2">
      <c r="A87" t="s">
        <v>1333</v>
      </c>
      <c r="B87" s="54" t="s">
        <v>462</v>
      </c>
      <c r="C87" s="110">
        <f>C84*C85</f>
        <v>0</v>
      </c>
      <c r="D87" s="110">
        <f t="shared" ref="D87:AG87" si="51">D84*D85</f>
        <v>1.1333333333333334E-3</v>
      </c>
      <c r="E87" s="110">
        <f t="shared" si="51"/>
        <v>2.5333333333333336E-3</v>
      </c>
      <c r="F87" s="110">
        <f t="shared" si="51"/>
        <v>4.2000000000000006E-3</v>
      </c>
      <c r="G87" s="110">
        <f t="shared" si="51"/>
        <v>6.1333333333333327E-3</v>
      </c>
      <c r="H87" s="110">
        <f t="shared" si="51"/>
        <v>8.333333333333335E-3</v>
      </c>
      <c r="I87" s="110">
        <f t="shared" si="51"/>
        <v>1.0800000000000001E-2</v>
      </c>
      <c r="J87" s="110">
        <f t="shared" si="51"/>
        <v>1.3533333333333335E-2</v>
      </c>
      <c r="K87" s="110">
        <f t="shared" si="51"/>
        <v>1.6533333333333334E-2</v>
      </c>
      <c r="L87" s="110">
        <f t="shared" si="51"/>
        <v>1.9799999999999998E-2</v>
      </c>
      <c r="M87" s="110">
        <f t="shared" si="51"/>
        <v>2.3333333333333331E-2</v>
      </c>
      <c r="N87" s="110">
        <f t="shared" si="51"/>
        <v>2.7133333333333332E-2</v>
      </c>
      <c r="O87" s="110">
        <f t="shared" si="51"/>
        <v>3.1199999999999995E-2</v>
      </c>
      <c r="P87" s="110">
        <f t="shared" si="51"/>
        <v>3.5533333333333326E-2</v>
      </c>
      <c r="Q87" s="110">
        <f t="shared" si="51"/>
        <v>4.0133333333333333E-2</v>
      </c>
      <c r="R87" s="110">
        <f t="shared" si="51"/>
        <v>4.5000000000000005E-2</v>
      </c>
      <c r="S87" s="110">
        <f t="shared" si="51"/>
        <v>5.0133333333333335E-2</v>
      </c>
      <c r="T87" s="110">
        <f t="shared" si="51"/>
        <v>5.5533333333333337E-2</v>
      </c>
      <c r="U87" s="110">
        <f t="shared" si="51"/>
        <v>6.1200000000000011E-2</v>
      </c>
      <c r="V87" s="110">
        <f t="shared" si="51"/>
        <v>6.713333333333335E-2</v>
      </c>
      <c r="W87" s="110">
        <f t="shared" si="51"/>
        <v>7.3333333333333348E-2</v>
      </c>
      <c r="X87" s="110">
        <f t="shared" si="51"/>
        <v>7.9800000000000024E-2</v>
      </c>
      <c r="Y87" s="110">
        <f t="shared" si="51"/>
        <v>8.6533333333333365E-2</v>
      </c>
      <c r="Z87" s="110">
        <f t="shared" si="51"/>
        <v>9.3533333333333357E-2</v>
      </c>
      <c r="AA87" s="110">
        <f t="shared" si="51"/>
        <v>0.10080000000000004</v>
      </c>
      <c r="AB87" s="110">
        <f t="shared" si="51"/>
        <v>0.10833333333333336</v>
      </c>
      <c r="AC87" s="110">
        <f t="shared" si="51"/>
        <v>0.11613333333333337</v>
      </c>
      <c r="AD87" s="110">
        <f t="shared" si="51"/>
        <v>0.12420000000000003</v>
      </c>
      <c r="AE87" s="110">
        <f t="shared" si="51"/>
        <v>0.13253333333333336</v>
      </c>
      <c r="AF87" s="110">
        <f t="shared" si="51"/>
        <v>0.14113333333333339</v>
      </c>
      <c r="AG87" s="110">
        <f t="shared" si="51"/>
        <v>0.15</v>
      </c>
      <c r="AI87" s="134"/>
      <c r="AJ87" s="211"/>
      <c r="BD87" s="203"/>
      <c r="BE87" s="203"/>
    </row>
    <row r="88" spans="1:63" outlineLevel="1" x14ac:dyDescent="0.2">
      <c r="A88" t="s">
        <v>1334</v>
      </c>
      <c r="B88" s="54" t="s">
        <v>462</v>
      </c>
      <c r="C88" s="110">
        <f>C84*C86</f>
        <v>0.1</v>
      </c>
      <c r="D88" s="110">
        <f t="shared" ref="D88:AG88" si="52">D84*D86</f>
        <v>0.11220000000000001</v>
      </c>
      <c r="E88" s="110">
        <f t="shared" si="52"/>
        <v>0.12413333333333335</v>
      </c>
      <c r="F88" s="110">
        <f t="shared" si="52"/>
        <v>0.1358</v>
      </c>
      <c r="G88" s="110">
        <f t="shared" si="52"/>
        <v>0.14719999999999997</v>
      </c>
      <c r="H88" s="110">
        <f t="shared" si="52"/>
        <v>0.15833333333333335</v>
      </c>
      <c r="I88" s="110">
        <f t="shared" si="52"/>
        <v>0.16919999999999999</v>
      </c>
      <c r="J88" s="110">
        <f t="shared" si="52"/>
        <v>0.17979999999999999</v>
      </c>
      <c r="K88" s="110">
        <f t="shared" si="52"/>
        <v>0.19013333333333335</v>
      </c>
      <c r="L88" s="110">
        <f t="shared" si="52"/>
        <v>0.20020000000000002</v>
      </c>
      <c r="M88" s="110">
        <f t="shared" si="52"/>
        <v>0.21000000000000002</v>
      </c>
      <c r="N88" s="110">
        <f t="shared" si="52"/>
        <v>0.21953333333333333</v>
      </c>
      <c r="O88" s="110">
        <f t="shared" si="52"/>
        <v>0.2288</v>
      </c>
      <c r="P88" s="110">
        <f t="shared" si="52"/>
        <v>0.23779999999999998</v>
      </c>
      <c r="Q88" s="110">
        <f t="shared" si="52"/>
        <v>0.24653333333333335</v>
      </c>
      <c r="R88" s="110">
        <f t="shared" si="52"/>
        <v>0.255</v>
      </c>
      <c r="S88" s="110">
        <f t="shared" si="52"/>
        <v>0.26319999999999999</v>
      </c>
      <c r="T88" s="110">
        <f t="shared" si="52"/>
        <v>0.27113333333333334</v>
      </c>
      <c r="U88" s="110">
        <f t="shared" si="52"/>
        <v>0.27879999999999999</v>
      </c>
      <c r="V88" s="110">
        <f t="shared" si="52"/>
        <v>0.28620000000000001</v>
      </c>
      <c r="W88" s="110">
        <f t="shared" si="52"/>
        <v>0.29333333333333333</v>
      </c>
      <c r="X88" s="110">
        <f t="shared" si="52"/>
        <v>0.30019999999999997</v>
      </c>
      <c r="Y88" s="110">
        <f t="shared" si="52"/>
        <v>0.30680000000000002</v>
      </c>
      <c r="Z88" s="110">
        <f t="shared" si="52"/>
        <v>0.31313333333333332</v>
      </c>
      <c r="AA88" s="110">
        <f t="shared" si="52"/>
        <v>0.31919999999999998</v>
      </c>
      <c r="AB88" s="110">
        <f t="shared" si="52"/>
        <v>0.32500000000000001</v>
      </c>
      <c r="AC88" s="110">
        <f t="shared" si="52"/>
        <v>0.33053333333333335</v>
      </c>
      <c r="AD88" s="110">
        <f t="shared" si="52"/>
        <v>0.33579999999999999</v>
      </c>
      <c r="AE88" s="110">
        <f t="shared" si="52"/>
        <v>0.34079999999999999</v>
      </c>
      <c r="AF88" s="110">
        <f t="shared" si="52"/>
        <v>0.34553333333333336</v>
      </c>
      <c r="AG88" s="110">
        <f t="shared" si="52"/>
        <v>0.35</v>
      </c>
      <c r="AI88" s="134"/>
      <c r="AJ88" s="211"/>
      <c r="BD88" s="203"/>
      <c r="BE88" s="203"/>
    </row>
    <row r="89" spans="1:63" outlineLevel="1" x14ac:dyDescent="0.2">
      <c r="B89" s="176"/>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I89" s="134"/>
      <c r="AJ89" s="211"/>
      <c r="BD89" s="203"/>
      <c r="BE89" s="203"/>
    </row>
    <row r="90" spans="1:63" ht="16" outlineLevel="1" x14ac:dyDescent="0.2">
      <c r="A90" t="s">
        <v>1441</v>
      </c>
      <c r="B90" s="54" t="s">
        <v>462</v>
      </c>
      <c r="C90" s="214">
        <v>0.9</v>
      </c>
      <c r="D90" s="110">
        <f>C90</f>
        <v>0.9</v>
      </c>
      <c r="E90" s="110">
        <f t="shared" ref="E90:T90" si="53">D90</f>
        <v>0.9</v>
      </c>
      <c r="F90" s="110">
        <f t="shared" si="53"/>
        <v>0.9</v>
      </c>
      <c r="G90" s="110">
        <f t="shared" si="53"/>
        <v>0.9</v>
      </c>
      <c r="H90" s="110">
        <f t="shared" si="53"/>
        <v>0.9</v>
      </c>
      <c r="I90" s="110">
        <f t="shared" si="53"/>
        <v>0.9</v>
      </c>
      <c r="J90" s="110">
        <f t="shared" si="53"/>
        <v>0.9</v>
      </c>
      <c r="K90" s="110">
        <f t="shared" si="53"/>
        <v>0.9</v>
      </c>
      <c r="L90" s="110">
        <f t="shared" si="53"/>
        <v>0.9</v>
      </c>
      <c r="M90" s="110">
        <f t="shared" si="53"/>
        <v>0.9</v>
      </c>
      <c r="N90" s="110">
        <f t="shared" si="53"/>
        <v>0.9</v>
      </c>
      <c r="O90" s="110">
        <f t="shared" si="53"/>
        <v>0.9</v>
      </c>
      <c r="P90" s="110">
        <f t="shared" si="53"/>
        <v>0.9</v>
      </c>
      <c r="Q90" s="110">
        <f t="shared" si="53"/>
        <v>0.9</v>
      </c>
      <c r="R90" s="110">
        <f t="shared" si="53"/>
        <v>0.9</v>
      </c>
      <c r="S90" s="110">
        <f t="shared" si="53"/>
        <v>0.9</v>
      </c>
      <c r="T90" s="110">
        <f t="shared" si="53"/>
        <v>0.9</v>
      </c>
      <c r="U90" s="110">
        <f t="shared" ref="T90:AG92" si="54">T90</f>
        <v>0.9</v>
      </c>
      <c r="V90" s="110">
        <f t="shared" si="54"/>
        <v>0.9</v>
      </c>
      <c r="W90" s="110">
        <f t="shared" si="54"/>
        <v>0.9</v>
      </c>
      <c r="X90" s="110">
        <f t="shared" si="54"/>
        <v>0.9</v>
      </c>
      <c r="Y90" s="110">
        <f t="shared" si="54"/>
        <v>0.9</v>
      </c>
      <c r="Z90" s="110">
        <f t="shared" si="54"/>
        <v>0.9</v>
      </c>
      <c r="AA90" s="110">
        <f t="shared" si="54"/>
        <v>0.9</v>
      </c>
      <c r="AB90" s="110">
        <f t="shared" si="54"/>
        <v>0.9</v>
      </c>
      <c r="AC90" s="110">
        <f t="shared" si="54"/>
        <v>0.9</v>
      </c>
      <c r="AD90" s="110">
        <f t="shared" si="54"/>
        <v>0.9</v>
      </c>
      <c r="AE90" s="110">
        <f t="shared" si="54"/>
        <v>0.9</v>
      </c>
      <c r="AF90" s="110">
        <f t="shared" si="54"/>
        <v>0.9</v>
      </c>
      <c r="AG90" s="110">
        <f t="shared" si="54"/>
        <v>0.9</v>
      </c>
      <c r="AI90" s="133" t="s">
        <v>1442</v>
      </c>
      <c r="AJ90" s="597" t="s">
        <v>1685</v>
      </c>
      <c r="BD90" s="203"/>
      <c r="BE90" s="203"/>
    </row>
    <row r="91" spans="1:63" ht="16" outlineLevel="1" x14ac:dyDescent="0.2">
      <c r="A91" t="s">
        <v>1444</v>
      </c>
      <c r="B91" s="54" t="s">
        <v>462</v>
      </c>
      <c r="C91" s="214">
        <v>0</v>
      </c>
      <c r="D91" s="110">
        <f t="shared" ref="D91:S92" si="55">C91</f>
        <v>0</v>
      </c>
      <c r="E91" s="110">
        <f t="shared" si="55"/>
        <v>0</v>
      </c>
      <c r="F91" s="110">
        <f t="shared" si="55"/>
        <v>0</v>
      </c>
      <c r="G91" s="110">
        <f t="shared" si="55"/>
        <v>0</v>
      </c>
      <c r="H91" s="110">
        <f t="shared" si="55"/>
        <v>0</v>
      </c>
      <c r="I91" s="110">
        <f t="shared" si="55"/>
        <v>0</v>
      </c>
      <c r="J91" s="110">
        <f t="shared" si="55"/>
        <v>0</v>
      </c>
      <c r="K91" s="110">
        <f t="shared" si="55"/>
        <v>0</v>
      </c>
      <c r="L91" s="110">
        <f t="shared" si="55"/>
        <v>0</v>
      </c>
      <c r="M91" s="110">
        <f t="shared" si="55"/>
        <v>0</v>
      </c>
      <c r="N91" s="110">
        <f t="shared" si="55"/>
        <v>0</v>
      </c>
      <c r="O91" s="110">
        <f t="shared" si="55"/>
        <v>0</v>
      </c>
      <c r="P91" s="110">
        <f t="shared" si="55"/>
        <v>0</v>
      </c>
      <c r="Q91" s="110">
        <f t="shared" si="55"/>
        <v>0</v>
      </c>
      <c r="R91" s="110">
        <f t="shared" si="55"/>
        <v>0</v>
      </c>
      <c r="S91" s="110">
        <f t="shared" si="55"/>
        <v>0</v>
      </c>
      <c r="T91" s="110">
        <f t="shared" si="54"/>
        <v>0</v>
      </c>
      <c r="U91" s="110">
        <f t="shared" si="54"/>
        <v>0</v>
      </c>
      <c r="V91" s="110">
        <f t="shared" si="54"/>
        <v>0</v>
      </c>
      <c r="W91" s="110">
        <f t="shared" si="54"/>
        <v>0</v>
      </c>
      <c r="X91" s="110">
        <f t="shared" si="54"/>
        <v>0</v>
      </c>
      <c r="Y91" s="110">
        <f t="shared" si="54"/>
        <v>0</v>
      </c>
      <c r="Z91" s="110">
        <f t="shared" si="54"/>
        <v>0</v>
      </c>
      <c r="AA91" s="110">
        <f t="shared" si="54"/>
        <v>0</v>
      </c>
      <c r="AB91" s="110">
        <f t="shared" si="54"/>
        <v>0</v>
      </c>
      <c r="AC91" s="110">
        <f t="shared" si="54"/>
        <v>0</v>
      </c>
      <c r="AD91" s="110">
        <f t="shared" si="54"/>
        <v>0</v>
      </c>
      <c r="AE91" s="110">
        <f t="shared" si="54"/>
        <v>0</v>
      </c>
      <c r="AF91" s="110">
        <f t="shared" si="54"/>
        <v>0</v>
      </c>
      <c r="AG91" s="110">
        <f t="shared" si="54"/>
        <v>0</v>
      </c>
      <c r="AI91" s="133" t="s">
        <v>1442</v>
      </c>
      <c r="AJ91" s="232"/>
      <c r="AL91" s="1"/>
      <c r="BC91" s="1"/>
      <c r="BD91" s="693"/>
      <c r="BE91" s="686"/>
      <c r="BF91" s="6"/>
      <c r="BG91" s="6"/>
      <c r="BH91" s="6"/>
      <c r="BI91" s="6"/>
      <c r="BJ91" s="6"/>
    </row>
    <row r="92" spans="1:63" outlineLevel="1" x14ac:dyDescent="0.2">
      <c r="A92" t="s">
        <v>1445</v>
      </c>
      <c r="B92" s="54" t="s">
        <v>462</v>
      </c>
      <c r="C92" s="121">
        <f>1-C90-C91</f>
        <v>9.9999999999999978E-2</v>
      </c>
      <c r="D92" s="110">
        <f t="shared" si="55"/>
        <v>9.9999999999999978E-2</v>
      </c>
      <c r="E92" s="110">
        <f t="shared" si="55"/>
        <v>9.9999999999999978E-2</v>
      </c>
      <c r="F92" s="110">
        <f t="shared" si="55"/>
        <v>9.9999999999999978E-2</v>
      </c>
      <c r="G92" s="110">
        <f t="shared" si="55"/>
        <v>9.9999999999999978E-2</v>
      </c>
      <c r="H92" s="110">
        <f t="shared" si="55"/>
        <v>9.9999999999999978E-2</v>
      </c>
      <c r="I92" s="110">
        <f t="shared" si="55"/>
        <v>9.9999999999999978E-2</v>
      </c>
      <c r="J92" s="110">
        <f t="shared" si="55"/>
        <v>9.9999999999999978E-2</v>
      </c>
      <c r="K92" s="110">
        <f t="shared" si="55"/>
        <v>9.9999999999999978E-2</v>
      </c>
      <c r="L92" s="110">
        <f t="shared" si="55"/>
        <v>9.9999999999999978E-2</v>
      </c>
      <c r="M92" s="110">
        <f t="shared" si="55"/>
        <v>9.9999999999999978E-2</v>
      </c>
      <c r="N92" s="110">
        <f t="shared" si="55"/>
        <v>9.9999999999999978E-2</v>
      </c>
      <c r="O92" s="110">
        <f t="shared" si="55"/>
        <v>9.9999999999999978E-2</v>
      </c>
      <c r="P92" s="110">
        <f t="shared" si="55"/>
        <v>9.9999999999999978E-2</v>
      </c>
      <c r="Q92" s="110">
        <f t="shared" si="55"/>
        <v>9.9999999999999978E-2</v>
      </c>
      <c r="R92" s="110">
        <f t="shared" si="55"/>
        <v>9.9999999999999978E-2</v>
      </c>
      <c r="S92" s="110">
        <f t="shared" si="55"/>
        <v>9.9999999999999978E-2</v>
      </c>
      <c r="T92" s="110">
        <f t="shared" si="54"/>
        <v>9.9999999999999978E-2</v>
      </c>
      <c r="U92" s="110">
        <f t="shared" si="54"/>
        <v>9.9999999999999978E-2</v>
      </c>
      <c r="V92" s="110">
        <f t="shared" si="54"/>
        <v>9.9999999999999978E-2</v>
      </c>
      <c r="W92" s="110">
        <f t="shared" si="54"/>
        <v>9.9999999999999978E-2</v>
      </c>
      <c r="X92" s="110">
        <f t="shared" si="54"/>
        <v>9.9999999999999978E-2</v>
      </c>
      <c r="Y92" s="110">
        <f t="shared" si="54"/>
        <v>9.9999999999999978E-2</v>
      </c>
      <c r="Z92" s="110">
        <f t="shared" si="54"/>
        <v>9.9999999999999978E-2</v>
      </c>
      <c r="AA92" s="110">
        <f t="shared" si="54"/>
        <v>9.9999999999999978E-2</v>
      </c>
      <c r="AB92" s="110">
        <f t="shared" si="54"/>
        <v>9.9999999999999978E-2</v>
      </c>
      <c r="AC92" s="110">
        <f t="shared" si="54"/>
        <v>9.9999999999999978E-2</v>
      </c>
      <c r="AD92" s="110">
        <f t="shared" si="54"/>
        <v>9.9999999999999978E-2</v>
      </c>
      <c r="AE92" s="110">
        <f t="shared" si="54"/>
        <v>9.9999999999999978E-2</v>
      </c>
      <c r="AF92" s="110">
        <f t="shared" si="54"/>
        <v>9.9999999999999978E-2</v>
      </c>
      <c r="AG92" s="110">
        <f t="shared" si="54"/>
        <v>9.9999999999999978E-2</v>
      </c>
      <c r="AI92" s="133"/>
      <c r="AJ92" s="223"/>
      <c r="BC92" s="1"/>
      <c r="BD92" s="41"/>
      <c r="BF92" s="6"/>
      <c r="BG92" s="6"/>
      <c r="BH92" s="6"/>
      <c r="BI92" s="6"/>
      <c r="BJ92" s="6"/>
    </row>
    <row r="93" spans="1:63" outlineLevel="1" x14ac:dyDescent="0.2">
      <c r="A93" t="s">
        <v>1268</v>
      </c>
      <c r="B93" s="54" t="s">
        <v>462</v>
      </c>
      <c r="C93" s="110">
        <f>SUM(C90:C92)</f>
        <v>1</v>
      </c>
      <c r="D93" s="110">
        <f t="shared" ref="D93:AG93" si="56">SUM(D90:D92)</f>
        <v>1</v>
      </c>
      <c r="E93" s="110">
        <f t="shared" si="56"/>
        <v>1</v>
      </c>
      <c r="F93" s="110">
        <f t="shared" si="56"/>
        <v>1</v>
      </c>
      <c r="G93" s="110">
        <f t="shared" si="56"/>
        <v>1</v>
      </c>
      <c r="H93" s="110">
        <f t="shared" si="56"/>
        <v>1</v>
      </c>
      <c r="I93" s="110">
        <f t="shared" si="56"/>
        <v>1</v>
      </c>
      <c r="J93" s="110">
        <f t="shared" si="56"/>
        <v>1</v>
      </c>
      <c r="K93" s="110">
        <f t="shared" si="56"/>
        <v>1</v>
      </c>
      <c r="L93" s="110">
        <f t="shared" si="56"/>
        <v>1</v>
      </c>
      <c r="M93" s="110">
        <f t="shared" si="56"/>
        <v>1</v>
      </c>
      <c r="N93" s="110">
        <f t="shared" si="56"/>
        <v>1</v>
      </c>
      <c r="O93" s="110">
        <f t="shared" si="56"/>
        <v>1</v>
      </c>
      <c r="P93" s="110">
        <f t="shared" si="56"/>
        <v>1</v>
      </c>
      <c r="Q93" s="110">
        <f t="shared" si="56"/>
        <v>1</v>
      </c>
      <c r="R93" s="110">
        <f t="shared" si="56"/>
        <v>1</v>
      </c>
      <c r="S93" s="110">
        <f t="shared" si="56"/>
        <v>1</v>
      </c>
      <c r="T93" s="110">
        <f t="shared" si="56"/>
        <v>1</v>
      </c>
      <c r="U93" s="110">
        <f t="shared" si="56"/>
        <v>1</v>
      </c>
      <c r="V93" s="110">
        <f t="shared" si="56"/>
        <v>1</v>
      </c>
      <c r="W93" s="110">
        <f t="shared" si="56"/>
        <v>1</v>
      </c>
      <c r="X93" s="110">
        <f t="shared" si="56"/>
        <v>1</v>
      </c>
      <c r="Y93" s="110">
        <f t="shared" si="56"/>
        <v>1</v>
      </c>
      <c r="Z93" s="110">
        <f t="shared" si="56"/>
        <v>1</v>
      </c>
      <c r="AA93" s="110">
        <f t="shared" si="56"/>
        <v>1</v>
      </c>
      <c r="AB93" s="110">
        <f t="shared" si="56"/>
        <v>1</v>
      </c>
      <c r="AC93" s="110">
        <f t="shared" si="56"/>
        <v>1</v>
      </c>
      <c r="AD93" s="110">
        <f t="shared" si="56"/>
        <v>1</v>
      </c>
      <c r="AE93" s="110">
        <f t="shared" si="56"/>
        <v>1</v>
      </c>
      <c r="AF93" s="110">
        <f t="shared" si="56"/>
        <v>1</v>
      </c>
      <c r="AG93" s="110">
        <f t="shared" si="56"/>
        <v>1</v>
      </c>
      <c r="AI93" s="133"/>
      <c r="AJ93" s="211"/>
      <c r="BC93" s="1"/>
      <c r="BD93" s="41"/>
      <c r="BF93" s="6"/>
      <c r="BG93" s="6"/>
      <c r="BH93" s="6"/>
      <c r="BI93" s="6"/>
      <c r="BJ93" s="6"/>
    </row>
    <row r="94" spans="1:63" outlineLevel="1" x14ac:dyDescent="0.2">
      <c r="C94" s="214"/>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c r="AE94" s="110"/>
      <c r="AF94" s="110"/>
      <c r="AG94" s="110"/>
      <c r="AI94" s="133"/>
      <c r="AJ94" s="211"/>
      <c r="BC94" s="1"/>
      <c r="BD94" s="41"/>
      <c r="BF94" s="6"/>
      <c r="BG94" s="6"/>
      <c r="BH94" s="6"/>
      <c r="BI94" s="6"/>
      <c r="BJ94" s="6"/>
    </row>
    <row r="95" spans="1:63" outlineLevel="1" x14ac:dyDescent="0.2">
      <c r="A95" t="s">
        <v>1335</v>
      </c>
      <c r="B95" s="54" t="s">
        <v>462</v>
      </c>
      <c r="C95" s="110">
        <f>C90*C88</f>
        <v>9.0000000000000011E-2</v>
      </c>
      <c r="D95" s="110">
        <f t="shared" ref="D95:AG95" si="57">D90*D88</f>
        <v>0.10098000000000001</v>
      </c>
      <c r="E95" s="110">
        <f t="shared" si="57"/>
        <v>0.11172000000000001</v>
      </c>
      <c r="F95" s="110">
        <f t="shared" si="57"/>
        <v>0.12222000000000001</v>
      </c>
      <c r="G95" s="110">
        <f t="shared" si="57"/>
        <v>0.13247999999999999</v>
      </c>
      <c r="H95" s="110">
        <f t="shared" si="57"/>
        <v>0.14250000000000002</v>
      </c>
      <c r="I95" s="110">
        <f t="shared" si="57"/>
        <v>0.15228</v>
      </c>
      <c r="J95" s="110">
        <f t="shared" si="57"/>
        <v>0.16181999999999999</v>
      </c>
      <c r="K95" s="110">
        <f t="shared" si="57"/>
        <v>0.17112000000000002</v>
      </c>
      <c r="L95" s="110">
        <f t="shared" si="57"/>
        <v>0.18018000000000001</v>
      </c>
      <c r="M95" s="110">
        <f t="shared" si="57"/>
        <v>0.18900000000000003</v>
      </c>
      <c r="N95" s="110">
        <f t="shared" si="57"/>
        <v>0.19758000000000001</v>
      </c>
      <c r="O95" s="110">
        <f t="shared" si="57"/>
        <v>0.20592000000000002</v>
      </c>
      <c r="P95" s="110">
        <f t="shared" si="57"/>
        <v>0.21401999999999999</v>
      </c>
      <c r="Q95" s="110">
        <f t="shared" si="57"/>
        <v>0.22188000000000002</v>
      </c>
      <c r="R95" s="110">
        <f t="shared" si="57"/>
        <v>0.22950000000000001</v>
      </c>
      <c r="S95" s="110">
        <f t="shared" si="57"/>
        <v>0.23688000000000001</v>
      </c>
      <c r="T95" s="110">
        <f t="shared" si="57"/>
        <v>0.24402000000000001</v>
      </c>
      <c r="U95" s="110">
        <f t="shared" si="57"/>
        <v>0.25091999999999998</v>
      </c>
      <c r="V95" s="110">
        <f t="shared" si="57"/>
        <v>0.25758000000000003</v>
      </c>
      <c r="W95" s="110">
        <f t="shared" si="57"/>
        <v>0.26400000000000001</v>
      </c>
      <c r="X95" s="110">
        <f t="shared" si="57"/>
        <v>0.27017999999999998</v>
      </c>
      <c r="Y95" s="110">
        <f t="shared" si="57"/>
        <v>0.27612000000000003</v>
      </c>
      <c r="Z95" s="110">
        <f t="shared" si="57"/>
        <v>0.28182000000000001</v>
      </c>
      <c r="AA95" s="110">
        <f t="shared" si="57"/>
        <v>0.28727999999999998</v>
      </c>
      <c r="AB95" s="110">
        <f t="shared" si="57"/>
        <v>0.29250000000000004</v>
      </c>
      <c r="AC95" s="110">
        <f t="shared" si="57"/>
        <v>0.29748000000000002</v>
      </c>
      <c r="AD95" s="110">
        <f t="shared" si="57"/>
        <v>0.30221999999999999</v>
      </c>
      <c r="AE95" s="110">
        <f t="shared" si="57"/>
        <v>0.30671999999999999</v>
      </c>
      <c r="AF95" s="110">
        <f t="shared" si="57"/>
        <v>0.31098000000000003</v>
      </c>
      <c r="AG95" s="110">
        <f t="shared" si="57"/>
        <v>0.315</v>
      </c>
      <c r="AI95" s="133"/>
      <c r="AJ95" s="211"/>
      <c r="BD95" s="203"/>
      <c r="BE95" s="203"/>
    </row>
    <row r="96" spans="1:63" outlineLevel="1" x14ac:dyDescent="0.2">
      <c r="A96" t="s">
        <v>1336</v>
      </c>
      <c r="B96" s="54" t="s">
        <v>462</v>
      </c>
      <c r="C96" s="110">
        <f>C88*C91</f>
        <v>0</v>
      </c>
      <c r="D96" s="110">
        <f t="shared" ref="D96:AG96" si="58">D88*D91</f>
        <v>0</v>
      </c>
      <c r="E96" s="110">
        <f t="shared" si="58"/>
        <v>0</v>
      </c>
      <c r="F96" s="110">
        <f t="shared" si="58"/>
        <v>0</v>
      </c>
      <c r="G96" s="110">
        <f t="shared" si="58"/>
        <v>0</v>
      </c>
      <c r="H96" s="110">
        <f t="shared" si="58"/>
        <v>0</v>
      </c>
      <c r="I96" s="110">
        <f t="shared" si="58"/>
        <v>0</v>
      </c>
      <c r="J96" s="110">
        <f t="shared" si="58"/>
        <v>0</v>
      </c>
      <c r="K96" s="110">
        <f t="shared" si="58"/>
        <v>0</v>
      </c>
      <c r="L96" s="110">
        <f t="shared" si="58"/>
        <v>0</v>
      </c>
      <c r="M96" s="110">
        <f t="shared" si="58"/>
        <v>0</v>
      </c>
      <c r="N96" s="110">
        <f t="shared" si="58"/>
        <v>0</v>
      </c>
      <c r="O96" s="110">
        <f t="shared" si="58"/>
        <v>0</v>
      </c>
      <c r="P96" s="110">
        <f t="shared" si="58"/>
        <v>0</v>
      </c>
      <c r="Q96" s="110">
        <f t="shared" si="58"/>
        <v>0</v>
      </c>
      <c r="R96" s="110">
        <f t="shared" si="58"/>
        <v>0</v>
      </c>
      <c r="S96" s="110">
        <f t="shared" si="58"/>
        <v>0</v>
      </c>
      <c r="T96" s="110">
        <f t="shared" si="58"/>
        <v>0</v>
      </c>
      <c r="U96" s="110">
        <f t="shared" si="58"/>
        <v>0</v>
      </c>
      <c r="V96" s="110">
        <f t="shared" si="58"/>
        <v>0</v>
      </c>
      <c r="W96" s="110">
        <f t="shared" si="58"/>
        <v>0</v>
      </c>
      <c r="X96" s="110">
        <f t="shared" si="58"/>
        <v>0</v>
      </c>
      <c r="Y96" s="110">
        <f t="shared" si="58"/>
        <v>0</v>
      </c>
      <c r="Z96" s="110">
        <f t="shared" si="58"/>
        <v>0</v>
      </c>
      <c r="AA96" s="110">
        <f t="shared" si="58"/>
        <v>0</v>
      </c>
      <c r="AB96" s="110">
        <f t="shared" si="58"/>
        <v>0</v>
      </c>
      <c r="AC96" s="110">
        <f t="shared" si="58"/>
        <v>0</v>
      </c>
      <c r="AD96" s="110">
        <f t="shared" si="58"/>
        <v>0</v>
      </c>
      <c r="AE96" s="110">
        <f t="shared" si="58"/>
        <v>0</v>
      </c>
      <c r="AF96" s="110">
        <f t="shared" si="58"/>
        <v>0</v>
      </c>
      <c r="AG96" s="110">
        <f t="shared" si="58"/>
        <v>0</v>
      </c>
      <c r="AI96" s="133"/>
      <c r="AJ96" s="211"/>
      <c r="AL96" s="1"/>
      <c r="BC96" s="1"/>
      <c r="BD96" s="693"/>
      <c r="BE96" s="686"/>
      <c r="BF96" s="6"/>
      <c r="BG96" s="6"/>
      <c r="BH96" s="6"/>
      <c r="BI96" s="6"/>
      <c r="BJ96" s="6"/>
    </row>
    <row r="97" spans="1:63" outlineLevel="1" x14ac:dyDescent="0.2">
      <c r="A97" t="s">
        <v>1337</v>
      </c>
      <c r="B97" s="54" t="s">
        <v>462</v>
      </c>
      <c r="C97" s="110">
        <f>C88*C92</f>
        <v>9.9999999999999985E-3</v>
      </c>
      <c r="D97" s="110">
        <f t="shared" ref="D97:AG97" si="59">D88*D92</f>
        <v>1.1219999999999999E-2</v>
      </c>
      <c r="E97" s="110">
        <f t="shared" si="59"/>
        <v>1.2413333333333332E-2</v>
      </c>
      <c r="F97" s="110">
        <f t="shared" si="59"/>
        <v>1.3579999999999997E-2</v>
      </c>
      <c r="G97" s="110">
        <f t="shared" si="59"/>
        <v>1.4719999999999994E-2</v>
      </c>
      <c r="H97" s="110">
        <f t="shared" si="59"/>
        <v>1.5833333333333331E-2</v>
      </c>
      <c r="I97" s="110">
        <f t="shared" si="59"/>
        <v>1.6919999999999994E-2</v>
      </c>
      <c r="J97" s="110">
        <f t="shared" si="59"/>
        <v>1.7979999999999996E-2</v>
      </c>
      <c r="K97" s="110">
        <f t="shared" si="59"/>
        <v>1.901333333333333E-2</v>
      </c>
      <c r="L97" s="110">
        <f t="shared" si="59"/>
        <v>2.0019999999999996E-2</v>
      </c>
      <c r="M97" s="110">
        <f t="shared" si="59"/>
        <v>2.0999999999999998E-2</v>
      </c>
      <c r="N97" s="110">
        <f t="shared" si="59"/>
        <v>2.1953333333333328E-2</v>
      </c>
      <c r="O97" s="110">
        <f t="shared" si="59"/>
        <v>2.2879999999999994E-2</v>
      </c>
      <c r="P97" s="110">
        <f t="shared" si="59"/>
        <v>2.3779999999999992E-2</v>
      </c>
      <c r="Q97" s="110">
        <f t="shared" si="59"/>
        <v>2.4653333333333329E-2</v>
      </c>
      <c r="R97" s="110">
        <f t="shared" si="59"/>
        <v>2.5499999999999995E-2</v>
      </c>
      <c r="S97" s="110">
        <f t="shared" si="59"/>
        <v>2.6319999999999993E-2</v>
      </c>
      <c r="T97" s="110">
        <f t="shared" si="59"/>
        <v>2.7113333333333326E-2</v>
      </c>
      <c r="U97" s="110">
        <f t="shared" si="59"/>
        <v>2.7879999999999992E-2</v>
      </c>
      <c r="V97" s="110">
        <f t="shared" si="59"/>
        <v>2.8619999999999996E-2</v>
      </c>
      <c r="W97" s="110">
        <f t="shared" si="59"/>
        <v>2.9333333333333326E-2</v>
      </c>
      <c r="X97" s="110">
        <f t="shared" si="59"/>
        <v>3.0019999999999991E-2</v>
      </c>
      <c r="Y97" s="110">
        <f t="shared" si="59"/>
        <v>3.0679999999999995E-2</v>
      </c>
      <c r="Z97" s="110">
        <f t="shared" si="59"/>
        <v>3.1313333333333325E-2</v>
      </c>
      <c r="AA97" s="110">
        <f t="shared" si="59"/>
        <v>3.191999999999999E-2</v>
      </c>
      <c r="AB97" s="110">
        <f t="shared" si="59"/>
        <v>3.2499999999999994E-2</v>
      </c>
      <c r="AC97" s="110">
        <f t="shared" si="59"/>
        <v>3.305333333333333E-2</v>
      </c>
      <c r="AD97" s="110">
        <f t="shared" si="59"/>
        <v>3.3579999999999992E-2</v>
      </c>
      <c r="AE97" s="110">
        <f t="shared" si="59"/>
        <v>3.4079999999999992E-2</v>
      </c>
      <c r="AF97" s="110">
        <f t="shared" si="59"/>
        <v>3.4553333333333325E-2</v>
      </c>
      <c r="AG97" s="110">
        <f t="shared" si="59"/>
        <v>3.4999999999999989E-2</v>
      </c>
      <c r="AI97" s="134"/>
      <c r="AJ97" s="211"/>
      <c r="BC97" s="1"/>
      <c r="BD97" s="41"/>
      <c r="BF97" s="6"/>
      <c r="BG97" s="6"/>
      <c r="BH97" s="6"/>
      <c r="BI97" s="6"/>
      <c r="BJ97" s="6"/>
    </row>
    <row r="98" spans="1:63" outlineLevel="1" x14ac:dyDescent="0.2">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c r="AG98" s="110"/>
      <c r="AI98" s="134"/>
      <c r="AJ98" s="211"/>
      <c r="BC98" s="1"/>
      <c r="BD98" s="41"/>
      <c r="BF98" s="6"/>
      <c r="BG98" s="6"/>
      <c r="BH98" s="6"/>
      <c r="BI98" s="6"/>
      <c r="BJ98" s="6"/>
    </row>
    <row r="99" spans="1:63" outlineLevel="1" x14ac:dyDescent="0.2">
      <c r="A99" t="s">
        <v>1676</v>
      </c>
      <c r="C99" s="230">
        <v>1</v>
      </c>
      <c r="D99" s="230">
        <v>1</v>
      </c>
      <c r="E99" s="230">
        <v>1</v>
      </c>
      <c r="F99" s="230">
        <v>1</v>
      </c>
      <c r="G99" s="230">
        <v>1</v>
      </c>
      <c r="H99" s="230">
        <v>1</v>
      </c>
      <c r="I99" s="230">
        <v>1</v>
      </c>
      <c r="J99" s="230">
        <v>1</v>
      </c>
      <c r="K99" s="230">
        <v>1</v>
      </c>
      <c r="L99" s="230">
        <v>1</v>
      </c>
      <c r="M99" s="230">
        <v>1</v>
      </c>
      <c r="N99" s="230">
        <v>1</v>
      </c>
      <c r="O99" s="230">
        <v>1</v>
      </c>
      <c r="P99" s="230">
        <v>1</v>
      </c>
      <c r="Q99" s="230">
        <v>1</v>
      </c>
      <c r="R99" s="230">
        <v>1</v>
      </c>
      <c r="S99" s="230">
        <v>1</v>
      </c>
      <c r="T99" s="230">
        <v>1</v>
      </c>
      <c r="U99" s="230">
        <v>1</v>
      </c>
      <c r="V99" s="230">
        <v>1</v>
      </c>
      <c r="W99" s="230">
        <v>1</v>
      </c>
      <c r="X99" s="230">
        <v>1</v>
      </c>
      <c r="Y99" s="230">
        <v>1</v>
      </c>
      <c r="Z99" s="230">
        <v>1</v>
      </c>
      <c r="AA99" s="230">
        <v>1</v>
      </c>
      <c r="AB99" s="230">
        <v>1</v>
      </c>
      <c r="AC99" s="230">
        <v>1</v>
      </c>
      <c r="AD99" s="230">
        <v>1</v>
      </c>
      <c r="AE99" s="230">
        <v>1</v>
      </c>
      <c r="AF99" s="230">
        <v>1</v>
      </c>
      <c r="AG99" s="230">
        <v>1</v>
      </c>
      <c r="AI99" s="133"/>
      <c r="AJ99" s="211" t="s">
        <v>1686</v>
      </c>
      <c r="AL99" s="108"/>
      <c r="AM99" s="207"/>
      <c r="AN99" s="207"/>
      <c r="AO99" s="207"/>
      <c r="BC99" s="1"/>
      <c r="BD99" s="207"/>
      <c r="BE99" s="207"/>
      <c r="BF99" s="207"/>
      <c r="BG99" s="207"/>
      <c r="BH99" s="207"/>
      <c r="BI99" s="207"/>
      <c r="BJ99" s="207"/>
      <c r="BK99" s="207"/>
    </row>
    <row r="100" spans="1:63" outlineLevel="1" x14ac:dyDescent="0.2">
      <c r="A100" t="s">
        <v>1687</v>
      </c>
      <c r="B100" s="54" t="s">
        <v>462</v>
      </c>
      <c r="C100" s="110">
        <f>C87*C$99</f>
        <v>0</v>
      </c>
      <c r="D100" s="110">
        <f t="shared" ref="D100:AG101" si="60">D87*D$99</f>
        <v>1.1333333333333334E-3</v>
      </c>
      <c r="E100" s="110">
        <f t="shared" si="60"/>
        <v>2.5333333333333336E-3</v>
      </c>
      <c r="F100" s="110">
        <f t="shared" si="60"/>
        <v>4.2000000000000006E-3</v>
      </c>
      <c r="G100" s="110">
        <f t="shared" si="60"/>
        <v>6.1333333333333327E-3</v>
      </c>
      <c r="H100" s="110">
        <f t="shared" si="60"/>
        <v>8.333333333333335E-3</v>
      </c>
      <c r="I100" s="110">
        <f t="shared" si="60"/>
        <v>1.0800000000000001E-2</v>
      </c>
      <c r="J100" s="110">
        <f t="shared" si="60"/>
        <v>1.3533333333333335E-2</v>
      </c>
      <c r="K100" s="110">
        <f t="shared" si="60"/>
        <v>1.6533333333333334E-2</v>
      </c>
      <c r="L100" s="110">
        <f t="shared" si="60"/>
        <v>1.9799999999999998E-2</v>
      </c>
      <c r="M100" s="110">
        <f t="shared" si="60"/>
        <v>2.3333333333333331E-2</v>
      </c>
      <c r="N100" s="110">
        <f t="shared" si="60"/>
        <v>2.7133333333333332E-2</v>
      </c>
      <c r="O100" s="110">
        <f t="shared" si="60"/>
        <v>3.1199999999999995E-2</v>
      </c>
      <c r="P100" s="110">
        <f t="shared" si="60"/>
        <v>3.5533333333333326E-2</v>
      </c>
      <c r="Q100" s="110">
        <f t="shared" si="60"/>
        <v>4.0133333333333333E-2</v>
      </c>
      <c r="R100" s="110">
        <f t="shared" si="60"/>
        <v>4.5000000000000005E-2</v>
      </c>
      <c r="S100" s="110">
        <f t="shared" si="60"/>
        <v>5.0133333333333335E-2</v>
      </c>
      <c r="T100" s="110">
        <f t="shared" si="60"/>
        <v>5.5533333333333337E-2</v>
      </c>
      <c r="U100" s="110">
        <f t="shared" si="60"/>
        <v>6.1200000000000011E-2</v>
      </c>
      <c r="V100" s="110">
        <f t="shared" si="60"/>
        <v>6.713333333333335E-2</v>
      </c>
      <c r="W100" s="110">
        <f t="shared" si="60"/>
        <v>7.3333333333333348E-2</v>
      </c>
      <c r="X100" s="110">
        <f t="shared" si="60"/>
        <v>7.9800000000000024E-2</v>
      </c>
      <c r="Y100" s="110">
        <f t="shared" si="60"/>
        <v>8.6533333333333365E-2</v>
      </c>
      <c r="Z100" s="110">
        <f t="shared" si="60"/>
        <v>9.3533333333333357E-2</v>
      </c>
      <c r="AA100" s="110">
        <f t="shared" si="60"/>
        <v>0.10080000000000004</v>
      </c>
      <c r="AB100" s="110">
        <f t="shared" si="60"/>
        <v>0.10833333333333336</v>
      </c>
      <c r="AC100" s="110">
        <f t="shared" si="60"/>
        <v>0.11613333333333337</v>
      </c>
      <c r="AD100" s="110">
        <f t="shared" si="60"/>
        <v>0.12420000000000003</v>
      </c>
      <c r="AE100" s="110">
        <f t="shared" si="60"/>
        <v>0.13253333333333336</v>
      </c>
      <c r="AF100" s="110">
        <f t="shared" si="60"/>
        <v>0.14113333333333339</v>
      </c>
      <c r="AG100" s="110">
        <f t="shared" si="60"/>
        <v>0.15</v>
      </c>
      <c r="AI100" s="133"/>
      <c r="AJ100"/>
      <c r="AL100" s="108"/>
      <c r="AM100" s="2"/>
      <c r="AN100" s="2"/>
      <c r="AO100" s="2"/>
      <c r="AV100" s="41"/>
    </row>
    <row r="101" spans="1:63" outlineLevel="1" x14ac:dyDescent="0.2">
      <c r="A101" t="s">
        <v>1688</v>
      </c>
      <c r="B101" s="54" t="s">
        <v>462</v>
      </c>
      <c r="C101" s="110">
        <f>C88*C$99</f>
        <v>0.1</v>
      </c>
      <c r="D101" s="110">
        <f t="shared" si="60"/>
        <v>0.11220000000000001</v>
      </c>
      <c r="E101" s="110">
        <f t="shared" si="60"/>
        <v>0.12413333333333335</v>
      </c>
      <c r="F101" s="110">
        <f t="shared" si="60"/>
        <v>0.1358</v>
      </c>
      <c r="G101" s="110">
        <f t="shared" si="60"/>
        <v>0.14719999999999997</v>
      </c>
      <c r="H101" s="110">
        <f t="shared" si="60"/>
        <v>0.15833333333333335</v>
      </c>
      <c r="I101" s="110">
        <f t="shared" si="60"/>
        <v>0.16919999999999999</v>
      </c>
      <c r="J101" s="110">
        <f t="shared" si="60"/>
        <v>0.17979999999999999</v>
      </c>
      <c r="K101" s="110">
        <f t="shared" si="60"/>
        <v>0.19013333333333335</v>
      </c>
      <c r="L101" s="110">
        <f t="shared" si="60"/>
        <v>0.20020000000000002</v>
      </c>
      <c r="M101" s="110">
        <f t="shared" si="60"/>
        <v>0.21000000000000002</v>
      </c>
      <c r="N101" s="110">
        <f t="shared" si="60"/>
        <v>0.21953333333333333</v>
      </c>
      <c r="O101" s="110">
        <f t="shared" si="60"/>
        <v>0.2288</v>
      </c>
      <c r="P101" s="110">
        <f t="shared" si="60"/>
        <v>0.23779999999999998</v>
      </c>
      <c r="Q101" s="110">
        <f t="shared" si="60"/>
        <v>0.24653333333333335</v>
      </c>
      <c r="R101" s="110">
        <f t="shared" si="60"/>
        <v>0.255</v>
      </c>
      <c r="S101" s="110">
        <f t="shared" si="60"/>
        <v>0.26319999999999999</v>
      </c>
      <c r="T101" s="110">
        <f t="shared" si="60"/>
        <v>0.27113333333333334</v>
      </c>
      <c r="U101" s="110">
        <f t="shared" si="60"/>
        <v>0.27879999999999999</v>
      </c>
      <c r="V101" s="110">
        <f t="shared" si="60"/>
        <v>0.28620000000000001</v>
      </c>
      <c r="W101" s="110">
        <f t="shared" si="60"/>
        <v>0.29333333333333333</v>
      </c>
      <c r="X101" s="110">
        <f t="shared" si="60"/>
        <v>0.30019999999999997</v>
      </c>
      <c r="Y101" s="110">
        <f t="shared" si="60"/>
        <v>0.30680000000000002</v>
      </c>
      <c r="Z101" s="110">
        <f t="shared" si="60"/>
        <v>0.31313333333333332</v>
      </c>
      <c r="AA101" s="110">
        <f t="shared" si="60"/>
        <v>0.31919999999999998</v>
      </c>
      <c r="AB101" s="110">
        <f t="shared" si="60"/>
        <v>0.32500000000000001</v>
      </c>
      <c r="AC101" s="110">
        <f t="shared" si="60"/>
        <v>0.33053333333333335</v>
      </c>
      <c r="AD101" s="110">
        <f t="shared" si="60"/>
        <v>0.33579999999999999</v>
      </c>
      <c r="AE101" s="110">
        <f t="shared" si="60"/>
        <v>0.34079999999999999</v>
      </c>
      <c r="AF101" s="110">
        <f t="shared" si="60"/>
        <v>0.34553333333333336</v>
      </c>
      <c r="AG101" s="110">
        <f t="shared" si="60"/>
        <v>0.35</v>
      </c>
      <c r="AH101" s="245"/>
      <c r="AI101" s="133"/>
      <c r="AJ101" s="211"/>
      <c r="AL101" s="108"/>
      <c r="AM101" s="2"/>
      <c r="AN101" s="2"/>
      <c r="AO101" s="2"/>
      <c r="AV101" s="41"/>
    </row>
    <row r="102" spans="1:63" outlineLevel="1" x14ac:dyDescent="0.2">
      <c r="A102" t="s">
        <v>1689</v>
      </c>
      <c r="B102" s="176" t="s">
        <v>462</v>
      </c>
      <c r="C102" s="110">
        <f>SUM(C100:C101)</f>
        <v>0.1</v>
      </c>
      <c r="D102" s="110">
        <f t="shared" ref="D102:AG102" si="61">SUM(D100:D101)</f>
        <v>0.11333333333333334</v>
      </c>
      <c r="E102" s="110">
        <f t="shared" si="61"/>
        <v>0.12666666666666668</v>
      </c>
      <c r="F102" s="110">
        <f t="shared" si="61"/>
        <v>0.14000000000000001</v>
      </c>
      <c r="G102" s="110">
        <f t="shared" si="61"/>
        <v>0.15333333333333329</v>
      </c>
      <c r="H102" s="110">
        <f t="shared" si="61"/>
        <v>0.16666666666666669</v>
      </c>
      <c r="I102" s="110">
        <f t="shared" si="61"/>
        <v>0.18</v>
      </c>
      <c r="J102" s="110">
        <f t="shared" si="61"/>
        <v>0.19333333333333333</v>
      </c>
      <c r="K102" s="110">
        <f t="shared" si="61"/>
        <v>0.20666666666666669</v>
      </c>
      <c r="L102" s="110">
        <f t="shared" si="61"/>
        <v>0.22000000000000003</v>
      </c>
      <c r="M102" s="110">
        <f t="shared" si="61"/>
        <v>0.23333333333333334</v>
      </c>
      <c r="N102" s="110">
        <f t="shared" si="61"/>
        <v>0.24666666666666667</v>
      </c>
      <c r="O102" s="110">
        <f t="shared" si="61"/>
        <v>0.26</v>
      </c>
      <c r="P102" s="110">
        <f t="shared" si="61"/>
        <v>0.27333333333333332</v>
      </c>
      <c r="Q102" s="110">
        <f t="shared" si="61"/>
        <v>0.28666666666666668</v>
      </c>
      <c r="R102" s="110">
        <f t="shared" si="61"/>
        <v>0.3</v>
      </c>
      <c r="S102" s="110">
        <f t="shared" si="61"/>
        <v>0.31333333333333335</v>
      </c>
      <c r="T102" s="110">
        <f t="shared" si="61"/>
        <v>0.32666666666666666</v>
      </c>
      <c r="U102" s="110">
        <f t="shared" si="61"/>
        <v>0.34</v>
      </c>
      <c r="V102" s="110">
        <f t="shared" si="61"/>
        <v>0.35333333333333339</v>
      </c>
      <c r="W102" s="110">
        <f t="shared" si="61"/>
        <v>0.3666666666666667</v>
      </c>
      <c r="X102" s="110">
        <f t="shared" si="61"/>
        <v>0.38</v>
      </c>
      <c r="Y102" s="110">
        <f t="shared" si="61"/>
        <v>0.39333333333333337</v>
      </c>
      <c r="Z102" s="110">
        <f t="shared" si="61"/>
        <v>0.40666666666666668</v>
      </c>
      <c r="AA102" s="110">
        <f t="shared" si="61"/>
        <v>0.42000000000000004</v>
      </c>
      <c r="AB102" s="110">
        <f t="shared" si="61"/>
        <v>0.43333333333333335</v>
      </c>
      <c r="AC102" s="110">
        <f t="shared" si="61"/>
        <v>0.44666666666666671</v>
      </c>
      <c r="AD102" s="110">
        <f t="shared" si="61"/>
        <v>0.46</v>
      </c>
      <c r="AE102" s="110">
        <f t="shared" si="61"/>
        <v>0.47333333333333338</v>
      </c>
      <c r="AF102" s="110">
        <f t="shared" si="61"/>
        <v>0.48666666666666675</v>
      </c>
      <c r="AG102" s="110">
        <f t="shared" si="61"/>
        <v>0.5</v>
      </c>
      <c r="AI102" s="133"/>
      <c r="AJ102" s="211"/>
      <c r="AL102" s="108"/>
      <c r="AM102" s="2"/>
      <c r="AN102" s="2"/>
      <c r="AO102" s="2"/>
    </row>
    <row r="103" spans="1:63" outlineLevel="1" x14ac:dyDescent="0.2">
      <c r="A103" t="s">
        <v>1690</v>
      </c>
      <c r="B103" s="54" t="s">
        <v>462</v>
      </c>
      <c r="C103" s="110">
        <f>C90*C101</f>
        <v>9.0000000000000011E-2</v>
      </c>
      <c r="D103" s="110">
        <f t="shared" ref="D103:AG103" si="62">D90*D101</f>
        <v>0.10098000000000001</v>
      </c>
      <c r="E103" s="110">
        <f t="shared" si="62"/>
        <v>0.11172000000000001</v>
      </c>
      <c r="F103" s="110">
        <f t="shared" si="62"/>
        <v>0.12222000000000001</v>
      </c>
      <c r="G103" s="110">
        <f t="shared" si="62"/>
        <v>0.13247999999999999</v>
      </c>
      <c r="H103" s="110">
        <f t="shared" si="62"/>
        <v>0.14250000000000002</v>
      </c>
      <c r="I103" s="110">
        <f t="shared" si="62"/>
        <v>0.15228</v>
      </c>
      <c r="J103" s="110">
        <f t="shared" si="62"/>
        <v>0.16181999999999999</v>
      </c>
      <c r="K103" s="110">
        <f t="shared" si="62"/>
        <v>0.17112000000000002</v>
      </c>
      <c r="L103" s="110">
        <f t="shared" si="62"/>
        <v>0.18018000000000001</v>
      </c>
      <c r="M103" s="110">
        <f t="shared" si="62"/>
        <v>0.18900000000000003</v>
      </c>
      <c r="N103" s="110">
        <f t="shared" si="62"/>
        <v>0.19758000000000001</v>
      </c>
      <c r="O103" s="110">
        <f t="shared" si="62"/>
        <v>0.20592000000000002</v>
      </c>
      <c r="P103" s="110">
        <f t="shared" si="62"/>
        <v>0.21401999999999999</v>
      </c>
      <c r="Q103" s="110">
        <f t="shared" si="62"/>
        <v>0.22188000000000002</v>
      </c>
      <c r="R103" s="110">
        <f t="shared" si="62"/>
        <v>0.22950000000000001</v>
      </c>
      <c r="S103" s="110">
        <f t="shared" si="62"/>
        <v>0.23688000000000001</v>
      </c>
      <c r="T103" s="110">
        <f t="shared" si="62"/>
        <v>0.24402000000000001</v>
      </c>
      <c r="U103" s="110">
        <f t="shared" si="62"/>
        <v>0.25091999999999998</v>
      </c>
      <c r="V103" s="110">
        <f t="shared" si="62"/>
        <v>0.25758000000000003</v>
      </c>
      <c r="W103" s="110">
        <f t="shared" si="62"/>
        <v>0.26400000000000001</v>
      </c>
      <c r="X103" s="110">
        <f t="shared" si="62"/>
        <v>0.27017999999999998</v>
      </c>
      <c r="Y103" s="110">
        <f t="shared" si="62"/>
        <v>0.27612000000000003</v>
      </c>
      <c r="Z103" s="110">
        <f t="shared" si="62"/>
        <v>0.28182000000000001</v>
      </c>
      <c r="AA103" s="110">
        <f t="shared" si="62"/>
        <v>0.28727999999999998</v>
      </c>
      <c r="AB103" s="110">
        <f t="shared" si="62"/>
        <v>0.29250000000000004</v>
      </c>
      <c r="AC103" s="110">
        <f t="shared" si="62"/>
        <v>0.29748000000000002</v>
      </c>
      <c r="AD103" s="110">
        <f t="shared" si="62"/>
        <v>0.30221999999999999</v>
      </c>
      <c r="AE103" s="110">
        <f t="shared" si="62"/>
        <v>0.30671999999999999</v>
      </c>
      <c r="AF103" s="110">
        <f t="shared" si="62"/>
        <v>0.31098000000000003</v>
      </c>
      <c r="AG103" s="110">
        <f t="shared" si="62"/>
        <v>0.315</v>
      </c>
      <c r="AI103" s="133"/>
      <c r="AJ103" s="211"/>
      <c r="BD103" s="203"/>
      <c r="BE103" s="203"/>
    </row>
    <row r="104" spans="1:63" outlineLevel="1" x14ac:dyDescent="0.2">
      <c r="A104" t="s">
        <v>1691</v>
      </c>
      <c r="B104" s="54" t="s">
        <v>462</v>
      </c>
      <c r="C104" s="110">
        <f>C91*C101</f>
        <v>0</v>
      </c>
      <c r="D104" s="110">
        <f t="shared" ref="D104:AG104" si="63">D91*D101</f>
        <v>0</v>
      </c>
      <c r="E104" s="110">
        <f t="shared" si="63"/>
        <v>0</v>
      </c>
      <c r="F104" s="110">
        <f t="shared" si="63"/>
        <v>0</v>
      </c>
      <c r="G104" s="110">
        <f t="shared" si="63"/>
        <v>0</v>
      </c>
      <c r="H104" s="110">
        <f t="shared" si="63"/>
        <v>0</v>
      </c>
      <c r="I104" s="110">
        <f t="shared" si="63"/>
        <v>0</v>
      </c>
      <c r="J104" s="110">
        <f t="shared" si="63"/>
        <v>0</v>
      </c>
      <c r="K104" s="110">
        <f t="shared" si="63"/>
        <v>0</v>
      </c>
      <c r="L104" s="110">
        <f t="shared" si="63"/>
        <v>0</v>
      </c>
      <c r="M104" s="110">
        <f t="shared" si="63"/>
        <v>0</v>
      </c>
      <c r="N104" s="110">
        <f t="shared" si="63"/>
        <v>0</v>
      </c>
      <c r="O104" s="110">
        <f t="shared" si="63"/>
        <v>0</v>
      </c>
      <c r="P104" s="110">
        <f t="shared" si="63"/>
        <v>0</v>
      </c>
      <c r="Q104" s="110">
        <f t="shared" si="63"/>
        <v>0</v>
      </c>
      <c r="R104" s="110">
        <f t="shared" si="63"/>
        <v>0</v>
      </c>
      <c r="S104" s="110">
        <f t="shared" si="63"/>
        <v>0</v>
      </c>
      <c r="T104" s="110">
        <f t="shared" si="63"/>
        <v>0</v>
      </c>
      <c r="U104" s="110">
        <f t="shared" si="63"/>
        <v>0</v>
      </c>
      <c r="V104" s="110">
        <f t="shared" si="63"/>
        <v>0</v>
      </c>
      <c r="W104" s="110">
        <f t="shared" si="63"/>
        <v>0</v>
      </c>
      <c r="X104" s="110">
        <f t="shared" si="63"/>
        <v>0</v>
      </c>
      <c r="Y104" s="110">
        <f t="shared" si="63"/>
        <v>0</v>
      </c>
      <c r="Z104" s="110">
        <f t="shared" si="63"/>
        <v>0</v>
      </c>
      <c r="AA104" s="110">
        <f t="shared" si="63"/>
        <v>0</v>
      </c>
      <c r="AB104" s="110">
        <f t="shared" si="63"/>
        <v>0</v>
      </c>
      <c r="AC104" s="110">
        <f t="shared" si="63"/>
        <v>0</v>
      </c>
      <c r="AD104" s="110">
        <f t="shared" si="63"/>
        <v>0</v>
      </c>
      <c r="AE104" s="110">
        <f t="shared" si="63"/>
        <v>0</v>
      </c>
      <c r="AF104" s="110">
        <f t="shared" si="63"/>
        <v>0</v>
      </c>
      <c r="AG104" s="110">
        <f t="shared" si="63"/>
        <v>0</v>
      </c>
      <c r="AI104" s="133"/>
      <c r="AJ104" s="211"/>
      <c r="AL104" s="1"/>
      <c r="BC104" s="1"/>
      <c r="BD104" s="693"/>
      <c r="BE104" s="686"/>
      <c r="BF104" s="6"/>
      <c r="BG104" s="6"/>
      <c r="BH104" s="6"/>
      <c r="BI104" s="6"/>
      <c r="BJ104" s="6"/>
    </row>
    <row r="105" spans="1:63" outlineLevel="1" x14ac:dyDescent="0.2">
      <c r="A105" t="s">
        <v>1692</v>
      </c>
      <c r="B105" s="54" t="s">
        <v>462</v>
      </c>
      <c r="C105" s="110">
        <f>C92*C101</f>
        <v>9.9999999999999985E-3</v>
      </c>
      <c r="D105" s="110">
        <f t="shared" ref="D105:AG105" si="64">D92*D101</f>
        <v>1.1219999999999999E-2</v>
      </c>
      <c r="E105" s="110">
        <f t="shared" si="64"/>
        <v>1.2413333333333332E-2</v>
      </c>
      <c r="F105" s="110">
        <f t="shared" si="64"/>
        <v>1.3579999999999997E-2</v>
      </c>
      <c r="G105" s="110">
        <f t="shared" si="64"/>
        <v>1.4719999999999994E-2</v>
      </c>
      <c r="H105" s="110">
        <f t="shared" si="64"/>
        <v>1.5833333333333331E-2</v>
      </c>
      <c r="I105" s="110">
        <f t="shared" si="64"/>
        <v>1.6919999999999994E-2</v>
      </c>
      <c r="J105" s="110">
        <f t="shared" si="64"/>
        <v>1.7979999999999996E-2</v>
      </c>
      <c r="K105" s="110">
        <f t="shared" si="64"/>
        <v>1.901333333333333E-2</v>
      </c>
      <c r="L105" s="110">
        <f t="shared" si="64"/>
        <v>2.0019999999999996E-2</v>
      </c>
      <c r="M105" s="110">
        <f t="shared" si="64"/>
        <v>2.0999999999999998E-2</v>
      </c>
      <c r="N105" s="110">
        <f t="shared" si="64"/>
        <v>2.1953333333333328E-2</v>
      </c>
      <c r="O105" s="110">
        <f t="shared" si="64"/>
        <v>2.2879999999999994E-2</v>
      </c>
      <c r="P105" s="110">
        <f t="shared" si="64"/>
        <v>2.3779999999999992E-2</v>
      </c>
      <c r="Q105" s="110">
        <f t="shared" si="64"/>
        <v>2.4653333333333329E-2</v>
      </c>
      <c r="R105" s="110">
        <f t="shared" si="64"/>
        <v>2.5499999999999995E-2</v>
      </c>
      <c r="S105" s="110">
        <f t="shared" si="64"/>
        <v>2.6319999999999993E-2</v>
      </c>
      <c r="T105" s="110">
        <f t="shared" si="64"/>
        <v>2.7113333333333326E-2</v>
      </c>
      <c r="U105" s="110">
        <f t="shared" si="64"/>
        <v>2.7879999999999992E-2</v>
      </c>
      <c r="V105" s="110">
        <f t="shared" si="64"/>
        <v>2.8619999999999996E-2</v>
      </c>
      <c r="W105" s="110">
        <f t="shared" si="64"/>
        <v>2.9333333333333326E-2</v>
      </c>
      <c r="X105" s="110">
        <f t="shared" si="64"/>
        <v>3.0019999999999991E-2</v>
      </c>
      <c r="Y105" s="110">
        <f t="shared" si="64"/>
        <v>3.0679999999999995E-2</v>
      </c>
      <c r="Z105" s="110">
        <f t="shared" si="64"/>
        <v>3.1313333333333325E-2</v>
      </c>
      <c r="AA105" s="110">
        <f t="shared" si="64"/>
        <v>3.191999999999999E-2</v>
      </c>
      <c r="AB105" s="110">
        <f t="shared" si="64"/>
        <v>3.2499999999999994E-2</v>
      </c>
      <c r="AC105" s="110">
        <f t="shared" si="64"/>
        <v>3.305333333333333E-2</v>
      </c>
      <c r="AD105" s="110">
        <f t="shared" si="64"/>
        <v>3.3579999999999992E-2</v>
      </c>
      <c r="AE105" s="110">
        <f t="shared" si="64"/>
        <v>3.4079999999999992E-2</v>
      </c>
      <c r="AF105" s="110">
        <f t="shared" si="64"/>
        <v>3.4553333333333325E-2</v>
      </c>
      <c r="AG105" s="110">
        <f t="shared" si="64"/>
        <v>3.4999999999999989E-2</v>
      </c>
      <c r="AI105" s="134"/>
      <c r="AJ105" s="211"/>
      <c r="BC105" s="1"/>
      <c r="BD105" s="41"/>
      <c r="BF105" s="6"/>
      <c r="BG105" s="6"/>
      <c r="BH105" s="6"/>
      <c r="BI105" s="6"/>
      <c r="BJ105" s="6"/>
    </row>
    <row r="106" spans="1:63" outlineLevel="1" x14ac:dyDescent="0.2">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I106" s="134"/>
      <c r="AJ106" s="211"/>
      <c r="BC106" s="1"/>
      <c r="BD106" s="41"/>
      <c r="BF106" s="6"/>
      <c r="BG106" s="6"/>
      <c r="BH106" s="6"/>
      <c r="BI106" s="6"/>
      <c r="BJ106" s="6"/>
    </row>
    <row r="107" spans="1:63" s="1" customFormat="1" outlineLevel="1" x14ac:dyDescent="0.2">
      <c r="A107" s="1" t="s">
        <v>228</v>
      </c>
      <c r="B107" s="65"/>
      <c r="C107" s="300">
        <f t="shared" ref="C107:AG107" si="65">C43*C100</f>
        <v>0</v>
      </c>
      <c r="D107" s="300">
        <f t="shared" si="65"/>
        <v>3.4450816091453657E-3</v>
      </c>
      <c r="E107" s="300">
        <f t="shared" si="65"/>
        <v>7.938106885249617E-3</v>
      </c>
      <c r="F107" s="300">
        <f t="shared" si="65"/>
        <v>1.3530711596759292E-2</v>
      </c>
      <c r="G107" s="300">
        <f t="shared" si="65"/>
        <v>2.0261864508349756E-2</v>
      </c>
      <c r="H107" s="300">
        <f t="shared" si="65"/>
        <v>2.8156495720251532E-2</v>
      </c>
      <c r="I107" s="300">
        <f t="shared" si="65"/>
        <v>3.7304641596000325E-2</v>
      </c>
      <c r="J107" s="300">
        <f t="shared" si="65"/>
        <v>4.7766693371041086E-2</v>
      </c>
      <c r="K107" s="300">
        <f t="shared" si="65"/>
        <v>5.9602417928327552E-2</v>
      </c>
      <c r="L107" s="300">
        <f t="shared" si="65"/>
        <v>7.2870749372194565E-2</v>
      </c>
      <c r="M107" s="300">
        <f t="shared" si="65"/>
        <v>8.7629575745957186E-2</v>
      </c>
      <c r="N107" s="300">
        <f t="shared" si="65"/>
        <v>0.10378681159027671</v>
      </c>
      <c r="O107" s="300">
        <f t="shared" si="65"/>
        <v>0.12132107216791799</v>
      </c>
      <c r="P107" s="300">
        <f t="shared" si="65"/>
        <v>0.13981761001553208</v>
      </c>
      <c r="Q107" s="300">
        <f t="shared" si="65"/>
        <v>0.1594947469468373</v>
      </c>
      <c r="R107" s="300">
        <f t="shared" si="65"/>
        <v>0.18027608415031182</v>
      </c>
      <c r="S107" s="300">
        <f t="shared" si="65"/>
        <v>0.20243512776156425</v>
      </c>
      <c r="T107" s="300">
        <f t="shared" si="65"/>
        <v>0.22599348509506079</v>
      </c>
      <c r="U107" s="300">
        <f t="shared" si="65"/>
        <v>0.25097220176120361</v>
      </c>
      <c r="V107" s="300">
        <f t="shared" si="65"/>
        <v>0.27739173596855238</v>
      </c>
      <c r="W107" s="300">
        <f t="shared" si="65"/>
        <v>0.30527193296088428</v>
      </c>
      <c r="X107" s="300">
        <f t="shared" si="65"/>
        <v>0.33463568539136673</v>
      </c>
      <c r="Y107" s="300">
        <f t="shared" si="65"/>
        <v>0.36550256245467994</v>
      </c>
      <c r="Z107" s="300">
        <f t="shared" si="65"/>
        <v>0.3956771658466271</v>
      </c>
      <c r="AA107" s="300">
        <f t="shared" si="65"/>
        <v>0.42700118522651892</v>
      </c>
      <c r="AB107" s="300">
        <f t="shared" si="65"/>
        <v>0.45946291991321581</v>
      </c>
      <c r="AC107" s="300">
        <f t="shared" si="65"/>
        <v>0.49305396338692858</v>
      </c>
      <c r="AD107" s="300">
        <f t="shared" si="65"/>
        <v>0.52776085829499475</v>
      </c>
      <c r="AE107" s="300">
        <f t="shared" si="65"/>
        <v>0.56356881918683266</v>
      </c>
      <c r="AF107" s="300">
        <f t="shared" si="65"/>
        <v>0.60046172032994827</v>
      </c>
      <c r="AG107" s="300">
        <f t="shared" si="65"/>
        <v>0.63842208450774773</v>
      </c>
      <c r="AH107" s="245"/>
      <c r="AI107" s="423"/>
      <c r="AJ107" s="424"/>
      <c r="AL107" s="221"/>
      <c r="AM107" s="124"/>
      <c r="AN107" s="124"/>
      <c r="AO107" s="124"/>
      <c r="BD107" s="124"/>
      <c r="BE107" s="124"/>
      <c r="BF107" s="124"/>
      <c r="BG107" s="124"/>
      <c r="BH107" s="124"/>
      <c r="BI107" s="124"/>
      <c r="BJ107" s="124"/>
      <c r="BK107" s="124"/>
    </row>
    <row r="108" spans="1:63" s="1" customFormat="1" outlineLevel="1" x14ac:dyDescent="0.2">
      <c r="A108" s="1" t="s">
        <v>1562</v>
      </c>
      <c r="B108" s="65"/>
      <c r="C108" s="300">
        <f t="shared" ref="C108:AG108" si="66">C107-$C107</f>
        <v>0</v>
      </c>
      <c r="D108" s="300">
        <f t="shared" si="66"/>
        <v>3.4450816091453657E-3</v>
      </c>
      <c r="E108" s="300">
        <f t="shared" si="66"/>
        <v>7.938106885249617E-3</v>
      </c>
      <c r="F108" s="300">
        <f t="shared" si="66"/>
        <v>1.3530711596759292E-2</v>
      </c>
      <c r="G108" s="300">
        <f t="shared" si="66"/>
        <v>2.0261864508349756E-2</v>
      </c>
      <c r="H108" s="300">
        <f t="shared" si="66"/>
        <v>2.8156495720251532E-2</v>
      </c>
      <c r="I108" s="300">
        <f t="shared" si="66"/>
        <v>3.7304641596000325E-2</v>
      </c>
      <c r="J108" s="300">
        <f t="shared" si="66"/>
        <v>4.7766693371041086E-2</v>
      </c>
      <c r="K108" s="300">
        <f t="shared" si="66"/>
        <v>5.9602417928327552E-2</v>
      </c>
      <c r="L108" s="300">
        <f t="shared" si="66"/>
        <v>7.2870749372194565E-2</v>
      </c>
      <c r="M108" s="300">
        <f t="shared" si="66"/>
        <v>8.7629575745957186E-2</v>
      </c>
      <c r="N108" s="300">
        <f t="shared" si="66"/>
        <v>0.10378681159027671</v>
      </c>
      <c r="O108" s="300">
        <f t="shared" si="66"/>
        <v>0.12132107216791799</v>
      </c>
      <c r="P108" s="300">
        <f t="shared" si="66"/>
        <v>0.13981761001553208</v>
      </c>
      <c r="Q108" s="300">
        <f t="shared" si="66"/>
        <v>0.1594947469468373</v>
      </c>
      <c r="R108" s="300">
        <f t="shared" si="66"/>
        <v>0.18027608415031182</v>
      </c>
      <c r="S108" s="300">
        <f t="shared" si="66"/>
        <v>0.20243512776156425</v>
      </c>
      <c r="T108" s="300">
        <f t="shared" si="66"/>
        <v>0.22599348509506079</v>
      </c>
      <c r="U108" s="300">
        <f t="shared" si="66"/>
        <v>0.25097220176120361</v>
      </c>
      <c r="V108" s="300">
        <f t="shared" si="66"/>
        <v>0.27739173596855238</v>
      </c>
      <c r="W108" s="300">
        <f t="shared" si="66"/>
        <v>0.30527193296088428</v>
      </c>
      <c r="X108" s="300">
        <f t="shared" si="66"/>
        <v>0.33463568539136673</v>
      </c>
      <c r="Y108" s="300">
        <f t="shared" si="66"/>
        <v>0.36550256245467994</v>
      </c>
      <c r="Z108" s="300">
        <f t="shared" si="66"/>
        <v>0.3956771658466271</v>
      </c>
      <c r="AA108" s="300">
        <f t="shared" si="66"/>
        <v>0.42700118522651892</v>
      </c>
      <c r="AB108" s="300">
        <f t="shared" si="66"/>
        <v>0.45946291991321581</v>
      </c>
      <c r="AC108" s="300">
        <f t="shared" si="66"/>
        <v>0.49305396338692858</v>
      </c>
      <c r="AD108" s="300">
        <f t="shared" si="66"/>
        <v>0.52776085829499475</v>
      </c>
      <c r="AE108" s="300">
        <f t="shared" si="66"/>
        <v>0.56356881918683266</v>
      </c>
      <c r="AF108" s="300">
        <f t="shared" si="66"/>
        <v>0.60046172032994827</v>
      </c>
      <c r="AG108" s="300">
        <f t="shared" si="66"/>
        <v>0.63842208450774773</v>
      </c>
      <c r="AH108" s="245"/>
      <c r="AI108" s="423"/>
      <c r="AJ108" s="424"/>
      <c r="AL108" s="221"/>
      <c r="AM108" s="124"/>
      <c r="AN108" s="124"/>
      <c r="AO108" s="124"/>
      <c r="BD108" s="124"/>
      <c r="BE108" s="124"/>
      <c r="BF108" s="124"/>
      <c r="BG108" s="124"/>
      <c r="BH108" s="124"/>
      <c r="BI108" s="124"/>
      <c r="BJ108" s="124"/>
      <c r="BK108" s="124"/>
    </row>
    <row r="109" spans="1:63" s="1" customFormat="1" outlineLevel="1" x14ac:dyDescent="0.2">
      <c r="A109" s="1" t="s">
        <v>1569</v>
      </c>
      <c r="B109" s="65"/>
      <c r="C109" s="300">
        <f t="shared" ref="C109:AG109" si="67">C43*C103</f>
        <v>0.26470664639111574</v>
      </c>
      <c r="D109" s="300">
        <f t="shared" si="67"/>
        <v>0.30695677137485211</v>
      </c>
      <c r="E109" s="300">
        <f t="shared" si="67"/>
        <v>0.35007051363950809</v>
      </c>
      <c r="F109" s="300">
        <f t="shared" si="67"/>
        <v>0.39374370746569537</v>
      </c>
      <c r="G109" s="300">
        <f t="shared" si="67"/>
        <v>0.43765627338035468</v>
      </c>
      <c r="H109" s="300">
        <f t="shared" si="67"/>
        <v>0.48147607681630111</v>
      </c>
      <c r="I109" s="300">
        <f t="shared" si="67"/>
        <v>0.52599544650360452</v>
      </c>
      <c r="J109" s="300">
        <f t="shared" si="67"/>
        <v>0.57115317645087682</v>
      </c>
      <c r="K109" s="300">
        <f t="shared" si="67"/>
        <v>0.61688502555819025</v>
      </c>
      <c r="L109" s="300">
        <f t="shared" si="67"/>
        <v>0.66312381928697062</v>
      </c>
      <c r="M109" s="300">
        <f t="shared" si="67"/>
        <v>0.70979956354225338</v>
      </c>
      <c r="N109" s="300">
        <f t="shared" si="67"/>
        <v>0.755756691671015</v>
      </c>
      <c r="O109" s="300">
        <f t="shared" si="67"/>
        <v>0.80071907630825889</v>
      </c>
      <c r="P109" s="300">
        <f t="shared" si="67"/>
        <v>0.84213222032432022</v>
      </c>
      <c r="Q109" s="300">
        <f t="shared" si="67"/>
        <v>0.88177810097751474</v>
      </c>
      <c r="R109" s="300">
        <f t="shared" si="67"/>
        <v>0.91940802916659026</v>
      </c>
      <c r="S109" s="300">
        <f t="shared" si="67"/>
        <v>0.95650597867339104</v>
      </c>
      <c r="T109" s="300">
        <f t="shared" si="67"/>
        <v>0.99304196097653186</v>
      </c>
      <c r="U109" s="300">
        <f t="shared" si="67"/>
        <v>1.0289860272209346</v>
      </c>
      <c r="V109" s="300">
        <f t="shared" si="67"/>
        <v>1.0643082922161824</v>
      </c>
      <c r="W109" s="300">
        <f t="shared" si="67"/>
        <v>1.0989789586591834</v>
      </c>
      <c r="X109" s="300">
        <f t="shared" si="67"/>
        <v>1.1329808205393412</v>
      </c>
      <c r="Y109" s="300">
        <f t="shared" si="67"/>
        <v>1.1662854492872057</v>
      </c>
      <c r="Z109" s="300">
        <f t="shared" si="67"/>
        <v>1.192192504050924</v>
      </c>
      <c r="AA109" s="300">
        <f t="shared" si="67"/>
        <v>1.2169533778955783</v>
      </c>
      <c r="AB109" s="300">
        <f t="shared" si="67"/>
        <v>1.2405498837656825</v>
      </c>
      <c r="AC109" s="300">
        <f t="shared" si="67"/>
        <v>1.2629766908295939</v>
      </c>
      <c r="AD109" s="300">
        <f t="shared" si="67"/>
        <v>1.28421808851782</v>
      </c>
      <c r="AE109" s="300">
        <f t="shared" si="67"/>
        <v>1.3042592672609552</v>
      </c>
      <c r="AF109" s="300">
        <f t="shared" si="67"/>
        <v>1.3230863423821959</v>
      </c>
      <c r="AG109" s="300">
        <f t="shared" si="67"/>
        <v>1.3406863774662703</v>
      </c>
      <c r="AH109" s="245"/>
      <c r="AI109" s="423"/>
      <c r="AJ109" s="424"/>
      <c r="AL109" s="221"/>
      <c r="AM109" s="124"/>
      <c r="AN109" s="124"/>
      <c r="AO109" s="124"/>
      <c r="BD109" s="124"/>
      <c r="BE109" s="124"/>
      <c r="BF109" s="124"/>
      <c r="BG109" s="124"/>
      <c r="BH109" s="124"/>
      <c r="BI109" s="124"/>
      <c r="BJ109" s="124"/>
      <c r="BK109" s="124"/>
    </row>
    <row r="110" spans="1:63" s="1" customFormat="1" outlineLevel="1" x14ac:dyDescent="0.2">
      <c r="A110" s="1" t="s">
        <v>1570</v>
      </c>
      <c r="B110" s="65"/>
      <c r="C110" s="300">
        <f t="shared" ref="C110:AG110" si="68">C109-$C109</f>
        <v>0</v>
      </c>
      <c r="D110" s="300">
        <f t="shared" si="68"/>
        <v>4.225012498373637E-2</v>
      </c>
      <c r="E110" s="300">
        <f t="shared" si="68"/>
        <v>8.5363867248392344E-2</v>
      </c>
      <c r="F110" s="300">
        <f t="shared" si="68"/>
        <v>0.12903706107457963</v>
      </c>
      <c r="G110" s="300">
        <f t="shared" si="68"/>
        <v>0.17294962698923894</v>
      </c>
      <c r="H110" s="300">
        <f t="shared" si="68"/>
        <v>0.21676943042518537</v>
      </c>
      <c r="I110" s="300">
        <f t="shared" si="68"/>
        <v>0.26128880011248878</v>
      </c>
      <c r="J110" s="300">
        <f t="shared" si="68"/>
        <v>0.30644653005976108</v>
      </c>
      <c r="K110" s="300">
        <f t="shared" si="68"/>
        <v>0.35217837916707451</v>
      </c>
      <c r="L110" s="300">
        <f t="shared" si="68"/>
        <v>0.39841717289585488</v>
      </c>
      <c r="M110" s="300">
        <f t="shared" si="68"/>
        <v>0.44509291715113763</v>
      </c>
      <c r="N110" s="300">
        <f t="shared" si="68"/>
        <v>0.49105004527989926</v>
      </c>
      <c r="O110" s="300">
        <f t="shared" si="68"/>
        <v>0.53601242991714315</v>
      </c>
      <c r="P110" s="300">
        <f t="shared" si="68"/>
        <v>0.57742557393320448</v>
      </c>
      <c r="Q110" s="300">
        <f t="shared" si="68"/>
        <v>0.617071454586399</v>
      </c>
      <c r="R110" s="300">
        <f t="shared" si="68"/>
        <v>0.65470138277547452</v>
      </c>
      <c r="S110" s="300">
        <f t="shared" si="68"/>
        <v>0.6917993322822753</v>
      </c>
      <c r="T110" s="300">
        <f t="shared" si="68"/>
        <v>0.72833531458541612</v>
      </c>
      <c r="U110" s="300">
        <f t="shared" si="68"/>
        <v>0.76427938082981883</v>
      </c>
      <c r="V110" s="300">
        <f t="shared" si="68"/>
        <v>0.79960164582506665</v>
      </c>
      <c r="W110" s="300">
        <f t="shared" si="68"/>
        <v>0.83427231226806764</v>
      </c>
      <c r="X110" s="300">
        <f t="shared" si="68"/>
        <v>0.8682741741482255</v>
      </c>
      <c r="Y110" s="300">
        <f t="shared" si="68"/>
        <v>0.90157880289608994</v>
      </c>
      <c r="Z110" s="300">
        <f t="shared" si="68"/>
        <v>0.92748585765980829</v>
      </c>
      <c r="AA110" s="300">
        <f t="shared" si="68"/>
        <v>0.9522467315044626</v>
      </c>
      <c r="AB110" s="300">
        <f t="shared" si="68"/>
        <v>0.9758432373745668</v>
      </c>
      <c r="AC110" s="300">
        <f t="shared" si="68"/>
        <v>0.99827004443847811</v>
      </c>
      <c r="AD110" s="300">
        <f t="shared" si="68"/>
        <v>1.0195114421267042</v>
      </c>
      <c r="AE110" s="300">
        <f t="shared" si="68"/>
        <v>1.0395526208698396</v>
      </c>
      <c r="AF110" s="300">
        <f t="shared" si="68"/>
        <v>1.0583796959910803</v>
      </c>
      <c r="AG110" s="300">
        <f t="shared" si="68"/>
        <v>1.0759797310751544</v>
      </c>
      <c r="AH110" s="245"/>
      <c r="AI110" s="423"/>
      <c r="AJ110" s="424"/>
      <c r="AL110" s="221"/>
      <c r="AM110" s="124"/>
      <c r="AN110" s="124"/>
      <c r="AO110" s="124"/>
      <c r="BD110" s="124"/>
      <c r="BE110" s="124"/>
      <c r="BF110" s="124"/>
      <c r="BG110" s="124"/>
      <c r="BH110" s="124"/>
      <c r="BI110" s="124"/>
      <c r="BJ110" s="124"/>
      <c r="BK110" s="124"/>
    </row>
    <row r="111" spans="1:63" s="1" customFormat="1" outlineLevel="1" x14ac:dyDescent="0.2">
      <c r="A111" s="1" t="s">
        <v>1578</v>
      </c>
      <c r="B111" s="65"/>
      <c r="C111" s="300">
        <f t="shared" ref="C111:AG111" si="69">C43*C104</f>
        <v>0</v>
      </c>
      <c r="D111" s="300">
        <f t="shared" si="69"/>
        <v>0</v>
      </c>
      <c r="E111" s="300">
        <f t="shared" si="69"/>
        <v>0</v>
      </c>
      <c r="F111" s="300">
        <f t="shared" si="69"/>
        <v>0</v>
      </c>
      <c r="G111" s="300">
        <f t="shared" si="69"/>
        <v>0</v>
      </c>
      <c r="H111" s="300">
        <f t="shared" si="69"/>
        <v>0</v>
      </c>
      <c r="I111" s="300">
        <f t="shared" si="69"/>
        <v>0</v>
      </c>
      <c r="J111" s="300">
        <f t="shared" si="69"/>
        <v>0</v>
      </c>
      <c r="K111" s="300">
        <f t="shared" si="69"/>
        <v>0</v>
      </c>
      <c r="L111" s="300">
        <f t="shared" si="69"/>
        <v>0</v>
      </c>
      <c r="M111" s="300">
        <f t="shared" si="69"/>
        <v>0</v>
      </c>
      <c r="N111" s="300">
        <f t="shared" si="69"/>
        <v>0</v>
      </c>
      <c r="O111" s="300">
        <f t="shared" si="69"/>
        <v>0</v>
      </c>
      <c r="P111" s="300">
        <f t="shared" si="69"/>
        <v>0</v>
      </c>
      <c r="Q111" s="300">
        <f t="shared" si="69"/>
        <v>0</v>
      </c>
      <c r="R111" s="300">
        <f t="shared" si="69"/>
        <v>0</v>
      </c>
      <c r="S111" s="300">
        <f t="shared" si="69"/>
        <v>0</v>
      </c>
      <c r="T111" s="300">
        <f t="shared" si="69"/>
        <v>0</v>
      </c>
      <c r="U111" s="300">
        <f t="shared" si="69"/>
        <v>0</v>
      </c>
      <c r="V111" s="300">
        <f t="shared" si="69"/>
        <v>0</v>
      </c>
      <c r="W111" s="300">
        <f t="shared" si="69"/>
        <v>0</v>
      </c>
      <c r="X111" s="300">
        <f t="shared" si="69"/>
        <v>0</v>
      </c>
      <c r="Y111" s="300">
        <f t="shared" si="69"/>
        <v>0</v>
      </c>
      <c r="Z111" s="300">
        <f t="shared" si="69"/>
        <v>0</v>
      </c>
      <c r="AA111" s="300">
        <f t="shared" si="69"/>
        <v>0</v>
      </c>
      <c r="AB111" s="300">
        <f t="shared" si="69"/>
        <v>0</v>
      </c>
      <c r="AC111" s="300">
        <f t="shared" si="69"/>
        <v>0</v>
      </c>
      <c r="AD111" s="300">
        <f t="shared" si="69"/>
        <v>0</v>
      </c>
      <c r="AE111" s="300">
        <f t="shared" si="69"/>
        <v>0</v>
      </c>
      <c r="AF111" s="300">
        <f t="shared" si="69"/>
        <v>0</v>
      </c>
      <c r="AG111" s="300">
        <f t="shared" si="69"/>
        <v>0</v>
      </c>
      <c r="AH111" s="245"/>
      <c r="AI111" s="423"/>
      <c r="AJ111" s="424"/>
      <c r="AL111" s="221"/>
      <c r="AM111" s="124"/>
      <c r="AN111" s="124"/>
      <c r="AO111" s="124"/>
      <c r="BD111" s="124"/>
      <c r="BE111" s="124"/>
      <c r="BF111" s="124"/>
      <c r="BG111" s="124"/>
      <c r="BH111" s="124"/>
      <c r="BI111" s="124"/>
      <c r="BJ111" s="124"/>
      <c r="BK111" s="124"/>
    </row>
    <row r="112" spans="1:63" s="1" customFormat="1" outlineLevel="1" x14ac:dyDescent="0.2">
      <c r="A112" s="1" t="s">
        <v>1579</v>
      </c>
      <c r="B112" s="65"/>
      <c r="C112" s="300">
        <f t="shared" ref="C112:AG112" si="70">C111-$C111</f>
        <v>0</v>
      </c>
      <c r="D112" s="300">
        <f t="shared" si="70"/>
        <v>0</v>
      </c>
      <c r="E112" s="300">
        <f t="shared" si="70"/>
        <v>0</v>
      </c>
      <c r="F112" s="300">
        <f t="shared" si="70"/>
        <v>0</v>
      </c>
      <c r="G112" s="300">
        <f t="shared" si="70"/>
        <v>0</v>
      </c>
      <c r="H112" s="300">
        <f t="shared" si="70"/>
        <v>0</v>
      </c>
      <c r="I112" s="300">
        <f t="shared" si="70"/>
        <v>0</v>
      </c>
      <c r="J112" s="300">
        <f t="shared" si="70"/>
        <v>0</v>
      </c>
      <c r="K112" s="300">
        <f t="shared" si="70"/>
        <v>0</v>
      </c>
      <c r="L112" s="300">
        <f t="shared" si="70"/>
        <v>0</v>
      </c>
      <c r="M112" s="300">
        <f t="shared" si="70"/>
        <v>0</v>
      </c>
      <c r="N112" s="300">
        <f t="shared" si="70"/>
        <v>0</v>
      </c>
      <c r="O112" s="300">
        <f t="shared" si="70"/>
        <v>0</v>
      </c>
      <c r="P112" s="300">
        <f t="shared" si="70"/>
        <v>0</v>
      </c>
      <c r="Q112" s="300">
        <f t="shared" si="70"/>
        <v>0</v>
      </c>
      <c r="R112" s="300">
        <f t="shared" si="70"/>
        <v>0</v>
      </c>
      <c r="S112" s="300">
        <f t="shared" si="70"/>
        <v>0</v>
      </c>
      <c r="T112" s="300">
        <f t="shared" si="70"/>
        <v>0</v>
      </c>
      <c r="U112" s="300">
        <f t="shared" si="70"/>
        <v>0</v>
      </c>
      <c r="V112" s="300">
        <f t="shared" si="70"/>
        <v>0</v>
      </c>
      <c r="W112" s="300">
        <f t="shared" si="70"/>
        <v>0</v>
      </c>
      <c r="X112" s="300">
        <f t="shared" si="70"/>
        <v>0</v>
      </c>
      <c r="Y112" s="300">
        <f t="shared" si="70"/>
        <v>0</v>
      </c>
      <c r="Z112" s="300">
        <f t="shared" si="70"/>
        <v>0</v>
      </c>
      <c r="AA112" s="300">
        <f t="shared" si="70"/>
        <v>0</v>
      </c>
      <c r="AB112" s="300">
        <f t="shared" si="70"/>
        <v>0</v>
      </c>
      <c r="AC112" s="300">
        <f t="shared" si="70"/>
        <v>0</v>
      </c>
      <c r="AD112" s="300">
        <f t="shared" si="70"/>
        <v>0</v>
      </c>
      <c r="AE112" s="300">
        <f t="shared" si="70"/>
        <v>0</v>
      </c>
      <c r="AF112" s="300">
        <f t="shared" si="70"/>
        <v>0</v>
      </c>
      <c r="AG112" s="300">
        <f t="shared" si="70"/>
        <v>0</v>
      </c>
      <c r="AH112" s="245"/>
      <c r="AI112" s="423"/>
      <c r="AJ112" s="424"/>
      <c r="AL112" s="221"/>
      <c r="AM112" s="124"/>
      <c r="AN112" s="124"/>
      <c r="AO112" s="124"/>
      <c r="BD112" s="124"/>
      <c r="BE112" s="124"/>
      <c r="BF112" s="124"/>
      <c r="BG112" s="124"/>
      <c r="BH112" s="124"/>
      <c r="BI112" s="124"/>
      <c r="BJ112" s="124"/>
      <c r="BK112" s="124"/>
    </row>
    <row r="113" spans="1:63" s="1" customFormat="1" outlineLevel="1" x14ac:dyDescent="0.2">
      <c r="A113" s="1" t="s">
        <v>1567</v>
      </c>
      <c r="B113" s="65"/>
      <c r="C113" s="300">
        <f t="shared" ref="C113:AG113" si="71">C43*C105</f>
        <v>2.941184959901285E-2</v>
      </c>
      <c r="D113" s="300">
        <f t="shared" si="71"/>
        <v>3.4106307930539113E-2</v>
      </c>
      <c r="E113" s="300">
        <f t="shared" si="71"/>
        <v>3.8896723737723113E-2</v>
      </c>
      <c r="F113" s="300">
        <f t="shared" si="71"/>
        <v>4.3749300829521692E-2</v>
      </c>
      <c r="G113" s="300">
        <f t="shared" si="71"/>
        <v>4.8628474820039395E-2</v>
      </c>
      <c r="H113" s="300">
        <f t="shared" si="71"/>
        <v>5.3497341868477891E-2</v>
      </c>
      <c r="I113" s="300">
        <f t="shared" si="71"/>
        <v>5.8443938500400479E-2</v>
      </c>
      <c r="J113" s="300">
        <f t="shared" si="71"/>
        <v>6.3461464050097421E-2</v>
      </c>
      <c r="K113" s="300">
        <f t="shared" si="71"/>
        <v>6.8542780617576668E-2</v>
      </c>
      <c r="L113" s="300">
        <f t="shared" si="71"/>
        <v>7.3680424365218947E-2</v>
      </c>
      <c r="M113" s="300">
        <f t="shared" si="71"/>
        <v>7.8866618171361466E-2</v>
      </c>
      <c r="N113" s="300">
        <f t="shared" si="71"/>
        <v>8.3972965741223871E-2</v>
      </c>
      <c r="O113" s="300">
        <f t="shared" si="71"/>
        <v>8.8968786256473184E-2</v>
      </c>
      <c r="P113" s="300">
        <f t="shared" si="71"/>
        <v>9.3570246702702226E-2</v>
      </c>
      <c r="Q113" s="300">
        <f t="shared" si="71"/>
        <v>9.7975344553057175E-2</v>
      </c>
      <c r="R113" s="300">
        <f t="shared" si="71"/>
        <v>0.10215644768517668</v>
      </c>
      <c r="S113" s="300">
        <f t="shared" si="71"/>
        <v>0.10627844207482121</v>
      </c>
      <c r="T113" s="300">
        <f t="shared" si="71"/>
        <v>0.11033799566405905</v>
      </c>
      <c r="U113" s="300">
        <f t="shared" si="71"/>
        <v>0.11433178080232603</v>
      </c>
      <c r="V113" s="300">
        <f t="shared" si="71"/>
        <v>0.11825647691290912</v>
      </c>
      <c r="W113" s="300">
        <f t="shared" si="71"/>
        <v>0.12210877318435366</v>
      </c>
      <c r="X113" s="300">
        <f t="shared" si="71"/>
        <v>0.12588675783770456</v>
      </c>
      <c r="Y113" s="300">
        <f t="shared" si="71"/>
        <v>0.12958727214302282</v>
      </c>
      <c r="Z113" s="300">
        <f t="shared" si="71"/>
        <v>0.13246583378343596</v>
      </c>
      <c r="AA113" s="300">
        <f t="shared" si="71"/>
        <v>0.13521704198839754</v>
      </c>
      <c r="AB113" s="300">
        <f t="shared" si="71"/>
        <v>0.13783887597396469</v>
      </c>
      <c r="AC113" s="300">
        <f t="shared" si="71"/>
        <v>0.14033074342551038</v>
      </c>
      <c r="AD113" s="300">
        <f t="shared" si="71"/>
        <v>0.14269089872420221</v>
      </c>
      <c r="AE113" s="300">
        <f t="shared" si="71"/>
        <v>0.14491769636232835</v>
      </c>
      <c r="AF113" s="300">
        <f t="shared" si="71"/>
        <v>0.14700959359802171</v>
      </c>
      <c r="AG113" s="300">
        <f t="shared" si="71"/>
        <v>0.14896515305180777</v>
      </c>
      <c r="AH113" s="245"/>
      <c r="AI113" s="423"/>
      <c r="AJ113" s="424"/>
      <c r="AL113" s="221"/>
      <c r="AM113" s="124"/>
      <c r="AN113" s="124"/>
      <c r="AO113" s="124"/>
      <c r="BD113" s="124"/>
      <c r="BE113" s="124"/>
      <c r="BF113" s="124"/>
      <c r="BG113" s="124"/>
      <c r="BH113" s="124"/>
      <c r="BI113" s="124"/>
      <c r="BJ113" s="124"/>
      <c r="BK113" s="124"/>
    </row>
    <row r="114" spans="1:63" s="1" customFormat="1" outlineLevel="1" x14ac:dyDescent="0.2">
      <c r="A114" s="1" t="s">
        <v>1568</v>
      </c>
      <c r="B114" s="65"/>
      <c r="C114" s="300">
        <f t="shared" ref="C114:AG114" si="72">C113-$C113</f>
        <v>0</v>
      </c>
      <c r="D114" s="300">
        <f t="shared" si="72"/>
        <v>4.6944583315262634E-3</v>
      </c>
      <c r="E114" s="300">
        <f t="shared" si="72"/>
        <v>9.4848741387102628E-3</v>
      </c>
      <c r="F114" s="300">
        <f t="shared" si="72"/>
        <v>1.4337451230508842E-2</v>
      </c>
      <c r="G114" s="300">
        <f t="shared" si="72"/>
        <v>1.9216625221026545E-2</v>
      </c>
      <c r="H114" s="300">
        <f t="shared" si="72"/>
        <v>2.4085492269465041E-2</v>
      </c>
      <c r="I114" s="300">
        <f t="shared" si="72"/>
        <v>2.9032088901387629E-2</v>
      </c>
      <c r="J114" s="300">
        <f t="shared" si="72"/>
        <v>3.4049614451084571E-2</v>
      </c>
      <c r="K114" s="300">
        <f t="shared" si="72"/>
        <v>3.9130931018563818E-2</v>
      </c>
      <c r="L114" s="300">
        <f t="shared" si="72"/>
        <v>4.4268574766206097E-2</v>
      </c>
      <c r="M114" s="300">
        <f t="shared" si="72"/>
        <v>4.9454768572348616E-2</v>
      </c>
      <c r="N114" s="300">
        <f t="shared" si="72"/>
        <v>5.4561116142211021E-2</v>
      </c>
      <c r="O114" s="300">
        <f t="shared" si="72"/>
        <v>5.9556936657460334E-2</v>
      </c>
      <c r="P114" s="300">
        <f t="shared" si="72"/>
        <v>6.4158397103689369E-2</v>
      </c>
      <c r="Q114" s="300">
        <f t="shared" si="72"/>
        <v>6.8563494954044318E-2</v>
      </c>
      <c r="R114" s="300">
        <f t="shared" si="72"/>
        <v>7.274459808616382E-2</v>
      </c>
      <c r="S114" s="300">
        <f t="shared" si="72"/>
        <v>7.6866592475808349E-2</v>
      </c>
      <c r="T114" s="300">
        <f t="shared" si="72"/>
        <v>8.0926146065046195E-2</v>
      </c>
      <c r="U114" s="300">
        <f t="shared" si="72"/>
        <v>8.4919931203313176E-2</v>
      </c>
      <c r="V114" s="300">
        <f t="shared" si="72"/>
        <v>8.8844627313896279E-2</v>
      </c>
      <c r="W114" s="300">
        <f t="shared" si="72"/>
        <v>9.2696923585340818E-2</v>
      </c>
      <c r="X114" s="300">
        <f t="shared" si="72"/>
        <v>9.6474908238691703E-2</v>
      </c>
      <c r="Y114" s="300">
        <f t="shared" si="72"/>
        <v>0.10017542254400996</v>
      </c>
      <c r="Z114" s="300">
        <f t="shared" si="72"/>
        <v>0.1030539841844231</v>
      </c>
      <c r="AA114" s="300">
        <f t="shared" si="72"/>
        <v>0.10580519238938468</v>
      </c>
      <c r="AB114" s="300">
        <f t="shared" si="72"/>
        <v>0.10842702637495183</v>
      </c>
      <c r="AC114" s="300">
        <f t="shared" si="72"/>
        <v>0.11091889382649753</v>
      </c>
      <c r="AD114" s="300">
        <f t="shared" si="72"/>
        <v>0.11327904912518935</v>
      </c>
      <c r="AE114" s="300">
        <f t="shared" si="72"/>
        <v>0.11550584676331549</v>
      </c>
      <c r="AF114" s="300">
        <f t="shared" si="72"/>
        <v>0.11759774399900885</v>
      </c>
      <c r="AG114" s="300">
        <f t="shared" si="72"/>
        <v>0.11955330345279491</v>
      </c>
      <c r="AH114" s="245"/>
      <c r="AI114" s="423"/>
      <c r="AJ114" s="424"/>
      <c r="AL114" s="221"/>
      <c r="AM114" s="124"/>
      <c r="AN114" s="124"/>
      <c r="AO114" s="124"/>
      <c r="BD114" s="124"/>
      <c r="BE114" s="124"/>
      <c r="BF114" s="124"/>
      <c r="BG114" s="124"/>
      <c r="BH114" s="124"/>
      <c r="BI114" s="124"/>
      <c r="BJ114" s="124"/>
      <c r="BK114" s="124"/>
    </row>
    <row r="115" spans="1:63" outlineLevel="1" x14ac:dyDescent="0.2">
      <c r="C115" s="110"/>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J115" s="211"/>
      <c r="AM115" s="123"/>
      <c r="AN115" s="123"/>
    </row>
    <row r="116" spans="1:63" s="200" customFormat="1" ht="16" thickBot="1" x14ac:dyDescent="0.25">
      <c r="A116" s="200" t="s">
        <v>1339</v>
      </c>
      <c r="B116" s="215"/>
      <c r="C116" s="224">
        <f>C117</f>
        <v>0</v>
      </c>
      <c r="D116" s="224">
        <f t="shared" ref="D116:AG116" si="73">D117</f>
        <v>0</v>
      </c>
      <c r="E116" s="224">
        <f t="shared" si="73"/>
        <v>0</v>
      </c>
      <c r="F116" s="224">
        <f t="shared" si="73"/>
        <v>0</v>
      </c>
      <c r="G116" s="224">
        <f t="shared" si="73"/>
        <v>0</v>
      </c>
      <c r="H116" s="224">
        <f t="shared" si="73"/>
        <v>0</v>
      </c>
      <c r="I116" s="224">
        <f t="shared" si="73"/>
        <v>0</v>
      </c>
      <c r="J116" s="224">
        <f t="shared" si="73"/>
        <v>0</v>
      </c>
      <c r="K116" s="224">
        <f t="shared" si="73"/>
        <v>0</v>
      </c>
      <c r="L116" s="224">
        <f t="shared" si="73"/>
        <v>0</v>
      </c>
      <c r="M116" s="224">
        <f t="shared" si="73"/>
        <v>0</v>
      </c>
      <c r="N116" s="224">
        <f t="shared" si="73"/>
        <v>0</v>
      </c>
      <c r="O116" s="224">
        <f t="shared" si="73"/>
        <v>0</v>
      </c>
      <c r="P116" s="224">
        <f t="shared" si="73"/>
        <v>0</v>
      </c>
      <c r="Q116" s="224">
        <f t="shared" si="73"/>
        <v>0</v>
      </c>
      <c r="R116" s="224">
        <f t="shared" si="73"/>
        <v>0</v>
      </c>
      <c r="S116" s="224">
        <f t="shared" si="73"/>
        <v>0</v>
      </c>
      <c r="T116" s="224">
        <f t="shared" si="73"/>
        <v>0</v>
      </c>
      <c r="U116" s="224">
        <f t="shared" si="73"/>
        <v>0</v>
      </c>
      <c r="V116" s="224">
        <f t="shared" si="73"/>
        <v>0</v>
      </c>
      <c r="W116" s="224">
        <f t="shared" si="73"/>
        <v>0</v>
      </c>
      <c r="X116" s="224">
        <f t="shared" si="73"/>
        <v>0</v>
      </c>
      <c r="Y116" s="224">
        <f t="shared" si="73"/>
        <v>0</v>
      </c>
      <c r="Z116" s="224">
        <f t="shared" si="73"/>
        <v>0</v>
      </c>
      <c r="AA116" s="224">
        <f t="shared" si="73"/>
        <v>0</v>
      </c>
      <c r="AB116" s="224">
        <f t="shared" si="73"/>
        <v>0</v>
      </c>
      <c r="AC116" s="224">
        <f t="shared" si="73"/>
        <v>0</v>
      </c>
      <c r="AD116" s="224">
        <f t="shared" si="73"/>
        <v>0</v>
      </c>
      <c r="AE116" s="224">
        <f t="shared" si="73"/>
        <v>0</v>
      </c>
      <c r="AF116" s="224">
        <f t="shared" si="73"/>
        <v>0</v>
      </c>
      <c r="AG116" s="224">
        <f t="shared" si="73"/>
        <v>0</v>
      </c>
      <c r="AJ116" s="231" t="s">
        <v>1340</v>
      </c>
      <c r="AL116" s="217"/>
      <c r="AM116" s="225"/>
      <c r="AN116" s="225"/>
      <c r="AO116" s="225"/>
    </row>
    <row r="117" spans="1:63" ht="16" outlineLevel="1" thickTop="1" x14ac:dyDescent="0.2">
      <c r="A117" t="s">
        <v>1341</v>
      </c>
      <c r="B117" s="54" t="s">
        <v>462</v>
      </c>
      <c r="C117" s="214">
        <v>0</v>
      </c>
      <c r="D117" s="110">
        <f>$C117+($M117-$C117)/10*(D$1-$C$1)</f>
        <v>0</v>
      </c>
      <c r="E117" s="110">
        <f t="shared" ref="E117:L117" si="74">$C117+($M117-$C117)/10*(E$1-$C$1)</f>
        <v>0</v>
      </c>
      <c r="F117" s="110">
        <f t="shared" si="74"/>
        <v>0</v>
      </c>
      <c r="G117" s="110">
        <f t="shared" si="74"/>
        <v>0</v>
      </c>
      <c r="H117" s="110">
        <f t="shared" si="74"/>
        <v>0</v>
      </c>
      <c r="I117" s="110">
        <f t="shared" si="74"/>
        <v>0</v>
      </c>
      <c r="J117" s="110">
        <f t="shared" si="74"/>
        <v>0</v>
      </c>
      <c r="K117" s="110">
        <f t="shared" si="74"/>
        <v>0</v>
      </c>
      <c r="L117" s="110">
        <f t="shared" si="74"/>
        <v>0</v>
      </c>
      <c r="M117" s="121">
        <v>0</v>
      </c>
      <c r="N117" s="121">
        <f>$M117+($W117-$M117)/10*(N$1-$M$1)</f>
        <v>0</v>
      </c>
      <c r="O117" s="121">
        <f t="shared" ref="O117:U117" si="75">$M117+($W117-$M117)/10*(O$1-$M$1)</f>
        <v>0</v>
      </c>
      <c r="P117" s="121">
        <f t="shared" si="75"/>
        <v>0</v>
      </c>
      <c r="Q117" s="121">
        <f t="shared" si="75"/>
        <v>0</v>
      </c>
      <c r="R117" s="121">
        <f t="shared" si="75"/>
        <v>0</v>
      </c>
      <c r="S117" s="121">
        <f t="shared" si="75"/>
        <v>0</v>
      </c>
      <c r="T117" s="121">
        <f t="shared" si="75"/>
        <v>0</v>
      </c>
      <c r="U117" s="121">
        <f t="shared" si="75"/>
        <v>0</v>
      </c>
      <c r="V117" s="121">
        <f>$M117+($W117-$M117)/10*(V$1-$M$1)</f>
        <v>0</v>
      </c>
      <c r="W117" s="121">
        <v>0</v>
      </c>
      <c r="X117" s="110">
        <f>$W117+($AG117-$W117)/10*(X$1-$W$1)</f>
        <v>0</v>
      </c>
      <c r="Y117" s="110">
        <f t="shared" ref="Y117:AF117" si="76">$W117+($AG117-$W117)/10*(Y$1-$W$1)</f>
        <v>0</v>
      </c>
      <c r="Z117" s="110">
        <f t="shared" si="76"/>
        <v>0</v>
      </c>
      <c r="AA117" s="110">
        <f t="shared" si="76"/>
        <v>0</v>
      </c>
      <c r="AB117" s="110">
        <f t="shared" si="76"/>
        <v>0</v>
      </c>
      <c r="AC117" s="110">
        <f t="shared" si="76"/>
        <v>0</v>
      </c>
      <c r="AD117" s="110">
        <f t="shared" si="76"/>
        <v>0</v>
      </c>
      <c r="AE117" s="110">
        <f t="shared" si="76"/>
        <v>0</v>
      </c>
      <c r="AF117" s="110">
        <f t="shared" si="76"/>
        <v>0</v>
      </c>
      <c r="AG117" s="214">
        <v>0</v>
      </c>
      <c r="AJ117" s="211" t="s">
        <v>1342</v>
      </c>
    </row>
    <row r="118" spans="1:63" outlineLevel="1" x14ac:dyDescent="0.2">
      <c r="A118" t="s">
        <v>1453</v>
      </c>
      <c r="B118" s="54" t="s">
        <v>462</v>
      </c>
      <c r="C118" s="214">
        <v>0</v>
      </c>
      <c r="D118" s="110">
        <f t="shared" ref="D118:L118" si="77">C118-($C$118-$AG$118)/($AG$1-$C$1)</f>
        <v>0</v>
      </c>
      <c r="E118" s="110">
        <f t="shared" si="77"/>
        <v>0</v>
      </c>
      <c r="F118" s="110">
        <f t="shared" si="77"/>
        <v>0</v>
      </c>
      <c r="G118" s="110">
        <f t="shared" si="77"/>
        <v>0</v>
      </c>
      <c r="H118" s="110">
        <f t="shared" si="77"/>
        <v>0</v>
      </c>
      <c r="I118" s="110">
        <f t="shared" si="77"/>
        <v>0</v>
      </c>
      <c r="J118" s="110">
        <f t="shared" si="77"/>
        <v>0</v>
      </c>
      <c r="K118" s="110">
        <f t="shared" si="77"/>
        <v>0</v>
      </c>
      <c r="L118" s="110">
        <f t="shared" si="77"/>
        <v>0</v>
      </c>
      <c r="M118" s="110">
        <v>0</v>
      </c>
      <c r="N118" s="110">
        <f t="shared" ref="N118:V118" si="78">M118-($C$118-$AG$118)/($AG$1-$C$1)</f>
        <v>0</v>
      </c>
      <c r="O118" s="110">
        <f t="shared" si="78"/>
        <v>0</v>
      </c>
      <c r="P118" s="110">
        <f t="shared" si="78"/>
        <v>0</v>
      </c>
      <c r="Q118" s="110">
        <f t="shared" si="78"/>
        <v>0</v>
      </c>
      <c r="R118" s="110">
        <f t="shared" si="78"/>
        <v>0</v>
      </c>
      <c r="S118" s="110">
        <f t="shared" si="78"/>
        <v>0</v>
      </c>
      <c r="T118" s="110">
        <f t="shared" si="78"/>
        <v>0</v>
      </c>
      <c r="U118" s="110">
        <f t="shared" si="78"/>
        <v>0</v>
      </c>
      <c r="V118" s="110">
        <f t="shared" si="78"/>
        <v>0</v>
      </c>
      <c r="W118" s="110">
        <v>0</v>
      </c>
      <c r="X118" s="110">
        <f t="shared" ref="X118:AF118" si="79">W118-($C$118-$AG$118)/($AG$1-$C$1)</f>
        <v>0</v>
      </c>
      <c r="Y118" s="110">
        <f t="shared" si="79"/>
        <v>0</v>
      </c>
      <c r="Z118" s="110">
        <f t="shared" si="79"/>
        <v>0</v>
      </c>
      <c r="AA118" s="110">
        <f t="shared" si="79"/>
        <v>0</v>
      </c>
      <c r="AB118" s="110">
        <f t="shared" si="79"/>
        <v>0</v>
      </c>
      <c r="AC118" s="110">
        <f t="shared" si="79"/>
        <v>0</v>
      </c>
      <c r="AD118" s="110">
        <f t="shared" si="79"/>
        <v>0</v>
      </c>
      <c r="AE118" s="110">
        <f t="shared" si="79"/>
        <v>0</v>
      </c>
      <c r="AF118" s="110">
        <f t="shared" si="79"/>
        <v>0</v>
      </c>
      <c r="AG118" s="214">
        <v>0</v>
      </c>
      <c r="AI118" s="135"/>
      <c r="AJ118" s="211" t="s">
        <v>1454</v>
      </c>
      <c r="AM118" s="123"/>
      <c r="AN118" s="123"/>
    </row>
    <row r="119" spans="1:63" ht="14.5" customHeight="1" outlineLevel="1" x14ac:dyDescent="0.2">
      <c r="A119" t="s">
        <v>1455</v>
      </c>
      <c r="B119" s="176" t="s">
        <v>462</v>
      </c>
      <c r="C119" s="110">
        <v>0</v>
      </c>
      <c r="D119" s="110">
        <f t="shared" ref="D119:AF119" si="80">1-D118</f>
        <v>1</v>
      </c>
      <c r="E119" s="110">
        <f t="shared" si="80"/>
        <v>1</v>
      </c>
      <c r="F119" s="110">
        <f t="shared" si="80"/>
        <v>1</v>
      </c>
      <c r="G119" s="110">
        <f t="shared" si="80"/>
        <v>1</v>
      </c>
      <c r="H119" s="110">
        <f t="shared" si="80"/>
        <v>1</v>
      </c>
      <c r="I119" s="110">
        <f t="shared" si="80"/>
        <v>1</v>
      </c>
      <c r="J119" s="110">
        <f t="shared" si="80"/>
        <v>1</v>
      </c>
      <c r="K119" s="110">
        <f t="shared" si="80"/>
        <v>1</v>
      </c>
      <c r="L119" s="110">
        <f t="shared" si="80"/>
        <v>1</v>
      </c>
      <c r="M119" s="110">
        <v>0</v>
      </c>
      <c r="N119" s="110">
        <f t="shared" si="80"/>
        <v>1</v>
      </c>
      <c r="O119" s="110">
        <f t="shared" si="80"/>
        <v>1</v>
      </c>
      <c r="P119" s="110">
        <f t="shared" si="80"/>
        <v>1</v>
      </c>
      <c r="Q119" s="110">
        <f t="shared" si="80"/>
        <v>1</v>
      </c>
      <c r="R119" s="110">
        <f t="shared" si="80"/>
        <v>1</v>
      </c>
      <c r="S119" s="110">
        <f t="shared" si="80"/>
        <v>1</v>
      </c>
      <c r="T119" s="110">
        <f t="shared" si="80"/>
        <v>1</v>
      </c>
      <c r="U119" s="110">
        <f t="shared" si="80"/>
        <v>1</v>
      </c>
      <c r="V119" s="110">
        <f t="shared" si="80"/>
        <v>1</v>
      </c>
      <c r="W119" s="110">
        <v>0</v>
      </c>
      <c r="X119" s="110">
        <f t="shared" si="80"/>
        <v>1</v>
      </c>
      <c r="Y119" s="110">
        <f t="shared" si="80"/>
        <v>1</v>
      </c>
      <c r="Z119" s="110">
        <f t="shared" si="80"/>
        <v>1</v>
      </c>
      <c r="AA119" s="110">
        <f t="shared" si="80"/>
        <v>1</v>
      </c>
      <c r="AB119" s="110">
        <f t="shared" si="80"/>
        <v>1</v>
      </c>
      <c r="AC119" s="110">
        <f t="shared" si="80"/>
        <v>1</v>
      </c>
      <c r="AD119" s="110">
        <f t="shared" si="80"/>
        <v>1</v>
      </c>
      <c r="AE119" s="110">
        <f t="shared" si="80"/>
        <v>1</v>
      </c>
      <c r="AF119" s="110">
        <f t="shared" si="80"/>
        <v>1</v>
      </c>
      <c r="AG119" s="110">
        <v>0</v>
      </c>
      <c r="AI119" s="135" t="s">
        <v>1456</v>
      </c>
      <c r="AJ119" s="211"/>
    </row>
    <row r="120" spans="1:63" outlineLevel="1" x14ac:dyDescent="0.2">
      <c r="A120" t="s">
        <v>1343</v>
      </c>
      <c r="B120" s="54" t="s">
        <v>462</v>
      </c>
      <c r="C120" s="110">
        <f>C117*C118</f>
        <v>0</v>
      </c>
      <c r="D120" s="110">
        <f t="shared" ref="D120:AG120" si="81">D117*D118</f>
        <v>0</v>
      </c>
      <c r="E120" s="110">
        <f t="shared" si="81"/>
        <v>0</v>
      </c>
      <c r="F120" s="110">
        <f t="shared" si="81"/>
        <v>0</v>
      </c>
      <c r="G120" s="110">
        <f t="shared" si="81"/>
        <v>0</v>
      </c>
      <c r="H120" s="110">
        <f t="shared" si="81"/>
        <v>0</v>
      </c>
      <c r="I120" s="110">
        <f t="shared" si="81"/>
        <v>0</v>
      </c>
      <c r="J120" s="110">
        <f t="shared" si="81"/>
        <v>0</v>
      </c>
      <c r="K120" s="110">
        <f t="shared" si="81"/>
        <v>0</v>
      </c>
      <c r="L120" s="110">
        <f t="shared" si="81"/>
        <v>0</v>
      </c>
      <c r="M120" s="110">
        <f t="shared" si="81"/>
        <v>0</v>
      </c>
      <c r="N120" s="110">
        <f t="shared" si="81"/>
        <v>0</v>
      </c>
      <c r="O120" s="110">
        <f t="shared" si="81"/>
        <v>0</v>
      </c>
      <c r="P120" s="110">
        <f t="shared" si="81"/>
        <v>0</v>
      </c>
      <c r="Q120" s="110">
        <f t="shared" si="81"/>
        <v>0</v>
      </c>
      <c r="R120" s="110">
        <f t="shared" si="81"/>
        <v>0</v>
      </c>
      <c r="S120" s="110">
        <f t="shared" si="81"/>
        <v>0</v>
      </c>
      <c r="T120" s="110">
        <f t="shared" si="81"/>
        <v>0</v>
      </c>
      <c r="U120" s="110">
        <f t="shared" si="81"/>
        <v>0</v>
      </c>
      <c r="V120" s="110">
        <f t="shared" si="81"/>
        <v>0</v>
      </c>
      <c r="W120" s="110">
        <f t="shared" si="81"/>
        <v>0</v>
      </c>
      <c r="X120" s="110">
        <f t="shared" si="81"/>
        <v>0</v>
      </c>
      <c r="Y120" s="110">
        <f t="shared" si="81"/>
        <v>0</v>
      </c>
      <c r="Z120" s="110">
        <f t="shared" si="81"/>
        <v>0</v>
      </c>
      <c r="AA120" s="110">
        <f t="shared" si="81"/>
        <v>0</v>
      </c>
      <c r="AB120" s="110">
        <f t="shared" si="81"/>
        <v>0</v>
      </c>
      <c r="AC120" s="110">
        <f t="shared" si="81"/>
        <v>0</v>
      </c>
      <c r="AD120" s="110">
        <f t="shared" si="81"/>
        <v>0</v>
      </c>
      <c r="AE120" s="110">
        <f t="shared" si="81"/>
        <v>0</v>
      </c>
      <c r="AF120" s="110">
        <f t="shared" si="81"/>
        <v>0</v>
      </c>
      <c r="AG120" s="110">
        <f t="shared" si="81"/>
        <v>0</v>
      </c>
      <c r="AI120" s="134"/>
      <c r="AJ120" s="211"/>
      <c r="BD120" s="203"/>
      <c r="BE120" s="203"/>
    </row>
    <row r="121" spans="1:63" outlineLevel="1" x14ac:dyDescent="0.2">
      <c r="A121" t="s">
        <v>1344</v>
      </c>
      <c r="B121" s="54" t="s">
        <v>462</v>
      </c>
      <c r="C121" s="110">
        <f>C117*C119</f>
        <v>0</v>
      </c>
      <c r="D121" s="110">
        <f t="shared" ref="D121:AG121" si="82">D117*D119</f>
        <v>0</v>
      </c>
      <c r="E121" s="110">
        <f t="shared" si="82"/>
        <v>0</v>
      </c>
      <c r="F121" s="110">
        <f t="shared" si="82"/>
        <v>0</v>
      </c>
      <c r="G121" s="110">
        <f t="shared" si="82"/>
        <v>0</v>
      </c>
      <c r="H121" s="110">
        <f t="shared" si="82"/>
        <v>0</v>
      </c>
      <c r="I121" s="110">
        <f t="shared" si="82"/>
        <v>0</v>
      </c>
      <c r="J121" s="110">
        <f t="shared" si="82"/>
        <v>0</v>
      </c>
      <c r="K121" s="110">
        <f t="shared" si="82"/>
        <v>0</v>
      </c>
      <c r="L121" s="110">
        <f t="shared" si="82"/>
        <v>0</v>
      </c>
      <c r="M121" s="110">
        <f t="shared" si="82"/>
        <v>0</v>
      </c>
      <c r="N121" s="110">
        <f t="shared" si="82"/>
        <v>0</v>
      </c>
      <c r="O121" s="110">
        <f t="shared" si="82"/>
        <v>0</v>
      </c>
      <c r="P121" s="110">
        <f t="shared" si="82"/>
        <v>0</v>
      </c>
      <c r="Q121" s="110">
        <f t="shared" si="82"/>
        <v>0</v>
      </c>
      <c r="R121" s="110">
        <f t="shared" si="82"/>
        <v>0</v>
      </c>
      <c r="S121" s="110">
        <f t="shared" si="82"/>
        <v>0</v>
      </c>
      <c r="T121" s="110">
        <f t="shared" si="82"/>
        <v>0</v>
      </c>
      <c r="U121" s="110">
        <f t="shared" si="82"/>
        <v>0</v>
      </c>
      <c r="V121" s="110">
        <f t="shared" si="82"/>
        <v>0</v>
      </c>
      <c r="W121" s="110">
        <f t="shared" si="82"/>
        <v>0</v>
      </c>
      <c r="X121" s="110">
        <f t="shared" si="82"/>
        <v>0</v>
      </c>
      <c r="Y121" s="110">
        <f t="shared" si="82"/>
        <v>0</v>
      </c>
      <c r="Z121" s="110">
        <f t="shared" si="82"/>
        <v>0</v>
      </c>
      <c r="AA121" s="110">
        <f t="shared" si="82"/>
        <v>0</v>
      </c>
      <c r="AB121" s="110">
        <f t="shared" si="82"/>
        <v>0</v>
      </c>
      <c r="AC121" s="110">
        <f t="shared" si="82"/>
        <v>0</v>
      </c>
      <c r="AD121" s="110">
        <f t="shared" si="82"/>
        <v>0</v>
      </c>
      <c r="AE121" s="110">
        <f t="shared" si="82"/>
        <v>0</v>
      </c>
      <c r="AF121" s="110">
        <f t="shared" si="82"/>
        <v>0</v>
      </c>
      <c r="AG121" s="110">
        <f t="shared" si="82"/>
        <v>0</v>
      </c>
      <c r="AI121" s="134"/>
      <c r="AJ121" s="211"/>
      <c r="BD121" s="203"/>
      <c r="BE121" s="203"/>
    </row>
    <row r="122" spans="1:63" outlineLevel="1" x14ac:dyDescent="0.2">
      <c r="C122" s="110"/>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J122" s="211"/>
    </row>
    <row r="123" spans="1:63" outlineLevel="1" x14ac:dyDescent="0.2">
      <c r="A123" t="s">
        <v>1441</v>
      </c>
      <c r="B123" s="54" t="s">
        <v>462</v>
      </c>
      <c r="C123" s="106">
        <v>0.5</v>
      </c>
      <c r="D123" s="110">
        <f>C123</f>
        <v>0.5</v>
      </c>
      <c r="E123" s="110">
        <f t="shared" ref="E123:AG123" si="83">D123</f>
        <v>0.5</v>
      </c>
      <c r="F123" s="110">
        <f t="shared" si="83"/>
        <v>0.5</v>
      </c>
      <c r="G123" s="110">
        <f t="shared" si="83"/>
        <v>0.5</v>
      </c>
      <c r="H123" s="110">
        <f t="shared" si="83"/>
        <v>0.5</v>
      </c>
      <c r="I123" s="110">
        <f t="shared" si="83"/>
        <v>0.5</v>
      </c>
      <c r="J123" s="110">
        <f t="shared" si="83"/>
        <v>0.5</v>
      </c>
      <c r="K123" s="110">
        <f t="shared" si="83"/>
        <v>0.5</v>
      </c>
      <c r="L123" s="110">
        <f t="shared" si="83"/>
        <v>0.5</v>
      </c>
      <c r="M123" s="110">
        <f t="shared" si="83"/>
        <v>0.5</v>
      </c>
      <c r="N123" s="110">
        <f t="shared" si="83"/>
        <v>0.5</v>
      </c>
      <c r="O123" s="110">
        <f t="shared" si="83"/>
        <v>0.5</v>
      </c>
      <c r="P123" s="110">
        <f t="shared" si="83"/>
        <v>0.5</v>
      </c>
      <c r="Q123" s="110">
        <f t="shared" si="83"/>
        <v>0.5</v>
      </c>
      <c r="R123" s="110">
        <f t="shared" si="83"/>
        <v>0.5</v>
      </c>
      <c r="S123" s="110">
        <f t="shared" si="83"/>
        <v>0.5</v>
      </c>
      <c r="T123" s="110">
        <f t="shared" si="83"/>
        <v>0.5</v>
      </c>
      <c r="U123" s="110">
        <f t="shared" si="83"/>
        <v>0.5</v>
      </c>
      <c r="V123" s="110">
        <f t="shared" si="83"/>
        <v>0.5</v>
      </c>
      <c r="W123" s="110">
        <f t="shared" si="83"/>
        <v>0.5</v>
      </c>
      <c r="X123" s="110">
        <f t="shared" si="83"/>
        <v>0.5</v>
      </c>
      <c r="Y123" s="110">
        <f t="shared" si="83"/>
        <v>0.5</v>
      </c>
      <c r="Z123" s="110">
        <f t="shared" si="83"/>
        <v>0.5</v>
      </c>
      <c r="AA123" s="110">
        <f t="shared" si="83"/>
        <v>0.5</v>
      </c>
      <c r="AB123" s="110">
        <f t="shared" si="83"/>
        <v>0.5</v>
      </c>
      <c r="AC123" s="110">
        <f t="shared" si="83"/>
        <v>0.5</v>
      </c>
      <c r="AD123" s="110">
        <f t="shared" si="83"/>
        <v>0.5</v>
      </c>
      <c r="AE123" s="110">
        <f t="shared" si="83"/>
        <v>0.5</v>
      </c>
      <c r="AF123" s="110">
        <f t="shared" si="83"/>
        <v>0.5</v>
      </c>
      <c r="AG123" s="110">
        <f t="shared" si="83"/>
        <v>0.5</v>
      </c>
      <c r="AI123" s="54"/>
      <c r="AJ123" s="211" t="s">
        <v>1457</v>
      </c>
    </row>
    <row r="124" spans="1:63" outlineLevel="1" x14ac:dyDescent="0.2">
      <c r="A124" t="s">
        <v>1445</v>
      </c>
      <c r="B124" s="54" t="s">
        <v>462</v>
      </c>
      <c r="C124" s="121">
        <f>1-C123</f>
        <v>0.5</v>
      </c>
      <c r="D124" s="110">
        <f t="shared" ref="D124:AG124" si="84">C124</f>
        <v>0.5</v>
      </c>
      <c r="E124" s="110">
        <f t="shared" si="84"/>
        <v>0.5</v>
      </c>
      <c r="F124" s="110">
        <f t="shared" si="84"/>
        <v>0.5</v>
      </c>
      <c r="G124" s="110">
        <f t="shared" si="84"/>
        <v>0.5</v>
      </c>
      <c r="H124" s="110">
        <f t="shared" si="84"/>
        <v>0.5</v>
      </c>
      <c r="I124" s="110">
        <f t="shared" si="84"/>
        <v>0.5</v>
      </c>
      <c r="J124" s="110">
        <f t="shared" si="84"/>
        <v>0.5</v>
      </c>
      <c r="K124" s="110">
        <f t="shared" si="84"/>
        <v>0.5</v>
      </c>
      <c r="L124" s="110">
        <f t="shared" si="84"/>
        <v>0.5</v>
      </c>
      <c r="M124" s="110">
        <f t="shared" si="84"/>
        <v>0.5</v>
      </c>
      <c r="N124" s="110">
        <f t="shared" si="84"/>
        <v>0.5</v>
      </c>
      <c r="O124" s="110">
        <f t="shared" si="84"/>
        <v>0.5</v>
      </c>
      <c r="P124" s="110">
        <f t="shared" si="84"/>
        <v>0.5</v>
      </c>
      <c r="Q124" s="110">
        <f t="shared" si="84"/>
        <v>0.5</v>
      </c>
      <c r="R124" s="110">
        <f t="shared" si="84"/>
        <v>0.5</v>
      </c>
      <c r="S124" s="110">
        <f t="shared" si="84"/>
        <v>0.5</v>
      </c>
      <c r="T124" s="110">
        <f t="shared" si="84"/>
        <v>0.5</v>
      </c>
      <c r="U124" s="110">
        <f t="shared" si="84"/>
        <v>0.5</v>
      </c>
      <c r="V124" s="110">
        <f t="shared" si="84"/>
        <v>0.5</v>
      </c>
      <c r="W124" s="110">
        <f t="shared" si="84"/>
        <v>0.5</v>
      </c>
      <c r="X124" s="110">
        <f t="shared" si="84"/>
        <v>0.5</v>
      </c>
      <c r="Y124" s="110">
        <f t="shared" si="84"/>
        <v>0.5</v>
      </c>
      <c r="Z124" s="110">
        <f t="shared" si="84"/>
        <v>0.5</v>
      </c>
      <c r="AA124" s="110">
        <f t="shared" si="84"/>
        <v>0.5</v>
      </c>
      <c r="AB124" s="110">
        <f t="shared" si="84"/>
        <v>0.5</v>
      </c>
      <c r="AC124" s="110">
        <f t="shared" si="84"/>
        <v>0.5</v>
      </c>
      <c r="AD124" s="110">
        <f t="shared" si="84"/>
        <v>0.5</v>
      </c>
      <c r="AE124" s="110">
        <f t="shared" si="84"/>
        <v>0.5</v>
      </c>
      <c r="AF124" s="110">
        <f t="shared" si="84"/>
        <v>0.5</v>
      </c>
      <c r="AG124" s="110">
        <f t="shared" si="84"/>
        <v>0.5</v>
      </c>
      <c r="AJ124" s="223"/>
    </row>
    <row r="125" spans="1:63" outlineLevel="1" x14ac:dyDescent="0.2">
      <c r="A125" t="s">
        <v>1268</v>
      </c>
      <c r="B125" s="54" t="s">
        <v>462</v>
      </c>
      <c r="C125" s="110">
        <f t="shared" ref="C125:AG125" si="85">SUM(C123:C124)</f>
        <v>1</v>
      </c>
      <c r="D125" s="110">
        <f t="shared" si="85"/>
        <v>1</v>
      </c>
      <c r="E125" s="110">
        <f t="shared" si="85"/>
        <v>1</v>
      </c>
      <c r="F125" s="110">
        <f t="shared" si="85"/>
        <v>1</v>
      </c>
      <c r="G125" s="110">
        <f t="shared" si="85"/>
        <v>1</v>
      </c>
      <c r="H125" s="110">
        <f t="shared" si="85"/>
        <v>1</v>
      </c>
      <c r="I125" s="110">
        <f t="shared" si="85"/>
        <v>1</v>
      </c>
      <c r="J125" s="110">
        <f t="shared" si="85"/>
        <v>1</v>
      </c>
      <c r="K125" s="110">
        <f t="shared" si="85"/>
        <v>1</v>
      </c>
      <c r="L125" s="110">
        <f t="shared" si="85"/>
        <v>1</v>
      </c>
      <c r="M125" s="110">
        <f t="shared" si="85"/>
        <v>1</v>
      </c>
      <c r="N125" s="110">
        <f t="shared" si="85"/>
        <v>1</v>
      </c>
      <c r="O125" s="110">
        <f t="shared" si="85"/>
        <v>1</v>
      </c>
      <c r="P125" s="110">
        <f t="shared" si="85"/>
        <v>1</v>
      </c>
      <c r="Q125" s="110">
        <f t="shared" si="85"/>
        <v>1</v>
      </c>
      <c r="R125" s="110">
        <f t="shared" si="85"/>
        <v>1</v>
      </c>
      <c r="S125" s="110">
        <f t="shared" si="85"/>
        <v>1</v>
      </c>
      <c r="T125" s="110">
        <f t="shared" si="85"/>
        <v>1</v>
      </c>
      <c r="U125" s="110">
        <f t="shared" si="85"/>
        <v>1</v>
      </c>
      <c r="V125" s="110">
        <f t="shared" si="85"/>
        <v>1</v>
      </c>
      <c r="W125" s="110">
        <f t="shared" si="85"/>
        <v>1</v>
      </c>
      <c r="X125" s="110">
        <f t="shared" si="85"/>
        <v>1</v>
      </c>
      <c r="Y125" s="110">
        <f t="shared" si="85"/>
        <v>1</v>
      </c>
      <c r="Z125" s="110">
        <f t="shared" si="85"/>
        <v>1</v>
      </c>
      <c r="AA125" s="110">
        <f t="shared" si="85"/>
        <v>1</v>
      </c>
      <c r="AB125" s="110">
        <f t="shared" si="85"/>
        <v>1</v>
      </c>
      <c r="AC125" s="110">
        <f t="shared" si="85"/>
        <v>1</v>
      </c>
      <c r="AD125" s="110">
        <f t="shared" si="85"/>
        <v>1</v>
      </c>
      <c r="AE125" s="110">
        <f t="shared" si="85"/>
        <v>1</v>
      </c>
      <c r="AF125" s="110">
        <f t="shared" si="85"/>
        <v>1</v>
      </c>
      <c r="AG125" s="110">
        <f t="shared" si="85"/>
        <v>1</v>
      </c>
      <c r="AH125" s="131"/>
      <c r="AI125" s="54"/>
      <c r="AJ125" s="223"/>
    </row>
    <row r="126" spans="1:63" outlineLevel="1" x14ac:dyDescent="0.2">
      <c r="C126" s="214"/>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31"/>
      <c r="AI126" s="131"/>
      <c r="AJ126" s="223"/>
    </row>
    <row r="127" spans="1:63" outlineLevel="1" x14ac:dyDescent="0.2">
      <c r="A127" t="s">
        <v>1345</v>
      </c>
      <c r="B127" s="54" t="s">
        <v>462</v>
      </c>
      <c r="C127" s="110">
        <f>C123*C121</f>
        <v>0</v>
      </c>
      <c r="D127" s="110">
        <f t="shared" ref="D127:AG127" si="86">D123*D121</f>
        <v>0</v>
      </c>
      <c r="E127" s="110">
        <f t="shared" si="86"/>
        <v>0</v>
      </c>
      <c r="F127" s="110">
        <f t="shared" si="86"/>
        <v>0</v>
      </c>
      <c r="G127" s="110">
        <f t="shared" si="86"/>
        <v>0</v>
      </c>
      <c r="H127" s="110">
        <f t="shared" si="86"/>
        <v>0</v>
      </c>
      <c r="I127" s="110">
        <f t="shared" si="86"/>
        <v>0</v>
      </c>
      <c r="J127" s="110">
        <f t="shared" si="86"/>
        <v>0</v>
      </c>
      <c r="K127" s="110">
        <f t="shared" si="86"/>
        <v>0</v>
      </c>
      <c r="L127" s="110">
        <f t="shared" si="86"/>
        <v>0</v>
      </c>
      <c r="M127" s="110">
        <f t="shared" si="86"/>
        <v>0</v>
      </c>
      <c r="N127" s="110">
        <f t="shared" si="86"/>
        <v>0</v>
      </c>
      <c r="O127" s="110">
        <f t="shared" si="86"/>
        <v>0</v>
      </c>
      <c r="P127" s="110">
        <f t="shared" si="86"/>
        <v>0</v>
      </c>
      <c r="Q127" s="110">
        <f t="shared" si="86"/>
        <v>0</v>
      </c>
      <c r="R127" s="110">
        <f t="shared" si="86"/>
        <v>0</v>
      </c>
      <c r="S127" s="110">
        <f t="shared" si="86"/>
        <v>0</v>
      </c>
      <c r="T127" s="110">
        <f t="shared" si="86"/>
        <v>0</v>
      </c>
      <c r="U127" s="110">
        <f t="shared" si="86"/>
        <v>0</v>
      </c>
      <c r="V127" s="110">
        <f t="shared" si="86"/>
        <v>0</v>
      </c>
      <c r="W127" s="110">
        <f t="shared" si="86"/>
        <v>0</v>
      </c>
      <c r="X127" s="110">
        <f t="shared" si="86"/>
        <v>0</v>
      </c>
      <c r="Y127" s="110">
        <f t="shared" si="86"/>
        <v>0</v>
      </c>
      <c r="Z127" s="110">
        <f t="shared" si="86"/>
        <v>0</v>
      </c>
      <c r="AA127" s="110">
        <f t="shared" si="86"/>
        <v>0</v>
      </c>
      <c r="AB127" s="110">
        <f t="shared" si="86"/>
        <v>0</v>
      </c>
      <c r="AC127" s="110">
        <f t="shared" si="86"/>
        <v>0</v>
      </c>
      <c r="AD127" s="110">
        <f t="shared" si="86"/>
        <v>0</v>
      </c>
      <c r="AE127" s="110">
        <f t="shared" si="86"/>
        <v>0</v>
      </c>
      <c r="AF127" s="110">
        <f t="shared" si="86"/>
        <v>0</v>
      </c>
      <c r="AG127" s="110">
        <f t="shared" si="86"/>
        <v>0</v>
      </c>
      <c r="AH127" s="131"/>
      <c r="AI127" s="131"/>
      <c r="AJ127" s="211"/>
    </row>
    <row r="128" spans="1:63" outlineLevel="1" x14ac:dyDescent="0.2">
      <c r="A128" t="s">
        <v>1346</v>
      </c>
      <c r="B128" s="54" t="s">
        <v>462</v>
      </c>
      <c r="C128" s="110">
        <f>C121*C124</f>
        <v>0</v>
      </c>
      <c r="D128" s="110">
        <f t="shared" ref="D128:AG128" si="87">D121*D124</f>
        <v>0</v>
      </c>
      <c r="E128" s="110">
        <f t="shared" si="87"/>
        <v>0</v>
      </c>
      <c r="F128" s="110">
        <f t="shared" si="87"/>
        <v>0</v>
      </c>
      <c r="G128" s="110">
        <f t="shared" si="87"/>
        <v>0</v>
      </c>
      <c r="H128" s="110">
        <f t="shared" si="87"/>
        <v>0</v>
      </c>
      <c r="I128" s="110">
        <f t="shared" si="87"/>
        <v>0</v>
      </c>
      <c r="J128" s="110">
        <f t="shared" si="87"/>
        <v>0</v>
      </c>
      <c r="K128" s="110">
        <f t="shared" si="87"/>
        <v>0</v>
      </c>
      <c r="L128" s="110">
        <f t="shared" si="87"/>
        <v>0</v>
      </c>
      <c r="M128" s="110">
        <f t="shared" si="87"/>
        <v>0</v>
      </c>
      <c r="N128" s="110">
        <f t="shared" si="87"/>
        <v>0</v>
      </c>
      <c r="O128" s="110">
        <f t="shared" si="87"/>
        <v>0</v>
      </c>
      <c r="P128" s="110">
        <f t="shared" si="87"/>
        <v>0</v>
      </c>
      <c r="Q128" s="110">
        <f t="shared" si="87"/>
        <v>0</v>
      </c>
      <c r="R128" s="110">
        <f t="shared" si="87"/>
        <v>0</v>
      </c>
      <c r="S128" s="110">
        <f t="shared" si="87"/>
        <v>0</v>
      </c>
      <c r="T128" s="110">
        <f t="shared" si="87"/>
        <v>0</v>
      </c>
      <c r="U128" s="110">
        <f t="shared" si="87"/>
        <v>0</v>
      </c>
      <c r="V128" s="110">
        <f t="shared" si="87"/>
        <v>0</v>
      </c>
      <c r="W128" s="110">
        <f t="shared" si="87"/>
        <v>0</v>
      </c>
      <c r="X128" s="110">
        <f t="shared" si="87"/>
        <v>0</v>
      </c>
      <c r="Y128" s="110">
        <f t="shared" si="87"/>
        <v>0</v>
      </c>
      <c r="Z128" s="110">
        <f t="shared" si="87"/>
        <v>0</v>
      </c>
      <c r="AA128" s="110">
        <f t="shared" si="87"/>
        <v>0</v>
      </c>
      <c r="AB128" s="110">
        <f t="shared" si="87"/>
        <v>0</v>
      </c>
      <c r="AC128" s="110">
        <f t="shared" si="87"/>
        <v>0</v>
      </c>
      <c r="AD128" s="110">
        <f t="shared" si="87"/>
        <v>0</v>
      </c>
      <c r="AE128" s="110">
        <f t="shared" si="87"/>
        <v>0</v>
      </c>
      <c r="AF128" s="110">
        <f t="shared" si="87"/>
        <v>0</v>
      </c>
      <c r="AG128" s="110">
        <f t="shared" si="87"/>
        <v>0</v>
      </c>
      <c r="AJ128" s="211"/>
    </row>
    <row r="129" spans="1:63" outlineLevel="1" x14ac:dyDescent="0.2">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J129" s="211"/>
    </row>
    <row r="130" spans="1:63" outlineLevel="1" x14ac:dyDescent="0.2">
      <c r="A130" t="s">
        <v>1676</v>
      </c>
      <c r="C130" s="230">
        <f>('Overall recycling rates'!F87*'Yearly BTX'!D5+'Overall recycling rates'!G87*'Yearly BTX'!D6+'Overall recycling rates'!H87*'Yearly BTX'!D7)/'Yearly BTX'!D4</f>
        <v>0.99999999999999989</v>
      </c>
      <c r="D130" s="230">
        <f>C130-($C130-$AG130)/($AG$1-$C$1)</f>
        <v>0.99999999999999989</v>
      </c>
      <c r="E130" s="230">
        <f t="shared" ref="E130:AF130" si="88">D130-($C130-$AG130)/($AG$1-$C$1)</f>
        <v>0.99999999999999989</v>
      </c>
      <c r="F130" s="230">
        <f t="shared" si="88"/>
        <v>0.99999999999999989</v>
      </c>
      <c r="G130" s="230">
        <f t="shared" si="88"/>
        <v>0.99999999999999989</v>
      </c>
      <c r="H130" s="230">
        <f t="shared" si="88"/>
        <v>0.99999999999999989</v>
      </c>
      <c r="I130" s="230">
        <f t="shared" si="88"/>
        <v>0.99999999999999989</v>
      </c>
      <c r="J130" s="230">
        <f t="shared" si="88"/>
        <v>0.99999999999999989</v>
      </c>
      <c r="K130" s="230">
        <f t="shared" si="88"/>
        <v>0.99999999999999989</v>
      </c>
      <c r="L130" s="230">
        <f t="shared" si="88"/>
        <v>0.99999999999999989</v>
      </c>
      <c r="M130" s="230">
        <f t="shared" si="88"/>
        <v>0.99999999999999989</v>
      </c>
      <c r="N130" s="230">
        <f t="shared" si="88"/>
        <v>0.99999999999999989</v>
      </c>
      <c r="O130" s="230">
        <f t="shared" si="88"/>
        <v>0.99999999999999989</v>
      </c>
      <c r="P130" s="230">
        <f t="shared" si="88"/>
        <v>0.99999999999999989</v>
      </c>
      <c r="Q130" s="230">
        <f t="shared" si="88"/>
        <v>0.99999999999999989</v>
      </c>
      <c r="R130" s="230">
        <f t="shared" si="88"/>
        <v>0.99999999999999989</v>
      </c>
      <c r="S130" s="230">
        <f t="shared" si="88"/>
        <v>0.99999999999999989</v>
      </c>
      <c r="T130" s="230">
        <f t="shared" si="88"/>
        <v>0.99999999999999989</v>
      </c>
      <c r="U130" s="230">
        <f t="shared" si="88"/>
        <v>0.99999999999999989</v>
      </c>
      <c r="V130" s="230">
        <f t="shared" si="88"/>
        <v>0.99999999999999989</v>
      </c>
      <c r="W130" s="230">
        <f t="shared" si="88"/>
        <v>0.99999999999999989</v>
      </c>
      <c r="X130" s="230">
        <f t="shared" si="88"/>
        <v>0.99999999999999989</v>
      </c>
      <c r="Y130" s="230">
        <f t="shared" si="88"/>
        <v>0.99999999999999989</v>
      </c>
      <c r="Z130" s="230">
        <f t="shared" si="88"/>
        <v>0.99999999999999989</v>
      </c>
      <c r="AA130" s="230">
        <f t="shared" si="88"/>
        <v>0.99999999999999989</v>
      </c>
      <c r="AB130" s="230">
        <f t="shared" si="88"/>
        <v>0.99999999999999989</v>
      </c>
      <c r="AC130" s="230">
        <f t="shared" si="88"/>
        <v>0.99999999999999989</v>
      </c>
      <c r="AD130" s="230">
        <f t="shared" si="88"/>
        <v>0.99999999999999989</v>
      </c>
      <c r="AE130" s="230">
        <f t="shared" si="88"/>
        <v>0.99999999999999989</v>
      </c>
      <c r="AF130" s="230">
        <f t="shared" si="88"/>
        <v>0.99999999999999989</v>
      </c>
      <c r="AG130" s="230">
        <f>'Overall recycling rates'!F96</f>
        <v>1</v>
      </c>
      <c r="AI130" s="133"/>
      <c r="AJ130" s="211" t="s">
        <v>1571</v>
      </c>
      <c r="AL130" s="108"/>
      <c r="AM130" s="207"/>
      <c r="AN130" s="207"/>
      <c r="AO130" s="207"/>
      <c r="BC130" s="1"/>
      <c r="BD130" s="207"/>
      <c r="BE130" s="207"/>
      <c r="BF130" s="207"/>
      <c r="BG130" s="207"/>
      <c r="BH130" s="207"/>
      <c r="BI130" s="207"/>
      <c r="BJ130" s="207"/>
      <c r="BK130" s="207"/>
    </row>
    <row r="131" spans="1:63" outlineLevel="1" x14ac:dyDescent="0.2">
      <c r="A131" t="s">
        <v>1687</v>
      </c>
      <c r="B131" s="54" t="s">
        <v>462</v>
      </c>
      <c r="C131" s="110">
        <f>C120*C$130</f>
        <v>0</v>
      </c>
      <c r="D131" s="110">
        <f>D120*D$99</f>
        <v>0</v>
      </c>
      <c r="E131" s="110">
        <f t="shared" ref="E131:AG131" si="89">E120*E$99</f>
        <v>0</v>
      </c>
      <c r="F131" s="110">
        <f t="shared" si="89"/>
        <v>0</v>
      </c>
      <c r="G131" s="110">
        <f t="shared" si="89"/>
        <v>0</v>
      </c>
      <c r="H131" s="110">
        <f t="shared" si="89"/>
        <v>0</v>
      </c>
      <c r="I131" s="110">
        <f t="shared" si="89"/>
        <v>0</v>
      </c>
      <c r="J131" s="110">
        <f t="shared" si="89"/>
        <v>0</v>
      </c>
      <c r="K131" s="110">
        <f t="shared" si="89"/>
        <v>0</v>
      </c>
      <c r="L131" s="110">
        <f t="shared" si="89"/>
        <v>0</v>
      </c>
      <c r="M131" s="110">
        <f t="shared" si="89"/>
        <v>0</v>
      </c>
      <c r="N131" s="110">
        <f t="shared" si="89"/>
        <v>0</v>
      </c>
      <c r="O131" s="110">
        <f t="shared" si="89"/>
        <v>0</v>
      </c>
      <c r="P131" s="110">
        <f t="shared" si="89"/>
        <v>0</v>
      </c>
      <c r="Q131" s="110">
        <f t="shared" si="89"/>
        <v>0</v>
      </c>
      <c r="R131" s="110">
        <f t="shared" si="89"/>
        <v>0</v>
      </c>
      <c r="S131" s="110">
        <f t="shared" si="89"/>
        <v>0</v>
      </c>
      <c r="T131" s="110">
        <f t="shared" si="89"/>
        <v>0</v>
      </c>
      <c r="U131" s="110">
        <f t="shared" si="89"/>
        <v>0</v>
      </c>
      <c r="V131" s="110">
        <f t="shared" si="89"/>
        <v>0</v>
      </c>
      <c r="W131" s="110">
        <f t="shared" si="89"/>
        <v>0</v>
      </c>
      <c r="X131" s="110">
        <f t="shared" si="89"/>
        <v>0</v>
      </c>
      <c r="Y131" s="110">
        <f t="shared" si="89"/>
        <v>0</v>
      </c>
      <c r="Z131" s="110">
        <f t="shared" si="89"/>
        <v>0</v>
      </c>
      <c r="AA131" s="110">
        <f t="shared" si="89"/>
        <v>0</v>
      </c>
      <c r="AB131" s="110">
        <f t="shared" si="89"/>
        <v>0</v>
      </c>
      <c r="AC131" s="110">
        <f t="shared" si="89"/>
        <v>0</v>
      </c>
      <c r="AD131" s="110">
        <f t="shared" si="89"/>
        <v>0</v>
      </c>
      <c r="AE131" s="110">
        <f t="shared" si="89"/>
        <v>0</v>
      </c>
      <c r="AF131" s="110">
        <f t="shared" si="89"/>
        <v>0</v>
      </c>
      <c r="AG131" s="110">
        <f t="shared" si="89"/>
        <v>0</v>
      </c>
      <c r="AI131" s="133"/>
      <c r="AJ131"/>
      <c r="AL131" s="108"/>
      <c r="AM131" s="2"/>
      <c r="AN131" s="2"/>
      <c r="AO131" s="2"/>
      <c r="AV131" s="41"/>
    </row>
    <row r="132" spans="1:63" outlineLevel="1" x14ac:dyDescent="0.2">
      <c r="A132" t="s">
        <v>1688</v>
      </c>
      <c r="B132" s="54" t="s">
        <v>462</v>
      </c>
      <c r="C132" s="110">
        <f>C121*C$130</f>
        <v>0</v>
      </c>
      <c r="D132" s="110">
        <f t="shared" ref="D132:AG132" si="90">D118*D$99</f>
        <v>0</v>
      </c>
      <c r="E132" s="110">
        <f t="shared" si="90"/>
        <v>0</v>
      </c>
      <c r="F132" s="110">
        <f t="shared" si="90"/>
        <v>0</v>
      </c>
      <c r="G132" s="110">
        <f t="shared" si="90"/>
        <v>0</v>
      </c>
      <c r="H132" s="110">
        <f t="shared" si="90"/>
        <v>0</v>
      </c>
      <c r="I132" s="110">
        <f t="shared" si="90"/>
        <v>0</v>
      </c>
      <c r="J132" s="110">
        <f t="shared" si="90"/>
        <v>0</v>
      </c>
      <c r="K132" s="110">
        <f t="shared" si="90"/>
        <v>0</v>
      </c>
      <c r="L132" s="110">
        <f t="shared" si="90"/>
        <v>0</v>
      </c>
      <c r="M132" s="110">
        <f t="shared" si="90"/>
        <v>0</v>
      </c>
      <c r="N132" s="110">
        <f t="shared" si="90"/>
        <v>0</v>
      </c>
      <c r="O132" s="110">
        <f t="shared" si="90"/>
        <v>0</v>
      </c>
      <c r="P132" s="110">
        <f t="shared" si="90"/>
        <v>0</v>
      </c>
      <c r="Q132" s="110">
        <f t="shared" si="90"/>
        <v>0</v>
      </c>
      <c r="R132" s="110">
        <f t="shared" si="90"/>
        <v>0</v>
      </c>
      <c r="S132" s="110">
        <f t="shared" si="90"/>
        <v>0</v>
      </c>
      <c r="T132" s="110">
        <f t="shared" si="90"/>
        <v>0</v>
      </c>
      <c r="U132" s="110">
        <f t="shared" si="90"/>
        <v>0</v>
      </c>
      <c r="V132" s="110">
        <f t="shared" si="90"/>
        <v>0</v>
      </c>
      <c r="W132" s="110">
        <f t="shared" si="90"/>
        <v>0</v>
      </c>
      <c r="X132" s="110">
        <f t="shared" si="90"/>
        <v>0</v>
      </c>
      <c r="Y132" s="110">
        <f t="shared" si="90"/>
        <v>0</v>
      </c>
      <c r="Z132" s="110">
        <f t="shared" si="90"/>
        <v>0</v>
      </c>
      <c r="AA132" s="110">
        <f t="shared" si="90"/>
        <v>0</v>
      </c>
      <c r="AB132" s="110">
        <f t="shared" si="90"/>
        <v>0</v>
      </c>
      <c r="AC132" s="110">
        <f t="shared" si="90"/>
        <v>0</v>
      </c>
      <c r="AD132" s="110">
        <f t="shared" si="90"/>
        <v>0</v>
      </c>
      <c r="AE132" s="110">
        <f t="shared" si="90"/>
        <v>0</v>
      </c>
      <c r="AF132" s="110">
        <f t="shared" si="90"/>
        <v>0</v>
      </c>
      <c r="AG132" s="110">
        <f t="shared" si="90"/>
        <v>0</v>
      </c>
      <c r="AH132" s="245"/>
      <c r="AI132" s="133"/>
      <c r="AJ132" s="211"/>
      <c r="AL132" s="108"/>
      <c r="AM132" s="2"/>
      <c r="AN132" s="2"/>
      <c r="AO132" s="2"/>
      <c r="AV132" s="41"/>
    </row>
    <row r="133" spans="1:63" outlineLevel="1" x14ac:dyDescent="0.2">
      <c r="A133" t="s">
        <v>1689</v>
      </c>
      <c r="B133" s="176" t="s">
        <v>462</v>
      </c>
      <c r="C133" s="110">
        <f>SUM(C131:C132)</f>
        <v>0</v>
      </c>
      <c r="D133" s="110">
        <f t="shared" ref="D133:AG133" si="91">SUM(D131:D132)</f>
        <v>0</v>
      </c>
      <c r="E133" s="110">
        <f t="shared" si="91"/>
        <v>0</v>
      </c>
      <c r="F133" s="110">
        <f t="shared" si="91"/>
        <v>0</v>
      </c>
      <c r="G133" s="110">
        <f t="shared" si="91"/>
        <v>0</v>
      </c>
      <c r="H133" s="110">
        <f t="shared" si="91"/>
        <v>0</v>
      </c>
      <c r="I133" s="110">
        <f t="shared" si="91"/>
        <v>0</v>
      </c>
      <c r="J133" s="110">
        <f t="shared" si="91"/>
        <v>0</v>
      </c>
      <c r="K133" s="110">
        <f t="shared" si="91"/>
        <v>0</v>
      </c>
      <c r="L133" s="110">
        <f t="shared" si="91"/>
        <v>0</v>
      </c>
      <c r="M133" s="110">
        <f t="shared" si="91"/>
        <v>0</v>
      </c>
      <c r="N133" s="110">
        <f t="shared" si="91"/>
        <v>0</v>
      </c>
      <c r="O133" s="110">
        <f t="shared" si="91"/>
        <v>0</v>
      </c>
      <c r="P133" s="110">
        <f t="shared" si="91"/>
        <v>0</v>
      </c>
      <c r="Q133" s="110">
        <f t="shared" si="91"/>
        <v>0</v>
      </c>
      <c r="R133" s="110">
        <f t="shared" si="91"/>
        <v>0</v>
      </c>
      <c r="S133" s="110">
        <f t="shared" si="91"/>
        <v>0</v>
      </c>
      <c r="T133" s="110">
        <f t="shared" si="91"/>
        <v>0</v>
      </c>
      <c r="U133" s="110">
        <f t="shared" si="91"/>
        <v>0</v>
      </c>
      <c r="V133" s="110">
        <f t="shared" si="91"/>
        <v>0</v>
      </c>
      <c r="W133" s="110">
        <f t="shared" si="91"/>
        <v>0</v>
      </c>
      <c r="X133" s="110">
        <f t="shared" si="91"/>
        <v>0</v>
      </c>
      <c r="Y133" s="110">
        <f t="shared" si="91"/>
        <v>0</v>
      </c>
      <c r="Z133" s="110">
        <f t="shared" si="91"/>
        <v>0</v>
      </c>
      <c r="AA133" s="110">
        <f t="shared" si="91"/>
        <v>0</v>
      </c>
      <c r="AB133" s="110">
        <f t="shared" si="91"/>
        <v>0</v>
      </c>
      <c r="AC133" s="110">
        <f t="shared" si="91"/>
        <v>0</v>
      </c>
      <c r="AD133" s="110">
        <f t="shared" si="91"/>
        <v>0</v>
      </c>
      <c r="AE133" s="110">
        <f t="shared" si="91"/>
        <v>0</v>
      </c>
      <c r="AF133" s="110">
        <f t="shared" si="91"/>
        <v>0</v>
      </c>
      <c r="AG133" s="110">
        <f t="shared" si="91"/>
        <v>0</v>
      </c>
      <c r="AI133" s="133"/>
      <c r="AJ133" s="211"/>
      <c r="AL133" s="108"/>
      <c r="AM133" s="2"/>
      <c r="AN133" s="2"/>
      <c r="AO133" s="2"/>
    </row>
    <row r="134" spans="1:63" outlineLevel="1" x14ac:dyDescent="0.2">
      <c r="A134" t="s">
        <v>1693</v>
      </c>
      <c r="B134" s="54" t="s">
        <v>462</v>
      </c>
      <c r="C134" s="110">
        <f>C123*C132</f>
        <v>0</v>
      </c>
      <c r="D134" s="110">
        <f t="shared" ref="D134:AG134" si="92">D120*D132</f>
        <v>0</v>
      </c>
      <c r="E134" s="110">
        <f t="shared" si="92"/>
        <v>0</v>
      </c>
      <c r="F134" s="110">
        <f t="shared" si="92"/>
        <v>0</v>
      </c>
      <c r="G134" s="110">
        <f t="shared" si="92"/>
        <v>0</v>
      </c>
      <c r="H134" s="110">
        <f t="shared" si="92"/>
        <v>0</v>
      </c>
      <c r="I134" s="110">
        <f t="shared" si="92"/>
        <v>0</v>
      </c>
      <c r="J134" s="110">
        <f t="shared" si="92"/>
        <v>0</v>
      </c>
      <c r="K134" s="110">
        <f t="shared" si="92"/>
        <v>0</v>
      </c>
      <c r="L134" s="110">
        <f t="shared" si="92"/>
        <v>0</v>
      </c>
      <c r="M134" s="110">
        <f t="shared" si="92"/>
        <v>0</v>
      </c>
      <c r="N134" s="110">
        <f t="shared" si="92"/>
        <v>0</v>
      </c>
      <c r="O134" s="110">
        <f t="shared" si="92"/>
        <v>0</v>
      </c>
      <c r="P134" s="110">
        <f t="shared" si="92"/>
        <v>0</v>
      </c>
      <c r="Q134" s="110">
        <f t="shared" si="92"/>
        <v>0</v>
      </c>
      <c r="R134" s="110">
        <f t="shared" si="92"/>
        <v>0</v>
      </c>
      <c r="S134" s="110">
        <f t="shared" si="92"/>
        <v>0</v>
      </c>
      <c r="T134" s="110">
        <f t="shared" si="92"/>
        <v>0</v>
      </c>
      <c r="U134" s="110">
        <f t="shared" si="92"/>
        <v>0</v>
      </c>
      <c r="V134" s="110">
        <f t="shared" si="92"/>
        <v>0</v>
      </c>
      <c r="W134" s="110">
        <f t="shared" si="92"/>
        <v>0</v>
      </c>
      <c r="X134" s="110">
        <f t="shared" si="92"/>
        <v>0</v>
      </c>
      <c r="Y134" s="110">
        <f t="shared" si="92"/>
        <v>0</v>
      </c>
      <c r="Z134" s="110">
        <f t="shared" si="92"/>
        <v>0</v>
      </c>
      <c r="AA134" s="110">
        <f t="shared" si="92"/>
        <v>0</v>
      </c>
      <c r="AB134" s="110">
        <f t="shared" si="92"/>
        <v>0</v>
      </c>
      <c r="AC134" s="110">
        <f t="shared" si="92"/>
        <v>0</v>
      </c>
      <c r="AD134" s="110">
        <f t="shared" si="92"/>
        <v>0</v>
      </c>
      <c r="AE134" s="110">
        <f t="shared" si="92"/>
        <v>0</v>
      </c>
      <c r="AF134" s="110">
        <f t="shared" si="92"/>
        <v>0</v>
      </c>
      <c r="AG134" s="110">
        <f t="shared" si="92"/>
        <v>0</v>
      </c>
      <c r="AI134" s="133"/>
      <c r="AJ134" s="211"/>
      <c r="BD134" s="203"/>
      <c r="BE134" s="203"/>
    </row>
    <row r="135" spans="1:63" outlineLevel="1" x14ac:dyDescent="0.2">
      <c r="A135" t="s">
        <v>1694</v>
      </c>
      <c r="B135" s="54" t="s">
        <v>462</v>
      </c>
      <c r="C135" s="110">
        <f>C124*C132</f>
        <v>0</v>
      </c>
      <c r="D135" s="110">
        <f t="shared" ref="D135:AG135" si="93">D122*D132</f>
        <v>0</v>
      </c>
      <c r="E135" s="110">
        <f t="shared" si="93"/>
        <v>0</v>
      </c>
      <c r="F135" s="110">
        <f t="shared" si="93"/>
        <v>0</v>
      </c>
      <c r="G135" s="110">
        <f t="shared" si="93"/>
        <v>0</v>
      </c>
      <c r="H135" s="110">
        <f t="shared" si="93"/>
        <v>0</v>
      </c>
      <c r="I135" s="110">
        <f t="shared" si="93"/>
        <v>0</v>
      </c>
      <c r="J135" s="110">
        <f t="shared" si="93"/>
        <v>0</v>
      </c>
      <c r="K135" s="110">
        <f t="shared" si="93"/>
        <v>0</v>
      </c>
      <c r="L135" s="110">
        <f t="shared" si="93"/>
        <v>0</v>
      </c>
      <c r="M135" s="110">
        <f t="shared" si="93"/>
        <v>0</v>
      </c>
      <c r="N135" s="110">
        <f t="shared" si="93"/>
        <v>0</v>
      </c>
      <c r="O135" s="110">
        <f t="shared" si="93"/>
        <v>0</v>
      </c>
      <c r="P135" s="110">
        <f t="shared" si="93"/>
        <v>0</v>
      </c>
      <c r="Q135" s="110">
        <f t="shared" si="93"/>
        <v>0</v>
      </c>
      <c r="R135" s="110">
        <f t="shared" si="93"/>
        <v>0</v>
      </c>
      <c r="S135" s="110">
        <f t="shared" si="93"/>
        <v>0</v>
      </c>
      <c r="T135" s="110">
        <f t="shared" si="93"/>
        <v>0</v>
      </c>
      <c r="U135" s="110">
        <f t="shared" si="93"/>
        <v>0</v>
      </c>
      <c r="V135" s="110">
        <f t="shared" si="93"/>
        <v>0</v>
      </c>
      <c r="W135" s="110">
        <f t="shared" si="93"/>
        <v>0</v>
      </c>
      <c r="X135" s="110">
        <f t="shared" si="93"/>
        <v>0</v>
      </c>
      <c r="Y135" s="110">
        <f t="shared" si="93"/>
        <v>0</v>
      </c>
      <c r="Z135" s="110">
        <f t="shared" si="93"/>
        <v>0</v>
      </c>
      <c r="AA135" s="110">
        <f t="shared" si="93"/>
        <v>0</v>
      </c>
      <c r="AB135" s="110">
        <f t="shared" si="93"/>
        <v>0</v>
      </c>
      <c r="AC135" s="110">
        <f t="shared" si="93"/>
        <v>0</v>
      </c>
      <c r="AD135" s="110">
        <f t="shared" si="93"/>
        <v>0</v>
      </c>
      <c r="AE135" s="110">
        <f t="shared" si="93"/>
        <v>0</v>
      </c>
      <c r="AF135" s="110">
        <f t="shared" si="93"/>
        <v>0</v>
      </c>
      <c r="AG135" s="110">
        <f t="shared" si="93"/>
        <v>0</v>
      </c>
      <c r="AI135" s="134"/>
      <c r="AJ135" s="211"/>
      <c r="BC135" s="1"/>
      <c r="BD135" s="41"/>
      <c r="BF135" s="6"/>
      <c r="BG135" s="6"/>
      <c r="BH135" s="6"/>
      <c r="BI135" s="6"/>
      <c r="BJ135" s="6"/>
    </row>
    <row r="136" spans="1:63" outlineLevel="1" x14ac:dyDescent="0.2">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I136" s="134"/>
      <c r="AJ136" s="211"/>
      <c r="BC136" s="1"/>
      <c r="BD136" s="41"/>
      <c r="BF136" s="6"/>
      <c r="BG136" s="6"/>
      <c r="BH136" s="6"/>
      <c r="BI136" s="6"/>
      <c r="BJ136" s="6"/>
    </row>
    <row r="137" spans="1:63" s="1" customFormat="1" outlineLevel="1" x14ac:dyDescent="0.2">
      <c r="A137" s="1" t="s">
        <v>228</v>
      </c>
      <c r="B137" s="65"/>
      <c r="C137" s="300">
        <f t="shared" ref="C137:AG137" si="94">C131*C45</f>
        <v>0</v>
      </c>
      <c r="D137" s="300">
        <f t="shared" si="94"/>
        <v>0</v>
      </c>
      <c r="E137" s="300">
        <f t="shared" si="94"/>
        <v>0</v>
      </c>
      <c r="F137" s="300">
        <f t="shared" si="94"/>
        <v>0</v>
      </c>
      <c r="G137" s="300">
        <f t="shared" si="94"/>
        <v>0</v>
      </c>
      <c r="H137" s="300">
        <f t="shared" si="94"/>
        <v>0</v>
      </c>
      <c r="I137" s="300">
        <f t="shared" si="94"/>
        <v>0</v>
      </c>
      <c r="J137" s="300">
        <f t="shared" si="94"/>
        <v>0</v>
      </c>
      <c r="K137" s="300">
        <f t="shared" si="94"/>
        <v>0</v>
      </c>
      <c r="L137" s="300">
        <f t="shared" si="94"/>
        <v>0</v>
      </c>
      <c r="M137" s="300">
        <f t="shared" si="94"/>
        <v>0</v>
      </c>
      <c r="N137" s="300">
        <f t="shared" si="94"/>
        <v>0</v>
      </c>
      <c r="O137" s="300">
        <f t="shared" si="94"/>
        <v>0</v>
      </c>
      <c r="P137" s="300">
        <f t="shared" si="94"/>
        <v>0</v>
      </c>
      <c r="Q137" s="300">
        <f t="shared" si="94"/>
        <v>0</v>
      </c>
      <c r="R137" s="300">
        <f t="shared" si="94"/>
        <v>0</v>
      </c>
      <c r="S137" s="300">
        <f t="shared" si="94"/>
        <v>0</v>
      </c>
      <c r="T137" s="300">
        <f t="shared" si="94"/>
        <v>0</v>
      </c>
      <c r="U137" s="300">
        <f t="shared" si="94"/>
        <v>0</v>
      </c>
      <c r="V137" s="300">
        <f t="shared" si="94"/>
        <v>0</v>
      </c>
      <c r="W137" s="300">
        <f t="shared" si="94"/>
        <v>0</v>
      </c>
      <c r="X137" s="300">
        <f t="shared" si="94"/>
        <v>0</v>
      </c>
      <c r="Y137" s="300">
        <f t="shared" si="94"/>
        <v>0</v>
      </c>
      <c r="Z137" s="300">
        <f t="shared" si="94"/>
        <v>0</v>
      </c>
      <c r="AA137" s="300">
        <f t="shared" si="94"/>
        <v>0</v>
      </c>
      <c r="AB137" s="300">
        <f t="shared" si="94"/>
        <v>0</v>
      </c>
      <c r="AC137" s="300">
        <f t="shared" si="94"/>
        <v>0</v>
      </c>
      <c r="AD137" s="300">
        <f t="shared" si="94"/>
        <v>0</v>
      </c>
      <c r="AE137" s="300">
        <f t="shared" si="94"/>
        <v>0</v>
      </c>
      <c r="AF137" s="300">
        <f t="shared" si="94"/>
        <v>0</v>
      </c>
      <c r="AG137" s="300">
        <f t="shared" si="94"/>
        <v>0</v>
      </c>
      <c r="AH137" s="245"/>
      <c r="AI137" s="423"/>
      <c r="AJ137" s="424"/>
      <c r="AL137" s="221"/>
      <c r="AM137" s="124"/>
      <c r="AN137" s="124"/>
      <c r="AO137" s="124"/>
      <c r="BD137" s="124"/>
      <c r="BE137" s="124"/>
      <c r="BF137" s="124"/>
      <c r="BG137" s="124"/>
      <c r="BH137" s="124"/>
      <c r="BI137" s="124"/>
      <c r="BJ137" s="124"/>
      <c r="BK137" s="124"/>
    </row>
    <row r="138" spans="1:63" s="1" customFormat="1" outlineLevel="1" x14ac:dyDescent="0.2">
      <c r="A138" s="1" t="s">
        <v>1562</v>
      </c>
      <c r="B138" s="65"/>
      <c r="C138" s="300">
        <f t="shared" ref="C138:AG138" si="95">C137-$C137</f>
        <v>0</v>
      </c>
      <c r="D138" s="300">
        <f t="shared" si="95"/>
        <v>0</v>
      </c>
      <c r="E138" s="300">
        <f t="shared" si="95"/>
        <v>0</v>
      </c>
      <c r="F138" s="300">
        <f t="shared" si="95"/>
        <v>0</v>
      </c>
      <c r="G138" s="300">
        <f t="shared" si="95"/>
        <v>0</v>
      </c>
      <c r="H138" s="300">
        <f t="shared" si="95"/>
        <v>0</v>
      </c>
      <c r="I138" s="300">
        <f t="shared" si="95"/>
        <v>0</v>
      </c>
      <c r="J138" s="300">
        <f t="shared" si="95"/>
        <v>0</v>
      </c>
      <c r="K138" s="300">
        <f t="shared" si="95"/>
        <v>0</v>
      </c>
      <c r="L138" s="300">
        <f t="shared" si="95"/>
        <v>0</v>
      </c>
      <c r="M138" s="300">
        <f t="shared" si="95"/>
        <v>0</v>
      </c>
      <c r="N138" s="300">
        <f t="shared" si="95"/>
        <v>0</v>
      </c>
      <c r="O138" s="300">
        <f t="shared" si="95"/>
        <v>0</v>
      </c>
      <c r="P138" s="300">
        <f t="shared" si="95"/>
        <v>0</v>
      </c>
      <c r="Q138" s="300">
        <f t="shared" si="95"/>
        <v>0</v>
      </c>
      <c r="R138" s="300">
        <f t="shared" si="95"/>
        <v>0</v>
      </c>
      <c r="S138" s="300">
        <f t="shared" si="95"/>
        <v>0</v>
      </c>
      <c r="T138" s="300">
        <f t="shared" si="95"/>
        <v>0</v>
      </c>
      <c r="U138" s="300">
        <f t="shared" si="95"/>
        <v>0</v>
      </c>
      <c r="V138" s="300">
        <f t="shared" si="95"/>
        <v>0</v>
      </c>
      <c r="W138" s="300">
        <f t="shared" si="95"/>
        <v>0</v>
      </c>
      <c r="X138" s="300">
        <f t="shared" si="95"/>
        <v>0</v>
      </c>
      <c r="Y138" s="300">
        <f t="shared" si="95"/>
        <v>0</v>
      </c>
      <c r="Z138" s="300">
        <f t="shared" si="95"/>
        <v>0</v>
      </c>
      <c r="AA138" s="300">
        <f t="shared" si="95"/>
        <v>0</v>
      </c>
      <c r="AB138" s="300">
        <f t="shared" si="95"/>
        <v>0</v>
      </c>
      <c r="AC138" s="300">
        <f t="shared" si="95"/>
        <v>0</v>
      </c>
      <c r="AD138" s="300">
        <f t="shared" si="95"/>
        <v>0</v>
      </c>
      <c r="AE138" s="300">
        <f t="shared" si="95"/>
        <v>0</v>
      </c>
      <c r="AF138" s="300">
        <f t="shared" si="95"/>
        <v>0</v>
      </c>
      <c r="AG138" s="300">
        <f t="shared" si="95"/>
        <v>0</v>
      </c>
      <c r="AH138" s="245"/>
      <c r="AI138" s="423"/>
      <c r="AJ138" s="424"/>
      <c r="AL138" s="221"/>
      <c r="AM138" s="124"/>
      <c r="AN138" s="124"/>
      <c r="AO138" s="124"/>
      <c r="BD138" s="124"/>
      <c r="BE138" s="124"/>
      <c r="BF138" s="124"/>
      <c r="BG138" s="124"/>
      <c r="BH138" s="124"/>
      <c r="BI138" s="124"/>
      <c r="BJ138" s="124"/>
      <c r="BK138" s="124"/>
    </row>
    <row r="139" spans="1:63" s="1" customFormat="1" outlineLevel="1" x14ac:dyDescent="0.2">
      <c r="A139" s="1" t="s">
        <v>1569</v>
      </c>
      <c r="B139" s="65"/>
      <c r="C139" s="300">
        <f t="shared" ref="C139:AG139" si="96">C131*C45</f>
        <v>0</v>
      </c>
      <c r="D139" s="300">
        <f t="shared" si="96"/>
        <v>0</v>
      </c>
      <c r="E139" s="300">
        <f t="shared" si="96"/>
        <v>0</v>
      </c>
      <c r="F139" s="300">
        <f t="shared" si="96"/>
        <v>0</v>
      </c>
      <c r="G139" s="300">
        <f t="shared" si="96"/>
        <v>0</v>
      </c>
      <c r="H139" s="300">
        <f t="shared" si="96"/>
        <v>0</v>
      </c>
      <c r="I139" s="300">
        <f t="shared" si="96"/>
        <v>0</v>
      </c>
      <c r="J139" s="300">
        <f t="shared" si="96"/>
        <v>0</v>
      </c>
      <c r="K139" s="300">
        <f t="shared" si="96"/>
        <v>0</v>
      </c>
      <c r="L139" s="300">
        <f t="shared" si="96"/>
        <v>0</v>
      </c>
      <c r="M139" s="300">
        <f t="shared" si="96"/>
        <v>0</v>
      </c>
      <c r="N139" s="300">
        <f t="shared" si="96"/>
        <v>0</v>
      </c>
      <c r="O139" s="300">
        <f t="shared" si="96"/>
        <v>0</v>
      </c>
      <c r="P139" s="300">
        <f t="shared" si="96"/>
        <v>0</v>
      </c>
      <c r="Q139" s="300">
        <f t="shared" si="96"/>
        <v>0</v>
      </c>
      <c r="R139" s="300">
        <f t="shared" si="96"/>
        <v>0</v>
      </c>
      <c r="S139" s="300">
        <f t="shared" si="96"/>
        <v>0</v>
      </c>
      <c r="T139" s="300">
        <f t="shared" si="96"/>
        <v>0</v>
      </c>
      <c r="U139" s="300">
        <f t="shared" si="96"/>
        <v>0</v>
      </c>
      <c r="V139" s="300">
        <f t="shared" si="96"/>
        <v>0</v>
      </c>
      <c r="W139" s="300">
        <f t="shared" si="96"/>
        <v>0</v>
      </c>
      <c r="X139" s="300">
        <f t="shared" si="96"/>
        <v>0</v>
      </c>
      <c r="Y139" s="300">
        <f t="shared" si="96"/>
        <v>0</v>
      </c>
      <c r="Z139" s="300">
        <f t="shared" si="96"/>
        <v>0</v>
      </c>
      <c r="AA139" s="300">
        <f t="shared" si="96"/>
        <v>0</v>
      </c>
      <c r="AB139" s="300">
        <f t="shared" si="96"/>
        <v>0</v>
      </c>
      <c r="AC139" s="300">
        <f t="shared" si="96"/>
        <v>0</v>
      </c>
      <c r="AD139" s="300">
        <f t="shared" si="96"/>
        <v>0</v>
      </c>
      <c r="AE139" s="300">
        <f t="shared" si="96"/>
        <v>0</v>
      </c>
      <c r="AF139" s="300">
        <f t="shared" si="96"/>
        <v>0</v>
      </c>
      <c r="AG139" s="300">
        <f t="shared" si="96"/>
        <v>0</v>
      </c>
      <c r="AH139" s="245"/>
      <c r="AI139" s="423"/>
      <c r="AJ139" s="424"/>
      <c r="AL139" s="221"/>
      <c r="AM139" s="124"/>
      <c r="AN139" s="124"/>
      <c r="AO139" s="124"/>
      <c r="BD139" s="124"/>
      <c r="BE139" s="124"/>
      <c r="BF139" s="124"/>
      <c r="BG139" s="124"/>
      <c r="BH139" s="124"/>
      <c r="BI139" s="124"/>
      <c r="BJ139" s="124"/>
      <c r="BK139" s="124"/>
    </row>
    <row r="140" spans="1:63" s="1" customFormat="1" outlineLevel="1" x14ac:dyDescent="0.2">
      <c r="A140" s="1" t="s">
        <v>1570</v>
      </c>
      <c r="B140" s="65"/>
      <c r="C140" s="300">
        <f t="shared" ref="C140:AG140" si="97">C139-$C139</f>
        <v>0</v>
      </c>
      <c r="D140" s="300">
        <f t="shared" si="97"/>
        <v>0</v>
      </c>
      <c r="E140" s="300">
        <f t="shared" si="97"/>
        <v>0</v>
      </c>
      <c r="F140" s="300">
        <f t="shared" si="97"/>
        <v>0</v>
      </c>
      <c r="G140" s="300">
        <f t="shared" si="97"/>
        <v>0</v>
      </c>
      <c r="H140" s="300">
        <f t="shared" si="97"/>
        <v>0</v>
      </c>
      <c r="I140" s="300">
        <f t="shared" si="97"/>
        <v>0</v>
      </c>
      <c r="J140" s="300">
        <f t="shared" si="97"/>
        <v>0</v>
      </c>
      <c r="K140" s="300">
        <f t="shared" si="97"/>
        <v>0</v>
      </c>
      <c r="L140" s="300">
        <f t="shared" si="97"/>
        <v>0</v>
      </c>
      <c r="M140" s="300">
        <f t="shared" si="97"/>
        <v>0</v>
      </c>
      <c r="N140" s="300">
        <f t="shared" si="97"/>
        <v>0</v>
      </c>
      <c r="O140" s="300">
        <f t="shared" si="97"/>
        <v>0</v>
      </c>
      <c r="P140" s="300">
        <f t="shared" si="97"/>
        <v>0</v>
      </c>
      <c r="Q140" s="300">
        <f t="shared" si="97"/>
        <v>0</v>
      </c>
      <c r="R140" s="300">
        <f t="shared" si="97"/>
        <v>0</v>
      </c>
      <c r="S140" s="300">
        <f t="shared" si="97"/>
        <v>0</v>
      </c>
      <c r="T140" s="300">
        <f t="shared" si="97"/>
        <v>0</v>
      </c>
      <c r="U140" s="300">
        <f t="shared" si="97"/>
        <v>0</v>
      </c>
      <c r="V140" s="300">
        <f t="shared" si="97"/>
        <v>0</v>
      </c>
      <c r="W140" s="300">
        <f t="shared" si="97"/>
        <v>0</v>
      </c>
      <c r="X140" s="300">
        <f t="shared" si="97"/>
        <v>0</v>
      </c>
      <c r="Y140" s="300">
        <f t="shared" si="97"/>
        <v>0</v>
      </c>
      <c r="Z140" s="300">
        <f t="shared" si="97"/>
        <v>0</v>
      </c>
      <c r="AA140" s="300">
        <f t="shared" si="97"/>
        <v>0</v>
      </c>
      <c r="AB140" s="300">
        <f t="shared" si="97"/>
        <v>0</v>
      </c>
      <c r="AC140" s="300">
        <f t="shared" si="97"/>
        <v>0</v>
      </c>
      <c r="AD140" s="300">
        <f t="shared" si="97"/>
        <v>0</v>
      </c>
      <c r="AE140" s="300">
        <f t="shared" si="97"/>
        <v>0</v>
      </c>
      <c r="AF140" s="300">
        <f t="shared" si="97"/>
        <v>0</v>
      </c>
      <c r="AG140" s="300">
        <f t="shared" si="97"/>
        <v>0</v>
      </c>
      <c r="AH140" s="245"/>
      <c r="AI140" s="423"/>
      <c r="AJ140" s="424"/>
      <c r="AL140" s="221"/>
      <c r="AM140" s="124"/>
      <c r="AN140" s="124"/>
      <c r="AO140" s="124"/>
      <c r="BD140" s="124"/>
      <c r="BE140" s="124"/>
      <c r="BF140" s="124"/>
      <c r="BG140" s="124"/>
      <c r="BH140" s="124"/>
      <c r="BI140" s="124"/>
      <c r="BJ140" s="124"/>
      <c r="BK140" s="124"/>
    </row>
    <row r="141" spans="1:63" s="1" customFormat="1" outlineLevel="1" x14ac:dyDescent="0.2">
      <c r="A141" s="1" t="s">
        <v>1637</v>
      </c>
      <c r="B141" s="65"/>
      <c r="C141" s="300">
        <f t="shared" ref="C141:AG141" si="98">C131*C45</f>
        <v>0</v>
      </c>
      <c r="D141" s="300">
        <f t="shared" si="98"/>
        <v>0</v>
      </c>
      <c r="E141" s="300">
        <f t="shared" si="98"/>
        <v>0</v>
      </c>
      <c r="F141" s="300">
        <f t="shared" si="98"/>
        <v>0</v>
      </c>
      <c r="G141" s="300">
        <f t="shared" si="98"/>
        <v>0</v>
      </c>
      <c r="H141" s="300">
        <f t="shared" si="98"/>
        <v>0</v>
      </c>
      <c r="I141" s="300">
        <f t="shared" si="98"/>
        <v>0</v>
      </c>
      <c r="J141" s="300">
        <f t="shared" si="98"/>
        <v>0</v>
      </c>
      <c r="K141" s="300">
        <f t="shared" si="98"/>
        <v>0</v>
      </c>
      <c r="L141" s="300">
        <f t="shared" si="98"/>
        <v>0</v>
      </c>
      <c r="M141" s="300">
        <f t="shared" si="98"/>
        <v>0</v>
      </c>
      <c r="N141" s="300">
        <f t="shared" si="98"/>
        <v>0</v>
      </c>
      <c r="O141" s="300">
        <f t="shared" si="98"/>
        <v>0</v>
      </c>
      <c r="P141" s="300">
        <f t="shared" si="98"/>
        <v>0</v>
      </c>
      <c r="Q141" s="300">
        <f t="shared" si="98"/>
        <v>0</v>
      </c>
      <c r="R141" s="300">
        <f t="shared" si="98"/>
        <v>0</v>
      </c>
      <c r="S141" s="300">
        <f t="shared" si="98"/>
        <v>0</v>
      </c>
      <c r="T141" s="300">
        <f t="shared" si="98"/>
        <v>0</v>
      </c>
      <c r="U141" s="300">
        <f t="shared" si="98"/>
        <v>0</v>
      </c>
      <c r="V141" s="300">
        <f t="shared" si="98"/>
        <v>0</v>
      </c>
      <c r="W141" s="300">
        <f t="shared" si="98"/>
        <v>0</v>
      </c>
      <c r="X141" s="300">
        <f t="shared" si="98"/>
        <v>0</v>
      </c>
      <c r="Y141" s="300">
        <f t="shared" si="98"/>
        <v>0</v>
      </c>
      <c r="Z141" s="300">
        <f t="shared" si="98"/>
        <v>0</v>
      </c>
      <c r="AA141" s="300">
        <f t="shared" si="98"/>
        <v>0</v>
      </c>
      <c r="AB141" s="300">
        <f t="shared" si="98"/>
        <v>0</v>
      </c>
      <c r="AC141" s="300">
        <f t="shared" si="98"/>
        <v>0</v>
      </c>
      <c r="AD141" s="300">
        <f t="shared" si="98"/>
        <v>0</v>
      </c>
      <c r="AE141" s="300">
        <f t="shared" si="98"/>
        <v>0</v>
      </c>
      <c r="AF141" s="300">
        <f t="shared" si="98"/>
        <v>0</v>
      </c>
      <c r="AG141" s="300">
        <f t="shared" si="98"/>
        <v>0</v>
      </c>
      <c r="AH141" s="245"/>
      <c r="AI141" s="423"/>
      <c r="AJ141" s="424"/>
      <c r="AL141" s="221"/>
      <c r="AM141" s="124"/>
      <c r="AN141" s="124"/>
      <c r="AO141" s="124"/>
      <c r="BD141" s="124"/>
      <c r="BE141" s="124"/>
      <c r="BF141" s="124"/>
      <c r="BG141" s="124"/>
      <c r="BH141" s="124"/>
      <c r="BI141" s="124"/>
      <c r="BJ141" s="124"/>
      <c r="BK141" s="124"/>
    </row>
    <row r="142" spans="1:63" s="1" customFormat="1" outlineLevel="1" x14ac:dyDescent="0.2">
      <c r="A142" s="1" t="s">
        <v>1638</v>
      </c>
      <c r="B142" s="65"/>
      <c r="C142" s="300">
        <f t="shared" ref="C142:AG142" si="99">C141-$C141</f>
        <v>0</v>
      </c>
      <c r="D142" s="300">
        <f t="shared" si="99"/>
        <v>0</v>
      </c>
      <c r="E142" s="300">
        <f t="shared" si="99"/>
        <v>0</v>
      </c>
      <c r="F142" s="300">
        <f t="shared" si="99"/>
        <v>0</v>
      </c>
      <c r="G142" s="300">
        <f t="shared" si="99"/>
        <v>0</v>
      </c>
      <c r="H142" s="300">
        <f t="shared" si="99"/>
        <v>0</v>
      </c>
      <c r="I142" s="300">
        <f t="shared" si="99"/>
        <v>0</v>
      </c>
      <c r="J142" s="300">
        <f t="shared" si="99"/>
        <v>0</v>
      </c>
      <c r="K142" s="300">
        <f t="shared" si="99"/>
        <v>0</v>
      </c>
      <c r="L142" s="300">
        <f t="shared" si="99"/>
        <v>0</v>
      </c>
      <c r="M142" s="300">
        <f t="shared" si="99"/>
        <v>0</v>
      </c>
      <c r="N142" s="300">
        <f t="shared" si="99"/>
        <v>0</v>
      </c>
      <c r="O142" s="300">
        <f t="shared" si="99"/>
        <v>0</v>
      </c>
      <c r="P142" s="300">
        <f t="shared" si="99"/>
        <v>0</v>
      </c>
      <c r="Q142" s="300">
        <f t="shared" si="99"/>
        <v>0</v>
      </c>
      <c r="R142" s="300">
        <f t="shared" si="99"/>
        <v>0</v>
      </c>
      <c r="S142" s="300">
        <f t="shared" si="99"/>
        <v>0</v>
      </c>
      <c r="T142" s="300">
        <f t="shared" si="99"/>
        <v>0</v>
      </c>
      <c r="U142" s="300">
        <f t="shared" si="99"/>
        <v>0</v>
      </c>
      <c r="V142" s="300">
        <f t="shared" si="99"/>
        <v>0</v>
      </c>
      <c r="W142" s="300">
        <f t="shared" si="99"/>
        <v>0</v>
      </c>
      <c r="X142" s="300">
        <f t="shared" si="99"/>
        <v>0</v>
      </c>
      <c r="Y142" s="300">
        <f t="shared" si="99"/>
        <v>0</v>
      </c>
      <c r="Z142" s="300">
        <f t="shared" si="99"/>
        <v>0</v>
      </c>
      <c r="AA142" s="300">
        <f t="shared" si="99"/>
        <v>0</v>
      </c>
      <c r="AB142" s="300">
        <f t="shared" si="99"/>
        <v>0</v>
      </c>
      <c r="AC142" s="300">
        <f t="shared" si="99"/>
        <v>0</v>
      </c>
      <c r="AD142" s="300">
        <f t="shared" si="99"/>
        <v>0</v>
      </c>
      <c r="AE142" s="300">
        <f t="shared" si="99"/>
        <v>0</v>
      </c>
      <c r="AF142" s="300">
        <f t="shared" si="99"/>
        <v>0</v>
      </c>
      <c r="AG142" s="300">
        <f t="shared" si="99"/>
        <v>0</v>
      </c>
      <c r="AH142" s="245"/>
      <c r="AI142" s="423"/>
      <c r="AJ142" s="424"/>
      <c r="AL142" s="221"/>
      <c r="AM142" s="124"/>
      <c r="AN142" s="124"/>
      <c r="AO142" s="124"/>
      <c r="BD142" s="124"/>
      <c r="BE142" s="124"/>
      <c r="BF142" s="124"/>
      <c r="BG142" s="124"/>
      <c r="BH142" s="124"/>
      <c r="BI142" s="124"/>
      <c r="BJ142" s="124"/>
      <c r="BK142" s="124"/>
    </row>
    <row r="143" spans="1:63" outlineLevel="1" x14ac:dyDescent="0.2">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J143" s="211"/>
    </row>
    <row r="144" spans="1:63" s="200" customFormat="1" ht="16" thickBot="1" x14ac:dyDescent="0.25">
      <c r="A144" s="200" t="s">
        <v>1347</v>
      </c>
      <c r="B144" s="215"/>
      <c r="C144" s="224">
        <f>C145</f>
        <v>0</v>
      </c>
      <c r="D144" s="224">
        <f t="shared" ref="D144:AG144" si="100">D145</f>
        <v>9.9999999999999985E-3</v>
      </c>
      <c r="E144" s="224">
        <f t="shared" si="100"/>
        <v>1.9999999999999997E-2</v>
      </c>
      <c r="F144" s="224">
        <f t="shared" si="100"/>
        <v>2.9999999999999995E-2</v>
      </c>
      <c r="G144" s="224">
        <f t="shared" si="100"/>
        <v>3.9999999999999994E-2</v>
      </c>
      <c r="H144" s="224">
        <f t="shared" si="100"/>
        <v>4.9999999999999989E-2</v>
      </c>
      <c r="I144" s="224">
        <f t="shared" si="100"/>
        <v>5.9999999999999991E-2</v>
      </c>
      <c r="J144" s="224">
        <f t="shared" si="100"/>
        <v>6.9999999999999993E-2</v>
      </c>
      <c r="K144" s="224">
        <f t="shared" si="100"/>
        <v>7.9999999999999988E-2</v>
      </c>
      <c r="L144" s="224">
        <f t="shared" si="100"/>
        <v>8.9999999999999983E-2</v>
      </c>
      <c r="M144" s="224">
        <f t="shared" si="100"/>
        <v>9.9999999999999992E-2</v>
      </c>
      <c r="N144" s="224">
        <f t="shared" si="100"/>
        <v>0.10999999999999999</v>
      </c>
      <c r="O144" s="224">
        <f t="shared" si="100"/>
        <v>0.12</v>
      </c>
      <c r="P144" s="224">
        <f t="shared" si="100"/>
        <v>0.12999999999999998</v>
      </c>
      <c r="Q144" s="224">
        <f t="shared" si="100"/>
        <v>0.13999999999999999</v>
      </c>
      <c r="R144" s="224">
        <f t="shared" si="100"/>
        <v>0.14999999999999997</v>
      </c>
      <c r="S144" s="224">
        <f t="shared" si="100"/>
        <v>0.15999999999999998</v>
      </c>
      <c r="T144" s="224">
        <f t="shared" si="100"/>
        <v>0.16999999999999998</v>
      </c>
      <c r="U144" s="224">
        <f t="shared" si="100"/>
        <v>0.18</v>
      </c>
      <c r="V144" s="224">
        <f t="shared" si="100"/>
        <v>0.18999999999999997</v>
      </c>
      <c r="W144" s="224">
        <f t="shared" si="100"/>
        <v>0.19999999999999998</v>
      </c>
      <c r="X144" s="224">
        <f t="shared" si="100"/>
        <v>0.21</v>
      </c>
      <c r="Y144" s="224">
        <f t="shared" si="100"/>
        <v>0.21999999999999997</v>
      </c>
      <c r="Z144" s="224">
        <f t="shared" si="100"/>
        <v>0.22999999999999998</v>
      </c>
      <c r="AA144" s="224">
        <f t="shared" si="100"/>
        <v>0.24</v>
      </c>
      <c r="AB144" s="224">
        <f t="shared" si="100"/>
        <v>0.25</v>
      </c>
      <c r="AC144" s="224">
        <f t="shared" si="100"/>
        <v>0.26</v>
      </c>
      <c r="AD144" s="224">
        <f t="shared" si="100"/>
        <v>0.27</v>
      </c>
      <c r="AE144" s="224">
        <f t="shared" si="100"/>
        <v>0.27999999999999997</v>
      </c>
      <c r="AF144" s="224">
        <f t="shared" si="100"/>
        <v>0.28999999999999998</v>
      </c>
      <c r="AG144" s="224">
        <f t="shared" si="100"/>
        <v>0.3</v>
      </c>
      <c r="AJ144" s="231" t="s">
        <v>1312</v>
      </c>
      <c r="AL144" s="217"/>
      <c r="AM144" s="225"/>
      <c r="AN144" s="225"/>
      <c r="AO144" s="225"/>
    </row>
    <row r="145" spans="1:63" ht="16" outlineLevel="1" thickTop="1" x14ac:dyDescent="0.2">
      <c r="A145" t="s">
        <v>1348</v>
      </c>
      <c r="B145" s="54" t="s">
        <v>462</v>
      </c>
      <c r="C145" s="113">
        <v>0</v>
      </c>
      <c r="D145" s="110">
        <f>$C145+($M145-$C145)/10*(D$1-$C$1)</f>
        <v>9.9999999999999985E-3</v>
      </c>
      <c r="E145" s="110">
        <f t="shared" ref="E145:L145" si="101">$C145+($M145-$C145)/10*(E$1-$C$1)</f>
        <v>1.9999999999999997E-2</v>
      </c>
      <c r="F145" s="110">
        <f t="shared" si="101"/>
        <v>2.9999999999999995E-2</v>
      </c>
      <c r="G145" s="110">
        <f t="shared" si="101"/>
        <v>3.9999999999999994E-2</v>
      </c>
      <c r="H145" s="110">
        <f t="shared" si="101"/>
        <v>4.9999999999999989E-2</v>
      </c>
      <c r="I145" s="110">
        <f t="shared" si="101"/>
        <v>5.9999999999999991E-2</v>
      </c>
      <c r="J145" s="110">
        <f t="shared" si="101"/>
        <v>6.9999999999999993E-2</v>
      </c>
      <c r="K145" s="110">
        <f t="shared" si="101"/>
        <v>7.9999999999999988E-2</v>
      </c>
      <c r="L145" s="110">
        <f t="shared" si="101"/>
        <v>8.9999999999999983E-2</v>
      </c>
      <c r="M145" s="121">
        <f>C145+(AG145-C145)/3</f>
        <v>9.9999999999999992E-2</v>
      </c>
      <c r="N145" s="121">
        <f>$M145+($W145-$M145)/10*(N$1-$M$1)</f>
        <v>0.10999999999999999</v>
      </c>
      <c r="O145" s="121">
        <f t="shared" ref="O145:U145" si="102">$M145+($W145-$M145)/10*(O$1-$M$1)</f>
        <v>0.12</v>
      </c>
      <c r="P145" s="121">
        <f t="shared" si="102"/>
        <v>0.12999999999999998</v>
      </c>
      <c r="Q145" s="121">
        <f t="shared" si="102"/>
        <v>0.13999999999999999</v>
      </c>
      <c r="R145" s="121">
        <f t="shared" si="102"/>
        <v>0.14999999999999997</v>
      </c>
      <c r="S145" s="121">
        <f t="shared" si="102"/>
        <v>0.15999999999999998</v>
      </c>
      <c r="T145" s="121">
        <f t="shared" si="102"/>
        <v>0.16999999999999998</v>
      </c>
      <c r="U145" s="121">
        <f t="shared" si="102"/>
        <v>0.18</v>
      </c>
      <c r="V145" s="121">
        <f>$M145+($W145-$M145)/10*(V$1-$M$1)</f>
        <v>0.18999999999999997</v>
      </c>
      <c r="W145" s="121">
        <f>C145+(AG145-C145)*2/3</f>
        <v>0.19999999999999998</v>
      </c>
      <c r="X145" s="23">
        <f t="shared" ref="X145:AF145" si="103">$W145+($AG145-$W145)/10*(X$1-$W$1)</f>
        <v>0.21</v>
      </c>
      <c r="Y145" s="23">
        <f t="shared" si="103"/>
        <v>0.21999999999999997</v>
      </c>
      <c r="Z145" s="23">
        <f t="shared" si="103"/>
        <v>0.22999999999999998</v>
      </c>
      <c r="AA145" s="23">
        <f t="shared" si="103"/>
        <v>0.24</v>
      </c>
      <c r="AB145" s="23">
        <f t="shared" si="103"/>
        <v>0.25</v>
      </c>
      <c r="AC145" s="23">
        <f t="shared" si="103"/>
        <v>0.26</v>
      </c>
      <c r="AD145" s="23">
        <f t="shared" si="103"/>
        <v>0.27</v>
      </c>
      <c r="AE145" s="23">
        <f t="shared" si="103"/>
        <v>0.27999999999999997</v>
      </c>
      <c r="AF145" s="23">
        <f t="shared" si="103"/>
        <v>0.28999999999999998</v>
      </c>
      <c r="AG145" s="106">
        <v>0.3</v>
      </c>
      <c r="AJ145" s="211" t="s">
        <v>1217</v>
      </c>
    </row>
    <row r="146" spans="1:63" outlineLevel="1" x14ac:dyDescent="0.2">
      <c r="C146" s="113"/>
      <c r="D146" s="110"/>
      <c r="E146" s="110"/>
      <c r="F146" s="110"/>
      <c r="G146" s="110"/>
      <c r="H146" s="110"/>
      <c r="I146" s="110"/>
      <c r="J146" s="110"/>
      <c r="K146" s="110"/>
      <c r="L146" s="110"/>
      <c r="M146" s="121"/>
      <c r="N146" s="121"/>
      <c r="O146" s="121"/>
      <c r="P146" s="121"/>
      <c r="Q146" s="121"/>
      <c r="R146" s="121"/>
      <c r="S146" s="121"/>
      <c r="T146" s="121"/>
      <c r="U146" s="121"/>
      <c r="V146" s="121"/>
      <c r="W146" s="121"/>
      <c r="X146" s="23"/>
      <c r="Y146" s="23"/>
      <c r="Z146" s="23"/>
      <c r="AA146" s="23"/>
      <c r="AB146" s="23"/>
      <c r="AC146" s="23"/>
      <c r="AD146" s="23"/>
      <c r="AE146" s="23"/>
      <c r="AF146" s="23"/>
      <c r="AG146" s="106"/>
      <c r="AJ146" s="211"/>
    </row>
    <row r="147" spans="1:63" outlineLevel="1" x14ac:dyDescent="0.2">
      <c r="A147" t="s">
        <v>1676</v>
      </c>
      <c r="C147" s="504">
        <v>1</v>
      </c>
      <c r="D147" s="504">
        <f>C147-($C147-$AG147)/($AG$1-$C$1)</f>
        <v>1</v>
      </c>
      <c r="E147" s="504">
        <f t="shared" ref="E147:AF147" si="104">D147-($C147-$AG147)/($AG$1-$C$1)</f>
        <v>1</v>
      </c>
      <c r="F147" s="504">
        <f t="shared" si="104"/>
        <v>1</v>
      </c>
      <c r="G147" s="504">
        <f t="shared" si="104"/>
        <v>1</v>
      </c>
      <c r="H147" s="504">
        <f t="shared" si="104"/>
        <v>1</v>
      </c>
      <c r="I147" s="504">
        <f t="shared" si="104"/>
        <v>1</v>
      </c>
      <c r="J147" s="504">
        <f t="shared" si="104"/>
        <v>1</v>
      </c>
      <c r="K147" s="504">
        <f t="shared" si="104"/>
        <v>1</v>
      </c>
      <c r="L147" s="504">
        <f t="shared" si="104"/>
        <v>1</v>
      </c>
      <c r="M147" s="504">
        <f t="shared" si="104"/>
        <v>1</v>
      </c>
      <c r="N147" s="504">
        <f t="shared" si="104"/>
        <v>1</v>
      </c>
      <c r="O147" s="504">
        <f t="shared" si="104"/>
        <v>1</v>
      </c>
      <c r="P147" s="504">
        <f t="shared" si="104"/>
        <v>1</v>
      </c>
      <c r="Q147" s="504">
        <f t="shared" si="104"/>
        <v>1</v>
      </c>
      <c r="R147" s="504">
        <f t="shared" si="104"/>
        <v>1</v>
      </c>
      <c r="S147" s="504">
        <f t="shared" si="104"/>
        <v>1</v>
      </c>
      <c r="T147" s="504">
        <f t="shared" si="104"/>
        <v>1</v>
      </c>
      <c r="U147" s="504">
        <f t="shared" si="104"/>
        <v>1</v>
      </c>
      <c r="V147" s="504">
        <f t="shared" si="104"/>
        <v>1</v>
      </c>
      <c r="W147" s="504">
        <f t="shared" si="104"/>
        <v>1</v>
      </c>
      <c r="X147" s="504">
        <f t="shared" si="104"/>
        <v>1</v>
      </c>
      <c r="Y147" s="504">
        <f t="shared" si="104"/>
        <v>1</v>
      </c>
      <c r="Z147" s="504">
        <f t="shared" si="104"/>
        <v>1</v>
      </c>
      <c r="AA147" s="504">
        <f t="shared" si="104"/>
        <v>1</v>
      </c>
      <c r="AB147" s="504">
        <f t="shared" si="104"/>
        <v>1</v>
      </c>
      <c r="AC147" s="504">
        <f t="shared" si="104"/>
        <v>1</v>
      </c>
      <c r="AD147" s="504">
        <f t="shared" si="104"/>
        <v>1</v>
      </c>
      <c r="AE147" s="504">
        <f t="shared" si="104"/>
        <v>1</v>
      </c>
      <c r="AF147" s="504">
        <f t="shared" si="104"/>
        <v>1</v>
      </c>
      <c r="AG147" s="504">
        <v>1</v>
      </c>
      <c r="AI147" s="133"/>
      <c r="AJ147" s="211"/>
      <c r="AL147" s="108"/>
      <c r="AM147" s="207"/>
      <c r="AN147" s="207"/>
      <c r="AO147" s="207"/>
      <c r="BC147" s="1"/>
      <c r="BD147" s="207"/>
      <c r="BE147" s="207"/>
      <c r="BF147" s="207"/>
      <c r="BG147" s="207"/>
      <c r="BH147" s="207"/>
      <c r="BI147" s="207"/>
      <c r="BJ147" s="207"/>
      <c r="BK147" s="207"/>
    </row>
    <row r="148" spans="1:63" outlineLevel="1" x14ac:dyDescent="0.2">
      <c r="A148" t="s">
        <v>1695</v>
      </c>
      <c r="B148" s="54" t="s">
        <v>462</v>
      </c>
      <c r="C148" s="110">
        <f>C145*C147</f>
        <v>0</v>
      </c>
      <c r="D148" s="110">
        <f t="shared" ref="D148:AG148" si="105">D145*D147</f>
        <v>9.9999999999999985E-3</v>
      </c>
      <c r="E148" s="110">
        <f t="shared" si="105"/>
        <v>1.9999999999999997E-2</v>
      </c>
      <c r="F148" s="110">
        <f t="shared" si="105"/>
        <v>2.9999999999999995E-2</v>
      </c>
      <c r="G148" s="110">
        <f t="shared" si="105"/>
        <v>3.9999999999999994E-2</v>
      </c>
      <c r="H148" s="110">
        <f t="shared" si="105"/>
        <v>4.9999999999999989E-2</v>
      </c>
      <c r="I148" s="110">
        <f t="shared" si="105"/>
        <v>5.9999999999999991E-2</v>
      </c>
      <c r="J148" s="110">
        <f t="shared" si="105"/>
        <v>6.9999999999999993E-2</v>
      </c>
      <c r="K148" s="110">
        <f t="shared" si="105"/>
        <v>7.9999999999999988E-2</v>
      </c>
      <c r="L148" s="110">
        <f t="shared" si="105"/>
        <v>8.9999999999999983E-2</v>
      </c>
      <c r="M148" s="110">
        <f t="shared" si="105"/>
        <v>9.9999999999999992E-2</v>
      </c>
      <c r="N148" s="110">
        <f t="shared" si="105"/>
        <v>0.10999999999999999</v>
      </c>
      <c r="O148" s="110">
        <f t="shared" si="105"/>
        <v>0.12</v>
      </c>
      <c r="P148" s="110">
        <f t="shared" si="105"/>
        <v>0.12999999999999998</v>
      </c>
      <c r="Q148" s="110">
        <f t="shared" si="105"/>
        <v>0.13999999999999999</v>
      </c>
      <c r="R148" s="110">
        <f t="shared" si="105"/>
        <v>0.14999999999999997</v>
      </c>
      <c r="S148" s="110">
        <f t="shared" si="105"/>
        <v>0.15999999999999998</v>
      </c>
      <c r="T148" s="110">
        <f t="shared" si="105"/>
        <v>0.16999999999999998</v>
      </c>
      <c r="U148" s="110">
        <f t="shared" si="105"/>
        <v>0.18</v>
      </c>
      <c r="V148" s="110">
        <f t="shared" si="105"/>
        <v>0.18999999999999997</v>
      </c>
      <c r="W148" s="110">
        <f t="shared" si="105"/>
        <v>0.19999999999999998</v>
      </c>
      <c r="X148" s="110">
        <f t="shared" si="105"/>
        <v>0.21</v>
      </c>
      <c r="Y148" s="110">
        <f t="shared" si="105"/>
        <v>0.21999999999999997</v>
      </c>
      <c r="Z148" s="110">
        <f t="shared" si="105"/>
        <v>0.22999999999999998</v>
      </c>
      <c r="AA148" s="110">
        <f t="shared" si="105"/>
        <v>0.24</v>
      </c>
      <c r="AB148" s="110">
        <f t="shared" si="105"/>
        <v>0.25</v>
      </c>
      <c r="AC148" s="110">
        <f t="shared" si="105"/>
        <v>0.26</v>
      </c>
      <c r="AD148" s="110">
        <f t="shared" si="105"/>
        <v>0.27</v>
      </c>
      <c r="AE148" s="110">
        <f t="shared" si="105"/>
        <v>0.27999999999999997</v>
      </c>
      <c r="AF148" s="110">
        <f t="shared" si="105"/>
        <v>0.28999999999999998</v>
      </c>
      <c r="AG148" s="110">
        <f t="shared" si="105"/>
        <v>0.3</v>
      </c>
      <c r="AJ148" s="211"/>
    </row>
    <row r="149" spans="1:63" outlineLevel="1" x14ac:dyDescent="0.2">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I149" s="134"/>
      <c r="AJ149" s="211"/>
      <c r="BC149" s="1"/>
      <c r="BD149" s="41"/>
      <c r="BF149" s="6"/>
      <c r="BG149" s="6"/>
      <c r="BH149" s="6"/>
      <c r="BI149" s="6"/>
      <c r="BJ149" s="6"/>
    </row>
    <row r="150" spans="1:63" s="1" customFormat="1" outlineLevel="1" x14ac:dyDescent="0.2">
      <c r="A150" s="1" t="s">
        <v>228</v>
      </c>
      <c r="B150" s="65"/>
      <c r="C150" s="300">
        <f t="shared" ref="C150:AG150" si="106">C148*C44</f>
        <v>0</v>
      </c>
      <c r="D150" s="300">
        <f t="shared" si="106"/>
        <v>6.8575510127137293E-4</v>
      </c>
      <c r="E150" s="300">
        <f t="shared" si="106"/>
        <v>1.4137798758990748E-3</v>
      </c>
      <c r="F150" s="300">
        <f t="shared" si="106"/>
        <v>2.1803177816155017E-3</v>
      </c>
      <c r="G150" s="300">
        <f t="shared" si="106"/>
        <v>2.9810552488453018E-3</v>
      </c>
      <c r="H150" s="300">
        <f t="shared" si="106"/>
        <v>3.8111588287271458E-3</v>
      </c>
      <c r="I150" s="300">
        <f t="shared" si="106"/>
        <v>4.67538696680581E-3</v>
      </c>
      <c r="J150" s="300">
        <f t="shared" si="106"/>
        <v>5.5737262490058786E-3</v>
      </c>
      <c r="K150" s="300">
        <f t="shared" si="106"/>
        <v>6.5060985696927774E-3</v>
      </c>
      <c r="L150" s="300">
        <f t="shared" si="106"/>
        <v>7.4723593626091784E-3</v>
      </c>
      <c r="M150" s="300">
        <f t="shared" si="106"/>
        <v>8.4722959688281318E-3</v>
      </c>
      <c r="N150" s="300">
        <f t="shared" si="106"/>
        <v>9.4920255900893084E-3</v>
      </c>
      <c r="O150" s="300">
        <f t="shared" si="106"/>
        <v>1.0526647660798702E-2</v>
      </c>
      <c r="P150" s="300">
        <f t="shared" si="106"/>
        <v>1.1570993579342994E-2</v>
      </c>
      <c r="Q150" s="300">
        <f t="shared" si="106"/>
        <v>1.2619667941422514E-2</v>
      </c>
      <c r="R150" s="300">
        <f t="shared" si="106"/>
        <v>1.3667093518410865E-2</v>
      </c>
      <c r="S150" s="300">
        <f t="shared" si="106"/>
        <v>1.4734057644551869E-2</v>
      </c>
      <c r="T150" s="300">
        <f t="shared" si="106"/>
        <v>1.5820536392552507E-2</v>
      </c>
      <c r="U150" s="300">
        <f t="shared" si="106"/>
        <v>1.6926496686890214E-2</v>
      </c>
      <c r="V150" s="300">
        <f t="shared" si="106"/>
        <v>1.8051896186725893E-2</v>
      </c>
      <c r="W150" s="300">
        <f t="shared" si="106"/>
        <v>1.9196683173433635E-2</v>
      </c>
      <c r="X150" s="300">
        <f t="shared" si="106"/>
        <v>2.0361020705099583E-2</v>
      </c>
      <c r="Y150" s="300">
        <f t="shared" si="106"/>
        <v>2.1544877458779924E-2</v>
      </c>
      <c r="Z150" s="300">
        <f t="shared" si="106"/>
        <v>2.2748213782914663E-2</v>
      </c>
      <c r="AA150" s="300">
        <f t="shared" si="106"/>
        <v>2.3970981600412514E-2</v>
      </c>
      <c r="AB150" s="300">
        <f t="shared" si="106"/>
        <v>2.5213124315565019E-2</v>
      </c>
      <c r="AC150" s="300">
        <f t="shared" si="106"/>
        <v>2.6474827021831491E-2</v>
      </c>
      <c r="AD150" s="300">
        <f t="shared" si="106"/>
        <v>2.7756052501347869E-2</v>
      </c>
      <c r="AE150" s="300">
        <f t="shared" si="106"/>
        <v>2.9056755923110099E-2</v>
      </c>
      <c r="AF150" s="300">
        <f t="shared" si="106"/>
        <v>3.0376884761938429E-2</v>
      </c>
      <c r="AG150" s="300">
        <f t="shared" si="106"/>
        <v>3.1716378720642334E-2</v>
      </c>
      <c r="AH150" s="245"/>
      <c r="AI150" s="423"/>
      <c r="AJ150" s="424"/>
      <c r="AL150" s="221"/>
      <c r="AM150" s="124"/>
      <c r="AN150" s="124"/>
      <c r="AO150" s="124"/>
      <c r="BD150" s="124"/>
      <c r="BE150" s="124"/>
      <c r="BF150" s="124"/>
      <c r="BG150" s="124"/>
      <c r="BH150" s="124"/>
      <c r="BI150" s="124"/>
      <c r="BJ150" s="124"/>
      <c r="BK150" s="124"/>
    </row>
    <row r="151" spans="1:63" s="1" customFormat="1" outlineLevel="1" x14ac:dyDescent="0.2">
      <c r="A151" s="1" t="s">
        <v>1562</v>
      </c>
      <c r="B151" s="65"/>
      <c r="C151" s="300">
        <f t="shared" ref="C151:AG151" si="107">C150-$C150</f>
        <v>0</v>
      </c>
      <c r="D151" s="300">
        <f t="shared" si="107"/>
        <v>6.8575510127137293E-4</v>
      </c>
      <c r="E151" s="300">
        <f t="shared" si="107"/>
        <v>1.4137798758990748E-3</v>
      </c>
      <c r="F151" s="300">
        <f t="shared" si="107"/>
        <v>2.1803177816155017E-3</v>
      </c>
      <c r="G151" s="300">
        <f t="shared" si="107"/>
        <v>2.9810552488453018E-3</v>
      </c>
      <c r="H151" s="300">
        <f t="shared" si="107"/>
        <v>3.8111588287271458E-3</v>
      </c>
      <c r="I151" s="300">
        <f t="shared" si="107"/>
        <v>4.67538696680581E-3</v>
      </c>
      <c r="J151" s="300">
        <f t="shared" si="107"/>
        <v>5.5737262490058786E-3</v>
      </c>
      <c r="K151" s="300">
        <f t="shared" si="107"/>
        <v>6.5060985696927774E-3</v>
      </c>
      <c r="L151" s="300">
        <f t="shared" si="107"/>
        <v>7.4723593626091784E-3</v>
      </c>
      <c r="M151" s="300">
        <f t="shared" si="107"/>
        <v>8.4722959688281318E-3</v>
      </c>
      <c r="N151" s="300">
        <f t="shared" si="107"/>
        <v>9.4920255900893084E-3</v>
      </c>
      <c r="O151" s="300">
        <f t="shared" si="107"/>
        <v>1.0526647660798702E-2</v>
      </c>
      <c r="P151" s="300">
        <f t="shared" si="107"/>
        <v>1.1570993579342994E-2</v>
      </c>
      <c r="Q151" s="300">
        <f t="shared" si="107"/>
        <v>1.2619667941422514E-2</v>
      </c>
      <c r="R151" s="300">
        <f t="shared" si="107"/>
        <v>1.3667093518410865E-2</v>
      </c>
      <c r="S151" s="300">
        <f t="shared" si="107"/>
        <v>1.4734057644551869E-2</v>
      </c>
      <c r="T151" s="300">
        <f t="shared" si="107"/>
        <v>1.5820536392552507E-2</v>
      </c>
      <c r="U151" s="300">
        <f t="shared" si="107"/>
        <v>1.6926496686890214E-2</v>
      </c>
      <c r="V151" s="300">
        <f t="shared" si="107"/>
        <v>1.8051896186725893E-2</v>
      </c>
      <c r="W151" s="300">
        <f t="shared" si="107"/>
        <v>1.9196683173433635E-2</v>
      </c>
      <c r="X151" s="300">
        <f t="shared" si="107"/>
        <v>2.0361020705099583E-2</v>
      </c>
      <c r="Y151" s="300">
        <f t="shared" si="107"/>
        <v>2.1544877458779924E-2</v>
      </c>
      <c r="Z151" s="300">
        <f t="shared" si="107"/>
        <v>2.2748213782914663E-2</v>
      </c>
      <c r="AA151" s="300">
        <f t="shared" si="107"/>
        <v>2.3970981600412514E-2</v>
      </c>
      <c r="AB151" s="300">
        <f t="shared" si="107"/>
        <v>2.5213124315565019E-2</v>
      </c>
      <c r="AC151" s="300">
        <f t="shared" si="107"/>
        <v>2.6474827021831491E-2</v>
      </c>
      <c r="AD151" s="300">
        <f t="shared" si="107"/>
        <v>2.7756052501347869E-2</v>
      </c>
      <c r="AE151" s="300">
        <f t="shared" si="107"/>
        <v>2.9056755923110099E-2</v>
      </c>
      <c r="AF151" s="300">
        <f t="shared" si="107"/>
        <v>3.0376884761938429E-2</v>
      </c>
      <c r="AG151" s="300">
        <f t="shared" si="107"/>
        <v>3.1716378720642334E-2</v>
      </c>
      <c r="AH151" s="245"/>
      <c r="AI151" s="423"/>
      <c r="AJ151" s="424"/>
      <c r="AL151" s="221"/>
      <c r="AM151" s="124"/>
      <c r="AN151" s="124"/>
      <c r="AO151" s="124"/>
      <c r="BD151" s="124"/>
      <c r="BE151" s="124"/>
      <c r="BF151" s="124"/>
      <c r="BG151" s="124"/>
      <c r="BH151" s="124"/>
      <c r="BI151" s="124"/>
      <c r="BJ151" s="124"/>
      <c r="BK151" s="124"/>
    </row>
    <row r="152" spans="1:63" outlineLevel="1" x14ac:dyDescent="0.2">
      <c r="AJ152" s="211"/>
    </row>
    <row r="153" spans="1:63" s="200" customFormat="1" ht="16" thickBot="1" x14ac:dyDescent="0.25">
      <c r="A153" s="200" t="s">
        <v>1351</v>
      </c>
      <c r="B153" s="215"/>
      <c r="C153" s="224">
        <f>C154</f>
        <v>0</v>
      </c>
      <c r="D153" s="224">
        <f t="shared" ref="D153:AG153" si="108">D154</f>
        <v>0</v>
      </c>
      <c r="E153" s="224">
        <f t="shared" si="108"/>
        <v>0</v>
      </c>
      <c r="F153" s="224">
        <f t="shared" si="108"/>
        <v>0</v>
      </c>
      <c r="G153" s="224">
        <f t="shared" si="108"/>
        <v>0</v>
      </c>
      <c r="H153" s="224">
        <f t="shared" si="108"/>
        <v>0</v>
      </c>
      <c r="I153" s="224">
        <f t="shared" si="108"/>
        <v>0</v>
      </c>
      <c r="J153" s="224">
        <f t="shared" si="108"/>
        <v>0</v>
      </c>
      <c r="K153" s="224">
        <f t="shared" si="108"/>
        <v>0</v>
      </c>
      <c r="L153" s="224">
        <f t="shared" si="108"/>
        <v>0</v>
      </c>
      <c r="M153" s="224">
        <f t="shared" si="108"/>
        <v>0</v>
      </c>
      <c r="N153" s="224">
        <f t="shared" si="108"/>
        <v>0</v>
      </c>
      <c r="O153" s="224">
        <f t="shared" si="108"/>
        <v>0</v>
      </c>
      <c r="P153" s="224">
        <f t="shared" si="108"/>
        <v>0</v>
      </c>
      <c r="Q153" s="224">
        <f t="shared" si="108"/>
        <v>0</v>
      </c>
      <c r="R153" s="224">
        <f t="shared" si="108"/>
        <v>0</v>
      </c>
      <c r="S153" s="224">
        <f t="shared" si="108"/>
        <v>0</v>
      </c>
      <c r="T153" s="224">
        <f t="shared" si="108"/>
        <v>0</v>
      </c>
      <c r="U153" s="224">
        <f t="shared" si="108"/>
        <v>0</v>
      </c>
      <c r="V153" s="224">
        <f t="shared" si="108"/>
        <v>0</v>
      </c>
      <c r="W153" s="224">
        <f t="shared" si="108"/>
        <v>0</v>
      </c>
      <c r="X153" s="224">
        <f t="shared" si="108"/>
        <v>0</v>
      </c>
      <c r="Y153" s="224">
        <f t="shared" si="108"/>
        <v>0</v>
      </c>
      <c r="Z153" s="224">
        <f t="shared" si="108"/>
        <v>0</v>
      </c>
      <c r="AA153" s="224">
        <f t="shared" si="108"/>
        <v>0</v>
      </c>
      <c r="AB153" s="224">
        <f t="shared" si="108"/>
        <v>0</v>
      </c>
      <c r="AC153" s="224">
        <f t="shared" si="108"/>
        <v>0</v>
      </c>
      <c r="AD153" s="224">
        <f t="shared" si="108"/>
        <v>0</v>
      </c>
      <c r="AE153" s="224">
        <f t="shared" si="108"/>
        <v>0</v>
      </c>
      <c r="AF153" s="224">
        <f t="shared" si="108"/>
        <v>0</v>
      </c>
      <c r="AG153" s="224">
        <f t="shared" si="108"/>
        <v>0</v>
      </c>
      <c r="AJ153" s="231" t="s">
        <v>1331</v>
      </c>
      <c r="AL153" s="217"/>
      <c r="AM153" s="225"/>
      <c r="AN153" s="225"/>
      <c r="AO153" s="225"/>
    </row>
    <row r="154" spans="1:63" ht="16" outlineLevel="2" thickTop="1" x14ac:dyDescent="0.2">
      <c r="A154" t="s">
        <v>1352</v>
      </c>
      <c r="B154" s="54" t="s">
        <v>462</v>
      </c>
      <c r="C154" s="113">
        <v>0</v>
      </c>
      <c r="D154" s="110">
        <f>$C154+($M154-$C154)/10*(D$1-$C$1)</f>
        <v>0</v>
      </c>
      <c r="E154" s="110">
        <f t="shared" ref="E154:L154" si="109">$C154+($M154-$C154)/10*(E$1-$C$1)</f>
        <v>0</v>
      </c>
      <c r="F154" s="110">
        <f t="shared" si="109"/>
        <v>0</v>
      </c>
      <c r="G154" s="110">
        <f t="shared" si="109"/>
        <v>0</v>
      </c>
      <c r="H154" s="110">
        <f t="shared" si="109"/>
        <v>0</v>
      </c>
      <c r="I154" s="110">
        <f t="shared" si="109"/>
        <v>0</v>
      </c>
      <c r="J154" s="110">
        <f t="shared" si="109"/>
        <v>0</v>
      </c>
      <c r="K154" s="110">
        <f t="shared" si="109"/>
        <v>0</v>
      </c>
      <c r="L154" s="110">
        <f t="shared" si="109"/>
        <v>0</v>
      </c>
      <c r="M154" s="121">
        <v>0</v>
      </c>
      <c r="N154" s="121">
        <f>$M154+($W154-$M154)/10*(N$1-$M$1)</f>
        <v>0</v>
      </c>
      <c r="O154" s="121">
        <f t="shared" ref="O154:U154" si="110">$M154+($W154-$M154)/10*(O$1-$M$1)</f>
        <v>0</v>
      </c>
      <c r="P154" s="121">
        <f t="shared" si="110"/>
        <v>0</v>
      </c>
      <c r="Q154" s="121">
        <f t="shared" si="110"/>
        <v>0</v>
      </c>
      <c r="R154" s="121">
        <f t="shared" si="110"/>
        <v>0</v>
      </c>
      <c r="S154" s="121">
        <f t="shared" si="110"/>
        <v>0</v>
      </c>
      <c r="T154" s="121">
        <f t="shared" si="110"/>
        <v>0</v>
      </c>
      <c r="U154" s="121">
        <f t="shared" si="110"/>
        <v>0</v>
      </c>
      <c r="V154" s="121">
        <f>$M154+($W154-$M154)/10*(V$1-$M$1)</f>
        <v>0</v>
      </c>
      <c r="W154" s="121">
        <v>0</v>
      </c>
      <c r="X154" s="23">
        <f t="shared" ref="X154:AF154" si="111">$W154+($AG154-$W154)/10*(X$1-$W$1)</f>
        <v>0</v>
      </c>
      <c r="Y154" s="23">
        <f t="shared" si="111"/>
        <v>0</v>
      </c>
      <c r="Z154" s="23">
        <f t="shared" si="111"/>
        <v>0</v>
      </c>
      <c r="AA154" s="23">
        <f t="shared" si="111"/>
        <v>0</v>
      </c>
      <c r="AB154" s="23">
        <f t="shared" si="111"/>
        <v>0</v>
      </c>
      <c r="AC154" s="23">
        <f t="shared" si="111"/>
        <v>0</v>
      </c>
      <c r="AD154" s="23">
        <f t="shared" si="111"/>
        <v>0</v>
      </c>
      <c r="AE154" s="23">
        <f t="shared" si="111"/>
        <v>0</v>
      </c>
      <c r="AF154" s="23">
        <f t="shared" si="111"/>
        <v>0</v>
      </c>
      <c r="AG154" s="106">
        <v>0</v>
      </c>
      <c r="AJ154" s="211" t="s">
        <v>1217</v>
      </c>
    </row>
    <row r="155" spans="1:63" outlineLevel="2" x14ac:dyDescent="0.2">
      <c r="C155" s="113"/>
      <c r="D155" s="110"/>
      <c r="E155" s="110"/>
      <c r="F155" s="110"/>
      <c r="G155" s="110"/>
      <c r="H155" s="110"/>
      <c r="I155" s="110"/>
      <c r="J155" s="110"/>
      <c r="K155" s="110"/>
      <c r="L155" s="110"/>
      <c r="M155" s="121"/>
      <c r="N155" s="121"/>
      <c r="O155" s="121"/>
      <c r="P155" s="121"/>
      <c r="Q155" s="121"/>
      <c r="R155" s="121"/>
      <c r="S155" s="121"/>
      <c r="T155" s="121"/>
      <c r="U155" s="121"/>
      <c r="V155" s="121"/>
      <c r="W155" s="121"/>
      <c r="X155" s="23"/>
      <c r="Y155" s="23"/>
      <c r="Z155" s="23"/>
      <c r="AA155" s="23"/>
      <c r="AB155" s="23"/>
      <c r="AC155" s="23"/>
      <c r="AD155" s="23"/>
      <c r="AE155" s="23"/>
      <c r="AF155" s="23"/>
      <c r="AG155" s="106"/>
      <c r="AJ155" s="211"/>
    </row>
    <row r="156" spans="1:63" outlineLevel="1" x14ac:dyDescent="0.2">
      <c r="A156" t="s">
        <v>1676</v>
      </c>
      <c r="C156" s="504">
        <f>('Overall recycling rates'!F88*'Yearly BTX'!D5+'Overall recycling rates'!G88*'Yearly BTX'!D6+'Overall recycling rates'!H88*'Yearly BTX'!D7)/'Yearly BTX'!D4</f>
        <v>1.0000000000000004</v>
      </c>
      <c r="D156" s="504">
        <f>C156-($C156-$AG156)/($AG$1-$C$1)</f>
        <v>1.0000000000000004</v>
      </c>
      <c r="E156" s="504">
        <f t="shared" ref="E156:AF156" si="112">D156-($C156-$AG156)/($AG$1-$C$1)</f>
        <v>1.0000000000000004</v>
      </c>
      <c r="F156" s="504">
        <f t="shared" si="112"/>
        <v>1.0000000000000004</v>
      </c>
      <c r="G156" s="504">
        <f t="shared" si="112"/>
        <v>1.0000000000000004</v>
      </c>
      <c r="H156" s="504">
        <f t="shared" si="112"/>
        <v>1.0000000000000004</v>
      </c>
      <c r="I156" s="504">
        <f t="shared" si="112"/>
        <v>1.0000000000000004</v>
      </c>
      <c r="J156" s="504">
        <f t="shared" si="112"/>
        <v>1.0000000000000004</v>
      </c>
      <c r="K156" s="504">
        <f t="shared" si="112"/>
        <v>1.0000000000000004</v>
      </c>
      <c r="L156" s="504">
        <f t="shared" si="112"/>
        <v>1.0000000000000004</v>
      </c>
      <c r="M156" s="504">
        <f t="shared" si="112"/>
        <v>1.0000000000000004</v>
      </c>
      <c r="N156" s="504">
        <f t="shared" si="112"/>
        <v>1.0000000000000004</v>
      </c>
      <c r="O156" s="504">
        <f t="shared" si="112"/>
        <v>1.0000000000000004</v>
      </c>
      <c r="P156" s="504">
        <f t="shared" si="112"/>
        <v>1.0000000000000004</v>
      </c>
      <c r="Q156" s="504">
        <f t="shared" si="112"/>
        <v>1.0000000000000004</v>
      </c>
      <c r="R156" s="504">
        <f t="shared" si="112"/>
        <v>1.0000000000000004</v>
      </c>
      <c r="S156" s="504">
        <f t="shared" si="112"/>
        <v>1.0000000000000004</v>
      </c>
      <c r="T156" s="504">
        <f t="shared" si="112"/>
        <v>1.0000000000000004</v>
      </c>
      <c r="U156" s="504">
        <f t="shared" si="112"/>
        <v>1.0000000000000004</v>
      </c>
      <c r="V156" s="504">
        <f t="shared" si="112"/>
        <v>1.0000000000000004</v>
      </c>
      <c r="W156" s="504">
        <f t="shared" si="112"/>
        <v>1.0000000000000004</v>
      </c>
      <c r="X156" s="504">
        <f t="shared" si="112"/>
        <v>1.0000000000000004</v>
      </c>
      <c r="Y156" s="504">
        <f t="shared" si="112"/>
        <v>1.0000000000000004</v>
      </c>
      <c r="Z156" s="504">
        <f t="shared" si="112"/>
        <v>1.0000000000000004</v>
      </c>
      <c r="AA156" s="504">
        <f t="shared" si="112"/>
        <v>1.0000000000000004</v>
      </c>
      <c r="AB156" s="504">
        <f t="shared" si="112"/>
        <v>1.0000000000000004</v>
      </c>
      <c r="AC156" s="504">
        <f t="shared" si="112"/>
        <v>1.0000000000000004</v>
      </c>
      <c r="AD156" s="504">
        <f t="shared" si="112"/>
        <v>1.0000000000000004</v>
      </c>
      <c r="AE156" s="504">
        <f t="shared" si="112"/>
        <v>1.0000000000000004</v>
      </c>
      <c r="AF156" s="504">
        <f t="shared" si="112"/>
        <v>1.0000000000000004</v>
      </c>
      <c r="AG156" s="504">
        <f>'Overall recycling rates'!F97</f>
        <v>1</v>
      </c>
      <c r="AI156" s="133"/>
      <c r="AJ156" s="211"/>
      <c r="AL156" s="108"/>
      <c r="AM156" s="207"/>
      <c r="AN156" s="207"/>
      <c r="AO156" s="207"/>
      <c r="BC156" s="1"/>
      <c r="BD156" s="207"/>
      <c r="BE156" s="207"/>
      <c r="BF156" s="207"/>
      <c r="BG156" s="207"/>
      <c r="BH156" s="207"/>
      <c r="BI156" s="207"/>
      <c r="BJ156" s="207"/>
      <c r="BK156" s="207"/>
    </row>
    <row r="157" spans="1:63" outlineLevel="1" x14ac:dyDescent="0.2">
      <c r="A157" t="s">
        <v>1695</v>
      </c>
      <c r="B157" s="54" t="s">
        <v>462</v>
      </c>
      <c r="C157" s="110">
        <f>C154*C156</f>
        <v>0</v>
      </c>
      <c r="D157" s="110">
        <f t="shared" ref="D157:AG157" si="113">D154*D156</f>
        <v>0</v>
      </c>
      <c r="E157" s="110">
        <f t="shared" si="113"/>
        <v>0</v>
      </c>
      <c r="F157" s="110">
        <f t="shared" si="113"/>
        <v>0</v>
      </c>
      <c r="G157" s="110">
        <f t="shared" si="113"/>
        <v>0</v>
      </c>
      <c r="H157" s="110">
        <f t="shared" si="113"/>
        <v>0</v>
      </c>
      <c r="I157" s="110">
        <f t="shared" si="113"/>
        <v>0</v>
      </c>
      <c r="J157" s="110">
        <f t="shared" si="113"/>
        <v>0</v>
      </c>
      <c r="K157" s="110">
        <f t="shared" si="113"/>
        <v>0</v>
      </c>
      <c r="L157" s="110">
        <f t="shared" si="113"/>
        <v>0</v>
      </c>
      <c r="M157" s="110">
        <f t="shared" si="113"/>
        <v>0</v>
      </c>
      <c r="N157" s="110">
        <f t="shared" si="113"/>
        <v>0</v>
      </c>
      <c r="O157" s="110">
        <f t="shared" si="113"/>
        <v>0</v>
      </c>
      <c r="P157" s="110">
        <f t="shared" si="113"/>
        <v>0</v>
      </c>
      <c r="Q157" s="110">
        <f t="shared" si="113"/>
        <v>0</v>
      </c>
      <c r="R157" s="110">
        <f t="shared" si="113"/>
        <v>0</v>
      </c>
      <c r="S157" s="110">
        <f t="shared" si="113"/>
        <v>0</v>
      </c>
      <c r="T157" s="110">
        <f t="shared" si="113"/>
        <v>0</v>
      </c>
      <c r="U157" s="110">
        <f t="shared" si="113"/>
        <v>0</v>
      </c>
      <c r="V157" s="110">
        <f t="shared" si="113"/>
        <v>0</v>
      </c>
      <c r="W157" s="110">
        <f t="shared" si="113"/>
        <v>0</v>
      </c>
      <c r="X157" s="110">
        <f t="shared" si="113"/>
        <v>0</v>
      </c>
      <c r="Y157" s="110">
        <f t="shared" si="113"/>
        <v>0</v>
      </c>
      <c r="Z157" s="110">
        <f t="shared" si="113"/>
        <v>0</v>
      </c>
      <c r="AA157" s="110">
        <f t="shared" si="113"/>
        <v>0</v>
      </c>
      <c r="AB157" s="110">
        <f t="shared" si="113"/>
        <v>0</v>
      </c>
      <c r="AC157" s="110">
        <f t="shared" si="113"/>
        <v>0</v>
      </c>
      <c r="AD157" s="110">
        <f t="shared" si="113"/>
        <v>0</v>
      </c>
      <c r="AE157" s="110">
        <f t="shared" si="113"/>
        <v>0</v>
      </c>
      <c r="AF157" s="110">
        <f t="shared" si="113"/>
        <v>0</v>
      </c>
      <c r="AG157" s="110">
        <f t="shared" si="113"/>
        <v>0</v>
      </c>
      <c r="AJ157" s="211"/>
    </row>
    <row r="158" spans="1:63" outlineLevel="1" x14ac:dyDescent="0.2">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J158" s="211"/>
    </row>
    <row r="159" spans="1:63" s="1" customFormat="1" outlineLevel="1" x14ac:dyDescent="0.2">
      <c r="A159" s="1" t="s">
        <v>228</v>
      </c>
      <c r="B159" s="65"/>
      <c r="C159" s="300">
        <f t="shared" ref="C159:AG159" si="114">C157*C46</f>
        <v>0</v>
      </c>
      <c r="D159" s="300">
        <f t="shared" si="114"/>
        <v>0</v>
      </c>
      <c r="E159" s="300">
        <f t="shared" si="114"/>
        <v>0</v>
      </c>
      <c r="F159" s="300">
        <f t="shared" si="114"/>
        <v>0</v>
      </c>
      <c r="G159" s="300">
        <f t="shared" si="114"/>
        <v>0</v>
      </c>
      <c r="H159" s="300">
        <f t="shared" si="114"/>
        <v>0</v>
      </c>
      <c r="I159" s="300">
        <f t="shared" si="114"/>
        <v>0</v>
      </c>
      <c r="J159" s="300">
        <f t="shared" si="114"/>
        <v>0</v>
      </c>
      <c r="K159" s="300">
        <f t="shared" si="114"/>
        <v>0</v>
      </c>
      <c r="L159" s="300">
        <f t="shared" si="114"/>
        <v>0</v>
      </c>
      <c r="M159" s="300">
        <f t="shared" si="114"/>
        <v>0</v>
      </c>
      <c r="N159" s="300">
        <f t="shared" si="114"/>
        <v>0</v>
      </c>
      <c r="O159" s="300">
        <f t="shared" si="114"/>
        <v>0</v>
      </c>
      <c r="P159" s="300">
        <f t="shared" si="114"/>
        <v>0</v>
      </c>
      <c r="Q159" s="300">
        <f t="shared" si="114"/>
        <v>0</v>
      </c>
      <c r="R159" s="300">
        <f t="shared" si="114"/>
        <v>0</v>
      </c>
      <c r="S159" s="300">
        <f t="shared" si="114"/>
        <v>0</v>
      </c>
      <c r="T159" s="300">
        <f t="shared" si="114"/>
        <v>0</v>
      </c>
      <c r="U159" s="300">
        <f t="shared" si="114"/>
        <v>0</v>
      </c>
      <c r="V159" s="300">
        <f t="shared" si="114"/>
        <v>0</v>
      </c>
      <c r="W159" s="300">
        <f t="shared" si="114"/>
        <v>0</v>
      </c>
      <c r="X159" s="300">
        <f t="shared" si="114"/>
        <v>0</v>
      </c>
      <c r="Y159" s="300">
        <f t="shared" si="114"/>
        <v>0</v>
      </c>
      <c r="Z159" s="300">
        <f t="shared" si="114"/>
        <v>0</v>
      </c>
      <c r="AA159" s="300">
        <f t="shared" si="114"/>
        <v>0</v>
      </c>
      <c r="AB159" s="300">
        <f t="shared" si="114"/>
        <v>0</v>
      </c>
      <c r="AC159" s="300">
        <f t="shared" si="114"/>
        <v>0</v>
      </c>
      <c r="AD159" s="300">
        <f t="shared" si="114"/>
        <v>0</v>
      </c>
      <c r="AE159" s="300">
        <f t="shared" si="114"/>
        <v>0</v>
      </c>
      <c r="AF159" s="300">
        <f t="shared" si="114"/>
        <v>0</v>
      </c>
      <c r="AG159" s="300">
        <f t="shared" si="114"/>
        <v>0</v>
      </c>
      <c r="AH159" s="245"/>
      <c r="AI159" s="423"/>
      <c r="AJ159" s="424"/>
      <c r="AL159" s="221"/>
      <c r="AM159" s="124"/>
      <c r="AN159" s="124"/>
      <c r="AO159" s="124"/>
      <c r="BD159" s="124"/>
      <c r="BE159" s="124"/>
      <c r="BF159" s="124"/>
      <c r="BG159" s="124"/>
      <c r="BH159" s="124"/>
      <c r="BI159" s="124"/>
      <c r="BJ159" s="124"/>
      <c r="BK159" s="124"/>
    </row>
    <row r="160" spans="1:63" s="1" customFormat="1" outlineLevel="1" x14ac:dyDescent="0.2">
      <c r="A160" s="1" t="s">
        <v>1562</v>
      </c>
      <c r="B160" s="65"/>
      <c r="C160" s="300">
        <f t="shared" ref="C160:AG160" si="115">C159-$C159</f>
        <v>0</v>
      </c>
      <c r="D160" s="300">
        <f t="shared" si="115"/>
        <v>0</v>
      </c>
      <c r="E160" s="300">
        <f t="shared" si="115"/>
        <v>0</v>
      </c>
      <c r="F160" s="300">
        <f t="shared" si="115"/>
        <v>0</v>
      </c>
      <c r="G160" s="300">
        <f t="shared" si="115"/>
        <v>0</v>
      </c>
      <c r="H160" s="300">
        <f t="shared" si="115"/>
        <v>0</v>
      </c>
      <c r="I160" s="300">
        <f t="shared" si="115"/>
        <v>0</v>
      </c>
      <c r="J160" s="300">
        <f t="shared" si="115"/>
        <v>0</v>
      </c>
      <c r="K160" s="300">
        <f t="shared" si="115"/>
        <v>0</v>
      </c>
      <c r="L160" s="300">
        <f t="shared" si="115"/>
        <v>0</v>
      </c>
      <c r="M160" s="300">
        <f t="shared" si="115"/>
        <v>0</v>
      </c>
      <c r="N160" s="300">
        <f t="shared" si="115"/>
        <v>0</v>
      </c>
      <c r="O160" s="300">
        <f t="shared" si="115"/>
        <v>0</v>
      </c>
      <c r="P160" s="300">
        <f t="shared" si="115"/>
        <v>0</v>
      </c>
      <c r="Q160" s="300">
        <f t="shared" si="115"/>
        <v>0</v>
      </c>
      <c r="R160" s="300">
        <f t="shared" si="115"/>
        <v>0</v>
      </c>
      <c r="S160" s="300">
        <f t="shared" si="115"/>
        <v>0</v>
      </c>
      <c r="T160" s="300">
        <f t="shared" si="115"/>
        <v>0</v>
      </c>
      <c r="U160" s="300">
        <f t="shared" si="115"/>
        <v>0</v>
      </c>
      <c r="V160" s="300">
        <f t="shared" si="115"/>
        <v>0</v>
      </c>
      <c r="W160" s="300">
        <f t="shared" si="115"/>
        <v>0</v>
      </c>
      <c r="X160" s="300">
        <f t="shared" si="115"/>
        <v>0</v>
      </c>
      <c r="Y160" s="300">
        <f t="shared" si="115"/>
        <v>0</v>
      </c>
      <c r="Z160" s="300">
        <f t="shared" si="115"/>
        <v>0</v>
      </c>
      <c r="AA160" s="300">
        <f t="shared" si="115"/>
        <v>0</v>
      </c>
      <c r="AB160" s="300">
        <f t="shared" si="115"/>
        <v>0</v>
      </c>
      <c r="AC160" s="300">
        <f t="shared" si="115"/>
        <v>0</v>
      </c>
      <c r="AD160" s="300">
        <f t="shared" si="115"/>
        <v>0</v>
      </c>
      <c r="AE160" s="300">
        <f t="shared" si="115"/>
        <v>0</v>
      </c>
      <c r="AF160" s="300">
        <f t="shared" si="115"/>
        <v>0</v>
      </c>
      <c r="AG160" s="300">
        <f t="shared" si="115"/>
        <v>0</v>
      </c>
      <c r="AH160" s="245"/>
      <c r="AI160" s="423"/>
      <c r="AJ160" s="424"/>
      <c r="AL160" s="221"/>
      <c r="AM160" s="124"/>
      <c r="AN160" s="124"/>
      <c r="AO160" s="124"/>
      <c r="BD160" s="124"/>
      <c r="BE160" s="124"/>
      <c r="BF160" s="124"/>
      <c r="BG160" s="124"/>
      <c r="BH160" s="124"/>
      <c r="BI160" s="124"/>
      <c r="BJ160" s="124"/>
      <c r="BK160" s="124"/>
    </row>
    <row r="161" spans="1:41" outlineLevel="2" x14ac:dyDescent="0.2">
      <c r="C161" s="113"/>
      <c r="D161" s="110"/>
      <c r="E161" s="110"/>
      <c r="F161" s="110"/>
      <c r="G161" s="110"/>
      <c r="H161" s="110"/>
      <c r="I161" s="110"/>
      <c r="J161" s="110"/>
      <c r="K161" s="110"/>
      <c r="L161" s="110"/>
      <c r="M161" s="121"/>
      <c r="N161" s="121"/>
      <c r="O161" s="121"/>
      <c r="P161" s="121"/>
      <c r="Q161" s="121"/>
      <c r="R161" s="121"/>
      <c r="S161" s="121"/>
      <c r="T161" s="121"/>
      <c r="U161" s="121"/>
      <c r="V161" s="121"/>
      <c r="W161" s="121"/>
      <c r="X161" s="23"/>
      <c r="Y161" s="23"/>
      <c r="Z161" s="23"/>
      <c r="AA161" s="23"/>
      <c r="AB161" s="23"/>
      <c r="AC161" s="23"/>
      <c r="AD161" s="23"/>
      <c r="AE161" s="23"/>
      <c r="AF161" s="23"/>
      <c r="AG161" s="106"/>
      <c r="AJ161" s="211"/>
    </row>
    <row r="162" spans="1:41" s="200" customFormat="1" ht="16" thickBot="1" x14ac:dyDescent="0.25">
      <c r="A162" s="227" t="s">
        <v>1696</v>
      </c>
      <c r="B162" s="228"/>
      <c r="C162" s="229">
        <f t="shared" ref="C162:AG162" si="116">(C42*C66+C43*C102+C45*C133+C44*C148+C46*C157)/C47</f>
        <v>4.6954450224515588E-2</v>
      </c>
      <c r="D162" s="229">
        <f t="shared" si="116"/>
        <v>5.3339264620934981E-2</v>
      </c>
      <c r="E162" s="229">
        <f t="shared" si="116"/>
        <v>5.972846184571666E-2</v>
      </c>
      <c r="F162" s="229">
        <f t="shared" si="116"/>
        <v>6.612204641327056E-2</v>
      </c>
      <c r="G162" s="229">
        <f t="shared" si="116"/>
        <v>7.2520022844208651E-2</v>
      </c>
      <c r="H162" s="229">
        <f t="shared" si="116"/>
        <v>7.8922395665355749E-2</v>
      </c>
      <c r="I162" s="229">
        <f t="shared" si="116"/>
        <v>8.5490792602515658E-2</v>
      </c>
      <c r="J162" s="229">
        <f t="shared" si="116"/>
        <v>9.2088661698431371E-2</v>
      </c>
      <c r="K162" s="229">
        <f t="shared" si="116"/>
        <v>9.8716201759882896E-2</v>
      </c>
      <c r="L162" s="229">
        <f t="shared" si="116"/>
        <v>0.10537361338576903</v>
      </c>
      <c r="M162" s="229">
        <f t="shared" si="116"/>
        <v>0.11206109898734655</v>
      </c>
      <c r="N162" s="229">
        <f t="shared" si="116"/>
        <v>0.11880849149332166</v>
      </c>
      <c r="O162" s="229">
        <f t="shared" si="116"/>
        <v>0.12557735857555474</v>
      </c>
      <c r="P162" s="229">
        <f t="shared" si="116"/>
        <v>0.13221108385339708</v>
      </c>
      <c r="Q162" s="229">
        <f t="shared" si="116"/>
        <v>0.13886121046184441</v>
      </c>
      <c r="R162" s="229">
        <f t="shared" si="116"/>
        <v>0.14552792858184097</v>
      </c>
      <c r="S162" s="229">
        <f t="shared" si="116"/>
        <v>0.15219510563513028</v>
      </c>
      <c r="T162" s="229">
        <f t="shared" si="116"/>
        <v>0.15887769704360877</v>
      </c>
      <c r="U162" s="229">
        <f t="shared" si="116"/>
        <v>0.16557587858441519</v>
      </c>
      <c r="V162" s="229">
        <f t="shared" si="116"/>
        <v>0.17228982871751192</v>
      </c>
      <c r="W162" s="229">
        <f t="shared" si="116"/>
        <v>0.17901972863706464</v>
      </c>
      <c r="X162" s="229">
        <f t="shared" si="116"/>
        <v>0.18582889505783468</v>
      </c>
      <c r="Y162" s="229">
        <f t="shared" si="116"/>
        <v>0.19259622956286021</v>
      </c>
      <c r="Z162" s="229">
        <f t="shared" si="116"/>
        <v>0.19882053313309736</v>
      </c>
      <c r="AA162" s="229">
        <f t="shared" si="116"/>
        <v>0.20501880695127075</v>
      </c>
      <c r="AB162" s="229">
        <f t="shared" si="116"/>
        <v>0.21119052875051134</v>
      </c>
      <c r="AC162" s="229">
        <f t="shared" si="116"/>
        <v>0.21735826014467075</v>
      </c>
      <c r="AD162" s="229">
        <f t="shared" si="116"/>
        <v>0.22349997963110835</v>
      </c>
      <c r="AE162" s="229">
        <f t="shared" si="116"/>
        <v>0.22961514603420682</v>
      </c>
      <c r="AF162" s="229">
        <f t="shared" si="116"/>
        <v>0.23570320306135992</v>
      </c>
      <c r="AG162" s="229">
        <f t="shared" si="116"/>
        <v>0.24176357877142066</v>
      </c>
      <c r="AJ162" s="479" t="s">
        <v>1585</v>
      </c>
      <c r="AL162" s="217"/>
      <c r="AM162" s="225"/>
      <c r="AN162" s="225"/>
      <c r="AO162" s="225"/>
    </row>
    <row r="163" spans="1:41" s="200" customFormat="1" ht="17" thickTop="1" thickBot="1" x14ac:dyDescent="0.25">
      <c r="A163" s="227"/>
      <c r="B163" s="228"/>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c r="Y163" s="229"/>
      <c r="Z163" s="229"/>
      <c r="AA163" s="229"/>
      <c r="AB163" s="229"/>
      <c r="AC163" s="229"/>
      <c r="AD163" s="229"/>
      <c r="AE163" s="229"/>
      <c r="AF163" s="229"/>
      <c r="AG163" s="229"/>
      <c r="AJ163" s="226" t="s">
        <v>1357</v>
      </c>
      <c r="AL163" s="217"/>
      <c r="AM163" s="225"/>
      <c r="AN163" s="225"/>
      <c r="AO163" s="225"/>
    </row>
    <row r="164" spans="1:41" ht="16" thickTop="1" x14ac:dyDescent="0.2">
      <c r="B164" s="130"/>
      <c r="C164" s="113"/>
      <c r="D164" s="23"/>
      <c r="E164" s="23"/>
      <c r="F164" s="23"/>
      <c r="G164" s="23"/>
      <c r="H164" s="23"/>
      <c r="I164" s="23"/>
      <c r="J164" s="23"/>
      <c r="K164" s="23"/>
      <c r="L164" s="23"/>
      <c r="M164" s="126"/>
      <c r="N164" s="110"/>
      <c r="O164" s="110"/>
      <c r="P164" s="110"/>
      <c r="Q164" s="110"/>
      <c r="R164" s="110"/>
      <c r="S164" s="110"/>
      <c r="T164" s="110"/>
      <c r="U164" s="110"/>
      <c r="V164" s="110"/>
      <c r="W164" s="126"/>
      <c r="X164" s="110"/>
      <c r="Y164" s="110"/>
      <c r="Z164" s="110"/>
      <c r="AA164" s="110"/>
      <c r="AB164" s="110"/>
      <c r="AC164" s="110"/>
      <c r="AD164" s="110"/>
      <c r="AE164" s="110"/>
      <c r="AF164" s="110"/>
      <c r="AG164" s="113"/>
    </row>
    <row r="165" spans="1:41" x14ac:dyDescent="0.2">
      <c r="A165" t="s">
        <v>1697</v>
      </c>
      <c r="B165" s="130"/>
      <c r="C165" s="230">
        <f t="shared" ref="C165:AG165" si="117">C159+C150+C141+C139+C137+C113+C111+C109+C107+C80+C78+C76+C74+C72</f>
        <v>0.29411849599012857</v>
      </c>
      <c r="D165" s="230">
        <f t="shared" si="117"/>
        <v>0.34519391601580796</v>
      </c>
      <c r="E165" s="230">
        <f t="shared" si="117"/>
        <v>0.39831912413837989</v>
      </c>
      <c r="F165" s="230">
        <f t="shared" si="117"/>
        <v>0.45320403767359185</v>
      </c>
      <c r="G165" s="230">
        <f t="shared" si="117"/>
        <v>0.50952766795758908</v>
      </c>
      <c r="H165" s="230">
        <f t="shared" si="117"/>
        <v>0.56694107323375775</v>
      </c>
      <c r="I165" s="230">
        <f t="shared" si="117"/>
        <v>0.62641941356681119</v>
      </c>
      <c r="J165" s="230">
        <f t="shared" si="117"/>
        <v>0.68795506012102126</v>
      </c>
      <c r="K165" s="230">
        <f t="shared" si="117"/>
        <v>0.75153632267378723</v>
      </c>
      <c r="L165" s="230">
        <f t="shared" si="117"/>
        <v>0.81714735238699321</v>
      </c>
      <c r="M165" s="230">
        <f t="shared" si="117"/>
        <v>0.88476805342840015</v>
      </c>
      <c r="N165" s="230">
        <f t="shared" si="117"/>
        <v>0.95300849459260484</v>
      </c>
      <c r="O165" s="230">
        <f t="shared" si="117"/>
        <v>1.0215355823934487</v>
      </c>
      <c r="P165" s="230">
        <f t="shared" si="117"/>
        <v>1.0870910706218975</v>
      </c>
      <c r="Q165" s="230">
        <f t="shared" si="117"/>
        <v>1.1518678604188317</v>
      </c>
      <c r="R165" s="230">
        <f t="shared" si="117"/>
        <v>1.2155076545204895</v>
      </c>
      <c r="S165" s="230">
        <f t="shared" si="117"/>
        <v>1.2799536061543284</v>
      </c>
      <c r="T165" s="230">
        <f t="shared" si="117"/>
        <v>1.3451939781282043</v>
      </c>
      <c r="U165" s="230">
        <f t="shared" si="117"/>
        <v>1.4112165064713547</v>
      </c>
      <c r="V165" s="230">
        <f t="shared" si="117"/>
        <v>1.4780084012843697</v>
      </c>
      <c r="W165" s="230">
        <f t="shared" si="117"/>
        <v>1.5455563479778549</v>
      </c>
      <c r="X165" s="230">
        <f t="shared" si="117"/>
        <v>1.6138642844735123</v>
      </c>
      <c r="Y165" s="230">
        <f t="shared" si="117"/>
        <v>1.6829201613436884</v>
      </c>
      <c r="Z165" s="230">
        <f t="shared" si="117"/>
        <v>1.7430837174639018</v>
      </c>
      <c r="AA165" s="230">
        <f t="shared" si="117"/>
        <v>1.8031425867109074</v>
      </c>
      <c r="AB165" s="230">
        <f t="shared" si="117"/>
        <v>1.8630648039684281</v>
      </c>
      <c r="AC165" s="230">
        <f t="shared" si="117"/>
        <v>1.9228362246638644</v>
      </c>
      <c r="AD165" s="230">
        <f t="shared" si="117"/>
        <v>1.9824258980383651</v>
      </c>
      <c r="AE165" s="230">
        <f t="shared" si="117"/>
        <v>2.0418025387332266</v>
      </c>
      <c r="AF165" s="230">
        <f t="shared" si="117"/>
        <v>2.1009345410721041</v>
      </c>
      <c r="AG165" s="230">
        <f t="shared" si="117"/>
        <v>2.1597899937464682</v>
      </c>
      <c r="AH165" s="245"/>
      <c r="AI165" s="23">
        <f>(AG165/C165)^(1/30)-1</f>
        <v>6.8717628018821975E-2</v>
      </c>
      <c r="AJ165" s="517">
        <f>AG165-C165</f>
        <v>1.8656714977563396</v>
      </c>
    </row>
    <row r="166" spans="1:41" x14ac:dyDescent="0.2">
      <c r="A166" t="s">
        <v>1698</v>
      </c>
      <c r="B166" s="130"/>
      <c r="C166" s="230">
        <f>C165</f>
        <v>0.29411849599012857</v>
      </c>
      <c r="D166" s="230">
        <f>C166*(1+$AI$166)</f>
        <v>0.29903027487316369</v>
      </c>
      <c r="E166" s="230">
        <f t="shared" ref="E166:AG166" si="118">D166*(1+$AI$166)</f>
        <v>0.30402408046354551</v>
      </c>
      <c r="F166" s="230">
        <f t="shared" si="118"/>
        <v>0.3091012826072867</v>
      </c>
      <c r="G166" s="230">
        <f t="shared" si="118"/>
        <v>0.31426327402682835</v>
      </c>
      <c r="H166" s="230">
        <f t="shared" si="118"/>
        <v>0.31951147070307639</v>
      </c>
      <c r="I166" s="230">
        <f t="shared" si="118"/>
        <v>0.32484731226381774</v>
      </c>
      <c r="J166" s="230">
        <f t="shared" si="118"/>
        <v>0.3302722623786235</v>
      </c>
      <c r="K166" s="230">
        <f t="shared" si="118"/>
        <v>0.33578780916034651</v>
      </c>
      <c r="L166" s="230">
        <f t="shared" si="118"/>
        <v>0.34139546557332429</v>
      </c>
      <c r="M166" s="230">
        <f>L166*(1+$AI$166)</f>
        <v>0.34709676984839877</v>
      </c>
      <c r="N166" s="230">
        <f t="shared" si="118"/>
        <v>0.35289328590486702</v>
      </c>
      <c r="O166" s="230">
        <f t="shared" si="118"/>
        <v>0.3587866037794783</v>
      </c>
      <c r="P166" s="230">
        <f t="shared" si="118"/>
        <v>0.36477834006259557</v>
      </c>
      <c r="Q166" s="230">
        <f t="shared" si="118"/>
        <v>0.3708701383416409</v>
      </c>
      <c r="R166" s="230">
        <f t="shared" si="118"/>
        <v>0.37706366965194626</v>
      </c>
      <c r="S166" s="230">
        <f t="shared" si="118"/>
        <v>0.38336063293513373</v>
      </c>
      <c r="T166" s="230">
        <f t="shared" si="118"/>
        <v>0.38976275550515044</v>
      </c>
      <c r="U166" s="230">
        <f t="shared" si="118"/>
        <v>0.39627179352208641</v>
      </c>
      <c r="V166" s="230">
        <f t="shared" si="118"/>
        <v>0.40288953247390524</v>
      </c>
      <c r="W166" s="230">
        <f t="shared" si="118"/>
        <v>0.40961778766621942</v>
      </c>
      <c r="X166" s="230">
        <f t="shared" si="118"/>
        <v>0.41645840472024526</v>
      </c>
      <c r="Y166" s="230">
        <f t="shared" si="118"/>
        <v>0.42341326007907332</v>
      </c>
      <c r="Z166" s="230">
        <f t="shared" si="118"/>
        <v>0.43048426152239383</v>
      </c>
      <c r="AA166" s="230">
        <f t="shared" si="118"/>
        <v>0.43767334868981778</v>
      </c>
      <c r="AB166" s="230">
        <f t="shared" si="118"/>
        <v>0.44498249361293768</v>
      </c>
      <c r="AC166" s="230">
        <f t="shared" si="118"/>
        <v>0.45241370125627373</v>
      </c>
      <c r="AD166" s="230">
        <f t="shared" si="118"/>
        <v>0.45996901006725349</v>
      </c>
      <c r="AE166" s="230">
        <f t="shared" si="118"/>
        <v>0.46765049253537661</v>
      </c>
      <c r="AF166" s="230">
        <f t="shared" si="118"/>
        <v>0.47546025576071738</v>
      </c>
      <c r="AG166" s="230">
        <f t="shared" si="118"/>
        <v>0.48340044203192134</v>
      </c>
      <c r="AI166" s="214">
        <v>1.67E-2</v>
      </c>
      <c r="AJ166" s="3" t="s">
        <v>1360</v>
      </c>
    </row>
    <row r="167" spans="1:41" x14ac:dyDescent="0.2">
      <c r="B167" s="51"/>
    </row>
    <row r="168" spans="1:41" s="58" customFormat="1" x14ac:dyDescent="0.2">
      <c r="A168" s="58" t="s">
        <v>1361</v>
      </c>
      <c r="B168" s="303"/>
      <c r="C168" s="304"/>
      <c r="D168" s="304"/>
      <c r="E168" s="304"/>
      <c r="F168" s="304"/>
      <c r="G168" s="304"/>
      <c r="H168" s="304"/>
      <c r="I168" s="304"/>
      <c r="J168" s="304"/>
      <c r="K168" s="304"/>
      <c r="L168" s="304"/>
      <c r="M168" s="304"/>
      <c r="N168" s="304"/>
      <c r="O168" s="304"/>
      <c r="P168" s="304"/>
      <c r="Q168" s="304"/>
      <c r="R168" s="304"/>
      <c r="S168" s="304"/>
      <c r="T168" s="304"/>
      <c r="U168" s="304"/>
      <c r="V168" s="304"/>
      <c r="W168" s="304"/>
      <c r="X168" s="304"/>
      <c r="Y168" s="304"/>
      <c r="Z168" s="304"/>
      <c r="AA168" s="304"/>
      <c r="AB168" s="304"/>
      <c r="AC168" s="304"/>
      <c r="AD168" s="304"/>
      <c r="AE168" s="304"/>
      <c r="AF168" s="304"/>
      <c r="AG168" s="304"/>
      <c r="AI168" s="305"/>
      <c r="AJ168" s="306"/>
    </row>
    <row r="169" spans="1:41" s="190" customFormat="1" outlineLevel="1" x14ac:dyDescent="0.2">
      <c r="A169" s="344" t="s">
        <v>1362</v>
      </c>
      <c r="B169" s="318" t="s">
        <v>462</v>
      </c>
      <c r="C169" s="319">
        <v>0.84</v>
      </c>
      <c r="D169" s="320">
        <f>-($C169-$AG169)/30+C169</f>
        <v>0.83566666666666667</v>
      </c>
      <c r="E169" s="320">
        <f t="shared" ref="E169:T169" si="119">-($C169-$AG169)/30+D169</f>
        <v>0.83133333333333337</v>
      </c>
      <c r="F169" s="320">
        <f t="shared" si="119"/>
        <v>0.82700000000000007</v>
      </c>
      <c r="G169" s="320">
        <f t="shared" si="119"/>
        <v>0.82266666666666677</v>
      </c>
      <c r="H169" s="320">
        <f t="shared" si="119"/>
        <v>0.81833333333333347</v>
      </c>
      <c r="I169" s="320">
        <f t="shared" si="119"/>
        <v>0.81400000000000017</v>
      </c>
      <c r="J169" s="320">
        <f t="shared" si="119"/>
        <v>0.80966666666666687</v>
      </c>
      <c r="K169" s="320">
        <f t="shared" si="119"/>
        <v>0.80533333333333357</v>
      </c>
      <c r="L169" s="320">
        <f t="shared" si="119"/>
        <v>0.80100000000000027</v>
      </c>
      <c r="M169" s="320">
        <f t="shared" si="119"/>
        <v>0.79666666666666697</v>
      </c>
      <c r="N169" s="320">
        <f t="shared" si="119"/>
        <v>0.79233333333333367</v>
      </c>
      <c r="O169" s="320">
        <f t="shared" si="119"/>
        <v>0.78800000000000037</v>
      </c>
      <c r="P169" s="320">
        <f t="shared" si="119"/>
        <v>0.78366666666666707</v>
      </c>
      <c r="Q169" s="320">
        <f t="shared" si="119"/>
        <v>0.77933333333333377</v>
      </c>
      <c r="R169" s="320">
        <f t="shared" si="119"/>
        <v>0.77500000000000047</v>
      </c>
      <c r="S169" s="320">
        <f t="shared" si="119"/>
        <v>0.77066666666666717</v>
      </c>
      <c r="T169" s="320">
        <f t="shared" si="119"/>
        <v>0.76633333333333387</v>
      </c>
      <c r="U169" s="320">
        <f t="shared" ref="T169:AF175" si="120">-($C169-$AG169)/30+T169</f>
        <v>0.76200000000000057</v>
      </c>
      <c r="V169" s="320">
        <f t="shared" si="120"/>
        <v>0.75766666666666727</v>
      </c>
      <c r="W169" s="320">
        <f t="shared" si="120"/>
        <v>0.75333333333333397</v>
      </c>
      <c r="X169" s="320">
        <f t="shared" si="120"/>
        <v>0.74900000000000067</v>
      </c>
      <c r="Y169" s="320">
        <f t="shared" si="120"/>
        <v>0.74466666666666737</v>
      </c>
      <c r="Z169" s="320">
        <f t="shared" si="120"/>
        <v>0.74033333333333406</v>
      </c>
      <c r="AA169" s="320">
        <f t="shared" si="120"/>
        <v>0.73600000000000076</v>
      </c>
      <c r="AB169" s="320">
        <f t="shared" si="120"/>
        <v>0.73166666666666746</v>
      </c>
      <c r="AC169" s="320">
        <f t="shared" si="120"/>
        <v>0.72733333333333416</v>
      </c>
      <c r="AD169" s="320">
        <f t="shared" si="120"/>
        <v>0.72300000000000086</v>
      </c>
      <c r="AE169" s="320">
        <f t="shared" si="120"/>
        <v>0.71866666666666756</v>
      </c>
      <c r="AF169" s="320">
        <f t="shared" si="120"/>
        <v>0.71433333333333426</v>
      </c>
      <c r="AG169" s="319">
        <v>0.71</v>
      </c>
      <c r="AI169" s="321"/>
      <c r="AJ169" s="322" t="s">
        <v>1363</v>
      </c>
    </row>
    <row r="170" spans="1:41" outlineLevel="1" x14ac:dyDescent="0.2">
      <c r="A170" s="3" t="s">
        <v>90</v>
      </c>
      <c r="B170" s="302" t="s">
        <v>462</v>
      </c>
      <c r="C170" s="296">
        <v>0.16</v>
      </c>
      <c r="D170" s="317">
        <f t="shared" ref="D170:S175" si="121">-($C170-$AG170)/30+C170</f>
        <v>0.16206666666666666</v>
      </c>
      <c r="E170" s="317">
        <f t="shared" si="121"/>
        <v>0.16413333333333333</v>
      </c>
      <c r="F170" s="317">
        <f t="shared" si="121"/>
        <v>0.16619999999999999</v>
      </c>
      <c r="G170" s="317">
        <f t="shared" si="121"/>
        <v>0.16826666666666665</v>
      </c>
      <c r="H170" s="317">
        <f t="shared" si="121"/>
        <v>0.17033333333333331</v>
      </c>
      <c r="I170" s="317">
        <f t="shared" si="121"/>
        <v>0.17239999999999997</v>
      </c>
      <c r="J170" s="317">
        <f t="shared" si="121"/>
        <v>0.17446666666666663</v>
      </c>
      <c r="K170" s="317">
        <f t="shared" si="121"/>
        <v>0.17653333333333329</v>
      </c>
      <c r="L170" s="317">
        <f t="shared" si="121"/>
        <v>0.17859999999999995</v>
      </c>
      <c r="M170" s="317">
        <f t="shared" si="121"/>
        <v>0.18066666666666661</v>
      </c>
      <c r="N170" s="317">
        <f t="shared" si="121"/>
        <v>0.18273333333333328</v>
      </c>
      <c r="O170" s="317">
        <f t="shared" si="121"/>
        <v>0.18479999999999994</v>
      </c>
      <c r="P170" s="317">
        <f t="shared" si="121"/>
        <v>0.1868666666666666</v>
      </c>
      <c r="Q170" s="317">
        <f t="shared" si="121"/>
        <v>0.18893333333333326</v>
      </c>
      <c r="R170" s="317">
        <f t="shared" si="121"/>
        <v>0.19099999999999992</v>
      </c>
      <c r="S170" s="317">
        <f t="shared" si="121"/>
        <v>0.19306666666666658</v>
      </c>
      <c r="T170" s="317">
        <f t="shared" si="120"/>
        <v>0.19513333333333324</v>
      </c>
      <c r="U170" s="317">
        <f t="shared" si="120"/>
        <v>0.1971999999999999</v>
      </c>
      <c r="V170" s="317">
        <f t="shared" si="120"/>
        <v>0.19926666666666656</v>
      </c>
      <c r="W170" s="317">
        <f t="shared" si="120"/>
        <v>0.20133333333333323</v>
      </c>
      <c r="X170" s="317">
        <f t="shared" si="120"/>
        <v>0.20339999999999989</v>
      </c>
      <c r="Y170" s="317">
        <f t="shared" si="120"/>
        <v>0.20546666666666655</v>
      </c>
      <c r="Z170" s="317">
        <f t="shared" si="120"/>
        <v>0.20753333333333321</v>
      </c>
      <c r="AA170" s="317">
        <f t="shared" si="120"/>
        <v>0.20959999999999987</v>
      </c>
      <c r="AB170" s="317">
        <f t="shared" si="120"/>
        <v>0.21166666666666653</v>
      </c>
      <c r="AC170" s="317">
        <f t="shared" si="120"/>
        <v>0.21373333333333319</v>
      </c>
      <c r="AD170" s="317">
        <f t="shared" si="120"/>
        <v>0.21579999999999985</v>
      </c>
      <c r="AE170" s="317">
        <f t="shared" si="120"/>
        <v>0.21786666666666651</v>
      </c>
      <c r="AF170" s="317">
        <f t="shared" si="120"/>
        <v>0.21993333333333318</v>
      </c>
      <c r="AG170" s="296">
        <v>0.222</v>
      </c>
      <c r="AI170" s="214"/>
      <c r="AJ170" s="211" t="s">
        <v>1363</v>
      </c>
    </row>
    <row r="171" spans="1:41" outlineLevel="1" x14ac:dyDescent="0.2">
      <c r="A171" s="3" t="s">
        <v>33</v>
      </c>
      <c r="B171" s="302" t="s">
        <v>462</v>
      </c>
      <c r="C171" s="296">
        <v>0.37</v>
      </c>
      <c r="D171" s="317">
        <f t="shared" si="121"/>
        <v>0.36270000000000002</v>
      </c>
      <c r="E171" s="317">
        <f t="shared" si="121"/>
        <v>0.35540000000000005</v>
      </c>
      <c r="F171" s="317">
        <f t="shared" si="121"/>
        <v>0.34810000000000008</v>
      </c>
      <c r="G171" s="317">
        <f t="shared" si="121"/>
        <v>0.3408000000000001</v>
      </c>
      <c r="H171" s="317">
        <f t="shared" si="121"/>
        <v>0.33350000000000013</v>
      </c>
      <c r="I171" s="317">
        <f t="shared" si="121"/>
        <v>0.32620000000000016</v>
      </c>
      <c r="J171" s="317">
        <f t="shared" si="121"/>
        <v>0.31890000000000018</v>
      </c>
      <c r="K171" s="317">
        <f t="shared" si="121"/>
        <v>0.31160000000000021</v>
      </c>
      <c r="L171" s="317">
        <f t="shared" si="121"/>
        <v>0.30430000000000024</v>
      </c>
      <c r="M171" s="317">
        <f t="shared" si="121"/>
        <v>0.29700000000000026</v>
      </c>
      <c r="N171" s="317">
        <f t="shared" si="121"/>
        <v>0.28970000000000029</v>
      </c>
      <c r="O171" s="317">
        <f t="shared" si="121"/>
        <v>0.28240000000000032</v>
      </c>
      <c r="P171" s="317">
        <f t="shared" si="121"/>
        <v>0.27510000000000034</v>
      </c>
      <c r="Q171" s="317">
        <f t="shared" si="121"/>
        <v>0.26780000000000037</v>
      </c>
      <c r="R171" s="317">
        <f t="shared" si="121"/>
        <v>0.2605000000000004</v>
      </c>
      <c r="S171" s="317">
        <f t="shared" si="121"/>
        <v>0.25320000000000042</v>
      </c>
      <c r="T171" s="317">
        <f t="shared" si="120"/>
        <v>0.24590000000000042</v>
      </c>
      <c r="U171" s="317">
        <f t="shared" si="120"/>
        <v>0.23860000000000042</v>
      </c>
      <c r="V171" s="317">
        <f t="shared" si="120"/>
        <v>0.23130000000000042</v>
      </c>
      <c r="W171" s="317">
        <f t="shared" si="120"/>
        <v>0.22400000000000042</v>
      </c>
      <c r="X171" s="317">
        <f t="shared" si="120"/>
        <v>0.21670000000000042</v>
      </c>
      <c r="Y171" s="317">
        <f t="shared" si="120"/>
        <v>0.20940000000000042</v>
      </c>
      <c r="Z171" s="317">
        <f t="shared" si="120"/>
        <v>0.20210000000000042</v>
      </c>
      <c r="AA171" s="317">
        <f t="shared" si="120"/>
        <v>0.19480000000000042</v>
      </c>
      <c r="AB171" s="317">
        <f t="shared" si="120"/>
        <v>0.18750000000000042</v>
      </c>
      <c r="AC171" s="317">
        <f t="shared" si="120"/>
        <v>0.18020000000000042</v>
      </c>
      <c r="AD171" s="317">
        <f t="shared" si="120"/>
        <v>0.17290000000000041</v>
      </c>
      <c r="AE171" s="317">
        <f t="shared" si="120"/>
        <v>0.16560000000000041</v>
      </c>
      <c r="AF171" s="317">
        <f t="shared" si="120"/>
        <v>0.15830000000000041</v>
      </c>
      <c r="AG171" s="296">
        <v>0.151</v>
      </c>
      <c r="AI171" s="214"/>
      <c r="AJ171" s="211" t="s">
        <v>1363</v>
      </c>
    </row>
    <row r="172" spans="1:41" outlineLevel="1" x14ac:dyDescent="0.2">
      <c r="A172" s="3" t="s">
        <v>451</v>
      </c>
      <c r="B172" s="302" t="s">
        <v>462</v>
      </c>
      <c r="C172" s="296">
        <v>0.08</v>
      </c>
      <c r="D172" s="317">
        <f t="shared" si="121"/>
        <v>8.0100000000000005E-2</v>
      </c>
      <c r="E172" s="317">
        <f t="shared" si="121"/>
        <v>8.0200000000000007E-2</v>
      </c>
      <c r="F172" s="317">
        <f t="shared" si="121"/>
        <v>8.030000000000001E-2</v>
      </c>
      <c r="G172" s="317">
        <f t="shared" si="121"/>
        <v>8.0400000000000013E-2</v>
      </c>
      <c r="H172" s="317">
        <f t="shared" si="121"/>
        <v>8.0500000000000016E-2</v>
      </c>
      <c r="I172" s="317">
        <f t="shared" si="121"/>
        <v>8.0600000000000019E-2</v>
      </c>
      <c r="J172" s="317">
        <f t="shared" si="121"/>
        <v>8.0700000000000022E-2</v>
      </c>
      <c r="K172" s="317">
        <f t="shared" si="121"/>
        <v>8.0800000000000025E-2</v>
      </c>
      <c r="L172" s="317">
        <f t="shared" si="121"/>
        <v>8.0900000000000027E-2</v>
      </c>
      <c r="M172" s="317">
        <f t="shared" si="121"/>
        <v>8.100000000000003E-2</v>
      </c>
      <c r="N172" s="317">
        <f t="shared" si="121"/>
        <v>8.1100000000000033E-2</v>
      </c>
      <c r="O172" s="317">
        <f t="shared" si="121"/>
        <v>8.1200000000000036E-2</v>
      </c>
      <c r="P172" s="317">
        <f t="shared" si="121"/>
        <v>8.1300000000000039E-2</v>
      </c>
      <c r="Q172" s="317">
        <f t="shared" si="121"/>
        <v>8.1400000000000042E-2</v>
      </c>
      <c r="R172" s="317">
        <f t="shared" si="121"/>
        <v>8.1500000000000045E-2</v>
      </c>
      <c r="S172" s="317">
        <f t="shared" si="121"/>
        <v>8.1600000000000047E-2</v>
      </c>
      <c r="T172" s="317">
        <f t="shared" si="120"/>
        <v>8.170000000000005E-2</v>
      </c>
      <c r="U172" s="317">
        <f t="shared" si="120"/>
        <v>8.1800000000000053E-2</v>
      </c>
      <c r="V172" s="317">
        <f t="shared" si="120"/>
        <v>8.1900000000000056E-2</v>
      </c>
      <c r="W172" s="317">
        <f t="shared" si="120"/>
        <v>8.2000000000000059E-2</v>
      </c>
      <c r="X172" s="317">
        <f t="shared" si="120"/>
        <v>8.2100000000000062E-2</v>
      </c>
      <c r="Y172" s="317">
        <f t="shared" si="120"/>
        <v>8.2200000000000065E-2</v>
      </c>
      <c r="Z172" s="317">
        <f t="shared" si="120"/>
        <v>8.2300000000000068E-2</v>
      </c>
      <c r="AA172" s="317">
        <f t="shared" si="120"/>
        <v>8.240000000000007E-2</v>
      </c>
      <c r="AB172" s="317">
        <f t="shared" si="120"/>
        <v>8.2500000000000073E-2</v>
      </c>
      <c r="AC172" s="317">
        <f t="shared" si="120"/>
        <v>8.2600000000000076E-2</v>
      </c>
      <c r="AD172" s="317">
        <f t="shared" si="120"/>
        <v>8.2700000000000079E-2</v>
      </c>
      <c r="AE172" s="317">
        <f t="shared" si="120"/>
        <v>8.2800000000000082E-2</v>
      </c>
      <c r="AF172" s="317">
        <f t="shared" si="120"/>
        <v>8.2900000000000085E-2</v>
      </c>
      <c r="AG172" s="296">
        <v>8.3000000000000004E-2</v>
      </c>
      <c r="AI172" s="214"/>
      <c r="AJ172" s="211" t="s">
        <v>1363</v>
      </c>
    </row>
    <row r="173" spans="1:41" outlineLevel="1" x14ac:dyDescent="0.2">
      <c r="A173" s="3" t="s">
        <v>452</v>
      </c>
      <c r="B173" s="302" t="s">
        <v>462</v>
      </c>
      <c r="C173" s="296">
        <v>0.27</v>
      </c>
      <c r="D173" s="317">
        <f t="shared" si="121"/>
        <v>0.27313333333333334</v>
      </c>
      <c r="E173" s="317">
        <f t="shared" si="121"/>
        <v>0.27626666666666666</v>
      </c>
      <c r="F173" s="317">
        <f t="shared" si="121"/>
        <v>0.27939999999999998</v>
      </c>
      <c r="G173" s="317">
        <f t="shared" si="121"/>
        <v>0.2825333333333333</v>
      </c>
      <c r="H173" s="317">
        <f t="shared" si="121"/>
        <v>0.28566666666666662</v>
      </c>
      <c r="I173" s="317">
        <f t="shared" si="121"/>
        <v>0.28879999999999995</v>
      </c>
      <c r="J173" s="317">
        <f t="shared" si="121"/>
        <v>0.29193333333333327</v>
      </c>
      <c r="K173" s="317">
        <f t="shared" si="121"/>
        <v>0.29506666666666659</v>
      </c>
      <c r="L173" s="317">
        <f t="shared" si="121"/>
        <v>0.29819999999999991</v>
      </c>
      <c r="M173" s="317">
        <f t="shared" si="121"/>
        <v>0.30133333333333323</v>
      </c>
      <c r="N173" s="317">
        <f t="shared" si="121"/>
        <v>0.30446666666666655</v>
      </c>
      <c r="O173" s="317">
        <f t="shared" si="121"/>
        <v>0.30759999999999987</v>
      </c>
      <c r="P173" s="317">
        <f t="shared" si="121"/>
        <v>0.31073333333333319</v>
      </c>
      <c r="Q173" s="317">
        <f t="shared" si="121"/>
        <v>0.31386666666666652</v>
      </c>
      <c r="R173" s="317">
        <f t="shared" si="121"/>
        <v>0.31699999999999984</v>
      </c>
      <c r="S173" s="317">
        <f t="shared" si="121"/>
        <v>0.32013333333333316</v>
      </c>
      <c r="T173" s="317">
        <f t="shared" si="120"/>
        <v>0.32326666666666648</v>
      </c>
      <c r="U173" s="317">
        <f t="shared" si="120"/>
        <v>0.3263999999999998</v>
      </c>
      <c r="V173" s="317">
        <f t="shared" si="120"/>
        <v>0.32953333333333312</v>
      </c>
      <c r="W173" s="317">
        <f t="shared" si="120"/>
        <v>0.33266666666666644</v>
      </c>
      <c r="X173" s="317">
        <f t="shared" si="120"/>
        <v>0.33579999999999977</v>
      </c>
      <c r="Y173" s="317">
        <f t="shared" si="120"/>
        <v>0.33893333333333309</v>
      </c>
      <c r="Z173" s="317">
        <f t="shared" si="120"/>
        <v>0.34206666666666641</v>
      </c>
      <c r="AA173" s="317">
        <f t="shared" si="120"/>
        <v>0.34519999999999973</v>
      </c>
      <c r="AB173" s="317">
        <f t="shared" si="120"/>
        <v>0.34833333333333305</v>
      </c>
      <c r="AC173" s="317">
        <f t="shared" si="120"/>
        <v>0.35146666666666637</v>
      </c>
      <c r="AD173" s="317">
        <f t="shared" si="120"/>
        <v>0.35459999999999969</v>
      </c>
      <c r="AE173" s="317">
        <f t="shared" si="120"/>
        <v>0.35773333333333301</v>
      </c>
      <c r="AF173" s="317">
        <f t="shared" si="120"/>
        <v>0.36086666666666634</v>
      </c>
      <c r="AG173" s="296">
        <v>0.36399999999999999</v>
      </c>
      <c r="AI173" s="214"/>
      <c r="AJ173" s="211" t="s">
        <v>1363</v>
      </c>
    </row>
    <row r="174" spans="1:41" outlineLevel="1" x14ac:dyDescent="0.2">
      <c r="A174" s="3" t="s">
        <v>1364</v>
      </c>
      <c r="B174" s="302" t="s">
        <v>462</v>
      </c>
      <c r="C174" s="296">
        <v>7.0000000000000007E-2</v>
      </c>
      <c r="D174" s="317">
        <f t="shared" si="121"/>
        <v>7.1266666666666673E-2</v>
      </c>
      <c r="E174" s="317">
        <f t="shared" si="121"/>
        <v>7.2533333333333339E-2</v>
      </c>
      <c r="F174" s="317">
        <f t="shared" si="121"/>
        <v>7.3800000000000004E-2</v>
      </c>
      <c r="G174" s="317">
        <f t="shared" si="121"/>
        <v>7.506666666666667E-2</v>
      </c>
      <c r="H174" s="317">
        <f t="shared" si="121"/>
        <v>7.6333333333333336E-2</v>
      </c>
      <c r="I174" s="317">
        <f t="shared" si="121"/>
        <v>7.7600000000000002E-2</v>
      </c>
      <c r="J174" s="317">
        <f t="shared" si="121"/>
        <v>7.8866666666666668E-2</v>
      </c>
      <c r="K174" s="317">
        <f t="shared" si="121"/>
        <v>8.0133333333333334E-2</v>
      </c>
      <c r="L174" s="317">
        <f t="shared" si="121"/>
        <v>8.14E-2</v>
      </c>
      <c r="M174" s="317">
        <f t="shared" si="121"/>
        <v>8.2666666666666666E-2</v>
      </c>
      <c r="N174" s="317">
        <f t="shared" si="121"/>
        <v>8.3933333333333332E-2</v>
      </c>
      <c r="O174" s="317">
        <f t="shared" si="121"/>
        <v>8.5199999999999998E-2</v>
      </c>
      <c r="P174" s="317">
        <f t="shared" si="121"/>
        <v>8.6466666666666664E-2</v>
      </c>
      <c r="Q174" s="317">
        <f t="shared" si="121"/>
        <v>8.773333333333333E-2</v>
      </c>
      <c r="R174" s="317">
        <f t="shared" si="121"/>
        <v>8.8999999999999996E-2</v>
      </c>
      <c r="S174" s="317">
        <f t="shared" si="121"/>
        <v>9.0266666666666662E-2</v>
      </c>
      <c r="T174" s="317">
        <f t="shared" si="120"/>
        <v>9.1533333333333328E-2</v>
      </c>
      <c r="U174" s="317">
        <f t="shared" si="120"/>
        <v>9.2799999999999994E-2</v>
      </c>
      <c r="V174" s="317">
        <f t="shared" si="120"/>
        <v>9.406666666666666E-2</v>
      </c>
      <c r="W174" s="317">
        <f t="shared" si="120"/>
        <v>9.5333333333333325E-2</v>
      </c>
      <c r="X174" s="317">
        <f t="shared" si="120"/>
        <v>9.6599999999999991E-2</v>
      </c>
      <c r="Y174" s="317">
        <f t="shared" si="120"/>
        <v>9.7866666666666657E-2</v>
      </c>
      <c r="Z174" s="317">
        <f t="shared" si="120"/>
        <v>9.9133333333333323E-2</v>
      </c>
      <c r="AA174" s="317">
        <f t="shared" si="120"/>
        <v>0.10039999999999999</v>
      </c>
      <c r="AB174" s="317">
        <f t="shared" si="120"/>
        <v>0.10166666666666666</v>
      </c>
      <c r="AC174" s="317">
        <f t="shared" si="120"/>
        <v>0.10293333333333332</v>
      </c>
      <c r="AD174" s="317">
        <f t="shared" si="120"/>
        <v>0.10419999999999999</v>
      </c>
      <c r="AE174" s="317">
        <f t="shared" si="120"/>
        <v>0.10546666666666665</v>
      </c>
      <c r="AF174" s="317">
        <f t="shared" si="120"/>
        <v>0.10673333333333332</v>
      </c>
      <c r="AG174" s="296">
        <v>0.108</v>
      </c>
      <c r="AI174" s="214"/>
      <c r="AJ174" s="211" t="s">
        <v>1363</v>
      </c>
    </row>
    <row r="175" spans="1:41" outlineLevel="1" x14ac:dyDescent="0.2">
      <c r="A175" s="3" t="s">
        <v>1365</v>
      </c>
      <c r="B175" s="302" t="s">
        <v>462</v>
      </c>
      <c r="C175" s="296">
        <v>0.05</v>
      </c>
      <c r="D175" s="317">
        <f t="shared" si="121"/>
        <v>5.0733333333333339E-2</v>
      </c>
      <c r="E175" s="317">
        <f t="shared" si="121"/>
        <v>5.1466666666666674E-2</v>
      </c>
      <c r="F175" s="317">
        <f t="shared" si="121"/>
        <v>5.220000000000001E-2</v>
      </c>
      <c r="G175" s="317">
        <f t="shared" si="121"/>
        <v>5.2933333333333346E-2</v>
      </c>
      <c r="H175" s="317">
        <f t="shared" si="121"/>
        <v>5.3666666666666682E-2</v>
      </c>
      <c r="I175" s="317">
        <f t="shared" si="121"/>
        <v>5.4400000000000018E-2</v>
      </c>
      <c r="J175" s="317">
        <f t="shared" si="121"/>
        <v>5.5133333333333354E-2</v>
      </c>
      <c r="K175" s="317">
        <f t="shared" si="121"/>
        <v>5.5866666666666689E-2</v>
      </c>
      <c r="L175" s="317">
        <f t="shared" si="121"/>
        <v>5.6600000000000025E-2</v>
      </c>
      <c r="M175" s="317">
        <f t="shared" si="121"/>
        <v>5.7333333333333361E-2</v>
      </c>
      <c r="N175" s="317">
        <f t="shared" si="121"/>
        <v>5.8066666666666697E-2</v>
      </c>
      <c r="O175" s="317">
        <f t="shared" si="121"/>
        <v>5.8800000000000033E-2</v>
      </c>
      <c r="P175" s="317">
        <f t="shared" si="121"/>
        <v>5.9533333333333369E-2</v>
      </c>
      <c r="Q175" s="317">
        <f t="shared" si="121"/>
        <v>6.0266666666666704E-2</v>
      </c>
      <c r="R175" s="317">
        <f t="shared" si="121"/>
        <v>6.100000000000004E-2</v>
      </c>
      <c r="S175" s="317">
        <f t="shared" si="121"/>
        <v>6.1733333333333376E-2</v>
      </c>
      <c r="T175" s="317">
        <f t="shared" si="120"/>
        <v>6.2466666666666712E-2</v>
      </c>
      <c r="U175" s="317">
        <f t="shared" si="120"/>
        <v>6.3200000000000048E-2</v>
      </c>
      <c r="V175" s="317">
        <f t="shared" si="120"/>
        <v>6.3933333333333384E-2</v>
      </c>
      <c r="W175" s="317">
        <f t="shared" si="120"/>
        <v>6.4666666666666719E-2</v>
      </c>
      <c r="X175" s="317">
        <f t="shared" si="120"/>
        <v>6.5400000000000055E-2</v>
      </c>
      <c r="Y175" s="317">
        <f t="shared" si="120"/>
        <v>6.6133333333333391E-2</v>
      </c>
      <c r="Z175" s="317">
        <f t="shared" si="120"/>
        <v>6.6866666666666727E-2</v>
      </c>
      <c r="AA175" s="317">
        <f t="shared" si="120"/>
        <v>6.7600000000000063E-2</v>
      </c>
      <c r="AB175" s="317">
        <f t="shared" si="120"/>
        <v>6.8333333333333399E-2</v>
      </c>
      <c r="AC175" s="317">
        <f t="shared" si="120"/>
        <v>6.9066666666666734E-2</v>
      </c>
      <c r="AD175" s="317">
        <f t="shared" si="120"/>
        <v>6.980000000000007E-2</v>
      </c>
      <c r="AE175" s="317">
        <f t="shared" si="120"/>
        <v>7.0533333333333406E-2</v>
      </c>
      <c r="AF175" s="317">
        <f t="shared" si="120"/>
        <v>7.1266666666666742E-2</v>
      </c>
      <c r="AG175" s="296">
        <v>7.1999999999999995E-2</v>
      </c>
      <c r="AI175" s="214"/>
      <c r="AJ175" s="211" t="s">
        <v>1363</v>
      </c>
    </row>
    <row r="176" spans="1:41" s="58" customFormat="1" outlineLevel="1" x14ac:dyDescent="0.2">
      <c r="A176" s="306" t="s">
        <v>1366</v>
      </c>
      <c r="B176" s="303"/>
      <c r="C176" s="304"/>
      <c r="D176" s="304"/>
      <c r="E176" s="304"/>
      <c r="F176" s="304"/>
      <c r="G176" s="304"/>
      <c r="H176" s="304"/>
      <c r="I176" s="304"/>
      <c r="J176" s="304"/>
      <c r="K176" s="304"/>
      <c r="L176" s="304"/>
      <c r="M176" s="304"/>
      <c r="N176" s="304"/>
      <c r="O176" s="304"/>
      <c r="P176" s="304"/>
      <c r="Q176" s="304"/>
      <c r="R176" s="304"/>
      <c r="S176" s="304"/>
      <c r="T176" s="304"/>
      <c r="U176" s="304"/>
      <c r="V176" s="304"/>
      <c r="W176" s="304"/>
      <c r="X176" s="304"/>
      <c r="Y176" s="304"/>
      <c r="Z176" s="304"/>
      <c r="AA176" s="304"/>
      <c r="AB176" s="304"/>
      <c r="AC176" s="304"/>
      <c r="AD176" s="304"/>
      <c r="AE176" s="304"/>
      <c r="AF176" s="304"/>
      <c r="AG176" s="304"/>
      <c r="AI176" s="305"/>
      <c r="AJ176" s="306"/>
    </row>
    <row r="177" spans="1:36" s="58" customFormat="1" outlineLevel="1" x14ac:dyDescent="0.2">
      <c r="A177" s="307" t="s">
        <v>1367</v>
      </c>
      <c r="B177" s="308" t="s">
        <v>462</v>
      </c>
      <c r="C177" s="337">
        <v>0.84</v>
      </c>
      <c r="D177" s="338">
        <f>-($C177-$AG177)/30+C177</f>
        <v>0.84399999999999997</v>
      </c>
      <c r="E177" s="338">
        <f t="shared" ref="E177:T178" si="122">-($C177-$AG177)/30+D177</f>
        <v>0.84799999999999998</v>
      </c>
      <c r="F177" s="338">
        <f t="shared" si="122"/>
        <v>0.85199999999999998</v>
      </c>
      <c r="G177" s="338">
        <f t="shared" si="122"/>
        <v>0.85599999999999998</v>
      </c>
      <c r="H177" s="338">
        <f t="shared" si="122"/>
        <v>0.86</v>
      </c>
      <c r="I177" s="338">
        <f t="shared" si="122"/>
        <v>0.86399999999999999</v>
      </c>
      <c r="J177" s="338">
        <f t="shared" si="122"/>
        <v>0.86799999999999999</v>
      </c>
      <c r="K177" s="338">
        <f t="shared" si="122"/>
        <v>0.872</v>
      </c>
      <c r="L177" s="338">
        <f t="shared" si="122"/>
        <v>0.876</v>
      </c>
      <c r="M177" s="338">
        <f t="shared" si="122"/>
        <v>0.88</v>
      </c>
      <c r="N177" s="338">
        <f t="shared" si="122"/>
        <v>0.88400000000000001</v>
      </c>
      <c r="O177" s="338">
        <f t="shared" si="122"/>
        <v>0.88800000000000001</v>
      </c>
      <c r="P177" s="338">
        <f t="shared" si="122"/>
        <v>0.89200000000000002</v>
      </c>
      <c r="Q177" s="338">
        <f t="shared" si="122"/>
        <v>0.89600000000000002</v>
      </c>
      <c r="R177" s="338">
        <f t="shared" si="122"/>
        <v>0.9</v>
      </c>
      <c r="S177" s="338">
        <f t="shared" si="122"/>
        <v>0.90400000000000003</v>
      </c>
      <c r="T177" s="338">
        <f t="shared" si="122"/>
        <v>0.90800000000000003</v>
      </c>
      <c r="U177" s="338">
        <f t="shared" ref="U177:AF178" si="123">-($C177-$AG177)/30+T177</f>
        <v>0.91200000000000003</v>
      </c>
      <c r="V177" s="338">
        <f t="shared" si="123"/>
        <v>0.91600000000000004</v>
      </c>
      <c r="W177" s="338">
        <f t="shared" si="123"/>
        <v>0.92</v>
      </c>
      <c r="X177" s="338">
        <f t="shared" si="123"/>
        <v>0.92400000000000004</v>
      </c>
      <c r="Y177" s="338">
        <f t="shared" si="123"/>
        <v>0.92800000000000005</v>
      </c>
      <c r="Z177" s="338">
        <f t="shared" si="123"/>
        <v>0.93200000000000005</v>
      </c>
      <c r="AA177" s="338">
        <f t="shared" si="123"/>
        <v>0.93600000000000005</v>
      </c>
      <c r="AB177" s="338">
        <f t="shared" si="123"/>
        <v>0.94000000000000006</v>
      </c>
      <c r="AC177" s="338">
        <f t="shared" si="123"/>
        <v>0.94400000000000006</v>
      </c>
      <c r="AD177" s="338">
        <f t="shared" si="123"/>
        <v>0.94800000000000006</v>
      </c>
      <c r="AE177" s="338">
        <f t="shared" si="123"/>
        <v>0.95200000000000007</v>
      </c>
      <c r="AF177" s="338">
        <f t="shared" si="123"/>
        <v>0.95600000000000007</v>
      </c>
      <c r="AG177" s="337">
        <v>0.96</v>
      </c>
      <c r="AI177" s="305"/>
      <c r="AJ177" s="339" t="s">
        <v>1363</v>
      </c>
    </row>
    <row r="178" spans="1:36" s="58" customFormat="1" outlineLevel="1" x14ac:dyDescent="0.2">
      <c r="A178" s="307" t="s">
        <v>1368</v>
      </c>
      <c r="B178" s="308" t="s">
        <v>462</v>
      </c>
      <c r="C178" s="337">
        <v>0.22</v>
      </c>
      <c r="D178" s="338">
        <f>-($C178-$AG178)/30+C178</f>
        <v>0.22666666666666666</v>
      </c>
      <c r="E178" s="338">
        <f t="shared" si="122"/>
        <v>0.23333333333333331</v>
      </c>
      <c r="F178" s="338">
        <f t="shared" si="122"/>
        <v>0.23999999999999996</v>
      </c>
      <c r="G178" s="338">
        <f t="shared" si="122"/>
        <v>0.24666666666666662</v>
      </c>
      <c r="H178" s="338">
        <f t="shared" si="122"/>
        <v>0.2533333333333333</v>
      </c>
      <c r="I178" s="338">
        <f t="shared" si="122"/>
        <v>0.25999999999999995</v>
      </c>
      <c r="J178" s="338">
        <f t="shared" si="122"/>
        <v>0.26666666666666661</v>
      </c>
      <c r="K178" s="338">
        <f t="shared" si="122"/>
        <v>0.27333333333333326</v>
      </c>
      <c r="L178" s="338">
        <f t="shared" si="122"/>
        <v>0.27999999999999992</v>
      </c>
      <c r="M178" s="338">
        <f t="shared" si="122"/>
        <v>0.28666666666666657</v>
      </c>
      <c r="N178" s="338">
        <f t="shared" si="122"/>
        <v>0.29333333333333322</v>
      </c>
      <c r="O178" s="338">
        <f t="shared" si="122"/>
        <v>0.29999999999999988</v>
      </c>
      <c r="P178" s="338">
        <f t="shared" si="122"/>
        <v>0.30666666666666653</v>
      </c>
      <c r="Q178" s="338">
        <f t="shared" si="122"/>
        <v>0.31333333333333319</v>
      </c>
      <c r="R178" s="338">
        <f t="shared" si="122"/>
        <v>0.31999999999999984</v>
      </c>
      <c r="S178" s="338">
        <f t="shared" si="122"/>
        <v>0.32666666666666649</v>
      </c>
      <c r="T178" s="338">
        <f t="shared" si="122"/>
        <v>0.33333333333333315</v>
      </c>
      <c r="U178" s="338">
        <f t="shared" si="123"/>
        <v>0.3399999999999998</v>
      </c>
      <c r="V178" s="338">
        <f t="shared" si="123"/>
        <v>0.34666666666666646</v>
      </c>
      <c r="W178" s="338">
        <f t="shared" si="123"/>
        <v>0.35333333333333311</v>
      </c>
      <c r="X178" s="338">
        <f t="shared" si="123"/>
        <v>0.35999999999999976</v>
      </c>
      <c r="Y178" s="338">
        <f t="shared" si="123"/>
        <v>0.36666666666666642</v>
      </c>
      <c r="Z178" s="338">
        <f t="shared" si="123"/>
        <v>0.37333333333333307</v>
      </c>
      <c r="AA178" s="338">
        <f t="shared" si="123"/>
        <v>0.37999999999999973</v>
      </c>
      <c r="AB178" s="338">
        <f t="shared" si="123"/>
        <v>0.38666666666666638</v>
      </c>
      <c r="AC178" s="338">
        <f t="shared" si="123"/>
        <v>0.39333333333333304</v>
      </c>
      <c r="AD178" s="338">
        <f t="shared" si="123"/>
        <v>0.39999999999999969</v>
      </c>
      <c r="AE178" s="338">
        <f t="shared" si="123"/>
        <v>0.40666666666666634</v>
      </c>
      <c r="AF178" s="338">
        <f t="shared" si="123"/>
        <v>0.413333333333333</v>
      </c>
      <c r="AG178" s="337">
        <v>0.42</v>
      </c>
      <c r="AI178" s="305"/>
      <c r="AJ178" s="339" t="s">
        <v>1363</v>
      </c>
    </row>
    <row r="179" spans="1:36" s="62" customFormat="1" outlineLevel="1" x14ac:dyDescent="0.2">
      <c r="A179" s="311" t="s">
        <v>1369</v>
      </c>
      <c r="B179" s="312" t="s">
        <v>462</v>
      </c>
      <c r="C179" s="340">
        <f>1-C178</f>
        <v>0.78</v>
      </c>
      <c r="D179" s="340">
        <f t="shared" ref="D179:AG179" si="124">1-D178</f>
        <v>0.77333333333333332</v>
      </c>
      <c r="E179" s="340">
        <f t="shared" si="124"/>
        <v>0.76666666666666672</v>
      </c>
      <c r="F179" s="340">
        <f t="shared" si="124"/>
        <v>0.76</v>
      </c>
      <c r="G179" s="340">
        <f t="shared" si="124"/>
        <v>0.75333333333333341</v>
      </c>
      <c r="H179" s="340">
        <f t="shared" si="124"/>
        <v>0.7466666666666667</v>
      </c>
      <c r="I179" s="340">
        <f t="shared" si="124"/>
        <v>0.74</v>
      </c>
      <c r="J179" s="340">
        <f t="shared" si="124"/>
        <v>0.73333333333333339</v>
      </c>
      <c r="K179" s="340">
        <f t="shared" si="124"/>
        <v>0.72666666666666679</v>
      </c>
      <c r="L179" s="340">
        <f t="shared" si="124"/>
        <v>0.72000000000000008</v>
      </c>
      <c r="M179" s="340">
        <f t="shared" si="124"/>
        <v>0.71333333333333337</v>
      </c>
      <c r="N179" s="340">
        <f t="shared" si="124"/>
        <v>0.70666666666666678</v>
      </c>
      <c r="O179" s="340">
        <f t="shared" si="124"/>
        <v>0.70000000000000018</v>
      </c>
      <c r="P179" s="340">
        <f t="shared" si="124"/>
        <v>0.69333333333333347</v>
      </c>
      <c r="Q179" s="340">
        <f t="shared" si="124"/>
        <v>0.68666666666666676</v>
      </c>
      <c r="R179" s="340">
        <f t="shared" si="124"/>
        <v>0.68000000000000016</v>
      </c>
      <c r="S179" s="340">
        <f t="shared" si="124"/>
        <v>0.67333333333333356</v>
      </c>
      <c r="T179" s="340">
        <f t="shared" si="124"/>
        <v>0.66666666666666685</v>
      </c>
      <c r="U179" s="340">
        <f t="shared" si="124"/>
        <v>0.66000000000000014</v>
      </c>
      <c r="V179" s="340">
        <f t="shared" si="124"/>
        <v>0.65333333333333354</v>
      </c>
      <c r="W179" s="340">
        <f t="shared" si="124"/>
        <v>0.64666666666666694</v>
      </c>
      <c r="X179" s="340">
        <f t="shared" si="124"/>
        <v>0.64000000000000024</v>
      </c>
      <c r="Y179" s="340">
        <f t="shared" si="124"/>
        <v>0.63333333333333353</v>
      </c>
      <c r="Z179" s="340">
        <f t="shared" si="124"/>
        <v>0.62666666666666693</v>
      </c>
      <c r="AA179" s="340">
        <f t="shared" si="124"/>
        <v>0.62000000000000033</v>
      </c>
      <c r="AB179" s="340">
        <f t="shared" si="124"/>
        <v>0.61333333333333362</v>
      </c>
      <c r="AC179" s="340">
        <f t="shared" si="124"/>
        <v>0.60666666666666691</v>
      </c>
      <c r="AD179" s="340">
        <f t="shared" si="124"/>
        <v>0.60000000000000031</v>
      </c>
      <c r="AE179" s="340">
        <f t="shared" si="124"/>
        <v>0.59333333333333371</v>
      </c>
      <c r="AF179" s="340">
        <f t="shared" si="124"/>
        <v>0.586666666666667</v>
      </c>
      <c r="AG179" s="340">
        <f t="shared" si="124"/>
        <v>0.58000000000000007</v>
      </c>
      <c r="AI179" s="342"/>
      <c r="AJ179" s="341" t="s">
        <v>1363</v>
      </c>
    </row>
    <row r="180" spans="1:36" s="1" customFormat="1" outlineLevel="1" x14ac:dyDescent="0.2">
      <c r="A180" t="s">
        <v>1370</v>
      </c>
      <c r="B180" s="302" t="s">
        <v>462</v>
      </c>
      <c r="C180" s="296">
        <v>0.95</v>
      </c>
      <c r="D180" s="317">
        <f t="shared" ref="D180:S195" si="125">-($C180-$AG180)/30+C180</f>
        <v>0.94499999999999995</v>
      </c>
      <c r="E180" s="317">
        <f t="shared" si="125"/>
        <v>0.94</v>
      </c>
      <c r="F180" s="317">
        <f t="shared" si="125"/>
        <v>0.93499999999999994</v>
      </c>
      <c r="G180" s="317">
        <f t="shared" si="125"/>
        <v>0.92999999999999994</v>
      </c>
      <c r="H180" s="317">
        <f t="shared" si="125"/>
        <v>0.92499999999999993</v>
      </c>
      <c r="I180" s="317">
        <f t="shared" si="125"/>
        <v>0.91999999999999993</v>
      </c>
      <c r="J180" s="317">
        <f t="shared" si="125"/>
        <v>0.91499999999999992</v>
      </c>
      <c r="K180" s="317">
        <f t="shared" si="125"/>
        <v>0.90999999999999992</v>
      </c>
      <c r="L180" s="317">
        <f t="shared" si="125"/>
        <v>0.90499999999999992</v>
      </c>
      <c r="M180" s="317">
        <f t="shared" si="125"/>
        <v>0.89999999999999991</v>
      </c>
      <c r="N180" s="317">
        <f t="shared" si="125"/>
        <v>0.89499999999999991</v>
      </c>
      <c r="O180" s="317">
        <f t="shared" si="125"/>
        <v>0.8899999999999999</v>
      </c>
      <c r="P180" s="317">
        <f t="shared" si="125"/>
        <v>0.8849999999999999</v>
      </c>
      <c r="Q180" s="317">
        <f t="shared" si="125"/>
        <v>0.87999999999999989</v>
      </c>
      <c r="R180" s="317">
        <f t="shared" si="125"/>
        <v>0.87499999999999989</v>
      </c>
      <c r="S180" s="317">
        <f t="shared" si="125"/>
        <v>0.86999999999999988</v>
      </c>
      <c r="T180" s="317">
        <f t="shared" ref="T180:AF194" si="126">-($C180-$AG180)/30+S180</f>
        <v>0.86499999999999988</v>
      </c>
      <c r="U180" s="317">
        <f t="shared" si="126"/>
        <v>0.85999999999999988</v>
      </c>
      <c r="V180" s="317">
        <f t="shared" si="126"/>
        <v>0.85499999999999987</v>
      </c>
      <c r="W180" s="317">
        <f t="shared" si="126"/>
        <v>0.84999999999999987</v>
      </c>
      <c r="X180" s="317">
        <f t="shared" si="126"/>
        <v>0.84499999999999986</v>
      </c>
      <c r="Y180" s="317">
        <f t="shared" si="126"/>
        <v>0.83999999999999986</v>
      </c>
      <c r="Z180" s="317">
        <f t="shared" si="126"/>
        <v>0.83499999999999985</v>
      </c>
      <c r="AA180" s="317">
        <f t="shared" si="126"/>
        <v>0.82999999999999985</v>
      </c>
      <c r="AB180" s="317">
        <f t="shared" si="126"/>
        <v>0.82499999999999984</v>
      </c>
      <c r="AC180" s="317">
        <f t="shared" si="126"/>
        <v>0.81999999999999984</v>
      </c>
      <c r="AD180" s="317">
        <f t="shared" si="126"/>
        <v>0.81499999999999984</v>
      </c>
      <c r="AE180" s="317">
        <f t="shared" si="126"/>
        <v>0.80999999999999983</v>
      </c>
      <c r="AF180" s="317">
        <f t="shared" si="126"/>
        <v>0.80499999999999983</v>
      </c>
      <c r="AG180" s="296">
        <v>0.8</v>
      </c>
      <c r="AI180" s="316"/>
      <c r="AJ180" s="211" t="s">
        <v>1363</v>
      </c>
    </row>
    <row r="181" spans="1:36" s="1" customFormat="1" outlineLevel="1" x14ac:dyDescent="0.2">
      <c r="A181" t="s">
        <v>1371</v>
      </c>
      <c r="B181" s="302" t="s">
        <v>462</v>
      </c>
      <c r="C181" s="296">
        <v>0.05</v>
      </c>
      <c r="D181" s="317">
        <f t="shared" si="125"/>
        <v>5.5000000000000007E-2</v>
      </c>
      <c r="E181" s="317">
        <f t="shared" si="125"/>
        <v>6.0000000000000012E-2</v>
      </c>
      <c r="F181" s="317">
        <f t="shared" si="125"/>
        <v>6.5000000000000016E-2</v>
      </c>
      <c r="G181" s="317">
        <f t="shared" si="125"/>
        <v>7.0000000000000021E-2</v>
      </c>
      <c r="H181" s="317">
        <f t="shared" si="125"/>
        <v>7.5000000000000025E-2</v>
      </c>
      <c r="I181" s="317">
        <f t="shared" si="125"/>
        <v>8.0000000000000029E-2</v>
      </c>
      <c r="J181" s="317">
        <f t="shared" si="125"/>
        <v>8.5000000000000034E-2</v>
      </c>
      <c r="K181" s="317">
        <f t="shared" si="125"/>
        <v>9.0000000000000038E-2</v>
      </c>
      <c r="L181" s="317">
        <f t="shared" si="125"/>
        <v>9.5000000000000043E-2</v>
      </c>
      <c r="M181" s="317">
        <f t="shared" si="125"/>
        <v>0.10000000000000005</v>
      </c>
      <c r="N181" s="317">
        <f t="shared" si="125"/>
        <v>0.10500000000000005</v>
      </c>
      <c r="O181" s="317">
        <f t="shared" si="125"/>
        <v>0.11000000000000006</v>
      </c>
      <c r="P181" s="317">
        <f t="shared" si="125"/>
        <v>0.11500000000000006</v>
      </c>
      <c r="Q181" s="317">
        <f t="shared" si="125"/>
        <v>0.12000000000000006</v>
      </c>
      <c r="R181" s="317">
        <f t="shared" si="125"/>
        <v>0.12500000000000006</v>
      </c>
      <c r="S181" s="317">
        <f t="shared" si="125"/>
        <v>0.13000000000000006</v>
      </c>
      <c r="T181" s="317">
        <f t="shared" si="126"/>
        <v>0.13500000000000006</v>
      </c>
      <c r="U181" s="317">
        <f t="shared" si="126"/>
        <v>0.14000000000000007</v>
      </c>
      <c r="V181" s="317">
        <f t="shared" si="126"/>
        <v>0.14500000000000007</v>
      </c>
      <c r="W181" s="317">
        <f t="shared" si="126"/>
        <v>0.15000000000000008</v>
      </c>
      <c r="X181" s="317">
        <f t="shared" si="126"/>
        <v>0.15500000000000008</v>
      </c>
      <c r="Y181" s="317">
        <f t="shared" si="126"/>
        <v>0.16000000000000009</v>
      </c>
      <c r="Z181" s="317">
        <f t="shared" si="126"/>
        <v>0.16500000000000009</v>
      </c>
      <c r="AA181" s="317">
        <f t="shared" si="126"/>
        <v>0.1700000000000001</v>
      </c>
      <c r="AB181" s="317">
        <f t="shared" si="126"/>
        <v>0.1750000000000001</v>
      </c>
      <c r="AC181" s="317">
        <f t="shared" si="126"/>
        <v>0.1800000000000001</v>
      </c>
      <c r="AD181" s="317">
        <f t="shared" si="126"/>
        <v>0.18500000000000011</v>
      </c>
      <c r="AE181" s="317">
        <f t="shared" si="126"/>
        <v>0.19000000000000011</v>
      </c>
      <c r="AF181" s="317">
        <f t="shared" si="126"/>
        <v>0.19500000000000012</v>
      </c>
      <c r="AG181" s="296">
        <v>0.2</v>
      </c>
      <c r="AI181" s="435" t="s">
        <v>1506</v>
      </c>
      <c r="AJ181" s="211" t="s">
        <v>1363</v>
      </c>
    </row>
    <row r="182" spans="1:36" s="1" customFormat="1" outlineLevel="1" x14ac:dyDescent="0.2">
      <c r="A182" t="s">
        <v>1372</v>
      </c>
      <c r="B182" s="302" t="s">
        <v>462</v>
      </c>
      <c r="C182" s="296">
        <v>0.15</v>
      </c>
      <c r="D182" s="317">
        <f t="shared" si="125"/>
        <v>0.15633333333333332</v>
      </c>
      <c r="E182" s="317">
        <f t="shared" si="125"/>
        <v>0.16266666666666665</v>
      </c>
      <c r="F182" s="317">
        <f t="shared" si="125"/>
        <v>0.16899999999999998</v>
      </c>
      <c r="G182" s="317">
        <f t="shared" si="125"/>
        <v>0.17533333333333331</v>
      </c>
      <c r="H182" s="317">
        <f t="shared" si="125"/>
        <v>0.18166666666666664</v>
      </c>
      <c r="I182" s="317">
        <f t="shared" si="125"/>
        <v>0.18799999999999997</v>
      </c>
      <c r="J182" s="317">
        <f t="shared" si="125"/>
        <v>0.1943333333333333</v>
      </c>
      <c r="K182" s="317">
        <f t="shared" si="125"/>
        <v>0.20066666666666663</v>
      </c>
      <c r="L182" s="317">
        <f t="shared" si="125"/>
        <v>0.20699999999999996</v>
      </c>
      <c r="M182" s="317">
        <f t="shared" si="125"/>
        <v>0.21333333333333329</v>
      </c>
      <c r="N182" s="317">
        <f t="shared" si="125"/>
        <v>0.21966666666666662</v>
      </c>
      <c r="O182" s="317">
        <f t="shared" si="125"/>
        <v>0.22599999999999995</v>
      </c>
      <c r="P182" s="317">
        <f t="shared" si="125"/>
        <v>0.23233333333333328</v>
      </c>
      <c r="Q182" s="317">
        <f t="shared" si="125"/>
        <v>0.23866666666666661</v>
      </c>
      <c r="R182" s="317">
        <f t="shared" si="125"/>
        <v>0.24499999999999994</v>
      </c>
      <c r="S182" s="317">
        <f t="shared" si="125"/>
        <v>0.2513333333333333</v>
      </c>
      <c r="T182" s="317">
        <f t="shared" si="126"/>
        <v>0.25766666666666665</v>
      </c>
      <c r="U182" s="317">
        <f t="shared" si="126"/>
        <v>0.26400000000000001</v>
      </c>
      <c r="V182" s="317">
        <f t="shared" si="126"/>
        <v>0.27033333333333337</v>
      </c>
      <c r="W182" s="317">
        <f t="shared" si="126"/>
        <v>0.27666666666666673</v>
      </c>
      <c r="X182" s="317">
        <f t="shared" si="126"/>
        <v>0.28300000000000008</v>
      </c>
      <c r="Y182" s="317">
        <f t="shared" si="126"/>
        <v>0.28933333333333344</v>
      </c>
      <c r="Z182" s="317">
        <f t="shared" si="126"/>
        <v>0.2956666666666668</v>
      </c>
      <c r="AA182" s="317">
        <f t="shared" si="126"/>
        <v>0.30200000000000016</v>
      </c>
      <c r="AB182" s="317">
        <f t="shared" si="126"/>
        <v>0.30833333333333351</v>
      </c>
      <c r="AC182" s="317">
        <f t="shared" si="126"/>
        <v>0.31466666666666687</v>
      </c>
      <c r="AD182" s="317">
        <f t="shared" si="126"/>
        <v>0.32100000000000023</v>
      </c>
      <c r="AE182" s="317">
        <f t="shared" si="126"/>
        <v>0.32733333333333359</v>
      </c>
      <c r="AF182" s="317">
        <f t="shared" si="126"/>
        <v>0.33366666666666694</v>
      </c>
      <c r="AG182" s="296">
        <v>0.34</v>
      </c>
      <c r="AI182" s="316"/>
      <c r="AJ182" s="211" t="s">
        <v>1363</v>
      </c>
    </row>
    <row r="183" spans="1:36" s="1" customFormat="1" outlineLevel="1" x14ac:dyDescent="0.2">
      <c r="A183" t="s">
        <v>1373</v>
      </c>
      <c r="B183" s="302" t="s">
        <v>462</v>
      </c>
      <c r="C183" s="296">
        <v>0.85</v>
      </c>
      <c r="D183" s="317">
        <f t="shared" si="125"/>
        <v>0.84366666666666668</v>
      </c>
      <c r="E183" s="317">
        <f t="shared" si="125"/>
        <v>0.83733333333333337</v>
      </c>
      <c r="F183" s="317">
        <f t="shared" si="125"/>
        <v>0.83100000000000007</v>
      </c>
      <c r="G183" s="317">
        <f t="shared" si="125"/>
        <v>0.82466666666666677</v>
      </c>
      <c r="H183" s="317">
        <f t="shared" si="125"/>
        <v>0.81833333333333347</v>
      </c>
      <c r="I183" s="317">
        <f t="shared" si="125"/>
        <v>0.81200000000000017</v>
      </c>
      <c r="J183" s="317">
        <f t="shared" si="125"/>
        <v>0.80566666666666686</v>
      </c>
      <c r="K183" s="317">
        <f t="shared" si="125"/>
        <v>0.79933333333333356</v>
      </c>
      <c r="L183" s="317">
        <f t="shared" si="125"/>
        <v>0.79300000000000026</v>
      </c>
      <c r="M183" s="317">
        <f t="shared" si="125"/>
        <v>0.78666666666666696</v>
      </c>
      <c r="N183" s="317">
        <f t="shared" si="125"/>
        <v>0.78033333333333366</v>
      </c>
      <c r="O183" s="317">
        <f t="shared" si="125"/>
        <v>0.77400000000000035</v>
      </c>
      <c r="P183" s="317">
        <f t="shared" si="125"/>
        <v>0.76766666666666705</v>
      </c>
      <c r="Q183" s="317">
        <f t="shared" si="125"/>
        <v>0.76133333333333375</v>
      </c>
      <c r="R183" s="317">
        <f t="shared" si="125"/>
        <v>0.75500000000000045</v>
      </c>
      <c r="S183" s="317">
        <f t="shared" si="125"/>
        <v>0.74866666666666715</v>
      </c>
      <c r="T183" s="317">
        <f t="shared" si="126"/>
        <v>0.74233333333333384</v>
      </c>
      <c r="U183" s="317">
        <f t="shared" si="126"/>
        <v>0.73600000000000054</v>
      </c>
      <c r="V183" s="317">
        <f t="shared" si="126"/>
        <v>0.72966666666666724</v>
      </c>
      <c r="W183" s="317">
        <f t="shared" si="126"/>
        <v>0.72333333333333394</v>
      </c>
      <c r="X183" s="317">
        <f t="shared" si="126"/>
        <v>0.71700000000000064</v>
      </c>
      <c r="Y183" s="317">
        <f t="shared" si="126"/>
        <v>0.71066666666666733</v>
      </c>
      <c r="Z183" s="317">
        <f t="shared" si="126"/>
        <v>0.70433333333333403</v>
      </c>
      <c r="AA183" s="317">
        <f t="shared" si="126"/>
        <v>0.69800000000000073</v>
      </c>
      <c r="AB183" s="317">
        <f t="shared" si="126"/>
        <v>0.69166666666666743</v>
      </c>
      <c r="AC183" s="317">
        <f t="shared" si="126"/>
        <v>0.68533333333333413</v>
      </c>
      <c r="AD183" s="317">
        <f t="shared" si="126"/>
        <v>0.67900000000000083</v>
      </c>
      <c r="AE183" s="317">
        <f t="shared" si="126"/>
        <v>0.67266666666666752</v>
      </c>
      <c r="AF183" s="317">
        <f t="shared" si="126"/>
        <v>0.66633333333333422</v>
      </c>
      <c r="AG183" s="296">
        <v>0.66</v>
      </c>
      <c r="AI183" s="316"/>
      <c r="AJ183" s="211" t="s">
        <v>1363</v>
      </c>
    </row>
    <row r="184" spans="1:36" s="1" customFormat="1" outlineLevel="1" x14ac:dyDescent="0.2">
      <c r="A184" t="s">
        <v>1374</v>
      </c>
      <c r="B184" s="302" t="s">
        <v>462</v>
      </c>
      <c r="C184" s="296">
        <v>0</v>
      </c>
      <c r="D184" s="317">
        <f t="shared" si="125"/>
        <v>0</v>
      </c>
      <c r="E184" s="317">
        <f t="shared" si="125"/>
        <v>0</v>
      </c>
      <c r="F184" s="317">
        <f t="shared" si="125"/>
        <v>0</v>
      </c>
      <c r="G184" s="317">
        <f t="shared" si="125"/>
        <v>0</v>
      </c>
      <c r="H184" s="317">
        <f t="shared" si="125"/>
        <v>0</v>
      </c>
      <c r="I184" s="317">
        <f t="shared" si="125"/>
        <v>0</v>
      </c>
      <c r="J184" s="317">
        <f t="shared" si="125"/>
        <v>0</v>
      </c>
      <c r="K184" s="317">
        <f t="shared" si="125"/>
        <v>0</v>
      </c>
      <c r="L184" s="317">
        <f t="shared" si="125"/>
        <v>0</v>
      </c>
      <c r="M184" s="317">
        <f t="shared" si="125"/>
        <v>0</v>
      </c>
      <c r="N184" s="317">
        <f t="shared" si="125"/>
        <v>0</v>
      </c>
      <c r="O184" s="317">
        <f t="shared" si="125"/>
        <v>0</v>
      </c>
      <c r="P184" s="317">
        <f t="shared" si="125"/>
        <v>0</v>
      </c>
      <c r="Q184" s="317">
        <f t="shared" si="125"/>
        <v>0</v>
      </c>
      <c r="R184" s="317">
        <f t="shared" si="125"/>
        <v>0</v>
      </c>
      <c r="S184" s="317">
        <f t="shared" si="125"/>
        <v>0</v>
      </c>
      <c r="T184" s="317">
        <f t="shared" si="126"/>
        <v>0</v>
      </c>
      <c r="U184" s="317">
        <f t="shared" si="126"/>
        <v>0</v>
      </c>
      <c r="V184" s="317">
        <f t="shared" si="126"/>
        <v>0</v>
      </c>
      <c r="W184" s="317">
        <f t="shared" si="126"/>
        <v>0</v>
      </c>
      <c r="X184" s="317">
        <f t="shared" si="126"/>
        <v>0</v>
      </c>
      <c r="Y184" s="317">
        <f t="shared" si="126"/>
        <v>0</v>
      </c>
      <c r="Z184" s="317">
        <f t="shared" si="126"/>
        <v>0</v>
      </c>
      <c r="AA184" s="317">
        <f t="shared" si="126"/>
        <v>0</v>
      </c>
      <c r="AB184" s="317">
        <f t="shared" si="126"/>
        <v>0</v>
      </c>
      <c r="AC184" s="317">
        <f t="shared" si="126"/>
        <v>0</v>
      </c>
      <c r="AD184" s="317">
        <f t="shared" si="126"/>
        <v>0</v>
      </c>
      <c r="AE184" s="317">
        <f t="shared" si="126"/>
        <v>0</v>
      </c>
      <c r="AF184" s="317">
        <f t="shared" si="126"/>
        <v>0</v>
      </c>
      <c r="AG184" s="296">
        <v>0</v>
      </c>
      <c r="AI184" s="316"/>
      <c r="AJ184" s="211" t="s">
        <v>1363</v>
      </c>
    </row>
    <row r="185" spans="1:36" s="1" customFormat="1" outlineLevel="1" x14ac:dyDescent="0.2">
      <c r="A185" t="s">
        <v>1375</v>
      </c>
      <c r="B185" s="302" t="s">
        <v>462</v>
      </c>
      <c r="C185" s="296">
        <v>1</v>
      </c>
      <c r="D185" s="317">
        <f t="shared" si="125"/>
        <v>1</v>
      </c>
      <c r="E185" s="317">
        <f t="shared" si="125"/>
        <v>1</v>
      </c>
      <c r="F185" s="317">
        <f t="shared" si="125"/>
        <v>1</v>
      </c>
      <c r="G185" s="317">
        <f t="shared" si="125"/>
        <v>1</v>
      </c>
      <c r="H185" s="317">
        <f t="shared" si="125"/>
        <v>1</v>
      </c>
      <c r="I185" s="317">
        <f t="shared" si="125"/>
        <v>1</v>
      </c>
      <c r="J185" s="317">
        <f t="shared" si="125"/>
        <v>1</v>
      </c>
      <c r="K185" s="317">
        <f t="shared" si="125"/>
        <v>1</v>
      </c>
      <c r="L185" s="317">
        <f t="shared" si="125"/>
        <v>1</v>
      </c>
      <c r="M185" s="317">
        <f t="shared" si="125"/>
        <v>1</v>
      </c>
      <c r="N185" s="317">
        <f t="shared" si="125"/>
        <v>1</v>
      </c>
      <c r="O185" s="317">
        <f t="shared" si="125"/>
        <v>1</v>
      </c>
      <c r="P185" s="317">
        <f t="shared" si="125"/>
        <v>1</v>
      </c>
      <c r="Q185" s="317">
        <f t="shared" si="125"/>
        <v>1</v>
      </c>
      <c r="R185" s="317">
        <f t="shared" si="125"/>
        <v>1</v>
      </c>
      <c r="S185" s="317">
        <f t="shared" si="125"/>
        <v>1</v>
      </c>
      <c r="T185" s="317">
        <f t="shared" si="126"/>
        <v>1</v>
      </c>
      <c r="U185" s="317">
        <f t="shared" si="126"/>
        <v>1</v>
      </c>
      <c r="V185" s="317">
        <f t="shared" si="126"/>
        <v>1</v>
      </c>
      <c r="W185" s="317">
        <f t="shared" si="126"/>
        <v>1</v>
      </c>
      <c r="X185" s="317">
        <f t="shared" si="126"/>
        <v>1</v>
      </c>
      <c r="Y185" s="317">
        <f t="shared" si="126"/>
        <v>1</v>
      </c>
      <c r="Z185" s="317">
        <f t="shared" si="126"/>
        <v>1</v>
      </c>
      <c r="AA185" s="317">
        <f t="shared" si="126"/>
        <v>1</v>
      </c>
      <c r="AB185" s="317">
        <f t="shared" si="126"/>
        <v>1</v>
      </c>
      <c r="AC185" s="317">
        <f t="shared" si="126"/>
        <v>1</v>
      </c>
      <c r="AD185" s="317">
        <f t="shared" si="126"/>
        <v>1</v>
      </c>
      <c r="AE185" s="317">
        <f t="shared" si="126"/>
        <v>1</v>
      </c>
      <c r="AF185" s="317">
        <f t="shared" si="126"/>
        <v>1</v>
      </c>
      <c r="AG185" s="296">
        <v>1</v>
      </c>
      <c r="AI185" s="316"/>
      <c r="AJ185" s="211" t="s">
        <v>1363</v>
      </c>
    </row>
    <row r="186" spans="1:36" s="1" customFormat="1" outlineLevel="1" x14ac:dyDescent="0.2">
      <c r="A186" t="s">
        <v>1376</v>
      </c>
      <c r="B186" s="302" t="s">
        <v>462</v>
      </c>
      <c r="C186" s="296">
        <v>0.8</v>
      </c>
      <c r="D186" s="317">
        <f t="shared" si="125"/>
        <v>0.80333333333333334</v>
      </c>
      <c r="E186" s="317">
        <f t="shared" si="125"/>
        <v>0.80666666666666664</v>
      </c>
      <c r="F186" s="317">
        <f t="shared" si="125"/>
        <v>0.80999999999999994</v>
      </c>
      <c r="G186" s="317">
        <f t="shared" si="125"/>
        <v>0.81333333333333324</v>
      </c>
      <c r="H186" s="317">
        <f t="shared" si="125"/>
        <v>0.81666666666666654</v>
      </c>
      <c r="I186" s="317">
        <f t="shared" si="125"/>
        <v>0.81999999999999984</v>
      </c>
      <c r="J186" s="317">
        <f t="shared" si="125"/>
        <v>0.82333333333333314</v>
      </c>
      <c r="K186" s="317">
        <f t="shared" si="125"/>
        <v>0.82666666666666644</v>
      </c>
      <c r="L186" s="317">
        <f t="shared" si="125"/>
        <v>0.82999999999999974</v>
      </c>
      <c r="M186" s="317">
        <f t="shared" si="125"/>
        <v>0.83333333333333304</v>
      </c>
      <c r="N186" s="317">
        <f t="shared" si="125"/>
        <v>0.83666666666666634</v>
      </c>
      <c r="O186" s="317">
        <f t="shared" si="125"/>
        <v>0.83999999999999964</v>
      </c>
      <c r="P186" s="317">
        <f t="shared" si="125"/>
        <v>0.84333333333333294</v>
      </c>
      <c r="Q186" s="317">
        <f t="shared" si="125"/>
        <v>0.84666666666666623</v>
      </c>
      <c r="R186" s="317">
        <f t="shared" si="125"/>
        <v>0.84999999999999953</v>
      </c>
      <c r="S186" s="317">
        <f t="shared" si="125"/>
        <v>0.85333333333333283</v>
      </c>
      <c r="T186" s="317">
        <f t="shared" si="126"/>
        <v>0.85666666666666613</v>
      </c>
      <c r="U186" s="317">
        <f t="shared" si="126"/>
        <v>0.85999999999999943</v>
      </c>
      <c r="V186" s="317">
        <f t="shared" si="126"/>
        <v>0.86333333333333273</v>
      </c>
      <c r="W186" s="317">
        <f t="shared" si="126"/>
        <v>0.86666666666666603</v>
      </c>
      <c r="X186" s="317">
        <f t="shared" si="126"/>
        <v>0.86999999999999933</v>
      </c>
      <c r="Y186" s="317">
        <f t="shared" si="126"/>
        <v>0.87333333333333263</v>
      </c>
      <c r="Z186" s="317">
        <f t="shared" si="126"/>
        <v>0.87666666666666593</v>
      </c>
      <c r="AA186" s="317">
        <f t="shared" si="126"/>
        <v>0.87999999999999923</v>
      </c>
      <c r="AB186" s="317">
        <f t="shared" si="126"/>
        <v>0.88333333333333253</v>
      </c>
      <c r="AC186" s="317">
        <f t="shared" si="126"/>
        <v>0.88666666666666583</v>
      </c>
      <c r="AD186" s="317">
        <f t="shared" si="126"/>
        <v>0.88999999999999913</v>
      </c>
      <c r="AE186" s="317">
        <f t="shared" si="126"/>
        <v>0.89333333333333242</v>
      </c>
      <c r="AF186" s="317">
        <f t="shared" si="126"/>
        <v>0.89666666666666572</v>
      </c>
      <c r="AG186" s="296">
        <v>0.9</v>
      </c>
      <c r="AI186" s="316"/>
      <c r="AJ186" s="211" t="s">
        <v>1363</v>
      </c>
    </row>
    <row r="187" spans="1:36" s="1" customFormat="1" outlineLevel="1" x14ac:dyDescent="0.2">
      <c r="A187" t="s">
        <v>1377</v>
      </c>
      <c r="B187" s="302" t="s">
        <v>462</v>
      </c>
      <c r="C187" s="296">
        <v>0.2</v>
      </c>
      <c r="D187" s="317">
        <f t="shared" si="125"/>
        <v>0.19666666666666668</v>
      </c>
      <c r="E187" s="317">
        <f t="shared" si="125"/>
        <v>0.19333333333333336</v>
      </c>
      <c r="F187" s="317">
        <f t="shared" si="125"/>
        <v>0.19000000000000003</v>
      </c>
      <c r="G187" s="317">
        <f t="shared" si="125"/>
        <v>0.1866666666666667</v>
      </c>
      <c r="H187" s="317">
        <f t="shared" si="125"/>
        <v>0.18333333333333338</v>
      </c>
      <c r="I187" s="317">
        <f t="shared" si="125"/>
        <v>0.18000000000000005</v>
      </c>
      <c r="J187" s="317">
        <f t="shared" si="125"/>
        <v>0.17666666666666672</v>
      </c>
      <c r="K187" s="317">
        <f t="shared" si="125"/>
        <v>0.17333333333333339</v>
      </c>
      <c r="L187" s="317">
        <f t="shared" si="125"/>
        <v>0.17000000000000007</v>
      </c>
      <c r="M187" s="317">
        <f t="shared" si="125"/>
        <v>0.16666666666666674</v>
      </c>
      <c r="N187" s="317">
        <f t="shared" si="125"/>
        <v>0.16333333333333341</v>
      </c>
      <c r="O187" s="317">
        <f t="shared" si="125"/>
        <v>0.16000000000000009</v>
      </c>
      <c r="P187" s="317">
        <f t="shared" si="125"/>
        <v>0.15666666666666676</v>
      </c>
      <c r="Q187" s="317">
        <f t="shared" si="125"/>
        <v>0.15333333333333343</v>
      </c>
      <c r="R187" s="317">
        <f t="shared" si="125"/>
        <v>0.15000000000000011</v>
      </c>
      <c r="S187" s="317">
        <f t="shared" si="125"/>
        <v>0.14666666666666678</v>
      </c>
      <c r="T187" s="317">
        <f t="shared" si="126"/>
        <v>0.14333333333333345</v>
      </c>
      <c r="U187" s="317">
        <f t="shared" si="126"/>
        <v>0.14000000000000012</v>
      </c>
      <c r="V187" s="317">
        <f t="shared" si="126"/>
        <v>0.1366666666666668</v>
      </c>
      <c r="W187" s="317">
        <f t="shared" si="126"/>
        <v>0.13333333333333347</v>
      </c>
      <c r="X187" s="317">
        <f t="shared" si="126"/>
        <v>0.13000000000000014</v>
      </c>
      <c r="Y187" s="317">
        <f t="shared" si="126"/>
        <v>0.12666666666666682</v>
      </c>
      <c r="Z187" s="317">
        <f t="shared" si="126"/>
        <v>0.12333333333333349</v>
      </c>
      <c r="AA187" s="317">
        <f t="shared" si="126"/>
        <v>0.12000000000000016</v>
      </c>
      <c r="AB187" s="317">
        <f t="shared" si="126"/>
        <v>0.11666666666666684</v>
      </c>
      <c r="AC187" s="317">
        <f t="shared" si="126"/>
        <v>0.11333333333333351</v>
      </c>
      <c r="AD187" s="317">
        <f t="shared" si="126"/>
        <v>0.11000000000000018</v>
      </c>
      <c r="AE187" s="317">
        <f t="shared" si="126"/>
        <v>0.10666666666666685</v>
      </c>
      <c r="AF187" s="317">
        <f t="shared" si="126"/>
        <v>0.10333333333333353</v>
      </c>
      <c r="AG187" s="296">
        <v>0.1</v>
      </c>
      <c r="AI187" s="316"/>
      <c r="AJ187" s="211" t="s">
        <v>1363</v>
      </c>
    </row>
    <row r="188" spans="1:36" s="1" customFormat="1" outlineLevel="1" x14ac:dyDescent="0.2">
      <c r="A188" t="s">
        <v>1378</v>
      </c>
      <c r="B188" s="302" t="s">
        <v>462</v>
      </c>
      <c r="C188" s="296">
        <v>0.95</v>
      </c>
      <c r="D188" s="317">
        <f t="shared" si="125"/>
        <v>0.94866666666666666</v>
      </c>
      <c r="E188" s="317">
        <f t="shared" si="125"/>
        <v>0.94733333333333336</v>
      </c>
      <c r="F188" s="317">
        <f t="shared" si="125"/>
        <v>0.94600000000000006</v>
      </c>
      <c r="G188" s="317">
        <f t="shared" si="125"/>
        <v>0.94466666666666677</v>
      </c>
      <c r="H188" s="317">
        <f t="shared" si="125"/>
        <v>0.94333333333333347</v>
      </c>
      <c r="I188" s="317">
        <f t="shared" si="125"/>
        <v>0.94200000000000017</v>
      </c>
      <c r="J188" s="317">
        <f t="shared" si="125"/>
        <v>0.94066666666666687</v>
      </c>
      <c r="K188" s="317">
        <f t="shared" si="125"/>
        <v>0.93933333333333358</v>
      </c>
      <c r="L188" s="317">
        <f t="shared" si="125"/>
        <v>0.93800000000000028</v>
      </c>
      <c r="M188" s="317">
        <f t="shared" si="125"/>
        <v>0.93666666666666698</v>
      </c>
      <c r="N188" s="317">
        <f t="shared" si="125"/>
        <v>0.93533333333333368</v>
      </c>
      <c r="O188" s="317">
        <f t="shared" si="125"/>
        <v>0.93400000000000039</v>
      </c>
      <c r="P188" s="317">
        <f t="shared" si="125"/>
        <v>0.93266666666666709</v>
      </c>
      <c r="Q188" s="317">
        <f t="shared" si="125"/>
        <v>0.93133333333333379</v>
      </c>
      <c r="R188" s="317">
        <f t="shared" si="125"/>
        <v>0.93000000000000049</v>
      </c>
      <c r="S188" s="317">
        <f t="shared" si="125"/>
        <v>0.9286666666666672</v>
      </c>
      <c r="T188" s="317">
        <f t="shared" si="126"/>
        <v>0.9273333333333339</v>
      </c>
      <c r="U188" s="317">
        <f t="shared" si="126"/>
        <v>0.9260000000000006</v>
      </c>
      <c r="V188" s="317">
        <f t="shared" si="126"/>
        <v>0.9246666666666673</v>
      </c>
      <c r="W188" s="317">
        <f t="shared" si="126"/>
        <v>0.92333333333333401</v>
      </c>
      <c r="X188" s="317">
        <f t="shared" si="126"/>
        <v>0.92200000000000071</v>
      </c>
      <c r="Y188" s="317">
        <f t="shared" si="126"/>
        <v>0.92066666666666741</v>
      </c>
      <c r="Z188" s="317">
        <f t="shared" si="126"/>
        <v>0.91933333333333411</v>
      </c>
      <c r="AA188" s="317">
        <f t="shared" si="126"/>
        <v>0.91800000000000082</v>
      </c>
      <c r="AB188" s="317">
        <f t="shared" si="126"/>
        <v>0.91666666666666752</v>
      </c>
      <c r="AC188" s="317">
        <f t="shared" si="126"/>
        <v>0.91533333333333422</v>
      </c>
      <c r="AD188" s="317">
        <f t="shared" si="126"/>
        <v>0.91400000000000092</v>
      </c>
      <c r="AE188" s="317">
        <f t="shared" si="126"/>
        <v>0.91266666666666763</v>
      </c>
      <c r="AF188" s="317">
        <f t="shared" si="126"/>
        <v>0.91133333333333433</v>
      </c>
      <c r="AG188" s="296">
        <v>0.91</v>
      </c>
      <c r="AI188" s="316"/>
      <c r="AJ188" s="211" t="s">
        <v>1363</v>
      </c>
    </row>
    <row r="189" spans="1:36" s="1" customFormat="1" outlineLevel="1" x14ac:dyDescent="0.2">
      <c r="A189" t="s">
        <v>1379</v>
      </c>
      <c r="B189" s="302" t="s">
        <v>462</v>
      </c>
      <c r="C189" s="296">
        <v>0.05</v>
      </c>
      <c r="D189" s="317">
        <f t="shared" si="125"/>
        <v>5.1333333333333335E-2</v>
      </c>
      <c r="E189" s="317">
        <f t="shared" si="125"/>
        <v>5.2666666666666667E-2</v>
      </c>
      <c r="F189" s="317">
        <f t="shared" si="125"/>
        <v>5.3999999999999999E-2</v>
      </c>
      <c r="G189" s="317">
        <f t="shared" si="125"/>
        <v>5.5333333333333332E-2</v>
      </c>
      <c r="H189" s="317">
        <f t="shared" si="125"/>
        <v>5.6666666666666664E-2</v>
      </c>
      <c r="I189" s="317">
        <f t="shared" si="125"/>
        <v>5.7999999999999996E-2</v>
      </c>
      <c r="J189" s="317">
        <f t="shared" si="125"/>
        <v>5.9333333333333328E-2</v>
      </c>
      <c r="K189" s="317">
        <f t="shared" si="125"/>
        <v>6.066666666666666E-2</v>
      </c>
      <c r="L189" s="317">
        <f t="shared" si="125"/>
        <v>6.1999999999999993E-2</v>
      </c>
      <c r="M189" s="317">
        <f t="shared" si="125"/>
        <v>6.3333333333333325E-2</v>
      </c>
      <c r="N189" s="317">
        <f t="shared" si="125"/>
        <v>6.4666666666666664E-2</v>
      </c>
      <c r="O189" s="317">
        <f t="shared" si="125"/>
        <v>6.6000000000000003E-2</v>
      </c>
      <c r="P189" s="317">
        <f t="shared" si="125"/>
        <v>6.7333333333333342E-2</v>
      </c>
      <c r="Q189" s="317">
        <f t="shared" si="125"/>
        <v>6.8666666666666681E-2</v>
      </c>
      <c r="R189" s="317">
        <f t="shared" si="125"/>
        <v>7.0000000000000021E-2</v>
      </c>
      <c r="S189" s="317">
        <f t="shared" si="125"/>
        <v>7.133333333333336E-2</v>
      </c>
      <c r="T189" s="317">
        <f t="shared" si="126"/>
        <v>7.2666666666666699E-2</v>
      </c>
      <c r="U189" s="317">
        <f t="shared" si="126"/>
        <v>7.4000000000000038E-2</v>
      </c>
      <c r="V189" s="317">
        <f t="shared" si="126"/>
        <v>7.5333333333333377E-2</v>
      </c>
      <c r="W189" s="317">
        <f t="shared" si="126"/>
        <v>7.6666666666666716E-2</v>
      </c>
      <c r="X189" s="317">
        <f t="shared" si="126"/>
        <v>7.8000000000000055E-2</v>
      </c>
      <c r="Y189" s="317">
        <f t="shared" si="126"/>
        <v>7.9333333333333395E-2</v>
      </c>
      <c r="Z189" s="317">
        <f t="shared" si="126"/>
        <v>8.0666666666666734E-2</v>
      </c>
      <c r="AA189" s="317">
        <f t="shared" si="126"/>
        <v>8.2000000000000073E-2</v>
      </c>
      <c r="AB189" s="317">
        <f t="shared" si="126"/>
        <v>8.3333333333333412E-2</v>
      </c>
      <c r="AC189" s="317">
        <f t="shared" si="126"/>
        <v>8.4666666666666751E-2</v>
      </c>
      <c r="AD189" s="317">
        <f t="shared" si="126"/>
        <v>8.600000000000009E-2</v>
      </c>
      <c r="AE189" s="317">
        <f t="shared" si="126"/>
        <v>8.7333333333333429E-2</v>
      </c>
      <c r="AF189" s="317">
        <f t="shared" si="126"/>
        <v>8.8666666666666769E-2</v>
      </c>
      <c r="AG189" s="296">
        <v>0.09</v>
      </c>
      <c r="AI189" s="316"/>
      <c r="AJ189" s="211" t="s">
        <v>1363</v>
      </c>
    </row>
    <row r="190" spans="1:36" s="1" customFormat="1" outlineLevel="1" x14ac:dyDescent="0.2">
      <c r="A190" t="s">
        <v>1380</v>
      </c>
      <c r="B190" s="302"/>
      <c r="C190" s="296">
        <v>0.27</v>
      </c>
      <c r="D190" s="317">
        <f t="shared" si="125"/>
        <v>0.26600000000000001</v>
      </c>
      <c r="E190" s="317">
        <f t="shared" si="125"/>
        <v>0.26200000000000001</v>
      </c>
      <c r="F190" s="317">
        <f t="shared" si="125"/>
        <v>0.25800000000000001</v>
      </c>
      <c r="G190" s="317">
        <f t="shared" si="125"/>
        <v>0.254</v>
      </c>
      <c r="H190" s="317">
        <f t="shared" si="125"/>
        <v>0.25</v>
      </c>
      <c r="I190" s="317">
        <f t="shared" si="125"/>
        <v>0.246</v>
      </c>
      <c r="J190" s="317">
        <f t="shared" si="125"/>
        <v>0.24199999999999999</v>
      </c>
      <c r="K190" s="317">
        <f t="shared" si="125"/>
        <v>0.23799999999999999</v>
      </c>
      <c r="L190" s="317">
        <f t="shared" si="125"/>
        <v>0.23399999999999999</v>
      </c>
      <c r="M190" s="317">
        <f t="shared" si="125"/>
        <v>0.22999999999999998</v>
      </c>
      <c r="N190" s="317">
        <f t="shared" si="125"/>
        <v>0.22599999999999998</v>
      </c>
      <c r="O190" s="317">
        <f t="shared" si="125"/>
        <v>0.22199999999999998</v>
      </c>
      <c r="P190" s="317">
        <f t="shared" si="125"/>
        <v>0.21799999999999997</v>
      </c>
      <c r="Q190" s="317">
        <f t="shared" si="125"/>
        <v>0.21399999999999997</v>
      </c>
      <c r="R190" s="317">
        <f t="shared" si="125"/>
        <v>0.20999999999999996</v>
      </c>
      <c r="S190" s="317">
        <f t="shared" si="125"/>
        <v>0.20599999999999996</v>
      </c>
      <c r="T190" s="317">
        <f t="shared" si="126"/>
        <v>0.20199999999999996</v>
      </c>
      <c r="U190" s="317">
        <f t="shared" si="126"/>
        <v>0.19799999999999995</v>
      </c>
      <c r="V190" s="317">
        <f t="shared" si="126"/>
        <v>0.19399999999999995</v>
      </c>
      <c r="W190" s="317">
        <f t="shared" si="126"/>
        <v>0.18999999999999995</v>
      </c>
      <c r="X190" s="317">
        <f t="shared" si="126"/>
        <v>0.18599999999999994</v>
      </c>
      <c r="Y190" s="317">
        <f t="shared" si="126"/>
        <v>0.18199999999999994</v>
      </c>
      <c r="Z190" s="317">
        <f t="shared" si="126"/>
        <v>0.17799999999999994</v>
      </c>
      <c r="AA190" s="317">
        <f t="shared" si="126"/>
        <v>0.17399999999999993</v>
      </c>
      <c r="AB190" s="317">
        <f t="shared" si="126"/>
        <v>0.16999999999999993</v>
      </c>
      <c r="AC190" s="317">
        <f t="shared" si="126"/>
        <v>0.16599999999999993</v>
      </c>
      <c r="AD190" s="317">
        <f t="shared" si="126"/>
        <v>0.16199999999999992</v>
      </c>
      <c r="AE190" s="317">
        <f t="shared" si="126"/>
        <v>0.15799999999999992</v>
      </c>
      <c r="AF190" s="317">
        <f t="shared" si="126"/>
        <v>0.15399999999999991</v>
      </c>
      <c r="AG190" s="296">
        <v>0.15</v>
      </c>
      <c r="AI190" s="316"/>
      <c r="AJ190" s="211"/>
    </row>
    <row r="191" spans="1:36" s="67" customFormat="1" outlineLevel="1" x14ac:dyDescent="0.2">
      <c r="A191" s="345" t="s">
        <v>1381</v>
      </c>
      <c r="B191" s="308" t="s">
        <v>462</v>
      </c>
      <c r="C191" s="337">
        <v>0.16</v>
      </c>
      <c r="D191" s="338">
        <f t="shared" si="125"/>
        <v>0.16533333333333333</v>
      </c>
      <c r="E191" s="338">
        <f t="shared" si="125"/>
        <v>0.17066666666666666</v>
      </c>
      <c r="F191" s="338">
        <f t="shared" si="125"/>
        <v>0.17599999999999999</v>
      </c>
      <c r="G191" s="338">
        <f t="shared" si="125"/>
        <v>0.18133333333333332</v>
      </c>
      <c r="H191" s="338">
        <f t="shared" si="125"/>
        <v>0.18666666666666665</v>
      </c>
      <c r="I191" s="338">
        <f t="shared" si="125"/>
        <v>0.19199999999999998</v>
      </c>
      <c r="J191" s="338">
        <f t="shared" si="125"/>
        <v>0.19733333333333331</v>
      </c>
      <c r="K191" s="338">
        <f t="shared" si="125"/>
        <v>0.20266666666666663</v>
      </c>
      <c r="L191" s="338">
        <f t="shared" si="125"/>
        <v>0.20799999999999996</v>
      </c>
      <c r="M191" s="338">
        <f t="shared" si="125"/>
        <v>0.21333333333333329</v>
      </c>
      <c r="N191" s="338">
        <f t="shared" si="125"/>
        <v>0.21866666666666662</v>
      </c>
      <c r="O191" s="338">
        <f t="shared" si="125"/>
        <v>0.22399999999999995</v>
      </c>
      <c r="P191" s="338">
        <f t="shared" si="125"/>
        <v>0.22933333333333328</v>
      </c>
      <c r="Q191" s="338">
        <f t="shared" si="125"/>
        <v>0.23466666666666661</v>
      </c>
      <c r="R191" s="338">
        <f t="shared" si="125"/>
        <v>0.23999999999999994</v>
      </c>
      <c r="S191" s="338">
        <f t="shared" si="125"/>
        <v>0.24533333333333326</v>
      </c>
      <c r="T191" s="338">
        <f t="shared" si="126"/>
        <v>0.25066666666666659</v>
      </c>
      <c r="U191" s="338">
        <f t="shared" si="126"/>
        <v>0.25599999999999995</v>
      </c>
      <c r="V191" s="338">
        <f t="shared" si="126"/>
        <v>0.26133333333333331</v>
      </c>
      <c r="W191" s="338">
        <f t="shared" si="126"/>
        <v>0.26666666666666666</v>
      </c>
      <c r="X191" s="338">
        <f t="shared" si="126"/>
        <v>0.27200000000000002</v>
      </c>
      <c r="Y191" s="338">
        <f t="shared" si="126"/>
        <v>0.27733333333333338</v>
      </c>
      <c r="Z191" s="338">
        <f t="shared" si="126"/>
        <v>0.28266666666666673</v>
      </c>
      <c r="AA191" s="338">
        <f t="shared" si="126"/>
        <v>0.28800000000000009</v>
      </c>
      <c r="AB191" s="338">
        <f t="shared" si="126"/>
        <v>0.29333333333333345</v>
      </c>
      <c r="AC191" s="338">
        <f t="shared" si="126"/>
        <v>0.2986666666666668</v>
      </c>
      <c r="AD191" s="338">
        <f t="shared" si="126"/>
        <v>0.30400000000000016</v>
      </c>
      <c r="AE191" s="338">
        <f t="shared" si="126"/>
        <v>0.30933333333333352</v>
      </c>
      <c r="AF191" s="338">
        <f t="shared" si="126"/>
        <v>0.31466666666666687</v>
      </c>
      <c r="AG191" s="337">
        <v>0.32</v>
      </c>
      <c r="AI191" s="337"/>
      <c r="AJ191" s="339" t="s">
        <v>1363</v>
      </c>
    </row>
    <row r="192" spans="1:36" outlineLevel="1" x14ac:dyDescent="0.2">
      <c r="A192" s="346" t="s">
        <v>1382</v>
      </c>
      <c r="B192" s="302" t="s">
        <v>462</v>
      </c>
      <c r="C192" s="296">
        <v>0.37</v>
      </c>
      <c r="D192" s="317">
        <f t="shared" si="125"/>
        <v>0.37166666666666665</v>
      </c>
      <c r="E192" s="317">
        <f t="shared" si="125"/>
        <v>0.37333333333333329</v>
      </c>
      <c r="F192" s="317">
        <f t="shared" si="125"/>
        <v>0.37499999999999994</v>
      </c>
      <c r="G192" s="317">
        <f t="shared" si="125"/>
        <v>0.37666666666666659</v>
      </c>
      <c r="H192" s="317">
        <f t="shared" si="125"/>
        <v>0.37833333333333324</v>
      </c>
      <c r="I192" s="317">
        <f t="shared" si="125"/>
        <v>0.37999999999999989</v>
      </c>
      <c r="J192" s="317">
        <f t="shared" si="125"/>
        <v>0.38166666666666654</v>
      </c>
      <c r="K192" s="317">
        <f t="shared" si="125"/>
        <v>0.38333333333333319</v>
      </c>
      <c r="L192" s="317">
        <f t="shared" si="125"/>
        <v>0.38499999999999984</v>
      </c>
      <c r="M192" s="317">
        <f t="shared" si="125"/>
        <v>0.38666666666666649</v>
      </c>
      <c r="N192" s="317">
        <f t="shared" si="125"/>
        <v>0.38833333333333314</v>
      </c>
      <c r="O192" s="317">
        <f t="shared" si="125"/>
        <v>0.38999999999999979</v>
      </c>
      <c r="P192" s="317">
        <f t="shared" si="125"/>
        <v>0.39166666666666644</v>
      </c>
      <c r="Q192" s="317">
        <f t="shared" si="125"/>
        <v>0.39333333333333309</v>
      </c>
      <c r="R192" s="317">
        <f t="shared" si="125"/>
        <v>0.39499999999999974</v>
      </c>
      <c r="S192" s="317">
        <f t="shared" si="125"/>
        <v>0.39666666666666639</v>
      </c>
      <c r="T192" s="317">
        <f t="shared" si="126"/>
        <v>0.39833333333333304</v>
      </c>
      <c r="U192" s="317">
        <f t="shared" si="126"/>
        <v>0.39999999999999969</v>
      </c>
      <c r="V192" s="317">
        <f t="shared" si="126"/>
        <v>0.40166666666666634</v>
      </c>
      <c r="W192" s="317">
        <f t="shared" si="126"/>
        <v>0.40333333333333299</v>
      </c>
      <c r="X192" s="317">
        <f t="shared" si="126"/>
        <v>0.40499999999999964</v>
      </c>
      <c r="Y192" s="317">
        <f t="shared" si="126"/>
        <v>0.40666666666666629</v>
      </c>
      <c r="Z192" s="317">
        <f t="shared" si="126"/>
        <v>0.40833333333333294</v>
      </c>
      <c r="AA192" s="317">
        <f t="shared" si="126"/>
        <v>0.40999999999999959</v>
      </c>
      <c r="AB192" s="317">
        <f t="shared" si="126"/>
        <v>0.41166666666666624</v>
      </c>
      <c r="AC192" s="317">
        <f t="shared" si="126"/>
        <v>0.41333333333333289</v>
      </c>
      <c r="AD192" s="317">
        <f t="shared" si="126"/>
        <v>0.41499999999999954</v>
      </c>
      <c r="AE192" s="317">
        <f t="shared" si="126"/>
        <v>0.41666666666666619</v>
      </c>
      <c r="AF192" s="317">
        <f t="shared" si="126"/>
        <v>0.41833333333333284</v>
      </c>
      <c r="AG192" s="296">
        <v>0.42</v>
      </c>
      <c r="AI192" s="296"/>
      <c r="AJ192" s="211" t="s">
        <v>1363</v>
      </c>
    </row>
    <row r="193" spans="1:36" outlineLevel="1" x14ac:dyDescent="0.2">
      <c r="A193" s="346" t="s">
        <v>1383</v>
      </c>
      <c r="B193" s="302" t="s">
        <v>462</v>
      </c>
      <c r="C193" s="296">
        <v>0.08</v>
      </c>
      <c r="D193" s="317">
        <f t="shared" si="125"/>
        <v>7.7666666666666662E-2</v>
      </c>
      <c r="E193" s="317">
        <f t="shared" si="125"/>
        <v>7.5333333333333322E-2</v>
      </c>
      <c r="F193" s="317">
        <f t="shared" si="125"/>
        <v>7.2999999999999982E-2</v>
      </c>
      <c r="G193" s="317">
        <f t="shared" si="125"/>
        <v>7.0666666666666642E-2</v>
      </c>
      <c r="H193" s="317">
        <f t="shared" si="125"/>
        <v>6.8333333333333302E-2</v>
      </c>
      <c r="I193" s="317">
        <f t="shared" si="125"/>
        <v>6.5999999999999961E-2</v>
      </c>
      <c r="J193" s="317">
        <f t="shared" si="125"/>
        <v>6.3666666666666621E-2</v>
      </c>
      <c r="K193" s="317">
        <f t="shared" si="125"/>
        <v>6.1333333333333288E-2</v>
      </c>
      <c r="L193" s="317">
        <f t="shared" si="125"/>
        <v>5.8999999999999955E-2</v>
      </c>
      <c r="M193" s="317">
        <f t="shared" si="125"/>
        <v>5.6666666666666622E-2</v>
      </c>
      <c r="N193" s="317">
        <f t="shared" si="125"/>
        <v>5.4333333333333289E-2</v>
      </c>
      <c r="O193" s="317">
        <f t="shared" si="125"/>
        <v>5.1999999999999956E-2</v>
      </c>
      <c r="P193" s="317">
        <f t="shared" si="125"/>
        <v>4.9666666666666623E-2</v>
      </c>
      <c r="Q193" s="317">
        <f t="shared" si="125"/>
        <v>4.733333333333329E-2</v>
      </c>
      <c r="R193" s="317">
        <f t="shared" si="125"/>
        <v>4.4999999999999957E-2</v>
      </c>
      <c r="S193" s="317">
        <f t="shared" si="125"/>
        <v>4.2666666666666624E-2</v>
      </c>
      <c r="T193" s="317">
        <f t="shared" si="126"/>
        <v>4.0333333333333291E-2</v>
      </c>
      <c r="U193" s="317">
        <f t="shared" si="126"/>
        <v>3.7999999999999957E-2</v>
      </c>
      <c r="V193" s="317">
        <f t="shared" si="126"/>
        <v>3.5666666666666624E-2</v>
      </c>
      <c r="W193" s="317">
        <f t="shared" si="126"/>
        <v>3.3333333333333291E-2</v>
      </c>
      <c r="X193" s="317">
        <f t="shared" si="126"/>
        <v>3.0999999999999958E-2</v>
      </c>
      <c r="Y193" s="317">
        <f t="shared" si="126"/>
        <v>2.8666666666666625E-2</v>
      </c>
      <c r="Z193" s="317">
        <f t="shared" si="126"/>
        <v>2.6333333333333292E-2</v>
      </c>
      <c r="AA193" s="317">
        <f t="shared" si="126"/>
        <v>2.3999999999999959E-2</v>
      </c>
      <c r="AB193" s="317">
        <f t="shared" si="126"/>
        <v>2.1666666666666626E-2</v>
      </c>
      <c r="AC193" s="317">
        <f t="shared" si="126"/>
        <v>1.9333333333333293E-2</v>
      </c>
      <c r="AD193" s="317">
        <f t="shared" si="126"/>
        <v>1.699999999999996E-2</v>
      </c>
      <c r="AE193" s="317">
        <f t="shared" si="126"/>
        <v>1.4666666666666626E-2</v>
      </c>
      <c r="AF193" s="317">
        <f t="shared" si="126"/>
        <v>1.2333333333333293E-2</v>
      </c>
      <c r="AG193" s="296">
        <v>0.01</v>
      </c>
      <c r="AI193" s="296"/>
      <c r="AJ193" s="211" t="s">
        <v>1363</v>
      </c>
    </row>
    <row r="194" spans="1:36" outlineLevel="1" x14ac:dyDescent="0.2">
      <c r="A194" s="346" t="s">
        <v>1384</v>
      </c>
      <c r="B194" s="302" t="s">
        <v>462</v>
      </c>
      <c r="C194" s="296">
        <v>0.27</v>
      </c>
      <c r="D194" s="317">
        <f t="shared" si="125"/>
        <v>0.26633333333333337</v>
      </c>
      <c r="E194" s="317">
        <f t="shared" si="125"/>
        <v>0.26266666666666671</v>
      </c>
      <c r="F194" s="317">
        <f t="shared" si="125"/>
        <v>0.25900000000000006</v>
      </c>
      <c r="G194" s="317">
        <f t="shared" si="125"/>
        <v>0.25533333333333341</v>
      </c>
      <c r="H194" s="317">
        <f t="shared" si="125"/>
        <v>0.25166666666666676</v>
      </c>
      <c r="I194" s="317">
        <f t="shared" si="125"/>
        <v>0.24800000000000008</v>
      </c>
      <c r="J194" s="317">
        <f t="shared" si="125"/>
        <v>0.2443333333333334</v>
      </c>
      <c r="K194" s="317">
        <f t="shared" si="125"/>
        <v>0.24066666666666672</v>
      </c>
      <c r="L194" s="317">
        <f t="shared" si="125"/>
        <v>0.23700000000000004</v>
      </c>
      <c r="M194" s="317">
        <f t="shared" si="125"/>
        <v>0.23333333333333336</v>
      </c>
      <c r="N194" s="317">
        <f t="shared" si="125"/>
        <v>0.22966666666666669</v>
      </c>
      <c r="O194" s="317">
        <f t="shared" si="125"/>
        <v>0.22600000000000001</v>
      </c>
      <c r="P194" s="317">
        <f t="shared" si="125"/>
        <v>0.22233333333333333</v>
      </c>
      <c r="Q194" s="317">
        <f t="shared" si="125"/>
        <v>0.21866666666666665</v>
      </c>
      <c r="R194" s="317">
        <f t="shared" si="125"/>
        <v>0.21499999999999997</v>
      </c>
      <c r="S194" s="317">
        <f t="shared" si="125"/>
        <v>0.21133333333333329</v>
      </c>
      <c r="T194" s="317">
        <f t="shared" si="126"/>
        <v>0.20766666666666661</v>
      </c>
      <c r="U194" s="317">
        <f t="shared" si="126"/>
        <v>0.20399999999999993</v>
      </c>
      <c r="V194" s="317">
        <f t="shared" si="126"/>
        <v>0.20033333333333325</v>
      </c>
      <c r="W194" s="317">
        <f t="shared" si="126"/>
        <v>0.19666666666666657</v>
      </c>
      <c r="X194" s="317">
        <f t="shared" si="126"/>
        <v>0.19299999999999989</v>
      </c>
      <c r="Y194" s="317">
        <f t="shared" si="126"/>
        <v>0.18933333333333321</v>
      </c>
      <c r="Z194" s="317">
        <f t="shared" si="126"/>
        <v>0.18566666666666654</v>
      </c>
      <c r="AA194" s="317">
        <f t="shared" si="126"/>
        <v>0.18199999999999986</v>
      </c>
      <c r="AB194" s="317">
        <f t="shared" si="126"/>
        <v>0.17833333333333318</v>
      </c>
      <c r="AC194" s="317">
        <f t="shared" si="126"/>
        <v>0.1746666666666665</v>
      </c>
      <c r="AD194" s="317">
        <f t="shared" si="126"/>
        <v>0.17099999999999982</v>
      </c>
      <c r="AE194" s="317">
        <f t="shared" si="126"/>
        <v>0.16733333333333314</v>
      </c>
      <c r="AF194" s="317">
        <f t="shared" si="126"/>
        <v>0.16366666666666646</v>
      </c>
      <c r="AG194" s="296">
        <v>0.16</v>
      </c>
      <c r="AI194" s="296"/>
      <c r="AJ194" s="211" t="s">
        <v>1363</v>
      </c>
    </row>
    <row r="195" spans="1:36" outlineLevel="1" x14ac:dyDescent="0.2">
      <c r="A195" s="346" t="s">
        <v>1385</v>
      </c>
      <c r="B195" s="302" t="s">
        <v>462</v>
      </c>
      <c r="C195" s="296">
        <v>7.0000000000000007E-2</v>
      </c>
      <c r="D195" s="317">
        <f t="shared" si="125"/>
        <v>6.9666666666666668E-2</v>
      </c>
      <c r="E195" s="317">
        <f t="shared" si="125"/>
        <v>6.933333333333333E-2</v>
      </c>
      <c r="F195" s="317">
        <f t="shared" si="125"/>
        <v>6.8999999999999992E-2</v>
      </c>
      <c r="G195" s="317">
        <f t="shared" si="125"/>
        <v>6.8666666666666654E-2</v>
      </c>
      <c r="H195" s="317">
        <f t="shared" si="125"/>
        <v>6.8333333333333315E-2</v>
      </c>
      <c r="I195" s="317">
        <f t="shared" si="125"/>
        <v>6.7999999999999977E-2</v>
      </c>
      <c r="J195" s="317">
        <f t="shared" si="125"/>
        <v>6.7666666666666639E-2</v>
      </c>
      <c r="K195" s="317">
        <f t="shared" si="125"/>
        <v>6.7333333333333301E-2</v>
      </c>
      <c r="L195" s="317">
        <f t="shared" si="125"/>
        <v>6.6999999999999962E-2</v>
      </c>
      <c r="M195" s="317">
        <f t="shared" si="125"/>
        <v>6.6666666666666624E-2</v>
      </c>
      <c r="N195" s="317">
        <f t="shared" si="125"/>
        <v>6.6333333333333286E-2</v>
      </c>
      <c r="O195" s="317">
        <f t="shared" si="125"/>
        <v>6.5999999999999948E-2</v>
      </c>
      <c r="P195" s="317">
        <f t="shared" si="125"/>
        <v>6.5666666666666609E-2</v>
      </c>
      <c r="Q195" s="317">
        <f t="shared" si="125"/>
        <v>6.5333333333333271E-2</v>
      </c>
      <c r="R195" s="317">
        <f t="shared" si="125"/>
        <v>6.4999999999999933E-2</v>
      </c>
      <c r="S195" s="317">
        <f t="shared" ref="S195:AF195" si="127">-($C195-$AG195)/30+R195</f>
        <v>6.4666666666666595E-2</v>
      </c>
      <c r="T195" s="317">
        <f t="shared" si="127"/>
        <v>6.4333333333333256E-2</v>
      </c>
      <c r="U195" s="317">
        <f t="shared" si="127"/>
        <v>6.3999999999999918E-2</v>
      </c>
      <c r="V195" s="317">
        <f t="shared" si="127"/>
        <v>6.366666666666658E-2</v>
      </c>
      <c r="W195" s="317">
        <f t="shared" si="127"/>
        <v>6.3333333333333242E-2</v>
      </c>
      <c r="X195" s="317">
        <f t="shared" si="127"/>
        <v>6.2999999999999903E-2</v>
      </c>
      <c r="Y195" s="317">
        <f t="shared" si="127"/>
        <v>6.2666666666666565E-2</v>
      </c>
      <c r="Z195" s="317">
        <f t="shared" si="127"/>
        <v>6.2333333333333234E-2</v>
      </c>
      <c r="AA195" s="317">
        <f t="shared" si="127"/>
        <v>6.1999999999999902E-2</v>
      </c>
      <c r="AB195" s="317">
        <f t="shared" si="127"/>
        <v>6.1666666666666571E-2</v>
      </c>
      <c r="AC195" s="317">
        <f t="shared" si="127"/>
        <v>6.133333333333324E-2</v>
      </c>
      <c r="AD195" s="317">
        <f t="shared" si="127"/>
        <v>6.0999999999999908E-2</v>
      </c>
      <c r="AE195" s="317">
        <f t="shared" si="127"/>
        <v>6.0666666666666577E-2</v>
      </c>
      <c r="AF195" s="317">
        <f t="shared" si="127"/>
        <v>6.0333333333333246E-2</v>
      </c>
      <c r="AG195" s="296">
        <v>0.06</v>
      </c>
      <c r="AI195" s="296"/>
      <c r="AJ195" s="211" t="s">
        <v>1363</v>
      </c>
    </row>
    <row r="196" spans="1:36" s="68" customFormat="1" outlineLevel="1" x14ac:dyDescent="0.2">
      <c r="A196" s="347" t="s">
        <v>1386</v>
      </c>
      <c r="B196" s="312" t="s">
        <v>462</v>
      </c>
      <c r="C196" s="314">
        <v>0.05</v>
      </c>
      <c r="D196" s="340">
        <f t="shared" ref="D196:AF196" si="128">-($C196-$AG196)/30+C196</f>
        <v>4.9333333333333333E-2</v>
      </c>
      <c r="E196" s="340">
        <f t="shared" si="128"/>
        <v>4.8666666666666664E-2</v>
      </c>
      <c r="F196" s="340">
        <f t="shared" si="128"/>
        <v>4.7999999999999994E-2</v>
      </c>
      <c r="G196" s="340">
        <f t="shared" si="128"/>
        <v>4.7333333333333324E-2</v>
      </c>
      <c r="H196" s="340">
        <f t="shared" si="128"/>
        <v>4.6666666666666655E-2</v>
      </c>
      <c r="I196" s="340">
        <f t="shared" si="128"/>
        <v>4.5999999999999985E-2</v>
      </c>
      <c r="J196" s="340">
        <f t="shared" si="128"/>
        <v>4.5333333333333316E-2</v>
      </c>
      <c r="K196" s="340">
        <f t="shared" si="128"/>
        <v>4.4666666666666646E-2</v>
      </c>
      <c r="L196" s="340">
        <f t="shared" si="128"/>
        <v>4.3999999999999977E-2</v>
      </c>
      <c r="M196" s="340">
        <f t="shared" si="128"/>
        <v>4.3333333333333307E-2</v>
      </c>
      <c r="N196" s="340">
        <f t="shared" si="128"/>
        <v>4.2666666666666637E-2</v>
      </c>
      <c r="O196" s="340">
        <f t="shared" si="128"/>
        <v>4.1999999999999968E-2</v>
      </c>
      <c r="P196" s="340">
        <f t="shared" si="128"/>
        <v>4.1333333333333298E-2</v>
      </c>
      <c r="Q196" s="340">
        <f t="shared" si="128"/>
        <v>4.0666666666666629E-2</v>
      </c>
      <c r="R196" s="340">
        <f t="shared" si="128"/>
        <v>3.9999999999999959E-2</v>
      </c>
      <c r="S196" s="340">
        <f t="shared" si="128"/>
        <v>3.933333333333329E-2</v>
      </c>
      <c r="T196" s="340">
        <f t="shared" si="128"/>
        <v>3.866666666666662E-2</v>
      </c>
      <c r="U196" s="340">
        <f t="shared" si="128"/>
        <v>3.799999999999995E-2</v>
      </c>
      <c r="V196" s="340">
        <f t="shared" si="128"/>
        <v>3.7333333333333281E-2</v>
      </c>
      <c r="W196" s="340">
        <f t="shared" si="128"/>
        <v>3.6666666666666611E-2</v>
      </c>
      <c r="X196" s="340">
        <f t="shared" si="128"/>
        <v>3.5999999999999942E-2</v>
      </c>
      <c r="Y196" s="340">
        <f t="shared" si="128"/>
        <v>3.5333333333333272E-2</v>
      </c>
      <c r="Z196" s="340">
        <f t="shared" si="128"/>
        <v>3.4666666666666603E-2</v>
      </c>
      <c r="AA196" s="340">
        <f t="shared" si="128"/>
        <v>3.3999999999999933E-2</v>
      </c>
      <c r="AB196" s="340">
        <f t="shared" si="128"/>
        <v>3.3333333333333263E-2</v>
      </c>
      <c r="AC196" s="340">
        <f t="shared" si="128"/>
        <v>3.2666666666666594E-2</v>
      </c>
      <c r="AD196" s="340">
        <f t="shared" si="128"/>
        <v>3.1999999999999924E-2</v>
      </c>
      <c r="AE196" s="340">
        <f t="shared" si="128"/>
        <v>3.1333333333333255E-2</v>
      </c>
      <c r="AF196" s="340">
        <f t="shared" si="128"/>
        <v>3.0666666666666589E-2</v>
      </c>
      <c r="AG196" s="314">
        <v>0.03</v>
      </c>
      <c r="AI196" s="314"/>
      <c r="AJ196" s="341" t="s">
        <v>1363</v>
      </c>
    </row>
    <row r="197" spans="1:36" s="58" customFormat="1" outlineLevel="1" x14ac:dyDescent="0.2">
      <c r="A197" s="58" t="s">
        <v>1361</v>
      </c>
      <c r="B197" s="303"/>
      <c r="C197" s="304">
        <f t="shared" ref="C197:AG197" si="129">C32</f>
        <v>6.2639109729489517</v>
      </c>
      <c r="D197" s="304">
        <f t="shared" si="129"/>
        <v>6.4738866622599067</v>
      </c>
      <c r="E197" s="304">
        <f t="shared" si="129"/>
        <v>6.673410569593794</v>
      </c>
      <c r="F197" s="304">
        <f t="shared" si="129"/>
        <v>6.8611132359640763</v>
      </c>
      <c r="G197" s="304">
        <f t="shared" si="129"/>
        <v>7.0356800041223151</v>
      </c>
      <c r="H197" s="304">
        <f t="shared" si="129"/>
        <v>7.1958663561693115</v>
      </c>
      <c r="I197" s="304">
        <f t="shared" si="129"/>
        <v>7.3563495357628295</v>
      </c>
      <c r="J197" s="304">
        <f t="shared" si="129"/>
        <v>7.5169842402565479</v>
      </c>
      <c r="K197" s="304">
        <f t="shared" si="129"/>
        <v>7.677621478059983</v>
      </c>
      <c r="L197" s="304">
        <f t="shared" si="129"/>
        <v>7.8381087623980026</v>
      </c>
      <c r="M197" s="304">
        <f t="shared" si="129"/>
        <v>7.9982903181655836</v>
      </c>
      <c r="N197" s="304">
        <f t="shared" si="129"/>
        <v>8.1463349010298778</v>
      </c>
      <c r="O197" s="304">
        <f t="shared" si="129"/>
        <v>8.2814214291186534</v>
      </c>
      <c r="P197" s="304">
        <f t="shared" si="129"/>
        <v>8.4027868149704492</v>
      </c>
      <c r="Q197" s="304">
        <f t="shared" si="129"/>
        <v>8.5097330578321113</v>
      </c>
      <c r="R197" s="304">
        <f t="shared" si="129"/>
        <v>8.6016338560379779</v>
      </c>
      <c r="S197" s="304">
        <f t="shared" si="129"/>
        <v>8.69357543687868</v>
      </c>
      <c r="T197" s="304">
        <f t="shared" si="129"/>
        <v>8.7855373159977717</v>
      </c>
      <c r="U197" s="304">
        <f t="shared" si="129"/>
        <v>8.8774987631141578</v>
      </c>
      <c r="V197" s="304">
        <f t="shared" si="129"/>
        <v>8.9694388085621313</v>
      </c>
      <c r="W197" s="304">
        <f t="shared" si="129"/>
        <v>9.0613362500486261</v>
      </c>
      <c r="X197" s="304">
        <f t="shared" si="129"/>
        <v>9.1532704764052113</v>
      </c>
      <c r="Y197" s="304">
        <f t="shared" si="129"/>
        <v>9.2452230303784617</v>
      </c>
      <c r="Z197" s="304">
        <f t="shared" si="129"/>
        <v>9.3371752461289983</v>
      </c>
      <c r="AA197" s="304">
        <f t="shared" si="129"/>
        <v>9.4291082545648273</v>
      </c>
      <c r="AB197" s="304">
        <f t="shared" si="129"/>
        <v>9.5210029888406886</v>
      </c>
      <c r="AC197" s="304">
        <f t="shared" si="129"/>
        <v>9.6129310720912393</v>
      </c>
      <c r="AD197" s="304">
        <f t="shared" si="129"/>
        <v>9.7048757856861769</v>
      </c>
      <c r="AE197" s="304">
        <f t="shared" si="129"/>
        <v>9.7968202325130598</v>
      </c>
      <c r="AF197" s="304">
        <f t="shared" si="129"/>
        <v>9.8887473413700739</v>
      </c>
      <c r="AG197" s="304">
        <f t="shared" si="129"/>
        <v>9.9806398714874938</v>
      </c>
      <c r="AI197" s="305"/>
      <c r="AJ197" s="306"/>
    </row>
    <row r="198" spans="1:36" s="58" customFormat="1" outlineLevel="1" x14ac:dyDescent="0.2">
      <c r="A198" s="307" t="s">
        <v>3</v>
      </c>
      <c r="B198" s="308" t="s">
        <v>704</v>
      </c>
      <c r="C198" s="309">
        <v>0</v>
      </c>
      <c r="D198" s="309">
        <v>0</v>
      </c>
      <c r="E198" s="309">
        <v>0</v>
      </c>
      <c r="F198" s="309">
        <v>0</v>
      </c>
      <c r="G198" s="309">
        <v>0</v>
      </c>
      <c r="H198" s="309">
        <v>0</v>
      </c>
      <c r="I198" s="309">
        <v>0</v>
      </c>
      <c r="J198" s="309">
        <v>0</v>
      </c>
      <c r="K198" s="309">
        <v>0</v>
      </c>
      <c r="L198" s="309">
        <v>0</v>
      </c>
      <c r="M198" s="309">
        <v>0</v>
      </c>
      <c r="N198" s="309">
        <v>0</v>
      </c>
      <c r="O198" s="309">
        <v>0</v>
      </c>
      <c r="P198" s="309">
        <v>0</v>
      </c>
      <c r="Q198" s="309">
        <v>0</v>
      </c>
      <c r="R198" s="309">
        <v>0</v>
      </c>
      <c r="S198" s="309">
        <v>0</v>
      </c>
      <c r="T198" s="309">
        <v>0</v>
      </c>
      <c r="U198" s="309">
        <v>0</v>
      </c>
      <c r="V198" s="309">
        <v>0</v>
      </c>
      <c r="W198" s="309">
        <v>0</v>
      </c>
      <c r="X198" s="309">
        <v>0</v>
      </c>
      <c r="Y198" s="309">
        <v>0</v>
      </c>
      <c r="Z198" s="309">
        <v>0</v>
      </c>
      <c r="AA198" s="309">
        <v>0</v>
      </c>
      <c r="AB198" s="309">
        <v>0</v>
      </c>
      <c r="AC198" s="309">
        <v>0</v>
      </c>
      <c r="AD198" s="309">
        <v>0</v>
      </c>
      <c r="AE198" s="309">
        <v>0</v>
      </c>
      <c r="AF198" s="309">
        <v>0</v>
      </c>
      <c r="AG198" s="309">
        <v>0</v>
      </c>
      <c r="AI198" s="305"/>
      <c r="AJ198" s="306"/>
    </row>
    <row r="199" spans="1:36" outlineLevel="1" x14ac:dyDescent="0.2">
      <c r="A199" s="310" t="s">
        <v>51</v>
      </c>
      <c r="B199" s="302" t="s">
        <v>704</v>
      </c>
      <c r="C199" s="249">
        <f t="shared" ref="C199:AG199" si="130">C166</f>
        <v>0.29411849599012857</v>
      </c>
      <c r="D199" s="249">
        <f t="shared" si="130"/>
        <v>0.29903027487316369</v>
      </c>
      <c r="E199" s="249">
        <f t="shared" si="130"/>
        <v>0.30402408046354551</v>
      </c>
      <c r="F199" s="249">
        <f t="shared" si="130"/>
        <v>0.3091012826072867</v>
      </c>
      <c r="G199" s="249">
        <f t="shared" si="130"/>
        <v>0.31426327402682835</v>
      </c>
      <c r="H199" s="249">
        <f t="shared" si="130"/>
        <v>0.31951147070307639</v>
      </c>
      <c r="I199" s="249">
        <f t="shared" si="130"/>
        <v>0.32484731226381774</v>
      </c>
      <c r="J199" s="249">
        <f t="shared" si="130"/>
        <v>0.3302722623786235</v>
      </c>
      <c r="K199" s="249">
        <f t="shared" si="130"/>
        <v>0.33578780916034651</v>
      </c>
      <c r="L199" s="249">
        <f t="shared" si="130"/>
        <v>0.34139546557332429</v>
      </c>
      <c r="M199" s="249">
        <f t="shared" si="130"/>
        <v>0.34709676984839877</v>
      </c>
      <c r="N199" s="249">
        <f t="shared" si="130"/>
        <v>0.35289328590486702</v>
      </c>
      <c r="O199" s="249">
        <f t="shared" si="130"/>
        <v>0.3587866037794783</v>
      </c>
      <c r="P199" s="249">
        <f t="shared" si="130"/>
        <v>0.36477834006259557</v>
      </c>
      <c r="Q199" s="249">
        <f t="shared" si="130"/>
        <v>0.3708701383416409</v>
      </c>
      <c r="R199" s="249">
        <f t="shared" si="130"/>
        <v>0.37706366965194626</v>
      </c>
      <c r="S199" s="249">
        <f t="shared" si="130"/>
        <v>0.38336063293513373</v>
      </c>
      <c r="T199" s="249">
        <f t="shared" si="130"/>
        <v>0.38976275550515044</v>
      </c>
      <c r="U199" s="249">
        <f t="shared" si="130"/>
        <v>0.39627179352208641</v>
      </c>
      <c r="V199" s="249">
        <f t="shared" si="130"/>
        <v>0.40288953247390524</v>
      </c>
      <c r="W199" s="249">
        <f t="shared" si="130"/>
        <v>0.40961778766621942</v>
      </c>
      <c r="X199" s="249">
        <f t="shared" si="130"/>
        <v>0.41645840472024526</v>
      </c>
      <c r="Y199" s="249">
        <f t="shared" si="130"/>
        <v>0.42341326007907332</v>
      </c>
      <c r="Z199" s="249">
        <f t="shared" si="130"/>
        <v>0.43048426152239383</v>
      </c>
      <c r="AA199" s="249">
        <f t="shared" si="130"/>
        <v>0.43767334868981778</v>
      </c>
      <c r="AB199" s="249">
        <f t="shared" si="130"/>
        <v>0.44498249361293768</v>
      </c>
      <c r="AC199" s="249">
        <f t="shared" si="130"/>
        <v>0.45241370125627373</v>
      </c>
      <c r="AD199" s="249">
        <f t="shared" si="130"/>
        <v>0.45996901006725349</v>
      </c>
      <c r="AE199" s="249">
        <f t="shared" si="130"/>
        <v>0.46765049253537661</v>
      </c>
      <c r="AF199" s="249">
        <f t="shared" si="130"/>
        <v>0.47546025576071738</v>
      </c>
      <c r="AG199" s="249">
        <f t="shared" si="130"/>
        <v>0.48340044203192134</v>
      </c>
      <c r="AI199" s="296"/>
    </row>
    <row r="200" spans="1:36" s="68" customFormat="1" outlineLevel="1" x14ac:dyDescent="0.2">
      <c r="A200" s="311" t="s">
        <v>1387</v>
      </c>
      <c r="B200" s="312" t="s">
        <v>704</v>
      </c>
      <c r="C200" s="313">
        <f>C197-C198-C199</f>
        <v>5.9697924769588235</v>
      </c>
      <c r="D200" s="313">
        <f t="shared" ref="D200:AG200" si="131">D197-D198-D199</f>
        <v>6.1748563873867433</v>
      </c>
      <c r="E200" s="313">
        <f t="shared" si="131"/>
        <v>6.3693864891302487</v>
      </c>
      <c r="F200" s="313">
        <f t="shared" si="131"/>
        <v>6.5520119533567893</v>
      </c>
      <c r="G200" s="313">
        <f t="shared" si="131"/>
        <v>6.7214167300954868</v>
      </c>
      <c r="H200" s="313">
        <f t="shared" si="131"/>
        <v>6.8763548854662346</v>
      </c>
      <c r="I200" s="313">
        <f t="shared" si="131"/>
        <v>7.0315022234990119</v>
      </c>
      <c r="J200" s="313">
        <f t="shared" si="131"/>
        <v>7.1867119778779243</v>
      </c>
      <c r="K200" s="313">
        <f t="shared" si="131"/>
        <v>7.3418336688996364</v>
      </c>
      <c r="L200" s="313">
        <f t="shared" si="131"/>
        <v>7.4967132968246784</v>
      </c>
      <c r="M200" s="313">
        <f t="shared" si="131"/>
        <v>7.6511935483171847</v>
      </c>
      <c r="N200" s="313">
        <f t="shared" si="131"/>
        <v>7.793441615125011</v>
      </c>
      <c r="O200" s="313">
        <f t="shared" si="131"/>
        <v>7.9226348253391752</v>
      </c>
      <c r="P200" s="313">
        <f t="shared" si="131"/>
        <v>8.0380084749078531</v>
      </c>
      <c r="Q200" s="313">
        <f t="shared" si="131"/>
        <v>8.1388629194904709</v>
      </c>
      <c r="R200" s="313">
        <f t="shared" si="131"/>
        <v>8.2245701863860319</v>
      </c>
      <c r="S200" s="313">
        <f t="shared" si="131"/>
        <v>8.3102148039435466</v>
      </c>
      <c r="T200" s="313">
        <f t="shared" si="131"/>
        <v>8.3957745604926206</v>
      </c>
      <c r="U200" s="313">
        <f t="shared" si="131"/>
        <v>8.4812269695920719</v>
      </c>
      <c r="V200" s="313">
        <f t="shared" si="131"/>
        <v>8.5665492760882263</v>
      </c>
      <c r="W200" s="313">
        <f t="shared" si="131"/>
        <v>8.6517184623824068</v>
      </c>
      <c r="X200" s="313">
        <f t="shared" si="131"/>
        <v>8.736812071684966</v>
      </c>
      <c r="Y200" s="313">
        <f t="shared" si="131"/>
        <v>8.8218097702993887</v>
      </c>
      <c r="Z200" s="313">
        <f t="shared" si="131"/>
        <v>8.9066909846066054</v>
      </c>
      <c r="AA200" s="313">
        <f t="shared" si="131"/>
        <v>8.9914349058750087</v>
      </c>
      <c r="AB200" s="313">
        <f t="shared" si="131"/>
        <v>9.0760204952277501</v>
      </c>
      <c r="AC200" s="313">
        <f t="shared" si="131"/>
        <v>9.160517370834965</v>
      </c>
      <c r="AD200" s="313">
        <f t="shared" si="131"/>
        <v>9.244906775618924</v>
      </c>
      <c r="AE200" s="313">
        <f t="shared" si="131"/>
        <v>9.329169739977683</v>
      </c>
      <c r="AF200" s="313">
        <f t="shared" si="131"/>
        <v>9.4132870856093565</v>
      </c>
      <c r="AG200" s="313">
        <f t="shared" si="131"/>
        <v>9.497239429455572</v>
      </c>
      <c r="AI200" s="314"/>
      <c r="AJ200" s="315"/>
    </row>
    <row r="201" spans="1:36" outlineLevel="1" x14ac:dyDescent="0.2">
      <c r="A201" s="112" t="s">
        <v>90</v>
      </c>
      <c r="B201" s="302" t="s">
        <v>704</v>
      </c>
      <c r="C201" s="230">
        <f>C170*C$200</f>
        <v>0.95516679631341184</v>
      </c>
      <c r="D201" s="230">
        <f t="shared" ref="D201:AG201" si="132">D170*D$200</f>
        <v>1.0007383918491448</v>
      </c>
      <c r="E201" s="230">
        <f t="shared" si="132"/>
        <v>1.0454286357492448</v>
      </c>
      <c r="F201" s="230">
        <f t="shared" si="132"/>
        <v>1.0889443866478983</v>
      </c>
      <c r="G201" s="230">
        <f t="shared" si="132"/>
        <v>1.1309903884507337</v>
      </c>
      <c r="H201" s="230">
        <f t="shared" si="132"/>
        <v>1.1712724488244151</v>
      </c>
      <c r="I201" s="230">
        <f t="shared" si="132"/>
        <v>1.2122309833312295</v>
      </c>
      <c r="J201" s="230">
        <f t="shared" si="132"/>
        <v>1.2538416830737682</v>
      </c>
      <c r="K201" s="230">
        <f t="shared" si="132"/>
        <v>1.2960783703497489</v>
      </c>
      <c r="L201" s="230">
        <f t="shared" si="132"/>
        <v>1.3389129948128873</v>
      </c>
      <c r="M201" s="230">
        <f t="shared" si="132"/>
        <v>1.382315634395971</v>
      </c>
      <c r="N201" s="230">
        <f t="shared" si="132"/>
        <v>1.4241215644705099</v>
      </c>
      <c r="O201" s="230">
        <f t="shared" si="132"/>
        <v>1.464102915722679</v>
      </c>
      <c r="P201" s="230">
        <f t="shared" si="132"/>
        <v>1.5020358503444469</v>
      </c>
      <c r="Q201" s="230">
        <f t="shared" si="132"/>
        <v>1.537702500922399</v>
      </c>
      <c r="R201" s="230">
        <f t="shared" si="132"/>
        <v>1.5708929055997314</v>
      </c>
      <c r="S201" s="230">
        <f t="shared" si="132"/>
        <v>1.6044254714813666</v>
      </c>
      <c r="T201" s="230">
        <f t="shared" si="132"/>
        <v>1.6382954759041259</v>
      </c>
      <c r="U201" s="230">
        <f t="shared" si="132"/>
        <v>1.6724979584035558</v>
      </c>
      <c r="V201" s="230">
        <f t="shared" si="132"/>
        <v>1.7070277190818464</v>
      </c>
      <c r="W201" s="230">
        <f t="shared" si="132"/>
        <v>1.7418793170929903</v>
      </c>
      <c r="X201" s="230">
        <f t="shared" si="132"/>
        <v>1.777067575380721</v>
      </c>
      <c r="Y201" s="230">
        <f t="shared" si="132"/>
        <v>1.8125878474708468</v>
      </c>
      <c r="Z201" s="230">
        <f t="shared" si="132"/>
        <v>1.8484352690053565</v>
      </c>
      <c r="AA201" s="230">
        <f t="shared" si="132"/>
        <v>1.8846047562714006</v>
      </c>
      <c r="AB201" s="230">
        <f t="shared" si="132"/>
        <v>1.9210910048232059</v>
      </c>
      <c r="AC201" s="230">
        <f t="shared" si="132"/>
        <v>1.9579079127264585</v>
      </c>
      <c r="AD201" s="230">
        <f t="shared" si="132"/>
        <v>1.9950508821785624</v>
      </c>
      <c r="AE201" s="230">
        <f t="shared" si="132"/>
        <v>2.0325151140164697</v>
      </c>
      <c r="AF201" s="230">
        <f t="shared" si="132"/>
        <v>2.0702956063616829</v>
      </c>
      <c r="AG201" s="230">
        <f t="shared" si="132"/>
        <v>2.108387153339137</v>
      </c>
      <c r="AI201" s="214"/>
    </row>
    <row r="202" spans="1:36" outlineLevel="1" x14ac:dyDescent="0.2">
      <c r="A202" s="112" t="s">
        <v>33</v>
      </c>
      <c r="B202" s="302" t="s">
        <v>704</v>
      </c>
      <c r="C202" s="230">
        <f t="shared" ref="C202:AG206" si="133">C171*C$200</f>
        <v>2.2088232164747645</v>
      </c>
      <c r="D202" s="230">
        <f t="shared" si="133"/>
        <v>2.2396204117051721</v>
      </c>
      <c r="E202" s="230">
        <f t="shared" si="133"/>
        <v>2.2636799582368905</v>
      </c>
      <c r="F202" s="230">
        <f t="shared" si="133"/>
        <v>2.2807553609634987</v>
      </c>
      <c r="G202" s="230">
        <f t="shared" si="133"/>
        <v>2.2906588216165424</v>
      </c>
      <c r="H202" s="230">
        <f t="shared" si="133"/>
        <v>2.2932643543029902</v>
      </c>
      <c r="I202" s="230">
        <f t="shared" si="133"/>
        <v>2.2936760253053787</v>
      </c>
      <c r="J202" s="230">
        <f t="shared" si="133"/>
        <v>2.2918424497452712</v>
      </c>
      <c r="K202" s="230">
        <f t="shared" si="133"/>
        <v>2.2877153712291283</v>
      </c>
      <c r="L202" s="230">
        <f t="shared" si="133"/>
        <v>2.2812498562237513</v>
      </c>
      <c r="M202" s="230">
        <f t="shared" si="133"/>
        <v>2.272404483850206</v>
      </c>
      <c r="N202" s="230">
        <f t="shared" si="133"/>
        <v>2.2577600359017178</v>
      </c>
      <c r="O202" s="230">
        <f t="shared" si="133"/>
        <v>2.2373520746757856</v>
      </c>
      <c r="P202" s="230">
        <f t="shared" si="133"/>
        <v>2.2112561314471533</v>
      </c>
      <c r="Q202" s="230">
        <f t="shared" si="133"/>
        <v>2.1795874898395513</v>
      </c>
      <c r="R202" s="230">
        <f t="shared" si="133"/>
        <v>2.1425005335535645</v>
      </c>
      <c r="S202" s="230">
        <f t="shared" si="133"/>
        <v>2.1041463883585094</v>
      </c>
      <c r="T202" s="230">
        <f t="shared" si="133"/>
        <v>2.0645209644251388</v>
      </c>
      <c r="U202" s="230">
        <f t="shared" si="133"/>
        <v>2.0236207549446719</v>
      </c>
      <c r="V202" s="230">
        <f t="shared" si="133"/>
        <v>1.9814428475592103</v>
      </c>
      <c r="W202" s="230">
        <f t="shared" si="133"/>
        <v>1.9379849355736627</v>
      </c>
      <c r="X202" s="230">
        <f t="shared" si="133"/>
        <v>1.8932671759341357</v>
      </c>
      <c r="Y202" s="230">
        <f t="shared" si="133"/>
        <v>1.8472869659006956</v>
      </c>
      <c r="Z202" s="230">
        <f t="shared" si="133"/>
        <v>1.8000422479889986</v>
      </c>
      <c r="AA202" s="230">
        <f t="shared" si="133"/>
        <v>1.7515315196644554</v>
      </c>
      <c r="AB202" s="230">
        <f t="shared" si="133"/>
        <v>1.701753842855207</v>
      </c>
      <c r="AC202" s="230">
        <f t="shared" si="133"/>
        <v>1.6507252302244646</v>
      </c>
      <c r="AD202" s="230">
        <f t="shared" si="133"/>
        <v>1.5984443815045157</v>
      </c>
      <c r="AE202" s="230">
        <f t="shared" si="133"/>
        <v>1.5449105089403081</v>
      </c>
      <c r="AF202" s="230">
        <f t="shared" si="133"/>
        <v>1.4901233456519649</v>
      </c>
      <c r="AG202" s="230">
        <f t="shared" si="133"/>
        <v>1.4340831538477914</v>
      </c>
      <c r="AI202" s="214"/>
    </row>
    <row r="203" spans="1:36" outlineLevel="1" x14ac:dyDescent="0.2">
      <c r="A203" s="112" t="s">
        <v>451</v>
      </c>
      <c r="B203" s="302" t="s">
        <v>704</v>
      </c>
      <c r="C203" s="230">
        <f t="shared" si="133"/>
        <v>0.47758339815670592</v>
      </c>
      <c r="D203" s="230">
        <f t="shared" si="133"/>
        <v>0.49460599662967814</v>
      </c>
      <c r="E203" s="230">
        <f t="shared" si="133"/>
        <v>0.51082479642824596</v>
      </c>
      <c r="F203" s="230">
        <f t="shared" si="133"/>
        <v>0.52612655985455026</v>
      </c>
      <c r="G203" s="230">
        <f t="shared" si="133"/>
        <v>0.54040190509967723</v>
      </c>
      <c r="H203" s="230">
        <f t="shared" si="133"/>
        <v>0.55354656828003201</v>
      </c>
      <c r="I203" s="230">
        <f t="shared" si="133"/>
        <v>0.56673907921402045</v>
      </c>
      <c r="J203" s="230">
        <f t="shared" si="133"/>
        <v>0.57996765661474869</v>
      </c>
      <c r="K203" s="230">
        <f t="shared" si="133"/>
        <v>0.59322016044709081</v>
      </c>
      <c r="L203" s="230">
        <f t="shared" si="133"/>
        <v>0.60648410571311673</v>
      </c>
      <c r="M203" s="230">
        <f t="shared" si="133"/>
        <v>0.61974667741369216</v>
      </c>
      <c r="N203" s="230">
        <f t="shared" si="133"/>
        <v>0.6320481149866386</v>
      </c>
      <c r="O203" s="230">
        <f t="shared" si="133"/>
        <v>0.64331794781754126</v>
      </c>
      <c r="P203" s="230">
        <f t="shared" si="133"/>
        <v>0.65349008901000882</v>
      </c>
      <c r="Q203" s="230">
        <f t="shared" si="133"/>
        <v>0.66250344164652464</v>
      </c>
      <c r="R203" s="230">
        <f t="shared" si="133"/>
        <v>0.67030247019046196</v>
      </c>
      <c r="S203" s="230">
        <f t="shared" si="133"/>
        <v>0.67811352800179381</v>
      </c>
      <c r="T203" s="230">
        <f t="shared" si="133"/>
        <v>0.68593478159224752</v>
      </c>
      <c r="U203" s="230">
        <f t="shared" si="133"/>
        <v>0.69376436611263192</v>
      </c>
      <c r="V203" s="230">
        <f t="shared" si="133"/>
        <v>0.7016003857116262</v>
      </c>
      <c r="W203" s="230">
        <f t="shared" si="133"/>
        <v>0.70944091391535791</v>
      </c>
      <c r="X203" s="230">
        <f t="shared" si="133"/>
        <v>0.71729227108533622</v>
      </c>
      <c r="Y203" s="230">
        <f t="shared" si="133"/>
        <v>0.72515276311861032</v>
      </c>
      <c r="Z203" s="230">
        <f t="shared" si="133"/>
        <v>0.73302066803312427</v>
      </c>
      <c r="AA203" s="230">
        <f t="shared" si="133"/>
        <v>0.74089423624410133</v>
      </c>
      <c r="AB203" s="230">
        <f t="shared" si="133"/>
        <v>0.74877169085629003</v>
      </c>
      <c r="AC203" s="230">
        <f t="shared" si="133"/>
        <v>0.75665873483096879</v>
      </c>
      <c r="AD203" s="230">
        <f t="shared" si="133"/>
        <v>0.76455379034368576</v>
      </c>
      <c r="AE203" s="230">
        <f t="shared" si="133"/>
        <v>0.77245525447015295</v>
      </c>
      <c r="AF203" s="230">
        <f t="shared" si="133"/>
        <v>0.78036149939701649</v>
      </c>
      <c r="AG203" s="230">
        <f t="shared" si="133"/>
        <v>0.78827087264481255</v>
      </c>
      <c r="AI203" s="214"/>
    </row>
    <row r="204" spans="1:36" outlineLevel="1" x14ac:dyDescent="0.2">
      <c r="A204" s="112" t="s">
        <v>452</v>
      </c>
      <c r="B204" s="302" t="s">
        <v>704</v>
      </c>
      <c r="C204" s="230">
        <f t="shared" si="133"/>
        <v>1.6118439687788824</v>
      </c>
      <c r="D204" s="230">
        <f t="shared" si="133"/>
        <v>1.6865591079415658</v>
      </c>
      <c r="E204" s="230">
        <f t="shared" si="133"/>
        <v>1.7596491740637166</v>
      </c>
      <c r="F204" s="230">
        <f t="shared" si="133"/>
        <v>1.8306321397678869</v>
      </c>
      <c r="G204" s="230">
        <f t="shared" si="133"/>
        <v>1.8990242734763114</v>
      </c>
      <c r="H204" s="230">
        <f t="shared" si="133"/>
        <v>1.9643453789481875</v>
      </c>
      <c r="I204" s="230">
        <f t="shared" si="133"/>
        <v>2.0306978421465143</v>
      </c>
      <c r="J204" s="230">
        <f t="shared" si="133"/>
        <v>2.0980407834084951</v>
      </c>
      <c r="K204" s="230">
        <f t="shared" si="133"/>
        <v>2.1663303879033187</v>
      </c>
      <c r="L204" s="230">
        <f t="shared" si="133"/>
        <v>2.2355199051131183</v>
      </c>
      <c r="M204" s="230">
        <f t="shared" si="133"/>
        <v>2.3055596558929108</v>
      </c>
      <c r="N204" s="230">
        <f t="shared" si="133"/>
        <v>2.372843190418394</v>
      </c>
      <c r="O204" s="230">
        <f t="shared" si="133"/>
        <v>2.4370024722743291</v>
      </c>
      <c r="P204" s="230">
        <f t="shared" si="133"/>
        <v>2.4976771667696993</v>
      </c>
      <c r="Q204" s="230">
        <f t="shared" si="133"/>
        <v>2.5545177749974077</v>
      </c>
      <c r="R204" s="230">
        <f t="shared" si="133"/>
        <v>2.6071887490843708</v>
      </c>
      <c r="S204" s="230">
        <f t="shared" si="133"/>
        <v>2.6603767659024591</v>
      </c>
      <c r="T204" s="230">
        <f t="shared" si="133"/>
        <v>2.7140740562552463</v>
      </c>
      <c r="U204" s="230">
        <f t="shared" si="133"/>
        <v>2.7682724828748504</v>
      </c>
      <c r="V204" s="230">
        <f t="shared" si="133"/>
        <v>2.8229635381136049</v>
      </c>
      <c r="W204" s="230">
        <f t="shared" si="133"/>
        <v>2.8781383418192119</v>
      </c>
      <c r="X204" s="230">
        <f t="shared" si="133"/>
        <v>2.9338214936718097</v>
      </c>
      <c r="Y204" s="230">
        <f t="shared" si="133"/>
        <v>2.9900053914801372</v>
      </c>
      <c r="Z204" s="230">
        <f t="shared" si="133"/>
        <v>3.0466820961344303</v>
      </c>
      <c r="AA204" s="230">
        <f t="shared" si="133"/>
        <v>3.1038433295080505</v>
      </c>
      <c r="AB204" s="230">
        <f t="shared" si="133"/>
        <v>3.1614804725043304</v>
      </c>
      <c r="AC204" s="230">
        <f t="shared" si="133"/>
        <v>3.2196165052694599</v>
      </c>
      <c r="AD204" s="230">
        <f t="shared" si="133"/>
        <v>3.2782439426344676</v>
      </c>
      <c r="AE204" s="230">
        <f t="shared" si="133"/>
        <v>3.3373549883146802</v>
      </c>
      <c r="AF204" s="230">
        <f t="shared" si="133"/>
        <v>3.3969415329602266</v>
      </c>
      <c r="AG204" s="230">
        <f t="shared" si="133"/>
        <v>3.4569951523218281</v>
      </c>
      <c r="AI204" s="214"/>
    </row>
    <row r="205" spans="1:36" outlineLevel="1" x14ac:dyDescent="0.2">
      <c r="A205" s="112" t="s">
        <v>1364</v>
      </c>
      <c r="B205" s="302" t="s">
        <v>704</v>
      </c>
      <c r="C205" s="230">
        <f t="shared" si="133"/>
        <v>0.41788547338711768</v>
      </c>
      <c r="D205" s="230">
        <f t="shared" si="133"/>
        <v>0.44006143187442859</v>
      </c>
      <c r="E205" s="230">
        <f t="shared" si="133"/>
        <v>0.46199283334491409</v>
      </c>
      <c r="F205" s="230">
        <f t="shared" si="133"/>
        <v>0.4835384821577311</v>
      </c>
      <c r="G205" s="230">
        <f t="shared" si="133"/>
        <v>0.50455434920583453</v>
      </c>
      <c r="H205" s="230">
        <f t="shared" si="133"/>
        <v>0.52489508959058928</v>
      </c>
      <c r="I205" s="230">
        <f t="shared" si="133"/>
        <v>0.54564457254352339</v>
      </c>
      <c r="J205" s="230">
        <f t="shared" si="133"/>
        <v>0.56679201798863899</v>
      </c>
      <c r="K205" s="230">
        <f t="shared" si="133"/>
        <v>0.58832560466782424</v>
      </c>
      <c r="L205" s="230">
        <f t="shared" si="133"/>
        <v>0.61023246236152884</v>
      </c>
      <c r="M205" s="230">
        <f t="shared" si="133"/>
        <v>0.63249866666088728</v>
      </c>
      <c r="N205" s="230">
        <f t="shared" si="133"/>
        <v>0.65412953289615927</v>
      </c>
      <c r="O205" s="230">
        <f t="shared" si="133"/>
        <v>0.67500848711889772</v>
      </c>
      <c r="P205" s="230">
        <f t="shared" si="133"/>
        <v>0.69501979946369896</v>
      </c>
      <c r="Q205" s="230">
        <f t="shared" si="133"/>
        <v>0.71404957346996401</v>
      </c>
      <c r="R205" s="230">
        <f t="shared" si="133"/>
        <v>0.73198674658835683</v>
      </c>
      <c r="S205" s="230">
        <f t="shared" si="133"/>
        <v>0.75013538963597082</v>
      </c>
      <c r="T205" s="230">
        <f t="shared" si="133"/>
        <v>0.76849323143709114</v>
      </c>
      <c r="U205" s="230">
        <f t="shared" si="133"/>
        <v>0.78705786277814427</v>
      </c>
      <c r="V205" s="230">
        <f t="shared" si="133"/>
        <v>0.80582673523736581</v>
      </c>
      <c r="W205" s="230">
        <f t="shared" si="133"/>
        <v>0.824797160080456</v>
      </c>
      <c r="X205" s="230">
        <f t="shared" si="133"/>
        <v>0.84397604612476762</v>
      </c>
      <c r="Y205" s="230">
        <f t="shared" si="133"/>
        <v>0.86336111618663347</v>
      </c>
      <c r="Z205" s="230">
        <f t="shared" si="133"/>
        <v>0.88294996627400135</v>
      </c>
      <c r="AA205" s="230">
        <f t="shared" si="133"/>
        <v>0.90274006454985078</v>
      </c>
      <c r="AB205" s="230">
        <f t="shared" si="133"/>
        <v>0.92272875034815449</v>
      </c>
      <c r="AC205" s="230">
        <f t="shared" si="133"/>
        <v>0.9429225880379456</v>
      </c>
      <c r="AD205" s="230">
        <f t="shared" si="133"/>
        <v>0.96331928601949179</v>
      </c>
      <c r="AE205" s="230">
        <f t="shared" si="133"/>
        <v>0.98391643524297945</v>
      </c>
      <c r="AF205" s="230">
        <f t="shared" si="133"/>
        <v>1.0047115082707052</v>
      </c>
      <c r="AG205" s="230">
        <f t="shared" si="133"/>
        <v>1.0257018583812019</v>
      </c>
      <c r="AI205" s="214"/>
    </row>
    <row r="206" spans="1:36" outlineLevel="1" x14ac:dyDescent="0.2">
      <c r="A206" s="112" t="s">
        <v>1365</v>
      </c>
      <c r="B206" s="302" t="s">
        <v>704</v>
      </c>
      <c r="C206" s="230">
        <f t="shared" si="133"/>
        <v>0.2984896238479412</v>
      </c>
      <c r="D206" s="230">
        <f t="shared" si="133"/>
        <v>0.31327104738675415</v>
      </c>
      <c r="E206" s="230">
        <f t="shared" si="133"/>
        <v>0.32781109130723685</v>
      </c>
      <c r="F206" s="230">
        <f t="shared" si="133"/>
        <v>0.34201502396522449</v>
      </c>
      <c r="G206" s="230">
        <f t="shared" si="133"/>
        <v>0.35578699224638788</v>
      </c>
      <c r="H206" s="230">
        <f t="shared" si="133"/>
        <v>0.36903104552002136</v>
      </c>
      <c r="I206" s="230">
        <f t="shared" si="133"/>
        <v>0.38251372095834635</v>
      </c>
      <c r="J206" s="230">
        <f t="shared" si="133"/>
        <v>0.39622738704700305</v>
      </c>
      <c r="K206" s="230">
        <f t="shared" si="133"/>
        <v>0.41016377430252654</v>
      </c>
      <c r="L206" s="230">
        <f t="shared" si="133"/>
        <v>0.42431397260027698</v>
      </c>
      <c r="M206" s="230">
        <f t="shared" si="133"/>
        <v>0.4386684301035188</v>
      </c>
      <c r="N206" s="230">
        <f t="shared" si="133"/>
        <v>0.45253917645159253</v>
      </c>
      <c r="O206" s="230">
        <f t="shared" si="133"/>
        <v>0.46585092772994374</v>
      </c>
      <c r="P206" s="230">
        <f t="shared" si="133"/>
        <v>0.4785294378728478</v>
      </c>
      <c r="Q206" s="230">
        <f t="shared" si="133"/>
        <v>0.49050213861462605</v>
      </c>
      <c r="R206" s="230">
        <f t="shared" si="133"/>
        <v>0.50169878136954826</v>
      </c>
      <c r="S206" s="230">
        <f t="shared" si="133"/>
        <v>0.51301726056344865</v>
      </c>
      <c r="T206" s="230">
        <f t="shared" si="133"/>
        <v>0.52445605087877278</v>
      </c>
      <c r="U206" s="230">
        <f t="shared" si="133"/>
        <v>0.53601354447821936</v>
      </c>
      <c r="V206" s="230">
        <f t="shared" si="133"/>
        <v>0.54768805038457435</v>
      </c>
      <c r="W206" s="230">
        <f t="shared" si="133"/>
        <v>0.55947779390072938</v>
      </c>
      <c r="X206" s="230">
        <f t="shared" si="133"/>
        <v>0.57138750948819728</v>
      </c>
      <c r="Y206" s="230">
        <f t="shared" si="133"/>
        <v>0.58341568614246675</v>
      </c>
      <c r="Z206" s="230">
        <f t="shared" si="133"/>
        <v>0.59556073717069558</v>
      </c>
      <c r="AA206" s="230">
        <f t="shared" si="133"/>
        <v>0.60782099963715119</v>
      </c>
      <c r="AB206" s="230">
        <f t="shared" si="133"/>
        <v>0.62019473384056356</v>
      </c>
      <c r="AC206" s="230">
        <f t="shared" si="133"/>
        <v>0.63268639974566887</v>
      </c>
      <c r="AD206" s="230">
        <f t="shared" si="133"/>
        <v>0.64529449293820151</v>
      </c>
      <c r="AE206" s="230">
        <f t="shared" si="133"/>
        <v>0.65801743899309328</v>
      </c>
      <c r="AF206" s="230">
        <f t="shared" si="133"/>
        <v>0.67085359296776081</v>
      </c>
      <c r="AG206" s="230">
        <f t="shared" si="133"/>
        <v>0.68380123892080114</v>
      </c>
      <c r="AI206" s="214"/>
    </row>
    <row r="207" spans="1:36" s="58" customFormat="1" x14ac:dyDescent="0.2">
      <c r="A207" s="58" t="s">
        <v>1366</v>
      </c>
      <c r="B207" s="303"/>
      <c r="C207" s="304">
        <f t="shared" ref="C207:AG207" si="134">C47</f>
        <v>6.2639109729489517</v>
      </c>
      <c r="D207" s="304">
        <f t="shared" si="134"/>
        <v>6.4716662006683112</v>
      </c>
      <c r="E207" s="304">
        <f t="shared" si="134"/>
        <v>6.668832778035866</v>
      </c>
      <c r="F207" s="304">
        <f t="shared" si="134"/>
        <v>6.8540534096753962</v>
      </c>
      <c r="G207" s="304">
        <f t="shared" si="134"/>
        <v>7.0260274055922922</v>
      </c>
      <c r="H207" s="304">
        <f t="shared" si="134"/>
        <v>7.1835258985001342</v>
      </c>
      <c r="I207" s="304">
        <f t="shared" si="134"/>
        <v>7.3273319207521066</v>
      </c>
      <c r="J207" s="304">
        <f t="shared" si="134"/>
        <v>7.4705728960847715</v>
      </c>
      <c r="K207" s="304">
        <f t="shared" si="134"/>
        <v>7.6131000714738066</v>
      </c>
      <c r="L207" s="304">
        <f t="shared" si="134"/>
        <v>7.7547625646607203</v>
      </c>
      <c r="M207" s="304">
        <f t="shared" si="134"/>
        <v>7.895407607311653</v>
      </c>
      <c r="N207" s="304">
        <f t="shared" si="134"/>
        <v>8.0213836790123239</v>
      </c>
      <c r="O207" s="304">
        <f t="shared" si="134"/>
        <v>8.1347114956143383</v>
      </c>
      <c r="P207" s="304">
        <f t="shared" si="134"/>
        <v>8.2223898249508647</v>
      </c>
      <c r="Q207" s="304">
        <f t="shared" si="134"/>
        <v>8.2951016816559893</v>
      </c>
      <c r="R207" s="304">
        <f t="shared" si="134"/>
        <v>8.3524012632181517</v>
      </c>
      <c r="S207" s="304">
        <f t="shared" si="134"/>
        <v>8.4099524804882062</v>
      </c>
      <c r="T207" s="304">
        <f t="shared" si="134"/>
        <v>8.4668521961202341</v>
      </c>
      <c r="U207" s="304">
        <f t="shared" si="134"/>
        <v>8.5230802852232923</v>
      </c>
      <c r="V207" s="304">
        <f t="shared" si="134"/>
        <v>8.578616696564989</v>
      </c>
      <c r="W207" s="304">
        <f t="shared" si="134"/>
        <v>8.6334414633776824</v>
      </c>
      <c r="X207" s="304">
        <f t="shared" si="134"/>
        <v>8.684678902983503</v>
      </c>
      <c r="Y207" s="304">
        <f t="shared" si="134"/>
        <v>8.7380742871417993</v>
      </c>
      <c r="Z207" s="304">
        <f t="shared" si="134"/>
        <v>8.7671212323780505</v>
      </c>
      <c r="AA207" s="304">
        <f t="shared" si="134"/>
        <v>8.7950106310953302</v>
      </c>
      <c r="AB207" s="304">
        <f t="shared" si="134"/>
        <v>8.8217251739037419</v>
      </c>
      <c r="AC207" s="304">
        <f t="shared" si="134"/>
        <v>8.8463913144319903</v>
      </c>
      <c r="AD207" s="304">
        <f t="shared" si="134"/>
        <v>8.8699153409785652</v>
      </c>
      <c r="AE207" s="304">
        <f t="shared" si="134"/>
        <v>8.8922816024908471</v>
      </c>
      <c r="AF207" s="304">
        <f t="shared" si="134"/>
        <v>8.9134747164431793</v>
      </c>
      <c r="AG207" s="304">
        <f t="shared" si="134"/>
        <v>8.9334795783631122</v>
      </c>
      <c r="AI207" s="305"/>
      <c r="AJ207" s="306"/>
    </row>
    <row r="208" spans="1:36" s="58" customFormat="1" x14ac:dyDescent="0.2">
      <c r="A208" s="307" t="s">
        <v>3</v>
      </c>
      <c r="B208" s="308" t="s">
        <v>704</v>
      </c>
      <c r="C208" s="309">
        <f>C207-C197</f>
        <v>0</v>
      </c>
      <c r="D208" s="309">
        <f t="shared" ref="D208:AG208" si="135">D207-D197</f>
        <v>-2.2204615915955017E-3</v>
      </c>
      <c r="E208" s="309">
        <f t="shared" si="135"/>
        <v>-4.5777915579279238E-3</v>
      </c>
      <c r="F208" s="309">
        <f t="shared" si="135"/>
        <v>-7.0598262886800711E-3</v>
      </c>
      <c r="G208" s="309">
        <f t="shared" si="135"/>
        <v>-9.6525985300228712E-3</v>
      </c>
      <c r="H208" s="309">
        <f t="shared" si="135"/>
        <v>-1.2340457669177241E-2</v>
      </c>
      <c r="I208" s="309">
        <f t="shared" si="135"/>
        <v>-2.9017615010722864E-2</v>
      </c>
      <c r="J208" s="309">
        <f t="shared" si="135"/>
        <v>-4.6411344171776392E-2</v>
      </c>
      <c r="K208" s="309">
        <f t="shared" si="135"/>
        <v>-6.4521406586176333E-2</v>
      </c>
      <c r="L208" s="309">
        <f t="shared" si="135"/>
        <v>-8.3346197737282246E-2</v>
      </c>
      <c r="M208" s="309">
        <f t="shared" si="135"/>
        <v>-0.10288271085393053</v>
      </c>
      <c r="N208" s="309">
        <f t="shared" si="135"/>
        <v>-0.12495122201755393</v>
      </c>
      <c r="O208" s="309">
        <f t="shared" si="135"/>
        <v>-0.14670993350431516</v>
      </c>
      <c r="P208" s="309">
        <f t="shared" si="135"/>
        <v>-0.18039699001958454</v>
      </c>
      <c r="Q208" s="309">
        <f t="shared" si="135"/>
        <v>-0.21463137617612205</v>
      </c>
      <c r="R208" s="309">
        <f t="shared" si="135"/>
        <v>-0.24923259281982624</v>
      </c>
      <c r="S208" s="309">
        <f t="shared" si="135"/>
        <v>-0.28362295639047375</v>
      </c>
      <c r="T208" s="309">
        <f t="shared" si="135"/>
        <v>-0.31868511987753756</v>
      </c>
      <c r="U208" s="309">
        <f t="shared" si="135"/>
        <v>-0.35441847789086545</v>
      </c>
      <c r="V208" s="309">
        <f t="shared" si="135"/>
        <v>-0.39082211199714223</v>
      </c>
      <c r="W208" s="309">
        <f t="shared" si="135"/>
        <v>-0.42789478667094372</v>
      </c>
      <c r="X208" s="309">
        <f t="shared" si="135"/>
        <v>-0.46859157342170832</v>
      </c>
      <c r="Y208" s="309">
        <f t="shared" si="135"/>
        <v>-0.50714874323666237</v>
      </c>
      <c r="Z208" s="309">
        <f t="shared" si="135"/>
        <v>-0.57005401375094777</v>
      </c>
      <c r="AA208" s="309">
        <f t="shared" si="135"/>
        <v>-0.63409762346949705</v>
      </c>
      <c r="AB208" s="309">
        <f t="shared" si="135"/>
        <v>-0.69927781493694674</v>
      </c>
      <c r="AC208" s="309">
        <f t="shared" si="135"/>
        <v>-0.76653975765924898</v>
      </c>
      <c r="AD208" s="309">
        <f t="shared" si="135"/>
        <v>-0.83496044470761177</v>
      </c>
      <c r="AE208" s="309">
        <f t="shared" si="135"/>
        <v>-0.90453863002221269</v>
      </c>
      <c r="AF208" s="309">
        <f t="shared" si="135"/>
        <v>-0.97527262492689459</v>
      </c>
      <c r="AG208" s="309">
        <f t="shared" si="135"/>
        <v>-1.0471602931243815</v>
      </c>
      <c r="AI208" s="305"/>
      <c r="AJ208" s="306"/>
    </row>
    <row r="209" spans="1:36" x14ac:dyDescent="0.2">
      <c r="A209" s="310" t="s">
        <v>51</v>
      </c>
      <c r="B209" s="302" t="s">
        <v>704</v>
      </c>
      <c r="C209" s="249">
        <f>C165</f>
        <v>0.29411849599012857</v>
      </c>
      <c r="D209" s="249">
        <f t="shared" ref="D209:AG209" si="136">D165</f>
        <v>0.34519391601580796</v>
      </c>
      <c r="E209" s="249">
        <f t="shared" si="136"/>
        <v>0.39831912413837989</v>
      </c>
      <c r="F209" s="249">
        <f t="shared" si="136"/>
        <v>0.45320403767359185</v>
      </c>
      <c r="G209" s="249">
        <f t="shared" si="136"/>
        <v>0.50952766795758908</v>
      </c>
      <c r="H209" s="249">
        <f t="shared" si="136"/>
        <v>0.56694107323375775</v>
      </c>
      <c r="I209" s="249">
        <f t="shared" si="136"/>
        <v>0.62641941356681119</v>
      </c>
      <c r="J209" s="249">
        <f t="shared" si="136"/>
        <v>0.68795506012102126</v>
      </c>
      <c r="K209" s="249">
        <f t="shared" si="136"/>
        <v>0.75153632267378723</v>
      </c>
      <c r="L209" s="249">
        <f t="shared" si="136"/>
        <v>0.81714735238699321</v>
      </c>
      <c r="M209" s="249">
        <f t="shared" si="136"/>
        <v>0.88476805342840015</v>
      </c>
      <c r="N209" s="249">
        <f t="shared" si="136"/>
        <v>0.95300849459260484</v>
      </c>
      <c r="O209" s="249">
        <f t="shared" si="136"/>
        <v>1.0215355823934487</v>
      </c>
      <c r="P209" s="249">
        <f t="shared" si="136"/>
        <v>1.0870910706218975</v>
      </c>
      <c r="Q209" s="249">
        <f t="shared" si="136"/>
        <v>1.1518678604188317</v>
      </c>
      <c r="R209" s="249">
        <f t="shared" si="136"/>
        <v>1.2155076545204895</v>
      </c>
      <c r="S209" s="249">
        <f t="shared" si="136"/>
        <v>1.2799536061543284</v>
      </c>
      <c r="T209" s="249">
        <f t="shared" si="136"/>
        <v>1.3451939781282043</v>
      </c>
      <c r="U209" s="249">
        <f t="shared" si="136"/>
        <v>1.4112165064713547</v>
      </c>
      <c r="V209" s="249">
        <f t="shared" si="136"/>
        <v>1.4780084012843697</v>
      </c>
      <c r="W209" s="249">
        <f t="shared" si="136"/>
        <v>1.5455563479778549</v>
      </c>
      <c r="X209" s="249">
        <f t="shared" si="136"/>
        <v>1.6138642844735123</v>
      </c>
      <c r="Y209" s="249">
        <f t="shared" si="136"/>
        <v>1.6829201613436884</v>
      </c>
      <c r="Z209" s="249">
        <f t="shared" si="136"/>
        <v>1.7430837174639018</v>
      </c>
      <c r="AA209" s="249">
        <f t="shared" si="136"/>
        <v>1.8031425867109074</v>
      </c>
      <c r="AB209" s="249">
        <f t="shared" si="136"/>
        <v>1.8630648039684281</v>
      </c>
      <c r="AC209" s="249">
        <f t="shared" si="136"/>
        <v>1.9228362246638644</v>
      </c>
      <c r="AD209" s="249">
        <f t="shared" si="136"/>
        <v>1.9824258980383651</v>
      </c>
      <c r="AE209" s="249">
        <f t="shared" si="136"/>
        <v>2.0418025387332266</v>
      </c>
      <c r="AF209" s="249">
        <f t="shared" si="136"/>
        <v>2.1009345410721041</v>
      </c>
      <c r="AG209" s="249">
        <f t="shared" si="136"/>
        <v>2.1597899937464682</v>
      </c>
      <c r="AI209" s="296"/>
    </row>
    <row r="210" spans="1:36" s="68" customFormat="1" x14ac:dyDescent="0.2">
      <c r="A210" s="311" t="s">
        <v>1387</v>
      </c>
      <c r="B210" s="312" t="s">
        <v>704</v>
      </c>
      <c r="C210" s="313">
        <f>C207-C209</f>
        <v>5.9697924769588235</v>
      </c>
      <c r="D210" s="313">
        <f t="shared" ref="D210:AG210" si="137">D207-D209</f>
        <v>6.126472284652503</v>
      </c>
      <c r="E210" s="313">
        <f t="shared" si="137"/>
        <v>6.2705136538974866</v>
      </c>
      <c r="F210" s="313">
        <f t="shared" si="137"/>
        <v>6.4008493720018045</v>
      </c>
      <c r="G210" s="313">
        <f t="shared" si="137"/>
        <v>6.5164997376347031</v>
      </c>
      <c r="H210" s="313">
        <f t="shared" si="137"/>
        <v>6.6165848252663766</v>
      </c>
      <c r="I210" s="313">
        <f t="shared" si="137"/>
        <v>6.7009125071852953</v>
      </c>
      <c r="J210" s="313">
        <f t="shared" si="137"/>
        <v>6.7826178359637499</v>
      </c>
      <c r="K210" s="313">
        <f t="shared" si="137"/>
        <v>6.8615637488000196</v>
      </c>
      <c r="L210" s="313">
        <f t="shared" si="137"/>
        <v>6.9376152122737267</v>
      </c>
      <c r="M210" s="313">
        <f t="shared" si="137"/>
        <v>7.0106395538832533</v>
      </c>
      <c r="N210" s="313">
        <f t="shared" si="137"/>
        <v>7.0683751844197191</v>
      </c>
      <c r="O210" s="313">
        <f t="shared" si="137"/>
        <v>7.1131759132208892</v>
      </c>
      <c r="P210" s="313">
        <f t="shared" si="137"/>
        <v>7.135298754328967</v>
      </c>
      <c r="Q210" s="313">
        <f t="shared" si="137"/>
        <v>7.1432338212371578</v>
      </c>
      <c r="R210" s="313">
        <f t="shared" si="137"/>
        <v>7.1368936086976618</v>
      </c>
      <c r="S210" s="313">
        <f t="shared" si="137"/>
        <v>7.1299988743338778</v>
      </c>
      <c r="T210" s="313">
        <f t="shared" si="137"/>
        <v>7.1216582179920298</v>
      </c>
      <c r="U210" s="313">
        <f t="shared" si="137"/>
        <v>7.1118637787519372</v>
      </c>
      <c r="V210" s="313">
        <f t="shared" si="137"/>
        <v>7.1006082952806189</v>
      </c>
      <c r="W210" s="313">
        <f t="shared" si="137"/>
        <v>7.0878851153998275</v>
      </c>
      <c r="X210" s="313">
        <f t="shared" si="137"/>
        <v>7.0708146185099903</v>
      </c>
      <c r="Y210" s="313">
        <f t="shared" si="137"/>
        <v>7.0551541257981114</v>
      </c>
      <c r="Z210" s="313">
        <f t="shared" si="137"/>
        <v>7.0240375149141485</v>
      </c>
      <c r="AA210" s="313">
        <f t="shared" si="137"/>
        <v>6.9918680443844226</v>
      </c>
      <c r="AB210" s="313">
        <f t="shared" si="137"/>
        <v>6.9586603699353136</v>
      </c>
      <c r="AC210" s="313">
        <f t="shared" si="137"/>
        <v>6.9235550897681257</v>
      </c>
      <c r="AD210" s="313">
        <f t="shared" si="137"/>
        <v>6.8874894429402005</v>
      </c>
      <c r="AE210" s="313">
        <f t="shared" si="137"/>
        <v>6.8504790637576205</v>
      </c>
      <c r="AF210" s="313">
        <f t="shared" si="137"/>
        <v>6.8125401753710753</v>
      </c>
      <c r="AG210" s="313">
        <f t="shared" si="137"/>
        <v>6.7736895846166441</v>
      </c>
      <c r="AI210" s="314"/>
      <c r="AJ210" s="315"/>
    </row>
    <row r="211" spans="1:36" s="58" customFormat="1" outlineLevel="1" x14ac:dyDescent="0.2">
      <c r="A211" s="307" t="s">
        <v>1367</v>
      </c>
      <c r="B211" s="308" t="s">
        <v>462</v>
      </c>
      <c r="C211" s="309">
        <f>C207*C177</f>
        <v>5.2616852172771189</v>
      </c>
      <c r="D211" s="309">
        <f t="shared" ref="D211:AG211" si="138">D207*D177</f>
        <v>5.4620862733640543</v>
      </c>
      <c r="E211" s="309">
        <f t="shared" si="138"/>
        <v>5.6551701957744145</v>
      </c>
      <c r="F211" s="309">
        <f t="shared" si="138"/>
        <v>5.8396535050434375</v>
      </c>
      <c r="G211" s="309">
        <f t="shared" si="138"/>
        <v>6.0142794591870024</v>
      </c>
      <c r="H211" s="309">
        <f t="shared" si="138"/>
        <v>6.1778322727101154</v>
      </c>
      <c r="I211" s="309">
        <f t="shared" si="138"/>
        <v>6.3308147795298204</v>
      </c>
      <c r="J211" s="309">
        <f t="shared" si="138"/>
        <v>6.4844572738015813</v>
      </c>
      <c r="K211" s="309">
        <f t="shared" si="138"/>
        <v>6.6386232623251598</v>
      </c>
      <c r="L211" s="309">
        <f t="shared" si="138"/>
        <v>6.7931720066427914</v>
      </c>
      <c r="M211" s="309">
        <f t="shared" si="138"/>
        <v>6.9479586944342548</v>
      </c>
      <c r="N211" s="309">
        <f t="shared" si="138"/>
        <v>7.090903172246894</v>
      </c>
      <c r="O211" s="309">
        <f t="shared" si="138"/>
        <v>7.2236238081055326</v>
      </c>
      <c r="P211" s="309">
        <f t="shared" si="138"/>
        <v>7.3343717238561714</v>
      </c>
      <c r="Q211" s="309">
        <f t="shared" si="138"/>
        <v>7.4324111067637668</v>
      </c>
      <c r="R211" s="309">
        <f t="shared" si="138"/>
        <v>7.5171611368963367</v>
      </c>
      <c r="S211" s="309">
        <f t="shared" si="138"/>
        <v>7.6025970423613387</v>
      </c>
      <c r="T211" s="309">
        <f t="shared" si="138"/>
        <v>7.687901794077173</v>
      </c>
      <c r="U211" s="309">
        <f t="shared" si="138"/>
        <v>7.7730492201236432</v>
      </c>
      <c r="V211" s="309">
        <f t="shared" si="138"/>
        <v>7.8580128940535303</v>
      </c>
      <c r="W211" s="309">
        <f t="shared" si="138"/>
        <v>7.9427661463074681</v>
      </c>
      <c r="X211" s="309">
        <f t="shared" si="138"/>
        <v>8.0246433063567579</v>
      </c>
      <c r="Y211" s="309">
        <f t="shared" si="138"/>
        <v>8.108932938467591</v>
      </c>
      <c r="Z211" s="309">
        <f t="shared" si="138"/>
        <v>8.1709569885763429</v>
      </c>
      <c r="AA211" s="309">
        <f t="shared" si="138"/>
        <v>8.2321299507052288</v>
      </c>
      <c r="AB211" s="309">
        <f t="shared" si="138"/>
        <v>8.2924216634695185</v>
      </c>
      <c r="AC211" s="309">
        <f t="shared" si="138"/>
        <v>8.3509934008237998</v>
      </c>
      <c r="AD211" s="309">
        <f t="shared" si="138"/>
        <v>8.4086797432476796</v>
      </c>
      <c r="AE211" s="309">
        <f t="shared" si="138"/>
        <v>8.4654520855712878</v>
      </c>
      <c r="AF211" s="309">
        <f t="shared" si="138"/>
        <v>8.5212818289196797</v>
      </c>
      <c r="AG211" s="309">
        <f t="shared" si="138"/>
        <v>8.5761403952285882</v>
      </c>
      <c r="AI211" s="305"/>
      <c r="AJ211" s="339" t="s">
        <v>1363</v>
      </c>
    </row>
    <row r="212" spans="1:36" s="58" customFormat="1" outlineLevel="1" x14ac:dyDescent="0.2">
      <c r="A212" s="307" t="s">
        <v>1368</v>
      </c>
      <c r="B212" s="308" t="s">
        <v>462</v>
      </c>
      <c r="C212" s="309">
        <f>C211*C178</f>
        <v>1.1575707478009662</v>
      </c>
      <c r="D212" s="309">
        <f t="shared" ref="D212:AG212" si="139">D211*D178</f>
        <v>1.2380728886291856</v>
      </c>
      <c r="E212" s="309">
        <f t="shared" si="139"/>
        <v>1.3195397123473633</v>
      </c>
      <c r="F212" s="309">
        <f t="shared" si="139"/>
        <v>1.4015168412104249</v>
      </c>
      <c r="G212" s="309">
        <f t="shared" si="139"/>
        <v>1.4835222665994603</v>
      </c>
      <c r="H212" s="309">
        <f t="shared" si="139"/>
        <v>1.5650508424198957</v>
      </c>
      <c r="I212" s="309">
        <f t="shared" si="139"/>
        <v>1.646011842677753</v>
      </c>
      <c r="J212" s="309">
        <f t="shared" si="139"/>
        <v>1.729188606347088</v>
      </c>
      <c r="K212" s="309">
        <f t="shared" si="139"/>
        <v>1.8145570250355432</v>
      </c>
      <c r="L212" s="309">
        <f t="shared" si="139"/>
        <v>1.902088161859981</v>
      </c>
      <c r="M212" s="309">
        <f t="shared" si="139"/>
        <v>1.9917481590711523</v>
      </c>
      <c r="N212" s="309">
        <f t="shared" si="139"/>
        <v>2.0799982638590881</v>
      </c>
      <c r="O212" s="309">
        <f t="shared" si="139"/>
        <v>2.1670871424316589</v>
      </c>
      <c r="P212" s="309">
        <f t="shared" si="139"/>
        <v>2.2492073286492249</v>
      </c>
      <c r="Q212" s="309">
        <f t="shared" si="139"/>
        <v>2.3288221467859791</v>
      </c>
      <c r="R212" s="309">
        <f t="shared" si="139"/>
        <v>2.4054915638068266</v>
      </c>
      <c r="S212" s="309">
        <f t="shared" si="139"/>
        <v>2.4835150338380361</v>
      </c>
      <c r="T212" s="309">
        <f t="shared" si="139"/>
        <v>2.562633931359056</v>
      </c>
      <c r="U212" s="309">
        <f t="shared" si="139"/>
        <v>2.642836734842037</v>
      </c>
      <c r="V212" s="309">
        <f t="shared" si="139"/>
        <v>2.724111136605222</v>
      </c>
      <c r="W212" s="309">
        <f t="shared" si="139"/>
        <v>2.8064440383619704</v>
      </c>
      <c r="X212" s="309">
        <f t="shared" si="139"/>
        <v>2.888871590288431</v>
      </c>
      <c r="Y212" s="309">
        <f t="shared" si="139"/>
        <v>2.9732754107714481</v>
      </c>
      <c r="Z212" s="309">
        <f t="shared" si="139"/>
        <v>3.0504906090684991</v>
      </c>
      <c r="AA212" s="309">
        <f t="shared" si="139"/>
        <v>3.1282093812679848</v>
      </c>
      <c r="AB212" s="309">
        <f t="shared" si="139"/>
        <v>3.2064030432082116</v>
      </c>
      <c r="AC212" s="309">
        <f t="shared" si="139"/>
        <v>3.2847240709906922</v>
      </c>
      <c r="AD212" s="309">
        <f t="shared" si="139"/>
        <v>3.3634718972990694</v>
      </c>
      <c r="AE212" s="309">
        <f t="shared" si="139"/>
        <v>3.4426171814656543</v>
      </c>
      <c r="AF212" s="309">
        <f t="shared" si="139"/>
        <v>3.5221298226201312</v>
      </c>
      <c r="AG212" s="309">
        <f t="shared" si="139"/>
        <v>3.6019789659960071</v>
      </c>
      <c r="AI212" s="305"/>
      <c r="AJ212" s="339" t="s">
        <v>1363</v>
      </c>
    </row>
    <row r="213" spans="1:36" s="62" customFormat="1" outlineLevel="1" x14ac:dyDescent="0.2">
      <c r="A213" s="311" t="s">
        <v>1369</v>
      </c>
      <c r="B213" s="312" t="s">
        <v>462</v>
      </c>
      <c r="C213" s="313">
        <f>C211*C179</f>
        <v>4.1041144694761531</v>
      </c>
      <c r="D213" s="313">
        <f t="shared" ref="D213:AG213" si="140">D211*D179</f>
        <v>4.2240133847348682</v>
      </c>
      <c r="E213" s="313">
        <f t="shared" si="140"/>
        <v>4.3356304834270514</v>
      </c>
      <c r="F213" s="313">
        <f t="shared" si="140"/>
        <v>4.4381366638330126</v>
      </c>
      <c r="G213" s="313">
        <f t="shared" si="140"/>
        <v>4.5307571925875418</v>
      </c>
      <c r="H213" s="313">
        <f t="shared" si="140"/>
        <v>4.6127814302902195</v>
      </c>
      <c r="I213" s="313">
        <f t="shared" si="140"/>
        <v>4.6848029368520674</v>
      </c>
      <c r="J213" s="313">
        <f t="shared" si="140"/>
        <v>4.7552686674544935</v>
      </c>
      <c r="K213" s="313">
        <f t="shared" si="140"/>
        <v>4.8240662372896166</v>
      </c>
      <c r="L213" s="313">
        <f t="shared" si="140"/>
        <v>4.89108384478281</v>
      </c>
      <c r="M213" s="313">
        <f t="shared" si="140"/>
        <v>4.9562105353631019</v>
      </c>
      <c r="N213" s="313">
        <f t="shared" si="140"/>
        <v>5.0109049083878059</v>
      </c>
      <c r="O213" s="313">
        <f t="shared" si="140"/>
        <v>5.0565366656738737</v>
      </c>
      <c r="P213" s="313">
        <f t="shared" si="140"/>
        <v>5.0851643952069461</v>
      </c>
      <c r="Q213" s="313">
        <f t="shared" si="140"/>
        <v>5.1035889599777873</v>
      </c>
      <c r="R213" s="313">
        <f t="shared" si="140"/>
        <v>5.1116695730895101</v>
      </c>
      <c r="S213" s="313">
        <f t="shared" si="140"/>
        <v>5.1190820085233035</v>
      </c>
      <c r="T213" s="313">
        <f t="shared" si="140"/>
        <v>5.1252678627181165</v>
      </c>
      <c r="U213" s="313">
        <f t="shared" si="140"/>
        <v>5.1302124852816053</v>
      </c>
      <c r="V213" s="313">
        <f t="shared" si="140"/>
        <v>5.1339017574483083</v>
      </c>
      <c r="W213" s="313">
        <f t="shared" si="140"/>
        <v>5.1363221079454986</v>
      </c>
      <c r="X213" s="313">
        <f t="shared" si="140"/>
        <v>5.1357717160683274</v>
      </c>
      <c r="Y213" s="313">
        <f t="shared" si="140"/>
        <v>5.1356575276961429</v>
      </c>
      <c r="Z213" s="313">
        <f t="shared" si="140"/>
        <v>5.1204663795078433</v>
      </c>
      <c r="AA213" s="313">
        <f t="shared" si="140"/>
        <v>5.1039205694372445</v>
      </c>
      <c r="AB213" s="313">
        <f t="shared" si="140"/>
        <v>5.0860186202613074</v>
      </c>
      <c r="AC213" s="313">
        <f t="shared" si="140"/>
        <v>5.0662693298331076</v>
      </c>
      <c r="AD213" s="313">
        <f t="shared" si="140"/>
        <v>5.0452078459486103</v>
      </c>
      <c r="AE213" s="313">
        <f t="shared" si="140"/>
        <v>5.0228349041056344</v>
      </c>
      <c r="AF213" s="313">
        <f t="shared" si="140"/>
        <v>4.999152006299548</v>
      </c>
      <c r="AG213" s="313">
        <f t="shared" si="140"/>
        <v>4.9741614292325815</v>
      </c>
      <c r="AI213" s="342"/>
      <c r="AJ213" s="341" t="s">
        <v>1363</v>
      </c>
    </row>
    <row r="214" spans="1:36" s="1" customFormat="1" outlineLevel="1" x14ac:dyDescent="0.2">
      <c r="A214" t="s">
        <v>1370</v>
      </c>
      <c r="B214" s="302" t="s">
        <v>704</v>
      </c>
      <c r="C214" s="249">
        <f>C180*C211</f>
        <v>4.998600956413263</v>
      </c>
      <c r="D214" s="249">
        <f t="shared" ref="D214:AG214" si="141">D180*D211</f>
        <v>5.1616715283290313</v>
      </c>
      <c r="E214" s="249">
        <f t="shared" si="141"/>
        <v>5.3158599840279495</v>
      </c>
      <c r="F214" s="249">
        <f t="shared" si="141"/>
        <v>5.4600760272156137</v>
      </c>
      <c r="G214" s="249">
        <f t="shared" si="141"/>
        <v>5.5932798970439119</v>
      </c>
      <c r="H214" s="249">
        <f t="shared" si="141"/>
        <v>5.7144948522568564</v>
      </c>
      <c r="I214" s="249">
        <f t="shared" si="141"/>
        <v>5.8243495971674344</v>
      </c>
      <c r="J214" s="249">
        <f t="shared" si="141"/>
        <v>5.933278405528446</v>
      </c>
      <c r="K214" s="249">
        <f t="shared" si="141"/>
        <v>6.0411471687158951</v>
      </c>
      <c r="L214" s="249">
        <f t="shared" si="141"/>
        <v>6.1478206660117261</v>
      </c>
      <c r="M214" s="249">
        <f t="shared" si="141"/>
        <v>6.2531628249908291</v>
      </c>
      <c r="N214" s="249">
        <f t="shared" si="141"/>
        <v>6.3463583391609699</v>
      </c>
      <c r="O214" s="249">
        <f t="shared" si="141"/>
        <v>6.429025189213923</v>
      </c>
      <c r="P214" s="249">
        <f t="shared" si="141"/>
        <v>6.4909189756127113</v>
      </c>
      <c r="Q214" s="249">
        <f t="shared" si="141"/>
        <v>6.540521773952114</v>
      </c>
      <c r="R214" s="249">
        <f t="shared" si="141"/>
        <v>6.5775159947842941</v>
      </c>
      <c r="S214" s="249">
        <f t="shared" si="141"/>
        <v>6.614259426854364</v>
      </c>
      <c r="T214" s="249">
        <f t="shared" si="141"/>
        <v>6.6500350518767535</v>
      </c>
      <c r="U214" s="249">
        <f t="shared" si="141"/>
        <v>6.684822329306332</v>
      </c>
      <c r="V214" s="249">
        <f t="shared" si="141"/>
        <v>6.7186010244157677</v>
      </c>
      <c r="W214" s="249">
        <f t="shared" si="141"/>
        <v>6.7513512243613469</v>
      </c>
      <c r="X214" s="249">
        <f t="shared" si="141"/>
        <v>6.7808235938714594</v>
      </c>
      <c r="Y214" s="249">
        <f t="shared" si="141"/>
        <v>6.811503668312775</v>
      </c>
      <c r="Z214" s="249">
        <f t="shared" si="141"/>
        <v>6.8227490854612451</v>
      </c>
      <c r="AA214" s="249">
        <f t="shared" si="141"/>
        <v>6.8326678590853387</v>
      </c>
      <c r="AB214" s="249">
        <f t="shared" si="141"/>
        <v>6.8412478723623513</v>
      </c>
      <c r="AC214" s="249">
        <f t="shared" si="141"/>
        <v>6.8478145886755142</v>
      </c>
      <c r="AD214" s="249">
        <f t="shared" si="141"/>
        <v>6.8530739907468572</v>
      </c>
      <c r="AE214" s="249">
        <f t="shared" si="141"/>
        <v>6.8570161893127413</v>
      </c>
      <c r="AF214" s="249">
        <f t="shared" si="141"/>
        <v>6.8596318722803407</v>
      </c>
      <c r="AG214" s="249">
        <f t="shared" si="141"/>
        <v>6.8609123161828709</v>
      </c>
      <c r="AI214" s="316"/>
      <c r="AJ214" s="211" t="s">
        <v>1363</v>
      </c>
    </row>
    <row r="215" spans="1:36" s="1" customFormat="1" outlineLevel="1" x14ac:dyDescent="0.2">
      <c r="A215" t="s">
        <v>1371</v>
      </c>
      <c r="B215" s="302" t="s">
        <v>704</v>
      </c>
      <c r="C215" s="249">
        <f>C181*C211</f>
        <v>0.26308426086385595</v>
      </c>
      <c r="D215" s="249">
        <f t="shared" ref="D215:AG215" si="142">D181*D211</f>
        <v>0.30041474503502302</v>
      </c>
      <c r="E215" s="249">
        <f t="shared" si="142"/>
        <v>0.33931021174646492</v>
      </c>
      <c r="F215" s="249">
        <f t="shared" si="142"/>
        <v>0.37957747782782353</v>
      </c>
      <c r="G215" s="249">
        <f t="shared" si="142"/>
        <v>0.42099956214309031</v>
      </c>
      <c r="H215" s="249">
        <f t="shared" si="142"/>
        <v>0.46333742045325882</v>
      </c>
      <c r="I215" s="249">
        <f t="shared" si="142"/>
        <v>0.5064651823623858</v>
      </c>
      <c r="J215" s="249">
        <f t="shared" si="142"/>
        <v>0.55117886827313467</v>
      </c>
      <c r="K215" s="249">
        <f t="shared" si="142"/>
        <v>0.59747609360926468</v>
      </c>
      <c r="L215" s="249">
        <f t="shared" si="142"/>
        <v>0.64535134063106547</v>
      </c>
      <c r="M215" s="249">
        <f t="shared" si="142"/>
        <v>0.69479586944342586</v>
      </c>
      <c r="N215" s="249">
        <f t="shared" si="142"/>
        <v>0.74454483308592423</v>
      </c>
      <c r="O215" s="249">
        <f t="shared" si="142"/>
        <v>0.79459861889160899</v>
      </c>
      <c r="P215" s="249">
        <f t="shared" si="142"/>
        <v>0.84345274824346017</v>
      </c>
      <c r="Q215" s="249">
        <f t="shared" si="142"/>
        <v>0.8918893328116525</v>
      </c>
      <c r="R215" s="249">
        <f t="shared" si="142"/>
        <v>0.93964514211204253</v>
      </c>
      <c r="S215" s="249">
        <f t="shared" si="142"/>
        <v>0.98833761550697452</v>
      </c>
      <c r="T215" s="249">
        <f t="shared" si="142"/>
        <v>1.0378667422004189</v>
      </c>
      <c r="U215" s="249">
        <f t="shared" si="142"/>
        <v>1.0882268908173105</v>
      </c>
      <c r="V215" s="249">
        <f t="shared" si="142"/>
        <v>1.1394118696377624</v>
      </c>
      <c r="W215" s="249">
        <f t="shared" si="142"/>
        <v>1.1914149219461208</v>
      </c>
      <c r="X215" s="249">
        <f t="shared" si="142"/>
        <v>1.2438197124852981</v>
      </c>
      <c r="Y215" s="249">
        <f t="shared" si="142"/>
        <v>1.2974292701548154</v>
      </c>
      <c r="Z215" s="249">
        <f t="shared" si="142"/>
        <v>1.3482079031150973</v>
      </c>
      <c r="AA215" s="249">
        <f t="shared" si="142"/>
        <v>1.3994620916198897</v>
      </c>
      <c r="AB215" s="249">
        <f t="shared" si="142"/>
        <v>1.4511737911071665</v>
      </c>
      <c r="AC215" s="249">
        <f t="shared" si="142"/>
        <v>1.5031788121482847</v>
      </c>
      <c r="AD215" s="249">
        <f t="shared" si="142"/>
        <v>1.5556057525008216</v>
      </c>
      <c r="AE215" s="249">
        <f t="shared" si="142"/>
        <v>1.6084358962585457</v>
      </c>
      <c r="AF215" s="249">
        <f t="shared" si="142"/>
        <v>1.6616499566393386</v>
      </c>
      <c r="AG215" s="249">
        <f t="shared" si="142"/>
        <v>1.7152280790457177</v>
      </c>
      <c r="AI215" s="316"/>
      <c r="AJ215" s="211" t="s">
        <v>1363</v>
      </c>
    </row>
    <row r="216" spans="1:36" s="1" customFormat="1" outlineLevel="1" x14ac:dyDescent="0.2">
      <c r="A216" t="s">
        <v>1372</v>
      </c>
      <c r="B216" s="302" t="s">
        <v>704</v>
      </c>
      <c r="C216" s="249">
        <f>C214*C182</f>
        <v>0.74979014346198947</v>
      </c>
      <c r="D216" s="249">
        <f t="shared" ref="D216:AG216" si="143">D214*D182</f>
        <v>0.80694131559543847</v>
      </c>
      <c r="E216" s="249">
        <f t="shared" si="143"/>
        <v>0.86471322406854634</v>
      </c>
      <c r="F216" s="249">
        <f t="shared" si="143"/>
        <v>0.92275284859943862</v>
      </c>
      <c r="G216" s="249">
        <f t="shared" si="143"/>
        <v>0.98068840861503248</v>
      </c>
      <c r="H216" s="249">
        <f t="shared" si="143"/>
        <v>1.0381332314933287</v>
      </c>
      <c r="I216" s="249">
        <f t="shared" si="143"/>
        <v>1.0949777242674774</v>
      </c>
      <c r="J216" s="249">
        <f t="shared" si="143"/>
        <v>1.1530337701410278</v>
      </c>
      <c r="K216" s="249">
        <f t="shared" si="143"/>
        <v>1.2122568651889893</v>
      </c>
      <c r="L216" s="249">
        <f t="shared" si="143"/>
        <v>1.272598877864427</v>
      </c>
      <c r="M216" s="249">
        <f t="shared" si="143"/>
        <v>1.3340080693313767</v>
      </c>
      <c r="N216" s="249">
        <f t="shared" si="143"/>
        <v>1.3940833818356928</v>
      </c>
      <c r="O216" s="249">
        <f t="shared" si="143"/>
        <v>1.4529596927623463</v>
      </c>
      <c r="P216" s="249">
        <f t="shared" si="143"/>
        <v>1.5080568420006863</v>
      </c>
      <c r="Q216" s="249">
        <f t="shared" si="143"/>
        <v>1.5610045300499042</v>
      </c>
      <c r="R216" s="249">
        <f t="shared" si="143"/>
        <v>1.6114914187221516</v>
      </c>
      <c r="S216" s="249">
        <f t="shared" si="143"/>
        <v>1.66238386928273</v>
      </c>
      <c r="T216" s="249">
        <f t="shared" si="143"/>
        <v>1.7134923650335767</v>
      </c>
      <c r="U216" s="249">
        <f t="shared" si="143"/>
        <v>1.7647930949368718</v>
      </c>
      <c r="V216" s="249">
        <f t="shared" si="143"/>
        <v>1.8162618102670627</v>
      </c>
      <c r="W216" s="249">
        <f t="shared" si="143"/>
        <v>1.8678738387399731</v>
      </c>
      <c r="X216" s="249">
        <f t="shared" si="143"/>
        <v>1.9189730770656235</v>
      </c>
      <c r="Y216" s="249">
        <f t="shared" si="143"/>
        <v>1.9707950613651637</v>
      </c>
      <c r="Z216" s="249">
        <f t="shared" si="143"/>
        <v>2.0172594796013756</v>
      </c>
      <c r="AA216" s="249">
        <f t="shared" si="143"/>
        <v>2.0634656934437734</v>
      </c>
      <c r="AB216" s="249">
        <f t="shared" si="143"/>
        <v>2.1093847606450598</v>
      </c>
      <c r="AC216" s="249">
        <f t="shared" si="143"/>
        <v>2.1547789905698966</v>
      </c>
      <c r="AD216" s="249">
        <f t="shared" si="143"/>
        <v>2.1998367510297427</v>
      </c>
      <c r="AE216" s="249">
        <f t="shared" si="143"/>
        <v>2.2445299659683724</v>
      </c>
      <c r="AF216" s="249">
        <f t="shared" si="143"/>
        <v>2.2888305013842087</v>
      </c>
      <c r="AG216" s="249">
        <f t="shared" si="143"/>
        <v>2.3327101875021761</v>
      </c>
      <c r="AI216" s="316"/>
      <c r="AJ216" s="211" t="s">
        <v>1363</v>
      </c>
    </row>
    <row r="217" spans="1:36" s="1" customFormat="1" outlineLevel="1" x14ac:dyDescent="0.2">
      <c r="A217" t="s">
        <v>1373</v>
      </c>
      <c r="B217" s="302" t="s">
        <v>704</v>
      </c>
      <c r="C217" s="249">
        <f>C214*C183</f>
        <v>4.2488108129512732</v>
      </c>
      <c r="D217" s="249">
        <f t="shared" ref="D217:AG217" si="144">D214*D183</f>
        <v>4.3547302127335925</v>
      </c>
      <c r="E217" s="249">
        <f t="shared" si="144"/>
        <v>4.4511467599594035</v>
      </c>
      <c r="F217" s="249">
        <f t="shared" si="144"/>
        <v>4.537323178616175</v>
      </c>
      <c r="G217" s="249">
        <f t="shared" si="144"/>
        <v>4.6125914884288797</v>
      </c>
      <c r="H217" s="249">
        <f t="shared" si="144"/>
        <v>4.6763616207635286</v>
      </c>
      <c r="I217" s="249">
        <f t="shared" si="144"/>
        <v>4.7293718728999581</v>
      </c>
      <c r="J217" s="249">
        <f t="shared" si="144"/>
        <v>4.7802446353874188</v>
      </c>
      <c r="K217" s="249">
        <f t="shared" si="144"/>
        <v>4.8288903035269071</v>
      </c>
      <c r="L217" s="249">
        <f t="shared" si="144"/>
        <v>4.8752217881473001</v>
      </c>
      <c r="M217" s="249">
        <f t="shared" si="144"/>
        <v>4.9191547556594539</v>
      </c>
      <c r="N217" s="249">
        <f t="shared" si="144"/>
        <v>4.9522749573252787</v>
      </c>
      <c r="O217" s="249">
        <f t="shared" si="144"/>
        <v>4.9760654964515787</v>
      </c>
      <c r="P217" s="249">
        <f t="shared" si="144"/>
        <v>4.9828621336120271</v>
      </c>
      <c r="Q217" s="249">
        <f t="shared" si="144"/>
        <v>4.9795172439022117</v>
      </c>
      <c r="R217" s="249">
        <f t="shared" si="144"/>
        <v>4.9660245760621446</v>
      </c>
      <c r="S217" s="249">
        <f t="shared" si="144"/>
        <v>4.9518755575716371</v>
      </c>
      <c r="T217" s="249">
        <f t="shared" si="144"/>
        <v>4.9365426868431799</v>
      </c>
      <c r="U217" s="249">
        <f t="shared" si="144"/>
        <v>4.9200292343694638</v>
      </c>
      <c r="V217" s="249">
        <f t="shared" si="144"/>
        <v>4.902339214148709</v>
      </c>
      <c r="W217" s="249">
        <f t="shared" si="144"/>
        <v>4.8834773856213785</v>
      </c>
      <c r="X217" s="249">
        <f t="shared" si="144"/>
        <v>4.8618505168058403</v>
      </c>
      <c r="Y217" s="249">
        <f t="shared" si="144"/>
        <v>4.8407086069476168</v>
      </c>
      <c r="Z217" s="249">
        <f t="shared" si="144"/>
        <v>4.8054896058598748</v>
      </c>
      <c r="AA217" s="249">
        <f t="shared" si="144"/>
        <v>4.7692021656415715</v>
      </c>
      <c r="AB217" s="249">
        <f t="shared" si="144"/>
        <v>4.7318631117172982</v>
      </c>
      <c r="AC217" s="249">
        <f t="shared" si="144"/>
        <v>4.6930355981056247</v>
      </c>
      <c r="AD217" s="249">
        <f t="shared" si="144"/>
        <v>4.6532372397171216</v>
      </c>
      <c r="AE217" s="249">
        <f t="shared" si="144"/>
        <v>4.6124862233443764</v>
      </c>
      <c r="AF217" s="249">
        <f t="shared" si="144"/>
        <v>4.5708013708961399</v>
      </c>
      <c r="AG217" s="249">
        <f t="shared" si="144"/>
        <v>4.5282021286806948</v>
      </c>
      <c r="AI217" s="316"/>
      <c r="AJ217" s="211" t="s">
        <v>1363</v>
      </c>
    </row>
    <row r="218" spans="1:36" s="1" customFormat="1" outlineLevel="1" x14ac:dyDescent="0.2">
      <c r="A218" t="s">
        <v>1374</v>
      </c>
      <c r="B218" s="302" t="s">
        <v>704</v>
      </c>
      <c r="C218" s="249">
        <f>C184*C217</f>
        <v>0</v>
      </c>
      <c r="D218" s="249">
        <f t="shared" ref="D218:AG218" si="145">D184*D217</f>
        <v>0</v>
      </c>
      <c r="E218" s="249">
        <f t="shared" si="145"/>
        <v>0</v>
      </c>
      <c r="F218" s="249">
        <f t="shared" si="145"/>
        <v>0</v>
      </c>
      <c r="G218" s="249">
        <f t="shared" si="145"/>
        <v>0</v>
      </c>
      <c r="H218" s="249">
        <f t="shared" si="145"/>
        <v>0</v>
      </c>
      <c r="I218" s="249">
        <f t="shared" si="145"/>
        <v>0</v>
      </c>
      <c r="J218" s="249">
        <f t="shared" si="145"/>
        <v>0</v>
      </c>
      <c r="K218" s="249">
        <f t="shared" si="145"/>
        <v>0</v>
      </c>
      <c r="L218" s="249">
        <f t="shared" si="145"/>
        <v>0</v>
      </c>
      <c r="M218" s="249">
        <f t="shared" si="145"/>
        <v>0</v>
      </c>
      <c r="N218" s="249">
        <f t="shared" si="145"/>
        <v>0</v>
      </c>
      <c r="O218" s="249">
        <f t="shared" si="145"/>
        <v>0</v>
      </c>
      <c r="P218" s="249">
        <f t="shared" si="145"/>
        <v>0</v>
      </c>
      <c r="Q218" s="249">
        <f t="shared" si="145"/>
        <v>0</v>
      </c>
      <c r="R218" s="249">
        <f t="shared" si="145"/>
        <v>0</v>
      </c>
      <c r="S218" s="249">
        <f t="shared" si="145"/>
        <v>0</v>
      </c>
      <c r="T218" s="249">
        <f t="shared" si="145"/>
        <v>0</v>
      </c>
      <c r="U218" s="249">
        <f t="shared" si="145"/>
        <v>0</v>
      </c>
      <c r="V218" s="249">
        <f t="shared" si="145"/>
        <v>0</v>
      </c>
      <c r="W218" s="249">
        <f t="shared" si="145"/>
        <v>0</v>
      </c>
      <c r="X218" s="249">
        <f t="shared" si="145"/>
        <v>0</v>
      </c>
      <c r="Y218" s="249">
        <f t="shared" si="145"/>
        <v>0</v>
      </c>
      <c r="Z218" s="249">
        <f t="shared" si="145"/>
        <v>0</v>
      </c>
      <c r="AA218" s="249">
        <f t="shared" si="145"/>
        <v>0</v>
      </c>
      <c r="AB218" s="249">
        <f t="shared" si="145"/>
        <v>0</v>
      </c>
      <c r="AC218" s="249">
        <f t="shared" si="145"/>
        <v>0</v>
      </c>
      <c r="AD218" s="249">
        <f t="shared" si="145"/>
        <v>0</v>
      </c>
      <c r="AE218" s="249">
        <f t="shared" si="145"/>
        <v>0</v>
      </c>
      <c r="AF218" s="249">
        <f t="shared" si="145"/>
        <v>0</v>
      </c>
      <c r="AG218" s="249">
        <f t="shared" si="145"/>
        <v>0</v>
      </c>
      <c r="AI218" s="316"/>
      <c r="AJ218" s="211" t="s">
        <v>1363</v>
      </c>
    </row>
    <row r="219" spans="1:36" s="1" customFormat="1" outlineLevel="1" x14ac:dyDescent="0.2">
      <c r="A219" t="s">
        <v>1388</v>
      </c>
      <c r="B219" s="302" t="s">
        <v>704</v>
      </c>
      <c r="C219" s="249">
        <f>C185*C217</f>
        <v>4.2488108129512732</v>
      </c>
      <c r="D219" s="249">
        <f t="shared" ref="D219:AG219" si="146">D185*D217</f>
        <v>4.3547302127335925</v>
      </c>
      <c r="E219" s="249">
        <f t="shared" si="146"/>
        <v>4.4511467599594035</v>
      </c>
      <c r="F219" s="249">
        <f t="shared" si="146"/>
        <v>4.537323178616175</v>
      </c>
      <c r="G219" s="249">
        <f t="shared" si="146"/>
        <v>4.6125914884288797</v>
      </c>
      <c r="H219" s="249">
        <f t="shared" si="146"/>
        <v>4.6763616207635286</v>
      </c>
      <c r="I219" s="249">
        <f t="shared" si="146"/>
        <v>4.7293718728999581</v>
      </c>
      <c r="J219" s="249">
        <f t="shared" si="146"/>
        <v>4.7802446353874188</v>
      </c>
      <c r="K219" s="249">
        <f t="shared" si="146"/>
        <v>4.8288903035269071</v>
      </c>
      <c r="L219" s="249">
        <f t="shared" si="146"/>
        <v>4.8752217881473001</v>
      </c>
      <c r="M219" s="249">
        <f t="shared" si="146"/>
        <v>4.9191547556594539</v>
      </c>
      <c r="N219" s="249">
        <f t="shared" si="146"/>
        <v>4.9522749573252787</v>
      </c>
      <c r="O219" s="249">
        <f t="shared" si="146"/>
        <v>4.9760654964515787</v>
      </c>
      <c r="P219" s="249">
        <f t="shared" si="146"/>
        <v>4.9828621336120271</v>
      </c>
      <c r="Q219" s="249">
        <f t="shared" si="146"/>
        <v>4.9795172439022117</v>
      </c>
      <c r="R219" s="249">
        <f t="shared" si="146"/>
        <v>4.9660245760621446</v>
      </c>
      <c r="S219" s="249">
        <f t="shared" si="146"/>
        <v>4.9518755575716371</v>
      </c>
      <c r="T219" s="249">
        <f t="shared" si="146"/>
        <v>4.9365426868431799</v>
      </c>
      <c r="U219" s="249">
        <f t="shared" si="146"/>
        <v>4.9200292343694638</v>
      </c>
      <c r="V219" s="249">
        <f t="shared" si="146"/>
        <v>4.902339214148709</v>
      </c>
      <c r="W219" s="249">
        <f t="shared" si="146"/>
        <v>4.8834773856213785</v>
      </c>
      <c r="X219" s="249">
        <f t="shared" si="146"/>
        <v>4.8618505168058403</v>
      </c>
      <c r="Y219" s="249">
        <f t="shared" si="146"/>
        <v>4.8407086069476168</v>
      </c>
      <c r="Z219" s="249">
        <f t="shared" si="146"/>
        <v>4.8054896058598748</v>
      </c>
      <c r="AA219" s="249">
        <f t="shared" si="146"/>
        <v>4.7692021656415715</v>
      </c>
      <c r="AB219" s="249">
        <f t="shared" si="146"/>
        <v>4.7318631117172982</v>
      </c>
      <c r="AC219" s="249">
        <f t="shared" si="146"/>
        <v>4.6930355981056247</v>
      </c>
      <c r="AD219" s="249">
        <f t="shared" si="146"/>
        <v>4.6532372397171216</v>
      </c>
      <c r="AE219" s="249">
        <f t="shared" si="146"/>
        <v>4.6124862233443764</v>
      </c>
      <c r="AF219" s="249">
        <f t="shared" si="146"/>
        <v>4.5708013708961399</v>
      </c>
      <c r="AG219" s="249">
        <f t="shared" si="146"/>
        <v>4.5282021286806948</v>
      </c>
      <c r="AI219" s="316"/>
      <c r="AJ219" s="211" t="s">
        <v>1363</v>
      </c>
    </row>
    <row r="220" spans="1:36" s="1" customFormat="1" outlineLevel="1" x14ac:dyDescent="0.2">
      <c r="A220" t="s">
        <v>1376</v>
      </c>
      <c r="B220" s="302" t="s">
        <v>704</v>
      </c>
      <c r="C220" s="249">
        <f>C186*(C218+C216)</f>
        <v>0.59983211476959164</v>
      </c>
      <c r="D220" s="249">
        <f t="shared" ref="D220:AG220" si="147">D186*(D218+D216)</f>
        <v>0.64824285686166894</v>
      </c>
      <c r="E220" s="249">
        <f t="shared" si="147"/>
        <v>0.69753533408196067</v>
      </c>
      <c r="F220" s="249">
        <f t="shared" si="147"/>
        <v>0.74742980736554521</v>
      </c>
      <c r="G220" s="249">
        <f t="shared" si="147"/>
        <v>0.79762657234022638</v>
      </c>
      <c r="H220" s="249">
        <f t="shared" si="147"/>
        <v>0.84780880571955164</v>
      </c>
      <c r="I220" s="249">
        <f t="shared" si="147"/>
        <v>0.89788173389933135</v>
      </c>
      <c r="J220" s="249">
        <f t="shared" si="147"/>
        <v>0.94933113741611264</v>
      </c>
      <c r="K220" s="249">
        <f t="shared" si="147"/>
        <v>1.0021323418895642</v>
      </c>
      <c r="L220" s="249">
        <f t="shared" si="147"/>
        <v>1.0562570686274741</v>
      </c>
      <c r="M220" s="249">
        <f t="shared" si="147"/>
        <v>1.1116733911094803</v>
      </c>
      <c r="N220" s="249">
        <f t="shared" si="147"/>
        <v>1.1663830961358626</v>
      </c>
      <c r="O220" s="249">
        <f t="shared" si="147"/>
        <v>1.2204861419203703</v>
      </c>
      <c r="P220" s="249">
        <f t="shared" si="147"/>
        <v>1.2717946034205783</v>
      </c>
      <c r="Q220" s="249">
        <f t="shared" si="147"/>
        <v>1.3216505021089182</v>
      </c>
      <c r="R220" s="249">
        <f t="shared" si="147"/>
        <v>1.3697677059138282</v>
      </c>
      <c r="S220" s="249">
        <f t="shared" si="147"/>
        <v>1.4185675684545953</v>
      </c>
      <c r="T220" s="249">
        <f t="shared" si="147"/>
        <v>1.4678917927120965</v>
      </c>
      <c r="U220" s="249">
        <f t="shared" si="147"/>
        <v>1.5177220616457088</v>
      </c>
      <c r="V220" s="249">
        <f t="shared" si="147"/>
        <v>1.5680393628638964</v>
      </c>
      <c r="W220" s="249">
        <f t="shared" si="147"/>
        <v>1.6188239935746422</v>
      </c>
      <c r="X220" s="249">
        <f t="shared" si="147"/>
        <v>1.6695065770470912</v>
      </c>
      <c r="Y220" s="249">
        <f t="shared" si="147"/>
        <v>1.7211610202589083</v>
      </c>
      <c r="Z220" s="249">
        <f t="shared" si="147"/>
        <v>1.7684641437838711</v>
      </c>
      <c r="AA220" s="249">
        <f t="shared" si="147"/>
        <v>1.8158498102305189</v>
      </c>
      <c r="AB220" s="249">
        <f t="shared" si="147"/>
        <v>1.8632898719031343</v>
      </c>
      <c r="AC220" s="249">
        <f t="shared" si="147"/>
        <v>1.9105707049719731</v>
      </c>
      <c r="AD220" s="249">
        <f t="shared" si="147"/>
        <v>1.957854708416469</v>
      </c>
      <c r="AE220" s="249">
        <f t="shared" si="147"/>
        <v>2.0051134362650771</v>
      </c>
      <c r="AF220" s="249">
        <f t="shared" si="147"/>
        <v>2.0523180162411716</v>
      </c>
      <c r="AG220" s="249">
        <f t="shared" si="147"/>
        <v>2.0994391687519585</v>
      </c>
      <c r="AH220" s="249"/>
      <c r="AI220" s="316"/>
      <c r="AJ220" s="211" t="s">
        <v>1363</v>
      </c>
    </row>
    <row r="221" spans="1:36" s="1" customFormat="1" outlineLevel="1" x14ac:dyDescent="0.2">
      <c r="A221" t="s">
        <v>1377</v>
      </c>
      <c r="B221" s="302" t="s">
        <v>704</v>
      </c>
      <c r="C221" s="249">
        <f>C187*(C218+C216)</f>
        <v>0.14995802869239791</v>
      </c>
      <c r="D221" s="249">
        <f t="shared" ref="D221:AG221" si="148">D187*(D218+D216)</f>
        <v>0.15869845873376959</v>
      </c>
      <c r="E221" s="249">
        <f t="shared" si="148"/>
        <v>0.16717788998658564</v>
      </c>
      <c r="F221" s="249">
        <f t="shared" si="148"/>
        <v>0.17532304123389336</v>
      </c>
      <c r="G221" s="249">
        <f t="shared" si="148"/>
        <v>0.1830618362748061</v>
      </c>
      <c r="H221" s="249">
        <f t="shared" si="148"/>
        <v>0.19032442577377698</v>
      </c>
      <c r="I221" s="249">
        <f t="shared" si="148"/>
        <v>0.19709599036814598</v>
      </c>
      <c r="J221" s="249">
        <f t="shared" si="148"/>
        <v>0.20370263272491498</v>
      </c>
      <c r="K221" s="249">
        <f t="shared" si="148"/>
        <v>0.21012452329942488</v>
      </c>
      <c r="L221" s="249">
        <f t="shared" si="148"/>
        <v>0.21634180923695268</v>
      </c>
      <c r="M221" s="249">
        <f t="shared" si="148"/>
        <v>0.22233467822189623</v>
      </c>
      <c r="N221" s="249">
        <f t="shared" si="148"/>
        <v>0.22770028569982995</v>
      </c>
      <c r="O221" s="249">
        <f t="shared" si="148"/>
        <v>0.23247355084197552</v>
      </c>
      <c r="P221" s="249">
        <f t="shared" si="148"/>
        <v>0.23626223858010767</v>
      </c>
      <c r="Q221" s="249">
        <f t="shared" si="148"/>
        <v>0.23935402794098548</v>
      </c>
      <c r="R221" s="249">
        <f t="shared" si="148"/>
        <v>0.24172371280832292</v>
      </c>
      <c r="S221" s="249">
        <f t="shared" si="148"/>
        <v>0.24381630082813391</v>
      </c>
      <c r="T221" s="249">
        <f t="shared" si="148"/>
        <v>0.24560057232147953</v>
      </c>
      <c r="U221" s="249">
        <f t="shared" si="148"/>
        <v>0.24707103329116226</v>
      </c>
      <c r="V221" s="249">
        <f t="shared" si="148"/>
        <v>0.24822244740316546</v>
      </c>
      <c r="W221" s="249">
        <f t="shared" si="148"/>
        <v>0.24904984516533002</v>
      </c>
      <c r="X221" s="249">
        <f t="shared" si="148"/>
        <v>0.24946650001853132</v>
      </c>
      <c r="Y221" s="249">
        <f t="shared" si="148"/>
        <v>0.24963404110625437</v>
      </c>
      <c r="Z221" s="249">
        <f t="shared" si="148"/>
        <v>0.24879533581750332</v>
      </c>
      <c r="AA221" s="249">
        <f t="shared" si="148"/>
        <v>0.24761588321325315</v>
      </c>
      <c r="AB221" s="249">
        <f t="shared" si="148"/>
        <v>0.24609488874192401</v>
      </c>
      <c r="AC221" s="249">
        <f t="shared" si="148"/>
        <v>0.24420828559792199</v>
      </c>
      <c r="AD221" s="249">
        <f t="shared" si="148"/>
        <v>0.24198204261327211</v>
      </c>
      <c r="AE221" s="249">
        <f t="shared" si="148"/>
        <v>0.23941652970329347</v>
      </c>
      <c r="AF221" s="249">
        <f t="shared" si="148"/>
        <v>0.23651248514303536</v>
      </c>
      <c r="AG221" s="249">
        <f t="shared" si="148"/>
        <v>0.23327101875021761</v>
      </c>
      <c r="AI221" s="316"/>
      <c r="AJ221" s="211" t="s">
        <v>1363</v>
      </c>
    </row>
    <row r="222" spans="1:36" s="1" customFormat="1" outlineLevel="1" x14ac:dyDescent="0.2">
      <c r="A222" t="s">
        <v>1378</v>
      </c>
      <c r="B222" s="302" t="s">
        <v>704</v>
      </c>
      <c r="C222" s="249">
        <f>C215*C188</f>
        <v>0.24993004782066314</v>
      </c>
      <c r="D222" s="249">
        <f t="shared" ref="D222:AG222" si="149">D215*D188</f>
        <v>0.28499345478989185</v>
      </c>
      <c r="E222" s="249">
        <f t="shared" si="149"/>
        <v>0.32143987392781775</v>
      </c>
      <c r="F222" s="249">
        <f t="shared" si="149"/>
        <v>0.35908029402512109</v>
      </c>
      <c r="G222" s="249">
        <f t="shared" si="149"/>
        <v>0.39770425303783935</v>
      </c>
      <c r="H222" s="249">
        <f t="shared" si="149"/>
        <v>0.43708163329424088</v>
      </c>
      <c r="I222" s="249">
        <f t="shared" si="149"/>
        <v>0.47709020178536748</v>
      </c>
      <c r="J222" s="249">
        <f t="shared" si="149"/>
        <v>0.51847558875559541</v>
      </c>
      <c r="K222" s="249">
        <f t="shared" si="149"/>
        <v>0.5612292105969694</v>
      </c>
      <c r="L222" s="249">
        <f t="shared" si="149"/>
        <v>0.60533955751193957</v>
      </c>
      <c r="M222" s="249">
        <f t="shared" si="149"/>
        <v>0.65079213104534239</v>
      </c>
      <c r="N222" s="249">
        <f t="shared" si="149"/>
        <v>0.69639760054636801</v>
      </c>
      <c r="O222" s="249">
        <f t="shared" si="149"/>
        <v>0.74215511004476309</v>
      </c>
      <c r="P222" s="249">
        <f t="shared" si="149"/>
        <v>0.78666026319506754</v>
      </c>
      <c r="Q222" s="249">
        <f t="shared" si="149"/>
        <v>0.83064626529191943</v>
      </c>
      <c r="R222" s="249">
        <f t="shared" si="149"/>
        <v>0.87386998216419998</v>
      </c>
      <c r="S222" s="249">
        <f t="shared" si="149"/>
        <v>0.91783619893414414</v>
      </c>
      <c r="T222" s="249">
        <f t="shared" si="149"/>
        <v>0.96244842560052235</v>
      </c>
      <c r="U222" s="249">
        <f t="shared" si="149"/>
        <v>1.0076981008968302</v>
      </c>
      <c r="V222" s="249">
        <f t="shared" si="149"/>
        <v>1.053576175458385</v>
      </c>
      <c r="W222" s="249">
        <f t="shared" si="149"/>
        <v>1.1000731112635855</v>
      </c>
      <c r="X222" s="249">
        <f t="shared" si="149"/>
        <v>1.1468017749114456</v>
      </c>
      <c r="Y222" s="249">
        <f t="shared" si="149"/>
        <v>1.1944998813892009</v>
      </c>
      <c r="Z222" s="249">
        <f t="shared" si="149"/>
        <v>1.2394524655971473</v>
      </c>
      <c r="AA222" s="249">
        <f t="shared" si="149"/>
        <v>1.2847062001070599</v>
      </c>
      <c r="AB222" s="249">
        <f t="shared" si="149"/>
        <v>1.3302426418482372</v>
      </c>
      <c r="AC222" s="249">
        <f t="shared" si="149"/>
        <v>1.3759096727197313</v>
      </c>
      <c r="AD222" s="249">
        <f t="shared" si="149"/>
        <v>1.4218236577857524</v>
      </c>
      <c r="AE222" s="249">
        <f t="shared" si="149"/>
        <v>1.467965827985301</v>
      </c>
      <c r="AF222" s="249">
        <f t="shared" si="149"/>
        <v>1.5143169938173189</v>
      </c>
      <c r="AG222" s="249">
        <f t="shared" si="149"/>
        <v>1.5608575519316032</v>
      </c>
      <c r="AI222" s="316"/>
      <c r="AJ222" s="211" t="s">
        <v>1363</v>
      </c>
    </row>
    <row r="223" spans="1:36" s="1" customFormat="1" outlineLevel="1" x14ac:dyDescent="0.2">
      <c r="A223" t="s">
        <v>1389</v>
      </c>
      <c r="B223" s="302" t="s">
        <v>704</v>
      </c>
      <c r="C223" s="249">
        <f>C215*C189</f>
        <v>1.3154213043192798E-2</v>
      </c>
      <c r="D223" s="249">
        <f t="shared" ref="D223:AG223" si="150">D215*D189</f>
        <v>1.5421290245131182E-2</v>
      </c>
      <c r="E223" s="249">
        <f t="shared" si="150"/>
        <v>1.7870337818647154E-2</v>
      </c>
      <c r="F223" s="249">
        <f t="shared" si="150"/>
        <v>2.0497183802702469E-2</v>
      </c>
      <c r="G223" s="249">
        <f t="shared" si="150"/>
        <v>2.3295309105250996E-2</v>
      </c>
      <c r="H223" s="249">
        <f t="shared" si="150"/>
        <v>2.6255787159017999E-2</v>
      </c>
      <c r="I223" s="249">
        <f t="shared" si="150"/>
        <v>2.9374980577018376E-2</v>
      </c>
      <c r="J223" s="249">
        <f t="shared" si="150"/>
        <v>3.2703279517539319E-2</v>
      </c>
      <c r="K223" s="249">
        <f t="shared" si="150"/>
        <v>3.6246883012295388E-2</v>
      </c>
      <c r="L223" s="249">
        <f t="shared" si="150"/>
        <v>4.0011783119126051E-2</v>
      </c>
      <c r="M223" s="249">
        <f t="shared" si="150"/>
        <v>4.4003738398083629E-2</v>
      </c>
      <c r="N223" s="249">
        <f t="shared" si="150"/>
        <v>4.8147232539556432E-2</v>
      </c>
      <c r="O223" s="249">
        <f t="shared" si="150"/>
        <v>5.2443508846846197E-2</v>
      </c>
      <c r="P223" s="249">
        <f t="shared" si="150"/>
        <v>5.6792485048392995E-2</v>
      </c>
      <c r="Q223" s="249">
        <f t="shared" si="150"/>
        <v>6.1243067519733484E-2</v>
      </c>
      <c r="R223" s="249">
        <f t="shared" si="150"/>
        <v>6.5775159947842998E-2</v>
      </c>
      <c r="S223" s="249">
        <f t="shared" si="150"/>
        <v>7.0501416572830877E-2</v>
      </c>
      <c r="T223" s="249">
        <f t="shared" si="150"/>
        <v>7.5418316599897131E-2</v>
      </c>
      <c r="U223" s="249">
        <f t="shared" si="150"/>
        <v>8.0528789920481014E-2</v>
      </c>
      <c r="V223" s="249">
        <f t="shared" si="150"/>
        <v>8.5835694179378155E-2</v>
      </c>
      <c r="W223" s="249">
        <f t="shared" si="150"/>
        <v>9.1341810682535982E-2</v>
      </c>
      <c r="X223" s="249">
        <f t="shared" si="150"/>
        <v>9.7017937573853325E-2</v>
      </c>
      <c r="Y223" s="249">
        <f t="shared" si="150"/>
        <v>0.10292938876561543</v>
      </c>
      <c r="Z223" s="249">
        <f t="shared" si="150"/>
        <v>0.10875543751795128</v>
      </c>
      <c r="AA223" s="249">
        <f t="shared" si="150"/>
        <v>0.11475589151283105</v>
      </c>
      <c r="AB223" s="249">
        <f t="shared" si="150"/>
        <v>0.12093114925893066</v>
      </c>
      <c r="AC223" s="249">
        <f t="shared" si="150"/>
        <v>0.12726913942855489</v>
      </c>
      <c r="AD223" s="249">
        <f t="shared" si="150"/>
        <v>0.1337820947150708</v>
      </c>
      <c r="AE223" s="249">
        <f t="shared" si="150"/>
        <v>0.14047006827324648</v>
      </c>
      <c r="AF223" s="249">
        <f t="shared" si="150"/>
        <v>0.14733296282202152</v>
      </c>
      <c r="AG223" s="249">
        <f t="shared" si="150"/>
        <v>0.15437052711411459</v>
      </c>
      <c r="AI223" s="316"/>
      <c r="AJ223" s="211" t="s">
        <v>1363</v>
      </c>
    </row>
    <row r="224" spans="1:36" s="1" customFormat="1" outlineLevel="1" x14ac:dyDescent="0.2">
      <c r="A224" t="s">
        <v>1380</v>
      </c>
      <c r="B224" s="302" t="s">
        <v>704</v>
      </c>
      <c r="C224" s="249">
        <f t="shared" ref="C224:AG224" si="151">C220*C190</f>
        <v>0.16195467098778976</v>
      </c>
      <c r="D224" s="249">
        <f t="shared" si="151"/>
        <v>0.17243259992520393</v>
      </c>
      <c r="E224" s="249">
        <f t="shared" si="151"/>
        <v>0.18275425752947369</v>
      </c>
      <c r="F224" s="249">
        <f t="shared" si="151"/>
        <v>0.19283689030031068</v>
      </c>
      <c r="G224" s="249">
        <f t="shared" si="151"/>
        <v>0.2025971493744175</v>
      </c>
      <c r="H224" s="249">
        <f t="shared" si="151"/>
        <v>0.21195220142988791</v>
      </c>
      <c r="I224" s="249">
        <f t="shared" si="151"/>
        <v>0.2208789065392355</v>
      </c>
      <c r="J224" s="249">
        <f t="shared" si="151"/>
        <v>0.22973813525469924</v>
      </c>
      <c r="K224" s="249">
        <f t="shared" si="151"/>
        <v>0.23850749736971627</v>
      </c>
      <c r="L224" s="249">
        <f t="shared" si="151"/>
        <v>0.24716415405882894</v>
      </c>
      <c r="M224" s="249">
        <f t="shared" si="151"/>
        <v>0.25568487995518047</v>
      </c>
      <c r="N224" s="249">
        <f t="shared" si="151"/>
        <v>0.26360257972670492</v>
      </c>
      <c r="O224" s="249">
        <f t="shared" si="151"/>
        <v>0.27094792350632219</v>
      </c>
      <c r="P224" s="249">
        <f t="shared" si="151"/>
        <v>0.27725122354568604</v>
      </c>
      <c r="Q224" s="249">
        <f t="shared" si="151"/>
        <v>0.28283320745130847</v>
      </c>
      <c r="R224" s="249">
        <f t="shared" si="151"/>
        <v>0.28765121824190387</v>
      </c>
      <c r="S224" s="249">
        <f t="shared" si="151"/>
        <v>0.29222491910164655</v>
      </c>
      <c r="T224" s="249">
        <f t="shared" si="151"/>
        <v>0.29651414212784344</v>
      </c>
      <c r="U224" s="249">
        <f t="shared" si="151"/>
        <v>0.30050896820585027</v>
      </c>
      <c r="V224" s="249">
        <f t="shared" si="151"/>
        <v>0.30419963639559583</v>
      </c>
      <c r="W224" s="249">
        <f t="shared" si="151"/>
        <v>0.30757655877918194</v>
      </c>
      <c r="X224" s="249">
        <f t="shared" si="151"/>
        <v>0.31052822333075886</v>
      </c>
      <c r="Y224" s="249">
        <f t="shared" si="151"/>
        <v>0.31325130568712123</v>
      </c>
      <c r="Z224" s="249">
        <f t="shared" si="151"/>
        <v>0.31478661759352894</v>
      </c>
      <c r="AA224" s="249">
        <f t="shared" si="151"/>
        <v>0.31595786698011019</v>
      </c>
      <c r="AB224" s="249">
        <f t="shared" si="151"/>
        <v>0.31675927822353273</v>
      </c>
      <c r="AC224" s="249">
        <f t="shared" si="151"/>
        <v>0.31715473702534741</v>
      </c>
      <c r="AD224" s="249">
        <f t="shared" si="151"/>
        <v>0.31717246276346783</v>
      </c>
      <c r="AE224" s="249">
        <f t="shared" si="151"/>
        <v>0.31680792292988202</v>
      </c>
      <c r="AF224" s="249">
        <f t="shared" si="151"/>
        <v>0.31605697450114023</v>
      </c>
      <c r="AG224" s="249">
        <f t="shared" si="151"/>
        <v>0.31491587531279375</v>
      </c>
      <c r="AI224" s="316"/>
      <c r="AJ224" s="211"/>
    </row>
    <row r="225" spans="1:36" s="67" customFormat="1" x14ac:dyDescent="0.2">
      <c r="A225" s="345" t="s">
        <v>1381</v>
      </c>
      <c r="B225" s="308" t="s">
        <v>704</v>
      </c>
      <c r="C225" s="309">
        <f>C191*C$210</f>
        <v>0.95516679631341184</v>
      </c>
      <c r="D225" s="309">
        <f t="shared" ref="D225:AG230" si="152">D191*D$210</f>
        <v>1.0129100843958805</v>
      </c>
      <c r="E225" s="309">
        <f t="shared" si="152"/>
        <v>1.0701676635985042</v>
      </c>
      <c r="F225" s="309">
        <f t="shared" si="152"/>
        <v>1.1265494894723176</v>
      </c>
      <c r="G225" s="309">
        <f t="shared" si="152"/>
        <v>1.1816586190910927</v>
      </c>
      <c r="H225" s="309">
        <f t="shared" si="152"/>
        <v>1.2350958340497236</v>
      </c>
      <c r="I225" s="309">
        <f t="shared" si="152"/>
        <v>1.2865752013795766</v>
      </c>
      <c r="J225" s="309">
        <f t="shared" si="152"/>
        <v>1.3384365862968464</v>
      </c>
      <c r="K225" s="309">
        <f t="shared" si="152"/>
        <v>1.3906102530901372</v>
      </c>
      <c r="L225" s="309">
        <f t="shared" si="152"/>
        <v>1.443023964152935</v>
      </c>
      <c r="M225" s="309">
        <f t="shared" si="152"/>
        <v>1.4956031048284271</v>
      </c>
      <c r="N225" s="309">
        <f t="shared" si="152"/>
        <v>1.545618040326445</v>
      </c>
      <c r="O225" s="309">
        <f t="shared" si="152"/>
        <v>1.5933514045614787</v>
      </c>
      <c r="P225" s="309">
        <f t="shared" si="152"/>
        <v>1.6363618476594426</v>
      </c>
      <c r="Q225" s="309">
        <f t="shared" si="152"/>
        <v>1.6762788700503193</v>
      </c>
      <c r="R225" s="309">
        <f t="shared" si="152"/>
        <v>1.7128544660874383</v>
      </c>
      <c r="S225" s="309">
        <f t="shared" si="152"/>
        <v>1.7492263905032441</v>
      </c>
      <c r="T225" s="309">
        <f t="shared" si="152"/>
        <v>1.785162326643335</v>
      </c>
      <c r="U225" s="309">
        <f t="shared" si="152"/>
        <v>1.8206371273604955</v>
      </c>
      <c r="V225" s="309">
        <f t="shared" si="152"/>
        <v>1.8556256345000015</v>
      </c>
      <c r="W225" s="309">
        <f t="shared" si="152"/>
        <v>1.890102697439954</v>
      </c>
      <c r="X225" s="309">
        <f t="shared" si="152"/>
        <v>1.9232615762347174</v>
      </c>
      <c r="Y225" s="309">
        <f t="shared" si="152"/>
        <v>1.9566294108880098</v>
      </c>
      <c r="Z225" s="309">
        <f t="shared" si="152"/>
        <v>1.9854612708823998</v>
      </c>
      <c r="AA225" s="309">
        <f t="shared" si="152"/>
        <v>2.0136579967827144</v>
      </c>
      <c r="AB225" s="309">
        <f t="shared" si="152"/>
        <v>2.0412070418476929</v>
      </c>
      <c r="AC225" s="309">
        <f t="shared" si="152"/>
        <v>2.067835120144081</v>
      </c>
      <c r="AD225" s="309">
        <f t="shared" si="152"/>
        <v>2.0937967906538222</v>
      </c>
      <c r="AE225" s="309">
        <f t="shared" si="152"/>
        <v>2.1190815237223584</v>
      </c>
      <c r="AF225" s="309">
        <f t="shared" si="152"/>
        <v>2.1436793085167665</v>
      </c>
      <c r="AG225" s="309">
        <f t="shared" si="152"/>
        <v>2.1675806670773263</v>
      </c>
      <c r="AI225" s="337"/>
      <c r="AJ225" s="348"/>
    </row>
    <row r="226" spans="1:36" x14ac:dyDescent="0.2">
      <c r="A226" s="346" t="s">
        <v>1382</v>
      </c>
      <c r="B226" s="302" t="s">
        <v>704</v>
      </c>
      <c r="C226" s="249">
        <f t="shared" ref="C226:R230" si="153">C192*C$210</f>
        <v>2.2088232164747645</v>
      </c>
      <c r="D226" s="249">
        <f t="shared" si="153"/>
        <v>2.2770055324625136</v>
      </c>
      <c r="E226" s="249">
        <f t="shared" si="153"/>
        <v>2.3409917641217279</v>
      </c>
      <c r="F226" s="249">
        <f t="shared" si="153"/>
        <v>2.4003185145006762</v>
      </c>
      <c r="G226" s="249">
        <f t="shared" si="153"/>
        <v>2.4545482345090712</v>
      </c>
      <c r="H226" s="249">
        <f t="shared" si="153"/>
        <v>2.5032745922257784</v>
      </c>
      <c r="I226" s="249">
        <f t="shared" si="153"/>
        <v>2.5463467527304116</v>
      </c>
      <c r="J226" s="249">
        <f t="shared" si="153"/>
        <v>2.5886991407261637</v>
      </c>
      <c r="K226" s="249">
        <f t="shared" si="153"/>
        <v>2.6302661037066732</v>
      </c>
      <c r="L226" s="249">
        <f t="shared" si="153"/>
        <v>2.6709818567253838</v>
      </c>
      <c r="M226" s="249">
        <f t="shared" si="153"/>
        <v>2.7107806275015234</v>
      </c>
      <c r="N226" s="249">
        <f t="shared" si="153"/>
        <v>2.7448856966163229</v>
      </c>
      <c r="O226" s="249">
        <f t="shared" si="153"/>
        <v>2.7741386061561455</v>
      </c>
      <c r="P226" s="249">
        <f t="shared" si="153"/>
        <v>2.7946586787788439</v>
      </c>
      <c r="Q226" s="249">
        <f t="shared" si="153"/>
        <v>2.8096719696866135</v>
      </c>
      <c r="R226" s="249">
        <f t="shared" si="153"/>
        <v>2.8190729754355743</v>
      </c>
      <c r="S226" s="249">
        <f t="shared" si="152"/>
        <v>2.8282328868191029</v>
      </c>
      <c r="T226" s="249">
        <f t="shared" si="152"/>
        <v>2.8367938568334896</v>
      </c>
      <c r="U226" s="249">
        <f t="shared" si="152"/>
        <v>2.8447455115007725</v>
      </c>
      <c r="V226" s="249">
        <f t="shared" si="152"/>
        <v>2.8520776652710462</v>
      </c>
      <c r="W226" s="249">
        <f t="shared" si="152"/>
        <v>2.858780329877928</v>
      </c>
      <c r="X226" s="249">
        <f t="shared" si="152"/>
        <v>2.8636799204965433</v>
      </c>
      <c r="Y226" s="249">
        <f t="shared" si="152"/>
        <v>2.8690960111578958</v>
      </c>
      <c r="Z226" s="249">
        <f t="shared" si="152"/>
        <v>2.8681486519232746</v>
      </c>
      <c r="AA226" s="249">
        <f t="shared" si="152"/>
        <v>2.8666658981976103</v>
      </c>
      <c r="AB226" s="249">
        <f t="shared" si="152"/>
        <v>2.864648518956701</v>
      </c>
      <c r="AC226" s="249">
        <f t="shared" si="152"/>
        <v>2.8617361037708222</v>
      </c>
      <c r="AD226" s="249">
        <f t="shared" si="152"/>
        <v>2.85830811882018</v>
      </c>
      <c r="AE226" s="249">
        <f t="shared" si="152"/>
        <v>2.8543662765656719</v>
      </c>
      <c r="AF226" s="249">
        <f t="shared" si="152"/>
        <v>2.8499126400302299</v>
      </c>
      <c r="AG226" s="249">
        <f t="shared" si="152"/>
        <v>2.8449496255389906</v>
      </c>
      <c r="AI226" s="296"/>
    </row>
    <row r="227" spans="1:36" x14ac:dyDescent="0.2">
      <c r="A227" s="346" t="s">
        <v>1383</v>
      </c>
      <c r="B227" s="302" t="s">
        <v>704</v>
      </c>
      <c r="C227" s="249">
        <f t="shared" si="153"/>
        <v>0.47758339815670592</v>
      </c>
      <c r="D227" s="249">
        <f t="shared" si="152"/>
        <v>0.47582268077467771</v>
      </c>
      <c r="E227" s="249">
        <f t="shared" si="152"/>
        <v>0.47237869526027726</v>
      </c>
      <c r="F227" s="249">
        <f t="shared" si="152"/>
        <v>0.46726200415613162</v>
      </c>
      <c r="G227" s="249">
        <f t="shared" si="152"/>
        <v>0.46049931479285217</v>
      </c>
      <c r="H227" s="249">
        <f t="shared" si="152"/>
        <v>0.45213329639320221</v>
      </c>
      <c r="I227" s="249">
        <f t="shared" si="152"/>
        <v>0.44226022547422922</v>
      </c>
      <c r="J227" s="249">
        <f t="shared" si="152"/>
        <v>0.43182666888969179</v>
      </c>
      <c r="K227" s="249">
        <f t="shared" si="152"/>
        <v>0.42084257659306756</v>
      </c>
      <c r="L227" s="249">
        <f t="shared" si="152"/>
        <v>0.40931929752414958</v>
      </c>
      <c r="M227" s="249">
        <f t="shared" si="152"/>
        <v>0.3972695747200507</v>
      </c>
      <c r="N227" s="249">
        <f t="shared" si="152"/>
        <v>0.38404838502013777</v>
      </c>
      <c r="O227" s="249">
        <f t="shared" si="152"/>
        <v>0.36988514748748591</v>
      </c>
      <c r="P227" s="249">
        <f t="shared" si="152"/>
        <v>0.35438650479833839</v>
      </c>
      <c r="Q227" s="249">
        <f t="shared" si="152"/>
        <v>0.33811306753855846</v>
      </c>
      <c r="R227" s="249">
        <f t="shared" si="152"/>
        <v>0.32116021239139447</v>
      </c>
      <c r="S227" s="249">
        <f t="shared" si="152"/>
        <v>0.30421328530491182</v>
      </c>
      <c r="T227" s="249">
        <f t="shared" si="152"/>
        <v>0.28724021479234491</v>
      </c>
      <c r="U227" s="249">
        <f t="shared" si="152"/>
        <v>0.2702508235925733</v>
      </c>
      <c r="V227" s="249">
        <f t="shared" si="152"/>
        <v>0.25325502919834175</v>
      </c>
      <c r="W227" s="249">
        <f t="shared" si="152"/>
        <v>0.23626283717999394</v>
      </c>
      <c r="X227" s="249">
        <f t="shared" si="152"/>
        <v>0.21919525317380939</v>
      </c>
      <c r="Y227" s="249">
        <f t="shared" si="152"/>
        <v>0.20224775160621222</v>
      </c>
      <c r="Z227" s="249">
        <f t="shared" si="152"/>
        <v>0.18496632122607229</v>
      </c>
      <c r="AA227" s="249">
        <f t="shared" si="152"/>
        <v>0.16780483306522587</v>
      </c>
      <c r="AB227" s="249">
        <f t="shared" si="152"/>
        <v>0.15077097468193151</v>
      </c>
      <c r="AC227" s="249">
        <f t="shared" si="152"/>
        <v>0.1338553984021835</v>
      </c>
      <c r="AD227" s="249">
        <f t="shared" si="152"/>
        <v>0.11708732052998314</v>
      </c>
      <c r="AE227" s="249">
        <f t="shared" si="152"/>
        <v>0.10047369293511149</v>
      </c>
      <c r="AF227" s="249">
        <f t="shared" si="152"/>
        <v>8.4021328829576317E-2</v>
      </c>
      <c r="AG227" s="249">
        <f t="shared" si="152"/>
        <v>6.7736895846166448E-2</v>
      </c>
      <c r="AI227" s="296"/>
    </row>
    <row r="228" spans="1:36" x14ac:dyDescent="0.2">
      <c r="A228" s="346" t="s">
        <v>1384</v>
      </c>
      <c r="B228" s="302" t="s">
        <v>704</v>
      </c>
      <c r="C228" s="249">
        <f t="shared" si="153"/>
        <v>1.6118439687788824</v>
      </c>
      <c r="D228" s="249">
        <f t="shared" si="152"/>
        <v>1.6316837851457835</v>
      </c>
      <c r="E228" s="249">
        <f t="shared" si="152"/>
        <v>1.6470549197570734</v>
      </c>
      <c r="F228" s="249">
        <f t="shared" si="152"/>
        <v>1.6578199873484678</v>
      </c>
      <c r="G228" s="249">
        <f t="shared" si="152"/>
        <v>1.6638795996760614</v>
      </c>
      <c r="H228" s="249">
        <f t="shared" si="152"/>
        <v>1.6651738476920388</v>
      </c>
      <c r="I228" s="249">
        <f t="shared" si="152"/>
        <v>1.6618263017819537</v>
      </c>
      <c r="J228" s="249">
        <f t="shared" si="152"/>
        <v>1.6572196245871433</v>
      </c>
      <c r="K228" s="249">
        <f t="shared" si="152"/>
        <v>1.6513496755445385</v>
      </c>
      <c r="L228" s="249">
        <f t="shared" si="152"/>
        <v>1.6442148053088734</v>
      </c>
      <c r="M228" s="249">
        <f t="shared" si="152"/>
        <v>1.6358158959060927</v>
      </c>
      <c r="N228" s="249">
        <f t="shared" si="152"/>
        <v>1.6233701673550622</v>
      </c>
      <c r="O228" s="249">
        <f t="shared" si="152"/>
        <v>1.607577756387921</v>
      </c>
      <c r="P228" s="249">
        <f t="shared" si="152"/>
        <v>1.5864147563791402</v>
      </c>
      <c r="Q228" s="249">
        <f t="shared" si="152"/>
        <v>1.5619871289105249</v>
      </c>
      <c r="R228" s="249">
        <f t="shared" si="152"/>
        <v>1.5344321258699971</v>
      </c>
      <c r="S228" s="249">
        <f t="shared" si="152"/>
        <v>1.5068064287758924</v>
      </c>
      <c r="T228" s="249">
        <f t="shared" si="152"/>
        <v>1.4789310232696777</v>
      </c>
      <c r="U228" s="249">
        <f t="shared" si="152"/>
        <v>1.4508202108653947</v>
      </c>
      <c r="V228" s="249">
        <f t="shared" si="152"/>
        <v>1.4224885284878834</v>
      </c>
      <c r="W228" s="249">
        <f t="shared" si="152"/>
        <v>1.3939507393619655</v>
      </c>
      <c r="X228" s="249">
        <f t="shared" si="152"/>
        <v>1.3646672213724274</v>
      </c>
      <c r="Y228" s="249">
        <f t="shared" si="152"/>
        <v>1.335775847817775</v>
      </c>
      <c r="Z228" s="249">
        <f t="shared" si="152"/>
        <v>1.3041296319357261</v>
      </c>
      <c r="AA228" s="249">
        <f t="shared" si="152"/>
        <v>1.272519984077964</v>
      </c>
      <c r="AB228" s="249">
        <f t="shared" si="152"/>
        <v>1.2409610993051299</v>
      </c>
      <c r="AC228" s="249">
        <f t="shared" si="152"/>
        <v>1.2093142890128314</v>
      </c>
      <c r="AD228" s="249">
        <f t="shared" si="152"/>
        <v>1.177760694742773</v>
      </c>
      <c r="AE228" s="249">
        <f t="shared" si="152"/>
        <v>1.1463134966687738</v>
      </c>
      <c r="AF228" s="249">
        <f t="shared" si="152"/>
        <v>1.1149857420357312</v>
      </c>
      <c r="AG228" s="249">
        <f t="shared" si="152"/>
        <v>1.0837903335386632</v>
      </c>
      <c r="AI228" s="296"/>
    </row>
    <row r="229" spans="1:36" x14ac:dyDescent="0.2">
      <c r="A229" s="346" t="s">
        <v>1385</v>
      </c>
      <c r="B229" s="302" t="s">
        <v>704</v>
      </c>
      <c r="C229" s="249">
        <f t="shared" si="153"/>
        <v>0.41788547338711768</v>
      </c>
      <c r="D229" s="249">
        <f t="shared" si="152"/>
        <v>0.42681090249745773</v>
      </c>
      <c r="E229" s="249">
        <f t="shared" si="152"/>
        <v>0.43475561333689239</v>
      </c>
      <c r="F229" s="249">
        <f t="shared" si="152"/>
        <v>0.44165860666812445</v>
      </c>
      <c r="G229" s="249">
        <f t="shared" si="152"/>
        <v>0.44746631531758285</v>
      </c>
      <c r="H229" s="249">
        <f t="shared" si="152"/>
        <v>0.45213329639320227</v>
      </c>
      <c r="I229" s="249">
        <f t="shared" si="152"/>
        <v>0.45566205048859992</v>
      </c>
      <c r="J229" s="249">
        <f t="shared" si="152"/>
        <v>0.45895714023354689</v>
      </c>
      <c r="K229" s="249">
        <f t="shared" si="152"/>
        <v>0.46201195908586778</v>
      </c>
      <c r="L229" s="249">
        <f t="shared" si="152"/>
        <v>0.4648202192223394</v>
      </c>
      <c r="M229" s="249">
        <f t="shared" si="152"/>
        <v>0.46737597025888328</v>
      </c>
      <c r="N229" s="249">
        <f t="shared" si="152"/>
        <v>0.46886888723317438</v>
      </c>
      <c r="O229" s="249">
        <f t="shared" si="152"/>
        <v>0.46946961027257833</v>
      </c>
      <c r="P229" s="249">
        <f t="shared" si="152"/>
        <v>0.46855128486760178</v>
      </c>
      <c r="Q229" s="249">
        <f t="shared" si="152"/>
        <v>0.46669127632082719</v>
      </c>
      <c r="R229" s="249">
        <f t="shared" si="152"/>
        <v>0.46389808456534753</v>
      </c>
      <c r="S229" s="249">
        <f t="shared" si="152"/>
        <v>0.46107326054025694</v>
      </c>
      <c r="T229" s="249">
        <f t="shared" si="152"/>
        <v>0.45816001202415335</v>
      </c>
      <c r="U229" s="249">
        <f t="shared" si="152"/>
        <v>0.45515928184012339</v>
      </c>
      <c r="V229" s="249">
        <f t="shared" si="152"/>
        <v>0.45207206146619877</v>
      </c>
      <c r="W229" s="249">
        <f t="shared" si="152"/>
        <v>0.44889939064198842</v>
      </c>
      <c r="X229" s="249">
        <f t="shared" si="152"/>
        <v>0.44546132096612873</v>
      </c>
      <c r="Y229" s="249">
        <f t="shared" si="152"/>
        <v>0.44212299188334758</v>
      </c>
      <c r="Z229" s="249">
        <f t="shared" si="152"/>
        <v>0.43783167176298121</v>
      </c>
      <c r="AA229" s="249">
        <f t="shared" si="152"/>
        <v>0.43349581875183352</v>
      </c>
      <c r="AB229" s="249">
        <f t="shared" si="152"/>
        <v>0.42911738947934369</v>
      </c>
      <c r="AC229" s="249">
        <f t="shared" si="152"/>
        <v>0.42464471217244437</v>
      </c>
      <c r="AD229" s="249">
        <f t="shared" si="152"/>
        <v>0.42013685601935158</v>
      </c>
      <c r="AE229" s="249">
        <f t="shared" si="152"/>
        <v>0.41559572986796167</v>
      </c>
      <c r="AF229" s="249">
        <f t="shared" si="152"/>
        <v>0.41102325724738759</v>
      </c>
      <c r="AG229" s="249">
        <f t="shared" si="152"/>
        <v>0.4064213750769986</v>
      </c>
      <c r="AI229" s="296"/>
    </row>
    <row r="230" spans="1:36" s="68" customFormat="1" x14ac:dyDescent="0.2">
      <c r="A230" s="347" t="s">
        <v>1386</v>
      </c>
      <c r="B230" s="312" t="s">
        <v>704</v>
      </c>
      <c r="C230" s="313">
        <f t="shared" si="153"/>
        <v>0.2984896238479412</v>
      </c>
      <c r="D230" s="313">
        <f t="shared" si="152"/>
        <v>0.30223929937619015</v>
      </c>
      <c r="E230" s="313">
        <f t="shared" si="152"/>
        <v>0.30516499782301099</v>
      </c>
      <c r="F230" s="313">
        <f t="shared" si="152"/>
        <v>0.30724076985608656</v>
      </c>
      <c r="G230" s="313">
        <f t="shared" si="152"/>
        <v>0.30844765424804255</v>
      </c>
      <c r="H230" s="313">
        <f t="shared" si="152"/>
        <v>0.30877395851243084</v>
      </c>
      <c r="I230" s="313">
        <f t="shared" si="152"/>
        <v>0.3082419753305235</v>
      </c>
      <c r="J230" s="313">
        <f t="shared" si="152"/>
        <v>0.30747867523035655</v>
      </c>
      <c r="K230" s="313">
        <f t="shared" si="152"/>
        <v>0.30648318077973408</v>
      </c>
      <c r="L230" s="313">
        <f t="shared" si="152"/>
        <v>0.30525506934004382</v>
      </c>
      <c r="M230" s="313">
        <f t="shared" si="152"/>
        <v>0.30379438066827413</v>
      </c>
      <c r="N230" s="313">
        <f t="shared" si="152"/>
        <v>0.30158400786857448</v>
      </c>
      <c r="O230" s="313">
        <f t="shared" si="152"/>
        <v>0.29875338835527709</v>
      </c>
      <c r="P230" s="313">
        <f t="shared" si="152"/>
        <v>0.29492568184559703</v>
      </c>
      <c r="Q230" s="313">
        <f t="shared" si="152"/>
        <v>0.29049150873031082</v>
      </c>
      <c r="R230" s="313">
        <f t="shared" si="152"/>
        <v>0.28547574434790618</v>
      </c>
      <c r="S230" s="313">
        <f t="shared" si="152"/>
        <v>0.28044662239046553</v>
      </c>
      <c r="T230" s="313">
        <f t="shared" si="152"/>
        <v>0.2753707844290248</v>
      </c>
      <c r="U230" s="313">
        <f t="shared" si="152"/>
        <v>0.27025082359257324</v>
      </c>
      <c r="V230" s="313">
        <f t="shared" si="152"/>
        <v>0.26508937635714275</v>
      </c>
      <c r="W230" s="313">
        <f t="shared" si="152"/>
        <v>0.25988912089799326</v>
      </c>
      <c r="X230" s="313">
        <f t="shared" si="152"/>
        <v>0.25454932626635923</v>
      </c>
      <c r="Y230" s="313">
        <f t="shared" si="152"/>
        <v>0.24928211244486617</v>
      </c>
      <c r="Z230" s="313">
        <f t="shared" si="152"/>
        <v>0.24349996718369002</v>
      </c>
      <c r="AA230" s="313">
        <f t="shared" si="152"/>
        <v>0.23772351350906989</v>
      </c>
      <c r="AB230" s="313">
        <f t="shared" si="152"/>
        <v>0.23195534566450995</v>
      </c>
      <c r="AC230" s="313">
        <f t="shared" si="152"/>
        <v>0.22616946626575826</v>
      </c>
      <c r="AD230" s="313">
        <f t="shared" si="152"/>
        <v>0.22039966217408588</v>
      </c>
      <c r="AE230" s="313">
        <f t="shared" si="152"/>
        <v>0.21464834399773824</v>
      </c>
      <c r="AF230" s="313">
        <f t="shared" si="152"/>
        <v>0.20891789871137911</v>
      </c>
      <c r="AG230" s="313">
        <f t="shared" si="152"/>
        <v>0.2032106875384993</v>
      </c>
      <c r="AI230" s="314"/>
      <c r="AJ230" s="315"/>
    </row>
    <row r="231" spans="1:36" s="181" customFormat="1" x14ac:dyDescent="0.2">
      <c r="B231" s="176"/>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c r="AJ231" s="323"/>
    </row>
    <row r="232" spans="1:36" s="181" customFormat="1" x14ac:dyDescent="0.2">
      <c r="A232" s="181" t="s">
        <v>1699</v>
      </c>
      <c r="B232" s="350" t="s">
        <v>704</v>
      </c>
      <c r="C232" s="230">
        <f>C165</f>
        <v>0.29411849599012857</v>
      </c>
      <c r="D232" s="230">
        <f t="shared" ref="D232:AG232" si="154">D165</f>
        <v>0.34519391601580796</v>
      </c>
      <c r="E232" s="230">
        <f t="shared" si="154"/>
        <v>0.39831912413837989</v>
      </c>
      <c r="F232" s="230">
        <f t="shared" si="154"/>
        <v>0.45320403767359185</v>
      </c>
      <c r="G232" s="230">
        <f t="shared" si="154"/>
        <v>0.50952766795758908</v>
      </c>
      <c r="H232" s="230">
        <f t="shared" si="154"/>
        <v>0.56694107323375775</v>
      </c>
      <c r="I232" s="230">
        <f t="shared" si="154"/>
        <v>0.62641941356681119</v>
      </c>
      <c r="J232" s="230">
        <f t="shared" si="154"/>
        <v>0.68795506012102126</v>
      </c>
      <c r="K232" s="230">
        <f t="shared" si="154"/>
        <v>0.75153632267378723</v>
      </c>
      <c r="L232" s="230">
        <f t="shared" si="154"/>
        <v>0.81714735238699321</v>
      </c>
      <c r="M232" s="230">
        <f t="shared" si="154"/>
        <v>0.88476805342840015</v>
      </c>
      <c r="N232" s="230">
        <f t="shared" si="154"/>
        <v>0.95300849459260484</v>
      </c>
      <c r="O232" s="230">
        <f t="shared" si="154"/>
        <v>1.0215355823934487</v>
      </c>
      <c r="P232" s="230">
        <f t="shared" si="154"/>
        <v>1.0870910706218975</v>
      </c>
      <c r="Q232" s="230">
        <f t="shared" si="154"/>
        <v>1.1518678604188317</v>
      </c>
      <c r="R232" s="230">
        <f t="shared" si="154"/>
        <v>1.2155076545204895</v>
      </c>
      <c r="S232" s="230">
        <f t="shared" si="154"/>
        <v>1.2799536061543284</v>
      </c>
      <c r="T232" s="230">
        <f t="shared" si="154"/>
        <v>1.3451939781282043</v>
      </c>
      <c r="U232" s="230">
        <f t="shared" si="154"/>
        <v>1.4112165064713547</v>
      </c>
      <c r="V232" s="230">
        <f t="shared" si="154"/>
        <v>1.4780084012843697</v>
      </c>
      <c r="W232" s="230">
        <f t="shared" si="154"/>
        <v>1.5455563479778549</v>
      </c>
      <c r="X232" s="230">
        <f t="shared" si="154"/>
        <v>1.6138642844735123</v>
      </c>
      <c r="Y232" s="230">
        <f t="shared" si="154"/>
        <v>1.6829201613436884</v>
      </c>
      <c r="Z232" s="230">
        <f t="shared" si="154"/>
        <v>1.7430837174639018</v>
      </c>
      <c r="AA232" s="230">
        <f t="shared" si="154"/>
        <v>1.8031425867109074</v>
      </c>
      <c r="AB232" s="230">
        <f t="shared" si="154"/>
        <v>1.8630648039684281</v>
      </c>
      <c r="AC232" s="230">
        <f t="shared" si="154"/>
        <v>1.9228362246638644</v>
      </c>
      <c r="AD232" s="230">
        <f t="shared" si="154"/>
        <v>1.9824258980383651</v>
      </c>
      <c r="AE232" s="230">
        <f t="shared" si="154"/>
        <v>2.0418025387332266</v>
      </c>
      <c r="AF232" s="230">
        <f t="shared" si="154"/>
        <v>2.1009345410721041</v>
      </c>
      <c r="AG232" s="230">
        <f t="shared" si="154"/>
        <v>2.1597899937464682</v>
      </c>
      <c r="AI232" s="694" t="s">
        <v>1391</v>
      </c>
      <c r="AJ232" s="323"/>
    </row>
    <row r="233" spans="1:36" s="181" customFormat="1" x14ac:dyDescent="0.2">
      <c r="A233" s="181" t="s">
        <v>1700</v>
      </c>
      <c r="B233" s="349" t="s">
        <v>704</v>
      </c>
      <c r="C233" s="249">
        <f>C232/(1-C190)</f>
        <v>0.40290204930154599</v>
      </c>
      <c r="D233" s="249">
        <f t="shared" ref="D233:AG233" si="155">D232/(1-D190)</f>
        <v>0.47029143871363482</v>
      </c>
      <c r="E233" s="249">
        <f t="shared" si="155"/>
        <v>0.53972781048560958</v>
      </c>
      <c r="F233" s="249">
        <f t="shared" si="155"/>
        <v>0.61078711276764397</v>
      </c>
      <c r="G233" s="249">
        <f t="shared" si="155"/>
        <v>0.68301295972867171</v>
      </c>
      <c r="H233" s="249">
        <f t="shared" si="155"/>
        <v>0.75592143097834363</v>
      </c>
      <c r="I233" s="249">
        <f t="shared" si="155"/>
        <v>0.83079497820531989</v>
      </c>
      <c r="J233" s="249">
        <f t="shared" si="155"/>
        <v>0.90759242760029191</v>
      </c>
      <c r="K233" s="249">
        <f t="shared" si="155"/>
        <v>0.9862681399918467</v>
      </c>
      <c r="L233" s="249">
        <f t="shared" si="155"/>
        <v>1.066772000505213</v>
      </c>
      <c r="M233" s="249">
        <f t="shared" si="155"/>
        <v>1.1490494200368833</v>
      </c>
      <c r="N233" s="249">
        <f t="shared" si="155"/>
        <v>1.231277124796647</v>
      </c>
      <c r="O233" s="249">
        <f t="shared" si="155"/>
        <v>1.3130277408656152</v>
      </c>
      <c r="P233" s="249">
        <f t="shared" si="155"/>
        <v>1.390142034043347</v>
      </c>
      <c r="Q233" s="249">
        <f t="shared" si="155"/>
        <v>1.4654807384463506</v>
      </c>
      <c r="R233" s="249">
        <f t="shared" si="155"/>
        <v>1.5386172842031511</v>
      </c>
      <c r="S233" s="249">
        <f t="shared" si="155"/>
        <v>1.6120322495646453</v>
      </c>
      <c r="T233" s="249">
        <f t="shared" si="155"/>
        <v>1.6857067395090279</v>
      </c>
      <c r="U233" s="249">
        <f t="shared" si="155"/>
        <v>1.7596215791413399</v>
      </c>
      <c r="V233" s="249">
        <f t="shared" si="155"/>
        <v>1.8337573216927663</v>
      </c>
      <c r="W233" s="249">
        <f t="shared" si="155"/>
        <v>1.9080942567627837</v>
      </c>
      <c r="X233" s="249">
        <f t="shared" si="155"/>
        <v>1.9826342561099657</v>
      </c>
      <c r="Y233" s="249">
        <f t="shared" si="155"/>
        <v>2.0573596104446068</v>
      </c>
      <c r="Z233" s="249">
        <f t="shared" si="155"/>
        <v>2.1205398022675204</v>
      </c>
      <c r="AA233" s="249">
        <f t="shared" si="155"/>
        <v>2.1829813398437135</v>
      </c>
      <c r="AB233" s="249">
        <f t="shared" si="155"/>
        <v>2.2446563903234074</v>
      </c>
      <c r="AC233" s="249">
        <f t="shared" si="155"/>
        <v>2.3055590223787341</v>
      </c>
      <c r="AD233" s="249">
        <f t="shared" si="155"/>
        <v>2.3656633628142778</v>
      </c>
      <c r="AE233" s="249">
        <f t="shared" si="155"/>
        <v>2.4249436326997937</v>
      </c>
      <c r="AF233" s="249">
        <f t="shared" si="155"/>
        <v>2.4833741620237633</v>
      </c>
      <c r="AG233" s="249">
        <f t="shared" si="155"/>
        <v>2.5409294044076098</v>
      </c>
      <c r="AI233" s="694"/>
      <c r="AJ233" s="323"/>
    </row>
    <row r="234" spans="1:36" s="181" customFormat="1" x14ac:dyDescent="0.2">
      <c r="A234" s="181" t="s">
        <v>1701</v>
      </c>
      <c r="B234" s="349" t="s">
        <v>704</v>
      </c>
      <c r="C234" s="249">
        <f>C222</f>
        <v>0.24993004782066314</v>
      </c>
      <c r="D234" s="249">
        <f t="shared" ref="D234:AG234" si="156">D222</f>
        <v>0.28499345478989185</v>
      </c>
      <c r="E234" s="249">
        <f t="shared" si="156"/>
        <v>0.32143987392781775</v>
      </c>
      <c r="F234" s="249">
        <f t="shared" si="156"/>
        <v>0.35908029402512109</v>
      </c>
      <c r="G234" s="249">
        <f t="shared" si="156"/>
        <v>0.39770425303783935</v>
      </c>
      <c r="H234" s="249">
        <f t="shared" si="156"/>
        <v>0.43708163329424088</v>
      </c>
      <c r="I234" s="249">
        <f t="shared" si="156"/>
        <v>0.47709020178536748</v>
      </c>
      <c r="J234" s="249">
        <f t="shared" si="156"/>
        <v>0.51847558875559541</v>
      </c>
      <c r="K234" s="249">
        <f t="shared" si="156"/>
        <v>0.5612292105969694</v>
      </c>
      <c r="L234" s="249">
        <f t="shared" si="156"/>
        <v>0.60533955751193957</v>
      </c>
      <c r="M234" s="249">
        <f t="shared" si="156"/>
        <v>0.65079213104534239</v>
      </c>
      <c r="N234" s="249">
        <f t="shared" si="156"/>
        <v>0.69639760054636801</v>
      </c>
      <c r="O234" s="249">
        <f t="shared" si="156"/>
        <v>0.74215511004476309</v>
      </c>
      <c r="P234" s="249">
        <f t="shared" si="156"/>
        <v>0.78666026319506754</v>
      </c>
      <c r="Q234" s="249">
        <f t="shared" si="156"/>
        <v>0.83064626529191943</v>
      </c>
      <c r="R234" s="249">
        <f t="shared" si="156"/>
        <v>0.87386998216419998</v>
      </c>
      <c r="S234" s="249">
        <f t="shared" si="156"/>
        <v>0.91783619893414414</v>
      </c>
      <c r="T234" s="249">
        <f t="shared" si="156"/>
        <v>0.96244842560052235</v>
      </c>
      <c r="U234" s="249">
        <f t="shared" si="156"/>
        <v>1.0076981008968302</v>
      </c>
      <c r="V234" s="249">
        <f t="shared" si="156"/>
        <v>1.053576175458385</v>
      </c>
      <c r="W234" s="249">
        <f t="shared" si="156"/>
        <v>1.1000731112635855</v>
      </c>
      <c r="X234" s="249">
        <f t="shared" si="156"/>
        <v>1.1468017749114456</v>
      </c>
      <c r="Y234" s="249">
        <f t="shared" si="156"/>
        <v>1.1944998813892009</v>
      </c>
      <c r="Z234" s="249">
        <f t="shared" si="156"/>
        <v>1.2394524655971473</v>
      </c>
      <c r="AA234" s="249">
        <f t="shared" si="156"/>
        <v>1.2847062001070599</v>
      </c>
      <c r="AB234" s="249">
        <f t="shared" si="156"/>
        <v>1.3302426418482372</v>
      </c>
      <c r="AC234" s="249">
        <f t="shared" si="156"/>
        <v>1.3759096727197313</v>
      </c>
      <c r="AD234" s="249">
        <f t="shared" si="156"/>
        <v>1.4218236577857524</v>
      </c>
      <c r="AE234" s="249">
        <f t="shared" si="156"/>
        <v>1.467965827985301</v>
      </c>
      <c r="AF234" s="249">
        <f t="shared" si="156"/>
        <v>1.5143169938173189</v>
      </c>
      <c r="AG234" s="249">
        <f t="shared" si="156"/>
        <v>1.5608575519316032</v>
      </c>
      <c r="AI234" s="694"/>
      <c r="AJ234" s="323"/>
    </row>
    <row r="235" spans="1:36" s="181" customFormat="1" x14ac:dyDescent="0.2">
      <c r="A235" s="181" t="s">
        <v>1702</v>
      </c>
      <c r="B235" s="349" t="s">
        <v>704</v>
      </c>
      <c r="C235" s="249">
        <f>C233-C234</f>
        <v>0.15297200148088286</v>
      </c>
      <c r="D235" s="249">
        <f t="shared" ref="D235:AG235" si="157">D233-D234</f>
        <v>0.18529798392374297</v>
      </c>
      <c r="E235" s="249">
        <f t="shared" si="157"/>
        <v>0.21828793655779183</v>
      </c>
      <c r="F235" s="249">
        <f t="shared" si="157"/>
        <v>0.25170681874252288</v>
      </c>
      <c r="G235" s="249">
        <f t="shared" si="157"/>
        <v>0.28530870669083236</v>
      </c>
      <c r="H235" s="249">
        <f t="shared" si="157"/>
        <v>0.31883979768410275</v>
      </c>
      <c r="I235" s="249">
        <f t="shared" si="157"/>
        <v>0.3537047764199524</v>
      </c>
      <c r="J235" s="249">
        <f t="shared" si="157"/>
        <v>0.3891168388446965</v>
      </c>
      <c r="K235" s="249">
        <f t="shared" si="157"/>
        <v>0.42503892939487731</v>
      </c>
      <c r="L235" s="249">
        <f t="shared" si="157"/>
        <v>0.46143244299327346</v>
      </c>
      <c r="M235" s="249">
        <f t="shared" si="157"/>
        <v>0.49825728899154087</v>
      </c>
      <c r="N235" s="249">
        <f t="shared" si="157"/>
        <v>0.53487952425027896</v>
      </c>
      <c r="O235" s="249">
        <f t="shared" si="157"/>
        <v>0.57087263082085216</v>
      </c>
      <c r="P235" s="249">
        <f t="shared" si="157"/>
        <v>0.60348177084827948</v>
      </c>
      <c r="Q235" s="249">
        <f t="shared" si="157"/>
        <v>0.6348344731544312</v>
      </c>
      <c r="R235" s="249">
        <f t="shared" si="157"/>
        <v>0.66474730203895116</v>
      </c>
      <c r="S235" s="249">
        <f t="shared" si="157"/>
        <v>0.69419605063050116</v>
      </c>
      <c r="T235" s="249">
        <f t="shared" si="157"/>
        <v>0.72325831390850559</v>
      </c>
      <c r="U235" s="249">
        <f t="shared" si="157"/>
        <v>0.75192347824450967</v>
      </c>
      <c r="V235" s="249">
        <f t="shared" si="157"/>
        <v>0.78018114623438128</v>
      </c>
      <c r="W235" s="249">
        <f t="shared" si="157"/>
        <v>0.80802114549919812</v>
      </c>
      <c r="X235" s="249">
        <f t="shared" si="157"/>
        <v>0.83583248119852005</v>
      </c>
      <c r="Y235" s="249">
        <f t="shared" si="157"/>
        <v>0.86285972905540587</v>
      </c>
      <c r="Z235" s="249">
        <f t="shared" si="157"/>
        <v>0.88108733667037309</v>
      </c>
      <c r="AA235" s="249">
        <f t="shared" si="157"/>
        <v>0.89827513973665352</v>
      </c>
      <c r="AB235" s="249">
        <f t="shared" si="157"/>
        <v>0.91441374847517021</v>
      </c>
      <c r="AC235" s="249">
        <f t="shared" si="157"/>
        <v>0.92964934965900281</v>
      </c>
      <c r="AD235" s="249">
        <f t="shared" si="157"/>
        <v>0.94383970502852543</v>
      </c>
      <c r="AE235" s="249">
        <f t="shared" si="157"/>
        <v>0.95697780471449279</v>
      </c>
      <c r="AF235" s="249">
        <f t="shared" si="157"/>
        <v>0.96905716820644439</v>
      </c>
      <c r="AG235" s="249">
        <f t="shared" si="157"/>
        <v>0.98007185247600659</v>
      </c>
      <c r="AI235" s="694"/>
      <c r="AJ235" s="323"/>
    </row>
    <row r="236" spans="1:36" s="181" customFormat="1" x14ac:dyDescent="0.2">
      <c r="A236" s="181" t="s">
        <v>1703</v>
      </c>
      <c r="B236" s="349" t="s">
        <v>704</v>
      </c>
      <c r="C236" s="249">
        <f>(C235)/(1-C187)</f>
        <v>0.19121500185110357</v>
      </c>
      <c r="D236" s="249">
        <f t="shared" ref="D236:AG236" si="158">(D233-D222)/(1-D187)</f>
        <v>0.23066139077644354</v>
      </c>
      <c r="E236" s="249">
        <f t="shared" si="158"/>
        <v>0.27060488003032046</v>
      </c>
      <c r="F236" s="249">
        <f t="shared" si="158"/>
        <v>0.31074915894138627</v>
      </c>
      <c r="G236" s="249">
        <f t="shared" si="158"/>
        <v>0.3507893934723349</v>
      </c>
      <c r="H236" s="249">
        <f t="shared" si="158"/>
        <v>0.39041607879686052</v>
      </c>
      <c r="I236" s="249">
        <f t="shared" si="158"/>
        <v>0.43134728831701513</v>
      </c>
      <c r="J236" s="249">
        <f t="shared" si="158"/>
        <v>0.47261154515550186</v>
      </c>
      <c r="K236" s="249">
        <f t="shared" si="158"/>
        <v>0.51415999523573863</v>
      </c>
      <c r="L236" s="249">
        <f t="shared" si="158"/>
        <v>0.55594270240153432</v>
      </c>
      <c r="M236" s="249">
        <f t="shared" si="158"/>
        <v>0.59790874678984907</v>
      </c>
      <c r="N236" s="249">
        <f t="shared" si="158"/>
        <v>0.63929823615571202</v>
      </c>
      <c r="O236" s="249">
        <f t="shared" si="158"/>
        <v>0.67961027478672886</v>
      </c>
      <c r="P236" s="249">
        <f t="shared" si="158"/>
        <v>0.71559103262641843</v>
      </c>
      <c r="Q236" s="249">
        <f t="shared" si="158"/>
        <v>0.74980449585169051</v>
      </c>
      <c r="R236" s="249">
        <f t="shared" si="158"/>
        <v>0.78205564945758976</v>
      </c>
      <c r="S236" s="249">
        <f t="shared" si="158"/>
        <v>0.81351099683261863</v>
      </c>
      <c r="T236" s="249">
        <f t="shared" si="158"/>
        <v>0.84427040534066811</v>
      </c>
      <c r="U236" s="249">
        <f t="shared" si="158"/>
        <v>0.87432962586570906</v>
      </c>
      <c r="V236" s="249">
        <f t="shared" si="158"/>
        <v>0.90368472536800937</v>
      </c>
      <c r="W236" s="249">
        <f t="shared" si="158"/>
        <v>0.93233209096061342</v>
      </c>
      <c r="X236" s="249">
        <f t="shared" si="158"/>
        <v>0.96072698988335647</v>
      </c>
      <c r="Y236" s="249">
        <f t="shared" si="158"/>
        <v>0.9880073233458847</v>
      </c>
      <c r="Z236" s="249">
        <f t="shared" si="158"/>
        <v>1.0050425893578403</v>
      </c>
      <c r="AA236" s="249">
        <f t="shared" si="158"/>
        <v>1.0207672042461973</v>
      </c>
      <c r="AB236" s="249">
        <f t="shared" si="158"/>
        <v>1.0351853756322684</v>
      </c>
      <c r="AC236" s="249">
        <f t="shared" si="158"/>
        <v>1.0484767101417327</v>
      </c>
      <c r="AD236" s="249">
        <f t="shared" si="158"/>
        <v>1.0604940505938492</v>
      </c>
      <c r="AE236" s="249">
        <f t="shared" si="158"/>
        <v>1.0712438112475668</v>
      </c>
      <c r="AF236" s="249">
        <f t="shared" si="158"/>
        <v>1.0807329013454772</v>
      </c>
      <c r="AG236" s="249">
        <f t="shared" si="158"/>
        <v>1.0889687249733406</v>
      </c>
      <c r="AI236" s="694"/>
      <c r="AJ236" s="323"/>
    </row>
    <row r="237" spans="1:36" s="181" customFormat="1" x14ac:dyDescent="0.2">
      <c r="A237" s="181" t="s">
        <v>1704</v>
      </c>
      <c r="B237" s="349" t="s">
        <v>704</v>
      </c>
      <c r="C237" s="249">
        <f>IF(C216&gt;C236,C236,C216)</f>
        <v>0.19121500185110357</v>
      </c>
      <c r="D237" s="249">
        <f t="shared" ref="D237:AG237" si="159">IF(D216&gt;D236,D236,D216)</f>
        <v>0.23066139077644354</v>
      </c>
      <c r="E237" s="249">
        <f t="shared" si="159"/>
        <v>0.27060488003032046</v>
      </c>
      <c r="F237" s="249">
        <f t="shared" si="159"/>
        <v>0.31074915894138627</v>
      </c>
      <c r="G237" s="249">
        <f t="shared" si="159"/>
        <v>0.3507893934723349</v>
      </c>
      <c r="H237" s="249">
        <f t="shared" si="159"/>
        <v>0.39041607879686052</v>
      </c>
      <c r="I237" s="249">
        <f t="shared" si="159"/>
        <v>0.43134728831701513</v>
      </c>
      <c r="J237" s="249">
        <f t="shared" si="159"/>
        <v>0.47261154515550186</v>
      </c>
      <c r="K237" s="249">
        <f t="shared" si="159"/>
        <v>0.51415999523573863</v>
      </c>
      <c r="L237" s="249">
        <f t="shared" si="159"/>
        <v>0.55594270240153432</v>
      </c>
      <c r="M237" s="249">
        <f t="shared" si="159"/>
        <v>0.59790874678984907</v>
      </c>
      <c r="N237" s="249">
        <f t="shared" si="159"/>
        <v>0.63929823615571202</v>
      </c>
      <c r="O237" s="249">
        <f t="shared" si="159"/>
        <v>0.67961027478672886</v>
      </c>
      <c r="P237" s="249">
        <f t="shared" si="159"/>
        <v>0.71559103262641843</v>
      </c>
      <c r="Q237" s="249">
        <f t="shared" si="159"/>
        <v>0.74980449585169051</v>
      </c>
      <c r="R237" s="249">
        <f t="shared" si="159"/>
        <v>0.78205564945758976</v>
      </c>
      <c r="S237" s="249">
        <f t="shared" si="159"/>
        <v>0.81351099683261863</v>
      </c>
      <c r="T237" s="249">
        <f t="shared" si="159"/>
        <v>0.84427040534066811</v>
      </c>
      <c r="U237" s="249">
        <f t="shared" si="159"/>
        <v>0.87432962586570906</v>
      </c>
      <c r="V237" s="249">
        <f t="shared" si="159"/>
        <v>0.90368472536800937</v>
      </c>
      <c r="W237" s="249">
        <f t="shared" si="159"/>
        <v>0.93233209096061342</v>
      </c>
      <c r="X237" s="249">
        <f t="shared" si="159"/>
        <v>0.96072698988335647</v>
      </c>
      <c r="Y237" s="249">
        <f t="shared" si="159"/>
        <v>0.9880073233458847</v>
      </c>
      <c r="Z237" s="249">
        <f t="shared" si="159"/>
        <v>1.0050425893578403</v>
      </c>
      <c r="AA237" s="249">
        <f t="shared" si="159"/>
        <v>1.0207672042461973</v>
      </c>
      <c r="AB237" s="249">
        <f t="shared" si="159"/>
        <v>1.0351853756322684</v>
      </c>
      <c r="AC237" s="249">
        <f t="shared" si="159"/>
        <v>1.0484767101417327</v>
      </c>
      <c r="AD237" s="249">
        <f t="shared" si="159"/>
        <v>1.0604940505938492</v>
      </c>
      <c r="AE237" s="249">
        <f t="shared" si="159"/>
        <v>1.0712438112475668</v>
      </c>
      <c r="AF237" s="249">
        <f t="shared" si="159"/>
        <v>1.0807329013454772</v>
      </c>
      <c r="AG237" s="249">
        <f t="shared" si="159"/>
        <v>1.0889687249733406</v>
      </c>
      <c r="AI237" s="694"/>
      <c r="AJ237" s="323"/>
    </row>
    <row r="238" spans="1:36" s="181" customFormat="1" x14ac:dyDescent="0.2">
      <c r="A238" s="181" t="s">
        <v>1705</v>
      </c>
      <c r="B238" s="349" t="s">
        <v>704</v>
      </c>
      <c r="C238" s="249">
        <f>IF(C236-C237&lt;0,0,C236-C237)</f>
        <v>0</v>
      </c>
      <c r="D238" s="249">
        <f t="shared" ref="D238:AG238" si="160">IF(D236-D237&lt;0,0,D236-D237)</f>
        <v>0</v>
      </c>
      <c r="E238" s="249">
        <f t="shared" si="160"/>
        <v>0</v>
      </c>
      <c r="F238" s="249">
        <f t="shared" si="160"/>
        <v>0</v>
      </c>
      <c r="G238" s="249">
        <f t="shared" si="160"/>
        <v>0</v>
      </c>
      <c r="H238" s="249">
        <f t="shared" si="160"/>
        <v>0</v>
      </c>
      <c r="I238" s="249">
        <f t="shared" si="160"/>
        <v>0</v>
      </c>
      <c r="J238" s="249">
        <f t="shared" si="160"/>
        <v>0</v>
      </c>
      <c r="K238" s="249">
        <f t="shared" si="160"/>
        <v>0</v>
      </c>
      <c r="L238" s="249">
        <f t="shared" si="160"/>
        <v>0</v>
      </c>
      <c r="M238" s="249">
        <f t="shared" si="160"/>
        <v>0</v>
      </c>
      <c r="N238" s="249">
        <f t="shared" si="160"/>
        <v>0</v>
      </c>
      <c r="O238" s="249">
        <f t="shared" si="160"/>
        <v>0</v>
      </c>
      <c r="P238" s="249">
        <f t="shared" si="160"/>
        <v>0</v>
      </c>
      <c r="Q238" s="249">
        <f t="shared" si="160"/>
        <v>0</v>
      </c>
      <c r="R238" s="249">
        <f t="shared" si="160"/>
        <v>0</v>
      </c>
      <c r="S238" s="249">
        <f t="shared" si="160"/>
        <v>0</v>
      </c>
      <c r="T238" s="249">
        <f t="shared" si="160"/>
        <v>0</v>
      </c>
      <c r="U238" s="249">
        <f t="shared" si="160"/>
        <v>0</v>
      </c>
      <c r="V238" s="249">
        <f t="shared" si="160"/>
        <v>0</v>
      </c>
      <c r="W238" s="249">
        <f t="shared" si="160"/>
        <v>0</v>
      </c>
      <c r="X238" s="249">
        <f t="shared" si="160"/>
        <v>0</v>
      </c>
      <c r="Y238" s="249">
        <f t="shared" si="160"/>
        <v>0</v>
      </c>
      <c r="Z238" s="249">
        <f t="shared" si="160"/>
        <v>0</v>
      </c>
      <c r="AA238" s="249">
        <f t="shared" si="160"/>
        <v>0</v>
      </c>
      <c r="AB238" s="249">
        <f t="shared" si="160"/>
        <v>0</v>
      </c>
      <c r="AC238" s="249">
        <f t="shared" si="160"/>
        <v>0</v>
      </c>
      <c r="AD238" s="249">
        <f t="shared" si="160"/>
        <v>0</v>
      </c>
      <c r="AE238" s="249">
        <f t="shared" si="160"/>
        <v>0</v>
      </c>
      <c r="AF238" s="249">
        <f t="shared" si="160"/>
        <v>0</v>
      </c>
      <c r="AG238" s="249">
        <f t="shared" si="160"/>
        <v>0</v>
      </c>
      <c r="AI238" s="694"/>
      <c r="AJ238" s="323"/>
    </row>
    <row r="239" spans="1:36" s="181" customFormat="1" x14ac:dyDescent="0.2">
      <c r="A239" s="181" t="s">
        <v>1706</v>
      </c>
      <c r="B239" s="349" t="s">
        <v>704</v>
      </c>
      <c r="C239" s="249">
        <f>C233*C190+C187*C236+C223+IF(C216&gt;C236,C216-C236,0)</f>
        <v>0.7187559083357169</v>
      </c>
      <c r="D239" s="249">
        <f t="shared" ref="D239:AG239" si="161">D233*D190+D187*D236+D223+IF(D216&gt;D236,D216-D236,0)</f>
        <v>0.76216214461465359</v>
      </c>
      <c r="E239" s="249">
        <f t="shared" si="161"/>
        <v>0.80570431167663137</v>
      </c>
      <c r="F239" s="249">
        <f t="shared" si="161"/>
        <v>0.84912628875367036</v>
      </c>
      <c r="G239" s="249">
        <f t="shared" si="161"/>
        <v>0.89216030280053371</v>
      </c>
      <c r="H239" s="249">
        <f t="shared" si="161"/>
        <v>0.93452957871282993</v>
      </c>
      <c r="I239" s="249">
        <f t="shared" si="161"/>
        <v>0.97502349306305214</v>
      </c>
      <c r="J239" s="249">
        <f t="shared" si="161"/>
        <v>1.0162575782931413</v>
      </c>
      <c r="K239" s="249">
        <f t="shared" si="161"/>
        <v>1.058196636124467</v>
      </c>
      <c r="L239" s="249">
        <f t="shared" si="161"/>
        <v>1.1008028661084994</v>
      </c>
      <c r="M239" s="249">
        <f t="shared" si="161"/>
        <v>1.1440358853464025</v>
      </c>
      <c r="N239" s="249">
        <f t="shared" si="161"/>
        <v>1.1856197203290124</v>
      </c>
      <c r="O239" s="249">
        <f t="shared" si="161"/>
        <v>1.2260227292605068</v>
      </c>
      <c r="P239" s="249">
        <f t="shared" si="161"/>
        <v>1.2644185196222495</v>
      </c>
      <c r="Q239" s="249">
        <f t="shared" si="161"/>
        <v>1.3010260024427254</v>
      </c>
      <c r="R239" s="249">
        <f t="shared" si="161"/>
        <v>1.3356289063137052</v>
      </c>
      <c r="S239" s="249">
        <f t="shared" si="161"/>
        <v>1.3707678786353765</v>
      </c>
      <c r="T239" s="249">
        <f t="shared" si="161"/>
        <v>1.4061651291057919</v>
      </c>
      <c r="U239" s="249">
        <f t="shared" si="161"/>
        <v>1.4418034792828283</v>
      </c>
      <c r="V239" s="249">
        <f t="shared" si="161"/>
        <v>1.477665278620456</v>
      </c>
      <c r="W239" s="249">
        <f t="shared" si="161"/>
        <v>1.5137324127082397</v>
      </c>
      <c r="X239" s="249">
        <f t="shared" si="161"/>
        <v>1.5489285050774102</v>
      </c>
      <c r="Y239" s="249">
        <f t="shared" si="161"/>
        <v>1.5853041701762915</v>
      </c>
      <c r="Z239" s="249">
        <f t="shared" si="161"/>
        <v>1.6223836652525723</v>
      </c>
      <c r="AA239" s="249">
        <f t="shared" si="161"/>
        <v>1.6597851983527572</v>
      </c>
      <c r="AB239" s="249">
        <f t="shared" si="161"/>
        <v>1.6974937477837992</v>
      </c>
      <c r="AC239" s="249">
        <f t="shared" si="161"/>
        <v>1.7351215780543183</v>
      </c>
      <c r="AD239" s="249">
        <f t="shared" si="161"/>
        <v>1.7730166054922007</v>
      </c>
      <c r="AE239" s="249">
        <f t="shared" si="161"/>
        <v>1.8111633234936932</v>
      </c>
      <c r="AF239" s="249">
        <f t="shared" si="161"/>
        <v>1.8495459169514452</v>
      </c>
      <c r="AG239" s="249">
        <f t="shared" si="161"/>
        <v>1.8881482728014256</v>
      </c>
      <c r="AI239" s="694"/>
      <c r="AJ239" s="323"/>
    </row>
    <row r="240" spans="1:36" s="181" customFormat="1" x14ac:dyDescent="0.2">
      <c r="A240" s="181" t="s">
        <v>1707</v>
      </c>
      <c r="B240" s="349" t="s">
        <v>704</v>
      </c>
      <c r="C240" s="249">
        <f>C219-C238</f>
        <v>4.2488108129512732</v>
      </c>
      <c r="D240" s="249">
        <f t="shared" ref="D240:AF240" si="162">D219-D238</f>
        <v>4.3547302127335925</v>
      </c>
      <c r="E240" s="249">
        <f t="shared" si="162"/>
        <v>4.4511467599594035</v>
      </c>
      <c r="F240" s="249">
        <f t="shared" si="162"/>
        <v>4.537323178616175</v>
      </c>
      <c r="G240" s="249">
        <f t="shared" si="162"/>
        <v>4.6125914884288797</v>
      </c>
      <c r="H240" s="249">
        <f t="shared" si="162"/>
        <v>4.6763616207635286</v>
      </c>
      <c r="I240" s="249">
        <f t="shared" si="162"/>
        <v>4.7293718728999581</v>
      </c>
      <c r="J240" s="249">
        <f t="shared" si="162"/>
        <v>4.7802446353874188</v>
      </c>
      <c r="K240" s="249">
        <f t="shared" si="162"/>
        <v>4.8288903035269071</v>
      </c>
      <c r="L240" s="249">
        <f t="shared" si="162"/>
        <v>4.8752217881473001</v>
      </c>
      <c r="M240" s="249">
        <f t="shared" si="162"/>
        <v>4.9191547556594539</v>
      </c>
      <c r="N240" s="249">
        <f t="shared" si="162"/>
        <v>4.9522749573252787</v>
      </c>
      <c r="O240" s="249">
        <f t="shared" si="162"/>
        <v>4.9760654964515787</v>
      </c>
      <c r="P240" s="249">
        <f t="shared" si="162"/>
        <v>4.9828621336120271</v>
      </c>
      <c r="Q240" s="249">
        <f t="shared" si="162"/>
        <v>4.9795172439022117</v>
      </c>
      <c r="R240" s="249">
        <f t="shared" si="162"/>
        <v>4.9660245760621446</v>
      </c>
      <c r="S240" s="249">
        <f t="shared" si="162"/>
        <v>4.9518755575716371</v>
      </c>
      <c r="T240" s="249">
        <f t="shared" si="162"/>
        <v>4.9365426868431799</v>
      </c>
      <c r="U240" s="249">
        <f t="shared" si="162"/>
        <v>4.9200292343694638</v>
      </c>
      <c r="V240" s="249">
        <f t="shared" si="162"/>
        <v>4.902339214148709</v>
      </c>
      <c r="W240" s="249">
        <f t="shared" si="162"/>
        <v>4.8834773856213785</v>
      </c>
      <c r="X240" s="249">
        <f t="shared" si="162"/>
        <v>4.8618505168058403</v>
      </c>
      <c r="Y240" s="249">
        <f t="shared" si="162"/>
        <v>4.8407086069476168</v>
      </c>
      <c r="Z240" s="249">
        <f t="shared" si="162"/>
        <v>4.8054896058598748</v>
      </c>
      <c r="AA240" s="249">
        <f t="shared" si="162"/>
        <v>4.7692021656415715</v>
      </c>
      <c r="AB240" s="249">
        <f t="shared" si="162"/>
        <v>4.7318631117172982</v>
      </c>
      <c r="AC240" s="249">
        <f t="shared" si="162"/>
        <v>4.6930355981056247</v>
      </c>
      <c r="AD240" s="249">
        <f t="shared" si="162"/>
        <v>4.6532372397171216</v>
      </c>
      <c r="AE240" s="249">
        <f t="shared" si="162"/>
        <v>4.6124862233443764</v>
      </c>
      <c r="AF240" s="249">
        <f t="shared" si="162"/>
        <v>4.5708013708961399</v>
      </c>
      <c r="AG240" s="249">
        <f>AG219-AG238</f>
        <v>4.5282021286806948</v>
      </c>
      <c r="AI240" s="694"/>
      <c r="AJ240" s="323"/>
    </row>
    <row r="241" spans="1:37" s="181" customFormat="1" x14ac:dyDescent="0.2">
      <c r="B241" s="350"/>
      <c r="C241" s="327"/>
      <c r="D241" s="327"/>
      <c r="E241" s="327"/>
      <c r="F241" s="327"/>
      <c r="G241" s="327"/>
      <c r="H241" s="327"/>
      <c r="I241" s="327"/>
      <c r="J241" s="327"/>
      <c r="K241" s="327"/>
      <c r="L241" s="327"/>
      <c r="M241" s="327"/>
      <c r="N241" s="327"/>
      <c r="O241" s="327"/>
      <c r="P241" s="327"/>
      <c r="Q241" s="327"/>
      <c r="R241" s="327"/>
      <c r="S241" s="327"/>
      <c r="T241" s="327"/>
      <c r="U241" s="327"/>
      <c r="V241" s="327"/>
      <c r="W241" s="327"/>
      <c r="X241" s="327"/>
      <c r="Y241" s="327"/>
      <c r="Z241" s="327"/>
      <c r="AA241" s="327"/>
      <c r="AB241" s="327"/>
      <c r="AC241" s="327"/>
      <c r="AD241" s="327"/>
      <c r="AE241" s="327"/>
      <c r="AF241" s="327"/>
      <c r="AG241" s="327"/>
      <c r="AJ241" s="323"/>
    </row>
    <row r="242" spans="1:37" s="181" customFormat="1" x14ac:dyDescent="0.2">
      <c r="A242" s="181" t="s">
        <v>1400</v>
      </c>
      <c r="B242" s="350" t="s">
        <v>462</v>
      </c>
      <c r="C242" s="296">
        <v>0.8</v>
      </c>
      <c r="D242" s="317">
        <f>C242</f>
        <v>0.8</v>
      </c>
      <c r="E242" s="317">
        <f t="shared" ref="E242:AG242" si="163">D242</f>
        <v>0.8</v>
      </c>
      <c r="F242" s="317">
        <f t="shared" si="163"/>
        <v>0.8</v>
      </c>
      <c r="G242" s="317">
        <f t="shared" si="163"/>
        <v>0.8</v>
      </c>
      <c r="H242" s="317">
        <f t="shared" si="163"/>
        <v>0.8</v>
      </c>
      <c r="I242" s="317">
        <f t="shared" si="163"/>
        <v>0.8</v>
      </c>
      <c r="J242" s="317">
        <f t="shared" si="163"/>
        <v>0.8</v>
      </c>
      <c r="K242" s="317">
        <f t="shared" si="163"/>
        <v>0.8</v>
      </c>
      <c r="L242" s="317">
        <f t="shared" si="163"/>
        <v>0.8</v>
      </c>
      <c r="M242" s="317">
        <f>L242</f>
        <v>0.8</v>
      </c>
      <c r="N242" s="317">
        <f t="shared" si="163"/>
        <v>0.8</v>
      </c>
      <c r="O242" s="317">
        <f t="shared" si="163"/>
        <v>0.8</v>
      </c>
      <c r="P242" s="317">
        <f t="shared" si="163"/>
        <v>0.8</v>
      </c>
      <c r="Q242" s="317">
        <f t="shared" si="163"/>
        <v>0.8</v>
      </c>
      <c r="R242" s="317">
        <f t="shared" si="163"/>
        <v>0.8</v>
      </c>
      <c r="S242" s="317">
        <f t="shared" si="163"/>
        <v>0.8</v>
      </c>
      <c r="T242" s="317">
        <f t="shared" si="163"/>
        <v>0.8</v>
      </c>
      <c r="U242" s="317">
        <f t="shared" si="163"/>
        <v>0.8</v>
      </c>
      <c r="V242" s="317">
        <f t="shared" si="163"/>
        <v>0.8</v>
      </c>
      <c r="W242" s="317">
        <f t="shared" si="163"/>
        <v>0.8</v>
      </c>
      <c r="X242" s="317">
        <f t="shared" si="163"/>
        <v>0.8</v>
      </c>
      <c r="Y242" s="317">
        <f t="shared" si="163"/>
        <v>0.8</v>
      </c>
      <c r="Z242" s="317">
        <f t="shared" si="163"/>
        <v>0.8</v>
      </c>
      <c r="AA242" s="317">
        <f t="shared" si="163"/>
        <v>0.8</v>
      </c>
      <c r="AB242" s="317">
        <f t="shared" si="163"/>
        <v>0.8</v>
      </c>
      <c r="AC242" s="317">
        <f t="shared" si="163"/>
        <v>0.8</v>
      </c>
      <c r="AD242" s="317">
        <f t="shared" si="163"/>
        <v>0.8</v>
      </c>
      <c r="AE242" s="317">
        <f t="shared" si="163"/>
        <v>0.8</v>
      </c>
      <c r="AF242" s="317">
        <f t="shared" si="163"/>
        <v>0.8</v>
      </c>
      <c r="AG242" s="317">
        <f t="shared" si="163"/>
        <v>0.8</v>
      </c>
      <c r="AJ242" s="323" t="s">
        <v>1401</v>
      </c>
    </row>
    <row r="243" spans="1:37" s="181" customFormat="1" x14ac:dyDescent="0.2">
      <c r="B243" s="350"/>
      <c r="C243" s="327"/>
      <c r="D243" s="327"/>
      <c r="E243" s="327"/>
      <c r="F243" s="327"/>
      <c r="G243" s="327"/>
      <c r="H243" s="327"/>
      <c r="I243" s="327"/>
      <c r="J243" s="327"/>
      <c r="K243" s="327"/>
      <c r="L243" s="327"/>
      <c r="M243" s="327"/>
      <c r="N243" s="327"/>
      <c r="O243" s="327"/>
      <c r="P243" s="327"/>
      <c r="Q243" s="327"/>
      <c r="R243" s="327"/>
      <c r="S243" s="327"/>
      <c r="T243" s="327"/>
      <c r="U243" s="327"/>
      <c r="V243" s="327"/>
      <c r="W243" s="327"/>
      <c r="X243" s="327"/>
      <c r="Y243" s="327"/>
      <c r="Z243" s="327"/>
      <c r="AA243" s="327"/>
      <c r="AB243" s="327"/>
      <c r="AC243" s="327"/>
      <c r="AD243" s="327"/>
      <c r="AE243" s="327"/>
      <c r="AF243" s="327"/>
      <c r="AG243" s="327"/>
      <c r="AJ243" s="323"/>
    </row>
    <row r="244" spans="1:37" s="181" customFormat="1" x14ac:dyDescent="0.2">
      <c r="A244" s="181" t="s">
        <v>1402</v>
      </c>
      <c r="B244" s="350" t="s">
        <v>704</v>
      </c>
      <c r="C244" s="327">
        <f>C178*C239*C242</f>
        <v>0.12650103986708619</v>
      </c>
      <c r="D244" s="327">
        <f t="shared" ref="D244:AG244" si="164">D178*D239*D242</f>
        <v>0.1382054022234572</v>
      </c>
      <c r="E244" s="327">
        <f t="shared" si="164"/>
        <v>0.15039813817963785</v>
      </c>
      <c r="F244" s="327">
        <f t="shared" si="164"/>
        <v>0.16303224744070469</v>
      </c>
      <c r="G244" s="327">
        <f t="shared" si="164"/>
        <v>0.17605296641930529</v>
      </c>
      <c r="H244" s="327">
        <f t="shared" si="164"/>
        <v>0.18939799461913354</v>
      </c>
      <c r="I244" s="327">
        <f t="shared" si="164"/>
        <v>0.20280488655711482</v>
      </c>
      <c r="J244" s="327">
        <f t="shared" si="164"/>
        <v>0.21680161670253681</v>
      </c>
      <c r="K244" s="327">
        <f t="shared" si="164"/>
        <v>0.23139233109921672</v>
      </c>
      <c r="L244" s="327">
        <f t="shared" si="164"/>
        <v>0.24657984200830382</v>
      </c>
      <c r="M244" s="327">
        <f t="shared" si="164"/>
        <v>0.26236556303944158</v>
      </c>
      <c r="N244" s="327">
        <f t="shared" si="164"/>
        <v>0.27822542770387482</v>
      </c>
      <c r="O244" s="327">
        <f t="shared" si="164"/>
        <v>0.29424545502252153</v>
      </c>
      <c r="P244" s="327">
        <f t="shared" si="164"/>
        <v>0.31020401014732513</v>
      </c>
      <c r="Q244" s="327">
        <f t="shared" si="164"/>
        <v>0.32612385127897636</v>
      </c>
      <c r="R244" s="327">
        <f t="shared" si="164"/>
        <v>0.34192100001630843</v>
      </c>
      <c r="S244" s="327">
        <f t="shared" si="164"/>
        <v>0.35822733895004488</v>
      </c>
      <c r="T244" s="327">
        <f t="shared" si="164"/>
        <v>0.37497736776154433</v>
      </c>
      <c r="U244" s="327">
        <f t="shared" si="164"/>
        <v>0.3921705463649291</v>
      </c>
      <c r="V244" s="327">
        <f t="shared" si="164"/>
        <v>0.4098058372707396</v>
      </c>
      <c r="W244" s="327">
        <f t="shared" si="164"/>
        <v>0.42788169532552883</v>
      </c>
      <c r="X244" s="327">
        <f t="shared" si="164"/>
        <v>0.44609140946229386</v>
      </c>
      <c r="Y244" s="327">
        <f t="shared" si="164"/>
        <v>0.46502255658504521</v>
      </c>
      <c r="Z244" s="327">
        <f t="shared" si="164"/>
        <v>0.48455192135543462</v>
      </c>
      <c r="AA244" s="327">
        <f t="shared" si="164"/>
        <v>0.5045747002992379</v>
      </c>
      <c r="AB244" s="327">
        <f t="shared" si="164"/>
        <v>0.52509139931445492</v>
      </c>
      <c r="AC244" s="327">
        <f t="shared" si="164"/>
        <v>0.54598492322775838</v>
      </c>
      <c r="AD244" s="327">
        <f t="shared" si="164"/>
        <v>0.56736531375750388</v>
      </c>
      <c r="AE244" s="327">
        <f t="shared" si="164"/>
        <v>0.58923180124328112</v>
      </c>
      <c r="AF244" s="327">
        <f t="shared" si="164"/>
        <v>0.61158318320527749</v>
      </c>
      <c r="AG244" s="327">
        <f t="shared" si="164"/>
        <v>0.63441781966127897</v>
      </c>
      <c r="AJ244" s="323"/>
    </row>
    <row r="245" spans="1:37" s="181" customFormat="1" x14ac:dyDescent="0.2">
      <c r="A245" s="181" t="s">
        <v>1403</v>
      </c>
      <c r="B245" s="350" t="s">
        <v>704</v>
      </c>
      <c r="C245" s="327">
        <f>C239*C242-C244</f>
        <v>0.44850368680148733</v>
      </c>
      <c r="D245" s="327">
        <f t="shared" ref="D245:AG245" si="165">D239*D242-D244</f>
        <v>0.47152431346826573</v>
      </c>
      <c r="E245" s="327">
        <f t="shared" si="165"/>
        <v>0.49416531116166729</v>
      </c>
      <c r="F245" s="327">
        <f t="shared" si="165"/>
        <v>0.51626878356223171</v>
      </c>
      <c r="G245" s="327">
        <f t="shared" si="165"/>
        <v>0.53767527582112162</v>
      </c>
      <c r="H245" s="327">
        <f t="shared" si="165"/>
        <v>0.55822566835113041</v>
      </c>
      <c r="I245" s="327">
        <f t="shared" si="165"/>
        <v>0.57721390789332694</v>
      </c>
      <c r="J245" s="327">
        <f t="shared" si="165"/>
        <v>0.5962044459319763</v>
      </c>
      <c r="K245" s="327">
        <f t="shared" si="165"/>
        <v>0.61516497780035695</v>
      </c>
      <c r="L245" s="327">
        <f t="shared" si="165"/>
        <v>0.63406245087849578</v>
      </c>
      <c r="M245" s="327">
        <f t="shared" si="165"/>
        <v>0.65286314523768052</v>
      </c>
      <c r="N245" s="327">
        <f t="shared" si="165"/>
        <v>0.67027034855933521</v>
      </c>
      <c r="O245" s="327">
        <f t="shared" si="165"/>
        <v>0.68657272838588401</v>
      </c>
      <c r="P245" s="327">
        <f t="shared" si="165"/>
        <v>0.70133080555047456</v>
      </c>
      <c r="Q245" s="327">
        <f t="shared" si="165"/>
        <v>0.71469695067520389</v>
      </c>
      <c r="R245" s="327">
        <f t="shared" si="165"/>
        <v>0.7265821250346558</v>
      </c>
      <c r="S245" s="327">
        <f t="shared" si="165"/>
        <v>0.73838696395825643</v>
      </c>
      <c r="T245" s="327">
        <f t="shared" si="165"/>
        <v>0.74995473552308922</v>
      </c>
      <c r="U245" s="327">
        <f t="shared" si="165"/>
        <v>0.76127223706133351</v>
      </c>
      <c r="V245" s="327">
        <f t="shared" si="165"/>
        <v>0.77232638562562528</v>
      </c>
      <c r="W245" s="327">
        <f t="shared" si="165"/>
        <v>0.78310423484106284</v>
      </c>
      <c r="X245" s="327">
        <f t="shared" si="165"/>
        <v>0.79305139459963447</v>
      </c>
      <c r="Y245" s="327">
        <f t="shared" si="165"/>
        <v>0.80322077955598803</v>
      </c>
      <c r="Z245" s="327">
        <f t="shared" si="165"/>
        <v>0.81335501084662343</v>
      </c>
      <c r="AA245" s="327">
        <f t="shared" si="165"/>
        <v>0.82325345838296793</v>
      </c>
      <c r="AB245" s="327">
        <f t="shared" si="165"/>
        <v>0.83290359891258448</v>
      </c>
      <c r="AC245" s="327">
        <f t="shared" si="165"/>
        <v>0.84211233921569628</v>
      </c>
      <c r="AD245" s="327">
        <f t="shared" si="165"/>
        <v>0.85104797063625681</v>
      </c>
      <c r="AE245" s="327">
        <f t="shared" si="165"/>
        <v>0.85969885755167352</v>
      </c>
      <c r="AF245" s="327">
        <f t="shared" si="165"/>
        <v>0.86805355035587872</v>
      </c>
      <c r="AG245" s="327">
        <f t="shared" si="165"/>
        <v>0.87610079857986156</v>
      </c>
      <c r="AJ245" s="323"/>
    </row>
    <row r="246" spans="1:37" s="181" customFormat="1" x14ac:dyDescent="0.2">
      <c r="B246" s="176"/>
      <c r="C246" s="327"/>
      <c r="D246" s="327"/>
      <c r="E246" s="327"/>
      <c r="F246" s="327"/>
      <c r="G246" s="327"/>
      <c r="H246" s="327"/>
      <c r="I246" s="327"/>
      <c r="J246" s="327"/>
      <c r="K246" s="327"/>
      <c r="L246" s="327"/>
      <c r="M246" s="327"/>
      <c r="N246" s="327"/>
      <c r="O246" s="327"/>
      <c r="P246" s="327"/>
      <c r="Q246" s="327"/>
      <c r="R246" s="327"/>
      <c r="S246" s="327"/>
      <c r="T246" s="327"/>
      <c r="U246" s="327"/>
      <c r="V246" s="327"/>
      <c r="W246" s="327"/>
      <c r="X246" s="327"/>
      <c r="Y246" s="327"/>
      <c r="Z246" s="327"/>
      <c r="AA246" s="327"/>
      <c r="AB246" s="327"/>
      <c r="AC246" s="327"/>
      <c r="AD246" s="327"/>
      <c r="AE246" s="327"/>
      <c r="AF246" s="327"/>
      <c r="AG246" s="327"/>
      <c r="AJ246" s="323"/>
    </row>
    <row r="247" spans="1:37" s="181" customFormat="1" x14ac:dyDescent="0.2">
      <c r="B247" s="210" t="s">
        <v>492</v>
      </c>
      <c r="C247" s="331">
        <v>0</v>
      </c>
      <c r="D247" s="331">
        <f>C247+1</f>
        <v>1</v>
      </c>
      <c r="E247" s="331">
        <f t="shared" ref="E247:AG247" si="166">D247+1</f>
        <v>2</v>
      </c>
      <c r="F247" s="331">
        <f t="shared" si="166"/>
        <v>3</v>
      </c>
      <c r="G247" s="331">
        <f t="shared" si="166"/>
        <v>4</v>
      </c>
      <c r="H247" s="331">
        <f t="shared" si="166"/>
        <v>5</v>
      </c>
      <c r="I247" s="331">
        <f t="shared" si="166"/>
        <v>6</v>
      </c>
      <c r="J247" s="331">
        <f t="shared" si="166"/>
        <v>7</v>
      </c>
      <c r="K247" s="331">
        <f t="shared" si="166"/>
        <v>8</v>
      </c>
      <c r="L247" s="331">
        <f t="shared" si="166"/>
        <v>9</v>
      </c>
      <c r="M247" s="331">
        <f t="shared" si="166"/>
        <v>10</v>
      </c>
      <c r="N247" s="331">
        <f t="shared" si="166"/>
        <v>11</v>
      </c>
      <c r="O247" s="331">
        <f t="shared" si="166"/>
        <v>12</v>
      </c>
      <c r="P247" s="331">
        <f t="shared" si="166"/>
        <v>13</v>
      </c>
      <c r="Q247" s="331">
        <f t="shared" si="166"/>
        <v>14</v>
      </c>
      <c r="R247" s="331">
        <f t="shared" si="166"/>
        <v>15</v>
      </c>
      <c r="S247" s="331">
        <f t="shared" si="166"/>
        <v>16</v>
      </c>
      <c r="T247" s="331">
        <f t="shared" si="166"/>
        <v>17</v>
      </c>
      <c r="U247" s="331">
        <f t="shared" si="166"/>
        <v>18</v>
      </c>
      <c r="V247" s="331">
        <f t="shared" si="166"/>
        <v>19</v>
      </c>
      <c r="W247" s="331">
        <f t="shared" si="166"/>
        <v>20</v>
      </c>
      <c r="X247" s="331">
        <f t="shared" si="166"/>
        <v>21</v>
      </c>
      <c r="Y247" s="331">
        <f t="shared" si="166"/>
        <v>22</v>
      </c>
      <c r="Z247" s="331">
        <f t="shared" si="166"/>
        <v>23</v>
      </c>
      <c r="AA247" s="331">
        <f t="shared" si="166"/>
        <v>24</v>
      </c>
      <c r="AB247" s="331">
        <f t="shared" si="166"/>
        <v>25</v>
      </c>
      <c r="AC247" s="331">
        <f t="shared" si="166"/>
        <v>26</v>
      </c>
      <c r="AD247" s="331">
        <f t="shared" si="166"/>
        <v>27</v>
      </c>
      <c r="AE247" s="331">
        <f t="shared" si="166"/>
        <v>28</v>
      </c>
      <c r="AF247" s="331">
        <f t="shared" si="166"/>
        <v>29</v>
      </c>
      <c r="AG247" s="331">
        <f t="shared" si="166"/>
        <v>30</v>
      </c>
      <c r="AJ247" s="323" t="s">
        <v>493</v>
      </c>
      <c r="AK247" s="181">
        <f>'Propylene Recycling HC'!AK199</f>
        <v>1.9</v>
      </c>
    </row>
    <row r="248" spans="1:37" s="181" customFormat="1" x14ac:dyDescent="0.2">
      <c r="A248" s="181" t="s">
        <v>1404</v>
      </c>
      <c r="B248" s="176"/>
      <c r="C248" s="333">
        <f>$AK$249/((1+EXP(-$AK$248*(C247-$AK$250)))^$AK$247)</f>
        <v>4.6088632748610021E-5</v>
      </c>
      <c r="D248" s="333">
        <f t="shared" ref="D248:AG248" si="167">$AK$249/((1+EXP(-$AK$248*(D247-$AK$250)))^$AK$247)</f>
        <v>8.924759460408035E-5</v>
      </c>
      <c r="E248" s="333">
        <f t="shared" si="167"/>
        <v>1.7252431976790472E-4</v>
      </c>
      <c r="F248" s="333">
        <f t="shared" si="167"/>
        <v>3.3269643715580369E-4</v>
      </c>
      <c r="G248" s="333">
        <f t="shared" si="167"/>
        <v>6.393827369910735E-4</v>
      </c>
      <c r="H248" s="333">
        <f t="shared" si="167"/>
        <v>1.2229053771654547E-3</v>
      </c>
      <c r="I248" s="333">
        <f t="shared" si="167"/>
        <v>2.3234018804222717E-3</v>
      </c>
      <c r="J248" s="333">
        <f t="shared" si="167"/>
        <v>4.3736281679830789E-3</v>
      </c>
      <c r="K248" s="333">
        <f t="shared" si="167"/>
        <v>8.1294184230466908E-3</v>
      </c>
      <c r="L248" s="333">
        <f t="shared" si="167"/>
        <v>1.4853985082038716E-2</v>
      </c>
      <c r="M248" s="333">
        <f t="shared" si="167"/>
        <v>2.6531412096832362E-2</v>
      </c>
      <c r="N248" s="333">
        <f t="shared" si="167"/>
        <v>4.6014759335105015E-2</v>
      </c>
      <c r="O248" s="333">
        <f t="shared" si="167"/>
        <v>7.6910635328419796E-2</v>
      </c>
      <c r="P248" s="333">
        <f t="shared" si="167"/>
        <v>0.12294065829885638</v>
      </c>
      <c r="Q248" s="333">
        <f t="shared" si="167"/>
        <v>0.18666754187878853</v>
      </c>
      <c r="R248" s="333">
        <f t="shared" si="167"/>
        <v>0.26794336563407328</v>
      </c>
      <c r="S248" s="333">
        <f t="shared" si="167"/>
        <v>0.36297326582455031</v>
      </c>
      <c r="T248" s="333">
        <f t="shared" si="167"/>
        <v>0.46484396312424381</v>
      </c>
      <c r="U248" s="333">
        <f t="shared" si="167"/>
        <v>0.56546260593861253</v>
      </c>
      <c r="V248" s="333">
        <f t="shared" si="167"/>
        <v>0.6578403022607352</v>
      </c>
      <c r="W248" s="333">
        <f t="shared" si="167"/>
        <v>0.73754668886795227</v>
      </c>
      <c r="X248" s="333">
        <f t="shared" si="167"/>
        <v>0.80293052021410605</v>
      </c>
      <c r="Y248" s="333">
        <f t="shared" si="167"/>
        <v>0.85447682949112158</v>
      </c>
      <c r="Z248" s="333">
        <f t="shared" si="167"/>
        <v>0.89389910336617451</v>
      </c>
      <c r="AA248" s="333">
        <f t="shared" si="167"/>
        <v>0.92337223319290385</v>
      </c>
      <c r="AB248" s="333">
        <f t="shared" si="167"/>
        <v>0.94504210708611314</v>
      </c>
      <c r="AC248" s="333">
        <f t="shared" si="167"/>
        <v>0.96078240575184182</v>
      </c>
      <c r="AD248" s="333">
        <f t="shared" si="167"/>
        <v>0.97211605463477313</v>
      </c>
      <c r="AE248" s="333">
        <f t="shared" si="167"/>
        <v>0.98022577885232642</v>
      </c>
      <c r="AF248" s="333">
        <f t="shared" si="167"/>
        <v>0.98600279580400285</v>
      </c>
      <c r="AG248" s="333">
        <f t="shared" si="167"/>
        <v>0.9901050637460882</v>
      </c>
      <c r="AI248" s="176" t="s">
        <v>494</v>
      </c>
      <c r="AJ248" s="323" t="s">
        <v>495</v>
      </c>
      <c r="AK248" s="181">
        <f>'Propylene Recycling HC'!AK200</f>
        <v>0.35</v>
      </c>
    </row>
    <row r="249" spans="1:37" s="181" customFormat="1" x14ac:dyDescent="0.2">
      <c r="B249" s="176"/>
      <c r="C249" s="329">
        <v>0</v>
      </c>
      <c r="D249" s="329">
        <v>0</v>
      </c>
      <c r="E249" s="329">
        <v>0</v>
      </c>
      <c r="F249" s="329">
        <v>0</v>
      </c>
      <c r="G249" s="329">
        <v>0</v>
      </c>
      <c r="H249" s="329">
        <v>0</v>
      </c>
      <c r="I249" s="329">
        <v>0</v>
      </c>
      <c r="J249" s="329">
        <v>0</v>
      </c>
      <c r="K249" s="329">
        <v>0</v>
      </c>
      <c r="L249" s="329">
        <v>0</v>
      </c>
      <c r="M249" s="329">
        <f>C248</f>
        <v>4.6088632748610021E-5</v>
      </c>
      <c r="N249" s="329">
        <v>0</v>
      </c>
      <c r="O249" s="329">
        <v>0</v>
      </c>
      <c r="P249" s="329">
        <v>0</v>
      </c>
      <c r="Q249" s="329">
        <v>0</v>
      </c>
      <c r="R249" s="329">
        <f t="shared" ref="R249:AG249" si="168">C248</f>
        <v>4.6088632748610021E-5</v>
      </c>
      <c r="S249" s="329">
        <f t="shared" si="168"/>
        <v>8.924759460408035E-5</v>
      </c>
      <c r="T249" s="329">
        <f t="shared" si="168"/>
        <v>1.7252431976790472E-4</v>
      </c>
      <c r="U249" s="329">
        <f t="shared" si="168"/>
        <v>3.3269643715580369E-4</v>
      </c>
      <c r="V249" s="329">
        <f t="shared" si="168"/>
        <v>6.393827369910735E-4</v>
      </c>
      <c r="W249" s="329">
        <f t="shared" si="168"/>
        <v>1.2229053771654547E-3</v>
      </c>
      <c r="X249" s="329">
        <f t="shared" si="168"/>
        <v>2.3234018804222717E-3</v>
      </c>
      <c r="Y249" s="329">
        <f t="shared" si="168"/>
        <v>4.3736281679830789E-3</v>
      </c>
      <c r="Z249" s="329">
        <f t="shared" si="168"/>
        <v>8.1294184230466908E-3</v>
      </c>
      <c r="AA249" s="329">
        <f t="shared" si="168"/>
        <v>1.4853985082038716E-2</v>
      </c>
      <c r="AB249" s="329">
        <f t="shared" si="168"/>
        <v>2.6531412096832362E-2</v>
      </c>
      <c r="AC249" s="329">
        <f t="shared" si="168"/>
        <v>4.6014759335105015E-2</v>
      </c>
      <c r="AD249" s="329">
        <f t="shared" si="168"/>
        <v>7.6910635328419796E-2</v>
      </c>
      <c r="AE249" s="329">
        <f t="shared" si="168"/>
        <v>0.12294065829885638</v>
      </c>
      <c r="AF249" s="329">
        <f t="shared" si="168"/>
        <v>0.18666754187878853</v>
      </c>
      <c r="AG249" s="329">
        <f t="shared" si="168"/>
        <v>0.26794336563407328</v>
      </c>
      <c r="AI249" s="176" t="s">
        <v>496</v>
      </c>
      <c r="AJ249" s="323" t="s">
        <v>497</v>
      </c>
      <c r="AK249" s="181">
        <f>'Propylene Recycling HC'!AK201</f>
        <v>1</v>
      </c>
    </row>
    <row r="250" spans="1:37" s="181" customFormat="1" x14ac:dyDescent="0.2">
      <c r="B250" s="176"/>
      <c r="C250" s="327"/>
      <c r="D250" s="327"/>
      <c r="E250" s="327"/>
      <c r="F250" s="327"/>
      <c r="G250" s="327"/>
      <c r="H250" s="327"/>
      <c r="I250" s="327"/>
      <c r="J250" s="327"/>
      <c r="K250" s="327"/>
      <c r="L250" s="327"/>
      <c r="M250" s="327"/>
      <c r="N250" s="327"/>
      <c r="O250" s="327"/>
      <c r="P250" s="327"/>
      <c r="Q250" s="327"/>
      <c r="R250" s="327"/>
      <c r="S250" s="327"/>
      <c r="T250" s="327"/>
      <c r="U250" s="327"/>
      <c r="V250" s="327"/>
      <c r="W250" s="327"/>
      <c r="X250" s="327"/>
      <c r="Y250" s="327"/>
      <c r="Z250" s="327"/>
      <c r="AA250" s="327"/>
      <c r="AB250" s="327"/>
      <c r="AC250" s="327"/>
      <c r="AD250" s="327"/>
      <c r="AE250" s="327"/>
      <c r="AF250" s="327"/>
      <c r="AG250" s="327"/>
      <c r="AJ250" s="323" t="s">
        <v>498</v>
      </c>
      <c r="AK250" s="181">
        <f>'Propylene Recycling HC'!AK202</f>
        <v>15</v>
      </c>
    </row>
    <row r="251" spans="1:37" s="181" customFormat="1" x14ac:dyDescent="0.2">
      <c r="A251" s="181" t="s">
        <v>1460</v>
      </c>
      <c r="B251" s="176" t="s">
        <v>462</v>
      </c>
      <c r="C251" s="328">
        <v>0</v>
      </c>
      <c r="D251" s="328">
        <f>C251</f>
        <v>0</v>
      </c>
      <c r="E251" s="328">
        <f t="shared" ref="E251:AG251" si="169">D251</f>
        <v>0</v>
      </c>
      <c r="F251" s="328">
        <f t="shared" si="169"/>
        <v>0</v>
      </c>
      <c r="G251" s="328">
        <f t="shared" si="169"/>
        <v>0</v>
      </c>
      <c r="H251" s="328">
        <f t="shared" si="169"/>
        <v>0</v>
      </c>
      <c r="I251" s="328">
        <f t="shared" si="169"/>
        <v>0</v>
      </c>
      <c r="J251" s="328">
        <f t="shared" si="169"/>
        <v>0</v>
      </c>
      <c r="K251" s="328">
        <f t="shared" si="169"/>
        <v>0</v>
      </c>
      <c r="L251" s="328">
        <f t="shared" si="169"/>
        <v>0</v>
      </c>
      <c r="M251" s="328">
        <v>0</v>
      </c>
      <c r="N251" s="328">
        <f t="shared" si="169"/>
        <v>0</v>
      </c>
      <c r="O251" s="328">
        <f t="shared" si="169"/>
        <v>0</v>
      </c>
      <c r="P251" s="328">
        <f t="shared" si="169"/>
        <v>0</v>
      </c>
      <c r="Q251" s="328">
        <f t="shared" si="169"/>
        <v>0</v>
      </c>
      <c r="R251" s="328">
        <f t="shared" si="169"/>
        <v>0</v>
      </c>
      <c r="S251" s="328">
        <f t="shared" si="169"/>
        <v>0</v>
      </c>
      <c r="T251" s="328">
        <f t="shared" si="169"/>
        <v>0</v>
      </c>
      <c r="U251" s="328">
        <f t="shared" si="169"/>
        <v>0</v>
      </c>
      <c r="V251" s="328">
        <f t="shared" si="169"/>
        <v>0</v>
      </c>
      <c r="W251" s="328">
        <f t="shared" si="169"/>
        <v>0</v>
      </c>
      <c r="X251" s="328">
        <f t="shared" si="169"/>
        <v>0</v>
      </c>
      <c r="Y251" s="328">
        <f t="shared" si="169"/>
        <v>0</v>
      </c>
      <c r="Z251" s="328">
        <f t="shared" si="169"/>
        <v>0</v>
      </c>
      <c r="AA251" s="328">
        <f t="shared" si="169"/>
        <v>0</v>
      </c>
      <c r="AB251" s="328">
        <f t="shared" si="169"/>
        <v>0</v>
      </c>
      <c r="AC251" s="328">
        <f t="shared" si="169"/>
        <v>0</v>
      </c>
      <c r="AD251" s="328">
        <f t="shared" si="169"/>
        <v>0</v>
      </c>
      <c r="AE251" s="328">
        <f t="shared" si="169"/>
        <v>0</v>
      </c>
      <c r="AF251" s="328">
        <f t="shared" si="169"/>
        <v>0</v>
      </c>
      <c r="AG251" s="328">
        <f t="shared" si="169"/>
        <v>0</v>
      </c>
      <c r="AI251" s="176" t="s">
        <v>1516</v>
      </c>
      <c r="AJ251" s="323"/>
    </row>
    <row r="252" spans="1:37" s="300" customFormat="1" ht="16" thickBot="1" x14ac:dyDescent="0.25">
      <c r="A252" s="334" t="s">
        <v>1407</v>
      </c>
      <c r="B252" s="335" t="s">
        <v>704</v>
      </c>
      <c r="C252" s="336">
        <f>C251*(C244*C248+C245*C249)</f>
        <v>0</v>
      </c>
      <c r="D252" s="336">
        <f t="shared" ref="D252:AG252" si="170">D251*(D244*D248+D245*D249)</f>
        <v>0</v>
      </c>
      <c r="E252" s="336">
        <f t="shared" si="170"/>
        <v>0</v>
      </c>
      <c r="F252" s="336">
        <f t="shared" si="170"/>
        <v>0</v>
      </c>
      <c r="G252" s="336">
        <f t="shared" si="170"/>
        <v>0</v>
      </c>
      <c r="H252" s="336">
        <f t="shared" si="170"/>
        <v>0</v>
      </c>
      <c r="I252" s="336">
        <f t="shared" si="170"/>
        <v>0</v>
      </c>
      <c r="J252" s="336">
        <f t="shared" si="170"/>
        <v>0</v>
      </c>
      <c r="K252" s="336">
        <f t="shared" si="170"/>
        <v>0</v>
      </c>
      <c r="L252" s="336">
        <f t="shared" si="170"/>
        <v>0</v>
      </c>
      <c r="M252" s="336">
        <f>M251*(M244*M248+M245*M249)</f>
        <v>0</v>
      </c>
      <c r="N252" s="336">
        <f t="shared" si="170"/>
        <v>0</v>
      </c>
      <c r="O252" s="336">
        <f t="shared" si="170"/>
        <v>0</v>
      </c>
      <c r="P252" s="336">
        <f t="shared" si="170"/>
        <v>0</v>
      </c>
      <c r="Q252" s="336">
        <f t="shared" si="170"/>
        <v>0</v>
      </c>
      <c r="R252" s="336">
        <f t="shared" si="170"/>
        <v>0</v>
      </c>
      <c r="S252" s="336">
        <f t="shared" si="170"/>
        <v>0</v>
      </c>
      <c r="T252" s="336">
        <f t="shared" si="170"/>
        <v>0</v>
      </c>
      <c r="U252" s="336">
        <f t="shared" si="170"/>
        <v>0</v>
      </c>
      <c r="V252" s="336">
        <f t="shared" si="170"/>
        <v>0</v>
      </c>
      <c r="W252" s="336">
        <f t="shared" si="170"/>
        <v>0</v>
      </c>
      <c r="X252" s="336">
        <f t="shared" si="170"/>
        <v>0</v>
      </c>
      <c r="Y252" s="336">
        <f t="shared" si="170"/>
        <v>0</v>
      </c>
      <c r="Z252" s="336">
        <f t="shared" si="170"/>
        <v>0</v>
      </c>
      <c r="AA252" s="336">
        <f t="shared" si="170"/>
        <v>0</v>
      </c>
      <c r="AB252" s="336">
        <f t="shared" si="170"/>
        <v>0</v>
      </c>
      <c r="AC252" s="336">
        <f t="shared" si="170"/>
        <v>0</v>
      </c>
      <c r="AD252" s="336">
        <f t="shared" si="170"/>
        <v>0</v>
      </c>
      <c r="AE252" s="336">
        <f t="shared" si="170"/>
        <v>0</v>
      </c>
      <c r="AF252" s="336">
        <f t="shared" si="170"/>
        <v>0</v>
      </c>
      <c r="AG252" s="336">
        <f t="shared" si="170"/>
        <v>0</v>
      </c>
      <c r="AJ252" s="326"/>
    </row>
    <row r="253" spans="1:37" s="230" customFormat="1" x14ac:dyDescent="0.2">
      <c r="A253" s="325" t="s">
        <v>1408</v>
      </c>
      <c r="B253" s="324" t="s">
        <v>462</v>
      </c>
      <c r="C253" s="330">
        <v>0</v>
      </c>
      <c r="D253" s="330">
        <v>0.5</v>
      </c>
      <c r="E253" s="330">
        <v>0.5</v>
      </c>
      <c r="F253" s="330">
        <v>0.5</v>
      </c>
      <c r="G253" s="330">
        <v>0.5</v>
      </c>
      <c r="H253" s="330">
        <v>0.5</v>
      </c>
      <c r="I253" s="330">
        <v>0.5</v>
      </c>
      <c r="J253" s="330">
        <v>0.5</v>
      </c>
      <c r="K253" s="330">
        <v>0.5</v>
      </c>
      <c r="L253" s="330">
        <v>0.5</v>
      </c>
      <c r="M253" s="330">
        <v>0</v>
      </c>
      <c r="N253" s="330">
        <v>0.5</v>
      </c>
      <c r="O253" s="330">
        <v>0.5</v>
      </c>
      <c r="P253" s="330">
        <v>0.5</v>
      </c>
      <c r="Q253" s="330">
        <v>0.5</v>
      </c>
      <c r="R253" s="330">
        <v>0.5</v>
      </c>
      <c r="S253" s="330">
        <v>0.5</v>
      </c>
      <c r="T253" s="330">
        <v>0.5</v>
      </c>
      <c r="U253" s="330">
        <v>0.5</v>
      </c>
      <c r="V253" s="330">
        <v>0.5</v>
      </c>
      <c r="W253" s="330">
        <v>0</v>
      </c>
      <c r="X253" s="330">
        <v>0.5</v>
      </c>
      <c r="Y253" s="330">
        <v>0.5</v>
      </c>
      <c r="Z253" s="330">
        <v>0.5</v>
      </c>
      <c r="AA253" s="330">
        <v>0.5</v>
      </c>
      <c r="AB253" s="330">
        <v>0.5</v>
      </c>
      <c r="AC253" s="330">
        <v>0.5</v>
      </c>
      <c r="AD253" s="330">
        <v>0.5</v>
      </c>
      <c r="AE253" s="330">
        <v>0.5</v>
      </c>
      <c r="AF253" s="330">
        <v>0.5</v>
      </c>
      <c r="AG253" s="330">
        <v>0</v>
      </c>
      <c r="AJ253" s="230" t="s">
        <v>1410</v>
      </c>
    </row>
    <row r="254" spans="1:37" s="230" customFormat="1" ht="16" thickBot="1" x14ac:dyDescent="0.25">
      <c r="A254" s="301" t="s">
        <v>1411</v>
      </c>
      <c r="B254" s="335" t="s">
        <v>704</v>
      </c>
      <c r="C254" s="336">
        <f>C253*(C244*C248+C245*C249)</f>
        <v>0</v>
      </c>
      <c r="D254" s="336">
        <f t="shared" ref="D254:AG254" si="171">D253*(D244*D248+D245*D249)</f>
        <v>6.1672498548664866E-6</v>
      </c>
      <c r="E254" s="336">
        <f t="shared" si="171"/>
        <v>1.297366824190068E-5</v>
      </c>
      <c r="F254" s="336">
        <f t="shared" si="171"/>
        <v>2.7120123932512921E-5</v>
      </c>
      <c r="G254" s="336">
        <f t="shared" si="171"/>
        <v>5.6282613762286485E-5</v>
      </c>
      <c r="H254" s="336">
        <f t="shared" si="171"/>
        <v>1.1580791302204613E-4</v>
      </c>
      <c r="I254" s="336">
        <f t="shared" si="171"/>
        <v>2.3559862739281303E-4</v>
      </c>
      <c r="J254" s="336">
        <f t="shared" si="171"/>
        <v>4.7410482883724286E-4</v>
      </c>
      <c r="K254" s="336">
        <f t="shared" si="171"/>
        <v>9.4054253969484605E-4</v>
      </c>
      <c r="L254" s="336">
        <f t="shared" si="171"/>
        <v>1.8313466473614043E-3</v>
      </c>
      <c r="M254" s="336">
        <f t="shared" si="171"/>
        <v>0</v>
      </c>
      <c r="N254" s="336">
        <f t="shared" si="171"/>
        <v>6.4012380483502293E-3</v>
      </c>
      <c r="O254" s="336">
        <f t="shared" si="171"/>
        <v>1.1315302444141051E-2</v>
      </c>
      <c r="P254" s="336">
        <f t="shared" si="171"/>
        <v>1.9068342607228637E-2</v>
      </c>
      <c r="Q254" s="336">
        <f t="shared" si="171"/>
        <v>3.043836883314506E-2</v>
      </c>
      <c r="R254" s="336">
        <f t="shared" si="171"/>
        <v>4.582447535103007E-2</v>
      </c>
      <c r="S254" s="336">
        <f t="shared" si="171"/>
        <v>6.5046423193378097E-2</v>
      </c>
      <c r="T254" s="336">
        <f t="shared" si="171"/>
        <v>8.7217675571388084E-2</v>
      </c>
      <c r="U254" s="336">
        <f t="shared" si="171"/>
        <v>0.11100552584042911</v>
      </c>
      <c r="V254" s="336">
        <f t="shared" si="171"/>
        <v>0.13504030400834438</v>
      </c>
      <c r="W254" s="336">
        <f t="shared" si="171"/>
        <v>0</v>
      </c>
      <c r="X254" s="336">
        <f t="shared" si="171"/>
        <v>0.18001149228204383</v>
      </c>
      <c r="Y254" s="336">
        <f t="shared" si="171"/>
        <v>0.20043199440961024</v>
      </c>
      <c r="Z254" s="336">
        <f t="shared" si="171"/>
        <v>0.219876315621817</v>
      </c>
      <c r="AA254" s="336">
        <f t="shared" si="171"/>
        <v>0.23906943120875243</v>
      </c>
      <c r="AB254" s="336">
        <f t="shared" si="171"/>
        <v>0.25916579552030633</v>
      </c>
      <c r="AC254" s="336">
        <f t="shared" si="171"/>
        <v>0.2816611523325665</v>
      </c>
      <c r="AD254" s="336">
        <f t="shared" si="171"/>
        <v>0.30849978523158084</v>
      </c>
      <c r="AE254" s="336">
        <f t="shared" si="171"/>
        <v>0.34163607239221594</v>
      </c>
      <c r="AF254" s="336">
        <f t="shared" si="171"/>
        <v>0.38253007548560114</v>
      </c>
      <c r="AG254" s="336">
        <f t="shared" si="171"/>
        <v>0</v>
      </c>
      <c r="AJ254" s="325"/>
    </row>
    <row r="255" spans="1:37" s="230" customFormat="1" x14ac:dyDescent="0.2">
      <c r="A255" s="326"/>
      <c r="B255" s="324"/>
      <c r="AJ255" s="325"/>
    </row>
    <row r="256" spans="1:37" s="230" customFormat="1" x14ac:dyDescent="0.2">
      <c r="A256" s="326" t="s">
        <v>1412</v>
      </c>
      <c r="B256" s="324" t="s">
        <v>704</v>
      </c>
      <c r="C256" s="230">
        <f>SUM(C225:C226)-SUM(C252,C254)</f>
        <v>3.1639900127881764</v>
      </c>
      <c r="D256" s="230">
        <f t="shared" ref="D256:AG256" si="172">SUM(D225:D226)-SUM(D252,D254)</f>
        <v>3.2899094496085395</v>
      </c>
      <c r="E256" s="230">
        <f t="shared" si="172"/>
        <v>3.4111464540519902</v>
      </c>
      <c r="F256" s="230">
        <f t="shared" si="172"/>
        <v>3.5268408838490615</v>
      </c>
      <c r="G256" s="230">
        <f t="shared" si="172"/>
        <v>3.6361505709864015</v>
      </c>
      <c r="H256" s="230">
        <f t="shared" si="172"/>
        <v>3.7382546183624799</v>
      </c>
      <c r="I256" s="230">
        <f t="shared" si="172"/>
        <v>3.8326863554825952</v>
      </c>
      <c r="J256" s="230">
        <f t="shared" si="172"/>
        <v>3.9266616221941728</v>
      </c>
      <c r="K256" s="230">
        <f t="shared" si="172"/>
        <v>4.0199358142571153</v>
      </c>
      <c r="L256" s="230">
        <f t="shared" si="172"/>
        <v>4.1121744742309572</v>
      </c>
      <c r="M256" s="230">
        <f t="shared" si="172"/>
        <v>4.2063837323299502</v>
      </c>
      <c r="N256" s="230">
        <f t="shared" si="172"/>
        <v>4.2841024988944172</v>
      </c>
      <c r="O256" s="230">
        <f t="shared" si="172"/>
        <v>4.3561747082734827</v>
      </c>
      <c r="P256" s="230">
        <f t="shared" si="172"/>
        <v>4.4119521838310582</v>
      </c>
      <c r="Q256" s="230">
        <f t="shared" si="172"/>
        <v>4.4555124709037885</v>
      </c>
      <c r="R256" s="230">
        <f t="shared" si="172"/>
        <v>4.4861029661719822</v>
      </c>
      <c r="S256" s="230">
        <f t="shared" si="172"/>
        <v>4.5124128541289696</v>
      </c>
      <c r="T256" s="230">
        <f t="shared" si="172"/>
        <v>4.5347385079054368</v>
      </c>
      <c r="U256" s="230">
        <f t="shared" si="172"/>
        <v>4.5543771130208386</v>
      </c>
      <c r="V256" s="230">
        <f t="shared" si="172"/>
        <v>4.5726629957627027</v>
      </c>
      <c r="W256" s="230">
        <f t="shared" si="172"/>
        <v>4.7488830273178824</v>
      </c>
      <c r="X256" s="230">
        <f t="shared" si="172"/>
        <v>4.6069300044492172</v>
      </c>
      <c r="Y256" s="230">
        <f t="shared" si="172"/>
        <v>4.6252934276362954</v>
      </c>
      <c r="Z256" s="230">
        <f t="shared" si="172"/>
        <v>4.6337336071838573</v>
      </c>
      <c r="AA256" s="230">
        <f t="shared" si="172"/>
        <v>4.6412544637715731</v>
      </c>
      <c r="AB256" s="230">
        <f t="shared" si="172"/>
        <v>4.6466897652840879</v>
      </c>
      <c r="AC256" s="230">
        <f t="shared" si="172"/>
        <v>4.6479100715823369</v>
      </c>
      <c r="AD256" s="230">
        <f t="shared" si="172"/>
        <v>4.6436051242424217</v>
      </c>
      <c r="AE256" s="230">
        <f t="shared" si="172"/>
        <v>4.6318117278958137</v>
      </c>
      <c r="AF256" s="230">
        <f t="shared" si="172"/>
        <v>4.611061873061395</v>
      </c>
      <c r="AG256" s="230">
        <f t="shared" si="172"/>
        <v>5.0125302926163169</v>
      </c>
      <c r="AJ256" s="325"/>
    </row>
    <row r="257" spans="1:36" s="230" customFormat="1" x14ac:dyDescent="0.2">
      <c r="A257" s="326"/>
      <c r="B257" s="324"/>
      <c r="AJ257" s="325"/>
    </row>
    <row r="258" spans="1:36" s="230" customFormat="1" x14ac:dyDescent="0.2">
      <c r="A258" s="325" t="s">
        <v>1413</v>
      </c>
      <c r="B258" s="324" t="s">
        <v>704</v>
      </c>
      <c r="C258" s="327">
        <f t="shared" ref="C258:AG258" si="173">C178*C177*C128</f>
        <v>0</v>
      </c>
      <c r="D258" s="327">
        <f t="shared" si="173"/>
        <v>0</v>
      </c>
      <c r="E258" s="327">
        <f t="shared" si="173"/>
        <v>0</v>
      </c>
      <c r="F258" s="327">
        <f t="shared" si="173"/>
        <v>0</v>
      </c>
      <c r="G258" s="327">
        <f t="shared" si="173"/>
        <v>0</v>
      </c>
      <c r="H258" s="327">
        <f t="shared" si="173"/>
        <v>0</v>
      </c>
      <c r="I258" s="327">
        <f t="shared" si="173"/>
        <v>0</v>
      </c>
      <c r="J258" s="327">
        <f t="shared" si="173"/>
        <v>0</v>
      </c>
      <c r="K258" s="327">
        <f t="shared" si="173"/>
        <v>0</v>
      </c>
      <c r="L258" s="327">
        <f t="shared" si="173"/>
        <v>0</v>
      </c>
      <c r="M258" s="327">
        <f t="shared" si="173"/>
        <v>0</v>
      </c>
      <c r="N258" s="327">
        <f t="shared" si="173"/>
        <v>0</v>
      </c>
      <c r="O258" s="327">
        <f t="shared" si="173"/>
        <v>0</v>
      </c>
      <c r="P258" s="327">
        <f t="shared" si="173"/>
        <v>0</v>
      </c>
      <c r="Q258" s="327">
        <f t="shared" si="173"/>
        <v>0</v>
      </c>
      <c r="R258" s="327">
        <f t="shared" si="173"/>
        <v>0</v>
      </c>
      <c r="S258" s="327">
        <f t="shared" si="173"/>
        <v>0</v>
      </c>
      <c r="T258" s="327">
        <f t="shared" si="173"/>
        <v>0</v>
      </c>
      <c r="U258" s="327">
        <f t="shared" si="173"/>
        <v>0</v>
      </c>
      <c r="V258" s="327">
        <f t="shared" si="173"/>
        <v>0</v>
      </c>
      <c r="W258" s="327">
        <f t="shared" si="173"/>
        <v>0</v>
      </c>
      <c r="X258" s="327">
        <f t="shared" si="173"/>
        <v>0</v>
      </c>
      <c r="Y258" s="327">
        <f t="shared" si="173"/>
        <v>0</v>
      </c>
      <c r="Z258" s="327">
        <f t="shared" si="173"/>
        <v>0</v>
      </c>
      <c r="AA258" s="327">
        <f t="shared" si="173"/>
        <v>0</v>
      </c>
      <c r="AB258" s="327">
        <f t="shared" si="173"/>
        <v>0</v>
      </c>
      <c r="AC258" s="327">
        <f t="shared" si="173"/>
        <v>0</v>
      </c>
      <c r="AD258" s="327">
        <f t="shared" si="173"/>
        <v>0</v>
      </c>
      <c r="AE258" s="327">
        <f t="shared" si="173"/>
        <v>0</v>
      </c>
      <c r="AF258" s="327">
        <f t="shared" si="173"/>
        <v>0</v>
      </c>
      <c r="AG258" s="327">
        <f t="shared" si="173"/>
        <v>0</v>
      </c>
      <c r="AJ258" s="325"/>
    </row>
    <row r="259" spans="1:36" s="230" customFormat="1" x14ac:dyDescent="0.2">
      <c r="A259" s="230" t="s">
        <v>1414</v>
      </c>
      <c r="B259" s="324" t="s">
        <v>704</v>
      </c>
      <c r="C259" s="327">
        <f t="shared" ref="C259:AG259" si="174">C179*C177*C128</f>
        <v>0</v>
      </c>
      <c r="D259" s="327">
        <f t="shared" si="174"/>
        <v>0</v>
      </c>
      <c r="E259" s="327">
        <f t="shared" si="174"/>
        <v>0</v>
      </c>
      <c r="F259" s="327">
        <f t="shared" si="174"/>
        <v>0</v>
      </c>
      <c r="G259" s="327">
        <f t="shared" si="174"/>
        <v>0</v>
      </c>
      <c r="H259" s="327">
        <f t="shared" si="174"/>
        <v>0</v>
      </c>
      <c r="I259" s="327">
        <f t="shared" si="174"/>
        <v>0</v>
      </c>
      <c r="J259" s="327">
        <f t="shared" si="174"/>
        <v>0</v>
      </c>
      <c r="K259" s="327">
        <f t="shared" si="174"/>
        <v>0</v>
      </c>
      <c r="L259" s="327">
        <f t="shared" si="174"/>
        <v>0</v>
      </c>
      <c r="M259" s="327">
        <f t="shared" si="174"/>
        <v>0</v>
      </c>
      <c r="N259" s="327">
        <f t="shared" si="174"/>
        <v>0</v>
      </c>
      <c r="O259" s="327">
        <f t="shared" si="174"/>
        <v>0</v>
      </c>
      <c r="P259" s="327">
        <f t="shared" si="174"/>
        <v>0</v>
      </c>
      <c r="Q259" s="327">
        <f t="shared" si="174"/>
        <v>0</v>
      </c>
      <c r="R259" s="327">
        <f t="shared" si="174"/>
        <v>0</v>
      </c>
      <c r="S259" s="327">
        <f t="shared" si="174"/>
        <v>0</v>
      </c>
      <c r="T259" s="327">
        <f t="shared" si="174"/>
        <v>0</v>
      </c>
      <c r="U259" s="327">
        <f t="shared" si="174"/>
        <v>0</v>
      </c>
      <c r="V259" s="327">
        <f t="shared" si="174"/>
        <v>0</v>
      </c>
      <c r="W259" s="327">
        <f t="shared" si="174"/>
        <v>0</v>
      </c>
      <c r="X259" s="327">
        <f t="shared" si="174"/>
        <v>0</v>
      </c>
      <c r="Y259" s="327">
        <f t="shared" si="174"/>
        <v>0</v>
      </c>
      <c r="Z259" s="327">
        <f t="shared" si="174"/>
        <v>0</v>
      </c>
      <c r="AA259" s="327">
        <f t="shared" si="174"/>
        <v>0</v>
      </c>
      <c r="AB259" s="327">
        <f t="shared" si="174"/>
        <v>0</v>
      </c>
      <c r="AC259" s="327">
        <f t="shared" si="174"/>
        <v>0</v>
      </c>
      <c r="AD259" s="327">
        <f t="shared" si="174"/>
        <v>0</v>
      </c>
      <c r="AE259" s="327">
        <f t="shared" si="174"/>
        <v>0</v>
      </c>
      <c r="AF259" s="327">
        <f t="shared" si="174"/>
        <v>0</v>
      </c>
      <c r="AG259" s="327">
        <f t="shared" si="174"/>
        <v>0</v>
      </c>
      <c r="AJ259" s="325"/>
    </row>
    <row r="260" spans="1:36" s="230" customFormat="1" x14ac:dyDescent="0.2">
      <c r="B260" s="324"/>
      <c r="C260" s="317"/>
      <c r="D260" s="317"/>
      <c r="E260" s="317"/>
      <c r="F260" s="317"/>
      <c r="G260" s="317"/>
      <c r="H260" s="317"/>
      <c r="I260" s="317"/>
      <c r="J260" s="317"/>
      <c r="K260" s="317"/>
      <c r="L260" s="317"/>
      <c r="M260" s="317"/>
      <c r="N260" s="317"/>
      <c r="O260" s="317"/>
      <c r="P260" s="317"/>
      <c r="Q260" s="317"/>
      <c r="R260" s="317"/>
      <c r="S260" s="317"/>
      <c r="T260" s="317"/>
      <c r="U260" s="317"/>
      <c r="V260" s="317"/>
      <c r="W260" s="317"/>
      <c r="X260" s="317"/>
      <c r="Y260" s="317"/>
      <c r="Z260" s="317"/>
      <c r="AA260" s="317"/>
      <c r="AB260" s="317"/>
      <c r="AC260" s="317"/>
      <c r="AD260" s="317"/>
      <c r="AE260" s="317"/>
      <c r="AF260" s="317"/>
      <c r="AG260" s="317"/>
      <c r="AJ260" s="325"/>
    </row>
    <row r="261" spans="1:36" s="230" customFormat="1" x14ac:dyDescent="0.2">
      <c r="A261" s="351" t="s">
        <v>233</v>
      </c>
      <c r="B261" s="352" t="s">
        <v>704</v>
      </c>
      <c r="C261" s="304">
        <f>C239+C240</f>
        <v>4.9675667212869898</v>
      </c>
      <c r="D261" s="304">
        <f t="shared" ref="D261:AG261" si="175">D239+D240</f>
        <v>5.1168923573482461</v>
      </c>
      <c r="E261" s="304">
        <f t="shared" si="175"/>
        <v>5.256851071636035</v>
      </c>
      <c r="F261" s="304">
        <f t="shared" si="175"/>
        <v>5.3864494673698449</v>
      </c>
      <c r="G261" s="304">
        <f t="shared" si="175"/>
        <v>5.5047517912294133</v>
      </c>
      <c r="H261" s="304">
        <f t="shared" si="175"/>
        <v>5.6108911994763586</v>
      </c>
      <c r="I261" s="304">
        <f t="shared" si="175"/>
        <v>5.70439536596301</v>
      </c>
      <c r="J261" s="304">
        <f t="shared" si="175"/>
        <v>5.7965022136805597</v>
      </c>
      <c r="K261" s="304">
        <f t="shared" si="175"/>
        <v>5.8870869396513736</v>
      </c>
      <c r="L261" s="304">
        <f t="shared" si="175"/>
        <v>5.9760246542557995</v>
      </c>
      <c r="M261" s="304">
        <f t="shared" si="175"/>
        <v>6.0631906410058569</v>
      </c>
      <c r="N261" s="304">
        <f t="shared" si="175"/>
        <v>6.1378946776542911</v>
      </c>
      <c r="O261" s="304">
        <f t="shared" si="175"/>
        <v>6.2020882257120853</v>
      </c>
      <c r="P261" s="304">
        <f t="shared" si="175"/>
        <v>6.2472806532342764</v>
      </c>
      <c r="Q261" s="304">
        <f t="shared" si="175"/>
        <v>6.2805432463449371</v>
      </c>
      <c r="R261" s="304">
        <f t="shared" si="175"/>
        <v>6.3016534823758494</v>
      </c>
      <c r="S261" s="304">
        <f t="shared" si="175"/>
        <v>6.3226434362070139</v>
      </c>
      <c r="T261" s="304">
        <f t="shared" si="175"/>
        <v>6.3427078159489714</v>
      </c>
      <c r="U261" s="304">
        <f t="shared" si="175"/>
        <v>6.3618327136522925</v>
      </c>
      <c r="V261" s="304">
        <f t="shared" si="175"/>
        <v>6.3800044927691655</v>
      </c>
      <c r="W261" s="304">
        <f t="shared" si="175"/>
        <v>6.3972097983296177</v>
      </c>
      <c r="X261" s="304">
        <f t="shared" si="175"/>
        <v>6.4107790218832506</v>
      </c>
      <c r="Y261" s="304">
        <f t="shared" si="175"/>
        <v>6.4260127771239084</v>
      </c>
      <c r="Z261" s="304">
        <f t="shared" si="175"/>
        <v>6.4278732711124471</v>
      </c>
      <c r="AA261" s="304">
        <f t="shared" si="175"/>
        <v>6.4289873639943291</v>
      </c>
      <c r="AB261" s="304">
        <f t="shared" si="175"/>
        <v>6.4293568595010973</v>
      </c>
      <c r="AC261" s="304">
        <f t="shared" si="175"/>
        <v>6.4281571761599432</v>
      </c>
      <c r="AD261" s="304">
        <f t="shared" si="175"/>
        <v>6.4262538452093221</v>
      </c>
      <c r="AE261" s="304">
        <f t="shared" si="175"/>
        <v>6.4236495468380692</v>
      </c>
      <c r="AF261" s="304">
        <f t="shared" si="175"/>
        <v>6.4203472878475853</v>
      </c>
      <c r="AG261" s="304">
        <f t="shared" si="175"/>
        <v>6.41635040148212</v>
      </c>
      <c r="AI261" s="230" t="s">
        <v>1415</v>
      </c>
      <c r="AJ261" s="325"/>
    </row>
    <row r="262" spans="1:36" s="230" customFormat="1" x14ac:dyDescent="0.2">
      <c r="A262" s="355" t="s">
        <v>234</v>
      </c>
      <c r="B262" s="356" t="s">
        <v>704</v>
      </c>
      <c r="C262" s="357">
        <f>C261</f>
        <v>4.9675667212869898</v>
      </c>
      <c r="D262" s="357">
        <f t="shared" ref="D262:AG262" si="176">D261</f>
        <v>5.1168923573482461</v>
      </c>
      <c r="E262" s="357">
        <f t="shared" si="176"/>
        <v>5.256851071636035</v>
      </c>
      <c r="F262" s="357">
        <f t="shared" si="176"/>
        <v>5.3864494673698449</v>
      </c>
      <c r="G262" s="357">
        <f t="shared" si="176"/>
        <v>5.5047517912294133</v>
      </c>
      <c r="H262" s="357">
        <f t="shared" si="176"/>
        <v>5.6108911994763586</v>
      </c>
      <c r="I262" s="357">
        <f t="shared" si="176"/>
        <v>5.70439536596301</v>
      </c>
      <c r="J262" s="357">
        <f t="shared" si="176"/>
        <v>5.7965022136805597</v>
      </c>
      <c r="K262" s="357">
        <f t="shared" si="176"/>
        <v>5.8870869396513736</v>
      </c>
      <c r="L262" s="357">
        <f t="shared" si="176"/>
        <v>5.9760246542557995</v>
      </c>
      <c r="M262" s="357">
        <f t="shared" si="176"/>
        <v>6.0631906410058569</v>
      </c>
      <c r="N262" s="357">
        <f t="shared" si="176"/>
        <v>6.1378946776542911</v>
      </c>
      <c r="O262" s="357">
        <f t="shared" si="176"/>
        <v>6.2020882257120853</v>
      </c>
      <c r="P262" s="357">
        <f t="shared" si="176"/>
        <v>6.2472806532342764</v>
      </c>
      <c r="Q262" s="357">
        <f t="shared" si="176"/>
        <v>6.2805432463449371</v>
      </c>
      <c r="R262" s="357">
        <f t="shared" si="176"/>
        <v>6.3016534823758494</v>
      </c>
      <c r="S262" s="357">
        <f t="shared" si="176"/>
        <v>6.3226434362070139</v>
      </c>
      <c r="T262" s="357">
        <f t="shared" si="176"/>
        <v>6.3427078159489714</v>
      </c>
      <c r="U262" s="357">
        <f t="shared" si="176"/>
        <v>6.3618327136522925</v>
      </c>
      <c r="V262" s="357">
        <f t="shared" si="176"/>
        <v>6.3800044927691655</v>
      </c>
      <c r="W262" s="357">
        <f t="shared" si="176"/>
        <v>6.3972097983296177</v>
      </c>
      <c r="X262" s="357">
        <f t="shared" si="176"/>
        <v>6.4107790218832506</v>
      </c>
      <c r="Y262" s="357">
        <f t="shared" si="176"/>
        <v>6.4260127771239084</v>
      </c>
      <c r="Z262" s="357">
        <f t="shared" si="176"/>
        <v>6.4278732711124471</v>
      </c>
      <c r="AA262" s="357">
        <f t="shared" si="176"/>
        <v>6.4289873639943291</v>
      </c>
      <c r="AB262" s="357">
        <f t="shared" si="176"/>
        <v>6.4293568595010973</v>
      </c>
      <c r="AC262" s="357">
        <f t="shared" si="176"/>
        <v>6.4281571761599432</v>
      </c>
      <c r="AD262" s="357">
        <f t="shared" si="176"/>
        <v>6.4262538452093221</v>
      </c>
      <c r="AE262" s="357">
        <f t="shared" si="176"/>
        <v>6.4236495468380692</v>
      </c>
      <c r="AF262" s="357">
        <f t="shared" si="176"/>
        <v>6.4203472878475853</v>
      </c>
      <c r="AG262" s="357">
        <f t="shared" si="176"/>
        <v>6.41635040148212</v>
      </c>
      <c r="AI262" s="230" t="s">
        <v>1416</v>
      </c>
      <c r="AJ262" s="325"/>
    </row>
    <row r="263" spans="1:36" s="230" customFormat="1" x14ac:dyDescent="0.2">
      <c r="A263" s="433"/>
      <c r="B263" s="434"/>
      <c r="C263" s="433"/>
      <c r="D263" s="433"/>
      <c r="E263" s="433"/>
      <c r="F263" s="433"/>
      <c r="G263" s="433"/>
      <c r="H263" s="433"/>
      <c r="I263" s="433"/>
      <c r="J263" s="433"/>
      <c r="K263" s="433"/>
      <c r="L263" s="433"/>
      <c r="M263" s="433"/>
      <c r="N263" s="433"/>
      <c r="O263" s="433"/>
      <c r="P263" s="433"/>
      <c r="Q263" s="433"/>
      <c r="R263" s="433"/>
      <c r="S263" s="433"/>
      <c r="T263" s="433"/>
      <c r="U263" s="433"/>
      <c r="V263" s="433"/>
      <c r="W263" s="433"/>
      <c r="X263" s="433"/>
      <c r="Y263" s="433"/>
      <c r="Z263" s="433"/>
      <c r="AA263" s="433"/>
      <c r="AB263" s="433"/>
      <c r="AC263" s="433"/>
      <c r="AD263" s="433"/>
      <c r="AE263" s="433"/>
      <c r="AF263" s="433"/>
      <c r="AG263" s="433"/>
      <c r="AJ263" s="325"/>
    </row>
    <row r="264" spans="1:36" x14ac:dyDescent="0.2">
      <c r="B264" s="1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c r="AA264" s="230"/>
      <c r="AB264" s="230"/>
      <c r="AC264" s="230"/>
      <c r="AD264" s="230"/>
      <c r="AE264" s="230"/>
      <c r="AF264" s="230"/>
      <c r="AG264" s="230"/>
      <c r="AI264" s="23"/>
    </row>
    <row r="265" spans="1:36" x14ac:dyDescent="0.2">
      <c r="B265" s="1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c r="AA265" s="230"/>
      <c r="AB265" s="230"/>
      <c r="AC265" s="230"/>
      <c r="AD265" s="230"/>
      <c r="AE265" s="230"/>
      <c r="AF265" s="230"/>
      <c r="AG265" s="230"/>
      <c r="AI265" s="214"/>
    </row>
  </sheetData>
  <mergeCells count="5">
    <mergeCell ref="BD86:BE86"/>
    <mergeCell ref="BD91:BE91"/>
    <mergeCell ref="BD96:BE96"/>
    <mergeCell ref="BD104:BE104"/>
    <mergeCell ref="AI232:AI240"/>
  </mergeCells>
  <hyperlinks>
    <hyperlink ref="AJ90" r:id="rId1" xr:uid="{E6898401-9604-4F2C-BEE2-DBBE22AB5F8B}"/>
  </hyperlinks>
  <pageMargins left="0.7" right="0.7" top="0.75" bottom="0.75" header="0.3" footer="0.3"/>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E35C1-BD42-4AAF-A80B-283340664C69}">
  <sheetPr>
    <tabColor theme="4"/>
  </sheetPr>
  <dimension ref="A1:BL265"/>
  <sheetViews>
    <sheetView zoomScale="70" zoomScaleNormal="70" workbookViewId="0">
      <pane xSplit="2" ySplit="6" topLeftCell="C175" activePane="bottomRight" state="frozen"/>
      <selection pane="topRight" activeCell="C1" sqref="C1"/>
      <selection pane="bottomLeft" activeCell="A4" sqref="A4"/>
      <selection pane="bottomRight" activeCell="C192" sqref="C192"/>
    </sheetView>
  </sheetViews>
  <sheetFormatPr baseColWidth="10" defaultColWidth="8.83203125" defaultRowHeight="15" outlineLevelRow="2" outlineLevelCol="1" x14ac:dyDescent="0.2"/>
  <cols>
    <col min="1" max="1" width="84.33203125" customWidth="1"/>
    <col min="2" max="2" width="15.5" style="54" bestFit="1" customWidth="1"/>
    <col min="3" max="3" width="9.5" style="107" bestFit="1" customWidth="1"/>
    <col min="4" max="12" width="8.83203125" style="107" hidden="1" customWidth="1" outlineLevel="1"/>
    <col min="13" max="13" width="10.5" style="107" customWidth="1" collapsed="1"/>
    <col min="14" max="22" width="8.83203125" style="107" hidden="1" customWidth="1" outlineLevel="1"/>
    <col min="23" max="23" width="10.5" style="107" bestFit="1" customWidth="1" collapsed="1"/>
    <col min="24" max="32" width="8.83203125" style="107" hidden="1" customWidth="1" outlineLevel="1"/>
    <col min="33" max="33" width="10.5" style="107" bestFit="1" customWidth="1" collapsed="1"/>
    <col min="35" max="35" width="52.83203125" bestFit="1" customWidth="1"/>
    <col min="36" max="36" width="30.5" style="3" customWidth="1"/>
    <col min="37" max="37" width="13.33203125" customWidth="1"/>
    <col min="38" max="38" width="20.5" bestFit="1" customWidth="1"/>
    <col min="41" max="41" width="17.83203125" customWidth="1"/>
    <col min="42" max="42" width="18.1640625" customWidth="1"/>
    <col min="44" max="44" width="10.5" customWidth="1"/>
    <col min="47" max="47" width="20.1640625" bestFit="1" customWidth="1"/>
    <col min="55" max="55" width="49" bestFit="1" customWidth="1"/>
    <col min="56" max="56" width="8.83203125" customWidth="1"/>
  </cols>
  <sheetData>
    <row r="1" spans="1:47" x14ac:dyDescent="0.2">
      <c r="C1" s="119">
        <v>2020</v>
      </c>
      <c r="D1" s="119">
        <f>C1+1</f>
        <v>2021</v>
      </c>
      <c r="E1" s="119">
        <f t="shared" ref="E1:L1" si="0">D1+1</f>
        <v>2022</v>
      </c>
      <c r="F1" s="119">
        <f t="shared" si="0"/>
        <v>2023</v>
      </c>
      <c r="G1" s="119">
        <f t="shared" si="0"/>
        <v>2024</v>
      </c>
      <c r="H1" s="119">
        <f t="shared" si="0"/>
        <v>2025</v>
      </c>
      <c r="I1" s="119">
        <f t="shared" si="0"/>
        <v>2026</v>
      </c>
      <c r="J1" s="119">
        <f t="shared" si="0"/>
        <v>2027</v>
      </c>
      <c r="K1" s="119">
        <f t="shared" si="0"/>
        <v>2028</v>
      </c>
      <c r="L1" s="119">
        <f t="shared" si="0"/>
        <v>2029</v>
      </c>
      <c r="M1" s="119">
        <v>2030</v>
      </c>
      <c r="N1" s="119">
        <f>M1+1</f>
        <v>2031</v>
      </c>
      <c r="O1" s="119">
        <f t="shared" ref="O1:V1" si="1">N1+1</f>
        <v>2032</v>
      </c>
      <c r="P1" s="119">
        <f t="shared" si="1"/>
        <v>2033</v>
      </c>
      <c r="Q1" s="119">
        <f t="shared" si="1"/>
        <v>2034</v>
      </c>
      <c r="R1" s="119">
        <f t="shared" si="1"/>
        <v>2035</v>
      </c>
      <c r="S1" s="119">
        <f t="shared" si="1"/>
        <v>2036</v>
      </c>
      <c r="T1" s="119">
        <f t="shared" si="1"/>
        <v>2037</v>
      </c>
      <c r="U1" s="119">
        <f t="shared" si="1"/>
        <v>2038</v>
      </c>
      <c r="V1" s="119">
        <f t="shared" si="1"/>
        <v>2039</v>
      </c>
      <c r="W1" s="119">
        <v>2040</v>
      </c>
      <c r="X1" s="119">
        <f>W1+1</f>
        <v>2041</v>
      </c>
      <c r="Y1" s="119">
        <f t="shared" ref="Y1:AF1" si="2">X1+1</f>
        <v>2042</v>
      </c>
      <c r="Z1" s="119">
        <f t="shared" si="2"/>
        <v>2043</v>
      </c>
      <c r="AA1" s="119">
        <f t="shared" si="2"/>
        <v>2044</v>
      </c>
      <c r="AB1" s="119">
        <f t="shared" si="2"/>
        <v>2045</v>
      </c>
      <c r="AC1" s="119">
        <f t="shared" si="2"/>
        <v>2046</v>
      </c>
      <c r="AD1" s="119">
        <f t="shared" si="2"/>
        <v>2047</v>
      </c>
      <c r="AE1" s="119">
        <f t="shared" si="2"/>
        <v>2048</v>
      </c>
      <c r="AF1" s="119">
        <f t="shared" si="2"/>
        <v>2049</v>
      </c>
      <c r="AG1" s="119">
        <v>2050</v>
      </c>
      <c r="AI1" s="1" t="s">
        <v>46</v>
      </c>
      <c r="AJ1" s="162" t="s">
        <v>96</v>
      </c>
      <c r="AO1" s="1"/>
    </row>
    <row r="2" spans="1:47" s="23" customFormat="1" x14ac:dyDescent="0.2">
      <c r="A2" s="23" t="s">
        <v>1256</v>
      </c>
      <c r="B2" s="373"/>
      <c r="C2" s="121">
        <f>'Demand Breakdown - Ethylene'!D3</f>
        <v>3.0499526932111998E-2</v>
      </c>
      <c r="D2" s="121">
        <f>(H2-C2)/5+C2</f>
        <v>2.9349422803050418E-2</v>
      </c>
      <c r="E2" s="121">
        <f>(H2-C2)/5+D2</f>
        <v>2.8199318673988838E-2</v>
      </c>
      <c r="F2" s="121">
        <f>(H2-C2)/5+E2</f>
        <v>2.7049214544927258E-2</v>
      </c>
      <c r="G2" s="121">
        <f>(H2-C2)/5+F2</f>
        <v>2.5899110415865678E-2</v>
      </c>
      <c r="H2" s="121">
        <f>'Demand Breakdown - Ethylene'!F3</f>
        <v>2.4749006286804098E-2</v>
      </c>
      <c r="I2" s="121">
        <f>(M2-H2)/5+H2</f>
        <v>2.4203425228517216E-2</v>
      </c>
      <c r="J2" s="121">
        <f>(M2-H2)/5+I2</f>
        <v>2.3657844170230334E-2</v>
      </c>
      <c r="K2" s="121">
        <f>(M2-H2)/5+J2</f>
        <v>2.3112263111943452E-2</v>
      </c>
      <c r="L2" s="121">
        <f>(M2-H2)/5+K2</f>
        <v>2.256668205365657E-2</v>
      </c>
      <c r="M2" s="121">
        <f>'Demand Breakdown - Ethylene'!G3</f>
        <v>2.2021100995369691E-2</v>
      </c>
      <c r="N2" s="121">
        <f>(R2-M2)/5+M2</f>
        <v>1.9998504401314499E-2</v>
      </c>
      <c r="O2" s="121">
        <f>(R2-M2)/5+N2</f>
        <v>1.7975907807259307E-2</v>
      </c>
      <c r="P2" s="121">
        <f>(R2-M2)/5+O2</f>
        <v>1.5953311213204115E-2</v>
      </c>
      <c r="Q2" s="121">
        <f>(R2-M2)/5+P2</f>
        <v>1.3930714619148923E-2</v>
      </c>
      <c r="R2" s="121">
        <f>'Demand Breakdown - Ethylene'!H3</f>
        <v>1.1908118025093728E-2</v>
      </c>
      <c r="S2" s="121">
        <f>(W2-R2)/5+R2</f>
        <v>1.1774249920343528E-2</v>
      </c>
      <c r="T2" s="121">
        <f>(W2-R2)/5+S2</f>
        <v>1.1640381815593327E-2</v>
      </c>
      <c r="U2" s="121">
        <f>(W2-R2)/5+T2</f>
        <v>1.1506513710843127E-2</v>
      </c>
      <c r="V2" s="121">
        <f>(W2-R2)/5+U2</f>
        <v>1.1372645606092927E-2</v>
      </c>
      <c r="W2" s="121">
        <f>'Demand Breakdown - Ethylene'!I3</f>
        <v>1.1238777501342723E-2</v>
      </c>
      <c r="X2" s="121">
        <f>(AB2-W2)/5+W2</f>
        <v>1.1119160812773154E-2</v>
      </c>
      <c r="Y2" s="121">
        <f>(AB2-W2)/5+X2</f>
        <v>1.0999544124203585E-2</v>
      </c>
      <c r="Z2" s="121">
        <f>(AB2-W2)/5+Y2</f>
        <v>1.0879927435634016E-2</v>
      </c>
      <c r="AA2" s="121">
        <f>(AB2-W2)/5+Z2</f>
        <v>1.0760310747064447E-2</v>
      </c>
      <c r="AB2" s="121">
        <f>'Demand Breakdown - Ethylene'!J3</f>
        <v>1.0640694058494882E-2</v>
      </c>
      <c r="AC2" s="121">
        <f>(AG2-AB2)/5+AB2</f>
        <v>1.0533167591187586E-2</v>
      </c>
      <c r="AD2" s="121">
        <f>(AG2-AB2)/5+AC2</f>
        <v>1.0425641123880291E-2</v>
      </c>
      <c r="AE2" s="121">
        <f>(AG2-AB2)/5+AD2</f>
        <v>1.0318114656572995E-2</v>
      </c>
      <c r="AF2" s="121">
        <f>(AG2-AB2)/5+AE2</f>
        <v>1.02105881892657E-2</v>
      </c>
      <c r="AG2" s="121">
        <f>'Demand Breakdown - Ethylene'!K3</f>
        <v>1.0103061721958406E-2</v>
      </c>
      <c r="AI2" s="374"/>
      <c r="AJ2" s="375" t="s">
        <v>1257</v>
      </c>
      <c r="AO2" s="374"/>
    </row>
    <row r="3" spans="1:47" s="23" customFormat="1" x14ac:dyDescent="0.2">
      <c r="A3" s="23" t="s">
        <v>1258</v>
      </c>
      <c r="B3" s="373"/>
      <c r="C3" s="121">
        <f>'Demand Breakdown - Propylene'!D3</f>
        <v>4.4564895075664079E-2</v>
      </c>
      <c r="D3" s="121">
        <f>(H3-C3)/5+C3</f>
        <v>3.9615391885254203E-2</v>
      </c>
      <c r="E3" s="121">
        <f>(H3-C3)/5+D3</f>
        <v>3.4665888694844327E-2</v>
      </c>
      <c r="F3" s="121">
        <f>(H3-C3)/5+E3</f>
        <v>2.971638550443445E-2</v>
      </c>
      <c r="G3" s="121">
        <f>(H3-C3)/5+F3</f>
        <v>2.4766882314024574E-2</v>
      </c>
      <c r="H3" s="121">
        <f>'Demand Breakdown - Propylene'!F3</f>
        <v>1.9817379123614698E-2</v>
      </c>
      <c r="I3" s="121">
        <f>(M3-H3)/5+H3</f>
        <v>1.945982853985697E-2</v>
      </c>
      <c r="J3" s="121">
        <f>(M3-H3)/5+I3</f>
        <v>1.9102277956099242E-2</v>
      </c>
      <c r="K3" s="121">
        <f>(M3-H3)/5+J3</f>
        <v>1.8744727372341514E-2</v>
      </c>
      <c r="L3" s="121">
        <f>(M3-H3)/5+K3</f>
        <v>1.8387176788583787E-2</v>
      </c>
      <c r="M3" s="121">
        <f>'Demand Breakdown - Propylene'!G3</f>
        <v>1.8029626204826066E-2</v>
      </c>
      <c r="N3" s="121">
        <f>(R3-M3)/5+M3</f>
        <v>1.6242182037801634E-2</v>
      </c>
      <c r="O3" s="121">
        <f>(R3-M3)/5+N3</f>
        <v>1.4454737870777203E-2</v>
      </c>
      <c r="P3" s="121">
        <f>(R3-M3)/5+O3</f>
        <v>1.2667293703752771E-2</v>
      </c>
      <c r="Q3" s="121">
        <f>(R3-M3)/5+P3</f>
        <v>1.0879849536728339E-2</v>
      </c>
      <c r="R3" s="121">
        <f>'Demand Breakdown - Propylene'!H3</f>
        <v>9.0924053697039042E-3</v>
      </c>
      <c r="S3" s="121">
        <f>(W3-R3)/5+R3</f>
        <v>9.0133166703259444E-3</v>
      </c>
      <c r="T3" s="121">
        <f>(W3-R3)/5+S3</f>
        <v>8.9342279709479847E-3</v>
      </c>
      <c r="U3" s="121">
        <f>(W3-R3)/5+T3</f>
        <v>8.8551392715700249E-3</v>
      </c>
      <c r="V3" s="121">
        <f>(W3-R3)/5+U3</f>
        <v>8.7760505721920651E-3</v>
      </c>
      <c r="W3" s="121">
        <f>'Demand Breakdown - Propylene'!I3</f>
        <v>8.6969618728141018E-3</v>
      </c>
      <c r="X3" s="121">
        <f>(AB3-W3)/5+W3</f>
        <v>8.6244667439919539E-3</v>
      </c>
      <c r="Y3" s="121">
        <f>(AB3-W3)/5+X3</f>
        <v>8.5519716151698059E-3</v>
      </c>
      <c r="Z3" s="121">
        <f>(AB3-W3)/5+Y3</f>
        <v>8.479476486347658E-3</v>
      </c>
      <c r="AA3" s="121">
        <f>(AB3-W3)/5+Z3</f>
        <v>8.4069813575255101E-3</v>
      </c>
      <c r="AB3" s="121">
        <f>'Demand Breakdown - Propylene'!J3</f>
        <v>8.3344862287033639E-3</v>
      </c>
      <c r="AC3" s="121">
        <f>(AG3-AB3)/5+AB3</f>
        <v>8.2677930144149595E-3</v>
      </c>
      <c r="AD3" s="121">
        <f>(AG3-AB3)/5+AC3</f>
        <v>8.2010998001265552E-3</v>
      </c>
      <c r="AE3" s="121">
        <f>(AG3-AB3)/5+AD3</f>
        <v>8.1344065858381508E-3</v>
      </c>
      <c r="AF3" s="121">
        <f>(AG3-AB3)/5+AE3</f>
        <v>8.0677133715497465E-3</v>
      </c>
      <c r="AG3" s="121">
        <f>'Demand Breakdown - Propylene'!K3</f>
        <v>8.0010201572613404E-3</v>
      </c>
      <c r="AI3" s="374"/>
      <c r="AJ3" s="375" t="s">
        <v>1257</v>
      </c>
      <c r="AO3" s="374"/>
    </row>
    <row r="4" spans="1:47" s="23" customFormat="1" x14ac:dyDescent="0.2">
      <c r="A4" s="23" t="s">
        <v>1259</v>
      </c>
      <c r="B4" s="373"/>
      <c r="C4" s="121">
        <f>(C2*'Yearly Demand - Eth&amp;Prop'!N3+C3*'Yearly Demand - Eth&amp;Prop'!N5)/('Yearly Demand - Eth&amp;Prop'!N3+'Yearly Demand - Eth&amp;Prop'!N5)</f>
        <v>3.6232050923391629E-2</v>
      </c>
      <c r="D4" s="121">
        <f>(D2*'Yearly Demand - Eth&amp;Prop'!O3+D3*'Yearly Demand - Eth&amp;Prop'!O5)/('Yearly Demand - Eth&amp;Prop'!O3+'Yearly Demand - Eth&amp;Prop'!O5)</f>
        <v>3.3521499621841234E-2</v>
      </c>
      <c r="E4" s="121">
        <f>(E2*'Yearly Demand - Eth&amp;Prop'!P3+E3*'Yearly Demand - Eth&amp;Prop'!P5)/('Yearly Demand - Eth&amp;Prop'!P3+'Yearly Demand - Eth&amp;Prop'!P5)</f>
        <v>3.0819802344861827E-2</v>
      </c>
      <c r="F4" s="121">
        <f>(F2*'Yearly Demand - Eth&amp;Prop'!Q3+F3*'Yearly Demand - Eth&amp;Prop'!Q5)/('Yearly Demand - Eth&amp;Prop'!Q3+'Yearly Demand - Eth&amp;Prop'!Q5)</f>
        <v>2.8126947145364477E-2</v>
      </c>
      <c r="G4" s="121">
        <f>(G2*'Yearly Demand - Eth&amp;Prop'!R3+G3*'Yearly Demand - Eth&amp;Prop'!R5)/('Yearly Demand - Eth&amp;Prop'!R3+'Yearly Demand - Eth&amp;Prop'!R5)</f>
        <v>2.5442921892501184E-2</v>
      </c>
      <c r="H4" s="121">
        <f>(H2*'Yearly Demand - Eth&amp;Prop'!S3+H3*'Yearly Demand - Eth&amp;Prop'!S5)/('Yearly Demand - Eth&amp;Prop'!S3+'Yearly Demand - Eth&amp;Prop'!S5)</f>
        <v>2.2767714272556545E-2</v>
      </c>
      <c r="I4" s="121">
        <f>(I2*'Yearly Demand - Eth&amp;Prop'!T3+I3*'Yearly Demand - Eth&amp;Prop'!T5)/('Yearly Demand - Eth&amp;Prop'!T3+'Yearly Demand - Eth&amp;Prop'!T5)</f>
        <v>2.2302134538105905E-2</v>
      </c>
      <c r="J4" s="121">
        <f>(J2*'Yearly Demand - Eth&amp;Prop'!U3+J3*'Yearly Demand - Eth&amp;Prop'!U5)/('Yearly Demand - Eth&amp;Prop'!U3+'Yearly Demand - Eth&amp;Prop'!U5)</f>
        <v>2.1836197928441835E-2</v>
      </c>
      <c r="K4" s="121">
        <f>(K2*'Yearly Demand - Eth&amp;Prop'!V3+K3*'Yearly Demand - Eth&amp;Prop'!V5)/('Yearly Demand - Eth&amp;Prop'!V3+'Yearly Demand - Eth&amp;Prop'!V5)</f>
        <v>2.13699048274116E-2</v>
      </c>
      <c r="L4" s="121">
        <f>(L2*'Yearly Demand - Eth&amp;Prop'!W3+L3*'Yearly Demand - Eth&amp;Prop'!W5)/('Yearly Demand - Eth&amp;Prop'!W3+'Yearly Demand - Eth&amp;Prop'!W5)</f>
        <v>2.0903255623715804E-2</v>
      </c>
      <c r="M4" s="121">
        <f>(M2*'Yearly Demand - Eth&amp;Prop'!X3+M3*'Yearly Demand - Eth&amp;Prop'!X5)/('Yearly Demand - Eth&amp;Prop'!X3+'Yearly Demand - Eth&amp;Prop'!X5)</f>
        <v>2.0436250710889135E-2</v>
      </c>
      <c r="N4" s="121">
        <f>(N2*'Yearly Demand - Eth&amp;Prop'!Y3+N3*'Yearly Demand - Eth&amp;Prop'!Y5)/('Yearly Demand - Eth&amp;Prop'!Y3+'Yearly Demand - Eth&amp;Prop'!Y5)</f>
        <v>1.8509528533623816E-2</v>
      </c>
      <c r="O4" s="121">
        <f>(O2*'Yearly Demand - Eth&amp;Prop'!Z3+O3*'Yearly Demand - Eth&amp;Prop'!Z5)/('Yearly Demand - Eth&amp;Prop'!Z3+'Yearly Demand - Eth&amp;Prop'!Z5)</f>
        <v>1.6582491357149638E-2</v>
      </c>
      <c r="P4" s="121">
        <f>(P2*'Yearly Demand - Eth&amp;Prop'!AA3+P3*'Yearly Demand - Eth&amp;Prop'!AA5)/('Yearly Demand - Eth&amp;Prop'!AA3+'Yearly Demand - Eth&amp;Prop'!AA5)</f>
        <v>1.4655139445633956E-2</v>
      </c>
      <c r="Q4" s="121">
        <f>(Q2*'Yearly Demand - Eth&amp;Prop'!AB3+Q3*'Yearly Demand - Eth&amp;Prop'!AB5)/('Yearly Demand - Eth&amp;Prop'!AB3+'Yearly Demand - Eth&amp;Prop'!AB5)</f>
        <v>1.2727473065379606E-2</v>
      </c>
      <c r="R4" s="121">
        <f>(R2*'Yearly Demand - Eth&amp;Prop'!AC3+R3*'Yearly Demand - Eth&amp;Prop'!AC5)/('Yearly Demand - Eth&amp;Prop'!AC3+'Yearly Demand - Eth&amp;Prop'!AC5)</f>
        <v>1.0799492484818292E-2</v>
      </c>
      <c r="S4" s="121">
        <f>(S2*'Yearly Demand - Eth&amp;Prop'!AD3+S3*'Yearly Demand - Eth&amp;Prop'!AD5)/('Yearly Demand - Eth&amp;Prop'!AD3+'Yearly Demand - Eth&amp;Prop'!AD5)</f>
        <v>1.0688850790383474E-2</v>
      </c>
      <c r="T4" s="121">
        <f>(T2*'Yearly Demand - Eth&amp;Prop'!AE3+T3*'Yearly Demand - Eth&amp;Prop'!AE5)/('Yearly Demand - Eth&amp;Prop'!AE3+'Yearly Demand - Eth&amp;Prop'!AE5)</f>
        <v>1.0578142421009346E-2</v>
      </c>
      <c r="U4" s="121">
        <f>(U2*'Yearly Demand - Eth&amp;Prop'!AF3+U3*'Yearly Demand - Eth&amp;Prop'!AF5)/('Yearly Demand - Eth&amp;Prop'!AF3+'Yearly Demand - Eth&amp;Prop'!AF5)</f>
        <v>1.0467367425431107E-2</v>
      </c>
      <c r="V4" s="121">
        <f>(V2*'Yearly Demand - Eth&amp;Prop'!AG3+V3*'Yearly Demand - Eth&amp;Prop'!AG5)/('Yearly Demand - Eth&amp;Prop'!AG3+'Yearly Demand - Eth&amp;Prop'!AG5)</f>
        <v>1.0356525852753026E-2</v>
      </c>
      <c r="W4" s="121">
        <f>(W2*'Yearly Demand - Eth&amp;Prop'!AH3+W3*'Yearly Demand - Eth&amp;Prop'!AH5)/('Yearly Demand - Eth&amp;Prop'!AH3+'Yearly Demand - Eth&amp;Prop'!AH5)</f>
        <v>1.0245617752447434E-2</v>
      </c>
      <c r="X4" s="121">
        <f>(X2*'Yearly Demand - Eth&amp;Prop'!AI3+X3*'Yearly Demand - Eth&amp;Prop'!AI5)/('Yearly Demand - Eth&amp;Prop'!AI3+'Yearly Demand - Eth&amp;Prop'!AI5)</f>
        <v>1.0145769213242707E-2</v>
      </c>
      <c r="Y4" s="121">
        <f>(Y2*'Yearly Demand - Eth&amp;Prop'!AJ3+Y3*'Yearly Demand - Eth&amp;Prop'!AJ5)/('Yearly Demand - Eth&amp;Prop'!AJ3+'Yearly Demand - Eth&amp;Prop'!AJ5)</f>
        <v>1.0045868764643156E-2</v>
      </c>
      <c r="Z4" s="121">
        <f>(Z2*'Yearly Demand - Eth&amp;Prop'!AK3+Z3*'Yearly Demand - Eth&amp;Prop'!AK5)/('Yearly Demand - Eth&amp;Prop'!AK3+'Yearly Demand - Eth&amp;Prop'!AK5)</f>
        <v>9.9459164422960999E-3</v>
      </c>
      <c r="AA4" s="121">
        <f>(AA2*'Yearly Demand - Eth&amp;Prop'!AL3+AA3*'Yearly Demand - Eth&amp;Prop'!AL5)/('Yearly Demand - Eth&amp;Prop'!AL3+'Yearly Demand - Eth&amp;Prop'!AL5)</f>
        <v>9.8459122820835354E-3</v>
      </c>
      <c r="AB4" s="121">
        <f>(AB2*'Yearly Demand - Eth&amp;Prop'!AM3+AB3*'Yearly Demand - Eth&amp;Prop'!AM5)/('Yearly Demand - Eth&amp;Prop'!AM3+'Yearly Demand - Eth&amp;Prop'!AM5)</f>
        <v>9.7458563201215168E-3</v>
      </c>
      <c r="AC4" s="121">
        <f>(AC2*'Yearly Demand - Eth&amp;Prop'!AN3+AC3*'Yearly Demand - Eth&amp;Prop'!AN5)/('Yearly Demand - Eth&amp;Prop'!AN3+'Yearly Demand - Eth&amp;Prop'!AN5)</f>
        <v>9.6552940229403111E-3</v>
      </c>
      <c r="AD4" s="121">
        <f>(AD2*'Yearly Demand - Eth&amp;Prop'!AO3+AD3*'Yearly Demand - Eth&amp;Prop'!AO5)/('Yearly Demand - Eth&amp;Prop'!AO3+'Yearly Demand - Eth&amp;Prop'!AO5)</f>
        <v>9.5646908217075048E-3</v>
      </c>
      <c r="AE4" s="121">
        <f>(AE2*'Yearly Demand - Eth&amp;Prop'!AP3+AE3*'Yearly Demand - Eth&amp;Prop'!AP5)/('Yearly Demand - Eth&amp;Prop'!AP3+'Yearly Demand - Eth&amp;Prop'!AP5)</f>
        <v>9.4740467428230252E-3</v>
      </c>
      <c r="AF4" s="121">
        <f>(AF2*'Yearly Demand - Eth&amp;Prop'!AQ3+AF3*'Yearly Demand - Eth&amp;Prop'!AQ5)/('Yearly Demand - Eth&amp;Prop'!AQ3+'Yearly Demand - Eth&amp;Prop'!AQ5)</f>
        <v>9.3833618128392714E-3</v>
      </c>
      <c r="AG4" s="121">
        <f>(AG2*'Yearly Demand - Eth&amp;Prop'!AR3+AG3*'Yearly Demand - Eth&amp;Prop'!AR5)/('Yearly Demand - Eth&amp;Prop'!AR3+'Yearly Demand - Eth&amp;Prop'!AR5)</f>
        <v>9.2926360584607431E-3</v>
      </c>
      <c r="AI4" s="374"/>
      <c r="AJ4" s="375"/>
      <c r="AO4" s="374"/>
    </row>
    <row r="5" spans="1:47" ht="16" thickBot="1" x14ac:dyDescent="0.25">
      <c r="A5" s="200" t="s">
        <v>1428</v>
      </c>
      <c r="B5" s="219" t="s">
        <v>704</v>
      </c>
      <c r="C5" s="220">
        <f>'Waste gen. - Industry shares'!B15*(1+C4)^(5)</f>
        <v>364.39682026333185</v>
      </c>
      <c r="D5" s="216">
        <f>C5*(1+D4)</f>
        <v>376.61194813598922</v>
      </c>
      <c r="E5" s="216">
        <f t="shared" ref="E5:AG5" si="3">D5*(1+E4)</f>
        <v>388.21905393825375</v>
      </c>
      <c r="F5" s="216">
        <f t="shared" si="3"/>
        <v>399.1384707491984</v>
      </c>
      <c r="G5" s="216">
        <f t="shared" si="3"/>
        <v>409.29371968476261</v>
      </c>
      <c r="H5" s="216">
        <f t="shared" si="3"/>
        <v>418.61240214809715</v>
      </c>
      <c r="I5" s="216">
        <f t="shared" si="3"/>
        <v>427.94835226012367</v>
      </c>
      <c r="J5" s="216">
        <f t="shared" si="3"/>
        <v>437.29311718322629</v>
      </c>
      <c r="K5" s="216">
        <f t="shared" si="3"/>
        <v>446.63802947911398</v>
      </c>
      <c r="L5" s="216">
        <f t="shared" si="3"/>
        <v>455.97421838058864</v>
      </c>
      <c r="M5" s="216">
        <f t="shared" si="3"/>
        <v>465.29262182511604</v>
      </c>
      <c r="N5" s="216">
        <f t="shared" si="3"/>
        <v>473.90496888527269</v>
      </c>
      <c r="O5" s="216">
        <f t="shared" si="3"/>
        <v>481.76349393592307</v>
      </c>
      <c r="P5" s="216">
        <f t="shared" si="3"/>
        <v>488.82380511936987</v>
      </c>
      <c r="Q5" s="216">
        <f t="shared" si="3"/>
        <v>495.04529693274304</v>
      </c>
      <c r="R5" s="216">
        <f t="shared" si="3"/>
        <v>500.39153489661282</v>
      </c>
      <c r="S5" s="216">
        <f t="shared" si="3"/>
        <v>505.74014534989368</v>
      </c>
      <c r="T5" s="216">
        <f t="shared" si="3"/>
        <v>511.08993663542685</v>
      </c>
      <c r="U5" s="216">
        <f t="shared" si="3"/>
        <v>516.43970278963025</v>
      </c>
      <c r="V5" s="216">
        <f t="shared" si="3"/>
        <v>521.78822392295911</v>
      </c>
      <c r="W5" s="216">
        <f t="shared" si="3"/>
        <v>527.13426661300218</v>
      </c>
      <c r="X5" s="216">
        <f t="shared" si="3"/>
        <v>532.48244922644972</v>
      </c>
      <c r="Y5" s="216">
        <f t="shared" si="3"/>
        <v>537.83169803085445</v>
      </c>
      <c r="Z5" s="216">
        <f t="shared" si="3"/>
        <v>543.18092715948762</v>
      </c>
      <c r="AA5" s="216">
        <f t="shared" si="3"/>
        <v>548.52903892160077</v>
      </c>
      <c r="AB5" s="216">
        <f t="shared" si="3"/>
        <v>553.87492412234508</v>
      </c>
      <c r="AC5" s="216">
        <f t="shared" si="3"/>
        <v>559.22274936668009</v>
      </c>
      <c r="AD5" s="216">
        <f t="shared" si="3"/>
        <v>564.57154206483767</v>
      </c>
      <c r="AE5" s="216">
        <f t="shared" si="3"/>
        <v>569.92031924402761</v>
      </c>
      <c r="AF5" s="216">
        <f t="shared" si="3"/>
        <v>575.26808780398312</v>
      </c>
      <c r="AG5" s="216">
        <f t="shared" si="3"/>
        <v>580.61384477999206</v>
      </c>
      <c r="AH5" s="85"/>
      <c r="AI5" s="129">
        <f>('Demand Breakdown - Propylene'!L2*'Demand Breakdown - Propylene'!C2+'Demand Breakdown - Propylene'!L2*'Demand Breakdown - Propylene'!C2)/('Demand Breakdown - Propylene'!C2+'Demand Breakdown - Propylene'!C2)</f>
        <v>1.1983297655736136E-2</v>
      </c>
      <c r="AJ5" s="212" t="s">
        <v>1261</v>
      </c>
      <c r="AR5" s="1"/>
      <c r="AU5" s="23"/>
    </row>
    <row r="6" spans="1:47" ht="16" outlineLevel="1" thickTop="1" x14ac:dyDescent="0.2">
      <c r="C6" s="111"/>
      <c r="D6" s="111"/>
      <c r="E6" s="111"/>
      <c r="F6" s="111"/>
      <c r="G6" s="111"/>
      <c r="H6" s="111"/>
      <c r="I6" s="111"/>
      <c r="J6" s="111"/>
      <c r="K6" s="111"/>
      <c r="L6" s="111"/>
      <c r="N6" s="111"/>
      <c r="O6" s="111"/>
      <c r="P6" s="111"/>
      <c r="Q6" s="111"/>
      <c r="R6" s="111"/>
      <c r="S6" s="111"/>
      <c r="T6" s="111"/>
      <c r="U6" s="111"/>
      <c r="V6" s="111"/>
      <c r="X6" s="111"/>
      <c r="Y6" s="111"/>
      <c r="Z6" s="111"/>
      <c r="AA6" s="111"/>
      <c r="AB6" s="111"/>
      <c r="AC6" s="111"/>
      <c r="AD6" s="111"/>
      <c r="AE6" s="111"/>
      <c r="AF6" s="111"/>
      <c r="AI6" s="55"/>
      <c r="AJ6" s="213"/>
    </row>
    <row r="7" spans="1:47" outlineLevel="1" x14ac:dyDescent="0.2">
      <c r="A7" t="s">
        <v>1262</v>
      </c>
      <c r="B7" s="54" t="s">
        <v>462</v>
      </c>
      <c r="C7" s="110">
        <f>'Waste gen. - Industry shares'!C18+'Waste gen. - Industry shares'!C22</f>
        <v>0.52691617790985223</v>
      </c>
      <c r="D7" s="23">
        <f>C7</f>
        <v>0.52691617790985223</v>
      </c>
      <c r="E7" s="23">
        <f t="shared" ref="E7:T11" si="4">D7</f>
        <v>0.52691617790985223</v>
      </c>
      <c r="F7" s="23">
        <f t="shared" si="4"/>
        <v>0.52691617790985223</v>
      </c>
      <c r="G7" s="23">
        <f t="shared" si="4"/>
        <v>0.52691617790985223</v>
      </c>
      <c r="H7" s="23">
        <f t="shared" si="4"/>
        <v>0.52691617790985223</v>
      </c>
      <c r="I7" s="23">
        <f t="shared" si="4"/>
        <v>0.52691617790985223</v>
      </c>
      <c r="J7" s="23">
        <f t="shared" si="4"/>
        <v>0.52691617790985223</v>
      </c>
      <c r="K7" s="23">
        <f t="shared" si="4"/>
        <v>0.52691617790985223</v>
      </c>
      <c r="L7" s="23">
        <f t="shared" si="4"/>
        <v>0.52691617790985223</v>
      </c>
      <c r="M7" s="23">
        <f t="shared" si="4"/>
        <v>0.52691617790985223</v>
      </c>
      <c r="N7" s="23">
        <f t="shared" si="4"/>
        <v>0.52691617790985223</v>
      </c>
      <c r="O7" s="23">
        <f t="shared" si="4"/>
        <v>0.52691617790985223</v>
      </c>
      <c r="P7" s="23">
        <f t="shared" si="4"/>
        <v>0.52691617790985223</v>
      </c>
      <c r="Q7" s="23">
        <f t="shared" si="4"/>
        <v>0.52691617790985223</v>
      </c>
      <c r="R7" s="23">
        <f t="shared" si="4"/>
        <v>0.52691617790985223</v>
      </c>
      <c r="S7" s="23">
        <f t="shared" si="4"/>
        <v>0.52691617790985223</v>
      </c>
      <c r="T7" s="23">
        <f t="shared" si="4"/>
        <v>0.52691617790985223</v>
      </c>
      <c r="U7" s="23">
        <f t="shared" ref="T7:AG11" si="5">T7</f>
        <v>0.52691617790985223</v>
      </c>
      <c r="V7" s="23">
        <f t="shared" si="5"/>
        <v>0.52691617790985223</v>
      </c>
      <c r="W7" s="23">
        <f t="shared" si="5"/>
        <v>0.52691617790985223</v>
      </c>
      <c r="X7" s="23">
        <f t="shared" si="5"/>
        <v>0.52691617790985223</v>
      </c>
      <c r="Y7" s="23">
        <f t="shared" si="5"/>
        <v>0.52691617790985223</v>
      </c>
      <c r="Z7" s="23">
        <f t="shared" si="5"/>
        <v>0.52691617790985223</v>
      </c>
      <c r="AA7" s="23">
        <f t="shared" si="5"/>
        <v>0.52691617790985223</v>
      </c>
      <c r="AB7" s="23">
        <f t="shared" si="5"/>
        <v>0.52691617790985223</v>
      </c>
      <c r="AC7" s="23">
        <f t="shared" si="5"/>
        <v>0.52691617790985223</v>
      </c>
      <c r="AD7" s="23">
        <f t="shared" si="5"/>
        <v>0.52691617790985223</v>
      </c>
      <c r="AE7" s="23">
        <f t="shared" si="5"/>
        <v>0.52691617790985223</v>
      </c>
      <c r="AF7" s="23">
        <f t="shared" si="5"/>
        <v>0.52691617790985223</v>
      </c>
      <c r="AG7" s="23">
        <f t="shared" si="5"/>
        <v>0.52691617790985223</v>
      </c>
      <c r="AI7" s="54" t="s">
        <v>1263</v>
      </c>
      <c r="AJ7" s="211"/>
    </row>
    <row r="8" spans="1:47" outlineLevel="1" x14ac:dyDescent="0.2">
      <c r="A8" t="s">
        <v>1264</v>
      </c>
      <c r="B8" s="54" t="s">
        <v>462</v>
      </c>
      <c r="C8" s="110">
        <f>'Waste gen. - Industry shares'!C20</f>
        <v>4.9737534954333813E-2</v>
      </c>
      <c r="D8" s="23">
        <f>C8</f>
        <v>4.9737534954333813E-2</v>
      </c>
      <c r="E8" s="23">
        <f t="shared" si="4"/>
        <v>4.9737534954333813E-2</v>
      </c>
      <c r="F8" s="23">
        <f t="shared" si="4"/>
        <v>4.9737534954333813E-2</v>
      </c>
      <c r="G8" s="23">
        <f t="shared" si="4"/>
        <v>4.9737534954333813E-2</v>
      </c>
      <c r="H8" s="23">
        <f t="shared" si="4"/>
        <v>4.9737534954333813E-2</v>
      </c>
      <c r="I8" s="23">
        <f t="shared" si="4"/>
        <v>4.9737534954333813E-2</v>
      </c>
      <c r="J8" s="23">
        <f t="shared" si="4"/>
        <v>4.9737534954333813E-2</v>
      </c>
      <c r="K8" s="23">
        <f t="shared" si="4"/>
        <v>4.9737534954333813E-2</v>
      </c>
      <c r="L8" s="23">
        <f t="shared" si="4"/>
        <v>4.9737534954333813E-2</v>
      </c>
      <c r="M8" s="23">
        <f t="shared" si="4"/>
        <v>4.9737534954333813E-2</v>
      </c>
      <c r="N8" s="23">
        <f t="shared" si="4"/>
        <v>4.9737534954333813E-2</v>
      </c>
      <c r="O8" s="23">
        <f t="shared" si="4"/>
        <v>4.9737534954333813E-2</v>
      </c>
      <c r="P8" s="23">
        <f t="shared" si="4"/>
        <v>4.9737534954333813E-2</v>
      </c>
      <c r="Q8" s="23">
        <f t="shared" si="4"/>
        <v>4.9737534954333813E-2</v>
      </c>
      <c r="R8" s="23">
        <f t="shared" si="4"/>
        <v>4.9737534954333813E-2</v>
      </c>
      <c r="S8" s="23">
        <f t="shared" si="4"/>
        <v>4.9737534954333813E-2</v>
      </c>
      <c r="T8" s="23">
        <f t="shared" si="5"/>
        <v>4.9737534954333813E-2</v>
      </c>
      <c r="U8" s="23">
        <f t="shared" si="5"/>
        <v>4.9737534954333813E-2</v>
      </c>
      <c r="V8" s="23">
        <f t="shared" si="5"/>
        <v>4.9737534954333813E-2</v>
      </c>
      <c r="W8" s="23">
        <f t="shared" si="5"/>
        <v>4.9737534954333813E-2</v>
      </c>
      <c r="X8" s="23">
        <f t="shared" si="5"/>
        <v>4.9737534954333813E-2</v>
      </c>
      <c r="Y8" s="23">
        <f t="shared" si="5"/>
        <v>4.9737534954333813E-2</v>
      </c>
      <c r="Z8" s="23">
        <f t="shared" si="5"/>
        <v>4.9737534954333813E-2</v>
      </c>
      <c r="AA8" s="23">
        <f t="shared" si="5"/>
        <v>4.9737534954333813E-2</v>
      </c>
      <c r="AB8" s="23">
        <f t="shared" si="5"/>
        <v>4.9737534954333813E-2</v>
      </c>
      <c r="AC8" s="23">
        <f t="shared" si="5"/>
        <v>4.9737534954333813E-2</v>
      </c>
      <c r="AD8" s="23">
        <f t="shared" si="5"/>
        <v>4.9737534954333813E-2</v>
      </c>
      <c r="AE8" s="23">
        <f t="shared" si="5"/>
        <v>4.9737534954333813E-2</v>
      </c>
      <c r="AF8" s="23">
        <f t="shared" si="5"/>
        <v>4.9737534954333813E-2</v>
      </c>
      <c r="AG8" s="23">
        <f>AF8</f>
        <v>4.9737534954333813E-2</v>
      </c>
      <c r="AI8" s="54" t="s">
        <v>1263</v>
      </c>
      <c r="AJ8" s="211"/>
    </row>
    <row r="9" spans="1:47" outlineLevel="1" x14ac:dyDescent="0.2">
      <c r="A9" t="s">
        <v>1265</v>
      </c>
      <c r="B9" s="54" t="s">
        <v>462</v>
      </c>
      <c r="C9" s="110">
        <f>'Waste gen. - Industry shares'!C19</f>
        <v>3.9129779223441984E-2</v>
      </c>
      <c r="D9" s="23">
        <f t="shared" ref="D9:D10" si="6">C9</f>
        <v>3.9129779223441984E-2</v>
      </c>
      <c r="E9" s="23">
        <f t="shared" si="4"/>
        <v>3.9129779223441984E-2</v>
      </c>
      <c r="F9" s="23">
        <f t="shared" si="4"/>
        <v>3.9129779223441984E-2</v>
      </c>
      <c r="G9" s="23">
        <f t="shared" si="4"/>
        <v>3.9129779223441984E-2</v>
      </c>
      <c r="H9" s="23">
        <f t="shared" si="4"/>
        <v>3.9129779223441984E-2</v>
      </c>
      <c r="I9" s="23">
        <f t="shared" si="4"/>
        <v>3.9129779223441984E-2</v>
      </c>
      <c r="J9" s="23">
        <f t="shared" si="4"/>
        <v>3.9129779223441984E-2</v>
      </c>
      <c r="K9" s="23">
        <f t="shared" si="4"/>
        <v>3.9129779223441984E-2</v>
      </c>
      <c r="L9" s="23">
        <f t="shared" si="4"/>
        <v>3.9129779223441984E-2</v>
      </c>
      <c r="M9" s="23">
        <f t="shared" si="4"/>
        <v>3.9129779223441984E-2</v>
      </c>
      <c r="N9" s="23">
        <f t="shared" si="4"/>
        <v>3.9129779223441984E-2</v>
      </c>
      <c r="O9" s="23">
        <f t="shared" si="4"/>
        <v>3.9129779223441984E-2</v>
      </c>
      <c r="P9" s="23">
        <f t="shared" si="4"/>
        <v>3.9129779223441984E-2</v>
      </c>
      <c r="Q9" s="23">
        <f t="shared" si="4"/>
        <v>3.9129779223441984E-2</v>
      </c>
      <c r="R9" s="23">
        <f t="shared" si="4"/>
        <v>3.9129779223441984E-2</v>
      </c>
      <c r="S9" s="23">
        <f t="shared" si="4"/>
        <v>3.9129779223441984E-2</v>
      </c>
      <c r="T9" s="23">
        <f t="shared" si="4"/>
        <v>3.9129779223441984E-2</v>
      </c>
      <c r="U9" s="23">
        <f t="shared" si="5"/>
        <v>3.9129779223441984E-2</v>
      </c>
      <c r="V9" s="23">
        <f t="shared" si="5"/>
        <v>3.9129779223441984E-2</v>
      </c>
      <c r="W9" s="23">
        <f t="shared" si="5"/>
        <v>3.9129779223441984E-2</v>
      </c>
      <c r="X9" s="23">
        <f t="shared" si="5"/>
        <v>3.9129779223441984E-2</v>
      </c>
      <c r="Y9" s="23">
        <f t="shared" si="5"/>
        <v>3.9129779223441984E-2</v>
      </c>
      <c r="Z9" s="23">
        <f t="shared" si="5"/>
        <v>3.9129779223441984E-2</v>
      </c>
      <c r="AA9" s="23">
        <f t="shared" si="5"/>
        <v>3.9129779223441984E-2</v>
      </c>
      <c r="AB9" s="23">
        <f t="shared" si="5"/>
        <v>3.9129779223441984E-2</v>
      </c>
      <c r="AC9" s="23">
        <f t="shared" si="5"/>
        <v>3.9129779223441984E-2</v>
      </c>
      <c r="AD9" s="23">
        <f t="shared" si="5"/>
        <v>3.9129779223441984E-2</v>
      </c>
      <c r="AE9" s="23">
        <f t="shared" si="5"/>
        <v>3.9129779223441984E-2</v>
      </c>
      <c r="AF9" s="23">
        <f t="shared" si="5"/>
        <v>3.9129779223441984E-2</v>
      </c>
      <c r="AG9" s="23">
        <f t="shared" si="5"/>
        <v>3.9129779223441984E-2</v>
      </c>
      <c r="AI9" s="54" t="s">
        <v>1263</v>
      </c>
      <c r="AJ9" s="211"/>
      <c r="AR9" s="23"/>
    </row>
    <row r="10" spans="1:47" outlineLevel="1" x14ac:dyDescent="0.2">
      <c r="A10" t="s">
        <v>1266</v>
      </c>
      <c r="B10" s="54" t="s">
        <v>462</v>
      </c>
      <c r="C10" s="110">
        <f>'Waste gen. - Industry shares'!C23</f>
        <v>0.10029713901088191</v>
      </c>
      <c r="D10" s="23">
        <f t="shared" si="6"/>
        <v>0.10029713901088191</v>
      </c>
      <c r="E10" s="23">
        <f t="shared" si="4"/>
        <v>0.10029713901088191</v>
      </c>
      <c r="F10" s="23">
        <f t="shared" si="4"/>
        <v>0.10029713901088191</v>
      </c>
      <c r="G10" s="23">
        <f t="shared" si="4"/>
        <v>0.10029713901088191</v>
      </c>
      <c r="H10" s="23">
        <f t="shared" si="4"/>
        <v>0.10029713901088191</v>
      </c>
      <c r="I10" s="23">
        <f t="shared" si="4"/>
        <v>0.10029713901088191</v>
      </c>
      <c r="J10" s="23">
        <f t="shared" si="4"/>
        <v>0.10029713901088191</v>
      </c>
      <c r="K10" s="23">
        <f t="shared" si="4"/>
        <v>0.10029713901088191</v>
      </c>
      <c r="L10" s="23">
        <f t="shared" si="4"/>
        <v>0.10029713901088191</v>
      </c>
      <c r="M10" s="23">
        <f>L10</f>
        <v>0.10029713901088191</v>
      </c>
      <c r="N10" s="23">
        <f t="shared" si="4"/>
        <v>0.10029713901088191</v>
      </c>
      <c r="O10" s="23">
        <f t="shared" si="4"/>
        <v>0.10029713901088191</v>
      </c>
      <c r="P10" s="23">
        <f t="shared" si="4"/>
        <v>0.10029713901088191</v>
      </c>
      <c r="Q10" s="23">
        <f t="shared" si="4"/>
        <v>0.10029713901088191</v>
      </c>
      <c r="R10" s="23">
        <f t="shared" si="4"/>
        <v>0.10029713901088191</v>
      </c>
      <c r="S10" s="23">
        <f t="shared" si="4"/>
        <v>0.10029713901088191</v>
      </c>
      <c r="T10" s="23">
        <f t="shared" si="4"/>
        <v>0.10029713901088191</v>
      </c>
      <c r="U10" s="23">
        <f t="shared" si="5"/>
        <v>0.10029713901088191</v>
      </c>
      <c r="V10" s="23">
        <f t="shared" si="5"/>
        <v>0.10029713901088191</v>
      </c>
      <c r="W10" s="23">
        <f t="shared" si="5"/>
        <v>0.10029713901088191</v>
      </c>
      <c r="X10" s="23">
        <f t="shared" si="5"/>
        <v>0.10029713901088191</v>
      </c>
      <c r="Y10" s="23">
        <f t="shared" si="5"/>
        <v>0.10029713901088191</v>
      </c>
      <c r="Z10" s="23">
        <f t="shared" si="5"/>
        <v>0.10029713901088191</v>
      </c>
      <c r="AA10" s="23">
        <f t="shared" si="5"/>
        <v>0.10029713901088191</v>
      </c>
      <c r="AB10" s="23">
        <f t="shared" si="5"/>
        <v>0.10029713901088191</v>
      </c>
      <c r="AC10" s="23">
        <f t="shared" si="5"/>
        <v>0.10029713901088191</v>
      </c>
      <c r="AD10" s="23">
        <f t="shared" si="5"/>
        <v>0.10029713901088191</v>
      </c>
      <c r="AE10" s="23">
        <f t="shared" si="5"/>
        <v>0.10029713901088191</v>
      </c>
      <c r="AF10" s="23">
        <f t="shared" si="5"/>
        <v>0.10029713901088191</v>
      </c>
      <c r="AG10" s="23">
        <f t="shared" si="5"/>
        <v>0.10029713901088191</v>
      </c>
      <c r="AI10" s="54" t="s">
        <v>1263</v>
      </c>
      <c r="AJ10" s="211"/>
    </row>
    <row r="11" spans="1:47" outlineLevel="1" x14ac:dyDescent="0.2">
      <c r="A11" t="s">
        <v>1267</v>
      </c>
      <c r="B11" s="54" t="s">
        <v>462</v>
      </c>
      <c r="C11" s="110">
        <f>'Waste gen. - Industry shares'!C24+'Waste gen. - Industry shares'!C21</f>
        <v>0.28391936890149011</v>
      </c>
      <c r="D11" s="125">
        <f>C11</f>
        <v>0.28391936890149011</v>
      </c>
      <c r="E11" s="125">
        <f t="shared" si="4"/>
        <v>0.28391936890149011</v>
      </c>
      <c r="F11" s="125">
        <f t="shared" si="4"/>
        <v>0.28391936890149011</v>
      </c>
      <c r="G11" s="125">
        <f t="shared" si="4"/>
        <v>0.28391936890149011</v>
      </c>
      <c r="H11" s="125">
        <f t="shared" si="4"/>
        <v>0.28391936890149011</v>
      </c>
      <c r="I11" s="125">
        <f t="shared" si="4"/>
        <v>0.28391936890149011</v>
      </c>
      <c r="J11" s="125">
        <f t="shared" si="4"/>
        <v>0.28391936890149011</v>
      </c>
      <c r="K11" s="125">
        <f t="shared" si="4"/>
        <v>0.28391936890149011</v>
      </c>
      <c r="L11" s="125">
        <f t="shared" si="4"/>
        <v>0.28391936890149011</v>
      </c>
      <c r="M11" s="127">
        <f t="shared" si="4"/>
        <v>0.28391936890149011</v>
      </c>
      <c r="N11" s="127">
        <f t="shared" si="4"/>
        <v>0.28391936890149011</v>
      </c>
      <c r="O11" s="127">
        <f t="shared" si="4"/>
        <v>0.28391936890149011</v>
      </c>
      <c r="P11" s="127">
        <f t="shared" si="4"/>
        <v>0.28391936890149011</v>
      </c>
      <c r="Q11" s="127">
        <f t="shared" si="4"/>
        <v>0.28391936890149011</v>
      </c>
      <c r="R11" s="127">
        <f t="shared" si="4"/>
        <v>0.28391936890149011</v>
      </c>
      <c r="S11" s="127">
        <f t="shared" si="4"/>
        <v>0.28391936890149011</v>
      </c>
      <c r="T11" s="127">
        <f t="shared" si="4"/>
        <v>0.28391936890149011</v>
      </c>
      <c r="U11" s="127">
        <f t="shared" si="5"/>
        <v>0.28391936890149011</v>
      </c>
      <c r="V11" s="127">
        <f t="shared" si="5"/>
        <v>0.28391936890149011</v>
      </c>
      <c r="W11" s="127">
        <f t="shared" si="5"/>
        <v>0.28391936890149011</v>
      </c>
      <c r="X11" s="127">
        <f t="shared" si="5"/>
        <v>0.28391936890149011</v>
      </c>
      <c r="Y11" s="127">
        <f t="shared" si="5"/>
        <v>0.28391936890149011</v>
      </c>
      <c r="Z11" s="127">
        <f t="shared" si="5"/>
        <v>0.28391936890149011</v>
      </c>
      <c r="AA11" s="127">
        <f t="shared" si="5"/>
        <v>0.28391936890149011</v>
      </c>
      <c r="AB11" s="127">
        <f t="shared" si="5"/>
        <v>0.28391936890149011</v>
      </c>
      <c r="AC11" s="127">
        <f t="shared" si="5"/>
        <v>0.28391936890149011</v>
      </c>
      <c r="AD11" s="127">
        <f t="shared" si="5"/>
        <v>0.28391936890149011</v>
      </c>
      <c r="AE11" s="127">
        <f t="shared" si="5"/>
        <v>0.28391936890149011</v>
      </c>
      <c r="AF11" s="127">
        <f t="shared" si="5"/>
        <v>0.28391936890149011</v>
      </c>
      <c r="AG11" s="127">
        <f t="shared" si="5"/>
        <v>0.28391936890149011</v>
      </c>
      <c r="AI11" s="54" t="s">
        <v>1263</v>
      </c>
      <c r="AJ11" s="211"/>
    </row>
    <row r="12" spans="1:47" ht="16" outlineLevel="1" thickBot="1" x14ac:dyDescent="0.25">
      <c r="A12" s="195" t="s">
        <v>1268</v>
      </c>
      <c r="B12" s="196"/>
      <c r="C12" s="197">
        <f>SUM(C7:C11)</f>
        <v>1</v>
      </c>
      <c r="D12" s="197">
        <f t="shared" ref="D12:AG12" si="7">SUM(D7:D11)</f>
        <v>1</v>
      </c>
      <c r="E12" s="197">
        <f t="shared" si="7"/>
        <v>1</v>
      </c>
      <c r="F12" s="197">
        <f t="shared" si="7"/>
        <v>1</v>
      </c>
      <c r="G12" s="197">
        <f t="shared" si="7"/>
        <v>1</v>
      </c>
      <c r="H12" s="197">
        <f t="shared" si="7"/>
        <v>1</v>
      </c>
      <c r="I12" s="197">
        <f t="shared" si="7"/>
        <v>1</v>
      </c>
      <c r="J12" s="197">
        <f t="shared" si="7"/>
        <v>1</v>
      </c>
      <c r="K12" s="197">
        <f t="shared" si="7"/>
        <v>1</v>
      </c>
      <c r="L12" s="197">
        <f t="shared" si="7"/>
        <v>1</v>
      </c>
      <c r="M12" s="197">
        <f t="shared" si="7"/>
        <v>1</v>
      </c>
      <c r="N12" s="197">
        <f t="shared" si="7"/>
        <v>1</v>
      </c>
      <c r="O12" s="197">
        <f t="shared" si="7"/>
        <v>1</v>
      </c>
      <c r="P12" s="197">
        <f t="shared" si="7"/>
        <v>1</v>
      </c>
      <c r="Q12" s="197">
        <f t="shared" si="7"/>
        <v>1</v>
      </c>
      <c r="R12" s="197">
        <f t="shared" si="7"/>
        <v>1</v>
      </c>
      <c r="S12" s="197">
        <f t="shared" si="7"/>
        <v>1</v>
      </c>
      <c r="T12" s="197">
        <f t="shared" si="7"/>
        <v>1</v>
      </c>
      <c r="U12" s="197">
        <f t="shared" si="7"/>
        <v>1</v>
      </c>
      <c r="V12" s="197">
        <f t="shared" si="7"/>
        <v>1</v>
      </c>
      <c r="W12" s="197">
        <f t="shared" si="7"/>
        <v>1</v>
      </c>
      <c r="X12" s="197">
        <f t="shared" si="7"/>
        <v>1</v>
      </c>
      <c r="Y12" s="197">
        <f t="shared" si="7"/>
        <v>1</v>
      </c>
      <c r="Z12" s="197">
        <f t="shared" si="7"/>
        <v>1</v>
      </c>
      <c r="AA12" s="197">
        <f t="shared" si="7"/>
        <v>1</v>
      </c>
      <c r="AB12" s="197">
        <f t="shared" si="7"/>
        <v>1</v>
      </c>
      <c r="AC12" s="197">
        <f t="shared" si="7"/>
        <v>1</v>
      </c>
      <c r="AD12" s="197">
        <f t="shared" si="7"/>
        <v>1</v>
      </c>
      <c r="AE12" s="197">
        <f t="shared" si="7"/>
        <v>1</v>
      </c>
      <c r="AF12" s="197">
        <f t="shared" si="7"/>
        <v>1</v>
      </c>
      <c r="AG12" s="197">
        <f t="shared" si="7"/>
        <v>1</v>
      </c>
      <c r="AM12" s="26"/>
      <c r="AN12" s="2"/>
      <c r="AO12" s="26"/>
      <c r="AR12" s="2"/>
    </row>
    <row r="13" spans="1:47" ht="16" outlineLevel="1" thickTop="1" x14ac:dyDescent="0.2">
      <c r="AM13" s="26"/>
      <c r="AN13" s="2"/>
      <c r="AO13" s="26"/>
      <c r="AR13" s="2"/>
    </row>
    <row r="14" spans="1:47" outlineLevel="1" x14ac:dyDescent="0.2">
      <c r="A14" t="s">
        <v>1269</v>
      </c>
      <c r="B14" s="54" t="s">
        <v>1270</v>
      </c>
      <c r="C14" s="107">
        <f t="shared" ref="C14:AG18" si="8">C$5*C7</f>
        <v>192.00657977565822</v>
      </c>
      <c r="D14" s="107">
        <f t="shared" si="8"/>
        <v>198.44292826699893</v>
      </c>
      <c r="E14" s="107">
        <f t="shared" si="8"/>
        <v>204.55890009292344</v>
      </c>
      <c r="F14" s="107">
        <f t="shared" si="8"/>
        <v>210.31251746395097</v>
      </c>
      <c r="G14" s="107">
        <f t="shared" si="8"/>
        <v>215.66348241880155</v>
      </c>
      <c r="H14" s="107">
        <f t="shared" si="8"/>
        <v>220.57364696553736</v>
      </c>
      <c r="I14" s="107">
        <f t="shared" si="8"/>
        <v>225.49291011572345</v>
      </c>
      <c r="J14" s="107">
        <f t="shared" si="8"/>
        <v>230.41681793247074</v>
      </c>
      <c r="K14" s="107">
        <f t="shared" si="8"/>
        <v>235.34080340232265</v>
      </c>
      <c r="L14" s="107">
        <f t="shared" si="8"/>
        <v>240.26019237453207</v>
      </c>
      <c r="M14" s="107">
        <f t="shared" si="8"/>
        <v>245.17020990174444</v>
      </c>
      <c r="N14" s="107">
        <f t="shared" si="8"/>
        <v>249.70819489751534</v>
      </c>
      <c r="O14" s="107">
        <f t="shared" si="8"/>
        <v>253.84897888121284</v>
      </c>
      <c r="P14" s="107">
        <f t="shared" si="8"/>
        <v>257.56917106484883</v>
      </c>
      <c r="Q14" s="107">
        <f t="shared" si="8"/>
        <v>260.84737575204883</v>
      </c>
      <c r="R14" s="107">
        <f t="shared" si="8"/>
        <v>263.66439502616765</v>
      </c>
      <c r="S14" s="107">
        <f t="shared" si="8"/>
        <v>266.48266440333913</v>
      </c>
      <c r="T14" s="107">
        <f t="shared" si="8"/>
        <v>269.30155598012766</v>
      </c>
      <c r="U14" s="107">
        <f t="shared" si="8"/>
        <v>272.12043431481203</v>
      </c>
      <c r="V14" s="107">
        <f t="shared" si="8"/>
        <v>274.93865662785572</v>
      </c>
      <c r="W14" s="107">
        <f t="shared" si="8"/>
        <v>277.75557300903614</v>
      </c>
      <c r="X14" s="107">
        <f t="shared" si="8"/>
        <v>280.57361695047786</v>
      </c>
      <c r="Y14" s="107">
        <f t="shared" si="8"/>
        <v>283.39222268518364</v>
      </c>
      <c r="Z14" s="107">
        <f t="shared" si="8"/>
        <v>286.21081805240709</v>
      </c>
      <c r="AA14" s="107">
        <f t="shared" si="8"/>
        <v>289.02882466113448</v>
      </c>
      <c r="AB14" s="107">
        <f t="shared" si="8"/>
        <v>291.84565805865549</v>
      </c>
      <c r="AC14" s="107">
        <f t="shared" si="8"/>
        <v>294.66351369653029</v>
      </c>
      <c r="AD14" s="107">
        <f t="shared" si="8"/>
        <v>297.48187910147561</v>
      </c>
      <c r="AE14" s="107">
        <f t="shared" si="8"/>
        <v>300.30023632922581</v>
      </c>
      <c r="AF14" s="107">
        <f t="shared" si="8"/>
        <v>303.11806209918404</v>
      </c>
      <c r="AG14" s="107">
        <f t="shared" si="8"/>
        <v>305.93482793301763</v>
      </c>
      <c r="AM14" s="26"/>
      <c r="AN14" s="2"/>
      <c r="AO14" s="26"/>
      <c r="AR14" s="2"/>
    </row>
    <row r="15" spans="1:47" outlineLevel="1" x14ac:dyDescent="0.2">
      <c r="A15" t="s">
        <v>1271</v>
      </c>
      <c r="B15" s="54" t="s">
        <v>1270</v>
      </c>
      <c r="C15" s="107">
        <f t="shared" si="8"/>
        <v>18.124199585095564</v>
      </c>
      <c r="D15" s="107">
        <f t="shared" si="8"/>
        <v>18.731749934633516</v>
      </c>
      <c r="E15" s="107">
        <f t="shared" si="8"/>
        <v>19.309058765192301</v>
      </c>
      <c r="F15" s="107">
        <f t="shared" si="8"/>
        <v>19.852163640507602</v>
      </c>
      <c r="G15" s="107">
        <f t="shared" si="8"/>
        <v>20.357260689410186</v>
      </c>
      <c r="H15" s="107">
        <f t="shared" si="8"/>
        <v>20.820748984158627</v>
      </c>
      <c r="I15" s="107">
        <f t="shared" si="8"/>
        <v>21.285096129187462</v>
      </c>
      <c r="J15" s="107">
        <f t="shared" si="8"/>
        <v>21.749881701190311</v>
      </c>
      <c r="K15" s="107">
        <f t="shared" si="8"/>
        <v>22.214674603152208</v>
      </c>
      <c r="L15" s="107">
        <f t="shared" si="8"/>
        <v>22.679033624979567</v>
      </c>
      <c r="M15" s="107">
        <f t="shared" si="8"/>
        <v>23.142508042020335</v>
      </c>
      <c r="N15" s="107">
        <f t="shared" si="8"/>
        <v>23.570864954963728</v>
      </c>
      <c r="O15" s="107">
        <f t="shared" si="8"/>
        <v>23.96172861935996</v>
      </c>
      <c r="P15" s="107">
        <f t="shared" si="8"/>
        <v>24.31289109363512</v>
      </c>
      <c r="Q15" s="107">
        <f t="shared" si="8"/>
        <v>24.62233276017087</v>
      </c>
      <c r="R15" s="107">
        <f t="shared" si="8"/>
        <v>24.888241457773027</v>
      </c>
      <c r="S15" s="107">
        <f t="shared" si="8"/>
        <v>25.154268157150199</v>
      </c>
      <c r="T15" s="107">
        <f t="shared" si="8"/>
        <v>25.420353588212798</v>
      </c>
      <c r="U15" s="107">
        <f t="shared" si="8"/>
        <v>25.686437769305002</v>
      </c>
      <c r="V15" s="107">
        <f t="shared" si="8"/>
        <v>25.952460026127937</v>
      </c>
      <c r="W15" s="107">
        <f t="shared" si="8"/>
        <v>26.218359011291316</v>
      </c>
      <c r="X15" s="107">
        <f t="shared" si="8"/>
        <v>26.484364430969823</v>
      </c>
      <c r="Y15" s="107">
        <f t="shared" si="8"/>
        <v>26.750422880358332</v>
      </c>
      <c r="Z15" s="107">
        <f t="shared" si="8"/>
        <v>27.016480351122464</v>
      </c>
      <c r="AA15" s="107">
        <f t="shared" si="8"/>
        <v>27.282482246830252</v>
      </c>
      <c r="AB15" s="107">
        <f t="shared" si="8"/>
        <v>27.548373398864126</v>
      </c>
      <c r="AC15" s="107">
        <f t="shared" si="8"/>
        <v>27.81436104388391</v>
      </c>
      <c r="AD15" s="107">
        <f t="shared" si="8"/>
        <v>28.080396807672006</v>
      </c>
      <c r="AE15" s="107">
        <f t="shared" si="8"/>
        <v>28.346431799584909</v>
      </c>
      <c r="AF15" s="107">
        <f t="shared" si="8"/>
        <v>28.612416625263382</v>
      </c>
      <c r="AG15" s="107">
        <f t="shared" si="8"/>
        <v>28.878301399715003</v>
      </c>
      <c r="AM15" s="26"/>
      <c r="AN15" s="2"/>
      <c r="AO15" s="26"/>
      <c r="AR15" s="2"/>
    </row>
    <row r="16" spans="1:47" outlineLevel="1" x14ac:dyDescent="0.2">
      <c r="A16" t="s">
        <v>1272</v>
      </c>
      <c r="B16" s="54" t="s">
        <v>1270</v>
      </c>
      <c r="C16" s="107">
        <f t="shared" si="8"/>
        <v>14.258767126628445</v>
      </c>
      <c r="D16" s="107">
        <f t="shared" si="8"/>
        <v>14.736742383471642</v>
      </c>
      <c r="E16" s="107">
        <f t="shared" si="8"/>
        <v>15.190925870937384</v>
      </c>
      <c r="F16" s="107">
        <f t="shared" si="8"/>
        <v>15.618200239998389</v>
      </c>
      <c r="G16" s="107">
        <f t="shared" si="8"/>
        <v>16.015572888806112</v>
      </c>
      <c r="H16" s="107">
        <f t="shared" si="8"/>
        <v>16.380210876249752</v>
      </c>
      <c r="I16" s="107">
        <f t="shared" si="8"/>
        <v>16.745524542974419</v>
      </c>
      <c r="J16" s="107">
        <f t="shared" si="8"/>
        <v>17.111183131310387</v>
      </c>
      <c r="K16" s="107">
        <f t="shared" si="8"/>
        <v>17.476847486310902</v>
      </c>
      <c r="L16" s="107">
        <f t="shared" si="8"/>
        <v>17.842170496813957</v>
      </c>
      <c r="M16" s="107">
        <f t="shared" si="8"/>
        <v>18.206797566313274</v>
      </c>
      <c r="N16" s="107">
        <f t="shared" si="8"/>
        <v>18.543796805372864</v>
      </c>
      <c r="O16" s="107">
        <f t="shared" si="8"/>
        <v>18.851299155626702</v>
      </c>
      <c r="P16" s="107">
        <f t="shared" si="8"/>
        <v>19.127567573483773</v>
      </c>
      <c r="Q16" s="107">
        <f t="shared" si="8"/>
        <v>19.371013174581517</v>
      </c>
      <c r="R16" s="107">
        <f t="shared" si="8"/>
        <v>19.580210285783725</v>
      </c>
      <c r="S16" s="107">
        <f t="shared" si="8"/>
        <v>19.789500231972799</v>
      </c>
      <c r="T16" s="107">
        <f t="shared" si="8"/>
        <v>19.998836383867207</v>
      </c>
      <c r="U16" s="107">
        <f t="shared" si="8"/>
        <v>20.208171552378225</v>
      </c>
      <c r="V16" s="107">
        <f t="shared" si="8"/>
        <v>20.417458003497298</v>
      </c>
      <c r="W16" s="107">
        <f t="shared" si="8"/>
        <v>20.626647473677782</v>
      </c>
      <c r="X16" s="107">
        <f t="shared" si="8"/>
        <v>20.835920678588632</v>
      </c>
      <c r="Y16" s="107">
        <f t="shared" si="8"/>
        <v>21.04523560331625</v>
      </c>
      <c r="Z16" s="107">
        <f t="shared" si="8"/>
        <v>21.254549758135273</v>
      </c>
      <c r="AA16" s="107">
        <f t="shared" si="8"/>
        <v>21.463820190649052</v>
      </c>
      <c r="AB16" s="107">
        <f t="shared" si="8"/>
        <v>21.673003498308045</v>
      </c>
      <c r="AC16" s="107">
        <f t="shared" si="8"/>
        <v>21.882262719444423</v>
      </c>
      <c r="AD16" s="107">
        <f t="shared" si="8"/>
        <v>22.091559796835288</v>
      </c>
      <c r="AE16" s="107">
        <f t="shared" si="8"/>
        <v>22.300856266972374</v>
      </c>
      <c r="AF16" s="107">
        <f t="shared" si="8"/>
        <v>22.510113270061499</v>
      </c>
      <c r="AG16" s="107">
        <f t="shared" si="8"/>
        <v>22.719291560314904</v>
      </c>
      <c r="AM16" s="26"/>
      <c r="AN16" s="2"/>
      <c r="AO16" s="26"/>
      <c r="AR16" s="2"/>
    </row>
    <row r="17" spans="1:64" outlineLevel="1" x14ac:dyDescent="0.2">
      <c r="A17" t="s">
        <v>1273</v>
      </c>
      <c r="B17" s="54" t="s">
        <v>1270</v>
      </c>
      <c r="C17" s="107">
        <f t="shared" si="8"/>
        <v>36.547958537074749</v>
      </c>
      <c r="D17" s="107">
        <f t="shared" si="8"/>
        <v>37.773100915354362</v>
      </c>
      <c r="E17" s="107">
        <f t="shared" si="8"/>
        <v>38.937260419518097</v>
      </c>
      <c r="F17" s="107">
        <f t="shared" si="8"/>
        <v>40.03244668532318</v>
      </c>
      <c r="G17" s="107">
        <f t="shared" si="8"/>
        <v>41.050989099503568</v>
      </c>
      <c r="H17" s="107">
        <f t="shared" si="8"/>
        <v>41.985626289926905</v>
      </c>
      <c r="I17" s="107">
        <f t="shared" si="8"/>
        <v>42.921995376111482</v>
      </c>
      <c r="J17" s="107">
        <f t="shared" si="8"/>
        <v>43.859248562627918</v>
      </c>
      <c r="K17" s="107">
        <f t="shared" si="8"/>
        <v>44.796516530213069</v>
      </c>
      <c r="L17" s="107">
        <f t="shared" si="8"/>
        <v>45.732909566296122</v>
      </c>
      <c r="M17" s="107">
        <f t="shared" si="8"/>
        <v>46.66751877193137</v>
      </c>
      <c r="N17" s="107">
        <f t="shared" si="8"/>
        <v>47.531312542233863</v>
      </c>
      <c r="O17" s="107">
        <f t="shared" si="8"/>
        <v>48.319500121659445</v>
      </c>
      <c r="P17" s="107">
        <f t="shared" si="8"/>
        <v>49.027629133885689</v>
      </c>
      <c r="Q17" s="107">
        <f t="shared" si="8"/>
        <v>49.65162696314664</v>
      </c>
      <c r="R17" s="107">
        <f t="shared" si="8"/>
        <v>50.187839335394145</v>
      </c>
      <c r="S17" s="107">
        <f t="shared" si="8"/>
        <v>50.72428966154191</v>
      </c>
      <c r="T17" s="107">
        <f t="shared" si="8"/>
        <v>51.260858421786239</v>
      </c>
      <c r="U17" s="107">
        <f t="shared" si="8"/>
        <v>51.797424661430085</v>
      </c>
      <c r="V17" s="107">
        <f t="shared" si="8"/>
        <v>52.333866029042213</v>
      </c>
      <c r="W17" s="107">
        <f t="shared" si="8"/>
        <v>52.870058815883567</v>
      </c>
      <c r="X17" s="107">
        <f t="shared" si="8"/>
        <v>53.406466230920095</v>
      </c>
      <c r="Y17" s="107">
        <f t="shared" si="8"/>
        <v>53.942980581859274</v>
      </c>
      <c r="Z17" s="107">
        <f t="shared" si="8"/>
        <v>54.479492959374852</v>
      </c>
      <c r="AA17" s="107">
        <f t="shared" si="8"/>
        <v>55.015893268225248</v>
      </c>
      <c r="AB17" s="107">
        <f t="shared" si="8"/>
        <v>55.552070259340518</v>
      </c>
      <c r="AC17" s="107">
        <f t="shared" si="8"/>
        <v>56.088441831277486</v>
      </c>
      <c r="AD17" s="107">
        <f t="shared" si="8"/>
        <v>56.624910436064987</v>
      </c>
      <c r="AE17" s="107">
        <f t="shared" si="8"/>
        <v>57.161377484344435</v>
      </c>
      <c r="AF17" s="107">
        <f t="shared" si="8"/>
        <v>57.697743371000321</v>
      </c>
      <c r="AG17" s="107">
        <f t="shared" si="8"/>
        <v>58.233907501541481</v>
      </c>
      <c r="AM17" s="26"/>
      <c r="AN17" s="2"/>
      <c r="AO17" s="26"/>
      <c r="AR17" s="2"/>
    </row>
    <row r="18" spans="1:64" outlineLevel="1" x14ac:dyDescent="0.2">
      <c r="A18" t="s">
        <v>1274</v>
      </c>
      <c r="B18" s="54" t="s">
        <v>1270</v>
      </c>
      <c r="C18" s="128">
        <f t="shared" si="8"/>
        <v>103.45931523887491</v>
      </c>
      <c r="D18" s="128">
        <f t="shared" si="8"/>
        <v>106.92742663553078</v>
      </c>
      <c r="E18" s="128">
        <f t="shared" si="8"/>
        <v>110.22290878968255</v>
      </c>
      <c r="F18" s="128">
        <f t="shared" si="8"/>
        <v>113.32314271941829</v>
      </c>
      <c r="G18" s="128">
        <f t="shared" si="8"/>
        <v>116.2064145882412</v>
      </c>
      <c r="H18" s="128">
        <f t="shared" si="8"/>
        <v>118.85216903222452</v>
      </c>
      <c r="I18" s="128">
        <f t="shared" si="8"/>
        <v>121.5028260961269</v>
      </c>
      <c r="J18" s="128">
        <f t="shared" si="8"/>
        <v>124.15598585562697</v>
      </c>
      <c r="K18" s="128">
        <f t="shared" si="8"/>
        <v>126.80918745711517</v>
      </c>
      <c r="L18" s="128">
        <f t="shared" si="8"/>
        <v>129.45991231796697</v>
      </c>
      <c r="M18" s="128">
        <f t="shared" si="8"/>
        <v>132.10558754310665</v>
      </c>
      <c r="N18" s="128">
        <f t="shared" si="8"/>
        <v>134.55079968518692</v>
      </c>
      <c r="O18" s="128">
        <f t="shared" si="8"/>
        <v>136.78198715806414</v>
      </c>
      <c r="P18" s="128">
        <f t="shared" si="8"/>
        <v>138.78654625351649</v>
      </c>
      <c r="Q18" s="128">
        <f t="shared" si="8"/>
        <v>140.55294828279517</v>
      </c>
      <c r="R18" s="128">
        <f t="shared" si="8"/>
        <v>142.07084879149429</v>
      </c>
      <c r="S18" s="128">
        <f t="shared" si="8"/>
        <v>143.5894228958897</v>
      </c>
      <c r="T18" s="128">
        <f t="shared" si="8"/>
        <v>145.10833226143296</v>
      </c>
      <c r="U18" s="128">
        <f t="shared" si="8"/>
        <v>146.62723449170494</v>
      </c>
      <c r="V18" s="128">
        <f t="shared" si="8"/>
        <v>148.14578323643596</v>
      </c>
      <c r="W18" s="128">
        <f t="shared" si="8"/>
        <v>149.6636283031134</v>
      </c>
      <c r="X18" s="128">
        <f t="shared" si="8"/>
        <v>151.18208093549336</v>
      </c>
      <c r="Y18" s="128">
        <f t="shared" si="8"/>
        <v>152.700836280137</v>
      </c>
      <c r="Z18" s="128">
        <f t="shared" si="8"/>
        <v>154.219586038448</v>
      </c>
      <c r="AA18" s="128">
        <f t="shared" si="8"/>
        <v>155.73801855476179</v>
      </c>
      <c r="AB18" s="128">
        <f t="shared" si="8"/>
        <v>157.25581890717694</v>
      </c>
      <c r="AC18" s="128">
        <f t="shared" si="8"/>
        <v>158.77417007554399</v>
      </c>
      <c r="AD18" s="128">
        <f t="shared" si="8"/>
        <v>160.29279592278979</v>
      </c>
      <c r="AE18" s="128">
        <f t="shared" si="8"/>
        <v>161.81141736390009</v>
      </c>
      <c r="AF18" s="128">
        <f t="shared" si="8"/>
        <v>163.32975243847389</v>
      </c>
      <c r="AG18" s="128">
        <f t="shared" si="8"/>
        <v>164.84751638540308</v>
      </c>
    </row>
    <row r="19" spans="1:64" ht="16" outlineLevel="1" thickBot="1" x14ac:dyDescent="0.25">
      <c r="A19" s="200" t="s">
        <v>1275</v>
      </c>
      <c r="B19" s="198"/>
      <c r="C19" s="199">
        <f t="shared" ref="C19:AG19" si="9">SUM(C14:C18)</f>
        <v>364.3968202633319</v>
      </c>
      <c r="D19" s="199">
        <f t="shared" si="9"/>
        <v>376.61194813598922</v>
      </c>
      <c r="E19" s="199">
        <f t="shared" si="9"/>
        <v>388.21905393825375</v>
      </c>
      <c r="F19" s="199">
        <f t="shared" si="9"/>
        <v>399.13847074919846</v>
      </c>
      <c r="G19" s="199">
        <f t="shared" si="9"/>
        <v>409.29371968476261</v>
      </c>
      <c r="H19" s="199">
        <f t="shared" si="9"/>
        <v>418.6124021480972</v>
      </c>
      <c r="I19" s="199">
        <f t="shared" si="9"/>
        <v>427.94835226012367</v>
      </c>
      <c r="J19" s="199">
        <f t="shared" si="9"/>
        <v>437.29311718322629</v>
      </c>
      <c r="K19" s="199">
        <f t="shared" si="9"/>
        <v>446.63802947911398</v>
      </c>
      <c r="L19" s="199">
        <f t="shared" si="9"/>
        <v>455.9742183805887</v>
      </c>
      <c r="M19" s="199">
        <f t="shared" si="9"/>
        <v>465.2926218251161</v>
      </c>
      <c r="N19" s="199">
        <f t="shared" si="9"/>
        <v>473.90496888527275</v>
      </c>
      <c r="O19" s="199">
        <f t="shared" si="9"/>
        <v>481.76349393592307</v>
      </c>
      <c r="P19" s="199">
        <f t="shared" si="9"/>
        <v>488.82380511936992</v>
      </c>
      <c r="Q19" s="199">
        <f t="shared" si="9"/>
        <v>495.04529693274304</v>
      </c>
      <c r="R19" s="199">
        <f t="shared" si="9"/>
        <v>500.39153489661282</v>
      </c>
      <c r="S19" s="199">
        <f t="shared" si="9"/>
        <v>505.74014534989368</v>
      </c>
      <c r="T19" s="199">
        <f t="shared" si="9"/>
        <v>511.08993663542685</v>
      </c>
      <c r="U19" s="199">
        <f t="shared" si="9"/>
        <v>516.43970278963025</v>
      </c>
      <c r="V19" s="199">
        <f t="shared" si="9"/>
        <v>521.78822392295911</v>
      </c>
      <c r="W19" s="199">
        <f t="shared" si="9"/>
        <v>527.13426661300218</v>
      </c>
      <c r="X19" s="199">
        <f t="shared" si="9"/>
        <v>532.48244922644983</v>
      </c>
      <c r="Y19" s="199">
        <f t="shared" si="9"/>
        <v>537.83169803085445</v>
      </c>
      <c r="Z19" s="199">
        <f t="shared" si="9"/>
        <v>543.18092715948774</v>
      </c>
      <c r="AA19" s="199">
        <f t="shared" si="9"/>
        <v>548.52903892160077</v>
      </c>
      <c r="AB19" s="199">
        <f t="shared" si="9"/>
        <v>553.87492412234508</v>
      </c>
      <c r="AC19" s="199">
        <f t="shared" si="9"/>
        <v>559.22274936668009</v>
      </c>
      <c r="AD19" s="199">
        <f t="shared" si="9"/>
        <v>564.57154206483767</v>
      </c>
      <c r="AE19" s="199">
        <f t="shared" si="9"/>
        <v>569.92031924402772</v>
      </c>
      <c r="AF19" s="199">
        <f t="shared" si="9"/>
        <v>575.26808780398312</v>
      </c>
      <c r="AG19" s="199">
        <f t="shared" si="9"/>
        <v>580.61384477999206</v>
      </c>
    </row>
    <row r="20" spans="1:64" ht="16" outlineLevel="1" thickTop="1" x14ac:dyDescent="0.2">
      <c r="AL20" s="114"/>
      <c r="AM20" s="115"/>
      <c r="AN20" s="115"/>
      <c r="AO20" s="115"/>
      <c r="AP20" s="115"/>
      <c r="AQ20" s="115"/>
    </row>
    <row r="21" spans="1:64" outlineLevel="1" x14ac:dyDescent="0.2">
      <c r="A21" t="s">
        <v>1652</v>
      </c>
      <c r="B21" s="54" t="s">
        <v>462</v>
      </c>
      <c r="C21" s="159">
        <f>'Overall recycling rates'!I76</f>
        <v>1.0476241033911266E-3</v>
      </c>
      <c r="D21" s="159">
        <f>C21</f>
        <v>1.0476241033911266E-3</v>
      </c>
      <c r="E21" s="159">
        <f t="shared" ref="E21:T21" si="10">D21</f>
        <v>1.0476241033911266E-3</v>
      </c>
      <c r="F21" s="159">
        <f t="shared" si="10"/>
        <v>1.0476241033911266E-3</v>
      </c>
      <c r="G21" s="159">
        <f t="shared" si="10"/>
        <v>1.0476241033911266E-3</v>
      </c>
      <c r="H21" s="159">
        <f t="shared" si="10"/>
        <v>1.0476241033911266E-3</v>
      </c>
      <c r="I21" s="159">
        <f t="shared" si="10"/>
        <v>1.0476241033911266E-3</v>
      </c>
      <c r="J21" s="159">
        <f t="shared" si="10"/>
        <v>1.0476241033911266E-3</v>
      </c>
      <c r="K21" s="159">
        <f t="shared" si="10"/>
        <v>1.0476241033911266E-3</v>
      </c>
      <c r="L21" s="159">
        <f t="shared" si="10"/>
        <v>1.0476241033911266E-3</v>
      </c>
      <c r="M21" s="159">
        <f t="shared" si="10"/>
        <v>1.0476241033911266E-3</v>
      </c>
      <c r="N21" s="159">
        <f t="shared" si="10"/>
        <v>1.0476241033911266E-3</v>
      </c>
      <c r="O21" s="159">
        <f t="shared" si="10"/>
        <v>1.0476241033911266E-3</v>
      </c>
      <c r="P21" s="159">
        <f t="shared" si="10"/>
        <v>1.0476241033911266E-3</v>
      </c>
      <c r="Q21" s="159">
        <f t="shared" si="10"/>
        <v>1.0476241033911266E-3</v>
      </c>
      <c r="R21" s="159">
        <f t="shared" si="10"/>
        <v>1.0476241033911266E-3</v>
      </c>
      <c r="S21" s="159">
        <f t="shared" si="10"/>
        <v>1.0476241033911266E-3</v>
      </c>
      <c r="T21" s="159">
        <f t="shared" si="10"/>
        <v>1.0476241033911266E-3</v>
      </c>
      <c r="U21" s="159">
        <f t="shared" ref="T21:AG25" si="11">T21</f>
        <v>1.0476241033911266E-3</v>
      </c>
      <c r="V21" s="159">
        <f t="shared" si="11"/>
        <v>1.0476241033911266E-3</v>
      </c>
      <c r="W21" s="159">
        <f t="shared" si="11"/>
        <v>1.0476241033911266E-3</v>
      </c>
      <c r="X21" s="159">
        <f t="shared" si="11"/>
        <v>1.0476241033911266E-3</v>
      </c>
      <c r="Y21" s="159">
        <f t="shared" si="11"/>
        <v>1.0476241033911266E-3</v>
      </c>
      <c r="Z21" s="159">
        <f t="shared" si="11"/>
        <v>1.0476241033911266E-3</v>
      </c>
      <c r="AA21" s="159">
        <f t="shared" si="11"/>
        <v>1.0476241033911266E-3</v>
      </c>
      <c r="AB21" s="159">
        <f t="shared" si="11"/>
        <v>1.0476241033911266E-3</v>
      </c>
      <c r="AC21" s="159">
        <f t="shared" si="11"/>
        <v>1.0476241033911266E-3</v>
      </c>
      <c r="AD21" s="159">
        <f t="shared" si="11"/>
        <v>1.0476241033911266E-3</v>
      </c>
      <c r="AE21" s="159">
        <f t="shared" si="11"/>
        <v>1.0476241033911266E-3</v>
      </c>
      <c r="AF21" s="159">
        <f t="shared" si="11"/>
        <v>1.0476241033911266E-3</v>
      </c>
      <c r="AG21" s="159">
        <f>AF21</f>
        <v>1.0476241033911266E-3</v>
      </c>
      <c r="AI21" s="54" t="s">
        <v>1263</v>
      </c>
      <c r="AJ21" s="211"/>
      <c r="AM21" s="115"/>
      <c r="AN21" s="115"/>
      <c r="AO21" s="115"/>
      <c r="AP21" s="115"/>
      <c r="AQ21" s="115"/>
    </row>
    <row r="22" spans="1:64" outlineLevel="1" x14ac:dyDescent="0.2">
      <c r="A22" t="s">
        <v>1653</v>
      </c>
      <c r="B22" s="54" t="s">
        <v>462</v>
      </c>
      <c r="C22" s="159">
        <f>'Overall recycling rates'!I78</f>
        <v>0.16227944004324302</v>
      </c>
      <c r="D22" s="159">
        <f t="shared" ref="D22:S25" si="12">C22</f>
        <v>0.16227944004324302</v>
      </c>
      <c r="E22" s="159">
        <f t="shared" si="12"/>
        <v>0.16227944004324302</v>
      </c>
      <c r="F22" s="159">
        <f t="shared" si="12"/>
        <v>0.16227944004324302</v>
      </c>
      <c r="G22" s="159">
        <f t="shared" si="12"/>
        <v>0.16227944004324302</v>
      </c>
      <c r="H22" s="159">
        <f t="shared" si="12"/>
        <v>0.16227944004324302</v>
      </c>
      <c r="I22" s="159">
        <f t="shared" si="12"/>
        <v>0.16227944004324302</v>
      </c>
      <c r="J22" s="159">
        <f t="shared" si="12"/>
        <v>0.16227944004324302</v>
      </c>
      <c r="K22" s="159">
        <f t="shared" si="12"/>
        <v>0.16227944004324302</v>
      </c>
      <c r="L22" s="159">
        <f t="shared" si="12"/>
        <v>0.16227944004324302</v>
      </c>
      <c r="M22" s="159">
        <f t="shared" si="12"/>
        <v>0.16227944004324302</v>
      </c>
      <c r="N22" s="159">
        <f t="shared" si="12"/>
        <v>0.16227944004324302</v>
      </c>
      <c r="O22" s="159">
        <f t="shared" si="12"/>
        <v>0.16227944004324302</v>
      </c>
      <c r="P22" s="159">
        <f t="shared" si="12"/>
        <v>0.16227944004324302</v>
      </c>
      <c r="Q22" s="159">
        <f t="shared" si="12"/>
        <v>0.16227944004324302</v>
      </c>
      <c r="R22" s="159">
        <f t="shared" si="12"/>
        <v>0.16227944004324302</v>
      </c>
      <c r="S22" s="159">
        <f t="shared" si="12"/>
        <v>0.16227944004324302</v>
      </c>
      <c r="T22" s="159">
        <f t="shared" si="11"/>
        <v>0.16227944004324302</v>
      </c>
      <c r="U22" s="159">
        <f t="shared" si="11"/>
        <v>0.16227944004324302</v>
      </c>
      <c r="V22" s="159">
        <f t="shared" si="11"/>
        <v>0.16227944004324302</v>
      </c>
      <c r="W22" s="159">
        <f t="shared" si="11"/>
        <v>0.16227944004324302</v>
      </c>
      <c r="X22" s="159">
        <f t="shared" si="11"/>
        <v>0.16227944004324302</v>
      </c>
      <c r="Y22" s="159">
        <f t="shared" si="11"/>
        <v>0.16227944004324302</v>
      </c>
      <c r="Z22" s="159">
        <f t="shared" si="11"/>
        <v>0.16227944004324302</v>
      </c>
      <c r="AA22" s="159">
        <f t="shared" si="11"/>
        <v>0.16227944004324302</v>
      </c>
      <c r="AB22" s="159">
        <f t="shared" si="11"/>
        <v>0.16227944004324302</v>
      </c>
      <c r="AC22" s="159">
        <f t="shared" si="11"/>
        <v>0.16227944004324302</v>
      </c>
      <c r="AD22" s="159">
        <f t="shared" si="11"/>
        <v>0.16227944004324302</v>
      </c>
      <c r="AE22" s="159">
        <f t="shared" si="11"/>
        <v>0.16227944004324302</v>
      </c>
      <c r="AF22" s="159">
        <f t="shared" si="11"/>
        <v>0.16227944004324302</v>
      </c>
      <c r="AG22" s="159">
        <f t="shared" si="11"/>
        <v>0.16227944004324302</v>
      </c>
      <c r="AI22" s="54" t="s">
        <v>1263</v>
      </c>
      <c r="AJ22" s="211"/>
      <c r="AM22" s="120"/>
      <c r="AN22" s="115"/>
      <c r="AO22" s="116"/>
      <c r="AP22" s="117"/>
      <c r="AQ22" s="116"/>
    </row>
    <row r="23" spans="1:64" outlineLevel="1" x14ac:dyDescent="0.2">
      <c r="A23" t="s">
        <v>1654</v>
      </c>
      <c r="B23" s="54" t="s">
        <v>462</v>
      </c>
      <c r="C23" s="159">
        <f>'Overall recycling rates'!I77</f>
        <v>4.6533696757873619E-3</v>
      </c>
      <c r="D23" s="159">
        <f t="shared" si="12"/>
        <v>4.6533696757873619E-3</v>
      </c>
      <c r="E23" s="159">
        <f t="shared" si="12"/>
        <v>4.6533696757873619E-3</v>
      </c>
      <c r="F23" s="159">
        <f t="shared" si="12"/>
        <v>4.6533696757873619E-3</v>
      </c>
      <c r="G23" s="159">
        <f t="shared" si="12"/>
        <v>4.6533696757873619E-3</v>
      </c>
      <c r="H23" s="159">
        <f t="shared" si="12"/>
        <v>4.6533696757873619E-3</v>
      </c>
      <c r="I23" s="159">
        <f t="shared" si="12"/>
        <v>4.6533696757873619E-3</v>
      </c>
      <c r="J23" s="159">
        <f t="shared" si="12"/>
        <v>4.6533696757873619E-3</v>
      </c>
      <c r="K23" s="159">
        <f t="shared" si="12"/>
        <v>4.6533696757873619E-3</v>
      </c>
      <c r="L23" s="159">
        <f t="shared" si="12"/>
        <v>4.6533696757873619E-3</v>
      </c>
      <c r="M23" s="159">
        <f t="shared" si="12"/>
        <v>4.6533696757873619E-3</v>
      </c>
      <c r="N23" s="159">
        <f t="shared" si="12"/>
        <v>4.6533696757873619E-3</v>
      </c>
      <c r="O23" s="159">
        <f t="shared" si="12"/>
        <v>4.6533696757873619E-3</v>
      </c>
      <c r="P23" s="159">
        <f t="shared" si="12"/>
        <v>4.6533696757873619E-3</v>
      </c>
      <c r="Q23" s="159">
        <f t="shared" si="12"/>
        <v>4.6533696757873619E-3</v>
      </c>
      <c r="R23" s="159">
        <f t="shared" si="12"/>
        <v>4.6533696757873619E-3</v>
      </c>
      <c r="S23" s="159">
        <f t="shared" si="12"/>
        <v>4.6533696757873619E-3</v>
      </c>
      <c r="T23" s="159">
        <f t="shared" si="11"/>
        <v>4.6533696757873619E-3</v>
      </c>
      <c r="U23" s="159">
        <f t="shared" si="11"/>
        <v>4.6533696757873619E-3</v>
      </c>
      <c r="V23" s="159">
        <f t="shared" si="11"/>
        <v>4.6533696757873619E-3</v>
      </c>
      <c r="W23" s="159">
        <f t="shared" si="11"/>
        <v>4.6533696757873619E-3</v>
      </c>
      <c r="X23" s="159">
        <f t="shared" si="11"/>
        <v>4.6533696757873619E-3</v>
      </c>
      <c r="Y23" s="159">
        <f t="shared" si="11"/>
        <v>4.6533696757873619E-3</v>
      </c>
      <c r="Z23" s="159">
        <f t="shared" si="11"/>
        <v>4.6533696757873619E-3</v>
      </c>
      <c r="AA23" s="159">
        <f t="shared" si="11"/>
        <v>4.6533696757873619E-3</v>
      </c>
      <c r="AB23" s="159">
        <f t="shared" si="11"/>
        <v>4.6533696757873619E-3</v>
      </c>
      <c r="AC23" s="159">
        <f t="shared" si="11"/>
        <v>4.6533696757873619E-3</v>
      </c>
      <c r="AD23" s="159">
        <f t="shared" si="11"/>
        <v>4.6533696757873619E-3</v>
      </c>
      <c r="AE23" s="159">
        <f t="shared" si="11"/>
        <v>4.6533696757873619E-3</v>
      </c>
      <c r="AF23" s="159">
        <f t="shared" si="11"/>
        <v>4.6533696757873619E-3</v>
      </c>
      <c r="AG23" s="159">
        <f t="shared" si="11"/>
        <v>4.6533696757873619E-3</v>
      </c>
      <c r="AI23" s="54" t="s">
        <v>1263</v>
      </c>
      <c r="AJ23" s="211"/>
      <c r="AM23" s="120"/>
      <c r="AN23" s="115"/>
      <c r="AO23" s="116"/>
      <c r="AP23" s="117"/>
      <c r="AQ23" s="116"/>
    </row>
    <row r="24" spans="1:64" outlineLevel="1" x14ac:dyDescent="0.2">
      <c r="A24" t="s">
        <v>1655</v>
      </c>
      <c r="B24" s="54" t="s">
        <v>462</v>
      </c>
      <c r="C24" s="159">
        <f>'Overall recycling rates'!I79</f>
        <v>3.9083279961407251E-3</v>
      </c>
      <c r="D24" s="159">
        <f t="shared" si="12"/>
        <v>3.9083279961407251E-3</v>
      </c>
      <c r="E24" s="159">
        <f t="shared" si="12"/>
        <v>3.9083279961407251E-3</v>
      </c>
      <c r="F24" s="159">
        <f t="shared" si="12"/>
        <v>3.9083279961407251E-3</v>
      </c>
      <c r="G24" s="159">
        <f t="shared" si="12"/>
        <v>3.9083279961407251E-3</v>
      </c>
      <c r="H24" s="159">
        <f t="shared" si="12"/>
        <v>3.9083279961407251E-3</v>
      </c>
      <c r="I24" s="159">
        <f t="shared" si="12"/>
        <v>3.9083279961407251E-3</v>
      </c>
      <c r="J24" s="159">
        <f t="shared" si="12"/>
        <v>3.9083279961407251E-3</v>
      </c>
      <c r="K24" s="159">
        <f t="shared" si="12"/>
        <v>3.9083279961407251E-3</v>
      </c>
      <c r="L24" s="159">
        <f t="shared" si="12"/>
        <v>3.9083279961407251E-3</v>
      </c>
      <c r="M24" s="159">
        <f t="shared" si="12"/>
        <v>3.9083279961407251E-3</v>
      </c>
      <c r="N24" s="159">
        <f t="shared" si="12"/>
        <v>3.9083279961407251E-3</v>
      </c>
      <c r="O24" s="159">
        <f t="shared" si="12"/>
        <v>3.9083279961407251E-3</v>
      </c>
      <c r="P24" s="159">
        <f t="shared" si="12"/>
        <v>3.9083279961407251E-3</v>
      </c>
      <c r="Q24" s="159">
        <f t="shared" si="12"/>
        <v>3.9083279961407251E-3</v>
      </c>
      <c r="R24" s="159">
        <f t="shared" si="12"/>
        <v>3.9083279961407251E-3</v>
      </c>
      <c r="S24" s="159">
        <f t="shared" si="12"/>
        <v>3.9083279961407251E-3</v>
      </c>
      <c r="T24" s="159">
        <f t="shared" si="11"/>
        <v>3.9083279961407251E-3</v>
      </c>
      <c r="U24" s="159">
        <f t="shared" si="11"/>
        <v>3.9083279961407251E-3</v>
      </c>
      <c r="V24" s="159">
        <f t="shared" si="11"/>
        <v>3.9083279961407251E-3</v>
      </c>
      <c r="W24" s="159">
        <f t="shared" si="11"/>
        <v>3.9083279961407251E-3</v>
      </c>
      <c r="X24" s="159">
        <f t="shared" si="11"/>
        <v>3.9083279961407251E-3</v>
      </c>
      <c r="Y24" s="159">
        <f t="shared" si="11"/>
        <v>3.9083279961407251E-3</v>
      </c>
      <c r="Z24" s="159">
        <f t="shared" si="11"/>
        <v>3.9083279961407251E-3</v>
      </c>
      <c r="AA24" s="159">
        <f t="shared" si="11"/>
        <v>3.9083279961407251E-3</v>
      </c>
      <c r="AB24" s="159">
        <f t="shared" si="11"/>
        <v>3.9083279961407251E-3</v>
      </c>
      <c r="AC24" s="159">
        <f t="shared" si="11"/>
        <v>3.9083279961407251E-3</v>
      </c>
      <c r="AD24" s="159">
        <f t="shared" si="11"/>
        <v>3.9083279961407251E-3</v>
      </c>
      <c r="AE24" s="159">
        <f t="shared" si="11"/>
        <v>3.9083279961407251E-3</v>
      </c>
      <c r="AF24" s="159">
        <f t="shared" si="11"/>
        <v>3.9083279961407251E-3</v>
      </c>
      <c r="AG24" s="159">
        <f t="shared" si="11"/>
        <v>3.9083279961407251E-3</v>
      </c>
      <c r="AI24" s="54" t="s">
        <v>1263</v>
      </c>
      <c r="AJ24" s="211"/>
      <c r="AM24" s="120"/>
      <c r="AN24" s="115"/>
      <c r="AO24" s="477"/>
      <c r="AP24" s="478"/>
      <c r="AQ24" s="477"/>
    </row>
    <row r="25" spans="1:64" outlineLevel="1" x14ac:dyDescent="0.2">
      <c r="A25" t="s">
        <v>1656</v>
      </c>
      <c r="B25" s="54" t="s">
        <v>462</v>
      </c>
      <c r="C25" s="159">
        <f>'Overall recycling rates'!I80</f>
        <v>2.8150027488846749E-2</v>
      </c>
      <c r="D25" s="159">
        <f>C25</f>
        <v>2.8150027488846749E-2</v>
      </c>
      <c r="E25" s="159">
        <f t="shared" si="12"/>
        <v>2.8150027488846749E-2</v>
      </c>
      <c r="F25" s="159">
        <f t="shared" si="12"/>
        <v>2.8150027488846749E-2</v>
      </c>
      <c r="G25" s="159">
        <f t="shared" si="12"/>
        <v>2.8150027488846749E-2</v>
      </c>
      <c r="H25" s="159">
        <f t="shared" si="12"/>
        <v>2.8150027488846749E-2</v>
      </c>
      <c r="I25" s="159">
        <f t="shared" si="12"/>
        <v>2.8150027488846749E-2</v>
      </c>
      <c r="J25" s="159">
        <f t="shared" si="12"/>
        <v>2.8150027488846749E-2</v>
      </c>
      <c r="K25" s="159">
        <f t="shared" si="12"/>
        <v>2.8150027488846749E-2</v>
      </c>
      <c r="L25" s="159">
        <f t="shared" si="12"/>
        <v>2.8150027488846749E-2</v>
      </c>
      <c r="M25" s="159">
        <f t="shared" si="12"/>
        <v>2.8150027488846749E-2</v>
      </c>
      <c r="N25" s="159">
        <f t="shared" si="12"/>
        <v>2.8150027488846749E-2</v>
      </c>
      <c r="O25" s="159">
        <f t="shared" si="12"/>
        <v>2.8150027488846749E-2</v>
      </c>
      <c r="P25" s="159">
        <f t="shared" si="12"/>
        <v>2.8150027488846749E-2</v>
      </c>
      <c r="Q25" s="159">
        <f t="shared" si="12"/>
        <v>2.8150027488846749E-2</v>
      </c>
      <c r="R25" s="159">
        <f t="shared" si="12"/>
        <v>2.8150027488846749E-2</v>
      </c>
      <c r="S25" s="159">
        <f t="shared" si="12"/>
        <v>2.8150027488846749E-2</v>
      </c>
      <c r="T25" s="159">
        <f t="shared" si="11"/>
        <v>2.8150027488846749E-2</v>
      </c>
      <c r="U25" s="159">
        <f t="shared" si="11"/>
        <v>2.8150027488846749E-2</v>
      </c>
      <c r="V25" s="159">
        <f t="shared" si="11"/>
        <v>2.8150027488846749E-2</v>
      </c>
      <c r="W25" s="159">
        <f t="shared" si="11"/>
        <v>2.8150027488846749E-2</v>
      </c>
      <c r="X25" s="159">
        <f t="shared" si="11"/>
        <v>2.8150027488846749E-2</v>
      </c>
      <c r="Y25" s="159">
        <f t="shared" si="11"/>
        <v>2.8150027488846749E-2</v>
      </c>
      <c r="Z25" s="159">
        <f t="shared" si="11"/>
        <v>2.8150027488846749E-2</v>
      </c>
      <c r="AA25" s="159">
        <f t="shared" si="11"/>
        <v>2.8150027488846749E-2</v>
      </c>
      <c r="AB25" s="159">
        <f t="shared" si="11"/>
        <v>2.8150027488846749E-2</v>
      </c>
      <c r="AC25" s="159">
        <f t="shared" si="11"/>
        <v>2.8150027488846749E-2</v>
      </c>
      <c r="AD25" s="159">
        <f t="shared" si="11"/>
        <v>2.8150027488846749E-2</v>
      </c>
      <c r="AE25" s="159">
        <f t="shared" si="11"/>
        <v>2.8150027488846749E-2</v>
      </c>
      <c r="AF25" s="159">
        <f t="shared" si="11"/>
        <v>2.8150027488846749E-2</v>
      </c>
      <c r="AG25" s="159">
        <f t="shared" si="11"/>
        <v>2.8150027488846749E-2</v>
      </c>
      <c r="AI25" s="54" t="s">
        <v>1263</v>
      </c>
      <c r="AJ25" s="211"/>
      <c r="AM25" s="120"/>
      <c r="AN25" s="115"/>
      <c r="AO25" s="116"/>
      <c r="AP25" s="117"/>
      <c r="AQ25" s="116"/>
    </row>
    <row r="26" spans="1:64" outlineLevel="1" x14ac:dyDescent="0.2">
      <c r="AI26" s="54"/>
      <c r="AM26" s="120"/>
      <c r="AN26" s="115"/>
      <c r="AO26" s="116"/>
      <c r="AP26" s="117"/>
      <c r="AQ26" s="116"/>
      <c r="BD26" s="23"/>
      <c r="BE26" s="23"/>
      <c r="BF26" s="23"/>
      <c r="BG26" s="23"/>
      <c r="BH26" s="23"/>
      <c r="BI26" s="23"/>
      <c r="BJ26" s="23"/>
      <c r="BK26" s="23"/>
      <c r="BL26" s="23"/>
    </row>
    <row r="27" spans="1:64" outlineLevel="1" x14ac:dyDescent="0.2">
      <c r="A27" t="s">
        <v>1657</v>
      </c>
      <c r="B27" s="54" t="s">
        <v>1658</v>
      </c>
      <c r="C27" s="598">
        <f>C14*C21</f>
        <v>0.20115072098267078</v>
      </c>
      <c r="D27" s="598">
        <f t="shared" ref="D27:AG27" si="13">D14*D21</f>
        <v>0.20789359480002442</v>
      </c>
      <c r="E27" s="598">
        <f t="shared" si="13"/>
        <v>0.21430083430052396</v>
      </c>
      <c r="F27" s="598">
        <f t="shared" si="13"/>
        <v>0.2203284625401023</v>
      </c>
      <c r="G27" s="598">
        <f t="shared" si="13"/>
        <v>0.22593426240320497</v>
      </c>
      <c r="H27" s="598">
        <f t="shared" si="13"/>
        <v>0.23107826913398199</v>
      </c>
      <c r="I27" s="598">
        <f t="shared" si="13"/>
        <v>0.23623180778104069</v>
      </c>
      <c r="J27" s="598">
        <f t="shared" si="13"/>
        <v>0.24139021229274113</v>
      </c>
      <c r="K27" s="598">
        <f t="shared" si="13"/>
        <v>0.24654869815570568</v>
      </c>
      <c r="L27" s="598">
        <f t="shared" si="13"/>
        <v>0.25170236861694878</v>
      </c>
      <c r="M27" s="598">
        <f>M14*M21</f>
        <v>0.25684622132652934</v>
      </c>
      <c r="N27" s="598">
        <f t="shared" si="13"/>
        <v>0.26160032378892623</v>
      </c>
      <c r="O27" s="598">
        <f t="shared" si="13"/>
        <v>0.26593830889718367</v>
      </c>
      <c r="P27" s="598">
        <f t="shared" si="13"/>
        <v>0.269835671898008</v>
      </c>
      <c r="Q27" s="598">
        <f t="shared" si="13"/>
        <v>0.27326999814416847</v>
      </c>
      <c r="R27" s="598">
        <f t="shared" si="13"/>
        <v>0.27622117543545271</v>
      </c>
      <c r="S27" s="598">
        <f t="shared" si="13"/>
        <v>0.27917366236482666</v>
      </c>
      <c r="T27" s="598">
        <f t="shared" si="13"/>
        <v>0.28212680112551652</v>
      </c>
      <c r="U27" s="598">
        <f t="shared" si="13"/>
        <v>0.28507992601345894</v>
      </c>
      <c r="V27" s="598">
        <f t="shared" si="13"/>
        <v>0.28803236363731821</v>
      </c>
      <c r="W27" s="598">
        <f t="shared" si="13"/>
        <v>0.29098343313548009</v>
      </c>
      <c r="X27" s="598">
        <f t="shared" si="13"/>
        <v>0.29393568389294977</v>
      </c>
      <c r="Y27" s="598">
        <f t="shared" si="13"/>
        <v>0.296888523198584</v>
      </c>
      <c r="Z27" s="598">
        <f t="shared" si="13"/>
        <v>0.29984135164299386</v>
      </c>
      <c r="AA27" s="598">
        <f t="shared" si="13"/>
        <v>0.30279356328981216</v>
      </c>
      <c r="AB27" s="598">
        <f t="shared" si="13"/>
        <v>0.30574454585229227</v>
      </c>
      <c r="AC27" s="598">
        <f t="shared" si="13"/>
        <v>0.30869659933840649</v>
      </c>
      <c r="AD27" s="598">
        <f t="shared" si="13"/>
        <v>0.31164918686879095</v>
      </c>
      <c r="AE27" s="598">
        <f t="shared" si="13"/>
        <v>0.31460176583254862</v>
      </c>
      <c r="AF27" s="598">
        <f t="shared" si="13"/>
        <v>0.31755378802831352</v>
      </c>
      <c r="AG27" s="598">
        <f t="shared" si="13"/>
        <v>0.32050469980944618</v>
      </c>
      <c r="AI27" s="245"/>
      <c r="AM27" s="120"/>
      <c r="AN27" s="115"/>
      <c r="AO27" s="115"/>
      <c r="AP27" s="115"/>
      <c r="AQ27" s="115"/>
      <c r="BD27" s="205"/>
      <c r="BE27" s="205"/>
      <c r="BF27" s="205"/>
      <c r="BG27" s="205"/>
      <c r="BH27" s="205"/>
      <c r="BI27" s="205"/>
      <c r="BJ27" s="205"/>
      <c r="BK27" s="205"/>
      <c r="BL27" s="205"/>
    </row>
    <row r="28" spans="1:64" outlineLevel="1" x14ac:dyDescent="0.2">
      <c r="A28" t="s">
        <v>1659</v>
      </c>
      <c r="B28" s="54" t="s">
        <v>1658</v>
      </c>
      <c r="C28" s="598">
        <f t="shared" ref="C28:AG31" si="14">C15*C22</f>
        <v>2.9411849599012854</v>
      </c>
      <c r="D28" s="598">
        <f t="shared" si="14"/>
        <v>3.0397778904223811</v>
      </c>
      <c r="E28" s="598">
        <f t="shared" si="14"/>
        <v>3.1334632441774799</v>
      </c>
      <c r="F28" s="598">
        <f t="shared" si="14"/>
        <v>3.2215979992284023</v>
      </c>
      <c r="G28" s="598">
        <f t="shared" si="14"/>
        <v>3.3035648654918082</v>
      </c>
      <c r="H28" s="598">
        <f t="shared" si="14"/>
        <v>3.378779486430183</v>
      </c>
      <c r="I28" s="598">
        <f t="shared" si="14"/>
        <v>3.4541334811111408</v>
      </c>
      <c r="J28" s="598">
        <f t="shared" si="14"/>
        <v>3.5295586234759417</v>
      </c>
      <c r="K28" s="598">
        <f t="shared" si="14"/>
        <v>3.6049849553423923</v>
      </c>
      <c r="L28" s="598">
        <f t="shared" si="14"/>
        <v>3.6803408773835642</v>
      </c>
      <c r="M28" s="598">
        <f t="shared" si="14"/>
        <v>3.7555532462553085</v>
      </c>
      <c r="N28" s="598">
        <f t="shared" si="14"/>
        <v>3.8250667662264144</v>
      </c>
      <c r="O28" s="598">
        <f t="shared" si="14"/>
        <v>3.8884959028178847</v>
      </c>
      <c r="P28" s="598">
        <f t="shared" si="14"/>
        <v>3.9454823525074576</v>
      </c>
      <c r="Q28" s="598">
        <f t="shared" si="14"/>
        <v>3.9956983728789273</v>
      </c>
      <c r="R28" s="598">
        <f t="shared" si="14"/>
        <v>4.0388498874284329</v>
      </c>
      <c r="S28" s="598">
        <f t="shared" si="14"/>
        <v>4.0820205512399124</v>
      </c>
      <c r="T28" s="598">
        <f t="shared" si="14"/>
        <v>4.1252007459964162</v>
      </c>
      <c r="U28" s="598">
        <f t="shared" si="14"/>
        <v>4.1683807379084241</v>
      </c>
      <c r="V28" s="598">
        <f t="shared" si="14"/>
        <v>4.2115506807846899</v>
      </c>
      <c r="W28" s="598">
        <f t="shared" si="14"/>
        <v>4.2547006192050691</v>
      </c>
      <c r="X28" s="598">
        <f t="shared" si="14"/>
        <v>4.2978678297589656</v>
      </c>
      <c r="Y28" s="598">
        <f t="shared" si="14"/>
        <v>4.3410436459445059</v>
      </c>
      <c r="Z28" s="598">
        <f t="shared" si="14"/>
        <v>4.3842193033194308</v>
      </c>
      <c r="AA28" s="598">
        <f t="shared" si="14"/>
        <v>4.4273859420053316</v>
      </c>
      <c r="AB28" s="598">
        <f t="shared" si="14"/>
        <v>4.4705346092698415</v>
      </c>
      <c r="AC28" s="598">
        <f t="shared" si="14"/>
        <v>4.5136989353620729</v>
      </c>
      <c r="AD28" s="598">
        <f t="shared" si="14"/>
        <v>4.5568710701410815</v>
      </c>
      <c r="AE28" s="598">
        <f t="shared" si="14"/>
        <v>4.6000430796606162</v>
      </c>
      <c r="AF28" s="598">
        <f t="shared" si="14"/>
        <v>4.6432069482317191</v>
      </c>
      <c r="AG28" s="598">
        <f t="shared" si="14"/>
        <v>4.6863545805457516</v>
      </c>
      <c r="AM28" s="206"/>
      <c r="BD28" s="205"/>
      <c r="BE28" s="205"/>
      <c r="BF28" s="205"/>
      <c r="BG28" s="205"/>
      <c r="BH28" s="205"/>
      <c r="BI28" s="205"/>
      <c r="BJ28" s="205"/>
      <c r="BK28" s="205"/>
      <c r="BL28" s="205"/>
    </row>
    <row r="29" spans="1:64" outlineLevel="1" x14ac:dyDescent="0.2">
      <c r="A29" t="s">
        <v>1660</v>
      </c>
      <c r="B29" s="54" t="s">
        <v>1658</v>
      </c>
      <c r="C29" s="599">
        <f t="shared" si="14"/>
        <v>6.6351314561166497E-2</v>
      </c>
      <c r="D29" s="598">
        <f t="shared" si="14"/>
        <v>6.8575510127137307E-2</v>
      </c>
      <c r="E29" s="598">
        <f t="shared" si="14"/>
        <v>7.0688993794953747E-2</v>
      </c>
      <c r="F29" s="598">
        <f t="shared" si="14"/>
        <v>7.2677259387183404E-2</v>
      </c>
      <c r="G29" s="598">
        <f t="shared" si="14"/>
        <v>7.4526381221132559E-2</v>
      </c>
      <c r="H29" s="598">
        <f t="shared" si="14"/>
        <v>7.6223176574542931E-2</v>
      </c>
      <c r="I29" s="598">
        <f t="shared" si="14"/>
        <v>7.7923116113430183E-2</v>
      </c>
      <c r="J29" s="598">
        <f t="shared" si="14"/>
        <v>7.9624660700083991E-2</v>
      </c>
      <c r="K29" s="598">
        <f t="shared" si="14"/>
        <v>8.1326232121159733E-2</v>
      </c>
      <c r="L29" s="598">
        <f t="shared" si="14"/>
        <v>8.3026215140102E-2</v>
      </c>
      <c r="M29" s="598">
        <f t="shared" si="14"/>
        <v>8.4722959688281321E-2</v>
      </c>
      <c r="N29" s="598">
        <f t="shared" si="14"/>
        <v>8.6291141728084636E-2</v>
      </c>
      <c r="O29" s="598">
        <f t="shared" si="14"/>
        <v>8.7722063839989192E-2</v>
      </c>
      <c r="P29" s="598">
        <f t="shared" si="14"/>
        <v>8.9007642918023044E-2</v>
      </c>
      <c r="Q29" s="598">
        <f t="shared" si="14"/>
        <v>9.0140485295875108E-2</v>
      </c>
      <c r="R29" s="598">
        <f t="shared" si="14"/>
        <v>9.1113956789405787E-2</v>
      </c>
      <c r="S29" s="598">
        <f t="shared" si="14"/>
        <v>9.2087860278449188E-2</v>
      </c>
      <c r="T29" s="598">
        <f t="shared" si="14"/>
        <v>9.3061978779720639E-2</v>
      </c>
      <c r="U29" s="598">
        <f t="shared" si="14"/>
        <v>9.4036092704945645E-2</v>
      </c>
      <c r="V29" s="598">
        <f t="shared" si="14"/>
        <v>9.5009979930136296E-2</v>
      </c>
      <c r="W29" s="598">
        <f t="shared" si="14"/>
        <v>9.5983415867168187E-2</v>
      </c>
      <c r="X29" s="598">
        <f t="shared" si="14"/>
        <v>9.695724145285517E-2</v>
      </c>
      <c r="Y29" s="598">
        <f t="shared" si="14"/>
        <v>9.7931261176272391E-2</v>
      </c>
      <c r="Z29" s="598">
        <f t="shared" si="14"/>
        <v>9.8905277317020285E-2</v>
      </c>
      <c r="AA29" s="598">
        <f t="shared" si="14"/>
        <v>9.9879090001718809E-2</v>
      </c>
      <c r="AB29" s="598">
        <f t="shared" si="14"/>
        <v>0.10085249726226007</v>
      </c>
      <c r="AC29" s="598">
        <f t="shared" si="14"/>
        <v>0.10182625777627496</v>
      </c>
      <c r="AD29" s="598">
        <f t="shared" si="14"/>
        <v>0.10280019444943654</v>
      </c>
      <c r="AE29" s="598">
        <f t="shared" si="14"/>
        <v>0.1037741282968218</v>
      </c>
      <c r="AF29" s="598">
        <f t="shared" si="14"/>
        <v>0.10474787848944286</v>
      </c>
      <c r="AG29" s="598">
        <f t="shared" si="14"/>
        <v>0.10572126240214111</v>
      </c>
      <c r="BD29" s="205"/>
      <c r="BE29" s="205"/>
      <c r="BF29" s="205"/>
      <c r="BG29" s="205"/>
      <c r="BH29" s="205"/>
      <c r="BI29" s="205"/>
      <c r="BJ29" s="205"/>
      <c r="BK29" s="205"/>
      <c r="BL29" s="205"/>
    </row>
    <row r="30" spans="1:64" outlineLevel="1" x14ac:dyDescent="0.2">
      <c r="A30" t="s">
        <v>1661</v>
      </c>
      <c r="B30" s="54" t="s">
        <v>1658</v>
      </c>
      <c r="C30" s="599">
        <f t="shared" si="14"/>
        <v>0.14284140955223965</v>
      </c>
      <c r="D30" s="598">
        <f t="shared" si="14"/>
        <v>0.14762966780852829</v>
      </c>
      <c r="E30" s="598">
        <f t="shared" si="14"/>
        <v>0.15217958499062473</v>
      </c>
      <c r="F30" s="598">
        <f t="shared" si="14"/>
        <v>0.15645993213425954</v>
      </c>
      <c r="G30" s="598">
        <f t="shared" si="14"/>
        <v>0.16044072996685751</v>
      </c>
      <c r="H30" s="598">
        <f t="shared" si="14"/>
        <v>0.16409359866442336</v>
      </c>
      <c r="I30" s="598">
        <f t="shared" si="14"/>
        <v>0.16775323617867927</v>
      </c>
      <c r="J30" s="598">
        <f t="shared" si="14"/>
        <v>0.17141632904701354</v>
      </c>
      <c r="K30" s="598">
        <f t="shared" si="14"/>
        <v>0.17507947968461252</v>
      </c>
      <c r="L30" s="598">
        <f t="shared" si="14"/>
        <v>0.17873921080292712</v>
      </c>
      <c r="M30" s="598">
        <f t="shared" si="14"/>
        <v>0.1823919701267622</v>
      </c>
      <c r="N30" s="598">
        <f t="shared" si="14"/>
        <v>0.18576795950212738</v>
      </c>
      <c r="O30" s="598">
        <f t="shared" si="14"/>
        <v>0.18884845508500678</v>
      </c>
      <c r="P30" s="598">
        <f t="shared" si="14"/>
        <v>0.19161605552837008</v>
      </c>
      <c r="Q30" s="598">
        <f t="shared" si="14"/>
        <v>0.1940548437140017</v>
      </c>
      <c r="R30" s="598">
        <f t="shared" si="14"/>
        <v>0.19615053754033365</v>
      </c>
      <c r="S30" s="598">
        <f t="shared" si="14"/>
        <v>0.1982471613685558</v>
      </c>
      <c r="T30" s="598">
        <f t="shared" si="14"/>
        <v>0.20034424807607323</v>
      </c>
      <c r="U30" s="598">
        <f t="shared" si="14"/>
        <v>0.20244132493225722</v>
      </c>
      <c r="V30" s="598">
        <f t="shared" si="14"/>
        <v>0.20453791374758371</v>
      </c>
      <c r="W30" s="598">
        <f t="shared" si="14"/>
        <v>0.2066335310277245</v>
      </c>
      <c r="X30" s="598">
        <f t="shared" si="14"/>
        <v>0.20872998714524924</v>
      </c>
      <c r="Y30" s="598">
        <f t="shared" si="14"/>
        <v>0.21082686120335611</v>
      </c>
      <c r="Z30" s="598">
        <f t="shared" si="14"/>
        <v>0.21292372754867625</v>
      </c>
      <c r="AA30" s="598">
        <f t="shared" si="14"/>
        <v>0.2150201558928948</v>
      </c>
      <c r="AB30" s="598">
        <f t="shared" si="14"/>
        <v>0.21711571143815708</v>
      </c>
      <c r="AC30" s="598">
        <f t="shared" si="14"/>
        <v>0.21921202746909235</v>
      </c>
      <c r="AD30" s="598">
        <f t="shared" si="14"/>
        <v>0.22130872273623389</v>
      </c>
      <c r="AE30" s="598">
        <f t="shared" si="14"/>
        <v>0.22340541192003144</v>
      </c>
      <c r="AF30" s="598">
        <f t="shared" si="14"/>
        <v>0.22550170573102349</v>
      </c>
      <c r="AG30" s="598">
        <f t="shared" si="14"/>
        <v>0.22759721101294395</v>
      </c>
      <c r="BD30" s="205"/>
      <c r="BE30" s="205"/>
      <c r="BF30" s="205"/>
      <c r="BG30" s="205"/>
      <c r="BH30" s="205"/>
      <c r="BI30" s="205"/>
      <c r="BJ30" s="205"/>
      <c r="BK30" s="205"/>
      <c r="BL30" s="205"/>
    </row>
    <row r="31" spans="1:64" outlineLevel="1" x14ac:dyDescent="0.2">
      <c r="A31" s="181" t="s">
        <v>1662</v>
      </c>
      <c r="B31" s="176" t="s">
        <v>1658</v>
      </c>
      <c r="C31" s="598">
        <f t="shared" si="14"/>
        <v>2.9123825679515898</v>
      </c>
      <c r="D31" s="598">
        <f t="shared" si="14"/>
        <v>3.0100099991018356</v>
      </c>
      <c r="E31" s="598">
        <f t="shared" si="14"/>
        <v>3.1027779123302115</v>
      </c>
      <c r="F31" s="598">
        <f t="shared" si="14"/>
        <v>3.1900495826741282</v>
      </c>
      <c r="G31" s="598">
        <f t="shared" si="14"/>
        <v>3.2712137650393118</v>
      </c>
      <c r="H31" s="598">
        <f t="shared" si="14"/>
        <v>3.3456918253661807</v>
      </c>
      <c r="I31" s="598">
        <f t="shared" si="14"/>
        <v>3.4203078945785381</v>
      </c>
      <c r="J31" s="598">
        <f t="shared" si="14"/>
        <v>3.4949944147407672</v>
      </c>
      <c r="K31" s="598">
        <f t="shared" si="14"/>
        <v>3.5696821127561122</v>
      </c>
      <c r="L31" s="598">
        <f t="shared" si="14"/>
        <v>3.6443000904544598</v>
      </c>
      <c r="M31" s="598">
        <f t="shared" si="14"/>
        <v>3.718775920768703</v>
      </c>
      <c r="N31" s="598">
        <f t="shared" si="14"/>
        <v>3.7876087097843243</v>
      </c>
      <c r="O31" s="598">
        <f t="shared" si="14"/>
        <v>3.8504166984785884</v>
      </c>
      <c r="P31" s="598">
        <f t="shared" si="14"/>
        <v>3.9068450921185898</v>
      </c>
      <c r="Q31" s="598">
        <f t="shared" si="14"/>
        <v>3.9565693577991397</v>
      </c>
      <c r="R31" s="598">
        <f t="shared" si="14"/>
        <v>3.9992982988443542</v>
      </c>
      <c r="S31" s="598">
        <f t="shared" si="14"/>
        <v>4.0420462016269356</v>
      </c>
      <c r="T31" s="598">
        <f t="shared" si="14"/>
        <v>4.0848035420200457</v>
      </c>
      <c r="U31" s="598">
        <f t="shared" si="14"/>
        <v>4.1275606815550718</v>
      </c>
      <c r="V31" s="598">
        <f t="shared" si="14"/>
        <v>4.1703078704624046</v>
      </c>
      <c r="W31" s="598">
        <f t="shared" si="14"/>
        <v>4.2130352508131841</v>
      </c>
      <c r="X31" s="598">
        <f t="shared" si="14"/>
        <v>4.2557797341551922</v>
      </c>
      <c r="Y31" s="598">
        <f t="shared" si="14"/>
        <v>4.2985327388557435</v>
      </c>
      <c r="Z31" s="598">
        <f t="shared" si="14"/>
        <v>4.3412855863008772</v>
      </c>
      <c r="AA31" s="598">
        <f t="shared" si="14"/>
        <v>4.3840295033750696</v>
      </c>
      <c r="AB31" s="598">
        <f t="shared" si="14"/>
        <v>4.4267556250181377</v>
      </c>
      <c r="AC31" s="598">
        <f t="shared" si="14"/>
        <v>4.4694972521453922</v>
      </c>
      <c r="AD31" s="598">
        <f t="shared" si="14"/>
        <v>4.5122466114906343</v>
      </c>
      <c r="AE31" s="598">
        <f t="shared" si="14"/>
        <v>4.5549958468030418</v>
      </c>
      <c r="AF31" s="598">
        <f t="shared" si="14"/>
        <v>4.597737020889574</v>
      </c>
      <c r="AG31" s="598">
        <f t="shared" si="14"/>
        <v>4.6404621177172114</v>
      </c>
      <c r="AL31" s="108"/>
      <c r="AM31" s="207"/>
      <c r="AN31" s="207"/>
      <c r="AO31" s="207"/>
    </row>
    <row r="32" spans="1:64" s="1" customFormat="1" ht="16" thickBot="1" x14ac:dyDescent="0.25">
      <c r="A32" s="200" t="s">
        <v>1663</v>
      </c>
      <c r="B32" s="219" t="s">
        <v>1658</v>
      </c>
      <c r="C32" s="216">
        <f>SUM(C27:C31)</f>
        <v>6.2639109729489517</v>
      </c>
      <c r="D32" s="216">
        <f t="shared" ref="D32:AG32" si="15">SUM(D27:D31)</f>
        <v>6.4738866622599067</v>
      </c>
      <c r="E32" s="216">
        <f t="shared" si="15"/>
        <v>6.673410569593794</v>
      </c>
      <c r="F32" s="216">
        <f t="shared" si="15"/>
        <v>6.8611132359640763</v>
      </c>
      <c r="G32" s="216">
        <f t="shared" si="15"/>
        <v>7.0356800041223151</v>
      </c>
      <c r="H32" s="216">
        <f t="shared" si="15"/>
        <v>7.1958663561693115</v>
      </c>
      <c r="I32" s="216">
        <f t="shared" si="15"/>
        <v>7.3563495357628295</v>
      </c>
      <c r="J32" s="216">
        <f t="shared" si="15"/>
        <v>7.5169842402565479</v>
      </c>
      <c r="K32" s="216">
        <f t="shared" si="15"/>
        <v>7.677621478059983</v>
      </c>
      <c r="L32" s="216">
        <f t="shared" si="15"/>
        <v>7.8381087623980026</v>
      </c>
      <c r="M32" s="216">
        <f t="shared" si="15"/>
        <v>7.9982903181655836</v>
      </c>
      <c r="N32" s="216">
        <f t="shared" si="15"/>
        <v>8.1463349010298778</v>
      </c>
      <c r="O32" s="216">
        <f t="shared" si="15"/>
        <v>8.2814214291186534</v>
      </c>
      <c r="P32" s="216">
        <f t="shared" si="15"/>
        <v>8.4027868149704492</v>
      </c>
      <c r="Q32" s="216">
        <f t="shared" si="15"/>
        <v>8.5097330578321113</v>
      </c>
      <c r="R32" s="216">
        <f t="shared" si="15"/>
        <v>8.6016338560379779</v>
      </c>
      <c r="S32" s="216">
        <f t="shared" si="15"/>
        <v>8.69357543687868</v>
      </c>
      <c r="T32" s="216">
        <f t="shared" si="15"/>
        <v>8.7855373159977717</v>
      </c>
      <c r="U32" s="216">
        <f t="shared" si="15"/>
        <v>8.8774987631141578</v>
      </c>
      <c r="V32" s="216">
        <f t="shared" si="15"/>
        <v>8.9694388085621313</v>
      </c>
      <c r="W32" s="216">
        <f t="shared" si="15"/>
        <v>9.0613362500486261</v>
      </c>
      <c r="X32" s="216">
        <f t="shared" si="15"/>
        <v>9.1532704764052113</v>
      </c>
      <c r="Y32" s="216">
        <f t="shared" si="15"/>
        <v>9.2452230303784617</v>
      </c>
      <c r="Z32" s="216">
        <f t="shared" si="15"/>
        <v>9.3371752461289983</v>
      </c>
      <c r="AA32" s="216">
        <f t="shared" si="15"/>
        <v>9.4291082545648273</v>
      </c>
      <c r="AB32" s="216">
        <f t="shared" si="15"/>
        <v>9.5210029888406886</v>
      </c>
      <c r="AC32" s="216">
        <f t="shared" si="15"/>
        <v>9.6129310720912393</v>
      </c>
      <c r="AD32" s="216">
        <f t="shared" si="15"/>
        <v>9.7048757856861769</v>
      </c>
      <c r="AE32" s="216">
        <f t="shared" si="15"/>
        <v>9.7968202325130598</v>
      </c>
      <c r="AF32" s="216">
        <f t="shared" si="15"/>
        <v>9.8887473413700739</v>
      </c>
      <c r="AG32" s="216">
        <f t="shared" si="15"/>
        <v>9.9806398714874938</v>
      </c>
      <c r="AJ32" s="162"/>
      <c r="AL32" s="221"/>
      <c r="AM32" s="124"/>
      <c r="AN32" s="124"/>
      <c r="AO32" s="124"/>
    </row>
    <row r="33" spans="1:64" ht="16" outlineLevel="1" thickTop="1" x14ac:dyDescent="0.2">
      <c r="AL33" s="108"/>
      <c r="AM33" s="2"/>
      <c r="AN33" s="2"/>
      <c r="AO33" s="2"/>
    </row>
    <row r="34" spans="1:64" outlineLevel="1" x14ac:dyDescent="0.2">
      <c r="A34" t="s">
        <v>1664</v>
      </c>
      <c r="B34" s="176" t="s">
        <v>1658</v>
      </c>
      <c r="C34" s="107">
        <f>C32</f>
        <v>6.2639109729489517</v>
      </c>
      <c r="D34" s="107">
        <f t="shared" ref="D34:AG34" si="16">D32</f>
        <v>6.4738866622599067</v>
      </c>
      <c r="E34" s="107">
        <f t="shared" si="16"/>
        <v>6.673410569593794</v>
      </c>
      <c r="F34" s="107">
        <f t="shared" si="16"/>
        <v>6.8611132359640763</v>
      </c>
      <c r="G34" s="107">
        <f t="shared" si="16"/>
        <v>7.0356800041223151</v>
      </c>
      <c r="H34" s="107">
        <f t="shared" si="16"/>
        <v>7.1958663561693115</v>
      </c>
      <c r="I34" s="107">
        <f t="shared" si="16"/>
        <v>7.3563495357628295</v>
      </c>
      <c r="J34" s="107">
        <f t="shared" si="16"/>
        <v>7.5169842402565479</v>
      </c>
      <c r="K34" s="107">
        <f t="shared" si="16"/>
        <v>7.677621478059983</v>
      </c>
      <c r="L34" s="107">
        <f t="shared" si="16"/>
        <v>7.8381087623980026</v>
      </c>
      <c r="M34" s="107">
        <f t="shared" si="16"/>
        <v>7.9982903181655836</v>
      </c>
      <c r="N34" s="107">
        <f t="shared" si="16"/>
        <v>8.1463349010298778</v>
      </c>
      <c r="O34" s="107">
        <f t="shared" si="16"/>
        <v>8.2814214291186534</v>
      </c>
      <c r="P34" s="107">
        <f t="shared" si="16"/>
        <v>8.4027868149704492</v>
      </c>
      <c r="Q34" s="107">
        <f t="shared" si="16"/>
        <v>8.5097330578321113</v>
      </c>
      <c r="R34" s="107">
        <f t="shared" si="16"/>
        <v>8.6016338560379779</v>
      </c>
      <c r="S34" s="107">
        <f t="shared" si="16"/>
        <v>8.69357543687868</v>
      </c>
      <c r="T34" s="107">
        <f t="shared" si="16"/>
        <v>8.7855373159977717</v>
      </c>
      <c r="U34" s="107">
        <f t="shared" si="16"/>
        <v>8.8774987631141578</v>
      </c>
      <c r="V34" s="107">
        <f t="shared" si="16"/>
        <v>8.9694388085621313</v>
      </c>
      <c r="W34" s="107">
        <f t="shared" si="16"/>
        <v>9.0613362500486261</v>
      </c>
      <c r="X34" s="107">
        <f t="shared" si="16"/>
        <v>9.1532704764052113</v>
      </c>
      <c r="Y34" s="107">
        <f t="shared" si="16"/>
        <v>9.2452230303784617</v>
      </c>
      <c r="Z34" s="107">
        <f t="shared" si="16"/>
        <v>9.3371752461289983</v>
      </c>
      <c r="AA34" s="107">
        <f t="shared" si="16"/>
        <v>9.4291082545648273</v>
      </c>
      <c r="AB34" s="107">
        <f t="shared" si="16"/>
        <v>9.5210029888406886</v>
      </c>
      <c r="AC34" s="107">
        <f t="shared" si="16"/>
        <v>9.6129310720912393</v>
      </c>
      <c r="AD34" s="107">
        <f t="shared" si="16"/>
        <v>9.7048757856861769</v>
      </c>
      <c r="AE34" s="107">
        <f t="shared" si="16"/>
        <v>9.7968202325130598</v>
      </c>
      <c r="AF34" s="107">
        <f t="shared" si="16"/>
        <v>9.8887473413700739</v>
      </c>
      <c r="AG34" s="107">
        <f t="shared" si="16"/>
        <v>9.9806398714874938</v>
      </c>
      <c r="AL34" s="108"/>
      <c r="AM34" s="2"/>
      <c r="AN34" s="2"/>
      <c r="AO34" s="2"/>
    </row>
    <row r="35" spans="1:64" outlineLevel="1" x14ac:dyDescent="0.2">
      <c r="AL35" s="108"/>
      <c r="AM35" s="2"/>
      <c r="AN35" s="2"/>
      <c r="AO35" s="2"/>
    </row>
    <row r="36" spans="1:64" outlineLevel="1" x14ac:dyDescent="0.2">
      <c r="A36" t="s">
        <v>1665</v>
      </c>
      <c r="B36" s="54" t="s">
        <v>462</v>
      </c>
      <c r="C36" s="205">
        <f>'Yearly Butadiene'!D25/'Yearly Butadiene'!D18</f>
        <v>1</v>
      </c>
      <c r="D36" s="205">
        <f>'Yearly Butadiene'!E25/'Yearly Butadiene'!E18</f>
        <v>0.98670000000000002</v>
      </c>
      <c r="E36" s="205">
        <f>'Yearly Butadiene'!F25/'Yearly Butadiene'!F18</f>
        <v>0.97340000000000004</v>
      </c>
      <c r="F36" s="205">
        <f>'Yearly Butadiene'!G25/'Yearly Butadiene'!G18</f>
        <v>0.96009999999999984</v>
      </c>
      <c r="G36" s="205">
        <f>'Yearly Butadiene'!H25/'Yearly Butadiene'!H18</f>
        <v>0.94679999999999997</v>
      </c>
      <c r="H36" s="205">
        <f>'Yearly Butadiene'!I25/'Yearly Butadiene'!I18</f>
        <v>0.9335</v>
      </c>
      <c r="I36" s="205">
        <f>'Yearly Butadiene'!J25/'Yearly Butadiene'!J18</f>
        <v>0.92019999999999991</v>
      </c>
      <c r="J36" s="205">
        <f>'Yearly Butadiene'!K25/'Yearly Butadiene'!K18</f>
        <v>0.90689999999999993</v>
      </c>
      <c r="K36" s="205">
        <f>'Yearly Butadiene'!L25/'Yearly Butadiene'!L18</f>
        <v>0.89359999999999995</v>
      </c>
      <c r="L36" s="205">
        <f>'Yearly Butadiene'!M25/'Yearly Butadiene'!M18</f>
        <v>0.88029999999999997</v>
      </c>
      <c r="M36" s="205">
        <f>'Yearly Butadiene'!N25/'Yearly Butadiene'!N18</f>
        <v>0.86699999999999999</v>
      </c>
      <c r="N36" s="205">
        <f>'Yearly Butadiene'!O25/'Yearly Butadiene'!O18</f>
        <v>0.843364</v>
      </c>
      <c r="O36" s="205">
        <f>'Yearly Butadiene'!P25/'Yearly Butadiene'!P18</f>
        <v>0.823237</v>
      </c>
      <c r="P36" s="205">
        <f>'Yearly Butadiene'!Q25/'Yearly Butadiene'!Q18</f>
        <v>0.79923799999999989</v>
      </c>
      <c r="Q36" s="205">
        <f>'Yearly Butadiene'!R25/'Yearly Butadiene'!R18</f>
        <v>0.7752389999999999</v>
      </c>
      <c r="R36" s="205">
        <f>'Yearly Butadiene'!S25/'Yearly Butadiene'!S18</f>
        <v>0.75123999999999991</v>
      </c>
      <c r="S36" s="205">
        <f>'Yearly Butadiene'!T25/'Yearly Butadiene'!T18</f>
        <v>0.72724100000000003</v>
      </c>
      <c r="T36" s="205">
        <f>'Yearly Butadiene'!U25/'Yearly Butadiene'!U18</f>
        <v>0.70324200000000003</v>
      </c>
      <c r="U36" s="205">
        <f>'Yearly Butadiene'!V25/'Yearly Butadiene'!V18</f>
        <v>0.67924300000000004</v>
      </c>
      <c r="V36" s="205">
        <f>'Yearly Butadiene'!W25/'Yearly Butadiene'!W18</f>
        <v>0.65524399999999994</v>
      </c>
      <c r="W36" s="205">
        <f>'Yearly Butadiene'!X25/'Yearly Butadiene'!X18</f>
        <v>0.63124499999999995</v>
      </c>
      <c r="X36" s="205">
        <f>'Yearly Butadiene'!Y25/'Yearly Butadiene'!Y18</f>
        <v>0.59561700000000006</v>
      </c>
      <c r="Y36" s="205">
        <f>'Yearly Butadiene'!Z25/'Yearly Butadiene'!Z18</f>
        <v>0.57110399999999995</v>
      </c>
      <c r="Z36" s="205">
        <f>'Yearly Butadiene'!AA25/'Yearly Butadiene'!AA18</f>
        <v>0.54659100000000016</v>
      </c>
      <c r="AA36" s="205">
        <f>'Yearly Butadiene'!AB25/'Yearly Butadiene'!AB18</f>
        <v>0.52207800000000004</v>
      </c>
      <c r="AB36" s="205">
        <f>'Yearly Butadiene'!AC25/'Yearly Butadiene'!AC18</f>
        <v>0.49756500000000009</v>
      </c>
      <c r="AC36" s="205">
        <f>'Yearly Butadiene'!AD25/'Yearly Butadiene'!AD18</f>
        <v>0.47305200000000008</v>
      </c>
      <c r="AD36" s="205">
        <f>'Yearly Butadiene'!AE25/'Yearly Butadiene'!AE18</f>
        <v>0.44853899999999997</v>
      </c>
      <c r="AE36" s="205">
        <f>'Yearly Butadiene'!AF25/'Yearly Butadiene'!AF18</f>
        <v>0.42402600000000007</v>
      </c>
      <c r="AF36" s="205">
        <f>'Yearly Butadiene'!AG25/'Yearly Butadiene'!AG18</f>
        <v>0.39951300000000001</v>
      </c>
      <c r="AG36" s="205">
        <f>'Yearly Butadiene'!AH25/'Yearly Butadiene'!AH18</f>
        <v>0.37500000000000006</v>
      </c>
      <c r="AL36" s="108"/>
      <c r="AM36" s="207"/>
      <c r="AN36" s="207"/>
      <c r="AO36" s="207"/>
      <c r="BC36" s="1"/>
      <c r="BD36" s="578"/>
      <c r="BE36" s="578"/>
      <c r="BF36" s="578"/>
      <c r="BG36" s="578"/>
      <c r="BH36" s="578"/>
      <c r="BI36" s="578"/>
      <c r="BJ36" s="578"/>
      <c r="BK36" s="578"/>
    </row>
    <row r="37" spans="1:64" outlineLevel="1" x14ac:dyDescent="0.2">
      <c r="A37" t="s">
        <v>1666</v>
      </c>
      <c r="B37" s="54" t="s">
        <v>462</v>
      </c>
      <c r="C37" s="205">
        <f>'Yearly Butadiene'!D17/'Yearly Butadiene'!D10</f>
        <v>1</v>
      </c>
      <c r="D37" s="205">
        <f>'Yearly Butadiene'!E17/'Yearly Butadiene'!E10</f>
        <v>0.99460000000000004</v>
      </c>
      <c r="E37" s="205">
        <f>'Yearly Butadiene'!F17/'Yearly Butadiene'!F10</f>
        <v>0.98919999999999997</v>
      </c>
      <c r="F37" s="205">
        <f>'Yearly Butadiene'!G17/'Yearly Butadiene'!G10</f>
        <v>0.98380000000000001</v>
      </c>
      <c r="G37" s="205">
        <f>'Yearly Butadiene'!H17/'Yearly Butadiene'!H10</f>
        <v>0.97840000000000005</v>
      </c>
      <c r="H37" s="205">
        <f>'Yearly Butadiene'!I17/'Yearly Butadiene'!I10</f>
        <v>0.97299999999999998</v>
      </c>
      <c r="I37" s="205">
        <f>'Yearly Butadiene'!J17/'Yearly Butadiene'!J10</f>
        <v>0.96760000000000002</v>
      </c>
      <c r="J37" s="205">
        <f>'Yearly Butadiene'!K17/'Yearly Butadiene'!K10</f>
        <v>0.96219999999999994</v>
      </c>
      <c r="K37" s="205">
        <f>'Yearly Butadiene'!L17/'Yearly Butadiene'!L10</f>
        <v>0.95680000000000009</v>
      </c>
      <c r="L37" s="205">
        <f>'Yearly Butadiene'!M17/'Yearly Butadiene'!M10</f>
        <v>0.95140000000000002</v>
      </c>
      <c r="M37" s="205">
        <f>'Yearly Butadiene'!N17/'Yearly Butadiene'!N10</f>
        <v>0.94600000000000006</v>
      </c>
      <c r="N37" s="205">
        <f>'Yearly Butadiene'!O17/'Yearly Butadiene'!O10</f>
        <v>0.92980000000000007</v>
      </c>
      <c r="O37" s="205">
        <f>'Yearly Butadiene'!P17/'Yearly Butadiene'!P10</f>
        <v>0.91359999999999997</v>
      </c>
      <c r="P37" s="205">
        <f>'Yearly Butadiene'!Q17/'Yearly Butadiene'!Q10</f>
        <v>0.89739999999999998</v>
      </c>
      <c r="Q37" s="205">
        <f>'Yearly Butadiene'!R17/'Yearly Butadiene'!R10</f>
        <v>0.88119999999999998</v>
      </c>
      <c r="R37" s="205">
        <f>'Yearly Butadiene'!S17/'Yearly Butadiene'!S10</f>
        <v>0.86499999999999999</v>
      </c>
      <c r="S37" s="205">
        <f>'Yearly Butadiene'!T17/'Yearly Butadiene'!T10</f>
        <v>0.84879999999999989</v>
      </c>
      <c r="T37" s="205">
        <f>'Yearly Butadiene'!U17/'Yearly Butadiene'!U10</f>
        <v>0.83260000000000001</v>
      </c>
      <c r="U37" s="205">
        <f>'Yearly Butadiene'!V17/'Yearly Butadiene'!V10</f>
        <v>0.81640000000000001</v>
      </c>
      <c r="V37" s="205">
        <f>'Yearly Butadiene'!W17/'Yearly Butadiene'!W10</f>
        <v>0.80020000000000002</v>
      </c>
      <c r="W37" s="205">
        <f>'Yearly Butadiene'!X17/'Yearly Butadiene'!X10</f>
        <v>0.78400000000000003</v>
      </c>
      <c r="X37" s="205">
        <f>'Yearly Butadiene'!Y17/'Yearly Butadiene'!Y10</f>
        <v>0.75159999999999993</v>
      </c>
      <c r="Y37" s="205">
        <f>'Yearly Butadiene'!Z17/'Yearly Butadiene'!Z10</f>
        <v>0.71919999999999995</v>
      </c>
      <c r="Z37" s="205">
        <f>'Yearly Butadiene'!AA17/'Yearly Butadiene'!AA10</f>
        <v>0.68679999999999997</v>
      </c>
      <c r="AA37" s="205">
        <f>'Yearly Butadiene'!AB17/'Yearly Butadiene'!AB10</f>
        <v>0.65439999999999998</v>
      </c>
      <c r="AB37" s="205">
        <f>'Yearly Butadiene'!AC17/'Yearly Butadiene'!AC10</f>
        <v>0.622</v>
      </c>
      <c r="AC37" s="205">
        <f>'Yearly Butadiene'!AD17/'Yearly Butadiene'!AD10</f>
        <v>0.58960000000000001</v>
      </c>
      <c r="AD37" s="205">
        <f>'Yearly Butadiene'!AE17/'Yearly Butadiene'!AE10</f>
        <v>0.55719999999999992</v>
      </c>
      <c r="AE37" s="205">
        <f>'Yearly Butadiene'!AF17/'Yearly Butadiene'!AF10</f>
        <v>0.52480000000000004</v>
      </c>
      <c r="AF37" s="205">
        <f>'Yearly Butadiene'!AG17/'Yearly Butadiene'!AG10</f>
        <v>0.49240000000000006</v>
      </c>
      <c r="AG37" s="205">
        <f>'Yearly Butadiene'!AH17/'Yearly Butadiene'!AH10</f>
        <v>0.46</v>
      </c>
      <c r="AL37" s="108"/>
      <c r="AM37" s="207"/>
      <c r="AN37" s="207"/>
      <c r="AO37" s="207"/>
      <c r="BL37" s="1"/>
    </row>
    <row r="38" spans="1:64" outlineLevel="1" x14ac:dyDescent="0.2">
      <c r="A38" t="s">
        <v>1667</v>
      </c>
      <c r="B38" s="54" t="s">
        <v>462</v>
      </c>
      <c r="C38" s="205">
        <f>'Yearly Butadiene'!D29/'Yearly Butadiene'!D26</f>
        <v>1</v>
      </c>
      <c r="D38" s="205">
        <f>'Yearly Butadiene'!E29/'Yearly Butadiene'!E26</f>
        <v>0.98185</v>
      </c>
      <c r="E38" s="205">
        <f>'Yearly Butadiene'!F29/'Yearly Butadiene'!F26</f>
        <v>0.9637</v>
      </c>
      <c r="F38" s="205">
        <f>'Yearly Butadiene'!G29/'Yearly Butadiene'!G26</f>
        <v>0.94555</v>
      </c>
      <c r="G38" s="205">
        <f>'Yearly Butadiene'!H29/'Yearly Butadiene'!H26</f>
        <v>0.9274</v>
      </c>
      <c r="H38" s="205">
        <f>'Yearly Butadiene'!I29/'Yearly Butadiene'!I26</f>
        <v>0.90925</v>
      </c>
      <c r="I38" s="205">
        <f>'Yearly Butadiene'!J29/'Yearly Butadiene'!J26</f>
        <v>0.8911</v>
      </c>
      <c r="J38" s="205">
        <f>'Yearly Butadiene'!K29/'Yearly Butadiene'!K26</f>
        <v>0.87295</v>
      </c>
      <c r="K38" s="205">
        <f>'Yearly Butadiene'!L29/'Yearly Butadiene'!L26</f>
        <v>0.8548</v>
      </c>
      <c r="L38" s="205">
        <f>'Yearly Butadiene'!M29/'Yearly Butadiene'!M26</f>
        <v>0.83665</v>
      </c>
      <c r="M38" s="205">
        <f>'Yearly Butadiene'!N29/'Yearly Butadiene'!N26</f>
        <v>0.81850000000000001</v>
      </c>
      <c r="N38" s="205">
        <f>'Yearly Butadiene'!O29/'Yearly Butadiene'!O26</f>
        <v>0.80035000000000001</v>
      </c>
      <c r="O38" s="205">
        <f>'Yearly Butadiene'!P29/'Yearly Butadiene'!P26</f>
        <v>0.7821999999999999</v>
      </c>
      <c r="P38" s="205">
        <f>'Yearly Butadiene'!Q29/'Yearly Butadiene'!Q26</f>
        <v>0.76405000000000001</v>
      </c>
      <c r="Q38" s="205">
        <f>'Yearly Butadiene'!R29/'Yearly Butadiene'!R26</f>
        <v>0.74590000000000001</v>
      </c>
      <c r="R38" s="205">
        <f>'Yearly Butadiene'!S29/'Yearly Butadiene'!S26</f>
        <v>0.72775000000000001</v>
      </c>
      <c r="S38" s="205">
        <f>'Yearly Butadiene'!T29/'Yearly Butadiene'!T26</f>
        <v>0.70960000000000001</v>
      </c>
      <c r="T38" s="205">
        <f>'Yearly Butadiene'!U29/'Yearly Butadiene'!U26</f>
        <v>0.6914499999999999</v>
      </c>
      <c r="U38" s="205">
        <f>'Yearly Butadiene'!V29/'Yearly Butadiene'!V26</f>
        <v>0.67330000000000001</v>
      </c>
      <c r="V38" s="205">
        <f>'Yearly Butadiene'!W29/'Yearly Butadiene'!W26</f>
        <v>0.65515000000000001</v>
      </c>
      <c r="W38" s="205">
        <f>'Yearly Butadiene'!X29/'Yearly Butadiene'!X26</f>
        <v>0.6369999999999999</v>
      </c>
      <c r="X38" s="205">
        <f>'Yearly Butadiene'!Y29/'Yearly Butadiene'!Y26</f>
        <v>0.61829999999999996</v>
      </c>
      <c r="Y38" s="205">
        <f>'Yearly Butadiene'!Z29/'Yearly Butadiene'!Z26</f>
        <v>0.59960000000000002</v>
      </c>
      <c r="Z38" s="205">
        <f>'Yearly Butadiene'!AA29/'Yearly Butadiene'!AA26</f>
        <v>0.58089999999999997</v>
      </c>
      <c r="AA38" s="205">
        <f>'Yearly Butadiene'!AB29/'Yearly Butadiene'!AB26</f>
        <v>0.56219999999999992</v>
      </c>
      <c r="AB38" s="205">
        <f>'Yearly Butadiene'!AC29/'Yearly Butadiene'!AC26</f>
        <v>0.54349999999999998</v>
      </c>
      <c r="AC38" s="205">
        <f>'Yearly Butadiene'!AD29/'Yearly Butadiene'!AD26</f>
        <v>0.52479999999999993</v>
      </c>
      <c r="AD38" s="205">
        <f>'Yearly Butadiene'!AE29/'Yearly Butadiene'!AE26</f>
        <v>0.50609999999999999</v>
      </c>
      <c r="AE38" s="205">
        <f>'Yearly Butadiene'!AF29/'Yearly Butadiene'!AF26</f>
        <v>0.4874</v>
      </c>
      <c r="AF38" s="205">
        <f>'Yearly Butadiene'!AG29/'Yearly Butadiene'!AG26</f>
        <v>0.46870000000000001</v>
      </c>
      <c r="AG38" s="205">
        <f>'Yearly Butadiene'!AH29/'Yearly Butadiene'!AH26</f>
        <v>0.45</v>
      </c>
      <c r="AL38" s="108"/>
      <c r="AM38" s="207"/>
      <c r="AN38" s="207"/>
      <c r="AO38" s="207"/>
      <c r="BD38" s="41"/>
      <c r="BE38" s="41"/>
      <c r="BF38" s="41"/>
      <c r="BG38" s="41"/>
      <c r="BH38" s="41"/>
      <c r="BI38" s="41"/>
      <c r="BJ38" s="41"/>
      <c r="BK38" s="41"/>
      <c r="BL38" s="118"/>
    </row>
    <row r="39" spans="1:64" outlineLevel="1" x14ac:dyDescent="0.2">
      <c r="A39" t="s">
        <v>1668</v>
      </c>
      <c r="B39" s="54" t="s">
        <v>462</v>
      </c>
      <c r="C39" s="205">
        <f>'Yearly Butadiene'!D35/'Yearly Butadiene'!D30</f>
        <v>1</v>
      </c>
      <c r="D39" s="205">
        <f>'Yearly Butadiene'!E35/'Yearly Butadiene'!E30</f>
        <v>0.96909999999999985</v>
      </c>
      <c r="E39" s="205">
        <f>'Yearly Butadiene'!F35/'Yearly Butadiene'!F30</f>
        <v>0.93820000000000014</v>
      </c>
      <c r="F39" s="205">
        <f>'Yearly Butadiene'!G35/'Yearly Butadiene'!G30</f>
        <v>0.9073</v>
      </c>
      <c r="G39" s="205">
        <f>'Yearly Butadiene'!H35/'Yearly Butadiene'!H30</f>
        <v>0.87639999999999996</v>
      </c>
      <c r="H39" s="205">
        <f>'Yearly Butadiene'!I35/'Yearly Butadiene'!I30</f>
        <v>0.84550000000000014</v>
      </c>
      <c r="I39" s="205">
        <f>'Yearly Butadiene'!J35/'Yearly Butadiene'!J30</f>
        <v>0.81459999999999988</v>
      </c>
      <c r="J39" s="205">
        <f>'Yearly Butadiene'!K35/'Yearly Butadiene'!K30</f>
        <v>0.78369999999999995</v>
      </c>
      <c r="K39" s="205">
        <f>'Yearly Butadiene'!L35/'Yearly Butadiene'!L30</f>
        <v>0.75279999999999991</v>
      </c>
      <c r="L39" s="205">
        <f>'Yearly Butadiene'!M35/'Yearly Butadiene'!M30</f>
        <v>0.72189999999999999</v>
      </c>
      <c r="M39" s="205">
        <f>'Yearly Butadiene'!N35/'Yearly Butadiene'!N30</f>
        <v>0.69099999999999995</v>
      </c>
      <c r="N39" s="205">
        <f>'Yearly Butadiene'!O35/'Yearly Butadiene'!O30</f>
        <v>0.66919999999999991</v>
      </c>
      <c r="O39" s="205">
        <f>'Yearly Butadiene'!P35/'Yearly Butadiene'!P30</f>
        <v>0.64740000000000009</v>
      </c>
      <c r="P39" s="205">
        <f>'Yearly Butadiene'!Q35/'Yearly Butadiene'!Q30</f>
        <v>0.62559999999999993</v>
      </c>
      <c r="Q39" s="205">
        <f>'Yearly Butadiene'!R35/'Yearly Butadiene'!R30</f>
        <v>0.6038</v>
      </c>
      <c r="R39" s="205">
        <f>'Yearly Butadiene'!S35/'Yearly Butadiene'!S30</f>
        <v>0.58199999999999996</v>
      </c>
      <c r="S39" s="205">
        <f>'Yearly Butadiene'!T35/'Yearly Butadiene'!T30</f>
        <v>0.56020000000000003</v>
      </c>
      <c r="T39" s="205">
        <f>'Yearly Butadiene'!U35/'Yearly Butadiene'!U30</f>
        <v>0.53839999999999988</v>
      </c>
      <c r="U39" s="205">
        <f>'Yearly Butadiene'!V35/'Yearly Butadiene'!V30</f>
        <v>0.51659999999999995</v>
      </c>
      <c r="V39" s="205">
        <f>'Yearly Butadiene'!W35/'Yearly Butadiene'!W30</f>
        <v>0.49479999999999996</v>
      </c>
      <c r="W39" s="205">
        <f>'Yearly Butadiene'!X35/'Yearly Butadiene'!X30</f>
        <v>0.47300000000000003</v>
      </c>
      <c r="X39" s="205">
        <f>'Yearly Butadiene'!Y35/'Yearly Butadiene'!Y30</f>
        <v>0.44669999999999999</v>
      </c>
      <c r="Y39" s="205">
        <f>'Yearly Butadiene'!Z35/'Yearly Butadiene'!Z30</f>
        <v>0.4204</v>
      </c>
      <c r="Z39" s="205">
        <f>'Yearly Butadiene'!AA35/'Yearly Butadiene'!AA30</f>
        <v>0.39409999999999989</v>
      </c>
      <c r="AA39" s="205">
        <f>'Yearly Butadiene'!AB35/'Yearly Butadiene'!AB30</f>
        <v>0.36779999999999996</v>
      </c>
      <c r="AB39" s="205">
        <f>'Yearly Butadiene'!AC35/'Yearly Butadiene'!AC30</f>
        <v>0.34149999999999991</v>
      </c>
      <c r="AC39" s="205">
        <f>'Yearly Butadiene'!AD35/'Yearly Butadiene'!AD30</f>
        <v>0.31519999999999987</v>
      </c>
      <c r="AD39" s="205">
        <f>'Yearly Butadiene'!AE35/'Yearly Butadiene'!AE30</f>
        <v>0.28889999999999999</v>
      </c>
      <c r="AE39" s="205">
        <f>'Yearly Butadiene'!AF35/'Yearly Butadiene'!AF30</f>
        <v>0.2626</v>
      </c>
      <c r="AF39" s="205">
        <f>'Yearly Butadiene'!AG35/'Yearly Butadiene'!AG30</f>
        <v>0.23630000000000001</v>
      </c>
      <c r="AG39" s="205">
        <f>'Yearly Butadiene'!AH35/'Yearly Butadiene'!AH30</f>
        <v>0.21</v>
      </c>
      <c r="AL39" s="108"/>
      <c r="AM39" s="207"/>
      <c r="AN39" s="207"/>
      <c r="AO39" s="207"/>
      <c r="BD39" s="41"/>
      <c r="BE39" s="41"/>
      <c r="BF39" s="41"/>
      <c r="BG39" s="41"/>
      <c r="BH39" s="41"/>
      <c r="BI39" s="41"/>
      <c r="BJ39" s="41"/>
      <c r="BK39" s="41"/>
      <c r="BL39" s="118"/>
    </row>
    <row r="40" spans="1:64" outlineLevel="1" x14ac:dyDescent="0.2">
      <c r="A40" t="s">
        <v>1669</v>
      </c>
      <c r="B40" s="176" t="s">
        <v>462</v>
      </c>
      <c r="C40" s="159">
        <f>'Yearly Butadiene'!D39/'Yearly Butadiene'!D36</f>
        <v>1</v>
      </c>
      <c r="D40" s="159">
        <f>'Yearly Butadiene'!E39/'Yearly Butadiene'!E36</f>
        <v>0.99339999999999995</v>
      </c>
      <c r="E40" s="159">
        <f>'Yearly Butadiene'!F39/'Yearly Butadiene'!F36</f>
        <v>0.98680000000000001</v>
      </c>
      <c r="F40" s="159">
        <f>'Yearly Butadiene'!G39/'Yearly Butadiene'!G36</f>
        <v>0.98019999999999985</v>
      </c>
      <c r="G40" s="159">
        <f>'Yearly Butadiene'!H39/'Yearly Butadiene'!H36</f>
        <v>0.97360000000000002</v>
      </c>
      <c r="H40" s="159">
        <f>'Yearly Butadiene'!I39/'Yearly Butadiene'!I36</f>
        <v>0.96699999999999997</v>
      </c>
      <c r="I40" s="159">
        <f>'Yearly Butadiene'!J39/'Yearly Butadiene'!J36</f>
        <v>0.96039999999999992</v>
      </c>
      <c r="J40" s="159">
        <f>'Yearly Butadiene'!K39/'Yearly Butadiene'!K36</f>
        <v>0.95379999999999998</v>
      </c>
      <c r="K40" s="159">
        <f>'Yearly Butadiene'!L39/'Yearly Butadiene'!L36</f>
        <v>0.94719999999999993</v>
      </c>
      <c r="L40" s="159">
        <f>'Yearly Butadiene'!M39/'Yearly Butadiene'!M36</f>
        <v>0.94059999999999999</v>
      </c>
      <c r="M40" s="159">
        <f>'Yearly Butadiene'!N39/'Yearly Butadiene'!N36</f>
        <v>0.93400000000000005</v>
      </c>
      <c r="N40" s="159">
        <f>'Yearly Butadiene'!O39/'Yearly Butadiene'!O36</f>
        <v>0.9274</v>
      </c>
      <c r="O40" s="159">
        <f>'Yearly Butadiene'!P39/'Yearly Butadiene'!P36</f>
        <v>0.92079999999999995</v>
      </c>
      <c r="P40" s="159">
        <f>'Yearly Butadiene'!Q39/'Yearly Butadiene'!Q36</f>
        <v>0.91420000000000001</v>
      </c>
      <c r="Q40" s="159">
        <f>'Yearly Butadiene'!R39/'Yearly Butadiene'!R36</f>
        <v>0.90759999999999996</v>
      </c>
      <c r="R40" s="159">
        <f>'Yearly Butadiene'!S39/'Yearly Butadiene'!S36</f>
        <v>0.90099999999999991</v>
      </c>
      <c r="S40" s="159">
        <f>'Yearly Butadiene'!T39/'Yearly Butadiene'!T36</f>
        <v>0.89439999999999997</v>
      </c>
      <c r="T40" s="159">
        <f>'Yearly Butadiene'!U39/'Yearly Butadiene'!U36</f>
        <v>0.88780000000000003</v>
      </c>
      <c r="U40" s="159">
        <f>'Yearly Butadiene'!V39/'Yearly Butadiene'!V36</f>
        <v>0.88119999999999998</v>
      </c>
      <c r="V40" s="159">
        <f>'Yearly Butadiene'!W39/'Yearly Butadiene'!W36</f>
        <v>0.87460000000000016</v>
      </c>
      <c r="W40" s="159">
        <f>'Yearly Butadiene'!X39/'Yearly Butadiene'!X36</f>
        <v>0.86799999999999999</v>
      </c>
      <c r="X40" s="159">
        <f>'Yearly Butadiene'!Y39/'Yearly Butadiene'!Y36</f>
        <v>0.86120000000000008</v>
      </c>
      <c r="Y40" s="159">
        <f>'Yearly Butadiene'!Z39/'Yearly Butadiene'!Z36</f>
        <v>0.85439999999999994</v>
      </c>
      <c r="Z40" s="159">
        <f>'Yearly Butadiene'!AA39/'Yearly Butadiene'!AA36</f>
        <v>0.84760000000000002</v>
      </c>
      <c r="AA40" s="159">
        <f>'Yearly Butadiene'!AB39/'Yearly Butadiene'!AB36</f>
        <v>0.84079999999999999</v>
      </c>
      <c r="AB40" s="159">
        <f>'Yearly Butadiene'!AC39/'Yearly Butadiene'!AC36</f>
        <v>0.83400000000000007</v>
      </c>
      <c r="AC40" s="159">
        <f>'Yearly Butadiene'!AD39/'Yearly Butadiene'!AD36</f>
        <v>0.82719999999999994</v>
      </c>
      <c r="AD40" s="159">
        <f>'Yearly Butadiene'!AE39/'Yearly Butadiene'!AE36</f>
        <v>0.82039999999999991</v>
      </c>
      <c r="AE40" s="159">
        <f>'Yearly Butadiene'!AF39/'Yearly Butadiene'!AF36</f>
        <v>0.81359999999999999</v>
      </c>
      <c r="AF40" s="159">
        <f>'Yearly Butadiene'!AG39/'Yearly Butadiene'!AG36</f>
        <v>0.80680000000000007</v>
      </c>
      <c r="AG40" s="159">
        <f>'Yearly Butadiene'!AH39/'Yearly Butadiene'!AH36</f>
        <v>0.79999999999999993</v>
      </c>
      <c r="AI40" s="131"/>
      <c r="AL40" s="108"/>
      <c r="AM40" s="207"/>
      <c r="AN40" s="207"/>
      <c r="AO40" s="207"/>
      <c r="BD40" s="41"/>
      <c r="BE40" s="41"/>
      <c r="BF40" s="41"/>
      <c r="BG40" s="41"/>
      <c r="BH40" s="41"/>
      <c r="BI40" s="41"/>
      <c r="BJ40" s="41"/>
      <c r="BK40" s="41"/>
      <c r="BL40" s="118"/>
    </row>
    <row r="41" spans="1:64" outlineLevel="1" x14ac:dyDescent="0.2">
      <c r="AI41" t="s">
        <v>1299</v>
      </c>
      <c r="BD41" s="41"/>
      <c r="BE41" s="41"/>
      <c r="BF41" s="41"/>
      <c r="BG41" s="41"/>
      <c r="BH41" s="41"/>
      <c r="BI41" s="41"/>
      <c r="BJ41" s="41"/>
      <c r="BK41" s="41"/>
      <c r="BL41" s="118"/>
    </row>
    <row r="42" spans="1:64" outlineLevel="1" x14ac:dyDescent="0.2">
      <c r="A42" t="s">
        <v>1670</v>
      </c>
      <c r="B42" s="54" t="s">
        <v>1658</v>
      </c>
      <c r="C42" s="107">
        <f>C27*C36</f>
        <v>0.20115072098267078</v>
      </c>
      <c r="D42" s="107">
        <f t="shared" ref="D42:AF42" si="17">D27*D36</f>
        <v>0.20512860998918411</v>
      </c>
      <c r="E42" s="107">
        <f t="shared" si="17"/>
        <v>0.20860043210813004</v>
      </c>
      <c r="F42" s="107">
        <f t="shared" si="17"/>
        <v>0.21153735688475217</v>
      </c>
      <c r="G42" s="107">
        <f t="shared" si="17"/>
        <v>0.21391455964335446</v>
      </c>
      <c r="H42" s="107">
        <f t="shared" si="17"/>
        <v>0.2157115642365722</v>
      </c>
      <c r="I42" s="107">
        <f t="shared" si="17"/>
        <v>0.21738050952011362</v>
      </c>
      <c r="J42" s="107">
        <f t="shared" si="17"/>
        <v>0.21891678352828692</v>
      </c>
      <c r="K42" s="107">
        <f t="shared" si="17"/>
        <v>0.22031591667193859</v>
      </c>
      <c r="L42" s="107">
        <f t="shared" si="17"/>
        <v>0.2215735950935</v>
      </c>
      <c r="M42" s="107">
        <f t="shared" si="17"/>
        <v>0.22268567389010094</v>
      </c>
      <c r="N42" s="107">
        <f t="shared" si="17"/>
        <v>0.22062429547192397</v>
      </c>
      <c r="O42" s="107">
        <f t="shared" si="17"/>
        <v>0.2189302556015908</v>
      </c>
      <c r="P42" s="107">
        <f t="shared" si="17"/>
        <v>0.2156629227364201</v>
      </c>
      <c r="Q42" s="107">
        <f t="shared" si="17"/>
        <v>0.211849560091287</v>
      </c>
      <c r="R42" s="107">
        <f t="shared" si="17"/>
        <v>0.20750839583412947</v>
      </c>
      <c r="S42" s="107">
        <f t="shared" si="17"/>
        <v>0.20302653339185892</v>
      </c>
      <c r="T42" s="107">
        <f t="shared" si="17"/>
        <v>0.19840341587711049</v>
      </c>
      <c r="U42" s="107">
        <f t="shared" si="17"/>
        <v>0.19363854418515991</v>
      </c>
      <c r="V42" s="107">
        <f t="shared" si="17"/>
        <v>0.18873147807917093</v>
      </c>
      <c r="W42" s="107">
        <f t="shared" si="17"/>
        <v>0.1836818372496061</v>
      </c>
      <c r="X42" s="107">
        <f t="shared" si="17"/>
        <v>0.17507309023326709</v>
      </c>
      <c r="Y42" s="107">
        <f t="shared" si="17"/>
        <v>0.16955422315280411</v>
      </c>
      <c r="Z42" s="107">
        <f t="shared" si="17"/>
        <v>0.1638905842358957</v>
      </c>
      <c r="AA42" s="107">
        <f t="shared" si="17"/>
        <v>0.15808185793521856</v>
      </c>
      <c r="AB42" s="107">
        <f t="shared" si="17"/>
        <v>0.15212778495699583</v>
      </c>
      <c r="AC42" s="107">
        <f t="shared" si="17"/>
        <v>0.14602954371023188</v>
      </c>
      <c r="AD42" s="107">
        <f t="shared" si="17"/>
        <v>0.1397868146289406</v>
      </c>
      <c r="AE42" s="107">
        <f t="shared" si="17"/>
        <v>0.13339932835891227</v>
      </c>
      <c r="AF42" s="107">
        <f t="shared" si="17"/>
        <v>0.12686686651655563</v>
      </c>
      <c r="AG42" s="107">
        <f>AG27*AG36</f>
        <v>0.12018926242854233</v>
      </c>
      <c r="AI42" s="210" t="s">
        <v>1301</v>
      </c>
      <c r="AJ42" s="211" t="s">
        <v>1302</v>
      </c>
      <c r="BD42" s="41"/>
      <c r="BE42" s="41"/>
      <c r="BF42" s="41"/>
      <c r="BG42" s="41"/>
      <c r="BH42" s="41"/>
      <c r="BI42" s="41"/>
      <c r="BJ42" s="41"/>
      <c r="BK42" s="41"/>
      <c r="BL42" s="118"/>
    </row>
    <row r="43" spans="1:64" outlineLevel="1" x14ac:dyDescent="0.2">
      <c r="A43" t="s">
        <v>1671</v>
      </c>
      <c r="B43" s="54" t="s">
        <v>1658</v>
      </c>
      <c r="C43" s="107">
        <f>C28*$C$37</f>
        <v>2.9411849599012854</v>
      </c>
      <c r="D43" s="107">
        <f t="shared" ref="D43:O43" si="18">D28*$C$37</f>
        <v>3.0397778904223811</v>
      </c>
      <c r="E43" s="107">
        <f t="shared" si="18"/>
        <v>3.1334632441774799</v>
      </c>
      <c r="F43" s="107">
        <f t="shared" si="18"/>
        <v>3.2215979992284023</v>
      </c>
      <c r="G43" s="107">
        <f t="shared" si="18"/>
        <v>3.3035648654918082</v>
      </c>
      <c r="H43" s="107">
        <f t="shared" si="18"/>
        <v>3.378779486430183</v>
      </c>
      <c r="I43" s="107">
        <f t="shared" si="18"/>
        <v>3.4541334811111408</v>
      </c>
      <c r="J43" s="107">
        <f t="shared" si="18"/>
        <v>3.5295586234759417</v>
      </c>
      <c r="K43" s="107">
        <f t="shared" si="18"/>
        <v>3.6049849553423923</v>
      </c>
      <c r="L43" s="107">
        <f t="shared" si="18"/>
        <v>3.6803408773835642</v>
      </c>
      <c r="M43" s="107">
        <f t="shared" si="18"/>
        <v>3.7555532462553085</v>
      </c>
      <c r="N43" s="107">
        <f t="shared" si="18"/>
        <v>3.8250667662264144</v>
      </c>
      <c r="O43" s="107">
        <f t="shared" si="18"/>
        <v>3.8884959028178847</v>
      </c>
      <c r="P43" s="107">
        <f t="shared" ref="P43:AG43" si="19">D37*P28</f>
        <v>3.9241767478039176</v>
      </c>
      <c r="Q43" s="107">
        <f t="shared" si="19"/>
        <v>3.9525448304518349</v>
      </c>
      <c r="R43" s="107">
        <f t="shared" si="19"/>
        <v>3.9734205192520924</v>
      </c>
      <c r="S43" s="107">
        <f t="shared" si="19"/>
        <v>3.9938489073331302</v>
      </c>
      <c r="T43" s="107">
        <f t="shared" si="19"/>
        <v>4.0138203258545131</v>
      </c>
      <c r="U43" s="107">
        <f t="shared" si="19"/>
        <v>4.0333252020001913</v>
      </c>
      <c r="V43" s="107">
        <f t="shared" si="19"/>
        <v>4.0523540650510279</v>
      </c>
      <c r="W43" s="107">
        <f t="shared" si="19"/>
        <v>4.0708975524554107</v>
      </c>
      <c r="X43" s="107">
        <f t="shared" si="19"/>
        <v>4.0889914532326799</v>
      </c>
      <c r="Y43" s="107">
        <f t="shared" si="19"/>
        <v>4.1066272890635025</v>
      </c>
      <c r="Z43" s="107">
        <f t="shared" si="19"/>
        <v>4.0764471082264073</v>
      </c>
      <c r="AA43" s="107">
        <f t="shared" si="19"/>
        <v>4.0448597966160706</v>
      </c>
      <c r="AB43" s="107">
        <f t="shared" si="19"/>
        <v>4.0118577583587554</v>
      </c>
      <c r="AC43" s="107">
        <f t="shared" si="19"/>
        <v>3.9774715018410585</v>
      </c>
      <c r="AD43" s="107">
        <f t="shared" si="19"/>
        <v>3.9416934756720354</v>
      </c>
      <c r="AE43" s="107">
        <f t="shared" si="19"/>
        <v>3.9045165660159307</v>
      </c>
      <c r="AF43" s="107">
        <f t="shared" si="19"/>
        <v>3.8659341050977294</v>
      </c>
      <c r="AG43" s="107">
        <f t="shared" si="19"/>
        <v>3.8259398795575517</v>
      </c>
      <c r="AI43" s="210" t="s">
        <v>1304</v>
      </c>
      <c r="AJ43" s="211" t="s">
        <v>1302</v>
      </c>
      <c r="BD43" s="41"/>
      <c r="BE43" s="41"/>
      <c r="BF43" s="41"/>
      <c r="BG43" s="41"/>
      <c r="BH43" s="41"/>
      <c r="BI43" s="41"/>
      <c r="BJ43" s="41"/>
      <c r="BK43" s="41"/>
      <c r="BL43" s="118"/>
    </row>
    <row r="44" spans="1:64" outlineLevel="1" x14ac:dyDescent="0.2">
      <c r="A44" t="s">
        <v>1672</v>
      </c>
      <c r="B44" s="54" t="s">
        <v>1658</v>
      </c>
      <c r="C44" s="107">
        <f t="shared" ref="C44:AG44" si="20">C29</f>
        <v>6.6351314561166497E-2</v>
      </c>
      <c r="D44" s="107">
        <f t="shared" si="20"/>
        <v>6.8575510127137307E-2</v>
      </c>
      <c r="E44" s="107">
        <f t="shared" si="20"/>
        <v>7.0688993794953747E-2</v>
      </c>
      <c r="F44" s="107">
        <f t="shared" si="20"/>
        <v>7.2677259387183404E-2</v>
      </c>
      <c r="G44" s="107">
        <f t="shared" si="20"/>
        <v>7.4526381221132559E-2</v>
      </c>
      <c r="H44" s="107">
        <f t="shared" si="20"/>
        <v>7.6223176574542931E-2</v>
      </c>
      <c r="I44" s="107">
        <f t="shared" si="20"/>
        <v>7.7923116113430183E-2</v>
      </c>
      <c r="J44" s="107">
        <f t="shared" si="20"/>
        <v>7.9624660700083991E-2</v>
      </c>
      <c r="K44" s="107">
        <f t="shared" si="20"/>
        <v>8.1326232121159733E-2</v>
      </c>
      <c r="L44" s="107">
        <f t="shared" si="20"/>
        <v>8.3026215140102E-2</v>
      </c>
      <c r="M44" s="107">
        <f t="shared" si="20"/>
        <v>8.4722959688281321E-2</v>
      </c>
      <c r="N44" s="107">
        <f t="shared" si="20"/>
        <v>8.6291141728084636E-2</v>
      </c>
      <c r="O44" s="107">
        <f t="shared" si="20"/>
        <v>8.7722063839989192E-2</v>
      </c>
      <c r="P44" s="107">
        <f t="shared" si="20"/>
        <v>8.9007642918023044E-2</v>
      </c>
      <c r="Q44" s="107">
        <f t="shared" si="20"/>
        <v>9.0140485295875108E-2</v>
      </c>
      <c r="R44" s="107">
        <f t="shared" si="20"/>
        <v>9.1113956789405787E-2</v>
      </c>
      <c r="S44" s="107">
        <f t="shared" si="20"/>
        <v>9.2087860278449188E-2</v>
      </c>
      <c r="T44" s="107">
        <f t="shared" si="20"/>
        <v>9.3061978779720639E-2</v>
      </c>
      <c r="U44" s="107">
        <f t="shared" si="20"/>
        <v>9.4036092704945645E-2</v>
      </c>
      <c r="V44" s="107">
        <f t="shared" si="20"/>
        <v>9.5009979930136296E-2</v>
      </c>
      <c r="W44" s="107">
        <f t="shared" si="20"/>
        <v>9.5983415867168187E-2</v>
      </c>
      <c r="X44" s="107">
        <f t="shared" si="20"/>
        <v>9.695724145285517E-2</v>
      </c>
      <c r="Y44" s="107">
        <f t="shared" si="20"/>
        <v>9.7931261176272391E-2</v>
      </c>
      <c r="Z44" s="107">
        <f t="shared" si="20"/>
        <v>9.8905277317020285E-2</v>
      </c>
      <c r="AA44" s="107">
        <f t="shared" si="20"/>
        <v>9.9879090001718809E-2</v>
      </c>
      <c r="AB44" s="107">
        <f t="shared" si="20"/>
        <v>0.10085249726226007</v>
      </c>
      <c r="AC44" s="107">
        <f t="shared" si="20"/>
        <v>0.10182625777627496</v>
      </c>
      <c r="AD44" s="107">
        <f t="shared" si="20"/>
        <v>0.10280019444943654</v>
      </c>
      <c r="AE44" s="107">
        <f t="shared" si="20"/>
        <v>0.1037741282968218</v>
      </c>
      <c r="AF44" s="107">
        <f t="shared" si="20"/>
        <v>0.10474787848944286</v>
      </c>
      <c r="AG44" s="107">
        <f t="shared" si="20"/>
        <v>0.10572126240214111</v>
      </c>
      <c r="AI44" s="210" t="s">
        <v>1306</v>
      </c>
      <c r="AJ44" s="211" t="s">
        <v>1302</v>
      </c>
      <c r="BD44" s="41"/>
      <c r="BE44" s="41"/>
      <c r="BF44" s="41"/>
      <c r="BG44" s="41"/>
      <c r="BH44" s="41"/>
      <c r="BI44" s="41"/>
      <c r="BJ44" s="41"/>
      <c r="BK44" s="41"/>
      <c r="BL44" s="118"/>
    </row>
    <row r="45" spans="1:64" outlineLevel="1" x14ac:dyDescent="0.2">
      <c r="A45" t="s">
        <v>1673</v>
      </c>
      <c r="B45" s="54" t="s">
        <v>1658</v>
      </c>
      <c r="C45" s="262">
        <f t="shared" ref="C45:H45" si="21">C30*$C$39</f>
        <v>0.14284140955223965</v>
      </c>
      <c r="D45" s="262">
        <f t="shared" si="21"/>
        <v>0.14762966780852829</v>
      </c>
      <c r="E45" s="262">
        <f t="shared" si="21"/>
        <v>0.15217958499062473</v>
      </c>
      <c r="F45" s="262">
        <f t="shared" si="21"/>
        <v>0.15645993213425954</v>
      </c>
      <c r="G45" s="262">
        <f t="shared" si="21"/>
        <v>0.16044072996685751</v>
      </c>
      <c r="H45" s="262">
        <f t="shared" si="21"/>
        <v>0.16409359866442336</v>
      </c>
      <c r="I45" s="262">
        <f t="shared" ref="I45:AG46" si="22">I30*D39</f>
        <v>0.16256966118075805</v>
      </c>
      <c r="J45" s="262">
        <f t="shared" si="22"/>
        <v>0.16082279991190812</v>
      </c>
      <c r="K45" s="262">
        <f t="shared" si="22"/>
        <v>0.15884961191784894</v>
      </c>
      <c r="L45" s="262">
        <f t="shared" si="22"/>
        <v>0.15664704434768531</v>
      </c>
      <c r="M45" s="262">
        <f t="shared" si="22"/>
        <v>0.15421241074217745</v>
      </c>
      <c r="N45" s="262">
        <f t="shared" si="22"/>
        <v>0.15132657981043293</v>
      </c>
      <c r="O45" s="262">
        <f t="shared" si="22"/>
        <v>0.1480005342501198</v>
      </c>
      <c r="P45" s="262">
        <f t="shared" si="22"/>
        <v>0.14424856660175697</v>
      </c>
      <c r="Q45" s="262">
        <f t="shared" si="22"/>
        <v>0.14008819167713782</v>
      </c>
      <c r="R45" s="262">
        <f t="shared" si="22"/>
        <v>0.13554002144037056</v>
      </c>
      <c r="S45" s="262">
        <f t="shared" si="22"/>
        <v>0.13266700038783752</v>
      </c>
      <c r="T45" s="262">
        <f t="shared" si="22"/>
        <v>0.12970286620444982</v>
      </c>
      <c r="U45" s="262">
        <f t="shared" si="22"/>
        <v>0.12664729287762011</v>
      </c>
      <c r="V45" s="262">
        <f t="shared" si="22"/>
        <v>0.12349999232079104</v>
      </c>
      <c r="W45" s="262">
        <f t="shared" si="22"/>
        <v>0.12026071505813565</v>
      </c>
      <c r="X45" s="262">
        <f t="shared" si="22"/>
        <v>0.11693053879876862</v>
      </c>
      <c r="Y45" s="262">
        <f t="shared" si="22"/>
        <v>0.1135091820718869</v>
      </c>
      <c r="Z45" s="262">
        <f t="shared" si="22"/>
        <v>0.10999639765164614</v>
      </c>
      <c r="AA45" s="262">
        <f t="shared" si="22"/>
        <v>0.10639197313580434</v>
      </c>
      <c r="AB45" s="262">
        <f t="shared" si="22"/>
        <v>0.1026957315102483</v>
      </c>
      <c r="AC45" s="262">
        <f t="shared" si="22"/>
        <v>9.7922012670443551E-2</v>
      </c>
      <c r="AD45" s="262">
        <f t="shared" si="22"/>
        <v>9.3038187038312722E-2</v>
      </c>
      <c r="AE45" s="262">
        <f t="shared" si="22"/>
        <v>8.8044072837684367E-2</v>
      </c>
      <c r="AF45" s="262">
        <f t="shared" si="22"/>
        <v>8.2939527367870428E-2</v>
      </c>
      <c r="AG45" s="262">
        <f t="shared" si="22"/>
        <v>7.772444756092034E-2</v>
      </c>
      <c r="AI45" s="210" t="s">
        <v>1308</v>
      </c>
      <c r="AJ45" s="211" t="s">
        <v>1302</v>
      </c>
      <c r="AL45" s="5"/>
      <c r="AM45" s="109"/>
      <c r="AN45" s="109"/>
      <c r="AO45" s="109"/>
      <c r="BC45" s="1"/>
      <c r="BD45" s="118"/>
      <c r="BE45" s="118"/>
      <c r="BF45" s="118"/>
      <c r="BG45" s="118"/>
      <c r="BH45" s="118"/>
      <c r="BI45" s="118"/>
      <c r="BJ45" s="118"/>
      <c r="BK45" s="118"/>
      <c r="BL45" s="118"/>
    </row>
    <row r="46" spans="1:64" outlineLevel="1" x14ac:dyDescent="0.2">
      <c r="A46" s="181" t="s">
        <v>1674</v>
      </c>
      <c r="B46" s="176" t="s">
        <v>1658</v>
      </c>
      <c r="C46" s="107">
        <f t="shared" ref="C46:H46" si="23">C31*$C$40</f>
        <v>2.9123825679515898</v>
      </c>
      <c r="D46" s="107">
        <f t="shared" si="23"/>
        <v>3.0100099991018356</v>
      </c>
      <c r="E46" s="107">
        <f t="shared" si="23"/>
        <v>3.1027779123302115</v>
      </c>
      <c r="F46" s="107">
        <f t="shared" si="23"/>
        <v>3.1900495826741282</v>
      </c>
      <c r="G46" s="107">
        <f t="shared" si="23"/>
        <v>3.2712137650393118</v>
      </c>
      <c r="H46" s="107">
        <f t="shared" si="23"/>
        <v>3.3456918253661807</v>
      </c>
      <c r="I46" s="107">
        <f t="shared" si="22"/>
        <v>3.3977338624743196</v>
      </c>
      <c r="J46" s="107">
        <f t="shared" si="22"/>
        <v>3.4488604884661891</v>
      </c>
      <c r="K46" s="107">
        <f t="shared" si="22"/>
        <v>3.4990024069235406</v>
      </c>
      <c r="L46" s="107">
        <f t="shared" si="22"/>
        <v>3.5480905680664621</v>
      </c>
      <c r="M46" s="107">
        <f t="shared" si="22"/>
        <v>3.5960563153833358</v>
      </c>
      <c r="N46" s="107">
        <f t="shared" si="22"/>
        <v>3.6376194048768649</v>
      </c>
      <c r="O46" s="107">
        <f t="shared" si="22"/>
        <v>3.6725274470088776</v>
      </c>
      <c r="P46" s="107">
        <f t="shared" si="22"/>
        <v>3.7005636712547281</v>
      </c>
      <c r="Q46" s="107">
        <f t="shared" si="22"/>
        <v>3.7215491379458707</v>
      </c>
      <c r="R46" s="107">
        <f t="shared" si="22"/>
        <v>3.735344611120627</v>
      </c>
      <c r="S46" s="107">
        <f t="shared" si="22"/>
        <v>3.7485936473888199</v>
      </c>
      <c r="T46" s="107">
        <f t="shared" si="22"/>
        <v>3.7612871014920577</v>
      </c>
      <c r="U46" s="107">
        <f t="shared" si="22"/>
        <v>3.7734159750776466</v>
      </c>
      <c r="V46" s="107">
        <f t="shared" si="22"/>
        <v>3.7849714232316782</v>
      </c>
      <c r="W46" s="107">
        <f t="shared" si="22"/>
        <v>3.7959447609826786</v>
      </c>
      <c r="X46" s="107">
        <f t="shared" si="22"/>
        <v>3.8063693942284038</v>
      </c>
      <c r="Y46" s="107">
        <f t="shared" si="22"/>
        <v>3.816237365556129</v>
      </c>
      <c r="Z46" s="107">
        <f t="shared" si="22"/>
        <v>3.825540858648333</v>
      </c>
      <c r="AA46" s="107">
        <f t="shared" si="22"/>
        <v>3.8342722036518366</v>
      </c>
      <c r="AB46" s="107">
        <f t="shared" si="22"/>
        <v>3.8424238825157433</v>
      </c>
      <c r="AC46" s="107">
        <f t="shared" si="22"/>
        <v>3.8491310335476121</v>
      </c>
      <c r="AD46" s="107">
        <f t="shared" si="22"/>
        <v>3.8552635048575978</v>
      </c>
      <c r="AE46" s="107">
        <f t="shared" si="22"/>
        <v>3.8608144797502582</v>
      </c>
      <c r="AF46" s="107">
        <f t="shared" si="22"/>
        <v>3.865777287163954</v>
      </c>
      <c r="AG46" s="107">
        <f t="shared" si="22"/>
        <v>3.8701454061761544</v>
      </c>
      <c r="AI46" s="210" t="s">
        <v>1308</v>
      </c>
      <c r="AJ46" s="211" t="s">
        <v>1302</v>
      </c>
      <c r="AL46" s="108"/>
      <c r="AM46" s="2"/>
      <c r="AN46" s="2"/>
      <c r="AO46" s="2"/>
    </row>
    <row r="47" spans="1:64" s="1" customFormat="1" ht="16" thickBot="1" x14ac:dyDescent="0.25">
      <c r="A47" s="200" t="s">
        <v>1675</v>
      </c>
      <c r="B47" s="215" t="s">
        <v>1658</v>
      </c>
      <c r="C47" s="216">
        <f>SUM(C42:C46)</f>
        <v>6.2639109729489517</v>
      </c>
      <c r="D47" s="216">
        <f t="shared" ref="D47:AF47" si="24">SUM(D42:D46)</f>
        <v>6.4711216774490667</v>
      </c>
      <c r="E47" s="216">
        <f t="shared" si="24"/>
        <v>6.6677101674013999</v>
      </c>
      <c r="F47" s="216">
        <f t="shared" si="24"/>
        <v>6.8523221303087256</v>
      </c>
      <c r="G47" s="216">
        <f t="shared" si="24"/>
        <v>7.0236603013624643</v>
      </c>
      <c r="H47" s="216">
        <f t="shared" si="24"/>
        <v>7.1804996512719024</v>
      </c>
      <c r="I47" s="216">
        <f t="shared" si="24"/>
        <v>7.3097406303997623</v>
      </c>
      <c r="J47" s="216">
        <f t="shared" si="24"/>
        <v>7.4377833560824094</v>
      </c>
      <c r="K47" s="216">
        <f t="shared" si="24"/>
        <v>7.5644791229768806</v>
      </c>
      <c r="L47" s="216">
        <f t="shared" si="24"/>
        <v>7.6896783000313143</v>
      </c>
      <c r="M47" s="216">
        <f t="shared" si="24"/>
        <v>7.8132306059592036</v>
      </c>
      <c r="N47" s="216">
        <f t="shared" si="24"/>
        <v>7.9209281881137201</v>
      </c>
      <c r="O47" s="216">
        <f t="shared" si="24"/>
        <v>8.0156762035184617</v>
      </c>
      <c r="P47" s="216">
        <f t="shared" si="24"/>
        <v>8.0736595513148455</v>
      </c>
      <c r="Q47" s="216">
        <f t="shared" si="24"/>
        <v>8.1161722054620054</v>
      </c>
      <c r="R47" s="216">
        <f t="shared" si="24"/>
        <v>8.1429275044366243</v>
      </c>
      <c r="S47" s="216">
        <f t="shared" si="24"/>
        <v>8.1702239487800963</v>
      </c>
      <c r="T47" s="216">
        <f t="shared" si="24"/>
        <v>8.1962756882078516</v>
      </c>
      <c r="U47" s="216">
        <f t="shared" si="24"/>
        <v>8.2210631068455644</v>
      </c>
      <c r="V47" s="216">
        <f t="shared" si="24"/>
        <v>8.2445669386128042</v>
      </c>
      <c r="W47" s="216">
        <f t="shared" si="24"/>
        <v>8.2667682816129986</v>
      </c>
      <c r="X47" s="216">
        <f t="shared" si="24"/>
        <v>8.2843217179459749</v>
      </c>
      <c r="Y47" s="216">
        <f t="shared" si="24"/>
        <v>8.303859321020596</v>
      </c>
      <c r="Z47" s="216">
        <f t="shared" si="24"/>
        <v>8.2747802260793026</v>
      </c>
      <c r="AA47" s="216">
        <f t="shared" si="24"/>
        <v>8.2434849213406487</v>
      </c>
      <c r="AB47" s="216">
        <f t="shared" si="24"/>
        <v>8.2099576546040041</v>
      </c>
      <c r="AC47" s="216">
        <f t="shared" si="24"/>
        <v>8.1723803495456213</v>
      </c>
      <c r="AD47" s="216">
        <f t="shared" si="24"/>
        <v>8.1325821766463235</v>
      </c>
      <c r="AE47" s="216">
        <f t="shared" si="24"/>
        <v>8.0905485752596071</v>
      </c>
      <c r="AF47" s="216">
        <f t="shared" si="24"/>
        <v>8.0462656646355519</v>
      </c>
      <c r="AG47" s="216">
        <f>SUM(AG42:AG46)</f>
        <v>7.9997202581253095</v>
      </c>
      <c r="AJ47" s="162"/>
      <c r="AL47" s="221"/>
      <c r="AM47" s="124"/>
      <c r="AN47" s="124"/>
      <c r="AO47" s="124"/>
    </row>
    <row r="48" spans="1:64" ht="16" thickTop="1" x14ac:dyDescent="0.2">
      <c r="B48" s="176"/>
      <c r="C48" s="209"/>
      <c r="D48" s="209"/>
      <c r="E48" s="209"/>
      <c r="F48" s="209"/>
      <c r="G48" s="209"/>
      <c r="H48" s="209"/>
      <c r="I48" s="209"/>
      <c r="J48" s="209"/>
      <c r="K48" s="209"/>
      <c r="L48" s="209"/>
      <c r="M48" s="209"/>
      <c r="N48" s="209"/>
      <c r="O48" s="209"/>
      <c r="P48" s="209"/>
      <c r="Q48" s="209"/>
      <c r="R48" s="209"/>
      <c r="S48" s="209"/>
      <c r="T48" s="209"/>
      <c r="U48" s="209"/>
      <c r="V48" s="209"/>
      <c r="W48" s="209"/>
      <c r="X48" s="209"/>
      <c r="Y48" s="209"/>
      <c r="Z48" s="209"/>
      <c r="AA48" s="209"/>
      <c r="AB48" s="209"/>
      <c r="AC48" s="209"/>
      <c r="AD48" s="209"/>
      <c r="AE48" s="209"/>
      <c r="AF48" s="209"/>
      <c r="AG48" s="209"/>
      <c r="AL48" s="108"/>
      <c r="AM48" s="2"/>
      <c r="AN48" s="2"/>
      <c r="AO48" s="2"/>
    </row>
    <row r="49" spans="1:63" s="200" customFormat="1" ht="16" thickBot="1" x14ac:dyDescent="0.25">
      <c r="A49" s="200" t="s">
        <v>1311</v>
      </c>
      <c r="B49" s="215" t="s">
        <v>462</v>
      </c>
      <c r="C49" s="222">
        <f>C52</f>
        <v>0</v>
      </c>
      <c r="D49" s="222">
        <f t="shared" ref="D49:AG49" si="25">D52</f>
        <v>0</v>
      </c>
      <c r="E49" s="222">
        <f t="shared" si="25"/>
        <v>0</v>
      </c>
      <c r="F49" s="222">
        <f t="shared" si="25"/>
        <v>0</v>
      </c>
      <c r="G49" s="222">
        <f t="shared" si="25"/>
        <v>0</v>
      </c>
      <c r="H49" s="222">
        <f t="shared" si="25"/>
        <v>0</v>
      </c>
      <c r="I49" s="222">
        <f t="shared" si="25"/>
        <v>0</v>
      </c>
      <c r="J49" s="222">
        <f t="shared" si="25"/>
        <v>0</v>
      </c>
      <c r="K49" s="222">
        <f t="shared" si="25"/>
        <v>0</v>
      </c>
      <c r="L49" s="222">
        <f t="shared" si="25"/>
        <v>0</v>
      </c>
      <c r="M49" s="222">
        <f t="shared" si="25"/>
        <v>0</v>
      </c>
      <c r="N49" s="222">
        <f t="shared" si="25"/>
        <v>0</v>
      </c>
      <c r="O49" s="222">
        <f t="shared" si="25"/>
        <v>0</v>
      </c>
      <c r="P49" s="222">
        <f t="shared" si="25"/>
        <v>0</v>
      </c>
      <c r="Q49" s="222">
        <f t="shared" si="25"/>
        <v>0</v>
      </c>
      <c r="R49" s="222">
        <f t="shared" si="25"/>
        <v>0</v>
      </c>
      <c r="S49" s="222">
        <f t="shared" si="25"/>
        <v>0</v>
      </c>
      <c r="T49" s="222">
        <f t="shared" si="25"/>
        <v>0</v>
      </c>
      <c r="U49" s="222">
        <f t="shared" si="25"/>
        <v>0</v>
      </c>
      <c r="V49" s="222">
        <f t="shared" si="25"/>
        <v>0</v>
      </c>
      <c r="W49" s="222">
        <f t="shared" si="25"/>
        <v>0</v>
      </c>
      <c r="X49" s="222">
        <f t="shared" si="25"/>
        <v>0</v>
      </c>
      <c r="Y49" s="222">
        <f t="shared" si="25"/>
        <v>0</v>
      </c>
      <c r="Z49" s="222">
        <f t="shared" si="25"/>
        <v>0</v>
      </c>
      <c r="AA49" s="222">
        <f t="shared" si="25"/>
        <v>0</v>
      </c>
      <c r="AB49" s="222">
        <f t="shared" si="25"/>
        <v>0</v>
      </c>
      <c r="AC49" s="222">
        <f t="shared" si="25"/>
        <v>0</v>
      </c>
      <c r="AD49" s="222">
        <f t="shared" si="25"/>
        <v>0</v>
      </c>
      <c r="AE49" s="222">
        <f t="shared" si="25"/>
        <v>0</v>
      </c>
      <c r="AF49" s="222">
        <f t="shared" si="25"/>
        <v>0</v>
      </c>
      <c r="AG49" s="222">
        <f t="shared" si="25"/>
        <v>0</v>
      </c>
      <c r="AJ49" s="231" t="s">
        <v>1312</v>
      </c>
      <c r="AL49" s="217"/>
      <c r="AM49" s="218"/>
      <c r="AN49" s="218"/>
      <c r="AO49" s="218"/>
    </row>
    <row r="50" spans="1:63" ht="16" outlineLevel="1" thickTop="1" x14ac:dyDescent="0.2">
      <c r="A50" t="s">
        <v>1313</v>
      </c>
      <c r="B50" s="54" t="s">
        <v>462</v>
      </c>
      <c r="C50" s="113">
        <v>0</v>
      </c>
      <c r="D50" s="110">
        <f>$C50+($M50-$C50)/10*(D$1-$C$1)</f>
        <v>0</v>
      </c>
      <c r="E50" s="110">
        <f t="shared" ref="E50:L51" si="26">$C50+($M50-$C50)/10*(E$1-$C$1)</f>
        <v>0</v>
      </c>
      <c r="F50" s="110">
        <f t="shared" si="26"/>
        <v>0</v>
      </c>
      <c r="G50" s="110">
        <f t="shared" si="26"/>
        <v>0</v>
      </c>
      <c r="H50" s="110">
        <f t="shared" si="26"/>
        <v>0</v>
      </c>
      <c r="I50" s="110">
        <f t="shared" si="26"/>
        <v>0</v>
      </c>
      <c r="J50" s="110">
        <f t="shared" si="26"/>
        <v>0</v>
      </c>
      <c r="K50" s="110">
        <f t="shared" si="26"/>
        <v>0</v>
      </c>
      <c r="L50" s="110">
        <f t="shared" si="26"/>
        <v>0</v>
      </c>
      <c r="M50" s="113">
        <v>0</v>
      </c>
      <c r="N50" s="110">
        <f>$M50+($W50-$M50)/10*(N$1-$M$1)</f>
        <v>0</v>
      </c>
      <c r="O50" s="110">
        <f t="shared" ref="O50:U51" si="27">$M50+($W50-$M50)/10*(O$1-$M$1)</f>
        <v>0</v>
      </c>
      <c r="P50" s="110">
        <f t="shared" si="27"/>
        <v>0</v>
      </c>
      <c r="Q50" s="110">
        <f t="shared" si="27"/>
        <v>0</v>
      </c>
      <c r="R50" s="110">
        <f t="shared" si="27"/>
        <v>0</v>
      </c>
      <c r="S50" s="110">
        <f t="shared" si="27"/>
        <v>0</v>
      </c>
      <c r="T50" s="110">
        <f t="shared" si="27"/>
        <v>0</v>
      </c>
      <c r="U50" s="110">
        <f t="shared" si="27"/>
        <v>0</v>
      </c>
      <c r="V50" s="110">
        <f>$M50+($W50-$M50)/10*(V$1-$M$1)</f>
        <v>0</v>
      </c>
      <c r="W50" s="113">
        <v>0</v>
      </c>
      <c r="X50" s="110">
        <f>$W50+($AG50-$W50)/10*(X$1-$W$1)</f>
        <v>0</v>
      </c>
      <c r="Y50" s="110">
        <f t="shared" ref="Y50:AF51" si="28">$W50+($AG50-$W50)/10*(Y$1-$W$1)</f>
        <v>0</v>
      </c>
      <c r="Z50" s="110">
        <f t="shared" si="28"/>
        <v>0</v>
      </c>
      <c r="AA50" s="110">
        <f t="shared" si="28"/>
        <v>0</v>
      </c>
      <c r="AB50" s="110">
        <f t="shared" si="28"/>
        <v>0</v>
      </c>
      <c r="AC50" s="110">
        <f t="shared" si="28"/>
        <v>0</v>
      </c>
      <c r="AD50" s="110">
        <f t="shared" si="28"/>
        <v>0</v>
      </c>
      <c r="AE50" s="110">
        <f t="shared" si="28"/>
        <v>0</v>
      </c>
      <c r="AF50" s="110">
        <f t="shared" si="28"/>
        <v>0</v>
      </c>
      <c r="AG50" s="110">
        <v>0</v>
      </c>
      <c r="AI50" s="133"/>
      <c r="AJ50" s="211" t="s">
        <v>1431</v>
      </c>
      <c r="AL50" s="108"/>
      <c r="AM50" s="2"/>
      <c r="AN50" s="2"/>
      <c r="AO50" s="2"/>
      <c r="AV50" s="41"/>
    </row>
    <row r="51" spans="1:63" outlineLevel="1" x14ac:dyDescent="0.2">
      <c r="A51" t="s">
        <v>1315</v>
      </c>
      <c r="B51" s="54" t="s">
        <v>462</v>
      </c>
      <c r="C51" s="113">
        <v>0</v>
      </c>
      <c r="D51" s="110">
        <f>$C51+($M51-$C51)/10*(D$1-$C$1)</f>
        <v>0</v>
      </c>
      <c r="E51" s="110">
        <f t="shared" si="26"/>
        <v>0</v>
      </c>
      <c r="F51" s="110">
        <f t="shared" si="26"/>
        <v>0</v>
      </c>
      <c r="G51" s="110">
        <f t="shared" si="26"/>
        <v>0</v>
      </c>
      <c r="H51" s="110">
        <f t="shared" si="26"/>
        <v>0</v>
      </c>
      <c r="I51" s="110">
        <f t="shared" si="26"/>
        <v>0</v>
      </c>
      <c r="J51" s="110">
        <f t="shared" si="26"/>
        <v>0</v>
      </c>
      <c r="K51" s="110">
        <f t="shared" si="26"/>
        <v>0</v>
      </c>
      <c r="L51" s="110">
        <f t="shared" si="26"/>
        <v>0</v>
      </c>
      <c r="M51" s="113">
        <v>0</v>
      </c>
      <c r="N51" s="110">
        <f>$M51+($W51-$M51)/10*(N$1-$M$1)</f>
        <v>0</v>
      </c>
      <c r="O51" s="110">
        <f t="shared" si="27"/>
        <v>0</v>
      </c>
      <c r="P51" s="110">
        <f t="shared" si="27"/>
        <v>0</v>
      </c>
      <c r="Q51" s="110">
        <f t="shared" si="27"/>
        <v>0</v>
      </c>
      <c r="R51" s="110">
        <f t="shared" si="27"/>
        <v>0</v>
      </c>
      <c r="S51" s="110">
        <f t="shared" si="27"/>
        <v>0</v>
      </c>
      <c r="T51" s="110">
        <f t="shared" si="27"/>
        <v>0</v>
      </c>
      <c r="U51" s="110">
        <f t="shared" si="27"/>
        <v>0</v>
      </c>
      <c r="V51" s="110">
        <f>$M51+($W51-$M51)/10*(V$1-$M$1)</f>
        <v>0</v>
      </c>
      <c r="W51" s="113">
        <v>0</v>
      </c>
      <c r="X51" s="110">
        <f>$W51+($AG51-$W51)/10*(X$1-$W$1)</f>
        <v>0</v>
      </c>
      <c r="Y51" s="110">
        <f t="shared" si="28"/>
        <v>0</v>
      </c>
      <c r="Z51" s="110">
        <f t="shared" si="28"/>
        <v>0</v>
      </c>
      <c r="AA51" s="110">
        <f t="shared" si="28"/>
        <v>0</v>
      </c>
      <c r="AB51" s="110">
        <f t="shared" si="28"/>
        <v>0</v>
      </c>
      <c r="AC51" s="110">
        <f t="shared" si="28"/>
        <v>0</v>
      </c>
      <c r="AD51" s="110">
        <f t="shared" si="28"/>
        <v>0</v>
      </c>
      <c r="AE51" s="110">
        <f t="shared" si="28"/>
        <v>0</v>
      </c>
      <c r="AF51" s="110">
        <f t="shared" si="28"/>
        <v>0</v>
      </c>
      <c r="AG51" s="110">
        <v>0</v>
      </c>
      <c r="AI51" s="133"/>
      <c r="AJ51" s="211" t="s">
        <v>1431</v>
      </c>
      <c r="AL51" s="108"/>
      <c r="AM51" s="2"/>
      <c r="AN51" s="2"/>
      <c r="AO51" s="2"/>
      <c r="AV51" s="41"/>
    </row>
    <row r="52" spans="1:63" outlineLevel="1" x14ac:dyDescent="0.2">
      <c r="A52" t="s">
        <v>1316</v>
      </c>
      <c r="B52" s="176" t="s">
        <v>462</v>
      </c>
      <c r="C52" s="110">
        <f>C50+C51</f>
        <v>0</v>
      </c>
      <c r="D52" s="110">
        <f t="shared" ref="D52:AF52" si="29">D50+D51</f>
        <v>0</v>
      </c>
      <c r="E52" s="110">
        <f t="shared" si="29"/>
        <v>0</v>
      </c>
      <c r="F52" s="110">
        <f t="shared" si="29"/>
        <v>0</v>
      </c>
      <c r="G52" s="110">
        <f t="shared" si="29"/>
        <v>0</v>
      </c>
      <c r="H52" s="110">
        <f t="shared" si="29"/>
        <v>0</v>
      </c>
      <c r="I52" s="110">
        <f t="shared" si="29"/>
        <v>0</v>
      </c>
      <c r="J52" s="110">
        <f t="shared" si="29"/>
        <v>0</v>
      </c>
      <c r="K52" s="110">
        <f t="shared" si="29"/>
        <v>0</v>
      </c>
      <c r="L52" s="110">
        <f t="shared" si="29"/>
        <v>0</v>
      </c>
      <c r="M52" s="110">
        <f t="shared" si="29"/>
        <v>0</v>
      </c>
      <c r="N52" s="110">
        <f t="shared" si="29"/>
        <v>0</v>
      </c>
      <c r="O52" s="110">
        <f t="shared" si="29"/>
        <v>0</v>
      </c>
      <c r="P52" s="110">
        <f t="shared" si="29"/>
        <v>0</v>
      </c>
      <c r="Q52" s="110">
        <f t="shared" si="29"/>
        <v>0</v>
      </c>
      <c r="R52" s="110">
        <f t="shared" si="29"/>
        <v>0</v>
      </c>
      <c r="S52" s="110">
        <f t="shared" si="29"/>
        <v>0</v>
      </c>
      <c r="T52" s="110">
        <f t="shared" si="29"/>
        <v>0</v>
      </c>
      <c r="U52" s="110">
        <f t="shared" si="29"/>
        <v>0</v>
      </c>
      <c r="V52" s="110">
        <f t="shared" si="29"/>
        <v>0</v>
      </c>
      <c r="W52" s="110">
        <f t="shared" si="29"/>
        <v>0</v>
      </c>
      <c r="X52" s="110">
        <f t="shared" si="29"/>
        <v>0</v>
      </c>
      <c r="Y52" s="110">
        <f t="shared" si="29"/>
        <v>0</v>
      </c>
      <c r="Z52" s="110">
        <f t="shared" si="29"/>
        <v>0</v>
      </c>
      <c r="AA52" s="110">
        <f t="shared" si="29"/>
        <v>0</v>
      </c>
      <c r="AB52" s="110">
        <f t="shared" si="29"/>
        <v>0</v>
      </c>
      <c r="AC52" s="110">
        <f t="shared" si="29"/>
        <v>0</v>
      </c>
      <c r="AD52" s="110">
        <f t="shared" si="29"/>
        <v>0</v>
      </c>
      <c r="AE52" s="110">
        <f t="shared" si="29"/>
        <v>0</v>
      </c>
      <c r="AF52" s="110">
        <f t="shared" si="29"/>
        <v>0</v>
      </c>
      <c r="AG52" s="110">
        <f>AG50+AG51</f>
        <v>0</v>
      </c>
      <c r="AI52" s="133"/>
      <c r="AJ52" s="211"/>
      <c r="AL52" s="108"/>
      <c r="AM52" s="2"/>
      <c r="AN52" s="2"/>
      <c r="AO52" s="2"/>
    </row>
    <row r="53" spans="1:63" outlineLevel="1" x14ac:dyDescent="0.2">
      <c r="C53" s="113"/>
      <c r="D53" s="110"/>
      <c r="E53" s="110"/>
      <c r="F53" s="110"/>
      <c r="G53" s="110"/>
      <c r="H53" s="110"/>
      <c r="I53" s="110"/>
      <c r="J53" s="110"/>
      <c r="K53" s="110"/>
      <c r="L53" s="110"/>
      <c r="M53" s="113"/>
      <c r="N53" s="110"/>
      <c r="O53" s="110"/>
      <c r="P53" s="110"/>
      <c r="Q53" s="110"/>
      <c r="R53" s="110"/>
      <c r="S53" s="110"/>
      <c r="T53" s="110"/>
      <c r="U53" s="110"/>
      <c r="V53" s="110"/>
      <c r="W53" s="113"/>
      <c r="X53" s="110"/>
      <c r="Y53" s="110"/>
      <c r="Z53" s="110"/>
      <c r="AA53" s="110"/>
      <c r="AB53" s="110"/>
      <c r="AC53" s="110"/>
      <c r="AD53" s="110"/>
      <c r="AE53" s="110"/>
      <c r="AF53" s="110"/>
      <c r="AG53" s="113"/>
      <c r="AI53" s="133"/>
      <c r="AJ53" s="211"/>
      <c r="AL53" s="108"/>
      <c r="AM53" s="2"/>
      <c r="AN53" s="2"/>
      <c r="AO53" s="2"/>
      <c r="AV53" s="41"/>
    </row>
    <row r="54" spans="1:63" outlineLevel="1" x14ac:dyDescent="0.2">
      <c r="A54" t="s">
        <v>1317</v>
      </c>
      <c r="B54" s="54" t="s">
        <v>462</v>
      </c>
      <c r="C54" s="110">
        <f>'Ethylene Recycling HC'!C570</f>
        <v>0</v>
      </c>
      <c r="D54" s="110">
        <f>'Ethylene Recycling HC'!D570</f>
        <v>0</v>
      </c>
      <c r="E54" s="110">
        <f>'Ethylene Recycling HC'!E570</f>
        <v>0</v>
      </c>
      <c r="F54" s="110">
        <f>'Ethylene Recycling HC'!F570</f>
        <v>0</v>
      </c>
      <c r="G54" s="110">
        <f>'Ethylene Recycling HC'!G570</f>
        <v>0</v>
      </c>
      <c r="H54" s="110">
        <f>'Ethylene Recycling HC'!H570</f>
        <v>0</v>
      </c>
      <c r="I54" s="110">
        <f>'Ethylene Recycling HC'!I570</f>
        <v>0</v>
      </c>
      <c r="J54" s="110">
        <f>'Ethylene Recycling HC'!J570</f>
        <v>0</v>
      </c>
      <c r="K54" s="110">
        <f>'Ethylene Recycling HC'!K570</f>
        <v>0</v>
      </c>
      <c r="L54" s="110">
        <f>'Ethylene Recycling HC'!L570</f>
        <v>0</v>
      </c>
      <c r="M54" s="110">
        <f>'Ethylene Recycling HC'!M570</f>
        <v>0</v>
      </c>
      <c r="N54" s="110">
        <f>'Ethylene Recycling HC'!N570</f>
        <v>0</v>
      </c>
      <c r="O54" s="110">
        <f>'Ethylene Recycling HC'!O570</f>
        <v>0</v>
      </c>
      <c r="P54" s="110">
        <f>'Ethylene Recycling HC'!P570</f>
        <v>0</v>
      </c>
      <c r="Q54" s="110">
        <f>'Ethylene Recycling HC'!Q570</f>
        <v>0</v>
      </c>
      <c r="R54" s="110">
        <f>'Ethylene Recycling HC'!R570</f>
        <v>0</v>
      </c>
      <c r="S54" s="110">
        <f>'Ethylene Recycling HC'!S570</f>
        <v>0</v>
      </c>
      <c r="T54" s="110">
        <f>'Ethylene Recycling HC'!T570</f>
        <v>0</v>
      </c>
      <c r="U54" s="110">
        <f>'Ethylene Recycling HC'!U570</f>
        <v>0</v>
      </c>
      <c r="V54" s="110">
        <f>'Ethylene Recycling HC'!V570</f>
        <v>0</v>
      </c>
      <c r="W54" s="110">
        <f>'Ethylene Recycling HC'!W570</f>
        <v>0</v>
      </c>
      <c r="X54" s="110">
        <f>'Ethylene Recycling HC'!X570</f>
        <v>0</v>
      </c>
      <c r="Y54" s="110">
        <f>'Ethylene Recycling HC'!Y570</f>
        <v>0</v>
      </c>
      <c r="Z54" s="110">
        <f>'Ethylene Recycling HC'!Z570</f>
        <v>0</v>
      </c>
      <c r="AA54" s="110">
        <f>'Ethylene Recycling HC'!AA570</f>
        <v>0</v>
      </c>
      <c r="AB54" s="110">
        <f>'Ethylene Recycling HC'!AB570</f>
        <v>0</v>
      </c>
      <c r="AC54" s="110">
        <f>'Ethylene Recycling HC'!AC570</f>
        <v>0</v>
      </c>
      <c r="AD54" s="110">
        <f>'Ethylene Recycling HC'!AD570</f>
        <v>0</v>
      </c>
      <c r="AE54" s="110">
        <f>'Ethylene Recycling HC'!AE570</f>
        <v>0</v>
      </c>
      <c r="AF54" s="110">
        <f>'Ethylene Recycling HC'!AF570</f>
        <v>0</v>
      </c>
      <c r="AG54" s="110">
        <f>'Ethylene Recycling HC'!AG570</f>
        <v>0</v>
      </c>
      <c r="AI54" s="133"/>
      <c r="AJ54" s="211" t="s">
        <v>1432</v>
      </c>
      <c r="AL54" s="108"/>
      <c r="AM54" s="2"/>
      <c r="AN54" s="2"/>
      <c r="AO54" s="2"/>
      <c r="AV54" s="41"/>
    </row>
    <row r="55" spans="1:63" outlineLevel="1" x14ac:dyDescent="0.2">
      <c r="A55" t="s">
        <v>1318</v>
      </c>
      <c r="C55" s="110">
        <v>0</v>
      </c>
      <c r="D55" s="110">
        <v>0</v>
      </c>
      <c r="E55" s="110">
        <v>0</v>
      </c>
      <c r="F55" s="110">
        <v>0</v>
      </c>
      <c r="G55" s="110">
        <v>0</v>
      </c>
      <c r="H55" s="110">
        <v>0</v>
      </c>
      <c r="I55" s="110">
        <v>0</v>
      </c>
      <c r="J55" s="110">
        <v>0</v>
      </c>
      <c r="K55" s="110">
        <v>0</v>
      </c>
      <c r="L55" s="110">
        <v>0</v>
      </c>
      <c r="M55" s="110">
        <v>0</v>
      </c>
      <c r="N55" s="110">
        <v>0</v>
      </c>
      <c r="O55" s="110">
        <v>0</v>
      </c>
      <c r="P55" s="110">
        <v>0</v>
      </c>
      <c r="Q55" s="110">
        <v>0</v>
      </c>
      <c r="R55" s="110">
        <v>0</v>
      </c>
      <c r="S55" s="110">
        <v>0</v>
      </c>
      <c r="T55" s="110">
        <v>0</v>
      </c>
      <c r="U55" s="110">
        <v>0</v>
      </c>
      <c r="V55" s="110">
        <v>0</v>
      </c>
      <c r="W55" s="110">
        <v>0</v>
      </c>
      <c r="X55" s="110">
        <v>0</v>
      </c>
      <c r="Y55" s="110">
        <v>0</v>
      </c>
      <c r="Z55" s="110">
        <v>0</v>
      </c>
      <c r="AA55" s="110">
        <v>0</v>
      </c>
      <c r="AB55" s="110">
        <v>0</v>
      </c>
      <c r="AC55" s="110">
        <v>0</v>
      </c>
      <c r="AD55" s="110">
        <v>0</v>
      </c>
      <c r="AE55" s="110">
        <v>0</v>
      </c>
      <c r="AF55" s="110">
        <v>0</v>
      </c>
      <c r="AG55" s="110">
        <v>0</v>
      </c>
      <c r="AI55" s="133"/>
      <c r="AJ55" s="211" t="s">
        <v>1432</v>
      </c>
      <c r="AL55" s="108"/>
      <c r="AM55" s="2"/>
      <c r="AN55" s="2"/>
      <c r="AO55" s="2"/>
      <c r="AV55" s="41"/>
    </row>
    <row r="56" spans="1:63" outlineLevel="1" x14ac:dyDescent="0.2">
      <c r="A56" t="s">
        <v>1433</v>
      </c>
      <c r="B56" s="54" t="s">
        <v>462</v>
      </c>
      <c r="C56" s="110">
        <v>0</v>
      </c>
      <c r="D56" s="110">
        <v>0</v>
      </c>
      <c r="E56" s="110">
        <v>0</v>
      </c>
      <c r="F56" s="110">
        <v>0</v>
      </c>
      <c r="G56" s="110">
        <v>0</v>
      </c>
      <c r="H56" s="110">
        <v>0</v>
      </c>
      <c r="I56" s="110">
        <v>0</v>
      </c>
      <c r="J56" s="110">
        <v>0</v>
      </c>
      <c r="K56" s="110">
        <v>0</v>
      </c>
      <c r="L56" s="110">
        <v>0</v>
      </c>
      <c r="M56" s="110">
        <v>0</v>
      </c>
      <c r="N56" s="110">
        <v>0</v>
      </c>
      <c r="O56" s="110">
        <v>0</v>
      </c>
      <c r="P56" s="110">
        <v>0</v>
      </c>
      <c r="Q56" s="110">
        <v>0</v>
      </c>
      <c r="R56" s="110">
        <v>0</v>
      </c>
      <c r="S56" s="110">
        <v>0</v>
      </c>
      <c r="T56" s="110">
        <v>0</v>
      </c>
      <c r="U56" s="110">
        <v>0</v>
      </c>
      <c r="V56" s="110">
        <v>0</v>
      </c>
      <c r="W56" s="110">
        <v>0</v>
      </c>
      <c r="X56" s="110">
        <v>0</v>
      </c>
      <c r="Y56" s="110">
        <v>0</v>
      </c>
      <c r="Z56" s="110">
        <v>0</v>
      </c>
      <c r="AA56" s="110">
        <v>0</v>
      </c>
      <c r="AB56" s="110">
        <v>0</v>
      </c>
      <c r="AC56" s="110">
        <v>0</v>
      </c>
      <c r="AD56" s="110">
        <v>0</v>
      </c>
      <c r="AE56" s="110">
        <v>0</v>
      </c>
      <c r="AF56" s="110">
        <v>0</v>
      </c>
      <c r="AG56" s="110">
        <v>0</v>
      </c>
      <c r="AI56" s="133"/>
      <c r="AJ56" s="211" t="s">
        <v>1432</v>
      </c>
      <c r="AL56" s="108"/>
      <c r="AM56" s="2"/>
      <c r="AN56" s="2"/>
      <c r="AO56" s="2"/>
      <c r="AV56" s="41"/>
    </row>
    <row r="57" spans="1:63" outlineLevel="1" x14ac:dyDescent="0.2">
      <c r="A57" t="s">
        <v>1319</v>
      </c>
      <c r="B57" s="54" t="s">
        <v>462</v>
      </c>
      <c r="C57" s="110">
        <v>0</v>
      </c>
      <c r="D57" s="110">
        <v>0</v>
      </c>
      <c r="E57" s="110">
        <v>0</v>
      </c>
      <c r="F57" s="110">
        <v>0</v>
      </c>
      <c r="G57" s="110">
        <v>0</v>
      </c>
      <c r="H57" s="110">
        <v>0</v>
      </c>
      <c r="I57" s="110">
        <v>0</v>
      </c>
      <c r="J57" s="110">
        <v>0</v>
      </c>
      <c r="K57" s="110">
        <v>0</v>
      </c>
      <c r="L57" s="110">
        <v>0</v>
      </c>
      <c r="M57" s="110">
        <v>0</v>
      </c>
      <c r="N57" s="110">
        <v>0</v>
      </c>
      <c r="O57" s="110">
        <v>0</v>
      </c>
      <c r="P57" s="110">
        <v>0</v>
      </c>
      <c r="Q57" s="110">
        <v>0</v>
      </c>
      <c r="R57" s="110">
        <v>0</v>
      </c>
      <c r="S57" s="110">
        <v>0</v>
      </c>
      <c r="T57" s="110">
        <v>0</v>
      </c>
      <c r="U57" s="110">
        <v>0</v>
      </c>
      <c r="V57" s="110">
        <v>0</v>
      </c>
      <c r="W57" s="110">
        <v>0</v>
      </c>
      <c r="X57" s="110">
        <v>0</v>
      </c>
      <c r="Y57" s="110">
        <v>0</v>
      </c>
      <c r="Z57" s="110">
        <v>0</v>
      </c>
      <c r="AA57" s="110">
        <v>0</v>
      </c>
      <c r="AB57" s="110">
        <v>0</v>
      </c>
      <c r="AC57" s="110">
        <v>0</v>
      </c>
      <c r="AD57" s="110">
        <v>0</v>
      </c>
      <c r="AE57" s="110">
        <v>0</v>
      </c>
      <c r="AF57" s="110">
        <v>0</v>
      </c>
      <c r="AG57" s="110">
        <v>0</v>
      </c>
      <c r="AI57" s="133"/>
      <c r="AJ57" s="211" t="s">
        <v>1432</v>
      </c>
      <c r="AL57" s="108"/>
      <c r="AM57" s="2"/>
      <c r="AN57" s="2"/>
      <c r="AO57" s="2"/>
      <c r="AV57" s="41"/>
    </row>
    <row r="58" spans="1:63" outlineLevel="1" x14ac:dyDescent="0.2">
      <c r="A58" t="s">
        <v>1317</v>
      </c>
      <c r="B58" s="54" t="s">
        <v>462</v>
      </c>
      <c r="C58" s="110">
        <v>0</v>
      </c>
      <c r="D58" s="110">
        <v>0</v>
      </c>
      <c r="E58" s="110">
        <v>0</v>
      </c>
      <c r="F58" s="110">
        <v>0</v>
      </c>
      <c r="G58" s="110">
        <v>0</v>
      </c>
      <c r="H58" s="110">
        <v>0</v>
      </c>
      <c r="I58" s="110">
        <v>0</v>
      </c>
      <c r="J58" s="110">
        <v>0</v>
      </c>
      <c r="K58" s="110">
        <v>0</v>
      </c>
      <c r="L58" s="110">
        <v>0</v>
      </c>
      <c r="M58" s="110">
        <v>0</v>
      </c>
      <c r="N58" s="110">
        <v>0</v>
      </c>
      <c r="O58" s="110">
        <v>0</v>
      </c>
      <c r="P58" s="110">
        <v>0</v>
      </c>
      <c r="Q58" s="110">
        <v>0</v>
      </c>
      <c r="R58" s="110">
        <v>0</v>
      </c>
      <c r="S58" s="110">
        <v>0</v>
      </c>
      <c r="T58" s="110">
        <v>0</v>
      </c>
      <c r="U58" s="110">
        <v>0</v>
      </c>
      <c r="V58" s="110">
        <v>0</v>
      </c>
      <c r="W58" s="110">
        <v>0</v>
      </c>
      <c r="X58" s="110">
        <v>0</v>
      </c>
      <c r="Y58" s="110">
        <v>0</v>
      </c>
      <c r="Z58" s="110">
        <v>0</v>
      </c>
      <c r="AA58" s="110">
        <v>0</v>
      </c>
      <c r="AB58" s="110">
        <v>0</v>
      </c>
      <c r="AC58" s="110">
        <v>0</v>
      </c>
      <c r="AD58" s="110">
        <v>0</v>
      </c>
      <c r="AE58" s="110">
        <v>0</v>
      </c>
      <c r="AF58" s="110">
        <v>0</v>
      </c>
      <c r="AG58" s="110">
        <v>0</v>
      </c>
      <c r="AH58" s="271"/>
      <c r="AI58" s="133"/>
      <c r="AJ58" s="211"/>
      <c r="AL58" s="108"/>
      <c r="AM58" s="2"/>
      <c r="AN58" s="2"/>
      <c r="AO58" s="2"/>
    </row>
    <row r="59" spans="1:63" outlineLevel="1" x14ac:dyDescent="0.2">
      <c r="A59" t="s">
        <v>1318</v>
      </c>
      <c r="B59" s="54" t="s">
        <v>462</v>
      </c>
      <c r="C59" s="110">
        <v>0</v>
      </c>
      <c r="D59" s="110">
        <v>0</v>
      </c>
      <c r="E59" s="110">
        <v>0</v>
      </c>
      <c r="F59" s="110">
        <v>0</v>
      </c>
      <c r="G59" s="110">
        <v>0</v>
      </c>
      <c r="H59" s="110">
        <v>0</v>
      </c>
      <c r="I59" s="110">
        <v>0</v>
      </c>
      <c r="J59" s="110">
        <v>0</v>
      </c>
      <c r="K59" s="110">
        <v>0</v>
      </c>
      <c r="L59" s="110">
        <v>0</v>
      </c>
      <c r="M59" s="110">
        <v>0</v>
      </c>
      <c r="N59" s="110">
        <v>0</v>
      </c>
      <c r="O59" s="110">
        <v>0</v>
      </c>
      <c r="P59" s="110">
        <v>0</v>
      </c>
      <c r="Q59" s="110">
        <v>0</v>
      </c>
      <c r="R59" s="110">
        <v>0</v>
      </c>
      <c r="S59" s="110">
        <v>0</v>
      </c>
      <c r="T59" s="110">
        <v>0</v>
      </c>
      <c r="U59" s="110">
        <v>0</v>
      </c>
      <c r="V59" s="110">
        <v>0</v>
      </c>
      <c r="W59" s="110">
        <v>0</v>
      </c>
      <c r="X59" s="110">
        <v>0</v>
      </c>
      <c r="Y59" s="110">
        <v>0</v>
      </c>
      <c r="Z59" s="110">
        <v>0</v>
      </c>
      <c r="AA59" s="110">
        <v>0</v>
      </c>
      <c r="AB59" s="110">
        <v>0</v>
      </c>
      <c r="AC59" s="110">
        <v>0</v>
      </c>
      <c r="AD59" s="110">
        <v>0</v>
      </c>
      <c r="AE59" s="110">
        <v>0</v>
      </c>
      <c r="AF59" s="110">
        <v>0</v>
      </c>
      <c r="AG59" s="110">
        <v>0</v>
      </c>
      <c r="AH59" s="271"/>
      <c r="AJ59" s="211"/>
      <c r="AL59" s="108"/>
      <c r="AM59" s="2"/>
      <c r="AN59" s="2"/>
      <c r="AO59" s="2"/>
      <c r="BC59" s="1"/>
      <c r="BD59" s="2"/>
      <c r="BE59" s="2"/>
      <c r="BF59" s="2"/>
      <c r="BG59" s="2"/>
      <c r="BH59" s="2"/>
      <c r="BI59" s="2"/>
      <c r="BJ59" s="2"/>
      <c r="BK59" s="2"/>
    </row>
    <row r="60" spans="1:63" outlineLevel="1" x14ac:dyDescent="0.2">
      <c r="A60" t="s">
        <v>1433</v>
      </c>
      <c r="C60" s="110">
        <v>0</v>
      </c>
      <c r="D60" s="110">
        <v>0</v>
      </c>
      <c r="E60" s="110">
        <v>0</v>
      </c>
      <c r="F60" s="110">
        <v>0</v>
      </c>
      <c r="G60" s="110">
        <v>0</v>
      </c>
      <c r="H60" s="110">
        <v>0</v>
      </c>
      <c r="I60" s="110">
        <v>0</v>
      </c>
      <c r="J60" s="110">
        <v>0</v>
      </c>
      <c r="K60" s="110">
        <v>0</v>
      </c>
      <c r="L60" s="110">
        <v>0</v>
      </c>
      <c r="M60" s="110">
        <v>0</v>
      </c>
      <c r="N60" s="110">
        <v>0</v>
      </c>
      <c r="O60" s="110">
        <v>0</v>
      </c>
      <c r="P60" s="110">
        <v>0</v>
      </c>
      <c r="Q60" s="110">
        <v>0</v>
      </c>
      <c r="R60" s="110">
        <v>0</v>
      </c>
      <c r="S60" s="110">
        <v>0</v>
      </c>
      <c r="T60" s="110">
        <v>0</v>
      </c>
      <c r="U60" s="110">
        <v>0</v>
      </c>
      <c r="V60" s="110">
        <v>0</v>
      </c>
      <c r="W60" s="110">
        <v>0</v>
      </c>
      <c r="X60" s="110">
        <v>0</v>
      </c>
      <c r="Y60" s="110">
        <v>0</v>
      </c>
      <c r="Z60" s="110">
        <v>0</v>
      </c>
      <c r="AA60" s="110">
        <v>0</v>
      </c>
      <c r="AB60" s="110">
        <v>0</v>
      </c>
      <c r="AC60" s="110">
        <v>0</v>
      </c>
      <c r="AD60" s="110">
        <v>0</v>
      </c>
      <c r="AE60" s="110">
        <v>0</v>
      </c>
      <c r="AF60" s="110">
        <v>0</v>
      </c>
      <c r="AG60" s="110">
        <v>0</v>
      </c>
      <c r="AH60" s="271"/>
      <c r="AJ60" s="211"/>
      <c r="AL60" s="108"/>
      <c r="AM60" s="2"/>
      <c r="AN60" s="2"/>
      <c r="AO60" s="2"/>
      <c r="BC60" s="1"/>
      <c r="BD60" s="2"/>
      <c r="BE60" s="2"/>
      <c r="BF60" s="2"/>
      <c r="BG60" s="2"/>
      <c r="BH60" s="2"/>
      <c r="BI60" s="2"/>
      <c r="BJ60" s="2"/>
      <c r="BK60" s="2"/>
    </row>
    <row r="61" spans="1:63" outlineLevel="1" x14ac:dyDescent="0.2">
      <c r="A61" t="s">
        <v>1319</v>
      </c>
      <c r="B61" s="54" t="s">
        <v>462</v>
      </c>
      <c r="C61" s="110">
        <v>0</v>
      </c>
      <c r="D61" s="110">
        <v>0</v>
      </c>
      <c r="E61" s="110">
        <v>0</v>
      </c>
      <c r="F61" s="110">
        <v>0</v>
      </c>
      <c r="G61" s="110">
        <v>0</v>
      </c>
      <c r="H61" s="110">
        <v>0</v>
      </c>
      <c r="I61" s="110">
        <v>0</v>
      </c>
      <c r="J61" s="110">
        <v>0</v>
      </c>
      <c r="K61" s="110">
        <v>0</v>
      </c>
      <c r="L61" s="110">
        <v>0</v>
      </c>
      <c r="M61" s="110">
        <v>0</v>
      </c>
      <c r="N61" s="110">
        <v>0</v>
      </c>
      <c r="O61" s="110">
        <v>0</v>
      </c>
      <c r="P61" s="110">
        <v>0</v>
      </c>
      <c r="Q61" s="110">
        <v>0</v>
      </c>
      <c r="R61" s="110">
        <v>0</v>
      </c>
      <c r="S61" s="110">
        <v>0</v>
      </c>
      <c r="T61" s="110">
        <v>0</v>
      </c>
      <c r="U61" s="110">
        <v>0</v>
      </c>
      <c r="V61" s="110">
        <v>0</v>
      </c>
      <c r="W61" s="110">
        <v>0</v>
      </c>
      <c r="X61" s="110">
        <v>0</v>
      </c>
      <c r="Y61" s="110">
        <v>0</v>
      </c>
      <c r="Z61" s="110">
        <v>0</v>
      </c>
      <c r="AA61" s="110">
        <v>0</v>
      </c>
      <c r="AB61" s="110">
        <v>0</v>
      </c>
      <c r="AC61" s="110">
        <v>0</v>
      </c>
      <c r="AD61" s="110">
        <v>0</v>
      </c>
      <c r="AE61" s="110">
        <v>0</v>
      </c>
      <c r="AF61" s="110">
        <v>0</v>
      </c>
      <c r="AG61" s="110">
        <v>0</v>
      </c>
      <c r="AH61" s="271"/>
      <c r="AI61" s="133"/>
      <c r="AJ61" s="211"/>
      <c r="AL61" s="108"/>
      <c r="AM61" s="2"/>
      <c r="AN61" s="2"/>
      <c r="AO61" s="2"/>
      <c r="BC61" s="1"/>
      <c r="BD61" s="2"/>
      <c r="BE61" s="2"/>
      <c r="BF61" s="2"/>
      <c r="BG61" s="2"/>
      <c r="BH61" s="2"/>
      <c r="BI61" s="2"/>
      <c r="BJ61" s="2"/>
      <c r="BK61" s="2"/>
    </row>
    <row r="62" spans="1:63" outlineLevel="1" x14ac:dyDescent="0.2">
      <c r="C62" s="110"/>
      <c r="D62" s="110"/>
      <c r="E62" s="110"/>
      <c r="F62" s="110"/>
      <c r="G62" s="110"/>
      <c r="H62" s="110"/>
      <c r="I62" s="110"/>
      <c r="J62" s="110"/>
      <c r="K62" s="110"/>
      <c r="L62" s="110"/>
      <c r="M62" s="110"/>
      <c r="N62" s="110"/>
      <c r="O62" s="110"/>
      <c r="P62" s="110"/>
      <c r="Q62" s="110"/>
      <c r="R62" s="110"/>
      <c r="S62" s="110"/>
      <c r="T62" s="110"/>
      <c r="U62" s="110"/>
      <c r="V62" s="110"/>
      <c r="W62" s="110"/>
      <c r="X62" s="110"/>
      <c r="Y62" s="110"/>
      <c r="Z62" s="110"/>
      <c r="AA62" s="110"/>
      <c r="AB62" s="110"/>
      <c r="AC62" s="110"/>
      <c r="AD62" s="110"/>
      <c r="AE62" s="110"/>
      <c r="AF62" s="110"/>
      <c r="AG62" s="110"/>
      <c r="AI62" s="133"/>
      <c r="AJ62" s="211"/>
      <c r="AL62" s="108"/>
      <c r="AM62" s="2"/>
      <c r="AN62" s="2"/>
      <c r="AO62" s="2"/>
      <c r="BC62" s="1"/>
      <c r="BD62" s="2"/>
      <c r="BE62" s="2"/>
      <c r="BF62" s="2"/>
      <c r="BG62" s="2"/>
      <c r="BH62" s="2"/>
      <c r="BI62" s="2"/>
      <c r="BJ62" s="2"/>
      <c r="BK62" s="2"/>
    </row>
    <row r="63" spans="1:63" outlineLevel="1" x14ac:dyDescent="0.2">
      <c r="A63" t="s">
        <v>1676</v>
      </c>
      <c r="C63" s="382">
        <f>('Overall recycling rates'!F84*'Yearly BTX'!D5+'Overall recycling rates'!G84*'Yearly BTX'!D6+'Overall recycling rates'!H84*'Yearly BTX'!D7)/'Yearly BTX'!D4</f>
        <v>1.1704534492742935</v>
      </c>
      <c r="D63" s="382">
        <f>C63-($C63-$AG63)/($AG$1-$C$1)</f>
        <v>1.1681050009651504</v>
      </c>
      <c r="E63" s="382">
        <f t="shared" ref="E63:AF63" si="30">D63-($C63-$AG63)/($AG$1-$C$1)</f>
        <v>1.1657565526560072</v>
      </c>
      <c r="F63" s="382">
        <f t="shared" si="30"/>
        <v>1.163408104346864</v>
      </c>
      <c r="G63" s="382">
        <f t="shared" si="30"/>
        <v>1.1610596560377209</v>
      </c>
      <c r="H63" s="382">
        <f t="shared" si="30"/>
        <v>1.1587112077285777</v>
      </c>
      <c r="I63" s="382">
        <f t="shared" si="30"/>
        <v>1.1563627594194346</v>
      </c>
      <c r="J63" s="382">
        <f t="shared" si="30"/>
        <v>1.1540143111102914</v>
      </c>
      <c r="K63" s="382">
        <f t="shared" si="30"/>
        <v>1.1516658628011482</v>
      </c>
      <c r="L63" s="382">
        <f t="shared" si="30"/>
        <v>1.1493174144920051</v>
      </c>
      <c r="M63" s="382">
        <f t="shared" si="30"/>
        <v>1.1469689661828619</v>
      </c>
      <c r="N63" s="382">
        <f t="shared" si="30"/>
        <v>1.1446205178737188</v>
      </c>
      <c r="O63" s="382">
        <f t="shared" si="30"/>
        <v>1.1422720695645756</v>
      </c>
      <c r="P63" s="382">
        <f t="shared" si="30"/>
        <v>1.1399236212554325</v>
      </c>
      <c r="Q63" s="382">
        <f t="shared" si="30"/>
        <v>1.1375751729462893</v>
      </c>
      <c r="R63" s="382">
        <f t="shared" si="30"/>
        <v>1.1352267246371461</v>
      </c>
      <c r="S63" s="382">
        <f t="shared" si="30"/>
        <v>1.132878276328003</v>
      </c>
      <c r="T63" s="382">
        <f t="shared" si="30"/>
        <v>1.1305298280188598</v>
      </c>
      <c r="U63" s="382">
        <f t="shared" si="30"/>
        <v>1.1281813797097167</v>
      </c>
      <c r="V63" s="382">
        <f t="shared" si="30"/>
        <v>1.1258329314005735</v>
      </c>
      <c r="W63" s="382">
        <f t="shared" si="30"/>
        <v>1.1234844830914303</v>
      </c>
      <c r="X63" s="382">
        <f t="shared" si="30"/>
        <v>1.1211360347822872</v>
      </c>
      <c r="Y63" s="382">
        <f t="shared" si="30"/>
        <v>1.118787586473144</v>
      </c>
      <c r="Z63" s="382">
        <f t="shared" si="30"/>
        <v>1.1164391381640009</v>
      </c>
      <c r="AA63" s="382">
        <f t="shared" si="30"/>
        <v>1.1140906898548577</v>
      </c>
      <c r="AB63" s="382">
        <f t="shared" si="30"/>
        <v>1.1117422415457145</v>
      </c>
      <c r="AC63" s="382">
        <f t="shared" si="30"/>
        <v>1.1093937932365714</v>
      </c>
      <c r="AD63" s="382">
        <f t="shared" si="30"/>
        <v>1.1070453449274282</v>
      </c>
      <c r="AE63" s="382">
        <f t="shared" si="30"/>
        <v>1.1046968966182851</v>
      </c>
      <c r="AF63" s="382">
        <f t="shared" si="30"/>
        <v>1.1023484483091419</v>
      </c>
      <c r="AG63" s="382">
        <f>'Overall recycling rates'!G93</f>
        <v>1.1000000000000001</v>
      </c>
      <c r="AI63" s="133"/>
      <c r="AJ63" s="211"/>
      <c r="AL63" s="108"/>
      <c r="AM63" s="2"/>
      <c r="AN63" s="2"/>
      <c r="AO63" s="2"/>
      <c r="BC63" s="1"/>
      <c r="BD63" s="2"/>
      <c r="BE63" s="2"/>
      <c r="BF63" s="2"/>
      <c r="BG63" s="2"/>
      <c r="BH63" s="2"/>
      <c r="BI63" s="2"/>
      <c r="BJ63" s="2"/>
      <c r="BK63" s="2"/>
    </row>
    <row r="64" spans="1:63" outlineLevel="1" x14ac:dyDescent="0.2">
      <c r="A64" t="s">
        <v>1677</v>
      </c>
      <c r="B64" s="54" t="s">
        <v>462</v>
      </c>
      <c r="C64" s="110">
        <f>C50*C$63</f>
        <v>0</v>
      </c>
      <c r="D64" s="110">
        <f t="shared" ref="D64:AG65" si="31">D50*D$63</f>
        <v>0</v>
      </c>
      <c r="E64" s="110">
        <f t="shared" si="31"/>
        <v>0</v>
      </c>
      <c r="F64" s="110">
        <f t="shared" si="31"/>
        <v>0</v>
      </c>
      <c r="G64" s="110">
        <f t="shared" si="31"/>
        <v>0</v>
      </c>
      <c r="H64" s="110">
        <f t="shared" si="31"/>
        <v>0</v>
      </c>
      <c r="I64" s="110">
        <f t="shared" si="31"/>
        <v>0</v>
      </c>
      <c r="J64" s="110">
        <f t="shared" si="31"/>
        <v>0</v>
      </c>
      <c r="K64" s="110">
        <f t="shared" si="31"/>
        <v>0</v>
      </c>
      <c r="L64" s="110">
        <f t="shared" si="31"/>
        <v>0</v>
      </c>
      <c r="M64" s="110">
        <f>M50*M$63</f>
        <v>0</v>
      </c>
      <c r="N64" s="110">
        <f t="shared" si="31"/>
        <v>0</v>
      </c>
      <c r="O64" s="110">
        <f t="shared" si="31"/>
        <v>0</v>
      </c>
      <c r="P64" s="110">
        <f t="shared" si="31"/>
        <v>0</v>
      </c>
      <c r="Q64" s="110">
        <f t="shared" si="31"/>
        <v>0</v>
      </c>
      <c r="R64" s="110">
        <f t="shared" si="31"/>
        <v>0</v>
      </c>
      <c r="S64" s="110">
        <f t="shared" si="31"/>
        <v>0</v>
      </c>
      <c r="T64" s="110">
        <f t="shared" si="31"/>
        <v>0</v>
      </c>
      <c r="U64" s="110">
        <f t="shared" si="31"/>
        <v>0</v>
      </c>
      <c r="V64" s="110">
        <f t="shared" si="31"/>
        <v>0</v>
      </c>
      <c r="W64" s="110">
        <f t="shared" si="31"/>
        <v>0</v>
      </c>
      <c r="X64" s="110">
        <f t="shared" si="31"/>
        <v>0</v>
      </c>
      <c r="Y64" s="110">
        <f t="shared" si="31"/>
        <v>0</v>
      </c>
      <c r="Z64" s="110">
        <f t="shared" si="31"/>
        <v>0</v>
      </c>
      <c r="AA64" s="110">
        <f t="shared" si="31"/>
        <v>0</v>
      </c>
      <c r="AB64" s="110">
        <f t="shared" si="31"/>
        <v>0</v>
      </c>
      <c r="AC64" s="110">
        <f t="shared" si="31"/>
        <v>0</v>
      </c>
      <c r="AD64" s="110">
        <f t="shared" si="31"/>
        <v>0</v>
      </c>
      <c r="AE64" s="110">
        <f t="shared" si="31"/>
        <v>0</v>
      </c>
      <c r="AF64" s="110">
        <f t="shared" si="31"/>
        <v>0</v>
      </c>
      <c r="AG64" s="110">
        <f t="shared" si="31"/>
        <v>0</v>
      </c>
      <c r="AI64" s="133"/>
      <c r="AJ64" s="211"/>
      <c r="AL64" s="108"/>
      <c r="AM64" s="2"/>
      <c r="AN64" s="2"/>
      <c r="AO64" s="2"/>
      <c r="AV64" s="41"/>
    </row>
    <row r="65" spans="1:63" outlineLevel="1" x14ac:dyDescent="0.2">
      <c r="A65" t="s">
        <v>1678</v>
      </c>
      <c r="B65" s="54" t="s">
        <v>462</v>
      </c>
      <c r="C65" s="110">
        <f>C51*C$63</f>
        <v>0</v>
      </c>
      <c r="D65" s="110">
        <f t="shared" si="31"/>
        <v>0</v>
      </c>
      <c r="E65" s="110">
        <f t="shared" si="31"/>
        <v>0</v>
      </c>
      <c r="F65" s="110">
        <f t="shared" si="31"/>
        <v>0</v>
      </c>
      <c r="G65" s="110">
        <f t="shared" si="31"/>
        <v>0</v>
      </c>
      <c r="H65" s="110">
        <f t="shared" si="31"/>
        <v>0</v>
      </c>
      <c r="I65" s="110">
        <f t="shared" si="31"/>
        <v>0</v>
      </c>
      <c r="J65" s="110">
        <f t="shared" si="31"/>
        <v>0</v>
      </c>
      <c r="K65" s="110">
        <f t="shared" si="31"/>
        <v>0</v>
      </c>
      <c r="L65" s="110">
        <f t="shared" si="31"/>
        <v>0</v>
      </c>
      <c r="M65" s="110">
        <f t="shared" si="31"/>
        <v>0</v>
      </c>
      <c r="N65" s="110">
        <f t="shared" si="31"/>
        <v>0</v>
      </c>
      <c r="O65" s="110">
        <f t="shared" si="31"/>
        <v>0</v>
      </c>
      <c r="P65" s="110">
        <f t="shared" si="31"/>
        <v>0</v>
      </c>
      <c r="Q65" s="110">
        <f t="shared" si="31"/>
        <v>0</v>
      </c>
      <c r="R65" s="110">
        <f t="shared" si="31"/>
        <v>0</v>
      </c>
      <c r="S65" s="110">
        <f t="shared" si="31"/>
        <v>0</v>
      </c>
      <c r="T65" s="110">
        <f t="shared" si="31"/>
        <v>0</v>
      </c>
      <c r="U65" s="110">
        <f t="shared" si="31"/>
        <v>0</v>
      </c>
      <c r="V65" s="110">
        <f t="shared" si="31"/>
        <v>0</v>
      </c>
      <c r="W65" s="110">
        <f t="shared" si="31"/>
        <v>0</v>
      </c>
      <c r="X65" s="110">
        <f t="shared" si="31"/>
        <v>0</v>
      </c>
      <c r="Y65" s="110">
        <f t="shared" si="31"/>
        <v>0</v>
      </c>
      <c r="Z65" s="110">
        <f t="shared" si="31"/>
        <v>0</v>
      </c>
      <c r="AA65" s="110">
        <f t="shared" si="31"/>
        <v>0</v>
      </c>
      <c r="AB65" s="110">
        <f t="shared" si="31"/>
        <v>0</v>
      </c>
      <c r="AC65" s="110">
        <f t="shared" si="31"/>
        <v>0</v>
      </c>
      <c r="AD65" s="110">
        <f t="shared" si="31"/>
        <v>0</v>
      </c>
      <c r="AE65" s="110">
        <f t="shared" si="31"/>
        <v>0</v>
      </c>
      <c r="AF65" s="110">
        <f t="shared" si="31"/>
        <v>0</v>
      </c>
      <c r="AG65" s="110">
        <f t="shared" si="31"/>
        <v>0</v>
      </c>
      <c r="AH65" s="245"/>
      <c r="AI65" s="133"/>
      <c r="AJ65" s="211"/>
      <c r="AL65" s="108"/>
      <c r="AM65" s="2"/>
      <c r="AN65" s="2"/>
      <c r="AO65" s="2"/>
      <c r="AV65" s="41"/>
    </row>
    <row r="66" spans="1:63" outlineLevel="1" x14ac:dyDescent="0.2">
      <c r="A66" t="s">
        <v>1679</v>
      </c>
      <c r="B66" s="176" t="s">
        <v>462</v>
      </c>
      <c r="C66" s="110">
        <f>SUM(C64:C65)</f>
        <v>0</v>
      </c>
      <c r="D66" s="110">
        <f t="shared" ref="D66:AG66" si="32">SUM(D64:D65)</f>
        <v>0</v>
      </c>
      <c r="E66" s="110">
        <f t="shared" si="32"/>
        <v>0</v>
      </c>
      <c r="F66" s="110">
        <f t="shared" si="32"/>
        <v>0</v>
      </c>
      <c r="G66" s="110">
        <f t="shared" si="32"/>
        <v>0</v>
      </c>
      <c r="H66" s="110">
        <f t="shared" si="32"/>
        <v>0</v>
      </c>
      <c r="I66" s="110">
        <f t="shared" si="32"/>
        <v>0</v>
      </c>
      <c r="J66" s="110">
        <f t="shared" si="32"/>
        <v>0</v>
      </c>
      <c r="K66" s="110">
        <f t="shared" si="32"/>
        <v>0</v>
      </c>
      <c r="L66" s="110">
        <f t="shared" si="32"/>
        <v>0</v>
      </c>
      <c r="M66" s="110">
        <f t="shared" si="32"/>
        <v>0</v>
      </c>
      <c r="N66" s="110">
        <f t="shared" si="32"/>
        <v>0</v>
      </c>
      <c r="O66" s="110">
        <f t="shared" si="32"/>
        <v>0</v>
      </c>
      <c r="P66" s="110">
        <f t="shared" si="32"/>
        <v>0</v>
      </c>
      <c r="Q66" s="110">
        <f t="shared" si="32"/>
        <v>0</v>
      </c>
      <c r="R66" s="110">
        <f t="shared" si="32"/>
        <v>0</v>
      </c>
      <c r="S66" s="110">
        <f t="shared" si="32"/>
        <v>0</v>
      </c>
      <c r="T66" s="110">
        <f t="shared" si="32"/>
        <v>0</v>
      </c>
      <c r="U66" s="110">
        <f t="shared" si="32"/>
        <v>0</v>
      </c>
      <c r="V66" s="110">
        <f t="shared" si="32"/>
        <v>0</v>
      </c>
      <c r="W66" s="110">
        <f t="shared" si="32"/>
        <v>0</v>
      </c>
      <c r="X66" s="110">
        <f t="shared" si="32"/>
        <v>0</v>
      </c>
      <c r="Y66" s="110">
        <f t="shared" si="32"/>
        <v>0</v>
      </c>
      <c r="Z66" s="110">
        <f t="shared" si="32"/>
        <v>0</v>
      </c>
      <c r="AA66" s="110">
        <f t="shared" si="32"/>
        <v>0</v>
      </c>
      <c r="AB66" s="110">
        <f t="shared" si="32"/>
        <v>0</v>
      </c>
      <c r="AC66" s="110">
        <f t="shared" si="32"/>
        <v>0</v>
      </c>
      <c r="AD66" s="110">
        <f t="shared" si="32"/>
        <v>0</v>
      </c>
      <c r="AE66" s="110">
        <f t="shared" si="32"/>
        <v>0</v>
      </c>
      <c r="AF66" s="110">
        <f t="shared" si="32"/>
        <v>0</v>
      </c>
      <c r="AG66" s="110">
        <f t="shared" si="32"/>
        <v>0</v>
      </c>
      <c r="AI66" s="133"/>
      <c r="AJ66" s="211"/>
      <c r="AL66" s="108"/>
      <c r="AM66" s="2"/>
      <c r="AN66" s="2"/>
      <c r="AO66" s="2"/>
    </row>
    <row r="67" spans="1:63" outlineLevel="1" x14ac:dyDescent="0.2">
      <c r="A67" t="s">
        <v>1680</v>
      </c>
      <c r="B67" s="54" t="s">
        <v>462</v>
      </c>
      <c r="C67" s="110">
        <f>C$63*C58</f>
        <v>0</v>
      </c>
      <c r="D67" s="110">
        <f t="shared" ref="D67:AG70" si="33">D$63*D58</f>
        <v>0</v>
      </c>
      <c r="E67" s="110">
        <f t="shared" si="33"/>
        <v>0</v>
      </c>
      <c r="F67" s="110">
        <f t="shared" si="33"/>
        <v>0</v>
      </c>
      <c r="G67" s="110">
        <f t="shared" si="33"/>
        <v>0</v>
      </c>
      <c r="H67" s="110">
        <f t="shared" si="33"/>
        <v>0</v>
      </c>
      <c r="I67" s="110">
        <f t="shared" si="33"/>
        <v>0</v>
      </c>
      <c r="J67" s="110">
        <f t="shared" si="33"/>
        <v>0</v>
      </c>
      <c r="K67" s="110">
        <f t="shared" si="33"/>
        <v>0</v>
      </c>
      <c r="L67" s="110">
        <f t="shared" si="33"/>
        <v>0</v>
      </c>
      <c r="M67" s="110">
        <f t="shared" si="33"/>
        <v>0</v>
      </c>
      <c r="N67" s="110">
        <f t="shared" si="33"/>
        <v>0</v>
      </c>
      <c r="O67" s="110">
        <f t="shared" si="33"/>
        <v>0</v>
      </c>
      <c r="P67" s="110">
        <f t="shared" si="33"/>
        <v>0</v>
      </c>
      <c r="Q67" s="110">
        <f t="shared" si="33"/>
        <v>0</v>
      </c>
      <c r="R67" s="110">
        <f t="shared" si="33"/>
        <v>0</v>
      </c>
      <c r="S67" s="110">
        <f t="shared" si="33"/>
        <v>0</v>
      </c>
      <c r="T67" s="110">
        <f t="shared" si="33"/>
        <v>0</v>
      </c>
      <c r="U67" s="110">
        <f t="shared" si="33"/>
        <v>0</v>
      </c>
      <c r="V67" s="110">
        <f t="shared" si="33"/>
        <v>0</v>
      </c>
      <c r="W67" s="110">
        <f t="shared" si="33"/>
        <v>0</v>
      </c>
      <c r="X67" s="110">
        <f t="shared" si="33"/>
        <v>0</v>
      </c>
      <c r="Y67" s="110">
        <f t="shared" si="33"/>
        <v>0</v>
      </c>
      <c r="Z67" s="110">
        <f t="shared" si="33"/>
        <v>0</v>
      </c>
      <c r="AA67" s="110">
        <f t="shared" si="33"/>
        <v>0</v>
      </c>
      <c r="AB67" s="110">
        <f t="shared" si="33"/>
        <v>0</v>
      </c>
      <c r="AC67" s="110">
        <f t="shared" si="33"/>
        <v>0</v>
      </c>
      <c r="AD67" s="110">
        <f t="shared" si="33"/>
        <v>0</v>
      </c>
      <c r="AE67" s="110">
        <f t="shared" si="33"/>
        <v>0</v>
      </c>
      <c r="AF67" s="110">
        <f t="shared" si="33"/>
        <v>0</v>
      </c>
      <c r="AG67" s="110">
        <f t="shared" si="33"/>
        <v>0</v>
      </c>
      <c r="AI67" s="133"/>
      <c r="AJ67" s="211"/>
      <c r="AL67" s="108"/>
      <c r="AM67" s="2"/>
      <c r="AN67" s="2"/>
      <c r="AO67" s="2"/>
    </row>
    <row r="68" spans="1:63" outlineLevel="1" x14ac:dyDescent="0.2">
      <c r="A68" t="s">
        <v>1681</v>
      </c>
      <c r="B68" s="54" t="s">
        <v>462</v>
      </c>
      <c r="C68" s="110">
        <f t="shared" ref="C68:R70" si="34">C$63*C59</f>
        <v>0</v>
      </c>
      <c r="D68" s="110">
        <f t="shared" si="34"/>
        <v>0</v>
      </c>
      <c r="E68" s="110">
        <f t="shared" si="34"/>
        <v>0</v>
      </c>
      <c r="F68" s="110">
        <f t="shared" si="34"/>
        <v>0</v>
      </c>
      <c r="G68" s="110">
        <f t="shared" si="34"/>
        <v>0</v>
      </c>
      <c r="H68" s="110">
        <f t="shared" si="34"/>
        <v>0</v>
      </c>
      <c r="I68" s="110">
        <f t="shared" si="34"/>
        <v>0</v>
      </c>
      <c r="J68" s="110">
        <f t="shared" si="34"/>
        <v>0</v>
      </c>
      <c r="K68" s="110">
        <f t="shared" si="34"/>
        <v>0</v>
      </c>
      <c r="L68" s="110">
        <f t="shared" si="34"/>
        <v>0</v>
      </c>
      <c r="M68" s="110">
        <f t="shared" si="34"/>
        <v>0</v>
      </c>
      <c r="N68" s="110">
        <f t="shared" si="34"/>
        <v>0</v>
      </c>
      <c r="O68" s="110">
        <f t="shared" si="34"/>
        <v>0</v>
      </c>
      <c r="P68" s="110">
        <f t="shared" si="34"/>
        <v>0</v>
      </c>
      <c r="Q68" s="110">
        <f t="shared" si="34"/>
        <v>0</v>
      </c>
      <c r="R68" s="110">
        <f t="shared" si="34"/>
        <v>0</v>
      </c>
      <c r="S68" s="110">
        <f t="shared" si="33"/>
        <v>0</v>
      </c>
      <c r="T68" s="110">
        <f t="shared" si="33"/>
        <v>0</v>
      </c>
      <c r="U68" s="110">
        <f t="shared" si="33"/>
        <v>0</v>
      </c>
      <c r="V68" s="110">
        <f t="shared" si="33"/>
        <v>0</v>
      </c>
      <c r="W68" s="110">
        <f t="shared" si="33"/>
        <v>0</v>
      </c>
      <c r="X68" s="110">
        <f t="shared" si="33"/>
        <v>0</v>
      </c>
      <c r="Y68" s="110">
        <f t="shared" si="33"/>
        <v>0</v>
      </c>
      <c r="Z68" s="110">
        <f t="shared" si="33"/>
        <v>0</v>
      </c>
      <c r="AA68" s="110">
        <f t="shared" si="33"/>
        <v>0</v>
      </c>
      <c r="AB68" s="110">
        <f t="shared" si="33"/>
        <v>0</v>
      </c>
      <c r="AC68" s="110">
        <f t="shared" si="33"/>
        <v>0</v>
      </c>
      <c r="AD68" s="110">
        <f t="shared" si="33"/>
        <v>0</v>
      </c>
      <c r="AE68" s="110">
        <f t="shared" si="33"/>
        <v>0</v>
      </c>
      <c r="AF68" s="110">
        <f t="shared" si="33"/>
        <v>0</v>
      </c>
      <c r="AG68" s="110">
        <f t="shared" si="33"/>
        <v>0</v>
      </c>
      <c r="AI68" s="133"/>
      <c r="AJ68" s="211"/>
      <c r="AL68" s="108"/>
      <c r="AM68" s="2"/>
      <c r="AN68" s="2"/>
      <c r="AO68" s="2"/>
      <c r="BC68" s="1"/>
      <c r="BD68" s="2"/>
      <c r="BE68" s="2"/>
      <c r="BF68" s="2"/>
      <c r="BG68" s="2"/>
      <c r="BH68" s="2"/>
      <c r="BI68" s="2"/>
      <c r="BJ68" s="2"/>
      <c r="BK68" s="2"/>
    </row>
    <row r="69" spans="1:63" outlineLevel="1" x14ac:dyDescent="0.2">
      <c r="A69" t="s">
        <v>1682</v>
      </c>
      <c r="C69" s="110">
        <f t="shared" si="34"/>
        <v>0</v>
      </c>
      <c r="D69" s="110">
        <f t="shared" si="33"/>
        <v>0</v>
      </c>
      <c r="E69" s="110">
        <f t="shared" si="33"/>
        <v>0</v>
      </c>
      <c r="F69" s="110">
        <f t="shared" si="33"/>
        <v>0</v>
      </c>
      <c r="G69" s="110">
        <f t="shared" si="33"/>
        <v>0</v>
      </c>
      <c r="H69" s="110">
        <f t="shared" si="33"/>
        <v>0</v>
      </c>
      <c r="I69" s="110">
        <f t="shared" si="33"/>
        <v>0</v>
      </c>
      <c r="J69" s="110">
        <f t="shared" si="33"/>
        <v>0</v>
      </c>
      <c r="K69" s="110">
        <f t="shared" si="33"/>
        <v>0</v>
      </c>
      <c r="L69" s="110">
        <f t="shared" si="33"/>
        <v>0</v>
      </c>
      <c r="M69" s="110">
        <f t="shared" si="33"/>
        <v>0</v>
      </c>
      <c r="N69" s="110">
        <f t="shared" si="33"/>
        <v>0</v>
      </c>
      <c r="O69" s="110">
        <f t="shared" si="33"/>
        <v>0</v>
      </c>
      <c r="P69" s="110">
        <f t="shared" si="33"/>
        <v>0</v>
      </c>
      <c r="Q69" s="110">
        <f t="shared" si="33"/>
        <v>0</v>
      </c>
      <c r="R69" s="110">
        <f t="shared" si="33"/>
        <v>0</v>
      </c>
      <c r="S69" s="110">
        <f t="shared" si="33"/>
        <v>0</v>
      </c>
      <c r="T69" s="110">
        <f t="shared" si="33"/>
        <v>0</v>
      </c>
      <c r="U69" s="110">
        <f t="shared" si="33"/>
        <v>0</v>
      </c>
      <c r="V69" s="110">
        <f t="shared" si="33"/>
        <v>0</v>
      </c>
      <c r="W69" s="110">
        <f t="shared" si="33"/>
        <v>0</v>
      </c>
      <c r="X69" s="110">
        <f t="shared" si="33"/>
        <v>0</v>
      </c>
      <c r="Y69" s="110">
        <f t="shared" si="33"/>
        <v>0</v>
      </c>
      <c r="Z69" s="110">
        <f t="shared" si="33"/>
        <v>0</v>
      </c>
      <c r="AA69" s="110">
        <f t="shared" si="33"/>
        <v>0</v>
      </c>
      <c r="AB69" s="110">
        <f t="shared" si="33"/>
        <v>0</v>
      </c>
      <c r="AC69" s="110">
        <f t="shared" si="33"/>
        <v>0</v>
      </c>
      <c r="AD69" s="110">
        <f t="shared" si="33"/>
        <v>0</v>
      </c>
      <c r="AE69" s="110">
        <f t="shared" si="33"/>
        <v>0</v>
      </c>
      <c r="AF69" s="110">
        <f t="shared" si="33"/>
        <v>0</v>
      </c>
      <c r="AG69" s="110">
        <f t="shared" si="33"/>
        <v>0</v>
      </c>
      <c r="AI69" s="133"/>
      <c r="AJ69" s="211"/>
      <c r="AL69" s="108"/>
      <c r="AM69" s="2"/>
      <c r="AN69" s="2"/>
      <c r="AO69" s="2"/>
      <c r="BC69" s="1"/>
      <c r="BD69" s="2"/>
      <c r="BE69" s="2"/>
      <c r="BF69" s="2"/>
      <c r="BG69" s="2"/>
      <c r="BH69" s="2"/>
      <c r="BI69" s="2"/>
      <c r="BJ69" s="2"/>
      <c r="BK69" s="2"/>
    </row>
    <row r="70" spans="1:63" outlineLevel="1" x14ac:dyDescent="0.2">
      <c r="A70" t="s">
        <v>1683</v>
      </c>
      <c r="B70" s="54" t="s">
        <v>462</v>
      </c>
      <c r="C70" s="110">
        <f t="shared" si="34"/>
        <v>0</v>
      </c>
      <c r="D70" s="110">
        <f t="shared" si="33"/>
        <v>0</v>
      </c>
      <c r="E70" s="110">
        <f t="shared" si="33"/>
        <v>0</v>
      </c>
      <c r="F70" s="110">
        <f t="shared" si="33"/>
        <v>0</v>
      </c>
      <c r="G70" s="110">
        <f t="shared" si="33"/>
        <v>0</v>
      </c>
      <c r="H70" s="110">
        <f t="shared" si="33"/>
        <v>0</v>
      </c>
      <c r="I70" s="110">
        <f t="shared" si="33"/>
        <v>0</v>
      </c>
      <c r="J70" s="110">
        <f t="shared" si="33"/>
        <v>0</v>
      </c>
      <c r="K70" s="110">
        <f t="shared" si="33"/>
        <v>0</v>
      </c>
      <c r="L70" s="110">
        <f t="shared" si="33"/>
        <v>0</v>
      </c>
      <c r="M70" s="110">
        <f t="shared" si="33"/>
        <v>0</v>
      </c>
      <c r="N70" s="110">
        <f t="shared" si="33"/>
        <v>0</v>
      </c>
      <c r="O70" s="110">
        <f t="shared" si="33"/>
        <v>0</v>
      </c>
      <c r="P70" s="110">
        <f t="shared" si="33"/>
        <v>0</v>
      </c>
      <c r="Q70" s="110">
        <f t="shared" si="33"/>
        <v>0</v>
      </c>
      <c r="R70" s="110">
        <f t="shared" si="33"/>
        <v>0</v>
      </c>
      <c r="S70" s="110">
        <f t="shared" si="33"/>
        <v>0</v>
      </c>
      <c r="T70" s="110">
        <f t="shared" si="33"/>
        <v>0</v>
      </c>
      <c r="U70" s="110">
        <f t="shared" si="33"/>
        <v>0</v>
      </c>
      <c r="V70" s="110">
        <f t="shared" si="33"/>
        <v>0</v>
      </c>
      <c r="W70" s="110">
        <f t="shared" si="33"/>
        <v>0</v>
      </c>
      <c r="X70" s="110">
        <f t="shared" si="33"/>
        <v>0</v>
      </c>
      <c r="Y70" s="110">
        <f t="shared" si="33"/>
        <v>0</v>
      </c>
      <c r="Z70" s="110">
        <f t="shared" si="33"/>
        <v>0</v>
      </c>
      <c r="AA70" s="110">
        <f t="shared" si="33"/>
        <v>0</v>
      </c>
      <c r="AB70" s="110">
        <f t="shared" si="33"/>
        <v>0</v>
      </c>
      <c r="AC70" s="110">
        <f t="shared" si="33"/>
        <v>0</v>
      </c>
      <c r="AD70" s="110">
        <f t="shared" si="33"/>
        <v>0</v>
      </c>
      <c r="AE70" s="110">
        <f t="shared" si="33"/>
        <v>0</v>
      </c>
      <c r="AF70" s="110">
        <f t="shared" si="33"/>
        <v>0</v>
      </c>
      <c r="AG70" s="110">
        <f t="shared" si="33"/>
        <v>0</v>
      </c>
      <c r="AH70" s="245"/>
      <c r="AI70" s="133"/>
      <c r="AJ70" s="211"/>
      <c r="AL70" s="108"/>
      <c r="AM70" s="2"/>
      <c r="AN70" s="2"/>
      <c r="AO70" s="2"/>
      <c r="BC70" s="1"/>
      <c r="BD70" s="2"/>
      <c r="BE70" s="2"/>
      <c r="BF70" s="2"/>
      <c r="BG70" s="2"/>
      <c r="BH70" s="2"/>
      <c r="BI70" s="2"/>
      <c r="BJ70" s="2"/>
      <c r="BK70" s="2"/>
    </row>
    <row r="71" spans="1:63" outlineLevel="1" x14ac:dyDescent="0.2">
      <c r="C71" s="110"/>
      <c r="D71" s="110"/>
      <c r="E71" s="110"/>
      <c r="F71" s="110"/>
      <c r="G71" s="110"/>
      <c r="H71" s="110"/>
      <c r="I71" s="110"/>
      <c r="J71" s="110"/>
      <c r="K71" s="110"/>
      <c r="L71" s="110"/>
      <c r="M71" s="110"/>
      <c r="N71" s="110"/>
      <c r="O71" s="110"/>
      <c r="P71" s="110"/>
      <c r="Q71" s="110"/>
      <c r="R71" s="110"/>
      <c r="S71" s="110"/>
      <c r="T71" s="110"/>
      <c r="U71" s="110"/>
      <c r="V71" s="110"/>
      <c r="W71" s="110"/>
      <c r="X71" s="110"/>
      <c r="Y71" s="110"/>
      <c r="Z71" s="110"/>
      <c r="AA71" s="110"/>
      <c r="AB71" s="110"/>
      <c r="AC71" s="110"/>
      <c r="AD71" s="110"/>
      <c r="AE71" s="110"/>
      <c r="AF71" s="110"/>
      <c r="AG71" s="110"/>
      <c r="AI71" s="134"/>
      <c r="AJ71" s="211"/>
      <c r="BC71" s="1"/>
      <c r="BD71" s="41"/>
      <c r="BF71" s="6"/>
      <c r="BG71" s="6"/>
      <c r="BH71" s="6"/>
      <c r="BI71" s="6"/>
      <c r="BJ71" s="6"/>
    </row>
    <row r="72" spans="1:63" s="1" customFormat="1" outlineLevel="1" x14ac:dyDescent="0.2">
      <c r="A72" s="1" t="s">
        <v>228</v>
      </c>
      <c r="B72" s="65"/>
      <c r="C72" s="300">
        <f>C42*C64</f>
        <v>0</v>
      </c>
      <c r="D72" s="300">
        <f t="shared" ref="D72:AG72" si="35">D42*D64</f>
        <v>0</v>
      </c>
      <c r="E72" s="300">
        <f t="shared" si="35"/>
        <v>0</v>
      </c>
      <c r="F72" s="300">
        <f t="shared" si="35"/>
        <v>0</v>
      </c>
      <c r="G72" s="300">
        <f t="shared" si="35"/>
        <v>0</v>
      </c>
      <c r="H72" s="300">
        <f t="shared" si="35"/>
        <v>0</v>
      </c>
      <c r="I72" s="300">
        <f t="shared" si="35"/>
        <v>0</v>
      </c>
      <c r="J72" s="300">
        <f t="shared" si="35"/>
        <v>0</v>
      </c>
      <c r="K72" s="300">
        <f t="shared" si="35"/>
        <v>0</v>
      </c>
      <c r="L72" s="300">
        <f t="shared" si="35"/>
        <v>0</v>
      </c>
      <c r="M72" s="300">
        <f t="shared" si="35"/>
        <v>0</v>
      </c>
      <c r="N72" s="300">
        <f t="shared" si="35"/>
        <v>0</v>
      </c>
      <c r="O72" s="300">
        <f t="shared" si="35"/>
        <v>0</v>
      </c>
      <c r="P72" s="300">
        <f t="shared" si="35"/>
        <v>0</v>
      </c>
      <c r="Q72" s="300">
        <f t="shared" si="35"/>
        <v>0</v>
      </c>
      <c r="R72" s="300">
        <f t="shared" si="35"/>
        <v>0</v>
      </c>
      <c r="S72" s="300">
        <f t="shared" si="35"/>
        <v>0</v>
      </c>
      <c r="T72" s="300">
        <f t="shared" si="35"/>
        <v>0</v>
      </c>
      <c r="U72" s="300">
        <f t="shared" si="35"/>
        <v>0</v>
      </c>
      <c r="V72" s="300">
        <f t="shared" si="35"/>
        <v>0</v>
      </c>
      <c r="W72" s="300">
        <f t="shared" si="35"/>
        <v>0</v>
      </c>
      <c r="X72" s="300">
        <f t="shared" si="35"/>
        <v>0</v>
      </c>
      <c r="Y72" s="300">
        <f t="shared" si="35"/>
        <v>0</v>
      </c>
      <c r="Z72" s="300">
        <f t="shared" si="35"/>
        <v>0</v>
      </c>
      <c r="AA72" s="300">
        <f t="shared" si="35"/>
        <v>0</v>
      </c>
      <c r="AB72" s="300">
        <f t="shared" si="35"/>
        <v>0</v>
      </c>
      <c r="AC72" s="300">
        <f t="shared" si="35"/>
        <v>0</v>
      </c>
      <c r="AD72" s="300">
        <f t="shared" si="35"/>
        <v>0</v>
      </c>
      <c r="AE72" s="300">
        <f t="shared" si="35"/>
        <v>0</v>
      </c>
      <c r="AF72" s="300">
        <f t="shared" si="35"/>
        <v>0</v>
      </c>
      <c r="AG72" s="300">
        <f t="shared" si="35"/>
        <v>0</v>
      </c>
      <c r="AH72" s="245"/>
      <c r="AI72" s="423"/>
      <c r="AJ72" s="424"/>
      <c r="AL72" s="221"/>
      <c r="AM72" s="124"/>
      <c r="AN72" s="124"/>
      <c r="AO72" s="124"/>
      <c r="BD72" s="124"/>
      <c r="BE72" s="124"/>
      <c r="BF72" s="124"/>
      <c r="BG72" s="124"/>
      <c r="BH72" s="124"/>
      <c r="BI72" s="124"/>
      <c r="BJ72" s="124"/>
      <c r="BK72" s="124"/>
    </row>
    <row r="73" spans="1:63" s="1" customFormat="1" outlineLevel="1" x14ac:dyDescent="0.2">
      <c r="A73" s="1" t="s">
        <v>1562</v>
      </c>
      <c r="B73" s="65"/>
      <c r="C73" s="300">
        <f t="shared" ref="C73:AG73" si="36">C72-$C72</f>
        <v>0</v>
      </c>
      <c r="D73" s="300">
        <f t="shared" si="36"/>
        <v>0</v>
      </c>
      <c r="E73" s="300">
        <f t="shared" si="36"/>
        <v>0</v>
      </c>
      <c r="F73" s="300">
        <f t="shared" si="36"/>
        <v>0</v>
      </c>
      <c r="G73" s="300">
        <f t="shared" si="36"/>
        <v>0</v>
      </c>
      <c r="H73" s="300">
        <f t="shared" si="36"/>
        <v>0</v>
      </c>
      <c r="I73" s="300">
        <f t="shared" si="36"/>
        <v>0</v>
      </c>
      <c r="J73" s="300">
        <f t="shared" si="36"/>
        <v>0</v>
      </c>
      <c r="K73" s="300">
        <f t="shared" si="36"/>
        <v>0</v>
      </c>
      <c r="L73" s="300">
        <f t="shared" si="36"/>
        <v>0</v>
      </c>
      <c r="M73" s="300">
        <f t="shared" si="36"/>
        <v>0</v>
      </c>
      <c r="N73" s="300">
        <f t="shared" si="36"/>
        <v>0</v>
      </c>
      <c r="O73" s="300">
        <f t="shared" si="36"/>
        <v>0</v>
      </c>
      <c r="P73" s="300">
        <f t="shared" si="36"/>
        <v>0</v>
      </c>
      <c r="Q73" s="300">
        <f t="shared" si="36"/>
        <v>0</v>
      </c>
      <c r="R73" s="300">
        <f t="shared" si="36"/>
        <v>0</v>
      </c>
      <c r="S73" s="300">
        <f t="shared" si="36"/>
        <v>0</v>
      </c>
      <c r="T73" s="300">
        <f t="shared" si="36"/>
        <v>0</v>
      </c>
      <c r="U73" s="300">
        <f t="shared" si="36"/>
        <v>0</v>
      </c>
      <c r="V73" s="300">
        <f t="shared" si="36"/>
        <v>0</v>
      </c>
      <c r="W73" s="300">
        <f t="shared" si="36"/>
        <v>0</v>
      </c>
      <c r="X73" s="300">
        <f t="shared" si="36"/>
        <v>0</v>
      </c>
      <c r="Y73" s="300">
        <f t="shared" si="36"/>
        <v>0</v>
      </c>
      <c r="Z73" s="300">
        <f t="shared" si="36"/>
        <v>0</v>
      </c>
      <c r="AA73" s="300">
        <f t="shared" si="36"/>
        <v>0</v>
      </c>
      <c r="AB73" s="300">
        <f t="shared" si="36"/>
        <v>0</v>
      </c>
      <c r="AC73" s="300">
        <f t="shared" si="36"/>
        <v>0</v>
      </c>
      <c r="AD73" s="300">
        <f t="shared" si="36"/>
        <v>0</v>
      </c>
      <c r="AE73" s="300">
        <f t="shared" si="36"/>
        <v>0</v>
      </c>
      <c r="AF73" s="300">
        <f t="shared" si="36"/>
        <v>0</v>
      </c>
      <c r="AG73" s="300">
        <f t="shared" si="36"/>
        <v>0</v>
      </c>
      <c r="AH73" s="245"/>
      <c r="AI73" s="423"/>
      <c r="AJ73" s="424"/>
      <c r="AL73" s="221"/>
      <c r="AM73" s="124"/>
      <c r="AN73" s="124"/>
      <c r="AO73" s="124"/>
      <c r="BD73" s="124"/>
      <c r="BE73" s="124"/>
      <c r="BF73" s="124"/>
      <c r="BG73" s="124"/>
      <c r="BH73" s="124"/>
      <c r="BI73" s="124"/>
      <c r="BJ73" s="124"/>
      <c r="BK73" s="124"/>
    </row>
    <row r="74" spans="1:63" s="1" customFormat="1" outlineLevel="1" x14ac:dyDescent="0.2">
      <c r="A74" s="1" t="s">
        <v>1563</v>
      </c>
      <c r="B74" s="65"/>
      <c r="C74" s="300">
        <f t="shared" ref="C74:AG74" si="37">C42*C67</f>
        <v>0</v>
      </c>
      <c r="D74" s="300">
        <f t="shared" si="37"/>
        <v>0</v>
      </c>
      <c r="E74" s="300">
        <f t="shared" si="37"/>
        <v>0</v>
      </c>
      <c r="F74" s="300">
        <f t="shared" si="37"/>
        <v>0</v>
      </c>
      <c r="G74" s="300">
        <f t="shared" si="37"/>
        <v>0</v>
      </c>
      <c r="H74" s="300">
        <f t="shared" si="37"/>
        <v>0</v>
      </c>
      <c r="I74" s="300">
        <f t="shared" si="37"/>
        <v>0</v>
      </c>
      <c r="J74" s="300">
        <f t="shared" si="37"/>
        <v>0</v>
      </c>
      <c r="K74" s="300">
        <f t="shared" si="37"/>
        <v>0</v>
      </c>
      <c r="L74" s="300">
        <f t="shared" si="37"/>
        <v>0</v>
      </c>
      <c r="M74" s="300">
        <f t="shared" si="37"/>
        <v>0</v>
      </c>
      <c r="N74" s="300">
        <f t="shared" si="37"/>
        <v>0</v>
      </c>
      <c r="O74" s="300">
        <f t="shared" si="37"/>
        <v>0</v>
      </c>
      <c r="P74" s="300">
        <f t="shared" si="37"/>
        <v>0</v>
      </c>
      <c r="Q74" s="300">
        <f t="shared" si="37"/>
        <v>0</v>
      </c>
      <c r="R74" s="300">
        <f t="shared" si="37"/>
        <v>0</v>
      </c>
      <c r="S74" s="300">
        <f t="shared" si="37"/>
        <v>0</v>
      </c>
      <c r="T74" s="300">
        <f t="shared" si="37"/>
        <v>0</v>
      </c>
      <c r="U74" s="300">
        <f t="shared" si="37"/>
        <v>0</v>
      </c>
      <c r="V74" s="300">
        <f t="shared" si="37"/>
        <v>0</v>
      </c>
      <c r="W74" s="300">
        <f t="shared" si="37"/>
        <v>0</v>
      </c>
      <c r="X74" s="300">
        <f t="shared" si="37"/>
        <v>0</v>
      </c>
      <c r="Y74" s="300">
        <f t="shared" si="37"/>
        <v>0</v>
      </c>
      <c r="Z74" s="300">
        <f t="shared" si="37"/>
        <v>0</v>
      </c>
      <c r="AA74" s="300">
        <f t="shared" si="37"/>
        <v>0</v>
      </c>
      <c r="AB74" s="300">
        <f t="shared" si="37"/>
        <v>0</v>
      </c>
      <c r="AC74" s="300">
        <f t="shared" si="37"/>
        <v>0</v>
      </c>
      <c r="AD74" s="300">
        <f t="shared" si="37"/>
        <v>0</v>
      </c>
      <c r="AE74" s="300">
        <f t="shared" si="37"/>
        <v>0</v>
      </c>
      <c r="AF74" s="300">
        <f t="shared" si="37"/>
        <v>0</v>
      </c>
      <c r="AG74" s="300">
        <f t="shared" si="37"/>
        <v>0</v>
      </c>
      <c r="AH74" s="245"/>
      <c r="AI74" s="423"/>
      <c r="AJ74" s="424"/>
      <c r="AL74" s="221"/>
      <c r="AM74" s="124"/>
      <c r="AN74" s="124"/>
      <c r="AO74" s="124"/>
      <c r="BD74" s="124"/>
      <c r="BE74" s="124"/>
      <c r="BF74" s="124"/>
      <c r="BG74" s="124"/>
      <c r="BH74" s="124"/>
      <c r="BI74" s="124"/>
      <c r="BJ74" s="124"/>
      <c r="BK74" s="124"/>
    </row>
    <row r="75" spans="1:63" s="1" customFormat="1" outlineLevel="1" x14ac:dyDescent="0.2">
      <c r="A75" s="1" t="s">
        <v>1564</v>
      </c>
      <c r="B75" s="65"/>
      <c r="C75" s="300">
        <f t="shared" ref="C75:AG75" si="38">C74-$C74</f>
        <v>0</v>
      </c>
      <c r="D75" s="300">
        <f t="shared" si="38"/>
        <v>0</v>
      </c>
      <c r="E75" s="300">
        <f t="shared" si="38"/>
        <v>0</v>
      </c>
      <c r="F75" s="300">
        <f t="shared" si="38"/>
        <v>0</v>
      </c>
      <c r="G75" s="300">
        <f t="shared" si="38"/>
        <v>0</v>
      </c>
      <c r="H75" s="300">
        <f t="shared" si="38"/>
        <v>0</v>
      </c>
      <c r="I75" s="300">
        <f t="shared" si="38"/>
        <v>0</v>
      </c>
      <c r="J75" s="300">
        <f t="shared" si="38"/>
        <v>0</v>
      </c>
      <c r="K75" s="300">
        <f t="shared" si="38"/>
        <v>0</v>
      </c>
      <c r="L75" s="300">
        <f t="shared" si="38"/>
        <v>0</v>
      </c>
      <c r="M75" s="300">
        <f t="shared" si="38"/>
        <v>0</v>
      </c>
      <c r="N75" s="300">
        <f t="shared" si="38"/>
        <v>0</v>
      </c>
      <c r="O75" s="300">
        <f t="shared" si="38"/>
        <v>0</v>
      </c>
      <c r="P75" s="300">
        <f t="shared" si="38"/>
        <v>0</v>
      </c>
      <c r="Q75" s="300">
        <f t="shared" si="38"/>
        <v>0</v>
      </c>
      <c r="R75" s="300">
        <f t="shared" si="38"/>
        <v>0</v>
      </c>
      <c r="S75" s="300">
        <f t="shared" si="38"/>
        <v>0</v>
      </c>
      <c r="T75" s="300">
        <f t="shared" si="38"/>
        <v>0</v>
      </c>
      <c r="U75" s="300">
        <f t="shared" si="38"/>
        <v>0</v>
      </c>
      <c r="V75" s="300">
        <f t="shared" si="38"/>
        <v>0</v>
      </c>
      <c r="W75" s="300">
        <f t="shared" si="38"/>
        <v>0</v>
      </c>
      <c r="X75" s="300">
        <f t="shared" si="38"/>
        <v>0</v>
      </c>
      <c r="Y75" s="300">
        <f t="shared" si="38"/>
        <v>0</v>
      </c>
      <c r="Z75" s="300">
        <f t="shared" si="38"/>
        <v>0</v>
      </c>
      <c r="AA75" s="300">
        <f t="shared" si="38"/>
        <v>0</v>
      </c>
      <c r="AB75" s="300">
        <f t="shared" si="38"/>
        <v>0</v>
      </c>
      <c r="AC75" s="300">
        <f t="shared" si="38"/>
        <v>0</v>
      </c>
      <c r="AD75" s="300">
        <f t="shared" si="38"/>
        <v>0</v>
      </c>
      <c r="AE75" s="300">
        <f t="shared" si="38"/>
        <v>0</v>
      </c>
      <c r="AF75" s="300">
        <f t="shared" si="38"/>
        <v>0</v>
      </c>
      <c r="AG75" s="300">
        <f t="shared" si="38"/>
        <v>0</v>
      </c>
      <c r="AH75" s="245"/>
      <c r="AI75" s="423"/>
      <c r="AJ75" s="424"/>
      <c r="AL75" s="221"/>
      <c r="AM75" s="124"/>
      <c r="AN75" s="124"/>
      <c r="AO75" s="124"/>
      <c r="BD75" s="124"/>
      <c r="BE75" s="124"/>
      <c r="BF75" s="124"/>
      <c r="BG75" s="124"/>
      <c r="BH75" s="124"/>
      <c r="BI75" s="124"/>
      <c r="BJ75" s="124"/>
      <c r="BK75" s="124"/>
    </row>
    <row r="76" spans="1:63" s="1" customFormat="1" outlineLevel="1" x14ac:dyDescent="0.2">
      <c r="A76" s="1" t="s">
        <v>1565</v>
      </c>
      <c r="B76" s="65"/>
      <c r="C76" s="300">
        <f t="shared" ref="C76:AG76" si="39">C50*C69</f>
        <v>0</v>
      </c>
      <c r="D76" s="300">
        <f t="shared" si="39"/>
        <v>0</v>
      </c>
      <c r="E76" s="300">
        <f t="shared" si="39"/>
        <v>0</v>
      </c>
      <c r="F76" s="300">
        <f t="shared" si="39"/>
        <v>0</v>
      </c>
      <c r="G76" s="300">
        <f t="shared" si="39"/>
        <v>0</v>
      </c>
      <c r="H76" s="300">
        <f t="shared" si="39"/>
        <v>0</v>
      </c>
      <c r="I76" s="300">
        <f t="shared" si="39"/>
        <v>0</v>
      </c>
      <c r="J76" s="300">
        <f t="shared" si="39"/>
        <v>0</v>
      </c>
      <c r="K76" s="300">
        <f t="shared" si="39"/>
        <v>0</v>
      </c>
      <c r="L76" s="300">
        <f t="shared" si="39"/>
        <v>0</v>
      </c>
      <c r="M76" s="300">
        <f t="shared" si="39"/>
        <v>0</v>
      </c>
      <c r="N76" s="300">
        <f t="shared" si="39"/>
        <v>0</v>
      </c>
      <c r="O76" s="300">
        <f t="shared" si="39"/>
        <v>0</v>
      </c>
      <c r="P76" s="300">
        <f t="shared" si="39"/>
        <v>0</v>
      </c>
      <c r="Q76" s="300">
        <f t="shared" si="39"/>
        <v>0</v>
      </c>
      <c r="R76" s="300">
        <f t="shared" si="39"/>
        <v>0</v>
      </c>
      <c r="S76" s="300">
        <f t="shared" si="39"/>
        <v>0</v>
      </c>
      <c r="T76" s="300">
        <f t="shared" si="39"/>
        <v>0</v>
      </c>
      <c r="U76" s="300">
        <f t="shared" si="39"/>
        <v>0</v>
      </c>
      <c r="V76" s="300">
        <f t="shared" si="39"/>
        <v>0</v>
      </c>
      <c r="W76" s="300">
        <f t="shared" si="39"/>
        <v>0</v>
      </c>
      <c r="X76" s="300">
        <f t="shared" si="39"/>
        <v>0</v>
      </c>
      <c r="Y76" s="300">
        <f t="shared" si="39"/>
        <v>0</v>
      </c>
      <c r="Z76" s="300">
        <f t="shared" si="39"/>
        <v>0</v>
      </c>
      <c r="AA76" s="300">
        <f t="shared" si="39"/>
        <v>0</v>
      </c>
      <c r="AB76" s="300">
        <f t="shared" si="39"/>
        <v>0</v>
      </c>
      <c r="AC76" s="300">
        <f t="shared" si="39"/>
        <v>0</v>
      </c>
      <c r="AD76" s="300">
        <f t="shared" si="39"/>
        <v>0</v>
      </c>
      <c r="AE76" s="300">
        <f t="shared" si="39"/>
        <v>0</v>
      </c>
      <c r="AF76" s="300">
        <f t="shared" si="39"/>
        <v>0</v>
      </c>
      <c r="AG76" s="300">
        <f t="shared" si="39"/>
        <v>0</v>
      </c>
      <c r="AH76" s="245"/>
      <c r="AI76" s="423"/>
      <c r="AJ76" s="424"/>
      <c r="AL76" s="221"/>
      <c r="AM76" s="124"/>
      <c r="AN76" s="124"/>
      <c r="AO76" s="124"/>
      <c r="BD76" s="124"/>
      <c r="BE76" s="124"/>
      <c r="BF76" s="124"/>
      <c r="BG76" s="124"/>
      <c r="BH76" s="124"/>
      <c r="BI76" s="124"/>
      <c r="BJ76" s="124"/>
      <c r="BK76" s="124"/>
    </row>
    <row r="77" spans="1:63" s="1" customFormat="1" outlineLevel="1" x14ac:dyDescent="0.2">
      <c r="A77" s="1" t="s">
        <v>1566</v>
      </c>
      <c r="B77" s="65"/>
      <c r="C77" s="300">
        <f t="shared" ref="C77:AG77" si="40">C76-$C76</f>
        <v>0</v>
      </c>
      <c r="D77" s="300">
        <f t="shared" si="40"/>
        <v>0</v>
      </c>
      <c r="E77" s="300">
        <f t="shared" si="40"/>
        <v>0</v>
      </c>
      <c r="F77" s="300">
        <f t="shared" si="40"/>
        <v>0</v>
      </c>
      <c r="G77" s="300">
        <f t="shared" si="40"/>
        <v>0</v>
      </c>
      <c r="H77" s="300">
        <f t="shared" si="40"/>
        <v>0</v>
      </c>
      <c r="I77" s="300">
        <f t="shared" si="40"/>
        <v>0</v>
      </c>
      <c r="J77" s="300">
        <f t="shared" si="40"/>
        <v>0</v>
      </c>
      <c r="K77" s="300">
        <f t="shared" si="40"/>
        <v>0</v>
      </c>
      <c r="L77" s="300">
        <f t="shared" si="40"/>
        <v>0</v>
      </c>
      <c r="M77" s="300">
        <f t="shared" si="40"/>
        <v>0</v>
      </c>
      <c r="N77" s="300">
        <f t="shared" si="40"/>
        <v>0</v>
      </c>
      <c r="O77" s="300">
        <f t="shared" si="40"/>
        <v>0</v>
      </c>
      <c r="P77" s="300">
        <f t="shared" si="40"/>
        <v>0</v>
      </c>
      <c r="Q77" s="300">
        <f t="shared" si="40"/>
        <v>0</v>
      </c>
      <c r="R77" s="300">
        <f t="shared" si="40"/>
        <v>0</v>
      </c>
      <c r="S77" s="300">
        <f t="shared" si="40"/>
        <v>0</v>
      </c>
      <c r="T77" s="300">
        <f t="shared" si="40"/>
        <v>0</v>
      </c>
      <c r="U77" s="300">
        <f t="shared" si="40"/>
        <v>0</v>
      </c>
      <c r="V77" s="300">
        <f t="shared" si="40"/>
        <v>0</v>
      </c>
      <c r="W77" s="300">
        <f t="shared" si="40"/>
        <v>0</v>
      </c>
      <c r="X77" s="300">
        <f t="shared" si="40"/>
        <v>0</v>
      </c>
      <c r="Y77" s="300">
        <f t="shared" si="40"/>
        <v>0</v>
      </c>
      <c r="Z77" s="300">
        <f t="shared" si="40"/>
        <v>0</v>
      </c>
      <c r="AA77" s="300">
        <f t="shared" si="40"/>
        <v>0</v>
      </c>
      <c r="AB77" s="300">
        <f t="shared" si="40"/>
        <v>0</v>
      </c>
      <c r="AC77" s="300">
        <f t="shared" si="40"/>
        <v>0</v>
      </c>
      <c r="AD77" s="300">
        <f t="shared" si="40"/>
        <v>0</v>
      </c>
      <c r="AE77" s="300">
        <f t="shared" si="40"/>
        <v>0</v>
      </c>
      <c r="AF77" s="300">
        <f t="shared" si="40"/>
        <v>0</v>
      </c>
      <c r="AG77" s="300">
        <f t="shared" si="40"/>
        <v>0</v>
      </c>
      <c r="AH77" s="245"/>
      <c r="AI77" s="423"/>
      <c r="AJ77" s="424"/>
      <c r="AL77" s="221"/>
      <c r="AM77" s="124"/>
      <c r="AN77" s="124"/>
      <c r="AO77" s="124"/>
      <c r="BD77" s="124"/>
      <c r="BE77" s="124"/>
      <c r="BF77" s="124"/>
      <c r="BG77" s="124"/>
      <c r="BH77" s="124"/>
      <c r="BI77" s="124"/>
      <c r="BJ77" s="124"/>
      <c r="BK77" s="124"/>
    </row>
    <row r="78" spans="1:63" s="1" customFormat="1" outlineLevel="1" x14ac:dyDescent="0.2">
      <c r="A78" s="1" t="s">
        <v>1567</v>
      </c>
      <c r="B78" s="65"/>
      <c r="C78" s="300">
        <f t="shared" ref="C78:AG78" si="41">C42*C68</f>
        <v>0</v>
      </c>
      <c r="D78" s="300">
        <f t="shared" si="41"/>
        <v>0</v>
      </c>
      <c r="E78" s="300">
        <f t="shared" si="41"/>
        <v>0</v>
      </c>
      <c r="F78" s="300">
        <f t="shared" si="41"/>
        <v>0</v>
      </c>
      <c r="G78" s="300">
        <f t="shared" si="41"/>
        <v>0</v>
      </c>
      <c r="H78" s="300">
        <f t="shared" si="41"/>
        <v>0</v>
      </c>
      <c r="I78" s="300">
        <f t="shared" si="41"/>
        <v>0</v>
      </c>
      <c r="J78" s="300">
        <f t="shared" si="41"/>
        <v>0</v>
      </c>
      <c r="K78" s="300">
        <f t="shared" si="41"/>
        <v>0</v>
      </c>
      <c r="L78" s="300">
        <f t="shared" si="41"/>
        <v>0</v>
      </c>
      <c r="M78" s="300">
        <f t="shared" si="41"/>
        <v>0</v>
      </c>
      <c r="N78" s="300">
        <f t="shared" si="41"/>
        <v>0</v>
      </c>
      <c r="O78" s="300">
        <f t="shared" si="41"/>
        <v>0</v>
      </c>
      <c r="P78" s="300">
        <f t="shared" si="41"/>
        <v>0</v>
      </c>
      <c r="Q78" s="300">
        <f t="shared" si="41"/>
        <v>0</v>
      </c>
      <c r="R78" s="300">
        <f t="shared" si="41"/>
        <v>0</v>
      </c>
      <c r="S78" s="300">
        <f t="shared" si="41"/>
        <v>0</v>
      </c>
      <c r="T78" s="300">
        <f t="shared" si="41"/>
        <v>0</v>
      </c>
      <c r="U78" s="300">
        <f t="shared" si="41"/>
        <v>0</v>
      </c>
      <c r="V78" s="300">
        <f t="shared" si="41"/>
        <v>0</v>
      </c>
      <c r="W78" s="300">
        <f t="shared" si="41"/>
        <v>0</v>
      </c>
      <c r="X78" s="300">
        <f t="shared" si="41"/>
        <v>0</v>
      </c>
      <c r="Y78" s="300">
        <f t="shared" si="41"/>
        <v>0</v>
      </c>
      <c r="Z78" s="300">
        <f t="shared" si="41"/>
        <v>0</v>
      </c>
      <c r="AA78" s="300">
        <f t="shared" si="41"/>
        <v>0</v>
      </c>
      <c r="AB78" s="300">
        <f t="shared" si="41"/>
        <v>0</v>
      </c>
      <c r="AC78" s="300">
        <f t="shared" si="41"/>
        <v>0</v>
      </c>
      <c r="AD78" s="300">
        <f t="shared" si="41"/>
        <v>0</v>
      </c>
      <c r="AE78" s="300">
        <f t="shared" si="41"/>
        <v>0</v>
      </c>
      <c r="AF78" s="300">
        <f t="shared" si="41"/>
        <v>0</v>
      </c>
      <c r="AG78" s="300">
        <f t="shared" si="41"/>
        <v>0</v>
      </c>
      <c r="AH78" s="245"/>
      <c r="AI78" s="423"/>
      <c r="AJ78" s="424"/>
      <c r="AL78" s="221"/>
      <c r="AM78" s="124"/>
      <c r="AN78" s="124"/>
      <c r="AO78" s="124"/>
      <c r="BD78" s="124"/>
      <c r="BE78" s="124"/>
      <c r="BF78" s="124"/>
      <c r="BG78" s="124"/>
      <c r="BH78" s="124"/>
      <c r="BI78" s="124"/>
      <c r="BJ78" s="124"/>
      <c r="BK78" s="124"/>
    </row>
    <row r="79" spans="1:63" s="1" customFormat="1" outlineLevel="1" x14ac:dyDescent="0.2">
      <c r="A79" s="1" t="s">
        <v>1568</v>
      </c>
      <c r="B79" s="65"/>
      <c r="C79" s="300">
        <f t="shared" ref="C79:AG79" si="42">C78-$C78</f>
        <v>0</v>
      </c>
      <c r="D79" s="300">
        <f t="shared" si="42"/>
        <v>0</v>
      </c>
      <c r="E79" s="300">
        <f t="shared" si="42"/>
        <v>0</v>
      </c>
      <c r="F79" s="300">
        <f t="shared" si="42"/>
        <v>0</v>
      </c>
      <c r="G79" s="300">
        <f t="shared" si="42"/>
        <v>0</v>
      </c>
      <c r="H79" s="300">
        <f t="shared" si="42"/>
        <v>0</v>
      </c>
      <c r="I79" s="300">
        <f t="shared" si="42"/>
        <v>0</v>
      </c>
      <c r="J79" s="300">
        <f t="shared" si="42"/>
        <v>0</v>
      </c>
      <c r="K79" s="300">
        <f t="shared" si="42"/>
        <v>0</v>
      </c>
      <c r="L79" s="300">
        <f t="shared" si="42"/>
        <v>0</v>
      </c>
      <c r="M79" s="300">
        <f t="shared" si="42"/>
        <v>0</v>
      </c>
      <c r="N79" s="300">
        <f t="shared" si="42"/>
        <v>0</v>
      </c>
      <c r="O79" s="300">
        <f t="shared" si="42"/>
        <v>0</v>
      </c>
      <c r="P79" s="300">
        <f t="shared" si="42"/>
        <v>0</v>
      </c>
      <c r="Q79" s="300">
        <f t="shared" si="42"/>
        <v>0</v>
      </c>
      <c r="R79" s="300">
        <f t="shared" si="42"/>
        <v>0</v>
      </c>
      <c r="S79" s="300">
        <f t="shared" si="42"/>
        <v>0</v>
      </c>
      <c r="T79" s="300">
        <f t="shared" si="42"/>
        <v>0</v>
      </c>
      <c r="U79" s="300">
        <f t="shared" si="42"/>
        <v>0</v>
      </c>
      <c r="V79" s="300">
        <f t="shared" si="42"/>
        <v>0</v>
      </c>
      <c r="W79" s="300">
        <f t="shared" si="42"/>
        <v>0</v>
      </c>
      <c r="X79" s="300">
        <f t="shared" si="42"/>
        <v>0</v>
      </c>
      <c r="Y79" s="300">
        <f t="shared" si="42"/>
        <v>0</v>
      </c>
      <c r="Z79" s="300">
        <f t="shared" si="42"/>
        <v>0</v>
      </c>
      <c r="AA79" s="300">
        <f t="shared" si="42"/>
        <v>0</v>
      </c>
      <c r="AB79" s="300">
        <f t="shared" si="42"/>
        <v>0</v>
      </c>
      <c r="AC79" s="300">
        <f t="shared" si="42"/>
        <v>0</v>
      </c>
      <c r="AD79" s="300">
        <f t="shared" si="42"/>
        <v>0</v>
      </c>
      <c r="AE79" s="300">
        <f t="shared" si="42"/>
        <v>0</v>
      </c>
      <c r="AF79" s="300">
        <f t="shared" si="42"/>
        <v>0</v>
      </c>
      <c r="AG79" s="300">
        <f t="shared" si="42"/>
        <v>0</v>
      </c>
      <c r="AH79" s="245"/>
      <c r="AI79" s="423"/>
      <c r="AJ79" s="424"/>
      <c r="AL79" s="221"/>
      <c r="AM79" s="124"/>
      <c r="AN79" s="124"/>
      <c r="AO79" s="124"/>
      <c r="BD79" s="124"/>
      <c r="BE79" s="124"/>
      <c r="BF79" s="124"/>
      <c r="BG79" s="124"/>
      <c r="BH79" s="124"/>
      <c r="BI79" s="124"/>
      <c r="BJ79" s="124"/>
      <c r="BK79" s="124"/>
    </row>
    <row r="80" spans="1:63" s="1" customFormat="1" outlineLevel="1" x14ac:dyDescent="0.2">
      <c r="A80" s="1" t="s">
        <v>1569</v>
      </c>
      <c r="B80" s="65"/>
      <c r="C80" s="300">
        <f t="shared" ref="C80:AG80" si="43">C42*C70</f>
        <v>0</v>
      </c>
      <c r="D80" s="300">
        <f t="shared" si="43"/>
        <v>0</v>
      </c>
      <c r="E80" s="300">
        <f t="shared" si="43"/>
        <v>0</v>
      </c>
      <c r="F80" s="300">
        <f t="shared" si="43"/>
        <v>0</v>
      </c>
      <c r="G80" s="300">
        <f t="shared" si="43"/>
        <v>0</v>
      </c>
      <c r="H80" s="300">
        <f t="shared" si="43"/>
        <v>0</v>
      </c>
      <c r="I80" s="300">
        <f t="shared" si="43"/>
        <v>0</v>
      </c>
      <c r="J80" s="300">
        <f t="shared" si="43"/>
        <v>0</v>
      </c>
      <c r="K80" s="300">
        <f t="shared" si="43"/>
        <v>0</v>
      </c>
      <c r="L80" s="300">
        <f t="shared" si="43"/>
        <v>0</v>
      </c>
      <c r="M80" s="300">
        <f t="shared" si="43"/>
        <v>0</v>
      </c>
      <c r="N80" s="300">
        <f t="shared" si="43"/>
        <v>0</v>
      </c>
      <c r="O80" s="300">
        <f t="shared" si="43"/>
        <v>0</v>
      </c>
      <c r="P80" s="300">
        <f t="shared" si="43"/>
        <v>0</v>
      </c>
      <c r="Q80" s="300">
        <f t="shared" si="43"/>
        <v>0</v>
      </c>
      <c r="R80" s="300">
        <f t="shared" si="43"/>
        <v>0</v>
      </c>
      <c r="S80" s="300">
        <f t="shared" si="43"/>
        <v>0</v>
      </c>
      <c r="T80" s="300">
        <f t="shared" si="43"/>
        <v>0</v>
      </c>
      <c r="U80" s="300">
        <f t="shared" si="43"/>
        <v>0</v>
      </c>
      <c r="V80" s="300">
        <f t="shared" si="43"/>
        <v>0</v>
      </c>
      <c r="W80" s="300">
        <f t="shared" si="43"/>
        <v>0</v>
      </c>
      <c r="X80" s="300">
        <f t="shared" si="43"/>
        <v>0</v>
      </c>
      <c r="Y80" s="300">
        <f t="shared" si="43"/>
        <v>0</v>
      </c>
      <c r="Z80" s="300">
        <f t="shared" si="43"/>
        <v>0</v>
      </c>
      <c r="AA80" s="300">
        <f t="shared" si="43"/>
        <v>0</v>
      </c>
      <c r="AB80" s="300">
        <f t="shared" si="43"/>
        <v>0</v>
      </c>
      <c r="AC80" s="300">
        <f t="shared" si="43"/>
        <v>0</v>
      </c>
      <c r="AD80" s="300">
        <f t="shared" si="43"/>
        <v>0</v>
      </c>
      <c r="AE80" s="300">
        <f t="shared" si="43"/>
        <v>0</v>
      </c>
      <c r="AF80" s="300">
        <f t="shared" si="43"/>
        <v>0</v>
      </c>
      <c r="AG80" s="300">
        <f t="shared" si="43"/>
        <v>0</v>
      </c>
      <c r="AH80" s="245"/>
      <c r="AI80" s="423"/>
      <c r="AJ80" s="424"/>
      <c r="AL80" s="221"/>
      <c r="AM80" s="124"/>
      <c r="AN80" s="124"/>
      <c r="AO80" s="124"/>
      <c r="BD80" s="124"/>
      <c r="BE80" s="124"/>
      <c r="BF80" s="124"/>
      <c r="BG80" s="124"/>
      <c r="BH80" s="124"/>
      <c r="BI80" s="124"/>
      <c r="BJ80" s="124"/>
      <c r="BK80" s="124"/>
    </row>
    <row r="81" spans="1:63" s="1" customFormat="1" outlineLevel="1" x14ac:dyDescent="0.2">
      <c r="A81" s="1" t="s">
        <v>1570</v>
      </c>
      <c r="B81" s="65"/>
      <c r="C81" s="300">
        <f t="shared" ref="C81:AG81" si="44">C80-$C80</f>
        <v>0</v>
      </c>
      <c r="D81" s="300">
        <f t="shared" si="44"/>
        <v>0</v>
      </c>
      <c r="E81" s="300">
        <f t="shared" si="44"/>
        <v>0</v>
      </c>
      <c r="F81" s="300">
        <f t="shared" si="44"/>
        <v>0</v>
      </c>
      <c r="G81" s="300">
        <f t="shared" si="44"/>
        <v>0</v>
      </c>
      <c r="H81" s="300">
        <f t="shared" si="44"/>
        <v>0</v>
      </c>
      <c r="I81" s="300">
        <f t="shared" si="44"/>
        <v>0</v>
      </c>
      <c r="J81" s="300">
        <f t="shared" si="44"/>
        <v>0</v>
      </c>
      <c r="K81" s="300">
        <f t="shared" si="44"/>
        <v>0</v>
      </c>
      <c r="L81" s="300">
        <f t="shared" si="44"/>
        <v>0</v>
      </c>
      <c r="M81" s="300">
        <f t="shared" si="44"/>
        <v>0</v>
      </c>
      <c r="N81" s="300">
        <f t="shared" si="44"/>
        <v>0</v>
      </c>
      <c r="O81" s="300">
        <f t="shared" si="44"/>
        <v>0</v>
      </c>
      <c r="P81" s="300">
        <f t="shared" si="44"/>
        <v>0</v>
      </c>
      <c r="Q81" s="300">
        <f t="shared" si="44"/>
        <v>0</v>
      </c>
      <c r="R81" s="300">
        <f t="shared" si="44"/>
        <v>0</v>
      </c>
      <c r="S81" s="300">
        <f t="shared" si="44"/>
        <v>0</v>
      </c>
      <c r="T81" s="300">
        <f t="shared" si="44"/>
        <v>0</v>
      </c>
      <c r="U81" s="300">
        <f t="shared" si="44"/>
        <v>0</v>
      </c>
      <c r="V81" s="300">
        <f t="shared" si="44"/>
        <v>0</v>
      </c>
      <c r="W81" s="300">
        <f t="shared" si="44"/>
        <v>0</v>
      </c>
      <c r="X81" s="300">
        <f t="shared" si="44"/>
        <v>0</v>
      </c>
      <c r="Y81" s="300">
        <f t="shared" si="44"/>
        <v>0</v>
      </c>
      <c r="Z81" s="300">
        <f t="shared" si="44"/>
        <v>0</v>
      </c>
      <c r="AA81" s="300">
        <f t="shared" si="44"/>
        <v>0</v>
      </c>
      <c r="AB81" s="300">
        <f t="shared" si="44"/>
        <v>0</v>
      </c>
      <c r="AC81" s="300">
        <f t="shared" si="44"/>
        <v>0</v>
      </c>
      <c r="AD81" s="300">
        <f t="shared" si="44"/>
        <v>0</v>
      </c>
      <c r="AE81" s="300">
        <f t="shared" si="44"/>
        <v>0</v>
      </c>
      <c r="AF81" s="300">
        <f t="shared" si="44"/>
        <v>0</v>
      </c>
      <c r="AG81" s="300">
        <f t="shared" si="44"/>
        <v>0</v>
      </c>
      <c r="AH81" s="245"/>
      <c r="AI81" s="423"/>
      <c r="AJ81" s="424"/>
      <c r="AL81" s="221"/>
      <c r="AM81" s="124"/>
      <c r="AN81" s="124"/>
      <c r="AO81" s="124"/>
      <c r="BD81" s="124"/>
      <c r="BE81" s="124"/>
      <c r="BF81" s="124"/>
      <c r="BG81" s="124"/>
      <c r="BH81" s="124"/>
      <c r="BI81" s="124"/>
      <c r="BJ81" s="124"/>
      <c r="BK81" s="124"/>
    </row>
    <row r="82" spans="1:63" outlineLevel="1" x14ac:dyDescent="0.2">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c r="AD82" s="23"/>
      <c r="AE82" s="23"/>
      <c r="AF82" s="23"/>
      <c r="AG82" s="23"/>
      <c r="AI82" s="134"/>
      <c r="AJ82" s="211"/>
      <c r="AL82" s="108"/>
      <c r="AM82" s="132"/>
      <c r="AN82" s="2"/>
      <c r="AO82" s="2"/>
    </row>
    <row r="83" spans="1:63" s="200" customFormat="1" ht="16" thickBot="1" x14ac:dyDescent="0.25">
      <c r="A83" s="200" t="s">
        <v>1330</v>
      </c>
      <c r="B83" s="215"/>
      <c r="C83" s="222">
        <f>C84</f>
        <v>0.1</v>
      </c>
      <c r="D83" s="222">
        <f t="shared" ref="D83:AG83" si="45">D84</f>
        <v>0.11333333333333334</v>
      </c>
      <c r="E83" s="222">
        <f t="shared" si="45"/>
        <v>0.12666666666666668</v>
      </c>
      <c r="F83" s="222">
        <f t="shared" si="45"/>
        <v>0.14000000000000001</v>
      </c>
      <c r="G83" s="222">
        <f t="shared" si="45"/>
        <v>0.15333333333333332</v>
      </c>
      <c r="H83" s="222">
        <f t="shared" si="45"/>
        <v>0.16666666666666669</v>
      </c>
      <c r="I83" s="222">
        <f t="shared" si="45"/>
        <v>0.18</v>
      </c>
      <c r="J83" s="222">
        <f t="shared" si="45"/>
        <v>0.19333333333333333</v>
      </c>
      <c r="K83" s="222">
        <f t="shared" si="45"/>
        <v>0.20666666666666667</v>
      </c>
      <c r="L83" s="222">
        <f t="shared" si="45"/>
        <v>0.22</v>
      </c>
      <c r="M83" s="222">
        <f t="shared" si="45"/>
        <v>0.23333333333333334</v>
      </c>
      <c r="N83" s="222">
        <f t="shared" si="45"/>
        <v>0.24666666666666667</v>
      </c>
      <c r="O83" s="222">
        <f t="shared" si="45"/>
        <v>0.26</v>
      </c>
      <c r="P83" s="222">
        <f t="shared" si="45"/>
        <v>0.27333333333333332</v>
      </c>
      <c r="Q83" s="222">
        <f t="shared" si="45"/>
        <v>0.28666666666666668</v>
      </c>
      <c r="R83" s="222">
        <f t="shared" si="45"/>
        <v>0.30000000000000004</v>
      </c>
      <c r="S83" s="222">
        <f t="shared" si="45"/>
        <v>0.31333333333333335</v>
      </c>
      <c r="T83" s="222">
        <f t="shared" si="45"/>
        <v>0.32666666666666666</v>
      </c>
      <c r="U83" s="222">
        <f t="shared" si="45"/>
        <v>0.34</v>
      </c>
      <c r="V83" s="222">
        <f t="shared" si="45"/>
        <v>0.35333333333333339</v>
      </c>
      <c r="W83" s="222">
        <f t="shared" si="45"/>
        <v>0.3666666666666667</v>
      </c>
      <c r="X83" s="222">
        <f t="shared" si="45"/>
        <v>0.38</v>
      </c>
      <c r="Y83" s="222">
        <f t="shared" si="45"/>
        <v>0.39333333333333337</v>
      </c>
      <c r="Z83" s="222">
        <f t="shared" si="45"/>
        <v>0.40666666666666668</v>
      </c>
      <c r="AA83" s="222">
        <f t="shared" si="45"/>
        <v>0.42000000000000004</v>
      </c>
      <c r="AB83" s="222">
        <f t="shared" si="45"/>
        <v>0.43333333333333335</v>
      </c>
      <c r="AC83" s="222">
        <f t="shared" si="45"/>
        <v>0.44666666666666666</v>
      </c>
      <c r="AD83" s="222">
        <f t="shared" si="45"/>
        <v>0.46</v>
      </c>
      <c r="AE83" s="222">
        <f t="shared" si="45"/>
        <v>0.47333333333333333</v>
      </c>
      <c r="AF83" s="222">
        <f t="shared" si="45"/>
        <v>0.48666666666666669</v>
      </c>
      <c r="AG83" s="222">
        <f t="shared" si="45"/>
        <v>0.5</v>
      </c>
      <c r="AJ83" s="231" t="s">
        <v>1331</v>
      </c>
      <c r="AL83" s="217"/>
      <c r="AM83" s="218"/>
      <c r="AN83" s="218"/>
      <c r="AO83" s="218"/>
    </row>
    <row r="84" spans="1:63" ht="16" outlineLevel="1" thickTop="1" x14ac:dyDescent="0.2">
      <c r="A84" t="s">
        <v>1332</v>
      </c>
      <c r="B84" s="54" t="s">
        <v>462</v>
      </c>
      <c r="C84" s="214">
        <v>0.1</v>
      </c>
      <c r="D84" s="110">
        <f>$C84+($M84-$C84)/10*(D$1-$C$1)</f>
        <v>0.11333333333333334</v>
      </c>
      <c r="E84" s="110">
        <f t="shared" ref="E84:L84" si="46">$C84+($M84-$C84)/10*(E$1-$C$1)</f>
        <v>0.12666666666666668</v>
      </c>
      <c r="F84" s="110">
        <f t="shared" si="46"/>
        <v>0.14000000000000001</v>
      </c>
      <c r="G84" s="110">
        <f t="shared" si="46"/>
        <v>0.15333333333333332</v>
      </c>
      <c r="H84" s="110">
        <f t="shared" si="46"/>
        <v>0.16666666666666669</v>
      </c>
      <c r="I84" s="110">
        <f t="shared" si="46"/>
        <v>0.18</v>
      </c>
      <c r="J84" s="110">
        <f t="shared" si="46"/>
        <v>0.19333333333333333</v>
      </c>
      <c r="K84" s="110">
        <f t="shared" si="46"/>
        <v>0.20666666666666667</v>
      </c>
      <c r="L84" s="110">
        <f t="shared" si="46"/>
        <v>0.22</v>
      </c>
      <c r="M84" s="121">
        <f>C84+(AG84-C84)/3</f>
        <v>0.23333333333333334</v>
      </c>
      <c r="N84" s="121">
        <f>$M84+($W84-$M84)/10*(N$1-$M$1)</f>
        <v>0.24666666666666667</v>
      </c>
      <c r="O84" s="121">
        <f t="shared" ref="O84:U84" si="47">$M84+($W84-$M84)/10*(O$1-$M$1)</f>
        <v>0.26</v>
      </c>
      <c r="P84" s="121">
        <f t="shared" si="47"/>
        <v>0.27333333333333332</v>
      </c>
      <c r="Q84" s="121">
        <f t="shared" si="47"/>
        <v>0.28666666666666668</v>
      </c>
      <c r="R84" s="121">
        <f t="shared" si="47"/>
        <v>0.30000000000000004</v>
      </c>
      <c r="S84" s="121">
        <f t="shared" si="47"/>
        <v>0.31333333333333335</v>
      </c>
      <c r="T84" s="121">
        <f t="shared" si="47"/>
        <v>0.32666666666666666</v>
      </c>
      <c r="U84" s="121">
        <f t="shared" si="47"/>
        <v>0.34</v>
      </c>
      <c r="V84" s="121">
        <f>$M84+($W84-$M84)/10*(V$1-$M$1)</f>
        <v>0.35333333333333339</v>
      </c>
      <c r="W84" s="121">
        <f>C84+(AG84-C84)*2/3</f>
        <v>0.3666666666666667</v>
      </c>
      <c r="X84" s="110">
        <f>$W84+($AG84-$W84)/10*(X$1-$W$1)</f>
        <v>0.38</v>
      </c>
      <c r="Y84" s="110">
        <f t="shared" ref="Y84:AF84" si="48">$W84+($AG84-$W84)/10*(Y$1-$W$1)</f>
        <v>0.39333333333333337</v>
      </c>
      <c r="Z84" s="110">
        <f t="shared" si="48"/>
        <v>0.40666666666666668</v>
      </c>
      <c r="AA84" s="110">
        <f t="shared" si="48"/>
        <v>0.42000000000000004</v>
      </c>
      <c r="AB84" s="110">
        <f t="shared" si="48"/>
        <v>0.43333333333333335</v>
      </c>
      <c r="AC84" s="110">
        <f t="shared" si="48"/>
        <v>0.44666666666666666</v>
      </c>
      <c r="AD84" s="110">
        <f t="shared" si="48"/>
        <v>0.46</v>
      </c>
      <c r="AE84" s="110">
        <f t="shared" si="48"/>
        <v>0.47333333333333333</v>
      </c>
      <c r="AF84" s="110">
        <f t="shared" si="48"/>
        <v>0.48666666666666669</v>
      </c>
      <c r="AG84" s="214">
        <v>0.5</v>
      </c>
      <c r="AJ84" s="211" t="s">
        <v>1684</v>
      </c>
    </row>
    <row r="85" spans="1:63" outlineLevel="1" x14ac:dyDescent="0.2">
      <c r="A85" t="s">
        <v>1437</v>
      </c>
      <c r="B85" s="54" t="s">
        <v>462</v>
      </c>
      <c r="C85" s="214">
        <v>0</v>
      </c>
      <c r="D85" s="110">
        <f t="shared" ref="D85:AF85" si="49">C85-($C$85-$AG$85)/($AG$1-$C$1)</f>
        <v>0.01</v>
      </c>
      <c r="E85" s="110">
        <f t="shared" si="49"/>
        <v>0.02</v>
      </c>
      <c r="F85" s="110">
        <f t="shared" si="49"/>
        <v>0.03</v>
      </c>
      <c r="G85" s="110">
        <f t="shared" si="49"/>
        <v>0.04</v>
      </c>
      <c r="H85" s="110">
        <f t="shared" si="49"/>
        <v>0.05</v>
      </c>
      <c r="I85" s="110">
        <f t="shared" si="49"/>
        <v>6.0000000000000005E-2</v>
      </c>
      <c r="J85" s="110">
        <f t="shared" si="49"/>
        <v>7.0000000000000007E-2</v>
      </c>
      <c r="K85" s="110">
        <f t="shared" si="49"/>
        <v>0.08</v>
      </c>
      <c r="L85" s="110">
        <f t="shared" si="49"/>
        <v>0.09</v>
      </c>
      <c r="M85" s="110">
        <f t="shared" si="49"/>
        <v>9.9999999999999992E-2</v>
      </c>
      <c r="N85" s="110">
        <f t="shared" si="49"/>
        <v>0.10999999999999999</v>
      </c>
      <c r="O85" s="110">
        <f t="shared" si="49"/>
        <v>0.11999999999999998</v>
      </c>
      <c r="P85" s="110">
        <f t="shared" si="49"/>
        <v>0.12999999999999998</v>
      </c>
      <c r="Q85" s="110">
        <f t="shared" si="49"/>
        <v>0.13999999999999999</v>
      </c>
      <c r="R85" s="110">
        <f t="shared" si="49"/>
        <v>0.15</v>
      </c>
      <c r="S85" s="110">
        <f t="shared" si="49"/>
        <v>0.16</v>
      </c>
      <c r="T85" s="110">
        <f t="shared" si="49"/>
        <v>0.17</v>
      </c>
      <c r="U85" s="110">
        <f t="shared" si="49"/>
        <v>0.18000000000000002</v>
      </c>
      <c r="V85" s="110">
        <f t="shared" si="49"/>
        <v>0.19000000000000003</v>
      </c>
      <c r="W85" s="110">
        <f t="shared" si="49"/>
        <v>0.20000000000000004</v>
      </c>
      <c r="X85" s="110">
        <f t="shared" si="49"/>
        <v>0.21000000000000005</v>
      </c>
      <c r="Y85" s="110">
        <f t="shared" si="49"/>
        <v>0.22000000000000006</v>
      </c>
      <c r="Z85" s="110">
        <f t="shared" si="49"/>
        <v>0.23000000000000007</v>
      </c>
      <c r="AA85" s="110">
        <f t="shared" si="49"/>
        <v>0.24000000000000007</v>
      </c>
      <c r="AB85" s="110">
        <f t="shared" si="49"/>
        <v>0.25000000000000006</v>
      </c>
      <c r="AC85" s="110">
        <f t="shared" si="49"/>
        <v>0.26000000000000006</v>
      </c>
      <c r="AD85" s="110">
        <f t="shared" si="49"/>
        <v>0.27000000000000007</v>
      </c>
      <c r="AE85" s="110">
        <f t="shared" si="49"/>
        <v>0.28000000000000008</v>
      </c>
      <c r="AF85" s="110">
        <f t="shared" si="49"/>
        <v>0.29000000000000009</v>
      </c>
      <c r="AG85" s="214">
        <v>0.3</v>
      </c>
      <c r="AI85" s="134"/>
      <c r="AJ85" s="211" t="s">
        <v>1217</v>
      </c>
      <c r="AL85" s="54" t="s">
        <v>1439</v>
      </c>
    </row>
    <row r="86" spans="1:63" outlineLevel="1" x14ac:dyDescent="0.2">
      <c r="A86" t="s">
        <v>1440</v>
      </c>
      <c r="B86" s="176" t="s">
        <v>462</v>
      </c>
      <c r="C86" s="110">
        <f>1-C85</f>
        <v>1</v>
      </c>
      <c r="D86" s="110">
        <f t="shared" ref="D86:AG86" si="50">1-D85</f>
        <v>0.99</v>
      </c>
      <c r="E86" s="110">
        <f t="shared" si="50"/>
        <v>0.98</v>
      </c>
      <c r="F86" s="110">
        <f t="shared" si="50"/>
        <v>0.97</v>
      </c>
      <c r="G86" s="110">
        <f t="shared" si="50"/>
        <v>0.96</v>
      </c>
      <c r="H86" s="110">
        <f t="shared" si="50"/>
        <v>0.95</v>
      </c>
      <c r="I86" s="110">
        <f t="shared" si="50"/>
        <v>0.94</v>
      </c>
      <c r="J86" s="110">
        <f t="shared" si="50"/>
        <v>0.92999999999999994</v>
      </c>
      <c r="K86" s="110">
        <f t="shared" si="50"/>
        <v>0.92</v>
      </c>
      <c r="L86" s="110">
        <f t="shared" si="50"/>
        <v>0.91</v>
      </c>
      <c r="M86" s="110">
        <f t="shared" si="50"/>
        <v>0.9</v>
      </c>
      <c r="N86" s="110">
        <f t="shared" si="50"/>
        <v>0.89</v>
      </c>
      <c r="O86" s="110">
        <f t="shared" si="50"/>
        <v>0.88</v>
      </c>
      <c r="P86" s="110">
        <f t="shared" si="50"/>
        <v>0.87</v>
      </c>
      <c r="Q86" s="110">
        <f t="shared" si="50"/>
        <v>0.86</v>
      </c>
      <c r="R86" s="110">
        <f t="shared" si="50"/>
        <v>0.85</v>
      </c>
      <c r="S86" s="110">
        <f t="shared" si="50"/>
        <v>0.84</v>
      </c>
      <c r="T86" s="110">
        <f t="shared" si="50"/>
        <v>0.83</v>
      </c>
      <c r="U86" s="110">
        <f t="shared" si="50"/>
        <v>0.82</v>
      </c>
      <c r="V86" s="110">
        <f t="shared" si="50"/>
        <v>0.80999999999999994</v>
      </c>
      <c r="W86" s="110">
        <f t="shared" si="50"/>
        <v>0.79999999999999993</v>
      </c>
      <c r="X86" s="110">
        <f t="shared" si="50"/>
        <v>0.78999999999999992</v>
      </c>
      <c r="Y86" s="110">
        <f t="shared" si="50"/>
        <v>0.77999999999999992</v>
      </c>
      <c r="Z86" s="110">
        <f t="shared" si="50"/>
        <v>0.76999999999999991</v>
      </c>
      <c r="AA86" s="110">
        <f t="shared" si="50"/>
        <v>0.7599999999999999</v>
      </c>
      <c r="AB86" s="110">
        <f t="shared" si="50"/>
        <v>0.75</v>
      </c>
      <c r="AC86" s="110">
        <f t="shared" si="50"/>
        <v>0.74</v>
      </c>
      <c r="AD86" s="110">
        <f t="shared" si="50"/>
        <v>0.73</v>
      </c>
      <c r="AE86" s="110">
        <f t="shared" si="50"/>
        <v>0.72</v>
      </c>
      <c r="AF86" s="110">
        <f t="shared" si="50"/>
        <v>0.71</v>
      </c>
      <c r="AG86" s="110">
        <f t="shared" si="50"/>
        <v>0.7</v>
      </c>
      <c r="AI86" s="134"/>
      <c r="AJ86" s="211"/>
      <c r="BD86" s="686"/>
      <c r="BE86" s="686"/>
    </row>
    <row r="87" spans="1:63" outlineLevel="1" x14ac:dyDescent="0.2">
      <c r="A87" t="s">
        <v>1333</v>
      </c>
      <c r="B87" s="54" t="s">
        <v>462</v>
      </c>
      <c r="C87" s="110">
        <f>C84*C85</f>
        <v>0</v>
      </c>
      <c r="D87" s="110">
        <f t="shared" ref="D87:AG87" si="51">D84*D85</f>
        <v>1.1333333333333334E-3</v>
      </c>
      <c r="E87" s="110">
        <f t="shared" si="51"/>
        <v>2.5333333333333336E-3</v>
      </c>
      <c r="F87" s="110">
        <f t="shared" si="51"/>
        <v>4.2000000000000006E-3</v>
      </c>
      <c r="G87" s="110">
        <f t="shared" si="51"/>
        <v>6.1333333333333327E-3</v>
      </c>
      <c r="H87" s="110">
        <f t="shared" si="51"/>
        <v>8.333333333333335E-3</v>
      </c>
      <c r="I87" s="110">
        <f t="shared" si="51"/>
        <v>1.0800000000000001E-2</v>
      </c>
      <c r="J87" s="110">
        <f t="shared" si="51"/>
        <v>1.3533333333333335E-2</v>
      </c>
      <c r="K87" s="110">
        <f t="shared" si="51"/>
        <v>1.6533333333333334E-2</v>
      </c>
      <c r="L87" s="110">
        <f t="shared" si="51"/>
        <v>1.9799999999999998E-2</v>
      </c>
      <c r="M87" s="110">
        <f t="shared" si="51"/>
        <v>2.3333333333333331E-2</v>
      </c>
      <c r="N87" s="110">
        <f t="shared" si="51"/>
        <v>2.7133333333333332E-2</v>
      </c>
      <c r="O87" s="110">
        <f t="shared" si="51"/>
        <v>3.1199999999999995E-2</v>
      </c>
      <c r="P87" s="110">
        <f t="shared" si="51"/>
        <v>3.5533333333333326E-2</v>
      </c>
      <c r="Q87" s="110">
        <f t="shared" si="51"/>
        <v>4.0133333333333333E-2</v>
      </c>
      <c r="R87" s="110">
        <f t="shared" si="51"/>
        <v>4.5000000000000005E-2</v>
      </c>
      <c r="S87" s="110">
        <f t="shared" si="51"/>
        <v>5.0133333333333335E-2</v>
      </c>
      <c r="T87" s="110">
        <f t="shared" si="51"/>
        <v>5.5533333333333337E-2</v>
      </c>
      <c r="U87" s="110">
        <f t="shared" si="51"/>
        <v>6.1200000000000011E-2</v>
      </c>
      <c r="V87" s="110">
        <f t="shared" si="51"/>
        <v>6.713333333333335E-2</v>
      </c>
      <c r="W87" s="110">
        <f t="shared" si="51"/>
        <v>7.3333333333333348E-2</v>
      </c>
      <c r="X87" s="110">
        <f t="shared" si="51"/>
        <v>7.9800000000000024E-2</v>
      </c>
      <c r="Y87" s="110">
        <f t="shared" si="51"/>
        <v>8.6533333333333365E-2</v>
      </c>
      <c r="Z87" s="110">
        <f t="shared" si="51"/>
        <v>9.3533333333333357E-2</v>
      </c>
      <c r="AA87" s="110">
        <f t="shared" si="51"/>
        <v>0.10080000000000004</v>
      </c>
      <c r="AB87" s="110">
        <f t="shared" si="51"/>
        <v>0.10833333333333336</v>
      </c>
      <c r="AC87" s="110">
        <f t="shared" si="51"/>
        <v>0.11613333333333337</v>
      </c>
      <c r="AD87" s="110">
        <f t="shared" si="51"/>
        <v>0.12420000000000003</v>
      </c>
      <c r="AE87" s="110">
        <f t="shared" si="51"/>
        <v>0.13253333333333336</v>
      </c>
      <c r="AF87" s="110">
        <f t="shared" si="51"/>
        <v>0.14113333333333339</v>
      </c>
      <c r="AG87" s="110">
        <f t="shared" si="51"/>
        <v>0.15</v>
      </c>
      <c r="AI87" s="134"/>
      <c r="AJ87" s="211"/>
      <c r="BD87" s="203"/>
      <c r="BE87" s="203"/>
    </row>
    <row r="88" spans="1:63" outlineLevel="1" x14ac:dyDescent="0.2">
      <c r="A88" t="s">
        <v>1334</v>
      </c>
      <c r="B88" s="54" t="s">
        <v>462</v>
      </c>
      <c r="C88" s="110">
        <f>C84*C86</f>
        <v>0.1</v>
      </c>
      <c r="D88" s="110">
        <f t="shared" ref="D88:AG88" si="52">D84*D86</f>
        <v>0.11220000000000001</v>
      </c>
      <c r="E88" s="110">
        <f t="shared" si="52"/>
        <v>0.12413333333333335</v>
      </c>
      <c r="F88" s="110">
        <f t="shared" si="52"/>
        <v>0.1358</v>
      </c>
      <c r="G88" s="110">
        <f t="shared" si="52"/>
        <v>0.14719999999999997</v>
      </c>
      <c r="H88" s="110">
        <f t="shared" si="52"/>
        <v>0.15833333333333335</v>
      </c>
      <c r="I88" s="110">
        <f t="shared" si="52"/>
        <v>0.16919999999999999</v>
      </c>
      <c r="J88" s="110">
        <f t="shared" si="52"/>
        <v>0.17979999999999999</v>
      </c>
      <c r="K88" s="110">
        <f t="shared" si="52"/>
        <v>0.19013333333333335</v>
      </c>
      <c r="L88" s="110">
        <f t="shared" si="52"/>
        <v>0.20020000000000002</v>
      </c>
      <c r="M88" s="110">
        <f t="shared" si="52"/>
        <v>0.21000000000000002</v>
      </c>
      <c r="N88" s="110">
        <f t="shared" si="52"/>
        <v>0.21953333333333333</v>
      </c>
      <c r="O88" s="110">
        <f t="shared" si="52"/>
        <v>0.2288</v>
      </c>
      <c r="P88" s="110">
        <f t="shared" si="52"/>
        <v>0.23779999999999998</v>
      </c>
      <c r="Q88" s="110">
        <f t="shared" si="52"/>
        <v>0.24653333333333335</v>
      </c>
      <c r="R88" s="110">
        <f t="shared" si="52"/>
        <v>0.255</v>
      </c>
      <c r="S88" s="110">
        <f t="shared" si="52"/>
        <v>0.26319999999999999</v>
      </c>
      <c r="T88" s="110">
        <f t="shared" si="52"/>
        <v>0.27113333333333334</v>
      </c>
      <c r="U88" s="110">
        <f t="shared" si="52"/>
        <v>0.27879999999999999</v>
      </c>
      <c r="V88" s="110">
        <f t="shared" si="52"/>
        <v>0.28620000000000001</v>
      </c>
      <c r="W88" s="110">
        <f t="shared" si="52"/>
        <v>0.29333333333333333</v>
      </c>
      <c r="X88" s="110">
        <f t="shared" si="52"/>
        <v>0.30019999999999997</v>
      </c>
      <c r="Y88" s="110">
        <f t="shared" si="52"/>
        <v>0.30680000000000002</v>
      </c>
      <c r="Z88" s="110">
        <f t="shared" si="52"/>
        <v>0.31313333333333332</v>
      </c>
      <c r="AA88" s="110">
        <f t="shared" si="52"/>
        <v>0.31919999999999998</v>
      </c>
      <c r="AB88" s="110">
        <f t="shared" si="52"/>
        <v>0.32500000000000001</v>
      </c>
      <c r="AC88" s="110">
        <f t="shared" si="52"/>
        <v>0.33053333333333335</v>
      </c>
      <c r="AD88" s="110">
        <f t="shared" si="52"/>
        <v>0.33579999999999999</v>
      </c>
      <c r="AE88" s="110">
        <f t="shared" si="52"/>
        <v>0.34079999999999999</v>
      </c>
      <c r="AF88" s="110">
        <f t="shared" si="52"/>
        <v>0.34553333333333336</v>
      </c>
      <c r="AG88" s="110">
        <f t="shared" si="52"/>
        <v>0.35</v>
      </c>
      <c r="AI88" s="134"/>
      <c r="AJ88" s="211"/>
      <c r="BD88" s="203"/>
      <c r="BE88" s="203"/>
    </row>
    <row r="89" spans="1:63" outlineLevel="1" x14ac:dyDescent="0.2">
      <c r="B89" s="176"/>
      <c r="C89" s="110"/>
      <c r="D89" s="110"/>
      <c r="E89" s="110"/>
      <c r="F89" s="110"/>
      <c r="G89" s="110"/>
      <c r="H89" s="110"/>
      <c r="I89" s="110"/>
      <c r="J89" s="110"/>
      <c r="K89" s="110"/>
      <c r="L89" s="110"/>
      <c r="M89" s="110"/>
      <c r="N89" s="110"/>
      <c r="O89" s="110"/>
      <c r="P89" s="110"/>
      <c r="Q89" s="110"/>
      <c r="R89" s="110"/>
      <c r="S89" s="110"/>
      <c r="T89" s="110"/>
      <c r="U89" s="110"/>
      <c r="V89" s="110"/>
      <c r="W89" s="110"/>
      <c r="X89" s="110"/>
      <c r="Y89" s="110"/>
      <c r="Z89" s="110"/>
      <c r="AA89" s="110"/>
      <c r="AB89" s="110"/>
      <c r="AC89" s="110"/>
      <c r="AD89" s="110"/>
      <c r="AE89" s="110"/>
      <c r="AF89" s="110"/>
      <c r="AG89" s="110"/>
      <c r="AI89" s="134"/>
      <c r="AJ89" s="211"/>
      <c r="BD89" s="203"/>
      <c r="BE89" s="203"/>
    </row>
    <row r="90" spans="1:63" ht="16" outlineLevel="1" x14ac:dyDescent="0.2">
      <c r="A90" t="s">
        <v>1441</v>
      </c>
      <c r="B90" s="54" t="s">
        <v>462</v>
      </c>
      <c r="C90" s="214">
        <v>0.9</v>
      </c>
      <c r="D90" s="110">
        <f>C90</f>
        <v>0.9</v>
      </c>
      <c r="E90" s="110">
        <f t="shared" ref="E90:AG92" si="53">D90</f>
        <v>0.9</v>
      </c>
      <c r="F90" s="110">
        <f t="shared" si="53"/>
        <v>0.9</v>
      </c>
      <c r="G90" s="110">
        <f t="shared" si="53"/>
        <v>0.9</v>
      </c>
      <c r="H90" s="110">
        <f t="shared" si="53"/>
        <v>0.9</v>
      </c>
      <c r="I90" s="110">
        <f t="shared" si="53"/>
        <v>0.9</v>
      </c>
      <c r="J90" s="110">
        <f t="shared" si="53"/>
        <v>0.9</v>
      </c>
      <c r="K90" s="110">
        <f t="shared" si="53"/>
        <v>0.9</v>
      </c>
      <c r="L90" s="110">
        <f t="shared" si="53"/>
        <v>0.9</v>
      </c>
      <c r="M90" s="110">
        <f t="shared" si="53"/>
        <v>0.9</v>
      </c>
      <c r="N90" s="110">
        <f t="shared" si="53"/>
        <v>0.9</v>
      </c>
      <c r="O90" s="110">
        <f t="shared" si="53"/>
        <v>0.9</v>
      </c>
      <c r="P90" s="110">
        <f t="shared" si="53"/>
        <v>0.9</v>
      </c>
      <c r="Q90" s="110">
        <f t="shared" si="53"/>
        <v>0.9</v>
      </c>
      <c r="R90" s="110">
        <f t="shared" si="53"/>
        <v>0.9</v>
      </c>
      <c r="S90" s="110">
        <f t="shared" si="53"/>
        <v>0.9</v>
      </c>
      <c r="T90" s="110">
        <f t="shared" si="53"/>
        <v>0.9</v>
      </c>
      <c r="U90" s="110">
        <f t="shared" si="53"/>
        <v>0.9</v>
      </c>
      <c r="V90" s="110">
        <f t="shared" si="53"/>
        <v>0.9</v>
      </c>
      <c r="W90" s="110">
        <f t="shared" si="53"/>
        <v>0.9</v>
      </c>
      <c r="X90" s="110">
        <f t="shared" si="53"/>
        <v>0.9</v>
      </c>
      <c r="Y90" s="110">
        <f t="shared" si="53"/>
        <v>0.9</v>
      </c>
      <c r="Z90" s="110">
        <f t="shared" si="53"/>
        <v>0.9</v>
      </c>
      <c r="AA90" s="110">
        <f t="shared" si="53"/>
        <v>0.9</v>
      </c>
      <c r="AB90" s="110">
        <f t="shared" si="53"/>
        <v>0.9</v>
      </c>
      <c r="AC90" s="110">
        <f t="shared" si="53"/>
        <v>0.9</v>
      </c>
      <c r="AD90" s="110">
        <f t="shared" si="53"/>
        <v>0.9</v>
      </c>
      <c r="AE90" s="110">
        <f t="shared" si="53"/>
        <v>0.9</v>
      </c>
      <c r="AF90" s="110">
        <f t="shared" si="53"/>
        <v>0.9</v>
      </c>
      <c r="AG90" s="110">
        <f t="shared" si="53"/>
        <v>0.9</v>
      </c>
      <c r="AI90" s="133" t="s">
        <v>1442</v>
      </c>
      <c r="AJ90" s="597" t="s">
        <v>1685</v>
      </c>
      <c r="BD90" s="203"/>
      <c r="BE90" s="203"/>
    </row>
    <row r="91" spans="1:63" ht="16" outlineLevel="1" x14ac:dyDescent="0.2">
      <c r="A91" t="s">
        <v>1444</v>
      </c>
      <c r="B91" s="54" t="s">
        <v>462</v>
      </c>
      <c r="C91" s="214">
        <v>0</v>
      </c>
      <c r="D91" s="110">
        <f t="shared" ref="D91:S92" si="54">C91</f>
        <v>0</v>
      </c>
      <c r="E91" s="110">
        <f t="shared" si="54"/>
        <v>0</v>
      </c>
      <c r="F91" s="110">
        <f t="shared" si="54"/>
        <v>0</v>
      </c>
      <c r="G91" s="110">
        <f t="shared" si="54"/>
        <v>0</v>
      </c>
      <c r="H91" s="110">
        <f t="shared" si="54"/>
        <v>0</v>
      </c>
      <c r="I91" s="110">
        <f t="shared" si="54"/>
        <v>0</v>
      </c>
      <c r="J91" s="110">
        <f t="shared" si="54"/>
        <v>0</v>
      </c>
      <c r="K91" s="110">
        <f t="shared" si="54"/>
        <v>0</v>
      </c>
      <c r="L91" s="110">
        <f t="shared" si="54"/>
        <v>0</v>
      </c>
      <c r="M91" s="110">
        <f t="shared" si="54"/>
        <v>0</v>
      </c>
      <c r="N91" s="110">
        <f t="shared" si="54"/>
        <v>0</v>
      </c>
      <c r="O91" s="110">
        <f t="shared" si="54"/>
        <v>0</v>
      </c>
      <c r="P91" s="110">
        <f t="shared" si="54"/>
        <v>0</v>
      </c>
      <c r="Q91" s="110">
        <f t="shared" si="54"/>
        <v>0</v>
      </c>
      <c r="R91" s="110">
        <f t="shared" si="54"/>
        <v>0</v>
      </c>
      <c r="S91" s="110">
        <f t="shared" si="54"/>
        <v>0</v>
      </c>
      <c r="T91" s="110">
        <f t="shared" si="53"/>
        <v>0</v>
      </c>
      <c r="U91" s="110">
        <f t="shared" si="53"/>
        <v>0</v>
      </c>
      <c r="V91" s="110">
        <f t="shared" si="53"/>
        <v>0</v>
      </c>
      <c r="W91" s="110">
        <f t="shared" si="53"/>
        <v>0</v>
      </c>
      <c r="X91" s="110">
        <f t="shared" si="53"/>
        <v>0</v>
      </c>
      <c r="Y91" s="110">
        <f t="shared" si="53"/>
        <v>0</v>
      </c>
      <c r="Z91" s="110">
        <f t="shared" si="53"/>
        <v>0</v>
      </c>
      <c r="AA91" s="110">
        <f t="shared" si="53"/>
        <v>0</v>
      </c>
      <c r="AB91" s="110">
        <f t="shared" si="53"/>
        <v>0</v>
      </c>
      <c r="AC91" s="110">
        <f t="shared" si="53"/>
        <v>0</v>
      </c>
      <c r="AD91" s="110">
        <f t="shared" si="53"/>
        <v>0</v>
      </c>
      <c r="AE91" s="110">
        <f t="shared" si="53"/>
        <v>0</v>
      </c>
      <c r="AF91" s="110">
        <f t="shared" si="53"/>
        <v>0</v>
      </c>
      <c r="AG91" s="110">
        <f t="shared" si="53"/>
        <v>0</v>
      </c>
      <c r="AI91" s="133" t="s">
        <v>1442</v>
      </c>
      <c r="AJ91" s="232"/>
      <c r="AL91" s="1"/>
      <c r="BC91" s="1"/>
      <c r="BD91" s="693"/>
      <c r="BE91" s="686"/>
      <c r="BF91" s="6"/>
      <c r="BG91" s="6"/>
      <c r="BH91" s="6"/>
      <c r="BI91" s="6"/>
      <c r="BJ91" s="6"/>
    </row>
    <row r="92" spans="1:63" outlineLevel="1" x14ac:dyDescent="0.2">
      <c r="A92" t="s">
        <v>1445</v>
      </c>
      <c r="B92" s="54" t="s">
        <v>462</v>
      </c>
      <c r="C92" s="121">
        <f>1-C90-C91</f>
        <v>9.9999999999999978E-2</v>
      </c>
      <c r="D92" s="110">
        <f t="shared" si="54"/>
        <v>9.9999999999999978E-2</v>
      </c>
      <c r="E92" s="110">
        <f t="shared" si="54"/>
        <v>9.9999999999999978E-2</v>
      </c>
      <c r="F92" s="110">
        <f t="shared" si="54"/>
        <v>9.9999999999999978E-2</v>
      </c>
      <c r="G92" s="110">
        <f t="shared" si="54"/>
        <v>9.9999999999999978E-2</v>
      </c>
      <c r="H92" s="110">
        <f t="shared" si="54"/>
        <v>9.9999999999999978E-2</v>
      </c>
      <c r="I92" s="110">
        <f t="shared" si="54"/>
        <v>9.9999999999999978E-2</v>
      </c>
      <c r="J92" s="110">
        <f t="shared" si="54"/>
        <v>9.9999999999999978E-2</v>
      </c>
      <c r="K92" s="110">
        <f t="shared" si="54"/>
        <v>9.9999999999999978E-2</v>
      </c>
      <c r="L92" s="110">
        <f t="shared" si="54"/>
        <v>9.9999999999999978E-2</v>
      </c>
      <c r="M92" s="110">
        <f t="shared" si="54"/>
        <v>9.9999999999999978E-2</v>
      </c>
      <c r="N92" s="110">
        <f t="shared" si="54"/>
        <v>9.9999999999999978E-2</v>
      </c>
      <c r="O92" s="110">
        <f t="shared" si="54"/>
        <v>9.9999999999999978E-2</v>
      </c>
      <c r="P92" s="110">
        <f t="shared" si="54"/>
        <v>9.9999999999999978E-2</v>
      </c>
      <c r="Q92" s="110">
        <f t="shared" si="54"/>
        <v>9.9999999999999978E-2</v>
      </c>
      <c r="R92" s="110">
        <f t="shared" si="54"/>
        <v>9.9999999999999978E-2</v>
      </c>
      <c r="S92" s="110">
        <f t="shared" si="54"/>
        <v>9.9999999999999978E-2</v>
      </c>
      <c r="T92" s="110">
        <f t="shared" si="53"/>
        <v>9.9999999999999978E-2</v>
      </c>
      <c r="U92" s="110">
        <f t="shared" si="53"/>
        <v>9.9999999999999978E-2</v>
      </c>
      <c r="V92" s="110">
        <f t="shared" si="53"/>
        <v>9.9999999999999978E-2</v>
      </c>
      <c r="W92" s="110">
        <f t="shared" si="53"/>
        <v>9.9999999999999978E-2</v>
      </c>
      <c r="X92" s="110">
        <f t="shared" si="53"/>
        <v>9.9999999999999978E-2</v>
      </c>
      <c r="Y92" s="110">
        <f t="shared" si="53"/>
        <v>9.9999999999999978E-2</v>
      </c>
      <c r="Z92" s="110">
        <f t="shared" si="53"/>
        <v>9.9999999999999978E-2</v>
      </c>
      <c r="AA92" s="110">
        <f t="shared" si="53"/>
        <v>9.9999999999999978E-2</v>
      </c>
      <c r="AB92" s="110">
        <f t="shared" si="53"/>
        <v>9.9999999999999978E-2</v>
      </c>
      <c r="AC92" s="110">
        <f t="shared" si="53"/>
        <v>9.9999999999999978E-2</v>
      </c>
      <c r="AD92" s="110">
        <f t="shared" si="53"/>
        <v>9.9999999999999978E-2</v>
      </c>
      <c r="AE92" s="110">
        <f t="shared" si="53"/>
        <v>9.9999999999999978E-2</v>
      </c>
      <c r="AF92" s="110">
        <f t="shared" si="53"/>
        <v>9.9999999999999978E-2</v>
      </c>
      <c r="AG92" s="110">
        <f t="shared" si="53"/>
        <v>9.9999999999999978E-2</v>
      </c>
      <c r="AI92" s="133"/>
      <c r="AJ92" s="223"/>
      <c r="BC92" s="1"/>
      <c r="BD92" s="41"/>
      <c r="BF92" s="6"/>
      <c r="BG92" s="6"/>
      <c r="BH92" s="6"/>
      <c r="BI92" s="6"/>
      <c r="BJ92" s="6"/>
    </row>
    <row r="93" spans="1:63" outlineLevel="1" x14ac:dyDescent="0.2">
      <c r="A93" t="s">
        <v>1268</v>
      </c>
      <c r="B93" s="54" t="s">
        <v>462</v>
      </c>
      <c r="C93" s="110">
        <f>SUM(C90:C92)</f>
        <v>1</v>
      </c>
      <c r="D93" s="110">
        <f t="shared" ref="D93:AG93" si="55">SUM(D90:D92)</f>
        <v>1</v>
      </c>
      <c r="E93" s="110">
        <f t="shared" si="55"/>
        <v>1</v>
      </c>
      <c r="F93" s="110">
        <f t="shared" si="55"/>
        <v>1</v>
      </c>
      <c r="G93" s="110">
        <f t="shared" si="55"/>
        <v>1</v>
      </c>
      <c r="H93" s="110">
        <f t="shared" si="55"/>
        <v>1</v>
      </c>
      <c r="I93" s="110">
        <f t="shared" si="55"/>
        <v>1</v>
      </c>
      <c r="J93" s="110">
        <f t="shared" si="55"/>
        <v>1</v>
      </c>
      <c r="K93" s="110">
        <f t="shared" si="55"/>
        <v>1</v>
      </c>
      <c r="L93" s="110">
        <f t="shared" si="55"/>
        <v>1</v>
      </c>
      <c r="M93" s="110">
        <f t="shared" si="55"/>
        <v>1</v>
      </c>
      <c r="N93" s="110">
        <f t="shared" si="55"/>
        <v>1</v>
      </c>
      <c r="O93" s="110">
        <f t="shared" si="55"/>
        <v>1</v>
      </c>
      <c r="P93" s="110">
        <f t="shared" si="55"/>
        <v>1</v>
      </c>
      <c r="Q93" s="110">
        <f t="shared" si="55"/>
        <v>1</v>
      </c>
      <c r="R93" s="110">
        <f t="shared" si="55"/>
        <v>1</v>
      </c>
      <c r="S93" s="110">
        <f t="shared" si="55"/>
        <v>1</v>
      </c>
      <c r="T93" s="110">
        <f t="shared" si="55"/>
        <v>1</v>
      </c>
      <c r="U93" s="110">
        <f t="shared" si="55"/>
        <v>1</v>
      </c>
      <c r="V93" s="110">
        <f t="shared" si="55"/>
        <v>1</v>
      </c>
      <c r="W93" s="110">
        <f t="shared" si="55"/>
        <v>1</v>
      </c>
      <c r="X93" s="110">
        <f t="shared" si="55"/>
        <v>1</v>
      </c>
      <c r="Y93" s="110">
        <f t="shared" si="55"/>
        <v>1</v>
      </c>
      <c r="Z93" s="110">
        <f t="shared" si="55"/>
        <v>1</v>
      </c>
      <c r="AA93" s="110">
        <f t="shared" si="55"/>
        <v>1</v>
      </c>
      <c r="AB93" s="110">
        <f t="shared" si="55"/>
        <v>1</v>
      </c>
      <c r="AC93" s="110">
        <f t="shared" si="55"/>
        <v>1</v>
      </c>
      <c r="AD93" s="110">
        <f t="shared" si="55"/>
        <v>1</v>
      </c>
      <c r="AE93" s="110">
        <f t="shared" si="55"/>
        <v>1</v>
      </c>
      <c r="AF93" s="110">
        <f t="shared" si="55"/>
        <v>1</v>
      </c>
      <c r="AG93" s="110">
        <f t="shared" si="55"/>
        <v>1</v>
      </c>
      <c r="AI93" s="133"/>
      <c r="AJ93" s="211"/>
      <c r="BC93" s="1"/>
      <c r="BD93" s="41"/>
      <c r="BF93" s="6"/>
      <c r="BG93" s="6"/>
      <c r="BH93" s="6"/>
      <c r="BI93" s="6"/>
      <c r="BJ93" s="6"/>
    </row>
    <row r="94" spans="1:63" outlineLevel="1" x14ac:dyDescent="0.2">
      <c r="C94" s="214"/>
      <c r="D94" s="110"/>
      <c r="E94" s="110"/>
      <c r="F94" s="110"/>
      <c r="G94" s="110"/>
      <c r="H94" s="110"/>
      <c r="I94" s="110"/>
      <c r="J94" s="110"/>
      <c r="K94" s="110"/>
      <c r="L94" s="110"/>
      <c r="M94" s="110"/>
      <c r="N94" s="110"/>
      <c r="O94" s="110"/>
      <c r="P94" s="110"/>
      <c r="Q94" s="110"/>
      <c r="R94" s="110"/>
      <c r="S94" s="110"/>
      <c r="T94" s="110"/>
      <c r="U94" s="110"/>
      <c r="V94" s="110"/>
      <c r="W94" s="110"/>
      <c r="X94" s="110"/>
      <c r="Y94" s="110"/>
      <c r="Z94" s="110"/>
      <c r="AA94" s="110"/>
      <c r="AB94" s="110"/>
      <c r="AC94" s="110"/>
      <c r="AD94" s="110"/>
      <c r="AE94" s="110"/>
      <c r="AF94" s="110"/>
      <c r="AG94" s="110"/>
      <c r="AI94" s="133"/>
      <c r="AJ94" s="211"/>
      <c r="BC94" s="1"/>
      <c r="BD94" s="41"/>
      <c r="BF94" s="6"/>
      <c r="BG94" s="6"/>
      <c r="BH94" s="6"/>
      <c r="BI94" s="6"/>
      <c r="BJ94" s="6"/>
    </row>
    <row r="95" spans="1:63" outlineLevel="1" x14ac:dyDescent="0.2">
      <c r="A95" t="s">
        <v>1335</v>
      </c>
      <c r="B95" s="54" t="s">
        <v>462</v>
      </c>
      <c r="C95" s="110">
        <f>C90*C88</f>
        <v>9.0000000000000011E-2</v>
      </c>
      <c r="D95" s="110">
        <f t="shared" ref="D95:AG95" si="56">D90*D88</f>
        <v>0.10098000000000001</v>
      </c>
      <c r="E95" s="110">
        <f t="shared" si="56"/>
        <v>0.11172000000000001</v>
      </c>
      <c r="F95" s="110">
        <f t="shared" si="56"/>
        <v>0.12222000000000001</v>
      </c>
      <c r="G95" s="110">
        <f t="shared" si="56"/>
        <v>0.13247999999999999</v>
      </c>
      <c r="H95" s="110">
        <f t="shared" si="56"/>
        <v>0.14250000000000002</v>
      </c>
      <c r="I95" s="110">
        <f t="shared" si="56"/>
        <v>0.15228</v>
      </c>
      <c r="J95" s="110">
        <f t="shared" si="56"/>
        <v>0.16181999999999999</v>
      </c>
      <c r="K95" s="110">
        <f t="shared" si="56"/>
        <v>0.17112000000000002</v>
      </c>
      <c r="L95" s="110">
        <f t="shared" si="56"/>
        <v>0.18018000000000001</v>
      </c>
      <c r="M95" s="110">
        <f t="shared" si="56"/>
        <v>0.18900000000000003</v>
      </c>
      <c r="N95" s="110">
        <f t="shared" si="56"/>
        <v>0.19758000000000001</v>
      </c>
      <c r="O95" s="110">
        <f t="shared" si="56"/>
        <v>0.20592000000000002</v>
      </c>
      <c r="P95" s="110">
        <f t="shared" si="56"/>
        <v>0.21401999999999999</v>
      </c>
      <c r="Q95" s="110">
        <f t="shared" si="56"/>
        <v>0.22188000000000002</v>
      </c>
      <c r="R95" s="110">
        <f t="shared" si="56"/>
        <v>0.22950000000000001</v>
      </c>
      <c r="S95" s="110">
        <f t="shared" si="56"/>
        <v>0.23688000000000001</v>
      </c>
      <c r="T95" s="110">
        <f t="shared" si="56"/>
        <v>0.24402000000000001</v>
      </c>
      <c r="U95" s="110">
        <f t="shared" si="56"/>
        <v>0.25091999999999998</v>
      </c>
      <c r="V95" s="110">
        <f t="shared" si="56"/>
        <v>0.25758000000000003</v>
      </c>
      <c r="W95" s="110">
        <f t="shared" si="56"/>
        <v>0.26400000000000001</v>
      </c>
      <c r="X95" s="110">
        <f t="shared" si="56"/>
        <v>0.27017999999999998</v>
      </c>
      <c r="Y95" s="110">
        <f t="shared" si="56"/>
        <v>0.27612000000000003</v>
      </c>
      <c r="Z95" s="110">
        <f t="shared" si="56"/>
        <v>0.28182000000000001</v>
      </c>
      <c r="AA95" s="110">
        <f t="shared" si="56"/>
        <v>0.28727999999999998</v>
      </c>
      <c r="AB95" s="110">
        <f t="shared" si="56"/>
        <v>0.29250000000000004</v>
      </c>
      <c r="AC95" s="110">
        <f t="shared" si="56"/>
        <v>0.29748000000000002</v>
      </c>
      <c r="AD95" s="110">
        <f t="shared" si="56"/>
        <v>0.30221999999999999</v>
      </c>
      <c r="AE95" s="110">
        <f t="shared" si="56"/>
        <v>0.30671999999999999</v>
      </c>
      <c r="AF95" s="110">
        <f t="shared" si="56"/>
        <v>0.31098000000000003</v>
      </c>
      <c r="AG95" s="110">
        <f t="shared" si="56"/>
        <v>0.315</v>
      </c>
      <c r="AI95" s="133"/>
      <c r="AJ95" s="211"/>
      <c r="BD95" s="203"/>
      <c r="BE95" s="203"/>
    </row>
    <row r="96" spans="1:63" outlineLevel="1" x14ac:dyDescent="0.2">
      <c r="A96" t="s">
        <v>1336</v>
      </c>
      <c r="B96" s="54" t="s">
        <v>462</v>
      </c>
      <c r="C96" s="110">
        <f>C88*C91</f>
        <v>0</v>
      </c>
      <c r="D96" s="110">
        <f t="shared" ref="D96:AG96" si="57">D88*D91</f>
        <v>0</v>
      </c>
      <c r="E96" s="110">
        <f t="shared" si="57"/>
        <v>0</v>
      </c>
      <c r="F96" s="110">
        <f t="shared" si="57"/>
        <v>0</v>
      </c>
      <c r="G96" s="110">
        <f t="shared" si="57"/>
        <v>0</v>
      </c>
      <c r="H96" s="110">
        <f t="shared" si="57"/>
        <v>0</v>
      </c>
      <c r="I96" s="110">
        <f t="shared" si="57"/>
        <v>0</v>
      </c>
      <c r="J96" s="110">
        <f t="shared" si="57"/>
        <v>0</v>
      </c>
      <c r="K96" s="110">
        <f t="shared" si="57"/>
        <v>0</v>
      </c>
      <c r="L96" s="110">
        <f t="shared" si="57"/>
        <v>0</v>
      </c>
      <c r="M96" s="110">
        <f t="shared" si="57"/>
        <v>0</v>
      </c>
      <c r="N96" s="110">
        <f t="shared" si="57"/>
        <v>0</v>
      </c>
      <c r="O96" s="110">
        <f t="shared" si="57"/>
        <v>0</v>
      </c>
      <c r="P96" s="110">
        <f t="shared" si="57"/>
        <v>0</v>
      </c>
      <c r="Q96" s="110">
        <f t="shared" si="57"/>
        <v>0</v>
      </c>
      <c r="R96" s="110">
        <f t="shared" si="57"/>
        <v>0</v>
      </c>
      <c r="S96" s="110">
        <f t="shared" si="57"/>
        <v>0</v>
      </c>
      <c r="T96" s="110">
        <f t="shared" si="57"/>
        <v>0</v>
      </c>
      <c r="U96" s="110">
        <f t="shared" si="57"/>
        <v>0</v>
      </c>
      <c r="V96" s="110">
        <f t="shared" si="57"/>
        <v>0</v>
      </c>
      <c r="W96" s="110">
        <f t="shared" si="57"/>
        <v>0</v>
      </c>
      <c r="X96" s="110">
        <f t="shared" si="57"/>
        <v>0</v>
      </c>
      <c r="Y96" s="110">
        <f t="shared" si="57"/>
        <v>0</v>
      </c>
      <c r="Z96" s="110">
        <f t="shared" si="57"/>
        <v>0</v>
      </c>
      <c r="AA96" s="110">
        <f t="shared" si="57"/>
        <v>0</v>
      </c>
      <c r="AB96" s="110">
        <f t="shared" si="57"/>
        <v>0</v>
      </c>
      <c r="AC96" s="110">
        <f t="shared" si="57"/>
        <v>0</v>
      </c>
      <c r="AD96" s="110">
        <f t="shared" si="57"/>
        <v>0</v>
      </c>
      <c r="AE96" s="110">
        <f t="shared" si="57"/>
        <v>0</v>
      </c>
      <c r="AF96" s="110">
        <f t="shared" si="57"/>
        <v>0</v>
      </c>
      <c r="AG96" s="110">
        <f t="shared" si="57"/>
        <v>0</v>
      </c>
      <c r="AI96" s="133"/>
      <c r="AJ96" s="211"/>
      <c r="AL96" s="1"/>
      <c r="BC96" s="1"/>
      <c r="BD96" s="693"/>
      <c r="BE96" s="686"/>
      <c r="BF96" s="6"/>
      <c r="BG96" s="6"/>
      <c r="BH96" s="6"/>
      <c r="BI96" s="6"/>
      <c r="BJ96" s="6"/>
    </row>
    <row r="97" spans="1:63" outlineLevel="1" x14ac:dyDescent="0.2">
      <c r="A97" t="s">
        <v>1337</v>
      </c>
      <c r="B97" s="54" t="s">
        <v>462</v>
      </c>
      <c r="C97" s="110">
        <f>C88*C92</f>
        <v>9.9999999999999985E-3</v>
      </c>
      <c r="D97" s="110">
        <f t="shared" ref="D97:AG97" si="58">D88*D92</f>
        <v>1.1219999999999999E-2</v>
      </c>
      <c r="E97" s="110">
        <f t="shared" si="58"/>
        <v>1.2413333333333332E-2</v>
      </c>
      <c r="F97" s="110">
        <f t="shared" si="58"/>
        <v>1.3579999999999997E-2</v>
      </c>
      <c r="G97" s="110">
        <f t="shared" si="58"/>
        <v>1.4719999999999994E-2</v>
      </c>
      <c r="H97" s="110">
        <f t="shared" si="58"/>
        <v>1.5833333333333331E-2</v>
      </c>
      <c r="I97" s="110">
        <f t="shared" si="58"/>
        <v>1.6919999999999994E-2</v>
      </c>
      <c r="J97" s="110">
        <f t="shared" si="58"/>
        <v>1.7979999999999996E-2</v>
      </c>
      <c r="K97" s="110">
        <f t="shared" si="58"/>
        <v>1.901333333333333E-2</v>
      </c>
      <c r="L97" s="110">
        <f t="shared" si="58"/>
        <v>2.0019999999999996E-2</v>
      </c>
      <c r="M97" s="110">
        <f t="shared" si="58"/>
        <v>2.0999999999999998E-2</v>
      </c>
      <c r="N97" s="110">
        <f t="shared" si="58"/>
        <v>2.1953333333333328E-2</v>
      </c>
      <c r="O97" s="110">
        <f t="shared" si="58"/>
        <v>2.2879999999999994E-2</v>
      </c>
      <c r="P97" s="110">
        <f t="shared" si="58"/>
        <v>2.3779999999999992E-2</v>
      </c>
      <c r="Q97" s="110">
        <f t="shared" si="58"/>
        <v>2.4653333333333329E-2</v>
      </c>
      <c r="R97" s="110">
        <f t="shared" si="58"/>
        <v>2.5499999999999995E-2</v>
      </c>
      <c r="S97" s="110">
        <f t="shared" si="58"/>
        <v>2.6319999999999993E-2</v>
      </c>
      <c r="T97" s="110">
        <f t="shared" si="58"/>
        <v>2.7113333333333326E-2</v>
      </c>
      <c r="U97" s="110">
        <f t="shared" si="58"/>
        <v>2.7879999999999992E-2</v>
      </c>
      <c r="V97" s="110">
        <f t="shared" si="58"/>
        <v>2.8619999999999996E-2</v>
      </c>
      <c r="W97" s="110">
        <f t="shared" si="58"/>
        <v>2.9333333333333326E-2</v>
      </c>
      <c r="X97" s="110">
        <f t="shared" si="58"/>
        <v>3.0019999999999991E-2</v>
      </c>
      <c r="Y97" s="110">
        <f t="shared" si="58"/>
        <v>3.0679999999999995E-2</v>
      </c>
      <c r="Z97" s="110">
        <f t="shared" si="58"/>
        <v>3.1313333333333325E-2</v>
      </c>
      <c r="AA97" s="110">
        <f t="shared" si="58"/>
        <v>3.191999999999999E-2</v>
      </c>
      <c r="AB97" s="110">
        <f t="shared" si="58"/>
        <v>3.2499999999999994E-2</v>
      </c>
      <c r="AC97" s="110">
        <f t="shared" si="58"/>
        <v>3.305333333333333E-2</v>
      </c>
      <c r="AD97" s="110">
        <f t="shared" si="58"/>
        <v>3.3579999999999992E-2</v>
      </c>
      <c r="AE97" s="110">
        <f t="shared" si="58"/>
        <v>3.4079999999999992E-2</v>
      </c>
      <c r="AF97" s="110">
        <f t="shared" si="58"/>
        <v>3.4553333333333325E-2</v>
      </c>
      <c r="AG97" s="110">
        <f t="shared" si="58"/>
        <v>3.4999999999999989E-2</v>
      </c>
      <c r="AI97" s="134"/>
      <c r="AJ97" s="211"/>
      <c r="BC97" s="1"/>
      <c r="BD97" s="41"/>
      <c r="BF97" s="6"/>
      <c r="BG97" s="6"/>
      <c r="BH97" s="6"/>
      <c r="BI97" s="6"/>
      <c r="BJ97" s="6"/>
    </row>
    <row r="98" spans="1:63" outlineLevel="1" x14ac:dyDescent="0.2">
      <c r="C98" s="110"/>
      <c r="D98" s="110"/>
      <c r="E98" s="110"/>
      <c r="F98" s="110"/>
      <c r="G98" s="110"/>
      <c r="H98" s="110"/>
      <c r="I98" s="110"/>
      <c r="J98" s="110"/>
      <c r="K98" s="110"/>
      <c r="L98" s="110"/>
      <c r="M98" s="110"/>
      <c r="N98" s="110"/>
      <c r="O98" s="110"/>
      <c r="P98" s="110"/>
      <c r="Q98" s="110"/>
      <c r="R98" s="110"/>
      <c r="S98" s="110"/>
      <c r="T98" s="110"/>
      <c r="U98" s="110"/>
      <c r="V98" s="110"/>
      <c r="W98" s="110"/>
      <c r="X98" s="110"/>
      <c r="Y98" s="110"/>
      <c r="Z98" s="110"/>
      <c r="AA98" s="110"/>
      <c r="AB98" s="110"/>
      <c r="AC98" s="110"/>
      <c r="AD98" s="110"/>
      <c r="AE98" s="110"/>
      <c r="AF98" s="110"/>
      <c r="AG98" s="110"/>
      <c r="AI98" s="134"/>
      <c r="AJ98" s="211"/>
      <c r="BC98" s="1"/>
      <c r="BD98" s="41"/>
      <c r="BF98" s="6"/>
      <c r="BG98" s="6"/>
      <c r="BH98" s="6"/>
      <c r="BI98" s="6"/>
      <c r="BJ98" s="6"/>
    </row>
    <row r="99" spans="1:63" outlineLevel="1" x14ac:dyDescent="0.2">
      <c r="A99" t="s">
        <v>1676</v>
      </c>
      <c r="C99" s="230">
        <v>1</v>
      </c>
      <c r="D99" s="230">
        <v>1</v>
      </c>
      <c r="E99" s="230">
        <v>1</v>
      </c>
      <c r="F99" s="230">
        <v>1</v>
      </c>
      <c r="G99" s="230">
        <v>1</v>
      </c>
      <c r="H99" s="230">
        <v>1</v>
      </c>
      <c r="I99" s="230">
        <v>1</v>
      </c>
      <c r="J99" s="230">
        <v>1</v>
      </c>
      <c r="K99" s="230">
        <v>1</v>
      </c>
      <c r="L99" s="230">
        <v>1</v>
      </c>
      <c r="M99" s="230">
        <v>1</v>
      </c>
      <c r="N99" s="230">
        <v>1</v>
      </c>
      <c r="O99" s="230">
        <v>1</v>
      </c>
      <c r="P99" s="230">
        <v>1</v>
      </c>
      <c r="Q99" s="230">
        <v>1</v>
      </c>
      <c r="R99" s="230">
        <v>1</v>
      </c>
      <c r="S99" s="230">
        <v>1</v>
      </c>
      <c r="T99" s="230">
        <v>1</v>
      </c>
      <c r="U99" s="230">
        <v>1</v>
      </c>
      <c r="V99" s="230">
        <v>1</v>
      </c>
      <c r="W99" s="230">
        <v>1</v>
      </c>
      <c r="X99" s="230">
        <v>1</v>
      </c>
      <c r="Y99" s="230">
        <v>1</v>
      </c>
      <c r="Z99" s="230">
        <v>1</v>
      </c>
      <c r="AA99" s="230">
        <v>1</v>
      </c>
      <c r="AB99" s="230">
        <v>1</v>
      </c>
      <c r="AC99" s="230">
        <v>1</v>
      </c>
      <c r="AD99" s="230">
        <v>1</v>
      </c>
      <c r="AE99" s="230">
        <v>1</v>
      </c>
      <c r="AF99" s="230">
        <v>1</v>
      </c>
      <c r="AG99" s="230">
        <v>1</v>
      </c>
      <c r="AI99" s="133"/>
      <c r="AJ99" s="211" t="s">
        <v>1686</v>
      </c>
      <c r="AL99" s="108"/>
      <c r="AM99" s="207"/>
      <c r="AN99" s="207"/>
      <c r="AO99" s="207"/>
      <c r="BC99" s="1"/>
      <c r="BD99" s="207"/>
      <c r="BE99" s="207"/>
      <c r="BF99" s="207"/>
      <c r="BG99" s="207"/>
      <c r="BH99" s="207"/>
      <c r="BI99" s="207"/>
      <c r="BJ99" s="207"/>
      <c r="BK99" s="207"/>
    </row>
    <row r="100" spans="1:63" outlineLevel="1" x14ac:dyDescent="0.2">
      <c r="A100" t="s">
        <v>1687</v>
      </c>
      <c r="B100" s="54" t="s">
        <v>462</v>
      </c>
      <c r="C100" s="110">
        <f>C87*C$99</f>
        <v>0</v>
      </c>
      <c r="D100" s="110">
        <f t="shared" ref="D100:AG101" si="59">D87*D$99</f>
        <v>1.1333333333333334E-3</v>
      </c>
      <c r="E100" s="110">
        <f t="shared" si="59"/>
        <v>2.5333333333333336E-3</v>
      </c>
      <c r="F100" s="110">
        <f t="shared" si="59"/>
        <v>4.2000000000000006E-3</v>
      </c>
      <c r="G100" s="110">
        <f t="shared" si="59"/>
        <v>6.1333333333333327E-3</v>
      </c>
      <c r="H100" s="110">
        <f t="shared" si="59"/>
        <v>8.333333333333335E-3</v>
      </c>
      <c r="I100" s="110">
        <f t="shared" si="59"/>
        <v>1.0800000000000001E-2</v>
      </c>
      <c r="J100" s="110">
        <f t="shared" si="59"/>
        <v>1.3533333333333335E-2</v>
      </c>
      <c r="K100" s="110">
        <f t="shared" si="59"/>
        <v>1.6533333333333334E-2</v>
      </c>
      <c r="L100" s="110">
        <f t="shared" si="59"/>
        <v>1.9799999999999998E-2</v>
      </c>
      <c r="M100" s="110">
        <f t="shared" si="59"/>
        <v>2.3333333333333331E-2</v>
      </c>
      <c r="N100" s="110">
        <f t="shared" si="59"/>
        <v>2.7133333333333332E-2</v>
      </c>
      <c r="O100" s="110">
        <f t="shared" si="59"/>
        <v>3.1199999999999995E-2</v>
      </c>
      <c r="P100" s="110">
        <f t="shared" si="59"/>
        <v>3.5533333333333326E-2</v>
      </c>
      <c r="Q100" s="110">
        <f t="shared" si="59"/>
        <v>4.0133333333333333E-2</v>
      </c>
      <c r="R100" s="110">
        <f t="shared" si="59"/>
        <v>4.5000000000000005E-2</v>
      </c>
      <c r="S100" s="110">
        <f t="shared" si="59"/>
        <v>5.0133333333333335E-2</v>
      </c>
      <c r="T100" s="110">
        <f t="shared" si="59"/>
        <v>5.5533333333333337E-2</v>
      </c>
      <c r="U100" s="110">
        <f t="shared" si="59"/>
        <v>6.1200000000000011E-2</v>
      </c>
      <c r="V100" s="110">
        <f t="shared" si="59"/>
        <v>6.713333333333335E-2</v>
      </c>
      <c r="W100" s="110">
        <f t="shared" si="59"/>
        <v>7.3333333333333348E-2</v>
      </c>
      <c r="X100" s="110">
        <f t="shared" si="59"/>
        <v>7.9800000000000024E-2</v>
      </c>
      <c r="Y100" s="110">
        <f t="shared" si="59"/>
        <v>8.6533333333333365E-2</v>
      </c>
      <c r="Z100" s="110">
        <f t="shared" si="59"/>
        <v>9.3533333333333357E-2</v>
      </c>
      <c r="AA100" s="110">
        <f t="shared" si="59"/>
        <v>0.10080000000000004</v>
      </c>
      <c r="AB100" s="110">
        <f t="shared" si="59"/>
        <v>0.10833333333333336</v>
      </c>
      <c r="AC100" s="110">
        <f t="shared" si="59"/>
        <v>0.11613333333333337</v>
      </c>
      <c r="AD100" s="110">
        <f t="shared" si="59"/>
        <v>0.12420000000000003</v>
      </c>
      <c r="AE100" s="110">
        <f t="shared" si="59"/>
        <v>0.13253333333333336</v>
      </c>
      <c r="AF100" s="110">
        <f t="shared" si="59"/>
        <v>0.14113333333333339</v>
      </c>
      <c r="AG100" s="110">
        <f t="shared" si="59"/>
        <v>0.15</v>
      </c>
      <c r="AI100" s="133"/>
      <c r="AJ100"/>
      <c r="AL100" s="108"/>
      <c r="AM100" s="2"/>
      <c r="AN100" s="2"/>
      <c r="AO100" s="2"/>
      <c r="AV100" s="41"/>
    </row>
    <row r="101" spans="1:63" outlineLevel="1" x14ac:dyDescent="0.2">
      <c r="A101" t="s">
        <v>1688</v>
      </c>
      <c r="B101" s="54" t="s">
        <v>462</v>
      </c>
      <c r="C101" s="110">
        <f>C88*C$99</f>
        <v>0.1</v>
      </c>
      <c r="D101" s="110">
        <f t="shared" si="59"/>
        <v>0.11220000000000001</v>
      </c>
      <c r="E101" s="110">
        <f t="shared" si="59"/>
        <v>0.12413333333333335</v>
      </c>
      <c r="F101" s="110">
        <f t="shared" si="59"/>
        <v>0.1358</v>
      </c>
      <c r="G101" s="110">
        <f t="shared" si="59"/>
        <v>0.14719999999999997</v>
      </c>
      <c r="H101" s="110">
        <f t="shared" si="59"/>
        <v>0.15833333333333335</v>
      </c>
      <c r="I101" s="110">
        <f t="shared" si="59"/>
        <v>0.16919999999999999</v>
      </c>
      <c r="J101" s="110">
        <f t="shared" si="59"/>
        <v>0.17979999999999999</v>
      </c>
      <c r="K101" s="110">
        <f t="shared" si="59"/>
        <v>0.19013333333333335</v>
      </c>
      <c r="L101" s="110">
        <f t="shared" si="59"/>
        <v>0.20020000000000002</v>
      </c>
      <c r="M101" s="110">
        <f t="shared" si="59"/>
        <v>0.21000000000000002</v>
      </c>
      <c r="N101" s="110">
        <f t="shared" si="59"/>
        <v>0.21953333333333333</v>
      </c>
      <c r="O101" s="110">
        <f t="shared" si="59"/>
        <v>0.2288</v>
      </c>
      <c r="P101" s="110">
        <f t="shared" si="59"/>
        <v>0.23779999999999998</v>
      </c>
      <c r="Q101" s="110">
        <f t="shared" si="59"/>
        <v>0.24653333333333335</v>
      </c>
      <c r="R101" s="110">
        <f t="shared" si="59"/>
        <v>0.255</v>
      </c>
      <c r="S101" s="110">
        <f t="shared" si="59"/>
        <v>0.26319999999999999</v>
      </c>
      <c r="T101" s="110">
        <f t="shared" si="59"/>
        <v>0.27113333333333334</v>
      </c>
      <c r="U101" s="110">
        <f t="shared" si="59"/>
        <v>0.27879999999999999</v>
      </c>
      <c r="V101" s="110">
        <f t="shared" si="59"/>
        <v>0.28620000000000001</v>
      </c>
      <c r="W101" s="110">
        <f t="shared" si="59"/>
        <v>0.29333333333333333</v>
      </c>
      <c r="X101" s="110">
        <f t="shared" si="59"/>
        <v>0.30019999999999997</v>
      </c>
      <c r="Y101" s="110">
        <f t="shared" si="59"/>
        <v>0.30680000000000002</v>
      </c>
      <c r="Z101" s="110">
        <f t="shared" si="59"/>
        <v>0.31313333333333332</v>
      </c>
      <c r="AA101" s="110">
        <f t="shared" si="59"/>
        <v>0.31919999999999998</v>
      </c>
      <c r="AB101" s="110">
        <f t="shared" si="59"/>
        <v>0.32500000000000001</v>
      </c>
      <c r="AC101" s="110">
        <f t="shared" si="59"/>
        <v>0.33053333333333335</v>
      </c>
      <c r="AD101" s="110">
        <f t="shared" si="59"/>
        <v>0.33579999999999999</v>
      </c>
      <c r="AE101" s="110">
        <f t="shared" si="59"/>
        <v>0.34079999999999999</v>
      </c>
      <c r="AF101" s="110">
        <f t="shared" si="59"/>
        <v>0.34553333333333336</v>
      </c>
      <c r="AG101" s="110">
        <f t="shared" si="59"/>
        <v>0.35</v>
      </c>
      <c r="AH101" s="245"/>
      <c r="AI101" s="133"/>
      <c r="AJ101" s="211"/>
      <c r="AL101" s="108"/>
      <c r="AM101" s="2"/>
      <c r="AN101" s="2"/>
      <c r="AO101" s="2"/>
      <c r="AV101" s="41"/>
    </row>
    <row r="102" spans="1:63" outlineLevel="1" x14ac:dyDescent="0.2">
      <c r="A102" t="s">
        <v>1689</v>
      </c>
      <c r="B102" s="176" t="s">
        <v>462</v>
      </c>
      <c r="C102" s="110">
        <f>SUM(C100:C101)</f>
        <v>0.1</v>
      </c>
      <c r="D102" s="110">
        <f t="shared" ref="D102:AG102" si="60">SUM(D100:D101)</f>
        <v>0.11333333333333334</v>
      </c>
      <c r="E102" s="110">
        <f t="shared" si="60"/>
        <v>0.12666666666666668</v>
      </c>
      <c r="F102" s="110">
        <f t="shared" si="60"/>
        <v>0.14000000000000001</v>
      </c>
      <c r="G102" s="110">
        <f t="shared" si="60"/>
        <v>0.15333333333333329</v>
      </c>
      <c r="H102" s="110">
        <f t="shared" si="60"/>
        <v>0.16666666666666669</v>
      </c>
      <c r="I102" s="110">
        <f t="shared" si="60"/>
        <v>0.18</v>
      </c>
      <c r="J102" s="110">
        <f t="shared" si="60"/>
        <v>0.19333333333333333</v>
      </c>
      <c r="K102" s="110">
        <f t="shared" si="60"/>
        <v>0.20666666666666669</v>
      </c>
      <c r="L102" s="110">
        <f t="shared" si="60"/>
        <v>0.22000000000000003</v>
      </c>
      <c r="M102" s="110">
        <f t="shared" si="60"/>
        <v>0.23333333333333334</v>
      </c>
      <c r="N102" s="110">
        <f t="shared" si="60"/>
        <v>0.24666666666666667</v>
      </c>
      <c r="O102" s="110">
        <f t="shared" si="60"/>
        <v>0.26</v>
      </c>
      <c r="P102" s="110">
        <f t="shared" si="60"/>
        <v>0.27333333333333332</v>
      </c>
      <c r="Q102" s="110">
        <f t="shared" si="60"/>
        <v>0.28666666666666668</v>
      </c>
      <c r="R102" s="110">
        <f t="shared" si="60"/>
        <v>0.3</v>
      </c>
      <c r="S102" s="110">
        <f t="shared" si="60"/>
        <v>0.31333333333333335</v>
      </c>
      <c r="T102" s="110">
        <f t="shared" si="60"/>
        <v>0.32666666666666666</v>
      </c>
      <c r="U102" s="110">
        <f t="shared" si="60"/>
        <v>0.34</v>
      </c>
      <c r="V102" s="110">
        <f t="shared" si="60"/>
        <v>0.35333333333333339</v>
      </c>
      <c r="W102" s="110">
        <f t="shared" si="60"/>
        <v>0.3666666666666667</v>
      </c>
      <c r="X102" s="110">
        <f t="shared" si="60"/>
        <v>0.38</v>
      </c>
      <c r="Y102" s="110">
        <f t="shared" si="60"/>
        <v>0.39333333333333337</v>
      </c>
      <c r="Z102" s="110">
        <f t="shared" si="60"/>
        <v>0.40666666666666668</v>
      </c>
      <c r="AA102" s="110">
        <f t="shared" si="60"/>
        <v>0.42000000000000004</v>
      </c>
      <c r="AB102" s="110">
        <f t="shared" si="60"/>
        <v>0.43333333333333335</v>
      </c>
      <c r="AC102" s="110">
        <f t="shared" si="60"/>
        <v>0.44666666666666671</v>
      </c>
      <c r="AD102" s="110">
        <f t="shared" si="60"/>
        <v>0.46</v>
      </c>
      <c r="AE102" s="110">
        <f t="shared" si="60"/>
        <v>0.47333333333333338</v>
      </c>
      <c r="AF102" s="110">
        <f t="shared" si="60"/>
        <v>0.48666666666666675</v>
      </c>
      <c r="AG102" s="110">
        <f t="shared" si="60"/>
        <v>0.5</v>
      </c>
      <c r="AI102" s="133"/>
      <c r="AJ102" s="211"/>
      <c r="AL102" s="108"/>
      <c r="AM102" s="2"/>
      <c r="AN102" s="2"/>
      <c r="AO102" s="2"/>
    </row>
    <row r="103" spans="1:63" outlineLevel="1" x14ac:dyDescent="0.2">
      <c r="A103" t="s">
        <v>1690</v>
      </c>
      <c r="B103" s="54" t="s">
        <v>462</v>
      </c>
      <c r="C103" s="110">
        <f>C90*C101</f>
        <v>9.0000000000000011E-2</v>
      </c>
      <c r="D103" s="110">
        <f t="shared" ref="D103:AG103" si="61">D90*D101</f>
        <v>0.10098000000000001</v>
      </c>
      <c r="E103" s="110">
        <f t="shared" si="61"/>
        <v>0.11172000000000001</v>
      </c>
      <c r="F103" s="110">
        <f t="shared" si="61"/>
        <v>0.12222000000000001</v>
      </c>
      <c r="G103" s="110">
        <f t="shared" si="61"/>
        <v>0.13247999999999999</v>
      </c>
      <c r="H103" s="110">
        <f t="shared" si="61"/>
        <v>0.14250000000000002</v>
      </c>
      <c r="I103" s="110">
        <f t="shared" si="61"/>
        <v>0.15228</v>
      </c>
      <c r="J103" s="110">
        <f t="shared" si="61"/>
        <v>0.16181999999999999</v>
      </c>
      <c r="K103" s="110">
        <f t="shared" si="61"/>
        <v>0.17112000000000002</v>
      </c>
      <c r="L103" s="110">
        <f t="shared" si="61"/>
        <v>0.18018000000000001</v>
      </c>
      <c r="M103" s="110">
        <f t="shared" si="61"/>
        <v>0.18900000000000003</v>
      </c>
      <c r="N103" s="110">
        <f t="shared" si="61"/>
        <v>0.19758000000000001</v>
      </c>
      <c r="O103" s="110">
        <f t="shared" si="61"/>
        <v>0.20592000000000002</v>
      </c>
      <c r="P103" s="110">
        <f t="shared" si="61"/>
        <v>0.21401999999999999</v>
      </c>
      <c r="Q103" s="110">
        <f t="shared" si="61"/>
        <v>0.22188000000000002</v>
      </c>
      <c r="R103" s="110">
        <f t="shared" si="61"/>
        <v>0.22950000000000001</v>
      </c>
      <c r="S103" s="110">
        <f t="shared" si="61"/>
        <v>0.23688000000000001</v>
      </c>
      <c r="T103" s="110">
        <f t="shared" si="61"/>
        <v>0.24402000000000001</v>
      </c>
      <c r="U103" s="110">
        <f t="shared" si="61"/>
        <v>0.25091999999999998</v>
      </c>
      <c r="V103" s="110">
        <f t="shared" si="61"/>
        <v>0.25758000000000003</v>
      </c>
      <c r="W103" s="110">
        <f t="shared" si="61"/>
        <v>0.26400000000000001</v>
      </c>
      <c r="X103" s="110">
        <f t="shared" si="61"/>
        <v>0.27017999999999998</v>
      </c>
      <c r="Y103" s="110">
        <f t="shared" si="61"/>
        <v>0.27612000000000003</v>
      </c>
      <c r="Z103" s="110">
        <f t="shared" si="61"/>
        <v>0.28182000000000001</v>
      </c>
      <c r="AA103" s="110">
        <f t="shared" si="61"/>
        <v>0.28727999999999998</v>
      </c>
      <c r="AB103" s="110">
        <f t="shared" si="61"/>
        <v>0.29250000000000004</v>
      </c>
      <c r="AC103" s="110">
        <f t="shared" si="61"/>
        <v>0.29748000000000002</v>
      </c>
      <c r="AD103" s="110">
        <f t="shared" si="61"/>
        <v>0.30221999999999999</v>
      </c>
      <c r="AE103" s="110">
        <f t="shared" si="61"/>
        <v>0.30671999999999999</v>
      </c>
      <c r="AF103" s="110">
        <f t="shared" si="61"/>
        <v>0.31098000000000003</v>
      </c>
      <c r="AG103" s="110">
        <f t="shared" si="61"/>
        <v>0.315</v>
      </c>
      <c r="AI103" s="133"/>
      <c r="AJ103" s="211"/>
      <c r="BD103" s="203"/>
      <c r="BE103" s="203"/>
    </row>
    <row r="104" spans="1:63" outlineLevel="1" x14ac:dyDescent="0.2">
      <c r="A104" t="s">
        <v>1691</v>
      </c>
      <c r="B104" s="54" t="s">
        <v>462</v>
      </c>
      <c r="C104" s="110">
        <f>C91*C101</f>
        <v>0</v>
      </c>
      <c r="D104" s="110">
        <f t="shared" ref="D104:AG104" si="62">D91*D101</f>
        <v>0</v>
      </c>
      <c r="E104" s="110">
        <f t="shared" si="62"/>
        <v>0</v>
      </c>
      <c r="F104" s="110">
        <f t="shared" si="62"/>
        <v>0</v>
      </c>
      <c r="G104" s="110">
        <f t="shared" si="62"/>
        <v>0</v>
      </c>
      <c r="H104" s="110">
        <f t="shared" si="62"/>
        <v>0</v>
      </c>
      <c r="I104" s="110">
        <f t="shared" si="62"/>
        <v>0</v>
      </c>
      <c r="J104" s="110">
        <f t="shared" si="62"/>
        <v>0</v>
      </c>
      <c r="K104" s="110">
        <f t="shared" si="62"/>
        <v>0</v>
      </c>
      <c r="L104" s="110">
        <f t="shared" si="62"/>
        <v>0</v>
      </c>
      <c r="M104" s="110">
        <f t="shared" si="62"/>
        <v>0</v>
      </c>
      <c r="N104" s="110">
        <f t="shared" si="62"/>
        <v>0</v>
      </c>
      <c r="O104" s="110">
        <f t="shared" si="62"/>
        <v>0</v>
      </c>
      <c r="P104" s="110">
        <f t="shared" si="62"/>
        <v>0</v>
      </c>
      <c r="Q104" s="110">
        <f t="shared" si="62"/>
        <v>0</v>
      </c>
      <c r="R104" s="110">
        <f t="shared" si="62"/>
        <v>0</v>
      </c>
      <c r="S104" s="110">
        <f t="shared" si="62"/>
        <v>0</v>
      </c>
      <c r="T104" s="110">
        <f t="shared" si="62"/>
        <v>0</v>
      </c>
      <c r="U104" s="110">
        <f t="shared" si="62"/>
        <v>0</v>
      </c>
      <c r="V104" s="110">
        <f t="shared" si="62"/>
        <v>0</v>
      </c>
      <c r="W104" s="110">
        <f t="shared" si="62"/>
        <v>0</v>
      </c>
      <c r="X104" s="110">
        <f t="shared" si="62"/>
        <v>0</v>
      </c>
      <c r="Y104" s="110">
        <f t="shared" si="62"/>
        <v>0</v>
      </c>
      <c r="Z104" s="110">
        <f t="shared" si="62"/>
        <v>0</v>
      </c>
      <c r="AA104" s="110">
        <f t="shared" si="62"/>
        <v>0</v>
      </c>
      <c r="AB104" s="110">
        <f t="shared" si="62"/>
        <v>0</v>
      </c>
      <c r="AC104" s="110">
        <f t="shared" si="62"/>
        <v>0</v>
      </c>
      <c r="AD104" s="110">
        <f t="shared" si="62"/>
        <v>0</v>
      </c>
      <c r="AE104" s="110">
        <f t="shared" si="62"/>
        <v>0</v>
      </c>
      <c r="AF104" s="110">
        <f t="shared" si="62"/>
        <v>0</v>
      </c>
      <c r="AG104" s="110">
        <f t="shared" si="62"/>
        <v>0</v>
      </c>
      <c r="AI104" s="133"/>
      <c r="AJ104" s="211"/>
      <c r="AL104" s="1"/>
      <c r="BC104" s="1"/>
      <c r="BD104" s="693"/>
      <c r="BE104" s="686"/>
      <c r="BF104" s="6"/>
      <c r="BG104" s="6"/>
      <c r="BH104" s="6"/>
      <c r="BI104" s="6"/>
      <c r="BJ104" s="6"/>
    </row>
    <row r="105" spans="1:63" outlineLevel="1" x14ac:dyDescent="0.2">
      <c r="A105" t="s">
        <v>1692</v>
      </c>
      <c r="B105" s="54" t="s">
        <v>462</v>
      </c>
      <c r="C105" s="110">
        <f>C92*C101</f>
        <v>9.9999999999999985E-3</v>
      </c>
      <c r="D105" s="110">
        <f t="shared" ref="D105:AG105" si="63">D92*D101</f>
        <v>1.1219999999999999E-2</v>
      </c>
      <c r="E105" s="110">
        <f t="shared" si="63"/>
        <v>1.2413333333333332E-2</v>
      </c>
      <c r="F105" s="110">
        <f t="shared" si="63"/>
        <v>1.3579999999999997E-2</v>
      </c>
      <c r="G105" s="110">
        <f t="shared" si="63"/>
        <v>1.4719999999999994E-2</v>
      </c>
      <c r="H105" s="110">
        <f t="shared" si="63"/>
        <v>1.5833333333333331E-2</v>
      </c>
      <c r="I105" s="110">
        <f t="shared" si="63"/>
        <v>1.6919999999999994E-2</v>
      </c>
      <c r="J105" s="110">
        <f t="shared" si="63"/>
        <v>1.7979999999999996E-2</v>
      </c>
      <c r="K105" s="110">
        <f t="shared" si="63"/>
        <v>1.901333333333333E-2</v>
      </c>
      <c r="L105" s="110">
        <f t="shared" si="63"/>
        <v>2.0019999999999996E-2</v>
      </c>
      <c r="M105" s="110">
        <f t="shared" si="63"/>
        <v>2.0999999999999998E-2</v>
      </c>
      <c r="N105" s="110">
        <f t="shared" si="63"/>
        <v>2.1953333333333328E-2</v>
      </c>
      <c r="O105" s="110">
        <f t="shared" si="63"/>
        <v>2.2879999999999994E-2</v>
      </c>
      <c r="P105" s="110">
        <f t="shared" si="63"/>
        <v>2.3779999999999992E-2</v>
      </c>
      <c r="Q105" s="110">
        <f t="shared" si="63"/>
        <v>2.4653333333333329E-2</v>
      </c>
      <c r="R105" s="110">
        <f t="shared" si="63"/>
        <v>2.5499999999999995E-2</v>
      </c>
      <c r="S105" s="110">
        <f t="shared" si="63"/>
        <v>2.6319999999999993E-2</v>
      </c>
      <c r="T105" s="110">
        <f t="shared" si="63"/>
        <v>2.7113333333333326E-2</v>
      </c>
      <c r="U105" s="110">
        <f t="shared" si="63"/>
        <v>2.7879999999999992E-2</v>
      </c>
      <c r="V105" s="110">
        <f t="shared" si="63"/>
        <v>2.8619999999999996E-2</v>
      </c>
      <c r="W105" s="110">
        <f t="shared" si="63"/>
        <v>2.9333333333333326E-2</v>
      </c>
      <c r="X105" s="110">
        <f t="shared" si="63"/>
        <v>3.0019999999999991E-2</v>
      </c>
      <c r="Y105" s="110">
        <f t="shared" si="63"/>
        <v>3.0679999999999995E-2</v>
      </c>
      <c r="Z105" s="110">
        <f t="shared" si="63"/>
        <v>3.1313333333333325E-2</v>
      </c>
      <c r="AA105" s="110">
        <f t="shared" si="63"/>
        <v>3.191999999999999E-2</v>
      </c>
      <c r="AB105" s="110">
        <f t="shared" si="63"/>
        <v>3.2499999999999994E-2</v>
      </c>
      <c r="AC105" s="110">
        <f t="shared" si="63"/>
        <v>3.305333333333333E-2</v>
      </c>
      <c r="AD105" s="110">
        <f t="shared" si="63"/>
        <v>3.3579999999999992E-2</v>
      </c>
      <c r="AE105" s="110">
        <f t="shared" si="63"/>
        <v>3.4079999999999992E-2</v>
      </c>
      <c r="AF105" s="110">
        <f t="shared" si="63"/>
        <v>3.4553333333333325E-2</v>
      </c>
      <c r="AG105" s="110">
        <f t="shared" si="63"/>
        <v>3.4999999999999989E-2</v>
      </c>
      <c r="AI105" s="134"/>
      <c r="AJ105" s="211"/>
      <c r="BC105" s="1"/>
      <c r="BD105" s="41"/>
      <c r="BF105" s="6"/>
      <c r="BG105" s="6"/>
      <c r="BH105" s="6"/>
      <c r="BI105" s="6"/>
      <c r="BJ105" s="6"/>
    </row>
    <row r="106" spans="1:63" outlineLevel="1" x14ac:dyDescent="0.2">
      <c r="C106" s="110"/>
      <c r="D106" s="110"/>
      <c r="E106" s="110"/>
      <c r="F106" s="110"/>
      <c r="G106" s="110"/>
      <c r="H106" s="110"/>
      <c r="I106" s="110"/>
      <c r="J106" s="110"/>
      <c r="K106" s="110"/>
      <c r="L106" s="110"/>
      <c r="M106" s="110"/>
      <c r="N106" s="110"/>
      <c r="O106" s="110"/>
      <c r="P106" s="110"/>
      <c r="Q106" s="110"/>
      <c r="R106" s="110"/>
      <c r="S106" s="110"/>
      <c r="T106" s="110"/>
      <c r="U106" s="110"/>
      <c r="V106" s="110"/>
      <c r="W106" s="110"/>
      <c r="X106" s="110"/>
      <c r="Y106" s="110"/>
      <c r="Z106" s="110"/>
      <c r="AA106" s="110"/>
      <c r="AB106" s="110"/>
      <c r="AC106" s="110"/>
      <c r="AD106" s="110"/>
      <c r="AE106" s="110"/>
      <c r="AF106" s="110"/>
      <c r="AG106" s="110"/>
      <c r="AI106" s="134"/>
      <c r="AJ106" s="211"/>
      <c r="BC106" s="1"/>
      <c r="BD106" s="41"/>
      <c r="BF106" s="6"/>
      <c r="BG106" s="6"/>
      <c r="BH106" s="6"/>
      <c r="BI106" s="6"/>
      <c r="BJ106" s="6"/>
    </row>
    <row r="107" spans="1:63" s="1" customFormat="1" outlineLevel="1" x14ac:dyDescent="0.2">
      <c r="A107" s="1" t="s">
        <v>228</v>
      </c>
      <c r="B107" s="65"/>
      <c r="C107" s="300">
        <f t="shared" ref="C107:AG107" si="64">C43*C100</f>
        <v>0</v>
      </c>
      <c r="D107" s="300">
        <f t="shared" si="64"/>
        <v>3.4450816091453657E-3</v>
      </c>
      <c r="E107" s="300">
        <f t="shared" si="64"/>
        <v>7.938106885249617E-3</v>
      </c>
      <c r="F107" s="300">
        <f t="shared" si="64"/>
        <v>1.3530711596759292E-2</v>
      </c>
      <c r="G107" s="300">
        <f t="shared" si="64"/>
        <v>2.0261864508349756E-2</v>
      </c>
      <c r="H107" s="300">
        <f t="shared" si="64"/>
        <v>2.8156495720251532E-2</v>
      </c>
      <c r="I107" s="300">
        <f t="shared" si="64"/>
        <v>3.7304641596000325E-2</v>
      </c>
      <c r="J107" s="300">
        <f t="shared" si="64"/>
        <v>4.7766693371041086E-2</v>
      </c>
      <c r="K107" s="300">
        <f t="shared" si="64"/>
        <v>5.9602417928327552E-2</v>
      </c>
      <c r="L107" s="300">
        <f t="shared" si="64"/>
        <v>7.2870749372194565E-2</v>
      </c>
      <c r="M107" s="300">
        <f t="shared" si="64"/>
        <v>8.7629575745957186E-2</v>
      </c>
      <c r="N107" s="300">
        <f t="shared" si="64"/>
        <v>0.10378681159027671</v>
      </c>
      <c r="O107" s="300">
        <f t="shared" si="64"/>
        <v>0.12132107216791799</v>
      </c>
      <c r="P107" s="300">
        <f t="shared" si="64"/>
        <v>0.13943908043863251</v>
      </c>
      <c r="Q107" s="300">
        <f t="shared" si="64"/>
        <v>0.15862879919546696</v>
      </c>
      <c r="R107" s="300">
        <f t="shared" si="64"/>
        <v>0.17880392336634418</v>
      </c>
      <c r="S107" s="300">
        <f t="shared" si="64"/>
        <v>0.20022495855430095</v>
      </c>
      <c r="T107" s="300">
        <f t="shared" si="64"/>
        <v>0.22290082209578732</v>
      </c>
      <c r="U107" s="300">
        <f t="shared" si="64"/>
        <v>0.24683950236241176</v>
      </c>
      <c r="V107" s="300">
        <f t="shared" si="64"/>
        <v>0.27204803623375906</v>
      </c>
      <c r="W107" s="300">
        <f t="shared" si="64"/>
        <v>0.29853248718006353</v>
      </c>
      <c r="X107" s="300">
        <f t="shared" si="64"/>
        <v>0.32630151796796797</v>
      </c>
      <c r="Y107" s="300">
        <f t="shared" si="64"/>
        <v>0.3553601480802952</v>
      </c>
      <c r="Z107" s="300">
        <f t="shared" si="64"/>
        <v>0.38128368618944342</v>
      </c>
      <c r="AA107" s="300">
        <f t="shared" si="64"/>
        <v>0.4077218674989001</v>
      </c>
      <c r="AB107" s="300">
        <f t="shared" si="64"/>
        <v>0.4346179238221986</v>
      </c>
      <c r="AC107" s="300">
        <f t="shared" si="64"/>
        <v>0.46191702374714172</v>
      </c>
      <c r="AD107" s="300">
        <f t="shared" si="64"/>
        <v>0.48955832967846691</v>
      </c>
      <c r="AE107" s="300">
        <f t="shared" si="64"/>
        <v>0.51747859554931142</v>
      </c>
      <c r="AF107" s="300">
        <f t="shared" si="64"/>
        <v>0.54561216669945978</v>
      </c>
      <c r="AG107" s="300">
        <f t="shared" si="64"/>
        <v>0.57389098193363275</v>
      </c>
      <c r="AH107" s="245"/>
      <c r="AI107" s="423"/>
      <c r="AJ107" s="424"/>
      <c r="AL107" s="221"/>
      <c r="AM107" s="124"/>
      <c r="AN107" s="124"/>
      <c r="AO107" s="124"/>
      <c r="BD107" s="124"/>
      <c r="BE107" s="124"/>
      <c r="BF107" s="124"/>
      <c r="BG107" s="124"/>
      <c r="BH107" s="124"/>
      <c r="BI107" s="124"/>
      <c r="BJ107" s="124"/>
      <c r="BK107" s="124"/>
    </row>
    <row r="108" spans="1:63" s="1" customFormat="1" outlineLevel="1" x14ac:dyDescent="0.2">
      <c r="A108" s="1" t="s">
        <v>1562</v>
      </c>
      <c r="B108" s="65"/>
      <c r="C108" s="300">
        <f t="shared" ref="C108:AG108" si="65">C107-$C107</f>
        <v>0</v>
      </c>
      <c r="D108" s="300">
        <f t="shared" si="65"/>
        <v>3.4450816091453657E-3</v>
      </c>
      <c r="E108" s="300">
        <f t="shared" si="65"/>
        <v>7.938106885249617E-3</v>
      </c>
      <c r="F108" s="300">
        <f t="shared" si="65"/>
        <v>1.3530711596759292E-2</v>
      </c>
      <c r="G108" s="300">
        <f t="shared" si="65"/>
        <v>2.0261864508349756E-2</v>
      </c>
      <c r="H108" s="300">
        <f t="shared" si="65"/>
        <v>2.8156495720251532E-2</v>
      </c>
      <c r="I108" s="300">
        <f t="shared" si="65"/>
        <v>3.7304641596000325E-2</v>
      </c>
      <c r="J108" s="300">
        <f t="shared" si="65"/>
        <v>4.7766693371041086E-2</v>
      </c>
      <c r="K108" s="300">
        <f t="shared" si="65"/>
        <v>5.9602417928327552E-2</v>
      </c>
      <c r="L108" s="300">
        <f t="shared" si="65"/>
        <v>7.2870749372194565E-2</v>
      </c>
      <c r="M108" s="300">
        <f t="shared" si="65"/>
        <v>8.7629575745957186E-2</v>
      </c>
      <c r="N108" s="300">
        <f t="shared" si="65"/>
        <v>0.10378681159027671</v>
      </c>
      <c r="O108" s="300">
        <f t="shared" si="65"/>
        <v>0.12132107216791799</v>
      </c>
      <c r="P108" s="300">
        <f t="shared" si="65"/>
        <v>0.13943908043863251</v>
      </c>
      <c r="Q108" s="300">
        <f t="shared" si="65"/>
        <v>0.15862879919546696</v>
      </c>
      <c r="R108" s="300">
        <f t="shared" si="65"/>
        <v>0.17880392336634418</v>
      </c>
      <c r="S108" s="300">
        <f t="shared" si="65"/>
        <v>0.20022495855430095</v>
      </c>
      <c r="T108" s="300">
        <f t="shared" si="65"/>
        <v>0.22290082209578732</v>
      </c>
      <c r="U108" s="300">
        <f t="shared" si="65"/>
        <v>0.24683950236241176</v>
      </c>
      <c r="V108" s="300">
        <f t="shared" si="65"/>
        <v>0.27204803623375906</v>
      </c>
      <c r="W108" s="300">
        <f t="shared" si="65"/>
        <v>0.29853248718006353</v>
      </c>
      <c r="X108" s="300">
        <f t="shared" si="65"/>
        <v>0.32630151796796797</v>
      </c>
      <c r="Y108" s="300">
        <f t="shared" si="65"/>
        <v>0.3553601480802952</v>
      </c>
      <c r="Z108" s="300">
        <f t="shared" si="65"/>
        <v>0.38128368618944342</v>
      </c>
      <c r="AA108" s="300">
        <f t="shared" si="65"/>
        <v>0.4077218674989001</v>
      </c>
      <c r="AB108" s="300">
        <f t="shared" si="65"/>
        <v>0.4346179238221986</v>
      </c>
      <c r="AC108" s="300">
        <f t="shared" si="65"/>
        <v>0.46191702374714172</v>
      </c>
      <c r="AD108" s="300">
        <f t="shared" si="65"/>
        <v>0.48955832967846691</v>
      </c>
      <c r="AE108" s="300">
        <f t="shared" si="65"/>
        <v>0.51747859554931142</v>
      </c>
      <c r="AF108" s="300">
        <f t="shared" si="65"/>
        <v>0.54561216669945978</v>
      </c>
      <c r="AG108" s="300">
        <f t="shared" si="65"/>
        <v>0.57389098193363275</v>
      </c>
      <c r="AH108" s="245"/>
      <c r="AI108" s="423"/>
      <c r="AJ108" s="424"/>
      <c r="AL108" s="221"/>
      <c r="AM108" s="124"/>
      <c r="AN108" s="124"/>
      <c r="AO108" s="124"/>
      <c r="BD108" s="124"/>
      <c r="BE108" s="124"/>
      <c r="BF108" s="124"/>
      <c r="BG108" s="124"/>
      <c r="BH108" s="124"/>
      <c r="BI108" s="124"/>
      <c r="BJ108" s="124"/>
      <c r="BK108" s="124"/>
    </row>
    <row r="109" spans="1:63" s="1" customFormat="1" outlineLevel="1" x14ac:dyDescent="0.2">
      <c r="A109" s="1" t="s">
        <v>1569</v>
      </c>
      <c r="B109" s="65"/>
      <c r="C109" s="300">
        <f t="shared" ref="C109:AG109" si="66">C43*C103</f>
        <v>0.26470664639111574</v>
      </c>
      <c r="D109" s="300">
        <f t="shared" si="66"/>
        <v>0.30695677137485211</v>
      </c>
      <c r="E109" s="300">
        <f t="shared" si="66"/>
        <v>0.35007051363950809</v>
      </c>
      <c r="F109" s="300">
        <f t="shared" si="66"/>
        <v>0.39374370746569537</v>
      </c>
      <c r="G109" s="300">
        <f t="shared" si="66"/>
        <v>0.43765627338035468</v>
      </c>
      <c r="H109" s="300">
        <f t="shared" si="66"/>
        <v>0.48147607681630111</v>
      </c>
      <c r="I109" s="300">
        <f t="shared" si="66"/>
        <v>0.52599544650360452</v>
      </c>
      <c r="J109" s="300">
        <f t="shared" si="66"/>
        <v>0.57115317645087682</v>
      </c>
      <c r="K109" s="300">
        <f t="shared" si="66"/>
        <v>0.61688502555819025</v>
      </c>
      <c r="L109" s="300">
        <f t="shared" si="66"/>
        <v>0.66312381928697062</v>
      </c>
      <c r="M109" s="300">
        <f t="shared" si="66"/>
        <v>0.70979956354225338</v>
      </c>
      <c r="N109" s="300">
        <f t="shared" si="66"/>
        <v>0.755756691671015</v>
      </c>
      <c r="O109" s="300">
        <f t="shared" si="66"/>
        <v>0.80071907630825889</v>
      </c>
      <c r="P109" s="300">
        <f t="shared" si="66"/>
        <v>0.8398523075649944</v>
      </c>
      <c r="Q109" s="300">
        <f t="shared" si="66"/>
        <v>0.87699064698065321</v>
      </c>
      <c r="R109" s="300">
        <f t="shared" si="66"/>
        <v>0.91190000916835523</v>
      </c>
      <c r="S109" s="300">
        <f t="shared" si="66"/>
        <v>0.94606292916907198</v>
      </c>
      <c r="T109" s="300">
        <f t="shared" si="66"/>
        <v>0.97945243591501829</v>
      </c>
      <c r="U109" s="300">
        <f t="shared" si="66"/>
        <v>1.0120419596858878</v>
      </c>
      <c r="V109" s="300">
        <f t="shared" si="66"/>
        <v>1.0438053600758439</v>
      </c>
      <c r="W109" s="300">
        <f t="shared" si="66"/>
        <v>1.0747169538482284</v>
      </c>
      <c r="X109" s="300">
        <f t="shared" si="66"/>
        <v>1.1047637108344053</v>
      </c>
      <c r="Y109" s="300">
        <f t="shared" si="66"/>
        <v>1.1339219270562144</v>
      </c>
      <c r="Z109" s="300">
        <f t="shared" si="66"/>
        <v>1.1488243240403662</v>
      </c>
      <c r="AA109" s="300">
        <f t="shared" si="66"/>
        <v>1.1620073223718648</v>
      </c>
      <c r="AB109" s="300">
        <f t="shared" si="66"/>
        <v>1.173468394319936</v>
      </c>
      <c r="AC109" s="300">
        <f t="shared" si="66"/>
        <v>1.1832182223676782</v>
      </c>
      <c r="AD109" s="300">
        <f t="shared" si="66"/>
        <v>1.1912586022176026</v>
      </c>
      <c r="AE109" s="300">
        <f t="shared" si="66"/>
        <v>1.1975933211284062</v>
      </c>
      <c r="AF109" s="300">
        <f t="shared" si="66"/>
        <v>1.2022281880032921</v>
      </c>
      <c r="AG109" s="300">
        <f t="shared" si="66"/>
        <v>1.2051710620606289</v>
      </c>
      <c r="AH109" s="245"/>
      <c r="AI109" s="423"/>
      <c r="AJ109" s="424"/>
      <c r="AL109" s="221"/>
      <c r="AM109" s="124"/>
      <c r="AN109" s="124"/>
      <c r="AO109" s="124"/>
      <c r="BD109" s="124"/>
      <c r="BE109" s="124"/>
      <c r="BF109" s="124"/>
      <c r="BG109" s="124"/>
      <c r="BH109" s="124"/>
      <c r="BI109" s="124"/>
      <c r="BJ109" s="124"/>
      <c r="BK109" s="124"/>
    </row>
    <row r="110" spans="1:63" s="1" customFormat="1" outlineLevel="1" x14ac:dyDescent="0.2">
      <c r="A110" s="1" t="s">
        <v>1570</v>
      </c>
      <c r="B110" s="65"/>
      <c r="C110" s="300">
        <f t="shared" ref="C110:AG110" si="67">C109-$C109</f>
        <v>0</v>
      </c>
      <c r="D110" s="300">
        <f t="shared" si="67"/>
        <v>4.225012498373637E-2</v>
      </c>
      <c r="E110" s="300">
        <f t="shared" si="67"/>
        <v>8.5363867248392344E-2</v>
      </c>
      <c r="F110" s="300">
        <f t="shared" si="67"/>
        <v>0.12903706107457963</v>
      </c>
      <c r="G110" s="300">
        <f t="shared" si="67"/>
        <v>0.17294962698923894</v>
      </c>
      <c r="H110" s="300">
        <f t="shared" si="67"/>
        <v>0.21676943042518537</v>
      </c>
      <c r="I110" s="300">
        <f t="shared" si="67"/>
        <v>0.26128880011248878</v>
      </c>
      <c r="J110" s="300">
        <f t="shared" si="67"/>
        <v>0.30644653005976108</v>
      </c>
      <c r="K110" s="300">
        <f t="shared" si="67"/>
        <v>0.35217837916707451</v>
      </c>
      <c r="L110" s="300">
        <f t="shared" si="67"/>
        <v>0.39841717289585488</v>
      </c>
      <c r="M110" s="300">
        <f t="shared" si="67"/>
        <v>0.44509291715113763</v>
      </c>
      <c r="N110" s="300">
        <f t="shared" si="67"/>
        <v>0.49105004527989926</v>
      </c>
      <c r="O110" s="300">
        <f t="shared" si="67"/>
        <v>0.53601242991714315</v>
      </c>
      <c r="P110" s="300">
        <f t="shared" si="67"/>
        <v>0.57514566117387866</v>
      </c>
      <c r="Q110" s="300">
        <f t="shared" si="67"/>
        <v>0.61228400058953747</v>
      </c>
      <c r="R110" s="300">
        <f t="shared" si="67"/>
        <v>0.64719336277723949</v>
      </c>
      <c r="S110" s="300">
        <f t="shared" si="67"/>
        <v>0.68135628277795623</v>
      </c>
      <c r="T110" s="300">
        <f t="shared" si="67"/>
        <v>0.71474578952390255</v>
      </c>
      <c r="U110" s="300">
        <f t="shared" si="67"/>
        <v>0.7473353132947721</v>
      </c>
      <c r="V110" s="300">
        <f t="shared" si="67"/>
        <v>0.77909871368472816</v>
      </c>
      <c r="W110" s="300">
        <f t="shared" si="67"/>
        <v>0.81001030745711267</v>
      </c>
      <c r="X110" s="300">
        <f t="shared" si="67"/>
        <v>0.84005706444328954</v>
      </c>
      <c r="Y110" s="300">
        <f t="shared" si="67"/>
        <v>0.86921528066509868</v>
      </c>
      <c r="Z110" s="300">
        <f t="shared" si="67"/>
        <v>0.88411767764925042</v>
      </c>
      <c r="AA110" s="300">
        <f t="shared" si="67"/>
        <v>0.89730067598074903</v>
      </c>
      <c r="AB110" s="300">
        <f t="shared" si="67"/>
        <v>0.90876174792882025</v>
      </c>
      <c r="AC110" s="300">
        <f t="shared" si="67"/>
        <v>0.91851157597656241</v>
      </c>
      <c r="AD110" s="300">
        <f t="shared" si="67"/>
        <v>0.92655195582648686</v>
      </c>
      <c r="AE110" s="300">
        <f t="shared" si="67"/>
        <v>0.93288667473729048</v>
      </c>
      <c r="AF110" s="300">
        <f t="shared" si="67"/>
        <v>0.93752154161217638</v>
      </c>
      <c r="AG110" s="300">
        <f t="shared" si="67"/>
        <v>0.94046441566951311</v>
      </c>
      <c r="AH110" s="245"/>
      <c r="AI110" s="423"/>
      <c r="AJ110" s="424"/>
      <c r="AL110" s="221"/>
      <c r="AM110" s="124"/>
      <c r="AN110" s="124"/>
      <c r="AO110" s="124"/>
      <c r="BD110" s="124"/>
      <c r="BE110" s="124"/>
      <c r="BF110" s="124"/>
      <c r="BG110" s="124"/>
      <c r="BH110" s="124"/>
      <c r="BI110" s="124"/>
      <c r="BJ110" s="124"/>
      <c r="BK110" s="124"/>
    </row>
    <row r="111" spans="1:63" s="1" customFormat="1" outlineLevel="1" x14ac:dyDescent="0.2">
      <c r="A111" s="1" t="s">
        <v>1578</v>
      </c>
      <c r="B111" s="65"/>
      <c r="C111" s="300">
        <f t="shared" ref="C111:AG111" si="68">C43*C104</f>
        <v>0</v>
      </c>
      <c r="D111" s="300">
        <f t="shared" si="68"/>
        <v>0</v>
      </c>
      <c r="E111" s="300">
        <f t="shared" si="68"/>
        <v>0</v>
      </c>
      <c r="F111" s="300">
        <f t="shared" si="68"/>
        <v>0</v>
      </c>
      <c r="G111" s="300">
        <f t="shared" si="68"/>
        <v>0</v>
      </c>
      <c r="H111" s="300">
        <f t="shared" si="68"/>
        <v>0</v>
      </c>
      <c r="I111" s="300">
        <f t="shared" si="68"/>
        <v>0</v>
      </c>
      <c r="J111" s="300">
        <f t="shared" si="68"/>
        <v>0</v>
      </c>
      <c r="K111" s="300">
        <f t="shared" si="68"/>
        <v>0</v>
      </c>
      <c r="L111" s="300">
        <f t="shared" si="68"/>
        <v>0</v>
      </c>
      <c r="M111" s="300">
        <f t="shared" si="68"/>
        <v>0</v>
      </c>
      <c r="N111" s="300">
        <f t="shared" si="68"/>
        <v>0</v>
      </c>
      <c r="O111" s="300">
        <f t="shared" si="68"/>
        <v>0</v>
      </c>
      <c r="P111" s="300">
        <f t="shared" si="68"/>
        <v>0</v>
      </c>
      <c r="Q111" s="300">
        <f t="shared" si="68"/>
        <v>0</v>
      </c>
      <c r="R111" s="300">
        <f t="shared" si="68"/>
        <v>0</v>
      </c>
      <c r="S111" s="300">
        <f t="shared" si="68"/>
        <v>0</v>
      </c>
      <c r="T111" s="300">
        <f t="shared" si="68"/>
        <v>0</v>
      </c>
      <c r="U111" s="300">
        <f t="shared" si="68"/>
        <v>0</v>
      </c>
      <c r="V111" s="300">
        <f t="shared" si="68"/>
        <v>0</v>
      </c>
      <c r="W111" s="300">
        <f t="shared" si="68"/>
        <v>0</v>
      </c>
      <c r="X111" s="300">
        <f t="shared" si="68"/>
        <v>0</v>
      </c>
      <c r="Y111" s="300">
        <f t="shared" si="68"/>
        <v>0</v>
      </c>
      <c r="Z111" s="300">
        <f t="shared" si="68"/>
        <v>0</v>
      </c>
      <c r="AA111" s="300">
        <f t="shared" si="68"/>
        <v>0</v>
      </c>
      <c r="AB111" s="300">
        <f t="shared" si="68"/>
        <v>0</v>
      </c>
      <c r="AC111" s="300">
        <f t="shared" si="68"/>
        <v>0</v>
      </c>
      <c r="AD111" s="300">
        <f t="shared" si="68"/>
        <v>0</v>
      </c>
      <c r="AE111" s="300">
        <f t="shared" si="68"/>
        <v>0</v>
      </c>
      <c r="AF111" s="300">
        <f t="shared" si="68"/>
        <v>0</v>
      </c>
      <c r="AG111" s="300">
        <f t="shared" si="68"/>
        <v>0</v>
      </c>
      <c r="AH111" s="245"/>
      <c r="AI111" s="423"/>
      <c r="AJ111" s="424"/>
      <c r="AL111" s="221"/>
      <c r="AM111" s="124"/>
      <c r="AN111" s="124"/>
      <c r="AO111" s="124"/>
      <c r="BD111" s="124"/>
      <c r="BE111" s="124"/>
      <c r="BF111" s="124"/>
      <c r="BG111" s="124"/>
      <c r="BH111" s="124"/>
      <c r="BI111" s="124"/>
      <c r="BJ111" s="124"/>
      <c r="BK111" s="124"/>
    </row>
    <row r="112" spans="1:63" s="1" customFormat="1" outlineLevel="1" x14ac:dyDescent="0.2">
      <c r="A112" s="1" t="s">
        <v>1579</v>
      </c>
      <c r="B112" s="65"/>
      <c r="C112" s="300">
        <f t="shared" ref="C112:AG112" si="69">C111-$C111</f>
        <v>0</v>
      </c>
      <c r="D112" s="300">
        <f t="shared" si="69"/>
        <v>0</v>
      </c>
      <c r="E112" s="300">
        <f t="shared" si="69"/>
        <v>0</v>
      </c>
      <c r="F112" s="300">
        <f t="shared" si="69"/>
        <v>0</v>
      </c>
      <c r="G112" s="300">
        <f t="shared" si="69"/>
        <v>0</v>
      </c>
      <c r="H112" s="300">
        <f t="shared" si="69"/>
        <v>0</v>
      </c>
      <c r="I112" s="300">
        <f t="shared" si="69"/>
        <v>0</v>
      </c>
      <c r="J112" s="300">
        <f t="shared" si="69"/>
        <v>0</v>
      </c>
      <c r="K112" s="300">
        <f t="shared" si="69"/>
        <v>0</v>
      </c>
      <c r="L112" s="300">
        <f t="shared" si="69"/>
        <v>0</v>
      </c>
      <c r="M112" s="300">
        <f t="shared" si="69"/>
        <v>0</v>
      </c>
      <c r="N112" s="300">
        <f t="shared" si="69"/>
        <v>0</v>
      </c>
      <c r="O112" s="300">
        <f t="shared" si="69"/>
        <v>0</v>
      </c>
      <c r="P112" s="300">
        <f t="shared" si="69"/>
        <v>0</v>
      </c>
      <c r="Q112" s="300">
        <f t="shared" si="69"/>
        <v>0</v>
      </c>
      <c r="R112" s="300">
        <f t="shared" si="69"/>
        <v>0</v>
      </c>
      <c r="S112" s="300">
        <f t="shared" si="69"/>
        <v>0</v>
      </c>
      <c r="T112" s="300">
        <f t="shared" si="69"/>
        <v>0</v>
      </c>
      <c r="U112" s="300">
        <f t="shared" si="69"/>
        <v>0</v>
      </c>
      <c r="V112" s="300">
        <f t="shared" si="69"/>
        <v>0</v>
      </c>
      <c r="W112" s="300">
        <f t="shared" si="69"/>
        <v>0</v>
      </c>
      <c r="X112" s="300">
        <f t="shared" si="69"/>
        <v>0</v>
      </c>
      <c r="Y112" s="300">
        <f t="shared" si="69"/>
        <v>0</v>
      </c>
      <c r="Z112" s="300">
        <f t="shared" si="69"/>
        <v>0</v>
      </c>
      <c r="AA112" s="300">
        <f t="shared" si="69"/>
        <v>0</v>
      </c>
      <c r="AB112" s="300">
        <f t="shared" si="69"/>
        <v>0</v>
      </c>
      <c r="AC112" s="300">
        <f t="shared" si="69"/>
        <v>0</v>
      </c>
      <c r="AD112" s="300">
        <f t="shared" si="69"/>
        <v>0</v>
      </c>
      <c r="AE112" s="300">
        <f t="shared" si="69"/>
        <v>0</v>
      </c>
      <c r="AF112" s="300">
        <f t="shared" si="69"/>
        <v>0</v>
      </c>
      <c r="AG112" s="300">
        <f t="shared" si="69"/>
        <v>0</v>
      </c>
      <c r="AH112" s="245"/>
      <c r="AI112" s="423"/>
      <c r="AJ112" s="424"/>
      <c r="AL112" s="221"/>
      <c r="AM112" s="124"/>
      <c r="AN112" s="124"/>
      <c r="AO112" s="124"/>
      <c r="BD112" s="124"/>
      <c r="BE112" s="124"/>
      <c r="BF112" s="124"/>
      <c r="BG112" s="124"/>
      <c r="BH112" s="124"/>
      <c r="BI112" s="124"/>
      <c r="BJ112" s="124"/>
      <c r="BK112" s="124"/>
    </row>
    <row r="113" spans="1:63" s="1" customFormat="1" outlineLevel="1" x14ac:dyDescent="0.2">
      <c r="A113" s="1" t="s">
        <v>1567</v>
      </c>
      <c r="B113" s="65"/>
      <c r="C113" s="300">
        <f t="shared" ref="C113:AG113" si="70">C43*C105</f>
        <v>2.941184959901285E-2</v>
      </c>
      <c r="D113" s="300">
        <f t="shared" si="70"/>
        <v>3.4106307930539113E-2</v>
      </c>
      <c r="E113" s="300">
        <f t="shared" si="70"/>
        <v>3.8896723737723113E-2</v>
      </c>
      <c r="F113" s="300">
        <f t="shared" si="70"/>
        <v>4.3749300829521692E-2</v>
      </c>
      <c r="G113" s="300">
        <f t="shared" si="70"/>
        <v>4.8628474820039395E-2</v>
      </c>
      <c r="H113" s="300">
        <f t="shared" si="70"/>
        <v>5.3497341868477891E-2</v>
      </c>
      <c r="I113" s="300">
        <f t="shared" si="70"/>
        <v>5.8443938500400479E-2</v>
      </c>
      <c r="J113" s="300">
        <f t="shared" si="70"/>
        <v>6.3461464050097421E-2</v>
      </c>
      <c r="K113" s="300">
        <f t="shared" si="70"/>
        <v>6.8542780617576668E-2</v>
      </c>
      <c r="L113" s="300">
        <f t="shared" si="70"/>
        <v>7.3680424365218947E-2</v>
      </c>
      <c r="M113" s="300">
        <f t="shared" si="70"/>
        <v>7.8866618171361466E-2</v>
      </c>
      <c r="N113" s="300">
        <f t="shared" si="70"/>
        <v>8.3972965741223871E-2</v>
      </c>
      <c r="O113" s="300">
        <f t="shared" si="70"/>
        <v>8.8968786256473184E-2</v>
      </c>
      <c r="P113" s="300">
        <f t="shared" si="70"/>
        <v>9.3316923062777127E-2</v>
      </c>
      <c r="Q113" s="300">
        <f t="shared" si="70"/>
        <v>9.7443405220072554E-2</v>
      </c>
      <c r="R113" s="300">
        <f t="shared" si="70"/>
        <v>0.10132222324092834</v>
      </c>
      <c r="S113" s="300">
        <f t="shared" si="70"/>
        <v>0.10511810324100795</v>
      </c>
      <c r="T113" s="300">
        <f t="shared" si="70"/>
        <v>0.108828048435002</v>
      </c>
      <c r="U113" s="300">
        <f t="shared" si="70"/>
        <v>0.1124491066317653</v>
      </c>
      <c r="V113" s="300">
        <f t="shared" si="70"/>
        <v>0.11597837334176041</v>
      </c>
      <c r="W113" s="300">
        <f t="shared" si="70"/>
        <v>0.11941299487202535</v>
      </c>
      <c r="X113" s="300">
        <f t="shared" si="70"/>
        <v>0.12275152342604502</v>
      </c>
      <c r="Y113" s="300">
        <f t="shared" si="70"/>
        <v>0.12599132522846823</v>
      </c>
      <c r="Z113" s="300">
        <f t="shared" si="70"/>
        <v>0.12764714711559619</v>
      </c>
      <c r="AA113" s="300">
        <f t="shared" si="70"/>
        <v>0.12911192470798494</v>
      </c>
      <c r="AB113" s="300">
        <f t="shared" si="70"/>
        <v>0.13038537714665951</v>
      </c>
      <c r="AC113" s="300">
        <f t="shared" si="70"/>
        <v>0.13146869137418643</v>
      </c>
      <c r="AD113" s="300">
        <f t="shared" si="70"/>
        <v>0.13236206691306693</v>
      </c>
      <c r="AE113" s="300">
        <f t="shared" si="70"/>
        <v>0.13306592456982289</v>
      </c>
      <c r="AF113" s="300">
        <f t="shared" si="70"/>
        <v>0.13358090977814352</v>
      </c>
      <c r="AG113" s="300">
        <f t="shared" si="70"/>
        <v>0.13390789578451426</v>
      </c>
      <c r="AH113" s="245"/>
      <c r="AI113" s="423"/>
      <c r="AJ113" s="424"/>
      <c r="AL113" s="221"/>
      <c r="AM113" s="124"/>
      <c r="AN113" s="124"/>
      <c r="AO113" s="124"/>
      <c r="BD113" s="124"/>
      <c r="BE113" s="124"/>
      <c r="BF113" s="124"/>
      <c r="BG113" s="124"/>
      <c r="BH113" s="124"/>
      <c r="BI113" s="124"/>
      <c r="BJ113" s="124"/>
      <c r="BK113" s="124"/>
    </row>
    <row r="114" spans="1:63" s="1" customFormat="1" outlineLevel="1" x14ac:dyDescent="0.2">
      <c r="A114" s="1" t="s">
        <v>1568</v>
      </c>
      <c r="B114" s="65"/>
      <c r="C114" s="300">
        <f t="shared" ref="C114:AG114" si="71">C113-$C113</f>
        <v>0</v>
      </c>
      <c r="D114" s="300">
        <f t="shared" si="71"/>
        <v>4.6944583315262634E-3</v>
      </c>
      <c r="E114" s="300">
        <f t="shared" si="71"/>
        <v>9.4848741387102628E-3</v>
      </c>
      <c r="F114" s="300">
        <f t="shared" si="71"/>
        <v>1.4337451230508842E-2</v>
      </c>
      <c r="G114" s="300">
        <f t="shared" si="71"/>
        <v>1.9216625221026545E-2</v>
      </c>
      <c r="H114" s="300">
        <f t="shared" si="71"/>
        <v>2.4085492269465041E-2</v>
      </c>
      <c r="I114" s="300">
        <f t="shared" si="71"/>
        <v>2.9032088901387629E-2</v>
      </c>
      <c r="J114" s="300">
        <f t="shared" si="71"/>
        <v>3.4049614451084571E-2</v>
      </c>
      <c r="K114" s="300">
        <f t="shared" si="71"/>
        <v>3.9130931018563818E-2</v>
      </c>
      <c r="L114" s="300">
        <f t="shared" si="71"/>
        <v>4.4268574766206097E-2</v>
      </c>
      <c r="M114" s="300">
        <f t="shared" si="71"/>
        <v>4.9454768572348616E-2</v>
      </c>
      <c r="N114" s="300">
        <f t="shared" si="71"/>
        <v>5.4561116142211021E-2</v>
      </c>
      <c r="O114" s="300">
        <f t="shared" si="71"/>
        <v>5.9556936657460334E-2</v>
      </c>
      <c r="P114" s="300">
        <f t="shared" si="71"/>
        <v>6.3905073463764284E-2</v>
      </c>
      <c r="Q114" s="300">
        <f t="shared" si="71"/>
        <v>6.8031555621059697E-2</v>
      </c>
      <c r="R114" s="300">
        <f t="shared" si="71"/>
        <v>7.1910373641915493E-2</v>
      </c>
      <c r="S114" s="300">
        <f t="shared" si="71"/>
        <v>7.5706253641995097E-2</v>
      </c>
      <c r="T114" s="300">
        <f t="shared" si="71"/>
        <v>7.941619883598916E-2</v>
      </c>
      <c r="U114" s="300">
        <f t="shared" si="71"/>
        <v>8.3037257032752443E-2</v>
      </c>
      <c r="V114" s="300">
        <f t="shared" si="71"/>
        <v>8.6566523742747564E-2</v>
      </c>
      <c r="W114" s="300">
        <f t="shared" si="71"/>
        <v>9.0001145273012506E-2</v>
      </c>
      <c r="X114" s="300">
        <f t="shared" si="71"/>
        <v>9.3339673827032177E-2</v>
      </c>
      <c r="Y114" s="300">
        <f t="shared" si="71"/>
        <v>9.6579475629455375E-2</v>
      </c>
      <c r="Z114" s="300">
        <f t="shared" si="71"/>
        <v>9.8235297516583331E-2</v>
      </c>
      <c r="AA114" s="300">
        <f t="shared" si="71"/>
        <v>9.970007510897208E-2</v>
      </c>
      <c r="AB114" s="300">
        <f t="shared" si="71"/>
        <v>0.10097352754764666</v>
      </c>
      <c r="AC114" s="300">
        <f t="shared" si="71"/>
        <v>0.10205684177517357</v>
      </c>
      <c r="AD114" s="300">
        <f t="shared" si="71"/>
        <v>0.10295021731405407</v>
      </c>
      <c r="AE114" s="300">
        <f t="shared" si="71"/>
        <v>0.10365407497081003</v>
      </c>
      <c r="AF114" s="300">
        <f t="shared" si="71"/>
        <v>0.10416906017913066</v>
      </c>
      <c r="AG114" s="300">
        <f t="shared" si="71"/>
        <v>0.1044960461855014</v>
      </c>
      <c r="AH114" s="245"/>
      <c r="AI114" s="423"/>
      <c r="AJ114" s="424"/>
      <c r="AL114" s="221"/>
      <c r="AM114" s="124"/>
      <c r="AN114" s="124"/>
      <c r="AO114" s="124"/>
      <c r="BD114" s="124"/>
      <c r="BE114" s="124"/>
      <c r="BF114" s="124"/>
      <c r="BG114" s="124"/>
      <c r="BH114" s="124"/>
      <c r="BI114" s="124"/>
      <c r="BJ114" s="124"/>
      <c r="BK114" s="124"/>
    </row>
    <row r="115" spans="1:63" outlineLevel="1" x14ac:dyDescent="0.2">
      <c r="C115" s="110"/>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c r="AD115" s="23"/>
      <c r="AE115" s="23"/>
      <c r="AF115" s="23"/>
      <c r="AG115" s="23"/>
      <c r="AJ115" s="211"/>
      <c r="AM115" s="123"/>
      <c r="AN115" s="123"/>
    </row>
    <row r="116" spans="1:63" s="200" customFormat="1" ht="16" thickBot="1" x14ac:dyDescent="0.25">
      <c r="A116" s="200" t="s">
        <v>1339</v>
      </c>
      <c r="B116" s="215"/>
      <c r="C116" s="224">
        <f>C117</f>
        <v>0</v>
      </c>
      <c r="D116" s="224">
        <f t="shared" ref="D116:AG116" si="72">D117</f>
        <v>0</v>
      </c>
      <c r="E116" s="224">
        <f t="shared" si="72"/>
        <v>0</v>
      </c>
      <c r="F116" s="224">
        <f t="shared" si="72"/>
        <v>0</v>
      </c>
      <c r="G116" s="224">
        <f t="shared" si="72"/>
        <v>0</v>
      </c>
      <c r="H116" s="224">
        <f t="shared" si="72"/>
        <v>0</v>
      </c>
      <c r="I116" s="224">
        <f t="shared" si="72"/>
        <v>0</v>
      </c>
      <c r="J116" s="224">
        <f t="shared" si="72"/>
        <v>0</v>
      </c>
      <c r="K116" s="224">
        <f t="shared" si="72"/>
        <v>0</v>
      </c>
      <c r="L116" s="224">
        <f t="shared" si="72"/>
        <v>0</v>
      </c>
      <c r="M116" s="224">
        <f t="shared" si="72"/>
        <v>0</v>
      </c>
      <c r="N116" s="224">
        <f t="shared" si="72"/>
        <v>0</v>
      </c>
      <c r="O116" s="224">
        <f t="shared" si="72"/>
        <v>0</v>
      </c>
      <c r="P116" s="224">
        <f t="shared" si="72"/>
        <v>0</v>
      </c>
      <c r="Q116" s="224">
        <f t="shared" si="72"/>
        <v>0</v>
      </c>
      <c r="R116" s="224">
        <f t="shared" si="72"/>
        <v>0</v>
      </c>
      <c r="S116" s="224">
        <f t="shared" si="72"/>
        <v>0</v>
      </c>
      <c r="T116" s="224">
        <f t="shared" si="72"/>
        <v>0</v>
      </c>
      <c r="U116" s="224">
        <f t="shared" si="72"/>
        <v>0</v>
      </c>
      <c r="V116" s="224">
        <f t="shared" si="72"/>
        <v>0</v>
      </c>
      <c r="W116" s="224">
        <f t="shared" si="72"/>
        <v>0</v>
      </c>
      <c r="X116" s="224">
        <f t="shared" si="72"/>
        <v>0</v>
      </c>
      <c r="Y116" s="224">
        <f t="shared" si="72"/>
        <v>0</v>
      </c>
      <c r="Z116" s="224">
        <f t="shared" si="72"/>
        <v>0</v>
      </c>
      <c r="AA116" s="224">
        <f t="shared" si="72"/>
        <v>0</v>
      </c>
      <c r="AB116" s="224">
        <f t="shared" si="72"/>
        <v>0</v>
      </c>
      <c r="AC116" s="224">
        <f t="shared" si="72"/>
        <v>0</v>
      </c>
      <c r="AD116" s="224">
        <f t="shared" si="72"/>
        <v>0</v>
      </c>
      <c r="AE116" s="224">
        <f t="shared" si="72"/>
        <v>0</v>
      </c>
      <c r="AF116" s="224">
        <f t="shared" si="72"/>
        <v>0</v>
      </c>
      <c r="AG116" s="224">
        <f t="shared" si="72"/>
        <v>0</v>
      </c>
      <c r="AJ116" s="231" t="s">
        <v>1340</v>
      </c>
      <c r="AL116" s="217"/>
      <c r="AM116" s="225"/>
      <c r="AN116" s="225"/>
      <c r="AO116" s="225"/>
    </row>
    <row r="117" spans="1:63" ht="16" outlineLevel="1" thickTop="1" x14ac:dyDescent="0.2">
      <c r="A117" t="s">
        <v>1341</v>
      </c>
      <c r="B117" s="54" t="s">
        <v>462</v>
      </c>
      <c r="C117" s="214">
        <v>0</v>
      </c>
      <c r="D117" s="110">
        <f>$C117+($M117-$C117)/10*(D$1-$C$1)</f>
        <v>0</v>
      </c>
      <c r="E117" s="110">
        <f t="shared" ref="E117:L117" si="73">$C117+($M117-$C117)/10*(E$1-$C$1)</f>
        <v>0</v>
      </c>
      <c r="F117" s="110">
        <f t="shared" si="73"/>
        <v>0</v>
      </c>
      <c r="G117" s="110">
        <f t="shared" si="73"/>
        <v>0</v>
      </c>
      <c r="H117" s="110">
        <f t="shared" si="73"/>
        <v>0</v>
      </c>
      <c r="I117" s="110">
        <f t="shared" si="73"/>
        <v>0</v>
      </c>
      <c r="J117" s="110">
        <f t="shared" si="73"/>
        <v>0</v>
      </c>
      <c r="K117" s="110">
        <f t="shared" si="73"/>
        <v>0</v>
      </c>
      <c r="L117" s="110">
        <f t="shared" si="73"/>
        <v>0</v>
      </c>
      <c r="M117" s="121">
        <v>0</v>
      </c>
      <c r="N117" s="121">
        <f>$M117+($W117-$M117)/10*(N$1-$M$1)</f>
        <v>0</v>
      </c>
      <c r="O117" s="121">
        <f t="shared" ref="O117:U117" si="74">$M117+($W117-$M117)/10*(O$1-$M$1)</f>
        <v>0</v>
      </c>
      <c r="P117" s="121">
        <f t="shared" si="74"/>
        <v>0</v>
      </c>
      <c r="Q117" s="121">
        <f t="shared" si="74"/>
        <v>0</v>
      </c>
      <c r="R117" s="121">
        <f t="shared" si="74"/>
        <v>0</v>
      </c>
      <c r="S117" s="121">
        <f t="shared" si="74"/>
        <v>0</v>
      </c>
      <c r="T117" s="121">
        <f t="shared" si="74"/>
        <v>0</v>
      </c>
      <c r="U117" s="121">
        <f t="shared" si="74"/>
        <v>0</v>
      </c>
      <c r="V117" s="121">
        <f>$M117+($W117-$M117)/10*(V$1-$M$1)</f>
        <v>0</v>
      </c>
      <c r="W117" s="121">
        <v>0</v>
      </c>
      <c r="X117" s="110">
        <f>$W117+($AG117-$W117)/10*(X$1-$W$1)</f>
        <v>0</v>
      </c>
      <c r="Y117" s="110">
        <f t="shared" ref="Y117:AF117" si="75">$W117+($AG117-$W117)/10*(Y$1-$W$1)</f>
        <v>0</v>
      </c>
      <c r="Z117" s="110">
        <f t="shared" si="75"/>
        <v>0</v>
      </c>
      <c r="AA117" s="110">
        <f t="shared" si="75"/>
        <v>0</v>
      </c>
      <c r="AB117" s="110">
        <f t="shared" si="75"/>
        <v>0</v>
      </c>
      <c r="AC117" s="110">
        <f t="shared" si="75"/>
        <v>0</v>
      </c>
      <c r="AD117" s="110">
        <f t="shared" si="75"/>
        <v>0</v>
      </c>
      <c r="AE117" s="110">
        <f t="shared" si="75"/>
        <v>0</v>
      </c>
      <c r="AF117" s="110">
        <f t="shared" si="75"/>
        <v>0</v>
      </c>
      <c r="AG117" s="214">
        <v>0</v>
      </c>
      <c r="AJ117" s="211" t="s">
        <v>1342</v>
      </c>
    </row>
    <row r="118" spans="1:63" outlineLevel="1" x14ac:dyDescent="0.2">
      <c r="A118" t="s">
        <v>1453</v>
      </c>
      <c r="B118" s="54" t="s">
        <v>462</v>
      </c>
      <c r="C118" s="214">
        <v>0</v>
      </c>
      <c r="D118" s="110">
        <f t="shared" ref="D118:L118" si="76">C118-($C$118-$AG$118)/($AG$1-$C$1)</f>
        <v>0</v>
      </c>
      <c r="E118" s="110">
        <f t="shared" si="76"/>
        <v>0</v>
      </c>
      <c r="F118" s="110">
        <f t="shared" si="76"/>
        <v>0</v>
      </c>
      <c r="G118" s="110">
        <f t="shared" si="76"/>
        <v>0</v>
      </c>
      <c r="H118" s="110">
        <f t="shared" si="76"/>
        <v>0</v>
      </c>
      <c r="I118" s="110">
        <f t="shared" si="76"/>
        <v>0</v>
      </c>
      <c r="J118" s="110">
        <f t="shared" si="76"/>
        <v>0</v>
      </c>
      <c r="K118" s="110">
        <f t="shared" si="76"/>
        <v>0</v>
      </c>
      <c r="L118" s="110">
        <f t="shared" si="76"/>
        <v>0</v>
      </c>
      <c r="M118" s="110">
        <v>0</v>
      </c>
      <c r="N118" s="110">
        <f t="shared" ref="N118:V118" si="77">M118-($C$118-$AG$118)/($AG$1-$C$1)</f>
        <v>0</v>
      </c>
      <c r="O118" s="110">
        <f t="shared" si="77"/>
        <v>0</v>
      </c>
      <c r="P118" s="110">
        <f t="shared" si="77"/>
        <v>0</v>
      </c>
      <c r="Q118" s="110">
        <f t="shared" si="77"/>
        <v>0</v>
      </c>
      <c r="R118" s="110">
        <f t="shared" si="77"/>
        <v>0</v>
      </c>
      <c r="S118" s="110">
        <f t="shared" si="77"/>
        <v>0</v>
      </c>
      <c r="T118" s="110">
        <f t="shared" si="77"/>
        <v>0</v>
      </c>
      <c r="U118" s="110">
        <f t="shared" si="77"/>
        <v>0</v>
      </c>
      <c r="V118" s="110">
        <f t="shared" si="77"/>
        <v>0</v>
      </c>
      <c r="W118" s="110">
        <v>0</v>
      </c>
      <c r="X118" s="110">
        <f t="shared" ref="X118:AF118" si="78">W118-($C$118-$AG$118)/($AG$1-$C$1)</f>
        <v>0</v>
      </c>
      <c r="Y118" s="110">
        <f t="shared" si="78"/>
        <v>0</v>
      </c>
      <c r="Z118" s="110">
        <f t="shared" si="78"/>
        <v>0</v>
      </c>
      <c r="AA118" s="110">
        <f t="shared" si="78"/>
        <v>0</v>
      </c>
      <c r="AB118" s="110">
        <f t="shared" si="78"/>
        <v>0</v>
      </c>
      <c r="AC118" s="110">
        <f t="shared" si="78"/>
        <v>0</v>
      </c>
      <c r="AD118" s="110">
        <f t="shared" si="78"/>
        <v>0</v>
      </c>
      <c r="AE118" s="110">
        <f t="shared" si="78"/>
        <v>0</v>
      </c>
      <c r="AF118" s="110">
        <f t="shared" si="78"/>
        <v>0</v>
      </c>
      <c r="AG118" s="214">
        <v>0</v>
      </c>
      <c r="AI118" s="135"/>
      <c r="AJ118" s="211" t="s">
        <v>1454</v>
      </c>
      <c r="AM118" s="123"/>
      <c r="AN118" s="123"/>
    </row>
    <row r="119" spans="1:63" ht="14.5" customHeight="1" outlineLevel="1" x14ac:dyDescent="0.2">
      <c r="A119" t="s">
        <v>1455</v>
      </c>
      <c r="B119" s="176" t="s">
        <v>462</v>
      </c>
      <c r="C119" s="110">
        <v>0</v>
      </c>
      <c r="D119" s="110">
        <f t="shared" ref="D119:AF119" si="79">1-D118</f>
        <v>1</v>
      </c>
      <c r="E119" s="110">
        <f t="shared" si="79"/>
        <v>1</v>
      </c>
      <c r="F119" s="110">
        <f t="shared" si="79"/>
        <v>1</v>
      </c>
      <c r="G119" s="110">
        <f t="shared" si="79"/>
        <v>1</v>
      </c>
      <c r="H119" s="110">
        <f t="shared" si="79"/>
        <v>1</v>
      </c>
      <c r="I119" s="110">
        <f t="shared" si="79"/>
        <v>1</v>
      </c>
      <c r="J119" s="110">
        <f t="shared" si="79"/>
        <v>1</v>
      </c>
      <c r="K119" s="110">
        <f t="shared" si="79"/>
        <v>1</v>
      </c>
      <c r="L119" s="110">
        <f t="shared" si="79"/>
        <v>1</v>
      </c>
      <c r="M119" s="110">
        <v>0</v>
      </c>
      <c r="N119" s="110">
        <f t="shared" si="79"/>
        <v>1</v>
      </c>
      <c r="O119" s="110">
        <f t="shared" si="79"/>
        <v>1</v>
      </c>
      <c r="P119" s="110">
        <f t="shared" si="79"/>
        <v>1</v>
      </c>
      <c r="Q119" s="110">
        <f t="shared" si="79"/>
        <v>1</v>
      </c>
      <c r="R119" s="110">
        <f t="shared" si="79"/>
        <v>1</v>
      </c>
      <c r="S119" s="110">
        <f t="shared" si="79"/>
        <v>1</v>
      </c>
      <c r="T119" s="110">
        <f t="shared" si="79"/>
        <v>1</v>
      </c>
      <c r="U119" s="110">
        <f t="shared" si="79"/>
        <v>1</v>
      </c>
      <c r="V119" s="110">
        <f t="shared" si="79"/>
        <v>1</v>
      </c>
      <c r="W119" s="110">
        <v>0</v>
      </c>
      <c r="X119" s="110">
        <f t="shared" si="79"/>
        <v>1</v>
      </c>
      <c r="Y119" s="110">
        <f t="shared" si="79"/>
        <v>1</v>
      </c>
      <c r="Z119" s="110">
        <f t="shared" si="79"/>
        <v>1</v>
      </c>
      <c r="AA119" s="110">
        <f t="shared" si="79"/>
        <v>1</v>
      </c>
      <c r="AB119" s="110">
        <f t="shared" si="79"/>
        <v>1</v>
      </c>
      <c r="AC119" s="110">
        <f t="shared" si="79"/>
        <v>1</v>
      </c>
      <c r="AD119" s="110">
        <f t="shared" si="79"/>
        <v>1</v>
      </c>
      <c r="AE119" s="110">
        <f t="shared" si="79"/>
        <v>1</v>
      </c>
      <c r="AF119" s="110">
        <f t="shared" si="79"/>
        <v>1</v>
      </c>
      <c r="AG119" s="110">
        <v>0</v>
      </c>
      <c r="AI119" s="135" t="s">
        <v>1456</v>
      </c>
      <c r="AJ119" s="211"/>
    </row>
    <row r="120" spans="1:63" outlineLevel="1" x14ac:dyDescent="0.2">
      <c r="A120" t="s">
        <v>1343</v>
      </c>
      <c r="B120" s="54" t="s">
        <v>462</v>
      </c>
      <c r="C120" s="110">
        <f>C117*C118</f>
        <v>0</v>
      </c>
      <c r="D120" s="110">
        <f t="shared" ref="D120:AG120" si="80">D117*D118</f>
        <v>0</v>
      </c>
      <c r="E120" s="110">
        <f t="shared" si="80"/>
        <v>0</v>
      </c>
      <c r="F120" s="110">
        <f t="shared" si="80"/>
        <v>0</v>
      </c>
      <c r="G120" s="110">
        <f t="shared" si="80"/>
        <v>0</v>
      </c>
      <c r="H120" s="110">
        <f t="shared" si="80"/>
        <v>0</v>
      </c>
      <c r="I120" s="110">
        <f t="shared" si="80"/>
        <v>0</v>
      </c>
      <c r="J120" s="110">
        <f t="shared" si="80"/>
        <v>0</v>
      </c>
      <c r="K120" s="110">
        <f t="shared" si="80"/>
        <v>0</v>
      </c>
      <c r="L120" s="110">
        <f t="shared" si="80"/>
        <v>0</v>
      </c>
      <c r="M120" s="110">
        <f t="shared" si="80"/>
        <v>0</v>
      </c>
      <c r="N120" s="110">
        <f t="shared" si="80"/>
        <v>0</v>
      </c>
      <c r="O120" s="110">
        <f t="shared" si="80"/>
        <v>0</v>
      </c>
      <c r="P120" s="110">
        <f t="shared" si="80"/>
        <v>0</v>
      </c>
      <c r="Q120" s="110">
        <f t="shared" si="80"/>
        <v>0</v>
      </c>
      <c r="R120" s="110">
        <f t="shared" si="80"/>
        <v>0</v>
      </c>
      <c r="S120" s="110">
        <f t="shared" si="80"/>
        <v>0</v>
      </c>
      <c r="T120" s="110">
        <f t="shared" si="80"/>
        <v>0</v>
      </c>
      <c r="U120" s="110">
        <f t="shared" si="80"/>
        <v>0</v>
      </c>
      <c r="V120" s="110">
        <f t="shared" si="80"/>
        <v>0</v>
      </c>
      <c r="W120" s="110">
        <f t="shared" si="80"/>
        <v>0</v>
      </c>
      <c r="X120" s="110">
        <f t="shared" si="80"/>
        <v>0</v>
      </c>
      <c r="Y120" s="110">
        <f t="shared" si="80"/>
        <v>0</v>
      </c>
      <c r="Z120" s="110">
        <f t="shared" si="80"/>
        <v>0</v>
      </c>
      <c r="AA120" s="110">
        <f t="shared" si="80"/>
        <v>0</v>
      </c>
      <c r="AB120" s="110">
        <f t="shared" si="80"/>
        <v>0</v>
      </c>
      <c r="AC120" s="110">
        <f t="shared" si="80"/>
        <v>0</v>
      </c>
      <c r="AD120" s="110">
        <f t="shared" si="80"/>
        <v>0</v>
      </c>
      <c r="AE120" s="110">
        <f t="shared" si="80"/>
        <v>0</v>
      </c>
      <c r="AF120" s="110">
        <f t="shared" si="80"/>
        <v>0</v>
      </c>
      <c r="AG120" s="110">
        <f t="shared" si="80"/>
        <v>0</v>
      </c>
      <c r="AI120" s="134"/>
      <c r="AJ120" s="211"/>
      <c r="BD120" s="203"/>
      <c r="BE120" s="203"/>
    </row>
    <row r="121" spans="1:63" outlineLevel="1" x14ac:dyDescent="0.2">
      <c r="A121" t="s">
        <v>1344</v>
      </c>
      <c r="B121" s="54" t="s">
        <v>462</v>
      </c>
      <c r="C121" s="110">
        <f>C117*C119</f>
        <v>0</v>
      </c>
      <c r="D121" s="110">
        <f t="shared" ref="D121:AG121" si="81">D117*D119</f>
        <v>0</v>
      </c>
      <c r="E121" s="110">
        <f t="shared" si="81"/>
        <v>0</v>
      </c>
      <c r="F121" s="110">
        <f t="shared" si="81"/>
        <v>0</v>
      </c>
      <c r="G121" s="110">
        <f t="shared" si="81"/>
        <v>0</v>
      </c>
      <c r="H121" s="110">
        <f t="shared" si="81"/>
        <v>0</v>
      </c>
      <c r="I121" s="110">
        <f t="shared" si="81"/>
        <v>0</v>
      </c>
      <c r="J121" s="110">
        <f t="shared" si="81"/>
        <v>0</v>
      </c>
      <c r="K121" s="110">
        <f t="shared" si="81"/>
        <v>0</v>
      </c>
      <c r="L121" s="110">
        <f t="shared" si="81"/>
        <v>0</v>
      </c>
      <c r="M121" s="110">
        <f t="shared" si="81"/>
        <v>0</v>
      </c>
      <c r="N121" s="110">
        <f t="shared" si="81"/>
        <v>0</v>
      </c>
      <c r="O121" s="110">
        <f t="shared" si="81"/>
        <v>0</v>
      </c>
      <c r="P121" s="110">
        <f t="shared" si="81"/>
        <v>0</v>
      </c>
      <c r="Q121" s="110">
        <f t="shared" si="81"/>
        <v>0</v>
      </c>
      <c r="R121" s="110">
        <f t="shared" si="81"/>
        <v>0</v>
      </c>
      <c r="S121" s="110">
        <f t="shared" si="81"/>
        <v>0</v>
      </c>
      <c r="T121" s="110">
        <f t="shared" si="81"/>
        <v>0</v>
      </c>
      <c r="U121" s="110">
        <f t="shared" si="81"/>
        <v>0</v>
      </c>
      <c r="V121" s="110">
        <f t="shared" si="81"/>
        <v>0</v>
      </c>
      <c r="W121" s="110">
        <f t="shared" si="81"/>
        <v>0</v>
      </c>
      <c r="X121" s="110">
        <f t="shared" si="81"/>
        <v>0</v>
      </c>
      <c r="Y121" s="110">
        <f t="shared" si="81"/>
        <v>0</v>
      </c>
      <c r="Z121" s="110">
        <f t="shared" si="81"/>
        <v>0</v>
      </c>
      <c r="AA121" s="110">
        <f t="shared" si="81"/>
        <v>0</v>
      </c>
      <c r="AB121" s="110">
        <f t="shared" si="81"/>
        <v>0</v>
      </c>
      <c r="AC121" s="110">
        <f t="shared" si="81"/>
        <v>0</v>
      </c>
      <c r="AD121" s="110">
        <f t="shared" si="81"/>
        <v>0</v>
      </c>
      <c r="AE121" s="110">
        <f t="shared" si="81"/>
        <v>0</v>
      </c>
      <c r="AF121" s="110">
        <f t="shared" si="81"/>
        <v>0</v>
      </c>
      <c r="AG121" s="110">
        <f t="shared" si="81"/>
        <v>0</v>
      </c>
      <c r="AI121" s="134"/>
      <c r="AJ121" s="211"/>
      <c r="BD121" s="203"/>
      <c r="BE121" s="203"/>
    </row>
    <row r="122" spans="1:63" outlineLevel="1" x14ac:dyDescent="0.2">
      <c r="C122" s="110"/>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c r="AD122" s="23"/>
      <c r="AE122" s="23"/>
      <c r="AF122" s="23"/>
      <c r="AG122" s="23"/>
      <c r="AJ122" s="211"/>
    </row>
    <row r="123" spans="1:63" outlineLevel="1" x14ac:dyDescent="0.2">
      <c r="A123" t="s">
        <v>1441</v>
      </c>
      <c r="B123" s="54" t="s">
        <v>462</v>
      </c>
      <c r="C123" s="106">
        <v>0.5</v>
      </c>
      <c r="D123" s="110">
        <f>C123</f>
        <v>0.5</v>
      </c>
      <c r="E123" s="110">
        <f t="shared" ref="E123:AG123" si="82">D123</f>
        <v>0.5</v>
      </c>
      <c r="F123" s="110">
        <f t="shared" si="82"/>
        <v>0.5</v>
      </c>
      <c r="G123" s="110">
        <f t="shared" si="82"/>
        <v>0.5</v>
      </c>
      <c r="H123" s="110">
        <f t="shared" si="82"/>
        <v>0.5</v>
      </c>
      <c r="I123" s="110">
        <f t="shared" si="82"/>
        <v>0.5</v>
      </c>
      <c r="J123" s="110">
        <f t="shared" si="82"/>
        <v>0.5</v>
      </c>
      <c r="K123" s="110">
        <f t="shared" si="82"/>
        <v>0.5</v>
      </c>
      <c r="L123" s="110">
        <f t="shared" si="82"/>
        <v>0.5</v>
      </c>
      <c r="M123" s="110">
        <f t="shared" si="82"/>
        <v>0.5</v>
      </c>
      <c r="N123" s="110">
        <f t="shared" si="82"/>
        <v>0.5</v>
      </c>
      <c r="O123" s="110">
        <f t="shared" si="82"/>
        <v>0.5</v>
      </c>
      <c r="P123" s="110">
        <f t="shared" si="82"/>
        <v>0.5</v>
      </c>
      <c r="Q123" s="110">
        <f t="shared" si="82"/>
        <v>0.5</v>
      </c>
      <c r="R123" s="110">
        <f t="shared" si="82"/>
        <v>0.5</v>
      </c>
      <c r="S123" s="110">
        <f t="shared" si="82"/>
        <v>0.5</v>
      </c>
      <c r="T123" s="110">
        <f t="shared" si="82"/>
        <v>0.5</v>
      </c>
      <c r="U123" s="110">
        <f t="shared" si="82"/>
        <v>0.5</v>
      </c>
      <c r="V123" s="110">
        <f t="shared" si="82"/>
        <v>0.5</v>
      </c>
      <c r="W123" s="110">
        <f t="shared" si="82"/>
        <v>0.5</v>
      </c>
      <c r="X123" s="110">
        <f t="shared" si="82"/>
        <v>0.5</v>
      </c>
      <c r="Y123" s="110">
        <f t="shared" si="82"/>
        <v>0.5</v>
      </c>
      <c r="Z123" s="110">
        <f t="shared" si="82"/>
        <v>0.5</v>
      </c>
      <c r="AA123" s="110">
        <f t="shared" si="82"/>
        <v>0.5</v>
      </c>
      <c r="AB123" s="110">
        <f t="shared" si="82"/>
        <v>0.5</v>
      </c>
      <c r="AC123" s="110">
        <f t="shared" si="82"/>
        <v>0.5</v>
      </c>
      <c r="AD123" s="110">
        <f t="shared" si="82"/>
        <v>0.5</v>
      </c>
      <c r="AE123" s="110">
        <f t="shared" si="82"/>
        <v>0.5</v>
      </c>
      <c r="AF123" s="110">
        <f t="shared" si="82"/>
        <v>0.5</v>
      </c>
      <c r="AG123" s="110">
        <f t="shared" si="82"/>
        <v>0.5</v>
      </c>
      <c r="AI123" s="54"/>
      <c r="AJ123" s="211" t="s">
        <v>1457</v>
      </c>
    </row>
    <row r="124" spans="1:63" outlineLevel="1" x14ac:dyDescent="0.2">
      <c r="A124" t="s">
        <v>1445</v>
      </c>
      <c r="B124" s="54" t="s">
        <v>462</v>
      </c>
      <c r="C124" s="121">
        <f>1-C123</f>
        <v>0.5</v>
      </c>
      <c r="D124" s="110">
        <f t="shared" ref="D124:AG124" si="83">C124</f>
        <v>0.5</v>
      </c>
      <c r="E124" s="110">
        <f t="shared" si="83"/>
        <v>0.5</v>
      </c>
      <c r="F124" s="110">
        <f t="shared" si="83"/>
        <v>0.5</v>
      </c>
      <c r="G124" s="110">
        <f t="shared" si="83"/>
        <v>0.5</v>
      </c>
      <c r="H124" s="110">
        <f t="shared" si="83"/>
        <v>0.5</v>
      </c>
      <c r="I124" s="110">
        <f t="shared" si="83"/>
        <v>0.5</v>
      </c>
      <c r="J124" s="110">
        <f t="shared" si="83"/>
        <v>0.5</v>
      </c>
      <c r="K124" s="110">
        <f t="shared" si="83"/>
        <v>0.5</v>
      </c>
      <c r="L124" s="110">
        <f t="shared" si="83"/>
        <v>0.5</v>
      </c>
      <c r="M124" s="110">
        <f t="shared" si="83"/>
        <v>0.5</v>
      </c>
      <c r="N124" s="110">
        <f t="shared" si="83"/>
        <v>0.5</v>
      </c>
      <c r="O124" s="110">
        <f t="shared" si="83"/>
        <v>0.5</v>
      </c>
      <c r="P124" s="110">
        <f t="shared" si="83"/>
        <v>0.5</v>
      </c>
      <c r="Q124" s="110">
        <f t="shared" si="83"/>
        <v>0.5</v>
      </c>
      <c r="R124" s="110">
        <f t="shared" si="83"/>
        <v>0.5</v>
      </c>
      <c r="S124" s="110">
        <f t="shared" si="83"/>
        <v>0.5</v>
      </c>
      <c r="T124" s="110">
        <f t="shared" si="83"/>
        <v>0.5</v>
      </c>
      <c r="U124" s="110">
        <f t="shared" si="83"/>
        <v>0.5</v>
      </c>
      <c r="V124" s="110">
        <f t="shared" si="83"/>
        <v>0.5</v>
      </c>
      <c r="W124" s="110">
        <f t="shared" si="83"/>
        <v>0.5</v>
      </c>
      <c r="X124" s="110">
        <f t="shared" si="83"/>
        <v>0.5</v>
      </c>
      <c r="Y124" s="110">
        <f t="shared" si="83"/>
        <v>0.5</v>
      </c>
      <c r="Z124" s="110">
        <f t="shared" si="83"/>
        <v>0.5</v>
      </c>
      <c r="AA124" s="110">
        <f t="shared" si="83"/>
        <v>0.5</v>
      </c>
      <c r="AB124" s="110">
        <f t="shared" si="83"/>
        <v>0.5</v>
      </c>
      <c r="AC124" s="110">
        <f t="shared" si="83"/>
        <v>0.5</v>
      </c>
      <c r="AD124" s="110">
        <f t="shared" si="83"/>
        <v>0.5</v>
      </c>
      <c r="AE124" s="110">
        <f t="shared" si="83"/>
        <v>0.5</v>
      </c>
      <c r="AF124" s="110">
        <f t="shared" si="83"/>
        <v>0.5</v>
      </c>
      <c r="AG124" s="110">
        <f t="shared" si="83"/>
        <v>0.5</v>
      </c>
      <c r="AJ124" s="223"/>
    </row>
    <row r="125" spans="1:63" outlineLevel="1" x14ac:dyDescent="0.2">
      <c r="A125" t="s">
        <v>1268</v>
      </c>
      <c r="B125" s="54" t="s">
        <v>462</v>
      </c>
      <c r="C125" s="110">
        <f t="shared" ref="C125:AG125" si="84">SUM(C123:C124)</f>
        <v>1</v>
      </c>
      <c r="D125" s="110">
        <f t="shared" si="84"/>
        <v>1</v>
      </c>
      <c r="E125" s="110">
        <f t="shared" si="84"/>
        <v>1</v>
      </c>
      <c r="F125" s="110">
        <f t="shared" si="84"/>
        <v>1</v>
      </c>
      <c r="G125" s="110">
        <f t="shared" si="84"/>
        <v>1</v>
      </c>
      <c r="H125" s="110">
        <f t="shared" si="84"/>
        <v>1</v>
      </c>
      <c r="I125" s="110">
        <f t="shared" si="84"/>
        <v>1</v>
      </c>
      <c r="J125" s="110">
        <f t="shared" si="84"/>
        <v>1</v>
      </c>
      <c r="K125" s="110">
        <f t="shared" si="84"/>
        <v>1</v>
      </c>
      <c r="L125" s="110">
        <f t="shared" si="84"/>
        <v>1</v>
      </c>
      <c r="M125" s="110">
        <f t="shared" si="84"/>
        <v>1</v>
      </c>
      <c r="N125" s="110">
        <f t="shared" si="84"/>
        <v>1</v>
      </c>
      <c r="O125" s="110">
        <f t="shared" si="84"/>
        <v>1</v>
      </c>
      <c r="P125" s="110">
        <f t="shared" si="84"/>
        <v>1</v>
      </c>
      <c r="Q125" s="110">
        <f t="shared" si="84"/>
        <v>1</v>
      </c>
      <c r="R125" s="110">
        <f t="shared" si="84"/>
        <v>1</v>
      </c>
      <c r="S125" s="110">
        <f t="shared" si="84"/>
        <v>1</v>
      </c>
      <c r="T125" s="110">
        <f t="shared" si="84"/>
        <v>1</v>
      </c>
      <c r="U125" s="110">
        <f t="shared" si="84"/>
        <v>1</v>
      </c>
      <c r="V125" s="110">
        <f t="shared" si="84"/>
        <v>1</v>
      </c>
      <c r="W125" s="110">
        <f t="shared" si="84"/>
        <v>1</v>
      </c>
      <c r="X125" s="110">
        <f t="shared" si="84"/>
        <v>1</v>
      </c>
      <c r="Y125" s="110">
        <f t="shared" si="84"/>
        <v>1</v>
      </c>
      <c r="Z125" s="110">
        <f t="shared" si="84"/>
        <v>1</v>
      </c>
      <c r="AA125" s="110">
        <f t="shared" si="84"/>
        <v>1</v>
      </c>
      <c r="AB125" s="110">
        <f t="shared" si="84"/>
        <v>1</v>
      </c>
      <c r="AC125" s="110">
        <f t="shared" si="84"/>
        <v>1</v>
      </c>
      <c r="AD125" s="110">
        <f t="shared" si="84"/>
        <v>1</v>
      </c>
      <c r="AE125" s="110">
        <f t="shared" si="84"/>
        <v>1</v>
      </c>
      <c r="AF125" s="110">
        <f t="shared" si="84"/>
        <v>1</v>
      </c>
      <c r="AG125" s="110">
        <f t="shared" si="84"/>
        <v>1</v>
      </c>
      <c r="AH125" s="131"/>
      <c r="AI125" s="54"/>
      <c r="AJ125" s="223"/>
    </row>
    <row r="126" spans="1:63" outlineLevel="1" x14ac:dyDescent="0.2">
      <c r="C126" s="214"/>
      <c r="D126" s="110"/>
      <c r="E126" s="110"/>
      <c r="F126" s="110"/>
      <c r="G126" s="110"/>
      <c r="H126" s="110"/>
      <c r="I126" s="110"/>
      <c r="J126" s="110"/>
      <c r="K126" s="110"/>
      <c r="L126" s="110"/>
      <c r="M126" s="110"/>
      <c r="N126" s="110"/>
      <c r="O126" s="110"/>
      <c r="P126" s="110"/>
      <c r="Q126" s="110"/>
      <c r="R126" s="110"/>
      <c r="S126" s="110"/>
      <c r="T126" s="110"/>
      <c r="U126" s="110"/>
      <c r="V126" s="110"/>
      <c r="W126" s="110"/>
      <c r="X126" s="110"/>
      <c r="Y126" s="110"/>
      <c r="Z126" s="110"/>
      <c r="AA126" s="110"/>
      <c r="AB126" s="110"/>
      <c r="AC126" s="110"/>
      <c r="AD126" s="110"/>
      <c r="AE126" s="110"/>
      <c r="AF126" s="110"/>
      <c r="AG126" s="110"/>
      <c r="AH126" s="131"/>
      <c r="AI126" s="131"/>
      <c r="AJ126" s="223"/>
    </row>
    <row r="127" spans="1:63" outlineLevel="1" x14ac:dyDescent="0.2">
      <c r="A127" t="s">
        <v>1345</v>
      </c>
      <c r="B127" s="54" t="s">
        <v>462</v>
      </c>
      <c r="C127" s="110">
        <f>C123*C121</f>
        <v>0</v>
      </c>
      <c r="D127" s="110">
        <f t="shared" ref="D127:AG127" si="85">D123*D121</f>
        <v>0</v>
      </c>
      <c r="E127" s="110">
        <f t="shared" si="85"/>
        <v>0</v>
      </c>
      <c r="F127" s="110">
        <f t="shared" si="85"/>
        <v>0</v>
      </c>
      <c r="G127" s="110">
        <f t="shared" si="85"/>
        <v>0</v>
      </c>
      <c r="H127" s="110">
        <f t="shared" si="85"/>
        <v>0</v>
      </c>
      <c r="I127" s="110">
        <f t="shared" si="85"/>
        <v>0</v>
      </c>
      <c r="J127" s="110">
        <f t="shared" si="85"/>
        <v>0</v>
      </c>
      <c r="K127" s="110">
        <f t="shared" si="85"/>
        <v>0</v>
      </c>
      <c r="L127" s="110">
        <f t="shared" si="85"/>
        <v>0</v>
      </c>
      <c r="M127" s="110">
        <f t="shared" si="85"/>
        <v>0</v>
      </c>
      <c r="N127" s="110">
        <f t="shared" si="85"/>
        <v>0</v>
      </c>
      <c r="O127" s="110">
        <f t="shared" si="85"/>
        <v>0</v>
      </c>
      <c r="P127" s="110">
        <f t="shared" si="85"/>
        <v>0</v>
      </c>
      <c r="Q127" s="110">
        <f t="shared" si="85"/>
        <v>0</v>
      </c>
      <c r="R127" s="110">
        <f t="shared" si="85"/>
        <v>0</v>
      </c>
      <c r="S127" s="110">
        <f t="shared" si="85"/>
        <v>0</v>
      </c>
      <c r="T127" s="110">
        <f t="shared" si="85"/>
        <v>0</v>
      </c>
      <c r="U127" s="110">
        <f t="shared" si="85"/>
        <v>0</v>
      </c>
      <c r="V127" s="110">
        <f t="shared" si="85"/>
        <v>0</v>
      </c>
      <c r="W127" s="110">
        <f t="shared" si="85"/>
        <v>0</v>
      </c>
      <c r="X127" s="110">
        <f t="shared" si="85"/>
        <v>0</v>
      </c>
      <c r="Y127" s="110">
        <f t="shared" si="85"/>
        <v>0</v>
      </c>
      <c r="Z127" s="110">
        <f t="shared" si="85"/>
        <v>0</v>
      </c>
      <c r="AA127" s="110">
        <f t="shared" si="85"/>
        <v>0</v>
      </c>
      <c r="AB127" s="110">
        <f t="shared" si="85"/>
        <v>0</v>
      </c>
      <c r="AC127" s="110">
        <f t="shared" si="85"/>
        <v>0</v>
      </c>
      <c r="AD127" s="110">
        <f t="shared" si="85"/>
        <v>0</v>
      </c>
      <c r="AE127" s="110">
        <f t="shared" si="85"/>
        <v>0</v>
      </c>
      <c r="AF127" s="110">
        <f t="shared" si="85"/>
        <v>0</v>
      </c>
      <c r="AG127" s="110">
        <f t="shared" si="85"/>
        <v>0</v>
      </c>
      <c r="AH127" s="131"/>
      <c r="AI127" s="131"/>
      <c r="AJ127" s="211"/>
    </row>
    <row r="128" spans="1:63" outlineLevel="1" x14ac:dyDescent="0.2">
      <c r="A128" t="s">
        <v>1346</v>
      </c>
      <c r="B128" s="54" t="s">
        <v>462</v>
      </c>
      <c r="C128" s="110">
        <f>C121*C124</f>
        <v>0</v>
      </c>
      <c r="D128" s="110">
        <f t="shared" ref="D128:AG128" si="86">D121*D124</f>
        <v>0</v>
      </c>
      <c r="E128" s="110">
        <f t="shared" si="86"/>
        <v>0</v>
      </c>
      <c r="F128" s="110">
        <f t="shared" si="86"/>
        <v>0</v>
      </c>
      <c r="G128" s="110">
        <f t="shared" si="86"/>
        <v>0</v>
      </c>
      <c r="H128" s="110">
        <f t="shared" si="86"/>
        <v>0</v>
      </c>
      <c r="I128" s="110">
        <f t="shared" si="86"/>
        <v>0</v>
      </c>
      <c r="J128" s="110">
        <f t="shared" si="86"/>
        <v>0</v>
      </c>
      <c r="K128" s="110">
        <f t="shared" si="86"/>
        <v>0</v>
      </c>
      <c r="L128" s="110">
        <f t="shared" si="86"/>
        <v>0</v>
      </c>
      <c r="M128" s="110">
        <f t="shared" si="86"/>
        <v>0</v>
      </c>
      <c r="N128" s="110">
        <f t="shared" si="86"/>
        <v>0</v>
      </c>
      <c r="O128" s="110">
        <f t="shared" si="86"/>
        <v>0</v>
      </c>
      <c r="P128" s="110">
        <f t="shared" si="86"/>
        <v>0</v>
      </c>
      <c r="Q128" s="110">
        <f t="shared" si="86"/>
        <v>0</v>
      </c>
      <c r="R128" s="110">
        <f t="shared" si="86"/>
        <v>0</v>
      </c>
      <c r="S128" s="110">
        <f t="shared" si="86"/>
        <v>0</v>
      </c>
      <c r="T128" s="110">
        <f t="shared" si="86"/>
        <v>0</v>
      </c>
      <c r="U128" s="110">
        <f t="shared" si="86"/>
        <v>0</v>
      </c>
      <c r="V128" s="110">
        <f t="shared" si="86"/>
        <v>0</v>
      </c>
      <c r="W128" s="110">
        <f t="shared" si="86"/>
        <v>0</v>
      </c>
      <c r="X128" s="110">
        <f t="shared" si="86"/>
        <v>0</v>
      </c>
      <c r="Y128" s="110">
        <f t="shared" si="86"/>
        <v>0</v>
      </c>
      <c r="Z128" s="110">
        <f t="shared" si="86"/>
        <v>0</v>
      </c>
      <c r="AA128" s="110">
        <f t="shared" si="86"/>
        <v>0</v>
      </c>
      <c r="AB128" s="110">
        <f t="shared" si="86"/>
        <v>0</v>
      </c>
      <c r="AC128" s="110">
        <f t="shared" si="86"/>
        <v>0</v>
      </c>
      <c r="AD128" s="110">
        <f t="shared" si="86"/>
        <v>0</v>
      </c>
      <c r="AE128" s="110">
        <f t="shared" si="86"/>
        <v>0</v>
      </c>
      <c r="AF128" s="110">
        <f t="shared" si="86"/>
        <v>0</v>
      </c>
      <c r="AG128" s="110">
        <f t="shared" si="86"/>
        <v>0</v>
      </c>
      <c r="AJ128" s="211"/>
    </row>
    <row r="129" spans="1:63" outlineLevel="1" x14ac:dyDescent="0.2">
      <c r="C129" s="110"/>
      <c r="D129" s="110"/>
      <c r="E129" s="110"/>
      <c r="F129" s="110"/>
      <c r="G129" s="110"/>
      <c r="H129" s="110"/>
      <c r="I129" s="110"/>
      <c r="J129" s="110"/>
      <c r="K129" s="110"/>
      <c r="L129" s="110"/>
      <c r="M129" s="110"/>
      <c r="N129" s="110"/>
      <c r="O129" s="110"/>
      <c r="P129" s="110"/>
      <c r="Q129" s="110"/>
      <c r="R129" s="110"/>
      <c r="S129" s="110"/>
      <c r="T129" s="110"/>
      <c r="U129" s="110"/>
      <c r="V129" s="110"/>
      <c r="W129" s="110"/>
      <c r="X129" s="110"/>
      <c r="Y129" s="110"/>
      <c r="Z129" s="110"/>
      <c r="AA129" s="110"/>
      <c r="AB129" s="110"/>
      <c r="AC129" s="110"/>
      <c r="AD129" s="110"/>
      <c r="AE129" s="110"/>
      <c r="AF129" s="110"/>
      <c r="AG129" s="110"/>
      <c r="AJ129" s="211"/>
    </row>
    <row r="130" spans="1:63" outlineLevel="1" x14ac:dyDescent="0.2">
      <c r="A130" t="s">
        <v>1676</v>
      </c>
      <c r="C130" s="230">
        <f>('Overall recycling rates'!F87*'Yearly BTX'!D5+'Overall recycling rates'!G87*'Yearly BTX'!D6+'Overall recycling rates'!H87*'Yearly BTX'!D7)/'Yearly BTX'!D4</f>
        <v>0.99999999999999989</v>
      </c>
      <c r="D130" s="230">
        <f>C130-($C130-$AG130)/($AG$1-$C$1)</f>
        <v>0.99999999999999989</v>
      </c>
      <c r="E130" s="230">
        <f t="shared" ref="E130:AF130" si="87">D130-($C130-$AG130)/($AG$1-$C$1)</f>
        <v>0.99999999999999989</v>
      </c>
      <c r="F130" s="230">
        <f t="shared" si="87"/>
        <v>0.99999999999999989</v>
      </c>
      <c r="G130" s="230">
        <f t="shared" si="87"/>
        <v>0.99999999999999989</v>
      </c>
      <c r="H130" s="230">
        <f t="shared" si="87"/>
        <v>0.99999999999999989</v>
      </c>
      <c r="I130" s="230">
        <f t="shared" si="87"/>
        <v>0.99999999999999989</v>
      </c>
      <c r="J130" s="230">
        <f t="shared" si="87"/>
        <v>0.99999999999999989</v>
      </c>
      <c r="K130" s="230">
        <f t="shared" si="87"/>
        <v>0.99999999999999989</v>
      </c>
      <c r="L130" s="230">
        <f t="shared" si="87"/>
        <v>0.99999999999999989</v>
      </c>
      <c r="M130" s="230">
        <f t="shared" si="87"/>
        <v>0.99999999999999989</v>
      </c>
      <c r="N130" s="230">
        <f t="shared" si="87"/>
        <v>0.99999999999999989</v>
      </c>
      <c r="O130" s="230">
        <f t="shared" si="87"/>
        <v>0.99999999999999989</v>
      </c>
      <c r="P130" s="230">
        <f t="shared" si="87"/>
        <v>0.99999999999999989</v>
      </c>
      <c r="Q130" s="230">
        <f t="shared" si="87"/>
        <v>0.99999999999999989</v>
      </c>
      <c r="R130" s="230">
        <f t="shared" si="87"/>
        <v>0.99999999999999989</v>
      </c>
      <c r="S130" s="230">
        <f t="shared" si="87"/>
        <v>0.99999999999999989</v>
      </c>
      <c r="T130" s="230">
        <f t="shared" si="87"/>
        <v>0.99999999999999989</v>
      </c>
      <c r="U130" s="230">
        <f t="shared" si="87"/>
        <v>0.99999999999999989</v>
      </c>
      <c r="V130" s="230">
        <f t="shared" si="87"/>
        <v>0.99999999999999989</v>
      </c>
      <c r="W130" s="230">
        <f t="shared" si="87"/>
        <v>0.99999999999999989</v>
      </c>
      <c r="X130" s="230">
        <f t="shared" si="87"/>
        <v>0.99999999999999989</v>
      </c>
      <c r="Y130" s="230">
        <f t="shared" si="87"/>
        <v>0.99999999999999989</v>
      </c>
      <c r="Z130" s="230">
        <f t="shared" si="87"/>
        <v>0.99999999999999989</v>
      </c>
      <c r="AA130" s="230">
        <f t="shared" si="87"/>
        <v>0.99999999999999989</v>
      </c>
      <c r="AB130" s="230">
        <f t="shared" si="87"/>
        <v>0.99999999999999989</v>
      </c>
      <c r="AC130" s="230">
        <f t="shared" si="87"/>
        <v>0.99999999999999989</v>
      </c>
      <c r="AD130" s="230">
        <f t="shared" si="87"/>
        <v>0.99999999999999989</v>
      </c>
      <c r="AE130" s="230">
        <f t="shared" si="87"/>
        <v>0.99999999999999989</v>
      </c>
      <c r="AF130" s="230">
        <f t="shared" si="87"/>
        <v>0.99999999999999989</v>
      </c>
      <c r="AG130" s="230">
        <f>'Overall recycling rates'!F96</f>
        <v>1</v>
      </c>
      <c r="AI130" s="133"/>
      <c r="AJ130" s="211" t="s">
        <v>1571</v>
      </c>
      <c r="AL130" s="108"/>
      <c r="AM130" s="207"/>
      <c r="AN130" s="207"/>
      <c r="AO130" s="207"/>
      <c r="BC130" s="1"/>
      <c r="BD130" s="207"/>
      <c r="BE130" s="207"/>
      <c r="BF130" s="207"/>
      <c r="BG130" s="207"/>
      <c r="BH130" s="207"/>
      <c r="BI130" s="207"/>
      <c r="BJ130" s="207"/>
      <c r="BK130" s="207"/>
    </row>
    <row r="131" spans="1:63" outlineLevel="1" x14ac:dyDescent="0.2">
      <c r="A131" t="s">
        <v>1687</v>
      </c>
      <c r="B131" s="54" t="s">
        <v>462</v>
      </c>
      <c r="C131" s="110">
        <f>C120*C$130</f>
        <v>0</v>
      </c>
      <c r="D131" s="110">
        <f>D120*D$99</f>
        <v>0</v>
      </c>
      <c r="E131" s="110">
        <f t="shared" ref="E131:AG131" si="88">E120*E$99</f>
        <v>0</v>
      </c>
      <c r="F131" s="110">
        <f t="shared" si="88"/>
        <v>0</v>
      </c>
      <c r="G131" s="110">
        <f t="shared" si="88"/>
        <v>0</v>
      </c>
      <c r="H131" s="110">
        <f t="shared" si="88"/>
        <v>0</v>
      </c>
      <c r="I131" s="110">
        <f t="shared" si="88"/>
        <v>0</v>
      </c>
      <c r="J131" s="110">
        <f t="shared" si="88"/>
        <v>0</v>
      </c>
      <c r="K131" s="110">
        <f t="shared" si="88"/>
        <v>0</v>
      </c>
      <c r="L131" s="110">
        <f t="shared" si="88"/>
        <v>0</v>
      </c>
      <c r="M131" s="110">
        <f t="shared" si="88"/>
        <v>0</v>
      </c>
      <c r="N131" s="110">
        <f t="shared" si="88"/>
        <v>0</v>
      </c>
      <c r="O131" s="110">
        <f t="shared" si="88"/>
        <v>0</v>
      </c>
      <c r="P131" s="110">
        <f t="shared" si="88"/>
        <v>0</v>
      </c>
      <c r="Q131" s="110">
        <f t="shared" si="88"/>
        <v>0</v>
      </c>
      <c r="R131" s="110">
        <f t="shared" si="88"/>
        <v>0</v>
      </c>
      <c r="S131" s="110">
        <f t="shared" si="88"/>
        <v>0</v>
      </c>
      <c r="T131" s="110">
        <f t="shared" si="88"/>
        <v>0</v>
      </c>
      <c r="U131" s="110">
        <f t="shared" si="88"/>
        <v>0</v>
      </c>
      <c r="V131" s="110">
        <f t="shared" si="88"/>
        <v>0</v>
      </c>
      <c r="W131" s="110">
        <f t="shared" si="88"/>
        <v>0</v>
      </c>
      <c r="X131" s="110">
        <f t="shared" si="88"/>
        <v>0</v>
      </c>
      <c r="Y131" s="110">
        <f t="shared" si="88"/>
        <v>0</v>
      </c>
      <c r="Z131" s="110">
        <f t="shared" si="88"/>
        <v>0</v>
      </c>
      <c r="AA131" s="110">
        <f t="shared" si="88"/>
        <v>0</v>
      </c>
      <c r="AB131" s="110">
        <f t="shared" si="88"/>
        <v>0</v>
      </c>
      <c r="AC131" s="110">
        <f t="shared" si="88"/>
        <v>0</v>
      </c>
      <c r="AD131" s="110">
        <f t="shared" si="88"/>
        <v>0</v>
      </c>
      <c r="AE131" s="110">
        <f t="shared" si="88"/>
        <v>0</v>
      </c>
      <c r="AF131" s="110">
        <f t="shared" si="88"/>
        <v>0</v>
      </c>
      <c r="AG131" s="110">
        <f t="shared" si="88"/>
        <v>0</v>
      </c>
      <c r="AI131" s="133"/>
      <c r="AJ131"/>
      <c r="AL131" s="108"/>
      <c r="AM131" s="2"/>
      <c r="AN131" s="2"/>
      <c r="AO131" s="2"/>
      <c r="AV131" s="41"/>
    </row>
    <row r="132" spans="1:63" outlineLevel="1" x14ac:dyDescent="0.2">
      <c r="A132" t="s">
        <v>1688</v>
      </c>
      <c r="B132" s="54" t="s">
        <v>462</v>
      </c>
      <c r="C132" s="110">
        <f>C121*C$130</f>
        <v>0</v>
      </c>
      <c r="D132" s="110">
        <f t="shared" ref="D132:AG132" si="89">D118*D$99</f>
        <v>0</v>
      </c>
      <c r="E132" s="110">
        <f t="shared" si="89"/>
        <v>0</v>
      </c>
      <c r="F132" s="110">
        <f t="shared" si="89"/>
        <v>0</v>
      </c>
      <c r="G132" s="110">
        <f t="shared" si="89"/>
        <v>0</v>
      </c>
      <c r="H132" s="110">
        <f t="shared" si="89"/>
        <v>0</v>
      </c>
      <c r="I132" s="110">
        <f t="shared" si="89"/>
        <v>0</v>
      </c>
      <c r="J132" s="110">
        <f t="shared" si="89"/>
        <v>0</v>
      </c>
      <c r="K132" s="110">
        <f t="shared" si="89"/>
        <v>0</v>
      </c>
      <c r="L132" s="110">
        <f t="shared" si="89"/>
        <v>0</v>
      </c>
      <c r="M132" s="110">
        <f t="shared" si="89"/>
        <v>0</v>
      </c>
      <c r="N132" s="110">
        <f t="shared" si="89"/>
        <v>0</v>
      </c>
      <c r="O132" s="110">
        <f t="shared" si="89"/>
        <v>0</v>
      </c>
      <c r="P132" s="110">
        <f t="shared" si="89"/>
        <v>0</v>
      </c>
      <c r="Q132" s="110">
        <f t="shared" si="89"/>
        <v>0</v>
      </c>
      <c r="R132" s="110">
        <f t="shared" si="89"/>
        <v>0</v>
      </c>
      <c r="S132" s="110">
        <f t="shared" si="89"/>
        <v>0</v>
      </c>
      <c r="T132" s="110">
        <f t="shared" si="89"/>
        <v>0</v>
      </c>
      <c r="U132" s="110">
        <f t="shared" si="89"/>
        <v>0</v>
      </c>
      <c r="V132" s="110">
        <f t="shared" si="89"/>
        <v>0</v>
      </c>
      <c r="W132" s="110">
        <f t="shared" si="89"/>
        <v>0</v>
      </c>
      <c r="X132" s="110">
        <f t="shared" si="89"/>
        <v>0</v>
      </c>
      <c r="Y132" s="110">
        <f t="shared" si="89"/>
        <v>0</v>
      </c>
      <c r="Z132" s="110">
        <f t="shared" si="89"/>
        <v>0</v>
      </c>
      <c r="AA132" s="110">
        <f t="shared" si="89"/>
        <v>0</v>
      </c>
      <c r="AB132" s="110">
        <f t="shared" si="89"/>
        <v>0</v>
      </c>
      <c r="AC132" s="110">
        <f t="shared" si="89"/>
        <v>0</v>
      </c>
      <c r="AD132" s="110">
        <f t="shared" si="89"/>
        <v>0</v>
      </c>
      <c r="AE132" s="110">
        <f t="shared" si="89"/>
        <v>0</v>
      </c>
      <c r="AF132" s="110">
        <f t="shared" si="89"/>
        <v>0</v>
      </c>
      <c r="AG132" s="110">
        <f t="shared" si="89"/>
        <v>0</v>
      </c>
      <c r="AH132" s="245"/>
      <c r="AI132" s="133"/>
      <c r="AJ132" s="211"/>
      <c r="AL132" s="108"/>
      <c r="AM132" s="2"/>
      <c r="AN132" s="2"/>
      <c r="AO132" s="2"/>
      <c r="AV132" s="41"/>
    </row>
    <row r="133" spans="1:63" outlineLevel="1" x14ac:dyDescent="0.2">
      <c r="A133" t="s">
        <v>1689</v>
      </c>
      <c r="B133" s="176" t="s">
        <v>462</v>
      </c>
      <c r="C133" s="110">
        <f>SUM(C131:C132)</f>
        <v>0</v>
      </c>
      <c r="D133" s="110">
        <f t="shared" ref="D133:AG133" si="90">SUM(D131:D132)</f>
        <v>0</v>
      </c>
      <c r="E133" s="110">
        <f t="shared" si="90"/>
        <v>0</v>
      </c>
      <c r="F133" s="110">
        <f t="shared" si="90"/>
        <v>0</v>
      </c>
      <c r="G133" s="110">
        <f t="shared" si="90"/>
        <v>0</v>
      </c>
      <c r="H133" s="110">
        <f t="shared" si="90"/>
        <v>0</v>
      </c>
      <c r="I133" s="110">
        <f t="shared" si="90"/>
        <v>0</v>
      </c>
      <c r="J133" s="110">
        <f t="shared" si="90"/>
        <v>0</v>
      </c>
      <c r="K133" s="110">
        <f t="shared" si="90"/>
        <v>0</v>
      </c>
      <c r="L133" s="110">
        <f t="shared" si="90"/>
        <v>0</v>
      </c>
      <c r="M133" s="110">
        <f t="shared" si="90"/>
        <v>0</v>
      </c>
      <c r="N133" s="110">
        <f t="shared" si="90"/>
        <v>0</v>
      </c>
      <c r="O133" s="110">
        <f t="shared" si="90"/>
        <v>0</v>
      </c>
      <c r="P133" s="110">
        <f t="shared" si="90"/>
        <v>0</v>
      </c>
      <c r="Q133" s="110">
        <f t="shared" si="90"/>
        <v>0</v>
      </c>
      <c r="R133" s="110">
        <f t="shared" si="90"/>
        <v>0</v>
      </c>
      <c r="S133" s="110">
        <f t="shared" si="90"/>
        <v>0</v>
      </c>
      <c r="T133" s="110">
        <f t="shared" si="90"/>
        <v>0</v>
      </c>
      <c r="U133" s="110">
        <f t="shared" si="90"/>
        <v>0</v>
      </c>
      <c r="V133" s="110">
        <f t="shared" si="90"/>
        <v>0</v>
      </c>
      <c r="W133" s="110">
        <f t="shared" si="90"/>
        <v>0</v>
      </c>
      <c r="X133" s="110">
        <f t="shared" si="90"/>
        <v>0</v>
      </c>
      <c r="Y133" s="110">
        <f t="shared" si="90"/>
        <v>0</v>
      </c>
      <c r="Z133" s="110">
        <f t="shared" si="90"/>
        <v>0</v>
      </c>
      <c r="AA133" s="110">
        <f t="shared" si="90"/>
        <v>0</v>
      </c>
      <c r="AB133" s="110">
        <f t="shared" si="90"/>
        <v>0</v>
      </c>
      <c r="AC133" s="110">
        <f t="shared" si="90"/>
        <v>0</v>
      </c>
      <c r="AD133" s="110">
        <f t="shared" si="90"/>
        <v>0</v>
      </c>
      <c r="AE133" s="110">
        <f t="shared" si="90"/>
        <v>0</v>
      </c>
      <c r="AF133" s="110">
        <f t="shared" si="90"/>
        <v>0</v>
      </c>
      <c r="AG133" s="110">
        <f t="shared" si="90"/>
        <v>0</v>
      </c>
      <c r="AI133" s="133"/>
      <c r="AJ133" s="211"/>
      <c r="AL133" s="108"/>
      <c r="AM133" s="2"/>
      <c r="AN133" s="2"/>
      <c r="AO133" s="2"/>
    </row>
    <row r="134" spans="1:63" outlineLevel="1" x14ac:dyDescent="0.2">
      <c r="A134" t="s">
        <v>1693</v>
      </c>
      <c r="B134" s="54" t="s">
        <v>462</v>
      </c>
      <c r="C134" s="110">
        <f>C123*C132</f>
        <v>0</v>
      </c>
      <c r="D134" s="110">
        <f t="shared" ref="D134:AG134" si="91">D120*D132</f>
        <v>0</v>
      </c>
      <c r="E134" s="110">
        <f t="shared" si="91"/>
        <v>0</v>
      </c>
      <c r="F134" s="110">
        <f t="shared" si="91"/>
        <v>0</v>
      </c>
      <c r="G134" s="110">
        <f t="shared" si="91"/>
        <v>0</v>
      </c>
      <c r="H134" s="110">
        <f t="shared" si="91"/>
        <v>0</v>
      </c>
      <c r="I134" s="110">
        <f t="shared" si="91"/>
        <v>0</v>
      </c>
      <c r="J134" s="110">
        <f t="shared" si="91"/>
        <v>0</v>
      </c>
      <c r="K134" s="110">
        <f t="shared" si="91"/>
        <v>0</v>
      </c>
      <c r="L134" s="110">
        <f t="shared" si="91"/>
        <v>0</v>
      </c>
      <c r="M134" s="110">
        <f t="shared" si="91"/>
        <v>0</v>
      </c>
      <c r="N134" s="110">
        <f t="shared" si="91"/>
        <v>0</v>
      </c>
      <c r="O134" s="110">
        <f t="shared" si="91"/>
        <v>0</v>
      </c>
      <c r="P134" s="110">
        <f t="shared" si="91"/>
        <v>0</v>
      </c>
      <c r="Q134" s="110">
        <f t="shared" si="91"/>
        <v>0</v>
      </c>
      <c r="R134" s="110">
        <f t="shared" si="91"/>
        <v>0</v>
      </c>
      <c r="S134" s="110">
        <f t="shared" si="91"/>
        <v>0</v>
      </c>
      <c r="T134" s="110">
        <f t="shared" si="91"/>
        <v>0</v>
      </c>
      <c r="U134" s="110">
        <f t="shared" si="91"/>
        <v>0</v>
      </c>
      <c r="V134" s="110">
        <f t="shared" si="91"/>
        <v>0</v>
      </c>
      <c r="W134" s="110">
        <f t="shared" si="91"/>
        <v>0</v>
      </c>
      <c r="X134" s="110">
        <f t="shared" si="91"/>
        <v>0</v>
      </c>
      <c r="Y134" s="110">
        <f t="shared" si="91"/>
        <v>0</v>
      </c>
      <c r="Z134" s="110">
        <f t="shared" si="91"/>
        <v>0</v>
      </c>
      <c r="AA134" s="110">
        <f t="shared" si="91"/>
        <v>0</v>
      </c>
      <c r="AB134" s="110">
        <f t="shared" si="91"/>
        <v>0</v>
      </c>
      <c r="AC134" s="110">
        <f t="shared" si="91"/>
        <v>0</v>
      </c>
      <c r="AD134" s="110">
        <f t="shared" si="91"/>
        <v>0</v>
      </c>
      <c r="AE134" s="110">
        <f t="shared" si="91"/>
        <v>0</v>
      </c>
      <c r="AF134" s="110">
        <f t="shared" si="91"/>
        <v>0</v>
      </c>
      <c r="AG134" s="110">
        <f t="shared" si="91"/>
        <v>0</v>
      </c>
      <c r="AI134" s="133"/>
      <c r="AJ134" s="211"/>
      <c r="BD134" s="203"/>
      <c r="BE134" s="203"/>
    </row>
    <row r="135" spans="1:63" outlineLevel="1" x14ac:dyDescent="0.2">
      <c r="A135" t="s">
        <v>1694</v>
      </c>
      <c r="B135" s="54" t="s">
        <v>462</v>
      </c>
      <c r="C135" s="110">
        <f>C124*C132</f>
        <v>0</v>
      </c>
      <c r="D135" s="110">
        <f t="shared" ref="D135:AG135" si="92">D122*D132</f>
        <v>0</v>
      </c>
      <c r="E135" s="110">
        <f t="shared" si="92"/>
        <v>0</v>
      </c>
      <c r="F135" s="110">
        <f t="shared" si="92"/>
        <v>0</v>
      </c>
      <c r="G135" s="110">
        <f t="shared" si="92"/>
        <v>0</v>
      </c>
      <c r="H135" s="110">
        <f t="shared" si="92"/>
        <v>0</v>
      </c>
      <c r="I135" s="110">
        <f t="shared" si="92"/>
        <v>0</v>
      </c>
      <c r="J135" s="110">
        <f t="shared" si="92"/>
        <v>0</v>
      </c>
      <c r="K135" s="110">
        <f t="shared" si="92"/>
        <v>0</v>
      </c>
      <c r="L135" s="110">
        <f t="shared" si="92"/>
        <v>0</v>
      </c>
      <c r="M135" s="110">
        <f t="shared" si="92"/>
        <v>0</v>
      </c>
      <c r="N135" s="110">
        <f t="shared" si="92"/>
        <v>0</v>
      </c>
      <c r="O135" s="110">
        <f t="shared" si="92"/>
        <v>0</v>
      </c>
      <c r="P135" s="110">
        <f t="shared" si="92"/>
        <v>0</v>
      </c>
      <c r="Q135" s="110">
        <f t="shared" si="92"/>
        <v>0</v>
      </c>
      <c r="R135" s="110">
        <f t="shared" si="92"/>
        <v>0</v>
      </c>
      <c r="S135" s="110">
        <f t="shared" si="92"/>
        <v>0</v>
      </c>
      <c r="T135" s="110">
        <f t="shared" si="92"/>
        <v>0</v>
      </c>
      <c r="U135" s="110">
        <f t="shared" si="92"/>
        <v>0</v>
      </c>
      <c r="V135" s="110">
        <f t="shared" si="92"/>
        <v>0</v>
      </c>
      <c r="W135" s="110">
        <f t="shared" si="92"/>
        <v>0</v>
      </c>
      <c r="X135" s="110">
        <f t="shared" si="92"/>
        <v>0</v>
      </c>
      <c r="Y135" s="110">
        <f t="shared" si="92"/>
        <v>0</v>
      </c>
      <c r="Z135" s="110">
        <f t="shared" si="92"/>
        <v>0</v>
      </c>
      <c r="AA135" s="110">
        <f t="shared" si="92"/>
        <v>0</v>
      </c>
      <c r="AB135" s="110">
        <f t="shared" si="92"/>
        <v>0</v>
      </c>
      <c r="AC135" s="110">
        <f t="shared" si="92"/>
        <v>0</v>
      </c>
      <c r="AD135" s="110">
        <f t="shared" si="92"/>
        <v>0</v>
      </c>
      <c r="AE135" s="110">
        <f t="shared" si="92"/>
        <v>0</v>
      </c>
      <c r="AF135" s="110">
        <f t="shared" si="92"/>
        <v>0</v>
      </c>
      <c r="AG135" s="110">
        <f t="shared" si="92"/>
        <v>0</v>
      </c>
      <c r="AI135" s="134"/>
      <c r="AJ135" s="211"/>
      <c r="BC135" s="1"/>
      <c r="BD135" s="41"/>
      <c r="BF135" s="6"/>
      <c r="BG135" s="6"/>
      <c r="BH135" s="6"/>
      <c r="BI135" s="6"/>
      <c r="BJ135" s="6"/>
    </row>
    <row r="136" spans="1:63" outlineLevel="1" x14ac:dyDescent="0.2">
      <c r="C136" s="110"/>
      <c r="D136" s="110"/>
      <c r="E136" s="110"/>
      <c r="F136" s="110"/>
      <c r="G136" s="110"/>
      <c r="H136" s="110"/>
      <c r="I136" s="110"/>
      <c r="J136" s="110"/>
      <c r="K136" s="110"/>
      <c r="L136" s="110"/>
      <c r="M136" s="110"/>
      <c r="N136" s="110"/>
      <c r="O136" s="110"/>
      <c r="P136" s="110"/>
      <c r="Q136" s="110"/>
      <c r="R136" s="110"/>
      <c r="S136" s="110"/>
      <c r="T136" s="110"/>
      <c r="U136" s="110"/>
      <c r="V136" s="110"/>
      <c r="W136" s="110"/>
      <c r="X136" s="110"/>
      <c r="Y136" s="110"/>
      <c r="Z136" s="110"/>
      <c r="AA136" s="110"/>
      <c r="AB136" s="110"/>
      <c r="AC136" s="110"/>
      <c r="AD136" s="110"/>
      <c r="AE136" s="110"/>
      <c r="AF136" s="110"/>
      <c r="AG136" s="110"/>
      <c r="AI136" s="134"/>
      <c r="AJ136" s="211"/>
      <c r="BC136" s="1"/>
      <c r="BD136" s="41"/>
      <c r="BF136" s="6"/>
      <c r="BG136" s="6"/>
      <c r="BH136" s="6"/>
      <c r="BI136" s="6"/>
      <c r="BJ136" s="6"/>
    </row>
    <row r="137" spans="1:63" s="1" customFormat="1" outlineLevel="1" x14ac:dyDescent="0.2">
      <c r="A137" s="1" t="s">
        <v>228</v>
      </c>
      <c r="B137" s="65"/>
      <c r="C137" s="300">
        <f t="shared" ref="C137:AG137" si="93">C131*C45</f>
        <v>0</v>
      </c>
      <c r="D137" s="300">
        <f t="shared" si="93"/>
        <v>0</v>
      </c>
      <c r="E137" s="300">
        <f t="shared" si="93"/>
        <v>0</v>
      </c>
      <c r="F137" s="300">
        <f t="shared" si="93"/>
        <v>0</v>
      </c>
      <c r="G137" s="300">
        <f t="shared" si="93"/>
        <v>0</v>
      </c>
      <c r="H137" s="300">
        <f t="shared" si="93"/>
        <v>0</v>
      </c>
      <c r="I137" s="300">
        <f t="shared" si="93"/>
        <v>0</v>
      </c>
      <c r="J137" s="300">
        <f t="shared" si="93"/>
        <v>0</v>
      </c>
      <c r="K137" s="300">
        <f t="shared" si="93"/>
        <v>0</v>
      </c>
      <c r="L137" s="300">
        <f t="shared" si="93"/>
        <v>0</v>
      </c>
      <c r="M137" s="300">
        <f t="shared" si="93"/>
        <v>0</v>
      </c>
      <c r="N137" s="300">
        <f t="shared" si="93"/>
        <v>0</v>
      </c>
      <c r="O137" s="300">
        <f t="shared" si="93"/>
        <v>0</v>
      </c>
      <c r="P137" s="300">
        <f t="shared" si="93"/>
        <v>0</v>
      </c>
      <c r="Q137" s="300">
        <f t="shared" si="93"/>
        <v>0</v>
      </c>
      <c r="R137" s="300">
        <f t="shared" si="93"/>
        <v>0</v>
      </c>
      <c r="S137" s="300">
        <f t="shared" si="93"/>
        <v>0</v>
      </c>
      <c r="T137" s="300">
        <f t="shared" si="93"/>
        <v>0</v>
      </c>
      <c r="U137" s="300">
        <f t="shared" si="93"/>
        <v>0</v>
      </c>
      <c r="V137" s="300">
        <f t="shared" si="93"/>
        <v>0</v>
      </c>
      <c r="W137" s="300">
        <f t="shared" si="93"/>
        <v>0</v>
      </c>
      <c r="X137" s="300">
        <f t="shared" si="93"/>
        <v>0</v>
      </c>
      <c r="Y137" s="300">
        <f t="shared" si="93"/>
        <v>0</v>
      </c>
      <c r="Z137" s="300">
        <f t="shared" si="93"/>
        <v>0</v>
      </c>
      <c r="AA137" s="300">
        <f t="shared" si="93"/>
        <v>0</v>
      </c>
      <c r="AB137" s="300">
        <f t="shared" si="93"/>
        <v>0</v>
      </c>
      <c r="AC137" s="300">
        <f t="shared" si="93"/>
        <v>0</v>
      </c>
      <c r="AD137" s="300">
        <f t="shared" si="93"/>
        <v>0</v>
      </c>
      <c r="AE137" s="300">
        <f t="shared" si="93"/>
        <v>0</v>
      </c>
      <c r="AF137" s="300">
        <f t="shared" si="93"/>
        <v>0</v>
      </c>
      <c r="AG137" s="300">
        <f t="shared" si="93"/>
        <v>0</v>
      </c>
      <c r="AH137" s="245"/>
      <c r="AI137" s="423"/>
      <c r="AJ137" s="424"/>
      <c r="AL137" s="221"/>
      <c r="AM137" s="124"/>
      <c r="AN137" s="124"/>
      <c r="AO137" s="124"/>
      <c r="BD137" s="124"/>
      <c r="BE137" s="124"/>
      <c r="BF137" s="124"/>
      <c r="BG137" s="124"/>
      <c r="BH137" s="124"/>
      <c r="BI137" s="124"/>
      <c r="BJ137" s="124"/>
      <c r="BK137" s="124"/>
    </row>
    <row r="138" spans="1:63" s="1" customFormat="1" outlineLevel="1" x14ac:dyDescent="0.2">
      <c r="A138" s="1" t="s">
        <v>1562</v>
      </c>
      <c r="B138" s="65"/>
      <c r="C138" s="300">
        <f t="shared" ref="C138:AG138" si="94">C137-$C137</f>
        <v>0</v>
      </c>
      <c r="D138" s="300">
        <f t="shared" si="94"/>
        <v>0</v>
      </c>
      <c r="E138" s="300">
        <f t="shared" si="94"/>
        <v>0</v>
      </c>
      <c r="F138" s="300">
        <f t="shared" si="94"/>
        <v>0</v>
      </c>
      <c r="G138" s="300">
        <f t="shared" si="94"/>
        <v>0</v>
      </c>
      <c r="H138" s="300">
        <f t="shared" si="94"/>
        <v>0</v>
      </c>
      <c r="I138" s="300">
        <f t="shared" si="94"/>
        <v>0</v>
      </c>
      <c r="J138" s="300">
        <f t="shared" si="94"/>
        <v>0</v>
      </c>
      <c r="K138" s="300">
        <f t="shared" si="94"/>
        <v>0</v>
      </c>
      <c r="L138" s="300">
        <f t="shared" si="94"/>
        <v>0</v>
      </c>
      <c r="M138" s="300">
        <f t="shared" si="94"/>
        <v>0</v>
      </c>
      <c r="N138" s="300">
        <f t="shared" si="94"/>
        <v>0</v>
      </c>
      <c r="O138" s="300">
        <f t="shared" si="94"/>
        <v>0</v>
      </c>
      <c r="P138" s="300">
        <f t="shared" si="94"/>
        <v>0</v>
      </c>
      <c r="Q138" s="300">
        <f t="shared" si="94"/>
        <v>0</v>
      </c>
      <c r="R138" s="300">
        <f t="shared" si="94"/>
        <v>0</v>
      </c>
      <c r="S138" s="300">
        <f t="shared" si="94"/>
        <v>0</v>
      </c>
      <c r="T138" s="300">
        <f t="shared" si="94"/>
        <v>0</v>
      </c>
      <c r="U138" s="300">
        <f t="shared" si="94"/>
        <v>0</v>
      </c>
      <c r="V138" s="300">
        <f t="shared" si="94"/>
        <v>0</v>
      </c>
      <c r="W138" s="300">
        <f t="shared" si="94"/>
        <v>0</v>
      </c>
      <c r="X138" s="300">
        <f t="shared" si="94"/>
        <v>0</v>
      </c>
      <c r="Y138" s="300">
        <f t="shared" si="94"/>
        <v>0</v>
      </c>
      <c r="Z138" s="300">
        <f t="shared" si="94"/>
        <v>0</v>
      </c>
      <c r="AA138" s="300">
        <f t="shared" si="94"/>
        <v>0</v>
      </c>
      <c r="AB138" s="300">
        <f t="shared" si="94"/>
        <v>0</v>
      </c>
      <c r="AC138" s="300">
        <f t="shared" si="94"/>
        <v>0</v>
      </c>
      <c r="AD138" s="300">
        <f t="shared" si="94"/>
        <v>0</v>
      </c>
      <c r="AE138" s="300">
        <f t="shared" si="94"/>
        <v>0</v>
      </c>
      <c r="AF138" s="300">
        <f t="shared" si="94"/>
        <v>0</v>
      </c>
      <c r="AG138" s="300">
        <f t="shared" si="94"/>
        <v>0</v>
      </c>
      <c r="AH138" s="245"/>
      <c r="AI138" s="423"/>
      <c r="AJ138" s="424"/>
      <c r="AL138" s="221"/>
      <c r="AM138" s="124"/>
      <c r="AN138" s="124"/>
      <c r="AO138" s="124"/>
      <c r="BD138" s="124"/>
      <c r="BE138" s="124"/>
      <c r="BF138" s="124"/>
      <c r="BG138" s="124"/>
      <c r="BH138" s="124"/>
      <c r="BI138" s="124"/>
      <c r="BJ138" s="124"/>
      <c r="BK138" s="124"/>
    </row>
    <row r="139" spans="1:63" s="1" customFormat="1" outlineLevel="1" x14ac:dyDescent="0.2">
      <c r="A139" s="1" t="s">
        <v>1569</v>
      </c>
      <c r="B139" s="65"/>
      <c r="C139" s="300">
        <f t="shared" ref="C139:AG139" si="95">C131*C45</f>
        <v>0</v>
      </c>
      <c r="D139" s="300">
        <f t="shared" si="95"/>
        <v>0</v>
      </c>
      <c r="E139" s="300">
        <f t="shared" si="95"/>
        <v>0</v>
      </c>
      <c r="F139" s="300">
        <f t="shared" si="95"/>
        <v>0</v>
      </c>
      <c r="G139" s="300">
        <f t="shared" si="95"/>
        <v>0</v>
      </c>
      <c r="H139" s="300">
        <f t="shared" si="95"/>
        <v>0</v>
      </c>
      <c r="I139" s="300">
        <f t="shared" si="95"/>
        <v>0</v>
      </c>
      <c r="J139" s="300">
        <f t="shared" si="95"/>
        <v>0</v>
      </c>
      <c r="K139" s="300">
        <f t="shared" si="95"/>
        <v>0</v>
      </c>
      <c r="L139" s="300">
        <f t="shared" si="95"/>
        <v>0</v>
      </c>
      <c r="M139" s="300">
        <f t="shared" si="95"/>
        <v>0</v>
      </c>
      <c r="N139" s="300">
        <f t="shared" si="95"/>
        <v>0</v>
      </c>
      <c r="O139" s="300">
        <f t="shared" si="95"/>
        <v>0</v>
      </c>
      <c r="P139" s="300">
        <f t="shared" si="95"/>
        <v>0</v>
      </c>
      <c r="Q139" s="300">
        <f t="shared" si="95"/>
        <v>0</v>
      </c>
      <c r="R139" s="300">
        <f t="shared" si="95"/>
        <v>0</v>
      </c>
      <c r="S139" s="300">
        <f t="shared" si="95"/>
        <v>0</v>
      </c>
      <c r="T139" s="300">
        <f t="shared" si="95"/>
        <v>0</v>
      </c>
      <c r="U139" s="300">
        <f t="shared" si="95"/>
        <v>0</v>
      </c>
      <c r="V139" s="300">
        <f t="shared" si="95"/>
        <v>0</v>
      </c>
      <c r="W139" s="300">
        <f t="shared" si="95"/>
        <v>0</v>
      </c>
      <c r="X139" s="300">
        <f t="shared" si="95"/>
        <v>0</v>
      </c>
      <c r="Y139" s="300">
        <f t="shared" si="95"/>
        <v>0</v>
      </c>
      <c r="Z139" s="300">
        <f t="shared" si="95"/>
        <v>0</v>
      </c>
      <c r="AA139" s="300">
        <f t="shared" si="95"/>
        <v>0</v>
      </c>
      <c r="AB139" s="300">
        <f t="shared" si="95"/>
        <v>0</v>
      </c>
      <c r="AC139" s="300">
        <f t="shared" si="95"/>
        <v>0</v>
      </c>
      <c r="AD139" s="300">
        <f t="shared" si="95"/>
        <v>0</v>
      </c>
      <c r="AE139" s="300">
        <f t="shared" si="95"/>
        <v>0</v>
      </c>
      <c r="AF139" s="300">
        <f t="shared" si="95"/>
        <v>0</v>
      </c>
      <c r="AG139" s="300">
        <f t="shared" si="95"/>
        <v>0</v>
      </c>
      <c r="AH139" s="245"/>
      <c r="AI139" s="423"/>
      <c r="AJ139" s="424"/>
      <c r="AL139" s="221"/>
      <c r="AM139" s="124"/>
      <c r="AN139" s="124"/>
      <c r="AO139" s="124"/>
      <c r="BD139" s="124"/>
      <c r="BE139" s="124"/>
      <c r="BF139" s="124"/>
      <c r="BG139" s="124"/>
      <c r="BH139" s="124"/>
      <c r="BI139" s="124"/>
      <c r="BJ139" s="124"/>
      <c r="BK139" s="124"/>
    </row>
    <row r="140" spans="1:63" s="1" customFormat="1" outlineLevel="1" x14ac:dyDescent="0.2">
      <c r="A140" s="1" t="s">
        <v>1570</v>
      </c>
      <c r="B140" s="65"/>
      <c r="C140" s="300">
        <f t="shared" ref="C140:AG140" si="96">C139-$C139</f>
        <v>0</v>
      </c>
      <c r="D140" s="300">
        <f t="shared" si="96"/>
        <v>0</v>
      </c>
      <c r="E140" s="300">
        <f t="shared" si="96"/>
        <v>0</v>
      </c>
      <c r="F140" s="300">
        <f t="shared" si="96"/>
        <v>0</v>
      </c>
      <c r="G140" s="300">
        <f t="shared" si="96"/>
        <v>0</v>
      </c>
      <c r="H140" s="300">
        <f t="shared" si="96"/>
        <v>0</v>
      </c>
      <c r="I140" s="300">
        <f t="shared" si="96"/>
        <v>0</v>
      </c>
      <c r="J140" s="300">
        <f t="shared" si="96"/>
        <v>0</v>
      </c>
      <c r="K140" s="300">
        <f t="shared" si="96"/>
        <v>0</v>
      </c>
      <c r="L140" s="300">
        <f t="shared" si="96"/>
        <v>0</v>
      </c>
      <c r="M140" s="300">
        <f t="shared" si="96"/>
        <v>0</v>
      </c>
      <c r="N140" s="300">
        <f t="shared" si="96"/>
        <v>0</v>
      </c>
      <c r="O140" s="300">
        <f t="shared" si="96"/>
        <v>0</v>
      </c>
      <c r="P140" s="300">
        <f t="shared" si="96"/>
        <v>0</v>
      </c>
      <c r="Q140" s="300">
        <f t="shared" si="96"/>
        <v>0</v>
      </c>
      <c r="R140" s="300">
        <f t="shared" si="96"/>
        <v>0</v>
      </c>
      <c r="S140" s="300">
        <f t="shared" si="96"/>
        <v>0</v>
      </c>
      <c r="T140" s="300">
        <f t="shared" si="96"/>
        <v>0</v>
      </c>
      <c r="U140" s="300">
        <f t="shared" si="96"/>
        <v>0</v>
      </c>
      <c r="V140" s="300">
        <f t="shared" si="96"/>
        <v>0</v>
      </c>
      <c r="W140" s="300">
        <f t="shared" si="96"/>
        <v>0</v>
      </c>
      <c r="X140" s="300">
        <f t="shared" si="96"/>
        <v>0</v>
      </c>
      <c r="Y140" s="300">
        <f t="shared" si="96"/>
        <v>0</v>
      </c>
      <c r="Z140" s="300">
        <f t="shared" si="96"/>
        <v>0</v>
      </c>
      <c r="AA140" s="300">
        <f t="shared" si="96"/>
        <v>0</v>
      </c>
      <c r="AB140" s="300">
        <f t="shared" si="96"/>
        <v>0</v>
      </c>
      <c r="AC140" s="300">
        <f t="shared" si="96"/>
        <v>0</v>
      </c>
      <c r="AD140" s="300">
        <f t="shared" si="96"/>
        <v>0</v>
      </c>
      <c r="AE140" s="300">
        <f t="shared" si="96"/>
        <v>0</v>
      </c>
      <c r="AF140" s="300">
        <f t="shared" si="96"/>
        <v>0</v>
      </c>
      <c r="AG140" s="300">
        <f t="shared" si="96"/>
        <v>0</v>
      </c>
      <c r="AH140" s="245"/>
      <c r="AI140" s="423"/>
      <c r="AJ140" s="424"/>
      <c r="AL140" s="221"/>
      <c r="AM140" s="124"/>
      <c r="AN140" s="124"/>
      <c r="AO140" s="124"/>
      <c r="BD140" s="124"/>
      <c r="BE140" s="124"/>
      <c r="BF140" s="124"/>
      <c r="BG140" s="124"/>
      <c r="BH140" s="124"/>
      <c r="BI140" s="124"/>
      <c r="BJ140" s="124"/>
      <c r="BK140" s="124"/>
    </row>
    <row r="141" spans="1:63" s="1" customFormat="1" outlineLevel="1" x14ac:dyDescent="0.2">
      <c r="A141" s="1" t="s">
        <v>1637</v>
      </c>
      <c r="B141" s="65"/>
      <c r="C141" s="300">
        <f t="shared" ref="C141:AG141" si="97">C131*C45</f>
        <v>0</v>
      </c>
      <c r="D141" s="300">
        <f t="shared" si="97"/>
        <v>0</v>
      </c>
      <c r="E141" s="300">
        <f t="shared" si="97"/>
        <v>0</v>
      </c>
      <c r="F141" s="300">
        <f t="shared" si="97"/>
        <v>0</v>
      </c>
      <c r="G141" s="300">
        <f t="shared" si="97"/>
        <v>0</v>
      </c>
      <c r="H141" s="300">
        <f t="shared" si="97"/>
        <v>0</v>
      </c>
      <c r="I141" s="300">
        <f t="shared" si="97"/>
        <v>0</v>
      </c>
      <c r="J141" s="300">
        <f t="shared" si="97"/>
        <v>0</v>
      </c>
      <c r="K141" s="300">
        <f t="shared" si="97"/>
        <v>0</v>
      </c>
      <c r="L141" s="300">
        <f t="shared" si="97"/>
        <v>0</v>
      </c>
      <c r="M141" s="300">
        <f t="shared" si="97"/>
        <v>0</v>
      </c>
      <c r="N141" s="300">
        <f t="shared" si="97"/>
        <v>0</v>
      </c>
      <c r="O141" s="300">
        <f t="shared" si="97"/>
        <v>0</v>
      </c>
      <c r="P141" s="300">
        <f t="shared" si="97"/>
        <v>0</v>
      </c>
      <c r="Q141" s="300">
        <f t="shared" si="97"/>
        <v>0</v>
      </c>
      <c r="R141" s="300">
        <f t="shared" si="97"/>
        <v>0</v>
      </c>
      <c r="S141" s="300">
        <f t="shared" si="97"/>
        <v>0</v>
      </c>
      <c r="T141" s="300">
        <f t="shared" si="97"/>
        <v>0</v>
      </c>
      <c r="U141" s="300">
        <f t="shared" si="97"/>
        <v>0</v>
      </c>
      <c r="V141" s="300">
        <f t="shared" si="97"/>
        <v>0</v>
      </c>
      <c r="W141" s="300">
        <f t="shared" si="97"/>
        <v>0</v>
      </c>
      <c r="X141" s="300">
        <f t="shared" si="97"/>
        <v>0</v>
      </c>
      <c r="Y141" s="300">
        <f t="shared" si="97"/>
        <v>0</v>
      </c>
      <c r="Z141" s="300">
        <f t="shared" si="97"/>
        <v>0</v>
      </c>
      <c r="AA141" s="300">
        <f t="shared" si="97"/>
        <v>0</v>
      </c>
      <c r="AB141" s="300">
        <f t="shared" si="97"/>
        <v>0</v>
      </c>
      <c r="AC141" s="300">
        <f t="shared" si="97"/>
        <v>0</v>
      </c>
      <c r="AD141" s="300">
        <f t="shared" si="97"/>
        <v>0</v>
      </c>
      <c r="AE141" s="300">
        <f t="shared" si="97"/>
        <v>0</v>
      </c>
      <c r="AF141" s="300">
        <f t="shared" si="97"/>
        <v>0</v>
      </c>
      <c r="AG141" s="300">
        <f t="shared" si="97"/>
        <v>0</v>
      </c>
      <c r="AH141" s="245"/>
      <c r="AI141" s="423"/>
      <c r="AJ141" s="424"/>
      <c r="AL141" s="221"/>
      <c r="AM141" s="124"/>
      <c r="AN141" s="124"/>
      <c r="AO141" s="124"/>
      <c r="BD141" s="124"/>
      <c r="BE141" s="124"/>
      <c r="BF141" s="124"/>
      <c r="BG141" s="124"/>
      <c r="BH141" s="124"/>
      <c r="BI141" s="124"/>
      <c r="BJ141" s="124"/>
      <c r="BK141" s="124"/>
    </row>
    <row r="142" spans="1:63" s="1" customFormat="1" outlineLevel="1" x14ac:dyDescent="0.2">
      <c r="A142" s="1" t="s">
        <v>1638</v>
      </c>
      <c r="B142" s="65"/>
      <c r="C142" s="300">
        <f t="shared" ref="C142:AG142" si="98">C141-$C141</f>
        <v>0</v>
      </c>
      <c r="D142" s="300">
        <f t="shared" si="98"/>
        <v>0</v>
      </c>
      <c r="E142" s="300">
        <f t="shared" si="98"/>
        <v>0</v>
      </c>
      <c r="F142" s="300">
        <f t="shared" si="98"/>
        <v>0</v>
      </c>
      <c r="G142" s="300">
        <f t="shared" si="98"/>
        <v>0</v>
      </c>
      <c r="H142" s="300">
        <f t="shared" si="98"/>
        <v>0</v>
      </c>
      <c r="I142" s="300">
        <f t="shared" si="98"/>
        <v>0</v>
      </c>
      <c r="J142" s="300">
        <f t="shared" si="98"/>
        <v>0</v>
      </c>
      <c r="K142" s="300">
        <f t="shared" si="98"/>
        <v>0</v>
      </c>
      <c r="L142" s="300">
        <f t="shared" si="98"/>
        <v>0</v>
      </c>
      <c r="M142" s="300">
        <f t="shared" si="98"/>
        <v>0</v>
      </c>
      <c r="N142" s="300">
        <f t="shared" si="98"/>
        <v>0</v>
      </c>
      <c r="O142" s="300">
        <f t="shared" si="98"/>
        <v>0</v>
      </c>
      <c r="P142" s="300">
        <f t="shared" si="98"/>
        <v>0</v>
      </c>
      <c r="Q142" s="300">
        <f t="shared" si="98"/>
        <v>0</v>
      </c>
      <c r="R142" s="300">
        <f t="shared" si="98"/>
        <v>0</v>
      </c>
      <c r="S142" s="300">
        <f t="shared" si="98"/>
        <v>0</v>
      </c>
      <c r="T142" s="300">
        <f t="shared" si="98"/>
        <v>0</v>
      </c>
      <c r="U142" s="300">
        <f t="shared" si="98"/>
        <v>0</v>
      </c>
      <c r="V142" s="300">
        <f t="shared" si="98"/>
        <v>0</v>
      </c>
      <c r="W142" s="300">
        <f t="shared" si="98"/>
        <v>0</v>
      </c>
      <c r="X142" s="300">
        <f t="shared" si="98"/>
        <v>0</v>
      </c>
      <c r="Y142" s="300">
        <f t="shared" si="98"/>
        <v>0</v>
      </c>
      <c r="Z142" s="300">
        <f t="shared" si="98"/>
        <v>0</v>
      </c>
      <c r="AA142" s="300">
        <f t="shared" si="98"/>
        <v>0</v>
      </c>
      <c r="AB142" s="300">
        <f t="shared" si="98"/>
        <v>0</v>
      </c>
      <c r="AC142" s="300">
        <f t="shared" si="98"/>
        <v>0</v>
      </c>
      <c r="AD142" s="300">
        <f t="shared" si="98"/>
        <v>0</v>
      </c>
      <c r="AE142" s="300">
        <f t="shared" si="98"/>
        <v>0</v>
      </c>
      <c r="AF142" s="300">
        <f t="shared" si="98"/>
        <v>0</v>
      </c>
      <c r="AG142" s="300">
        <f t="shared" si="98"/>
        <v>0</v>
      </c>
      <c r="AH142" s="245"/>
      <c r="AI142" s="423"/>
      <c r="AJ142" s="424"/>
      <c r="AL142" s="221"/>
      <c r="AM142" s="124"/>
      <c r="AN142" s="124"/>
      <c r="AO142" s="124"/>
      <c r="BD142" s="124"/>
      <c r="BE142" s="124"/>
      <c r="BF142" s="124"/>
      <c r="BG142" s="124"/>
      <c r="BH142" s="124"/>
      <c r="BI142" s="124"/>
      <c r="BJ142" s="124"/>
      <c r="BK142" s="124"/>
    </row>
    <row r="143" spans="1:63" outlineLevel="1" x14ac:dyDescent="0.2">
      <c r="C143" s="110"/>
      <c r="D143" s="110"/>
      <c r="E143" s="110"/>
      <c r="F143" s="110"/>
      <c r="G143" s="110"/>
      <c r="H143" s="110"/>
      <c r="I143" s="110"/>
      <c r="J143" s="110"/>
      <c r="K143" s="110"/>
      <c r="L143" s="110"/>
      <c r="M143" s="110"/>
      <c r="N143" s="110"/>
      <c r="O143" s="110"/>
      <c r="P143" s="110"/>
      <c r="Q143" s="110"/>
      <c r="R143" s="110"/>
      <c r="S143" s="110"/>
      <c r="T143" s="110"/>
      <c r="U143" s="110"/>
      <c r="V143" s="110"/>
      <c r="W143" s="110"/>
      <c r="X143" s="110"/>
      <c r="Y143" s="110"/>
      <c r="Z143" s="110"/>
      <c r="AA143" s="110"/>
      <c r="AB143" s="110"/>
      <c r="AC143" s="110"/>
      <c r="AD143" s="110"/>
      <c r="AE143" s="110"/>
      <c r="AF143" s="110"/>
      <c r="AG143" s="110"/>
      <c r="AJ143" s="211"/>
    </row>
    <row r="144" spans="1:63" s="200" customFormat="1" ht="16" thickBot="1" x14ac:dyDescent="0.25">
      <c r="A144" s="200" t="s">
        <v>1347</v>
      </c>
      <c r="B144" s="215"/>
      <c r="C144" s="224">
        <f>C145</f>
        <v>0</v>
      </c>
      <c r="D144" s="224">
        <f t="shared" ref="D144:AG144" si="99">D145</f>
        <v>9.9999999999999985E-3</v>
      </c>
      <c r="E144" s="224">
        <f t="shared" si="99"/>
        <v>1.9999999999999997E-2</v>
      </c>
      <c r="F144" s="224">
        <f t="shared" si="99"/>
        <v>2.9999999999999995E-2</v>
      </c>
      <c r="G144" s="224">
        <f t="shared" si="99"/>
        <v>3.9999999999999994E-2</v>
      </c>
      <c r="H144" s="224">
        <f t="shared" si="99"/>
        <v>4.9999999999999989E-2</v>
      </c>
      <c r="I144" s="224">
        <f t="shared" si="99"/>
        <v>5.9999999999999991E-2</v>
      </c>
      <c r="J144" s="224">
        <f t="shared" si="99"/>
        <v>6.9999999999999993E-2</v>
      </c>
      <c r="K144" s="224">
        <f t="shared" si="99"/>
        <v>7.9999999999999988E-2</v>
      </c>
      <c r="L144" s="224">
        <f t="shared" si="99"/>
        <v>8.9999999999999983E-2</v>
      </c>
      <c r="M144" s="224">
        <f t="shared" si="99"/>
        <v>9.9999999999999992E-2</v>
      </c>
      <c r="N144" s="224">
        <f t="shared" si="99"/>
        <v>0.10999999999999999</v>
      </c>
      <c r="O144" s="224">
        <f t="shared" si="99"/>
        <v>0.12</v>
      </c>
      <c r="P144" s="224">
        <f t="shared" si="99"/>
        <v>0.12999999999999998</v>
      </c>
      <c r="Q144" s="224">
        <f t="shared" si="99"/>
        <v>0.13999999999999999</v>
      </c>
      <c r="R144" s="224">
        <f t="shared" si="99"/>
        <v>0.14999999999999997</v>
      </c>
      <c r="S144" s="224">
        <f t="shared" si="99"/>
        <v>0.15999999999999998</v>
      </c>
      <c r="T144" s="224">
        <f t="shared" si="99"/>
        <v>0.16999999999999998</v>
      </c>
      <c r="U144" s="224">
        <f t="shared" si="99"/>
        <v>0.18</v>
      </c>
      <c r="V144" s="224">
        <f t="shared" si="99"/>
        <v>0.18999999999999997</v>
      </c>
      <c r="W144" s="224">
        <f t="shared" si="99"/>
        <v>0.19999999999999998</v>
      </c>
      <c r="X144" s="224">
        <f t="shared" si="99"/>
        <v>0.21</v>
      </c>
      <c r="Y144" s="224">
        <f t="shared" si="99"/>
        <v>0.21999999999999997</v>
      </c>
      <c r="Z144" s="224">
        <f t="shared" si="99"/>
        <v>0.22999999999999998</v>
      </c>
      <c r="AA144" s="224">
        <f t="shared" si="99"/>
        <v>0.24</v>
      </c>
      <c r="AB144" s="224">
        <f t="shared" si="99"/>
        <v>0.25</v>
      </c>
      <c r="AC144" s="224">
        <f t="shared" si="99"/>
        <v>0.26</v>
      </c>
      <c r="AD144" s="224">
        <f t="shared" si="99"/>
        <v>0.27</v>
      </c>
      <c r="AE144" s="224">
        <f t="shared" si="99"/>
        <v>0.27999999999999997</v>
      </c>
      <c r="AF144" s="224">
        <f t="shared" si="99"/>
        <v>0.28999999999999998</v>
      </c>
      <c r="AG144" s="224">
        <f t="shared" si="99"/>
        <v>0.3</v>
      </c>
      <c r="AJ144" s="231" t="s">
        <v>1312</v>
      </c>
      <c r="AL144" s="217"/>
      <c r="AM144" s="225"/>
      <c r="AN144" s="225"/>
      <c r="AO144" s="225"/>
    </row>
    <row r="145" spans="1:63" ht="16" outlineLevel="1" thickTop="1" x14ac:dyDescent="0.2">
      <c r="A145" t="s">
        <v>1348</v>
      </c>
      <c r="B145" s="54" t="s">
        <v>462</v>
      </c>
      <c r="C145" s="113">
        <v>0</v>
      </c>
      <c r="D145" s="110">
        <f>$C145+($M145-$C145)/10*(D$1-$C$1)</f>
        <v>9.9999999999999985E-3</v>
      </c>
      <c r="E145" s="110">
        <f t="shared" ref="E145:L145" si="100">$C145+($M145-$C145)/10*(E$1-$C$1)</f>
        <v>1.9999999999999997E-2</v>
      </c>
      <c r="F145" s="110">
        <f t="shared" si="100"/>
        <v>2.9999999999999995E-2</v>
      </c>
      <c r="G145" s="110">
        <f t="shared" si="100"/>
        <v>3.9999999999999994E-2</v>
      </c>
      <c r="H145" s="110">
        <f t="shared" si="100"/>
        <v>4.9999999999999989E-2</v>
      </c>
      <c r="I145" s="110">
        <f t="shared" si="100"/>
        <v>5.9999999999999991E-2</v>
      </c>
      <c r="J145" s="110">
        <f t="shared" si="100"/>
        <v>6.9999999999999993E-2</v>
      </c>
      <c r="K145" s="110">
        <f t="shared" si="100"/>
        <v>7.9999999999999988E-2</v>
      </c>
      <c r="L145" s="110">
        <f t="shared" si="100"/>
        <v>8.9999999999999983E-2</v>
      </c>
      <c r="M145" s="121">
        <f>C145+(AG145-C145)/3</f>
        <v>9.9999999999999992E-2</v>
      </c>
      <c r="N145" s="121">
        <f>$M145+($W145-$M145)/10*(N$1-$M$1)</f>
        <v>0.10999999999999999</v>
      </c>
      <c r="O145" s="121">
        <f t="shared" ref="O145:U145" si="101">$M145+($W145-$M145)/10*(O$1-$M$1)</f>
        <v>0.12</v>
      </c>
      <c r="P145" s="121">
        <f t="shared" si="101"/>
        <v>0.12999999999999998</v>
      </c>
      <c r="Q145" s="121">
        <f t="shared" si="101"/>
        <v>0.13999999999999999</v>
      </c>
      <c r="R145" s="121">
        <f t="shared" si="101"/>
        <v>0.14999999999999997</v>
      </c>
      <c r="S145" s="121">
        <f t="shared" si="101"/>
        <v>0.15999999999999998</v>
      </c>
      <c r="T145" s="121">
        <f t="shared" si="101"/>
        <v>0.16999999999999998</v>
      </c>
      <c r="U145" s="121">
        <f t="shared" si="101"/>
        <v>0.18</v>
      </c>
      <c r="V145" s="121">
        <f>$M145+($W145-$M145)/10*(V$1-$M$1)</f>
        <v>0.18999999999999997</v>
      </c>
      <c r="W145" s="121">
        <f>C145+(AG145-C145)*2/3</f>
        <v>0.19999999999999998</v>
      </c>
      <c r="X145" s="23">
        <f t="shared" ref="X145:AF145" si="102">$W145+($AG145-$W145)/10*(X$1-$W$1)</f>
        <v>0.21</v>
      </c>
      <c r="Y145" s="23">
        <f t="shared" si="102"/>
        <v>0.21999999999999997</v>
      </c>
      <c r="Z145" s="23">
        <f t="shared" si="102"/>
        <v>0.22999999999999998</v>
      </c>
      <c r="AA145" s="23">
        <f t="shared" si="102"/>
        <v>0.24</v>
      </c>
      <c r="AB145" s="23">
        <f t="shared" si="102"/>
        <v>0.25</v>
      </c>
      <c r="AC145" s="23">
        <f t="shared" si="102"/>
        <v>0.26</v>
      </c>
      <c r="AD145" s="23">
        <f t="shared" si="102"/>
        <v>0.27</v>
      </c>
      <c r="AE145" s="23">
        <f t="shared" si="102"/>
        <v>0.27999999999999997</v>
      </c>
      <c r="AF145" s="23">
        <f t="shared" si="102"/>
        <v>0.28999999999999998</v>
      </c>
      <c r="AG145" s="106">
        <v>0.3</v>
      </c>
      <c r="AJ145" s="211" t="s">
        <v>1217</v>
      </c>
    </row>
    <row r="146" spans="1:63" outlineLevel="1" x14ac:dyDescent="0.2">
      <c r="C146" s="113"/>
      <c r="D146" s="110"/>
      <c r="E146" s="110"/>
      <c r="F146" s="110"/>
      <c r="G146" s="110"/>
      <c r="H146" s="110"/>
      <c r="I146" s="110"/>
      <c r="J146" s="110"/>
      <c r="K146" s="110"/>
      <c r="L146" s="110"/>
      <c r="M146" s="121"/>
      <c r="N146" s="121"/>
      <c r="O146" s="121"/>
      <c r="P146" s="121"/>
      <c r="Q146" s="121"/>
      <c r="R146" s="121"/>
      <c r="S146" s="121"/>
      <c r="T146" s="121"/>
      <c r="U146" s="121"/>
      <c r="V146" s="121"/>
      <c r="W146" s="121"/>
      <c r="X146" s="23"/>
      <c r="Y146" s="23"/>
      <c r="Z146" s="23"/>
      <c r="AA146" s="23"/>
      <c r="AB146" s="23"/>
      <c r="AC146" s="23"/>
      <c r="AD146" s="23"/>
      <c r="AE146" s="23"/>
      <c r="AF146" s="23"/>
      <c r="AG146" s="106"/>
      <c r="AJ146" s="211"/>
    </row>
    <row r="147" spans="1:63" outlineLevel="1" x14ac:dyDescent="0.2">
      <c r="A147" t="s">
        <v>1676</v>
      </c>
      <c r="C147" s="504">
        <v>1</v>
      </c>
      <c r="D147" s="504">
        <f>C147-($C147-$AG147)/($AG$1-$C$1)</f>
        <v>1</v>
      </c>
      <c r="E147" s="504">
        <f t="shared" ref="E147:AF147" si="103">D147-($C147-$AG147)/($AG$1-$C$1)</f>
        <v>1</v>
      </c>
      <c r="F147" s="504">
        <f t="shared" si="103"/>
        <v>1</v>
      </c>
      <c r="G147" s="504">
        <f t="shared" si="103"/>
        <v>1</v>
      </c>
      <c r="H147" s="504">
        <f t="shared" si="103"/>
        <v>1</v>
      </c>
      <c r="I147" s="504">
        <f t="shared" si="103"/>
        <v>1</v>
      </c>
      <c r="J147" s="504">
        <f t="shared" si="103"/>
        <v>1</v>
      </c>
      <c r="K147" s="504">
        <f t="shared" si="103"/>
        <v>1</v>
      </c>
      <c r="L147" s="504">
        <f t="shared" si="103"/>
        <v>1</v>
      </c>
      <c r="M147" s="504">
        <f t="shared" si="103"/>
        <v>1</v>
      </c>
      <c r="N147" s="504">
        <f t="shared" si="103"/>
        <v>1</v>
      </c>
      <c r="O147" s="504">
        <f t="shared" si="103"/>
        <v>1</v>
      </c>
      <c r="P147" s="504">
        <f t="shared" si="103"/>
        <v>1</v>
      </c>
      <c r="Q147" s="504">
        <f t="shared" si="103"/>
        <v>1</v>
      </c>
      <c r="R147" s="504">
        <f t="shared" si="103"/>
        <v>1</v>
      </c>
      <c r="S147" s="504">
        <f t="shared" si="103"/>
        <v>1</v>
      </c>
      <c r="T147" s="504">
        <f t="shared" si="103"/>
        <v>1</v>
      </c>
      <c r="U147" s="504">
        <f t="shared" si="103"/>
        <v>1</v>
      </c>
      <c r="V147" s="504">
        <f t="shared" si="103"/>
        <v>1</v>
      </c>
      <c r="W147" s="504">
        <f t="shared" si="103"/>
        <v>1</v>
      </c>
      <c r="X147" s="504">
        <f t="shared" si="103"/>
        <v>1</v>
      </c>
      <c r="Y147" s="504">
        <f t="shared" si="103"/>
        <v>1</v>
      </c>
      <c r="Z147" s="504">
        <f t="shared" si="103"/>
        <v>1</v>
      </c>
      <c r="AA147" s="504">
        <f t="shared" si="103"/>
        <v>1</v>
      </c>
      <c r="AB147" s="504">
        <f t="shared" si="103"/>
        <v>1</v>
      </c>
      <c r="AC147" s="504">
        <f t="shared" si="103"/>
        <v>1</v>
      </c>
      <c r="AD147" s="504">
        <f t="shared" si="103"/>
        <v>1</v>
      </c>
      <c r="AE147" s="504">
        <f t="shared" si="103"/>
        <v>1</v>
      </c>
      <c r="AF147" s="504">
        <f t="shared" si="103"/>
        <v>1</v>
      </c>
      <c r="AG147" s="504">
        <v>1</v>
      </c>
      <c r="AI147" s="133"/>
      <c r="AJ147" s="211"/>
      <c r="AL147" s="108"/>
      <c r="AM147" s="207"/>
      <c r="AN147" s="207"/>
      <c r="AO147" s="207"/>
      <c r="BC147" s="1"/>
      <c r="BD147" s="207"/>
      <c r="BE147" s="207"/>
      <c r="BF147" s="207"/>
      <c r="BG147" s="207"/>
      <c r="BH147" s="207"/>
      <c r="BI147" s="207"/>
      <c r="BJ147" s="207"/>
      <c r="BK147" s="207"/>
    </row>
    <row r="148" spans="1:63" outlineLevel="1" x14ac:dyDescent="0.2">
      <c r="A148" t="s">
        <v>1695</v>
      </c>
      <c r="B148" s="54" t="s">
        <v>462</v>
      </c>
      <c r="C148" s="110">
        <f>C145*C147</f>
        <v>0</v>
      </c>
      <c r="D148" s="110">
        <f t="shared" ref="D148:AG148" si="104">D145*D147</f>
        <v>9.9999999999999985E-3</v>
      </c>
      <c r="E148" s="110">
        <f t="shared" si="104"/>
        <v>1.9999999999999997E-2</v>
      </c>
      <c r="F148" s="110">
        <f t="shared" si="104"/>
        <v>2.9999999999999995E-2</v>
      </c>
      <c r="G148" s="110">
        <f t="shared" si="104"/>
        <v>3.9999999999999994E-2</v>
      </c>
      <c r="H148" s="110">
        <f t="shared" si="104"/>
        <v>4.9999999999999989E-2</v>
      </c>
      <c r="I148" s="110">
        <f t="shared" si="104"/>
        <v>5.9999999999999991E-2</v>
      </c>
      <c r="J148" s="110">
        <f t="shared" si="104"/>
        <v>6.9999999999999993E-2</v>
      </c>
      <c r="K148" s="110">
        <f t="shared" si="104"/>
        <v>7.9999999999999988E-2</v>
      </c>
      <c r="L148" s="110">
        <f t="shared" si="104"/>
        <v>8.9999999999999983E-2</v>
      </c>
      <c r="M148" s="110">
        <f t="shared" si="104"/>
        <v>9.9999999999999992E-2</v>
      </c>
      <c r="N148" s="110">
        <f t="shared" si="104"/>
        <v>0.10999999999999999</v>
      </c>
      <c r="O148" s="110">
        <f t="shared" si="104"/>
        <v>0.12</v>
      </c>
      <c r="P148" s="110">
        <f t="shared" si="104"/>
        <v>0.12999999999999998</v>
      </c>
      <c r="Q148" s="110">
        <f t="shared" si="104"/>
        <v>0.13999999999999999</v>
      </c>
      <c r="R148" s="110">
        <f t="shared" si="104"/>
        <v>0.14999999999999997</v>
      </c>
      <c r="S148" s="110">
        <f t="shared" si="104"/>
        <v>0.15999999999999998</v>
      </c>
      <c r="T148" s="110">
        <f t="shared" si="104"/>
        <v>0.16999999999999998</v>
      </c>
      <c r="U148" s="110">
        <f t="shared" si="104"/>
        <v>0.18</v>
      </c>
      <c r="V148" s="110">
        <f t="shared" si="104"/>
        <v>0.18999999999999997</v>
      </c>
      <c r="W148" s="110">
        <f t="shared" si="104"/>
        <v>0.19999999999999998</v>
      </c>
      <c r="X148" s="110">
        <f t="shared" si="104"/>
        <v>0.21</v>
      </c>
      <c r="Y148" s="110">
        <f t="shared" si="104"/>
        <v>0.21999999999999997</v>
      </c>
      <c r="Z148" s="110">
        <f t="shared" si="104"/>
        <v>0.22999999999999998</v>
      </c>
      <c r="AA148" s="110">
        <f t="shared" si="104"/>
        <v>0.24</v>
      </c>
      <c r="AB148" s="110">
        <f t="shared" si="104"/>
        <v>0.25</v>
      </c>
      <c r="AC148" s="110">
        <f t="shared" si="104"/>
        <v>0.26</v>
      </c>
      <c r="AD148" s="110">
        <f t="shared" si="104"/>
        <v>0.27</v>
      </c>
      <c r="AE148" s="110">
        <f t="shared" si="104"/>
        <v>0.27999999999999997</v>
      </c>
      <c r="AF148" s="110">
        <f t="shared" si="104"/>
        <v>0.28999999999999998</v>
      </c>
      <c r="AG148" s="110">
        <f t="shared" si="104"/>
        <v>0.3</v>
      </c>
      <c r="AJ148" s="211"/>
    </row>
    <row r="149" spans="1:63" outlineLevel="1" x14ac:dyDescent="0.2">
      <c r="C149" s="110"/>
      <c r="D149" s="110"/>
      <c r="E149" s="110"/>
      <c r="F149" s="110"/>
      <c r="G149" s="110"/>
      <c r="H149" s="110"/>
      <c r="I149" s="110"/>
      <c r="J149" s="110"/>
      <c r="K149" s="110"/>
      <c r="L149" s="110"/>
      <c r="M149" s="110"/>
      <c r="N149" s="110"/>
      <c r="O149" s="110"/>
      <c r="P149" s="110"/>
      <c r="Q149" s="110"/>
      <c r="R149" s="110"/>
      <c r="S149" s="110"/>
      <c r="T149" s="110"/>
      <c r="U149" s="110"/>
      <c r="V149" s="110"/>
      <c r="W149" s="110"/>
      <c r="X149" s="110"/>
      <c r="Y149" s="110"/>
      <c r="Z149" s="110"/>
      <c r="AA149" s="110"/>
      <c r="AB149" s="110"/>
      <c r="AC149" s="110"/>
      <c r="AD149" s="110"/>
      <c r="AE149" s="110"/>
      <c r="AF149" s="110"/>
      <c r="AG149" s="110"/>
      <c r="AI149" s="134"/>
      <c r="AJ149" s="211"/>
      <c r="BC149" s="1"/>
      <c r="BD149" s="41"/>
      <c r="BF149" s="6"/>
      <c r="BG149" s="6"/>
      <c r="BH149" s="6"/>
      <c r="BI149" s="6"/>
      <c r="BJ149" s="6"/>
    </row>
    <row r="150" spans="1:63" s="1" customFormat="1" outlineLevel="1" x14ac:dyDescent="0.2">
      <c r="A150" s="1" t="s">
        <v>228</v>
      </c>
      <c r="B150" s="65"/>
      <c r="C150" s="300">
        <f t="shared" ref="C150:AG150" si="105">C148*C44</f>
        <v>0</v>
      </c>
      <c r="D150" s="300">
        <f t="shared" si="105"/>
        <v>6.8575510127137293E-4</v>
      </c>
      <c r="E150" s="300">
        <f t="shared" si="105"/>
        <v>1.4137798758990748E-3</v>
      </c>
      <c r="F150" s="300">
        <f t="shared" si="105"/>
        <v>2.1803177816155017E-3</v>
      </c>
      <c r="G150" s="300">
        <f t="shared" si="105"/>
        <v>2.9810552488453018E-3</v>
      </c>
      <c r="H150" s="300">
        <f t="shared" si="105"/>
        <v>3.8111588287271458E-3</v>
      </c>
      <c r="I150" s="300">
        <f t="shared" si="105"/>
        <v>4.67538696680581E-3</v>
      </c>
      <c r="J150" s="300">
        <f t="shared" si="105"/>
        <v>5.5737262490058786E-3</v>
      </c>
      <c r="K150" s="300">
        <f t="shared" si="105"/>
        <v>6.5060985696927774E-3</v>
      </c>
      <c r="L150" s="300">
        <f t="shared" si="105"/>
        <v>7.4723593626091784E-3</v>
      </c>
      <c r="M150" s="300">
        <f t="shared" si="105"/>
        <v>8.4722959688281318E-3</v>
      </c>
      <c r="N150" s="300">
        <f t="shared" si="105"/>
        <v>9.4920255900893084E-3</v>
      </c>
      <c r="O150" s="300">
        <f t="shared" si="105"/>
        <v>1.0526647660798702E-2</v>
      </c>
      <c r="P150" s="300">
        <f t="shared" si="105"/>
        <v>1.1570993579342994E-2</v>
      </c>
      <c r="Q150" s="300">
        <f t="shared" si="105"/>
        <v>1.2619667941422514E-2</v>
      </c>
      <c r="R150" s="300">
        <f t="shared" si="105"/>
        <v>1.3667093518410865E-2</v>
      </c>
      <c r="S150" s="300">
        <f t="shared" si="105"/>
        <v>1.4734057644551869E-2</v>
      </c>
      <c r="T150" s="300">
        <f t="shared" si="105"/>
        <v>1.5820536392552507E-2</v>
      </c>
      <c r="U150" s="300">
        <f t="shared" si="105"/>
        <v>1.6926496686890214E-2</v>
      </c>
      <c r="V150" s="300">
        <f t="shared" si="105"/>
        <v>1.8051896186725893E-2</v>
      </c>
      <c r="W150" s="300">
        <f t="shared" si="105"/>
        <v>1.9196683173433635E-2</v>
      </c>
      <c r="X150" s="300">
        <f t="shared" si="105"/>
        <v>2.0361020705099583E-2</v>
      </c>
      <c r="Y150" s="300">
        <f t="shared" si="105"/>
        <v>2.1544877458779924E-2</v>
      </c>
      <c r="Z150" s="300">
        <f t="shared" si="105"/>
        <v>2.2748213782914663E-2</v>
      </c>
      <c r="AA150" s="300">
        <f t="shared" si="105"/>
        <v>2.3970981600412514E-2</v>
      </c>
      <c r="AB150" s="300">
        <f t="shared" si="105"/>
        <v>2.5213124315565019E-2</v>
      </c>
      <c r="AC150" s="300">
        <f t="shared" si="105"/>
        <v>2.6474827021831491E-2</v>
      </c>
      <c r="AD150" s="300">
        <f t="shared" si="105"/>
        <v>2.7756052501347869E-2</v>
      </c>
      <c r="AE150" s="300">
        <f t="shared" si="105"/>
        <v>2.9056755923110099E-2</v>
      </c>
      <c r="AF150" s="300">
        <f t="shared" si="105"/>
        <v>3.0376884761938429E-2</v>
      </c>
      <c r="AG150" s="300">
        <f t="shared" si="105"/>
        <v>3.1716378720642334E-2</v>
      </c>
      <c r="AH150" s="245"/>
      <c r="AI150" s="423"/>
      <c r="AJ150" s="424"/>
      <c r="AL150" s="221"/>
      <c r="AM150" s="124"/>
      <c r="AN150" s="124"/>
      <c r="AO150" s="124"/>
      <c r="BD150" s="124"/>
      <c r="BE150" s="124"/>
      <c r="BF150" s="124"/>
      <c r="BG150" s="124"/>
      <c r="BH150" s="124"/>
      <c r="BI150" s="124"/>
      <c r="BJ150" s="124"/>
      <c r="BK150" s="124"/>
    </row>
    <row r="151" spans="1:63" s="1" customFormat="1" outlineLevel="1" x14ac:dyDescent="0.2">
      <c r="A151" s="1" t="s">
        <v>1562</v>
      </c>
      <c r="B151" s="65"/>
      <c r="C151" s="300">
        <f t="shared" ref="C151:AG151" si="106">C150-$C150</f>
        <v>0</v>
      </c>
      <c r="D151" s="300">
        <f t="shared" si="106"/>
        <v>6.8575510127137293E-4</v>
      </c>
      <c r="E151" s="300">
        <f t="shared" si="106"/>
        <v>1.4137798758990748E-3</v>
      </c>
      <c r="F151" s="300">
        <f t="shared" si="106"/>
        <v>2.1803177816155017E-3</v>
      </c>
      <c r="G151" s="300">
        <f t="shared" si="106"/>
        <v>2.9810552488453018E-3</v>
      </c>
      <c r="H151" s="300">
        <f t="shared" si="106"/>
        <v>3.8111588287271458E-3</v>
      </c>
      <c r="I151" s="300">
        <f t="shared" si="106"/>
        <v>4.67538696680581E-3</v>
      </c>
      <c r="J151" s="300">
        <f t="shared" si="106"/>
        <v>5.5737262490058786E-3</v>
      </c>
      <c r="K151" s="300">
        <f t="shared" si="106"/>
        <v>6.5060985696927774E-3</v>
      </c>
      <c r="L151" s="300">
        <f t="shared" si="106"/>
        <v>7.4723593626091784E-3</v>
      </c>
      <c r="M151" s="300">
        <f t="shared" si="106"/>
        <v>8.4722959688281318E-3</v>
      </c>
      <c r="N151" s="300">
        <f t="shared" si="106"/>
        <v>9.4920255900893084E-3</v>
      </c>
      <c r="O151" s="300">
        <f t="shared" si="106"/>
        <v>1.0526647660798702E-2</v>
      </c>
      <c r="P151" s="300">
        <f t="shared" si="106"/>
        <v>1.1570993579342994E-2</v>
      </c>
      <c r="Q151" s="300">
        <f t="shared" si="106"/>
        <v>1.2619667941422514E-2</v>
      </c>
      <c r="R151" s="300">
        <f t="shared" si="106"/>
        <v>1.3667093518410865E-2</v>
      </c>
      <c r="S151" s="300">
        <f t="shared" si="106"/>
        <v>1.4734057644551869E-2</v>
      </c>
      <c r="T151" s="300">
        <f t="shared" si="106"/>
        <v>1.5820536392552507E-2</v>
      </c>
      <c r="U151" s="300">
        <f t="shared" si="106"/>
        <v>1.6926496686890214E-2</v>
      </c>
      <c r="V151" s="300">
        <f t="shared" si="106"/>
        <v>1.8051896186725893E-2</v>
      </c>
      <c r="W151" s="300">
        <f t="shared" si="106"/>
        <v>1.9196683173433635E-2</v>
      </c>
      <c r="X151" s="300">
        <f t="shared" si="106"/>
        <v>2.0361020705099583E-2</v>
      </c>
      <c r="Y151" s="300">
        <f t="shared" si="106"/>
        <v>2.1544877458779924E-2</v>
      </c>
      <c r="Z151" s="300">
        <f t="shared" si="106"/>
        <v>2.2748213782914663E-2</v>
      </c>
      <c r="AA151" s="300">
        <f t="shared" si="106"/>
        <v>2.3970981600412514E-2</v>
      </c>
      <c r="AB151" s="300">
        <f t="shared" si="106"/>
        <v>2.5213124315565019E-2</v>
      </c>
      <c r="AC151" s="300">
        <f t="shared" si="106"/>
        <v>2.6474827021831491E-2</v>
      </c>
      <c r="AD151" s="300">
        <f t="shared" si="106"/>
        <v>2.7756052501347869E-2</v>
      </c>
      <c r="AE151" s="300">
        <f t="shared" si="106"/>
        <v>2.9056755923110099E-2</v>
      </c>
      <c r="AF151" s="300">
        <f t="shared" si="106"/>
        <v>3.0376884761938429E-2</v>
      </c>
      <c r="AG151" s="300">
        <f t="shared" si="106"/>
        <v>3.1716378720642334E-2</v>
      </c>
      <c r="AH151" s="245"/>
      <c r="AI151" s="423"/>
      <c r="AJ151" s="424"/>
      <c r="AL151" s="221"/>
      <c r="AM151" s="124"/>
      <c r="AN151" s="124"/>
      <c r="AO151" s="124"/>
      <c r="BD151" s="124"/>
      <c r="BE151" s="124"/>
      <c r="BF151" s="124"/>
      <c r="BG151" s="124"/>
      <c r="BH151" s="124"/>
      <c r="BI151" s="124"/>
      <c r="BJ151" s="124"/>
      <c r="BK151" s="124"/>
    </row>
    <row r="152" spans="1:63" outlineLevel="1" x14ac:dyDescent="0.2">
      <c r="AJ152" s="211"/>
    </row>
    <row r="153" spans="1:63" s="200" customFormat="1" ht="16" thickBot="1" x14ac:dyDescent="0.25">
      <c r="A153" s="200" t="s">
        <v>1351</v>
      </c>
      <c r="B153" s="215"/>
      <c r="C153" s="224">
        <f>C154</f>
        <v>0</v>
      </c>
      <c r="D153" s="224">
        <f t="shared" ref="D153:AG153" si="107">D154</f>
        <v>0</v>
      </c>
      <c r="E153" s="224">
        <f t="shared" si="107"/>
        <v>0</v>
      </c>
      <c r="F153" s="224">
        <f t="shared" si="107"/>
        <v>0</v>
      </c>
      <c r="G153" s="224">
        <f t="shared" si="107"/>
        <v>0</v>
      </c>
      <c r="H153" s="224">
        <f t="shared" si="107"/>
        <v>0</v>
      </c>
      <c r="I153" s="224">
        <f t="shared" si="107"/>
        <v>0</v>
      </c>
      <c r="J153" s="224">
        <f t="shared" si="107"/>
        <v>0</v>
      </c>
      <c r="K153" s="224">
        <f t="shared" si="107"/>
        <v>0</v>
      </c>
      <c r="L153" s="224">
        <f t="shared" si="107"/>
        <v>0</v>
      </c>
      <c r="M153" s="224">
        <f t="shared" si="107"/>
        <v>0</v>
      </c>
      <c r="N153" s="224">
        <f t="shared" si="107"/>
        <v>0</v>
      </c>
      <c r="O153" s="224">
        <f t="shared" si="107"/>
        <v>0</v>
      </c>
      <c r="P153" s="224">
        <f t="shared" si="107"/>
        <v>0</v>
      </c>
      <c r="Q153" s="224">
        <f t="shared" si="107"/>
        <v>0</v>
      </c>
      <c r="R153" s="224">
        <f t="shared" si="107"/>
        <v>0</v>
      </c>
      <c r="S153" s="224">
        <f t="shared" si="107"/>
        <v>0</v>
      </c>
      <c r="T153" s="224">
        <f t="shared" si="107"/>
        <v>0</v>
      </c>
      <c r="U153" s="224">
        <f t="shared" si="107"/>
        <v>0</v>
      </c>
      <c r="V153" s="224">
        <f t="shared" si="107"/>
        <v>0</v>
      </c>
      <c r="W153" s="224">
        <f t="shared" si="107"/>
        <v>0</v>
      </c>
      <c r="X153" s="224">
        <f t="shared" si="107"/>
        <v>0</v>
      </c>
      <c r="Y153" s="224">
        <f t="shared" si="107"/>
        <v>0</v>
      </c>
      <c r="Z153" s="224">
        <f t="shared" si="107"/>
        <v>0</v>
      </c>
      <c r="AA153" s="224">
        <f t="shared" si="107"/>
        <v>0</v>
      </c>
      <c r="AB153" s="224">
        <f t="shared" si="107"/>
        <v>0</v>
      </c>
      <c r="AC153" s="224">
        <f t="shared" si="107"/>
        <v>0</v>
      </c>
      <c r="AD153" s="224">
        <f t="shared" si="107"/>
        <v>0</v>
      </c>
      <c r="AE153" s="224">
        <f t="shared" si="107"/>
        <v>0</v>
      </c>
      <c r="AF153" s="224">
        <f t="shared" si="107"/>
        <v>0</v>
      </c>
      <c r="AG153" s="224">
        <f t="shared" si="107"/>
        <v>0</v>
      </c>
      <c r="AJ153" s="231" t="s">
        <v>1331</v>
      </c>
      <c r="AL153" s="217"/>
      <c r="AM153" s="225"/>
      <c r="AN153" s="225"/>
      <c r="AO153" s="225"/>
    </row>
    <row r="154" spans="1:63" ht="16" outlineLevel="2" thickTop="1" x14ac:dyDescent="0.2">
      <c r="A154" t="s">
        <v>1352</v>
      </c>
      <c r="B154" s="54" t="s">
        <v>462</v>
      </c>
      <c r="C154" s="113">
        <v>0</v>
      </c>
      <c r="D154" s="110">
        <f>$C154+($M154-$C154)/10*(D$1-$C$1)</f>
        <v>0</v>
      </c>
      <c r="E154" s="110">
        <f t="shared" ref="E154:L154" si="108">$C154+($M154-$C154)/10*(E$1-$C$1)</f>
        <v>0</v>
      </c>
      <c r="F154" s="110">
        <f t="shared" si="108"/>
        <v>0</v>
      </c>
      <c r="G154" s="110">
        <f t="shared" si="108"/>
        <v>0</v>
      </c>
      <c r="H154" s="110">
        <f t="shared" si="108"/>
        <v>0</v>
      </c>
      <c r="I154" s="110">
        <f t="shared" si="108"/>
        <v>0</v>
      </c>
      <c r="J154" s="110">
        <f t="shared" si="108"/>
        <v>0</v>
      </c>
      <c r="K154" s="110">
        <f t="shared" si="108"/>
        <v>0</v>
      </c>
      <c r="L154" s="110">
        <f t="shared" si="108"/>
        <v>0</v>
      </c>
      <c r="M154" s="121">
        <v>0</v>
      </c>
      <c r="N154" s="121">
        <f>$M154+($W154-$M154)/10*(N$1-$M$1)</f>
        <v>0</v>
      </c>
      <c r="O154" s="121">
        <f t="shared" ref="O154:U154" si="109">$M154+($W154-$M154)/10*(O$1-$M$1)</f>
        <v>0</v>
      </c>
      <c r="P154" s="121">
        <f t="shared" si="109"/>
        <v>0</v>
      </c>
      <c r="Q154" s="121">
        <f t="shared" si="109"/>
        <v>0</v>
      </c>
      <c r="R154" s="121">
        <f t="shared" si="109"/>
        <v>0</v>
      </c>
      <c r="S154" s="121">
        <f t="shared" si="109"/>
        <v>0</v>
      </c>
      <c r="T154" s="121">
        <f t="shared" si="109"/>
        <v>0</v>
      </c>
      <c r="U154" s="121">
        <f t="shared" si="109"/>
        <v>0</v>
      </c>
      <c r="V154" s="121">
        <f>$M154+($W154-$M154)/10*(V$1-$M$1)</f>
        <v>0</v>
      </c>
      <c r="W154" s="121">
        <v>0</v>
      </c>
      <c r="X154" s="23">
        <f t="shared" ref="X154:AF154" si="110">$W154+($AG154-$W154)/10*(X$1-$W$1)</f>
        <v>0</v>
      </c>
      <c r="Y154" s="23">
        <f t="shared" si="110"/>
        <v>0</v>
      </c>
      <c r="Z154" s="23">
        <f t="shared" si="110"/>
        <v>0</v>
      </c>
      <c r="AA154" s="23">
        <f t="shared" si="110"/>
        <v>0</v>
      </c>
      <c r="AB154" s="23">
        <f t="shared" si="110"/>
        <v>0</v>
      </c>
      <c r="AC154" s="23">
        <f t="shared" si="110"/>
        <v>0</v>
      </c>
      <c r="AD154" s="23">
        <f t="shared" si="110"/>
        <v>0</v>
      </c>
      <c r="AE154" s="23">
        <f t="shared" si="110"/>
        <v>0</v>
      </c>
      <c r="AF154" s="23">
        <f t="shared" si="110"/>
        <v>0</v>
      </c>
      <c r="AG154" s="106">
        <v>0</v>
      </c>
      <c r="AJ154" s="211" t="s">
        <v>1217</v>
      </c>
    </row>
    <row r="155" spans="1:63" outlineLevel="2" x14ac:dyDescent="0.2">
      <c r="C155" s="113"/>
      <c r="D155" s="110"/>
      <c r="E155" s="110"/>
      <c r="F155" s="110"/>
      <c r="G155" s="110"/>
      <c r="H155" s="110"/>
      <c r="I155" s="110"/>
      <c r="J155" s="110"/>
      <c r="K155" s="110"/>
      <c r="L155" s="110"/>
      <c r="M155" s="121"/>
      <c r="N155" s="121"/>
      <c r="O155" s="121"/>
      <c r="P155" s="121"/>
      <c r="Q155" s="121"/>
      <c r="R155" s="121"/>
      <c r="S155" s="121"/>
      <c r="T155" s="121"/>
      <c r="U155" s="121"/>
      <c r="V155" s="121"/>
      <c r="W155" s="121"/>
      <c r="X155" s="23"/>
      <c r="Y155" s="23"/>
      <c r="Z155" s="23"/>
      <c r="AA155" s="23"/>
      <c r="AB155" s="23"/>
      <c r="AC155" s="23"/>
      <c r="AD155" s="23"/>
      <c r="AE155" s="23"/>
      <c r="AF155" s="23"/>
      <c r="AG155" s="106"/>
      <c r="AJ155" s="211"/>
    </row>
    <row r="156" spans="1:63" outlineLevel="1" x14ac:dyDescent="0.2">
      <c r="A156" t="s">
        <v>1676</v>
      </c>
      <c r="C156" s="504">
        <f>('Overall recycling rates'!F88*'Yearly BTX'!D5+'Overall recycling rates'!G88*'Yearly BTX'!D6+'Overall recycling rates'!H88*'Yearly BTX'!D7)/'Yearly BTX'!D4</f>
        <v>1.0000000000000004</v>
      </c>
      <c r="D156" s="504">
        <f>C156-($C156-$AG156)/($AG$1-$C$1)</f>
        <v>1.0000000000000004</v>
      </c>
      <c r="E156" s="504">
        <f t="shared" ref="E156:AF156" si="111">D156-($C156-$AG156)/($AG$1-$C$1)</f>
        <v>1.0000000000000004</v>
      </c>
      <c r="F156" s="504">
        <f t="shared" si="111"/>
        <v>1.0000000000000004</v>
      </c>
      <c r="G156" s="504">
        <f t="shared" si="111"/>
        <v>1.0000000000000004</v>
      </c>
      <c r="H156" s="504">
        <f t="shared" si="111"/>
        <v>1.0000000000000004</v>
      </c>
      <c r="I156" s="504">
        <f t="shared" si="111"/>
        <v>1.0000000000000004</v>
      </c>
      <c r="J156" s="504">
        <f t="shared" si="111"/>
        <v>1.0000000000000004</v>
      </c>
      <c r="K156" s="504">
        <f t="shared" si="111"/>
        <v>1.0000000000000004</v>
      </c>
      <c r="L156" s="504">
        <f t="shared" si="111"/>
        <v>1.0000000000000004</v>
      </c>
      <c r="M156" s="504">
        <f t="shared" si="111"/>
        <v>1.0000000000000004</v>
      </c>
      <c r="N156" s="504">
        <f t="shared" si="111"/>
        <v>1.0000000000000004</v>
      </c>
      <c r="O156" s="504">
        <f t="shared" si="111"/>
        <v>1.0000000000000004</v>
      </c>
      <c r="P156" s="504">
        <f t="shared" si="111"/>
        <v>1.0000000000000004</v>
      </c>
      <c r="Q156" s="504">
        <f t="shared" si="111"/>
        <v>1.0000000000000004</v>
      </c>
      <c r="R156" s="504">
        <f t="shared" si="111"/>
        <v>1.0000000000000004</v>
      </c>
      <c r="S156" s="504">
        <f t="shared" si="111"/>
        <v>1.0000000000000004</v>
      </c>
      <c r="T156" s="504">
        <f t="shared" si="111"/>
        <v>1.0000000000000004</v>
      </c>
      <c r="U156" s="504">
        <f t="shared" si="111"/>
        <v>1.0000000000000004</v>
      </c>
      <c r="V156" s="504">
        <f t="shared" si="111"/>
        <v>1.0000000000000004</v>
      </c>
      <c r="W156" s="504">
        <f t="shared" si="111"/>
        <v>1.0000000000000004</v>
      </c>
      <c r="X156" s="504">
        <f t="shared" si="111"/>
        <v>1.0000000000000004</v>
      </c>
      <c r="Y156" s="504">
        <f t="shared" si="111"/>
        <v>1.0000000000000004</v>
      </c>
      <c r="Z156" s="504">
        <f t="shared" si="111"/>
        <v>1.0000000000000004</v>
      </c>
      <c r="AA156" s="504">
        <f t="shared" si="111"/>
        <v>1.0000000000000004</v>
      </c>
      <c r="AB156" s="504">
        <f t="shared" si="111"/>
        <v>1.0000000000000004</v>
      </c>
      <c r="AC156" s="504">
        <f t="shared" si="111"/>
        <v>1.0000000000000004</v>
      </c>
      <c r="AD156" s="504">
        <f t="shared" si="111"/>
        <v>1.0000000000000004</v>
      </c>
      <c r="AE156" s="504">
        <f t="shared" si="111"/>
        <v>1.0000000000000004</v>
      </c>
      <c r="AF156" s="504">
        <f t="shared" si="111"/>
        <v>1.0000000000000004</v>
      </c>
      <c r="AG156" s="504">
        <f>'Overall recycling rates'!F97</f>
        <v>1</v>
      </c>
      <c r="AI156" s="133"/>
      <c r="AJ156" s="211"/>
      <c r="AL156" s="108"/>
      <c r="AM156" s="207"/>
      <c r="AN156" s="207"/>
      <c r="AO156" s="207"/>
      <c r="BC156" s="1"/>
      <c r="BD156" s="207"/>
      <c r="BE156" s="207"/>
      <c r="BF156" s="207"/>
      <c r="BG156" s="207"/>
      <c r="BH156" s="207"/>
      <c r="BI156" s="207"/>
      <c r="BJ156" s="207"/>
      <c r="BK156" s="207"/>
    </row>
    <row r="157" spans="1:63" outlineLevel="1" x14ac:dyDescent="0.2">
      <c r="A157" t="s">
        <v>1695</v>
      </c>
      <c r="B157" s="54" t="s">
        <v>462</v>
      </c>
      <c r="C157" s="110">
        <f>C154*C156</f>
        <v>0</v>
      </c>
      <c r="D157" s="110">
        <f t="shared" ref="D157:AG157" si="112">D154*D156</f>
        <v>0</v>
      </c>
      <c r="E157" s="110">
        <f t="shared" si="112"/>
        <v>0</v>
      </c>
      <c r="F157" s="110">
        <f t="shared" si="112"/>
        <v>0</v>
      </c>
      <c r="G157" s="110">
        <f t="shared" si="112"/>
        <v>0</v>
      </c>
      <c r="H157" s="110">
        <f t="shared" si="112"/>
        <v>0</v>
      </c>
      <c r="I157" s="110">
        <f t="shared" si="112"/>
        <v>0</v>
      </c>
      <c r="J157" s="110">
        <f t="shared" si="112"/>
        <v>0</v>
      </c>
      <c r="K157" s="110">
        <f t="shared" si="112"/>
        <v>0</v>
      </c>
      <c r="L157" s="110">
        <f t="shared" si="112"/>
        <v>0</v>
      </c>
      <c r="M157" s="110">
        <f t="shared" si="112"/>
        <v>0</v>
      </c>
      <c r="N157" s="110">
        <f t="shared" si="112"/>
        <v>0</v>
      </c>
      <c r="O157" s="110">
        <f t="shared" si="112"/>
        <v>0</v>
      </c>
      <c r="P157" s="110">
        <f t="shared" si="112"/>
        <v>0</v>
      </c>
      <c r="Q157" s="110">
        <f t="shared" si="112"/>
        <v>0</v>
      </c>
      <c r="R157" s="110">
        <f t="shared" si="112"/>
        <v>0</v>
      </c>
      <c r="S157" s="110">
        <f t="shared" si="112"/>
        <v>0</v>
      </c>
      <c r="T157" s="110">
        <f t="shared" si="112"/>
        <v>0</v>
      </c>
      <c r="U157" s="110">
        <f t="shared" si="112"/>
        <v>0</v>
      </c>
      <c r="V157" s="110">
        <f t="shared" si="112"/>
        <v>0</v>
      </c>
      <c r="W157" s="110">
        <f t="shared" si="112"/>
        <v>0</v>
      </c>
      <c r="X157" s="110">
        <f t="shared" si="112"/>
        <v>0</v>
      </c>
      <c r="Y157" s="110">
        <f t="shared" si="112"/>
        <v>0</v>
      </c>
      <c r="Z157" s="110">
        <f t="shared" si="112"/>
        <v>0</v>
      </c>
      <c r="AA157" s="110">
        <f t="shared" si="112"/>
        <v>0</v>
      </c>
      <c r="AB157" s="110">
        <f t="shared" si="112"/>
        <v>0</v>
      </c>
      <c r="AC157" s="110">
        <f t="shared" si="112"/>
        <v>0</v>
      </c>
      <c r="AD157" s="110">
        <f t="shared" si="112"/>
        <v>0</v>
      </c>
      <c r="AE157" s="110">
        <f t="shared" si="112"/>
        <v>0</v>
      </c>
      <c r="AF157" s="110">
        <f t="shared" si="112"/>
        <v>0</v>
      </c>
      <c r="AG157" s="110">
        <f t="shared" si="112"/>
        <v>0</v>
      </c>
      <c r="AJ157" s="211"/>
    </row>
    <row r="158" spans="1:63" outlineLevel="1" x14ac:dyDescent="0.2">
      <c r="C158" s="110"/>
      <c r="D158" s="110"/>
      <c r="E158" s="110"/>
      <c r="F158" s="110"/>
      <c r="G158" s="110"/>
      <c r="H158" s="110"/>
      <c r="I158" s="110"/>
      <c r="J158" s="110"/>
      <c r="K158" s="110"/>
      <c r="L158" s="110"/>
      <c r="M158" s="110"/>
      <c r="N158" s="110"/>
      <c r="O158" s="110"/>
      <c r="P158" s="110"/>
      <c r="Q158" s="110"/>
      <c r="R158" s="110"/>
      <c r="S158" s="110"/>
      <c r="T158" s="110"/>
      <c r="U158" s="110"/>
      <c r="V158" s="110"/>
      <c r="W158" s="110"/>
      <c r="X158" s="110"/>
      <c r="Y158" s="110"/>
      <c r="Z158" s="110"/>
      <c r="AA158" s="110"/>
      <c r="AB158" s="110"/>
      <c r="AC158" s="110"/>
      <c r="AD158" s="110"/>
      <c r="AE158" s="110"/>
      <c r="AF158" s="110"/>
      <c r="AG158" s="110"/>
      <c r="AJ158" s="211"/>
    </row>
    <row r="159" spans="1:63" s="1" customFormat="1" outlineLevel="1" x14ac:dyDescent="0.2">
      <c r="A159" s="1" t="s">
        <v>228</v>
      </c>
      <c r="B159" s="65"/>
      <c r="C159" s="300">
        <f t="shared" ref="C159:AG159" si="113">C157*C46</f>
        <v>0</v>
      </c>
      <c r="D159" s="300">
        <f t="shared" si="113"/>
        <v>0</v>
      </c>
      <c r="E159" s="300">
        <f t="shared" si="113"/>
        <v>0</v>
      </c>
      <c r="F159" s="300">
        <f t="shared" si="113"/>
        <v>0</v>
      </c>
      <c r="G159" s="300">
        <f t="shared" si="113"/>
        <v>0</v>
      </c>
      <c r="H159" s="300">
        <f t="shared" si="113"/>
        <v>0</v>
      </c>
      <c r="I159" s="300">
        <f t="shared" si="113"/>
        <v>0</v>
      </c>
      <c r="J159" s="300">
        <f t="shared" si="113"/>
        <v>0</v>
      </c>
      <c r="K159" s="300">
        <f t="shared" si="113"/>
        <v>0</v>
      </c>
      <c r="L159" s="300">
        <f t="shared" si="113"/>
        <v>0</v>
      </c>
      <c r="M159" s="300">
        <f t="shared" si="113"/>
        <v>0</v>
      </c>
      <c r="N159" s="300">
        <f t="shared" si="113"/>
        <v>0</v>
      </c>
      <c r="O159" s="300">
        <f t="shared" si="113"/>
        <v>0</v>
      </c>
      <c r="P159" s="300">
        <f t="shared" si="113"/>
        <v>0</v>
      </c>
      <c r="Q159" s="300">
        <f t="shared" si="113"/>
        <v>0</v>
      </c>
      <c r="R159" s="300">
        <f t="shared" si="113"/>
        <v>0</v>
      </c>
      <c r="S159" s="300">
        <f t="shared" si="113"/>
        <v>0</v>
      </c>
      <c r="T159" s="300">
        <f t="shared" si="113"/>
        <v>0</v>
      </c>
      <c r="U159" s="300">
        <f t="shared" si="113"/>
        <v>0</v>
      </c>
      <c r="V159" s="300">
        <f t="shared" si="113"/>
        <v>0</v>
      </c>
      <c r="W159" s="300">
        <f t="shared" si="113"/>
        <v>0</v>
      </c>
      <c r="X159" s="300">
        <f t="shared" si="113"/>
        <v>0</v>
      </c>
      <c r="Y159" s="300">
        <f t="shared" si="113"/>
        <v>0</v>
      </c>
      <c r="Z159" s="300">
        <f t="shared" si="113"/>
        <v>0</v>
      </c>
      <c r="AA159" s="300">
        <f t="shared" si="113"/>
        <v>0</v>
      </c>
      <c r="AB159" s="300">
        <f t="shared" si="113"/>
        <v>0</v>
      </c>
      <c r="AC159" s="300">
        <f t="shared" si="113"/>
        <v>0</v>
      </c>
      <c r="AD159" s="300">
        <f t="shared" si="113"/>
        <v>0</v>
      </c>
      <c r="AE159" s="300">
        <f t="shared" si="113"/>
        <v>0</v>
      </c>
      <c r="AF159" s="300">
        <f t="shared" si="113"/>
        <v>0</v>
      </c>
      <c r="AG159" s="300">
        <f t="shared" si="113"/>
        <v>0</v>
      </c>
      <c r="AH159" s="245"/>
      <c r="AI159" s="423"/>
      <c r="AJ159" s="424"/>
      <c r="AL159" s="221"/>
      <c r="AM159" s="124"/>
      <c r="AN159" s="124"/>
      <c r="AO159" s="124"/>
      <c r="BD159" s="124"/>
      <c r="BE159" s="124"/>
      <c r="BF159" s="124"/>
      <c r="BG159" s="124"/>
      <c r="BH159" s="124"/>
      <c r="BI159" s="124"/>
      <c r="BJ159" s="124"/>
      <c r="BK159" s="124"/>
    </row>
    <row r="160" spans="1:63" s="1" customFormat="1" outlineLevel="1" x14ac:dyDescent="0.2">
      <c r="A160" s="1" t="s">
        <v>1562</v>
      </c>
      <c r="B160" s="65"/>
      <c r="C160" s="300">
        <f t="shared" ref="C160:AG160" si="114">C159-$C159</f>
        <v>0</v>
      </c>
      <c r="D160" s="300">
        <f t="shared" si="114"/>
        <v>0</v>
      </c>
      <c r="E160" s="300">
        <f t="shared" si="114"/>
        <v>0</v>
      </c>
      <c r="F160" s="300">
        <f t="shared" si="114"/>
        <v>0</v>
      </c>
      <c r="G160" s="300">
        <f t="shared" si="114"/>
        <v>0</v>
      </c>
      <c r="H160" s="300">
        <f t="shared" si="114"/>
        <v>0</v>
      </c>
      <c r="I160" s="300">
        <f t="shared" si="114"/>
        <v>0</v>
      </c>
      <c r="J160" s="300">
        <f t="shared" si="114"/>
        <v>0</v>
      </c>
      <c r="K160" s="300">
        <f t="shared" si="114"/>
        <v>0</v>
      </c>
      <c r="L160" s="300">
        <f t="shared" si="114"/>
        <v>0</v>
      </c>
      <c r="M160" s="300">
        <f t="shared" si="114"/>
        <v>0</v>
      </c>
      <c r="N160" s="300">
        <f t="shared" si="114"/>
        <v>0</v>
      </c>
      <c r="O160" s="300">
        <f t="shared" si="114"/>
        <v>0</v>
      </c>
      <c r="P160" s="300">
        <f t="shared" si="114"/>
        <v>0</v>
      </c>
      <c r="Q160" s="300">
        <f t="shared" si="114"/>
        <v>0</v>
      </c>
      <c r="R160" s="300">
        <f t="shared" si="114"/>
        <v>0</v>
      </c>
      <c r="S160" s="300">
        <f t="shared" si="114"/>
        <v>0</v>
      </c>
      <c r="T160" s="300">
        <f t="shared" si="114"/>
        <v>0</v>
      </c>
      <c r="U160" s="300">
        <f t="shared" si="114"/>
        <v>0</v>
      </c>
      <c r="V160" s="300">
        <f t="shared" si="114"/>
        <v>0</v>
      </c>
      <c r="W160" s="300">
        <f t="shared" si="114"/>
        <v>0</v>
      </c>
      <c r="X160" s="300">
        <f t="shared" si="114"/>
        <v>0</v>
      </c>
      <c r="Y160" s="300">
        <f t="shared" si="114"/>
        <v>0</v>
      </c>
      <c r="Z160" s="300">
        <f t="shared" si="114"/>
        <v>0</v>
      </c>
      <c r="AA160" s="300">
        <f t="shared" si="114"/>
        <v>0</v>
      </c>
      <c r="AB160" s="300">
        <f t="shared" si="114"/>
        <v>0</v>
      </c>
      <c r="AC160" s="300">
        <f t="shared" si="114"/>
        <v>0</v>
      </c>
      <c r="AD160" s="300">
        <f t="shared" si="114"/>
        <v>0</v>
      </c>
      <c r="AE160" s="300">
        <f t="shared" si="114"/>
        <v>0</v>
      </c>
      <c r="AF160" s="300">
        <f t="shared" si="114"/>
        <v>0</v>
      </c>
      <c r="AG160" s="300">
        <f t="shared" si="114"/>
        <v>0</v>
      </c>
      <c r="AH160" s="245"/>
      <c r="AI160" s="423"/>
      <c r="AJ160" s="424"/>
      <c r="AL160" s="221"/>
      <c r="AM160" s="124"/>
      <c r="AN160" s="124"/>
      <c r="AO160" s="124"/>
      <c r="BD160" s="124"/>
      <c r="BE160" s="124"/>
      <c r="BF160" s="124"/>
      <c r="BG160" s="124"/>
      <c r="BH160" s="124"/>
      <c r="BI160" s="124"/>
      <c r="BJ160" s="124"/>
      <c r="BK160" s="124"/>
    </row>
    <row r="161" spans="1:41" outlineLevel="2" x14ac:dyDescent="0.2">
      <c r="C161" s="113"/>
      <c r="D161" s="110"/>
      <c r="E161" s="110"/>
      <c r="F161" s="110"/>
      <c r="G161" s="110"/>
      <c r="H161" s="110"/>
      <c r="I161" s="110"/>
      <c r="J161" s="110"/>
      <c r="K161" s="110"/>
      <c r="L161" s="110"/>
      <c r="M161" s="121"/>
      <c r="N161" s="121"/>
      <c r="O161" s="121"/>
      <c r="P161" s="121"/>
      <c r="Q161" s="121"/>
      <c r="R161" s="121"/>
      <c r="S161" s="121"/>
      <c r="T161" s="121"/>
      <c r="U161" s="121"/>
      <c r="V161" s="121"/>
      <c r="W161" s="121"/>
      <c r="X161" s="23"/>
      <c r="Y161" s="23"/>
      <c r="Z161" s="23"/>
      <c r="AA161" s="23"/>
      <c r="AB161" s="23"/>
      <c r="AC161" s="23"/>
      <c r="AD161" s="23"/>
      <c r="AE161" s="23"/>
      <c r="AF161" s="23"/>
      <c r="AG161" s="106"/>
      <c r="AJ161" s="211"/>
    </row>
    <row r="162" spans="1:41" s="200" customFormat="1" ht="16" thickBot="1" x14ac:dyDescent="0.25">
      <c r="A162" s="227" t="s">
        <v>1696</v>
      </c>
      <c r="B162" s="228"/>
      <c r="C162" s="229">
        <f t="shared" ref="C162:AG162" si="115">(C42*C66+C43*C102+C45*C133+C44*C148+C46*C157)/C47</f>
        <v>4.6954450224515588E-2</v>
      </c>
      <c r="D162" s="229">
        <f t="shared" si="115"/>
        <v>5.3343752941435077E-2</v>
      </c>
      <c r="E162" s="229">
        <f t="shared" si="115"/>
        <v>5.9738518042636579E-2</v>
      </c>
      <c r="F162" s="229">
        <f t="shared" si="115"/>
        <v>6.6138752536021403E-2</v>
      </c>
      <c r="G162" s="229">
        <f t="shared" si="115"/>
        <v>7.2544463441483617E-2</v>
      </c>
      <c r="H162" s="229">
        <f t="shared" si="115"/>
        <v>7.8955657790935746E-2</v>
      </c>
      <c r="I162" s="229">
        <f t="shared" si="115"/>
        <v>8.5696530867546375E-2</v>
      </c>
      <c r="J162" s="229">
        <f t="shared" si="115"/>
        <v>9.2494635455929355E-2</v>
      </c>
      <c r="K162" s="229">
        <f t="shared" si="115"/>
        <v>9.9350703525774561E-2</v>
      </c>
      <c r="L162" s="229">
        <f t="shared" si="115"/>
        <v>0.10626547958237288</v>
      </c>
      <c r="M162" s="229">
        <f t="shared" si="115"/>
        <v>0.11323972093612361</v>
      </c>
      <c r="N162" s="229">
        <f t="shared" si="115"/>
        <v>0.12031525497513104</v>
      </c>
      <c r="O162" s="229">
        <f t="shared" si="115"/>
        <v>0.12744222152399923</v>
      </c>
      <c r="P162" s="229">
        <f t="shared" si="115"/>
        <v>0.13428598242901904</v>
      </c>
      <c r="Q162" s="229">
        <f t="shared" si="115"/>
        <v>0.14116044981975567</v>
      </c>
      <c r="R162" s="229">
        <f t="shared" si="115"/>
        <v>0.14806631259299854</v>
      </c>
      <c r="S162" s="229">
        <f t="shared" si="115"/>
        <v>0.15497005425389609</v>
      </c>
      <c r="T162" s="229">
        <f t="shared" si="115"/>
        <v>0.16190302685249408</v>
      </c>
      <c r="U162" s="229">
        <f t="shared" si="115"/>
        <v>0.16886588113050405</v>
      </c>
      <c r="V162" s="229">
        <f t="shared" si="115"/>
        <v>0.17585928728987196</v>
      </c>
      <c r="W162" s="229">
        <f t="shared" si="115"/>
        <v>0.18288393572569805</v>
      </c>
      <c r="X162" s="229">
        <f t="shared" si="115"/>
        <v>0.19001890879291219</v>
      </c>
      <c r="Y162" s="229">
        <f t="shared" si="115"/>
        <v>0.19711536702943355</v>
      </c>
      <c r="Z162" s="229">
        <f t="shared" si="115"/>
        <v>0.20308737213732195</v>
      </c>
      <c r="AA162" s="229">
        <f t="shared" si="115"/>
        <v>0.2089907499823484</v>
      </c>
      <c r="AB162" s="229">
        <f t="shared" si="115"/>
        <v>0.21482264511015045</v>
      </c>
      <c r="AC162" s="229">
        <f t="shared" si="115"/>
        <v>0.22063079389239243</v>
      </c>
      <c r="AD162" s="229">
        <f t="shared" si="115"/>
        <v>0.22636537957119549</v>
      </c>
      <c r="AE162" s="229">
        <f t="shared" si="115"/>
        <v>0.23202315389477973</v>
      </c>
      <c r="AF162" s="229">
        <f t="shared" si="115"/>
        <v>0.23760067451481875</v>
      </c>
      <c r="AG162" s="229">
        <f t="shared" si="115"/>
        <v>0.24309429026898807</v>
      </c>
      <c r="AJ162" s="479" t="s">
        <v>1585</v>
      </c>
      <c r="AL162" s="217"/>
      <c r="AM162" s="225"/>
      <c r="AN162" s="225"/>
      <c r="AO162" s="225"/>
    </row>
    <row r="163" spans="1:41" s="200" customFormat="1" ht="17" thickTop="1" thickBot="1" x14ac:dyDescent="0.25">
      <c r="A163" s="227"/>
      <c r="B163" s="228"/>
      <c r="C163" s="229"/>
      <c r="D163" s="229"/>
      <c r="E163" s="229"/>
      <c r="F163" s="229"/>
      <c r="G163" s="229"/>
      <c r="H163" s="229"/>
      <c r="I163" s="229"/>
      <c r="J163" s="229"/>
      <c r="K163" s="229"/>
      <c r="L163" s="229"/>
      <c r="M163" s="229"/>
      <c r="N163" s="229"/>
      <c r="O163" s="229"/>
      <c r="P163" s="229"/>
      <c r="Q163" s="229"/>
      <c r="R163" s="229"/>
      <c r="S163" s="229"/>
      <c r="T163" s="229"/>
      <c r="U163" s="229"/>
      <c r="V163" s="229"/>
      <c r="W163" s="229"/>
      <c r="X163" s="229"/>
      <c r="Y163" s="229"/>
      <c r="Z163" s="229"/>
      <c r="AA163" s="229"/>
      <c r="AB163" s="229"/>
      <c r="AC163" s="229"/>
      <c r="AD163" s="229"/>
      <c r="AE163" s="229"/>
      <c r="AF163" s="229"/>
      <c r="AG163" s="229"/>
      <c r="AJ163" s="226" t="s">
        <v>1357</v>
      </c>
      <c r="AL163" s="217"/>
      <c r="AM163" s="225"/>
      <c r="AN163" s="225"/>
      <c r="AO163" s="225"/>
    </row>
    <row r="164" spans="1:41" ht="16" thickTop="1" x14ac:dyDescent="0.2">
      <c r="B164" s="130"/>
      <c r="C164" s="113"/>
      <c r="D164" s="23"/>
      <c r="E164" s="23"/>
      <c r="F164" s="23"/>
      <c r="G164" s="23"/>
      <c r="H164" s="23"/>
      <c r="I164" s="23"/>
      <c r="J164" s="23"/>
      <c r="K164" s="23"/>
      <c r="L164" s="23"/>
      <c r="M164" s="126"/>
      <c r="N164" s="110"/>
      <c r="O164" s="110"/>
      <c r="P164" s="110"/>
      <c r="Q164" s="110"/>
      <c r="R164" s="110"/>
      <c r="S164" s="110"/>
      <c r="T164" s="110"/>
      <c r="U164" s="110"/>
      <c r="V164" s="110"/>
      <c r="W164" s="126"/>
      <c r="X164" s="110"/>
      <c r="Y164" s="110"/>
      <c r="Z164" s="110"/>
      <c r="AA164" s="110"/>
      <c r="AB164" s="110"/>
      <c r="AC164" s="110"/>
      <c r="AD164" s="110"/>
      <c r="AE164" s="110"/>
      <c r="AF164" s="110"/>
      <c r="AG164" s="113"/>
    </row>
    <row r="165" spans="1:41" x14ac:dyDescent="0.2">
      <c r="A165" t="s">
        <v>1697</v>
      </c>
      <c r="B165" s="130"/>
      <c r="C165" s="230">
        <f t="shared" ref="C165:AG165" si="116">C159+C150+C141+C139+C137+C113+C111+C109+C107+C80+C78+C76+C74+C72</f>
        <v>0.29411849599012857</v>
      </c>
      <c r="D165" s="230">
        <f t="shared" si="116"/>
        <v>0.34519391601580796</v>
      </c>
      <c r="E165" s="230">
        <f t="shared" si="116"/>
        <v>0.39831912413837989</v>
      </c>
      <c r="F165" s="230">
        <f t="shared" si="116"/>
        <v>0.45320403767359185</v>
      </c>
      <c r="G165" s="230">
        <f t="shared" si="116"/>
        <v>0.50952766795758908</v>
      </c>
      <c r="H165" s="230">
        <f t="shared" si="116"/>
        <v>0.56694107323375775</v>
      </c>
      <c r="I165" s="230">
        <f t="shared" si="116"/>
        <v>0.62641941356681119</v>
      </c>
      <c r="J165" s="230">
        <f t="shared" si="116"/>
        <v>0.68795506012102126</v>
      </c>
      <c r="K165" s="230">
        <f t="shared" si="116"/>
        <v>0.75153632267378723</v>
      </c>
      <c r="L165" s="230">
        <f t="shared" si="116"/>
        <v>0.81714735238699321</v>
      </c>
      <c r="M165" s="230">
        <f t="shared" si="116"/>
        <v>0.88476805342840015</v>
      </c>
      <c r="N165" s="230">
        <f t="shared" si="116"/>
        <v>0.95300849459260484</v>
      </c>
      <c r="O165" s="230">
        <f t="shared" si="116"/>
        <v>1.0215355823934487</v>
      </c>
      <c r="P165" s="230">
        <f t="shared" si="116"/>
        <v>1.0841793046457471</v>
      </c>
      <c r="Q165" s="230">
        <f t="shared" si="116"/>
        <v>1.1456825193376152</v>
      </c>
      <c r="R165" s="230">
        <f t="shared" si="116"/>
        <v>1.2056932492940384</v>
      </c>
      <c r="S165" s="230">
        <f t="shared" si="116"/>
        <v>1.2661400486089327</v>
      </c>
      <c r="T165" s="230">
        <f t="shared" si="116"/>
        <v>1.3270018428383601</v>
      </c>
      <c r="U165" s="230">
        <f t="shared" si="116"/>
        <v>1.388257065366955</v>
      </c>
      <c r="V165" s="230">
        <f t="shared" si="116"/>
        <v>1.4498836658380894</v>
      </c>
      <c r="W165" s="230">
        <f t="shared" si="116"/>
        <v>1.5118591190737511</v>
      </c>
      <c r="X165" s="230">
        <f t="shared" si="116"/>
        <v>1.5741777729335178</v>
      </c>
      <c r="Y165" s="230">
        <f t="shared" si="116"/>
        <v>1.6368182778237579</v>
      </c>
      <c r="Z165" s="230">
        <f t="shared" si="116"/>
        <v>1.6805033711283204</v>
      </c>
      <c r="AA165" s="230">
        <f t="shared" si="116"/>
        <v>1.7228120961791622</v>
      </c>
      <c r="AB165" s="230">
        <f t="shared" si="116"/>
        <v>1.7636848196043591</v>
      </c>
      <c r="AC165" s="230">
        <f t="shared" si="116"/>
        <v>1.8030787645108377</v>
      </c>
      <c r="AD165" s="230">
        <f t="shared" si="116"/>
        <v>1.8409350513104843</v>
      </c>
      <c r="AE165" s="230">
        <f t="shared" si="116"/>
        <v>1.8771945971706505</v>
      </c>
      <c r="AF165" s="230">
        <f t="shared" si="116"/>
        <v>1.9117981492428338</v>
      </c>
      <c r="AG165" s="230">
        <f t="shared" si="116"/>
        <v>1.9446863184994183</v>
      </c>
      <c r="AH165" s="245"/>
      <c r="AI165" s="23">
        <f>(AG165/C165)^(1/30)-1</f>
        <v>6.4986838763273713E-2</v>
      </c>
      <c r="AJ165" s="517">
        <f>AG165-C165</f>
        <v>1.6505678225092897</v>
      </c>
    </row>
    <row r="166" spans="1:41" x14ac:dyDescent="0.2">
      <c r="A166" t="s">
        <v>1698</v>
      </c>
      <c r="B166" s="130"/>
      <c r="C166" s="230">
        <f>C165</f>
        <v>0.29411849599012857</v>
      </c>
      <c r="D166" s="230">
        <f>C166*(1+$AI$166)</f>
        <v>0.29903027487316369</v>
      </c>
      <c r="E166" s="230">
        <f t="shared" ref="E166:AG166" si="117">D166*(1+$AI$166)</f>
        <v>0.30402408046354551</v>
      </c>
      <c r="F166" s="230">
        <f t="shared" si="117"/>
        <v>0.3091012826072867</v>
      </c>
      <c r="G166" s="230">
        <f t="shared" si="117"/>
        <v>0.31426327402682835</v>
      </c>
      <c r="H166" s="230">
        <f t="shared" si="117"/>
        <v>0.31951147070307639</v>
      </c>
      <c r="I166" s="230">
        <f t="shared" si="117"/>
        <v>0.32484731226381774</v>
      </c>
      <c r="J166" s="230">
        <f t="shared" si="117"/>
        <v>0.3302722623786235</v>
      </c>
      <c r="K166" s="230">
        <f t="shared" si="117"/>
        <v>0.33578780916034651</v>
      </c>
      <c r="L166" s="230">
        <f t="shared" si="117"/>
        <v>0.34139546557332429</v>
      </c>
      <c r="M166" s="230">
        <f>L166*(1+$AI$166)</f>
        <v>0.34709676984839877</v>
      </c>
      <c r="N166" s="230">
        <f t="shared" si="117"/>
        <v>0.35289328590486702</v>
      </c>
      <c r="O166" s="230">
        <f t="shared" si="117"/>
        <v>0.3587866037794783</v>
      </c>
      <c r="P166" s="230">
        <f t="shared" si="117"/>
        <v>0.36477834006259557</v>
      </c>
      <c r="Q166" s="230">
        <f t="shared" si="117"/>
        <v>0.3708701383416409</v>
      </c>
      <c r="R166" s="230">
        <f t="shared" si="117"/>
        <v>0.37706366965194626</v>
      </c>
      <c r="S166" s="230">
        <f t="shared" si="117"/>
        <v>0.38336063293513373</v>
      </c>
      <c r="T166" s="230">
        <f t="shared" si="117"/>
        <v>0.38976275550515044</v>
      </c>
      <c r="U166" s="230">
        <f t="shared" si="117"/>
        <v>0.39627179352208641</v>
      </c>
      <c r="V166" s="230">
        <f t="shared" si="117"/>
        <v>0.40288953247390524</v>
      </c>
      <c r="W166" s="230">
        <f t="shared" si="117"/>
        <v>0.40961778766621942</v>
      </c>
      <c r="X166" s="230">
        <f t="shared" si="117"/>
        <v>0.41645840472024526</v>
      </c>
      <c r="Y166" s="230">
        <f t="shared" si="117"/>
        <v>0.42341326007907332</v>
      </c>
      <c r="Z166" s="230">
        <f t="shared" si="117"/>
        <v>0.43048426152239383</v>
      </c>
      <c r="AA166" s="230">
        <f t="shared" si="117"/>
        <v>0.43767334868981778</v>
      </c>
      <c r="AB166" s="230">
        <f t="shared" si="117"/>
        <v>0.44498249361293768</v>
      </c>
      <c r="AC166" s="230">
        <f t="shared" si="117"/>
        <v>0.45241370125627373</v>
      </c>
      <c r="AD166" s="230">
        <f t="shared" si="117"/>
        <v>0.45996901006725349</v>
      </c>
      <c r="AE166" s="230">
        <f t="shared" si="117"/>
        <v>0.46765049253537661</v>
      </c>
      <c r="AF166" s="230">
        <f t="shared" si="117"/>
        <v>0.47546025576071738</v>
      </c>
      <c r="AG166" s="230">
        <f t="shared" si="117"/>
        <v>0.48340044203192134</v>
      </c>
      <c r="AI166" s="214">
        <v>1.67E-2</v>
      </c>
      <c r="AJ166" s="3" t="s">
        <v>1360</v>
      </c>
    </row>
    <row r="167" spans="1:41" x14ac:dyDescent="0.2">
      <c r="B167" s="51"/>
    </row>
    <row r="168" spans="1:41" s="58" customFormat="1" x14ac:dyDescent="0.2">
      <c r="A168" s="58" t="s">
        <v>1361</v>
      </c>
      <c r="B168" s="303"/>
      <c r="C168" s="304"/>
      <c r="D168" s="304"/>
      <c r="E168" s="304"/>
      <c r="F168" s="304"/>
      <c r="G168" s="304"/>
      <c r="H168" s="304"/>
      <c r="I168" s="304"/>
      <c r="J168" s="304"/>
      <c r="K168" s="304"/>
      <c r="L168" s="304"/>
      <c r="M168" s="304"/>
      <c r="N168" s="304"/>
      <c r="O168" s="304"/>
      <c r="P168" s="304"/>
      <c r="Q168" s="304"/>
      <c r="R168" s="304"/>
      <c r="S168" s="304"/>
      <c r="T168" s="304"/>
      <c r="U168" s="304"/>
      <c r="V168" s="304"/>
      <c r="W168" s="304"/>
      <c r="X168" s="304"/>
      <c r="Y168" s="304"/>
      <c r="Z168" s="304"/>
      <c r="AA168" s="304"/>
      <c r="AB168" s="304"/>
      <c r="AC168" s="304"/>
      <c r="AD168" s="304"/>
      <c r="AE168" s="304"/>
      <c r="AF168" s="304"/>
      <c r="AG168" s="304"/>
      <c r="AI168" s="305"/>
      <c r="AJ168" s="306"/>
    </row>
    <row r="169" spans="1:41" s="190" customFormat="1" outlineLevel="1" x14ac:dyDescent="0.2">
      <c r="A169" s="344" t="s">
        <v>1362</v>
      </c>
      <c r="B169" s="318" t="s">
        <v>462</v>
      </c>
      <c r="C169" s="319">
        <v>0.84</v>
      </c>
      <c r="D169" s="320">
        <f>-($C169-$AG169)/30+C169</f>
        <v>0.83566666666666667</v>
      </c>
      <c r="E169" s="320">
        <f t="shared" ref="E169:AF175" si="118">-($C169-$AG169)/30+D169</f>
        <v>0.83133333333333337</v>
      </c>
      <c r="F169" s="320">
        <f t="shared" si="118"/>
        <v>0.82700000000000007</v>
      </c>
      <c r="G169" s="320">
        <f t="shared" si="118"/>
        <v>0.82266666666666677</v>
      </c>
      <c r="H169" s="320">
        <f t="shared" si="118"/>
        <v>0.81833333333333347</v>
      </c>
      <c r="I169" s="320">
        <f t="shared" si="118"/>
        <v>0.81400000000000017</v>
      </c>
      <c r="J169" s="320">
        <f t="shared" si="118"/>
        <v>0.80966666666666687</v>
      </c>
      <c r="K169" s="320">
        <f t="shared" si="118"/>
        <v>0.80533333333333357</v>
      </c>
      <c r="L169" s="320">
        <f t="shared" si="118"/>
        <v>0.80100000000000027</v>
      </c>
      <c r="M169" s="320">
        <f t="shared" si="118"/>
        <v>0.79666666666666697</v>
      </c>
      <c r="N169" s="320">
        <f t="shared" si="118"/>
        <v>0.79233333333333367</v>
      </c>
      <c r="O169" s="320">
        <f t="shared" si="118"/>
        <v>0.78800000000000037</v>
      </c>
      <c r="P169" s="320">
        <f t="shared" si="118"/>
        <v>0.78366666666666707</v>
      </c>
      <c r="Q169" s="320">
        <f t="shared" si="118"/>
        <v>0.77933333333333377</v>
      </c>
      <c r="R169" s="320">
        <f t="shared" si="118"/>
        <v>0.77500000000000047</v>
      </c>
      <c r="S169" s="320">
        <f t="shared" si="118"/>
        <v>0.77066666666666717</v>
      </c>
      <c r="T169" s="320">
        <f t="shared" si="118"/>
        <v>0.76633333333333387</v>
      </c>
      <c r="U169" s="320">
        <f t="shared" si="118"/>
        <v>0.76200000000000057</v>
      </c>
      <c r="V169" s="320">
        <f t="shared" si="118"/>
        <v>0.75766666666666727</v>
      </c>
      <c r="W169" s="320">
        <f t="shared" si="118"/>
        <v>0.75333333333333397</v>
      </c>
      <c r="X169" s="320">
        <f t="shared" si="118"/>
        <v>0.74900000000000067</v>
      </c>
      <c r="Y169" s="320">
        <f t="shared" si="118"/>
        <v>0.74466666666666737</v>
      </c>
      <c r="Z169" s="320">
        <f t="shared" si="118"/>
        <v>0.74033333333333406</v>
      </c>
      <c r="AA169" s="320">
        <f t="shared" si="118"/>
        <v>0.73600000000000076</v>
      </c>
      <c r="AB169" s="320">
        <f t="shared" si="118"/>
        <v>0.73166666666666746</v>
      </c>
      <c r="AC169" s="320">
        <f t="shared" si="118"/>
        <v>0.72733333333333416</v>
      </c>
      <c r="AD169" s="320">
        <f t="shared" si="118"/>
        <v>0.72300000000000086</v>
      </c>
      <c r="AE169" s="320">
        <f t="shared" si="118"/>
        <v>0.71866666666666756</v>
      </c>
      <c r="AF169" s="320">
        <f t="shared" si="118"/>
        <v>0.71433333333333426</v>
      </c>
      <c r="AG169" s="319">
        <v>0.71</v>
      </c>
      <c r="AI169" s="321"/>
      <c r="AJ169" s="322" t="s">
        <v>1363</v>
      </c>
    </row>
    <row r="170" spans="1:41" outlineLevel="1" x14ac:dyDescent="0.2">
      <c r="A170" s="3" t="s">
        <v>90</v>
      </c>
      <c r="B170" s="302" t="s">
        <v>462</v>
      </c>
      <c r="C170" s="296">
        <v>0.16</v>
      </c>
      <c r="D170" s="317">
        <f t="shared" ref="D170:S175" si="119">-($C170-$AG170)/30+C170</f>
        <v>0.16206666666666666</v>
      </c>
      <c r="E170" s="317">
        <f t="shared" si="119"/>
        <v>0.16413333333333333</v>
      </c>
      <c r="F170" s="317">
        <f t="shared" si="119"/>
        <v>0.16619999999999999</v>
      </c>
      <c r="G170" s="317">
        <f t="shared" si="119"/>
        <v>0.16826666666666665</v>
      </c>
      <c r="H170" s="317">
        <f t="shared" si="119"/>
        <v>0.17033333333333331</v>
      </c>
      <c r="I170" s="317">
        <f t="shared" si="119"/>
        <v>0.17239999999999997</v>
      </c>
      <c r="J170" s="317">
        <f t="shared" si="119"/>
        <v>0.17446666666666663</v>
      </c>
      <c r="K170" s="317">
        <f t="shared" si="119"/>
        <v>0.17653333333333329</v>
      </c>
      <c r="L170" s="317">
        <f t="shared" si="119"/>
        <v>0.17859999999999995</v>
      </c>
      <c r="M170" s="317">
        <f t="shared" si="119"/>
        <v>0.18066666666666661</v>
      </c>
      <c r="N170" s="317">
        <f t="shared" si="119"/>
        <v>0.18273333333333328</v>
      </c>
      <c r="O170" s="317">
        <f t="shared" si="119"/>
        <v>0.18479999999999994</v>
      </c>
      <c r="P170" s="317">
        <f t="shared" si="119"/>
        <v>0.1868666666666666</v>
      </c>
      <c r="Q170" s="317">
        <f t="shared" si="119"/>
        <v>0.18893333333333326</v>
      </c>
      <c r="R170" s="317">
        <f t="shared" si="119"/>
        <v>0.19099999999999992</v>
      </c>
      <c r="S170" s="317">
        <f t="shared" si="119"/>
        <v>0.19306666666666658</v>
      </c>
      <c r="T170" s="317">
        <f t="shared" si="118"/>
        <v>0.19513333333333324</v>
      </c>
      <c r="U170" s="317">
        <f t="shared" si="118"/>
        <v>0.1971999999999999</v>
      </c>
      <c r="V170" s="317">
        <f t="shared" si="118"/>
        <v>0.19926666666666656</v>
      </c>
      <c r="W170" s="317">
        <f t="shared" si="118"/>
        <v>0.20133333333333323</v>
      </c>
      <c r="X170" s="317">
        <f t="shared" si="118"/>
        <v>0.20339999999999989</v>
      </c>
      <c r="Y170" s="317">
        <f t="shared" si="118"/>
        <v>0.20546666666666655</v>
      </c>
      <c r="Z170" s="317">
        <f t="shared" si="118"/>
        <v>0.20753333333333321</v>
      </c>
      <c r="AA170" s="317">
        <f t="shared" si="118"/>
        <v>0.20959999999999987</v>
      </c>
      <c r="AB170" s="317">
        <f t="shared" si="118"/>
        <v>0.21166666666666653</v>
      </c>
      <c r="AC170" s="317">
        <f t="shared" si="118"/>
        <v>0.21373333333333319</v>
      </c>
      <c r="AD170" s="317">
        <f t="shared" si="118"/>
        <v>0.21579999999999985</v>
      </c>
      <c r="AE170" s="317">
        <f t="shared" si="118"/>
        <v>0.21786666666666651</v>
      </c>
      <c r="AF170" s="317">
        <f t="shared" si="118"/>
        <v>0.21993333333333318</v>
      </c>
      <c r="AG170" s="296">
        <v>0.222</v>
      </c>
      <c r="AI170" s="214"/>
      <c r="AJ170" s="211" t="s">
        <v>1363</v>
      </c>
    </row>
    <row r="171" spans="1:41" outlineLevel="1" x14ac:dyDescent="0.2">
      <c r="A171" s="3" t="s">
        <v>33</v>
      </c>
      <c r="B171" s="302" t="s">
        <v>462</v>
      </c>
      <c r="C171" s="296">
        <v>0.37</v>
      </c>
      <c r="D171" s="317">
        <f t="shared" si="119"/>
        <v>0.36270000000000002</v>
      </c>
      <c r="E171" s="317">
        <f t="shared" si="119"/>
        <v>0.35540000000000005</v>
      </c>
      <c r="F171" s="317">
        <f t="shared" si="119"/>
        <v>0.34810000000000008</v>
      </c>
      <c r="G171" s="317">
        <f t="shared" si="119"/>
        <v>0.3408000000000001</v>
      </c>
      <c r="H171" s="317">
        <f t="shared" si="119"/>
        <v>0.33350000000000013</v>
      </c>
      <c r="I171" s="317">
        <f t="shared" si="119"/>
        <v>0.32620000000000016</v>
      </c>
      <c r="J171" s="317">
        <f t="shared" si="119"/>
        <v>0.31890000000000018</v>
      </c>
      <c r="K171" s="317">
        <f t="shared" si="119"/>
        <v>0.31160000000000021</v>
      </c>
      <c r="L171" s="317">
        <f t="shared" si="119"/>
        <v>0.30430000000000024</v>
      </c>
      <c r="M171" s="317">
        <f t="shared" si="119"/>
        <v>0.29700000000000026</v>
      </c>
      <c r="N171" s="317">
        <f t="shared" si="119"/>
        <v>0.28970000000000029</v>
      </c>
      <c r="O171" s="317">
        <f t="shared" si="119"/>
        <v>0.28240000000000032</v>
      </c>
      <c r="P171" s="317">
        <f t="shared" si="119"/>
        <v>0.27510000000000034</v>
      </c>
      <c r="Q171" s="317">
        <f t="shared" si="119"/>
        <v>0.26780000000000037</v>
      </c>
      <c r="R171" s="317">
        <f t="shared" si="119"/>
        <v>0.2605000000000004</v>
      </c>
      <c r="S171" s="317">
        <f t="shared" si="119"/>
        <v>0.25320000000000042</v>
      </c>
      <c r="T171" s="317">
        <f t="shared" si="118"/>
        <v>0.24590000000000042</v>
      </c>
      <c r="U171" s="317">
        <f t="shared" si="118"/>
        <v>0.23860000000000042</v>
      </c>
      <c r="V171" s="317">
        <f t="shared" si="118"/>
        <v>0.23130000000000042</v>
      </c>
      <c r="W171" s="317">
        <f t="shared" si="118"/>
        <v>0.22400000000000042</v>
      </c>
      <c r="X171" s="317">
        <f t="shared" si="118"/>
        <v>0.21670000000000042</v>
      </c>
      <c r="Y171" s="317">
        <f t="shared" si="118"/>
        <v>0.20940000000000042</v>
      </c>
      <c r="Z171" s="317">
        <f t="shared" si="118"/>
        <v>0.20210000000000042</v>
      </c>
      <c r="AA171" s="317">
        <f t="shared" si="118"/>
        <v>0.19480000000000042</v>
      </c>
      <c r="AB171" s="317">
        <f t="shared" si="118"/>
        <v>0.18750000000000042</v>
      </c>
      <c r="AC171" s="317">
        <f t="shared" si="118"/>
        <v>0.18020000000000042</v>
      </c>
      <c r="AD171" s="317">
        <f t="shared" si="118"/>
        <v>0.17290000000000041</v>
      </c>
      <c r="AE171" s="317">
        <f t="shared" si="118"/>
        <v>0.16560000000000041</v>
      </c>
      <c r="AF171" s="317">
        <f t="shared" si="118"/>
        <v>0.15830000000000041</v>
      </c>
      <c r="AG171" s="296">
        <v>0.151</v>
      </c>
      <c r="AI171" s="214"/>
      <c r="AJ171" s="211" t="s">
        <v>1363</v>
      </c>
    </row>
    <row r="172" spans="1:41" outlineLevel="1" x14ac:dyDescent="0.2">
      <c r="A172" s="3" t="s">
        <v>451</v>
      </c>
      <c r="B172" s="302" t="s">
        <v>462</v>
      </c>
      <c r="C172" s="296">
        <v>0.08</v>
      </c>
      <c r="D172" s="317">
        <f t="shared" si="119"/>
        <v>8.0100000000000005E-2</v>
      </c>
      <c r="E172" s="317">
        <f t="shared" si="119"/>
        <v>8.0200000000000007E-2</v>
      </c>
      <c r="F172" s="317">
        <f t="shared" si="119"/>
        <v>8.030000000000001E-2</v>
      </c>
      <c r="G172" s="317">
        <f t="shared" si="119"/>
        <v>8.0400000000000013E-2</v>
      </c>
      <c r="H172" s="317">
        <f t="shared" si="119"/>
        <v>8.0500000000000016E-2</v>
      </c>
      <c r="I172" s="317">
        <f t="shared" si="119"/>
        <v>8.0600000000000019E-2</v>
      </c>
      <c r="J172" s="317">
        <f t="shared" si="119"/>
        <v>8.0700000000000022E-2</v>
      </c>
      <c r="K172" s="317">
        <f t="shared" si="119"/>
        <v>8.0800000000000025E-2</v>
      </c>
      <c r="L172" s="317">
        <f t="shared" si="119"/>
        <v>8.0900000000000027E-2</v>
      </c>
      <c r="M172" s="317">
        <f t="shared" si="119"/>
        <v>8.100000000000003E-2</v>
      </c>
      <c r="N172" s="317">
        <f t="shared" si="119"/>
        <v>8.1100000000000033E-2</v>
      </c>
      <c r="O172" s="317">
        <f t="shared" si="119"/>
        <v>8.1200000000000036E-2</v>
      </c>
      <c r="P172" s="317">
        <f t="shared" si="119"/>
        <v>8.1300000000000039E-2</v>
      </c>
      <c r="Q172" s="317">
        <f t="shared" si="119"/>
        <v>8.1400000000000042E-2</v>
      </c>
      <c r="R172" s="317">
        <f t="shared" si="119"/>
        <v>8.1500000000000045E-2</v>
      </c>
      <c r="S172" s="317">
        <f t="shared" si="119"/>
        <v>8.1600000000000047E-2</v>
      </c>
      <c r="T172" s="317">
        <f t="shared" si="118"/>
        <v>8.170000000000005E-2</v>
      </c>
      <c r="U172" s="317">
        <f t="shared" si="118"/>
        <v>8.1800000000000053E-2</v>
      </c>
      <c r="V172" s="317">
        <f t="shared" si="118"/>
        <v>8.1900000000000056E-2</v>
      </c>
      <c r="W172" s="317">
        <f t="shared" si="118"/>
        <v>8.2000000000000059E-2</v>
      </c>
      <c r="X172" s="317">
        <f t="shared" si="118"/>
        <v>8.2100000000000062E-2</v>
      </c>
      <c r="Y172" s="317">
        <f t="shared" si="118"/>
        <v>8.2200000000000065E-2</v>
      </c>
      <c r="Z172" s="317">
        <f t="shared" si="118"/>
        <v>8.2300000000000068E-2</v>
      </c>
      <c r="AA172" s="317">
        <f t="shared" si="118"/>
        <v>8.240000000000007E-2</v>
      </c>
      <c r="AB172" s="317">
        <f t="shared" si="118"/>
        <v>8.2500000000000073E-2</v>
      </c>
      <c r="AC172" s="317">
        <f t="shared" si="118"/>
        <v>8.2600000000000076E-2</v>
      </c>
      <c r="AD172" s="317">
        <f t="shared" si="118"/>
        <v>8.2700000000000079E-2</v>
      </c>
      <c r="AE172" s="317">
        <f t="shared" si="118"/>
        <v>8.2800000000000082E-2</v>
      </c>
      <c r="AF172" s="317">
        <f t="shared" si="118"/>
        <v>8.2900000000000085E-2</v>
      </c>
      <c r="AG172" s="296">
        <v>8.3000000000000004E-2</v>
      </c>
      <c r="AI172" s="214"/>
      <c r="AJ172" s="211" t="s">
        <v>1363</v>
      </c>
    </row>
    <row r="173" spans="1:41" outlineLevel="1" x14ac:dyDescent="0.2">
      <c r="A173" s="3" t="s">
        <v>452</v>
      </c>
      <c r="B173" s="302" t="s">
        <v>462</v>
      </c>
      <c r="C173" s="296">
        <v>0.27</v>
      </c>
      <c r="D173" s="317">
        <f t="shared" si="119"/>
        <v>0.27313333333333334</v>
      </c>
      <c r="E173" s="317">
        <f t="shared" si="119"/>
        <v>0.27626666666666666</v>
      </c>
      <c r="F173" s="317">
        <f t="shared" si="119"/>
        <v>0.27939999999999998</v>
      </c>
      <c r="G173" s="317">
        <f t="shared" si="119"/>
        <v>0.2825333333333333</v>
      </c>
      <c r="H173" s="317">
        <f t="shared" si="119"/>
        <v>0.28566666666666662</v>
      </c>
      <c r="I173" s="317">
        <f t="shared" si="119"/>
        <v>0.28879999999999995</v>
      </c>
      <c r="J173" s="317">
        <f t="shared" si="119"/>
        <v>0.29193333333333327</v>
      </c>
      <c r="K173" s="317">
        <f t="shared" si="119"/>
        <v>0.29506666666666659</v>
      </c>
      <c r="L173" s="317">
        <f t="shared" si="119"/>
        <v>0.29819999999999991</v>
      </c>
      <c r="M173" s="317">
        <f t="shared" si="119"/>
        <v>0.30133333333333323</v>
      </c>
      <c r="N173" s="317">
        <f t="shared" si="119"/>
        <v>0.30446666666666655</v>
      </c>
      <c r="O173" s="317">
        <f t="shared" si="119"/>
        <v>0.30759999999999987</v>
      </c>
      <c r="P173" s="317">
        <f t="shared" si="119"/>
        <v>0.31073333333333319</v>
      </c>
      <c r="Q173" s="317">
        <f t="shared" si="119"/>
        <v>0.31386666666666652</v>
      </c>
      <c r="R173" s="317">
        <f t="shared" si="119"/>
        <v>0.31699999999999984</v>
      </c>
      <c r="S173" s="317">
        <f t="shared" si="119"/>
        <v>0.32013333333333316</v>
      </c>
      <c r="T173" s="317">
        <f t="shared" si="118"/>
        <v>0.32326666666666648</v>
      </c>
      <c r="U173" s="317">
        <f t="shared" si="118"/>
        <v>0.3263999999999998</v>
      </c>
      <c r="V173" s="317">
        <f t="shared" si="118"/>
        <v>0.32953333333333312</v>
      </c>
      <c r="W173" s="317">
        <f t="shared" si="118"/>
        <v>0.33266666666666644</v>
      </c>
      <c r="X173" s="317">
        <f t="shared" si="118"/>
        <v>0.33579999999999977</v>
      </c>
      <c r="Y173" s="317">
        <f t="shared" si="118"/>
        <v>0.33893333333333309</v>
      </c>
      <c r="Z173" s="317">
        <f t="shared" si="118"/>
        <v>0.34206666666666641</v>
      </c>
      <c r="AA173" s="317">
        <f t="shared" si="118"/>
        <v>0.34519999999999973</v>
      </c>
      <c r="AB173" s="317">
        <f t="shared" si="118"/>
        <v>0.34833333333333305</v>
      </c>
      <c r="AC173" s="317">
        <f t="shared" si="118"/>
        <v>0.35146666666666637</v>
      </c>
      <c r="AD173" s="317">
        <f t="shared" si="118"/>
        <v>0.35459999999999969</v>
      </c>
      <c r="AE173" s="317">
        <f t="shared" si="118"/>
        <v>0.35773333333333301</v>
      </c>
      <c r="AF173" s="317">
        <f t="shared" si="118"/>
        <v>0.36086666666666634</v>
      </c>
      <c r="AG173" s="296">
        <v>0.36399999999999999</v>
      </c>
      <c r="AI173" s="214"/>
      <c r="AJ173" s="211" t="s">
        <v>1363</v>
      </c>
    </row>
    <row r="174" spans="1:41" outlineLevel="1" x14ac:dyDescent="0.2">
      <c r="A174" s="3" t="s">
        <v>1364</v>
      </c>
      <c r="B174" s="302" t="s">
        <v>462</v>
      </c>
      <c r="C174" s="296">
        <v>7.0000000000000007E-2</v>
      </c>
      <c r="D174" s="317">
        <f t="shared" si="119"/>
        <v>7.1266666666666673E-2</v>
      </c>
      <c r="E174" s="317">
        <f t="shared" si="119"/>
        <v>7.2533333333333339E-2</v>
      </c>
      <c r="F174" s="317">
        <f t="shared" si="119"/>
        <v>7.3800000000000004E-2</v>
      </c>
      <c r="G174" s="317">
        <f t="shared" si="119"/>
        <v>7.506666666666667E-2</v>
      </c>
      <c r="H174" s="317">
        <f t="shared" si="119"/>
        <v>7.6333333333333336E-2</v>
      </c>
      <c r="I174" s="317">
        <f t="shared" si="119"/>
        <v>7.7600000000000002E-2</v>
      </c>
      <c r="J174" s="317">
        <f t="shared" si="119"/>
        <v>7.8866666666666668E-2</v>
      </c>
      <c r="K174" s="317">
        <f t="shared" si="119"/>
        <v>8.0133333333333334E-2</v>
      </c>
      <c r="L174" s="317">
        <f t="shared" si="119"/>
        <v>8.14E-2</v>
      </c>
      <c r="M174" s="317">
        <f t="shared" si="119"/>
        <v>8.2666666666666666E-2</v>
      </c>
      <c r="N174" s="317">
        <f t="shared" si="119"/>
        <v>8.3933333333333332E-2</v>
      </c>
      <c r="O174" s="317">
        <f t="shared" si="119"/>
        <v>8.5199999999999998E-2</v>
      </c>
      <c r="P174" s="317">
        <f t="shared" si="119"/>
        <v>8.6466666666666664E-2</v>
      </c>
      <c r="Q174" s="317">
        <f t="shared" si="119"/>
        <v>8.773333333333333E-2</v>
      </c>
      <c r="R174" s="317">
        <f t="shared" si="119"/>
        <v>8.8999999999999996E-2</v>
      </c>
      <c r="S174" s="317">
        <f t="shared" si="119"/>
        <v>9.0266666666666662E-2</v>
      </c>
      <c r="T174" s="317">
        <f t="shared" si="118"/>
        <v>9.1533333333333328E-2</v>
      </c>
      <c r="U174" s="317">
        <f t="shared" si="118"/>
        <v>9.2799999999999994E-2</v>
      </c>
      <c r="V174" s="317">
        <f t="shared" si="118"/>
        <v>9.406666666666666E-2</v>
      </c>
      <c r="W174" s="317">
        <f t="shared" si="118"/>
        <v>9.5333333333333325E-2</v>
      </c>
      <c r="X174" s="317">
        <f t="shared" si="118"/>
        <v>9.6599999999999991E-2</v>
      </c>
      <c r="Y174" s="317">
        <f t="shared" si="118"/>
        <v>9.7866666666666657E-2</v>
      </c>
      <c r="Z174" s="317">
        <f t="shared" si="118"/>
        <v>9.9133333333333323E-2</v>
      </c>
      <c r="AA174" s="317">
        <f t="shared" si="118"/>
        <v>0.10039999999999999</v>
      </c>
      <c r="AB174" s="317">
        <f t="shared" si="118"/>
        <v>0.10166666666666666</v>
      </c>
      <c r="AC174" s="317">
        <f t="shared" si="118"/>
        <v>0.10293333333333332</v>
      </c>
      <c r="AD174" s="317">
        <f t="shared" si="118"/>
        <v>0.10419999999999999</v>
      </c>
      <c r="AE174" s="317">
        <f t="shared" si="118"/>
        <v>0.10546666666666665</v>
      </c>
      <c r="AF174" s="317">
        <f t="shared" si="118"/>
        <v>0.10673333333333332</v>
      </c>
      <c r="AG174" s="296">
        <v>0.108</v>
      </c>
      <c r="AI174" s="214"/>
      <c r="AJ174" s="211" t="s">
        <v>1363</v>
      </c>
    </row>
    <row r="175" spans="1:41" outlineLevel="1" x14ac:dyDescent="0.2">
      <c r="A175" s="3" t="s">
        <v>1365</v>
      </c>
      <c r="B175" s="302" t="s">
        <v>462</v>
      </c>
      <c r="C175" s="296">
        <v>0.05</v>
      </c>
      <c r="D175" s="317">
        <f t="shared" si="119"/>
        <v>5.0733333333333339E-2</v>
      </c>
      <c r="E175" s="317">
        <f t="shared" si="119"/>
        <v>5.1466666666666674E-2</v>
      </c>
      <c r="F175" s="317">
        <f t="shared" si="119"/>
        <v>5.220000000000001E-2</v>
      </c>
      <c r="G175" s="317">
        <f t="shared" si="119"/>
        <v>5.2933333333333346E-2</v>
      </c>
      <c r="H175" s="317">
        <f t="shared" si="119"/>
        <v>5.3666666666666682E-2</v>
      </c>
      <c r="I175" s="317">
        <f t="shared" si="119"/>
        <v>5.4400000000000018E-2</v>
      </c>
      <c r="J175" s="317">
        <f t="shared" si="119"/>
        <v>5.5133333333333354E-2</v>
      </c>
      <c r="K175" s="317">
        <f t="shared" si="119"/>
        <v>5.5866666666666689E-2</v>
      </c>
      <c r="L175" s="317">
        <f t="shared" si="119"/>
        <v>5.6600000000000025E-2</v>
      </c>
      <c r="M175" s="317">
        <f t="shared" si="119"/>
        <v>5.7333333333333361E-2</v>
      </c>
      <c r="N175" s="317">
        <f t="shared" si="119"/>
        <v>5.8066666666666697E-2</v>
      </c>
      <c r="O175" s="317">
        <f t="shared" si="119"/>
        <v>5.8800000000000033E-2</v>
      </c>
      <c r="P175" s="317">
        <f t="shared" si="119"/>
        <v>5.9533333333333369E-2</v>
      </c>
      <c r="Q175" s="317">
        <f t="shared" si="119"/>
        <v>6.0266666666666704E-2</v>
      </c>
      <c r="R175" s="317">
        <f t="shared" si="119"/>
        <v>6.100000000000004E-2</v>
      </c>
      <c r="S175" s="317">
        <f t="shared" si="119"/>
        <v>6.1733333333333376E-2</v>
      </c>
      <c r="T175" s="317">
        <f t="shared" si="118"/>
        <v>6.2466666666666712E-2</v>
      </c>
      <c r="U175" s="317">
        <f t="shared" si="118"/>
        <v>6.3200000000000048E-2</v>
      </c>
      <c r="V175" s="317">
        <f t="shared" si="118"/>
        <v>6.3933333333333384E-2</v>
      </c>
      <c r="W175" s="317">
        <f t="shared" si="118"/>
        <v>6.4666666666666719E-2</v>
      </c>
      <c r="X175" s="317">
        <f t="shared" si="118"/>
        <v>6.5400000000000055E-2</v>
      </c>
      <c r="Y175" s="317">
        <f t="shared" si="118"/>
        <v>6.6133333333333391E-2</v>
      </c>
      <c r="Z175" s="317">
        <f t="shared" si="118"/>
        <v>6.6866666666666727E-2</v>
      </c>
      <c r="AA175" s="317">
        <f t="shared" si="118"/>
        <v>6.7600000000000063E-2</v>
      </c>
      <c r="AB175" s="317">
        <f t="shared" si="118"/>
        <v>6.8333333333333399E-2</v>
      </c>
      <c r="AC175" s="317">
        <f t="shared" si="118"/>
        <v>6.9066666666666734E-2</v>
      </c>
      <c r="AD175" s="317">
        <f t="shared" si="118"/>
        <v>6.980000000000007E-2</v>
      </c>
      <c r="AE175" s="317">
        <f t="shared" si="118"/>
        <v>7.0533333333333406E-2</v>
      </c>
      <c r="AF175" s="317">
        <f t="shared" si="118"/>
        <v>7.1266666666666742E-2</v>
      </c>
      <c r="AG175" s="296">
        <v>7.1999999999999995E-2</v>
      </c>
      <c r="AI175" s="214"/>
      <c r="AJ175" s="211" t="s">
        <v>1363</v>
      </c>
    </row>
    <row r="176" spans="1:41" s="58" customFormat="1" outlineLevel="1" x14ac:dyDescent="0.2">
      <c r="A176" s="306" t="s">
        <v>1366</v>
      </c>
      <c r="B176" s="303"/>
      <c r="C176" s="304"/>
      <c r="D176" s="304"/>
      <c r="E176" s="304"/>
      <c r="F176" s="304"/>
      <c r="G176" s="304"/>
      <c r="H176" s="304"/>
      <c r="I176" s="304"/>
      <c r="J176" s="304"/>
      <c r="K176" s="304"/>
      <c r="L176" s="304"/>
      <c r="M176" s="304"/>
      <c r="N176" s="304"/>
      <c r="O176" s="304"/>
      <c r="P176" s="304"/>
      <c r="Q176" s="304"/>
      <c r="R176" s="304"/>
      <c r="S176" s="304"/>
      <c r="T176" s="304"/>
      <c r="U176" s="304"/>
      <c r="V176" s="304"/>
      <c r="W176" s="304"/>
      <c r="X176" s="304"/>
      <c r="Y176" s="304"/>
      <c r="Z176" s="304"/>
      <c r="AA176" s="304"/>
      <c r="AB176" s="304"/>
      <c r="AC176" s="304"/>
      <c r="AD176" s="304"/>
      <c r="AE176" s="304"/>
      <c r="AF176" s="304"/>
      <c r="AG176" s="304"/>
      <c r="AI176" s="305"/>
      <c r="AJ176" s="306"/>
    </row>
    <row r="177" spans="1:36" s="58" customFormat="1" outlineLevel="1" x14ac:dyDescent="0.2">
      <c r="A177" s="307" t="s">
        <v>1367</v>
      </c>
      <c r="B177" s="308" t="s">
        <v>462</v>
      </c>
      <c r="C177" s="337">
        <v>0.84</v>
      </c>
      <c r="D177" s="338">
        <f>-($C177-$AG177)/30+C177</f>
        <v>0.84399999999999997</v>
      </c>
      <c r="E177" s="338">
        <f t="shared" ref="E177:T178" si="120">-($C177-$AG177)/30+D177</f>
        <v>0.84799999999999998</v>
      </c>
      <c r="F177" s="338">
        <f t="shared" si="120"/>
        <v>0.85199999999999998</v>
      </c>
      <c r="G177" s="338">
        <f t="shared" si="120"/>
        <v>0.85599999999999998</v>
      </c>
      <c r="H177" s="338">
        <f t="shared" si="120"/>
        <v>0.86</v>
      </c>
      <c r="I177" s="338">
        <f t="shared" si="120"/>
        <v>0.86399999999999999</v>
      </c>
      <c r="J177" s="338">
        <f t="shared" si="120"/>
        <v>0.86799999999999999</v>
      </c>
      <c r="K177" s="338">
        <f t="shared" si="120"/>
        <v>0.872</v>
      </c>
      <c r="L177" s="338">
        <f t="shared" si="120"/>
        <v>0.876</v>
      </c>
      <c r="M177" s="338">
        <f t="shared" si="120"/>
        <v>0.88</v>
      </c>
      <c r="N177" s="338">
        <f t="shared" si="120"/>
        <v>0.88400000000000001</v>
      </c>
      <c r="O177" s="338">
        <f t="shared" si="120"/>
        <v>0.88800000000000001</v>
      </c>
      <c r="P177" s="338">
        <f t="shared" si="120"/>
        <v>0.89200000000000002</v>
      </c>
      <c r="Q177" s="338">
        <f t="shared" si="120"/>
        <v>0.89600000000000002</v>
      </c>
      <c r="R177" s="338">
        <f t="shared" si="120"/>
        <v>0.9</v>
      </c>
      <c r="S177" s="338">
        <f t="shared" si="120"/>
        <v>0.90400000000000003</v>
      </c>
      <c r="T177" s="338">
        <f t="shared" si="120"/>
        <v>0.90800000000000003</v>
      </c>
      <c r="U177" s="338">
        <f t="shared" ref="U177:AF178" si="121">-($C177-$AG177)/30+T177</f>
        <v>0.91200000000000003</v>
      </c>
      <c r="V177" s="338">
        <f t="shared" si="121"/>
        <v>0.91600000000000004</v>
      </c>
      <c r="W177" s="338">
        <f t="shared" si="121"/>
        <v>0.92</v>
      </c>
      <c r="X177" s="338">
        <f t="shared" si="121"/>
        <v>0.92400000000000004</v>
      </c>
      <c r="Y177" s="338">
        <f t="shared" si="121"/>
        <v>0.92800000000000005</v>
      </c>
      <c r="Z177" s="338">
        <f t="shared" si="121"/>
        <v>0.93200000000000005</v>
      </c>
      <c r="AA177" s="338">
        <f t="shared" si="121"/>
        <v>0.93600000000000005</v>
      </c>
      <c r="AB177" s="338">
        <f t="shared" si="121"/>
        <v>0.94000000000000006</v>
      </c>
      <c r="AC177" s="338">
        <f t="shared" si="121"/>
        <v>0.94400000000000006</v>
      </c>
      <c r="AD177" s="338">
        <f t="shared" si="121"/>
        <v>0.94800000000000006</v>
      </c>
      <c r="AE177" s="338">
        <f t="shared" si="121"/>
        <v>0.95200000000000007</v>
      </c>
      <c r="AF177" s="338">
        <f t="shared" si="121"/>
        <v>0.95600000000000007</v>
      </c>
      <c r="AG177" s="337">
        <v>0.96</v>
      </c>
      <c r="AI177" s="305"/>
      <c r="AJ177" s="339" t="s">
        <v>1363</v>
      </c>
    </row>
    <row r="178" spans="1:36" s="58" customFormat="1" outlineLevel="1" x14ac:dyDescent="0.2">
      <c r="A178" s="307" t="s">
        <v>1368</v>
      </c>
      <c r="B178" s="308" t="s">
        <v>462</v>
      </c>
      <c r="C178" s="337">
        <v>0.22</v>
      </c>
      <c r="D178" s="338">
        <f>-($C178-$AG178)/30+C178</f>
        <v>0.22666666666666666</v>
      </c>
      <c r="E178" s="338">
        <f t="shared" si="120"/>
        <v>0.23333333333333331</v>
      </c>
      <c r="F178" s="338">
        <f t="shared" si="120"/>
        <v>0.23999999999999996</v>
      </c>
      <c r="G178" s="338">
        <f t="shared" si="120"/>
        <v>0.24666666666666662</v>
      </c>
      <c r="H178" s="338">
        <f t="shared" si="120"/>
        <v>0.2533333333333333</v>
      </c>
      <c r="I178" s="338">
        <f t="shared" si="120"/>
        <v>0.25999999999999995</v>
      </c>
      <c r="J178" s="338">
        <f t="shared" si="120"/>
        <v>0.26666666666666661</v>
      </c>
      <c r="K178" s="338">
        <f t="shared" si="120"/>
        <v>0.27333333333333326</v>
      </c>
      <c r="L178" s="338">
        <f t="shared" si="120"/>
        <v>0.27999999999999992</v>
      </c>
      <c r="M178" s="338">
        <f t="shared" si="120"/>
        <v>0.28666666666666657</v>
      </c>
      <c r="N178" s="338">
        <f t="shared" si="120"/>
        <v>0.29333333333333322</v>
      </c>
      <c r="O178" s="338">
        <f t="shared" si="120"/>
        <v>0.29999999999999988</v>
      </c>
      <c r="P178" s="338">
        <f t="shared" si="120"/>
        <v>0.30666666666666653</v>
      </c>
      <c r="Q178" s="338">
        <f t="shared" si="120"/>
        <v>0.31333333333333319</v>
      </c>
      <c r="R178" s="338">
        <f t="shared" si="120"/>
        <v>0.31999999999999984</v>
      </c>
      <c r="S178" s="338">
        <f t="shared" si="120"/>
        <v>0.32666666666666649</v>
      </c>
      <c r="T178" s="338">
        <f t="shared" si="120"/>
        <v>0.33333333333333315</v>
      </c>
      <c r="U178" s="338">
        <f t="shared" si="121"/>
        <v>0.3399999999999998</v>
      </c>
      <c r="V178" s="338">
        <f t="shared" si="121"/>
        <v>0.34666666666666646</v>
      </c>
      <c r="W178" s="338">
        <f t="shared" si="121"/>
        <v>0.35333333333333311</v>
      </c>
      <c r="X178" s="338">
        <f t="shared" si="121"/>
        <v>0.35999999999999976</v>
      </c>
      <c r="Y178" s="338">
        <f t="shared" si="121"/>
        <v>0.36666666666666642</v>
      </c>
      <c r="Z178" s="338">
        <f t="shared" si="121"/>
        <v>0.37333333333333307</v>
      </c>
      <c r="AA178" s="338">
        <f t="shared" si="121"/>
        <v>0.37999999999999973</v>
      </c>
      <c r="AB178" s="338">
        <f t="shared" si="121"/>
        <v>0.38666666666666638</v>
      </c>
      <c r="AC178" s="338">
        <f t="shared" si="121"/>
        <v>0.39333333333333304</v>
      </c>
      <c r="AD178" s="338">
        <f t="shared" si="121"/>
        <v>0.39999999999999969</v>
      </c>
      <c r="AE178" s="338">
        <f t="shared" si="121"/>
        <v>0.40666666666666634</v>
      </c>
      <c r="AF178" s="338">
        <f t="shared" si="121"/>
        <v>0.413333333333333</v>
      </c>
      <c r="AG178" s="337">
        <v>0.42</v>
      </c>
      <c r="AI178" s="305"/>
      <c r="AJ178" s="339" t="s">
        <v>1363</v>
      </c>
    </row>
    <row r="179" spans="1:36" s="62" customFormat="1" outlineLevel="1" x14ac:dyDescent="0.2">
      <c r="A179" s="311" t="s">
        <v>1369</v>
      </c>
      <c r="B179" s="312" t="s">
        <v>462</v>
      </c>
      <c r="C179" s="340">
        <f>1-C178</f>
        <v>0.78</v>
      </c>
      <c r="D179" s="340">
        <f t="shared" ref="D179:AG179" si="122">1-D178</f>
        <v>0.77333333333333332</v>
      </c>
      <c r="E179" s="340">
        <f t="shared" si="122"/>
        <v>0.76666666666666672</v>
      </c>
      <c r="F179" s="340">
        <f t="shared" si="122"/>
        <v>0.76</v>
      </c>
      <c r="G179" s="340">
        <f t="shared" si="122"/>
        <v>0.75333333333333341</v>
      </c>
      <c r="H179" s="340">
        <f t="shared" si="122"/>
        <v>0.7466666666666667</v>
      </c>
      <c r="I179" s="340">
        <f t="shared" si="122"/>
        <v>0.74</v>
      </c>
      <c r="J179" s="340">
        <f t="shared" si="122"/>
        <v>0.73333333333333339</v>
      </c>
      <c r="K179" s="340">
        <f t="shared" si="122"/>
        <v>0.72666666666666679</v>
      </c>
      <c r="L179" s="340">
        <f t="shared" si="122"/>
        <v>0.72000000000000008</v>
      </c>
      <c r="M179" s="340">
        <f t="shared" si="122"/>
        <v>0.71333333333333337</v>
      </c>
      <c r="N179" s="340">
        <f t="shared" si="122"/>
        <v>0.70666666666666678</v>
      </c>
      <c r="O179" s="340">
        <f t="shared" si="122"/>
        <v>0.70000000000000018</v>
      </c>
      <c r="P179" s="340">
        <f t="shared" si="122"/>
        <v>0.69333333333333347</v>
      </c>
      <c r="Q179" s="340">
        <f t="shared" si="122"/>
        <v>0.68666666666666676</v>
      </c>
      <c r="R179" s="340">
        <f t="shared" si="122"/>
        <v>0.68000000000000016</v>
      </c>
      <c r="S179" s="340">
        <f t="shared" si="122"/>
        <v>0.67333333333333356</v>
      </c>
      <c r="T179" s="340">
        <f t="shared" si="122"/>
        <v>0.66666666666666685</v>
      </c>
      <c r="U179" s="340">
        <f t="shared" si="122"/>
        <v>0.66000000000000014</v>
      </c>
      <c r="V179" s="340">
        <f t="shared" si="122"/>
        <v>0.65333333333333354</v>
      </c>
      <c r="W179" s="340">
        <f t="shared" si="122"/>
        <v>0.64666666666666694</v>
      </c>
      <c r="X179" s="340">
        <f t="shared" si="122"/>
        <v>0.64000000000000024</v>
      </c>
      <c r="Y179" s="340">
        <f t="shared" si="122"/>
        <v>0.63333333333333353</v>
      </c>
      <c r="Z179" s="340">
        <f t="shared" si="122"/>
        <v>0.62666666666666693</v>
      </c>
      <c r="AA179" s="340">
        <f t="shared" si="122"/>
        <v>0.62000000000000033</v>
      </c>
      <c r="AB179" s="340">
        <f t="shared" si="122"/>
        <v>0.61333333333333362</v>
      </c>
      <c r="AC179" s="340">
        <f t="shared" si="122"/>
        <v>0.60666666666666691</v>
      </c>
      <c r="AD179" s="340">
        <f t="shared" si="122"/>
        <v>0.60000000000000031</v>
      </c>
      <c r="AE179" s="340">
        <f t="shared" si="122"/>
        <v>0.59333333333333371</v>
      </c>
      <c r="AF179" s="340">
        <f t="shared" si="122"/>
        <v>0.586666666666667</v>
      </c>
      <c r="AG179" s="340">
        <f t="shared" si="122"/>
        <v>0.58000000000000007</v>
      </c>
      <c r="AI179" s="342"/>
      <c r="AJ179" s="341" t="s">
        <v>1363</v>
      </c>
    </row>
    <row r="180" spans="1:36" s="1" customFormat="1" outlineLevel="1" x14ac:dyDescent="0.2">
      <c r="A180" t="s">
        <v>1370</v>
      </c>
      <c r="B180" s="302" t="s">
        <v>462</v>
      </c>
      <c r="C180" s="296">
        <v>0.95</v>
      </c>
      <c r="D180" s="317">
        <f t="shared" ref="D180:S195" si="123">-($C180-$AG180)/30+C180</f>
        <v>0.94499999999999995</v>
      </c>
      <c r="E180" s="317">
        <f t="shared" si="123"/>
        <v>0.94</v>
      </c>
      <c r="F180" s="317">
        <f t="shared" si="123"/>
        <v>0.93499999999999994</v>
      </c>
      <c r="G180" s="317">
        <f t="shared" si="123"/>
        <v>0.92999999999999994</v>
      </c>
      <c r="H180" s="317">
        <f t="shared" si="123"/>
        <v>0.92499999999999993</v>
      </c>
      <c r="I180" s="317">
        <f t="shared" si="123"/>
        <v>0.91999999999999993</v>
      </c>
      <c r="J180" s="317">
        <f t="shared" si="123"/>
        <v>0.91499999999999992</v>
      </c>
      <c r="K180" s="317">
        <f t="shared" si="123"/>
        <v>0.90999999999999992</v>
      </c>
      <c r="L180" s="317">
        <f t="shared" si="123"/>
        <v>0.90499999999999992</v>
      </c>
      <c r="M180" s="317">
        <f t="shared" si="123"/>
        <v>0.89999999999999991</v>
      </c>
      <c r="N180" s="317">
        <f t="shared" si="123"/>
        <v>0.89499999999999991</v>
      </c>
      <c r="O180" s="317">
        <f t="shared" si="123"/>
        <v>0.8899999999999999</v>
      </c>
      <c r="P180" s="317">
        <f t="shared" si="123"/>
        <v>0.8849999999999999</v>
      </c>
      <c r="Q180" s="317">
        <f t="shared" si="123"/>
        <v>0.87999999999999989</v>
      </c>
      <c r="R180" s="317">
        <f t="shared" si="123"/>
        <v>0.87499999999999989</v>
      </c>
      <c r="S180" s="317">
        <f t="shared" si="123"/>
        <v>0.86999999999999988</v>
      </c>
      <c r="T180" s="317">
        <f t="shared" ref="T180:AF194" si="124">-($C180-$AG180)/30+S180</f>
        <v>0.86499999999999988</v>
      </c>
      <c r="U180" s="317">
        <f t="shared" si="124"/>
        <v>0.85999999999999988</v>
      </c>
      <c r="V180" s="317">
        <f t="shared" si="124"/>
        <v>0.85499999999999987</v>
      </c>
      <c r="W180" s="317">
        <f t="shared" si="124"/>
        <v>0.84999999999999987</v>
      </c>
      <c r="X180" s="317">
        <f t="shared" si="124"/>
        <v>0.84499999999999986</v>
      </c>
      <c r="Y180" s="317">
        <f t="shared" si="124"/>
        <v>0.83999999999999986</v>
      </c>
      <c r="Z180" s="317">
        <f t="shared" si="124"/>
        <v>0.83499999999999985</v>
      </c>
      <c r="AA180" s="317">
        <f t="shared" si="124"/>
        <v>0.82999999999999985</v>
      </c>
      <c r="AB180" s="317">
        <f t="shared" si="124"/>
        <v>0.82499999999999984</v>
      </c>
      <c r="AC180" s="317">
        <f t="shared" si="124"/>
        <v>0.81999999999999984</v>
      </c>
      <c r="AD180" s="317">
        <f t="shared" si="124"/>
        <v>0.81499999999999984</v>
      </c>
      <c r="AE180" s="317">
        <f t="shared" si="124"/>
        <v>0.80999999999999983</v>
      </c>
      <c r="AF180" s="317">
        <f t="shared" si="124"/>
        <v>0.80499999999999983</v>
      </c>
      <c r="AG180" s="296">
        <v>0.8</v>
      </c>
      <c r="AI180" s="316"/>
      <c r="AJ180" s="211" t="s">
        <v>1363</v>
      </c>
    </row>
    <row r="181" spans="1:36" s="1" customFormat="1" outlineLevel="1" x14ac:dyDescent="0.2">
      <c r="A181" t="s">
        <v>1371</v>
      </c>
      <c r="B181" s="302" t="s">
        <v>462</v>
      </c>
      <c r="C181" s="296">
        <v>0.05</v>
      </c>
      <c r="D181" s="317">
        <f t="shared" si="123"/>
        <v>5.5000000000000007E-2</v>
      </c>
      <c r="E181" s="317">
        <f t="shared" si="123"/>
        <v>6.0000000000000012E-2</v>
      </c>
      <c r="F181" s="317">
        <f t="shared" si="123"/>
        <v>6.5000000000000016E-2</v>
      </c>
      <c r="G181" s="317">
        <f t="shared" si="123"/>
        <v>7.0000000000000021E-2</v>
      </c>
      <c r="H181" s="317">
        <f t="shared" si="123"/>
        <v>7.5000000000000025E-2</v>
      </c>
      <c r="I181" s="317">
        <f t="shared" si="123"/>
        <v>8.0000000000000029E-2</v>
      </c>
      <c r="J181" s="317">
        <f t="shared" si="123"/>
        <v>8.5000000000000034E-2</v>
      </c>
      <c r="K181" s="317">
        <f t="shared" si="123"/>
        <v>9.0000000000000038E-2</v>
      </c>
      <c r="L181" s="317">
        <f t="shared" si="123"/>
        <v>9.5000000000000043E-2</v>
      </c>
      <c r="M181" s="317">
        <f t="shared" si="123"/>
        <v>0.10000000000000005</v>
      </c>
      <c r="N181" s="317">
        <f t="shared" si="123"/>
        <v>0.10500000000000005</v>
      </c>
      <c r="O181" s="317">
        <f t="shared" si="123"/>
        <v>0.11000000000000006</v>
      </c>
      <c r="P181" s="317">
        <f t="shared" si="123"/>
        <v>0.11500000000000006</v>
      </c>
      <c r="Q181" s="317">
        <f t="shared" si="123"/>
        <v>0.12000000000000006</v>
      </c>
      <c r="R181" s="317">
        <f t="shared" si="123"/>
        <v>0.12500000000000006</v>
      </c>
      <c r="S181" s="317">
        <f t="shared" si="123"/>
        <v>0.13000000000000006</v>
      </c>
      <c r="T181" s="317">
        <f t="shared" si="124"/>
        <v>0.13500000000000006</v>
      </c>
      <c r="U181" s="317">
        <f t="shared" si="124"/>
        <v>0.14000000000000007</v>
      </c>
      <c r="V181" s="317">
        <f t="shared" si="124"/>
        <v>0.14500000000000007</v>
      </c>
      <c r="W181" s="317">
        <f t="shared" si="124"/>
        <v>0.15000000000000008</v>
      </c>
      <c r="X181" s="317">
        <f t="shared" si="124"/>
        <v>0.15500000000000008</v>
      </c>
      <c r="Y181" s="317">
        <f t="shared" si="124"/>
        <v>0.16000000000000009</v>
      </c>
      <c r="Z181" s="317">
        <f t="shared" si="124"/>
        <v>0.16500000000000009</v>
      </c>
      <c r="AA181" s="317">
        <f t="shared" si="124"/>
        <v>0.1700000000000001</v>
      </c>
      <c r="AB181" s="317">
        <f t="shared" si="124"/>
        <v>0.1750000000000001</v>
      </c>
      <c r="AC181" s="317">
        <f t="shared" si="124"/>
        <v>0.1800000000000001</v>
      </c>
      <c r="AD181" s="317">
        <f t="shared" si="124"/>
        <v>0.18500000000000011</v>
      </c>
      <c r="AE181" s="317">
        <f t="shared" si="124"/>
        <v>0.19000000000000011</v>
      </c>
      <c r="AF181" s="317">
        <f t="shared" si="124"/>
        <v>0.19500000000000012</v>
      </c>
      <c r="AG181" s="296">
        <v>0.2</v>
      </c>
      <c r="AI181" s="435" t="s">
        <v>1506</v>
      </c>
      <c r="AJ181" s="211" t="s">
        <v>1363</v>
      </c>
    </row>
    <row r="182" spans="1:36" s="1" customFormat="1" outlineLevel="1" x14ac:dyDescent="0.2">
      <c r="A182" t="s">
        <v>1372</v>
      </c>
      <c r="B182" s="302" t="s">
        <v>462</v>
      </c>
      <c r="C182" s="296">
        <v>0.15</v>
      </c>
      <c r="D182" s="317">
        <f t="shared" si="123"/>
        <v>0.15633333333333332</v>
      </c>
      <c r="E182" s="317">
        <f t="shared" si="123"/>
        <v>0.16266666666666665</v>
      </c>
      <c r="F182" s="317">
        <f t="shared" si="123"/>
        <v>0.16899999999999998</v>
      </c>
      <c r="G182" s="317">
        <f t="shared" si="123"/>
        <v>0.17533333333333331</v>
      </c>
      <c r="H182" s="317">
        <f t="shared" si="123"/>
        <v>0.18166666666666664</v>
      </c>
      <c r="I182" s="317">
        <f t="shared" si="123"/>
        <v>0.18799999999999997</v>
      </c>
      <c r="J182" s="317">
        <f t="shared" si="123"/>
        <v>0.1943333333333333</v>
      </c>
      <c r="K182" s="317">
        <f t="shared" si="123"/>
        <v>0.20066666666666663</v>
      </c>
      <c r="L182" s="317">
        <f t="shared" si="123"/>
        <v>0.20699999999999996</v>
      </c>
      <c r="M182" s="317">
        <f t="shared" si="123"/>
        <v>0.21333333333333329</v>
      </c>
      <c r="N182" s="317">
        <f t="shared" si="123"/>
        <v>0.21966666666666662</v>
      </c>
      <c r="O182" s="317">
        <f t="shared" si="123"/>
        <v>0.22599999999999995</v>
      </c>
      <c r="P182" s="317">
        <f t="shared" si="123"/>
        <v>0.23233333333333328</v>
      </c>
      <c r="Q182" s="317">
        <f t="shared" si="123"/>
        <v>0.23866666666666661</v>
      </c>
      <c r="R182" s="317">
        <f t="shared" si="123"/>
        <v>0.24499999999999994</v>
      </c>
      <c r="S182" s="317">
        <f t="shared" si="123"/>
        <v>0.2513333333333333</v>
      </c>
      <c r="T182" s="317">
        <f t="shared" si="124"/>
        <v>0.25766666666666665</v>
      </c>
      <c r="U182" s="317">
        <f t="shared" si="124"/>
        <v>0.26400000000000001</v>
      </c>
      <c r="V182" s="317">
        <f t="shared" si="124"/>
        <v>0.27033333333333337</v>
      </c>
      <c r="W182" s="317">
        <f t="shared" si="124"/>
        <v>0.27666666666666673</v>
      </c>
      <c r="X182" s="317">
        <f t="shared" si="124"/>
        <v>0.28300000000000008</v>
      </c>
      <c r="Y182" s="317">
        <f t="shared" si="124"/>
        <v>0.28933333333333344</v>
      </c>
      <c r="Z182" s="317">
        <f t="shared" si="124"/>
        <v>0.2956666666666668</v>
      </c>
      <c r="AA182" s="317">
        <f t="shared" si="124"/>
        <v>0.30200000000000016</v>
      </c>
      <c r="AB182" s="317">
        <f t="shared" si="124"/>
        <v>0.30833333333333351</v>
      </c>
      <c r="AC182" s="317">
        <f t="shared" si="124"/>
        <v>0.31466666666666687</v>
      </c>
      <c r="AD182" s="317">
        <f t="shared" si="124"/>
        <v>0.32100000000000023</v>
      </c>
      <c r="AE182" s="317">
        <f t="shared" si="124"/>
        <v>0.32733333333333359</v>
      </c>
      <c r="AF182" s="317">
        <f t="shared" si="124"/>
        <v>0.33366666666666694</v>
      </c>
      <c r="AG182" s="296">
        <v>0.34</v>
      </c>
      <c r="AI182" s="316"/>
      <c r="AJ182" s="211" t="s">
        <v>1363</v>
      </c>
    </row>
    <row r="183" spans="1:36" s="1" customFormat="1" outlineLevel="1" x14ac:dyDescent="0.2">
      <c r="A183" t="s">
        <v>1373</v>
      </c>
      <c r="B183" s="302" t="s">
        <v>462</v>
      </c>
      <c r="C183" s="296">
        <v>0.85</v>
      </c>
      <c r="D183" s="317">
        <f t="shared" si="123"/>
        <v>0.84366666666666668</v>
      </c>
      <c r="E183" s="317">
        <f t="shared" si="123"/>
        <v>0.83733333333333337</v>
      </c>
      <c r="F183" s="317">
        <f t="shared" si="123"/>
        <v>0.83100000000000007</v>
      </c>
      <c r="G183" s="317">
        <f t="shared" si="123"/>
        <v>0.82466666666666677</v>
      </c>
      <c r="H183" s="317">
        <f t="shared" si="123"/>
        <v>0.81833333333333347</v>
      </c>
      <c r="I183" s="317">
        <f t="shared" si="123"/>
        <v>0.81200000000000017</v>
      </c>
      <c r="J183" s="317">
        <f t="shared" si="123"/>
        <v>0.80566666666666686</v>
      </c>
      <c r="K183" s="317">
        <f t="shared" si="123"/>
        <v>0.79933333333333356</v>
      </c>
      <c r="L183" s="317">
        <f t="shared" si="123"/>
        <v>0.79300000000000026</v>
      </c>
      <c r="M183" s="317">
        <f t="shared" si="123"/>
        <v>0.78666666666666696</v>
      </c>
      <c r="N183" s="317">
        <f t="shared" si="123"/>
        <v>0.78033333333333366</v>
      </c>
      <c r="O183" s="317">
        <f t="shared" si="123"/>
        <v>0.77400000000000035</v>
      </c>
      <c r="P183" s="317">
        <f t="shared" si="123"/>
        <v>0.76766666666666705</v>
      </c>
      <c r="Q183" s="317">
        <f t="shared" si="123"/>
        <v>0.76133333333333375</v>
      </c>
      <c r="R183" s="317">
        <f t="shared" si="123"/>
        <v>0.75500000000000045</v>
      </c>
      <c r="S183" s="317">
        <f t="shared" si="123"/>
        <v>0.74866666666666715</v>
      </c>
      <c r="T183" s="317">
        <f t="shared" si="124"/>
        <v>0.74233333333333384</v>
      </c>
      <c r="U183" s="317">
        <f t="shared" si="124"/>
        <v>0.73600000000000054</v>
      </c>
      <c r="V183" s="317">
        <f t="shared" si="124"/>
        <v>0.72966666666666724</v>
      </c>
      <c r="W183" s="317">
        <f t="shared" si="124"/>
        <v>0.72333333333333394</v>
      </c>
      <c r="X183" s="317">
        <f t="shared" si="124"/>
        <v>0.71700000000000064</v>
      </c>
      <c r="Y183" s="317">
        <f t="shared" si="124"/>
        <v>0.71066666666666733</v>
      </c>
      <c r="Z183" s="317">
        <f t="shared" si="124"/>
        <v>0.70433333333333403</v>
      </c>
      <c r="AA183" s="317">
        <f t="shared" si="124"/>
        <v>0.69800000000000073</v>
      </c>
      <c r="AB183" s="317">
        <f t="shared" si="124"/>
        <v>0.69166666666666743</v>
      </c>
      <c r="AC183" s="317">
        <f t="shared" si="124"/>
        <v>0.68533333333333413</v>
      </c>
      <c r="AD183" s="317">
        <f t="shared" si="124"/>
        <v>0.67900000000000083</v>
      </c>
      <c r="AE183" s="317">
        <f t="shared" si="124"/>
        <v>0.67266666666666752</v>
      </c>
      <c r="AF183" s="317">
        <f t="shared" si="124"/>
        <v>0.66633333333333422</v>
      </c>
      <c r="AG183" s="296">
        <v>0.66</v>
      </c>
      <c r="AI183" s="316"/>
      <c r="AJ183" s="211" t="s">
        <v>1363</v>
      </c>
    </row>
    <row r="184" spans="1:36" s="1" customFormat="1" outlineLevel="1" x14ac:dyDescent="0.2">
      <c r="A184" t="s">
        <v>1374</v>
      </c>
      <c r="B184" s="302" t="s">
        <v>462</v>
      </c>
      <c r="C184" s="296">
        <v>0</v>
      </c>
      <c r="D184" s="317">
        <f t="shared" si="123"/>
        <v>0</v>
      </c>
      <c r="E184" s="317">
        <f t="shared" si="123"/>
        <v>0</v>
      </c>
      <c r="F184" s="317">
        <f t="shared" si="123"/>
        <v>0</v>
      </c>
      <c r="G184" s="317">
        <f t="shared" si="123"/>
        <v>0</v>
      </c>
      <c r="H184" s="317">
        <f t="shared" si="123"/>
        <v>0</v>
      </c>
      <c r="I184" s="317">
        <f t="shared" si="123"/>
        <v>0</v>
      </c>
      <c r="J184" s="317">
        <f t="shared" si="123"/>
        <v>0</v>
      </c>
      <c r="K184" s="317">
        <f t="shared" si="123"/>
        <v>0</v>
      </c>
      <c r="L184" s="317">
        <f t="shared" si="123"/>
        <v>0</v>
      </c>
      <c r="M184" s="317">
        <f t="shared" si="123"/>
        <v>0</v>
      </c>
      <c r="N184" s="317">
        <f t="shared" si="123"/>
        <v>0</v>
      </c>
      <c r="O184" s="317">
        <f t="shared" si="123"/>
        <v>0</v>
      </c>
      <c r="P184" s="317">
        <f t="shared" si="123"/>
        <v>0</v>
      </c>
      <c r="Q184" s="317">
        <f t="shared" si="123"/>
        <v>0</v>
      </c>
      <c r="R184" s="317">
        <f t="shared" si="123"/>
        <v>0</v>
      </c>
      <c r="S184" s="317">
        <f t="shared" si="123"/>
        <v>0</v>
      </c>
      <c r="T184" s="317">
        <f t="shared" si="124"/>
        <v>0</v>
      </c>
      <c r="U184" s="317">
        <f t="shared" si="124"/>
        <v>0</v>
      </c>
      <c r="V184" s="317">
        <f t="shared" si="124"/>
        <v>0</v>
      </c>
      <c r="W184" s="317">
        <f t="shared" si="124"/>
        <v>0</v>
      </c>
      <c r="X184" s="317">
        <f t="shared" si="124"/>
        <v>0</v>
      </c>
      <c r="Y184" s="317">
        <f t="shared" si="124"/>
        <v>0</v>
      </c>
      <c r="Z184" s="317">
        <f t="shared" si="124"/>
        <v>0</v>
      </c>
      <c r="AA184" s="317">
        <f t="shared" si="124"/>
        <v>0</v>
      </c>
      <c r="AB184" s="317">
        <f t="shared" si="124"/>
        <v>0</v>
      </c>
      <c r="AC184" s="317">
        <f t="shared" si="124"/>
        <v>0</v>
      </c>
      <c r="AD184" s="317">
        <f t="shared" si="124"/>
        <v>0</v>
      </c>
      <c r="AE184" s="317">
        <f t="shared" si="124"/>
        <v>0</v>
      </c>
      <c r="AF184" s="317">
        <f t="shared" si="124"/>
        <v>0</v>
      </c>
      <c r="AG184" s="296">
        <v>0</v>
      </c>
      <c r="AI184" s="316"/>
      <c r="AJ184" s="211" t="s">
        <v>1363</v>
      </c>
    </row>
    <row r="185" spans="1:36" s="1" customFormat="1" outlineLevel="1" x14ac:dyDescent="0.2">
      <c r="A185" t="s">
        <v>1375</v>
      </c>
      <c r="B185" s="302" t="s">
        <v>462</v>
      </c>
      <c r="C185" s="296">
        <v>1</v>
      </c>
      <c r="D185" s="317">
        <f t="shared" si="123"/>
        <v>1</v>
      </c>
      <c r="E185" s="317">
        <f t="shared" si="123"/>
        <v>1</v>
      </c>
      <c r="F185" s="317">
        <f t="shared" si="123"/>
        <v>1</v>
      </c>
      <c r="G185" s="317">
        <f t="shared" si="123"/>
        <v>1</v>
      </c>
      <c r="H185" s="317">
        <f t="shared" si="123"/>
        <v>1</v>
      </c>
      <c r="I185" s="317">
        <f t="shared" si="123"/>
        <v>1</v>
      </c>
      <c r="J185" s="317">
        <f t="shared" si="123"/>
        <v>1</v>
      </c>
      <c r="K185" s="317">
        <f t="shared" si="123"/>
        <v>1</v>
      </c>
      <c r="L185" s="317">
        <f t="shared" si="123"/>
        <v>1</v>
      </c>
      <c r="M185" s="317">
        <f t="shared" si="123"/>
        <v>1</v>
      </c>
      <c r="N185" s="317">
        <f t="shared" si="123"/>
        <v>1</v>
      </c>
      <c r="O185" s="317">
        <f t="shared" si="123"/>
        <v>1</v>
      </c>
      <c r="P185" s="317">
        <f t="shared" si="123"/>
        <v>1</v>
      </c>
      <c r="Q185" s="317">
        <f t="shared" si="123"/>
        <v>1</v>
      </c>
      <c r="R185" s="317">
        <f t="shared" si="123"/>
        <v>1</v>
      </c>
      <c r="S185" s="317">
        <f t="shared" si="123"/>
        <v>1</v>
      </c>
      <c r="T185" s="317">
        <f t="shared" si="124"/>
        <v>1</v>
      </c>
      <c r="U185" s="317">
        <f t="shared" si="124"/>
        <v>1</v>
      </c>
      <c r="V185" s="317">
        <f t="shared" si="124"/>
        <v>1</v>
      </c>
      <c r="W185" s="317">
        <f t="shared" si="124"/>
        <v>1</v>
      </c>
      <c r="X185" s="317">
        <f t="shared" si="124"/>
        <v>1</v>
      </c>
      <c r="Y185" s="317">
        <f t="shared" si="124"/>
        <v>1</v>
      </c>
      <c r="Z185" s="317">
        <f t="shared" si="124"/>
        <v>1</v>
      </c>
      <c r="AA185" s="317">
        <f t="shared" si="124"/>
        <v>1</v>
      </c>
      <c r="AB185" s="317">
        <f t="shared" si="124"/>
        <v>1</v>
      </c>
      <c r="AC185" s="317">
        <f t="shared" si="124"/>
        <v>1</v>
      </c>
      <c r="AD185" s="317">
        <f t="shared" si="124"/>
        <v>1</v>
      </c>
      <c r="AE185" s="317">
        <f t="shared" si="124"/>
        <v>1</v>
      </c>
      <c r="AF185" s="317">
        <f t="shared" si="124"/>
        <v>1</v>
      </c>
      <c r="AG185" s="296">
        <v>1</v>
      </c>
      <c r="AI185" s="316"/>
      <c r="AJ185" s="211" t="s">
        <v>1363</v>
      </c>
    </row>
    <row r="186" spans="1:36" s="1" customFormat="1" outlineLevel="1" x14ac:dyDescent="0.2">
      <c r="A186" t="s">
        <v>1376</v>
      </c>
      <c r="B186" s="302" t="s">
        <v>462</v>
      </c>
      <c r="C186" s="296">
        <v>0.8</v>
      </c>
      <c r="D186" s="317">
        <f t="shared" si="123"/>
        <v>0.80333333333333334</v>
      </c>
      <c r="E186" s="317">
        <f t="shared" si="123"/>
        <v>0.80666666666666664</v>
      </c>
      <c r="F186" s="317">
        <f t="shared" si="123"/>
        <v>0.80999999999999994</v>
      </c>
      <c r="G186" s="317">
        <f t="shared" si="123"/>
        <v>0.81333333333333324</v>
      </c>
      <c r="H186" s="317">
        <f t="shared" si="123"/>
        <v>0.81666666666666654</v>
      </c>
      <c r="I186" s="317">
        <f t="shared" si="123"/>
        <v>0.81999999999999984</v>
      </c>
      <c r="J186" s="317">
        <f t="shared" si="123"/>
        <v>0.82333333333333314</v>
      </c>
      <c r="K186" s="317">
        <f t="shared" si="123"/>
        <v>0.82666666666666644</v>
      </c>
      <c r="L186" s="317">
        <f t="shared" si="123"/>
        <v>0.82999999999999974</v>
      </c>
      <c r="M186" s="317">
        <f t="shared" si="123"/>
        <v>0.83333333333333304</v>
      </c>
      <c r="N186" s="317">
        <f t="shared" si="123"/>
        <v>0.83666666666666634</v>
      </c>
      <c r="O186" s="317">
        <f t="shared" si="123"/>
        <v>0.83999999999999964</v>
      </c>
      <c r="P186" s="317">
        <f t="shared" si="123"/>
        <v>0.84333333333333294</v>
      </c>
      <c r="Q186" s="317">
        <f t="shared" si="123"/>
        <v>0.84666666666666623</v>
      </c>
      <c r="R186" s="317">
        <f t="shared" si="123"/>
        <v>0.84999999999999953</v>
      </c>
      <c r="S186" s="317">
        <f t="shared" si="123"/>
        <v>0.85333333333333283</v>
      </c>
      <c r="T186" s="317">
        <f t="shared" si="124"/>
        <v>0.85666666666666613</v>
      </c>
      <c r="U186" s="317">
        <f t="shared" si="124"/>
        <v>0.85999999999999943</v>
      </c>
      <c r="V186" s="317">
        <f t="shared" si="124"/>
        <v>0.86333333333333273</v>
      </c>
      <c r="W186" s="317">
        <f t="shared" si="124"/>
        <v>0.86666666666666603</v>
      </c>
      <c r="X186" s="317">
        <f t="shared" si="124"/>
        <v>0.86999999999999933</v>
      </c>
      <c r="Y186" s="317">
        <f t="shared" si="124"/>
        <v>0.87333333333333263</v>
      </c>
      <c r="Z186" s="317">
        <f t="shared" si="124"/>
        <v>0.87666666666666593</v>
      </c>
      <c r="AA186" s="317">
        <f t="shared" si="124"/>
        <v>0.87999999999999923</v>
      </c>
      <c r="AB186" s="317">
        <f t="shared" si="124"/>
        <v>0.88333333333333253</v>
      </c>
      <c r="AC186" s="317">
        <f t="shared" si="124"/>
        <v>0.88666666666666583</v>
      </c>
      <c r="AD186" s="317">
        <f t="shared" si="124"/>
        <v>0.88999999999999913</v>
      </c>
      <c r="AE186" s="317">
        <f t="shared" si="124"/>
        <v>0.89333333333333242</v>
      </c>
      <c r="AF186" s="317">
        <f t="shared" si="124"/>
        <v>0.89666666666666572</v>
      </c>
      <c r="AG186" s="296">
        <v>0.9</v>
      </c>
      <c r="AI186" s="316"/>
      <c r="AJ186" s="211" t="s">
        <v>1363</v>
      </c>
    </row>
    <row r="187" spans="1:36" s="1" customFormat="1" outlineLevel="1" x14ac:dyDescent="0.2">
      <c r="A187" t="s">
        <v>1377</v>
      </c>
      <c r="B187" s="302" t="s">
        <v>462</v>
      </c>
      <c r="C187" s="296">
        <v>0.2</v>
      </c>
      <c r="D187" s="317">
        <f t="shared" si="123"/>
        <v>0.19666666666666668</v>
      </c>
      <c r="E187" s="317">
        <f t="shared" si="123"/>
        <v>0.19333333333333336</v>
      </c>
      <c r="F187" s="317">
        <f t="shared" si="123"/>
        <v>0.19000000000000003</v>
      </c>
      <c r="G187" s="317">
        <f t="shared" si="123"/>
        <v>0.1866666666666667</v>
      </c>
      <c r="H187" s="317">
        <f t="shared" si="123"/>
        <v>0.18333333333333338</v>
      </c>
      <c r="I187" s="317">
        <f t="shared" si="123"/>
        <v>0.18000000000000005</v>
      </c>
      <c r="J187" s="317">
        <f t="shared" si="123"/>
        <v>0.17666666666666672</v>
      </c>
      <c r="K187" s="317">
        <f t="shared" si="123"/>
        <v>0.17333333333333339</v>
      </c>
      <c r="L187" s="317">
        <f t="shared" si="123"/>
        <v>0.17000000000000007</v>
      </c>
      <c r="M187" s="317">
        <f t="shared" si="123"/>
        <v>0.16666666666666674</v>
      </c>
      <c r="N187" s="317">
        <f t="shared" si="123"/>
        <v>0.16333333333333341</v>
      </c>
      <c r="O187" s="317">
        <f t="shared" si="123"/>
        <v>0.16000000000000009</v>
      </c>
      <c r="P187" s="317">
        <f t="shared" si="123"/>
        <v>0.15666666666666676</v>
      </c>
      <c r="Q187" s="317">
        <f t="shared" si="123"/>
        <v>0.15333333333333343</v>
      </c>
      <c r="R187" s="317">
        <f t="shared" si="123"/>
        <v>0.15000000000000011</v>
      </c>
      <c r="S187" s="317">
        <f t="shared" si="123"/>
        <v>0.14666666666666678</v>
      </c>
      <c r="T187" s="317">
        <f t="shared" si="124"/>
        <v>0.14333333333333345</v>
      </c>
      <c r="U187" s="317">
        <f t="shared" si="124"/>
        <v>0.14000000000000012</v>
      </c>
      <c r="V187" s="317">
        <f t="shared" si="124"/>
        <v>0.1366666666666668</v>
      </c>
      <c r="W187" s="317">
        <f t="shared" si="124"/>
        <v>0.13333333333333347</v>
      </c>
      <c r="X187" s="317">
        <f t="shared" si="124"/>
        <v>0.13000000000000014</v>
      </c>
      <c r="Y187" s="317">
        <f t="shared" si="124"/>
        <v>0.12666666666666682</v>
      </c>
      <c r="Z187" s="317">
        <f t="shared" si="124"/>
        <v>0.12333333333333349</v>
      </c>
      <c r="AA187" s="317">
        <f t="shared" si="124"/>
        <v>0.12000000000000016</v>
      </c>
      <c r="AB187" s="317">
        <f t="shared" si="124"/>
        <v>0.11666666666666684</v>
      </c>
      <c r="AC187" s="317">
        <f t="shared" si="124"/>
        <v>0.11333333333333351</v>
      </c>
      <c r="AD187" s="317">
        <f t="shared" si="124"/>
        <v>0.11000000000000018</v>
      </c>
      <c r="AE187" s="317">
        <f t="shared" si="124"/>
        <v>0.10666666666666685</v>
      </c>
      <c r="AF187" s="317">
        <f t="shared" si="124"/>
        <v>0.10333333333333353</v>
      </c>
      <c r="AG187" s="296">
        <v>0.1</v>
      </c>
      <c r="AI187" s="316"/>
      <c r="AJ187" s="211" t="s">
        <v>1363</v>
      </c>
    </row>
    <row r="188" spans="1:36" s="1" customFormat="1" outlineLevel="1" x14ac:dyDescent="0.2">
      <c r="A188" t="s">
        <v>1378</v>
      </c>
      <c r="B188" s="302" t="s">
        <v>462</v>
      </c>
      <c r="C188" s="296">
        <v>0.95</v>
      </c>
      <c r="D188" s="317">
        <f t="shared" si="123"/>
        <v>0.94866666666666666</v>
      </c>
      <c r="E188" s="317">
        <f t="shared" si="123"/>
        <v>0.94733333333333336</v>
      </c>
      <c r="F188" s="317">
        <f t="shared" si="123"/>
        <v>0.94600000000000006</v>
      </c>
      <c r="G188" s="317">
        <f t="shared" si="123"/>
        <v>0.94466666666666677</v>
      </c>
      <c r="H188" s="317">
        <f t="shared" si="123"/>
        <v>0.94333333333333347</v>
      </c>
      <c r="I188" s="317">
        <f t="shared" si="123"/>
        <v>0.94200000000000017</v>
      </c>
      <c r="J188" s="317">
        <f t="shared" si="123"/>
        <v>0.94066666666666687</v>
      </c>
      <c r="K188" s="317">
        <f t="shared" si="123"/>
        <v>0.93933333333333358</v>
      </c>
      <c r="L188" s="317">
        <f t="shared" si="123"/>
        <v>0.93800000000000028</v>
      </c>
      <c r="M188" s="317">
        <f t="shared" si="123"/>
        <v>0.93666666666666698</v>
      </c>
      <c r="N188" s="317">
        <f t="shared" si="123"/>
        <v>0.93533333333333368</v>
      </c>
      <c r="O188" s="317">
        <f t="shared" si="123"/>
        <v>0.93400000000000039</v>
      </c>
      <c r="P188" s="317">
        <f t="shared" si="123"/>
        <v>0.93266666666666709</v>
      </c>
      <c r="Q188" s="317">
        <f t="shared" si="123"/>
        <v>0.93133333333333379</v>
      </c>
      <c r="R188" s="317">
        <f t="shared" si="123"/>
        <v>0.93000000000000049</v>
      </c>
      <c r="S188" s="317">
        <f t="shared" si="123"/>
        <v>0.9286666666666672</v>
      </c>
      <c r="T188" s="317">
        <f t="shared" si="124"/>
        <v>0.9273333333333339</v>
      </c>
      <c r="U188" s="317">
        <f t="shared" si="124"/>
        <v>0.9260000000000006</v>
      </c>
      <c r="V188" s="317">
        <f t="shared" si="124"/>
        <v>0.9246666666666673</v>
      </c>
      <c r="W188" s="317">
        <f t="shared" si="124"/>
        <v>0.92333333333333401</v>
      </c>
      <c r="X188" s="317">
        <f t="shared" si="124"/>
        <v>0.92200000000000071</v>
      </c>
      <c r="Y188" s="317">
        <f t="shared" si="124"/>
        <v>0.92066666666666741</v>
      </c>
      <c r="Z188" s="317">
        <f t="shared" si="124"/>
        <v>0.91933333333333411</v>
      </c>
      <c r="AA188" s="317">
        <f t="shared" si="124"/>
        <v>0.91800000000000082</v>
      </c>
      <c r="AB188" s="317">
        <f t="shared" si="124"/>
        <v>0.91666666666666752</v>
      </c>
      <c r="AC188" s="317">
        <f t="shared" si="124"/>
        <v>0.91533333333333422</v>
      </c>
      <c r="AD188" s="317">
        <f t="shared" si="124"/>
        <v>0.91400000000000092</v>
      </c>
      <c r="AE188" s="317">
        <f t="shared" si="124"/>
        <v>0.91266666666666763</v>
      </c>
      <c r="AF188" s="317">
        <f t="shared" si="124"/>
        <v>0.91133333333333433</v>
      </c>
      <c r="AG188" s="296">
        <v>0.91</v>
      </c>
      <c r="AI188" s="316"/>
      <c r="AJ188" s="211" t="s">
        <v>1363</v>
      </c>
    </row>
    <row r="189" spans="1:36" s="1" customFormat="1" outlineLevel="1" x14ac:dyDescent="0.2">
      <c r="A189" t="s">
        <v>1379</v>
      </c>
      <c r="B189" s="302" t="s">
        <v>462</v>
      </c>
      <c r="C189" s="296">
        <v>0.05</v>
      </c>
      <c r="D189" s="317">
        <f t="shared" si="123"/>
        <v>5.1333333333333335E-2</v>
      </c>
      <c r="E189" s="317">
        <f t="shared" si="123"/>
        <v>5.2666666666666667E-2</v>
      </c>
      <c r="F189" s="317">
        <f t="shared" si="123"/>
        <v>5.3999999999999999E-2</v>
      </c>
      <c r="G189" s="317">
        <f t="shared" si="123"/>
        <v>5.5333333333333332E-2</v>
      </c>
      <c r="H189" s="317">
        <f t="shared" si="123"/>
        <v>5.6666666666666664E-2</v>
      </c>
      <c r="I189" s="317">
        <f t="shared" si="123"/>
        <v>5.7999999999999996E-2</v>
      </c>
      <c r="J189" s="317">
        <f t="shared" si="123"/>
        <v>5.9333333333333328E-2</v>
      </c>
      <c r="K189" s="317">
        <f t="shared" si="123"/>
        <v>6.066666666666666E-2</v>
      </c>
      <c r="L189" s="317">
        <f t="shared" si="123"/>
        <v>6.1999999999999993E-2</v>
      </c>
      <c r="M189" s="317">
        <f t="shared" si="123"/>
        <v>6.3333333333333325E-2</v>
      </c>
      <c r="N189" s="317">
        <f t="shared" si="123"/>
        <v>6.4666666666666664E-2</v>
      </c>
      <c r="O189" s="317">
        <f t="shared" si="123"/>
        <v>6.6000000000000003E-2</v>
      </c>
      <c r="P189" s="317">
        <f t="shared" si="123"/>
        <v>6.7333333333333342E-2</v>
      </c>
      <c r="Q189" s="317">
        <f t="shared" si="123"/>
        <v>6.8666666666666681E-2</v>
      </c>
      <c r="R189" s="317">
        <f t="shared" si="123"/>
        <v>7.0000000000000021E-2</v>
      </c>
      <c r="S189" s="317">
        <f t="shared" si="123"/>
        <v>7.133333333333336E-2</v>
      </c>
      <c r="T189" s="317">
        <f t="shared" si="124"/>
        <v>7.2666666666666699E-2</v>
      </c>
      <c r="U189" s="317">
        <f t="shared" si="124"/>
        <v>7.4000000000000038E-2</v>
      </c>
      <c r="V189" s="317">
        <f t="shared" si="124"/>
        <v>7.5333333333333377E-2</v>
      </c>
      <c r="W189" s="317">
        <f t="shared" si="124"/>
        <v>7.6666666666666716E-2</v>
      </c>
      <c r="X189" s="317">
        <f t="shared" si="124"/>
        <v>7.8000000000000055E-2</v>
      </c>
      <c r="Y189" s="317">
        <f t="shared" si="124"/>
        <v>7.9333333333333395E-2</v>
      </c>
      <c r="Z189" s="317">
        <f t="shared" si="124"/>
        <v>8.0666666666666734E-2</v>
      </c>
      <c r="AA189" s="317">
        <f t="shared" si="124"/>
        <v>8.2000000000000073E-2</v>
      </c>
      <c r="AB189" s="317">
        <f t="shared" si="124"/>
        <v>8.3333333333333412E-2</v>
      </c>
      <c r="AC189" s="317">
        <f t="shared" si="124"/>
        <v>8.4666666666666751E-2</v>
      </c>
      <c r="AD189" s="317">
        <f t="shared" si="124"/>
        <v>8.600000000000009E-2</v>
      </c>
      <c r="AE189" s="317">
        <f t="shared" si="124"/>
        <v>8.7333333333333429E-2</v>
      </c>
      <c r="AF189" s="317">
        <f t="shared" si="124"/>
        <v>8.8666666666666769E-2</v>
      </c>
      <c r="AG189" s="296">
        <v>0.09</v>
      </c>
      <c r="AI189" s="316"/>
      <c r="AJ189" s="211" t="s">
        <v>1363</v>
      </c>
    </row>
    <row r="190" spans="1:36" s="1" customFormat="1" outlineLevel="1" x14ac:dyDescent="0.2">
      <c r="A190" t="s">
        <v>1380</v>
      </c>
      <c r="B190" s="302"/>
      <c r="C190" s="296">
        <v>0.27</v>
      </c>
      <c r="D190" s="317">
        <f t="shared" si="123"/>
        <v>0.26600000000000001</v>
      </c>
      <c r="E190" s="317">
        <f t="shared" si="123"/>
        <v>0.26200000000000001</v>
      </c>
      <c r="F190" s="317">
        <f t="shared" si="123"/>
        <v>0.25800000000000001</v>
      </c>
      <c r="G190" s="317">
        <f t="shared" si="123"/>
        <v>0.254</v>
      </c>
      <c r="H190" s="317">
        <f t="shared" si="123"/>
        <v>0.25</v>
      </c>
      <c r="I190" s="317">
        <f t="shared" si="123"/>
        <v>0.246</v>
      </c>
      <c r="J190" s="317">
        <f t="shared" si="123"/>
        <v>0.24199999999999999</v>
      </c>
      <c r="K190" s="317">
        <f t="shared" si="123"/>
        <v>0.23799999999999999</v>
      </c>
      <c r="L190" s="317">
        <f t="shared" si="123"/>
        <v>0.23399999999999999</v>
      </c>
      <c r="M190" s="317">
        <f t="shared" si="123"/>
        <v>0.22999999999999998</v>
      </c>
      <c r="N190" s="317">
        <f t="shared" si="123"/>
        <v>0.22599999999999998</v>
      </c>
      <c r="O190" s="317">
        <f t="shared" si="123"/>
        <v>0.22199999999999998</v>
      </c>
      <c r="P190" s="317">
        <f t="shared" si="123"/>
        <v>0.21799999999999997</v>
      </c>
      <c r="Q190" s="317">
        <f t="shared" si="123"/>
        <v>0.21399999999999997</v>
      </c>
      <c r="R190" s="317">
        <f t="shared" si="123"/>
        <v>0.20999999999999996</v>
      </c>
      <c r="S190" s="317">
        <f t="shared" si="123"/>
        <v>0.20599999999999996</v>
      </c>
      <c r="T190" s="317">
        <f t="shared" si="124"/>
        <v>0.20199999999999996</v>
      </c>
      <c r="U190" s="317">
        <f t="shared" si="124"/>
        <v>0.19799999999999995</v>
      </c>
      <c r="V190" s="317">
        <f t="shared" si="124"/>
        <v>0.19399999999999995</v>
      </c>
      <c r="W190" s="317">
        <f t="shared" si="124"/>
        <v>0.18999999999999995</v>
      </c>
      <c r="X190" s="317">
        <f t="shared" si="124"/>
        <v>0.18599999999999994</v>
      </c>
      <c r="Y190" s="317">
        <f t="shared" si="124"/>
        <v>0.18199999999999994</v>
      </c>
      <c r="Z190" s="317">
        <f t="shared" si="124"/>
        <v>0.17799999999999994</v>
      </c>
      <c r="AA190" s="317">
        <f t="shared" si="124"/>
        <v>0.17399999999999993</v>
      </c>
      <c r="AB190" s="317">
        <f t="shared" si="124"/>
        <v>0.16999999999999993</v>
      </c>
      <c r="AC190" s="317">
        <f t="shared" si="124"/>
        <v>0.16599999999999993</v>
      </c>
      <c r="AD190" s="317">
        <f t="shared" si="124"/>
        <v>0.16199999999999992</v>
      </c>
      <c r="AE190" s="317">
        <f t="shared" si="124"/>
        <v>0.15799999999999992</v>
      </c>
      <c r="AF190" s="317">
        <f t="shared" si="124"/>
        <v>0.15399999999999991</v>
      </c>
      <c r="AG190" s="296">
        <v>0.15</v>
      </c>
      <c r="AI190" s="316"/>
      <c r="AJ190" s="211"/>
    </row>
    <row r="191" spans="1:36" s="67" customFormat="1" outlineLevel="1" x14ac:dyDescent="0.2">
      <c r="A191" s="345" t="s">
        <v>1381</v>
      </c>
      <c r="B191" s="308" t="s">
        <v>462</v>
      </c>
      <c r="C191" s="337">
        <v>0.16</v>
      </c>
      <c r="D191" s="338">
        <f t="shared" si="123"/>
        <v>0.16533333333333333</v>
      </c>
      <c r="E191" s="338">
        <f t="shared" si="123"/>
        <v>0.17066666666666666</v>
      </c>
      <c r="F191" s="338">
        <f t="shared" si="123"/>
        <v>0.17599999999999999</v>
      </c>
      <c r="G191" s="338">
        <f t="shared" si="123"/>
        <v>0.18133333333333332</v>
      </c>
      <c r="H191" s="338">
        <f t="shared" si="123"/>
        <v>0.18666666666666665</v>
      </c>
      <c r="I191" s="338">
        <f t="shared" si="123"/>
        <v>0.19199999999999998</v>
      </c>
      <c r="J191" s="338">
        <f t="shared" si="123"/>
        <v>0.19733333333333331</v>
      </c>
      <c r="K191" s="338">
        <f t="shared" si="123"/>
        <v>0.20266666666666663</v>
      </c>
      <c r="L191" s="338">
        <f t="shared" si="123"/>
        <v>0.20799999999999996</v>
      </c>
      <c r="M191" s="338">
        <f t="shared" si="123"/>
        <v>0.21333333333333329</v>
      </c>
      <c r="N191" s="338">
        <f t="shared" si="123"/>
        <v>0.21866666666666662</v>
      </c>
      <c r="O191" s="338">
        <f t="shared" si="123"/>
        <v>0.22399999999999995</v>
      </c>
      <c r="P191" s="338">
        <f t="shared" si="123"/>
        <v>0.22933333333333328</v>
      </c>
      <c r="Q191" s="338">
        <f t="shared" si="123"/>
        <v>0.23466666666666661</v>
      </c>
      <c r="R191" s="338">
        <f t="shared" si="123"/>
        <v>0.23999999999999994</v>
      </c>
      <c r="S191" s="338">
        <f t="shared" si="123"/>
        <v>0.24533333333333326</v>
      </c>
      <c r="T191" s="338">
        <f t="shared" si="124"/>
        <v>0.25066666666666659</v>
      </c>
      <c r="U191" s="338">
        <f t="shared" si="124"/>
        <v>0.25599999999999995</v>
      </c>
      <c r="V191" s="338">
        <f t="shared" si="124"/>
        <v>0.26133333333333331</v>
      </c>
      <c r="W191" s="338">
        <f t="shared" si="124"/>
        <v>0.26666666666666666</v>
      </c>
      <c r="X191" s="338">
        <f t="shared" si="124"/>
        <v>0.27200000000000002</v>
      </c>
      <c r="Y191" s="338">
        <f t="shared" si="124"/>
        <v>0.27733333333333338</v>
      </c>
      <c r="Z191" s="338">
        <f t="shared" si="124"/>
        <v>0.28266666666666673</v>
      </c>
      <c r="AA191" s="338">
        <f t="shared" si="124"/>
        <v>0.28800000000000009</v>
      </c>
      <c r="AB191" s="338">
        <f t="shared" si="124"/>
        <v>0.29333333333333345</v>
      </c>
      <c r="AC191" s="338">
        <f t="shared" si="124"/>
        <v>0.2986666666666668</v>
      </c>
      <c r="AD191" s="338">
        <f t="shared" si="124"/>
        <v>0.30400000000000016</v>
      </c>
      <c r="AE191" s="338">
        <f t="shared" si="124"/>
        <v>0.30933333333333352</v>
      </c>
      <c r="AF191" s="338">
        <f t="shared" si="124"/>
        <v>0.31466666666666687</v>
      </c>
      <c r="AG191" s="337">
        <v>0.32</v>
      </c>
      <c r="AI191" s="337"/>
      <c r="AJ191" s="339" t="s">
        <v>1363</v>
      </c>
    </row>
    <row r="192" spans="1:36" outlineLevel="1" x14ac:dyDescent="0.2">
      <c r="A192" s="346" t="s">
        <v>1382</v>
      </c>
      <c r="B192" s="302" t="s">
        <v>462</v>
      </c>
      <c r="C192" s="296">
        <v>0.37</v>
      </c>
      <c r="D192" s="317">
        <f t="shared" si="123"/>
        <v>0.37166666666666665</v>
      </c>
      <c r="E192" s="317">
        <f t="shared" si="123"/>
        <v>0.37333333333333329</v>
      </c>
      <c r="F192" s="317">
        <f t="shared" si="123"/>
        <v>0.37499999999999994</v>
      </c>
      <c r="G192" s="317">
        <f t="shared" si="123"/>
        <v>0.37666666666666659</v>
      </c>
      <c r="H192" s="317">
        <f t="shared" si="123"/>
        <v>0.37833333333333324</v>
      </c>
      <c r="I192" s="317">
        <f t="shared" si="123"/>
        <v>0.37999999999999989</v>
      </c>
      <c r="J192" s="317">
        <f t="shared" si="123"/>
        <v>0.38166666666666654</v>
      </c>
      <c r="K192" s="317">
        <f t="shared" si="123"/>
        <v>0.38333333333333319</v>
      </c>
      <c r="L192" s="317">
        <f t="shared" si="123"/>
        <v>0.38499999999999984</v>
      </c>
      <c r="M192" s="317">
        <f t="shared" si="123"/>
        <v>0.38666666666666649</v>
      </c>
      <c r="N192" s="317">
        <f t="shared" si="123"/>
        <v>0.38833333333333314</v>
      </c>
      <c r="O192" s="317">
        <f t="shared" si="123"/>
        <v>0.38999999999999979</v>
      </c>
      <c r="P192" s="317">
        <f t="shared" si="123"/>
        <v>0.39166666666666644</v>
      </c>
      <c r="Q192" s="317">
        <f t="shared" si="123"/>
        <v>0.39333333333333309</v>
      </c>
      <c r="R192" s="317">
        <f t="shared" si="123"/>
        <v>0.39499999999999974</v>
      </c>
      <c r="S192" s="317">
        <f t="shared" si="123"/>
        <v>0.39666666666666639</v>
      </c>
      <c r="T192" s="317">
        <f t="shared" si="124"/>
        <v>0.39833333333333304</v>
      </c>
      <c r="U192" s="317">
        <f t="shared" si="124"/>
        <v>0.39999999999999969</v>
      </c>
      <c r="V192" s="317">
        <f t="shared" si="124"/>
        <v>0.40166666666666634</v>
      </c>
      <c r="W192" s="317">
        <f t="shared" si="124"/>
        <v>0.40333333333333299</v>
      </c>
      <c r="X192" s="317">
        <f t="shared" si="124"/>
        <v>0.40499999999999964</v>
      </c>
      <c r="Y192" s="317">
        <f t="shared" si="124"/>
        <v>0.40666666666666629</v>
      </c>
      <c r="Z192" s="317">
        <f t="shared" si="124"/>
        <v>0.40833333333333294</v>
      </c>
      <c r="AA192" s="317">
        <f t="shared" si="124"/>
        <v>0.40999999999999959</v>
      </c>
      <c r="AB192" s="317">
        <f t="shared" si="124"/>
        <v>0.41166666666666624</v>
      </c>
      <c r="AC192" s="317">
        <f t="shared" si="124"/>
        <v>0.41333333333333289</v>
      </c>
      <c r="AD192" s="317">
        <f t="shared" si="124"/>
        <v>0.41499999999999954</v>
      </c>
      <c r="AE192" s="317">
        <f t="shared" si="124"/>
        <v>0.41666666666666619</v>
      </c>
      <c r="AF192" s="317">
        <f t="shared" si="124"/>
        <v>0.41833333333333284</v>
      </c>
      <c r="AG192" s="296">
        <v>0.42</v>
      </c>
      <c r="AI192" s="296"/>
      <c r="AJ192" s="211" t="s">
        <v>1363</v>
      </c>
    </row>
    <row r="193" spans="1:36" outlineLevel="1" x14ac:dyDescent="0.2">
      <c r="A193" s="346" t="s">
        <v>1383</v>
      </c>
      <c r="B193" s="302" t="s">
        <v>462</v>
      </c>
      <c r="C193" s="296">
        <v>0.08</v>
      </c>
      <c r="D193" s="317">
        <f t="shared" si="123"/>
        <v>7.7666666666666662E-2</v>
      </c>
      <c r="E193" s="317">
        <f t="shared" si="123"/>
        <v>7.5333333333333322E-2</v>
      </c>
      <c r="F193" s="317">
        <f t="shared" si="123"/>
        <v>7.2999999999999982E-2</v>
      </c>
      <c r="G193" s="317">
        <f t="shared" si="123"/>
        <v>7.0666666666666642E-2</v>
      </c>
      <c r="H193" s="317">
        <f t="shared" si="123"/>
        <v>6.8333333333333302E-2</v>
      </c>
      <c r="I193" s="317">
        <f t="shared" si="123"/>
        <v>6.5999999999999961E-2</v>
      </c>
      <c r="J193" s="317">
        <f t="shared" si="123"/>
        <v>6.3666666666666621E-2</v>
      </c>
      <c r="K193" s="317">
        <f t="shared" si="123"/>
        <v>6.1333333333333288E-2</v>
      </c>
      <c r="L193" s="317">
        <f t="shared" si="123"/>
        <v>5.8999999999999955E-2</v>
      </c>
      <c r="M193" s="317">
        <f t="shared" si="123"/>
        <v>5.6666666666666622E-2</v>
      </c>
      <c r="N193" s="317">
        <f t="shared" si="123"/>
        <v>5.4333333333333289E-2</v>
      </c>
      <c r="O193" s="317">
        <f t="shared" si="123"/>
        <v>5.1999999999999956E-2</v>
      </c>
      <c r="P193" s="317">
        <f t="shared" si="123"/>
        <v>4.9666666666666623E-2</v>
      </c>
      <c r="Q193" s="317">
        <f t="shared" si="123"/>
        <v>4.733333333333329E-2</v>
      </c>
      <c r="R193" s="317">
        <f t="shared" si="123"/>
        <v>4.4999999999999957E-2</v>
      </c>
      <c r="S193" s="317">
        <f t="shared" si="123"/>
        <v>4.2666666666666624E-2</v>
      </c>
      <c r="T193" s="317">
        <f t="shared" si="124"/>
        <v>4.0333333333333291E-2</v>
      </c>
      <c r="U193" s="317">
        <f t="shared" si="124"/>
        <v>3.7999999999999957E-2</v>
      </c>
      <c r="V193" s="317">
        <f t="shared" si="124"/>
        <v>3.5666666666666624E-2</v>
      </c>
      <c r="W193" s="317">
        <f t="shared" si="124"/>
        <v>3.3333333333333291E-2</v>
      </c>
      <c r="X193" s="317">
        <f t="shared" si="124"/>
        <v>3.0999999999999958E-2</v>
      </c>
      <c r="Y193" s="317">
        <f t="shared" si="124"/>
        <v>2.8666666666666625E-2</v>
      </c>
      <c r="Z193" s="317">
        <f t="shared" si="124"/>
        <v>2.6333333333333292E-2</v>
      </c>
      <c r="AA193" s="317">
        <f t="shared" si="124"/>
        <v>2.3999999999999959E-2</v>
      </c>
      <c r="AB193" s="317">
        <f t="shared" si="124"/>
        <v>2.1666666666666626E-2</v>
      </c>
      <c r="AC193" s="317">
        <f t="shared" si="124"/>
        <v>1.9333333333333293E-2</v>
      </c>
      <c r="AD193" s="317">
        <f t="shared" si="124"/>
        <v>1.699999999999996E-2</v>
      </c>
      <c r="AE193" s="317">
        <f t="shared" si="124"/>
        <v>1.4666666666666626E-2</v>
      </c>
      <c r="AF193" s="317">
        <f t="shared" si="124"/>
        <v>1.2333333333333293E-2</v>
      </c>
      <c r="AG193" s="296">
        <v>0.01</v>
      </c>
      <c r="AI193" s="296"/>
      <c r="AJ193" s="211" t="s">
        <v>1363</v>
      </c>
    </row>
    <row r="194" spans="1:36" outlineLevel="1" x14ac:dyDescent="0.2">
      <c r="A194" s="346" t="s">
        <v>1384</v>
      </c>
      <c r="B194" s="302" t="s">
        <v>462</v>
      </c>
      <c r="C194" s="296">
        <v>0.27</v>
      </c>
      <c r="D194" s="317">
        <f t="shared" si="123"/>
        <v>0.26633333333333337</v>
      </c>
      <c r="E194" s="317">
        <f t="shared" si="123"/>
        <v>0.26266666666666671</v>
      </c>
      <c r="F194" s="317">
        <f t="shared" si="123"/>
        <v>0.25900000000000006</v>
      </c>
      <c r="G194" s="317">
        <f t="shared" si="123"/>
        <v>0.25533333333333341</v>
      </c>
      <c r="H194" s="317">
        <f t="shared" si="123"/>
        <v>0.25166666666666676</v>
      </c>
      <c r="I194" s="317">
        <f t="shared" si="123"/>
        <v>0.24800000000000008</v>
      </c>
      <c r="J194" s="317">
        <f t="shared" si="123"/>
        <v>0.2443333333333334</v>
      </c>
      <c r="K194" s="317">
        <f t="shared" si="123"/>
        <v>0.24066666666666672</v>
      </c>
      <c r="L194" s="317">
        <f t="shared" si="123"/>
        <v>0.23700000000000004</v>
      </c>
      <c r="M194" s="317">
        <f t="shared" si="123"/>
        <v>0.23333333333333336</v>
      </c>
      <c r="N194" s="317">
        <f t="shared" si="123"/>
        <v>0.22966666666666669</v>
      </c>
      <c r="O194" s="317">
        <f t="shared" si="123"/>
        <v>0.22600000000000001</v>
      </c>
      <c r="P194" s="317">
        <f t="shared" si="123"/>
        <v>0.22233333333333333</v>
      </c>
      <c r="Q194" s="317">
        <f t="shared" si="123"/>
        <v>0.21866666666666665</v>
      </c>
      <c r="R194" s="317">
        <f t="shared" si="123"/>
        <v>0.21499999999999997</v>
      </c>
      <c r="S194" s="317">
        <f t="shared" si="123"/>
        <v>0.21133333333333329</v>
      </c>
      <c r="T194" s="317">
        <f t="shared" si="124"/>
        <v>0.20766666666666661</v>
      </c>
      <c r="U194" s="317">
        <f t="shared" si="124"/>
        <v>0.20399999999999993</v>
      </c>
      <c r="V194" s="317">
        <f t="shared" si="124"/>
        <v>0.20033333333333325</v>
      </c>
      <c r="W194" s="317">
        <f t="shared" si="124"/>
        <v>0.19666666666666657</v>
      </c>
      <c r="X194" s="317">
        <f t="shared" si="124"/>
        <v>0.19299999999999989</v>
      </c>
      <c r="Y194" s="317">
        <f t="shared" si="124"/>
        <v>0.18933333333333321</v>
      </c>
      <c r="Z194" s="317">
        <f t="shared" si="124"/>
        <v>0.18566666666666654</v>
      </c>
      <c r="AA194" s="317">
        <f t="shared" si="124"/>
        <v>0.18199999999999986</v>
      </c>
      <c r="AB194" s="317">
        <f t="shared" si="124"/>
        <v>0.17833333333333318</v>
      </c>
      <c r="AC194" s="317">
        <f t="shared" si="124"/>
        <v>0.1746666666666665</v>
      </c>
      <c r="AD194" s="317">
        <f t="shared" si="124"/>
        <v>0.17099999999999982</v>
      </c>
      <c r="AE194" s="317">
        <f t="shared" si="124"/>
        <v>0.16733333333333314</v>
      </c>
      <c r="AF194" s="317">
        <f t="shared" si="124"/>
        <v>0.16366666666666646</v>
      </c>
      <c r="AG194" s="296">
        <v>0.16</v>
      </c>
      <c r="AI194" s="296"/>
      <c r="AJ194" s="211" t="s">
        <v>1363</v>
      </c>
    </row>
    <row r="195" spans="1:36" outlineLevel="1" x14ac:dyDescent="0.2">
      <c r="A195" s="346" t="s">
        <v>1385</v>
      </c>
      <c r="B195" s="302" t="s">
        <v>462</v>
      </c>
      <c r="C195" s="296">
        <v>7.0000000000000007E-2</v>
      </c>
      <c r="D195" s="317">
        <f t="shared" si="123"/>
        <v>6.9666666666666668E-2</v>
      </c>
      <c r="E195" s="317">
        <f t="shared" si="123"/>
        <v>6.933333333333333E-2</v>
      </c>
      <c r="F195" s="317">
        <f t="shared" si="123"/>
        <v>6.8999999999999992E-2</v>
      </c>
      <c r="G195" s="317">
        <f t="shared" si="123"/>
        <v>6.8666666666666654E-2</v>
      </c>
      <c r="H195" s="317">
        <f t="shared" si="123"/>
        <v>6.8333333333333315E-2</v>
      </c>
      <c r="I195" s="317">
        <f t="shared" si="123"/>
        <v>6.7999999999999977E-2</v>
      </c>
      <c r="J195" s="317">
        <f t="shared" si="123"/>
        <v>6.7666666666666639E-2</v>
      </c>
      <c r="K195" s="317">
        <f t="shared" si="123"/>
        <v>6.7333333333333301E-2</v>
      </c>
      <c r="L195" s="317">
        <f t="shared" si="123"/>
        <v>6.6999999999999962E-2</v>
      </c>
      <c r="M195" s="317">
        <f t="shared" si="123"/>
        <v>6.6666666666666624E-2</v>
      </c>
      <c r="N195" s="317">
        <f t="shared" si="123"/>
        <v>6.6333333333333286E-2</v>
      </c>
      <c r="O195" s="317">
        <f t="shared" si="123"/>
        <v>6.5999999999999948E-2</v>
      </c>
      <c r="P195" s="317">
        <f t="shared" si="123"/>
        <v>6.5666666666666609E-2</v>
      </c>
      <c r="Q195" s="317">
        <f t="shared" si="123"/>
        <v>6.5333333333333271E-2</v>
      </c>
      <c r="R195" s="317">
        <f t="shared" si="123"/>
        <v>6.4999999999999933E-2</v>
      </c>
      <c r="S195" s="317">
        <f t="shared" ref="S195:AF195" si="125">-($C195-$AG195)/30+R195</f>
        <v>6.4666666666666595E-2</v>
      </c>
      <c r="T195" s="317">
        <f t="shared" si="125"/>
        <v>6.4333333333333256E-2</v>
      </c>
      <c r="U195" s="317">
        <f t="shared" si="125"/>
        <v>6.3999999999999918E-2</v>
      </c>
      <c r="V195" s="317">
        <f t="shared" si="125"/>
        <v>6.366666666666658E-2</v>
      </c>
      <c r="W195" s="317">
        <f t="shared" si="125"/>
        <v>6.3333333333333242E-2</v>
      </c>
      <c r="X195" s="317">
        <f t="shared" si="125"/>
        <v>6.2999999999999903E-2</v>
      </c>
      <c r="Y195" s="317">
        <f t="shared" si="125"/>
        <v>6.2666666666666565E-2</v>
      </c>
      <c r="Z195" s="317">
        <f t="shared" si="125"/>
        <v>6.2333333333333234E-2</v>
      </c>
      <c r="AA195" s="317">
        <f t="shared" si="125"/>
        <v>6.1999999999999902E-2</v>
      </c>
      <c r="AB195" s="317">
        <f t="shared" si="125"/>
        <v>6.1666666666666571E-2</v>
      </c>
      <c r="AC195" s="317">
        <f t="shared" si="125"/>
        <v>6.133333333333324E-2</v>
      </c>
      <c r="AD195" s="317">
        <f t="shared" si="125"/>
        <v>6.0999999999999908E-2</v>
      </c>
      <c r="AE195" s="317">
        <f t="shared" si="125"/>
        <v>6.0666666666666577E-2</v>
      </c>
      <c r="AF195" s="317">
        <f t="shared" si="125"/>
        <v>6.0333333333333246E-2</v>
      </c>
      <c r="AG195" s="296">
        <v>0.06</v>
      </c>
      <c r="AI195" s="296"/>
      <c r="AJ195" s="211" t="s">
        <v>1363</v>
      </c>
    </row>
    <row r="196" spans="1:36" s="68" customFormat="1" outlineLevel="1" x14ac:dyDescent="0.2">
      <c r="A196" s="347" t="s">
        <v>1386</v>
      </c>
      <c r="B196" s="312" t="s">
        <v>462</v>
      </c>
      <c r="C196" s="314">
        <v>0.05</v>
      </c>
      <c r="D196" s="340">
        <f t="shared" ref="D196:AF196" si="126">-($C196-$AG196)/30+C196</f>
        <v>4.9333333333333333E-2</v>
      </c>
      <c r="E196" s="340">
        <f t="shared" si="126"/>
        <v>4.8666666666666664E-2</v>
      </c>
      <c r="F196" s="340">
        <f t="shared" si="126"/>
        <v>4.7999999999999994E-2</v>
      </c>
      <c r="G196" s="340">
        <f t="shared" si="126"/>
        <v>4.7333333333333324E-2</v>
      </c>
      <c r="H196" s="340">
        <f t="shared" si="126"/>
        <v>4.6666666666666655E-2</v>
      </c>
      <c r="I196" s="340">
        <f t="shared" si="126"/>
        <v>4.5999999999999985E-2</v>
      </c>
      <c r="J196" s="340">
        <f t="shared" si="126"/>
        <v>4.5333333333333316E-2</v>
      </c>
      <c r="K196" s="340">
        <f t="shared" si="126"/>
        <v>4.4666666666666646E-2</v>
      </c>
      <c r="L196" s="340">
        <f t="shared" si="126"/>
        <v>4.3999999999999977E-2</v>
      </c>
      <c r="M196" s="340">
        <f t="shared" si="126"/>
        <v>4.3333333333333307E-2</v>
      </c>
      <c r="N196" s="340">
        <f t="shared" si="126"/>
        <v>4.2666666666666637E-2</v>
      </c>
      <c r="O196" s="340">
        <f t="shared" si="126"/>
        <v>4.1999999999999968E-2</v>
      </c>
      <c r="P196" s="340">
        <f t="shared" si="126"/>
        <v>4.1333333333333298E-2</v>
      </c>
      <c r="Q196" s="340">
        <f t="shared" si="126"/>
        <v>4.0666666666666629E-2</v>
      </c>
      <c r="R196" s="340">
        <f t="shared" si="126"/>
        <v>3.9999999999999959E-2</v>
      </c>
      <c r="S196" s="340">
        <f t="shared" si="126"/>
        <v>3.933333333333329E-2</v>
      </c>
      <c r="T196" s="340">
        <f t="shared" si="126"/>
        <v>3.866666666666662E-2</v>
      </c>
      <c r="U196" s="340">
        <f t="shared" si="126"/>
        <v>3.799999999999995E-2</v>
      </c>
      <c r="V196" s="340">
        <f t="shared" si="126"/>
        <v>3.7333333333333281E-2</v>
      </c>
      <c r="W196" s="340">
        <f t="shared" si="126"/>
        <v>3.6666666666666611E-2</v>
      </c>
      <c r="X196" s="340">
        <f t="shared" si="126"/>
        <v>3.5999999999999942E-2</v>
      </c>
      <c r="Y196" s="340">
        <f t="shared" si="126"/>
        <v>3.5333333333333272E-2</v>
      </c>
      <c r="Z196" s="340">
        <f t="shared" si="126"/>
        <v>3.4666666666666603E-2</v>
      </c>
      <c r="AA196" s="340">
        <f t="shared" si="126"/>
        <v>3.3999999999999933E-2</v>
      </c>
      <c r="AB196" s="340">
        <f t="shared" si="126"/>
        <v>3.3333333333333263E-2</v>
      </c>
      <c r="AC196" s="340">
        <f t="shared" si="126"/>
        <v>3.2666666666666594E-2</v>
      </c>
      <c r="AD196" s="340">
        <f t="shared" si="126"/>
        <v>3.1999999999999924E-2</v>
      </c>
      <c r="AE196" s="340">
        <f t="shared" si="126"/>
        <v>3.1333333333333255E-2</v>
      </c>
      <c r="AF196" s="340">
        <f t="shared" si="126"/>
        <v>3.0666666666666589E-2</v>
      </c>
      <c r="AG196" s="314">
        <v>0.03</v>
      </c>
      <c r="AI196" s="314"/>
      <c r="AJ196" s="341" t="s">
        <v>1363</v>
      </c>
    </row>
    <row r="197" spans="1:36" s="58" customFormat="1" outlineLevel="1" x14ac:dyDescent="0.2">
      <c r="A197" s="58" t="s">
        <v>1361</v>
      </c>
      <c r="B197" s="303"/>
      <c r="C197" s="304">
        <f t="shared" ref="C197:AG197" si="127">C32</f>
        <v>6.2639109729489517</v>
      </c>
      <c r="D197" s="304">
        <f t="shared" si="127"/>
        <v>6.4738866622599067</v>
      </c>
      <c r="E197" s="304">
        <f t="shared" si="127"/>
        <v>6.673410569593794</v>
      </c>
      <c r="F197" s="304">
        <f t="shared" si="127"/>
        <v>6.8611132359640763</v>
      </c>
      <c r="G197" s="304">
        <f t="shared" si="127"/>
        <v>7.0356800041223151</v>
      </c>
      <c r="H197" s="304">
        <f t="shared" si="127"/>
        <v>7.1958663561693115</v>
      </c>
      <c r="I197" s="304">
        <f t="shared" si="127"/>
        <v>7.3563495357628295</v>
      </c>
      <c r="J197" s="304">
        <f t="shared" si="127"/>
        <v>7.5169842402565479</v>
      </c>
      <c r="K197" s="304">
        <f t="shared" si="127"/>
        <v>7.677621478059983</v>
      </c>
      <c r="L197" s="304">
        <f t="shared" si="127"/>
        <v>7.8381087623980026</v>
      </c>
      <c r="M197" s="304">
        <f t="shared" si="127"/>
        <v>7.9982903181655836</v>
      </c>
      <c r="N197" s="304">
        <f t="shared" si="127"/>
        <v>8.1463349010298778</v>
      </c>
      <c r="O197" s="304">
        <f t="shared" si="127"/>
        <v>8.2814214291186534</v>
      </c>
      <c r="P197" s="304">
        <f t="shared" si="127"/>
        <v>8.4027868149704492</v>
      </c>
      <c r="Q197" s="304">
        <f t="shared" si="127"/>
        <v>8.5097330578321113</v>
      </c>
      <c r="R197" s="304">
        <f t="shared" si="127"/>
        <v>8.6016338560379779</v>
      </c>
      <c r="S197" s="304">
        <f t="shared" si="127"/>
        <v>8.69357543687868</v>
      </c>
      <c r="T197" s="304">
        <f t="shared" si="127"/>
        <v>8.7855373159977717</v>
      </c>
      <c r="U197" s="304">
        <f t="shared" si="127"/>
        <v>8.8774987631141578</v>
      </c>
      <c r="V197" s="304">
        <f t="shared" si="127"/>
        <v>8.9694388085621313</v>
      </c>
      <c r="W197" s="304">
        <f t="shared" si="127"/>
        <v>9.0613362500486261</v>
      </c>
      <c r="X197" s="304">
        <f t="shared" si="127"/>
        <v>9.1532704764052113</v>
      </c>
      <c r="Y197" s="304">
        <f t="shared" si="127"/>
        <v>9.2452230303784617</v>
      </c>
      <c r="Z197" s="304">
        <f t="shared" si="127"/>
        <v>9.3371752461289983</v>
      </c>
      <c r="AA197" s="304">
        <f t="shared" si="127"/>
        <v>9.4291082545648273</v>
      </c>
      <c r="AB197" s="304">
        <f t="shared" si="127"/>
        <v>9.5210029888406886</v>
      </c>
      <c r="AC197" s="304">
        <f t="shared" si="127"/>
        <v>9.6129310720912393</v>
      </c>
      <c r="AD197" s="304">
        <f t="shared" si="127"/>
        <v>9.7048757856861769</v>
      </c>
      <c r="AE197" s="304">
        <f t="shared" si="127"/>
        <v>9.7968202325130598</v>
      </c>
      <c r="AF197" s="304">
        <f t="shared" si="127"/>
        <v>9.8887473413700739</v>
      </c>
      <c r="AG197" s="304">
        <f t="shared" si="127"/>
        <v>9.9806398714874938</v>
      </c>
      <c r="AI197" s="305"/>
      <c r="AJ197" s="306"/>
    </row>
    <row r="198" spans="1:36" s="58" customFormat="1" outlineLevel="1" x14ac:dyDescent="0.2">
      <c r="A198" s="307" t="s">
        <v>3</v>
      </c>
      <c r="B198" s="308" t="s">
        <v>704</v>
      </c>
      <c r="C198" s="309">
        <v>0</v>
      </c>
      <c r="D198" s="309">
        <v>0</v>
      </c>
      <c r="E198" s="309">
        <v>0</v>
      </c>
      <c r="F198" s="309">
        <v>0</v>
      </c>
      <c r="G198" s="309">
        <v>0</v>
      </c>
      <c r="H198" s="309">
        <v>0</v>
      </c>
      <c r="I198" s="309">
        <v>0</v>
      </c>
      <c r="J198" s="309">
        <v>0</v>
      </c>
      <c r="K198" s="309">
        <v>0</v>
      </c>
      <c r="L198" s="309">
        <v>0</v>
      </c>
      <c r="M198" s="309">
        <v>0</v>
      </c>
      <c r="N198" s="309">
        <v>0</v>
      </c>
      <c r="O198" s="309">
        <v>0</v>
      </c>
      <c r="P198" s="309">
        <v>0</v>
      </c>
      <c r="Q198" s="309">
        <v>0</v>
      </c>
      <c r="R198" s="309">
        <v>0</v>
      </c>
      <c r="S198" s="309">
        <v>0</v>
      </c>
      <c r="T198" s="309">
        <v>0</v>
      </c>
      <c r="U198" s="309">
        <v>0</v>
      </c>
      <c r="V198" s="309">
        <v>0</v>
      </c>
      <c r="W198" s="309">
        <v>0</v>
      </c>
      <c r="X198" s="309">
        <v>0</v>
      </c>
      <c r="Y198" s="309">
        <v>0</v>
      </c>
      <c r="Z198" s="309">
        <v>0</v>
      </c>
      <c r="AA198" s="309">
        <v>0</v>
      </c>
      <c r="AB198" s="309">
        <v>0</v>
      </c>
      <c r="AC198" s="309">
        <v>0</v>
      </c>
      <c r="AD198" s="309">
        <v>0</v>
      </c>
      <c r="AE198" s="309">
        <v>0</v>
      </c>
      <c r="AF198" s="309">
        <v>0</v>
      </c>
      <c r="AG198" s="309">
        <v>0</v>
      </c>
      <c r="AI198" s="305"/>
      <c r="AJ198" s="306"/>
    </row>
    <row r="199" spans="1:36" outlineLevel="1" x14ac:dyDescent="0.2">
      <c r="A199" s="310" t="s">
        <v>51</v>
      </c>
      <c r="B199" s="302" t="s">
        <v>704</v>
      </c>
      <c r="C199" s="249">
        <f t="shared" ref="C199:AG199" si="128">C166</f>
        <v>0.29411849599012857</v>
      </c>
      <c r="D199" s="249">
        <f t="shared" si="128"/>
        <v>0.29903027487316369</v>
      </c>
      <c r="E199" s="249">
        <f t="shared" si="128"/>
        <v>0.30402408046354551</v>
      </c>
      <c r="F199" s="249">
        <f t="shared" si="128"/>
        <v>0.3091012826072867</v>
      </c>
      <c r="G199" s="249">
        <f t="shared" si="128"/>
        <v>0.31426327402682835</v>
      </c>
      <c r="H199" s="249">
        <f t="shared" si="128"/>
        <v>0.31951147070307639</v>
      </c>
      <c r="I199" s="249">
        <f t="shared" si="128"/>
        <v>0.32484731226381774</v>
      </c>
      <c r="J199" s="249">
        <f t="shared" si="128"/>
        <v>0.3302722623786235</v>
      </c>
      <c r="K199" s="249">
        <f t="shared" si="128"/>
        <v>0.33578780916034651</v>
      </c>
      <c r="L199" s="249">
        <f t="shared" si="128"/>
        <v>0.34139546557332429</v>
      </c>
      <c r="M199" s="249">
        <f t="shared" si="128"/>
        <v>0.34709676984839877</v>
      </c>
      <c r="N199" s="249">
        <f t="shared" si="128"/>
        <v>0.35289328590486702</v>
      </c>
      <c r="O199" s="249">
        <f t="shared" si="128"/>
        <v>0.3587866037794783</v>
      </c>
      <c r="P199" s="249">
        <f t="shared" si="128"/>
        <v>0.36477834006259557</v>
      </c>
      <c r="Q199" s="249">
        <f t="shared" si="128"/>
        <v>0.3708701383416409</v>
      </c>
      <c r="R199" s="249">
        <f t="shared" si="128"/>
        <v>0.37706366965194626</v>
      </c>
      <c r="S199" s="249">
        <f t="shared" si="128"/>
        <v>0.38336063293513373</v>
      </c>
      <c r="T199" s="249">
        <f t="shared" si="128"/>
        <v>0.38976275550515044</v>
      </c>
      <c r="U199" s="249">
        <f t="shared" si="128"/>
        <v>0.39627179352208641</v>
      </c>
      <c r="V199" s="249">
        <f t="shared" si="128"/>
        <v>0.40288953247390524</v>
      </c>
      <c r="W199" s="249">
        <f t="shared" si="128"/>
        <v>0.40961778766621942</v>
      </c>
      <c r="X199" s="249">
        <f t="shared" si="128"/>
        <v>0.41645840472024526</v>
      </c>
      <c r="Y199" s="249">
        <f t="shared" si="128"/>
        <v>0.42341326007907332</v>
      </c>
      <c r="Z199" s="249">
        <f t="shared" si="128"/>
        <v>0.43048426152239383</v>
      </c>
      <c r="AA199" s="249">
        <f t="shared" si="128"/>
        <v>0.43767334868981778</v>
      </c>
      <c r="AB199" s="249">
        <f t="shared" si="128"/>
        <v>0.44498249361293768</v>
      </c>
      <c r="AC199" s="249">
        <f t="shared" si="128"/>
        <v>0.45241370125627373</v>
      </c>
      <c r="AD199" s="249">
        <f t="shared" si="128"/>
        <v>0.45996901006725349</v>
      </c>
      <c r="AE199" s="249">
        <f t="shared" si="128"/>
        <v>0.46765049253537661</v>
      </c>
      <c r="AF199" s="249">
        <f t="shared" si="128"/>
        <v>0.47546025576071738</v>
      </c>
      <c r="AG199" s="249">
        <f t="shared" si="128"/>
        <v>0.48340044203192134</v>
      </c>
      <c r="AI199" s="296"/>
    </row>
    <row r="200" spans="1:36" s="68" customFormat="1" outlineLevel="1" x14ac:dyDescent="0.2">
      <c r="A200" s="311" t="s">
        <v>1387</v>
      </c>
      <c r="B200" s="312" t="s">
        <v>704</v>
      </c>
      <c r="C200" s="313">
        <f>C197-C198-C199</f>
        <v>5.9697924769588235</v>
      </c>
      <c r="D200" s="313">
        <f t="shared" ref="D200:AG200" si="129">D197-D198-D199</f>
        <v>6.1748563873867433</v>
      </c>
      <c r="E200" s="313">
        <f t="shared" si="129"/>
        <v>6.3693864891302487</v>
      </c>
      <c r="F200" s="313">
        <f t="shared" si="129"/>
        <v>6.5520119533567893</v>
      </c>
      <c r="G200" s="313">
        <f t="shared" si="129"/>
        <v>6.7214167300954868</v>
      </c>
      <c r="H200" s="313">
        <f t="shared" si="129"/>
        <v>6.8763548854662346</v>
      </c>
      <c r="I200" s="313">
        <f t="shared" si="129"/>
        <v>7.0315022234990119</v>
      </c>
      <c r="J200" s="313">
        <f t="shared" si="129"/>
        <v>7.1867119778779243</v>
      </c>
      <c r="K200" s="313">
        <f t="shared" si="129"/>
        <v>7.3418336688996364</v>
      </c>
      <c r="L200" s="313">
        <f t="shared" si="129"/>
        <v>7.4967132968246784</v>
      </c>
      <c r="M200" s="313">
        <f t="shared" si="129"/>
        <v>7.6511935483171847</v>
      </c>
      <c r="N200" s="313">
        <f t="shared" si="129"/>
        <v>7.793441615125011</v>
      </c>
      <c r="O200" s="313">
        <f t="shared" si="129"/>
        <v>7.9226348253391752</v>
      </c>
      <c r="P200" s="313">
        <f t="shared" si="129"/>
        <v>8.0380084749078531</v>
      </c>
      <c r="Q200" s="313">
        <f t="shared" si="129"/>
        <v>8.1388629194904709</v>
      </c>
      <c r="R200" s="313">
        <f t="shared" si="129"/>
        <v>8.2245701863860319</v>
      </c>
      <c r="S200" s="313">
        <f t="shared" si="129"/>
        <v>8.3102148039435466</v>
      </c>
      <c r="T200" s="313">
        <f t="shared" si="129"/>
        <v>8.3957745604926206</v>
      </c>
      <c r="U200" s="313">
        <f t="shared" si="129"/>
        <v>8.4812269695920719</v>
      </c>
      <c r="V200" s="313">
        <f t="shared" si="129"/>
        <v>8.5665492760882263</v>
      </c>
      <c r="W200" s="313">
        <f t="shared" si="129"/>
        <v>8.6517184623824068</v>
      </c>
      <c r="X200" s="313">
        <f t="shared" si="129"/>
        <v>8.736812071684966</v>
      </c>
      <c r="Y200" s="313">
        <f t="shared" si="129"/>
        <v>8.8218097702993887</v>
      </c>
      <c r="Z200" s="313">
        <f t="shared" si="129"/>
        <v>8.9066909846066054</v>
      </c>
      <c r="AA200" s="313">
        <f t="shared" si="129"/>
        <v>8.9914349058750087</v>
      </c>
      <c r="AB200" s="313">
        <f t="shared" si="129"/>
        <v>9.0760204952277501</v>
      </c>
      <c r="AC200" s="313">
        <f t="shared" si="129"/>
        <v>9.160517370834965</v>
      </c>
      <c r="AD200" s="313">
        <f t="shared" si="129"/>
        <v>9.244906775618924</v>
      </c>
      <c r="AE200" s="313">
        <f t="shared" si="129"/>
        <v>9.329169739977683</v>
      </c>
      <c r="AF200" s="313">
        <f t="shared" si="129"/>
        <v>9.4132870856093565</v>
      </c>
      <c r="AG200" s="313">
        <f t="shared" si="129"/>
        <v>9.497239429455572</v>
      </c>
      <c r="AI200" s="314"/>
      <c r="AJ200" s="315"/>
    </row>
    <row r="201" spans="1:36" outlineLevel="1" x14ac:dyDescent="0.2">
      <c r="A201" s="112" t="s">
        <v>90</v>
      </c>
      <c r="B201" s="302" t="s">
        <v>704</v>
      </c>
      <c r="C201" s="230">
        <f>C170*C$200</f>
        <v>0.95516679631341184</v>
      </c>
      <c r="D201" s="230">
        <f t="shared" ref="D201:AG201" si="130">D170*D$200</f>
        <v>1.0007383918491448</v>
      </c>
      <c r="E201" s="230">
        <f t="shared" si="130"/>
        <v>1.0454286357492448</v>
      </c>
      <c r="F201" s="230">
        <f t="shared" si="130"/>
        <v>1.0889443866478983</v>
      </c>
      <c r="G201" s="230">
        <f t="shared" si="130"/>
        <v>1.1309903884507337</v>
      </c>
      <c r="H201" s="230">
        <f t="shared" si="130"/>
        <v>1.1712724488244151</v>
      </c>
      <c r="I201" s="230">
        <f t="shared" si="130"/>
        <v>1.2122309833312295</v>
      </c>
      <c r="J201" s="230">
        <f t="shared" si="130"/>
        <v>1.2538416830737682</v>
      </c>
      <c r="K201" s="230">
        <f t="shared" si="130"/>
        <v>1.2960783703497489</v>
      </c>
      <c r="L201" s="230">
        <f t="shared" si="130"/>
        <v>1.3389129948128873</v>
      </c>
      <c r="M201" s="230">
        <f t="shared" si="130"/>
        <v>1.382315634395971</v>
      </c>
      <c r="N201" s="230">
        <f t="shared" si="130"/>
        <v>1.4241215644705099</v>
      </c>
      <c r="O201" s="230">
        <f t="shared" si="130"/>
        <v>1.464102915722679</v>
      </c>
      <c r="P201" s="230">
        <f t="shared" si="130"/>
        <v>1.5020358503444469</v>
      </c>
      <c r="Q201" s="230">
        <f t="shared" si="130"/>
        <v>1.537702500922399</v>
      </c>
      <c r="R201" s="230">
        <f t="shared" si="130"/>
        <v>1.5708929055997314</v>
      </c>
      <c r="S201" s="230">
        <f t="shared" si="130"/>
        <v>1.6044254714813666</v>
      </c>
      <c r="T201" s="230">
        <f t="shared" si="130"/>
        <v>1.6382954759041259</v>
      </c>
      <c r="U201" s="230">
        <f t="shared" si="130"/>
        <v>1.6724979584035558</v>
      </c>
      <c r="V201" s="230">
        <f t="shared" si="130"/>
        <v>1.7070277190818464</v>
      </c>
      <c r="W201" s="230">
        <f t="shared" si="130"/>
        <v>1.7418793170929903</v>
      </c>
      <c r="X201" s="230">
        <f t="shared" si="130"/>
        <v>1.777067575380721</v>
      </c>
      <c r="Y201" s="230">
        <f t="shared" si="130"/>
        <v>1.8125878474708468</v>
      </c>
      <c r="Z201" s="230">
        <f t="shared" si="130"/>
        <v>1.8484352690053565</v>
      </c>
      <c r="AA201" s="230">
        <f t="shared" si="130"/>
        <v>1.8846047562714006</v>
      </c>
      <c r="AB201" s="230">
        <f t="shared" si="130"/>
        <v>1.9210910048232059</v>
      </c>
      <c r="AC201" s="230">
        <f t="shared" si="130"/>
        <v>1.9579079127264585</v>
      </c>
      <c r="AD201" s="230">
        <f t="shared" si="130"/>
        <v>1.9950508821785624</v>
      </c>
      <c r="AE201" s="230">
        <f t="shared" si="130"/>
        <v>2.0325151140164697</v>
      </c>
      <c r="AF201" s="230">
        <f t="shared" si="130"/>
        <v>2.0702956063616829</v>
      </c>
      <c r="AG201" s="230">
        <f t="shared" si="130"/>
        <v>2.108387153339137</v>
      </c>
      <c r="AI201" s="214"/>
    </row>
    <row r="202" spans="1:36" outlineLevel="1" x14ac:dyDescent="0.2">
      <c r="A202" s="112" t="s">
        <v>33</v>
      </c>
      <c r="B202" s="302" t="s">
        <v>704</v>
      </c>
      <c r="C202" s="230">
        <f t="shared" ref="C202:AG206" si="131">C171*C$200</f>
        <v>2.2088232164747645</v>
      </c>
      <c r="D202" s="230">
        <f t="shared" si="131"/>
        <v>2.2396204117051721</v>
      </c>
      <c r="E202" s="230">
        <f t="shared" si="131"/>
        <v>2.2636799582368905</v>
      </c>
      <c r="F202" s="230">
        <f t="shared" si="131"/>
        <v>2.2807553609634987</v>
      </c>
      <c r="G202" s="230">
        <f t="shared" si="131"/>
        <v>2.2906588216165424</v>
      </c>
      <c r="H202" s="230">
        <f t="shared" si="131"/>
        <v>2.2932643543029902</v>
      </c>
      <c r="I202" s="230">
        <f t="shared" si="131"/>
        <v>2.2936760253053787</v>
      </c>
      <c r="J202" s="230">
        <f t="shared" si="131"/>
        <v>2.2918424497452712</v>
      </c>
      <c r="K202" s="230">
        <f t="shared" si="131"/>
        <v>2.2877153712291283</v>
      </c>
      <c r="L202" s="230">
        <f t="shared" si="131"/>
        <v>2.2812498562237513</v>
      </c>
      <c r="M202" s="230">
        <f t="shared" si="131"/>
        <v>2.272404483850206</v>
      </c>
      <c r="N202" s="230">
        <f t="shared" si="131"/>
        <v>2.2577600359017178</v>
      </c>
      <c r="O202" s="230">
        <f t="shared" si="131"/>
        <v>2.2373520746757856</v>
      </c>
      <c r="P202" s="230">
        <f t="shared" si="131"/>
        <v>2.2112561314471533</v>
      </c>
      <c r="Q202" s="230">
        <f t="shared" si="131"/>
        <v>2.1795874898395513</v>
      </c>
      <c r="R202" s="230">
        <f t="shared" si="131"/>
        <v>2.1425005335535645</v>
      </c>
      <c r="S202" s="230">
        <f t="shared" si="131"/>
        <v>2.1041463883585094</v>
      </c>
      <c r="T202" s="230">
        <f t="shared" si="131"/>
        <v>2.0645209644251388</v>
      </c>
      <c r="U202" s="230">
        <f t="shared" si="131"/>
        <v>2.0236207549446719</v>
      </c>
      <c r="V202" s="230">
        <f t="shared" si="131"/>
        <v>1.9814428475592103</v>
      </c>
      <c r="W202" s="230">
        <f t="shared" si="131"/>
        <v>1.9379849355736627</v>
      </c>
      <c r="X202" s="230">
        <f t="shared" si="131"/>
        <v>1.8932671759341357</v>
      </c>
      <c r="Y202" s="230">
        <f t="shared" si="131"/>
        <v>1.8472869659006956</v>
      </c>
      <c r="Z202" s="230">
        <f t="shared" si="131"/>
        <v>1.8000422479889986</v>
      </c>
      <c r="AA202" s="230">
        <f t="shared" si="131"/>
        <v>1.7515315196644554</v>
      </c>
      <c r="AB202" s="230">
        <f t="shared" si="131"/>
        <v>1.701753842855207</v>
      </c>
      <c r="AC202" s="230">
        <f t="shared" si="131"/>
        <v>1.6507252302244646</v>
      </c>
      <c r="AD202" s="230">
        <f t="shared" si="131"/>
        <v>1.5984443815045157</v>
      </c>
      <c r="AE202" s="230">
        <f t="shared" si="131"/>
        <v>1.5449105089403081</v>
      </c>
      <c r="AF202" s="230">
        <f t="shared" si="131"/>
        <v>1.4901233456519649</v>
      </c>
      <c r="AG202" s="230">
        <f t="shared" si="131"/>
        <v>1.4340831538477914</v>
      </c>
      <c r="AI202" s="214"/>
    </row>
    <row r="203" spans="1:36" outlineLevel="1" x14ac:dyDescent="0.2">
      <c r="A203" s="112" t="s">
        <v>451</v>
      </c>
      <c r="B203" s="302" t="s">
        <v>704</v>
      </c>
      <c r="C203" s="230">
        <f t="shared" si="131"/>
        <v>0.47758339815670592</v>
      </c>
      <c r="D203" s="230">
        <f t="shared" si="131"/>
        <v>0.49460599662967814</v>
      </c>
      <c r="E203" s="230">
        <f t="shared" si="131"/>
        <v>0.51082479642824596</v>
      </c>
      <c r="F203" s="230">
        <f t="shared" si="131"/>
        <v>0.52612655985455026</v>
      </c>
      <c r="G203" s="230">
        <f t="shared" si="131"/>
        <v>0.54040190509967723</v>
      </c>
      <c r="H203" s="230">
        <f t="shared" si="131"/>
        <v>0.55354656828003201</v>
      </c>
      <c r="I203" s="230">
        <f t="shared" si="131"/>
        <v>0.56673907921402045</v>
      </c>
      <c r="J203" s="230">
        <f t="shared" si="131"/>
        <v>0.57996765661474869</v>
      </c>
      <c r="K203" s="230">
        <f t="shared" si="131"/>
        <v>0.59322016044709081</v>
      </c>
      <c r="L203" s="230">
        <f t="shared" si="131"/>
        <v>0.60648410571311673</v>
      </c>
      <c r="M203" s="230">
        <f t="shared" si="131"/>
        <v>0.61974667741369216</v>
      </c>
      <c r="N203" s="230">
        <f t="shared" si="131"/>
        <v>0.6320481149866386</v>
      </c>
      <c r="O203" s="230">
        <f t="shared" si="131"/>
        <v>0.64331794781754126</v>
      </c>
      <c r="P203" s="230">
        <f t="shared" si="131"/>
        <v>0.65349008901000882</v>
      </c>
      <c r="Q203" s="230">
        <f t="shared" si="131"/>
        <v>0.66250344164652464</v>
      </c>
      <c r="R203" s="230">
        <f t="shared" si="131"/>
        <v>0.67030247019046196</v>
      </c>
      <c r="S203" s="230">
        <f t="shared" si="131"/>
        <v>0.67811352800179381</v>
      </c>
      <c r="T203" s="230">
        <f t="shared" si="131"/>
        <v>0.68593478159224752</v>
      </c>
      <c r="U203" s="230">
        <f t="shared" si="131"/>
        <v>0.69376436611263192</v>
      </c>
      <c r="V203" s="230">
        <f t="shared" si="131"/>
        <v>0.7016003857116262</v>
      </c>
      <c r="W203" s="230">
        <f t="shared" si="131"/>
        <v>0.70944091391535791</v>
      </c>
      <c r="X203" s="230">
        <f t="shared" si="131"/>
        <v>0.71729227108533622</v>
      </c>
      <c r="Y203" s="230">
        <f t="shared" si="131"/>
        <v>0.72515276311861032</v>
      </c>
      <c r="Z203" s="230">
        <f t="shared" si="131"/>
        <v>0.73302066803312427</v>
      </c>
      <c r="AA203" s="230">
        <f t="shared" si="131"/>
        <v>0.74089423624410133</v>
      </c>
      <c r="AB203" s="230">
        <f t="shared" si="131"/>
        <v>0.74877169085629003</v>
      </c>
      <c r="AC203" s="230">
        <f t="shared" si="131"/>
        <v>0.75665873483096879</v>
      </c>
      <c r="AD203" s="230">
        <f t="shared" si="131"/>
        <v>0.76455379034368576</v>
      </c>
      <c r="AE203" s="230">
        <f t="shared" si="131"/>
        <v>0.77245525447015295</v>
      </c>
      <c r="AF203" s="230">
        <f t="shared" si="131"/>
        <v>0.78036149939701649</v>
      </c>
      <c r="AG203" s="230">
        <f t="shared" si="131"/>
        <v>0.78827087264481255</v>
      </c>
      <c r="AI203" s="214"/>
    </row>
    <row r="204" spans="1:36" outlineLevel="1" x14ac:dyDescent="0.2">
      <c r="A204" s="112" t="s">
        <v>452</v>
      </c>
      <c r="B204" s="302" t="s">
        <v>704</v>
      </c>
      <c r="C204" s="230">
        <f t="shared" si="131"/>
        <v>1.6118439687788824</v>
      </c>
      <c r="D204" s="230">
        <f t="shared" si="131"/>
        <v>1.6865591079415658</v>
      </c>
      <c r="E204" s="230">
        <f t="shared" si="131"/>
        <v>1.7596491740637166</v>
      </c>
      <c r="F204" s="230">
        <f t="shared" si="131"/>
        <v>1.8306321397678869</v>
      </c>
      <c r="G204" s="230">
        <f t="shared" si="131"/>
        <v>1.8990242734763114</v>
      </c>
      <c r="H204" s="230">
        <f t="shared" si="131"/>
        <v>1.9643453789481875</v>
      </c>
      <c r="I204" s="230">
        <f t="shared" si="131"/>
        <v>2.0306978421465143</v>
      </c>
      <c r="J204" s="230">
        <f t="shared" si="131"/>
        <v>2.0980407834084951</v>
      </c>
      <c r="K204" s="230">
        <f t="shared" si="131"/>
        <v>2.1663303879033187</v>
      </c>
      <c r="L204" s="230">
        <f t="shared" si="131"/>
        <v>2.2355199051131183</v>
      </c>
      <c r="M204" s="230">
        <f t="shared" si="131"/>
        <v>2.3055596558929108</v>
      </c>
      <c r="N204" s="230">
        <f t="shared" si="131"/>
        <v>2.372843190418394</v>
      </c>
      <c r="O204" s="230">
        <f t="shared" si="131"/>
        <v>2.4370024722743291</v>
      </c>
      <c r="P204" s="230">
        <f t="shared" si="131"/>
        <v>2.4976771667696993</v>
      </c>
      <c r="Q204" s="230">
        <f t="shared" si="131"/>
        <v>2.5545177749974077</v>
      </c>
      <c r="R204" s="230">
        <f t="shared" si="131"/>
        <v>2.6071887490843708</v>
      </c>
      <c r="S204" s="230">
        <f t="shared" si="131"/>
        <v>2.6603767659024591</v>
      </c>
      <c r="T204" s="230">
        <f t="shared" si="131"/>
        <v>2.7140740562552463</v>
      </c>
      <c r="U204" s="230">
        <f t="shared" si="131"/>
        <v>2.7682724828748504</v>
      </c>
      <c r="V204" s="230">
        <f t="shared" si="131"/>
        <v>2.8229635381136049</v>
      </c>
      <c r="W204" s="230">
        <f t="shared" si="131"/>
        <v>2.8781383418192119</v>
      </c>
      <c r="X204" s="230">
        <f t="shared" si="131"/>
        <v>2.9338214936718097</v>
      </c>
      <c r="Y204" s="230">
        <f t="shared" si="131"/>
        <v>2.9900053914801372</v>
      </c>
      <c r="Z204" s="230">
        <f t="shared" si="131"/>
        <v>3.0466820961344303</v>
      </c>
      <c r="AA204" s="230">
        <f t="shared" si="131"/>
        <v>3.1038433295080505</v>
      </c>
      <c r="AB204" s="230">
        <f t="shared" si="131"/>
        <v>3.1614804725043304</v>
      </c>
      <c r="AC204" s="230">
        <f t="shared" si="131"/>
        <v>3.2196165052694599</v>
      </c>
      <c r="AD204" s="230">
        <f t="shared" si="131"/>
        <v>3.2782439426344676</v>
      </c>
      <c r="AE204" s="230">
        <f t="shared" si="131"/>
        <v>3.3373549883146802</v>
      </c>
      <c r="AF204" s="230">
        <f t="shared" si="131"/>
        <v>3.3969415329602266</v>
      </c>
      <c r="AG204" s="230">
        <f t="shared" si="131"/>
        <v>3.4569951523218281</v>
      </c>
      <c r="AI204" s="214"/>
    </row>
    <row r="205" spans="1:36" outlineLevel="1" x14ac:dyDescent="0.2">
      <c r="A205" s="112" t="s">
        <v>1364</v>
      </c>
      <c r="B205" s="302" t="s">
        <v>704</v>
      </c>
      <c r="C205" s="230">
        <f t="shared" si="131"/>
        <v>0.41788547338711768</v>
      </c>
      <c r="D205" s="230">
        <f t="shared" si="131"/>
        <v>0.44006143187442859</v>
      </c>
      <c r="E205" s="230">
        <f t="shared" si="131"/>
        <v>0.46199283334491409</v>
      </c>
      <c r="F205" s="230">
        <f t="shared" si="131"/>
        <v>0.4835384821577311</v>
      </c>
      <c r="G205" s="230">
        <f t="shared" si="131"/>
        <v>0.50455434920583453</v>
      </c>
      <c r="H205" s="230">
        <f t="shared" si="131"/>
        <v>0.52489508959058928</v>
      </c>
      <c r="I205" s="230">
        <f t="shared" si="131"/>
        <v>0.54564457254352339</v>
      </c>
      <c r="J205" s="230">
        <f t="shared" si="131"/>
        <v>0.56679201798863899</v>
      </c>
      <c r="K205" s="230">
        <f t="shared" si="131"/>
        <v>0.58832560466782424</v>
      </c>
      <c r="L205" s="230">
        <f t="shared" si="131"/>
        <v>0.61023246236152884</v>
      </c>
      <c r="M205" s="230">
        <f t="shared" si="131"/>
        <v>0.63249866666088728</v>
      </c>
      <c r="N205" s="230">
        <f t="shared" si="131"/>
        <v>0.65412953289615927</v>
      </c>
      <c r="O205" s="230">
        <f t="shared" si="131"/>
        <v>0.67500848711889772</v>
      </c>
      <c r="P205" s="230">
        <f t="shared" si="131"/>
        <v>0.69501979946369896</v>
      </c>
      <c r="Q205" s="230">
        <f t="shared" si="131"/>
        <v>0.71404957346996401</v>
      </c>
      <c r="R205" s="230">
        <f t="shared" si="131"/>
        <v>0.73198674658835683</v>
      </c>
      <c r="S205" s="230">
        <f t="shared" si="131"/>
        <v>0.75013538963597082</v>
      </c>
      <c r="T205" s="230">
        <f t="shared" si="131"/>
        <v>0.76849323143709114</v>
      </c>
      <c r="U205" s="230">
        <f t="shared" si="131"/>
        <v>0.78705786277814427</v>
      </c>
      <c r="V205" s="230">
        <f t="shared" si="131"/>
        <v>0.80582673523736581</v>
      </c>
      <c r="W205" s="230">
        <f t="shared" si="131"/>
        <v>0.824797160080456</v>
      </c>
      <c r="X205" s="230">
        <f t="shared" si="131"/>
        <v>0.84397604612476762</v>
      </c>
      <c r="Y205" s="230">
        <f t="shared" si="131"/>
        <v>0.86336111618663347</v>
      </c>
      <c r="Z205" s="230">
        <f t="shared" si="131"/>
        <v>0.88294996627400135</v>
      </c>
      <c r="AA205" s="230">
        <f t="shared" si="131"/>
        <v>0.90274006454985078</v>
      </c>
      <c r="AB205" s="230">
        <f t="shared" si="131"/>
        <v>0.92272875034815449</v>
      </c>
      <c r="AC205" s="230">
        <f t="shared" si="131"/>
        <v>0.9429225880379456</v>
      </c>
      <c r="AD205" s="230">
        <f t="shared" si="131"/>
        <v>0.96331928601949179</v>
      </c>
      <c r="AE205" s="230">
        <f t="shared" si="131"/>
        <v>0.98391643524297945</v>
      </c>
      <c r="AF205" s="230">
        <f t="shared" si="131"/>
        <v>1.0047115082707052</v>
      </c>
      <c r="AG205" s="230">
        <f t="shared" si="131"/>
        <v>1.0257018583812019</v>
      </c>
      <c r="AI205" s="214"/>
    </row>
    <row r="206" spans="1:36" outlineLevel="1" x14ac:dyDescent="0.2">
      <c r="A206" s="112" t="s">
        <v>1365</v>
      </c>
      <c r="B206" s="302" t="s">
        <v>704</v>
      </c>
      <c r="C206" s="230">
        <f t="shared" si="131"/>
        <v>0.2984896238479412</v>
      </c>
      <c r="D206" s="230">
        <f t="shared" si="131"/>
        <v>0.31327104738675415</v>
      </c>
      <c r="E206" s="230">
        <f t="shared" si="131"/>
        <v>0.32781109130723685</v>
      </c>
      <c r="F206" s="230">
        <f t="shared" si="131"/>
        <v>0.34201502396522449</v>
      </c>
      <c r="G206" s="230">
        <f t="shared" si="131"/>
        <v>0.35578699224638788</v>
      </c>
      <c r="H206" s="230">
        <f t="shared" si="131"/>
        <v>0.36903104552002136</v>
      </c>
      <c r="I206" s="230">
        <f t="shared" si="131"/>
        <v>0.38251372095834635</v>
      </c>
      <c r="J206" s="230">
        <f t="shared" si="131"/>
        <v>0.39622738704700305</v>
      </c>
      <c r="K206" s="230">
        <f t="shared" si="131"/>
        <v>0.41016377430252654</v>
      </c>
      <c r="L206" s="230">
        <f t="shared" si="131"/>
        <v>0.42431397260027698</v>
      </c>
      <c r="M206" s="230">
        <f t="shared" si="131"/>
        <v>0.4386684301035188</v>
      </c>
      <c r="N206" s="230">
        <f t="shared" si="131"/>
        <v>0.45253917645159253</v>
      </c>
      <c r="O206" s="230">
        <f t="shared" si="131"/>
        <v>0.46585092772994374</v>
      </c>
      <c r="P206" s="230">
        <f t="shared" si="131"/>
        <v>0.4785294378728478</v>
      </c>
      <c r="Q206" s="230">
        <f t="shared" si="131"/>
        <v>0.49050213861462605</v>
      </c>
      <c r="R206" s="230">
        <f t="shared" si="131"/>
        <v>0.50169878136954826</v>
      </c>
      <c r="S206" s="230">
        <f t="shared" si="131"/>
        <v>0.51301726056344865</v>
      </c>
      <c r="T206" s="230">
        <f t="shared" si="131"/>
        <v>0.52445605087877278</v>
      </c>
      <c r="U206" s="230">
        <f t="shared" si="131"/>
        <v>0.53601354447821936</v>
      </c>
      <c r="V206" s="230">
        <f t="shared" si="131"/>
        <v>0.54768805038457435</v>
      </c>
      <c r="W206" s="230">
        <f t="shared" si="131"/>
        <v>0.55947779390072938</v>
      </c>
      <c r="X206" s="230">
        <f t="shared" si="131"/>
        <v>0.57138750948819728</v>
      </c>
      <c r="Y206" s="230">
        <f t="shared" si="131"/>
        <v>0.58341568614246675</v>
      </c>
      <c r="Z206" s="230">
        <f t="shared" si="131"/>
        <v>0.59556073717069558</v>
      </c>
      <c r="AA206" s="230">
        <f t="shared" si="131"/>
        <v>0.60782099963715119</v>
      </c>
      <c r="AB206" s="230">
        <f t="shared" si="131"/>
        <v>0.62019473384056356</v>
      </c>
      <c r="AC206" s="230">
        <f t="shared" si="131"/>
        <v>0.63268639974566887</v>
      </c>
      <c r="AD206" s="230">
        <f t="shared" si="131"/>
        <v>0.64529449293820151</v>
      </c>
      <c r="AE206" s="230">
        <f t="shared" si="131"/>
        <v>0.65801743899309328</v>
      </c>
      <c r="AF206" s="230">
        <f t="shared" si="131"/>
        <v>0.67085359296776081</v>
      </c>
      <c r="AG206" s="230">
        <f t="shared" si="131"/>
        <v>0.68380123892080114</v>
      </c>
      <c r="AI206" s="214"/>
    </row>
    <row r="207" spans="1:36" s="58" customFormat="1" x14ac:dyDescent="0.2">
      <c r="A207" s="58" t="s">
        <v>1366</v>
      </c>
      <c r="B207" s="303"/>
      <c r="C207" s="304">
        <f t="shared" ref="C207:AG207" si="132">C47</f>
        <v>6.2639109729489517</v>
      </c>
      <c r="D207" s="304">
        <f t="shared" si="132"/>
        <v>6.4711216774490667</v>
      </c>
      <c r="E207" s="304">
        <f t="shared" si="132"/>
        <v>6.6677101674013999</v>
      </c>
      <c r="F207" s="304">
        <f t="shared" si="132"/>
        <v>6.8523221303087256</v>
      </c>
      <c r="G207" s="304">
        <f t="shared" si="132"/>
        <v>7.0236603013624643</v>
      </c>
      <c r="H207" s="304">
        <f t="shared" si="132"/>
        <v>7.1804996512719024</v>
      </c>
      <c r="I207" s="304">
        <f t="shared" si="132"/>
        <v>7.3097406303997623</v>
      </c>
      <c r="J207" s="304">
        <f t="shared" si="132"/>
        <v>7.4377833560824094</v>
      </c>
      <c r="K207" s="304">
        <f t="shared" si="132"/>
        <v>7.5644791229768806</v>
      </c>
      <c r="L207" s="304">
        <f t="shared" si="132"/>
        <v>7.6896783000313143</v>
      </c>
      <c r="M207" s="304">
        <f t="shared" si="132"/>
        <v>7.8132306059592036</v>
      </c>
      <c r="N207" s="304">
        <f t="shared" si="132"/>
        <v>7.9209281881137201</v>
      </c>
      <c r="O207" s="304">
        <f t="shared" si="132"/>
        <v>8.0156762035184617</v>
      </c>
      <c r="P207" s="304">
        <f t="shared" si="132"/>
        <v>8.0736595513148455</v>
      </c>
      <c r="Q207" s="304">
        <f t="shared" si="132"/>
        <v>8.1161722054620054</v>
      </c>
      <c r="R207" s="304">
        <f t="shared" si="132"/>
        <v>8.1429275044366243</v>
      </c>
      <c r="S207" s="304">
        <f t="shared" si="132"/>
        <v>8.1702239487800963</v>
      </c>
      <c r="T207" s="304">
        <f t="shared" si="132"/>
        <v>8.1962756882078516</v>
      </c>
      <c r="U207" s="304">
        <f t="shared" si="132"/>
        <v>8.2210631068455644</v>
      </c>
      <c r="V207" s="304">
        <f t="shared" si="132"/>
        <v>8.2445669386128042</v>
      </c>
      <c r="W207" s="304">
        <f t="shared" si="132"/>
        <v>8.2667682816129986</v>
      </c>
      <c r="X207" s="304">
        <f t="shared" si="132"/>
        <v>8.2843217179459749</v>
      </c>
      <c r="Y207" s="304">
        <f t="shared" si="132"/>
        <v>8.303859321020596</v>
      </c>
      <c r="Z207" s="304">
        <f t="shared" si="132"/>
        <v>8.2747802260793026</v>
      </c>
      <c r="AA207" s="304">
        <f t="shared" si="132"/>
        <v>8.2434849213406487</v>
      </c>
      <c r="AB207" s="304">
        <f t="shared" si="132"/>
        <v>8.2099576546040041</v>
      </c>
      <c r="AC207" s="304">
        <f t="shared" si="132"/>
        <v>8.1723803495456213</v>
      </c>
      <c r="AD207" s="304">
        <f t="shared" si="132"/>
        <v>8.1325821766463235</v>
      </c>
      <c r="AE207" s="304">
        <f t="shared" si="132"/>
        <v>8.0905485752596071</v>
      </c>
      <c r="AF207" s="304">
        <f t="shared" si="132"/>
        <v>8.0462656646355519</v>
      </c>
      <c r="AG207" s="304">
        <f t="shared" si="132"/>
        <v>7.9997202581253095</v>
      </c>
      <c r="AI207" s="305"/>
      <c r="AJ207" s="306"/>
    </row>
    <row r="208" spans="1:36" s="58" customFormat="1" x14ac:dyDescent="0.2">
      <c r="A208" s="307" t="s">
        <v>3</v>
      </c>
      <c r="B208" s="308" t="s">
        <v>704</v>
      </c>
      <c r="C208" s="309">
        <f>C207-C197</f>
        <v>0</v>
      </c>
      <c r="D208" s="309">
        <f t="shared" ref="D208:AG208" si="133">D207-D197</f>
        <v>-2.7649848108399766E-3</v>
      </c>
      <c r="E208" s="309">
        <f t="shared" si="133"/>
        <v>-5.700402192394094E-3</v>
      </c>
      <c r="F208" s="309">
        <f t="shared" si="133"/>
        <v>-8.7911056553506839E-3</v>
      </c>
      <c r="G208" s="309">
        <f t="shared" si="133"/>
        <v>-1.2019702759850759E-2</v>
      </c>
      <c r="H208" s="309">
        <f t="shared" si="133"/>
        <v>-1.53667048974091E-2</v>
      </c>
      <c r="I208" s="309">
        <f t="shared" si="133"/>
        <v>-4.6608905363067166E-2</v>
      </c>
      <c r="J208" s="309">
        <f t="shared" si="133"/>
        <v>-7.9200884174138508E-2</v>
      </c>
      <c r="K208" s="309">
        <f t="shared" si="133"/>
        <v>-0.11314235508310233</v>
      </c>
      <c r="L208" s="309">
        <f t="shared" si="133"/>
        <v>-0.14843046236668833</v>
      </c>
      <c r="M208" s="309">
        <f t="shared" si="133"/>
        <v>-0.18505971220637996</v>
      </c>
      <c r="N208" s="309">
        <f t="shared" si="133"/>
        <v>-0.22540671291615766</v>
      </c>
      <c r="O208" s="309">
        <f t="shared" si="133"/>
        <v>-0.26574522560019176</v>
      </c>
      <c r="P208" s="309">
        <f t="shared" si="133"/>
        <v>-0.32912726365560374</v>
      </c>
      <c r="Q208" s="309">
        <f t="shared" si="133"/>
        <v>-0.39356085237010596</v>
      </c>
      <c r="R208" s="309">
        <f t="shared" si="133"/>
        <v>-0.45870635160135365</v>
      </c>
      <c r="S208" s="309">
        <f t="shared" si="133"/>
        <v>-0.52335148809858367</v>
      </c>
      <c r="T208" s="309">
        <f t="shared" si="133"/>
        <v>-0.58926162778992008</v>
      </c>
      <c r="U208" s="309">
        <f t="shared" si="133"/>
        <v>-0.65643565626859335</v>
      </c>
      <c r="V208" s="309">
        <f t="shared" si="133"/>
        <v>-0.72487186994932706</v>
      </c>
      <c r="W208" s="309">
        <f t="shared" si="133"/>
        <v>-0.79456796843562749</v>
      </c>
      <c r="X208" s="309">
        <f t="shared" si="133"/>
        <v>-0.86894875845923636</v>
      </c>
      <c r="Y208" s="309">
        <f t="shared" si="133"/>
        <v>-0.94136370935786573</v>
      </c>
      <c r="Z208" s="309">
        <f t="shared" si="133"/>
        <v>-1.0623950200496957</v>
      </c>
      <c r="AA208" s="309">
        <f t="shared" si="133"/>
        <v>-1.1856233332241786</v>
      </c>
      <c r="AB208" s="309">
        <f t="shared" si="133"/>
        <v>-1.3110453342366846</v>
      </c>
      <c r="AC208" s="309">
        <f t="shared" si="133"/>
        <v>-1.440550722545618</v>
      </c>
      <c r="AD208" s="309">
        <f t="shared" si="133"/>
        <v>-1.5722936090398534</v>
      </c>
      <c r="AE208" s="309">
        <f t="shared" si="133"/>
        <v>-1.7062716572534526</v>
      </c>
      <c r="AF208" s="309">
        <f t="shared" si="133"/>
        <v>-1.842481676734522</v>
      </c>
      <c r="AG208" s="309">
        <f t="shared" si="133"/>
        <v>-1.9809196133621843</v>
      </c>
      <c r="AI208" s="305"/>
      <c r="AJ208" s="306"/>
    </row>
    <row r="209" spans="1:36" x14ac:dyDescent="0.2">
      <c r="A209" s="310" t="s">
        <v>51</v>
      </c>
      <c r="B209" s="302" t="s">
        <v>704</v>
      </c>
      <c r="C209" s="249">
        <f>C165</f>
        <v>0.29411849599012857</v>
      </c>
      <c r="D209" s="249">
        <f t="shared" ref="D209:AG209" si="134">D165</f>
        <v>0.34519391601580796</v>
      </c>
      <c r="E209" s="249">
        <f t="shared" si="134"/>
        <v>0.39831912413837989</v>
      </c>
      <c r="F209" s="249">
        <f t="shared" si="134"/>
        <v>0.45320403767359185</v>
      </c>
      <c r="G209" s="249">
        <f t="shared" si="134"/>
        <v>0.50952766795758908</v>
      </c>
      <c r="H209" s="249">
        <f t="shared" si="134"/>
        <v>0.56694107323375775</v>
      </c>
      <c r="I209" s="249">
        <f t="shared" si="134"/>
        <v>0.62641941356681119</v>
      </c>
      <c r="J209" s="249">
        <f t="shared" si="134"/>
        <v>0.68795506012102126</v>
      </c>
      <c r="K209" s="249">
        <f t="shared" si="134"/>
        <v>0.75153632267378723</v>
      </c>
      <c r="L209" s="249">
        <f t="shared" si="134"/>
        <v>0.81714735238699321</v>
      </c>
      <c r="M209" s="249">
        <f t="shared" si="134"/>
        <v>0.88476805342840015</v>
      </c>
      <c r="N209" s="249">
        <f t="shared" si="134"/>
        <v>0.95300849459260484</v>
      </c>
      <c r="O209" s="249">
        <f t="shared" si="134"/>
        <v>1.0215355823934487</v>
      </c>
      <c r="P209" s="249">
        <f t="shared" si="134"/>
        <v>1.0841793046457471</v>
      </c>
      <c r="Q209" s="249">
        <f t="shared" si="134"/>
        <v>1.1456825193376152</v>
      </c>
      <c r="R209" s="249">
        <f t="shared" si="134"/>
        <v>1.2056932492940384</v>
      </c>
      <c r="S209" s="249">
        <f t="shared" si="134"/>
        <v>1.2661400486089327</v>
      </c>
      <c r="T209" s="249">
        <f t="shared" si="134"/>
        <v>1.3270018428383601</v>
      </c>
      <c r="U209" s="249">
        <f t="shared" si="134"/>
        <v>1.388257065366955</v>
      </c>
      <c r="V209" s="249">
        <f t="shared" si="134"/>
        <v>1.4498836658380894</v>
      </c>
      <c r="W209" s="249">
        <f t="shared" si="134"/>
        <v>1.5118591190737511</v>
      </c>
      <c r="X209" s="249">
        <f t="shared" si="134"/>
        <v>1.5741777729335178</v>
      </c>
      <c r="Y209" s="249">
        <f t="shared" si="134"/>
        <v>1.6368182778237579</v>
      </c>
      <c r="Z209" s="249">
        <f t="shared" si="134"/>
        <v>1.6805033711283204</v>
      </c>
      <c r="AA209" s="249">
        <f t="shared" si="134"/>
        <v>1.7228120961791622</v>
      </c>
      <c r="AB209" s="249">
        <f t="shared" si="134"/>
        <v>1.7636848196043591</v>
      </c>
      <c r="AC209" s="249">
        <f t="shared" si="134"/>
        <v>1.8030787645108377</v>
      </c>
      <c r="AD209" s="249">
        <f t="shared" si="134"/>
        <v>1.8409350513104843</v>
      </c>
      <c r="AE209" s="249">
        <f t="shared" si="134"/>
        <v>1.8771945971706505</v>
      </c>
      <c r="AF209" s="249">
        <f t="shared" si="134"/>
        <v>1.9117981492428338</v>
      </c>
      <c r="AG209" s="249">
        <f t="shared" si="134"/>
        <v>1.9446863184994183</v>
      </c>
      <c r="AI209" s="296"/>
    </row>
    <row r="210" spans="1:36" s="68" customFormat="1" x14ac:dyDescent="0.2">
      <c r="A210" s="311" t="s">
        <v>1387</v>
      </c>
      <c r="B210" s="312" t="s">
        <v>704</v>
      </c>
      <c r="C210" s="313">
        <f>C207-C209</f>
        <v>5.9697924769588235</v>
      </c>
      <c r="D210" s="313">
        <f t="shared" ref="D210:AG210" si="135">D207-D209</f>
        <v>6.1259277614332586</v>
      </c>
      <c r="E210" s="313">
        <f t="shared" si="135"/>
        <v>6.2693910432630204</v>
      </c>
      <c r="F210" s="313">
        <f t="shared" si="135"/>
        <v>6.3991180926351339</v>
      </c>
      <c r="G210" s="313">
        <f t="shared" si="135"/>
        <v>6.5141326334048752</v>
      </c>
      <c r="H210" s="313">
        <f t="shared" si="135"/>
        <v>6.6135585780381447</v>
      </c>
      <c r="I210" s="313">
        <f t="shared" si="135"/>
        <v>6.683321216832951</v>
      </c>
      <c r="J210" s="313">
        <f t="shared" si="135"/>
        <v>6.7498282959613878</v>
      </c>
      <c r="K210" s="313">
        <f t="shared" si="135"/>
        <v>6.8129428003030936</v>
      </c>
      <c r="L210" s="313">
        <f t="shared" si="135"/>
        <v>6.8725309476443215</v>
      </c>
      <c r="M210" s="313">
        <f t="shared" si="135"/>
        <v>6.928462552530803</v>
      </c>
      <c r="N210" s="313">
        <f t="shared" si="135"/>
        <v>6.9679196935211154</v>
      </c>
      <c r="O210" s="313">
        <f t="shared" si="135"/>
        <v>6.9941406211250126</v>
      </c>
      <c r="P210" s="313">
        <f t="shared" si="135"/>
        <v>6.989480246669098</v>
      </c>
      <c r="Q210" s="313">
        <f t="shared" si="135"/>
        <v>6.9704896861243899</v>
      </c>
      <c r="R210" s="313">
        <f t="shared" si="135"/>
        <v>6.9372342551425863</v>
      </c>
      <c r="S210" s="313">
        <f t="shared" si="135"/>
        <v>6.9040839001711634</v>
      </c>
      <c r="T210" s="313">
        <f t="shared" si="135"/>
        <v>6.8692738453694915</v>
      </c>
      <c r="U210" s="313">
        <f t="shared" si="135"/>
        <v>6.8328060414786096</v>
      </c>
      <c r="V210" s="313">
        <f t="shared" si="135"/>
        <v>6.7946832727747148</v>
      </c>
      <c r="W210" s="313">
        <f t="shared" si="135"/>
        <v>6.7549091625392474</v>
      </c>
      <c r="X210" s="313">
        <f t="shared" si="135"/>
        <v>6.7101439450124571</v>
      </c>
      <c r="Y210" s="313">
        <f t="shared" si="135"/>
        <v>6.6670410431968383</v>
      </c>
      <c r="Z210" s="313">
        <f t="shared" si="135"/>
        <v>6.5942768549509818</v>
      </c>
      <c r="AA210" s="313">
        <f t="shared" si="135"/>
        <v>6.5206728251614869</v>
      </c>
      <c r="AB210" s="313">
        <f t="shared" si="135"/>
        <v>6.446272834999645</v>
      </c>
      <c r="AC210" s="313">
        <f t="shared" si="135"/>
        <v>6.3693015850347834</v>
      </c>
      <c r="AD210" s="313">
        <f t="shared" si="135"/>
        <v>6.2916471253358388</v>
      </c>
      <c r="AE210" s="313">
        <f t="shared" si="135"/>
        <v>6.2133539780889571</v>
      </c>
      <c r="AF210" s="313">
        <f t="shared" si="135"/>
        <v>6.1344675153927177</v>
      </c>
      <c r="AG210" s="313">
        <f t="shared" si="135"/>
        <v>6.0550339396258916</v>
      </c>
      <c r="AI210" s="314"/>
      <c r="AJ210" s="315"/>
    </row>
    <row r="211" spans="1:36" s="58" customFormat="1" outlineLevel="1" x14ac:dyDescent="0.2">
      <c r="A211" s="307" t="s">
        <v>1367</v>
      </c>
      <c r="B211" s="308" t="s">
        <v>462</v>
      </c>
      <c r="C211" s="309">
        <f>C207*C177</f>
        <v>5.2616852172771189</v>
      </c>
      <c r="D211" s="309">
        <f t="shared" ref="D211:AG211" si="136">D207*D177</f>
        <v>5.4616266957670119</v>
      </c>
      <c r="E211" s="309">
        <f t="shared" si="136"/>
        <v>5.6542182219563868</v>
      </c>
      <c r="F211" s="309">
        <f t="shared" si="136"/>
        <v>5.8381784550230345</v>
      </c>
      <c r="G211" s="309">
        <f t="shared" si="136"/>
        <v>6.0122532179662693</v>
      </c>
      <c r="H211" s="309">
        <f t="shared" si="136"/>
        <v>6.1752297000938361</v>
      </c>
      <c r="I211" s="309">
        <f t="shared" si="136"/>
        <v>6.3156159046653944</v>
      </c>
      <c r="J211" s="309">
        <f t="shared" si="136"/>
        <v>6.4559959530795314</v>
      </c>
      <c r="K211" s="309">
        <f t="shared" si="136"/>
        <v>6.5962257952358403</v>
      </c>
      <c r="L211" s="309">
        <f t="shared" si="136"/>
        <v>6.7361581908274317</v>
      </c>
      <c r="M211" s="309">
        <f t="shared" si="136"/>
        <v>6.8756429332440989</v>
      </c>
      <c r="N211" s="309">
        <f t="shared" si="136"/>
        <v>7.0021005182925284</v>
      </c>
      <c r="O211" s="309">
        <f t="shared" si="136"/>
        <v>7.1179204687243942</v>
      </c>
      <c r="P211" s="309">
        <f t="shared" si="136"/>
        <v>7.2017043197728423</v>
      </c>
      <c r="Q211" s="309">
        <f t="shared" si="136"/>
        <v>7.2720902960939569</v>
      </c>
      <c r="R211" s="309">
        <f t="shared" si="136"/>
        <v>7.3286347539929624</v>
      </c>
      <c r="S211" s="309">
        <f t="shared" si="136"/>
        <v>7.3858824496972071</v>
      </c>
      <c r="T211" s="309">
        <f t="shared" si="136"/>
        <v>7.4422183248927292</v>
      </c>
      <c r="U211" s="309">
        <f t="shared" si="136"/>
        <v>7.4976095534431551</v>
      </c>
      <c r="V211" s="309">
        <f t="shared" si="136"/>
        <v>7.5520233157693291</v>
      </c>
      <c r="W211" s="309">
        <f t="shared" si="136"/>
        <v>7.6054268190839593</v>
      </c>
      <c r="X211" s="309">
        <f t="shared" si="136"/>
        <v>7.654713267382081</v>
      </c>
      <c r="Y211" s="309">
        <f t="shared" si="136"/>
        <v>7.7059814499071138</v>
      </c>
      <c r="Z211" s="309">
        <f t="shared" si="136"/>
        <v>7.7120951707059104</v>
      </c>
      <c r="AA211" s="309">
        <f t="shared" si="136"/>
        <v>7.7159018863748479</v>
      </c>
      <c r="AB211" s="309">
        <f t="shared" si="136"/>
        <v>7.717360195327764</v>
      </c>
      <c r="AC211" s="309">
        <f t="shared" si="136"/>
        <v>7.7147270499710672</v>
      </c>
      <c r="AD211" s="309">
        <f t="shared" si="136"/>
        <v>7.7096879034607149</v>
      </c>
      <c r="AE211" s="309">
        <f t="shared" si="136"/>
        <v>7.7022022436471467</v>
      </c>
      <c r="AF211" s="309">
        <f t="shared" si="136"/>
        <v>7.6922299753915881</v>
      </c>
      <c r="AG211" s="309">
        <f t="shared" si="136"/>
        <v>7.6797314478002967</v>
      </c>
      <c r="AI211" s="305"/>
      <c r="AJ211" s="339" t="s">
        <v>1363</v>
      </c>
    </row>
    <row r="212" spans="1:36" s="58" customFormat="1" outlineLevel="1" x14ac:dyDescent="0.2">
      <c r="A212" s="307" t="s">
        <v>1368</v>
      </c>
      <c r="B212" s="308" t="s">
        <v>462</v>
      </c>
      <c r="C212" s="309">
        <f>C211*C178</f>
        <v>1.1575707478009662</v>
      </c>
      <c r="D212" s="309">
        <f t="shared" ref="D212:AG212" si="137">D211*D178</f>
        <v>1.2379687177071892</v>
      </c>
      <c r="E212" s="309">
        <f t="shared" si="137"/>
        <v>1.3193175851231569</v>
      </c>
      <c r="F212" s="309">
        <f t="shared" si="137"/>
        <v>1.401162829205528</v>
      </c>
      <c r="G212" s="309">
        <f t="shared" si="137"/>
        <v>1.4830224604316795</v>
      </c>
      <c r="H212" s="309">
        <f t="shared" si="137"/>
        <v>1.5643915240237716</v>
      </c>
      <c r="I212" s="309">
        <f t="shared" si="137"/>
        <v>1.6420601352130022</v>
      </c>
      <c r="J212" s="309">
        <f t="shared" si="137"/>
        <v>1.7215989208212079</v>
      </c>
      <c r="K212" s="309">
        <f t="shared" si="137"/>
        <v>1.8029683840311292</v>
      </c>
      <c r="L212" s="309">
        <f t="shared" si="137"/>
        <v>1.8861242934316804</v>
      </c>
      <c r="M212" s="309">
        <f t="shared" si="137"/>
        <v>1.9710176408633078</v>
      </c>
      <c r="N212" s="309">
        <f t="shared" si="137"/>
        <v>2.0539494853658078</v>
      </c>
      <c r="O212" s="309">
        <f t="shared" si="137"/>
        <v>2.1353761406173173</v>
      </c>
      <c r="P212" s="309">
        <f t="shared" si="137"/>
        <v>2.2085226580636705</v>
      </c>
      <c r="Q212" s="309">
        <f t="shared" si="137"/>
        <v>2.2785882927761052</v>
      </c>
      <c r="R212" s="309">
        <f t="shared" si="137"/>
        <v>2.3451631212777468</v>
      </c>
      <c r="S212" s="309">
        <f t="shared" si="137"/>
        <v>2.4127216002344198</v>
      </c>
      <c r="T212" s="309">
        <f t="shared" si="137"/>
        <v>2.4807394416309085</v>
      </c>
      <c r="U212" s="309">
        <f t="shared" si="137"/>
        <v>2.5491872481706714</v>
      </c>
      <c r="V212" s="309">
        <f t="shared" si="137"/>
        <v>2.6180347494666991</v>
      </c>
      <c r="W212" s="309">
        <f t="shared" si="137"/>
        <v>2.6872508094096639</v>
      </c>
      <c r="X212" s="309">
        <f t="shared" si="137"/>
        <v>2.7556967762575475</v>
      </c>
      <c r="Y212" s="309">
        <f t="shared" si="137"/>
        <v>2.8255265316326064</v>
      </c>
      <c r="Z212" s="309">
        <f t="shared" si="137"/>
        <v>2.8791821970635381</v>
      </c>
      <c r="AA212" s="309">
        <f t="shared" si="137"/>
        <v>2.9320427168224401</v>
      </c>
      <c r="AB212" s="309">
        <f t="shared" si="137"/>
        <v>2.9840459421933998</v>
      </c>
      <c r="AC212" s="309">
        <f t="shared" si="137"/>
        <v>3.0344593063219509</v>
      </c>
      <c r="AD212" s="309">
        <f t="shared" si="137"/>
        <v>3.0838751613842836</v>
      </c>
      <c r="AE212" s="309">
        <f t="shared" si="137"/>
        <v>3.1322289124165037</v>
      </c>
      <c r="AF212" s="309">
        <f t="shared" si="137"/>
        <v>3.1794550564951871</v>
      </c>
      <c r="AG212" s="309">
        <f t="shared" si="137"/>
        <v>3.2254872080761245</v>
      </c>
      <c r="AI212" s="305"/>
      <c r="AJ212" s="339" t="s">
        <v>1363</v>
      </c>
    </row>
    <row r="213" spans="1:36" s="62" customFormat="1" outlineLevel="1" x14ac:dyDescent="0.2">
      <c r="A213" s="311" t="s">
        <v>1369</v>
      </c>
      <c r="B213" s="312" t="s">
        <v>462</v>
      </c>
      <c r="C213" s="313">
        <f>C211*C179</f>
        <v>4.1041144694761531</v>
      </c>
      <c r="D213" s="313">
        <f t="shared" ref="D213:AG213" si="138">D211*D179</f>
        <v>4.2236579780598227</v>
      </c>
      <c r="E213" s="313">
        <f t="shared" si="138"/>
        <v>4.3349006368332299</v>
      </c>
      <c r="F213" s="313">
        <f t="shared" si="138"/>
        <v>4.437015625817506</v>
      </c>
      <c r="G213" s="313">
        <f t="shared" si="138"/>
        <v>4.5292307575345898</v>
      </c>
      <c r="H213" s="313">
        <f t="shared" si="138"/>
        <v>4.6108381760700645</v>
      </c>
      <c r="I213" s="313">
        <f t="shared" si="138"/>
        <v>4.6735557694523919</v>
      </c>
      <c r="J213" s="313">
        <f t="shared" si="138"/>
        <v>4.7343970322583235</v>
      </c>
      <c r="K213" s="313">
        <f t="shared" si="138"/>
        <v>4.7932574112047117</v>
      </c>
      <c r="L213" s="313">
        <f t="shared" si="138"/>
        <v>4.8500338973957513</v>
      </c>
      <c r="M213" s="313">
        <f t="shared" si="138"/>
        <v>4.9046252923807909</v>
      </c>
      <c r="N213" s="313">
        <f t="shared" si="138"/>
        <v>4.9481510329267211</v>
      </c>
      <c r="O213" s="313">
        <f t="shared" si="138"/>
        <v>4.9825443281070774</v>
      </c>
      <c r="P213" s="313">
        <f t="shared" si="138"/>
        <v>4.9931816617091718</v>
      </c>
      <c r="Q213" s="313">
        <f t="shared" si="138"/>
        <v>4.9935020033178512</v>
      </c>
      <c r="R213" s="313">
        <f t="shared" si="138"/>
        <v>4.983471632715216</v>
      </c>
      <c r="S213" s="313">
        <f t="shared" si="138"/>
        <v>4.9731608494627881</v>
      </c>
      <c r="T213" s="313">
        <f t="shared" si="138"/>
        <v>4.9614788832618206</v>
      </c>
      <c r="U213" s="313">
        <f t="shared" si="138"/>
        <v>4.9484223052724836</v>
      </c>
      <c r="V213" s="313">
        <f t="shared" si="138"/>
        <v>4.9339885663026299</v>
      </c>
      <c r="W213" s="313">
        <f t="shared" si="138"/>
        <v>4.9181760096742959</v>
      </c>
      <c r="X213" s="313">
        <f t="shared" si="138"/>
        <v>4.8990164911245335</v>
      </c>
      <c r="Y213" s="313">
        <f t="shared" si="138"/>
        <v>4.8804549182745065</v>
      </c>
      <c r="Z213" s="313">
        <f t="shared" si="138"/>
        <v>4.8329129736423724</v>
      </c>
      <c r="AA213" s="313">
        <f t="shared" si="138"/>
        <v>4.7838591695524082</v>
      </c>
      <c r="AB213" s="313">
        <f t="shared" si="138"/>
        <v>4.7333142531343642</v>
      </c>
      <c r="AC213" s="313">
        <f t="shared" si="138"/>
        <v>4.6802677436491162</v>
      </c>
      <c r="AD213" s="313">
        <f t="shared" si="138"/>
        <v>4.6258127420764312</v>
      </c>
      <c r="AE213" s="313">
        <f t="shared" si="138"/>
        <v>4.569973331230643</v>
      </c>
      <c r="AF213" s="313">
        <f t="shared" si="138"/>
        <v>4.512774918896401</v>
      </c>
      <c r="AG213" s="313">
        <f t="shared" si="138"/>
        <v>4.454244239724173</v>
      </c>
      <c r="AI213" s="342"/>
      <c r="AJ213" s="341" t="s">
        <v>1363</v>
      </c>
    </row>
    <row r="214" spans="1:36" s="1" customFormat="1" outlineLevel="1" x14ac:dyDescent="0.2">
      <c r="A214" t="s">
        <v>1370</v>
      </c>
      <c r="B214" s="302" t="s">
        <v>704</v>
      </c>
      <c r="C214" s="249">
        <f>C180*C211</f>
        <v>4.998600956413263</v>
      </c>
      <c r="D214" s="249">
        <f t="shared" ref="D214:AG214" si="139">D180*D211</f>
        <v>5.1612372274998259</v>
      </c>
      <c r="E214" s="249">
        <f t="shared" si="139"/>
        <v>5.3149651286390034</v>
      </c>
      <c r="F214" s="249">
        <f t="shared" si="139"/>
        <v>5.4586968554465365</v>
      </c>
      <c r="G214" s="249">
        <f t="shared" si="139"/>
        <v>5.5913954927086298</v>
      </c>
      <c r="H214" s="249">
        <f t="shared" si="139"/>
        <v>5.7120874725867976</v>
      </c>
      <c r="I214" s="249">
        <f t="shared" si="139"/>
        <v>5.8103666322921628</v>
      </c>
      <c r="J214" s="249">
        <f t="shared" si="139"/>
        <v>5.9072362970677705</v>
      </c>
      <c r="K214" s="249">
        <f t="shared" si="139"/>
        <v>6.0025654736646139</v>
      </c>
      <c r="L214" s="249">
        <f t="shared" si="139"/>
        <v>6.0962231626988252</v>
      </c>
      <c r="M214" s="249">
        <f t="shared" si="139"/>
        <v>6.1880786399196888</v>
      </c>
      <c r="N214" s="249">
        <f t="shared" si="139"/>
        <v>6.266879963871812</v>
      </c>
      <c r="O214" s="249">
        <f t="shared" si="139"/>
        <v>6.3349492171647102</v>
      </c>
      <c r="P214" s="249">
        <f t="shared" si="139"/>
        <v>6.3735083229989646</v>
      </c>
      <c r="Q214" s="249">
        <f t="shared" si="139"/>
        <v>6.3994394605626814</v>
      </c>
      <c r="R214" s="249">
        <f t="shared" si="139"/>
        <v>6.4125554097438409</v>
      </c>
      <c r="S214" s="249">
        <f t="shared" si="139"/>
        <v>6.4257177312365696</v>
      </c>
      <c r="T214" s="249">
        <f t="shared" si="139"/>
        <v>6.4375188510322099</v>
      </c>
      <c r="U214" s="249">
        <f t="shared" si="139"/>
        <v>6.4479442159611127</v>
      </c>
      <c r="V214" s="249">
        <f t="shared" si="139"/>
        <v>6.4569799349827752</v>
      </c>
      <c r="W214" s="249">
        <f t="shared" si="139"/>
        <v>6.4646127962213642</v>
      </c>
      <c r="X214" s="249">
        <f t="shared" si="139"/>
        <v>6.4682327109378575</v>
      </c>
      <c r="Y214" s="249">
        <f t="shared" si="139"/>
        <v>6.473024417921974</v>
      </c>
      <c r="Z214" s="249">
        <f t="shared" si="139"/>
        <v>6.4395994675394341</v>
      </c>
      <c r="AA214" s="249">
        <f t="shared" si="139"/>
        <v>6.4041985656911224</v>
      </c>
      <c r="AB214" s="249">
        <f t="shared" si="139"/>
        <v>6.3668221611454037</v>
      </c>
      <c r="AC214" s="249">
        <f t="shared" si="139"/>
        <v>6.3260761809762736</v>
      </c>
      <c r="AD214" s="249">
        <f t="shared" si="139"/>
        <v>6.2833956413204817</v>
      </c>
      <c r="AE214" s="249">
        <f t="shared" si="139"/>
        <v>6.2387838173541876</v>
      </c>
      <c r="AF214" s="249">
        <f t="shared" si="139"/>
        <v>6.1922451301902273</v>
      </c>
      <c r="AG214" s="249">
        <f t="shared" si="139"/>
        <v>6.1437851582402381</v>
      </c>
      <c r="AI214" s="316"/>
      <c r="AJ214" s="211" t="s">
        <v>1363</v>
      </c>
    </row>
    <row r="215" spans="1:36" s="1" customFormat="1" outlineLevel="1" x14ac:dyDescent="0.2">
      <c r="A215" t="s">
        <v>1371</v>
      </c>
      <c r="B215" s="302" t="s">
        <v>704</v>
      </c>
      <c r="C215" s="249">
        <f>C181*C211</f>
        <v>0.26308426086385595</v>
      </c>
      <c r="D215" s="249">
        <f t="shared" ref="D215:AG215" si="140">D181*D211</f>
        <v>0.30038946826718571</v>
      </c>
      <c r="E215" s="249">
        <f t="shared" si="140"/>
        <v>0.33925309331738329</v>
      </c>
      <c r="F215" s="249">
        <f t="shared" si="140"/>
        <v>0.37948159957649735</v>
      </c>
      <c r="G215" s="249">
        <f t="shared" si="140"/>
        <v>0.42085772525763898</v>
      </c>
      <c r="H215" s="249">
        <f t="shared" si="140"/>
        <v>0.46314222750703787</v>
      </c>
      <c r="I215" s="249">
        <f t="shared" si="140"/>
        <v>0.50524927237323169</v>
      </c>
      <c r="J215" s="249">
        <f t="shared" si="140"/>
        <v>0.54875965601176036</v>
      </c>
      <c r="K215" s="249">
        <f t="shared" si="140"/>
        <v>0.59366032157122584</v>
      </c>
      <c r="L215" s="249">
        <f t="shared" si="140"/>
        <v>0.63993502812860625</v>
      </c>
      <c r="M215" s="249">
        <f t="shared" si="140"/>
        <v>0.68756429332441027</v>
      </c>
      <c r="N215" s="249">
        <f t="shared" si="140"/>
        <v>0.73522055442071588</v>
      </c>
      <c r="O215" s="249">
        <f t="shared" si="140"/>
        <v>0.78297125155968372</v>
      </c>
      <c r="P215" s="249">
        <f t="shared" si="140"/>
        <v>0.82819599677387734</v>
      </c>
      <c r="Q215" s="249">
        <f t="shared" si="140"/>
        <v>0.87265083553127532</v>
      </c>
      <c r="R215" s="249">
        <f t="shared" si="140"/>
        <v>0.91607934424912074</v>
      </c>
      <c r="S215" s="249">
        <f t="shared" si="140"/>
        <v>0.96016471846063733</v>
      </c>
      <c r="T215" s="249">
        <f t="shared" si="140"/>
        <v>1.0046994738605188</v>
      </c>
      <c r="U215" s="249">
        <f t="shared" si="140"/>
        <v>1.0496653374820422</v>
      </c>
      <c r="V215" s="249">
        <f t="shared" si="140"/>
        <v>1.0950433807865532</v>
      </c>
      <c r="W215" s="249">
        <f t="shared" si="140"/>
        <v>1.1408140228625945</v>
      </c>
      <c r="X215" s="249">
        <f t="shared" si="140"/>
        <v>1.1864805564442231</v>
      </c>
      <c r="Y215" s="249">
        <f t="shared" si="140"/>
        <v>1.2329570319851388</v>
      </c>
      <c r="Z215" s="249">
        <f t="shared" si="140"/>
        <v>1.2724957031664759</v>
      </c>
      <c r="AA215" s="249">
        <f t="shared" si="140"/>
        <v>1.311703320683725</v>
      </c>
      <c r="AB215" s="249">
        <f t="shared" si="140"/>
        <v>1.3505380341823594</v>
      </c>
      <c r="AC215" s="249">
        <f t="shared" si="140"/>
        <v>1.388650868994793</v>
      </c>
      <c r="AD215" s="249">
        <f t="shared" si="140"/>
        <v>1.4262922621402332</v>
      </c>
      <c r="AE215" s="249">
        <f t="shared" si="140"/>
        <v>1.4634184262929588</v>
      </c>
      <c r="AF215" s="249">
        <f t="shared" si="140"/>
        <v>1.4999848452013607</v>
      </c>
      <c r="AG215" s="249">
        <f t="shared" si="140"/>
        <v>1.5359462895600595</v>
      </c>
      <c r="AI215" s="316"/>
      <c r="AJ215" s="211" t="s">
        <v>1363</v>
      </c>
    </row>
    <row r="216" spans="1:36" s="1" customFormat="1" outlineLevel="1" x14ac:dyDescent="0.2">
      <c r="A216" t="s">
        <v>1372</v>
      </c>
      <c r="B216" s="302" t="s">
        <v>704</v>
      </c>
      <c r="C216" s="249">
        <f>C214*C182</f>
        <v>0.74979014346198947</v>
      </c>
      <c r="D216" s="249">
        <f t="shared" ref="D216:AG216" si="141">D214*D182</f>
        <v>0.80687341989913941</v>
      </c>
      <c r="E216" s="249">
        <f t="shared" si="141"/>
        <v>0.86456766092527781</v>
      </c>
      <c r="F216" s="249">
        <f t="shared" si="141"/>
        <v>0.92251976857046458</v>
      </c>
      <c r="G216" s="249">
        <f t="shared" si="141"/>
        <v>0.9803580097215796</v>
      </c>
      <c r="H216" s="249">
        <f t="shared" si="141"/>
        <v>1.0376958908532681</v>
      </c>
      <c r="I216" s="249">
        <f t="shared" si="141"/>
        <v>1.0923489268709266</v>
      </c>
      <c r="J216" s="249">
        <f t="shared" si="141"/>
        <v>1.1479729203968365</v>
      </c>
      <c r="K216" s="249">
        <f t="shared" si="141"/>
        <v>1.2045148050486989</v>
      </c>
      <c r="L216" s="249">
        <f t="shared" si="141"/>
        <v>1.2619181946786566</v>
      </c>
      <c r="M216" s="249">
        <f t="shared" si="141"/>
        <v>1.3201234431828668</v>
      </c>
      <c r="N216" s="249">
        <f t="shared" si="141"/>
        <v>1.3766246320638411</v>
      </c>
      <c r="O216" s="249">
        <f t="shared" si="141"/>
        <v>1.4316985230792243</v>
      </c>
      <c r="P216" s="249">
        <f t="shared" si="141"/>
        <v>1.4807784337100924</v>
      </c>
      <c r="Q216" s="249">
        <f t="shared" si="141"/>
        <v>1.5273328845876262</v>
      </c>
      <c r="R216" s="249">
        <f t="shared" si="141"/>
        <v>1.5710760753872406</v>
      </c>
      <c r="S216" s="249">
        <f t="shared" si="141"/>
        <v>1.6149970564507909</v>
      </c>
      <c r="T216" s="249">
        <f t="shared" si="141"/>
        <v>1.6587340239492994</v>
      </c>
      <c r="U216" s="249">
        <f t="shared" si="141"/>
        <v>1.7022572730137338</v>
      </c>
      <c r="V216" s="249">
        <f t="shared" si="141"/>
        <v>1.7455369090903439</v>
      </c>
      <c r="W216" s="249">
        <f t="shared" si="141"/>
        <v>1.7885428736212445</v>
      </c>
      <c r="X216" s="249">
        <f t="shared" si="141"/>
        <v>1.8305098571954141</v>
      </c>
      <c r="Y216" s="249">
        <f t="shared" si="141"/>
        <v>1.8728617315854252</v>
      </c>
      <c r="Z216" s="249">
        <f t="shared" si="141"/>
        <v>1.9039749092358269</v>
      </c>
      <c r="AA216" s="249">
        <f t="shared" si="141"/>
        <v>1.93406796683872</v>
      </c>
      <c r="AB216" s="249">
        <f t="shared" si="141"/>
        <v>1.9631034996865007</v>
      </c>
      <c r="AC216" s="249">
        <f t="shared" si="141"/>
        <v>1.9906053049472021</v>
      </c>
      <c r="AD216" s="249">
        <f t="shared" si="141"/>
        <v>2.0169700008638762</v>
      </c>
      <c r="AE216" s="249">
        <f t="shared" si="141"/>
        <v>2.0421619028806055</v>
      </c>
      <c r="AF216" s="249">
        <f t="shared" si="141"/>
        <v>2.066145791773474</v>
      </c>
      <c r="AG216" s="249">
        <f t="shared" si="141"/>
        <v>2.0888869538016812</v>
      </c>
      <c r="AI216" s="316"/>
      <c r="AJ216" s="211" t="s">
        <v>1363</v>
      </c>
    </row>
    <row r="217" spans="1:36" s="1" customFormat="1" outlineLevel="1" x14ac:dyDescent="0.2">
      <c r="A217" t="s">
        <v>1373</v>
      </c>
      <c r="B217" s="302" t="s">
        <v>704</v>
      </c>
      <c r="C217" s="249">
        <f>C214*C183</f>
        <v>4.2488108129512732</v>
      </c>
      <c r="D217" s="249">
        <f t="shared" ref="D217:AG217" si="142">D214*D183</f>
        <v>4.354363807600687</v>
      </c>
      <c r="E217" s="249">
        <f t="shared" si="142"/>
        <v>4.4503974677137261</v>
      </c>
      <c r="F217" s="249">
        <f t="shared" si="142"/>
        <v>4.536177086876072</v>
      </c>
      <c r="G217" s="249">
        <f t="shared" si="142"/>
        <v>4.6110374829870509</v>
      </c>
      <c r="H217" s="249">
        <f t="shared" si="142"/>
        <v>4.6743915817335298</v>
      </c>
      <c r="I217" s="249">
        <f t="shared" si="142"/>
        <v>4.7180177054212376</v>
      </c>
      <c r="J217" s="249">
        <f t="shared" si="142"/>
        <v>4.7592633766709351</v>
      </c>
      <c r="K217" s="249">
        <f t="shared" si="142"/>
        <v>4.7980506686159163</v>
      </c>
      <c r="L217" s="249">
        <f t="shared" si="142"/>
        <v>4.8343049680201702</v>
      </c>
      <c r="M217" s="249">
        <f t="shared" si="142"/>
        <v>4.8679551967368235</v>
      </c>
      <c r="N217" s="249">
        <f t="shared" si="142"/>
        <v>4.8902553318079729</v>
      </c>
      <c r="O217" s="249">
        <f t="shared" si="142"/>
        <v>4.9032506940854876</v>
      </c>
      <c r="P217" s="249">
        <f t="shared" si="142"/>
        <v>4.8927298892888746</v>
      </c>
      <c r="Q217" s="249">
        <f t="shared" si="142"/>
        <v>4.8721065759750575</v>
      </c>
      <c r="R217" s="249">
        <f t="shared" si="142"/>
        <v>4.8414793343566025</v>
      </c>
      <c r="S217" s="249">
        <f t="shared" si="142"/>
        <v>4.8107206747857818</v>
      </c>
      <c r="T217" s="249">
        <f t="shared" si="142"/>
        <v>4.7787848270829141</v>
      </c>
      <c r="U217" s="249">
        <f t="shared" si="142"/>
        <v>4.7456869429473825</v>
      </c>
      <c r="V217" s="249">
        <f t="shared" si="142"/>
        <v>4.7114430258924358</v>
      </c>
      <c r="W217" s="249">
        <f t="shared" si="142"/>
        <v>4.6760699226001243</v>
      </c>
      <c r="X217" s="249">
        <f t="shared" si="142"/>
        <v>4.6377228537424475</v>
      </c>
      <c r="Y217" s="249">
        <f t="shared" si="142"/>
        <v>4.6001626863365539</v>
      </c>
      <c r="Z217" s="249">
        <f t="shared" si="142"/>
        <v>4.5356245583036126</v>
      </c>
      <c r="AA217" s="249">
        <f t="shared" si="142"/>
        <v>4.4701305988524078</v>
      </c>
      <c r="AB217" s="249">
        <f t="shared" si="142"/>
        <v>4.4037186614589094</v>
      </c>
      <c r="AC217" s="249">
        <f t="shared" si="142"/>
        <v>4.3354708760290777</v>
      </c>
      <c r="AD217" s="249">
        <f t="shared" si="142"/>
        <v>4.2664256404566121</v>
      </c>
      <c r="AE217" s="249">
        <f t="shared" si="142"/>
        <v>4.1966219144735888</v>
      </c>
      <c r="AF217" s="249">
        <f t="shared" si="142"/>
        <v>4.1260993384167604</v>
      </c>
      <c r="AG217" s="249">
        <f t="shared" si="142"/>
        <v>4.0548982044385573</v>
      </c>
      <c r="AI217" s="316"/>
      <c r="AJ217" s="211" t="s">
        <v>1363</v>
      </c>
    </row>
    <row r="218" spans="1:36" s="1" customFormat="1" outlineLevel="1" x14ac:dyDescent="0.2">
      <c r="A218" t="s">
        <v>1374</v>
      </c>
      <c r="B218" s="302" t="s">
        <v>704</v>
      </c>
      <c r="C218" s="249">
        <f>C184*C217</f>
        <v>0</v>
      </c>
      <c r="D218" s="249">
        <f t="shared" ref="D218:AG218" si="143">D184*D217</f>
        <v>0</v>
      </c>
      <c r="E218" s="249">
        <f t="shared" si="143"/>
        <v>0</v>
      </c>
      <c r="F218" s="249">
        <f t="shared" si="143"/>
        <v>0</v>
      </c>
      <c r="G218" s="249">
        <f t="shared" si="143"/>
        <v>0</v>
      </c>
      <c r="H218" s="249">
        <f t="shared" si="143"/>
        <v>0</v>
      </c>
      <c r="I218" s="249">
        <f t="shared" si="143"/>
        <v>0</v>
      </c>
      <c r="J218" s="249">
        <f t="shared" si="143"/>
        <v>0</v>
      </c>
      <c r="K218" s="249">
        <f t="shared" si="143"/>
        <v>0</v>
      </c>
      <c r="L218" s="249">
        <f t="shared" si="143"/>
        <v>0</v>
      </c>
      <c r="M218" s="249">
        <f t="shared" si="143"/>
        <v>0</v>
      </c>
      <c r="N218" s="249">
        <f t="shared" si="143"/>
        <v>0</v>
      </c>
      <c r="O218" s="249">
        <f t="shared" si="143"/>
        <v>0</v>
      </c>
      <c r="P218" s="249">
        <f t="shared" si="143"/>
        <v>0</v>
      </c>
      <c r="Q218" s="249">
        <f t="shared" si="143"/>
        <v>0</v>
      </c>
      <c r="R218" s="249">
        <f t="shared" si="143"/>
        <v>0</v>
      </c>
      <c r="S218" s="249">
        <f t="shared" si="143"/>
        <v>0</v>
      </c>
      <c r="T218" s="249">
        <f t="shared" si="143"/>
        <v>0</v>
      </c>
      <c r="U218" s="249">
        <f t="shared" si="143"/>
        <v>0</v>
      </c>
      <c r="V218" s="249">
        <f t="shared" si="143"/>
        <v>0</v>
      </c>
      <c r="W218" s="249">
        <f t="shared" si="143"/>
        <v>0</v>
      </c>
      <c r="X218" s="249">
        <f t="shared" si="143"/>
        <v>0</v>
      </c>
      <c r="Y218" s="249">
        <f t="shared" si="143"/>
        <v>0</v>
      </c>
      <c r="Z218" s="249">
        <f t="shared" si="143"/>
        <v>0</v>
      </c>
      <c r="AA218" s="249">
        <f t="shared" si="143"/>
        <v>0</v>
      </c>
      <c r="AB218" s="249">
        <f t="shared" si="143"/>
        <v>0</v>
      </c>
      <c r="AC218" s="249">
        <f t="shared" si="143"/>
        <v>0</v>
      </c>
      <c r="AD218" s="249">
        <f t="shared" si="143"/>
        <v>0</v>
      </c>
      <c r="AE218" s="249">
        <f t="shared" si="143"/>
        <v>0</v>
      </c>
      <c r="AF218" s="249">
        <f t="shared" si="143"/>
        <v>0</v>
      </c>
      <c r="AG218" s="249">
        <f t="shared" si="143"/>
        <v>0</v>
      </c>
      <c r="AI218" s="316"/>
      <c r="AJ218" s="211" t="s">
        <v>1363</v>
      </c>
    </row>
    <row r="219" spans="1:36" s="1" customFormat="1" outlineLevel="1" x14ac:dyDescent="0.2">
      <c r="A219" t="s">
        <v>1388</v>
      </c>
      <c r="B219" s="302" t="s">
        <v>704</v>
      </c>
      <c r="C219" s="249">
        <f>C185*C217</f>
        <v>4.2488108129512732</v>
      </c>
      <c r="D219" s="249">
        <f t="shared" ref="D219:AG219" si="144">D185*D217</f>
        <v>4.354363807600687</v>
      </c>
      <c r="E219" s="249">
        <f t="shared" si="144"/>
        <v>4.4503974677137261</v>
      </c>
      <c r="F219" s="249">
        <f t="shared" si="144"/>
        <v>4.536177086876072</v>
      </c>
      <c r="G219" s="249">
        <f t="shared" si="144"/>
        <v>4.6110374829870509</v>
      </c>
      <c r="H219" s="249">
        <f t="shared" si="144"/>
        <v>4.6743915817335298</v>
      </c>
      <c r="I219" s="249">
        <f t="shared" si="144"/>
        <v>4.7180177054212376</v>
      </c>
      <c r="J219" s="249">
        <f t="shared" si="144"/>
        <v>4.7592633766709351</v>
      </c>
      <c r="K219" s="249">
        <f t="shared" si="144"/>
        <v>4.7980506686159163</v>
      </c>
      <c r="L219" s="249">
        <f t="shared" si="144"/>
        <v>4.8343049680201702</v>
      </c>
      <c r="M219" s="249">
        <f t="shared" si="144"/>
        <v>4.8679551967368235</v>
      </c>
      <c r="N219" s="249">
        <f t="shared" si="144"/>
        <v>4.8902553318079729</v>
      </c>
      <c r="O219" s="249">
        <f t="shared" si="144"/>
        <v>4.9032506940854876</v>
      </c>
      <c r="P219" s="249">
        <f t="shared" si="144"/>
        <v>4.8927298892888746</v>
      </c>
      <c r="Q219" s="249">
        <f t="shared" si="144"/>
        <v>4.8721065759750575</v>
      </c>
      <c r="R219" s="249">
        <f t="shared" si="144"/>
        <v>4.8414793343566025</v>
      </c>
      <c r="S219" s="249">
        <f t="shared" si="144"/>
        <v>4.8107206747857818</v>
      </c>
      <c r="T219" s="249">
        <f t="shared" si="144"/>
        <v>4.7787848270829141</v>
      </c>
      <c r="U219" s="249">
        <f t="shared" si="144"/>
        <v>4.7456869429473825</v>
      </c>
      <c r="V219" s="249">
        <f t="shared" si="144"/>
        <v>4.7114430258924358</v>
      </c>
      <c r="W219" s="249">
        <f t="shared" si="144"/>
        <v>4.6760699226001243</v>
      </c>
      <c r="X219" s="249">
        <f t="shared" si="144"/>
        <v>4.6377228537424475</v>
      </c>
      <c r="Y219" s="249">
        <f t="shared" si="144"/>
        <v>4.6001626863365539</v>
      </c>
      <c r="Z219" s="249">
        <f t="shared" si="144"/>
        <v>4.5356245583036126</v>
      </c>
      <c r="AA219" s="249">
        <f t="shared" si="144"/>
        <v>4.4701305988524078</v>
      </c>
      <c r="AB219" s="249">
        <f t="shared" si="144"/>
        <v>4.4037186614589094</v>
      </c>
      <c r="AC219" s="249">
        <f t="shared" si="144"/>
        <v>4.3354708760290777</v>
      </c>
      <c r="AD219" s="249">
        <f t="shared" si="144"/>
        <v>4.2664256404566121</v>
      </c>
      <c r="AE219" s="249">
        <f t="shared" si="144"/>
        <v>4.1966219144735888</v>
      </c>
      <c r="AF219" s="249">
        <f t="shared" si="144"/>
        <v>4.1260993384167604</v>
      </c>
      <c r="AG219" s="249">
        <f t="shared" si="144"/>
        <v>4.0548982044385573</v>
      </c>
      <c r="AI219" s="316"/>
      <c r="AJ219" s="211" t="s">
        <v>1363</v>
      </c>
    </row>
    <row r="220" spans="1:36" s="1" customFormat="1" outlineLevel="1" x14ac:dyDescent="0.2">
      <c r="A220" t="s">
        <v>1376</v>
      </c>
      <c r="B220" s="302" t="s">
        <v>704</v>
      </c>
      <c r="C220" s="249">
        <f>C186*(C218+C216)</f>
        <v>0.59983211476959164</v>
      </c>
      <c r="D220" s="249">
        <f t="shared" ref="D220:AG220" si="145">D186*(D218+D216)</f>
        <v>0.64818831398564203</v>
      </c>
      <c r="E220" s="249">
        <f t="shared" si="145"/>
        <v>0.69741791314639079</v>
      </c>
      <c r="F220" s="249">
        <f t="shared" si="145"/>
        <v>0.74724101254207631</v>
      </c>
      <c r="G220" s="249">
        <f t="shared" si="145"/>
        <v>0.79735784790688469</v>
      </c>
      <c r="H220" s="249">
        <f t="shared" si="145"/>
        <v>0.8474516441968355</v>
      </c>
      <c r="I220" s="249">
        <f t="shared" si="145"/>
        <v>0.89572612003415963</v>
      </c>
      <c r="J220" s="249">
        <f t="shared" si="145"/>
        <v>0.94516437112672846</v>
      </c>
      <c r="K220" s="249">
        <f t="shared" si="145"/>
        <v>0.99573223884025752</v>
      </c>
      <c r="L220" s="249">
        <f t="shared" si="145"/>
        <v>1.0473921015832848</v>
      </c>
      <c r="M220" s="249">
        <f t="shared" si="145"/>
        <v>1.1001028693190553</v>
      </c>
      <c r="N220" s="249">
        <f t="shared" si="145"/>
        <v>1.1517759421600799</v>
      </c>
      <c r="O220" s="249">
        <f t="shared" si="145"/>
        <v>1.2026267593865478</v>
      </c>
      <c r="P220" s="249">
        <f t="shared" si="145"/>
        <v>1.2487898124288441</v>
      </c>
      <c r="Q220" s="249">
        <f t="shared" si="145"/>
        <v>1.2931418422841896</v>
      </c>
      <c r="R220" s="249">
        <f t="shared" si="145"/>
        <v>1.3354146640791538</v>
      </c>
      <c r="S220" s="249">
        <f t="shared" si="145"/>
        <v>1.3781308215046741</v>
      </c>
      <c r="T220" s="249">
        <f t="shared" si="145"/>
        <v>1.4209821471832322</v>
      </c>
      <c r="U220" s="249">
        <f t="shared" si="145"/>
        <v>1.46394125479181</v>
      </c>
      <c r="V220" s="249">
        <f t="shared" si="145"/>
        <v>1.5069801981813291</v>
      </c>
      <c r="W220" s="249">
        <f t="shared" si="145"/>
        <v>1.5500704904717442</v>
      </c>
      <c r="X220" s="249">
        <f t="shared" si="145"/>
        <v>1.592543575760009</v>
      </c>
      <c r="Y220" s="249">
        <f t="shared" si="145"/>
        <v>1.6356325789179367</v>
      </c>
      <c r="Z220" s="249">
        <f t="shared" si="145"/>
        <v>1.6691513370967401</v>
      </c>
      <c r="AA220" s="249">
        <f t="shared" si="145"/>
        <v>1.7019798108180721</v>
      </c>
      <c r="AB220" s="249">
        <f t="shared" si="145"/>
        <v>1.7340747580564073</v>
      </c>
      <c r="AC220" s="249">
        <f t="shared" si="145"/>
        <v>1.7650033703865176</v>
      </c>
      <c r="AD220" s="249">
        <f t="shared" si="145"/>
        <v>1.7951033007688482</v>
      </c>
      <c r="AE220" s="249">
        <f t="shared" si="145"/>
        <v>1.8243312999066723</v>
      </c>
      <c r="AF220" s="249">
        <f t="shared" si="145"/>
        <v>1.8526440599568799</v>
      </c>
      <c r="AG220" s="249">
        <f t="shared" si="145"/>
        <v>1.8799982584215131</v>
      </c>
      <c r="AH220" s="249"/>
      <c r="AI220" s="316"/>
      <c r="AJ220" s="211" t="s">
        <v>1363</v>
      </c>
    </row>
    <row r="221" spans="1:36" s="1" customFormat="1" outlineLevel="1" x14ac:dyDescent="0.2">
      <c r="A221" t="s">
        <v>1377</v>
      </c>
      <c r="B221" s="302" t="s">
        <v>704</v>
      </c>
      <c r="C221" s="249">
        <f>C187*(C218+C216)</f>
        <v>0.14995802869239791</v>
      </c>
      <c r="D221" s="249">
        <f t="shared" ref="D221:AG221" si="146">D187*(D218+D216)</f>
        <v>0.15868510591349744</v>
      </c>
      <c r="E221" s="249">
        <f t="shared" si="146"/>
        <v>0.16714974777888705</v>
      </c>
      <c r="F221" s="249">
        <f t="shared" si="146"/>
        <v>0.1752787560283883</v>
      </c>
      <c r="G221" s="249">
        <f t="shared" si="146"/>
        <v>0.18300016181469489</v>
      </c>
      <c r="H221" s="249">
        <f t="shared" si="146"/>
        <v>0.19024424665643253</v>
      </c>
      <c r="I221" s="249">
        <f t="shared" si="146"/>
        <v>0.19662280683676683</v>
      </c>
      <c r="J221" s="249">
        <f t="shared" si="146"/>
        <v>0.20280854927010786</v>
      </c>
      <c r="K221" s="249">
        <f t="shared" si="146"/>
        <v>0.20878256620844121</v>
      </c>
      <c r="L221" s="249">
        <f t="shared" si="146"/>
        <v>0.21452609309537171</v>
      </c>
      <c r="M221" s="249">
        <f t="shared" si="146"/>
        <v>0.22002057386381124</v>
      </c>
      <c r="N221" s="249">
        <f t="shared" si="146"/>
        <v>0.22484868990376083</v>
      </c>
      <c r="O221" s="249">
        <f t="shared" si="146"/>
        <v>0.22907176369267601</v>
      </c>
      <c r="P221" s="249">
        <f t="shared" si="146"/>
        <v>0.23198862128124795</v>
      </c>
      <c r="Q221" s="249">
        <f t="shared" si="146"/>
        <v>0.23419104230343615</v>
      </c>
      <c r="R221" s="249">
        <f t="shared" si="146"/>
        <v>0.23566141130808627</v>
      </c>
      <c r="S221" s="249">
        <f t="shared" si="146"/>
        <v>0.23686623494611619</v>
      </c>
      <c r="T221" s="249">
        <f t="shared" si="146"/>
        <v>0.23775187676606643</v>
      </c>
      <c r="U221" s="249">
        <f t="shared" si="146"/>
        <v>0.23831601822192294</v>
      </c>
      <c r="V221" s="249">
        <f t="shared" si="146"/>
        <v>0.2385567109090139</v>
      </c>
      <c r="W221" s="249">
        <f t="shared" si="146"/>
        <v>0.23847238314949951</v>
      </c>
      <c r="X221" s="249">
        <f t="shared" si="146"/>
        <v>0.2379662814354041</v>
      </c>
      <c r="Y221" s="249">
        <f t="shared" si="146"/>
        <v>0.23722915266748748</v>
      </c>
      <c r="Z221" s="249">
        <f t="shared" si="146"/>
        <v>0.23482357213908561</v>
      </c>
      <c r="AA221" s="249">
        <f t="shared" si="146"/>
        <v>0.2320881560206467</v>
      </c>
      <c r="AB221" s="249">
        <f t="shared" si="146"/>
        <v>0.22902874163009207</v>
      </c>
      <c r="AC221" s="249">
        <f t="shared" si="146"/>
        <v>0.22560193456068325</v>
      </c>
      <c r="AD221" s="249">
        <f t="shared" si="146"/>
        <v>0.22186670009502676</v>
      </c>
      <c r="AE221" s="249">
        <f t="shared" si="146"/>
        <v>0.21783060297393164</v>
      </c>
      <c r="AF221" s="249">
        <f t="shared" si="146"/>
        <v>0.21350173181659271</v>
      </c>
      <c r="AG221" s="249">
        <f t="shared" si="146"/>
        <v>0.20888869538016813</v>
      </c>
      <c r="AI221" s="316"/>
      <c r="AJ221" s="211" t="s">
        <v>1363</v>
      </c>
    </row>
    <row r="222" spans="1:36" s="1" customFormat="1" outlineLevel="1" x14ac:dyDescent="0.2">
      <c r="A222" t="s">
        <v>1378</v>
      </c>
      <c r="B222" s="302" t="s">
        <v>704</v>
      </c>
      <c r="C222" s="249">
        <f>C215*C188</f>
        <v>0.24993004782066314</v>
      </c>
      <c r="D222" s="249">
        <f t="shared" ref="D222:AG222" si="147">D215*D188</f>
        <v>0.2849694755628035</v>
      </c>
      <c r="E222" s="249">
        <f t="shared" si="147"/>
        <v>0.32138576373600114</v>
      </c>
      <c r="F222" s="249">
        <f t="shared" si="147"/>
        <v>0.35898959319936652</v>
      </c>
      <c r="G222" s="249">
        <f t="shared" si="147"/>
        <v>0.39757026446004967</v>
      </c>
      <c r="H222" s="249">
        <f t="shared" si="147"/>
        <v>0.43689750128163912</v>
      </c>
      <c r="I222" s="249">
        <f t="shared" si="147"/>
        <v>0.47594481457558435</v>
      </c>
      <c r="J222" s="249">
        <f t="shared" si="147"/>
        <v>0.51619991642172935</v>
      </c>
      <c r="K222" s="249">
        <f t="shared" si="147"/>
        <v>0.55764492872923832</v>
      </c>
      <c r="L222" s="249">
        <f t="shared" si="147"/>
        <v>0.60025905638463284</v>
      </c>
      <c r="M222" s="249">
        <f t="shared" si="147"/>
        <v>0.64401855474719782</v>
      </c>
      <c r="N222" s="249">
        <f t="shared" si="147"/>
        <v>0.68767629190150981</v>
      </c>
      <c r="O222" s="249">
        <f t="shared" si="147"/>
        <v>0.73129514895674486</v>
      </c>
      <c r="P222" s="249">
        <f t="shared" si="147"/>
        <v>0.77243079965776995</v>
      </c>
      <c r="Q222" s="249">
        <f t="shared" si="147"/>
        <v>0.81272881149146148</v>
      </c>
      <c r="R222" s="249">
        <f t="shared" si="147"/>
        <v>0.85195379015168271</v>
      </c>
      <c r="S222" s="249">
        <f t="shared" si="147"/>
        <v>0.89167296854377909</v>
      </c>
      <c r="T222" s="249">
        <f t="shared" si="147"/>
        <v>0.93169131209332168</v>
      </c>
      <c r="U222" s="249">
        <f t="shared" si="147"/>
        <v>0.9719901025083717</v>
      </c>
      <c r="V222" s="249">
        <f t="shared" si="147"/>
        <v>1.0125501127673002</v>
      </c>
      <c r="W222" s="249">
        <f t="shared" si="147"/>
        <v>1.0533516144431296</v>
      </c>
      <c r="X222" s="249">
        <f t="shared" si="147"/>
        <v>1.0939350730415747</v>
      </c>
      <c r="Y222" s="249">
        <f t="shared" si="147"/>
        <v>1.1351424407809854</v>
      </c>
      <c r="Z222" s="249">
        <f t="shared" si="147"/>
        <v>1.1698477164443812</v>
      </c>
      <c r="AA222" s="249">
        <f t="shared" si="147"/>
        <v>1.2041436483876606</v>
      </c>
      <c r="AB222" s="249">
        <f t="shared" si="147"/>
        <v>1.2379931980004972</v>
      </c>
      <c r="AC222" s="249">
        <f t="shared" si="147"/>
        <v>1.2710784287532351</v>
      </c>
      <c r="AD222" s="249">
        <f t="shared" si="147"/>
        <v>1.3036311275961745</v>
      </c>
      <c r="AE222" s="249">
        <f t="shared" si="147"/>
        <v>1.3356132170633752</v>
      </c>
      <c r="AF222" s="249">
        <f t="shared" si="147"/>
        <v>1.3669861889268415</v>
      </c>
      <c r="AG222" s="249">
        <f t="shared" si="147"/>
        <v>1.3977111234996542</v>
      </c>
      <c r="AI222" s="316"/>
      <c r="AJ222" s="211" t="s">
        <v>1363</v>
      </c>
    </row>
    <row r="223" spans="1:36" s="1" customFormat="1" outlineLevel="1" x14ac:dyDescent="0.2">
      <c r="A223" t="s">
        <v>1389</v>
      </c>
      <c r="B223" s="302" t="s">
        <v>704</v>
      </c>
      <c r="C223" s="249">
        <f>C215*C189</f>
        <v>1.3154213043192798E-2</v>
      </c>
      <c r="D223" s="249">
        <f t="shared" ref="D223:AG223" si="148">D215*D189</f>
        <v>1.5419992704382201E-2</v>
      </c>
      <c r="E223" s="249">
        <f t="shared" si="148"/>
        <v>1.7867329581382187E-2</v>
      </c>
      <c r="F223" s="249">
        <f t="shared" si="148"/>
        <v>2.0492006377130858E-2</v>
      </c>
      <c r="G223" s="249">
        <f t="shared" si="148"/>
        <v>2.3287460797589355E-2</v>
      </c>
      <c r="H223" s="249">
        <f t="shared" si="148"/>
        <v>2.624472622539881E-2</v>
      </c>
      <c r="I223" s="249">
        <f t="shared" si="148"/>
        <v>2.9304457797647437E-2</v>
      </c>
      <c r="J223" s="249">
        <f t="shared" si="148"/>
        <v>3.2559739590031112E-2</v>
      </c>
      <c r="K223" s="249">
        <f t="shared" si="148"/>
        <v>3.6015392841987695E-2</v>
      </c>
      <c r="L223" s="249">
        <f t="shared" si="148"/>
        <v>3.9675971743973582E-2</v>
      </c>
      <c r="M223" s="249">
        <f t="shared" si="148"/>
        <v>4.3545738577212646E-2</v>
      </c>
      <c r="N223" s="249">
        <f t="shared" si="148"/>
        <v>4.7544262519206293E-2</v>
      </c>
      <c r="O223" s="249">
        <f t="shared" si="148"/>
        <v>5.1676102602939131E-2</v>
      </c>
      <c r="P223" s="249">
        <f t="shared" si="148"/>
        <v>5.5765197116107751E-2</v>
      </c>
      <c r="Q223" s="249">
        <f t="shared" si="148"/>
        <v>5.9922024039814253E-2</v>
      </c>
      <c r="R223" s="249">
        <f t="shared" si="148"/>
        <v>6.4125554097438475E-2</v>
      </c>
      <c r="S223" s="249">
        <f t="shared" si="148"/>
        <v>6.8491749916858816E-2</v>
      </c>
      <c r="T223" s="249">
        <f t="shared" si="148"/>
        <v>7.3008161767197738E-2</v>
      </c>
      <c r="U223" s="249">
        <f t="shared" si="148"/>
        <v>7.7675234973671153E-2</v>
      </c>
      <c r="V223" s="249">
        <f t="shared" si="148"/>
        <v>8.2493268019253718E-2</v>
      </c>
      <c r="W223" s="249">
        <f t="shared" si="148"/>
        <v>8.7462408419465634E-2</v>
      </c>
      <c r="X223" s="249">
        <f t="shared" si="148"/>
        <v>9.2545483402649467E-2</v>
      </c>
      <c r="Y223" s="249">
        <f t="shared" si="148"/>
        <v>9.7814591204154422E-2</v>
      </c>
      <c r="Z223" s="249">
        <f t="shared" si="148"/>
        <v>0.10264798672209581</v>
      </c>
      <c r="AA223" s="249">
        <f t="shared" si="148"/>
        <v>0.10755967229606554</v>
      </c>
      <c r="AB223" s="249">
        <f t="shared" si="148"/>
        <v>0.11254483618186339</v>
      </c>
      <c r="AC223" s="249">
        <f t="shared" si="148"/>
        <v>0.11757244024155926</v>
      </c>
      <c r="AD223" s="249">
        <f t="shared" si="148"/>
        <v>0.12266113454406018</v>
      </c>
      <c r="AE223" s="249">
        <f t="shared" si="148"/>
        <v>0.12780520922958521</v>
      </c>
      <c r="AF223" s="249">
        <f t="shared" si="148"/>
        <v>0.13299865627452079</v>
      </c>
      <c r="AG223" s="249">
        <f t="shared" si="148"/>
        <v>0.13823516606040534</v>
      </c>
      <c r="AI223" s="316"/>
      <c r="AJ223" s="211" t="s">
        <v>1363</v>
      </c>
    </row>
    <row r="224" spans="1:36" s="1" customFormat="1" outlineLevel="1" x14ac:dyDescent="0.2">
      <c r="A224" t="s">
        <v>1380</v>
      </c>
      <c r="B224" s="302" t="s">
        <v>704</v>
      </c>
      <c r="C224" s="249">
        <f t="shared" ref="C224:AG224" si="149">C220*C190</f>
        <v>0.16195467098778976</v>
      </c>
      <c r="D224" s="249">
        <f t="shared" si="149"/>
        <v>0.17241809152018078</v>
      </c>
      <c r="E224" s="249">
        <f t="shared" si="149"/>
        <v>0.18272349324435438</v>
      </c>
      <c r="F224" s="249">
        <f t="shared" si="149"/>
        <v>0.1927881812358557</v>
      </c>
      <c r="G224" s="249">
        <f t="shared" si="149"/>
        <v>0.2025288933683487</v>
      </c>
      <c r="H224" s="249">
        <f t="shared" si="149"/>
        <v>0.21186291104920887</v>
      </c>
      <c r="I224" s="249">
        <f t="shared" si="149"/>
        <v>0.22034862552840326</v>
      </c>
      <c r="J224" s="249">
        <f t="shared" si="149"/>
        <v>0.22872977781266829</v>
      </c>
      <c r="K224" s="249">
        <f t="shared" si="149"/>
        <v>0.23698427284398127</v>
      </c>
      <c r="L224" s="249">
        <f t="shared" si="149"/>
        <v>0.24508975177048861</v>
      </c>
      <c r="M224" s="249">
        <f t="shared" si="149"/>
        <v>0.25302365994338272</v>
      </c>
      <c r="N224" s="249">
        <f t="shared" si="149"/>
        <v>0.26030136292817807</v>
      </c>
      <c r="O224" s="249">
        <f t="shared" si="149"/>
        <v>0.26698314058381362</v>
      </c>
      <c r="P224" s="249">
        <f t="shared" si="149"/>
        <v>0.272236179109488</v>
      </c>
      <c r="Q224" s="249">
        <f t="shared" si="149"/>
        <v>0.27673235424881654</v>
      </c>
      <c r="R224" s="249">
        <f t="shared" si="149"/>
        <v>0.28043707945662222</v>
      </c>
      <c r="S224" s="249">
        <f t="shared" si="149"/>
        <v>0.28389494922996283</v>
      </c>
      <c r="T224" s="249">
        <f t="shared" si="149"/>
        <v>0.28703839373101286</v>
      </c>
      <c r="U224" s="249">
        <f t="shared" si="149"/>
        <v>0.28986036844877833</v>
      </c>
      <c r="V224" s="249">
        <f t="shared" si="149"/>
        <v>0.29235415844717777</v>
      </c>
      <c r="W224" s="249">
        <f t="shared" si="149"/>
        <v>0.29451339318963132</v>
      </c>
      <c r="X224" s="249">
        <f t="shared" si="149"/>
        <v>0.29621310509136162</v>
      </c>
      <c r="Y224" s="249">
        <f t="shared" si="149"/>
        <v>0.29768512936306435</v>
      </c>
      <c r="Z224" s="249">
        <f t="shared" si="149"/>
        <v>0.29710893800321964</v>
      </c>
      <c r="AA224" s="249">
        <f t="shared" si="149"/>
        <v>0.29614448708234442</v>
      </c>
      <c r="AB224" s="249">
        <f t="shared" si="149"/>
        <v>0.29479270886958914</v>
      </c>
      <c r="AC224" s="249">
        <f t="shared" si="149"/>
        <v>0.29299055948416181</v>
      </c>
      <c r="AD224" s="249">
        <f t="shared" si="149"/>
        <v>0.29080673472455326</v>
      </c>
      <c r="AE224" s="249">
        <f t="shared" si="149"/>
        <v>0.28824434538525406</v>
      </c>
      <c r="AF224" s="249">
        <f t="shared" si="149"/>
        <v>0.28530718523335935</v>
      </c>
      <c r="AG224" s="249">
        <f t="shared" si="149"/>
        <v>0.28199973876322698</v>
      </c>
      <c r="AI224" s="316"/>
      <c r="AJ224" s="211"/>
    </row>
    <row r="225" spans="1:36" s="67" customFormat="1" x14ac:dyDescent="0.2">
      <c r="A225" s="345" t="s">
        <v>1381</v>
      </c>
      <c r="B225" s="308" t="s">
        <v>704</v>
      </c>
      <c r="C225" s="309">
        <f>C191*C$210</f>
        <v>0.95516679631341184</v>
      </c>
      <c r="D225" s="309">
        <f t="shared" ref="D225:AG230" si="150">D191*D$210</f>
        <v>1.0128200565569654</v>
      </c>
      <c r="E225" s="309">
        <f t="shared" si="150"/>
        <v>1.0699760713835555</v>
      </c>
      <c r="F225" s="309">
        <f t="shared" si="150"/>
        <v>1.1262447843037835</v>
      </c>
      <c r="G225" s="309">
        <f t="shared" si="150"/>
        <v>1.1812293841907506</v>
      </c>
      <c r="H225" s="309">
        <f t="shared" si="150"/>
        <v>1.2345309345671203</v>
      </c>
      <c r="I225" s="309">
        <f t="shared" si="150"/>
        <v>1.2831976736319264</v>
      </c>
      <c r="J225" s="309">
        <f t="shared" si="150"/>
        <v>1.3319661170697137</v>
      </c>
      <c r="K225" s="309">
        <f t="shared" si="150"/>
        <v>1.3807564075280934</v>
      </c>
      <c r="L225" s="309">
        <f t="shared" si="150"/>
        <v>1.4294864371100187</v>
      </c>
      <c r="M225" s="309">
        <f t="shared" si="150"/>
        <v>1.4780720112065711</v>
      </c>
      <c r="N225" s="309">
        <f t="shared" si="150"/>
        <v>1.5236517729832835</v>
      </c>
      <c r="O225" s="309">
        <f t="shared" si="150"/>
        <v>1.5666874991320026</v>
      </c>
      <c r="P225" s="309">
        <f t="shared" si="150"/>
        <v>1.6029208032361126</v>
      </c>
      <c r="Q225" s="309">
        <f t="shared" si="150"/>
        <v>1.6357415796771897</v>
      </c>
      <c r="R225" s="309">
        <f t="shared" si="150"/>
        <v>1.6649362212342202</v>
      </c>
      <c r="S225" s="309">
        <f t="shared" si="150"/>
        <v>1.6938019168419916</v>
      </c>
      <c r="T225" s="309">
        <f t="shared" si="150"/>
        <v>1.7218979772392853</v>
      </c>
      <c r="U225" s="309">
        <f t="shared" si="150"/>
        <v>1.7491983466185237</v>
      </c>
      <c r="V225" s="309">
        <f t="shared" si="150"/>
        <v>1.7756772286184586</v>
      </c>
      <c r="W225" s="309">
        <f t="shared" si="150"/>
        <v>1.8013091100104659</v>
      </c>
      <c r="X225" s="309">
        <f t="shared" si="150"/>
        <v>1.8251591530433884</v>
      </c>
      <c r="Y225" s="309">
        <f t="shared" si="150"/>
        <v>1.8489927159799235</v>
      </c>
      <c r="Z225" s="309">
        <f t="shared" si="150"/>
        <v>1.8639822576661447</v>
      </c>
      <c r="AA225" s="309">
        <f t="shared" si="150"/>
        <v>1.8779537736465088</v>
      </c>
      <c r="AB225" s="309">
        <f t="shared" si="150"/>
        <v>1.8909066982665632</v>
      </c>
      <c r="AC225" s="309">
        <f t="shared" si="150"/>
        <v>1.9022980733970563</v>
      </c>
      <c r="AD225" s="309">
        <f t="shared" si="150"/>
        <v>1.912660726102096</v>
      </c>
      <c r="AE225" s="309">
        <f t="shared" si="150"/>
        <v>1.9219974972221852</v>
      </c>
      <c r="AF225" s="309">
        <f t="shared" si="150"/>
        <v>1.9303124448435764</v>
      </c>
      <c r="AG225" s="309">
        <f t="shared" si="150"/>
        <v>1.9376108606802853</v>
      </c>
      <c r="AI225" s="337"/>
      <c r="AJ225" s="348"/>
    </row>
    <row r="226" spans="1:36" x14ac:dyDescent="0.2">
      <c r="A226" s="346" t="s">
        <v>1382</v>
      </c>
      <c r="B226" s="302" t="s">
        <v>704</v>
      </c>
      <c r="C226" s="249">
        <f t="shared" ref="C226:R230" si="151">C192*C$210</f>
        <v>2.2088232164747645</v>
      </c>
      <c r="D226" s="249">
        <f t="shared" si="151"/>
        <v>2.2768031513326945</v>
      </c>
      <c r="E226" s="249">
        <f t="shared" si="151"/>
        <v>2.3405726561515272</v>
      </c>
      <c r="F226" s="249">
        <f t="shared" si="151"/>
        <v>2.3996692847381746</v>
      </c>
      <c r="G226" s="249">
        <f t="shared" si="151"/>
        <v>2.4536566252491694</v>
      </c>
      <c r="H226" s="249">
        <f t="shared" si="151"/>
        <v>2.5021296620244309</v>
      </c>
      <c r="I226" s="249">
        <f t="shared" si="151"/>
        <v>2.5396620623965207</v>
      </c>
      <c r="J226" s="249">
        <f t="shared" si="151"/>
        <v>2.5761844662919287</v>
      </c>
      <c r="K226" s="249">
        <f t="shared" si="151"/>
        <v>2.6116280734495181</v>
      </c>
      <c r="L226" s="249">
        <f t="shared" si="151"/>
        <v>2.6459244148430625</v>
      </c>
      <c r="M226" s="249">
        <f t="shared" si="151"/>
        <v>2.6790055203119092</v>
      </c>
      <c r="N226" s="249">
        <f t="shared" si="151"/>
        <v>2.705875480984032</v>
      </c>
      <c r="O226" s="249">
        <f t="shared" si="151"/>
        <v>2.7277148422387536</v>
      </c>
      <c r="P226" s="249">
        <f t="shared" si="151"/>
        <v>2.7375464299453953</v>
      </c>
      <c r="Q226" s="249">
        <f t="shared" si="151"/>
        <v>2.7417259432089249</v>
      </c>
      <c r="R226" s="249">
        <f t="shared" si="151"/>
        <v>2.7402075307813196</v>
      </c>
      <c r="S226" s="249">
        <f t="shared" si="150"/>
        <v>2.7386199470678929</v>
      </c>
      <c r="T226" s="249">
        <f t="shared" si="150"/>
        <v>2.7362607484055119</v>
      </c>
      <c r="U226" s="249">
        <f t="shared" si="150"/>
        <v>2.7331224165914416</v>
      </c>
      <c r="V226" s="249">
        <f t="shared" si="150"/>
        <v>2.729197781231175</v>
      </c>
      <c r="W226" s="249">
        <f t="shared" si="150"/>
        <v>2.7244800288908273</v>
      </c>
      <c r="X226" s="249">
        <f t="shared" si="150"/>
        <v>2.7176082977300426</v>
      </c>
      <c r="Y226" s="249">
        <f t="shared" si="150"/>
        <v>2.7112633575667116</v>
      </c>
      <c r="Z226" s="249">
        <f t="shared" si="150"/>
        <v>2.6926630491049814</v>
      </c>
      <c r="AA226" s="249">
        <f t="shared" si="150"/>
        <v>2.6734758583162068</v>
      </c>
      <c r="AB226" s="249">
        <f t="shared" si="150"/>
        <v>2.6537156504081842</v>
      </c>
      <c r="AC226" s="249">
        <f t="shared" si="150"/>
        <v>2.6326446551477076</v>
      </c>
      <c r="AD226" s="249">
        <f t="shared" si="150"/>
        <v>2.6110335570143701</v>
      </c>
      <c r="AE226" s="249">
        <f t="shared" si="150"/>
        <v>2.5888974908703957</v>
      </c>
      <c r="AF226" s="249">
        <f t="shared" si="150"/>
        <v>2.5662522439392839</v>
      </c>
      <c r="AG226" s="249">
        <f t="shared" si="150"/>
        <v>2.5431142546428744</v>
      </c>
      <c r="AI226" s="296"/>
    </row>
    <row r="227" spans="1:36" x14ac:dyDescent="0.2">
      <c r="A227" s="346" t="s">
        <v>1383</v>
      </c>
      <c r="B227" s="302" t="s">
        <v>704</v>
      </c>
      <c r="C227" s="249">
        <f t="shared" si="151"/>
        <v>0.47758339815670592</v>
      </c>
      <c r="D227" s="249">
        <f t="shared" si="150"/>
        <v>0.4757803894713164</v>
      </c>
      <c r="E227" s="249">
        <f t="shared" si="150"/>
        <v>0.47229412525914749</v>
      </c>
      <c r="F227" s="249">
        <f t="shared" si="150"/>
        <v>0.46713562076236465</v>
      </c>
      <c r="G227" s="249">
        <f t="shared" si="150"/>
        <v>0.46033203942727768</v>
      </c>
      <c r="H227" s="249">
        <f t="shared" si="150"/>
        <v>0.45192650283260632</v>
      </c>
      <c r="I227" s="249">
        <f t="shared" si="150"/>
        <v>0.44109920031097449</v>
      </c>
      <c r="J227" s="249">
        <f t="shared" si="150"/>
        <v>0.42973906817620805</v>
      </c>
      <c r="K227" s="249">
        <f t="shared" si="150"/>
        <v>0.41786049175192275</v>
      </c>
      <c r="L227" s="249">
        <f t="shared" si="150"/>
        <v>0.40547932591101465</v>
      </c>
      <c r="M227" s="249">
        <f t="shared" si="150"/>
        <v>0.39261287797674521</v>
      </c>
      <c r="N227" s="249">
        <f t="shared" si="150"/>
        <v>0.37859030334798027</v>
      </c>
      <c r="O227" s="249">
        <f t="shared" si="150"/>
        <v>0.36369531229850033</v>
      </c>
      <c r="P227" s="249">
        <f t="shared" si="150"/>
        <v>0.34714418558456489</v>
      </c>
      <c r="Q227" s="249">
        <f t="shared" si="150"/>
        <v>0.32993651180988748</v>
      </c>
      <c r="R227" s="249">
        <f t="shared" si="150"/>
        <v>0.31217554148141607</v>
      </c>
      <c r="S227" s="249">
        <f t="shared" si="150"/>
        <v>0.29457424640730268</v>
      </c>
      <c r="T227" s="249">
        <f t="shared" si="150"/>
        <v>0.27706071176323588</v>
      </c>
      <c r="U227" s="249">
        <f t="shared" si="150"/>
        <v>0.25964662957618689</v>
      </c>
      <c r="V227" s="249">
        <f t="shared" si="150"/>
        <v>0.24234370339563122</v>
      </c>
      <c r="W227" s="249">
        <f t="shared" si="150"/>
        <v>0.22516363875130796</v>
      </c>
      <c r="X227" s="249">
        <f t="shared" si="150"/>
        <v>0.20801446229538589</v>
      </c>
      <c r="Y227" s="249">
        <f t="shared" si="150"/>
        <v>0.19112184323830908</v>
      </c>
      <c r="Z227" s="249">
        <f t="shared" si="150"/>
        <v>0.17364929051370892</v>
      </c>
      <c r="AA227" s="249">
        <f t="shared" si="150"/>
        <v>0.15649614780387541</v>
      </c>
      <c r="AB227" s="249">
        <f t="shared" si="150"/>
        <v>0.13966924475832537</v>
      </c>
      <c r="AC227" s="249">
        <f t="shared" si="150"/>
        <v>0.12313983064400555</v>
      </c>
      <c r="AD227" s="249">
        <f t="shared" si="150"/>
        <v>0.10695800113070901</v>
      </c>
      <c r="AE227" s="249">
        <f t="shared" si="150"/>
        <v>9.1129191678637783E-2</v>
      </c>
      <c r="AF227" s="249">
        <f t="shared" si="150"/>
        <v>7.5658432689843277E-2</v>
      </c>
      <c r="AG227" s="249">
        <f t="shared" si="150"/>
        <v>6.0550339396258916E-2</v>
      </c>
      <c r="AI227" s="296"/>
    </row>
    <row r="228" spans="1:36" x14ac:dyDescent="0.2">
      <c r="A228" s="346" t="s">
        <v>1384</v>
      </c>
      <c r="B228" s="302" t="s">
        <v>704</v>
      </c>
      <c r="C228" s="249">
        <f t="shared" si="151"/>
        <v>1.6118439687788824</v>
      </c>
      <c r="D228" s="249">
        <f t="shared" si="150"/>
        <v>1.6315387604617246</v>
      </c>
      <c r="E228" s="249">
        <f t="shared" si="150"/>
        <v>1.6467600473637536</v>
      </c>
      <c r="F228" s="249">
        <f t="shared" si="150"/>
        <v>1.6573715859925</v>
      </c>
      <c r="G228" s="249">
        <f t="shared" si="150"/>
        <v>1.6632751990627119</v>
      </c>
      <c r="H228" s="249">
        <f t="shared" si="150"/>
        <v>1.6644122421396004</v>
      </c>
      <c r="I228" s="249">
        <f t="shared" si="150"/>
        <v>1.6574636617745724</v>
      </c>
      <c r="J228" s="249">
        <f t="shared" si="150"/>
        <v>1.6492080469798995</v>
      </c>
      <c r="K228" s="249">
        <f t="shared" si="150"/>
        <v>1.6396482339396117</v>
      </c>
      <c r="L228" s="249">
        <f t="shared" si="150"/>
        <v>1.6287898345917045</v>
      </c>
      <c r="M228" s="249">
        <f t="shared" si="150"/>
        <v>1.6166412622571875</v>
      </c>
      <c r="N228" s="249">
        <f t="shared" si="150"/>
        <v>1.6002988896120163</v>
      </c>
      <c r="O228" s="249">
        <f t="shared" si="150"/>
        <v>1.5806757803742528</v>
      </c>
      <c r="P228" s="249">
        <f t="shared" si="150"/>
        <v>1.5539944415094293</v>
      </c>
      <c r="Q228" s="249">
        <f t="shared" si="150"/>
        <v>1.5242137446991999</v>
      </c>
      <c r="R228" s="249">
        <f t="shared" si="150"/>
        <v>1.4915053648556558</v>
      </c>
      <c r="S228" s="249">
        <f t="shared" si="150"/>
        <v>1.4590630642361722</v>
      </c>
      <c r="T228" s="249">
        <f t="shared" si="150"/>
        <v>1.4265192018883974</v>
      </c>
      <c r="U228" s="249">
        <f t="shared" si="150"/>
        <v>1.393892432461636</v>
      </c>
      <c r="V228" s="249">
        <f t="shared" si="150"/>
        <v>1.3612015489792006</v>
      </c>
      <c r="W228" s="249">
        <f t="shared" si="150"/>
        <v>1.328465468632718</v>
      </c>
      <c r="X228" s="249">
        <f t="shared" si="150"/>
        <v>1.2950577813874036</v>
      </c>
      <c r="Y228" s="249">
        <f t="shared" si="150"/>
        <v>1.2622931041786005</v>
      </c>
      <c r="Z228" s="249">
        <f t="shared" si="150"/>
        <v>1.2243374027358982</v>
      </c>
      <c r="AA228" s="249">
        <f t="shared" si="150"/>
        <v>1.1867624541793897</v>
      </c>
      <c r="AB228" s="249">
        <f t="shared" si="150"/>
        <v>1.1495853222416024</v>
      </c>
      <c r="AC228" s="249">
        <f t="shared" si="150"/>
        <v>1.1125046768527411</v>
      </c>
      <c r="AD228" s="249">
        <f t="shared" si="150"/>
        <v>1.0758716584324273</v>
      </c>
      <c r="AE228" s="249">
        <f t="shared" si="150"/>
        <v>1.0397012323335511</v>
      </c>
      <c r="AF228" s="249">
        <f t="shared" si="150"/>
        <v>1.0040078500192735</v>
      </c>
      <c r="AG228" s="249">
        <f t="shared" si="150"/>
        <v>0.96880543034014266</v>
      </c>
      <c r="AI228" s="296"/>
    </row>
    <row r="229" spans="1:36" x14ac:dyDescent="0.2">
      <c r="A229" s="346" t="s">
        <v>1385</v>
      </c>
      <c r="B229" s="302" t="s">
        <v>704</v>
      </c>
      <c r="C229" s="249">
        <f t="shared" si="151"/>
        <v>0.41788547338711768</v>
      </c>
      <c r="D229" s="249">
        <f t="shared" si="150"/>
        <v>0.42677296737985038</v>
      </c>
      <c r="E229" s="249">
        <f t="shared" si="150"/>
        <v>0.43467777899956939</v>
      </c>
      <c r="F229" s="249">
        <f t="shared" si="150"/>
        <v>0.44153914839182418</v>
      </c>
      <c r="G229" s="249">
        <f t="shared" si="150"/>
        <v>0.44730377416046802</v>
      </c>
      <c r="H229" s="249">
        <f t="shared" si="150"/>
        <v>0.45192650283260644</v>
      </c>
      <c r="I229" s="249">
        <f t="shared" si="150"/>
        <v>0.45446584274464052</v>
      </c>
      <c r="J229" s="249">
        <f t="shared" si="150"/>
        <v>0.45673838136005374</v>
      </c>
      <c r="K229" s="249">
        <f t="shared" si="150"/>
        <v>0.4587381485537414</v>
      </c>
      <c r="L229" s="249">
        <f t="shared" si="150"/>
        <v>0.46045957349216926</v>
      </c>
      <c r="M229" s="249">
        <f t="shared" si="150"/>
        <v>0.46189750350205322</v>
      </c>
      <c r="N229" s="249">
        <f t="shared" si="150"/>
        <v>0.46220533967023364</v>
      </c>
      <c r="O229" s="249">
        <f t="shared" si="150"/>
        <v>0.46161328099425047</v>
      </c>
      <c r="P229" s="249">
        <f t="shared" si="150"/>
        <v>0.45897586953127034</v>
      </c>
      <c r="Q229" s="249">
        <f t="shared" si="150"/>
        <v>0.45540532616012636</v>
      </c>
      <c r="R229" s="249">
        <f t="shared" si="150"/>
        <v>0.45092022658426767</v>
      </c>
      <c r="S229" s="249">
        <f t="shared" si="150"/>
        <v>0.44646409221106809</v>
      </c>
      <c r="T229" s="249">
        <f t="shared" si="150"/>
        <v>0.4419232840521034</v>
      </c>
      <c r="U229" s="249">
        <f t="shared" si="150"/>
        <v>0.43729958665463048</v>
      </c>
      <c r="V229" s="249">
        <f t="shared" si="150"/>
        <v>0.43259483503332291</v>
      </c>
      <c r="W229" s="249">
        <f t="shared" si="150"/>
        <v>0.42781091362748508</v>
      </c>
      <c r="X229" s="249">
        <f t="shared" si="150"/>
        <v>0.42273906853578413</v>
      </c>
      <c r="Y229" s="249">
        <f t="shared" si="150"/>
        <v>0.4178012387070012</v>
      </c>
      <c r="Z229" s="249">
        <f t="shared" si="150"/>
        <v>0.41104325729194385</v>
      </c>
      <c r="AA229" s="249">
        <f t="shared" si="150"/>
        <v>0.40428171516001155</v>
      </c>
      <c r="AB229" s="249">
        <f t="shared" si="150"/>
        <v>0.39752015815831082</v>
      </c>
      <c r="AC229" s="249">
        <f t="shared" si="150"/>
        <v>0.39065049721546613</v>
      </c>
      <c r="AD229" s="249">
        <f t="shared" si="150"/>
        <v>0.3837904746454856</v>
      </c>
      <c r="AE229" s="249">
        <f t="shared" si="150"/>
        <v>0.37694347467072953</v>
      </c>
      <c r="AF229" s="249">
        <f t="shared" si="150"/>
        <v>0.37011287342869342</v>
      </c>
      <c r="AG229" s="249">
        <f t="shared" si="150"/>
        <v>0.36330203637755348</v>
      </c>
      <c r="AI229" s="296"/>
    </row>
    <row r="230" spans="1:36" s="68" customFormat="1" x14ac:dyDescent="0.2">
      <c r="A230" s="347" t="s">
        <v>1386</v>
      </c>
      <c r="B230" s="312" t="s">
        <v>704</v>
      </c>
      <c r="C230" s="313">
        <f t="shared" si="151"/>
        <v>0.2984896238479412</v>
      </c>
      <c r="D230" s="313">
        <f t="shared" si="150"/>
        <v>0.30221243623070743</v>
      </c>
      <c r="E230" s="313">
        <f t="shared" si="150"/>
        <v>0.30511036410546699</v>
      </c>
      <c r="F230" s="313">
        <f t="shared" si="150"/>
        <v>0.3071576684464864</v>
      </c>
      <c r="G230" s="313">
        <f t="shared" si="150"/>
        <v>0.30833561131449738</v>
      </c>
      <c r="H230" s="313">
        <f t="shared" si="150"/>
        <v>0.30863273364178001</v>
      </c>
      <c r="I230" s="313">
        <f t="shared" si="150"/>
        <v>0.30743277597431568</v>
      </c>
      <c r="J230" s="313">
        <f t="shared" si="150"/>
        <v>0.30599221608358279</v>
      </c>
      <c r="K230" s="313">
        <f t="shared" si="150"/>
        <v>0.30431144508020469</v>
      </c>
      <c r="L230" s="313">
        <f t="shared" si="150"/>
        <v>0.30239136169635</v>
      </c>
      <c r="M230" s="313">
        <f t="shared" si="150"/>
        <v>0.30023337727633459</v>
      </c>
      <c r="N230" s="313">
        <f t="shared" si="150"/>
        <v>0.29729790692356739</v>
      </c>
      <c r="O230" s="313">
        <f t="shared" si="150"/>
        <v>0.29375390608725033</v>
      </c>
      <c r="P230" s="313">
        <f t="shared" si="150"/>
        <v>0.28889851686232249</v>
      </c>
      <c r="Q230" s="313">
        <f t="shared" si="150"/>
        <v>0.28346658056905827</v>
      </c>
      <c r="R230" s="313">
        <f t="shared" si="150"/>
        <v>0.27748937020570319</v>
      </c>
      <c r="S230" s="313">
        <f t="shared" si="150"/>
        <v>0.27156063340673214</v>
      </c>
      <c r="T230" s="313">
        <f t="shared" si="150"/>
        <v>0.26561192202095335</v>
      </c>
      <c r="U230" s="313">
        <f t="shared" si="150"/>
        <v>0.25964662957618684</v>
      </c>
      <c r="V230" s="313">
        <f t="shared" si="150"/>
        <v>0.25366817551692233</v>
      </c>
      <c r="W230" s="313">
        <f t="shared" si="150"/>
        <v>0.24768000262643869</v>
      </c>
      <c r="X230" s="313">
        <f t="shared" si="150"/>
        <v>0.24156518202044808</v>
      </c>
      <c r="Y230" s="313">
        <f t="shared" si="150"/>
        <v>0.23556878352628788</v>
      </c>
      <c r="Z230" s="313">
        <f t="shared" si="150"/>
        <v>0.22860159763830029</v>
      </c>
      <c r="AA230" s="313">
        <f t="shared" si="150"/>
        <v>0.22170287605549011</v>
      </c>
      <c r="AB230" s="313">
        <f t="shared" si="150"/>
        <v>0.21487576116665438</v>
      </c>
      <c r="AC230" s="313">
        <f t="shared" si="150"/>
        <v>0.20806385177780246</v>
      </c>
      <c r="AD230" s="313">
        <f t="shared" si="150"/>
        <v>0.20133270801074638</v>
      </c>
      <c r="AE230" s="313">
        <f t="shared" si="150"/>
        <v>0.19468509131345349</v>
      </c>
      <c r="AF230" s="313">
        <f t="shared" si="150"/>
        <v>0.18812367047204287</v>
      </c>
      <c r="AG230" s="313">
        <f t="shared" si="150"/>
        <v>0.18165101818877674</v>
      </c>
      <c r="AI230" s="314"/>
      <c r="AJ230" s="315"/>
    </row>
    <row r="231" spans="1:36" s="181" customFormat="1" x14ac:dyDescent="0.2">
      <c r="B231" s="176"/>
      <c r="C231" s="110"/>
      <c r="D231" s="110"/>
      <c r="E231" s="110"/>
      <c r="F231" s="110"/>
      <c r="G231" s="110"/>
      <c r="H231" s="110"/>
      <c r="I231" s="110"/>
      <c r="J231" s="110"/>
      <c r="K231" s="110"/>
      <c r="L231" s="110"/>
      <c r="M231" s="110"/>
      <c r="N231" s="110"/>
      <c r="O231" s="110"/>
      <c r="P231" s="110"/>
      <c r="Q231" s="110"/>
      <c r="R231" s="110"/>
      <c r="S231" s="110"/>
      <c r="T231" s="110"/>
      <c r="U231" s="110"/>
      <c r="V231" s="110"/>
      <c r="W231" s="110"/>
      <c r="X231" s="110"/>
      <c r="Y231" s="110"/>
      <c r="Z231" s="110"/>
      <c r="AA231" s="110"/>
      <c r="AB231" s="110"/>
      <c r="AC231" s="110"/>
      <c r="AD231" s="110"/>
      <c r="AE231" s="110"/>
      <c r="AF231" s="110"/>
      <c r="AG231" s="110"/>
      <c r="AJ231" s="323"/>
    </row>
    <row r="232" spans="1:36" s="181" customFormat="1" x14ac:dyDescent="0.2">
      <c r="A232" s="181" t="s">
        <v>1699</v>
      </c>
      <c r="B232" s="350" t="s">
        <v>704</v>
      </c>
      <c r="C232" s="230">
        <f>C165</f>
        <v>0.29411849599012857</v>
      </c>
      <c r="D232" s="230">
        <f t="shared" ref="D232:AG232" si="152">D165</f>
        <v>0.34519391601580796</v>
      </c>
      <c r="E232" s="230">
        <f t="shared" si="152"/>
        <v>0.39831912413837989</v>
      </c>
      <c r="F232" s="230">
        <f t="shared" si="152"/>
        <v>0.45320403767359185</v>
      </c>
      <c r="G232" s="230">
        <f t="shared" si="152"/>
        <v>0.50952766795758908</v>
      </c>
      <c r="H232" s="230">
        <f t="shared" si="152"/>
        <v>0.56694107323375775</v>
      </c>
      <c r="I232" s="230">
        <f t="shared" si="152"/>
        <v>0.62641941356681119</v>
      </c>
      <c r="J232" s="230">
        <f t="shared" si="152"/>
        <v>0.68795506012102126</v>
      </c>
      <c r="K232" s="230">
        <f t="shared" si="152"/>
        <v>0.75153632267378723</v>
      </c>
      <c r="L232" s="230">
        <f t="shared" si="152"/>
        <v>0.81714735238699321</v>
      </c>
      <c r="M232" s="230">
        <f t="shared" si="152"/>
        <v>0.88476805342840015</v>
      </c>
      <c r="N232" s="230">
        <f t="shared" si="152"/>
        <v>0.95300849459260484</v>
      </c>
      <c r="O232" s="230">
        <f t="shared" si="152"/>
        <v>1.0215355823934487</v>
      </c>
      <c r="P232" s="230">
        <f t="shared" si="152"/>
        <v>1.0841793046457471</v>
      </c>
      <c r="Q232" s="230">
        <f t="shared" si="152"/>
        <v>1.1456825193376152</v>
      </c>
      <c r="R232" s="230">
        <f t="shared" si="152"/>
        <v>1.2056932492940384</v>
      </c>
      <c r="S232" s="230">
        <f t="shared" si="152"/>
        <v>1.2661400486089327</v>
      </c>
      <c r="T232" s="230">
        <f t="shared" si="152"/>
        <v>1.3270018428383601</v>
      </c>
      <c r="U232" s="230">
        <f t="shared" si="152"/>
        <v>1.388257065366955</v>
      </c>
      <c r="V232" s="230">
        <f t="shared" si="152"/>
        <v>1.4498836658380894</v>
      </c>
      <c r="W232" s="230">
        <f t="shared" si="152"/>
        <v>1.5118591190737511</v>
      </c>
      <c r="X232" s="230">
        <f t="shared" si="152"/>
        <v>1.5741777729335178</v>
      </c>
      <c r="Y232" s="230">
        <f t="shared" si="152"/>
        <v>1.6368182778237579</v>
      </c>
      <c r="Z232" s="230">
        <f t="shared" si="152"/>
        <v>1.6805033711283204</v>
      </c>
      <c r="AA232" s="230">
        <f t="shared" si="152"/>
        <v>1.7228120961791622</v>
      </c>
      <c r="AB232" s="230">
        <f t="shared" si="152"/>
        <v>1.7636848196043591</v>
      </c>
      <c r="AC232" s="230">
        <f t="shared" si="152"/>
        <v>1.8030787645108377</v>
      </c>
      <c r="AD232" s="230">
        <f t="shared" si="152"/>
        <v>1.8409350513104843</v>
      </c>
      <c r="AE232" s="230">
        <f t="shared" si="152"/>
        <v>1.8771945971706505</v>
      </c>
      <c r="AF232" s="230">
        <f t="shared" si="152"/>
        <v>1.9117981492428338</v>
      </c>
      <c r="AG232" s="230">
        <f t="shared" si="152"/>
        <v>1.9446863184994183</v>
      </c>
      <c r="AI232" s="694" t="s">
        <v>1391</v>
      </c>
      <c r="AJ232" s="323"/>
    </row>
    <row r="233" spans="1:36" s="181" customFormat="1" x14ac:dyDescent="0.2">
      <c r="A233" s="181" t="s">
        <v>1700</v>
      </c>
      <c r="B233" s="349" t="s">
        <v>704</v>
      </c>
      <c r="C233" s="249">
        <f>C232/(1-C190)</f>
        <v>0.40290204930154599</v>
      </c>
      <c r="D233" s="249">
        <f t="shared" ref="D233:AG233" si="153">D232/(1-D190)</f>
        <v>0.47029143871363482</v>
      </c>
      <c r="E233" s="249">
        <f t="shared" si="153"/>
        <v>0.53972781048560958</v>
      </c>
      <c r="F233" s="249">
        <f t="shared" si="153"/>
        <v>0.61078711276764397</v>
      </c>
      <c r="G233" s="249">
        <f t="shared" si="153"/>
        <v>0.68301295972867171</v>
      </c>
      <c r="H233" s="249">
        <f t="shared" si="153"/>
        <v>0.75592143097834363</v>
      </c>
      <c r="I233" s="249">
        <f t="shared" si="153"/>
        <v>0.83079497820531989</v>
      </c>
      <c r="J233" s="249">
        <f t="shared" si="153"/>
        <v>0.90759242760029191</v>
      </c>
      <c r="K233" s="249">
        <f t="shared" si="153"/>
        <v>0.9862681399918467</v>
      </c>
      <c r="L233" s="249">
        <f t="shared" si="153"/>
        <v>1.066772000505213</v>
      </c>
      <c r="M233" s="249">
        <f t="shared" si="153"/>
        <v>1.1490494200368833</v>
      </c>
      <c r="N233" s="249">
        <f t="shared" si="153"/>
        <v>1.231277124796647</v>
      </c>
      <c r="O233" s="249">
        <f t="shared" si="153"/>
        <v>1.3130277408656152</v>
      </c>
      <c r="P233" s="249">
        <f t="shared" si="153"/>
        <v>1.3864185481403415</v>
      </c>
      <c r="Q233" s="249">
        <f t="shared" si="153"/>
        <v>1.4576113477577801</v>
      </c>
      <c r="R233" s="249">
        <f t="shared" si="153"/>
        <v>1.5261939864481497</v>
      </c>
      <c r="S233" s="249">
        <f t="shared" si="153"/>
        <v>1.5946348219256079</v>
      </c>
      <c r="T233" s="249">
        <f t="shared" si="153"/>
        <v>1.6629095774916791</v>
      </c>
      <c r="U233" s="249">
        <f t="shared" si="153"/>
        <v>1.7309938470909663</v>
      </c>
      <c r="V233" s="249">
        <f t="shared" si="153"/>
        <v>1.7988631089802596</v>
      </c>
      <c r="W233" s="249">
        <f t="shared" si="153"/>
        <v>1.8664927395972235</v>
      </c>
      <c r="X233" s="249">
        <f t="shared" si="153"/>
        <v>1.9338793279281543</v>
      </c>
      <c r="Y233" s="249">
        <f t="shared" si="153"/>
        <v>2.0010003396378457</v>
      </c>
      <c r="Z233" s="249">
        <f t="shared" si="153"/>
        <v>2.0444079940733824</v>
      </c>
      <c r="AA233" s="249">
        <f t="shared" si="153"/>
        <v>2.0857289299989854</v>
      </c>
      <c r="AB233" s="249">
        <f t="shared" si="153"/>
        <v>2.124921469402842</v>
      </c>
      <c r="AC233" s="249">
        <f t="shared" si="153"/>
        <v>2.1619649454566399</v>
      </c>
      <c r="AD233" s="249">
        <f t="shared" si="153"/>
        <v>2.1968198702989072</v>
      </c>
      <c r="AE233" s="249">
        <f t="shared" si="153"/>
        <v>2.2294472650482784</v>
      </c>
      <c r="AF233" s="249">
        <f t="shared" si="153"/>
        <v>2.2598086870482668</v>
      </c>
      <c r="AG233" s="249">
        <f t="shared" si="153"/>
        <v>2.2878662570581394</v>
      </c>
      <c r="AI233" s="694"/>
      <c r="AJ233" s="323"/>
    </row>
    <row r="234" spans="1:36" s="181" customFormat="1" x14ac:dyDescent="0.2">
      <c r="A234" s="181" t="s">
        <v>1701</v>
      </c>
      <c r="B234" s="349" t="s">
        <v>704</v>
      </c>
      <c r="C234" s="249">
        <f>C222</f>
        <v>0.24993004782066314</v>
      </c>
      <c r="D234" s="249">
        <f t="shared" ref="D234:AG234" si="154">D222</f>
        <v>0.2849694755628035</v>
      </c>
      <c r="E234" s="249">
        <f t="shared" si="154"/>
        <v>0.32138576373600114</v>
      </c>
      <c r="F234" s="249">
        <f t="shared" si="154"/>
        <v>0.35898959319936652</v>
      </c>
      <c r="G234" s="249">
        <f t="shared" si="154"/>
        <v>0.39757026446004967</v>
      </c>
      <c r="H234" s="249">
        <f t="shared" si="154"/>
        <v>0.43689750128163912</v>
      </c>
      <c r="I234" s="249">
        <f t="shared" si="154"/>
        <v>0.47594481457558435</v>
      </c>
      <c r="J234" s="249">
        <f t="shared" si="154"/>
        <v>0.51619991642172935</v>
      </c>
      <c r="K234" s="249">
        <f t="shared" si="154"/>
        <v>0.55764492872923832</v>
      </c>
      <c r="L234" s="249">
        <f t="shared" si="154"/>
        <v>0.60025905638463284</v>
      </c>
      <c r="M234" s="249">
        <f t="shared" si="154"/>
        <v>0.64401855474719782</v>
      </c>
      <c r="N234" s="249">
        <f t="shared" si="154"/>
        <v>0.68767629190150981</v>
      </c>
      <c r="O234" s="249">
        <f t="shared" si="154"/>
        <v>0.73129514895674486</v>
      </c>
      <c r="P234" s="249">
        <f t="shared" si="154"/>
        <v>0.77243079965776995</v>
      </c>
      <c r="Q234" s="249">
        <f t="shared" si="154"/>
        <v>0.81272881149146148</v>
      </c>
      <c r="R234" s="249">
        <f t="shared" si="154"/>
        <v>0.85195379015168271</v>
      </c>
      <c r="S234" s="249">
        <f t="shared" si="154"/>
        <v>0.89167296854377909</v>
      </c>
      <c r="T234" s="249">
        <f t="shared" si="154"/>
        <v>0.93169131209332168</v>
      </c>
      <c r="U234" s="249">
        <f t="shared" si="154"/>
        <v>0.9719901025083717</v>
      </c>
      <c r="V234" s="249">
        <f t="shared" si="154"/>
        <v>1.0125501127673002</v>
      </c>
      <c r="W234" s="249">
        <f t="shared" si="154"/>
        <v>1.0533516144431296</v>
      </c>
      <c r="X234" s="249">
        <f t="shared" si="154"/>
        <v>1.0939350730415747</v>
      </c>
      <c r="Y234" s="249">
        <f t="shared" si="154"/>
        <v>1.1351424407809854</v>
      </c>
      <c r="Z234" s="249">
        <f t="shared" si="154"/>
        <v>1.1698477164443812</v>
      </c>
      <c r="AA234" s="249">
        <f t="shared" si="154"/>
        <v>1.2041436483876606</v>
      </c>
      <c r="AB234" s="249">
        <f t="shared" si="154"/>
        <v>1.2379931980004972</v>
      </c>
      <c r="AC234" s="249">
        <f t="shared" si="154"/>
        <v>1.2710784287532351</v>
      </c>
      <c r="AD234" s="249">
        <f t="shared" si="154"/>
        <v>1.3036311275961745</v>
      </c>
      <c r="AE234" s="249">
        <f t="shared" si="154"/>
        <v>1.3356132170633752</v>
      </c>
      <c r="AF234" s="249">
        <f t="shared" si="154"/>
        <v>1.3669861889268415</v>
      </c>
      <c r="AG234" s="249">
        <f t="shared" si="154"/>
        <v>1.3977111234996542</v>
      </c>
      <c r="AI234" s="694"/>
      <c r="AJ234" s="323"/>
    </row>
    <row r="235" spans="1:36" s="181" customFormat="1" x14ac:dyDescent="0.2">
      <c r="A235" s="181" t="s">
        <v>1702</v>
      </c>
      <c r="B235" s="349" t="s">
        <v>704</v>
      </c>
      <c r="C235" s="249">
        <f>C233-C234</f>
        <v>0.15297200148088286</v>
      </c>
      <c r="D235" s="249">
        <f t="shared" ref="D235:AG235" si="155">D233-D234</f>
        <v>0.18532196315083133</v>
      </c>
      <c r="E235" s="249">
        <f t="shared" si="155"/>
        <v>0.21834204674960844</v>
      </c>
      <c r="F235" s="249">
        <f t="shared" si="155"/>
        <v>0.25179751956827745</v>
      </c>
      <c r="G235" s="249">
        <f t="shared" si="155"/>
        <v>0.28544269526862204</v>
      </c>
      <c r="H235" s="249">
        <f t="shared" si="155"/>
        <v>0.31902392969670451</v>
      </c>
      <c r="I235" s="249">
        <f t="shared" si="155"/>
        <v>0.35485016362973554</v>
      </c>
      <c r="J235" s="249">
        <f t="shared" si="155"/>
        <v>0.39139251117856255</v>
      </c>
      <c r="K235" s="249">
        <f t="shared" si="155"/>
        <v>0.42862321126260838</v>
      </c>
      <c r="L235" s="249">
        <f t="shared" si="155"/>
        <v>0.4665129441205802</v>
      </c>
      <c r="M235" s="249">
        <f t="shared" si="155"/>
        <v>0.50503086528968544</v>
      </c>
      <c r="N235" s="249">
        <f t="shared" si="155"/>
        <v>0.54360083289513716</v>
      </c>
      <c r="O235" s="249">
        <f t="shared" si="155"/>
        <v>0.58173259190887039</v>
      </c>
      <c r="P235" s="249">
        <f t="shared" si="155"/>
        <v>0.61398774848257154</v>
      </c>
      <c r="Q235" s="249">
        <f t="shared" si="155"/>
        <v>0.64488253626631864</v>
      </c>
      <c r="R235" s="249">
        <f t="shared" si="155"/>
        <v>0.67424019629646703</v>
      </c>
      <c r="S235" s="249">
        <f t="shared" si="155"/>
        <v>0.70296185338182882</v>
      </c>
      <c r="T235" s="249">
        <f t="shared" si="155"/>
        <v>0.73121826539835744</v>
      </c>
      <c r="U235" s="249">
        <f t="shared" si="155"/>
        <v>0.75900374458259456</v>
      </c>
      <c r="V235" s="249">
        <f t="shared" si="155"/>
        <v>0.78631299621295936</v>
      </c>
      <c r="W235" s="249">
        <f t="shared" si="155"/>
        <v>0.81314112515409387</v>
      </c>
      <c r="X235" s="249">
        <f t="shared" si="155"/>
        <v>0.83994425488657964</v>
      </c>
      <c r="Y235" s="249">
        <f t="shared" si="155"/>
        <v>0.86585789885686038</v>
      </c>
      <c r="Z235" s="249">
        <f t="shared" si="155"/>
        <v>0.87456027762900113</v>
      </c>
      <c r="AA235" s="249">
        <f t="shared" si="155"/>
        <v>0.88158528161132477</v>
      </c>
      <c r="AB235" s="249">
        <f t="shared" si="155"/>
        <v>0.88692827140234476</v>
      </c>
      <c r="AC235" s="249">
        <f t="shared" si="155"/>
        <v>0.8908865167034048</v>
      </c>
      <c r="AD235" s="249">
        <f t="shared" si="155"/>
        <v>0.89318874270273274</v>
      </c>
      <c r="AE235" s="249">
        <f t="shared" si="155"/>
        <v>0.89383404798490318</v>
      </c>
      <c r="AF235" s="249">
        <f t="shared" si="155"/>
        <v>0.89282249812142522</v>
      </c>
      <c r="AG235" s="249">
        <f t="shared" si="155"/>
        <v>0.89015513355848519</v>
      </c>
      <c r="AI235" s="694"/>
      <c r="AJ235" s="323"/>
    </row>
    <row r="236" spans="1:36" s="181" customFormat="1" x14ac:dyDescent="0.2">
      <c r="A236" s="181" t="s">
        <v>1703</v>
      </c>
      <c r="B236" s="349" t="s">
        <v>704</v>
      </c>
      <c r="C236" s="249">
        <f>(C235)/(1-C187)</f>
        <v>0.19121500185110357</v>
      </c>
      <c r="D236" s="249">
        <f t="shared" ref="D236:AG236" si="156">(D233-D222)/(1-D187)</f>
        <v>0.23069124043671949</v>
      </c>
      <c r="E236" s="249">
        <f t="shared" si="156"/>
        <v>0.27067195878050632</v>
      </c>
      <c r="F236" s="249">
        <f t="shared" si="156"/>
        <v>0.31086113526947834</v>
      </c>
      <c r="G236" s="249">
        <f t="shared" si="156"/>
        <v>0.35095413352699434</v>
      </c>
      <c r="H236" s="249">
        <f t="shared" si="156"/>
        <v>0.39064154656739331</v>
      </c>
      <c r="I236" s="249">
        <f t="shared" si="156"/>
        <v>0.43274410198748237</v>
      </c>
      <c r="J236" s="249">
        <f t="shared" si="156"/>
        <v>0.47537551965007602</v>
      </c>
      <c r="K236" s="249">
        <f t="shared" si="156"/>
        <v>0.51849582007573591</v>
      </c>
      <c r="L236" s="249">
        <f t="shared" si="156"/>
        <v>0.56206378809708457</v>
      </c>
      <c r="M236" s="249">
        <f t="shared" si="156"/>
        <v>0.60603703834762257</v>
      </c>
      <c r="N236" s="249">
        <f t="shared" si="156"/>
        <v>0.64972211103004451</v>
      </c>
      <c r="O236" s="249">
        <f t="shared" si="156"/>
        <v>0.69253879989151246</v>
      </c>
      <c r="P236" s="249">
        <f t="shared" si="156"/>
        <v>0.72804871361569756</v>
      </c>
      <c r="Q236" s="249">
        <f t="shared" si="156"/>
        <v>0.76167228692872291</v>
      </c>
      <c r="R236" s="249">
        <f t="shared" si="156"/>
        <v>0.79322376034878483</v>
      </c>
      <c r="S236" s="249">
        <f t="shared" si="156"/>
        <v>0.82378342193183074</v>
      </c>
      <c r="T236" s="249">
        <f t="shared" si="156"/>
        <v>0.85356217750781038</v>
      </c>
      <c r="U236" s="249">
        <f t="shared" si="156"/>
        <v>0.88256249370069151</v>
      </c>
      <c r="V236" s="249">
        <f t="shared" si="156"/>
        <v>0.91078725430072527</v>
      </c>
      <c r="W236" s="249">
        <f t="shared" si="156"/>
        <v>0.93823975979318541</v>
      </c>
      <c r="X236" s="249">
        <f t="shared" si="156"/>
        <v>0.96545316653629853</v>
      </c>
      <c r="Y236" s="249">
        <f t="shared" si="156"/>
        <v>0.99144034220251209</v>
      </c>
      <c r="Z236" s="249">
        <f t="shared" si="156"/>
        <v>0.99759727486197869</v>
      </c>
      <c r="AA236" s="249">
        <f t="shared" si="156"/>
        <v>1.0018014563765056</v>
      </c>
      <c r="AB236" s="249">
        <f t="shared" si="156"/>
        <v>1.0040697412102018</v>
      </c>
      <c r="AC236" s="249">
        <f t="shared" si="156"/>
        <v>1.0047592293647425</v>
      </c>
      <c r="AD236" s="249">
        <f t="shared" si="156"/>
        <v>1.0035828569693628</v>
      </c>
      <c r="AE236" s="249">
        <f t="shared" si="156"/>
        <v>1.0005605014756382</v>
      </c>
      <c r="AF236" s="249">
        <f t="shared" si="156"/>
        <v>0.99571282318374577</v>
      </c>
      <c r="AG236" s="249">
        <f t="shared" si="156"/>
        <v>0.98906125950942791</v>
      </c>
      <c r="AI236" s="694"/>
      <c r="AJ236" s="323"/>
    </row>
    <row r="237" spans="1:36" s="181" customFormat="1" x14ac:dyDescent="0.2">
      <c r="A237" s="181" t="s">
        <v>1704</v>
      </c>
      <c r="B237" s="349" t="s">
        <v>704</v>
      </c>
      <c r="C237" s="249">
        <f>IF(C216&gt;C236,C236,C216)</f>
        <v>0.19121500185110357</v>
      </c>
      <c r="D237" s="249">
        <f t="shared" ref="D237:AG237" si="157">IF(D216&gt;D236,D236,D216)</f>
        <v>0.23069124043671949</v>
      </c>
      <c r="E237" s="249">
        <f t="shared" si="157"/>
        <v>0.27067195878050632</v>
      </c>
      <c r="F237" s="249">
        <f t="shared" si="157"/>
        <v>0.31086113526947834</v>
      </c>
      <c r="G237" s="249">
        <f t="shared" si="157"/>
        <v>0.35095413352699434</v>
      </c>
      <c r="H237" s="249">
        <f t="shared" si="157"/>
        <v>0.39064154656739331</v>
      </c>
      <c r="I237" s="249">
        <f t="shared" si="157"/>
        <v>0.43274410198748237</v>
      </c>
      <c r="J237" s="249">
        <f t="shared" si="157"/>
        <v>0.47537551965007602</v>
      </c>
      <c r="K237" s="249">
        <f t="shared" si="157"/>
        <v>0.51849582007573591</v>
      </c>
      <c r="L237" s="249">
        <f t="shared" si="157"/>
        <v>0.56206378809708457</v>
      </c>
      <c r="M237" s="249">
        <f t="shared" si="157"/>
        <v>0.60603703834762257</v>
      </c>
      <c r="N237" s="249">
        <f t="shared" si="157"/>
        <v>0.64972211103004451</v>
      </c>
      <c r="O237" s="249">
        <f t="shared" si="157"/>
        <v>0.69253879989151246</v>
      </c>
      <c r="P237" s="249">
        <f t="shared" si="157"/>
        <v>0.72804871361569756</v>
      </c>
      <c r="Q237" s="249">
        <f t="shared" si="157"/>
        <v>0.76167228692872291</v>
      </c>
      <c r="R237" s="249">
        <f t="shared" si="157"/>
        <v>0.79322376034878483</v>
      </c>
      <c r="S237" s="249">
        <f t="shared" si="157"/>
        <v>0.82378342193183074</v>
      </c>
      <c r="T237" s="249">
        <f t="shared" si="157"/>
        <v>0.85356217750781038</v>
      </c>
      <c r="U237" s="249">
        <f t="shared" si="157"/>
        <v>0.88256249370069151</v>
      </c>
      <c r="V237" s="249">
        <f t="shared" si="157"/>
        <v>0.91078725430072527</v>
      </c>
      <c r="W237" s="249">
        <f t="shared" si="157"/>
        <v>0.93823975979318541</v>
      </c>
      <c r="X237" s="249">
        <f t="shared" si="157"/>
        <v>0.96545316653629853</v>
      </c>
      <c r="Y237" s="249">
        <f t="shared" si="157"/>
        <v>0.99144034220251209</v>
      </c>
      <c r="Z237" s="249">
        <f t="shared" si="157"/>
        <v>0.99759727486197869</v>
      </c>
      <c r="AA237" s="249">
        <f t="shared" si="157"/>
        <v>1.0018014563765056</v>
      </c>
      <c r="AB237" s="249">
        <f t="shared" si="157"/>
        <v>1.0040697412102018</v>
      </c>
      <c r="AC237" s="249">
        <f t="shared" si="157"/>
        <v>1.0047592293647425</v>
      </c>
      <c r="AD237" s="249">
        <f t="shared" si="157"/>
        <v>1.0035828569693628</v>
      </c>
      <c r="AE237" s="249">
        <f t="shared" si="157"/>
        <v>1.0005605014756382</v>
      </c>
      <c r="AF237" s="249">
        <f t="shared" si="157"/>
        <v>0.99571282318374577</v>
      </c>
      <c r="AG237" s="249">
        <f t="shared" si="157"/>
        <v>0.98906125950942791</v>
      </c>
      <c r="AI237" s="694"/>
      <c r="AJ237" s="323"/>
    </row>
    <row r="238" spans="1:36" s="181" customFormat="1" x14ac:dyDescent="0.2">
      <c r="A238" s="181" t="s">
        <v>1705</v>
      </c>
      <c r="B238" s="349" t="s">
        <v>704</v>
      </c>
      <c r="C238" s="249">
        <f>IF(C236-C237&lt;0,0,C236-C237)</f>
        <v>0</v>
      </c>
      <c r="D238" s="249">
        <f t="shared" ref="D238:AG238" si="158">IF(D236-D237&lt;0,0,D236-D237)</f>
        <v>0</v>
      </c>
      <c r="E238" s="249">
        <f t="shared" si="158"/>
        <v>0</v>
      </c>
      <c r="F238" s="249">
        <f t="shared" si="158"/>
        <v>0</v>
      </c>
      <c r="G238" s="249">
        <f t="shared" si="158"/>
        <v>0</v>
      </c>
      <c r="H238" s="249">
        <f t="shared" si="158"/>
        <v>0</v>
      </c>
      <c r="I238" s="249">
        <f t="shared" si="158"/>
        <v>0</v>
      </c>
      <c r="J238" s="249">
        <f t="shared" si="158"/>
        <v>0</v>
      </c>
      <c r="K238" s="249">
        <f t="shared" si="158"/>
        <v>0</v>
      </c>
      <c r="L238" s="249">
        <f t="shared" si="158"/>
        <v>0</v>
      </c>
      <c r="M238" s="249">
        <f t="shared" si="158"/>
        <v>0</v>
      </c>
      <c r="N238" s="249">
        <f t="shared" si="158"/>
        <v>0</v>
      </c>
      <c r="O238" s="249">
        <f t="shared" si="158"/>
        <v>0</v>
      </c>
      <c r="P238" s="249">
        <f t="shared" si="158"/>
        <v>0</v>
      </c>
      <c r="Q238" s="249">
        <f t="shared" si="158"/>
        <v>0</v>
      </c>
      <c r="R238" s="249">
        <f t="shared" si="158"/>
        <v>0</v>
      </c>
      <c r="S238" s="249">
        <f t="shared" si="158"/>
        <v>0</v>
      </c>
      <c r="T238" s="249">
        <f t="shared" si="158"/>
        <v>0</v>
      </c>
      <c r="U238" s="249">
        <f t="shared" si="158"/>
        <v>0</v>
      </c>
      <c r="V238" s="249">
        <f t="shared" si="158"/>
        <v>0</v>
      </c>
      <c r="W238" s="249">
        <f t="shared" si="158"/>
        <v>0</v>
      </c>
      <c r="X238" s="249">
        <f t="shared" si="158"/>
        <v>0</v>
      </c>
      <c r="Y238" s="249">
        <f t="shared" si="158"/>
        <v>0</v>
      </c>
      <c r="Z238" s="249">
        <f t="shared" si="158"/>
        <v>0</v>
      </c>
      <c r="AA238" s="249">
        <f t="shared" si="158"/>
        <v>0</v>
      </c>
      <c r="AB238" s="249">
        <f t="shared" si="158"/>
        <v>0</v>
      </c>
      <c r="AC238" s="249">
        <f t="shared" si="158"/>
        <v>0</v>
      </c>
      <c r="AD238" s="249">
        <f t="shared" si="158"/>
        <v>0</v>
      </c>
      <c r="AE238" s="249">
        <f t="shared" si="158"/>
        <v>0</v>
      </c>
      <c r="AF238" s="249">
        <f t="shared" si="158"/>
        <v>0</v>
      </c>
      <c r="AG238" s="249">
        <f t="shared" si="158"/>
        <v>0</v>
      </c>
      <c r="AI238" s="694"/>
      <c r="AJ238" s="323"/>
    </row>
    <row r="239" spans="1:36" s="181" customFormat="1" x14ac:dyDescent="0.2">
      <c r="A239" s="181" t="s">
        <v>1706</v>
      </c>
      <c r="B239" s="349" t="s">
        <v>704</v>
      </c>
      <c r="C239" s="249">
        <f>C233*C190+C187*C236+C223+IF(C216&gt;C236,C216-C236,0)</f>
        <v>0.7187559083357169</v>
      </c>
      <c r="D239" s="249">
        <f t="shared" ref="D239:AG239" si="159">D233*D190+D187*D236+D223+IF(D216&gt;D236,D216-D236,0)</f>
        <v>0.76206897215051717</v>
      </c>
      <c r="E239" s="249">
        <f t="shared" si="159"/>
        <v>0.80550163010428133</v>
      </c>
      <c r="F239" s="249">
        <f t="shared" si="159"/>
        <v>0.84879733047337014</v>
      </c>
      <c r="G239" s="249">
        <f t="shared" si="159"/>
        <v>0.89168806702162962</v>
      </c>
      <c r="H239" s="249">
        <f t="shared" si="159"/>
        <v>0.93389704512654825</v>
      </c>
      <c r="I239" s="249">
        <f t="shared" si="159"/>
        <v>0.97117878567734717</v>
      </c>
      <c r="J239" s="249">
        <f t="shared" si="159"/>
        <v>1.0087775162875756</v>
      </c>
      <c r="K239" s="249">
        <f t="shared" si="159"/>
        <v>1.0466388039461378</v>
      </c>
      <c r="L239" s="249">
        <f t="shared" si="159"/>
        <v>1.0847058704202699</v>
      </c>
      <c r="M239" s="249">
        <f t="shared" si="159"/>
        <v>1.122919683078877</v>
      </c>
      <c r="N239" s="249">
        <f t="shared" si="159"/>
        <v>1.1588366918919524</v>
      </c>
      <c r="O239" s="249">
        <f t="shared" si="159"/>
        <v>1.1931341922454597</v>
      </c>
      <c r="P239" s="249">
        <f t="shared" si="159"/>
        <v>1.224795125838223</v>
      </c>
      <c r="Q239" s="249">
        <f t="shared" si="159"/>
        <v>1.2543012007812866</v>
      </c>
      <c r="R239" s="249">
        <f t="shared" si="159"/>
        <v>1.2814621703423235</v>
      </c>
      <c r="S239" s="249">
        <f t="shared" si="159"/>
        <v>1.3090217263024961</v>
      </c>
      <c r="T239" s="249">
        <f t="shared" si="159"/>
        <v>1.3364316549714588</v>
      </c>
      <c r="U239" s="249">
        <f t="shared" si="159"/>
        <v>1.3636655451288215</v>
      </c>
      <c r="V239" s="249">
        <f t="shared" si="159"/>
        <v>1.3906966240388083</v>
      </c>
      <c r="W239" s="249">
        <f t="shared" si="159"/>
        <v>1.4174977774100888</v>
      </c>
      <c r="X239" s="249">
        <f t="shared" si="159"/>
        <v>1.4428126407061206</v>
      </c>
      <c r="Y239" s="249">
        <f t="shared" si="159"/>
        <v>1.4690004857468071</v>
      </c>
      <c r="Z239" s="249">
        <f t="shared" si="159"/>
        <v>1.4959672412739835</v>
      </c>
      <c r="AA239" s="249">
        <f t="shared" si="159"/>
        <v>1.5229591913432841</v>
      </c>
      <c r="AB239" s="249">
        <f t="shared" si="159"/>
        <v>1.5499567142645023</v>
      </c>
      <c r="AC239" s="249">
        <f t="shared" si="159"/>
        <v>1.5761774094311587</v>
      </c>
      <c r="AD239" s="249">
        <f t="shared" si="159"/>
        <v>1.6023272116936265</v>
      </c>
      <c r="AE239" s="249">
        <f t="shared" si="159"/>
        <v>1.6283857320029154</v>
      </c>
      <c r="AF239" s="249">
        <f t="shared" si="159"/>
        <v>1.6543324877320025</v>
      </c>
      <c r="AG239" s="249">
        <f t="shared" si="159"/>
        <v>1.6801469248623224</v>
      </c>
      <c r="AI239" s="694"/>
      <c r="AJ239" s="323"/>
    </row>
    <row r="240" spans="1:36" s="181" customFormat="1" x14ac:dyDescent="0.2">
      <c r="A240" s="181" t="s">
        <v>1707</v>
      </c>
      <c r="B240" s="349" t="s">
        <v>704</v>
      </c>
      <c r="C240" s="249">
        <f>C219-C238</f>
        <v>4.2488108129512732</v>
      </c>
      <c r="D240" s="249">
        <f t="shared" ref="D240:AF240" si="160">D219-D238</f>
        <v>4.354363807600687</v>
      </c>
      <c r="E240" s="249">
        <f t="shared" si="160"/>
        <v>4.4503974677137261</v>
      </c>
      <c r="F240" s="249">
        <f t="shared" si="160"/>
        <v>4.536177086876072</v>
      </c>
      <c r="G240" s="249">
        <f t="shared" si="160"/>
        <v>4.6110374829870509</v>
      </c>
      <c r="H240" s="249">
        <f t="shared" si="160"/>
        <v>4.6743915817335298</v>
      </c>
      <c r="I240" s="249">
        <f t="shared" si="160"/>
        <v>4.7180177054212376</v>
      </c>
      <c r="J240" s="249">
        <f t="shared" si="160"/>
        <v>4.7592633766709351</v>
      </c>
      <c r="K240" s="249">
        <f t="shared" si="160"/>
        <v>4.7980506686159163</v>
      </c>
      <c r="L240" s="249">
        <f t="shared" si="160"/>
        <v>4.8343049680201702</v>
      </c>
      <c r="M240" s="249">
        <f t="shared" si="160"/>
        <v>4.8679551967368235</v>
      </c>
      <c r="N240" s="249">
        <f t="shared" si="160"/>
        <v>4.8902553318079729</v>
      </c>
      <c r="O240" s="249">
        <f t="shared" si="160"/>
        <v>4.9032506940854876</v>
      </c>
      <c r="P240" s="249">
        <f t="shared" si="160"/>
        <v>4.8927298892888746</v>
      </c>
      <c r="Q240" s="249">
        <f t="shared" si="160"/>
        <v>4.8721065759750575</v>
      </c>
      <c r="R240" s="249">
        <f t="shared" si="160"/>
        <v>4.8414793343566025</v>
      </c>
      <c r="S240" s="249">
        <f t="shared" si="160"/>
        <v>4.8107206747857818</v>
      </c>
      <c r="T240" s="249">
        <f t="shared" si="160"/>
        <v>4.7787848270829141</v>
      </c>
      <c r="U240" s="249">
        <f t="shared" si="160"/>
        <v>4.7456869429473825</v>
      </c>
      <c r="V240" s="249">
        <f t="shared" si="160"/>
        <v>4.7114430258924358</v>
      </c>
      <c r="W240" s="249">
        <f t="shared" si="160"/>
        <v>4.6760699226001243</v>
      </c>
      <c r="X240" s="249">
        <f t="shared" si="160"/>
        <v>4.6377228537424475</v>
      </c>
      <c r="Y240" s="249">
        <f t="shared" si="160"/>
        <v>4.6001626863365539</v>
      </c>
      <c r="Z240" s="249">
        <f t="shared" si="160"/>
        <v>4.5356245583036126</v>
      </c>
      <c r="AA240" s="249">
        <f t="shared" si="160"/>
        <v>4.4701305988524078</v>
      </c>
      <c r="AB240" s="249">
        <f t="shared" si="160"/>
        <v>4.4037186614589094</v>
      </c>
      <c r="AC240" s="249">
        <f t="shared" si="160"/>
        <v>4.3354708760290777</v>
      </c>
      <c r="AD240" s="249">
        <f t="shared" si="160"/>
        <v>4.2664256404566121</v>
      </c>
      <c r="AE240" s="249">
        <f t="shared" si="160"/>
        <v>4.1966219144735888</v>
      </c>
      <c r="AF240" s="249">
        <f t="shared" si="160"/>
        <v>4.1260993384167604</v>
      </c>
      <c r="AG240" s="249">
        <f>AG219-AG238</f>
        <v>4.0548982044385573</v>
      </c>
      <c r="AI240" s="694"/>
      <c r="AJ240" s="323"/>
    </row>
    <row r="241" spans="1:37" s="181" customFormat="1" x14ac:dyDescent="0.2">
      <c r="B241" s="350"/>
      <c r="C241" s="327"/>
      <c r="D241" s="327"/>
      <c r="E241" s="327"/>
      <c r="F241" s="327"/>
      <c r="G241" s="327"/>
      <c r="H241" s="327"/>
      <c r="I241" s="327"/>
      <c r="J241" s="327"/>
      <c r="K241" s="327"/>
      <c r="L241" s="327"/>
      <c r="M241" s="327"/>
      <c r="N241" s="327"/>
      <c r="O241" s="327"/>
      <c r="P241" s="327"/>
      <c r="Q241" s="327"/>
      <c r="R241" s="327"/>
      <c r="S241" s="327"/>
      <c r="T241" s="327"/>
      <c r="U241" s="327"/>
      <c r="V241" s="327"/>
      <c r="W241" s="327"/>
      <c r="X241" s="327"/>
      <c r="Y241" s="327"/>
      <c r="Z241" s="327"/>
      <c r="AA241" s="327"/>
      <c r="AB241" s="327"/>
      <c r="AC241" s="327"/>
      <c r="AD241" s="327"/>
      <c r="AE241" s="327"/>
      <c r="AF241" s="327"/>
      <c r="AG241" s="327"/>
      <c r="AJ241" s="323"/>
    </row>
    <row r="242" spans="1:37" s="181" customFormat="1" x14ac:dyDescent="0.2">
      <c r="A242" s="181" t="s">
        <v>1400</v>
      </c>
      <c r="B242" s="350" t="s">
        <v>462</v>
      </c>
      <c r="C242" s="296">
        <v>0.8</v>
      </c>
      <c r="D242" s="317">
        <f>C242</f>
        <v>0.8</v>
      </c>
      <c r="E242" s="317">
        <f t="shared" ref="E242:AG242" si="161">D242</f>
        <v>0.8</v>
      </c>
      <c r="F242" s="317">
        <f t="shared" si="161"/>
        <v>0.8</v>
      </c>
      <c r="G242" s="317">
        <f t="shared" si="161"/>
        <v>0.8</v>
      </c>
      <c r="H242" s="317">
        <f t="shared" si="161"/>
        <v>0.8</v>
      </c>
      <c r="I242" s="317">
        <f t="shared" si="161"/>
        <v>0.8</v>
      </c>
      <c r="J242" s="317">
        <f t="shared" si="161"/>
        <v>0.8</v>
      </c>
      <c r="K242" s="317">
        <f t="shared" si="161"/>
        <v>0.8</v>
      </c>
      <c r="L242" s="317">
        <f t="shared" si="161"/>
        <v>0.8</v>
      </c>
      <c r="M242" s="317">
        <f>L242</f>
        <v>0.8</v>
      </c>
      <c r="N242" s="317">
        <f t="shared" si="161"/>
        <v>0.8</v>
      </c>
      <c r="O242" s="317">
        <f t="shared" si="161"/>
        <v>0.8</v>
      </c>
      <c r="P242" s="317">
        <f t="shared" si="161"/>
        <v>0.8</v>
      </c>
      <c r="Q242" s="317">
        <f t="shared" si="161"/>
        <v>0.8</v>
      </c>
      <c r="R242" s="317">
        <f t="shared" si="161"/>
        <v>0.8</v>
      </c>
      <c r="S242" s="317">
        <f t="shared" si="161"/>
        <v>0.8</v>
      </c>
      <c r="T242" s="317">
        <f t="shared" si="161"/>
        <v>0.8</v>
      </c>
      <c r="U242" s="317">
        <f t="shared" si="161"/>
        <v>0.8</v>
      </c>
      <c r="V242" s="317">
        <f t="shared" si="161"/>
        <v>0.8</v>
      </c>
      <c r="W242" s="317">
        <f t="shared" si="161"/>
        <v>0.8</v>
      </c>
      <c r="X242" s="317">
        <f t="shared" si="161"/>
        <v>0.8</v>
      </c>
      <c r="Y242" s="317">
        <f t="shared" si="161"/>
        <v>0.8</v>
      </c>
      <c r="Z242" s="317">
        <f t="shared" si="161"/>
        <v>0.8</v>
      </c>
      <c r="AA242" s="317">
        <f t="shared" si="161"/>
        <v>0.8</v>
      </c>
      <c r="AB242" s="317">
        <f t="shared" si="161"/>
        <v>0.8</v>
      </c>
      <c r="AC242" s="317">
        <f t="shared" si="161"/>
        <v>0.8</v>
      </c>
      <c r="AD242" s="317">
        <f t="shared" si="161"/>
        <v>0.8</v>
      </c>
      <c r="AE242" s="317">
        <f t="shared" si="161"/>
        <v>0.8</v>
      </c>
      <c r="AF242" s="317">
        <f t="shared" si="161"/>
        <v>0.8</v>
      </c>
      <c r="AG242" s="317">
        <f t="shared" si="161"/>
        <v>0.8</v>
      </c>
      <c r="AJ242" s="323" t="s">
        <v>1401</v>
      </c>
    </row>
    <row r="243" spans="1:37" s="181" customFormat="1" x14ac:dyDescent="0.2">
      <c r="B243" s="350"/>
      <c r="C243" s="327"/>
      <c r="D243" s="327"/>
      <c r="E243" s="327"/>
      <c r="F243" s="327"/>
      <c r="G243" s="327"/>
      <c r="H243" s="327"/>
      <c r="I243" s="327"/>
      <c r="J243" s="327"/>
      <c r="K243" s="327"/>
      <c r="L243" s="327"/>
      <c r="M243" s="327"/>
      <c r="N243" s="327"/>
      <c r="O243" s="327"/>
      <c r="P243" s="327"/>
      <c r="Q243" s="327"/>
      <c r="R243" s="327"/>
      <c r="S243" s="327"/>
      <c r="T243" s="327"/>
      <c r="U243" s="327"/>
      <c r="V243" s="327"/>
      <c r="W243" s="327"/>
      <c r="X243" s="327"/>
      <c r="Y243" s="327"/>
      <c r="Z243" s="327"/>
      <c r="AA243" s="327"/>
      <c r="AB243" s="327"/>
      <c r="AC243" s="327"/>
      <c r="AD243" s="327"/>
      <c r="AE243" s="327"/>
      <c r="AF243" s="327"/>
      <c r="AG243" s="327"/>
      <c r="AJ243" s="323"/>
    </row>
    <row r="244" spans="1:37" s="181" customFormat="1" x14ac:dyDescent="0.2">
      <c r="A244" s="181" t="s">
        <v>1402</v>
      </c>
      <c r="B244" s="350" t="s">
        <v>704</v>
      </c>
      <c r="C244" s="327">
        <f>C178*C239*C242</f>
        <v>0.12650103986708619</v>
      </c>
      <c r="D244" s="327">
        <f t="shared" ref="D244:AG244" si="162">D178*D239*D242</f>
        <v>0.13818850694996043</v>
      </c>
      <c r="E244" s="327">
        <f t="shared" si="162"/>
        <v>0.15036030428613251</v>
      </c>
      <c r="F244" s="327">
        <f t="shared" si="162"/>
        <v>0.16296908745088706</v>
      </c>
      <c r="G244" s="327">
        <f t="shared" si="162"/>
        <v>0.17595977855893488</v>
      </c>
      <c r="H244" s="327">
        <f t="shared" si="162"/>
        <v>0.18926980114564709</v>
      </c>
      <c r="I244" s="327">
        <f t="shared" si="162"/>
        <v>0.20200518742088819</v>
      </c>
      <c r="J244" s="327">
        <f t="shared" si="162"/>
        <v>0.21520587014134943</v>
      </c>
      <c r="K244" s="327">
        <f t="shared" si="162"/>
        <v>0.22886501846288876</v>
      </c>
      <c r="L244" s="327">
        <f t="shared" si="162"/>
        <v>0.24297411497414037</v>
      </c>
      <c r="M244" s="327">
        <f t="shared" si="162"/>
        <v>0.25752291398608906</v>
      </c>
      <c r="N244" s="327">
        <f t="shared" si="162"/>
        <v>0.2719403436973114</v>
      </c>
      <c r="O244" s="327">
        <f t="shared" si="162"/>
        <v>0.28635220613891021</v>
      </c>
      <c r="P244" s="327">
        <f t="shared" si="162"/>
        <v>0.30048307087231058</v>
      </c>
      <c r="Q244" s="327">
        <f t="shared" si="162"/>
        <v>0.31441150099584236</v>
      </c>
      <c r="R244" s="327">
        <f t="shared" si="162"/>
        <v>0.32805431560763465</v>
      </c>
      <c r="S244" s="327">
        <f t="shared" si="162"/>
        <v>0.34209101114038548</v>
      </c>
      <c r="T244" s="327">
        <f t="shared" si="162"/>
        <v>0.35638177465905552</v>
      </c>
      <c r="U244" s="327">
        <f t="shared" si="162"/>
        <v>0.37091702827503925</v>
      </c>
      <c r="V244" s="327">
        <f t="shared" si="162"/>
        <v>0.38568653040009598</v>
      </c>
      <c r="W244" s="327">
        <f t="shared" si="162"/>
        <v>0.40067937174791823</v>
      </c>
      <c r="X244" s="327">
        <f t="shared" si="162"/>
        <v>0.41553004052336251</v>
      </c>
      <c r="Y244" s="327">
        <f t="shared" si="162"/>
        <v>0.43090680915239643</v>
      </c>
      <c r="Z244" s="327">
        <f t="shared" si="162"/>
        <v>0.44679554939382948</v>
      </c>
      <c r="AA244" s="327">
        <f t="shared" si="162"/>
        <v>0.4629795941683581</v>
      </c>
      <c r="AB244" s="327">
        <f t="shared" si="162"/>
        <v>0.47945327694581907</v>
      </c>
      <c r="AC244" s="327">
        <f t="shared" si="162"/>
        <v>0.49597049150100425</v>
      </c>
      <c r="AD244" s="327">
        <f t="shared" si="162"/>
        <v>0.51274470774196013</v>
      </c>
      <c r="AE244" s="327">
        <f t="shared" si="162"/>
        <v>0.52976815814494804</v>
      </c>
      <c r="AF244" s="327">
        <f t="shared" si="162"/>
        <v>0.54703260927671504</v>
      </c>
      <c r="AG244" s="327">
        <f t="shared" si="162"/>
        <v>0.56452936675374032</v>
      </c>
      <c r="AJ244" s="323"/>
    </row>
    <row r="245" spans="1:37" s="181" customFormat="1" x14ac:dyDescent="0.2">
      <c r="A245" s="181" t="s">
        <v>1403</v>
      </c>
      <c r="B245" s="350" t="s">
        <v>704</v>
      </c>
      <c r="C245" s="327">
        <f>C239*C242-C244</f>
        <v>0.44850368680148733</v>
      </c>
      <c r="D245" s="327">
        <f t="shared" ref="D245:AG245" si="163">D239*D242-D244</f>
        <v>0.47146667077045334</v>
      </c>
      <c r="E245" s="327">
        <f t="shared" si="163"/>
        <v>0.4940409997972926</v>
      </c>
      <c r="F245" s="327">
        <f t="shared" si="163"/>
        <v>0.51606877692780917</v>
      </c>
      <c r="G245" s="327">
        <f t="shared" si="163"/>
        <v>0.53739067505836891</v>
      </c>
      <c r="H245" s="327">
        <f t="shared" si="163"/>
        <v>0.55784783495559154</v>
      </c>
      <c r="I245" s="327">
        <f t="shared" si="163"/>
        <v>0.57493784112098956</v>
      </c>
      <c r="J245" s="327">
        <f t="shared" si="163"/>
        <v>0.59181614288871109</v>
      </c>
      <c r="K245" s="327">
        <f t="shared" si="163"/>
        <v>0.60844602469402154</v>
      </c>
      <c r="L245" s="327">
        <f t="shared" si="163"/>
        <v>0.62479058136207566</v>
      </c>
      <c r="M245" s="327">
        <f t="shared" si="163"/>
        <v>0.64081283247701259</v>
      </c>
      <c r="N245" s="327">
        <f t="shared" si="163"/>
        <v>0.65512900981625055</v>
      </c>
      <c r="O245" s="327">
        <f t="shared" si="163"/>
        <v>0.66815514765745754</v>
      </c>
      <c r="P245" s="327">
        <f t="shared" si="163"/>
        <v>0.67935302979826795</v>
      </c>
      <c r="Q245" s="327">
        <f t="shared" si="163"/>
        <v>0.68902945962918705</v>
      </c>
      <c r="R245" s="327">
        <f t="shared" si="163"/>
        <v>0.69711542066622412</v>
      </c>
      <c r="S245" s="327">
        <f t="shared" si="163"/>
        <v>0.70512636990161148</v>
      </c>
      <c r="T245" s="327">
        <f t="shared" si="163"/>
        <v>0.71276354931811159</v>
      </c>
      <c r="U245" s="327">
        <f t="shared" si="163"/>
        <v>0.72001540782801798</v>
      </c>
      <c r="V245" s="327">
        <f t="shared" si="163"/>
        <v>0.72687076883095059</v>
      </c>
      <c r="W245" s="327">
        <f t="shared" si="163"/>
        <v>0.73331885018015286</v>
      </c>
      <c r="X245" s="327">
        <f t="shared" si="163"/>
        <v>0.738720072041534</v>
      </c>
      <c r="Y245" s="327">
        <f t="shared" si="163"/>
        <v>0.74429357944504937</v>
      </c>
      <c r="Z245" s="327">
        <f t="shared" si="163"/>
        <v>0.74997824362535737</v>
      </c>
      <c r="AA245" s="327">
        <f t="shared" si="163"/>
        <v>0.75538775890626919</v>
      </c>
      <c r="AB245" s="327">
        <f t="shared" si="163"/>
        <v>0.76051209446578283</v>
      </c>
      <c r="AC245" s="327">
        <f t="shared" si="163"/>
        <v>0.7649714360439227</v>
      </c>
      <c r="AD245" s="327">
        <f t="shared" si="163"/>
        <v>0.76911706161294113</v>
      </c>
      <c r="AE245" s="327">
        <f t="shared" si="163"/>
        <v>0.77294042745738434</v>
      </c>
      <c r="AF245" s="327">
        <f t="shared" si="163"/>
        <v>0.77643338090888703</v>
      </c>
      <c r="AG245" s="327">
        <f t="shared" si="163"/>
        <v>0.77958817313611761</v>
      </c>
      <c r="AJ245" s="323"/>
    </row>
    <row r="246" spans="1:37" s="181" customFormat="1" x14ac:dyDescent="0.2">
      <c r="B246" s="176"/>
      <c r="C246" s="327"/>
      <c r="D246" s="327"/>
      <c r="E246" s="327"/>
      <c r="F246" s="327"/>
      <c r="G246" s="327"/>
      <c r="H246" s="327"/>
      <c r="I246" s="327"/>
      <c r="J246" s="327"/>
      <c r="K246" s="327"/>
      <c r="L246" s="327"/>
      <c r="M246" s="327"/>
      <c r="N246" s="327"/>
      <c r="O246" s="327"/>
      <c r="P246" s="327"/>
      <c r="Q246" s="327"/>
      <c r="R246" s="327"/>
      <c r="S246" s="327"/>
      <c r="T246" s="327"/>
      <c r="U246" s="327"/>
      <c r="V246" s="327"/>
      <c r="W246" s="327"/>
      <c r="X246" s="327"/>
      <c r="Y246" s="327"/>
      <c r="Z246" s="327"/>
      <c r="AA246" s="327"/>
      <c r="AB246" s="327"/>
      <c r="AC246" s="327"/>
      <c r="AD246" s="327"/>
      <c r="AE246" s="327"/>
      <c r="AF246" s="327"/>
      <c r="AG246" s="327"/>
      <c r="AJ246" s="323"/>
    </row>
    <row r="247" spans="1:37" s="181" customFormat="1" x14ac:dyDescent="0.2">
      <c r="B247" s="210" t="s">
        <v>492</v>
      </c>
      <c r="C247" s="331">
        <v>0</v>
      </c>
      <c r="D247" s="331">
        <f>C247+1</f>
        <v>1</v>
      </c>
      <c r="E247" s="331">
        <f t="shared" ref="E247:AG247" si="164">D247+1</f>
        <v>2</v>
      </c>
      <c r="F247" s="331">
        <f t="shared" si="164"/>
        <v>3</v>
      </c>
      <c r="G247" s="331">
        <f t="shared" si="164"/>
        <v>4</v>
      </c>
      <c r="H247" s="331">
        <f t="shared" si="164"/>
        <v>5</v>
      </c>
      <c r="I247" s="331">
        <f t="shared" si="164"/>
        <v>6</v>
      </c>
      <c r="J247" s="331">
        <f t="shared" si="164"/>
        <v>7</v>
      </c>
      <c r="K247" s="331">
        <f t="shared" si="164"/>
        <v>8</v>
      </c>
      <c r="L247" s="331">
        <f t="shared" si="164"/>
        <v>9</v>
      </c>
      <c r="M247" s="331">
        <f t="shared" si="164"/>
        <v>10</v>
      </c>
      <c r="N247" s="331">
        <f t="shared" si="164"/>
        <v>11</v>
      </c>
      <c r="O247" s="331">
        <f t="shared" si="164"/>
        <v>12</v>
      </c>
      <c r="P247" s="331">
        <f t="shared" si="164"/>
        <v>13</v>
      </c>
      <c r="Q247" s="331">
        <f t="shared" si="164"/>
        <v>14</v>
      </c>
      <c r="R247" s="331">
        <f t="shared" si="164"/>
        <v>15</v>
      </c>
      <c r="S247" s="331">
        <f t="shared" si="164"/>
        <v>16</v>
      </c>
      <c r="T247" s="331">
        <f t="shared" si="164"/>
        <v>17</v>
      </c>
      <c r="U247" s="331">
        <f t="shared" si="164"/>
        <v>18</v>
      </c>
      <c r="V247" s="331">
        <f t="shared" si="164"/>
        <v>19</v>
      </c>
      <c r="W247" s="331">
        <f t="shared" si="164"/>
        <v>20</v>
      </c>
      <c r="X247" s="331">
        <f t="shared" si="164"/>
        <v>21</v>
      </c>
      <c r="Y247" s="331">
        <f t="shared" si="164"/>
        <v>22</v>
      </c>
      <c r="Z247" s="331">
        <f t="shared" si="164"/>
        <v>23</v>
      </c>
      <c r="AA247" s="331">
        <f t="shared" si="164"/>
        <v>24</v>
      </c>
      <c r="AB247" s="331">
        <f t="shared" si="164"/>
        <v>25</v>
      </c>
      <c r="AC247" s="331">
        <f t="shared" si="164"/>
        <v>26</v>
      </c>
      <c r="AD247" s="331">
        <f t="shared" si="164"/>
        <v>27</v>
      </c>
      <c r="AE247" s="331">
        <f t="shared" si="164"/>
        <v>28</v>
      </c>
      <c r="AF247" s="331">
        <f t="shared" si="164"/>
        <v>29</v>
      </c>
      <c r="AG247" s="331">
        <f t="shared" si="164"/>
        <v>30</v>
      </c>
      <c r="AJ247" s="323" t="s">
        <v>493</v>
      </c>
      <c r="AK247" s="181">
        <f>'Propylene Recycling HC'!AK199</f>
        <v>1.9</v>
      </c>
    </row>
    <row r="248" spans="1:37" s="181" customFormat="1" x14ac:dyDescent="0.2">
      <c r="A248" s="181" t="s">
        <v>1404</v>
      </c>
      <c r="B248" s="176"/>
      <c r="C248" s="333">
        <f>$AK$249/((1+EXP(-$AK$248*(C247-$AK$250)))^$AK$247)</f>
        <v>4.6088632748610021E-5</v>
      </c>
      <c r="D248" s="333">
        <f t="shared" ref="D248:AG248" si="165">$AK$249/((1+EXP(-$AK$248*(D247-$AK$250)))^$AK$247)</f>
        <v>8.924759460408035E-5</v>
      </c>
      <c r="E248" s="333">
        <f t="shared" si="165"/>
        <v>1.7252431976790472E-4</v>
      </c>
      <c r="F248" s="333">
        <f t="shared" si="165"/>
        <v>3.3269643715580369E-4</v>
      </c>
      <c r="G248" s="333">
        <f t="shared" si="165"/>
        <v>6.393827369910735E-4</v>
      </c>
      <c r="H248" s="333">
        <f t="shared" si="165"/>
        <v>1.2229053771654547E-3</v>
      </c>
      <c r="I248" s="333">
        <f t="shared" si="165"/>
        <v>2.3234018804222717E-3</v>
      </c>
      <c r="J248" s="333">
        <f t="shared" si="165"/>
        <v>4.3736281679830789E-3</v>
      </c>
      <c r="K248" s="333">
        <f t="shared" si="165"/>
        <v>8.1294184230466908E-3</v>
      </c>
      <c r="L248" s="333">
        <f t="shared" si="165"/>
        <v>1.4853985082038716E-2</v>
      </c>
      <c r="M248" s="333">
        <f t="shared" si="165"/>
        <v>2.6531412096832362E-2</v>
      </c>
      <c r="N248" s="333">
        <f t="shared" si="165"/>
        <v>4.6014759335105015E-2</v>
      </c>
      <c r="O248" s="333">
        <f t="shared" si="165"/>
        <v>7.6910635328419796E-2</v>
      </c>
      <c r="P248" s="333">
        <f t="shared" si="165"/>
        <v>0.12294065829885638</v>
      </c>
      <c r="Q248" s="333">
        <f t="shared" si="165"/>
        <v>0.18666754187878853</v>
      </c>
      <c r="R248" s="333">
        <f t="shared" si="165"/>
        <v>0.26794336563407328</v>
      </c>
      <c r="S248" s="333">
        <f t="shared" si="165"/>
        <v>0.36297326582455031</v>
      </c>
      <c r="T248" s="333">
        <f t="shared" si="165"/>
        <v>0.46484396312424381</v>
      </c>
      <c r="U248" s="333">
        <f t="shared" si="165"/>
        <v>0.56546260593861253</v>
      </c>
      <c r="V248" s="333">
        <f t="shared" si="165"/>
        <v>0.6578403022607352</v>
      </c>
      <c r="W248" s="333">
        <f t="shared" si="165"/>
        <v>0.73754668886795227</v>
      </c>
      <c r="X248" s="333">
        <f t="shared" si="165"/>
        <v>0.80293052021410605</v>
      </c>
      <c r="Y248" s="333">
        <f t="shared" si="165"/>
        <v>0.85447682949112158</v>
      </c>
      <c r="Z248" s="333">
        <f t="shared" si="165"/>
        <v>0.89389910336617451</v>
      </c>
      <c r="AA248" s="333">
        <f t="shared" si="165"/>
        <v>0.92337223319290385</v>
      </c>
      <c r="AB248" s="333">
        <f t="shared" si="165"/>
        <v>0.94504210708611314</v>
      </c>
      <c r="AC248" s="333">
        <f t="shared" si="165"/>
        <v>0.96078240575184182</v>
      </c>
      <c r="AD248" s="333">
        <f t="shared" si="165"/>
        <v>0.97211605463477313</v>
      </c>
      <c r="AE248" s="333">
        <f t="shared" si="165"/>
        <v>0.98022577885232642</v>
      </c>
      <c r="AF248" s="333">
        <f t="shared" si="165"/>
        <v>0.98600279580400285</v>
      </c>
      <c r="AG248" s="333">
        <f t="shared" si="165"/>
        <v>0.9901050637460882</v>
      </c>
      <c r="AI248" s="176" t="s">
        <v>494</v>
      </c>
      <c r="AJ248" s="323" t="s">
        <v>495</v>
      </c>
      <c r="AK248" s="181">
        <f>'Propylene Recycling HC'!AK200</f>
        <v>0.35</v>
      </c>
    </row>
    <row r="249" spans="1:37" s="181" customFormat="1" x14ac:dyDescent="0.2">
      <c r="B249" s="176"/>
      <c r="C249" s="329">
        <v>0</v>
      </c>
      <c r="D249" s="329">
        <v>0</v>
      </c>
      <c r="E249" s="329">
        <v>0</v>
      </c>
      <c r="F249" s="329">
        <v>0</v>
      </c>
      <c r="G249" s="329">
        <v>0</v>
      </c>
      <c r="H249" s="329">
        <v>0</v>
      </c>
      <c r="I249" s="329">
        <v>0</v>
      </c>
      <c r="J249" s="329">
        <v>0</v>
      </c>
      <c r="K249" s="329">
        <v>0</v>
      </c>
      <c r="L249" s="329">
        <v>0</v>
      </c>
      <c r="M249" s="329">
        <f>C248</f>
        <v>4.6088632748610021E-5</v>
      </c>
      <c r="N249" s="329">
        <v>0</v>
      </c>
      <c r="O249" s="329">
        <v>0</v>
      </c>
      <c r="P249" s="329">
        <v>0</v>
      </c>
      <c r="Q249" s="329">
        <v>0</v>
      </c>
      <c r="R249" s="329">
        <f t="shared" ref="R249:AG249" si="166">C248</f>
        <v>4.6088632748610021E-5</v>
      </c>
      <c r="S249" s="329">
        <f t="shared" si="166"/>
        <v>8.924759460408035E-5</v>
      </c>
      <c r="T249" s="329">
        <f t="shared" si="166"/>
        <v>1.7252431976790472E-4</v>
      </c>
      <c r="U249" s="329">
        <f t="shared" si="166"/>
        <v>3.3269643715580369E-4</v>
      </c>
      <c r="V249" s="329">
        <f t="shared" si="166"/>
        <v>6.393827369910735E-4</v>
      </c>
      <c r="W249" s="329">
        <f t="shared" si="166"/>
        <v>1.2229053771654547E-3</v>
      </c>
      <c r="X249" s="329">
        <f t="shared" si="166"/>
        <v>2.3234018804222717E-3</v>
      </c>
      <c r="Y249" s="329">
        <f t="shared" si="166"/>
        <v>4.3736281679830789E-3</v>
      </c>
      <c r="Z249" s="329">
        <f t="shared" si="166"/>
        <v>8.1294184230466908E-3</v>
      </c>
      <c r="AA249" s="329">
        <f t="shared" si="166"/>
        <v>1.4853985082038716E-2</v>
      </c>
      <c r="AB249" s="329">
        <f t="shared" si="166"/>
        <v>2.6531412096832362E-2</v>
      </c>
      <c r="AC249" s="329">
        <f t="shared" si="166"/>
        <v>4.6014759335105015E-2</v>
      </c>
      <c r="AD249" s="329">
        <f t="shared" si="166"/>
        <v>7.6910635328419796E-2</v>
      </c>
      <c r="AE249" s="329">
        <f t="shared" si="166"/>
        <v>0.12294065829885638</v>
      </c>
      <c r="AF249" s="329">
        <f t="shared" si="166"/>
        <v>0.18666754187878853</v>
      </c>
      <c r="AG249" s="329">
        <f t="shared" si="166"/>
        <v>0.26794336563407328</v>
      </c>
      <c r="AI249" s="176" t="s">
        <v>496</v>
      </c>
      <c r="AJ249" s="323" t="s">
        <v>497</v>
      </c>
      <c r="AK249" s="181">
        <f>'Propylene Recycling HC'!AK201</f>
        <v>1</v>
      </c>
    </row>
    <row r="250" spans="1:37" s="181" customFormat="1" x14ac:dyDescent="0.2">
      <c r="B250" s="176"/>
      <c r="C250" s="327"/>
      <c r="D250" s="327"/>
      <c r="E250" s="327"/>
      <c r="F250" s="327"/>
      <c r="G250" s="327"/>
      <c r="H250" s="327"/>
      <c r="I250" s="327"/>
      <c r="J250" s="327"/>
      <c r="K250" s="327"/>
      <c r="L250" s="327"/>
      <c r="M250" s="327"/>
      <c r="N250" s="327"/>
      <c r="O250" s="327"/>
      <c r="P250" s="327"/>
      <c r="Q250" s="327"/>
      <c r="R250" s="327"/>
      <c r="S250" s="327"/>
      <c r="T250" s="327"/>
      <c r="U250" s="327"/>
      <c r="V250" s="327"/>
      <c r="W250" s="327"/>
      <c r="X250" s="327"/>
      <c r="Y250" s="327"/>
      <c r="Z250" s="327"/>
      <c r="AA250" s="327"/>
      <c r="AB250" s="327"/>
      <c r="AC250" s="327"/>
      <c r="AD250" s="327"/>
      <c r="AE250" s="327"/>
      <c r="AF250" s="327"/>
      <c r="AG250" s="327"/>
      <c r="AJ250" s="323" t="s">
        <v>498</v>
      </c>
      <c r="AK250" s="181">
        <f>'Propylene Recycling HC'!AK202</f>
        <v>15</v>
      </c>
    </row>
    <row r="251" spans="1:37" s="181" customFormat="1" x14ac:dyDescent="0.2">
      <c r="A251" s="181" t="s">
        <v>1460</v>
      </c>
      <c r="B251" s="176" t="s">
        <v>462</v>
      </c>
      <c r="C251" s="328">
        <v>0</v>
      </c>
      <c r="D251" s="328">
        <f>C251</f>
        <v>0</v>
      </c>
      <c r="E251" s="328">
        <f t="shared" ref="E251:AG251" si="167">D251</f>
        <v>0</v>
      </c>
      <c r="F251" s="328">
        <f t="shared" si="167"/>
        <v>0</v>
      </c>
      <c r="G251" s="328">
        <f t="shared" si="167"/>
        <v>0</v>
      </c>
      <c r="H251" s="328">
        <f t="shared" si="167"/>
        <v>0</v>
      </c>
      <c r="I251" s="328">
        <f t="shared" si="167"/>
        <v>0</v>
      </c>
      <c r="J251" s="328">
        <f t="shared" si="167"/>
        <v>0</v>
      </c>
      <c r="K251" s="328">
        <f t="shared" si="167"/>
        <v>0</v>
      </c>
      <c r="L251" s="328">
        <f t="shared" si="167"/>
        <v>0</v>
      </c>
      <c r="M251" s="328">
        <v>0</v>
      </c>
      <c r="N251" s="328">
        <f t="shared" si="167"/>
        <v>0</v>
      </c>
      <c r="O251" s="328">
        <f t="shared" si="167"/>
        <v>0</v>
      </c>
      <c r="P251" s="328">
        <f t="shared" si="167"/>
        <v>0</v>
      </c>
      <c r="Q251" s="328">
        <f t="shared" si="167"/>
        <v>0</v>
      </c>
      <c r="R251" s="328">
        <f t="shared" si="167"/>
        <v>0</v>
      </c>
      <c r="S251" s="328">
        <f t="shared" si="167"/>
        <v>0</v>
      </c>
      <c r="T251" s="328">
        <f t="shared" si="167"/>
        <v>0</v>
      </c>
      <c r="U251" s="328">
        <f t="shared" si="167"/>
        <v>0</v>
      </c>
      <c r="V251" s="328">
        <f t="shared" si="167"/>
        <v>0</v>
      </c>
      <c r="W251" s="328">
        <f t="shared" si="167"/>
        <v>0</v>
      </c>
      <c r="X251" s="328">
        <f t="shared" si="167"/>
        <v>0</v>
      </c>
      <c r="Y251" s="328">
        <f t="shared" si="167"/>
        <v>0</v>
      </c>
      <c r="Z251" s="328">
        <f t="shared" si="167"/>
        <v>0</v>
      </c>
      <c r="AA251" s="328">
        <f t="shared" si="167"/>
        <v>0</v>
      </c>
      <c r="AB251" s="328">
        <f t="shared" si="167"/>
        <v>0</v>
      </c>
      <c r="AC251" s="328">
        <f t="shared" si="167"/>
        <v>0</v>
      </c>
      <c r="AD251" s="328">
        <f t="shared" si="167"/>
        <v>0</v>
      </c>
      <c r="AE251" s="328">
        <f t="shared" si="167"/>
        <v>0</v>
      </c>
      <c r="AF251" s="328">
        <f t="shared" si="167"/>
        <v>0</v>
      </c>
      <c r="AG251" s="328">
        <f t="shared" si="167"/>
        <v>0</v>
      </c>
      <c r="AI251" s="176" t="s">
        <v>1516</v>
      </c>
      <c r="AJ251" s="323"/>
    </row>
    <row r="252" spans="1:37" s="300" customFormat="1" ht="16" thickBot="1" x14ac:dyDescent="0.25">
      <c r="A252" s="334" t="s">
        <v>1407</v>
      </c>
      <c r="B252" s="335" t="s">
        <v>704</v>
      </c>
      <c r="C252" s="336">
        <f>C251*(C244*C248+C245*C249)</f>
        <v>0</v>
      </c>
      <c r="D252" s="336">
        <f t="shared" ref="D252:AG252" si="168">D251*(D244*D248+D245*D249)</f>
        <v>0</v>
      </c>
      <c r="E252" s="336">
        <f t="shared" si="168"/>
        <v>0</v>
      </c>
      <c r="F252" s="336">
        <f t="shared" si="168"/>
        <v>0</v>
      </c>
      <c r="G252" s="336">
        <f t="shared" si="168"/>
        <v>0</v>
      </c>
      <c r="H252" s="336">
        <f t="shared" si="168"/>
        <v>0</v>
      </c>
      <c r="I252" s="336">
        <f t="shared" si="168"/>
        <v>0</v>
      </c>
      <c r="J252" s="336">
        <f t="shared" si="168"/>
        <v>0</v>
      </c>
      <c r="K252" s="336">
        <f t="shared" si="168"/>
        <v>0</v>
      </c>
      <c r="L252" s="336">
        <f t="shared" si="168"/>
        <v>0</v>
      </c>
      <c r="M252" s="336">
        <f>M251*(M244*M248+M245*M249)</f>
        <v>0</v>
      </c>
      <c r="N252" s="336">
        <f t="shared" si="168"/>
        <v>0</v>
      </c>
      <c r="O252" s="336">
        <f t="shared" si="168"/>
        <v>0</v>
      </c>
      <c r="P252" s="336">
        <f t="shared" si="168"/>
        <v>0</v>
      </c>
      <c r="Q252" s="336">
        <f t="shared" si="168"/>
        <v>0</v>
      </c>
      <c r="R252" s="336">
        <f t="shared" si="168"/>
        <v>0</v>
      </c>
      <c r="S252" s="336">
        <f t="shared" si="168"/>
        <v>0</v>
      </c>
      <c r="T252" s="336">
        <f t="shared" si="168"/>
        <v>0</v>
      </c>
      <c r="U252" s="336">
        <f t="shared" si="168"/>
        <v>0</v>
      </c>
      <c r="V252" s="336">
        <f t="shared" si="168"/>
        <v>0</v>
      </c>
      <c r="W252" s="336">
        <f t="shared" si="168"/>
        <v>0</v>
      </c>
      <c r="X252" s="336">
        <f t="shared" si="168"/>
        <v>0</v>
      </c>
      <c r="Y252" s="336">
        <f t="shared" si="168"/>
        <v>0</v>
      </c>
      <c r="Z252" s="336">
        <f t="shared" si="168"/>
        <v>0</v>
      </c>
      <c r="AA252" s="336">
        <f t="shared" si="168"/>
        <v>0</v>
      </c>
      <c r="AB252" s="336">
        <f t="shared" si="168"/>
        <v>0</v>
      </c>
      <c r="AC252" s="336">
        <f t="shared" si="168"/>
        <v>0</v>
      </c>
      <c r="AD252" s="336">
        <f t="shared" si="168"/>
        <v>0</v>
      </c>
      <c r="AE252" s="336">
        <f t="shared" si="168"/>
        <v>0</v>
      </c>
      <c r="AF252" s="336">
        <f t="shared" si="168"/>
        <v>0</v>
      </c>
      <c r="AG252" s="336">
        <f t="shared" si="168"/>
        <v>0</v>
      </c>
      <c r="AJ252" s="326"/>
    </row>
    <row r="253" spans="1:37" s="230" customFormat="1" x14ac:dyDescent="0.2">
      <c r="A253" s="325" t="s">
        <v>1408</v>
      </c>
      <c r="B253" s="324" t="s">
        <v>462</v>
      </c>
      <c r="C253" s="330">
        <v>0</v>
      </c>
      <c r="D253" s="330">
        <v>0.5</v>
      </c>
      <c r="E253" s="330">
        <v>0.5</v>
      </c>
      <c r="F253" s="330">
        <v>0.5</v>
      </c>
      <c r="G253" s="330">
        <v>0.5</v>
      </c>
      <c r="H253" s="330">
        <v>0.5</v>
      </c>
      <c r="I253" s="330">
        <v>0.5</v>
      </c>
      <c r="J253" s="330">
        <v>0.5</v>
      </c>
      <c r="K253" s="330">
        <v>0.5</v>
      </c>
      <c r="L253" s="330">
        <v>0.5</v>
      </c>
      <c r="M253" s="330">
        <v>0</v>
      </c>
      <c r="N253" s="330">
        <v>0.5</v>
      </c>
      <c r="O253" s="330">
        <v>0.5</v>
      </c>
      <c r="P253" s="330">
        <v>0.5</v>
      </c>
      <c r="Q253" s="330">
        <v>0.5</v>
      </c>
      <c r="R253" s="330">
        <v>0.5</v>
      </c>
      <c r="S253" s="330">
        <v>0.5</v>
      </c>
      <c r="T253" s="330">
        <v>0.5</v>
      </c>
      <c r="U253" s="330">
        <v>0.5</v>
      </c>
      <c r="V253" s="330">
        <v>0.5</v>
      </c>
      <c r="W253" s="330">
        <v>0</v>
      </c>
      <c r="X253" s="330">
        <v>0.5</v>
      </c>
      <c r="Y253" s="330">
        <v>0.5</v>
      </c>
      <c r="Z253" s="330">
        <v>0.5</v>
      </c>
      <c r="AA253" s="330">
        <v>0.5</v>
      </c>
      <c r="AB253" s="330">
        <v>0.5</v>
      </c>
      <c r="AC253" s="330">
        <v>0.5</v>
      </c>
      <c r="AD253" s="330">
        <v>0.5</v>
      </c>
      <c r="AE253" s="330">
        <v>0.5</v>
      </c>
      <c r="AF253" s="330">
        <v>0.5</v>
      </c>
      <c r="AG253" s="330">
        <v>0</v>
      </c>
      <c r="AJ253" s="230" t="s">
        <v>1410</v>
      </c>
    </row>
    <row r="254" spans="1:37" s="230" customFormat="1" ht="16" thickBot="1" x14ac:dyDescent="0.25">
      <c r="A254" s="301" t="s">
        <v>1411</v>
      </c>
      <c r="B254" s="335" t="s">
        <v>704</v>
      </c>
      <c r="C254" s="336">
        <f>C253*(C244*C248+C245*C249)</f>
        <v>0</v>
      </c>
      <c r="D254" s="336">
        <f t="shared" ref="D254:AG254" si="169">D253*(D244*D248+D245*D249)</f>
        <v>6.1664959236066042E-6</v>
      </c>
      <c r="E254" s="336">
        <f t="shared" si="169"/>
        <v>1.297040460853009E-5</v>
      </c>
      <c r="F254" s="336">
        <f t="shared" si="169"/>
        <v>2.7109617380721362E-5</v>
      </c>
      <c r="G254" s="336">
        <f t="shared" si="169"/>
        <v>5.6252822407677498E-5</v>
      </c>
      <c r="H254" s="336">
        <f t="shared" si="169"/>
        <v>1.1572952877802408E-4</v>
      </c>
      <c r="I254" s="336">
        <f t="shared" si="169"/>
        <v>2.3466961615437252E-4</v>
      </c>
      <c r="J254" s="336">
        <f t="shared" si="169"/>
        <v>4.7061522778275725E-4</v>
      </c>
      <c r="K254" s="336">
        <f t="shared" si="169"/>
        <v>9.3026974874156447E-4</v>
      </c>
      <c r="L254" s="336">
        <f t="shared" si="169"/>
        <v>1.8045669395737205E-3</v>
      </c>
      <c r="M254" s="336">
        <f t="shared" si="169"/>
        <v>0</v>
      </c>
      <c r="N254" s="336">
        <f t="shared" si="169"/>
        <v>6.2566347343687633E-3</v>
      </c>
      <c r="O254" s="336">
        <f t="shared" si="169"/>
        <v>1.1011765050919107E-2</v>
      </c>
      <c r="P254" s="336">
        <f t="shared" si="169"/>
        <v>1.8470793270351889E-2</v>
      </c>
      <c r="Q254" s="336">
        <f t="shared" si="169"/>
        <v>2.9345211014657084E-2</v>
      </c>
      <c r="R254" s="336">
        <f t="shared" si="169"/>
        <v>4.3966053265649299E-2</v>
      </c>
      <c r="S254" s="336">
        <f t="shared" si="169"/>
        <v>6.2116411177626979E-2</v>
      </c>
      <c r="T254" s="336">
        <f t="shared" si="169"/>
        <v>8.2892442782134021E-2</v>
      </c>
      <c r="U254" s="336">
        <f t="shared" si="169"/>
        <v>0.10498962797814569</v>
      </c>
      <c r="V254" s="336">
        <f t="shared" si="169"/>
        <v>0.12709244617895366</v>
      </c>
      <c r="W254" s="336">
        <f t="shared" si="169"/>
        <v>0</v>
      </c>
      <c r="X254" s="336">
        <f t="shared" si="169"/>
        <v>0.1676790476032495</v>
      </c>
      <c r="Y254" s="336">
        <f t="shared" si="169"/>
        <v>0.18572757372749266</v>
      </c>
      <c r="Z254" s="336">
        <f t="shared" si="169"/>
        <v>0.20274351397087684</v>
      </c>
      <c r="AA254" s="336">
        <f t="shared" si="169"/>
        <v>0.21936151014596475</v>
      </c>
      <c r="AB254" s="336">
        <f t="shared" si="169"/>
        <v>0.23664049743855772</v>
      </c>
      <c r="AC254" s="336">
        <f t="shared" si="169"/>
        <v>0.25585984926702454</v>
      </c>
      <c r="AD254" s="336">
        <f t="shared" si="169"/>
        <v>0.27880032208777639</v>
      </c>
      <c r="AE254" s="336">
        <f t="shared" si="169"/>
        <v>0.30715910520310225</v>
      </c>
      <c r="AF254" s="336">
        <f t="shared" si="169"/>
        <v>0.34215529639484937</v>
      </c>
      <c r="AG254" s="336">
        <f t="shared" si="169"/>
        <v>0</v>
      </c>
      <c r="AJ254" s="325"/>
    </row>
    <row r="255" spans="1:37" s="230" customFormat="1" x14ac:dyDescent="0.2">
      <c r="A255" s="326"/>
      <c r="B255" s="324"/>
      <c r="AJ255" s="325"/>
    </row>
    <row r="256" spans="1:37" s="230" customFormat="1" x14ac:dyDescent="0.2">
      <c r="A256" s="326" t="s">
        <v>1412</v>
      </c>
      <c r="B256" s="324" t="s">
        <v>704</v>
      </c>
      <c r="C256" s="230">
        <f>SUM(C225:C226)-SUM(C252,C254)</f>
        <v>3.1639900127881764</v>
      </c>
      <c r="D256" s="230">
        <f t="shared" ref="D256:AG256" si="170">SUM(D225:D226)-SUM(D252,D254)</f>
        <v>3.2896170413937362</v>
      </c>
      <c r="E256" s="230">
        <f t="shared" si="170"/>
        <v>3.4105357571304742</v>
      </c>
      <c r="F256" s="230">
        <f t="shared" si="170"/>
        <v>3.5258869594245774</v>
      </c>
      <c r="G256" s="230">
        <f t="shared" si="170"/>
        <v>3.6348297566175121</v>
      </c>
      <c r="H256" s="230">
        <f t="shared" si="170"/>
        <v>3.736544867062773</v>
      </c>
      <c r="I256" s="230">
        <f t="shared" si="170"/>
        <v>3.8226250664122929</v>
      </c>
      <c r="J256" s="230">
        <f t="shared" si="170"/>
        <v>3.9076799681338596</v>
      </c>
      <c r="K256" s="230">
        <f t="shared" si="170"/>
        <v>3.99145421122887</v>
      </c>
      <c r="L256" s="230">
        <f t="shared" si="170"/>
        <v>4.0736062850135077</v>
      </c>
      <c r="M256" s="230">
        <f t="shared" si="170"/>
        <v>4.15707753151848</v>
      </c>
      <c r="N256" s="230">
        <f t="shared" si="170"/>
        <v>4.223270619232947</v>
      </c>
      <c r="O256" s="230">
        <f t="shared" si="170"/>
        <v>4.283390576319837</v>
      </c>
      <c r="P256" s="230">
        <f t="shared" si="170"/>
        <v>4.3219964399111559</v>
      </c>
      <c r="Q256" s="230">
        <f t="shared" si="170"/>
        <v>4.3481223118714567</v>
      </c>
      <c r="R256" s="230">
        <f t="shared" si="170"/>
        <v>4.3611776987498914</v>
      </c>
      <c r="S256" s="230">
        <f t="shared" si="170"/>
        <v>4.370305452732258</v>
      </c>
      <c r="T256" s="230">
        <f t="shared" si="170"/>
        <v>4.3752662828626629</v>
      </c>
      <c r="U256" s="230">
        <f t="shared" si="170"/>
        <v>4.3773311352318194</v>
      </c>
      <c r="V256" s="230">
        <f t="shared" si="170"/>
        <v>4.3777825636706797</v>
      </c>
      <c r="W256" s="230">
        <f t="shared" si="170"/>
        <v>4.5257891389012936</v>
      </c>
      <c r="X256" s="230">
        <f t="shared" si="170"/>
        <v>4.3750884031701807</v>
      </c>
      <c r="Y256" s="230">
        <f t="shared" si="170"/>
        <v>4.3745284998191423</v>
      </c>
      <c r="Z256" s="230">
        <f t="shared" si="170"/>
        <v>4.3539017928002499</v>
      </c>
      <c r="AA256" s="230">
        <f t="shared" si="170"/>
        <v>4.3320681218167509</v>
      </c>
      <c r="AB256" s="230">
        <f t="shared" si="170"/>
        <v>4.3079818512361898</v>
      </c>
      <c r="AC256" s="230">
        <f t="shared" si="170"/>
        <v>4.2790828792777393</v>
      </c>
      <c r="AD256" s="230">
        <f t="shared" si="170"/>
        <v>4.2448939610286898</v>
      </c>
      <c r="AE256" s="230">
        <f t="shared" si="170"/>
        <v>4.203735882889478</v>
      </c>
      <c r="AF256" s="230">
        <f t="shared" si="170"/>
        <v>4.1544093923880112</v>
      </c>
      <c r="AG256" s="230">
        <f t="shared" si="170"/>
        <v>4.4807251153231595</v>
      </c>
      <c r="AJ256" s="325"/>
    </row>
    <row r="257" spans="1:36" s="230" customFormat="1" x14ac:dyDescent="0.2">
      <c r="A257" s="326"/>
      <c r="B257" s="324"/>
      <c r="AJ257" s="325"/>
    </row>
    <row r="258" spans="1:36" s="230" customFormat="1" x14ac:dyDescent="0.2">
      <c r="A258" s="325" t="s">
        <v>1413</v>
      </c>
      <c r="B258" s="324" t="s">
        <v>704</v>
      </c>
      <c r="C258" s="327">
        <f t="shared" ref="C258:AG258" si="171">C178*C177*C128</f>
        <v>0</v>
      </c>
      <c r="D258" s="327">
        <f t="shared" si="171"/>
        <v>0</v>
      </c>
      <c r="E258" s="327">
        <f t="shared" si="171"/>
        <v>0</v>
      </c>
      <c r="F258" s="327">
        <f t="shared" si="171"/>
        <v>0</v>
      </c>
      <c r="G258" s="327">
        <f t="shared" si="171"/>
        <v>0</v>
      </c>
      <c r="H258" s="327">
        <f t="shared" si="171"/>
        <v>0</v>
      </c>
      <c r="I258" s="327">
        <f t="shared" si="171"/>
        <v>0</v>
      </c>
      <c r="J258" s="327">
        <f t="shared" si="171"/>
        <v>0</v>
      </c>
      <c r="K258" s="327">
        <f t="shared" si="171"/>
        <v>0</v>
      </c>
      <c r="L258" s="327">
        <f t="shared" si="171"/>
        <v>0</v>
      </c>
      <c r="M258" s="327">
        <f t="shared" si="171"/>
        <v>0</v>
      </c>
      <c r="N258" s="327">
        <f t="shared" si="171"/>
        <v>0</v>
      </c>
      <c r="O258" s="327">
        <f t="shared" si="171"/>
        <v>0</v>
      </c>
      <c r="P258" s="327">
        <f t="shared" si="171"/>
        <v>0</v>
      </c>
      <c r="Q258" s="327">
        <f t="shared" si="171"/>
        <v>0</v>
      </c>
      <c r="R258" s="327">
        <f t="shared" si="171"/>
        <v>0</v>
      </c>
      <c r="S258" s="327">
        <f t="shared" si="171"/>
        <v>0</v>
      </c>
      <c r="T258" s="327">
        <f t="shared" si="171"/>
        <v>0</v>
      </c>
      <c r="U258" s="327">
        <f t="shared" si="171"/>
        <v>0</v>
      </c>
      <c r="V258" s="327">
        <f t="shared" si="171"/>
        <v>0</v>
      </c>
      <c r="W258" s="327">
        <f t="shared" si="171"/>
        <v>0</v>
      </c>
      <c r="X258" s="327">
        <f t="shared" si="171"/>
        <v>0</v>
      </c>
      <c r="Y258" s="327">
        <f t="shared" si="171"/>
        <v>0</v>
      </c>
      <c r="Z258" s="327">
        <f t="shared" si="171"/>
        <v>0</v>
      </c>
      <c r="AA258" s="327">
        <f t="shared" si="171"/>
        <v>0</v>
      </c>
      <c r="AB258" s="327">
        <f t="shared" si="171"/>
        <v>0</v>
      </c>
      <c r="AC258" s="327">
        <f t="shared" si="171"/>
        <v>0</v>
      </c>
      <c r="AD258" s="327">
        <f t="shared" si="171"/>
        <v>0</v>
      </c>
      <c r="AE258" s="327">
        <f t="shared" si="171"/>
        <v>0</v>
      </c>
      <c r="AF258" s="327">
        <f t="shared" si="171"/>
        <v>0</v>
      </c>
      <c r="AG258" s="327">
        <f t="shared" si="171"/>
        <v>0</v>
      </c>
      <c r="AJ258" s="325"/>
    </row>
    <row r="259" spans="1:36" s="230" customFormat="1" x14ac:dyDescent="0.2">
      <c r="A259" s="230" t="s">
        <v>1414</v>
      </c>
      <c r="B259" s="324" t="s">
        <v>704</v>
      </c>
      <c r="C259" s="327">
        <f t="shared" ref="C259:AG259" si="172">C179*C177*C128</f>
        <v>0</v>
      </c>
      <c r="D259" s="327">
        <f t="shared" si="172"/>
        <v>0</v>
      </c>
      <c r="E259" s="327">
        <f t="shared" si="172"/>
        <v>0</v>
      </c>
      <c r="F259" s="327">
        <f t="shared" si="172"/>
        <v>0</v>
      </c>
      <c r="G259" s="327">
        <f t="shared" si="172"/>
        <v>0</v>
      </c>
      <c r="H259" s="327">
        <f t="shared" si="172"/>
        <v>0</v>
      </c>
      <c r="I259" s="327">
        <f t="shared" si="172"/>
        <v>0</v>
      </c>
      <c r="J259" s="327">
        <f t="shared" si="172"/>
        <v>0</v>
      </c>
      <c r="K259" s="327">
        <f t="shared" si="172"/>
        <v>0</v>
      </c>
      <c r="L259" s="327">
        <f t="shared" si="172"/>
        <v>0</v>
      </c>
      <c r="M259" s="327">
        <f t="shared" si="172"/>
        <v>0</v>
      </c>
      <c r="N259" s="327">
        <f t="shared" si="172"/>
        <v>0</v>
      </c>
      <c r="O259" s="327">
        <f t="shared" si="172"/>
        <v>0</v>
      </c>
      <c r="P259" s="327">
        <f t="shared" si="172"/>
        <v>0</v>
      </c>
      <c r="Q259" s="327">
        <f t="shared" si="172"/>
        <v>0</v>
      </c>
      <c r="R259" s="327">
        <f t="shared" si="172"/>
        <v>0</v>
      </c>
      <c r="S259" s="327">
        <f t="shared" si="172"/>
        <v>0</v>
      </c>
      <c r="T259" s="327">
        <f t="shared" si="172"/>
        <v>0</v>
      </c>
      <c r="U259" s="327">
        <f t="shared" si="172"/>
        <v>0</v>
      </c>
      <c r="V259" s="327">
        <f t="shared" si="172"/>
        <v>0</v>
      </c>
      <c r="W259" s="327">
        <f t="shared" si="172"/>
        <v>0</v>
      </c>
      <c r="X259" s="327">
        <f t="shared" si="172"/>
        <v>0</v>
      </c>
      <c r="Y259" s="327">
        <f t="shared" si="172"/>
        <v>0</v>
      </c>
      <c r="Z259" s="327">
        <f t="shared" si="172"/>
        <v>0</v>
      </c>
      <c r="AA259" s="327">
        <f t="shared" si="172"/>
        <v>0</v>
      </c>
      <c r="AB259" s="327">
        <f t="shared" si="172"/>
        <v>0</v>
      </c>
      <c r="AC259" s="327">
        <f t="shared" si="172"/>
        <v>0</v>
      </c>
      <c r="AD259" s="327">
        <f t="shared" si="172"/>
        <v>0</v>
      </c>
      <c r="AE259" s="327">
        <f t="shared" si="172"/>
        <v>0</v>
      </c>
      <c r="AF259" s="327">
        <f t="shared" si="172"/>
        <v>0</v>
      </c>
      <c r="AG259" s="327">
        <f t="shared" si="172"/>
        <v>0</v>
      </c>
      <c r="AJ259" s="325"/>
    </row>
    <row r="260" spans="1:36" s="230" customFormat="1" x14ac:dyDescent="0.2">
      <c r="B260" s="324"/>
      <c r="C260" s="317"/>
      <c r="D260" s="317"/>
      <c r="E260" s="317"/>
      <c r="F260" s="317"/>
      <c r="G260" s="317"/>
      <c r="H260" s="317"/>
      <c r="I260" s="317"/>
      <c r="J260" s="317"/>
      <c r="K260" s="317"/>
      <c r="L260" s="317"/>
      <c r="M260" s="317"/>
      <c r="N260" s="317"/>
      <c r="O260" s="317"/>
      <c r="P260" s="317"/>
      <c r="Q260" s="317"/>
      <c r="R260" s="317"/>
      <c r="S260" s="317"/>
      <c r="T260" s="317"/>
      <c r="U260" s="317"/>
      <c r="V260" s="317"/>
      <c r="W260" s="317"/>
      <c r="X260" s="317"/>
      <c r="Y260" s="317"/>
      <c r="Z260" s="317"/>
      <c r="AA260" s="317"/>
      <c r="AB260" s="317"/>
      <c r="AC260" s="317"/>
      <c r="AD260" s="317"/>
      <c r="AE260" s="317"/>
      <c r="AF260" s="317"/>
      <c r="AG260" s="317"/>
      <c r="AJ260" s="325"/>
    </row>
    <row r="261" spans="1:36" s="230" customFormat="1" x14ac:dyDescent="0.2">
      <c r="A261" s="351" t="s">
        <v>233</v>
      </c>
      <c r="B261" s="352" t="s">
        <v>704</v>
      </c>
      <c r="C261" s="304">
        <f>C239+C240</f>
        <v>4.9675667212869898</v>
      </c>
      <c r="D261" s="304">
        <f t="shared" ref="D261:AG261" si="173">D239+D240</f>
        <v>5.1164327797512037</v>
      </c>
      <c r="E261" s="304">
        <f t="shared" si="173"/>
        <v>5.2558990978180073</v>
      </c>
      <c r="F261" s="304">
        <f t="shared" si="173"/>
        <v>5.3849744173494418</v>
      </c>
      <c r="G261" s="304">
        <f t="shared" si="173"/>
        <v>5.5027255500086802</v>
      </c>
      <c r="H261" s="304">
        <f t="shared" si="173"/>
        <v>5.6082886268600785</v>
      </c>
      <c r="I261" s="304">
        <f t="shared" si="173"/>
        <v>5.6891964910985848</v>
      </c>
      <c r="J261" s="304">
        <f t="shared" si="173"/>
        <v>5.7680408929585107</v>
      </c>
      <c r="K261" s="304">
        <f t="shared" si="173"/>
        <v>5.8446894725620542</v>
      </c>
      <c r="L261" s="304">
        <f t="shared" si="173"/>
        <v>5.9190108384404398</v>
      </c>
      <c r="M261" s="304">
        <f t="shared" si="173"/>
        <v>5.990874879815701</v>
      </c>
      <c r="N261" s="304">
        <f t="shared" si="173"/>
        <v>6.0490920236999255</v>
      </c>
      <c r="O261" s="304">
        <f t="shared" si="173"/>
        <v>6.0963848863309469</v>
      </c>
      <c r="P261" s="304">
        <f t="shared" si="173"/>
        <v>6.1175250151270975</v>
      </c>
      <c r="Q261" s="304">
        <f t="shared" si="173"/>
        <v>6.1264077767563441</v>
      </c>
      <c r="R261" s="304">
        <f t="shared" si="173"/>
        <v>6.1229415046989262</v>
      </c>
      <c r="S261" s="304">
        <f t="shared" si="173"/>
        <v>6.1197424010882777</v>
      </c>
      <c r="T261" s="304">
        <f t="shared" si="173"/>
        <v>6.1152164820543726</v>
      </c>
      <c r="U261" s="304">
        <f t="shared" si="173"/>
        <v>6.1093524880762038</v>
      </c>
      <c r="V261" s="304">
        <f t="shared" si="173"/>
        <v>6.1021396499312441</v>
      </c>
      <c r="W261" s="304">
        <f t="shared" si="173"/>
        <v>6.0935677000102135</v>
      </c>
      <c r="X261" s="304">
        <f t="shared" si="173"/>
        <v>6.0805354944485686</v>
      </c>
      <c r="Y261" s="304">
        <f t="shared" si="173"/>
        <v>6.0691631720833605</v>
      </c>
      <c r="Z261" s="304">
        <f t="shared" si="173"/>
        <v>6.0315917995775958</v>
      </c>
      <c r="AA261" s="304">
        <f t="shared" si="173"/>
        <v>5.9930897901956914</v>
      </c>
      <c r="AB261" s="304">
        <f t="shared" si="173"/>
        <v>5.953675375723412</v>
      </c>
      <c r="AC261" s="304">
        <f t="shared" si="173"/>
        <v>5.9116482854602364</v>
      </c>
      <c r="AD261" s="304">
        <f t="shared" si="173"/>
        <v>5.868752852150239</v>
      </c>
      <c r="AE261" s="304">
        <f t="shared" si="173"/>
        <v>5.8250076464765037</v>
      </c>
      <c r="AF261" s="304">
        <f t="shared" si="173"/>
        <v>5.7804318261487628</v>
      </c>
      <c r="AG261" s="304">
        <f t="shared" si="173"/>
        <v>5.7350451293008797</v>
      </c>
      <c r="AI261" s="230" t="s">
        <v>1415</v>
      </c>
      <c r="AJ261" s="325"/>
    </row>
    <row r="262" spans="1:36" s="230" customFormat="1" x14ac:dyDescent="0.2">
      <c r="A262" s="355" t="s">
        <v>234</v>
      </c>
      <c r="B262" s="356" t="s">
        <v>704</v>
      </c>
      <c r="C262" s="357">
        <f>C261</f>
        <v>4.9675667212869898</v>
      </c>
      <c r="D262" s="357">
        <f t="shared" ref="D262:AG262" si="174">D261</f>
        <v>5.1164327797512037</v>
      </c>
      <c r="E262" s="357">
        <f t="shared" si="174"/>
        <v>5.2558990978180073</v>
      </c>
      <c r="F262" s="357">
        <f t="shared" si="174"/>
        <v>5.3849744173494418</v>
      </c>
      <c r="G262" s="357">
        <f t="shared" si="174"/>
        <v>5.5027255500086802</v>
      </c>
      <c r="H262" s="357">
        <f t="shared" si="174"/>
        <v>5.6082886268600785</v>
      </c>
      <c r="I262" s="357">
        <f t="shared" si="174"/>
        <v>5.6891964910985848</v>
      </c>
      <c r="J262" s="357">
        <f t="shared" si="174"/>
        <v>5.7680408929585107</v>
      </c>
      <c r="K262" s="357">
        <f t="shared" si="174"/>
        <v>5.8446894725620542</v>
      </c>
      <c r="L262" s="357">
        <f t="shared" si="174"/>
        <v>5.9190108384404398</v>
      </c>
      <c r="M262" s="357">
        <f t="shared" si="174"/>
        <v>5.990874879815701</v>
      </c>
      <c r="N262" s="357">
        <f t="shared" si="174"/>
        <v>6.0490920236999255</v>
      </c>
      <c r="O262" s="357">
        <f t="shared" si="174"/>
        <v>6.0963848863309469</v>
      </c>
      <c r="P262" s="357">
        <f t="shared" si="174"/>
        <v>6.1175250151270975</v>
      </c>
      <c r="Q262" s="357">
        <f t="shared" si="174"/>
        <v>6.1264077767563441</v>
      </c>
      <c r="R262" s="357">
        <f t="shared" si="174"/>
        <v>6.1229415046989262</v>
      </c>
      <c r="S262" s="357">
        <f t="shared" si="174"/>
        <v>6.1197424010882777</v>
      </c>
      <c r="T262" s="357">
        <f t="shared" si="174"/>
        <v>6.1152164820543726</v>
      </c>
      <c r="U262" s="357">
        <f t="shared" si="174"/>
        <v>6.1093524880762038</v>
      </c>
      <c r="V262" s="357">
        <f t="shared" si="174"/>
        <v>6.1021396499312441</v>
      </c>
      <c r="W262" s="357">
        <f t="shared" si="174"/>
        <v>6.0935677000102135</v>
      </c>
      <c r="X262" s="357">
        <f t="shared" si="174"/>
        <v>6.0805354944485686</v>
      </c>
      <c r="Y262" s="357">
        <f t="shared" si="174"/>
        <v>6.0691631720833605</v>
      </c>
      <c r="Z262" s="357">
        <f t="shared" si="174"/>
        <v>6.0315917995775958</v>
      </c>
      <c r="AA262" s="357">
        <f t="shared" si="174"/>
        <v>5.9930897901956914</v>
      </c>
      <c r="AB262" s="357">
        <f t="shared" si="174"/>
        <v>5.953675375723412</v>
      </c>
      <c r="AC262" s="357">
        <f t="shared" si="174"/>
        <v>5.9116482854602364</v>
      </c>
      <c r="AD262" s="357">
        <f t="shared" si="174"/>
        <v>5.868752852150239</v>
      </c>
      <c r="AE262" s="357">
        <f t="shared" si="174"/>
        <v>5.8250076464765037</v>
      </c>
      <c r="AF262" s="357">
        <f t="shared" si="174"/>
        <v>5.7804318261487628</v>
      </c>
      <c r="AG262" s="357">
        <f t="shared" si="174"/>
        <v>5.7350451293008797</v>
      </c>
      <c r="AI262" s="230" t="s">
        <v>1416</v>
      </c>
      <c r="AJ262" s="325"/>
    </row>
    <row r="263" spans="1:36" s="230" customFormat="1" x14ac:dyDescent="0.2">
      <c r="A263" s="433"/>
      <c r="B263" s="434"/>
      <c r="C263" s="433"/>
      <c r="D263" s="433"/>
      <c r="E263" s="433"/>
      <c r="F263" s="433"/>
      <c r="G263" s="433"/>
      <c r="H263" s="433"/>
      <c r="I263" s="433"/>
      <c r="J263" s="433"/>
      <c r="K263" s="433"/>
      <c r="L263" s="433"/>
      <c r="M263" s="433"/>
      <c r="N263" s="433"/>
      <c r="O263" s="433"/>
      <c r="P263" s="433"/>
      <c r="Q263" s="433"/>
      <c r="R263" s="433"/>
      <c r="S263" s="433"/>
      <c r="T263" s="433"/>
      <c r="U263" s="433"/>
      <c r="V263" s="433"/>
      <c r="W263" s="433"/>
      <c r="X263" s="433"/>
      <c r="Y263" s="433"/>
      <c r="Z263" s="433"/>
      <c r="AA263" s="433"/>
      <c r="AB263" s="433"/>
      <c r="AC263" s="433"/>
      <c r="AD263" s="433"/>
      <c r="AE263" s="433"/>
      <c r="AF263" s="433"/>
      <c r="AG263" s="433"/>
      <c r="AJ263" s="325"/>
    </row>
    <row r="264" spans="1:36" x14ac:dyDescent="0.2">
      <c r="B264" s="130"/>
      <c r="C264" s="230"/>
      <c r="D264" s="230"/>
      <c r="E264" s="230"/>
      <c r="F264" s="230"/>
      <c r="G264" s="230"/>
      <c r="H264" s="230"/>
      <c r="I264" s="230"/>
      <c r="J264" s="230"/>
      <c r="K264" s="230"/>
      <c r="L264" s="230"/>
      <c r="M264" s="230"/>
      <c r="N264" s="230"/>
      <c r="O264" s="230"/>
      <c r="P264" s="230"/>
      <c r="Q264" s="230"/>
      <c r="R264" s="230"/>
      <c r="S264" s="230"/>
      <c r="T264" s="230"/>
      <c r="U264" s="230"/>
      <c r="V264" s="230"/>
      <c r="W264" s="230"/>
      <c r="X264" s="230"/>
      <c r="Y264" s="230"/>
      <c r="Z264" s="230"/>
      <c r="AA264" s="230"/>
      <c r="AB264" s="230"/>
      <c r="AC264" s="230"/>
      <c r="AD264" s="230"/>
      <c r="AE264" s="230"/>
      <c r="AF264" s="230"/>
      <c r="AG264" s="230"/>
      <c r="AI264" s="23"/>
    </row>
    <row r="265" spans="1:36" x14ac:dyDescent="0.2">
      <c r="B265" s="130"/>
      <c r="C265" s="230"/>
      <c r="D265" s="230"/>
      <c r="E265" s="230"/>
      <c r="F265" s="230"/>
      <c r="G265" s="230"/>
      <c r="H265" s="230"/>
      <c r="I265" s="230"/>
      <c r="J265" s="230"/>
      <c r="K265" s="230"/>
      <c r="L265" s="230"/>
      <c r="M265" s="230"/>
      <c r="N265" s="230"/>
      <c r="O265" s="230"/>
      <c r="P265" s="230"/>
      <c r="Q265" s="230"/>
      <c r="R265" s="230"/>
      <c r="S265" s="230"/>
      <c r="T265" s="230"/>
      <c r="U265" s="230"/>
      <c r="V265" s="230"/>
      <c r="W265" s="230"/>
      <c r="X265" s="230"/>
      <c r="Y265" s="230"/>
      <c r="Z265" s="230"/>
      <c r="AA265" s="230"/>
      <c r="AB265" s="230"/>
      <c r="AC265" s="230"/>
      <c r="AD265" s="230"/>
      <c r="AE265" s="230"/>
      <c r="AF265" s="230"/>
      <c r="AG265" s="230"/>
      <c r="AI265" s="214"/>
    </row>
  </sheetData>
  <mergeCells count="5">
    <mergeCell ref="BD86:BE86"/>
    <mergeCell ref="BD91:BE91"/>
    <mergeCell ref="BD96:BE96"/>
    <mergeCell ref="BD104:BE104"/>
    <mergeCell ref="AI232:AI240"/>
  </mergeCells>
  <hyperlinks>
    <hyperlink ref="AJ90" r:id="rId1" xr:uid="{81369AAE-59BD-4365-8598-F5C02CAB7FC6}"/>
  </hyperlinks>
  <pageMargins left="0.7" right="0.7" top="0.75" bottom="0.75" header="0.3" footer="0.3"/>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7B8004-F306-4FF8-9166-EDF7F35CE901}">
  <sheetPr>
    <tabColor theme="4"/>
  </sheetPr>
  <dimension ref="B1:AB116"/>
  <sheetViews>
    <sheetView workbookViewId="0">
      <selection activeCell="C10" sqref="C10"/>
    </sheetView>
  </sheetViews>
  <sheetFormatPr baseColWidth="10" defaultColWidth="8.83203125" defaultRowHeight="15" x14ac:dyDescent="0.2"/>
  <cols>
    <col min="2" max="2" width="27.5" customWidth="1"/>
    <col min="3" max="3" width="12.83203125" customWidth="1"/>
    <col min="4" max="5" width="10.83203125" customWidth="1"/>
    <col min="9" max="9" width="13.1640625" customWidth="1"/>
    <col min="10" max="10" width="15" customWidth="1"/>
    <col min="11" max="11" width="12.1640625" customWidth="1"/>
    <col min="15" max="15" width="23.5" customWidth="1"/>
    <col min="16" max="16" width="16.5" customWidth="1"/>
    <col min="17" max="17" width="14.5" customWidth="1"/>
    <col min="18" max="18" width="19.1640625" customWidth="1"/>
    <col min="19" max="19" width="23.1640625" customWidth="1"/>
    <col min="21" max="22" width="20" bestFit="1" customWidth="1"/>
    <col min="27" max="27" width="20" bestFit="1" customWidth="1"/>
  </cols>
  <sheetData>
    <row r="1" spans="2:28" x14ac:dyDescent="0.2">
      <c r="B1" s="1">
        <v>2015</v>
      </c>
    </row>
    <row r="2" spans="2:28" ht="16" x14ac:dyDescent="0.2">
      <c r="B2" s="364" t="s">
        <v>1708</v>
      </c>
      <c r="C2" s="363" t="s">
        <v>258</v>
      </c>
      <c r="D2" s="361" t="s">
        <v>477</v>
      </c>
      <c r="E2" s="362" t="s">
        <v>478</v>
      </c>
      <c r="F2" s="361" t="s">
        <v>480</v>
      </c>
      <c r="G2" s="361" t="s">
        <v>474</v>
      </c>
      <c r="H2" s="361" t="s">
        <v>745</v>
      </c>
      <c r="I2" s="367" t="s">
        <v>248</v>
      </c>
      <c r="J2" s="368" t="s">
        <v>67</v>
      </c>
      <c r="O2" t="s">
        <v>1709</v>
      </c>
    </row>
    <row r="3" spans="2:28" x14ac:dyDescent="0.2">
      <c r="B3" s="365" t="s">
        <v>1022</v>
      </c>
      <c r="C3" s="262">
        <f>'Waste gen. - Industry shares'!$B28*('Demand - Industry shares'!B46/'Demand - Industry shares'!$I46)</f>
        <v>85.454846712967125</v>
      </c>
      <c r="D3" s="262">
        <f>'Waste gen. - Industry shares'!$B28*('Demand - Industry shares'!C46/'Demand - Industry shares'!$I46)</f>
        <v>39.522713403314157</v>
      </c>
      <c r="E3" s="262">
        <f>'Waste gen. - Industry shares'!$B28*('Demand - Industry shares'!D46/'Demand - Industry shares'!$I46)</f>
        <v>12.787039106684858</v>
      </c>
      <c r="F3" s="262">
        <f>'Waste gen. - Industry shares'!$B28*('Demand - Industry shares'!E46/'Demand - Industry shares'!$I46)</f>
        <v>4.6781850390310469</v>
      </c>
      <c r="G3" s="262">
        <f>'Waste gen. - Industry shares'!$B28*('Demand - Industry shares'!F46/'Demand - Industry shares'!$I46)</f>
        <v>31.499779262809046</v>
      </c>
      <c r="H3" s="262">
        <f>'Waste gen. - Industry shares'!$B28*('Demand - Industry shares'!G46/'Demand - Industry shares'!$I46)</f>
        <v>3.7425480312248376</v>
      </c>
      <c r="I3" s="262">
        <f>'Waste gen. - Industry shares'!$B28*('Demand - Industry shares'!H46/'Demand - Industry shares'!$I46)</f>
        <v>0.9356370078062094</v>
      </c>
      <c r="J3" s="371">
        <f>SUM(C3:I3)</f>
        <v>178.62074856383725</v>
      </c>
      <c r="O3" t="s">
        <v>1024</v>
      </c>
      <c r="P3" t="s">
        <v>1710</v>
      </c>
      <c r="Q3" t="s">
        <v>1711</v>
      </c>
      <c r="R3" t="s">
        <v>1712</v>
      </c>
      <c r="S3" t="s">
        <v>1713</v>
      </c>
      <c r="T3" t="s">
        <v>370</v>
      </c>
      <c r="U3" t="s">
        <v>1714</v>
      </c>
      <c r="V3" t="s">
        <v>1715</v>
      </c>
      <c r="W3" t="s">
        <v>1716</v>
      </c>
      <c r="X3" t="s">
        <v>248</v>
      </c>
      <c r="Y3" t="s">
        <v>1717</v>
      </c>
    </row>
    <row r="4" spans="2:28" x14ac:dyDescent="0.2">
      <c r="B4" s="365" t="s">
        <v>310</v>
      </c>
      <c r="C4" s="262">
        <f>'Waste gen. - Industry shares'!$B29*('Demand - Industry shares'!B47/'Demand - Industry shares'!$I47)</f>
        <v>2.7159264308241129</v>
      </c>
      <c r="D4" s="262">
        <f>'Waste gen. - Industry shares'!$B29*('Demand - Industry shares'!C47/'Demand - Industry shares'!$I47)</f>
        <v>2.4010045836713467</v>
      </c>
      <c r="E4" s="262">
        <f>'Waste gen. - Industry shares'!$B29*('Demand - Industry shares'!D47/'Demand - Industry shares'!$I47)</f>
        <v>1.3579632154120564</v>
      </c>
      <c r="F4" s="262">
        <f>'Waste gen. - Industry shares'!$B29*('Demand - Industry shares'!E47/'Demand - Industry shares'!$I47)</f>
        <v>4.9997736567443907</v>
      </c>
      <c r="G4" s="262">
        <f>'Waste gen. - Industry shares'!$B29*('Demand - Industry shares'!F47/'Demand - Industry shares'!$I47)</f>
        <v>0</v>
      </c>
      <c r="H4" s="262">
        <f>'Waste gen. - Industry shares'!$B29*('Demand - Industry shares'!G47/'Demand - Industry shares'!$I47)</f>
        <v>1.4814144168131527</v>
      </c>
      <c r="I4" s="262">
        <f>'Waste gen. - Industry shares'!$B29*('Demand - Industry shares'!H47/'Demand - Industry shares'!$I47)</f>
        <v>0.30862800350274017</v>
      </c>
      <c r="J4" s="371">
        <f t="shared" ref="J4:J7" si="0">SUM(C4:I4)</f>
        <v>13.2647103069678</v>
      </c>
      <c r="N4" t="s">
        <v>474</v>
      </c>
      <c r="O4" s="24">
        <v>3.0599999999999999E-2</v>
      </c>
      <c r="P4" s="24">
        <v>1.21E-2</v>
      </c>
      <c r="Q4" s="24">
        <v>5.4000000000000003E-3</v>
      </c>
      <c r="R4" s="24">
        <v>1.3899999999999999E-2</v>
      </c>
      <c r="S4" s="24">
        <v>2.8999999999999998E-3</v>
      </c>
      <c r="T4" s="24">
        <v>0</v>
      </c>
      <c r="U4" s="24">
        <v>0</v>
      </c>
      <c r="V4" s="24">
        <v>0</v>
      </c>
      <c r="W4" s="24">
        <v>0</v>
      </c>
      <c r="X4" s="24">
        <v>8.0000000000000004E-4</v>
      </c>
      <c r="Y4" s="24">
        <v>5.1999999999999998E-3</v>
      </c>
      <c r="Z4" s="384">
        <f>SUM(O4:Y4)</f>
        <v>7.0899999999999991E-2</v>
      </c>
      <c r="AA4" s="384">
        <f>Z4/$Z$9</f>
        <v>0.38016085790884713</v>
      </c>
      <c r="AB4" s="6">
        <v>0.38</v>
      </c>
    </row>
    <row r="5" spans="2:28" x14ac:dyDescent="0.2">
      <c r="B5" s="365" t="s">
        <v>311</v>
      </c>
      <c r="C5" s="262">
        <f>'Waste gen. - Industry shares'!$B30*('Demand - Industry shares'!B48/'Demand - Industry shares'!$I48)</f>
        <v>1.5990421753933857</v>
      </c>
      <c r="D5" s="262">
        <f>'Waste gen. - Industry shares'!$B30*('Demand - Industry shares'!C48/'Demand - Industry shares'!$I48)</f>
        <v>9.3984654608460332</v>
      </c>
      <c r="E5" s="262">
        <f>'Waste gen. - Industry shares'!$B30*('Demand - Industry shares'!D48/'Demand - Industry shares'!$I48)</f>
        <v>0</v>
      </c>
      <c r="F5" s="262">
        <f>'Waste gen. - Industry shares'!$B30*('Demand - Industry shares'!E48/'Demand - Industry shares'!$I48)</f>
        <v>0.53301405846446182</v>
      </c>
      <c r="G5" s="262">
        <f>'Waste gen. - Industry shares'!$B30*('Demand - Industry shares'!F48/'Demand - Industry shares'!$I48)</f>
        <v>0</v>
      </c>
      <c r="H5" s="262">
        <f>'Waste gen. - Industry shares'!$B30*('Demand - Industry shares'!G48/'Demand - Industry shares'!$I48)</f>
        <v>1.4213708225718982</v>
      </c>
      <c r="I5" s="262">
        <f>'Waste gen. - Industry shares'!$B30*('Demand - Industry shares'!H48/'Demand - Industry shares'!$I48)</f>
        <v>3.90876976207272</v>
      </c>
      <c r="J5" s="371">
        <f t="shared" si="0"/>
        <v>16.860662279348499</v>
      </c>
      <c r="N5" t="s">
        <v>472</v>
      </c>
      <c r="O5" s="24">
        <v>0</v>
      </c>
      <c r="P5" s="24">
        <v>1.6000000000000001E-3</v>
      </c>
      <c r="Q5" s="24">
        <v>0</v>
      </c>
      <c r="R5" s="24">
        <v>0</v>
      </c>
      <c r="S5" s="24">
        <v>1.8200000000000001E-2</v>
      </c>
      <c r="T5" s="24">
        <v>3.3999999999999998E-3</v>
      </c>
      <c r="U5" s="24">
        <v>0.02</v>
      </c>
      <c r="V5" s="24">
        <v>1.9900000000000001E-2</v>
      </c>
      <c r="W5" s="24">
        <v>0</v>
      </c>
      <c r="X5" s="24">
        <v>1.6000000000000001E-3</v>
      </c>
      <c r="Y5" s="24">
        <v>7.6E-3</v>
      </c>
      <c r="Z5" s="384">
        <f t="shared" ref="Z5:Z8" si="1">SUM(O5:Y5)</f>
        <v>7.2300000000000003E-2</v>
      </c>
      <c r="AA5" s="384">
        <f t="shared" ref="AA5:AA8" si="2">Z5/$Z$9</f>
        <v>0.38766756032171584</v>
      </c>
      <c r="AB5" s="384">
        <v>0.51900000000000002</v>
      </c>
    </row>
    <row r="6" spans="2:28" x14ac:dyDescent="0.2">
      <c r="B6" s="365" t="s">
        <v>320</v>
      </c>
      <c r="C6" s="262">
        <f>'Waste gen. - Industry shares'!$B31*('Demand - Industry shares'!B49/'Demand - Industry shares'!$I49)</f>
        <v>0</v>
      </c>
      <c r="D6" s="262">
        <f>'Waste gen. - Industry shares'!$B31*('Demand - Industry shares'!C49/'Demand - Industry shares'!$I49)</f>
        <v>0</v>
      </c>
      <c r="E6" s="262">
        <f>'Waste gen. - Industry shares'!$B31*('Demand - Industry shares'!D49/'Demand - Industry shares'!$I49)</f>
        <v>0</v>
      </c>
      <c r="F6" s="262">
        <f>'Waste gen. - Industry shares'!$B31*('Demand - Industry shares'!E49/'Demand - Industry shares'!$I49)</f>
        <v>0</v>
      </c>
      <c r="G6" s="262">
        <f>'Waste gen. - Industry shares'!$B31*('Demand - Industry shares'!F49/'Demand - Industry shares'!$I49)</f>
        <v>27.355842406560768</v>
      </c>
      <c r="H6" s="262">
        <f>'Waste gen. - Industry shares'!$B31*('Demand - Industry shares'!G49/'Demand - Industry shares'!$I49)</f>
        <v>0</v>
      </c>
      <c r="I6" s="262">
        <f>'Waste gen. - Industry shares'!$B31*('Demand - Industry shares'!H49/'Demand - Industry shares'!$I49)</f>
        <v>6.6441575934392318</v>
      </c>
      <c r="J6" s="371">
        <f t="shared" si="0"/>
        <v>34</v>
      </c>
      <c r="N6" t="s">
        <v>477</v>
      </c>
      <c r="O6" s="24">
        <v>0</v>
      </c>
      <c r="P6" s="24">
        <v>0</v>
      </c>
      <c r="Q6" s="24">
        <v>0</v>
      </c>
      <c r="R6" s="24">
        <v>0</v>
      </c>
      <c r="S6" s="24">
        <v>0</v>
      </c>
      <c r="T6" s="24">
        <v>0</v>
      </c>
      <c r="U6" s="24">
        <v>0</v>
      </c>
      <c r="V6" s="24">
        <v>1.5800000000000002E-2</v>
      </c>
      <c r="W6" s="24">
        <v>0</v>
      </c>
      <c r="X6" s="24">
        <v>0</v>
      </c>
      <c r="Y6" s="24">
        <v>2.3999999999999998E-3</v>
      </c>
      <c r="Z6" s="384">
        <f t="shared" si="1"/>
        <v>1.8200000000000001E-2</v>
      </c>
      <c r="AA6" s="384">
        <f t="shared" si="2"/>
        <v>9.7587131367292232E-2</v>
      </c>
      <c r="AB6" s="6">
        <v>0.1</v>
      </c>
    </row>
    <row r="7" spans="2:28" x14ac:dyDescent="0.2">
      <c r="B7" s="365" t="s">
        <v>248</v>
      </c>
      <c r="C7" s="262">
        <f>'Waste gen. - Industry shares'!$B32*('Demand - Industry shares'!B50/'Demand - Industry shares'!$I50)</f>
        <v>18.756999790145116</v>
      </c>
      <c r="D7" s="262">
        <f>'Waste gen. - Industry shares'!$B32*('Demand - Industry shares'!C50/'Demand - Industry shares'!$I50)</f>
        <v>31.118127739977194</v>
      </c>
      <c r="E7" s="262">
        <f>'Waste gen. - Industry shares'!$B32*('Demand - Industry shares'!D50/'Demand - Industry shares'!$I50)</f>
        <v>6.773361035330181</v>
      </c>
      <c r="F7" s="262">
        <f>'Waste gen. - Industry shares'!$B32*('Demand - Industry shares'!E50/'Demand - Industry shares'!$I50)</f>
        <v>9.378499895072558</v>
      </c>
      <c r="G7" s="262">
        <f>'Waste gen. - Industry shares'!$B32*('Demand - Industry shares'!F50/'Demand - Industry shares'!$I50)</f>
        <v>0</v>
      </c>
      <c r="H7" s="262">
        <f>'Waste gen. - Industry shares'!$B32*('Demand - Industry shares'!G50/'Demand - Industry shares'!$I50)</f>
        <v>16.672888702351212</v>
      </c>
      <c r="I7" s="262">
        <f>'Waste gen. - Industry shares'!$B32*('Demand - Industry shares'!H50/'Demand - Industry shares'!$I50)</f>
        <v>13.546722070660362</v>
      </c>
      <c r="J7" s="371">
        <f t="shared" si="0"/>
        <v>96.246599233536628</v>
      </c>
      <c r="N7" t="s">
        <v>473</v>
      </c>
      <c r="O7" s="24">
        <v>0</v>
      </c>
      <c r="P7" s="24">
        <v>8.9999999999999993E-3</v>
      </c>
      <c r="Q7" s="24">
        <v>0</v>
      </c>
      <c r="R7" s="24">
        <v>0</v>
      </c>
      <c r="S7" s="24">
        <v>0</v>
      </c>
      <c r="T7" s="24">
        <v>0</v>
      </c>
      <c r="U7" s="24">
        <v>0</v>
      </c>
      <c r="V7" s="24">
        <v>0</v>
      </c>
      <c r="W7" s="24">
        <v>3.0999999999999999E-3</v>
      </c>
      <c r="X7" s="24">
        <v>1.5E-3</v>
      </c>
      <c r="Y7" s="24">
        <v>1.1299999999999999E-2</v>
      </c>
      <c r="Z7" s="384">
        <f t="shared" si="1"/>
        <v>2.4899999999999999E-2</v>
      </c>
      <c r="AA7" s="384">
        <f t="shared" si="2"/>
        <v>0.13351206434316354</v>
      </c>
    </row>
    <row r="8" spans="2:28" x14ac:dyDescent="0.2">
      <c r="B8" s="364" t="s">
        <v>67</v>
      </c>
      <c r="C8" s="369">
        <f>SUM(C3:C7)</f>
        <v>108.52681510932973</v>
      </c>
      <c r="D8" s="369">
        <f t="shared" ref="D8:I8" si="3">SUM(D3:D7)</f>
        <v>82.440311187808732</v>
      </c>
      <c r="E8" s="369">
        <f t="shared" si="3"/>
        <v>20.918363357427097</v>
      </c>
      <c r="F8" s="369">
        <f t="shared" si="3"/>
        <v>19.589472649312455</v>
      </c>
      <c r="G8" s="369">
        <f t="shared" si="3"/>
        <v>58.85562166936981</v>
      </c>
      <c r="H8" s="369">
        <f t="shared" si="3"/>
        <v>23.318221972961101</v>
      </c>
      <c r="I8" s="369">
        <f t="shared" si="3"/>
        <v>25.343914437481263</v>
      </c>
      <c r="J8" s="370">
        <f>SUM(J3:J7)</f>
        <v>338.9927203836902</v>
      </c>
      <c r="N8" t="s">
        <v>634</v>
      </c>
      <c r="O8" s="24">
        <v>0</v>
      </c>
      <c r="P8" s="24">
        <v>0</v>
      </c>
      <c r="Q8" s="24">
        <v>0</v>
      </c>
      <c r="R8" s="24">
        <v>0</v>
      </c>
      <c r="S8" s="24">
        <v>0</v>
      </c>
      <c r="T8" s="24">
        <v>0</v>
      </c>
      <c r="U8" s="24">
        <v>0</v>
      </c>
      <c r="V8" s="24">
        <v>0</v>
      </c>
      <c r="W8" s="24">
        <v>0</v>
      </c>
      <c r="X8" s="24">
        <v>0</v>
      </c>
      <c r="Y8" s="24">
        <v>2.0000000000000001E-4</v>
      </c>
      <c r="Z8" s="384">
        <f t="shared" si="1"/>
        <v>2.0000000000000001E-4</v>
      </c>
      <c r="AA8" s="384">
        <f t="shared" si="2"/>
        <v>1.0723860589812334E-3</v>
      </c>
      <c r="AB8" s="384">
        <v>0.1</v>
      </c>
    </row>
    <row r="9" spans="2:28" x14ac:dyDescent="0.2">
      <c r="Z9" s="384">
        <f>SUM(Z4:Z8)</f>
        <v>0.1865</v>
      </c>
      <c r="AA9" s="384">
        <f>SUM(AA4:AA8)</f>
        <v>1</v>
      </c>
    </row>
    <row r="10" spans="2:28" x14ac:dyDescent="0.2">
      <c r="B10" s="1">
        <v>2020</v>
      </c>
      <c r="O10" s="271"/>
    </row>
    <row r="11" spans="2:28" ht="16" x14ac:dyDescent="0.2">
      <c r="B11" s="364" t="s">
        <v>1708</v>
      </c>
      <c r="C11" s="363" t="s">
        <v>258</v>
      </c>
      <c r="D11" s="361" t="s">
        <v>477</v>
      </c>
      <c r="E11" s="362" t="s">
        <v>478</v>
      </c>
      <c r="F11" s="361" t="s">
        <v>480</v>
      </c>
      <c r="G11" s="361" t="s">
        <v>474</v>
      </c>
      <c r="H11" s="361" t="s">
        <v>745</v>
      </c>
      <c r="I11" s="367" t="s">
        <v>248</v>
      </c>
      <c r="J11" s="368" t="s">
        <v>67</v>
      </c>
      <c r="N11" t="s">
        <v>1718</v>
      </c>
      <c r="O11" t="s">
        <v>324</v>
      </c>
      <c r="P11" t="s">
        <v>1719</v>
      </c>
      <c r="Q11" t="s">
        <v>370</v>
      </c>
      <c r="R11" t="s">
        <v>369</v>
      </c>
      <c r="S11" t="s">
        <v>248</v>
      </c>
      <c r="T11" t="s">
        <v>1717</v>
      </c>
    </row>
    <row r="12" spans="2:28" x14ac:dyDescent="0.2">
      <c r="B12" s="365" t="s">
        <v>1022</v>
      </c>
      <c r="C12" s="262">
        <f>'Waste gen. - Industry shares'!$B36*('Demand - Industry shares'!B46/'Demand - Industry shares'!$I46)</f>
        <v>99.065588317623352</v>
      </c>
      <c r="D12" s="262">
        <f>'Waste gen. - Industry shares'!$B36*('Demand - Industry shares'!C46/'Demand - Industry shares'!$I46)</f>
        <v>45.817656994451212</v>
      </c>
      <c r="E12" s="262">
        <f>'Waste gen. - Industry shares'!$B36*('Demand - Industry shares'!D46/'Demand - Industry shares'!$I46)</f>
        <v>14.823682923439987</v>
      </c>
      <c r="F12" s="262">
        <f>'Waste gen. - Industry shares'!$B36*('Demand - Industry shares'!E46/'Demand - Industry shares'!$I46)</f>
        <v>5.4232986305268254</v>
      </c>
      <c r="G12" s="262">
        <f>'Waste gen. - Industry shares'!$B36*('Demand - Industry shares'!F46/'Demand - Industry shares'!$I46)</f>
        <v>36.516877445547287</v>
      </c>
      <c r="H12" s="262">
        <f>'Waste gen. - Industry shares'!$B36*('Demand - Industry shares'!G46/'Demand - Industry shares'!$I46)</f>
        <v>4.3386389044214608</v>
      </c>
      <c r="I12" s="262">
        <f>'Waste gen. - Industry shares'!$B36*('Demand - Industry shares'!H46/'Demand - Industry shares'!$I46)</f>
        <v>1.0846597261053652</v>
      </c>
      <c r="J12" s="371">
        <f>SUM(C12:I12)</f>
        <v>207.07040294211549</v>
      </c>
      <c r="N12" t="s">
        <v>258</v>
      </c>
      <c r="O12" s="384">
        <f>SUM(P5,Q5,R5,S5,V5,W5,P7,Q7,R7,S7,V7,W7)</f>
        <v>5.1799999999999999E-2</v>
      </c>
      <c r="P12" s="384">
        <f>O5+O7</f>
        <v>0</v>
      </c>
      <c r="Q12" s="384">
        <f>T5+T7</f>
        <v>3.3999999999999998E-3</v>
      </c>
      <c r="R12" s="384">
        <f>U5+U7</f>
        <v>0.02</v>
      </c>
      <c r="S12" s="384">
        <f>X5+X7</f>
        <v>3.1000000000000003E-3</v>
      </c>
      <c r="T12" s="384">
        <f>Y5+Y7</f>
        <v>1.89E-2</v>
      </c>
    </row>
    <row r="13" spans="2:28" x14ac:dyDescent="0.2">
      <c r="B13" s="365" t="s">
        <v>310</v>
      </c>
      <c r="C13" s="262">
        <f>'Waste gen. - Industry shares'!$B37*('Demand - Industry shares'!B47/'Demand - Industry shares'!$I47)</f>
        <v>3.1485030989605263</v>
      </c>
      <c r="D13" s="262">
        <f>'Waste gen. - Industry shares'!$B37*('Demand - Industry shares'!C47/'Demand - Industry shares'!$I47)</f>
        <v>2.7834223661256572</v>
      </c>
      <c r="E13" s="262">
        <f>'Waste gen. - Industry shares'!$B37*('Demand - Industry shares'!D47/'Demand - Industry shares'!$I47)</f>
        <v>1.5742515494802631</v>
      </c>
      <c r="F13" s="262">
        <f>'Waste gen. - Industry shares'!$B37*('Demand - Industry shares'!E47/'Demand - Industry shares'!$I47)</f>
        <v>5.7961079776318787</v>
      </c>
      <c r="G13" s="262">
        <f>'Waste gen. - Industry shares'!$B37*('Demand - Industry shares'!F47/'Demand - Industry shares'!$I47)</f>
        <v>0</v>
      </c>
      <c r="H13" s="262">
        <f>'Waste gen. - Industry shares'!$B37*('Demand - Industry shares'!G47/'Demand - Industry shares'!$I47)</f>
        <v>1.7173653267057418</v>
      </c>
      <c r="I13" s="262">
        <f>'Waste gen. - Industry shares'!$B37*('Demand - Industry shares'!H47/'Demand - Industry shares'!$I47)</f>
        <v>0.35778444306369622</v>
      </c>
      <c r="J13" s="371">
        <f t="shared" ref="J13:J16" si="4">SUM(C13:I13)</f>
        <v>15.377434761967764</v>
      </c>
      <c r="N13" t="s">
        <v>477</v>
      </c>
      <c r="O13" s="384">
        <f>SUM(P6,Q6,R6,S6,V6,W6)</f>
        <v>1.5800000000000002E-2</v>
      </c>
      <c r="P13" s="384">
        <f>O6</f>
        <v>0</v>
      </c>
      <c r="Q13" s="384">
        <f>T6</f>
        <v>0</v>
      </c>
      <c r="R13" s="384">
        <f>U6</f>
        <v>0</v>
      </c>
      <c r="S13" s="384">
        <f>X6</f>
        <v>0</v>
      </c>
      <c r="T13" s="384">
        <f>Y6</f>
        <v>2.3999999999999998E-3</v>
      </c>
    </row>
    <row r="14" spans="2:28" x14ac:dyDescent="0.2">
      <c r="B14" s="365" t="s">
        <v>311</v>
      </c>
      <c r="C14" s="262">
        <f>'Waste gen. - Industry shares'!$B38*('Demand - Industry shares'!B48/'Demand - Industry shares'!$I48)</f>
        <v>1.853728137645825</v>
      </c>
      <c r="D14" s="262">
        <f>'Waste gen. - Industry shares'!$B38*('Demand - Industry shares'!C48/'Demand - Industry shares'!$I48)</f>
        <v>10.895397346962806</v>
      </c>
      <c r="E14" s="262">
        <f>'Waste gen. - Industry shares'!$B38*('Demand - Industry shares'!D48/'Demand - Industry shares'!$I48)</f>
        <v>0</v>
      </c>
      <c r="F14" s="262">
        <f>'Waste gen. - Industry shares'!$B38*('Demand - Industry shares'!E48/'Demand - Industry shares'!$I48)</f>
        <v>0.617909379215275</v>
      </c>
      <c r="G14" s="262">
        <f>'Waste gen. - Industry shares'!$B38*('Demand - Industry shares'!F48/'Demand - Industry shares'!$I48)</f>
        <v>0</v>
      </c>
      <c r="H14" s="262">
        <f>'Waste gen. - Industry shares'!$B38*('Demand - Industry shares'!G48/'Demand - Industry shares'!$I48)</f>
        <v>1.6477583445740664</v>
      </c>
      <c r="I14" s="262">
        <f>'Waste gen. - Industry shares'!$B38*('Demand - Industry shares'!H48/'Demand - Industry shares'!$I48)</f>
        <v>4.5313354475786829</v>
      </c>
      <c r="J14" s="371">
        <f t="shared" si="4"/>
        <v>19.546128655976656</v>
      </c>
      <c r="N14" t="s">
        <v>478</v>
      </c>
      <c r="O14" s="384">
        <f>SUM(P8,Q8,R8,S8,V8,W8)</f>
        <v>0</v>
      </c>
      <c r="P14" s="384">
        <f>O8</f>
        <v>0</v>
      </c>
      <c r="Q14" s="384">
        <f>T8</f>
        <v>0</v>
      </c>
      <c r="R14" s="384">
        <f>U8</f>
        <v>0</v>
      </c>
      <c r="S14" s="384">
        <f>X8</f>
        <v>0</v>
      </c>
      <c r="T14" s="384">
        <f>Y4</f>
        <v>5.1999999999999998E-3</v>
      </c>
    </row>
    <row r="15" spans="2:28" x14ac:dyDescent="0.2">
      <c r="B15" s="365" t="s">
        <v>320</v>
      </c>
      <c r="C15" s="262">
        <f>'Waste gen. - Industry shares'!$B39*('Demand - Industry shares'!B49/'Demand - Industry shares'!$I49)</f>
        <v>0</v>
      </c>
      <c r="D15" s="262">
        <f>'Waste gen. - Industry shares'!$B39*('Demand - Industry shares'!C49/'Demand - Industry shares'!$I49)</f>
        <v>0</v>
      </c>
      <c r="E15" s="262">
        <f>'Waste gen. - Industry shares'!$B39*('Demand - Industry shares'!D49/'Demand - Industry shares'!$I49)</f>
        <v>0</v>
      </c>
      <c r="F15" s="262">
        <f>'Waste gen. - Industry shares'!$B39*('Demand - Industry shares'!E49/'Demand - Industry shares'!$I49)</f>
        <v>0</v>
      </c>
      <c r="G15" s="262">
        <f>'Waste gen. - Industry shares'!$B39*('Demand - Industry shares'!F49/'Demand - Industry shares'!$I49)</f>
        <v>31.71291888256242</v>
      </c>
      <c r="H15" s="262">
        <f>'Waste gen. - Industry shares'!$B39*('Demand - Industry shares'!G49/'Demand - Industry shares'!$I49)</f>
        <v>0</v>
      </c>
      <c r="I15" s="262">
        <f>'Waste gen. - Industry shares'!$B39*('Demand - Industry shares'!H49/'Demand - Industry shares'!$I49)</f>
        <v>7.7023996436375803</v>
      </c>
      <c r="J15" s="371">
        <f t="shared" si="4"/>
        <v>39.415318526199997</v>
      </c>
      <c r="N15" t="s">
        <v>474</v>
      </c>
      <c r="O15" s="384">
        <f>SUM(P4,Q4,R4,S4,V4,W4)</f>
        <v>3.4299999999999997E-2</v>
      </c>
      <c r="P15" s="384">
        <f>O4</f>
        <v>3.0599999999999999E-2</v>
      </c>
      <c r="Q15" s="384">
        <f>T4</f>
        <v>0</v>
      </c>
      <c r="R15" s="384">
        <f>U4</f>
        <v>0</v>
      </c>
      <c r="S15" s="384">
        <f>X4</f>
        <v>8.0000000000000004E-4</v>
      </c>
      <c r="T15" s="384">
        <f>Y8</f>
        <v>2.0000000000000001E-4</v>
      </c>
    </row>
    <row r="16" spans="2:28" x14ac:dyDescent="0.2">
      <c r="B16" s="365" t="s">
        <v>248</v>
      </c>
      <c r="C16" s="262">
        <f>'Waste gen. - Industry shares'!$B40*('Demand - Industry shares'!B50/'Demand - Industry shares'!$I50)</f>
        <v>21.744503568365769</v>
      </c>
      <c r="D16" s="262">
        <f>'Waste gen. - Industry shares'!$B40*('Demand - Industry shares'!C50/'Demand - Industry shares'!$I50)</f>
        <v>36.074438729711204</v>
      </c>
      <c r="E16" s="262">
        <f>'Waste gen. - Industry shares'!$B40*('Demand - Industry shares'!D50/'Demand - Industry shares'!$I50)</f>
        <v>7.8521818441320832</v>
      </c>
      <c r="F16" s="262">
        <f>'Waste gen. - Industry shares'!$B40*('Demand - Industry shares'!E50/'Demand - Industry shares'!$I50)</f>
        <v>10.872251784182884</v>
      </c>
      <c r="G16" s="262">
        <f>'Waste gen. - Industry shares'!$B40*('Demand - Industry shares'!F50/'Demand - Industry shares'!$I50)</f>
        <v>0</v>
      </c>
      <c r="H16" s="262">
        <f>'Waste gen. - Industry shares'!$B40*('Demand - Industry shares'!G50/'Demand - Industry shares'!$I50)</f>
        <v>19.328447616325128</v>
      </c>
      <c r="I16" s="262">
        <f>'Waste gen. - Industry shares'!$B40*('Demand - Industry shares'!H50/'Demand - Industry shares'!$I50)</f>
        <v>15.704363688264166</v>
      </c>
      <c r="J16" s="371">
        <f t="shared" si="4"/>
        <v>111.57618723098123</v>
      </c>
    </row>
    <row r="17" spans="2:14" x14ac:dyDescent="0.2">
      <c r="B17" s="364" t="s">
        <v>67</v>
      </c>
      <c r="C17" s="369">
        <f>SUM(C12:C16)</f>
        <v>125.81232312259549</v>
      </c>
      <c r="D17" s="369">
        <f t="shared" ref="D17" si="5">SUM(D12:D16)</f>
        <v>95.570915437250875</v>
      </c>
      <c r="E17" s="369">
        <f t="shared" ref="E17" si="6">SUM(E12:E16)</f>
        <v>24.250116317052335</v>
      </c>
      <c r="F17" s="369">
        <f t="shared" ref="F17" si="7">SUM(F12:F16)</f>
        <v>22.709567771556863</v>
      </c>
      <c r="G17" s="369">
        <f t="shared" ref="G17" si="8">SUM(G12:G16)</f>
        <v>68.2297963281097</v>
      </c>
      <c r="H17" s="369">
        <f t="shared" ref="H17" si="9">SUM(H12:H16)</f>
        <v>27.032210192026398</v>
      </c>
      <c r="I17" s="369">
        <f t="shared" ref="I17" si="10">SUM(I12:I16)</f>
        <v>29.380542948649492</v>
      </c>
      <c r="J17" s="370">
        <f>SUM(J12:J16)</f>
        <v>392.98547211724116</v>
      </c>
    </row>
    <row r="19" spans="2:14" x14ac:dyDescent="0.2">
      <c r="B19" s="1">
        <v>2020</v>
      </c>
    </row>
    <row r="20" spans="2:14" ht="16" x14ac:dyDescent="0.2">
      <c r="B20" s="364" t="s">
        <v>1720</v>
      </c>
      <c r="C20" s="363" t="s">
        <v>258</v>
      </c>
      <c r="D20" s="361" t="s">
        <v>477</v>
      </c>
      <c r="E20" s="362" t="s">
        <v>478</v>
      </c>
      <c r="F20" s="361" t="s">
        <v>480</v>
      </c>
      <c r="G20" s="361" t="s">
        <v>474</v>
      </c>
      <c r="H20" s="361" t="s">
        <v>745</v>
      </c>
      <c r="I20" s="367" t="s">
        <v>248</v>
      </c>
      <c r="J20" s="368" t="s">
        <v>67</v>
      </c>
    </row>
    <row r="21" spans="2:14" x14ac:dyDescent="0.2">
      <c r="B21" s="365" t="s">
        <v>1022</v>
      </c>
      <c r="C21" s="214">
        <v>0.51900000000000002</v>
      </c>
      <c r="D21" s="214">
        <v>0.1</v>
      </c>
      <c r="E21" s="214">
        <v>1E-3</v>
      </c>
      <c r="F21" s="214">
        <v>0</v>
      </c>
      <c r="G21" s="214">
        <v>0.38</v>
      </c>
      <c r="H21" s="214">
        <v>0</v>
      </c>
      <c r="I21" s="214">
        <v>0</v>
      </c>
      <c r="J21" s="383">
        <f>SUM(C21:I21)</f>
        <v>1</v>
      </c>
      <c r="L21" s="214">
        <v>0.14199999999999999</v>
      </c>
      <c r="N21" t="s">
        <v>1721</v>
      </c>
    </row>
    <row r="22" spans="2:14" x14ac:dyDescent="0.2">
      <c r="B22" s="365" t="s">
        <v>310</v>
      </c>
      <c r="C22" s="214">
        <f>(24+54)/(450)</f>
        <v>0.17333333333333334</v>
      </c>
      <c r="D22" s="214">
        <f>30/450</f>
        <v>6.6666666666666666E-2</v>
      </c>
      <c r="E22" s="214">
        <f>(2+13)/(450)</f>
        <v>3.3333333333333333E-2</v>
      </c>
      <c r="F22" s="214">
        <f>309/450</f>
        <v>0.68666666666666665</v>
      </c>
      <c r="G22" s="214">
        <v>0</v>
      </c>
      <c r="H22" s="214">
        <f>18/450*H4/SUM(H4:I4)</f>
        <v>3.310344827586207E-2</v>
      </c>
      <c r="I22" s="214">
        <f>18/450*I4/SUM(H4:I4)</f>
        <v>6.8965517241379318E-3</v>
      </c>
      <c r="J22" s="383">
        <f>SUM(C22:I22)</f>
        <v>1</v>
      </c>
      <c r="L22" s="214">
        <v>1.6E-2</v>
      </c>
      <c r="N22" t="s">
        <v>1722</v>
      </c>
    </row>
    <row r="23" spans="2:14" x14ac:dyDescent="0.2">
      <c r="B23" s="365" t="s">
        <v>311</v>
      </c>
      <c r="C23" s="214">
        <v>0.13</v>
      </c>
      <c r="D23" s="214">
        <v>0.66</v>
      </c>
      <c r="E23" s="214">
        <v>0.06</v>
      </c>
      <c r="F23" s="214">
        <v>0</v>
      </c>
      <c r="G23" s="214">
        <v>0</v>
      </c>
      <c r="H23" s="214">
        <v>0</v>
      </c>
      <c r="I23" s="214">
        <v>0.15</v>
      </c>
      <c r="J23" s="383">
        <f t="shared" ref="J23:J25" si="11">SUM(C23:I23)</f>
        <v>1</v>
      </c>
      <c r="L23" s="214">
        <v>2.5000000000000001E-2</v>
      </c>
      <c r="N23" t="s">
        <v>1723</v>
      </c>
    </row>
    <row r="24" spans="2:14" x14ac:dyDescent="0.2">
      <c r="B24" s="365" t="s">
        <v>320</v>
      </c>
      <c r="C24" s="214">
        <f>C15/SUM($C15:$I15)</f>
        <v>0</v>
      </c>
      <c r="D24" s="214">
        <f t="shared" ref="D24:I25" si="12">D15/SUM($C15:$I15)</f>
        <v>0</v>
      </c>
      <c r="E24" s="214">
        <f t="shared" si="12"/>
        <v>0</v>
      </c>
      <c r="F24" s="214">
        <f t="shared" si="12"/>
        <v>0</v>
      </c>
      <c r="G24" s="214">
        <f t="shared" si="12"/>
        <v>0.80458360019296382</v>
      </c>
      <c r="H24" s="214">
        <f t="shared" si="12"/>
        <v>0</v>
      </c>
      <c r="I24" s="214">
        <f t="shared" si="12"/>
        <v>0.19541639980703623</v>
      </c>
      <c r="J24" s="383">
        <f t="shared" si="11"/>
        <v>1</v>
      </c>
      <c r="L24" s="214">
        <v>0.13</v>
      </c>
      <c r="N24" t="s">
        <v>1724</v>
      </c>
    </row>
    <row r="25" spans="2:14" x14ac:dyDescent="0.2">
      <c r="B25" s="365" t="s">
        <v>248</v>
      </c>
      <c r="C25" s="214">
        <f>C16/SUM($C16:$I16)</f>
        <v>0.19488480569201594</v>
      </c>
      <c r="D25" s="214">
        <f t="shared" si="12"/>
        <v>0.32331664690272238</v>
      </c>
      <c r="E25" s="214">
        <f t="shared" si="12"/>
        <v>7.0375068722116865E-2</v>
      </c>
      <c r="F25" s="214">
        <f t="shared" si="12"/>
        <v>9.7442402846007969E-2</v>
      </c>
      <c r="G25" s="214">
        <f t="shared" si="12"/>
        <v>0</v>
      </c>
      <c r="H25" s="214">
        <f t="shared" si="12"/>
        <v>0.17323093839290307</v>
      </c>
      <c r="I25" s="214">
        <f t="shared" si="12"/>
        <v>0.14075013744423373</v>
      </c>
      <c r="J25" s="383">
        <f t="shared" si="11"/>
        <v>0.99999999999999989</v>
      </c>
      <c r="L25" s="214">
        <f>(14100+26000+8200+4500)/(598700+496700+149200+84100)</f>
        <v>3.973808986227139E-2</v>
      </c>
      <c r="N25" t="s">
        <v>1725</v>
      </c>
    </row>
    <row r="26" spans="2:14" x14ac:dyDescent="0.2">
      <c r="B26" s="364" t="s">
        <v>67</v>
      </c>
      <c r="C26" s="379"/>
      <c r="D26" s="379"/>
      <c r="E26" s="379"/>
      <c r="F26" s="379"/>
      <c r="G26" s="379"/>
      <c r="H26" s="379"/>
      <c r="I26" s="379"/>
      <c r="J26" s="378">
        <f>J44/J17</f>
        <v>0.10101265357109386</v>
      </c>
      <c r="L26" s="376">
        <f>'Ethylene Recycling HC'!C222</f>
        <v>0.10392620862112158</v>
      </c>
    </row>
    <row r="28" spans="2:14" x14ac:dyDescent="0.2">
      <c r="B28" s="1">
        <v>2020</v>
      </c>
    </row>
    <row r="29" spans="2:14" ht="16" x14ac:dyDescent="0.2">
      <c r="B29" s="364" t="s">
        <v>378</v>
      </c>
      <c r="C29" s="363" t="s">
        <v>258</v>
      </c>
      <c r="D29" s="361" t="s">
        <v>477</v>
      </c>
      <c r="E29" s="362" t="s">
        <v>478</v>
      </c>
      <c r="F29" s="361" t="s">
        <v>480</v>
      </c>
      <c r="G29" s="361" t="s">
        <v>474</v>
      </c>
      <c r="H29" s="361" t="s">
        <v>745</v>
      </c>
      <c r="I29" s="367" t="s">
        <v>248</v>
      </c>
      <c r="J29" s="368" t="s">
        <v>67</v>
      </c>
    </row>
    <row r="30" spans="2:14" x14ac:dyDescent="0.2">
      <c r="B30" s="365" t="s">
        <v>1022</v>
      </c>
      <c r="C30" s="110">
        <f>IFERROR(C39/C12,0)</f>
        <v>0.15404617097815404</v>
      </c>
      <c r="D30" s="110">
        <f t="shared" ref="D30:I31" si="13">IFERROR(D39/D12,0)</f>
        <v>6.4176125857639113E-2</v>
      </c>
      <c r="E30" s="110">
        <f t="shared" si="13"/>
        <v>1.9835824450403789E-3</v>
      </c>
      <c r="F30" s="110">
        <f t="shared" si="13"/>
        <v>0</v>
      </c>
      <c r="G30" s="110">
        <f t="shared" si="13"/>
        <v>0.3059823217200901</v>
      </c>
      <c r="H30" s="110">
        <f t="shared" si="13"/>
        <v>0</v>
      </c>
      <c r="I30" s="110">
        <f t="shared" si="13"/>
        <v>0</v>
      </c>
      <c r="J30" s="377">
        <f>L21</f>
        <v>0.14199999999999999</v>
      </c>
      <c r="L30" s="23"/>
    </row>
    <row r="31" spans="2:14" x14ac:dyDescent="0.2">
      <c r="B31" s="365" t="s">
        <v>310</v>
      </c>
      <c r="C31" s="110">
        <f>IFERROR(C40/C13,0)</f>
        <v>1.3545088274044799E-2</v>
      </c>
      <c r="D31" s="110">
        <f t="shared" si="13"/>
        <v>5.8929601482881049E-3</v>
      </c>
      <c r="E31" s="110">
        <f t="shared" si="13"/>
        <v>5.2096493361710764E-3</v>
      </c>
      <c r="F31" s="110">
        <f t="shared" si="13"/>
        <v>2.9148309619169525E-2</v>
      </c>
      <c r="G31" s="110">
        <f t="shared" si="13"/>
        <v>0</v>
      </c>
      <c r="H31" s="110">
        <f t="shared" si="13"/>
        <v>4.7425773267212555E-3</v>
      </c>
      <c r="I31" s="110">
        <f t="shared" si="13"/>
        <v>4.7425773267212555E-3</v>
      </c>
      <c r="J31" s="377">
        <f>L22</f>
        <v>1.6E-2</v>
      </c>
      <c r="L31" s="214"/>
    </row>
    <row r="32" spans="2:14" x14ac:dyDescent="0.2">
      <c r="B32" s="365" t="s">
        <v>311</v>
      </c>
      <c r="C32" s="110">
        <f t="shared" ref="C32:I32" si="14">IFERROR(C41/C14,0)</f>
        <v>3.4268734903381642E-2</v>
      </c>
      <c r="D32" s="110">
        <f t="shared" si="14"/>
        <v>2.9600675638829989E-2</v>
      </c>
      <c r="E32" s="110">
        <f t="shared" si="14"/>
        <v>0</v>
      </c>
      <c r="F32" s="110">
        <f t="shared" si="14"/>
        <v>0</v>
      </c>
      <c r="G32" s="110">
        <f t="shared" si="14"/>
        <v>0</v>
      </c>
      <c r="H32" s="110">
        <f t="shared" si="14"/>
        <v>0</v>
      </c>
      <c r="I32" s="110">
        <f t="shared" si="14"/>
        <v>1.6175801440407419E-2</v>
      </c>
      <c r="J32" s="377">
        <f t="shared" ref="J32:J34" si="15">L23</f>
        <v>2.5000000000000001E-2</v>
      </c>
      <c r="L32" s="23"/>
    </row>
    <row r="33" spans="2:12" x14ac:dyDescent="0.2">
      <c r="B33" s="365" t="s">
        <v>320</v>
      </c>
      <c r="C33" s="110">
        <f t="shared" ref="C33:I33" si="16">IFERROR(C42/C15,0)</f>
        <v>0</v>
      </c>
      <c r="D33" s="110">
        <f t="shared" si="16"/>
        <v>0</v>
      </c>
      <c r="E33" s="110">
        <f t="shared" si="16"/>
        <v>0</v>
      </c>
      <c r="F33" s="110">
        <f t="shared" si="16"/>
        <v>0</v>
      </c>
      <c r="G33" s="110">
        <f t="shared" si="16"/>
        <v>0.13</v>
      </c>
      <c r="H33" s="110">
        <f t="shared" si="16"/>
        <v>0</v>
      </c>
      <c r="I33" s="110">
        <f t="shared" si="16"/>
        <v>0.13000000000000003</v>
      </c>
      <c r="J33" s="377">
        <f t="shared" si="15"/>
        <v>0.13</v>
      </c>
      <c r="L33" s="23"/>
    </row>
    <row r="34" spans="2:12" x14ac:dyDescent="0.2">
      <c r="B34" s="365" t="s">
        <v>248</v>
      </c>
      <c r="C34" s="110">
        <f t="shared" ref="C34:I34" si="17">IFERROR(C43/C16,0)</f>
        <v>3.9738089862271384E-2</v>
      </c>
      <c r="D34" s="110">
        <f t="shared" si="17"/>
        <v>3.9738089862271384E-2</v>
      </c>
      <c r="E34" s="110">
        <f t="shared" si="17"/>
        <v>3.9738089862271384E-2</v>
      </c>
      <c r="F34" s="110">
        <f t="shared" si="17"/>
        <v>3.9738089862271384E-2</v>
      </c>
      <c r="G34" s="110">
        <f t="shared" si="17"/>
        <v>0</v>
      </c>
      <c r="H34" s="110">
        <f t="shared" si="17"/>
        <v>3.973808986227139E-2</v>
      </c>
      <c r="I34" s="110">
        <f t="shared" si="17"/>
        <v>3.9738089862271384E-2</v>
      </c>
      <c r="J34" s="377">
        <f t="shared" si="15"/>
        <v>3.973808986227139E-2</v>
      </c>
      <c r="L34" s="23"/>
    </row>
    <row r="35" spans="2:12" x14ac:dyDescent="0.2">
      <c r="B35" s="364" t="s">
        <v>67</v>
      </c>
      <c r="C35" s="379">
        <f>C44/C17</f>
        <v>0.12900907367842454</v>
      </c>
      <c r="D35" s="379">
        <f t="shared" ref="D35:I35" si="18">D44/D17</f>
        <v>4.9312520530868736E-2</v>
      </c>
      <c r="E35" s="379">
        <f t="shared" si="18"/>
        <v>1.5626943455607355E-2</v>
      </c>
      <c r="F35" s="379">
        <f t="shared" si="18"/>
        <v>2.646414385200125E-2</v>
      </c>
      <c r="G35" s="379">
        <f t="shared" si="18"/>
        <v>0.2241864877323084</v>
      </c>
      <c r="H35" s="379">
        <f t="shared" si="18"/>
        <v>2.8714645255489477E-2</v>
      </c>
      <c r="I35" s="379">
        <f t="shared" si="18"/>
        <v>5.7873953349542095E-2</v>
      </c>
      <c r="J35" s="378">
        <f>J53/J26</f>
        <v>0</v>
      </c>
      <c r="L35" s="376"/>
    </row>
    <row r="36" spans="2:12" x14ac:dyDescent="0.2">
      <c r="B36" s="1"/>
      <c r="C36" s="297"/>
      <c r="D36" s="297"/>
      <c r="E36" s="297"/>
      <c r="F36" s="297"/>
      <c r="G36" s="297"/>
      <c r="H36" s="297"/>
      <c r="I36" s="297"/>
      <c r="J36" s="297"/>
      <c r="L36" s="376"/>
    </row>
    <row r="37" spans="2:12" x14ac:dyDescent="0.2">
      <c r="B37" s="1">
        <v>2020</v>
      </c>
    </row>
    <row r="38" spans="2:12" ht="16" x14ac:dyDescent="0.2">
      <c r="B38" s="364" t="s">
        <v>1726</v>
      </c>
      <c r="C38" s="363" t="s">
        <v>258</v>
      </c>
      <c r="D38" s="361" t="s">
        <v>477</v>
      </c>
      <c r="E38" s="362" t="s">
        <v>478</v>
      </c>
      <c r="F38" s="361" t="s">
        <v>480</v>
      </c>
      <c r="G38" s="361" t="s">
        <v>474</v>
      </c>
      <c r="H38" s="361" t="s">
        <v>745</v>
      </c>
      <c r="I38" s="367" t="s">
        <v>248</v>
      </c>
      <c r="J38" s="368" t="s">
        <v>67</v>
      </c>
    </row>
    <row r="39" spans="2:12" x14ac:dyDescent="0.2">
      <c r="B39" s="365" t="s">
        <v>1022</v>
      </c>
      <c r="C39" s="262">
        <f>$J39*C21</f>
        <v>15.260674556028027</v>
      </c>
      <c r="D39" s="262">
        <f t="shared" ref="D39:I40" si="19">$J39*D21</f>
        <v>2.9403997217780398</v>
      </c>
      <c r="E39" s="262">
        <f t="shared" si="19"/>
        <v>2.9403997217780399E-2</v>
      </c>
      <c r="F39" s="262">
        <f t="shared" si="19"/>
        <v>0</v>
      </c>
      <c r="G39" s="262">
        <f t="shared" si="19"/>
        <v>11.173518942756552</v>
      </c>
      <c r="H39" s="262">
        <f t="shared" si="19"/>
        <v>0</v>
      </c>
      <c r="I39" s="262">
        <f t="shared" si="19"/>
        <v>0</v>
      </c>
      <c r="J39" s="371">
        <f>J12*J30</f>
        <v>29.403997217780397</v>
      </c>
    </row>
    <row r="40" spans="2:12" x14ac:dyDescent="0.2">
      <c r="B40" s="365" t="s">
        <v>310</v>
      </c>
      <c r="C40" s="262">
        <f>$J40*C22</f>
        <v>4.2646752406523936E-2</v>
      </c>
      <c r="D40" s="262">
        <f t="shared" si="19"/>
        <v>1.6402597079432282E-2</v>
      </c>
      <c r="E40" s="262">
        <f t="shared" si="19"/>
        <v>8.2012985397161408E-3</v>
      </c>
      <c r="F40" s="262">
        <f t="shared" si="19"/>
        <v>0.16894674991815251</v>
      </c>
      <c r="G40" s="262">
        <f t="shared" si="19"/>
        <v>0</v>
      </c>
      <c r="H40" s="262">
        <f t="shared" si="19"/>
        <v>8.1447378601318919E-3</v>
      </c>
      <c r="I40" s="262">
        <f t="shared" si="19"/>
        <v>1.6968203875274777E-3</v>
      </c>
      <c r="J40" s="371">
        <f t="shared" ref="J40:J43" si="20">J13*J31</f>
        <v>0.24603895619148425</v>
      </c>
    </row>
    <row r="41" spans="2:12" x14ac:dyDescent="0.2">
      <c r="B41" s="365" t="s">
        <v>311</v>
      </c>
      <c r="C41" s="262">
        <f t="shared" ref="C41:I41" si="21">$J41*C23</f>
        <v>6.3524918131924138E-2</v>
      </c>
      <c r="D41" s="262">
        <f t="shared" si="21"/>
        <v>0.32251112282361483</v>
      </c>
      <c r="E41" s="262">
        <f t="shared" si="21"/>
        <v>2.9319192983964983E-2</v>
      </c>
      <c r="F41" s="262">
        <f t="shared" si="21"/>
        <v>0</v>
      </c>
      <c r="G41" s="262">
        <f t="shared" si="21"/>
        <v>0</v>
      </c>
      <c r="H41" s="262">
        <f t="shared" si="21"/>
        <v>0</v>
      </c>
      <c r="I41" s="262">
        <f t="shared" si="21"/>
        <v>7.3297982459912453E-2</v>
      </c>
      <c r="J41" s="371">
        <f t="shared" si="20"/>
        <v>0.48865321639941639</v>
      </c>
    </row>
    <row r="42" spans="2:12" x14ac:dyDescent="0.2">
      <c r="B42" s="365" t="s">
        <v>320</v>
      </c>
      <c r="C42" s="262">
        <f t="shared" ref="C42:I42" si="22">$J42*C24</f>
        <v>0</v>
      </c>
      <c r="D42" s="262">
        <f t="shared" si="22"/>
        <v>0</v>
      </c>
      <c r="E42" s="262">
        <f t="shared" si="22"/>
        <v>0</v>
      </c>
      <c r="F42" s="262">
        <f t="shared" si="22"/>
        <v>0</v>
      </c>
      <c r="G42" s="262">
        <f t="shared" si="22"/>
        <v>4.1226794547331149</v>
      </c>
      <c r="H42" s="262">
        <f t="shared" si="22"/>
        <v>0</v>
      </c>
      <c r="I42" s="262">
        <f t="shared" si="22"/>
        <v>1.0013119536728856</v>
      </c>
      <c r="J42" s="371">
        <f t="shared" si="20"/>
        <v>5.1239914084059999</v>
      </c>
    </row>
    <row r="43" spans="2:12" x14ac:dyDescent="0.2">
      <c r="B43" s="365" t="s">
        <v>248</v>
      </c>
      <c r="C43" s="262">
        <f t="shared" ref="C43:I43" si="23">$J43*C25</f>
        <v>0.86408503681019966</v>
      </c>
      <c r="D43" s="262">
        <f t="shared" si="23"/>
        <v>1.433529287972267</v>
      </c>
      <c r="E43" s="262">
        <f t="shared" si="23"/>
        <v>0.31203070773701658</v>
      </c>
      <c r="F43" s="262">
        <f t="shared" si="23"/>
        <v>0.43204251840509983</v>
      </c>
      <c r="G43" s="262">
        <f t="shared" si="23"/>
        <v>0</v>
      </c>
      <c r="H43" s="262">
        <f t="shared" si="23"/>
        <v>0.76807558827573319</v>
      </c>
      <c r="I43" s="262">
        <f t="shared" si="23"/>
        <v>0.62406141547403315</v>
      </c>
      <c r="J43" s="371">
        <f t="shared" si="20"/>
        <v>4.4338245546743495</v>
      </c>
    </row>
    <row r="44" spans="2:12" x14ac:dyDescent="0.2">
      <c r="B44" s="364" t="s">
        <v>67</v>
      </c>
      <c r="C44" s="369">
        <f>SUM(C39:C43)</f>
        <v>16.230931263376675</v>
      </c>
      <c r="D44" s="369">
        <f t="shared" ref="D44" si="24">SUM(D39:D43)</f>
        <v>4.7128427296533539</v>
      </c>
      <c r="E44" s="369">
        <f t="shared" ref="E44" si="25">SUM(E39:E43)</f>
        <v>0.37895519647847808</v>
      </c>
      <c r="F44" s="369">
        <f t="shared" ref="F44" si="26">SUM(F39:F43)</f>
        <v>0.60098926832325228</v>
      </c>
      <c r="G44" s="369">
        <f t="shared" ref="G44" si="27">SUM(G39:G43)</f>
        <v>15.296198397489666</v>
      </c>
      <c r="H44" s="369">
        <f t="shared" ref="H44" si="28">SUM(H39:H43)</f>
        <v>0.77622032613586511</v>
      </c>
      <c r="I44" s="369">
        <f t="shared" ref="I44" si="29">SUM(I39:I43)</f>
        <v>1.7003681719943586</v>
      </c>
      <c r="J44" s="370">
        <f>SUM(J39:J43)</f>
        <v>39.696505353451649</v>
      </c>
    </row>
    <row r="46" spans="2:12" x14ac:dyDescent="0.2">
      <c r="B46" s="1" t="s">
        <v>1727</v>
      </c>
    </row>
    <row r="47" spans="2:12" ht="16" x14ac:dyDescent="0.2">
      <c r="B47" s="364" t="s">
        <v>1726</v>
      </c>
      <c r="C47" s="363" t="s">
        <v>258</v>
      </c>
      <c r="D47" s="361" t="s">
        <v>477</v>
      </c>
      <c r="E47" s="362" t="s">
        <v>478</v>
      </c>
      <c r="F47" s="361" t="s">
        <v>480</v>
      </c>
      <c r="G47" s="361" t="s">
        <v>474</v>
      </c>
      <c r="H47" s="361" t="s">
        <v>745</v>
      </c>
      <c r="I47" s="367" t="s">
        <v>248</v>
      </c>
      <c r="J47" s="368"/>
    </row>
    <row r="48" spans="2:12" x14ac:dyDescent="0.2">
      <c r="B48" s="365" t="s">
        <v>1022</v>
      </c>
      <c r="C48" s="262">
        <f>C30/$J30</f>
        <v>1.0848321899870004</v>
      </c>
      <c r="D48" s="262">
        <f t="shared" ref="D48:I48" si="30">D30/$J30</f>
        <v>0.45194454829323322</v>
      </c>
      <c r="E48" s="262">
        <f t="shared" si="30"/>
        <v>1.3968890458030838E-2</v>
      </c>
      <c r="F48" s="262">
        <f t="shared" si="30"/>
        <v>0</v>
      </c>
      <c r="G48" s="262">
        <f t="shared" si="30"/>
        <v>2.1548050825358458</v>
      </c>
      <c r="H48" s="262">
        <f t="shared" si="30"/>
        <v>0</v>
      </c>
      <c r="I48" s="262">
        <f t="shared" si="30"/>
        <v>0</v>
      </c>
      <c r="J48" s="371"/>
    </row>
    <row r="49" spans="2:22" x14ac:dyDescent="0.2">
      <c r="B49" s="365" t="s">
        <v>310</v>
      </c>
      <c r="C49" s="262">
        <f t="shared" ref="C49:I49" si="31">C31/$J31</f>
        <v>0.84656801712779994</v>
      </c>
      <c r="D49" s="262">
        <f t="shared" si="31"/>
        <v>0.36831000926800656</v>
      </c>
      <c r="E49" s="262">
        <f t="shared" si="31"/>
        <v>0.32560308351069228</v>
      </c>
      <c r="F49" s="262">
        <f t="shared" si="31"/>
        <v>1.8217693511980952</v>
      </c>
      <c r="G49" s="262">
        <f t="shared" si="31"/>
        <v>0</v>
      </c>
      <c r="H49" s="262">
        <f t="shared" si="31"/>
        <v>0.29641108292007845</v>
      </c>
      <c r="I49" s="262">
        <f t="shared" si="31"/>
        <v>0.29641108292007845</v>
      </c>
      <c r="J49" s="371"/>
    </row>
    <row r="50" spans="2:22" x14ac:dyDescent="0.2">
      <c r="B50" s="365" t="s">
        <v>311</v>
      </c>
      <c r="C50" s="262">
        <f t="shared" ref="C50:I50" si="32">C32/$J32</f>
        <v>1.3707493961352657</v>
      </c>
      <c r="D50" s="262">
        <f t="shared" si="32"/>
        <v>1.1840270255531995</v>
      </c>
      <c r="E50" s="262">
        <f t="shared" si="32"/>
        <v>0</v>
      </c>
      <c r="F50" s="262">
        <f t="shared" si="32"/>
        <v>0</v>
      </c>
      <c r="G50" s="262">
        <f t="shared" si="32"/>
        <v>0</v>
      </c>
      <c r="H50" s="262">
        <f t="shared" si="32"/>
        <v>0</v>
      </c>
      <c r="I50" s="262">
        <f t="shared" si="32"/>
        <v>0.64703205761629667</v>
      </c>
      <c r="J50" s="371"/>
    </row>
    <row r="51" spans="2:22" x14ac:dyDescent="0.2">
      <c r="B51" s="365" t="s">
        <v>320</v>
      </c>
      <c r="C51" s="262">
        <f t="shared" ref="C51:I51" si="33">C33/$J33</f>
        <v>0</v>
      </c>
      <c r="D51" s="262">
        <f t="shared" si="33"/>
        <v>0</v>
      </c>
      <c r="E51" s="262">
        <f t="shared" si="33"/>
        <v>0</v>
      </c>
      <c r="F51" s="262">
        <f t="shared" si="33"/>
        <v>0</v>
      </c>
      <c r="G51" s="262">
        <f t="shared" si="33"/>
        <v>1</v>
      </c>
      <c r="H51" s="262">
        <f t="shared" si="33"/>
        <v>0</v>
      </c>
      <c r="I51" s="262">
        <f t="shared" si="33"/>
        <v>1.0000000000000002</v>
      </c>
      <c r="J51" s="371"/>
    </row>
    <row r="52" spans="2:22" x14ac:dyDescent="0.2">
      <c r="B52" s="365" t="s">
        <v>248</v>
      </c>
      <c r="C52" s="262">
        <f t="shared" ref="C52:I52" si="34">C34/$J34</f>
        <v>0.99999999999999978</v>
      </c>
      <c r="D52" s="262">
        <f t="shared" si="34"/>
        <v>0.99999999999999978</v>
      </c>
      <c r="E52" s="262">
        <f t="shared" si="34"/>
        <v>0.99999999999999978</v>
      </c>
      <c r="F52" s="262">
        <f t="shared" si="34"/>
        <v>0.99999999999999978</v>
      </c>
      <c r="G52" s="262">
        <f t="shared" si="34"/>
        <v>0</v>
      </c>
      <c r="H52" s="262">
        <f t="shared" si="34"/>
        <v>1</v>
      </c>
      <c r="I52" s="262">
        <f t="shared" si="34"/>
        <v>0.99999999999999978</v>
      </c>
      <c r="J52" s="371"/>
    </row>
    <row r="53" spans="2:22" x14ac:dyDescent="0.2">
      <c r="B53" s="364"/>
      <c r="C53" s="369"/>
      <c r="D53" s="369"/>
      <c r="E53" s="369"/>
      <c r="F53" s="369"/>
      <c r="G53" s="369"/>
      <c r="H53" s="369"/>
      <c r="I53" s="369"/>
      <c r="J53" s="370"/>
    </row>
    <row r="55" spans="2:22" x14ac:dyDescent="0.2">
      <c r="B55" s="1" t="s">
        <v>1728</v>
      </c>
    </row>
    <row r="56" spans="2:22" ht="32" x14ac:dyDescent="0.2">
      <c r="B56" s="364"/>
      <c r="C56" s="363" t="s">
        <v>258</v>
      </c>
      <c r="D56" s="361" t="s">
        <v>477</v>
      </c>
      <c r="E56" s="362" t="s">
        <v>478</v>
      </c>
      <c r="F56" s="361" t="s">
        <v>480</v>
      </c>
      <c r="G56" s="361" t="s">
        <v>474</v>
      </c>
      <c r="H56" s="361" t="s">
        <v>745</v>
      </c>
      <c r="I56" s="367" t="s">
        <v>248</v>
      </c>
      <c r="J56" s="368" t="s">
        <v>1729</v>
      </c>
      <c r="K56" s="368" t="s">
        <v>1730</v>
      </c>
    </row>
    <row r="57" spans="2:22" ht="16" x14ac:dyDescent="0.2">
      <c r="B57" s="389" t="s">
        <v>4</v>
      </c>
      <c r="C57" s="392">
        <f>1</f>
        <v>1</v>
      </c>
      <c r="D57" s="343">
        <v>0</v>
      </c>
      <c r="E57" s="343">
        <f>'Demand Breakdown - Ethylene'!E39</f>
        <v>0.2687140115163148</v>
      </c>
      <c r="F57" s="343">
        <f>'Demand Breakdown - Ethylene'!E38</f>
        <v>0.44800000000000001</v>
      </c>
      <c r="G57" s="343">
        <f>'Demand Breakdown - Ethylene'!E36</f>
        <v>0.14568158168574402</v>
      </c>
      <c r="H57" s="343">
        <f t="shared" ref="H57" si="35">H39/$J39</f>
        <v>0</v>
      </c>
      <c r="I57" s="393">
        <f>'Demand Breakdown - Ethylene'!E41</f>
        <v>0.1</v>
      </c>
      <c r="J57" s="393">
        <v>0.05</v>
      </c>
      <c r="K57" s="393">
        <v>0.1</v>
      </c>
    </row>
    <row r="58" spans="2:22" ht="16" x14ac:dyDescent="0.2">
      <c r="B58" s="390" t="s">
        <v>5</v>
      </c>
      <c r="C58" s="394">
        <v>0</v>
      </c>
      <c r="D58" s="332">
        <v>1</v>
      </c>
      <c r="E58" s="332">
        <v>0</v>
      </c>
      <c r="F58" s="332">
        <v>0</v>
      </c>
      <c r="G58" s="332">
        <v>0</v>
      </c>
      <c r="H58" s="332">
        <v>0</v>
      </c>
      <c r="I58" s="395">
        <v>0.1</v>
      </c>
      <c r="J58" s="395">
        <v>0.05</v>
      </c>
      <c r="K58" s="395">
        <v>0.1</v>
      </c>
    </row>
    <row r="59" spans="2:22" ht="16" x14ac:dyDescent="0.2">
      <c r="B59" s="390" t="s">
        <v>6</v>
      </c>
      <c r="C59" s="394">
        <f>'Demand - Industry shares'!C81</f>
        <v>0</v>
      </c>
      <c r="D59" s="332">
        <f>'Demand - Industry shares'!D81</f>
        <v>0</v>
      </c>
      <c r="E59" s="332">
        <f>'Demand - Industry shares'!E81</f>
        <v>0</v>
      </c>
      <c r="F59" s="332">
        <f>'Demand - Industry shares'!F81</f>
        <v>0</v>
      </c>
      <c r="G59" s="332">
        <f>'Demand - Industry shares'!G81</f>
        <v>4.1295053450461215E-2</v>
      </c>
      <c r="H59" s="332">
        <f>'Demand - Industry shares'!I81</f>
        <v>0.10886110356075018</v>
      </c>
      <c r="I59" s="332">
        <f>30%</f>
        <v>0.3</v>
      </c>
      <c r="J59" s="332">
        <v>0.1</v>
      </c>
      <c r="K59" s="332">
        <v>0.3</v>
      </c>
      <c r="N59" t="s">
        <v>67</v>
      </c>
      <c r="O59" t="s">
        <v>1731</v>
      </c>
      <c r="P59" t="s">
        <v>1732</v>
      </c>
      <c r="Q59" t="s">
        <v>378</v>
      </c>
      <c r="R59" t="s">
        <v>1733</v>
      </c>
      <c r="S59" t="s">
        <v>1734</v>
      </c>
      <c r="T59" t="s">
        <v>1735</v>
      </c>
    </row>
    <row r="60" spans="2:22" ht="16" x14ac:dyDescent="0.2">
      <c r="B60" s="390" t="s">
        <v>7</v>
      </c>
      <c r="C60" s="394">
        <v>0</v>
      </c>
      <c r="D60" s="332">
        <v>0</v>
      </c>
      <c r="E60" s="332">
        <f>'Demand - Industry shares'!E96</f>
        <v>0.6818814091558747</v>
      </c>
      <c r="F60" s="332">
        <v>0</v>
      </c>
      <c r="G60" s="332">
        <v>0</v>
      </c>
      <c r="H60" s="332">
        <f>'Demand - Industry shares'!I96</f>
        <v>0.41329579380032699</v>
      </c>
      <c r="I60" s="332">
        <f>'Demand - Industry shares'!J96</f>
        <v>0.1</v>
      </c>
      <c r="J60" s="332">
        <v>0.1</v>
      </c>
      <c r="K60" s="332">
        <v>0.1</v>
      </c>
      <c r="M60" t="s">
        <v>258</v>
      </c>
      <c r="N60">
        <v>80</v>
      </c>
      <c r="O60" s="6">
        <v>1</v>
      </c>
      <c r="P60">
        <f>N60*O60</f>
        <v>80</v>
      </c>
      <c r="Q60" s="6">
        <v>0.15</v>
      </c>
      <c r="R60">
        <f>N60*Q60</f>
        <v>12</v>
      </c>
      <c r="S60">
        <f>N60*Q60*O60</f>
        <v>12</v>
      </c>
      <c r="T60" s="2">
        <f>S60/P60</f>
        <v>0.15</v>
      </c>
      <c r="U60" s="256">
        <f>Q60/R62</f>
        <v>0.83333333333333337</v>
      </c>
    </row>
    <row r="61" spans="2:22" ht="16" x14ac:dyDescent="0.2">
      <c r="B61" s="390" t="s">
        <v>8</v>
      </c>
      <c r="C61" s="394">
        <v>0</v>
      </c>
      <c r="D61" s="332">
        <v>0</v>
      </c>
      <c r="E61" s="332">
        <f>'Demand - Industry shares'!E110</f>
        <v>5.3967647447898864E-2</v>
      </c>
      <c r="F61" s="332">
        <v>0</v>
      </c>
      <c r="G61" s="332">
        <f>'Demand - Industry shares'!G110</f>
        <v>6.1398057097631083E-2</v>
      </c>
      <c r="H61" s="332">
        <f>'Demand - Industry shares'!I110</f>
        <v>0.16636063165230416</v>
      </c>
      <c r="I61" s="332">
        <f>'Demand - Industry shares'!J110</f>
        <v>0.05</v>
      </c>
      <c r="J61" s="332">
        <v>2.5000000000000001E-2</v>
      </c>
      <c r="K61" s="332">
        <v>0</v>
      </c>
      <c r="M61" t="s">
        <v>474</v>
      </c>
      <c r="N61">
        <v>20</v>
      </c>
      <c r="O61" s="6">
        <v>0.15</v>
      </c>
      <c r="P61">
        <f>N61*O61</f>
        <v>3</v>
      </c>
      <c r="Q61" s="6">
        <v>0.3</v>
      </c>
      <c r="R61">
        <f>N61*Q61</f>
        <v>6</v>
      </c>
      <c r="S61">
        <f>N61*Q61*O61</f>
        <v>0.89999999999999991</v>
      </c>
      <c r="T61" s="2">
        <f>S61/P61</f>
        <v>0.3</v>
      </c>
      <c r="U61" s="256">
        <f>Q61/R62</f>
        <v>1.6666666666666667</v>
      </c>
    </row>
    <row r="62" spans="2:22" ht="16" x14ac:dyDescent="0.2">
      <c r="B62" s="390" t="s">
        <v>9</v>
      </c>
      <c r="C62" s="394">
        <v>0</v>
      </c>
      <c r="D62" s="332">
        <v>0</v>
      </c>
      <c r="E62" s="332">
        <v>0</v>
      </c>
      <c r="F62" s="332">
        <v>0</v>
      </c>
      <c r="G62" s="332">
        <f>'Demand - Industry shares'!G124</f>
        <v>0.49068527623570229</v>
      </c>
      <c r="H62" s="332">
        <v>0</v>
      </c>
      <c r="I62" s="332">
        <f>'Demand - Industry shares'!J124</f>
        <v>0.05</v>
      </c>
      <c r="J62" s="332">
        <v>2.5000000000000001E-2</v>
      </c>
      <c r="K62" s="332">
        <v>0</v>
      </c>
      <c r="N62">
        <f>SUM(N60:N61)</f>
        <v>100</v>
      </c>
      <c r="P62">
        <f>SUM(P60:P61)</f>
        <v>83</v>
      </c>
      <c r="R62" s="2">
        <f>SUM(R60:R61)/N62</f>
        <v>0.18</v>
      </c>
      <c r="S62">
        <f>SUM(S60:S61)</f>
        <v>12.9</v>
      </c>
      <c r="T62" s="2">
        <f>S62/P62</f>
        <v>0.15542168674698795</v>
      </c>
      <c r="U62" s="245">
        <f>(U60*O60*N60+U61*O61*N61)/N62</f>
        <v>0.71666666666666667</v>
      </c>
      <c r="V62" s="256">
        <f>T62/R62</f>
        <v>0.86345381526104414</v>
      </c>
    </row>
    <row r="63" spans="2:22" ht="16" x14ac:dyDescent="0.2">
      <c r="B63" s="388" t="s">
        <v>10</v>
      </c>
      <c r="C63" s="396">
        <v>0</v>
      </c>
      <c r="D63" s="397">
        <v>0</v>
      </c>
      <c r="E63" s="397">
        <v>0</v>
      </c>
      <c r="F63" s="397">
        <v>0</v>
      </c>
      <c r="G63" s="397">
        <v>0</v>
      </c>
      <c r="H63" s="397">
        <v>0</v>
      </c>
      <c r="I63" s="397">
        <v>0.2</v>
      </c>
      <c r="J63" s="397">
        <v>0.7</v>
      </c>
      <c r="K63" s="397">
        <v>0.02</v>
      </c>
    </row>
    <row r="64" spans="2:22" ht="16" x14ac:dyDescent="0.2">
      <c r="B64" s="398" t="s">
        <v>248</v>
      </c>
      <c r="C64" s="577">
        <f>1-SUM(C57:C63)</f>
        <v>0</v>
      </c>
      <c r="D64" s="329">
        <f t="shared" ref="D64:H64" si="36">1-SUM(D57:D63)</f>
        <v>0</v>
      </c>
      <c r="E64" s="329">
        <f t="shared" si="36"/>
        <v>-4.5630681200883316E-3</v>
      </c>
      <c r="F64" s="329">
        <f t="shared" si="36"/>
        <v>0.55200000000000005</v>
      </c>
      <c r="G64" s="329">
        <f t="shared" si="36"/>
        <v>0.26094003153046141</v>
      </c>
      <c r="H64" s="329">
        <f t="shared" si="36"/>
        <v>0.31148247098661863</v>
      </c>
      <c r="I64" s="329">
        <f>1.2-SUM(I57:I63)</f>
        <v>0.29999999999999982</v>
      </c>
      <c r="J64" s="329">
        <f>1.2-SUM(J57:J63)</f>
        <v>0.14999999999999991</v>
      </c>
      <c r="K64" s="329">
        <f>1.2-SUM(K57:K63)</f>
        <v>0.57999999999999996</v>
      </c>
      <c r="L64" t="s">
        <v>1736</v>
      </c>
    </row>
    <row r="66" spans="2:21" x14ac:dyDescent="0.2">
      <c r="B66" s="1" t="s">
        <v>1737</v>
      </c>
    </row>
    <row r="67" spans="2:21" ht="16" x14ac:dyDescent="0.2">
      <c r="B67" s="364"/>
      <c r="C67" s="363" t="s">
        <v>4</v>
      </c>
      <c r="D67" s="361" t="s">
        <v>5</v>
      </c>
      <c r="E67" s="385" t="s">
        <v>6</v>
      </c>
      <c r="F67" s="361" t="s">
        <v>7</v>
      </c>
      <c r="G67" s="361" t="s">
        <v>8</v>
      </c>
      <c r="H67" s="361" t="s">
        <v>9</v>
      </c>
      <c r="I67" s="386" t="s">
        <v>10</v>
      </c>
      <c r="J67" s="368" t="s">
        <v>248</v>
      </c>
    </row>
    <row r="68" spans="2:21" x14ac:dyDescent="0.2">
      <c r="B68" s="401" t="s">
        <v>1022</v>
      </c>
      <c r="C68" s="402">
        <f>SUMPRODUCT($C$57:$I$57,$C12:$I12)</f>
        <v>110.90685984500516</v>
      </c>
      <c r="D68" s="403">
        <f>SUMPRODUCT($C$58:$I$58,$C12:$I12)</f>
        <v>45.926122967061751</v>
      </c>
      <c r="E68" s="403">
        <f>SUMPRODUCT($C$59:$I$59,$C12:$I12)</f>
        <v>2.305673342876351</v>
      </c>
      <c r="F68" s="403">
        <f>SUMPRODUCT($C$60:$I$60,$C12:$I12)</f>
        <v>12.009600983341521</v>
      </c>
      <c r="G68" s="403">
        <f>SUMPRODUCT($C$61:$I$61,$C12:$I12)</f>
        <v>3.8180763152766408</v>
      </c>
      <c r="H68" s="403">
        <f>SUMPRODUCT($C$62:$I$62,$C12:$I12)</f>
        <v>17.972527082938928</v>
      </c>
      <c r="I68" s="404">
        <f>SUMPRODUCT($C$63:$I$63,$C12:$I12)</f>
        <v>0.21693194522107306</v>
      </c>
      <c r="J68" s="404">
        <f>SUMPRODUCT($C$64:$I$64,$C12:$I12)</f>
        <v>14.131542405615146</v>
      </c>
    </row>
    <row r="69" spans="2:21" x14ac:dyDescent="0.2">
      <c r="B69" s="365" t="s">
        <v>310</v>
      </c>
      <c r="C69" s="405">
        <f>SUMPRODUCT($C$57:$I$57,$C13:$I13)</f>
        <v>6.2039613662425941</v>
      </c>
      <c r="D69" s="406">
        <f>SUMPRODUCT($C$58:$I$58,$C13:$I13)</f>
        <v>2.8192008104320267</v>
      </c>
      <c r="E69" s="406">
        <f>SUMPRODUCT($C$59:$I$59,$C13:$I13)</f>
        <v>0.29428961760126421</v>
      </c>
      <c r="F69" s="406">
        <f>SUMPRODUCT($C$60:$I$60,$C13:$I13)</f>
        <v>1.8190111751777982</v>
      </c>
      <c r="G69" s="406">
        <f>SUMPRODUCT($C$61:$I$61,$C13:$I13)</f>
        <v>0.3885498552983771</v>
      </c>
      <c r="H69" s="406">
        <f>SUMPRODUCT($C$62:$I$62,$C13:$I13)</f>
        <v>1.7889222153184812E-2</v>
      </c>
      <c r="I69" s="407">
        <f>SUMPRODUCT($C$63:$I$63,$C13:$I13)</f>
        <v>7.1556888612739247E-2</v>
      </c>
      <c r="J69" s="407">
        <f>SUMPRODUCT($C$64:$I$64,$C13:$I13)</f>
        <v>3.8345327150625192</v>
      </c>
    </row>
    <row r="70" spans="2:21" x14ac:dyDescent="0.2">
      <c r="B70" s="365" t="s">
        <v>311</v>
      </c>
      <c r="C70" s="595">
        <f>SUMPRODUCT($C$57:$H$57,$C14:$H14)+J57*I14</f>
        <v>2.3571183119132026</v>
      </c>
      <c r="D70" s="406">
        <f>SUMPRODUCT($C$58:$H$58,$C14:$H14)+J58*I14</f>
        <v>11.12196411934174</v>
      </c>
      <c r="E70" s="406">
        <f>SUMPRODUCT($C$59:$H$59,$C14:$H14)+J59*I14</f>
        <v>0.63251033654963607</v>
      </c>
      <c r="F70" s="406">
        <f>SUMPRODUCT($C$60:$H$60,$C14:$H14)+J60*I14</f>
        <v>1.1341451377697198</v>
      </c>
      <c r="G70" s="406">
        <f>SUMPRODUCT($C$61:$H$61,$C14:$H14)+J61*I14</f>
        <v>0.38740550520316386</v>
      </c>
      <c r="H70" s="406">
        <f>SUMPRODUCT($C$62:$H$62,$C14:$H14)+J62*I14</f>
        <v>0.11328338618946708</v>
      </c>
      <c r="I70" s="406">
        <f>SUMPRODUCT($C$63:$H$63,$C14:$H14)+J63*I14</f>
        <v>3.1719348133050778</v>
      </c>
      <c r="J70" s="407">
        <f>SUMPRODUCT($C$64:$H$64,$C14:$H14)+J64*I14</f>
        <v>1.5340341352203843</v>
      </c>
    </row>
    <row r="71" spans="2:21" x14ac:dyDescent="0.2">
      <c r="B71" s="365" t="s">
        <v>320</v>
      </c>
      <c r="C71" s="405">
        <f>SUMPRODUCT($C$57:$H$57,$C15:$H15)+K57*I14</f>
        <v>5.0731217274412597</v>
      </c>
      <c r="D71" s="406">
        <f>SUMPRODUCT($C$58:$H$58,$C15:$H15)+K58*I15</f>
        <v>0.77023996436375808</v>
      </c>
      <c r="E71" s="406">
        <f>SUMPRODUCT($C$59:$H$59,$C15:$H15)+K59*I15</f>
        <v>3.6203065734168298</v>
      </c>
      <c r="F71" s="406">
        <f>SUMPRODUCT($C$60:$H$60,$C15:$H15)+K60*I15</f>
        <v>0.77023996436375808</v>
      </c>
      <c r="G71" s="406">
        <f>SUMPRODUCT($C$61:$H$61,$C15:$H15)+K61*I15</f>
        <v>1.9471116042841103</v>
      </c>
      <c r="H71" s="406">
        <f>SUMPRODUCT($C$62:$H$62,$C15:$H15)+K62*I15</f>
        <v>15.56106236213056</v>
      </c>
      <c r="I71" s="406">
        <f>SUMPRODUCT($C$63:$H$63,$C15:$H15)+K63*I15</f>
        <v>0.15404799287275162</v>
      </c>
      <c r="J71" s="407">
        <f>SUMPRODUCT($C$64:$H$64,$C15:$H15)+K64*I15</f>
        <v>12.742561846448599</v>
      </c>
      <c r="K71" t="s">
        <v>366</v>
      </c>
      <c r="O71" s="6"/>
      <c r="Q71" s="6"/>
      <c r="T71" s="2"/>
      <c r="U71" s="256"/>
    </row>
    <row r="72" spans="2:21" x14ac:dyDescent="0.2">
      <c r="B72" s="366" t="s">
        <v>248</v>
      </c>
      <c r="C72" s="408">
        <f>SUMPRODUCT($C$57:$I$57,$C16:$I16)</f>
        <v>30.295700018998424</v>
      </c>
      <c r="D72" s="409">
        <f>SUMPRODUCT($C$58:$I$58,$C16:$I16)</f>
        <v>37.644875098537618</v>
      </c>
      <c r="E72" s="409">
        <f>SUMPRODUCT($C$59:$I$59,$C16:$I16)</f>
        <v>6.8154252441085541</v>
      </c>
      <c r="F72" s="409">
        <f>SUMPRODUCT($C$60:$I$60,$C16:$I16)</f>
        <v>14.913059290168508</v>
      </c>
      <c r="G72" s="409">
        <f>SUMPRODUCT($C$61:$I$61,$C16:$I16)</f>
        <v>4.4244747201844419</v>
      </c>
      <c r="H72" s="409">
        <f>SUMPRODUCT($C$62:$I$62,$C16:$I16)</f>
        <v>0.78521818441320834</v>
      </c>
      <c r="I72" s="409">
        <f>SUMPRODUCT($C$63:$I$63,$C16:$I16)</f>
        <v>3.1408727376528334</v>
      </c>
      <c r="J72" s="418">
        <f>SUMPRODUCT($C$64:$I$64,$C16:$I16)</f>
        <v>16.697434674570474</v>
      </c>
      <c r="K72" s="410">
        <f>SUM(C68:J72)-J17</f>
        <v>5.5590021701240744</v>
      </c>
      <c r="O72" s="6"/>
      <c r="Q72" s="6"/>
      <c r="T72" s="2"/>
      <c r="U72" s="256"/>
    </row>
    <row r="74" spans="2:21" x14ac:dyDescent="0.2">
      <c r="B74" s="1" t="s">
        <v>1737</v>
      </c>
    </row>
    <row r="75" spans="2:21" ht="16" x14ac:dyDescent="0.2">
      <c r="B75" s="364"/>
      <c r="C75" s="363" t="s">
        <v>4</v>
      </c>
      <c r="D75" s="361" t="s">
        <v>5</v>
      </c>
      <c r="E75" s="385" t="s">
        <v>6</v>
      </c>
      <c r="F75" s="361" t="s">
        <v>7</v>
      </c>
      <c r="G75" s="361" t="s">
        <v>8</v>
      </c>
      <c r="H75" s="361" t="s">
        <v>9</v>
      </c>
      <c r="I75" s="386" t="s">
        <v>10</v>
      </c>
      <c r="J75" s="368" t="s">
        <v>248</v>
      </c>
    </row>
    <row r="76" spans="2:21" x14ac:dyDescent="0.2">
      <c r="B76" s="401" t="s">
        <v>1022</v>
      </c>
      <c r="C76" s="411">
        <f t="shared" ref="C76:J80" si="37">C68/$J12</f>
        <v>0.53559976833583545</v>
      </c>
      <c r="D76" s="412">
        <f t="shared" si="37"/>
        <v>0.22178989519762488</v>
      </c>
      <c r="E76" s="412">
        <f t="shared" si="37"/>
        <v>1.1134731521823905E-2</v>
      </c>
      <c r="F76" s="412">
        <f t="shared" si="37"/>
        <v>5.7997670418880133E-2</v>
      </c>
      <c r="G76" s="412">
        <f t="shared" si="37"/>
        <v>1.8438541969438033E-2</v>
      </c>
      <c r="H76" s="412">
        <f t="shared" si="37"/>
        <v>8.6794282657396346E-2</v>
      </c>
      <c r="I76" s="413">
        <f t="shared" si="37"/>
        <v>1.0476241033911266E-3</v>
      </c>
      <c r="J76" s="413">
        <f t="shared" si="37"/>
        <v>6.8245109899001261E-2</v>
      </c>
    </row>
    <row r="77" spans="2:21" x14ac:dyDescent="0.2">
      <c r="B77" s="365" t="s">
        <v>310</v>
      </c>
      <c r="C77" s="414">
        <f t="shared" si="37"/>
        <v>0.40344579328579167</v>
      </c>
      <c r="D77" s="333">
        <f t="shared" si="37"/>
        <v>0.18333362189931796</v>
      </c>
      <c r="E77" s="333">
        <f t="shared" si="37"/>
        <v>1.9137757510057262E-2</v>
      </c>
      <c r="F77" s="333">
        <f t="shared" si="37"/>
        <v>0.11829093755459572</v>
      </c>
      <c r="G77" s="333">
        <f t="shared" si="37"/>
        <v>2.5267533975130749E-2</v>
      </c>
      <c r="H77" s="333">
        <f t="shared" si="37"/>
        <v>1.1633424189468405E-3</v>
      </c>
      <c r="I77" s="415">
        <f t="shared" si="37"/>
        <v>4.6533696757873619E-3</v>
      </c>
      <c r="J77" s="415">
        <f t="shared" si="37"/>
        <v>0.24936101335615976</v>
      </c>
    </row>
    <row r="78" spans="2:21" x14ac:dyDescent="0.2">
      <c r="B78" s="365" t="s">
        <v>311</v>
      </c>
      <c r="C78" s="414">
        <f t="shared" si="37"/>
        <v>0.12059259167888789</v>
      </c>
      <c r="D78" s="333">
        <f t="shared" si="37"/>
        <v>0.56901109754749091</v>
      </c>
      <c r="E78" s="333">
        <f t="shared" si="37"/>
        <v>3.2359877891023306E-2</v>
      </c>
      <c r="F78" s="333">
        <f t="shared" si="37"/>
        <v>5.8024029091967029E-2</v>
      </c>
      <c r="G78" s="333">
        <f t="shared" si="37"/>
        <v>1.9820063196233296E-2</v>
      </c>
      <c r="H78" s="333">
        <f t="shared" si="37"/>
        <v>5.7956942872586801E-3</v>
      </c>
      <c r="I78" s="333">
        <f t="shared" si="37"/>
        <v>0.16227944004324302</v>
      </c>
      <c r="J78" s="415">
        <f t="shared" si="37"/>
        <v>7.8482760561965292E-2</v>
      </c>
    </row>
    <row r="79" spans="2:21" x14ac:dyDescent="0.2">
      <c r="B79" s="365" t="s">
        <v>320</v>
      </c>
      <c r="C79" s="414">
        <f t="shared" si="37"/>
        <v>0.12870939312767635</v>
      </c>
      <c r="D79" s="333">
        <f t="shared" si="37"/>
        <v>1.9541639980703622E-2</v>
      </c>
      <c r="E79" s="333">
        <f t="shared" si="37"/>
        <v>9.1850242717443825E-2</v>
      </c>
      <c r="F79" s="333">
        <f t="shared" si="37"/>
        <v>1.9541639980703622E-2</v>
      </c>
      <c r="G79" s="333">
        <f t="shared" si="37"/>
        <v>4.9399869824465176E-2</v>
      </c>
      <c r="H79" s="333">
        <f t="shared" si="37"/>
        <v>0.3947973261154003</v>
      </c>
      <c r="I79" s="333">
        <f t="shared" si="37"/>
        <v>3.9083279961407251E-3</v>
      </c>
      <c r="J79" s="415">
        <f t="shared" si="37"/>
        <v>0.32328958189132512</v>
      </c>
      <c r="K79" t="s">
        <v>366</v>
      </c>
      <c r="O79" s="6"/>
      <c r="Q79" s="6"/>
      <c r="T79" s="2"/>
      <c r="U79" s="256"/>
    </row>
    <row r="80" spans="2:21" x14ac:dyDescent="0.2">
      <c r="B80" s="366" t="s">
        <v>248</v>
      </c>
      <c r="C80" s="416">
        <f t="shared" si="37"/>
        <v>0.27152478293850724</v>
      </c>
      <c r="D80" s="417">
        <f t="shared" si="37"/>
        <v>0.33739166064714576</v>
      </c>
      <c r="E80" s="417">
        <f t="shared" si="37"/>
        <v>6.1083152357585872E-2</v>
      </c>
      <c r="F80" s="417">
        <f t="shared" si="37"/>
        <v>0.13365808296797235</v>
      </c>
      <c r="G80" s="417">
        <f t="shared" si="37"/>
        <v>3.9654292102893285E-2</v>
      </c>
      <c r="H80" s="417">
        <f t="shared" si="37"/>
        <v>7.0375068722116872E-3</v>
      </c>
      <c r="I80" s="417">
        <f t="shared" si="37"/>
        <v>2.8150027488846749E-2</v>
      </c>
      <c r="J80" s="419">
        <f t="shared" si="37"/>
        <v>0.14965052211368374</v>
      </c>
      <c r="K80" s="410">
        <f>SUM(C76:J80)-5</f>
        <v>0.11125459719995501</v>
      </c>
      <c r="O80" s="6"/>
      <c r="Q80" s="6"/>
      <c r="T80" s="2"/>
      <c r="U80" s="256"/>
    </row>
    <row r="81" spans="2:14" x14ac:dyDescent="0.2">
      <c r="B81" s="387"/>
      <c r="C81" s="391"/>
    </row>
    <row r="82" spans="2:14" x14ac:dyDescent="0.2">
      <c r="B82" s="1" t="s">
        <v>1738</v>
      </c>
    </row>
    <row r="83" spans="2:14" ht="32" x14ac:dyDescent="0.2">
      <c r="B83" s="364" t="s">
        <v>1726</v>
      </c>
      <c r="C83" s="363" t="s">
        <v>4</v>
      </c>
      <c r="D83" s="361" t="s">
        <v>5</v>
      </c>
      <c r="E83" s="385" t="s">
        <v>6</v>
      </c>
      <c r="F83" s="361" t="s">
        <v>7</v>
      </c>
      <c r="G83" s="361" t="s">
        <v>8</v>
      </c>
      <c r="H83" s="361" t="s">
        <v>9</v>
      </c>
      <c r="I83" s="386" t="s">
        <v>10</v>
      </c>
      <c r="J83" s="368" t="s">
        <v>248</v>
      </c>
      <c r="K83" s="368" t="s">
        <v>378</v>
      </c>
      <c r="L83" s="290" t="s">
        <v>366</v>
      </c>
    </row>
    <row r="84" spans="2:14" x14ac:dyDescent="0.2">
      <c r="B84" s="365" t="s">
        <v>1022</v>
      </c>
      <c r="C84" s="262">
        <f>(SUMPRODUCT($C$57:$I$57,$C39:$I39)/SUMPRODUCT($C$57:$I$57,$C12:$I12))/(SUM($C39:$I39)/SUM($C12:$I12))</f>
        <v>1.072867743833287</v>
      </c>
      <c r="D84" s="262">
        <f>(SUMPRODUCT($C$58:$I$58,$C39:$I39)/SUMPRODUCT($C$58:$I$58,$C12:$I12))/(SUM($C39:$I39)/SUM($C12:$I12))</f>
        <v>0.45087716873167477</v>
      </c>
      <c r="E84" s="262">
        <f>IFERROR((SUMPRODUCT($C$59:$I$59,$C39:$I39)/SUMPRODUCT($C$59:$I$59,$C12:$I12))/(SUM($C39:$I39)/SUM($C12:$I12)),0)</f>
        <v>1.4092948968207217</v>
      </c>
      <c r="F84" s="262">
        <f>IFERROR((SUMPRODUCT($C$60:$I$60,$C39:$I39)/SUMPRODUCT($C$60:$I$60,$C12:$I12))/(SUM($C39:$I39)/SUM($C12:$I12)),0)</f>
        <v>1.1757048244025676E-2</v>
      </c>
      <c r="G84" s="262">
        <f>IFERROR((SUMPRODUCT($C$61:$I$61,$C39:$I39)/SUMPRODUCT($C$61:$I$61,$C12:$I12))/(SUM($C39:$I39)/SUM($C12:$I12)),0)</f>
        <v>1.2682797470271148</v>
      </c>
      <c r="H84" s="262">
        <f>IFERROR((SUMPRODUCT($C$62:$I$62,$C39:$I39)/SUMPRODUCT($C$62:$I$62,$C12:$I12))/(SUM($C39:$I39)/SUM($C12:$I12)),0)</f>
        <v>2.1483028519929506</v>
      </c>
      <c r="I84" s="262">
        <f>IFERROR((SUMPRODUCT($C$63:$I$63,$C39:$I39)/SUMPRODUCT($C$63:$I$63,$C12:$I12))/(SUM($C39:$I39)/SUM($C12:$I12)),0)</f>
        <v>0</v>
      </c>
      <c r="J84" s="262">
        <f>IFERROR((SUMPRODUCT($C$64:$I$64,$C39:$I39)/SUMPRODUCT($C$64:$I$64,$C12:$I12))/(SUM($C39:$I39)/SUM($C12:$I12)),0)</f>
        <v>1.4528901640014253</v>
      </c>
      <c r="K84" s="377">
        <f>J30*(SUMPRODUCT($C$57:$I$57,C12:I12)*C84+SUMPRODUCT($C$58:$I$58,C12:I12)*D84+SUMPRODUCT($C$59:$I$59,C12:I12)*E84+SUMPRODUCT($C$60:$I$60,C12:I12)*F84+SUMPRODUCT($C$64:$I$64,C12:I12)*J84)/J12</f>
        <v>0.11220191992739573</v>
      </c>
      <c r="L84" s="256">
        <f>K84-J30</f>
        <v>-2.9798080072604261E-2</v>
      </c>
    </row>
    <row r="85" spans="2:14" x14ac:dyDescent="0.2">
      <c r="B85" s="365" t="s">
        <v>310</v>
      </c>
      <c r="C85" s="262">
        <f>(SUMPRODUCT($C$57:$I$57,$C40:$I40)/SUMPRODUCT($C$57:$I$57,$C13:$I13))/(SUM($C40:$I40)/SUM($C13:$I13))</f>
        <v>1.2160414039615226</v>
      </c>
      <c r="D85" s="262">
        <f>(SUMPRODUCT($C$58:$I$58,$C40:$I40)/SUMPRODUCT($C$58:$I$58,$C13:$I13))/(SUM($C40:$I40)/SUM($C13:$I13))</f>
        <v>0.36739754083989457</v>
      </c>
      <c r="E85" s="262">
        <f>IFERROR((SUMPRODUCT($C$59:$I$59,$C40:$I40)/SUMPRODUCT($C$59:$I$59,$C13:$I13))/(SUM($C40:$I40)/SUM($C13:$I13)),0)</f>
        <v>0.29641108292007839</v>
      </c>
      <c r="F85" s="262">
        <f>IFERROR((SUMPRODUCT($C$60:$I$60,$C40:$I40)/SUMPRODUCT($C$60:$I$60,$C13:$I13))/(SUM($C40:$I40)/SUM($C13:$I13)),0)</f>
        <v>0.31363815502085107</v>
      </c>
      <c r="G85" s="262">
        <f>IFERROR((SUMPRODUCT($C$61:$I$61,$C40:$I40)/SUMPRODUCT($C$61:$I$61,$C13:$I13))/(SUM($C40:$I40)/SUM($C13:$I13)),0)</f>
        <v>0.30279408114680212</v>
      </c>
      <c r="H85" s="262">
        <f>IFERROR((SUMPRODUCT($C$62:$I$62,$C40:$I40)/SUMPRODUCT($C$62:$I$62,$C13:$I13))/(SUM($C40:$I40)/SUM($C13:$I13)),0)</f>
        <v>0.29641108292007845</v>
      </c>
      <c r="I85" s="262">
        <f>IFERROR((SUMPRODUCT($C$63:$I$63,$C40:$I40)/SUMPRODUCT($C$63:$I$63,$C13:$I13))/(SUM($C40:$I40)/SUM($C13:$I13)),0)</f>
        <v>0.29641108292007845</v>
      </c>
      <c r="J85" s="262">
        <f>IFERROR((SUMPRODUCT($C$64:$I$64,$C40:$I40)/SUMPRODUCT($C$64:$I$64,$C13:$I13))/(SUM($C40:$I40)/SUM($C13:$I13)),0)</f>
        <v>1.5690825195471554</v>
      </c>
      <c r="K85" s="377">
        <f>J31*(SUMPRODUCT($C$57:$I$57,C13:I13)*C85+SUMPRODUCT($C$58:$I$58,C13:I13)*D85+SUMPRODUCT($C$59:$I$59,C13:I13)*E85+SUMPRODUCT($C$60:$I$60,C13:I13)*F85+SUMPRODUCT($C$64:$I$64,C13:I13)*J85)/J13</f>
        <v>1.5872069002895169E-2</v>
      </c>
      <c r="L85" s="256">
        <f>K85-J31</f>
        <v>-1.2793099710483105E-4</v>
      </c>
    </row>
    <row r="86" spans="2:14" x14ac:dyDescent="0.2">
      <c r="B86" s="365" t="s">
        <v>311</v>
      </c>
      <c r="C86" s="262">
        <f>(SUMPRODUCT($C$57:$I$57,$C41:$I41)/SUMPRODUCT($C$57:$I$57,$C14:$I14))/(SUM($C41:$I41)/SUM($C14:$I14))</f>
        <v>1.2189286506738257</v>
      </c>
      <c r="D86" s="262">
        <f>(SUMPRODUCT($C$58:$I$58,$C41:$I41)/SUMPRODUCT($C$58:$I$58,$C14:$I14))/(SUM($C41:$I41)/SUM($C14:$I14))</f>
        <v>1.1625854455231439</v>
      </c>
      <c r="E86" s="262">
        <f>IFERROR((SUMPRODUCT($C$59:$I$59,$C41:$I41)/SUMPRODUCT($C$59:$I$59,$C14:$I14))/(SUM($C41:$I41)/SUM($C14:$I14)),0)</f>
        <v>0.57160689689087107</v>
      </c>
      <c r="F86" s="262">
        <f>IFERROR((SUMPRODUCT($C$60:$I$60,$C41:$I41)/SUMPRODUCT($C$60:$I$60,$C14:$I14))/(SUM($C41:$I41)/SUM($C14:$I14)),0)</f>
        <v>0.96361602984742023</v>
      </c>
      <c r="G86" s="262">
        <f>IFERROR((SUMPRODUCT($C$61:$I$61,$C41:$I41)/SUMPRODUCT($C$61:$I$61,$C14:$I14))/(SUM($C41:$I41)/SUM($C14:$I14)),0)</f>
        <v>0.41919739651634552</v>
      </c>
      <c r="H86" s="262">
        <f>IFERROR((SUMPRODUCT($C$62:$I$62,$C41:$I41)/SUMPRODUCT($C$62:$I$62,$C14:$I14))/(SUM($C41:$I41)/SUM($C14:$I14)),0)</f>
        <v>0.64703205761629667</v>
      </c>
      <c r="I86" s="262">
        <f>IFERROR((SUMPRODUCT($C$63:$I$63,$C41:$I41)/SUMPRODUCT($C$63:$I$63,$C14:$I14))/(SUM($C41:$I41)/SUM($C14:$I14)),0)</f>
        <v>0.64703205761629667</v>
      </c>
      <c r="J86" s="262">
        <f>IFERROR((SUMPRODUCT($C$64:$I$64,$C41:$I41)/SUMPRODUCT($C$64:$I$64,$C14:$I14))/(SUM($C41:$I41)/SUM($C14:$I14)),0)</f>
        <v>0.39490932148415553</v>
      </c>
      <c r="K86" s="377">
        <f>J32*(SUMPRODUCT($C$57:$I$57,C14:I14)*C86+SUMPRODUCT($C$58:$I$58,C14:I14)*D86+SUMPRODUCT($C$59:$I$59,C14:I14)*E86+SUMPRODUCT($C$60:$I$60,C14:I14)*F86+SUMPRODUCT($C$64:$I$64,C14:I14)*J86)/J14</f>
        <v>2.454404852882815E-2</v>
      </c>
      <c r="L86" s="256">
        <f>K86-J32</f>
        <v>-4.5595147117185111E-4</v>
      </c>
    </row>
    <row r="87" spans="2:14" x14ac:dyDescent="0.2">
      <c r="B87" s="365" t="s">
        <v>320</v>
      </c>
      <c r="C87" s="262">
        <f>(SUMPRODUCT($C$57:$I$57,$C42:$I42)/SUMPRODUCT($C$57:$I$57,$C15:$I15))/(SUM($C42:$I42)/SUM($C15:$I15))</f>
        <v>0.99999999999999978</v>
      </c>
      <c r="D87" s="262">
        <f>(SUMPRODUCT($C$58:$I$58,$C42:$I42)/SUMPRODUCT($C$58:$I$58,$C15:$I15))/(SUM($C42:$I42)/SUM($C15:$I15))</f>
        <v>1</v>
      </c>
      <c r="E87" s="262">
        <f>IFERROR((SUMPRODUCT($C$59:$I$59,$C42:$I42)/SUMPRODUCT($C$59:$I$59,$C15:$I15))/(SUM($C42:$I42)/SUM($C15:$I15)),0)</f>
        <v>0.99999999999999978</v>
      </c>
      <c r="F87" s="262">
        <f>IFERROR((SUMPRODUCT($C$60:$I$60,$C42:$I42)/SUMPRODUCT($C$60:$I$60,$C15:$I15))/(SUM($C42:$I42)/SUM($C15:$I15)),0)</f>
        <v>1</v>
      </c>
      <c r="G87" s="262">
        <f>IFERROR((SUMPRODUCT($C$61:$I$61,$C42:$I42)/SUMPRODUCT($C$61:$I$61,$C15:$I15))/(SUM($C42:$I42)/SUM($C15:$I15)),0)</f>
        <v>0.99999999999999978</v>
      </c>
      <c r="H87" s="262">
        <f>IFERROR((SUMPRODUCT($C$62:$I$62,$C42:$I42)/SUMPRODUCT($C$62:$I$62,$C15:$I15))/(SUM($C42:$I42)/SUM($C15:$I15)),0)</f>
        <v>1</v>
      </c>
      <c r="I87" s="262">
        <f>IFERROR((SUMPRODUCT($C$63:$I$63,$C42:$I42)/SUMPRODUCT($C$63:$I$63,$C15:$I15))/(SUM($C42:$I42)/SUM($C15:$I15)),0)</f>
        <v>1</v>
      </c>
      <c r="J87" s="262">
        <f>IFERROR((SUMPRODUCT($C$64:$I$64,$C42:$I42)/SUMPRODUCT($C$64:$I$64,$C15:$I15))/(SUM($C42:$I42)/SUM($C15:$I15)),0)</f>
        <v>0.99999999999999978</v>
      </c>
      <c r="K87" s="377">
        <f>J33*(SUMPRODUCT($C$57:$I$57,C15:I15)*C87+SUMPRODUCT($C$58:$I$58,C15:I15)*D87+SUMPRODUCT($C$59:$I$59,C15:I15)*E87+SUMPRODUCT($C$60:$I$60,C15:I15)*F87+SUMPRODUCT($C$64:$I$64,C15:I15)*J87)/J15</f>
        <v>6.9713951330326027E-2</v>
      </c>
      <c r="L87" s="256">
        <f>K87-J33</f>
        <v>-6.0286048669673978E-2</v>
      </c>
    </row>
    <row r="88" spans="2:14" x14ac:dyDescent="0.2">
      <c r="B88" s="365" t="s">
        <v>248</v>
      </c>
      <c r="C88" s="262">
        <f>(SUMPRODUCT($C$57:$I$57,$C43:$I43)/SUMPRODUCT($C$57:$I$57,$C16:$I16))/(SUM($C43:$I43)/SUM($C16:$I16))</f>
        <v>1.0000000000000002</v>
      </c>
      <c r="D88" s="262">
        <f>(SUMPRODUCT($C$58:$I$58,$C43:$I43)/SUMPRODUCT($C$58:$I$58,$C16:$I16))/(SUM($C43:$I43)/SUM($C16:$I16))</f>
        <v>1.0000000000000002</v>
      </c>
      <c r="E88" s="262">
        <f>IFERROR((SUMPRODUCT($C$59:$I$59,$C43:$I43)/SUMPRODUCT($C$59:$I$59,$C16:$I16))/(SUM($C43:$I43)/SUM($C16:$I16)),0)</f>
        <v>1.0000000000000004</v>
      </c>
      <c r="F88" s="262">
        <f>IFERROR((SUMPRODUCT($C$60:$I$60,$C43:$I43)/SUMPRODUCT($C$60:$I$60,$C16:$I16))/(SUM($C43:$I43)/SUM($C16:$I16)),0)</f>
        <v>1.0000000000000004</v>
      </c>
      <c r="G88" s="262">
        <f>IFERROR((SUMPRODUCT($C$61:$I$61,$C43:$I43)/SUMPRODUCT($C$61:$I$61,$C16:$I16))/(SUM($C43:$I43)/SUM($C16:$I16)),0)</f>
        <v>1.0000000000000004</v>
      </c>
      <c r="H88" s="262">
        <f>IFERROR((SUMPRODUCT($C$62:$I$62,$C43:$I43)/SUMPRODUCT($C$62:$I$62,$C16:$I16))/(SUM($C43:$I43)/SUM($C16:$I16)),0)</f>
        <v>1.0000000000000002</v>
      </c>
      <c r="I88" s="262">
        <f>IFERROR((SUMPRODUCT($C$63:$I$63,$C43:$I43)/SUMPRODUCT($C$63:$I$63,$C16:$I16))/(SUM($C43:$I43)/SUM($C16:$I16)),0)</f>
        <v>1.0000000000000002</v>
      </c>
      <c r="J88" s="262">
        <f>IFERROR((SUMPRODUCT($C$64:$I$64,$C43:$I43)/SUMPRODUCT($C$64:$I$64,$C16:$I16))/(SUM($C43:$I43)/SUM($C16:$I16)),0)</f>
        <v>1.0000000000000002</v>
      </c>
      <c r="K88" s="377">
        <f>J34*(SUMPRODUCT($C$57:$I$57,C16:I16)*C88+SUMPRODUCT($C$58:$I$58,C16:I16)*D88+SUMPRODUCT($C$59:$I$59,C16:I16)*E88+SUMPRODUCT($C$60:$I$60,C16:I16)*F88+SUMPRODUCT($C$64:$I$64,C16:I16)*J88)/J16</f>
        <v>3.7882646958767564E-2</v>
      </c>
      <c r="L88" s="256">
        <f>K88-J34</f>
        <v>-1.8554429035038261E-3</v>
      </c>
    </row>
    <row r="89" spans="2:14" x14ac:dyDescent="0.2">
      <c r="B89" s="364"/>
      <c r="C89" s="399"/>
      <c r="D89" s="369"/>
      <c r="E89" s="369"/>
      <c r="F89" s="369"/>
      <c r="G89" s="369"/>
      <c r="H89" s="369"/>
      <c r="I89" s="369"/>
      <c r="J89" s="400"/>
      <c r="K89" s="370"/>
    </row>
    <row r="91" spans="2:14" x14ac:dyDescent="0.2">
      <c r="B91" s="1" t="s">
        <v>1739</v>
      </c>
    </row>
    <row r="92" spans="2:14" ht="16" x14ac:dyDescent="0.2">
      <c r="B92" s="364" t="s">
        <v>1726</v>
      </c>
      <c r="C92" s="363" t="s">
        <v>4</v>
      </c>
      <c r="D92" s="361" t="s">
        <v>5</v>
      </c>
      <c r="E92" s="385" t="s">
        <v>6</v>
      </c>
      <c r="F92" s="361" t="s">
        <v>7</v>
      </c>
      <c r="G92" s="361" t="s">
        <v>8</v>
      </c>
      <c r="H92" s="361" t="s">
        <v>9</v>
      </c>
      <c r="I92" s="386" t="s">
        <v>10</v>
      </c>
      <c r="J92" s="368" t="s">
        <v>248</v>
      </c>
      <c r="K92" s="368"/>
      <c r="L92" s="290"/>
    </row>
    <row r="93" spans="2:14" x14ac:dyDescent="0.2">
      <c r="B93" s="365" t="s">
        <v>1022</v>
      </c>
      <c r="C93" s="262" cm="1">
        <f t="array" ref="C93">_xlfn.IFS(C84=0,$N$93,C84&lt;=0.5,$N$94,AND(C84&lt;=0.9,C84&gt;0.5),$N$95,AND(C84&lt;=1.1,C84&gt;0.9),$N$96,C84&gt;1.1,$N$97)</f>
        <v>1</v>
      </c>
      <c r="D93" s="262" cm="1">
        <f t="array" ref="D93">_xlfn.IFS(D84=0,$N$93,D84&lt;=0.5,$N$94,AND(D84&lt;=0.9,D84&gt;0.5),$N$95,AND(D84&lt;=1.1,D84&gt;0.9),$N$96,D84&gt;1.1,$N$97)</f>
        <v>0.8</v>
      </c>
      <c r="E93" s="262" cm="1">
        <f t="array" ref="E93">_xlfn.IFS(E84=0,$N$93,E84&lt;=0.5,$N$94,AND(E84&lt;=0.9,E84&gt;0.5),$N$95,AND(E84&lt;=1.1,E84&gt;0.9),$N$96,E84&gt;1.1,$N$97)</f>
        <v>1.1000000000000001</v>
      </c>
      <c r="F93" s="262" cm="1">
        <f t="array" ref="F93">_xlfn.IFS(F84=0,$N$93,F84&lt;=0.5,$N$94,AND(F84&lt;=0.9,F84&gt;0.5),$N$95,AND(F84&lt;=1.1,F84&gt;0.9),$N$96,F84&gt;1.1,$N$97)</f>
        <v>0.8</v>
      </c>
      <c r="G93" s="262" cm="1">
        <f t="array" ref="G93">_xlfn.IFS(G84=0,$N$93,G84&lt;=0.5,$N$94,AND(G84&lt;=0.9,G84&gt;0.5),$N$95,AND(G84&lt;=1.1,G84&gt;0.9),$N$96,G84&gt;1.1,$N$97)</f>
        <v>1.1000000000000001</v>
      </c>
      <c r="H93" s="262" cm="1">
        <f t="array" ref="H93">_xlfn.IFS(H84=0,$N$93,H84&lt;=0.5,$N$94,AND(H84&lt;=0.9,H84&gt;0.5),$N$95,AND(H84&lt;=1.1,H84&gt;0.9),$N$96,H84&gt;1.1,$N$97)</f>
        <v>1.1000000000000001</v>
      </c>
      <c r="I93" s="262" cm="1">
        <f t="array" ref="I93">_xlfn.IFS(I84=0,$N$93,I84&lt;=0.5,$N$94,AND(I84&lt;=0.9,I84&gt;0.5),$N$95,AND(I84&lt;=1.1,I84&gt;0.9),$N$96,I84&gt;1.1,$N$97)</f>
        <v>0</v>
      </c>
      <c r="J93" s="262" cm="1">
        <f t="array" ref="J93">_xlfn.IFS(J84=0,$N$93,J84&lt;=0.5,$N$94,AND(J84&lt;=0.9,J84&gt;0.5),$N$95,AND(J84&lt;=1.1,J84&gt;0.9),$N$96,J84&gt;1.1,$N$97)</f>
        <v>1.1000000000000001</v>
      </c>
      <c r="K93" s="377"/>
      <c r="L93" s="256"/>
      <c r="M93" t="s">
        <v>1740</v>
      </c>
      <c r="N93">
        <v>0</v>
      </c>
    </row>
    <row r="94" spans="2:14" x14ac:dyDescent="0.2">
      <c r="B94" s="365" t="s">
        <v>310</v>
      </c>
      <c r="C94" s="262" cm="1">
        <f t="array" ref="C94">_xlfn.IFS(C85=0,$N$93,C85&lt;=0.5,$N$94,AND(C85&lt;=0.9,C85&gt;0.5),$N$95,AND(C85&lt;=1.1,C85&gt;0.9),$N$96,C85&gt;1.1,$N$97)</f>
        <v>1.1000000000000001</v>
      </c>
      <c r="D94" s="262" cm="1">
        <f t="array" ref="D94">_xlfn.IFS(D85=0,$N$93,D85&lt;=0.5,$N$94,AND(D85&lt;=0.9,D85&gt;0.5),$N$95,AND(D85&lt;=1.1,D85&gt;0.9),$N$96,D85&gt;1.1,$N$97)</f>
        <v>0.8</v>
      </c>
      <c r="E94" s="262" cm="1">
        <f t="array" ref="E94">_xlfn.IFS(E85=0,$N$93,E85&lt;=0.5,$N$94,AND(E85&lt;=0.9,E85&gt;0.5),$N$95,AND(E85&lt;=1.1,E85&gt;0.9),$N$96,E85&gt;1.1,$N$97)</f>
        <v>0.8</v>
      </c>
      <c r="F94" s="262" cm="1">
        <f t="array" ref="F94">_xlfn.IFS(F85=0,$N$93,F85&lt;=0.5,$N$94,AND(F85&lt;=0.9,F85&gt;0.5),$N$95,AND(F85&lt;=1.1,F85&gt;0.9),$N$96,F85&gt;1.1,$N$97)</f>
        <v>0.8</v>
      </c>
      <c r="G94" s="262" cm="1">
        <f t="array" ref="G94">_xlfn.IFS(G85=0,$N$93,G85&lt;=0.5,$N$94,AND(G85&lt;=0.9,G85&gt;0.5),$N$95,AND(G85&lt;=1.1,G85&gt;0.9),$N$96,G85&gt;1.1,$N$97)</f>
        <v>0.8</v>
      </c>
      <c r="H94" s="262" cm="1">
        <f t="array" ref="H94">_xlfn.IFS(H85=0,$N$93,H85&lt;=0.5,$N$94,AND(H85&lt;=0.9,H85&gt;0.5),$N$95,AND(H85&lt;=1.1,H85&gt;0.9),$N$96,H85&gt;1.1,$N$97)</f>
        <v>0.8</v>
      </c>
      <c r="I94" s="262" cm="1">
        <f t="array" ref="I94">_xlfn.IFS(I85=0,$N$93,I85&lt;=0.5,$N$94,AND(I85&lt;=0.9,I85&gt;0.5),$N$95,AND(I85&lt;=1.1,I85&gt;0.9),$N$96,I85&gt;1.1,$N$97)</f>
        <v>0.8</v>
      </c>
      <c r="J94" s="262" cm="1">
        <f t="array" ref="J94">_xlfn.IFS(J85=0,$N$93,J85&lt;=0.5,$N$94,AND(J85&lt;=0.9,J85&gt;0.5),$N$95,AND(J85&lt;=1.1,J85&gt;0.9),$N$96,J85&gt;1.1,$N$97)</f>
        <v>1.1000000000000001</v>
      </c>
      <c r="K94" s="377"/>
      <c r="L94" s="256"/>
      <c r="M94" t="s">
        <v>1741</v>
      </c>
      <c r="N94">
        <v>0.8</v>
      </c>
    </row>
    <row r="95" spans="2:14" x14ac:dyDescent="0.2">
      <c r="B95" s="365" t="s">
        <v>311</v>
      </c>
      <c r="C95" s="262" cm="1">
        <f t="array" ref="C95">_xlfn.IFS(C86=0,$N$93,C86&lt;=0.5,$N$94,AND(C86&lt;=0.9,C86&gt;0.5),$N$95,AND(C86&lt;=1.1,C86&gt;0.9),$N$96,C86&gt;1.1,$N$97)</f>
        <v>1.1000000000000001</v>
      </c>
      <c r="D95" s="262" cm="1">
        <f t="array" ref="D95">_xlfn.IFS(D86=0,$N$93,D86&lt;=0.5,$N$94,AND(D86&lt;=0.9,D86&gt;0.5),$N$95,AND(D86&lt;=1.1,D86&gt;0.9),$N$96,D86&gt;1.1,$N$97)</f>
        <v>1.1000000000000001</v>
      </c>
      <c r="E95" s="262" cm="1">
        <f t="array" ref="E95">_xlfn.IFS(E86=0,$N$93,E86&lt;=0.5,$N$94,AND(E86&lt;=0.9,E86&gt;0.5),$N$95,AND(E86&lt;=1.1,E86&gt;0.9),$N$96,E86&gt;1.1,$N$97)</f>
        <v>0.9</v>
      </c>
      <c r="F95" s="262" cm="1">
        <f t="array" ref="F95">_xlfn.IFS(F86=0,$N$93,F86&lt;=0.5,$N$94,AND(F86&lt;=0.9,F86&gt;0.5),$N$95,AND(F86&lt;=1.1,F86&gt;0.9),$N$96,F86&gt;1.1,$N$97)</f>
        <v>1</v>
      </c>
      <c r="G95" s="262" cm="1">
        <f t="array" ref="G95">_xlfn.IFS(G86=0,$N$93,G86&lt;=0.5,$N$94,AND(G86&lt;=0.9,G86&gt;0.5),$N$95,AND(G86&lt;=1.1,G86&gt;0.9),$N$96,G86&gt;1.1,$N$97)</f>
        <v>0.8</v>
      </c>
      <c r="H95" s="262" cm="1">
        <f t="array" ref="H95">_xlfn.IFS(H86=0,$N$93,H86&lt;=0.5,$N$94,AND(H86&lt;=0.9,H86&gt;0.5),$N$95,AND(H86&lt;=1.1,H86&gt;0.9),$N$96,H86&gt;1.1,$N$97)</f>
        <v>0.9</v>
      </c>
      <c r="I95" s="262" cm="1">
        <f t="array" ref="I95">_xlfn.IFS(I86=0,$N$93,I86&lt;=0.5,$N$94,AND(I86&lt;=0.9,I86&gt;0.5),$N$95,AND(I86&lt;=1.1,I86&gt;0.9),$N$96,I86&gt;1.1,$N$97)</f>
        <v>0.9</v>
      </c>
      <c r="J95" s="262" cm="1">
        <f t="array" ref="J95">_xlfn.IFS(J86=0,$N$93,J86&lt;=0.5,$N$94,AND(J86&lt;=0.9,J86&gt;0.5),$N$95,AND(J86&lt;=1.1,J86&gt;0.9),$N$96,J86&gt;1.1,$N$97)</f>
        <v>0.8</v>
      </c>
      <c r="K95" s="377"/>
      <c r="L95" s="256"/>
      <c r="M95" t="s">
        <v>1742</v>
      </c>
      <c r="N95">
        <v>0.9</v>
      </c>
    </row>
    <row r="96" spans="2:14" x14ac:dyDescent="0.2">
      <c r="B96" s="365" t="s">
        <v>320</v>
      </c>
      <c r="C96" s="262" cm="1">
        <f t="array" ref="C96">_xlfn.IFS(C87=0,$N$93,C87&lt;=0.5,$N$94,AND(C87&lt;=0.9,C87&gt;0.5),$N$95,AND(C87&lt;=1.1,C87&gt;0.9),$N$96,C87&gt;1.1,$N$97)</f>
        <v>1</v>
      </c>
      <c r="D96" s="262" cm="1">
        <f t="array" ref="D96">_xlfn.IFS(D87=0,$N$93,D87&lt;=0.5,$N$94,AND(D87&lt;=0.9,D87&gt;0.5),$N$95,AND(D87&lt;=1.1,D87&gt;0.9),$N$96,D87&gt;1.1,$N$97)</f>
        <v>1</v>
      </c>
      <c r="E96" s="262" cm="1">
        <f t="array" ref="E96">_xlfn.IFS(E87=0,$N$93,E87&lt;=0.5,$N$94,AND(E87&lt;=0.9,E87&gt;0.5),$N$95,AND(E87&lt;=1.1,E87&gt;0.9),$N$96,E87&gt;1.1,$N$97)</f>
        <v>1</v>
      </c>
      <c r="F96" s="262" cm="1">
        <f t="array" ref="F96">_xlfn.IFS(F87=0,$N$93,F87&lt;=0.5,$N$94,AND(F87&lt;=0.9,F87&gt;0.5),$N$95,AND(F87&lt;=1.1,F87&gt;0.9),$N$96,F87&gt;1.1,$N$97)</f>
        <v>1</v>
      </c>
      <c r="G96" s="262" cm="1">
        <f t="array" ref="G96">_xlfn.IFS(G87=0,$N$93,G87&lt;=0.5,$N$94,AND(G87&lt;=0.9,G87&gt;0.5),$N$95,AND(G87&lt;=1.1,G87&gt;0.9),$N$96,G87&gt;1.1,$N$97)</f>
        <v>1</v>
      </c>
      <c r="H96" s="262" cm="1">
        <f t="array" ref="H96">_xlfn.IFS(H87=0,$N$93,H87&lt;=0.5,$N$94,AND(H87&lt;=0.9,H87&gt;0.5),$N$95,AND(H87&lt;=1.1,H87&gt;0.9),$N$96,H87&gt;1.1,$N$97)</f>
        <v>1</v>
      </c>
      <c r="I96" s="262" cm="1">
        <f t="array" ref="I96">_xlfn.IFS(I87=0,$N$93,I87&lt;=0.5,$N$94,AND(I87&lt;=0.9,I87&gt;0.5),$N$95,AND(I87&lt;=1.1,I87&gt;0.9),$N$96,I87&gt;1.1,$N$97)</f>
        <v>1</v>
      </c>
      <c r="J96" s="262" cm="1">
        <f t="array" ref="J96">_xlfn.IFS(J87=0,$N$93,J87&lt;=0.5,$N$94,AND(J87&lt;=0.9,J87&gt;0.5),$N$95,AND(J87&lt;=1.1,J87&gt;0.9),$N$96,J87&gt;1.1,$N$97)</f>
        <v>1</v>
      </c>
      <c r="K96" s="377"/>
      <c r="L96" s="256"/>
      <c r="M96" t="s">
        <v>1743</v>
      </c>
      <c r="N96">
        <v>1</v>
      </c>
    </row>
    <row r="97" spans="2:14" x14ac:dyDescent="0.2">
      <c r="B97" s="365" t="s">
        <v>248</v>
      </c>
      <c r="C97" s="262" cm="1">
        <f t="array" ref="C97">_xlfn.IFS(C88=0,$N$93,C88&lt;=0.5,$N$94,AND(C88&lt;=0.9,C88&gt;0.5),$N$95,AND(C88&lt;=1.1,C88&gt;0.9),$N$96,C88&gt;1.1,$N$97)</f>
        <v>1</v>
      </c>
      <c r="D97" s="262" cm="1">
        <f t="array" ref="D97">_xlfn.IFS(D88=0,$N$93,D88&lt;=0.5,$N$94,AND(D88&lt;=0.9,D88&gt;0.5),$N$95,AND(D88&lt;=1.1,D88&gt;0.9),$N$96,D88&gt;1.1,$N$97)</f>
        <v>1</v>
      </c>
      <c r="E97" s="262" cm="1">
        <f t="array" ref="E97">_xlfn.IFS(E88=0,$N$93,E88&lt;=0.5,$N$94,AND(E88&lt;=0.9,E88&gt;0.5),$N$95,AND(E88&lt;=1.1,E88&gt;0.9),$N$96,E88&gt;1.1,$N$97)</f>
        <v>1</v>
      </c>
      <c r="F97" s="262" cm="1">
        <f t="array" ref="F97">_xlfn.IFS(F88=0,$N$93,F88&lt;=0.5,$N$94,AND(F88&lt;=0.9,F88&gt;0.5),$N$95,AND(F88&lt;=1.1,F88&gt;0.9),$N$96,F88&gt;1.1,$N$97)</f>
        <v>1</v>
      </c>
      <c r="G97" s="262" cm="1">
        <f t="array" ref="G97">_xlfn.IFS(G88=0,$N$93,G88&lt;=0.5,$N$94,AND(G88&lt;=0.9,G88&gt;0.5),$N$95,AND(G88&lt;=1.1,G88&gt;0.9),$N$96,G88&gt;1.1,$N$97)</f>
        <v>1</v>
      </c>
      <c r="H97" s="262" cm="1">
        <f t="array" ref="H97">_xlfn.IFS(H88=0,$N$93,H88&lt;=0.5,$N$94,AND(H88&lt;=0.9,H88&gt;0.5),$N$95,AND(H88&lt;=1.1,H88&gt;0.9),$N$96,H88&gt;1.1,$N$97)</f>
        <v>1</v>
      </c>
      <c r="I97" s="262" cm="1">
        <f t="array" ref="I97">_xlfn.IFS(I88=0,$N$93,I88&lt;=0.5,$N$94,AND(I88&lt;=0.9,I88&gt;0.5),$N$95,AND(I88&lt;=1.1,I88&gt;0.9),$N$96,I88&gt;1.1,$N$97)</f>
        <v>1</v>
      </c>
      <c r="J97" s="262" cm="1">
        <f t="array" ref="J97">_xlfn.IFS(J88=0,$N$93,J88&lt;=0.5,$N$94,AND(J88&lt;=0.9,J88&gt;0.5),$N$95,AND(J88&lt;=1.1,J88&gt;0.9),$N$96,J88&gt;1.1,$N$97)</f>
        <v>1</v>
      </c>
      <c r="K97" s="377"/>
      <c r="L97" s="256"/>
      <c r="M97" t="s">
        <v>1744</v>
      </c>
      <c r="N97">
        <v>1.1000000000000001</v>
      </c>
    </row>
    <row r="98" spans="2:14" x14ac:dyDescent="0.2">
      <c r="B98" s="364"/>
      <c r="C98" s="399"/>
      <c r="D98" s="369"/>
      <c r="E98" s="369"/>
      <c r="F98" s="369"/>
      <c r="G98" s="369"/>
      <c r="H98" s="369"/>
      <c r="I98" s="369"/>
      <c r="J98" s="400"/>
      <c r="K98" s="370"/>
    </row>
    <row r="100" spans="2:14" x14ac:dyDescent="0.2">
      <c r="B100" s="1" t="s">
        <v>1745</v>
      </c>
    </row>
    <row r="101" spans="2:14" ht="16" x14ac:dyDescent="0.2">
      <c r="B101" s="364" t="s">
        <v>378</v>
      </c>
      <c r="C101" s="363" t="s">
        <v>4</v>
      </c>
      <c r="D101" s="361" t="s">
        <v>5</v>
      </c>
      <c r="E101" s="385" t="s">
        <v>6</v>
      </c>
      <c r="F101" s="361" t="s">
        <v>7</v>
      </c>
      <c r="G101" s="361" t="s">
        <v>8</v>
      </c>
      <c r="H101" s="361" t="s">
        <v>9</v>
      </c>
      <c r="I101" s="386" t="s">
        <v>10</v>
      </c>
      <c r="J101" s="368" t="s">
        <v>248</v>
      </c>
      <c r="K101" s="368" t="s">
        <v>67</v>
      </c>
    </row>
    <row r="102" spans="2:14" x14ac:dyDescent="0.2">
      <c r="B102" s="365" t="s">
        <v>1022</v>
      </c>
      <c r="C102" s="110"/>
      <c r="D102" s="110"/>
      <c r="E102" s="110"/>
      <c r="F102" s="110"/>
      <c r="G102" s="110"/>
      <c r="H102" s="110"/>
      <c r="I102" s="110"/>
      <c r="J102" s="110"/>
      <c r="K102" s="380">
        <f>'Ethylene Recycling HC'!AG55</f>
        <v>0.5732262658227848</v>
      </c>
    </row>
    <row r="103" spans="2:14" x14ac:dyDescent="0.2">
      <c r="B103" s="365" t="s">
        <v>310</v>
      </c>
      <c r="C103" s="110"/>
      <c r="D103" s="110"/>
      <c r="E103" s="110"/>
      <c r="F103" s="110"/>
      <c r="G103" s="110"/>
      <c r="H103" s="110"/>
      <c r="I103" s="110"/>
      <c r="J103" s="110"/>
      <c r="K103" s="380">
        <f>'Ethylene Recycling HC'!AG196</f>
        <v>0.5</v>
      </c>
    </row>
    <row r="104" spans="2:14" x14ac:dyDescent="0.2">
      <c r="B104" s="365" t="s">
        <v>311</v>
      </c>
      <c r="C104" s="110"/>
      <c r="D104" s="110"/>
      <c r="E104" s="110"/>
      <c r="F104" s="110"/>
      <c r="G104" s="110"/>
      <c r="H104" s="110"/>
      <c r="I104" s="110"/>
      <c r="J104" s="110"/>
      <c r="K104" s="380">
        <f>'Ethylene Recycling HC'!AG107</f>
        <v>0.44</v>
      </c>
    </row>
    <row r="105" spans="2:14" x14ac:dyDescent="0.2">
      <c r="B105" s="365" t="s">
        <v>320</v>
      </c>
      <c r="C105" s="110"/>
      <c r="D105" s="110"/>
      <c r="E105" s="110"/>
      <c r="F105" s="110"/>
      <c r="G105" s="110"/>
      <c r="H105" s="110"/>
      <c r="I105" s="110"/>
      <c r="J105" s="110"/>
      <c r="K105" s="380">
        <f>'Ethylene Recycling HC'!AG156</f>
        <v>0.5</v>
      </c>
    </row>
    <row r="106" spans="2:14" x14ac:dyDescent="0.2">
      <c r="B106" s="365" t="s">
        <v>248</v>
      </c>
      <c r="C106" s="110"/>
      <c r="D106" s="110"/>
      <c r="E106" s="110"/>
      <c r="F106" s="110"/>
      <c r="G106" s="110"/>
      <c r="H106" s="110"/>
      <c r="I106" s="110"/>
      <c r="J106" s="110"/>
      <c r="K106" s="380">
        <f>'Ethylene Recycling HC'!AG209</f>
        <v>0.2</v>
      </c>
    </row>
    <row r="107" spans="2:14" x14ac:dyDescent="0.2">
      <c r="B107" s="364" t="s">
        <v>67</v>
      </c>
      <c r="C107" s="379"/>
      <c r="D107" s="379"/>
      <c r="E107" s="379"/>
      <c r="F107" s="379"/>
      <c r="G107" s="379"/>
      <c r="H107" s="379"/>
      <c r="I107" s="379"/>
      <c r="J107" s="378"/>
    </row>
    <row r="109" spans="2:14" x14ac:dyDescent="0.2">
      <c r="B109" s="1"/>
    </row>
    <row r="110" spans="2:14" x14ac:dyDescent="0.2">
      <c r="B110" s="1"/>
      <c r="C110" s="289"/>
      <c r="D110" s="290"/>
      <c r="E110" s="291"/>
      <c r="F110" s="290"/>
      <c r="G110" s="290"/>
      <c r="H110" s="290"/>
      <c r="I110" s="292"/>
      <c r="J110" s="290"/>
      <c r="K110" s="290"/>
    </row>
    <row r="111" spans="2:14" x14ac:dyDescent="0.2">
      <c r="B111" s="1"/>
      <c r="C111" s="317"/>
      <c r="D111" s="317"/>
      <c r="E111" s="317"/>
      <c r="F111" s="317"/>
      <c r="G111" s="317"/>
      <c r="H111" s="317"/>
      <c r="I111" s="317"/>
      <c r="J111" s="317"/>
      <c r="K111" s="316"/>
    </row>
    <row r="112" spans="2:14" x14ac:dyDescent="0.2">
      <c r="B112" s="1"/>
      <c r="C112" s="317"/>
      <c r="D112" s="317"/>
      <c r="E112" s="317"/>
      <c r="F112" s="317"/>
      <c r="G112" s="317"/>
      <c r="H112" s="317"/>
      <c r="I112" s="317"/>
      <c r="J112" s="317"/>
      <c r="K112" s="316"/>
    </row>
    <row r="113" spans="2:11" x14ac:dyDescent="0.2">
      <c r="B113" s="1"/>
      <c r="C113" s="317"/>
      <c r="D113" s="317"/>
      <c r="E113" s="317"/>
      <c r="F113" s="317"/>
      <c r="G113" s="317"/>
      <c r="H113" s="317"/>
      <c r="I113" s="317"/>
      <c r="J113" s="317"/>
      <c r="K113" s="316"/>
    </row>
    <row r="114" spans="2:11" x14ac:dyDescent="0.2">
      <c r="B114" s="1"/>
      <c r="C114" s="317"/>
      <c r="D114" s="317"/>
      <c r="E114" s="317"/>
      <c r="F114" s="317"/>
      <c r="G114" s="317"/>
      <c r="H114" s="317"/>
      <c r="I114" s="317"/>
      <c r="J114" s="317"/>
      <c r="K114" s="316"/>
    </row>
    <row r="115" spans="2:11" x14ac:dyDescent="0.2">
      <c r="B115" s="1"/>
      <c r="C115" s="317"/>
      <c r="D115" s="317"/>
      <c r="E115" s="317"/>
      <c r="F115" s="317"/>
      <c r="G115" s="317"/>
      <c r="H115" s="317"/>
      <c r="I115" s="317"/>
      <c r="J115" s="317"/>
      <c r="K115" s="316"/>
    </row>
    <row r="116" spans="2:11" x14ac:dyDescent="0.2">
      <c r="B116" s="1"/>
      <c r="C116" s="297"/>
      <c r="D116" s="297"/>
      <c r="E116" s="297"/>
      <c r="F116" s="297"/>
      <c r="G116" s="297"/>
      <c r="H116" s="297"/>
      <c r="I116" s="297"/>
      <c r="J116" s="297"/>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9FE95D-4B67-45B6-95FC-0B3A032F26FD}">
  <sheetPr>
    <tabColor theme="4"/>
  </sheetPr>
  <dimension ref="A1:AI93"/>
  <sheetViews>
    <sheetView topLeftCell="A28" zoomScale="70" zoomScaleNormal="70" workbookViewId="0">
      <selection activeCell="E38" sqref="E38"/>
    </sheetView>
  </sheetViews>
  <sheetFormatPr baseColWidth="10" defaultColWidth="8.83203125" defaultRowHeight="15" x14ac:dyDescent="0.2"/>
  <cols>
    <col min="2" max="2" width="11.1640625" customWidth="1"/>
    <col min="3" max="3" width="9.33203125" customWidth="1"/>
    <col min="4" max="4" width="12.1640625" bestFit="1" customWidth="1"/>
    <col min="5" max="5" width="15.5" bestFit="1" customWidth="1"/>
    <col min="6" max="6" width="20" bestFit="1" customWidth="1"/>
    <col min="9" max="9" width="14.83203125" customWidth="1"/>
    <col min="11" max="12" width="11.1640625" customWidth="1"/>
    <col min="13" max="13" width="9.33203125" customWidth="1"/>
    <col min="14" max="14" width="12.1640625" bestFit="1" customWidth="1"/>
    <col min="15" max="15" width="15.5" bestFit="1" customWidth="1"/>
    <col min="16" max="16" width="11.1640625" bestFit="1" customWidth="1"/>
    <col min="19" max="19" width="14.83203125" customWidth="1"/>
    <col min="20" max="20" width="8.6640625" customWidth="1"/>
    <col min="21" max="21" width="14.1640625" customWidth="1"/>
    <col min="22" max="34" width="8.6640625" customWidth="1"/>
  </cols>
  <sheetData>
    <row r="1" spans="2:35" x14ac:dyDescent="0.2">
      <c r="B1">
        <v>2020</v>
      </c>
      <c r="L1">
        <v>2050</v>
      </c>
    </row>
    <row r="2" spans="2:35" x14ac:dyDescent="0.2">
      <c r="B2" t="s">
        <v>309</v>
      </c>
      <c r="D2" t="s">
        <v>1746</v>
      </c>
      <c r="E2" t="s">
        <v>1747</v>
      </c>
      <c r="F2" t="s">
        <v>1748</v>
      </c>
      <c r="G2" t="s">
        <v>1749</v>
      </c>
      <c r="H2" t="s">
        <v>1750</v>
      </c>
      <c r="L2" t="s">
        <v>309</v>
      </c>
      <c r="N2" t="s">
        <v>1746</v>
      </c>
      <c r="O2" t="s">
        <v>1747</v>
      </c>
      <c r="P2" t="s">
        <v>1748</v>
      </c>
      <c r="Q2" t="s">
        <v>1749</v>
      </c>
      <c r="R2" t="s">
        <v>1750</v>
      </c>
    </row>
    <row r="3" spans="2:35" ht="14.5" customHeight="1" x14ac:dyDescent="0.2">
      <c r="B3" t="s">
        <v>474</v>
      </c>
      <c r="C3" s="256">
        <f>'Overall recycling rates'!G39*SUM('Overall recycling rates'!G60:G62)</f>
        <v>6.16871358298018</v>
      </c>
      <c r="D3" s="127">
        <f>$C3/$C$7</f>
        <v>0.99650473690303254</v>
      </c>
      <c r="E3" s="127">
        <f t="shared" ref="E3:H4" si="0">$C3/$C$7</f>
        <v>0.99650473690303254</v>
      </c>
      <c r="F3" s="127">
        <f t="shared" si="0"/>
        <v>0.99650473690303254</v>
      </c>
      <c r="G3" s="127">
        <f t="shared" si="0"/>
        <v>0.99650473690303254</v>
      </c>
      <c r="H3" s="127">
        <f t="shared" si="0"/>
        <v>0.99650473690303254</v>
      </c>
      <c r="J3" s="695" t="s">
        <v>1751</v>
      </c>
      <c r="L3" t="s">
        <v>474</v>
      </c>
      <c r="M3" s="256">
        <f>'Overall recycling rates'!G12*SUM('Overall recycling rates'!G60:G62)</f>
        <v>20.160359423062566</v>
      </c>
      <c r="N3" s="2">
        <f t="shared" ref="N3:O6" si="1">$M3/$M$7</f>
        <v>0.59645673131086063</v>
      </c>
      <c r="O3" s="2">
        <f t="shared" si="1"/>
        <v>0.59645673131086063</v>
      </c>
      <c r="P3" s="56">
        <v>0</v>
      </c>
      <c r="Q3" s="56">
        <v>0</v>
      </c>
      <c r="R3" s="2">
        <f>$M3/$M$7</f>
        <v>0.59645673131086063</v>
      </c>
      <c r="T3" s="28" t="s">
        <v>1752</v>
      </c>
    </row>
    <row r="4" spans="2:35" ht="14.5" customHeight="1" x14ac:dyDescent="0.2">
      <c r="B4" t="s">
        <v>478</v>
      </c>
      <c r="C4" s="256">
        <f>'Overall recycling rates'!E39*SUM('Overall recycling rates'!E60:E62)</f>
        <v>2.1636903613083687E-2</v>
      </c>
      <c r="D4" s="127">
        <f>$C4/$C$7</f>
        <v>3.4952630969674104E-3</v>
      </c>
      <c r="E4" s="127">
        <f t="shared" si="0"/>
        <v>3.4952630969674104E-3</v>
      </c>
      <c r="F4" s="127">
        <f t="shared" si="0"/>
        <v>3.4952630969674104E-3</v>
      </c>
      <c r="G4" s="127">
        <f t="shared" si="0"/>
        <v>3.4952630969674104E-3</v>
      </c>
      <c r="H4" s="127">
        <f t="shared" si="0"/>
        <v>3.4952630969674104E-3</v>
      </c>
      <c r="J4" s="695"/>
      <c r="L4" t="s">
        <v>478</v>
      </c>
      <c r="M4" s="256">
        <f>'Overall recycling rates'!E12*SUM('Overall recycling rates'!E60:E62)</f>
        <v>10.907993094606782</v>
      </c>
      <c r="N4" s="2">
        <f t="shared" si="1"/>
        <v>0.32271973777054069</v>
      </c>
      <c r="O4" s="2">
        <f t="shared" si="1"/>
        <v>0.32271973777054069</v>
      </c>
      <c r="P4" s="56">
        <v>0</v>
      </c>
      <c r="Q4" s="56">
        <v>0</v>
      </c>
      <c r="R4" s="2">
        <f>$M4/$M$7</f>
        <v>0.32271973777054069</v>
      </c>
      <c r="T4" s="28"/>
    </row>
    <row r="5" spans="2:35" x14ac:dyDescent="0.2">
      <c r="B5" t="s">
        <v>745</v>
      </c>
      <c r="C5" s="256">
        <f>'Overall recycling rates'!H39*SUM('Overall recycling rates'!H60:H62)</f>
        <v>0</v>
      </c>
      <c r="D5" s="127">
        <f t="shared" ref="D5:H6" si="2">$C5/$C$7</f>
        <v>0</v>
      </c>
      <c r="E5" s="127">
        <f t="shared" si="2"/>
        <v>0</v>
      </c>
      <c r="F5" s="127">
        <f t="shared" si="2"/>
        <v>0</v>
      </c>
      <c r="G5" s="127">
        <f t="shared" si="2"/>
        <v>0</v>
      </c>
      <c r="H5" s="127">
        <f t="shared" si="2"/>
        <v>0</v>
      </c>
      <c r="J5" s="695"/>
      <c r="L5" t="s">
        <v>745</v>
      </c>
      <c r="M5" s="256">
        <f>'Overall recycling rates'!H12*SUM('Overall recycling rates'!H60:H62)</f>
        <v>2.514919918666664</v>
      </c>
      <c r="N5" s="2">
        <f t="shared" si="1"/>
        <v>7.4405464839109606E-2</v>
      </c>
      <c r="O5" s="2">
        <f t="shared" si="1"/>
        <v>7.4405464839109606E-2</v>
      </c>
      <c r="P5" s="56">
        <v>0.5</v>
      </c>
      <c r="Q5" s="56">
        <v>0.5</v>
      </c>
      <c r="R5" s="2">
        <f>$M5/$M$7</f>
        <v>7.4405464839109606E-2</v>
      </c>
      <c r="T5" s="28"/>
      <c r="V5" s="420"/>
      <c r="W5" s="420"/>
      <c r="X5" s="420"/>
      <c r="Y5" s="420"/>
      <c r="Z5" s="420"/>
      <c r="AA5" s="420"/>
      <c r="AB5" s="420"/>
      <c r="AC5" s="420"/>
      <c r="AD5" s="420"/>
      <c r="AE5" s="420"/>
      <c r="AF5" s="420"/>
      <c r="AG5" s="384"/>
      <c r="AH5" s="384"/>
      <c r="AI5" s="6"/>
    </row>
    <row r="6" spans="2:35" x14ac:dyDescent="0.2">
      <c r="B6" t="s">
        <v>248</v>
      </c>
      <c r="C6" s="256">
        <f>'Overall recycling rates'!I39*SUM('Overall recycling rates'!I60:I62)</f>
        <v>0</v>
      </c>
      <c r="D6" s="127">
        <f t="shared" si="2"/>
        <v>0</v>
      </c>
      <c r="E6" s="127">
        <f t="shared" si="2"/>
        <v>0</v>
      </c>
      <c r="F6" s="127">
        <f t="shared" si="2"/>
        <v>0</v>
      </c>
      <c r="G6" s="127">
        <f t="shared" si="2"/>
        <v>0</v>
      </c>
      <c r="H6" s="127">
        <f t="shared" si="2"/>
        <v>0</v>
      </c>
      <c r="J6" s="695"/>
      <c r="L6" t="s">
        <v>248</v>
      </c>
      <c r="M6" s="256">
        <f>'Overall recycling rates'!I12*SUM('Overall recycling rates'!I60:I62)</f>
        <v>0.21693194522107306</v>
      </c>
      <c r="N6" s="2">
        <f t="shared" si="1"/>
        <v>6.41806607948918E-3</v>
      </c>
      <c r="O6" s="2">
        <f t="shared" si="1"/>
        <v>6.41806607948918E-3</v>
      </c>
      <c r="P6" s="56">
        <v>0.5</v>
      </c>
      <c r="Q6" s="56">
        <v>0.5</v>
      </c>
      <c r="R6" s="2">
        <f>$M6/$M$7</f>
        <v>6.41806607948918E-3</v>
      </c>
      <c r="T6" s="28"/>
      <c r="V6" s="420"/>
      <c r="W6" s="420"/>
      <c r="X6" s="420"/>
      <c r="Y6" s="420"/>
      <c r="Z6" s="420"/>
      <c r="AA6" s="420"/>
      <c r="AB6" s="420"/>
      <c r="AC6" s="420"/>
      <c r="AD6" s="420"/>
      <c r="AE6" s="420"/>
      <c r="AF6" s="420"/>
      <c r="AG6" s="384"/>
      <c r="AH6" s="384"/>
      <c r="AI6" s="384"/>
    </row>
    <row r="7" spans="2:35" x14ac:dyDescent="0.2">
      <c r="C7" s="256">
        <f t="shared" ref="C7:H7" si="3">SUM(C3:C6)</f>
        <v>6.1903504865932639</v>
      </c>
      <c r="D7" s="2">
        <f t="shared" si="3"/>
        <v>1</v>
      </c>
      <c r="E7" s="2">
        <f t="shared" si="3"/>
        <v>1</v>
      </c>
      <c r="F7" s="2">
        <f t="shared" si="3"/>
        <v>1</v>
      </c>
      <c r="G7" s="2">
        <f t="shared" si="3"/>
        <v>1</v>
      </c>
      <c r="H7" s="2">
        <f t="shared" si="3"/>
        <v>1</v>
      </c>
      <c r="J7" s="503"/>
      <c r="M7" s="256">
        <f t="shared" ref="M7:R7" si="4">SUM(M3:M6)</f>
        <v>33.80020438155708</v>
      </c>
      <c r="N7" s="2">
        <f t="shared" si="4"/>
        <v>1</v>
      </c>
      <c r="O7" s="2">
        <f t="shared" si="4"/>
        <v>1</v>
      </c>
      <c r="P7" s="2">
        <f t="shared" si="4"/>
        <v>1</v>
      </c>
      <c r="Q7" s="2">
        <f t="shared" si="4"/>
        <v>1</v>
      </c>
      <c r="R7" s="2">
        <f t="shared" si="4"/>
        <v>1</v>
      </c>
      <c r="T7" s="28"/>
      <c r="V7" s="420"/>
      <c r="W7" s="420"/>
      <c r="X7" s="420"/>
      <c r="Y7" s="420"/>
      <c r="Z7" s="420"/>
      <c r="AA7" s="420"/>
      <c r="AB7" s="420"/>
      <c r="AC7" s="420"/>
      <c r="AD7" s="420"/>
      <c r="AE7" s="420"/>
      <c r="AF7" s="420"/>
      <c r="AG7" s="384"/>
      <c r="AH7" s="384"/>
      <c r="AI7" s="384"/>
    </row>
    <row r="8" spans="2:35" x14ac:dyDescent="0.2">
      <c r="AG8" s="384"/>
      <c r="AH8" s="384"/>
    </row>
    <row r="9" spans="2:35" x14ac:dyDescent="0.2">
      <c r="B9" t="s">
        <v>370</v>
      </c>
      <c r="D9" t="s">
        <v>1746</v>
      </c>
      <c r="E9" t="s">
        <v>1753</v>
      </c>
      <c r="F9" t="s">
        <v>1754</v>
      </c>
      <c r="G9" t="s">
        <v>1750</v>
      </c>
      <c r="L9" t="s">
        <v>370</v>
      </c>
      <c r="N9" t="s">
        <v>1746</v>
      </c>
      <c r="O9" t="s">
        <v>1753</v>
      </c>
      <c r="P9" t="s">
        <v>1754</v>
      </c>
      <c r="Q9" t="s">
        <v>1750</v>
      </c>
      <c r="V9" s="271"/>
    </row>
    <row r="10" spans="2:35" ht="14.5" customHeight="1" x14ac:dyDescent="0.2">
      <c r="B10" t="s">
        <v>474</v>
      </c>
      <c r="C10" s="256">
        <f>'Overall recycling rates'!G41*SUM('Overall recycling rates'!G60:G62)</f>
        <v>0</v>
      </c>
      <c r="D10" s="127">
        <f t="shared" ref="D10:G13" si="5">$C10/$C$14</f>
        <v>0</v>
      </c>
      <c r="E10" s="127">
        <f t="shared" si="5"/>
        <v>0</v>
      </c>
      <c r="F10" s="127">
        <f t="shared" si="5"/>
        <v>0</v>
      </c>
      <c r="G10" s="127">
        <f t="shared" si="5"/>
        <v>0</v>
      </c>
      <c r="I10" s="695" t="s">
        <v>1751</v>
      </c>
      <c r="L10" t="s">
        <v>474</v>
      </c>
      <c r="M10" s="256">
        <f>'Overall recycling rates'!G14*SUM('Overall recycling rates'!G60:G62)</f>
        <v>0</v>
      </c>
      <c r="N10" s="2">
        <f t="shared" ref="N10:Q13" si="6">$M10/$M$14</f>
        <v>0</v>
      </c>
      <c r="O10" s="2">
        <f t="shared" si="6"/>
        <v>0</v>
      </c>
      <c r="P10" s="2">
        <f t="shared" si="6"/>
        <v>0</v>
      </c>
      <c r="Q10" s="2">
        <f t="shared" si="6"/>
        <v>0</v>
      </c>
      <c r="T10" s="28" t="s">
        <v>1752</v>
      </c>
    </row>
    <row r="11" spans="2:35" ht="14.5" customHeight="1" x14ac:dyDescent="0.2">
      <c r="B11" t="s">
        <v>478</v>
      </c>
      <c r="C11" s="256">
        <f>'Overall recycling rates'!E41*SUM('Overall recycling rates'!E60:E62)</f>
        <v>2.1574500497634611E-2</v>
      </c>
      <c r="D11" s="127">
        <f t="shared" si="5"/>
        <v>0.59541984732824427</v>
      </c>
      <c r="E11" s="127">
        <f t="shared" si="5"/>
        <v>0.59541984732824427</v>
      </c>
      <c r="F11" s="127">
        <f t="shared" si="5"/>
        <v>0.59541984732824427</v>
      </c>
      <c r="G11" s="127">
        <f t="shared" si="5"/>
        <v>0.59541984732824427</v>
      </c>
      <c r="I11" s="695"/>
      <c r="L11" t="s">
        <v>478</v>
      </c>
      <c r="M11" s="256">
        <f>'Overall recycling rates'!E14*SUM('Overall recycling rates'!E60:E62)</f>
        <v>0</v>
      </c>
      <c r="N11" s="2">
        <f t="shared" si="6"/>
        <v>0</v>
      </c>
      <c r="O11" s="2">
        <f t="shared" si="6"/>
        <v>0</v>
      </c>
      <c r="P11" s="2">
        <f t="shared" si="6"/>
        <v>0</v>
      </c>
      <c r="Q11" s="2">
        <f t="shared" si="6"/>
        <v>0</v>
      </c>
      <c r="T11" s="28"/>
    </row>
    <row r="12" spans="2:35" x14ac:dyDescent="0.2">
      <c r="B12" t="s">
        <v>745</v>
      </c>
      <c r="C12" s="256">
        <f>'Overall recycling rates'!H41*SUM('Overall recycling rates'!H60:H62)</f>
        <v>0</v>
      </c>
      <c r="D12" s="127">
        <f t="shared" si="5"/>
        <v>0</v>
      </c>
      <c r="E12" s="127">
        <f t="shared" si="5"/>
        <v>0</v>
      </c>
      <c r="F12" s="127">
        <f t="shared" si="5"/>
        <v>0</v>
      </c>
      <c r="G12" s="127">
        <f t="shared" si="5"/>
        <v>0</v>
      </c>
      <c r="I12" s="695"/>
      <c r="L12" t="s">
        <v>745</v>
      </c>
      <c r="M12" s="256">
        <f>'Overall recycling rates'!H14*SUM('Overall recycling rates'!H60:H62)</f>
        <v>0.95513371202554831</v>
      </c>
      <c r="N12" s="2">
        <f t="shared" si="6"/>
        <v>0.51312630317698071</v>
      </c>
      <c r="O12" s="2">
        <f t="shared" si="6"/>
        <v>0.51312630317698071</v>
      </c>
      <c r="P12" s="2">
        <f t="shared" si="6"/>
        <v>0.51312630317698071</v>
      </c>
      <c r="Q12" s="2">
        <f t="shared" si="6"/>
        <v>0.51312630317698071</v>
      </c>
      <c r="T12" s="28"/>
      <c r="V12" s="384"/>
      <c r="W12" s="384"/>
      <c r="X12" s="384"/>
      <c r="Y12" s="384"/>
      <c r="Z12" s="384"/>
      <c r="AA12" s="384"/>
    </row>
    <row r="13" spans="2:35" x14ac:dyDescent="0.2">
      <c r="B13" t="s">
        <v>248</v>
      </c>
      <c r="C13" s="256">
        <f>'Overall recycling rates'!I41*SUM('Overall recycling rates'!I60:I62)</f>
        <v>1.4659596491982492E-2</v>
      </c>
      <c r="D13" s="127">
        <f>$C13/$C$14</f>
        <v>0.40458015267175568</v>
      </c>
      <c r="E13" s="127">
        <f t="shared" si="5"/>
        <v>0.40458015267175568</v>
      </c>
      <c r="F13" s="127">
        <f t="shared" si="5"/>
        <v>0.40458015267175568</v>
      </c>
      <c r="G13" s="127">
        <f t="shared" si="5"/>
        <v>0.40458015267175568</v>
      </c>
      <c r="I13" s="695"/>
      <c r="L13" t="s">
        <v>248</v>
      </c>
      <c r="M13" s="256">
        <f>'Overall recycling rates'!I14*SUM('Overall recycling rates'!I60:I62)</f>
        <v>0.90626708951573665</v>
      </c>
      <c r="N13" s="2">
        <f t="shared" si="6"/>
        <v>0.48687369682301923</v>
      </c>
      <c r="O13" s="2">
        <f t="shared" si="6"/>
        <v>0.48687369682301923</v>
      </c>
      <c r="P13" s="2">
        <f t="shared" si="6"/>
        <v>0.48687369682301923</v>
      </c>
      <c r="Q13" s="2">
        <f t="shared" si="6"/>
        <v>0.48687369682301923</v>
      </c>
      <c r="T13" s="28"/>
      <c r="V13" s="384"/>
      <c r="W13" s="384"/>
      <c r="X13" s="384"/>
      <c r="Y13" s="384"/>
      <c r="Z13" s="384"/>
      <c r="AA13" s="384"/>
    </row>
    <row r="14" spans="2:35" x14ac:dyDescent="0.2">
      <c r="C14" s="256">
        <f>SUM(C10:C13)</f>
        <v>3.6234096989617104E-2</v>
      </c>
      <c r="D14" s="2">
        <f>SUM(D10:D13)</f>
        <v>1</v>
      </c>
      <c r="E14" s="2">
        <f>SUM(E10:E13)</f>
        <v>1</v>
      </c>
      <c r="F14" s="2">
        <f>SUM(F10:F13)</f>
        <v>1</v>
      </c>
      <c r="G14" s="2">
        <f>SUM(G10:G13)</f>
        <v>1</v>
      </c>
      <c r="M14" s="44">
        <f>SUM(M10:M13)</f>
        <v>1.8614008015412851</v>
      </c>
      <c r="N14" s="2">
        <f>SUM(N10:N13)</f>
        <v>1</v>
      </c>
      <c r="O14" s="2">
        <f>SUM(O10:O13)</f>
        <v>1</v>
      </c>
      <c r="P14" s="2">
        <f>SUM(P10:P13)</f>
        <v>1</v>
      </c>
      <c r="Q14" s="2">
        <f>SUM(Q10:Q13)</f>
        <v>1</v>
      </c>
      <c r="V14" s="384"/>
      <c r="W14" s="384"/>
      <c r="X14" s="384"/>
      <c r="Y14" s="384"/>
      <c r="Z14" s="384"/>
      <c r="AA14" s="384"/>
    </row>
    <row r="16" spans="2:35" x14ac:dyDescent="0.2">
      <c r="B16" t="s">
        <v>329</v>
      </c>
      <c r="D16" t="s">
        <v>1746</v>
      </c>
      <c r="E16" t="s">
        <v>1749</v>
      </c>
      <c r="F16" t="s">
        <v>1750</v>
      </c>
      <c r="L16" t="s">
        <v>329</v>
      </c>
      <c r="N16" t="s">
        <v>1746</v>
      </c>
      <c r="O16" t="s">
        <v>1749</v>
      </c>
      <c r="P16" t="s">
        <v>1750</v>
      </c>
    </row>
    <row r="17" spans="2:28" ht="14.5" customHeight="1" x14ac:dyDescent="0.2">
      <c r="B17" t="s">
        <v>474</v>
      </c>
      <c r="C17" s="256">
        <f>'Overall recycling rates'!G42*SUM('Overall recycling rates'!G60:G62)</f>
        <v>2.2760626156339074</v>
      </c>
      <c r="D17" s="127">
        <f>$C17/$C$21</f>
        <v>0.91912919741166743</v>
      </c>
      <c r="E17" s="127">
        <f t="shared" ref="E17:F18" si="7">$C17/$C$21</f>
        <v>0.91912919741166743</v>
      </c>
      <c r="F17" s="127">
        <f t="shared" si="7"/>
        <v>0.91912919741166743</v>
      </c>
      <c r="I17" s="695" t="s">
        <v>1751</v>
      </c>
      <c r="L17" t="s">
        <v>474</v>
      </c>
      <c r="M17" s="256">
        <f>'Overall recycling rates'!G15*SUM('Overall recycling rates'!G60:G62)</f>
        <v>17.50817396641467</v>
      </c>
      <c r="N17" s="127">
        <f t="shared" ref="N17:P20" si="8">$M17/$M$21</f>
        <v>0.91912919741166732</v>
      </c>
      <c r="O17" s="127">
        <f t="shared" si="8"/>
        <v>0.91912919741166732</v>
      </c>
      <c r="P17" s="127">
        <f t="shared" si="8"/>
        <v>0.91912919741166732</v>
      </c>
      <c r="T17" s="28" t="s">
        <v>1752</v>
      </c>
      <c r="V17" s="384"/>
      <c r="W17" s="384"/>
      <c r="X17" s="384"/>
      <c r="Y17" s="384"/>
      <c r="Z17" s="384"/>
      <c r="AA17" s="384"/>
      <c r="AB17" s="6"/>
    </row>
    <row r="18" spans="2:28" ht="14.5" customHeight="1" x14ac:dyDescent="0.2">
      <c r="B18" t="s">
        <v>478</v>
      </c>
      <c r="C18" s="256">
        <f>'Overall recycling rates'!E42*SUM('Overall recycling rates'!E60:E62)</f>
        <v>0</v>
      </c>
      <c r="D18" s="127">
        <f>$C18/$C$21</f>
        <v>0</v>
      </c>
      <c r="E18" s="127">
        <f t="shared" si="7"/>
        <v>0</v>
      </c>
      <c r="F18" s="127">
        <f t="shared" si="7"/>
        <v>0</v>
      </c>
      <c r="I18" s="695"/>
      <c r="L18" t="s">
        <v>478</v>
      </c>
      <c r="M18" s="256">
        <f>'Overall recycling rates'!E15*SUM('Overall recycling rates'!E60:E62)</f>
        <v>0</v>
      </c>
      <c r="N18" s="127">
        <f t="shared" si="8"/>
        <v>0</v>
      </c>
      <c r="O18" s="127">
        <f t="shared" si="8"/>
        <v>0</v>
      </c>
      <c r="P18" s="127">
        <f t="shared" si="8"/>
        <v>0</v>
      </c>
      <c r="T18" s="28"/>
      <c r="V18" s="384"/>
      <c r="W18" s="384"/>
      <c r="X18" s="384"/>
      <c r="Y18" s="384"/>
      <c r="Z18" s="384"/>
      <c r="AA18" s="384"/>
      <c r="AB18" s="6"/>
    </row>
    <row r="19" spans="2:28" x14ac:dyDescent="0.2">
      <c r="B19" t="s">
        <v>745</v>
      </c>
      <c r="C19" s="256">
        <f>'Overall recycling rates'!H42*SUM('Overall recycling rates'!H60:H62)</f>
        <v>0</v>
      </c>
      <c r="D19" s="127">
        <f t="shared" ref="D19:F20" si="9">$C19/$C$21</f>
        <v>0</v>
      </c>
      <c r="E19" s="127">
        <f t="shared" si="9"/>
        <v>0</v>
      </c>
      <c r="F19" s="127">
        <f t="shared" si="9"/>
        <v>0</v>
      </c>
      <c r="I19" s="695"/>
      <c r="L19" t="s">
        <v>745</v>
      </c>
      <c r="M19" s="256">
        <f>'Overall recycling rates'!H15*SUM('Overall recycling rates'!H60:H62)</f>
        <v>0</v>
      </c>
      <c r="N19" s="127">
        <f t="shared" si="8"/>
        <v>0</v>
      </c>
      <c r="O19" s="127">
        <f t="shared" si="8"/>
        <v>0</v>
      </c>
      <c r="P19" s="127">
        <f t="shared" si="8"/>
        <v>0</v>
      </c>
      <c r="T19" s="28"/>
      <c r="V19" s="384"/>
      <c r="W19" s="384"/>
      <c r="X19" s="384"/>
      <c r="Y19" s="384"/>
      <c r="Z19" s="384"/>
      <c r="AA19" s="384"/>
    </row>
    <row r="20" spans="2:28" x14ac:dyDescent="0.2">
      <c r="B20" t="s">
        <v>248</v>
      </c>
      <c r="C20" s="256">
        <f>'Overall recycling rates'!I42*SUM('Overall recycling rates'!I60:I62)</f>
        <v>0.20026239073457713</v>
      </c>
      <c r="D20" s="127">
        <f t="shared" si="9"/>
        <v>8.0870802588332583E-2</v>
      </c>
      <c r="E20" s="127">
        <f t="shared" si="9"/>
        <v>8.0870802588332583E-2</v>
      </c>
      <c r="F20" s="127">
        <f t="shared" si="9"/>
        <v>8.0870802588332583E-2</v>
      </c>
      <c r="I20" s="695"/>
      <c r="L20" t="s">
        <v>248</v>
      </c>
      <c r="M20" s="256">
        <f>'Overall recycling rates'!I15*SUM('Overall recycling rates'!I60:I62)</f>
        <v>1.5404799287275162</v>
      </c>
      <c r="N20" s="127">
        <f t="shared" si="8"/>
        <v>8.0870802588332569E-2</v>
      </c>
      <c r="O20" s="127">
        <f t="shared" si="8"/>
        <v>8.0870802588332569E-2</v>
      </c>
      <c r="P20" s="127">
        <f t="shared" si="8"/>
        <v>8.0870802588332569E-2</v>
      </c>
      <c r="T20" s="28"/>
      <c r="V20" s="384"/>
      <c r="W20" s="384"/>
      <c r="X20" s="384"/>
      <c r="Y20" s="384"/>
      <c r="Z20" s="384"/>
      <c r="AA20" s="384"/>
      <c r="AB20" s="6"/>
    </row>
    <row r="21" spans="2:28" x14ac:dyDescent="0.2">
      <c r="C21" s="256">
        <f>SUM(C17:C20)</f>
        <v>2.4763250063684845</v>
      </c>
      <c r="D21" s="2">
        <f>SUM(D17:D20)</f>
        <v>1</v>
      </c>
      <c r="E21" s="2">
        <f>SUM(E17:E20)</f>
        <v>1</v>
      </c>
      <c r="F21" s="2">
        <f>SUM(F17:F20)</f>
        <v>1</v>
      </c>
      <c r="M21" s="44">
        <f>SUM(M17:M20)</f>
        <v>19.048653895142188</v>
      </c>
      <c r="N21" s="2">
        <f>SUM(N17:N20)</f>
        <v>0.99999999999999989</v>
      </c>
      <c r="O21" s="2">
        <f>SUM(O17:O20)</f>
        <v>0.99999999999999989</v>
      </c>
      <c r="P21" s="2">
        <f>SUM(P17:P20)</f>
        <v>0.99999999999999989</v>
      </c>
      <c r="AA21" s="384"/>
    </row>
    <row r="22" spans="2:28" x14ac:dyDescent="0.2">
      <c r="V22" s="384"/>
      <c r="W22" s="384"/>
      <c r="X22" s="384"/>
      <c r="Y22" s="384"/>
      <c r="Z22" s="384"/>
      <c r="AA22" s="384"/>
    </row>
    <row r="23" spans="2:28" x14ac:dyDescent="0.2">
      <c r="B23" t="s">
        <v>369</v>
      </c>
      <c r="D23" t="s">
        <v>1746</v>
      </c>
      <c r="L23" t="s">
        <v>369</v>
      </c>
      <c r="N23" t="s">
        <v>1746</v>
      </c>
      <c r="V23" s="384"/>
      <c r="W23" s="384"/>
      <c r="X23" s="384"/>
      <c r="Y23" s="384"/>
      <c r="Z23" s="384"/>
      <c r="AA23" s="384"/>
    </row>
    <row r="24" spans="2:28" ht="14.5" customHeight="1" x14ac:dyDescent="0.2">
      <c r="B24" t="s">
        <v>474</v>
      </c>
      <c r="C24" s="256">
        <f>'Overall recycling rates'!G40*SUM('Overall recycling rates'!G60:G62)</f>
        <v>0</v>
      </c>
      <c r="D24" s="127">
        <f>$C24/$C$28</f>
        <v>0</v>
      </c>
      <c r="E24" s="2"/>
      <c r="F24" s="2"/>
      <c r="G24" s="2"/>
      <c r="I24" s="695" t="s">
        <v>1751</v>
      </c>
      <c r="L24" t="s">
        <v>474</v>
      </c>
      <c r="M24" s="256">
        <f>'Overall recycling rates'!G12*SUM('Overall recycling rates'!G60:G62)</f>
        <v>20.160359423062566</v>
      </c>
      <c r="N24" s="127">
        <f>$M24/$M$28</f>
        <v>0.59645673131086063</v>
      </c>
      <c r="P24" s="2"/>
      <c r="Q24" s="2"/>
      <c r="R24" s="2"/>
      <c r="T24" s="28" t="s">
        <v>1752</v>
      </c>
      <c r="V24" s="384"/>
      <c r="W24" s="384"/>
      <c r="X24" s="384"/>
      <c r="Y24" s="384"/>
      <c r="Z24" s="384"/>
    </row>
    <row r="25" spans="2:28" ht="14.5" customHeight="1" x14ac:dyDescent="0.2">
      <c r="B25" t="s">
        <v>478</v>
      </c>
      <c r="C25" s="256">
        <f>'Overall recycling rates'!E40*SUM('Overall recycling rates'!E60:E62)</f>
        <v>6.034917793376028E-3</v>
      </c>
      <c r="D25" s="127">
        <f>$C25/$C$28</f>
        <v>0.54391014811667637</v>
      </c>
      <c r="E25" s="2"/>
      <c r="F25" s="2"/>
      <c r="G25" s="2"/>
      <c r="I25" s="695"/>
      <c r="L25" t="s">
        <v>478</v>
      </c>
      <c r="M25" s="256">
        <f>'Overall recycling rates'!E12*SUM('Overall recycling rates'!E60:E62)</f>
        <v>10.907993094606782</v>
      </c>
      <c r="N25" s="127">
        <f>$M25/$M$28</f>
        <v>0.32271973777054069</v>
      </c>
      <c r="P25" s="2"/>
      <c r="Q25" s="2"/>
      <c r="R25" s="2"/>
      <c r="T25" s="28"/>
      <c r="V25" s="384"/>
      <c r="W25" s="384"/>
      <c r="X25" s="384"/>
      <c r="Y25" s="384"/>
      <c r="Z25" s="384"/>
    </row>
    <row r="26" spans="2:28" x14ac:dyDescent="0.2">
      <c r="B26" t="s">
        <v>745</v>
      </c>
      <c r="C26" s="256">
        <f>'Overall recycling rates'!H40*SUM('Overall recycling rates'!H60:H62)</f>
        <v>4.7211496342527649E-3</v>
      </c>
      <c r="D26" s="127">
        <f t="shared" ref="D26:D27" si="10">$C26/$C$28</f>
        <v>0.42550392312981294</v>
      </c>
      <c r="E26" s="2"/>
      <c r="F26" s="2"/>
      <c r="G26" s="2"/>
      <c r="I26" s="695"/>
      <c r="L26" t="s">
        <v>745</v>
      </c>
      <c r="M26" s="256">
        <f>'Overall recycling rates'!H12*SUM('Overall recycling rates'!H60:H62)</f>
        <v>2.514919918666664</v>
      </c>
      <c r="N26" s="127">
        <f>$M26/$M$28</f>
        <v>7.4405464839109606E-2</v>
      </c>
      <c r="P26" s="2"/>
      <c r="Q26" s="2"/>
      <c r="R26" s="2"/>
      <c r="T26" s="28"/>
      <c r="W26" s="23"/>
      <c r="X26" s="23"/>
      <c r="Y26" s="23"/>
      <c r="Z26" s="23"/>
    </row>
    <row r="27" spans="2:28" x14ac:dyDescent="0.2">
      <c r="B27" t="s">
        <v>248</v>
      </c>
      <c r="C27" s="256">
        <f>'Overall recycling rates'!I40*SUM('Overall recycling rates'!I60:I62)</f>
        <v>3.3936407750549555E-4</v>
      </c>
      <c r="D27" s="127">
        <f t="shared" si="10"/>
        <v>3.0585928753510721E-2</v>
      </c>
      <c r="E27" s="56"/>
      <c r="F27" s="56"/>
      <c r="G27" s="56"/>
      <c r="I27" s="695"/>
      <c r="L27" t="s">
        <v>248</v>
      </c>
      <c r="M27" s="256">
        <f>'Overall recycling rates'!I12*SUM('Overall recycling rates'!I60:I62)</f>
        <v>0.21693194522107306</v>
      </c>
      <c r="N27" s="127">
        <f>$M27/$M$28</f>
        <v>6.41806607948918E-3</v>
      </c>
      <c r="P27" s="56"/>
      <c r="Q27" s="56"/>
      <c r="R27" s="56"/>
      <c r="T27" s="28"/>
    </row>
    <row r="28" spans="2:28" x14ac:dyDescent="0.2">
      <c r="C28" s="256">
        <f>SUM(C24:C27)</f>
        <v>1.1095431505134288E-2</v>
      </c>
      <c r="D28" s="2">
        <f>SUM(D24:D27)</f>
        <v>1</v>
      </c>
      <c r="E28" s="2"/>
      <c r="F28" s="2"/>
      <c r="G28" s="2"/>
      <c r="M28" s="44">
        <f>SUM(M24:M27)</f>
        <v>33.80020438155708</v>
      </c>
      <c r="N28" s="2">
        <f>SUM(N24:N27)</f>
        <v>1</v>
      </c>
      <c r="P28" s="2"/>
      <c r="Q28" s="2"/>
      <c r="R28" s="2"/>
      <c r="V28" s="384"/>
      <c r="W28" s="384"/>
      <c r="X28" s="384"/>
      <c r="Y28" s="384"/>
      <c r="Z28" s="384"/>
    </row>
    <row r="29" spans="2:28" x14ac:dyDescent="0.2">
      <c r="V29" s="384"/>
      <c r="W29" s="384"/>
      <c r="X29" s="384"/>
      <c r="Y29" s="384"/>
      <c r="Z29" s="384"/>
    </row>
    <row r="30" spans="2:28" x14ac:dyDescent="0.2">
      <c r="B30" t="s">
        <v>248</v>
      </c>
      <c r="D30" t="s">
        <v>1746</v>
      </c>
      <c r="L30" t="s">
        <v>248</v>
      </c>
      <c r="N30" t="s">
        <v>1746</v>
      </c>
    </row>
    <row r="31" spans="2:28" ht="14.5" customHeight="1" x14ac:dyDescent="0.2">
      <c r="B31" t="s">
        <v>474</v>
      </c>
      <c r="C31" s="256">
        <f>'Overall recycling rates'!G43*SUM('Overall recycling rates'!G60:G62)</f>
        <v>0</v>
      </c>
      <c r="D31" s="127">
        <f>$C31/$C$35</f>
        <v>0</v>
      </c>
      <c r="I31" s="695" t="s">
        <v>1751</v>
      </c>
      <c r="L31" t="s">
        <v>474</v>
      </c>
      <c r="M31" s="256">
        <f>'Overall recycling rates'!G16*SUM('Overall recycling rates'!G60:G62)</f>
        <v>0</v>
      </c>
      <c r="N31" s="127">
        <f>$M31/$L$35</f>
        <v>0</v>
      </c>
      <c r="T31" s="28" t="s">
        <v>1752</v>
      </c>
    </row>
    <row r="32" spans="2:28" ht="14.5" customHeight="1" x14ac:dyDescent="0.2">
      <c r="B32" t="s">
        <v>478</v>
      </c>
      <c r="C32" s="256">
        <f>'Overall recycling rates'!E43*SUM('Overall recycling rates'!E60:E62)</f>
        <v>0.22960750191969143</v>
      </c>
      <c r="D32" s="127">
        <f>$C32/$C$35</f>
        <v>0.28713868492545019</v>
      </c>
      <c r="I32" s="695"/>
      <c r="L32" t="s">
        <v>478</v>
      </c>
      <c r="M32" s="256">
        <f>'Overall recycling rates'!E16*SUM('Overall recycling rates'!E60:E62)</f>
        <v>5.7780206022858724</v>
      </c>
      <c r="N32" s="127">
        <f>$M32/$L$35</f>
        <v>0.28713868492545019</v>
      </c>
      <c r="T32" s="28"/>
    </row>
    <row r="33" spans="1:35" x14ac:dyDescent="0.2">
      <c r="B33" t="s">
        <v>745</v>
      </c>
      <c r="C33" s="256">
        <f>'Overall recycling rates'!H43*SUM('Overall recycling rates'!H60:H62)</f>
        <v>0.44521994997733838</v>
      </c>
      <c r="D33" s="127">
        <f t="shared" ref="D33:D34" si="11">$C33/$C$35</f>
        <v>0.55677567096122804</v>
      </c>
      <c r="I33" s="695"/>
      <c r="L33" t="s">
        <v>745</v>
      </c>
      <c r="M33" s="256">
        <f>'Overall recycling rates'!H16*SUM('Overall recycling rates'!H60:H62)</f>
        <v>11.203858854827454</v>
      </c>
      <c r="N33" s="127">
        <f>$M33/$L$35</f>
        <v>0.55677567096122804</v>
      </c>
      <c r="T33" s="28"/>
    </row>
    <row r="34" spans="1:35" x14ac:dyDescent="0.2">
      <c r="B34" t="s">
        <v>248</v>
      </c>
      <c r="C34" s="256">
        <f>'Overall recycling rates'!I43*SUM('Overall recycling rates'!I60:I62)</f>
        <v>0.12481228309480663</v>
      </c>
      <c r="D34" s="127">
        <f t="shared" si="11"/>
        <v>0.15608564411332165</v>
      </c>
      <c r="I34" s="695"/>
      <c r="L34" t="s">
        <v>248</v>
      </c>
      <c r="M34" s="256">
        <f>'Overall recycling rates'!I16*SUM('Overall recycling rates'!I60:I62)</f>
        <v>3.1408727376528334</v>
      </c>
      <c r="N34" s="127">
        <f>$M34/$L$35</f>
        <v>0.15608564411332165</v>
      </c>
      <c r="T34" s="28"/>
    </row>
    <row r="35" spans="1:35" x14ac:dyDescent="0.2">
      <c r="C35" s="256">
        <f>SUM(C31:C34)</f>
        <v>0.79963973499183649</v>
      </c>
      <c r="D35" s="2">
        <f>SUM(D31:D34)</f>
        <v>0.99999999999999978</v>
      </c>
      <c r="L35" s="44">
        <f>SUM(M31:M34)</f>
        <v>20.122752194766161</v>
      </c>
      <c r="M35" s="2">
        <f>SUM(N31:N34)</f>
        <v>0.99999999999999978</v>
      </c>
    </row>
    <row r="37" spans="1:35" s="273" customFormat="1" ht="16" thickBot="1" x14ac:dyDescent="0.25">
      <c r="E37" s="273">
        <v>2020</v>
      </c>
      <c r="F37" s="273">
        <f>E37+1</f>
        <v>2021</v>
      </c>
      <c r="G37" s="273">
        <f t="shared" ref="G37:AI37" si="12">F37+1</f>
        <v>2022</v>
      </c>
      <c r="H37" s="273">
        <f t="shared" si="12"/>
        <v>2023</v>
      </c>
      <c r="I37" s="273">
        <f t="shared" si="12"/>
        <v>2024</v>
      </c>
      <c r="J37" s="273">
        <f t="shared" si="12"/>
        <v>2025</v>
      </c>
      <c r="K37" s="273">
        <f t="shared" si="12"/>
        <v>2026</v>
      </c>
      <c r="L37" s="273">
        <f t="shared" si="12"/>
        <v>2027</v>
      </c>
      <c r="M37" s="273">
        <f t="shared" si="12"/>
        <v>2028</v>
      </c>
      <c r="N37" s="273">
        <f t="shared" si="12"/>
        <v>2029</v>
      </c>
      <c r="O37" s="273">
        <f t="shared" si="12"/>
        <v>2030</v>
      </c>
      <c r="P37" s="273">
        <f t="shared" si="12"/>
        <v>2031</v>
      </c>
      <c r="Q37" s="273">
        <f t="shared" si="12"/>
        <v>2032</v>
      </c>
      <c r="R37" s="273">
        <f t="shared" si="12"/>
        <v>2033</v>
      </c>
      <c r="S37" s="273">
        <f t="shared" si="12"/>
        <v>2034</v>
      </c>
      <c r="T37" s="273">
        <f t="shared" si="12"/>
        <v>2035</v>
      </c>
      <c r="U37" s="273">
        <f t="shared" si="12"/>
        <v>2036</v>
      </c>
      <c r="V37" s="273">
        <f t="shared" si="12"/>
        <v>2037</v>
      </c>
      <c r="W37" s="273">
        <f t="shared" si="12"/>
        <v>2038</v>
      </c>
      <c r="X37" s="273">
        <f t="shared" si="12"/>
        <v>2039</v>
      </c>
      <c r="Y37" s="273">
        <f t="shared" si="12"/>
        <v>2040</v>
      </c>
      <c r="Z37" s="273">
        <f t="shared" si="12"/>
        <v>2041</v>
      </c>
      <c r="AA37" s="273">
        <f t="shared" si="12"/>
        <v>2042</v>
      </c>
      <c r="AB37" s="273">
        <f>AA37+1</f>
        <v>2043</v>
      </c>
      <c r="AC37" s="273">
        <f t="shared" si="12"/>
        <v>2044</v>
      </c>
      <c r="AD37" s="273">
        <f t="shared" si="12"/>
        <v>2045</v>
      </c>
      <c r="AE37" s="273">
        <f t="shared" si="12"/>
        <v>2046</v>
      </c>
      <c r="AF37" s="273">
        <f t="shared" si="12"/>
        <v>2047</v>
      </c>
      <c r="AG37" s="273">
        <f t="shared" si="12"/>
        <v>2048</v>
      </c>
      <c r="AH37" s="273">
        <f t="shared" si="12"/>
        <v>2049</v>
      </c>
      <c r="AI37" s="273">
        <f t="shared" si="12"/>
        <v>2050</v>
      </c>
    </row>
    <row r="38" spans="1:35" x14ac:dyDescent="0.2">
      <c r="A38" s="310"/>
      <c r="B38" t="s">
        <v>309</v>
      </c>
      <c r="C38" t="s">
        <v>1746</v>
      </c>
      <c r="D38" t="s">
        <v>474</v>
      </c>
      <c r="E38" s="168">
        <f>D3</f>
        <v>0.99650473690303254</v>
      </c>
      <c r="F38" s="168">
        <f>-($E38-$AI38)/30+E38</f>
        <v>0.98316980338329352</v>
      </c>
      <c r="G38" s="168">
        <f t="shared" ref="G38:AH58" si="13">-($E38-$AI38)/30+F38</f>
        <v>0.96983486986355449</v>
      </c>
      <c r="H38" s="168">
        <f t="shared" si="13"/>
        <v>0.95649993634381547</v>
      </c>
      <c r="I38" s="168">
        <f t="shared" si="13"/>
        <v>0.94316500282407645</v>
      </c>
      <c r="J38" s="168">
        <f t="shared" si="13"/>
        <v>0.92983006930433743</v>
      </c>
      <c r="K38" s="168">
        <f t="shared" si="13"/>
        <v>0.9164951357845984</v>
      </c>
      <c r="L38" s="168">
        <f t="shared" si="13"/>
        <v>0.90316020226485938</v>
      </c>
      <c r="M38" s="168">
        <f t="shared" si="13"/>
        <v>0.88982526874512036</v>
      </c>
      <c r="N38" s="168">
        <f t="shared" si="13"/>
        <v>0.87649033522538133</v>
      </c>
      <c r="O38" s="168">
        <f t="shared" si="13"/>
        <v>0.86315540170564231</v>
      </c>
      <c r="P38" s="168">
        <f t="shared" si="13"/>
        <v>0.84982046818590329</v>
      </c>
      <c r="Q38" s="168">
        <f t="shared" si="13"/>
        <v>0.83648553466616427</v>
      </c>
      <c r="R38" s="168">
        <f t="shared" si="13"/>
        <v>0.82315060114642524</v>
      </c>
      <c r="S38" s="168">
        <f t="shared" si="13"/>
        <v>0.80981566762668622</v>
      </c>
      <c r="T38" s="168">
        <f t="shared" si="13"/>
        <v>0.7964807341069472</v>
      </c>
      <c r="U38" s="168">
        <f t="shared" si="13"/>
        <v>0.78314580058720817</v>
      </c>
      <c r="V38" s="168">
        <f t="shared" si="13"/>
        <v>0.76981086706746915</v>
      </c>
      <c r="W38" s="168">
        <f t="shared" si="13"/>
        <v>0.75647593354773013</v>
      </c>
      <c r="X38" s="168">
        <f t="shared" si="13"/>
        <v>0.74314100002799111</v>
      </c>
      <c r="Y38" s="168">
        <f t="shared" si="13"/>
        <v>0.72980606650825208</v>
      </c>
      <c r="Z38" s="168">
        <f t="shared" si="13"/>
        <v>0.71647113298851306</v>
      </c>
      <c r="AA38" s="168">
        <f t="shared" si="13"/>
        <v>0.70313619946877404</v>
      </c>
      <c r="AB38" s="168">
        <f t="shared" si="13"/>
        <v>0.68980126594903501</v>
      </c>
      <c r="AC38" s="168">
        <f t="shared" si="13"/>
        <v>0.67646633242929599</v>
      </c>
      <c r="AD38" s="168">
        <f t="shared" si="13"/>
        <v>0.66313139890955697</v>
      </c>
      <c r="AE38" s="168">
        <f t="shared" si="13"/>
        <v>0.64979646538981795</v>
      </c>
      <c r="AF38" s="168">
        <f t="shared" si="13"/>
        <v>0.63646153187007892</v>
      </c>
      <c r="AG38" s="168">
        <f t="shared" si="13"/>
        <v>0.6231265983503399</v>
      </c>
      <c r="AH38" s="168">
        <f t="shared" si="13"/>
        <v>0.60979166483060088</v>
      </c>
      <c r="AI38" s="168">
        <f>N3</f>
        <v>0.59645673131086063</v>
      </c>
    </row>
    <row r="39" spans="1:35" x14ac:dyDescent="0.2">
      <c r="A39" s="310"/>
      <c r="B39" t="s">
        <v>309</v>
      </c>
      <c r="C39" t="s">
        <v>1746</v>
      </c>
      <c r="D39" t="s">
        <v>478</v>
      </c>
      <c r="E39" s="168">
        <f>D4</f>
        <v>3.4952630969674104E-3</v>
      </c>
      <c r="F39" s="168">
        <f>-($E39-$AI39)/30+E39</f>
        <v>1.4136078919419853E-2</v>
      </c>
      <c r="G39" s="168">
        <f t="shared" ref="G39" si="14">-($E39-$AI39)/30+F39</f>
        <v>2.4776894741872293E-2</v>
      </c>
      <c r="H39" s="168">
        <f t="shared" ref="H39" si="15">-($E39-$AI39)/30+G39</f>
        <v>3.5417710564324738E-2</v>
      </c>
      <c r="I39" s="168">
        <f t="shared" ref="I39" si="16">-($E39-$AI39)/30+H39</f>
        <v>4.6058526386777182E-2</v>
      </c>
      <c r="J39" s="168">
        <f t="shared" ref="J39" si="17">-($E39-$AI39)/30+I39</f>
        <v>5.6699342209229626E-2</v>
      </c>
      <c r="K39" s="168">
        <f t="shared" ref="K39" si="18">-($E39-$AI39)/30+J39</f>
        <v>6.7340158031682071E-2</v>
      </c>
      <c r="L39" s="168">
        <f t="shared" ref="L39" si="19">-($E39-$AI39)/30+K39</f>
        <v>7.7980973854134508E-2</v>
      </c>
      <c r="M39" s="168">
        <f t="shared" ref="M39" si="20">-($E39-$AI39)/30+L39</f>
        <v>8.8621789676586946E-2</v>
      </c>
      <c r="N39" s="168">
        <f t="shared" ref="N39" si="21">-($E39-$AI39)/30+M39</f>
        <v>9.9262605499039383E-2</v>
      </c>
      <c r="O39" s="168">
        <f t="shared" ref="O39" si="22">-($E39-$AI39)/30+N39</f>
        <v>0.10990342132149182</v>
      </c>
      <c r="P39" s="168">
        <f t="shared" ref="P39" si="23">-($E39-$AI39)/30+O39</f>
        <v>0.12054423714394426</v>
      </c>
      <c r="Q39" s="168">
        <f t="shared" ref="Q39" si="24">-($E39-$AI39)/30+P39</f>
        <v>0.13118505296639671</v>
      </c>
      <c r="R39" s="168">
        <f t="shared" ref="R39" si="25">-($E39-$AI39)/30+Q39</f>
        <v>0.14182586878884915</v>
      </c>
      <c r="S39" s="168">
        <f t="shared" ref="S39" si="26">-($E39-$AI39)/30+R39</f>
        <v>0.15246668461130158</v>
      </c>
      <c r="T39" s="168">
        <f t="shared" ref="T39" si="27">-($E39-$AI39)/30+S39</f>
        <v>0.16310750043375402</v>
      </c>
      <c r="U39" s="168">
        <f t="shared" ref="U39" si="28">-($E39-$AI39)/30+T39</f>
        <v>0.17374831625620646</v>
      </c>
      <c r="V39" s="168">
        <f t="shared" ref="V39" si="29">-($E39-$AI39)/30+U39</f>
        <v>0.1843891320786589</v>
      </c>
      <c r="W39" s="168">
        <f t="shared" ref="W39" si="30">-($E39-$AI39)/30+V39</f>
        <v>0.19502994790111133</v>
      </c>
      <c r="X39" s="168">
        <f t="shared" ref="X39" si="31">-($E39-$AI39)/30+W39</f>
        <v>0.20567076372356377</v>
      </c>
      <c r="Y39" s="168">
        <f t="shared" ref="Y39" si="32">-($E39-$AI39)/30+X39</f>
        <v>0.21631157954601621</v>
      </c>
      <c r="Z39" s="168">
        <f t="shared" ref="Z39" si="33">-($E39-$AI39)/30+Y39</f>
        <v>0.22695239536846865</v>
      </c>
      <c r="AA39" s="168">
        <f t="shared" ref="AA39" si="34">-($E39-$AI39)/30+Z39</f>
        <v>0.23759321119092108</v>
      </c>
      <c r="AB39" s="168">
        <f t="shared" ref="AB39" si="35">-($E39-$AI39)/30+AA39</f>
        <v>0.24823402701337352</v>
      </c>
      <c r="AC39" s="168">
        <f t="shared" ref="AC39" si="36">-($E39-$AI39)/30+AB39</f>
        <v>0.25887484283582596</v>
      </c>
      <c r="AD39" s="168">
        <f t="shared" ref="AD39" si="37">-($E39-$AI39)/30+AC39</f>
        <v>0.26951565865827842</v>
      </c>
      <c r="AE39" s="168">
        <f t="shared" ref="AE39" si="38">-($E39-$AI39)/30+AD39</f>
        <v>0.28015647448073089</v>
      </c>
      <c r="AF39" s="168">
        <f t="shared" ref="AF39" si="39">-($E39-$AI39)/30+AE39</f>
        <v>0.29079729030318335</v>
      </c>
      <c r="AG39" s="168">
        <f t="shared" ref="AG39" si="40">-($E39-$AI39)/30+AF39</f>
        <v>0.30143810612563582</v>
      </c>
      <c r="AH39" s="168">
        <f t="shared" ref="AH39" si="41">-($E39-$AI39)/30+AG39</f>
        <v>0.31207892194808828</v>
      </c>
      <c r="AI39" s="168">
        <f>N4</f>
        <v>0.32271973777054069</v>
      </c>
    </row>
    <row r="40" spans="1:35" x14ac:dyDescent="0.2">
      <c r="A40" s="310"/>
      <c r="B40" t="s">
        <v>309</v>
      </c>
      <c r="C40" t="s">
        <v>1746</v>
      </c>
      <c r="D40" t="s">
        <v>745</v>
      </c>
      <c r="E40" s="168">
        <f>D5</f>
        <v>0</v>
      </c>
      <c r="F40" s="168">
        <f t="shared" ref="F40:U60" si="42">-($E40-$AI40)/30+E40</f>
        <v>2.4801821613036536E-3</v>
      </c>
      <c r="G40" s="168">
        <f t="shared" si="42"/>
        <v>4.9603643226073073E-3</v>
      </c>
      <c r="H40" s="168">
        <f t="shared" si="42"/>
        <v>7.4405464839109609E-3</v>
      </c>
      <c r="I40" s="168">
        <f t="shared" si="42"/>
        <v>9.9207286452146146E-3</v>
      </c>
      <c r="J40" s="168">
        <f t="shared" si="42"/>
        <v>1.2400910806518268E-2</v>
      </c>
      <c r="K40" s="168">
        <f t="shared" si="42"/>
        <v>1.4881092967821922E-2</v>
      </c>
      <c r="L40" s="168">
        <f t="shared" si="42"/>
        <v>1.7361275129125574E-2</v>
      </c>
      <c r="M40" s="168">
        <f t="shared" si="42"/>
        <v>1.9841457290429229E-2</v>
      </c>
      <c r="N40" s="168">
        <f t="shared" si="42"/>
        <v>2.2321639451732884E-2</v>
      </c>
      <c r="O40" s="168">
        <f t="shared" si="42"/>
        <v>2.480182161303654E-2</v>
      </c>
      <c r="P40" s="168">
        <f t="shared" si="42"/>
        <v>2.7282003774340195E-2</v>
      </c>
      <c r="Q40" s="168">
        <f t="shared" si="42"/>
        <v>2.9762185935643851E-2</v>
      </c>
      <c r="R40" s="168">
        <f t="shared" si="42"/>
        <v>3.2242368096947506E-2</v>
      </c>
      <c r="S40" s="168">
        <f t="shared" si="42"/>
        <v>3.4722550258251161E-2</v>
      </c>
      <c r="T40" s="168">
        <f t="shared" si="42"/>
        <v>3.7202732419554817E-2</v>
      </c>
      <c r="U40" s="168">
        <f t="shared" si="42"/>
        <v>3.9682914580858472E-2</v>
      </c>
      <c r="V40" s="168">
        <f t="shared" si="13"/>
        <v>4.2163096742162127E-2</v>
      </c>
      <c r="W40" s="168">
        <f t="shared" si="13"/>
        <v>4.4643278903465783E-2</v>
      </c>
      <c r="X40" s="168">
        <f t="shared" si="13"/>
        <v>4.7123461064769438E-2</v>
      </c>
      <c r="Y40" s="168">
        <f t="shared" si="13"/>
        <v>4.9603643226073094E-2</v>
      </c>
      <c r="Z40" s="168">
        <f t="shared" si="13"/>
        <v>5.2083825387376749E-2</v>
      </c>
      <c r="AA40" s="168">
        <f t="shared" si="13"/>
        <v>5.4564007548680404E-2</v>
      </c>
      <c r="AB40" s="168">
        <f t="shared" si="13"/>
        <v>5.704418970998406E-2</v>
      </c>
      <c r="AC40" s="168">
        <f t="shared" si="13"/>
        <v>5.9524371871287715E-2</v>
      </c>
      <c r="AD40" s="168">
        <f t="shared" si="13"/>
        <v>6.200455403259137E-2</v>
      </c>
      <c r="AE40" s="168">
        <f t="shared" si="13"/>
        <v>6.4484736193895026E-2</v>
      </c>
      <c r="AF40" s="168">
        <f t="shared" si="13"/>
        <v>6.6964918355198674E-2</v>
      </c>
      <c r="AG40" s="168">
        <f t="shared" si="13"/>
        <v>6.9445100516502323E-2</v>
      </c>
      <c r="AH40" s="168">
        <f t="shared" si="13"/>
        <v>7.1925282677805971E-2</v>
      </c>
      <c r="AI40" s="168">
        <f>N5</f>
        <v>7.4405464839109606E-2</v>
      </c>
    </row>
    <row r="41" spans="1:35" x14ac:dyDescent="0.2">
      <c r="A41" s="310"/>
      <c r="B41" t="s">
        <v>309</v>
      </c>
      <c r="C41" t="s">
        <v>1746</v>
      </c>
      <c r="D41" t="s">
        <v>248</v>
      </c>
      <c r="E41" s="168">
        <f>D6</f>
        <v>0</v>
      </c>
      <c r="F41" s="168">
        <f t="shared" si="42"/>
        <v>2.1393553598297266E-4</v>
      </c>
      <c r="G41" s="168">
        <f t="shared" si="42"/>
        <v>4.2787107196594533E-4</v>
      </c>
      <c r="H41" s="168">
        <f t="shared" si="42"/>
        <v>6.4180660794891796E-4</v>
      </c>
      <c r="I41" s="168">
        <f t="shared" si="42"/>
        <v>8.5574214393189065E-4</v>
      </c>
      <c r="J41" s="168">
        <f t="shared" si="42"/>
        <v>1.0696776799148633E-3</v>
      </c>
      <c r="K41" s="168">
        <f t="shared" si="42"/>
        <v>1.2836132158978359E-3</v>
      </c>
      <c r="L41" s="168">
        <f t="shared" si="42"/>
        <v>1.4975487518808085E-3</v>
      </c>
      <c r="M41" s="168">
        <f t="shared" si="42"/>
        <v>1.7114842878637811E-3</v>
      </c>
      <c r="N41" s="168">
        <f t="shared" si="42"/>
        <v>1.9254198238467537E-3</v>
      </c>
      <c r="O41" s="168">
        <f t="shared" si="42"/>
        <v>2.1393553598297262E-3</v>
      </c>
      <c r="P41" s="168">
        <f t="shared" si="42"/>
        <v>2.3532908958126988E-3</v>
      </c>
      <c r="Q41" s="168">
        <f t="shared" si="42"/>
        <v>2.5672264317956714E-3</v>
      </c>
      <c r="R41" s="168">
        <f t="shared" si="42"/>
        <v>2.781161967778644E-3</v>
      </c>
      <c r="S41" s="168">
        <f t="shared" si="42"/>
        <v>2.9950975037616166E-3</v>
      </c>
      <c r="T41" s="168">
        <f t="shared" si="42"/>
        <v>3.2090330397445892E-3</v>
      </c>
      <c r="U41" s="168">
        <f t="shared" si="42"/>
        <v>3.4229685757275617E-3</v>
      </c>
      <c r="V41" s="168">
        <f t="shared" si="13"/>
        <v>3.6369041117105343E-3</v>
      </c>
      <c r="W41" s="168">
        <f t="shared" si="13"/>
        <v>3.8508396476935069E-3</v>
      </c>
      <c r="X41" s="168">
        <f t="shared" si="13"/>
        <v>4.0647751836764799E-3</v>
      </c>
      <c r="Y41" s="168">
        <f t="shared" si="13"/>
        <v>4.2787107196594525E-3</v>
      </c>
      <c r="Z41" s="168">
        <f t="shared" si="13"/>
        <v>4.4926462556424251E-3</v>
      </c>
      <c r="AA41" s="168">
        <f t="shared" si="13"/>
        <v>4.7065817916253977E-3</v>
      </c>
      <c r="AB41" s="168">
        <f t="shared" si="13"/>
        <v>4.9205173276083702E-3</v>
      </c>
      <c r="AC41" s="168">
        <f t="shared" si="13"/>
        <v>5.1344528635913428E-3</v>
      </c>
      <c r="AD41" s="168">
        <f t="shared" si="13"/>
        <v>5.3483883995743154E-3</v>
      </c>
      <c r="AE41" s="168">
        <f t="shared" si="13"/>
        <v>5.562323935557288E-3</v>
      </c>
      <c r="AF41" s="168">
        <f t="shared" si="13"/>
        <v>5.7762594715402606E-3</v>
      </c>
      <c r="AG41" s="168">
        <f t="shared" si="13"/>
        <v>5.9901950075232331E-3</v>
      </c>
      <c r="AH41" s="168">
        <f t="shared" si="13"/>
        <v>6.2041305435062057E-3</v>
      </c>
      <c r="AI41" s="168">
        <f>N6</f>
        <v>6.41806607948918E-3</v>
      </c>
    </row>
    <row r="42" spans="1:35" s="67" customFormat="1" x14ac:dyDescent="0.2">
      <c r="A42" s="307"/>
      <c r="B42" s="67" t="s">
        <v>309</v>
      </c>
      <c r="C42" s="67" t="s">
        <v>1747</v>
      </c>
      <c r="D42" t="s">
        <v>474</v>
      </c>
      <c r="E42" s="201">
        <f>E3</f>
        <v>0.99650473690303254</v>
      </c>
      <c r="F42" s="201">
        <f t="shared" si="42"/>
        <v>0.98316980338329352</v>
      </c>
      <c r="G42" s="201">
        <f t="shared" si="42"/>
        <v>0.96983486986355449</v>
      </c>
      <c r="H42" s="201">
        <f t="shared" si="42"/>
        <v>0.95649993634381547</v>
      </c>
      <c r="I42" s="201">
        <f t="shared" si="42"/>
        <v>0.94316500282407645</v>
      </c>
      <c r="J42" s="201">
        <f t="shared" si="42"/>
        <v>0.92983006930433743</v>
      </c>
      <c r="K42" s="201">
        <f t="shared" si="42"/>
        <v>0.9164951357845984</v>
      </c>
      <c r="L42" s="201">
        <f t="shared" si="42"/>
        <v>0.90316020226485938</v>
      </c>
      <c r="M42" s="201">
        <f t="shared" si="42"/>
        <v>0.88982526874512036</v>
      </c>
      <c r="N42" s="201">
        <f t="shared" si="42"/>
        <v>0.87649033522538133</v>
      </c>
      <c r="O42" s="201">
        <f t="shared" si="42"/>
        <v>0.86315540170564231</v>
      </c>
      <c r="P42" s="201">
        <f t="shared" si="42"/>
        <v>0.84982046818590329</v>
      </c>
      <c r="Q42" s="201">
        <f t="shared" si="42"/>
        <v>0.83648553466616427</v>
      </c>
      <c r="R42" s="201">
        <f t="shared" si="42"/>
        <v>0.82315060114642524</v>
      </c>
      <c r="S42" s="201">
        <f t="shared" si="42"/>
        <v>0.80981566762668622</v>
      </c>
      <c r="T42" s="201">
        <f t="shared" si="42"/>
        <v>0.7964807341069472</v>
      </c>
      <c r="U42" s="201">
        <f t="shared" si="42"/>
        <v>0.78314580058720817</v>
      </c>
      <c r="V42" s="201">
        <f t="shared" si="13"/>
        <v>0.76981086706746915</v>
      </c>
      <c r="W42" s="201">
        <f t="shared" si="13"/>
        <v>0.75647593354773013</v>
      </c>
      <c r="X42" s="201">
        <f t="shared" si="13"/>
        <v>0.74314100002799111</v>
      </c>
      <c r="Y42" s="201">
        <f t="shared" si="13"/>
        <v>0.72980606650825208</v>
      </c>
      <c r="Z42" s="201">
        <f t="shared" si="13"/>
        <v>0.71647113298851306</v>
      </c>
      <c r="AA42" s="201">
        <f t="shared" si="13"/>
        <v>0.70313619946877404</v>
      </c>
      <c r="AB42" s="201">
        <f t="shared" si="13"/>
        <v>0.68980126594903501</v>
      </c>
      <c r="AC42" s="201">
        <f t="shared" si="13"/>
        <v>0.67646633242929599</v>
      </c>
      <c r="AD42" s="201">
        <f t="shared" si="13"/>
        <v>0.66313139890955697</v>
      </c>
      <c r="AE42" s="201">
        <f t="shared" si="13"/>
        <v>0.64979646538981795</v>
      </c>
      <c r="AF42" s="201">
        <f t="shared" si="13"/>
        <v>0.63646153187007892</v>
      </c>
      <c r="AG42" s="201">
        <f t="shared" si="13"/>
        <v>0.6231265983503399</v>
      </c>
      <c r="AH42" s="201">
        <f t="shared" si="13"/>
        <v>0.60979166483060088</v>
      </c>
      <c r="AI42" s="201">
        <f>O3</f>
        <v>0.59645673131086063</v>
      </c>
    </row>
    <row r="43" spans="1:35" x14ac:dyDescent="0.2">
      <c r="A43" s="310"/>
      <c r="B43" s="67" t="s">
        <v>309</v>
      </c>
      <c r="C43" s="67" t="s">
        <v>1747</v>
      </c>
      <c r="D43" t="s">
        <v>478</v>
      </c>
      <c r="E43" s="201">
        <f>E4</f>
        <v>3.4952630969674104E-3</v>
      </c>
      <c r="F43" s="201">
        <f t="shared" ref="F43:U43" si="43">-($E43-$AI43)/30+E43</f>
        <v>1.4136078919419853E-2</v>
      </c>
      <c r="G43" s="201">
        <f t="shared" si="43"/>
        <v>2.4776894741872293E-2</v>
      </c>
      <c r="H43" s="201">
        <f t="shared" si="43"/>
        <v>3.5417710564324738E-2</v>
      </c>
      <c r="I43" s="201">
        <f t="shared" si="43"/>
        <v>4.6058526386777182E-2</v>
      </c>
      <c r="J43" s="201">
        <f t="shared" si="43"/>
        <v>5.6699342209229626E-2</v>
      </c>
      <c r="K43" s="201">
        <f t="shared" si="43"/>
        <v>6.7340158031682071E-2</v>
      </c>
      <c r="L43" s="201">
        <f t="shared" si="43"/>
        <v>7.7980973854134508E-2</v>
      </c>
      <c r="M43" s="201">
        <f t="shared" si="43"/>
        <v>8.8621789676586946E-2</v>
      </c>
      <c r="N43" s="201">
        <f t="shared" si="43"/>
        <v>9.9262605499039383E-2</v>
      </c>
      <c r="O43" s="201">
        <f t="shared" si="43"/>
        <v>0.10990342132149182</v>
      </c>
      <c r="P43" s="201">
        <f t="shared" si="43"/>
        <v>0.12054423714394426</v>
      </c>
      <c r="Q43" s="201">
        <f t="shared" si="43"/>
        <v>0.13118505296639671</v>
      </c>
      <c r="R43" s="201">
        <f t="shared" si="43"/>
        <v>0.14182586878884915</v>
      </c>
      <c r="S43" s="201">
        <f t="shared" si="43"/>
        <v>0.15246668461130158</v>
      </c>
      <c r="T43" s="201">
        <f t="shared" si="43"/>
        <v>0.16310750043375402</v>
      </c>
      <c r="U43" s="201">
        <f t="shared" si="43"/>
        <v>0.17374831625620646</v>
      </c>
      <c r="V43" s="201">
        <f t="shared" ref="V43" si="44">-($E43-$AI43)/30+U43</f>
        <v>0.1843891320786589</v>
      </c>
      <c r="W43" s="201">
        <f t="shared" ref="W43" si="45">-($E43-$AI43)/30+V43</f>
        <v>0.19502994790111133</v>
      </c>
      <c r="X43" s="201">
        <f t="shared" ref="X43" si="46">-($E43-$AI43)/30+W43</f>
        <v>0.20567076372356377</v>
      </c>
      <c r="Y43" s="201">
        <f t="shared" ref="Y43" si="47">-($E43-$AI43)/30+X43</f>
        <v>0.21631157954601621</v>
      </c>
      <c r="Z43" s="201">
        <f t="shared" ref="Z43" si="48">-($E43-$AI43)/30+Y43</f>
        <v>0.22695239536846865</v>
      </c>
      <c r="AA43" s="201">
        <f t="shared" ref="AA43" si="49">-($E43-$AI43)/30+Z43</f>
        <v>0.23759321119092108</v>
      </c>
      <c r="AB43" s="201">
        <f t="shared" ref="AB43" si="50">-($E43-$AI43)/30+AA43</f>
        <v>0.24823402701337352</v>
      </c>
      <c r="AC43" s="201">
        <f t="shared" ref="AC43" si="51">-($E43-$AI43)/30+AB43</f>
        <v>0.25887484283582596</v>
      </c>
      <c r="AD43" s="201">
        <f t="shared" ref="AD43" si="52">-($E43-$AI43)/30+AC43</f>
        <v>0.26951565865827842</v>
      </c>
      <c r="AE43" s="201">
        <f t="shared" ref="AE43" si="53">-($E43-$AI43)/30+AD43</f>
        <v>0.28015647448073089</v>
      </c>
      <c r="AF43" s="201">
        <f t="shared" ref="AF43" si="54">-($E43-$AI43)/30+AE43</f>
        <v>0.29079729030318335</v>
      </c>
      <c r="AG43" s="201">
        <f t="shared" ref="AG43" si="55">-($E43-$AI43)/30+AF43</f>
        <v>0.30143810612563582</v>
      </c>
      <c r="AH43" s="201">
        <f t="shared" ref="AH43" si="56">-($E43-$AI43)/30+AG43</f>
        <v>0.31207892194808828</v>
      </c>
      <c r="AI43" s="201">
        <f>O4</f>
        <v>0.32271973777054069</v>
      </c>
    </row>
    <row r="44" spans="1:35" x14ac:dyDescent="0.2">
      <c r="A44" s="310"/>
      <c r="B44" t="s">
        <v>309</v>
      </c>
      <c r="C44" t="s">
        <v>1747</v>
      </c>
      <c r="D44" t="s">
        <v>745</v>
      </c>
      <c r="E44" s="168">
        <f>E5</f>
        <v>0</v>
      </c>
      <c r="F44" s="168">
        <f t="shared" si="42"/>
        <v>2.4801821613036536E-3</v>
      </c>
      <c r="G44" s="168">
        <f t="shared" si="42"/>
        <v>4.9603643226073073E-3</v>
      </c>
      <c r="H44" s="168">
        <f t="shared" si="42"/>
        <v>7.4405464839109609E-3</v>
      </c>
      <c r="I44" s="168">
        <f t="shared" si="42"/>
        <v>9.9207286452146146E-3</v>
      </c>
      <c r="J44" s="168">
        <f t="shared" si="42"/>
        <v>1.2400910806518268E-2</v>
      </c>
      <c r="K44" s="168">
        <f t="shared" si="42"/>
        <v>1.4881092967821922E-2</v>
      </c>
      <c r="L44" s="168">
        <f t="shared" si="42"/>
        <v>1.7361275129125574E-2</v>
      </c>
      <c r="M44" s="168">
        <f t="shared" si="42"/>
        <v>1.9841457290429229E-2</v>
      </c>
      <c r="N44" s="168">
        <f t="shared" si="42"/>
        <v>2.2321639451732884E-2</v>
      </c>
      <c r="O44" s="168">
        <f t="shared" si="42"/>
        <v>2.480182161303654E-2</v>
      </c>
      <c r="P44" s="168">
        <f t="shared" si="42"/>
        <v>2.7282003774340195E-2</v>
      </c>
      <c r="Q44" s="168">
        <f t="shared" si="42"/>
        <v>2.9762185935643851E-2</v>
      </c>
      <c r="R44" s="168">
        <f t="shared" si="42"/>
        <v>3.2242368096947506E-2</v>
      </c>
      <c r="S44" s="168">
        <f t="shared" si="42"/>
        <v>3.4722550258251161E-2</v>
      </c>
      <c r="T44" s="168">
        <f t="shared" si="42"/>
        <v>3.7202732419554817E-2</v>
      </c>
      <c r="U44" s="168">
        <f t="shared" si="42"/>
        <v>3.9682914580858472E-2</v>
      </c>
      <c r="V44" s="168">
        <f t="shared" si="13"/>
        <v>4.2163096742162127E-2</v>
      </c>
      <c r="W44" s="168">
        <f t="shared" si="13"/>
        <v>4.4643278903465783E-2</v>
      </c>
      <c r="X44" s="168">
        <f t="shared" si="13"/>
        <v>4.7123461064769438E-2</v>
      </c>
      <c r="Y44" s="168">
        <f t="shared" si="13"/>
        <v>4.9603643226073094E-2</v>
      </c>
      <c r="Z44" s="168">
        <f t="shared" si="13"/>
        <v>5.2083825387376749E-2</v>
      </c>
      <c r="AA44" s="168">
        <f t="shared" si="13"/>
        <v>5.4564007548680404E-2</v>
      </c>
      <c r="AB44" s="168">
        <f t="shared" si="13"/>
        <v>5.704418970998406E-2</v>
      </c>
      <c r="AC44" s="168">
        <f t="shared" si="13"/>
        <v>5.9524371871287715E-2</v>
      </c>
      <c r="AD44" s="168">
        <f t="shared" si="13"/>
        <v>6.200455403259137E-2</v>
      </c>
      <c r="AE44" s="168">
        <f t="shared" si="13"/>
        <v>6.4484736193895026E-2</v>
      </c>
      <c r="AF44" s="168">
        <f t="shared" si="13"/>
        <v>6.6964918355198674E-2</v>
      </c>
      <c r="AG44" s="168">
        <f t="shared" si="13"/>
        <v>6.9445100516502323E-2</v>
      </c>
      <c r="AH44" s="168">
        <f t="shared" si="13"/>
        <v>7.1925282677805971E-2</v>
      </c>
      <c r="AI44" s="168">
        <f>O5</f>
        <v>7.4405464839109606E-2</v>
      </c>
    </row>
    <row r="45" spans="1:35" x14ac:dyDescent="0.2">
      <c r="A45" s="310"/>
      <c r="B45" t="s">
        <v>309</v>
      </c>
      <c r="C45" t="s">
        <v>1747</v>
      </c>
      <c r="D45" t="s">
        <v>248</v>
      </c>
      <c r="E45" s="168">
        <f>E6</f>
        <v>0</v>
      </c>
      <c r="F45" s="168">
        <f t="shared" si="42"/>
        <v>2.1393553598297266E-4</v>
      </c>
      <c r="G45" s="168">
        <f t="shared" si="42"/>
        <v>4.2787107196594533E-4</v>
      </c>
      <c r="H45" s="168">
        <f t="shared" si="42"/>
        <v>6.4180660794891796E-4</v>
      </c>
      <c r="I45" s="168">
        <f t="shared" si="42"/>
        <v>8.5574214393189065E-4</v>
      </c>
      <c r="J45" s="168">
        <f t="shared" si="42"/>
        <v>1.0696776799148633E-3</v>
      </c>
      <c r="K45" s="168">
        <f t="shared" si="42"/>
        <v>1.2836132158978359E-3</v>
      </c>
      <c r="L45" s="168">
        <f t="shared" si="42"/>
        <v>1.4975487518808085E-3</v>
      </c>
      <c r="M45" s="168">
        <f t="shared" si="42"/>
        <v>1.7114842878637811E-3</v>
      </c>
      <c r="N45" s="168">
        <f t="shared" si="42"/>
        <v>1.9254198238467537E-3</v>
      </c>
      <c r="O45" s="168">
        <f t="shared" si="42"/>
        <v>2.1393553598297262E-3</v>
      </c>
      <c r="P45" s="168">
        <f t="shared" si="42"/>
        <v>2.3532908958126988E-3</v>
      </c>
      <c r="Q45" s="168">
        <f t="shared" si="42"/>
        <v>2.5672264317956714E-3</v>
      </c>
      <c r="R45" s="168">
        <f t="shared" si="42"/>
        <v>2.781161967778644E-3</v>
      </c>
      <c r="S45" s="168">
        <f t="shared" si="42"/>
        <v>2.9950975037616166E-3</v>
      </c>
      <c r="T45" s="168">
        <f t="shared" si="42"/>
        <v>3.2090330397445892E-3</v>
      </c>
      <c r="U45" s="168">
        <f t="shared" si="42"/>
        <v>3.4229685757275617E-3</v>
      </c>
      <c r="V45" s="168">
        <f t="shared" si="13"/>
        <v>3.6369041117105343E-3</v>
      </c>
      <c r="W45" s="168">
        <f t="shared" si="13"/>
        <v>3.8508396476935069E-3</v>
      </c>
      <c r="X45" s="168">
        <f t="shared" si="13"/>
        <v>4.0647751836764799E-3</v>
      </c>
      <c r="Y45" s="168">
        <f t="shared" si="13"/>
        <v>4.2787107196594525E-3</v>
      </c>
      <c r="Z45" s="168">
        <f t="shared" si="13"/>
        <v>4.4926462556424251E-3</v>
      </c>
      <c r="AA45" s="168">
        <f t="shared" si="13"/>
        <v>4.7065817916253977E-3</v>
      </c>
      <c r="AB45" s="168">
        <f t="shared" si="13"/>
        <v>4.9205173276083702E-3</v>
      </c>
      <c r="AC45" s="168">
        <f t="shared" si="13"/>
        <v>5.1344528635913428E-3</v>
      </c>
      <c r="AD45" s="168">
        <f t="shared" si="13"/>
        <v>5.3483883995743154E-3</v>
      </c>
      <c r="AE45" s="168">
        <f t="shared" si="13"/>
        <v>5.562323935557288E-3</v>
      </c>
      <c r="AF45" s="168">
        <f t="shared" si="13"/>
        <v>5.7762594715402606E-3</v>
      </c>
      <c r="AG45" s="168">
        <f t="shared" si="13"/>
        <v>5.9901950075232331E-3</v>
      </c>
      <c r="AH45" s="168">
        <f t="shared" si="13"/>
        <v>6.2041305435062057E-3</v>
      </c>
      <c r="AI45" s="168">
        <f>O6</f>
        <v>6.41806607948918E-3</v>
      </c>
    </row>
    <row r="46" spans="1:35" s="67" customFormat="1" x14ac:dyDescent="0.2">
      <c r="A46" s="307"/>
      <c r="B46" s="67" t="s">
        <v>309</v>
      </c>
      <c r="C46" s="67" t="s">
        <v>1748</v>
      </c>
      <c r="D46" t="s">
        <v>474</v>
      </c>
      <c r="E46" s="201">
        <f>F3</f>
        <v>0.99650473690303254</v>
      </c>
      <c r="F46" s="201">
        <f t="shared" si="42"/>
        <v>0.9632879123395981</v>
      </c>
      <c r="G46" s="201">
        <f t="shared" si="42"/>
        <v>0.93007108777616365</v>
      </c>
      <c r="H46" s="201">
        <f t="shared" si="42"/>
        <v>0.89685426321272921</v>
      </c>
      <c r="I46" s="201">
        <f t="shared" si="42"/>
        <v>0.86363743864929476</v>
      </c>
      <c r="J46" s="201">
        <f t="shared" si="42"/>
        <v>0.83042061408586032</v>
      </c>
      <c r="K46" s="201">
        <f t="shared" si="42"/>
        <v>0.79720378952242588</v>
      </c>
      <c r="L46" s="201">
        <f t="shared" si="42"/>
        <v>0.76398696495899143</v>
      </c>
      <c r="M46" s="201">
        <f t="shared" si="42"/>
        <v>0.73077014039555699</v>
      </c>
      <c r="N46" s="201">
        <f t="shared" si="42"/>
        <v>0.69755331583212254</v>
      </c>
      <c r="O46" s="201">
        <f t="shared" si="42"/>
        <v>0.6643364912686881</v>
      </c>
      <c r="P46" s="201">
        <f t="shared" si="42"/>
        <v>0.63111966670525366</v>
      </c>
      <c r="Q46" s="201">
        <f t="shared" si="42"/>
        <v>0.59790284214181921</v>
      </c>
      <c r="R46" s="201">
        <f t="shared" si="42"/>
        <v>0.56468601757838477</v>
      </c>
      <c r="S46" s="201">
        <f t="shared" si="42"/>
        <v>0.53146919301495033</v>
      </c>
      <c r="T46" s="201">
        <f t="shared" si="42"/>
        <v>0.49825236845151588</v>
      </c>
      <c r="U46" s="201">
        <f t="shared" si="42"/>
        <v>0.46503554388808144</v>
      </c>
      <c r="V46" s="201">
        <f t="shared" si="13"/>
        <v>0.43181871932464699</v>
      </c>
      <c r="W46" s="201">
        <f t="shared" si="13"/>
        <v>0.39860189476121255</v>
      </c>
      <c r="X46" s="201">
        <f t="shared" si="13"/>
        <v>0.36538507019777811</v>
      </c>
      <c r="Y46" s="201">
        <f t="shared" si="13"/>
        <v>0.33216824563434366</v>
      </c>
      <c r="Z46" s="201">
        <f t="shared" si="13"/>
        <v>0.29895142107090922</v>
      </c>
      <c r="AA46" s="201">
        <f t="shared" si="13"/>
        <v>0.26573459650747477</v>
      </c>
      <c r="AB46" s="201">
        <f t="shared" si="13"/>
        <v>0.23251777194404036</v>
      </c>
      <c r="AC46" s="201">
        <f t="shared" si="13"/>
        <v>0.19930094738060594</v>
      </c>
      <c r="AD46" s="201">
        <f t="shared" si="13"/>
        <v>0.16608412281717153</v>
      </c>
      <c r="AE46" s="201">
        <f t="shared" si="13"/>
        <v>0.13286729825373711</v>
      </c>
      <c r="AF46" s="201">
        <f t="shared" si="13"/>
        <v>9.9650473690302693E-2</v>
      </c>
      <c r="AG46" s="201">
        <f t="shared" si="13"/>
        <v>6.6433649126868277E-2</v>
      </c>
      <c r="AH46" s="201">
        <f t="shared" si="13"/>
        <v>3.3216824563433861E-2</v>
      </c>
      <c r="AI46" s="201">
        <f>P3</f>
        <v>0</v>
      </c>
    </row>
    <row r="47" spans="1:35" x14ac:dyDescent="0.2">
      <c r="A47" s="310"/>
      <c r="B47" s="67" t="s">
        <v>309</v>
      </c>
      <c r="C47" s="67" t="s">
        <v>1748</v>
      </c>
      <c r="D47" t="s">
        <v>478</v>
      </c>
      <c r="E47" s="201">
        <f>F4</f>
        <v>3.4952630969674104E-3</v>
      </c>
      <c r="F47" s="201">
        <f t="shared" ref="F47:U47" si="57">-($E47-$AI47)/30+E47</f>
        <v>3.3787543270684967E-3</v>
      </c>
      <c r="G47" s="201">
        <f t="shared" si="57"/>
        <v>3.262245557169583E-3</v>
      </c>
      <c r="H47" s="201">
        <f t="shared" si="57"/>
        <v>3.1457367872706693E-3</v>
      </c>
      <c r="I47" s="201">
        <f t="shared" si="57"/>
        <v>3.0292280173717556E-3</v>
      </c>
      <c r="J47" s="201">
        <f t="shared" si="57"/>
        <v>2.9127192474728419E-3</v>
      </c>
      <c r="K47" s="201">
        <f t="shared" si="57"/>
        <v>2.7962104775739282E-3</v>
      </c>
      <c r="L47" s="201">
        <f t="shared" si="57"/>
        <v>2.6797017076750146E-3</v>
      </c>
      <c r="M47" s="201">
        <f t="shared" si="57"/>
        <v>2.5631929377761009E-3</v>
      </c>
      <c r="N47" s="201">
        <f t="shared" si="57"/>
        <v>2.4466841678771872E-3</v>
      </c>
      <c r="O47" s="201">
        <f t="shared" si="57"/>
        <v>2.3301753979782735E-3</v>
      </c>
      <c r="P47" s="201">
        <f t="shared" si="57"/>
        <v>2.2136666280793598E-3</v>
      </c>
      <c r="Q47" s="201">
        <f t="shared" si="57"/>
        <v>2.0971578581804461E-3</v>
      </c>
      <c r="R47" s="201">
        <f t="shared" si="57"/>
        <v>1.9806490882815324E-3</v>
      </c>
      <c r="S47" s="201">
        <f t="shared" si="57"/>
        <v>1.8641403183826187E-3</v>
      </c>
      <c r="T47" s="201">
        <f t="shared" si="57"/>
        <v>1.747631548483705E-3</v>
      </c>
      <c r="U47" s="201">
        <f t="shared" si="57"/>
        <v>1.6311227785847913E-3</v>
      </c>
      <c r="V47" s="201">
        <f t="shared" ref="V47" si="58">-($E47-$AI47)/30+U47</f>
        <v>1.5146140086858776E-3</v>
      </c>
      <c r="W47" s="201">
        <f t="shared" ref="W47" si="59">-($E47-$AI47)/30+V47</f>
        <v>1.3981052387869639E-3</v>
      </c>
      <c r="X47" s="201">
        <f t="shared" ref="X47" si="60">-($E47-$AI47)/30+W47</f>
        <v>1.2815964688880502E-3</v>
      </c>
      <c r="Y47" s="201">
        <f t="shared" ref="Y47" si="61">-($E47-$AI47)/30+X47</f>
        <v>1.1650876989891365E-3</v>
      </c>
      <c r="Z47" s="201">
        <f t="shared" ref="Z47" si="62">-($E47-$AI47)/30+Y47</f>
        <v>1.0485789290902228E-3</v>
      </c>
      <c r="AA47" s="201">
        <f t="shared" ref="AA47" si="63">-($E47-$AI47)/30+Z47</f>
        <v>9.3207015919130913E-4</v>
      </c>
      <c r="AB47" s="201">
        <f t="shared" ref="AB47" si="64">-($E47-$AI47)/30+AA47</f>
        <v>8.1556138929239543E-4</v>
      </c>
      <c r="AC47" s="201">
        <f t="shared" ref="AC47" si="65">-($E47-$AI47)/30+AB47</f>
        <v>6.9905261939348174E-4</v>
      </c>
      <c r="AD47" s="201">
        <f t="shared" ref="AD47" si="66">-($E47-$AI47)/30+AC47</f>
        <v>5.8254384949456804E-4</v>
      </c>
      <c r="AE47" s="201">
        <f t="shared" ref="AE47" si="67">-($E47-$AI47)/30+AD47</f>
        <v>4.6603507959565435E-4</v>
      </c>
      <c r="AF47" s="201">
        <f t="shared" ref="AF47" si="68">-($E47-$AI47)/30+AE47</f>
        <v>3.4952630969674065E-4</v>
      </c>
      <c r="AG47" s="201">
        <f t="shared" ref="AG47" si="69">-($E47-$AI47)/30+AF47</f>
        <v>2.3301753979782696E-4</v>
      </c>
      <c r="AH47" s="201">
        <f t="shared" ref="AH47" si="70">-($E47-$AI47)/30+AG47</f>
        <v>1.1650876989891327E-4</v>
      </c>
      <c r="AI47" s="201">
        <f>P4</f>
        <v>0</v>
      </c>
    </row>
    <row r="48" spans="1:35" x14ac:dyDescent="0.2">
      <c r="A48" s="310"/>
      <c r="B48" t="s">
        <v>309</v>
      </c>
      <c r="C48" t="s">
        <v>1748</v>
      </c>
      <c r="D48" t="s">
        <v>745</v>
      </c>
      <c r="E48" s="168">
        <f>F5</f>
        <v>0</v>
      </c>
      <c r="F48" s="168">
        <f t="shared" si="42"/>
        <v>1.6666666666666666E-2</v>
      </c>
      <c r="G48" s="168">
        <f t="shared" si="42"/>
        <v>3.3333333333333333E-2</v>
      </c>
      <c r="H48" s="168">
        <f t="shared" si="42"/>
        <v>0.05</v>
      </c>
      <c r="I48" s="168">
        <f t="shared" si="42"/>
        <v>6.6666666666666666E-2</v>
      </c>
      <c r="J48" s="168">
        <f t="shared" si="42"/>
        <v>8.3333333333333329E-2</v>
      </c>
      <c r="K48" s="168">
        <f t="shared" si="42"/>
        <v>9.9999999999999992E-2</v>
      </c>
      <c r="L48" s="168">
        <f t="shared" si="42"/>
        <v>0.11666666666666665</v>
      </c>
      <c r="M48" s="168">
        <f t="shared" si="42"/>
        <v>0.13333333333333333</v>
      </c>
      <c r="N48" s="168">
        <f t="shared" si="42"/>
        <v>0.15</v>
      </c>
      <c r="O48" s="168">
        <f t="shared" si="42"/>
        <v>0.16666666666666666</v>
      </c>
      <c r="P48" s="168">
        <f t="shared" si="42"/>
        <v>0.18333333333333332</v>
      </c>
      <c r="Q48" s="168">
        <f t="shared" si="42"/>
        <v>0.19999999999999998</v>
      </c>
      <c r="R48" s="168">
        <f t="shared" si="42"/>
        <v>0.21666666666666665</v>
      </c>
      <c r="S48" s="168">
        <f t="shared" si="42"/>
        <v>0.23333333333333331</v>
      </c>
      <c r="T48" s="168">
        <f t="shared" si="42"/>
        <v>0.24999999999999997</v>
      </c>
      <c r="U48" s="168">
        <f t="shared" si="42"/>
        <v>0.26666666666666666</v>
      </c>
      <c r="V48" s="168">
        <f t="shared" si="13"/>
        <v>0.28333333333333333</v>
      </c>
      <c r="W48" s="168">
        <f t="shared" si="13"/>
        <v>0.3</v>
      </c>
      <c r="X48" s="168">
        <f t="shared" si="13"/>
        <v>0.31666666666666665</v>
      </c>
      <c r="Y48" s="168">
        <f t="shared" si="13"/>
        <v>0.33333333333333331</v>
      </c>
      <c r="Z48" s="168">
        <f t="shared" si="13"/>
        <v>0.35</v>
      </c>
      <c r="AA48" s="168">
        <f t="shared" si="13"/>
        <v>0.36666666666666664</v>
      </c>
      <c r="AB48" s="168">
        <f t="shared" si="13"/>
        <v>0.3833333333333333</v>
      </c>
      <c r="AC48" s="168">
        <f t="shared" si="13"/>
        <v>0.39999999999999997</v>
      </c>
      <c r="AD48" s="168">
        <f t="shared" si="13"/>
        <v>0.41666666666666663</v>
      </c>
      <c r="AE48" s="168">
        <f t="shared" si="13"/>
        <v>0.43333333333333329</v>
      </c>
      <c r="AF48" s="168">
        <f t="shared" si="13"/>
        <v>0.44999999999999996</v>
      </c>
      <c r="AG48" s="168">
        <f t="shared" si="13"/>
        <v>0.46666666666666662</v>
      </c>
      <c r="AH48" s="168">
        <f t="shared" si="13"/>
        <v>0.48333333333333328</v>
      </c>
      <c r="AI48" s="168">
        <f>P5</f>
        <v>0.5</v>
      </c>
    </row>
    <row r="49" spans="1:35" x14ac:dyDescent="0.2">
      <c r="A49" s="310"/>
      <c r="B49" t="s">
        <v>309</v>
      </c>
      <c r="C49" t="s">
        <v>1748</v>
      </c>
      <c r="D49" t="s">
        <v>248</v>
      </c>
      <c r="E49" s="168">
        <f>F6</f>
        <v>0</v>
      </c>
      <c r="F49" s="168">
        <f t="shared" si="42"/>
        <v>1.6666666666666666E-2</v>
      </c>
      <c r="G49" s="168">
        <f t="shared" si="42"/>
        <v>3.3333333333333333E-2</v>
      </c>
      <c r="H49" s="168">
        <f t="shared" si="42"/>
        <v>0.05</v>
      </c>
      <c r="I49" s="168">
        <f t="shared" si="42"/>
        <v>6.6666666666666666E-2</v>
      </c>
      <c r="J49" s="168">
        <f t="shared" si="42"/>
        <v>8.3333333333333329E-2</v>
      </c>
      <c r="K49" s="168">
        <f t="shared" si="42"/>
        <v>9.9999999999999992E-2</v>
      </c>
      <c r="L49" s="168">
        <f t="shared" si="42"/>
        <v>0.11666666666666665</v>
      </c>
      <c r="M49" s="168">
        <f t="shared" si="42"/>
        <v>0.13333333333333333</v>
      </c>
      <c r="N49" s="168">
        <f t="shared" si="42"/>
        <v>0.15</v>
      </c>
      <c r="O49" s="168">
        <f t="shared" si="42"/>
        <v>0.16666666666666666</v>
      </c>
      <c r="P49" s="168">
        <f t="shared" si="42"/>
        <v>0.18333333333333332</v>
      </c>
      <c r="Q49" s="168">
        <f t="shared" si="42"/>
        <v>0.19999999999999998</v>
      </c>
      <c r="R49" s="168">
        <f t="shared" si="42"/>
        <v>0.21666666666666665</v>
      </c>
      <c r="S49" s="168">
        <f t="shared" si="42"/>
        <v>0.23333333333333331</v>
      </c>
      <c r="T49" s="168">
        <f t="shared" si="42"/>
        <v>0.24999999999999997</v>
      </c>
      <c r="U49" s="168">
        <f t="shared" si="42"/>
        <v>0.26666666666666666</v>
      </c>
      <c r="V49" s="168">
        <f t="shared" si="13"/>
        <v>0.28333333333333333</v>
      </c>
      <c r="W49" s="168">
        <f t="shared" si="13"/>
        <v>0.3</v>
      </c>
      <c r="X49" s="168">
        <f t="shared" si="13"/>
        <v>0.31666666666666665</v>
      </c>
      <c r="Y49" s="168">
        <f t="shared" si="13"/>
        <v>0.33333333333333331</v>
      </c>
      <c r="Z49" s="168">
        <f t="shared" si="13"/>
        <v>0.35</v>
      </c>
      <c r="AA49" s="168">
        <f t="shared" si="13"/>
        <v>0.36666666666666664</v>
      </c>
      <c r="AB49" s="168">
        <f t="shared" si="13"/>
        <v>0.3833333333333333</v>
      </c>
      <c r="AC49" s="168">
        <f t="shared" si="13"/>
        <v>0.39999999999999997</v>
      </c>
      <c r="AD49" s="168">
        <f t="shared" si="13"/>
        <v>0.41666666666666663</v>
      </c>
      <c r="AE49" s="168">
        <f t="shared" si="13"/>
        <v>0.43333333333333329</v>
      </c>
      <c r="AF49" s="168">
        <f t="shared" si="13"/>
        <v>0.44999999999999996</v>
      </c>
      <c r="AG49" s="168">
        <f t="shared" si="13"/>
        <v>0.46666666666666662</v>
      </c>
      <c r="AH49" s="168">
        <f t="shared" si="13"/>
        <v>0.48333333333333328</v>
      </c>
      <c r="AI49" s="168">
        <f>P6</f>
        <v>0.5</v>
      </c>
    </row>
    <row r="50" spans="1:35" s="67" customFormat="1" x14ac:dyDescent="0.2">
      <c r="A50" s="307"/>
      <c r="B50" s="67" t="s">
        <v>309</v>
      </c>
      <c r="C50" s="67" t="s">
        <v>1749</v>
      </c>
      <c r="D50" t="s">
        <v>474</v>
      </c>
      <c r="E50" s="201">
        <f>G3</f>
        <v>0.99650473690303254</v>
      </c>
      <c r="F50" s="201">
        <f t="shared" si="42"/>
        <v>0.9632879123395981</v>
      </c>
      <c r="G50" s="201">
        <f t="shared" si="42"/>
        <v>0.93007108777616365</v>
      </c>
      <c r="H50" s="201">
        <f t="shared" si="42"/>
        <v>0.89685426321272921</v>
      </c>
      <c r="I50" s="201">
        <f t="shared" si="42"/>
        <v>0.86363743864929476</v>
      </c>
      <c r="J50" s="201">
        <f t="shared" si="42"/>
        <v>0.83042061408586032</v>
      </c>
      <c r="K50" s="201">
        <f t="shared" si="42"/>
        <v>0.79720378952242588</v>
      </c>
      <c r="L50" s="201">
        <f t="shared" si="42"/>
        <v>0.76398696495899143</v>
      </c>
      <c r="M50" s="201">
        <f t="shared" si="42"/>
        <v>0.73077014039555699</v>
      </c>
      <c r="N50" s="201">
        <f t="shared" si="42"/>
        <v>0.69755331583212254</v>
      </c>
      <c r="O50" s="201">
        <f t="shared" si="42"/>
        <v>0.6643364912686881</v>
      </c>
      <c r="P50" s="201">
        <f t="shared" si="42"/>
        <v>0.63111966670525366</v>
      </c>
      <c r="Q50" s="201">
        <f t="shared" si="42"/>
        <v>0.59790284214181921</v>
      </c>
      <c r="R50" s="201">
        <f t="shared" si="42"/>
        <v>0.56468601757838477</v>
      </c>
      <c r="S50" s="201">
        <f t="shared" si="42"/>
        <v>0.53146919301495033</v>
      </c>
      <c r="T50" s="201">
        <f t="shared" si="42"/>
        <v>0.49825236845151588</v>
      </c>
      <c r="U50" s="201">
        <f t="shared" si="42"/>
        <v>0.46503554388808144</v>
      </c>
      <c r="V50" s="201">
        <f t="shared" si="13"/>
        <v>0.43181871932464699</v>
      </c>
      <c r="W50" s="201">
        <f t="shared" si="13"/>
        <v>0.39860189476121255</v>
      </c>
      <c r="X50" s="201">
        <f t="shared" si="13"/>
        <v>0.36538507019777811</v>
      </c>
      <c r="Y50" s="201">
        <f t="shared" si="13"/>
        <v>0.33216824563434366</v>
      </c>
      <c r="Z50" s="201">
        <f t="shared" si="13"/>
        <v>0.29895142107090922</v>
      </c>
      <c r="AA50" s="201">
        <f t="shared" si="13"/>
        <v>0.26573459650747477</v>
      </c>
      <c r="AB50" s="201">
        <f t="shared" si="13"/>
        <v>0.23251777194404036</v>
      </c>
      <c r="AC50" s="201">
        <f t="shared" si="13"/>
        <v>0.19930094738060594</v>
      </c>
      <c r="AD50" s="201">
        <f t="shared" si="13"/>
        <v>0.16608412281717153</v>
      </c>
      <c r="AE50" s="201">
        <f t="shared" si="13"/>
        <v>0.13286729825373711</v>
      </c>
      <c r="AF50" s="201">
        <f t="shared" si="13"/>
        <v>9.9650473690302693E-2</v>
      </c>
      <c r="AG50" s="201">
        <f t="shared" si="13"/>
        <v>6.6433649126868277E-2</v>
      </c>
      <c r="AH50" s="201">
        <f t="shared" si="13"/>
        <v>3.3216824563433861E-2</v>
      </c>
      <c r="AI50" s="201">
        <f>Q3</f>
        <v>0</v>
      </c>
    </row>
    <row r="51" spans="1:35" x14ac:dyDescent="0.2">
      <c r="A51" s="310"/>
      <c r="B51" s="67" t="s">
        <v>309</v>
      </c>
      <c r="C51" s="67" t="s">
        <v>1749</v>
      </c>
      <c r="D51" t="s">
        <v>478</v>
      </c>
      <c r="E51" s="201">
        <f>G4</f>
        <v>3.4952630969674104E-3</v>
      </c>
      <c r="F51" s="201">
        <f t="shared" ref="F51:U51" si="71">-($E51-$AI51)/30+E51</f>
        <v>3.3787543270684967E-3</v>
      </c>
      <c r="G51" s="201">
        <f t="shared" si="71"/>
        <v>3.262245557169583E-3</v>
      </c>
      <c r="H51" s="201">
        <f t="shared" si="71"/>
        <v>3.1457367872706693E-3</v>
      </c>
      <c r="I51" s="201">
        <f t="shared" si="71"/>
        <v>3.0292280173717556E-3</v>
      </c>
      <c r="J51" s="201">
        <f t="shared" si="71"/>
        <v>2.9127192474728419E-3</v>
      </c>
      <c r="K51" s="201">
        <f t="shared" si="71"/>
        <v>2.7962104775739282E-3</v>
      </c>
      <c r="L51" s="201">
        <f t="shared" si="71"/>
        <v>2.6797017076750146E-3</v>
      </c>
      <c r="M51" s="201">
        <f t="shared" si="71"/>
        <v>2.5631929377761009E-3</v>
      </c>
      <c r="N51" s="201">
        <f t="shared" si="71"/>
        <v>2.4466841678771872E-3</v>
      </c>
      <c r="O51" s="201">
        <f t="shared" si="71"/>
        <v>2.3301753979782735E-3</v>
      </c>
      <c r="P51" s="201">
        <f t="shared" si="71"/>
        <v>2.2136666280793598E-3</v>
      </c>
      <c r="Q51" s="201">
        <f t="shared" si="71"/>
        <v>2.0971578581804461E-3</v>
      </c>
      <c r="R51" s="201">
        <f t="shared" si="71"/>
        <v>1.9806490882815324E-3</v>
      </c>
      <c r="S51" s="201">
        <f t="shared" si="71"/>
        <v>1.8641403183826187E-3</v>
      </c>
      <c r="T51" s="201">
        <f t="shared" si="71"/>
        <v>1.747631548483705E-3</v>
      </c>
      <c r="U51" s="201">
        <f t="shared" si="71"/>
        <v>1.6311227785847913E-3</v>
      </c>
      <c r="V51" s="201">
        <f t="shared" ref="V51" si="72">-($E51-$AI51)/30+U51</f>
        <v>1.5146140086858776E-3</v>
      </c>
      <c r="W51" s="201">
        <f t="shared" ref="W51" si="73">-($E51-$AI51)/30+V51</f>
        <v>1.3981052387869639E-3</v>
      </c>
      <c r="X51" s="201">
        <f t="shared" ref="X51" si="74">-($E51-$AI51)/30+W51</f>
        <v>1.2815964688880502E-3</v>
      </c>
      <c r="Y51" s="201">
        <f t="shared" ref="Y51" si="75">-($E51-$AI51)/30+X51</f>
        <v>1.1650876989891365E-3</v>
      </c>
      <c r="Z51" s="201">
        <f t="shared" ref="Z51" si="76">-($E51-$AI51)/30+Y51</f>
        <v>1.0485789290902228E-3</v>
      </c>
      <c r="AA51" s="201">
        <f t="shared" ref="AA51" si="77">-($E51-$AI51)/30+Z51</f>
        <v>9.3207015919130913E-4</v>
      </c>
      <c r="AB51" s="201">
        <f t="shared" ref="AB51" si="78">-($E51-$AI51)/30+AA51</f>
        <v>8.1556138929239543E-4</v>
      </c>
      <c r="AC51" s="201">
        <f t="shared" ref="AC51" si="79">-($E51-$AI51)/30+AB51</f>
        <v>6.9905261939348174E-4</v>
      </c>
      <c r="AD51" s="201">
        <f t="shared" ref="AD51" si="80">-($E51-$AI51)/30+AC51</f>
        <v>5.8254384949456804E-4</v>
      </c>
      <c r="AE51" s="201">
        <f t="shared" ref="AE51" si="81">-($E51-$AI51)/30+AD51</f>
        <v>4.6603507959565435E-4</v>
      </c>
      <c r="AF51" s="201">
        <f t="shared" ref="AF51" si="82">-($E51-$AI51)/30+AE51</f>
        <v>3.4952630969674065E-4</v>
      </c>
      <c r="AG51" s="201">
        <f t="shared" ref="AG51" si="83">-($E51-$AI51)/30+AF51</f>
        <v>2.3301753979782696E-4</v>
      </c>
      <c r="AH51" s="201">
        <f t="shared" ref="AH51" si="84">-($E51-$AI51)/30+AG51</f>
        <v>1.1650876989891327E-4</v>
      </c>
      <c r="AI51" s="201">
        <f>Q4</f>
        <v>0</v>
      </c>
    </row>
    <row r="52" spans="1:35" x14ac:dyDescent="0.2">
      <c r="A52" s="310"/>
      <c r="B52" t="s">
        <v>309</v>
      </c>
      <c r="C52" t="s">
        <v>1749</v>
      </c>
      <c r="D52" t="s">
        <v>745</v>
      </c>
      <c r="E52" s="168">
        <f>G5</f>
        <v>0</v>
      </c>
      <c r="F52" s="168">
        <f t="shared" si="42"/>
        <v>1.6666666666666666E-2</v>
      </c>
      <c r="G52" s="168">
        <f t="shared" si="42"/>
        <v>3.3333333333333333E-2</v>
      </c>
      <c r="H52" s="168">
        <f t="shared" si="42"/>
        <v>0.05</v>
      </c>
      <c r="I52" s="168">
        <f t="shared" si="42"/>
        <v>6.6666666666666666E-2</v>
      </c>
      <c r="J52" s="168">
        <f t="shared" si="42"/>
        <v>8.3333333333333329E-2</v>
      </c>
      <c r="K52" s="168">
        <f t="shared" si="42"/>
        <v>9.9999999999999992E-2</v>
      </c>
      <c r="L52" s="168">
        <f t="shared" si="42"/>
        <v>0.11666666666666665</v>
      </c>
      <c r="M52" s="168">
        <f t="shared" si="42"/>
        <v>0.13333333333333333</v>
      </c>
      <c r="N52" s="168">
        <f t="shared" si="42"/>
        <v>0.15</v>
      </c>
      <c r="O52" s="168">
        <f t="shared" si="42"/>
        <v>0.16666666666666666</v>
      </c>
      <c r="P52" s="168">
        <f t="shared" si="42"/>
        <v>0.18333333333333332</v>
      </c>
      <c r="Q52" s="168">
        <f t="shared" si="42"/>
        <v>0.19999999999999998</v>
      </c>
      <c r="R52" s="168">
        <f t="shared" si="42"/>
        <v>0.21666666666666665</v>
      </c>
      <c r="S52" s="168">
        <f t="shared" si="42"/>
        <v>0.23333333333333331</v>
      </c>
      <c r="T52" s="168">
        <f t="shared" si="42"/>
        <v>0.24999999999999997</v>
      </c>
      <c r="U52" s="168">
        <f t="shared" si="42"/>
        <v>0.26666666666666666</v>
      </c>
      <c r="V52" s="168">
        <f t="shared" si="13"/>
        <v>0.28333333333333333</v>
      </c>
      <c r="W52" s="168">
        <f t="shared" si="13"/>
        <v>0.3</v>
      </c>
      <c r="X52" s="168">
        <f t="shared" si="13"/>
        <v>0.31666666666666665</v>
      </c>
      <c r="Y52" s="168">
        <f t="shared" si="13"/>
        <v>0.33333333333333331</v>
      </c>
      <c r="Z52" s="168">
        <f t="shared" si="13"/>
        <v>0.35</v>
      </c>
      <c r="AA52" s="168">
        <f t="shared" si="13"/>
        <v>0.36666666666666664</v>
      </c>
      <c r="AB52" s="168">
        <f t="shared" si="13"/>
        <v>0.3833333333333333</v>
      </c>
      <c r="AC52" s="168">
        <f t="shared" si="13"/>
        <v>0.39999999999999997</v>
      </c>
      <c r="AD52" s="168">
        <f t="shared" si="13"/>
        <v>0.41666666666666663</v>
      </c>
      <c r="AE52" s="168">
        <f t="shared" si="13"/>
        <v>0.43333333333333329</v>
      </c>
      <c r="AF52" s="168">
        <f t="shared" si="13"/>
        <v>0.44999999999999996</v>
      </c>
      <c r="AG52" s="168">
        <f t="shared" si="13"/>
        <v>0.46666666666666662</v>
      </c>
      <c r="AH52" s="168">
        <f t="shared" si="13"/>
        <v>0.48333333333333328</v>
      </c>
      <c r="AI52" s="168">
        <f>Q5</f>
        <v>0.5</v>
      </c>
    </row>
    <row r="53" spans="1:35" x14ac:dyDescent="0.2">
      <c r="A53" s="310"/>
      <c r="B53" t="s">
        <v>309</v>
      </c>
      <c r="C53" t="s">
        <v>1749</v>
      </c>
      <c r="D53" t="s">
        <v>248</v>
      </c>
      <c r="E53" s="168">
        <f>G6</f>
        <v>0</v>
      </c>
      <c r="F53" s="168">
        <f t="shared" si="42"/>
        <v>1.6666666666666666E-2</v>
      </c>
      <c r="G53" s="168">
        <f t="shared" si="42"/>
        <v>3.3333333333333333E-2</v>
      </c>
      <c r="H53" s="168">
        <f t="shared" si="42"/>
        <v>0.05</v>
      </c>
      <c r="I53" s="168">
        <f t="shared" si="42"/>
        <v>6.6666666666666666E-2</v>
      </c>
      <c r="J53" s="168">
        <f t="shared" si="42"/>
        <v>8.3333333333333329E-2</v>
      </c>
      <c r="K53" s="168">
        <f t="shared" si="42"/>
        <v>9.9999999999999992E-2</v>
      </c>
      <c r="L53" s="168">
        <f t="shared" si="42"/>
        <v>0.11666666666666665</v>
      </c>
      <c r="M53" s="168">
        <f t="shared" si="42"/>
        <v>0.13333333333333333</v>
      </c>
      <c r="N53" s="168">
        <f t="shared" si="42"/>
        <v>0.15</v>
      </c>
      <c r="O53" s="168">
        <f t="shared" si="42"/>
        <v>0.16666666666666666</v>
      </c>
      <c r="P53" s="168">
        <f t="shared" si="42"/>
        <v>0.18333333333333332</v>
      </c>
      <c r="Q53" s="168">
        <f t="shared" si="42"/>
        <v>0.19999999999999998</v>
      </c>
      <c r="R53" s="168">
        <f t="shared" si="42"/>
        <v>0.21666666666666665</v>
      </c>
      <c r="S53" s="168">
        <f t="shared" si="42"/>
        <v>0.23333333333333331</v>
      </c>
      <c r="T53" s="168">
        <f t="shared" si="42"/>
        <v>0.24999999999999997</v>
      </c>
      <c r="U53" s="168">
        <f t="shared" si="42"/>
        <v>0.26666666666666666</v>
      </c>
      <c r="V53" s="168">
        <f t="shared" si="13"/>
        <v>0.28333333333333333</v>
      </c>
      <c r="W53" s="168">
        <f t="shared" si="13"/>
        <v>0.3</v>
      </c>
      <c r="X53" s="168">
        <f t="shared" si="13"/>
        <v>0.31666666666666665</v>
      </c>
      <c r="Y53" s="168">
        <f t="shared" si="13"/>
        <v>0.33333333333333331</v>
      </c>
      <c r="Z53" s="168">
        <f t="shared" si="13"/>
        <v>0.35</v>
      </c>
      <c r="AA53" s="168">
        <f t="shared" si="13"/>
        <v>0.36666666666666664</v>
      </c>
      <c r="AB53" s="168">
        <f t="shared" si="13"/>
        <v>0.3833333333333333</v>
      </c>
      <c r="AC53" s="168">
        <f t="shared" si="13"/>
        <v>0.39999999999999997</v>
      </c>
      <c r="AD53" s="168">
        <f t="shared" si="13"/>
        <v>0.41666666666666663</v>
      </c>
      <c r="AE53" s="168">
        <f t="shared" si="13"/>
        <v>0.43333333333333329</v>
      </c>
      <c r="AF53" s="168">
        <f t="shared" si="13"/>
        <v>0.44999999999999996</v>
      </c>
      <c r="AG53" s="168">
        <f t="shared" si="13"/>
        <v>0.46666666666666662</v>
      </c>
      <c r="AH53" s="168">
        <f t="shared" si="13"/>
        <v>0.48333333333333328</v>
      </c>
      <c r="AI53" s="168">
        <f>Q6</f>
        <v>0.5</v>
      </c>
    </row>
    <row r="54" spans="1:35" s="67" customFormat="1" x14ac:dyDescent="0.2">
      <c r="A54" s="307"/>
      <c r="B54" s="67" t="s">
        <v>309</v>
      </c>
      <c r="C54" s="67" t="s">
        <v>1750</v>
      </c>
      <c r="D54" t="s">
        <v>474</v>
      </c>
      <c r="E54" s="201">
        <f>H3</f>
        <v>0.99650473690303254</v>
      </c>
      <c r="F54" s="201">
        <f t="shared" si="42"/>
        <v>0.98316980338329352</v>
      </c>
      <c r="G54" s="201">
        <f t="shared" si="42"/>
        <v>0.96983486986355449</v>
      </c>
      <c r="H54" s="201">
        <f t="shared" si="42"/>
        <v>0.95649993634381547</v>
      </c>
      <c r="I54" s="201">
        <f t="shared" si="42"/>
        <v>0.94316500282407645</v>
      </c>
      <c r="J54" s="201">
        <f t="shared" si="42"/>
        <v>0.92983006930433743</v>
      </c>
      <c r="K54" s="201">
        <f t="shared" si="42"/>
        <v>0.9164951357845984</v>
      </c>
      <c r="L54" s="201">
        <f t="shared" si="42"/>
        <v>0.90316020226485938</v>
      </c>
      <c r="M54" s="201">
        <f t="shared" si="42"/>
        <v>0.88982526874512036</v>
      </c>
      <c r="N54" s="201">
        <f t="shared" si="42"/>
        <v>0.87649033522538133</v>
      </c>
      <c r="O54" s="201">
        <f t="shared" si="42"/>
        <v>0.86315540170564231</v>
      </c>
      <c r="P54" s="201">
        <f t="shared" si="42"/>
        <v>0.84982046818590329</v>
      </c>
      <c r="Q54" s="201">
        <f t="shared" si="42"/>
        <v>0.83648553466616427</v>
      </c>
      <c r="R54" s="201">
        <f t="shared" si="42"/>
        <v>0.82315060114642524</v>
      </c>
      <c r="S54" s="201">
        <f t="shared" si="42"/>
        <v>0.80981566762668622</v>
      </c>
      <c r="T54" s="201">
        <f t="shared" si="42"/>
        <v>0.7964807341069472</v>
      </c>
      <c r="U54" s="201">
        <f t="shared" si="42"/>
        <v>0.78314580058720817</v>
      </c>
      <c r="V54" s="201">
        <f t="shared" si="13"/>
        <v>0.76981086706746915</v>
      </c>
      <c r="W54" s="201">
        <f t="shared" si="13"/>
        <v>0.75647593354773013</v>
      </c>
      <c r="X54" s="201">
        <f t="shared" si="13"/>
        <v>0.74314100002799111</v>
      </c>
      <c r="Y54" s="201">
        <f t="shared" si="13"/>
        <v>0.72980606650825208</v>
      </c>
      <c r="Z54" s="201">
        <f t="shared" si="13"/>
        <v>0.71647113298851306</v>
      </c>
      <c r="AA54" s="201">
        <f t="shared" si="13"/>
        <v>0.70313619946877404</v>
      </c>
      <c r="AB54" s="201">
        <f t="shared" si="13"/>
        <v>0.68980126594903501</v>
      </c>
      <c r="AC54" s="201">
        <f t="shared" si="13"/>
        <v>0.67646633242929599</v>
      </c>
      <c r="AD54" s="201">
        <f t="shared" si="13"/>
        <v>0.66313139890955697</v>
      </c>
      <c r="AE54" s="201">
        <f t="shared" si="13"/>
        <v>0.64979646538981795</v>
      </c>
      <c r="AF54" s="201">
        <f t="shared" si="13"/>
        <v>0.63646153187007892</v>
      </c>
      <c r="AG54" s="201">
        <f t="shared" si="13"/>
        <v>0.6231265983503399</v>
      </c>
      <c r="AH54" s="201">
        <f t="shared" si="13"/>
        <v>0.60979166483060088</v>
      </c>
      <c r="AI54" s="201">
        <f>R3</f>
        <v>0.59645673131086063</v>
      </c>
    </row>
    <row r="55" spans="1:35" x14ac:dyDescent="0.2">
      <c r="A55" s="310"/>
      <c r="B55" s="67" t="s">
        <v>309</v>
      </c>
      <c r="C55" s="67" t="s">
        <v>1750</v>
      </c>
      <c r="D55" t="s">
        <v>478</v>
      </c>
      <c r="E55" s="201">
        <f>H4</f>
        <v>3.4952630969674104E-3</v>
      </c>
      <c r="F55" s="201">
        <f t="shared" ref="F55:U55" si="85">-($E55-$AI55)/30+E55</f>
        <v>1.4136078919419853E-2</v>
      </c>
      <c r="G55" s="201">
        <f t="shared" si="85"/>
        <v>2.4776894741872293E-2</v>
      </c>
      <c r="H55" s="201">
        <f t="shared" si="85"/>
        <v>3.5417710564324738E-2</v>
      </c>
      <c r="I55" s="201">
        <f t="shared" si="85"/>
        <v>4.6058526386777182E-2</v>
      </c>
      <c r="J55" s="201">
        <f t="shared" si="85"/>
        <v>5.6699342209229626E-2</v>
      </c>
      <c r="K55" s="201">
        <f t="shared" si="85"/>
        <v>6.7340158031682071E-2</v>
      </c>
      <c r="L55" s="201">
        <f t="shared" si="85"/>
        <v>7.7980973854134508E-2</v>
      </c>
      <c r="M55" s="201">
        <f t="shared" si="85"/>
        <v>8.8621789676586946E-2</v>
      </c>
      <c r="N55" s="201">
        <f t="shared" si="85"/>
        <v>9.9262605499039383E-2</v>
      </c>
      <c r="O55" s="201">
        <f t="shared" si="85"/>
        <v>0.10990342132149182</v>
      </c>
      <c r="P55" s="201">
        <f t="shared" si="85"/>
        <v>0.12054423714394426</v>
      </c>
      <c r="Q55" s="201">
        <f t="shared" si="85"/>
        <v>0.13118505296639671</v>
      </c>
      <c r="R55" s="201">
        <f t="shared" si="85"/>
        <v>0.14182586878884915</v>
      </c>
      <c r="S55" s="201">
        <f t="shared" si="85"/>
        <v>0.15246668461130158</v>
      </c>
      <c r="T55" s="201">
        <f t="shared" si="85"/>
        <v>0.16310750043375402</v>
      </c>
      <c r="U55" s="201">
        <f t="shared" si="85"/>
        <v>0.17374831625620646</v>
      </c>
      <c r="V55" s="201">
        <f t="shared" ref="V55" si="86">-($E55-$AI55)/30+U55</f>
        <v>0.1843891320786589</v>
      </c>
      <c r="W55" s="201">
        <f t="shared" ref="W55" si="87">-($E55-$AI55)/30+V55</f>
        <v>0.19502994790111133</v>
      </c>
      <c r="X55" s="201">
        <f t="shared" ref="X55" si="88">-($E55-$AI55)/30+W55</f>
        <v>0.20567076372356377</v>
      </c>
      <c r="Y55" s="201">
        <f t="shared" ref="Y55" si="89">-($E55-$AI55)/30+X55</f>
        <v>0.21631157954601621</v>
      </c>
      <c r="Z55" s="201">
        <f t="shared" ref="Z55" si="90">-($E55-$AI55)/30+Y55</f>
        <v>0.22695239536846865</v>
      </c>
      <c r="AA55" s="201">
        <f t="shared" ref="AA55" si="91">-($E55-$AI55)/30+Z55</f>
        <v>0.23759321119092108</v>
      </c>
      <c r="AB55" s="201">
        <f t="shared" ref="AB55" si="92">-($E55-$AI55)/30+AA55</f>
        <v>0.24823402701337352</v>
      </c>
      <c r="AC55" s="201">
        <f t="shared" ref="AC55" si="93">-($E55-$AI55)/30+AB55</f>
        <v>0.25887484283582596</v>
      </c>
      <c r="AD55" s="201">
        <f t="shared" ref="AD55" si="94">-($E55-$AI55)/30+AC55</f>
        <v>0.26951565865827842</v>
      </c>
      <c r="AE55" s="201">
        <f t="shared" ref="AE55" si="95">-($E55-$AI55)/30+AD55</f>
        <v>0.28015647448073089</v>
      </c>
      <c r="AF55" s="201">
        <f t="shared" ref="AF55" si="96">-($E55-$AI55)/30+AE55</f>
        <v>0.29079729030318335</v>
      </c>
      <c r="AG55" s="201">
        <f t="shared" ref="AG55" si="97">-($E55-$AI55)/30+AF55</f>
        <v>0.30143810612563582</v>
      </c>
      <c r="AH55" s="201">
        <f t="shared" ref="AH55" si="98">-($E55-$AI55)/30+AG55</f>
        <v>0.31207892194808828</v>
      </c>
      <c r="AI55" s="201">
        <f>R4</f>
        <v>0.32271973777054069</v>
      </c>
    </row>
    <row r="56" spans="1:35" x14ac:dyDescent="0.2">
      <c r="A56" s="310"/>
      <c r="B56" t="s">
        <v>309</v>
      </c>
      <c r="C56" t="s">
        <v>1750</v>
      </c>
      <c r="D56" t="s">
        <v>745</v>
      </c>
      <c r="E56" s="168">
        <f>H5</f>
        <v>0</v>
      </c>
      <c r="F56" s="168">
        <f t="shared" si="42"/>
        <v>2.4801821613036536E-3</v>
      </c>
      <c r="G56" s="168">
        <f t="shared" si="42"/>
        <v>4.9603643226073073E-3</v>
      </c>
      <c r="H56" s="168">
        <f t="shared" si="42"/>
        <v>7.4405464839109609E-3</v>
      </c>
      <c r="I56" s="168">
        <f t="shared" si="42"/>
        <v>9.9207286452146146E-3</v>
      </c>
      <c r="J56" s="168">
        <f t="shared" si="42"/>
        <v>1.2400910806518268E-2</v>
      </c>
      <c r="K56" s="168">
        <f t="shared" si="42"/>
        <v>1.4881092967821922E-2</v>
      </c>
      <c r="L56" s="168">
        <f t="shared" si="42"/>
        <v>1.7361275129125574E-2</v>
      </c>
      <c r="M56" s="168">
        <f t="shared" si="42"/>
        <v>1.9841457290429229E-2</v>
      </c>
      <c r="N56" s="168">
        <f t="shared" si="42"/>
        <v>2.2321639451732884E-2</v>
      </c>
      <c r="O56" s="168">
        <f t="shared" si="42"/>
        <v>2.480182161303654E-2</v>
      </c>
      <c r="P56" s="168">
        <f t="shared" si="42"/>
        <v>2.7282003774340195E-2</v>
      </c>
      <c r="Q56" s="168">
        <f t="shared" si="42"/>
        <v>2.9762185935643851E-2</v>
      </c>
      <c r="R56" s="168">
        <f t="shared" si="42"/>
        <v>3.2242368096947506E-2</v>
      </c>
      <c r="S56" s="168">
        <f t="shared" si="42"/>
        <v>3.4722550258251161E-2</v>
      </c>
      <c r="T56" s="168">
        <f t="shared" si="42"/>
        <v>3.7202732419554817E-2</v>
      </c>
      <c r="U56" s="168">
        <f t="shared" si="42"/>
        <v>3.9682914580858472E-2</v>
      </c>
      <c r="V56" s="168">
        <f t="shared" si="13"/>
        <v>4.2163096742162127E-2</v>
      </c>
      <c r="W56" s="168">
        <f t="shared" si="13"/>
        <v>4.4643278903465783E-2</v>
      </c>
      <c r="X56" s="168">
        <f t="shared" si="13"/>
        <v>4.7123461064769438E-2</v>
      </c>
      <c r="Y56" s="168">
        <f t="shared" si="13"/>
        <v>4.9603643226073094E-2</v>
      </c>
      <c r="Z56" s="168">
        <f t="shared" si="13"/>
        <v>5.2083825387376749E-2</v>
      </c>
      <c r="AA56" s="168">
        <f t="shared" si="13"/>
        <v>5.4564007548680404E-2</v>
      </c>
      <c r="AB56" s="168">
        <f t="shared" si="13"/>
        <v>5.704418970998406E-2</v>
      </c>
      <c r="AC56" s="168">
        <f t="shared" si="13"/>
        <v>5.9524371871287715E-2</v>
      </c>
      <c r="AD56" s="168">
        <f t="shared" si="13"/>
        <v>6.200455403259137E-2</v>
      </c>
      <c r="AE56" s="168">
        <f t="shared" si="13"/>
        <v>6.4484736193895026E-2</v>
      </c>
      <c r="AF56" s="168">
        <f t="shared" si="13"/>
        <v>6.6964918355198674E-2</v>
      </c>
      <c r="AG56" s="168">
        <f t="shared" si="13"/>
        <v>6.9445100516502323E-2</v>
      </c>
      <c r="AH56" s="168">
        <f t="shared" si="13"/>
        <v>7.1925282677805971E-2</v>
      </c>
      <c r="AI56" s="168">
        <f>R5</f>
        <v>7.4405464839109606E-2</v>
      </c>
    </row>
    <row r="57" spans="1:35" x14ac:dyDescent="0.2">
      <c r="A57" s="310"/>
      <c r="B57" t="s">
        <v>309</v>
      </c>
      <c r="C57" t="s">
        <v>1750</v>
      </c>
      <c r="D57" t="s">
        <v>248</v>
      </c>
      <c r="E57" s="168">
        <f>H6</f>
        <v>0</v>
      </c>
      <c r="F57" s="168">
        <f t="shared" si="42"/>
        <v>2.1393553598297266E-4</v>
      </c>
      <c r="G57" s="168">
        <f t="shared" si="42"/>
        <v>4.2787107196594533E-4</v>
      </c>
      <c r="H57" s="168">
        <f t="shared" si="42"/>
        <v>6.4180660794891796E-4</v>
      </c>
      <c r="I57" s="168">
        <f t="shared" si="42"/>
        <v>8.5574214393189065E-4</v>
      </c>
      <c r="J57" s="168">
        <f t="shared" si="42"/>
        <v>1.0696776799148633E-3</v>
      </c>
      <c r="K57" s="168">
        <f t="shared" si="42"/>
        <v>1.2836132158978359E-3</v>
      </c>
      <c r="L57" s="168">
        <f t="shared" si="42"/>
        <v>1.4975487518808085E-3</v>
      </c>
      <c r="M57" s="168">
        <f t="shared" si="42"/>
        <v>1.7114842878637811E-3</v>
      </c>
      <c r="N57" s="168">
        <f t="shared" si="42"/>
        <v>1.9254198238467537E-3</v>
      </c>
      <c r="O57" s="168">
        <f t="shared" si="42"/>
        <v>2.1393553598297262E-3</v>
      </c>
      <c r="P57" s="168">
        <f t="shared" si="42"/>
        <v>2.3532908958126988E-3</v>
      </c>
      <c r="Q57" s="168">
        <f t="shared" si="42"/>
        <v>2.5672264317956714E-3</v>
      </c>
      <c r="R57" s="168">
        <f t="shared" si="42"/>
        <v>2.781161967778644E-3</v>
      </c>
      <c r="S57" s="168">
        <f t="shared" si="42"/>
        <v>2.9950975037616166E-3</v>
      </c>
      <c r="T57" s="168">
        <f t="shared" si="42"/>
        <v>3.2090330397445892E-3</v>
      </c>
      <c r="U57" s="168">
        <f t="shared" si="42"/>
        <v>3.4229685757275617E-3</v>
      </c>
      <c r="V57" s="168">
        <f t="shared" si="13"/>
        <v>3.6369041117105343E-3</v>
      </c>
      <c r="W57" s="168">
        <f t="shared" si="13"/>
        <v>3.8508396476935069E-3</v>
      </c>
      <c r="X57" s="168">
        <f t="shared" si="13"/>
        <v>4.0647751836764799E-3</v>
      </c>
      <c r="Y57" s="168">
        <f t="shared" si="13"/>
        <v>4.2787107196594525E-3</v>
      </c>
      <c r="Z57" s="168">
        <f t="shared" si="13"/>
        <v>4.4926462556424251E-3</v>
      </c>
      <c r="AA57" s="168">
        <f t="shared" si="13"/>
        <v>4.7065817916253977E-3</v>
      </c>
      <c r="AB57" s="168">
        <f t="shared" si="13"/>
        <v>4.9205173276083702E-3</v>
      </c>
      <c r="AC57" s="168">
        <f t="shared" si="13"/>
        <v>5.1344528635913428E-3</v>
      </c>
      <c r="AD57" s="168">
        <f t="shared" si="13"/>
        <v>5.3483883995743154E-3</v>
      </c>
      <c r="AE57" s="168">
        <f t="shared" si="13"/>
        <v>5.562323935557288E-3</v>
      </c>
      <c r="AF57" s="168">
        <f t="shared" si="13"/>
        <v>5.7762594715402606E-3</v>
      </c>
      <c r="AG57" s="168">
        <f t="shared" si="13"/>
        <v>5.9901950075232331E-3</v>
      </c>
      <c r="AH57" s="168">
        <f t="shared" si="13"/>
        <v>6.2041305435062057E-3</v>
      </c>
      <c r="AI57" s="168">
        <f>R6</f>
        <v>6.41806607948918E-3</v>
      </c>
    </row>
    <row r="58" spans="1:35" s="67" customFormat="1" x14ac:dyDescent="0.2">
      <c r="A58" s="307"/>
      <c r="B58" s="67" t="s">
        <v>370</v>
      </c>
      <c r="C58" s="67" t="s">
        <v>1746</v>
      </c>
      <c r="D58" s="67" t="s">
        <v>474</v>
      </c>
      <c r="E58" s="201">
        <f>D10</f>
        <v>0</v>
      </c>
      <c r="F58" s="201">
        <f t="shared" si="42"/>
        <v>0</v>
      </c>
      <c r="G58" s="201">
        <f t="shared" si="42"/>
        <v>0</v>
      </c>
      <c r="H58" s="201">
        <f t="shared" si="42"/>
        <v>0</v>
      </c>
      <c r="I58" s="201">
        <f t="shared" si="42"/>
        <v>0</v>
      </c>
      <c r="J58" s="201">
        <f t="shared" si="42"/>
        <v>0</v>
      </c>
      <c r="K58" s="201">
        <f t="shared" si="42"/>
        <v>0</v>
      </c>
      <c r="L58" s="201">
        <f t="shared" si="42"/>
        <v>0</v>
      </c>
      <c r="M58" s="201">
        <f t="shared" si="42"/>
        <v>0</v>
      </c>
      <c r="N58" s="201">
        <f t="shared" si="42"/>
        <v>0</v>
      </c>
      <c r="O58" s="201">
        <f t="shared" si="42"/>
        <v>0</v>
      </c>
      <c r="P58" s="201">
        <f t="shared" si="42"/>
        <v>0</v>
      </c>
      <c r="Q58" s="201">
        <f t="shared" si="42"/>
        <v>0</v>
      </c>
      <c r="R58" s="201">
        <f t="shared" si="42"/>
        <v>0</v>
      </c>
      <c r="S58" s="201">
        <f t="shared" si="42"/>
        <v>0</v>
      </c>
      <c r="T58" s="201">
        <f t="shared" si="42"/>
        <v>0</v>
      </c>
      <c r="U58" s="201">
        <f t="shared" si="42"/>
        <v>0</v>
      </c>
      <c r="V58" s="201">
        <f t="shared" si="13"/>
        <v>0</v>
      </c>
      <c r="W58" s="201">
        <f t="shared" si="13"/>
        <v>0</v>
      </c>
      <c r="X58" s="201">
        <f t="shared" si="13"/>
        <v>0</v>
      </c>
      <c r="Y58" s="201">
        <f t="shared" si="13"/>
        <v>0</v>
      </c>
      <c r="Z58" s="201">
        <f t="shared" si="13"/>
        <v>0</v>
      </c>
      <c r="AA58" s="201">
        <f t="shared" si="13"/>
        <v>0</v>
      </c>
      <c r="AB58" s="201">
        <f t="shared" si="13"/>
        <v>0</v>
      </c>
      <c r="AC58" s="201">
        <f t="shared" si="13"/>
        <v>0</v>
      </c>
      <c r="AD58" s="201">
        <f t="shared" si="13"/>
        <v>0</v>
      </c>
      <c r="AE58" s="201">
        <f t="shared" si="13"/>
        <v>0</v>
      </c>
      <c r="AF58" s="201">
        <f t="shared" si="13"/>
        <v>0</v>
      </c>
      <c r="AG58" s="201">
        <f t="shared" si="13"/>
        <v>0</v>
      </c>
      <c r="AH58" s="201">
        <f t="shared" si="13"/>
        <v>0</v>
      </c>
      <c r="AI58" s="201">
        <f>N10</f>
        <v>0</v>
      </c>
    </row>
    <row r="59" spans="1:35" x14ac:dyDescent="0.2">
      <c r="A59" s="310"/>
      <c r="B59" s="67" t="s">
        <v>370</v>
      </c>
      <c r="C59" s="67" t="s">
        <v>1746</v>
      </c>
      <c r="D59" t="s">
        <v>478</v>
      </c>
      <c r="E59" s="201">
        <f>D11</f>
        <v>0.59541984732824427</v>
      </c>
      <c r="F59" s="201">
        <f t="shared" ref="F59:U59" si="99">-($E59-$AI59)/30+E59</f>
        <v>0.57557251908396945</v>
      </c>
      <c r="G59" s="201">
        <f t="shared" si="99"/>
        <v>0.55572519083969463</v>
      </c>
      <c r="H59" s="201">
        <f t="shared" si="99"/>
        <v>0.53587786259541981</v>
      </c>
      <c r="I59" s="201">
        <f t="shared" si="99"/>
        <v>0.51603053435114499</v>
      </c>
      <c r="J59" s="201">
        <f t="shared" si="99"/>
        <v>0.49618320610687017</v>
      </c>
      <c r="K59" s="201">
        <f t="shared" si="99"/>
        <v>0.47633587786259535</v>
      </c>
      <c r="L59" s="201">
        <f t="shared" si="99"/>
        <v>0.45648854961832053</v>
      </c>
      <c r="M59" s="201">
        <f t="shared" si="99"/>
        <v>0.43664122137404571</v>
      </c>
      <c r="N59" s="201">
        <f t="shared" si="99"/>
        <v>0.41679389312977089</v>
      </c>
      <c r="O59" s="201">
        <f t="shared" si="99"/>
        <v>0.39694656488549607</v>
      </c>
      <c r="P59" s="201">
        <f t="shared" si="99"/>
        <v>0.37709923664122125</v>
      </c>
      <c r="Q59" s="201">
        <f t="shared" si="99"/>
        <v>0.35725190839694643</v>
      </c>
      <c r="R59" s="201">
        <f t="shared" si="99"/>
        <v>0.33740458015267161</v>
      </c>
      <c r="S59" s="201">
        <f t="shared" si="99"/>
        <v>0.31755725190839679</v>
      </c>
      <c r="T59" s="201">
        <f t="shared" si="99"/>
        <v>0.29770992366412197</v>
      </c>
      <c r="U59" s="201">
        <f t="shared" si="99"/>
        <v>0.27786259541984715</v>
      </c>
      <c r="V59" s="201">
        <f t="shared" ref="V59" si="100">-($E59-$AI59)/30+U59</f>
        <v>0.25801526717557233</v>
      </c>
      <c r="W59" s="201">
        <f t="shared" ref="W59" si="101">-($E59-$AI59)/30+V59</f>
        <v>0.23816793893129751</v>
      </c>
      <c r="X59" s="201">
        <f t="shared" ref="X59" si="102">-($E59-$AI59)/30+W59</f>
        <v>0.21832061068702269</v>
      </c>
      <c r="Y59" s="201">
        <f t="shared" ref="Y59" si="103">-($E59-$AI59)/30+X59</f>
        <v>0.19847328244274787</v>
      </c>
      <c r="Z59" s="201">
        <f t="shared" ref="Z59" si="104">-($E59-$AI59)/30+Y59</f>
        <v>0.17862595419847305</v>
      </c>
      <c r="AA59" s="201">
        <f t="shared" ref="AA59" si="105">-($E59-$AI59)/30+Z59</f>
        <v>0.15877862595419823</v>
      </c>
      <c r="AB59" s="201">
        <f t="shared" ref="AB59" si="106">-($E59-$AI59)/30+AA59</f>
        <v>0.13893129770992341</v>
      </c>
      <c r="AC59" s="201">
        <f t="shared" ref="AC59" si="107">-($E59-$AI59)/30+AB59</f>
        <v>0.1190839694656486</v>
      </c>
      <c r="AD59" s="201">
        <f t="shared" ref="AD59" si="108">-($E59-$AI59)/30+AC59</f>
        <v>9.9236641221373795E-2</v>
      </c>
      <c r="AE59" s="201">
        <f t="shared" ref="AE59" si="109">-($E59-$AI59)/30+AD59</f>
        <v>7.9389312977098989E-2</v>
      </c>
      <c r="AF59" s="201">
        <f t="shared" ref="AF59" si="110">-($E59-$AI59)/30+AE59</f>
        <v>5.9541984732824182E-2</v>
      </c>
      <c r="AG59" s="201">
        <f t="shared" ref="AG59" si="111">-($E59-$AI59)/30+AF59</f>
        <v>3.9694656488549376E-2</v>
      </c>
      <c r="AH59" s="201">
        <f t="shared" ref="AH59" si="112">-($E59-$AI59)/30+AG59</f>
        <v>1.9847328244274567E-2</v>
      </c>
      <c r="AI59" s="201">
        <f>N11</f>
        <v>0</v>
      </c>
    </row>
    <row r="60" spans="1:35" x14ac:dyDescent="0.2">
      <c r="A60" s="310"/>
      <c r="B60" t="s">
        <v>370</v>
      </c>
      <c r="D60" t="s">
        <v>745</v>
      </c>
      <c r="E60" s="168">
        <f>D12</f>
        <v>0</v>
      </c>
      <c r="F60" s="168">
        <f t="shared" si="42"/>
        <v>1.7104210105899357E-2</v>
      </c>
      <c r="G60" s="168">
        <f t="shared" si="42"/>
        <v>3.4208420211798714E-2</v>
      </c>
      <c r="H60" s="168">
        <f t="shared" si="42"/>
        <v>5.1312630317698074E-2</v>
      </c>
      <c r="I60" s="168">
        <f t="shared" si="42"/>
        <v>6.8416840423597428E-2</v>
      </c>
      <c r="J60" s="168">
        <f t="shared" si="42"/>
        <v>8.5521050529496781E-2</v>
      </c>
      <c r="K60" s="168">
        <f t="shared" si="42"/>
        <v>0.10262526063539613</v>
      </c>
      <c r="L60" s="168">
        <f t="shared" si="42"/>
        <v>0.11972947074129549</v>
      </c>
      <c r="M60" s="168">
        <f t="shared" si="42"/>
        <v>0.13683368084719486</v>
      </c>
      <c r="N60" s="168">
        <f t="shared" si="42"/>
        <v>0.15393789095309421</v>
      </c>
      <c r="O60" s="168">
        <f t="shared" si="42"/>
        <v>0.17104210105899356</v>
      </c>
      <c r="P60" s="168">
        <f t="shared" si="42"/>
        <v>0.18814631116489292</v>
      </c>
      <c r="Q60" s="168">
        <f t="shared" si="42"/>
        <v>0.20525052127079227</v>
      </c>
      <c r="R60" s="168">
        <f t="shared" si="42"/>
        <v>0.22235473137669162</v>
      </c>
      <c r="S60" s="168">
        <f t="shared" si="42"/>
        <v>0.23945894148259098</v>
      </c>
      <c r="T60" s="168">
        <f t="shared" si="42"/>
        <v>0.25656315158849036</v>
      </c>
      <c r="U60" s="168">
        <f t="shared" ref="U60:AH80" si="113">-($E60-$AI60)/30+T60</f>
        <v>0.27366736169438971</v>
      </c>
      <c r="V60" s="168">
        <f t="shared" si="113"/>
        <v>0.29077157180028906</v>
      </c>
      <c r="W60" s="168">
        <f t="shared" si="113"/>
        <v>0.30787578190618842</v>
      </c>
      <c r="X60" s="168">
        <f t="shared" si="113"/>
        <v>0.32497999201208777</v>
      </c>
      <c r="Y60" s="168">
        <f t="shared" si="113"/>
        <v>0.34208420211798712</v>
      </c>
      <c r="Z60" s="168">
        <f t="shared" si="113"/>
        <v>0.35918841222388648</v>
      </c>
      <c r="AA60" s="168">
        <f t="shared" si="113"/>
        <v>0.37629262232978583</v>
      </c>
      <c r="AB60" s="168">
        <f t="shared" si="113"/>
        <v>0.39339683243568518</v>
      </c>
      <c r="AC60" s="168">
        <f t="shared" si="113"/>
        <v>0.41050104254158454</v>
      </c>
      <c r="AD60" s="168">
        <f t="shared" si="113"/>
        <v>0.42760525264748389</v>
      </c>
      <c r="AE60" s="168">
        <f t="shared" si="113"/>
        <v>0.44470946275338324</v>
      </c>
      <c r="AF60" s="168">
        <f t="shared" si="113"/>
        <v>0.4618136728592826</v>
      </c>
      <c r="AG60" s="168">
        <f t="shared" si="113"/>
        <v>0.47891788296518195</v>
      </c>
      <c r="AH60" s="168">
        <f t="shared" si="113"/>
        <v>0.4960220930710813</v>
      </c>
      <c r="AI60" s="168">
        <f>N12</f>
        <v>0.51312630317698071</v>
      </c>
    </row>
    <row r="61" spans="1:35" s="68" customFormat="1" x14ac:dyDescent="0.2">
      <c r="A61" s="311"/>
      <c r="B61" s="68" t="s">
        <v>370</v>
      </c>
      <c r="D61" s="68" t="s">
        <v>248</v>
      </c>
      <c r="E61" s="421">
        <f>D13</f>
        <v>0.40458015267175568</v>
      </c>
      <c r="F61" s="421">
        <f t="shared" ref="F61:U81" si="114">-($E61-$AI61)/30+E61</f>
        <v>0.40732327081013114</v>
      </c>
      <c r="G61" s="421">
        <f t="shared" si="114"/>
        <v>0.41006638894850661</v>
      </c>
      <c r="H61" s="421">
        <f t="shared" si="114"/>
        <v>0.41280950708688208</v>
      </c>
      <c r="I61" s="421">
        <f t="shared" si="114"/>
        <v>0.41555262522525754</v>
      </c>
      <c r="J61" s="421">
        <f t="shared" si="114"/>
        <v>0.41829574336363301</v>
      </c>
      <c r="K61" s="421">
        <f t="shared" si="114"/>
        <v>0.42103886150200848</v>
      </c>
      <c r="L61" s="421">
        <f t="shared" si="114"/>
        <v>0.42378197964038394</v>
      </c>
      <c r="M61" s="421">
        <f t="shared" si="114"/>
        <v>0.42652509777875941</v>
      </c>
      <c r="N61" s="421">
        <f t="shared" si="114"/>
        <v>0.42926821591713488</v>
      </c>
      <c r="O61" s="421">
        <f t="shared" si="114"/>
        <v>0.43201133405551034</v>
      </c>
      <c r="P61" s="421">
        <f t="shared" si="114"/>
        <v>0.43475445219388581</v>
      </c>
      <c r="Q61" s="421">
        <f t="shared" si="114"/>
        <v>0.43749757033226128</v>
      </c>
      <c r="R61" s="421">
        <f t="shared" si="114"/>
        <v>0.44024068847063674</v>
      </c>
      <c r="S61" s="421">
        <f t="shared" si="114"/>
        <v>0.44298380660901221</v>
      </c>
      <c r="T61" s="421">
        <f t="shared" si="114"/>
        <v>0.44572692474738768</v>
      </c>
      <c r="U61" s="421">
        <f t="shared" si="114"/>
        <v>0.44847004288576314</v>
      </c>
      <c r="V61" s="421">
        <f t="shared" si="113"/>
        <v>0.45121316102413861</v>
      </c>
      <c r="W61" s="421">
        <f t="shared" si="113"/>
        <v>0.45395627916251408</v>
      </c>
      <c r="X61" s="421">
        <f t="shared" si="113"/>
        <v>0.45669939730088954</v>
      </c>
      <c r="Y61" s="421">
        <f t="shared" si="113"/>
        <v>0.45944251543926501</v>
      </c>
      <c r="Z61" s="421">
        <f t="shared" si="113"/>
        <v>0.46218563357764048</v>
      </c>
      <c r="AA61" s="421">
        <f t="shared" si="113"/>
        <v>0.46492875171601594</v>
      </c>
      <c r="AB61" s="421">
        <f t="shared" si="113"/>
        <v>0.46767186985439141</v>
      </c>
      <c r="AC61" s="421">
        <f t="shared" si="113"/>
        <v>0.47041498799276688</v>
      </c>
      <c r="AD61" s="421">
        <f t="shared" si="113"/>
        <v>0.47315810613114234</v>
      </c>
      <c r="AE61" s="421">
        <f t="shared" si="113"/>
        <v>0.47590122426951781</v>
      </c>
      <c r="AF61" s="421">
        <f t="shared" si="113"/>
        <v>0.47864434240789328</v>
      </c>
      <c r="AG61" s="421">
        <f t="shared" si="113"/>
        <v>0.48138746054626874</v>
      </c>
      <c r="AH61" s="421">
        <f t="shared" si="113"/>
        <v>0.48413057868464421</v>
      </c>
      <c r="AI61" s="421">
        <f>N13</f>
        <v>0.48687369682301923</v>
      </c>
    </row>
    <row r="62" spans="1:35" x14ac:dyDescent="0.2">
      <c r="A62" s="310"/>
      <c r="B62" t="s">
        <v>370</v>
      </c>
      <c r="C62" t="s">
        <v>1753</v>
      </c>
      <c r="D62" t="s">
        <v>474</v>
      </c>
      <c r="E62" s="168">
        <f>E10</f>
        <v>0</v>
      </c>
      <c r="F62" s="168">
        <f t="shared" si="114"/>
        <v>0</v>
      </c>
      <c r="G62" s="168">
        <f t="shared" si="114"/>
        <v>0</v>
      </c>
      <c r="H62" s="168">
        <f t="shared" si="114"/>
        <v>0</v>
      </c>
      <c r="I62" s="168">
        <f t="shared" si="114"/>
        <v>0</v>
      </c>
      <c r="J62" s="168">
        <f t="shared" si="114"/>
        <v>0</v>
      </c>
      <c r="K62" s="168">
        <f t="shared" si="114"/>
        <v>0</v>
      </c>
      <c r="L62" s="168">
        <f t="shared" si="114"/>
        <v>0</v>
      </c>
      <c r="M62" s="168">
        <f t="shared" si="114"/>
        <v>0</v>
      </c>
      <c r="N62" s="168">
        <f t="shared" si="114"/>
        <v>0</v>
      </c>
      <c r="O62" s="168">
        <f t="shared" si="114"/>
        <v>0</v>
      </c>
      <c r="P62" s="168">
        <f t="shared" si="114"/>
        <v>0</v>
      </c>
      <c r="Q62" s="168">
        <f t="shared" si="114"/>
        <v>0</v>
      </c>
      <c r="R62" s="168">
        <f t="shared" si="114"/>
        <v>0</v>
      </c>
      <c r="S62" s="168">
        <f t="shared" si="114"/>
        <v>0</v>
      </c>
      <c r="T62" s="168">
        <f t="shared" si="114"/>
        <v>0</v>
      </c>
      <c r="U62" s="168">
        <f t="shared" si="114"/>
        <v>0</v>
      </c>
      <c r="V62" s="168">
        <f t="shared" si="113"/>
        <v>0</v>
      </c>
      <c r="W62" s="168">
        <f t="shared" si="113"/>
        <v>0</v>
      </c>
      <c r="X62" s="168">
        <f t="shared" si="113"/>
        <v>0</v>
      </c>
      <c r="Y62" s="168">
        <f t="shared" si="113"/>
        <v>0</v>
      </c>
      <c r="Z62" s="168">
        <f t="shared" si="113"/>
        <v>0</v>
      </c>
      <c r="AA62" s="168">
        <f t="shared" si="113"/>
        <v>0</v>
      </c>
      <c r="AB62" s="168">
        <f t="shared" si="113"/>
        <v>0</v>
      </c>
      <c r="AC62" s="168">
        <f t="shared" si="113"/>
        <v>0</v>
      </c>
      <c r="AD62" s="168">
        <f t="shared" si="113"/>
        <v>0</v>
      </c>
      <c r="AE62" s="168">
        <f t="shared" si="113"/>
        <v>0</v>
      </c>
      <c r="AF62" s="168">
        <f t="shared" si="113"/>
        <v>0</v>
      </c>
      <c r="AG62" s="168">
        <f t="shared" si="113"/>
        <v>0</v>
      </c>
      <c r="AH62" s="168">
        <f t="shared" si="113"/>
        <v>0</v>
      </c>
      <c r="AI62" s="168">
        <f>O10</f>
        <v>0</v>
      </c>
    </row>
    <row r="63" spans="1:35" x14ac:dyDescent="0.2">
      <c r="A63" s="310"/>
      <c r="B63" t="s">
        <v>370</v>
      </c>
      <c r="C63" t="s">
        <v>1753</v>
      </c>
      <c r="D63" t="s">
        <v>478</v>
      </c>
      <c r="E63" s="168">
        <f>E11</f>
        <v>0.59541984732824427</v>
      </c>
      <c r="F63" s="168">
        <f t="shared" ref="F63:U63" si="115">-($E63-$AI63)/30+E63</f>
        <v>0.57557251908396945</v>
      </c>
      <c r="G63" s="168">
        <f t="shared" si="115"/>
        <v>0.55572519083969463</v>
      </c>
      <c r="H63" s="168">
        <f t="shared" si="115"/>
        <v>0.53587786259541981</v>
      </c>
      <c r="I63" s="168">
        <f t="shared" si="115"/>
        <v>0.51603053435114499</v>
      </c>
      <c r="J63" s="168">
        <f t="shared" si="115"/>
        <v>0.49618320610687017</v>
      </c>
      <c r="K63" s="168">
        <f t="shared" si="115"/>
        <v>0.47633587786259535</v>
      </c>
      <c r="L63" s="168">
        <f t="shared" si="115"/>
        <v>0.45648854961832053</v>
      </c>
      <c r="M63" s="168">
        <f t="shared" si="115"/>
        <v>0.43664122137404571</v>
      </c>
      <c r="N63" s="168">
        <f t="shared" si="115"/>
        <v>0.41679389312977089</v>
      </c>
      <c r="O63" s="168">
        <f t="shared" si="115"/>
        <v>0.39694656488549607</v>
      </c>
      <c r="P63" s="168">
        <f t="shared" si="115"/>
        <v>0.37709923664122125</v>
      </c>
      <c r="Q63" s="168">
        <f t="shared" si="115"/>
        <v>0.35725190839694643</v>
      </c>
      <c r="R63" s="168">
        <f t="shared" si="115"/>
        <v>0.33740458015267161</v>
      </c>
      <c r="S63" s="168">
        <f t="shared" si="115"/>
        <v>0.31755725190839679</v>
      </c>
      <c r="T63" s="168">
        <f t="shared" si="115"/>
        <v>0.29770992366412197</v>
      </c>
      <c r="U63" s="168">
        <f t="shared" si="115"/>
        <v>0.27786259541984715</v>
      </c>
      <c r="V63" s="168">
        <f t="shared" ref="V63" si="116">-($E63-$AI63)/30+U63</f>
        <v>0.25801526717557233</v>
      </c>
      <c r="W63" s="168">
        <f t="shared" ref="W63" si="117">-($E63-$AI63)/30+V63</f>
        <v>0.23816793893129751</v>
      </c>
      <c r="X63" s="168">
        <f t="shared" ref="X63" si="118">-($E63-$AI63)/30+W63</f>
        <v>0.21832061068702269</v>
      </c>
      <c r="Y63" s="168">
        <f t="shared" ref="Y63" si="119">-($E63-$AI63)/30+X63</f>
        <v>0.19847328244274787</v>
      </c>
      <c r="Z63" s="168">
        <f t="shared" ref="Z63" si="120">-($E63-$AI63)/30+Y63</f>
        <v>0.17862595419847305</v>
      </c>
      <c r="AA63" s="168">
        <f t="shared" ref="AA63" si="121">-($E63-$AI63)/30+Z63</f>
        <v>0.15877862595419823</v>
      </c>
      <c r="AB63" s="168">
        <f t="shared" ref="AB63" si="122">-($E63-$AI63)/30+AA63</f>
        <v>0.13893129770992341</v>
      </c>
      <c r="AC63" s="168">
        <f t="shared" ref="AC63" si="123">-($E63-$AI63)/30+AB63</f>
        <v>0.1190839694656486</v>
      </c>
      <c r="AD63" s="168">
        <f t="shared" ref="AD63" si="124">-($E63-$AI63)/30+AC63</f>
        <v>9.9236641221373795E-2</v>
      </c>
      <c r="AE63" s="168">
        <f t="shared" ref="AE63" si="125">-($E63-$AI63)/30+AD63</f>
        <v>7.9389312977098989E-2</v>
      </c>
      <c r="AF63" s="168">
        <f t="shared" ref="AF63" si="126">-($E63-$AI63)/30+AE63</f>
        <v>5.9541984732824182E-2</v>
      </c>
      <c r="AG63" s="168">
        <f t="shared" ref="AG63" si="127">-($E63-$AI63)/30+AF63</f>
        <v>3.9694656488549376E-2</v>
      </c>
      <c r="AH63" s="168">
        <f t="shared" ref="AH63" si="128">-($E63-$AI63)/30+AG63</f>
        <v>1.9847328244274567E-2</v>
      </c>
      <c r="AI63" s="168">
        <f>O11</f>
        <v>0</v>
      </c>
    </row>
    <row r="64" spans="1:35" x14ac:dyDescent="0.2">
      <c r="A64" s="310"/>
      <c r="B64" t="s">
        <v>370</v>
      </c>
      <c r="D64" t="s">
        <v>745</v>
      </c>
      <c r="E64" s="168">
        <f>E12</f>
        <v>0</v>
      </c>
      <c r="F64" s="168">
        <f t="shared" si="114"/>
        <v>1.7104210105899357E-2</v>
      </c>
      <c r="G64" s="168">
        <f t="shared" si="114"/>
        <v>3.4208420211798714E-2</v>
      </c>
      <c r="H64" s="168">
        <f t="shared" si="114"/>
        <v>5.1312630317698074E-2</v>
      </c>
      <c r="I64" s="168">
        <f t="shared" si="114"/>
        <v>6.8416840423597428E-2</v>
      </c>
      <c r="J64" s="168">
        <f t="shared" si="114"/>
        <v>8.5521050529496781E-2</v>
      </c>
      <c r="K64" s="168">
        <f t="shared" si="114"/>
        <v>0.10262526063539613</v>
      </c>
      <c r="L64" s="168">
        <f t="shared" si="114"/>
        <v>0.11972947074129549</v>
      </c>
      <c r="M64" s="168">
        <f t="shared" si="114"/>
        <v>0.13683368084719486</v>
      </c>
      <c r="N64" s="168">
        <f t="shared" si="114"/>
        <v>0.15393789095309421</v>
      </c>
      <c r="O64" s="168">
        <f t="shared" si="114"/>
        <v>0.17104210105899356</v>
      </c>
      <c r="P64" s="168">
        <f t="shared" si="114"/>
        <v>0.18814631116489292</v>
      </c>
      <c r="Q64" s="168">
        <f t="shared" si="114"/>
        <v>0.20525052127079227</v>
      </c>
      <c r="R64" s="168">
        <f t="shared" si="114"/>
        <v>0.22235473137669162</v>
      </c>
      <c r="S64" s="168">
        <f t="shared" si="114"/>
        <v>0.23945894148259098</v>
      </c>
      <c r="T64" s="168">
        <f t="shared" si="114"/>
        <v>0.25656315158849036</v>
      </c>
      <c r="U64" s="168">
        <f t="shared" si="114"/>
        <v>0.27366736169438971</v>
      </c>
      <c r="V64" s="168">
        <f t="shared" si="113"/>
        <v>0.29077157180028906</v>
      </c>
      <c r="W64" s="168">
        <f t="shared" si="113"/>
        <v>0.30787578190618842</v>
      </c>
      <c r="X64" s="168">
        <f t="shared" si="113"/>
        <v>0.32497999201208777</v>
      </c>
      <c r="Y64" s="168">
        <f t="shared" si="113"/>
        <v>0.34208420211798712</v>
      </c>
      <c r="Z64" s="168">
        <f t="shared" si="113"/>
        <v>0.35918841222388648</v>
      </c>
      <c r="AA64" s="168">
        <f t="shared" si="113"/>
        <v>0.37629262232978583</v>
      </c>
      <c r="AB64" s="168">
        <f t="shared" si="113"/>
        <v>0.39339683243568518</v>
      </c>
      <c r="AC64" s="168">
        <f t="shared" si="113"/>
        <v>0.41050104254158454</v>
      </c>
      <c r="AD64" s="168">
        <f t="shared" si="113"/>
        <v>0.42760525264748389</v>
      </c>
      <c r="AE64" s="168">
        <f t="shared" si="113"/>
        <v>0.44470946275338324</v>
      </c>
      <c r="AF64" s="168">
        <f t="shared" si="113"/>
        <v>0.4618136728592826</v>
      </c>
      <c r="AG64" s="168">
        <f t="shared" si="113"/>
        <v>0.47891788296518195</v>
      </c>
      <c r="AH64" s="168">
        <f t="shared" si="113"/>
        <v>0.4960220930710813</v>
      </c>
      <c r="AI64" s="168">
        <f>O12</f>
        <v>0.51312630317698071</v>
      </c>
    </row>
    <row r="65" spans="1:35" x14ac:dyDescent="0.2">
      <c r="A65" s="310"/>
      <c r="B65" t="s">
        <v>370</v>
      </c>
      <c r="D65" t="s">
        <v>248</v>
      </c>
      <c r="E65" s="168">
        <f>E13</f>
        <v>0.40458015267175568</v>
      </c>
      <c r="F65" s="168">
        <f t="shared" si="114"/>
        <v>0.40732327081013114</v>
      </c>
      <c r="G65" s="168">
        <f t="shared" si="114"/>
        <v>0.41006638894850661</v>
      </c>
      <c r="H65" s="168">
        <f t="shared" si="114"/>
        <v>0.41280950708688208</v>
      </c>
      <c r="I65" s="168">
        <f t="shared" si="114"/>
        <v>0.41555262522525754</v>
      </c>
      <c r="J65" s="168">
        <f t="shared" si="114"/>
        <v>0.41829574336363301</v>
      </c>
      <c r="K65" s="168">
        <f t="shared" si="114"/>
        <v>0.42103886150200848</v>
      </c>
      <c r="L65" s="168">
        <f t="shared" si="114"/>
        <v>0.42378197964038394</v>
      </c>
      <c r="M65" s="168">
        <f t="shared" si="114"/>
        <v>0.42652509777875941</v>
      </c>
      <c r="N65" s="168">
        <f t="shared" si="114"/>
        <v>0.42926821591713488</v>
      </c>
      <c r="O65" s="168">
        <f t="shared" si="114"/>
        <v>0.43201133405551034</v>
      </c>
      <c r="P65" s="168">
        <f t="shared" si="114"/>
        <v>0.43475445219388581</v>
      </c>
      <c r="Q65" s="168">
        <f t="shared" si="114"/>
        <v>0.43749757033226128</v>
      </c>
      <c r="R65" s="168">
        <f t="shared" si="114"/>
        <v>0.44024068847063674</v>
      </c>
      <c r="S65" s="168">
        <f t="shared" si="114"/>
        <v>0.44298380660901221</v>
      </c>
      <c r="T65" s="168">
        <f t="shared" si="114"/>
        <v>0.44572692474738768</v>
      </c>
      <c r="U65" s="168">
        <f t="shared" si="114"/>
        <v>0.44847004288576314</v>
      </c>
      <c r="V65" s="168">
        <f t="shared" si="113"/>
        <v>0.45121316102413861</v>
      </c>
      <c r="W65" s="168">
        <f t="shared" si="113"/>
        <v>0.45395627916251408</v>
      </c>
      <c r="X65" s="168">
        <f t="shared" si="113"/>
        <v>0.45669939730088954</v>
      </c>
      <c r="Y65" s="168">
        <f t="shared" si="113"/>
        <v>0.45944251543926501</v>
      </c>
      <c r="Z65" s="168">
        <f t="shared" si="113"/>
        <v>0.46218563357764048</v>
      </c>
      <c r="AA65" s="168">
        <f t="shared" si="113"/>
        <v>0.46492875171601594</v>
      </c>
      <c r="AB65" s="168">
        <f t="shared" si="113"/>
        <v>0.46767186985439141</v>
      </c>
      <c r="AC65" s="168">
        <f t="shared" si="113"/>
        <v>0.47041498799276688</v>
      </c>
      <c r="AD65" s="168">
        <f t="shared" si="113"/>
        <v>0.47315810613114234</v>
      </c>
      <c r="AE65" s="168">
        <f t="shared" si="113"/>
        <v>0.47590122426951781</v>
      </c>
      <c r="AF65" s="168">
        <f t="shared" si="113"/>
        <v>0.47864434240789328</v>
      </c>
      <c r="AG65" s="168">
        <f t="shared" si="113"/>
        <v>0.48138746054626874</v>
      </c>
      <c r="AH65" s="168">
        <f t="shared" si="113"/>
        <v>0.48413057868464421</v>
      </c>
      <c r="AI65" s="168">
        <f>O13</f>
        <v>0.48687369682301923</v>
      </c>
    </row>
    <row r="66" spans="1:35" s="67" customFormat="1" x14ac:dyDescent="0.2">
      <c r="A66" s="307"/>
      <c r="B66" s="67" t="s">
        <v>370</v>
      </c>
      <c r="C66" s="67" t="s">
        <v>1754</v>
      </c>
      <c r="D66" t="s">
        <v>474</v>
      </c>
      <c r="E66" s="201">
        <f>F10</f>
        <v>0</v>
      </c>
      <c r="F66" s="201">
        <f t="shared" si="114"/>
        <v>0</v>
      </c>
      <c r="G66" s="201">
        <f t="shared" si="114"/>
        <v>0</v>
      </c>
      <c r="H66" s="201">
        <f t="shared" si="114"/>
        <v>0</v>
      </c>
      <c r="I66" s="201">
        <f t="shared" si="114"/>
        <v>0</v>
      </c>
      <c r="J66" s="201">
        <f t="shared" si="114"/>
        <v>0</v>
      </c>
      <c r="K66" s="201">
        <f t="shared" si="114"/>
        <v>0</v>
      </c>
      <c r="L66" s="201">
        <f t="shared" si="114"/>
        <v>0</v>
      </c>
      <c r="M66" s="201">
        <f t="shared" si="114"/>
        <v>0</v>
      </c>
      <c r="N66" s="201">
        <f t="shared" si="114"/>
        <v>0</v>
      </c>
      <c r="O66" s="201">
        <f t="shared" si="114"/>
        <v>0</v>
      </c>
      <c r="P66" s="201">
        <f t="shared" si="114"/>
        <v>0</v>
      </c>
      <c r="Q66" s="201">
        <f t="shared" si="114"/>
        <v>0</v>
      </c>
      <c r="R66" s="201">
        <f t="shared" si="114"/>
        <v>0</v>
      </c>
      <c r="S66" s="201">
        <f t="shared" si="114"/>
        <v>0</v>
      </c>
      <c r="T66" s="201">
        <f t="shared" si="114"/>
        <v>0</v>
      </c>
      <c r="U66" s="201">
        <f t="shared" si="114"/>
        <v>0</v>
      </c>
      <c r="V66" s="201">
        <f t="shared" si="113"/>
        <v>0</v>
      </c>
      <c r="W66" s="201">
        <f t="shared" si="113"/>
        <v>0</v>
      </c>
      <c r="X66" s="201">
        <f t="shared" si="113"/>
        <v>0</v>
      </c>
      <c r="Y66" s="201">
        <f t="shared" si="113"/>
        <v>0</v>
      </c>
      <c r="Z66" s="201">
        <f t="shared" si="113"/>
        <v>0</v>
      </c>
      <c r="AA66" s="201">
        <f t="shared" si="113"/>
        <v>0</v>
      </c>
      <c r="AB66" s="201">
        <f t="shared" si="113"/>
        <v>0</v>
      </c>
      <c r="AC66" s="201">
        <f t="shared" si="113"/>
        <v>0</v>
      </c>
      <c r="AD66" s="201">
        <f t="shared" si="113"/>
        <v>0</v>
      </c>
      <c r="AE66" s="201">
        <f t="shared" si="113"/>
        <v>0</v>
      </c>
      <c r="AF66" s="201">
        <f t="shared" si="113"/>
        <v>0</v>
      </c>
      <c r="AG66" s="201">
        <f t="shared" si="113"/>
        <v>0</v>
      </c>
      <c r="AH66" s="201">
        <f t="shared" si="113"/>
        <v>0</v>
      </c>
      <c r="AI66" s="201">
        <f>P10</f>
        <v>0</v>
      </c>
    </row>
    <row r="67" spans="1:35" x14ac:dyDescent="0.2">
      <c r="A67" s="310"/>
      <c r="B67" s="67" t="s">
        <v>370</v>
      </c>
      <c r="C67" s="67" t="s">
        <v>1754</v>
      </c>
      <c r="D67" t="s">
        <v>478</v>
      </c>
      <c r="E67" s="201">
        <f>F11</f>
        <v>0.59541984732824427</v>
      </c>
      <c r="F67" s="201">
        <f t="shared" ref="F67:U67" si="129">-($E67-$AI67)/30+E67</f>
        <v>0.57557251908396945</v>
      </c>
      <c r="G67" s="201">
        <f t="shared" si="129"/>
        <v>0.55572519083969463</v>
      </c>
      <c r="H67" s="201">
        <f t="shared" si="129"/>
        <v>0.53587786259541981</v>
      </c>
      <c r="I67" s="201">
        <f t="shared" si="129"/>
        <v>0.51603053435114499</v>
      </c>
      <c r="J67" s="201">
        <f t="shared" si="129"/>
        <v>0.49618320610687017</v>
      </c>
      <c r="K67" s="201">
        <f t="shared" si="129"/>
        <v>0.47633587786259535</v>
      </c>
      <c r="L67" s="201">
        <f t="shared" si="129"/>
        <v>0.45648854961832053</v>
      </c>
      <c r="M67" s="201">
        <f t="shared" si="129"/>
        <v>0.43664122137404571</v>
      </c>
      <c r="N67" s="201">
        <f t="shared" si="129"/>
        <v>0.41679389312977089</v>
      </c>
      <c r="O67" s="201">
        <f t="shared" si="129"/>
        <v>0.39694656488549607</v>
      </c>
      <c r="P67" s="201">
        <f t="shared" si="129"/>
        <v>0.37709923664122125</v>
      </c>
      <c r="Q67" s="201">
        <f t="shared" si="129"/>
        <v>0.35725190839694643</v>
      </c>
      <c r="R67" s="201">
        <f t="shared" si="129"/>
        <v>0.33740458015267161</v>
      </c>
      <c r="S67" s="201">
        <f t="shared" si="129"/>
        <v>0.31755725190839679</v>
      </c>
      <c r="T67" s="201">
        <f t="shared" si="129"/>
        <v>0.29770992366412197</v>
      </c>
      <c r="U67" s="201">
        <f t="shared" si="129"/>
        <v>0.27786259541984715</v>
      </c>
      <c r="V67" s="201">
        <f t="shared" ref="V67" si="130">-($E67-$AI67)/30+U67</f>
        <v>0.25801526717557233</v>
      </c>
      <c r="W67" s="201">
        <f t="shared" ref="W67" si="131">-($E67-$AI67)/30+V67</f>
        <v>0.23816793893129751</v>
      </c>
      <c r="X67" s="201">
        <f t="shared" ref="X67" si="132">-($E67-$AI67)/30+W67</f>
        <v>0.21832061068702269</v>
      </c>
      <c r="Y67" s="201">
        <f t="shared" ref="Y67" si="133">-($E67-$AI67)/30+X67</f>
        <v>0.19847328244274787</v>
      </c>
      <c r="Z67" s="201">
        <f t="shared" ref="Z67" si="134">-($E67-$AI67)/30+Y67</f>
        <v>0.17862595419847305</v>
      </c>
      <c r="AA67" s="201">
        <f t="shared" ref="AA67" si="135">-($E67-$AI67)/30+Z67</f>
        <v>0.15877862595419823</v>
      </c>
      <c r="AB67" s="201">
        <f t="shared" ref="AB67" si="136">-($E67-$AI67)/30+AA67</f>
        <v>0.13893129770992341</v>
      </c>
      <c r="AC67" s="201">
        <f t="shared" ref="AC67" si="137">-($E67-$AI67)/30+AB67</f>
        <v>0.1190839694656486</v>
      </c>
      <c r="AD67" s="201">
        <f t="shared" ref="AD67" si="138">-($E67-$AI67)/30+AC67</f>
        <v>9.9236641221373795E-2</v>
      </c>
      <c r="AE67" s="201">
        <f t="shared" ref="AE67" si="139">-($E67-$AI67)/30+AD67</f>
        <v>7.9389312977098989E-2</v>
      </c>
      <c r="AF67" s="201">
        <f t="shared" ref="AF67" si="140">-($E67-$AI67)/30+AE67</f>
        <v>5.9541984732824182E-2</v>
      </c>
      <c r="AG67" s="201">
        <f t="shared" ref="AG67" si="141">-($E67-$AI67)/30+AF67</f>
        <v>3.9694656488549376E-2</v>
      </c>
      <c r="AH67" s="201">
        <f t="shared" ref="AH67" si="142">-($E67-$AI67)/30+AG67</f>
        <v>1.9847328244274567E-2</v>
      </c>
      <c r="AI67" s="201">
        <f>P11</f>
        <v>0</v>
      </c>
    </row>
    <row r="68" spans="1:35" x14ac:dyDescent="0.2">
      <c r="A68" s="310"/>
      <c r="B68" t="s">
        <v>370</v>
      </c>
      <c r="D68" t="s">
        <v>745</v>
      </c>
      <c r="E68" s="168">
        <f>F12</f>
        <v>0</v>
      </c>
      <c r="F68" s="168">
        <f t="shared" si="114"/>
        <v>1.7104210105899357E-2</v>
      </c>
      <c r="G68" s="168">
        <f t="shared" si="114"/>
        <v>3.4208420211798714E-2</v>
      </c>
      <c r="H68" s="168">
        <f t="shared" si="114"/>
        <v>5.1312630317698074E-2</v>
      </c>
      <c r="I68" s="168">
        <f t="shared" si="114"/>
        <v>6.8416840423597428E-2</v>
      </c>
      <c r="J68" s="168">
        <f t="shared" si="114"/>
        <v>8.5521050529496781E-2</v>
      </c>
      <c r="K68" s="168">
        <f t="shared" si="114"/>
        <v>0.10262526063539613</v>
      </c>
      <c r="L68" s="168">
        <f t="shared" si="114"/>
        <v>0.11972947074129549</v>
      </c>
      <c r="M68" s="168">
        <f t="shared" si="114"/>
        <v>0.13683368084719486</v>
      </c>
      <c r="N68" s="168">
        <f t="shared" si="114"/>
        <v>0.15393789095309421</v>
      </c>
      <c r="O68" s="168">
        <f t="shared" si="114"/>
        <v>0.17104210105899356</v>
      </c>
      <c r="P68" s="168">
        <f t="shared" si="114"/>
        <v>0.18814631116489292</v>
      </c>
      <c r="Q68" s="168">
        <f t="shared" si="114"/>
        <v>0.20525052127079227</v>
      </c>
      <c r="R68" s="168">
        <f t="shared" si="114"/>
        <v>0.22235473137669162</v>
      </c>
      <c r="S68" s="168">
        <f t="shared" si="114"/>
        <v>0.23945894148259098</v>
      </c>
      <c r="T68" s="168">
        <f t="shared" si="114"/>
        <v>0.25656315158849036</v>
      </c>
      <c r="U68" s="168">
        <f t="shared" si="114"/>
        <v>0.27366736169438971</v>
      </c>
      <c r="V68" s="168">
        <f t="shared" si="113"/>
        <v>0.29077157180028906</v>
      </c>
      <c r="W68" s="168">
        <f t="shared" si="113"/>
        <v>0.30787578190618842</v>
      </c>
      <c r="X68" s="168">
        <f t="shared" si="113"/>
        <v>0.32497999201208777</v>
      </c>
      <c r="Y68" s="168">
        <f t="shared" si="113"/>
        <v>0.34208420211798712</v>
      </c>
      <c r="Z68" s="168">
        <f t="shared" si="113"/>
        <v>0.35918841222388648</v>
      </c>
      <c r="AA68" s="168">
        <f t="shared" si="113"/>
        <v>0.37629262232978583</v>
      </c>
      <c r="AB68" s="168">
        <f t="shared" si="113"/>
        <v>0.39339683243568518</v>
      </c>
      <c r="AC68" s="168">
        <f t="shared" si="113"/>
        <v>0.41050104254158454</v>
      </c>
      <c r="AD68" s="168">
        <f t="shared" si="113"/>
        <v>0.42760525264748389</v>
      </c>
      <c r="AE68" s="168">
        <f t="shared" si="113"/>
        <v>0.44470946275338324</v>
      </c>
      <c r="AF68" s="168">
        <f t="shared" si="113"/>
        <v>0.4618136728592826</v>
      </c>
      <c r="AG68" s="168">
        <f t="shared" si="113"/>
        <v>0.47891788296518195</v>
      </c>
      <c r="AH68" s="168">
        <f t="shared" si="113"/>
        <v>0.4960220930710813</v>
      </c>
      <c r="AI68" s="168">
        <f>P12</f>
        <v>0.51312630317698071</v>
      </c>
    </row>
    <row r="69" spans="1:35" x14ac:dyDescent="0.2">
      <c r="A69" s="310"/>
      <c r="B69" t="s">
        <v>370</v>
      </c>
      <c r="D69" t="s">
        <v>248</v>
      </c>
      <c r="E69" s="168">
        <f>F13</f>
        <v>0.40458015267175568</v>
      </c>
      <c r="F69" s="168">
        <f t="shared" si="114"/>
        <v>0.40732327081013114</v>
      </c>
      <c r="G69" s="168">
        <f t="shared" si="114"/>
        <v>0.41006638894850661</v>
      </c>
      <c r="H69" s="168">
        <f t="shared" si="114"/>
        <v>0.41280950708688208</v>
      </c>
      <c r="I69" s="168">
        <f t="shared" si="114"/>
        <v>0.41555262522525754</v>
      </c>
      <c r="J69" s="168">
        <f t="shared" si="114"/>
        <v>0.41829574336363301</v>
      </c>
      <c r="K69" s="168">
        <f t="shared" si="114"/>
        <v>0.42103886150200848</v>
      </c>
      <c r="L69" s="168">
        <f t="shared" si="114"/>
        <v>0.42378197964038394</v>
      </c>
      <c r="M69" s="168">
        <f t="shared" si="114"/>
        <v>0.42652509777875941</v>
      </c>
      <c r="N69" s="168">
        <f t="shared" si="114"/>
        <v>0.42926821591713488</v>
      </c>
      <c r="O69" s="168">
        <f t="shared" si="114"/>
        <v>0.43201133405551034</v>
      </c>
      <c r="P69" s="168">
        <f t="shared" si="114"/>
        <v>0.43475445219388581</v>
      </c>
      <c r="Q69" s="168">
        <f t="shared" si="114"/>
        <v>0.43749757033226128</v>
      </c>
      <c r="R69" s="168">
        <f t="shared" si="114"/>
        <v>0.44024068847063674</v>
      </c>
      <c r="S69" s="168">
        <f t="shared" si="114"/>
        <v>0.44298380660901221</v>
      </c>
      <c r="T69" s="168">
        <f t="shared" si="114"/>
        <v>0.44572692474738768</v>
      </c>
      <c r="U69" s="168">
        <f t="shared" si="114"/>
        <v>0.44847004288576314</v>
      </c>
      <c r="V69" s="168">
        <f t="shared" si="113"/>
        <v>0.45121316102413861</v>
      </c>
      <c r="W69" s="168">
        <f t="shared" si="113"/>
        <v>0.45395627916251408</v>
      </c>
      <c r="X69" s="168">
        <f t="shared" si="113"/>
        <v>0.45669939730088954</v>
      </c>
      <c r="Y69" s="168">
        <f t="shared" si="113"/>
        <v>0.45944251543926501</v>
      </c>
      <c r="Z69" s="168">
        <f t="shared" si="113"/>
        <v>0.46218563357764048</v>
      </c>
      <c r="AA69" s="168">
        <f t="shared" si="113"/>
        <v>0.46492875171601594</v>
      </c>
      <c r="AB69" s="168">
        <f t="shared" si="113"/>
        <v>0.46767186985439141</v>
      </c>
      <c r="AC69" s="168">
        <f t="shared" si="113"/>
        <v>0.47041498799276688</v>
      </c>
      <c r="AD69" s="168">
        <f t="shared" si="113"/>
        <v>0.47315810613114234</v>
      </c>
      <c r="AE69" s="168">
        <f t="shared" si="113"/>
        <v>0.47590122426951781</v>
      </c>
      <c r="AF69" s="168">
        <f t="shared" si="113"/>
        <v>0.47864434240789328</v>
      </c>
      <c r="AG69" s="168">
        <f t="shared" si="113"/>
        <v>0.48138746054626874</v>
      </c>
      <c r="AH69" s="168">
        <f t="shared" si="113"/>
        <v>0.48413057868464421</v>
      </c>
      <c r="AI69" s="168">
        <f>P13</f>
        <v>0.48687369682301923</v>
      </c>
    </row>
    <row r="70" spans="1:35" s="67" customFormat="1" x14ac:dyDescent="0.2">
      <c r="A70" s="307"/>
      <c r="B70" s="67" t="s">
        <v>370</v>
      </c>
      <c r="C70" s="67" t="s">
        <v>1750</v>
      </c>
      <c r="D70" t="s">
        <v>474</v>
      </c>
      <c r="E70" s="201">
        <f>G10</f>
        <v>0</v>
      </c>
      <c r="F70" s="201">
        <f t="shared" si="114"/>
        <v>0</v>
      </c>
      <c r="G70" s="201">
        <f t="shared" si="114"/>
        <v>0</v>
      </c>
      <c r="H70" s="201">
        <f t="shared" si="114"/>
        <v>0</v>
      </c>
      <c r="I70" s="201">
        <f t="shared" si="114"/>
        <v>0</v>
      </c>
      <c r="J70" s="201">
        <f t="shared" si="114"/>
        <v>0</v>
      </c>
      <c r="K70" s="201">
        <f t="shared" si="114"/>
        <v>0</v>
      </c>
      <c r="L70" s="201">
        <f t="shared" si="114"/>
        <v>0</v>
      </c>
      <c r="M70" s="201">
        <f t="shared" si="114"/>
        <v>0</v>
      </c>
      <c r="N70" s="201">
        <f t="shared" si="114"/>
        <v>0</v>
      </c>
      <c r="O70" s="201">
        <f t="shared" si="114"/>
        <v>0</v>
      </c>
      <c r="P70" s="201">
        <f t="shared" si="114"/>
        <v>0</v>
      </c>
      <c r="Q70" s="201">
        <f t="shared" si="114"/>
        <v>0</v>
      </c>
      <c r="R70" s="201">
        <f t="shared" si="114"/>
        <v>0</v>
      </c>
      <c r="S70" s="201">
        <f t="shared" si="114"/>
        <v>0</v>
      </c>
      <c r="T70" s="201">
        <f t="shared" si="114"/>
        <v>0</v>
      </c>
      <c r="U70" s="201">
        <f t="shared" si="114"/>
        <v>0</v>
      </c>
      <c r="V70" s="201">
        <f t="shared" si="113"/>
        <v>0</v>
      </c>
      <c r="W70" s="201">
        <f t="shared" si="113"/>
        <v>0</v>
      </c>
      <c r="X70" s="201">
        <f t="shared" si="113"/>
        <v>0</v>
      </c>
      <c r="Y70" s="201">
        <f t="shared" si="113"/>
        <v>0</v>
      </c>
      <c r="Z70" s="201">
        <f t="shared" si="113"/>
        <v>0</v>
      </c>
      <c r="AA70" s="201">
        <f t="shared" si="113"/>
        <v>0</v>
      </c>
      <c r="AB70" s="201">
        <f t="shared" si="113"/>
        <v>0</v>
      </c>
      <c r="AC70" s="201">
        <f t="shared" si="113"/>
        <v>0</v>
      </c>
      <c r="AD70" s="201">
        <f t="shared" si="113"/>
        <v>0</v>
      </c>
      <c r="AE70" s="201">
        <f t="shared" si="113"/>
        <v>0</v>
      </c>
      <c r="AF70" s="201">
        <f t="shared" si="113"/>
        <v>0</v>
      </c>
      <c r="AG70" s="201">
        <f t="shared" si="113"/>
        <v>0</v>
      </c>
      <c r="AH70" s="201">
        <f t="shared" si="113"/>
        <v>0</v>
      </c>
      <c r="AI70" s="201">
        <f>Q10</f>
        <v>0</v>
      </c>
    </row>
    <row r="71" spans="1:35" x14ac:dyDescent="0.2">
      <c r="A71" s="310"/>
      <c r="B71" s="67" t="s">
        <v>370</v>
      </c>
      <c r="C71" s="67" t="s">
        <v>1750</v>
      </c>
      <c r="D71" t="s">
        <v>478</v>
      </c>
      <c r="E71" s="201">
        <f>G11</f>
        <v>0.59541984732824427</v>
      </c>
      <c r="F71" s="201">
        <f t="shared" ref="F71:U71" si="143">-($E71-$AI71)/30+E71</f>
        <v>0.57557251908396945</v>
      </c>
      <c r="G71" s="201">
        <f t="shared" si="143"/>
        <v>0.55572519083969463</v>
      </c>
      <c r="H71" s="201">
        <f t="shared" si="143"/>
        <v>0.53587786259541981</v>
      </c>
      <c r="I71" s="201">
        <f t="shared" si="143"/>
        <v>0.51603053435114499</v>
      </c>
      <c r="J71" s="201">
        <f t="shared" si="143"/>
        <v>0.49618320610687017</v>
      </c>
      <c r="K71" s="201">
        <f t="shared" si="143"/>
        <v>0.47633587786259535</v>
      </c>
      <c r="L71" s="201">
        <f t="shared" si="143"/>
        <v>0.45648854961832053</v>
      </c>
      <c r="M71" s="201">
        <f t="shared" si="143"/>
        <v>0.43664122137404571</v>
      </c>
      <c r="N71" s="201">
        <f t="shared" si="143"/>
        <v>0.41679389312977089</v>
      </c>
      <c r="O71" s="201">
        <f t="shared" si="143"/>
        <v>0.39694656488549607</v>
      </c>
      <c r="P71" s="201">
        <f t="shared" si="143"/>
        <v>0.37709923664122125</v>
      </c>
      <c r="Q71" s="201">
        <f t="shared" si="143"/>
        <v>0.35725190839694643</v>
      </c>
      <c r="R71" s="201">
        <f t="shared" si="143"/>
        <v>0.33740458015267161</v>
      </c>
      <c r="S71" s="201">
        <f t="shared" si="143"/>
        <v>0.31755725190839679</v>
      </c>
      <c r="T71" s="201">
        <f t="shared" si="143"/>
        <v>0.29770992366412197</v>
      </c>
      <c r="U71" s="201">
        <f t="shared" si="143"/>
        <v>0.27786259541984715</v>
      </c>
      <c r="V71" s="201">
        <f t="shared" ref="V71" si="144">-($E71-$AI71)/30+U71</f>
        <v>0.25801526717557233</v>
      </c>
      <c r="W71" s="201">
        <f t="shared" ref="W71" si="145">-($E71-$AI71)/30+V71</f>
        <v>0.23816793893129751</v>
      </c>
      <c r="X71" s="201">
        <f t="shared" ref="X71" si="146">-($E71-$AI71)/30+W71</f>
        <v>0.21832061068702269</v>
      </c>
      <c r="Y71" s="201">
        <f t="shared" ref="Y71" si="147">-($E71-$AI71)/30+X71</f>
        <v>0.19847328244274787</v>
      </c>
      <c r="Z71" s="201">
        <f t="shared" ref="Z71" si="148">-($E71-$AI71)/30+Y71</f>
        <v>0.17862595419847305</v>
      </c>
      <c r="AA71" s="201">
        <f t="shared" ref="AA71" si="149">-($E71-$AI71)/30+Z71</f>
        <v>0.15877862595419823</v>
      </c>
      <c r="AB71" s="201">
        <f t="shared" ref="AB71" si="150">-($E71-$AI71)/30+AA71</f>
        <v>0.13893129770992341</v>
      </c>
      <c r="AC71" s="201">
        <f t="shared" ref="AC71" si="151">-($E71-$AI71)/30+AB71</f>
        <v>0.1190839694656486</v>
      </c>
      <c r="AD71" s="201">
        <f t="shared" ref="AD71" si="152">-($E71-$AI71)/30+AC71</f>
        <v>9.9236641221373795E-2</v>
      </c>
      <c r="AE71" s="201">
        <f t="shared" ref="AE71" si="153">-($E71-$AI71)/30+AD71</f>
        <v>7.9389312977098989E-2</v>
      </c>
      <c r="AF71" s="201">
        <f t="shared" ref="AF71" si="154">-($E71-$AI71)/30+AE71</f>
        <v>5.9541984732824182E-2</v>
      </c>
      <c r="AG71" s="201">
        <f t="shared" ref="AG71" si="155">-($E71-$AI71)/30+AF71</f>
        <v>3.9694656488549376E-2</v>
      </c>
      <c r="AH71" s="201">
        <f t="shared" ref="AH71" si="156">-($E71-$AI71)/30+AG71</f>
        <v>1.9847328244274567E-2</v>
      </c>
      <c r="AI71" s="201">
        <f>Q11</f>
        <v>0</v>
      </c>
    </row>
    <row r="72" spans="1:35" x14ac:dyDescent="0.2">
      <c r="A72" s="310"/>
      <c r="B72" t="s">
        <v>370</v>
      </c>
      <c r="D72" t="s">
        <v>745</v>
      </c>
      <c r="E72" s="168">
        <f>G12</f>
        <v>0</v>
      </c>
      <c r="F72" s="168">
        <f t="shared" si="114"/>
        <v>1.7104210105899357E-2</v>
      </c>
      <c r="G72" s="168">
        <f t="shared" si="114"/>
        <v>3.4208420211798714E-2</v>
      </c>
      <c r="H72" s="168">
        <f t="shared" si="114"/>
        <v>5.1312630317698074E-2</v>
      </c>
      <c r="I72" s="168">
        <f t="shared" si="114"/>
        <v>6.8416840423597428E-2</v>
      </c>
      <c r="J72" s="168">
        <f t="shared" si="114"/>
        <v>8.5521050529496781E-2</v>
      </c>
      <c r="K72" s="168">
        <f t="shared" si="114"/>
        <v>0.10262526063539613</v>
      </c>
      <c r="L72" s="168">
        <f t="shared" si="114"/>
        <v>0.11972947074129549</v>
      </c>
      <c r="M72" s="168">
        <f t="shared" si="114"/>
        <v>0.13683368084719486</v>
      </c>
      <c r="N72" s="168">
        <f t="shared" si="114"/>
        <v>0.15393789095309421</v>
      </c>
      <c r="O72" s="168">
        <f t="shared" si="114"/>
        <v>0.17104210105899356</v>
      </c>
      <c r="P72" s="168">
        <f t="shared" si="114"/>
        <v>0.18814631116489292</v>
      </c>
      <c r="Q72" s="168">
        <f t="shared" si="114"/>
        <v>0.20525052127079227</v>
      </c>
      <c r="R72" s="168">
        <f t="shared" si="114"/>
        <v>0.22235473137669162</v>
      </c>
      <c r="S72" s="168">
        <f t="shared" si="114"/>
        <v>0.23945894148259098</v>
      </c>
      <c r="T72" s="168">
        <f t="shared" si="114"/>
        <v>0.25656315158849036</v>
      </c>
      <c r="U72" s="168">
        <f t="shared" si="114"/>
        <v>0.27366736169438971</v>
      </c>
      <c r="V72" s="168">
        <f t="shared" si="113"/>
        <v>0.29077157180028906</v>
      </c>
      <c r="W72" s="168">
        <f t="shared" si="113"/>
        <v>0.30787578190618842</v>
      </c>
      <c r="X72" s="168">
        <f t="shared" si="113"/>
        <v>0.32497999201208777</v>
      </c>
      <c r="Y72" s="168">
        <f t="shared" si="113"/>
        <v>0.34208420211798712</v>
      </c>
      <c r="Z72" s="168">
        <f t="shared" si="113"/>
        <v>0.35918841222388648</v>
      </c>
      <c r="AA72" s="168">
        <f t="shared" si="113"/>
        <v>0.37629262232978583</v>
      </c>
      <c r="AB72" s="168">
        <f t="shared" si="113"/>
        <v>0.39339683243568518</v>
      </c>
      <c r="AC72" s="168">
        <f t="shared" si="113"/>
        <v>0.41050104254158454</v>
      </c>
      <c r="AD72" s="168">
        <f t="shared" si="113"/>
        <v>0.42760525264748389</v>
      </c>
      <c r="AE72" s="168">
        <f t="shared" si="113"/>
        <v>0.44470946275338324</v>
      </c>
      <c r="AF72" s="168">
        <f t="shared" si="113"/>
        <v>0.4618136728592826</v>
      </c>
      <c r="AG72" s="168">
        <f t="shared" si="113"/>
        <v>0.47891788296518195</v>
      </c>
      <c r="AH72" s="168">
        <f t="shared" si="113"/>
        <v>0.4960220930710813</v>
      </c>
      <c r="AI72" s="168">
        <f>Q12</f>
        <v>0.51312630317698071</v>
      </c>
    </row>
    <row r="73" spans="1:35" x14ac:dyDescent="0.2">
      <c r="A73" s="310"/>
      <c r="B73" t="s">
        <v>370</v>
      </c>
      <c r="D73" t="s">
        <v>248</v>
      </c>
      <c r="E73" s="168">
        <f>G13</f>
        <v>0.40458015267175568</v>
      </c>
      <c r="F73" s="168">
        <f t="shared" si="114"/>
        <v>0.40732327081013114</v>
      </c>
      <c r="G73" s="168">
        <f t="shared" si="114"/>
        <v>0.41006638894850661</v>
      </c>
      <c r="H73" s="168">
        <f t="shared" si="114"/>
        <v>0.41280950708688208</v>
      </c>
      <c r="I73" s="168">
        <f t="shared" si="114"/>
        <v>0.41555262522525754</v>
      </c>
      <c r="J73" s="168">
        <f t="shared" si="114"/>
        <v>0.41829574336363301</v>
      </c>
      <c r="K73" s="168">
        <f t="shared" si="114"/>
        <v>0.42103886150200848</v>
      </c>
      <c r="L73" s="168">
        <f t="shared" si="114"/>
        <v>0.42378197964038394</v>
      </c>
      <c r="M73" s="168">
        <f t="shared" si="114"/>
        <v>0.42652509777875941</v>
      </c>
      <c r="N73" s="168">
        <f t="shared" si="114"/>
        <v>0.42926821591713488</v>
      </c>
      <c r="O73" s="168">
        <f t="shared" si="114"/>
        <v>0.43201133405551034</v>
      </c>
      <c r="P73" s="168">
        <f t="shared" si="114"/>
        <v>0.43475445219388581</v>
      </c>
      <c r="Q73" s="168">
        <f t="shared" si="114"/>
        <v>0.43749757033226128</v>
      </c>
      <c r="R73" s="168">
        <f t="shared" si="114"/>
        <v>0.44024068847063674</v>
      </c>
      <c r="S73" s="168">
        <f t="shared" si="114"/>
        <v>0.44298380660901221</v>
      </c>
      <c r="T73" s="168">
        <f t="shared" si="114"/>
        <v>0.44572692474738768</v>
      </c>
      <c r="U73" s="168">
        <f t="shared" si="114"/>
        <v>0.44847004288576314</v>
      </c>
      <c r="V73" s="168">
        <f t="shared" si="113"/>
        <v>0.45121316102413861</v>
      </c>
      <c r="W73" s="168">
        <f t="shared" si="113"/>
        <v>0.45395627916251408</v>
      </c>
      <c r="X73" s="168">
        <f t="shared" si="113"/>
        <v>0.45669939730088954</v>
      </c>
      <c r="Y73" s="168">
        <f t="shared" si="113"/>
        <v>0.45944251543926501</v>
      </c>
      <c r="Z73" s="168">
        <f t="shared" si="113"/>
        <v>0.46218563357764048</v>
      </c>
      <c r="AA73" s="168">
        <f t="shared" si="113"/>
        <v>0.46492875171601594</v>
      </c>
      <c r="AB73" s="168">
        <f t="shared" si="113"/>
        <v>0.46767186985439141</v>
      </c>
      <c r="AC73" s="168">
        <f t="shared" si="113"/>
        <v>0.47041498799276688</v>
      </c>
      <c r="AD73" s="168">
        <f t="shared" si="113"/>
        <v>0.47315810613114234</v>
      </c>
      <c r="AE73" s="168">
        <f t="shared" si="113"/>
        <v>0.47590122426951781</v>
      </c>
      <c r="AF73" s="168">
        <f t="shared" si="113"/>
        <v>0.47864434240789328</v>
      </c>
      <c r="AG73" s="168">
        <f t="shared" si="113"/>
        <v>0.48138746054626874</v>
      </c>
      <c r="AH73" s="168">
        <f t="shared" si="113"/>
        <v>0.48413057868464421</v>
      </c>
      <c r="AI73" s="168">
        <f>Q13</f>
        <v>0.48687369682301923</v>
      </c>
    </row>
    <row r="74" spans="1:35" s="67" customFormat="1" x14ac:dyDescent="0.2">
      <c r="A74" s="307"/>
      <c r="B74" s="67" t="s">
        <v>329</v>
      </c>
      <c r="C74" s="67" t="s">
        <v>1746</v>
      </c>
      <c r="D74" t="s">
        <v>474</v>
      </c>
      <c r="E74" s="201">
        <f>D17</f>
        <v>0.91912919741166743</v>
      </c>
      <c r="F74" s="201">
        <f t="shared" si="114"/>
        <v>0.91912919741166743</v>
      </c>
      <c r="G74" s="201">
        <f t="shared" si="114"/>
        <v>0.91912919741166743</v>
      </c>
      <c r="H74" s="201">
        <f t="shared" si="114"/>
        <v>0.91912919741166743</v>
      </c>
      <c r="I74" s="201">
        <f t="shared" si="114"/>
        <v>0.91912919741166743</v>
      </c>
      <c r="J74" s="201">
        <f t="shared" si="114"/>
        <v>0.91912919741166743</v>
      </c>
      <c r="K74" s="201">
        <f t="shared" si="114"/>
        <v>0.91912919741166743</v>
      </c>
      <c r="L74" s="201">
        <f t="shared" si="114"/>
        <v>0.91912919741166743</v>
      </c>
      <c r="M74" s="201">
        <f t="shared" si="114"/>
        <v>0.91912919741166743</v>
      </c>
      <c r="N74" s="201">
        <f t="shared" si="114"/>
        <v>0.91912919741166743</v>
      </c>
      <c r="O74" s="201">
        <f t="shared" si="114"/>
        <v>0.91912919741166743</v>
      </c>
      <c r="P74" s="201">
        <f t="shared" si="114"/>
        <v>0.91912919741166743</v>
      </c>
      <c r="Q74" s="201">
        <f t="shared" si="114"/>
        <v>0.91912919741166743</v>
      </c>
      <c r="R74" s="201">
        <f t="shared" si="114"/>
        <v>0.91912919741166743</v>
      </c>
      <c r="S74" s="201">
        <f t="shared" si="114"/>
        <v>0.91912919741166743</v>
      </c>
      <c r="T74" s="201">
        <f t="shared" si="114"/>
        <v>0.91912919741166743</v>
      </c>
      <c r="U74" s="201">
        <f t="shared" si="114"/>
        <v>0.91912919741166743</v>
      </c>
      <c r="V74" s="201">
        <f t="shared" si="113"/>
        <v>0.91912919741166743</v>
      </c>
      <c r="W74" s="201">
        <f t="shared" si="113"/>
        <v>0.91912919741166743</v>
      </c>
      <c r="X74" s="201">
        <f t="shared" si="113"/>
        <v>0.91912919741166743</v>
      </c>
      <c r="Y74" s="201">
        <f t="shared" si="113"/>
        <v>0.91912919741166743</v>
      </c>
      <c r="Z74" s="201">
        <f t="shared" si="113"/>
        <v>0.91912919741166743</v>
      </c>
      <c r="AA74" s="201">
        <f t="shared" si="113"/>
        <v>0.91912919741166743</v>
      </c>
      <c r="AB74" s="201">
        <f t="shared" si="113"/>
        <v>0.91912919741166743</v>
      </c>
      <c r="AC74" s="201">
        <f t="shared" si="113"/>
        <v>0.91912919741166743</v>
      </c>
      <c r="AD74" s="201">
        <f t="shared" si="113"/>
        <v>0.91912919741166743</v>
      </c>
      <c r="AE74" s="201">
        <f t="shared" si="113"/>
        <v>0.91912919741166743</v>
      </c>
      <c r="AF74" s="201">
        <f t="shared" si="113"/>
        <v>0.91912919741166743</v>
      </c>
      <c r="AG74" s="201">
        <f t="shared" si="113"/>
        <v>0.91912919741166743</v>
      </c>
      <c r="AH74" s="201">
        <f t="shared" si="113"/>
        <v>0.91912919741166743</v>
      </c>
      <c r="AI74" s="201">
        <f>N17</f>
        <v>0.91912919741166732</v>
      </c>
    </row>
    <row r="75" spans="1:35" x14ac:dyDescent="0.2">
      <c r="A75" s="310"/>
      <c r="B75" s="67" t="s">
        <v>329</v>
      </c>
      <c r="C75" s="67" t="s">
        <v>1746</v>
      </c>
      <c r="D75" t="s">
        <v>478</v>
      </c>
      <c r="E75" s="201">
        <f>D18</f>
        <v>0</v>
      </c>
      <c r="F75" s="201">
        <f t="shared" ref="F75:U75" si="157">-($E75-$AI75)/30+E75</f>
        <v>0</v>
      </c>
      <c r="G75" s="201">
        <f t="shared" si="157"/>
        <v>0</v>
      </c>
      <c r="H75" s="201">
        <f t="shared" si="157"/>
        <v>0</v>
      </c>
      <c r="I75" s="201">
        <f t="shared" si="157"/>
        <v>0</v>
      </c>
      <c r="J75" s="201">
        <f t="shared" si="157"/>
        <v>0</v>
      </c>
      <c r="K75" s="201">
        <f t="shared" si="157"/>
        <v>0</v>
      </c>
      <c r="L75" s="201">
        <f t="shared" si="157"/>
        <v>0</v>
      </c>
      <c r="M75" s="201">
        <f t="shared" si="157"/>
        <v>0</v>
      </c>
      <c r="N75" s="201">
        <f t="shared" si="157"/>
        <v>0</v>
      </c>
      <c r="O75" s="201">
        <f t="shared" si="157"/>
        <v>0</v>
      </c>
      <c r="P75" s="201">
        <f t="shared" si="157"/>
        <v>0</v>
      </c>
      <c r="Q75" s="201">
        <f t="shared" si="157"/>
        <v>0</v>
      </c>
      <c r="R75" s="201">
        <f t="shared" si="157"/>
        <v>0</v>
      </c>
      <c r="S75" s="201">
        <f t="shared" si="157"/>
        <v>0</v>
      </c>
      <c r="T75" s="201">
        <f t="shared" si="157"/>
        <v>0</v>
      </c>
      <c r="U75" s="201">
        <f t="shared" si="157"/>
        <v>0</v>
      </c>
      <c r="V75" s="201">
        <f t="shared" ref="V75" si="158">-($E75-$AI75)/30+U75</f>
        <v>0</v>
      </c>
      <c r="W75" s="201">
        <f t="shared" ref="W75" si="159">-($E75-$AI75)/30+V75</f>
        <v>0</v>
      </c>
      <c r="X75" s="201">
        <f t="shared" ref="X75" si="160">-($E75-$AI75)/30+W75</f>
        <v>0</v>
      </c>
      <c r="Y75" s="201">
        <f t="shared" ref="Y75" si="161">-($E75-$AI75)/30+X75</f>
        <v>0</v>
      </c>
      <c r="Z75" s="201">
        <f t="shared" ref="Z75" si="162">-($E75-$AI75)/30+Y75</f>
        <v>0</v>
      </c>
      <c r="AA75" s="201">
        <f t="shared" ref="AA75" si="163">-($E75-$AI75)/30+Z75</f>
        <v>0</v>
      </c>
      <c r="AB75" s="201">
        <f t="shared" ref="AB75" si="164">-($E75-$AI75)/30+AA75</f>
        <v>0</v>
      </c>
      <c r="AC75" s="201">
        <f t="shared" ref="AC75" si="165">-($E75-$AI75)/30+AB75</f>
        <v>0</v>
      </c>
      <c r="AD75" s="201">
        <f t="shared" ref="AD75" si="166">-($E75-$AI75)/30+AC75</f>
        <v>0</v>
      </c>
      <c r="AE75" s="201">
        <f t="shared" ref="AE75" si="167">-($E75-$AI75)/30+AD75</f>
        <v>0</v>
      </c>
      <c r="AF75" s="201">
        <f t="shared" ref="AF75" si="168">-($E75-$AI75)/30+AE75</f>
        <v>0</v>
      </c>
      <c r="AG75" s="201">
        <f t="shared" ref="AG75" si="169">-($E75-$AI75)/30+AF75</f>
        <v>0</v>
      </c>
      <c r="AH75" s="201">
        <f t="shared" ref="AH75" si="170">-($E75-$AI75)/30+AG75</f>
        <v>0</v>
      </c>
      <c r="AI75" s="201">
        <f>N18</f>
        <v>0</v>
      </c>
    </row>
    <row r="76" spans="1:35" x14ac:dyDescent="0.2">
      <c r="A76" s="310"/>
      <c r="B76" t="s">
        <v>329</v>
      </c>
      <c r="D76" t="s">
        <v>745</v>
      </c>
      <c r="E76" s="168">
        <f>D19</f>
        <v>0</v>
      </c>
      <c r="F76" s="168">
        <f t="shared" si="114"/>
        <v>0</v>
      </c>
      <c r="G76" s="168">
        <f t="shared" si="114"/>
        <v>0</v>
      </c>
      <c r="H76" s="168">
        <f t="shared" si="114"/>
        <v>0</v>
      </c>
      <c r="I76" s="168">
        <f t="shared" si="114"/>
        <v>0</v>
      </c>
      <c r="J76" s="168">
        <f t="shared" si="114"/>
        <v>0</v>
      </c>
      <c r="K76" s="168">
        <f t="shared" si="114"/>
        <v>0</v>
      </c>
      <c r="L76" s="168">
        <f t="shared" si="114"/>
        <v>0</v>
      </c>
      <c r="M76" s="168">
        <f t="shared" si="114"/>
        <v>0</v>
      </c>
      <c r="N76" s="168">
        <f t="shared" si="114"/>
        <v>0</v>
      </c>
      <c r="O76" s="168">
        <f t="shared" si="114"/>
        <v>0</v>
      </c>
      <c r="P76" s="168">
        <f t="shared" si="114"/>
        <v>0</v>
      </c>
      <c r="Q76" s="168">
        <f t="shared" si="114"/>
        <v>0</v>
      </c>
      <c r="R76" s="168">
        <f t="shared" si="114"/>
        <v>0</v>
      </c>
      <c r="S76" s="168">
        <f t="shared" si="114"/>
        <v>0</v>
      </c>
      <c r="T76" s="168">
        <f t="shared" si="114"/>
        <v>0</v>
      </c>
      <c r="U76" s="168">
        <f t="shared" si="114"/>
        <v>0</v>
      </c>
      <c r="V76" s="168">
        <f t="shared" si="113"/>
        <v>0</v>
      </c>
      <c r="W76" s="168">
        <f t="shared" si="113"/>
        <v>0</v>
      </c>
      <c r="X76" s="168">
        <f t="shared" si="113"/>
        <v>0</v>
      </c>
      <c r="Y76" s="168">
        <f t="shared" si="113"/>
        <v>0</v>
      </c>
      <c r="Z76" s="168">
        <f t="shared" si="113"/>
        <v>0</v>
      </c>
      <c r="AA76" s="168">
        <f t="shared" si="113"/>
        <v>0</v>
      </c>
      <c r="AB76" s="168">
        <f t="shared" si="113"/>
        <v>0</v>
      </c>
      <c r="AC76" s="168">
        <f t="shared" si="113"/>
        <v>0</v>
      </c>
      <c r="AD76" s="168">
        <f t="shared" si="113"/>
        <v>0</v>
      </c>
      <c r="AE76" s="168">
        <f t="shared" si="113"/>
        <v>0</v>
      </c>
      <c r="AF76" s="168">
        <f t="shared" si="113"/>
        <v>0</v>
      </c>
      <c r="AG76" s="168">
        <f t="shared" si="113"/>
        <v>0</v>
      </c>
      <c r="AH76" s="168">
        <f t="shared" si="113"/>
        <v>0</v>
      </c>
      <c r="AI76" s="168">
        <f>N19</f>
        <v>0</v>
      </c>
    </row>
    <row r="77" spans="1:35" x14ac:dyDescent="0.2">
      <c r="A77" s="310"/>
      <c r="B77" t="s">
        <v>329</v>
      </c>
      <c r="D77" t="s">
        <v>248</v>
      </c>
      <c r="E77" s="168">
        <f>D20</f>
        <v>8.0870802588332583E-2</v>
      </c>
      <c r="F77" s="168">
        <f t="shared" si="114"/>
        <v>8.0870802588332583E-2</v>
      </c>
      <c r="G77" s="168">
        <f t="shared" si="114"/>
        <v>8.0870802588332583E-2</v>
      </c>
      <c r="H77" s="168">
        <f t="shared" si="114"/>
        <v>8.0870802588332583E-2</v>
      </c>
      <c r="I77" s="168">
        <f t="shared" si="114"/>
        <v>8.0870802588332583E-2</v>
      </c>
      <c r="J77" s="168">
        <f t="shared" si="114"/>
        <v>8.0870802588332583E-2</v>
      </c>
      <c r="K77" s="168">
        <f t="shared" si="114"/>
        <v>8.0870802588332583E-2</v>
      </c>
      <c r="L77" s="168">
        <f t="shared" si="114"/>
        <v>8.0870802588332583E-2</v>
      </c>
      <c r="M77" s="168">
        <f t="shared" si="114"/>
        <v>8.0870802588332583E-2</v>
      </c>
      <c r="N77" s="168">
        <f t="shared" si="114"/>
        <v>8.0870802588332583E-2</v>
      </c>
      <c r="O77" s="168">
        <f t="shared" si="114"/>
        <v>8.0870802588332583E-2</v>
      </c>
      <c r="P77" s="168">
        <f t="shared" si="114"/>
        <v>8.0870802588332583E-2</v>
      </c>
      <c r="Q77" s="168">
        <f t="shared" si="114"/>
        <v>8.0870802588332583E-2</v>
      </c>
      <c r="R77" s="168">
        <f t="shared" si="114"/>
        <v>8.0870802588332583E-2</v>
      </c>
      <c r="S77" s="168">
        <f t="shared" si="114"/>
        <v>8.0870802588332583E-2</v>
      </c>
      <c r="T77" s="168">
        <f t="shared" si="114"/>
        <v>8.0870802588332583E-2</v>
      </c>
      <c r="U77" s="168">
        <f t="shared" si="114"/>
        <v>8.0870802588332583E-2</v>
      </c>
      <c r="V77" s="168">
        <f t="shared" si="113"/>
        <v>8.0870802588332583E-2</v>
      </c>
      <c r="W77" s="168">
        <f t="shared" si="113"/>
        <v>8.0870802588332583E-2</v>
      </c>
      <c r="X77" s="168">
        <f t="shared" si="113"/>
        <v>8.0870802588332583E-2</v>
      </c>
      <c r="Y77" s="168">
        <f t="shared" si="113"/>
        <v>8.0870802588332583E-2</v>
      </c>
      <c r="Z77" s="168">
        <f t="shared" si="113"/>
        <v>8.0870802588332583E-2</v>
      </c>
      <c r="AA77" s="168">
        <f t="shared" si="113"/>
        <v>8.0870802588332583E-2</v>
      </c>
      <c r="AB77" s="168">
        <f t="shared" si="113"/>
        <v>8.0870802588332583E-2</v>
      </c>
      <c r="AC77" s="168">
        <f t="shared" si="113"/>
        <v>8.0870802588332583E-2</v>
      </c>
      <c r="AD77" s="168">
        <f t="shared" si="113"/>
        <v>8.0870802588332583E-2</v>
      </c>
      <c r="AE77" s="168">
        <f t="shared" si="113"/>
        <v>8.0870802588332583E-2</v>
      </c>
      <c r="AF77" s="168">
        <f t="shared" si="113"/>
        <v>8.0870802588332583E-2</v>
      </c>
      <c r="AG77" s="168">
        <f t="shared" si="113"/>
        <v>8.0870802588332583E-2</v>
      </c>
      <c r="AH77" s="168">
        <f t="shared" si="113"/>
        <v>8.0870802588332583E-2</v>
      </c>
      <c r="AI77" s="168">
        <f>N20</f>
        <v>8.0870802588332569E-2</v>
      </c>
    </row>
    <row r="78" spans="1:35" s="67" customFormat="1" x14ac:dyDescent="0.2">
      <c r="A78" s="307"/>
      <c r="B78" s="67" t="s">
        <v>329</v>
      </c>
      <c r="C78" s="67" t="s">
        <v>1749</v>
      </c>
      <c r="D78" t="s">
        <v>474</v>
      </c>
      <c r="E78" s="201">
        <f>E17</f>
        <v>0.91912919741166743</v>
      </c>
      <c r="F78" s="201">
        <f t="shared" si="114"/>
        <v>0.91912919741166743</v>
      </c>
      <c r="G78" s="201">
        <f t="shared" si="114"/>
        <v>0.91912919741166743</v>
      </c>
      <c r="H78" s="201">
        <f t="shared" si="114"/>
        <v>0.91912919741166743</v>
      </c>
      <c r="I78" s="201">
        <f t="shared" si="114"/>
        <v>0.91912919741166743</v>
      </c>
      <c r="J78" s="201">
        <f t="shared" si="114"/>
        <v>0.91912919741166743</v>
      </c>
      <c r="K78" s="201">
        <f t="shared" si="114"/>
        <v>0.91912919741166743</v>
      </c>
      <c r="L78" s="201">
        <f t="shared" si="114"/>
        <v>0.91912919741166743</v>
      </c>
      <c r="M78" s="201">
        <f t="shared" si="114"/>
        <v>0.91912919741166743</v>
      </c>
      <c r="N78" s="201">
        <f t="shared" si="114"/>
        <v>0.91912919741166743</v>
      </c>
      <c r="O78" s="201">
        <f t="shared" si="114"/>
        <v>0.91912919741166743</v>
      </c>
      <c r="P78" s="201">
        <f t="shared" si="114"/>
        <v>0.91912919741166743</v>
      </c>
      <c r="Q78" s="201">
        <f t="shared" si="114"/>
        <v>0.91912919741166743</v>
      </c>
      <c r="R78" s="201">
        <f t="shared" si="114"/>
        <v>0.91912919741166743</v>
      </c>
      <c r="S78" s="201">
        <f t="shared" si="114"/>
        <v>0.91912919741166743</v>
      </c>
      <c r="T78" s="201">
        <f t="shared" si="114"/>
        <v>0.91912919741166743</v>
      </c>
      <c r="U78" s="201">
        <f t="shared" si="114"/>
        <v>0.91912919741166743</v>
      </c>
      <c r="V78" s="201">
        <f t="shared" si="113"/>
        <v>0.91912919741166743</v>
      </c>
      <c r="W78" s="201">
        <f t="shared" si="113"/>
        <v>0.91912919741166743</v>
      </c>
      <c r="X78" s="201">
        <f t="shared" si="113"/>
        <v>0.91912919741166743</v>
      </c>
      <c r="Y78" s="201">
        <f t="shared" si="113"/>
        <v>0.91912919741166743</v>
      </c>
      <c r="Z78" s="201">
        <f t="shared" si="113"/>
        <v>0.91912919741166743</v>
      </c>
      <c r="AA78" s="201">
        <f t="shared" si="113"/>
        <v>0.91912919741166743</v>
      </c>
      <c r="AB78" s="201">
        <f t="shared" si="113"/>
        <v>0.91912919741166743</v>
      </c>
      <c r="AC78" s="201">
        <f t="shared" si="113"/>
        <v>0.91912919741166743</v>
      </c>
      <c r="AD78" s="201">
        <f t="shared" si="113"/>
        <v>0.91912919741166743</v>
      </c>
      <c r="AE78" s="201">
        <f t="shared" si="113"/>
        <v>0.91912919741166743</v>
      </c>
      <c r="AF78" s="201">
        <f t="shared" si="113"/>
        <v>0.91912919741166743</v>
      </c>
      <c r="AG78" s="201">
        <f t="shared" si="113"/>
        <v>0.91912919741166743</v>
      </c>
      <c r="AH78" s="201">
        <f t="shared" si="113"/>
        <v>0.91912919741166743</v>
      </c>
      <c r="AI78" s="201">
        <f>O17</f>
        <v>0.91912919741166732</v>
      </c>
    </row>
    <row r="79" spans="1:35" x14ac:dyDescent="0.2">
      <c r="A79" s="310"/>
      <c r="B79" s="67" t="s">
        <v>329</v>
      </c>
      <c r="C79" s="67" t="s">
        <v>1749</v>
      </c>
      <c r="D79" t="s">
        <v>478</v>
      </c>
      <c r="E79" s="201">
        <f>E18</f>
        <v>0</v>
      </c>
      <c r="F79" s="201">
        <f t="shared" ref="F79:U79" si="171">-($E79-$AI79)/30+E79</f>
        <v>0</v>
      </c>
      <c r="G79" s="201">
        <f t="shared" si="171"/>
        <v>0</v>
      </c>
      <c r="H79" s="201">
        <f t="shared" si="171"/>
        <v>0</v>
      </c>
      <c r="I79" s="201">
        <f t="shared" si="171"/>
        <v>0</v>
      </c>
      <c r="J79" s="201">
        <f t="shared" si="171"/>
        <v>0</v>
      </c>
      <c r="K79" s="201">
        <f t="shared" si="171"/>
        <v>0</v>
      </c>
      <c r="L79" s="201">
        <f t="shared" si="171"/>
        <v>0</v>
      </c>
      <c r="M79" s="201">
        <f t="shared" si="171"/>
        <v>0</v>
      </c>
      <c r="N79" s="201">
        <f t="shared" si="171"/>
        <v>0</v>
      </c>
      <c r="O79" s="201">
        <f t="shared" si="171"/>
        <v>0</v>
      </c>
      <c r="P79" s="201">
        <f t="shared" si="171"/>
        <v>0</v>
      </c>
      <c r="Q79" s="201">
        <f t="shared" si="171"/>
        <v>0</v>
      </c>
      <c r="R79" s="201">
        <f t="shared" si="171"/>
        <v>0</v>
      </c>
      <c r="S79" s="201">
        <f t="shared" si="171"/>
        <v>0</v>
      </c>
      <c r="T79" s="201">
        <f t="shared" si="171"/>
        <v>0</v>
      </c>
      <c r="U79" s="201">
        <f t="shared" si="171"/>
        <v>0</v>
      </c>
      <c r="V79" s="201">
        <f t="shared" ref="V79" si="172">-($E79-$AI79)/30+U79</f>
        <v>0</v>
      </c>
      <c r="W79" s="201">
        <f t="shared" ref="W79" si="173">-($E79-$AI79)/30+V79</f>
        <v>0</v>
      </c>
      <c r="X79" s="201">
        <f t="shared" ref="X79" si="174">-($E79-$AI79)/30+W79</f>
        <v>0</v>
      </c>
      <c r="Y79" s="201">
        <f t="shared" ref="Y79" si="175">-($E79-$AI79)/30+X79</f>
        <v>0</v>
      </c>
      <c r="Z79" s="201">
        <f t="shared" ref="Z79" si="176">-($E79-$AI79)/30+Y79</f>
        <v>0</v>
      </c>
      <c r="AA79" s="201">
        <f t="shared" ref="AA79" si="177">-($E79-$AI79)/30+Z79</f>
        <v>0</v>
      </c>
      <c r="AB79" s="201">
        <f t="shared" ref="AB79" si="178">-($E79-$AI79)/30+AA79</f>
        <v>0</v>
      </c>
      <c r="AC79" s="201">
        <f t="shared" ref="AC79" si="179">-($E79-$AI79)/30+AB79</f>
        <v>0</v>
      </c>
      <c r="AD79" s="201">
        <f t="shared" ref="AD79" si="180">-($E79-$AI79)/30+AC79</f>
        <v>0</v>
      </c>
      <c r="AE79" s="201">
        <f t="shared" ref="AE79" si="181">-($E79-$AI79)/30+AD79</f>
        <v>0</v>
      </c>
      <c r="AF79" s="201">
        <f t="shared" ref="AF79" si="182">-($E79-$AI79)/30+AE79</f>
        <v>0</v>
      </c>
      <c r="AG79" s="201">
        <f t="shared" ref="AG79" si="183">-($E79-$AI79)/30+AF79</f>
        <v>0</v>
      </c>
      <c r="AH79" s="201">
        <f t="shared" ref="AH79" si="184">-($E79-$AI79)/30+AG79</f>
        <v>0</v>
      </c>
      <c r="AI79" s="201">
        <f>O18</f>
        <v>0</v>
      </c>
    </row>
    <row r="80" spans="1:35" x14ac:dyDescent="0.2">
      <c r="A80" s="310"/>
      <c r="B80" t="s">
        <v>329</v>
      </c>
      <c r="D80" t="s">
        <v>745</v>
      </c>
      <c r="E80" s="168">
        <f>E19</f>
        <v>0</v>
      </c>
      <c r="F80" s="168">
        <f t="shared" si="114"/>
        <v>0</v>
      </c>
      <c r="G80" s="168">
        <f t="shared" si="114"/>
        <v>0</v>
      </c>
      <c r="H80" s="168">
        <f t="shared" si="114"/>
        <v>0</v>
      </c>
      <c r="I80" s="168">
        <f t="shared" si="114"/>
        <v>0</v>
      </c>
      <c r="J80" s="168">
        <f t="shared" si="114"/>
        <v>0</v>
      </c>
      <c r="K80" s="168">
        <f t="shared" si="114"/>
        <v>0</v>
      </c>
      <c r="L80" s="168">
        <f t="shared" si="114"/>
        <v>0</v>
      </c>
      <c r="M80" s="168">
        <f t="shared" si="114"/>
        <v>0</v>
      </c>
      <c r="N80" s="168">
        <f t="shared" si="114"/>
        <v>0</v>
      </c>
      <c r="O80" s="168">
        <f t="shared" si="114"/>
        <v>0</v>
      </c>
      <c r="P80" s="168">
        <f t="shared" si="114"/>
        <v>0</v>
      </c>
      <c r="Q80" s="168">
        <f t="shared" si="114"/>
        <v>0</v>
      </c>
      <c r="R80" s="168">
        <f t="shared" si="114"/>
        <v>0</v>
      </c>
      <c r="S80" s="168">
        <f t="shared" si="114"/>
        <v>0</v>
      </c>
      <c r="T80" s="168">
        <f t="shared" si="114"/>
        <v>0</v>
      </c>
      <c r="U80" s="168">
        <f t="shared" si="114"/>
        <v>0</v>
      </c>
      <c r="V80" s="168">
        <f t="shared" si="113"/>
        <v>0</v>
      </c>
      <c r="W80" s="168">
        <f t="shared" si="113"/>
        <v>0</v>
      </c>
      <c r="X80" s="168">
        <f t="shared" si="113"/>
        <v>0</v>
      </c>
      <c r="Y80" s="168">
        <f t="shared" si="113"/>
        <v>0</v>
      </c>
      <c r="Z80" s="168">
        <f t="shared" si="113"/>
        <v>0</v>
      </c>
      <c r="AA80" s="168">
        <f t="shared" si="113"/>
        <v>0</v>
      </c>
      <c r="AB80" s="168">
        <f t="shared" si="113"/>
        <v>0</v>
      </c>
      <c r="AC80" s="168">
        <f t="shared" si="113"/>
        <v>0</v>
      </c>
      <c r="AD80" s="168">
        <f t="shared" si="113"/>
        <v>0</v>
      </c>
      <c r="AE80" s="168">
        <f t="shared" si="113"/>
        <v>0</v>
      </c>
      <c r="AF80" s="168">
        <f t="shared" si="113"/>
        <v>0</v>
      </c>
      <c r="AG80" s="168">
        <f t="shared" si="113"/>
        <v>0</v>
      </c>
      <c r="AH80" s="168">
        <f t="shared" si="113"/>
        <v>0</v>
      </c>
      <c r="AI80" s="168">
        <f>O19</f>
        <v>0</v>
      </c>
    </row>
    <row r="81" spans="1:35" x14ac:dyDescent="0.2">
      <c r="A81" s="310"/>
      <c r="B81" t="s">
        <v>329</v>
      </c>
      <c r="D81" t="s">
        <v>248</v>
      </c>
      <c r="E81" s="168">
        <f>E20</f>
        <v>8.0870802588332583E-2</v>
      </c>
      <c r="F81" s="168">
        <f t="shared" si="114"/>
        <v>8.0870802588332583E-2</v>
      </c>
      <c r="G81" s="168">
        <f t="shared" si="114"/>
        <v>8.0870802588332583E-2</v>
      </c>
      <c r="H81" s="168">
        <f t="shared" si="114"/>
        <v>8.0870802588332583E-2</v>
      </c>
      <c r="I81" s="168">
        <f t="shared" si="114"/>
        <v>8.0870802588332583E-2</v>
      </c>
      <c r="J81" s="168">
        <f t="shared" si="114"/>
        <v>8.0870802588332583E-2</v>
      </c>
      <c r="K81" s="168">
        <f t="shared" si="114"/>
        <v>8.0870802588332583E-2</v>
      </c>
      <c r="L81" s="168">
        <f t="shared" si="114"/>
        <v>8.0870802588332583E-2</v>
      </c>
      <c r="M81" s="168">
        <f t="shared" si="114"/>
        <v>8.0870802588332583E-2</v>
      </c>
      <c r="N81" s="168">
        <f t="shared" si="114"/>
        <v>8.0870802588332583E-2</v>
      </c>
      <c r="O81" s="168">
        <f t="shared" si="114"/>
        <v>8.0870802588332583E-2</v>
      </c>
      <c r="P81" s="168">
        <f t="shared" si="114"/>
        <v>8.0870802588332583E-2</v>
      </c>
      <c r="Q81" s="168">
        <f t="shared" si="114"/>
        <v>8.0870802588332583E-2</v>
      </c>
      <c r="R81" s="168">
        <f t="shared" si="114"/>
        <v>8.0870802588332583E-2</v>
      </c>
      <c r="S81" s="168">
        <f t="shared" si="114"/>
        <v>8.0870802588332583E-2</v>
      </c>
      <c r="T81" s="168">
        <f t="shared" si="114"/>
        <v>8.0870802588332583E-2</v>
      </c>
      <c r="U81" s="168">
        <f t="shared" ref="U81:AH93" si="185">-($E81-$AI81)/30+T81</f>
        <v>8.0870802588332583E-2</v>
      </c>
      <c r="V81" s="168">
        <f t="shared" si="185"/>
        <v>8.0870802588332583E-2</v>
      </c>
      <c r="W81" s="168">
        <f t="shared" si="185"/>
        <v>8.0870802588332583E-2</v>
      </c>
      <c r="X81" s="168">
        <f t="shared" si="185"/>
        <v>8.0870802588332583E-2</v>
      </c>
      <c r="Y81" s="168">
        <f t="shared" si="185"/>
        <v>8.0870802588332583E-2</v>
      </c>
      <c r="Z81" s="168">
        <f t="shared" si="185"/>
        <v>8.0870802588332583E-2</v>
      </c>
      <c r="AA81" s="168">
        <f t="shared" si="185"/>
        <v>8.0870802588332583E-2</v>
      </c>
      <c r="AB81" s="168">
        <f t="shared" si="185"/>
        <v>8.0870802588332583E-2</v>
      </c>
      <c r="AC81" s="168">
        <f t="shared" si="185"/>
        <v>8.0870802588332583E-2</v>
      </c>
      <c r="AD81" s="168">
        <f t="shared" si="185"/>
        <v>8.0870802588332583E-2</v>
      </c>
      <c r="AE81" s="168">
        <f t="shared" si="185"/>
        <v>8.0870802588332583E-2</v>
      </c>
      <c r="AF81" s="168">
        <f t="shared" si="185"/>
        <v>8.0870802588332583E-2</v>
      </c>
      <c r="AG81" s="168">
        <f t="shared" si="185"/>
        <v>8.0870802588332583E-2</v>
      </c>
      <c r="AH81" s="168">
        <f t="shared" si="185"/>
        <v>8.0870802588332583E-2</v>
      </c>
      <c r="AI81" s="168">
        <f>O20</f>
        <v>8.0870802588332569E-2</v>
      </c>
    </row>
    <row r="82" spans="1:35" s="67" customFormat="1" x14ac:dyDescent="0.2">
      <c r="A82" s="307"/>
      <c r="B82" s="67" t="s">
        <v>329</v>
      </c>
      <c r="C82" s="67" t="s">
        <v>1750</v>
      </c>
      <c r="D82" t="s">
        <v>474</v>
      </c>
      <c r="E82" s="201">
        <f>F17</f>
        <v>0.91912919741166743</v>
      </c>
      <c r="F82" s="201">
        <f t="shared" ref="F82:U93" si="186">-($E82-$AI82)/30+E82</f>
        <v>0.91912919741166743</v>
      </c>
      <c r="G82" s="201">
        <f t="shared" si="186"/>
        <v>0.91912919741166743</v>
      </c>
      <c r="H82" s="201">
        <f t="shared" si="186"/>
        <v>0.91912919741166743</v>
      </c>
      <c r="I82" s="201">
        <f t="shared" si="186"/>
        <v>0.91912919741166743</v>
      </c>
      <c r="J82" s="201">
        <f t="shared" si="186"/>
        <v>0.91912919741166743</v>
      </c>
      <c r="K82" s="201">
        <f t="shared" si="186"/>
        <v>0.91912919741166743</v>
      </c>
      <c r="L82" s="201">
        <f t="shared" si="186"/>
        <v>0.91912919741166743</v>
      </c>
      <c r="M82" s="201">
        <f t="shared" si="186"/>
        <v>0.91912919741166743</v>
      </c>
      <c r="N82" s="201">
        <f t="shared" si="186"/>
        <v>0.91912919741166743</v>
      </c>
      <c r="O82" s="201">
        <f t="shared" si="186"/>
        <v>0.91912919741166743</v>
      </c>
      <c r="P82" s="201">
        <f t="shared" si="186"/>
        <v>0.91912919741166743</v>
      </c>
      <c r="Q82" s="201">
        <f t="shared" si="186"/>
        <v>0.91912919741166743</v>
      </c>
      <c r="R82" s="201">
        <f t="shared" si="186"/>
        <v>0.91912919741166743</v>
      </c>
      <c r="S82" s="201">
        <f t="shared" si="186"/>
        <v>0.91912919741166743</v>
      </c>
      <c r="T82" s="201">
        <f t="shared" si="186"/>
        <v>0.91912919741166743</v>
      </c>
      <c r="U82" s="201">
        <f t="shared" si="186"/>
        <v>0.91912919741166743</v>
      </c>
      <c r="V82" s="201">
        <f t="shared" si="185"/>
        <v>0.91912919741166743</v>
      </c>
      <c r="W82" s="201">
        <f t="shared" si="185"/>
        <v>0.91912919741166743</v>
      </c>
      <c r="X82" s="201">
        <f t="shared" si="185"/>
        <v>0.91912919741166743</v>
      </c>
      <c r="Y82" s="201">
        <f t="shared" si="185"/>
        <v>0.91912919741166743</v>
      </c>
      <c r="Z82" s="201">
        <f t="shared" si="185"/>
        <v>0.91912919741166743</v>
      </c>
      <c r="AA82" s="201">
        <f t="shared" si="185"/>
        <v>0.91912919741166743</v>
      </c>
      <c r="AB82" s="201">
        <f t="shared" si="185"/>
        <v>0.91912919741166743</v>
      </c>
      <c r="AC82" s="201">
        <f t="shared" si="185"/>
        <v>0.91912919741166743</v>
      </c>
      <c r="AD82" s="201">
        <f t="shared" si="185"/>
        <v>0.91912919741166743</v>
      </c>
      <c r="AE82" s="201">
        <f t="shared" si="185"/>
        <v>0.91912919741166743</v>
      </c>
      <c r="AF82" s="201">
        <f t="shared" si="185"/>
        <v>0.91912919741166743</v>
      </c>
      <c r="AG82" s="201">
        <f t="shared" si="185"/>
        <v>0.91912919741166743</v>
      </c>
      <c r="AH82" s="201">
        <f t="shared" si="185"/>
        <v>0.91912919741166743</v>
      </c>
      <c r="AI82" s="201">
        <f>P17</f>
        <v>0.91912919741166732</v>
      </c>
    </row>
    <row r="83" spans="1:35" x14ac:dyDescent="0.2">
      <c r="A83" s="310"/>
      <c r="B83" s="67" t="s">
        <v>329</v>
      </c>
      <c r="C83" s="67" t="s">
        <v>1750</v>
      </c>
      <c r="D83" t="s">
        <v>478</v>
      </c>
      <c r="E83" s="201">
        <f>F18</f>
        <v>0</v>
      </c>
      <c r="F83" s="201">
        <f t="shared" ref="F83" si="187">-($E83-$AI83)/30+E83</f>
        <v>0</v>
      </c>
      <c r="G83" s="201">
        <f t="shared" ref="G83" si="188">-($E83-$AI83)/30+F83</f>
        <v>0</v>
      </c>
      <c r="H83" s="201">
        <f t="shared" ref="H83" si="189">-($E83-$AI83)/30+G83</f>
        <v>0</v>
      </c>
      <c r="I83" s="201">
        <f t="shared" ref="I83" si="190">-($E83-$AI83)/30+H83</f>
        <v>0</v>
      </c>
      <c r="J83" s="201">
        <f t="shared" ref="J83" si="191">-($E83-$AI83)/30+I83</f>
        <v>0</v>
      </c>
      <c r="K83" s="201">
        <f t="shared" ref="K83" si="192">-($E83-$AI83)/30+J83</f>
        <v>0</v>
      </c>
      <c r="L83" s="201">
        <f t="shared" ref="L83" si="193">-($E83-$AI83)/30+K83</f>
        <v>0</v>
      </c>
      <c r="M83" s="201">
        <f t="shared" ref="M83" si="194">-($E83-$AI83)/30+L83</f>
        <v>0</v>
      </c>
      <c r="N83" s="201">
        <f t="shared" ref="N83" si="195">-($E83-$AI83)/30+M83</f>
        <v>0</v>
      </c>
      <c r="O83" s="201">
        <f t="shared" ref="O83" si="196">-($E83-$AI83)/30+N83</f>
        <v>0</v>
      </c>
      <c r="P83" s="201">
        <f t="shared" ref="P83" si="197">-($E83-$AI83)/30+O83</f>
        <v>0</v>
      </c>
      <c r="Q83" s="201">
        <f t="shared" ref="Q83" si="198">-($E83-$AI83)/30+P83</f>
        <v>0</v>
      </c>
      <c r="R83" s="201">
        <f t="shared" ref="R83" si="199">-($E83-$AI83)/30+Q83</f>
        <v>0</v>
      </c>
      <c r="S83" s="201">
        <f t="shared" ref="S83" si="200">-($E83-$AI83)/30+R83</f>
        <v>0</v>
      </c>
      <c r="T83" s="201">
        <f t="shared" ref="T83" si="201">-($E83-$AI83)/30+S83</f>
        <v>0</v>
      </c>
      <c r="U83" s="201">
        <f t="shared" ref="U83" si="202">-($E83-$AI83)/30+T83</f>
        <v>0</v>
      </c>
      <c r="V83" s="201">
        <f t="shared" ref="V83" si="203">-($E83-$AI83)/30+U83</f>
        <v>0</v>
      </c>
      <c r="W83" s="201">
        <f t="shared" ref="W83" si="204">-($E83-$AI83)/30+V83</f>
        <v>0</v>
      </c>
      <c r="X83" s="201">
        <f t="shared" ref="X83" si="205">-($E83-$AI83)/30+W83</f>
        <v>0</v>
      </c>
      <c r="Y83" s="201">
        <f t="shared" ref="Y83" si="206">-($E83-$AI83)/30+X83</f>
        <v>0</v>
      </c>
      <c r="Z83" s="201">
        <f t="shared" ref="Z83" si="207">-($E83-$AI83)/30+Y83</f>
        <v>0</v>
      </c>
      <c r="AA83" s="201">
        <f t="shared" ref="AA83" si="208">-($E83-$AI83)/30+Z83</f>
        <v>0</v>
      </c>
      <c r="AB83" s="201">
        <f t="shared" ref="AB83" si="209">-($E83-$AI83)/30+AA83</f>
        <v>0</v>
      </c>
      <c r="AC83" s="201">
        <f t="shared" ref="AC83" si="210">-($E83-$AI83)/30+AB83</f>
        <v>0</v>
      </c>
      <c r="AD83" s="201">
        <f t="shared" ref="AD83" si="211">-($E83-$AI83)/30+AC83</f>
        <v>0</v>
      </c>
      <c r="AE83" s="201">
        <f t="shared" ref="AE83" si="212">-($E83-$AI83)/30+AD83</f>
        <v>0</v>
      </c>
      <c r="AF83" s="201">
        <f t="shared" ref="AF83" si="213">-($E83-$AI83)/30+AE83</f>
        <v>0</v>
      </c>
      <c r="AG83" s="201">
        <f t="shared" ref="AG83" si="214">-($E83-$AI83)/30+AF83</f>
        <v>0</v>
      </c>
      <c r="AH83" s="201">
        <f t="shared" ref="AH83" si="215">-($E83-$AI83)/30+AG83</f>
        <v>0</v>
      </c>
      <c r="AI83" s="201">
        <f>P18</f>
        <v>0</v>
      </c>
    </row>
    <row r="84" spans="1:35" x14ac:dyDescent="0.2">
      <c r="A84" s="310"/>
      <c r="B84" t="s">
        <v>329</v>
      </c>
      <c r="D84" t="s">
        <v>745</v>
      </c>
      <c r="E84" s="168">
        <f>F19</f>
        <v>0</v>
      </c>
      <c r="F84" s="168">
        <f t="shared" si="186"/>
        <v>0</v>
      </c>
      <c r="G84" s="168">
        <f t="shared" si="186"/>
        <v>0</v>
      </c>
      <c r="H84" s="168">
        <f t="shared" si="186"/>
        <v>0</v>
      </c>
      <c r="I84" s="168">
        <f t="shared" si="186"/>
        <v>0</v>
      </c>
      <c r="J84" s="168">
        <f t="shared" si="186"/>
        <v>0</v>
      </c>
      <c r="K84" s="168">
        <f t="shared" si="186"/>
        <v>0</v>
      </c>
      <c r="L84" s="168">
        <f t="shared" si="186"/>
        <v>0</v>
      </c>
      <c r="M84" s="168">
        <f t="shared" si="186"/>
        <v>0</v>
      </c>
      <c r="N84" s="168">
        <f t="shared" si="186"/>
        <v>0</v>
      </c>
      <c r="O84" s="168">
        <f t="shared" si="186"/>
        <v>0</v>
      </c>
      <c r="P84" s="168">
        <f t="shared" si="186"/>
        <v>0</v>
      </c>
      <c r="Q84" s="168">
        <f t="shared" si="186"/>
        <v>0</v>
      </c>
      <c r="R84" s="168">
        <f t="shared" si="186"/>
        <v>0</v>
      </c>
      <c r="S84" s="168">
        <f t="shared" si="186"/>
        <v>0</v>
      </c>
      <c r="T84" s="168">
        <f t="shared" si="186"/>
        <v>0</v>
      </c>
      <c r="U84" s="168">
        <f t="shared" si="186"/>
        <v>0</v>
      </c>
      <c r="V84" s="168">
        <f t="shared" si="185"/>
        <v>0</v>
      </c>
      <c r="W84" s="168">
        <f t="shared" si="185"/>
        <v>0</v>
      </c>
      <c r="X84" s="168">
        <f t="shared" si="185"/>
        <v>0</v>
      </c>
      <c r="Y84" s="168">
        <f t="shared" si="185"/>
        <v>0</v>
      </c>
      <c r="Z84" s="168">
        <f t="shared" si="185"/>
        <v>0</v>
      </c>
      <c r="AA84" s="168">
        <f t="shared" si="185"/>
        <v>0</v>
      </c>
      <c r="AB84" s="168">
        <f t="shared" si="185"/>
        <v>0</v>
      </c>
      <c r="AC84" s="168">
        <f t="shared" si="185"/>
        <v>0</v>
      </c>
      <c r="AD84" s="168">
        <f t="shared" si="185"/>
        <v>0</v>
      </c>
      <c r="AE84" s="168">
        <f t="shared" si="185"/>
        <v>0</v>
      </c>
      <c r="AF84" s="168">
        <f t="shared" si="185"/>
        <v>0</v>
      </c>
      <c r="AG84" s="168">
        <f t="shared" si="185"/>
        <v>0</v>
      </c>
      <c r="AH84" s="168">
        <f t="shared" si="185"/>
        <v>0</v>
      </c>
      <c r="AI84" s="168">
        <f>P19</f>
        <v>0</v>
      </c>
    </row>
    <row r="85" spans="1:35" x14ac:dyDescent="0.2">
      <c r="A85" s="310"/>
      <c r="B85" t="s">
        <v>329</v>
      </c>
      <c r="D85" t="s">
        <v>248</v>
      </c>
      <c r="E85" s="168">
        <f>F20</f>
        <v>8.0870802588332583E-2</v>
      </c>
      <c r="F85" s="168">
        <f t="shared" si="186"/>
        <v>8.0870802588332583E-2</v>
      </c>
      <c r="G85" s="168">
        <f t="shared" si="186"/>
        <v>8.0870802588332583E-2</v>
      </c>
      <c r="H85" s="168">
        <f t="shared" si="186"/>
        <v>8.0870802588332583E-2</v>
      </c>
      <c r="I85" s="168">
        <f t="shared" si="186"/>
        <v>8.0870802588332583E-2</v>
      </c>
      <c r="J85" s="168">
        <f t="shared" si="186"/>
        <v>8.0870802588332583E-2</v>
      </c>
      <c r="K85" s="168">
        <f t="shared" si="186"/>
        <v>8.0870802588332583E-2</v>
      </c>
      <c r="L85" s="168">
        <f t="shared" si="186"/>
        <v>8.0870802588332583E-2</v>
      </c>
      <c r="M85" s="168">
        <f t="shared" si="186"/>
        <v>8.0870802588332583E-2</v>
      </c>
      <c r="N85" s="168">
        <f t="shared" si="186"/>
        <v>8.0870802588332583E-2</v>
      </c>
      <c r="O85" s="168">
        <f t="shared" si="186"/>
        <v>8.0870802588332583E-2</v>
      </c>
      <c r="P85" s="168">
        <f t="shared" si="186"/>
        <v>8.0870802588332583E-2</v>
      </c>
      <c r="Q85" s="168">
        <f t="shared" si="186"/>
        <v>8.0870802588332583E-2</v>
      </c>
      <c r="R85" s="168">
        <f t="shared" si="186"/>
        <v>8.0870802588332583E-2</v>
      </c>
      <c r="S85" s="168">
        <f t="shared" si="186"/>
        <v>8.0870802588332583E-2</v>
      </c>
      <c r="T85" s="168">
        <f t="shared" si="186"/>
        <v>8.0870802588332583E-2</v>
      </c>
      <c r="U85" s="168">
        <f t="shared" si="186"/>
        <v>8.0870802588332583E-2</v>
      </c>
      <c r="V85" s="168">
        <f t="shared" si="185"/>
        <v>8.0870802588332583E-2</v>
      </c>
      <c r="W85" s="168">
        <f t="shared" si="185"/>
        <v>8.0870802588332583E-2</v>
      </c>
      <c r="X85" s="168">
        <f t="shared" si="185"/>
        <v>8.0870802588332583E-2</v>
      </c>
      <c r="Y85" s="168">
        <f t="shared" si="185"/>
        <v>8.0870802588332583E-2</v>
      </c>
      <c r="Z85" s="168">
        <f t="shared" si="185"/>
        <v>8.0870802588332583E-2</v>
      </c>
      <c r="AA85" s="168">
        <f t="shared" si="185"/>
        <v>8.0870802588332583E-2</v>
      </c>
      <c r="AB85" s="168">
        <f t="shared" si="185"/>
        <v>8.0870802588332583E-2</v>
      </c>
      <c r="AC85" s="168">
        <f t="shared" si="185"/>
        <v>8.0870802588332583E-2</v>
      </c>
      <c r="AD85" s="168">
        <f t="shared" si="185"/>
        <v>8.0870802588332583E-2</v>
      </c>
      <c r="AE85" s="168">
        <f t="shared" si="185"/>
        <v>8.0870802588332583E-2</v>
      </c>
      <c r="AF85" s="168">
        <f t="shared" si="185"/>
        <v>8.0870802588332583E-2</v>
      </c>
      <c r="AG85" s="168">
        <f t="shared" si="185"/>
        <v>8.0870802588332583E-2</v>
      </c>
      <c r="AH85" s="168">
        <f t="shared" si="185"/>
        <v>8.0870802588332583E-2</v>
      </c>
      <c r="AI85" s="168">
        <f>P20</f>
        <v>8.0870802588332569E-2</v>
      </c>
    </row>
    <row r="86" spans="1:35" s="67" customFormat="1" x14ac:dyDescent="0.2">
      <c r="A86" s="307"/>
      <c r="B86" s="67" t="s">
        <v>369</v>
      </c>
      <c r="C86" s="67" t="s">
        <v>1746</v>
      </c>
      <c r="D86" t="s">
        <v>474</v>
      </c>
      <c r="E86" s="201">
        <f>D24</f>
        <v>0</v>
      </c>
      <c r="F86" s="201">
        <f t="shared" si="186"/>
        <v>1.9881891043695355E-2</v>
      </c>
      <c r="G86" s="201">
        <f t="shared" si="186"/>
        <v>3.976378208739071E-2</v>
      </c>
      <c r="H86" s="201">
        <f t="shared" si="186"/>
        <v>5.9645673131086069E-2</v>
      </c>
      <c r="I86" s="201">
        <f t="shared" si="186"/>
        <v>7.952756417478142E-2</v>
      </c>
      <c r="J86" s="201">
        <f t="shared" si="186"/>
        <v>9.9409455218476772E-2</v>
      </c>
      <c r="K86" s="201">
        <f t="shared" si="186"/>
        <v>0.11929134626217212</v>
      </c>
      <c r="L86" s="201">
        <f t="shared" si="186"/>
        <v>0.13917323730586748</v>
      </c>
      <c r="M86" s="201">
        <f t="shared" si="186"/>
        <v>0.15905512834956284</v>
      </c>
      <c r="N86" s="201">
        <f t="shared" si="186"/>
        <v>0.17893701939325821</v>
      </c>
      <c r="O86" s="201">
        <f t="shared" si="186"/>
        <v>0.19881891043695357</v>
      </c>
      <c r="P86" s="201">
        <f t="shared" si="186"/>
        <v>0.21870080148064894</v>
      </c>
      <c r="Q86" s="201">
        <f t="shared" si="186"/>
        <v>0.2385826925243443</v>
      </c>
      <c r="R86" s="201">
        <f t="shared" si="186"/>
        <v>0.25846458356803964</v>
      </c>
      <c r="S86" s="201">
        <f t="shared" si="186"/>
        <v>0.27834647461173501</v>
      </c>
      <c r="T86" s="201">
        <f t="shared" si="186"/>
        <v>0.29822836565543037</v>
      </c>
      <c r="U86" s="201">
        <f t="shared" si="186"/>
        <v>0.31811025669912574</v>
      </c>
      <c r="V86" s="201">
        <f t="shared" si="185"/>
        <v>0.3379921477428211</v>
      </c>
      <c r="W86" s="201">
        <f t="shared" si="185"/>
        <v>0.35787403878651647</v>
      </c>
      <c r="X86" s="201">
        <f t="shared" si="185"/>
        <v>0.37775592983021183</v>
      </c>
      <c r="Y86" s="201">
        <f t="shared" si="185"/>
        <v>0.3976378208739072</v>
      </c>
      <c r="Z86" s="201">
        <f t="shared" si="185"/>
        <v>0.41751971191760257</v>
      </c>
      <c r="AA86" s="201">
        <f t="shared" si="185"/>
        <v>0.43740160296129793</v>
      </c>
      <c r="AB86" s="201">
        <f t="shared" si="185"/>
        <v>0.4572834940049933</v>
      </c>
      <c r="AC86" s="201">
        <f t="shared" si="185"/>
        <v>0.47716538504868866</v>
      </c>
      <c r="AD86" s="201">
        <f t="shared" si="185"/>
        <v>0.49704727609238403</v>
      </c>
      <c r="AE86" s="201">
        <f t="shared" si="185"/>
        <v>0.51692916713607939</v>
      </c>
      <c r="AF86" s="201">
        <f t="shared" si="185"/>
        <v>0.5368110581797747</v>
      </c>
      <c r="AG86" s="201">
        <f t="shared" si="185"/>
        <v>0.55669294922347001</v>
      </c>
      <c r="AH86" s="201">
        <f t="shared" si="185"/>
        <v>0.57657484026716532</v>
      </c>
      <c r="AI86" s="201">
        <f>N24</f>
        <v>0.59645673131086063</v>
      </c>
    </row>
    <row r="87" spans="1:35" x14ac:dyDescent="0.2">
      <c r="A87" s="310"/>
      <c r="B87" s="67" t="s">
        <v>369</v>
      </c>
      <c r="C87" s="67" t="s">
        <v>1746</v>
      </c>
      <c r="D87" t="s">
        <v>478</v>
      </c>
      <c r="E87" s="201">
        <f>D25</f>
        <v>0.54391014811667637</v>
      </c>
      <c r="F87" s="201">
        <f t="shared" ref="F87" si="216">-($E87-$AI87)/30+E87</f>
        <v>0.53653713443847184</v>
      </c>
      <c r="G87" s="201">
        <f t="shared" ref="G87" si="217">-($E87-$AI87)/30+F87</f>
        <v>0.52916412076026731</v>
      </c>
      <c r="H87" s="201">
        <f t="shared" ref="H87" si="218">-($E87-$AI87)/30+G87</f>
        <v>0.52179110708206278</v>
      </c>
      <c r="I87" s="201">
        <f t="shared" ref="I87" si="219">-($E87-$AI87)/30+H87</f>
        <v>0.51441809340385825</v>
      </c>
      <c r="J87" s="201">
        <f t="shared" ref="J87" si="220">-($E87-$AI87)/30+I87</f>
        <v>0.50704507972565371</v>
      </c>
      <c r="K87" s="201">
        <f t="shared" ref="K87" si="221">-($E87-$AI87)/30+J87</f>
        <v>0.49967206604744918</v>
      </c>
      <c r="L87" s="201">
        <f t="shared" ref="L87" si="222">-($E87-$AI87)/30+K87</f>
        <v>0.49229905236924465</v>
      </c>
      <c r="M87" s="201">
        <f t="shared" ref="M87" si="223">-($E87-$AI87)/30+L87</f>
        <v>0.48492603869104012</v>
      </c>
      <c r="N87" s="201">
        <f t="shared" ref="N87" si="224">-($E87-$AI87)/30+M87</f>
        <v>0.47755302501283559</v>
      </c>
      <c r="O87" s="201">
        <f t="shared" ref="O87" si="225">-($E87-$AI87)/30+N87</f>
        <v>0.47018001133463105</v>
      </c>
      <c r="P87" s="201">
        <f t="shared" ref="P87" si="226">-($E87-$AI87)/30+O87</f>
        <v>0.46280699765642652</v>
      </c>
      <c r="Q87" s="201">
        <f t="shared" ref="Q87" si="227">-($E87-$AI87)/30+P87</f>
        <v>0.45543398397822199</v>
      </c>
      <c r="R87" s="201">
        <f t="shared" ref="R87" si="228">-($E87-$AI87)/30+Q87</f>
        <v>0.44806097030001746</v>
      </c>
      <c r="S87" s="201">
        <f t="shared" ref="S87" si="229">-($E87-$AI87)/30+R87</f>
        <v>0.44068795662181293</v>
      </c>
      <c r="T87" s="201">
        <f t="shared" ref="T87" si="230">-($E87-$AI87)/30+S87</f>
        <v>0.43331494294360839</v>
      </c>
      <c r="U87" s="201">
        <f t="shared" ref="U87" si="231">-($E87-$AI87)/30+T87</f>
        <v>0.42594192926540386</v>
      </c>
      <c r="V87" s="201">
        <f t="shared" ref="V87" si="232">-($E87-$AI87)/30+U87</f>
        <v>0.41856891558719933</v>
      </c>
      <c r="W87" s="201">
        <f t="shared" ref="W87" si="233">-($E87-$AI87)/30+V87</f>
        <v>0.4111959019089948</v>
      </c>
      <c r="X87" s="201">
        <f t="shared" ref="X87" si="234">-($E87-$AI87)/30+W87</f>
        <v>0.40382288823079027</v>
      </c>
      <c r="Y87" s="201">
        <f t="shared" ref="Y87" si="235">-($E87-$AI87)/30+X87</f>
        <v>0.39644987455258573</v>
      </c>
      <c r="Z87" s="201">
        <f t="shared" ref="Z87" si="236">-($E87-$AI87)/30+Y87</f>
        <v>0.3890768608743812</v>
      </c>
      <c r="AA87" s="201">
        <f t="shared" ref="AA87" si="237">-($E87-$AI87)/30+Z87</f>
        <v>0.38170384719617667</v>
      </c>
      <c r="AB87" s="201">
        <f t="shared" ref="AB87" si="238">-($E87-$AI87)/30+AA87</f>
        <v>0.37433083351797214</v>
      </c>
      <c r="AC87" s="201">
        <f t="shared" ref="AC87" si="239">-($E87-$AI87)/30+AB87</f>
        <v>0.36695781983976761</v>
      </c>
      <c r="AD87" s="201">
        <f t="shared" ref="AD87" si="240">-($E87-$AI87)/30+AC87</f>
        <v>0.35958480616156308</v>
      </c>
      <c r="AE87" s="201">
        <f t="shared" ref="AE87" si="241">-($E87-$AI87)/30+AD87</f>
        <v>0.35221179248335854</v>
      </c>
      <c r="AF87" s="201">
        <f t="shared" ref="AF87" si="242">-($E87-$AI87)/30+AE87</f>
        <v>0.34483877880515401</v>
      </c>
      <c r="AG87" s="201">
        <f t="shared" ref="AG87" si="243">-($E87-$AI87)/30+AF87</f>
        <v>0.33746576512694948</v>
      </c>
      <c r="AH87" s="201">
        <f t="shared" ref="AH87" si="244">-($E87-$AI87)/30+AG87</f>
        <v>0.33009275144874495</v>
      </c>
      <c r="AI87" s="201">
        <f>N25</f>
        <v>0.32271973777054069</v>
      </c>
    </row>
    <row r="88" spans="1:35" x14ac:dyDescent="0.2">
      <c r="A88" s="310"/>
      <c r="B88" t="s">
        <v>369</v>
      </c>
      <c r="C88" t="s">
        <v>1746</v>
      </c>
      <c r="D88" t="s">
        <v>745</v>
      </c>
      <c r="E88" s="168">
        <f>D26</f>
        <v>0.42550392312981294</v>
      </c>
      <c r="F88" s="168">
        <f t="shared" si="186"/>
        <v>0.4138006411867895</v>
      </c>
      <c r="G88" s="168">
        <f t="shared" si="186"/>
        <v>0.40209735924376605</v>
      </c>
      <c r="H88" s="168">
        <f t="shared" si="186"/>
        <v>0.3903940773007426</v>
      </c>
      <c r="I88" s="168">
        <f t="shared" si="186"/>
        <v>0.37869079535771916</v>
      </c>
      <c r="J88" s="168">
        <f t="shared" si="186"/>
        <v>0.36698751341469571</v>
      </c>
      <c r="K88" s="168">
        <f t="shared" si="186"/>
        <v>0.35528423147167226</v>
      </c>
      <c r="L88" s="168">
        <f t="shared" si="186"/>
        <v>0.34358094952864882</v>
      </c>
      <c r="M88" s="168">
        <f t="shared" si="186"/>
        <v>0.33187766758562537</v>
      </c>
      <c r="N88" s="168">
        <f t="shared" si="186"/>
        <v>0.32017438564260192</v>
      </c>
      <c r="O88" s="168">
        <f t="shared" si="186"/>
        <v>0.30847110369957847</v>
      </c>
      <c r="P88" s="168">
        <f t="shared" si="186"/>
        <v>0.29676782175655503</v>
      </c>
      <c r="Q88" s="168">
        <f t="shared" si="186"/>
        <v>0.28506453981353158</v>
      </c>
      <c r="R88" s="168">
        <f t="shared" si="186"/>
        <v>0.27336125787050813</v>
      </c>
      <c r="S88" s="168">
        <f t="shared" si="186"/>
        <v>0.26165797592748469</v>
      </c>
      <c r="T88" s="168">
        <f t="shared" si="186"/>
        <v>0.24995469398446124</v>
      </c>
      <c r="U88" s="168">
        <f t="shared" si="186"/>
        <v>0.23825141204143779</v>
      </c>
      <c r="V88" s="168">
        <f t="shared" si="185"/>
        <v>0.22654813009841435</v>
      </c>
      <c r="W88" s="168">
        <f t="shared" si="185"/>
        <v>0.2148448481553909</v>
      </c>
      <c r="X88" s="168">
        <f t="shared" si="185"/>
        <v>0.20314156621236745</v>
      </c>
      <c r="Y88" s="168">
        <f t="shared" si="185"/>
        <v>0.19143828426934401</v>
      </c>
      <c r="Z88" s="168">
        <f t="shared" si="185"/>
        <v>0.17973500232632056</v>
      </c>
      <c r="AA88" s="168">
        <f t="shared" si="185"/>
        <v>0.16803172038329711</v>
      </c>
      <c r="AB88" s="168">
        <f t="shared" si="185"/>
        <v>0.15632843844027366</v>
      </c>
      <c r="AC88" s="168">
        <f t="shared" si="185"/>
        <v>0.14462515649725022</v>
      </c>
      <c r="AD88" s="168">
        <f t="shared" si="185"/>
        <v>0.13292187455422677</v>
      </c>
      <c r="AE88" s="168">
        <f t="shared" si="185"/>
        <v>0.12121859261120332</v>
      </c>
      <c r="AF88" s="168">
        <f t="shared" si="185"/>
        <v>0.10951531066817988</v>
      </c>
      <c r="AG88" s="168">
        <f t="shared" si="185"/>
        <v>9.781202872515643E-2</v>
      </c>
      <c r="AH88" s="168">
        <f t="shared" si="185"/>
        <v>8.6108746782132983E-2</v>
      </c>
      <c r="AI88" s="168">
        <f>N26</f>
        <v>7.4405464839109606E-2</v>
      </c>
    </row>
    <row r="89" spans="1:35" x14ac:dyDescent="0.2">
      <c r="A89" s="310"/>
      <c r="B89" t="s">
        <v>369</v>
      </c>
      <c r="C89" t="s">
        <v>1746</v>
      </c>
      <c r="D89" t="s">
        <v>248</v>
      </c>
      <c r="E89" s="168">
        <f>D27</f>
        <v>3.0585928753510721E-2</v>
      </c>
      <c r="F89" s="168">
        <f t="shared" si="186"/>
        <v>2.9780333331043338E-2</v>
      </c>
      <c r="G89" s="168">
        <f t="shared" si="186"/>
        <v>2.8974737908575954E-2</v>
      </c>
      <c r="H89" s="168">
        <f t="shared" si="186"/>
        <v>2.8169142486108571E-2</v>
      </c>
      <c r="I89" s="168">
        <f t="shared" si="186"/>
        <v>2.7363547063641188E-2</v>
      </c>
      <c r="J89" s="168">
        <f t="shared" si="186"/>
        <v>2.6557951641173805E-2</v>
      </c>
      <c r="K89" s="168">
        <f t="shared" si="186"/>
        <v>2.5752356218706422E-2</v>
      </c>
      <c r="L89" s="168">
        <f t="shared" si="186"/>
        <v>2.4946760796239038E-2</v>
      </c>
      <c r="M89" s="168">
        <f t="shared" si="186"/>
        <v>2.4141165373771655E-2</v>
      </c>
      <c r="N89" s="168">
        <f t="shared" si="186"/>
        <v>2.3335569951304272E-2</v>
      </c>
      <c r="O89" s="168">
        <f t="shared" si="186"/>
        <v>2.2529974528836889E-2</v>
      </c>
      <c r="P89" s="168">
        <f t="shared" si="186"/>
        <v>2.1724379106369505E-2</v>
      </c>
      <c r="Q89" s="168">
        <f t="shared" si="186"/>
        <v>2.0918783683902122E-2</v>
      </c>
      <c r="R89" s="168">
        <f t="shared" si="186"/>
        <v>2.0113188261434739E-2</v>
      </c>
      <c r="S89" s="168">
        <f t="shared" si="186"/>
        <v>1.9307592838967356E-2</v>
      </c>
      <c r="T89" s="168">
        <f t="shared" si="186"/>
        <v>1.8501997416499973E-2</v>
      </c>
      <c r="U89" s="168">
        <f t="shared" si="186"/>
        <v>1.7696401994032589E-2</v>
      </c>
      <c r="V89" s="168">
        <f t="shared" si="185"/>
        <v>1.6890806571565206E-2</v>
      </c>
      <c r="W89" s="168">
        <f t="shared" si="185"/>
        <v>1.6085211149097823E-2</v>
      </c>
      <c r="X89" s="168">
        <f t="shared" si="185"/>
        <v>1.5279615726630438E-2</v>
      </c>
      <c r="Y89" s="168">
        <f t="shared" si="185"/>
        <v>1.4474020304163053E-2</v>
      </c>
      <c r="Z89" s="168">
        <f t="shared" si="185"/>
        <v>1.3668424881695668E-2</v>
      </c>
      <c r="AA89" s="168">
        <f t="shared" si="185"/>
        <v>1.2862829459228283E-2</v>
      </c>
      <c r="AB89" s="168">
        <f t="shared" si="185"/>
        <v>1.2057234036760898E-2</v>
      </c>
      <c r="AC89" s="168">
        <f t="shared" si="185"/>
        <v>1.1251638614293513E-2</v>
      </c>
      <c r="AD89" s="168">
        <f t="shared" si="185"/>
        <v>1.0446043191826128E-2</v>
      </c>
      <c r="AE89" s="168">
        <f t="shared" si="185"/>
        <v>9.6404477693587433E-3</v>
      </c>
      <c r="AF89" s="168">
        <f t="shared" si="185"/>
        <v>8.8348523468913583E-3</v>
      </c>
      <c r="AG89" s="168">
        <f t="shared" si="185"/>
        <v>8.0292569244239734E-3</v>
      </c>
      <c r="AH89" s="168">
        <f t="shared" si="185"/>
        <v>7.2236615019565884E-3</v>
      </c>
      <c r="AI89" s="168">
        <f>N27</f>
        <v>6.41806607948918E-3</v>
      </c>
    </row>
    <row r="90" spans="1:35" s="67" customFormat="1" x14ac:dyDescent="0.2">
      <c r="A90" s="307"/>
      <c r="B90" s="67" t="s">
        <v>248</v>
      </c>
      <c r="C90" s="67" t="s">
        <v>1746</v>
      </c>
      <c r="D90" t="s">
        <v>474</v>
      </c>
      <c r="E90" s="201">
        <f>D31</f>
        <v>0</v>
      </c>
      <c r="F90" s="201">
        <f t="shared" si="186"/>
        <v>0</v>
      </c>
      <c r="G90" s="201">
        <f t="shared" si="186"/>
        <v>0</v>
      </c>
      <c r="H90" s="201">
        <f t="shared" si="186"/>
        <v>0</v>
      </c>
      <c r="I90" s="201">
        <f t="shared" si="186"/>
        <v>0</v>
      </c>
      <c r="J90" s="201">
        <f t="shared" si="186"/>
        <v>0</v>
      </c>
      <c r="K90" s="201">
        <f t="shared" si="186"/>
        <v>0</v>
      </c>
      <c r="L90" s="201">
        <f t="shared" si="186"/>
        <v>0</v>
      </c>
      <c r="M90" s="201">
        <f t="shared" si="186"/>
        <v>0</v>
      </c>
      <c r="N90" s="201">
        <f t="shared" si="186"/>
        <v>0</v>
      </c>
      <c r="O90" s="201">
        <f t="shared" si="186"/>
        <v>0</v>
      </c>
      <c r="P90" s="201">
        <f t="shared" si="186"/>
        <v>0</v>
      </c>
      <c r="Q90" s="201">
        <f t="shared" si="186"/>
        <v>0</v>
      </c>
      <c r="R90" s="201">
        <f t="shared" si="186"/>
        <v>0</v>
      </c>
      <c r="S90" s="201">
        <f t="shared" si="186"/>
        <v>0</v>
      </c>
      <c r="T90" s="201">
        <f t="shared" si="186"/>
        <v>0</v>
      </c>
      <c r="U90" s="201">
        <f t="shared" si="186"/>
        <v>0</v>
      </c>
      <c r="V90" s="201">
        <f t="shared" si="185"/>
        <v>0</v>
      </c>
      <c r="W90" s="201">
        <f t="shared" si="185"/>
        <v>0</v>
      </c>
      <c r="X90" s="201">
        <f t="shared" si="185"/>
        <v>0</v>
      </c>
      <c r="Y90" s="201">
        <f t="shared" si="185"/>
        <v>0</v>
      </c>
      <c r="Z90" s="201">
        <f t="shared" si="185"/>
        <v>0</v>
      </c>
      <c r="AA90" s="201">
        <f t="shared" si="185"/>
        <v>0</v>
      </c>
      <c r="AB90" s="201">
        <f t="shared" si="185"/>
        <v>0</v>
      </c>
      <c r="AC90" s="201">
        <f t="shared" si="185"/>
        <v>0</v>
      </c>
      <c r="AD90" s="201">
        <f t="shared" si="185"/>
        <v>0</v>
      </c>
      <c r="AE90" s="201">
        <f t="shared" si="185"/>
        <v>0</v>
      </c>
      <c r="AF90" s="201">
        <f t="shared" si="185"/>
        <v>0</v>
      </c>
      <c r="AG90" s="201">
        <f t="shared" si="185"/>
        <v>0</v>
      </c>
      <c r="AH90" s="201">
        <f t="shared" si="185"/>
        <v>0</v>
      </c>
      <c r="AI90" s="201">
        <f>N31</f>
        <v>0</v>
      </c>
    </row>
    <row r="91" spans="1:35" x14ac:dyDescent="0.2">
      <c r="A91" s="310"/>
      <c r="B91" s="67" t="s">
        <v>248</v>
      </c>
      <c r="C91" s="67" t="s">
        <v>1746</v>
      </c>
      <c r="D91" t="s">
        <v>478</v>
      </c>
      <c r="E91" s="201">
        <f>D32</f>
        <v>0.28713868492545019</v>
      </c>
      <c r="F91" s="201">
        <f t="shared" ref="F91" si="245">-($E91-$AI91)/30+E91</f>
        <v>0.28713868492545019</v>
      </c>
      <c r="G91" s="201">
        <f t="shared" ref="G91" si="246">-($E91-$AI91)/30+F91</f>
        <v>0.28713868492545019</v>
      </c>
      <c r="H91" s="201">
        <f t="shared" ref="H91" si="247">-($E91-$AI91)/30+G91</f>
        <v>0.28713868492545019</v>
      </c>
      <c r="I91" s="201">
        <f t="shared" ref="I91" si="248">-($E91-$AI91)/30+H91</f>
        <v>0.28713868492545019</v>
      </c>
      <c r="J91" s="201">
        <f t="shared" ref="J91" si="249">-($E91-$AI91)/30+I91</f>
        <v>0.28713868492545019</v>
      </c>
      <c r="K91" s="201">
        <f t="shared" ref="K91" si="250">-($E91-$AI91)/30+J91</f>
        <v>0.28713868492545019</v>
      </c>
      <c r="L91" s="201">
        <f t="shared" ref="L91" si="251">-($E91-$AI91)/30+K91</f>
        <v>0.28713868492545019</v>
      </c>
      <c r="M91" s="201">
        <f t="shared" ref="M91" si="252">-($E91-$AI91)/30+L91</f>
        <v>0.28713868492545019</v>
      </c>
      <c r="N91" s="201">
        <f t="shared" ref="N91" si="253">-($E91-$AI91)/30+M91</f>
        <v>0.28713868492545019</v>
      </c>
      <c r="O91" s="201">
        <f t="shared" ref="O91" si="254">-($E91-$AI91)/30+N91</f>
        <v>0.28713868492545019</v>
      </c>
      <c r="P91" s="201">
        <f t="shared" ref="P91" si="255">-($E91-$AI91)/30+O91</f>
        <v>0.28713868492545019</v>
      </c>
      <c r="Q91" s="201">
        <f t="shared" ref="Q91" si="256">-($E91-$AI91)/30+P91</f>
        <v>0.28713868492545019</v>
      </c>
      <c r="R91" s="201">
        <f t="shared" ref="R91" si="257">-($E91-$AI91)/30+Q91</f>
        <v>0.28713868492545019</v>
      </c>
      <c r="S91" s="201">
        <f t="shared" ref="S91" si="258">-($E91-$AI91)/30+R91</f>
        <v>0.28713868492545019</v>
      </c>
      <c r="T91" s="201">
        <f t="shared" ref="T91" si="259">-($E91-$AI91)/30+S91</f>
        <v>0.28713868492545019</v>
      </c>
      <c r="U91" s="201">
        <f t="shared" ref="U91" si="260">-($E91-$AI91)/30+T91</f>
        <v>0.28713868492545019</v>
      </c>
      <c r="V91" s="201">
        <f t="shared" ref="V91" si="261">-($E91-$AI91)/30+U91</f>
        <v>0.28713868492545019</v>
      </c>
      <c r="W91" s="201">
        <f t="shared" ref="W91" si="262">-($E91-$AI91)/30+V91</f>
        <v>0.28713868492545019</v>
      </c>
      <c r="X91" s="201">
        <f t="shared" ref="X91" si="263">-($E91-$AI91)/30+W91</f>
        <v>0.28713868492545019</v>
      </c>
      <c r="Y91" s="201">
        <f t="shared" ref="Y91" si="264">-($E91-$AI91)/30+X91</f>
        <v>0.28713868492545019</v>
      </c>
      <c r="Z91" s="201">
        <f t="shared" ref="Z91" si="265">-($E91-$AI91)/30+Y91</f>
        <v>0.28713868492545019</v>
      </c>
      <c r="AA91" s="201">
        <f t="shared" ref="AA91" si="266">-($E91-$AI91)/30+Z91</f>
        <v>0.28713868492545019</v>
      </c>
      <c r="AB91" s="201">
        <f t="shared" ref="AB91" si="267">-($E91-$AI91)/30+AA91</f>
        <v>0.28713868492545019</v>
      </c>
      <c r="AC91" s="201">
        <f t="shared" ref="AC91" si="268">-($E91-$AI91)/30+AB91</f>
        <v>0.28713868492545019</v>
      </c>
      <c r="AD91" s="201">
        <f t="shared" ref="AD91" si="269">-($E91-$AI91)/30+AC91</f>
        <v>0.28713868492545019</v>
      </c>
      <c r="AE91" s="201">
        <f t="shared" ref="AE91" si="270">-($E91-$AI91)/30+AD91</f>
        <v>0.28713868492545019</v>
      </c>
      <c r="AF91" s="201">
        <f t="shared" ref="AF91" si="271">-($E91-$AI91)/30+AE91</f>
        <v>0.28713868492545019</v>
      </c>
      <c r="AG91" s="201">
        <f t="shared" ref="AG91" si="272">-($E91-$AI91)/30+AF91</f>
        <v>0.28713868492545019</v>
      </c>
      <c r="AH91" s="201">
        <f t="shared" ref="AH91" si="273">-($E91-$AI91)/30+AG91</f>
        <v>0.28713868492545019</v>
      </c>
      <c r="AI91" s="201">
        <f>N32</f>
        <v>0.28713868492545019</v>
      </c>
    </row>
    <row r="92" spans="1:35" x14ac:dyDescent="0.2">
      <c r="A92" s="310"/>
      <c r="B92" t="s">
        <v>248</v>
      </c>
      <c r="C92" t="s">
        <v>1746</v>
      </c>
      <c r="D92" t="s">
        <v>745</v>
      </c>
      <c r="E92" s="168">
        <f>D33</f>
        <v>0.55677567096122804</v>
      </c>
      <c r="F92" s="168">
        <f t="shared" si="186"/>
        <v>0.55677567096122804</v>
      </c>
      <c r="G92" s="168">
        <f t="shared" si="186"/>
        <v>0.55677567096122804</v>
      </c>
      <c r="H92" s="168">
        <f t="shared" si="186"/>
        <v>0.55677567096122804</v>
      </c>
      <c r="I92" s="168">
        <f t="shared" si="186"/>
        <v>0.55677567096122804</v>
      </c>
      <c r="J92" s="168">
        <f t="shared" si="186"/>
        <v>0.55677567096122804</v>
      </c>
      <c r="K92" s="168">
        <f t="shared" si="186"/>
        <v>0.55677567096122804</v>
      </c>
      <c r="L92" s="168">
        <f t="shared" si="186"/>
        <v>0.55677567096122804</v>
      </c>
      <c r="M92" s="168">
        <f t="shared" si="186"/>
        <v>0.55677567096122804</v>
      </c>
      <c r="N92" s="168">
        <f t="shared" si="186"/>
        <v>0.55677567096122804</v>
      </c>
      <c r="O92" s="168">
        <f t="shared" si="186"/>
        <v>0.55677567096122804</v>
      </c>
      <c r="P92" s="168">
        <f t="shared" si="186"/>
        <v>0.55677567096122804</v>
      </c>
      <c r="Q92" s="168">
        <f t="shared" si="186"/>
        <v>0.55677567096122804</v>
      </c>
      <c r="R92" s="168">
        <f t="shared" si="186"/>
        <v>0.55677567096122804</v>
      </c>
      <c r="S92" s="168">
        <f t="shared" si="186"/>
        <v>0.55677567096122804</v>
      </c>
      <c r="T92" s="168">
        <f t="shared" si="186"/>
        <v>0.55677567096122804</v>
      </c>
      <c r="U92" s="168">
        <f t="shared" si="186"/>
        <v>0.55677567096122804</v>
      </c>
      <c r="V92" s="168">
        <f t="shared" si="185"/>
        <v>0.55677567096122804</v>
      </c>
      <c r="W92" s="168">
        <f t="shared" si="185"/>
        <v>0.55677567096122804</v>
      </c>
      <c r="X92" s="168">
        <f t="shared" si="185"/>
        <v>0.55677567096122804</v>
      </c>
      <c r="Y92" s="168">
        <f t="shared" si="185"/>
        <v>0.55677567096122804</v>
      </c>
      <c r="Z92" s="168">
        <f t="shared" si="185"/>
        <v>0.55677567096122804</v>
      </c>
      <c r="AA92" s="168">
        <f t="shared" si="185"/>
        <v>0.55677567096122804</v>
      </c>
      <c r="AB92" s="168">
        <f t="shared" si="185"/>
        <v>0.55677567096122804</v>
      </c>
      <c r="AC92" s="168">
        <f t="shared" si="185"/>
        <v>0.55677567096122804</v>
      </c>
      <c r="AD92" s="168">
        <f t="shared" si="185"/>
        <v>0.55677567096122804</v>
      </c>
      <c r="AE92" s="168">
        <f t="shared" si="185"/>
        <v>0.55677567096122804</v>
      </c>
      <c r="AF92" s="168">
        <f t="shared" si="185"/>
        <v>0.55677567096122804</v>
      </c>
      <c r="AG92" s="168">
        <f t="shared" si="185"/>
        <v>0.55677567096122804</v>
      </c>
      <c r="AH92" s="168">
        <f t="shared" si="185"/>
        <v>0.55677567096122804</v>
      </c>
      <c r="AI92" s="168">
        <f>N33</f>
        <v>0.55677567096122804</v>
      </c>
    </row>
    <row r="93" spans="1:35" x14ac:dyDescent="0.2">
      <c r="A93" s="310"/>
      <c r="B93" t="s">
        <v>248</v>
      </c>
      <c r="C93" t="s">
        <v>1746</v>
      </c>
      <c r="D93" t="s">
        <v>248</v>
      </c>
      <c r="E93" s="168">
        <f>D34</f>
        <v>0.15608564411332165</v>
      </c>
      <c r="F93" s="168">
        <f t="shared" si="186"/>
        <v>0.15608564411332165</v>
      </c>
      <c r="G93" s="168">
        <f t="shared" si="186"/>
        <v>0.15608564411332165</v>
      </c>
      <c r="H93" s="168">
        <f t="shared" si="186"/>
        <v>0.15608564411332165</v>
      </c>
      <c r="I93" s="168">
        <f t="shared" si="186"/>
        <v>0.15608564411332165</v>
      </c>
      <c r="J93" s="168">
        <f t="shared" si="186"/>
        <v>0.15608564411332165</v>
      </c>
      <c r="K93" s="168">
        <f t="shared" si="186"/>
        <v>0.15608564411332165</v>
      </c>
      <c r="L93" s="168">
        <f t="shared" si="186"/>
        <v>0.15608564411332165</v>
      </c>
      <c r="M93" s="168">
        <f t="shared" si="186"/>
        <v>0.15608564411332165</v>
      </c>
      <c r="N93" s="168">
        <f t="shared" si="186"/>
        <v>0.15608564411332165</v>
      </c>
      <c r="O93" s="168">
        <f t="shared" si="186"/>
        <v>0.15608564411332165</v>
      </c>
      <c r="P93" s="168">
        <f t="shared" si="186"/>
        <v>0.15608564411332165</v>
      </c>
      <c r="Q93" s="168">
        <f t="shared" si="186"/>
        <v>0.15608564411332165</v>
      </c>
      <c r="R93" s="168">
        <f t="shared" si="186"/>
        <v>0.15608564411332165</v>
      </c>
      <c r="S93" s="168">
        <f t="shared" si="186"/>
        <v>0.15608564411332165</v>
      </c>
      <c r="T93" s="168">
        <f t="shared" si="186"/>
        <v>0.15608564411332165</v>
      </c>
      <c r="U93" s="168">
        <f t="shared" si="186"/>
        <v>0.15608564411332165</v>
      </c>
      <c r="V93" s="168">
        <f t="shared" si="185"/>
        <v>0.15608564411332165</v>
      </c>
      <c r="W93" s="168">
        <f t="shared" si="185"/>
        <v>0.15608564411332165</v>
      </c>
      <c r="X93" s="168">
        <f t="shared" si="185"/>
        <v>0.15608564411332165</v>
      </c>
      <c r="Y93" s="168">
        <f t="shared" si="185"/>
        <v>0.15608564411332165</v>
      </c>
      <c r="Z93" s="168">
        <f t="shared" si="185"/>
        <v>0.15608564411332165</v>
      </c>
      <c r="AA93" s="168">
        <f t="shared" si="185"/>
        <v>0.15608564411332165</v>
      </c>
      <c r="AB93" s="168">
        <f t="shared" si="185"/>
        <v>0.15608564411332165</v>
      </c>
      <c r="AC93" s="168">
        <f t="shared" si="185"/>
        <v>0.15608564411332165</v>
      </c>
      <c r="AD93" s="168">
        <f t="shared" si="185"/>
        <v>0.15608564411332165</v>
      </c>
      <c r="AE93" s="168">
        <f t="shared" si="185"/>
        <v>0.15608564411332165</v>
      </c>
      <c r="AF93" s="168">
        <f t="shared" si="185"/>
        <v>0.15608564411332165</v>
      </c>
      <c r="AG93" s="168">
        <f t="shared" si="185"/>
        <v>0.15608564411332165</v>
      </c>
      <c r="AH93" s="168">
        <f t="shared" si="185"/>
        <v>0.15608564411332165</v>
      </c>
      <c r="AI93" s="168">
        <f>N34</f>
        <v>0.15608564411332165</v>
      </c>
    </row>
  </sheetData>
  <mergeCells count="5">
    <mergeCell ref="J3:J6"/>
    <mergeCell ref="I10:I13"/>
    <mergeCell ref="I17:I20"/>
    <mergeCell ref="I24:I27"/>
    <mergeCell ref="I31:I34"/>
  </mergeCells>
  <pageMargins left="0.7" right="0.7" top="0.75" bottom="0.75" header="0.3" footer="0.3"/>
  <pageSetup paperSize="9"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BCDA3-1203-49EC-9C47-2682FD299CE7}">
  <sheetPr>
    <tabColor theme="4"/>
  </sheetPr>
  <dimension ref="A1:AI74"/>
  <sheetViews>
    <sheetView topLeftCell="A49" zoomScale="70" zoomScaleNormal="70" workbookViewId="0">
      <selection activeCell="E66" sqref="E66"/>
    </sheetView>
  </sheetViews>
  <sheetFormatPr baseColWidth="10" defaultColWidth="8.83203125" defaultRowHeight="15" x14ac:dyDescent="0.2"/>
  <cols>
    <col min="2" max="2" width="11.1640625" customWidth="1"/>
    <col min="3" max="3" width="9.33203125" customWidth="1"/>
    <col min="4" max="4" width="12.1640625" bestFit="1" customWidth="1"/>
    <col min="5" max="5" width="15.5" bestFit="1" customWidth="1"/>
    <col min="6" max="6" width="20" bestFit="1" customWidth="1"/>
    <col min="9" max="9" width="14.83203125" customWidth="1"/>
    <col min="11" max="12" width="11.1640625" customWidth="1"/>
    <col min="13" max="13" width="9.33203125" customWidth="1"/>
    <col min="14" max="14" width="12.1640625" bestFit="1" customWidth="1"/>
    <col min="15" max="15" width="15.5" bestFit="1" customWidth="1"/>
    <col min="16" max="16" width="11.1640625" bestFit="1" customWidth="1"/>
    <col min="19" max="19" width="14.83203125" customWidth="1"/>
    <col min="20" max="20" width="8.6640625" customWidth="1"/>
    <col min="21" max="21" width="14.1640625" customWidth="1"/>
    <col min="22" max="34" width="8.6640625" customWidth="1"/>
  </cols>
  <sheetData>
    <row r="1" spans="2:35" x14ac:dyDescent="0.2">
      <c r="B1">
        <v>2020</v>
      </c>
      <c r="L1">
        <v>2050</v>
      </c>
    </row>
    <row r="2" spans="2:35" x14ac:dyDescent="0.2">
      <c r="B2" t="s">
        <v>309</v>
      </c>
      <c r="D2" t="s">
        <v>1746</v>
      </c>
      <c r="E2" t="s">
        <v>1747</v>
      </c>
      <c r="F2" t="s">
        <v>1748</v>
      </c>
      <c r="G2" t="s">
        <v>1749</v>
      </c>
      <c r="H2" t="s">
        <v>1750</v>
      </c>
      <c r="L2" t="s">
        <v>309</v>
      </c>
      <c r="N2" t="s">
        <v>1746</v>
      </c>
      <c r="O2" t="s">
        <v>1747</v>
      </c>
      <c r="P2" t="s">
        <v>1748</v>
      </c>
      <c r="Q2" t="s">
        <v>1749</v>
      </c>
      <c r="R2" t="s">
        <v>1750</v>
      </c>
    </row>
    <row r="3" spans="2:35" ht="14.5" customHeight="1" x14ac:dyDescent="0.2">
      <c r="B3" t="s">
        <v>474</v>
      </c>
      <c r="C3" s="256">
        <f>'Overall recycling rates'!G39*'Overall recycling rates'!$G$59</f>
        <v>0.46141106197087267</v>
      </c>
      <c r="D3" s="127">
        <f>$C3/$C$6</f>
        <v>1</v>
      </c>
      <c r="E3" s="127">
        <f t="shared" ref="E3:H3" si="0">$C3/$C$6</f>
        <v>1</v>
      </c>
      <c r="F3" s="127">
        <f t="shared" si="0"/>
        <v>1</v>
      </c>
      <c r="G3" s="127">
        <f t="shared" si="0"/>
        <v>1</v>
      </c>
      <c r="H3" s="127">
        <f t="shared" si="0"/>
        <v>1</v>
      </c>
      <c r="J3" s="695" t="s">
        <v>1751</v>
      </c>
      <c r="L3" t="s">
        <v>474</v>
      </c>
      <c r="M3" s="256">
        <f>'Overall recycling rates'!G12*'Overall recycling rates'!$G$59</f>
        <v>1.5079664059578168</v>
      </c>
      <c r="N3" s="2">
        <f>$M3/$M$6</f>
        <v>0.65402430514142706</v>
      </c>
      <c r="O3" s="2">
        <f t="shared" ref="O3:O5" si="1">$M3/$M$6</f>
        <v>0.65402430514142706</v>
      </c>
      <c r="P3" s="56">
        <v>0</v>
      </c>
      <c r="Q3" s="56">
        <v>0</v>
      </c>
      <c r="R3" s="2">
        <f>$M3/$M$6</f>
        <v>0.65402430514142706</v>
      </c>
      <c r="T3" s="28" t="s">
        <v>1752</v>
      </c>
    </row>
    <row r="4" spans="2:35" x14ac:dyDescent="0.2">
      <c r="B4" t="s">
        <v>745</v>
      </c>
      <c r="C4" s="256">
        <f>'Overall recycling rates'!H39*'Overall recycling rates'!$H$59</f>
        <v>0</v>
      </c>
      <c r="D4" s="127">
        <f t="shared" ref="D4:H5" si="2">$C4/$C$6</f>
        <v>0</v>
      </c>
      <c r="E4" s="127">
        <f t="shared" si="2"/>
        <v>0</v>
      </c>
      <c r="F4" s="127">
        <f t="shared" si="2"/>
        <v>0</v>
      </c>
      <c r="G4" s="127">
        <f t="shared" si="2"/>
        <v>0</v>
      </c>
      <c r="H4" s="127">
        <f t="shared" si="2"/>
        <v>0</v>
      </c>
      <c r="J4" s="695"/>
      <c r="L4" t="s">
        <v>745</v>
      </c>
      <c r="M4" s="256">
        <f>'Overall recycling rates'!H12*'Overall recycling rates'!$H$59</f>
        <v>0.47230901908692435</v>
      </c>
      <c r="N4" s="2">
        <f>$M4/$M$6</f>
        <v>0.20484645864782999</v>
      </c>
      <c r="O4" s="2">
        <f t="shared" si="1"/>
        <v>0.20484645864782999</v>
      </c>
      <c r="P4" s="56">
        <v>0.5</v>
      </c>
      <c r="Q4" s="56">
        <v>0.5</v>
      </c>
      <c r="R4" s="2">
        <f>$M4/$M$6</f>
        <v>0.20484645864782999</v>
      </c>
      <c r="T4" s="28"/>
      <c r="V4" s="420"/>
      <c r="W4" s="420"/>
      <c r="X4" s="420"/>
      <c r="Y4" s="420"/>
      <c r="Z4" s="420"/>
      <c r="AA4" s="420"/>
      <c r="AB4" s="420"/>
      <c r="AC4" s="420"/>
      <c r="AD4" s="420"/>
      <c r="AE4" s="420"/>
      <c r="AF4" s="420"/>
      <c r="AG4" s="384"/>
      <c r="AH4" s="384"/>
      <c r="AI4" s="6"/>
    </row>
    <row r="5" spans="2:35" x14ac:dyDescent="0.2">
      <c r="B5" t="s">
        <v>248</v>
      </c>
      <c r="C5" s="256">
        <f>'Overall recycling rates'!I39*'Overall recycling rates'!$I$59</f>
        <v>0</v>
      </c>
      <c r="D5" s="127">
        <f t="shared" si="2"/>
        <v>0</v>
      </c>
      <c r="E5" s="127">
        <f t="shared" si="2"/>
        <v>0</v>
      </c>
      <c r="F5" s="127">
        <f t="shared" si="2"/>
        <v>0</v>
      </c>
      <c r="G5" s="127">
        <f t="shared" si="2"/>
        <v>0</v>
      </c>
      <c r="H5" s="127">
        <f t="shared" si="2"/>
        <v>0</v>
      </c>
      <c r="J5" s="695"/>
      <c r="L5" t="s">
        <v>248</v>
      </c>
      <c r="M5" s="256">
        <f>'Overall recycling rates'!I12*'Overall recycling rates'!$I$59</f>
        <v>0.32539791783160954</v>
      </c>
      <c r="N5" s="2">
        <f>$M5/$M$6</f>
        <v>0.1411292362107428</v>
      </c>
      <c r="O5" s="2">
        <f t="shared" si="1"/>
        <v>0.1411292362107428</v>
      </c>
      <c r="P5" s="56">
        <v>0.5</v>
      </c>
      <c r="Q5" s="56">
        <v>0.5</v>
      </c>
      <c r="R5" s="2">
        <f>$M5/$M$6</f>
        <v>0.1411292362107428</v>
      </c>
      <c r="T5" s="28"/>
      <c r="V5" s="420"/>
      <c r="W5" s="420"/>
      <c r="X5" s="420"/>
      <c r="Y5" s="420"/>
      <c r="Z5" s="420"/>
      <c r="AA5" s="420"/>
      <c r="AB5" s="420"/>
      <c r="AC5" s="420"/>
      <c r="AD5" s="420"/>
      <c r="AE5" s="420"/>
      <c r="AF5" s="420"/>
      <c r="AG5" s="384"/>
      <c r="AH5" s="384"/>
      <c r="AI5" s="384"/>
    </row>
    <row r="6" spans="2:35" x14ac:dyDescent="0.2">
      <c r="C6" s="256">
        <f t="shared" ref="C6:H6" si="3">SUM(C3:C5)</f>
        <v>0.46141106197087267</v>
      </c>
      <c r="D6" s="2">
        <f t="shared" si="3"/>
        <v>1</v>
      </c>
      <c r="E6" s="2">
        <f t="shared" si="3"/>
        <v>1</v>
      </c>
      <c r="F6" s="2">
        <f t="shared" si="3"/>
        <v>1</v>
      </c>
      <c r="G6" s="2">
        <f t="shared" si="3"/>
        <v>1</v>
      </c>
      <c r="H6" s="2">
        <f t="shared" si="3"/>
        <v>1</v>
      </c>
      <c r="J6" s="503"/>
      <c r="M6" s="256">
        <f t="shared" ref="M6:R6" si="4">SUM(M3:M5)</f>
        <v>2.305673342876351</v>
      </c>
      <c r="N6" s="2">
        <f t="shared" si="4"/>
        <v>0.99999999999999989</v>
      </c>
      <c r="O6" s="2">
        <f t="shared" si="4"/>
        <v>0.99999999999999989</v>
      </c>
      <c r="P6" s="2">
        <f t="shared" si="4"/>
        <v>1</v>
      </c>
      <c r="Q6" s="2">
        <f t="shared" si="4"/>
        <v>1</v>
      </c>
      <c r="R6" s="2">
        <f t="shared" si="4"/>
        <v>0.99999999999999989</v>
      </c>
      <c r="T6" s="28"/>
      <c r="V6" s="420"/>
      <c r="W6" s="420"/>
      <c r="X6" s="420"/>
      <c r="Y6" s="420"/>
      <c r="Z6" s="420"/>
      <c r="AA6" s="420"/>
      <c r="AB6" s="420"/>
      <c r="AC6" s="420"/>
      <c r="AD6" s="420"/>
      <c r="AE6" s="420"/>
      <c r="AF6" s="420"/>
      <c r="AG6" s="384"/>
      <c r="AH6" s="384"/>
      <c r="AI6" s="384"/>
    </row>
    <row r="7" spans="2:35" x14ac:dyDescent="0.2">
      <c r="AG7" s="384"/>
      <c r="AH7" s="384"/>
    </row>
    <row r="8" spans="2:35" x14ac:dyDescent="0.2">
      <c r="B8" t="s">
        <v>370</v>
      </c>
      <c r="D8" t="s">
        <v>1746</v>
      </c>
      <c r="E8" t="s">
        <v>1753</v>
      </c>
      <c r="F8" t="s">
        <v>1754</v>
      </c>
      <c r="G8" t="s">
        <v>1750</v>
      </c>
      <c r="L8" t="s">
        <v>370</v>
      </c>
      <c r="N8" t="s">
        <v>1746</v>
      </c>
      <c r="O8" t="s">
        <v>1753</v>
      </c>
      <c r="P8" t="s">
        <v>1754</v>
      </c>
      <c r="Q8" t="s">
        <v>1750</v>
      </c>
      <c r="V8" s="271"/>
    </row>
    <row r="9" spans="2:35" ht="14.5" customHeight="1" x14ac:dyDescent="0.2">
      <c r="B9" t="s">
        <v>474</v>
      </c>
      <c r="C9" s="256">
        <f>'Overall recycling rates'!G41*'Overall recycling rates'!$G$59</f>
        <v>0</v>
      </c>
      <c r="D9" s="127">
        <f t="shared" ref="D9:G11" si="5">$C9/$C$12</f>
        <v>0</v>
      </c>
      <c r="E9" s="127">
        <f t="shared" si="5"/>
        <v>0</v>
      </c>
      <c r="F9" s="127">
        <f t="shared" si="5"/>
        <v>0</v>
      </c>
      <c r="G9" s="127">
        <f t="shared" si="5"/>
        <v>0</v>
      </c>
      <c r="I9" s="695" t="s">
        <v>1751</v>
      </c>
      <c r="L9" t="s">
        <v>474</v>
      </c>
      <c r="M9" s="256">
        <f>'Overall recycling rates'!G14*'Overall recycling rates'!$G$59</f>
        <v>0</v>
      </c>
      <c r="N9" s="2">
        <f t="shared" ref="N9:Q11" si="6">$M9/$M$12</f>
        <v>0</v>
      </c>
      <c r="O9" s="2">
        <f t="shared" si="6"/>
        <v>0</v>
      </c>
      <c r="P9" s="2">
        <f t="shared" si="6"/>
        <v>0</v>
      </c>
      <c r="Q9" s="2">
        <f t="shared" si="6"/>
        <v>0</v>
      </c>
      <c r="T9" s="28" t="s">
        <v>1752</v>
      </c>
    </row>
    <row r="10" spans="2:35" x14ac:dyDescent="0.2">
      <c r="B10" t="s">
        <v>745</v>
      </c>
      <c r="C10" s="256">
        <f>'Overall recycling rates'!H41*'Overall recycling rates'!$H$59</f>
        <v>0</v>
      </c>
      <c r="D10" s="127">
        <f t="shared" si="5"/>
        <v>0</v>
      </c>
      <c r="E10" s="127">
        <f t="shared" si="5"/>
        <v>0</v>
      </c>
      <c r="F10" s="127">
        <f t="shared" si="5"/>
        <v>0</v>
      </c>
      <c r="G10" s="127">
        <f t="shared" si="5"/>
        <v>0</v>
      </c>
      <c r="I10" s="695"/>
      <c r="L10" t="s">
        <v>745</v>
      </c>
      <c r="M10" s="256">
        <f>'Overall recycling rates'!H14*'Overall recycling rates'!$H$59</f>
        <v>0.17937679179176774</v>
      </c>
      <c r="N10" s="2">
        <f t="shared" si="6"/>
        <v>0.1165709795018446</v>
      </c>
      <c r="O10" s="2">
        <f t="shared" si="6"/>
        <v>0.1165709795018446</v>
      </c>
      <c r="P10" s="2">
        <f t="shared" si="6"/>
        <v>0.1165709795018446</v>
      </c>
      <c r="Q10" s="2">
        <f t="shared" si="6"/>
        <v>0.1165709795018446</v>
      </c>
      <c r="T10" s="28"/>
      <c r="V10" s="384"/>
      <c r="W10" s="384"/>
      <c r="X10" s="384"/>
      <c r="Y10" s="384"/>
      <c r="Z10" s="384"/>
      <c r="AA10" s="384"/>
    </row>
    <row r="11" spans="2:35" x14ac:dyDescent="0.2">
      <c r="B11" t="s">
        <v>248</v>
      </c>
      <c r="C11" s="256">
        <f>'Overall recycling rates'!I41*'Overall recycling rates'!$I$59</f>
        <v>2.1989394737973737E-2</v>
      </c>
      <c r="D11" s="127">
        <f>$C11/$C$12</f>
        <v>1</v>
      </c>
      <c r="E11" s="127">
        <f t="shared" si="5"/>
        <v>1</v>
      </c>
      <c r="F11" s="127">
        <f t="shared" si="5"/>
        <v>1</v>
      </c>
      <c r="G11" s="127">
        <f t="shared" si="5"/>
        <v>1</v>
      </c>
      <c r="I11" s="695"/>
      <c r="L11" t="s">
        <v>248</v>
      </c>
      <c r="M11" s="256">
        <f>'Overall recycling rates'!I14*'Overall recycling rates'!$I$59</f>
        <v>1.3594006342736049</v>
      </c>
      <c r="N11" s="2">
        <f t="shared" si="6"/>
        <v>0.88342902049815542</v>
      </c>
      <c r="O11" s="2">
        <f t="shared" si="6"/>
        <v>0.88342902049815542</v>
      </c>
      <c r="P11" s="2">
        <f t="shared" si="6"/>
        <v>0.88342902049815542</v>
      </c>
      <c r="Q11" s="2">
        <f t="shared" si="6"/>
        <v>0.88342902049815542</v>
      </c>
      <c r="T11" s="28"/>
      <c r="V11" s="384"/>
      <c r="W11" s="384"/>
      <c r="X11" s="384"/>
      <c r="Y11" s="384"/>
      <c r="Z11" s="384"/>
      <c r="AA11" s="384"/>
    </row>
    <row r="12" spans="2:35" x14ac:dyDescent="0.2">
      <c r="C12" s="256">
        <f>SUM(C9:C11)</f>
        <v>2.1989394737973737E-2</v>
      </c>
      <c r="D12" s="2">
        <f>SUM(D9:D11)</f>
        <v>1</v>
      </c>
      <c r="E12" s="2">
        <f>SUM(E9:E11)</f>
        <v>1</v>
      </c>
      <c r="F12" s="2">
        <f>SUM(F9:F11)</f>
        <v>1</v>
      </c>
      <c r="G12" s="2">
        <f>SUM(G9:G11)</f>
        <v>1</v>
      </c>
      <c r="M12" s="44">
        <f>SUM(M9:M11)</f>
        <v>1.5387774260653726</v>
      </c>
      <c r="N12" s="2">
        <f>SUM(N9:N11)</f>
        <v>1</v>
      </c>
      <c r="O12" s="2">
        <f>SUM(O9:O11)</f>
        <v>1</v>
      </c>
      <c r="P12" s="2">
        <f>SUM(P9:P11)</f>
        <v>1</v>
      </c>
      <c r="Q12" s="2">
        <f>SUM(Q9:Q11)</f>
        <v>1</v>
      </c>
      <c r="V12" s="384"/>
      <c r="W12" s="384"/>
      <c r="X12" s="384"/>
      <c r="Y12" s="384"/>
      <c r="Z12" s="384"/>
      <c r="AA12" s="384"/>
    </row>
    <row r="14" spans="2:35" x14ac:dyDescent="0.2">
      <c r="B14" t="s">
        <v>329</v>
      </c>
      <c r="D14" t="s">
        <v>1746</v>
      </c>
      <c r="E14" t="s">
        <v>1749</v>
      </c>
      <c r="F14" t="s">
        <v>1750</v>
      </c>
      <c r="L14" t="s">
        <v>329</v>
      </c>
      <c r="N14" t="s">
        <v>1746</v>
      </c>
      <c r="O14" t="s">
        <v>1749</v>
      </c>
      <c r="P14" t="s">
        <v>1750</v>
      </c>
    </row>
    <row r="15" spans="2:35" ht="14.5" customHeight="1" x14ac:dyDescent="0.2">
      <c r="B15" t="s">
        <v>474</v>
      </c>
      <c r="C15" s="256">
        <f>'Overall recycling rates'!G42*'Overall recycling rates'!$G$59</f>
        <v>0.17024626844232227</v>
      </c>
      <c r="D15" s="127">
        <f>$C15/$C$18</f>
        <v>0.36173364154891818</v>
      </c>
      <c r="E15" s="127">
        <f t="shared" ref="E15:F15" si="7">$C15/$C$18</f>
        <v>0.36173364154891818</v>
      </c>
      <c r="F15" s="127">
        <f t="shared" si="7"/>
        <v>0.36173364154891818</v>
      </c>
      <c r="I15" s="695" t="s">
        <v>1751</v>
      </c>
      <c r="L15" t="s">
        <v>474</v>
      </c>
      <c r="M15" s="256">
        <f>'Overall recycling rates'!G15*'Overall recycling rates'!$G$59</f>
        <v>1.3095866803255558</v>
      </c>
      <c r="N15" s="127">
        <f t="shared" ref="N15:P17" si="8">$M15/$M$18</f>
        <v>0.36173364154891818</v>
      </c>
      <c r="O15" s="127">
        <f t="shared" si="8"/>
        <v>0.36173364154891818</v>
      </c>
      <c r="P15" s="127">
        <f t="shared" si="8"/>
        <v>0.36173364154891818</v>
      </c>
      <c r="T15" s="28" t="s">
        <v>1752</v>
      </c>
      <c r="V15" s="384"/>
      <c r="W15" s="384"/>
      <c r="X15" s="384"/>
      <c r="Y15" s="384"/>
      <c r="Z15" s="384"/>
      <c r="AA15" s="384"/>
      <c r="AB15" s="6"/>
    </row>
    <row r="16" spans="2:35" x14ac:dyDescent="0.2">
      <c r="B16" t="s">
        <v>745</v>
      </c>
      <c r="C16" s="256">
        <f>'Overall recycling rates'!H42*'Overall recycling rates'!$H$59</f>
        <v>0</v>
      </c>
      <c r="D16" s="127">
        <f t="shared" ref="D16:F17" si="9">$C16/$C$18</f>
        <v>0</v>
      </c>
      <c r="E16" s="127">
        <f t="shared" si="9"/>
        <v>0</v>
      </c>
      <c r="F16" s="127">
        <f t="shared" si="9"/>
        <v>0</v>
      </c>
      <c r="I16" s="695"/>
      <c r="L16" t="s">
        <v>745</v>
      </c>
      <c r="M16" s="256">
        <f>'Overall recycling rates'!H15*'Overall recycling rates'!$H$59</f>
        <v>0</v>
      </c>
      <c r="N16" s="127">
        <f t="shared" si="8"/>
        <v>0</v>
      </c>
      <c r="O16" s="127">
        <f t="shared" si="8"/>
        <v>0</v>
      </c>
      <c r="P16" s="127">
        <f t="shared" si="8"/>
        <v>0</v>
      </c>
      <c r="T16" s="28"/>
      <c r="V16" s="384"/>
      <c r="W16" s="384"/>
      <c r="X16" s="384"/>
      <c r="Y16" s="384"/>
      <c r="Z16" s="384"/>
      <c r="AA16" s="384"/>
    </row>
    <row r="17" spans="2:35" x14ac:dyDescent="0.2">
      <c r="B17" t="s">
        <v>248</v>
      </c>
      <c r="C17" s="256">
        <f>'Overall recycling rates'!I42*'Overall recycling rates'!$I$59</f>
        <v>0.30039358610186567</v>
      </c>
      <c r="D17" s="127">
        <f t="shared" si="9"/>
        <v>0.63826635845108182</v>
      </c>
      <c r="E17" s="127">
        <f t="shared" si="9"/>
        <v>0.63826635845108182</v>
      </c>
      <c r="F17" s="127">
        <f t="shared" si="9"/>
        <v>0.63826635845108182</v>
      </c>
      <c r="I17" s="695"/>
      <c r="L17" t="s">
        <v>248</v>
      </c>
      <c r="M17" s="256">
        <f>'Overall recycling rates'!I15*'Overall recycling rates'!$I$59</f>
        <v>2.310719893091274</v>
      </c>
      <c r="N17" s="127">
        <f t="shared" si="8"/>
        <v>0.63826635845108182</v>
      </c>
      <c r="O17" s="127">
        <f t="shared" si="8"/>
        <v>0.63826635845108182</v>
      </c>
      <c r="P17" s="127">
        <f t="shared" si="8"/>
        <v>0.63826635845108182</v>
      </c>
      <c r="T17" s="28"/>
      <c r="V17" s="384"/>
      <c r="W17" s="384"/>
      <c r="X17" s="384"/>
      <c r="Y17" s="384"/>
      <c r="Z17" s="384"/>
      <c r="AA17" s="384"/>
      <c r="AB17" s="6"/>
    </row>
    <row r="18" spans="2:35" x14ac:dyDescent="0.2">
      <c r="C18" s="256">
        <f>SUM(C15:C17)</f>
        <v>0.47063985454418794</v>
      </c>
      <c r="D18" s="2">
        <f>SUM(D15:D17)</f>
        <v>1</v>
      </c>
      <c r="E18" s="2">
        <f>SUM(E15:E17)</f>
        <v>1</v>
      </c>
      <c r="F18" s="2">
        <f>SUM(F15:F17)</f>
        <v>1</v>
      </c>
      <c r="M18" s="44">
        <f>SUM(M15:M17)</f>
        <v>3.6203065734168298</v>
      </c>
      <c r="N18" s="2">
        <f>SUM(N15:N17)</f>
        <v>1</v>
      </c>
      <c r="O18" s="2">
        <f>SUM(O15:O17)</f>
        <v>1</v>
      </c>
      <c r="P18" s="2">
        <f>SUM(P15:P17)</f>
        <v>1</v>
      </c>
      <c r="AA18" s="384"/>
    </row>
    <row r="19" spans="2:35" x14ac:dyDescent="0.2">
      <c r="V19" s="384"/>
      <c r="W19" s="384"/>
      <c r="X19" s="384"/>
      <c r="Y19" s="384"/>
      <c r="Z19" s="384"/>
      <c r="AA19" s="384"/>
    </row>
    <row r="20" spans="2:35" x14ac:dyDescent="0.2">
      <c r="B20" t="s">
        <v>369</v>
      </c>
      <c r="D20" t="s">
        <v>1746</v>
      </c>
      <c r="L20" t="s">
        <v>369</v>
      </c>
      <c r="N20" t="s">
        <v>1746</v>
      </c>
      <c r="V20" s="384"/>
      <c r="W20" s="384"/>
      <c r="X20" s="384"/>
      <c r="Y20" s="384"/>
      <c r="Z20" s="384"/>
      <c r="AA20" s="384"/>
    </row>
    <row r="21" spans="2:35" ht="14.5" customHeight="1" x14ac:dyDescent="0.2">
      <c r="B21" t="s">
        <v>474</v>
      </c>
      <c r="C21" s="256">
        <f>'Overall recycling rates'!G40*'Overall recycling rates'!$G$59</f>
        <v>0</v>
      </c>
      <c r="D21" s="127">
        <f>$C21/$C$24</f>
        <v>0</v>
      </c>
      <c r="E21" s="2"/>
      <c r="F21" s="2"/>
      <c r="G21" s="2"/>
      <c r="I21" s="695" t="s">
        <v>1751</v>
      </c>
      <c r="L21" t="s">
        <v>474</v>
      </c>
      <c r="M21" s="256">
        <f>'Overall recycling rates'!G12*'Overall recycling rates'!$G$59</f>
        <v>1.5079664059578168</v>
      </c>
      <c r="N21" s="127">
        <f>$M21/$M$24</f>
        <v>0.65402430514142706</v>
      </c>
      <c r="P21" s="2"/>
      <c r="Q21" s="2"/>
      <c r="R21" s="2"/>
      <c r="T21" s="28" t="s">
        <v>1752</v>
      </c>
      <c r="V21" s="384"/>
      <c r="W21" s="384"/>
      <c r="X21" s="384"/>
      <c r="Y21" s="384"/>
      <c r="Z21" s="384"/>
    </row>
    <row r="22" spans="2:35" x14ac:dyDescent="0.2">
      <c r="B22" t="s">
        <v>745</v>
      </c>
      <c r="C22" s="256">
        <f>'Overall recycling rates'!H40*'Overall recycling rates'!$H$59</f>
        <v>8.8664515166698077E-4</v>
      </c>
      <c r="D22" s="127">
        <f t="shared" ref="D22:D23" si="10">$C22/$C$24</f>
        <v>0.63527312382274215</v>
      </c>
      <c r="E22" s="2"/>
      <c r="F22" s="2"/>
      <c r="G22" s="2"/>
      <c r="I22" s="695"/>
      <c r="L22" t="s">
        <v>745</v>
      </c>
      <c r="M22" s="256">
        <f>'Overall recycling rates'!H12*'Overall recycling rates'!$H$59</f>
        <v>0.47230901908692435</v>
      </c>
      <c r="N22" s="127">
        <f>$M22/$M$24</f>
        <v>0.20484645864782999</v>
      </c>
      <c r="P22" s="2"/>
      <c r="Q22" s="2"/>
      <c r="R22" s="2"/>
      <c r="T22" s="28"/>
      <c r="W22" s="23"/>
      <c r="X22" s="23"/>
      <c r="Y22" s="23"/>
      <c r="Z22" s="23"/>
    </row>
    <row r="23" spans="2:35" x14ac:dyDescent="0.2">
      <c r="B23" t="s">
        <v>248</v>
      </c>
      <c r="C23" s="256">
        <f>'Overall recycling rates'!I40*'Overall recycling rates'!$I$59</f>
        <v>5.0904611625824324E-4</v>
      </c>
      <c r="D23" s="127">
        <f t="shared" si="10"/>
        <v>0.36472687617725791</v>
      </c>
      <c r="E23" s="56"/>
      <c r="F23" s="56"/>
      <c r="G23" s="56"/>
      <c r="I23" s="695"/>
      <c r="L23" t="s">
        <v>248</v>
      </c>
      <c r="M23" s="256">
        <f>'Overall recycling rates'!I12*'Overall recycling rates'!$I$59</f>
        <v>0.32539791783160954</v>
      </c>
      <c r="N23" s="127">
        <f>$M23/$M$24</f>
        <v>0.1411292362107428</v>
      </c>
      <c r="P23" s="56"/>
      <c r="Q23" s="56"/>
      <c r="R23" s="56"/>
      <c r="T23" s="28"/>
    </row>
    <row r="24" spans="2:35" x14ac:dyDescent="0.2">
      <c r="C24" s="256">
        <f>SUM(C21:C23)</f>
        <v>1.395691267925224E-3</v>
      </c>
      <c r="D24" s="2">
        <f>SUM(D21:D23)</f>
        <v>1</v>
      </c>
      <c r="E24" s="2"/>
      <c r="F24" s="2"/>
      <c r="G24" s="2"/>
      <c r="M24" s="44">
        <f>SUM(M21:M23)</f>
        <v>2.305673342876351</v>
      </c>
      <c r="N24" s="2">
        <f>SUM(N21:N23)</f>
        <v>0.99999999999999989</v>
      </c>
      <c r="P24" s="2"/>
      <c r="Q24" s="2"/>
      <c r="R24" s="2"/>
      <c r="V24" s="384"/>
      <c r="W24" s="384"/>
      <c r="X24" s="384"/>
      <c r="Y24" s="384"/>
      <c r="Z24" s="384"/>
    </row>
    <row r="25" spans="2:35" x14ac:dyDescent="0.2">
      <c r="V25" s="384"/>
      <c r="W25" s="384"/>
      <c r="X25" s="384"/>
      <c r="Y25" s="384"/>
      <c r="Z25" s="384"/>
    </row>
    <row r="26" spans="2:35" x14ac:dyDescent="0.2">
      <c r="B26" t="s">
        <v>248</v>
      </c>
      <c r="D26" t="s">
        <v>1746</v>
      </c>
      <c r="L26" t="s">
        <v>248</v>
      </c>
      <c r="N26" t="s">
        <v>1746</v>
      </c>
    </row>
    <row r="27" spans="2:35" ht="14.5" customHeight="1" x14ac:dyDescent="0.2">
      <c r="B27" t="s">
        <v>474</v>
      </c>
      <c r="C27" s="256">
        <f>'Overall recycling rates'!G43*'Overall recycling rates'!$G$59</f>
        <v>0</v>
      </c>
      <c r="D27" s="127">
        <f>$C27/$C$30</f>
        <v>0</v>
      </c>
      <c r="I27" s="695" t="s">
        <v>1751</v>
      </c>
      <c r="L27" t="s">
        <v>474</v>
      </c>
      <c r="M27" s="256">
        <f>'Overall recycling rates'!G16*'Overall recycling rates'!$G$59</f>
        <v>0</v>
      </c>
      <c r="N27" s="127">
        <f>$M27/$L$30</f>
        <v>0</v>
      </c>
      <c r="T27" s="28" t="s">
        <v>1752</v>
      </c>
    </row>
    <row r="28" spans="2:35" x14ac:dyDescent="0.2">
      <c r="B28" t="s">
        <v>745</v>
      </c>
      <c r="C28" s="256">
        <f>'Overall recycling rates'!H43*'Overall recycling rates'!$H$59</f>
        <v>8.3613556157768706E-2</v>
      </c>
      <c r="D28" s="127">
        <f t="shared" ref="D28:D29" si="11">$C28/$C$30</f>
        <v>0.30872851836327631</v>
      </c>
      <c r="I28" s="695"/>
      <c r="L28" t="s">
        <v>745</v>
      </c>
      <c r="M28" s="256">
        <f>'Overall recycling rates'!H16*'Overall recycling rates'!$H$59</f>
        <v>2.1041161376293047</v>
      </c>
      <c r="N28" s="127">
        <f>$M28/$L$30</f>
        <v>0.30872851836327631</v>
      </c>
      <c r="T28" s="28"/>
    </row>
    <row r="29" spans="2:35" x14ac:dyDescent="0.2">
      <c r="B29" t="s">
        <v>248</v>
      </c>
      <c r="C29" s="256">
        <f>'Overall recycling rates'!I43*'Overall recycling rates'!$I$59</f>
        <v>0.18721842464220995</v>
      </c>
      <c r="D29" s="127">
        <f t="shared" si="11"/>
        <v>0.69127148163672369</v>
      </c>
      <c r="I29" s="695"/>
      <c r="L29" t="s">
        <v>248</v>
      </c>
      <c r="M29" s="256">
        <f>'Overall recycling rates'!I16*'Overall recycling rates'!$I$59</f>
        <v>4.7113091064792494</v>
      </c>
      <c r="N29" s="127">
        <f>$M29/$L$30</f>
        <v>0.69127148163672369</v>
      </c>
      <c r="T29" s="28"/>
    </row>
    <row r="30" spans="2:35" x14ac:dyDescent="0.2">
      <c r="C30" s="256">
        <f>SUM(C27:C29)</f>
        <v>0.27083198079997867</v>
      </c>
      <c r="D30" s="2">
        <f>SUM(D27:D29)</f>
        <v>1</v>
      </c>
      <c r="L30" s="44">
        <f>SUM(M27:M29)</f>
        <v>6.8154252441085541</v>
      </c>
      <c r="M30" s="2">
        <f>SUM(N27:N29)</f>
        <v>1</v>
      </c>
    </row>
    <row r="32" spans="2:35" s="273" customFormat="1" ht="16" thickBot="1" x14ac:dyDescent="0.25">
      <c r="E32" s="273">
        <v>2020</v>
      </c>
      <c r="F32" s="273">
        <f>E32+1</f>
        <v>2021</v>
      </c>
      <c r="G32" s="273">
        <f t="shared" ref="G32:AI32" si="12">F32+1</f>
        <v>2022</v>
      </c>
      <c r="H32" s="273">
        <f t="shared" si="12"/>
        <v>2023</v>
      </c>
      <c r="I32" s="273">
        <f t="shared" si="12"/>
        <v>2024</v>
      </c>
      <c r="J32" s="273">
        <f t="shared" si="12"/>
        <v>2025</v>
      </c>
      <c r="K32" s="273">
        <f t="shared" si="12"/>
        <v>2026</v>
      </c>
      <c r="L32" s="273">
        <f t="shared" si="12"/>
        <v>2027</v>
      </c>
      <c r="M32" s="273">
        <f t="shared" si="12"/>
        <v>2028</v>
      </c>
      <c r="N32" s="273">
        <f t="shared" si="12"/>
        <v>2029</v>
      </c>
      <c r="O32" s="273">
        <f t="shared" si="12"/>
        <v>2030</v>
      </c>
      <c r="P32" s="273">
        <f t="shared" si="12"/>
        <v>2031</v>
      </c>
      <c r="Q32" s="273">
        <f t="shared" si="12"/>
        <v>2032</v>
      </c>
      <c r="R32" s="273">
        <f t="shared" si="12"/>
        <v>2033</v>
      </c>
      <c r="S32" s="273">
        <f t="shared" si="12"/>
        <v>2034</v>
      </c>
      <c r="T32" s="273">
        <f t="shared" si="12"/>
        <v>2035</v>
      </c>
      <c r="U32" s="273">
        <f t="shared" si="12"/>
        <v>2036</v>
      </c>
      <c r="V32" s="273">
        <f t="shared" si="12"/>
        <v>2037</v>
      </c>
      <c r="W32" s="273">
        <f t="shared" si="12"/>
        <v>2038</v>
      </c>
      <c r="X32" s="273">
        <f t="shared" si="12"/>
        <v>2039</v>
      </c>
      <c r="Y32" s="273">
        <f t="shared" si="12"/>
        <v>2040</v>
      </c>
      <c r="Z32" s="273">
        <f t="shared" si="12"/>
        <v>2041</v>
      </c>
      <c r="AA32" s="273">
        <f t="shared" si="12"/>
        <v>2042</v>
      </c>
      <c r="AB32" s="273">
        <f>AA32+1</f>
        <v>2043</v>
      </c>
      <c r="AC32" s="273">
        <f t="shared" si="12"/>
        <v>2044</v>
      </c>
      <c r="AD32" s="273">
        <f t="shared" si="12"/>
        <v>2045</v>
      </c>
      <c r="AE32" s="273">
        <f t="shared" si="12"/>
        <v>2046</v>
      </c>
      <c r="AF32" s="273">
        <f t="shared" si="12"/>
        <v>2047</v>
      </c>
      <c r="AG32" s="273">
        <f t="shared" si="12"/>
        <v>2048</v>
      </c>
      <c r="AH32" s="273">
        <f t="shared" si="12"/>
        <v>2049</v>
      </c>
      <c r="AI32" s="273">
        <f t="shared" si="12"/>
        <v>2050</v>
      </c>
    </row>
    <row r="33" spans="1:35" x14ac:dyDescent="0.2">
      <c r="A33" s="310"/>
      <c r="B33" t="s">
        <v>309</v>
      </c>
      <c r="C33" t="s">
        <v>1746</v>
      </c>
      <c r="D33" t="s">
        <v>474</v>
      </c>
      <c r="E33" s="168">
        <f>D3</f>
        <v>1</v>
      </c>
      <c r="F33" s="168">
        <f>-($E33-$AI33)/30+E33</f>
        <v>0.98846747683804759</v>
      </c>
      <c r="G33" s="168">
        <f t="shared" ref="G33:AH33" si="13">-($E33-$AI33)/30+F33</f>
        <v>0.97693495367609517</v>
      </c>
      <c r="H33" s="168">
        <f t="shared" si="13"/>
        <v>0.96540243051414276</v>
      </c>
      <c r="I33" s="168">
        <f t="shared" si="13"/>
        <v>0.95386990735219035</v>
      </c>
      <c r="J33" s="168">
        <f t="shared" si="13"/>
        <v>0.94233738419023794</v>
      </c>
      <c r="K33" s="168">
        <f t="shared" si="13"/>
        <v>0.93080486102828552</v>
      </c>
      <c r="L33" s="168">
        <f t="shared" si="13"/>
        <v>0.91927233786633311</v>
      </c>
      <c r="M33" s="168">
        <f t="shared" si="13"/>
        <v>0.9077398147043807</v>
      </c>
      <c r="N33" s="168">
        <f t="shared" si="13"/>
        <v>0.89620729154242829</v>
      </c>
      <c r="O33" s="168">
        <f t="shared" si="13"/>
        <v>0.88467476838047587</v>
      </c>
      <c r="P33" s="168">
        <f t="shared" si="13"/>
        <v>0.87314224521852346</v>
      </c>
      <c r="Q33" s="168">
        <f t="shared" si="13"/>
        <v>0.86160972205657105</v>
      </c>
      <c r="R33" s="168">
        <f t="shared" si="13"/>
        <v>0.85007719889461864</v>
      </c>
      <c r="S33" s="168">
        <f t="shared" si="13"/>
        <v>0.83854467573266622</v>
      </c>
      <c r="T33" s="168">
        <f t="shared" si="13"/>
        <v>0.82701215257071381</v>
      </c>
      <c r="U33" s="168">
        <f t="shared" si="13"/>
        <v>0.8154796294087614</v>
      </c>
      <c r="V33" s="168">
        <f t="shared" si="13"/>
        <v>0.80394710624680898</v>
      </c>
      <c r="W33" s="168">
        <f t="shared" si="13"/>
        <v>0.79241458308485657</v>
      </c>
      <c r="X33" s="168">
        <f t="shared" si="13"/>
        <v>0.78088205992290416</v>
      </c>
      <c r="Y33" s="168">
        <f t="shared" si="13"/>
        <v>0.76934953676095175</v>
      </c>
      <c r="Z33" s="168">
        <f t="shared" si="13"/>
        <v>0.75781701359899933</v>
      </c>
      <c r="AA33" s="168">
        <f t="shared" si="13"/>
        <v>0.74628449043704692</v>
      </c>
      <c r="AB33" s="168">
        <f t="shared" si="13"/>
        <v>0.73475196727509451</v>
      </c>
      <c r="AC33" s="168">
        <f t="shared" si="13"/>
        <v>0.7232194441131421</v>
      </c>
      <c r="AD33" s="168">
        <f t="shared" si="13"/>
        <v>0.71168692095118968</v>
      </c>
      <c r="AE33" s="168">
        <f t="shared" si="13"/>
        <v>0.70015439778923727</v>
      </c>
      <c r="AF33" s="168">
        <f t="shared" si="13"/>
        <v>0.68862187462728486</v>
      </c>
      <c r="AG33" s="168">
        <f t="shared" si="13"/>
        <v>0.67708935146533245</v>
      </c>
      <c r="AH33" s="168">
        <f t="shared" si="13"/>
        <v>0.66555682830338003</v>
      </c>
      <c r="AI33" s="168">
        <f>N3</f>
        <v>0.65402430514142706</v>
      </c>
    </row>
    <row r="34" spans="1:35" x14ac:dyDescent="0.2">
      <c r="A34" s="310"/>
      <c r="B34" t="s">
        <v>309</v>
      </c>
      <c r="C34" t="s">
        <v>1746</v>
      </c>
      <c r="D34" t="s">
        <v>745</v>
      </c>
      <c r="E34" s="168">
        <f>D4</f>
        <v>0</v>
      </c>
      <c r="F34" s="168">
        <f t="shared" ref="F34:AH38" si="14">-($E34-$AI34)/30+E34</f>
        <v>6.8282152882609996E-3</v>
      </c>
      <c r="G34" s="168">
        <f t="shared" si="14"/>
        <v>1.3656430576521999E-2</v>
      </c>
      <c r="H34" s="168">
        <f t="shared" si="14"/>
        <v>2.0484645864782998E-2</v>
      </c>
      <c r="I34" s="168">
        <f t="shared" si="14"/>
        <v>2.7312861153043998E-2</v>
      </c>
      <c r="J34" s="168">
        <f t="shared" si="14"/>
        <v>3.4141076441304999E-2</v>
      </c>
      <c r="K34" s="168">
        <f t="shared" si="14"/>
        <v>4.0969291729565996E-2</v>
      </c>
      <c r="L34" s="168">
        <f t="shared" si="14"/>
        <v>4.7797507017826993E-2</v>
      </c>
      <c r="M34" s="168">
        <f t="shared" si="14"/>
        <v>5.462572230608799E-2</v>
      </c>
      <c r="N34" s="168">
        <f t="shared" si="14"/>
        <v>6.1453937594348987E-2</v>
      </c>
      <c r="O34" s="168">
        <f t="shared" si="14"/>
        <v>6.8282152882609984E-2</v>
      </c>
      <c r="P34" s="168">
        <f t="shared" si="14"/>
        <v>7.5110368170870981E-2</v>
      </c>
      <c r="Q34" s="168">
        <f t="shared" si="14"/>
        <v>8.1938583459131978E-2</v>
      </c>
      <c r="R34" s="168">
        <f t="shared" si="14"/>
        <v>8.8766798747392975E-2</v>
      </c>
      <c r="S34" s="168">
        <f t="shared" si="14"/>
        <v>9.5595014035653972E-2</v>
      </c>
      <c r="T34" s="168">
        <f t="shared" si="14"/>
        <v>0.10242322932391497</v>
      </c>
      <c r="U34" s="168">
        <f t="shared" si="14"/>
        <v>0.10925144461217597</v>
      </c>
      <c r="V34" s="168">
        <f t="shared" si="14"/>
        <v>0.11607965990043696</v>
      </c>
      <c r="W34" s="168">
        <f t="shared" si="14"/>
        <v>0.12290787518869796</v>
      </c>
      <c r="X34" s="168">
        <f t="shared" si="14"/>
        <v>0.12973609047695897</v>
      </c>
      <c r="Y34" s="168">
        <f t="shared" si="14"/>
        <v>0.13656430576521997</v>
      </c>
      <c r="Z34" s="168">
        <f t="shared" si="14"/>
        <v>0.14339252105348096</v>
      </c>
      <c r="AA34" s="168">
        <f t="shared" si="14"/>
        <v>0.15022073634174196</v>
      </c>
      <c r="AB34" s="168">
        <f t="shared" si="14"/>
        <v>0.15704895163000296</v>
      </c>
      <c r="AC34" s="168">
        <f t="shared" si="14"/>
        <v>0.16387716691826396</v>
      </c>
      <c r="AD34" s="168">
        <f t="shared" si="14"/>
        <v>0.17070538220652495</v>
      </c>
      <c r="AE34" s="168">
        <f t="shared" si="14"/>
        <v>0.17753359749478595</v>
      </c>
      <c r="AF34" s="168">
        <f t="shared" si="14"/>
        <v>0.18436181278304695</v>
      </c>
      <c r="AG34" s="168">
        <f t="shared" si="14"/>
        <v>0.19119002807130794</v>
      </c>
      <c r="AH34" s="168">
        <f t="shared" si="14"/>
        <v>0.19801824335956894</v>
      </c>
      <c r="AI34" s="168">
        <f>N4</f>
        <v>0.20484645864782999</v>
      </c>
    </row>
    <row r="35" spans="1:35" x14ac:dyDescent="0.2">
      <c r="A35" s="310"/>
      <c r="B35" t="s">
        <v>309</v>
      </c>
      <c r="C35" t="s">
        <v>1746</v>
      </c>
      <c r="D35" t="s">
        <v>248</v>
      </c>
      <c r="E35" s="168">
        <f>D5</f>
        <v>0</v>
      </c>
      <c r="F35" s="168">
        <f t="shared" si="14"/>
        <v>4.704307873691427E-3</v>
      </c>
      <c r="G35" s="168">
        <f t="shared" si="14"/>
        <v>9.4086157473828539E-3</v>
      </c>
      <c r="H35" s="168">
        <f t="shared" si="14"/>
        <v>1.4112923621074282E-2</v>
      </c>
      <c r="I35" s="168">
        <f t="shared" si="14"/>
        <v>1.8817231494765708E-2</v>
      </c>
      <c r="J35" s="168">
        <f t="shared" si="14"/>
        <v>2.3521539368457134E-2</v>
      </c>
      <c r="K35" s="168">
        <f t="shared" si="14"/>
        <v>2.822584724214856E-2</v>
      </c>
      <c r="L35" s="168">
        <f t="shared" si="14"/>
        <v>3.2930155115839986E-2</v>
      </c>
      <c r="M35" s="168">
        <f t="shared" si="14"/>
        <v>3.7634462989531416E-2</v>
      </c>
      <c r="N35" s="168">
        <f t="shared" si="14"/>
        <v>4.2338770863222845E-2</v>
      </c>
      <c r="O35" s="168">
        <f t="shared" si="14"/>
        <v>4.7043078736914275E-2</v>
      </c>
      <c r="P35" s="168">
        <f t="shared" si="14"/>
        <v>5.1747386610605704E-2</v>
      </c>
      <c r="Q35" s="168">
        <f t="shared" si="14"/>
        <v>5.6451694484297134E-2</v>
      </c>
      <c r="R35" s="168">
        <f t="shared" si="14"/>
        <v>6.1156002357988563E-2</v>
      </c>
      <c r="S35" s="168">
        <f t="shared" si="14"/>
        <v>6.5860310231679986E-2</v>
      </c>
      <c r="T35" s="168">
        <f t="shared" si="14"/>
        <v>7.0564618105371416E-2</v>
      </c>
      <c r="U35" s="168">
        <f t="shared" si="14"/>
        <v>7.5268925979062845E-2</v>
      </c>
      <c r="V35" s="168">
        <f t="shared" si="14"/>
        <v>7.9973233852754275E-2</v>
      </c>
      <c r="W35" s="168">
        <f t="shared" si="14"/>
        <v>8.4677541726445704E-2</v>
      </c>
      <c r="X35" s="168">
        <f t="shared" si="14"/>
        <v>8.9381849600137134E-2</v>
      </c>
      <c r="Y35" s="168">
        <f t="shared" si="14"/>
        <v>9.4086157473828563E-2</v>
      </c>
      <c r="Z35" s="168">
        <f t="shared" si="14"/>
        <v>9.8790465347519993E-2</v>
      </c>
      <c r="AA35" s="168">
        <f t="shared" si="14"/>
        <v>0.10349477322121142</v>
      </c>
      <c r="AB35" s="168">
        <f t="shared" si="14"/>
        <v>0.10819908109490285</v>
      </c>
      <c r="AC35" s="168">
        <f t="shared" si="14"/>
        <v>0.11290338896859428</v>
      </c>
      <c r="AD35" s="168">
        <f t="shared" si="14"/>
        <v>0.11760769684228571</v>
      </c>
      <c r="AE35" s="168">
        <f t="shared" si="14"/>
        <v>0.12231200471597714</v>
      </c>
      <c r="AF35" s="168">
        <f t="shared" si="14"/>
        <v>0.12701631258966856</v>
      </c>
      <c r="AG35" s="168">
        <f t="shared" si="14"/>
        <v>0.13172062046335997</v>
      </c>
      <c r="AH35" s="168">
        <f t="shared" si="14"/>
        <v>0.13642492833705139</v>
      </c>
      <c r="AI35" s="168">
        <f>N5</f>
        <v>0.1411292362107428</v>
      </c>
    </row>
    <row r="36" spans="1:35" s="67" customFormat="1" x14ac:dyDescent="0.2">
      <c r="A36" s="307"/>
      <c r="B36" s="67" t="s">
        <v>309</v>
      </c>
      <c r="C36" s="67" t="s">
        <v>1747</v>
      </c>
      <c r="D36" t="s">
        <v>474</v>
      </c>
      <c r="E36" s="201">
        <f>E3</f>
        <v>1</v>
      </c>
      <c r="F36" s="201">
        <f t="shared" si="14"/>
        <v>0.98846747683804759</v>
      </c>
      <c r="G36" s="201">
        <f t="shared" si="14"/>
        <v>0.97693495367609517</v>
      </c>
      <c r="H36" s="201">
        <f t="shared" si="14"/>
        <v>0.96540243051414276</v>
      </c>
      <c r="I36" s="201">
        <f t="shared" si="14"/>
        <v>0.95386990735219035</v>
      </c>
      <c r="J36" s="201">
        <f t="shared" si="14"/>
        <v>0.94233738419023794</v>
      </c>
      <c r="K36" s="201">
        <f t="shared" si="14"/>
        <v>0.93080486102828552</v>
      </c>
      <c r="L36" s="201">
        <f t="shared" si="14"/>
        <v>0.91927233786633311</v>
      </c>
      <c r="M36" s="201">
        <f t="shared" si="14"/>
        <v>0.9077398147043807</v>
      </c>
      <c r="N36" s="201">
        <f t="shared" si="14"/>
        <v>0.89620729154242829</v>
      </c>
      <c r="O36" s="201">
        <f t="shared" si="14"/>
        <v>0.88467476838047587</v>
      </c>
      <c r="P36" s="201">
        <f t="shared" si="14"/>
        <v>0.87314224521852346</v>
      </c>
      <c r="Q36" s="201">
        <f t="shared" si="14"/>
        <v>0.86160972205657105</v>
      </c>
      <c r="R36" s="201">
        <f t="shared" si="14"/>
        <v>0.85007719889461864</v>
      </c>
      <c r="S36" s="201">
        <f t="shared" si="14"/>
        <v>0.83854467573266622</v>
      </c>
      <c r="T36" s="201">
        <f t="shared" si="14"/>
        <v>0.82701215257071381</v>
      </c>
      <c r="U36" s="201">
        <f t="shared" si="14"/>
        <v>0.8154796294087614</v>
      </c>
      <c r="V36" s="201">
        <f t="shared" si="14"/>
        <v>0.80394710624680898</v>
      </c>
      <c r="W36" s="201">
        <f t="shared" si="14"/>
        <v>0.79241458308485657</v>
      </c>
      <c r="X36" s="201">
        <f t="shared" si="14"/>
        <v>0.78088205992290416</v>
      </c>
      <c r="Y36" s="201">
        <f t="shared" si="14"/>
        <v>0.76934953676095175</v>
      </c>
      <c r="Z36" s="201">
        <f t="shared" si="14"/>
        <v>0.75781701359899933</v>
      </c>
      <c r="AA36" s="201">
        <f t="shared" si="14"/>
        <v>0.74628449043704692</v>
      </c>
      <c r="AB36" s="201">
        <f t="shared" si="14"/>
        <v>0.73475196727509451</v>
      </c>
      <c r="AC36" s="201">
        <f t="shared" si="14"/>
        <v>0.7232194441131421</v>
      </c>
      <c r="AD36" s="201">
        <f t="shared" si="14"/>
        <v>0.71168692095118968</v>
      </c>
      <c r="AE36" s="201">
        <f t="shared" si="14"/>
        <v>0.70015439778923727</v>
      </c>
      <c r="AF36" s="201">
        <f t="shared" si="14"/>
        <v>0.68862187462728486</v>
      </c>
      <c r="AG36" s="201">
        <f t="shared" si="14"/>
        <v>0.67708935146533245</v>
      </c>
      <c r="AH36" s="201">
        <f t="shared" si="14"/>
        <v>0.66555682830338003</v>
      </c>
      <c r="AI36" s="201">
        <f>O3</f>
        <v>0.65402430514142706</v>
      </c>
    </row>
    <row r="37" spans="1:35" x14ac:dyDescent="0.2">
      <c r="A37" s="310"/>
      <c r="B37" t="s">
        <v>309</v>
      </c>
      <c r="C37" t="s">
        <v>1747</v>
      </c>
      <c r="D37" t="s">
        <v>745</v>
      </c>
      <c r="E37" s="168">
        <f>E4</f>
        <v>0</v>
      </c>
      <c r="F37" s="168">
        <f t="shared" si="14"/>
        <v>6.8282152882609996E-3</v>
      </c>
      <c r="G37" s="168">
        <f t="shared" si="14"/>
        <v>1.3656430576521999E-2</v>
      </c>
      <c r="H37" s="168">
        <f t="shared" si="14"/>
        <v>2.0484645864782998E-2</v>
      </c>
      <c r="I37" s="168">
        <f t="shared" si="14"/>
        <v>2.7312861153043998E-2</v>
      </c>
      <c r="J37" s="168">
        <f t="shared" si="14"/>
        <v>3.4141076441304999E-2</v>
      </c>
      <c r="K37" s="168">
        <f t="shared" si="14"/>
        <v>4.0969291729565996E-2</v>
      </c>
      <c r="L37" s="168">
        <f t="shared" si="14"/>
        <v>4.7797507017826993E-2</v>
      </c>
      <c r="M37" s="168">
        <f t="shared" si="14"/>
        <v>5.462572230608799E-2</v>
      </c>
      <c r="N37" s="168">
        <f t="shared" si="14"/>
        <v>6.1453937594348987E-2</v>
      </c>
      <c r="O37" s="168">
        <f t="shared" si="14"/>
        <v>6.8282152882609984E-2</v>
      </c>
      <c r="P37" s="168">
        <f t="shared" si="14"/>
        <v>7.5110368170870981E-2</v>
      </c>
      <c r="Q37" s="168">
        <f t="shared" si="14"/>
        <v>8.1938583459131978E-2</v>
      </c>
      <c r="R37" s="168">
        <f t="shared" si="14"/>
        <v>8.8766798747392975E-2</v>
      </c>
      <c r="S37" s="168">
        <f t="shared" si="14"/>
        <v>9.5595014035653972E-2</v>
      </c>
      <c r="T37" s="168">
        <f t="shared" si="14"/>
        <v>0.10242322932391497</v>
      </c>
      <c r="U37" s="168">
        <f t="shared" si="14"/>
        <v>0.10925144461217597</v>
      </c>
      <c r="V37" s="168">
        <f t="shared" si="14"/>
        <v>0.11607965990043696</v>
      </c>
      <c r="W37" s="168">
        <f t="shared" si="14"/>
        <v>0.12290787518869796</v>
      </c>
      <c r="X37" s="168">
        <f t="shared" si="14"/>
        <v>0.12973609047695897</v>
      </c>
      <c r="Y37" s="168">
        <f t="shared" si="14"/>
        <v>0.13656430576521997</v>
      </c>
      <c r="Z37" s="168">
        <f t="shared" si="14"/>
        <v>0.14339252105348096</v>
      </c>
      <c r="AA37" s="168">
        <f t="shared" si="14"/>
        <v>0.15022073634174196</v>
      </c>
      <c r="AB37" s="168">
        <f t="shared" si="14"/>
        <v>0.15704895163000296</v>
      </c>
      <c r="AC37" s="168">
        <f t="shared" si="14"/>
        <v>0.16387716691826396</v>
      </c>
      <c r="AD37" s="168">
        <f t="shared" si="14"/>
        <v>0.17070538220652495</v>
      </c>
      <c r="AE37" s="168">
        <f t="shared" si="14"/>
        <v>0.17753359749478595</v>
      </c>
      <c r="AF37" s="168">
        <f t="shared" si="14"/>
        <v>0.18436181278304695</v>
      </c>
      <c r="AG37" s="168">
        <f t="shared" si="14"/>
        <v>0.19119002807130794</v>
      </c>
      <c r="AH37" s="168">
        <f t="shared" si="14"/>
        <v>0.19801824335956894</v>
      </c>
      <c r="AI37" s="168">
        <f>O4</f>
        <v>0.20484645864782999</v>
      </c>
    </row>
    <row r="38" spans="1:35" x14ac:dyDescent="0.2">
      <c r="A38" s="310"/>
      <c r="B38" t="s">
        <v>309</v>
      </c>
      <c r="C38" t="s">
        <v>1747</v>
      </c>
      <c r="D38" t="s">
        <v>248</v>
      </c>
      <c r="E38" s="168">
        <f>E5</f>
        <v>0</v>
      </c>
      <c r="F38" s="168">
        <f t="shared" si="14"/>
        <v>4.704307873691427E-3</v>
      </c>
      <c r="G38" s="168">
        <f t="shared" si="14"/>
        <v>9.4086157473828539E-3</v>
      </c>
      <c r="H38" s="168">
        <f t="shared" si="14"/>
        <v>1.4112923621074282E-2</v>
      </c>
      <c r="I38" s="168">
        <f t="shared" si="14"/>
        <v>1.8817231494765708E-2</v>
      </c>
      <c r="J38" s="168">
        <f t="shared" si="14"/>
        <v>2.3521539368457134E-2</v>
      </c>
      <c r="K38" s="168">
        <f t="shared" si="14"/>
        <v>2.822584724214856E-2</v>
      </c>
      <c r="L38" s="168">
        <f t="shared" si="14"/>
        <v>3.2930155115839986E-2</v>
      </c>
      <c r="M38" s="168">
        <f t="shared" si="14"/>
        <v>3.7634462989531416E-2</v>
      </c>
      <c r="N38" s="168">
        <f t="shared" si="14"/>
        <v>4.2338770863222845E-2</v>
      </c>
      <c r="O38" s="168">
        <f t="shared" si="14"/>
        <v>4.7043078736914275E-2</v>
      </c>
      <c r="P38" s="168">
        <f t="shared" si="14"/>
        <v>5.1747386610605704E-2</v>
      </c>
      <c r="Q38" s="168">
        <f t="shared" si="14"/>
        <v>5.6451694484297134E-2</v>
      </c>
      <c r="R38" s="168">
        <f t="shared" si="14"/>
        <v>6.1156002357988563E-2</v>
      </c>
      <c r="S38" s="168">
        <f t="shared" si="14"/>
        <v>6.5860310231679986E-2</v>
      </c>
      <c r="T38" s="168">
        <f t="shared" si="14"/>
        <v>7.0564618105371416E-2</v>
      </c>
      <c r="U38" s="168">
        <f t="shared" si="14"/>
        <v>7.5268925979062845E-2</v>
      </c>
      <c r="V38" s="168">
        <f t="shared" si="14"/>
        <v>7.9973233852754275E-2</v>
      </c>
      <c r="W38" s="168">
        <f t="shared" si="14"/>
        <v>8.4677541726445704E-2</v>
      </c>
      <c r="X38" s="168">
        <f t="shared" si="14"/>
        <v>8.9381849600137134E-2</v>
      </c>
      <c r="Y38" s="168">
        <f t="shared" si="14"/>
        <v>9.4086157473828563E-2</v>
      </c>
      <c r="Z38" s="168">
        <f t="shared" si="14"/>
        <v>9.8790465347519993E-2</v>
      </c>
      <c r="AA38" s="168">
        <f t="shared" si="14"/>
        <v>0.10349477322121142</v>
      </c>
      <c r="AB38" s="168">
        <f t="shared" si="14"/>
        <v>0.10819908109490285</v>
      </c>
      <c r="AC38" s="168">
        <f t="shared" si="14"/>
        <v>0.11290338896859428</v>
      </c>
      <c r="AD38" s="168">
        <f t="shared" si="14"/>
        <v>0.11760769684228571</v>
      </c>
      <c r="AE38" s="168">
        <f t="shared" si="14"/>
        <v>0.12231200471597714</v>
      </c>
      <c r="AF38" s="168">
        <f t="shared" si="14"/>
        <v>0.12701631258966856</v>
      </c>
      <c r="AG38" s="168">
        <f t="shared" si="14"/>
        <v>0.13172062046335997</v>
      </c>
      <c r="AH38" s="168">
        <f t="shared" si="14"/>
        <v>0.13642492833705139</v>
      </c>
      <c r="AI38" s="168">
        <f>O5</f>
        <v>0.1411292362107428</v>
      </c>
    </row>
    <row r="39" spans="1:35" s="67" customFormat="1" x14ac:dyDescent="0.2">
      <c r="A39" s="307"/>
      <c r="B39" s="67" t="s">
        <v>309</v>
      </c>
      <c r="C39" s="67" t="s">
        <v>1748</v>
      </c>
      <c r="D39" t="s">
        <v>474</v>
      </c>
      <c r="E39" s="201">
        <f>F3</f>
        <v>1</v>
      </c>
      <c r="F39" s="201">
        <f t="shared" ref="F39:AH44" si="15">-($E39-$AI39)/30+E39</f>
        <v>0.96666666666666667</v>
      </c>
      <c r="G39" s="201">
        <f t="shared" si="15"/>
        <v>0.93333333333333335</v>
      </c>
      <c r="H39" s="201">
        <f t="shared" si="15"/>
        <v>0.9</v>
      </c>
      <c r="I39" s="201">
        <f t="shared" si="15"/>
        <v>0.8666666666666667</v>
      </c>
      <c r="J39" s="201">
        <f t="shared" si="15"/>
        <v>0.83333333333333337</v>
      </c>
      <c r="K39" s="201">
        <f t="shared" si="15"/>
        <v>0.8</v>
      </c>
      <c r="L39" s="201">
        <f t="shared" si="15"/>
        <v>0.76666666666666672</v>
      </c>
      <c r="M39" s="201">
        <f t="shared" si="15"/>
        <v>0.73333333333333339</v>
      </c>
      <c r="N39" s="201">
        <f t="shared" si="15"/>
        <v>0.70000000000000007</v>
      </c>
      <c r="O39" s="201">
        <f t="shared" si="15"/>
        <v>0.66666666666666674</v>
      </c>
      <c r="P39" s="201">
        <f t="shared" si="15"/>
        <v>0.63333333333333341</v>
      </c>
      <c r="Q39" s="201">
        <f t="shared" si="15"/>
        <v>0.60000000000000009</v>
      </c>
      <c r="R39" s="201">
        <f t="shared" si="15"/>
        <v>0.56666666666666676</v>
      </c>
      <c r="S39" s="201">
        <f t="shared" si="15"/>
        <v>0.53333333333333344</v>
      </c>
      <c r="T39" s="201">
        <f t="shared" si="15"/>
        <v>0.50000000000000011</v>
      </c>
      <c r="U39" s="201">
        <f t="shared" si="15"/>
        <v>0.46666666666666679</v>
      </c>
      <c r="V39" s="201">
        <f t="shared" si="15"/>
        <v>0.43333333333333346</v>
      </c>
      <c r="W39" s="201">
        <f t="shared" si="15"/>
        <v>0.40000000000000013</v>
      </c>
      <c r="X39" s="201">
        <f t="shared" si="15"/>
        <v>0.36666666666666681</v>
      </c>
      <c r="Y39" s="201">
        <f t="shared" si="15"/>
        <v>0.33333333333333348</v>
      </c>
      <c r="Z39" s="201">
        <f t="shared" si="15"/>
        <v>0.30000000000000016</v>
      </c>
      <c r="AA39" s="201">
        <f t="shared" si="15"/>
        <v>0.26666666666666683</v>
      </c>
      <c r="AB39" s="201">
        <f t="shared" si="15"/>
        <v>0.2333333333333335</v>
      </c>
      <c r="AC39" s="201">
        <f t="shared" si="15"/>
        <v>0.20000000000000018</v>
      </c>
      <c r="AD39" s="201">
        <f t="shared" si="15"/>
        <v>0.16666666666666685</v>
      </c>
      <c r="AE39" s="201">
        <f t="shared" si="15"/>
        <v>0.13333333333333353</v>
      </c>
      <c r="AF39" s="201">
        <f t="shared" si="15"/>
        <v>0.1000000000000002</v>
      </c>
      <c r="AG39" s="201">
        <f t="shared" si="15"/>
        <v>6.6666666666666874E-2</v>
      </c>
      <c r="AH39" s="201">
        <f t="shared" si="15"/>
        <v>3.3333333333333541E-2</v>
      </c>
      <c r="AI39" s="201">
        <f>P3</f>
        <v>0</v>
      </c>
    </row>
    <row r="40" spans="1:35" x14ac:dyDescent="0.2">
      <c r="A40" s="310"/>
      <c r="B40" t="s">
        <v>309</v>
      </c>
      <c r="C40" t="s">
        <v>1748</v>
      </c>
      <c r="D40" t="s">
        <v>745</v>
      </c>
      <c r="E40" s="168">
        <f>F4</f>
        <v>0</v>
      </c>
      <c r="F40" s="168">
        <f t="shared" si="15"/>
        <v>1.6666666666666666E-2</v>
      </c>
      <c r="G40" s="168">
        <f t="shared" si="15"/>
        <v>3.3333333333333333E-2</v>
      </c>
      <c r="H40" s="168">
        <f t="shared" si="15"/>
        <v>0.05</v>
      </c>
      <c r="I40" s="168">
        <f t="shared" si="15"/>
        <v>6.6666666666666666E-2</v>
      </c>
      <c r="J40" s="168">
        <f t="shared" si="15"/>
        <v>8.3333333333333329E-2</v>
      </c>
      <c r="K40" s="168">
        <f t="shared" si="15"/>
        <v>9.9999999999999992E-2</v>
      </c>
      <c r="L40" s="168">
        <f t="shared" si="15"/>
        <v>0.11666666666666665</v>
      </c>
      <c r="M40" s="168">
        <f t="shared" si="15"/>
        <v>0.13333333333333333</v>
      </c>
      <c r="N40" s="168">
        <f t="shared" si="15"/>
        <v>0.15</v>
      </c>
      <c r="O40" s="168">
        <f t="shared" si="15"/>
        <v>0.16666666666666666</v>
      </c>
      <c r="P40" s="168">
        <f t="shared" si="15"/>
        <v>0.18333333333333332</v>
      </c>
      <c r="Q40" s="168">
        <f t="shared" si="15"/>
        <v>0.19999999999999998</v>
      </c>
      <c r="R40" s="168">
        <f t="shared" si="15"/>
        <v>0.21666666666666665</v>
      </c>
      <c r="S40" s="168">
        <f t="shared" si="15"/>
        <v>0.23333333333333331</v>
      </c>
      <c r="T40" s="168">
        <f t="shared" si="15"/>
        <v>0.24999999999999997</v>
      </c>
      <c r="U40" s="168">
        <f t="shared" si="15"/>
        <v>0.26666666666666666</v>
      </c>
      <c r="V40" s="168">
        <f t="shared" si="15"/>
        <v>0.28333333333333333</v>
      </c>
      <c r="W40" s="168">
        <f t="shared" si="15"/>
        <v>0.3</v>
      </c>
      <c r="X40" s="168">
        <f t="shared" si="15"/>
        <v>0.31666666666666665</v>
      </c>
      <c r="Y40" s="168">
        <f t="shared" si="15"/>
        <v>0.33333333333333331</v>
      </c>
      <c r="Z40" s="168">
        <f t="shared" si="15"/>
        <v>0.35</v>
      </c>
      <c r="AA40" s="168">
        <f t="shared" si="15"/>
        <v>0.36666666666666664</v>
      </c>
      <c r="AB40" s="168">
        <f t="shared" si="15"/>
        <v>0.3833333333333333</v>
      </c>
      <c r="AC40" s="168">
        <f t="shared" si="15"/>
        <v>0.39999999999999997</v>
      </c>
      <c r="AD40" s="168">
        <f t="shared" si="15"/>
        <v>0.41666666666666663</v>
      </c>
      <c r="AE40" s="168">
        <f t="shared" si="15"/>
        <v>0.43333333333333329</v>
      </c>
      <c r="AF40" s="168">
        <f t="shared" si="15"/>
        <v>0.44999999999999996</v>
      </c>
      <c r="AG40" s="168">
        <f t="shared" si="15"/>
        <v>0.46666666666666662</v>
      </c>
      <c r="AH40" s="168">
        <f t="shared" si="15"/>
        <v>0.48333333333333328</v>
      </c>
      <c r="AI40" s="168">
        <f>P4</f>
        <v>0.5</v>
      </c>
    </row>
    <row r="41" spans="1:35" x14ac:dyDescent="0.2">
      <c r="A41" s="310"/>
      <c r="B41" t="s">
        <v>309</v>
      </c>
      <c r="C41" t="s">
        <v>1748</v>
      </c>
      <c r="D41" t="s">
        <v>248</v>
      </c>
      <c r="E41" s="168">
        <f>F5</f>
        <v>0</v>
      </c>
      <c r="F41" s="168">
        <f t="shared" si="15"/>
        <v>1.6666666666666666E-2</v>
      </c>
      <c r="G41" s="168">
        <f t="shared" si="15"/>
        <v>3.3333333333333333E-2</v>
      </c>
      <c r="H41" s="168">
        <f t="shared" si="15"/>
        <v>0.05</v>
      </c>
      <c r="I41" s="168">
        <f t="shared" si="15"/>
        <v>6.6666666666666666E-2</v>
      </c>
      <c r="J41" s="168">
        <f t="shared" si="15"/>
        <v>8.3333333333333329E-2</v>
      </c>
      <c r="K41" s="168">
        <f t="shared" si="15"/>
        <v>9.9999999999999992E-2</v>
      </c>
      <c r="L41" s="168">
        <f t="shared" si="15"/>
        <v>0.11666666666666665</v>
      </c>
      <c r="M41" s="168">
        <f t="shared" si="15"/>
        <v>0.13333333333333333</v>
      </c>
      <c r="N41" s="168">
        <f t="shared" si="15"/>
        <v>0.15</v>
      </c>
      <c r="O41" s="168">
        <f t="shared" si="15"/>
        <v>0.16666666666666666</v>
      </c>
      <c r="P41" s="168">
        <f t="shared" si="15"/>
        <v>0.18333333333333332</v>
      </c>
      <c r="Q41" s="168">
        <f t="shared" si="15"/>
        <v>0.19999999999999998</v>
      </c>
      <c r="R41" s="168">
        <f t="shared" si="15"/>
        <v>0.21666666666666665</v>
      </c>
      <c r="S41" s="168">
        <f t="shared" si="15"/>
        <v>0.23333333333333331</v>
      </c>
      <c r="T41" s="168">
        <f t="shared" si="15"/>
        <v>0.24999999999999997</v>
      </c>
      <c r="U41" s="168">
        <f t="shared" si="15"/>
        <v>0.26666666666666666</v>
      </c>
      <c r="V41" s="168">
        <f t="shared" si="15"/>
        <v>0.28333333333333333</v>
      </c>
      <c r="W41" s="168">
        <f t="shared" si="15"/>
        <v>0.3</v>
      </c>
      <c r="X41" s="168">
        <f t="shared" si="15"/>
        <v>0.31666666666666665</v>
      </c>
      <c r="Y41" s="168">
        <f t="shared" si="15"/>
        <v>0.33333333333333331</v>
      </c>
      <c r="Z41" s="168">
        <f t="shared" si="15"/>
        <v>0.35</v>
      </c>
      <c r="AA41" s="168">
        <f t="shared" si="15"/>
        <v>0.36666666666666664</v>
      </c>
      <c r="AB41" s="168">
        <f t="shared" si="15"/>
        <v>0.3833333333333333</v>
      </c>
      <c r="AC41" s="168">
        <f t="shared" si="15"/>
        <v>0.39999999999999997</v>
      </c>
      <c r="AD41" s="168">
        <f t="shared" si="15"/>
        <v>0.41666666666666663</v>
      </c>
      <c r="AE41" s="168">
        <f t="shared" si="15"/>
        <v>0.43333333333333329</v>
      </c>
      <c r="AF41" s="168">
        <f t="shared" si="15"/>
        <v>0.44999999999999996</v>
      </c>
      <c r="AG41" s="168">
        <f t="shared" si="15"/>
        <v>0.46666666666666662</v>
      </c>
      <c r="AH41" s="168">
        <f t="shared" si="15"/>
        <v>0.48333333333333328</v>
      </c>
      <c r="AI41" s="168">
        <f>P5</f>
        <v>0.5</v>
      </c>
    </row>
    <row r="42" spans="1:35" s="67" customFormat="1" x14ac:dyDescent="0.2">
      <c r="A42" s="307"/>
      <c r="B42" s="67" t="s">
        <v>309</v>
      </c>
      <c r="C42" s="67" t="s">
        <v>1749</v>
      </c>
      <c r="D42" t="s">
        <v>474</v>
      </c>
      <c r="E42" s="201">
        <f>G3</f>
        <v>1</v>
      </c>
      <c r="F42" s="201">
        <f t="shared" si="15"/>
        <v>0.96666666666666667</v>
      </c>
      <c r="G42" s="201">
        <f t="shared" si="15"/>
        <v>0.93333333333333335</v>
      </c>
      <c r="H42" s="201">
        <f t="shared" si="15"/>
        <v>0.9</v>
      </c>
      <c r="I42" s="201">
        <f t="shared" si="15"/>
        <v>0.8666666666666667</v>
      </c>
      <c r="J42" s="201">
        <f t="shared" si="15"/>
        <v>0.83333333333333337</v>
      </c>
      <c r="K42" s="201">
        <f t="shared" si="15"/>
        <v>0.8</v>
      </c>
      <c r="L42" s="201">
        <f t="shared" si="15"/>
        <v>0.76666666666666672</v>
      </c>
      <c r="M42" s="201">
        <f t="shared" si="15"/>
        <v>0.73333333333333339</v>
      </c>
      <c r="N42" s="201">
        <f t="shared" si="15"/>
        <v>0.70000000000000007</v>
      </c>
      <c r="O42" s="201">
        <f t="shared" si="15"/>
        <v>0.66666666666666674</v>
      </c>
      <c r="P42" s="201">
        <f t="shared" si="15"/>
        <v>0.63333333333333341</v>
      </c>
      <c r="Q42" s="201">
        <f t="shared" si="15"/>
        <v>0.60000000000000009</v>
      </c>
      <c r="R42" s="201">
        <f t="shared" si="15"/>
        <v>0.56666666666666676</v>
      </c>
      <c r="S42" s="201">
        <f t="shared" si="15"/>
        <v>0.53333333333333344</v>
      </c>
      <c r="T42" s="201">
        <f t="shared" si="15"/>
        <v>0.50000000000000011</v>
      </c>
      <c r="U42" s="201">
        <f t="shared" si="15"/>
        <v>0.46666666666666679</v>
      </c>
      <c r="V42" s="201">
        <f t="shared" si="15"/>
        <v>0.43333333333333346</v>
      </c>
      <c r="W42" s="201">
        <f t="shared" si="15"/>
        <v>0.40000000000000013</v>
      </c>
      <c r="X42" s="201">
        <f t="shared" si="15"/>
        <v>0.36666666666666681</v>
      </c>
      <c r="Y42" s="201">
        <f t="shared" si="15"/>
        <v>0.33333333333333348</v>
      </c>
      <c r="Z42" s="201">
        <f t="shared" si="15"/>
        <v>0.30000000000000016</v>
      </c>
      <c r="AA42" s="201">
        <f t="shared" si="15"/>
        <v>0.26666666666666683</v>
      </c>
      <c r="AB42" s="201">
        <f t="shared" si="15"/>
        <v>0.2333333333333335</v>
      </c>
      <c r="AC42" s="201">
        <f t="shared" si="15"/>
        <v>0.20000000000000018</v>
      </c>
      <c r="AD42" s="201">
        <f t="shared" si="15"/>
        <v>0.16666666666666685</v>
      </c>
      <c r="AE42" s="201">
        <f t="shared" si="15"/>
        <v>0.13333333333333353</v>
      </c>
      <c r="AF42" s="201">
        <f t="shared" si="15"/>
        <v>0.1000000000000002</v>
      </c>
      <c r="AG42" s="201">
        <f t="shared" si="15"/>
        <v>6.6666666666666874E-2</v>
      </c>
      <c r="AH42" s="201">
        <f t="shared" si="15"/>
        <v>3.3333333333333541E-2</v>
      </c>
      <c r="AI42" s="201">
        <f>Q3</f>
        <v>0</v>
      </c>
    </row>
    <row r="43" spans="1:35" x14ac:dyDescent="0.2">
      <c r="A43" s="310"/>
      <c r="B43" t="s">
        <v>309</v>
      </c>
      <c r="C43" t="s">
        <v>1749</v>
      </c>
      <c r="D43" t="s">
        <v>745</v>
      </c>
      <c r="E43" s="168">
        <f>G4</f>
        <v>0</v>
      </c>
      <c r="F43" s="168">
        <f t="shared" si="15"/>
        <v>1.6666666666666666E-2</v>
      </c>
      <c r="G43" s="168">
        <f t="shared" si="15"/>
        <v>3.3333333333333333E-2</v>
      </c>
      <c r="H43" s="168">
        <f t="shared" si="15"/>
        <v>0.05</v>
      </c>
      <c r="I43" s="168">
        <f t="shared" si="15"/>
        <v>6.6666666666666666E-2</v>
      </c>
      <c r="J43" s="168">
        <f t="shared" si="15"/>
        <v>8.3333333333333329E-2</v>
      </c>
      <c r="K43" s="168">
        <f t="shared" si="15"/>
        <v>9.9999999999999992E-2</v>
      </c>
      <c r="L43" s="168">
        <f t="shared" si="15"/>
        <v>0.11666666666666665</v>
      </c>
      <c r="M43" s="168">
        <f t="shared" si="15"/>
        <v>0.13333333333333333</v>
      </c>
      <c r="N43" s="168">
        <f t="shared" si="15"/>
        <v>0.15</v>
      </c>
      <c r="O43" s="168">
        <f t="shared" si="15"/>
        <v>0.16666666666666666</v>
      </c>
      <c r="P43" s="168">
        <f t="shared" si="15"/>
        <v>0.18333333333333332</v>
      </c>
      <c r="Q43" s="168">
        <f t="shared" si="15"/>
        <v>0.19999999999999998</v>
      </c>
      <c r="R43" s="168">
        <f t="shared" si="15"/>
        <v>0.21666666666666665</v>
      </c>
      <c r="S43" s="168">
        <f t="shared" si="15"/>
        <v>0.23333333333333331</v>
      </c>
      <c r="T43" s="168">
        <f t="shared" si="15"/>
        <v>0.24999999999999997</v>
      </c>
      <c r="U43" s="168">
        <f t="shared" si="15"/>
        <v>0.26666666666666666</v>
      </c>
      <c r="V43" s="168">
        <f t="shared" si="15"/>
        <v>0.28333333333333333</v>
      </c>
      <c r="W43" s="168">
        <f t="shared" si="15"/>
        <v>0.3</v>
      </c>
      <c r="X43" s="168">
        <f t="shared" si="15"/>
        <v>0.31666666666666665</v>
      </c>
      <c r="Y43" s="168">
        <f t="shared" si="15"/>
        <v>0.33333333333333331</v>
      </c>
      <c r="Z43" s="168">
        <f t="shared" si="15"/>
        <v>0.35</v>
      </c>
      <c r="AA43" s="168">
        <f t="shared" si="15"/>
        <v>0.36666666666666664</v>
      </c>
      <c r="AB43" s="168">
        <f t="shared" si="15"/>
        <v>0.3833333333333333</v>
      </c>
      <c r="AC43" s="168">
        <f t="shared" si="15"/>
        <v>0.39999999999999997</v>
      </c>
      <c r="AD43" s="168">
        <f t="shared" si="15"/>
        <v>0.41666666666666663</v>
      </c>
      <c r="AE43" s="168">
        <f t="shared" si="15"/>
        <v>0.43333333333333329</v>
      </c>
      <c r="AF43" s="168">
        <f t="shared" si="15"/>
        <v>0.44999999999999996</v>
      </c>
      <c r="AG43" s="168">
        <f t="shared" si="15"/>
        <v>0.46666666666666662</v>
      </c>
      <c r="AH43" s="168">
        <f t="shared" si="15"/>
        <v>0.48333333333333328</v>
      </c>
      <c r="AI43" s="168">
        <f>Q4</f>
        <v>0.5</v>
      </c>
    </row>
    <row r="44" spans="1:35" x14ac:dyDescent="0.2">
      <c r="A44" s="310"/>
      <c r="B44" t="s">
        <v>309</v>
      </c>
      <c r="C44" t="s">
        <v>1749</v>
      </c>
      <c r="D44" t="s">
        <v>248</v>
      </c>
      <c r="E44" s="168">
        <f>G5</f>
        <v>0</v>
      </c>
      <c r="F44" s="168">
        <f t="shared" si="15"/>
        <v>1.6666666666666666E-2</v>
      </c>
      <c r="G44" s="168">
        <f t="shared" si="15"/>
        <v>3.3333333333333333E-2</v>
      </c>
      <c r="H44" s="168">
        <f t="shared" si="15"/>
        <v>0.05</v>
      </c>
      <c r="I44" s="168">
        <f t="shared" si="15"/>
        <v>6.6666666666666666E-2</v>
      </c>
      <c r="J44" s="168">
        <f t="shared" si="15"/>
        <v>8.3333333333333329E-2</v>
      </c>
      <c r="K44" s="168">
        <f t="shared" si="15"/>
        <v>9.9999999999999992E-2</v>
      </c>
      <c r="L44" s="168">
        <f t="shared" si="15"/>
        <v>0.11666666666666665</v>
      </c>
      <c r="M44" s="168">
        <f t="shared" si="15"/>
        <v>0.13333333333333333</v>
      </c>
      <c r="N44" s="168">
        <f t="shared" si="15"/>
        <v>0.15</v>
      </c>
      <c r="O44" s="168">
        <f t="shared" si="15"/>
        <v>0.16666666666666666</v>
      </c>
      <c r="P44" s="168">
        <f t="shared" si="15"/>
        <v>0.18333333333333332</v>
      </c>
      <c r="Q44" s="168">
        <f t="shared" si="15"/>
        <v>0.19999999999999998</v>
      </c>
      <c r="R44" s="168">
        <f t="shared" si="15"/>
        <v>0.21666666666666665</v>
      </c>
      <c r="S44" s="168">
        <f t="shared" si="15"/>
        <v>0.23333333333333331</v>
      </c>
      <c r="T44" s="168">
        <f t="shared" si="15"/>
        <v>0.24999999999999997</v>
      </c>
      <c r="U44" s="168">
        <f t="shared" si="15"/>
        <v>0.26666666666666666</v>
      </c>
      <c r="V44" s="168">
        <f t="shared" si="15"/>
        <v>0.28333333333333333</v>
      </c>
      <c r="W44" s="168">
        <f t="shared" si="15"/>
        <v>0.3</v>
      </c>
      <c r="X44" s="168">
        <f t="shared" si="15"/>
        <v>0.31666666666666665</v>
      </c>
      <c r="Y44" s="168">
        <f t="shared" si="15"/>
        <v>0.33333333333333331</v>
      </c>
      <c r="Z44" s="168">
        <f t="shared" si="15"/>
        <v>0.35</v>
      </c>
      <c r="AA44" s="168">
        <f t="shared" si="15"/>
        <v>0.36666666666666664</v>
      </c>
      <c r="AB44" s="168">
        <f t="shared" si="15"/>
        <v>0.3833333333333333</v>
      </c>
      <c r="AC44" s="168">
        <f t="shared" si="15"/>
        <v>0.39999999999999997</v>
      </c>
      <c r="AD44" s="168">
        <f t="shared" si="15"/>
        <v>0.41666666666666663</v>
      </c>
      <c r="AE44" s="168">
        <f t="shared" si="15"/>
        <v>0.43333333333333329</v>
      </c>
      <c r="AF44" s="168">
        <f t="shared" si="15"/>
        <v>0.44999999999999996</v>
      </c>
      <c r="AG44" s="168">
        <f t="shared" si="15"/>
        <v>0.46666666666666662</v>
      </c>
      <c r="AH44" s="168">
        <f t="shared" si="15"/>
        <v>0.48333333333333328</v>
      </c>
      <c r="AI44" s="168">
        <f>Q5</f>
        <v>0.5</v>
      </c>
    </row>
    <row r="45" spans="1:35" s="67" customFormat="1" x14ac:dyDescent="0.2">
      <c r="A45" s="307"/>
      <c r="B45" s="67" t="s">
        <v>309</v>
      </c>
      <c r="C45" s="67" t="s">
        <v>1750</v>
      </c>
      <c r="D45" t="s">
        <v>474</v>
      </c>
      <c r="E45" s="201">
        <f>H3</f>
        <v>1</v>
      </c>
      <c r="F45" s="201">
        <f t="shared" ref="F45:AH50" si="16">-($E45-$AI45)/30+E45</f>
        <v>0.98846747683804759</v>
      </c>
      <c r="G45" s="201">
        <f t="shared" si="16"/>
        <v>0.97693495367609517</v>
      </c>
      <c r="H45" s="201">
        <f t="shared" si="16"/>
        <v>0.96540243051414276</v>
      </c>
      <c r="I45" s="201">
        <f t="shared" si="16"/>
        <v>0.95386990735219035</v>
      </c>
      <c r="J45" s="201">
        <f t="shared" si="16"/>
        <v>0.94233738419023794</v>
      </c>
      <c r="K45" s="201">
        <f t="shared" si="16"/>
        <v>0.93080486102828552</v>
      </c>
      <c r="L45" s="201">
        <f t="shared" si="16"/>
        <v>0.91927233786633311</v>
      </c>
      <c r="M45" s="201">
        <f t="shared" si="16"/>
        <v>0.9077398147043807</v>
      </c>
      <c r="N45" s="201">
        <f t="shared" si="16"/>
        <v>0.89620729154242829</v>
      </c>
      <c r="O45" s="201">
        <f t="shared" si="16"/>
        <v>0.88467476838047587</v>
      </c>
      <c r="P45" s="201">
        <f t="shared" si="16"/>
        <v>0.87314224521852346</v>
      </c>
      <c r="Q45" s="201">
        <f t="shared" si="16"/>
        <v>0.86160972205657105</v>
      </c>
      <c r="R45" s="201">
        <f t="shared" si="16"/>
        <v>0.85007719889461864</v>
      </c>
      <c r="S45" s="201">
        <f t="shared" si="16"/>
        <v>0.83854467573266622</v>
      </c>
      <c r="T45" s="201">
        <f t="shared" si="16"/>
        <v>0.82701215257071381</v>
      </c>
      <c r="U45" s="201">
        <f t="shared" si="16"/>
        <v>0.8154796294087614</v>
      </c>
      <c r="V45" s="201">
        <f t="shared" si="16"/>
        <v>0.80394710624680898</v>
      </c>
      <c r="W45" s="201">
        <f t="shared" si="16"/>
        <v>0.79241458308485657</v>
      </c>
      <c r="X45" s="201">
        <f t="shared" si="16"/>
        <v>0.78088205992290416</v>
      </c>
      <c r="Y45" s="201">
        <f t="shared" si="16"/>
        <v>0.76934953676095175</v>
      </c>
      <c r="Z45" s="201">
        <f t="shared" si="16"/>
        <v>0.75781701359899933</v>
      </c>
      <c r="AA45" s="201">
        <f t="shared" si="16"/>
        <v>0.74628449043704692</v>
      </c>
      <c r="AB45" s="201">
        <f t="shared" si="16"/>
        <v>0.73475196727509451</v>
      </c>
      <c r="AC45" s="201">
        <f t="shared" si="16"/>
        <v>0.7232194441131421</v>
      </c>
      <c r="AD45" s="201">
        <f t="shared" si="16"/>
        <v>0.71168692095118968</v>
      </c>
      <c r="AE45" s="201">
        <f t="shared" si="16"/>
        <v>0.70015439778923727</v>
      </c>
      <c r="AF45" s="201">
        <f t="shared" si="16"/>
        <v>0.68862187462728486</v>
      </c>
      <c r="AG45" s="201">
        <f t="shared" si="16"/>
        <v>0.67708935146533245</v>
      </c>
      <c r="AH45" s="201">
        <f t="shared" si="16"/>
        <v>0.66555682830338003</v>
      </c>
      <c r="AI45" s="201">
        <f>R3</f>
        <v>0.65402430514142706</v>
      </c>
    </row>
    <row r="46" spans="1:35" x14ac:dyDescent="0.2">
      <c r="A46" s="310"/>
      <c r="B46" t="s">
        <v>309</v>
      </c>
      <c r="C46" t="s">
        <v>1750</v>
      </c>
      <c r="D46" t="s">
        <v>745</v>
      </c>
      <c r="E46" s="168">
        <f>H4</f>
        <v>0</v>
      </c>
      <c r="F46" s="168">
        <f t="shared" si="16"/>
        <v>6.8282152882609996E-3</v>
      </c>
      <c r="G46" s="168">
        <f t="shared" si="16"/>
        <v>1.3656430576521999E-2</v>
      </c>
      <c r="H46" s="168">
        <f t="shared" si="16"/>
        <v>2.0484645864782998E-2</v>
      </c>
      <c r="I46" s="168">
        <f t="shared" si="16"/>
        <v>2.7312861153043998E-2</v>
      </c>
      <c r="J46" s="168">
        <f t="shared" si="16"/>
        <v>3.4141076441304999E-2</v>
      </c>
      <c r="K46" s="168">
        <f t="shared" si="16"/>
        <v>4.0969291729565996E-2</v>
      </c>
      <c r="L46" s="168">
        <f t="shared" si="16"/>
        <v>4.7797507017826993E-2</v>
      </c>
      <c r="M46" s="168">
        <f t="shared" si="16"/>
        <v>5.462572230608799E-2</v>
      </c>
      <c r="N46" s="168">
        <f t="shared" si="16"/>
        <v>6.1453937594348987E-2</v>
      </c>
      <c r="O46" s="168">
        <f t="shared" si="16"/>
        <v>6.8282152882609984E-2</v>
      </c>
      <c r="P46" s="168">
        <f t="shared" si="16"/>
        <v>7.5110368170870981E-2</v>
      </c>
      <c r="Q46" s="168">
        <f t="shared" si="16"/>
        <v>8.1938583459131978E-2</v>
      </c>
      <c r="R46" s="168">
        <f t="shared" si="16"/>
        <v>8.8766798747392975E-2</v>
      </c>
      <c r="S46" s="168">
        <f t="shared" si="16"/>
        <v>9.5595014035653972E-2</v>
      </c>
      <c r="T46" s="168">
        <f t="shared" si="16"/>
        <v>0.10242322932391497</v>
      </c>
      <c r="U46" s="168">
        <f t="shared" si="16"/>
        <v>0.10925144461217597</v>
      </c>
      <c r="V46" s="168">
        <f t="shared" si="16"/>
        <v>0.11607965990043696</v>
      </c>
      <c r="W46" s="168">
        <f t="shared" si="16"/>
        <v>0.12290787518869796</v>
      </c>
      <c r="X46" s="168">
        <f t="shared" si="16"/>
        <v>0.12973609047695897</v>
      </c>
      <c r="Y46" s="168">
        <f t="shared" si="16"/>
        <v>0.13656430576521997</v>
      </c>
      <c r="Z46" s="168">
        <f t="shared" si="16"/>
        <v>0.14339252105348096</v>
      </c>
      <c r="AA46" s="168">
        <f t="shared" si="16"/>
        <v>0.15022073634174196</v>
      </c>
      <c r="AB46" s="168">
        <f t="shared" si="16"/>
        <v>0.15704895163000296</v>
      </c>
      <c r="AC46" s="168">
        <f t="shared" si="16"/>
        <v>0.16387716691826396</v>
      </c>
      <c r="AD46" s="168">
        <f t="shared" si="16"/>
        <v>0.17070538220652495</v>
      </c>
      <c r="AE46" s="168">
        <f t="shared" si="16"/>
        <v>0.17753359749478595</v>
      </c>
      <c r="AF46" s="168">
        <f t="shared" si="16"/>
        <v>0.18436181278304695</v>
      </c>
      <c r="AG46" s="168">
        <f t="shared" si="16"/>
        <v>0.19119002807130794</v>
      </c>
      <c r="AH46" s="168">
        <f t="shared" si="16"/>
        <v>0.19801824335956894</v>
      </c>
      <c r="AI46" s="168">
        <f>R4</f>
        <v>0.20484645864782999</v>
      </c>
    </row>
    <row r="47" spans="1:35" x14ac:dyDescent="0.2">
      <c r="A47" s="310"/>
      <c r="B47" t="s">
        <v>309</v>
      </c>
      <c r="C47" t="s">
        <v>1750</v>
      </c>
      <c r="D47" t="s">
        <v>248</v>
      </c>
      <c r="E47" s="168">
        <f>H5</f>
        <v>0</v>
      </c>
      <c r="F47" s="168">
        <f t="shared" si="16"/>
        <v>4.704307873691427E-3</v>
      </c>
      <c r="G47" s="168">
        <f t="shared" si="16"/>
        <v>9.4086157473828539E-3</v>
      </c>
      <c r="H47" s="168">
        <f t="shared" si="16"/>
        <v>1.4112923621074282E-2</v>
      </c>
      <c r="I47" s="168">
        <f t="shared" si="16"/>
        <v>1.8817231494765708E-2</v>
      </c>
      <c r="J47" s="168">
        <f t="shared" si="16"/>
        <v>2.3521539368457134E-2</v>
      </c>
      <c r="K47" s="168">
        <f t="shared" si="16"/>
        <v>2.822584724214856E-2</v>
      </c>
      <c r="L47" s="168">
        <f t="shared" si="16"/>
        <v>3.2930155115839986E-2</v>
      </c>
      <c r="M47" s="168">
        <f t="shared" si="16"/>
        <v>3.7634462989531416E-2</v>
      </c>
      <c r="N47" s="168">
        <f t="shared" si="16"/>
        <v>4.2338770863222845E-2</v>
      </c>
      <c r="O47" s="168">
        <f t="shared" si="16"/>
        <v>4.7043078736914275E-2</v>
      </c>
      <c r="P47" s="168">
        <f t="shared" si="16"/>
        <v>5.1747386610605704E-2</v>
      </c>
      <c r="Q47" s="168">
        <f t="shared" si="16"/>
        <v>5.6451694484297134E-2</v>
      </c>
      <c r="R47" s="168">
        <f t="shared" si="16"/>
        <v>6.1156002357988563E-2</v>
      </c>
      <c r="S47" s="168">
        <f t="shared" si="16"/>
        <v>6.5860310231679986E-2</v>
      </c>
      <c r="T47" s="168">
        <f t="shared" si="16"/>
        <v>7.0564618105371416E-2</v>
      </c>
      <c r="U47" s="168">
        <f t="shared" si="16"/>
        <v>7.5268925979062845E-2</v>
      </c>
      <c r="V47" s="168">
        <f t="shared" si="16"/>
        <v>7.9973233852754275E-2</v>
      </c>
      <c r="W47" s="168">
        <f t="shared" si="16"/>
        <v>8.4677541726445704E-2</v>
      </c>
      <c r="X47" s="168">
        <f t="shared" si="16"/>
        <v>8.9381849600137134E-2</v>
      </c>
      <c r="Y47" s="168">
        <f t="shared" si="16"/>
        <v>9.4086157473828563E-2</v>
      </c>
      <c r="Z47" s="168">
        <f t="shared" si="16"/>
        <v>9.8790465347519993E-2</v>
      </c>
      <c r="AA47" s="168">
        <f t="shared" si="16"/>
        <v>0.10349477322121142</v>
      </c>
      <c r="AB47" s="168">
        <f t="shared" si="16"/>
        <v>0.10819908109490285</v>
      </c>
      <c r="AC47" s="168">
        <f t="shared" si="16"/>
        <v>0.11290338896859428</v>
      </c>
      <c r="AD47" s="168">
        <f t="shared" si="16"/>
        <v>0.11760769684228571</v>
      </c>
      <c r="AE47" s="168">
        <f t="shared" si="16"/>
        <v>0.12231200471597714</v>
      </c>
      <c r="AF47" s="168">
        <f t="shared" si="16"/>
        <v>0.12701631258966856</v>
      </c>
      <c r="AG47" s="168">
        <f t="shared" si="16"/>
        <v>0.13172062046335997</v>
      </c>
      <c r="AH47" s="168">
        <f t="shared" si="16"/>
        <v>0.13642492833705139</v>
      </c>
      <c r="AI47" s="168">
        <f>R5</f>
        <v>0.1411292362107428</v>
      </c>
    </row>
    <row r="48" spans="1:35" s="67" customFormat="1" x14ac:dyDescent="0.2">
      <c r="A48" s="307"/>
      <c r="B48" s="67" t="s">
        <v>370</v>
      </c>
      <c r="C48" s="67" t="s">
        <v>1746</v>
      </c>
      <c r="D48" s="67" t="s">
        <v>474</v>
      </c>
      <c r="E48" s="201">
        <f>D9</f>
        <v>0</v>
      </c>
      <c r="F48" s="201">
        <f t="shared" si="16"/>
        <v>0</v>
      </c>
      <c r="G48" s="201">
        <f t="shared" si="16"/>
        <v>0</v>
      </c>
      <c r="H48" s="201">
        <f t="shared" si="16"/>
        <v>0</v>
      </c>
      <c r="I48" s="201">
        <f t="shared" si="16"/>
        <v>0</v>
      </c>
      <c r="J48" s="201">
        <f t="shared" si="16"/>
        <v>0</v>
      </c>
      <c r="K48" s="201">
        <f t="shared" si="16"/>
        <v>0</v>
      </c>
      <c r="L48" s="201">
        <f t="shared" si="16"/>
        <v>0</v>
      </c>
      <c r="M48" s="201">
        <f t="shared" si="16"/>
        <v>0</v>
      </c>
      <c r="N48" s="201">
        <f t="shared" si="16"/>
        <v>0</v>
      </c>
      <c r="O48" s="201">
        <f t="shared" si="16"/>
        <v>0</v>
      </c>
      <c r="P48" s="201">
        <f t="shared" si="16"/>
        <v>0</v>
      </c>
      <c r="Q48" s="201">
        <f t="shared" si="16"/>
        <v>0</v>
      </c>
      <c r="R48" s="201">
        <f t="shared" si="16"/>
        <v>0</v>
      </c>
      <c r="S48" s="201">
        <f t="shared" si="16"/>
        <v>0</v>
      </c>
      <c r="T48" s="201">
        <f t="shared" si="16"/>
        <v>0</v>
      </c>
      <c r="U48" s="201">
        <f t="shared" si="16"/>
        <v>0</v>
      </c>
      <c r="V48" s="201">
        <f t="shared" si="16"/>
        <v>0</v>
      </c>
      <c r="W48" s="201">
        <f t="shared" si="16"/>
        <v>0</v>
      </c>
      <c r="X48" s="201">
        <f t="shared" si="16"/>
        <v>0</v>
      </c>
      <c r="Y48" s="201">
        <f t="shared" si="16"/>
        <v>0</v>
      </c>
      <c r="Z48" s="201">
        <f t="shared" si="16"/>
        <v>0</v>
      </c>
      <c r="AA48" s="201">
        <f t="shared" si="16"/>
        <v>0</v>
      </c>
      <c r="AB48" s="201">
        <f t="shared" si="16"/>
        <v>0</v>
      </c>
      <c r="AC48" s="201">
        <f t="shared" si="16"/>
        <v>0</v>
      </c>
      <c r="AD48" s="201">
        <f t="shared" si="16"/>
        <v>0</v>
      </c>
      <c r="AE48" s="201">
        <f t="shared" si="16"/>
        <v>0</v>
      </c>
      <c r="AF48" s="201">
        <f t="shared" si="16"/>
        <v>0</v>
      </c>
      <c r="AG48" s="201">
        <f t="shared" si="16"/>
        <v>0</v>
      </c>
      <c r="AH48" s="201">
        <f t="shared" si="16"/>
        <v>0</v>
      </c>
      <c r="AI48" s="201">
        <f>N9</f>
        <v>0</v>
      </c>
    </row>
    <row r="49" spans="1:35" x14ac:dyDescent="0.2">
      <c r="A49" s="310"/>
      <c r="B49" t="s">
        <v>370</v>
      </c>
      <c r="D49" t="s">
        <v>745</v>
      </c>
      <c r="E49" s="168">
        <f>D10</f>
        <v>0</v>
      </c>
      <c r="F49" s="168">
        <f t="shared" si="16"/>
        <v>3.8856993167281531E-3</v>
      </c>
      <c r="G49" s="168">
        <f t="shared" si="16"/>
        <v>7.7713986334563062E-3</v>
      </c>
      <c r="H49" s="168">
        <f t="shared" si="16"/>
        <v>1.1657097950184459E-2</v>
      </c>
      <c r="I49" s="168">
        <f t="shared" si="16"/>
        <v>1.5542797266912612E-2</v>
      </c>
      <c r="J49" s="168">
        <f t="shared" si="16"/>
        <v>1.9428496583640764E-2</v>
      </c>
      <c r="K49" s="168">
        <f t="shared" si="16"/>
        <v>2.3314195900368918E-2</v>
      </c>
      <c r="L49" s="168">
        <f t="shared" si="16"/>
        <v>2.7199895217097071E-2</v>
      </c>
      <c r="M49" s="168">
        <f t="shared" si="16"/>
        <v>3.1085594533825225E-2</v>
      </c>
      <c r="N49" s="168">
        <f t="shared" si="16"/>
        <v>3.4971293850553378E-2</v>
      </c>
      <c r="O49" s="168">
        <f t="shared" si="16"/>
        <v>3.8856993167281528E-2</v>
      </c>
      <c r="P49" s="168">
        <f t="shared" si="16"/>
        <v>4.2742692484009678E-2</v>
      </c>
      <c r="Q49" s="168">
        <f t="shared" si="16"/>
        <v>4.6628391800737828E-2</v>
      </c>
      <c r="R49" s="168">
        <f t="shared" si="16"/>
        <v>5.0514091117465978E-2</v>
      </c>
      <c r="S49" s="168">
        <f t="shared" si="16"/>
        <v>5.4399790434194129E-2</v>
      </c>
      <c r="T49" s="168">
        <f t="shared" si="16"/>
        <v>5.8285489750922279E-2</v>
      </c>
      <c r="U49" s="168">
        <f t="shared" si="16"/>
        <v>6.2171189067650429E-2</v>
      </c>
      <c r="V49" s="168">
        <f t="shared" si="16"/>
        <v>6.6056888384378579E-2</v>
      </c>
      <c r="W49" s="168">
        <f t="shared" si="16"/>
        <v>6.9942587701106729E-2</v>
      </c>
      <c r="X49" s="168">
        <f t="shared" si="16"/>
        <v>7.3828287017834879E-2</v>
      </c>
      <c r="Y49" s="168">
        <f t="shared" si="16"/>
        <v>7.7713986334563029E-2</v>
      </c>
      <c r="Z49" s="168">
        <f t="shared" si="16"/>
        <v>8.1599685651291179E-2</v>
      </c>
      <c r="AA49" s="168">
        <f t="shared" si="16"/>
        <v>8.5485384968019329E-2</v>
      </c>
      <c r="AB49" s="168">
        <f t="shared" si="16"/>
        <v>8.9371084284747479E-2</v>
      </c>
      <c r="AC49" s="168">
        <f t="shared" si="16"/>
        <v>9.3256783601475629E-2</v>
      </c>
      <c r="AD49" s="168">
        <f t="shared" si="16"/>
        <v>9.7142482918203779E-2</v>
      </c>
      <c r="AE49" s="168">
        <f t="shared" si="16"/>
        <v>0.10102818223493193</v>
      </c>
      <c r="AF49" s="168">
        <f t="shared" si="16"/>
        <v>0.10491388155166008</v>
      </c>
      <c r="AG49" s="168">
        <f t="shared" si="16"/>
        <v>0.10879958086838823</v>
      </c>
      <c r="AH49" s="168">
        <f t="shared" si="16"/>
        <v>0.11268528018511638</v>
      </c>
      <c r="AI49" s="168">
        <f>N10</f>
        <v>0.1165709795018446</v>
      </c>
    </row>
    <row r="50" spans="1:35" s="68" customFormat="1" x14ac:dyDescent="0.2">
      <c r="A50" s="311"/>
      <c r="B50" s="68" t="s">
        <v>370</v>
      </c>
      <c r="D50" s="68" t="s">
        <v>248</v>
      </c>
      <c r="E50" s="421">
        <f>D11</f>
        <v>1</v>
      </c>
      <c r="F50" s="421">
        <f t="shared" si="16"/>
        <v>0.99611430068327189</v>
      </c>
      <c r="G50" s="421">
        <f t="shared" si="16"/>
        <v>0.99222860136654378</v>
      </c>
      <c r="H50" s="421">
        <f t="shared" si="16"/>
        <v>0.98834290204981567</v>
      </c>
      <c r="I50" s="421">
        <f t="shared" si="16"/>
        <v>0.98445720273308757</v>
      </c>
      <c r="J50" s="421">
        <f t="shared" si="16"/>
        <v>0.98057150341635946</v>
      </c>
      <c r="K50" s="421">
        <f t="shared" si="16"/>
        <v>0.97668580409963135</v>
      </c>
      <c r="L50" s="421">
        <f t="shared" si="16"/>
        <v>0.97280010478290324</v>
      </c>
      <c r="M50" s="421">
        <f t="shared" si="16"/>
        <v>0.96891440546617513</v>
      </c>
      <c r="N50" s="421">
        <f t="shared" si="16"/>
        <v>0.96502870614944702</v>
      </c>
      <c r="O50" s="421">
        <f t="shared" si="16"/>
        <v>0.96114300683271892</v>
      </c>
      <c r="P50" s="421">
        <f t="shared" si="16"/>
        <v>0.95725730751599081</v>
      </c>
      <c r="Q50" s="421">
        <f t="shared" si="16"/>
        <v>0.9533716081992627</v>
      </c>
      <c r="R50" s="421">
        <f t="shared" si="16"/>
        <v>0.94948590888253459</v>
      </c>
      <c r="S50" s="421">
        <f t="shared" si="16"/>
        <v>0.94560020956580648</v>
      </c>
      <c r="T50" s="421">
        <f t="shared" si="16"/>
        <v>0.94171451024907837</v>
      </c>
      <c r="U50" s="421">
        <f t="shared" si="16"/>
        <v>0.93782881093235027</v>
      </c>
      <c r="V50" s="421">
        <f t="shared" si="16"/>
        <v>0.93394311161562216</v>
      </c>
      <c r="W50" s="421">
        <f t="shared" si="16"/>
        <v>0.93005741229889405</v>
      </c>
      <c r="X50" s="421">
        <f t="shared" si="16"/>
        <v>0.92617171298216594</v>
      </c>
      <c r="Y50" s="421">
        <f t="shared" si="16"/>
        <v>0.92228601366543783</v>
      </c>
      <c r="Z50" s="421">
        <f t="shared" si="16"/>
        <v>0.91840031434870972</v>
      </c>
      <c r="AA50" s="421">
        <f t="shared" si="16"/>
        <v>0.91451461503198161</v>
      </c>
      <c r="AB50" s="421">
        <f t="shared" si="16"/>
        <v>0.91062891571525351</v>
      </c>
      <c r="AC50" s="421">
        <f t="shared" ref="AC50:AH50" si="17">-($E50-$AI50)/30+AB50</f>
        <v>0.9067432163985254</v>
      </c>
      <c r="AD50" s="421">
        <f t="shared" si="17"/>
        <v>0.90285751708179729</v>
      </c>
      <c r="AE50" s="421">
        <f t="shared" si="17"/>
        <v>0.89897181776506918</v>
      </c>
      <c r="AF50" s="421">
        <f t="shared" si="17"/>
        <v>0.89508611844834107</v>
      </c>
      <c r="AG50" s="421">
        <f t="shared" si="17"/>
        <v>0.89120041913161296</v>
      </c>
      <c r="AH50" s="421">
        <f t="shared" si="17"/>
        <v>0.88731471981488486</v>
      </c>
      <c r="AI50" s="421">
        <f>N11</f>
        <v>0.88342902049815542</v>
      </c>
    </row>
    <row r="51" spans="1:35" x14ac:dyDescent="0.2">
      <c r="A51" s="310"/>
      <c r="B51" t="s">
        <v>370</v>
      </c>
      <c r="C51" t="s">
        <v>1753</v>
      </c>
      <c r="D51" t="s">
        <v>474</v>
      </c>
      <c r="E51" s="168">
        <f>E9</f>
        <v>0</v>
      </c>
      <c r="F51" s="168">
        <f t="shared" ref="F51:AH55" si="18">-($E51-$AI51)/30+E51</f>
        <v>0</v>
      </c>
      <c r="G51" s="168">
        <f t="shared" si="18"/>
        <v>0</v>
      </c>
      <c r="H51" s="168">
        <f t="shared" si="18"/>
        <v>0</v>
      </c>
      <c r="I51" s="168">
        <f t="shared" si="18"/>
        <v>0</v>
      </c>
      <c r="J51" s="168">
        <f t="shared" si="18"/>
        <v>0</v>
      </c>
      <c r="K51" s="168">
        <f t="shared" si="18"/>
        <v>0</v>
      </c>
      <c r="L51" s="168">
        <f t="shared" si="18"/>
        <v>0</v>
      </c>
      <c r="M51" s="168">
        <f t="shared" si="18"/>
        <v>0</v>
      </c>
      <c r="N51" s="168">
        <f t="shared" si="18"/>
        <v>0</v>
      </c>
      <c r="O51" s="168">
        <f t="shared" si="18"/>
        <v>0</v>
      </c>
      <c r="P51" s="168">
        <f t="shared" si="18"/>
        <v>0</v>
      </c>
      <c r="Q51" s="168">
        <f t="shared" si="18"/>
        <v>0</v>
      </c>
      <c r="R51" s="168">
        <f t="shared" si="18"/>
        <v>0</v>
      </c>
      <c r="S51" s="168">
        <f t="shared" si="18"/>
        <v>0</v>
      </c>
      <c r="T51" s="168">
        <f t="shared" si="18"/>
        <v>0</v>
      </c>
      <c r="U51" s="168">
        <f t="shared" si="18"/>
        <v>0</v>
      </c>
      <c r="V51" s="168">
        <f t="shared" si="18"/>
        <v>0</v>
      </c>
      <c r="W51" s="168">
        <f t="shared" si="18"/>
        <v>0</v>
      </c>
      <c r="X51" s="168">
        <f t="shared" si="18"/>
        <v>0</v>
      </c>
      <c r="Y51" s="168">
        <f t="shared" si="18"/>
        <v>0</v>
      </c>
      <c r="Z51" s="168">
        <f t="shared" si="18"/>
        <v>0</v>
      </c>
      <c r="AA51" s="168">
        <f t="shared" si="18"/>
        <v>0</v>
      </c>
      <c r="AB51" s="168">
        <f t="shared" si="18"/>
        <v>0</v>
      </c>
      <c r="AC51" s="168">
        <f t="shared" si="18"/>
        <v>0</v>
      </c>
      <c r="AD51" s="168">
        <f t="shared" si="18"/>
        <v>0</v>
      </c>
      <c r="AE51" s="168">
        <f t="shared" si="18"/>
        <v>0</v>
      </c>
      <c r="AF51" s="168">
        <f t="shared" si="18"/>
        <v>0</v>
      </c>
      <c r="AG51" s="168">
        <f t="shared" si="18"/>
        <v>0</v>
      </c>
      <c r="AH51" s="168">
        <f t="shared" si="18"/>
        <v>0</v>
      </c>
      <c r="AI51" s="168">
        <f>O9</f>
        <v>0</v>
      </c>
    </row>
    <row r="52" spans="1:35" x14ac:dyDescent="0.2">
      <c r="A52" s="310"/>
      <c r="B52" t="s">
        <v>370</v>
      </c>
      <c r="D52" t="s">
        <v>745</v>
      </c>
      <c r="E52" s="168">
        <f>E10</f>
        <v>0</v>
      </c>
      <c r="F52" s="168">
        <f t="shared" si="18"/>
        <v>3.8856993167281531E-3</v>
      </c>
      <c r="G52" s="168">
        <f t="shared" si="18"/>
        <v>7.7713986334563062E-3</v>
      </c>
      <c r="H52" s="168">
        <f t="shared" si="18"/>
        <v>1.1657097950184459E-2</v>
      </c>
      <c r="I52" s="168">
        <f t="shared" si="18"/>
        <v>1.5542797266912612E-2</v>
      </c>
      <c r="J52" s="168">
        <f t="shared" si="18"/>
        <v>1.9428496583640764E-2</v>
      </c>
      <c r="K52" s="168">
        <f t="shared" si="18"/>
        <v>2.3314195900368918E-2</v>
      </c>
      <c r="L52" s="168">
        <f t="shared" si="18"/>
        <v>2.7199895217097071E-2</v>
      </c>
      <c r="M52" s="168">
        <f t="shared" si="18"/>
        <v>3.1085594533825225E-2</v>
      </c>
      <c r="N52" s="168">
        <f t="shared" si="18"/>
        <v>3.4971293850553378E-2</v>
      </c>
      <c r="O52" s="168">
        <f t="shared" si="18"/>
        <v>3.8856993167281528E-2</v>
      </c>
      <c r="P52" s="168">
        <f t="shared" si="18"/>
        <v>4.2742692484009678E-2</v>
      </c>
      <c r="Q52" s="168">
        <f t="shared" si="18"/>
        <v>4.6628391800737828E-2</v>
      </c>
      <c r="R52" s="168">
        <f t="shared" si="18"/>
        <v>5.0514091117465978E-2</v>
      </c>
      <c r="S52" s="168">
        <f t="shared" si="18"/>
        <v>5.4399790434194129E-2</v>
      </c>
      <c r="T52" s="168">
        <f t="shared" si="18"/>
        <v>5.8285489750922279E-2</v>
      </c>
      <c r="U52" s="168">
        <f t="shared" si="18"/>
        <v>6.2171189067650429E-2</v>
      </c>
      <c r="V52" s="168">
        <f t="shared" si="18"/>
        <v>6.6056888384378579E-2</v>
      </c>
      <c r="W52" s="168">
        <f t="shared" si="18"/>
        <v>6.9942587701106729E-2</v>
      </c>
      <c r="X52" s="168">
        <f t="shared" si="18"/>
        <v>7.3828287017834879E-2</v>
      </c>
      <c r="Y52" s="168">
        <f t="shared" si="18"/>
        <v>7.7713986334563029E-2</v>
      </c>
      <c r="Z52" s="168">
        <f t="shared" si="18"/>
        <v>8.1599685651291179E-2</v>
      </c>
      <c r="AA52" s="168">
        <f t="shared" si="18"/>
        <v>8.5485384968019329E-2</v>
      </c>
      <c r="AB52" s="168">
        <f t="shared" si="18"/>
        <v>8.9371084284747479E-2</v>
      </c>
      <c r="AC52" s="168">
        <f t="shared" si="18"/>
        <v>9.3256783601475629E-2</v>
      </c>
      <c r="AD52" s="168">
        <f t="shared" si="18"/>
        <v>9.7142482918203779E-2</v>
      </c>
      <c r="AE52" s="168">
        <f t="shared" si="18"/>
        <v>0.10102818223493193</v>
      </c>
      <c r="AF52" s="168">
        <f t="shared" si="18"/>
        <v>0.10491388155166008</v>
      </c>
      <c r="AG52" s="168">
        <f t="shared" si="18"/>
        <v>0.10879958086838823</v>
      </c>
      <c r="AH52" s="168">
        <f t="shared" si="18"/>
        <v>0.11268528018511638</v>
      </c>
      <c r="AI52" s="168">
        <f>O10</f>
        <v>0.1165709795018446</v>
      </c>
    </row>
    <row r="53" spans="1:35" x14ac:dyDescent="0.2">
      <c r="A53" s="310"/>
      <c r="B53" t="s">
        <v>370</v>
      </c>
      <c r="D53" t="s">
        <v>248</v>
      </c>
      <c r="E53" s="168">
        <f>E11</f>
        <v>1</v>
      </c>
      <c r="F53" s="168">
        <f t="shared" si="18"/>
        <v>0.99611430068327189</v>
      </c>
      <c r="G53" s="168">
        <f t="shared" si="18"/>
        <v>0.99222860136654378</v>
      </c>
      <c r="H53" s="168">
        <f t="shared" si="18"/>
        <v>0.98834290204981567</v>
      </c>
      <c r="I53" s="168">
        <f t="shared" si="18"/>
        <v>0.98445720273308757</v>
      </c>
      <c r="J53" s="168">
        <f t="shared" si="18"/>
        <v>0.98057150341635946</v>
      </c>
      <c r="K53" s="168">
        <f t="shared" si="18"/>
        <v>0.97668580409963135</v>
      </c>
      <c r="L53" s="168">
        <f t="shared" si="18"/>
        <v>0.97280010478290324</v>
      </c>
      <c r="M53" s="168">
        <f t="shared" si="18"/>
        <v>0.96891440546617513</v>
      </c>
      <c r="N53" s="168">
        <f t="shared" si="18"/>
        <v>0.96502870614944702</v>
      </c>
      <c r="O53" s="168">
        <f t="shared" si="18"/>
        <v>0.96114300683271892</v>
      </c>
      <c r="P53" s="168">
        <f t="shared" si="18"/>
        <v>0.95725730751599081</v>
      </c>
      <c r="Q53" s="168">
        <f t="shared" si="18"/>
        <v>0.9533716081992627</v>
      </c>
      <c r="R53" s="168">
        <f t="shared" si="18"/>
        <v>0.94948590888253459</v>
      </c>
      <c r="S53" s="168">
        <f t="shared" si="18"/>
        <v>0.94560020956580648</v>
      </c>
      <c r="T53" s="168">
        <f t="shared" si="18"/>
        <v>0.94171451024907837</v>
      </c>
      <c r="U53" s="168">
        <f t="shared" si="18"/>
        <v>0.93782881093235027</v>
      </c>
      <c r="V53" s="168">
        <f t="shared" si="18"/>
        <v>0.93394311161562216</v>
      </c>
      <c r="W53" s="168">
        <f t="shared" si="18"/>
        <v>0.93005741229889405</v>
      </c>
      <c r="X53" s="168">
        <f t="shared" si="18"/>
        <v>0.92617171298216594</v>
      </c>
      <c r="Y53" s="168">
        <f t="shared" si="18"/>
        <v>0.92228601366543783</v>
      </c>
      <c r="Z53" s="168">
        <f t="shared" si="18"/>
        <v>0.91840031434870972</v>
      </c>
      <c r="AA53" s="168">
        <f t="shared" si="18"/>
        <v>0.91451461503198161</v>
      </c>
      <c r="AB53" s="168">
        <f t="shared" si="18"/>
        <v>0.91062891571525351</v>
      </c>
      <c r="AC53" s="168">
        <f t="shared" si="18"/>
        <v>0.9067432163985254</v>
      </c>
      <c r="AD53" s="168">
        <f t="shared" si="18"/>
        <v>0.90285751708179729</v>
      </c>
      <c r="AE53" s="168">
        <f t="shared" si="18"/>
        <v>0.89897181776506918</v>
      </c>
      <c r="AF53" s="168">
        <f t="shared" si="18"/>
        <v>0.89508611844834107</v>
      </c>
      <c r="AG53" s="168">
        <f t="shared" si="18"/>
        <v>0.89120041913161296</v>
      </c>
      <c r="AH53" s="168">
        <f t="shared" si="18"/>
        <v>0.88731471981488486</v>
      </c>
      <c r="AI53" s="168">
        <f>O11</f>
        <v>0.88342902049815542</v>
      </c>
    </row>
    <row r="54" spans="1:35" s="67" customFormat="1" x14ac:dyDescent="0.2">
      <c r="A54" s="307"/>
      <c r="B54" s="67" t="s">
        <v>370</v>
      </c>
      <c r="C54" s="67" t="s">
        <v>1754</v>
      </c>
      <c r="D54" t="s">
        <v>474</v>
      </c>
      <c r="E54" s="201">
        <f>F9</f>
        <v>0</v>
      </c>
      <c r="F54" s="201">
        <f t="shared" si="18"/>
        <v>0</v>
      </c>
      <c r="G54" s="201">
        <f t="shared" si="18"/>
        <v>0</v>
      </c>
      <c r="H54" s="201">
        <f t="shared" si="18"/>
        <v>0</v>
      </c>
      <c r="I54" s="201">
        <f t="shared" si="18"/>
        <v>0</v>
      </c>
      <c r="J54" s="201">
        <f t="shared" si="18"/>
        <v>0</v>
      </c>
      <c r="K54" s="201">
        <f t="shared" si="18"/>
        <v>0</v>
      </c>
      <c r="L54" s="201">
        <f t="shared" si="18"/>
        <v>0</v>
      </c>
      <c r="M54" s="201">
        <f t="shared" si="18"/>
        <v>0</v>
      </c>
      <c r="N54" s="201">
        <f t="shared" si="18"/>
        <v>0</v>
      </c>
      <c r="O54" s="201">
        <f t="shared" si="18"/>
        <v>0</v>
      </c>
      <c r="P54" s="201">
        <f t="shared" si="18"/>
        <v>0</v>
      </c>
      <c r="Q54" s="201">
        <f t="shared" si="18"/>
        <v>0</v>
      </c>
      <c r="R54" s="201">
        <f t="shared" si="18"/>
        <v>0</v>
      </c>
      <c r="S54" s="201">
        <f t="shared" si="18"/>
        <v>0</v>
      </c>
      <c r="T54" s="201">
        <f t="shared" si="18"/>
        <v>0</v>
      </c>
      <c r="U54" s="201">
        <f t="shared" si="18"/>
        <v>0</v>
      </c>
      <c r="V54" s="201">
        <f t="shared" si="18"/>
        <v>0</v>
      </c>
      <c r="W54" s="201">
        <f t="shared" si="18"/>
        <v>0</v>
      </c>
      <c r="X54" s="201">
        <f t="shared" si="18"/>
        <v>0</v>
      </c>
      <c r="Y54" s="201">
        <f t="shared" si="18"/>
        <v>0</v>
      </c>
      <c r="Z54" s="201">
        <f t="shared" si="18"/>
        <v>0</v>
      </c>
      <c r="AA54" s="201">
        <f t="shared" si="18"/>
        <v>0</v>
      </c>
      <c r="AB54" s="201">
        <f t="shared" si="18"/>
        <v>0</v>
      </c>
      <c r="AC54" s="201">
        <f t="shared" si="18"/>
        <v>0</v>
      </c>
      <c r="AD54" s="201">
        <f t="shared" si="18"/>
        <v>0</v>
      </c>
      <c r="AE54" s="201">
        <f t="shared" si="18"/>
        <v>0</v>
      </c>
      <c r="AF54" s="201">
        <f t="shared" si="18"/>
        <v>0</v>
      </c>
      <c r="AG54" s="201">
        <f t="shared" si="18"/>
        <v>0</v>
      </c>
      <c r="AH54" s="201">
        <f t="shared" si="18"/>
        <v>0</v>
      </c>
      <c r="AI54" s="201">
        <f>P9</f>
        <v>0</v>
      </c>
    </row>
    <row r="55" spans="1:35" x14ac:dyDescent="0.2">
      <c r="A55" s="310"/>
      <c r="B55" t="s">
        <v>370</v>
      </c>
      <c r="D55" t="s">
        <v>745</v>
      </c>
      <c r="E55" s="168">
        <f>F10</f>
        <v>0</v>
      </c>
      <c r="F55" s="168">
        <f t="shared" si="18"/>
        <v>3.8856993167281531E-3</v>
      </c>
      <c r="G55" s="168">
        <f t="shared" si="18"/>
        <v>7.7713986334563062E-3</v>
      </c>
      <c r="H55" s="168">
        <f t="shared" si="18"/>
        <v>1.1657097950184459E-2</v>
      </c>
      <c r="I55" s="168">
        <f t="shared" si="18"/>
        <v>1.5542797266912612E-2</v>
      </c>
      <c r="J55" s="168">
        <f t="shared" si="18"/>
        <v>1.9428496583640764E-2</v>
      </c>
      <c r="K55" s="168">
        <f t="shared" si="18"/>
        <v>2.3314195900368918E-2</v>
      </c>
      <c r="L55" s="168">
        <f t="shared" si="18"/>
        <v>2.7199895217097071E-2</v>
      </c>
      <c r="M55" s="168">
        <f t="shared" si="18"/>
        <v>3.1085594533825225E-2</v>
      </c>
      <c r="N55" s="168">
        <f t="shared" si="18"/>
        <v>3.4971293850553378E-2</v>
      </c>
      <c r="O55" s="168">
        <f t="shared" si="18"/>
        <v>3.8856993167281528E-2</v>
      </c>
      <c r="P55" s="168">
        <f t="shared" si="18"/>
        <v>4.2742692484009678E-2</v>
      </c>
      <c r="Q55" s="168">
        <f t="shared" si="18"/>
        <v>4.6628391800737828E-2</v>
      </c>
      <c r="R55" s="168">
        <f t="shared" si="18"/>
        <v>5.0514091117465978E-2</v>
      </c>
      <c r="S55" s="168">
        <f t="shared" si="18"/>
        <v>5.4399790434194129E-2</v>
      </c>
      <c r="T55" s="168">
        <f t="shared" si="18"/>
        <v>5.8285489750922279E-2</v>
      </c>
      <c r="U55" s="168">
        <f t="shared" si="18"/>
        <v>6.2171189067650429E-2</v>
      </c>
      <c r="V55" s="168">
        <f t="shared" si="18"/>
        <v>6.6056888384378579E-2</v>
      </c>
      <c r="W55" s="168">
        <f t="shared" si="18"/>
        <v>6.9942587701106729E-2</v>
      </c>
      <c r="X55" s="168">
        <f t="shared" si="18"/>
        <v>7.3828287017834879E-2</v>
      </c>
      <c r="Y55" s="168">
        <f t="shared" si="18"/>
        <v>7.7713986334563029E-2</v>
      </c>
      <c r="Z55" s="168">
        <f t="shared" si="18"/>
        <v>8.1599685651291179E-2</v>
      </c>
      <c r="AA55" s="168">
        <f t="shared" si="18"/>
        <v>8.5485384968019329E-2</v>
      </c>
      <c r="AB55" s="168">
        <f t="shared" si="18"/>
        <v>8.9371084284747479E-2</v>
      </c>
      <c r="AC55" s="168">
        <f t="shared" ref="AC55:AH55" si="19">-($E55-$AI55)/30+AB55</f>
        <v>9.3256783601475629E-2</v>
      </c>
      <c r="AD55" s="168">
        <f t="shared" si="19"/>
        <v>9.7142482918203779E-2</v>
      </c>
      <c r="AE55" s="168">
        <f t="shared" si="19"/>
        <v>0.10102818223493193</v>
      </c>
      <c r="AF55" s="168">
        <f t="shared" si="19"/>
        <v>0.10491388155166008</v>
      </c>
      <c r="AG55" s="168">
        <f t="shared" si="19"/>
        <v>0.10879958086838823</v>
      </c>
      <c r="AH55" s="168">
        <f t="shared" si="19"/>
        <v>0.11268528018511638</v>
      </c>
      <c r="AI55" s="168">
        <f>P10</f>
        <v>0.1165709795018446</v>
      </c>
    </row>
    <row r="56" spans="1:35" x14ac:dyDescent="0.2">
      <c r="A56" s="310"/>
      <c r="B56" t="s">
        <v>370</v>
      </c>
      <c r="D56" t="s">
        <v>248</v>
      </c>
      <c r="E56" s="168">
        <f>F11</f>
        <v>1</v>
      </c>
      <c r="F56" s="168">
        <f t="shared" ref="F56:AH60" si="20">-($E56-$AI56)/30+E56</f>
        <v>0.99611430068327189</v>
      </c>
      <c r="G56" s="168">
        <f t="shared" si="20"/>
        <v>0.99222860136654378</v>
      </c>
      <c r="H56" s="168">
        <f t="shared" si="20"/>
        <v>0.98834290204981567</v>
      </c>
      <c r="I56" s="168">
        <f t="shared" si="20"/>
        <v>0.98445720273308757</v>
      </c>
      <c r="J56" s="168">
        <f t="shared" si="20"/>
        <v>0.98057150341635946</v>
      </c>
      <c r="K56" s="168">
        <f t="shared" si="20"/>
        <v>0.97668580409963135</v>
      </c>
      <c r="L56" s="168">
        <f t="shared" si="20"/>
        <v>0.97280010478290324</v>
      </c>
      <c r="M56" s="168">
        <f t="shared" si="20"/>
        <v>0.96891440546617513</v>
      </c>
      <c r="N56" s="168">
        <f t="shared" si="20"/>
        <v>0.96502870614944702</v>
      </c>
      <c r="O56" s="168">
        <f t="shared" si="20"/>
        <v>0.96114300683271892</v>
      </c>
      <c r="P56" s="168">
        <f t="shared" si="20"/>
        <v>0.95725730751599081</v>
      </c>
      <c r="Q56" s="168">
        <f t="shared" si="20"/>
        <v>0.9533716081992627</v>
      </c>
      <c r="R56" s="168">
        <f t="shared" si="20"/>
        <v>0.94948590888253459</v>
      </c>
      <c r="S56" s="168">
        <f t="shared" si="20"/>
        <v>0.94560020956580648</v>
      </c>
      <c r="T56" s="168">
        <f t="shared" si="20"/>
        <v>0.94171451024907837</v>
      </c>
      <c r="U56" s="168">
        <f t="shared" si="20"/>
        <v>0.93782881093235027</v>
      </c>
      <c r="V56" s="168">
        <f t="shared" si="20"/>
        <v>0.93394311161562216</v>
      </c>
      <c r="W56" s="168">
        <f t="shared" si="20"/>
        <v>0.93005741229889405</v>
      </c>
      <c r="X56" s="168">
        <f t="shared" si="20"/>
        <v>0.92617171298216594</v>
      </c>
      <c r="Y56" s="168">
        <f t="shared" si="20"/>
        <v>0.92228601366543783</v>
      </c>
      <c r="Z56" s="168">
        <f t="shared" si="20"/>
        <v>0.91840031434870972</v>
      </c>
      <c r="AA56" s="168">
        <f t="shared" si="20"/>
        <v>0.91451461503198161</v>
      </c>
      <c r="AB56" s="168">
        <f t="shared" si="20"/>
        <v>0.91062891571525351</v>
      </c>
      <c r="AC56" s="168">
        <f t="shared" si="20"/>
        <v>0.9067432163985254</v>
      </c>
      <c r="AD56" s="168">
        <f t="shared" si="20"/>
        <v>0.90285751708179729</v>
      </c>
      <c r="AE56" s="168">
        <f t="shared" si="20"/>
        <v>0.89897181776506918</v>
      </c>
      <c r="AF56" s="168">
        <f t="shared" si="20"/>
        <v>0.89508611844834107</v>
      </c>
      <c r="AG56" s="168">
        <f t="shared" si="20"/>
        <v>0.89120041913161296</v>
      </c>
      <c r="AH56" s="168">
        <f t="shared" si="20"/>
        <v>0.88731471981488486</v>
      </c>
      <c r="AI56" s="168">
        <f>P11</f>
        <v>0.88342902049815542</v>
      </c>
    </row>
    <row r="57" spans="1:35" s="67" customFormat="1" x14ac:dyDescent="0.2">
      <c r="A57" s="307"/>
      <c r="B57" s="67" t="s">
        <v>370</v>
      </c>
      <c r="C57" s="67" t="s">
        <v>1750</v>
      </c>
      <c r="D57" t="s">
        <v>474</v>
      </c>
      <c r="E57" s="201">
        <f>G9</f>
        <v>0</v>
      </c>
      <c r="F57" s="201">
        <f t="shared" si="20"/>
        <v>0</v>
      </c>
      <c r="G57" s="201">
        <f t="shared" si="20"/>
        <v>0</v>
      </c>
      <c r="H57" s="201">
        <f t="shared" si="20"/>
        <v>0</v>
      </c>
      <c r="I57" s="201">
        <f t="shared" si="20"/>
        <v>0</v>
      </c>
      <c r="J57" s="201">
        <f t="shared" si="20"/>
        <v>0</v>
      </c>
      <c r="K57" s="201">
        <f t="shared" si="20"/>
        <v>0</v>
      </c>
      <c r="L57" s="201">
        <f t="shared" si="20"/>
        <v>0</v>
      </c>
      <c r="M57" s="201">
        <f t="shared" si="20"/>
        <v>0</v>
      </c>
      <c r="N57" s="201">
        <f t="shared" si="20"/>
        <v>0</v>
      </c>
      <c r="O57" s="201">
        <f t="shared" si="20"/>
        <v>0</v>
      </c>
      <c r="P57" s="201">
        <f t="shared" si="20"/>
        <v>0</v>
      </c>
      <c r="Q57" s="201">
        <f t="shared" si="20"/>
        <v>0</v>
      </c>
      <c r="R57" s="201">
        <f t="shared" si="20"/>
        <v>0</v>
      </c>
      <c r="S57" s="201">
        <f t="shared" si="20"/>
        <v>0</v>
      </c>
      <c r="T57" s="201">
        <f t="shared" si="20"/>
        <v>0</v>
      </c>
      <c r="U57" s="201">
        <f t="shared" si="20"/>
        <v>0</v>
      </c>
      <c r="V57" s="201">
        <f t="shared" si="20"/>
        <v>0</v>
      </c>
      <c r="W57" s="201">
        <f t="shared" si="20"/>
        <v>0</v>
      </c>
      <c r="X57" s="201">
        <f t="shared" si="20"/>
        <v>0</v>
      </c>
      <c r="Y57" s="201">
        <f t="shared" si="20"/>
        <v>0</v>
      </c>
      <c r="Z57" s="201">
        <f t="shared" si="20"/>
        <v>0</v>
      </c>
      <c r="AA57" s="201">
        <f t="shared" si="20"/>
        <v>0</v>
      </c>
      <c r="AB57" s="201">
        <f t="shared" si="20"/>
        <v>0</v>
      </c>
      <c r="AC57" s="201">
        <f t="shared" si="20"/>
        <v>0</v>
      </c>
      <c r="AD57" s="201">
        <f t="shared" si="20"/>
        <v>0</v>
      </c>
      <c r="AE57" s="201">
        <f t="shared" si="20"/>
        <v>0</v>
      </c>
      <c r="AF57" s="201">
        <f t="shared" si="20"/>
        <v>0</v>
      </c>
      <c r="AG57" s="201">
        <f t="shared" si="20"/>
        <v>0</v>
      </c>
      <c r="AH57" s="201">
        <f t="shared" si="20"/>
        <v>0</v>
      </c>
      <c r="AI57" s="201">
        <f>Q9</f>
        <v>0</v>
      </c>
    </row>
    <row r="58" spans="1:35" x14ac:dyDescent="0.2">
      <c r="A58" s="310"/>
      <c r="B58" t="s">
        <v>370</v>
      </c>
      <c r="D58" t="s">
        <v>745</v>
      </c>
      <c r="E58" s="168">
        <f>G10</f>
        <v>0</v>
      </c>
      <c r="F58" s="168">
        <f t="shared" si="20"/>
        <v>3.8856993167281531E-3</v>
      </c>
      <c r="G58" s="168">
        <f t="shared" si="20"/>
        <v>7.7713986334563062E-3</v>
      </c>
      <c r="H58" s="168">
        <f t="shared" si="20"/>
        <v>1.1657097950184459E-2</v>
      </c>
      <c r="I58" s="168">
        <f t="shared" si="20"/>
        <v>1.5542797266912612E-2</v>
      </c>
      <c r="J58" s="168">
        <f t="shared" si="20"/>
        <v>1.9428496583640764E-2</v>
      </c>
      <c r="K58" s="168">
        <f t="shared" si="20"/>
        <v>2.3314195900368918E-2</v>
      </c>
      <c r="L58" s="168">
        <f t="shared" si="20"/>
        <v>2.7199895217097071E-2</v>
      </c>
      <c r="M58" s="168">
        <f t="shared" si="20"/>
        <v>3.1085594533825225E-2</v>
      </c>
      <c r="N58" s="168">
        <f t="shared" si="20"/>
        <v>3.4971293850553378E-2</v>
      </c>
      <c r="O58" s="168">
        <f t="shared" si="20"/>
        <v>3.8856993167281528E-2</v>
      </c>
      <c r="P58" s="168">
        <f t="shared" si="20"/>
        <v>4.2742692484009678E-2</v>
      </c>
      <c r="Q58" s="168">
        <f t="shared" si="20"/>
        <v>4.6628391800737828E-2</v>
      </c>
      <c r="R58" s="168">
        <f t="shared" si="20"/>
        <v>5.0514091117465978E-2</v>
      </c>
      <c r="S58" s="168">
        <f t="shared" si="20"/>
        <v>5.4399790434194129E-2</v>
      </c>
      <c r="T58" s="168">
        <f t="shared" si="20"/>
        <v>5.8285489750922279E-2</v>
      </c>
      <c r="U58" s="168">
        <f t="shared" si="20"/>
        <v>6.2171189067650429E-2</v>
      </c>
      <c r="V58" s="168">
        <f t="shared" si="20"/>
        <v>6.6056888384378579E-2</v>
      </c>
      <c r="W58" s="168">
        <f t="shared" si="20"/>
        <v>6.9942587701106729E-2</v>
      </c>
      <c r="X58" s="168">
        <f t="shared" si="20"/>
        <v>7.3828287017834879E-2</v>
      </c>
      <c r="Y58" s="168">
        <f t="shared" si="20"/>
        <v>7.7713986334563029E-2</v>
      </c>
      <c r="Z58" s="168">
        <f t="shared" si="20"/>
        <v>8.1599685651291179E-2</v>
      </c>
      <c r="AA58" s="168">
        <f t="shared" si="20"/>
        <v>8.5485384968019329E-2</v>
      </c>
      <c r="AB58" s="168">
        <f t="shared" si="20"/>
        <v>8.9371084284747479E-2</v>
      </c>
      <c r="AC58" s="168">
        <f t="shared" si="20"/>
        <v>9.3256783601475629E-2</v>
      </c>
      <c r="AD58" s="168">
        <f t="shared" si="20"/>
        <v>9.7142482918203779E-2</v>
      </c>
      <c r="AE58" s="168">
        <f t="shared" si="20"/>
        <v>0.10102818223493193</v>
      </c>
      <c r="AF58" s="168">
        <f t="shared" si="20"/>
        <v>0.10491388155166008</v>
      </c>
      <c r="AG58" s="168">
        <f t="shared" si="20"/>
        <v>0.10879958086838823</v>
      </c>
      <c r="AH58" s="168">
        <f t="shared" si="20"/>
        <v>0.11268528018511638</v>
      </c>
      <c r="AI58" s="168">
        <f>Q10</f>
        <v>0.1165709795018446</v>
      </c>
    </row>
    <row r="59" spans="1:35" x14ac:dyDescent="0.2">
      <c r="A59" s="310"/>
      <c r="B59" t="s">
        <v>370</v>
      </c>
      <c r="D59" t="s">
        <v>248</v>
      </c>
      <c r="E59" s="168">
        <f>G11</f>
        <v>1</v>
      </c>
      <c r="F59" s="168">
        <f t="shared" si="20"/>
        <v>0.99611430068327189</v>
      </c>
      <c r="G59" s="168">
        <f t="shared" si="20"/>
        <v>0.99222860136654378</v>
      </c>
      <c r="H59" s="168">
        <f t="shared" si="20"/>
        <v>0.98834290204981567</v>
      </c>
      <c r="I59" s="168">
        <f t="shared" si="20"/>
        <v>0.98445720273308757</v>
      </c>
      <c r="J59" s="168">
        <f t="shared" si="20"/>
        <v>0.98057150341635946</v>
      </c>
      <c r="K59" s="168">
        <f t="shared" si="20"/>
        <v>0.97668580409963135</v>
      </c>
      <c r="L59" s="168">
        <f t="shared" si="20"/>
        <v>0.97280010478290324</v>
      </c>
      <c r="M59" s="168">
        <f t="shared" si="20"/>
        <v>0.96891440546617513</v>
      </c>
      <c r="N59" s="168">
        <f t="shared" si="20"/>
        <v>0.96502870614944702</v>
      </c>
      <c r="O59" s="168">
        <f t="shared" si="20"/>
        <v>0.96114300683271892</v>
      </c>
      <c r="P59" s="168">
        <f t="shared" si="20"/>
        <v>0.95725730751599081</v>
      </c>
      <c r="Q59" s="168">
        <f t="shared" si="20"/>
        <v>0.9533716081992627</v>
      </c>
      <c r="R59" s="168">
        <f t="shared" si="20"/>
        <v>0.94948590888253459</v>
      </c>
      <c r="S59" s="168">
        <f t="shared" si="20"/>
        <v>0.94560020956580648</v>
      </c>
      <c r="T59" s="168">
        <f t="shared" si="20"/>
        <v>0.94171451024907837</v>
      </c>
      <c r="U59" s="168">
        <f t="shared" si="20"/>
        <v>0.93782881093235027</v>
      </c>
      <c r="V59" s="168">
        <f t="shared" si="20"/>
        <v>0.93394311161562216</v>
      </c>
      <c r="W59" s="168">
        <f t="shared" si="20"/>
        <v>0.93005741229889405</v>
      </c>
      <c r="X59" s="168">
        <f t="shared" si="20"/>
        <v>0.92617171298216594</v>
      </c>
      <c r="Y59" s="168">
        <f t="shared" si="20"/>
        <v>0.92228601366543783</v>
      </c>
      <c r="Z59" s="168">
        <f t="shared" si="20"/>
        <v>0.91840031434870972</v>
      </c>
      <c r="AA59" s="168">
        <f t="shared" si="20"/>
        <v>0.91451461503198161</v>
      </c>
      <c r="AB59" s="168">
        <f t="shared" si="20"/>
        <v>0.91062891571525351</v>
      </c>
      <c r="AC59" s="168">
        <f t="shared" si="20"/>
        <v>0.9067432163985254</v>
      </c>
      <c r="AD59" s="168">
        <f t="shared" si="20"/>
        <v>0.90285751708179729</v>
      </c>
      <c r="AE59" s="168">
        <f t="shared" si="20"/>
        <v>0.89897181776506918</v>
      </c>
      <c r="AF59" s="168">
        <f t="shared" si="20"/>
        <v>0.89508611844834107</v>
      </c>
      <c r="AG59" s="168">
        <f t="shared" si="20"/>
        <v>0.89120041913161296</v>
      </c>
      <c r="AH59" s="168">
        <f t="shared" si="20"/>
        <v>0.88731471981488486</v>
      </c>
      <c r="AI59" s="168">
        <f>Q11</f>
        <v>0.88342902049815542</v>
      </c>
    </row>
    <row r="60" spans="1:35" s="67" customFormat="1" x14ac:dyDescent="0.2">
      <c r="A60" s="307"/>
      <c r="B60" s="67" t="s">
        <v>329</v>
      </c>
      <c r="C60" s="67" t="s">
        <v>1746</v>
      </c>
      <c r="D60" t="s">
        <v>474</v>
      </c>
      <c r="E60" s="201">
        <f>D15</f>
        <v>0.36173364154891818</v>
      </c>
      <c r="F60" s="201">
        <f t="shared" si="20"/>
        <v>0.36173364154891818</v>
      </c>
      <c r="G60" s="201">
        <f t="shared" si="20"/>
        <v>0.36173364154891818</v>
      </c>
      <c r="H60" s="201">
        <f t="shared" si="20"/>
        <v>0.36173364154891818</v>
      </c>
      <c r="I60" s="201">
        <f t="shared" si="20"/>
        <v>0.36173364154891818</v>
      </c>
      <c r="J60" s="201">
        <f t="shared" si="20"/>
        <v>0.36173364154891818</v>
      </c>
      <c r="K60" s="201">
        <f t="shared" si="20"/>
        <v>0.36173364154891818</v>
      </c>
      <c r="L60" s="201">
        <f t="shared" si="20"/>
        <v>0.36173364154891818</v>
      </c>
      <c r="M60" s="201">
        <f t="shared" si="20"/>
        <v>0.36173364154891818</v>
      </c>
      <c r="N60" s="201">
        <f t="shared" si="20"/>
        <v>0.36173364154891818</v>
      </c>
      <c r="O60" s="201">
        <f t="shared" si="20"/>
        <v>0.36173364154891818</v>
      </c>
      <c r="P60" s="201">
        <f t="shared" si="20"/>
        <v>0.36173364154891818</v>
      </c>
      <c r="Q60" s="201">
        <f t="shared" si="20"/>
        <v>0.36173364154891818</v>
      </c>
      <c r="R60" s="201">
        <f t="shared" si="20"/>
        <v>0.36173364154891818</v>
      </c>
      <c r="S60" s="201">
        <f t="shared" si="20"/>
        <v>0.36173364154891818</v>
      </c>
      <c r="T60" s="201">
        <f t="shared" si="20"/>
        <v>0.36173364154891818</v>
      </c>
      <c r="U60" s="201">
        <f t="shared" si="20"/>
        <v>0.36173364154891818</v>
      </c>
      <c r="V60" s="201">
        <f t="shared" si="20"/>
        <v>0.36173364154891818</v>
      </c>
      <c r="W60" s="201">
        <f t="shared" si="20"/>
        <v>0.36173364154891818</v>
      </c>
      <c r="X60" s="201">
        <f t="shared" si="20"/>
        <v>0.36173364154891818</v>
      </c>
      <c r="Y60" s="201">
        <f t="shared" si="20"/>
        <v>0.36173364154891818</v>
      </c>
      <c r="Z60" s="201">
        <f t="shared" si="20"/>
        <v>0.36173364154891818</v>
      </c>
      <c r="AA60" s="201">
        <f t="shared" si="20"/>
        <v>0.36173364154891818</v>
      </c>
      <c r="AB60" s="201">
        <f t="shared" si="20"/>
        <v>0.36173364154891818</v>
      </c>
      <c r="AC60" s="201">
        <f t="shared" ref="AC60:AH60" si="21">-($E60-$AI60)/30+AB60</f>
        <v>0.36173364154891818</v>
      </c>
      <c r="AD60" s="201">
        <f t="shared" si="21"/>
        <v>0.36173364154891818</v>
      </c>
      <c r="AE60" s="201">
        <f t="shared" si="21"/>
        <v>0.36173364154891818</v>
      </c>
      <c r="AF60" s="201">
        <f t="shared" si="21"/>
        <v>0.36173364154891818</v>
      </c>
      <c r="AG60" s="201">
        <f t="shared" si="21"/>
        <v>0.36173364154891818</v>
      </c>
      <c r="AH60" s="201">
        <f t="shared" si="21"/>
        <v>0.36173364154891818</v>
      </c>
      <c r="AI60" s="201">
        <f>N15</f>
        <v>0.36173364154891818</v>
      </c>
    </row>
    <row r="61" spans="1:35" x14ac:dyDescent="0.2">
      <c r="A61" s="310"/>
      <c r="B61" t="s">
        <v>329</v>
      </c>
      <c r="D61" t="s">
        <v>745</v>
      </c>
      <c r="E61" s="168">
        <f>D16</f>
        <v>0</v>
      </c>
      <c r="F61" s="168">
        <f t="shared" ref="F61:AH65" si="22">-($E61-$AI61)/30+E61</f>
        <v>0</v>
      </c>
      <c r="G61" s="168">
        <f t="shared" si="22"/>
        <v>0</v>
      </c>
      <c r="H61" s="168">
        <f t="shared" si="22"/>
        <v>0</v>
      </c>
      <c r="I61" s="168">
        <f t="shared" si="22"/>
        <v>0</v>
      </c>
      <c r="J61" s="168">
        <f t="shared" si="22"/>
        <v>0</v>
      </c>
      <c r="K61" s="168">
        <f t="shared" si="22"/>
        <v>0</v>
      </c>
      <c r="L61" s="168">
        <f t="shared" si="22"/>
        <v>0</v>
      </c>
      <c r="M61" s="168">
        <f t="shared" si="22"/>
        <v>0</v>
      </c>
      <c r="N61" s="168">
        <f t="shared" si="22"/>
        <v>0</v>
      </c>
      <c r="O61" s="168">
        <f t="shared" si="22"/>
        <v>0</v>
      </c>
      <c r="P61" s="168">
        <f t="shared" si="22"/>
        <v>0</v>
      </c>
      <c r="Q61" s="168">
        <f t="shared" si="22"/>
        <v>0</v>
      </c>
      <c r="R61" s="168">
        <f t="shared" si="22"/>
        <v>0</v>
      </c>
      <c r="S61" s="168">
        <f t="shared" si="22"/>
        <v>0</v>
      </c>
      <c r="T61" s="168">
        <f t="shared" si="22"/>
        <v>0</v>
      </c>
      <c r="U61" s="168">
        <f t="shared" si="22"/>
        <v>0</v>
      </c>
      <c r="V61" s="168">
        <f t="shared" si="22"/>
        <v>0</v>
      </c>
      <c r="W61" s="168">
        <f t="shared" si="22"/>
        <v>0</v>
      </c>
      <c r="X61" s="168">
        <f t="shared" si="22"/>
        <v>0</v>
      </c>
      <c r="Y61" s="168">
        <f t="shared" si="22"/>
        <v>0</v>
      </c>
      <c r="Z61" s="168">
        <f t="shared" si="22"/>
        <v>0</v>
      </c>
      <c r="AA61" s="168">
        <f t="shared" si="22"/>
        <v>0</v>
      </c>
      <c r="AB61" s="168">
        <f t="shared" si="22"/>
        <v>0</v>
      </c>
      <c r="AC61" s="168">
        <f t="shared" si="22"/>
        <v>0</v>
      </c>
      <c r="AD61" s="168">
        <f t="shared" si="22"/>
        <v>0</v>
      </c>
      <c r="AE61" s="168">
        <f t="shared" si="22"/>
        <v>0</v>
      </c>
      <c r="AF61" s="168">
        <f t="shared" si="22"/>
        <v>0</v>
      </c>
      <c r="AG61" s="168">
        <f t="shared" si="22"/>
        <v>0</v>
      </c>
      <c r="AH61" s="168">
        <f t="shared" si="22"/>
        <v>0</v>
      </c>
      <c r="AI61" s="168">
        <f>N16</f>
        <v>0</v>
      </c>
    </row>
    <row r="62" spans="1:35" x14ac:dyDescent="0.2">
      <c r="A62" s="310"/>
      <c r="B62" t="s">
        <v>329</v>
      </c>
      <c r="D62" t="s">
        <v>248</v>
      </c>
      <c r="E62" s="168">
        <f>D17</f>
        <v>0.63826635845108182</v>
      </c>
      <c r="F62" s="168">
        <f t="shared" si="22"/>
        <v>0.63826635845108182</v>
      </c>
      <c r="G62" s="168">
        <f t="shared" si="22"/>
        <v>0.63826635845108182</v>
      </c>
      <c r="H62" s="168">
        <f t="shared" si="22"/>
        <v>0.63826635845108182</v>
      </c>
      <c r="I62" s="168">
        <f t="shared" si="22"/>
        <v>0.63826635845108182</v>
      </c>
      <c r="J62" s="168">
        <f t="shared" si="22"/>
        <v>0.63826635845108182</v>
      </c>
      <c r="K62" s="168">
        <f t="shared" si="22"/>
        <v>0.63826635845108182</v>
      </c>
      <c r="L62" s="168">
        <f t="shared" si="22"/>
        <v>0.63826635845108182</v>
      </c>
      <c r="M62" s="168">
        <f t="shared" si="22"/>
        <v>0.63826635845108182</v>
      </c>
      <c r="N62" s="168">
        <f t="shared" si="22"/>
        <v>0.63826635845108182</v>
      </c>
      <c r="O62" s="168">
        <f t="shared" si="22"/>
        <v>0.63826635845108182</v>
      </c>
      <c r="P62" s="168">
        <f t="shared" si="22"/>
        <v>0.63826635845108182</v>
      </c>
      <c r="Q62" s="168">
        <f t="shared" si="22"/>
        <v>0.63826635845108182</v>
      </c>
      <c r="R62" s="168">
        <f t="shared" si="22"/>
        <v>0.63826635845108182</v>
      </c>
      <c r="S62" s="168">
        <f t="shared" si="22"/>
        <v>0.63826635845108182</v>
      </c>
      <c r="T62" s="168">
        <f t="shared" si="22"/>
        <v>0.63826635845108182</v>
      </c>
      <c r="U62" s="168">
        <f t="shared" si="22"/>
        <v>0.63826635845108182</v>
      </c>
      <c r="V62" s="168">
        <f t="shared" si="22"/>
        <v>0.63826635845108182</v>
      </c>
      <c r="W62" s="168">
        <f t="shared" si="22"/>
        <v>0.63826635845108182</v>
      </c>
      <c r="X62" s="168">
        <f t="shared" si="22"/>
        <v>0.63826635845108182</v>
      </c>
      <c r="Y62" s="168">
        <f t="shared" si="22"/>
        <v>0.63826635845108182</v>
      </c>
      <c r="Z62" s="168">
        <f t="shared" si="22"/>
        <v>0.63826635845108182</v>
      </c>
      <c r="AA62" s="168">
        <f t="shared" si="22"/>
        <v>0.63826635845108182</v>
      </c>
      <c r="AB62" s="168">
        <f t="shared" si="22"/>
        <v>0.63826635845108182</v>
      </c>
      <c r="AC62" s="168">
        <f t="shared" si="22"/>
        <v>0.63826635845108182</v>
      </c>
      <c r="AD62" s="168">
        <f t="shared" si="22"/>
        <v>0.63826635845108182</v>
      </c>
      <c r="AE62" s="168">
        <f t="shared" si="22"/>
        <v>0.63826635845108182</v>
      </c>
      <c r="AF62" s="168">
        <f t="shared" si="22"/>
        <v>0.63826635845108182</v>
      </c>
      <c r="AG62" s="168">
        <f t="shared" si="22"/>
        <v>0.63826635845108182</v>
      </c>
      <c r="AH62" s="168">
        <f t="shared" si="22"/>
        <v>0.63826635845108182</v>
      </c>
      <c r="AI62" s="168">
        <f>N17</f>
        <v>0.63826635845108182</v>
      </c>
    </row>
    <row r="63" spans="1:35" s="67" customFormat="1" x14ac:dyDescent="0.2">
      <c r="A63" s="307"/>
      <c r="B63" s="67" t="s">
        <v>329</v>
      </c>
      <c r="C63" s="67" t="s">
        <v>1749</v>
      </c>
      <c r="D63" t="s">
        <v>474</v>
      </c>
      <c r="E63" s="201">
        <f>E15</f>
        <v>0.36173364154891818</v>
      </c>
      <c r="F63" s="201">
        <f t="shared" si="22"/>
        <v>0.36173364154891818</v>
      </c>
      <c r="G63" s="201">
        <f t="shared" si="22"/>
        <v>0.36173364154891818</v>
      </c>
      <c r="H63" s="201">
        <f t="shared" si="22"/>
        <v>0.36173364154891818</v>
      </c>
      <c r="I63" s="201">
        <f t="shared" si="22"/>
        <v>0.36173364154891818</v>
      </c>
      <c r="J63" s="201">
        <f t="shared" si="22"/>
        <v>0.36173364154891818</v>
      </c>
      <c r="K63" s="201">
        <f t="shared" si="22"/>
        <v>0.36173364154891818</v>
      </c>
      <c r="L63" s="201">
        <f t="shared" si="22"/>
        <v>0.36173364154891818</v>
      </c>
      <c r="M63" s="201">
        <f t="shared" si="22"/>
        <v>0.36173364154891818</v>
      </c>
      <c r="N63" s="201">
        <f t="shared" si="22"/>
        <v>0.36173364154891818</v>
      </c>
      <c r="O63" s="201">
        <f t="shared" si="22"/>
        <v>0.36173364154891818</v>
      </c>
      <c r="P63" s="201">
        <f t="shared" si="22"/>
        <v>0.36173364154891818</v>
      </c>
      <c r="Q63" s="201">
        <f t="shared" si="22"/>
        <v>0.36173364154891818</v>
      </c>
      <c r="R63" s="201">
        <f t="shared" si="22"/>
        <v>0.36173364154891818</v>
      </c>
      <c r="S63" s="201">
        <f t="shared" si="22"/>
        <v>0.36173364154891818</v>
      </c>
      <c r="T63" s="201">
        <f t="shared" si="22"/>
        <v>0.36173364154891818</v>
      </c>
      <c r="U63" s="201">
        <f t="shared" si="22"/>
        <v>0.36173364154891818</v>
      </c>
      <c r="V63" s="201">
        <f t="shared" si="22"/>
        <v>0.36173364154891818</v>
      </c>
      <c r="W63" s="201">
        <f t="shared" si="22"/>
        <v>0.36173364154891818</v>
      </c>
      <c r="X63" s="201">
        <f t="shared" si="22"/>
        <v>0.36173364154891818</v>
      </c>
      <c r="Y63" s="201">
        <f t="shared" si="22"/>
        <v>0.36173364154891818</v>
      </c>
      <c r="Z63" s="201">
        <f t="shared" si="22"/>
        <v>0.36173364154891818</v>
      </c>
      <c r="AA63" s="201">
        <f t="shared" si="22"/>
        <v>0.36173364154891818</v>
      </c>
      <c r="AB63" s="201">
        <f t="shared" si="22"/>
        <v>0.36173364154891818</v>
      </c>
      <c r="AC63" s="201">
        <f t="shared" si="22"/>
        <v>0.36173364154891818</v>
      </c>
      <c r="AD63" s="201">
        <f t="shared" si="22"/>
        <v>0.36173364154891818</v>
      </c>
      <c r="AE63" s="201">
        <f t="shared" si="22"/>
        <v>0.36173364154891818</v>
      </c>
      <c r="AF63" s="201">
        <f t="shared" si="22"/>
        <v>0.36173364154891818</v>
      </c>
      <c r="AG63" s="201">
        <f t="shared" si="22"/>
        <v>0.36173364154891818</v>
      </c>
      <c r="AH63" s="201">
        <f t="shared" si="22"/>
        <v>0.36173364154891818</v>
      </c>
      <c r="AI63" s="201">
        <f>O15</f>
        <v>0.36173364154891818</v>
      </c>
    </row>
    <row r="64" spans="1:35" x14ac:dyDescent="0.2">
      <c r="A64" s="310"/>
      <c r="B64" t="s">
        <v>329</v>
      </c>
      <c r="D64" t="s">
        <v>745</v>
      </c>
      <c r="E64" s="168">
        <f>E16</f>
        <v>0</v>
      </c>
      <c r="F64" s="168">
        <f t="shared" si="22"/>
        <v>0</v>
      </c>
      <c r="G64" s="168">
        <f t="shared" si="22"/>
        <v>0</v>
      </c>
      <c r="H64" s="168">
        <f t="shared" si="22"/>
        <v>0</v>
      </c>
      <c r="I64" s="168">
        <f t="shared" si="22"/>
        <v>0</v>
      </c>
      <c r="J64" s="168">
        <f t="shared" si="22"/>
        <v>0</v>
      </c>
      <c r="K64" s="168">
        <f t="shared" si="22"/>
        <v>0</v>
      </c>
      <c r="L64" s="168">
        <f t="shared" si="22"/>
        <v>0</v>
      </c>
      <c r="M64" s="168">
        <f t="shared" si="22"/>
        <v>0</v>
      </c>
      <c r="N64" s="168">
        <f t="shared" si="22"/>
        <v>0</v>
      </c>
      <c r="O64" s="168">
        <f t="shared" si="22"/>
        <v>0</v>
      </c>
      <c r="P64" s="168">
        <f t="shared" si="22"/>
        <v>0</v>
      </c>
      <c r="Q64" s="168">
        <f t="shared" si="22"/>
        <v>0</v>
      </c>
      <c r="R64" s="168">
        <f t="shared" si="22"/>
        <v>0</v>
      </c>
      <c r="S64" s="168">
        <f t="shared" si="22"/>
        <v>0</v>
      </c>
      <c r="T64" s="168">
        <f t="shared" si="22"/>
        <v>0</v>
      </c>
      <c r="U64" s="168">
        <f t="shared" si="22"/>
        <v>0</v>
      </c>
      <c r="V64" s="168">
        <f t="shared" si="22"/>
        <v>0</v>
      </c>
      <c r="W64" s="168">
        <f t="shared" si="22"/>
        <v>0</v>
      </c>
      <c r="X64" s="168">
        <f t="shared" si="22"/>
        <v>0</v>
      </c>
      <c r="Y64" s="168">
        <f t="shared" si="22"/>
        <v>0</v>
      </c>
      <c r="Z64" s="168">
        <f t="shared" si="22"/>
        <v>0</v>
      </c>
      <c r="AA64" s="168">
        <f t="shared" si="22"/>
        <v>0</v>
      </c>
      <c r="AB64" s="168">
        <f t="shared" si="22"/>
        <v>0</v>
      </c>
      <c r="AC64" s="168">
        <f t="shared" si="22"/>
        <v>0</v>
      </c>
      <c r="AD64" s="168">
        <f t="shared" si="22"/>
        <v>0</v>
      </c>
      <c r="AE64" s="168">
        <f t="shared" si="22"/>
        <v>0</v>
      </c>
      <c r="AF64" s="168">
        <f t="shared" si="22"/>
        <v>0</v>
      </c>
      <c r="AG64" s="168">
        <f t="shared" si="22"/>
        <v>0</v>
      </c>
      <c r="AH64" s="168">
        <f t="shared" si="22"/>
        <v>0</v>
      </c>
      <c r="AI64" s="168">
        <f>O16</f>
        <v>0</v>
      </c>
    </row>
    <row r="65" spans="1:35" x14ac:dyDescent="0.2">
      <c r="A65" s="310"/>
      <c r="B65" t="s">
        <v>329</v>
      </c>
      <c r="D65" t="s">
        <v>248</v>
      </c>
      <c r="E65" s="168">
        <f>E17</f>
        <v>0.63826635845108182</v>
      </c>
      <c r="F65" s="168">
        <f t="shared" si="22"/>
        <v>0.63826635845108182</v>
      </c>
      <c r="G65" s="168">
        <f t="shared" si="22"/>
        <v>0.63826635845108182</v>
      </c>
      <c r="H65" s="168">
        <f t="shared" si="22"/>
        <v>0.63826635845108182</v>
      </c>
      <c r="I65" s="168">
        <f t="shared" si="22"/>
        <v>0.63826635845108182</v>
      </c>
      <c r="J65" s="168">
        <f t="shared" si="22"/>
        <v>0.63826635845108182</v>
      </c>
      <c r="K65" s="168">
        <f t="shared" si="22"/>
        <v>0.63826635845108182</v>
      </c>
      <c r="L65" s="168">
        <f t="shared" si="22"/>
        <v>0.63826635845108182</v>
      </c>
      <c r="M65" s="168">
        <f t="shared" si="22"/>
        <v>0.63826635845108182</v>
      </c>
      <c r="N65" s="168">
        <f t="shared" si="22"/>
        <v>0.63826635845108182</v>
      </c>
      <c r="O65" s="168">
        <f t="shared" si="22"/>
        <v>0.63826635845108182</v>
      </c>
      <c r="P65" s="168">
        <f t="shared" si="22"/>
        <v>0.63826635845108182</v>
      </c>
      <c r="Q65" s="168">
        <f t="shared" si="22"/>
        <v>0.63826635845108182</v>
      </c>
      <c r="R65" s="168">
        <f t="shared" si="22"/>
        <v>0.63826635845108182</v>
      </c>
      <c r="S65" s="168">
        <f t="shared" si="22"/>
        <v>0.63826635845108182</v>
      </c>
      <c r="T65" s="168">
        <f t="shared" si="22"/>
        <v>0.63826635845108182</v>
      </c>
      <c r="U65" s="168">
        <f t="shared" si="22"/>
        <v>0.63826635845108182</v>
      </c>
      <c r="V65" s="168">
        <f t="shared" si="22"/>
        <v>0.63826635845108182</v>
      </c>
      <c r="W65" s="168">
        <f t="shared" si="22"/>
        <v>0.63826635845108182</v>
      </c>
      <c r="X65" s="168">
        <f t="shared" si="22"/>
        <v>0.63826635845108182</v>
      </c>
      <c r="Y65" s="168">
        <f t="shared" si="22"/>
        <v>0.63826635845108182</v>
      </c>
      <c r="Z65" s="168">
        <f t="shared" si="22"/>
        <v>0.63826635845108182</v>
      </c>
      <c r="AA65" s="168">
        <f t="shared" si="22"/>
        <v>0.63826635845108182</v>
      </c>
      <c r="AB65" s="168">
        <f t="shared" si="22"/>
        <v>0.63826635845108182</v>
      </c>
      <c r="AC65" s="168">
        <f t="shared" si="22"/>
        <v>0.63826635845108182</v>
      </c>
      <c r="AD65" s="168">
        <f t="shared" si="22"/>
        <v>0.63826635845108182</v>
      </c>
      <c r="AE65" s="168">
        <f t="shared" si="22"/>
        <v>0.63826635845108182</v>
      </c>
      <c r="AF65" s="168">
        <f t="shared" si="22"/>
        <v>0.63826635845108182</v>
      </c>
      <c r="AG65" s="168">
        <f t="shared" si="22"/>
        <v>0.63826635845108182</v>
      </c>
      <c r="AH65" s="168">
        <f t="shared" si="22"/>
        <v>0.63826635845108182</v>
      </c>
      <c r="AI65" s="168">
        <f>O17</f>
        <v>0.63826635845108182</v>
      </c>
    </row>
    <row r="66" spans="1:35" s="67" customFormat="1" x14ac:dyDescent="0.2">
      <c r="A66" s="307"/>
      <c r="B66" s="67" t="s">
        <v>329</v>
      </c>
      <c r="C66" s="67" t="s">
        <v>1750</v>
      </c>
      <c r="D66" t="s">
        <v>474</v>
      </c>
      <c r="E66" s="201">
        <f>F15</f>
        <v>0.36173364154891818</v>
      </c>
      <c r="F66" s="201">
        <f t="shared" ref="F66:AH71" si="23">-($E66-$AI66)/30+E66</f>
        <v>0.36173364154891818</v>
      </c>
      <c r="G66" s="201">
        <f t="shared" si="23"/>
        <v>0.36173364154891818</v>
      </c>
      <c r="H66" s="201">
        <f t="shared" si="23"/>
        <v>0.36173364154891818</v>
      </c>
      <c r="I66" s="201">
        <f t="shared" si="23"/>
        <v>0.36173364154891818</v>
      </c>
      <c r="J66" s="201">
        <f t="shared" si="23"/>
        <v>0.36173364154891818</v>
      </c>
      <c r="K66" s="201">
        <f t="shared" si="23"/>
        <v>0.36173364154891818</v>
      </c>
      <c r="L66" s="201">
        <f t="shared" si="23"/>
        <v>0.36173364154891818</v>
      </c>
      <c r="M66" s="201">
        <f t="shared" si="23"/>
        <v>0.36173364154891818</v>
      </c>
      <c r="N66" s="201">
        <f t="shared" si="23"/>
        <v>0.36173364154891818</v>
      </c>
      <c r="O66" s="201">
        <f t="shared" si="23"/>
        <v>0.36173364154891818</v>
      </c>
      <c r="P66" s="201">
        <f t="shared" si="23"/>
        <v>0.36173364154891818</v>
      </c>
      <c r="Q66" s="201">
        <f t="shared" si="23"/>
        <v>0.36173364154891818</v>
      </c>
      <c r="R66" s="201">
        <f t="shared" si="23"/>
        <v>0.36173364154891818</v>
      </c>
      <c r="S66" s="201">
        <f t="shared" si="23"/>
        <v>0.36173364154891818</v>
      </c>
      <c r="T66" s="201">
        <f t="shared" si="23"/>
        <v>0.36173364154891818</v>
      </c>
      <c r="U66" s="201">
        <f t="shared" si="23"/>
        <v>0.36173364154891818</v>
      </c>
      <c r="V66" s="201">
        <f t="shared" si="23"/>
        <v>0.36173364154891818</v>
      </c>
      <c r="W66" s="201">
        <f t="shared" si="23"/>
        <v>0.36173364154891818</v>
      </c>
      <c r="X66" s="201">
        <f t="shared" si="23"/>
        <v>0.36173364154891818</v>
      </c>
      <c r="Y66" s="201">
        <f t="shared" si="23"/>
        <v>0.36173364154891818</v>
      </c>
      <c r="Z66" s="201">
        <f t="shared" si="23"/>
        <v>0.36173364154891818</v>
      </c>
      <c r="AA66" s="201">
        <f t="shared" si="23"/>
        <v>0.36173364154891818</v>
      </c>
      <c r="AB66" s="201">
        <f t="shared" si="23"/>
        <v>0.36173364154891818</v>
      </c>
      <c r="AC66" s="201">
        <f t="shared" si="23"/>
        <v>0.36173364154891818</v>
      </c>
      <c r="AD66" s="201">
        <f t="shared" si="23"/>
        <v>0.36173364154891818</v>
      </c>
      <c r="AE66" s="201">
        <f t="shared" si="23"/>
        <v>0.36173364154891818</v>
      </c>
      <c r="AF66" s="201">
        <f t="shared" si="23"/>
        <v>0.36173364154891818</v>
      </c>
      <c r="AG66" s="201">
        <f t="shared" si="23"/>
        <v>0.36173364154891818</v>
      </c>
      <c r="AH66" s="201">
        <f t="shared" si="23"/>
        <v>0.36173364154891818</v>
      </c>
      <c r="AI66" s="201">
        <f>P15</f>
        <v>0.36173364154891818</v>
      </c>
    </row>
    <row r="67" spans="1:35" x14ac:dyDescent="0.2">
      <c r="A67" s="310"/>
      <c r="B67" t="s">
        <v>329</v>
      </c>
      <c r="D67" t="s">
        <v>745</v>
      </c>
      <c r="E67" s="168">
        <f>F16</f>
        <v>0</v>
      </c>
      <c r="F67" s="168">
        <f t="shared" si="23"/>
        <v>0</v>
      </c>
      <c r="G67" s="168">
        <f t="shared" si="23"/>
        <v>0</v>
      </c>
      <c r="H67" s="168">
        <f t="shared" si="23"/>
        <v>0</v>
      </c>
      <c r="I67" s="168">
        <f t="shared" si="23"/>
        <v>0</v>
      </c>
      <c r="J67" s="168">
        <f t="shared" si="23"/>
        <v>0</v>
      </c>
      <c r="K67" s="168">
        <f t="shared" si="23"/>
        <v>0</v>
      </c>
      <c r="L67" s="168">
        <f t="shared" si="23"/>
        <v>0</v>
      </c>
      <c r="M67" s="168">
        <f t="shared" si="23"/>
        <v>0</v>
      </c>
      <c r="N67" s="168">
        <f t="shared" si="23"/>
        <v>0</v>
      </c>
      <c r="O67" s="168">
        <f t="shared" si="23"/>
        <v>0</v>
      </c>
      <c r="P67" s="168">
        <f t="shared" si="23"/>
        <v>0</v>
      </c>
      <c r="Q67" s="168">
        <f t="shared" si="23"/>
        <v>0</v>
      </c>
      <c r="R67" s="168">
        <f t="shared" si="23"/>
        <v>0</v>
      </c>
      <c r="S67" s="168">
        <f t="shared" si="23"/>
        <v>0</v>
      </c>
      <c r="T67" s="168">
        <f t="shared" si="23"/>
        <v>0</v>
      </c>
      <c r="U67" s="168">
        <f t="shared" si="23"/>
        <v>0</v>
      </c>
      <c r="V67" s="168">
        <f t="shared" si="23"/>
        <v>0</v>
      </c>
      <c r="W67" s="168">
        <f t="shared" si="23"/>
        <v>0</v>
      </c>
      <c r="X67" s="168">
        <f t="shared" si="23"/>
        <v>0</v>
      </c>
      <c r="Y67" s="168">
        <f t="shared" si="23"/>
        <v>0</v>
      </c>
      <c r="Z67" s="168">
        <f t="shared" si="23"/>
        <v>0</v>
      </c>
      <c r="AA67" s="168">
        <f t="shared" si="23"/>
        <v>0</v>
      </c>
      <c r="AB67" s="168">
        <f t="shared" si="23"/>
        <v>0</v>
      </c>
      <c r="AC67" s="168">
        <f t="shared" si="23"/>
        <v>0</v>
      </c>
      <c r="AD67" s="168">
        <f t="shared" si="23"/>
        <v>0</v>
      </c>
      <c r="AE67" s="168">
        <f t="shared" si="23"/>
        <v>0</v>
      </c>
      <c r="AF67" s="168">
        <f t="shared" si="23"/>
        <v>0</v>
      </c>
      <c r="AG67" s="168">
        <f t="shared" si="23"/>
        <v>0</v>
      </c>
      <c r="AH67" s="168">
        <f t="shared" si="23"/>
        <v>0</v>
      </c>
      <c r="AI67" s="168">
        <f>P16</f>
        <v>0</v>
      </c>
    </row>
    <row r="68" spans="1:35" x14ac:dyDescent="0.2">
      <c r="A68" s="310"/>
      <c r="B68" t="s">
        <v>329</v>
      </c>
      <c r="D68" t="s">
        <v>248</v>
      </c>
      <c r="E68" s="168">
        <f>F17</f>
        <v>0.63826635845108182</v>
      </c>
      <c r="F68" s="168">
        <f t="shared" si="23"/>
        <v>0.63826635845108182</v>
      </c>
      <c r="G68" s="168">
        <f t="shared" si="23"/>
        <v>0.63826635845108182</v>
      </c>
      <c r="H68" s="168">
        <f t="shared" si="23"/>
        <v>0.63826635845108182</v>
      </c>
      <c r="I68" s="168">
        <f t="shared" si="23"/>
        <v>0.63826635845108182</v>
      </c>
      <c r="J68" s="168">
        <f t="shared" si="23"/>
        <v>0.63826635845108182</v>
      </c>
      <c r="K68" s="168">
        <f t="shared" si="23"/>
        <v>0.63826635845108182</v>
      </c>
      <c r="L68" s="168">
        <f t="shared" si="23"/>
        <v>0.63826635845108182</v>
      </c>
      <c r="M68" s="168">
        <f t="shared" si="23"/>
        <v>0.63826635845108182</v>
      </c>
      <c r="N68" s="168">
        <f t="shared" si="23"/>
        <v>0.63826635845108182</v>
      </c>
      <c r="O68" s="168">
        <f t="shared" si="23"/>
        <v>0.63826635845108182</v>
      </c>
      <c r="P68" s="168">
        <f t="shared" si="23"/>
        <v>0.63826635845108182</v>
      </c>
      <c r="Q68" s="168">
        <f t="shared" si="23"/>
        <v>0.63826635845108182</v>
      </c>
      <c r="R68" s="168">
        <f t="shared" si="23"/>
        <v>0.63826635845108182</v>
      </c>
      <c r="S68" s="168">
        <f t="shared" si="23"/>
        <v>0.63826635845108182</v>
      </c>
      <c r="T68" s="168">
        <f t="shared" si="23"/>
        <v>0.63826635845108182</v>
      </c>
      <c r="U68" s="168">
        <f t="shared" si="23"/>
        <v>0.63826635845108182</v>
      </c>
      <c r="V68" s="168">
        <f t="shared" si="23"/>
        <v>0.63826635845108182</v>
      </c>
      <c r="W68" s="168">
        <f t="shared" si="23"/>
        <v>0.63826635845108182</v>
      </c>
      <c r="X68" s="168">
        <f t="shared" si="23"/>
        <v>0.63826635845108182</v>
      </c>
      <c r="Y68" s="168">
        <f t="shared" si="23"/>
        <v>0.63826635845108182</v>
      </c>
      <c r="Z68" s="168">
        <f t="shared" si="23"/>
        <v>0.63826635845108182</v>
      </c>
      <c r="AA68" s="168">
        <f t="shared" si="23"/>
        <v>0.63826635845108182</v>
      </c>
      <c r="AB68" s="168">
        <f t="shared" si="23"/>
        <v>0.63826635845108182</v>
      </c>
      <c r="AC68" s="168">
        <f t="shared" si="23"/>
        <v>0.63826635845108182</v>
      </c>
      <c r="AD68" s="168">
        <f t="shared" si="23"/>
        <v>0.63826635845108182</v>
      </c>
      <c r="AE68" s="168">
        <f t="shared" si="23"/>
        <v>0.63826635845108182</v>
      </c>
      <c r="AF68" s="168">
        <f t="shared" si="23"/>
        <v>0.63826635845108182</v>
      </c>
      <c r="AG68" s="168">
        <f t="shared" si="23"/>
        <v>0.63826635845108182</v>
      </c>
      <c r="AH68" s="168">
        <f t="shared" si="23"/>
        <v>0.63826635845108182</v>
      </c>
      <c r="AI68" s="168">
        <f>P17</f>
        <v>0.63826635845108182</v>
      </c>
    </row>
    <row r="69" spans="1:35" s="67" customFormat="1" x14ac:dyDescent="0.2">
      <c r="A69" s="307"/>
      <c r="B69" s="67" t="s">
        <v>369</v>
      </c>
      <c r="C69" s="67" t="s">
        <v>1746</v>
      </c>
      <c r="D69" t="s">
        <v>474</v>
      </c>
      <c r="E69" s="201">
        <f>D21</f>
        <v>0</v>
      </c>
      <c r="F69" s="201">
        <f t="shared" si="23"/>
        <v>2.1800810171380903E-2</v>
      </c>
      <c r="G69" s="201">
        <f t="shared" si="23"/>
        <v>4.3601620342761806E-2</v>
      </c>
      <c r="H69" s="201">
        <f t="shared" si="23"/>
        <v>6.5402430514142712E-2</v>
      </c>
      <c r="I69" s="201">
        <f t="shared" si="23"/>
        <v>8.7203240685523611E-2</v>
      </c>
      <c r="J69" s="201">
        <f t="shared" si="23"/>
        <v>0.10900405085690451</v>
      </c>
      <c r="K69" s="201">
        <f t="shared" si="23"/>
        <v>0.13080486102828542</v>
      </c>
      <c r="L69" s="201">
        <f t="shared" si="23"/>
        <v>0.15260567119966634</v>
      </c>
      <c r="M69" s="201">
        <f t="shared" si="23"/>
        <v>0.17440648137104725</v>
      </c>
      <c r="N69" s="201">
        <f t="shared" si="23"/>
        <v>0.19620729154242816</v>
      </c>
      <c r="O69" s="201">
        <f t="shared" si="23"/>
        <v>0.21800810171380908</v>
      </c>
      <c r="P69" s="201">
        <f t="shared" si="23"/>
        <v>0.23980891188518999</v>
      </c>
      <c r="Q69" s="201">
        <f t="shared" si="23"/>
        <v>0.2616097220565709</v>
      </c>
      <c r="R69" s="201">
        <f t="shared" si="23"/>
        <v>0.28341053222795182</v>
      </c>
      <c r="S69" s="201">
        <f t="shared" si="23"/>
        <v>0.30521134239933273</v>
      </c>
      <c r="T69" s="201">
        <f t="shared" si="23"/>
        <v>0.32701215257071364</v>
      </c>
      <c r="U69" s="201">
        <f t="shared" si="23"/>
        <v>0.34881296274209456</v>
      </c>
      <c r="V69" s="201">
        <f t="shared" si="23"/>
        <v>0.37061377291347547</v>
      </c>
      <c r="W69" s="201">
        <f t="shared" si="23"/>
        <v>0.39241458308485638</v>
      </c>
      <c r="X69" s="201">
        <f t="shared" si="23"/>
        <v>0.4142153932562373</v>
      </c>
      <c r="Y69" s="201">
        <f t="shared" si="23"/>
        <v>0.43601620342761821</v>
      </c>
      <c r="Z69" s="201">
        <f t="shared" si="23"/>
        <v>0.45781701359899912</v>
      </c>
      <c r="AA69" s="201">
        <f t="shared" si="23"/>
        <v>0.47961782377038004</v>
      </c>
      <c r="AB69" s="201">
        <f t="shared" si="23"/>
        <v>0.50141863394176089</v>
      </c>
      <c r="AC69" s="201">
        <f t="shared" si="23"/>
        <v>0.52321944411314181</v>
      </c>
      <c r="AD69" s="201">
        <f t="shared" si="23"/>
        <v>0.54502025428452272</v>
      </c>
      <c r="AE69" s="201">
        <f t="shared" si="23"/>
        <v>0.56682106445590363</v>
      </c>
      <c r="AF69" s="201">
        <f t="shared" si="23"/>
        <v>0.58862187462728455</v>
      </c>
      <c r="AG69" s="201">
        <f t="shared" si="23"/>
        <v>0.61042268479866546</v>
      </c>
      <c r="AH69" s="201">
        <f t="shared" si="23"/>
        <v>0.63222349497004637</v>
      </c>
      <c r="AI69" s="201">
        <f>N21</f>
        <v>0.65402430514142706</v>
      </c>
    </row>
    <row r="70" spans="1:35" x14ac:dyDescent="0.2">
      <c r="A70" s="310"/>
      <c r="B70" t="s">
        <v>369</v>
      </c>
      <c r="C70" t="s">
        <v>1746</v>
      </c>
      <c r="D70" t="s">
        <v>745</v>
      </c>
      <c r="E70" s="168">
        <f>D22</f>
        <v>0.63527312382274215</v>
      </c>
      <c r="F70" s="168">
        <f t="shared" si="23"/>
        <v>0.6209255683169117</v>
      </c>
      <c r="G70" s="168">
        <f t="shared" si="23"/>
        <v>0.60657801281108126</v>
      </c>
      <c r="H70" s="168">
        <f t="shared" si="23"/>
        <v>0.59223045730525081</v>
      </c>
      <c r="I70" s="168">
        <f t="shared" si="23"/>
        <v>0.57788290179942037</v>
      </c>
      <c r="J70" s="168">
        <f t="shared" si="23"/>
        <v>0.56353534629358992</v>
      </c>
      <c r="K70" s="168">
        <f t="shared" si="23"/>
        <v>0.54918779078775948</v>
      </c>
      <c r="L70" s="168">
        <f t="shared" si="23"/>
        <v>0.53484023528192903</v>
      </c>
      <c r="M70" s="168">
        <f t="shared" si="23"/>
        <v>0.52049267977609859</v>
      </c>
      <c r="N70" s="168">
        <f t="shared" si="23"/>
        <v>0.50614512427026814</v>
      </c>
      <c r="O70" s="168">
        <f t="shared" si="23"/>
        <v>0.49179756876443775</v>
      </c>
      <c r="P70" s="168">
        <f t="shared" si="23"/>
        <v>0.47745001325860736</v>
      </c>
      <c r="Q70" s="168">
        <f t="shared" si="23"/>
        <v>0.46310245775277697</v>
      </c>
      <c r="R70" s="168">
        <f t="shared" si="23"/>
        <v>0.44875490224694659</v>
      </c>
      <c r="S70" s="168">
        <f t="shared" si="23"/>
        <v>0.4344073467411162</v>
      </c>
      <c r="T70" s="168">
        <f t="shared" si="23"/>
        <v>0.42005979123528581</v>
      </c>
      <c r="U70" s="168">
        <f t="shared" si="23"/>
        <v>0.40571223572945542</v>
      </c>
      <c r="V70" s="168">
        <f t="shared" si="23"/>
        <v>0.39136468022362503</v>
      </c>
      <c r="W70" s="168">
        <f t="shared" si="23"/>
        <v>0.37701712471779464</v>
      </c>
      <c r="X70" s="168">
        <f t="shared" si="23"/>
        <v>0.36266956921196425</v>
      </c>
      <c r="Y70" s="168">
        <f t="shared" si="23"/>
        <v>0.34832201370613386</v>
      </c>
      <c r="Z70" s="168">
        <f t="shared" si="23"/>
        <v>0.33397445820030347</v>
      </c>
      <c r="AA70" s="168">
        <f t="shared" si="23"/>
        <v>0.31962690269447308</v>
      </c>
      <c r="AB70" s="168">
        <f t="shared" si="23"/>
        <v>0.30527934718864269</v>
      </c>
      <c r="AC70" s="168">
        <f t="shared" si="23"/>
        <v>0.2909317916828123</v>
      </c>
      <c r="AD70" s="168">
        <f t="shared" si="23"/>
        <v>0.27658423617698191</v>
      </c>
      <c r="AE70" s="168">
        <f t="shared" si="23"/>
        <v>0.26223668067115152</v>
      </c>
      <c r="AF70" s="168">
        <f t="shared" si="23"/>
        <v>0.24788912516532111</v>
      </c>
      <c r="AG70" s="168">
        <f t="shared" si="23"/>
        <v>0.23354156965949069</v>
      </c>
      <c r="AH70" s="168">
        <f t="shared" si="23"/>
        <v>0.21919401415366027</v>
      </c>
      <c r="AI70" s="168">
        <f>N22</f>
        <v>0.20484645864782999</v>
      </c>
    </row>
    <row r="71" spans="1:35" x14ac:dyDescent="0.2">
      <c r="A71" s="310"/>
      <c r="B71" t="s">
        <v>369</v>
      </c>
      <c r="C71" t="s">
        <v>1746</v>
      </c>
      <c r="D71" t="s">
        <v>248</v>
      </c>
      <c r="E71" s="168">
        <f>D23</f>
        <v>0.36472687617725791</v>
      </c>
      <c r="F71" s="168">
        <f t="shared" si="23"/>
        <v>0.35727362151170738</v>
      </c>
      <c r="G71" s="168">
        <f t="shared" si="23"/>
        <v>0.34982036684615686</v>
      </c>
      <c r="H71" s="168">
        <f t="shared" si="23"/>
        <v>0.34236711218060634</v>
      </c>
      <c r="I71" s="168">
        <f t="shared" si="23"/>
        <v>0.33491385751505581</v>
      </c>
      <c r="J71" s="168">
        <f t="shared" si="23"/>
        <v>0.32746060284950529</v>
      </c>
      <c r="K71" s="168">
        <f t="shared" si="23"/>
        <v>0.32000734818395477</v>
      </c>
      <c r="L71" s="168">
        <f t="shared" si="23"/>
        <v>0.31255409351840424</v>
      </c>
      <c r="M71" s="168">
        <f t="shared" si="23"/>
        <v>0.30510083885285372</v>
      </c>
      <c r="N71" s="168">
        <f t="shared" si="23"/>
        <v>0.29764758418730319</v>
      </c>
      <c r="O71" s="168">
        <f t="shared" si="23"/>
        <v>0.29019432952175267</v>
      </c>
      <c r="P71" s="168">
        <f t="shared" si="23"/>
        <v>0.28274107485620215</v>
      </c>
      <c r="Q71" s="168">
        <f t="shared" si="23"/>
        <v>0.27528782019065162</v>
      </c>
      <c r="R71" s="168">
        <f t="shared" si="23"/>
        <v>0.2678345655251011</v>
      </c>
      <c r="S71" s="168">
        <f t="shared" si="23"/>
        <v>0.26038131085955057</v>
      </c>
      <c r="T71" s="168">
        <f t="shared" si="23"/>
        <v>0.25292805619400005</v>
      </c>
      <c r="U71" s="168">
        <f t="shared" si="23"/>
        <v>0.24547480152844955</v>
      </c>
      <c r="V71" s="168">
        <f t="shared" si="23"/>
        <v>0.23802154686289906</v>
      </c>
      <c r="W71" s="168">
        <f t="shared" si="23"/>
        <v>0.23056829219734856</v>
      </c>
      <c r="X71" s="168">
        <f t="shared" si="23"/>
        <v>0.22311503753179807</v>
      </c>
      <c r="Y71" s="168">
        <f t="shared" si="23"/>
        <v>0.21566178286624757</v>
      </c>
      <c r="Z71" s="168">
        <f t="shared" si="23"/>
        <v>0.20820852820069707</v>
      </c>
      <c r="AA71" s="168">
        <f t="shared" si="23"/>
        <v>0.20075527353514658</v>
      </c>
      <c r="AB71" s="168">
        <f t="shared" si="23"/>
        <v>0.19330201886959608</v>
      </c>
      <c r="AC71" s="168">
        <f t="shared" si="23"/>
        <v>0.18584876420404559</v>
      </c>
      <c r="AD71" s="168">
        <f t="shared" si="23"/>
        <v>0.17839550953849509</v>
      </c>
      <c r="AE71" s="168">
        <f t="shared" si="23"/>
        <v>0.17094225487294459</v>
      </c>
      <c r="AF71" s="168">
        <f t="shared" si="23"/>
        <v>0.1634890002073941</v>
      </c>
      <c r="AG71" s="168">
        <f t="shared" si="23"/>
        <v>0.1560357455418436</v>
      </c>
      <c r="AH71" s="168">
        <f t="shared" si="23"/>
        <v>0.14858249087629311</v>
      </c>
      <c r="AI71" s="168">
        <f>N23</f>
        <v>0.1411292362107428</v>
      </c>
    </row>
    <row r="72" spans="1:35" s="67" customFormat="1" x14ac:dyDescent="0.2">
      <c r="A72" s="307"/>
      <c r="B72" s="67" t="s">
        <v>248</v>
      </c>
      <c r="C72" s="67" t="s">
        <v>1746</v>
      </c>
      <c r="D72" t="s">
        <v>474</v>
      </c>
      <c r="E72" s="201">
        <f>D27</f>
        <v>0</v>
      </c>
      <c r="F72" s="201">
        <f t="shared" ref="F72:AH74" si="24">-($E72-$AI72)/30+E72</f>
        <v>0</v>
      </c>
      <c r="G72" s="201">
        <f t="shared" si="24"/>
        <v>0</v>
      </c>
      <c r="H72" s="201">
        <f t="shared" si="24"/>
        <v>0</v>
      </c>
      <c r="I72" s="201">
        <f t="shared" si="24"/>
        <v>0</v>
      </c>
      <c r="J72" s="201">
        <f t="shared" si="24"/>
        <v>0</v>
      </c>
      <c r="K72" s="201">
        <f t="shared" si="24"/>
        <v>0</v>
      </c>
      <c r="L72" s="201">
        <f t="shared" si="24"/>
        <v>0</v>
      </c>
      <c r="M72" s="201">
        <f t="shared" si="24"/>
        <v>0</v>
      </c>
      <c r="N72" s="201">
        <f t="shared" si="24"/>
        <v>0</v>
      </c>
      <c r="O72" s="201">
        <f t="shared" si="24"/>
        <v>0</v>
      </c>
      <c r="P72" s="201">
        <f t="shared" si="24"/>
        <v>0</v>
      </c>
      <c r="Q72" s="201">
        <f t="shared" si="24"/>
        <v>0</v>
      </c>
      <c r="R72" s="201">
        <f t="shared" si="24"/>
        <v>0</v>
      </c>
      <c r="S72" s="201">
        <f t="shared" si="24"/>
        <v>0</v>
      </c>
      <c r="T72" s="201">
        <f t="shared" si="24"/>
        <v>0</v>
      </c>
      <c r="U72" s="201">
        <f t="shared" si="24"/>
        <v>0</v>
      </c>
      <c r="V72" s="201">
        <f t="shared" si="24"/>
        <v>0</v>
      </c>
      <c r="W72" s="201">
        <f t="shared" si="24"/>
        <v>0</v>
      </c>
      <c r="X72" s="201">
        <f t="shared" si="24"/>
        <v>0</v>
      </c>
      <c r="Y72" s="201">
        <f t="shared" si="24"/>
        <v>0</v>
      </c>
      <c r="Z72" s="201">
        <f t="shared" si="24"/>
        <v>0</v>
      </c>
      <c r="AA72" s="201">
        <f t="shared" si="24"/>
        <v>0</v>
      </c>
      <c r="AB72" s="201">
        <f t="shared" si="24"/>
        <v>0</v>
      </c>
      <c r="AC72" s="201">
        <f t="shared" si="24"/>
        <v>0</v>
      </c>
      <c r="AD72" s="201">
        <f t="shared" si="24"/>
        <v>0</v>
      </c>
      <c r="AE72" s="201">
        <f t="shared" si="24"/>
        <v>0</v>
      </c>
      <c r="AF72" s="201">
        <f t="shared" si="24"/>
        <v>0</v>
      </c>
      <c r="AG72" s="201">
        <f t="shared" si="24"/>
        <v>0</v>
      </c>
      <c r="AH72" s="201">
        <f t="shared" si="24"/>
        <v>0</v>
      </c>
      <c r="AI72" s="201">
        <f>N27</f>
        <v>0</v>
      </c>
    </row>
    <row r="73" spans="1:35" x14ac:dyDescent="0.2">
      <c r="A73" s="310"/>
      <c r="B73" t="s">
        <v>248</v>
      </c>
      <c r="C73" t="s">
        <v>1746</v>
      </c>
      <c r="D73" t="s">
        <v>745</v>
      </c>
      <c r="E73" s="168">
        <f>D28</f>
        <v>0.30872851836327631</v>
      </c>
      <c r="F73" s="168">
        <f t="shared" si="24"/>
        <v>0.30872851836327631</v>
      </c>
      <c r="G73" s="168">
        <f t="shared" si="24"/>
        <v>0.30872851836327631</v>
      </c>
      <c r="H73" s="168">
        <f t="shared" si="24"/>
        <v>0.30872851836327631</v>
      </c>
      <c r="I73" s="168">
        <f t="shared" si="24"/>
        <v>0.30872851836327631</v>
      </c>
      <c r="J73" s="168">
        <f t="shared" si="24"/>
        <v>0.30872851836327631</v>
      </c>
      <c r="K73" s="168">
        <f t="shared" si="24"/>
        <v>0.30872851836327631</v>
      </c>
      <c r="L73" s="168">
        <f t="shared" si="24"/>
        <v>0.30872851836327631</v>
      </c>
      <c r="M73" s="168">
        <f t="shared" si="24"/>
        <v>0.30872851836327631</v>
      </c>
      <c r="N73" s="168">
        <f t="shared" si="24"/>
        <v>0.30872851836327631</v>
      </c>
      <c r="O73" s="168">
        <f t="shared" si="24"/>
        <v>0.30872851836327631</v>
      </c>
      <c r="P73" s="168">
        <f t="shared" si="24"/>
        <v>0.30872851836327631</v>
      </c>
      <c r="Q73" s="168">
        <f t="shared" si="24"/>
        <v>0.30872851836327631</v>
      </c>
      <c r="R73" s="168">
        <f t="shared" si="24"/>
        <v>0.30872851836327631</v>
      </c>
      <c r="S73" s="168">
        <f t="shared" si="24"/>
        <v>0.30872851836327631</v>
      </c>
      <c r="T73" s="168">
        <f t="shared" si="24"/>
        <v>0.30872851836327631</v>
      </c>
      <c r="U73" s="168">
        <f t="shared" si="24"/>
        <v>0.30872851836327631</v>
      </c>
      <c r="V73" s="168">
        <f t="shared" si="24"/>
        <v>0.30872851836327631</v>
      </c>
      <c r="W73" s="168">
        <f t="shared" si="24"/>
        <v>0.30872851836327631</v>
      </c>
      <c r="X73" s="168">
        <f t="shared" si="24"/>
        <v>0.30872851836327631</v>
      </c>
      <c r="Y73" s="168">
        <f t="shared" si="24"/>
        <v>0.30872851836327631</v>
      </c>
      <c r="Z73" s="168">
        <f t="shared" si="24"/>
        <v>0.30872851836327631</v>
      </c>
      <c r="AA73" s="168">
        <f t="shared" si="24"/>
        <v>0.30872851836327631</v>
      </c>
      <c r="AB73" s="168">
        <f t="shared" si="24"/>
        <v>0.30872851836327631</v>
      </c>
      <c r="AC73" s="168">
        <f t="shared" si="24"/>
        <v>0.30872851836327631</v>
      </c>
      <c r="AD73" s="168">
        <f t="shared" si="24"/>
        <v>0.30872851836327631</v>
      </c>
      <c r="AE73" s="168">
        <f t="shared" si="24"/>
        <v>0.30872851836327631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v>1746</v>
      </c>
      <c r="D74" t="s">
        <v>248</v>
      </c>
      <c r="E74" s="168">
        <f>D29</f>
        <v>0.69127148163672369</v>
      </c>
      <c r="F74" s="168">
        <f t="shared" si="24"/>
        <v>0.69127148163672369</v>
      </c>
      <c r="G74" s="168">
        <f t="shared" si="24"/>
        <v>0.69127148163672369</v>
      </c>
      <c r="H74" s="168">
        <f t="shared" si="24"/>
        <v>0.69127148163672369</v>
      </c>
      <c r="I74" s="168">
        <f t="shared" si="24"/>
        <v>0.69127148163672369</v>
      </c>
      <c r="J74" s="168">
        <f t="shared" si="24"/>
        <v>0.69127148163672369</v>
      </c>
      <c r="K74" s="168">
        <f t="shared" si="24"/>
        <v>0.69127148163672369</v>
      </c>
      <c r="L74" s="168">
        <f t="shared" si="24"/>
        <v>0.69127148163672369</v>
      </c>
      <c r="M74" s="168">
        <f t="shared" si="24"/>
        <v>0.69127148163672369</v>
      </c>
      <c r="N74" s="168">
        <f t="shared" si="24"/>
        <v>0.69127148163672369</v>
      </c>
      <c r="O74" s="168">
        <f t="shared" si="24"/>
        <v>0.69127148163672369</v>
      </c>
      <c r="P74" s="168">
        <f t="shared" si="24"/>
        <v>0.69127148163672369</v>
      </c>
      <c r="Q74" s="168">
        <f t="shared" si="24"/>
        <v>0.69127148163672369</v>
      </c>
      <c r="R74" s="168">
        <f t="shared" si="24"/>
        <v>0.69127148163672369</v>
      </c>
      <c r="S74" s="168">
        <f t="shared" si="24"/>
        <v>0.69127148163672369</v>
      </c>
      <c r="T74" s="168">
        <f t="shared" si="24"/>
        <v>0.69127148163672369</v>
      </c>
      <c r="U74" s="168">
        <f t="shared" si="24"/>
        <v>0.69127148163672369</v>
      </c>
      <c r="V74" s="168">
        <f t="shared" si="24"/>
        <v>0.69127148163672369</v>
      </c>
      <c r="W74" s="168">
        <f t="shared" si="24"/>
        <v>0.69127148163672369</v>
      </c>
      <c r="X74" s="168">
        <f t="shared" si="24"/>
        <v>0.69127148163672369</v>
      </c>
      <c r="Y74" s="168">
        <f t="shared" si="24"/>
        <v>0.69127148163672369</v>
      </c>
      <c r="Z74" s="168">
        <f t="shared" si="24"/>
        <v>0.69127148163672369</v>
      </c>
      <c r="AA74" s="168">
        <f t="shared" si="24"/>
        <v>0.69127148163672369</v>
      </c>
      <c r="AB74" s="168">
        <f t="shared" si="24"/>
        <v>0.69127148163672369</v>
      </c>
      <c r="AC74" s="168">
        <f t="shared" si="24"/>
        <v>0.69127148163672369</v>
      </c>
      <c r="AD74" s="168">
        <f t="shared" si="24"/>
        <v>0.69127148163672369</v>
      </c>
      <c r="AE74" s="168">
        <f t="shared" si="24"/>
        <v>0.69127148163672369</v>
      </c>
      <c r="AF74" s="168">
        <f t="shared" si="24"/>
        <v>0.69127148163672369</v>
      </c>
      <c r="AG74" s="168">
        <f t="shared" si="24"/>
        <v>0.69127148163672369</v>
      </c>
      <c r="AH74" s="168">
        <f t="shared" si="24"/>
        <v>0.69127148163672369</v>
      </c>
      <c r="AI74" s="168">
        <f>N29</f>
        <v>0.69127148163672369</v>
      </c>
    </row>
  </sheetData>
  <mergeCells count="5">
    <mergeCell ref="I21:I23"/>
    <mergeCell ref="I27:I29"/>
    <mergeCell ref="J3:J5"/>
    <mergeCell ref="I9:I11"/>
    <mergeCell ref="I15:I17"/>
  </mergeCells>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0A83F3-D692-47A7-96D5-6EDE8331E4A5}">
  <sheetPr>
    <tabColor theme="4"/>
  </sheetPr>
  <dimension ref="A1:AI112"/>
  <sheetViews>
    <sheetView zoomScale="70" zoomScaleNormal="70" workbookViewId="0">
      <selection activeCell="C3" sqref="C3"/>
    </sheetView>
  </sheetViews>
  <sheetFormatPr baseColWidth="10" defaultColWidth="8.83203125" defaultRowHeight="15" x14ac:dyDescent="0.2"/>
  <cols>
    <col min="2" max="2" width="11.1640625" customWidth="1"/>
    <col min="3" max="3" width="9.33203125" customWidth="1"/>
    <col min="4" max="4" width="12.1640625" bestFit="1" customWidth="1"/>
    <col min="5" max="5" width="15.5" bestFit="1" customWidth="1"/>
    <col min="6" max="6" width="20" bestFit="1" customWidth="1"/>
    <col min="9" max="9" width="14.83203125" customWidth="1"/>
    <col min="11" max="12" width="11.1640625" customWidth="1"/>
    <col min="13" max="13" width="9.33203125" customWidth="1"/>
    <col min="14" max="14" width="12.1640625" bestFit="1" customWidth="1"/>
    <col min="15" max="15" width="15.5" bestFit="1" customWidth="1"/>
    <col min="16" max="16" width="11.1640625" bestFit="1" customWidth="1"/>
    <col min="19" max="19" width="14.83203125" customWidth="1"/>
    <col min="20" max="20" width="8.6640625" customWidth="1"/>
    <col min="21" max="21" width="14.1640625" customWidth="1"/>
    <col min="22" max="34" width="8.6640625" customWidth="1"/>
  </cols>
  <sheetData>
    <row r="1" spans="2:35" x14ac:dyDescent="0.2">
      <c r="B1">
        <v>2020</v>
      </c>
      <c r="K1">
        <v>2050</v>
      </c>
    </row>
    <row r="2" spans="2:35" x14ac:dyDescent="0.2">
      <c r="B2" t="s">
        <v>309</v>
      </c>
      <c r="C2" t="s">
        <v>1746</v>
      </c>
      <c r="D2" t="s">
        <v>1747</v>
      </c>
      <c r="E2" t="s">
        <v>1748</v>
      </c>
      <c r="F2" t="s">
        <v>1749</v>
      </c>
      <c r="G2" t="s">
        <v>1750</v>
      </c>
      <c r="K2" t="s">
        <v>309</v>
      </c>
      <c r="M2" t="s">
        <v>1746</v>
      </c>
      <c r="N2" t="s">
        <v>1747</v>
      </c>
      <c r="O2" t="s">
        <v>1748</v>
      </c>
      <c r="P2" t="s">
        <v>1749</v>
      </c>
      <c r="Q2" t="s">
        <v>1750</v>
      </c>
      <c r="V2" t="s">
        <v>1709</v>
      </c>
    </row>
    <row r="3" spans="2:35" x14ac:dyDescent="0.2">
      <c r="B3" t="s">
        <v>258</v>
      </c>
      <c r="C3" s="2">
        <f t="shared" ref="C3:G4" si="0">V31</f>
        <v>0.92769168914429945</v>
      </c>
      <c r="D3" s="2">
        <f t="shared" si="0"/>
        <v>0</v>
      </c>
      <c r="E3" s="2">
        <f t="shared" si="0"/>
        <v>1</v>
      </c>
      <c r="F3" s="2">
        <f t="shared" si="0"/>
        <v>1</v>
      </c>
      <c r="G3" s="2">
        <f t="shared" si="0"/>
        <v>0.71762870357071562</v>
      </c>
      <c r="I3" s="685" t="s">
        <v>1755</v>
      </c>
      <c r="K3" t="s">
        <v>258</v>
      </c>
      <c r="L3" s="44">
        <f>'Overall recycling rates'!C12*'Overall recycling rates'!C57</f>
        <v>99.065588317623352</v>
      </c>
      <c r="M3" s="2">
        <f>$L3/$L$8</f>
        <v>0.90956628275374496</v>
      </c>
      <c r="N3" s="56">
        <v>0</v>
      </c>
      <c r="O3" s="56">
        <v>1</v>
      </c>
      <c r="P3" s="2">
        <v>0.65</v>
      </c>
      <c r="Q3" s="2">
        <f t="shared" ref="Q3" si="1">$L3/$L$8</f>
        <v>0.90956628275374496</v>
      </c>
      <c r="S3" s="696" t="s">
        <v>1752</v>
      </c>
      <c r="V3" t="s">
        <v>1024</v>
      </c>
      <c r="W3" t="s">
        <v>1710</v>
      </c>
      <c r="X3" t="s">
        <v>1711</v>
      </c>
      <c r="Y3" t="s">
        <v>1712</v>
      </c>
      <c r="Z3" t="s">
        <v>1713</v>
      </c>
      <c r="AA3" t="s">
        <v>370</v>
      </c>
      <c r="AB3" t="s">
        <v>1714</v>
      </c>
      <c r="AC3" t="s">
        <v>1715</v>
      </c>
      <c r="AD3" t="s">
        <v>1716</v>
      </c>
      <c r="AE3" t="s">
        <v>248</v>
      </c>
      <c r="AF3" t="s">
        <v>1717</v>
      </c>
    </row>
    <row r="4" spans="2:35" x14ac:dyDescent="0.2">
      <c r="B4" t="s">
        <v>478</v>
      </c>
      <c r="C4" s="2">
        <f t="shared" si="0"/>
        <v>0</v>
      </c>
      <c r="D4" s="2">
        <f t="shared" si="0"/>
        <v>0</v>
      </c>
      <c r="E4" s="2">
        <f t="shared" si="0"/>
        <v>0</v>
      </c>
      <c r="F4" s="2">
        <f t="shared" si="0"/>
        <v>0</v>
      </c>
      <c r="G4" s="2">
        <f t="shared" si="0"/>
        <v>0.26057170849044342</v>
      </c>
      <c r="I4" s="685"/>
      <c r="K4" t="s">
        <v>478</v>
      </c>
      <c r="L4" s="44">
        <f>'Overall recycling rates'!E57*'Overall recycling rates'!E12/2</f>
        <v>1.991665651901726</v>
      </c>
      <c r="M4" s="2">
        <f t="shared" ref="M4:Q7" si="2">$L4/$L$8</f>
        <v>1.8286389393664958E-2</v>
      </c>
      <c r="N4" s="56">
        <v>0</v>
      </c>
      <c r="O4" s="56">
        <v>0</v>
      </c>
      <c r="P4" s="2">
        <v>0.1</v>
      </c>
      <c r="Q4" s="2">
        <f t="shared" si="2"/>
        <v>1.8286389393664958E-2</v>
      </c>
      <c r="S4" s="696"/>
      <c r="U4" t="s">
        <v>474</v>
      </c>
      <c r="V4" s="420">
        <v>3.0599999999999999E-2</v>
      </c>
      <c r="W4" s="420">
        <v>1.21E-2</v>
      </c>
      <c r="X4" s="420">
        <v>5.4000000000000003E-3</v>
      </c>
      <c r="Y4" s="420">
        <v>1.3899999999999999E-2</v>
      </c>
      <c r="Z4" s="420">
        <v>2.8999999999999998E-3</v>
      </c>
      <c r="AA4" s="420">
        <v>0</v>
      </c>
      <c r="AB4" s="420">
        <v>0</v>
      </c>
      <c r="AC4" s="420">
        <v>0</v>
      </c>
      <c r="AD4" s="420">
        <v>0</v>
      </c>
      <c r="AE4" s="420">
        <v>8.0000000000000004E-4</v>
      </c>
      <c r="AF4" s="420">
        <v>5.1999999999999998E-3</v>
      </c>
      <c r="AG4" s="384"/>
      <c r="AH4" s="384"/>
      <c r="AI4" s="6"/>
    </row>
    <row r="5" spans="2:35" x14ac:dyDescent="0.2">
      <c r="B5" t="s">
        <v>480</v>
      </c>
      <c r="C5" s="56">
        <v>0</v>
      </c>
      <c r="D5" s="56">
        <v>0</v>
      </c>
      <c r="E5" s="56">
        <v>0</v>
      </c>
      <c r="F5" s="56">
        <v>0</v>
      </c>
      <c r="G5" s="56">
        <v>0</v>
      </c>
      <c r="I5" s="685"/>
      <c r="K5" t="s">
        <v>480</v>
      </c>
      <c r="L5" s="44">
        <f>'Overall recycling rates'!F12*'Overall recycling rates'!F57</f>
        <v>2.4296377864760177</v>
      </c>
      <c r="M5" s="2">
        <f t="shared" si="2"/>
        <v>2.2307611022281626E-2</v>
      </c>
      <c r="N5" s="56">
        <v>0</v>
      </c>
      <c r="O5" s="56">
        <v>0</v>
      </c>
      <c r="P5" s="2">
        <v>0.15</v>
      </c>
      <c r="Q5" s="2">
        <f t="shared" si="2"/>
        <v>2.2307611022281626E-2</v>
      </c>
      <c r="S5" s="696"/>
      <c r="U5" t="s">
        <v>472</v>
      </c>
      <c r="V5" s="420">
        <v>0</v>
      </c>
      <c r="W5" s="420">
        <v>1.6000000000000001E-3</v>
      </c>
      <c r="X5" s="420">
        <v>0</v>
      </c>
      <c r="Y5" s="420">
        <v>0</v>
      </c>
      <c r="Z5" s="420">
        <v>1.8200000000000001E-2</v>
      </c>
      <c r="AA5" s="420">
        <v>3.3999999999999998E-3</v>
      </c>
      <c r="AB5" s="420">
        <v>0.02</v>
      </c>
      <c r="AC5" s="420">
        <v>1.9900000000000001E-2</v>
      </c>
      <c r="AD5" s="420">
        <v>0</v>
      </c>
      <c r="AE5" s="420">
        <v>1.6000000000000001E-3</v>
      </c>
      <c r="AF5" s="420">
        <v>7.6E-3</v>
      </c>
      <c r="AG5" s="384"/>
      <c r="AH5" s="384"/>
      <c r="AI5" s="384"/>
    </row>
    <row r="6" spans="2:35" x14ac:dyDescent="0.2">
      <c r="B6" t="s">
        <v>474</v>
      </c>
      <c r="C6" s="2">
        <f>V33</f>
        <v>7.2308310855700428E-2</v>
      </c>
      <c r="D6" s="2">
        <f>W33</f>
        <v>1</v>
      </c>
      <c r="E6" s="2">
        <f>X33</f>
        <v>0</v>
      </c>
      <c r="F6" s="2">
        <f>Y33</f>
        <v>0</v>
      </c>
      <c r="G6" s="2">
        <f>Z33</f>
        <v>2.1799587938840969E-2</v>
      </c>
      <c r="I6" s="685"/>
      <c r="K6" t="s">
        <v>474</v>
      </c>
      <c r="L6" s="44">
        <f>'Overall recycling rates'!G12*'Overall recycling rates'!G57</f>
        <v>5.319836464491801</v>
      </c>
      <c r="M6" s="2">
        <f t="shared" si="2"/>
        <v>4.8843841338242371E-2</v>
      </c>
      <c r="N6" s="56">
        <v>1</v>
      </c>
      <c r="O6" s="56">
        <v>0</v>
      </c>
      <c r="P6" s="2">
        <v>0.05</v>
      </c>
      <c r="Q6" s="2">
        <f t="shared" si="2"/>
        <v>4.8843841338242371E-2</v>
      </c>
      <c r="S6" s="696"/>
      <c r="U6" t="s">
        <v>477</v>
      </c>
      <c r="V6" s="420">
        <v>0</v>
      </c>
      <c r="W6" s="420">
        <v>0</v>
      </c>
      <c r="X6" s="420">
        <v>0</v>
      </c>
      <c r="Y6" s="420">
        <v>0</v>
      </c>
      <c r="Z6" s="420">
        <v>0</v>
      </c>
      <c r="AA6" s="420">
        <v>0</v>
      </c>
      <c r="AB6" s="420">
        <v>0</v>
      </c>
      <c r="AC6" s="420">
        <v>1.5800000000000002E-2</v>
      </c>
      <c r="AD6" s="420">
        <v>0</v>
      </c>
      <c r="AE6" s="420">
        <v>0</v>
      </c>
      <c r="AF6" s="420">
        <v>2.3999999999999998E-3</v>
      </c>
      <c r="AG6" s="384"/>
      <c r="AH6" s="384"/>
      <c r="AI6" s="6"/>
    </row>
    <row r="7" spans="2:35" x14ac:dyDescent="0.2">
      <c r="B7" t="s">
        <v>248</v>
      </c>
      <c r="C7" s="56">
        <v>0</v>
      </c>
      <c r="D7" s="56">
        <v>0</v>
      </c>
      <c r="E7" s="56">
        <v>0</v>
      </c>
      <c r="F7" s="56">
        <v>0</v>
      </c>
      <c r="G7" s="56">
        <v>0</v>
      </c>
      <c r="I7" s="685"/>
      <c r="K7" t="s">
        <v>248</v>
      </c>
      <c r="L7" s="44">
        <f>'Overall recycling rates'!I12*'Overall recycling rates'!I57</f>
        <v>0.10846597261053653</v>
      </c>
      <c r="M7" s="2">
        <f t="shared" si="2"/>
        <v>9.9587549206614414E-4</v>
      </c>
      <c r="N7" s="56">
        <f t="shared" si="2"/>
        <v>9.9587549206614414E-4</v>
      </c>
      <c r="O7" s="56">
        <v>0</v>
      </c>
      <c r="P7" s="2">
        <v>0.05</v>
      </c>
      <c r="Q7" s="2">
        <f t="shared" si="2"/>
        <v>9.9587549206614414E-4</v>
      </c>
      <c r="S7" s="696"/>
      <c r="U7" t="s">
        <v>473</v>
      </c>
      <c r="V7" s="420">
        <v>0</v>
      </c>
      <c r="W7" s="420">
        <v>8.9999999999999993E-3</v>
      </c>
      <c r="X7" s="420">
        <v>0</v>
      </c>
      <c r="Y7" s="420">
        <v>0</v>
      </c>
      <c r="Z7" s="420">
        <v>0</v>
      </c>
      <c r="AA7" s="420">
        <v>0</v>
      </c>
      <c r="AB7" s="420">
        <v>0</v>
      </c>
      <c r="AC7" s="420">
        <v>0</v>
      </c>
      <c r="AD7" s="420">
        <v>3.0999999999999999E-3</v>
      </c>
      <c r="AE7" s="420">
        <v>1.5E-3</v>
      </c>
      <c r="AF7" s="420">
        <v>1.1299999999999999E-2</v>
      </c>
      <c r="AG7" s="384"/>
      <c r="AH7" s="384"/>
    </row>
    <row r="8" spans="2:35" x14ac:dyDescent="0.2">
      <c r="C8" s="2">
        <f>SUM(C3:C7)</f>
        <v>0.99999999999999989</v>
      </c>
      <c r="D8" s="2">
        <f t="shared" ref="D8:G8" si="3">SUM(D3:D7)</f>
        <v>1</v>
      </c>
      <c r="E8" s="2">
        <f t="shared" si="3"/>
        <v>1</v>
      </c>
      <c r="F8" s="2">
        <f t="shared" si="3"/>
        <v>1</v>
      </c>
      <c r="G8" s="2">
        <f t="shared" si="3"/>
        <v>1</v>
      </c>
      <c r="I8" s="685"/>
      <c r="L8" s="44">
        <f>SUM(L3:L7)</f>
        <v>108.91519419310343</v>
      </c>
      <c r="M8" s="2">
        <f>SUM(M3:M7)</f>
        <v>1</v>
      </c>
      <c r="N8" s="2">
        <f t="shared" ref="N8" si="4">SUM(N3:N7)</f>
        <v>1.000995875492066</v>
      </c>
      <c r="O8" s="2">
        <f t="shared" ref="O8" si="5">SUM(O3:O7)</f>
        <v>1</v>
      </c>
      <c r="P8" s="2">
        <f t="shared" ref="P8" si="6">SUM(P3:P7)</f>
        <v>1</v>
      </c>
      <c r="Q8" s="2">
        <f t="shared" ref="Q8" si="7">SUM(Q3:Q7)</f>
        <v>1</v>
      </c>
      <c r="S8" s="696"/>
      <c r="U8" t="s">
        <v>634</v>
      </c>
      <c r="V8" s="420">
        <v>0</v>
      </c>
      <c r="W8" s="420">
        <v>0</v>
      </c>
      <c r="X8" s="420">
        <v>0</v>
      </c>
      <c r="Y8" s="420">
        <v>0</v>
      </c>
      <c r="Z8" s="420">
        <v>0</v>
      </c>
      <c r="AA8" s="420">
        <v>0</v>
      </c>
      <c r="AB8" s="420">
        <v>0</v>
      </c>
      <c r="AC8" s="420">
        <v>0</v>
      </c>
      <c r="AD8" s="420">
        <v>0</v>
      </c>
      <c r="AE8" s="420">
        <v>0</v>
      </c>
      <c r="AF8" s="420">
        <v>2.0000000000000001E-4</v>
      </c>
      <c r="AG8" s="384"/>
      <c r="AH8" s="384"/>
      <c r="AI8" s="384"/>
    </row>
    <row r="9" spans="2:35" x14ac:dyDescent="0.2">
      <c r="AG9" s="384"/>
      <c r="AH9" s="384"/>
    </row>
    <row r="10" spans="2:35" x14ac:dyDescent="0.2">
      <c r="B10" t="s">
        <v>370</v>
      </c>
      <c r="D10" t="s">
        <v>1746</v>
      </c>
      <c r="E10" t="s">
        <v>1753</v>
      </c>
      <c r="F10" t="s">
        <v>1754</v>
      </c>
      <c r="G10" t="s">
        <v>1750</v>
      </c>
      <c r="K10" t="s">
        <v>370</v>
      </c>
      <c r="M10" t="s">
        <v>1746</v>
      </c>
      <c r="N10" t="s">
        <v>1753</v>
      </c>
      <c r="O10" t="s">
        <v>1754</v>
      </c>
      <c r="P10" t="s">
        <v>1750</v>
      </c>
      <c r="V10" s="271"/>
    </row>
    <row r="11" spans="2:35" x14ac:dyDescent="0.2">
      <c r="B11" t="s">
        <v>258</v>
      </c>
      <c r="C11" s="256">
        <f>'Overall recycling rates'!C41*'Overall recycling rates'!C57</f>
        <v>6.3524918131924138E-2</v>
      </c>
      <c r="D11" s="2">
        <f>$C11/$C$16</f>
        <v>0.80683781047114178</v>
      </c>
      <c r="E11" s="2">
        <f t="shared" ref="E11:G15" si="8">$C11/$C$16</f>
        <v>0.80683781047114178</v>
      </c>
      <c r="F11" s="2">
        <f t="shared" si="8"/>
        <v>0.80683781047114178</v>
      </c>
      <c r="G11" s="2">
        <f t="shared" si="8"/>
        <v>0.80683781047114178</v>
      </c>
      <c r="I11" s="695" t="s">
        <v>1751</v>
      </c>
      <c r="K11" t="s">
        <v>258</v>
      </c>
      <c r="L11" s="44">
        <f>'Overall recycling rates'!C14*'Overall recycling rates'!C57</f>
        <v>1.853728137645825</v>
      </c>
      <c r="M11" s="2">
        <f>$L11/$L$16</f>
        <v>0.71747448979591832</v>
      </c>
      <c r="N11" s="2">
        <f t="shared" ref="N11:P11" si="9">$L11/$L$16</f>
        <v>0.71747448979591832</v>
      </c>
      <c r="O11" s="2">
        <f t="shared" si="9"/>
        <v>0.71747448979591832</v>
      </c>
      <c r="P11" s="2">
        <f t="shared" si="9"/>
        <v>0.71747448979591832</v>
      </c>
      <c r="S11" s="696" t="s">
        <v>1752</v>
      </c>
      <c r="U11" t="s">
        <v>1718</v>
      </c>
      <c r="V11" t="s">
        <v>324</v>
      </c>
      <c r="W11" t="s">
        <v>1719</v>
      </c>
      <c r="X11" t="s">
        <v>370</v>
      </c>
      <c r="Y11" t="s">
        <v>369</v>
      </c>
      <c r="Z11" t="s">
        <v>248</v>
      </c>
      <c r="AA11" t="s">
        <v>1717</v>
      </c>
    </row>
    <row r="12" spans="2:35" x14ac:dyDescent="0.2">
      <c r="B12" t="s">
        <v>478</v>
      </c>
      <c r="C12" s="256">
        <f>'Overall recycling rates'!E41*'Overall recycling rates'!E57</f>
        <v>7.8784779611422232E-3</v>
      </c>
      <c r="D12" s="2">
        <f t="shared" ref="D12:D15" si="10">$C12/$C$16</f>
        <v>0.10006551908988028</v>
      </c>
      <c r="E12" s="2">
        <f t="shared" si="8"/>
        <v>0.10006551908988028</v>
      </c>
      <c r="F12" s="2">
        <f t="shared" si="8"/>
        <v>0.10006551908988028</v>
      </c>
      <c r="G12" s="2">
        <f t="shared" si="8"/>
        <v>0.10006551908988028</v>
      </c>
      <c r="I12" s="695"/>
      <c r="K12" t="s">
        <v>478</v>
      </c>
      <c r="L12" s="44">
        <f>'Overall recycling rates'!E14*'Overall recycling rates'!E57</f>
        <v>0</v>
      </c>
      <c r="M12" s="2">
        <f t="shared" ref="M12:P15" si="11">$L12/$L$16</f>
        <v>0</v>
      </c>
      <c r="N12" s="2">
        <f t="shared" si="11"/>
        <v>0</v>
      </c>
      <c r="O12" s="2">
        <f t="shared" si="11"/>
        <v>0</v>
      </c>
      <c r="P12" s="2">
        <f t="shared" si="11"/>
        <v>0</v>
      </c>
      <c r="S12" s="696"/>
      <c r="U12" t="s">
        <v>258</v>
      </c>
      <c r="V12" s="384">
        <f>SUM(W5,X5,Y5,Z5,AC5,AD5,W7,X7,Y7,Z7,AC7,AD7)</f>
        <v>5.1799999999999999E-2</v>
      </c>
      <c r="W12" s="384">
        <f>V5+V7</f>
        <v>0</v>
      </c>
      <c r="X12" s="384">
        <f>AA5+AA7</f>
        <v>3.3999999999999998E-3</v>
      </c>
      <c r="Y12" s="384">
        <f>AB5+AB7</f>
        <v>0.02</v>
      </c>
      <c r="Z12" s="384">
        <f>AE5+AE7</f>
        <v>3.1000000000000003E-3</v>
      </c>
      <c r="AA12" s="384">
        <f>AF5+AF7</f>
        <v>1.89E-2</v>
      </c>
    </row>
    <row r="13" spans="2:35" x14ac:dyDescent="0.2">
      <c r="B13" t="s">
        <v>480</v>
      </c>
      <c r="C13" s="381">
        <f>'Overall recycling rates'!F41*'Overall recycling rates'!F57</f>
        <v>0</v>
      </c>
      <c r="D13" s="2">
        <f t="shared" si="10"/>
        <v>0</v>
      </c>
      <c r="E13" s="2">
        <f t="shared" si="8"/>
        <v>0</v>
      </c>
      <c r="F13" s="2">
        <f t="shared" si="8"/>
        <v>0</v>
      </c>
      <c r="G13" s="2">
        <f t="shared" si="8"/>
        <v>0</v>
      </c>
      <c r="I13" s="695"/>
      <c r="K13" t="s">
        <v>480</v>
      </c>
      <c r="L13" s="44">
        <f>'Overall recycling rates'!F14*'Overall recycling rates'!F57</f>
        <v>0.27682340188844323</v>
      </c>
      <c r="M13" s="2">
        <f t="shared" si="11"/>
        <v>0.10714285714285714</v>
      </c>
      <c r="N13" s="2">
        <f t="shared" si="11"/>
        <v>0.10714285714285714</v>
      </c>
      <c r="O13" s="2">
        <f t="shared" si="11"/>
        <v>0.10714285714285714</v>
      </c>
      <c r="P13" s="2">
        <f t="shared" si="11"/>
        <v>0.10714285714285714</v>
      </c>
      <c r="S13" s="696"/>
      <c r="U13" t="s">
        <v>477</v>
      </c>
      <c r="V13" s="384">
        <f>SUM(W6,X6,Y6,Z6,AC6,AD6)</f>
        <v>1.5800000000000002E-2</v>
      </c>
      <c r="W13" s="384">
        <f>V6</f>
        <v>0</v>
      </c>
      <c r="X13" s="384">
        <f>AA6</f>
        <v>0</v>
      </c>
      <c r="Y13" s="384">
        <f>AB6</f>
        <v>0</v>
      </c>
      <c r="Z13" s="384">
        <f>AE6</f>
        <v>0</v>
      </c>
      <c r="AA13" s="384">
        <f>AF6</f>
        <v>2.3999999999999998E-3</v>
      </c>
    </row>
    <row r="14" spans="2:35" x14ac:dyDescent="0.2">
      <c r="B14" t="s">
        <v>474</v>
      </c>
      <c r="C14" s="381">
        <f>'Overall recycling rates'!G41*'Overall recycling rates'!G57</f>
        <v>0</v>
      </c>
      <c r="D14" s="2">
        <f t="shared" si="10"/>
        <v>0</v>
      </c>
      <c r="E14" s="2">
        <f t="shared" si="8"/>
        <v>0</v>
      </c>
      <c r="F14" s="2">
        <f t="shared" si="8"/>
        <v>0</v>
      </c>
      <c r="G14" s="2">
        <f t="shared" si="8"/>
        <v>0</v>
      </c>
      <c r="I14" s="695"/>
      <c r="K14" t="s">
        <v>474</v>
      </c>
      <c r="L14" s="44">
        <f>'Overall recycling rates'!G14*'Overall recycling rates'!G57</f>
        <v>0</v>
      </c>
      <c r="M14" s="2">
        <f t="shared" si="11"/>
        <v>0</v>
      </c>
      <c r="N14" s="2">
        <f t="shared" si="11"/>
        <v>0</v>
      </c>
      <c r="O14" s="2">
        <f t="shared" si="11"/>
        <v>0</v>
      </c>
      <c r="P14" s="2">
        <f t="shared" si="11"/>
        <v>0</v>
      </c>
      <c r="S14" s="696"/>
      <c r="U14" t="s">
        <v>478</v>
      </c>
      <c r="V14" s="384">
        <f>SUM(W8,X8,Y8,Z8,AC8,AD8)</f>
        <v>0</v>
      </c>
      <c r="W14" s="384">
        <f>V8</f>
        <v>0</v>
      </c>
      <c r="X14" s="384">
        <f>AA8</f>
        <v>0</v>
      </c>
      <c r="Y14" s="384">
        <f>AB8</f>
        <v>0</v>
      </c>
      <c r="Z14" s="384">
        <f>AE8</f>
        <v>0</v>
      </c>
      <c r="AA14" s="384">
        <f>AF4</f>
        <v>5.1999999999999998E-3</v>
      </c>
    </row>
    <row r="15" spans="2:35" x14ac:dyDescent="0.2">
      <c r="B15" t="s">
        <v>248</v>
      </c>
      <c r="C15" s="381">
        <f>'Overall recycling rates'!I41*'Overall recycling rates'!I57</f>
        <v>7.3297982459912458E-3</v>
      </c>
      <c r="D15" s="2">
        <f t="shared" si="10"/>
        <v>9.3096670438977888E-2</v>
      </c>
      <c r="E15" s="2">
        <f t="shared" si="8"/>
        <v>9.3096670438977888E-2</v>
      </c>
      <c r="F15" s="2">
        <f t="shared" si="8"/>
        <v>9.3096670438977888E-2</v>
      </c>
      <c r="G15" s="2">
        <f t="shared" si="8"/>
        <v>9.3096670438977888E-2</v>
      </c>
      <c r="I15" s="695"/>
      <c r="K15" t="s">
        <v>248</v>
      </c>
      <c r="L15" s="44">
        <f>'Overall recycling rates'!I14*'Overall recycling rates'!I57</f>
        <v>0.45313354475786832</v>
      </c>
      <c r="M15" s="2">
        <f t="shared" si="11"/>
        <v>0.17538265306122447</v>
      </c>
      <c r="N15" s="2">
        <f t="shared" si="11"/>
        <v>0.17538265306122447</v>
      </c>
      <c r="O15" s="2">
        <f t="shared" si="11"/>
        <v>0.17538265306122447</v>
      </c>
      <c r="P15" s="2">
        <f t="shared" si="11"/>
        <v>0.17538265306122447</v>
      </c>
      <c r="S15" s="696"/>
      <c r="U15" t="s">
        <v>474</v>
      </c>
      <c r="V15" s="384">
        <f>SUM(W4,X4,Y4,Z4,AC4,AD4)</f>
        <v>3.4299999999999997E-2</v>
      </c>
      <c r="W15" s="384">
        <f>V4</f>
        <v>3.0599999999999999E-2</v>
      </c>
      <c r="X15" s="384">
        <f>AA4</f>
        <v>0</v>
      </c>
      <c r="Y15" s="384">
        <f>AB4</f>
        <v>0</v>
      </c>
      <c r="Z15" s="384">
        <f>AE4</f>
        <v>8.0000000000000004E-4</v>
      </c>
      <c r="AA15" s="384">
        <f>AF8</f>
        <v>2.0000000000000001E-4</v>
      </c>
    </row>
    <row r="16" spans="2:35" x14ac:dyDescent="0.2">
      <c r="C16" s="256">
        <f>SUM(C11:C15)</f>
        <v>7.8733194339057608E-2</v>
      </c>
      <c r="D16" s="2">
        <f t="shared" ref="D16" si="12">SUM(D11:D15)</f>
        <v>0.99999999999999989</v>
      </c>
      <c r="E16" s="2">
        <f t="shared" ref="E16" si="13">SUM(E11:E15)</f>
        <v>0.99999999999999989</v>
      </c>
      <c r="F16" s="2">
        <f t="shared" ref="F16:G16" si="14">SUM(F11:F15)</f>
        <v>0.99999999999999989</v>
      </c>
      <c r="G16" s="2">
        <f t="shared" si="14"/>
        <v>0.99999999999999989</v>
      </c>
      <c r="L16" s="44">
        <f>SUM(L11:L15)</f>
        <v>2.5836850842921368</v>
      </c>
      <c r="M16" s="2">
        <f t="shared" ref="M16" si="15">SUM(M11:M15)</f>
        <v>0.99999999999999989</v>
      </c>
      <c r="N16" s="2">
        <f t="shared" ref="N16" si="16">SUM(N11:N15)</f>
        <v>0.99999999999999989</v>
      </c>
      <c r="O16" s="2">
        <f t="shared" ref="O16" si="17">SUM(O11:O15)</f>
        <v>0.99999999999999989</v>
      </c>
      <c r="P16" s="2">
        <f t="shared" ref="P16" si="18">SUM(P11:P15)</f>
        <v>0.99999999999999989</v>
      </c>
      <c r="V16" s="384"/>
      <c r="W16" s="384"/>
      <c r="X16" s="384"/>
      <c r="Y16" s="384"/>
      <c r="Z16" s="384"/>
      <c r="AA16" s="384"/>
    </row>
    <row r="18" spans="2:28" x14ac:dyDescent="0.2">
      <c r="B18" t="s">
        <v>329</v>
      </c>
      <c r="D18" t="s">
        <v>1746</v>
      </c>
      <c r="E18" t="s">
        <v>1749</v>
      </c>
      <c r="F18" t="s">
        <v>1750</v>
      </c>
      <c r="K18" t="s">
        <v>329</v>
      </c>
      <c r="M18" t="s">
        <v>1746</v>
      </c>
      <c r="N18" t="s">
        <v>1749</v>
      </c>
      <c r="O18" t="s">
        <v>1750</v>
      </c>
      <c r="U18" t="s">
        <v>1718</v>
      </c>
      <c r="V18" t="s">
        <v>324</v>
      </c>
      <c r="W18" t="s">
        <v>1719</v>
      </c>
      <c r="X18" t="s">
        <v>370</v>
      </c>
      <c r="Y18" t="s">
        <v>369</v>
      </c>
      <c r="Z18" t="s">
        <v>248</v>
      </c>
      <c r="AB18" t="s">
        <v>1756</v>
      </c>
    </row>
    <row r="19" spans="2:28" ht="14.5" customHeight="1" x14ac:dyDescent="0.2">
      <c r="B19" t="s">
        <v>258</v>
      </c>
      <c r="C19" s="262">
        <v>0</v>
      </c>
      <c r="D19" s="56">
        <v>0</v>
      </c>
      <c r="E19" s="56">
        <v>0</v>
      </c>
      <c r="F19" s="56">
        <v>0</v>
      </c>
      <c r="I19" s="695" t="s">
        <v>1751</v>
      </c>
      <c r="K19" t="s">
        <v>258</v>
      </c>
      <c r="L19" s="44">
        <f>'Overall recycling rates'!C15*'Overall recycling rates'!C57</f>
        <v>0</v>
      </c>
      <c r="M19" s="127">
        <f>$L19/$L$24</f>
        <v>0</v>
      </c>
      <c r="N19" s="127">
        <f t="shared" ref="N19:O19" si="19">$L19/$L$24</f>
        <v>0</v>
      </c>
      <c r="O19" s="127">
        <f t="shared" si="19"/>
        <v>0</v>
      </c>
      <c r="S19" s="696" t="s">
        <v>1752</v>
      </c>
      <c r="U19" t="s">
        <v>258</v>
      </c>
      <c r="V19" s="384">
        <f>V12+$AA12*V12/SUM($V12:$Z12)</f>
        <v>6.4303448275862068E-2</v>
      </c>
      <c r="W19" s="384">
        <f t="shared" ref="W19:Z19" si="20">W12+$AA12*W12/SUM($V12:$Z12)</f>
        <v>0</v>
      </c>
      <c r="X19" s="384">
        <f t="shared" si="20"/>
        <v>4.2206896551724134E-3</v>
      </c>
      <c r="Y19" s="384">
        <f t="shared" si="20"/>
        <v>2.4827586206896551E-2</v>
      </c>
      <c r="Z19" s="384">
        <f t="shared" si="20"/>
        <v>3.8482758620689657E-3</v>
      </c>
      <c r="AA19" s="384"/>
      <c r="AB19" s="6">
        <f>'Demand Breakdown - Ethylene'!E35</f>
        <v>1</v>
      </c>
    </row>
    <row r="20" spans="2:28" x14ac:dyDescent="0.2">
      <c r="B20" t="s">
        <v>478</v>
      </c>
      <c r="C20" s="262">
        <v>0</v>
      </c>
      <c r="D20" s="56">
        <v>0</v>
      </c>
      <c r="E20" s="56">
        <v>0</v>
      </c>
      <c r="F20" s="56">
        <v>0</v>
      </c>
      <c r="I20" s="695"/>
      <c r="K20" t="s">
        <v>478</v>
      </c>
      <c r="L20" s="44">
        <f>'Overall recycling rates'!E15*'Overall recycling rates'!E57</f>
        <v>0</v>
      </c>
      <c r="M20" s="127">
        <f t="shared" ref="M20:O23" si="21">$L20/$L$24</f>
        <v>0</v>
      </c>
      <c r="N20" s="127">
        <f t="shared" si="21"/>
        <v>0</v>
      </c>
      <c r="O20" s="127">
        <f t="shared" si="21"/>
        <v>0</v>
      </c>
      <c r="S20" s="696"/>
      <c r="U20" t="s">
        <v>477</v>
      </c>
      <c r="V20" s="384">
        <f t="shared" ref="V20:Z20" si="22">V13+$AA13*V13/SUM($V13:$Z13)</f>
        <v>1.8200000000000001E-2</v>
      </c>
      <c r="W20" s="384">
        <f t="shared" si="22"/>
        <v>0</v>
      </c>
      <c r="X20" s="384">
        <f t="shared" si="22"/>
        <v>0</v>
      </c>
      <c r="Y20" s="384">
        <f t="shared" si="22"/>
        <v>0</v>
      </c>
      <c r="Z20" s="384">
        <f t="shared" si="22"/>
        <v>0</v>
      </c>
      <c r="AA20" s="384"/>
    </row>
    <row r="21" spans="2:28" x14ac:dyDescent="0.2">
      <c r="B21" t="s">
        <v>480</v>
      </c>
      <c r="C21" s="262">
        <v>0</v>
      </c>
      <c r="D21" s="56">
        <v>0</v>
      </c>
      <c r="E21" s="56">
        <v>0</v>
      </c>
      <c r="F21" s="56">
        <v>0</v>
      </c>
      <c r="I21" s="695"/>
      <c r="K21" t="s">
        <v>480</v>
      </c>
      <c r="L21" s="44">
        <f>'Overall recycling rates'!F15*'Overall recycling rates'!F57</f>
        <v>0</v>
      </c>
      <c r="M21" s="127">
        <f t="shared" si="21"/>
        <v>0</v>
      </c>
      <c r="N21" s="127">
        <f t="shared" si="21"/>
        <v>0</v>
      </c>
      <c r="O21" s="127">
        <f t="shared" si="21"/>
        <v>0</v>
      </c>
      <c r="S21" s="696"/>
      <c r="U21" t="s">
        <v>478</v>
      </c>
      <c r="V21" s="384">
        <v>0</v>
      </c>
      <c r="W21" s="384">
        <v>0</v>
      </c>
      <c r="X21" s="384">
        <v>0</v>
      </c>
      <c r="Y21" s="384">
        <v>0</v>
      </c>
      <c r="Z21" s="384">
        <f>AA14</f>
        <v>5.1999999999999998E-3</v>
      </c>
      <c r="AA21" s="384"/>
      <c r="AB21" s="6">
        <f>'Demand Breakdown - Ethylene'!E39</f>
        <v>0.2687140115163148</v>
      </c>
    </row>
    <row r="22" spans="2:28" x14ac:dyDescent="0.2">
      <c r="B22" t="s">
        <v>474</v>
      </c>
      <c r="C22" s="262">
        <f>'Overall recycling rates'!G42*'Overall recycling rates'!G57</f>
        <v>0.60059846374884085</v>
      </c>
      <c r="D22" s="2">
        <f>$C22/$C$24</f>
        <v>0.85710438531517308</v>
      </c>
      <c r="E22" s="2">
        <f t="shared" ref="E22:F23" si="23">$C22/$C$24</f>
        <v>0.85710438531517308</v>
      </c>
      <c r="F22" s="2">
        <f t="shared" si="23"/>
        <v>0.85710438531517308</v>
      </c>
      <c r="I22" s="695"/>
      <c r="K22" t="s">
        <v>474</v>
      </c>
      <c r="L22" s="44">
        <f>'Overall recycling rates'!G15*'Overall recycling rates'!G57</f>
        <v>4.6199881826833913</v>
      </c>
      <c r="M22" s="127">
        <f t="shared" si="21"/>
        <v>0.85710438531517308</v>
      </c>
      <c r="N22" s="127">
        <f t="shared" si="21"/>
        <v>0.85710438531517308</v>
      </c>
      <c r="O22" s="127">
        <f t="shared" si="21"/>
        <v>0.85710438531517308</v>
      </c>
      <c r="S22" s="696"/>
      <c r="U22" t="s">
        <v>474</v>
      </c>
      <c r="V22" s="384">
        <f t="shared" ref="V22:Z22" si="24">V15+$AA15*V15/SUM($V15:$Z15)</f>
        <v>3.4404414003044136E-2</v>
      </c>
      <c r="W22" s="384">
        <f t="shared" si="24"/>
        <v>3.0693150684931506E-2</v>
      </c>
      <c r="X22" s="384">
        <f t="shared" si="24"/>
        <v>0</v>
      </c>
      <c r="Y22" s="384">
        <f t="shared" si="24"/>
        <v>0</v>
      </c>
      <c r="Z22" s="384">
        <f t="shared" si="24"/>
        <v>8.0243531202435318E-4</v>
      </c>
      <c r="AA22" s="384"/>
      <c r="AB22" s="6">
        <f>'Demand Breakdown - Ethylene'!E36</f>
        <v>0.14568158168574402</v>
      </c>
    </row>
    <row r="23" spans="2:28" x14ac:dyDescent="0.2">
      <c r="B23" t="s">
        <v>248</v>
      </c>
      <c r="C23" s="262">
        <f>'Overall recycling rates'!I42*'Overall recycling rates'!I57</f>
        <v>0.10013119536728857</v>
      </c>
      <c r="D23" s="2">
        <f>$C23/$C$24</f>
        <v>0.14289561468482695</v>
      </c>
      <c r="E23" s="2">
        <f t="shared" si="23"/>
        <v>0.14289561468482695</v>
      </c>
      <c r="F23" s="2">
        <f t="shared" si="23"/>
        <v>0.14289561468482695</v>
      </c>
      <c r="I23" s="695"/>
      <c r="K23" t="s">
        <v>248</v>
      </c>
      <c r="L23" s="44">
        <f>'Overall recycling rates'!I15*'Overall recycling rates'!I57</f>
        <v>0.77023996436375808</v>
      </c>
      <c r="M23" s="127">
        <f t="shared" si="21"/>
        <v>0.14289561468482692</v>
      </c>
      <c r="N23" s="127">
        <f t="shared" si="21"/>
        <v>0.14289561468482692</v>
      </c>
      <c r="O23" s="127">
        <f t="shared" si="21"/>
        <v>0.14289561468482692</v>
      </c>
      <c r="S23" s="696"/>
    </row>
    <row r="24" spans="2:28" x14ac:dyDescent="0.2">
      <c r="C24" s="256">
        <f>SUM(C19:C23)</f>
        <v>0.70072965911612939</v>
      </c>
      <c r="D24" s="2">
        <f>SUM(D19:D23)</f>
        <v>1</v>
      </c>
      <c r="E24" s="2">
        <f t="shared" ref="E24" si="25">SUM(E19:E23)</f>
        <v>1</v>
      </c>
      <c r="F24" s="2">
        <f t="shared" ref="F24" si="26">SUM(F19:F23)</f>
        <v>1</v>
      </c>
      <c r="L24" s="44">
        <f>SUM(L19:L23)</f>
        <v>5.3902281470471491</v>
      </c>
      <c r="M24" s="2">
        <f>SUM(M19:M23)</f>
        <v>1</v>
      </c>
      <c r="N24" s="2">
        <f t="shared" ref="N24" si="27">SUM(N19:N23)</f>
        <v>1</v>
      </c>
      <c r="O24" s="2">
        <f t="shared" ref="O24" si="28">SUM(O19:O23)</f>
        <v>1</v>
      </c>
      <c r="U24" t="s">
        <v>1718</v>
      </c>
      <c r="V24" t="s">
        <v>324</v>
      </c>
      <c r="W24" t="s">
        <v>1719</v>
      </c>
      <c r="X24" t="s">
        <v>370</v>
      </c>
      <c r="Y24" t="s">
        <v>369</v>
      </c>
      <c r="Z24" t="s">
        <v>248</v>
      </c>
      <c r="AA24" s="384"/>
    </row>
    <row r="25" spans="2:28" x14ac:dyDescent="0.2">
      <c r="U25" t="s">
        <v>258</v>
      </c>
      <c r="V25" s="384">
        <f>V19*$AB19</f>
        <v>6.4303448275862068E-2</v>
      </c>
      <c r="W25" s="384">
        <f t="shared" ref="W25:Z25" si="29">W19*$AB19</f>
        <v>0</v>
      </c>
      <c r="X25" s="384">
        <f t="shared" si="29"/>
        <v>4.2206896551724134E-3</v>
      </c>
      <c r="Y25" s="384">
        <f t="shared" si="29"/>
        <v>2.4827586206896551E-2</v>
      </c>
      <c r="Z25" s="384">
        <f t="shared" si="29"/>
        <v>3.8482758620689657E-3</v>
      </c>
      <c r="AA25" s="384"/>
    </row>
    <row r="26" spans="2:28" x14ac:dyDescent="0.2">
      <c r="B26" t="s">
        <v>369</v>
      </c>
      <c r="D26" t="s">
        <v>1746</v>
      </c>
      <c r="K26" t="s">
        <v>369</v>
      </c>
      <c r="M26" t="s">
        <v>1746</v>
      </c>
      <c r="U26" t="s">
        <v>478</v>
      </c>
      <c r="V26" s="384">
        <f>V21*$AB21</f>
        <v>0</v>
      </c>
      <c r="W26" s="384">
        <f t="shared" ref="W26:Z26" si="30">W21*$AB21</f>
        <v>0</v>
      </c>
      <c r="X26" s="384">
        <f t="shared" si="30"/>
        <v>0</v>
      </c>
      <c r="Y26" s="384">
        <f t="shared" si="30"/>
        <v>0</v>
      </c>
      <c r="Z26" s="384">
        <f t="shared" si="30"/>
        <v>1.3973128598848369E-3</v>
      </c>
      <c r="AA26" s="384"/>
    </row>
    <row r="27" spans="2:28" ht="14.5" customHeight="1" x14ac:dyDescent="0.2">
      <c r="B27" t="s">
        <v>258</v>
      </c>
      <c r="C27" s="256">
        <f>'Overall recycling rates'!C40*'Overall recycling rates'!C57</f>
        <v>4.2646752406523936E-2</v>
      </c>
      <c r="D27" s="2">
        <f>C27/$C$32</f>
        <v>0.35330398449159967</v>
      </c>
      <c r="E27" s="2"/>
      <c r="F27" s="2"/>
      <c r="G27" s="2"/>
      <c r="I27" s="695" t="s">
        <v>1751</v>
      </c>
      <c r="K27" t="s">
        <v>258</v>
      </c>
      <c r="L27" s="44">
        <f>'Overall recycling rates'!C13*'Overall recycling rates'!C57</f>
        <v>3.1485030989605263</v>
      </c>
      <c r="M27" s="127">
        <f>$L27/$L$32</f>
        <v>0.50749882423387904</v>
      </c>
      <c r="O27" s="2"/>
      <c r="P27" s="2"/>
      <c r="Q27" s="2"/>
      <c r="S27" s="696" t="s">
        <v>1752</v>
      </c>
      <c r="U27" t="s">
        <v>474</v>
      </c>
      <c r="V27" s="384">
        <f>V22*$AB22</f>
        <v>5.0120894489346299E-3</v>
      </c>
      <c r="W27" s="384">
        <f t="shared" ref="W27:Z27" si="31">W22*$AB22</f>
        <v>4.4714267386996992E-3</v>
      </c>
      <c r="X27" s="384">
        <f t="shared" si="31"/>
        <v>0</v>
      </c>
      <c r="Y27" s="384">
        <f t="shared" si="31"/>
        <v>0</v>
      </c>
      <c r="Z27" s="384">
        <f t="shared" si="31"/>
        <v>1.169000454562013E-4</v>
      </c>
    </row>
    <row r="28" spans="2:28" x14ac:dyDescent="0.2">
      <c r="B28" t="s">
        <v>478</v>
      </c>
      <c r="C28" s="256">
        <f>'Overall recycling rates'!E40*'Overall recycling rates'!E57</f>
        <v>2.2038038302500187E-3</v>
      </c>
      <c r="D28" s="2">
        <f t="shared" ref="D28:D31" si="32">C28/$C$32</f>
        <v>1.8257255953353001E-2</v>
      </c>
      <c r="E28" s="2"/>
      <c r="F28" s="2"/>
      <c r="G28" s="2"/>
      <c r="I28" s="695"/>
      <c r="K28" t="s">
        <v>478</v>
      </c>
      <c r="L28" s="44">
        <f>'Overall recycling rates'!E13*'Overall recycling rates'!E57</f>
        <v>0.42302344899661587</v>
      </c>
      <c r="M28" s="127">
        <f t="shared" ref="M28:M31" si="33">$L28/$L$32</f>
        <v>6.8186022449849393E-2</v>
      </c>
      <c r="O28" s="2"/>
      <c r="P28" s="2"/>
      <c r="Q28" s="2"/>
      <c r="S28" s="696"/>
      <c r="W28" s="23">
        <f>SUM(W25:W27)/SUM($W$25:$Z$27)</f>
        <v>0.11499935012302656</v>
      </c>
      <c r="X28" s="23">
        <f t="shared" ref="X28:Z28" si="34">SUM(X25:X27)/SUM($W$25:$Z$27)</f>
        <v>0.10855071452136934</v>
      </c>
      <c r="Y28" s="23">
        <f t="shared" si="34"/>
        <v>0.63853361483158444</v>
      </c>
      <c r="Z28" s="23">
        <f t="shared" si="34"/>
        <v>0.13791632052401978</v>
      </c>
    </row>
    <row r="29" spans="2:28" x14ac:dyDescent="0.2">
      <c r="B29" t="s">
        <v>480</v>
      </c>
      <c r="C29" s="256">
        <f>'Overall recycling rates'!F40*'Overall recycling rates'!F57</f>
        <v>7.568814396333233E-2</v>
      </c>
      <c r="D29" s="2">
        <f t="shared" si="32"/>
        <v>0.62703304078386057</v>
      </c>
      <c r="E29" s="56"/>
      <c r="F29" s="56"/>
      <c r="G29" s="56"/>
      <c r="I29" s="695"/>
      <c r="K29" t="s">
        <v>480</v>
      </c>
      <c r="L29" s="44">
        <f>'Overall recycling rates'!F13*'Overall recycling rates'!F57</f>
        <v>2.5966563739790818</v>
      </c>
      <c r="M29" s="127">
        <f t="shared" si="33"/>
        <v>0.41854812122270468</v>
      </c>
      <c r="O29" s="56"/>
      <c r="P29" s="56"/>
      <c r="Q29" s="56"/>
      <c r="S29" s="696"/>
    </row>
    <row r="30" spans="2:28" x14ac:dyDescent="0.2">
      <c r="B30" t="s">
        <v>474</v>
      </c>
      <c r="C30" s="256">
        <f>'Overall recycling rates'!G40*'Overall recycling rates'!G57</f>
        <v>0</v>
      </c>
      <c r="D30" s="2">
        <f t="shared" si="32"/>
        <v>0</v>
      </c>
      <c r="E30" s="2"/>
      <c r="F30" s="2"/>
      <c r="G30" s="2"/>
      <c r="I30" s="695"/>
      <c r="K30" t="s">
        <v>474</v>
      </c>
      <c r="L30" s="44">
        <f>'Overall recycling rates'!G13*'Overall recycling rates'!G57</f>
        <v>0</v>
      </c>
      <c r="M30" s="127">
        <f t="shared" si="33"/>
        <v>0</v>
      </c>
      <c r="O30" s="2"/>
      <c r="P30" s="2"/>
      <c r="Q30" s="2"/>
      <c r="S30" s="696"/>
      <c r="U30" t="s">
        <v>1718</v>
      </c>
      <c r="V30" t="s">
        <v>324</v>
      </c>
      <c r="W30" t="s">
        <v>1719</v>
      </c>
      <c r="X30" t="s">
        <v>370</v>
      </c>
      <c r="Y30" t="s">
        <v>369</v>
      </c>
      <c r="Z30" t="s">
        <v>248</v>
      </c>
    </row>
    <row r="31" spans="2:28" x14ac:dyDescent="0.2">
      <c r="B31" t="s">
        <v>248</v>
      </c>
      <c r="C31" s="256">
        <f>'Overall recycling rates'!I40*'Overall recycling rates'!I57</f>
        <v>1.6968203875274778E-4</v>
      </c>
      <c r="D31" s="2">
        <f t="shared" si="32"/>
        <v>1.4057187711867362E-3</v>
      </c>
      <c r="E31" s="56"/>
      <c r="F31" s="56"/>
      <c r="G31" s="56"/>
      <c r="I31" s="695"/>
      <c r="K31" t="s">
        <v>248</v>
      </c>
      <c r="L31" s="44">
        <f>'Overall recycling rates'!I13*'Overall recycling rates'!I57</f>
        <v>3.5778444306369624E-2</v>
      </c>
      <c r="M31" s="127">
        <f t="shared" si="33"/>
        <v>5.767032093566808E-3</v>
      </c>
      <c r="O31" s="56"/>
      <c r="P31" s="56"/>
      <c r="Q31" s="56"/>
      <c r="S31" s="696"/>
      <c r="U31" t="s">
        <v>258</v>
      </c>
      <c r="V31" s="384">
        <f t="shared" ref="V31:Z33" si="35">V25/SUM(V$25:V$27)</f>
        <v>0.92769168914429945</v>
      </c>
      <c r="W31" s="384">
        <f t="shared" si="35"/>
        <v>0</v>
      </c>
      <c r="X31" s="384">
        <f t="shared" si="35"/>
        <v>1</v>
      </c>
      <c r="Y31" s="384">
        <f t="shared" si="35"/>
        <v>1</v>
      </c>
      <c r="Z31" s="384">
        <f t="shared" si="35"/>
        <v>0.71762870357071562</v>
      </c>
    </row>
    <row r="32" spans="2:28" x14ac:dyDescent="0.2">
      <c r="C32" s="256">
        <f>SUM(C27:C31)</f>
        <v>0.12070838223885903</v>
      </c>
      <c r="D32" s="2">
        <f>SUM(D27:D31)</f>
        <v>1</v>
      </c>
      <c r="E32" s="2"/>
      <c r="F32" s="2"/>
      <c r="G32" s="2"/>
      <c r="L32" s="44">
        <f>SUM(L27:L31)</f>
        <v>6.2039613662425941</v>
      </c>
      <c r="M32" s="2">
        <f>SUM(M27:M31)</f>
        <v>0.99999999999999989</v>
      </c>
      <c r="O32" s="2"/>
      <c r="P32" s="2"/>
      <c r="Q32" s="2"/>
      <c r="U32" t="s">
        <v>478</v>
      </c>
      <c r="V32" s="384">
        <f t="shared" si="35"/>
        <v>0</v>
      </c>
      <c r="W32" s="384">
        <f t="shared" si="35"/>
        <v>0</v>
      </c>
      <c r="X32" s="384">
        <f t="shared" si="35"/>
        <v>0</v>
      </c>
      <c r="Y32" s="384">
        <f t="shared" si="35"/>
        <v>0</v>
      </c>
      <c r="Z32" s="384">
        <f t="shared" si="35"/>
        <v>0.26057170849044342</v>
      </c>
    </row>
    <row r="33" spans="1:35" x14ac:dyDescent="0.2">
      <c r="U33" t="s">
        <v>474</v>
      </c>
      <c r="V33" s="384">
        <f t="shared" si="35"/>
        <v>7.2308310855700428E-2</v>
      </c>
      <c r="W33" s="384">
        <f t="shared" si="35"/>
        <v>1</v>
      </c>
      <c r="X33" s="384">
        <f t="shared" si="35"/>
        <v>0</v>
      </c>
      <c r="Y33" s="384">
        <f t="shared" si="35"/>
        <v>0</v>
      </c>
      <c r="Z33" s="384">
        <f t="shared" si="35"/>
        <v>2.1799587938840969E-2</v>
      </c>
    </row>
    <row r="34" spans="1:35" x14ac:dyDescent="0.2">
      <c r="B34" t="s">
        <v>248</v>
      </c>
      <c r="D34" t="s">
        <v>1746</v>
      </c>
      <c r="K34" t="s">
        <v>248</v>
      </c>
      <c r="M34" t="s">
        <v>1746</v>
      </c>
    </row>
    <row r="35" spans="1:35" ht="14.5" customHeight="1" x14ac:dyDescent="0.2">
      <c r="B35" t="s">
        <v>258</v>
      </c>
      <c r="C35" s="256">
        <f>'Overall recycling rates'!C43*'Overall recycling rates'!C57</f>
        <v>0.86408503681019966</v>
      </c>
      <c r="D35" s="2">
        <f>C35/$C$40</f>
        <v>0.71774223915373458</v>
      </c>
      <c r="I35" s="695" t="s">
        <v>1751</v>
      </c>
      <c r="K35" t="s">
        <v>258</v>
      </c>
      <c r="L35" s="44">
        <f>'Overall recycling rates'!C16*'Overall recycling rates'!C57</f>
        <v>21.744503568365769</v>
      </c>
      <c r="M35" s="127">
        <f>$L35/$L$40</f>
        <v>0.71774223915373458</v>
      </c>
      <c r="S35" s="696" t="s">
        <v>1752</v>
      </c>
    </row>
    <row r="36" spans="1:35" x14ac:dyDescent="0.2">
      <c r="B36" t="s">
        <v>478</v>
      </c>
      <c r="C36" s="256">
        <f>'Overall recycling rates'!E43*'Overall recycling rates'!E57</f>
        <v>8.3847023192288525E-2</v>
      </c>
      <c r="D36" s="2">
        <f t="shared" ref="D36:D39" si="36">C36/$C$40</f>
        <v>6.9646559781392461E-2</v>
      </c>
      <c r="I36" s="695"/>
      <c r="K36" t="s">
        <v>478</v>
      </c>
      <c r="L36" s="44">
        <f>'Overall recycling rates'!E16*'Overall recycling rates'!E57</f>
        <v>2.1099912824923064</v>
      </c>
      <c r="M36" s="127">
        <f t="shared" ref="M36:M39" si="37">$L36/$L$40</f>
        <v>6.9646559781392461E-2</v>
      </c>
      <c r="S36" s="696"/>
    </row>
    <row r="37" spans="1:35" x14ac:dyDescent="0.2">
      <c r="B37" t="s">
        <v>480</v>
      </c>
      <c r="C37" s="256">
        <f>'Overall recycling rates'!F43*'Overall recycling rates'!F57</f>
        <v>0.19355504824548472</v>
      </c>
      <c r="D37" s="2">
        <f t="shared" si="36"/>
        <v>0.16077426157043653</v>
      </c>
      <c r="I37" s="695"/>
      <c r="K37" t="s">
        <v>480</v>
      </c>
      <c r="L37" s="44">
        <f>'Overall recycling rates'!F16*'Overall recycling rates'!F57</f>
        <v>4.8707687993139324</v>
      </c>
      <c r="M37" s="127">
        <f t="shared" si="37"/>
        <v>0.16077426157043656</v>
      </c>
      <c r="S37" s="696"/>
    </row>
    <row r="38" spans="1:35" x14ac:dyDescent="0.2">
      <c r="B38" t="s">
        <v>474</v>
      </c>
      <c r="C38" s="256">
        <f>'Overall recycling rates'!G43*'Overall recycling rates'!G57</f>
        <v>0</v>
      </c>
      <c r="D38" s="2">
        <f t="shared" si="36"/>
        <v>0</v>
      </c>
      <c r="I38" s="695"/>
      <c r="K38" t="s">
        <v>474</v>
      </c>
      <c r="L38" s="44">
        <f>'Overall recycling rates'!G16*'Overall recycling rates'!G57</f>
        <v>0</v>
      </c>
      <c r="M38" s="127">
        <f t="shared" si="37"/>
        <v>0</v>
      </c>
      <c r="S38" s="696"/>
    </row>
    <row r="39" spans="1:35" x14ac:dyDescent="0.2">
      <c r="B39" t="s">
        <v>248</v>
      </c>
      <c r="C39" s="256">
        <f>'Overall recycling rates'!I43*'Overall recycling rates'!I57</f>
        <v>6.2406141547403315E-2</v>
      </c>
      <c r="D39" s="2">
        <f t="shared" si="36"/>
        <v>5.1836939494436393E-2</v>
      </c>
      <c r="I39" s="695"/>
      <c r="K39" t="s">
        <v>248</v>
      </c>
      <c r="L39" s="44">
        <f>'Overall recycling rates'!I16*'Overall recycling rates'!I57</f>
        <v>1.5704363688264167</v>
      </c>
      <c r="M39" s="127">
        <f t="shared" si="37"/>
        <v>5.1836939494436386E-2</v>
      </c>
      <c r="S39" s="696"/>
    </row>
    <row r="40" spans="1:35" x14ac:dyDescent="0.2">
      <c r="C40" s="256">
        <f>SUM(C35:C39)</f>
        <v>1.2038932497953763</v>
      </c>
      <c r="D40" s="2">
        <f>SUM(D35:D39)</f>
        <v>0.99999999999999989</v>
      </c>
      <c r="L40" s="44">
        <f>SUM(L35:L39)</f>
        <v>30.295700018998424</v>
      </c>
      <c r="M40" s="2">
        <f>SUM(M35:M39)</f>
        <v>0.99999999999999989</v>
      </c>
    </row>
    <row r="42" spans="1:35" s="273" customFormat="1" ht="16" thickBot="1" x14ac:dyDescent="0.25">
      <c r="E42" s="273">
        <v>2020</v>
      </c>
      <c r="F42" s="273">
        <f>E42+1</f>
        <v>2021</v>
      </c>
      <c r="G42" s="273">
        <f t="shared" ref="G42:AI42" si="38">F42+1</f>
        <v>2022</v>
      </c>
      <c r="H42" s="273">
        <f t="shared" si="38"/>
        <v>2023</v>
      </c>
      <c r="I42" s="273">
        <f t="shared" si="38"/>
        <v>2024</v>
      </c>
      <c r="J42" s="273">
        <f t="shared" si="38"/>
        <v>2025</v>
      </c>
      <c r="K42" s="273">
        <f t="shared" si="38"/>
        <v>2026</v>
      </c>
      <c r="L42" s="273">
        <f t="shared" si="38"/>
        <v>2027</v>
      </c>
      <c r="M42" s="273">
        <f t="shared" si="38"/>
        <v>2028</v>
      </c>
      <c r="N42" s="273">
        <f t="shared" si="38"/>
        <v>2029</v>
      </c>
      <c r="O42" s="273">
        <f t="shared" si="38"/>
        <v>2030</v>
      </c>
      <c r="P42" s="273">
        <f t="shared" si="38"/>
        <v>2031</v>
      </c>
      <c r="Q42" s="273">
        <f t="shared" si="38"/>
        <v>2032</v>
      </c>
      <c r="R42" s="273">
        <f t="shared" si="38"/>
        <v>2033</v>
      </c>
      <c r="S42" s="273">
        <f t="shared" si="38"/>
        <v>2034</v>
      </c>
      <c r="T42" s="273">
        <f t="shared" si="38"/>
        <v>2035</v>
      </c>
      <c r="U42" s="273">
        <f t="shared" si="38"/>
        <v>2036</v>
      </c>
      <c r="V42" s="273">
        <f t="shared" si="38"/>
        <v>2037</v>
      </c>
      <c r="W42" s="273">
        <f t="shared" si="38"/>
        <v>2038</v>
      </c>
      <c r="X42" s="273">
        <f t="shared" si="38"/>
        <v>2039</v>
      </c>
      <c r="Y42" s="273">
        <f t="shared" si="38"/>
        <v>2040</v>
      </c>
      <c r="Z42" s="273">
        <f t="shared" si="38"/>
        <v>2041</v>
      </c>
      <c r="AA42" s="273">
        <f t="shared" si="38"/>
        <v>2042</v>
      </c>
      <c r="AB42" s="273">
        <f>AA42+1</f>
        <v>2043</v>
      </c>
      <c r="AC42" s="273">
        <f t="shared" si="38"/>
        <v>2044</v>
      </c>
      <c r="AD42" s="273">
        <f t="shared" si="38"/>
        <v>2045</v>
      </c>
      <c r="AE42" s="273">
        <f t="shared" si="38"/>
        <v>2046</v>
      </c>
      <c r="AF42" s="273">
        <f t="shared" si="38"/>
        <v>2047</v>
      </c>
      <c r="AG42" s="273">
        <f t="shared" si="38"/>
        <v>2048</v>
      </c>
      <c r="AH42" s="273">
        <f t="shared" si="38"/>
        <v>2049</v>
      </c>
      <c r="AI42" s="273">
        <f t="shared" si="38"/>
        <v>2050</v>
      </c>
    </row>
    <row r="43" spans="1:35" x14ac:dyDescent="0.2">
      <c r="A43" s="310"/>
      <c r="B43" t="s">
        <v>309</v>
      </c>
      <c r="C43" t="s">
        <v>1746</v>
      </c>
      <c r="D43" t="s">
        <v>258</v>
      </c>
      <c r="E43" s="168">
        <f>C3</f>
        <v>0.92769168914429945</v>
      </c>
      <c r="F43" s="168">
        <f>-($E43-$AI43)/30+E43</f>
        <v>0.927087508931281</v>
      </c>
      <c r="G43" s="168">
        <f t="shared" ref="G43:AH43" si="39">-($E43-$AI43)/30+F43</f>
        <v>0.92648332871826256</v>
      </c>
      <c r="H43" s="168">
        <f t="shared" si="39"/>
        <v>0.92587914850524411</v>
      </c>
      <c r="I43" s="168">
        <f t="shared" si="39"/>
        <v>0.92527496829222566</v>
      </c>
      <c r="J43" s="168">
        <f t="shared" si="39"/>
        <v>0.92467078807920722</v>
      </c>
      <c r="K43" s="168">
        <f t="shared" si="39"/>
        <v>0.92406660786618877</v>
      </c>
      <c r="L43" s="168">
        <f t="shared" si="39"/>
        <v>0.92346242765317033</v>
      </c>
      <c r="M43" s="168">
        <f t="shared" si="39"/>
        <v>0.92285824744015188</v>
      </c>
      <c r="N43" s="168">
        <f t="shared" si="39"/>
        <v>0.92225406722713343</v>
      </c>
      <c r="O43" s="168">
        <f t="shared" si="39"/>
        <v>0.92164988701411499</v>
      </c>
      <c r="P43" s="168">
        <f t="shared" si="39"/>
        <v>0.92104570680109654</v>
      </c>
      <c r="Q43" s="168">
        <f t="shared" si="39"/>
        <v>0.9204415265880781</v>
      </c>
      <c r="R43" s="168">
        <f t="shared" si="39"/>
        <v>0.91983734637505965</v>
      </c>
      <c r="S43" s="168">
        <f t="shared" si="39"/>
        <v>0.9192331661620412</v>
      </c>
      <c r="T43" s="168">
        <f t="shared" si="39"/>
        <v>0.91862898594902276</v>
      </c>
      <c r="U43" s="168">
        <f t="shared" si="39"/>
        <v>0.91802480573600431</v>
      </c>
      <c r="V43" s="168">
        <f t="shared" si="39"/>
        <v>0.91742062552298587</v>
      </c>
      <c r="W43" s="168">
        <f t="shared" si="39"/>
        <v>0.91681644530996742</v>
      </c>
      <c r="X43" s="168">
        <f t="shared" si="39"/>
        <v>0.91621226509694897</v>
      </c>
      <c r="Y43" s="168">
        <f t="shared" si="39"/>
        <v>0.91560808488393053</v>
      </c>
      <c r="Z43" s="168">
        <f t="shared" si="39"/>
        <v>0.91500390467091208</v>
      </c>
      <c r="AA43" s="168">
        <f t="shared" si="39"/>
        <v>0.91439972445789364</v>
      </c>
      <c r="AB43" s="168">
        <f t="shared" si="39"/>
        <v>0.91379554424487519</v>
      </c>
      <c r="AC43" s="168">
        <f t="shared" si="39"/>
        <v>0.91319136403185674</v>
      </c>
      <c r="AD43" s="168">
        <f t="shared" si="39"/>
        <v>0.9125871838188383</v>
      </c>
      <c r="AE43" s="168">
        <f t="shared" si="39"/>
        <v>0.91198300360581985</v>
      </c>
      <c r="AF43" s="168">
        <f t="shared" si="39"/>
        <v>0.91137882339280141</v>
      </c>
      <c r="AG43" s="168">
        <f t="shared" si="39"/>
        <v>0.91077464317978296</v>
      </c>
      <c r="AH43" s="168">
        <f t="shared" si="39"/>
        <v>0.91017046296676452</v>
      </c>
      <c r="AI43" s="168">
        <f>M3</f>
        <v>0.90956628275374496</v>
      </c>
    </row>
    <row r="44" spans="1:35" x14ac:dyDescent="0.2">
      <c r="A44" s="310"/>
      <c r="B44" t="s">
        <v>309</v>
      </c>
      <c r="C44" t="s">
        <v>1746</v>
      </c>
      <c r="D44" t="s">
        <v>478</v>
      </c>
      <c r="E44" s="168">
        <f t="shared" ref="E44:E47" si="40">C4</f>
        <v>0</v>
      </c>
      <c r="F44" s="168">
        <f t="shared" ref="F44:AH44" si="41">-($E44-$AI44)/30+E44</f>
        <v>6.0954631312216533E-4</v>
      </c>
      <c r="G44" s="168">
        <f t="shared" si="41"/>
        <v>1.2190926262443307E-3</v>
      </c>
      <c r="H44" s="168">
        <f t="shared" si="41"/>
        <v>1.8286389393664961E-3</v>
      </c>
      <c r="I44" s="168">
        <f t="shared" si="41"/>
        <v>2.4381852524886613E-3</v>
      </c>
      <c r="J44" s="168">
        <f t="shared" si="41"/>
        <v>3.0477315656108265E-3</v>
      </c>
      <c r="K44" s="168">
        <f t="shared" si="41"/>
        <v>3.6572778787329918E-3</v>
      </c>
      <c r="L44" s="168">
        <f t="shared" si="41"/>
        <v>4.2668241918551574E-3</v>
      </c>
      <c r="M44" s="168">
        <f t="shared" si="41"/>
        <v>4.8763705049773226E-3</v>
      </c>
      <c r="N44" s="168">
        <f t="shared" si="41"/>
        <v>5.4859168180994879E-3</v>
      </c>
      <c r="O44" s="168">
        <f t="shared" si="41"/>
        <v>6.0954631312216531E-3</v>
      </c>
      <c r="P44" s="168">
        <f t="shared" si="41"/>
        <v>6.7050094443438183E-3</v>
      </c>
      <c r="Q44" s="168">
        <f t="shared" si="41"/>
        <v>7.3145557574659835E-3</v>
      </c>
      <c r="R44" s="168">
        <f t="shared" si="41"/>
        <v>7.9241020705881487E-3</v>
      </c>
      <c r="S44" s="168">
        <f t="shared" si="41"/>
        <v>8.5336483837103148E-3</v>
      </c>
      <c r="T44" s="168">
        <f t="shared" si="41"/>
        <v>9.1431946968324809E-3</v>
      </c>
      <c r="U44" s="168">
        <f t="shared" si="41"/>
        <v>9.752741009954647E-3</v>
      </c>
      <c r="V44" s="168">
        <f t="shared" si="41"/>
        <v>1.0362287323076813E-2</v>
      </c>
      <c r="W44" s="168">
        <f t="shared" si="41"/>
        <v>1.0971833636198979E-2</v>
      </c>
      <c r="X44" s="168">
        <f t="shared" si="41"/>
        <v>1.1581379949321145E-2</v>
      </c>
      <c r="Y44" s="168">
        <f t="shared" si="41"/>
        <v>1.2190926262443311E-2</v>
      </c>
      <c r="Z44" s="168">
        <f t="shared" si="41"/>
        <v>1.2800472575565477E-2</v>
      </c>
      <c r="AA44" s="168">
        <f t="shared" si="41"/>
        <v>1.3410018888687644E-2</v>
      </c>
      <c r="AB44" s="168">
        <f t="shared" si="41"/>
        <v>1.401956520180981E-2</v>
      </c>
      <c r="AC44" s="168">
        <f t="shared" si="41"/>
        <v>1.4629111514931976E-2</v>
      </c>
      <c r="AD44" s="168">
        <f t="shared" si="41"/>
        <v>1.5238657828054142E-2</v>
      </c>
      <c r="AE44" s="168">
        <f t="shared" si="41"/>
        <v>1.5848204141176308E-2</v>
      </c>
      <c r="AF44" s="168">
        <f t="shared" si="41"/>
        <v>1.6457750454298474E-2</v>
      </c>
      <c r="AG44" s="168">
        <f t="shared" si="41"/>
        <v>1.706729676742064E-2</v>
      </c>
      <c r="AH44" s="168">
        <f t="shared" si="41"/>
        <v>1.7676843080542806E-2</v>
      </c>
      <c r="AI44" s="168">
        <f t="shared" ref="AI44:AI47" si="42">M4</f>
        <v>1.8286389393664958E-2</v>
      </c>
    </row>
    <row r="45" spans="1:35" x14ac:dyDescent="0.2">
      <c r="A45" s="310"/>
      <c r="B45" t="s">
        <v>309</v>
      </c>
      <c r="C45" t="s">
        <v>1746</v>
      </c>
      <c r="D45" t="s">
        <v>480</v>
      </c>
      <c r="E45" s="168">
        <f t="shared" si="40"/>
        <v>0</v>
      </c>
      <c r="F45" s="168">
        <f t="shared" ref="F45:AH45" si="43">-($E45-$AI45)/30+E45</f>
        <v>7.4358703407605424E-4</v>
      </c>
      <c r="G45" s="168">
        <f t="shared" si="43"/>
        <v>1.4871740681521085E-3</v>
      </c>
      <c r="H45" s="168">
        <f t="shared" si="43"/>
        <v>2.2307611022281629E-3</v>
      </c>
      <c r="I45" s="168">
        <f t="shared" si="43"/>
        <v>2.974348136304217E-3</v>
      </c>
      <c r="J45" s="168">
        <f t="shared" si="43"/>
        <v>3.717935170380271E-3</v>
      </c>
      <c r="K45" s="168">
        <f t="shared" si="43"/>
        <v>4.461522204456325E-3</v>
      </c>
      <c r="L45" s="168">
        <f t="shared" si="43"/>
        <v>5.205109238532379E-3</v>
      </c>
      <c r="M45" s="168">
        <f t="shared" si="43"/>
        <v>5.9486962726084331E-3</v>
      </c>
      <c r="N45" s="168">
        <f t="shared" si="43"/>
        <v>6.6922833066844871E-3</v>
      </c>
      <c r="O45" s="168">
        <f t="shared" si="43"/>
        <v>7.4358703407605411E-3</v>
      </c>
      <c r="P45" s="168">
        <f t="shared" si="43"/>
        <v>8.1794573748365951E-3</v>
      </c>
      <c r="Q45" s="168">
        <f t="shared" si="43"/>
        <v>8.92304440891265E-3</v>
      </c>
      <c r="R45" s="168">
        <f t="shared" si="43"/>
        <v>9.6666314429887049E-3</v>
      </c>
      <c r="S45" s="168">
        <f t="shared" si="43"/>
        <v>1.041021847706476E-2</v>
      </c>
      <c r="T45" s="168">
        <f t="shared" si="43"/>
        <v>1.1153805511140815E-2</v>
      </c>
      <c r="U45" s="168">
        <f t="shared" si="43"/>
        <v>1.189739254521687E-2</v>
      </c>
      <c r="V45" s="168">
        <f t="shared" si="43"/>
        <v>1.2640979579292924E-2</v>
      </c>
      <c r="W45" s="168">
        <f t="shared" si="43"/>
        <v>1.3384566613368979E-2</v>
      </c>
      <c r="X45" s="168">
        <f t="shared" si="43"/>
        <v>1.4128153647445034E-2</v>
      </c>
      <c r="Y45" s="168">
        <f t="shared" si="43"/>
        <v>1.4871740681521089E-2</v>
      </c>
      <c r="Z45" s="168">
        <f t="shared" si="43"/>
        <v>1.5615327715597144E-2</v>
      </c>
      <c r="AA45" s="168">
        <f t="shared" si="43"/>
        <v>1.6358914749673197E-2</v>
      </c>
      <c r="AB45" s="168">
        <f t="shared" si="43"/>
        <v>1.7102501783749252E-2</v>
      </c>
      <c r="AC45" s="168">
        <f t="shared" si="43"/>
        <v>1.7846088817825307E-2</v>
      </c>
      <c r="AD45" s="168">
        <f t="shared" si="43"/>
        <v>1.8589675851901362E-2</v>
      </c>
      <c r="AE45" s="168">
        <f t="shared" si="43"/>
        <v>1.9333262885977417E-2</v>
      </c>
      <c r="AF45" s="168">
        <f t="shared" si="43"/>
        <v>2.0076849920053472E-2</v>
      </c>
      <c r="AG45" s="168">
        <f t="shared" si="43"/>
        <v>2.0820436954129527E-2</v>
      </c>
      <c r="AH45" s="168">
        <f t="shared" si="43"/>
        <v>2.1564023988205581E-2</v>
      </c>
      <c r="AI45" s="168">
        <f t="shared" si="42"/>
        <v>2.2307611022281626E-2</v>
      </c>
    </row>
    <row r="46" spans="1:35" x14ac:dyDescent="0.2">
      <c r="A46" s="310"/>
      <c r="B46" t="s">
        <v>309</v>
      </c>
      <c r="C46" t="s">
        <v>1746</v>
      </c>
      <c r="D46" t="s">
        <v>474</v>
      </c>
      <c r="E46" s="168">
        <f t="shared" si="40"/>
        <v>7.2308310855700428E-2</v>
      </c>
      <c r="F46" s="168">
        <f t="shared" ref="F46:AH46" si="44">-($E46-$AI46)/30+E46</f>
        <v>7.1526161871785163E-2</v>
      </c>
      <c r="G46" s="168">
        <f t="shared" si="44"/>
        <v>7.0744012887869898E-2</v>
      </c>
      <c r="H46" s="168">
        <f t="shared" si="44"/>
        <v>6.9961863903954633E-2</v>
      </c>
      <c r="I46" s="168">
        <f t="shared" si="44"/>
        <v>6.9179714920039367E-2</v>
      </c>
      <c r="J46" s="168">
        <f t="shared" si="44"/>
        <v>6.8397565936124102E-2</v>
      </c>
      <c r="K46" s="168">
        <f t="shared" si="44"/>
        <v>6.7615416952208837E-2</v>
      </c>
      <c r="L46" s="168">
        <f t="shared" si="44"/>
        <v>6.6833267968293572E-2</v>
      </c>
      <c r="M46" s="168">
        <f t="shared" si="44"/>
        <v>6.6051118984378307E-2</v>
      </c>
      <c r="N46" s="168">
        <f t="shared" si="44"/>
        <v>6.5268970000463042E-2</v>
      </c>
      <c r="O46" s="168">
        <f t="shared" si="44"/>
        <v>6.4486821016547777E-2</v>
      </c>
      <c r="P46" s="168">
        <f t="shared" si="44"/>
        <v>6.3704672032632512E-2</v>
      </c>
      <c r="Q46" s="168">
        <f t="shared" si="44"/>
        <v>6.2922523048717247E-2</v>
      </c>
      <c r="R46" s="168">
        <f t="shared" si="44"/>
        <v>6.2140374064801981E-2</v>
      </c>
      <c r="S46" s="168">
        <f t="shared" si="44"/>
        <v>6.1358225080886716E-2</v>
      </c>
      <c r="T46" s="168">
        <f t="shared" si="44"/>
        <v>6.0576076096971451E-2</v>
      </c>
      <c r="U46" s="168">
        <f t="shared" si="44"/>
        <v>5.9793927113056186E-2</v>
      </c>
      <c r="V46" s="168">
        <f t="shared" si="44"/>
        <v>5.9011778129140921E-2</v>
      </c>
      <c r="W46" s="168">
        <f t="shared" si="44"/>
        <v>5.8229629145225656E-2</v>
      </c>
      <c r="X46" s="168">
        <f t="shared" si="44"/>
        <v>5.7447480161310391E-2</v>
      </c>
      <c r="Y46" s="168">
        <f t="shared" si="44"/>
        <v>5.6665331177395126E-2</v>
      </c>
      <c r="Z46" s="168">
        <f t="shared" si="44"/>
        <v>5.5883182193479861E-2</v>
      </c>
      <c r="AA46" s="168">
        <f t="shared" si="44"/>
        <v>5.5101033209564595E-2</v>
      </c>
      <c r="AB46" s="168">
        <f t="shared" si="44"/>
        <v>5.431888422564933E-2</v>
      </c>
      <c r="AC46" s="168">
        <f t="shared" si="44"/>
        <v>5.3536735241734065E-2</v>
      </c>
      <c r="AD46" s="168">
        <f t="shared" si="44"/>
        <v>5.27545862578188E-2</v>
      </c>
      <c r="AE46" s="168">
        <f t="shared" si="44"/>
        <v>5.1972437273903535E-2</v>
      </c>
      <c r="AF46" s="168">
        <f t="shared" si="44"/>
        <v>5.119028828998827E-2</v>
      </c>
      <c r="AG46" s="168">
        <f t="shared" si="44"/>
        <v>5.0408139306073005E-2</v>
      </c>
      <c r="AH46" s="168">
        <f t="shared" si="44"/>
        <v>4.962599032215774E-2</v>
      </c>
      <c r="AI46" s="168">
        <f t="shared" si="42"/>
        <v>4.8843841338242371E-2</v>
      </c>
    </row>
    <row r="47" spans="1:35" s="68" customFormat="1" x14ac:dyDescent="0.2">
      <c r="A47" s="311"/>
      <c r="B47" s="68" t="s">
        <v>309</v>
      </c>
      <c r="C47" s="68" t="s">
        <v>1746</v>
      </c>
      <c r="D47" s="68" t="s">
        <v>248</v>
      </c>
      <c r="E47" s="421">
        <f t="shared" si="40"/>
        <v>0</v>
      </c>
      <c r="F47" s="421">
        <f t="shared" ref="F47:AH47" si="45">-($E47-$AI47)/30+E47</f>
        <v>3.3195849735538135E-5</v>
      </c>
      <c r="G47" s="421">
        <f t="shared" si="45"/>
        <v>6.639169947107627E-5</v>
      </c>
      <c r="H47" s="421">
        <f t="shared" si="45"/>
        <v>9.9587549206614398E-5</v>
      </c>
      <c r="I47" s="421">
        <f t="shared" si="45"/>
        <v>1.3278339894215254E-4</v>
      </c>
      <c r="J47" s="421">
        <f t="shared" si="45"/>
        <v>1.6597924867769068E-4</v>
      </c>
      <c r="K47" s="421">
        <f t="shared" si="45"/>
        <v>1.9917509841322882E-4</v>
      </c>
      <c r="L47" s="421">
        <f t="shared" si="45"/>
        <v>2.3237094814876696E-4</v>
      </c>
      <c r="M47" s="421">
        <f t="shared" si="45"/>
        <v>2.6556679788430508E-4</v>
      </c>
      <c r="N47" s="421">
        <f t="shared" si="45"/>
        <v>2.9876264761984322E-4</v>
      </c>
      <c r="O47" s="421">
        <f t="shared" si="45"/>
        <v>3.3195849735538136E-4</v>
      </c>
      <c r="P47" s="421">
        <f t="shared" si="45"/>
        <v>3.651543470909195E-4</v>
      </c>
      <c r="Q47" s="421">
        <f t="shared" si="45"/>
        <v>3.9835019682645765E-4</v>
      </c>
      <c r="R47" s="421">
        <f t="shared" si="45"/>
        <v>4.3154604656199579E-4</v>
      </c>
      <c r="S47" s="421">
        <f t="shared" si="45"/>
        <v>4.6474189629753393E-4</v>
      </c>
      <c r="T47" s="421">
        <f t="shared" si="45"/>
        <v>4.9793774603307207E-4</v>
      </c>
      <c r="U47" s="421">
        <f t="shared" si="45"/>
        <v>5.3113359576861016E-4</v>
      </c>
      <c r="V47" s="421">
        <f t="shared" si="45"/>
        <v>5.6432944550414824E-4</v>
      </c>
      <c r="W47" s="421">
        <f t="shared" si="45"/>
        <v>5.9752529523968633E-4</v>
      </c>
      <c r="X47" s="421">
        <f t="shared" si="45"/>
        <v>6.3072114497522442E-4</v>
      </c>
      <c r="Y47" s="421">
        <f t="shared" si="45"/>
        <v>6.6391699471076251E-4</v>
      </c>
      <c r="Z47" s="421">
        <f t="shared" si="45"/>
        <v>6.9711284444630059E-4</v>
      </c>
      <c r="AA47" s="421">
        <f t="shared" si="45"/>
        <v>7.3030869418183868E-4</v>
      </c>
      <c r="AB47" s="421">
        <f t="shared" si="45"/>
        <v>7.6350454391737677E-4</v>
      </c>
      <c r="AC47" s="421">
        <f t="shared" si="45"/>
        <v>7.9670039365291486E-4</v>
      </c>
      <c r="AD47" s="421">
        <f t="shared" si="45"/>
        <v>8.2989624338845294E-4</v>
      </c>
      <c r="AE47" s="421">
        <f t="shared" si="45"/>
        <v>8.6309209312399103E-4</v>
      </c>
      <c r="AF47" s="421">
        <f t="shared" si="45"/>
        <v>8.9628794285952912E-4</v>
      </c>
      <c r="AG47" s="421">
        <f t="shared" si="45"/>
        <v>9.2948379259506721E-4</v>
      </c>
      <c r="AH47" s="421">
        <f t="shared" si="45"/>
        <v>9.6267964233060529E-4</v>
      </c>
      <c r="AI47" s="421">
        <f t="shared" si="42"/>
        <v>9.9587549206614414E-4</v>
      </c>
    </row>
    <row r="48" spans="1:35" s="67" customFormat="1" x14ac:dyDescent="0.2">
      <c r="A48" s="307"/>
      <c r="B48" s="67" t="s">
        <v>309</v>
      </c>
      <c r="C48" s="67" t="s">
        <v>1747</v>
      </c>
      <c r="D48" s="67" t="s">
        <v>258</v>
      </c>
      <c r="E48" s="201">
        <f>D3</f>
        <v>0</v>
      </c>
      <c r="F48" s="201">
        <f t="shared" ref="F48:AH48" si="46">-($E48-$AI48)/30+E48</f>
        <v>0</v>
      </c>
      <c r="G48" s="201">
        <f t="shared" si="46"/>
        <v>0</v>
      </c>
      <c r="H48" s="201">
        <f t="shared" si="46"/>
        <v>0</v>
      </c>
      <c r="I48" s="201">
        <f t="shared" si="46"/>
        <v>0</v>
      </c>
      <c r="J48" s="201">
        <f t="shared" si="46"/>
        <v>0</v>
      </c>
      <c r="K48" s="201">
        <f t="shared" si="46"/>
        <v>0</v>
      </c>
      <c r="L48" s="201">
        <f t="shared" si="46"/>
        <v>0</v>
      </c>
      <c r="M48" s="201">
        <f t="shared" si="46"/>
        <v>0</v>
      </c>
      <c r="N48" s="201">
        <f t="shared" si="46"/>
        <v>0</v>
      </c>
      <c r="O48" s="201">
        <f t="shared" si="46"/>
        <v>0</v>
      </c>
      <c r="P48" s="201">
        <f t="shared" si="46"/>
        <v>0</v>
      </c>
      <c r="Q48" s="201">
        <f t="shared" si="46"/>
        <v>0</v>
      </c>
      <c r="R48" s="201">
        <f t="shared" si="46"/>
        <v>0</v>
      </c>
      <c r="S48" s="201">
        <f t="shared" si="46"/>
        <v>0</v>
      </c>
      <c r="T48" s="201">
        <f t="shared" si="46"/>
        <v>0</v>
      </c>
      <c r="U48" s="201">
        <f t="shared" si="46"/>
        <v>0</v>
      </c>
      <c r="V48" s="201">
        <f t="shared" si="46"/>
        <v>0</v>
      </c>
      <c r="W48" s="201">
        <f t="shared" si="46"/>
        <v>0</v>
      </c>
      <c r="X48" s="201">
        <f t="shared" si="46"/>
        <v>0</v>
      </c>
      <c r="Y48" s="201">
        <f t="shared" si="46"/>
        <v>0</v>
      </c>
      <c r="Z48" s="201">
        <f t="shared" si="46"/>
        <v>0</v>
      </c>
      <c r="AA48" s="201">
        <f t="shared" si="46"/>
        <v>0</v>
      </c>
      <c r="AB48" s="201">
        <f t="shared" si="46"/>
        <v>0</v>
      </c>
      <c r="AC48" s="201">
        <f t="shared" si="46"/>
        <v>0</v>
      </c>
      <c r="AD48" s="201">
        <f t="shared" si="46"/>
        <v>0</v>
      </c>
      <c r="AE48" s="201">
        <f t="shared" si="46"/>
        <v>0</v>
      </c>
      <c r="AF48" s="201">
        <f t="shared" si="46"/>
        <v>0</v>
      </c>
      <c r="AG48" s="201">
        <f t="shared" si="46"/>
        <v>0</v>
      </c>
      <c r="AH48" s="201">
        <f t="shared" si="46"/>
        <v>0</v>
      </c>
      <c r="AI48" s="201">
        <f>N3</f>
        <v>0</v>
      </c>
    </row>
    <row r="49" spans="1:35" x14ac:dyDescent="0.2">
      <c r="A49" s="310"/>
      <c r="B49" t="s">
        <v>309</v>
      </c>
      <c r="C49" t="s">
        <v>1747</v>
      </c>
      <c r="D49" t="s">
        <v>478</v>
      </c>
      <c r="E49" s="168">
        <f t="shared" ref="E49:E52" si="47">D4</f>
        <v>0</v>
      </c>
      <c r="F49" s="168">
        <f t="shared" ref="F49:AH49" si="48">-($E49-$AI49)/30+E49</f>
        <v>0</v>
      </c>
      <c r="G49" s="168">
        <f t="shared" si="48"/>
        <v>0</v>
      </c>
      <c r="H49" s="168">
        <f t="shared" si="48"/>
        <v>0</v>
      </c>
      <c r="I49" s="168">
        <f t="shared" si="48"/>
        <v>0</v>
      </c>
      <c r="J49" s="168">
        <f t="shared" si="48"/>
        <v>0</v>
      </c>
      <c r="K49" s="168">
        <f t="shared" si="48"/>
        <v>0</v>
      </c>
      <c r="L49" s="168">
        <f t="shared" si="48"/>
        <v>0</v>
      </c>
      <c r="M49" s="168">
        <f t="shared" si="48"/>
        <v>0</v>
      </c>
      <c r="N49" s="168">
        <f t="shared" si="48"/>
        <v>0</v>
      </c>
      <c r="O49" s="168">
        <f t="shared" si="48"/>
        <v>0</v>
      </c>
      <c r="P49" s="168">
        <f t="shared" si="48"/>
        <v>0</v>
      </c>
      <c r="Q49" s="168">
        <f t="shared" si="48"/>
        <v>0</v>
      </c>
      <c r="R49" s="168">
        <f t="shared" si="48"/>
        <v>0</v>
      </c>
      <c r="S49" s="168">
        <f t="shared" si="48"/>
        <v>0</v>
      </c>
      <c r="T49" s="168">
        <f t="shared" si="48"/>
        <v>0</v>
      </c>
      <c r="U49" s="168">
        <f t="shared" si="48"/>
        <v>0</v>
      </c>
      <c r="V49" s="168">
        <f t="shared" si="48"/>
        <v>0</v>
      </c>
      <c r="W49" s="168">
        <f t="shared" si="48"/>
        <v>0</v>
      </c>
      <c r="X49" s="168">
        <f t="shared" si="48"/>
        <v>0</v>
      </c>
      <c r="Y49" s="168">
        <f t="shared" si="48"/>
        <v>0</v>
      </c>
      <c r="Z49" s="168">
        <f t="shared" si="48"/>
        <v>0</v>
      </c>
      <c r="AA49" s="168">
        <f t="shared" si="48"/>
        <v>0</v>
      </c>
      <c r="AB49" s="168">
        <f t="shared" si="48"/>
        <v>0</v>
      </c>
      <c r="AC49" s="168">
        <f t="shared" si="48"/>
        <v>0</v>
      </c>
      <c r="AD49" s="168">
        <f t="shared" si="48"/>
        <v>0</v>
      </c>
      <c r="AE49" s="168">
        <f t="shared" si="48"/>
        <v>0</v>
      </c>
      <c r="AF49" s="168">
        <f t="shared" si="48"/>
        <v>0</v>
      </c>
      <c r="AG49" s="168">
        <f t="shared" si="48"/>
        <v>0</v>
      </c>
      <c r="AH49" s="168">
        <f t="shared" si="48"/>
        <v>0</v>
      </c>
      <c r="AI49" s="168">
        <f t="shared" ref="AI49:AI52" si="49">N4</f>
        <v>0</v>
      </c>
    </row>
    <row r="50" spans="1:35" x14ac:dyDescent="0.2">
      <c r="A50" s="310"/>
      <c r="B50" t="s">
        <v>309</v>
      </c>
      <c r="C50" t="s">
        <v>1747</v>
      </c>
      <c r="D50" t="s">
        <v>480</v>
      </c>
      <c r="E50" s="168">
        <f t="shared" si="47"/>
        <v>0</v>
      </c>
      <c r="F50" s="168">
        <f t="shared" ref="F50:AH50" si="50">-($E50-$AI50)/30+E50</f>
        <v>0</v>
      </c>
      <c r="G50" s="168">
        <f t="shared" si="50"/>
        <v>0</v>
      </c>
      <c r="H50" s="168">
        <f t="shared" si="50"/>
        <v>0</v>
      </c>
      <c r="I50" s="168">
        <f t="shared" si="50"/>
        <v>0</v>
      </c>
      <c r="J50" s="168">
        <f t="shared" si="50"/>
        <v>0</v>
      </c>
      <c r="K50" s="168">
        <f t="shared" si="50"/>
        <v>0</v>
      </c>
      <c r="L50" s="168">
        <f t="shared" si="50"/>
        <v>0</v>
      </c>
      <c r="M50" s="168">
        <f t="shared" si="50"/>
        <v>0</v>
      </c>
      <c r="N50" s="168">
        <f t="shared" si="50"/>
        <v>0</v>
      </c>
      <c r="O50" s="168">
        <f t="shared" si="50"/>
        <v>0</v>
      </c>
      <c r="P50" s="168">
        <f t="shared" si="50"/>
        <v>0</v>
      </c>
      <c r="Q50" s="168">
        <f t="shared" si="50"/>
        <v>0</v>
      </c>
      <c r="R50" s="168">
        <f t="shared" si="50"/>
        <v>0</v>
      </c>
      <c r="S50" s="168">
        <f t="shared" si="50"/>
        <v>0</v>
      </c>
      <c r="T50" s="168">
        <f t="shared" si="50"/>
        <v>0</v>
      </c>
      <c r="U50" s="168">
        <f t="shared" si="50"/>
        <v>0</v>
      </c>
      <c r="V50" s="168">
        <f t="shared" si="50"/>
        <v>0</v>
      </c>
      <c r="W50" s="168">
        <f t="shared" si="50"/>
        <v>0</v>
      </c>
      <c r="X50" s="168">
        <f t="shared" si="50"/>
        <v>0</v>
      </c>
      <c r="Y50" s="168">
        <f t="shared" si="50"/>
        <v>0</v>
      </c>
      <c r="Z50" s="168">
        <f t="shared" si="50"/>
        <v>0</v>
      </c>
      <c r="AA50" s="168">
        <f t="shared" si="50"/>
        <v>0</v>
      </c>
      <c r="AB50" s="168">
        <f t="shared" si="50"/>
        <v>0</v>
      </c>
      <c r="AC50" s="168">
        <f t="shared" si="50"/>
        <v>0</v>
      </c>
      <c r="AD50" s="168">
        <f t="shared" si="50"/>
        <v>0</v>
      </c>
      <c r="AE50" s="168">
        <f t="shared" si="50"/>
        <v>0</v>
      </c>
      <c r="AF50" s="168">
        <f t="shared" si="50"/>
        <v>0</v>
      </c>
      <c r="AG50" s="168">
        <f t="shared" si="50"/>
        <v>0</v>
      </c>
      <c r="AH50" s="168">
        <f t="shared" si="50"/>
        <v>0</v>
      </c>
      <c r="AI50" s="168">
        <f t="shared" si="49"/>
        <v>0</v>
      </c>
    </row>
    <row r="51" spans="1:35" x14ac:dyDescent="0.2">
      <c r="A51" s="310"/>
      <c r="B51" t="s">
        <v>309</v>
      </c>
      <c r="C51" t="s">
        <v>1747</v>
      </c>
      <c r="D51" t="s">
        <v>474</v>
      </c>
      <c r="E51" s="168">
        <f t="shared" si="47"/>
        <v>1</v>
      </c>
      <c r="F51" s="168">
        <f t="shared" ref="F51:AH51" si="51">-($E51-$AI51)/30+E51</f>
        <v>1</v>
      </c>
      <c r="G51" s="168">
        <f t="shared" si="51"/>
        <v>1</v>
      </c>
      <c r="H51" s="168">
        <f t="shared" si="51"/>
        <v>1</v>
      </c>
      <c r="I51" s="168">
        <f t="shared" si="51"/>
        <v>1</v>
      </c>
      <c r="J51" s="168">
        <f t="shared" si="51"/>
        <v>1</v>
      </c>
      <c r="K51" s="168">
        <f t="shared" si="51"/>
        <v>1</v>
      </c>
      <c r="L51" s="168">
        <f t="shared" si="51"/>
        <v>1</v>
      </c>
      <c r="M51" s="168">
        <f t="shared" si="51"/>
        <v>1</v>
      </c>
      <c r="N51" s="168">
        <f t="shared" si="51"/>
        <v>1</v>
      </c>
      <c r="O51" s="168">
        <f t="shared" si="51"/>
        <v>1</v>
      </c>
      <c r="P51" s="168">
        <f t="shared" si="51"/>
        <v>1</v>
      </c>
      <c r="Q51" s="168">
        <f t="shared" si="51"/>
        <v>1</v>
      </c>
      <c r="R51" s="168">
        <f t="shared" si="51"/>
        <v>1</v>
      </c>
      <c r="S51" s="168">
        <f t="shared" si="51"/>
        <v>1</v>
      </c>
      <c r="T51" s="168">
        <f t="shared" si="51"/>
        <v>1</v>
      </c>
      <c r="U51" s="168">
        <f t="shared" si="51"/>
        <v>1</v>
      </c>
      <c r="V51" s="168">
        <f t="shared" si="51"/>
        <v>1</v>
      </c>
      <c r="W51" s="168">
        <f t="shared" si="51"/>
        <v>1</v>
      </c>
      <c r="X51" s="168">
        <f t="shared" si="51"/>
        <v>1</v>
      </c>
      <c r="Y51" s="168">
        <f t="shared" si="51"/>
        <v>1</v>
      </c>
      <c r="Z51" s="168">
        <f t="shared" si="51"/>
        <v>1</v>
      </c>
      <c r="AA51" s="168">
        <f t="shared" si="51"/>
        <v>1</v>
      </c>
      <c r="AB51" s="168">
        <f t="shared" si="51"/>
        <v>1</v>
      </c>
      <c r="AC51" s="168">
        <f t="shared" si="51"/>
        <v>1</v>
      </c>
      <c r="AD51" s="168">
        <f t="shared" si="51"/>
        <v>1</v>
      </c>
      <c r="AE51" s="168">
        <f t="shared" si="51"/>
        <v>1</v>
      </c>
      <c r="AF51" s="168">
        <f t="shared" si="51"/>
        <v>1</v>
      </c>
      <c r="AG51" s="168">
        <f t="shared" si="51"/>
        <v>1</v>
      </c>
      <c r="AH51" s="168">
        <f t="shared" si="51"/>
        <v>1</v>
      </c>
      <c r="AI51" s="168">
        <f t="shared" si="49"/>
        <v>1</v>
      </c>
    </row>
    <row r="52" spans="1:35" s="68" customFormat="1" x14ac:dyDescent="0.2">
      <c r="A52" s="311"/>
      <c r="B52" s="68" t="s">
        <v>309</v>
      </c>
      <c r="C52" s="68" t="s">
        <v>1747</v>
      </c>
      <c r="D52" s="68" t="s">
        <v>248</v>
      </c>
      <c r="E52" s="421">
        <f t="shared" si="47"/>
        <v>0</v>
      </c>
      <c r="F52" s="421">
        <f t="shared" ref="F52:AH52" si="52">-($E52-$AI52)/30+E52</f>
        <v>3.3195849735538135E-5</v>
      </c>
      <c r="G52" s="421">
        <f t="shared" si="52"/>
        <v>6.639169947107627E-5</v>
      </c>
      <c r="H52" s="421">
        <f t="shared" si="52"/>
        <v>9.9587549206614398E-5</v>
      </c>
      <c r="I52" s="421">
        <f t="shared" si="52"/>
        <v>1.3278339894215254E-4</v>
      </c>
      <c r="J52" s="421">
        <f t="shared" si="52"/>
        <v>1.6597924867769068E-4</v>
      </c>
      <c r="K52" s="421">
        <f t="shared" si="52"/>
        <v>1.9917509841322882E-4</v>
      </c>
      <c r="L52" s="421">
        <f t="shared" si="52"/>
        <v>2.3237094814876696E-4</v>
      </c>
      <c r="M52" s="421">
        <f t="shared" si="52"/>
        <v>2.6556679788430508E-4</v>
      </c>
      <c r="N52" s="421">
        <f t="shared" si="52"/>
        <v>2.9876264761984322E-4</v>
      </c>
      <c r="O52" s="421">
        <f t="shared" si="52"/>
        <v>3.3195849735538136E-4</v>
      </c>
      <c r="P52" s="421">
        <f t="shared" si="52"/>
        <v>3.651543470909195E-4</v>
      </c>
      <c r="Q52" s="421">
        <f t="shared" si="52"/>
        <v>3.9835019682645765E-4</v>
      </c>
      <c r="R52" s="421">
        <f t="shared" si="52"/>
        <v>4.3154604656199579E-4</v>
      </c>
      <c r="S52" s="421">
        <f t="shared" si="52"/>
        <v>4.6474189629753393E-4</v>
      </c>
      <c r="T52" s="421">
        <f t="shared" si="52"/>
        <v>4.9793774603307207E-4</v>
      </c>
      <c r="U52" s="421">
        <f t="shared" si="52"/>
        <v>5.3113359576861016E-4</v>
      </c>
      <c r="V52" s="421">
        <f t="shared" si="52"/>
        <v>5.6432944550414824E-4</v>
      </c>
      <c r="W52" s="421">
        <f t="shared" si="52"/>
        <v>5.9752529523968633E-4</v>
      </c>
      <c r="X52" s="421">
        <f t="shared" si="52"/>
        <v>6.3072114497522442E-4</v>
      </c>
      <c r="Y52" s="421">
        <f t="shared" si="52"/>
        <v>6.6391699471076251E-4</v>
      </c>
      <c r="Z52" s="421">
        <f t="shared" si="52"/>
        <v>6.9711284444630059E-4</v>
      </c>
      <c r="AA52" s="421">
        <f t="shared" si="52"/>
        <v>7.3030869418183868E-4</v>
      </c>
      <c r="AB52" s="421">
        <f t="shared" si="52"/>
        <v>7.6350454391737677E-4</v>
      </c>
      <c r="AC52" s="421">
        <f t="shared" si="52"/>
        <v>7.9670039365291486E-4</v>
      </c>
      <c r="AD52" s="421">
        <f t="shared" si="52"/>
        <v>8.2989624338845294E-4</v>
      </c>
      <c r="AE52" s="421">
        <f t="shared" si="52"/>
        <v>8.6309209312399103E-4</v>
      </c>
      <c r="AF52" s="421">
        <f t="shared" si="52"/>
        <v>8.9628794285952912E-4</v>
      </c>
      <c r="AG52" s="421">
        <f t="shared" si="52"/>
        <v>9.2948379259506721E-4</v>
      </c>
      <c r="AH52" s="421">
        <f t="shared" si="52"/>
        <v>9.6267964233060529E-4</v>
      </c>
      <c r="AI52" s="421">
        <f t="shared" si="49"/>
        <v>9.9587549206614414E-4</v>
      </c>
    </row>
    <row r="53" spans="1:35" s="67" customFormat="1" x14ac:dyDescent="0.2">
      <c r="A53" s="307"/>
      <c r="B53" s="67" t="s">
        <v>309</v>
      </c>
      <c r="C53" s="67" t="s">
        <v>1748</v>
      </c>
      <c r="D53" s="67" t="s">
        <v>258</v>
      </c>
      <c r="E53" s="201">
        <f>E3</f>
        <v>1</v>
      </c>
      <c r="F53" s="201">
        <f t="shared" ref="F53:AH53" si="53">-($E53-$AI53)/30+E53</f>
        <v>1</v>
      </c>
      <c r="G53" s="201">
        <f t="shared" si="53"/>
        <v>1</v>
      </c>
      <c r="H53" s="201">
        <f t="shared" si="53"/>
        <v>1</v>
      </c>
      <c r="I53" s="201">
        <f t="shared" si="53"/>
        <v>1</v>
      </c>
      <c r="J53" s="201">
        <f t="shared" si="53"/>
        <v>1</v>
      </c>
      <c r="K53" s="201">
        <f t="shared" si="53"/>
        <v>1</v>
      </c>
      <c r="L53" s="201">
        <f t="shared" si="53"/>
        <v>1</v>
      </c>
      <c r="M53" s="201">
        <f t="shared" si="53"/>
        <v>1</v>
      </c>
      <c r="N53" s="201">
        <f t="shared" si="53"/>
        <v>1</v>
      </c>
      <c r="O53" s="201">
        <f t="shared" si="53"/>
        <v>1</v>
      </c>
      <c r="P53" s="201">
        <f t="shared" si="53"/>
        <v>1</v>
      </c>
      <c r="Q53" s="201">
        <f t="shared" si="53"/>
        <v>1</v>
      </c>
      <c r="R53" s="201">
        <f t="shared" si="53"/>
        <v>1</v>
      </c>
      <c r="S53" s="201">
        <f t="shared" si="53"/>
        <v>1</v>
      </c>
      <c r="T53" s="201">
        <f t="shared" si="53"/>
        <v>1</v>
      </c>
      <c r="U53" s="201">
        <f t="shared" si="53"/>
        <v>1</v>
      </c>
      <c r="V53" s="201">
        <f t="shared" si="53"/>
        <v>1</v>
      </c>
      <c r="W53" s="201">
        <f t="shared" si="53"/>
        <v>1</v>
      </c>
      <c r="X53" s="201">
        <f t="shared" si="53"/>
        <v>1</v>
      </c>
      <c r="Y53" s="201">
        <f t="shared" si="53"/>
        <v>1</v>
      </c>
      <c r="Z53" s="201">
        <f t="shared" si="53"/>
        <v>1</v>
      </c>
      <c r="AA53" s="201">
        <f t="shared" si="53"/>
        <v>1</v>
      </c>
      <c r="AB53" s="201">
        <f t="shared" si="53"/>
        <v>1</v>
      </c>
      <c r="AC53" s="201">
        <f t="shared" si="53"/>
        <v>1</v>
      </c>
      <c r="AD53" s="201">
        <f t="shared" si="53"/>
        <v>1</v>
      </c>
      <c r="AE53" s="201">
        <f t="shared" si="53"/>
        <v>1</v>
      </c>
      <c r="AF53" s="201">
        <f t="shared" si="53"/>
        <v>1</v>
      </c>
      <c r="AG53" s="201">
        <f t="shared" si="53"/>
        <v>1</v>
      </c>
      <c r="AH53" s="201">
        <f t="shared" si="53"/>
        <v>1</v>
      </c>
      <c r="AI53" s="201">
        <f>O3</f>
        <v>1</v>
      </c>
    </row>
    <row r="54" spans="1:35" x14ac:dyDescent="0.2">
      <c r="A54" s="310"/>
      <c r="B54" t="s">
        <v>309</v>
      </c>
      <c r="C54" t="s">
        <v>1748</v>
      </c>
      <c r="D54" t="s">
        <v>478</v>
      </c>
      <c r="E54" s="168">
        <f t="shared" ref="E54:E57" si="54">E4</f>
        <v>0</v>
      </c>
      <c r="F54" s="168">
        <f t="shared" ref="F54:AH54" si="55">-($E54-$AI54)/30+E54</f>
        <v>0</v>
      </c>
      <c r="G54" s="168">
        <f t="shared" si="55"/>
        <v>0</v>
      </c>
      <c r="H54" s="168">
        <f t="shared" si="55"/>
        <v>0</v>
      </c>
      <c r="I54" s="168">
        <f t="shared" si="55"/>
        <v>0</v>
      </c>
      <c r="J54" s="168">
        <f t="shared" si="55"/>
        <v>0</v>
      </c>
      <c r="K54" s="168">
        <f t="shared" si="55"/>
        <v>0</v>
      </c>
      <c r="L54" s="168">
        <f t="shared" si="55"/>
        <v>0</v>
      </c>
      <c r="M54" s="168">
        <f t="shared" si="55"/>
        <v>0</v>
      </c>
      <c r="N54" s="168">
        <f t="shared" si="55"/>
        <v>0</v>
      </c>
      <c r="O54" s="168">
        <f t="shared" si="55"/>
        <v>0</v>
      </c>
      <c r="P54" s="168">
        <f t="shared" si="55"/>
        <v>0</v>
      </c>
      <c r="Q54" s="168">
        <f t="shared" si="55"/>
        <v>0</v>
      </c>
      <c r="R54" s="168">
        <f t="shared" si="55"/>
        <v>0</v>
      </c>
      <c r="S54" s="168">
        <f t="shared" si="55"/>
        <v>0</v>
      </c>
      <c r="T54" s="168">
        <f t="shared" si="55"/>
        <v>0</v>
      </c>
      <c r="U54" s="168">
        <f t="shared" si="55"/>
        <v>0</v>
      </c>
      <c r="V54" s="168">
        <f t="shared" si="55"/>
        <v>0</v>
      </c>
      <c r="W54" s="168">
        <f t="shared" si="55"/>
        <v>0</v>
      </c>
      <c r="X54" s="168">
        <f t="shared" si="55"/>
        <v>0</v>
      </c>
      <c r="Y54" s="168">
        <f t="shared" si="55"/>
        <v>0</v>
      </c>
      <c r="Z54" s="168">
        <f t="shared" si="55"/>
        <v>0</v>
      </c>
      <c r="AA54" s="168">
        <f t="shared" si="55"/>
        <v>0</v>
      </c>
      <c r="AB54" s="168">
        <f t="shared" si="55"/>
        <v>0</v>
      </c>
      <c r="AC54" s="168">
        <f t="shared" si="55"/>
        <v>0</v>
      </c>
      <c r="AD54" s="168">
        <f t="shared" si="55"/>
        <v>0</v>
      </c>
      <c r="AE54" s="168">
        <f t="shared" si="55"/>
        <v>0</v>
      </c>
      <c r="AF54" s="168">
        <f t="shared" si="55"/>
        <v>0</v>
      </c>
      <c r="AG54" s="168">
        <f t="shared" si="55"/>
        <v>0</v>
      </c>
      <c r="AH54" s="168">
        <f t="shared" si="55"/>
        <v>0</v>
      </c>
      <c r="AI54" s="168">
        <f t="shared" ref="AI54:AI57" si="56">O4</f>
        <v>0</v>
      </c>
    </row>
    <row r="55" spans="1:35" x14ac:dyDescent="0.2">
      <c r="A55" s="310"/>
      <c r="B55" t="s">
        <v>309</v>
      </c>
      <c r="C55" t="s">
        <v>1748</v>
      </c>
      <c r="D55" t="s">
        <v>480</v>
      </c>
      <c r="E55" s="168">
        <f t="shared" si="54"/>
        <v>0</v>
      </c>
      <c r="F55" s="168">
        <f t="shared" ref="F55:AH55" si="57">-($E55-$AI55)/30+E55</f>
        <v>0</v>
      </c>
      <c r="G55" s="168">
        <f t="shared" si="57"/>
        <v>0</v>
      </c>
      <c r="H55" s="168">
        <f t="shared" si="57"/>
        <v>0</v>
      </c>
      <c r="I55" s="168">
        <f t="shared" si="57"/>
        <v>0</v>
      </c>
      <c r="J55" s="168">
        <f t="shared" si="57"/>
        <v>0</v>
      </c>
      <c r="K55" s="168">
        <f t="shared" si="57"/>
        <v>0</v>
      </c>
      <c r="L55" s="168">
        <f t="shared" si="57"/>
        <v>0</v>
      </c>
      <c r="M55" s="168">
        <f t="shared" si="57"/>
        <v>0</v>
      </c>
      <c r="N55" s="168">
        <f t="shared" si="57"/>
        <v>0</v>
      </c>
      <c r="O55" s="168">
        <f t="shared" si="57"/>
        <v>0</v>
      </c>
      <c r="P55" s="168">
        <f t="shared" si="57"/>
        <v>0</v>
      </c>
      <c r="Q55" s="168">
        <f t="shared" si="57"/>
        <v>0</v>
      </c>
      <c r="R55" s="168">
        <f t="shared" si="57"/>
        <v>0</v>
      </c>
      <c r="S55" s="168">
        <f t="shared" si="57"/>
        <v>0</v>
      </c>
      <c r="T55" s="168">
        <f t="shared" si="57"/>
        <v>0</v>
      </c>
      <c r="U55" s="168">
        <f t="shared" si="57"/>
        <v>0</v>
      </c>
      <c r="V55" s="168">
        <f t="shared" si="57"/>
        <v>0</v>
      </c>
      <c r="W55" s="168">
        <f t="shared" si="57"/>
        <v>0</v>
      </c>
      <c r="X55" s="168">
        <f t="shared" si="57"/>
        <v>0</v>
      </c>
      <c r="Y55" s="168">
        <f t="shared" si="57"/>
        <v>0</v>
      </c>
      <c r="Z55" s="168">
        <f t="shared" si="57"/>
        <v>0</v>
      </c>
      <c r="AA55" s="168">
        <f t="shared" si="57"/>
        <v>0</v>
      </c>
      <c r="AB55" s="168">
        <f t="shared" si="57"/>
        <v>0</v>
      </c>
      <c r="AC55" s="168">
        <f t="shared" si="57"/>
        <v>0</v>
      </c>
      <c r="AD55" s="168">
        <f t="shared" si="57"/>
        <v>0</v>
      </c>
      <c r="AE55" s="168">
        <f t="shared" si="57"/>
        <v>0</v>
      </c>
      <c r="AF55" s="168">
        <f t="shared" si="57"/>
        <v>0</v>
      </c>
      <c r="AG55" s="168">
        <f t="shared" si="57"/>
        <v>0</v>
      </c>
      <c r="AH55" s="168">
        <f t="shared" si="57"/>
        <v>0</v>
      </c>
      <c r="AI55" s="168">
        <f t="shared" si="56"/>
        <v>0</v>
      </c>
    </row>
    <row r="56" spans="1:35" x14ac:dyDescent="0.2">
      <c r="A56" s="310"/>
      <c r="B56" t="s">
        <v>309</v>
      </c>
      <c r="C56" t="s">
        <v>1748</v>
      </c>
      <c r="D56" t="s">
        <v>474</v>
      </c>
      <c r="E56" s="168">
        <f t="shared" si="54"/>
        <v>0</v>
      </c>
      <c r="F56" s="168">
        <f t="shared" ref="F56:AH56" si="58">-($E56-$AI56)/30+E56</f>
        <v>0</v>
      </c>
      <c r="G56" s="168">
        <f t="shared" si="58"/>
        <v>0</v>
      </c>
      <c r="H56" s="168">
        <f t="shared" si="58"/>
        <v>0</v>
      </c>
      <c r="I56" s="168">
        <f t="shared" si="58"/>
        <v>0</v>
      </c>
      <c r="J56" s="168">
        <f t="shared" si="58"/>
        <v>0</v>
      </c>
      <c r="K56" s="168">
        <f t="shared" si="58"/>
        <v>0</v>
      </c>
      <c r="L56" s="168">
        <f t="shared" si="58"/>
        <v>0</v>
      </c>
      <c r="M56" s="168">
        <f t="shared" si="58"/>
        <v>0</v>
      </c>
      <c r="N56" s="168">
        <f t="shared" si="58"/>
        <v>0</v>
      </c>
      <c r="O56" s="168">
        <f t="shared" si="58"/>
        <v>0</v>
      </c>
      <c r="P56" s="168">
        <f t="shared" si="58"/>
        <v>0</v>
      </c>
      <c r="Q56" s="168">
        <f t="shared" si="58"/>
        <v>0</v>
      </c>
      <c r="R56" s="168">
        <f t="shared" si="58"/>
        <v>0</v>
      </c>
      <c r="S56" s="168">
        <f t="shared" si="58"/>
        <v>0</v>
      </c>
      <c r="T56" s="168">
        <f t="shared" si="58"/>
        <v>0</v>
      </c>
      <c r="U56" s="168">
        <f t="shared" si="58"/>
        <v>0</v>
      </c>
      <c r="V56" s="168">
        <f t="shared" si="58"/>
        <v>0</v>
      </c>
      <c r="W56" s="168">
        <f t="shared" si="58"/>
        <v>0</v>
      </c>
      <c r="X56" s="168">
        <f t="shared" si="58"/>
        <v>0</v>
      </c>
      <c r="Y56" s="168">
        <f t="shared" si="58"/>
        <v>0</v>
      </c>
      <c r="Z56" s="168">
        <f t="shared" si="58"/>
        <v>0</v>
      </c>
      <c r="AA56" s="168">
        <f t="shared" si="58"/>
        <v>0</v>
      </c>
      <c r="AB56" s="168">
        <f t="shared" si="58"/>
        <v>0</v>
      </c>
      <c r="AC56" s="168">
        <f t="shared" si="58"/>
        <v>0</v>
      </c>
      <c r="AD56" s="168">
        <f t="shared" si="58"/>
        <v>0</v>
      </c>
      <c r="AE56" s="168">
        <f t="shared" si="58"/>
        <v>0</v>
      </c>
      <c r="AF56" s="168">
        <f t="shared" si="58"/>
        <v>0</v>
      </c>
      <c r="AG56" s="168">
        <f t="shared" si="58"/>
        <v>0</v>
      </c>
      <c r="AH56" s="168">
        <f t="shared" si="58"/>
        <v>0</v>
      </c>
      <c r="AI56" s="168">
        <f t="shared" si="56"/>
        <v>0</v>
      </c>
    </row>
    <row r="57" spans="1:35" s="68" customFormat="1" x14ac:dyDescent="0.2">
      <c r="A57" s="311"/>
      <c r="B57" s="68" t="s">
        <v>309</v>
      </c>
      <c r="C57" s="68" t="s">
        <v>1748</v>
      </c>
      <c r="D57" s="68" t="s">
        <v>248</v>
      </c>
      <c r="E57" s="421">
        <f t="shared" si="54"/>
        <v>0</v>
      </c>
      <c r="F57" s="421">
        <f t="shared" ref="F57:AH57" si="59">-($E57-$AI57)/30+E57</f>
        <v>0</v>
      </c>
      <c r="G57" s="421">
        <f t="shared" si="59"/>
        <v>0</v>
      </c>
      <c r="H57" s="421">
        <f t="shared" si="59"/>
        <v>0</v>
      </c>
      <c r="I57" s="421">
        <f t="shared" si="59"/>
        <v>0</v>
      </c>
      <c r="J57" s="421">
        <f t="shared" si="59"/>
        <v>0</v>
      </c>
      <c r="K57" s="421">
        <f t="shared" si="59"/>
        <v>0</v>
      </c>
      <c r="L57" s="421">
        <f t="shared" si="59"/>
        <v>0</v>
      </c>
      <c r="M57" s="421">
        <f t="shared" si="59"/>
        <v>0</v>
      </c>
      <c r="N57" s="421">
        <f t="shared" si="59"/>
        <v>0</v>
      </c>
      <c r="O57" s="421">
        <f t="shared" si="59"/>
        <v>0</v>
      </c>
      <c r="P57" s="421">
        <f t="shared" si="59"/>
        <v>0</v>
      </c>
      <c r="Q57" s="421">
        <f t="shared" si="59"/>
        <v>0</v>
      </c>
      <c r="R57" s="421">
        <f t="shared" si="59"/>
        <v>0</v>
      </c>
      <c r="S57" s="421">
        <f t="shared" si="59"/>
        <v>0</v>
      </c>
      <c r="T57" s="421">
        <f t="shared" si="59"/>
        <v>0</v>
      </c>
      <c r="U57" s="421">
        <f t="shared" si="59"/>
        <v>0</v>
      </c>
      <c r="V57" s="421">
        <f t="shared" si="59"/>
        <v>0</v>
      </c>
      <c r="W57" s="421">
        <f t="shared" si="59"/>
        <v>0</v>
      </c>
      <c r="X57" s="421">
        <f t="shared" si="59"/>
        <v>0</v>
      </c>
      <c r="Y57" s="421">
        <f t="shared" si="59"/>
        <v>0</v>
      </c>
      <c r="Z57" s="421">
        <f t="shared" si="59"/>
        <v>0</v>
      </c>
      <c r="AA57" s="421">
        <f t="shared" si="59"/>
        <v>0</v>
      </c>
      <c r="AB57" s="421">
        <f t="shared" si="59"/>
        <v>0</v>
      </c>
      <c r="AC57" s="421">
        <f t="shared" si="59"/>
        <v>0</v>
      </c>
      <c r="AD57" s="421">
        <f t="shared" si="59"/>
        <v>0</v>
      </c>
      <c r="AE57" s="421">
        <f t="shared" si="59"/>
        <v>0</v>
      </c>
      <c r="AF57" s="421">
        <f t="shared" si="59"/>
        <v>0</v>
      </c>
      <c r="AG57" s="421">
        <f t="shared" si="59"/>
        <v>0</v>
      </c>
      <c r="AH57" s="421">
        <f t="shared" si="59"/>
        <v>0</v>
      </c>
      <c r="AI57" s="421">
        <f t="shared" si="56"/>
        <v>0</v>
      </c>
    </row>
    <row r="58" spans="1:35" s="67" customFormat="1" x14ac:dyDescent="0.2">
      <c r="A58" s="307"/>
      <c r="B58" s="67" t="s">
        <v>309</v>
      </c>
      <c r="C58" s="67" t="s">
        <v>1749</v>
      </c>
      <c r="D58" s="67" t="s">
        <v>258</v>
      </c>
      <c r="E58" s="201">
        <f>F3</f>
        <v>1</v>
      </c>
      <c r="F58" s="201">
        <f t="shared" ref="F58:AH58" si="60">-($E58-$AI58)/30+E58</f>
        <v>0.98833333333333329</v>
      </c>
      <c r="G58" s="201">
        <f t="shared" si="60"/>
        <v>0.97666666666666657</v>
      </c>
      <c r="H58" s="201">
        <f t="shared" si="60"/>
        <v>0.96499999999999986</v>
      </c>
      <c r="I58" s="201">
        <f t="shared" si="60"/>
        <v>0.95333333333333314</v>
      </c>
      <c r="J58" s="201">
        <f t="shared" si="60"/>
        <v>0.94166666666666643</v>
      </c>
      <c r="K58" s="201">
        <f t="shared" si="60"/>
        <v>0.92999999999999972</v>
      </c>
      <c r="L58" s="201">
        <f t="shared" si="60"/>
        <v>0.918333333333333</v>
      </c>
      <c r="M58" s="201">
        <f t="shared" si="60"/>
        <v>0.90666666666666629</v>
      </c>
      <c r="N58" s="201">
        <f t="shared" si="60"/>
        <v>0.89499999999999957</v>
      </c>
      <c r="O58" s="201">
        <f t="shared" si="60"/>
        <v>0.88333333333333286</v>
      </c>
      <c r="P58" s="201">
        <f t="shared" si="60"/>
        <v>0.87166666666666615</v>
      </c>
      <c r="Q58" s="201">
        <f t="shared" si="60"/>
        <v>0.85999999999999943</v>
      </c>
      <c r="R58" s="201">
        <f t="shared" si="60"/>
        <v>0.84833333333333272</v>
      </c>
      <c r="S58" s="201">
        <f t="shared" si="60"/>
        <v>0.836666666666666</v>
      </c>
      <c r="T58" s="201">
        <f t="shared" si="60"/>
        <v>0.82499999999999929</v>
      </c>
      <c r="U58" s="201">
        <f t="shared" si="60"/>
        <v>0.81333333333333258</v>
      </c>
      <c r="V58" s="201">
        <f t="shared" si="60"/>
        <v>0.80166666666666586</v>
      </c>
      <c r="W58" s="201">
        <f t="shared" si="60"/>
        <v>0.78999999999999915</v>
      </c>
      <c r="X58" s="201">
        <f t="shared" si="60"/>
        <v>0.77833333333333243</v>
      </c>
      <c r="Y58" s="201">
        <f t="shared" si="60"/>
        <v>0.76666666666666572</v>
      </c>
      <c r="Z58" s="201">
        <f t="shared" si="60"/>
        <v>0.75499999999999901</v>
      </c>
      <c r="AA58" s="201">
        <f t="shared" si="60"/>
        <v>0.74333333333333229</v>
      </c>
      <c r="AB58" s="201">
        <f t="shared" si="60"/>
        <v>0.73166666666666558</v>
      </c>
      <c r="AC58" s="201">
        <f t="shared" si="60"/>
        <v>0.71999999999999886</v>
      </c>
      <c r="AD58" s="201">
        <f t="shared" si="60"/>
        <v>0.70833333333333215</v>
      </c>
      <c r="AE58" s="201">
        <f t="shared" si="60"/>
        <v>0.69666666666666544</v>
      </c>
      <c r="AF58" s="201">
        <f t="shared" si="60"/>
        <v>0.68499999999999872</v>
      </c>
      <c r="AG58" s="201">
        <f t="shared" si="60"/>
        <v>0.67333333333333201</v>
      </c>
      <c r="AH58" s="201">
        <f t="shared" si="60"/>
        <v>0.66166666666666529</v>
      </c>
      <c r="AI58" s="201">
        <f>P3</f>
        <v>0.65</v>
      </c>
    </row>
    <row r="59" spans="1:35" x14ac:dyDescent="0.2">
      <c r="A59" s="310"/>
      <c r="B59" t="s">
        <v>309</v>
      </c>
      <c r="C59" t="s">
        <v>1749</v>
      </c>
      <c r="D59" t="s">
        <v>478</v>
      </c>
      <c r="E59" s="168">
        <f t="shared" ref="E59:E62" si="61">F4</f>
        <v>0</v>
      </c>
      <c r="F59" s="168">
        <f t="shared" ref="F59:AH59" si="62">-($E59-$AI59)/30+E59</f>
        <v>3.3333333333333335E-3</v>
      </c>
      <c r="G59" s="168">
        <f t="shared" si="62"/>
        <v>6.6666666666666671E-3</v>
      </c>
      <c r="H59" s="168">
        <f t="shared" si="62"/>
        <v>0.01</v>
      </c>
      <c r="I59" s="168">
        <f t="shared" si="62"/>
        <v>1.3333333333333334E-2</v>
      </c>
      <c r="J59" s="168">
        <f t="shared" si="62"/>
        <v>1.6666666666666666E-2</v>
      </c>
      <c r="K59" s="168">
        <f t="shared" si="62"/>
        <v>0.02</v>
      </c>
      <c r="L59" s="168">
        <f t="shared" si="62"/>
        <v>2.3333333333333334E-2</v>
      </c>
      <c r="M59" s="168">
        <f t="shared" si="62"/>
        <v>2.6666666666666668E-2</v>
      </c>
      <c r="N59" s="168">
        <f t="shared" si="62"/>
        <v>3.0000000000000002E-2</v>
      </c>
      <c r="O59" s="168">
        <f t="shared" si="62"/>
        <v>3.3333333333333333E-2</v>
      </c>
      <c r="P59" s="168">
        <f t="shared" si="62"/>
        <v>3.6666666666666667E-2</v>
      </c>
      <c r="Q59" s="168">
        <f t="shared" si="62"/>
        <v>0.04</v>
      </c>
      <c r="R59" s="168">
        <f t="shared" si="62"/>
        <v>4.3333333333333335E-2</v>
      </c>
      <c r="S59" s="168">
        <f t="shared" si="62"/>
        <v>4.6666666666666669E-2</v>
      </c>
      <c r="T59" s="168">
        <f t="shared" si="62"/>
        <v>0.05</v>
      </c>
      <c r="U59" s="168">
        <f t="shared" si="62"/>
        <v>5.3333333333333337E-2</v>
      </c>
      <c r="V59" s="168">
        <f t="shared" si="62"/>
        <v>5.6666666666666671E-2</v>
      </c>
      <c r="W59" s="168">
        <f t="shared" si="62"/>
        <v>6.0000000000000005E-2</v>
      </c>
      <c r="X59" s="168">
        <f t="shared" si="62"/>
        <v>6.3333333333333339E-2</v>
      </c>
      <c r="Y59" s="168">
        <f t="shared" si="62"/>
        <v>6.6666666666666666E-2</v>
      </c>
      <c r="Z59" s="168">
        <f t="shared" si="62"/>
        <v>6.9999999999999993E-2</v>
      </c>
      <c r="AA59" s="168">
        <f t="shared" si="62"/>
        <v>7.333333333333332E-2</v>
      </c>
      <c r="AB59" s="168">
        <f t="shared" si="62"/>
        <v>7.6666666666666647E-2</v>
      </c>
      <c r="AC59" s="168">
        <f t="shared" si="62"/>
        <v>7.9999999999999974E-2</v>
      </c>
      <c r="AD59" s="168">
        <f t="shared" si="62"/>
        <v>8.3333333333333301E-2</v>
      </c>
      <c r="AE59" s="168">
        <f t="shared" si="62"/>
        <v>8.6666666666666628E-2</v>
      </c>
      <c r="AF59" s="168">
        <f t="shared" si="62"/>
        <v>8.9999999999999955E-2</v>
      </c>
      <c r="AG59" s="168">
        <f t="shared" si="62"/>
        <v>9.3333333333333282E-2</v>
      </c>
      <c r="AH59" s="168">
        <f t="shared" si="62"/>
        <v>9.6666666666666609E-2</v>
      </c>
      <c r="AI59" s="168">
        <f t="shared" ref="AI59:AI62" si="63">P4</f>
        <v>0.1</v>
      </c>
    </row>
    <row r="60" spans="1:35" x14ac:dyDescent="0.2">
      <c r="A60" s="310"/>
      <c r="B60" t="s">
        <v>309</v>
      </c>
      <c r="C60" t="s">
        <v>1749</v>
      </c>
      <c r="D60" t="s">
        <v>480</v>
      </c>
      <c r="E60" s="168">
        <f t="shared" si="61"/>
        <v>0</v>
      </c>
      <c r="F60" s="168">
        <f t="shared" ref="F60:AH60" si="64">-($E60-$AI60)/30+E60</f>
        <v>5.0000000000000001E-3</v>
      </c>
      <c r="G60" s="168">
        <f t="shared" si="64"/>
        <v>0.01</v>
      </c>
      <c r="H60" s="168">
        <f t="shared" si="64"/>
        <v>1.4999999999999999E-2</v>
      </c>
      <c r="I60" s="168">
        <f t="shared" si="64"/>
        <v>0.02</v>
      </c>
      <c r="J60" s="168">
        <f t="shared" si="64"/>
        <v>2.5000000000000001E-2</v>
      </c>
      <c r="K60" s="168">
        <f t="shared" si="64"/>
        <v>3.0000000000000002E-2</v>
      </c>
      <c r="L60" s="168">
        <f t="shared" si="64"/>
        <v>3.5000000000000003E-2</v>
      </c>
      <c r="M60" s="168">
        <f t="shared" si="64"/>
        <v>0.04</v>
      </c>
      <c r="N60" s="168">
        <f t="shared" si="64"/>
        <v>4.4999999999999998E-2</v>
      </c>
      <c r="O60" s="168">
        <f t="shared" si="64"/>
        <v>4.9999999999999996E-2</v>
      </c>
      <c r="P60" s="168">
        <f t="shared" si="64"/>
        <v>5.4999999999999993E-2</v>
      </c>
      <c r="Q60" s="168">
        <f t="shared" si="64"/>
        <v>5.9999999999999991E-2</v>
      </c>
      <c r="R60" s="168">
        <f t="shared" si="64"/>
        <v>6.4999999999999988E-2</v>
      </c>
      <c r="S60" s="168">
        <f t="shared" si="64"/>
        <v>6.9999999999999993E-2</v>
      </c>
      <c r="T60" s="168">
        <f t="shared" si="64"/>
        <v>7.4999999999999997E-2</v>
      </c>
      <c r="U60" s="168">
        <f t="shared" si="64"/>
        <v>0.08</v>
      </c>
      <c r="V60" s="168">
        <f t="shared" si="64"/>
        <v>8.5000000000000006E-2</v>
      </c>
      <c r="W60" s="168">
        <f t="shared" si="64"/>
        <v>9.0000000000000011E-2</v>
      </c>
      <c r="X60" s="168">
        <f t="shared" si="64"/>
        <v>9.5000000000000015E-2</v>
      </c>
      <c r="Y60" s="168">
        <f t="shared" si="64"/>
        <v>0.10000000000000002</v>
      </c>
      <c r="Z60" s="168">
        <f t="shared" si="64"/>
        <v>0.10500000000000002</v>
      </c>
      <c r="AA60" s="168">
        <f t="shared" si="64"/>
        <v>0.11000000000000003</v>
      </c>
      <c r="AB60" s="168">
        <f t="shared" si="64"/>
        <v>0.11500000000000003</v>
      </c>
      <c r="AC60" s="168">
        <f t="shared" si="64"/>
        <v>0.12000000000000004</v>
      </c>
      <c r="AD60" s="168">
        <f t="shared" si="64"/>
        <v>0.12500000000000003</v>
      </c>
      <c r="AE60" s="168">
        <f t="shared" si="64"/>
        <v>0.13000000000000003</v>
      </c>
      <c r="AF60" s="168">
        <f t="shared" si="64"/>
        <v>0.13500000000000004</v>
      </c>
      <c r="AG60" s="168">
        <f t="shared" si="64"/>
        <v>0.14000000000000004</v>
      </c>
      <c r="AH60" s="168">
        <f t="shared" si="64"/>
        <v>0.14500000000000005</v>
      </c>
      <c r="AI60" s="168">
        <f t="shared" si="63"/>
        <v>0.15</v>
      </c>
    </row>
    <row r="61" spans="1:35" x14ac:dyDescent="0.2">
      <c r="A61" s="310"/>
      <c r="B61" t="s">
        <v>309</v>
      </c>
      <c r="C61" t="s">
        <v>1749</v>
      </c>
      <c r="D61" t="s">
        <v>474</v>
      </c>
      <c r="E61" s="168">
        <f t="shared" si="61"/>
        <v>0</v>
      </c>
      <c r="F61" s="168">
        <f t="shared" ref="F61:AH61" si="65">-($E61-$AI61)/30+E61</f>
        <v>1.6666666666666668E-3</v>
      </c>
      <c r="G61" s="168">
        <f t="shared" si="65"/>
        <v>3.3333333333333335E-3</v>
      </c>
      <c r="H61" s="168">
        <f t="shared" si="65"/>
        <v>5.0000000000000001E-3</v>
      </c>
      <c r="I61" s="168">
        <f t="shared" si="65"/>
        <v>6.6666666666666671E-3</v>
      </c>
      <c r="J61" s="168">
        <f t="shared" si="65"/>
        <v>8.3333333333333332E-3</v>
      </c>
      <c r="K61" s="168">
        <f t="shared" si="65"/>
        <v>0.01</v>
      </c>
      <c r="L61" s="168">
        <f t="shared" si="65"/>
        <v>1.1666666666666667E-2</v>
      </c>
      <c r="M61" s="168">
        <f t="shared" si="65"/>
        <v>1.3333333333333334E-2</v>
      </c>
      <c r="N61" s="168">
        <f t="shared" si="65"/>
        <v>1.5000000000000001E-2</v>
      </c>
      <c r="O61" s="168">
        <f t="shared" si="65"/>
        <v>1.6666666666666666E-2</v>
      </c>
      <c r="P61" s="168">
        <f t="shared" si="65"/>
        <v>1.8333333333333333E-2</v>
      </c>
      <c r="Q61" s="168">
        <f t="shared" si="65"/>
        <v>0.02</v>
      </c>
      <c r="R61" s="168">
        <f t="shared" si="65"/>
        <v>2.1666666666666667E-2</v>
      </c>
      <c r="S61" s="168">
        <f t="shared" si="65"/>
        <v>2.3333333333333334E-2</v>
      </c>
      <c r="T61" s="168">
        <f t="shared" si="65"/>
        <v>2.5000000000000001E-2</v>
      </c>
      <c r="U61" s="168">
        <f t="shared" si="65"/>
        <v>2.6666666666666668E-2</v>
      </c>
      <c r="V61" s="168">
        <f t="shared" si="65"/>
        <v>2.8333333333333335E-2</v>
      </c>
      <c r="W61" s="168">
        <f t="shared" si="65"/>
        <v>3.0000000000000002E-2</v>
      </c>
      <c r="X61" s="168">
        <f t="shared" si="65"/>
        <v>3.1666666666666669E-2</v>
      </c>
      <c r="Y61" s="168">
        <f t="shared" si="65"/>
        <v>3.3333333333333333E-2</v>
      </c>
      <c r="Z61" s="168">
        <f t="shared" si="65"/>
        <v>3.4999999999999996E-2</v>
      </c>
      <c r="AA61" s="168">
        <f t="shared" si="65"/>
        <v>3.666666666666666E-2</v>
      </c>
      <c r="AB61" s="168">
        <f t="shared" si="65"/>
        <v>3.8333333333333323E-2</v>
      </c>
      <c r="AC61" s="168">
        <f t="shared" si="65"/>
        <v>3.9999999999999987E-2</v>
      </c>
      <c r="AD61" s="168">
        <f t="shared" si="65"/>
        <v>4.166666666666665E-2</v>
      </c>
      <c r="AE61" s="168">
        <f t="shared" si="65"/>
        <v>4.3333333333333314E-2</v>
      </c>
      <c r="AF61" s="168">
        <f t="shared" si="65"/>
        <v>4.4999999999999978E-2</v>
      </c>
      <c r="AG61" s="168">
        <f t="shared" si="65"/>
        <v>4.6666666666666641E-2</v>
      </c>
      <c r="AH61" s="168">
        <f t="shared" si="65"/>
        <v>4.8333333333333305E-2</v>
      </c>
      <c r="AI61" s="168">
        <f t="shared" si="63"/>
        <v>0.05</v>
      </c>
    </row>
    <row r="62" spans="1:35" s="68" customFormat="1" x14ac:dyDescent="0.2">
      <c r="A62" s="311"/>
      <c r="B62" s="68" t="s">
        <v>309</v>
      </c>
      <c r="C62" s="68" t="s">
        <v>1749</v>
      </c>
      <c r="D62" s="68" t="s">
        <v>248</v>
      </c>
      <c r="E62" s="421">
        <f t="shared" si="61"/>
        <v>0</v>
      </c>
      <c r="F62" s="421">
        <f t="shared" ref="F62:AH62" si="66">-($E62-$AI62)/30+E62</f>
        <v>1.6666666666666668E-3</v>
      </c>
      <c r="G62" s="421">
        <f t="shared" si="66"/>
        <v>3.3333333333333335E-3</v>
      </c>
      <c r="H62" s="421">
        <f t="shared" si="66"/>
        <v>5.0000000000000001E-3</v>
      </c>
      <c r="I62" s="421">
        <f t="shared" si="66"/>
        <v>6.6666666666666671E-3</v>
      </c>
      <c r="J62" s="421">
        <f t="shared" si="66"/>
        <v>8.3333333333333332E-3</v>
      </c>
      <c r="K62" s="421">
        <f t="shared" si="66"/>
        <v>0.01</v>
      </c>
      <c r="L62" s="421">
        <f t="shared" si="66"/>
        <v>1.1666666666666667E-2</v>
      </c>
      <c r="M62" s="421">
        <f t="shared" si="66"/>
        <v>1.3333333333333334E-2</v>
      </c>
      <c r="N62" s="421">
        <f t="shared" si="66"/>
        <v>1.5000000000000001E-2</v>
      </c>
      <c r="O62" s="421">
        <f t="shared" si="66"/>
        <v>1.6666666666666666E-2</v>
      </c>
      <c r="P62" s="421">
        <f t="shared" si="66"/>
        <v>1.8333333333333333E-2</v>
      </c>
      <c r="Q62" s="421">
        <f t="shared" si="66"/>
        <v>0.02</v>
      </c>
      <c r="R62" s="421">
        <f t="shared" si="66"/>
        <v>2.1666666666666667E-2</v>
      </c>
      <c r="S62" s="421">
        <f t="shared" si="66"/>
        <v>2.3333333333333334E-2</v>
      </c>
      <c r="T62" s="421">
        <f t="shared" si="66"/>
        <v>2.5000000000000001E-2</v>
      </c>
      <c r="U62" s="421">
        <f t="shared" si="66"/>
        <v>2.6666666666666668E-2</v>
      </c>
      <c r="V62" s="421">
        <f t="shared" si="66"/>
        <v>2.8333333333333335E-2</v>
      </c>
      <c r="W62" s="421">
        <f t="shared" si="66"/>
        <v>3.0000000000000002E-2</v>
      </c>
      <c r="X62" s="421">
        <f t="shared" si="66"/>
        <v>3.1666666666666669E-2</v>
      </c>
      <c r="Y62" s="421">
        <f t="shared" si="66"/>
        <v>3.3333333333333333E-2</v>
      </c>
      <c r="Z62" s="421">
        <f t="shared" si="66"/>
        <v>3.4999999999999996E-2</v>
      </c>
      <c r="AA62" s="421">
        <f t="shared" si="66"/>
        <v>3.666666666666666E-2</v>
      </c>
      <c r="AB62" s="421">
        <f t="shared" si="66"/>
        <v>3.8333333333333323E-2</v>
      </c>
      <c r="AC62" s="421">
        <f t="shared" si="66"/>
        <v>3.9999999999999987E-2</v>
      </c>
      <c r="AD62" s="421">
        <f t="shared" si="66"/>
        <v>4.166666666666665E-2</v>
      </c>
      <c r="AE62" s="421">
        <f t="shared" si="66"/>
        <v>4.3333333333333314E-2</v>
      </c>
      <c r="AF62" s="421">
        <f t="shared" si="66"/>
        <v>4.4999999999999978E-2</v>
      </c>
      <c r="AG62" s="421">
        <f t="shared" si="66"/>
        <v>4.6666666666666641E-2</v>
      </c>
      <c r="AH62" s="421">
        <f t="shared" si="66"/>
        <v>4.8333333333333305E-2</v>
      </c>
      <c r="AI62" s="421">
        <f t="shared" si="63"/>
        <v>0.05</v>
      </c>
    </row>
    <row r="63" spans="1:35" s="67" customFormat="1" x14ac:dyDescent="0.2">
      <c r="A63" s="307"/>
      <c r="B63" s="67" t="s">
        <v>309</v>
      </c>
      <c r="C63" s="67" t="s">
        <v>1750</v>
      </c>
      <c r="D63" s="67" t="s">
        <v>258</v>
      </c>
      <c r="E63" s="201">
        <f>G3</f>
        <v>0.71762870357071562</v>
      </c>
      <c r="F63" s="201">
        <f t="shared" ref="F63:AH63" si="67">-($E63-$AI63)/30+E63</f>
        <v>0.72402662287681663</v>
      </c>
      <c r="G63" s="201">
        <f t="shared" si="67"/>
        <v>0.73042454218291764</v>
      </c>
      <c r="H63" s="201">
        <f t="shared" si="67"/>
        <v>0.73682246148901864</v>
      </c>
      <c r="I63" s="201">
        <f t="shared" si="67"/>
        <v>0.74322038079511965</v>
      </c>
      <c r="J63" s="201">
        <f t="shared" si="67"/>
        <v>0.74961830010122066</v>
      </c>
      <c r="K63" s="201">
        <f t="shared" si="67"/>
        <v>0.75601621940732167</v>
      </c>
      <c r="L63" s="201">
        <f t="shared" si="67"/>
        <v>0.76241413871342267</v>
      </c>
      <c r="M63" s="201">
        <f t="shared" si="67"/>
        <v>0.76881205801952368</v>
      </c>
      <c r="N63" s="201">
        <f t="shared" si="67"/>
        <v>0.77520997732562469</v>
      </c>
      <c r="O63" s="201">
        <f t="shared" si="67"/>
        <v>0.7816078966317257</v>
      </c>
      <c r="P63" s="201">
        <f t="shared" si="67"/>
        <v>0.7880058159378267</v>
      </c>
      <c r="Q63" s="201">
        <f t="shared" si="67"/>
        <v>0.79440373524392771</v>
      </c>
      <c r="R63" s="201">
        <f t="shared" si="67"/>
        <v>0.80080165455002872</v>
      </c>
      <c r="S63" s="201">
        <f t="shared" si="67"/>
        <v>0.80719957385612973</v>
      </c>
      <c r="T63" s="201">
        <f t="shared" si="67"/>
        <v>0.81359749316223073</v>
      </c>
      <c r="U63" s="201">
        <f t="shared" si="67"/>
        <v>0.81999541246833174</v>
      </c>
      <c r="V63" s="201">
        <f t="shared" si="67"/>
        <v>0.82639333177443275</v>
      </c>
      <c r="W63" s="201">
        <f t="shared" si="67"/>
        <v>0.83279125108053376</v>
      </c>
      <c r="X63" s="201">
        <f t="shared" si="67"/>
        <v>0.83918917038663476</v>
      </c>
      <c r="Y63" s="201">
        <f t="shared" si="67"/>
        <v>0.84558708969273577</v>
      </c>
      <c r="Z63" s="201">
        <f t="shared" si="67"/>
        <v>0.85198500899883678</v>
      </c>
      <c r="AA63" s="201">
        <f t="shared" si="67"/>
        <v>0.85838292830493779</v>
      </c>
      <c r="AB63" s="201">
        <f t="shared" si="67"/>
        <v>0.86478084761103879</v>
      </c>
      <c r="AC63" s="201">
        <f t="shared" si="67"/>
        <v>0.8711787669171398</v>
      </c>
      <c r="AD63" s="201">
        <f t="shared" si="67"/>
        <v>0.87757668622324081</v>
      </c>
      <c r="AE63" s="201">
        <f t="shared" si="67"/>
        <v>0.88397460552934182</v>
      </c>
      <c r="AF63" s="201">
        <f t="shared" si="67"/>
        <v>0.89037252483544282</v>
      </c>
      <c r="AG63" s="201">
        <f t="shared" si="67"/>
        <v>0.89677044414154383</v>
      </c>
      <c r="AH63" s="201">
        <f t="shared" si="67"/>
        <v>0.90316836344764484</v>
      </c>
      <c r="AI63" s="201">
        <f>Q3</f>
        <v>0.90956628275374496</v>
      </c>
    </row>
    <row r="64" spans="1:35" x14ac:dyDescent="0.2">
      <c r="A64" s="310"/>
      <c r="B64" t="s">
        <v>309</v>
      </c>
      <c r="C64" t="s">
        <v>1750</v>
      </c>
      <c r="D64" t="s">
        <v>478</v>
      </c>
      <c r="E64" s="168">
        <f t="shared" ref="E64:E67" si="68">G4</f>
        <v>0.26057170849044342</v>
      </c>
      <c r="F64" s="168">
        <f t="shared" ref="F64:AH64" si="69">-($E64-$AI64)/30+E64</f>
        <v>0.25249553118721746</v>
      </c>
      <c r="G64" s="168">
        <f t="shared" si="69"/>
        <v>0.2444193538839915</v>
      </c>
      <c r="H64" s="168">
        <f t="shared" si="69"/>
        <v>0.23634317658076553</v>
      </c>
      <c r="I64" s="168">
        <f t="shared" si="69"/>
        <v>0.22826699927753957</v>
      </c>
      <c r="J64" s="168">
        <f t="shared" si="69"/>
        <v>0.22019082197431361</v>
      </c>
      <c r="K64" s="168">
        <f t="shared" si="69"/>
        <v>0.21211464467108765</v>
      </c>
      <c r="L64" s="168">
        <f t="shared" si="69"/>
        <v>0.20403846736786169</v>
      </c>
      <c r="M64" s="168">
        <f t="shared" si="69"/>
        <v>0.19596229006463572</v>
      </c>
      <c r="N64" s="168">
        <f t="shared" si="69"/>
        <v>0.18788611276140976</v>
      </c>
      <c r="O64" s="168">
        <f t="shared" si="69"/>
        <v>0.1798099354581838</v>
      </c>
      <c r="P64" s="168">
        <f t="shared" si="69"/>
        <v>0.17173375815495784</v>
      </c>
      <c r="Q64" s="168">
        <f t="shared" si="69"/>
        <v>0.16365758085173188</v>
      </c>
      <c r="R64" s="168">
        <f t="shared" si="69"/>
        <v>0.15558140354850591</v>
      </c>
      <c r="S64" s="168">
        <f t="shared" si="69"/>
        <v>0.14750522624527995</v>
      </c>
      <c r="T64" s="168">
        <f t="shared" si="69"/>
        <v>0.13942904894205399</v>
      </c>
      <c r="U64" s="168">
        <f t="shared" si="69"/>
        <v>0.13135287163882803</v>
      </c>
      <c r="V64" s="168">
        <f t="shared" si="69"/>
        <v>0.12327669433560208</v>
      </c>
      <c r="W64" s="168">
        <f t="shared" si="69"/>
        <v>0.11520051703237613</v>
      </c>
      <c r="X64" s="168">
        <f t="shared" si="69"/>
        <v>0.10712433972915018</v>
      </c>
      <c r="Y64" s="168">
        <f t="shared" si="69"/>
        <v>9.9048162425924235E-2</v>
      </c>
      <c r="Z64" s="168">
        <f t="shared" si="69"/>
        <v>9.0971985122698287E-2</v>
      </c>
      <c r="AA64" s="168">
        <f t="shared" si="69"/>
        <v>8.2895807819472339E-2</v>
      </c>
      <c r="AB64" s="168">
        <f t="shared" si="69"/>
        <v>7.4819630516246391E-2</v>
      </c>
      <c r="AC64" s="168">
        <f t="shared" si="69"/>
        <v>6.6743453213020443E-2</v>
      </c>
      <c r="AD64" s="168">
        <f t="shared" si="69"/>
        <v>5.8667275909794495E-2</v>
      </c>
      <c r="AE64" s="168">
        <f t="shared" si="69"/>
        <v>5.0591098606568546E-2</v>
      </c>
      <c r="AF64" s="168">
        <f t="shared" si="69"/>
        <v>4.2514921303342598E-2</v>
      </c>
      <c r="AG64" s="168">
        <f t="shared" si="69"/>
        <v>3.443874400011665E-2</v>
      </c>
      <c r="AH64" s="168">
        <f t="shared" si="69"/>
        <v>2.6362566696890702E-2</v>
      </c>
      <c r="AI64" s="168">
        <f t="shared" ref="AI64:AI67" si="70">Q4</f>
        <v>1.8286389393664958E-2</v>
      </c>
    </row>
    <row r="65" spans="1:35" x14ac:dyDescent="0.2">
      <c r="A65" s="310"/>
      <c r="B65" t="s">
        <v>309</v>
      </c>
      <c r="C65" t="s">
        <v>1750</v>
      </c>
      <c r="D65" t="s">
        <v>480</v>
      </c>
      <c r="E65" s="168">
        <f t="shared" si="68"/>
        <v>0</v>
      </c>
      <c r="F65" s="168">
        <f t="shared" ref="F65:AH65" si="71">-($E65-$AI65)/30+E65</f>
        <v>7.4358703407605424E-4</v>
      </c>
      <c r="G65" s="168">
        <f t="shared" si="71"/>
        <v>1.4871740681521085E-3</v>
      </c>
      <c r="H65" s="168">
        <f t="shared" si="71"/>
        <v>2.2307611022281629E-3</v>
      </c>
      <c r="I65" s="168">
        <f t="shared" si="71"/>
        <v>2.974348136304217E-3</v>
      </c>
      <c r="J65" s="168">
        <f t="shared" si="71"/>
        <v>3.717935170380271E-3</v>
      </c>
      <c r="K65" s="168">
        <f t="shared" si="71"/>
        <v>4.461522204456325E-3</v>
      </c>
      <c r="L65" s="168">
        <f t="shared" si="71"/>
        <v>5.205109238532379E-3</v>
      </c>
      <c r="M65" s="168">
        <f t="shared" si="71"/>
        <v>5.9486962726084331E-3</v>
      </c>
      <c r="N65" s="168">
        <f t="shared" si="71"/>
        <v>6.6922833066844871E-3</v>
      </c>
      <c r="O65" s="168">
        <f t="shared" si="71"/>
        <v>7.4358703407605411E-3</v>
      </c>
      <c r="P65" s="168">
        <f t="shared" si="71"/>
        <v>8.1794573748365951E-3</v>
      </c>
      <c r="Q65" s="168">
        <f t="shared" si="71"/>
        <v>8.92304440891265E-3</v>
      </c>
      <c r="R65" s="168">
        <f t="shared" si="71"/>
        <v>9.6666314429887049E-3</v>
      </c>
      <c r="S65" s="168">
        <f t="shared" si="71"/>
        <v>1.041021847706476E-2</v>
      </c>
      <c r="T65" s="168">
        <f t="shared" si="71"/>
        <v>1.1153805511140815E-2</v>
      </c>
      <c r="U65" s="168">
        <f t="shared" si="71"/>
        <v>1.189739254521687E-2</v>
      </c>
      <c r="V65" s="168">
        <f t="shared" si="71"/>
        <v>1.2640979579292924E-2</v>
      </c>
      <c r="W65" s="168">
        <f t="shared" si="71"/>
        <v>1.3384566613368979E-2</v>
      </c>
      <c r="X65" s="168">
        <f t="shared" si="71"/>
        <v>1.4128153647445034E-2</v>
      </c>
      <c r="Y65" s="168">
        <f t="shared" si="71"/>
        <v>1.4871740681521089E-2</v>
      </c>
      <c r="Z65" s="168">
        <f t="shared" si="71"/>
        <v>1.5615327715597144E-2</v>
      </c>
      <c r="AA65" s="168">
        <f t="shared" si="71"/>
        <v>1.6358914749673197E-2</v>
      </c>
      <c r="AB65" s="168">
        <f t="shared" si="71"/>
        <v>1.7102501783749252E-2</v>
      </c>
      <c r="AC65" s="168">
        <f t="shared" si="71"/>
        <v>1.7846088817825307E-2</v>
      </c>
      <c r="AD65" s="168">
        <f t="shared" si="71"/>
        <v>1.8589675851901362E-2</v>
      </c>
      <c r="AE65" s="168">
        <f t="shared" si="71"/>
        <v>1.9333262885977417E-2</v>
      </c>
      <c r="AF65" s="168">
        <f t="shared" si="71"/>
        <v>2.0076849920053472E-2</v>
      </c>
      <c r="AG65" s="168">
        <f t="shared" si="71"/>
        <v>2.0820436954129527E-2</v>
      </c>
      <c r="AH65" s="168">
        <f t="shared" si="71"/>
        <v>2.1564023988205581E-2</v>
      </c>
      <c r="AI65" s="168">
        <f t="shared" si="70"/>
        <v>2.2307611022281626E-2</v>
      </c>
    </row>
    <row r="66" spans="1:35" x14ac:dyDescent="0.2">
      <c r="A66" s="310"/>
      <c r="B66" t="s">
        <v>309</v>
      </c>
      <c r="C66" t="s">
        <v>1750</v>
      </c>
      <c r="D66" t="s">
        <v>474</v>
      </c>
      <c r="E66" s="168">
        <f t="shared" si="68"/>
        <v>2.1799587938840969E-2</v>
      </c>
      <c r="F66" s="168">
        <f t="shared" ref="F66:AH66" si="72">-($E66-$AI66)/30+E66</f>
        <v>2.2701063052154351E-2</v>
      </c>
      <c r="G66" s="168">
        <f t="shared" si="72"/>
        <v>2.3602538165467729E-2</v>
      </c>
      <c r="H66" s="168">
        <f t="shared" si="72"/>
        <v>2.4504013278781107E-2</v>
      </c>
      <c r="I66" s="168">
        <f t="shared" si="72"/>
        <v>2.5405488392094486E-2</v>
      </c>
      <c r="J66" s="168">
        <f t="shared" si="72"/>
        <v>2.6306963505407864E-2</v>
      </c>
      <c r="K66" s="168">
        <f t="shared" si="72"/>
        <v>2.7208438618721242E-2</v>
      </c>
      <c r="L66" s="168">
        <f t="shared" si="72"/>
        <v>2.8109913732034621E-2</v>
      </c>
      <c r="M66" s="168">
        <f t="shared" si="72"/>
        <v>2.9011388845347999E-2</v>
      </c>
      <c r="N66" s="168">
        <f t="shared" si="72"/>
        <v>2.9912863958661377E-2</v>
      </c>
      <c r="O66" s="168">
        <f t="shared" si="72"/>
        <v>3.0814339071974756E-2</v>
      </c>
      <c r="P66" s="168">
        <f t="shared" si="72"/>
        <v>3.1715814185288134E-2</v>
      </c>
      <c r="Q66" s="168">
        <f t="shared" si="72"/>
        <v>3.2617289298601512E-2</v>
      </c>
      <c r="R66" s="168">
        <f t="shared" si="72"/>
        <v>3.3518764411914891E-2</v>
      </c>
      <c r="S66" s="168">
        <f t="shared" si="72"/>
        <v>3.4420239525228269E-2</v>
      </c>
      <c r="T66" s="168">
        <f t="shared" si="72"/>
        <v>3.5321714638541647E-2</v>
      </c>
      <c r="U66" s="168">
        <f t="shared" si="72"/>
        <v>3.6223189751855026E-2</v>
      </c>
      <c r="V66" s="168">
        <f t="shared" si="72"/>
        <v>3.7124664865168404E-2</v>
      </c>
      <c r="W66" s="168">
        <f t="shared" si="72"/>
        <v>3.8026139978481782E-2</v>
      </c>
      <c r="X66" s="168">
        <f t="shared" si="72"/>
        <v>3.892761509179516E-2</v>
      </c>
      <c r="Y66" s="168">
        <f t="shared" si="72"/>
        <v>3.9829090205108539E-2</v>
      </c>
      <c r="Z66" s="168">
        <f t="shared" si="72"/>
        <v>4.0730565318421917E-2</v>
      </c>
      <c r="AA66" s="168">
        <f t="shared" si="72"/>
        <v>4.1632040431735295E-2</v>
      </c>
      <c r="AB66" s="168">
        <f t="shared" si="72"/>
        <v>4.2533515545048674E-2</v>
      </c>
      <c r="AC66" s="168">
        <f t="shared" si="72"/>
        <v>4.3434990658362052E-2</v>
      </c>
      <c r="AD66" s="168">
        <f t="shared" si="72"/>
        <v>4.433646577167543E-2</v>
      </c>
      <c r="AE66" s="168">
        <f t="shared" si="72"/>
        <v>4.5237940884988809E-2</v>
      </c>
      <c r="AF66" s="168">
        <f t="shared" si="72"/>
        <v>4.6139415998302187E-2</v>
      </c>
      <c r="AG66" s="168">
        <f t="shared" si="72"/>
        <v>4.7040891111615565E-2</v>
      </c>
      <c r="AH66" s="168">
        <f t="shared" si="72"/>
        <v>4.7942366224928944E-2</v>
      </c>
      <c r="AI66" s="168">
        <f t="shared" si="70"/>
        <v>4.8843841338242371E-2</v>
      </c>
    </row>
    <row r="67" spans="1:35" s="68" customFormat="1" x14ac:dyDescent="0.2">
      <c r="A67" s="311"/>
      <c r="B67" s="68" t="s">
        <v>309</v>
      </c>
      <c r="C67" s="68" t="s">
        <v>1750</v>
      </c>
      <c r="D67" s="68" t="s">
        <v>248</v>
      </c>
      <c r="E67" s="421">
        <f t="shared" si="68"/>
        <v>0</v>
      </c>
      <c r="F67" s="421">
        <f t="shared" ref="F67:AH67" si="73">-($E67-$AI67)/30+E67</f>
        <v>3.3195849735538135E-5</v>
      </c>
      <c r="G67" s="421">
        <f t="shared" si="73"/>
        <v>6.639169947107627E-5</v>
      </c>
      <c r="H67" s="421">
        <f t="shared" si="73"/>
        <v>9.9587549206614398E-5</v>
      </c>
      <c r="I67" s="421">
        <f t="shared" si="73"/>
        <v>1.3278339894215254E-4</v>
      </c>
      <c r="J67" s="421">
        <f t="shared" si="73"/>
        <v>1.6597924867769068E-4</v>
      </c>
      <c r="K67" s="421">
        <f t="shared" si="73"/>
        <v>1.9917509841322882E-4</v>
      </c>
      <c r="L67" s="421">
        <f t="shared" si="73"/>
        <v>2.3237094814876696E-4</v>
      </c>
      <c r="M67" s="421">
        <f t="shared" si="73"/>
        <v>2.6556679788430508E-4</v>
      </c>
      <c r="N67" s="421">
        <f t="shared" si="73"/>
        <v>2.9876264761984322E-4</v>
      </c>
      <c r="O67" s="421">
        <f t="shared" si="73"/>
        <v>3.3195849735538136E-4</v>
      </c>
      <c r="P67" s="421">
        <f t="shared" si="73"/>
        <v>3.651543470909195E-4</v>
      </c>
      <c r="Q67" s="421">
        <f t="shared" si="73"/>
        <v>3.9835019682645765E-4</v>
      </c>
      <c r="R67" s="421">
        <f t="shared" si="73"/>
        <v>4.3154604656199579E-4</v>
      </c>
      <c r="S67" s="421">
        <f t="shared" si="73"/>
        <v>4.6474189629753393E-4</v>
      </c>
      <c r="T67" s="421">
        <f t="shared" si="73"/>
        <v>4.9793774603307207E-4</v>
      </c>
      <c r="U67" s="421">
        <f t="shared" si="73"/>
        <v>5.3113359576861016E-4</v>
      </c>
      <c r="V67" s="421">
        <f t="shared" si="73"/>
        <v>5.6432944550414824E-4</v>
      </c>
      <c r="W67" s="421">
        <f t="shared" si="73"/>
        <v>5.9752529523968633E-4</v>
      </c>
      <c r="X67" s="421">
        <f t="shared" si="73"/>
        <v>6.3072114497522442E-4</v>
      </c>
      <c r="Y67" s="421">
        <f t="shared" si="73"/>
        <v>6.6391699471076251E-4</v>
      </c>
      <c r="Z67" s="421">
        <f t="shared" si="73"/>
        <v>6.9711284444630059E-4</v>
      </c>
      <c r="AA67" s="421">
        <f t="shared" si="73"/>
        <v>7.3030869418183868E-4</v>
      </c>
      <c r="AB67" s="421">
        <f t="shared" si="73"/>
        <v>7.6350454391737677E-4</v>
      </c>
      <c r="AC67" s="421">
        <f t="shared" si="73"/>
        <v>7.9670039365291486E-4</v>
      </c>
      <c r="AD67" s="421">
        <f t="shared" si="73"/>
        <v>8.2989624338845294E-4</v>
      </c>
      <c r="AE67" s="421">
        <f t="shared" si="73"/>
        <v>8.6309209312399103E-4</v>
      </c>
      <c r="AF67" s="421">
        <f t="shared" si="73"/>
        <v>8.9628794285952912E-4</v>
      </c>
      <c r="AG67" s="421">
        <f t="shared" si="73"/>
        <v>9.2948379259506721E-4</v>
      </c>
      <c r="AH67" s="421">
        <f t="shared" si="73"/>
        <v>9.6267964233060529E-4</v>
      </c>
      <c r="AI67" s="421">
        <f t="shared" si="70"/>
        <v>9.9587549206614414E-4</v>
      </c>
    </row>
    <row r="68" spans="1:35" x14ac:dyDescent="0.2">
      <c r="B68" t="s">
        <v>370</v>
      </c>
      <c r="C68" t="s">
        <v>1746</v>
      </c>
      <c r="D68" t="s">
        <v>258</v>
      </c>
      <c r="E68" s="23">
        <f>D11</f>
        <v>0.80683781047114178</v>
      </c>
      <c r="F68" s="23">
        <f t="shared" ref="F68:AH68" si="74">-($E68-$AI68)/30+E68</f>
        <v>0.80385903311530105</v>
      </c>
      <c r="G68" s="23">
        <f t="shared" si="74"/>
        <v>0.80088025575946031</v>
      </c>
      <c r="H68" s="23">
        <f t="shared" si="74"/>
        <v>0.79790147840361958</v>
      </c>
      <c r="I68" s="23">
        <f t="shared" si="74"/>
        <v>0.79492270104777885</v>
      </c>
      <c r="J68" s="23">
        <f t="shared" si="74"/>
        <v>0.79194392369193811</v>
      </c>
      <c r="K68" s="23">
        <f t="shared" si="74"/>
        <v>0.78896514633609738</v>
      </c>
      <c r="L68" s="23">
        <f t="shared" si="74"/>
        <v>0.78598636898025664</v>
      </c>
      <c r="M68" s="23">
        <f t="shared" si="74"/>
        <v>0.78300759162441591</v>
      </c>
      <c r="N68" s="23">
        <f t="shared" si="74"/>
        <v>0.78002881426857518</v>
      </c>
      <c r="O68" s="23">
        <f t="shared" si="74"/>
        <v>0.77705003691273444</v>
      </c>
      <c r="P68" s="23">
        <f t="shared" si="74"/>
        <v>0.77407125955689371</v>
      </c>
      <c r="Q68" s="23">
        <f t="shared" si="74"/>
        <v>0.77109248220105298</v>
      </c>
      <c r="R68" s="23">
        <f t="shared" si="74"/>
        <v>0.76811370484521224</v>
      </c>
      <c r="S68" s="23">
        <f t="shared" si="74"/>
        <v>0.76513492748937151</v>
      </c>
      <c r="T68" s="23">
        <f t="shared" si="74"/>
        <v>0.76215615013353077</v>
      </c>
      <c r="U68" s="23">
        <f t="shared" si="74"/>
        <v>0.75917737277769004</v>
      </c>
      <c r="V68" s="23">
        <f t="shared" si="74"/>
        <v>0.75619859542184931</v>
      </c>
      <c r="W68" s="23">
        <f t="shared" si="74"/>
        <v>0.75321981806600857</v>
      </c>
      <c r="X68" s="23">
        <f t="shared" si="74"/>
        <v>0.75024104071016784</v>
      </c>
      <c r="Y68" s="23">
        <f t="shared" si="74"/>
        <v>0.74726226335432711</v>
      </c>
      <c r="Z68" s="23">
        <f t="shared" si="74"/>
        <v>0.74428348599848637</v>
      </c>
      <c r="AA68" s="23">
        <f t="shared" si="74"/>
        <v>0.74130470864264564</v>
      </c>
      <c r="AB68" s="23">
        <f t="shared" si="74"/>
        <v>0.7383259312868049</v>
      </c>
      <c r="AC68" s="23">
        <f t="shared" si="74"/>
        <v>0.73534715393096417</v>
      </c>
      <c r="AD68" s="23">
        <f t="shared" si="74"/>
        <v>0.73236837657512344</v>
      </c>
      <c r="AE68" s="23">
        <f t="shared" si="74"/>
        <v>0.7293895992192827</v>
      </c>
      <c r="AF68" s="23">
        <f t="shared" si="74"/>
        <v>0.72641082186344197</v>
      </c>
      <c r="AG68" s="23">
        <f t="shared" si="74"/>
        <v>0.72343204450760124</v>
      </c>
      <c r="AH68" s="23">
        <f t="shared" si="74"/>
        <v>0.7204532671517605</v>
      </c>
      <c r="AI68" s="23">
        <f>M11</f>
        <v>0.71747448979591832</v>
      </c>
    </row>
    <row r="69" spans="1:35" x14ac:dyDescent="0.2">
      <c r="B69" t="s">
        <v>370</v>
      </c>
      <c r="D69" t="s">
        <v>478</v>
      </c>
      <c r="E69" s="23">
        <f t="shared" ref="E69:E72" si="75">D12</f>
        <v>0.10006551908988028</v>
      </c>
      <c r="F69" s="23">
        <f t="shared" ref="F69:AH69" si="76">-($E69-$AI69)/30+E69</f>
        <v>9.6730001786884262E-2</v>
      </c>
      <c r="G69" s="23">
        <f t="shared" si="76"/>
        <v>9.3394484483888249E-2</v>
      </c>
      <c r="H69" s="23">
        <f t="shared" si="76"/>
        <v>9.0058967180892235E-2</v>
      </c>
      <c r="I69" s="23">
        <f t="shared" si="76"/>
        <v>8.6723449877896222E-2</v>
      </c>
      <c r="J69" s="23">
        <f t="shared" si="76"/>
        <v>8.3387932574900209E-2</v>
      </c>
      <c r="K69" s="23">
        <f t="shared" si="76"/>
        <v>8.0052415271904195E-2</v>
      </c>
      <c r="L69" s="23">
        <f t="shared" si="76"/>
        <v>7.6716897968908182E-2</v>
      </c>
      <c r="M69" s="23">
        <f t="shared" si="76"/>
        <v>7.3381380665912169E-2</v>
      </c>
      <c r="N69" s="23">
        <f t="shared" si="76"/>
        <v>7.0045863362916155E-2</v>
      </c>
      <c r="O69" s="23">
        <f t="shared" si="76"/>
        <v>6.6710346059920142E-2</v>
      </c>
      <c r="P69" s="23">
        <f t="shared" si="76"/>
        <v>6.3374828756924129E-2</v>
      </c>
      <c r="Q69" s="23">
        <f t="shared" si="76"/>
        <v>6.0039311453928122E-2</v>
      </c>
      <c r="R69" s="23">
        <f t="shared" si="76"/>
        <v>5.6703794150932116E-2</v>
      </c>
      <c r="S69" s="23">
        <f t="shared" si="76"/>
        <v>5.3368276847936109E-2</v>
      </c>
      <c r="T69" s="23">
        <f t="shared" si="76"/>
        <v>5.0032759544940103E-2</v>
      </c>
      <c r="U69" s="23">
        <f t="shared" si="76"/>
        <v>4.6697242241944097E-2</v>
      </c>
      <c r="V69" s="23">
        <f t="shared" si="76"/>
        <v>4.336172493894809E-2</v>
      </c>
      <c r="W69" s="23">
        <f t="shared" si="76"/>
        <v>4.0026207635952084E-2</v>
      </c>
      <c r="X69" s="23">
        <f t="shared" si="76"/>
        <v>3.6690690332956077E-2</v>
      </c>
      <c r="Y69" s="23">
        <f t="shared" si="76"/>
        <v>3.3355173029960071E-2</v>
      </c>
      <c r="Z69" s="23">
        <f t="shared" si="76"/>
        <v>3.0019655726964061E-2</v>
      </c>
      <c r="AA69" s="23">
        <f t="shared" si="76"/>
        <v>2.6684138423968051E-2</v>
      </c>
      <c r="AB69" s="23">
        <f t="shared" si="76"/>
        <v>2.3348621120972041E-2</v>
      </c>
      <c r="AC69" s="23">
        <f t="shared" si="76"/>
        <v>2.0013103817976031E-2</v>
      </c>
      <c r="AD69" s="23">
        <f t="shared" si="76"/>
        <v>1.6677586514980022E-2</v>
      </c>
      <c r="AE69" s="23">
        <f t="shared" si="76"/>
        <v>1.3342069211984012E-2</v>
      </c>
      <c r="AF69" s="23">
        <f t="shared" si="76"/>
        <v>1.0006551908988002E-2</v>
      </c>
      <c r="AG69" s="23">
        <f t="shared" si="76"/>
        <v>6.6710346059919929E-3</v>
      </c>
      <c r="AH69" s="23">
        <f t="shared" si="76"/>
        <v>3.3355173029959839E-3</v>
      </c>
      <c r="AI69" s="23">
        <f t="shared" ref="AI69:AI72" si="77">M12</f>
        <v>0</v>
      </c>
    </row>
    <row r="70" spans="1:35" x14ac:dyDescent="0.2">
      <c r="B70" t="s">
        <v>370</v>
      </c>
      <c r="D70" t="s">
        <v>480</v>
      </c>
      <c r="E70" s="23">
        <f t="shared" si="75"/>
        <v>0</v>
      </c>
      <c r="F70" s="23">
        <f t="shared" ref="F70:AH70" si="78">-($E70-$AI70)/30+E70</f>
        <v>3.5714285714285713E-3</v>
      </c>
      <c r="G70" s="23">
        <f t="shared" si="78"/>
        <v>7.1428571428571426E-3</v>
      </c>
      <c r="H70" s="23">
        <f t="shared" si="78"/>
        <v>1.0714285714285714E-2</v>
      </c>
      <c r="I70" s="23">
        <f t="shared" si="78"/>
        <v>1.4285714285714285E-2</v>
      </c>
      <c r="J70" s="23">
        <f t="shared" si="78"/>
        <v>1.7857142857142856E-2</v>
      </c>
      <c r="K70" s="23">
        <f t="shared" si="78"/>
        <v>2.1428571428571429E-2</v>
      </c>
      <c r="L70" s="23">
        <f t="shared" si="78"/>
        <v>2.5000000000000001E-2</v>
      </c>
      <c r="M70" s="23">
        <f t="shared" si="78"/>
        <v>2.8571428571428574E-2</v>
      </c>
      <c r="N70" s="23">
        <f t="shared" si="78"/>
        <v>3.2142857142857147E-2</v>
      </c>
      <c r="O70" s="23">
        <f t="shared" si="78"/>
        <v>3.5714285714285719E-2</v>
      </c>
      <c r="P70" s="23">
        <f t="shared" si="78"/>
        <v>3.9285714285714292E-2</v>
      </c>
      <c r="Q70" s="23">
        <f t="shared" si="78"/>
        <v>4.2857142857142864E-2</v>
      </c>
      <c r="R70" s="23">
        <f t="shared" si="78"/>
        <v>4.6428571428571437E-2</v>
      </c>
      <c r="S70" s="23">
        <f t="shared" si="78"/>
        <v>5.000000000000001E-2</v>
      </c>
      <c r="T70" s="23">
        <f t="shared" si="78"/>
        <v>5.3571428571428582E-2</v>
      </c>
      <c r="U70" s="23">
        <f t="shared" si="78"/>
        <v>5.7142857142857155E-2</v>
      </c>
      <c r="V70" s="23">
        <f t="shared" si="78"/>
        <v>6.0714285714285728E-2</v>
      </c>
      <c r="W70" s="23">
        <f t="shared" si="78"/>
        <v>6.4285714285714293E-2</v>
      </c>
      <c r="X70" s="23">
        <f t="shared" si="78"/>
        <v>6.7857142857142866E-2</v>
      </c>
      <c r="Y70" s="23">
        <f t="shared" si="78"/>
        <v>7.1428571428571438E-2</v>
      </c>
      <c r="Z70" s="23">
        <f t="shared" si="78"/>
        <v>7.5000000000000011E-2</v>
      </c>
      <c r="AA70" s="23">
        <f t="shared" si="78"/>
        <v>7.8571428571428584E-2</v>
      </c>
      <c r="AB70" s="23">
        <f t="shared" si="78"/>
        <v>8.2142857142857156E-2</v>
      </c>
      <c r="AC70" s="23">
        <f t="shared" si="78"/>
        <v>8.5714285714285729E-2</v>
      </c>
      <c r="AD70" s="23">
        <f t="shared" si="78"/>
        <v>8.9285714285714302E-2</v>
      </c>
      <c r="AE70" s="23">
        <f t="shared" si="78"/>
        <v>9.2857142857142874E-2</v>
      </c>
      <c r="AF70" s="23">
        <f t="shared" si="78"/>
        <v>9.6428571428571447E-2</v>
      </c>
      <c r="AG70" s="23">
        <f t="shared" si="78"/>
        <v>0.10000000000000002</v>
      </c>
      <c r="AH70" s="23">
        <f t="shared" si="78"/>
        <v>0.10357142857142859</v>
      </c>
      <c r="AI70" s="23">
        <f t="shared" si="77"/>
        <v>0.10714285714285714</v>
      </c>
    </row>
    <row r="71" spans="1:35" x14ac:dyDescent="0.2">
      <c r="B71" t="s">
        <v>370</v>
      </c>
      <c r="D71" t="s">
        <v>474</v>
      </c>
      <c r="E71" s="23">
        <f t="shared" si="75"/>
        <v>0</v>
      </c>
      <c r="F71" s="23">
        <f t="shared" ref="F71:AH71" si="79">-($E71-$AI71)/30+E71</f>
        <v>0</v>
      </c>
      <c r="G71" s="23">
        <f t="shared" si="79"/>
        <v>0</v>
      </c>
      <c r="H71" s="23">
        <f t="shared" si="79"/>
        <v>0</v>
      </c>
      <c r="I71" s="23">
        <f t="shared" si="79"/>
        <v>0</v>
      </c>
      <c r="J71" s="23">
        <f t="shared" si="79"/>
        <v>0</v>
      </c>
      <c r="K71" s="23">
        <f t="shared" si="79"/>
        <v>0</v>
      </c>
      <c r="L71" s="23">
        <f t="shared" si="79"/>
        <v>0</v>
      </c>
      <c r="M71" s="23">
        <f t="shared" si="79"/>
        <v>0</v>
      </c>
      <c r="N71" s="23">
        <f t="shared" si="79"/>
        <v>0</v>
      </c>
      <c r="O71" s="23">
        <f t="shared" si="79"/>
        <v>0</v>
      </c>
      <c r="P71" s="23">
        <f t="shared" si="79"/>
        <v>0</v>
      </c>
      <c r="Q71" s="23">
        <f t="shared" si="79"/>
        <v>0</v>
      </c>
      <c r="R71" s="23">
        <f t="shared" si="79"/>
        <v>0</v>
      </c>
      <c r="S71" s="23">
        <f t="shared" si="79"/>
        <v>0</v>
      </c>
      <c r="T71" s="23">
        <f t="shared" si="79"/>
        <v>0</v>
      </c>
      <c r="U71" s="23">
        <f t="shared" si="79"/>
        <v>0</v>
      </c>
      <c r="V71" s="23">
        <f t="shared" si="79"/>
        <v>0</v>
      </c>
      <c r="W71" s="23">
        <f t="shared" si="79"/>
        <v>0</v>
      </c>
      <c r="X71" s="23">
        <f t="shared" si="79"/>
        <v>0</v>
      </c>
      <c r="Y71" s="23">
        <f t="shared" si="79"/>
        <v>0</v>
      </c>
      <c r="Z71" s="23">
        <f t="shared" si="79"/>
        <v>0</v>
      </c>
      <c r="AA71" s="23">
        <f t="shared" si="79"/>
        <v>0</v>
      </c>
      <c r="AB71" s="23">
        <f t="shared" si="79"/>
        <v>0</v>
      </c>
      <c r="AC71" s="23">
        <f t="shared" si="79"/>
        <v>0</v>
      </c>
      <c r="AD71" s="23">
        <f t="shared" si="79"/>
        <v>0</v>
      </c>
      <c r="AE71" s="23">
        <f t="shared" si="79"/>
        <v>0</v>
      </c>
      <c r="AF71" s="23">
        <f t="shared" si="79"/>
        <v>0</v>
      </c>
      <c r="AG71" s="23">
        <f t="shared" si="79"/>
        <v>0</v>
      </c>
      <c r="AH71" s="23">
        <f t="shared" si="79"/>
        <v>0</v>
      </c>
      <c r="AI71" s="23">
        <f t="shared" si="77"/>
        <v>0</v>
      </c>
    </row>
    <row r="72" spans="1:35" x14ac:dyDescent="0.2">
      <c r="B72" t="s">
        <v>370</v>
      </c>
      <c r="D72" t="s">
        <v>248</v>
      </c>
      <c r="E72" s="23">
        <f t="shared" si="75"/>
        <v>9.3096670438977888E-2</v>
      </c>
      <c r="F72" s="23">
        <f t="shared" ref="F72:AH72" si="80">-($E72-$AI72)/30+E72</f>
        <v>9.5839536526386104E-2</v>
      </c>
      <c r="G72" s="23">
        <f t="shared" si="80"/>
        <v>9.858240261379432E-2</v>
      </c>
      <c r="H72" s="23">
        <f t="shared" si="80"/>
        <v>0.10132526870120254</v>
      </c>
      <c r="I72" s="23">
        <f t="shared" si="80"/>
        <v>0.10406813478861075</v>
      </c>
      <c r="J72" s="23">
        <f t="shared" si="80"/>
        <v>0.10681100087601897</v>
      </c>
      <c r="K72" s="23">
        <f t="shared" si="80"/>
        <v>0.10955386696342718</v>
      </c>
      <c r="L72" s="23">
        <f t="shared" si="80"/>
        <v>0.1122967330508354</v>
      </c>
      <c r="M72" s="23">
        <f t="shared" si="80"/>
        <v>0.11503959913824362</v>
      </c>
      <c r="N72" s="23">
        <f t="shared" si="80"/>
        <v>0.11778246522565183</v>
      </c>
      <c r="O72" s="23">
        <f t="shared" si="80"/>
        <v>0.12052533131306005</v>
      </c>
      <c r="P72" s="23">
        <f t="shared" si="80"/>
        <v>0.12326819740046827</v>
      </c>
      <c r="Q72" s="23">
        <f t="shared" si="80"/>
        <v>0.1260110634878765</v>
      </c>
      <c r="R72" s="23">
        <f t="shared" si="80"/>
        <v>0.12875392957528473</v>
      </c>
      <c r="S72" s="23">
        <f t="shared" si="80"/>
        <v>0.13149679566269296</v>
      </c>
      <c r="T72" s="23">
        <f t="shared" si="80"/>
        <v>0.13423966175010119</v>
      </c>
      <c r="U72" s="23">
        <f t="shared" si="80"/>
        <v>0.13698252783750942</v>
      </c>
      <c r="V72" s="23">
        <f t="shared" si="80"/>
        <v>0.13972539392491765</v>
      </c>
      <c r="W72" s="23">
        <f t="shared" si="80"/>
        <v>0.14246826001232588</v>
      </c>
      <c r="X72" s="23">
        <f t="shared" si="80"/>
        <v>0.14521112609973411</v>
      </c>
      <c r="Y72" s="23">
        <f t="shared" si="80"/>
        <v>0.14795399218714234</v>
      </c>
      <c r="Z72" s="23">
        <f t="shared" si="80"/>
        <v>0.15069685827455057</v>
      </c>
      <c r="AA72" s="23">
        <f t="shared" si="80"/>
        <v>0.1534397243619588</v>
      </c>
      <c r="AB72" s="23">
        <f t="shared" si="80"/>
        <v>0.15618259044936703</v>
      </c>
      <c r="AC72" s="23">
        <f t="shared" si="80"/>
        <v>0.15892545653677526</v>
      </c>
      <c r="AD72" s="23">
        <f t="shared" si="80"/>
        <v>0.16166832262418349</v>
      </c>
      <c r="AE72" s="23">
        <f t="shared" si="80"/>
        <v>0.16441118871159172</v>
      </c>
      <c r="AF72" s="23">
        <f t="shared" si="80"/>
        <v>0.16715405479899995</v>
      </c>
      <c r="AG72" s="23">
        <f t="shared" si="80"/>
        <v>0.16989692088640818</v>
      </c>
      <c r="AH72" s="23">
        <f t="shared" si="80"/>
        <v>0.17263978697381641</v>
      </c>
      <c r="AI72" s="23">
        <f t="shared" si="77"/>
        <v>0.17538265306122447</v>
      </c>
    </row>
    <row r="73" spans="1:35" s="67" customFormat="1" x14ac:dyDescent="0.2">
      <c r="A73" s="307"/>
      <c r="B73" s="67" t="s">
        <v>370</v>
      </c>
      <c r="C73" s="67" t="s">
        <v>1753</v>
      </c>
      <c r="D73" s="67" t="s">
        <v>258</v>
      </c>
      <c r="E73" s="201">
        <f>E11</f>
        <v>0.80683781047114178</v>
      </c>
      <c r="F73" s="201">
        <f t="shared" ref="F73:AH73" si="81">-($E73-$AI73)/30+E73</f>
        <v>0.80385903311530105</v>
      </c>
      <c r="G73" s="201">
        <f t="shared" si="81"/>
        <v>0.80088025575946031</v>
      </c>
      <c r="H73" s="201">
        <f t="shared" si="81"/>
        <v>0.79790147840361958</v>
      </c>
      <c r="I73" s="201">
        <f t="shared" si="81"/>
        <v>0.79492270104777885</v>
      </c>
      <c r="J73" s="201">
        <f t="shared" si="81"/>
        <v>0.79194392369193811</v>
      </c>
      <c r="K73" s="201">
        <f t="shared" si="81"/>
        <v>0.78896514633609738</v>
      </c>
      <c r="L73" s="201">
        <f t="shared" si="81"/>
        <v>0.78598636898025664</v>
      </c>
      <c r="M73" s="201">
        <f t="shared" si="81"/>
        <v>0.78300759162441591</v>
      </c>
      <c r="N73" s="201">
        <f t="shared" si="81"/>
        <v>0.78002881426857518</v>
      </c>
      <c r="O73" s="201">
        <f t="shared" si="81"/>
        <v>0.77705003691273444</v>
      </c>
      <c r="P73" s="201">
        <f t="shared" si="81"/>
        <v>0.77407125955689371</v>
      </c>
      <c r="Q73" s="201">
        <f t="shared" si="81"/>
        <v>0.77109248220105298</v>
      </c>
      <c r="R73" s="201">
        <f t="shared" si="81"/>
        <v>0.76811370484521224</v>
      </c>
      <c r="S73" s="201">
        <f t="shared" si="81"/>
        <v>0.76513492748937151</v>
      </c>
      <c r="T73" s="201">
        <f t="shared" si="81"/>
        <v>0.76215615013353077</v>
      </c>
      <c r="U73" s="201">
        <f t="shared" si="81"/>
        <v>0.75917737277769004</v>
      </c>
      <c r="V73" s="201">
        <f t="shared" si="81"/>
        <v>0.75619859542184931</v>
      </c>
      <c r="W73" s="201">
        <f t="shared" si="81"/>
        <v>0.75321981806600857</v>
      </c>
      <c r="X73" s="201">
        <f t="shared" si="81"/>
        <v>0.75024104071016784</v>
      </c>
      <c r="Y73" s="201">
        <f t="shared" si="81"/>
        <v>0.74726226335432711</v>
      </c>
      <c r="Z73" s="201">
        <f t="shared" si="81"/>
        <v>0.74428348599848637</v>
      </c>
      <c r="AA73" s="201">
        <f t="shared" si="81"/>
        <v>0.74130470864264564</v>
      </c>
      <c r="AB73" s="201">
        <f t="shared" si="81"/>
        <v>0.7383259312868049</v>
      </c>
      <c r="AC73" s="201">
        <f t="shared" si="81"/>
        <v>0.73534715393096417</v>
      </c>
      <c r="AD73" s="201">
        <f t="shared" si="81"/>
        <v>0.73236837657512344</v>
      </c>
      <c r="AE73" s="201">
        <f t="shared" si="81"/>
        <v>0.7293895992192827</v>
      </c>
      <c r="AF73" s="201">
        <f t="shared" si="81"/>
        <v>0.72641082186344197</v>
      </c>
      <c r="AG73" s="201">
        <f t="shared" si="81"/>
        <v>0.72343204450760124</v>
      </c>
      <c r="AH73" s="201">
        <f t="shared" si="81"/>
        <v>0.7204532671517605</v>
      </c>
      <c r="AI73" s="201">
        <f>N11</f>
        <v>0.71747448979591832</v>
      </c>
    </row>
    <row r="74" spans="1:35" x14ac:dyDescent="0.2">
      <c r="A74" s="310"/>
      <c r="B74" t="s">
        <v>370</v>
      </c>
      <c r="D74" t="s">
        <v>478</v>
      </c>
      <c r="E74" s="168">
        <f t="shared" ref="E74:E77" si="82">E12</f>
        <v>0.10006551908988028</v>
      </c>
      <c r="F74" s="168">
        <f t="shared" ref="F74:AH74" si="83">-($E74-$AI74)/30+E74</f>
        <v>9.6730001786884262E-2</v>
      </c>
      <c r="G74" s="168">
        <f t="shared" si="83"/>
        <v>9.3394484483888249E-2</v>
      </c>
      <c r="H74" s="168">
        <f t="shared" si="83"/>
        <v>9.0058967180892235E-2</v>
      </c>
      <c r="I74" s="168">
        <f t="shared" si="83"/>
        <v>8.6723449877896222E-2</v>
      </c>
      <c r="J74" s="168">
        <f t="shared" si="83"/>
        <v>8.3387932574900209E-2</v>
      </c>
      <c r="K74" s="168">
        <f t="shared" si="83"/>
        <v>8.0052415271904195E-2</v>
      </c>
      <c r="L74" s="168">
        <f t="shared" si="83"/>
        <v>7.6716897968908182E-2</v>
      </c>
      <c r="M74" s="168">
        <f t="shared" si="83"/>
        <v>7.3381380665912169E-2</v>
      </c>
      <c r="N74" s="168">
        <f t="shared" si="83"/>
        <v>7.0045863362916155E-2</v>
      </c>
      <c r="O74" s="168">
        <f t="shared" si="83"/>
        <v>6.6710346059920142E-2</v>
      </c>
      <c r="P74" s="168">
        <f t="shared" si="83"/>
        <v>6.3374828756924129E-2</v>
      </c>
      <c r="Q74" s="168">
        <f t="shared" si="83"/>
        <v>6.0039311453928122E-2</v>
      </c>
      <c r="R74" s="168">
        <f t="shared" si="83"/>
        <v>5.6703794150932116E-2</v>
      </c>
      <c r="S74" s="168">
        <f t="shared" si="83"/>
        <v>5.3368276847936109E-2</v>
      </c>
      <c r="T74" s="168">
        <f t="shared" si="83"/>
        <v>5.0032759544940103E-2</v>
      </c>
      <c r="U74" s="168">
        <f t="shared" si="83"/>
        <v>4.6697242241944097E-2</v>
      </c>
      <c r="V74" s="168">
        <f t="shared" si="83"/>
        <v>4.336172493894809E-2</v>
      </c>
      <c r="W74" s="168">
        <f t="shared" si="83"/>
        <v>4.0026207635952084E-2</v>
      </c>
      <c r="X74" s="168">
        <f t="shared" si="83"/>
        <v>3.6690690332956077E-2</v>
      </c>
      <c r="Y74" s="168">
        <f t="shared" si="83"/>
        <v>3.3355173029960071E-2</v>
      </c>
      <c r="Z74" s="168">
        <f t="shared" si="83"/>
        <v>3.0019655726964061E-2</v>
      </c>
      <c r="AA74" s="168">
        <f t="shared" si="83"/>
        <v>2.6684138423968051E-2</v>
      </c>
      <c r="AB74" s="168">
        <f t="shared" si="83"/>
        <v>2.3348621120972041E-2</v>
      </c>
      <c r="AC74" s="168">
        <f t="shared" si="83"/>
        <v>2.0013103817976031E-2</v>
      </c>
      <c r="AD74" s="168">
        <f t="shared" si="83"/>
        <v>1.6677586514980022E-2</v>
      </c>
      <c r="AE74" s="168">
        <f t="shared" si="83"/>
        <v>1.3342069211984012E-2</v>
      </c>
      <c r="AF74" s="168">
        <f t="shared" si="83"/>
        <v>1.0006551908988002E-2</v>
      </c>
      <c r="AG74" s="168">
        <f t="shared" si="83"/>
        <v>6.6710346059919929E-3</v>
      </c>
      <c r="AH74" s="168">
        <f t="shared" si="83"/>
        <v>3.3355173029959839E-3</v>
      </c>
      <c r="AI74" s="168">
        <f t="shared" ref="AI74:AI77" si="84">N12</f>
        <v>0</v>
      </c>
    </row>
    <row r="75" spans="1:35" x14ac:dyDescent="0.2">
      <c r="A75" s="310"/>
      <c r="B75" t="s">
        <v>370</v>
      </c>
      <c r="D75" t="s">
        <v>480</v>
      </c>
      <c r="E75" s="168">
        <f t="shared" si="82"/>
        <v>0</v>
      </c>
      <c r="F75" s="168">
        <f t="shared" ref="F75:AH75" si="85">-($E75-$AI75)/30+E75</f>
        <v>3.5714285714285713E-3</v>
      </c>
      <c r="G75" s="168">
        <f t="shared" si="85"/>
        <v>7.1428571428571426E-3</v>
      </c>
      <c r="H75" s="168">
        <f t="shared" si="85"/>
        <v>1.0714285714285714E-2</v>
      </c>
      <c r="I75" s="168">
        <f t="shared" si="85"/>
        <v>1.4285714285714285E-2</v>
      </c>
      <c r="J75" s="168">
        <f t="shared" si="85"/>
        <v>1.7857142857142856E-2</v>
      </c>
      <c r="K75" s="168">
        <f t="shared" si="85"/>
        <v>2.1428571428571429E-2</v>
      </c>
      <c r="L75" s="168">
        <f t="shared" si="85"/>
        <v>2.5000000000000001E-2</v>
      </c>
      <c r="M75" s="168">
        <f t="shared" si="85"/>
        <v>2.8571428571428574E-2</v>
      </c>
      <c r="N75" s="168">
        <f t="shared" si="85"/>
        <v>3.2142857142857147E-2</v>
      </c>
      <c r="O75" s="168">
        <f t="shared" si="85"/>
        <v>3.5714285714285719E-2</v>
      </c>
      <c r="P75" s="168">
        <f t="shared" si="85"/>
        <v>3.9285714285714292E-2</v>
      </c>
      <c r="Q75" s="168">
        <f t="shared" si="85"/>
        <v>4.2857142857142864E-2</v>
      </c>
      <c r="R75" s="168">
        <f t="shared" si="85"/>
        <v>4.6428571428571437E-2</v>
      </c>
      <c r="S75" s="168">
        <f t="shared" si="85"/>
        <v>5.000000000000001E-2</v>
      </c>
      <c r="T75" s="168">
        <f t="shared" si="85"/>
        <v>5.3571428571428582E-2</v>
      </c>
      <c r="U75" s="168">
        <f t="shared" si="85"/>
        <v>5.7142857142857155E-2</v>
      </c>
      <c r="V75" s="168">
        <f t="shared" si="85"/>
        <v>6.0714285714285728E-2</v>
      </c>
      <c r="W75" s="168">
        <f t="shared" si="85"/>
        <v>6.4285714285714293E-2</v>
      </c>
      <c r="X75" s="168">
        <f t="shared" si="85"/>
        <v>6.7857142857142866E-2</v>
      </c>
      <c r="Y75" s="168">
        <f t="shared" si="85"/>
        <v>7.1428571428571438E-2</v>
      </c>
      <c r="Z75" s="168">
        <f t="shared" si="85"/>
        <v>7.5000000000000011E-2</v>
      </c>
      <c r="AA75" s="168">
        <f t="shared" si="85"/>
        <v>7.8571428571428584E-2</v>
      </c>
      <c r="AB75" s="168">
        <f t="shared" si="85"/>
        <v>8.2142857142857156E-2</v>
      </c>
      <c r="AC75" s="168">
        <f t="shared" si="85"/>
        <v>8.5714285714285729E-2</v>
      </c>
      <c r="AD75" s="168">
        <f t="shared" si="85"/>
        <v>8.9285714285714302E-2</v>
      </c>
      <c r="AE75" s="168">
        <f t="shared" si="85"/>
        <v>9.2857142857142874E-2</v>
      </c>
      <c r="AF75" s="168">
        <f t="shared" si="85"/>
        <v>9.6428571428571447E-2</v>
      </c>
      <c r="AG75" s="168">
        <f t="shared" si="85"/>
        <v>0.10000000000000002</v>
      </c>
      <c r="AH75" s="168">
        <f t="shared" si="85"/>
        <v>0.10357142857142859</v>
      </c>
      <c r="AI75" s="168">
        <f t="shared" si="84"/>
        <v>0.10714285714285714</v>
      </c>
    </row>
    <row r="76" spans="1:35" x14ac:dyDescent="0.2">
      <c r="A76" s="310"/>
      <c r="B76" t="s">
        <v>370</v>
      </c>
      <c r="D76" t="s">
        <v>474</v>
      </c>
      <c r="E76" s="168">
        <f t="shared" si="82"/>
        <v>0</v>
      </c>
      <c r="F76" s="168">
        <f t="shared" ref="F76:AH76" si="86">-($E76-$AI76)/30+E76</f>
        <v>0</v>
      </c>
      <c r="G76" s="168">
        <f t="shared" si="86"/>
        <v>0</v>
      </c>
      <c r="H76" s="168">
        <f t="shared" si="86"/>
        <v>0</v>
      </c>
      <c r="I76" s="168">
        <f t="shared" si="86"/>
        <v>0</v>
      </c>
      <c r="J76" s="168">
        <f t="shared" si="86"/>
        <v>0</v>
      </c>
      <c r="K76" s="168">
        <f t="shared" si="86"/>
        <v>0</v>
      </c>
      <c r="L76" s="168">
        <f t="shared" si="86"/>
        <v>0</v>
      </c>
      <c r="M76" s="168">
        <f t="shared" si="86"/>
        <v>0</v>
      </c>
      <c r="N76" s="168">
        <f t="shared" si="86"/>
        <v>0</v>
      </c>
      <c r="O76" s="168">
        <f t="shared" si="86"/>
        <v>0</v>
      </c>
      <c r="P76" s="168">
        <f t="shared" si="86"/>
        <v>0</v>
      </c>
      <c r="Q76" s="168">
        <f t="shared" si="86"/>
        <v>0</v>
      </c>
      <c r="R76" s="168">
        <f t="shared" si="86"/>
        <v>0</v>
      </c>
      <c r="S76" s="168">
        <f t="shared" si="86"/>
        <v>0</v>
      </c>
      <c r="T76" s="168">
        <f t="shared" si="86"/>
        <v>0</v>
      </c>
      <c r="U76" s="168">
        <f t="shared" si="86"/>
        <v>0</v>
      </c>
      <c r="V76" s="168">
        <f t="shared" si="86"/>
        <v>0</v>
      </c>
      <c r="W76" s="168">
        <f t="shared" si="86"/>
        <v>0</v>
      </c>
      <c r="X76" s="168">
        <f t="shared" si="86"/>
        <v>0</v>
      </c>
      <c r="Y76" s="168">
        <f t="shared" si="86"/>
        <v>0</v>
      </c>
      <c r="Z76" s="168">
        <f t="shared" si="86"/>
        <v>0</v>
      </c>
      <c r="AA76" s="168">
        <f t="shared" si="86"/>
        <v>0</v>
      </c>
      <c r="AB76" s="168">
        <f t="shared" si="86"/>
        <v>0</v>
      </c>
      <c r="AC76" s="168">
        <f t="shared" si="86"/>
        <v>0</v>
      </c>
      <c r="AD76" s="168">
        <f t="shared" si="86"/>
        <v>0</v>
      </c>
      <c r="AE76" s="168">
        <f t="shared" si="86"/>
        <v>0</v>
      </c>
      <c r="AF76" s="168">
        <f t="shared" si="86"/>
        <v>0</v>
      </c>
      <c r="AG76" s="168">
        <f t="shared" si="86"/>
        <v>0</v>
      </c>
      <c r="AH76" s="168">
        <f t="shared" si="86"/>
        <v>0</v>
      </c>
      <c r="AI76" s="168">
        <f t="shared" si="84"/>
        <v>0</v>
      </c>
    </row>
    <row r="77" spans="1:35" s="68" customFormat="1" x14ac:dyDescent="0.2">
      <c r="A77" s="311"/>
      <c r="B77" s="68" t="s">
        <v>370</v>
      </c>
      <c r="D77" s="68" t="s">
        <v>248</v>
      </c>
      <c r="E77" s="421">
        <f t="shared" si="82"/>
        <v>9.3096670438977888E-2</v>
      </c>
      <c r="F77" s="421">
        <f t="shared" ref="F77:AH77" si="87">-($E77-$AI77)/30+E77</f>
        <v>9.5839536526386104E-2</v>
      </c>
      <c r="G77" s="421">
        <f t="shared" si="87"/>
        <v>9.858240261379432E-2</v>
      </c>
      <c r="H77" s="421">
        <f t="shared" si="87"/>
        <v>0.10132526870120254</v>
      </c>
      <c r="I77" s="421">
        <f t="shared" si="87"/>
        <v>0.10406813478861075</v>
      </c>
      <c r="J77" s="421">
        <f t="shared" si="87"/>
        <v>0.10681100087601897</v>
      </c>
      <c r="K77" s="421">
        <f t="shared" si="87"/>
        <v>0.10955386696342718</v>
      </c>
      <c r="L77" s="421">
        <f t="shared" si="87"/>
        <v>0.1122967330508354</v>
      </c>
      <c r="M77" s="421">
        <f t="shared" si="87"/>
        <v>0.11503959913824362</v>
      </c>
      <c r="N77" s="421">
        <f t="shared" si="87"/>
        <v>0.11778246522565183</v>
      </c>
      <c r="O77" s="421">
        <f t="shared" si="87"/>
        <v>0.12052533131306005</v>
      </c>
      <c r="P77" s="421">
        <f t="shared" si="87"/>
        <v>0.12326819740046827</v>
      </c>
      <c r="Q77" s="421">
        <f t="shared" si="87"/>
        <v>0.1260110634878765</v>
      </c>
      <c r="R77" s="421">
        <f t="shared" si="87"/>
        <v>0.12875392957528473</v>
      </c>
      <c r="S77" s="421">
        <f t="shared" si="87"/>
        <v>0.13149679566269296</v>
      </c>
      <c r="T77" s="421">
        <f t="shared" si="87"/>
        <v>0.13423966175010119</v>
      </c>
      <c r="U77" s="421">
        <f t="shared" si="87"/>
        <v>0.13698252783750942</v>
      </c>
      <c r="V77" s="421">
        <f t="shared" si="87"/>
        <v>0.13972539392491765</v>
      </c>
      <c r="W77" s="421">
        <f t="shared" si="87"/>
        <v>0.14246826001232588</v>
      </c>
      <c r="X77" s="421">
        <f t="shared" si="87"/>
        <v>0.14521112609973411</v>
      </c>
      <c r="Y77" s="421">
        <f t="shared" si="87"/>
        <v>0.14795399218714234</v>
      </c>
      <c r="Z77" s="421">
        <f t="shared" si="87"/>
        <v>0.15069685827455057</v>
      </c>
      <c r="AA77" s="421">
        <f t="shared" si="87"/>
        <v>0.1534397243619588</v>
      </c>
      <c r="AB77" s="421">
        <f t="shared" si="87"/>
        <v>0.15618259044936703</v>
      </c>
      <c r="AC77" s="421">
        <f t="shared" si="87"/>
        <v>0.15892545653677526</v>
      </c>
      <c r="AD77" s="421">
        <f t="shared" si="87"/>
        <v>0.16166832262418349</v>
      </c>
      <c r="AE77" s="421">
        <f t="shared" si="87"/>
        <v>0.16441118871159172</v>
      </c>
      <c r="AF77" s="421">
        <f t="shared" si="87"/>
        <v>0.16715405479899995</v>
      </c>
      <c r="AG77" s="421">
        <f t="shared" si="87"/>
        <v>0.16989692088640818</v>
      </c>
      <c r="AH77" s="421">
        <f t="shared" si="87"/>
        <v>0.17263978697381641</v>
      </c>
      <c r="AI77" s="421">
        <f t="shared" si="84"/>
        <v>0.17538265306122447</v>
      </c>
    </row>
    <row r="78" spans="1:35" s="67" customFormat="1" x14ac:dyDescent="0.2">
      <c r="A78" s="307"/>
      <c r="B78" s="67" t="s">
        <v>370</v>
      </c>
      <c r="C78" s="67" t="s">
        <v>1754</v>
      </c>
      <c r="D78" s="67" t="s">
        <v>258</v>
      </c>
      <c r="E78" s="201">
        <f>F11</f>
        <v>0.80683781047114178</v>
      </c>
      <c r="F78" s="201">
        <f t="shared" ref="F78:AH78" si="88">-($E78-$AI78)/30+E78</f>
        <v>0.80385903311530105</v>
      </c>
      <c r="G78" s="201">
        <f t="shared" si="88"/>
        <v>0.80088025575946031</v>
      </c>
      <c r="H78" s="201">
        <f t="shared" si="88"/>
        <v>0.79790147840361958</v>
      </c>
      <c r="I78" s="201">
        <f t="shared" si="88"/>
        <v>0.79492270104777885</v>
      </c>
      <c r="J78" s="201">
        <f t="shared" si="88"/>
        <v>0.79194392369193811</v>
      </c>
      <c r="K78" s="201">
        <f t="shared" si="88"/>
        <v>0.78896514633609738</v>
      </c>
      <c r="L78" s="201">
        <f t="shared" si="88"/>
        <v>0.78598636898025664</v>
      </c>
      <c r="M78" s="201">
        <f t="shared" si="88"/>
        <v>0.78300759162441591</v>
      </c>
      <c r="N78" s="201">
        <f t="shared" si="88"/>
        <v>0.78002881426857518</v>
      </c>
      <c r="O78" s="201">
        <f t="shared" si="88"/>
        <v>0.77705003691273444</v>
      </c>
      <c r="P78" s="201">
        <f t="shared" si="88"/>
        <v>0.77407125955689371</v>
      </c>
      <c r="Q78" s="201">
        <f t="shared" si="88"/>
        <v>0.77109248220105298</v>
      </c>
      <c r="R78" s="201">
        <f t="shared" si="88"/>
        <v>0.76811370484521224</v>
      </c>
      <c r="S78" s="201">
        <f t="shared" si="88"/>
        <v>0.76513492748937151</v>
      </c>
      <c r="T78" s="201">
        <f t="shared" si="88"/>
        <v>0.76215615013353077</v>
      </c>
      <c r="U78" s="201">
        <f t="shared" si="88"/>
        <v>0.75917737277769004</v>
      </c>
      <c r="V78" s="201">
        <f t="shared" si="88"/>
        <v>0.75619859542184931</v>
      </c>
      <c r="W78" s="201">
        <f t="shared" si="88"/>
        <v>0.75321981806600857</v>
      </c>
      <c r="X78" s="201">
        <f t="shared" si="88"/>
        <v>0.75024104071016784</v>
      </c>
      <c r="Y78" s="201">
        <f t="shared" si="88"/>
        <v>0.74726226335432711</v>
      </c>
      <c r="Z78" s="201">
        <f t="shared" si="88"/>
        <v>0.74428348599848637</v>
      </c>
      <c r="AA78" s="201">
        <f t="shared" si="88"/>
        <v>0.74130470864264564</v>
      </c>
      <c r="AB78" s="201">
        <f t="shared" si="88"/>
        <v>0.7383259312868049</v>
      </c>
      <c r="AC78" s="201">
        <f t="shared" si="88"/>
        <v>0.73534715393096417</v>
      </c>
      <c r="AD78" s="201">
        <f t="shared" si="88"/>
        <v>0.73236837657512344</v>
      </c>
      <c r="AE78" s="201">
        <f t="shared" si="88"/>
        <v>0.7293895992192827</v>
      </c>
      <c r="AF78" s="201">
        <f t="shared" si="88"/>
        <v>0.72641082186344197</v>
      </c>
      <c r="AG78" s="201">
        <f t="shared" si="88"/>
        <v>0.72343204450760124</v>
      </c>
      <c r="AH78" s="201">
        <f t="shared" si="88"/>
        <v>0.7204532671517605</v>
      </c>
      <c r="AI78" s="201">
        <f>O11</f>
        <v>0.71747448979591832</v>
      </c>
    </row>
    <row r="79" spans="1:35" x14ac:dyDescent="0.2">
      <c r="A79" s="310"/>
      <c r="B79" t="s">
        <v>370</v>
      </c>
      <c r="D79" t="s">
        <v>478</v>
      </c>
      <c r="E79" s="168">
        <f t="shared" ref="E79:E82" si="89">F12</f>
        <v>0.10006551908988028</v>
      </c>
      <c r="F79" s="168">
        <f t="shared" ref="F79:AH79" si="90">-($E79-$AI79)/30+E79</f>
        <v>9.6730001786884262E-2</v>
      </c>
      <c r="G79" s="168">
        <f t="shared" si="90"/>
        <v>9.3394484483888249E-2</v>
      </c>
      <c r="H79" s="168">
        <f t="shared" si="90"/>
        <v>9.0058967180892235E-2</v>
      </c>
      <c r="I79" s="168">
        <f t="shared" si="90"/>
        <v>8.6723449877896222E-2</v>
      </c>
      <c r="J79" s="168">
        <f t="shared" si="90"/>
        <v>8.3387932574900209E-2</v>
      </c>
      <c r="K79" s="168">
        <f t="shared" si="90"/>
        <v>8.0052415271904195E-2</v>
      </c>
      <c r="L79" s="168">
        <f t="shared" si="90"/>
        <v>7.6716897968908182E-2</v>
      </c>
      <c r="M79" s="168">
        <f t="shared" si="90"/>
        <v>7.3381380665912169E-2</v>
      </c>
      <c r="N79" s="168">
        <f t="shared" si="90"/>
        <v>7.0045863362916155E-2</v>
      </c>
      <c r="O79" s="168">
        <f t="shared" si="90"/>
        <v>6.6710346059920142E-2</v>
      </c>
      <c r="P79" s="168">
        <f t="shared" si="90"/>
        <v>6.3374828756924129E-2</v>
      </c>
      <c r="Q79" s="168">
        <f t="shared" si="90"/>
        <v>6.0039311453928122E-2</v>
      </c>
      <c r="R79" s="168">
        <f t="shared" si="90"/>
        <v>5.6703794150932116E-2</v>
      </c>
      <c r="S79" s="168">
        <f t="shared" si="90"/>
        <v>5.3368276847936109E-2</v>
      </c>
      <c r="T79" s="168">
        <f t="shared" si="90"/>
        <v>5.0032759544940103E-2</v>
      </c>
      <c r="U79" s="168">
        <f t="shared" si="90"/>
        <v>4.6697242241944097E-2</v>
      </c>
      <c r="V79" s="168">
        <f t="shared" si="90"/>
        <v>4.336172493894809E-2</v>
      </c>
      <c r="W79" s="168">
        <f t="shared" si="90"/>
        <v>4.0026207635952084E-2</v>
      </c>
      <c r="X79" s="168">
        <f t="shared" si="90"/>
        <v>3.6690690332956077E-2</v>
      </c>
      <c r="Y79" s="168">
        <f t="shared" si="90"/>
        <v>3.3355173029960071E-2</v>
      </c>
      <c r="Z79" s="168">
        <f t="shared" si="90"/>
        <v>3.0019655726964061E-2</v>
      </c>
      <c r="AA79" s="168">
        <f t="shared" si="90"/>
        <v>2.6684138423968051E-2</v>
      </c>
      <c r="AB79" s="168">
        <f t="shared" si="90"/>
        <v>2.3348621120972041E-2</v>
      </c>
      <c r="AC79" s="168">
        <f t="shared" si="90"/>
        <v>2.0013103817976031E-2</v>
      </c>
      <c r="AD79" s="168">
        <f t="shared" si="90"/>
        <v>1.6677586514980022E-2</v>
      </c>
      <c r="AE79" s="168">
        <f t="shared" si="90"/>
        <v>1.3342069211984012E-2</v>
      </c>
      <c r="AF79" s="168">
        <f t="shared" si="90"/>
        <v>1.0006551908988002E-2</v>
      </c>
      <c r="AG79" s="168">
        <f t="shared" si="90"/>
        <v>6.6710346059919929E-3</v>
      </c>
      <c r="AH79" s="168">
        <f t="shared" si="90"/>
        <v>3.3355173029959839E-3</v>
      </c>
      <c r="AI79" s="168">
        <f t="shared" ref="AI79:AI82" si="91">O12</f>
        <v>0</v>
      </c>
    </row>
    <row r="80" spans="1:35" x14ac:dyDescent="0.2">
      <c r="A80" s="310"/>
      <c r="B80" t="s">
        <v>370</v>
      </c>
      <c r="D80" t="s">
        <v>480</v>
      </c>
      <c r="E80" s="168">
        <f t="shared" si="89"/>
        <v>0</v>
      </c>
      <c r="F80" s="168">
        <f t="shared" ref="F80:AH80" si="92">-($E80-$AI80)/30+E80</f>
        <v>3.5714285714285713E-3</v>
      </c>
      <c r="G80" s="168">
        <f t="shared" si="92"/>
        <v>7.1428571428571426E-3</v>
      </c>
      <c r="H80" s="168">
        <f t="shared" si="92"/>
        <v>1.0714285714285714E-2</v>
      </c>
      <c r="I80" s="168">
        <f t="shared" si="92"/>
        <v>1.4285714285714285E-2</v>
      </c>
      <c r="J80" s="168">
        <f t="shared" si="92"/>
        <v>1.7857142857142856E-2</v>
      </c>
      <c r="K80" s="168">
        <f t="shared" si="92"/>
        <v>2.1428571428571429E-2</v>
      </c>
      <c r="L80" s="168">
        <f t="shared" si="92"/>
        <v>2.5000000000000001E-2</v>
      </c>
      <c r="M80" s="168">
        <f t="shared" si="92"/>
        <v>2.8571428571428574E-2</v>
      </c>
      <c r="N80" s="168">
        <f t="shared" si="92"/>
        <v>3.2142857142857147E-2</v>
      </c>
      <c r="O80" s="168">
        <f t="shared" si="92"/>
        <v>3.5714285714285719E-2</v>
      </c>
      <c r="P80" s="168">
        <f t="shared" si="92"/>
        <v>3.9285714285714292E-2</v>
      </c>
      <c r="Q80" s="168">
        <f t="shared" si="92"/>
        <v>4.2857142857142864E-2</v>
      </c>
      <c r="R80" s="168">
        <f t="shared" si="92"/>
        <v>4.6428571428571437E-2</v>
      </c>
      <c r="S80" s="168">
        <f t="shared" si="92"/>
        <v>5.000000000000001E-2</v>
      </c>
      <c r="T80" s="168">
        <f t="shared" si="92"/>
        <v>5.3571428571428582E-2</v>
      </c>
      <c r="U80" s="168">
        <f t="shared" si="92"/>
        <v>5.7142857142857155E-2</v>
      </c>
      <c r="V80" s="168">
        <f t="shared" si="92"/>
        <v>6.0714285714285728E-2</v>
      </c>
      <c r="W80" s="168">
        <f t="shared" si="92"/>
        <v>6.4285714285714293E-2</v>
      </c>
      <c r="X80" s="168">
        <f t="shared" si="92"/>
        <v>6.7857142857142866E-2</v>
      </c>
      <c r="Y80" s="168">
        <f t="shared" si="92"/>
        <v>7.1428571428571438E-2</v>
      </c>
      <c r="Z80" s="168">
        <f t="shared" si="92"/>
        <v>7.5000000000000011E-2</v>
      </c>
      <c r="AA80" s="168">
        <f t="shared" si="92"/>
        <v>7.8571428571428584E-2</v>
      </c>
      <c r="AB80" s="168">
        <f t="shared" si="92"/>
        <v>8.2142857142857156E-2</v>
      </c>
      <c r="AC80" s="168">
        <f t="shared" si="92"/>
        <v>8.5714285714285729E-2</v>
      </c>
      <c r="AD80" s="168">
        <f t="shared" si="92"/>
        <v>8.9285714285714302E-2</v>
      </c>
      <c r="AE80" s="168">
        <f t="shared" si="92"/>
        <v>9.2857142857142874E-2</v>
      </c>
      <c r="AF80" s="168">
        <f t="shared" si="92"/>
        <v>9.6428571428571447E-2</v>
      </c>
      <c r="AG80" s="168">
        <f t="shared" si="92"/>
        <v>0.10000000000000002</v>
      </c>
      <c r="AH80" s="168">
        <f t="shared" si="92"/>
        <v>0.10357142857142859</v>
      </c>
      <c r="AI80" s="168">
        <f t="shared" si="91"/>
        <v>0.10714285714285714</v>
      </c>
    </row>
    <row r="81" spans="1:35" x14ac:dyDescent="0.2">
      <c r="A81" s="310"/>
      <c r="B81" t="s">
        <v>370</v>
      </c>
      <c r="D81" t="s">
        <v>474</v>
      </c>
      <c r="E81" s="168">
        <f t="shared" si="89"/>
        <v>0</v>
      </c>
      <c r="F81" s="168">
        <f t="shared" ref="F81:AH81" si="93">-($E81-$AI81)/30+E81</f>
        <v>0</v>
      </c>
      <c r="G81" s="168">
        <f t="shared" si="93"/>
        <v>0</v>
      </c>
      <c r="H81" s="168">
        <f t="shared" si="93"/>
        <v>0</v>
      </c>
      <c r="I81" s="168">
        <f t="shared" si="93"/>
        <v>0</v>
      </c>
      <c r="J81" s="168">
        <f t="shared" si="93"/>
        <v>0</v>
      </c>
      <c r="K81" s="168">
        <f t="shared" si="93"/>
        <v>0</v>
      </c>
      <c r="L81" s="168">
        <f t="shared" si="93"/>
        <v>0</v>
      </c>
      <c r="M81" s="168">
        <f t="shared" si="93"/>
        <v>0</v>
      </c>
      <c r="N81" s="168">
        <f t="shared" si="93"/>
        <v>0</v>
      </c>
      <c r="O81" s="168">
        <f t="shared" si="93"/>
        <v>0</v>
      </c>
      <c r="P81" s="168">
        <f t="shared" si="93"/>
        <v>0</v>
      </c>
      <c r="Q81" s="168">
        <f t="shared" si="93"/>
        <v>0</v>
      </c>
      <c r="R81" s="168">
        <f t="shared" si="93"/>
        <v>0</v>
      </c>
      <c r="S81" s="168">
        <f t="shared" si="93"/>
        <v>0</v>
      </c>
      <c r="T81" s="168">
        <f t="shared" si="93"/>
        <v>0</v>
      </c>
      <c r="U81" s="168">
        <f t="shared" si="93"/>
        <v>0</v>
      </c>
      <c r="V81" s="168">
        <f t="shared" si="93"/>
        <v>0</v>
      </c>
      <c r="W81" s="168">
        <f t="shared" si="93"/>
        <v>0</v>
      </c>
      <c r="X81" s="168">
        <f t="shared" si="93"/>
        <v>0</v>
      </c>
      <c r="Y81" s="168">
        <f t="shared" si="93"/>
        <v>0</v>
      </c>
      <c r="Z81" s="168">
        <f t="shared" si="93"/>
        <v>0</v>
      </c>
      <c r="AA81" s="168">
        <f t="shared" si="93"/>
        <v>0</v>
      </c>
      <c r="AB81" s="168">
        <f t="shared" si="93"/>
        <v>0</v>
      </c>
      <c r="AC81" s="168">
        <f t="shared" si="93"/>
        <v>0</v>
      </c>
      <c r="AD81" s="168">
        <f t="shared" si="93"/>
        <v>0</v>
      </c>
      <c r="AE81" s="168">
        <f t="shared" si="93"/>
        <v>0</v>
      </c>
      <c r="AF81" s="168">
        <f t="shared" si="93"/>
        <v>0</v>
      </c>
      <c r="AG81" s="168">
        <f t="shared" si="93"/>
        <v>0</v>
      </c>
      <c r="AH81" s="168">
        <f t="shared" si="93"/>
        <v>0</v>
      </c>
      <c r="AI81" s="168">
        <f t="shared" si="91"/>
        <v>0</v>
      </c>
    </row>
    <row r="82" spans="1:35" s="68" customFormat="1" x14ac:dyDescent="0.2">
      <c r="A82" s="311"/>
      <c r="B82" s="68" t="s">
        <v>370</v>
      </c>
      <c r="D82" s="68" t="s">
        <v>248</v>
      </c>
      <c r="E82" s="421">
        <f t="shared" si="89"/>
        <v>9.3096670438977888E-2</v>
      </c>
      <c r="F82" s="421">
        <f t="shared" ref="F82:AH82" si="94">-($E82-$AI82)/30+E82</f>
        <v>9.5839536526386104E-2</v>
      </c>
      <c r="G82" s="421">
        <f t="shared" si="94"/>
        <v>9.858240261379432E-2</v>
      </c>
      <c r="H82" s="421">
        <f t="shared" si="94"/>
        <v>0.10132526870120254</v>
      </c>
      <c r="I82" s="421">
        <f t="shared" si="94"/>
        <v>0.10406813478861075</v>
      </c>
      <c r="J82" s="421">
        <f t="shared" si="94"/>
        <v>0.10681100087601897</v>
      </c>
      <c r="K82" s="421">
        <f t="shared" si="94"/>
        <v>0.10955386696342718</v>
      </c>
      <c r="L82" s="421">
        <f t="shared" si="94"/>
        <v>0.1122967330508354</v>
      </c>
      <c r="M82" s="421">
        <f t="shared" si="94"/>
        <v>0.11503959913824362</v>
      </c>
      <c r="N82" s="421">
        <f t="shared" si="94"/>
        <v>0.11778246522565183</v>
      </c>
      <c r="O82" s="421">
        <f t="shared" si="94"/>
        <v>0.12052533131306005</v>
      </c>
      <c r="P82" s="421">
        <f t="shared" si="94"/>
        <v>0.12326819740046827</v>
      </c>
      <c r="Q82" s="421">
        <f t="shared" si="94"/>
        <v>0.1260110634878765</v>
      </c>
      <c r="R82" s="421">
        <f t="shared" si="94"/>
        <v>0.12875392957528473</v>
      </c>
      <c r="S82" s="421">
        <f t="shared" si="94"/>
        <v>0.13149679566269296</v>
      </c>
      <c r="T82" s="421">
        <f t="shared" si="94"/>
        <v>0.13423966175010119</v>
      </c>
      <c r="U82" s="421">
        <f t="shared" si="94"/>
        <v>0.13698252783750942</v>
      </c>
      <c r="V82" s="421">
        <f t="shared" si="94"/>
        <v>0.13972539392491765</v>
      </c>
      <c r="W82" s="421">
        <f t="shared" si="94"/>
        <v>0.14246826001232588</v>
      </c>
      <c r="X82" s="421">
        <f t="shared" si="94"/>
        <v>0.14521112609973411</v>
      </c>
      <c r="Y82" s="421">
        <f t="shared" si="94"/>
        <v>0.14795399218714234</v>
      </c>
      <c r="Z82" s="421">
        <f t="shared" si="94"/>
        <v>0.15069685827455057</v>
      </c>
      <c r="AA82" s="421">
        <f t="shared" si="94"/>
        <v>0.1534397243619588</v>
      </c>
      <c r="AB82" s="421">
        <f t="shared" si="94"/>
        <v>0.15618259044936703</v>
      </c>
      <c r="AC82" s="421">
        <f t="shared" si="94"/>
        <v>0.15892545653677526</v>
      </c>
      <c r="AD82" s="421">
        <f t="shared" si="94"/>
        <v>0.16166832262418349</v>
      </c>
      <c r="AE82" s="421">
        <f t="shared" si="94"/>
        <v>0.16441118871159172</v>
      </c>
      <c r="AF82" s="421">
        <f t="shared" si="94"/>
        <v>0.16715405479899995</v>
      </c>
      <c r="AG82" s="421">
        <f t="shared" si="94"/>
        <v>0.16989692088640818</v>
      </c>
      <c r="AH82" s="421">
        <f t="shared" si="94"/>
        <v>0.17263978697381641</v>
      </c>
      <c r="AI82" s="421">
        <f t="shared" si="91"/>
        <v>0.17538265306122447</v>
      </c>
    </row>
    <row r="83" spans="1:35" s="67" customFormat="1" x14ac:dyDescent="0.2">
      <c r="A83" s="307"/>
      <c r="B83" s="67" t="s">
        <v>370</v>
      </c>
      <c r="C83" s="67" t="s">
        <v>1750</v>
      </c>
      <c r="D83" s="67" t="s">
        <v>258</v>
      </c>
      <c r="E83" s="201">
        <f>G11</f>
        <v>0.80683781047114178</v>
      </c>
      <c r="F83" s="201">
        <f t="shared" ref="F83:AH83" si="95">-($E83-$AI83)/30+E83</f>
        <v>0.80385903311530105</v>
      </c>
      <c r="G83" s="201">
        <f t="shared" si="95"/>
        <v>0.80088025575946031</v>
      </c>
      <c r="H83" s="201">
        <f t="shared" si="95"/>
        <v>0.79790147840361958</v>
      </c>
      <c r="I83" s="201">
        <f t="shared" si="95"/>
        <v>0.79492270104777885</v>
      </c>
      <c r="J83" s="201">
        <f t="shared" si="95"/>
        <v>0.79194392369193811</v>
      </c>
      <c r="K83" s="201">
        <f t="shared" si="95"/>
        <v>0.78896514633609738</v>
      </c>
      <c r="L83" s="201">
        <f t="shared" si="95"/>
        <v>0.78598636898025664</v>
      </c>
      <c r="M83" s="201">
        <f t="shared" si="95"/>
        <v>0.78300759162441591</v>
      </c>
      <c r="N83" s="201">
        <f t="shared" si="95"/>
        <v>0.78002881426857518</v>
      </c>
      <c r="O83" s="201">
        <f t="shared" si="95"/>
        <v>0.77705003691273444</v>
      </c>
      <c r="P83" s="201">
        <f t="shared" si="95"/>
        <v>0.77407125955689371</v>
      </c>
      <c r="Q83" s="201">
        <f t="shared" si="95"/>
        <v>0.77109248220105298</v>
      </c>
      <c r="R83" s="201">
        <f t="shared" si="95"/>
        <v>0.76811370484521224</v>
      </c>
      <c r="S83" s="201">
        <f t="shared" si="95"/>
        <v>0.76513492748937151</v>
      </c>
      <c r="T83" s="201">
        <f t="shared" si="95"/>
        <v>0.76215615013353077</v>
      </c>
      <c r="U83" s="201">
        <f t="shared" si="95"/>
        <v>0.75917737277769004</v>
      </c>
      <c r="V83" s="201">
        <f t="shared" si="95"/>
        <v>0.75619859542184931</v>
      </c>
      <c r="W83" s="201">
        <f t="shared" si="95"/>
        <v>0.75321981806600857</v>
      </c>
      <c r="X83" s="201">
        <f t="shared" si="95"/>
        <v>0.75024104071016784</v>
      </c>
      <c r="Y83" s="201">
        <f t="shared" si="95"/>
        <v>0.74726226335432711</v>
      </c>
      <c r="Z83" s="201">
        <f t="shared" si="95"/>
        <v>0.74428348599848637</v>
      </c>
      <c r="AA83" s="201">
        <f t="shared" si="95"/>
        <v>0.74130470864264564</v>
      </c>
      <c r="AB83" s="201">
        <f t="shared" si="95"/>
        <v>0.7383259312868049</v>
      </c>
      <c r="AC83" s="201">
        <f t="shared" si="95"/>
        <v>0.73534715393096417</v>
      </c>
      <c r="AD83" s="201">
        <f t="shared" si="95"/>
        <v>0.73236837657512344</v>
      </c>
      <c r="AE83" s="201">
        <f t="shared" si="95"/>
        <v>0.7293895992192827</v>
      </c>
      <c r="AF83" s="201">
        <f t="shared" si="95"/>
        <v>0.72641082186344197</v>
      </c>
      <c r="AG83" s="201">
        <f t="shared" si="95"/>
        <v>0.72343204450760124</v>
      </c>
      <c r="AH83" s="201">
        <f t="shared" si="95"/>
        <v>0.7204532671517605</v>
      </c>
      <c r="AI83" s="201">
        <f>P11</f>
        <v>0.71747448979591832</v>
      </c>
    </row>
    <row r="84" spans="1:35" x14ac:dyDescent="0.2">
      <c r="A84" s="310"/>
      <c r="B84" t="s">
        <v>370</v>
      </c>
      <c r="D84" t="s">
        <v>478</v>
      </c>
      <c r="E84" s="168">
        <f t="shared" ref="E84:E87" si="96">G12</f>
        <v>0.10006551908988028</v>
      </c>
      <c r="F84" s="168">
        <f t="shared" ref="F84:AH84" si="97">-($E84-$AI84)/30+E84</f>
        <v>9.6730001786884262E-2</v>
      </c>
      <c r="G84" s="168">
        <f t="shared" si="97"/>
        <v>9.3394484483888249E-2</v>
      </c>
      <c r="H84" s="168">
        <f t="shared" si="97"/>
        <v>9.0058967180892235E-2</v>
      </c>
      <c r="I84" s="168">
        <f t="shared" si="97"/>
        <v>8.6723449877896222E-2</v>
      </c>
      <c r="J84" s="168">
        <f t="shared" si="97"/>
        <v>8.3387932574900209E-2</v>
      </c>
      <c r="K84" s="168">
        <f t="shared" si="97"/>
        <v>8.0052415271904195E-2</v>
      </c>
      <c r="L84" s="168">
        <f t="shared" si="97"/>
        <v>7.6716897968908182E-2</v>
      </c>
      <c r="M84" s="168">
        <f t="shared" si="97"/>
        <v>7.3381380665912169E-2</v>
      </c>
      <c r="N84" s="168">
        <f t="shared" si="97"/>
        <v>7.0045863362916155E-2</v>
      </c>
      <c r="O84" s="168">
        <f t="shared" si="97"/>
        <v>6.6710346059920142E-2</v>
      </c>
      <c r="P84" s="168">
        <f t="shared" si="97"/>
        <v>6.3374828756924129E-2</v>
      </c>
      <c r="Q84" s="168">
        <f t="shared" si="97"/>
        <v>6.0039311453928122E-2</v>
      </c>
      <c r="R84" s="168">
        <f t="shared" si="97"/>
        <v>5.6703794150932116E-2</v>
      </c>
      <c r="S84" s="168">
        <f t="shared" si="97"/>
        <v>5.3368276847936109E-2</v>
      </c>
      <c r="T84" s="168">
        <f t="shared" si="97"/>
        <v>5.0032759544940103E-2</v>
      </c>
      <c r="U84" s="168">
        <f t="shared" si="97"/>
        <v>4.6697242241944097E-2</v>
      </c>
      <c r="V84" s="168">
        <f t="shared" si="97"/>
        <v>4.336172493894809E-2</v>
      </c>
      <c r="W84" s="168">
        <f t="shared" si="97"/>
        <v>4.0026207635952084E-2</v>
      </c>
      <c r="X84" s="168">
        <f t="shared" si="97"/>
        <v>3.6690690332956077E-2</v>
      </c>
      <c r="Y84" s="168">
        <f t="shared" si="97"/>
        <v>3.3355173029960071E-2</v>
      </c>
      <c r="Z84" s="168">
        <f t="shared" si="97"/>
        <v>3.0019655726964061E-2</v>
      </c>
      <c r="AA84" s="168">
        <f t="shared" si="97"/>
        <v>2.6684138423968051E-2</v>
      </c>
      <c r="AB84" s="168">
        <f t="shared" si="97"/>
        <v>2.3348621120972041E-2</v>
      </c>
      <c r="AC84" s="168">
        <f t="shared" si="97"/>
        <v>2.0013103817976031E-2</v>
      </c>
      <c r="AD84" s="168">
        <f t="shared" si="97"/>
        <v>1.6677586514980022E-2</v>
      </c>
      <c r="AE84" s="168">
        <f t="shared" si="97"/>
        <v>1.3342069211984012E-2</v>
      </c>
      <c r="AF84" s="168">
        <f t="shared" si="97"/>
        <v>1.0006551908988002E-2</v>
      </c>
      <c r="AG84" s="168">
        <f t="shared" si="97"/>
        <v>6.6710346059919929E-3</v>
      </c>
      <c r="AH84" s="168">
        <f t="shared" si="97"/>
        <v>3.3355173029959839E-3</v>
      </c>
      <c r="AI84" s="168">
        <f t="shared" ref="AI84:AI87" si="98">P12</f>
        <v>0</v>
      </c>
    </row>
    <row r="85" spans="1:35" x14ac:dyDescent="0.2">
      <c r="A85" s="310"/>
      <c r="B85" t="s">
        <v>370</v>
      </c>
      <c r="D85" t="s">
        <v>480</v>
      </c>
      <c r="E85" s="168">
        <f t="shared" si="96"/>
        <v>0</v>
      </c>
      <c r="F85" s="168">
        <f t="shared" ref="F85:AH85" si="99">-($E85-$AI85)/30+E85</f>
        <v>3.5714285714285713E-3</v>
      </c>
      <c r="G85" s="168">
        <f t="shared" si="99"/>
        <v>7.1428571428571426E-3</v>
      </c>
      <c r="H85" s="168">
        <f t="shared" si="99"/>
        <v>1.0714285714285714E-2</v>
      </c>
      <c r="I85" s="168">
        <f t="shared" si="99"/>
        <v>1.4285714285714285E-2</v>
      </c>
      <c r="J85" s="168">
        <f t="shared" si="99"/>
        <v>1.7857142857142856E-2</v>
      </c>
      <c r="K85" s="168">
        <f t="shared" si="99"/>
        <v>2.1428571428571429E-2</v>
      </c>
      <c r="L85" s="168">
        <f t="shared" si="99"/>
        <v>2.5000000000000001E-2</v>
      </c>
      <c r="M85" s="168">
        <f t="shared" si="99"/>
        <v>2.8571428571428574E-2</v>
      </c>
      <c r="N85" s="168">
        <f t="shared" si="99"/>
        <v>3.2142857142857147E-2</v>
      </c>
      <c r="O85" s="168">
        <f t="shared" si="99"/>
        <v>3.5714285714285719E-2</v>
      </c>
      <c r="P85" s="168">
        <f t="shared" si="99"/>
        <v>3.9285714285714292E-2</v>
      </c>
      <c r="Q85" s="168">
        <f t="shared" si="99"/>
        <v>4.2857142857142864E-2</v>
      </c>
      <c r="R85" s="168">
        <f t="shared" si="99"/>
        <v>4.6428571428571437E-2</v>
      </c>
      <c r="S85" s="168">
        <f t="shared" si="99"/>
        <v>5.000000000000001E-2</v>
      </c>
      <c r="T85" s="168">
        <f t="shared" si="99"/>
        <v>5.3571428571428582E-2</v>
      </c>
      <c r="U85" s="168">
        <f t="shared" si="99"/>
        <v>5.7142857142857155E-2</v>
      </c>
      <c r="V85" s="168">
        <f t="shared" si="99"/>
        <v>6.0714285714285728E-2</v>
      </c>
      <c r="W85" s="168">
        <f t="shared" si="99"/>
        <v>6.4285714285714293E-2</v>
      </c>
      <c r="X85" s="168">
        <f t="shared" si="99"/>
        <v>6.7857142857142866E-2</v>
      </c>
      <c r="Y85" s="168">
        <f t="shared" si="99"/>
        <v>7.1428571428571438E-2</v>
      </c>
      <c r="Z85" s="168">
        <f t="shared" si="99"/>
        <v>7.5000000000000011E-2</v>
      </c>
      <c r="AA85" s="168">
        <f t="shared" si="99"/>
        <v>7.8571428571428584E-2</v>
      </c>
      <c r="AB85" s="168">
        <f t="shared" si="99"/>
        <v>8.2142857142857156E-2</v>
      </c>
      <c r="AC85" s="168">
        <f t="shared" si="99"/>
        <v>8.5714285714285729E-2</v>
      </c>
      <c r="AD85" s="168">
        <f t="shared" si="99"/>
        <v>8.9285714285714302E-2</v>
      </c>
      <c r="AE85" s="168">
        <f t="shared" si="99"/>
        <v>9.2857142857142874E-2</v>
      </c>
      <c r="AF85" s="168">
        <f t="shared" si="99"/>
        <v>9.6428571428571447E-2</v>
      </c>
      <c r="AG85" s="168">
        <f t="shared" si="99"/>
        <v>0.10000000000000002</v>
      </c>
      <c r="AH85" s="168">
        <f t="shared" si="99"/>
        <v>0.10357142857142859</v>
      </c>
      <c r="AI85" s="168">
        <f t="shared" si="98"/>
        <v>0.10714285714285714</v>
      </c>
    </row>
    <row r="86" spans="1:35" x14ac:dyDescent="0.2">
      <c r="A86" s="310"/>
      <c r="B86" t="s">
        <v>370</v>
      </c>
      <c r="D86" t="s">
        <v>474</v>
      </c>
      <c r="E86" s="168">
        <f t="shared" si="96"/>
        <v>0</v>
      </c>
      <c r="F86" s="168">
        <f t="shared" ref="F86:AH86" si="100">-($E86-$AI86)/30+E86</f>
        <v>0</v>
      </c>
      <c r="G86" s="168">
        <f t="shared" si="100"/>
        <v>0</v>
      </c>
      <c r="H86" s="168">
        <f t="shared" si="100"/>
        <v>0</v>
      </c>
      <c r="I86" s="168">
        <f t="shared" si="100"/>
        <v>0</v>
      </c>
      <c r="J86" s="168">
        <f t="shared" si="100"/>
        <v>0</v>
      </c>
      <c r="K86" s="168">
        <f t="shared" si="100"/>
        <v>0</v>
      </c>
      <c r="L86" s="168">
        <f t="shared" si="100"/>
        <v>0</v>
      </c>
      <c r="M86" s="168">
        <f t="shared" si="100"/>
        <v>0</v>
      </c>
      <c r="N86" s="168">
        <f t="shared" si="100"/>
        <v>0</v>
      </c>
      <c r="O86" s="168">
        <f t="shared" si="100"/>
        <v>0</v>
      </c>
      <c r="P86" s="168">
        <f t="shared" si="100"/>
        <v>0</v>
      </c>
      <c r="Q86" s="168">
        <f t="shared" si="100"/>
        <v>0</v>
      </c>
      <c r="R86" s="168">
        <f t="shared" si="100"/>
        <v>0</v>
      </c>
      <c r="S86" s="168">
        <f t="shared" si="100"/>
        <v>0</v>
      </c>
      <c r="T86" s="168">
        <f t="shared" si="100"/>
        <v>0</v>
      </c>
      <c r="U86" s="168">
        <f t="shared" si="100"/>
        <v>0</v>
      </c>
      <c r="V86" s="168">
        <f t="shared" si="100"/>
        <v>0</v>
      </c>
      <c r="W86" s="168">
        <f t="shared" si="100"/>
        <v>0</v>
      </c>
      <c r="X86" s="168">
        <f t="shared" si="100"/>
        <v>0</v>
      </c>
      <c r="Y86" s="168">
        <f t="shared" si="100"/>
        <v>0</v>
      </c>
      <c r="Z86" s="168">
        <f t="shared" si="100"/>
        <v>0</v>
      </c>
      <c r="AA86" s="168">
        <f t="shared" si="100"/>
        <v>0</v>
      </c>
      <c r="AB86" s="168">
        <f t="shared" si="100"/>
        <v>0</v>
      </c>
      <c r="AC86" s="168">
        <f t="shared" si="100"/>
        <v>0</v>
      </c>
      <c r="AD86" s="168">
        <f t="shared" si="100"/>
        <v>0</v>
      </c>
      <c r="AE86" s="168">
        <f t="shared" si="100"/>
        <v>0</v>
      </c>
      <c r="AF86" s="168">
        <f t="shared" si="100"/>
        <v>0</v>
      </c>
      <c r="AG86" s="168">
        <f t="shared" si="100"/>
        <v>0</v>
      </c>
      <c r="AH86" s="168">
        <f t="shared" si="100"/>
        <v>0</v>
      </c>
      <c r="AI86" s="168">
        <f t="shared" si="98"/>
        <v>0</v>
      </c>
    </row>
    <row r="87" spans="1:35" s="68" customFormat="1" x14ac:dyDescent="0.2">
      <c r="A87" s="311"/>
      <c r="B87" s="68" t="s">
        <v>370</v>
      </c>
      <c r="D87" s="68" t="s">
        <v>248</v>
      </c>
      <c r="E87" s="421">
        <f t="shared" si="96"/>
        <v>9.3096670438977888E-2</v>
      </c>
      <c r="F87" s="421">
        <f t="shared" ref="F87:AH87" si="101">-($E87-$AI87)/30+E87</f>
        <v>9.5839536526386104E-2</v>
      </c>
      <c r="G87" s="421">
        <f t="shared" si="101"/>
        <v>9.858240261379432E-2</v>
      </c>
      <c r="H87" s="421">
        <f t="shared" si="101"/>
        <v>0.10132526870120254</v>
      </c>
      <c r="I87" s="421">
        <f t="shared" si="101"/>
        <v>0.10406813478861075</v>
      </c>
      <c r="J87" s="421">
        <f t="shared" si="101"/>
        <v>0.10681100087601897</v>
      </c>
      <c r="K87" s="421">
        <f t="shared" si="101"/>
        <v>0.10955386696342718</v>
      </c>
      <c r="L87" s="421">
        <f t="shared" si="101"/>
        <v>0.1122967330508354</v>
      </c>
      <c r="M87" s="421">
        <f t="shared" si="101"/>
        <v>0.11503959913824362</v>
      </c>
      <c r="N87" s="421">
        <f t="shared" si="101"/>
        <v>0.11778246522565183</v>
      </c>
      <c r="O87" s="421">
        <f t="shared" si="101"/>
        <v>0.12052533131306005</v>
      </c>
      <c r="P87" s="421">
        <f t="shared" si="101"/>
        <v>0.12326819740046827</v>
      </c>
      <c r="Q87" s="421">
        <f t="shared" si="101"/>
        <v>0.1260110634878765</v>
      </c>
      <c r="R87" s="421">
        <f t="shared" si="101"/>
        <v>0.12875392957528473</v>
      </c>
      <c r="S87" s="421">
        <f t="shared" si="101"/>
        <v>0.13149679566269296</v>
      </c>
      <c r="T87" s="421">
        <f t="shared" si="101"/>
        <v>0.13423966175010119</v>
      </c>
      <c r="U87" s="421">
        <f t="shared" si="101"/>
        <v>0.13698252783750942</v>
      </c>
      <c r="V87" s="421">
        <f t="shared" si="101"/>
        <v>0.13972539392491765</v>
      </c>
      <c r="W87" s="421">
        <f t="shared" si="101"/>
        <v>0.14246826001232588</v>
      </c>
      <c r="X87" s="421">
        <f t="shared" si="101"/>
        <v>0.14521112609973411</v>
      </c>
      <c r="Y87" s="421">
        <f t="shared" si="101"/>
        <v>0.14795399218714234</v>
      </c>
      <c r="Z87" s="421">
        <f t="shared" si="101"/>
        <v>0.15069685827455057</v>
      </c>
      <c r="AA87" s="421">
        <f t="shared" si="101"/>
        <v>0.1534397243619588</v>
      </c>
      <c r="AB87" s="421">
        <f t="shared" si="101"/>
        <v>0.15618259044936703</v>
      </c>
      <c r="AC87" s="421">
        <f t="shared" si="101"/>
        <v>0.15892545653677526</v>
      </c>
      <c r="AD87" s="421">
        <f t="shared" si="101"/>
        <v>0.16166832262418349</v>
      </c>
      <c r="AE87" s="421">
        <f t="shared" si="101"/>
        <v>0.16441118871159172</v>
      </c>
      <c r="AF87" s="421">
        <f t="shared" si="101"/>
        <v>0.16715405479899995</v>
      </c>
      <c r="AG87" s="421">
        <f t="shared" si="101"/>
        <v>0.16989692088640818</v>
      </c>
      <c r="AH87" s="421">
        <f t="shared" si="101"/>
        <v>0.17263978697381641</v>
      </c>
      <c r="AI87" s="421">
        <f t="shared" si="98"/>
        <v>0.17538265306122447</v>
      </c>
    </row>
    <row r="88" spans="1:35" s="67" customFormat="1" x14ac:dyDescent="0.2">
      <c r="A88" s="307"/>
      <c r="B88" s="67" t="s">
        <v>329</v>
      </c>
      <c r="C88" s="67" t="s">
        <v>1746</v>
      </c>
      <c r="D88" s="67" t="s">
        <v>258</v>
      </c>
      <c r="E88" s="201">
        <f>D19</f>
        <v>0</v>
      </c>
      <c r="F88" s="201">
        <f t="shared" ref="F88:AH88" si="102">-($E88-$AI88)/30+E88</f>
        <v>0</v>
      </c>
      <c r="G88" s="201">
        <f t="shared" si="102"/>
        <v>0</v>
      </c>
      <c r="H88" s="201">
        <f t="shared" si="102"/>
        <v>0</v>
      </c>
      <c r="I88" s="201">
        <f t="shared" si="102"/>
        <v>0</v>
      </c>
      <c r="J88" s="201">
        <f t="shared" si="102"/>
        <v>0</v>
      </c>
      <c r="K88" s="201">
        <f t="shared" si="102"/>
        <v>0</v>
      </c>
      <c r="L88" s="201">
        <f t="shared" si="102"/>
        <v>0</v>
      </c>
      <c r="M88" s="201">
        <f t="shared" si="102"/>
        <v>0</v>
      </c>
      <c r="N88" s="201">
        <f t="shared" si="102"/>
        <v>0</v>
      </c>
      <c r="O88" s="201">
        <f t="shared" si="102"/>
        <v>0</v>
      </c>
      <c r="P88" s="201">
        <f t="shared" si="102"/>
        <v>0</v>
      </c>
      <c r="Q88" s="201">
        <f t="shared" si="102"/>
        <v>0</v>
      </c>
      <c r="R88" s="201">
        <f t="shared" si="102"/>
        <v>0</v>
      </c>
      <c r="S88" s="201">
        <f t="shared" si="102"/>
        <v>0</v>
      </c>
      <c r="T88" s="201">
        <f t="shared" si="102"/>
        <v>0</v>
      </c>
      <c r="U88" s="201">
        <f t="shared" si="102"/>
        <v>0</v>
      </c>
      <c r="V88" s="201">
        <f t="shared" si="102"/>
        <v>0</v>
      </c>
      <c r="W88" s="201">
        <f t="shared" si="102"/>
        <v>0</v>
      </c>
      <c r="X88" s="201">
        <f t="shared" si="102"/>
        <v>0</v>
      </c>
      <c r="Y88" s="201">
        <f t="shared" si="102"/>
        <v>0</v>
      </c>
      <c r="Z88" s="201">
        <f t="shared" si="102"/>
        <v>0</v>
      </c>
      <c r="AA88" s="201">
        <f t="shared" si="102"/>
        <v>0</v>
      </c>
      <c r="AB88" s="201">
        <f t="shared" si="102"/>
        <v>0</v>
      </c>
      <c r="AC88" s="201">
        <f t="shared" si="102"/>
        <v>0</v>
      </c>
      <c r="AD88" s="201">
        <f t="shared" si="102"/>
        <v>0</v>
      </c>
      <c r="AE88" s="201">
        <f t="shared" si="102"/>
        <v>0</v>
      </c>
      <c r="AF88" s="201">
        <f t="shared" si="102"/>
        <v>0</v>
      </c>
      <c r="AG88" s="201">
        <f t="shared" si="102"/>
        <v>0</v>
      </c>
      <c r="AH88" s="201">
        <f t="shared" si="102"/>
        <v>0</v>
      </c>
      <c r="AI88" s="201">
        <f>M19</f>
        <v>0</v>
      </c>
    </row>
    <row r="89" spans="1:35" x14ac:dyDescent="0.2">
      <c r="A89" s="310"/>
      <c r="B89" t="s">
        <v>329</v>
      </c>
      <c r="D89" t="s">
        <v>478</v>
      </c>
      <c r="E89" s="168">
        <f t="shared" ref="E89:E92" si="103">D20</f>
        <v>0</v>
      </c>
      <c r="F89" s="168">
        <f t="shared" ref="F89:AH89" si="104">-($E89-$AI89)/30+E89</f>
        <v>0</v>
      </c>
      <c r="G89" s="168">
        <f t="shared" si="104"/>
        <v>0</v>
      </c>
      <c r="H89" s="168">
        <f t="shared" si="104"/>
        <v>0</v>
      </c>
      <c r="I89" s="168">
        <f t="shared" si="104"/>
        <v>0</v>
      </c>
      <c r="J89" s="168">
        <f t="shared" si="104"/>
        <v>0</v>
      </c>
      <c r="K89" s="168">
        <f t="shared" si="104"/>
        <v>0</v>
      </c>
      <c r="L89" s="168">
        <f t="shared" si="104"/>
        <v>0</v>
      </c>
      <c r="M89" s="168">
        <f t="shared" si="104"/>
        <v>0</v>
      </c>
      <c r="N89" s="168">
        <f t="shared" si="104"/>
        <v>0</v>
      </c>
      <c r="O89" s="168">
        <f t="shared" si="104"/>
        <v>0</v>
      </c>
      <c r="P89" s="168">
        <f t="shared" si="104"/>
        <v>0</v>
      </c>
      <c r="Q89" s="168">
        <f t="shared" si="104"/>
        <v>0</v>
      </c>
      <c r="R89" s="168">
        <f t="shared" si="104"/>
        <v>0</v>
      </c>
      <c r="S89" s="168">
        <f t="shared" si="104"/>
        <v>0</v>
      </c>
      <c r="T89" s="168">
        <f t="shared" si="104"/>
        <v>0</v>
      </c>
      <c r="U89" s="168">
        <f t="shared" si="104"/>
        <v>0</v>
      </c>
      <c r="V89" s="168">
        <f t="shared" si="104"/>
        <v>0</v>
      </c>
      <c r="W89" s="168">
        <f t="shared" si="104"/>
        <v>0</v>
      </c>
      <c r="X89" s="168">
        <f t="shared" si="104"/>
        <v>0</v>
      </c>
      <c r="Y89" s="168">
        <f t="shared" si="104"/>
        <v>0</v>
      </c>
      <c r="Z89" s="168">
        <f t="shared" si="104"/>
        <v>0</v>
      </c>
      <c r="AA89" s="168">
        <f t="shared" si="104"/>
        <v>0</v>
      </c>
      <c r="AB89" s="168">
        <f t="shared" si="104"/>
        <v>0</v>
      </c>
      <c r="AC89" s="168">
        <f t="shared" si="104"/>
        <v>0</v>
      </c>
      <c r="AD89" s="168">
        <f t="shared" si="104"/>
        <v>0</v>
      </c>
      <c r="AE89" s="168">
        <f t="shared" si="104"/>
        <v>0</v>
      </c>
      <c r="AF89" s="168">
        <f t="shared" si="104"/>
        <v>0</v>
      </c>
      <c r="AG89" s="168">
        <f t="shared" si="104"/>
        <v>0</v>
      </c>
      <c r="AH89" s="168">
        <f t="shared" si="104"/>
        <v>0</v>
      </c>
      <c r="AI89" s="168">
        <f t="shared" ref="AI89:AI92" si="105">M20</f>
        <v>0</v>
      </c>
    </row>
    <row r="90" spans="1:35" x14ac:dyDescent="0.2">
      <c r="A90" s="310"/>
      <c r="B90" t="s">
        <v>329</v>
      </c>
      <c r="D90" t="s">
        <v>480</v>
      </c>
      <c r="E90" s="168">
        <f t="shared" si="103"/>
        <v>0</v>
      </c>
      <c r="F90" s="168">
        <f t="shared" ref="F90:AH90" si="106">-($E90-$AI90)/30+E90</f>
        <v>0</v>
      </c>
      <c r="G90" s="168">
        <f t="shared" si="106"/>
        <v>0</v>
      </c>
      <c r="H90" s="168">
        <f t="shared" si="106"/>
        <v>0</v>
      </c>
      <c r="I90" s="168">
        <f t="shared" si="106"/>
        <v>0</v>
      </c>
      <c r="J90" s="168">
        <f t="shared" si="106"/>
        <v>0</v>
      </c>
      <c r="K90" s="168">
        <f t="shared" si="106"/>
        <v>0</v>
      </c>
      <c r="L90" s="168">
        <f t="shared" si="106"/>
        <v>0</v>
      </c>
      <c r="M90" s="168">
        <f t="shared" si="106"/>
        <v>0</v>
      </c>
      <c r="N90" s="168">
        <f t="shared" si="106"/>
        <v>0</v>
      </c>
      <c r="O90" s="168">
        <f t="shared" si="106"/>
        <v>0</v>
      </c>
      <c r="P90" s="168">
        <f t="shared" si="106"/>
        <v>0</v>
      </c>
      <c r="Q90" s="168">
        <f t="shared" si="106"/>
        <v>0</v>
      </c>
      <c r="R90" s="168">
        <f t="shared" si="106"/>
        <v>0</v>
      </c>
      <c r="S90" s="168">
        <f t="shared" si="106"/>
        <v>0</v>
      </c>
      <c r="T90" s="168">
        <f t="shared" si="106"/>
        <v>0</v>
      </c>
      <c r="U90" s="168">
        <f t="shared" si="106"/>
        <v>0</v>
      </c>
      <c r="V90" s="168">
        <f t="shared" si="106"/>
        <v>0</v>
      </c>
      <c r="W90" s="168">
        <f t="shared" si="106"/>
        <v>0</v>
      </c>
      <c r="X90" s="168">
        <f t="shared" si="106"/>
        <v>0</v>
      </c>
      <c r="Y90" s="168">
        <f t="shared" si="106"/>
        <v>0</v>
      </c>
      <c r="Z90" s="168">
        <f t="shared" si="106"/>
        <v>0</v>
      </c>
      <c r="AA90" s="168">
        <f t="shared" si="106"/>
        <v>0</v>
      </c>
      <c r="AB90" s="168">
        <f t="shared" si="106"/>
        <v>0</v>
      </c>
      <c r="AC90" s="168">
        <f t="shared" si="106"/>
        <v>0</v>
      </c>
      <c r="AD90" s="168">
        <f t="shared" si="106"/>
        <v>0</v>
      </c>
      <c r="AE90" s="168">
        <f t="shared" si="106"/>
        <v>0</v>
      </c>
      <c r="AF90" s="168">
        <f t="shared" si="106"/>
        <v>0</v>
      </c>
      <c r="AG90" s="168">
        <f t="shared" si="106"/>
        <v>0</v>
      </c>
      <c r="AH90" s="168">
        <f t="shared" si="106"/>
        <v>0</v>
      </c>
      <c r="AI90" s="168">
        <f t="shared" si="105"/>
        <v>0</v>
      </c>
    </row>
    <row r="91" spans="1:35" x14ac:dyDescent="0.2">
      <c r="A91" s="310"/>
      <c r="B91" t="s">
        <v>329</v>
      </c>
      <c r="D91" t="s">
        <v>474</v>
      </c>
      <c r="E91" s="168">
        <f t="shared" si="103"/>
        <v>0.85710438531517308</v>
      </c>
      <c r="F91" s="168">
        <f t="shared" ref="F91:AH91" si="107">-($E91-$AI91)/30+E91</f>
        <v>0.85710438531517308</v>
      </c>
      <c r="G91" s="168">
        <f t="shared" si="107"/>
        <v>0.85710438531517308</v>
      </c>
      <c r="H91" s="168">
        <f t="shared" si="107"/>
        <v>0.85710438531517308</v>
      </c>
      <c r="I91" s="168">
        <f t="shared" si="107"/>
        <v>0.85710438531517308</v>
      </c>
      <c r="J91" s="168">
        <f t="shared" si="107"/>
        <v>0.85710438531517308</v>
      </c>
      <c r="K91" s="168">
        <f t="shared" si="107"/>
        <v>0.85710438531517308</v>
      </c>
      <c r="L91" s="168">
        <f t="shared" si="107"/>
        <v>0.85710438531517308</v>
      </c>
      <c r="M91" s="168">
        <f t="shared" si="107"/>
        <v>0.85710438531517308</v>
      </c>
      <c r="N91" s="168">
        <f t="shared" si="107"/>
        <v>0.85710438531517308</v>
      </c>
      <c r="O91" s="168">
        <f t="shared" si="107"/>
        <v>0.85710438531517308</v>
      </c>
      <c r="P91" s="168">
        <f t="shared" si="107"/>
        <v>0.85710438531517308</v>
      </c>
      <c r="Q91" s="168">
        <f t="shared" si="107"/>
        <v>0.85710438531517308</v>
      </c>
      <c r="R91" s="168">
        <f t="shared" si="107"/>
        <v>0.85710438531517308</v>
      </c>
      <c r="S91" s="168">
        <f t="shared" si="107"/>
        <v>0.85710438531517308</v>
      </c>
      <c r="T91" s="168">
        <f t="shared" si="107"/>
        <v>0.85710438531517308</v>
      </c>
      <c r="U91" s="168">
        <f t="shared" si="107"/>
        <v>0.85710438531517308</v>
      </c>
      <c r="V91" s="168">
        <f t="shared" si="107"/>
        <v>0.85710438531517308</v>
      </c>
      <c r="W91" s="168">
        <f t="shared" si="107"/>
        <v>0.85710438531517308</v>
      </c>
      <c r="X91" s="168">
        <f t="shared" si="107"/>
        <v>0.85710438531517308</v>
      </c>
      <c r="Y91" s="168">
        <f t="shared" si="107"/>
        <v>0.85710438531517308</v>
      </c>
      <c r="Z91" s="168">
        <f t="shared" si="107"/>
        <v>0.85710438531517308</v>
      </c>
      <c r="AA91" s="168">
        <f t="shared" si="107"/>
        <v>0.85710438531517308</v>
      </c>
      <c r="AB91" s="168">
        <f t="shared" si="107"/>
        <v>0.85710438531517308</v>
      </c>
      <c r="AC91" s="168">
        <f t="shared" si="107"/>
        <v>0.85710438531517308</v>
      </c>
      <c r="AD91" s="168">
        <f t="shared" si="107"/>
        <v>0.85710438531517308</v>
      </c>
      <c r="AE91" s="168">
        <f t="shared" si="107"/>
        <v>0.85710438531517308</v>
      </c>
      <c r="AF91" s="168">
        <f t="shared" si="107"/>
        <v>0.85710438531517308</v>
      </c>
      <c r="AG91" s="168">
        <f t="shared" si="107"/>
        <v>0.85710438531517308</v>
      </c>
      <c r="AH91" s="168">
        <f t="shared" si="107"/>
        <v>0.85710438531517308</v>
      </c>
      <c r="AI91" s="168">
        <f t="shared" si="105"/>
        <v>0.85710438531517308</v>
      </c>
    </row>
    <row r="92" spans="1:35" s="68" customFormat="1" x14ac:dyDescent="0.2">
      <c r="A92" s="311"/>
      <c r="B92" s="68" t="s">
        <v>329</v>
      </c>
      <c r="D92" s="68" t="s">
        <v>248</v>
      </c>
      <c r="E92" s="421">
        <f t="shared" si="103"/>
        <v>0.14289561468482695</v>
      </c>
      <c r="F92" s="421">
        <f t="shared" ref="F92:AH92" si="108">-($E92-$AI92)/30+E92</f>
        <v>0.14289561468482695</v>
      </c>
      <c r="G92" s="421">
        <f t="shared" si="108"/>
        <v>0.14289561468482695</v>
      </c>
      <c r="H92" s="421">
        <f t="shared" si="108"/>
        <v>0.14289561468482695</v>
      </c>
      <c r="I92" s="421">
        <f t="shared" si="108"/>
        <v>0.14289561468482695</v>
      </c>
      <c r="J92" s="421">
        <f t="shared" si="108"/>
        <v>0.14289561468482695</v>
      </c>
      <c r="K92" s="421">
        <f t="shared" si="108"/>
        <v>0.14289561468482695</v>
      </c>
      <c r="L92" s="421">
        <f t="shared" si="108"/>
        <v>0.14289561468482695</v>
      </c>
      <c r="M92" s="421">
        <f t="shared" si="108"/>
        <v>0.14289561468482695</v>
      </c>
      <c r="N92" s="421">
        <f t="shared" si="108"/>
        <v>0.14289561468482695</v>
      </c>
      <c r="O92" s="421">
        <f t="shared" si="108"/>
        <v>0.14289561468482695</v>
      </c>
      <c r="P92" s="421">
        <f t="shared" si="108"/>
        <v>0.14289561468482695</v>
      </c>
      <c r="Q92" s="421">
        <f t="shared" si="108"/>
        <v>0.14289561468482695</v>
      </c>
      <c r="R92" s="421">
        <f t="shared" si="108"/>
        <v>0.14289561468482695</v>
      </c>
      <c r="S92" s="421">
        <f t="shared" si="108"/>
        <v>0.14289561468482695</v>
      </c>
      <c r="T92" s="421">
        <f t="shared" si="108"/>
        <v>0.14289561468482695</v>
      </c>
      <c r="U92" s="421">
        <f t="shared" si="108"/>
        <v>0.14289561468482695</v>
      </c>
      <c r="V92" s="421">
        <f t="shared" si="108"/>
        <v>0.14289561468482695</v>
      </c>
      <c r="W92" s="421">
        <f t="shared" si="108"/>
        <v>0.14289561468482695</v>
      </c>
      <c r="X92" s="421">
        <f t="shared" si="108"/>
        <v>0.14289561468482695</v>
      </c>
      <c r="Y92" s="421">
        <f t="shared" si="108"/>
        <v>0.14289561468482695</v>
      </c>
      <c r="Z92" s="421">
        <f t="shared" si="108"/>
        <v>0.14289561468482695</v>
      </c>
      <c r="AA92" s="421">
        <f t="shared" si="108"/>
        <v>0.14289561468482695</v>
      </c>
      <c r="AB92" s="421">
        <f t="shared" si="108"/>
        <v>0.14289561468482695</v>
      </c>
      <c r="AC92" s="421">
        <f t="shared" si="108"/>
        <v>0.14289561468482695</v>
      </c>
      <c r="AD92" s="421">
        <f t="shared" si="108"/>
        <v>0.14289561468482695</v>
      </c>
      <c r="AE92" s="421">
        <f t="shared" si="108"/>
        <v>0.14289561468482695</v>
      </c>
      <c r="AF92" s="421">
        <f t="shared" si="108"/>
        <v>0.14289561468482695</v>
      </c>
      <c r="AG92" s="421">
        <f t="shared" si="108"/>
        <v>0.14289561468482695</v>
      </c>
      <c r="AH92" s="421">
        <f t="shared" si="108"/>
        <v>0.14289561468482695</v>
      </c>
      <c r="AI92" s="421">
        <f t="shared" si="105"/>
        <v>0.14289561468482692</v>
      </c>
    </row>
    <row r="93" spans="1:35" s="67" customFormat="1" x14ac:dyDescent="0.2">
      <c r="A93" s="307"/>
      <c r="B93" s="67" t="s">
        <v>329</v>
      </c>
      <c r="C93" s="67" t="s">
        <v>1749</v>
      </c>
      <c r="D93" s="67" t="s">
        <v>258</v>
      </c>
      <c r="E93" s="201">
        <f>E19</f>
        <v>0</v>
      </c>
      <c r="F93" s="201">
        <f t="shared" ref="F93:AH93" si="109">-($E93-$AI93)/30+E93</f>
        <v>0</v>
      </c>
      <c r="G93" s="201">
        <f t="shared" si="109"/>
        <v>0</v>
      </c>
      <c r="H93" s="201">
        <f t="shared" si="109"/>
        <v>0</v>
      </c>
      <c r="I93" s="201">
        <f t="shared" si="109"/>
        <v>0</v>
      </c>
      <c r="J93" s="201">
        <f t="shared" si="109"/>
        <v>0</v>
      </c>
      <c r="K93" s="201">
        <f t="shared" si="109"/>
        <v>0</v>
      </c>
      <c r="L93" s="201">
        <f t="shared" si="109"/>
        <v>0</v>
      </c>
      <c r="M93" s="201">
        <f t="shared" si="109"/>
        <v>0</v>
      </c>
      <c r="N93" s="201">
        <f t="shared" si="109"/>
        <v>0</v>
      </c>
      <c r="O93" s="201">
        <f t="shared" si="109"/>
        <v>0</v>
      </c>
      <c r="P93" s="201">
        <f t="shared" si="109"/>
        <v>0</v>
      </c>
      <c r="Q93" s="201">
        <f t="shared" si="109"/>
        <v>0</v>
      </c>
      <c r="R93" s="201">
        <f t="shared" si="109"/>
        <v>0</v>
      </c>
      <c r="S93" s="201">
        <f t="shared" si="109"/>
        <v>0</v>
      </c>
      <c r="T93" s="201">
        <f t="shared" si="109"/>
        <v>0</v>
      </c>
      <c r="U93" s="201">
        <f t="shared" si="109"/>
        <v>0</v>
      </c>
      <c r="V93" s="201">
        <f t="shared" si="109"/>
        <v>0</v>
      </c>
      <c r="W93" s="201">
        <f t="shared" si="109"/>
        <v>0</v>
      </c>
      <c r="X93" s="201">
        <f t="shared" si="109"/>
        <v>0</v>
      </c>
      <c r="Y93" s="201">
        <f t="shared" si="109"/>
        <v>0</v>
      </c>
      <c r="Z93" s="201">
        <f t="shared" si="109"/>
        <v>0</v>
      </c>
      <c r="AA93" s="201">
        <f t="shared" si="109"/>
        <v>0</v>
      </c>
      <c r="AB93" s="201">
        <f t="shared" si="109"/>
        <v>0</v>
      </c>
      <c r="AC93" s="201">
        <f t="shared" si="109"/>
        <v>0</v>
      </c>
      <c r="AD93" s="201">
        <f t="shared" si="109"/>
        <v>0</v>
      </c>
      <c r="AE93" s="201">
        <f t="shared" si="109"/>
        <v>0</v>
      </c>
      <c r="AF93" s="201">
        <f t="shared" si="109"/>
        <v>0</v>
      </c>
      <c r="AG93" s="201">
        <f t="shared" si="109"/>
        <v>0</v>
      </c>
      <c r="AH93" s="201">
        <f t="shared" si="109"/>
        <v>0</v>
      </c>
      <c r="AI93" s="201">
        <f>N19</f>
        <v>0</v>
      </c>
    </row>
    <row r="94" spans="1:35" x14ac:dyDescent="0.2">
      <c r="A94" s="310"/>
      <c r="B94" t="s">
        <v>329</v>
      </c>
      <c r="D94" t="s">
        <v>478</v>
      </c>
      <c r="E94" s="168">
        <f t="shared" ref="E94:E97" si="110">E20</f>
        <v>0</v>
      </c>
      <c r="F94" s="168">
        <f t="shared" ref="F94:AH94" si="111">-($E94-$AI94)/30+E94</f>
        <v>0</v>
      </c>
      <c r="G94" s="168">
        <f t="shared" si="111"/>
        <v>0</v>
      </c>
      <c r="H94" s="168">
        <f t="shared" si="111"/>
        <v>0</v>
      </c>
      <c r="I94" s="168">
        <f t="shared" si="111"/>
        <v>0</v>
      </c>
      <c r="J94" s="168">
        <f t="shared" si="111"/>
        <v>0</v>
      </c>
      <c r="K94" s="168">
        <f t="shared" si="111"/>
        <v>0</v>
      </c>
      <c r="L94" s="168">
        <f t="shared" si="111"/>
        <v>0</v>
      </c>
      <c r="M94" s="168">
        <f t="shared" si="111"/>
        <v>0</v>
      </c>
      <c r="N94" s="168">
        <f t="shared" si="111"/>
        <v>0</v>
      </c>
      <c r="O94" s="168">
        <f t="shared" si="111"/>
        <v>0</v>
      </c>
      <c r="P94" s="168">
        <f t="shared" si="111"/>
        <v>0</v>
      </c>
      <c r="Q94" s="168">
        <f t="shared" si="111"/>
        <v>0</v>
      </c>
      <c r="R94" s="168">
        <f t="shared" si="111"/>
        <v>0</v>
      </c>
      <c r="S94" s="168">
        <f t="shared" si="111"/>
        <v>0</v>
      </c>
      <c r="T94" s="168">
        <f t="shared" si="111"/>
        <v>0</v>
      </c>
      <c r="U94" s="168">
        <f t="shared" si="111"/>
        <v>0</v>
      </c>
      <c r="V94" s="168">
        <f t="shared" si="111"/>
        <v>0</v>
      </c>
      <c r="W94" s="168">
        <f t="shared" si="111"/>
        <v>0</v>
      </c>
      <c r="X94" s="168">
        <f t="shared" si="111"/>
        <v>0</v>
      </c>
      <c r="Y94" s="168">
        <f t="shared" si="111"/>
        <v>0</v>
      </c>
      <c r="Z94" s="168">
        <f t="shared" si="111"/>
        <v>0</v>
      </c>
      <c r="AA94" s="168">
        <f t="shared" si="111"/>
        <v>0</v>
      </c>
      <c r="AB94" s="168">
        <f t="shared" si="111"/>
        <v>0</v>
      </c>
      <c r="AC94" s="168">
        <f t="shared" si="111"/>
        <v>0</v>
      </c>
      <c r="AD94" s="168">
        <f t="shared" si="111"/>
        <v>0</v>
      </c>
      <c r="AE94" s="168">
        <f t="shared" si="111"/>
        <v>0</v>
      </c>
      <c r="AF94" s="168">
        <f t="shared" si="111"/>
        <v>0</v>
      </c>
      <c r="AG94" s="168">
        <f t="shared" si="111"/>
        <v>0</v>
      </c>
      <c r="AH94" s="168">
        <f t="shared" si="111"/>
        <v>0</v>
      </c>
      <c r="AI94" s="168">
        <f t="shared" ref="AI94:AI97" si="112">N20</f>
        <v>0</v>
      </c>
    </row>
    <row r="95" spans="1:35" x14ac:dyDescent="0.2">
      <c r="A95" s="310"/>
      <c r="B95" t="s">
        <v>329</v>
      </c>
      <c r="D95" t="s">
        <v>480</v>
      </c>
      <c r="E95" s="168">
        <f t="shared" si="110"/>
        <v>0</v>
      </c>
      <c r="F95" s="168">
        <f t="shared" ref="F95:AH95" si="113">-($E95-$AI95)/30+E95</f>
        <v>0</v>
      </c>
      <c r="G95" s="168">
        <f t="shared" si="113"/>
        <v>0</v>
      </c>
      <c r="H95" s="168">
        <f t="shared" si="113"/>
        <v>0</v>
      </c>
      <c r="I95" s="168">
        <f t="shared" si="113"/>
        <v>0</v>
      </c>
      <c r="J95" s="168">
        <f t="shared" si="113"/>
        <v>0</v>
      </c>
      <c r="K95" s="168">
        <f t="shared" si="113"/>
        <v>0</v>
      </c>
      <c r="L95" s="168">
        <f t="shared" si="113"/>
        <v>0</v>
      </c>
      <c r="M95" s="168">
        <f t="shared" si="113"/>
        <v>0</v>
      </c>
      <c r="N95" s="168">
        <f t="shared" si="113"/>
        <v>0</v>
      </c>
      <c r="O95" s="168">
        <f t="shared" si="113"/>
        <v>0</v>
      </c>
      <c r="P95" s="168">
        <f t="shared" si="113"/>
        <v>0</v>
      </c>
      <c r="Q95" s="168">
        <f t="shared" si="113"/>
        <v>0</v>
      </c>
      <c r="R95" s="168">
        <f t="shared" si="113"/>
        <v>0</v>
      </c>
      <c r="S95" s="168">
        <f t="shared" si="113"/>
        <v>0</v>
      </c>
      <c r="T95" s="168">
        <f t="shared" si="113"/>
        <v>0</v>
      </c>
      <c r="U95" s="168">
        <f t="shared" si="113"/>
        <v>0</v>
      </c>
      <c r="V95" s="168">
        <f t="shared" si="113"/>
        <v>0</v>
      </c>
      <c r="W95" s="168">
        <f t="shared" si="113"/>
        <v>0</v>
      </c>
      <c r="X95" s="168">
        <f t="shared" si="113"/>
        <v>0</v>
      </c>
      <c r="Y95" s="168">
        <f t="shared" si="113"/>
        <v>0</v>
      </c>
      <c r="Z95" s="168">
        <f t="shared" si="113"/>
        <v>0</v>
      </c>
      <c r="AA95" s="168">
        <f t="shared" si="113"/>
        <v>0</v>
      </c>
      <c r="AB95" s="168">
        <f t="shared" si="113"/>
        <v>0</v>
      </c>
      <c r="AC95" s="168">
        <f t="shared" si="113"/>
        <v>0</v>
      </c>
      <c r="AD95" s="168">
        <f t="shared" si="113"/>
        <v>0</v>
      </c>
      <c r="AE95" s="168">
        <f t="shared" si="113"/>
        <v>0</v>
      </c>
      <c r="AF95" s="168">
        <f t="shared" si="113"/>
        <v>0</v>
      </c>
      <c r="AG95" s="168">
        <f t="shared" si="113"/>
        <v>0</v>
      </c>
      <c r="AH95" s="168">
        <f t="shared" si="113"/>
        <v>0</v>
      </c>
      <c r="AI95" s="168">
        <f t="shared" si="112"/>
        <v>0</v>
      </c>
    </row>
    <row r="96" spans="1:35" x14ac:dyDescent="0.2">
      <c r="A96" s="310"/>
      <c r="B96" t="s">
        <v>329</v>
      </c>
      <c r="D96" t="s">
        <v>474</v>
      </c>
      <c r="E96" s="168">
        <f t="shared" si="110"/>
        <v>0.85710438531517308</v>
      </c>
      <c r="F96" s="168">
        <f t="shared" ref="F96:AH96" si="114">-($E96-$AI96)/30+E96</f>
        <v>0.85710438531517308</v>
      </c>
      <c r="G96" s="168">
        <f t="shared" si="114"/>
        <v>0.85710438531517308</v>
      </c>
      <c r="H96" s="168">
        <f t="shared" si="114"/>
        <v>0.85710438531517308</v>
      </c>
      <c r="I96" s="168">
        <f t="shared" si="114"/>
        <v>0.85710438531517308</v>
      </c>
      <c r="J96" s="168">
        <f t="shared" si="114"/>
        <v>0.85710438531517308</v>
      </c>
      <c r="K96" s="168">
        <f t="shared" si="114"/>
        <v>0.85710438531517308</v>
      </c>
      <c r="L96" s="168">
        <f t="shared" si="114"/>
        <v>0.85710438531517308</v>
      </c>
      <c r="M96" s="168">
        <f t="shared" si="114"/>
        <v>0.85710438531517308</v>
      </c>
      <c r="N96" s="168">
        <f t="shared" si="114"/>
        <v>0.85710438531517308</v>
      </c>
      <c r="O96" s="168">
        <f t="shared" si="114"/>
        <v>0.85710438531517308</v>
      </c>
      <c r="P96" s="168">
        <f t="shared" si="114"/>
        <v>0.85710438531517308</v>
      </c>
      <c r="Q96" s="168">
        <f t="shared" si="114"/>
        <v>0.85710438531517308</v>
      </c>
      <c r="R96" s="168">
        <f t="shared" si="114"/>
        <v>0.85710438531517308</v>
      </c>
      <c r="S96" s="168">
        <f t="shared" si="114"/>
        <v>0.85710438531517308</v>
      </c>
      <c r="T96" s="168">
        <f t="shared" si="114"/>
        <v>0.85710438531517308</v>
      </c>
      <c r="U96" s="168">
        <f t="shared" si="114"/>
        <v>0.85710438531517308</v>
      </c>
      <c r="V96" s="168">
        <f t="shared" si="114"/>
        <v>0.85710438531517308</v>
      </c>
      <c r="W96" s="168">
        <f t="shared" si="114"/>
        <v>0.85710438531517308</v>
      </c>
      <c r="X96" s="168">
        <f t="shared" si="114"/>
        <v>0.85710438531517308</v>
      </c>
      <c r="Y96" s="168">
        <f t="shared" si="114"/>
        <v>0.85710438531517308</v>
      </c>
      <c r="Z96" s="168">
        <f t="shared" si="114"/>
        <v>0.85710438531517308</v>
      </c>
      <c r="AA96" s="168">
        <f t="shared" si="114"/>
        <v>0.85710438531517308</v>
      </c>
      <c r="AB96" s="168">
        <f t="shared" si="114"/>
        <v>0.85710438531517308</v>
      </c>
      <c r="AC96" s="168">
        <f t="shared" si="114"/>
        <v>0.85710438531517308</v>
      </c>
      <c r="AD96" s="168">
        <f t="shared" si="114"/>
        <v>0.85710438531517308</v>
      </c>
      <c r="AE96" s="168">
        <f t="shared" si="114"/>
        <v>0.85710438531517308</v>
      </c>
      <c r="AF96" s="168">
        <f t="shared" si="114"/>
        <v>0.85710438531517308</v>
      </c>
      <c r="AG96" s="168">
        <f t="shared" si="114"/>
        <v>0.85710438531517308</v>
      </c>
      <c r="AH96" s="168">
        <f t="shared" si="114"/>
        <v>0.85710438531517308</v>
      </c>
      <c r="AI96" s="168">
        <f t="shared" si="112"/>
        <v>0.85710438531517308</v>
      </c>
    </row>
    <row r="97" spans="1:35" s="68" customFormat="1" x14ac:dyDescent="0.2">
      <c r="A97" s="311"/>
      <c r="B97" s="68" t="s">
        <v>329</v>
      </c>
      <c r="D97" s="68" t="s">
        <v>248</v>
      </c>
      <c r="E97" s="421">
        <f t="shared" si="110"/>
        <v>0.14289561468482695</v>
      </c>
      <c r="F97" s="421">
        <f t="shared" ref="F97:AH97" si="115">-($E97-$AI97)/30+E97</f>
        <v>0.14289561468482695</v>
      </c>
      <c r="G97" s="421">
        <f t="shared" si="115"/>
        <v>0.14289561468482695</v>
      </c>
      <c r="H97" s="421">
        <f t="shared" si="115"/>
        <v>0.14289561468482695</v>
      </c>
      <c r="I97" s="421">
        <f t="shared" si="115"/>
        <v>0.14289561468482695</v>
      </c>
      <c r="J97" s="421">
        <f t="shared" si="115"/>
        <v>0.14289561468482695</v>
      </c>
      <c r="K97" s="421">
        <f t="shared" si="115"/>
        <v>0.14289561468482695</v>
      </c>
      <c r="L97" s="421">
        <f t="shared" si="115"/>
        <v>0.14289561468482695</v>
      </c>
      <c r="M97" s="421">
        <f t="shared" si="115"/>
        <v>0.14289561468482695</v>
      </c>
      <c r="N97" s="421">
        <f t="shared" si="115"/>
        <v>0.14289561468482695</v>
      </c>
      <c r="O97" s="421">
        <f t="shared" si="115"/>
        <v>0.14289561468482695</v>
      </c>
      <c r="P97" s="421">
        <f t="shared" si="115"/>
        <v>0.14289561468482695</v>
      </c>
      <c r="Q97" s="421">
        <f t="shared" si="115"/>
        <v>0.14289561468482695</v>
      </c>
      <c r="R97" s="421">
        <f t="shared" si="115"/>
        <v>0.14289561468482695</v>
      </c>
      <c r="S97" s="421">
        <f t="shared" si="115"/>
        <v>0.14289561468482695</v>
      </c>
      <c r="T97" s="421">
        <f t="shared" si="115"/>
        <v>0.14289561468482695</v>
      </c>
      <c r="U97" s="421">
        <f t="shared" si="115"/>
        <v>0.14289561468482695</v>
      </c>
      <c r="V97" s="421">
        <f t="shared" si="115"/>
        <v>0.14289561468482695</v>
      </c>
      <c r="W97" s="421">
        <f t="shared" si="115"/>
        <v>0.14289561468482695</v>
      </c>
      <c r="X97" s="421">
        <f t="shared" si="115"/>
        <v>0.14289561468482695</v>
      </c>
      <c r="Y97" s="421">
        <f t="shared" si="115"/>
        <v>0.14289561468482695</v>
      </c>
      <c r="Z97" s="421">
        <f t="shared" si="115"/>
        <v>0.14289561468482695</v>
      </c>
      <c r="AA97" s="421">
        <f t="shared" si="115"/>
        <v>0.14289561468482695</v>
      </c>
      <c r="AB97" s="421">
        <f t="shared" si="115"/>
        <v>0.14289561468482695</v>
      </c>
      <c r="AC97" s="421">
        <f t="shared" si="115"/>
        <v>0.14289561468482695</v>
      </c>
      <c r="AD97" s="421">
        <f t="shared" si="115"/>
        <v>0.14289561468482695</v>
      </c>
      <c r="AE97" s="421">
        <f t="shared" si="115"/>
        <v>0.14289561468482695</v>
      </c>
      <c r="AF97" s="421">
        <f t="shared" si="115"/>
        <v>0.14289561468482695</v>
      </c>
      <c r="AG97" s="421">
        <f t="shared" si="115"/>
        <v>0.14289561468482695</v>
      </c>
      <c r="AH97" s="421">
        <f t="shared" si="115"/>
        <v>0.14289561468482695</v>
      </c>
      <c r="AI97" s="421">
        <f t="shared" si="112"/>
        <v>0.14289561468482692</v>
      </c>
    </row>
    <row r="98" spans="1:35" s="67" customFormat="1" x14ac:dyDescent="0.2">
      <c r="A98" s="307"/>
      <c r="B98" s="67" t="s">
        <v>329</v>
      </c>
      <c r="C98" s="67" t="s">
        <v>1750</v>
      </c>
      <c r="D98" s="67" t="s">
        <v>258</v>
      </c>
      <c r="E98" s="201">
        <f>F19</f>
        <v>0</v>
      </c>
      <c r="F98" s="201">
        <f t="shared" ref="F98:AH98" si="116">-($E98-$AI98)/30+E98</f>
        <v>0</v>
      </c>
      <c r="G98" s="201">
        <f t="shared" si="116"/>
        <v>0</v>
      </c>
      <c r="H98" s="201">
        <f t="shared" si="116"/>
        <v>0</v>
      </c>
      <c r="I98" s="201">
        <f t="shared" si="116"/>
        <v>0</v>
      </c>
      <c r="J98" s="201">
        <f t="shared" si="116"/>
        <v>0</v>
      </c>
      <c r="K98" s="201">
        <f t="shared" si="116"/>
        <v>0</v>
      </c>
      <c r="L98" s="201">
        <f t="shared" si="116"/>
        <v>0</v>
      </c>
      <c r="M98" s="201">
        <f t="shared" si="116"/>
        <v>0</v>
      </c>
      <c r="N98" s="201">
        <f t="shared" si="116"/>
        <v>0</v>
      </c>
      <c r="O98" s="201">
        <f t="shared" si="116"/>
        <v>0</v>
      </c>
      <c r="P98" s="201">
        <f t="shared" si="116"/>
        <v>0</v>
      </c>
      <c r="Q98" s="201">
        <f t="shared" si="116"/>
        <v>0</v>
      </c>
      <c r="R98" s="201">
        <f t="shared" si="116"/>
        <v>0</v>
      </c>
      <c r="S98" s="201">
        <f t="shared" si="116"/>
        <v>0</v>
      </c>
      <c r="T98" s="201">
        <f t="shared" si="116"/>
        <v>0</v>
      </c>
      <c r="U98" s="201">
        <f t="shared" si="116"/>
        <v>0</v>
      </c>
      <c r="V98" s="201">
        <f t="shared" si="116"/>
        <v>0</v>
      </c>
      <c r="W98" s="201">
        <f t="shared" si="116"/>
        <v>0</v>
      </c>
      <c r="X98" s="201">
        <f t="shared" si="116"/>
        <v>0</v>
      </c>
      <c r="Y98" s="201">
        <f t="shared" si="116"/>
        <v>0</v>
      </c>
      <c r="Z98" s="201">
        <f t="shared" si="116"/>
        <v>0</v>
      </c>
      <c r="AA98" s="201">
        <f t="shared" si="116"/>
        <v>0</v>
      </c>
      <c r="AB98" s="201">
        <f t="shared" si="116"/>
        <v>0</v>
      </c>
      <c r="AC98" s="201">
        <f t="shared" si="116"/>
        <v>0</v>
      </c>
      <c r="AD98" s="201">
        <f t="shared" si="116"/>
        <v>0</v>
      </c>
      <c r="AE98" s="201">
        <f t="shared" si="116"/>
        <v>0</v>
      </c>
      <c r="AF98" s="201">
        <f t="shared" si="116"/>
        <v>0</v>
      </c>
      <c r="AG98" s="201">
        <f t="shared" si="116"/>
        <v>0</v>
      </c>
      <c r="AH98" s="201">
        <f t="shared" si="116"/>
        <v>0</v>
      </c>
      <c r="AI98" s="201">
        <f>O19</f>
        <v>0</v>
      </c>
    </row>
    <row r="99" spans="1:35" x14ac:dyDescent="0.2">
      <c r="A99" s="310"/>
      <c r="B99" t="s">
        <v>329</v>
      </c>
      <c r="D99" t="s">
        <v>478</v>
      </c>
      <c r="E99" s="168">
        <f t="shared" ref="E99:E102" si="117">F20</f>
        <v>0</v>
      </c>
      <c r="F99" s="168">
        <f t="shared" ref="F99:AH99" si="118">-($E99-$AI99)/30+E99</f>
        <v>0</v>
      </c>
      <c r="G99" s="168">
        <f t="shared" si="118"/>
        <v>0</v>
      </c>
      <c r="H99" s="168">
        <f t="shared" si="118"/>
        <v>0</v>
      </c>
      <c r="I99" s="168">
        <f t="shared" si="118"/>
        <v>0</v>
      </c>
      <c r="J99" s="168">
        <f t="shared" si="118"/>
        <v>0</v>
      </c>
      <c r="K99" s="168">
        <f t="shared" si="118"/>
        <v>0</v>
      </c>
      <c r="L99" s="168">
        <f t="shared" si="118"/>
        <v>0</v>
      </c>
      <c r="M99" s="168">
        <f t="shared" si="118"/>
        <v>0</v>
      </c>
      <c r="N99" s="168">
        <f t="shared" si="118"/>
        <v>0</v>
      </c>
      <c r="O99" s="168">
        <f t="shared" si="118"/>
        <v>0</v>
      </c>
      <c r="P99" s="168">
        <f t="shared" si="118"/>
        <v>0</v>
      </c>
      <c r="Q99" s="168">
        <f t="shared" si="118"/>
        <v>0</v>
      </c>
      <c r="R99" s="168">
        <f t="shared" si="118"/>
        <v>0</v>
      </c>
      <c r="S99" s="168">
        <f t="shared" si="118"/>
        <v>0</v>
      </c>
      <c r="T99" s="168">
        <f t="shared" si="118"/>
        <v>0</v>
      </c>
      <c r="U99" s="168">
        <f t="shared" si="118"/>
        <v>0</v>
      </c>
      <c r="V99" s="168">
        <f t="shared" si="118"/>
        <v>0</v>
      </c>
      <c r="W99" s="168">
        <f t="shared" si="118"/>
        <v>0</v>
      </c>
      <c r="X99" s="168">
        <f t="shared" si="118"/>
        <v>0</v>
      </c>
      <c r="Y99" s="168">
        <f t="shared" si="118"/>
        <v>0</v>
      </c>
      <c r="Z99" s="168">
        <f t="shared" si="118"/>
        <v>0</v>
      </c>
      <c r="AA99" s="168">
        <f t="shared" si="118"/>
        <v>0</v>
      </c>
      <c r="AB99" s="168">
        <f t="shared" si="118"/>
        <v>0</v>
      </c>
      <c r="AC99" s="168">
        <f t="shared" si="118"/>
        <v>0</v>
      </c>
      <c r="AD99" s="168">
        <f t="shared" si="118"/>
        <v>0</v>
      </c>
      <c r="AE99" s="168">
        <f t="shared" si="118"/>
        <v>0</v>
      </c>
      <c r="AF99" s="168">
        <f t="shared" si="118"/>
        <v>0</v>
      </c>
      <c r="AG99" s="168">
        <f t="shared" si="118"/>
        <v>0</v>
      </c>
      <c r="AH99" s="168">
        <f t="shared" si="118"/>
        <v>0</v>
      </c>
      <c r="AI99" s="168">
        <f t="shared" ref="AI99:AI102" si="119">O20</f>
        <v>0</v>
      </c>
    </row>
    <row r="100" spans="1:35" x14ac:dyDescent="0.2">
      <c r="A100" s="310"/>
      <c r="B100" t="s">
        <v>329</v>
      </c>
      <c r="D100" t="s">
        <v>480</v>
      </c>
      <c r="E100" s="168">
        <f t="shared" si="117"/>
        <v>0</v>
      </c>
      <c r="F100" s="168">
        <f t="shared" ref="F100:AH100" si="120">-($E100-$AI100)/30+E100</f>
        <v>0</v>
      </c>
      <c r="G100" s="168">
        <f t="shared" si="120"/>
        <v>0</v>
      </c>
      <c r="H100" s="168">
        <f t="shared" si="120"/>
        <v>0</v>
      </c>
      <c r="I100" s="168">
        <f t="shared" si="120"/>
        <v>0</v>
      </c>
      <c r="J100" s="168">
        <f t="shared" si="120"/>
        <v>0</v>
      </c>
      <c r="K100" s="168">
        <f t="shared" si="120"/>
        <v>0</v>
      </c>
      <c r="L100" s="168">
        <f t="shared" si="120"/>
        <v>0</v>
      </c>
      <c r="M100" s="168">
        <f t="shared" si="120"/>
        <v>0</v>
      </c>
      <c r="N100" s="168">
        <f t="shared" si="120"/>
        <v>0</v>
      </c>
      <c r="O100" s="168">
        <f t="shared" si="120"/>
        <v>0</v>
      </c>
      <c r="P100" s="168">
        <f t="shared" si="120"/>
        <v>0</v>
      </c>
      <c r="Q100" s="168">
        <f t="shared" si="120"/>
        <v>0</v>
      </c>
      <c r="R100" s="168">
        <f t="shared" si="120"/>
        <v>0</v>
      </c>
      <c r="S100" s="168">
        <f t="shared" si="120"/>
        <v>0</v>
      </c>
      <c r="T100" s="168">
        <f t="shared" si="120"/>
        <v>0</v>
      </c>
      <c r="U100" s="168">
        <f t="shared" si="120"/>
        <v>0</v>
      </c>
      <c r="V100" s="168">
        <f t="shared" si="120"/>
        <v>0</v>
      </c>
      <c r="W100" s="168">
        <f t="shared" si="120"/>
        <v>0</v>
      </c>
      <c r="X100" s="168">
        <f t="shared" si="120"/>
        <v>0</v>
      </c>
      <c r="Y100" s="168">
        <f t="shared" si="120"/>
        <v>0</v>
      </c>
      <c r="Z100" s="168">
        <f t="shared" si="120"/>
        <v>0</v>
      </c>
      <c r="AA100" s="168">
        <f t="shared" si="120"/>
        <v>0</v>
      </c>
      <c r="AB100" s="168">
        <f t="shared" si="120"/>
        <v>0</v>
      </c>
      <c r="AC100" s="168">
        <f t="shared" si="120"/>
        <v>0</v>
      </c>
      <c r="AD100" s="168">
        <f t="shared" si="120"/>
        <v>0</v>
      </c>
      <c r="AE100" s="168">
        <f t="shared" si="120"/>
        <v>0</v>
      </c>
      <c r="AF100" s="168">
        <f t="shared" si="120"/>
        <v>0</v>
      </c>
      <c r="AG100" s="168">
        <f t="shared" si="120"/>
        <v>0</v>
      </c>
      <c r="AH100" s="168">
        <f t="shared" si="120"/>
        <v>0</v>
      </c>
      <c r="AI100" s="168">
        <f t="shared" si="119"/>
        <v>0</v>
      </c>
    </row>
    <row r="101" spans="1:35" x14ac:dyDescent="0.2">
      <c r="A101" s="310"/>
      <c r="B101" t="s">
        <v>329</v>
      </c>
      <c r="D101" t="s">
        <v>474</v>
      </c>
      <c r="E101" s="168">
        <f t="shared" si="117"/>
        <v>0.85710438531517308</v>
      </c>
      <c r="F101" s="168">
        <f t="shared" ref="F101:AH101" si="121">-($E101-$AI101)/30+E101</f>
        <v>0.85710438531517308</v>
      </c>
      <c r="G101" s="168">
        <f t="shared" si="121"/>
        <v>0.85710438531517308</v>
      </c>
      <c r="H101" s="168">
        <f t="shared" si="121"/>
        <v>0.85710438531517308</v>
      </c>
      <c r="I101" s="168">
        <f t="shared" si="121"/>
        <v>0.85710438531517308</v>
      </c>
      <c r="J101" s="168">
        <f t="shared" si="121"/>
        <v>0.85710438531517308</v>
      </c>
      <c r="K101" s="168">
        <f t="shared" si="121"/>
        <v>0.85710438531517308</v>
      </c>
      <c r="L101" s="168">
        <f t="shared" si="121"/>
        <v>0.85710438531517308</v>
      </c>
      <c r="M101" s="168">
        <f t="shared" si="121"/>
        <v>0.85710438531517308</v>
      </c>
      <c r="N101" s="168">
        <f t="shared" si="121"/>
        <v>0.85710438531517308</v>
      </c>
      <c r="O101" s="168">
        <f t="shared" si="121"/>
        <v>0.85710438531517308</v>
      </c>
      <c r="P101" s="168">
        <f t="shared" si="121"/>
        <v>0.85710438531517308</v>
      </c>
      <c r="Q101" s="168">
        <f t="shared" si="121"/>
        <v>0.85710438531517308</v>
      </c>
      <c r="R101" s="168">
        <f t="shared" si="121"/>
        <v>0.85710438531517308</v>
      </c>
      <c r="S101" s="168">
        <f t="shared" si="121"/>
        <v>0.85710438531517308</v>
      </c>
      <c r="T101" s="168">
        <f t="shared" si="121"/>
        <v>0.85710438531517308</v>
      </c>
      <c r="U101" s="168">
        <f t="shared" si="121"/>
        <v>0.85710438531517308</v>
      </c>
      <c r="V101" s="168">
        <f t="shared" si="121"/>
        <v>0.85710438531517308</v>
      </c>
      <c r="W101" s="168">
        <f t="shared" si="121"/>
        <v>0.85710438531517308</v>
      </c>
      <c r="X101" s="168">
        <f t="shared" si="121"/>
        <v>0.85710438531517308</v>
      </c>
      <c r="Y101" s="168">
        <f t="shared" si="121"/>
        <v>0.85710438531517308</v>
      </c>
      <c r="Z101" s="168">
        <f t="shared" si="121"/>
        <v>0.85710438531517308</v>
      </c>
      <c r="AA101" s="168">
        <f t="shared" si="121"/>
        <v>0.85710438531517308</v>
      </c>
      <c r="AB101" s="168">
        <f t="shared" si="121"/>
        <v>0.85710438531517308</v>
      </c>
      <c r="AC101" s="168">
        <f t="shared" si="121"/>
        <v>0.85710438531517308</v>
      </c>
      <c r="AD101" s="168">
        <f t="shared" si="121"/>
        <v>0.85710438531517308</v>
      </c>
      <c r="AE101" s="168">
        <f t="shared" si="121"/>
        <v>0.85710438531517308</v>
      </c>
      <c r="AF101" s="168">
        <f t="shared" si="121"/>
        <v>0.85710438531517308</v>
      </c>
      <c r="AG101" s="168">
        <f t="shared" si="121"/>
        <v>0.85710438531517308</v>
      </c>
      <c r="AH101" s="168">
        <f t="shared" si="121"/>
        <v>0.85710438531517308</v>
      </c>
      <c r="AI101" s="168">
        <f t="shared" si="119"/>
        <v>0.85710438531517308</v>
      </c>
    </row>
    <row r="102" spans="1:35" s="68" customFormat="1" x14ac:dyDescent="0.2">
      <c r="A102" s="311"/>
      <c r="B102" s="68" t="s">
        <v>329</v>
      </c>
      <c r="D102" s="68" t="s">
        <v>248</v>
      </c>
      <c r="E102" s="421">
        <f t="shared" si="117"/>
        <v>0.14289561468482695</v>
      </c>
      <c r="F102" s="421">
        <f t="shared" ref="F102:AH102" si="122">-($E102-$AI102)/30+E102</f>
        <v>0.14289561468482695</v>
      </c>
      <c r="G102" s="421">
        <f t="shared" si="122"/>
        <v>0.14289561468482695</v>
      </c>
      <c r="H102" s="421">
        <f t="shared" si="122"/>
        <v>0.14289561468482695</v>
      </c>
      <c r="I102" s="421">
        <f t="shared" si="122"/>
        <v>0.14289561468482695</v>
      </c>
      <c r="J102" s="421">
        <f t="shared" si="122"/>
        <v>0.14289561468482695</v>
      </c>
      <c r="K102" s="421">
        <f t="shared" si="122"/>
        <v>0.14289561468482695</v>
      </c>
      <c r="L102" s="421">
        <f t="shared" si="122"/>
        <v>0.14289561468482695</v>
      </c>
      <c r="M102" s="421">
        <f t="shared" si="122"/>
        <v>0.14289561468482695</v>
      </c>
      <c r="N102" s="421">
        <f t="shared" si="122"/>
        <v>0.14289561468482695</v>
      </c>
      <c r="O102" s="421">
        <f t="shared" si="122"/>
        <v>0.14289561468482695</v>
      </c>
      <c r="P102" s="421">
        <f t="shared" si="122"/>
        <v>0.14289561468482695</v>
      </c>
      <c r="Q102" s="421">
        <f t="shared" si="122"/>
        <v>0.14289561468482695</v>
      </c>
      <c r="R102" s="421">
        <f t="shared" si="122"/>
        <v>0.14289561468482695</v>
      </c>
      <c r="S102" s="421">
        <f t="shared" si="122"/>
        <v>0.14289561468482695</v>
      </c>
      <c r="T102" s="421">
        <f t="shared" si="122"/>
        <v>0.14289561468482695</v>
      </c>
      <c r="U102" s="421">
        <f t="shared" si="122"/>
        <v>0.14289561468482695</v>
      </c>
      <c r="V102" s="421">
        <f t="shared" si="122"/>
        <v>0.14289561468482695</v>
      </c>
      <c r="W102" s="421">
        <f t="shared" si="122"/>
        <v>0.14289561468482695</v>
      </c>
      <c r="X102" s="421">
        <f t="shared" si="122"/>
        <v>0.14289561468482695</v>
      </c>
      <c r="Y102" s="421">
        <f t="shared" si="122"/>
        <v>0.14289561468482695</v>
      </c>
      <c r="Z102" s="421">
        <f t="shared" si="122"/>
        <v>0.14289561468482695</v>
      </c>
      <c r="AA102" s="421">
        <f t="shared" si="122"/>
        <v>0.14289561468482695</v>
      </c>
      <c r="AB102" s="421">
        <f t="shared" si="122"/>
        <v>0.14289561468482695</v>
      </c>
      <c r="AC102" s="421">
        <f t="shared" si="122"/>
        <v>0.14289561468482695</v>
      </c>
      <c r="AD102" s="421">
        <f t="shared" si="122"/>
        <v>0.14289561468482695</v>
      </c>
      <c r="AE102" s="421">
        <f t="shared" si="122"/>
        <v>0.14289561468482695</v>
      </c>
      <c r="AF102" s="421">
        <f t="shared" si="122"/>
        <v>0.14289561468482695</v>
      </c>
      <c r="AG102" s="421">
        <f t="shared" si="122"/>
        <v>0.14289561468482695</v>
      </c>
      <c r="AH102" s="421">
        <f t="shared" si="122"/>
        <v>0.14289561468482695</v>
      </c>
      <c r="AI102" s="421">
        <f t="shared" si="119"/>
        <v>0.14289561468482692</v>
      </c>
    </row>
    <row r="103" spans="1:35" s="67" customFormat="1" x14ac:dyDescent="0.2">
      <c r="A103" s="307"/>
      <c r="B103" s="67" t="s">
        <v>369</v>
      </c>
      <c r="C103" s="67" t="s">
        <v>1746</v>
      </c>
      <c r="D103" s="67" t="s">
        <v>258</v>
      </c>
      <c r="E103" s="201">
        <f>D27</f>
        <v>0.35330398449159967</v>
      </c>
      <c r="F103" s="201">
        <f t="shared" ref="F103:AH103" si="123">-($E103-$AI103)/30+E103</f>
        <v>0.35844381248300899</v>
      </c>
      <c r="G103" s="201">
        <f t="shared" si="123"/>
        <v>0.36358364047441832</v>
      </c>
      <c r="H103" s="201">
        <f t="shared" si="123"/>
        <v>0.36872346846582765</v>
      </c>
      <c r="I103" s="201">
        <f t="shared" si="123"/>
        <v>0.37386329645723698</v>
      </c>
      <c r="J103" s="201">
        <f t="shared" si="123"/>
        <v>0.37900312444864631</v>
      </c>
      <c r="K103" s="201">
        <f t="shared" si="123"/>
        <v>0.38414295244005564</v>
      </c>
      <c r="L103" s="201">
        <f t="shared" si="123"/>
        <v>0.38928278043146497</v>
      </c>
      <c r="M103" s="201">
        <f t="shared" si="123"/>
        <v>0.3944226084228743</v>
      </c>
      <c r="N103" s="201">
        <f t="shared" si="123"/>
        <v>0.39956243641428363</v>
      </c>
      <c r="O103" s="201">
        <f t="shared" si="123"/>
        <v>0.40470226440569296</v>
      </c>
      <c r="P103" s="201">
        <f t="shared" si="123"/>
        <v>0.40984209239710229</v>
      </c>
      <c r="Q103" s="201">
        <f t="shared" si="123"/>
        <v>0.41498192038851162</v>
      </c>
      <c r="R103" s="201">
        <f t="shared" si="123"/>
        <v>0.42012174837992095</v>
      </c>
      <c r="S103" s="201">
        <f t="shared" si="123"/>
        <v>0.42526157637133027</v>
      </c>
      <c r="T103" s="201">
        <f t="shared" si="123"/>
        <v>0.4304014043627396</v>
      </c>
      <c r="U103" s="201">
        <f t="shared" si="123"/>
        <v>0.43554123235414893</v>
      </c>
      <c r="V103" s="201">
        <f t="shared" si="123"/>
        <v>0.44068106034555826</v>
      </c>
      <c r="W103" s="201">
        <f t="shared" si="123"/>
        <v>0.44582088833696759</v>
      </c>
      <c r="X103" s="201">
        <f t="shared" si="123"/>
        <v>0.45096071632837692</v>
      </c>
      <c r="Y103" s="201">
        <f t="shared" si="123"/>
        <v>0.45610054431978625</v>
      </c>
      <c r="Z103" s="201">
        <f t="shared" si="123"/>
        <v>0.46124037231119558</v>
      </c>
      <c r="AA103" s="201">
        <f t="shared" si="123"/>
        <v>0.46638020030260491</v>
      </c>
      <c r="AB103" s="201">
        <f t="shared" si="123"/>
        <v>0.47152002829401424</v>
      </c>
      <c r="AC103" s="201">
        <f t="shared" si="123"/>
        <v>0.47665985628542357</v>
      </c>
      <c r="AD103" s="201">
        <f t="shared" si="123"/>
        <v>0.4817996842768329</v>
      </c>
      <c r="AE103" s="201">
        <f t="shared" si="123"/>
        <v>0.48693951226824223</v>
      </c>
      <c r="AF103" s="201">
        <f t="shared" si="123"/>
        <v>0.49207934025965155</v>
      </c>
      <c r="AG103" s="201">
        <f t="shared" si="123"/>
        <v>0.49721916825106088</v>
      </c>
      <c r="AH103" s="201">
        <f t="shared" si="123"/>
        <v>0.50235899624247016</v>
      </c>
      <c r="AI103" s="201">
        <f>M27</f>
        <v>0.50749882423387904</v>
      </c>
    </row>
    <row r="104" spans="1:35" x14ac:dyDescent="0.2">
      <c r="A104" s="310"/>
      <c r="B104" t="s">
        <v>369</v>
      </c>
      <c r="C104" t="s">
        <v>1746</v>
      </c>
      <c r="D104" t="s">
        <v>478</v>
      </c>
      <c r="E104" s="168">
        <f t="shared" ref="E104:E107" si="124">D28</f>
        <v>1.8257255953353001E-2</v>
      </c>
      <c r="F104" s="168">
        <f t="shared" ref="F104:AH104" si="125">-($E104-$AI104)/30+E104</f>
        <v>1.9921548169902881E-2</v>
      </c>
      <c r="G104" s="168">
        <f t="shared" si="125"/>
        <v>2.1585840386452761E-2</v>
      </c>
      <c r="H104" s="168">
        <f t="shared" si="125"/>
        <v>2.3250132603002641E-2</v>
      </c>
      <c r="I104" s="168">
        <f t="shared" si="125"/>
        <v>2.4914424819552521E-2</v>
      </c>
      <c r="J104" s="168">
        <f t="shared" si="125"/>
        <v>2.6578717036102401E-2</v>
      </c>
      <c r="K104" s="168">
        <f t="shared" si="125"/>
        <v>2.8243009252652281E-2</v>
      </c>
      <c r="L104" s="168">
        <f t="shared" si="125"/>
        <v>2.990730146920216E-2</v>
      </c>
      <c r="M104" s="168">
        <f t="shared" si="125"/>
        <v>3.157159368575204E-2</v>
      </c>
      <c r="N104" s="168">
        <f t="shared" si="125"/>
        <v>3.323588590230192E-2</v>
      </c>
      <c r="O104" s="168">
        <f t="shared" si="125"/>
        <v>3.49001781188518E-2</v>
      </c>
      <c r="P104" s="168">
        <f t="shared" si="125"/>
        <v>3.656447033540168E-2</v>
      </c>
      <c r="Q104" s="168">
        <f t="shared" si="125"/>
        <v>3.822876255195156E-2</v>
      </c>
      <c r="R104" s="168">
        <f t="shared" si="125"/>
        <v>3.989305476850144E-2</v>
      </c>
      <c r="S104" s="168">
        <f t="shared" si="125"/>
        <v>4.155734698505132E-2</v>
      </c>
      <c r="T104" s="168">
        <f t="shared" si="125"/>
        <v>4.32216392016012E-2</v>
      </c>
      <c r="U104" s="168">
        <f t="shared" si="125"/>
        <v>4.488593141815108E-2</v>
      </c>
      <c r="V104" s="168">
        <f t="shared" si="125"/>
        <v>4.655022363470096E-2</v>
      </c>
      <c r="W104" s="168">
        <f t="shared" si="125"/>
        <v>4.821451585125084E-2</v>
      </c>
      <c r="X104" s="168">
        <f t="shared" si="125"/>
        <v>4.987880806780072E-2</v>
      </c>
      <c r="Y104" s="168">
        <f t="shared" si="125"/>
        <v>5.15431002843506E-2</v>
      </c>
      <c r="Z104" s="168">
        <f t="shared" si="125"/>
        <v>5.320739250090048E-2</v>
      </c>
      <c r="AA104" s="168">
        <f t="shared" si="125"/>
        <v>5.487168471745036E-2</v>
      </c>
      <c r="AB104" s="168">
        <f t="shared" si="125"/>
        <v>5.653597693400024E-2</v>
      </c>
      <c r="AC104" s="168">
        <f t="shared" si="125"/>
        <v>5.820026915055012E-2</v>
      </c>
      <c r="AD104" s="168">
        <f t="shared" si="125"/>
        <v>5.98645613671E-2</v>
      </c>
      <c r="AE104" s="168">
        <f t="shared" si="125"/>
        <v>6.152885358364988E-2</v>
      </c>
      <c r="AF104" s="168">
        <f t="shared" si="125"/>
        <v>6.319314580019976E-2</v>
      </c>
      <c r="AG104" s="168">
        <f t="shared" si="125"/>
        <v>6.4857438016749633E-2</v>
      </c>
      <c r="AH104" s="168">
        <f t="shared" si="125"/>
        <v>6.6521730233299506E-2</v>
      </c>
      <c r="AI104" s="168">
        <f t="shared" ref="AI104:AI107" si="126">M28</f>
        <v>6.8186022449849393E-2</v>
      </c>
    </row>
    <row r="105" spans="1:35" x14ac:dyDescent="0.2">
      <c r="A105" s="310"/>
      <c r="B105" t="s">
        <v>369</v>
      </c>
      <c r="C105" t="s">
        <v>1746</v>
      </c>
      <c r="D105" t="s">
        <v>480</v>
      </c>
      <c r="E105" s="168">
        <f t="shared" si="124"/>
        <v>0.62703304078386057</v>
      </c>
      <c r="F105" s="168">
        <f t="shared" ref="F105:AH105" si="127">-($E105-$AI105)/30+E105</f>
        <v>0.62008354346515537</v>
      </c>
      <c r="G105" s="168">
        <f t="shared" si="127"/>
        <v>0.61313404614645017</v>
      </c>
      <c r="H105" s="168">
        <f t="shared" si="127"/>
        <v>0.60618454882774497</v>
      </c>
      <c r="I105" s="168">
        <f t="shared" si="127"/>
        <v>0.59923505150903977</v>
      </c>
      <c r="J105" s="168">
        <f t="shared" si="127"/>
        <v>0.59228555419033457</v>
      </c>
      <c r="K105" s="168">
        <f t="shared" si="127"/>
        <v>0.58533605687162937</v>
      </c>
      <c r="L105" s="168">
        <f t="shared" si="127"/>
        <v>0.57838655955292417</v>
      </c>
      <c r="M105" s="168">
        <f t="shared" si="127"/>
        <v>0.57143706223421897</v>
      </c>
      <c r="N105" s="168">
        <f t="shared" si="127"/>
        <v>0.56448756491551377</v>
      </c>
      <c r="O105" s="168">
        <f t="shared" si="127"/>
        <v>0.55753806759680857</v>
      </c>
      <c r="P105" s="168">
        <f t="shared" si="127"/>
        <v>0.55058857027810337</v>
      </c>
      <c r="Q105" s="168">
        <f t="shared" si="127"/>
        <v>0.54363907295939817</v>
      </c>
      <c r="R105" s="168">
        <f t="shared" si="127"/>
        <v>0.53668957564069297</v>
      </c>
      <c r="S105" s="168">
        <f t="shared" si="127"/>
        <v>0.52974007832198777</v>
      </c>
      <c r="T105" s="168">
        <f t="shared" si="127"/>
        <v>0.52279058100328257</v>
      </c>
      <c r="U105" s="168">
        <f t="shared" si="127"/>
        <v>0.51584108368457737</v>
      </c>
      <c r="V105" s="168">
        <f t="shared" si="127"/>
        <v>0.50889158636587217</v>
      </c>
      <c r="W105" s="168">
        <f t="shared" si="127"/>
        <v>0.50194208904716697</v>
      </c>
      <c r="X105" s="168">
        <f t="shared" si="127"/>
        <v>0.49499259172846177</v>
      </c>
      <c r="Y105" s="168">
        <f t="shared" si="127"/>
        <v>0.48804309440975657</v>
      </c>
      <c r="Z105" s="168">
        <f t="shared" si="127"/>
        <v>0.48109359709105137</v>
      </c>
      <c r="AA105" s="168">
        <f t="shared" si="127"/>
        <v>0.47414409977234617</v>
      </c>
      <c r="AB105" s="168">
        <f t="shared" si="127"/>
        <v>0.46719460245364097</v>
      </c>
      <c r="AC105" s="168">
        <f t="shared" si="127"/>
        <v>0.46024510513493577</v>
      </c>
      <c r="AD105" s="168">
        <f t="shared" si="127"/>
        <v>0.45329560781623057</v>
      </c>
      <c r="AE105" s="168">
        <f t="shared" si="127"/>
        <v>0.44634611049752537</v>
      </c>
      <c r="AF105" s="168">
        <f t="shared" si="127"/>
        <v>0.43939661317882017</v>
      </c>
      <c r="AG105" s="168">
        <f t="shared" si="127"/>
        <v>0.43244711586011497</v>
      </c>
      <c r="AH105" s="168">
        <f t="shared" si="127"/>
        <v>0.42549761854140977</v>
      </c>
      <c r="AI105" s="168">
        <f t="shared" si="126"/>
        <v>0.41854812122270468</v>
      </c>
    </row>
    <row r="106" spans="1:35" x14ac:dyDescent="0.2">
      <c r="A106" s="310"/>
      <c r="B106" t="s">
        <v>369</v>
      </c>
      <c r="C106" t="s">
        <v>1746</v>
      </c>
      <c r="D106" t="s">
        <v>474</v>
      </c>
      <c r="E106" s="168">
        <f t="shared" si="124"/>
        <v>0</v>
      </c>
      <c r="F106" s="168">
        <f t="shared" ref="F106:AH106" si="128">-($E106-$AI106)/30+E106</f>
        <v>0</v>
      </c>
      <c r="G106" s="168">
        <f t="shared" si="128"/>
        <v>0</v>
      </c>
      <c r="H106" s="168">
        <f t="shared" si="128"/>
        <v>0</v>
      </c>
      <c r="I106" s="168">
        <f t="shared" si="128"/>
        <v>0</v>
      </c>
      <c r="J106" s="168">
        <f t="shared" si="128"/>
        <v>0</v>
      </c>
      <c r="K106" s="168">
        <f t="shared" si="128"/>
        <v>0</v>
      </c>
      <c r="L106" s="168">
        <f t="shared" si="128"/>
        <v>0</v>
      </c>
      <c r="M106" s="168">
        <f t="shared" si="128"/>
        <v>0</v>
      </c>
      <c r="N106" s="168">
        <f t="shared" si="128"/>
        <v>0</v>
      </c>
      <c r="O106" s="168">
        <f t="shared" si="128"/>
        <v>0</v>
      </c>
      <c r="P106" s="168">
        <f t="shared" si="128"/>
        <v>0</v>
      </c>
      <c r="Q106" s="168">
        <f t="shared" si="128"/>
        <v>0</v>
      </c>
      <c r="R106" s="168">
        <f t="shared" si="128"/>
        <v>0</v>
      </c>
      <c r="S106" s="168">
        <f t="shared" si="128"/>
        <v>0</v>
      </c>
      <c r="T106" s="168">
        <f t="shared" si="128"/>
        <v>0</v>
      </c>
      <c r="U106" s="168">
        <f t="shared" si="128"/>
        <v>0</v>
      </c>
      <c r="V106" s="168">
        <f t="shared" si="128"/>
        <v>0</v>
      </c>
      <c r="W106" s="168">
        <f t="shared" si="128"/>
        <v>0</v>
      </c>
      <c r="X106" s="168">
        <f t="shared" si="128"/>
        <v>0</v>
      </c>
      <c r="Y106" s="168">
        <f t="shared" si="128"/>
        <v>0</v>
      </c>
      <c r="Z106" s="168">
        <f t="shared" si="128"/>
        <v>0</v>
      </c>
      <c r="AA106" s="168">
        <f t="shared" si="128"/>
        <v>0</v>
      </c>
      <c r="AB106" s="168">
        <f t="shared" si="128"/>
        <v>0</v>
      </c>
      <c r="AC106" s="168">
        <f t="shared" si="128"/>
        <v>0</v>
      </c>
      <c r="AD106" s="168">
        <f t="shared" si="128"/>
        <v>0</v>
      </c>
      <c r="AE106" s="168">
        <f t="shared" si="128"/>
        <v>0</v>
      </c>
      <c r="AF106" s="168">
        <f t="shared" si="128"/>
        <v>0</v>
      </c>
      <c r="AG106" s="168">
        <f t="shared" si="128"/>
        <v>0</v>
      </c>
      <c r="AH106" s="168">
        <f t="shared" si="128"/>
        <v>0</v>
      </c>
      <c r="AI106" s="168">
        <f t="shared" si="126"/>
        <v>0</v>
      </c>
    </row>
    <row r="107" spans="1:35" s="68" customFormat="1" x14ac:dyDescent="0.2">
      <c r="A107" s="311"/>
      <c r="B107" s="68" t="s">
        <v>369</v>
      </c>
      <c r="C107" s="68" t="s">
        <v>1746</v>
      </c>
      <c r="D107" s="68" t="s">
        <v>248</v>
      </c>
      <c r="E107" s="421">
        <f t="shared" si="124"/>
        <v>1.4057187711867362E-3</v>
      </c>
      <c r="F107" s="421">
        <f t="shared" ref="F107:AH107" si="129">-($E107-$AI107)/30+E107</f>
        <v>1.5510958819327386E-3</v>
      </c>
      <c r="G107" s="421">
        <f t="shared" si="129"/>
        <v>1.6964729926787409E-3</v>
      </c>
      <c r="H107" s="421">
        <f t="shared" si="129"/>
        <v>1.8418501034247433E-3</v>
      </c>
      <c r="I107" s="421">
        <f t="shared" si="129"/>
        <v>1.9872272141707456E-3</v>
      </c>
      <c r="J107" s="421">
        <f t="shared" si="129"/>
        <v>2.1326043249167482E-3</v>
      </c>
      <c r="K107" s="421">
        <f t="shared" si="129"/>
        <v>2.2779814356627508E-3</v>
      </c>
      <c r="L107" s="421">
        <f t="shared" si="129"/>
        <v>2.4233585464087533E-3</v>
      </c>
      <c r="M107" s="421">
        <f t="shared" si="129"/>
        <v>2.5687356571547559E-3</v>
      </c>
      <c r="N107" s="421">
        <f t="shared" si="129"/>
        <v>2.7141127679007585E-3</v>
      </c>
      <c r="O107" s="421">
        <f t="shared" si="129"/>
        <v>2.859489878646761E-3</v>
      </c>
      <c r="P107" s="421">
        <f t="shared" si="129"/>
        <v>3.0048669893927636E-3</v>
      </c>
      <c r="Q107" s="421">
        <f t="shared" si="129"/>
        <v>3.1502441001387662E-3</v>
      </c>
      <c r="R107" s="421">
        <f t="shared" si="129"/>
        <v>3.2956212108847687E-3</v>
      </c>
      <c r="S107" s="421">
        <f t="shared" si="129"/>
        <v>3.4409983216307713E-3</v>
      </c>
      <c r="T107" s="421">
        <f t="shared" si="129"/>
        <v>3.5863754323767739E-3</v>
      </c>
      <c r="U107" s="421">
        <f t="shared" si="129"/>
        <v>3.7317525431227764E-3</v>
      </c>
      <c r="V107" s="421">
        <f t="shared" si="129"/>
        <v>3.877129653868779E-3</v>
      </c>
      <c r="W107" s="421">
        <f t="shared" si="129"/>
        <v>4.0225067646147816E-3</v>
      </c>
      <c r="X107" s="421">
        <f t="shared" si="129"/>
        <v>4.1678838753607837E-3</v>
      </c>
      <c r="Y107" s="421">
        <f t="shared" si="129"/>
        <v>4.3132609861067858E-3</v>
      </c>
      <c r="Z107" s="421">
        <f t="shared" si="129"/>
        <v>4.458638096852788E-3</v>
      </c>
      <c r="AA107" s="421">
        <f t="shared" si="129"/>
        <v>4.6040152075987901E-3</v>
      </c>
      <c r="AB107" s="421">
        <f t="shared" si="129"/>
        <v>4.7493923183447922E-3</v>
      </c>
      <c r="AC107" s="421">
        <f t="shared" si="129"/>
        <v>4.8947694290907943E-3</v>
      </c>
      <c r="AD107" s="421">
        <f t="shared" si="129"/>
        <v>5.0401465398367965E-3</v>
      </c>
      <c r="AE107" s="421">
        <f t="shared" si="129"/>
        <v>5.1855236505827986E-3</v>
      </c>
      <c r="AF107" s="421">
        <f t="shared" si="129"/>
        <v>5.3309007613288007E-3</v>
      </c>
      <c r="AG107" s="421">
        <f t="shared" si="129"/>
        <v>5.4762778720748029E-3</v>
      </c>
      <c r="AH107" s="421">
        <f t="shared" si="129"/>
        <v>5.621654982820805E-3</v>
      </c>
      <c r="AI107" s="421">
        <f t="shared" si="126"/>
        <v>5.767032093566808E-3</v>
      </c>
    </row>
    <row r="108" spans="1:35" s="67" customFormat="1" x14ac:dyDescent="0.2">
      <c r="A108" s="307"/>
      <c r="B108" s="67" t="s">
        <v>248</v>
      </c>
      <c r="C108" s="67" t="s">
        <v>1746</v>
      </c>
      <c r="D108" s="67" t="s">
        <v>258</v>
      </c>
      <c r="E108" s="201">
        <f>D35</f>
        <v>0.71774223915373458</v>
      </c>
      <c r="F108" s="201">
        <f t="shared" ref="F108:AH108" si="130">-($E108-$AI108)/30+E108</f>
        <v>0.71774223915373458</v>
      </c>
      <c r="G108" s="201">
        <f t="shared" si="130"/>
        <v>0.71774223915373458</v>
      </c>
      <c r="H108" s="201">
        <f t="shared" si="130"/>
        <v>0.71774223915373458</v>
      </c>
      <c r="I108" s="201">
        <f t="shared" si="130"/>
        <v>0.71774223915373458</v>
      </c>
      <c r="J108" s="201">
        <f t="shared" si="130"/>
        <v>0.71774223915373458</v>
      </c>
      <c r="K108" s="201">
        <f t="shared" si="130"/>
        <v>0.71774223915373458</v>
      </c>
      <c r="L108" s="201">
        <f t="shared" si="130"/>
        <v>0.71774223915373458</v>
      </c>
      <c r="M108" s="201">
        <f t="shared" si="130"/>
        <v>0.71774223915373458</v>
      </c>
      <c r="N108" s="201">
        <f t="shared" si="130"/>
        <v>0.71774223915373458</v>
      </c>
      <c r="O108" s="201">
        <f t="shared" si="130"/>
        <v>0.71774223915373458</v>
      </c>
      <c r="P108" s="201">
        <f t="shared" si="130"/>
        <v>0.71774223915373458</v>
      </c>
      <c r="Q108" s="201">
        <f t="shared" si="130"/>
        <v>0.71774223915373458</v>
      </c>
      <c r="R108" s="201">
        <f t="shared" si="130"/>
        <v>0.71774223915373458</v>
      </c>
      <c r="S108" s="201">
        <f t="shared" si="130"/>
        <v>0.71774223915373458</v>
      </c>
      <c r="T108" s="201">
        <f t="shared" si="130"/>
        <v>0.71774223915373458</v>
      </c>
      <c r="U108" s="201">
        <f t="shared" si="130"/>
        <v>0.71774223915373458</v>
      </c>
      <c r="V108" s="201">
        <f t="shared" si="130"/>
        <v>0.71774223915373458</v>
      </c>
      <c r="W108" s="201">
        <f t="shared" si="130"/>
        <v>0.71774223915373458</v>
      </c>
      <c r="X108" s="201">
        <f t="shared" si="130"/>
        <v>0.71774223915373458</v>
      </c>
      <c r="Y108" s="201">
        <f t="shared" si="130"/>
        <v>0.71774223915373458</v>
      </c>
      <c r="Z108" s="201">
        <f t="shared" si="130"/>
        <v>0.71774223915373458</v>
      </c>
      <c r="AA108" s="201">
        <f t="shared" si="130"/>
        <v>0.71774223915373458</v>
      </c>
      <c r="AB108" s="201">
        <f t="shared" si="130"/>
        <v>0.71774223915373458</v>
      </c>
      <c r="AC108" s="201">
        <f t="shared" si="130"/>
        <v>0.71774223915373458</v>
      </c>
      <c r="AD108" s="201">
        <f t="shared" si="130"/>
        <v>0.71774223915373458</v>
      </c>
      <c r="AE108" s="201">
        <f t="shared" si="130"/>
        <v>0.71774223915373458</v>
      </c>
      <c r="AF108" s="201">
        <f t="shared" si="130"/>
        <v>0.71774223915373458</v>
      </c>
      <c r="AG108" s="201">
        <f t="shared" si="130"/>
        <v>0.71774223915373458</v>
      </c>
      <c r="AH108" s="201">
        <f t="shared" si="130"/>
        <v>0.71774223915373458</v>
      </c>
      <c r="AI108" s="201">
        <f>M35</f>
        <v>0.71774223915373458</v>
      </c>
    </row>
    <row r="109" spans="1:35" x14ac:dyDescent="0.2">
      <c r="A109" s="310"/>
      <c r="B109" t="s">
        <v>248</v>
      </c>
      <c r="C109" t="s">
        <v>1746</v>
      </c>
      <c r="D109" t="s">
        <v>478</v>
      </c>
      <c r="E109" s="168">
        <f t="shared" ref="E109:E112" si="131">D36</f>
        <v>6.9646559781392461E-2</v>
      </c>
      <c r="F109" s="168">
        <f t="shared" ref="F109:AH109" si="132">-($E109-$AI109)/30+E109</f>
        <v>6.9646559781392461E-2</v>
      </c>
      <c r="G109" s="168">
        <f t="shared" si="132"/>
        <v>6.9646559781392461E-2</v>
      </c>
      <c r="H109" s="168">
        <f t="shared" si="132"/>
        <v>6.9646559781392461E-2</v>
      </c>
      <c r="I109" s="168">
        <f t="shared" si="132"/>
        <v>6.9646559781392461E-2</v>
      </c>
      <c r="J109" s="168">
        <f t="shared" si="132"/>
        <v>6.9646559781392461E-2</v>
      </c>
      <c r="K109" s="168">
        <f t="shared" si="132"/>
        <v>6.9646559781392461E-2</v>
      </c>
      <c r="L109" s="168">
        <f t="shared" si="132"/>
        <v>6.9646559781392461E-2</v>
      </c>
      <c r="M109" s="168">
        <f t="shared" si="132"/>
        <v>6.9646559781392461E-2</v>
      </c>
      <c r="N109" s="168">
        <f t="shared" si="132"/>
        <v>6.9646559781392461E-2</v>
      </c>
      <c r="O109" s="168">
        <f t="shared" si="132"/>
        <v>6.9646559781392461E-2</v>
      </c>
      <c r="P109" s="168">
        <f t="shared" si="132"/>
        <v>6.9646559781392461E-2</v>
      </c>
      <c r="Q109" s="168">
        <f t="shared" si="132"/>
        <v>6.9646559781392461E-2</v>
      </c>
      <c r="R109" s="168">
        <f t="shared" si="132"/>
        <v>6.9646559781392461E-2</v>
      </c>
      <c r="S109" s="168">
        <f t="shared" si="132"/>
        <v>6.9646559781392461E-2</v>
      </c>
      <c r="T109" s="168">
        <f t="shared" si="132"/>
        <v>6.9646559781392461E-2</v>
      </c>
      <c r="U109" s="168">
        <f t="shared" si="132"/>
        <v>6.9646559781392461E-2</v>
      </c>
      <c r="V109" s="168">
        <f t="shared" si="132"/>
        <v>6.9646559781392461E-2</v>
      </c>
      <c r="W109" s="168">
        <f t="shared" si="132"/>
        <v>6.9646559781392461E-2</v>
      </c>
      <c r="X109" s="168">
        <f t="shared" si="132"/>
        <v>6.9646559781392461E-2</v>
      </c>
      <c r="Y109" s="168">
        <f t="shared" si="132"/>
        <v>6.9646559781392461E-2</v>
      </c>
      <c r="Z109" s="168">
        <f t="shared" si="132"/>
        <v>6.9646559781392461E-2</v>
      </c>
      <c r="AA109" s="168">
        <f t="shared" si="132"/>
        <v>6.9646559781392461E-2</v>
      </c>
      <c r="AB109" s="168">
        <f t="shared" si="132"/>
        <v>6.9646559781392461E-2</v>
      </c>
      <c r="AC109" s="168">
        <f t="shared" si="132"/>
        <v>6.9646559781392461E-2</v>
      </c>
      <c r="AD109" s="168">
        <f t="shared" si="132"/>
        <v>6.9646559781392461E-2</v>
      </c>
      <c r="AE109" s="168">
        <f t="shared" si="132"/>
        <v>6.9646559781392461E-2</v>
      </c>
      <c r="AF109" s="168">
        <f t="shared" si="132"/>
        <v>6.9646559781392461E-2</v>
      </c>
      <c r="AG109" s="168">
        <f t="shared" si="132"/>
        <v>6.9646559781392461E-2</v>
      </c>
      <c r="AH109" s="168">
        <f t="shared" si="132"/>
        <v>6.9646559781392461E-2</v>
      </c>
      <c r="AI109" s="168">
        <f t="shared" ref="AI109:AI112" si="133">M36</f>
        <v>6.9646559781392461E-2</v>
      </c>
    </row>
    <row r="110" spans="1:35" x14ac:dyDescent="0.2">
      <c r="A110" s="310"/>
      <c r="B110" t="s">
        <v>248</v>
      </c>
      <c r="C110" t="s">
        <v>1746</v>
      </c>
      <c r="D110" t="s">
        <v>480</v>
      </c>
      <c r="E110" s="168">
        <f t="shared" si="131"/>
        <v>0.16077426157043653</v>
      </c>
      <c r="F110" s="168">
        <f t="shared" ref="F110:AH110" si="134">-($E110-$AI110)/30+E110</f>
        <v>0.16077426157043653</v>
      </c>
      <c r="G110" s="168">
        <f t="shared" si="134"/>
        <v>0.16077426157043653</v>
      </c>
      <c r="H110" s="168">
        <f t="shared" si="134"/>
        <v>0.16077426157043653</v>
      </c>
      <c r="I110" s="168">
        <f t="shared" si="134"/>
        <v>0.16077426157043653</v>
      </c>
      <c r="J110" s="168">
        <f t="shared" si="134"/>
        <v>0.16077426157043653</v>
      </c>
      <c r="K110" s="168">
        <f t="shared" si="134"/>
        <v>0.16077426157043653</v>
      </c>
      <c r="L110" s="168">
        <f t="shared" si="134"/>
        <v>0.16077426157043653</v>
      </c>
      <c r="M110" s="168">
        <f t="shared" si="134"/>
        <v>0.16077426157043653</v>
      </c>
      <c r="N110" s="168">
        <f t="shared" si="134"/>
        <v>0.16077426157043653</v>
      </c>
      <c r="O110" s="168">
        <f t="shared" si="134"/>
        <v>0.16077426157043653</v>
      </c>
      <c r="P110" s="168">
        <f t="shared" si="134"/>
        <v>0.16077426157043653</v>
      </c>
      <c r="Q110" s="168">
        <f t="shared" si="134"/>
        <v>0.16077426157043653</v>
      </c>
      <c r="R110" s="168">
        <f t="shared" si="134"/>
        <v>0.16077426157043653</v>
      </c>
      <c r="S110" s="168">
        <f t="shared" si="134"/>
        <v>0.16077426157043653</v>
      </c>
      <c r="T110" s="168">
        <f t="shared" si="134"/>
        <v>0.16077426157043653</v>
      </c>
      <c r="U110" s="168">
        <f t="shared" si="134"/>
        <v>0.16077426157043653</v>
      </c>
      <c r="V110" s="168">
        <f t="shared" si="134"/>
        <v>0.16077426157043653</v>
      </c>
      <c r="W110" s="168">
        <f t="shared" si="134"/>
        <v>0.16077426157043653</v>
      </c>
      <c r="X110" s="168">
        <f t="shared" si="134"/>
        <v>0.16077426157043653</v>
      </c>
      <c r="Y110" s="168">
        <f t="shared" si="134"/>
        <v>0.16077426157043653</v>
      </c>
      <c r="Z110" s="168">
        <f t="shared" si="134"/>
        <v>0.16077426157043653</v>
      </c>
      <c r="AA110" s="168">
        <f t="shared" si="134"/>
        <v>0.16077426157043653</v>
      </c>
      <c r="AB110" s="168">
        <f t="shared" si="134"/>
        <v>0.16077426157043653</v>
      </c>
      <c r="AC110" s="168">
        <f t="shared" si="134"/>
        <v>0.16077426157043653</v>
      </c>
      <c r="AD110" s="168">
        <f t="shared" si="134"/>
        <v>0.16077426157043653</v>
      </c>
      <c r="AE110" s="168">
        <f t="shared" si="134"/>
        <v>0.16077426157043653</v>
      </c>
      <c r="AF110" s="168">
        <f t="shared" si="134"/>
        <v>0.16077426157043653</v>
      </c>
      <c r="AG110" s="168">
        <f t="shared" si="134"/>
        <v>0.16077426157043653</v>
      </c>
      <c r="AH110" s="168">
        <f t="shared" si="134"/>
        <v>0.16077426157043653</v>
      </c>
      <c r="AI110" s="168">
        <f t="shared" si="133"/>
        <v>0.16077426157043656</v>
      </c>
    </row>
    <row r="111" spans="1:35" x14ac:dyDescent="0.2">
      <c r="A111" s="310"/>
      <c r="B111" t="s">
        <v>248</v>
      </c>
      <c r="C111" t="s">
        <v>1746</v>
      </c>
      <c r="D111" t="s">
        <v>474</v>
      </c>
      <c r="E111" s="168">
        <f t="shared" si="131"/>
        <v>0</v>
      </c>
      <c r="F111" s="168">
        <f t="shared" ref="F111:AH111" si="135">-($E111-$AI111)/30+E111</f>
        <v>0</v>
      </c>
      <c r="G111" s="168">
        <f t="shared" si="135"/>
        <v>0</v>
      </c>
      <c r="H111" s="168">
        <f t="shared" si="135"/>
        <v>0</v>
      </c>
      <c r="I111" s="168">
        <f t="shared" si="135"/>
        <v>0</v>
      </c>
      <c r="J111" s="168">
        <f t="shared" si="135"/>
        <v>0</v>
      </c>
      <c r="K111" s="168">
        <f t="shared" si="135"/>
        <v>0</v>
      </c>
      <c r="L111" s="168">
        <f t="shared" si="135"/>
        <v>0</v>
      </c>
      <c r="M111" s="168">
        <f t="shared" si="135"/>
        <v>0</v>
      </c>
      <c r="N111" s="168">
        <f t="shared" si="135"/>
        <v>0</v>
      </c>
      <c r="O111" s="168">
        <f t="shared" si="135"/>
        <v>0</v>
      </c>
      <c r="P111" s="168">
        <f t="shared" si="135"/>
        <v>0</v>
      </c>
      <c r="Q111" s="168">
        <f t="shared" si="135"/>
        <v>0</v>
      </c>
      <c r="R111" s="168">
        <f t="shared" si="135"/>
        <v>0</v>
      </c>
      <c r="S111" s="168">
        <f t="shared" si="135"/>
        <v>0</v>
      </c>
      <c r="T111" s="168">
        <f t="shared" si="135"/>
        <v>0</v>
      </c>
      <c r="U111" s="168">
        <f t="shared" si="135"/>
        <v>0</v>
      </c>
      <c r="V111" s="168">
        <f t="shared" si="135"/>
        <v>0</v>
      </c>
      <c r="W111" s="168">
        <f t="shared" si="135"/>
        <v>0</v>
      </c>
      <c r="X111" s="168">
        <f t="shared" si="135"/>
        <v>0</v>
      </c>
      <c r="Y111" s="168">
        <f t="shared" si="135"/>
        <v>0</v>
      </c>
      <c r="Z111" s="168">
        <f t="shared" si="135"/>
        <v>0</v>
      </c>
      <c r="AA111" s="168">
        <f t="shared" si="135"/>
        <v>0</v>
      </c>
      <c r="AB111" s="168">
        <f t="shared" si="135"/>
        <v>0</v>
      </c>
      <c r="AC111" s="168">
        <f t="shared" si="135"/>
        <v>0</v>
      </c>
      <c r="AD111" s="168">
        <f t="shared" si="135"/>
        <v>0</v>
      </c>
      <c r="AE111" s="168">
        <f t="shared" si="135"/>
        <v>0</v>
      </c>
      <c r="AF111" s="168">
        <f t="shared" si="135"/>
        <v>0</v>
      </c>
      <c r="AG111" s="168">
        <f t="shared" si="135"/>
        <v>0</v>
      </c>
      <c r="AH111" s="168">
        <f t="shared" si="135"/>
        <v>0</v>
      </c>
      <c r="AI111" s="168">
        <f t="shared" si="133"/>
        <v>0</v>
      </c>
    </row>
    <row r="112" spans="1:35" s="68" customFormat="1" x14ac:dyDescent="0.2">
      <c r="A112" s="311"/>
      <c r="B112" s="68" t="s">
        <v>248</v>
      </c>
      <c r="C112" s="68" t="s">
        <v>1746</v>
      </c>
      <c r="D112" s="68" t="s">
        <v>248</v>
      </c>
      <c r="E112" s="421">
        <f t="shared" si="131"/>
        <v>5.1836939494436393E-2</v>
      </c>
      <c r="F112" s="421">
        <f t="shared" ref="F112:AH112" si="136">-($E112-$AI112)/30+E112</f>
        <v>5.1836939494436393E-2</v>
      </c>
      <c r="G112" s="421">
        <f t="shared" si="136"/>
        <v>5.1836939494436393E-2</v>
      </c>
      <c r="H112" s="421">
        <f t="shared" si="136"/>
        <v>5.1836939494436393E-2</v>
      </c>
      <c r="I112" s="421">
        <f t="shared" si="136"/>
        <v>5.1836939494436393E-2</v>
      </c>
      <c r="J112" s="421">
        <f t="shared" si="136"/>
        <v>5.1836939494436393E-2</v>
      </c>
      <c r="K112" s="421">
        <f t="shared" si="136"/>
        <v>5.1836939494436393E-2</v>
      </c>
      <c r="L112" s="421">
        <f t="shared" si="136"/>
        <v>5.1836939494436393E-2</v>
      </c>
      <c r="M112" s="421">
        <f t="shared" si="136"/>
        <v>5.1836939494436393E-2</v>
      </c>
      <c r="N112" s="421">
        <f t="shared" si="136"/>
        <v>5.1836939494436393E-2</v>
      </c>
      <c r="O112" s="421">
        <f t="shared" si="136"/>
        <v>5.1836939494436393E-2</v>
      </c>
      <c r="P112" s="421">
        <f t="shared" si="136"/>
        <v>5.1836939494436393E-2</v>
      </c>
      <c r="Q112" s="421">
        <f t="shared" si="136"/>
        <v>5.1836939494436393E-2</v>
      </c>
      <c r="R112" s="421">
        <f t="shared" si="136"/>
        <v>5.1836939494436393E-2</v>
      </c>
      <c r="S112" s="421">
        <f t="shared" si="136"/>
        <v>5.1836939494436393E-2</v>
      </c>
      <c r="T112" s="421">
        <f t="shared" si="136"/>
        <v>5.1836939494436393E-2</v>
      </c>
      <c r="U112" s="421">
        <f t="shared" si="136"/>
        <v>5.1836939494436393E-2</v>
      </c>
      <c r="V112" s="421">
        <f t="shared" si="136"/>
        <v>5.1836939494436393E-2</v>
      </c>
      <c r="W112" s="421">
        <f t="shared" si="136"/>
        <v>5.1836939494436393E-2</v>
      </c>
      <c r="X112" s="421">
        <f t="shared" si="136"/>
        <v>5.1836939494436393E-2</v>
      </c>
      <c r="Y112" s="421">
        <f t="shared" si="136"/>
        <v>5.1836939494436393E-2</v>
      </c>
      <c r="Z112" s="421">
        <f t="shared" si="136"/>
        <v>5.1836939494436393E-2</v>
      </c>
      <c r="AA112" s="421">
        <f t="shared" si="136"/>
        <v>5.1836939494436393E-2</v>
      </c>
      <c r="AB112" s="421">
        <f t="shared" si="136"/>
        <v>5.1836939494436393E-2</v>
      </c>
      <c r="AC112" s="421">
        <f t="shared" si="136"/>
        <v>5.1836939494436393E-2</v>
      </c>
      <c r="AD112" s="421">
        <f t="shared" si="136"/>
        <v>5.1836939494436393E-2</v>
      </c>
      <c r="AE112" s="421">
        <f t="shared" si="136"/>
        <v>5.1836939494436393E-2</v>
      </c>
      <c r="AF112" s="421">
        <f t="shared" si="136"/>
        <v>5.1836939494436393E-2</v>
      </c>
      <c r="AG112" s="421">
        <f t="shared" si="136"/>
        <v>5.1836939494436393E-2</v>
      </c>
      <c r="AH112" s="421">
        <f t="shared" si="136"/>
        <v>5.1836939494436393E-2</v>
      </c>
      <c r="AI112" s="421">
        <f t="shared" si="133"/>
        <v>5.1836939494436386E-2</v>
      </c>
    </row>
  </sheetData>
  <mergeCells count="10">
    <mergeCell ref="I3:I8"/>
    <mergeCell ref="I11:I15"/>
    <mergeCell ref="I19:I23"/>
    <mergeCell ref="I27:I31"/>
    <mergeCell ref="I35:I39"/>
    <mergeCell ref="S3:S8"/>
    <mergeCell ref="S11:S15"/>
    <mergeCell ref="S19:S23"/>
    <mergeCell ref="S27:S31"/>
    <mergeCell ref="S35:S39"/>
  </mergeCell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A2F74-9BD1-4979-A141-1A72102C28AB}">
  <sheetPr>
    <tabColor theme="4"/>
  </sheetPr>
  <dimension ref="A1:E41"/>
  <sheetViews>
    <sheetView topLeftCell="A15" zoomScale="130" zoomScaleNormal="130" workbookViewId="0">
      <selection activeCell="C18" sqref="C18"/>
    </sheetView>
  </sheetViews>
  <sheetFormatPr baseColWidth="10" defaultColWidth="8.83203125" defaultRowHeight="15" x14ac:dyDescent="0.2"/>
  <cols>
    <col min="1" max="1" width="15.1640625" customWidth="1"/>
  </cols>
  <sheetData>
    <row r="1" spans="1:3" s="81" customFormat="1" ht="16" thickBot="1" x14ac:dyDescent="0.25">
      <c r="A1" s="81" t="s">
        <v>1001</v>
      </c>
    </row>
    <row r="2" spans="1:3" x14ac:dyDescent="0.2">
      <c r="A2" s="54" t="s">
        <v>1002</v>
      </c>
    </row>
    <row r="3" spans="1:3" x14ac:dyDescent="0.2">
      <c r="A3" s="158" t="s">
        <v>1003</v>
      </c>
    </row>
    <row r="4" spans="1:3" x14ac:dyDescent="0.2">
      <c r="A4" s="177" t="s">
        <v>1757</v>
      </c>
    </row>
    <row r="5" spans="1:3" x14ac:dyDescent="0.2">
      <c r="A5" s="158"/>
    </row>
    <row r="6" spans="1:3" x14ac:dyDescent="0.2">
      <c r="A6" s="1">
        <v>2015</v>
      </c>
      <c r="B6" t="s">
        <v>831</v>
      </c>
      <c r="C6" t="s">
        <v>462</v>
      </c>
    </row>
    <row r="7" spans="1:3" x14ac:dyDescent="0.2">
      <c r="A7" t="s">
        <v>309</v>
      </c>
      <c r="B7" s="157">
        <v>141.17553691951099</v>
      </c>
      <c r="C7" s="2">
        <f t="shared" ref="C7:C14" si="0">B7/SUM($B$7:$B$14)</f>
        <v>0.46288166072261605</v>
      </c>
    </row>
    <row r="8" spans="1:3" x14ac:dyDescent="0.2">
      <c r="A8" t="s">
        <v>329</v>
      </c>
      <c r="B8" s="157">
        <v>42.802422799095297</v>
      </c>
      <c r="C8" s="2">
        <f t="shared" si="0"/>
        <v>0.14033916201425573</v>
      </c>
    </row>
    <row r="9" spans="1:3" x14ac:dyDescent="0.2">
      <c r="A9" t="s">
        <v>192</v>
      </c>
      <c r="B9" s="157">
        <v>38.069206075611099</v>
      </c>
      <c r="C9" s="2">
        <f t="shared" si="0"/>
        <v>0.12482004825465627</v>
      </c>
    </row>
    <row r="10" spans="1:3" x14ac:dyDescent="0.2">
      <c r="A10" t="s">
        <v>1758</v>
      </c>
      <c r="B10" s="157">
        <v>37.445211644326299</v>
      </c>
      <c r="C10" s="2">
        <f t="shared" si="0"/>
        <v>0.12277411604191429</v>
      </c>
    </row>
    <row r="11" spans="1:3" x14ac:dyDescent="0.2">
      <c r="A11" t="s">
        <v>1462</v>
      </c>
      <c r="B11" s="157">
        <v>16.860662279348499</v>
      </c>
      <c r="C11" s="2">
        <f t="shared" si="0"/>
        <v>5.52821793849285E-2</v>
      </c>
    </row>
    <row r="12" spans="1:3" x14ac:dyDescent="0.2">
      <c r="A12" t="s">
        <v>1759</v>
      </c>
      <c r="B12" s="157">
        <v>13.5945878411284</v>
      </c>
      <c r="C12" s="2">
        <f t="shared" si="0"/>
        <v>4.457348301305681E-2</v>
      </c>
    </row>
    <row r="13" spans="1:3" x14ac:dyDescent="0.2">
      <c r="A13" t="s">
        <v>369</v>
      </c>
      <c r="B13" s="157">
        <v>13.2647103069678</v>
      </c>
      <c r="C13" s="2">
        <f t="shared" si="0"/>
        <v>4.3491891512297036E-2</v>
      </c>
    </row>
    <row r="14" spans="1:3" x14ac:dyDescent="0.2">
      <c r="A14" t="s">
        <v>1760</v>
      </c>
      <c r="B14" s="157">
        <v>1.78038251770183</v>
      </c>
      <c r="C14" s="2">
        <f t="shared" si="0"/>
        <v>5.8374590562753565E-3</v>
      </c>
    </row>
    <row r="15" spans="1:3" x14ac:dyDescent="0.2">
      <c r="B15" s="26">
        <f>SUM(B7:B14)</f>
        <v>304.9927203836902</v>
      </c>
      <c r="C15" s="23">
        <f>SUM(C7:C14)</f>
        <v>1.0000000000000002</v>
      </c>
    </row>
    <row r="17" spans="1:4" x14ac:dyDescent="0.2">
      <c r="A17" s="1">
        <v>2015</v>
      </c>
      <c r="B17" t="s">
        <v>831</v>
      </c>
      <c r="C17" t="s">
        <v>462</v>
      </c>
    </row>
    <row r="18" spans="1:4" x14ac:dyDescent="0.2">
      <c r="A18" t="s">
        <v>309</v>
      </c>
      <c r="B18" s="26">
        <f>B7</f>
        <v>141.17553691951099</v>
      </c>
      <c r="C18" s="2">
        <f>B18/SUM($B$7:$B$14,$B$23)</f>
        <v>0.41645595445153194</v>
      </c>
    </row>
    <row r="19" spans="1:4" x14ac:dyDescent="0.2">
      <c r="A19" t="s">
        <v>310</v>
      </c>
      <c r="B19" s="26">
        <f>B13</f>
        <v>13.2647103069678</v>
      </c>
      <c r="C19" s="2">
        <f t="shared" ref="C19:C24" si="1">B19/SUM($B$7:$B$14,$B$23)</f>
        <v>3.9129779223441984E-2</v>
      </c>
    </row>
    <row r="20" spans="1:4" x14ac:dyDescent="0.2">
      <c r="A20" t="s">
        <v>311</v>
      </c>
      <c r="B20" s="26">
        <f>B11</f>
        <v>16.860662279348499</v>
      </c>
      <c r="C20" s="2">
        <f t="shared" si="1"/>
        <v>4.9737534954333813E-2</v>
      </c>
    </row>
    <row r="21" spans="1:4" x14ac:dyDescent="0.2">
      <c r="A21" t="s">
        <v>312</v>
      </c>
      <c r="B21" s="26">
        <f>B12</f>
        <v>13.5945878411284</v>
      </c>
      <c r="C21" s="2">
        <f t="shared" si="1"/>
        <v>4.0102890191097064E-2</v>
      </c>
    </row>
    <row r="22" spans="1:4" x14ac:dyDescent="0.2">
      <c r="A22" t="s">
        <v>746</v>
      </c>
      <c r="B22" s="26">
        <f>B10</f>
        <v>37.445211644326299</v>
      </c>
      <c r="C22" s="2">
        <f t="shared" si="1"/>
        <v>0.11046022345832027</v>
      </c>
    </row>
    <row r="23" spans="1:4" x14ac:dyDescent="0.2">
      <c r="A23" t="s">
        <v>320</v>
      </c>
      <c r="B23" s="51">
        <v>34</v>
      </c>
      <c r="C23" s="2">
        <f>B23/SUM($B$7:$B$14,$B$23)</f>
        <v>0.10029713901088191</v>
      </c>
      <c r="D23" s="54" t="s">
        <v>1761</v>
      </c>
    </row>
    <row r="24" spans="1:4" x14ac:dyDescent="0.2">
      <c r="A24" t="s">
        <v>248</v>
      </c>
      <c r="B24" s="26">
        <f>B9+B8+B14</f>
        <v>82.652011392408227</v>
      </c>
      <c r="C24" s="2">
        <f t="shared" si="1"/>
        <v>0.24381647871039305</v>
      </c>
    </row>
    <row r="25" spans="1:4" x14ac:dyDescent="0.2">
      <c r="A25" t="s">
        <v>364</v>
      </c>
      <c r="B25" s="26">
        <f>SUM(B18:B24)</f>
        <v>338.9927203836902</v>
      </c>
      <c r="C25" s="2">
        <f>SUM(C18:C24)</f>
        <v>1</v>
      </c>
    </row>
    <row r="26" spans="1:4" x14ac:dyDescent="0.2">
      <c r="B26" s="26"/>
      <c r="C26" s="23"/>
    </row>
    <row r="27" spans="1:4" x14ac:dyDescent="0.2">
      <c r="A27" s="1">
        <v>2015</v>
      </c>
      <c r="B27" t="s">
        <v>831</v>
      </c>
      <c r="C27" t="s">
        <v>462</v>
      </c>
    </row>
    <row r="28" spans="1:4" x14ac:dyDescent="0.2">
      <c r="A28" t="s">
        <v>1022</v>
      </c>
      <c r="B28" s="26">
        <f>B18+B22</f>
        <v>178.62074856383728</v>
      </c>
      <c r="C28" s="2">
        <f>C18+C22</f>
        <v>0.52691617790985223</v>
      </c>
    </row>
    <row r="29" spans="1:4" x14ac:dyDescent="0.2">
      <c r="A29" t="s">
        <v>310</v>
      </c>
      <c r="B29" s="26">
        <f>B19</f>
        <v>13.2647103069678</v>
      </c>
      <c r="C29" s="2">
        <f>C19</f>
        <v>3.9129779223441984E-2</v>
      </c>
    </row>
    <row r="30" spans="1:4" x14ac:dyDescent="0.2">
      <c r="A30" t="s">
        <v>311</v>
      </c>
      <c r="B30" s="26">
        <f>B20</f>
        <v>16.860662279348499</v>
      </c>
      <c r="C30" s="2">
        <f>C20</f>
        <v>4.9737534954333813E-2</v>
      </c>
    </row>
    <row r="31" spans="1:4" x14ac:dyDescent="0.2">
      <c r="A31" t="s">
        <v>320</v>
      </c>
      <c r="B31" s="26">
        <f>B23</f>
        <v>34</v>
      </c>
      <c r="C31" s="2">
        <f>C23</f>
        <v>0.10029713901088191</v>
      </c>
    </row>
    <row r="32" spans="1:4" x14ac:dyDescent="0.2">
      <c r="A32" t="s">
        <v>248</v>
      </c>
      <c r="B32" s="26">
        <f>B24+B21</f>
        <v>96.246599233536628</v>
      </c>
      <c r="C32" s="2">
        <f>C24+C21</f>
        <v>0.28391936890149011</v>
      </c>
    </row>
    <row r="33" spans="1:5" x14ac:dyDescent="0.2">
      <c r="A33" t="s">
        <v>364</v>
      </c>
      <c r="B33" s="26">
        <f>SUM(B28:B32)</f>
        <v>338.9927203836902</v>
      </c>
      <c r="C33" s="2">
        <f>SUM(C28:C32)</f>
        <v>1</v>
      </c>
    </row>
    <row r="34" spans="1:5" x14ac:dyDescent="0.2">
      <c r="B34" s="26"/>
      <c r="C34" s="2"/>
    </row>
    <row r="35" spans="1:5" x14ac:dyDescent="0.2">
      <c r="A35" s="1">
        <v>2020</v>
      </c>
      <c r="B35" t="s">
        <v>831</v>
      </c>
      <c r="C35" t="s">
        <v>462</v>
      </c>
    </row>
    <row r="36" spans="1:5" x14ac:dyDescent="0.2">
      <c r="A36" t="s">
        <v>1022</v>
      </c>
      <c r="B36" s="26">
        <f>B28*(1+$E$37)^5</f>
        <v>207.07040294211549</v>
      </c>
      <c r="C36" s="2">
        <f>B36/$B$41</f>
        <v>0.52691617790985212</v>
      </c>
      <c r="E36" t="s">
        <v>1762</v>
      </c>
    </row>
    <row r="37" spans="1:5" x14ac:dyDescent="0.2">
      <c r="A37" t="s">
        <v>310</v>
      </c>
      <c r="B37" s="26">
        <f t="shared" ref="B37:B40" si="2">B29*(1+$E$37)^5</f>
        <v>15.377434761967763</v>
      </c>
      <c r="C37" s="2">
        <f t="shared" ref="C37:C40" si="3">B37/$B$41</f>
        <v>3.9129779223441984E-2</v>
      </c>
      <c r="E37" s="55">
        <v>0.03</v>
      </c>
    </row>
    <row r="38" spans="1:5" x14ac:dyDescent="0.2">
      <c r="A38" t="s">
        <v>311</v>
      </c>
      <c r="B38" s="26">
        <f t="shared" si="2"/>
        <v>19.546128655976656</v>
      </c>
      <c r="C38" s="2">
        <f t="shared" si="3"/>
        <v>4.9737534954333806E-2</v>
      </c>
    </row>
    <row r="39" spans="1:5" x14ac:dyDescent="0.2">
      <c r="A39" t="s">
        <v>320</v>
      </c>
      <c r="B39" s="26">
        <f t="shared" si="2"/>
        <v>39.415318526199997</v>
      </c>
      <c r="C39" s="2">
        <f t="shared" si="3"/>
        <v>0.10029713901088191</v>
      </c>
    </row>
    <row r="40" spans="1:5" x14ac:dyDescent="0.2">
      <c r="A40" t="s">
        <v>248</v>
      </c>
      <c r="B40" s="26">
        <f t="shared" si="2"/>
        <v>111.57618723098125</v>
      </c>
      <c r="C40" s="2">
        <f t="shared" si="3"/>
        <v>0.28391936890149011</v>
      </c>
    </row>
    <row r="41" spans="1:5" x14ac:dyDescent="0.2">
      <c r="A41" t="s">
        <v>364</v>
      </c>
      <c r="B41" s="26">
        <f>SUM(B36:B40)</f>
        <v>392.98547211724116</v>
      </c>
      <c r="C41" s="2">
        <f>SUM(C36:C40)</f>
        <v>1</v>
      </c>
    </row>
  </sheetData>
  <hyperlinks>
    <hyperlink ref="A3" r:id="rId1" xr:uid="{41D67967-2C9E-4985-A90A-A2958C799988}"/>
  </hyperlinks>
  <pageMargins left="0.7" right="0.7" top="0.75" bottom="0.75" header="0.3" footer="0.3"/>
  <drawing r:id="rId2"/>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E92B0-FF37-42CD-ABA8-29FCBFB74983}">
  <sheetPr>
    <tabColor theme="9"/>
  </sheetPr>
  <dimension ref="B2:B19"/>
  <sheetViews>
    <sheetView workbookViewId="0">
      <selection activeCell="F16" sqref="F16"/>
    </sheetView>
  </sheetViews>
  <sheetFormatPr baseColWidth="10" defaultColWidth="8.83203125" defaultRowHeight="15" x14ac:dyDescent="0.2"/>
  <sheetData>
    <row r="2" spans="2:2" x14ac:dyDescent="0.2">
      <c r="B2" t="s">
        <v>1763</v>
      </c>
    </row>
    <row r="3" spans="2:2" x14ac:dyDescent="0.2">
      <c r="B3" t="s">
        <v>1764</v>
      </c>
    </row>
    <row r="4" spans="2:2" x14ac:dyDescent="0.2">
      <c r="B4" t="s">
        <v>1765</v>
      </c>
    </row>
    <row r="5" spans="2:2" x14ac:dyDescent="0.2">
      <c r="B5" t="s">
        <v>1766</v>
      </c>
    </row>
    <row r="6" spans="2:2" x14ac:dyDescent="0.2">
      <c r="B6" t="s">
        <v>1767</v>
      </c>
    </row>
    <row r="8" spans="2:2" x14ac:dyDescent="0.2">
      <c r="B8" t="s">
        <v>1768</v>
      </c>
    </row>
    <row r="9" spans="2:2" x14ac:dyDescent="0.2">
      <c r="B9" t="s">
        <v>1769</v>
      </c>
    </row>
    <row r="11" spans="2:2" x14ac:dyDescent="0.2">
      <c r="B11" t="s">
        <v>1770</v>
      </c>
    </row>
    <row r="12" spans="2:2" x14ac:dyDescent="0.2">
      <c r="B12" t="s">
        <v>1771</v>
      </c>
    </row>
    <row r="13" spans="2:2" x14ac:dyDescent="0.2">
      <c r="B13" t="s">
        <v>1772</v>
      </c>
    </row>
    <row r="15" spans="2:2" x14ac:dyDescent="0.2">
      <c r="B15" t="s">
        <v>1773</v>
      </c>
    </row>
    <row r="16" spans="2:2" x14ac:dyDescent="0.2">
      <c r="B16" t="s">
        <v>1774</v>
      </c>
    </row>
    <row r="18" spans="2:2" x14ac:dyDescent="0.2">
      <c r="B18" t="s">
        <v>1775</v>
      </c>
    </row>
    <row r="19" spans="2:2" x14ac:dyDescent="0.2">
      <c r="B19" t="s">
        <v>1776</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C74E56-4EF3-49A5-884E-2D16FFF574BD}">
  <sheetPr>
    <tabColor theme="9"/>
  </sheetPr>
  <dimension ref="A1:AH119"/>
  <sheetViews>
    <sheetView topLeftCell="D3" zoomScale="70" zoomScaleNormal="70" workbookViewId="0">
      <selection activeCell="K20" sqref="K20"/>
    </sheetView>
  </sheetViews>
  <sheetFormatPr baseColWidth="10" defaultColWidth="8.83203125" defaultRowHeight="15" x14ac:dyDescent="0.2"/>
  <cols>
    <col min="1" max="1" width="32.5" customWidth="1"/>
    <col min="2" max="2" width="33" customWidth="1"/>
    <col min="3" max="3" width="28.5" customWidth="1"/>
    <col min="4" max="4" width="19.83203125" customWidth="1"/>
    <col min="5" max="5" width="19.83203125" style="460" customWidth="1"/>
    <col min="6" max="6" width="19.83203125" customWidth="1"/>
    <col min="7" max="7" width="19" customWidth="1"/>
    <col min="8" max="8" width="25.5" bestFit="1" customWidth="1"/>
    <col min="9" max="10" width="25.5" customWidth="1"/>
    <col min="11" max="11" width="32.83203125" bestFit="1" customWidth="1"/>
    <col min="12" max="12" width="25.5" customWidth="1"/>
    <col min="13" max="13" width="10.83203125" customWidth="1"/>
    <col min="14" max="14" width="58.1640625" bestFit="1" customWidth="1"/>
    <col min="17" max="17" width="31.1640625" bestFit="1" customWidth="1"/>
    <col min="18" max="18" width="27.1640625" bestFit="1" customWidth="1"/>
    <col min="19" max="19" width="33.83203125" bestFit="1" customWidth="1"/>
    <col min="20" max="29" width="16.83203125" bestFit="1" customWidth="1"/>
    <col min="30" max="30" width="15.33203125" bestFit="1" customWidth="1"/>
    <col min="31" max="31" width="16.83203125" bestFit="1" customWidth="1"/>
    <col min="32" max="32" width="6.83203125" bestFit="1" customWidth="1"/>
    <col min="33" max="33" width="9.5" bestFit="1" customWidth="1"/>
    <col min="34" max="34" width="14.33203125" bestFit="1" customWidth="1"/>
  </cols>
  <sheetData>
    <row r="1" spans="1:19" x14ac:dyDescent="0.2">
      <c r="A1" s="1" t="s">
        <v>1777</v>
      </c>
      <c r="B1" s="280" t="b">
        <v>1</v>
      </c>
    </row>
    <row r="2" spans="1:19" x14ac:dyDescent="0.2">
      <c r="C2" t="s">
        <v>1060</v>
      </c>
      <c r="D2" s="43">
        <f>SUMIF(F:F,C2,H:H)</f>
        <v>102.16223893794904</v>
      </c>
    </row>
    <row r="3" spans="1:19" x14ac:dyDescent="0.2">
      <c r="D3" s="521">
        <f>'Yearly Demand - Methanol'!G10</f>
        <v>102.16223893794903</v>
      </c>
    </row>
    <row r="4" spans="1:19" x14ac:dyDescent="0.2">
      <c r="A4" s="456" t="s">
        <v>1778</v>
      </c>
      <c r="B4" s="456" t="s">
        <v>1779</v>
      </c>
      <c r="C4" s="456" t="s">
        <v>1780</v>
      </c>
      <c r="D4" s="456" t="s">
        <v>1781</v>
      </c>
      <c r="E4" s="456" t="s">
        <v>1782</v>
      </c>
      <c r="F4" s="456" t="s">
        <v>1783</v>
      </c>
      <c r="G4" s="456" t="s">
        <v>1784</v>
      </c>
      <c r="H4" s="456" t="s">
        <v>1785</v>
      </c>
      <c r="I4" s="456" t="s">
        <v>1786</v>
      </c>
      <c r="J4" s="456" t="s">
        <v>1787</v>
      </c>
      <c r="K4" s="456" t="s">
        <v>1788</v>
      </c>
      <c r="L4" s="456" t="s">
        <v>1789</v>
      </c>
      <c r="M4" s="456" t="s">
        <v>1790</v>
      </c>
      <c r="N4" s="456" t="s">
        <v>1791</v>
      </c>
    </row>
    <row r="5" spans="1:19" x14ac:dyDescent="0.2">
      <c r="A5" t="s">
        <v>6</v>
      </c>
      <c r="B5" s="457" t="s">
        <v>4</v>
      </c>
      <c r="C5" s="457"/>
      <c r="D5" s="457" t="s">
        <v>179</v>
      </c>
      <c r="E5" s="457"/>
      <c r="F5" s="457" t="s">
        <v>1792</v>
      </c>
      <c r="G5" s="205">
        <f>30.5145062488026%*0.4</f>
        <v>0.12205802499521042</v>
      </c>
      <c r="H5" s="458">
        <f>31.2019722359321*0.4</f>
        <v>12.480788894372841</v>
      </c>
      <c r="I5" s="459">
        <v>2</v>
      </c>
      <c r="J5" s="458">
        <f>H5</f>
        <v>12.480788894372841</v>
      </c>
      <c r="K5" s="458">
        <v>1.75093632958801</v>
      </c>
      <c r="L5" s="458">
        <f>J5*K5</f>
        <v>21.853066697075981</v>
      </c>
      <c r="M5" s="458" t="str">
        <f t="shared" ref="M5:M36" si="0">IF(AND(OR(B5="Other",C5="Other"),$B$1=TRUE),$S$9,_xlfn.XLOOKUP(D5,$Q$6:$Q$10,$S$6:$S$10,$S$8))</f>
        <v>#A9A9A9</v>
      </c>
      <c r="N5" t="str">
        <f>CONCATENATE(A5," [",IF(H5&lt;1,ROUND(H5,2),ROUND(H5,1)),"] ",IF($B$1=TRUE,IF((ISBLANK(C5)),B5,C5),B5)," ",M5)</f>
        <v>Methanol [12.5] Ethylene #A9A9A9</v>
      </c>
      <c r="Q5" t="s">
        <v>1793</v>
      </c>
    </row>
    <row r="6" spans="1:19" x14ac:dyDescent="0.2">
      <c r="A6" t="s">
        <v>6</v>
      </c>
      <c r="B6" s="457" t="s">
        <v>5</v>
      </c>
      <c r="C6" s="457"/>
      <c r="D6" s="457" t="s">
        <v>179</v>
      </c>
      <c r="E6" s="457"/>
      <c r="F6" s="457" t="s">
        <v>1792</v>
      </c>
      <c r="G6" s="205">
        <f>30.5145062488026%*0.6</f>
        <v>0.1830870374928156</v>
      </c>
      <c r="H6" s="458">
        <f>31.2019722359321*0.6</f>
        <v>18.721183341559261</v>
      </c>
      <c r="I6" s="459">
        <v>3</v>
      </c>
      <c r="J6" s="458">
        <f t="shared" ref="J6:J69" si="1">H6</f>
        <v>18.721183341559261</v>
      </c>
      <c r="K6" s="458" t="e">
        <v>#N/A</v>
      </c>
      <c r="L6" s="458" t="e">
        <f t="shared" ref="L6:L69" si="2">J6*K6</f>
        <v>#N/A</v>
      </c>
      <c r="M6" s="458" t="str">
        <f t="shared" si="0"/>
        <v>#A9A9A9</v>
      </c>
      <c r="N6" t="str">
        <f>CONCATENATE(A6," [",IF(H6&lt;1,ROUND(H6,2),ROUND(H6,1)),"] ",IF($B$1=TRUE,IF((ISBLANK(C6)),B6,C6),B6)," ",M6)</f>
        <v>Methanol [18.7] Propylene #A9A9A9</v>
      </c>
      <c r="Q6" t="s">
        <v>1055</v>
      </c>
      <c r="R6" t="s">
        <v>1236</v>
      </c>
      <c r="S6" s="458" t="s">
        <v>1794</v>
      </c>
    </row>
    <row r="7" spans="1:19" x14ac:dyDescent="0.2">
      <c r="A7" t="s">
        <v>6</v>
      </c>
      <c r="B7" s="457" t="s">
        <v>1034</v>
      </c>
      <c r="C7" s="457"/>
      <c r="D7" s="457"/>
      <c r="E7" s="457"/>
      <c r="F7" s="457" t="s">
        <v>1792</v>
      </c>
      <c r="G7" s="205">
        <v>0.23263118840911975</v>
      </c>
      <c r="H7" s="458">
        <v>23.787217209972287</v>
      </c>
      <c r="I7" s="459">
        <v>1</v>
      </c>
      <c r="J7" s="458">
        <f>H7</f>
        <v>23.787217209972287</v>
      </c>
      <c r="K7" s="458">
        <v>0.93714107365792754</v>
      </c>
      <c r="L7" s="458">
        <f t="shared" si="2"/>
        <v>22.291978275487761</v>
      </c>
      <c r="M7" s="458" t="str">
        <f t="shared" si="0"/>
        <v>#A9A9A9</v>
      </c>
      <c r="N7" t="str">
        <f t="shared" ref="N7:N36" si="3">CONCATENATE(A7," [",IF(H7&lt;1,ROUND(H7,2),ROUND(H7,1)),"] ",IF($B$1=TRUE,IF((ISBLANK(C7)),B7,C7),B7)," ",M7)</f>
        <v>Methanol [23.8] Formaldehyde #A9A9A9</v>
      </c>
      <c r="Q7" t="s">
        <v>740</v>
      </c>
      <c r="R7" t="s">
        <v>1795</v>
      </c>
      <c r="S7" t="s">
        <v>1796</v>
      </c>
    </row>
    <row r="8" spans="1:19" x14ac:dyDescent="0.2">
      <c r="A8" t="s">
        <v>6</v>
      </c>
      <c r="B8" s="457" t="s">
        <v>1797</v>
      </c>
      <c r="C8" s="457"/>
      <c r="D8" s="457"/>
      <c r="E8" s="457"/>
      <c r="F8" s="457" t="s">
        <v>1792</v>
      </c>
      <c r="G8" s="205">
        <v>0.1021547725875792</v>
      </c>
      <c r="H8" s="458">
        <v>10.445623311275693</v>
      </c>
      <c r="I8" s="459">
        <v>1</v>
      </c>
      <c r="J8" s="458">
        <f t="shared" si="1"/>
        <v>10.445623311275693</v>
      </c>
      <c r="K8" s="458" t="e">
        <v>#N/A</v>
      </c>
      <c r="L8" s="458" t="e">
        <f t="shared" si="2"/>
        <v>#N/A</v>
      </c>
      <c r="M8" s="458" t="str">
        <f t="shared" si="0"/>
        <v>#A9A9A9</v>
      </c>
      <c r="N8" t="str">
        <f t="shared" si="3"/>
        <v>Methanol [10.4] Methyl tert-Butyl Ether (MTBE) #A9A9A9</v>
      </c>
      <c r="Q8" t="s">
        <v>1798</v>
      </c>
      <c r="R8" t="s">
        <v>1799</v>
      </c>
      <c r="S8" s="458" t="s">
        <v>1800</v>
      </c>
    </row>
    <row r="9" spans="1:19" x14ac:dyDescent="0.2">
      <c r="A9" t="s">
        <v>6</v>
      </c>
      <c r="B9" s="457" t="s">
        <v>246</v>
      </c>
      <c r="C9" s="457"/>
      <c r="D9" s="457"/>
      <c r="E9" s="457"/>
      <c r="F9" s="457" t="s">
        <v>1792</v>
      </c>
      <c r="G9" s="205">
        <v>7.0342979835361516E-2</v>
      </c>
      <c r="H9" s="458">
        <v>7.192774760698633</v>
      </c>
      <c r="I9" s="459">
        <v>1</v>
      </c>
      <c r="J9" s="458">
        <f t="shared" si="1"/>
        <v>7.192774760698633</v>
      </c>
      <c r="K9" s="458">
        <v>1.8742821473158551</v>
      </c>
      <c r="L9" s="458">
        <f t="shared" si="2"/>
        <v>13.481289323641519</v>
      </c>
      <c r="M9" s="458" t="str">
        <f t="shared" si="0"/>
        <v>#A9A9A9</v>
      </c>
      <c r="N9" t="str">
        <f t="shared" si="3"/>
        <v>Methanol [7.2] Acetic Acid #A9A9A9</v>
      </c>
      <c r="Q9" t="s">
        <v>192</v>
      </c>
      <c r="R9" t="s">
        <v>1801</v>
      </c>
      <c r="S9" s="458" t="s">
        <v>1802</v>
      </c>
    </row>
    <row r="10" spans="1:19" x14ac:dyDescent="0.2">
      <c r="A10" t="s">
        <v>6</v>
      </c>
      <c r="B10" s="457" t="s">
        <v>1803</v>
      </c>
      <c r="C10" s="457"/>
      <c r="D10" s="457"/>
      <c r="E10" s="457"/>
      <c r="F10" s="457" t="s">
        <v>1792</v>
      </c>
      <c r="G10" s="205">
        <v>1.733781708100687E-2</v>
      </c>
      <c r="H10" s="458">
        <v>1.772842341876246</v>
      </c>
      <c r="I10" s="459">
        <v>1</v>
      </c>
      <c r="J10" s="458">
        <f t="shared" si="1"/>
        <v>1.772842341876246</v>
      </c>
      <c r="K10" s="458" t="e">
        <v>#N/A</v>
      </c>
      <c r="L10" s="458" t="e">
        <f t="shared" si="2"/>
        <v>#N/A</v>
      </c>
      <c r="M10" s="458" t="str">
        <f t="shared" si="0"/>
        <v>#A9A9A9</v>
      </c>
      <c r="N10" t="str">
        <f t="shared" si="3"/>
        <v>Methanol [1.8] Methyl Methacrylate (MMA) #A9A9A9</v>
      </c>
      <c r="Q10" t="s">
        <v>187</v>
      </c>
      <c r="R10" t="s">
        <v>1804</v>
      </c>
      <c r="S10" s="458" t="s">
        <v>1805</v>
      </c>
    </row>
    <row r="11" spans="1:19" x14ac:dyDescent="0.2">
      <c r="A11" t="s">
        <v>6</v>
      </c>
      <c r="B11" s="457" t="s">
        <v>1806</v>
      </c>
      <c r="C11" s="457"/>
      <c r="D11" s="457" t="s">
        <v>187</v>
      </c>
      <c r="E11" s="457" t="s">
        <v>187</v>
      </c>
      <c r="F11" s="457" t="s">
        <v>1060</v>
      </c>
      <c r="G11" s="205">
        <v>2.9805719753632672E-2</v>
      </c>
      <c r="H11" s="458">
        <v>3.0477217381202508</v>
      </c>
      <c r="I11" s="459">
        <v>1</v>
      </c>
      <c r="J11" s="458">
        <f t="shared" si="1"/>
        <v>3.0477217381202508</v>
      </c>
      <c r="K11" s="458" t="e">
        <v>#N/A</v>
      </c>
      <c r="L11" s="458" t="e">
        <f t="shared" si="2"/>
        <v>#N/A</v>
      </c>
      <c r="M11" s="458" t="str">
        <f t="shared" si="0"/>
        <v>#CC66FF</v>
      </c>
      <c r="N11" t="str">
        <f t="shared" si="3"/>
        <v>Methanol [3] Biodiesel #CC66FF</v>
      </c>
    </row>
    <row r="12" spans="1:19" x14ac:dyDescent="0.2">
      <c r="A12" t="s">
        <v>6</v>
      </c>
      <c r="B12" s="457" t="s">
        <v>1807</v>
      </c>
      <c r="C12" s="457"/>
      <c r="D12" s="457"/>
      <c r="E12" s="457"/>
      <c r="F12" s="457" t="s">
        <v>1792</v>
      </c>
      <c r="G12" s="205">
        <v>2.8522886298573059E-2</v>
      </c>
      <c r="H12" s="458">
        <v>2.9165482774660565</v>
      </c>
      <c r="I12" s="459">
        <v>1</v>
      </c>
      <c r="J12" s="458">
        <f t="shared" si="1"/>
        <v>2.9165482774660565</v>
      </c>
      <c r="K12" s="458" t="e">
        <v>#N/A</v>
      </c>
      <c r="L12" s="458" t="e">
        <f t="shared" si="2"/>
        <v>#N/A</v>
      </c>
      <c r="M12" s="458" t="str">
        <f t="shared" si="0"/>
        <v>#A9A9A9</v>
      </c>
      <c r="N12" t="str">
        <f t="shared" si="3"/>
        <v>Methanol [2.9] Dimethylether (DME) #A9A9A9</v>
      </c>
    </row>
    <row r="13" spans="1:19" x14ac:dyDescent="0.2">
      <c r="A13" t="s">
        <v>6</v>
      </c>
      <c r="B13" s="457" t="s">
        <v>1808</v>
      </c>
      <c r="C13" s="457"/>
      <c r="D13" s="457" t="s">
        <v>187</v>
      </c>
      <c r="E13" s="457" t="s">
        <v>187</v>
      </c>
      <c r="F13" s="457" t="s">
        <v>1060</v>
      </c>
      <c r="G13" s="205">
        <v>0.12836023848013775</v>
      </c>
      <c r="H13" s="458">
        <v>13.125208596196902</v>
      </c>
      <c r="I13" s="459">
        <v>1</v>
      </c>
      <c r="J13" s="458">
        <f t="shared" si="1"/>
        <v>13.125208596196902</v>
      </c>
      <c r="K13" s="458" t="e">
        <v>#N/A</v>
      </c>
      <c r="L13" s="458" t="e">
        <f t="shared" si="2"/>
        <v>#N/A</v>
      </c>
      <c r="M13" s="458" t="str">
        <f t="shared" si="0"/>
        <v>#CC66FF</v>
      </c>
      <c r="N13" t="str">
        <f t="shared" si="3"/>
        <v>Methanol [13.1] Gasoline Blending &amp; Combustion #CC66FF</v>
      </c>
    </row>
    <row r="14" spans="1:19" x14ac:dyDescent="0.2">
      <c r="A14" t="s">
        <v>6</v>
      </c>
      <c r="B14" s="457" t="s">
        <v>1809</v>
      </c>
      <c r="C14" s="457" t="s">
        <v>192</v>
      </c>
      <c r="D14" s="457" t="s">
        <v>187</v>
      </c>
      <c r="E14" s="457" t="s">
        <v>187</v>
      </c>
      <c r="F14" s="457" t="s">
        <v>1060</v>
      </c>
      <c r="G14" s="205">
        <v>1.2248167496215287E-4</v>
      </c>
      <c r="H14" s="458">
        <v>1.2524108338569352E-2</v>
      </c>
      <c r="I14" s="459">
        <v>1</v>
      </c>
      <c r="J14" s="458">
        <f t="shared" si="1"/>
        <v>1.2524108338569352E-2</v>
      </c>
      <c r="K14" s="458" t="e">
        <v>#N/A</v>
      </c>
      <c r="L14" s="458" t="e">
        <f t="shared" si="2"/>
        <v>#N/A</v>
      </c>
      <c r="M14" s="458" t="str">
        <f t="shared" si="0"/>
        <v>#964B00</v>
      </c>
      <c r="N14" t="str">
        <f t="shared" si="3"/>
        <v>Methanol [0.01] Other #964B00</v>
      </c>
      <c r="Q14" s="657" t="s">
        <v>1810</v>
      </c>
      <c r="R14" t="s">
        <v>1811</v>
      </c>
    </row>
    <row r="15" spans="1:19" x14ac:dyDescent="0.2">
      <c r="A15" t="s">
        <v>6</v>
      </c>
      <c r="B15" s="460" t="s">
        <v>192</v>
      </c>
      <c r="C15" s="460"/>
      <c r="D15" s="460"/>
      <c r="E15" s="460" t="s">
        <v>248</v>
      </c>
      <c r="F15" s="460" t="s">
        <v>1060</v>
      </c>
      <c r="G15" s="207">
        <v>3.7085809133041631E-2</v>
      </c>
      <c r="H15" s="458">
        <v>3.7921321009795088</v>
      </c>
      <c r="I15" s="459">
        <v>1</v>
      </c>
      <c r="J15" s="458">
        <f t="shared" si="1"/>
        <v>3.7921321009795088</v>
      </c>
      <c r="K15" s="458" t="e">
        <v>#N/A</v>
      </c>
      <c r="L15" s="458" t="e">
        <f t="shared" si="2"/>
        <v>#N/A</v>
      </c>
      <c r="M15" s="458" t="str">
        <f t="shared" si="0"/>
        <v>#964B00</v>
      </c>
      <c r="N15" t="str">
        <f t="shared" si="3"/>
        <v>Methanol [3.8] Other #964B00</v>
      </c>
      <c r="Q15" s="3" t="s">
        <v>187</v>
      </c>
      <c r="R15">
        <v>28.587862624213781</v>
      </c>
    </row>
    <row r="16" spans="1:19" x14ac:dyDescent="0.2">
      <c r="A16" s="457" t="s">
        <v>1797</v>
      </c>
      <c r="B16" t="s">
        <v>1812</v>
      </c>
      <c r="D16" s="457" t="s">
        <v>187</v>
      </c>
      <c r="E16" s="457" t="s">
        <v>187</v>
      </c>
      <c r="F16" s="457" t="s">
        <v>1060</v>
      </c>
      <c r="G16" s="6">
        <v>0.95</v>
      </c>
      <c r="H16" s="44">
        <v>9.9233421457119082</v>
      </c>
      <c r="I16" s="459">
        <v>1</v>
      </c>
      <c r="J16" s="458">
        <f t="shared" si="1"/>
        <v>9.9233421457119082</v>
      </c>
      <c r="K16" s="458" t="e">
        <v>#N/A</v>
      </c>
      <c r="L16" s="458" t="e">
        <f t="shared" si="2"/>
        <v>#N/A</v>
      </c>
      <c r="M16" s="458" t="str">
        <f t="shared" si="0"/>
        <v>#CC66FF</v>
      </c>
      <c r="N16" t="str">
        <f t="shared" si="3"/>
        <v>Methyl tert-Butyl Ether (MTBE) [9.9] Fuel blend #CC66FF</v>
      </c>
      <c r="O16" s="6"/>
      <c r="P16" s="44"/>
      <c r="Q16" s="3" t="s">
        <v>1055</v>
      </c>
      <c r="R16">
        <v>36.46485392651546</v>
      </c>
    </row>
    <row r="17" spans="1:19" x14ac:dyDescent="0.2">
      <c r="A17" s="457" t="s">
        <v>1797</v>
      </c>
      <c r="B17" t="s">
        <v>920</v>
      </c>
      <c r="C17" t="s">
        <v>192</v>
      </c>
      <c r="E17" s="460" t="s">
        <v>248</v>
      </c>
      <c r="F17" s="457" t="s">
        <v>1060</v>
      </c>
      <c r="G17" s="6">
        <v>0.05</v>
      </c>
      <c r="H17" s="44">
        <v>0.52228116556378501</v>
      </c>
      <c r="I17" s="459">
        <v>1</v>
      </c>
      <c r="J17" s="458">
        <f t="shared" si="1"/>
        <v>0.52228116556378501</v>
      </c>
      <c r="K17" s="458" t="e">
        <v>#N/A</v>
      </c>
      <c r="L17" s="458" t="e">
        <f t="shared" si="2"/>
        <v>#N/A</v>
      </c>
      <c r="M17" s="458" t="str">
        <f t="shared" si="0"/>
        <v>#964B00</v>
      </c>
      <c r="N17" t="str">
        <f t="shared" si="3"/>
        <v>Methyl tert-Butyl Ether (MTBE) [0.52] Other #964B00</v>
      </c>
      <c r="O17" s="6"/>
      <c r="P17" s="44"/>
      <c r="Q17" s="3" t="s">
        <v>740</v>
      </c>
      <c r="R17">
        <v>22.580763290736638</v>
      </c>
    </row>
    <row r="18" spans="1:19" x14ac:dyDescent="0.2">
      <c r="A18" s="457" t="s">
        <v>1807</v>
      </c>
      <c r="B18" t="s">
        <v>187</v>
      </c>
      <c r="D18" t="s">
        <v>187</v>
      </c>
      <c r="E18" t="s">
        <v>187</v>
      </c>
      <c r="F18" s="457" t="s">
        <v>1060</v>
      </c>
      <c r="G18" s="6">
        <v>0.85</v>
      </c>
      <c r="H18" s="44">
        <f>G18*$H$12</f>
        <v>2.4790660358461478</v>
      </c>
      <c r="I18" s="459">
        <v>1</v>
      </c>
      <c r="J18" s="458">
        <f t="shared" si="1"/>
        <v>2.4790660358461478</v>
      </c>
      <c r="K18" s="458" t="e">
        <v>#N/A</v>
      </c>
      <c r="L18" s="458" t="e">
        <f t="shared" si="2"/>
        <v>#N/A</v>
      </c>
      <c r="M18" s="458" t="str">
        <f t="shared" si="0"/>
        <v>#CC66FF</v>
      </c>
      <c r="N18" t="str">
        <f t="shared" si="3"/>
        <v>Dimethylether (DME) [2.5] Fuel #CC66FF</v>
      </c>
      <c r="Q18" s="3" t="s">
        <v>1813</v>
      </c>
      <c r="R18">
        <v>118.96135776205246</v>
      </c>
    </row>
    <row r="19" spans="1:19" x14ac:dyDescent="0.2">
      <c r="A19" s="457" t="s">
        <v>1807</v>
      </c>
      <c r="B19" t="s">
        <v>192</v>
      </c>
      <c r="E19" s="460" t="s">
        <v>248</v>
      </c>
      <c r="F19" s="457" t="s">
        <v>1060</v>
      </c>
      <c r="G19" s="6">
        <v>0.15</v>
      </c>
      <c r="H19" s="44">
        <f>G19*$H$12</f>
        <v>0.43748224161990845</v>
      </c>
      <c r="I19" s="459">
        <v>1</v>
      </c>
      <c r="J19" s="458">
        <f t="shared" si="1"/>
        <v>0.43748224161990845</v>
      </c>
      <c r="K19" s="458" t="e">
        <v>#N/A</v>
      </c>
      <c r="L19" s="458" t="e">
        <f t="shared" si="2"/>
        <v>#N/A</v>
      </c>
      <c r="M19" s="458" t="str">
        <f t="shared" si="0"/>
        <v>#964B00</v>
      </c>
      <c r="N19" t="str">
        <f t="shared" si="3"/>
        <v>Dimethylether (DME) [0.44] Other #964B00</v>
      </c>
      <c r="Q19" s="3" t="s">
        <v>1814</v>
      </c>
      <c r="R19">
        <v>206.59483760351833</v>
      </c>
    </row>
    <row r="20" spans="1:19" ht="16" x14ac:dyDescent="0.2">
      <c r="A20" t="s">
        <v>1034</v>
      </c>
      <c r="B20" s="134" t="s">
        <v>1815</v>
      </c>
      <c r="C20" s="134"/>
      <c r="D20" t="s">
        <v>740</v>
      </c>
      <c r="E20" t="s">
        <v>740</v>
      </c>
      <c r="F20" s="457" t="s">
        <v>1060</v>
      </c>
      <c r="G20" s="6">
        <v>0.38</v>
      </c>
      <c r="H20" s="44">
        <v>9.0391425397894682</v>
      </c>
      <c r="I20" s="459">
        <v>1</v>
      </c>
      <c r="J20" s="458">
        <f t="shared" si="1"/>
        <v>9.0391425397894682</v>
      </c>
      <c r="K20" s="458" t="e">
        <v>#N/A</v>
      </c>
      <c r="L20" s="458" t="e">
        <f t="shared" si="2"/>
        <v>#N/A</v>
      </c>
      <c r="M20" s="458" t="str">
        <f t="shared" si="0"/>
        <v>#FFFF00</v>
      </c>
      <c r="N20" t="str">
        <f t="shared" si="3"/>
        <v>Formaldehyde [9] Carbamide-methanal resins (UF) #FFFF00</v>
      </c>
    </row>
    <row r="21" spans="1:19" x14ac:dyDescent="0.2">
      <c r="A21" t="s">
        <v>1034</v>
      </c>
      <c r="B21" t="s">
        <v>1816</v>
      </c>
      <c r="D21" t="s">
        <v>740</v>
      </c>
      <c r="E21" t="s">
        <v>740</v>
      </c>
      <c r="F21" s="457" t="s">
        <v>1060</v>
      </c>
      <c r="G21" s="6">
        <v>0.16</v>
      </c>
      <c r="H21" s="44">
        <v>3.8059547535955658</v>
      </c>
      <c r="I21" s="459">
        <v>1</v>
      </c>
      <c r="J21" s="458">
        <f t="shared" si="1"/>
        <v>3.8059547535955658</v>
      </c>
      <c r="K21" s="458" t="e">
        <v>#N/A</v>
      </c>
      <c r="L21" s="458" t="e">
        <f t="shared" si="2"/>
        <v>#N/A</v>
      </c>
      <c r="M21" s="458" t="str">
        <f t="shared" si="0"/>
        <v>#FFFF00</v>
      </c>
      <c r="N21" t="str">
        <f t="shared" si="3"/>
        <v>Formaldehyde [3.8] Phenolic Resins (PF) #FFFF00</v>
      </c>
      <c r="P21" t="s">
        <v>1817</v>
      </c>
      <c r="Q21" s="3" t="s">
        <v>187</v>
      </c>
      <c r="R21">
        <f>GETPIVOTDATA("Amount (Mt Methanol)",$Q$14,"Classification","Fuel")</f>
        <v>28.587862624213781</v>
      </c>
      <c r="S21" s="2">
        <f>R21/$R$25</f>
        <v>0.27471012342412782</v>
      </c>
    </row>
    <row r="22" spans="1:19" x14ac:dyDescent="0.2">
      <c r="A22" t="s">
        <v>1034</v>
      </c>
      <c r="B22" t="s">
        <v>1818</v>
      </c>
      <c r="D22" t="s">
        <v>740</v>
      </c>
      <c r="E22" t="s">
        <v>740</v>
      </c>
      <c r="F22" s="457" t="s">
        <v>1060</v>
      </c>
      <c r="G22" s="6">
        <v>0.21</v>
      </c>
      <c r="H22" s="44">
        <v>4.9953156140941797</v>
      </c>
      <c r="I22" s="459">
        <v>1</v>
      </c>
      <c r="J22" s="458">
        <f t="shared" si="1"/>
        <v>4.9953156140941797</v>
      </c>
      <c r="K22" s="458" t="e">
        <v>#N/A</v>
      </c>
      <c r="L22" s="458" t="e">
        <f t="shared" si="2"/>
        <v>#N/A</v>
      </c>
      <c r="M22" s="458" t="str">
        <f t="shared" si="0"/>
        <v>#FFFF00</v>
      </c>
      <c r="N22" t="str">
        <f t="shared" si="3"/>
        <v>Formaldehyde [5] Melamine Resins #FFFF00</v>
      </c>
      <c r="Q22" s="3" t="s">
        <v>1819</v>
      </c>
      <c r="R22" s="44">
        <f>GETPIVOTDATA("Amount (Mt Methanol)",$Q$14,"Classification","Major polymers")-H27</f>
        <v>28.851572700948026</v>
      </c>
      <c r="S22" s="2">
        <f>R22/$R$25</f>
        <v>0.27724419981452192</v>
      </c>
    </row>
    <row r="23" spans="1:19" x14ac:dyDescent="0.2">
      <c r="A23" t="s">
        <v>1034</v>
      </c>
      <c r="B23" t="s">
        <v>1820</v>
      </c>
      <c r="D23" t="s">
        <v>740</v>
      </c>
      <c r="E23" t="s">
        <v>740</v>
      </c>
      <c r="F23" s="457" t="s">
        <v>1060</v>
      </c>
      <c r="G23" s="6">
        <v>0.08</v>
      </c>
      <c r="H23" s="44">
        <v>1.9029773767977829</v>
      </c>
      <c r="I23" s="459">
        <v>1</v>
      </c>
      <c r="J23" s="458">
        <f t="shared" si="1"/>
        <v>1.9029773767977829</v>
      </c>
      <c r="K23" s="458" t="e">
        <v>#N/A</v>
      </c>
      <c r="L23" s="458" t="e">
        <f t="shared" si="2"/>
        <v>#N/A</v>
      </c>
      <c r="M23" s="458" t="str">
        <f t="shared" si="0"/>
        <v>#FFFF00</v>
      </c>
      <c r="N23" t="str">
        <f t="shared" si="3"/>
        <v>Formaldehyde [1.9] Polyacetal resins (polyoxymethylene) #FFFF00</v>
      </c>
      <c r="Q23" s="3" t="s">
        <v>1821</v>
      </c>
      <c r="R23">
        <f>GETPIVOTDATA("Amount (Mt Methanol)",$Q$14,"Classification","Minor polymers")</f>
        <v>22.580763290736638</v>
      </c>
      <c r="S23" s="2">
        <f>R23/$R$25</f>
        <v>0.21698594092708512</v>
      </c>
    </row>
    <row r="24" spans="1:19" x14ac:dyDescent="0.2">
      <c r="A24" t="s">
        <v>1034</v>
      </c>
      <c r="B24" t="s">
        <v>1822</v>
      </c>
      <c r="E24"/>
      <c r="F24" s="457" t="s">
        <v>1792</v>
      </c>
      <c r="G24" s="6">
        <v>0.05</v>
      </c>
      <c r="H24" s="44">
        <v>1.1893608604986143</v>
      </c>
      <c r="I24" s="459">
        <v>1</v>
      </c>
      <c r="J24" s="458">
        <f t="shared" si="1"/>
        <v>1.1893608604986143</v>
      </c>
      <c r="K24" s="458" t="e">
        <v>#N/A</v>
      </c>
      <c r="L24" s="458" t="e">
        <f t="shared" si="2"/>
        <v>#N/A</v>
      </c>
      <c r="M24" s="458" t="str">
        <f t="shared" si="0"/>
        <v>#A9A9A9</v>
      </c>
      <c r="N24" t="str">
        <f t="shared" si="3"/>
        <v>Formaldehyde [1.2] Methylene diphenyl diisocyanate #A9A9A9</v>
      </c>
      <c r="Q24" s="3" t="s">
        <v>192</v>
      </c>
      <c r="R24" s="44">
        <v>24.045360628442481</v>
      </c>
      <c r="S24" s="2">
        <f>R24/$R$25</f>
        <v>0.23105973583426512</v>
      </c>
    </row>
    <row r="25" spans="1:19" x14ac:dyDescent="0.2">
      <c r="A25" t="s">
        <v>1034</v>
      </c>
      <c r="B25" t="s">
        <v>1823</v>
      </c>
      <c r="E25"/>
      <c r="F25" s="457" t="s">
        <v>1792</v>
      </c>
      <c r="G25" s="6">
        <v>0.05</v>
      </c>
      <c r="H25" s="44">
        <v>1.1893608604986143</v>
      </c>
      <c r="I25" s="459">
        <v>1</v>
      </c>
      <c r="J25" s="458">
        <f t="shared" si="1"/>
        <v>1.1893608604986143</v>
      </c>
      <c r="K25" s="458" t="e">
        <v>#N/A</v>
      </c>
      <c r="L25" s="458" t="e">
        <f t="shared" si="2"/>
        <v>#N/A</v>
      </c>
      <c r="M25" s="458" t="str">
        <f t="shared" si="0"/>
        <v>#A9A9A9</v>
      </c>
      <c r="N25" t="str">
        <f t="shared" si="3"/>
        <v>Formaldehyde [1.2] 1,4-butanediol #A9A9A9</v>
      </c>
      <c r="Q25" s="3" t="s">
        <v>67</v>
      </c>
      <c r="R25">
        <f>SUM(R21:R24)</f>
        <v>104.06555924434093</v>
      </c>
    </row>
    <row r="26" spans="1:19" x14ac:dyDescent="0.2">
      <c r="A26" t="s">
        <v>1034</v>
      </c>
      <c r="B26" s="461" t="s">
        <v>192</v>
      </c>
      <c r="C26" s="461"/>
      <c r="D26" s="461"/>
      <c r="E26" s="460" t="s">
        <v>248</v>
      </c>
      <c r="F26" s="461" t="s">
        <v>1060</v>
      </c>
      <c r="G26" s="258">
        <v>7.0000000000000007E-2</v>
      </c>
      <c r="H26" s="44">
        <v>1.6651052046980603</v>
      </c>
      <c r="I26" s="459">
        <v>1</v>
      </c>
      <c r="J26" s="458">
        <f t="shared" si="1"/>
        <v>1.6651052046980603</v>
      </c>
      <c r="K26" s="458" t="e">
        <v>#N/A</v>
      </c>
      <c r="L26" s="458" t="e">
        <f t="shared" si="2"/>
        <v>#N/A</v>
      </c>
      <c r="M26" s="458" t="str">
        <f t="shared" si="0"/>
        <v>#964B00</v>
      </c>
      <c r="N26" t="str">
        <f t="shared" si="3"/>
        <v>Formaldehyde [1.7] Other #964B00</v>
      </c>
    </row>
    <row r="27" spans="1:19" x14ac:dyDescent="0.2">
      <c r="A27" t="s">
        <v>4</v>
      </c>
      <c r="B27" t="s">
        <v>1824</v>
      </c>
      <c r="D27" t="s">
        <v>1055</v>
      </c>
      <c r="E27"/>
      <c r="F27" t="s">
        <v>1792</v>
      </c>
      <c r="G27" s="127">
        <v>0.61</v>
      </c>
      <c r="H27" s="462">
        <f>G27*$H$5</f>
        <v>7.6132812255674329</v>
      </c>
      <c r="I27" s="459">
        <v>1</v>
      </c>
      <c r="J27" s="458">
        <f t="shared" si="1"/>
        <v>7.6132812255674329</v>
      </c>
      <c r="K27" s="458" t="e">
        <v>#N/A</v>
      </c>
      <c r="L27" s="458" t="e">
        <f t="shared" si="2"/>
        <v>#N/A</v>
      </c>
      <c r="M27" s="458" t="str">
        <f t="shared" si="0"/>
        <v>#0000FF</v>
      </c>
      <c r="N27" t="str">
        <f t="shared" si="3"/>
        <v>Ethylene [7.6] Polyethylene (PE) #0000FF</v>
      </c>
    </row>
    <row r="28" spans="1:19" x14ac:dyDescent="0.2">
      <c r="A28" t="s">
        <v>4</v>
      </c>
      <c r="B28" t="s">
        <v>260</v>
      </c>
      <c r="E28"/>
      <c r="F28" t="s">
        <v>1792</v>
      </c>
      <c r="G28" s="127">
        <v>0.14000000000000001</v>
      </c>
      <c r="H28" s="462">
        <f t="shared" ref="H28:H31" si="4">G28*$H$5</f>
        <v>1.7473104452121979</v>
      </c>
      <c r="I28" s="459">
        <v>1</v>
      </c>
      <c r="J28" s="458">
        <f t="shared" si="1"/>
        <v>1.7473104452121979</v>
      </c>
      <c r="K28" s="458">
        <v>1.572192513368984</v>
      </c>
      <c r="L28" s="458">
        <f t="shared" si="2"/>
        <v>2.747108400494044</v>
      </c>
      <c r="M28" s="458" t="str">
        <f t="shared" si="0"/>
        <v>#A9A9A9</v>
      </c>
      <c r="N28" t="str">
        <f t="shared" si="3"/>
        <v>Ethylene [1.7] Ethylene Oxide #A9A9A9</v>
      </c>
    </row>
    <row r="29" spans="1:19" x14ac:dyDescent="0.2">
      <c r="A29" t="s">
        <v>4</v>
      </c>
      <c r="B29" t="s">
        <v>627</v>
      </c>
      <c r="E29"/>
      <c r="F29" t="s">
        <v>1792</v>
      </c>
      <c r="G29" s="127">
        <v>0.12</v>
      </c>
      <c r="H29" s="462">
        <f t="shared" si="4"/>
        <v>1.4976946673247409</v>
      </c>
      <c r="I29" s="459">
        <v>1</v>
      </c>
      <c r="J29" s="458">
        <f t="shared" si="1"/>
        <v>1.4976946673247409</v>
      </c>
      <c r="K29" s="458" t="e">
        <v>#N/A</v>
      </c>
      <c r="L29" s="458" t="e">
        <f t="shared" si="2"/>
        <v>#N/A</v>
      </c>
      <c r="M29" s="458" t="str">
        <f t="shared" si="0"/>
        <v>#A9A9A9</v>
      </c>
      <c r="N29" t="str">
        <f t="shared" si="3"/>
        <v>Ethylene [1.5] Ethylene Dichloride #A9A9A9</v>
      </c>
    </row>
    <row r="30" spans="1:19" x14ac:dyDescent="0.2">
      <c r="A30" t="s">
        <v>4</v>
      </c>
      <c r="B30" t="s">
        <v>658</v>
      </c>
      <c r="E30"/>
      <c r="F30" t="s">
        <v>1792</v>
      </c>
      <c r="G30" s="127">
        <v>0.06</v>
      </c>
      <c r="H30" s="462">
        <f t="shared" si="4"/>
        <v>0.74884733366237044</v>
      </c>
      <c r="I30" s="459">
        <v>1</v>
      </c>
      <c r="J30" s="458">
        <f t="shared" si="1"/>
        <v>0.74884733366237044</v>
      </c>
      <c r="K30" s="458" t="e">
        <v>#N/A</v>
      </c>
      <c r="L30" s="458" t="e">
        <f t="shared" si="2"/>
        <v>#N/A</v>
      </c>
      <c r="M30" s="458" t="str">
        <f t="shared" si="0"/>
        <v>#A9A9A9</v>
      </c>
      <c r="N30" t="str">
        <f t="shared" si="3"/>
        <v>Ethylene [0.75] Ethylbenzene #A9A9A9</v>
      </c>
    </row>
    <row r="31" spans="1:19" x14ac:dyDescent="0.2">
      <c r="A31" t="s">
        <v>4</v>
      </c>
      <c r="B31" t="s">
        <v>192</v>
      </c>
      <c r="E31" s="460" t="s">
        <v>179</v>
      </c>
      <c r="F31" t="s">
        <v>1060</v>
      </c>
      <c r="G31" s="127">
        <f>1-G29-G28-G27-G30</f>
        <v>7.0000000000000007E-2</v>
      </c>
      <c r="H31" s="462">
        <f t="shared" si="4"/>
        <v>0.87365522260609896</v>
      </c>
      <c r="I31" s="459">
        <v>1</v>
      </c>
      <c r="J31" s="458">
        <f t="shared" si="1"/>
        <v>0.87365522260609896</v>
      </c>
      <c r="K31" s="458" t="e">
        <v>#N/A</v>
      </c>
      <c r="L31" s="458" t="e">
        <f t="shared" si="2"/>
        <v>#N/A</v>
      </c>
      <c r="M31" s="458" t="str">
        <f t="shared" si="0"/>
        <v>#964B00</v>
      </c>
      <c r="N31" t="str">
        <f t="shared" si="3"/>
        <v>Ethylene [0.87] Other #964B00</v>
      </c>
      <c r="Q31" s="657" t="s">
        <v>1810</v>
      </c>
      <c r="R31" t="s">
        <v>1811</v>
      </c>
    </row>
    <row r="32" spans="1:19" x14ac:dyDescent="0.2">
      <c r="A32" t="s">
        <v>1824</v>
      </c>
      <c r="B32" s="461" t="s">
        <v>1825</v>
      </c>
      <c r="C32" s="461"/>
      <c r="D32" t="s">
        <v>1055</v>
      </c>
      <c r="E32" s="460" t="s">
        <v>179</v>
      </c>
      <c r="F32" t="s">
        <v>1060</v>
      </c>
      <c r="G32" s="463">
        <v>0.44903581267217635</v>
      </c>
      <c r="H32" s="462">
        <f>G32*$H$27</f>
        <v>3.4186359222244951</v>
      </c>
      <c r="I32" s="459">
        <v>1</v>
      </c>
      <c r="J32" s="458">
        <f t="shared" si="1"/>
        <v>3.4186359222244951</v>
      </c>
      <c r="K32" s="458" t="e">
        <v>#N/A</v>
      </c>
      <c r="L32" s="458" t="e">
        <f t="shared" si="2"/>
        <v>#N/A</v>
      </c>
      <c r="M32" s="458" t="str">
        <f t="shared" si="0"/>
        <v>#0000FF</v>
      </c>
      <c r="N32" t="str">
        <f t="shared" si="3"/>
        <v>Polyethylene (PE) [3.4] High-density Polyethylene (HDPE) #0000FF</v>
      </c>
      <c r="Q32" s="3" t="s">
        <v>4</v>
      </c>
      <c r="R32">
        <v>15.60098611796605</v>
      </c>
    </row>
    <row r="33" spans="1:18" x14ac:dyDescent="0.2">
      <c r="A33" t="s">
        <v>1824</v>
      </c>
      <c r="B33" s="461" t="s">
        <v>1826</v>
      </c>
      <c r="C33" s="461"/>
      <c r="D33" t="s">
        <v>1055</v>
      </c>
      <c r="E33" s="460" t="s">
        <v>179</v>
      </c>
      <c r="F33" t="s">
        <v>1060</v>
      </c>
      <c r="G33" s="463">
        <v>0.55096418732782371</v>
      </c>
      <c r="H33" s="462">
        <f>G33*$H$27</f>
        <v>4.1946453033429387</v>
      </c>
      <c r="I33" s="459">
        <v>1</v>
      </c>
      <c r="J33" s="458">
        <f t="shared" si="1"/>
        <v>4.1946453033429387</v>
      </c>
      <c r="K33" s="458" t="e">
        <v>#N/A</v>
      </c>
      <c r="L33" s="458" t="e">
        <f t="shared" si="2"/>
        <v>#N/A</v>
      </c>
      <c r="M33" s="458" t="str">
        <f t="shared" si="0"/>
        <v>#0000FF</v>
      </c>
      <c r="N33" t="str">
        <f t="shared" si="3"/>
        <v>Polyethylene (PE) [4.2] Low-density Polyethylene (LDPE) #0000FF</v>
      </c>
      <c r="Q33" s="3" t="s">
        <v>1034</v>
      </c>
      <c r="R33">
        <v>23.787217209972287</v>
      </c>
    </row>
    <row r="34" spans="1:18" x14ac:dyDescent="0.2">
      <c r="A34" t="s">
        <v>260</v>
      </c>
      <c r="B34" t="s">
        <v>667</v>
      </c>
      <c r="E34"/>
      <c r="F34" t="s">
        <v>1792</v>
      </c>
      <c r="G34" s="463">
        <v>0.67</v>
      </c>
      <c r="H34" s="462">
        <f>G34*$H$28</f>
        <v>1.1706979982921726</v>
      </c>
      <c r="I34" s="459">
        <v>1</v>
      </c>
      <c r="J34" s="458">
        <f t="shared" si="1"/>
        <v>1.1706979982921726</v>
      </c>
      <c r="K34" s="458">
        <v>1.407482993197279</v>
      </c>
      <c r="L34" s="458">
        <f t="shared" si="2"/>
        <v>1.64773752276633</v>
      </c>
      <c r="M34" s="458" t="str">
        <f t="shared" si="0"/>
        <v>#A9A9A9</v>
      </c>
      <c r="N34" t="str">
        <f t="shared" si="3"/>
        <v>Ethylene Oxide [1.2] Ethylene glycol #A9A9A9</v>
      </c>
      <c r="Q34" s="3" t="s">
        <v>1797</v>
      </c>
      <c r="R34">
        <v>10.445623311275693</v>
      </c>
    </row>
    <row r="35" spans="1:18" x14ac:dyDescent="0.2">
      <c r="A35" t="s">
        <v>260</v>
      </c>
      <c r="B35" t="s">
        <v>669</v>
      </c>
      <c r="C35" s="461" t="s">
        <v>192</v>
      </c>
      <c r="E35" s="460" t="s">
        <v>179</v>
      </c>
      <c r="F35" t="s">
        <v>1060</v>
      </c>
      <c r="G35" s="463">
        <v>0.13</v>
      </c>
      <c r="H35" s="462">
        <f t="shared" ref="H35:H40" si="5">G35*$H$28</f>
        <v>0.22715035787758572</v>
      </c>
      <c r="I35" s="459">
        <v>1</v>
      </c>
      <c r="J35" s="458">
        <f t="shared" si="1"/>
        <v>0.22715035787758572</v>
      </c>
      <c r="K35" s="458" t="e">
        <v>#N/A</v>
      </c>
      <c r="L35" s="458" t="e">
        <f t="shared" si="2"/>
        <v>#N/A</v>
      </c>
      <c r="M35" s="458" t="str">
        <f t="shared" si="0"/>
        <v>#964B00</v>
      </c>
      <c r="N35" t="str">
        <f t="shared" si="3"/>
        <v>Ethylene Oxide [0.23] Other #964B00</v>
      </c>
      <c r="Q35" s="3" t="s">
        <v>5</v>
      </c>
      <c r="R35">
        <v>15.60098611796605</v>
      </c>
    </row>
    <row r="36" spans="1:18" x14ac:dyDescent="0.2">
      <c r="A36" t="s">
        <v>260</v>
      </c>
      <c r="B36" t="s">
        <v>670</v>
      </c>
      <c r="C36" s="461" t="s">
        <v>192</v>
      </c>
      <c r="E36" s="460" t="s">
        <v>179</v>
      </c>
      <c r="F36" t="s">
        <v>1060</v>
      </c>
      <c r="G36" s="463">
        <v>0.06</v>
      </c>
      <c r="H36" s="462">
        <f t="shared" si="5"/>
        <v>0.10483862671273188</v>
      </c>
      <c r="I36" s="459">
        <v>1</v>
      </c>
      <c r="J36" s="458">
        <f t="shared" si="1"/>
        <v>0.10483862671273188</v>
      </c>
      <c r="K36" s="458" t="e">
        <v>#N/A</v>
      </c>
      <c r="L36" s="458" t="e">
        <f t="shared" si="2"/>
        <v>#N/A</v>
      </c>
      <c r="M36" s="458" t="str">
        <f t="shared" si="0"/>
        <v>#964B00</v>
      </c>
      <c r="N36" t="str">
        <f t="shared" si="3"/>
        <v>Ethylene Oxide [0.1] Other #964B00</v>
      </c>
      <c r="Q36" s="3" t="s">
        <v>246</v>
      </c>
      <c r="R36">
        <v>7.192774760698633</v>
      </c>
    </row>
    <row r="37" spans="1:18" x14ac:dyDescent="0.2">
      <c r="A37" t="s">
        <v>260</v>
      </c>
      <c r="B37" t="s">
        <v>671</v>
      </c>
      <c r="C37" s="461" t="s">
        <v>192</v>
      </c>
      <c r="E37" s="460" t="s">
        <v>179</v>
      </c>
      <c r="F37" t="s">
        <v>1060</v>
      </c>
      <c r="G37" s="463">
        <v>0.03</v>
      </c>
      <c r="H37" s="462">
        <f t="shared" si="5"/>
        <v>5.2419313356365939E-2</v>
      </c>
      <c r="I37" s="459">
        <v>1</v>
      </c>
      <c r="J37" s="458">
        <f t="shared" si="1"/>
        <v>5.2419313356365939E-2</v>
      </c>
      <c r="K37" s="458" t="e">
        <v>#N/A</v>
      </c>
      <c r="L37" s="458" t="e">
        <f t="shared" si="2"/>
        <v>#N/A</v>
      </c>
      <c r="M37" s="458" t="str">
        <f t="shared" ref="M37:M68" si="6">IF(AND(OR(B37="Other",C37="Other"),$B$1=TRUE),$S$9,_xlfn.XLOOKUP(D37,$Q$6:$Q$10,$S$6:$S$10,$S$8))</f>
        <v>#964B00</v>
      </c>
      <c r="N37" t="str">
        <f t="shared" ref="N37:N68" si="7">CONCATENATE(A37," [",IF(H37&lt;1,ROUND(H37,2),ROUND(H37,1)),"] ",IF($B$1=TRUE,IF((ISBLANK(C37)),B37,C37),B37)," ",M37)</f>
        <v>Ethylene Oxide [0.05] Other #964B00</v>
      </c>
      <c r="Q37" s="3" t="s">
        <v>1803</v>
      </c>
      <c r="R37">
        <v>1.772842341876246</v>
      </c>
    </row>
    <row r="38" spans="1:18" x14ac:dyDescent="0.2">
      <c r="A38" t="s">
        <v>260</v>
      </c>
      <c r="B38" t="s">
        <v>672</v>
      </c>
      <c r="C38" s="461" t="s">
        <v>192</v>
      </c>
      <c r="E38" s="460" t="s">
        <v>179</v>
      </c>
      <c r="F38" t="s">
        <v>1060</v>
      </c>
      <c r="G38" s="463">
        <v>0.02</v>
      </c>
      <c r="H38" s="462">
        <f t="shared" si="5"/>
        <v>3.4946208904243957E-2</v>
      </c>
      <c r="I38" s="459">
        <v>1</v>
      </c>
      <c r="J38" s="458">
        <f t="shared" si="1"/>
        <v>3.4946208904243957E-2</v>
      </c>
      <c r="K38" s="458" t="e">
        <v>#N/A</v>
      </c>
      <c r="L38" s="458" t="e">
        <f t="shared" si="2"/>
        <v>#N/A</v>
      </c>
      <c r="M38" s="458" t="str">
        <f t="shared" si="6"/>
        <v>#964B00</v>
      </c>
      <c r="N38" t="str">
        <f t="shared" si="7"/>
        <v>Ethylene Oxide [0.03] Other #964B00</v>
      </c>
      <c r="Q38" s="3" t="s">
        <v>1806</v>
      </c>
      <c r="R38">
        <v>3.0477217381202508</v>
      </c>
    </row>
    <row r="39" spans="1:18" x14ac:dyDescent="0.2">
      <c r="A39" t="s">
        <v>260</v>
      </c>
      <c r="B39" t="s">
        <v>1827</v>
      </c>
      <c r="D39" t="s">
        <v>1055</v>
      </c>
      <c r="E39" s="460" t="s">
        <v>179</v>
      </c>
      <c r="F39" t="s">
        <v>1060</v>
      </c>
      <c r="G39" s="463">
        <v>0.03</v>
      </c>
      <c r="H39" s="462">
        <f t="shared" si="5"/>
        <v>5.2419313356365939E-2</v>
      </c>
      <c r="I39" s="459">
        <v>1</v>
      </c>
      <c r="J39" s="458">
        <f t="shared" si="1"/>
        <v>5.2419313356365939E-2</v>
      </c>
      <c r="K39" s="458" t="e">
        <v>#N/A</v>
      </c>
      <c r="L39" s="458" t="e">
        <f t="shared" si="2"/>
        <v>#N/A</v>
      </c>
      <c r="M39" s="458" t="str">
        <f t="shared" si="6"/>
        <v>#0000FF</v>
      </c>
      <c r="N39" t="str">
        <f t="shared" si="7"/>
        <v>Ethylene Oxide [0.05] Polyurethane (PU) #0000FF</v>
      </c>
      <c r="Q39" s="3" t="s">
        <v>1807</v>
      </c>
      <c r="R39">
        <v>2.9165482774660565</v>
      </c>
    </row>
    <row r="40" spans="1:18" x14ac:dyDescent="0.2">
      <c r="A40" t="s">
        <v>260</v>
      </c>
      <c r="B40" s="461" t="s">
        <v>192</v>
      </c>
      <c r="C40" s="461"/>
      <c r="D40" s="461"/>
      <c r="E40" s="460" t="s">
        <v>179</v>
      </c>
      <c r="F40" s="461" t="s">
        <v>1060</v>
      </c>
      <c r="G40" s="463">
        <v>0.06</v>
      </c>
      <c r="H40" s="462">
        <f t="shared" si="5"/>
        <v>0.10483862671273188</v>
      </c>
      <c r="I40" s="459">
        <v>1</v>
      </c>
      <c r="J40" s="458">
        <f t="shared" si="1"/>
        <v>0.10483862671273188</v>
      </c>
      <c r="K40" s="458" t="e">
        <v>#N/A</v>
      </c>
      <c r="L40" s="458" t="e">
        <f t="shared" si="2"/>
        <v>#N/A</v>
      </c>
      <c r="M40" s="458" t="str">
        <f t="shared" si="6"/>
        <v>#964B00</v>
      </c>
      <c r="N40" t="str">
        <f t="shared" si="7"/>
        <v>Ethylene Oxide [0.1] Other #964B00</v>
      </c>
      <c r="Q40" s="3" t="s">
        <v>1808</v>
      </c>
      <c r="R40">
        <v>13.125208596196902</v>
      </c>
    </row>
    <row r="41" spans="1:18" x14ac:dyDescent="0.2">
      <c r="A41" t="s">
        <v>627</v>
      </c>
      <c r="B41" t="s">
        <v>1828</v>
      </c>
      <c r="D41" t="s">
        <v>1055</v>
      </c>
      <c r="E41" s="460" t="s">
        <v>179</v>
      </c>
      <c r="F41" t="s">
        <v>1060</v>
      </c>
      <c r="G41" s="6">
        <v>0.96</v>
      </c>
      <c r="H41" s="462">
        <f>G41*$H$29</f>
        <v>1.4377868806317511</v>
      </c>
      <c r="I41" s="459">
        <v>1</v>
      </c>
      <c r="J41" s="458">
        <f t="shared" si="1"/>
        <v>1.4377868806317511</v>
      </c>
      <c r="K41" s="458" t="e">
        <v>#N/A</v>
      </c>
      <c r="L41" s="458" t="e">
        <f t="shared" si="2"/>
        <v>#N/A</v>
      </c>
      <c r="M41" s="458" t="str">
        <f t="shared" si="6"/>
        <v>#0000FF</v>
      </c>
      <c r="N41" t="str">
        <f t="shared" si="7"/>
        <v>Ethylene Dichloride [1.4] Polyvinylchloride (PVC) #0000FF</v>
      </c>
      <c r="Q41" s="3" t="s">
        <v>1809</v>
      </c>
      <c r="R41">
        <v>1.2524108338569352E-2</v>
      </c>
    </row>
    <row r="42" spans="1:18" x14ac:dyDescent="0.2">
      <c r="A42" t="s">
        <v>627</v>
      </c>
      <c r="B42" s="461" t="s">
        <v>192</v>
      </c>
      <c r="C42" s="461"/>
      <c r="D42" s="461"/>
      <c r="E42" s="460" t="s">
        <v>179</v>
      </c>
      <c r="F42" s="461" t="s">
        <v>1060</v>
      </c>
      <c r="G42" s="6">
        <v>0.04</v>
      </c>
      <c r="H42" s="462">
        <f>G42*$H$29</f>
        <v>5.9907786692989635E-2</v>
      </c>
      <c r="I42" s="459">
        <v>1</v>
      </c>
      <c r="J42" s="458">
        <f t="shared" si="1"/>
        <v>5.9907786692989635E-2</v>
      </c>
      <c r="K42" s="458" t="e">
        <v>#N/A</v>
      </c>
      <c r="L42" s="458" t="e">
        <f t="shared" si="2"/>
        <v>#N/A</v>
      </c>
      <c r="M42" s="458" t="str">
        <f t="shared" si="6"/>
        <v>#964B00</v>
      </c>
      <c r="N42" t="str">
        <f t="shared" si="7"/>
        <v>Ethylene Dichloride [0.06] Other #964B00</v>
      </c>
      <c r="Q42" s="3" t="s">
        <v>192</v>
      </c>
      <c r="R42">
        <v>14.117428251048938</v>
      </c>
    </row>
    <row r="43" spans="1:18" x14ac:dyDescent="0.2">
      <c r="A43" t="s">
        <v>658</v>
      </c>
      <c r="B43" t="s">
        <v>1829</v>
      </c>
      <c r="D43" t="s">
        <v>1055</v>
      </c>
      <c r="E43" s="460" t="s">
        <v>179</v>
      </c>
      <c r="F43" t="s">
        <v>1060</v>
      </c>
      <c r="G43" s="258">
        <f>99%*47%</f>
        <v>0.46529999999999999</v>
      </c>
      <c r="H43" s="462">
        <f>G43*$H$30</f>
        <v>0.34843866435310095</v>
      </c>
      <c r="I43" s="459">
        <v>1</v>
      </c>
      <c r="J43" s="458">
        <f t="shared" si="1"/>
        <v>0.34843866435310095</v>
      </c>
      <c r="K43" s="458" t="e">
        <v>#N/A</v>
      </c>
      <c r="L43" s="458" t="e">
        <f t="shared" si="2"/>
        <v>#N/A</v>
      </c>
      <c r="M43" s="458" t="str">
        <f t="shared" si="6"/>
        <v>#0000FF</v>
      </c>
      <c r="N43" t="str">
        <f t="shared" si="7"/>
        <v>Ethylbenzene [0.35] Polystyrene (PS) #0000FF</v>
      </c>
      <c r="Q43" s="3" t="s">
        <v>1812</v>
      </c>
      <c r="R43">
        <v>9.9233421457119082</v>
      </c>
    </row>
    <row r="44" spans="1:18" x14ac:dyDescent="0.2">
      <c r="A44" t="s">
        <v>658</v>
      </c>
      <c r="B44" t="s">
        <v>192</v>
      </c>
      <c r="E44" s="460" t="s">
        <v>179</v>
      </c>
      <c r="F44" t="s">
        <v>1060</v>
      </c>
      <c r="G44" s="258">
        <f>1-G43</f>
        <v>0.53469999999999995</v>
      </c>
      <c r="H44" s="462">
        <f>G44*$H$30</f>
        <v>0.40040866930926944</v>
      </c>
      <c r="I44" s="459">
        <v>1</v>
      </c>
      <c r="J44" s="458">
        <f t="shared" si="1"/>
        <v>0.40040866930926944</v>
      </c>
      <c r="K44" s="458" t="e">
        <v>#N/A</v>
      </c>
      <c r="L44" s="458" t="e">
        <f t="shared" si="2"/>
        <v>#N/A</v>
      </c>
      <c r="M44" s="458" t="str">
        <f t="shared" si="6"/>
        <v>#964B00</v>
      </c>
      <c r="N44" t="str">
        <f t="shared" si="7"/>
        <v>Ethylbenzene [0.4] Other #964B00</v>
      </c>
      <c r="Q44" s="3" t="s">
        <v>920</v>
      </c>
      <c r="R44">
        <v>0.52228116556378501</v>
      </c>
    </row>
    <row r="45" spans="1:18" x14ac:dyDescent="0.2">
      <c r="A45" t="s">
        <v>5</v>
      </c>
      <c r="B45" s="461" t="s">
        <v>1830</v>
      </c>
      <c r="C45" s="461"/>
      <c r="D45" t="s">
        <v>1055</v>
      </c>
      <c r="E45" s="460" t="s">
        <v>179</v>
      </c>
      <c r="F45" t="s">
        <v>1060</v>
      </c>
      <c r="G45" s="464">
        <v>0.67</v>
      </c>
      <c r="H45" s="462">
        <f>G45*$H$6</f>
        <v>12.543192838844705</v>
      </c>
      <c r="I45" s="459">
        <v>1</v>
      </c>
      <c r="J45" s="458">
        <f t="shared" si="1"/>
        <v>12.543192838844705</v>
      </c>
      <c r="K45" s="458" t="e">
        <v>#N/A</v>
      </c>
      <c r="L45" s="458" t="e">
        <f t="shared" si="2"/>
        <v>#N/A</v>
      </c>
      <c r="M45" s="458" t="str">
        <f t="shared" si="6"/>
        <v>#0000FF</v>
      </c>
      <c r="N45" t="str">
        <f t="shared" si="7"/>
        <v>Propylene [12.5] Polypropylene (PP) #0000FF</v>
      </c>
      <c r="Q45" s="3" t="s">
        <v>187</v>
      </c>
      <c r="R45">
        <v>2.4790660358461478</v>
      </c>
    </row>
    <row r="46" spans="1:18" x14ac:dyDescent="0.2">
      <c r="A46" t="s">
        <v>5</v>
      </c>
      <c r="B46" s="461" t="s">
        <v>573</v>
      </c>
      <c r="C46" s="461"/>
      <c r="D46" s="461"/>
      <c r="F46" s="461" t="s">
        <v>1792</v>
      </c>
      <c r="G46" s="464">
        <v>0.05</v>
      </c>
      <c r="H46" s="462">
        <f t="shared" ref="H46:H51" si="8">G46*$H$6</f>
        <v>0.93605916707796311</v>
      </c>
      <c r="I46" s="459">
        <v>1</v>
      </c>
      <c r="J46" s="458">
        <f t="shared" si="1"/>
        <v>0.93605916707796311</v>
      </c>
      <c r="K46" s="458" t="e">
        <v>#N/A</v>
      </c>
      <c r="L46" s="458" t="e">
        <f t="shared" si="2"/>
        <v>#N/A</v>
      </c>
      <c r="M46" s="458" t="str">
        <f t="shared" si="6"/>
        <v>#A9A9A9</v>
      </c>
      <c r="N46" t="str">
        <f t="shared" si="7"/>
        <v>Propylene [0.94] Propenic Acid #A9A9A9</v>
      </c>
      <c r="Q46" s="3" t="s">
        <v>1815</v>
      </c>
      <c r="R46">
        <v>9.0391425397894682</v>
      </c>
    </row>
    <row r="47" spans="1:18" x14ac:dyDescent="0.2">
      <c r="A47" t="s">
        <v>5</v>
      </c>
      <c r="B47" s="461" t="s">
        <v>575</v>
      </c>
      <c r="C47" s="461"/>
      <c r="D47" s="461"/>
      <c r="E47" s="461"/>
      <c r="F47" s="461" t="s">
        <v>1792</v>
      </c>
      <c r="G47" s="464">
        <v>0.06</v>
      </c>
      <c r="H47" s="462">
        <f t="shared" si="8"/>
        <v>1.1232710004935555</v>
      </c>
      <c r="I47" s="459">
        <v>1</v>
      </c>
      <c r="J47" s="458">
        <f t="shared" si="1"/>
        <v>1.1232710004935555</v>
      </c>
      <c r="K47" s="458" t="e">
        <v>#N/A</v>
      </c>
      <c r="L47" s="458" t="e">
        <f t="shared" si="2"/>
        <v>#N/A</v>
      </c>
      <c r="M47" s="458" t="str">
        <f t="shared" si="6"/>
        <v>#A9A9A9</v>
      </c>
      <c r="N47" t="str">
        <f t="shared" si="7"/>
        <v>Propylene [1.1] Propenonitrile #A9A9A9</v>
      </c>
      <c r="Q47" s="3" t="s">
        <v>1816</v>
      </c>
      <c r="R47">
        <v>3.8059547535955658</v>
      </c>
    </row>
    <row r="48" spans="1:18" x14ac:dyDescent="0.2">
      <c r="A48" t="s">
        <v>5</v>
      </c>
      <c r="B48" s="461" t="s">
        <v>576</v>
      </c>
      <c r="C48" s="461"/>
      <c r="D48" s="461"/>
      <c r="E48" s="461"/>
      <c r="F48" s="461" t="s">
        <v>1792</v>
      </c>
      <c r="G48" s="464">
        <v>0.04</v>
      </c>
      <c r="H48" s="462">
        <f t="shared" si="8"/>
        <v>0.74884733366237044</v>
      </c>
      <c r="I48" s="459">
        <v>1</v>
      </c>
      <c r="J48" s="458">
        <f t="shared" si="1"/>
        <v>0.74884733366237044</v>
      </c>
      <c r="K48" s="458" t="e">
        <v>#N/A</v>
      </c>
      <c r="L48" s="458" t="e">
        <f t="shared" si="2"/>
        <v>#N/A</v>
      </c>
      <c r="M48" s="458" t="str">
        <f t="shared" si="6"/>
        <v>#A9A9A9</v>
      </c>
      <c r="N48" t="str">
        <f t="shared" si="7"/>
        <v>Propylene [0.75] Cumene #A9A9A9</v>
      </c>
      <c r="Q48" s="3" t="s">
        <v>1818</v>
      </c>
      <c r="R48">
        <v>4.9953156140941797</v>
      </c>
    </row>
    <row r="49" spans="1:18" x14ac:dyDescent="0.2">
      <c r="A49" t="s">
        <v>5</v>
      </c>
      <c r="B49" s="461" t="s">
        <v>717</v>
      </c>
      <c r="C49" s="461"/>
      <c r="D49" s="461"/>
      <c r="E49" s="461"/>
      <c r="F49" s="461" t="s">
        <v>1792</v>
      </c>
      <c r="G49" s="464">
        <v>7.0000000000000007E-2</v>
      </c>
      <c r="H49" s="462">
        <f t="shared" si="8"/>
        <v>1.3104828339091483</v>
      </c>
      <c r="I49" s="459">
        <v>1</v>
      </c>
      <c r="J49" s="458">
        <f t="shared" si="1"/>
        <v>1.3104828339091483</v>
      </c>
      <c r="K49" s="458" t="e">
        <v>#N/A</v>
      </c>
      <c r="L49" s="458" t="e">
        <f t="shared" si="2"/>
        <v>#N/A</v>
      </c>
      <c r="M49" s="458" t="str">
        <f t="shared" si="6"/>
        <v>#A9A9A9</v>
      </c>
      <c r="N49" t="str">
        <f t="shared" si="7"/>
        <v>Propylene [1.3] Propylene oxide #A9A9A9</v>
      </c>
      <c r="Q49" s="3" t="s">
        <v>1820</v>
      </c>
      <c r="R49">
        <v>1.9029773767977829</v>
      </c>
    </row>
    <row r="50" spans="1:18" x14ac:dyDescent="0.2">
      <c r="A50" t="s">
        <v>5</v>
      </c>
      <c r="B50" s="461" t="s">
        <v>583</v>
      </c>
      <c r="C50" s="461"/>
      <c r="D50" s="461"/>
      <c r="E50" s="461"/>
      <c r="F50" s="461" t="s">
        <v>1792</v>
      </c>
      <c r="G50" s="464">
        <v>0.03</v>
      </c>
      <c r="H50" s="462">
        <f t="shared" si="8"/>
        <v>0.56163550024677777</v>
      </c>
      <c r="I50" s="459">
        <v>1</v>
      </c>
      <c r="J50" s="458">
        <f t="shared" si="1"/>
        <v>0.56163550024677777</v>
      </c>
      <c r="K50" s="458" t="e">
        <v>#N/A</v>
      </c>
      <c r="L50" s="458" t="e">
        <f t="shared" si="2"/>
        <v>#N/A</v>
      </c>
      <c r="M50" s="458" t="str">
        <f t="shared" si="6"/>
        <v>#A9A9A9</v>
      </c>
      <c r="N50" t="str">
        <f t="shared" si="7"/>
        <v>Propylene [0.56] Butanol #A9A9A9</v>
      </c>
      <c r="Q50" s="3" t="s">
        <v>1822</v>
      </c>
      <c r="R50">
        <v>1.1893608604986143</v>
      </c>
    </row>
    <row r="51" spans="1:18" x14ac:dyDescent="0.2">
      <c r="A51" t="s">
        <v>5</v>
      </c>
      <c r="B51" s="461" t="s">
        <v>192</v>
      </c>
      <c r="C51" s="461"/>
      <c r="D51" s="461"/>
      <c r="E51" s="460" t="s">
        <v>179</v>
      </c>
      <c r="F51" s="461" t="s">
        <v>1060</v>
      </c>
      <c r="G51" s="464">
        <v>0.08</v>
      </c>
      <c r="H51" s="462">
        <f t="shared" si="8"/>
        <v>1.4976946673247409</v>
      </c>
      <c r="I51" s="459">
        <v>1</v>
      </c>
      <c r="J51" s="458">
        <f t="shared" si="1"/>
        <v>1.4976946673247409</v>
      </c>
      <c r="K51" s="458" t="e">
        <v>#N/A</v>
      </c>
      <c r="L51" s="458" t="e">
        <f t="shared" si="2"/>
        <v>#N/A</v>
      </c>
      <c r="M51" s="458" t="str">
        <f t="shared" si="6"/>
        <v>#964B00</v>
      </c>
      <c r="N51" t="str">
        <f t="shared" si="7"/>
        <v>Propylene [1.5] Other #964B00</v>
      </c>
      <c r="Q51" s="3" t="s">
        <v>1823</v>
      </c>
      <c r="R51">
        <v>1.1893608604986143</v>
      </c>
    </row>
    <row r="52" spans="1:18" x14ac:dyDescent="0.2">
      <c r="A52" s="461" t="s">
        <v>573</v>
      </c>
      <c r="B52" t="s">
        <v>590</v>
      </c>
      <c r="C52" s="461" t="s">
        <v>192</v>
      </c>
      <c r="E52" s="460" t="s">
        <v>179</v>
      </c>
      <c r="F52" t="s">
        <v>1060</v>
      </c>
      <c r="G52" s="6">
        <v>0.5</v>
      </c>
      <c r="H52" s="465">
        <f>G52*$H$46</f>
        <v>0.46802958353898155</v>
      </c>
      <c r="I52" s="459">
        <v>1</v>
      </c>
      <c r="J52" s="458">
        <f t="shared" si="1"/>
        <v>0.46802958353898155</v>
      </c>
      <c r="K52" s="458" t="e">
        <v>#N/A</v>
      </c>
      <c r="L52" s="458" t="e">
        <f t="shared" si="2"/>
        <v>#N/A</v>
      </c>
      <c r="M52" s="458" t="str">
        <f t="shared" si="6"/>
        <v>#964B00</v>
      </c>
      <c r="N52" t="str">
        <f t="shared" si="7"/>
        <v>Propenic Acid [0.47] Other #964B00</v>
      </c>
      <c r="Q52" s="3" t="s">
        <v>1824</v>
      </c>
      <c r="R52">
        <v>9.5166015319592905</v>
      </c>
    </row>
    <row r="53" spans="1:18" x14ac:dyDescent="0.2">
      <c r="A53" s="461" t="s">
        <v>573</v>
      </c>
      <c r="B53" t="s">
        <v>592</v>
      </c>
      <c r="C53" s="461" t="s">
        <v>192</v>
      </c>
      <c r="E53" s="460" t="s">
        <v>179</v>
      </c>
      <c r="F53" t="s">
        <v>1060</v>
      </c>
      <c r="G53" s="6">
        <v>0.35</v>
      </c>
      <c r="H53" s="465">
        <f t="shared" ref="H53:H55" si="9">G53*$H$46</f>
        <v>0.32762070847728708</v>
      </c>
      <c r="I53" s="459">
        <v>1</v>
      </c>
      <c r="J53" s="458">
        <f t="shared" si="1"/>
        <v>0.32762070847728708</v>
      </c>
      <c r="K53" s="458" t="e">
        <v>#N/A</v>
      </c>
      <c r="L53" s="458" t="e">
        <f t="shared" si="2"/>
        <v>#N/A</v>
      </c>
      <c r="M53" s="458" t="str">
        <f t="shared" si="6"/>
        <v>#964B00</v>
      </c>
      <c r="N53" t="str">
        <f t="shared" si="7"/>
        <v>Propenic Acid [0.33] Other #964B00</v>
      </c>
      <c r="Q53" s="3" t="s">
        <v>260</v>
      </c>
      <c r="R53">
        <v>2.1841380565152471</v>
      </c>
    </row>
    <row r="54" spans="1:18" x14ac:dyDescent="0.2">
      <c r="A54" s="461" t="s">
        <v>573</v>
      </c>
      <c r="B54" t="s">
        <v>593</v>
      </c>
      <c r="C54" s="461" t="s">
        <v>192</v>
      </c>
      <c r="E54" s="460" t="s">
        <v>179</v>
      </c>
      <c r="F54" t="s">
        <v>1060</v>
      </c>
      <c r="G54" s="6">
        <v>0.1</v>
      </c>
      <c r="H54" s="465">
        <f t="shared" si="9"/>
        <v>9.3605916707796319E-2</v>
      </c>
      <c r="I54" s="459">
        <v>1</v>
      </c>
      <c r="J54" s="458">
        <f t="shared" si="1"/>
        <v>9.3605916707796319E-2</v>
      </c>
      <c r="K54" s="458" t="e">
        <v>#N/A</v>
      </c>
      <c r="L54" s="458" t="e">
        <f t="shared" si="2"/>
        <v>#N/A</v>
      </c>
      <c r="M54" s="458" t="str">
        <f t="shared" si="6"/>
        <v>#964B00</v>
      </c>
      <c r="N54" t="str">
        <f t="shared" si="7"/>
        <v>Propenic Acid [0.09] Other #964B00</v>
      </c>
      <c r="O54" s="461"/>
      <c r="P54" s="466"/>
      <c r="Q54" s="3" t="s">
        <v>627</v>
      </c>
      <c r="R54">
        <v>1.872118334155926</v>
      </c>
    </row>
    <row r="55" spans="1:18" x14ac:dyDescent="0.2">
      <c r="A55" s="461" t="s">
        <v>573</v>
      </c>
      <c r="B55" t="s">
        <v>192</v>
      </c>
      <c r="E55" s="460" t="s">
        <v>179</v>
      </c>
      <c r="F55" t="s">
        <v>1060</v>
      </c>
      <c r="G55" s="6">
        <v>0.05</v>
      </c>
      <c r="H55" s="465">
        <f t="shared" si="9"/>
        <v>4.6802958353898159E-2</v>
      </c>
      <c r="I55" s="459">
        <v>1</v>
      </c>
      <c r="J55" s="458">
        <f t="shared" si="1"/>
        <v>4.6802958353898159E-2</v>
      </c>
      <c r="K55" s="458" t="e">
        <v>#N/A</v>
      </c>
      <c r="L55" s="458" t="e">
        <f t="shared" si="2"/>
        <v>#N/A</v>
      </c>
      <c r="M55" s="458" t="str">
        <f t="shared" si="6"/>
        <v>#964B00</v>
      </c>
      <c r="N55" t="str">
        <f t="shared" si="7"/>
        <v>Propenic Acid [0.05] Other #964B00</v>
      </c>
      <c r="O55" s="467"/>
      <c r="P55" s="465"/>
      <c r="Q55" s="3" t="s">
        <v>658</v>
      </c>
      <c r="R55">
        <v>0.93605916707796299</v>
      </c>
    </row>
    <row r="56" spans="1:18" x14ac:dyDescent="0.2">
      <c r="A56" s="461" t="s">
        <v>575</v>
      </c>
      <c r="B56" t="s">
        <v>596</v>
      </c>
      <c r="C56" s="461" t="s">
        <v>192</v>
      </c>
      <c r="E56" s="460" t="s">
        <v>179</v>
      </c>
      <c r="F56" t="s">
        <v>1060</v>
      </c>
      <c r="G56" s="6">
        <v>0.3</v>
      </c>
      <c r="H56" s="465">
        <f>G56*$H$47</f>
        <v>0.33698130014806665</v>
      </c>
      <c r="I56" s="459">
        <v>1</v>
      </c>
      <c r="J56" s="458">
        <f t="shared" si="1"/>
        <v>0.33698130014806665</v>
      </c>
      <c r="K56" s="458" t="e">
        <v>#N/A</v>
      </c>
      <c r="L56" s="458" t="e">
        <f t="shared" si="2"/>
        <v>#N/A</v>
      </c>
      <c r="M56" s="458" t="str">
        <f t="shared" si="6"/>
        <v>#964B00</v>
      </c>
      <c r="N56" t="str">
        <f t="shared" si="7"/>
        <v>Propenonitrile [0.34] Other #964B00</v>
      </c>
      <c r="O56" s="467"/>
      <c r="P56" s="465"/>
      <c r="Q56" s="3" t="s">
        <v>1825</v>
      </c>
      <c r="R56">
        <v>4.2732949027806182</v>
      </c>
    </row>
    <row r="57" spans="1:18" x14ac:dyDescent="0.2">
      <c r="A57" s="461" t="s">
        <v>575</v>
      </c>
      <c r="B57" t="s">
        <v>598</v>
      </c>
      <c r="C57" s="461" t="s">
        <v>192</v>
      </c>
      <c r="E57" s="460" t="s">
        <v>179</v>
      </c>
      <c r="F57" t="s">
        <v>1060</v>
      </c>
      <c r="G57" s="6">
        <v>0.35</v>
      </c>
      <c r="H57" s="465">
        <f t="shared" ref="H57:H59" si="10">G57*$H$47</f>
        <v>0.39314485017274442</v>
      </c>
      <c r="I57" s="459">
        <v>1</v>
      </c>
      <c r="J57" s="458">
        <f t="shared" si="1"/>
        <v>0.39314485017274442</v>
      </c>
      <c r="K57" s="458" t="e">
        <v>#N/A</v>
      </c>
      <c r="L57" s="458" t="e">
        <f t="shared" si="2"/>
        <v>#N/A</v>
      </c>
      <c r="M57" s="458" t="str">
        <f t="shared" si="6"/>
        <v>#964B00</v>
      </c>
      <c r="N57" t="str">
        <f t="shared" si="7"/>
        <v>Propenonitrile [0.39] Other #964B00</v>
      </c>
      <c r="O57" s="467"/>
      <c r="P57" s="465"/>
      <c r="Q57" s="3" t="s">
        <v>1826</v>
      </c>
      <c r="R57">
        <v>5.2433066291786723</v>
      </c>
    </row>
    <row r="58" spans="1:18" x14ac:dyDescent="0.2">
      <c r="A58" s="461" t="s">
        <v>575</v>
      </c>
      <c r="B58" t="s">
        <v>600</v>
      </c>
      <c r="C58" s="461" t="s">
        <v>192</v>
      </c>
      <c r="E58" s="460" t="s">
        <v>179</v>
      </c>
      <c r="F58" t="s">
        <v>1060</v>
      </c>
      <c r="G58" s="6">
        <v>0.15</v>
      </c>
      <c r="H58" s="465">
        <f t="shared" si="10"/>
        <v>0.16849065007403333</v>
      </c>
      <c r="I58" s="459">
        <v>1</v>
      </c>
      <c r="J58" s="458">
        <f t="shared" si="1"/>
        <v>0.16849065007403333</v>
      </c>
      <c r="K58" s="458" t="e">
        <v>#N/A</v>
      </c>
      <c r="L58" s="458" t="e">
        <f t="shared" si="2"/>
        <v>#N/A</v>
      </c>
      <c r="M58" s="458" t="str">
        <f t="shared" si="6"/>
        <v>#964B00</v>
      </c>
      <c r="N58" t="str">
        <f t="shared" si="7"/>
        <v>Propenonitrile [0.17] Other #964B00</v>
      </c>
      <c r="O58" s="467"/>
      <c r="P58" s="465"/>
      <c r="Q58" s="3" t="s">
        <v>667</v>
      </c>
      <c r="R58">
        <v>1.4633724978652156</v>
      </c>
    </row>
    <row r="59" spans="1:18" x14ac:dyDescent="0.2">
      <c r="A59" s="461" t="s">
        <v>575</v>
      </c>
      <c r="B59" t="s">
        <v>192</v>
      </c>
      <c r="E59" s="460" t="s">
        <v>179</v>
      </c>
      <c r="F59" t="s">
        <v>1060</v>
      </c>
      <c r="G59" s="6">
        <v>0.2</v>
      </c>
      <c r="H59" s="465">
        <f t="shared" si="10"/>
        <v>0.22465420009871112</v>
      </c>
      <c r="I59" s="459">
        <v>1</v>
      </c>
      <c r="J59" s="458">
        <f t="shared" si="1"/>
        <v>0.22465420009871112</v>
      </c>
      <c r="K59" s="458" t="e">
        <v>#N/A</v>
      </c>
      <c r="L59" s="458" t="e">
        <f t="shared" si="2"/>
        <v>#N/A</v>
      </c>
      <c r="M59" s="458" t="str">
        <f t="shared" si="6"/>
        <v>#964B00</v>
      </c>
      <c r="N59" t="str">
        <f t="shared" si="7"/>
        <v>Propenonitrile [0.22] Other #964B00</v>
      </c>
      <c r="O59" s="464"/>
      <c r="P59" s="465"/>
      <c r="Q59" s="3" t="s">
        <v>669</v>
      </c>
      <c r="R59">
        <v>0.28393794734698213</v>
      </c>
    </row>
    <row r="60" spans="1:18" x14ac:dyDescent="0.2">
      <c r="A60" s="461" t="s">
        <v>576</v>
      </c>
      <c r="B60" t="s">
        <v>724</v>
      </c>
      <c r="C60" s="461" t="s">
        <v>192</v>
      </c>
      <c r="E60" s="460" t="s">
        <v>179</v>
      </c>
      <c r="F60" t="s">
        <v>1060</v>
      </c>
      <c r="G60" s="6">
        <v>0.98</v>
      </c>
      <c r="H60" s="465">
        <f>G60*$H$48</f>
        <v>0.73387038698912299</v>
      </c>
      <c r="I60" s="459">
        <v>1</v>
      </c>
      <c r="J60" s="458">
        <f t="shared" si="1"/>
        <v>0.73387038698912299</v>
      </c>
      <c r="K60" s="458" t="e">
        <v>#N/A</v>
      </c>
      <c r="L60" s="458" t="e">
        <f t="shared" si="2"/>
        <v>#N/A</v>
      </c>
      <c r="M60" s="458" t="str">
        <f t="shared" si="6"/>
        <v>#964B00</v>
      </c>
      <c r="N60" t="str">
        <f t="shared" si="7"/>
        <v>Cumene [0.73] Other #964B00</v>
      </c>
      <c r="Q60" s="3" t="s">
        <v>670</v>
      </c>
      <c r="R60">
        <v>0.13104828339091482</v>
      </c>
    </row>
    <row r="61" spans="1:18" x14ac:dyDescent="0.2">
      <c r="A61" s="461" t="s">
        <v>576</v>
      </c>
      <c r="B61" s="461" t="s">
        <v>192</v>
      </c>
      <c r="C61" s="461"/>
      <c r="D61" s="461"/>
      <c r="E61" s="460" t="s">
        <v>179</v>
      </c>
      <c r="F61" s="461" t="s">
        <v>1060</v>
      </c>
      <c r="G61" s="6">
        <v>0.02</v>
      </c>
      <c r="H61" s="465">
        <f>G61*$H$48</f>
        <v>1.4976946673247409E-2</v>
      </c>
      <c r="I61" s="459">
        <v>1</v>
      </c>
      <c r="J61" s="458">
        <f t="shared" si="1"/>
        <v>1.4976946673247409E-2</v>
      </c>
      <c r="K61" s="458" t="e">
        <v>#N/A</v>
      </c>
      <c r="L61" s="458" t="e">
        <f t="shared" si="2"/>
        <v>#N/A</v>
      </c>
      <c r="M61" s="458" t="str">
        <f t="shared" si="6"/>
        <v>#964B00</v>
      </c>
      <c r="N61" t="str">
        <f t="shared" si="7"/>
        <v>Cumene [0.01] Other #964B00</v>
      </c>
      <c r="O61" s="6"/>
      <c r="P61" s="44"/>
      <c r="Q61" s="3" t="s">
        <v>671</v>
      </c>
      <c r="R61">
        <v>6.5524141695457408E-2</v>
      </c>
    </row>
    <row r="62" spans="1:18" x14ac:dyDescent="0.2">
      <c r="A62" s="461" t="s">
        <v>717</v>
      </c>
      <c r="B62" s="461" t="s">
        <v>1827</v>
      </c>
      <c r="C62" s="461"/>
      <c r="D62" t="s">
        <v>1055</v>
      </c>
      <c r="E62" s="460" t="s">
        <v>179</v>
      </c>
      <c r="F62" t="s">
        <v>1060</v>
      </c>
      <c r="G62" s="464">
        <v>0.68</v>
      </c>
      <c r="H62" s="465">
        <f>G62*$H$49</f>
        <v>0.89112832705822087</v>
      </c>
      <c r="I62" s="459">
        <v>1</v>
      </c>
      <c r="J62" s="458">
        <f t="shared" si="1"/>
        <v>0.89112832705822087</v>
      </c>
      <c r="K62" s="458" t="e">
        <v>#N/A</v>
      </c>
      <c r="L62" s="458" t="e">
        <f t="shared" si="2"/>
        <v>#N/A</v>
      </c>
      <c r="M62" s="458" t="str">
        <f t="shared" si="6"/>
        <v>#0000FF</v>
      </c>
      <c r="N62" t="str">
        <f t="shared" si="7"/>
        <v>Propylene oxide [0.89] Polyurethane (PU) #0000FF</v>
      </c>
      <c r="O62" s="6"/>
      <c r="P62" s="44"/>
      <c r="Q62" s="3" t="s">
        <v>672</v>
      </c>
      <c r="R62">
        <v>4.3682761130304941E-2</v>
      </c>
    </row>
    <row r="63" spans="1:18" x14ac:dyDescent="0.2">
      <c r="A63" s="461" t="s">
        <v>717</v>
      </c>
      <c r="B63" s="461" t="s">
        <v>727</v>
      </c>
      <c r="C63" s="461" t="s">
        <v>192</v>
      </c>
      <c r="D63" s="461"/>
      <c r="E63" s="460" t="s">
        <v>179</v>
      </c>
      <c r="F63" s="461" t="s">
        <v>1060</v>
      </c>
      <c r="G63" s="464">
        <v>0.22</v>
      </c>
      <c r="H63" s="465">
        <f t="shared" ref="H63:H65" si="11">G63*$H$49</f>
        <v>0.28830622346001261</v>
      </c>
      <c r="I63" s="459">
        <v>1</v>
      </c>
      <c r="J63" s="458">
        <f t="shared" si="1"/>
        <v>0.28830622346001261</v>
      </c>
      <c r="K63" s="458" t="e">
        <v>#N/A</v>
      </c>
      <c r="L63" s="458" t="e">
        <f t="shared" si="2"/>
        <v>#N/A</v>
      </c>
      <c r="M63" s="458" t="str">
        <f t="shared" si="6"/>
        <v>#964B00</v>
      </c>
      <c r="N63" t="str">
        <f t="shared" si="7"/>
        <v>Propylene oxide [0.29] Other #964B00</v>
      </c>
      <c r="O63" s="6"/>
      <c r="P63" s="44"/>
      <c r="Q63" s="3" t="s">
        <v>1827</v>
      </c>
      <c r="R63">
        <v>1.938023898384325</v>
      </c>
    </row>
    <row r="64" spans="1:18" x14ac:dyDescent="0.2">
      <c r="A64" s="461" t="s">
        <v>717</v>
      </c>
      <c r="B64" s="461" t="s">
        <v>728</v>
      </c>
      <c r="C64" s="461" t="s">
        <v>192</v>
      </c>
      <c r="D64" s="461"/>
      <c r="E64" s="460" t="s">
        <v>179</v>
      </c>
      <c r="F64" s="461" t="s">
        <v>1060</v>
      </c>
      <c r="G64" s="464">
        <v>0.04</v>
      </c>
      <c r="H64" s="465">
        <f t="shared" si="11"/>
        <v>5.2419313356365932E-2</v>
      </c>
      <c r="I64" s="459">
        <v>1</v>
      </c>
      <c r="J64" s="458">
        <f t="shared" si="1"/>
        <v>5.2419313356365932E-2</v>
      </c>
      <c r="K64" s="458" t="e">
        <v>#N/A</v>
      </c>
      <c r="L64" s="458" t="e">
        <f t="shared" si="2"/>
        <v>#N/A</v>
      </c>
      <c r="M64" s="458" t="str">
        <f t="shared" si="6"/>
        <v>#964B00</v>
      </c>
      <c r="N64" t="str">
        <f t="shared" si="7"/>
        <v>Propylene oxide [0.05] Other #964B00</v>
      </c>
      <c r="O64" s="6"/>
      <c r="P64" s="44"/>
      <c r="Q64" s="3" t="s">
        <v>1828</v>
      </c>
      <c r="R64">
        <v>1.797233600789689</v>
      </c>
    </row>
    <row r="65" spans="1:18" x14ac:dyDescent="0.2">
      <c r="A65" s="461" t="s">
        <v>717</v>
      </c>
      <c r="B65" s="461" t="s">
        <v>192</v>
      </c>
      <c r="C65" s="461"/>
      <c r="D65" s="461"/>
      <c r="E65" s="460" t="s">
        <v>179</v>
      </c>
      <c r="F65" s="461" t="s">
        <v>1060</v>
      </c>
      <c r="G65" s="464">
        <v>0.06</v>
      </c>
      <c r="H65" s="465">
        <f t="shared" si="11"/>
        <v>7.8628970034548898E-2</v>
      </c>
      <c r="I65" s="459">
        <v>1</v>
      </c>
      <c r="J65" s="458">
        <f t="shared" si="1"/>
        <v>7.8628970034548898E-2</v>
      </c>
      <c r="K65" s="458" t="e">
        <v>#N/A</v>
      </c>
      <c r="L65" s="458" t="e">
        <f t="shared" si="2"/>
        <v>#N/A</v>
      </c>
      <c r="M65" s="458" t="str">
        <f t="shared" si="6"/>
        <v>#964B00</v>
      </c>
      <c r="N65" t="str">
        <f t="shared" si="7"/>
        <v>Propylene oxide [0.08] Other #964B00</v>
      </c>
      <c r="Q65" s="3" t="s">
        <v>1829</v>
      </c>
      <c r="R65">
        <v>0.4355483304413762</v>
      </c>
    </row>
    <row r="66" spans="1:18" x14ac:dyDescent="0.2">
      <c r="A66" s="468" t="s">
        <v>583</v>
      </c>
      <c r="B66" s="461" t="s">
        <v>192</v>
      </c>
      <c r="C66" s="461"/>
      <c r="D66" s="461"/>
      <c r="E66" s="460" t="s">
        <v>179</v>
      </c>
      <c r="F66" s="461" t="s">
        <v>1060</v>
      </c>
      <c r="G66" s="464">
        <v>1</v>
      </c>
      <c r="H66" s="465">
        <f>G66*H50</f>
        <v>0.56163550024677777</v>
      </c>
      <c r="I66" s="459">
        <v>1</v>
      </c>
      <c r="J66" s="458">
        <f t="shared" si="1"/>
        <v>0.56163550024677777</v>
      </c>
      <c r="K66" s="458" t="e">
        <v>#N/A</v>
      </c>
      <c r="L66" s="458" t="e">
        <f t="shared" si="2"/>
        <v>#N/A</v>
      </c>
      <c r="M66" s="458" t="str">
        <f t="shared" si="6"/>
        <v>#964B00</v>
      </c>
      <c r="N66" t="str">
        <f t="shared" si="7"/>
        <v>Butanol [0.56] Other #964B00</v>
      </c>
      <c r="Q66" s="3" t="s">
        <v>1830</v>
      </c>
      <c r="R66">
        <v>10.452660699037255</v>
      </c>
    </row>
    <row r="67" spans="1:18" x14ac:dyDescent="0.2">
      <c r="A67" t="s">
        <v>246</v>
      </c>
      <c r="B67" t="s">
        <v>1831</v>
      </c>
      <c r="E67"/>
      <c r="F67" t="s">
        <v>1792</v>
      </c>
      <c r="H67" s="44">
        <v>2.8771099042794535</v>
      </c>
      <c r="I67" s="459">
        <v>1</v>
      </c>
      <c r="J67" s="458">
        <f t="shared" si="1"/>
        <v>2.8771099042794535</v>
      </c>
      <c r="K67" s="458" t="e">
        <v>#N/A</v>
      </c>
      <c r="L67" s="458" t="e">
        <f t="shared" si="2"/>
        <v>#N/A</v>
      </c>
      <c r="M67" s="458" t="str">
        <f t="shared" si="6"/>
        <v>#A9A9A9</v>
      </c>
      <c r="N67" t="str">
        <f t="shared" si="7"/>
        <v>Acetic Acid [2.9] Vinyl acetate monomer (VAM) #A9A9A9</v>
      </c>
      <c r="Q67" s="3" t="s">
        <v>573</v>
      </c>
      <c r="R67">
        <v>0.78004930589830257</v>
      </c>
    </row>
    <row r="68" spans="1:18" x14ac:dyDescent="0.2">
      <c r="A68" t="s">
        <v>246</v>
      </c>
      <c r="B68" t="s">
        <v>845</v>
      </c>
      <c r="F68" t="s">
        <v>1792</v>
      </c>
      <c r="H68" s="44">
        <v>1.5104826997467129</v>
      </c>
      <c r="I68" s="459">
        <v>1</v>
      </c>
      <c r="J68" s="458">
        <f t="shared" si="1"/>
        <v>1.5104826997467129</v>
      </c>
      <c r="K68" s="458">
        <v>2.7664690601478719</v>
      </c>
      <c r="L68" s="458">
        <f t="shared" si="2"/>
        <v>4.1787036547379088</v>
      </c>
      <c r="M68" s="458" t="str">
        <f t="shared" si="6"/>
        <v>#A9A9A9</v>
      </c>
      <c r="N68" t="str">
        <f t="shared" si="7"/>
        <v>Acetic Acid [1.5] Terephthalic acid #A9A9A9</v>
      </c>
      <c r="Q68" s="3" t="s">
        <v>575</v>
      </c>
      <c r="R68">
        <v>0.93605916707796299</v>
      </c>
    </row>
    <row r="69" spans="1:18" x14ac:dyDescent="0.2">
      <c r="A69" t="s">
        <v>246</v>
      </c>
      <c r="B69" t="s">
        <v>1832</v>
      </c>
      <c r="C69" t="s">
        <v>192</v>
      </c>
      <c r="E69" s="460" t="s">
        <v>248</v>
      </c>
      <c r="F69" t="s">
        <v>1060</v>
      </c>
      <c r="H69" s="44">
        <v>0.71927747606986336</v>
      </c>
      <c r="I69" s="459">
        <v>1</v>
      </c>
      <c r="J69" s="458">
        <f t="shared" si="1"/>
        <v>0.71927747606986336</v>
      </c>
      <c r="K69" s="458" t="e">
        <v>#N/A</v>
      </c>
      <c r="L69" s="458" t="e">
        <f t="shared" si="2"/>
        <v>#N/A</v>
      </c>
      <c r="M69" s="458" t="str">
        <f t="shared" ref="M69:M88" si="12">IF(AND(OR(B69="Other",C69="Other"),$B$1=TRUE),$S$9,_xlfn.XLOOKUP(D69,$Q$6:$Q$10,$S$6:$S$10,$S$8))</f>
        <v>#964B00</v>
      </c>
      <c r="N69" t="str">
        <f t="shared" ref="N69:N88" si="13">CONCATENATE(A69," [",IF(H69&lt;1,ROUND(H69,2),ROUND(H69,1)),"] ",IF($B$1=TRUE,IF((ISBLANK(C69)),B69,C69),B69)," ",M69)</f>
        <v>Acetic Acid [0.72] Other #964B00</v>
      </c>
      <c r="Q69" s="3" t="s">
        <v>576</v>
      </c>
      <c r="R69">
        <v>0.62403944471864203</v>
      </c>
    </row>
    <row r="70" spans="1:18" x14ac:dyDescent="0.2">
      <c r="A70" t="s">
        <v>246</v>
      </c>
      <c r="B70" t="s">
        <v>1833</v>
      </c>
      <c r="C70" t="s">
        <v>192</v>
      </c>
      <c r="E70" s="460" t="s">
        <v>248</v>
      </c>
      <c r="F70" t="s">
        <v>1060</v>
      </c>
      <c r="H70" s="44">
        <v>0.79120522367684964</v>
      </c>
      <c r="I70" s="459">
        <v>1</v>
      </c>
      <c r="J70" s="458">
        <f t="shared" ref="J70:J119" si="14">H70</f>
        <v>0.79120522367684964</v>
      </c>
      <c r="K70" s="458" t="e">
        <v>#N/A</v>
      </c>
      <c r="L70" s="458" t="e">
        <f t="shared" ref="L70:L119" si="15">J70*K70</f>
        <v>#N/A</v>
      </c>
      <c r="M70" s="458" t="str">
        <f t="shared" si="12"/>
        <v>#964B00</v>
      </c>
      <c r="N70" t="str">
        <f t="shared" si="13"/>
        <v>Acetic Acid [0.79] Other #964B00</v>
      </c>
      <c r="Q70" s="3" t="s">
        <v>717</v>
      </c>
      <c r="R70">
        <v>1.0920690282576235</v>
      </c>
    </row>
    <row r="71" spans="1:18" x14ac:dyDescent="0.2">
      <c r="A71" t="s">
        <v>246</v>
      </c>
      <c r="B71" s="461" t="s">
        <v>192</v>
      </c>
      <c r="C71" s="461"/>
      <c r="D71" s="461"/>
      <c r="E71" s="460" t="s">
        <v>248</v>
      </c>
      <c r="F71" s="461" t="s">
        <v>1060</v>
      </c>
      <c r="H71" s="44">
        <v>1.2946994569257539</v>
      </c>
      <c r="I71" s="459">
        <v>1</v>
      </c>
      <c r="J71" s="458">
        <f t="shared" si="14"/>
        <v>1.2946994569257539</v>
      </c>
      <c r="K71" s="458" t="e">
        <v>#N/A</v>
      </c>
      <c r="L71" s="458" t="e">
        <f t="shared" si="15"/>
        <v>#N/A</v>
      </c>
      <c r="M71" s="458" t="str">
        <f t="shared" si="12"/>
        <v>#964B00</v>
      </c>
      <c r="N71" t="str">
        <f t="shared" si="13"/>
        <v>Acetic Acid [1.3] Other #964B00</v>
      </c>
      <c r="Q71" s="3" t="s">
        <v>583</v>
      </c>
      <c r="R71">
        <v>0.4680295835389815</v>
      </c>
    </row>
    <row r="72" spans="1:18" x14ac:dyDescent="0.2">
      <c r="A72" t="s">
        <v>6</v>
      </c>
      <c r="B72" s="457" t="s">
        <v>1834</v>
      </c>
      <c r="C72" s="457" t="s">
        <v>192</v>
      </c>
      <c r="D72" s="457"/>
      <c r="E72" s="460" t="s">
        <v>248</v>
      </c>
      <c r="F72" s="457" t="s">
        <v>1060</v>
      </c>
      <c r="G72" s="205">
        <v>2.2216780422383169E-2</v>
      </c>
      <c r="H72" s="458">
        <v>2.2717305672878156</v>
      </c>
      <c r="I72" s="459">
        <v>1</v>
      </c>
      <c r="J72" s="458">
        <f t="shared" si="14"/>
        <v>2.2717305672878156</v>
      </c>
      <c r="K72" s="458" t="e">
        <v>#N/A</v>
      </c>
      <c r="L72" s="458" t="e">
        <f t="shared" si="15"/>
        <v>#N/A</v>
      </c>
      <c r="M72" s="458" t="str">
        <f t="shared" si="12"/>
        <v>#964B00</v>
      </c>
      <c r="N72" t="str">
        <f t="shared" si="13"/>
        <v>Methanol [2.3] Other #964B00</v>
      </c>
      <c r="Q72" s="3" t="s">
        <v>590</v>
      </c>
      <c r="R72">
        <v>0.39002465294915128</v>
      </c>
    </row>
    <row r="73" spans="1:18" x14ac:dyDescent="0.2">
      <c r="A73" t="s">
        <v>6</v>
      </c>
      <c r="B73" s="457" t="s">
        <v>1835</v>
      </c>
      <c r="C73" s="457" t="s">
        <v>192</v>
      </c>
      <c r="D73" s="457"/>
      <c r="E73" s="460" t="s">
        <v>248</v>
      </c>
      <c r="F73" s="457" t="s">
        <v>1060</v>
      </c>
      <c r="G73" s="205">
        <v>1.5781321174464437E-2</v>
      </c>
      <c r="H73" s="458">
        <v>1.6136860977433933</v>
      </c>
      <c r="I73" s="459">
        <v>1</v>
      </c>
      <c r="J73" s="458">
        <f t="shared" si="14"/>
        <v>1.6136860977433933</v>
      </c>
      <c r="K73" s="458" t="e">
        <v>#N/A</v>
      </c>
      <c r="L73" s="458" t="e">
        <f t="shared" si="15"/>
        <v>#N/A</v>
      </c>
      <c r="M73" s="458" t="str">
        <f t="shared" si="12"/>
        <v>#964B00</v>
      </c>
      <c r="N73" t="str">
        <f t="shared" si="13"/>
        <v>Methanol [1.6] Other #964B00</v>
      </c>
      <c r="Q73" s="3" t="s">
        <v>592</v>
      </c>
      <c r="R73">
        <v>0.27301725706440588</v>
      </c>
    </row>
    <row r="74" spans="1:18" x14ac:dyDescent="0.2">
      <c r="A74" t="s">
        <v>6</v>
      </c>
      <c r="B74" s="457" t="s">
        <v>1836</v>
      </c>
      <c r="C74" s="457"/>
      <c r="D74" s="457"/>
      <c r="E74" s="457"/>
      <c r="F74" s="457" t="s">
        <v>1792</v>
      </c>
      <c r="G74" s="205">
        <v>4.662655189360548E-3</v>
      </c>
      <c r="H74" s="458">
        <v>0.47677008625974848</v>
      </c>
      <c r="I74" s="459">
        <v>1</v>
      </c>
      <c r="J74" s="458">
        <f t="shared" si="14"/>
        <v>0.47677008625974848</v>
      </c>
      <c r="K74" s="458">
        <v>6.0608614232209739</v>
      </c>
      <c r="L74" s="458">
        <f t="shared" si="15"/>
        <v>2.8896374235574456</v>
      </c>
      <c r="M74" s="458" t="str">
        <f t="shared" si="12"/>
        <v>#A9A9A9</v>
      </c>
      <c r="N74" t="str">
        <f t="shared" si="13"/>
        <v>Methanol [0.48] Dimethyl terephthalate (DMT) #A9A9A9</v>
      </c>
      <c r="Q74" s="3" t="s">
        <v>593</v>
      </c>
      <c r="R74">
        <v>7.8004930589830268E-2</v>
      </c>
    </row>
    <row r="75" spans="1:18" x14ac:dyDescent="0.2">
      <c r="A75" t="s">
        <v>6</v>
      </c>
      <c r="B75" s="457" t="s">
        <v>1837</v>
      </c>
      <c r="C75" s="457" t="s">
        <v>192</v>
      </c>
      <c r="D75" s="457"/>
      <c r="E75" s="460" t="s">
        <v>248</v>
      </c>
      <c r="F75" s="457" t="s">
        <v>1060</v>
      </c>
      <c r="G75" s="205">
        <v>4.9435021407774277E-3</v>
      </c>
      <c r="H75" s="458">
        <v>0.50548750580180479</v>
      </c>
      <c r="I75" s="459">
        <v>1</v>
      </c>
      <c r="J75" s="458">
        <f t="shared" si="14"/>
        <v>0.50548750580180479</v>
      </c>
      <c r="K75" s="458" t="e">
        <v>#N/A</v>
      </c>
      <c r="L75" s="458" t="e">
        <f t="shared" si="15"/>
        <v>#N/A</v>
      </c>
      <c r="M75" s="458" t="str">
        <f t="shared" si="12"/>
        <v>#964B00</v>
      </c>
      <c r="N75" t="str">
        <f t="shared" si="13"/>
        <v>Methanol [0.51] Other #964B00</v>
      </c>
      <c r="Q75" s="3" t="s">
        <v>596</v>
      </c>
      <c r="R75">
        <v>0.28081775012338889</v>
      </c>
    </row>
    <row r="76" spans="1:18" x14ac:dyDescent="0.2">
      <c r="A76" s="457" t="s">
        <v>1803</v>
      </c>
      <c r="B76" t="s">
        <v>1838</v>
      </c>
      <c r="D76" t="s">
        <v>740</v>
      </c>
      <c r="E76" t="s">
        <v>740</v>
      </c>
      <c r="F76" t="s">
        <v>1060</v>
      </c>
      <c r="H76" s="44">
        <v>1.772842341876246</v>
      </c>
      <c r="I76" s="459">
        <v>1</v>
      </c>
      <c r="J76" s="458">
        <f t="shared" si="14"/>
        <v>1.772842341876246</v>
      </c>
      <c r="K76" s="458" t="e">
        <v>#N/A</v>
      </c>
      <c r="L76" s="458" t="e">
        <f t="shared" si="15"/>
        <v>#N/A</v>
      </c>
      <c r="M76" s="458" t="str">
        <f t="shared" si="12"/>
        <v>#FFFF00</v>
      </c>
      <c r="N76" t="str">
        <f t="shared" si="13"/>
        <v>Methyl Methacrylate (MMA) [1.8] Polymethyl methacrylate (PMMA) #FFFF00</v>
      </c>
      <c r="Q76" s="3" t="s">
        <v>598</v>
      </c>
      <c r="R76">
        <v>0.32762070847728703</v>
      </c>
    </row>
    <row r="77" spans="1:18" x14ac:dyDescent="0.2">
      <c r="A77" t="s">
        <v>1831</v>
      </c>
      <c r="B77" t="s">
        <v>1839</v>
      </c>
      <c r="D77" t="s">
        <v>740</v>
      </c>
      <c r="E77" t="s">
        <v>740</v>
      </c>
      <c r="F77" t="s">
        <v>1060</v>
      </c>
      <c r="G77" s="6">
        <v>0.37</v>
      </c>
      <c r="H77" s="44">
        <f>G77*$H$67</f>
        <v>1.0645306645833978</v>
      </c>
      <c r="I77" s="459">
        <v>1</v>
      </c>
      <c r="J77" s="458">
        <f t="shared" si="14"/>
        <v>1.0645306645833978</v>
      </c>
      <c r="K77" s="458" t="e">
        <v>#N/A</v>
      </c>
      <c r="L77" s="458" t="e">
        <f t="shared" si="15"/>
        <v>#N/A</v>
      </c>
      <c r="M77" s="458" t="str">
        <f t="shared" si="12"/>
        <v>#FFFF00</v>
      </c>
      <c r="N77" t="str">
        <f t="shared" si="13"/>
        <v>Vinyl acetate monomer (VAM) [1.1] Polyvinyl acetate (PVA) #FFFF00</v>
      </c>
      <c r="Q77" s="3" t="s">
        <v>600</v>
      </c>
      <c r="R77">
        <v>0.14040887506169444</v>
      </c>
    </row>
    <row r="78" spans="1:18" x14ac:dyDescent="0.2">
      <c r="A78" t="s">
        <v>1831</v>
      </c>
      <c r="B78" t="s">
        <v>192</v>
      </c>
      <c r="E78" s="460" t="s">
        <v>248</v>
      </c>
      <c r="F78" t="s">
        <v>1060</v>
      </c>
      <c r="G78" s="6">
        <f>1-G77</f>
        <v>0.63</v>
      </c>
      <c r="H78" s="44">
        <f>G78*$H$67</f>
        <v>1.8125792396960556</v>
      </c>
      <c r="I78" s="459">
        <v>1</v>
      </c>
      <c r="J78" s="458">
        <f t="shared" si="14"/>
        <v>1.8125792396960556</v>
      </c>
      <c r="K78" s="458" t="e">
        <v>#N/A</v>
      </c>
      <c r="L78" s="458" t="e">
        <f t="shared" si="15"/>
        <v>#N/A</v>
      </c>
      <c r="M78" s="458" t="str">
        <f t="shared" si="12"/>
        <v>#964B00</v>
      </c>
      <c r="N78" t="str">
        <f t="shared" si="13"/>
        <v>Vinyl acetate monomer (VAM) [1.8] Other #964B00</v>
      </c>
      <c r="Q78" s="3" t="s">
        <v>724</v>
      </c>
      <c r="R78">
        <v>0.61155865582426916</v>
      </c>
    </row>
    <row r="79" spans="1:18" x14ac:dyDescent="0.2">
      <c r="A79" t="s">
        <v>845</v>
      </c>
      <c r="B79" s="469" t="s">
        <v>1840</v>
      </c>
      <c r="C79" s="469"/>
      <c r="E79" s="460" t="s">
        <v>1055</v>
      </c>
      <c r="F79" t="s">
        <v>1060</v>
      </c>
      <c r="G79" s="6">
        <v>0.9</v>
      </c>
      <c r="H79" s="44">
        <f>G79*$H$68</f>
        <v>1.3594344297720415</v>
      </c>
      <c r="I79" s="459">
        <v>1</v>
      </c>
      <c r="J79" s="458">
        <f t="shared" si="14"/>
        <v>1.3594344297720415</v>
      </c>
      <c r="K79" s="458">
        <v>1.1569113716803505</v>
      </c>
      <c r="L79" s="458">
        <f t="shared" si="15"/>
        <v>1.5727451508570678</v>
      </c>
      <c r="M79" s="458" t="str">
        <f t="shared" si="12"/>
        <v>#A9A9A9</v>
      </c>
      <c r="N79" t="str">
        <f t="shared" si="13"/>
        <v>Terephthalic acid [1.4] Polyethylene terephthalate (PET) #A9A9A9</v>
      </c>
      <c r="Q79" s="3" t="s">
        <v>727</v>
      </c>
      <c r="R79">
        <v>0.24025518621667719</v>
      </c>
    </row>
    <row r="80" spans="1:18" x14ac:dyDescent="0.2">
      <c r="A80" t="s">
        <v>845</v>
      </c>
      <c r="B80" t="s">
        <v>192</v>
      </c>
      <c r="E80" s="460" t="s">
        <v>248</v>
      </c>
      <c r="F80" t="s">
        <v>1060</v>
      </c>
      <c r="G80" s="6">
        <f>1-G79</f>
        <v>9.9999999999999978E-2</v>
      </c>
      <c r="H80" s="44">
        <f>G80*$H$68</f>
        <v>0.15104826997467125</v>
      </c>
      <c r="I80" s="459">
        <v>1</v>
      </c>
      <c r="J80" s="458">
        <f t="shared" si="14"/>
        <v>0.15104826997467125</v>
      </c>
      <c r="K80" s="458" t="e">
        <v>#N/A</v>
      </c>
      <c r="L80" s="458" t="e">
        <f t="shared" si="15"/>
        <v>#N/A</v>
      </c>
      <c r="M80" s="458" t="str">
        <f t="shared" si="12"/>
        <v>#964B00</v>
      </c>
      <c r="N80" t="str">
        <f t="shared" si="13"/>
        <v>Terephthalic acid [0.15] Other #964B00</v>
      </c>
      <c r="Q80" s="3" t="s">
        <v>728</v>
      </c>
      <c r="R80">
        <v>4.3682761130304941E-2</v>
      </c>
    </row>
    <row r="81" spans="1:34" x14ac:dyDescent="0.2">
      <c r="A81" s="457" t="s">
        <v>1836</v>
      </c>
      <c r="B81" s="469" t="s">
        <v>1840</v>
      </c>
      <c r="E81" s="460" t="s">
        <v>1055</v>
      </c>
      <c r="F81" t="s">
        <v>1060</v>
      </c>
      <c r="H81" s="44">
        <v>0.42438915566653618</v>
      </c>
      <c r="I81" s="459">
        <v>1</v>
      </c>
      <c r="J81" s="458">
        <f t="shared" si="14"/>
        <v>0.42438915566653618</v>
      </c>
      <c r="K81" s="458">
        <v>0.98975230444410101</v>
      </c>
      <c r="L81" s="458">
        <f t="shared" si="15"/>
        <v>0.42004014480204049</v>
      </c>
      <c r="M81" s="458" t="str">
        <f t="shared" si="12"/>
        <v>#A9A9A9</v>
      </c>
      <c r="N81" t="str">
        <f t="shared" si="13"/>
        <v>Dimethyl terephthalate (DMT) [0.42] Polyethylene terephthalate (PET) #A9A9A9</v>
      </c>
      <c r="Q81" s="3" t="s">
        <v>1831</v>
      </c>
      <c r="R81">
        <v>2.8771099042794535</v>
      </c>
    </row>
    <row r="82" spans="1:34" x14ac:dyDescent="0.2">
      <c r="A82" s="457" t="s">
        <v>1836</v>
      </c>
      <c r="B82" t="s">
        <v>192</v>
      </c>
      <c r="E82" s="460" t="s">
        <v>248</v>
      </c>
      <c r="F82" t="s">
        <v>1060</v>
      </c>
      <c r="H82" s="44">
        <v>5.2380930593212353E-2</v>
      </c>
      <c r="I82" s="459">
        <v>1</v>
      </c>
      <c r="J82" s="458">
        <f t="shared" si="14"/>
        <v>5.2380930593212353E-2</v>
      </c>
      <c r="K82" s="458" t="e">
        <v>#N/A</v>
      </c>
      <c r="L82" s="458" t="e">
        <f t="shared" si="15"/>
        <v>#N/A</v>
      </c>
      <c r="M82" s="458" t="str">
        <f t="shared" si="12"/>
        <v>#964B00</v>
      </c>
      <c r="N82" t="str">
        <f t="shared" si="13"/>
        <v>Dimethyl terephthalate (DMT) [0.05] Other #964B00</v>
      </c>
      <c r="Q82" s="3" t="s">
        <v>845</v>
      </c>
      <c r="R82">
        <v>1.5104826997467129</v>
      </c>
    </row>
    <row r="83" spans="1:34" x14ac:dyDescent="0.2">
      <c r="A83" t="s">
        <v>1822</v>
      </c>
      <c r="B83" t="s">
        <v>1827</v>
      </c>
      <c r="E83" s="460" t="s">
        <v>1055</v>
      </c>
      <c r="F83" t="s">
        <v>1060</v>
      </c>
      <c r="G83" s="6">
        <v>0.95</v>
      </c>
      <c r="H83" s="44">
        <f>G83*$H$24</f>
        <v>1.1298928174736835</v>
      </c>
      <c r="I83" s="459">
        <v>1</v>
      </c>
      <c r="J83" s="458">
        <f t="shared" si="14"/>
        <v>1.1298928174736835</v>
      </c>
      <c r="K83" s="458" t="e">
        <v>#N/A</v>
      </c>
      <c r="L83" s="458" t="e">
        <f t="shared" si="15"/>
        <v>#N/A</v>
      </c>
      <c r="M83" s="458" t="str">
        <f t="shared" si="12"/>
        <v>#A9A9A9</v>
      </c>
      <c r="N83" t="str">
        <f t="shared" si="13"/>
        <v>Methylene diphenyl diisocyanate [1.1] Polyurethane (PU) #A9A9A9</v>
      </c>
      <c r="Q83" s="3" t="s">
        <v>1832</v>
      </c>
      <c r="R83">
        <v>0.71927747606986336</v>
      </c>
    </row>
    <row r="84" spans="1:34" x14ac:dyDescent="0.2">
      <c r="A84" t="s">
        <v>1822</v>
      </c>
      <c r="B84" t="s">
        <v>192</v>
      </c>
      <c r="E84" s="460" t="s">
        <v>248</v>
      </c>
      <c r="F84" t="s">
        <v>1060</v>
      </c>
      <c r="G84" s="6">
        <v>0.05</v>
      </c>
      <c r="H84" s="44">
        <f>G84*$H$24</f>
        <v>5.9468043024930722E-2</v>
      </c>
      <c r="I84" s="459">
        <v>1</v>
      </c>
      <c r="J84" s="458">
        <f t="shared" si="14"/>
        <v>5.9468043024930722E-2</v>
      </c>
      <c r="K84" s="458" t="e">
        <v>#N/A</v>
      </c>
      <c r="L84" s="458" t="e">
        <f t="shared" si="15"/>
        <v>#N/A</v>
      </c>
      <c r="M84" s="458" t="str">
        <f t="shared" si="12"/>
        <v>#964B00</v>
      </c>
      <c r="N84" t="str">
        <f t="shared" si="13"/>
        <v>Methylene diphenyl diisocyanate [0.06] Other #964B00</v>
      </c>
      <c r="Q84" s="3" t="s">
        <v>1833</v>
      </c>
      <c r="R84">
        <v>0.79120522367684964</v>
      </c>
    </row>
    <row r="85" spans="1:34" x14ac:dyDescent="0.2">
      <c r="A85" t="s">
        <v>1823</v>
      </c>
      <c r="B85" t="s">
        <v>1841</v>
      </c>
      <c r="C85" t="s">
        <v>192</v>
      </c>
      <c r="E85" s="460" t="s">
        <v>248</v>
      </c>
      <c r="F85" t="s">
        <v>1060</v>
      </c>
      <c r="G85" s="6">
        <v>0.5</v>
      </c>
      <c r="H85" s="44">
        <f>G85*$H$25</f>
        <v>0.59468043024930717</v>
      </c>
      <c r="I85" s="459">
        <v>1</v>
      </c>
      <c r="J85" s="458">
        <f t="shared" si="14"/>
        <v>0.59468043024930717</v>
      </c>
      <c r="K85" s="458" t="e">
        <v>#N/A</v>
      </c>
      <c r="L85" s="458" t="e">
        <f t="shared" si="15"/>
        <v>#N/A</v>
      </c>
      <c r="M85" s="458" t="str">
        <f t="shared" si="12"/>
        <v>#964B00</v>
      </c>
      <c r="N85" t="str">
        <f t="shared" si="13"/>
        <v>1,4-butanediol [0.59] Other #964B00</v>
      </c>
      <c r="Q85" s="3" t="s">
        <v>1834</v>
      </c>
      <c r="R85">
        <v>2.2717305672878156</v>
      </c>
    </row>
    <row r="86" spans="1:34" x14ac:dyDescent="0.2">
      <c r="A86" t="s">
        <v>1823</v>
      </c>
      <c r="B86" t="s">
        <v>192</v>
      </c>
      <c r="E86" s="460" t="s">
        <v>248</v>
      </c>
      <c r="F86" t="s">
        <v>1060</v>
      </c>
      <c r="G86" s="6">
        <v>0.5</v>
      </c>
      <c r="H86" s="44">
        <f>G86*$H$25</f>
        <v>0.59468043024930717</v>
      </c>
      <c r="I86" s="459">
        <v>1</v>
      </c>
      <c r="J86" s="458">
        <f t="shared" si="14"/>
        <v>0.59468043024930717</v>
      </c>
      <c r="K86" s="458" t="e">
        <v>#N/A</v>
      </c>
      <c r="L86" s="458" t="e">
        <f t="shared" si="15"/>
        <v>#N/A</v>
      </c>
      <c r="M86" s="458" t="str">
        <f t="shared" si="12"/>
        <v>#964B00</v>
      </c>
      <c r="N86" t="str">
        <f t="shared" si="13"/>
        <v>1,4-butanediol [0.59] Other #964B00</v>
      </c>
      <c r="Q86" s="3" t="s">
        <v>1835</v>
      </c>
      <c r="R86">
        <v>1.6136860977433933</v>
      </c>
    </row>
    <row r="87" spans="1:34" x14ac:dyDescent="0.2">
      <c r="A87" t="s">
        <v>667</v>
      </c>
      <c r="B87" s="469" t="s">
        <v>1840</v>
      </c>
      <c r="E87" s="460" t="s">
        <v>179</v>
      </c>
      <c r="F87" t="s">
        <v>1060</v>
      </c>
      <c r="G87" s="6">
        <v>0.7</v>
      </c>
      <c r="H87" s="44">
        <f>G87*$H$34</f>
        <v>0.81948859880452074</v>
      </c>
      <c r="I87" s="459">
        <v>1</v>
      </c>
      <c r="J87" s="458">
        <f t="shared" si="14"/>
        <v>0.81948859880452074</v>
      </c>
      <c r="K87" s="458">
        <v>3.0965039471564362</v>
      </c>
      <c r="L87" s="458">
        <f t="shared" si="15"/>
        <v>2.5375496808478957</v>
      </c>
      <c r="M87" s="458" t="str">
        <f t="shared" si="12"/>
        <v>#A9A9A9</v>
      </c>
      <c r="N87" t="str">
        <f t="shared" si="13"/>
        <v>Ethylene glycol [0.82] Polyethylene terephthalate (PET) #A9A9A9</v>
      </c>
      <c r="Q87" s="3" t="s">
        <v>1836</v>
      </c>
      <c r="R87">
        <v>0.47677008625974848</v>
      </c>
    </row>
    <row r="88" spans="1:34" x14ac:dyDescent="0.2">
      <c r="A88" t="s">
        <v>667</v>
      </c>
      <c r="B88" t="s">
        <v>192</v>
      </c>
      <c r="E88" s="460" t="s">
        <v>179</v>
      </c>
      <c r="F88" t="s">
        <v>1060</v>
      </c>
      <c r="G88" s="6">
        <v>0.30000000000000004</v>
      </c>
      <c r="H88" s="44">
        <f>G88*$H$34</f>
        <v>0.35120939948765184</v>
      </c>
      <c r="I88" s="459">
        <v>1</v>
      </c>
      <c r="J88" s="458">
        <f t="shared" si="14"/>
        <v>0.35120939948765184</v>
      </c>
      <c r="K88" s="458" t="e">
        <v>#N/A</v>
      </c>
      <c r="L88" s="458" t="e">
        <f t="shared" si="15"/>
        <v>#N/A</v>
      </c>
      <c r="M88" s="458" t="str">
        <f t="shared" si="12"/>
        <v>#964B00</v>
      </c>
      <c r="N88" t="str">
        <f t="shared" si="13"/>
        <v>Ethylene glycol [0.35] Other #964B00</v>
      </c>
      <c r="Q88" s="3" t="s">
        <v>1837</v>
      </c>
      <c r="R88">
        <v>0.50548750580180479</v>
      </c>
    </row>
    <row r="89" spans="1:34" x14ac:dyDescent="0.2">
      <c r="E89"/>
      <c r="I89" s="459">
        <v>1</v>
      </c>
      <c r="J89" s="458">
        <f t="shared" si="14"/>
        <v>0</v>
      </c>
      <c r="K89" s="458" t="e">
        <v>#DIV/0!</v>
      </c>
      <c r="L89" s="458" t="e">
        <f t="shared" si="15"/>
        <v>#DIV/0!</v>
      </c>
      <c r="Q89" s="3" t="s">
        <v>1838</v>
      </c>
      <c r="R89">
        <v>1.772842341876246</v>
      </c>
    </row>
    <row r="90" spans="1:34" s="470" customFormat="1" x14ac:dyDescent="0.2">
      <c r="I90" s="459">
        <v>1</v>
      </c>
      <c r="J90" s="458">
        <f t="shared" si="14"/>
        <v>0</v>
      </c>
      <c r="K90" s="458" t="e">
        <v>#DIV/0!</v>
      </c>
      <c r="L90" s="458" t="e">
        <f t="shared" si="15"/>
        <v>#DIV/0!</v>
      </c>
      <c r="Q90" s="3" t="s">
        <v>1839</v>
      </c>
      <c r="R90">
        <v>1.0645306645833978</v>
      </c>
      <c r="S90"/>
      <c r="T90"/>
      <c r="U90"/>
      <c r="V90"/>
      <c r="W90"/>
      <c r="X90"/>
      <c r="Y90"/>
      <c r="Z90"/>
      <c r="AA90"/>
      <c r="AB90"/>
      <c r="AC90"/>
      <c r="AD90"/>
      <c r="AE90"/>
      <c r="AF90"/>
      <c r="AG90"/>
      <c r="AH90"/>
    </row>
    <row r="91" spans="1:34" s="470" customFormat="1" x14ac:dyDescent="0.2">
      <c r="A91" s="457"/>
      <c r="B91"/>
      <c r="C91"/>
      <c r="D91"/>
      <c r="E91"/>
      <c r="F91"/>
      <c r="G91" s="6"/>
      <c r="H91" s="44"/>
      <c r="I91" s="459">
        <v>1</v>
      </c>
      <c r="J91" s="458">
        <f t="shared" si="14"/>
        <v>0</v>
      </c>
      <c r="K91" s="458" t="e">
        <v>#DIV/0!</v>
      </c>
      <c r="L91" s="458" t="e">
        <f t="shared" si="15"/>
        <v>#DIV/0!</v>
      </c>
      <c r="M91" s="458"/>
      <c r="N91"/>
      <c r="Q91" s="3" t="s">
        <v>1840</v>
      </c>
      <c r="R91">
        <v>2.8081843339442285</v>
      </c>
      <c r="S91"/>
      <c r="T91"/>
      <c r="U91"/>
      <c r="V91"/>
      <c r="W91"/>
      <c r="X91"/>
      <c r="Y91"/>
      <c r="Z91"/>
      <c r="AA91"/>
      <c r="AB91"/>
      <c r="AC91"/>
      <c r="AD91"/>
      <c r="AE91"/>
      <c r="AF91"/>
      <c r="AG91"/>
      <c r="AH91"/>
    </row>
    <row r="92" spans="1:34" x14ac:dyDescent="0.2">
      <c r="A92" s="471" t="s">
        <v>1830</v>
      </c>
      <c r="B92" s="471" t="s">
        <v>1842</v>
      </c>
      <c r="C92" s="471"/>
      <c r="D92" s="470" t="s">
        <v>1055</v>
      </c>
      <c r="E92" s="470"/>
      <c r="F92" s="470"/>
      <c r="G92" s="472">
        <v>0.67</v>
      </c>
      <c r="H92" s="473">
        <f>G92*$H$45</f>
        <v>8.4039392020259527</v>
      </c>
      <c r="I92" s="459">
        <v>1</v>
      </c>
      <c r="J92" s="458">
        <f t="shared" si="14"/>
        <v>8.4039392020259527</v>
      </c>
      <c r="K92" s="458" t="e">
        <v>#N/A</v>
      </c>
      <c r="L92" s="458" t="e">
        <f t="shared" si="15"/>
        <v>#N/A</v>
      </c>
      <c r="M92" s="474" t="str">
        <f>IF(AND(OR(B92="Other",C92="Other"),$B$1=TRUE),$S$9,_xlfn.XLOOKUP(D92,$Q$6:$Q$10,$S$6:$S$10,$S$8))</f>
        <v>#0000FF</v>
      </c>
      <c r="N92" s="470" t="str">
        <f>CONCATENATE(A92," [",IF(H92&lt;1,ROUND(H92,2),ROUND(H92,1)),"] ",IF($B$1=TRUE,IF((ISBLANK(C92)),B92,C92),B92)," ",M92)</f>
        <v>Polypropylene (PP) [8.4] Polypropylene PP (ex-fibre) #0000FF</v>
      </c>
      <c r="Q92" s="3" t="s">
        <v>1841</v>
      </c>
      <c r="R92">
        <v>0.59468043024930717</v>
      </c>
    </row>
    <row r="93" spans="1:34" x14ac:dyDescent="0.2">
      <c r="A93" s="471" t="s">
        <v>1830</v>
      </c>
      <c r="B93" s="471" t="s">
        <v>1843</v>
      </c>
      <c r="C93" s="471"/>
      <c r="D93" s="470" t="s">
        <v>1055</v>
      </c>
      <c r="E93" s="470"/>
      <c r="F93" s="470"/>
      <c r="G93" s="472">
        <v>0.33</v>
      </c>
      <c r="H93" s="473">
        <f>G93*$H$45</f>
        <v>4.1392536368187525</v>
      </c>
      <c r="I93" s="459">
        <v>1</v>
      </c>
      <c r="J93" s="458">
        <f t="shared" si="14"/>
        <v>4.1392536368187525</v>
      </c>
      <c r="K93" s="458" t="e">
        <v>#N/A</v>
      </c>
      <c r="L93" s="458" t="e">
        <f t="shared" si="15"/>
        <v>#N/A</v>
      </c>
      <c r="M93" s="474" t="str">
        <f>IF(AND(OR(B93="Other",C93="Other"),$B$1=TRUE),$S$9,_xlfn.XLOOKUP(D93,$Q$6:$Q$10,$S$6:$S$10,$S$8))</f>
        <v>#0000FF</v>
      </c>
      <c r="N93" s="470" t="str">
        <f>CONCATENATE(A93," [",IF(H93&lt;1,ROUND(H93,2),ROUND(H93,1)),"] ",IF($B$1=TRUE,IF((ISBLANK(C93)),B93,C93),B93)," ",M93)</f>
        <v>Polypropylene (PP) [4.1] Polypropylene fibres #0000FF</v>
      </c>
      <c r="Q93" s="3" t="s">
        <v>1814</v>
      </c>
      <c r="R93">
        <v>206.59483760351833</v>
      </c>
    </row>
    <row r="94" spans="1:34" x14ac:dyDescent="0.2">
      <c r="E94"/>
      <c r="I94" s="459">
        <v>1</v>
      </c>
      <c r="J94" s="458">
        <f t="shared" si="14"/>
        <v>0</v>
      </c>
      <c r="K94" s="458" t="e">
        <v>#DIV/0!</v>
      </c>
      <c r="L94" s="458" t="e">
        <f t="shared" si="15"/>
        <v>#DIV/0!</v>
      </c>
    </row>
    <row r="95" spans="1:34" x14ac:dyDescent="0.2">
      <c r="A95" s="469" t="s">
        <v>1840</v>
      </c>
      <c r="B95" s="469" t="s">
        <v>1844</v>
      </c>
      <c r="E95"/>
      <c r="G95" s="2">
        <f>45/(25+45)</f>
        <v>0.6428571428571429</v>
      </c>
      <c r="H95" s="43">
        <f>SUM($H$79,$H$81,$H$87)*G95</f>
        <v>1.6735578327277063</v>
      </c>
      <c r="I95" s="459">
        <v>1</v>
      </c>
      <c r="J95" s="458">
        <f t="shared" si="14"/>
        <v>1.6735578327277063</v>
      </c>
      <c r="K95" s="458" t="e">
        <v>#N/A</v>
      </c>
      <c r="L95" s="458" t="e">
        <f t="shared" si="15"/>
        <v>#N/A</v>
      </c>
    </row>
    <row r="96" spans="1:34" x14ac:dyDescent="0.2">
      <c r="A96" s="469" t="s">
        <v>1840</v>
      </c>
      <c r="B96" s="469" t="s">
        <v>1845</v>
      </c>
      <c r="E96"/>
      <c r="G96" s="2">
        <f>25/(25+45)</f>
        <v>0.35714285714285715</v>
      </c>
      <c r="H96" s="43">
        <f>SUM($H$79,$H$81,$H$87)*G96</f>
        <v>0.92975435151539232</v>
      </c>
      <c r="I96" s="459">
        <v>1</v>
      </c>
      <c r="J96" s="458">
        <f t="shared" si="14"/>
        <v>0.92975435151539232</v>
      </c>
      <c r="K96" s="458" t="e">
        <v>#N/A</v>
      </c>
      <c r="L96" s="458" t="e">
        <f t="shared" si="15"/>
        <v>#N/A</v>
      </c>
    </row>
    <row r="97" spans="1:12" x14ac:dyDescent="0.2">
      <c r="E97"/>
      <c r="I97" s="459">
        <v>1</v>
      </c>
      <c r="J97" s="458">
        <f t="shared" si="14"/>
        <v>0</v>
      </c>
      <c r="K97" s="458" t="e">
        <v>#DIV/0!</v>
      </c>
      <c r="L97" s="458" t="e">
        <f t="shared" si="15"/>
        <v>#DIV/0!</v>
      </c>
    </row>
    <row r="98" spans="1:12" x14ac:dyDescent="0.2">
      <c r="A98" t="s">
        <v>4</v>
      </c>
      <c r="B98" t="s">
        <v>261</v>
      </c>
      <c r="E98"/>
      <c r="H98">
        <v>99.2</v>
      </c>
      <c r="I98" s="459">
        <v>1</v>
      </c>
      <c r="J98" s="458">
        <f t="shared" si="14"/>
        <v>99.2</v>
      </c>
      <c r="K98" s="458" t="e">
        <v>#N/A</v>
      </c>
      <c r="L98" s="458" t="e">
        <f t="shared" si="15"/>
        <v>#N/A</v>
      </c>
    </row>
    <row r="99" spans="1:12" x14ac:dyDescent="0.2">
      <c r="A99" t="s">
        <v>4</v>
      </c>
      <c r="B99" t="s">
        <v>260</v>
      </c>
      <c r="E99"/>
      <c r="H99">
        <v>22.8</v>
      </c>
      <c r="I99" s="459">
        <v>1</v>
      </c>
      <c r="J99" s="458">
        <f t="shared" si="14"/>
        <v>22.8</v>
      </c>
      <c r="K99" s="458">
        <v>1.572192513368984</v>
      </c>
      <c r="L99" s="458">
        <f t="shared" si="15"/>
        <v>35.845989304812839</v>
      </c>
    </row>
    <row r="100" spans="1:12" x14ac:dyDescent="0.2">
      <c r="A100" t="s">
        <v>4</v>
      </c>
      <c r="B100" t="s">
        <v>627</v>
      </c>
      <c r="E100"/>
      <c r="H100">
        <v>19.5</v>
      </c>
      <c r="I100" s="459">
        <v>1</v>
      </c>
      <c r="J100" s="458">
        <f t="shared" si="14"/>
        <v>19.5</v>
      </c>
      <c r="K100" s="458" t="e">
        <v>#N/A</v>
      </c>
      <c r="L100" s="458" t="e">
        <f t="shared" si="15"/>
        <v>#N/A</v>
      </c>
    </row>
    <row r="101" spans="1:12" x14ac:dyDescent="0.2">
      <c r="A101" t="s">
        <v>4</v>
      </c>
      <c r="B101" t="s">
        <v>658</v>
      </c>
      <c r="E101"/>
      <c r="H101">
        <v>9.8000000000000007</v>
      </c>
      <c r="I101" s="459">
        <v>1</v>
      </c>
      <c r="J101" s="458">
        <f t="shared" si="14"/>
        <v>9.8000000000000007</v>
      </c>
      <c r="K101" s="458" t="e">
        <v>#N/A</v>
      </c>
      <c r="L101" s="458" t="e">
        <f t="shared" si="15"/>
        <v>#N/A</v>
      </c>
    </row>
    <row r="102" spans="1:12" x14ac:dyDescent="0.2">
      <c r="A102" t="s">
        <v>4</v>
      </c>
      <c r="B102" t="s">
        <v>248</v>
      </c>
      <c r="E102"/>
      <c r="H102">
        <v>11.4</v>
      </c>
      <c r="I102" s="459">
        <v>1</v>
      </c>
      <c r="J102" s="458">
        <f t="shared" si="14"/>
        <v>11.4</v>
      </c>
      <c r="K102" s="458" t="e">
        <v>#N/A</v>
      </c>
      <c r="L102" s="458" t="e">
        <f t="shared" si="15"/>
        <v>#N/A</v>
      </c>
    </row>
    <row r="103" spans="1:12" x14ac:dyDescent="0.2">
      <c r="E103"/>
      <c r="I103" s="459">
        <v>1</v>
      </c>
      <c r="J103" s="458">
        <f t="shared" si="14"/>
        <v>0</v>
      </c>
      <c r="K103" s="458" t="e">
        <v>#DIV/0!</v>
      </c>
      <c r="L103" s="458" t="e">
        <f t="shared" si="15"/>
        <v>#DIV/0!</v>
      </c>
    </row>
    <row r="104" spans="1:12" x14ac:dyDescent="0.2">
      <c r="A104" t="s">
        <v>261</v>
      </c>
      <c r="B104" s="461" t="s">
        <v>1825</v>
      </c>
      <c r="E104"/>
      <c r="H104">
        <v>44.6</v>
      </c>
      <c r="I104" s="459">
        <v>1</v>
      </c>
      <c r="J104" s="458">
        <f t="shared" si="14"/>
        <v>44.6</v>
      </c>
      <c r="K104" s="458" t="e">
        <v>#N/A</v>
      </c>
      <c r="L104" s="458" t="e">
        <f t="shared" si="15"/>
        <v>#N/A</v>
      </c>
    </row>
    <row r="105" spans="1:12" x14ac:dyDescent="0.2">
      <c r="A105" t="s">
        <v>261</v>
      </c>
      <c r="B105" s="461" t="s">
        <v>1826</v>
      </c>
      <c r="E105"/>
      <c r="H105">
        <v>54.6</v>
      </c>
      <c r="I105" s="459">
        <v>1</v>
      </c>
      <c r="J105" s="458">
        <f t="shared" si="14"/>
        <v>54.6</v>
      </c>
      <c r="K105" s="458" t="e">
        <v>#N/A</v>
      </c>
      <c r="L105" s="458" t="e">
        <f t="shared" si="15"/>
        <v>#N/A</v>
      </c>
    </row>
    <row r="106" spans="1:12" x14ac:dyDescent="0.2">
      <c r="E106"/>
      <c r="I106" s="459">
        <v>1</v>
      </c>
      <c r="J106" s="458">
        <f t="shared" si="14"/>
        <v>0</v>
      </c>
      <c r="K106" s="458" t="e">
        <v>#DIV/0!</v>
      </c>
      <c r="L106" s="458" t="e">
        <f t="shared" si="15"/>
        <v>#DIV/0!</v>
      </c>
    </row>
    <row r="107" spans="1:12" x14ac:dyDescent="0.2">
      <c r="A107" t="s">
        <v>260</v>
      </c>
      <c r="B107" s="469" t="s">
        <v>1840</v>
      </c>
      <c r="E107"/>
      <c r="H107">
        <v>3.8</v>
      </c>
      <c r="I107" s="459">
        <v>1</v>
      </c>
      <c r="J107" s="458">
        <f t="shared" si="14"/>
        <v>3.8</v>
      </c>
      <c r="K107" s="458">
        <v>4.3582766439909291</v>
      </c>
      <c r="L107" s="458">
        <f t="shared" si="15"/>
        <v>16.561451247165529</v>
      </c>
    </row>
    <row r="108" spans="1:12" x14ac:dyDescent="0.2">
      <c r="A108" t="s">
        <v>260</v>
      </c>
      <c r="B108" s="469" t="s">
        <v>1840</v>
      </c>
      <c r="E108"/>
      <c r="H108">
        <v>6.9</v>
      </c>
      <c r="I108" s="459">
        <v>1</v>
      </c>
      <c r="J108" s="458">
        <f t="shared" si="14"/>
        <v>6.9</v>
      </c>
      <c r="K108" s="458">
        <v>4.3582766439909291</v>
      </c>
      <c r="L108" s="458">
        <f t="shared" si="15"/>
        <v>30.072108843537411</v>
      </c>
    </row>
    <row r="109" spans="1:12" x14ac:dyDescent="0.2">
      <c r="A109" t="s">
        <v>260</v>
      </c>
      <c r="B109" t="s">
        <v>248</v>
      </c>
      <c r="E109"/>
      <c r="H109">
        <v>12.1</v>
      </c>
      <c r="I109" s="459">
        <v>1</v>
      </c>
      <c r="J109" s="458">
        <f t="shared" si="14"/>
        <v>12.1</v>
      </c>
      <c r="K109" s="458" t="e">
        <v>#N/A</v>
      </c>
      <c r="L109" s="458" t="e">
        <f t="shared" si="15"/>
        <v>#N/A</v>
      </c>
    </row>
    <row r="110" spans="1:12" x14ac:dyDescent="0.2">
      <c r="E110"/>
      <c r="I110" s="459">
        <v>1</v>
      </c>
      <c r="J110" s="458">
        <f t="shared" si="14"/>
        <v>0</v>
      </c>
      <c r="K110" s="458" t="e">
        <v>#DIV/0!</v>
      </c>
      <c r="L110" s="458" t="e">
        <f t="shared" si="15"/>
        <v>#DIV/0!</v>
      </c>
    </row>
    <row r="111" spans="1:12" x14ac:dyDescent="0.2">
      <c r="A111" t="s">
        <v>627</v>
      </c>
      <c r="B111" t="s">
        <v>1828</v>
      </c>
      <c r="E111"/>
      <c r="H111">
        <v>18.7</v>
      </c>
      <c r="I111" s="459">
        <v>1</v>
      </c>
      <c r="J111" s="458">
        <f t="shared" si="14"/>
        <v>18.7</v>
      </c>
      <c r="K111" s="458" t="e">
        <v>#N/A</v>
      </c>
      <c r="L111" s="458" t="e">
        <f t="shared" si="15"/>
        <v>#N/A</v>
      </c>
    </row>
    <row r="112" spans="1:12" x14ac:dyDescent="0.2">
      <c r="A112" t="s">
        <v>627</v>
      </c>
      <c r="B112" t="s">
        <v>248</v>
      </c>
      <c r="E112"/>
      <c r="H112">
        <v>0.8</v>
      </c>
      <c r="I112" s="459">
        <v>1</v>
      </c>
      <c r="J112" s="458">
        <f t="shared" si="14"/>
        <v>0.8</v>
      </c>
      <c r="K112" s="458" t="e">
        <v>#N/A</v>
      </c>
      <c r="L112" s="458" t="e">
        <f t="shared" si="15"/>
        <v>#N/A</v>
      </c>
    </row>
    <row r="113" spans="1:12" x14ac:dyDescent="0.2">
      <c r="E113"/>
      <c r="I113" s="459">
        <v>1</v>
      </c>
      <c r="J113" s="458">
        <f t="shared" si="14"/>
        <v>0</v>
      </c>
      <c r="K113" s="458" t="e">
        <v>#DIV/0!</v>
      </c>
      <c r="L113" s="458" t="e">
        <f t="shared" si="15"/>
        <v>#DIV/0!</v>
      </c>
    </row>
    <row r="114" spans="1:12" x14ac:dyDescent="0.2">
      <c r="A114" t="s">
        <v>658</v>
      </c>
      <c r="B114" t="s">
        <v>1829</v>
      </c>
      <c r="E114"/>
      <c r="H114">
        <v>4.5</v>
      </c>
      <c r="I114" s="459">
        <v>1</v>
      </c>
      <c r="J114" s="458">
        <f t="shared" si="14"/>
        <v>4.5</v>
      </c>
      <c r="K114" s="458" t="e">
        <v>#N/A</v>
      </c>
      <c r="L114" s="458" t="e">
        <f t="shared" si="15"/>
        <v>#N/A</v>
      </c>
    </row>
    <row r="115" spans="1:12" x14ac:dyDescent="0.2">
      <c r="A115" t="s">
        <v>658</v>
      </c>
      <c r="B115" t="s">
        <v>248</v>
      </c>
      <c r="H115">
        <v>5.3</v>
      </c>
      <c r="I115" s="459">
        <v>1</v>
      </c>
      <c r="J115" s="458">
        <f t="shared" si="14"/>
        <v>5.3</v>
      </c>
      <c r="K115" s="458" t="e">
        <v>#N/A</v>
      </c>
      <c r="L115" s="458" t="e">
        <f t="shared" si="15"/>
        <v>#N/A</v>
      </c>
    </row>
    <row r="116" spans="1:12" x14ac:dyDescent="0.2">
      <c r="I116" s="459">
        <v>1</v>
      </c>
      <c r="J116" s="458">
        <f t="shared" si="14"/>
        <v>0</v>
      </c>
      <c r="K116" s="458" t="e">
        <v>#DIV/0!</v>
      </c>
      <c r="L116" s="458" t="e">
        <f t="shared" si="15"/>
        <v>#DIV/0!</v>
      </c>
    </row>
    <row r="117" spans="1:12" x14ac:dyDescent="0.2">
      <c r="A117" t="s">
        <v>9</v>
      </c>
      <c r="B117" t="s">
        <v>845</v>
      </c>
      <c r="H117" s="475">
        <f>37.4*0.98</f>
        <v>36.652000000000001</v>
      </c>
      <c r="I117" s="459">
        <v>1</v>
      </c>
      <c r="J117" s="458">
        <f t="shared" si="14"/>
        <v>36.652000000000001</v>
      </c>
      <c r="K117" s="458">
        <v>1.5643314500941619</v>
      </c>
      <c r="L117" s="458">
        <f t="shared" si="15"/>
        <v>57.335876308851219</v>
      </c>
    </row>
    <row r="118" spans="1:12" x14ac:dyDescent="0.2">
      <c r="I118" s="459">
        <v>1</v>
      </c>
      <c r="J118" s="458">
        <f t="shared" si="14"/>
        <v>0</v>
      </c>
      <c r="K118" s="458" t="e">
        <v>#DIV/0!</v>
      </c>
      <c r="L118" s="458" t="e">
        <f t="shared" si="15"/>
        <v>#DIV/0!</v>
      </c>
    </row>
    <row r="119" spans="1:12" x14ac:dyDescent="0.2">
      <c r="A119" t="s">
        <v>845</v>
      </c>
      <c r="B119" s="469" t="s">
        <v>1840</v>
      </c>
      <c r="H119">
        <f>H117*95%</f>
        <v>34.819400000000002</v>
      </c>
      <c r="I119" s="459">
        <v>1</v>
      </c>
      <c r="J119" s="458">
        <f t="shared" si="14"/>
        <v>34.819400000000002</v>
      </c>
      <c r="K119" s="458">
        <v>1.1569113716803505</v>
      </c>
      <c r="L119" s="458">
        <f t="shared" si="15"/>
        <v>40.282959815086798</v>
      </c>
    </row>
  </sheetData>
  <pageMargins left="0.7" right="0.7" top="0.75" bottom="0.75" header="0.3" footer="0.3"/>
  <drawing r:id="rId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9EA126-03A0-4A6F-BA73-8FE98C8BCCE0}">
  <dimension ref="B1:S18"/>
  <sheetViews>
    <sheetView workbookViewId="0">
      <selection activeCell="S2" sqref="S2:S5"/>
    </sheetView>
  </sheetViews>
  <sheetFormatPr baseColWidth="10" defaultColWidth="8.83203125" defaultRowHeight="15" x14ac:dyDescent="0.2"/>
  <cols>
    <col min="2" max="2" width="14.5" customWidth="1"/>
    <col min="18" max="18" width="14.5" customWidth="1"/>
  </cols>
  <sheetData>
    <row r="1" spans="2:19" x14ac:dyDescent="0.2">
      <c r="B1">
        <v>2020</v>
      </c>
      <c r="C1">
        <v>2050</v>
      </c>
      <c r="I1">
        <v>2020</v>
      </c>
      <c r="J1">
        <v>2050</v>
      </c>
      <c r="L1">
        <v>2020</v>
      </c>
      <c r="M1">
        <v>2050</v>
      </c>
      <c r="O1">
        <v>2020</v>
      </c>
      <c r="P1">
        <v>2050</v>
      </c>
      <c r="R1">
        <v>2020</v>
      </c>
      <c r="S1">
        <v>2050</v>
      </c>
    </row>
    <row r="2" spans="2:19" x14ac:dyDescent="0.2">
      <c r="B2" t="s">
        <v>1846</v>
      </c>
      <c r="C2" t="s">
        <v>1847</v>
      </c>
      <c r="I2">
        <f>'Ethylene Recycling HC'!C45*'Ethylene Recycling HC'!C67</f>
        <v>5.1856182039383869</v>
      </c>
      <c r="J2">
        <f>'Ethylene Recycling HC'!AG45*'Ethylene Recycling HC'!AG67</f>
        <v>15.245074415264451</v>
      </c>
      <c r="L2">
        <f>'Propylene Recycling HC'!C45*'Propylene Recycling HC'!C63</f>
        <v>0.9024309249455934</v>
      </c>
      <c r="M2">
        <f>'Propylene Recycling HC'!AG45*'Propylene Recycling HC'!AG63</f>
        <v>10.464311565097942</v>
      </c>
      <c r="O2">
        <f>I2+L2</f>
        <v>6.0880491288839806</v>
      </c>
      <c r="P2">
        <f>J2+M2</f>
        <v>25.709385980362391</v>
      </c>
      <c r="R2" t="s">
        <v>1848</v>
      </c>
      <c r="S2" t="s">
        <v>1849</v>
      </c>
    </row>
    <row r="3" spans="2:19" x14ac:dyDescent="0.2">
      <c r="B3" t="s">
        <v>1850</v>
      </c>
      <c r="C3" t="s">
        <v>1851</v>
      </c>
      <c r="I3">
        <f>'Ethylene Recycling HC'!C45*'Ethylene Recycling HC'!C73</f>
        <v>6.6928339575582632</v>
      </c>
      <c r="J3">
        <f>'Ethylene Recycling HC'!AG45*'Ethylene Recycling HC'!AG73</f>
        <v>14.055146782067792</v>
      </c>
      <c r="L3">
        <f>'Propylene Recycling HC'!C45*'Propylene Recycling HC'!C67</f>
        <v>1.4592500062950025</v>
      </c>
      <c r="M3">
        <f>'Propylene Recycling HC'!AG45*'Propylene Recycling HC'!AG67</f>
        <v>10.970389163697751</v>
      </c>
      <c r="O3">
        <f t="shared" ref="O3:O18" si="0">I3+L3</f>
        <v>8.1520839638532649</v>
      </c>
      <c r="P3">
        <f t="shared" ref="P3:P18" si="1">J3+M3</f>
        <v>25.025535945765544</v>
      </c>
      <c r="R3" t="s">
        <v>1852</v>
      </c>
      <c r="S3" t="s">
        <v>1853</v>
      </c>
    </row>
    <row r="4" spans="2:19" x14ac:dyDescent="0.2">
      <c r="B4" t="s">
        <v>1854</v>
      </c>
      <c r="C4" t="s">
        <v>1855</v>
      </c>
      <c r="I4">
        <f>'Ethylene Recycling HC'!C70*'Ethylene Recycling HC'!C45</f>
        <v>1.205373589929996</v>
      </c>
      <c r="J4">
        <f>'Ethylene Recycling HC'!AG70*'Ethylene Recycling HC'!AG45</f>
        <v>0.99889752735144222</v>
      </c>
      <c r="L4">
        <v>0</v>
      </c>
      <c r="M4">
        <v>0</v>
      </c>
      <c r="O4">
        <f t="shared" si="0"/>
        <v>1.205373589929996</v>
      </c>
      <c r="P4">
        <f t="shared" si="1"/>
        <v>0.99889752735144222</v>
      </c>
      <c r="R4" t="s">
        <v>1854</v>
      </c>
      <c r="S4" t="s">
        <v>1855</v>
      </c>
    </row>
    <row r="5" spans="2:19" x14ac:dyDescent="0.2">
      <c r="B5" t="s">
        <v>1856</v>
      </c>
      <c r="C5" t="s">
        <v>1857</v>
      </c>
      <c r="I5">
        <f>'Ethylene Recycling HC'!C71*'Ethylene Recycling HC'!C45</f>
        <v>1.4455793898150646</v>
      </c>
      <c r="J5">
        <f>'Ethylene Recycling HC'!AG71*'Ethylene Recycling HC'!AG45</f>
        <v>2.7552854310570467</v>
      </c>
      <c r="L5">
        <f>'Propylene Recycling HC'!C66*'Propylene Recycling HC'!C45</f>
        <v>0.36481250157375061</v>
      </c>
      <c r="M5">
        <f>'Propylene Recycling HC'!AG66*'Propylene Recycling HC'!AG45</f>
        <v>2.7425972909244378</v>
      </c>
      <c r="O5">
        <f t="shared" si="0"/>
        <v>1.8103918913888153</v>
      </c>
      <c r="P5">
        <f t="shared" si="1"/>
        <v>5.497882721981485</v>
      </c>
      <c r="R5" t="s">
        <v>1858</v>
      </c>
      <c r="S5" t="s">
        <v>1859</v>
      </c>
    </row>
    <row r="6" spans="2:19" x14ac:dyDescent="0.2">
      <c r="O6">
        <f t="shared" si="0"/>
        <v>0</v>
      </c>
      <c r="P6">
        <f t="shared" si="1"/>
        <v>0</v>
      </c>
    </row>
    <row r="7" spans="2:19" x14ac:dyDescent="0.2">
      <c r="B7" t="s">
        <v>1860</v>
      </c>
      <c r="C7" t="s">
        <v>1861</v>
      </c>
      <c r="I7">
        <f>'Ethylene Recycling HC'!C46*'Ethylene Recycling HC'!C107</f>
        <v>5.464110500180247E-2</v>
      </c>
      <c r="J7">
        <f>'Ethylene Recycling HC'!AG46*'Ethylene Recycling HC'!AG107</f>
        <v>1.3390433446957051</v>
      </c>
      <c r="L7">
        <f>'Propylene Recycling HC'!C46*'Propylene Recycling HC'!C87</f>
        <v>2.3979186750311469E-2</v>
      </c>
      <c r="M7">
        <f>'Propylene Recycling HC'!AG46*'Propylene Recycling HC'!AG87</f>
        <v>5.5600335900142586</v>
      </c>
      <c r="O7">
        <f t="shared" si="0"/>
        <v>7.8620291752113936E-2</v>
      </c>
      <c r="P7">
        <f t="shared" si="1"/>
        <v>6.8990769347099636</v>
      </c>
      <c r="R7" t="s">
        <v>1860</v>
      </c>
      <c r="S7" t="s">
        <v>1862</v>
      </c>
    </row>
    <row r="8" spans="2:19" x14ac:dyDescent="0.2">
      <c r="B8" t="s">
        <v>1863</v>
      </c>
      <c r="C8" t="s">
        <v>1863</v>
      </c>
      <c r="I8">
        <f>'Ethylene Recycling HC'!C47*'Ethylene Recycling HC'!C119</f>
        <v>1.587728533651675E-2</v>
      </c>
      <c r="J8">
        <f>'Ethylene Recycling HC'!AG47*'Ethylene Recycling HC'!AG119</f>
        <v>9.679298752403212E-2</v>
      </c>
      <c r="L8">
        <f>'Propylene Recycling HC'!C47*'Propylene Recycling HC'!C90</f>
        <v>8.387992979705142E-3</v>
      </c>
      <c r="M8">
        <f>'Propylene Recycling HC'!AG47*'Propylene Recycling HC'!AG90</f>
        <v>4.8383079461513823E-2</v>
      </c>
      <c r="O8">
        <f t="shared" si="0"/>
        <v>2.426527831622189E-2</v>
      </c>
      <c r="P8">
        <f t="shared" si="1"/>
        <v>0.14517606698554594</v>
      </c>
      <c r="R8" t="s">
        <v>1863</v>
      </c>
      <c r="S8" t="s">
        <v>1863</v>
      </c>
    </row>
    <row r="9" spans="2:19" x14ac:dyDescent="0.2">
      <c r="B9" t="s">
        <v>1864</v>
      </c>
      <c r="C9" t="s">
        <v>1865</v>
      </c>
      <c r="I9">
        <f>'Ethylene Recycling HC'!C47*'Ethylene Recycling HC'!C118</f>
        <v>6.8801569791572578E-2</v>
      </c>
      <c r="J9">
        <f>'Ethylene Recycling HC'!AG47*'Ethylene Recycling HC'!AG118</f>
        <v>0.41943627927080596</v>
      </c>
      <c r="L9">
        <f>'Propylene Recycling HC'!C47*'Propylene Recycling HC'!C89</f>
        <v>3.6347969578722286E-2</v>
      </c>
      <c r="M9">
        <f>'Propylene Recycling HC'!AG47*'Propylene Recycling HC'!AG89</f>
        <v>0.20966001099989326</v>
      </c>
      <c r="O9">
        <f t="shared" si="0"/>
        <v>0.10514953937029486</v>
      </c>
      <c r="P9">
        <f t="shared" si="1"/>
        <v>0.62909629027069924</v>
      </c>
      <c r="R9" t="s">
        <v>1864</v>
      </c>
      <c r="S9" t="s">
        <v>1866</v>
      </c>
    </row>
    <row r="10" spans="2:19" x14ac:dyDescent="0.2">
      <c r="B10" t="s">
        <v>1867</v>
      </c>
      <c r="C10" t="s">
        <v>1868</v>
      </c>
      <c r="I10">
        <f>'Ethylene Recycling HC'!C47*'Ethylene Recycling HC'!C120</f>
        <v>4.763185600955025E-2</v>
      </c>
      <c r="J10">
        <f>'Ethylene Recycling HC'!AG47*'Ethylene Recycling HC'!AG120</f>
        <v>0.29037896257209639</v>
      </c>
      <c r="L10">
        <f>'Propylene Recycling HC'!C47*'Propylene Recycling HC'!C91</f>
        <v>2.5163978939115428E-2</v>
      </c>
      <c r="M10">
        <f>'Propylene Recycling HC'!AG47*'Propylene Recycling HC'!AG91</f>
        <v>0.1451492383845415</v>
      </c>
      <c r="O10">
        <f t="shared" si="0"/>
        <v>7.2795834948665677E-2</v>
      </c>
      <c r="P10">
        <f t="shared" si="1"/>
        <v>0.43552820095663791</v>
      </c>
      <c r="R10" t="s">
        <v>1867</v>
      </c>
      <c r="S10" t="s">
        <v>1868</v>
      </c>
    </row>
    <row r="11" spans="2:19" x14ac:dyDescent="0.2">
      <c r="O11">
        <f t="shared" si="0"/>
        <v>0</v>
      </c>
      <c r="P11">
        <f t="shared" si="1"/>
        <v>0</v>
      </c>
    </row>
    <row r="12" spans="2:19" x14ac:dyDescent="0.2">
      <c r="B12" t="s">
        <v>1869</v>
      </c>
      <c r="C12" t="s">
        <v>1870</v>
      </c>
      <c r="I12">
        <f>'Ethylene Recycling HC'!C48*'Ethylene Recycling HC'!C159</f>
        <v>3.0576426161855401E-2</v>
      </c>
      <c r="J12">
        <f>'Ethylene Recycling HC'!AG48*'Ethylene Recycling HC'!AG159</f>
        <v>0.38394422704395359</v>
      </c>
      <c r="L12">
        <v>0</v>
      </c>
      <c r="M12">
        <v>0</v>
      </c>
      <c r="O12">
        <f t="shared" si="0"/>
        <v>3.0576426161855401E-2</v>
      </c>
      <c r="P12">
        <f t="shared" si="1"/>
        <v>0.38394422704395359</v>
      </c>
      <c r="R12" t="s">
        <v>1869</v>
      </c>
      <c r="S12" t="s">
        <v>1870</v>
      </c>
    </row>
    <row r="13" spans="2:19" x14ac:dyDescent="0.2">
      <c r="B13" t="s">
        <v>1871</v>
      </c>
      <c r="C13" t="s">
        <v>1871</v>
      </c>
      <c r="I13">
        <f>'Ethylene Recycling HC'!C48*'Ethylene Recycling HC'!C166</f>
        <v>0.29047604853762626</v>
      </c>
      <c r="J13">
        <f>'Ethylene Recycling HC'!AG48*'Ethylene Recycling HC'!AG166</f>
        <v>0.44793493155127917</v>
      </c>
      <c r="L13">
        <v>0</v>
      </c>
      <c r="M13">
        <v>0</v>
      </c>
      <c r="O13">
        <f t="shared" si="0"/>
        <v>0.29047604853762626</v>
      </c>
      <c r="P13">
        <f t="shared" si="1"/>
        <v>0.44793493155127917</v>
      </c>
      <c r="R13" t="s">
        <v>1871</v>
      </c>
      <c r="S13" t="s">
        <v>1872</v>
      </c>
    </row>
    <row r="14" spans="2:19" x14ac:dyDescent="0.2">
      <c r="B14" t="s">
        <v>1873</v>
      </c>
      <c r="C14" t="s">
        <v>1874</v>
      </c>
      <c r="I14">
        <f>'Ethylene Recycling HC'!C48*'Ethylene Recycling HC'!C167</f>
        <v>0.29047604853762626</v>
      </c>
      <c r="J14">
        <f>'Ethylene Recycling HC'!AG48*'Ethylene Recycling HC'!AG167</f>
        <v>0.44793493155127917</v>
      </c>
      <c r="L14">
        <v>0</v>
      </c>
      <c r="M14">
        <v>0</v>
      </c>
      <c r="O14">
        <f t="shared" si="0"/>
        <v>0.29047604853762626</v>
      </c>
      <c r="P14">
        <f t="shared" si="1"/>
        <v>0.44793493155127917</v>
      </c>
      <c r="R14" t="s">
        <v>1873</v>
      </c>
      <c r="S14" t="s">
        <v>1875</v>
      </c>
    </row>
    <row r="15" spans="2:19" x14ac:dyDescent="0.2">
      <c r="O15">
        <f t="shared" si="0"/>
        <v>0</v>
      </c>
      <c r="P15">
        <f t="shared" si="1"/>
        <v>0</v>
      </c>
    </row>
    <row r="16" spans="2:19" x14ac:dyDescent="0.2">
      <c r="B16" t="s">
        <v>1876</v>
      </c>
      <c r="C16" t="s">
        <v>1877</v>
      </c>
      <c r="I16">
        <f>'Ethylene Recycling HC'!C209*'Ethylene Recycling HC'!C49</f>
        <v>1.4045884056601052</v>
      </c>
      <c r="J16">
        <f>'Ethylene Recycling HC'!AG209*'Ethylene Recycling HC'!AG49</f>
        <v>7.465999042230365</v>
      </c>
      <c r="L16">
        <f>'Propylene Recycling HC'!C114*'Propylene Recycling HC'!C49</f>
        <v>1.7810258612810881</v>
      </c>
      <c r="M16">
        <f>'Propylene Recycling HC'!AG114*'Propylene Recycling HC'!AG49</f>
        <v>9.4669280487638279</v>
      </c>
      <c r="O16">
        <f t="shared" si="0"/>
        <v>3.1856142669411933</v>
      </c>
      <c r="P16">
        <f t="shared" si="1"/>
        <v>16.932927090994191</v>
      </c>
      <c r="R16" t="s">
        <v>1878</v>
      </c>
      <c r="S16" t="s">
        <v>1879</v>
      </c>
    </row>
    <row r="17" spans="2:19" x14ac:dyDescent="0.2">
      <c r="O17">
        <f t="shared" si="0"/>
        <v>0</v>
      </c>
      <c r="P17">
        <f t="shared" si="1"/>
        <v>0</v>
      </c>
    </row>
    <row r="18" spans="2:19" x14ac:dyDescent="0.2">
      <c r="B18" t="s">
        <v>1880</v>
      </c>
      <c r="C18" t="s">
        <v>1881</v>
      </c>
      <c r="I18">
        <f>'Ethylene Recycling HC'!C199*'Ethylene Recycling HC'!C47</f>
        <v>0.11192716725632186</v>
      </c>
      <c r="J18">
        <f>'Ethylene Recycling HC'!AG199*'Ethylene Recycling HC'!AG47</f>
        <v>5.0413014335433415</v>
      </c>
      <c r="L18">
        <f>'Propylene Recycling HC'!C111*'Propylene Recycling HC'!C47</f>
        <v>1.5366689721754976E-2</v>
      </c>
      <c r="M18">
        <f>'Propylene Recycling HC'!AG111*'Propylene Recycling HC'!AG47</f>
        <v>1.6660840034956554</v>
      </c>
      <c r="O18">
        <f t="shared" si="0"/>
        <v>0.12729385697807682</v>
      </c>
      <c r="P18">
        <f t="shared" si="1"/>
        <v>6.7073854370389974</v>
      </c>
      <c r="R18" t="s">
        <v>1880</v>
      </c>
      <c r="S18" t="s">
        <v>1882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f6f44a7d-d6f5-4042-8792-19cb5f90fb06">
      <UserInfo>
        <DisplayName>Kash Burchett</DisplayName>
        <AccountId>21974</AccountId>
        <AccountType/>
      </UserInfo>
      <UserInfo>
        <DisplayName>Andreas Wagner</DisplayName>
        <AccountId>19464</AccountId>
        <AccountType/>
      </UserInfo>
      <UserInfo>
        <DisplayName>Jane Leung</DisplayName>
        <AccountId>27396</AccountId>
        <AccountType/>
      </UserInfo>
    </SharedWithUsers>
    <lcf76f155ced4ddcb4097134ff3c332f xmlns="4ba20efe-f5fd-4091-9ff3-e4fb4b8c4e00">
      <Terms xmlns="http://schemas.microsoft.com/office/infopath/2007/PartnerControls"/>
    </lcf76f155ced4ddcb4097134ff3c332f>
    <TaxCatchAll xmlns="f6f44a7d-d6f5-4042-8792-19cb5f90fb0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1FAD42453072142B8ED04CA36838DF4" ma:contentTypeVersion="" ma:contentTypeDescription="Create a new document." ma:contentTypeScope="" ma:versionID="66ded517128d15965bf4810a51ae728a">
  <xsd:schema xmlns:xsd="http://www.w3.org/2001/XMLSchema" xmlns:xs="http://www.w3.org/2001/XMLSchema" xmlns:p="http://schemas.microsoft.com/office/2006/metadata/properties" xmlns:ns2="4ba20efe-f5fd-4091-9ff3-e4fb4b8c4e00" xmlns:ns3="f6f44a7d-d6f5-4042-8792-19cb5f90fb06" targetNamespace="http://schemas.microsoft.com/office/2006/metadata/properties" ma:root="true" ma:fieldsID="a895659a4ed1a5d6eda6357258287c2b" ns2:_="" ns3:_="">
    <xsd:import namespace="4ba20efe-f5fd-4091-9ff3-e4fb4b8c4e00"/>
    <xsd:import namespace="f6f44a7d-d6f5-4042-8792-19cb5f90fb06"/>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AutoTags"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a20efe-f5fd-4091-9ff3-e4fb4b8c4e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6fd27762-0251-4a48-b483-e1f79c0a6546"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f6f44a7d-d6f5-4042-8792-19cb5f90fb06"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2f1cb957-661d-4683-93b6-7eb55a432899}" ma:internalName="TaxCatchAll" ma:showField="CatchAllData" ma:web="f6f44a7d-d6f5-4042-8792-19cb5f90fb0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F9FECC7-D2ED-472E-B237-E3E1DE764B06}">
  <ds:schemaRefs>
    <ds:schemaRef ds:uri="http://purl.org/dc/terms/"/>
    <ds:schemaRef ds:uri="http://schemas.microsoft.com/office/2006/metadata/properties"/>
    <ds:schemaRef ds:uri="http://purl.org/dc/dcmitype/"/>
    <ds:schemaRef ds:uri="4ba20efe-f5fd-4091-9ff3-e4fb4b8c4e00"/>
    <ds:schemaRef ds:uri="http://schemas.microsoft.com/office/infopath/2007/PartnerControls"/>
    <ds:schemaRef ds:uri="http://schemas.microsoft.com/office/2006/documentManagement/types"/>
    <ds:schemaRef ds:uri="f6f44a7d-d6f5-4042-8792-19cb5f90fb06"/>
    <ds:schemaRef ds:uri="http://schemas.openxmlformats.org/package/2006/metadata/core-properties"/>
    <ds:schemaRef ds:uri="http://www.w3.org/XML/1998/namespace"/>
    <ds:schemaRef ds:uri="http://purl.org/dc/elements/1.1/"/>
  </ds:schemaRefs>
</ds:datastoreItem>
</file>

<file path=customXml/itemProps2.xml><?xml version="1.0" encoding="utf-8"?>
<ds:datastoreItem xmlns:ds="http://schemas.openxmlformats.org/officeDocument/2006/customXml" ds:itemID="{3E687C9C-C7FE-40C1-A127-99508767EC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ba20efe-f5fd-4091-9ff3-e4fb4b8c4e00"/>
    <ds:schemaRef ds:uri="f6f44a7d-d6f5-4042-8792-19cb5f90fb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5E6D6CB-A07B-439B-94F4-5C90E1571D1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53</vt:i4>
      </vt:variant>
    </vt:vector>
  </HeadingPairs>
  <TitlesOfParts>
    <vt:vector size="53" baseType="lpstr">
      <vt:lpstr>COVER SHEET</vt:lpstr>
      <vt:lpstr>Sankey</vt:lpstr>
      <vt:lpstr>Final Exhibits</vt:lpstr>
      <vt:lpstr>Job + CO2 Analysis</vt:lpstr>
      <vt:lpstr>Side calc.</vt:lpstr>
      <vt:lpstr>Yearly Summary</vt:lpstr>
      <vt:lpstr>Yearly BTX</vt:lpstr>
      <vt:lpstr>Yearly Butadiene</vt:lpstr>
      <vt:lpstr>Yearly Methanol</vt:lpstr>
      <vt:lpstr>Yearly HC Ethylene</vt:lpstr>
      <vt:lpstr>Yearly LC Ethylene</vt:lpstr>
      <vt:lpstr>Yearly HC Propylene</vt:lpstr>
      <vt:lpstr>Yearly LC Propylene</vt:lpstr>
      <vt:lpstr>Scope 3 summary</vt:lpstr>
      <vt:lpstr>Scope 3 Yearly</vt:lpstr>
      <vt:lpstr>Per Capita Plastic</vt:lpstr>
      <vt:lpstr>Yearly Demand - Eth&amp;Prop</vt:lpstr>
      <vt:lpstr>Yearly Demand - Methanol</vt:lpstr>
      <vt:lpstr>Propylene</vt:lpstr>
      <vt:lpstr>Ethylene</vt:lpstr>
      <vt:lpstr>Yearly Demand - BTX</vt:lpstr>
      <vt:lpstr>Yearly Demand - C4</vt:lpstr>
      <vt:lpstr>Demand Breakdown - Ethylene</vt:lpstr>
      <vt:lpstr>Demand Breakdown - Propylene</vt:lpstr>
      <vt:lpstr>Demand Breakdown - Methanol</vt:lpstr>
      <vt:lpstr>Demand Breakdown - C4</vt:lpstr>
      <vt:lpstr>Demand Breakdown - BTX</vt:lpstr>
      <vt:lpstr>Demand - Solar</vt:lpstr>
      <vt:lpstr>Demand - Wind</vt:lpstr>
      <vt:lpstr>Demand - Industry shares</vt:lpstr>
      <vt:lpstr>R&amp;S - Packaging and hh goods</vt:lpstr>
      <vt:lpstr>R&amp;S - Transportation</vt:lpstr>
      <vt:lpstr>R&amp;S - Buildings</vt:lpstr>
      <vt:lpstr>R&amp;S - Apparel</vt:lpstr>
      <vt:lpstr>R&amp;S - Others</vt:lpstr>
      <vt:lpstr>Ethylene Recycling LC</vt:lpstr>
      <vt:lpstr>Ethylene Recycling HC</vt:lpstr>
      <vt:lpstr>Propylene Recycling LC</vt:lpstr>
      <vt:lpstr>Propylene Recycling HC</vt:lpstr>
      <vt:lpstr>Methanol Recycling LC</vt:lpstr>
      <vt:lpstr>Methanol Recycling HC</vt:lpstr>
      <vt:lpstr>BTX Recycling LC</vt:lpstr>
      <vt:lpstr>BTX Recycling HC</vt:lpstr>
      <vt:lpstr>Butadiene Recycling LC</vt:lpstr>
      <vt:lpstr>Butadiene Recycling HC</vt:lpstr>
      <vt:lpstr>Overall recycling rates</vt:lpstr>
      <vt:lpstr>BTX recycling rates</vt:lpstr>
      <vt:lpstr>Methanol recycling rates</vt:lpstr>
      <vt:lpstr>Ethylene recycling rates</vt:lpstr>
      <vt:lpstr>Waste gen. - Industry shares</vt:lpstr>
      <vt:lpstr>Sankey Ethylene</vt:lpstr>
      <vt:lpstr>Sankey Methanol_detailed</vt:lpstr>
      <vt:lpstr>Sankey recycling</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Kash Burchett</dc:creator>
  <cp:keywords/>
  <dc:description/>
  <cp:lastModifiedBy>Jenny Hawkin</cp:lastModifiedBy>
  <cp:revision/>
  <dcterms:created xsi:type="dcterms:W3CDTF">2021-07-13T09:35:38Z</dcterms:created>
  <dcterms:modified xsi:type="dcterms:W3CDTF">2026-06-03T13:13:17Z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0x010100A1FAD42453072142B8ED04CA36838DF4</vt:lpwstr>
  </property>
  <property fmtid="{D5CDD505-2E9C-101B-9397-08002B2CF9AE}" pid="3" name="MediaServiceImageTags">
    <vt:lpwstr/>
  </property>
</Properties>
</file>